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EstaPastaDeTrabalho"/>
  <mc:AlternateContent xmlns:mc="http://schemas.openxmlformats.org/markup-compatibility/2006">
    <mc:Choice Requires="x15">
      <x15ac:absPath xmlns:x15ac="http://schemas.microsoft.com/office/spreadsheetml/2010/11/ac" url="/Users/rdias07/Downloads/"/>
    </mc:Choice>
  </mc:AlternateContent>
  <xr:revisionPtr revIDLastSave="0" documentId="8_{A36B2B28-F0E5-CC41-BBCC-CCDF73B4AC34}" xr6:coauthVersionLast="47" xr6:coauthVersionMax="47" xr10:uidLastSave="{00000000-0000-0000-0000-000000000000}"/>
  <bookViews>
    <workbookView xWindow="0" yWindow="760" windowWidth="29040" windowHeight="15720" tabRatio="936" activeTab="11" xr2:uid="{00000000-000D-0000-FFFF-FFFF00000000}"/>
  </bookViews>
  <sheets>
    <sheet name="Ins. FDE 01-26-SD" sheetId="224" state="hidden" r:id="rId1"/>
    <sheet name="INS. TCPO PINI 01-2025" sheetId="471" state="hidden" r:id="rId2"/>
    <sheet name="INS. SIURB 01-2025" sheetId="472" state="hidden" r:id="rId3"/>
    <sheet name="Ins. CDHU 201-SD" sheetId="177" state="hidden" r:id="rId4"/>
    <sheet name="Ins. SINAPI 04-26-SD" sheetId="225" state="hidden" r:id="rId5"/>
    <sheet name="FDE 01-26-SD" sheetId="56" state="hidden" r:id="rId6"/>
    <sheet name="CDHU 201-SD" sheetId="55" state="hidden" r:id="rId7"/>
    <sheet name="SINAPI 04-26-SD" sheetId="79" r:id="rId8"/>
    <sheet name="Capa" sheetId="353" r:id="rId9"/>
    <sheet name="FOLHA RESUMO" sheetId="470" r:id="rId10"/>
    <sheet name="PLAN RESUMO" sheetId="637" r:id="rId11"/>
    <sheet name="Plan Orçamentária" sheetId="57" r:id="rId12"/>
    <sheet name="CURVA ABC" sheetId="506" r:id="rId13"/>
    <sheet name="Cronograma" sheetId="507" r:id="rId14"/>
    <sheet name="CRONOGRAMA1" sheetId="447" state="hidden" r:id="rId15"/>
    <sheet name="COMPOSIÇÃO" sheetId="245" r:id="rId16"/>
    <sheet name="COMPOSIÇÕES_OLD" sheetId="681" state="hidden" r:id="rId17"/>
    <sheet name="COTAÇÃO" sheetId="244" r:id="rId18"/>
    <sheet name="BDI" sheetId="108" r:id="rId19"/>
    <sheet name="BDI DIFE." sheetId="387" state="hidden" r:id="rId20"/>
    <sheet name="Leis Sociais" sheetId="170" state="hidden" r:id="rId21"/>
    <sheet name="SERVIÇOS INICIAIS" sheetId="434" state="hidden" r:id="rId22"/>
    <sheet name="ADM LOCAL DE OBRA" sheetId="659" state="hidden" r:id="rId23"/>
    <sheet name="RETIRADAS E DEMOLIÇÕES" sheetId="661" state="hidden" r:id="rId24"/>
    <sheet name="ANDAIMES" sheetId="662" state="hidden" r:id="rId25"/>
    <sheet name="LOCAÇÃO" sheetId="679" state="hidden" r:id="rId26"/>
    <sheet name="ESTACAS" sheetId="674" state="hidden" r:id="rId27"/>
    <sheet name="BLOCOS DE FUNDAÇÃO" sheetId="675" state="hidden" r:id="rId28"/>
    <sheet name="PILARES" sheetId="676" state="hidden" r:id="rId29"/>
    <sheet name="VIGAS" sheetId="677" state="hidden" r:id="rId30"/>
    <sheet name="LIMPEZA DO TERRENO" sheetId="663" state="hidden" r:id="rId31"/>
    <sheet name="COBERTURA E PERGOLADO" sheetId="660" state="hidden" r:id="rId32"/>
    <sheet name="PAREDES E PAINEIS" sheetId="664" state="hidden" r:id="rId33"/>
    <sheet name="ESQUADRIAS" sheetId="667" state="hidden" r:id="rId34"/>
    <sheet name="REVESTIMENTOS DE PAREDES" sheetId="665" state="hidden" r:id="rId35"/>
    <sheet name="REVESTIMENTOS DE TETO" sheetId="668" state="hidden" r:id="rId36"/>
    <sheet name="PISOS INTERNOS" sheetId="673" state="hidden" r:id="rId37"/>
    <sheet name="PINTURA-PAREDES" sheetId="669" state="hidden" r:id="rId38"/>
    <sheet name="PINTURA-TETO" sheetId="670" state="hidden" r:id="rId39"/>
    <sheet name="PINTURA-PISO" sheetId="671" state="hidden" r:id="rId40"/>
    <sheet name="COMUNICAÇÃO VISUAL" sheetId="672" state="hidden" r:id="rId41"/>
    <sheet name="DELEGACIA SECCIONAL DE POLICIA" sheetId="680" state="hidden" r:id="rId42"/>
    <sheet name="SERVIÇOS COMPLEMENTARES" sheetId="666" state="hidden" r:id="rId43"/>
  </sheets>
  <functionGroups builtInGroupCount="19"/>
  <definedNames>
    <definedName name="_01.01003">#REF!</definedName>
    <definedName name="_01.02005">#REF!</definedName>
    <definedName name="_02.01004">#REF!</definedName>
    <definedName name="_xlnm._FilterDatabase" localSheetId="12" hidden="1">'CURVA ABC'!$B$1:$B$8</definedName>
    <definedName name="_xlnm._FilterDatabase" localSheetId="11" hidden="1">'Plan Orçamentária'!$P$1:$P$547</definedName>
    <definedName name="_xlnm._FilterDatabase" localSheetId="7" hidden="1">'SINAPI 04-26-SD'!#REF!</definedName>
    <definedName name="_xleta.AND" hidden="1" xlm="1">#NAME?</definedName>
    <definedName name="_xleta.AREAS" hidden="1" xlm="1">#NAME?</definedName>
    <definedName name="_xleta.CEILING" hidden="1" xlm="1">#NAME?</definedName>
    <definedName name="_xleta.SUM" hidden="1" xlm="1">#NAME?</definedName>
    <definedName name="_xleta.TODAY" hidden="1" xlm="1">#NAME?</definedName>
    <definedName name="_xleta.UPPER" hidden="1" xlm="1">#NAME?</definedName>
    <definedName name="BDI_GERAL">#REF!</definedName>
    <definedName name="BDI_MATERIAL_BETUMINOSO">#REF!</definedName>
    <definedName name="ELÉTRICA" localSheetId="13">#REF!</definedName>
    <definedName name="ELÉTRICA">#REF!</definedName>
    <definedName name="Excel_BuiltIn_Print_Titles_1_1" localSheetId="13">#REF!</definedName>
    <definedName name="Excel_BuiltIn_Print_Titles_1_1_1" localSheetId="13">#REF!</definedName>
    <definedName name="lala">#REF!</definedName>
    <definedName name="LÓGICA" localSheetId="13">#REF!</definedName>
    <definedName name="LÓGICA">#REF!</definedName>
    <definedName name="Multiplicador">#REF!</definedName>
    <definedName name="OLE_LINK3_1" localSheetId="22">#REF!</definedName>
    <definedName name="OLE_LINK3_1" localSheetId="24">#REF!</definedName>
    <definedName name="OLE_LINK3_1" localSheetId="27">#REF!</definedName>
    <definedName name="OLE_LINK3_1" localSheetId="8">#REF!</definedName>
    <definedName name="OLE_LINK3_1" localSheetId="31">#REF!</definedName>
    <definedName name="OLE_LINK3_1" localSheetId="15">#REF!</definedName>
    <definedName name="OLE_LINK3_1" localSheetId="40">#REF!</definedName>
    <definedName name="OLE_LINK3_1" localSheetId="17">#REF!</definedName>
    <definedName name="OLE_LINK3_1" localSheetId="14">#REF!</definedName>
    <definedName name="OLE_LINK3_1" localSheetId="12">#REF!</definedName>
    <definedName name="OLE_LINK3_1" localSheetId="41">#REF!</definedName>
    <definedName name="OLE_LINK3_1" localSheetId="33">#REF!</definedName>
    <definedName name="OLE_LINK3_1" localSheetId="26">#REF!</definedName>
    <definedName name="OLE_LINK3_1" localSheetId="9">#REF!</definedName>
    <definedName name="OLE_LINK3_1" localSheetId="0">#REF!</definedName>
    <definedName name="OLE_LINK3_1" localSheetId="4">#REF!</definedName>
    <definedName name="OLE_LINK3_1" localSheetId="20">#REF!</definedName>
    <definedName name="OLE_LINK3_1" localSheetId="30">#REF!</definedName>
    <definedName name="OLE_LINK3_1" localSheetId="25">#REF!</definedName>
    <definedName name="OLE_LINK3_1" localSheetId="32">#REF!</definedName>
    <definedName name="OLE_LINK3_1" localSheetId="28">#REF!</definedName>
    <definedName name="OLE_LINK3_1" localSheetId="37">#REF!</definedName>
    <definedName name="OLE_LINK3_1" localSheetId="39">#REF!</definedName>
    <definedName name="OLE_LINK3_1" localSheetId="38">#REF!</definedName>
    <definedName name="OLE_LINK3_1" localSheetId="36">#REF!</definedName>
    <definedName name="OLE_LINK3_1" localSheetId="10">#REF!</definedName>
    <definedName name="OLE_LINK3_1" localSheetId="23">#REF!</definedName>
    <definedName name="OLE_LINK3_1" localSheetId="34">#REF!</definedName>
    <definedName name="OLE_LINK3_1" localSheetId="35">#REF!</definedName>
    <definedName name="OLE_LINK3_1" localSheetId="42">#REF!</definedName>
    <definedName name="OLE_LINK3_1" localSheetId="21">#REF!</definedName>
    <definedName name="OLE_LINK3_1" localSheetId="29">#REF!</definedName>
    <definedName name="OLE_LINK3_1">#REF!</definedName>
    <definedName name="OLE_LINK4_1" localSheetId="22">#REF!</definedName>
    <definedName name="OLE_LINK4_1" localSheetId="24">#REF!</definedName>
    <definedName name="OLE_LINK4_1" localSheetId="27">#REF!</definedName>
    <definedName name="OLE_LINK4_1" localSheetId="8">#REF!</definedName>
    <definedName name="OLE_LINK4_1" localSheetId="31">#REF!</definedName>
    <definedName name="OLE_LINK4_1" localSheetId="15">#REF!</definedName>
    <definedName name="OLE_LINK4_1" localSheetId="40">#REF!</definedName>
    <definedName name="OLE_LINK4_1" localSheetId="17">#REF!</definedName>
    <definedName name="OLE_LINK4_1" localSheetId="14">#REF!</definedName>
    <definedName name="OLE_LINK4_1" localSheetId="12">#REF!</definedName>
    <definedName name="OLE_LINK4_1" localSheetId="41">#REF!</definedName>
    <definedName name="OLE_LINK4_1" localSheetId="33">#REF!</definedName>
    <definedName name="OLE_LINK4_1" localSheetId="26">#REF!</definedName>
    <definedName name="OLE_LINK4_1" localSheetId="9">#REF!</definedName>
    <definedName name="OLE_LINK4_1" localSheetId="0">#REF!</definedName>
    <definedName name="OLE_LINK4_1" localSheetId="4">#REF!</definedName>
    <definedName name="OLE_LINK4_1" localSheetId="20">#REF!</definedName>
    <definedName name="OLE_LINK4_1" localSheetId="30">#REF!</definedName>
    <definedName name="OLE_LINK4_1" localSheetId="25">#REF!</definedName>
    <definedName name="OLE_LINK4_1" localSheetId="32">#REF!</definedName>
    <definedName name="OLE_LINK4_1" localSheetId="28">#REF!</definedName>
    <definedName name="OLE_LINK4_1" localSheetId="37">#REF!</definedName>
    <definedName name="OLE_LINK4_1" localSheetId="39">#REF!</definedName>
    <definedName name="OLE_LINK4_1" localSheetId="38">#REF!</definedName>
    <definedName name="OLE_LINK4_1" localSheetId="36">#REF!</definedName>
    <definedName name="OLE_LINK4_1" localSheetId="10">#REF!</definedName>
    <definedName name="OLE_LINK4_1" localSheetId="23">#REF!</definedName>
    <definedName name="OLE_LINK4_1" localSheetId="34">#REF!</definedName>
    <definedName name="OLE_LINK4_1" localSheetId="35">#REF!</definedName>
    <definedName name="OLE_LINK4_1" localSheetId="42">#REF!</definedName>
    <definedName name="OLE_LINK4_1" localSheetId="21">#REF!</definedName>
    <definedName name="OLE_LINK4_1" localSheetId="29">#REF!</definedName>
    <definedName name="OLE_LINK4_1">#REF!</definedName>
    <definedName name="_xlnm.Print_Area" localSheetId="22">'ADM LOCAL DE OBRA'!$A$1:$K$31</definedName>
    <definedName name="_xlnm.Print_Area" localSheetId="24">ANDAIMES!$A$1:$K$51</definedName>
    <definedName name="_xlnm.Print_Area" localSheetId="18">BDI!$B$1:$H$93</definedName>
    <definedName name="_xlnm.Print_Area" localSheetId="19">'BDI DIFE.'!$B$1:$H$93</definedName>
    <definedName name="_xlnm.Print_Area" localSheetId="27">'BLOCOS DE FUNDAÇÃO'!$A$1:$K$211</definedName>
    <definedName name="_xlnm.Print_Area" localSheetId="8">Capa!$A$1:$G$50</definedName>
    <definedName name="_xlnm.Print_Area" localSheetId="31">'COBERTURA E PERGOLADO'!$A$1:$K$91</definedName>
    <definedName name="_xlnm.Print_Area" localSheetId="15">COMPOSIÇÃO!$A$1:$G$204</definedName>
    <definedName name="_xlnm.Print_Area" localSheetId="40">'COMUNICAÇÃO VISUAL'!$A$1:$K$151</definedName>
    <definedName name="_xlnm.Print_Area" localSheetId="17">COTAÇÃO!$A$1:$G$29</definedName>
    <definedName name="_xlnm.Print_Area" localSheetId="13">Cronograma!$B$3:$AC$91</definedName>
    <definedName name="_xlnm.Print_Area" localSheetId="14">CRONOGRAMA1!$A$1:$T$5</definedName>
    <definedName name="_xlnm.Print_Area" localSheetId="12">'CURVA ABC'!$A$1:$K$310</definedName>
    <definedName name="_xlnm.Print_Area" localSheetId="41">'DELEGACIA SECCIONAL DE POLICIA'!$A$1:$K$131</definedName>
    <definedName name="_xlnm.Print_Area" localSheetId="33">ESQUADRIAS!$A$1:$K$311</definedName>
    <definedName name="_xlnm.Print_Area" localSheetId="26">ESTACAS!$A$1:$K$131</definedName>
    <definedName name="_xlnm.Print_Area" localSheetId="9">'FOLHA RESUMO'!$A$1:$F$52</definedName>
    <definedName name="_xlnm.Print_Area" localSheetId="20">'Leis Sociais'!$B$2:$E$106</definedName>
    <definedName name="_xlnm.Print_Area" localSheetId="30">'LIMPEZA DO TERRENO'!$A$1:$K$51</definedName>
    <definedName name="_xlnm.Print_Area" localSheetId="25">LOCAÇÃO!$A$1:$K$51</definedName>
    <definedName name="_xlnm.Print_Area" localSheetId="32">'PAREDES E PAINEIS'!$A$1:$K$111</definedName>
    <definedName name="_xlnm.Print_Area" localSheetId="28">PILARES!$A$1:$K$131</definedName>
    <definedName name="_xlnm.Print_Area" localSheetId="37">'PINTURA-PAREDES'!$A$1:$K$91</definedName>
    <definedName name="_xlnm.Print_Area" localSheetId="39">'PINTURA-PISO'!$A$1:$K$71</definedName>
    <definedName name="_xlnm.Print_Area" localSheetId="38">'PINTURA-TETO'!$A$1:$K$51</definedName>
    <definedName name="_xlnm.Print_Area" localSheetId="36">'PISOS INTERNOS'!$A$1:$K$311</definedName>
    <definedName name="_xlnm.Print_Area" localSheetId="11">'Plan Orçamentária'!$O$1:$Y$538</definedName>
    <definedName name="_xlnm.Print_Area" localSheetId="10">'PLAN RESUMO'!$A$1:$F$48</definedName>
    <definedName name="_xlnm.Print_Area" localSheetId="23">'RETIRADAS E DEMOLIÇÕES'!$A$1:$K$111</definedName>
    <definedName name="_xlnm.Print_Area" localSheetId="34">'REVESTIMENTOS DE PAREDES'!$A$1:$K$131</definedName>
    <definedName name="_xlnm.Print_Area" localSheetId="35">'REVESTIMENTOS DE TETO'!$A$1:$K$111</definedName>
    <definedName name="_xlnm.Print_Area" localSheetId="42">'SERVIÇOS COMPLEMENTARES'!$A$1:$K$111</definedName>
    <definedName name="_xlnm.Print_Area" localSheetId="21">'SERVIÇOS INICIAIS'!$A$1:$K$146</definedName>
    <definedName name="_xlnm.Print_Area" localSheetId="7">'SINAPI 04-26-SD'!#REF!</definedName>
    <definedName name="_xlnm.Print_Area" localSheetId="29">VIGAS!$A$1:$K$131</definedName>
    <definedName name="_xlnm.Print_Titles" localSheetId="22">'ADM LOCAL DE OBRA'!$1:$11</definedName>
    <definedName name="_xlnm.Print_Titles" localSheetId="24">ANDAIMES!$1:$11</definedName>
    <definedName name="_xlnm.Print_Titles" localSheetId="27">'BLOCOS DE FUNDAÇÃO'!$1:$11</definedName>
    <definedName name="_xlnm.Print_Titles" localSheetId="31">'COBERTURA E PERGOLADO'!$1:$11</definedName>
    <definedName name="_xlnm.Print_Titles" localSheetId="40">'COMUNICAÇÃO VISUAL'!$1:$11</definedName>
    <definedName name="_xlnm.Print_Titles" localSheetId="17">COTAÇÃO!$1:$2</definedName>
    <definedName name="_xlnm.Print_Titles" localSheetId="14">CRONOGRAMA1!$1:$5</definedName>
    <definedName name="_xlnm.Print_Titles" localSheetId="12">'CURVA ABC'!$1:$8</definedName>
    <definedName name="_xlnm.Print_Titles" localSheetId="41">'DELEGACIA SECCIONAL DE POLICIA'!$1:$11</definedName>
    <definedName name="_xlnm.Print_Titles" localSheetId="33">ESQUADRIAS!$1:$11</definedName>
    <definedName name="_xlnm.Print_Titles" localSheetId="26">ESTACAS!$1:$11</definedName>
    <definedName name="_xlnm.Print_Titles" localSheetId="30">'LIMPEZA DO TERRENO'!$1:$11</definedName>
    <definedName name="_xlnm.Print_Titles" localSheetId="25">LOCAÇÃO!$1:$11</definedName>
    <definedName name="_xlnm.Print_Titles" localSheetId="32">'PAREDES E PAINEIS'!$1:$11</definedName>
    <definedName name="_xlnm.Print_Titles" localSheetId="28">PILARES!$1:$11</definedName>
    <definedName name="_xlnm.Print_Titles" localSheetId="37">'PINTURA-PAREDES'!$1:$11</definedName>
    <definedName name="_xlnm.Print_Titles" localSheetId="39">'PINTURA-PISO'!$1:$11</definedName>
    <definedName name="_xlnm.Print_Titles" localSheetId="38">'PINTURA-TETO'!$1:$11</definedName>
    <definedName name="_xlnm.Print_Titles" localSheetId="36">'PISOS INTERNOS'!$1:$11</definedName>
    <definedName name="_xlnm.Print_Titles" localSheetId="11">'Plan Orçamentária'!$1:$9</definedName>
    <definedName name="_xlnm.Print_Titles" localSheetId="23">'RETIRADAS E DEMOLIÇÕES'!$1:$11</definedName>
    <definedName name="_xlnm.Print_Titles" localSheetId="34">'REVESTIMENTOS DE PAREDES'!$1:$11</definedName>
    <definedName name="_xlnm.Print_Titles" localSheetId="35">'REVESTIMENTOS DE TETO'!$1:$11</definedName>
    <definedName name="_xlnm.Print_Titles" localSheetId="42">'SERVIÇOS COMPLEMENTARES'!$1:$11</definedName>
    <definedName name="_xlnm.Print_Titles" localSheetId="21">'SERVIÇOS INICIAIS'!$1:$11</definedName>
    <definedName name="_xlnm.Print_Titles" localSheetId="7">'SINAPI 04-26-SD'!#REF!</definedName>
    <definedName name="_xlnm.Print_Titles" localSheetId="29">VIGAS!$1:$11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5" i="245" l="1"/>
  <c r="F123" i="245"/>
  <c r="G123" i="245" s="1"/>
  <c r="G124" i="245" s="1"/>
  <c r="D123" i="245"/>
  <c r="C123" i="245"/>
  <c r="F120" i="245"/>
  <c r="G120" i="245" s="1"/>
  <c r="G121" i="245" s="1"/>
  <c r="I117" i="245" s="1"/>
  <c r="D120" i="245"/>
  <c r="C120" i="245"/>
  <c r="M117" i="245"/>
  <c r="F110" i="245"/>
  <c r="G110" i="245" s="1"/>
  <c r="D110" i="245"/>
  <c r="C110" i="245"/>
  <c r="F109" i="245"/>
  <c r="G109" i="245" s="1"/>
  <c r="D109" i="245"/>
  <c r="C109" i="245"/>
  <c r="F106" i="245"/>
  <c r="G106" i="245" s="1"/>
  <c r="D106" i="245"/>
  <c r="C106" i="245"/>
  <c r="F105" i="245"/>
  <c r="G105" i="245" s="1"/>
  <c r="D105" i="245"/>
  <c r="C105" i="245"/>
  <c r="M102" i="245"/>
  <c r="E97" i="245"/>
  <c r="F95" i="245"/>
  <c r="G95" i="245" s="1"/>
  <c r="D95" i="245"/>
  <c r="C95" i="245"/>
  <c r="F94" i="245"/>
  <c r="G94" i="245" s="1"/>
  <c r="D94" i="245"/>
  <c r="C94" i="245"/>
  <c r="F91" i="245"/>
  <c r="G91" i="245" s="1"/>
  <c r="D91" i="245"/>
  <c r="C91" i="245"/>
  <c r="F90" i="245"/>
  <c r="G90" i="245" s="1"/>
  <c r="D90" i="245"/>
  <c r="C90" i="245"/>
  <c r="M87" i="245"/>
  <c r="F74" i="245"/>
  <c r="G74" i="245" s="1"/>
  <c r="D74" i="245"/>
  <c r="C74" i="245"/>
  <c r="F73" i="245"/>
  <c r="G73" i="245" s="1"/>
  <c r="D73" i="245"/>
  <c r="C73" i="245"/>
  <c r="F80" i="245"/>
  <c r="G80" i="245" s="1"/>
  <c r="D80" i="245"/>
  <c r="C80" i="245"/>
  <c r="F79" i="245"/>
  <c r="G79" i="245" s="1"/>
  <c r="D79" i="245"/>
  <c r="C79" i="245"/>
  <c r="F76" i="245"/>
  <c r="G76" i="245" s="1"/>
  <c r="D76" i="245"/>
  <c r="C76" i="245"/>
  <c r="F75" i="245"/>
  <c r="G75" i="245" s="1"/>
  <c r="D75" i="245"/>
  <c r="C75" i="245"/>
  <c r="M70" i="245"/>
  <c r="G125" i="245" l="1"/>
  <c r="G126" i="245" s="1"/>
  <c r="G111" i="245"/>
  <c r="G107" i="245"/>
  <c r="I102" i="245" s="1"/>
  <c r="G112" i="245"/>
  <c r="G113" i="245" s="1"/>
  <c r="G92" i="245"/>
  <c r="I87" i="245" s="1"/>
  <c r="G96" i="245"/>
  <c r="G97" i="245" s="1"/>
  <c r="G98" i="245" s="1"/>
  <c r="G81" i="245"/>
  <c r="G82" i="245" s="1"/>
  <c r="G83" i="245" s="1"/>
  <c r="G77" i="245"/>
  <c r="I70" i="245" s="1"/>
  <c r="G127" i="245" l="1"/>
  <c r="J117" i="245" s="1"/>
  <c r="H117" i="245"/>
  <c r="G114" i="245"/>
  <c r="J102" i="245" s="1"/>
  <c r="H102" i="245"/>
  <c r="G99" i="245"/>
  <c r="J87" i="245" s="1"/>
  <c r="H87" i="245"/>
  <c r="G84" i="245"/>
  <c r="J70" i="245" s="1"/>
  <c r="H70" i="245"/>
  <c r="J11" i="506" l="1"/>
  <c r="K11" i="506" s="1"/>
  <c r="I181" i="506"/>
  <c r="I54" i="506"/>
  <c r="I154" i="506"/>
  <c r="I79" i="506"/>
  <c r="I10" i="506"/>
  <c r="J10" i="506" s="1"/>
  <c r="K10" i="506" s="1"/>
  <c r="I200" i="506"/>
  <c r="I247" i="506"/>
  <c r="I164" i="506"/>
  <c r="I270" i="506"/>
  <c r="I63" i="506"/>
  <c r="I69" i="506"/>
  <c r="I199" i="506"/>
  <c r="I275" i="506"/>
  <c r="I290" i="506"/>
  <c r="I159" i="506"/>
  <c r="I265" i="506"/>
  <c r="I177" i="506"/>
  <c r="I24" i="506"/>
  <c r="I142" i="506"/>
  <c r="I111" i="506"/>
  <c r="I13" i="506"/>
  <c r="I15" i="506"/>
  <c r="I262" i="506"/>
  <c r="I280" i="506"/>
  <c r="I176" i="506"/>
  <c r="I72" i="506"/>
  <c r="I149" i="506"/>
  <c r="I123" i="506"/>
  <c r="I153" i="506"/>
  <c r="I110" i="506"/>
  <c r="I192" i="506"/>
  <c r="I46" i="506"/>
  <c r="I102" i="506"/>
  <c r="I99" i="506"/>
  <c r="I179" i="506"/>
  <c r="I235" i="506"/>
  <c r="I35" i="506"/>
  <c r="I50" i="506"/>
  <c r="I31" i="506"/>
  <c r="I207" i="506"/>
  <c r="I228" i="506"/>
  <c r="I248" i="506"/>
  <c r="I299" i="506"/>
  <c r="I170" i="506"/>
  <c r="I303" i="506"/>
  <c r="I210" i="506"/>
  <c r="I42" i="506"/>
  <c r="I279" i="506"/>
  <c r="I204" i="506"/>
  <c r="I136" i="506"/>
  <c r="I74" i="506"/>
  <c r="I80" i="506"/>
  <c r="I266" i="506"/>
  <c r="I185" i="506"/>
  <c r="I212" i="506"/>
  <c r="I288" i="506"/>
  <c r="I259" i="506"/>
  <c r="I196" i="506"/>
  <c r="I250" i="506"/>
  <c r="I255" i="506"/>
  <c r="I272" i="506"/>
  <c r="I253" i="506"/>
  <c r="I215" i="506"/>
  <c r="I175" i="506"/>
  <c r="I298" i="506"/>
  <c r="I160" i="506"/>
  <c r="I95" i="506"/>
  <c r="I171" i="506"/>
  <c r="I135" i="506"/>
  <c r="I68" i="506"/>
  <c r="I168" i="506"/>
  <c r="I65" i="506"/>
  <c r="I206" i="506"/>
  <c r="I287" i="506"/>
  <c r="I217" i="506"/>
  <c r="I133" i="506"/>
  <c r="I116" i="506"/>
  <c r="I105" i="506"/>
  <c r="I233" i="506"/>
  <c r="I240" i="506"/>
  <c r="I292" i="506"/>
  <c r="I264" i="506"/>
  <c r="I271" i="506"/>
  <c r="I230" i="506"/>
  <c r="I234" i="506"/>
  <c r="I161" i="506"/>
  <c r="I174" i="506"/>
  <c r="I73" i="506"/>
  <c r="I75" i="506"/>
  <c r="I286" i="506"/>
  <c r="I267" i="506"/>
  <c r="I252" i="506"/>
  <c r="I137" i="506"/>
  <c r="I294" i="506"/>
  <c r="I237" i="506"/>
  <c r="I261" i="506"/>
  <c r="I190" i="506"/>
  <c r="I209" i="506"/>
  <c r="I20" i="506"/>
  <c r="I195" i="506"/>
  <c r="I282" i="506"/>
  <c r="I284" i="506"/>
  <c r="I156" i="506"/>
  <c r="I193" i="506"/>
  <c r="I101" i="506"/>
  <c r="I32" i="506"/>
  <c r="I188" i="506"/>
  <c r="I169" i="506"/>
  <c r="I227" i="506"/>
  <c r="I155" i="506"/>
  <c r="I229" i="506"/>
  <c r="I198" i="506"/>
  <c r="I201" i="506"/>
  <c r="I89" i="506"/>
  <c r="I148" i="506"/>
  <c r="I167" i="506"/>
  <c r="I219" i="506"/>
  <c r="I143" i="506"/>
  <c r="I197" i="506"/>
  <c r="I241" i="506"/>
  <c r="I151" i="506"/>
  <c r="I300" i="506"/>
  <c r="I146" i="506"/>
  <c r="I263" i="506"/>
  <c r="I178" i="506"/>
  <c r="I187" i="506"/>
  <c r="I211" i="506"/>
  <c r="I113" i="506"/>
  <c r="I244" i="506"/>
  <c r="I61" i="506"/>
  <c r="I108" i="506"/>
  <c r="I37" i="506"/>
  <c r="I104" i="506"/>
  <c r="I53" i="506"/>
  <c r="I238" i="506"/>
  <c r="I246" i="506"/>
  <c r="I189" i="506"/>
  <c r="I56" i="506"/>
  <c r="I62" i="506"/>
  <c r="I141" i="506"/>
  <c r="I183" i="506"/>
  <c r="I121" i="506"/>
  <c r="I297" i="506"/>
  <c r="I291" i="506"/>
  <c r="I257" i="506"/>
  <c r="I140" i="506"/>
  <c r="I150" i="506"/>
  <c r="I289" i="506"/>
  <c r="I274" i="506"/>
  <c r="I296" i="506"/>
  <c r="I242" i="506"/>
  <c r="I245" i="506"/>
  <c r="I172" i="506"/>
  <c r="I273" i="506"/>
  <c r="I278" i="506"/>
  <c r="I125" i="506"/>
  <c r="I251" i="506"/>
  <c r="I231" i="506"/>
  <c r="I239" i="506"/>
  <c r="I162" i="506"/>
  <c r="I118" i="506"/>
  <c r="I223" i="506"/>
  <c r="I269" i="506"/>
  <c r="I254" i="506"/>
  <c r="I276" i="506"/>
  <c r="I78" i="506"/>
  <c r="I281" i="506"/>
  <c r="I256" i="506"/>
  <c r="I258" i="506"/>
  <c r="I163" i="506"/>
  <c r="I109" i="506"/>
  <c r="I216" i="506"/>
  <c r="I184" i="506"/>
  <c r="I173" i="506"/>
  <c r="I260" i="506"/>
  <c r="I182" i="506"/>
  <c r="I236" i="506"/>
  <c r="I138" i="506"/>
  <c r="I232" i="506"/>
  <c r="I119" i="506"/>
  <c r="I268" i="506"/>
  <c r="I66" i="506"/>
  <c r="I139" i="506"/>
  <c r="I214" i="506"/>
  <c r="I213" i="506"/>
  <c r="I205" i="506"/>
  <c r="I243" i="506"/>
  <c r="I93" i="506"/>
  <c r="I129" i="506"/>
  <c r="I220" i="506"/>
  <c r="I293" i="506"/>
  <c r="I208" i="506"/>
  <c r="I131" i="506"/>
  <c r="I70" i="506"/>
  <c r="I84" i="506"/>
  <c r="I117" i="506"/>
  <c r="I107" i="506"/>
  <c r="I285" i="506"/>
  <c r="I283" i="506"/>
  <c r="I166" i="506"/>
  <c r="I277" i="506"/>
  <c r="I191" i="506"/>
  <c r="I203" i="506"/>
  <c r="I85" i="506"/>
  <c r="I103" i="506"/>
  <c r="I249" i="506"/>
  <c r="I57" i="506"/>
  <c r="I52" i="506"/>
  <c r="I112" i="506"/>
  <c r="I11" i="506"/>
  <c r="I224" i="506"/>
  <c r="I114" i="506"/>
  <c r="I115" i="506"/>
  <c r="I180" i="506"/>
  <c r="I39" i="506"/>
  <c r="I29" i="506"/>
  <c r="I97" i="506"/>
  <c r="I90" i="506"/>
  <c r="I218" i="506"/>
  <c r="I92" i="506"/>
  <c r="I18" i="506"/>
  <c r="I202" i="506"/>
  <c r="I126" i="506"/>
  <c r="I58" i="506"/>
  <c r="I38" i="506"/>
  <c r="I23" i="506"/>
  <c r="I60" i="506"/>
  <c r="I132" i="506"/>
  <c r="I152" i="506"/>
  <c r="I98" i="506"/>
  <c r="I147" i="506"/>
  <c r="I124" i="506"/>
  <c r="I22" i="506"/>
  <c r="I59" i="506"/>
  <c r="I71" i="506"/>
  <c r="I14" i="506"/>
  <c r="I157" i="506"/>
  <c r="I86" i="506"/>
  <c r="I40" i="506"/>
  <c r="I45" i="506"/>
  <c r="I27" i="506"/>
  <c r="I106" i="506"/>
  <c r="I12" i="506"/>
  <c r="I25" i="506"/>
  <c r="I67" i="506"/>
  <c r="I44" i="506"/>
  <c r="I19" i="506"/>
  <c r="I51" i="506"/>
  <c r="I94" i="506"/>
  <c r="I47" i="506"/>
  <c r="I49" i="506"/>
  <c r="I76" i="506"/>
  <c r="I21" i="506"/>
  <c r="I226" i="506"/>
  <c r="I194" i="506"/>
  <c r="I43" i="506"/>
  <c r="I28" i="506"/>
  <c r="I122" i="506"/>
  <c r="I91" i="506"/>
  <c r="I16" i="506"/>
  <c r="I301" i="506"/>
  <c r="I302" i="506"/>
  <c r="I225" i="506"/>
  <c r="I158" i="506"/>
  <c r="I128" i="506"/>
  <c r="I83" i="506"/>
  <c r="I222" i="506"/>
  <c r="I130" i="506"/>
  <c r="I41" i="506"/>
  <c r="I48" i="506"/>
  <c r="I145" i="506"/>
  <c r="I165" i="506"/>
  <c r="I87" i="506"/>
  <c r="I88" i="506"/>
  <c r="I26" i="506"/>
  <c r="I33" i="506"/>
  <c r="I134" i="506"/>
  <c r="I96" i="506"/>
  <c r="I77" i="506"/>
  <c r="I127" i="506"/>
  <c r="I81" i="506"/>
  <c r="I34" i="506"/>
  <c r="I30" i="506"/>
  <c r="I295" i="506"/>
  <c r="I120" i="506"/>
  <c r="I221" i="506"/>
  <c r="I144" i="506"/>
  <c r="I17" i="506"/>
  <c r="I100" i="506"/>
  <c r="I36" i="506"/>
  <c r="I82" i="506"/>
  <c r="I55" i="506"/>
  <c r="I64" i="506"/>
  <c r="I186" i="506"/>
  <c r="F181" i="506"/>
  <c r="F54" i="506"/>
  <c r="F154" i="506"/>
  <c r="F79" i="506"/>
  <c r="F10" i="506"/>
  <c r="F200" i="506"/>
  <c r="F247" i="506"/>
  <c r="F164" i="506"/>
  <c r="F145" i="506"/>
  <c r="F270" i="506"/>
  <c r="F13" i="506"/>
  <c r="F15" i="506"/>
  <c r="F38" i="506"/>
  <c r="F23" i="506"/>
  <c r="F40" i="506"/>
  <c r="F12" i="506"/>
  <c r="F36" i="506"/>
  <c r="F144" i="506"/>
  <c r="F120" i="506"/>
  <c r="F63" i="506"/>
  <c r="F69" i="506"/>
  <c r="F199" i="506"/>
  <c r="F275" i="506"/>
  <c r="F290" i="506"/>
  <c r="F159" i="506"/>
  <c r="F212" i="506"/>
  <c r="F265" i="506"/>
  <c r="F177" i="506"/>
  <c r="F24" i="506"/>
  <c r="F142" i="506"/>
  <c r="F111" i="506"/>
  <c r="F262" i="506"/>
  <c r="F280" i="506"/>
  <c r="F176" i="506"/>
  <c r="F72" i="506"/>
  <c r="F149" i="506"/>
  <c r="F123" i="506"/>
  <c r="F153" i="506"/>
  <c r="F110" i="506"/>
  <c r="F192" i="506"/>
  <c r="F46" i="506"/>
  <c r="F102" i="506"/>
  <c r="F99" i="506"/>
  <c r="F179" i="506"/>
  <c r="F235" i="506"/>
  <c r="F35" i="506"/>
  <c r="F50" i="506"/>
  <c r="F31" i="506"/>
  <c r="F207" i="506"/>
  <c r="F228" i="506"/>
  <c r="F248" i="506"/>
  <c r="F299" i="506"/>
  <c r="F170" i="506"/>
  <c r="F303" i="506"/>
  <c r="F210" i="506"/>
  <c r="F42" i="506"/>
  <c r="F279" i="506"/>
  <c r="F204" i="506"/>
  <c r="F136" i="506"/>
  <c r="F74" i="506"/>
  <c r="F80" i="506"/>
  <c r="F266" i="506"/>
  <c r="F185" i="506"/>
  <c r="F288" i="506"/>
  <c r="F259" i="506"/>
  <c r="F196" i="506"/>
  <c r="F250" i="506"/>
  <c r="F255" i="506"/>
  <c r="F272" i="506"/>
  <c r="F253" i="506"/>
  <c r="F215" i="506"/>
  <c r="F175" i="506"/>
  <c r="F298" i="506"/>
  <c r="F143" i="506"/>
  <c r="F160" i="506"/>
  <c r="F116" i="506"/>
  <c r="F95" i="506"/>
  <c r="F246" i="506"/>
  <c r="F189" i="506"/>
  <c r="F171" i="506"/>
  <c r="F56" i="506"/>
  <c r="F267" i="506"/>
  <c r="F135" i="506"/>
  <c r="F68" i="506"/>
  <c r="F168" i="506"/>
  <c r="F65" i="506"/>
  <c r="F197" i="506"/>
  <c r="F146" i="506"/>
  <c r="F206" i="506"/>
  <c r="F287" i="506"/>
  <c r="F217" i="506"/>
  <c r="F133" i="506"/>
  <c r="F105" i="506"/>
  <c r="F233" i="506"/>
  <c r="F240" i="506"/>
  <c r="F292" i="506"/>
  <c r="F264" i="506"/>
  <c r="F271" i="506"/>
  <c r="F230" i="506"/>
  <c r="F234" i="506"/>
  <c r="F161" i="506"/>
  <c r="F174" i="506"/>
  <c r="F73" i="506"/>
  <c r="F75" i="506"/>
  <c r="F286" i="506"/>
  <c r="F252" i="506"/>
  <c r="F137" i="506"/>
  <c r="F294" i="506"/>
  <c r="F237" i="506"/>
  <c r="F261" i="506"/>
  <c r="F190" i="506"/>
  <c r="F209" i="506"/>
  <c r="F20" i="506"/>
  <c r="F195" i="506"/>
  <c r="F282" i="506"/>
  <c r="F284" i="506"/>
  <c r="F156" i="506"/>
  <c r="F193" i="506"/>
  <c r="F101" i="506"/>
  <c r="F32" i="506"/>
  <c r="F188" i="506"/>
  <c r="F169" i="506"/>
  <c r="F227" i="506"/>
  <c r="F155" i="506"/>
  <c r="F229" i="506"/>
  <c r="F198" i="506"/>
  <c r="F201" i="506"/>
  <c r="F89" i="506"/>
  <c r="F148" i="506"/>
  <c r="F167" i="506"/>
  <c r="F219" i="506"/>
  <c r="F241" i="506"/>
  <c r="F151" i="506"/>
  <c r="F300" i="506"/>
  <c r="F263" i="506"/>
  <c r="F178" i="506"/>
  <c r="F187" i="506"/>
  <c r="F211" i="506"/>
  <c r="F113" i="506"/>
  <c r="F244" i="506"/>
  <c r="F61" i="506"/>
  <c r="F108" i="506"/>
  <c r="F37" i="506"/>
  <c r="F104" i="506"/>
  <c r="F53" i="506"/>
  <c r="F238" i="506"/>
  <c r="F62" i="506"/>
  <c r="F141" i="506"/>
  <c r="F183" i="506"/>
  <c r="F121" i="506"/>
  <c r="F297" i="506"/>
  <c r="F291" i="506"/>
  <c r="F257" i="506"/>
  <c r="F140" i="506"/>
  <c r="F150" i="506"/>
  <c r="F289" i="506"/>
  <c r="F274" i="506"/>
  <c r="F296" i="506"/>
  <c r="F242" i="506"/>
  <c r="F245" i="506"/>
  <c r="F172" i="506"/>
  <c r="F273" i="506"/>
  <c r="F278" i="506"/>
  <c r="F125" i="506"/>
  <c r="F251" i="506"/>
  <c r="F231" i="506"/>
  <c r="F239" i="506"/>
  <c r="F162" i="506"/>
  <c r="F118" i="506"/>
  <c r="F223" i="506"/>
  <c r="F269" i="506"/>
  <c r="F254" i="506"/>
  <c r="F276" i="506"/>
  <c r="F78" i="506"/>
  <c r="F281" i="506"/>
  <c r="F256" i="506"/>
  <c r="F258" i="506"/>
  <c r="F163" i="506"/>
  <c r="F109" i="506"/>
  <c r="F216" i="506"/>
  <c r="F184" i="506"/>
  <c r="F152" i="506"/>
  <c r="F173" i="506"/>
  <c r="F260" i="506"/>
  <c r="F182" i="506"/>
  <c r="F107" i="506"/>
  <c r="F236" i="506"/>
  <c r="F165" i="506"/>
  <c r="F138" i="506"/>
  <c r="F232" i="506"/>
  <c r="F119" i="506"/>
  <c r="F268" i="506"/>
  <c r="F66" i="506"/>
  <c r="F139" i="506"/>
  <c r="F214" i="506"/>
  <c r="F213" i="506"/>
  <c r="F205" i="506"/>
  <c r="F129" i="506"/>
  <c r="F243" i="506"/>
  <c r="F93" i="506"/>
  <c r="F220" i="506"/>
  <c r="F293" i="506"/>
  <c r="F208" i="506"/>
  <c r="F131" i="506"/>
  <c r="F70" i="506"/>
  <c r="F84" i="506"/>
  <c r="F117" i="506"/>
  <c r="F285" i="506"/>
  <c r="F283" i="506"/>
  <c r="F166" i="506"/>
  <c r="F277" i="506"/>
  <c r="F191" i="506"/>
  <c r="F203" i="506"/>
  <c r="F85" i="506"/>
  <c r="F103" i="506"/>
  <c r="F249" i="506"/>
  <c r="F57" i="506"/>
  <c r="F52" i="506"/>
  <c r="F112" i="506"/>
  <c r="F11" i="506"/>
  <c r="F224" i="506"/>
  <c r="F114" i="506"/>
  <c r="F115" i="506"/>
  <c r="F180" i="506"/>
  <c r="F39" i="506"/>
  <c r="F29" i="506"/>
  <c r="F97" i="506"/>
  <c r="F90" i="506"/>
  <c r="F218" i="506"/>
  <c r="F92" i="506"/>
  <c r="F18" i="506"/>
  <c r="F60" i="506"/>
  <c r="F202" i="506"/>
  <c r="F126" i="506"/>
  <c r="F58" i="506"/>
  <c r="F132" i="506"/>
  <c r="F98" i="506"/>
  <c r="F147" i="506"/>
  <c r="F124" i="506"/>
  <c r="F22" i="506"/>
  <c r="F59" i="506"/>
  <c r="F71" i="506"/>
  <c r="F14" i="506"/>
  <c r="F157" i="506"/>
  <c r="F86" i="506"/>
  <c r="F45" i="506"/>
  <c r="F27" i="506"/>
  <c r="F106" i="506"/>
  <c r="F25" i="506"/>
  <c r="F67" i="506"/>
  <c r="F44" i="506"/>
  <c r="F19" i="506"/>
  <c r="F51" i="506"/>
  <c r="F94" i="506"/>
  <c r="F47" i="506"/>
  <c r="F49" i="506"/>
  <c r="F76" i="506"/>
  <c r="F21" i="506"/>
  <c r="F226" i="506"/>
  <c r="F194" i="506"/>
  <c r="F122" i="506"/>
  <c r="F87" i="506"/>
  <c r="F41" i="506"/>
  <c r="F26" i="506"/>
  <c r="F16" i="506"/>
  <c r="F91" i="506"/>
  <c r="F43" i="506"/>
  <c r="F28" i="506"/>
  <c r="F88" i="506"/>
  <c r="F127" i="506"/>
  <c r="F222" i="506"/>
  <c r="F130" i="506"/>
  <c r="F48" i="506"/>
  <c r="F301" i="506"/>
  <c r="F302" i="506"/>
  <c r="F225" i="506"/>
  <c r="F158" i="506"/>
  <c r="F128" i="506"/>
  <c r="F83" i="506"/>
  <c r="F33" i="506"/>
  <c r="F134" i="506"/>
  <c r="F96" i="506"/>
  <c r="F77" i="506"/>
  <c r="F81" i="506"/>
  <c r="F34" i="506"/>
  <c r="F30" i="506"/>
  <c r="F295" i="506"/>
  <c r="F221" i="506"/>
  <c r="F17" i="506"/>
  <c r="F100" i="506"/>
  <c r="F82" i="506"/>
  <c r="F55" i="506"/>
  <c r="F64" i="506"/>
  <c r="F186" i="506"/>
  <c r="O138" i="672"/>
  <c r="O137" i="672"/>
  <c r="F139" i="672"/>
  <c r="E148" i="672" s="1"/>
  <c r="J151" i="672" s="1"/>
  <c r="T80" i="57"/>
  <c r="T82" i="57"/>
  <c r="T81" i="57"/>
  <c r="T79" i="57"/>
  <c r="W80" i="57"/>
  <c r="U80" i="57"/>
  <c r="X80" i="57" s="1"/>
  <c r="S80" i="57"/>
  <c r="R80" i="57"/>
  <c r="C80" i="57"/>
  <c r="K80" i="57" s="1"/>
  <c r="W79" i="57"/>
  <c r="U79" i="57"/>
  <c r="S79" i="57"/>
  <c r="R79" i="57"/>
  <c r="C79" i="57"/>
  <c r="K79" i="57" s="1"/>
  <c r="W81" i="57"/>
  <c r="U81" i="57"/>
  <c r="X81" i="57" s="1"/>
  <c r="Y81" i="57" s="1"/>
  <c r="S81" i="57"/>
  <c r="R81" i="57"/>
  <c r="C81" i="57"/>
  <c r="K81" i="57" s="1"/>
  <c r="W82" i="57"/>
  <c r="U82" i="57"/>
  <c r="X82" i="57" s="1"/>
  <c r="S82" i="57"/>
  <c r="R82" i="57"/>
  <c r="C82" i="57"/>
  <c r="K82" i="57" s="1"/>
  <c r="E149" i="681"/>
  <c r="M140" i="681"/>
  <c r="H140" i="681"/>
  <c r="E134" i="681"/>
  <c r="F127" i="681"/>
  <c r="G127" i="681" s="1"/>
  <c r="D127" i="681"/>
  <c r="C127" i="681"/>
  <c r="G126" i="681"/>
  <c r="G120" i="681"/>
  <c r="G119" i="681"/>
  <c r="F117" i="681"/>
  <c r="G117" i="681" s="1"/>
  <c r="D117" i="681"/>
  <c r="C117" i="681"/>
  <c r="F116" i="681"/>
  <c r="G116" i="681" s="1"/>
  <c r="D116" i="681"/>
  <c r="C116" i="681"/>
  <c r="M113" i="681"/>
  <c r="H113" i="681"/>
  <c r="E107" i="681"/>
  <c r="F100" i="681"/>
  <c r="G100" i="681" s="1"/>
  <c r="D100" i="681"/>
  <c r="C100" i="681"/>
  <c r="G99" i="681"/>
  <c r="E98" i="681"/>
  <c r="G89" i="681"/>
  <c r="G88" i="681"/>
  <c r="F86" i="681"/>
  <c r="G86" i="681" s="1"/>
  <c r="D86" i="681"/>
  <c r="C86" i="681"/>
  <c r="F85" i="681"/>
  <c r="G85" i="681" s="1"/>
  <c r="D85" i="681"/>
  <c r="C85" i="681"/>
  <c r="M82" i="681"/>
  <c r="H82" i="681"/>
  <c r="E76" i="681"/>
  <c r="F74" i="681"/>
  <c r="G74" i="681" s="1"/>
  <c r="D74" i="681"/>
  <c r="C74" i="681"/>
  <c r="F72" i="681"/>
  <c r="G72" i="681" s="1"/>
  <c r="D72" i="681"/>
  <c r="C72" i="681"/>
  <c r="G70" i="681"/>
  <c r="G69" i="681"/>
  <c r="M66" i="681"/>
  <c r="H66" i="681"/>
  <c r="E60" i="681"/>
  <c r="M52" i="681"/>
  <c r="H52" i="681"/>
  <c r="E46" i="681"/>
  <c r="M38" i="681"/>
  <c r="H38" i="681"/>
  <c r="E32" i="681"/>
  <c r="G25" i="681"/>
  <c r="M17" i="681"/>
  <c r="H17" i="681"/>
  <c r="E11" i="681"/>
  <c r="M5" i="681"/>
  <c r="H5" i="681"/>
  <c r="W425" i="57"/>
  <c r="U425" i="57"/>
  <c r="X425" i="57" s="1"/>
  <c r="Y425" i="57" s="1"/>
  <c r="S425" i="57"/>
  <c r="R425" i="57"/>
  <c r="C425" i="57"/>
  <c r="K425" i="57" s="1"/>
  <c r="T415" i="57"/>
  <c r="W423" i="57"/>
  <c r="U423" i="57"/>
  <c r="X423" i="57" s="1"/>
  <c r="Y423" i="57" s="1"/>
  <c r="S423" i="57"/>
  <c r="R423" i="57"/>
  <c r="C423" i="57"/>
  <c r="K423" i="57" s="1"/>
  <c r="W422" i="57"/>
  <c r="U422" i="57"/>
  <c r="S422" i="57"/>
  <c r="R422" i="57"/>
  <c r="C422" i="57"/>
  <c r="K422" i="57" s="1"/>
  <c r="W420" i="57"/>
  <c r="U420" i="57"/>
  <c r="X420" i="57" s="1"/>
  <c r="Y420" i="57" s="1"/>
  <c r="S420" i="57"/>
  <c r="R420" i="57"/>
  <c r="C420" i="57"/>
  <c r="T416" i="57"/>
  <c r="T414" i="57"/>
  <c r="W414" i="57"/>
  <c r="U414" i="57"/>
  <c r="V414" i="57" s="1"/>
  <c r="S414" i="57"/>
  <c r="R414" i="57"/>
  <c r="C414" i="57"/>
  <c r="T413" i="57"/>
  <c r="W409" i="57"/>
  <c r="U409" i="57"/>
  <c r="X409" i="57" s="1"/>
  <c r="Y409" i="57" s="1"/>
  <c r="S409" i="57"/>
  <c r="R409" i="57"/>
  <c r="C409" i="57"/>
  <c r="T404" i="57"/>
  <c r="W402" i="57"/>
  <c r="U402" i="57"/>
  <c r="V402" i="57" s="1"/>
  <c r="S402" i="57"/>
  <c r="R402" i="57"/>
  <c r="C402" i="57"/>
  <c r="T399" i="57"/>
  <c r="W398" i="57"/>
  <c r="U398" i="57"/>
  <c r="X398" i="57" s="1"/>
  <c r="Y398" i="57" s="1"/>
  <c r="S398" i="57"/>
  <c r="R398" i="57"/>
  <c r="C398" i="57"/>
  <c r="T467" i="57"/>
  <c r="T466" i="57"/>
  <c r="T465" i="57"/>
  <c r="T464" i="57"/>
  <c r="T463" i="57"/>
  <c r="T461" i="57"/>
  <c r="T460" i="57"/>
  <c r="T459" i="57"/>
  <c r="J12" i="506" l="1"/>
  <c r="Y80" i="57"/>
  <c r="V79" i="57"/>
  <c r="X79" i="57"/>
  <c r="Y79" i="57" s="1"/>
  <c r="V81" i="57"/>
  <c r="V80" i="57"/>
  <c r="X422" i="57"/>
  <c r="Y422" i="57" s="1"/>
  <c r="V425" i="57"/>
  <c r="V422" i="57"/>
  <c r="V423" i="57"/>
  <c r="K420" i="57"/>
  <c r="V420" i="57"/>
  <c r="K414" i="57"/>
  <c r="X414" i="57"/>
  <c r="Y414" i="57" s="1"/>
  <c r="K409" i="57"/>
  <c r="V409" i="57"/>
  <c r="K402" i="57"/>
  <c r="X402" i="57"/>
  <c r="Y402" i="57" s="1"/>
  <c r="K398" i="57"/>
  <c r="V398" i="57"/>
  <c r="T382" i="57"/>
  <c r="W361" i="57"/>
  <c r="U361" i="57"/>
  <c r="S361" i="57"/>
  <c r="R361" i="57"/>
  <c r="C361" i="57"/>
  <c r="K361" i="57" s="1"/>
  <c r="W362" i="57"/>
  <c r="U362" i="57"/>
  <c r="S362" i="57"/>
  <c r="R362" i="57"/>
  <c r="C362" i="57"/>
  <c r="K362" i="57" s="1"/>
  <c r="T346" i="57"/>
  <c r="T339" i="57"/>
  <c r="T338" i="57"/>
  <c r="W339" i="57"/>
  <c r="U339" i="57"/>
  <c r="X339" i="57" s="1"/>
  <c r="S339" i="57"/>
  <c r="R339" i="57"/>
  <c r="C339" i="57"/>
  <c r="K339" i="57" s="1"/>
  <c r="AA63" i="507"/>
  <c r="AA71" i="507"/>
  <c r="AA70" i="507"/>
  <c r="AA69" i="507"/>
  <c r="AA68" i="507"/>
  <c r="AA67" i="507"/>
  <c r="AA66" i="507"/>
  <c r="AA65" i="507"/>
  <c r="AA64" i="507"/>
  <c r="Y71" i="507"/>
  <c r="Y70" i="507"/>
  <c r="Y69" i="507"/>
  <c r="Y68" i="507"/>
  <c r="Y67" i="507"/>
  <c r="Y66" i="507"/>
  <c r="Y65" i="507"/>
  <c r="Y64" i="507"/>
  <c r="Y63" i="507"/>
  <c r="W71" i="507"/>
  <c r="W70" i="507"/>
  <c r="W69" i="507"/>
  <c r="W68" i="507"/>
  <c r="W67" i="507"/>
  <c r="W66" i="507"/>
  <c r="W65" i="507"/>
  <c r="W64" i="507"/>
  <c r="W63" i="507"/>
  <c r="U71" i="507"/>
  <c r="U70" i="507"/>
  <c r="U69" i="507"/>
  <c r="U68" i="507"/>
  <c r="U67" i="507"/>
  <c r="U66" i="507"/>
  <c r="U65" i="507"/>
  <c r="U64" i="507"/>
  <c r="U63" i="507"/>
  <c r="S71" i="507"/>
  <c r="S70" i="507"/>
  <c r="S69" i="507"/>
  <c r="S68" i="507"/>
  <c r="S67" i="507"/>
  <c r="S66" i="507"/>
  <c r="S65" i="507"/>
  <c r="S64" i="507"/>
  <c r="S63" i="507"/>
  <c r="Q71" i="507"/>
  <c r="Q70" i="507"/>
  <c r="Q69" i="507"/>
  <c r="Q68" i="507"/>
  <c r="Q67" i="507"/>
  <c r="Q66" i="507"/>
  <c r="Q65" i="507"/>
  <c r="Q64" i="507"/>
  <c r="Q63" i="507"/>
  <c r="O71" i="507"/>
  <c r="O70" i="507"/>
  <c r="O69" i="507"/>
  <c r="O68" i="507"/>
  <c r="O67" i="507"/>
  <c r="O66" i="507"/>
  <c r="O65" i="507"/>
  <c r="O64" i="507"/>
  <c r="O63" i="507"/>
  <c r="M71" i="507"/>
  <c r="M70" i="507"/>
  <c r="M69" i="507"/>
  <c r="M68" i="507"/>
  <c r="M67" i="507"/>
  <c r="M66" i="507"/>
  <c r="M65" i="507"/>
  <c r="M64" i="507"/>
  <c r="M63" i="507"/>
  <c r="K71" i="507"/>
  <c r="K70" i="507"/>
  <c r="K69" i="507"/>
  <c r="K68" i="507"/>
  <c r="K67" i="507"/>
  <c r="K66" i="507"/>
  <c r="K65" i="507"/>
  <c r="K64" i="507"/>
  <c r="K63" i="507"/>
  <c r="I71" i="507"/>
  <c r="I70" i="507"/>
  <c r="I69" i="507"/>
  <c r="I68" i="507"/>
  <c r="I67" i="507"/>
  <c r="I66" i="507"/>
  <c r="I65" i="507"/>
  <c r="I64" i="507"/>
  <c r="I63" i="507"/>
  <c r="G71" i="507"/>
  <c r="G70" i="507"/>
  <c r="G69" i="507"/>
  <c r="G68" i="507"/>
  <c r="G67" i="507"/>
  <c r="G66" i="507"/>
  <c r="G65" i="507"/>
  <c r="G64" i="507"/>
  <c r="G63" i="507"/>
  <c r="E71" i="507"/>
  <c r="E70" i="507"/>
  <c r="E69" i="507"/>
  <c r="E68" i="507"/>
  <c r="E67" i="507"/>
  <c r="E66" i="507"/>
  <c r="E65" i="507"/>
  <c r="E64" i="507"/>
  <c r="E63" i="507"/>
  <c r="E61" i="507"/>
  <c r="E60" i="507"/>
  <c r="E59" i="507"/>
  <c r="E58" i="507"/>
  <c r="E57" i="507"/>
  <c r="E56" i="507"/>
  <c r="E55" i="507"/>
  <c r="G61" i="507"/>
  <c r="G60" i="507"/>
  <c r="G59" i="507"/>
  <c r="G58" i="507"/>
  <c r="G57" i="507"/>
  <c r="G56" i="507"/>
  <c r="G55" i="507"/>
  <c r="I61" i="507"/>
  <c r="I60" i="507"/>
  <c r="I59" i="507"/>
  <c r="I58" i="507"/>
  <c r="I57" i="507"/>
  <c r="I56" i="507"/>
  <c r="I55" i="507"/>
  <c r="K61" i="507"/>
  <c r="K60" i="507"/>
  <c r="K59" i="507"/>
  <c r="K58" i="507"/>
  <c r="K57" i="507"/>
  <c r="K56" i="507"/>
  <c r="K55" i="507"/>
  <c r="M61" i="507"/>
  <c r="M60" i="507"/>
  <c r="M59" i="507"/>
  <c r="M58" i="507"/>
  <c r="M57" i="507"/>
  <c r="M56" i="507"/>
  <c r="M55" i="507"/>
  <c r="O61" i="507"/>
  <c r="O60" i="507"/>
  <c r="O59" i="507"/>
  <c r="O58" i="507"/>
  <c r="O57" i="507"/>
  <c r="O56" i="507"/>
  <c r="O55" i="507"/>
  <c r="Q61" i="507"/>
  <c r="Q60" i="507"/>
  <c r="Q59" i="507"/>
  <c r="Q58" i="507"/>
  <c r="Q57" i="507"/>
  <c r="Q56" i="507"/>
  <c r="Q55" i="507"/>
  <c r="S61" i="507"/>
  <c r="S60" i="507"/>
  <c r="S59" i="507"/>
  <c r="S58" i="507"/>
  <c r="S57" i="507"/>
  <c r="S56" i="507"/>
  <c r="S55" i="507"/>
  <c r="U61" i="507"/>
  <c r="U60" i="507"/>
  <c r="U59" i="507"/>
  <c r="U58" i="507"/>
  <c r="U57" i="507"/>
  <c r="U56" i="507"/>
  <c r="U55" i="507"/>
  <c r="W61" i="507"/>
  <c r="W60" i="507"/>
  <c r="W59" i="507"/>
  <c r="W58" i="507"/>
  <c r="W57" i="507"/>
  <c r="W56" i="507"/>
  <c r="W55" i="507"/>
  <c r="Y61" i="507"/>
  <c r="Y60" i="507"/>
  <c r="Y59" i="507"/>
  <c r="Y58" i="507"/>
  <c r="Y57" i="507"/>
  <c r="Y56" i="507"/>
  <c r="Y55" i="507"/>
  <c r="AA61" i="507"/>
  <c r="AA60" i="507"/>
  <c r="AA59" i="507"/>
  <c r="AA58" i="507"/>
  <c r="AA57" i="507"/>
  <c r="AA56" i="507"/>
  <c r="AA55" i="507"/>
  <c r="C23" i="507"/>
  <c r="AC23" i="507"/>
  <c r="B128" i="677"/>
  <c r="B108" i="677"/>
  <c r="B88" i="677"/>
  <c r="B68" i="677"/>
  <c r="B48" i="677"/>
  <c r="B28" i="677"/>
  <c r="T76" i="57"/>
  <c r="T77" i="57" s="1"/>
  <c r="T78" i="57" s="1"/>
  <c r="T75" i="57"/>
  <c r="T74" i="57"/>
  <c r="T73" i="57"/>
  <c r="T72" i="57"/>
  <c r="T71" i="57"/>
  <c r="Y82" i="57" s="1"/>
  <c r="W84" i="57"/>
  <c r="U84" i="57"/>
  <c r="S84" i="57"/>
  <c r="R84" i="57"/>
  <c r="C84" i="57"/>
  <c r="K84" i="57" s="1"/>
  <c r="W83" i="57"/>
  <c r="U83" i="57"/>
  <c r="S83" i="57"/>
  <c r="R83" i="57"/>
  <c r="C83" i="57"/>
  <c r="K83" i="57" s="1"/>
  <c r="W78" i="57"/>
  <c r="U78" i="57"/>
  <c r="S78" i="57"/>
  <c r="R78" i="57"/>
  <c r="C78" i="57"/>
  <c r="W77" i="57"/>
  <c r="S77" i="57"/>
  <c r="R77" i="57"/>
  <c r="C77" i="57"/>
  <c r="K77" i="57" s="1"/>
  <c r="W76" i="57"/>
  <c r="U76" i="57"/>
  <c r="S76" i="57"/>
  <c r="R76" i="57"/>
  <c r="C76" i="57"/>
  <c r="W75" i="57"/>
  <c r="U75" i="57"/>
  <c r="S75" i="57"/>
  <c r="R75" i="57"/>
  <c r="C75" i="57"/>
  <c r="K75" i="57" s="1"/>
  <c r="W74" i="57"/>
  <c r="U74" i="57"/>
  <c r="S74" i="57"/>
  <c r="R74" i="57"/>
  <c r="C74" i="57"/>
  <c r="K74" i="57" s="1"/>
  <c r="W73" i="57"/>
  <c r="U73" i="57"/>
  <c r="S73" i="57"/>
  <c r="R73" i="57"/>
  <c r="C73" i="57"/>
  <c r="K73" i="57" s="1"/>
  <c r="W72" i="57"/>
  <c r="U72" i="57"/>
  <c r="S72" i="57"/>
  <c r="R72" i="57"/>
  <c r="C72" i="57"/>
  <c r="K72" i="57" s="1"/>
  <c r="W71" i="57"/>
  <c r="U71" i="57"/>
  <c r="S71" i="57"/>
  <c r="R71" i="57"/>
  <c r="C71" i="57"/>
  <c r="K71" i="57" s="1"/>
  <c r="C70" i="57"/>
  <c r="C69" i="57"/>
  <c r="K69" i="57" s="1"/>
  <c r="L69" i="57" s="1"/>
  <c r="AA13" i="507"/>
  <c r="Y13" i="507"/>
  <c r="W13" i="507"/>
  <c r="U13" i="507"/>
  <c r="S13" i="507"/>
  <c r="Q13" i="507"/>
  <c r="O13" i="507"/>
  <c r="M13" i="507"/>
  <c r="K13" i="507"/>
  <c r="I13" i="507"/>
  <c r="G13" i="507"/>
  <c r="E13" i="507"/>
  <c r="AA10" i="507"/>
  <c r="Y10" i="507"/>
  <c r="W10" i="507"/>
  <c r="U10" i="507"/>
  <c r="S10" i="507"/>
  <c r="Q10" i="507"/>
  <c r="O10" i="507"/>
  <c r="M10" i="507"/>
  <c r="K10" i="507"/>
  <c r="I10" i="507"/>
  <c r="G10" i="507"/>
  <c r="E10" i="507"/>
  <c r="AC86" i="507"/>
  <c r="C86" i="507"/>
  <c r="AC85" i="507"/>
  <c r="C85" i="507"/>
  <c r="C84" i="507"/>
  <c r="AC83" i="507"/>
  <c r="C83" i="507"/>
  <c r="AC82" i="507"/>
  <c r="C82" i="507"/>
  <c r="AC81" i="507"/>
  <c r="C81" i="507"/>
  <c r="C80" i="507"/>
  <c r="AC79" i="507"/>
  <c r="C79" i="507"/>
  <c r="AC78" i="507"/>
  <c r="C78" i="507"/>
  <c r="AC77" i="507"/>
  <c r="C77" i="507"/>
  <c r="AC76" i="507"/>
  <c r="C76" i="507"/>
  <c r="C75" i="507"/>
  <c r="AC74" i="507"/>
  <c r="C74" i="507"/>
  <c r="AC73" i="507"/>
  <c r="C73" i="507"/>
  <c r="C72" i="507"/>
  <c r="C71" i="507"/>
  <c r="C70" i="507"/>
  <c r="C69" i="507"/>
  <c r="C68" i="507"/>
  <c r="C67" i="507"/>
  <c r="C66" i="507"/>
  <c r="C65" i="507"/>
  <c r="C64" i="507"/>
  <c r="C63" i="507"/>
  <c r="C62" i="507"/>
  <c r="C61" i="507"/>
  <c r="C60" i="507"/>
  <c r="AC59" i="507"/>
  <c r="C59" i="507"/>
  <c r="C58" i="507"/>
  <c r="C57" i="507"/>
  <c r="C56" i="507"/>
  <c r="C55" i="507"/>
  <c r="C54" i="507"/>
  <c r="AC53" i="507"/>
  <c r="C53" i="507"/>
  <c r="AC52" i="507"/>
  <c r="C52" i="507"/>
  <c r="AC51" i="507"/>
  <c r="C51" i="507"/>
  <c r="AC50" i="507"/>
  <c r="C50" i="507"/>
  <c r="AC49" i="507"/>
  <c r="C49" i="507"/>
  <c r="AC48" i="507"/>
  <c r="C48" i="507"/>
  <c r="C47" i="507"/>
  <c r="AC46" i="507"/>
  <c r="C46" i="507"/>
  <c r="AC45" i="507"/>
  <c r="C45" i="507"/>
  <c r="C44" i="507"/>
  <c r="AC43" i="507"/>
  <c r="C43" i="507"/>
  <c r="AC42" i="507"/>
  <c r="C42" i="507"/>
  <c r="C41" i="507"/>
  <c r="AC40" i="507"/>
  <c r="C40" i="507"/>
  <c r="AC39" i="507"/>
  <c r="C39" i="507"/>
  <c r="AC38" i="507"/>
  <c r="C38" i="507"/>
  <c r="C37" i="507"/>
  <c r="AC36" i="507"/>
  <c r="C36" i="507"/>
  <c r="AC35" i="507"/>
  <c r="C35" i="507"/>
  <c r="AC34" i="507"/>
  <c r="C34" i="507"/>
  <c r="C33" i="507"/>
  <c r="AC32" i="507"/>
  <c r="C32" i="507"/>
  <c r="AC31" i="507"/>
  <c r="C31" i="507"/>
  <c r="C30" i="507"/>
  <c r="AC29" i="507"/>
  <c r="C29" i="507"/>
  <c r="AC28" i="507"/>
  <c r="C28" i="507"/>
  <c r="AC27" i="507"/>
  <c r="C27" i="507"/>
  <c r="AC26" i="507"/>
  <c r="C26" i="507"/>
  <c r="AC25" i="507"/>
  <c r="C25" i="507"/>
  <c r="AC24" i="507"/>
  <c r="C24" i="507"/>
  <c r="AC22" i="507"/>
  <c r="C22" i="507"/>
  <c r="AC21" i="507"/>
  <c r="C21" i="507"/>
  <c r="AC20" i="507"/>
  <c r="C20" i="507"/>
  <c r="C19" i="507"/>
  <c r="AC18" i="507"/>
  <c r="C18" i="507"/>
  <c r="AC17" i="507"/>
  <c r="C17" i="507"/>
  <c r="C16" i="507"/>
  <c r="AC15" i="507"/>
  <c r="C15" i="507"/>
  <c r="C14" i="507"/>
  <c r="C13" i="507"/>
  <c r="C12" i="507"/>
  <c r="AC11" i="507"/>
  <c r="C11" i="507"/>
  <c r="C10" i="507"/>
  <c r="AC9" i="507"/>
  <c r="C9" i="507"/>
  <c r="C8" i="507"/>
  <c r="H34" i="637" a="1"/>
  <c r="H34" i="637" s="1"/>
  <c r="B288" i="673"/>
  <c r="J291" i="673" s="1"/>
  <c r="L273" i="673" s="1"/>
  <c r="T233" i="57" s="1"/>
  <c r="W233" i="57"/>
  <c r="U233" i="57"/>
  <c r="S233" i="57"/>
  <c r="K273" i="673" s="1"/>
  <c r="R233" i="57"/>
  <c r="B273" i="673" s="1"/>
  <c r="C233" i="57"/>
  <c r="K233" i="57" s="1"/>
  <c r="B16" i="668"/>
  <c r="B36" i="668"/>
  <c r="B56" i="668"/>
  <c r="D56" i="668"/>
  <c r="B88" i="668"/>
  <c r="T289" i="57"/>
  <c r="W241" i="57"/>
  <c r="U241" i="57"/>
  <c r="S241" i="57"/>
  <c r="R241" i="57"/>
  <c r="C241" i="57"/>
  <c r="K241" i="57" s="1"/>
  <c r="T296" i="57"/>
  <c r="T315" i="57"/>
  <c r="B37" i="670"/>
  <c r="B17" i="670"/>
  <c r="B84" i="668"/>
  <c r="B78" i="666"/>
  <c r="B77" i="666"/>
  <c r="B98" i="666"/>
  <c r="B97" i="666"/>
  <c r="W527" i="57"/>
  <c r="U527" i="57"/>
  <c r="S527" i="57"/>
  <c r="K73" i="666" s="1"/>
  <c r="C81" i="666" s="1"/>
  <c r="R527" i="57"/>
  <c r="B73" i="666" s="1"/>
  <c r="C527" i="57"/>
  <c r="K527" i="57" s="1"/>
  <c r="J71" i="666"/>
  <c r="C59" i="666"/>
  <c r="L53" i="666"/>
  <c r="W523" i="57"/>
  <c r="U523" i="57"/>
  <c r="S523" i="57"/>
  <c r="R523" i="57"/>
  <c r="C523" i="57"/>
  <c r="K523" i="57" s="1"/>
  <c r="W384" i="57"/>
  <c r="U384" i="57"/>
  <c r="S384" i="57"/>
  <c r="R384" i="57"/>
  <c r="C384" i="57"/>
  <c r="K384" i="57" s="1"/>
  <c r="W383" i="57"/>
  <c r="U383" i="57"/>
  <c r="T383" i="57"/>
  <c r="S383" i="57"/>
  <c r="R383" i="57"/>
  <c r="C383" i="57"/>
  <c r="K383" i="57" s="1"/>
  <c r="W382" i="57"/>
  <c r="U382" i="57"/>
  <c r="S382" i="57"/>
  <c r="R382" i="57"/>
  <c r="C382" i="57"/>
  <c r="K382" i="57" s="1"/>
  <c r="T378" i="57"/>
  <c r="T377" i="57"/>
  <c r="W379" i="57"/>
  <c r="U379" i="57"/>
  <c r="S379" i="57"/>
  <c r="R379" i="57"/>
  <c r="C379" i="57"/>
  <c r="K379" i="57" s="1"/>
  <c r="W378" i="57"/>
  <c r="U378" i="57"/>
  <c r="S378" i="57"/>
  <c r="R378" i="57"/>
  <c r="C378" i="57"/>
  <c r="K378" i="57" s="1"/>
  <c r="W377" i="57"/>
  <c r="U377" i="57"/>
  <c r="S377" i="57"/>
  <c r="R377" i="57"/>
  <c r="C377" i="57"/>
  <c r="K377" i="57" s="1"/>
  <c r="W374" i="57"/>
  <c r="U374" i="57"/>
  <c r="S374" i="57"/>
  <c r="R374" i="57"/>
  <c r="C374" i="57"/>
  <c r="K374" i="57" s="1"/>
  <c r="W370" i="57"/>
  <c r="U370" i="57"/>
  <c r="S370" i="57"/>
  <c r="R370" i="57"/>
  <c r="C370" i="57"/>
  <c r="K370" i="57" s="1"/>
  <c r="W369" i="57"/>
  <c r="U369" i="57"/>
  <c r="S369" i="57"/>
  <c r="R369" i="57"/>
  <c r="C369" i="57"/>
  <c r="K369" i="57" s="1"/>
  <c r="W368" i="57"/>
  <c r="U368" i="57"/>
  <c r="S368" i="57"/>
  <c r="R368" i="57"/>
  <c r="C368" i="57"/>
  <c r="K368" i="57" s="1"/>
  <c r="W367" i="57"/>
  <c r="U367" i="57"/>
  <c r="S367" i="57"/>
  <c r="R367" i="57"/>
  <c r="C367" i="57"/>
  <c r="K367" i="57" s="1"/>
  <c r="W372" i="57"/>
  <c r="U372" i="57"/>
  <c r="S372" i="57"/>
  <c r="R372" i="57"/>
  <c r="C372" i="57"/>
  <c r="K372" i="57" s="1"/>
  <c r="W360" i="57"/>
  <c r="U360" i="57"/>
  <c r="S360" i="57"/>
  <c r="R360" i="57"/>
  <c r="C360" i="57"/>
  <c r="K360" i="57" s="1"/>
  <c r="T355" i="57"/>
  <c r="W352" i="57"/>
  <c r="U352" i="57"/>
  <c r="S352" i="57"/>
  <c r="R352" i="57"/>
  <c r="C352" i="57"/>
  <c r="K352" i="57" s="1"/>
  <c r="W353" i="57"/>
  <c r="U353" i="57"/>
  <c r="S353" i="57"/>
  <c r="R353" i="57"/>
  <c r="C353" i="57"/>
  <c r="K353" i="57" s="1"/>
  <c r="W350" i="57"/>
  <c r="U350" i="57"/>
  <c r="S350" i="57"/>
  <c r="R350" i="57"/>
  <c r="C350" i="57"/>
  <c r="K350" i="57" s="1"/>
  <c r="W349" i="57"/>
  <c r="U349" i="57"/>
  <c r="S349" i="57"/>
  <c r="R349" i="57"/>
  <c r="C349" i="57"/>
  <c r="K349" i="57" s="1"/>
  <c r="W348" i="57"/>
  <c r="U348" i="57"/>
  <c r="S348" i="57"/>
  <c r="R348" i="57"/>
  <c r="C348" i="57"/>
  <c r="K348" i="57" s="1"/>
  <c r="T343" i="57"/>
  <c r="W342" i="57"/>
  <c r="U342" i="57"/>
  <c r="S342" i="57"/>
  <c r="R342" i="57"/>
  <c r="C342" i="57"/>
  <c r="K342" i="57" s="1"/>
  <c r="W340" i="57"/>
  <c r="U340" i="57"/>
  <c r="V340" i="57" s="1"/>
  <c r="S340" i="57"/>
  <c r="R340" i="57"/>
  <c r="C340" i="57"/>
  <c r="K340" i="57" s="1"/>
  <c r="W338" i="57"/>
  <c r="U338" i="57"/>
  <c r="S338" i="57"/>
  <c r="R338" i="57"/>
  <c r="C338" i="57"/>
  <c r="K338" i="57" s="1"/>
  <c r="W343" i="57"/>
  <c r="U343" i="57"/>
  <c r="S343" i="57"/>
  <c r="R343" i="57"/>
  <c r="C343" i="57"/>
  <c r="K343" i="57" s="1"/>
  <c r="W336" i="57"/>
  <c r="U336" i="57"/>
  <c r="V336" i="57" s="1"/>
  <c r="S336" i="57"/>
  <c r="R336" i="57"/>
  <c r="C336" i="57"/>
  <c r="K336" i="57" s="1"/>
  <c r="W332" i="57"/>
  <c r="U332" i="57"/>
  <c r="T332" i="57"/>
  <c r="S332" i="57"/>
  <c r="R332" i="57"/>
  <c r="C332" i="57"/>
  <c r="J13" i="506" l="1"/>
  <c r="K12" i="506"/>
  <c r="X241" i="57"/>
  <c r="Y241" i="57" s="1"/>
  <c r="K78" i="57"/>
  <c r="V82" i="57"/>
  <c r="X362" i="57"/>
  <c r="Y362" i="57" s="1"/>
  <c r="X361" i="57"/>
  <c r="Y361" i="57" s="1"/>
  <c r="X350" i="57"/>
  <c r="Y350" i="57" s="1"/>
  <c r="X73" i="57"/>
  <c r="Y73" i="57" s="1"/>
  <c r="X383" i="57"/>
  <c r="Y383" i="57" s="1"/>
  <c r="X527" i="57"/>
  <c r="X74" i="57"/>
  <c r="Y74" i="57" s="1"/>
  <c r="X76" i="57"/>
  <c r="Y76" i="57" s="1"/>
  <c r="V72" i="57"/>
  <c r="V361" i="57"/>
  <c r="V362" i="57"/>
  <c r="Y339" i="57"/>
  <c r="X377" i="57"/>
  <c r="Y377" i="57" s="1"/>
  <c r="X84" i="57"/>
  <c r="X71" i="57"/>
  <c r="Y71" i="57" s="1"/>
  <c r="V339" i="57"/>
  <c r="X75" i="57"/>
  <c r="Y75" i="57" s="1"/>
  <c r="T83" i="57"/>
  <c r="T84" i="57" s="1"/>
  <c r="V78" i="57"/>
  <c r="J69" i="57"/>
  <c r="X83" i="57"/>
  <c r="AC63" i="507"/>
  <c r="AC69" i="507"/>
  <c r="AC68" i="507"/>
  <c r="AC64" i="507"/>
  <c r="AC71" i="507"/>
  <c r="AC65" i="507"/>
  <c r="AC70" i="507"/>
  <c r="AC66" i="507"/>
  <c r="AC67" i="507"/>
  <c r="AC57" i="507"/>
  <c r="AC58" i="507"/>
  <c r="AC61" i="507"/>
  <c r="AC60" i="507"/>
  <c r="AC56" i="507"/>
  <c r="AC55" i="507"/>
  <c r="AC13" i="507"/>
  <c r="V73" i="57"/>
  <c r="V71" i="57"/>
  <c r="V75" i="57"/>
  <c r="B70" i="57"/>
  <c r="B71" i="57" s="1"/>
  <c r="K76" i="57"/>
  <c r="X72" i="57"/>
  <c r="Y72" i="57" s="1"/>
  <c r="X78" i="57"/>
  <c r="Y78" i="57" s="1"/>
  <c r="J70" i="57"/>
  <c r="J71" i="57" s="1"/>
  <c r="J72" i="57" s="1"/>
  <c r="J73" i="57" s="1"/>
  <c r="J74" i="57" s="1"/>
  <c r="J75" i="57" s="1"/>
  <c r="J76" i="57" s="1"/>
  <c r="J77" i="57" s="1"/>
  <c r="J78" i="57" s="1"/>
  <c r="V76" i="57"/>
  <c r="B69" i="57"/>
  <c r="X233" i="57"/>
  <c r="Y233" i="57" s="1"/>
  <c r="V74" i="57"/>
  <c r="AC10" i="507"/>
  <c r="C288" i="673"/>
  <c r="E276" i="673"/>
  <c r="X332" i="57"/>
  <c r="Y332" i="57" s="1"/>
  <c r="X384" i="57"/>
  <c r="Y384" i="57" s="1"/>
  <c r="V233" i="57"/>
  <c r="X349" i="57"/>
  <c r="Y349" i="57" s="1"/>
  <c r="V241" i="57"/>
  <c r="X379" i="57"/>
  <c r="Y379" i="57" s="1"/>
  <c r="B81" i="666"/>
  <c r="J91" i="666" s="1"/>
  <c r="L73" i="666" s="1"/>
  <c r="T527" i="57" s="1"/>
  <c r="X523" i="57"/>
  <c r="X374" i="57"/>
  <c r="Y374" i="57" s="1"/>
  <c r="X378" i="57"/>
  <c r="Y378" i="57" s="1"/>
  <c r="X369" i="57"/>
  <c r="Y369" i="57" s="1"/>
  <c r="X382" i="57"/>
  <c r="Y382" i="57" s="1"/>
  <c r="V384" i="57"/>
  <c r="X348" i="57"/>
  <c r="Y348" i="57" s="1"/>
  <c r="V382" i="57"/>
  <c r="X342" i="57"/>
  <c r="Y342" i="57" s="1"/>
  <c r="V383" i="57"/>
  <c r="V343" i="57"/>
  <c r="X370" i="57"/>
  <c r="Y370" i="57" s="1"/>
  <c r="V379" i="57"/>
  <c r="V378" i="57"/>
  <c r="V377" i="57"/>
  <c r="X372" i="57"/>
  <c r="Y372" i="57" s="1"/>
  <c r="X367" i="57"/>
  <c r="Y367" i="57" s="1"/>
  <c r="X368" i="57"/>
  <c r="Y368" i="57" s="1"/>
  <c r="V374" i="57"/>
  <c r="X360" i="57"/>
  <c r="Y360" i="57" s="1"/>
  <c r="V369" i="57"/>
  <c r="V368" i="57"/>
  <c r="X352" i="57"/>
  <c r="Y352" i="57" s="1"/>
  <c r="V367" i="57"/>
  <c r="V370" i="57"/>
  <c r="X353" i="57"/>
  <c r="Y353" i="57" s="1"/>
  <c r="V372" i="57"/>
  <c r="V338" i="57"/>
  <c r="V360" i="57"/>
  <c r="V352" i="57"/>
  <c r="V353" i="57"/>
  <c r="V350" i="57"/>
  <c r="V349" i="57"/>
  <c r="V348" i="57"/>
  <c r="V342" i="57"/>
  <c r="X340" i="57"/>
  <c r="Y340" i="57" s="1"/>
  <c r="X338" i="57"/>
  <c r="Y338" i="57" s="1"/>
  <c r="X343" i="57"/>
  <c r="Y343" i="57" s="1"/>
  <c r="X336" i="57"/>
  <c r="Y336" i="57" s="1"/>
  <c r="K332" i="57"/>
  <c r="V332" i="57"/>
  <c r="J14" i="506" l="1"/>
  <c r="K13" i="506"/>
  <c r="J79" i="57"/>
  <c r="J80" i="57" s="1"/>
  <c r="J81" i="57" s="1"/>
  <c r="J82" i="57" s="1"/>
  <c r="J83" i="57" s="1"/>
  <c r="J84" i="57" s="1"/>
  <c r="Y83" i="57"/>
  <c r="Y527" i="57"/>
  <c r="Y84" i="57"/>
  <c r="V84" i="57"/>
  <c r="V83" i="57"/>
  <c r="B72" i="57"/>
  <c r="V527" i="57"/>
  <c r="C178" i="245"/>
  <c r="C157" i="245"/>
  <c r="E194" i="245"/>
  <c r="M178" i="245"/>
  <c r="E173" i="245"/>
  <c r="M157" i="245"/>
  <c r="J15" i="506" l="1"/>
  <c r="K14" i="506"/>
  <c r="B73" i="57"/>
  <c r="D39" i="666"/>
  <c r="C39" i="666"/>
  <c r="T321" i="57"/>
  <c r="U321" i="57"/>
  <c r="S321" i="57"/>
  <c r="R321" i="57"/>
  <c r="C321" i="57"/>
  <c r="K321" i="57" s="1"/>
  <c r="U320" i="57"/>
  <c r="S320" i="57"/>
  <c r="R320" i="57"/>
  <c r="C320" i="57"/>
  <c r="K320" i="57" s="1"/>
  <c r="U319" i="57"/>
  <c r="S319" i="57"/>
  <c r="R319" i="57"/>
  <c r="C319" i="57"/>
  <c r="K319" i="57" s="1"/>
  <c r="U318" i="57"/>
  <c r="S318" i="57"/>
  <c r="R318" i="57"/>
  <c r="C318" i="57"/>
  <c r="K318" i="57" s="1"/>
  <c r="U317" i="57"/>
  <c r="S317" i="57"/>
  <c r="R317" i="57"/>
  <c r="C317" i="57"/>
  <c r="K317" i="57" s="1"/>
  <c r="U316" i="57"/>
  <c r="S316" i="57"/>
  <c r="R316" i="57"/>
  <c r="C316" i="57"/>
  <c r="K316" i="57" s="1"/>
  <c r="T314" i="57"/>
  <c r="U298" i="57"/>
  <c r="S298" i="57"/>
  <c r="R298" i="57"/>
  <c r="C298" i="57"/>
  <c r="K298" i="57" s="1"/>
  <c r="U312" i="57"/>
  <c r="S312" i="57"/>
  <c r="R312" i="57"/>
  <c r="C312" i="57"/>
  <c r="K312" i="57" s="1"/>
  <c r="U313" i="57"/>
  <c r="S313" i="57"/>
  <c r="R313" i="57"/>
  <c r="C313" i="57"/>
  <c r="K313" i="57" s="1"/>
  <c r="T310" i="57"/>
  <c r="T311" i="57" s="1"/>
  <c r="U301" i="57"/>
  <c r="S301" i="57"/>
  <c r="R301" i="57"/>
  <c r="C301" i="57"/>
  <c r="K301" i="57" s="1"/>
  <c r="U297" i="57"/>
  <c r="S297" i="57"/>
  <c r="R297" i="57"/>
  <c r="C297" i="57"/>
  <c r="K297" i="57" s="1"/>
  <c r="U308" i="57"/>
  <c r="S308" i="57"/>
  <c r="R308" i="57"/>
  <c r="C308" i="57"/>
  <c r="K308" i="57" s="1"/>
  <c r="U307" i="57"/>
  <c r="S307" i="57"/>
  <c r="R307" i="57"/>
  <c r="C307" i="57"/>
  <c r="K307" i="57" s="1"/>
  <c r="J131" i="672"/>
  <c r="B128" i="672"/>
  <c r="B116" i="672"/>
  <c r="L113" i="672"/>
  <c r="T496" i="57" s="1"/>
  <c r="U496" i="57"/>
  <c r="S496" i="57"/>
  <c r="K113" i="672" s="1"/>
  <c r="C128" i="672" s="1"/>
  <c r="R496" i="57"/>
  <c r="B113" i="672" s="1"/>
  <c r="C496" i="57"/>
  <c r="K496" i="57" s="1"/>
  <c r="B28" i="672"/>
  <c r="B37" i="671"/>
  <c r="B36" i="671"/>
  <c r="B48" i="671" s="1"/>
  <c r="J51" i="671" s="1"/>
  <c r="L33" i="671" s="1"/>
  <c r="T487" i="57" s="1"/>
  <c r="U487" i="57"/>
  <c r="S487" i="57"/>
  <c r="K33" i="671" s="1"/>
  <c r="C48" i="671" s="1"/>
  <c r="R487" i="57"/>
  <c r="B33" i="671" s="1"/>
  <c r="C487" i="57"/>
  <c r="K487" i="57" s="1"/>
  <c r="B68" i="671"/>
  <c r="D256" i="673"/>
  <c r="S229" i="57"/>
  <c r="C229" i="57"/>
  <c r="K229" i="57" s="1"/>
  <c r="B268" i="673"/>
  <c r="J271" i="673" s="1"/>
  <c r="L253" i="673" s="1"/>
  <c r="B28" i="671"/>
  <c r="J51" i="669"/>
  <c r="C36" i="669"/>
  <c r="B29" i="669"/>
  <c r="K26" i="669"/>
  <c r="K25" i="669"/>
  <c r="I25" i="669"/>
  <c r="C27" i="669"/>
  <c r="E27" i="669" s="1"/>
  <c r="E26" i="669"/>
  <c r="E25" i="669"/>
  <c r="E24" i="669"/>
  <c r="E23" i="669"/>
  <c r="E22" i="669"/>
  <c r="K24" i="669"/>
  <c r="K23" i="669"/>
  <c r="E16" i="669"/>
  <c r="E17" i="669"/>
  <c r="E18" i="669"/>
  <c r="E19" i="669"/>
  <c r="E20" i="669"/>
  <c r="B248" i="673"/>
  <c r="J251" i="673" s="1"/>
  <c r="L233" i="673" s="1"/>
  <c r="T229" i="57" s="1"/>
  <c r="U234" i="57"/>
  <c r="S234" i="57"/>
  <c r="R234" i="57"/>
  <c r="C234" i="57"/>
  <c r="K234" i="57" s="1"/>
  <c r="C232" i="57"/>
  <c r="C231" i="57"/>
  <c r="J231" i="57" s="1"/>
  <c r="C201" i="673"/>
  <c r="C200" i="673"/>
  <c r="C199" i="673"/>
  <c r="E105" i="665"/>
  <c r="E104" i="665"/>
  <c r="E103" i="665"/>
  <c r="E101" i="665"/>
  <c r="E100" i="665"/>
  <c r="E99" i="665"/>
  <c r="E98" i="665"/>
  <c r="E97" i="665"/>
  <c r="B108" i="665" s="1"/>
  <c r="B88" i="665"/>
  <c r="E85" i="665"/>
  <c r="E84" i="665"/>
  <c r="E81" i="665"/>
  <c r="E80" i="665"/>
  <c r="E79" i="665"/>
  <c r="E78" i="665"/>
  <c r="E77" i="665"/>
  <c r="E83" i="665"/>
  <c r="B108" i="673"/>
  <c r="C98" i="673"/>
  <c r="C97" i="673"/>
  <c r="C96" i="673"/>
  <c r="C77" i="673"/>
  <c r="C76" i="673"/>
  <c r="C57" i="673"/>
  <c r="C56" i="673"/>
  <c r="C37" i="673"/>
  <c r="C36" i="673"/>
  <c r="B17" i="673"/>
  <c r="B16" i="673"/>
  <c r="C211" i="57"/>
  <c r="K211" i="57" s="1"/>
  <c r="L211" i="57" s="1"/>
  <c r="U210" i="57"/>
  <c r="S210" i="57"/>
  <c r="R210" i="57"/>
  <c r="C210" i="57"/>
  <c r="K210" i="57" s="1"/>
  <c r="C209" i="57"/>
  <c r="J209" i="57" s="1"/>
  <c r="E64" i="667"/>
  <c r="E63" i="667"/>
  <c r="E62" i="667"/>
  <c r="D259" i="667"/>
  <c r="D258" i="667"/>
  <c r="E138" i="667"/>
  <c r="D58" i="661"/>
  <c r="B105" i="661"/>
  <c r="E97" i="661"/>
  <c r="T518" i="57"/>
  <c r="T516" i="57"/>
  <c r="T517" i="57" s="1"/>
  <c r="T515" i="57"/>
  <c r="U517" i="57"/>
  <c r="S517" i="57"/>
  <c r="R517" i="57"/>
  <c r="C517" i="57"/>
  <c r="K517" i="57" s="1"/>
  <c r="U516" i="57"/>
  <c r="S516" i="57"/>
  <c r="R516" i="57"/>
  <c r="C516" i="57"/>
  <c r="K516" i="57" s="1"/>
  <c r="C518" i="57"/>
  <c r="R518" i="57"/>
  <c r="S518" i="57"/>
  <c r="U518" i="57"/>
  <c r="U515" i="57"/>
  <c r="S515" i="57"/>
  <c r="R515" i="57"/>
  <c r="C515" i="57"/>
  <c r="K515" i="57" s="1"/>
  <c r="U514" i="57"/>
  <c r="S514" i="57"/>
  <c r="R514" i="57"/>
  <c r="C514" i="57"/>
  <c r="K514" i="57" s="1"/>
  <c r="C513" i="57"/>
  <c r="C512" i="57"/>
  <c r="B512" i="57" s="1"/>
  <c r="J131" i="680"/>
  <c r="C120" i="680"/>
  <c r="C117" i="680"/>
  <c r="C97" i="680"/>
  <c r="J111" i="680" s="1"/>
  <c r="L93" i="680" s="1"/>
  <c r="U507" i="57"/>
  <c r="S507" i="57"/>
  <c r="R507" i="57"/>
  <c r="C507" i="57"/>
  <c r="K507" i="57" s="1"/>
  <c r="C77" i="680"/>
  <c r="J91" i="680" s="1"/>
  <c r="L73" i="680" s="1"/>
  <c r="T506" i="57" s="1"/>
  <c r="U509" i="57"/>
  <c r="S509" i="57"/>
  <c r="R509" i="57"/>
  <c r="C509" i="57"/>
  <c r="K509" i="57" s="1"/>
  <c r="U508" i="57"/>
  <c r="S508" i="57"/>
  <c r="R508" i="57"/>
  <c r="C508" i="57"/>
  <c r="K508" i="57" s="1"/>
  <c r="U510" i="57"/>
  <c r="S510" i="57"/>
  <c r="R510" i="57"/>
  <c r="C510" i="57"/>
  <c r="K510" i="57" s="1"/>
  <c r="U506" i="57"/>
  <c r="S506" i="57"/>
  <c r="R506" i="57"/>
  <c r="C506" i="57"/>
  <c r="B41" i="680"/>
  <c r="F37" i="680"/>
  <c r="F40" i="680" s="1"/>
  <c r="C16" i="680"/>
  <c r="C18" i="680" s="1"/>
  <c r="J31" i="680" s="1"/>
  <c r="L13" i="680" s="1"/>
  <c r="B57" i="680" s="1"/>
  <c r="U502" i="57"/>
  <c r="S502" i="57"/>
  <c r="R502" i="57"/>
  <c r="C502" i="57"/>
  <c r="K502" i="57" s="1"/>
  <c r="C504" i="57"/>
  <c r="J504" i="57" s="1"/>
  <c r="C505" i="57"/>
  <c r="B505" i="57" s="1"/>
  <c r="C500" i="57"/>
  <c r="B500" i="57" s="1"/>
  <c r="U445" i="57"/>
  <c r="S445" i="57"/>
  <c r="R445" i="57"/>
  <c r="C445" i="57"/>
  <c r="K445" i="57" s="1"/>
  <c r="U442" i="57"/>
  <c r="S442" i="57"/>
  <c r="R442" i="57"/>
  <c r="C442" i="57"/>
  <c r="K442" i="57" s="1"/>
  <c r="U448" i="57"/>
  <c r="S448" i="57"/>
  <c r="R448" i="57"/>
  <c r="C448" i="57"/>
  <c r="K448" i="57" s="1"/>
  <c r="U440" i="57"/>
  <c r="S440" i="57"/>
  <c r="R440" i="57"/>
  <c r="C440" i="57"/>
  <c r="K440" i="57" s="1"/>
  <c r="U437" i="57"/>
  <c r="S437" i="57"/>
  <c r="R437" i="57"/>
  <c r="C437" i="57"/>
  <c r="K437" i="57" s="1"/>
  <c r="U433" i="57"/>
  <c r="S433" i="57"/>
  <c r="R433" i="57"/>
  <c r="C433" i="57"/>
  <c r="K433" i="57" s="1"/>
  <c r="U139" i="57"/>
  <c r="S139" i="57"/>
  <c r="R139" i="57"/>
  <c r="C139" i="57"/>
  <c r="K139" i="57" s="1"/>
  <c r="S138" i="57"/>
  <c r="R138" i="57"/>
  <c r="C138" i="57"/>
  <c r="K138" i="57" s="1"/>
  <c r="T129" i="57"/>
  <c r="U132" i="57"/>
  <c r="S132" i="57"/>
  <c r="R132" i="57"/>
  <c r="C132" i="57"/>
  <c r="K132" i="57" s="1"/>
  <c r="S131" i="57"/>
  <c r="R131" i="57"/>
  <c r="C131" i="57"/>
  <c r="K131" i="57" s="1"/>
  <c r="U130" i="57"/>
  <c r="S130" i="57"/>
  <c r="R130" i="57"/>
  <c r="C130" i="57"/>
  <c r="K130" i="57" s="1"/>
  <c r="U129" i="57"/>
  <c r="S129" i="57"/>
  <c r="R129" i="57"/>
  <c r="C129" i="57"/>
  <c r="K129" i="57" s="1"/>
  <c r="U128" i="57"/>
  <c r="V128" i="57" s="1"/>
  <c r="S128" i="57"/>
  <c r="R128" i="57"/>
  <c r="C128" i="57"/>
  <c r="U127" i="57"/>
  <c r="S127" i="57"/>
  <c r="R127" i="57"/>
  <c r="C127" i="57"/>
  <c r="K127" i="57" s="1"/>
  <c r="T125" i="57"/>
  <c r="T126" i="57"/>
  <c r="U141" i="57"/>
  <c r="S141" i="57"/>
  <c r="R141" i="57"/>
  <c r="C141" i="57"/>
  <c r="K141" i="57" s="1"/>
  <c r="S140" i="57"/>
  <c r="R140" i="57"/>
  <c r="C140" i="57"/>
  <c r="K140" i="57" s="1"/>
  <c r="U137" i="57"/>
  <c r="V137" i="57" s="1"/>
  <c r="S137" i="57"/>
  <c r="R137" i="57"/>
  <c r="C137" i="57"/>
  <c r="K137" i="57" s="1"/>
  <c r="U136" i="57"/>
  <c r="V136" i="57" s="1"/>
  <c r="S136" i="57"/>
  <c r="R136" i="57"/>
  <c r="C136" i="57"/>
  <c r="K136" i="57" s="1"/>
  <c r="U135" i="57"/>
  <c r="S135" i="57"/>
  <c r="R135" i="57"/>
  <c r="C135" i="57"/>
  <c r="K135" i="57" s="1"/>
  <c r="C134" i="57"/>
  <c r="J134" i="57" s="1"/>
  <c r="C133" i="57"/>
  <c r="K133" i="57" s="1"/>
  <c r="L133" i="57" s="1"/>
  <c r="U106" i="57"/>
  <c r="V106" i="57" s="1"/>
  <c r="S106" i="57"/>
  <c r="R106" i="57"/>
  <c r="C106" i="57"/>
  <c r="K106" i="57" s="1"/>
  <c r="S105" i="57"/>
  <c r="R105" i="57"/>
  <c r="C105" i="57"/>
  <c r="K105" i="57" s="1"/>
  <c r="U104" i="57"/>
  <c r="S104" i="57"/>
  <c r="R104" i="57"/>
  <c r="C104" i="57"/>
  <c r="K104" i="57" s="1"/>
  <c r="U103" i="57"/>
  <c r="S103" i="57"/>
  <c r="R103" i="57"/>
  <c r="C103" i="57"/>
  <c r="U102" i="57"/>
  <c r="S102" i="57"/>
  <c r="R102" i="57"/>
  <c r="C102" i="57"/>
  <c r="U101" i="57"/>
  <c r="S101" i="57"/>
  <c r="R101" i="57"/>
  <c r="C101" i="57"/>
  <c r="K101" i="57" s="1"/>
  <c r="C100" i="57"/>
  <c r="J100" i="57" s="1"/>
  <c r="C99" i="57"/>
  <c r="B99" i="57" s="1"/>
  <c r="U90" i="57"/>
  <c r="S90" i="57"/>
  <c r="R90" i="57"/>
  <c r="C90" i="57"/>
  <c r="K90" i="57" s="1"/>
  <c r="T89" i="57"/>
  <c r="U89" i="57"/>
  <c r="S89" i="57"/>
  <c r="R89" i="57"/>
  <c r="C89" i="57"/>
  <c r="K89" i="57" s="1"/>
  <c r="T87" i="57"/>
  <c r="T97" i="57" s="1"/>
  <c r="T98" i="57" s="1"/>
  <c r="U98" i="57"/>
  <c r="S98" i="57"/>
  <c r="R98" i="57"/>
  <c r="C98" i="57"/>
  <c r="K98" i="57" s="1"/>
  <c r="U97" i="57"/>
  <c r="S97" i="57"/>
  <c r="R97" i="57"/>
  <c r="C97" i="57"/>
  <c r="K97" i="57" s="1"/>
  <c r="U96" i="57"/>
  <c r="S96" i="57"/>
  <c r="R96" i="57"/>
  <c r="C96" i="57"/>
  <c r="K96" i="57" s="1"/>
  <c r="S95" i="57"/>
  <c r="R95" i="57"/>
  <c r="C95" i="57"/>
  <c r="K95" i="57" s="1"/>
  <c r="U94" i="57"/>
  <c r="S94" i="57"/>
  <c r="R94" i="57"/>
  <c r="C94" i="57"/>
  <c r="K94" i="57" s="1"/>
  <c r="U93" i="57"/>
  <c r="S93" i="57"/>
  <c r="R93" i="57"/>
  <c r="C93" i="57"/>
  <c r="U92" i="57"/>
  <c r="S92" i="57"/>
  <c r="R92" i="57"/>
  <c r="C92" i="57"/>
  <c r="U91" i="57"/>
  <c r="S91" i="57"/>
  <c r="R91" i="57"/>
  <c r="C91" i="57"/>
  <c r="K91" i="57" s="1"/>
  <c r="U88" i="57"/>
  <c r="V88" i="57" s="1"/>
  <c r="S88" i="57"/>
  <c r="R88" i="57"/>
  <c r="C88" i="57"/>
  <c r="K88" i="57" s="1"/>
  <c r="U87" i="57"/>
  <c r="S87" i="57"/>
  <c r="R87" i="57"/>
  <c r="C87" i="57"/>
  <c r="K87" i="57" s="1"/>
  <c r="C86" i="57"/>
  <c r="C85" i="57"/>
  <c r="J85" i="57" s="1"/>
  <c r="B88" i="676"/>
  <c r="B68" i="676"/>
  <c r="B48" i="676"/>
  <c r="B28" i="676"/>
  <c r="B188" i="675"/>
  <c r="H19" i="675"/>
  <c r="H18" i="675"/>
  <c r="H20" i="675"/>
  <c r="H21" i="675" s="1"/>
  <c r="E20" i="675"/>
  <c r="E21" i="675" s="1"/>
  <c r="E19" i="675"/>
  <c r="E18" i="675"/>
  <c r="B20" i="675"/>
  <c r="B19" i="675"/>
  <c r="B18" i="675"/>
  <c r="B178" i="675"/>
  <c r="H39" i="675"/>
  <c r="H38" i="675"/>
  <c r="E39" i="675"/>
  <c r="E38" i="675"/>
  <c r="B39" i="675"/>
  <c r="B38" i="675"/>
  <c r="H41" i="675"/>
  <c r="E41" i="675"/>
  <c r="B28" i="674"/>
  <c r="B48" i="679"/>
  <c r="J51" i="679" s="1"/>
  <c r="L33" i="679" s="1"/>
  <c r="T48" i="57" s="1"/>
  <c r="D37" i="679"/>
  <c r="J31" i="679"/>
  <c r="L13" i="679" s="1"/>
  <c r="T47" i="57" s="1"/>
  <c r="J16" i="506" l="1"/>
  <c r="K15" i="506"/>
  <c r="B74" i="57"/>
  <c r="B88" i="673"/>
  <c r="B232" i="57"/>
  <c r="B233" i="57" s="1"/>
  <c r="B234" i="57" s="1"/>
  <c r="V321" i="57"/>
  <c r="V320" i="57"/>
  <c r="V319" i="57"/>
  <c r="V318" i="57"/>
  <c r="V317" i="57"/>
  <c r="V316" i="57"/>
  <c r="V298" i="57"/>
  <c r="V312" i="57"/>
  <c r="V313" i="57"/>
  <c r="V301" i="57"/>
  <c r="V297" i="57"/>
  <c r="V308" i="57"/>
  <c r="V307" i="57"/>
  <c r="V496" i="57"/>
  <c r="V487" i="57"/>
  <c r="B48" i="673"/>
  <c r="B68" i="673"/>
  <c r="B231" i="57"/>
  <c r="K231" i="57"/>
  <c r="L231" i="57" s="1"/>
  <c r="J232" i="57"/>
  <c r="B28" i="673"/>
  <c r="J31" i="673" s="1"/>
  <c r="L13" i="673" s="1"/>
  <c r="T210" i="57" s="1"/>
  <c r="V210" i="57" s="1"/>
  <c r="J211" i="57"/>
  <c r="J210" i="57"/>
  <c r="B211" i="57"/>
  <c r="B209" i="57"/>
  <c r="B210" i="57" s="1"/>
  <c r="V516" i="57"/>
  <c r="V518" i="57"/>
  <c r="J512" i="57"/>
  <c r="V517" i="57"/>
  <c r="K518" i="57"/>
  <c r="K512" i="57"/>
  <c r="L512" i="57" s="1"/>
  <c r="V514" i="57"/>
  <c r="V515" i="57"/>
  <c r="J513" i="57"/>
  <c r="B513" i="57"/>
  <c r="K506" i="57"/>
  <c r="B56" i="680"/>
  <c r="B64" i="680" s="1"/>
  <c r="J71" i="680" s="1"/>
  <c r="L53" i="680" s="1"/>
  <c r="V506" i="57"/>
  <c r="B45" i="680"/>
  <c r="J51" i="680" s="1"/>
  <c r="L33" i="680" s="1"/>
  <c r="B506" i="57"/>
  <c r="B507" i="57" s="1"/>
  <c r="K504" i="57"/>
  <c r="L504" i="57" s="1"/>
  <c r="T501" i="57"/>
  <c r="B504" i="57"/>
  <c r="J505" i="57"/>
  <c r="J506" i="57" s="1"/>
  <c r="J507" i="57" s="1"/>
  <c r="J500" i="57"/>
  <c r="V445" i="57"/>
  <c r="V442" i="57"/>
  <c r="V448" i="57"/>
  <c r="V440" i="57"/>
  <c r="V437" i="57"/>
  <c r="V433" i="57"/>
  <c r="J101" i="57"/>
  <c r="J102" i="57" s="1"/>
  <c r="J103" i="57" s="1"/>
  <c r="J104" i="57" s="1"/>
  <c r="J105" i="57" s="1"/>
  <c r="J106" i="57" s="1"/>
  <c r="T131" i="57"/>
  <c r="V87" i="57"/>
  <c r="V139" i="57"/>
  <c r="V127" i="57"/>
  <c r="V130" i="57"/>
  <c r="K128" i="57"/>
  <c r="V129" i="57"/>
  <c r="B133" i="57"/>
  <c r="J133" i="57"/>
  <c r="V132" i="57"/>
  <c r="V135" i="57"/>
  <c r="J135" i="57"/>
  <c r="J136" i="57" s="1"/>
  <c r="J137" i="57" s="1"/>
  <c r="B134" i="57"/>
  <c r="B135" i="57" s="1"/>
  <c r="V141" i="57"/>
  <c r="V104" i="57"/>
  <c r="K103" i="57"/>
  <c r="K102" i="57"/>
  <c r="K99" i="57"/>
  <c r="L99" i="57" s="1"/>
  <c r="J99" i="57"/>
  <c r="V103" i="57"/>
  <c r="B100" i="57"/>
  <c r="B101" i="57" s="1"/>
  <c r="V102" i="57"/>
  <c r="V101" i="57"/>
  <c r="K85" i="57"/>
  <c r="L85" i="57" s="1"/>
  <c r="V90" i="57"/>
  <c r="V89" i="57"/>
  <c r="V96" i="57"/>
  <c r="V91" i="57"/>
  <c r="V97" i="57"/>
  <c r="V98" i="57"/>
  <c r="V93" i="57"/>
  <c r="B86" i="57"/>
  <c r="B87" i="57" s="1"/>
  <c r="K93" i="57"/>
  <c r="J86" i="57"/>
  <c r="J87" i="57" s="1"/>
  <c r="J88" i="57" s="1"/>
  <c r="V94" i="57"/>
  <c r="K92" i="57"/>
  <c r="B85" i="57"/>
  <c r="V92" i="57"/>
  <c r="B21" i="675"/>
  <c r="B28" i="675" s="1"/>
  <c r="B176" i="675" s="1"/>
  <c r="B41" i="675"/>
  <c r="B48" i="675" s="1"/>
  <c r="B177" i="675" s="1"/>
  <c r="J17" i="506" l="1"/>
  <c r="K16" i="506"/>
  <c r="B75" i="57"/>
  <c r="J233" i="57"/>
  <c r="J234" i="57" s="1"/>
  <c r="B514" i="57"/>
  <c r="J514" i="57"/>
  <c r="J515" i="57" s="1"/>
  <c r="J508" i="57"/>
  <c r="J509" i="57" s="1"/>
  <c r="J510" i="57" s="1"/>
  <c r="B508" i="57"/>
  <c r="T502" i="57"/>
  <c r="L113" i="680"/>
  <c r="T508" i="57" s="1"/>
  <c r="J138" i="57"/>
  <c r="J139" i="57" s="1"/>
  <c r="J140" i="57" s="1"/>
  <c r="J141" i="57" s="1"/>
  <c r="B136" i="57"/>
  <c r="B102" i="57"/>
  <c r="B103" i="57" s="1"/>
  <c r="B104" i="57" s="1"/>
  <c r="J89" i="57"/>
  <c r="B88" i="57"/>
  <c r="B89" i="57" s="1"/>
  <c r="B90" i="57" s="1"/>
  <c r="B197" i="675"/>
  <c r="B196" i="675"/>
  <c r="J131" i="677"/>
  <c r="J111" i="677"/>
  <c r="J91" i="677"/>
  <c r="J71" i="677"/>
  <c r="J51" i="677"/>
  <c r="T110" i="57"/>
  <c r="T111" i="57"/>
  <c r="T112" i="57"/>
  <c r="T113" i="57"/>
  <c r="T114" i="57"/>
  <c r="T109" i="57"/>
  <c r="B128" i="676"/>
  <c r="J131" i="676" s="1"/>
  <c r="B108" i="676"/>
  <c r="J71" i="676"/>
  <c r="J51" i="676"/>
  <c r="J31" i="676"/>
  <c r="J111" i="676"/>
  <c r="J91" i="676"/>
  <c r="B108" i="675"/>
  <c r="J111" i="675" s="1"/>
  <c r="B88" i="675"/>
  <c r="J91" i="675" s="1"/>
  <c r="J171" i="675"/>
  <c r="J131" i="675"/>
  <c r="J51" i="675"/>
  <c r="J71" i="675"/>
  <c r="J18" i="506" l="1"/>
  <c r="K17" i="506"/>
  <c r="B76" i="57"/>
  <c r="J516" i="57"/>
  <c r="J517" i="57" s="1"/>
  <c r="J518" i="57" s="1"/>
  <c r="B515" i="57"/>
  <c r="V508" i="57"/>
  <c r="T509" i="57"/>
  <c r="T510" i="57" s="1"/>
  <c r="T511" i="57" s="1"/>
  <c r="T503" i="57"/>
  <c r="T507" i="57"/>
  <c r="B509" i="57"/>
  <c r="V502" i="57"/>
  <c r="B105" i="57"/>
  <c r="J90" i="57"/>
  <c r="J91" i="57" s="1"/>
  <c r="J92" i="57" s="1"/>
  <c r="J93" i="57" s="1"/>
  <c r="J94" i="57" s="1"/>
  <c r="J95" i="57" s="1"/>
  <c r="J96" i="57" s="1"/>
  <c r="J97" i="57" s="1"/>
  <c r="J98" i="57" s="1"/>
  <c r="B91" i="57"/>
  <c r="B208" i="675"/>
  <c r="J211" i="675" s="1"/>
  <c r="J191" i="675"/>
  <c r="D37" i="674"/>
  <c r="B48" i="674" s="1"/>
  <c r="J19" i="506" l="1"/>
  <c r="K18" i="506"/>
  <c r="B77" i="57"/>
  <c r="B516" i="57"/>
  <c r="V510" i="57"/>
  <c r="V509" i="57"/>
  <c r="V507" i="57"/>
  <c r="B510" i="57"/>
  <c r="B137" i="57"/>
  <c r="B138" i="57" s="1"/>
  <c r="B106" i="57"/>
  <c r="B92" i="57"/>
  <c r="J111" i="674"/>
  <c r="J91" i="674"/>
  <c r="L73" i="674" s="1"/>
  <c r="T54" i="57" s="1"/>
  <c r="J71" i="674"/>
  <c r="L53" i="674" s="1"/>
  <c r="T53" i="57" s="1"/>
  <c r="J31" i="674"/>
  <c r="L13" i="674" s="1"/>
  <c r="T51" i="57" s="1"/>
  <c r="J51" i="674"/>
  <c r="L113" i="677"/>
  <c r="T122" i="57" s="1"/>
  <c r="L93" i="677"/>
  <c r="T121" i="57" s="1"/>
  <c r="L73" i="677"/>
  <c r="T120" i="57" s="1"/>
  <c r="L53" i="677"/>
  <c r="T119" i="57" s="1"/>
  <c r="L33" i="677"/>
  <c r="T118" i="57" s="1"/>
  <c r="J31" i="677"/>
  <c r="L13" i="677" s="1"/>
  <c r="T117" i="57" s="1"/>
  <c r="L113" i="676"/>
  <c r="L93" i="676"/>
  <c r="L73" i="676"/>
  <c r="L53" i="676"/>
  <c r="L33" i="676"/>
  <c r="L13" i="676"/>
  <c r="L193" i="675"/>
  <c r="T68" i="57" s="1"/>
  <c r="L173" i="675"/>
  <c r="T67" i="57" s="1"/>
  <c r="L153" i="675"/>
  <c r="T66" i="57" s="1"/>
  <c r="J151" i="675"/>
  <c r="L133" i="675" s="1"/>
  <c r="T65" i="57" s="1"/>
  <c r="L113" i="675"/>
  <c r="T64" i="57" s="1"/>
  <c r="L93" i="675"/>
  <c r="T63" i="57" s="1"/>
  <c r="L73" i="675"/>
  <c r="T62" i="57" s="1"/>
  <c r="L53" i="675"/>
  <c r="T61" i="57" s="1"/>
  <c r="L33" i="675"/>
  <c r="T60" i="57" s="1"/>
  <c r="J31" i="675"/>
  <c r="L13" i="675" s="1"/>
  <c r="T59" i="57" s="1"/>
  <c r="L93" i="674"/>
  <c r="T55" i="57" s="1"/>
  <c r="E96" i="661"/>
  <c r="U31" i="57"/>
  <c r="S31" i="57"/>
  <c r="R31" i="57"/>
  <c r="C31" i="57"/>
  <c r="B28" i="661"/>
  <c r="J31" i="661" s="1"/>
  <c r="C19" i="661"/>
  <c r="B85" i="661"/>
  <c r="T34" i="57" s="1"/>
  <c r="A77" i="661"/>
  <c r="A76" i="661"/>
  <c r="U34" i="57"/>
  <c r="S34" i="57"/>
  <c r="K73" i="661" s="1"/>
  <c r="E76" i="661" s="1"/>
  <c r="R34" i="57"/>
  <c r="B73" i="661" s="1"/>
  <c r="C34" i="57"/>
  <c r="C18" i="661"/>
  <c r="U284" i="57"/>
  <c r="S284" i="57"/>
  <c r="R284" i="57"/>
  <c r="C284" i="57"/>
  <c r="U283" i="57"/>
  <c r="V283" i="57" s="1"/>
  <c r="S283" i="57"/>
  <c r="R283" i="57"/>
  <c r="C283" i="57"/>
  <c r="U282" i="57"/>
  <c r="V282" i="57" s="1"/>
  <c r="S282" i="57"/>
  <c r="R282" i="57"/>
  <c r="C282" i="57"/>
  <c r="K282" i="57" s="1"/>
  <c r="C281" i="57"/>
  <c r="J281" i="57" s="1"/>
  <c r="C280" i="57"/>
  <c r="K280" i="57" s="1"/>
  <c r="L280" i="57" s="1"/>
  <c r="U238" i="57"/>
  <c r="S238" i="57"/>
  <c r="R238" i="57"/>
  <c r="C238" i="57"/>
  <c r="J20" i="506" l="1"/>
  <c r="K19" i="506"/>
  <c r="B78" i="57"/>
  <c r="B79" i="57" s="1"/>
  <c r="B517" i="57"/>
  <c r="B139" i="57"/>
  <c r="B140" i="57" s="1"/>
  <c r="B93" i="57"/>
  <c r="L33" i="674"/>
  <c r="K31" i="57"/>
  <c r="E77" i="661"/>
  <c r="V34" i="57"/>
  <c r="K34" i="57"/>
  <c r="J282" i="57"/>
  <c r="J283" i="57" s="1"/>
  <c r="J284" i="57" s="1"/>
  <c r="B281" i="57"/>
  <c r="B282" i="57" s="1"/>
  <c r="B283" i="57" s="1"/>
  <c r="B284" i="57" s="1"/>
  <c r="J280" i="57"/>
  <c r="B280" i="57"/>
  <c r="K283" i="57"/>
  <c r="V284" i="57"/>
  <c r="K284" i="57"/>
  <c r="V238" i="57"/>
  <c r="K238" i="57"/>
  <c r="U277" i="57"/>
  <c r="S277" i="57"/>
  <c r="R277" i="57"/>
  <c r="C277" i="57"/>
  <c r="J21" i="506" l="1"/>
  <c r="K20" i="506"/>
  <c r="B80" i="57"/>
  <c r="B81" i="57" s="1"/>
  <c r="B518" i="57"/>
  <c r="B141" i="57"/>
  <c r="B94" i="57"/>
  <c r="T52" i="57"/>
  <c r="B128" i="674"/>
  <c r="J131" i="674" s="1"/>
  <c r="L113" i="674" s="1"/>
  <c r="T56" i="57" s="1"/>
  <c r="V277" i="57"/>
  <c r="K277" i="57"/>
  <c r="J22" i="506" l="1"/>
  <c r="K21" i="506"/>
  <c r="B82" i="57"/>
  <c r="B83" i="57" s="1"/>
  <c r="B84" i="57" s="1"/>
  <c r="B95" i="57"/>
  <c r="D257" i="667"/>
  <c r="B268" i="667" s="1"/>
  <c r="D277" i="667"/>
  <c r="B288" i="667" s="1"/>
  <c r="E198" i="667"/>
  <c r="J131" i="665"/>
  <c r="B128" i="665"/>
  <c r="B308" i="673"/>
  <c r="U221" i="57"/>
  <c r="S221" i="57"/>
  <c r="R221" i="57"/>
  <c r="C221" i="57"/>
  <c r="D157" i="673"/>
  <c r="B168" i="673" s="1"/>
  <c r="J171" i="673" s="1"/>
  <c r="L153" i="673" s="1"/>
  <c r="T221" i="57" s="1"/>
  <c r="J23" i="506" l="1"/>
  <c r="K22" i="506"/>
  <c r="B96" i="57"/>
  <c r="V221" i="57"/>
  <c r="K221" i="57"/>
  <c r="J24" i="506" l="1"/>
  <c r="K23" i="506"/>
  <c r="B97" i="57"/>
  <c r="B228" i="673"/>
  <c r="C198" i="673"/>
  <c r="C197" i="673"/>
  <c r="C196" i="673"/>
  <c r="D138" i="673"/>
  <c r="D137" i="673"/>
  <c r="B148" i="673" s="1"/>
  <c r="J151" i="673" s="1"/>
  <c r="L133" i="673" s="1"/>
  <c r="T220" i="57" s="1"/>
  <c r="B128" i="673"/>
  <c r="J311" i="673"/>
  <c r="L293" i="673" s="1"/>
  <c r="J111" i="673"/>
  <c r="L93" i="673" s="1"/>
  <c r="T216" i="57" s="1"/>
  <c r="J91" i="673"/>
  <c r="L73" i="673" s="1"/>
  <c r="T215" i="57" s="1"/>
  <c r="J71" i="673"/>
  <c r="L53" i="673" s="1"/>
  <c r="T214" i="57" s="1"/>
  <c r="J51" i="673"/>
  <c r="L33" i="673" s="1"/>
  <c r="T213" i="57" s="1"/>
  <c r="E60" i="667"/>
  <c r="E59" i="667"/>
  <c r="E58" i="667"/>
  <c r="E57" i="667"/>
  <c r="B68" i="667" s="1"/>
  <c r="E22" i="667"/>
  <c r="U511" i="57"/>
  <c r="S511" i="57"/>
  <c r="R511" i="57"/>
  <c r="C511" i="57"/>
  <c r="S503" i="57"/>
  <c r="R503" i="57"/>
  <c r="C503" i="57"/>
  <c r="K503" i="57" s="1"/>
  <c r="U501" i="57"/>
  <c r="S501" i="57"/>
  <c r="R501" i="57"/>
  <c r="C501" i="57"/>
  <c r="C499" i="57"/>
  <c r="C498" i="57"/>
  <c r="J498" i="57" s="1"/>
  <c r="Q81" i="669"/>
  <c r="Q77" i="669"/>
  <c r="Q80" i="669"/>
  <c r="Q79" i="669"/>
  <c r="Q78" i="669"/>
  <c r="R31" i="669"/>
  <c r="R30" i="669"/>
  <c r="R29" i="669"/>
  <c r="R28" i="669"/>
  <c r="R27" i="669"/>
  <c r="R26" i="669"/>
  <c r="R25" i="669"/>
  <c r="R24" i="669"/>
  <c r="R23" i="669"/>
  <c r="R22" i="669"/>
  <c r="R21" i="669"/>
  <c r="R20" i="669"/>
  <c r="R19" i="669"/>
  <c r="R18" i="669"/>
  <c r="R17" i="669"/>
  <c r="R16" i="669"/>
  <c r="R15" i="669"/>
  <c r="K22" i="669"/>
  <c r="K21" i="669"/>
  <c r="K20" i="669"/>
  <c r="K19" i="669"/>
  <c r="K18" i="669"/>
  <c r="K17" i="669"/>
  <c r="K16" i="669"/>
  <c r="U292" i="57"/>
  <c r="S292" i="57"/>
  <c r="R292" i="57"/>
  <c r="C292" i="57"/>
  <c r="J25" i="506" l="1"/>
  <c r="K24" i="506"/>
  <c r="J31" i="669"/>
  <c r="T230" i="57"/>
  <c r="T234" i="57"/>
  <c r="B208" i="673"/>
  <c r="J211" i="673" s="1"/>
  <c r="L193" i="673" s="1"/>
  <c r="T225" i="57" s="1"/>
  <c r="B188" i="673"/>
  <c r="J191" i="673" s="1"/>
  <c r="L173" i="673" s="1"/>
  <c r="T224" i="57" s="1"/>
  <c r="B98" i="57"/>
  <c r="B498" i="57"/>
  <c r="K498" i="57"/>
  <c r="L498" i="57" s="1"/>
  <c r="V501" i="57"/>
  <c r="V511" i="57"/>
  <c r="K501" i="57"/>
  <c r="K511" i="57"/>
  <c r="B499" i="57"/>
  <c r="B501" i="57" s="1"/>
  <c r="J499" i="57"/>
  <c r="J501" i="57" s="1"/>
  <c r="V292" i="57"/>
  <c r="K292" i="57"/>
  <c r="J26" i="506" l="1"/>
  <c r="K25" i="506"/>
  <c r="V234" i="57"/>
  <c r="J502" i="57"/>
  <c r="J503" i="57" s="1"/>
  <c r="J511" i="57" s="1"/>
  <c r="B502" i="57"/>
  <c r="J131" i="673"/>
  <c r="L113" i="673" s="1"/>
  <c r="T219" i="57" s="1"/>
  <c r="B511" i="57"/>
  <c r="T492" i="57"/>
  <c r="B48" i="672"/>
  <c r="J51" i="672" s="1"/>
  <c r="L33" i="672" s="1"/>
  <c r="B68" i="672"/>
  <c r="B108" i="672"/>
  <c r="J111" i="672" s="1"/>
  <c r="L93" i="672" s="1"/>
  <c r="T495" i="57" s="1"/>
  <c r="B88" i="672"/>
  <c r="J91" i="672" s="1"/>
  <c r="L73" i="672" s="1"/>
  <c r="T494" i="57" s="1"/>
  <c r="U493" i="57"/>
  <c r="S493" i="57"/>
  <c r="R493" i="57"/>
  <c r="C493" i="57"/>
  <c r="U497" i="57"/>
  <c r="S497" i="57"/>
  <c r="C497" i="57"/>
  <c r="U495" i="57"/>
  <c r="S495" i="57"/>
  <c r="R495" i="57"/>
  <c r="C495" i="57"/>
  <c r="J27" i="506" l="1"/>
  <c r="K26" i="506"/>
  <c r="K133" i="672"/>
  <c r="B133" i="672"/>
  <c r="B93" i="672"/>
  <c r="K93" i="672"/>
  <c r="C108" i="672" s="1"/>
  <c r="B503" i="57"/>
  <c r="L133" i="672"/>
  <c r="T497" i="57" s="1"/>
  <c r="K493" i="57"/>
  <c r="K497" i="57"/>
  <c r="V495" i="57"/>
  <c r="K495" i="57"/>
  <c r="J28" i="506" l="1"/>
  <c r="K27" i="506"/>
  <c r="V497" i="57"/>
  <c r="J29" i="506" l="1"/>
  <c r="K28" i="506"/>
  <c r="J71" i="672"/>
  <c r="L53" i="672" s="1"/>
  <c r="T493" i="57" s="1"/>
  <c r="J31" i="672"/>
  <c r="L13" i="672" s="1"/>
  <c r="T491" i="57" s="1"/>
  <c r="D77" i="669"/>
  <c r="K59" i="669"/>
  <c r="K58" i="669"/>
  <c r="K57" i="669"/>
  <c r="E66" i="669"/>
  <c r="E61" i="669"/>
  <c r="E65" i="669"/>
  <c r="E64" i="669"/>
  <c r="E63" i="669"/>
  <c r="E62" i="669"/>
  <c r="E58" i="669"/>
  <c r="E59" i="669"/>
  <c r="E60" i="669"/>
  <c r="E57" i="669"/>
  <c r="J71" i="671"/>
  <c r="L53" i="671" s="1"/>
  <c r="T488" i="57" s="1"/>
  <c r="J31" i="671"/>
  <c r="L13" i="671"/>
  <c r="T486" i="57" s="1"/>
  <c r="T202" i="57"/>
  <c r="B108" i="668"/>
  <c r="D99" i="668"/>
  <c r="D98" i="668"/>
  <c r="D97" i="668"/>
  <c r="B68" i="668"/>
  <c r="J71" i="668" s="1"/>
  <c r="B48" i="668"/>
  <c r="J51" i="668" s="1"/>
  <c r="L33" i="668" s="1"/>
  <c r="B28" i="668"/>
  <c r="J31" i="668" s="1"/>
  <c r="L13" i="668" s="1"/>
  <c r="J111" i="668"/>
  <c r="L93" i="668" s="1"/>
  <c r="J111" i="665"/>
  <c r="E237" i="667"/>
  <c r="B188" i="667"/>
  <c r="B168" i="667"/>
  <c r="J171" i="667" s="1"/>
  <c r="L153" i="667" s="1"/>
  <c r="T172" i="57" s="1"/>
  <c r="E158" i="667"/>
  <c r="E157" i="667"/>
  <c r="E137" i="667"/>
  <c r="E118" i="667"/>
  <c r="E117" i="667"/>
  <c r="E97" i="667"/>
  <c r="E297" i="667"/>
  <c r="E218" i="667"/>
  <c r="E217" i="667"/>
  <c r="E78" i="667"/>
  <c r="E177" i="667"/>
  <c r="E77" i="667"/>
  <c r="J71" i="667"/>
  <c r="L53" i="667" s="1"/>
  <c r="T176" i="57" s="1"/>
  <c r="E40" i="667"/>
  <c r="E39" i="667"/>
  <c r="E38" i="667"/>
  <c r="E37" i="667"/>
  <c r="E24" i="667"/>
  <c r="E18" i="667"/>
  <c r="E19" i="667"/>
  <c r="E20" i="667"/>
  <c r="E21" i="667"/>
  <c r="E23" i="667"/>
  <c r="E17" i="667"/>
  <c r="J51" i="666"/>
  <c r="J31" i="666"/>
  <c r="L13" i="666" s="1"/>
  <c r="T522" i="57" s="1"/>
  <c r="T278" i="57"/>
  <c r="T279" i="57" s="1"/>
  <c r="U276" i="57"/>
  <c r="S276" i="57"/>
  <c r="R276" i="57"/>
  <c r="C276" i="57"/>
  <c r="U275" i="57"/>
  <c r="S275" i="57"/>
  <c r="R275" i="57"/>
  <c r="C275" i="57"/>
  <c r="K275" i="57" s="1"/>
  <c r="U273" i="57"/>
  <c r="S273" i="57"/>
  <c r="R273" i="57"/>
  <c r="C273" i="57"/>
  <c r="K273" i="57" s="1"/>
  <c r="U272" i="57"/>
  <c r="S272" i="57"/>
  <c r="R272" i="57"/>
  <c r="C272" i="57"/>
  <c r="K272" i="57" s="1"/>
  <c r="U274" i="57"/>
  <c r="S274" i="57"/>
  <c r="R274" i="57"/>
  <c r="C274" i="57"/>
  <c r="K274" i="57" s="1"/>
  <c r="U271" i="57"/>
  <c r="S271" i="57"/>
  <c r="R271" i="57"/>
  <c r="C271" i="57"/>
  <c r="K271" i="57" s="1"/>
  <c r="U270" i="57"/>
  <c r="S270" i="57"/>
  <c r="R270" i="57"/>
  <c r="C270" i="57"/>
  <c r="K270" i="57" s="1"/>
  <c r="U263" i="57"/>
  <c r="S263" i="57"/>
  <c r="R263" i="57"/>
  <c r="C263" i="57"/>
  <c r="K263" i="57" s="1"/>
  <c r="U262" i="57"/>
  <c r="S262" i="57"/>
  <c r="R262" i="57"/>
  <c r="C262" i="57"/>
  <c r="K262" i="57" s="1"/>
  <c r="U261" i="57"/>
  <c r="V261" i="57" s="1"/>
  <c r="S261" i="57"/>
  <c r="R261" i="57"/>
  <c r="C261" i="57"/>
  <c r="K261" i="57" s="1"/>
  <c r="C260" i="57"/>
  <c r="J260" i="57" s="1"/>
  <c r="C259" i="57"/>
  <c r="J259" i="57" s="1"/>
  <c r="U254" i="57"/>
  <c r="S254" i="57"/>
  <c r="R254" i="57"/>
  <c r="C254" i="57"/>
  <c r="K254" i="57" s="1"/>
  <c r="B5" i="244"/>
  <c r="F23" i="244"/>
  <c r="H5" i="244" s="1"/>
  <c r="J30" i="506" l="1"/>
  <c r="K29" i="506"/>
  <c r="T201" i="57"/>
  <c r="B16" i="670"/>
  <c r="B28" i="670" s="1"/>
  <c r="J31" i="670" s="1"/>
  <c r="L13" i="670" s="1"/>
  <c r="T482" i="57" s="1"/>
  <c r="B36" i="670"/>
  <c r="B48" i="670" s="1"/>
  <c r="J51" i="670" s="1"/>
  <c r="L33" i="670" s="1"/>
  <c r="T483" i="57" s="1"/>
  <c r="K276" i="57"/>
  <c r="J291" i="667"/>
  <c r="L273" i="667" s="1"/>
  <c r="T185" i="57" s="1"/>
  <c r="B68" i="669"/>
  <c r="D78" i="669"/>
  <c r="B88" i="669" s="1"/>
  <c r="J91" i="669" s="1"/>
  <c r="L73" i="669" s="1"/>
  <c r="T479" i="57" s="1"/>
  <c r="V493" i="57"/>
  <c r="J71" i="669"/>
  <c r="L53" i="669" s="1"/>
  <c r="T478" i="57" s="1"/>
  <c r="J91" i="668"/>
  <c r="L73" i="668" s="1"/>
  <c r="T206" i="57" s="1"/>
  <c r="L53" i="668"/>
  <c r="T203" i="57" s="1"/>
  <c r="B308" i="667"/>
  <c r="J311" i="667" s="1"/>
  <c r="L293" i="667" s="1"/>
  <c r="T186" i="57" s="1"/>
  <c r="B228" i="667"/>
  <c r="J231" i="667" s="1"/>
  <c r="L213" i="667" s="1"/>
  <c r="T175" i="57" s="1"/>
  <c r="B208" i="667"/>
  <c r="J211" i="667" s="1"/>
  <c r="L193" i="667" s="1"/>
  <c r="T174" i="57" s="1"/>
  <c r="B248" i="667"/>
  <c r="J251" i="667" s="1"/>
  <c r="L233" i="667" s="1"/>
  <c r="T183" i="57" s="1"/>
  <c r="B148" i="667"/>
  <c r="J151" i="667" s="1"/>
  <c r="L133" i="667" s="1"/>
  <c r="T171" i="57" s="1"/>
  <c r="J191" i="667"/>
  <c r="L173" i="667" s="1"/>
  <c r="T173" i="57" s="1"/>
  <c r="B108" i="667"/>
  <c r="J111" i="667" s="1"/>
  <c r="L93" i="667" s="1"/>
  <c r="T169" i="57" s="1"/>
  <c r="B128" i="667"/>
  <c r="J131" i="667" s="1"/>
  <c r="L113" i="667" s="1"/>
  <c r="T170" i="57" s="1"/>
  <c r="B88" i="667"/>
  <c r="J91" i="667" s="1"/>
  <c r="L73" i="667" s="1"/>
  <c r="T168" i="57" s="1"/>
  <c r="B28" i="667"/>
  <c r="J31" i="667" s="1"/>
  <c r="L13" i="667" s="1"/>
  <c r="T179" i="57" s="1"/>
  <c r="B48" i="667"/>
  <c r="J51" i="667" s="1"/>
  <c r="L33" i="667" s="1"/>
  <c r="T180" i="57" s="1"/>
  <c r="V275" i="57"/>
  <c r="V276" i="57"/>
  <c r="V273" i="57"/>
  <c r="V272" i="57"/>
  <c r="V271" i="57"/>
  <c r="V270" i="57"/>
  <c r="V274" i="57"/>
  <c r="J261" i="57"/>
  <c r="J262" i="57" s="1"/>
  <c r="J263" i="57" s="1"/>
  <c r="K259" i="57"/>
  <c r="L259" i="57" s="1"/>
  <c r="B259" i="57"/>
  <c r="V262" i="57"/>
  <c r="B260" i="57"/>
  <c r="B261" i="57" s="1"/>
  <c r="V263" i="57"/>
  <c r="V254" i="57"/>
  <c r="J31" i="506" l="1"/>
  <c r="K30" i="506"/>
  <c r="J91" i="665"/>
  <c r="L73" i="665" s="1"/>
  <c r="T195" i="57" s="1"/>
  <c r="J271" i="667"/>
  <c r="L253" i="667" s="1"/>
  <c r="T184" i="57" s="1"/>
  <c r="B262" i="57"/>
  <c r="J32" i="506" l="1"/>
  <c r="K31" i="506"/>
  <c r="B263" i="57"/>
  <c r="J33" i="506" l="1"/>
  <c r="K32" i="506"/>
  <c r="E65" i="245"/>
  <c r="M53" i="245"/>
  <c r="U249" i="57"/>
  <c r="S249" i="57"/>
  <c r="R249" i="57"/>
  <c r="C249" i="57"/>
  <c r="K249" i="57" s="1"/>
  <c r="U246" i="57"/>
  <c r="S246" i="57"/>
  <c r="R246" i="57"/>
  <c r="C246" i="57"/>
  <c r="K246" i="57" s="1"/>
  <c r="U245" i="57"/>
  <c r="S245" i="57"/>
  <c r="R245" i="57"/>
  <c r="C245" i="57"/>
  <c r="K245" i="57" s="1"/>
  <c r="U239" i="57"/>
  <c r="S239" i="57"/>
  <c r="R239" i="57"/>
  <c r="C239" i="57"/>
  <c r="C96" i="664"/>
  <c r="B99" i="664" s="1"/>
  <c r="J111" i="664" s="1"/>
  <c r="L93" i="664" s="1"/>
  <c r="T164" i="57" s="1"/>
  <c r="J91" i="664"/>
  <c r="L73" i="664" s="1"/>
  <c r="I66" i="664"/>
  <c r="D66" i="664"/>
  <c r="I62" i="664"/>
  <c r="D62" i="664"/>
  <c r="I58" i="664"/>
  <c r="D58" i="664"/>
  <c r="C68" i="664" s="1"/>
  <c r="J71" i="664" s="1"/>
  <c r="L53" i="664" s="1"/>
  <c r="J51" i="664"/>
  <c r="L33" i="664" s="1"/>
  <c r="T157" i="57" s="1"/>
  <c r="J31" i="664"/>
  <c r="L13" i="664" s="1"/>
  <c r="T156" i="57" s="1"/>
  <c r="U43" i="57"/>
  <c r="S43" i="57"/>
  <c r="R43" i="57"/>
  <c r="C43" i="57"/>
  <c r="K43" i="57" s="1"/>
  <c r="B38" i="663"/>
  <c r="J51" i="663" s="1"/>
  <c r="J31" i="663"/>
  <c r="J16" i="662"/>
  <c r="J15" i="662"/>
  <c r="D37" i="662"/>
  <c r="E47" i="661"/>
  <c r="E46" i="661"/>
  <c r="L13" i="661"/>
  <c r="J34" i="506" l="1"/>
  <c r="K33" i="506"/>
  <c r="B193" i="675"/>
  <c r="B113" i="674"/>
  <c r="K193" i="675"/>
  <c r="C208" i="675" s="1"/>
  <c r="K113" i="674"/>
  <c r="D56" i="661"/>
  <c r="L113" i="665"/>
  <c r="T197" i="57" s="1"/>
  <c r="L93" i="665"/>
  <c r="T196" i="57" s="1"/>
  <c r="J18" i="662"/>
  <c r="D16" i="662" s="1"/>
  <c r="D18" i="662" s="1"/>
  <c r="D20" i="662" s="1"/>
  <c r="E18" i="665"/>
  <c r="C25" i="662"/>
  <c r="J31" i="662" s="1"/>
  <c r="L13" i="662" s="1"/>
  <c r="T38" i="57" s="1"/>
  <c r="D36" i="662"/>
  <c r="E57" i="665"/>
  <c r="E58" i="665"/>
  <c r="E37" i="665"/>
  <c r="E38" i="665"/>
  <c r="E17" i="665"/>
  <c r="C25" i="665" s="1"/>
  <c r="J31" i="665" s="1"/>
  <c r="L13" i="665" s="1"/>
  <c r="T190" i="57" s="1"/>
  <c r="E59" i="665"/>
  <c r="L33" i="666"/>
  <c r="V249" i="57"/>
  <c r="V246" i="57"/>
  <c r="V245" i="57"/>
  <c r="K239" i="57"/>
  <c r="V239" i="57"/>
  <c r="E39" i="665"/>
  <c r="T158" i="57"/>
  <c r="T161" i="57"/>
  <c r="L33" i="663"/>
  <c r="T43" i="57" s="1"/>
  <c r="L13" i="663"/>
  <c r="T42" i="57" s="1"/>
  <c r="D38" i="662"/>
  <c r="J51" i="662" s="1"/>
  <c r="L33" i="662" s="1"/>
  <c r="T39" i="57" s="1"/>
  <c r="I46" i="661"/>
  <c r="J51" i="661" s="1"/>
  <c r="L33" i="661" s="1"/>
  <c r="J111" i="661" s="1"/>
  <c r="L93" i="661" s="1"/>
  <c r="T31" i="57" s="1"/>
  <c r="T30" i="57"/>
  <c r="U151" i="57"/>
  <c r="S151" i="57"/>
  <c r="R151" i="57"/>
  <c r="C151" i="57"/>
  <c r="K151" i="57" s="1"/>
  <c r="B60" i="660"/>
  <c r="J71" i="660" s="1"/>
  <c r="L53" i="660" s="1"/>
  <c r="B80" i="660"/>
  <c r="J91" i="660" s="1"/>
  <c r="L73" i="660" s="1"/>
  <c r="D41" i="660"/>
  <c r="C41" i="660"/>
  <c r="J51" i="660" s="1"/>
  <c r="L33" i="660" s="1"/>
  <c r="T146" i="57" s="1"/>
  <c r="D21" i="660"/>
  <c r="C21" i="660"/>
  <c r="J31" i="660" s="1"/>
  <c r="L13" i="660" s="1"/>
  <c r="T150" i="57"/>
  <c r="T471" i="57"/>
  <c r="U466" i="57"/>
  <c r="S466" i="57"/>
  <c r="R466" i="57"/>
  <c r="C466" i="57"/>
  <c r="U457" i="57"/>
  <c r="S457" i="57"/>
  <c r="R457" i="57"/>
  <c r="C457" i="57"/>
  <c r="K457" i="57" s="1"/>
  <c r="U455" i="57"/>
  <c r="S455" i="57"/>
  <c r="R455" i="57"/>
  <c r="C455" i="57"/>
  <c r="K455" i="57" s="1"/>
  <c r="J35" i="506" l="1"/>
  <c r="K34" i="506"/>
  <c r="T524" i="57"/>
  <c r="T523" i="57"/>
  <c r="D116" i="674"/>
  <c r="C128" i="674"/>
  <c r="V31" i="57"/>
  <c r="J91" i="661"/>
  <c r="L73" i="661" s="1"/>
  <c r="L13" i="669"/>
  <c r="L33" i="669"/>
  <c r="T477" i="57" s="1"/>
  <c r="C67" i="665"/>
  <c r="J71" i="665" s="1"/>
  <c r="L53" i="665" s="1"/>
  <c r="T192" i="57" s="1"/>
  <c r="V43" i="57"/>
  <c r="C45" i="665"/>
  <c r="J51" i="665" s="1"/>
  <c r="L33" i="665" s="1"/>
  <c r="T32" i="57"/>
  <c r="D57" i="661"/>
  <c r="B65" i="661" s="1"/>
  <c r="J71" i="661" s="1"/>
  <c r="L53" i="661" s="1"/>
  <c r="T33" i="57" s="1"/>
  <c r="V151" i="57"/>
  <c r="T145" i="57"/>
  <c r="T149" i="57"/>
  <c r="K466" i="57"/>
  <c r="V466" i="57"/>
  <c r="V457" i="57"/>
  <c r="V455" i="57"/>
  <c r="U522" i="57"/>
  <c r="S522" i="57"/>
  <c r="R522" i="57"/>
  <c r="C522" i="57"/>
  <c r="U488" i="57"/>
  <c r="S488" i="57"/>
  <c r="R488" i="57"/>
  <c r="C488" i="57"/>
  <c r="K488" i="57" s="1"/>
  <c r="U486" i="57"/>
  <c r="V486" i="57" s="1"/>
  <c r="S486" i="57"/>
  <c r="R486" i="57"/>
  <c r="C486" i="57"/>
  <c r="C485" i="57"/>
  <c r="B485" i="57" s="1"/>
  <c r="C484" i="57"/>
  <c r="B484" i="57" s="1"/>
  <c r="U224" i="57"/>
  <c r="S224" i="57"/>
  <c r="K173" i="673" s="1"/>
  <c r="R224" i="57"/>
  <c r="B173" i="673" s="1"/>
  <c r="C224" i="57"/>
  <c r="K224" i="57" s="1"/>
  <c r="U482" i="57"/>
  <c r="S482" i="57"/>
  <c r="R482" i="57"/>
  <c r="C482" i="57"/>
  <c r="K482" i="57" s="1"/>
  <c r="U478" i="57"/>
  <c r="S478" i="57"/>
  <c r="K53" i="669" s="1"/>
  <c r="C68" i="669" s="1"/>
  <c r="R478" i="57"/>
  <c r="B53" i="669" s="1"/>
  <c r="C478" i="57"/>
  <c r="K478" i="57" s="1"/>
  <c r="U477" i="57"/>
  <c r="S477" i="57"/>
  <c r="R477" i="57"/>
  <c r="C477" i="57"/>
  <c r="K477" i="57" s="1"/>
  <c r="E39" i="245"/>
  <c r="E38" i="245"/>
  <c r="F36" i="245"/>
  <c r="G36" i="245" s="1"/>
  <c r="D36" i="245"/>
  <c r="C36" i="245"/>
  <c r="F41" i="245"/>
  <c r="G41" i="245" s="1"/>
  <c r="D41" i="245"/>
  <c r="C41" i="245"/>
  <c r="C31" i="245"/>
  <c r="R229" i="57" s="1"/>
  <c r="E48" i="245"/>
  <c r="M31" i="245"/>
  <c r="U228" i="57"/>
  <c r="S228" i="57"/>
  <c r="K213" i="673" s="1"/>
  <c r="R228" i="57"/>
  <c r="B213" i="673" s="1"/>
  <c r="C228" i="57"/>
  <c r="S230" i="57"/>
  <c r="K253" i="673" s="1"/>
  <c r="R230" i="57"/>
  <c r="B253" i="673" s="1"/>
  <c r="C230" i="57"/>
  <c r="K230" i="57" s="1"/>
  <c r="C227" i="57"/>
  <c r="J227" i="57" s="1"/>
  <c r="C226" i="57"/>
  <c r="K226" i="57" s="1"/>
  <c r="L226" i="57" s="1"/>
  <c r="S219" i="57"/>
  <c r="K113" i="673" s="1"/>
  <c r="R219" i="57"/>
  <c r="B113" i="673" s="1"/>
  <c r="C219" i="57"/>
  <c r="K219" i="57" s="1"/>
  <c r="S220" i="57"/>
  <c r="R220" i="57"/>
  <c r="C220" i="57"/>
  <c r="U213" i="57"/>
  <c r="S213" i="57"/>
  <c r="R213" i="57"/>
  <c r="C213" i="57"/>
  <c r="K213" i="57" s="1"/>
  <c r="S215" i="57"/>
  <c r="K73" i="673" s="1"/>
  <c r="C88" i="673" s="1"/>
  <c r="R215" i="57"/>
  <c r="B73" i="673" s="1"/>
  <c r="C215" i="57"/>
  <c r="K215" i="57" s="1"/>
  <c r="S214" i="57"/>
  <c r="R214" i="57"/>
  <c r="C214" i="57"/>
  <c r="K214" i="57" s="1"/>
  <c r="S216" i="57"/>
  <c r="K93" i="673" s="1"/>
  <c r="C108" i="673" s="1"/>
  <c r="R216" i="57"/>
  <c r="B93" i="673" s="1"/>
  <c r="C216" i="57"/>
  <c r="K216" i="57" s="1"/>
  <c r="U206" i="57"/>
  <c r="S206" i="57"/>
  <c r="K73" i="668" s="1"/>
  <c r="R206" i="57"/>
  <c r="B73" i="668" s="1"/>
  <c r="C206" i="57"/>
  <c r="K206" i="57" s="1"/>
  <c r="C204" i="57"/>
  <c r="J204" i="57" s="1"/>
  <c r="U203" i="57"/>
  <c r="S203" i="57"/>
  <c r="R203" i="57"/>
  <c r="C203" i="57"/>
  <c r="K203" i="57" s="1"/>
  <c r="U202" i="57"/>
  <c r="S202" i="57"/>
  <c r="R202" i="57"/>
  <c r="C202" i="57"/>
  <c r="U201" i="57"/>
  <c r="S201" i="57"/>
  <c r="R201" i="57"/>
  <c r="C201" i="57"/>
  <c r="K201" i="57" s="1"/>
  <c r="C200" i="57"/>
  <c r="J200" i="57" s="1"/>
  <c r="U197" i="57"/>
  <c r="S197" i="57"/>
  <c r="R197" i="57"/>
  <c r="B113" i="665" s="1"/>
  <c r="C197" i="57"/>
  <c r="K197" i="57" s="1"/>
  <c r="U183" i="57"/>
  <c r="S183" i="57"/>
  <c r="K233" i="667" s="1"/>
  <c r="C248" i="667" s="1"/>
  <c r="R183" i="57"/>
  <c r="B233" i="667" s="1"/>
  <c r="C183" i="57"/>
  <c r="K183" i="57" s="1"/>
  <c r="U184" i="57"/>
  <c r="S184" i="57"/>
  <c r="K253" i="667" s="1"/>
  <c r="C268" i="667" s="1"/>
  <c r="R184" i="57"/>
  <c r="B253" i="667" s="1"/>
  <c r="C184" i="57"/>
  <c r="K184" i="57" s="1"/>
  <c r="U176" i="57"/>
  <c r="S176" i="57"/>
  <c r="R176" i="57"/>
  <c r="C176" i="57"/>
  <c r="K176" i="57" s="1"/>
  <c r="U175" i="57"/>
  <c r="S175" i="57"/>
  <c r="K213" i="667" s="1"/>
  <c r="C228" i="667" s="1"/>
  <c r="R175" i="57"/>
  <c r="B213" i="667" s="1"/>
  <c r="C175" i="57"/>
  <c r="K175" i="57" s="1"/>
  <c r="U169" i="57"/>
  <c r="S169" i="57"/>
  <c r="K93" i="667" s="1"/>
  <c r="C108" i="667" s="1"/>
  <c r="R169" i="57"/>
  <c r="B93" i="667" s="1"/>
  <c r="C169" i="57"/>
  <c r="K169" i="57" s="1"/>
  <c r="U174" i="57"/>
  <c r="V174" i="57" s="1"/>
  <c r="S174" i="57"/>
  <c r="K193" i="667" s="1"/>
  <c r="C208" i="667" s="1"/>
  <c r="R174" i="57"/>
  <c r="B193" i="667" s="1"/>
  <c r="C174" i="57"/>
  <c r="K174" i="57" s="1"/>
  <c r="U171" i="57"/>
  <c r="S171" i="57"/>
  <c r="R171" i="57"/>
  <c r="C171" i="57"/>
  <c r="K171" i="57" s="1"/>
  <c r="U170" i="57"/>
  <c r="S170" i="57"/>
  <c r="K113" i="667" s="1"/>
  <c r="C128" i="667" s="1"/>
  <c r="R170" i="57"/>
  <c r="B113" i="667" s="1"/>
  <c r="C170" i="57"/>
  <c r="K170" i="57" s="1"/>
  <c r="U173" i="57"/>
  <c r="S173" i="57"/>
  <c r="K173" i="667" s="1"/>
  <c r="C188" i="667" s="1"/>
  <c r="R173" i="57"/>
  <c r="B173" i="667" s="1"/>
  <c r="C173" i="57"/>
  <c r="K173" i="57" s="1"/>
  <c r="U164" i="57"/>
  <c r="S164" i="57"/>
  <c r="K73" i="680" s="1"/>
  <c r="R164" i="57"/>
  <c r="B73" i="680" s="1"/>
  <c r="C164" i="57"/>
  <c r="K164" i="57" s="1"/>
  <c r="C163" i="57"/>
  <c r="J163" i="57" s="1"/>
  <c r="C162" i="57"/>
  <c r="J162" i="57" s="1"/>
  <c r="U172" i="57"/>
  <c r="V172" i="57" s="1"/>
  <c r="S172" i="57"/>
  <c r="K153" i="667" s="1"/>
  <c r="C168" i="667" s="1"/>
  <c r="R172" i="57"/>
  <c r="B153" i="667" s="1"/>
  <c r="C172" i="57"/>
  <c r="K172" i="57" s="1"/>
  <c r="U168" i="57"/>
  <c r="S168" i="57"/>
  <c r="K73" i="667" s="1"/>
  <c r="C88" i="667" s="1"/>
  <c r="R168" i="57"/>
  <c r="B73" i="667" s="1"/>
  <c r="C168" i="57"/>
  <c r="U157" i="57"/>
  <c r="S157" i="57"/>
  <c r="R157" i="57"/>
  <c r="C157" i="57"/>
  <c r="K157" i="57" s="1"/>
  <c r="J36" i="506" l="1"/>
  <c r="K35" i="506"/>
  <c r="Y523" i="57"/>
  <c r="V523" i="57"/>
  <c r="K522" i="57"/>
  <c r="K486" i="57"/>
  <c r="K228" i="57"/>
  <c r="C268" i="673"/>
  <c r="E256" i="673"/>
  <c r="B293" i="673"/>
  <c r="B233" i="673"/>
  <c r="K293" i="673"/>
  <c r="C308" i="673" s="1"/>
  <c r="K233" i="673"/>
  <c r="B33" i="673"/>
  <c r="B13" i="673"/>
  <c r="K33" i="673"/>
  <c r="C48" i="673" s="1"/>
  <c r="K13" i="673"/>
  <c r="C28" i="673" s="1"/>
  <c r="K133" i="667"/>
  <c r="C148" i="667" s="1"/>
  <c r="K93" i="680"/>
  <c r="B133" i="667"/>
  <c r="B93" i="680"/>
  <c r="K220" i="57"/>
  <c r="K133" i="673"/>
  <c r="C148" i="673" s="1"/>
  <c r="K153" i="673"/>
  <c r="C168" i="673" s="1"/>
  <c r="B133" i="673"/>
  <c r="B153" i="673"/>
  <c r="D217" i="673"/>
  <c r="D218" i="673"/>
  <c r="C228" i="673"/>
  <c r="D216" i="673"/>
  <c r="I176" i="673"/>
  <c r="I177" i="673" s="1"/>
  <c r="I178" i="673" s="1"/>
  <c r="C188" i="673"/>
  <c r="D176" i="673"/>
  <c r="C128" i="673"/>
  <c r="D119" i="673"/>
  <c r="D120" i="673"/>
  <c r="D123" i="673"/>
  <c r="D118" i="673"/>
  <c r="D121" i="673"/>
  <c r="H118" i="673"/>
  <c r="H119" i="673" s="1"/>
  <c r="H120" i="673" s="1"/>
  <c r="H121" i="673" s="1"/>
  <c r="H122" i="673" s="1"/>
  <c r="H123" i="673" s="1"/>
  <c r="H124" i="673" s="1"/>
  <c r="H125" i="673" s="1"/>
  <c r="D122" i="673"/>
  <c r="B53" i="671"/>
  <c r="B53" i="672"/>
  <c r="K53" i="671"/>
  <c r="C68" i="671" s="1"/>
  <c r="K53" i="672"/>
  <c r="C68" i="672" s="1"/>
  <c r="K13" i="671"/>
  <c r="E17" i="671" s="1"/>
  <c r="E18" i="671" s="1"/>
  <c r="E19" i="671" s="1"/>
  <c r="E20" i="671" s="1"/>
  <c r="E21" i="671" s="1"/>
  <c r="B13" i="671"/>
  <c r="T476" i="57"/>
  <c r="C76" i="668"/>
  <c r="C88" i="668"/>
  <c r="K33" i="670"/>
  <c r="K33" i="669"/>
  <c r="D36" i="669" s="1"/>
  <c r="B33" i="670"/>
  <c r="B33" i="669"/>
  <c r="T191" i="57"/>
  <c r="B53" i="667"/>
  <c r="K53" i="667"/>
  <c r="C68" i="667" s="1"/>
  <c r="B33" i="664"/>
  <c r="K33" i="664"/>
  <c r="V522" i="57"/>
  <c r="J484" i="57"/>
  <c r="K484" i="57"/>
  <c r="L484" i="57" s="1"/>
  <c r="J485" i="57"/>
  <c r="J486" i="57" s="1"/>
  <c r="B486" i="57"/>
  <c r="B487" i="57" s="1"/>
  <c r="V488" i="57"/>
  <c r="V224" i="57"/>
  <c r="V482" i="57"/>
  <c r="V478" i="57"/>
  <c r="V477" i="57"/>
  <c r="J228" i="57"/>
  <c r="B226" i="57"/>
  <c r="J226" i="57"/>
  <c r="B227" i="57"/>
  <c r="V213" i="57"/>
  <c r="J201" i="57"/>
  <c r="J202" i="57" s="1"/>
  <c r="J203" i="57" s="1"/>
  <c r="K204" i="57"/>
  <c r="L204" i="57" s="1"/>
  <c r="V206" i="57"/>
  <c r="K202" i="57"/>
  <c r="V203" i="57"/>
  <c r="B204" i="57"/>
  <c r="B200" i="57"/>
  <c r="B201" i="57" s="1"/>
  <c r="B202" i="57" s="1"/>
  <c r="B203" i="57" s="1"/>
  <c r="V202" i="57"/>
  <c r="V201" i="57"/>
  <c r="V197" i="57"/>
  <c r="V183" i="57"/>
  <c r="V184" i="57"/>
  <c r="V176" i="57"/>
  <c r="V175" i="57"/>
  <c r="V169" i="57"/>
  <c r="B162" i="57"/>
  <c r="V170" i="57"/>
  <c r="V171" i="57"/>
  <c r="K162" i="57"/>
  <c r="L162" i="57" s="1"/>
  <c r="V173" i="57"/>
  <c r="J164" i="57"/>
  <c r="B163" i="57"/>
  <c r="B164" i="57" s="1"/>
  <c r="V164" i="57"/>
  <c r="K168" i="57"/>
  <c r="V168" i="57"/>
  <c r="V157" i="57"/>
  <c r="J37" i="506" l="1"/>
  <c r="K36" i="506"/>
  <c r="J487" i="57"/>
  <c r="J488" i="57" s="1"/>
  <c r="J229" i="57"/>
  <c r="J230" i="57" s="1"/>
  <c r="C48" i="670"/>
  <c r="C36" i="670"/>
  <c r="C37" i="670" s="1"/>
  <c r="E296" i="673"/>
  <c r="C248" i="673"/>
  <c r="E236" i="673"/>
  <c r="J231" i="673"/>
  <c r="L213" i="673" s="1"/>
  <c r="T228" i="57" s="1"/>
  <c r="V228" i="57" s="1"/>
  <c r="B488" i="57"/>
  <c r="B228" i="57"/>
  <c r="B229" i="57" s="1"/>
  <c r="J38" i="506" l="1"/>
  <c r="K37" i="506"/>
  <c r="B230" i="57"/>
  <c r="J39" i="506" l="1"/>
  <c r="K38" i="506"/>
  <c r="S126" i="57"/>
  <c r="R126" i="57"/>
  <c r="C126" i="57"/>
  <c r="S125" i="57"/>
  <c r="R125" i="57"/>
  <c r="C125" i="57"/>
  <c r="K125" i="57" s="1"/>
  <c r="C124" i="57"/>
  <c r="C123" i="57"/>
  <c r="B123" i="57" s="1"/>
  <c r="U122" i="57"/>
  <c r="S122" i="57"/>
  <c r="R122" i="57"/>
  <c r="C122" i="57"/>
  <c r="K122" i="57" s="1"/>
  <c r="S121" i="57"/>
  <c r="R121" i="57"/>
  <c r="C121" i="57"/>
  <c r="K121" i="57" s="1"/>
  <c r="U120" i="57"/>
  <c r="S120" i="57"/>
  <c r="R120" i="57"/>
  <c r="C120" i="57"/>
  <c r="K120" i="57" s="1"/>
  <c r="U119" i="57"/>
  <c r="S119" i="57"/>
  <c r="R119" i="57"/>
  <c r="C119" i="57"/>
  <c r="K119" i="57" s="1"/>
  <c r="U118" i="57"/>
  <c r="V118" i="57" s="1"/>
  <c r="S118" i="57"/>
  <c r="R118" i="57"/>
  <c r="C118" i="57"/>
  <c r="K118" i="57" s="1"/>
  <c r="U117" i="57"/>
  <c r="S117" i="57"/>
  <c r="R117" i="57"/>
  <c r="C117" i="57"/>
  <c r="K117" i="57" s="1"/>
  <c r="C116" i="57"/>
  <c r="C115" i="57"/>
  <c r="K115" i="57" s="1"/>
  <c r="L115" i="57" s="1"/>
  <c r="U112" i="57"/>
  <c r="S112" i="57"/>
  <c r="R112" i="57"/>
  <c r="C112" i="57"/>
  <c r="K112" i="57" s="1"/>
  <c r="U111" i="57"/>
  <c r="S111" i="57"/>
  <c r="R111" i="57"/>
  <c r="C111" i="57"/>
  <c r="U110" i="57"/>
  <c r="S110" i="57"/>
  <c r="R110" i="57"/>
  <c r="C110" i="57"/>
  <c r="K110" i="57" s="1"/>
  <c r="U109" i="57"/>
  <c r="V109" i="57" s="1"/>
  <c r="S109" i="57"/>
  <c r="R109" i="57"/>
  <c r="C109" i="57"/>
  <c r="K109" i="57" s="1"/>
  <c r="U114" i="57"/>
  <c r="S114" i="57"/>
  <c r="R114" i="57"/>
  <c r="C114" i="57"/>
  <c r="K114" i="57" s="1"/>
  <c r="S113" i="57"/>
  <c r="R113" i="57"/>
  <c r="C113" i="57"/>
  <c r="U53" i="57"/>
  <c r="S53" i="57"/>
  <c r="R53" i="57"/>
  <c r="C53" i="57"/>
  <c r="J40" i="506" l="1"/>
  <c r="K39" i="506"/>
  <c r="K126" i="57"/>
  <c r="K13" i="677"/>
  <c r="C28" i="677" s="1"/>
  <c r="K13" i="676"/>
  <c r="C28" i="676" s="1"/>
  <c r="B73" i="675"/>
  <c r="B53" i="674"/>
  <c r="B33" i="676"/>
  <c r="B33" i="677"/>
  <c r="K113" i="677"/>
  <c r="C128" i="677" s="1"/>
  <c r="K113" i="676"/>
  <c r="C128" i="676" s="1"/>
  <c r="B113" i="677"/>
  <c r="B113" i="676"/>
  <c r="K33" i="676"/>
  <c r="C48" i="676" s="1"/>
  <c r="K73" i="675"/>
  <c r="C88" i="675" s="1"/>
  <c r="K53" i="674"/>
  <c r="C68" i="674" s="1"/>
  <c r="K33" i="677"/>
  <c r="C48" i="677" s="1"/>
  <c r="B13" i="677"/>
  <c r="B13" i="676"/>
  <c r="J123" i="57"/>
  <c r="K123" i="57"/>
  <c r="L123" i="57" s="1"/>
  <c r="B115" i="57"/>
  <c r="J124" i="57"/>
  <c r="J125" i="57" s="1"/>
  <c r="J126" i="57" s="1"/>
  <c r="J127" i="57" s="1"/>
  <c r="J128" i="57" s="1"/>
  <c r="J129" i="57" s="1"/>
  <c r="J130" i="57" s="1"/>
  <c r="J131" i="57" s="1"/>
  <c r="J132" i="57" s="1"/>
  <c r="J115" i="57"/>
  <c r="B124" i="57"/>
  <c r="B125" i="57" s="1"/>
  <c r="B126" i="57" s="1"/>
  <c r="B127" i="57" s="1"/>
  <c r="V120" i="57"/>
  <c r="V119" i="57"/>
  <c r="J116" i="57"/>
  <c r="J117" i="57" s="1"/>
  <c r="J118" i="57" s="1"/>
  <c r="J119" i="57" s="1"/>
  <c r="J120" i="57" s="1"/>
  <c r="J121" i="57" s="1"/>
  <c r="J122" i="57" s="1"/>
  <c r="B116" i="57"/>
  <c r="B117" i="57" s="1"/>
  <c r="B118" i="57" s="1"/>
  <c r="B119" i="57" s="1"/>
  <c r="V122" i="57"/>
  <c r="V117" i="57"/>
  <c r="V111" i="57"/>
  <c r="V110" i="57"/>
  <c r="K111" i="57"/>
  <c r="V112" i="57"/>
  <c r="K113" i="57"/>
  <c r="V114" i="57"/>
  <c r="K53" i="57"/>
  <c r="V53" i="57"/>
  <c r="J41" i="506" l="1"/>
  <c r="K40" i="506"/>
  <c r="B128" i="57"/>
  <c r="B120" i="57"/>
  <c r="J42" i="506" l="1"/>
  <c r="K41" i="506"/>
  <c r="B129" i="57"/>
  <c r="B121" i="57"/>
  <c r="J43" i="506" l="1"/>
  <c r="K42" i="506"/>
  <c r="B130" i="57"/>
  <c r="B122" i="57"/>
  <c r="J44" i="506" l="1"/>
  <c r="K43" i="506"/>
  <c r="B131" i="57"/>
  <c r="C37" i="57"/>
  <c r="B37" i="57" s="1"/>
  <c r="U39" i="57"/>
  <c r="S39" i="57"/>
  <c r="R39" i="57"/>
  <c r="C39" i="57"/>
  <c r="K39" i="57" s="1"/>
  <c r="U38" i="57"/>
  <c r="S38" i="57"/>
  <c r="R38" i="57"/>
  <c r="C38" i="57"/>
  <c r="K38" i="57" s="1"/>
  <c r="C36" i="57"/>
  <c r="C35" i="57"/>
  <c r="K35" i="57" s="1"/>
  <c r="L35" i="57" s="1"/>
  <c r="U32" i="57"/>
  <c r="S32" i="57"/>
  <c r="K13" i="680" s="1"/>
  <c r="R32" i="57"/>
  <c r="B13" i="680" s="1"/>
  <c r="C32" i="57"/>
  <c r="K32" i="57" s="1"/>
  <c r="U33" i="57"/>
  <c r="S33" i="57"/>
  <c r="R33" i="57"/>
  <c r="C33" i="57"/>
  <c r="U30" i="57"/>
  <c r="S30" i="57"/>
  <c r="K33" i="680" s="1"/>
  <c r="C45" i="680" s="1"/>
  <c r="R30" i="57"/>
  <c r="B33" i="680" s="1"/>
  <c r="C30" i="57"/>
  <c r="C29" i="57"/>
  <c r="C28" i="57"/>
  <c r="J28" i="57" s="1"/>
  <c r="S27" i="57"/>
  <c r="C21" i="659"/>
  <c r="J31" i="659" s="1"/>
  <c r="L13" i="659" s="1"/>
  <c r="T27" i="57" s="1"/>
  <c r="E26" i="245"/>
  <c r="G22" i="245"/>
  <c r="I18" i="245" s="1"/>
  <c r="M18" i="245"/>
  <c r="R27" i="57"/>
  <c r="C27" i="57"/>
  <c r="K27" i="57" s="1"/>
  <c r="C26" i="57"/>
  <c r="C25" i="57"/>
  <c r="C136" i="434"/>
  <c r="J146" i="434" s="1"/>
  <c r="C76" i="434"/>
  <c r="B88" i="434" s="1"/>
  <c r="J91" i="434" s="1"/>
  <c r="L73" i="434" s="1"/>
  <c r="E13" i="245"/>
  <c r="G9" i="245"/>
  <c r="I5" i="245" s="1"/>
  <c r="M5" i="245"/>
  <c r="S24" i="57"/>
  <c r="R24" i="57"/>
  <c r="C24" i="57"/>
  <c r="U23" i="57"/>
  <c r="S23" i="57"/>
  <c r="K53" i="680" s="1"/>
  <c r="R23" i="57"/>
  <c r="C23" i="57"/>
  <c r="C22" i="57"/>
  <c r="B22" i="57" s="1"/>
  <c r="C21" i="57"/>
  <c r="C20" i="57"/>
  <c r="J20" i="57" s="1"/>
  <c r="B68" i="434"/>
  <c r="J71" i="434" s="1"/>
  <c r="L53" i="434" s="1"/>
  <c r="J45" i="506" l="1"/>
  <c r="K44" i="506"/>
  <c r="B93" i="661"/>
  <c r="B53" i="680"/>
  <c r="B132" i="57"/>
  <c r="C85" i="661"/>
  <c r="K93" i="661"/>
  <c r="C105" i="661" s="1"/>
  <c r="K30" i="57"/>
  <c r="K33" i="57"/>
  <c r="K33" i="662"/>
  <c r="B33" i="662"/>
  <c r="K93" i="434"/>
  <c r="B93" i="434"/>
  <c r="B13" i="661"/>
  <c r="B13" i="662"/>
  <c r="K13" i="661"/>
  <c r="K13" i="662"/>
  <c r="B33" i="661"/>
  <c r="K33" i="661"/>
  <c r="J46" i="661" s="1"/>
  <c r="K53" i="661"/>
  <c r="C65" i="661" s="1"/>
  <c r="B53" i="661"/>
  <c r="B35" i="57"/>
  <c r="J35" i="57"/>
  <c r="J37" i="57"/>
  <c r="B36" i="57"/>
  <c r="B38" i="57" s="1"/>
  <c r="V39" i="57"/>
  <c r="V38" i="57"/>
  <c r="J36" i="57"/>
  <c r="V32" i="57"/>
  <c r="K13" i="659"/>
  <c r="V33" i="57"/>
  <c r="B28" i="57"/>
  <c r="B13" i="659"/>
  <c r="B29" i="57"/>
  <c r="B30" i="57" s="1"/>
  <c r="B31" i="57" s="1"/>
  <c r="V30" i="57"/>
  <c r="K28" i="57"/>
  <c r="L28" i="57" s="1"/>
  <c r="J29" i="57"/>
  <c r="J30" i="57" s="1"/>
  <c r="J31" i="57" s="1"/>
  <c r="B20" i="57"/>
  <c r="K20" i="57"/>
  <c r="L20" i="57" s="1"/>
  <c r="J26" i="57"/>
  <c r="J27" i="57" s="1"/>
  <c r="J22" i="57"/>
  <c r="J23" i="57" s="1"/>
  <c r="J24" i="57" s="1"/>
  <c r="J25" i="57"/>
  <c r="K25" i="57"/>
  <c r="L25" i="57" s="1"/>
  <c r="B26" i="57"/>
  <c r="B27" i="57" s="1"/>
  <c r="B25" i="57"/>
  <c r="K24" i="57"/>
  <c r="B23" i="57"/>
  <c r="B24" i="57" s="1"/>
  <c r="J21" i="57"/>
  <c r="B21" i="57"/>
  <c r="K23" i="57"/>
  <c r="T16" i="57"/>
  <c r="B48" i="434"/>
  <c r="J51" i="434" s="1"/>
  <c r="L33" i="434" s="1"/>
  <c r="T15" i="57" s="1"/>
  <c r="B28" i="434"/>
  <c r="J31" i="434" s="1"/>
  <c r="L13" i="434" s="1"/>
  <c r="U15" i="57"/>
  <c r="S15" i="57"/>
  <c r="K33" i="434" s="1"/>
  <c r="C48" i="434" s="1"/>
  <c r="R15" i="57"/>
  <c r="B33" i="434" s="1"/>
  <c r="C15" i="57"/>
  <c r="J46" i="506" l="1"/>
  <c r="K45" i="506"/>
  <c r="D18" i="661"/>
  <c r="D19" i="661"/>
  <c r="D17" i="661"/>
  <c r="J38" i="57"/>
  <c r="J39" i="57" s="1"/>
  <c r="B39" i="57"/>
  <c r="J32" i="57"/>
  <c r="J33" i="57" s="1"/>
  <c r="J34" i="57" s="1"/>
  <c r="B32" i="57"/>
  <c r="B33" i="57" s="1"/>
  <c r="B34" i="57" s="1"/>
  <c r="K15" i="57"/>
  <c r="V15" i="57"/>
  <c r="C31" i="470"/>
  <c r="C44" i="57"/>
  <c r="J44" i="57" s="1"/>
  <c r="J47" i="506" l="1"/>
  <c r="K46" i="506"/>
  <c r="B101" i="666"/>
  <c r="J111" i="666" s="1"/>
  <c r="L93" i="666" s="1"/>
  <c r="T528" i="57" s="1"/>
  <c r="C35" i="470"/>
  <c r="B97" i="434" s="1"/>
  <c r="B98" i="434" s="1"/>
  <c r="B103" i="434" s="1"/>
  <c r="J126" i="434" s="1"/>
  <c r="L93" i="434" s="1"/>
  <c r="K44" i="57"/>
  <c r="L44" i="57" s="1"/>
  <c r="B44" i="57"/>
  <c r="C525" i="57"/>
  <c r="K525" i="57" s="1"/>
  <c r="L525" i="57" s="1"/>
  <c r="U524" i="57"/>
  <c r="S524" i="57"/>
  <c r="K53" i="666" s="1"/>
  <c r="D59" i="666" s="1"/>
  <c r="R524" i="57"/>
  <c r="B53" i="666" s="1"/>
  <c r="C524" i="57"/>
  <c r="C521" i="57"/>
  <c r="J48" i="506" l="1"/>
  <c r="K47" i="506"/>
  <c r="S531" i="57"/>
  <c r="J521" i="57"/>
  <c r="J522" i="57" s="1"/>
  <c r="K524" i="57"/>
  <c r="B521" i="57"/>
  <c r="V524" i="57"/>
  <c r="B525" i="57"/>
  <c r="J525" i="57"/>
  <c r="J49" i="506" l="1"/>
  <c r="K48" i="506"/>
  <c r="J523" i="57"/>
  <c r="J524" i="57" s="1"/>
  <c r="B522" i="57"/>
  <c r="B523" i="57" s="1"/>
  <c r="U444" i="57"/>
  <c r="S444" i="57"/>
  <c r="R444" i="57"/>
  <c r="C444" i="57"/>
  <c r="U443" i="57"/>
  <c r="S443" i="57"/>
  <c r="R443" i="57"/>
  <c r="C443" i="57"/>
  <c r="K443" i="57" s="1"/>
  <c r="U439" i="57"/>
  <c r="S439" i="57"/>
  <c r="R439" i="57"/>
  <c r="C439" i="57"/>
  <c r="U431" i="57"/>
  <c r="V431" i="57" s="1"/>
  <c r="S431" i="57"/>
  <c r="R431" i="57"/>
  <c r="C431" i="57"/>
  <c r="K431" i="57" s="1"/>
  <c r="U435" i="57"/>
  <c r="V435" i="57" s="1"/>
  <c r="S435" i="57"/>
  <c r="R435" i="57"/>
  <c r="C435" i="57"/>
  <c r="K435" i="57" s="1"/>
  <c r="U441" i="57"/>
  <c r="S441" i="57"/>
  <c r="R441" i="57"/>
  <c r="C441" i="57"/>
  <c r="K441" i="57" s="1"/>
  <c r="U434" i="57"/>
  <c r="S434" i="57"/>
  <c r="R434" i="57"/>
  <c r="C434" i="57"/>
  <c r="J50" i="506" l="1"/>
  <c r="K49" i="506"/>
  <c r="K444" i="57"/>
  <c r="K439" i="57"/>
  <c r="B13" i="672"/>
  <c r="K13" i="672"/>
  <c r="C28" i="672" s="1"/>
  <c r="B524" i="57"/>
  <c r="V443" i="57"/>
  <c r="K434" i="57"/>
  <c r="V441" i="57"/>
  <c r="V439" i="57"/>
  <c r="V434" i="57"/>
  <c r="V444" i="57"/>
  <c r="J51" i="506" l="1"/>
  <c r="K50" i="506"/>
  <c r="U450" i="57"/>
  <c r="S450" i="57"/>
  <c r="R450" i="57"/>
  <c r="C450" i="57"/>
  <c r="K450" i="57" s="1"/>
  <c r="U449" i="57"/>
  <c r="S449" i="57"/>
  <c r="R449" i="57"/>
  <c r="C449" i="57"/>
  <c r="K449" i="57" s="1"/>
  <c r="U447" i="57"/>
  <c r="S447" i="57"/>
  <c r="R447" i="57"/>
  <c r="C447" i="57"/>
  <c r="U446" i="57"/>
  <c r="S446" i="57"/>
  <c r="R446" i="57"/>
  <c r="C446" i="57"/>
  <c r="U430" i="57"/>
  <c r="S430" i="57"/>
  <c r="R430" i="57"/>
  <c r="C430" i="57"/>
  <c r="U432" i="57"/>
  <c r="V432" i="57" s="1"/>
  <c r="S432" i="57"/>
  <c r="R432" i="57"/>
  <c r="C432" i="57"/>
  <c r="U438" i="57"/>
  <c r="V438" i="57" s="1"/>
  <c r="S438" i="57"/>
  <c r="R438" i="57"/>
  <c r="C438" i="57"/>
  <c r="K438" i="57" s="1"/>
  <c r="U436" i="57"/>
  <c r="S436" i="57"/>
  <c r="R436" i="57"/>
  <c r="C436" i="57"/>
  <c r="C429" i="57"/>
  <c r="C428" i="57"/>
  <c r="K428" i="57" s="1"/>
  <c r="L428" i="57" s="1"/>
  <c r="U289" i="57"/>
  <c r="S289" i="57"/>
  <c r="R289" i="57"/>
  <c r="C289" i="57"/>
  <c r="K289" i="57" s="1"/>
  <c r="U62" i="57"/>
  <c r="S62" i="57"/>
  <c r="R62" i="57"/>
  <c r="C62" i="57"/>
  <c r="K62" i="57" s="1"/>
  <c r="U411" i="57"/>
  <c r="S411" i="57"/>
  <c r="R411" i="57"/>
  <c r="C411" i="57"/>
  <c r="K411" i="57" s="1"/>
  <c r="U412" i="57"/>
  <c r="S412" i="57"/>
  <c r="R412" i="57"/>
  <c r="C412" i="57"/>
  <c r="K412" i="57" s="1"/>
  <c r="U406" i="57"/>
  <c r="S406" i="57"/>
  <c r="R406" i="57"/>
  <c r="C406" i="57"/>
  <c r="K406" i="57" s="1"/>
  <c r="U405" i="57"/>
  <c r="S405" i="57"/>
  <c r="R405" i="57"/>
  <c r="C405" i="57"/>
  <c r="K405" i="57" s="1"/>
  <c r="U426" i="57"/>
  <c r="S426" i="57"/>
  <c r="R426" i="57"/>
  <c r="C426" i="57"/>
  <c r="K426" i="57" s="1"/>
  <c r="U424" i="57"/>
  <c r="S424" i="57"/>
  <c r="R424" i="57"/>
  <c r="C424" i="57"/>
  <c r="U413" i="57"/>
  <c r="S413" i="57"/>
  <c r="R413" i="57"/>
  <c r="C413" i="57"/>
  <c r="U418" i="57"/>
  <c r="S418" i="57"/>
  <c r="R418" i="57"/>
  <c r="C418" i="57"/>
  <c r="U417" i="57"/>
  <c r="S417" i="57"/>
  <c r="R417" i="57"/>
  <c r="C417" i="57"/>
  <c r="K417" i="57" s="1"/>
  <c r="J52" i="506" l="1"/>
  <c r="K51" i="506"/>
  <c r="K424" i="57"/>
  <c r="K413" i="57"/>
  <c r="K447" i="57"/>
  <c r="K436" i="57"/>
  <c r="K432" i="57"/>
  <c r="B428" i="57"/>
  <c r="J428" i="57"/>
  <c r="K430" i="57"/>
  <c r="V447" i="57"/>
  <c r="K446" i="57"/>
  <c r="V436" i="57"/>
  <c r="V446" i="57"/>
  <c r="B429" i="57"/>
  <c r="V430" i="57"/>
  <c r="J429" i="57"/>
  <c r="V450" i="57"/>
  <c r="V449" i="57"/>
  <c r="V289" i="57"/>
  <c r="V62" i="57"/>
  <c r="V411" i="57"/>
  <c r="V412" i="57"/>
  <c r="V405" i="57"/>
  <c r="V406" i="57"/>
  <c r="V424" i="57"/>
  <c r="K418" i="57"/>
  <c r="V413" i="57"/>
  <c r="V418" i="57"/>
  <c r="V417" i="57"/>
  <c r="V426" i="57"/>
  <c r="J53" i="506" l="1"/>
  <c r="K52" i="506"/>
  <c r="B430" i="57"/>
  <c r="J54" i="506" l="1"/>
  <c r="K53" i="506"/>
  <c r="B431" i="57"/>
  <c r="J55" i="506" l="1"/>
  <c r="K54" i="506"/>
  <c r="U161" i="57"/>
  <c r="S161" i="57"/>
  <c r="R161" i="57"/>
  <c r="C161" i="57"/>
  <c r="K161" i="57" s="1"/>
  <c r="C153" i="57"/>
  <c r="K153" i="57" s="1"/>
  <c r="L153" i="57" s="1"/>
  <c r="U146" i="57"/>
  <c r="S146" i="57"/>
  <c r="R146" i="57"/>
  <c r="C146" i="57"/>
  <c r="K146" i="57" s="1"/>
  <c r="U145" i="57"/>
  <c r="S145" i="57"/>
  <c r="R145" i="57"/>
  <c r="C145" i="57"/>
  <c r="K145" i="57" s="1"/>
  <c r="C144" i="57"/>
  <c r="J144" i="57" s="1"/>
  <c r="E138" i="245"/>
  <c r="G133" i="245"/>
  <c r="G134" i="245" s="1"/>
  <c r="I130" i="245" s="1"/>
  <c r="M130" i="245"/>
  <c r="C492" i="57"/>
  <c r="U491" i="57"/>
  <c r="S491" i="57"/>
  <c r="R491" i="57"/>
  <c r="C491" i="57"/>
  <c r="K491" i="57" s="1"/>
  <c r="U494" i="57"/>
  <c r="S494" i="57"/>
  <c r="R494" i="57"/>
  <c r="C494" i="57"/>
  <c r="C490" i="57"/>
  <c r="J490" i="57" s="1"/>
  <c r="C489" i="57"/>
  <c r="B489" i="57" s="1"/>
  <c r="C468" i="57"/>
  <c r="K468" i="57" s="1"/>
  <c r="L468" i="57" s="1"/>
  <c r="U470" i="57"/>
  <c r="S470" i="57"/>
  <c r="R470" i="57"/>
  <c r="C470" i="57"/>
  <c r="K470" i="57" s="1"/>
  <c r="U472" i="57"/>
  <c r="S472" i="57"/>
  <c r="R472" i="57"/>
  <c r="C472" i="57"/>
  <c r="K472" i="57" s="1"/>
  <c r="U471" i="57"/>
  <c r="V471" i="57" s="1"/>
  <c r="S471" i="57"/>
  <c r="R471" i="57"/>
  <c r="C471" i="57"/>
  <c r="K471" i="57" s="1"/>
  <c r="C469" i="57"/>
  <c r="U461" i="57"/>
  <c r="S461" i="57"/>
  <c r="R461" i="57"/>
  <c r="C461" i="57"/>
  <c r="K461" i="57" s="1"/>
  <c r="U460" i="57"/>
  <c r="S460" i="57"/>
  <c r="R460" i="57"/>
  <c r="C460" i="57"/>
  <c r="K460" i="57" s="1"/>
  <c r="U459" i="57"/>
  <c r="S459" i="57"/>
  <c r="R459" i="57"/>
  <c r="C459" i="57"/>
  <c r="K459" i="57" s="1"/>
  <c r="U458" i="57"/>
  <c r="V458" i="57" s="1"/>
  <c r="S458" i="57"/>
  <c r="R458" i="57"/>
  <c r="C458" i="57"/>
  <c r="K458" i="57" s="1"/>
  <c r="U467" i="57"/>
  <c r="S467" i="57"/>
  <c r="R467" i="57"/>
  <c r="C467" i="57"/>
  <c r="K467" i="57" s="1"/>
  <c r="U465" i="57"/>
  <c r="S465" i="57"/>
  <c r="R465" i="57"/>
  <c r="C465" i="57"/>
  <c r="U464" i="57"/>
  <c r="S464" i="57"/>
  <c r="R464" i="57"/>
  <c r="C464" i="57"/>
  <c r="K464" i="57" s="1"/>
  <c r="U463" i="57"/>
  <c r="S463" i="57"/>
  <c r="R463" i="57"/>
  <c r="C463" i="57"/>
  <c r="K463" i="57" s="1"/>
  <c r="U462" i="57"/>
  <c r="V462" i="57" s="1"/>
  <c r="S462" i="57"/>
  <c r="R462" i="57"/>
  <c r="C462" i="57"/>
  <c r="K462" i="57" s="1"/>
  <c r="U456" i="57"/>
  <c r="V456" i="57" s="1"/>
  <c r="S456" i="57"/>
  <c r="R456" i="57"/>
  <c r="C456" i="57"/>
  <c r="U454" i="57"/>
  <c r="S454" i="57"/>
  <c r="R454" i="57"/>
  <c r="C454" i="57"/>
  <c r="C453" i="57"/>
  <c r="C452" i="57"/>
  <c r="C451" i="57"/>
  <c r="J451" i="57" s="1"/>
  <c r="U419" i="57"/>
  <c r="S419" i="57"/>
  <c r="R419" i="57"/>
  <c r="C419" i="57"/>
  <c r="U407" i="57"/>
  <c r="S407" i="57"/>
  <c r="R407" i="57"/>
  <c r="C407" i="57"/>
  <c r="U427" i="57"/>
  <c r="V427" i="57" s="1"/>
  <c r="S427" i="57"/>
  <c r="R427" i="57"/>
  <c r="C427" i="57"/>
  <c r="U403" i="57"/>
  <c r="S403" i="57"/>
  <c r="R403" i="57"/>
  <c r="C403" i="57"/>
  <c r="K403" i="57" s="1"/>
  <c r="U421" i="57"/>
  <c r="V421" i="57" s="1"/>
  <c r="S421" i="57"/>
  <c r="R421" i="57"/>
  <c r="C421" i="57"/>
  <c r="U416" i="57"/>
  <c r="S416" i="57"/>
  <c r="R416" i="57"/>
  <c r="C416" i="57"/>
  <c r="U415" i="57"/>
  <c r="S415" i="57"/>
  <c r="R415" i="57"/>
  <c r="C415" i="57"/>
  <c r="K415" i="57" s="1"/>
  <c r="U410" i="57"/>
  <c r="V410" i="57" s="1"/>
  <c r="S410" i="57"/>
  <c r="R410" i="57"/>
  <c r="C410" i="57"/>
  <c r="K410" i="57" s="1"/>
  <c r="U408" i="57"/>
  <c r="V408" i="57" s="1"/>
  <c r="S408" i="57"/>
  <c r="R408" i="57"/>
  <c r="C408" i="57"/>
  <c r="U404" i="57"/>
  <c r="S404" i="57"/>
  <c r="R404" i="57"/>
  <c r="C404" i="57"/>
  <c r="C401" i="57"/>
  <c r="C400" i="57"/>
  <c r="K400" i="57" s="1"/>
  <c r="L400" i="57" s="1"/>
  <c r="J56" i="506" l="1"/>
  <c r="K55" i="506"/>
  <c r="K421" i="57"/>
  <c r="K419" i="57"/>
  <c r="K408" i="57"/>
  <c r="J401" i="57"/>
  <c r="J402" i="57" s="1"/>
  <c r="B73" i="672"/>
  <c r="K73" i="672"/>
  <c r="C76" i="672" s="1"/>
  <c r="K492" i="57"/>
  <c r="K494" i="57"/>
  <c r="B73" i="664"/>
  <c r="K73" i="664"/>
  <c r="K79" i="664" s="1"/>
  <c r="B33" i="660"/>
  <c r="K33" i="660"/>
  <c r="B13" i="660"/>
  <c r="K13" i="660"/>
  <c r="K465" i="57"/>
  <c r="K456" i="57"/>
  <c r="K407" i="57"/>
  <c r="K427" i="57"/>
  <c r="V161" i="57"/>
  <c r="J153" i="57"/>
  <c r="V145" i="57"/>
  <c r="J145" i="57"/>
  <c r="J146" i="57" s="1"/>
  <c r="B144" i="57"/>
  <c r="B145" i="57" s="1"/>
  <c r="V146" i="57"/>
  <c r="B153" i="57"/>
  <c r="J489" i="57"/>
  <c r="K489" i="57"/>
  <c r="L489" i="57" s="1"/>
  <c r="J491" i="57"/>
  <c r="J492" i="57" s="1"/>
  <c r="J493" i="57" s="1"/>
  <c r="B490" i="57"/>
  <c r="B491" i="57" s="1"/>
  <c r="J468" i="57"/>
  <c r="V470" i="57"/>
  <c r="B468" i="57"/>
  <c r="J469" i="57"/>
  <c r="V472" i="57"/>
  <c r="B469" i="57"/>
  <c r="V459" i="57"/>
  <c r="V461" i="57"/>
  <c r="K451" i="57"/>
  <c r="L451" i="57" s="1"/>
  <c r="V460" i="57"/>
  <c r="B451" i="57"/>
  <c r="K454" i="57"/>
  <c r="V465" i="57"/>
  <c r="B453" i="57"/>
  <c r="B454" i="57" s="1"/>
  <c r="B455" i="57" s="1"/>
  <c r="V464" i="57"/>
  <c r="V454" i="57"/>
  <c r="J453" i="57"/>
  <c r="J454" i="57" s="1"/>
  <c r="V463" i="57"/>
  <c r="B452" i="57"/>
  <c r="J452" i="57"/>
  <c r="V467" i="57"/>
  <c r="B400" i="57"/>
  <c r="J400" i="57"/>
  <c r="K404" i="57"/>
  <c r="K416" i="57"/>
  <c r="V419" i="57"/>
  <c r="B401" i="57"/>
  <c r="V407" i="57"/>
  <c r="V404" i="57"/>
  <c r="V416" i="57"/>
  <c r="V415" i="57"/>
  <c r="V403" i="57"/>
  <c r="J57" i="506" l="1"/>
  <c r="K56" i="506"/>
  <c r="B402" i="57"/>
  <c r="C88" i="672"/>
  <c r="J455" i="57"/>
  <c r="J456" i="57" s="1"/>
  <c r="B146" i="57"/>
  <c r="B492" i="57"/>
  <c r="B493" i="57" s="1"/>
  <c r="J494" i="57"/>
  <c r="J495" i="57" s="1"/>
  <c r="B470" i="57"/>
  <c r="B471" i="57" s="1"/>
  <c r="B472" i="57" s="1"/>
  <c r="B456" i="57"/>
  <c r="J58" i="506" l="1"/>
  <c r="K57" i="506"/>
  <c r="J496" i="57"/>
  <c r="J497" i="57" s="1"/>
  <c r="B457" i="57"/>
  <c r="J457" i="57"/>
  <c r="J458" i="57" s="1"/>
  <c r="J459" i="57" s="1"/>
  <c r="J460" i="57" s="1"/>
  <c r="J461" i="57" s="1"/>
  <c r="J462" i="57" s="1"/>
  <c r="J463" i="57" s="1"/>
  <c r="J464" i="57" s="1"/>
  <c r="J465" i="57" s="1"/>
  <c r="B494" i="57"/>
  <c r="B495" i="57" s="1"/>
  <c r="J59" i="506" l="1"/>
  <c r="K58" i="506"/>
  <c r="B496" i="57"/>
  <c r="J466" i="57"/>
  <c r="J467" i="57" s="1"/>
  <c r="B458" i="57"/>
  <c r="B459" i="57" s="1"/>
  <c r="B460" i="57" s="1"/>
  <c r="J60" i="506" l="1"/>
  <c r="K59" i="506"/>
  <c r="B497" i="57"/>
  <c r="B461" i="57"/>
  <c r="J61" i="506" l="1"/>
  <c r="K60" i="506"/>
  <c r="B462" i="57"/>
  <c r="B463" i="57" s="1"/>
  <c r="B464" i="57" s="1"/>
  <c r="B465" i="57" s="1"/>
  <c r="J62" i="506" l="1"/>
  <c r="K61" i="506"/>
  <c r="B466" i="57"/>
  <c r="J63" i="506" l="1"/>
  <c r="K62" i="506"/>
  <c r="B467" i="57"/>
  <c r="J64" i="506" l="1"/>
  <c r="K63" i="506"/>
  <c r="U528" i="57"/>
  <c r="S528" i="57"/>
  <c r="R528" i="57"/>
  <c r="C528" i="57"/>
  <c r="K528" i="57" s="1"/>
  <c r="C526" i="57"/>
  <c r="C520" i="57"/>
  <c r="J520" i="57" s="1"/>
  <c r="C519" i="57"/>
  <c r="B519" i="57" s="1"/>
  <c r="C529" i="57"/>
  <c r="B529" i="57" s="1"/>
  <c r="U483" i="57"/>
  <c r="S483" i="57"/>
  <c r="R483" i="57"/>
  <c r="C483" i="57"/>
  <c r="C481" i="57"/>
  <c r="U479" i="57"/>
  <c r="S479" i="57"/>
  <c r="K73" i="669" s="1"/>
  <c r="C88" i="669" s="1"/>
  <c r="R479" i="57"/>
  <c r="B73" i="669" s="1"/>
  <c r="C479" i="57"/>
  <c r="K479" i="57" s="1"/>
  <c r="U476" i="57"/>
  <c r="S476" i="57"/>
  <c r="R476" i="57"/>
  <c r="C476" i="57"/>
  <c r="C475" i="57"/>
  <c r="J475" i="57" s="1"/>
  <c r="C474" i="57"/>
  <c r="C473" i="57"/>
  <c r="K473" i="57" s="1"/>
  <c r="L473" i="57" s="1"/>
  <c r="U390" i="57"/>
  <c r="S390" i="57"/>
  <c r="R390" i="57"/>
  <c r="C390" i="57"/>
  <c r="K390" i="57" s="1"/>
  <c r="U389" i="57"/>
  <c r="S389" i="57"/>
  <c r="R389" i="57"/>
  <c r="C389" i="57"/>
  <c r="K389" i="57" s="1"/>
  <c r="U388" i="57"/>
  <c r="V388" i="57" s="1"/>
  <c r="S388" i="57"/>
  <c r="R388" i="57"/>
  <c r="C388" i="57"/>
  <c r="K388" i="57" s="1"/>
  <c r="U394" i="57"/>
  <c r="S394" i="57"/>
  <c r="R394" i="57"/>
  <c r="C394" i="57"/>
  <c r="K394" i="57" s="1"/>
  <c r="U393" i="57"/>
  <c r="S393" i="57"/>
  <c r="R393" i="57"/>
  <c r="C393" i="57"/>
  <c r="K393" i="57" s="1"/>
  <c r="U392" i="57"/>
  <c r="S392" i="57"/>
  <c r="R392" i="57"/>
  <c r="C392" i="57"/>
  <c r="U391" i="57"/>
  <c r="S391" i="57"/>
  <c r="R391" i="57"/>
  <c r="C391" i="57"/>
  <c r="K391" i="57" s="1"/>
  <c r="U399" i="57"/>
  <c r="S399" i="57"/>
  <c r="R399" i="57"/>
  <c r="C399" i="57"/>
  <c r="K399" i="57" s="1"/>
  <c r="U397" i="57"/>
  <c r="S397" i="57"/>
  <c r="R397" i="57"/>
  <c r="C397" i="57"/>
  <c r="U396" i="57"/>
  <c r="S396" i="57"/>
  <c r="R396" i="57"/>
  <c r="C396" i="57"/>
  <c r="K396" i="57" s="1"/>
  <c r="U395" i="57"/>
  <c r="S395" i="57"/>
  <c r="R395" i="57"/>
  <c r="C395" i="57"/>
  <c r="K395" i="57" s="1"/>
  <c r="C387" i="57"/>
  <c r="B387" i="57" s="1"/>
  <c r="C386" i="57"/>
  <c r="K386" i="57" s="1"/>
  <c r="L386" i="57" s="1"/>
  <c r="U385" i="57"/>
  <c r="S385" i="57"/>
  <c r="R385" i="57"/>
  <c r="C385" i="57"/>
  <c r="K385" i="57" s="1"/>
  <c r="U381" i="57"/>
  <c r="S381" i="57"/>
  <c r="R381" i="57"/>
  <c r="C381" i="57"/>
  <c r="U380" i="57"/>
  <c r="S380" i="57"/>
  <c r="R380" i="57"/>
  <c r="C380" i="57"/>
  <c r="K380" i="57" s="1"/>
  <c r="C376" i="57"/>
  <c r="C375" i="57"/>
  <c r="B375" i="57" s="1"/>
  <c r="U373" i="57"/>
  <c r="V373" i="57" s="1"/>
  <c r="S373" i="57"/>
  <c r="R373" i="57"/>
  <c r="C373" i="57"/>
  <c r="U371" i="57"/>
  <c r="V371" i="57" s="1"/>
  <c r="S371" i="57"/>
  <c r="R371" i="57"/>
  <c r="C371" i="57"/>
  <c r="C366" i="57"/>
  <c r="C365" i="57"/>
  <c r="K365" i="57" s="1"/>
  <c r="L365" i="57" s="1"/>
  <c r="U364" i="57"/>
  <c r="S364" i="57"/>
  <c r="R364" i="57"/>
  <c r="C364" i="57"/>
  <c r="K364" i="57" s="1"/>
  <c r="U363" i="57"/>
  <c r="S363" i="57"/>
  <c r="R363" i="57"/>
  <c r="C363" i="57"/>
  <c r="K363" i="57" s="1"/>
  <c r="U359" i="57"/>
  <c r="S359" i="57"/>
  <c r="R359" i="57"/>
  <c r="C359" i="57"/>
  <c r="U358" i="57"/>
  <c r="S358" i="57"/>
  <c r="R358" i="57"/>
  <c r="C358" i="57"/>
  <c r="K358" i="57" s="1"/>
  <c r="C357" i="57"/>
  <c r="J357" i="57" s="1"/>
  <c r="C356" i="57"/>
  <c r="B356" i="57" s="1"/>
  <c r="U341" i="57"/>
  <c r="V341" i="57" s="1"/>
  <c r="S341" i="57"/>
  <c r="R341" i="57"/>
  <c r="C341" i="57"/>
  <c r="U337" i="57"/>
  <c r="S337" i="57"/>
  <c r="R337" i="57"/>
  <c r="C337" i="57"/>
  <c r="C335" i="57"/>
  <c r="C334" i="57"/>
  <c r="J334" i="57" s="1"/>
  <c r="C480" i="57"/>
  <c r="K480" i="57" s="1"/>
  <c r="L480" i="57" s="1"/>
  <c r="U355" i="57"/>
  <c r="S355" i="57"/>
  <c r="R355" i="57"/>
  <c r="C355" i="57"/>
  <c r="K355" i="57" s="1"/>
  <c r="U354" i="57"/>
  <c r="S354" i="57"/>
  <c r="R354" i="57"/>
  <c r="C354" i="57"/>
  <c r="K354" i="57" s="1"/>
  <c r="U351" i="57"/>
  <c r="V351" i="57" s="1"/>
  <c r="S351" i="57"/>
  <c r="R351" i="57"/>
  <c r="C351" i="57"/>
  <c r="K351" i="57" s="1"/>
  <c r="U347" i="57"/>
  <c r="V347" i="57" s="1"/>
  <c r="S347" i="57"/>
  <c r="R347" i="57"/>
  <c r="C347" i="57"/>
  <c r="U346" i="57"/>
  <c r="V346" i="57" s="1"/>
  <c r="S346" i="57"/>
  <c r="R346" i="57"/>
  <c r="C346" i="57"/>
  <c r="K346" i="57" s="1"/>
  <c r="C345" i="57"/>
  <c r="J345" i="57" s="1"/>
  <c r="U330" i="57"/>
  <c r="S330" i="57"/>
  <c r="R330" i="57"/>
  <c r="C330" i="57"/>
  <c r="K330" i="57" s="1"/>
  <c r="U329" i="57"/>
  <c r="S329" i="57"/>
  <c r="R329" i="57"/>
  <c r="C329" i="57"/>
  <c r="K329" i="57" s="1"/>
  <c r="U333" i="57"/>
  <c r="S333" i="57"/>
  <c r="R333" i="57"/>
  <c r="C333" i="57"/>
  <c r="K333" i="57" s="1"/>
  <c r="U331" i="57"/>
  <c r="S331" i="57"/>
  <c r="R331" i="57"/>
  <c r="C331" i="57"/>
  <c r="U328" i="57"/>
  <c r="V328" i="57" s="1"/>
  <c r="S328" i="57"/>
  <c r="R328" i="57"/>
  <c r="C328" i="57"/>
  <c r="U327" i="57"/>
  <c r="S327" i="57"/>
  <c r="R327" i="57"/>
  <c r="C327" i="57"/>
  <c r="K327" i="57" s="1"/>
  <c r="U326" i="57"/>
  <c r="V326" i="57" s="1"/>
  <c r="S326" i="57"/>
  <c r="R326" i="57"/>
  <c r="C326" i="57"/>
  <c r="K326" i="57" s="1"/>
  <c r="C325" i="57"/>
  <c r="B325" i="57" s="1"/>
  <c r="C324" i="57"/>
  <c r="C323" i="57"/>
  <c r="J323" i="57" s="1"/>
  <c r="J65" i="506" l="1"/>
  <c r="K64" i="506"/>
  <c r="K397" i="57"/>
  <c r="J526" i="57"/>
  <c r="J527" i="57" s="1"/>
  <c r="J528" i="57" s="1"/>
  <c r="K381" i="57"/>
  <c r="J376" i="57"/>
  <c r="J377" i="57" s="1"/>
  <c r="J378" i="57" s="1"/>
  <c r="J379" i="57" s="1"/>
  <c r="J380" i="57" s="1"/>
  <c r="J381" i="57" s="1"/>
  <c r="K373" i="57"/>
  <c r="J366" i="57"/>
  <c r="J367" i="57" s="1"/>
  <c r="J368" i="57" s="1"/>
  <c r="J369" i="57" s="1"/>
  <c r="J370" i="57" s="1"/>
  <c r="J371" i="57" s="1"/>
  <c r="K371" i="57"/>
  <c r="K359" i="57"/>
  <c r="K347" i="57"/>
  <c r="K341" i="57"/>
  <c r="K331" i="57"/>
  <c r="B13" i="669"/>
  <c r="B13" i="670"/>
  <c r="K13" i="669"/>
  <c r="C29" i="669" s="1"/>
  <c r="K13" i="670"/>
  <c r="B481" i="57"/>
  <c r="B482" i="57" s="1"/>
  <c r="B483" i="57" s="1"/>
  <c r="B473" i="57"/>
  <c r="J529" i="57"/>
  <c r="K529" i="57"/>
  <c r="L529" i="57" s="1"/>
  <c r="B526" i="57"/>
  <c r="J481" i="57"/>
  <c r="V528" i="57"/>
  <c r="J519" i="57"/>
  <c r="K519" i="57"/>
  <c r="L519" i="57" s="1"/>
  <c r="B520" i="57"/>
  <c r="J476" i="57"/>
  <c r="K483" i="57"/>
  <c r="J473" i="57"/>
  <c r="K476" i="57"/>
  <c r="B475" i="57"/>
  <c r="B476" i="57" s="1"/>
  <c r="B474" i="57"/>
  <c r="J375" i="57"/>
  <c r="J474" i="57"/>
  <c r="B388" i="57"/>
  <c r="B389" i="57" s="1"/>
  <c r="V393" i="57"/>
  <c r="V390" i="57"/>
  <c r="J386" i="57"/>
  <c r="V389" i="57"/>
  <c r="V391" i="57"/>
  <c r="K392" i="57"/>
  <c r="V392" i="57"/>
  <c r="J365" i="57"/>
  <c r="K375" i="57"/>
  <c r="L375" i="57" s="1"/>
  <c r="B386" i="57"/>
  <c r="J387" i="57"/>
  <c r="V394" i="57"/>
  <c r="V397" i="57"/>
  <c r="V396" i="57"/>
  <c r="V395" i="57"/>
  <c r="B365" i="57"/>
  <c r="V399" i="57"/>
  <c r="V385" i="57"/>
  <c r="B376" i="57"/>
  <c r="V381" i="57"/>
  <c r="J356" i="57"/>
  <c r="V380" i="57"/>
  <c r="K356" i="57"/>
  <c r="L356" i="57" s="1"/>
  <c r="B366" i="57"/>
  <c r="J358" i="57"/>
  <c r="J359" i="57" s="1"/>
  <c r="V364" i="57"/>
  <c r="V363" i="57"/>
  <c r="B334" i="57"/>
  <c r="K334" i="57"/>
  <c r="L334" i="57" s="1"/>
  <c r="B357" i="57"/>
  <c r="B358" i="57" s="1"/>
  <c r="V359" i="57"/>
  <c r="V358" i="57"/>
  <c r="J346" i="57"/>
  <c r="J347" i="57" s="1"/>
  <c r="K337" i="57"/>
  <c r="B335" i="57"/>
  <c r="V337" i="57"/>
  <c r="J335" i="57"/>
  <c r="B326" i="57"/>
  <c r="B327" i="57" s="1"/>
  <c r="B328" i="57" s="1"/>
  <c r="B329" i="57" s="1"/>
  <c r="B330" i="57" s="1"/>
  <c r="B331" i="57" s="1"/>
  <c r="B332" i="57" s="1"/>
  <c r="V354" i="57"/>
  <c r="B480" i="57"/>
  <c r="B345" i="57"/>
  <c r="B346" i="57" s="1"/>
  <c r="B347" i="57" s="1"/>
  <c r="V355" i="57"/>
  <c r="J480" i="57"/>
  <c r="B323" i="57"/>
  <c r="V329" i="57"/>
  <c r="K323" i="57"/>
  <c r="L323" i="57" s="1"/>
  <c r="K328" i="57"/>
  <c r="J325" i="57"/>
  <c r="J326" i="57" s="1"/>
  <c r="J327" i="57" s="1"/>
  <c r="J328" i="57" s="1"/>
  <c r="V330" i="57"/>
  <c r="B324" i="57"/>
  <c r="V331" i="57"/>
  <c r="J324" i="57"/>
  <c r="V327" i="57"/>
  <c r="V333" i="57"/>
  <c r="U306" i="57"/>
  <c r="S306" i="57"/>
  <c r="R306" i="57"/>
  <c r="C306" i="57"/>
  <c r="U300" i="57"/>
  <c r="S300" i="57"/>
  <c r="R300" i="57"/>
  <c r="C300" i="57"/>
  <c r="U291" i="57"/>
  <c r="S291" i="57"/>
  <c r="R291" i="57"/>
  <c r="C291" i="57"/>
  <c r="U304" i="57"/>
  <c r="S304" i="57"/>
  <c r="R304" i="57"/>
  <c r="C304" i="57"/>
  <c r="K304" i="57" s="1"/>
  <c r="U303" i="57"/>
  <c r="S303" i="57"/>
  <c r="R303" i="57"/>
  <c r="C303" i="57"/>
  <c r="K303" i="57" s="1"/>
  <c r="U302" i="57"/>
  <c r="S302" i="57"/>
  <c r="R302" i="57"/>
  <c r="C302" i="57"/>
  <c r="K302" i="57" s="1"/>
  <c r="U299" i="57"/>
  <c r="S299" i="57"/>
  <c r="R299" i="57"/>
  <c r="C299" i="57"/>
  <c r="K299" i="57" s="1"/>
  <c r="U296" i="57"/>
  <c r="S296" i="57"/>
  <c r="R296" i="57"/>
  <c r="C296" i="57"/>
  <c r="U295" i="57"/>
  <c r="V295" i="57" s="1"/>
  <c r="S295" i="57"/>
  <c r="R295" i="57"/>
  <c r="C295" i="57"/>
  <c r="U294" i="57"/>
  <c r="V294" i="57" s="1"/>
  <c r="S294" i="57"/>
  <c r="R294" i="57"/>
  <c r="C294" i="57"/>
  <c r="K294" i="57" s="1"/>
  <c r="U293" i="57"/>
  <c r="V293" i="57" s="1"/>
  <c r="S293" i="57"/>
  <c r="R293" i="57"/>
  <c r="C293" i="57"/>
  <c r="K293" i="57" s="1"/>
  <c r="U290" i="57"/>
  <c r="S290" i="57"/>
  <c r="R290" i="57"/>
  <c r="C290" i="57"/>
  <c r="K290" i="57" s="1"/>
  <c r="U314" i="57"/>
  <c r="S314" i="57"/>
  <c r="R314" i="57"/>
  <c r="C314" i="57"/>
  <c r="K314" i="57" s="1"/>
  <c r="U311" i="57"/>
  <c r="S311" i="57"/>
  <c r="R311" i="57"/>
  <c r="C311" i="57"/>
  <c r="U310" i="57"/>
  <c r="S310" i="57"/>
  <c r="R310" i="57"/>
  <c r="C310" i="57"/>
  <c r="K310" i="57" s="1"/>
  <c r="U309" i="57"/>
  <c r="S309" i="57"/>
  <c r="R309" i="57"/>
  <c r="C309" i="57"/>
  <c r="K309" i="57" s="1"/>
  <c r="U305" i="57"/>
  <c r="V305" i="57" s="1"/>
  <c r="S305" i="57"/>
  <c r="R305" i="57"/>
  <c r="C305" i="57"/>
  <c r="K305" i="57" s="1"/>
  <c r="U288" i="57"/>
  <c r="S288" i="57"/>
  <c r="R288" i="57"/>
  <c r="C288" i="57"/>
  <c r="K288" i="57" s="1"/>
  <c r="U315" i="57"/>
  <c r="S315" i="57"/>
  <c r="R315" i="57"/>
  <c r="C315" i="57"/>
  <c r="U279" i="57"/>
  <c r="S279" i="57"/>
  <c r="R279" i="57"/>
  <c r="C279" i="57"/>
  <c r="K279" i="57" s="1"/>
  <c r="U278" i="57"/>
  <c r="S278" i="57"/>
  <c r="R278" i="57"/>
  <c r="C278" i="57"/>
  <c r="K278" i="57" s="1"/>
  <c r="C269" i="57"/>
  <c r="C268" i="57"/>
  <c r="K268" i="57" s="1"/>
  <c r="L268" i="57" s="1"/>
  <c r="U267" i="57"/>
  <c r="S267" i="57"/>
  <c r="R267" i="57"/>
  <c r="C267" i="57"/>
  <c r="K267" i="57" s="1"/>
  <c r="U266" i="57"/>
  <c r="S266" i="57"/>
  <c r="R266" i="57"/>
  <c r="C266" i="57"/>
  <c r="K266" i="57" s="1"/>
  <c r="C265" i="57"/>
  <c r="B265" i="57" s="1"/>
  <c r="C264" i="57"/>
  <c r="K264" i="57" s="1"/>
  <c r="L264" i="57" s="1"/>
  <c r="U322" i="57"/>
  <c r="S322" i="57"/>
  <c r="R322" i="57"/>
  <c r="C322" i="57"/>
  <c r="U287" i="57"/>
  <c r="S287" i="57"/>
  <c r="R287" i="57"/>
  <c r="C287" i="57"/>
  <c r="C286" i="57"/>
  <c r="B286" i="57" s="1"/>
  <c r="C285" i="57"/>
  <c r="K285" i="57" s="1"/>
  <c r="L285" i="57" s="1"/>
  <c r="U258" i="57"/>
  <c r="S258" i="57"/>
  <c r="R258" i="57"/>
  <c r="C258" i="57"/>
  <c r="K258" i="57" s="1"/>
  <c r="U257" i="57"/>
  <c r="S257" i="57"/>
  <c r="R257" i="57"/>
  <c r="C257" i="57"/>
  <c r="K257" i="57" s="1"/>
  <c r="U256" i="57"/>
  <c r="S256" i="57"/>
  <c r="R256" i="57"/>
  <c r="C256" i="57"/>
  <c r="K256" i="57" s="1"/>
  <c r="U255" i="57"/>
  <c r="S255" i="57"/>
  <c r="R255" i="57"/>
  <c r="C255" i="57"/>
  <c r="K255" i="57" s="1"/>
  <c r="U253" i="57"/>
  <c r="S253" i="57"/>
  <c r="R253" i="57"/>
  <c r="C253" i="57"/>
  <c r="C252" i="57"/>
  <c r="B252" i="57" s="1"/>
  <c r="C251" i="57"/>
  <c r="B251" i="57" s="1"/>
  <c r="U248" i="57"/>
  <c r="S248" i="57"/>
  <c r="R248" i="57"/>
  <c r="C248" i="57"/>
  <c r="U247" i="57"/>
  <c r="S247" i="57"/>
  <c r="R247" i="57"/>
  <c r="C247" i="57"/>
  <c r="K247" i="57" s="1"/>
  <c r="C344" i="57"/>
  <c r="K344" i="57" s="1"/>
  <c r="L344" i="57" s="1"/>
  <c r="S250" i="57"/>
  <c r="R250" i="57"/>
  <c r="C250" i="57"/>
  <c r="K250" i="57" s="1"/>
  <c r="U242" i="57"/>
  <c r="S242" i="57"/>
  <c r="R242" i="57"/>
  <c r="C242" i="57"/>
  <c r="K242" i="57" s="1"/>
  <c r="U240" i="57"/>
  <c r="V240" i="57" s="1"/>
  <c r="S240" i="57"/>
  <c r="R240" i="57"/>
  <c r="C240" i="57"/>
  <c r="U244" i="57"/>
  <c r="V244" i="57" s="1"/>
  <c r="S244" i="57"/>
  <c r="R244" i="57"/>
  <c r="C244" i="57"/>
  <c r="U243" i="57"/>
  <c r="S243" i="57"/>
  <c r="R243" i="57"/>
  <c r="C243" i="57"/>
  <c r="K243" i="57" s="1"/>
  <c r="C237" i="57"/>
  <c r="C236" i="57"/>
  <c r="J236" i="57" s="1"/>
  <c r="C235" i="57"/>
  <c r="K235" i="57" s="1"/>
  <c r="L235" i="57" s="1"/>
  <c r="S225" i="57"/>
  <c r="K193" i="673" s="1"/>
  <c r="R225" i="57"/>
  <c r="B193" i="673" s="1"/>
  <c r="C225" i="57"/>
  <c r="K225" i="57" s="1"/>
  <c r="C223" i="57"/>
  <c r="C222" i="57"/>
  <c r="K222" i="57" s="1"/>
  <c r="L222" i="57" s="1"/>
  <c r="J66" i="506" l="1"/>
  <c r="K65" i="506"/>
  <c r="K240" i="57"/>
  <c r="K322" i="57"/>
  <c r="B527" i="57"/>
  <c r="J382" i="57"/>
  <c r="J383" i="57" s="1"/>
  <c r="B377" i="57"/>
  <c r="B367" i="57"/>
  <c r="J372" i="57"/>
  <c r="J373" i="57" s="1"/>
  <c r="J360" i="57"/>
  <c r="J361" i="57" s="1"/>
  <c r="J348" i="57"/>
  <c r="B348" i="57"/>
  <c r="J336" i="57"/>
  <c r="J337" i="57" s="1"/>
  <c r="B336" i="57"/>
  <c r="B337" i="57" s="1"/>
  <c r="K315" i="57"/>
  <c r="K311" i="57"/>
  <c r="K300" i="57"/>
  <c r="K296" i="57"/>
  <c r="K306" i="57"/>
  <c r="D197" i="673"/>
  <c r="D198" i="673"/>
  <c r="D199" i="673" s="1"/>
  <c r="D200" i="673" s="1"/>
  <c r="D201" i="673" s="1"/>
  <c r="C208" i="673"/>
  <c r="D196" i="673"/>
  <c r="K291" i="57"/>
  <c r="C28" i="670"/>
  <c r="C16" i="670"/>
  <c r="C17" i="670" s="1"/>
  <c r="K253" i="57"/>
  <c r="K248" i="57"/>
  <c r="K244" i="57"/>
  <c r="J237" i="57"/>
  <c r="J223" i="57"/>
  <c r="J224" i="57" s="1"/>
  <c r="J225" i="57" s="1"/>
  <c r="J482" i="57"/>
  <c r="J483" i="57" s="1"/>
  <c r="J477" i="57"/>
  <c r="B477" i="57"/>
  <c r="B478" i="57" s="1"/>
  <c r="K287" i="57"/>
  <c r="B390" i="57"/>
  <c r="J388" i="57"/>
  <c r="J389" i="57" s="1"/>
  <c r="J390" i="57" s="1"/>
  <c r="J391" i="57" s="1"/>
  <c r="J392" i="57" s="1"/>
  <c r="J393" i="57" s="1"/>
  <c r="J394" i="57" s="1"/>
  <c r="J395" i="57" s="1"/>
  <c r="J396" i="57" s="1"/>
  <c r="J397" i="57" s="1"/>
  <c r="B359" i="57"/>
  <c r="B360" i="57" s="1"/>
  <c r="J329" i="57"/>
  <c r="J330" i="57" s="1"/>
  <c r="J331" i="57" s="1"/>
  <c r="B333" i="57"/>
  <c r="V306" i="57"/>
  <c r="V300" i="57"/>
  <c r="V291" i="57"/>
  <c r="V290" i="57"/>
  <c r="V304" i="57"/>
  <c r="V296" i="57"/>
  <c r="V311" i="57"/>
  <c r="K295" i="57"/>
  <c r="V303" i="57"/>
  <c r="V302" i="57"/>
  <c r="V299" i="57"/>
  <c r="V310" i="57"/>
  <c r="V309" i="57"/>
  <c r="B268" i="57"/>
  <c r="J268" i="57"/>
  <c r="V314" i="57"/>
  <c r="V288" i="57"/>
  <c r="V315" i="57"/>
  <c r="J264" i="57"/>
  <c r="B269" i="57"/>
  <c r="V278" i="57"/>
  <c r="J269" i="57"/>
  <c r="J285" i="57"/>
  <c r="V279" i="57"/>
  <c r="B266" i="57"/>
  <c r="B267" i="57" s="1"/>
  <c r="V267" i="57"/>
  <c r="V266" i="57"/>
  <c r="J265" i="57"/>
  <c r="J266" i="57" s="1"/>
  <c r="J267" i="57" s="1"/>
  <c r="B264" i="57"/>
  <c r="V322" i="57"/>
  <c r="V287" i="57"/>
  <c r="J251" i="57"/>
  <c r="K251" i="57"/>
  <c r="L251" i="57" s="1"/>
  <c r="J286" i="57"/>
  <c r="B285" i="57"/>
  <c r="V255" i="57"/>
  <c r="V253" i="57"/>
  <c r="J252" i="57"/>
  <c r="J253" i="57" s="1"/>
  <c r="V258" i="57"/>
  <c r="B253" i="57"/>
  <c r="V257" i="57"/>
  <c r="V256" i="57"/>
  <c r="V247" i="57"/>
  <c r="V248" i="57"/>
  <c r="B237" i="57"/>
  <c r="B238" i="57" s="1"/>
  <c r="J235" i="57"/>
  <c r="V243" i="57"/>
  <c r="B236" i="57"/>
  <c r="B344" i="57"/>
  <c r="V242" i="57"/>
  <c r="J344" i="57"/>
  <c r="B235" i="57"/>
  <c r="B222" i="57"/>
  <c r="J222" i="57"/>
  <c r="B223" i="57"/>
  <c r="J67" i="506" l="1"/>
  <c r="K66" i="506"/>
  <c r="J398" i="57"/>
  <c r="J399" i="57" s="1"/>
  <c r="B361" i="57"/>
  <c r="J362" i="57"/>
  <c r="J363" i="57" s="1"/>
  <c r="J364" i="57" s="1"/>
  <c r="B528" i="57"/>
  <c r="J384" i="57"/>
  <c r="J385" i="57" s="1"/>
  <c r="B378" i="57"/>
  <c r="J374" i="57"/>
  <c r="B368" i="57"/>
  <c r="B349" i="57"/>
  <c r="B350" i="57" s="1"/>
  <c r="J349" i="57"/>
  <c r="B338" i="57"/>
  <c r="B339" i="57" s="1"/>
  <c r="J338" i="57"/>
  <c r="J332" i="57"/>
  <c r="J333" i="57" s="1"/>
  <c r="J238" i="57"/>
  <c r="J239" i="57" s="1"/>
  <c r="J270" i="57"/>
  <c r="J271" i="57" s="1"/>
  <c r="B270" i="57"/>
  <c r="J254" i="57"/>
  <c r="J255" i="57" s="1"/>
  <c r="J256" i="57" s="1"/>
  <c r="J257" i="57" s="1"/>
  <c r="J258" i="57" s="1"/>
  <c r="B254" i="57"/>
  <c r="B239" i="57"/>
  <c r="B224" i="57"/>
  <c r="J478" i="57"/>
  <c r="J479" i="57" s="1"/>
  <c r="B479" i="57"/>
  <c r="J68" i="506" l="1"/>
  <c r="K67" i="506"/>
  <c r="B362" i="57"/>
  <c r="B363" i="57" s="1"/>
  <c r="J339" i="57"/>
  <c r="J340" i="57" s="1"/>
  <c r="J341" i="57" s="1"/>
  <c r="J342" i="57" s="1"/>
  <c r="J343" i="57" s="1"/>
  <c r="B379" i="57"/>
  <c r="B369" i="57"/>
  <c r="J350" i="57"/>
  <c r="J351" i="57" s="1"/>
  <c r="J352" i="57" s="1"/>
  <c r="B351" i="57"/>
  <c r="B352" i="57" s="1"/>
  <c r="B340" i="57"/>
  <c r="J272" i="57"/>
  <c r="J273" i="57" s="1"/>
  <c r="J274" i="57" s="1"/>
  <c r="B271" i="57"/>
  <c r="B272" i="57" s="1"/>
  <c r="B255" i="57"/>
  <c r="B256" i="57" s="1"/>
  <c r="B257" i="57" s="1"/>
  <c r="B225" i="57"/>
  <c r="B391" i="57"/>
  <c r="B392" i="57" s="1"/>
  <c r="B393" i="57" s="1"/>
  <c r="B394" i="57" s="1"/>
  <c r="B395" i="57" s="1"/>
  <c r="B396" i="57" s="1"/>
  <c r="B397" i="57" s="1"/>
  <c r="J69" i="506" l="1"/>
  <c r="K68" i="506"/>
  <c r="B398" i="57"/>
  <c r="B370" i="57"/>
  <c r="B353" i="57"/>
  <c r="J353" i="57"/>
  <c r="J354" i="57" s="1"/>
  <c r="J355" i="57" s="1"/>
  <c r="B341" i="57"/>
  <c r="J275" i="57"/>
  <c r="J276" i="57" s="1"/>
  <c r="B364" i="57"/>
  <c r="B258" i="57"/>
  <c r="J70" i="506" l="1"/>
  <c r="K69" i="506"/>
  <c r="B399" i="57"/>
  <c r="B380" i="57"/>
  <c r="B381" i="57" s="1"/>
  <c r="B371" i="57"/>
  <c r="B372" i="57" s="1"/>
  <c r="B373" i="57" s="1"/>
  <c r="B354" i="57"/>
  <c r="B355" i="57" s="1"/>
  <c r="B342" i="57"/>
  <c r="J277" i="57"/>
  <c r="J278" i="57" s="1"/>
  <c r="J279" i="57" s="1"/>
  <c r="B273" i="57"/>
  <c r="J71" i="506" l="1"/>
  <c r="K70" i="506"/>
  <c r="B382" i="57"/>
  <c r="B374" i="57"/>
  <c r="B343" i="57"/>
  <c r="B274" i="57"/>
  <c r="J72" i="506" l="1"/>
  <c r="K71" i="506"/>
  <c r="B383" i="57"/>
  <c r="B384" i="57" s="1"/>
  <c r="B275" i="57"/>
  <c r="J73" i="506" l="1"/>
  <c r="K72" i="506"/>
  <c r="B385" i="57"/>
  <c r="B276" i="57"/>
  <c r="B277" i="57" s="1"/>
  <c r="J74" i="506" l="1"/>
  <c r="K73" i="506"/>
  <c r="B278" i="57"/>
  <c r="B279" i="57" s="1"/>
  <c r="J75" i="506" l="1"/>
  <c r="K74" i="506"/>
  <c r="C218" i="57"/>
  <c r="C212" i="57"/>
  <c r="C208" i="57"/>
  <c r="J208" i="57" s="1"/>
  <c r="C207" i="57"/>
  <c r="K207" i="57" s="1"/>
  <c r="L207" i="57" s="1"/>
  <c r="K93" i="668"/>
  <c r="C108" i="668" s="1"/>
  <c r="B93" i="668"/>
  <c r="C205" i="57"/>
  <c r="C199" i="57"/>
  <c r="J199" i="57" s="1"/>
  <c r="C198" i="57"/>
  <c r="K198" i="57" s="1"/>
  <c r="L198" i="57" s="1"/>
  <c r="U191" i="57"/>
  <c r="S191" i="57"/>
  <c r="R191" i="57"/>
  <c r="C191" i="57"/>
  <c r="K191" i="57" s="1"/>
  <c r="U190" i="57"/>
  <c r="S190" i="57"/>
  <c r="K13" i="668" s="1"/>
  <c r="R190" i="57"/>
  <c r="B13" i="668" s="1"/>
  <c r="C190" i="57"/>
  <c r="K190" i="57" s="1"/>
  <c r="U196" i="57"/>
  <c r="S196" i="57"/>
  <c r="R196" i="57"/>
  <c r="C196" i="57"/>
  <c r="U195" i="57"/>
  <c r="S195" i="57"/>
  <c r="R195" i="57"/>
  <c r="C195" i="57"/>
  <c r="K195" i="57" s="1"/>
  <c r="C194" i="57"/>
  <c r="B194" i="57" s="1"/>
  <c r="C193" i="57"/>
  <c r="J193" i="57" s="1"/>
  <c r="U192" i="57"/>
  <c r="S192" i="57"/>
  <c r="K53" i="668" s="1"/>
  <c r="R192" i="57"/>
  <c r="B53" i="668" s="1"/>
  <c r="C192" i="57"/>
  <c r="C189" i="57"/>
  <c r="B189" i="57" s="1"/>
  <c r="C188" i="57"/>
  <c r="J188" i="57" s="1"/>
  <c r="C187" i="57"/>
  <c r="K187" i="57" s="1"/>
  <c r="L187" i="57" s="1"/>
  <c r="U185" i="57"/>
  <c r="S185" i="57"/>
  <c r="K273" i="667" s="1"/>
  <c r="C288" i="667" s="1"/>
  <c r="R185" i="57"/>
  <c r="B273" i="667" s="1"/>
  <c r="C185" i="57"/>
  <c r="K185" i="57" s="1"/>
  <c r="U186" i="57"/>
  <c r="S186" i="57"/>
  <c r="K293" i="667" s="1"/>
  <c r="C308" i="667" s="1"/>
  <c r="R186" i="57"/>
  <c r="B293" i="667" s="1"/>
  <c r="C186" i="57"/>
  <c r="K186" i="57" s="1"/>
  <c r="U180" i="57"/>
  <c r="S180" i="57"/>
  <c r="K33" i="667" s="1"/>
  <c r="C48" i="667" s="1"/>
  <c r="R180" i="57"/>
  <c r="B33" i="667" s="1"/>
  <c r="C180" i="57"/>
  <c r="K180" i="57" s="1"/>
  <c r="U179" i="57"/>
  <c r="S179" i="57"/>
  <c r="K13" i="667" s="1"/>
  <c r="C28" i="667" s="1"/>
  <c r="R179" i="57"/>
  <c r="B13" i="667" s="1"/>
  <c r="C179" i="57"/>
  <c r="K179" i="57" s="1"/>
  <c r="C182" i="57"/>
  <c r="J182" i="57" s="1"/>
  <c r="C181" i="57"/>
  <c r="K181" i="57" s="1"/>
  <c r="L181" i="57" s="1"/>
  <c r="C178" i="57"/>
  <c r="J178" i="57" s="1"/>
  <c r="C177" i="57"/>
  <c r="K177" i="57" s="1"/>
  <c r="L177" i="57" s="1"/>
  <c r="C167" i="57"/>
  <c r="C166" i="57"/>
  <c r="B166" i="57" s="1"/>
  <c r="C165" i="57"/>
  <c r="B165" i="57" s="1"/>
  <c r="U156" i="57"/>
  <c r="S156" i="57"/>
  <c r="R156" i="57"/>
  <c r="C156" i="57"/>
  <c r="C160" i="57"/>
  <c r="C159" i="57"/>
  <c r="K159" i="57" s="1"/>
  <c r="L159" i="57" s="1"/>
  <c r="C217" i="57"/>
  <c r="K217" i="57" s="1"/>
  <c r="L217" i="57" s="1"/>
  <c r="R158" i="57"/>
  <c r="S158" i="57"/>
  <c r="U158" i="57"/>
  <c r="C158" i="57"/>
  <c r="C155" i="57"/>
  <c r="C154" i="57"/>
  <c r="B154" i="57" s="1"/>
  <c r="C147" i="57"/>
  <c r="J147" i="57" s="1"/>
  <c r="J76" i="506" l="1"/>
  <c r="K75" i="506"/>
  <c r="B33" i="668"/>
  <c r="B113" i="680"/>
  <c r="K33" i="668"/>
  <c r="C36" i="668" s="1"/>
  <c r="K113" i="680"/>
  <c r="C56" i="668"/>
  <c r="C68" i="668"/>
  <c r="C16" i="668"/>
  <c r="C28" i="668"/>
  <c r="K93" i="665"/>
  <c r="C108" i="665" s="1"/>
  <c r="B93" i="665"/>
  <c r="B73" i="665"/>
  <c r="K73" i="665"/>
  <c r="C88" i="665" s="1"/>
  <c r="K93" i="666"/>
  <c r="C101" i="666" s="1"/>
  <c r="K113" i="665"/>
  <c r="B93" i="666"/>
  <c r="B13" i="665"/>
  <c r="B13" i="666"/>
  <c r="K13" i="665"/>
  <c r="D25" i="665" s="1"/>
  <c r="K13" i="666"/>
  <c r="C16" i="666" s="1"/>
  <c r="B33" i="665"/>
  <c r="B33" i="666"/>
  <c r="K33" i="665"/>
  <c r="D45" i="665" s="1"/>
  <c r="K33" i="666"/>
  <c r="K53" i="665"/>
  <c r="D67" i="665" s="1"/>
  <c r="B53" i="665"/>
  <c r="K53" i="664"/>
  <c r="D68" i="664" s="1"/>
  <c r="B53" i="664"/>
  <c r="K93" i="664"/>
  <c r="C99" i="664" s="1"/>
  <c r="K13" i="664"/>
  <c r="B93" i="664"/>
  <c r="B13" i="664"/>
  <c r="B218" i="57"/>
  <c r="B219" i="57" s="1"/>
  <c r="J212" i="57"/>
  <c r="J213" i="57" s="1"/>
  <c r="B205" i="57"/>
  <c r="B206" i="57" s="1"/>
  <c r="K196" i="57"/>
  <c r="B167" i="57"/>
  <c r="B168" i="57" s="1"/>
  <c r="K156" i="57"/>
  <c r="B155" i="57"/>
  <c r="J160" i="57"/>
  <c r="J161" i="57" s="1"/>
  <c r="V491" i="57"/>
  <c r="B198" i="57"/>
  <c r="J218" i="57"/>
  <c r="J219" i="57" s="1"/>
  <c r="B212" i="57"/>
  <c r="B208" i="57"/>
  <c r="B207" i="57"/>
  <c r="J207" i="57"/>
  <c r="J198" i="57"/>
  <c r="J205" i="57"/>
  <c r="B199" i="57"/>
  <c r="K193" i="57"/>
  <c r="L193" i="57" s="1"/>
  <c r="B187" i="57"/>
  <c r="B188" i="57"/>
  <c r="B193" i="57"/>
  <c r="B190" i="57"/>
  <c r="B191" i="57" s="1"/>
  <c r="K192" i="57"/>
  <c r="J194" i="57"/>
  <c r="J195" i="57" s="1"/>
  <c r="J196" i="57" s="1"/>
  <c r="J197" i="57" s="1"/>
  <c r="J187" i="57"/>
  <c r="J189" i="57"/>
  <c r="B195" i="57"/>
  <c r="V185" i="57"/>
  <c r="V186" i="57"/>
  <c r="J179" i="57"/>
  <c r="J180" i="57" s="1"/>
  <c r="V180" i="57"/>
  <c r="V179" i="57"/>
  <c r="J181" i="57"/>
  <c r="J166" i="57"/>
  <c r="J177" i="57"/>
  <c r="B177" i="57"/>
  <c r="B181" i="57"/>
  <c r="B178" i="57"/>
  <c r="B179" i="57" s="1"/>
  <c r="B180" i="57" s="1"/>
  <c r="B182" i="57"/>
  <c r="J165" i="57"/>
  <c r="K165" i="57"/>
  <c r="L165" i="57" s="1"/>
  <c r="J167" i="57"/>
  <c r="J159" i="57"/>
  <c r="V156" i="57"/>
  <c r="B217" i="57"/>
  <c r="J217" i="57"/>
  <c r="B159" i="57"/>
  <c r="B160" i="57"/>
  <c r="J154" i="57"/>
  <c r="V158" i="57"/>
  <c r="K158" i="57"/>
  <c r="K147" i="57"/>
  <c r="L147" i="57" s="1"/>
  <c r="J155" i="57"/>
  <c r="B147" i="57"/>
  <c r="J77" i="506" l="1"/>
  <c r="K76" i="506"/>
  <c r="C48" i="668"/>
  <c r="C116" i="665"/>
  <c r="C128" i="665"/>
  <c r="J220" i="57"/>
  <c r="J221" i="57" s="1"/>
  <c r="B213" i="57"/>
  <c r="J214" i="57"/>
  <c r="J215" i="57" s="1"/>
  <c r="J216" i="57" s="1"/>
  <c r="J206" i="57"/>
  <c r="J183" i="57"/>
  <c r="J184" i="57" s="1"/>
  <c r="J185" i="57" s="1"/>
  <c r="J186" i="57" s="1"/>
  <c r="B169" i="57"/>
  <c r="J168" i="57"/>
  <c r="B156" i="57"/>
  <c r="B157" i="57" s="1"/>
  <c r="B158" i="57" s="1"/>
  <c r="B161" i="57"/>
  <c r="V190" i="57"/>
  <c r="V494" i="57"/>
  <c r="V191" i="57"/>
  <c r="V196" i="57"/>
  <c r="V195" i="57"/>
  <c r="B192" i="57"/>
  <c r="J190" i="57"/>
  <c r="J191" i="57" s="1"/>
  <c r="J192" i="57" s="1"/>
  <c r="B196" i="57"/>
  <c r="B197" i="57" s="1"/>
  <c r="J156" i="57"/>
  <c r="J78" i="506" l="1"/>
  <c r="K77" i="506"/>
  <c r="B220" i="57"/>
  <c r="B221" i="57" s="1"/>
  <c r="B214" i="57"/>
  <c r="B215" i="57" s="1"/>
  <c r="B216" i="57" s="1"/>
  <c r="J169" i="57"/>
  <c r="J170" i="57" s="1"/>
  <c r="J171" i="57" s="1"/>
  <c r="J172" i="57" s="1"/>
  <c r="B170" i="57"/>
  <c r="B171" i="57" s="1"/>
  <c r="J157" i="57"/>
  <c r="J158" i="57" s="1"/>
  <c r="V192" i="57"/>
  <c r="J79" i="506" l="1"/>
  <c r="K78" i="506"/>
  <c r="B172" i="57"/>
  <c r="B173" i="57" s="1"/>
  <c r="B174" i="57" s="1"/>
  <c r="B175" i="57" s="1"/>
  <c r="B176" i="57" s="1"/>
  <c r="J173" i="57"/>
  <c r="J174" i="57" s="1"/>
  <c r="J175" i="57" s="1"/>
  <c r="J176" i="57" s="1"/>
  <c r="V479" i="57"/>
  <c r="V476" i="57"/>
  <c r="J80" i="506" l="1"/>
  <c r="K79" i="506"/>
  <c r="B183" i="57"/>
  <c r="J81" i="506" l="1"/>
  <c r="K80" i="506"/>
  <c r="B184" i="57"/>
  <c r="B185" i="57" s="1"/>
  <c r="B186" i="57" s="1"/>
  <c r="J82" i="506" l="1"/>
  <c r="K81" i="506"/>
  <c r="C49" i="57"/>
  <c r="K49" i="57" s="1"/>
  <c r="L49" i="57" s="1"/>
  <c r="S48" i="57"/>
  <c r="K33" i="679" s="1"/>
  <c r="C48" i="679" s="1"/>
  <c r="R48" i="57"/>
  <c r="B33" i="679" s="1"/>
  <c r="C48" i="57"/>
  <c r="U47" i="57"/>
  <c r="S47" i="57"/>
  <c r="K13" i="679" s="1"/>
  <c r="R47" i="57"/>
  <c r="B13" i="679" s="1"/>
  <c r="C47" i="57"/>
  <c r="C46" i="57"/>
  <c r="B46" i="57" s="1"/>
  <c r="J83" i="506" l="1"/>
  <c r="K82" i="506"/>
  <c r="C28" i="679"/>
  <c r="C16" i="679"/>
  <c r="J46" i="57"/>
  <c r="J47" i="57" s="1"/>
  <c r="J48" i="57" s="1"/>
  <c r="B49" i="57"/>
  <c r="J49" i="57"/>
  <c r="B47" i="57"/>
  <c r="B48" i="57" s="1"/>
  <c r="V47" i="57"/>
  <c r="K48" i="57"/>
  <c r="K47" i="57"/>
  <c r="J84" i="506" l="1"/>
  <c r="K83" i="506"/>
  <c r="E152" i="245"/>
  <c r="F150" i="245"/>
  <c r="G150" i="245" s="1"/>
  <c r="D150" i="245"/>
  <c r="C150" i="245"/>
  <c r="G146" i="245"/>
  <c r="G147" i="245" s="1"/>
  <c r="I143" i="245" s="1"/>
  <c r="M143" i="245"/>
  <c r="S65" i="57"/>
  <c r="R65" i="57"/>
  <c r="C65" i="57"/>
  <c r="K65" i="57" s="1"/>
  <c r="S55" i="57"/>
  <c r="R55" i="57"/>
  <c r="C55" i="57"/>
  <c r="J85" i="506" l="1"/>
  <c r="K84" i="506"/>
  <c r="B93" i="676"/>
  <c r="B93" i="674"/>
  <c r="B133" i="675"/>
  <c r="B93" i="677"/>
  <c r="K93" i="676"/>
  <c r="C108" i="676" s="1"/>
  <c r="K93" i="674"/>
  <c r="C108" i="674" s="1"/>
  <c r="K133" i="675"/>
  <c r="C148" i="675" s="1"/>
  <c r="K93" i="677"/>
  <c r="C108" i="677" s="1"/>
  <c r="K55" i="57"/>
  <c r="J86" i="506" l="1"/>
  <c r="K85" i="506"/>
  <c r="U152" i="57"/>
  <c r="S152" i="57"/>
  <c r="R152" i="57"/>
  <c r="C152" i="57"/>
  <c r="K152" i="57" s="1"/>
  <c r="U150" i="57"/>
  <c r="S150" i="57"/>
  <c r="R150" i="57"/>
  <c r="C150" i="57"/>
  <c r="U149" i="57"/>
  <c r="S149" i="57"/>
  <c r="R149" i="57"/>
  <c r="C149" i="57"/>
  <c r="C148" i="57"/>
  <c r="B148" i="57" s="1"/>
  <c r="C143" i="57"/>
  <c r="B143" i="57" s="1"/>
  <c r="J87" i="506" l="1"/>
  <c r="K86" i="506"/>
  <c r="K73" i="660"/>
  <c r="C80" i="660" s="1"/>
  <c r="K53" i="660"/>
  <c r="C60" i="660" s="1"/>
  <c r="B73" i="660"/>
  <c r="B53" i="660"/>
  <c r="J148" i="57"/>
  <c r="J149" i="57" s="1"/>
  <c r="J150" i="57" s="1"/>
  <c r="V149" i="57"/>
  <c r="B149" i="57"/>
  <c r="B150" i="57" s="1"/>
  <c r="V152" i="57"/>
  <c r="J143" i="57"/>
  <c r="K150" i="57"/>
  <c r="K149" i="57"/>
  <c r="V483" i="57"/>
  <c r="J88" i="506" l="1"/>
  <c r="K87" i="506"/>
  <c r="J151" i="57"/>
  <c r="J152" i="57" s="1"/>
  <c r="B151" i="57"/>
  <c r="V150" i="57"/>
  <c r="C45" i="57"/>
  <c r="J89" i="506" l="1"/>
  <c r="K88" i="506"/>
  <c r="B152" i="57"/>
  <c r="B45" i="57"/>
  <c r="J45" i="57"/>
  <c r="J90" i="506" l="1"/>
  <c r="K89" i="506"/>
  <c r="L128" i="434"/>
  <c r="T24" i="57" s="1"/>
  <c r="C40" i="57"/>
  <c r="J40" i="57" s="1"/>
  <c r="C142" i="57"/>
  <c r="K142" i="57" s="1"/>
  <c r="L142" i="57" s="1"/>
  <c r="C108" i="57"/>
  <c r="C107" i="57"/>
  <c r="J107" i="57" s="1"/>
  <c r="J91" i="506" l="1"/>
  <c r="K90" i="506"/>
  <c r="B108" i="57"/>
  <c r="B109" i="57" s="1"/>
  <c r="T19" i="57"/>
  <c r="T23" i="57"/>
  <c r="B40" i="57"/>
  <c r="K40" i="57"/>
  <c r="L40" i="57" s="1"/>
  <c r="B142" i="57"/>
  <c r="J142" i="57"/>
  <c r="B107" i="57"/>
  <c r="K107" i="57"/>
  <c r="L107" i="57" s="1"/>
  <c r="J108" i="57"/>
  <c r="J92" i="506" l="1"/>
  <c r="K91" i="506"/>
  <c r="B110" i="57"/>
  <c r="J109" i="57"/>
  <c r="J110" i="57" s="1"/>
  <c r="J111" i="57" s="1"/>
  <c r="J112" i="57" s="1"/>
  <c r="J113" i="57" s="1"/>
  <c r="J114" i="57" s="1"/>
  <c r="V23" i="57"/>
  <c r="U66" i="57"/>
  <c r="S66" i="57"/>
  <c r="K153" i="675" s="1"/>
  <c r="C168" i="675" s="1"/>
  <c r="R66" i="57"/>
  <c r="B153" i="675" s="1"/>
  <c r="C66" i="57"/>
  <c r="K66" i="57" s="1"/>
  <c r="U64" i="57"/>
  <c r="S64" i="57"/>
  <c r="R64" i="57"/>
  <c r="C64" i="57"/>
  <c r="U63" i="57"/>
  <c r="S63" i="57"/>
  <c r="R63" i="57"/>
  <c r="C63" i="57"/>
  <c r="K63" i="57" s="1"/>
  <c r="C57" i="57"/>
  <c r="J57" i="57" s="1"/>
  <c r="U68" i="57"/>
  <c r="S68" i="57"/>
  <c r="R68" i="57"/>
  <c r="C68" i="57"/>
  <c r="K68" i="57" s="1"/>
  <c r="U67" i="57"/>
  <c r="S67" i="57"/>
  <c r="K173" i="675" s="1"/>
  <c r="C188" i="675" s="1"/>
  <c r="R67" i="57"/>
  <c r="B173" i="675" s="1"/>
  <c r="C67" i="57"/>
  <c r="K67" i="57" s="1"/>
  <c r="U61" i="57"/>
  <c r="S61" i="57"/>
  <c r="K53" i="675" s="1"/>
  <c r="C68" i="675" s="1"/>
  <c r="R61" i="57"/>
  <c r="B53" i="675" s="1"/>
  <c r="C61" i="57"/>
  <c r="U60" i="57"/>
  <c r="S60" i="57"/>
  <c r="R60" i="57"/>
  <c r="C60" i="57"/>
  <c r="K60" i="57" s="1"/>
  <c r="U59" i="57"/>
  <c r="V59" i="57" s="1"/>
  <c r="S59" i="57"/>
  <c r="K13" i="675" s="1"/>
  <c r="R59" i="57"/>
  <c r="B13" i="675" s="1"/>
  <c r="C59" i="57"/>
  <c r="K59" i="57" s="1"/>
  <c r="C58" i="57"/>
  <c r="J58" i="57" s="1"/>
  <c r="U56" i="57"/>
  <c r="S56" i="57"/>
  <c r="R56" i="57"/>
  <c r="C56" i="57"/>
  <c r="K56" i="57" s="1"/>
  <c r="U54" i="57"/>
  <c r="V54" i="57" s="1"/>
  <c r="S54" i="57"/>
  <c r="R54" i="57"/>
  <c r="C54" i="57"/>
  <c r="K54" i="57" s="1"/>
  <c r="S52" i="57"/>
  <c r="K33" i="674" s="1"/>
  <c r="C48" i="674" s="1"/>
  <c r="R52" i="57"/>
  <c r="B33" i="674" s="1"/>
  <c r="C52" i="57"/>
  <c r="U51" i="57"/>
  <c r="S51" i="57"/>
  <c r="K13" i="674" s="1"/>
  <c r="R51" i="57"/>
  <c r="B13" i="674" s="1"/>
  <c r="C51" i="57"/>
  <c r="C50" i="57"/>
  <c r="U19" i="57"/>
  <c r="S19" i="57"/>
  <c r="K73" i="434" s="1"/>
  <c r="C88" i="434" s="1"/>
  <c r="R19" i="57"/>
  <c r="B73" i="434" s="1"/>
  <c r="C19" i="57"/>
  <c r="K19" i="57" s="1"/>
  <c r="C18" i="57"/>
  <c r="J18" i="57" s="1"/>
  <c r="C17" i="57"/>
  <c r="K17" i="57" s="1"/>
  <c r="L17" i="57" s="1"/>
  <c r="U16" i="57"/>
  <c r="S16" i="57"/>
  <c r="K53" i="434" s="1"/>
  <c r="C68" i="434" s="1"/>
  <c r="R16" i="57"/>
  <c r="B53" i="434" s="1"/>
  <c r="C16" i="57"/>
  <c r="K16" i="57" s="1"/>
  <c r="C14" i="57"/>
  <c r="J93" i="506" l="1"/>
  <c r="K92" i="506"/>
  <c r="B73" i="676"/>
  <c r="B73" i="677"/>
  <c r="B113" i="675"/>
  <c r="K73" i="677"/>
  <c r="C88" i="677" s="1"/>
  <c r="K73" i="676"/>
  <c r="C88" i="676" s="1"/>
  <c r="K113" i="675"/>
  <c r="C128" i="675" s="1"/>
  <c r="I21" i="675"/>
  <c r="C28" i="675"/>
  <c r="C21" i="675"/>
  <c r="F21" i="675"/>
  <c r="C16" i="674"/>
  <c r="C28" i="674"/>
  <c r="B53" i="673"/>
  <c r="B33" i="675"/>
  <c r="K53" i="673"/>
  <c r="C68" i="673" s="1"/>
  <c r="K33" i="675"/>
  <c r="B73" i="674"/>
  <c r="B53" i="677"/>
  <c r="B93" i="675"/>
  <c r="B53" i="676"/>
  <c r="K73" i="674"/>
  <c r="C88" i="674" s="1"/>
  <c r="K53" i="677"/>
  <c r="C68" i="677" s="1"/>
  <c r="K93" i="675"/>
  <c r="C108" i="675" s="1"/>
  <c r="K53" i="676"/>
  <c r="C68" i="676" s="1"/>
  <c r="B111" i="57"/>
  <c r="K64" i="57"/>
  <c r="K52" i="57"/>
  <c r="B57" i="57"/>
  <c r="J59" i="57"/>
  <c r="J60" i="57" s="1"/>
  <c r="J61" i="57" s="1"/>
  <c r="J62" i="57" s="1"/>
  <c r="K57" i="57"/>
  <c r="L57" i="57" s="1"/>
  <c r="B58" i="57"/>
  <c r="B59" i="57" s="1"/>
  <c r="B60" i="57" s="1"/>
  <c r="B61" i="57" s="1"/>
  <c r="V64" i="57"/>
  <c r="V66" i="57"/>
  <c r="V63" i="57"/>
  <c r="V67" i="57"/>
  <c r="V60" i="57"/>
  <c r="K61" i="57"/>
  <c r="V61" i="57"/>
  <c r="V68" i="57"/>
  <c r="V56" i="57"/>
  <c r="K51" i="57"/>
  <c r="B50" i="57"/>
  <c r="B51" i="57" s="1"/>
  <c r="B52" i="57" s="1"/>
  <c r="V51" i="57"/>
  <c r="J50" i="57"/>
  <c r="J51" i="57" s="1"/>
  <c r="J52" i="57" s="1"/>
  <c r="B17" i="57"/>
  <c r="J17" i="57"/>
  <c r="J19" i="57"/>
  <c r="B18" i="57"/>
  <c r="B19" i="57" s="1"/>
  <c r="V16" i="57"/>
  <c r="B14" i="57"/>
  <c r="J14" i="57"/>
  <c r="J94" i="506" l="1"/>
  <c r="K93" i="506"/>
  <c r="C48" i="675"/>
  <c r="I41" i="675"/>
  <c r="F41" i="675"/>
  <c r="C41" i="675"/>
  <c r="B112" i="57"/>
  <c r="J15" i="57"/>
  <c r="J16" i="57" s="1"/>
  <c r="B15" i="57"/>
  <c r="B62" i="57"/>
  <c r="J63" i="57"/>
  <c r="K33" i="663"/>
  <c r="C38" i="663" s="1"/>
  <c r="B33" i="663"/>
  <c r="U42" i="57"/>
  <c r="S42" i="57"/>
  <c r="K13" i="663" s="1"/>
  <c r="C16" i="663" s="1"/>
  <c r="R42" i="57"/>
  <c r="B13" i="663" s="1"/>
  <c r="C42" i="57"/>
  <c r="J95" i="506" l="1"/>
  <c r="K94" i="506"/>
  <c r="K42" i="57"/>
  <c r="B113" i="57"/>
  <c r="B114" i="57" s="1"/>
  <c r="B16" i="57"/>
  <c r="B63" i="57"/>
  <c r="B64" i="57" s="1"/>
  <c r="B65" i="57" s="1"/>
  <c r="B66" i="57" s="1"/>
  <c r="B67" i="57" s="1"/>
  <c r="B68" i="57" s="1"/>
  <c r="J64" i="57"/>
  <c r="V42" i="57"/>
  <c r="J96" i="506" l="1"/>
  <c r="K95" i="506"/>
  <c r="J65" i="57"/>
  <c r="J66" i="57" s="1"/>
  <c r="J67" i="57" s="1"/>
  <c r="J68" i="57" s="1"/>
  <c r="J97" i="506" l="1"/>
  <c r="K96" i="506"/>
  <c r="J53" i="57"/>
  <c r="J54" i="57" s="1"/>
  <c r="B53" i="57"/>
  <c r="B6" i="506"/>
  <c r="E103" i="170"/>
  <c r="D101" i="170"/>
  <c r="D96" i="170"/>
  <c r="D89" i="170"/>
  <c r="E73" i="170"/>
  <c r="D71" i="170"/>
  <c r="D66" i="170"/>
  <c r="D59" i="170"/>
  <c r="J98" i="506" l="1"/>
  <c r="K97" i="506"/>
  <c r="J55" i="57"/>
  <c r="J56" i="57" s="1"/>
  <c r="B54" i="57"/>
  <c r="D103" i="170"/>
  <c r="D105" i="170" s="1"/>
  <c r="D106" i="170" s="1"/>
  <c r="D73" i="170"/>
  <c r="D75" i="170" s="1"/>
  <c r="D76" i="170" s="1"/>
  <c r="J99" i="506" l="1"/>
  <c r="K98" i="506"/>
  <c r="B55" i="57"/>
  <c r="B56" i="57" s="1"/>
  <c r="B5" i="506"/>
  <c r="B4" i="506"/>
  <c r="B3" i="506"/>
  <c r="B48" i="637"/>
  <c r="B47" i="637"/>
  <c r="F37" i="637"/>
  <c r="B7" i="637"/>
  <c r="B6" i="637"/>
  <c r="B5" i="637"/>
  <c r="J100" i="506" l="1"/>
  <c r="K99" i="506"/>
  <c r="C13" i="57"/>
  <c r="K13" i="57" s="1"/>
  <c r="L13" i="57" s="1"/>
  <c r="C41" i="57"/>
  <c r="J101" i="506" l="1"/>
  <c r="K100" i="506"/>
  <c r="B41" i="57"/>
  <c r="B42" i="57" s="1"/>
  <c r="B13" i="57"/>
  <c r="J13" i="57"/>
  <c r="J41" i="57"/>
  <c r="J42" i="57" s="1"/>
  <c r="J102" i="506" l="1"/>
  <c r="K101" i="506"/>
  <c r="J43" i="57"/>
  <c r="B43" i="57"/>
  <c r="J103" i="506" l="1"/>
  <c r="K102" i="506"/>
  <c r="V19" i="57"/>
  <c r="T12" i="57"/>
  <c r="J104" i="506" l="1"/>
  <c r="K103" i="506"/>
  <c r="C11" i="57"/>
  <c r="C5" i="507"/>
  <c r="C4" i="507"/>
  <c r="H16" i="470"/>
  <c r="L1" i="507" s="1"/>
  <c r="AZ2" i="507"/>
  <c r="AX2" i="507"/>
  <c r="AV2" i="507"/>
  <c r="AT2" i="507"/>
  <c r="AR2" i="507"/>
  <c r="AP2" i="507"/>
  <c r="AN2" i="507"/>
  <c r="AL2" i="507"/>
  <c r="AJ2" i="507"/>
  <c r="AH2" i="507"/>
  <c r="J105" i="506" l="1"/>
  <c r="K104" i="506"/>
  <c r="B11" i="57"/>
  <c r="J11" i="57"/>
  <c r="J106" i="506" l="1"/>
  <c r="K105" i="506"/>
  <c r="U12" i="57"/>
  <c r="S12" i="57"/>
  <c r="K13" i="434" s="1"/>
  <c r="C28" i="434" s="1"/>
  <c r="R12" i="57"/>
  <c r="B13" i="434" s="1"/>
  <c r="J107" i="506" l="1"/>
  <c r="K106" i="506"/>
  <c r="B128" i="434"/>
  <c r="K128" i="434"/>
  <c r="K9" i="506"/>
  <c r="J108" i="506" l="1"/>
  <c r="K107" i="506"/>
  <c r="D45" i="170"/>
  <c r="D41" i="170"/>
  <c r="D34" i="170"/>
  <c r="D22" i="170"/>
  <c r="E45" i="170"/>
  <c r="E41" i="170"/>
  <c r="E34" i="170"/>
  <c r="E22" i="170"/>
  <c r="J109" i="506" l="1"/>
  <c r="K108" i="506"/>
  <c r="D46" i="170"/>
  <c r="E46" i="170"/>
  <c r="J110" i="506" l="1"/>
  <c r="K109" i="506"/>
  <c r="P3" i="57"/>
  <c r="J111" i="506" l="1"/>
  <c r="K110" i="506"/>
  <c r="G24" i="244"/>
  <c r="J112" i="506" l="1"/>
  <c r="K111" i="506"/>
  <c r="B30" i="387"/>
  <c r="B30" i="108"/>
  <c r="D23" i="387"/>
  <c r="D23" i="108"/>
  <c r="J113" i="506" l="1"/>
  <c r="K112" i="506"/>
  <c r="B52" i="470"/>
  <c r="B51" i="470"/>
  <c r="F39" i="470"/>
  <c r="B7" i="470"/>
  <c r="B6" i="470"/>
  <c r="B5" i="470"/>
  <c r="J114" i="506" l="1"/>
  <c r="K113" i="506"/>
  <c r="H85" i="108"/>
  <c r="J115" i="506" l="1"/>
  <c r="K114" i="506"/>
  <c r="C12" i="57"/>
  <c r="J116" i="506" l="1"/>
  <c r="K115" i="506"/>
  <c r="V12" i="57"/>
  <c r="K12" i="57"/>
  <c r="J117" i="506" l="1"/>
  <c r="K116" i="506"/>
  <c r="H85" i="387"/>
  <c r="G199" i="245"/>
  <c r="J118" i="506" l="1"/>
  <c r="K117" i="506"/>
  <c r="P5" i="57"/>
  <c r="P4" i="57"/>
  <c r="B11" i="680" s="1"/>
  <c r="J119" i="506" l="1"/>
  <c r="K118" i="506"/>
  <c r="B11" i="673"/>
  <c r="B11" i="679"/>
  <c r="B11" i="676"/>
  <c r="B11" i="675"/>
  <c r="B11" i="674"/>
  <c r="B11" i="677"/>
  <c r="B11" i="671"/>
  <c r="B11" i="667"/>
  <c r="B11" i="670"/>
  <c r="B11" i="668"/>
  <c r="B11" i="669"/>
  <c r="B11" i="672"/>
  <c r="B11" i="665"/>
  <c r="B11" i="666"/>
  <c r="B11" i="663"/>
  <c r="B11" i="664"/>
  <c r="B11" i="662"/>
  <c r="B11" i="661"/>
  <c r="B11" i="659"/>
  <c r="B11" i="660"/>
  <c r="B4" i="447"/>
  <c r="B3" i="447"/>
  <c r="B5" i="447"/>
  <c r="B11" i="434"/>
  <c r="J6" i="387" a="1"/>
  <c r="J6" i="387" s="1"/>
  <c r="C7" i="387" s="1"/>
  <c r="J4" i="387" a="1"/>
  <c r="J4" i="387" s="1"/>
  <c r="C4" i="387" s="1"/>
  <c r="J5" i="387" a="1"/>
  <c r="J5" i="387" s="1"/>
  <c r="C5" i="387" s="1"/>
  <c r="J5" i="108" a="1"/>
  <c r="J5" i="108" s="1"/>
  <c r="C5" i="108" s="1"/>
  <c r="J6" i="108" a="1"/>
  <c r="J6" i="108" s="1"/>
  <c r="C7" i="108" s="1"/>
  <c r="J4" i="108" a="1"/>
  <c r="J4" i="108" s="1"/>
  <c r="C4" i="108" s="1"/>
  <c r="J120" i="506" l="1"/>
  <c r="K119" i="506"/>
  <c r="C10" i="57"/>
  <c r="J121" i="506" l="1"/>
  <c r="K120" i="506"/>
  <c r="B10" i="57"/>
  <c r="B12" i="57" s="1"/>
  <c r="J10" i="57"/>
  <c r="J12" i="57" s="1"/>
  <c r="D10" i="57"/>
  <c r="B93" i="387"/>
  <c r="B92" i="387"/>
  <c r="B70" i="387"/>
  <c r="B71" i="387" s="1"/>
  <c r="D69" i="387"/>
  <c r="B64" i="387"/>
  <c r="B65" i="387" s="1"/>
  <c r="D63" i="387"/>
  <c r="B58" i="387"/>
  <c r="B59" i="387" s="1"/>
  <c r="D57" i="387"/>
  <c r="B52" i="387"/>
  <c r="D52" i="387" s="1"/>
  <c r="D51" i="387"/>
  <c r="B46" i="387"/>
  <c r="B47" i="387" s="1"/>
  <c r="D45" i="387"/>
  <c r="D44" i="387"/>
  <c r="D43" i="387"/>
  <c r="D42" i="387"/>
  <c r="D41" i="387"/>
  <c r="D40" i="387"/>
  <c r="D39" i="387"/>
  <c r="B34" i="387"/>
  <c r="D34" i="387" s="1"/>
  <c r="D33" i="387"/>
  <c r="D26" i="387"/>
  <c r="D25" i="387"/>
  <c r="E25" i="387" s="1"/>
  <c r="E24" i="387"/>
  <c r="E26" i="387" s="1"/>
  <c r="E23" i="387"/>
  <c r="E22" i="387"/>
  <c r="J122" i="506" l="1"/>
  <c r="K121" i="506"/>
  <c r="D11" i="57"/>
  <c r="D70" i="387"/>
  <c r="B53" i="387"/>
  <c r="B54" i="387" s="1"/>
  <c r="B55" i="387" s="1"/>
  <c r="B35" i="387"/>
  <c r="B36" i="387" s="1"/>
  <c r="C19" i="470"/>
  <c r="B60" i="387"/>
  <c r="B61" i="387" s="1"/>
  <c r="D59" i="387"/>
  <c r="D58" i="387"/>
  <c r="D46" i="387"/>
  <c r="E10" i="57"/>
  <c r="K10" i="57" s="1"/>
  <c r="L10" i="57" s="1"/>
  <c r="O10" i="57" s="1"/>
  <c r="B8" i="507" s="1"/>
  <c r="D65" i="387"/>
  <c r="B66" i="387"/>
  <c r="D36" i="387"/>
  <c r="B37" i="387"/>
  <c r="B48" i="387"/>
  <c r="D47" i="387"/>
  <c r="D54" i="387"/>
  <c r="B72" i="387"/>
  <c r="D71" i="387"/>
  <c r="D64" i="387"/>
  <c r="J123" i="506" l="1"/>
  <c r="K122" i="506"/>
  <c r="B13" i="637"/>
  <c r="D35" i="387"/>
  <c r="E11" i="57"/>
  <c r="D53" i="387"/>
  <c r="D60" i="387"/>
  <c r="D12" i="57"/>
  <c r="F10" i="57"/>
  <c r="B56" i="387"/>
  <c r="D56" i="387" s="1"/>
  <c r="D55" i="387"/>
  <c r="B38" i="387"/>
  <c r="D38" i="387" s="1"/>
  <c r="D37" i="387"/>
  <c r="D72" i="387"/>
  <c r="B73" i="387"/>
  <c r="B67" i="387"/>
  <c r="D66" i="387"/>
  <c r="B62" i="387"/>
  <c r="D62" i="387" s="1"/>
  <c r="D61" i="387"/>
  <c r="B49" i="387"/>
  <c r="D48" i="387"/>
  <c r="J124" i="506" l="1"/>
  <c r="K123" i="506"/>
  <c r="F11" i="57"/>
  <c r="K11" i="57" s="1"/>
  <c r="L11" i="57" s="1"/>
  <c r="O11" i="57" s="1"/>
  <c r="B9" i="507" s="1"/>
  <c r="E12" i="57"/>
  <c r="G10" i="57"/>
  <c r="B50" i="387"/>
  <c r="D50" i="387" s="1"/>
  <c r="D49" i="387"/>
  <c r="D67" i="387"/>
  <c r="B68" i="387"/>
  <c r="D68" i="387" s="1"/>
  <c r="B74" i="387"/>
  <c r="D74" i="387" s="1"/>
  <c r="D73" i="387"/>
  <c r="J125" i="506" l="1"/>
  <c r="K124" i="506"/>
  <c r="G11" i="57"/>
  <c r="F12" i="57"/>
  <c r="L12" i="57" s="1"/>
  <c r="O12" i="57" s="1"/>
  <c r="H10" i="57"/>
  <c r="J126" i="506" l="1"/>
  <c r="K125" i="506"/>
  <c r="H11" i="57"/>
  <c r="G12" i="57"/>
  <c r="I10" i="57"/>
  <c r="J127" i="506" l="1"/>
  <c r="K126" i="506"/>
  <c r="I11" i="57"/>
  <c r="H12" i="57"/>
  <c r="J128" i="506" l="1"/>
  <c r="K127" i="506"/>
  <c r="I12" i="57"/>
  <c r="J129" i="506" l="1"/>
  <c r="K128" i="506"/>
  <c r="D13" i="57"/>
  <c r="J130" i="506" l="1"/>
  <c r="K129" i="506"/>
  <c r="D14" i="57"/>
  <c r="E13" i="57"/>
  <c r="J131" i="506" l="1"/>
  <c r="K130" i="506"/>
  <c r="D15" i="57"/>
  <c r="E14" i="57"/>
  <c r="J132" i="506" l="1"/>
  <c r="K131" i="506"/>
  <c r="E15" i="57"/>
  <c r="L15" i="57" s="1"/>
  <c r="O15" i="57" s="1"/>
  <c r="D16" i="57"/>
  <c r="J133" i="506" l="1"/>
  <c r="K132" i="506"/>
  <c r="E16" i="57"/>
  <c r="F13" i="57"/>
  <c r="F14" i="57" s="1"/>
  <c r="J134" i="506" l="1"/>
  <c r="K133" i="506"/>
  <c r="F15" i="57"/>
  <c r="F16" i="57" s="1"/>
  <c r="L16" i="57" s="1"/>
  <c r="O16" i="57" s="1"/>
  <c r="K14" i="57"/>
  <c r="L14" i="57" s="1"/>
  <c r="O14" i="57" s="1"/>
  <c r="B10" i="507" s="1"/>
  <c r="D17" i="57"/>
  <c r="D18" i="57" s="1"/>
  <c r="G13" i="57"/>
  <c r="J135" i="506" l="1"/>
  <c r="K134" i="506"/>
  <c r="D19" i="57"/>
  <c r="G14" i="57"/>
  <c r="J136" i="506" l="1"/>
  <c r="K135" i="506"/>
  <c r="D20" i="57"/>
  <c r="D21" i="57"/>
  <c r="G15" i="57"/>
  <c r="G16" i="57" s="1"/>
  <c r="H13" i="57"/>
  <c r="J137" i="506" l="1"/>
  <c r="K136" i="506"/>
  <c r="D22" i="57"/>
  <c r="K21" i="57"/>
  <c r="L21" i="57" s="1"/>
  <c r="O21" i="57" s="1"/>
  <c r="B12" i="507" s="1"/>
  <c r="E21" i="57"/>
  <c r="H14" i="57"/>
  <c r="I13" i="57"/>
  <c r="J138" i="506" l="1"/>
  <c r="K137" i="506"/>
  <c r="E22" i="57"/>
  <c r="K22" i="57" s="1"/>
  <c r="L22" i="57" s="1"/>
  <c r="O22" i="57" s="1"/>
  <c r="B13" i="507" s="1"/>
  <c r="D23" i="57"/>
  <c r="H15" i="57"/>
  <c r="H16" i="57" s="1"/>
  <c r="I14" i="57"/>
  <c r="J139" i="506" l="1"/>
  <c r="K138" i="506"/>
  <c r="E23" i="57"/>
  <c r="L23" i="57" s="1"/>
  <c r="O23" i="57" s="1"/>
  <c r="D24" i="57"/>
  <c r="F22" i="57"/>
  <c r="I15" i="57"/>
  <c r="I16" i="57" s="1"/>
  <c r="J140" i="506" l="1"/>
  <c r="K139" i="506"/>
  <c r="F23" i="57"/>
  <c r="E24" i="57"/>
  <c r="L24" i="57" s="1"/>
  <c r="O24" i="57" s="1"/>
  <c r="D26" i="57"/>
  <c r="D25" i="57"/>
  <c r="E17" i="57"/>
  <c r="J141" i="506" l="1"/>
  <c r="K140" i="506"/>
  <c r="F24" i="57"/>
  <c r="E25" i="57"/>
  <c r="K26" i="57"/>
  <c r="L26" i="57" s="1"/>
  <c r="O26" i="57" s="1"/>
  <c r="B14" i="507" s="1"/>
  <c r="E26" i="57"/>
  <c r="E18" i="57"/>
  <c r="F17" i="57"/>
  <c r="J142" i="506" l="1"/>
  <c r="K141" i="506"/>
  <c r="F25" i="57"/>
  <c r="F26" i="57"/>
  <c r="G17" i="57"/>
  <c r="E19" i="57"/>
  <c r="F18" i="57"/>
  <c r="K18" i="57" s="1"/>
  <c r="L18" i="57" s="1"/>
  <c r="O18" i="57" s="1"/>
  <c r="B11" i="507" s="1"/>
  <c r="J143" i="506" l="1"/>
  <c r="K142" i="506"/>
  <c r="D27" i="57"/>
  <c r="E20" i="57"/>
  <c r="F21" i="57" s="1"/>
  <c r="G18" i="57"/>
  <c r="F19" i="57"/>
  <c r="H17" i="57"/>
  <c r="J144" i="506" l="1"/>
  <c r="K143" i="506"/>
  <c r="F20" i="57"/>
  <c r="D28" i="57"/>
  <c r="D29" i="57"/>
  <c r="E27" i="57"/>
  <c r="L19" i="57"/>
  <c r="O19" i="57" s="1"/>
  <c r="G19" i="57"/>
  <c r="I17" i="57"/>
  <c r="H18" i="57"/>
  <c r="J145" i="506" l="1"/>
  <c r="K144" i="506"/>
  <c r="G20" i="57"/>
  <c r="G21" i="57" s="1"/>
  <c r="E28" i="57"/>
  <c r="K29" i="57"/>
  <c r="L29" i="57" s="1"/>
  <c r="O29" i="57" s="1"/>
  <c r="B15" i="507" s="1"/>
  <c r="E29" i="57"/>
  <c r="L27" i="57"/>
  <c r="O27" i="57" s="1"/>
  <c r="F27" i="57"/>
  <c r="I18" i="57"/>
  <c r="H19" i="57"/>
  <c r="J146" i="506" l="1"/>
  <c r="K145" i="506"/>
  <c r="F28" i="57"/>
  <c r="F29" i="57" s="1"/>
  <c r="D30" i="57"/>
  <c r="H20" i="57"/>
  <c r="H21" i="57" s="1"/>
  <c r="G22" i="57"/>
  <c r="I19" i="57"/>
  <c r="J147" i="506" l="1"/>
  <c r="K146" i="506"/>
  <c r="D31" i="57"/>
  <c r="L31" i="57" s="1"/>
  <c r="O31" i="57" s="1"/>
  <c r="E30" i="57"/>
  <c r="L30" i="57"/>
  <c r="O30" i="57" s="1"/>
  <c r="G23" i="57"/>
  <c r="H22" i="57"/>
  <c r="I20" i="57"/>
  <c r="I21" i="57" s="1"/>
  <c r="B93" i="108"/>
  <c r="B92" i="108"/>
  <c r="A204" i="245"/>
  <c r="A203" i="245"/>
  <c r="A29" i="244"/>
  <c r="A28" i="244"/>
  <c r="O538" i="57"/>
  <c r="O537" i="57"/>
  <c r="J148" i="506" l="1"/>
  <c r="K147" i="506"/>
  <c r="D87" i="681"/>
  <c r="C87" i="681"/>
  <c r="D118" i="681"/>
  <c r="C118" i="681"/>
  <c r="F87" i="681"/>
  <c r="G87" i="681" s="1"/>
  <c r="F118" i="681"/>
  <c r="G118" i="681" s="1"/>
  <c r="D90" i="681"/>
  <c r="C90" i="681"/>
  <c r="D121" i="681"/>
  <c r="C121" i="681"/>
  <c r="F90" i="681"/>
  <c r="G90" i="681" s="1"/>
  <c r="F121" i="681"/>
  <c r="G121" i="681" s="1"/>
  <c r="D91" i="681"/>
  <c r="C91" i="681"/>
  <c r="D122" i="681"/>
  <c r="C122" i="681"/>
  <c r="F91" i="681"/>
  <c r="G91" i="681" s="1"/>
  <c r="F122" i="681"/>
  <c r="G122" i="681" s="1"/>
  <c r="D123" i="681"/>
  <c r="D92" i="681"/>
  <c r="C123" i="681"/>
  <c r="C92" i="681"/>
  <c r="F92" i="681"/>
  <c r="G92" i="681" s="1"/>
  <c r="F123" i="681"/>
  <c r="G123" i="681" s="1"/>
  <c r="D124" i="681"/>
  <c r="C124" i="681"/>
  <c r="D93" i="681"/>
  <c r="C93" i="681"/>
  <c r="F124" i="681"/>
  <c r="G124" i="681" s="1"/>
  <c r="F93" i="681"/>
  <c r="G93" i="681" s="1"/>
  <c r="D125" i="681"/>
  <c r="C125" i="681"/>
  <c r="D94" i="681"/>
  <c r="C94" i="681"/>
  <c r="F125" i="681"/>
  <c r="G125" i="681" s="1"/>
  <c r="G128" i="681" s="1"/>
  <c r="F94" i="681"/>
  <c r="G94" i="681" s="1"/>
  <c r="D95" i="681"/>
  <c r="C95" i="681"/>
  <c r="F95" i="681"/>
  <c r="G95" i="681" s="1"/>
  <c r="D96" i="681"/>
  <c r="C96" i="681"/>
  <c r="F96" i="681"/>
  <c r="G96" i="681" s="1"/>
  <c r="D97" i="681"/>
  <c r="C97" i="681"/>
  <c r="F97" i="681"/>
  <c r="G97" i="681" s="1"/>
  <c r="D98" i="681"/>
  <c r="C98" i="681"/>
  <c r="F98" i="681"/>
  <c r="G98" i="681" s="1"/>
  <c r="G101" i="681" s="1"/>
  <c r="D23" i="681"/>
  <c r="C41" i="681"/>
  <c r="F147" i="681"/>
  <c r="G147" i="681" s="1"/>
  <c r="F23" i="681"/>
  <c r="G23" i="681" s="1"/>
  <c r="D44" i="681"/>
  <c r="D41" i="681"/>
  <c r="D147" i="681"/>
  <c r="F44" i="681"/>
  <c r="G44" i="681" s="1"/>
  <c r="G45" i="681" s="1"/>
  <c r="G46" i="681" s="1"/>
  <c r="G47" i="681" s="1"/>
  <c r="D22" i="681"/>
  <c r="C147" i="681"/>
  <c r="C23" i="681"/>
  <c r="F146" i="681"/>
  <c r="G146" i="681" s="1"/>
  <c r="C44" i="681"/>
  <c r="F22" i="681"/>
  <c r="G22" i="681" s="1"/>
  <c r="D146" i="681"/>
  <c r="F41" i="681"/>
  <c r="G41" i="681" s="1"/>
  <c r="G42" i="681" s="1"/>
  <c r="C22" i="681"/>
  <c r="C146" i="681"/>
  <c r="F73" i="681"/>
  <c r="G73" i="681" s="1"/>
  <c r="G75" i="681" s="1"/>
  <c r="G76" i="681" s="1"/>
  <c r="G77" i="681" s="1"/>
  <c r="G78" i="681" s="1"/>
  <c r="J66" i="681" s="1"/>
  <c r="F143" i="681"/>
  <c r="G143" i="681" s="1"/>
  <c r="G144" i="681" s="1"/>
  <c r="D73" i="681"/>
  <c r="D143" i="681"/>
  <c r="C73" i="681"/>
  <c r="F21" i="681"/>
  <c r="G21" i="681" s="1"/>
  <c r="C24" i="681"/>
  <c r="C143" i="681"/>
  <c r="D21" i="681"/>
  <c r="F105" i="681"/>
  <c r="G105" i="681" s="1"/>
  <c r="C21" i="681"/>
  <c r="D105" i="681"/>
  <c r="F30" i="681"/>
  <c r="G30" i="681" s="1"/>
  <c r="F20" i="681"/>
  <c r="G20" i="681" s="1"/>
  <c r="C105" i="681"/>
  <c r="D30" i="681"/>
  <c r="D20" i="681"/>
  <c r="C20" i="681"/>
  <c r="F132" i="681"/>
  <c r="G132" i="681" s="1"/>
  <c r="F104" i="681"/>
  <c r="G104" i="681" s="1"/>
  <c r="C30" i="681"/>
  <c r="D132" i="681"/>
  <c r="D104" i="681"/>
  <c r="F29" i="681"/>
  <c r="G29" i="681" s="1"/>
  <c r="C132" i="681"/>
  <c r="C104" i="681"/>
  <c r="D29" i="681"/>
  <c r="F9" i="681"/>
  <c r="G9" i="681" s="1"/>
  <c r="F55" i="681"/>
  <c r="G55" i="681" s="1"/>
  <c r="G56" i="681" s="1"/>
  <c r="F131" i="681"/>
  <c r="G131" i="681" s="1"/>
  <c r="F103" i="681"/>
  <c r="G103" i="681" s="1"/>
  <c r="C29" i="681"/>
  <c r="F26" i="681"/>
  <c r="G26" i="681" s="1"/>
  <c r="D131" i="681"/>
  <c r="D103" i="681"/>
  <c r="F58" i="681"/>
  <c r="G58" i="681" s="1"/>
  <c r="G59" i="681" s="1"/>
  <c r="G60" i="681" s="1"/>
  <c r="G61" i="681" s="1"/>
  <c r="D130" i="681"/>
  <c r="C131" i="681"/>
  <c r="C103" i="681"/>
  <c r="D58" i="681"/>
  <c r="D26" i="681"/>
  <c r="C9" i="681"/>
  <c r="F130" i="681"/>
  <c r="G130" i="681" s="1"/>
  <c r="C58" i="681"/>
  <c r="C26" i="681"/>
  <c r="D9" i="681"/>
  <c r="C130" i="681"/>
  <c r="D55" i="681"/>
  <c r="F24" i="681"/>
  <c r="G24" i="681" s="1"/>
  <c r="F8" i="681"/>
  <c r="G8" i="681" s="1"/>
  <c r="D8" i="681"/>
  <c r="C55" i="681"/>
  <c r="D24" i="681"/>
  <c r="C8" i="681"/>
  <c r="F185" i="245"/>
  <c r="G185" i="245" s="1"/>
  <c r="D161" i="245"/>
  <c r="D185" i="245"/>
  <c r="C161" i="245"/>
  <c r="C185" i="245"/>
  <c r="F160" i="245"/>
  <c r="G160" i="245" s="1"/>
  <c r="F184" i="245"/>
  <c r="G184" i="245" s="1"/>
  <c r="D160" i="245"/>
  <c r="D184" i="245"/>
  <c r="C160" i="245"/>
  <c r="F192" i="245"/>
  <c r="G192" i="245" s="1"/>
  <c r="C184" i="245"/>
  <c r="F163" i="245"/>
  <c r="G163" i="245" s="1"/>
  <c r="D192" i="245"/>
  <c r="F183" i="245"/>
  <c r="G183" i="245" s="1"/>
  <c r="D163" i="245"/>
  <c r="C192" i="245"/>
  <c r="D183" i="245"/>
  <c r="C163" i="245"/>
  <c r="C183" i="245"/>
  <c r="F162" i="245"/>
  <c r="G162" i="245" s="1"/>
  <c r="F191" i="245"/>
  <c r="G191" i="245" s="1"/>
  <c r="F182" i="245"/>
  <c r="G182" i="245" s="1"/>
  <c r="D162" i="245"/>
  <c r="D191" i="245"/>
  <c r="D182" i="245"/>
  <c r="C162" i="245"/>
  <c r="C191" i="245"/>
  <c r="C182" i="245"/>
  <c r="F164" i="245"/>
  <c r="G164" i="245" s="1"/>
  <c r="F181" i="245"/>
  <c r="G181" i="245" s="1"/>
  <c r="D164" i="245"/>
  <c r="F190" i="245"/>
  <c r="G190" i="245" s="1"/>
  <c r="D181" i="245"/>
  <c r="C164" i="245"/>
  <c r="D190" i="245"/>
  <c r="C181" i="245"/>
  <c r="C190" i="245"/>
  <c r="F171" i="245"/>
  <c r="G171" i="245" s="1"/>
  <c r="D171" i="245"/>
  <c r="F189" i="245"/>
  <c r="G189" i="245" s="1"/>
  <c r="F169" i="245"/>
  <c r="G169" i="245" s="1"/>
  <c r="C171" i="245"/>
  <c r="D189" i="245"/>
  <c r="D169" i="245"/>
  <c r="F170" i="245"/>
  <c r="G170" i="245" s="1"/>
  <c r="C189" i="245"/>
  <c r="C169" i="245"/>
  <c r="D170" i="245"/>
  <c r="F186" i="245"/>
  <c r="G186" i="245" s="1"/>
  <c r="F168" i="245"/>
  <c r="G168" i="245" s="1"/>
  <c r="C170" i="245"/>
  <c r="D186" i="245"/>
  <c r="D168" i="245"/>
  <c r="F165" i="245"/>
  <c r="G165" i="245" s="1"/>
  <c r="F161" i="245"/>
  <c r="G161" i="245" s="1"/>
  <c r="C186" i="245"/>
  <c r="C168" i="245"/>
  <c r="D165" i="245"/>
  <c r="C165" i="245"/>
  <c r="D32" i="57"/>
  <c r="L32" i="57" s="1"/>
  <c r="O32" i="57" s="1"/>
  <c r="E31" i="57"/>
  <c r="F61" i="245"/>
  <c r="G61" i="245" s="1"/>
  <c r="D61" i="245"/>
  <c r="C61" i="245"/>
  <c r="F60" i="245"/>
  <c r="G60" i="245" s="1"/>
  <c r="D60" i="245"/>
  <c r="C60" i="245"/>
  <c r="F63" i="245"/>
  <c r="G63" i="245" s="1"/>
  <c r="D63" i="245"/>
  <c r="C63" i="245"/>
  <c r="F62" i="245"/>
  <c r="G62" i="245" s="1"/>
  <c r="D62" i="245"/>
  <c r="C62" i="245"/>
  <c r="F57" i="245"/>
  <c r="G57" i="245" s="1"/>
  <c r="D57" i="245"/>
  <c r="C57" i="245"/>
  <c r="F56" i="245"/>
  <c r="G56" i="245" s="1"/>
  <c r="D56" i="245"/>
  <c r="C56" i="245"/>
  <c r="F35" i="245"/>
  <c r="G35" i="245" s="1"/>
  <c r="F45" i="245"/>
  <c r="G45" i="245" s="1"/>
  <c r="D35" i="245"/>
  <c r="D45" i="245"/>
  <c r="C35" i="245"/>
  <c r="C45" i="245"/>
  <c r="F38" i="245"/>
  <c r="G38" i="245" s="1"/>
  <c r="D38" i="245"/>
  <c r="C38" i="245"/>
  <c r="F46" i="245"/>
  <c r="G46" i="245" s="1"/>
  <c r="F37" i="245"/>
  <c r="G37" i="245" s="1"/>
  <c r="D46" i="245"/>
  <c r="D37" i="245"/>
  <c r="C46" i="245"/>
  <c r="C37" i="245"/>
  <c r="F34" i="245"/>
  <c r="G34" i="245" s="1"/>
  <c r="D34" i="245"/>
  <c r="C34" i="245"/>
  <c r="F40" i="245"/>
  <c r="G40" i="245" s="1"/>
  <c r="D40" i="245"/>
  <c r="C40" i="245"/>
  <c r="F39" i="245"/>
  <c r="G39" i="245" s="1"/>
  <c r="F42" i="245"/>
  <c r="G42" i="245" s="1"/>
  <c r="D39" i="245"/>
  <c r="D42" i="245"/>
  <c r="C39" i="245"/>
  <c r="C42" i="245"/>
  <c r="F24" i="245"/>
  <c r="G24" i="245" s="1"/>
  <c r="G25" i="245" s="1"/>
  <c r="G26" i="245" s="1"/>
  <c r="G27" i="245" s="1"/>
  <c r="D24" i="245"/>
  <c r="C24" i="245"/>
  <c r="F30" i="57"/>
  <c r="D11" i="245"/>
  <c r="C11" i="245"/>
  <c r="F11" i="245"/>
  <c r="G11" i="245" s="1"/>
  <c r="G12" i="245" s="1"/>
  <c r="G13" i="245" s="1"/>
  <c r="G14" i="245" s="1"/>
  <c r="I22" i="57"/>
  <c r="G24" i="57"/>
  <c r="H23" i="57"/>
  <c r="F136" i="245"/>
  <c r="G136" i="245" s="1"/>
  <c r="G137" i="245" s="1"/>
  <c r="G138" i="245" s="1"/>
  <c r="G139" i="245" s="1"/>
  <c r="D136" i="245"/>
  <c r="C136" i="245"/>
  <c r="S492" i="57"/>
  <c r="R492" i="57"/>
  <c r="F149" i="245"/>
  <c r="G149" i="245" s="1"/>
  <c r="G151" i="245" s="1"/>
  <c r="G152" i="245" s="1"/>
  <c r="G153" i="245" s="1"/>
  <c r="D149" i="245"/>
  <c r="C149" i="245"/>
  <c r="G154" i="245" l="1"/>
  <c r="J143" i="245" s="1"/>
  <c r="U77" i="57" s="1"/>
  <c r="X77" i="57" s="1"/>
  <c r="Y77" i="57" s="1"/>
  <c r="H143" i="245"/>
  <c r="G140" i="245"/>
  <c r="J130" i="245" s="1"/>
  <c r="U503" i="57" s="1"/>
  <c r="H130" i="245"/>
  <c r="G15" i="245"/>
  <c r="J5" i="245" s="1"/>
  <c r="U24" i="57" s="1"/>
  <c r="H5" i="245"/>
  <c r="G28" i="245"/>
  <c r="J18" i="245" s="1"/>
  <c r="U27" i="57" s="1"/>
  <c r="H18" i="245"/>
  <c r="J149" i="506"/>
  <c r="K148" i="506"/>
  <c r="G62" i="681"/>
  <c r="J52" i="681" s="1"/>
  <c r="G10" i="681"/>
  <c r="G11" i="681" s="1"/>
  <c r="G12" i="681" s="1"/>
  <c r="G13" i="681" s="1"/>
  <c r="J5" i="681" s="1"/>
  <c r="G106" i="681"/>
  <c r="G107" i="681" s="1"/>
  <c r="G108" i="681" s="1"/>
  <c r="G109" i="681" s="1"/>
  <c r="J82" i="681" s="1"/>
  <c r="G31" i="681"/>
  <c r="G32" i="681" s="1"/>
  <c r="G33" i="681" s="1"/>
  <c r="G133" i="681"/>
  <c r="G134" i="681" s="1"/>
  <c r="G135" i="681" s="1"/>
  <c r="G136" i="681" s="1"/>
  <c r="J113" i="681" s="1"/>
  <c r="G148" i="681"/>
  <c r="G149" i="681" s="1"/>
  <c r="G150" i="681" s="1"/>
  <c r="G151" i="681" s="1"/>
  <c r="J140" i="681" s="1"/>
  <c r="G27" i="681"/>
  <c r="G48" i="681"/>
  <c r="J38" i="681" s="1"/>
  <c r="G172" i="245"/>
  <c r="G173" i="245" s="1"/>
  <c r="G174" i="245" s="1"/>
  <c r="H157" i="245" s="1"/>
  <c r="G193" i="245"/>
  <c r="G194" i="245" s="1"/>
  <c r="G195" i="245" s="1"/>
  <c r="H178" i="245" s="1"/>
  <c r="G187" i="245"/>
  <c r="I178" i="245" s="1"/>
  <c r="G166" i="245"/>
  <c r="I157" i="245" s="1"/>
  <c r="B33" i="672"/>
  <c r="K33" i="672"/>
  <c r="C48" i="672" s="1"/>
  <c r="U105" i="57"/>
  <c r="U140" i="57"/>
  <c r="U95" i="57"/>
  <c r="E32" i="57"/>
  <c r="F31" i="57"/>
  <c r="V503" i="57"/>
  <c r="G64" i="245"/>
  <c r="G65" i="245" s="1"/>
  <c r="G66" i="245" s="1"/>
  <c r="H53" i="245" s="1"/>
  <c r="G58" i="245"/>
  <c r="I53" i="245" s="1"/>
  <c r="G43" i="245"/>
  <c r="I31" i="245" s="1"/>
  <c r="G47" i="245"/>
  <c r="G48" i="245" s="1"/>
  <c r="G49" i="245" s="1"/>
  <c r="H31" i="245" s="1"/>
  <c r="U113" i="57"/>
  <c r="V113" i="57" s="1"/>
  <c r="U121" i="57"/>
  <c r="G25" i="57"/>
  <c r="I23" i="57"/>
  <c r="H24" i="57"/>
  <c r="U492" i="57"/>
  <c r="V492" i="57" s="1"/>
  <c r="U55" i="57"/>
  <c r="U65" i="57"/>
  <c r="V77" i="57" l="1"/>
  <c r="U138" i="57"/>
  <c r="U131" i="57"/>
  <c r="V131" i="57" s="1"/>
  <c r="J150" i="506"/>
  <c r="K149" i="506"/>
  <c r="G34" i="681"/>
  <c r="J17" i="681" s="1"/>
  <c r="G175" i="245"/>
  <c r="J157" i="245" s="1"/>
  <c r="U125" i="57" s="1"/>
  <c r="V125" i="57" s="1"/>
  <c r="G196" i="245"/>
  <c r="J178" i="245" s="1"/>
  <c r="U126" i="57" s="1"/>
  <c r="V126" i="57" s="1"/>
  <c r="V138" i="57"/>
  <c r="V105" i="57"/>
  <c r="V140" i="57"/>
  <c r="V95" i="57"/>
  <c r="F32" i="57"/>
  <c r="D33" i="57"/>
  <c r="D34" i="57" s="1"/>
  <c r="L34" i="57" s="1"/>
  <c r="O34" i="57" s="1"/>
  <c r="G67" i="245"/>
  <c r="J53" i="245" s="1"/>
  <c r="U250" i="57" s="1"/>
  <c r="V250" i="57" s="1"/>
  <c r="G50" i="245"/>
  <c r="J31" i="245" s="1"/>
  <c r="U229" i="57" s="1"/>
  <c r="U220" i="57"/>
  <c r="U219" i="57"/>
  <c r="U216" i="57"/>
  <c r="U215" i="57"/>
  <c r="U214" i="57"/>
  <c r="V121" i="57"/>
  <c r="V24" i="57"/>
  <c r="V27" i="57"/>
  <c r="G26" i="57"/>
  <c r="H25" i="57"/>
  <c r="I24" i="57"/>
  <c r="U225" i="57"/>
  <c r="U52" i="57"/>
  <c r="V52" i="57" s="1"/>
  <c r="U48" i="57"/>
  <c r="V55" i="57"/>
  <c r="V65" i="57"/>
  <c r="J151" i="506" l="1"/>
  <c r="K150" i="506"/>
  <c r="V229" i="57"/>
  <c r="U230" i="57"/>
  <c r="V230" i="57" s="1"/>
  <c r="E33" i="57"/>
  <c r="E34" i="57" s="1"/>
  <c r="L33" i="57"/>
  <c r="O33" i="57" s="1"/>
  <c r="D35" i="57"/>
  <c r="D36" i="57"/>
  <c r="V220" i="57"/>
  <c r="V219" i="57"/>
  <c r="V216" i="57"/>
  <c r="V215" i="57"/>
  <c r="V214" i="57"/>
  <c r="H26" i="57"/>
  <c r="I25" i="57"/>
  <c r="V225" i="57"/>
  <c r="V48" i="57"/>
  <c r="B70" i="108"/>
  <c r="D70" i="108" s="1"/>
  <c r="D69" i="108"/>
  <c r="B64" i="108"/>
  <c r="B65" i="108" s="1"/>
  <c r="B66" i="108" s="1"/>
  <c r="D63" i="108"/>
  <c r="B58" i="108"/>
  <c r="D58" i="108" s="1"/>
  <c r="D57" i="108"/>
  <c r="B52" i="108"/>
  <c r="D52" i="108" s="1"/>
  <c r="D51" i="108"/>
  <c r="B46" i="108"/>
  <c r="B47" i="108" s="1"/>
  <c r="D45" i="108"/>
  <c r="D44" i="108"/>
  <c r="D43" i="108"/>
  <c r="D42" i="108"/>
  <c r="D41" i="108"/>
  <c r="D40" i="108"/>
  <c r="D39" i="108"/>
  <c r="B34" i="108"/>
  <c r="B35" i="108" s="1"/>
  <c r="D33" i="108"/>
  <c r="D26" i="108"/>
  <c r="D25" i="108"/>
  <c r="E25" i="108" s="1"/>
  <c r="E24" i="108"/>
  <c r="E23" i="108"/>
  <c r="E22" i="108"/>
  <c r="J152" i="506" l="1"/>
  <c r="K151" i="506"/>
  <c r="W502" i="57"/>
  <c r="X502" i="57" s="1"/>
  <c r="Y502" i="57" s="1"/>
  <c r="W509" i="57"/>
  <c r="X509" i="57" s="1"/>
  <c r="Y509" i="57" s="1"/>
  <c r="W317" i="57"/>
  <c r="X317" i="57" s="1"/>
  <c r="Y317" i="57" s="1"/>
  <c r="W234" i="57"/>
  <c r="X234" i="57" s="1"/>
  <c r="Y234" i="57" s="1"/>
  <c r="W518" i="57"/>
  <c r="X518" i="57" s="1"/>
  <c r="Y518" i="57" s="1"/>
  <c r="W135" i="57"/>
  <c r="X135" i="57" s="1"/>
  <c r="Y135" i="57" s="1"/>
  <c r="W95" i="57"/>
  <c r="X95" i="57" s="1"/>
  <c r="Y95" i="57" s="1"/>
  <c r="W88" i="57"/>
  <c r="X88" i="57" s="1"/>
  <c r="Y88" i="57" s="1"/>
  <c r="W515" i="57"/>
  <c r="X515" i="57" s="1"/>
  <c r="Y515" i="57" s="1"/>
  <c r="W437" i="57"/>
  <c r="X437" i="57" s="1"/>
  <c r="Y437" i="57" s="1"/>
  <c r="W102" i="57"/>
  <c r="X102" i="57" s="1"/>
  <c r="Y102" i="57" s="1"/>
  <c r="W98" i="57"/>
  <c r="X98" i="57" s="1"/>
  <c r="Y98" i="57" s="1"/>
  <c r="W93" i="57"/>
  <c r="X93" i="57" s="1"/>
  <c r="Y93" i="57" s="1"/>
  <c r="W131" i="57"/>
  <c r="X131" i="57" s="1"/>
  <c r="Y131" i="57" s="1"/>
  <c r="W433" i="57"/>
  <c r="X433" i="57" s="1"/>
  <c r="Y433" i="57" s="1"/>
  <c r="W130" i="57"/>
  <c r="X130" i="57" s="1"/>
  <c r="Y130" i="57" s="1"/>
  <c r="W140" i="57"/>
  <c r="X140" i="57" s="1"/>
  <c r="Y140" i="57" s="1"/>
  <c r="W104" i="57"/>
  <c r="X104" i="57" s="1"/>
  <c r="Y104" i="57" s="1"/>
  <c r="W321" i="57"/>
  <c r="X321" i="57" s="1"/>
  <c r="Y321" i="57" s="1"/>
  <c r="W301" i="57"/>
  <c r="X301" i="57" s="1"/>
  <c r="Y301" i="57" s="1"/>
  <c r="W141" i="57"/>
  <c r="X141" i="57" s="1"/>
  <c r="Y141" i="57" s="1"/>
  <c r="W508" i="57"/>
  <c r="X508" i="57" s="1"/>
  <c r="Y508" i="57" s="1"/>
  <c r="W106" i="57"/>
  <c r="X106" i="57" s="1"/>
  <c r="Y106" i="57" s="1"/>
  <c r="W101" i="57"/>
  <c r="X101" i="57" s="1"/>
  <c r="Y101" i="57" s="1"/>
  <c r="W92" i="57"/>
  <c r="X92" i="57" s="1"/>
  <c r="Y92" i="57" s="1"/>
  <c r="W136" i="57"/>
  <c r="X136" i="57" s="1"/>
  <c r="Y136" i="57" s="1"/>
  <c r="W316" i="57"/>
  <c r="X316" i="57" s="1"/>
  <c r="Y316" i="57" s="1"/>
  <c r="W496" i="57"/>
  <c r="X496" i="57" s="1"/>
  <c r="Y496" i="57" s="1"/>
  <c r="W514" i="57"/>
  <c r="X514" i="57" s="1"/>
  <c r="Y514" i="57" s="1"/>
  <c r="W445" i="57"/>
  <c r="X445" i="57" s="1"/>
  <c r="Y445" i="57" s="1"/>
  <c r="W97" i="57"/>
  <c r="X97" i="57" s="1"/>
  <c r="Y97" i="57" s="1"/>
  <c r="W320" i="57"/>
  <c r="X320" i="57" s="1"/>
  <c r="Y320" i="57" s="1"/>
  <c r="W297" i="57"/>
  <c r="X297" i="57" s="1"/>
  <c r="Y297" i="57" s="1"/>
  <c r="W510" i="57"/>
  <c r="X510" i="57" s="1"/>
  <c r="Y510" i="57" s="1"/>
  <c r="W517" i="57"/>
  <c r="X517" i="57" s="1"/>
  <c r="Y517" i="57" s="1"/>
  <c r="W298" i="57"/>
  <c r="X298" i="57" s="1"/>
  <c r="Y298" i="57" s="1"/>
  <c r="W442" i="57"/>
  <c r="X442" i="57" s="1"/>
  <c r="Y442" i="57" s="1"/>
  <c r="W139" i="57"/>
  <c r="X139" i="57" s="1"/>
  <c r="Y139" i="57" s="1"/>
  <c r="W129" i="57"/>
  <c r="X129" i="57" s="1"/>
  <c r="Y129" i="57" s="1"/>
  <c r="W96" i="57"/>
  <c r="X96" i="57" s="1"/>
  <c r="Y96" i="57" s="1"/>
  <c r="W91" i="57"/>
  <c r="X91" i="57" s="1"/>
  <c r="Y91" i="57" s="1"/>
  <c r="W137" i="57"/>
  <c r="X137" i="57" s="1"/>
  <c r="Y137" i="57" s="1"/>
  <c r="W105" i="57"/>
  <c r="X105" i="57" s="1"/>
  <c r="Y105" i="57" s="1"/>
  <c r="W308" i="57"/>
  <c r="X308" i="57" s="1"/>
  <c r="Y308" i="57" s="1"/>
  <c r="W487" i="57"/>
  <c r="X487" i="57" s="1"/>
  <c r="Y487" i="57" s="1"/>
  <c r="W90" i="57"/>
  <c r="X90" i="57" s="1"/>
  <c r="Y90" i="57" s="1"/>
  <c r="W319" i="57"/>
  <c r="X319" i="57" s="1"/>
  <c r="Y319" i="57" s="1"/>
  <c r="W506" i="57"/>
  <c r="X506" i="57" s="1"/>
  <c r="Y506" i="57" s="1"/>
  <c r="W138" i="57"/>
  <c r="X138" i="57" s="1"/>
  <c r="Y138" i="57" s="1"/>
  <c r="W128" i="57"/>
  <c r="X128" i="57" s="1"/>
  <c r="Y128" i="57" s="1"/>
  <c r="W516" i="57"/>
  <c r="X516" i="57" s="1"/>
  <c r="Y516" i="57" s="1"/>
  <c r="W312" i="57"/>
  <c r="X312" i="57" s="1"/>
  <c r="Y312" i="57" s="1"/>
  <c r="W210" i="57"/>
  <c r="X210" i="57" s="1"/>
  <c r="Y210" i="57" s="1"/>
  <c r="W507" i="57"/>
  <c r="X507" i="57" s="1"/>
  <c r="Y507" i="57" s="1"/>
  <c r="W307" i="57"/>
  <c r="X307" i="57" s="1"/>
  <c r="Y307" i="57" s="1"/>
  <c r="W318" i="57"/>
  <c r="X318" i="57" s="1"/>
  <c r="Y318" i="57" s="1"/>
  <c r="W229" i="57"/>
  <c r="X229" i="57" s="1"/>
  <c r="Y229" i="57" s="1"/>
  <c r="W89" i="57"/>
  <c r="X89" i="57" s="1"/>
  <c r="Y89" i="57" s="1"/>
  <c r="W313" i="57"/>
  <c r="X313" i="57" s="1"/>
  <c r="Y313" i="57" s="1"/>
  <c r="W440" i="57"/>
  <c r="X440" i="57" s="1"/>
  <c r="Y440" i="57" s="1"/>
  <c r="W103" i="57"/>
  <c r="X103" i="57" s="1"/>
  <c r="Y103" i="57" s="1"/>
  <c r="W94" i="57"/>
  <c r="X94" i="57" s="1"/>
  <c r="Y94" i="57" s="1"/>
  <c r="W132" i="57"/>
  <c r="X132" i="57" s="1"/>
  <c r="Y132" i="57" s="1"/>
  <c r="W127" i="57"/>
  <c r="X127" i="57" s="1"/>
  <c r="Y127" i="57" s="1"/>
  <c r="W87" i="57"/>
  <c r="X87" i="57" s="1"/>
  <c r="Y87" i="57" s="1"/>
  <c r="W448" i="57"/>
  <c r="X448" i="57" s="1"/>
  <c r="Y448" i="57" s="1"/>
  <c r="W238" i="57"/>
  <c r="X238" i="57" s="1"/>
  <c r="Y238" i="57" s="1"/>
  <c r="W34" i="57"/>
  <c r="X34" i="57" s="1"/>
  <c r="Y34" i="57" s="1"/>
  <c r="W284" i="57"/>
  <c r="X284" i="57" s="1"/>
  <c r="Y284" i="57" s="1"/>
  <c r="W31" i="57"/>
  <c r="X31" i="57" s="1"/>
  <c r="Y31" i="57" s="1"/>
  <c r="W283" i="57"/>
  <c r="X283" i="57" s="1"/>
  <c r="Y283" i="57" s="1"/>
  <c r="W282" i="57"/>
  <c r="X282" i="57" s="1"/>
  <c r="Y282" i="57" s="1"/>
  <c r="W277" i="57"/>
  <c r="X277" i="57" s="1"/>
  <c r="Y277" i="57" s="1"/>
  <c r="W221" i="57"/>
  <c r="X221" i="57" s="1"/>
  <c r="Y221" i="57" s="1"/>
  <c r="W292" i="57"/>
  <c r="X292" i="57" s="1"/>
  <c r="Y292" i="57" s="1"/>
  <c r="W501" i="57"/>
  <c r="X501" i="57" s="1"/>
  <c r="Y501" i="57" s="1"/>
  <c r="W511" i="57"/>
  <c r="X511" i="57" s="1"/>
  <c r="Y511" i="57" s="1"/>
  <c r="W503" i="57"/>
  <c r="X503" i="57" s="1"/>
  <c r="Y503" i="57" s="1"/>
  <c r="W495" i="57"/>
  <c r="X495" i="57" s="1"/>
  <c r="Y495" i="57" s="1"/>
  <c r="W497" i="57"/>
  <c r="X497" i="57" s="1"/>
  <c r="Y497" i="57" s="1"/>
  <c r="W493" i="57"/>
  <c r="X493" i="57" s="1"/>
  <c r="Y493" i="57" s="1"/>
  <c r="W522" i="57"/>
  <c r="X522" i="57" s="1"/>
  <c r="Y522" i="57" s="1"/>
  <c r="W405" i="57"/>
  <c r="X405" i="57" s="1"/>
  <c r="Y405" i="57" s="1"/>
  <c r="W412" i="57"/>
  <c r="X412" i="57" s="1"/>
  <c r="Y412" i="57" s="1"/>
  <c r="W406" i="57"/>
  <c r="X406" i="57" s="1"/>
  <c r="Y406" i="57" s="1"/>
  <c r="W411" i="57"/>
  <c r="X411" i="57" s="1"/>
  <c r="Y411" i="57" s="1"/>
  <c r="F33" i="57"/>
  <c r="F34" i="57" s="1"/>
  <c r="K36" i="57"/>
  <c r="L36" i="57" s="1"/>
  <c r="O36" i="57" s="1"/>
  <c r="B16" i="507" s="1"/>
  <c r="D37" i="57"/>
  <c r="E36" i="57"/>
  <c r="E35" i="57"/>
  <c r="W263" i="57"/>
  <c r="X263" i="57" s="1"/>
  <c r="Y263" i="57" s="1"/>
  <c r="W276" i="57"/>
  <c r="X276" i="57" s="1"/>
  <c r="Y276" i="57" s="1"/>
  <c r="W272" i="57"/>
  <c r="X272" i="57" s="1"/>
  <c r="Y272" i="57" s="1"/>
  <c r="W262" i="57"/>
  <c r="X262" i="57" s="1"/>
  <c r="Y262" i="57" s="1"/>
  <c r="W275" i="57"/>
  <c r="X275" i="57" s="1"/>
  <c r="Y275" i="57" s="1"/>
  <c r="W274" i="57"/>
  <c r="X274" i="57" s="1"/>
  <c r="Y274" i="57" s="1"/>
  <c r="W261" i="57"/>
  <c r="X261" i="57" s="1"/>
  <c r="Y261" i="57" s="1"/>
  <c r="W271" i="57"/>
  <c r="X271" i="57" s="1"/>
  <c r="Y271" i="57" s="1"/>
  <c r="W273" i="57"/>
  <c r="X273" i="57" s="1"/>
  <c r="Y273" i="57" s="1"/>
  <c r="W254" i="57"/>
  <c r="X254" i="57" s="1"/>
  <c r="Y254" i="57" s="1"/>
  <c r="W270" i="57"/>
  <c r="X270" i="57" s="1"/>
  <c r="Y270" i="57" s="1"/>
  <c r="W43" i="57"/>
  <c r="X43" i="57" s="1"/>
  <c r="Y43" i="57" s="1"/>
  <c r="W239" i="57"/>
  <c r="X239" i="57" s="1"/>
  <c r="Y239" i="57" s="1"/>
  <c r="W249" i="57"/>
  <c r="X249" i="57" s="1"/>
  <c r="Y249" i="57" s="1"/>
  <c r="W246" i="57"/>
  <c r="X246" i="57" s="1"/>
  <c r="Y246" i="57" s="1"/>
  <c r="W245" i="57"/>
  <c r="X245" i="57" s="1"/>
  <c r="Y245" i="57" s="1"/>
  <c r="W466" i="57"/>
  <c r="X466" i="57" s="1"/>
  <c r="Y466" i="57" s="1"/>
  <c r="W457" i="57"/>
  <c r="X457" i="57" s="1"/>
  <c r="Y457" i="57" s="1"/>
  <c r="W455" i="57"/>
  <c r="X455" i="57" s="1"/>
  <c r="Y455" i="57" s="1"/>
  <c r="W151" i="57"/>
  <c r="X151" i="57" s="1"/>
  <c r="Y151" i="57" s="1"/>
  <c r="W230" i="57"/>
  <c r="X230" i="57" s="1"/>
  <c r="Y230" i="57" s="1"/>
  <c r="W176" i="57"/>
  <c r="X176" i="57" s="1"/>
  <c r="Y176" i="57" s="1"/>
  <c r="W477" i="57"/>
  <c r="X477" i="57" s="1"/>
  <c r="Y477" i="57" s="1"/>
  <c r="W214" i="57"/>
  <c r="X214" i="57" s="1"/>
  <c r="Y214" i="57" s="1"/>
  <c r="W201" i="57"/>
  <c r="X201" i="57" s="1"/>
  <c r="Y201" i="57" s="1"/>
  <c r="W168" i="57"/>
  <c r="X168" i="57" s="1"/>
  <c r="Y168" i="57" s="1"/>
  <c r="W175" i="57"/>
  <c r="X175" i="57" s="1"/>
  <c r="Y175" i="57" s="1"/>
  <c r="W486" i="57"/>
  <c r="X486" i="57" s="1"/>
  <c r="Y486" i="57" s="1"/>
  <c r="W197" i="57"/>
  <c r="X197" i="57" s="1"/>
  <c r="Y197" i="57" s="1"/>
  <c r="W170" i="57"/>
  <c r="X170" i="57" s="1"/>
  <c r="Y170" i="57" s="1"/>
  <c r="W216" i="57"/>
  <c r="X216" i="57" s="1"/>
  <c r="Y216" i="57" s="1"/>
  <c r="W173" i="57"/>
  <c r="X173" i="57" s="1"/>
  <c r="Y173" i="57" s="1"/>
  <c r="W157" i="57"/>
  <c r="X157" i="57" s="1"/>
  <c r="Y157" i="57" s="1"/>
  <c r="W169" i="57"/>
  <c r="X169" i="57" s="1"/>
  <c r="Y169" i="57" s="1"/>
  <c r="W206" i="57"/>
  <c r="X206" i="57" s="1"/>
  <c r="Y206" i="57" s="1"/>
  <c r="W219" i="57"/>
  <c r="X219" i="57" s="1"/>
  <c r="Y219" i="57" s="1"/>
  <c r="W224" i="57"/>
  <c r="X224" i="57" s="1"/>
  <c r="Y224" i="57" s="1"/>
  <c r="W171" i="57"/>
  <c r="X171" i="57" s="1"/>
  <c r="Y171" i="57" s="1"/>
  <c r="W220" i="57"/>
  <c r="X220" i="57" s="1"/>
  <c r="Y220" i="57" s="1"/>
  <c r="W183" i="57"/>
  <c r="X183" i="57" s="1"/>
  <c r="Y183" i="57" s="1"/>
  <c r="W184" i="57"/>
  <c r="X184" i="57" s="1"/>
  <c r="Y184" i="57" s="1"/>
  <c r="W174" i="57"/>
  <c r="X174" i="57" s="1"/>
  <c r="Y174" i="57" s="1"/>
  <c r="W164" i="57"/>
  <c r="X164" i="57" s="1"/>
  <c r="Y164" i="57" s="1"/>
  <c r="W482" i="57"/>
  <c r="X482" i="57" s="1"/>
  <c r="Y482" i="57" s="1"/>
  <c r="W203" i="57"/>
  <c r="X203" i="57" s="1"/>
  <c r="Y203" i="57" s="1"/>
  <c r="W213" i="57"/>
  <c r="X213" i="57" s="1"/>
  <c r="Y213" i="57" s="1"/>
  <c r="W228" i="57"/>
  <c r="X228" i="57" s="1"/>
  <c r="Y228" i="57" s="1"/>
  <c r="W478" i="57"/>
  <c r="X478" i="57" s="1"/>
  <c r="Y478" i="57" s="1"/>
  <c r="W202" i="57"/>
  <c r="X202" i="57" s="1"/>
  <c r="Y202" i="57" s="1"/>
  <c r="W488" i="57"/>
  <c r="X488" i="57" s="1"/>
  <c r="Y488" i="57" s="1"/>
  <c r="W215" i="57"/>
  <c r="X215" i="57" s="1"/>
  <c r="Y215" i="57" s="1"/>
  <c r="W172" i="57"/>
  <c r="X172" i="57" s="1"/>
  <c r="Y172" i="57" s="1"/>
  <c r="W125" i="57"/>
  <c r="X125" i="57" s="1"/>
  <c r="Y125" i="57" s="1"/>
  <c r="W110" i="57"/>
  <c r="X110" i="57" s="1"/>
  <c r="Y110" i="57" s="1"/>
  <c r="W118" i="57"/>
  <c r="X118" i="57" s="1"/>
  <c r="Y118" i="57" s="1"/>
  <c r="W114" i="57"/>
  <c r="X114" i="57" s="1"/>
  <c r="Y114" i="57" s="1"/>
  <c r="W109" i="57"/>
  <c r="X109" i="57" s="1"/>
  <c r="Y109" i="57" s="1"/>
  <c r="W122" i="57"/>
  <c r="X122" i="57" s="1"/>
  <c r="Y122" i="57" s="1"/>
  <c r="W117" i="57"/>
  <c r="X117" i="57" s="1"/>
  <c r="Y117" i="57" s="1"/>
  <c r="W121" i="57"/>
  <c r="X121" i="57" s="1"/>
  <c r="Y121" i="57" s="1"/>
  <c r="W112" i="57"/>
  <c r="X112" i="57" s="1"/>
  <c r="Y112" i="57" s="1"/>
  <c r="W113" i="57"/>
  <c r="X113" i="57" s="1"/>
  <c r="Y113" i="57" s="1"/>
  <c r="W119" i="57"/>
  <c r="X119" i="57" s="1"/>
  <c r="Y119" i="57" s="1"/>
  <c r="W120" i="57"/>
  <c r="X120" i="57" s="1"/>
  <c r="Y120" i="57" s="1"/>
  <c r="W111" i="57"/>
  <c r="X111" i="57" s="1"/>
  <c r="Y111" i="57" s="1"/>
  <c r="W53" i="57"/>
  <c r="X53" i="57" s="1"/>
  <c r="Y53" i="57" s="1"/>
  <c r="W126" i="57"/>
  <c r="X126" i="57" s="1"/>
  <c r="Y126" i="57" s="1"/>
  <c r="W24" i="57"/>
  <c r="X24" i="57" s="1"/>
  <c r="Y24" i="57" s="1"/>
  <c r="W39" i="57"/>
  <c r="X39" i="57" s="1"/>
  <c r="Y39" i="57" s="1"/>
  <c r="W32" i="57"/>
  <c r="X32" i="57" s="1"/>
  <c r="Y32" i="57" s="1"/>
  <c r="W30" i="57"/>
  <c r="X30" i="57" s="1"/>
  <c r="Y30" i="57" s="1"/>
  <c r="W33" i="57"/>
  <c r="X33" i="57" s="1"/>
  <c r="Y33" i="57" s="1"/>
  <c r="W27" i="57"/>
  <c r="X27" i="57" s="1"/>
  <c r="Y27" i="57" s="1"/>
  <c r="W38" i="57"/>
  <c r="X38" i="57" s="1"/>
  <c r="Y38" i="57" s="1"/>
  <c r="W23" i="57"/>
  <c r="X23" i="57" s="1"/>
  <c r="Y23" i="57" s="1"/>
  <c r="W15" i="57"/>
  <c r="X15" i="57" s="1"/>
  <c r="Y15" i="57" s="1"/>
  <c r="W524" i="57"/>
  <c r="X524" i="57" s="1"/>
  <c r="Y524" i="57" s="1"/>
  <c r="W444" i="57"/>
  <c r="X444" i="57" s="1"/>
  <c r="Y444" i="57" s="1"/>
  <c r="W435" i="57"/>
  <c r="X435" i="57" s="1"/>
  <c r="Y435" i="57" s="1"/>
  <c r="W443" i="57"/>
  <c r="X443" i="57" s="1"/>
  <c r="Y443" i="57" s="1"/>
  <c r="W441" i="57"/>
  <c r="X441" i="57" s="1"/>
  <c r="Y441" i="57" s="1"/>
  <c r="W439" i="57"/>
  <c r="X439" i="57" s="1"/>
  <c r="Y439" i="57" s="1"/>
  <c r="W434" i="57"/>
  <c r="X434" i="57" s="1"/>
  <c r="Y434" i="57" s="1"/>
  <c r="W431" i="57"/>
  <c r="X431" i="57" s="1"/>
  <c r="Y431" i="57" s="1"/>
  <c r="W446" i="57"/>
  <c r="X446" i="57" s="1"/>
  <c r="Y446" i="57" s="1"/>
  <c r="W432" i="57"/>
  <c r="X432" i="57" s="1"/>
  <c r="Y432" i="57" s="1"/>
  <c r="W426" i="57"/>
  <c r="X426" i="57" s="1"/>
  <c r="Y426" i="57" s="1"/>
  <c r="W413" i="57"/>
  <c r="X413" i="57" s="1"/>
  <c r="Y413" i="57" s="1"/>
  <c r="W417" i="57"/>
  <c r="X417" i="57" s="1"/>
  <c r="Y417" i="57" s="1"/>
  <c r="W424" i="57"/>
  <c r="X424" i="57" s="1"/>
  <c r="Y424" i="57" s="1"/>
  <c r="W418" i="57"/>
  <c r="X418" i="57" s="1"/>
  <c r="Y418" i="57" s="1"/>
  <c r="W430" i="57"/>
  <c r="X430" i="57" s="1"/>
  <c r="Y430" i="57" s="1"/>
  <c r="W289" i="57"/>
  <c r="X289" i="57" s="1"/>
  <c r="Y289" i="57" s="1"/>
  <c r="W450" i="57"/>
  <c r="X450" i="57" s="1"/>
  <c r="Y450" i="57" s="1"/>
  <c r="W62" i="57"/>
  <c r="X62" i="57" s="1"/>
  <c r="Y62" i="57" s="1"/>
  <c r="W449" i="57"/>
  <c r="X449" i="57" s="1"/>
  <c r="Y449" i="57" s="1"/>
  <c r="W438" i="57"/>
  <c r="X438" i="57" s="1"/>
  <c r="Y438" i="57" s="1"/>
  <c r="W447" i="57"/>
  <c r="X447" i="57" s="1"/>
  <c r="Y447" i="57" s="1"/>
  <c r="W436" i="57"/>
  <c r="X436" i="57" s="1"/>
  <c r="Y436" i="57" s="1"/>
  <c r="W161" i="57"/>
  <c r="X161" i="57" s="1"/>
  <c r="Y161" i="57" s="1"/>
  <c r="I26" i="57"/>
  <c r="W465" i="57"/>
  <c r="X465" i="57" s="1"/>
  <c r="Y465" i="57" s="1"/>
  <c r="W427" i="57"/>
  <c r="X427" i="57" s="1"/>
  <c r="Y427" i="57" s="1"/>
  <c r="W410" i="57"/>
  <c r="X410" i="57" s="1"/>
  <c r="Y410" i="57" s="1"/>
  <c r="W460" i="57"/>
  <c r="X460" i="57" s="1"/>
  <c r="Y460" i="57" s="1"/>
  <c r="W464" i="57"/>
  <c r="X464" i="57" s="1"/>
  <c r="Y464" i="57" s="1"/>
  <c r="W403" i="57"/>
  <c r="X403" i="57" s="1"/>
  <c r="Y403" i="57" s="1"/>
  <c r="W454" i="57"/>
  <c r="X454" i="57" s="1"/>
  <c r="Y454" i="57" s="1"/>
  <c r="W408" i="57"/>
  <c r="X408" i="57" s="1"/>
  <c r="Y408" i="57" s="1"/>
  <c r="W492" i="57"/>
  <c r="X492" i="57" s="1"/>
  <c r="Y492" i="57" s="1"/>
  <c r="W491" i="57"/>
  <c r="X491" i="57" s="1"/>
  <c r="Y491" i="57" s="1"/>
  <c r="W459" i="57"/>
  <c r="X459" i="57" s="1"/>
  <c r="Y459" i="57" s="1"/>
  <c r="W463" i="57"/>
  <c r="X463" i="57" s="1"/>
  <c r="Y463" i="57" s="1"/>
  <c r="W421" i="57"/>
  <c r="X421" i="57" s="1"/>
  <c r="Y421" i="57" s="1"/>
  <c r="W146" i="57"/>
  <c r="X146" i="57" s="1"/>
  <c r="Y146" i="57" s="1"/>
  <c r="W404" i="57"/>
  <c r="X404" i="57" s="1"/>
  <c r="Y404" i="57" s="1"/>
  <c r="W471" i="57"/>
  <c r="X471" i="57" s="1"/>
  <c r="Y471" i="57" s="1"/>
  <c r="W494" i="57"/>
  <c r="X494" i="57" s="1"/>
  <c r="Y494" i="57" s="1"/>
  <c r="W458" i="57"/>
  <c r="X458" i="57" s="1"/>
  <c r="Y458" i="57" s="1"/>
  <c r="W419" i="57"/>
  <c r="X419" i="57" s="1"/>
  <c r="Y419" i="57" s="1"/>
  <c r="W462" i="57"/>
  <c r="X462" i="57" s="1"/>
  <c r="Y462" i="57" s="1"/>
  <c r="W416" i="57"/>
  <c r="X416" i="57" s="1"/>
  <c r="Y416" i="57" s="1"/>
  <c r="W470" i="57"/>
  <c r="X470" i="57" s="1"/>
  <c r="Y470" i="57" s="1"/>
  <c r="W145" i="57"/>
  <c r="X145" i="57" s="1"/>
  <c r="Y145" i="57" s="1"/>
  <c r="W467" i="57"/>
  <c r="X467" i="57" s="1"/>
  <c r="Y467" i="57" s="1"/>
  <c r="W407" i="57"/>
  <c r="X407" i="57" s="1"/>
  <c r="Y407" i="57" s="1"/>
  <c r="W456" i="57"/>
  <c r="X456" i="57" s="1"/>
  <c r="Y456" i="57" s="1"/>
  <c r="W415" i="57"/>
  <c r="X415" i="57" s="1"/>
  <c r="Y415" i="57" s="1"/>
  <c r="W472" i="57"/>
  <c r="X472" i="57" s="1"/>
  <c r="Y472" i="57" s="1"/>
  <c r="W461" i="57"/>
  <c r="X461" i="57" s="1"/>
  <c r="Y461" i="57" s="1"/>
  <c r="W326" i="57"/>
  <c r="X326" i="57" s="1"/>
  <c r="Y326" i="57" s="1"/>
  <c r="W373" i="57"/>
  <c r="X373" i="57" s="1"/>
  <c r="Y373" i="57" s="1"/>
  <c r="W528" i="57"/>
  <c r="X528" i="57" s="1"/>
  <c r="Y528" i="57" s="1"/>
  <c r="W388" i="57"/>
  <c r="X388" i="57" s="1"/>
  <c r="Y388" i="57" s="1"/>
  <c r="W363" i="57"/>
  <c r="X363" i="57" s="1"/>
  <c r="Y363" i="57" s="1"/>
  <c r="W399" i="57"/>
  <c r="X399" i="57" s="1"/>
  <c r="Y399" i="57" s="1"/>
  <c r="W333" i="57"/>
  <c r="X333" i="57" s="1"/>
  <c r="Y333" i="57" s="1"/>
  <c r="W390" i="57"/>
  <c r="X390" i="57" s="1"/>
  <c r="Y390" i="57" s="1"/>
  <c r="W385" i="57"/>
  <c r="X385" i="57" s="1"/>
  <c r="Y385" i="57" s="1"/>
  <c r="W355" i="57"/>
  <c r="X355" i="57" s="1"/>
  <c r="Y355" i="57" s="1"/>
  <c r="W394" i="57"/>
  <c r="X394" i="57" s="1"/>
  <c r="Y394" i="57" s="1"/>
  <c r="W397" i="57"/>
  <c r="X397" i="57" s="1"/>
  <c r="Y397" i="57" s="1"/>
  <c r="W371" i="57"/>
  <c r="X371" i="57" s="1"/>
  <c r="Y371" i="57" s="1"/>
  <c r="W347" i="57"/>
  <c r="X347" i="57" s="1"/>
  <c r="Y347" i="57" s="1"/>
  <c r="W483" i="57"/>
  <c r="X483" i="57" s="1"/>
  <c r="Y483" i="57" s="1"/>
  <c r="W389" i="57"/>
  <c r="X389" i="57" s="1"/>
  <c r="Y389" i="57" s="1"/>
  <c r="W381" i="57"/>
  <c r="X381" i="57" s="1"/>
  <c r="Y381" i="57" s="1"/>
  <c r="W331" i="57"/>
  <c r="X331" i="57" s="1"/>
  <c r="Y331" i="57" s="1"/>
  <c r="W393" i="57"/>
  <c r="X393" i="57" s="1"/>
  <c r="Y393" i="57" s="1"/>
  <c r="W359" i="57"/>
  <c r="X359" i="57" s="1"/>
  <c r="Y359" i="57" s="1"/>
  <c r="W396" i="57"/>
  <c r="X396" i="57" s="1"/>
  <c r="Y396" i="57" s="1"/>
  <c r="W337" i="57"/>
  <c r="X337" i="57" s="1"/>
  <c r="Y337" i="57" s="1"/>
  <c r="W380" i="57"/>
  <c r="X380" i="57" s="1"/>
  <c r="Y380" i="57" s="1"/>
  <c r="W328" i="57"/>
  <c r="X328" i="57" s="1"/>
  <c r="Y328" i="57" s="1"/>
  <c r="W354" i="57"/>
  <c r="X354" i="57" s="1"/>
  <c r="Y354" i="57" s="1"/>
  <c r="W479" i="57"/>
  <c r="X479" i="57" s="1"/>
  <c r="Y479" i="57" s="1"/>
  <c r="W392" i="57"/>
  <c r="X392" i="57" s="1"/>
  <c r="Y392" i="57" s="1"/>
  <c r="W358" i="57"/>
  <c r="X358" i="57" s="1"/>
  <c r="Y358" i="57" s="1"/>
  <c r="W395" i="57"/>
  <c r="X395" i="57" s="1"/>
  <c r="Y395" i="57" s="1"/>
  <c r="W330" i="57"/>
  <c r="X330" i="57" s="1"/>
  <c r="Y330" i="57" s="1"/>
  <c r="W329" i="57"/>
  <c r="X329" i="57" s="1"/>
  <c r="Y329" i="57" s="1"/>
  <c r="W327" i="57"/>
  <c r="X327" i="57" s="1"/>
  <c r="Y327" i="57" s="1"/>
  <c r="W364" i="57"/>
  <c r="X364" i="57" s="1"/>
  <c r="Y364" i="57" s="1"/>
  <c r="W341" i="57"/>
  <c r="X341" i="57" s="1"/>
  <c r="Y341" i="57" s="1"/>
  <c r="W351" i="57"/>
  <c r="X351" i="57" s="1"/>
  <c r="Y351" i="57" s="1"/>
  <c r="W346" i="57"/>
  <c r="X346" i="57" s="1"/>
  <c r="Y346" i="57" s="1"/>
  <c r="W476" i="57"/>
  <c r="X476" i="57" s="1"/>
  <c r="Y476" i="57" s="1"/>
  <c r="W391" i="57"/>
  <c r="X391" i="57" s="1"/>
  <c r="Y391" i="57" s="1"/>
  <c r="W296" i="57"/>
  <c r="X296" i="57" s="1"/>
  <c r="Y296" i="57" s="1"/>
  <c r="W244" i="57"/>
  <c r="X244" i="57" s="1"/>
  <c r="Y244" i="57" s="1"/>
  <c r="W314" i="57"/>
  <c r="X314" i="57" s="1"/>
  <c r="Y314" i="57" s="1"/>
  <c r="W256" i="57"/>
  <c r="X256" i="57" s="1"/>
  <c r="Y256" i="57" s="1"/>
  <c r="W322" i="57"/>
  <c r="X322" i="57" s="1"/>
  <c r="Y322" i="57" s="1"/>
  <c r="W304" i="57"/>
  <c r="X304" i="57" s="1"/>
  <c r="Y304" i="57" s="1"/>
  <c r="W295" i="57"/>
  <c r="X295" i="57" s="1"/>
  <c r="Y295" i="57" s="1"/>
  <c r="W243" i="57"/>
  <c r="X243" i="57" s="1"/>
  <c r="Y243" i="57" s="1"/>
  <c r="W311" i="57"/>
  <c r="X311" i="57" s="1"/>
  <c r="Y311" i="57" s="1"/>
  <c r="W255" i="57"/>
  <c r="X255" i="57" s="1"/>
  <c r="Y255" i="57" s="1"/>
  <c r="W225" i="57"/>
  <c r="X225" i="57" s="1"/>
  <c r="Y225" i="57" s="1"/>
  <c r="W288" i="57"/>
  <c r="X288" i="57" s="1"/>
  <c r="Y288" i="57" s="1"/>
  <c r="W287" i="57"/>
  <c r="X287" i="57" s="1"/>
  <c r="Y287" i="57" s="1"/>
  <c r="W305" i="57"/>
  <c r="X305" i="57" s="1"/>
  <c r="Y305" i="57" s="1"/>
  <c r="W303" i="57"/>
  <c r="X303" i="57" s="1"/>
  <c r="Y303" i="57" s="1"/>
  <c r="W294" i="57"/>
  <c r="X294" i="57" s="1"/>
  <c r="Y294" i="57" s="1"/>
  <c r="W250" i="57"/>
  <c r="X250" i="57" s="1"/>
  <c r="Y250" i="57" s="1"/>
  <c r="W310" i="57"/>
  <c r="X310" i="57" s="1"/>
  <c r="Y310" i="57" s="1"/>
  <c r="W253" i="57"/>
  <c r="X253" i="57" s="1"/>
  <c r="Y253" i="57" s="1"/>
  <c r="W315" i="57"/>
  <c r="X315" i="57" s="1"/>
  <c r="Y315" i="57" s="1"/>
  <c r="W240" i="57"/>
  <c r="X240" i="57" s="1"/>
  <c r="Y240" i="57" s="1"/>
  <c r="W306" i="57"/>
  <c r="X306" i="57" s="1"/>
  <c r="Y306" i="57" s="1"/>
  <c r="W248" i="57"/>
  <c r="X248" i="57" s="1"/>
  <c r="Y248" i="57" s="1"/>
  <c r="W302" i="57"/>
  <c r="X302" i="57" s="1"/>
  <c r="Y302" i="57" s="1"/>
  <c r="W293" i="57"/>
  <c r="X293" i="57" s="1"/>
  <c r="Y293" i="57" s="1"/>
  <c r="W267" i="57"/>
  <c r="X267" i="57" s="1"/>
  <c r="Y267" i="57" s="1"/>
  <c r="W258" i="57"/>
  <c r="X258" i="57" s="1"/>
  <c r="Y258" i="57" s="1"/>
  <c r="W242" i="57"/>
  <c r="X242" i="57" s="1"/>
  <c r="Y242" i="57" s="1"/>
  <c r="W309" i="57"/>
  <c r="X309" i="57" s="1"/>
  <c r="Y309" i="57" s="1"/>
  <c r="W279" i="57"/>
  <c r="X279" i="57" s="1"/>
  <c r="Y279" i="57" s="1"/>
  <c r="W300" i="57"/>
  <c r="X300" i="57" s="1"/>
  <c r="Y300" i="57" s="1"/>
  <c r="W299" i="57"/>
  <c r="X299" i="57" s="1"/>
  <c r="Y299" i="57" s="1"/>
  <c r="W266" i="57"/>
  <c r="X266" i="57" s="1"/>
  <c r="Y266" i="57" s="1"/>
  <c r="W257" i="57"/>
  <c r="X257" i="57" s="1"/>
  <c r="Y257" i="57" s="1"/>
  <c r="W290" i="57"/>
  <c r="X290" i="57" s="1"/>
  <c r="Y290" i="57" s="1"/>
  <c r="W278" i="57"/>
  <c r="X278" i="57" s="1"/>
  <c r="Y278" i="57" s="1"/>
  <c r="W291" i="57"/>
  <c r="X291" i="57" s="1"/>
  <c r="Y291" i="57" s="1"/>
  <c r="W247" i="57"/>
  <c r="X247" i="57" s="1"/>
  <c r="Y247" i="57" s="1"/>
  <c r="W186" i="57"/>
  <c r="X186" i="57" s="1"/>
  <c r="Y186" i="57" s="1"/>
  <c r="W180" i="57"/>
  <c r="X180" i="57" s="1"/>
  <c r="Y180" i="57" s="1"/>
  <c r="W190" i="57"/>
  <c r="X190" i="57" s="1"/>
  <c r="Y190" i="57" s="1"/>
  <c r="W156" i="57"/>
  <c r="X156" i="57" s="1"/>
  <c r="Y156" i="57" s="1"/>
  <c r="W185" i="57"/>
  <c r="X185" i="57" s="1"/>
  <c r="Y185" i="57" s="1"/>
  <c r="W196" i="57"/>
  <c r="X196" i="57" s="1"/>
  <c r="Y196" i="57" s="1"/>
  <c r="W179" i="57"/>
  <c r="X179" i="57" s="1"/>
  <c r="Y179" i="57" s="1"/>
  <c r="W195" i="57"/>
  <c r="X195" i="57" s="1"/>
  <c r="Y195" i="57" s="1"/>
  <c r="W158" i="57"/>
  <c r="X158" i="57" s="1"/>
  <c r="Y158" i="57" s="1"/>
  <c r="W192" i="57"/>
  <c r="X192" i="57" s="1"/>
  <c r="Y192" i="57" s="1"/>
  <c r="W191" i="57"/>
  <c r="X191" i="57" s="1"/>
  <c r="Y191" i="57" s="1"/>
  <c r="W48" i="57"/>
  <c r="X48" i="57" s="1"/>
  <c r="Y48" i="57" s="1"/>
  <c r="W47" i="57"/>
  <c r="X47" i="57" s="1"/>
  <c r="Y47" i="57" s="1"/>
  <c r="W65" i="57"/>
  <c r="X65" i="57" s="1"/>
  <c r="Y65" i="57" s="1"/>
  <c r="W55" i="57"/>
  <c r="X55" i="57" s="1"/>
  <c r="Y55" i="57" s="1"/>
  <c r="W150" i="57"/>
  <c r="X150" i="57" s="1"/>
  <c r="Y150" i="57" s="1"/>
  <c r="W149" i="57"/>
  <c r="X149" i="57" s="1"/>
  <c r="Y149" i="57" s="1"/>
  <c r="W152" i="57"/>
  <c r="X152" i="57" s="1"/>
  <c r="Y152" i="57" s="1"/>
  <c r="E26" i="108"/>
  <c r="W67" i="57"/>
  <c r="X67" i="57" s="1"/>
  <c r="Y67" i="57" s="1"/>
  <c r="W64" i="57"/>
  <c r="X64" i="57" s="1"/>
  <c r="Y64" i="57" s="1"/>
  <c r="W61" i="57"/>
  <c r="X61" i="57" s="1"/>
  <c r="Y61" i="57" s="1"/>
  <c r="W54" i="57"/>
  <c r="X54" i="57" s="1"/>
  <c r="Y54" i="57" s="1"/>
  <c r="W60" i="57"/>
  <c r="X60" i="57" s="1"/>
  <c r="Y60" i="57" s="1"/>
  <c r="W52" i="57"/>
  <c r="X52" i="57" s="1"/>
  <c r="Y52" i="57" s="1"/>
  <c r="W63" i="57"/>
  <c r="X63" i="57" s="1"/>
  <c r="Y63" i="57" s="1"/>
  <c r="W59" i="57"/>
  <c r="X59" i="57" s="1"/>
  <c r="Y59" i="57" s="1"/>
  <c r="W19" i="57"/>
  <c r="X19" i="57" s="1"/>
  <c r="Y19" i="57" s="1"/>
  <c r="W51" i="57"/>
  <c r="X51" i="57" s="1"/>
  <c r="Y51" i="57" s="1"/>
  <c r="W68" i="57"/>
  <c r="X68" i="57" s="1"/>
  <c r="Y68" i="57" s="1"/>
  <c r="W16" i="57"/>
  <c r="X16" i="57" s="1"/>
  <c r="Y16" i="57" s="1"/>
  <c r="W66" i="57"/>
  <c r="X66" i="57" s="1"/>
  <c r="Y66" i="57" s="1"/>
  <c r="W56" i="57"/>
  <c r="X56" i="57" s="1"/>
  <c r="Y56" i="57" s="1"/>
  <c r="W42" i="57"/>
  <c r="X42" i="57" s="1"/>
  <c r="Y42" i="57" s="1"/>
  <c r="C18" i="470"/>
  <c r="B59" i="108"/>
  <c r="B60" i="108" s="1"/>
  <c r="D60" i="108" s="1"/>
  <c r="W12" i="57"/>
  <c r="X12" i="57" s="1"/>
  <c r="D34" i="108"/>
  <c r="B71" i="108"/>
  <c r="B53" i="108"/>
  <c r="B36" i="108"/>
  <c r="D35" i="108"/>
  <c r="B48" i="108"/>
  <c r="D47" i="108"/>
  <c r="B67" i="108"/>
  <c r="D66" i="108"/>
  <c r="D46" i="108"/>
  <c r="D64" i="108"/>
  <c r="D65" i="108"/>
  <c r="J153" i="506" l="1"/>
  <c r="K152" i="506"/>
  <c r="F35" i="57"/>
  <c r="F36" i="57" s="1"/>
  <c r="E37" i="57"/>
  <c r="F37" i="57" s="1"/>
  <c r="D38" i="57"/>
  <c r="G27" i="57"/>
  <c r="B61" i="108"/>
  <c r="B62" i="108" s="1"/>
  <c r="D62" i="108" s="1"/>
  <c r="D59" i="108"/>
  <c r="Y12" i="57"/>
  <c r="D53" i="108"/>
  <c r="B54" i="108"/>
  <c r="D71" i="108"/>
  <c r="B72" i="108"/>
  <c r="B68" i="108"/>
  <c r="D68" i="108" s="1"/>
  <c r="D67" i="108"/>
  <c r="B49" i="108"/>
  <c r="D48" i="108"/>
  <c r="B37" i="108"/>
  <c r="D36" i="108"/>
  <c r="J154" i="506" l="1"/>
  <c r="K153" i="506"/>
  <c r="E38" i="57"/>
  <c r="L38" i="57" s="1"/>
  <c r="O38" i="57" s="1"/>
  <c r="K37" i="57"/>
  <c r="L37" i="57" s="1"/>
  <c r="O37" i="57" s="1"/>
  <c r="B17" i="507" s="1"/>
  <c r="D39" i="57"/>
  <c r="D40" i="57" s="1"/>
  <c r="G28" i="57"/>
  <c r="H27" i="57"/>
  <c r="D61" i="108"/>
  <c r="B55" i="108"/>
  <c r="D54" i="108"/>
  <c r="B73" i="108"/>
  <c r="D72" i="108"/>
  <c r="D37" i="108"/>
  <c r="B38" i="108"/>
  <c r="D38" i="108" s="1"/>
  <c r="B50" i="108"/>
  <c r="D50" i="108" s="1"/>
  <c r="D49" i="108"/>
  <c r="J155" i="506" l="1"/>
  <c r="K154" i="506"/>
  <c r="D41" i="57"/>
  <c r="K41" i="57" s="1"/>
  <c r="L41" i="57" s="1"/>
  <c r="O41" i="57" s="1"/>
  <c r="B18" i="507" s="1"/>
  <c r="F38" i="57"/>
  <c r="E39" i="57"/>
  <c r="L39" i="57" s="1"/>
  <c r="O39" i="57" s="1"/>
  <c r="G29" i="57"/>
  <c r="H28" i="57"/>
  <c r="I27" i="57"/>
  <c r="B74" i="108"/>
  <c r="D74" i="108" s="1"/>
  <c r="D73" i="108"/>
  <c r="B56" i="108"/>
  <c r="D56" i="108" s="1"/>
  <c r="D55" i="108"/>
  <c r="J156" i="506" l="1"/>
  <c r="K155" i="506"/>
  <c r="E41" i="57"/>
  <c r="E40" i="57"/>
  <c r="F39" i="57"/>
  <c r="H29" i="57"/>
  <c r="I28" i="57"/>
  <c r="J157" i="506" l="1"/>
  <c r="K156" i="506"/>
  <c r="F41" i="57"/>
  <c r="F40" i="57"/>
  <c r="I29" i="57"/>
  <c r="G30" i="57"/>
  <c r="J158" i="506" l="1"/>
  <c r="K157" i="506"/>
  <c r="G31" i="57"/>
  <c r="H30" i="57"/>
  <c r="D42" i="57"/>
  <c r="J159" i="506" l="1"/>
  <c r="K158" i="506"/>
  <c r="H31" i="57"/>
  <c r="G32" i="57"/>
  <c r="D43" i="57"/>
  <c r="L43" i="57" s="1"/>
  <c r="O43" i="57" s="1"/>
  <c r="I30" i="57"/>
  <c r="J160" i="506" l="1"/>
  <c r="K159" i="506"/>
  <c r="H32" i="57"/>
  <c r="I31" i="57"/>
  <c r="G33" i="57"/>
  <c r="G34" i="57" s="1"/>
  <c r="E42" i="57"/>
  <c r="J161" i="506" l="1"/>
  <c r="K160" i="506"/>
  <c r="I32" i="57"/>
  <c r="H33" i="57"/>
  <c r="H34" i="57" s="1"/>
  <c r="G35" i="57"/>
  <c r="E43" i="57"/>
  <c r="F42" i="57"/>
  <c r="J162" i="506" l="1"/>
  <c r="K161" i="506"/>
  <c r="I33" i="57"/>
  <c r="I34" i="57" s="1"/>
  <c r="H35" i="57"/>
  <c r="G36" i="57"/>
  <c r="L42" i="57"/>
  <c r="O42" i="57" s="1"/>
  <c r="F43" i="57"/>
  <c r="J163" i="506" l="1"/>
  <c r="K162" i="506"/>
  <c r="I35" i="57"/>
  <c r="H36" i="57"/>
  <c r="G37" i="57"/>
  <c r="J164" i="506" l="1"/>
  <c r="K163" i="506"/>
  <c r="I36" i="57"/>
  <c r="H37" i="57"/>
  <c r="G38" i="57"/>
  <c r="G39" i="57" s="1"/>
  <c r="J165" i="506" l="1"/>
  <c r="K164" i="506"/>
  <c r="I37" i="57"/>
  <c r="H38" i="57"/>
  <c r="J166" i="506" l="1"/>
  <c r="K165" i="506"/>
  <c r="I38" i="57"/>
  <c r="H39" i="57"/>
  <c r="G40" i="57"/>
  <c r="G41" i="57" s="1"/>
  <c r="J167" i="506" l="1"/>
  <c r="K166" i="506"/>
  <c r="I39" i="57"/>
  <c r="H40" i="57"/>
  <c r="H41" i="57" s="1"/>
  <c r="J168" i="506" l="1"/>
  <c r="K167" i="506"/>
  <c r="I40" i="57"/>
  <c r="I41" i="57" s="1"/>
  <c r="D44" i="57"/>
  <c r="J169" i="506" l="1"/>
  <c r="K168" i="506"/>
  <c r="E44" i="57"/>
  <c r="J170" i="506" l="1"/>
  <c r="K169" i="506"/>
  <c r="F44" i="57"/>
  <c r="J171" i="506" l="1"/>
  <c r="K170" i="506"/>
  <c r="Q6" i="387"/>
  <c r="P6" i="387"/>
  <c r="O6" i="387"/>
  <c r="N6" i="387"/>
  <c r="M6" i="387"/>
  <c r="L6" i="387"/>
  <c r="K6" i="387"/>
  <c r="Q5" i="387"/>
  <c r="P5" i="387"/>
  <c r="O5" i="387"/>
  <c r="N5" i="387"/>
  <c r="M5" i="387"/>
  <c r="L5" i="387"/>
  <c r="K5" i="387"/>
  <c r="Q4" i="387"/>
  <c r="P4" i="387"/>
  <c r="O4" i="387"/>
  <c r="N4" i="387"/>
  <c r="M4" i="387"/>
  <c r="L4" i="387"/>
  <c r="K4" i="387"/>
  <c r="Q6" i="108"/>
  <c r="P6" i="108"/>
  <c r="O6" i="108"/>
  <c r="N6" i="108"/>
  <c r="M6" i="108"/>
  <c r="L6" i="108"/>
  <c r="K6" i="108"/>
  <c r="Q5" i="108"/>
  <c r="P5" i="108"/>
  <c r="O5" i="108"/>
  <c r="N5" i="108"/>
  <c r="M5" i="108"/>
  <c r="L5" i="108"/>
  <c r="K5" i="108"/>
  <c r="Q4" i="108"/>
  <c r="P4" i="108"/>
  <c r="O4" i="108"/>
  <c r="N4" i="108"/>
  <c r="M4" i="108"/>
  <c r="L4" i="108"/>
  <c r="K4" i="108"/>
  <c r="J172" i="506" l="1"/>
  <c r="K171" i="506"/>
  <c r="G42" i="57"/>
  <c r="J173" i="506" l="1"/>
  <c r="K172" i="506"/>
  <c r="G43" i="57"/>
  <c r="J174" i="506" l="1"/>
  <c r="K173" i="506"/>
  <c r="H42" i="57"/>
  <c r="J175" i="506" l="1"/>
  <c r="K174" i="506"/>
  <c r="H43" i="57"/>
  <c r="I42" i="57"/>
  <c r="J176" i="506" l="1"/>
  <c r="K175" i="506"/>
  <c r="I43" i="57"/>
  <c r="J177" i="506" l="1"/>
  <c r="K176" i="506"/>
  <c r="G44" i="57"/>
  <c r="J178" i="506" l="1"/>
  <c r="K177" i="506"/>
  <c r="H44" i="57"/>
  <c r="I44" i="57" s="1"/>
  <c r="J179" i="506" l="1"/>
  <c r="K178" i="506"/>
  <c r="D45" i="57"/>
  <c r="D46" i="57" s="1"/>
  <c r="J180" i="506" l="1"/>
  <c r="K179" i="506"/>
  <c r="E45" i="57"/>
  <c r="F45" i="57" s="1"/>
  <c r="K45" i="57"/>
  <c r="L45" i="57" s="1"/>
  <c r="O45" i="57" s="1"/>
  <c r="B19" i="507" s="1"/>
  <c r="D47" i="57"/>
  <c r="J181" i="506" l="1"/>
  <c r="K180" i="506"/>
  <c r="E46" i="57"/>
  <c r="K46" i="57" s="1"/>
  <c r="L46" i="57" s="1"/>
  <c r="O46" i="57" s="1"/>
  <c r="B20" i="507" s="1"/>
  <c r="D48" i="57"/>
  <c r="J182" i="506" l="1"/>
  <c r="K181" i="506"/>
  <c r="E47" i="57"/>
  <c r="E48" i="57" s="1"/>
  <c r="F46" i="57"/>
  <c r="D49" i="57"/>
  <c r="J183" i="506" l="1"/>
  <c r="K182" i="506"/>
  <c r="F47" i="57"/>
  <c r="L47" i="57" s="1"/>
  <c r="O47" i="57" s="1"/>
  <c r="E49" i="57"/>
  <c r="D50" i="57"/>
  <c r="J184" i="506" l="1"/>
  <c r="K183" i="506"/>
  <c r="F48" i="57"/>
  <c r="L48" i="57" s="1"/>
  <c r="O48" i="57" s="1"/>
  <c r="E50" i="57"/>
  <c r="D51" i="57"/>
  <c r="J185" i="506" l="1"/>
  <c r="K184" i="506"/>
  <c r="F49" i="57"/>
  <c r="E51" i="57"/>
  <c r="F50" i="57"/>
  <c r="K50" i="57"/>
  <c r="L50" i="57" s="1"/>
  <c r="O50" i="57" s="1"/>
  <c r="B21" i="507" s="1"/>
  <c r="D52" i="57"/>
  <c r="J186" i="506" l="1"/>
  <c r="K185" i="506"/>
  <c r="E52" i="57"/>
  <c r="F51" i="57"/>
  <c r="L51" i="57" s="1"/>
  <c r="O51" i="57" s="1"/>
  <c r="J187" i="506" l="1"/>
  <c r="K186" i="506"/>
  <c r="F52" i="57"/>
  <c r="L52" i="57" s="1"/>
  <c r="O52" i="57" s="1"/>
  <c r="D53" i="57"/>
  <c r="D54" i="57" s="1"/>
  <c r="J188" i="506" l="1"/>
  <c r="K187" i="506"/>
  <c r="D55" i="57"/>
  <c r="J189" i="506" l="1"/>
  <c r="K188" i="506"/>
  <c r="D56" i="57"/>
  <c r="J190" i="506" l="1"/>
  <c r="K189" i="506"/>
  <c r="D57" i="57"/>
  <c r="D58" i="57" s="1"/>
  <c r="D59" i="57" s="1"/>
  <c r="D60" i="57" s="1"/>
  <c r="J191" i="506" l="1"/>
  <c r="K190" i="506"/>
  <c r="D61" i="57"/>
  <c r="J192" i="506" l="1"/>
  <c r="K191" i="506"/>
  <c r="D62" i="57"/>
  <c r="J193" i="506" l="1"/>
  <c r="K192" i="506"/>
  <c r="D63" i="57"/>
  <c r="J194" i="506" l="1"/>
  <c r="K193" i="506"/>
  <c r="D64" i="57"/>
  <c r="J195" i="506" l="1"/>
  <c r="K194" i="506"/>
  <c r="D65" i="57"/>
  <c r="D66" i="57" s="1"/>
  <c r="D67" i="57" s="1"/>
  <c r="J196" i="506" l="1"/>
  <c r="K195" i="506"/>
  <c r="D68" i="57"/>
  <c r="J197" i="506" l="1"/>
  <c r="K196" i="506"/>
  <c r="D69" i="57"/>
  <c r="D70" i="57" s="1"/>
  <c r="J198" i="506" l="1"/>
  <c r="K197" i="506"/>
  <c r="D71" i="57"/>
  <c r="J199" i="506" l="1"/>
  <c r="K198" i="506"/>
  <c r="D72" i="57"/>
  <c r="J200" i="506" l="1"/>
  <c r="K199" i="506"/>
  <c r="D73" i="57"/>
  <c r="J201" i="506" l="1"/>
  <c r="K200" i="506"/>
  <c r="D74" i="57"/>
  <c r="J202" i="506" l="1"/>
  <c r="K201" i="506"/>
  <c r="D75" i="57"/>
  <c r="J203" i="506" l="1"/>
  <c r="K202" i="506"/>
  <c r="D76" i="57"/>
  <c r="J204" i="506" l="1"/>
  <c r="K203" i="506"/>
  <c r="D77" i="57"/>
  <c r="J205" i="506" l="1"/>
  <c r="K204" i="506"/>
  <c r="D78" i="57"/>
  <c r="J206" i="506" l="1"/>
  <c r="K205" i="506"/>
  <c r="D79" i="57"/>
  <c r="J207" i="506" l="1"/>
  <c r="K206" i="506"/>
  <c r="D80" i="57"/>
  <c r="J208" i="506" l="1"/>
  <c r="K207" i="506"/>
  <c r="D81" i="57"/>
  <c r="D82" i="57" s="1"/>
  <c r="D83" i="57" s="1"/>
  <c r="D84" i="57" s="1"/>
  <c r="D85" i="57" s="1"/>
  <c r="D86" i="57" s="1"/>
  <c r="D87" i="57" s="1"/>
  <c r="D88" i="57" s="1"/>
  <c r="D89" i="57" s="1"/>
  <c r="D90" i="57" s="1"/>
  <c r="D91" i="57" s="1"/>
  <c r="D92" i="57" s="1"/>
  <c r="D93" i="57" s="1"/>
  <c r="D94" i="57" s="1"/>
  <c r="D95" i="57" s="1"/>
  <c r="D96" i="57" s="1"/>
  <c r="D97" i="57" s="1"/>
  <c r="D98" i="57" s="1"/>
  <c r="D99" i="57" s="1"/>
  <c r="D100" i="57" s="1"/>
  <c r="J209" i="506" l="1"/>
  <c r="K208" i="506"/>
  <c r="D101" i="57"/>
  <c r="J210" i="506" l="1"/>
  <c r="K209" i="506"/>
  <c r="D102" i="57"/>
  <c r="J211" i="506" l="1"/>
  <c r="K210" i="506"/>
  <c r="D103" i="57"/>
  <c r="J212" i="506" l="1"/>
  <c r="K211" i="506"/>
  <c r="D104" i="57"/>
  <c r="J213" i="506" l="1"/>
  <c r="K212" i="506"/>
  <c r="D105" i="57"/>
  <c r="J214" i="506" l="1"/>
  <c r="K213" i="506"/>
  <c r="D106" i="57"/>
  <c r="J215" i="506" l="1"/>
  <c r="K214" i="506"/>
  <c r="D107" i="57"/>
  <c r="D108" i="57" s="1"/>
  <c r="D109" i="57" s="1"/>
  <c r="D110" i="57" s="1"/>
  <c r="D111" i="57" s="1"/>
  <c r="D112" i="57" s="1"/>
  <c r="D113" i="57" s="1"/>
  <c r="D114" i="57" s="1"/>
  <c r="D115" i="57" s="1"/>
  <c r="D116" i="57" s="1"/>
  <c r="D117" i="57" s="1"/>
  <c r="D118" i="57" s="1"/>
  <c r="D119" i="57" s="1"/>
  <c r="D120" i="57" s="1"/>
  <c r="D121" i="57" s="1"/>
  <c r="D122" i="57" s="1"/>
  <c r="D123" i="57" s="1"/>
  <c r="D124" i="57" s="1"/>
  <c r="D125" i="57" s="1"/>
  <c r="D126" i="57" s="1"/>
  <c r="J216" i="506" l="1"/>
  <c r="K215" i="506"/>
  <c r="D127" i="57"/>
  <c r="J217" i="506" l="1"/>
  <c r="K216" i="506"/>
  <c r="D128" i="57"/>
  <c r="J218" i="506" l="1"/>
  <c r="K217" i="506"/>
  <c r="D129" i="57"/>
  <c r="G45" i="57"/>
  <c r="J219" i="506" l="1"/>
  <c r="K218" i="506"/>
  <c r="D130" i="57"/>
  <c r="G46" i="57"/>
  <c r="J220" i="506" l="1"/>
  <c r="K219" i="506"/>
  <c r="D131" i="57"/>
  <c r="G47" i="57"/>
  <c r="J221" i="506" l="1"/>
  <c r="K220" i="506"/>
  <c r="D132" i="57"/>
  <c r="G48" i="57"/>
  <c r="J222" i="506" l="1"/>
  <c r="K221" i="506"/>
  <c r="D133" i="57"/>
  <c r="D134" i="57" s="1"/>
  <c r="D135" i="57" s="1"/>
  <c r="D136" i="57" s="1"/>
  <c r="D137" i="57" s="1"/>
  <c r="G49" i="57"/>
  <c r="G50" i="57" s="1"/>
  <c r="G51" i="57" s="1"/>
  <c r="G52" i="57" s="1"/>
  <c r="J223" i="506" l="1"/>
  <c r="K222" i="506"/>
  <c r="D138" i="57"/>
  <c r="J224" i="506" l="1"/>
  <c r="K223" i="506"/>
  <c r="D139" i="57"/>
  <c r="H45" i="57"/>
  <c r="H46" i="57" s="1"/>
  <c r="H47" i="57" s="1"/>
  <c r="J225" i="506" l="1"/>
  <c r="K224" i="506"/>
  <c r="D140" i="57"/>
  <c r="D141" i="57" s="1"/>
  <c r="D142" i="57" s="1"/>
  <c r="D143" i="57" s="1"/>
  <c r="K143" i="57" s="1"/>
  <c r="L143" i="57" s="1"/>
  <c r="O143" i="57" s="1"/>
  <c r="B30" i="507" s="1"/>
  <c r="I45" i="57"/>
  <c r="I46" i="57" s="1"/>
  <c r="I47" i="57" s="1"/>
  <c r="H48" i="57"/>
  <c r="H49" i="57" s="1"/>
  <c r="H50" i="57" s="1"/>
  <c r="H51" i="57" s="1"/>
  <c r="H52" i="57" s="1"/>
  <c r="J226" i="506" l="1"/>
  <c r="K225" i="506"/>
  <c r="I48" i="57"/>
  <c r="I49" i="57" s="1"/>
  <c r="I50" i="57" s="1"/>
  <c r="I51" i="57" s="1"/>
  <c r="I52" i="57" s="1"/>
  <c r="J227" i="506" l="1"/>
  <c r="K226" i="506"/>
  <c r="E53" i="57"/>
  <c r="E54" i="57" s="1"/>
  <c r="E143" i="57"/>
  <c r="J228" i="506" l="1"/>
  <c r="K227" i="506"/>
  <c r="F53" i="57"/>
  <c r="F54" i="57" s="1"/>
  <c r="L53" i="57"/>
  <c r="O53" i="57" s="1"/>
  <c r="L54" i="57"/>
  <c r="O54" i="57" s="1"/>
  <c r="J229" i="506" l="1"/>
  <c r="K228" i="506"/>
  <c r="G53" i="57"/>
  <c r="H53" i="57" s="1"/>
  <c r="J230" i="506" l="1"/>
  <c r="K229" i="506"/>
  <c r="G54" i="57"/>
  <c r="H54" i="57" s="1"/>
  <c r="E55" i="57"/>
  <c r="I53" i="57"/>
  <c r="J231" i="506" l="1"/>
  <c r="K230" i="506"/>
  <c r="I54" i="57"/>
  <c r="E56" i="57"/>
  <c r="L55" i="57"/>
  <c r="O55" i="57" s="1"/>
  <c r="F55" i="57"/>
  <c r="J232" i="506" l="1"/>
  <c r="K231" i="506"/>
  <c r="L56" i="57"/>
  <c r="O56" i="57" s="1"/>
  <c r="E57" i="57"/>
  <c r="F56" i="57"/>
  <c r="J233" i="506" l="1"/>
  <c r="K232" i="506"/>
  <c r="G55" i="57"/>
  <c r="H55" i="57" s="1"/>
  <c r="E58" i="57"/>
  <c r="F57" i="57"/>
  <c r="J234" i="506" l="1"/>
  <c r="K233" i="506"/>
  <c r="I55" i="57"/>
  <c r="G56" i="57"/>
  <c r="H56" i="57" s="1"/>
  <c r="E59" i="57"/>
  <c r="K58" i="57"/>
  <c r="L58" i="57" s="1"/>
  <c r="O58" i="57" s="1"/>
  <c r="B22" i="507" s="1"/>
  <c r="F58" i="57"/>
  <c r="J235" i="506" l="1"/>
  <c r="K234" i="506"/>
  <c r="I56" i="57"/>
  <c r="G57" i="57"/>
  <c r="H57" i="57" s="1"/>
  <c r="F59" i="57"/>
  <c r="E60" i="57"/>
  <c r="L59" i="57"/>
  <c r="O59" i="57" s="1"/>
  <c r="J236" i="506" l="1"/>
  <c r="K235" i="506"/>
  <c r="I57" i="57"/>
  <c r="G58" i="57"/>
  <c r="H58" i="57" s="1"/>
  <c r="F60" i="57"/>
  <c r="L60" i="57"/>
  <c r="O60" i="57" s="1"/>
  <c r="E61" i="57"/>
  <c r="J237" i="506" l="1"/>
  <c r="K236" i="506"/>
  <c r="I58" i="57"/>
  <c r="G59" i="57"/>
  <c r="G60" i="57" s="1"/>
  <c r="F61" i="57"/>
  <c r="L61" i="57"/>
  <c r="O61" i="57" s="1"/>
  <c r="E62" i="57"/>
  <c r="J238" i="506" l="1"/>
  <c r="K237" i="506"/>
  <c r="G61" i="57"/>
  <c r="H59" i="57"/>
  <c r="I59" i="57" s="1"/>
  <c r="L62" i="57"/>
  <c r="O62" i="57" s="1"/>
  <c r="E63" i="57"/>
  <c r="F62" i="57"/>
  <c r="J239" i="506" l="1"/>
  <c r="K238" i="506"/>
  <c r="G62" i="57"/>
  <c r="H60" i="57"/>
  <c r="I60" i="57" s="1"/>
  <c r="F63" i="57"/>
  <c r="L63" i="57"/>
  <c r="O63" i="57" s="1"/>
  <c r="E64" i="57"/>
  <c r="J240" i="506" l="1"/>
  <c r="K239" i="506"/>
  <c r="G63" i="57"/>
  <c r="H61" i="57"/>
  <c r="H62" i="57" s="1"/>
  <c r="F64" i="57"/>
  <c r="L64" i="57"/>
  <c r="O64" i="57" s="1"/>
  <c r="E65" i="57"/>
  <c r="J241" i="506" l="1"/>
  <c r="K240" i="506"/>
  <c r="H63" i="57"/>
  <c r="G64" i="57"/>
  <c r="I61" i="57"/>
  <c r="I62" i="57" s="1"/>
  <c r="F65" i="57"/>
  <c r="E66" i="57"/>
  <c r="L65" i="57"/>
  <c r="O65" i="57" s="1"/>
  <c r="J242" i="506" l="1"/>
  <c r="K241" i="506"/>
  <c r="I63" i="57"/>
  <c r="G65" i="57"/>
  <c r="H64" i="57"/>
  <c r="F66" i="57"/>
  <c r="E67" i="57"/>
  <c r="L66" i="57"/>
  <c r="O66" i="57" s="1"/>
  <c r="J243" i="506" l="1"/>
  <c r="K242" i="506"/>
  <c r="I64" i="57"/>
  <c r="G66" i="57"/>
  <c r="H65" i="57"/>
  <c r="F67" i="57"/>
  <c r="L67" i="57"/>
  <c r="O67" i="57" s="1"/>
  <c r="E68" i="57"/>
  <c r="J244" i="506" l="1"/>
  <c r="K243" i="506"/>
  <c r="E69" i="57"/>
  <c r="H66" i="57"/>
  <c r="G67" i="57"/>
  <c r="I65" i="57"/>
  <c r="L68" i="57"/>
  <c r="O68" i="57" s="1"/>
  <c r="F68" i="57"/>
  <c r="J245" i="506" l="1"/>
  <c r="K244" i="506"/>
  <c r="E70" i="57"/>
  <c r="F70" i="57" s="1"/>
  <c r="F69" i="57"/>
  <c r="H67" i="57"/>
  <c r="I66" i="57"/>
  <c r="G68" i="57"/>
  <c r="J246" i="506" l="1"/>
  <c r="K245" i="506"/>
  <c r="K70" i="57"/>
  <c r="L70" i="57" s="1"/>
  <c r="O70" i="57" s="1"/>
  <c r="B23" i="507" s="1"/>
  <c r="E71" i="57"/>
  <c r="G69" i="57"/>
  <c r="H68" i="57"/>
  <c r="I67" i="57"/>
  <c r="J247" i="506" l="1"/>
  <c r="K246" i="506"/>
  <c r="L71" i="57"/>
  <c r="O71" i="57" s="1"/>
  <c r="E72" i="57"/>
  <c r="H69" i="57"/>
  <c r="F71" i="57"/>
  <c r="G70" i="57"/>
  <c r="I68" i="57"/>
  <c r="J248" i="506" l="1"/>
  <c r="K247" i="506"/>
  <c r="G71" i="57"/>
  <c r="H70" i="57"/>
  <c r="E73" i="57"/>
  <c r="L72" i="57"/>
  <c r="O72" i="57" s="1"/>
  <c r="F72" i="57"/>
  <c r="I69" i="57"/>
  <c r="J249" i="506" l="1"/>
  <c r="K248" i="506"/>
  <c r="H71" i="57"/>
  <c r="E74" i="57"/>
  <c r="L73" i="57"/>
  <c r="O73" i="57" s="1"/>
  <c r="F73" i="57"/>
  <c r="I70" i="57"/>
  <c r="G72" i="57"/>
  <c r="J250" i="506" l="1"/>
  <c r="K249" i="506"/>
  <c r="H72" i="57"/>
  <c r="L74" i="57"/>
  <c r="O74" i="57" s="1"/>
  <c r="E75" i="57"/>
  <c r="F74" i="57"/>
  <c r="I71" i="57"/>
  <c r="G73" i="57"/>
  <c r="J251" i="506" l="1"/>
  <c r="K250" i="506"/>
  <c r="I72" i="57"/>
  <c r="H73" i="57"/>
  <c r="L75" i="57"/>
  <c r="O75" i="57" s="1"/>
  <c r="E76" i="57"/>
  <c r="F75" i="57"/>
  <c r="G74" i="57"/>
  <c r="J252" i="506" l="1"/>
  <c r="K251" i="506"/>
  <c r="H74" i="57"/>
  <c r="I73" i="57"/>
  <c r="L76" i="57"/>
  <c r="O76" i="57" s="1"/>
  <c r="E77" i="57"/>
  <c r="F76" i="57"/>
  <c r="G75" i="57"/>
  <c r="H75" i="57" s="1"/>
  <c r="J253" i="506" l="1"/>
  <c r="K252" i="506"/>
  <c r="I74" i="57"/>
  <c r="I75" i="57" s="1"/>
  <c r="F77" i="57"/>
  <c r="G76" i="57"/>
  <c r="L77" i="57"/>
  <c r="O77" i="57" s="1"/>
  <c r="E78" i="57"/>
  <c r="J254" i="506" l="1"/>
  <c r="K253" i="506"/>
  <c r="E79" i="57"/>
  <c r="L78" i="57"/>
  <c r="O78" i="57" s="1"/>
  <c r="F78" i="57"/>
  <c r="G77" i="57"/>
  <c r="H76" i="57"/>
  <c r="J255" i="506" l="1"/>
  <c r="K254" i="506"/>
  <c r="L79" i="57"/>
  <c r="O79" i="57" s="1"/>
  <c r="E80" i="57"/>
  <c r="F79" i="57"/>
  <c r="H77" i="57"/>
  <c r="I76" i="57"/>
  <c r="G78" i="57"/>
  <c r="G79" i="57" s="1"/>
  <c r="J256" i="506" l="1"/>
  <c r="K255" i="506"/>
  <c r="L80" i="57"/>
  <c r="O80" i="57" s="1"/>
  <c r="E81" i="57"/>
  <c r="F80" i="57"/>
  <c r="G80" i="57" s="1"/>
  <c r="I77" i="57"/>
  <c r="H78" i="57"/>
  <c r="J257" i="506" l="1"/>
  <c r="K256" i="506"/>
  <c r="L81" i="57"/>
  <c r="O81" i="57" s="1"/>
  <c r="E82" i="57"/>
  <c r="F81" i="57"/>
  <c r="H79" i="57"/>
  <c r="I78" i="57"/>
  <c r="J258" i="506" l="1"/>
  <c r="K257" i="506"/>
  <c r="F82" i="57"/>
  <c r="I79" i="57"/>
  <c r="G81" i="57"/>
  <c r="L82" i="57"/>
  <c r="O82" i="57" s="1"/>
  <c r="E83" i="57"/>
  <c r="H80" i="57"/>
  <c r="J259" i="506" l="1"/>
  <c r="K258" i="506"/>
  <c r="I80" i="57"/>
  <c r="L83" i="57"/>
  <c r="O83" i="57" s="1"/>
  <c r="E84" i="57"/>
  <c r="H81" i="57"/>
  <c r="G82" i="57"/>
  <c r="F83" i="57"/>
  <c r="J260" i="506" l="1"/>
  <c r="K259" i="506"/>
  <c r="G83" i="57"/>
  <c r="H82" i="57"/>
  <c r="L84" i="57"/>
  <c r="O84" i="57" s="1"/>
  <c r="E85" i="57"/>
  <c r="I81" i="57"/>
  <c r="F84" i="57"/>
  <c r="H83" i="57" l="1"/>
  <c r="J261" i="506"/>
  <c r="K260" i="506"/>
  <c r="I82" i="57"/>
  <c r="F85" i="57"/>
  <c r="G84" i="57"/>
  <c r="E86" i="57"/>
  <c r="F86" i="57" s="1"/>
  <c r="I83" i="57" l="1"/>
  <c r="H84" i="57"/>
  <c r="J262" i="506"/>
  <c r="K261" i="506"/>
  <c r="E87" i="57"/>
  <c r="F87" i="57" s="1"/>
  <c r="K86" i="57"/>
  <c r="L86" i="57" s="1"/>
  <c r="O86" i="57" s="1"/>
  <c r="B24" i="507" s="1"/>
  <c r="G85" i="57"/>
  <c r="G86" i="57" s="1"/>
  <c r="I84" i="57"/>
  <c r="J263" i="506" l="1"/>
  <c r="K262" i="506"/>
  <c r="G87" i="57"/>
  <c r="L87" i="57"/>
  <c r="O87" i="57" s="1"/>
  <c r="E88" i="57"/>
  <c r="H85" i="57"/>
  <c r="J264" i="506" l="1"/>
  <c r="K263" i="506"/>
  <c r="E89" i="57"/>
  <c r="L88" i="57"/>
  <c r="O88" i="57" s="1"/>
  <c r="F88" i="57"/>
  <c r="G88" i="57" s="1"/>
  <c r="I85" i="57"/>
  <c r="H86" i="57"/>
  <c r="H87" i="57" s="1"/>
  <c r="J265" i="506" l="1"/>
  <c r="K264" i="506"/>
  <c r="H88" i="57"/>
  <c r="I86" i="57"/>
  <c r="I87" i="57" s="1"/>
  <c r="F89" i="57"/>
  <c r="E90" i="57"/>
  <c r="L89" i="57"/>
  <c r="O89" i="57" s="1"/>
  <c r="J266" i="506" l="1"/>
  <c r="K265" i="506"/>
  <c r="F90" i="57"/>
  <c r="E91" i="57"/>
  <c r="L90" i="57"/>
  <c r="O90" i="57" s="1"/>
  <c r="G89" i="57"/>
  <c r="H89" i="57" s="1"/>
  <c r="I88" i="57"/>
  <c r="J267" i="506" l="1"/>
  <c r="K266" i="506"/>
  <c r="F91" i="57"/>
  <c r="I89" i="57"/>
  <c r="E92" i="57"/>
  <c r="L91" i="57"/>
  <c r="O91" i="57" s="1"/>
  <c r="G90" i="57"/>
  <c r="F92" i="57" l="1"/>
  <c r="J268" i="506"/>
  <c r="K267" i="506"/>
  <c r="L92" i="57"/>
  <c r="O92" i="57" s="1"/>
  <c r="E93" i="57"/>
  <c r="F93" i="57" s="1"/>
  <c r="H90" i="57"/>
  <c r="G91" i="57"/>
  <c r="J269" i="506" l="1"/>
  <c r="K268" i="506"/>
  <c r="L93" i="57"/>
  <c r="O93" i="57" s="1"/>
  <c r="E94" i="57"/>
  <c r="G92" i="57"/>
  <c r="I90" i="57"/>
  <c r="H91" i="57"/>
  <c r="J270" i="506" l="1"/>
  <c r="K269" i="506"/>
  <c r="E95" i="57"/>
  <c r="L94" i="57"/>
  <c r="O94" i="57" s="1"/>
  <c r="H92" i="57"/>
  <c r="G93" i="57"/>
  <c r="I91" i="57"/>
  <c r="F94" i="57"/>
  <c r="J271" i="506" l="1"/>
  <c r="K270" i="506"/>
  <c r="G94" i="57"/>
  <c r="F95" i="57"/>
  <c r="L95" i="57"/>
  <c r="O95" i="57" s="1"/>
  <c r="E96" i="57"/>
  <c r="I92" i="57"/>
  <c r="H93" i="57"/>
  <c r="J272" i="506" l="1"/>
  <c r="K271" i="506"/>
  <c r="F96" i="57"/>
  <c r="G95" i="57"/>
  <c r="E97" i="57"/>
  <c r="L96" i="57"/>
  <c r="O96" i="57" s="1"/>
  <c r="I93" i="57"/>
  <c r="H94" i="57"/>
  <c r="F97" i="57" l="1"/>
  <c r="J273" i="506"/>
  <c r="K272" i="506"/>
  <c r="H95" i="57"/>
  <c r="L97" i="57"/>
  <c r="O97" i="57" s="1"/>
  <c r="E98" i="57"/>
  <c r="F98" i="57" s="1"/>
  <c r="G96" i="57"/>
  <c r="I94" i="57"/>
  <c r="D144" i="57"/>
  <c r="D145" i="57" s="1"/>
  <c r="E144" i="57"/>
  <c r="F144" i="57" s="1"/>
  <c r="J274" i="506" l="1"/>
  <c r="K273" i="506"/>
  <c r="I95" i="57"/>
  <c r="H96" i="57"/>
  <c r="L98" i="57"/>
  <c r="O98" i="57" s="1"/>
  <c r="E99" i="57"/>
  <c r="F99" i="57" s="1"/>
  <c r="G97" i="57"/>
  <c r="G98" i="57" s="1"/>
  <c r="K144" i="57"/>
  <c r="L144" i="57" s="1"/>
  <c r="O144" i="57" s="1"/>
  <c r="B31" i="507" s="1"/>
  <c r="D146" i="57"/>
  <c r="E145" i="57"/>
  <c r="J275" i="506" l="1"/>
  <c r="K274" i="506"/>
  <c r="E100" i="57"/>
  <c r="H97" i="57"/>
  <c r="G99" i="57"/>
  <c r="I96" i="57"/>
  <c r="L145" i="57"/>
  <c r="O145" i="57" s="1"/>
  <c r="F145" i="57"/>
  <c r="E146" i="57"/>
  <c r="J276" i="506" l="1"/>
  <c r="K275" i="506"/>
  <c r="I97" i="57"/>
  <c r="K100" i="57"/>
  <c r="L100" i="57" s="1"/>
  <c r="O100" i="57" s="1"/>
  <c r="B25" i="507" s="1"/>
  <c r="E101" i="57"/>
  <c r="F100" i="57"/>
  <c r="H98" i="57"/>
  <c r="H99" i="57" s="1"/>
  <c r="L146" i="57"/>
  <c r="O146" i="57" s="1"/>
  <c r="D147" i="57"/>
  <c r="E147" i="57" s="1"/>
  <c r="F146" i="57"/>
  <c r="J277" i="506" l="1"/>
  <c r="K276" i="506"/>
  <c r="G100" i="57"/>
  <c r="I98" i="57"/>
  <c r="I99" i="57" s="1"/>
  <c r="F101" i="57"/>
  <c r="L101" i="57"/>
  <c r="O101" i="57" s="1"/>
  <c r="E102" i="57"/>
  <c r="E148" i="57"/>
  <c r="F148" i="57" s="1"/>
  <c r="D148" i="57"/>
  <c r="J278" i="506" l="1"/>
  <c r="K277" i="506"/>
  <c r="F102" i="57"/>
  <c r="H100" i="57"/>
  <c r="L102" i="57"/>
  <c r="O102" i="57" s="1"/>
  <c r="E103" i="57"/>
  <c r="F103" i="57" s="1"/>
  <c r="G101" i="57"/>
  <c r="F147" i="57"/>
  <c r="D149" i="57"/>
  <c r="E149" i="57" s="1"/>
  <c r="F149" i="57" s="1"/>
  <c r="K148" i="57"/>
  <c r="L148" i="57" s="1"/>
  <c r="O148" i="57" s="1"/>
  <c r="B32" i="507" s="1"/>
  <c r="J279" i="506" l="1"/>
  <c r="K278" i="506"/>
  <c r="L103" i="57"/>
  <c r="O103" i="57" s="1"/>
  <c r="E104" i="57"/>
  <c r="F104" i="57" s="1"/>
  <c r="I100" i="57"/>
  <c r="H101" i="57"/>
  <c r="G102" i="57"/>
  <c r="D150" i="57"/>
  <c r="L149" i="57"/>
  <c r="O149" i="57" s="1"/>
  <c r="J280" i="506" l="1"/>
  <c r="K279" i="506"/>
  <c r="H102" i="57"/>
  <c r="G103" i="57"/>
  <c r="G104" i="57" s="1"/>
  <c r="L104" i="57"/>
  <c r="O104" i="57" s="1"/>
  <c r="E105" i="57"/>
  <c r="I101" i="57"/>
  <c r="D151" i="57"/>
  <c r="D152" i="57" s="1"/>
  <c r="E150" i="57"/>
  <c r="J281" i="506" l="1"/>
  <c r="K280" i="506"/>
  <c r="I102" i="57"/>
  <c r="H103" i="57"/>
  <c r="L105" i="57"/>
  <c r="O105" i="57" s="1"/>
  <c r="E106" i="57"/>
  <c r="F105" i="57"/>
  <c r="E151" i="57"/>
  <c r="L151" i="57" s="1"/>
  <c r="O151" i="57" s="1"/>
  <c r="D154" i="57"/>
  <c r="D153" i="57"/>
  <c r="F150" i="57"/>
  <c r="L150" i="57"/>
  <c r="O150" i="57" s="1"/>
  <c r="J282" i="506" l="1"/>
  <c r="K281" i="506"/>
  <c r="I103" i="57"/>
  <c r="H104" i="57"/>
  <c r="G105" i="57"/>
  <c r="F106" i="57"/>
  <c r="E107" i="57"/>
  <c r="L106" i="57"/>
  <c r="O106" i="57" s="1"/>
  <c r="E152" i="57"/>
  <c r="L152" i="57" s="1"/>
  <c r="O152" i="57" s="1"/>
  <c r="F151" i="57"/>
  <c r="E154" i="57"/>
  <c r="D155" i="57"/>
  <c r="K154" i="57"/>
  <c r="L154" i="57" s="1"/>
  <c r="O154" i="57" s="1"/>
  <c r="B33" i="507" s="1"/>
  <c r="I104" i="57" l="1"/>
  <c r="J283" i="506"/>
  <c r="K282" i="506"/>
  <c r="H105" i="57"/>
  <c r="I105" i="57" s="1"/>
  <c r="F107" i="57"/>
  <c r="E108" i="57"/>
  <c r="F108" i="57" s="1"/>
  <c r="G106" i="57"/>
  <c r="H106" i="57" s="1"/>
  <c r="E153" i="57"/>
  <c r="F154" i="57" s="1"/>
  <c r="F152" i="57"/>
  <c r="D156" i="57"/>
  <c r="E155" i="57"/>
  <c r="J284" i="506" l="1"/>
  <c r="K283" i="506"/>
  <c r="G107" i="57"/>
  <c r="G108" i="57" s="1"/>
  <c r="K108" i="57"/>
  <c r="L108" i="57" s="1"/>
  <c r="O108" i="57" s="1"/>
  <c r="B26" i="507" s="1"/>
  <c r="E109" i="57"/>
  <c r="F109" i="57" s="1"/>
  <c r="I106" i="57"/>
  <c r="F153" i="57"/>
  <c r="D157" i="57"/>
  <c r="D158" i="57" s="1"/>
  <c r="F155" i="57"/>
  <c r="K155" i="57"/>
  <c r="L155" i="57" s="1"/>
  <c r="O155" i="57" s="1"/>
  <c r="B34" i="507" s="1"/>
  <c r="J285" i="506" l="1"/>
  <c r="K284" i="506"/>
  <c r="L109" i="57"/>
  <c r="O109" i="57" s="1"/>
  <c r="E110" i="57"/>
  <c r="F110" i="57" s="1"/>
  <c r="H107" i="57"/>
  <c r="I107" i="57" s="1"/>
  <c r="G109" i="57"/>
  <c r="E156" i="57"/>
  <c r="E157" i="57" s="1"/>
  <c r="E158" i="57" s="1"/>
  <c r="J286" i="506" l="1"/>
  <c r="K285" i="506"/>
  <c r="G110" i="57"/>
  <c r="H108" i="57"/>
  <c r="H109" i="57" s="1"/>
  <c r="E111" i="57"/>
  <c r="F111" i="57" s="1"/>
  <c r="L110" i="57"/>
  <c r="O110" i="57" s="1"/>
  <c r="L156" i="57"/>
  <c r="O156" i="57" s="1"/>
  <c r="F156" i="57"/>
  <c r="F157" i="57" s="1"/>
  <c r="F158" i="57" s="1"/>
  <c r="L157" i="57"/>
  <c r="O157" i="57" s="1"/>
  <c r="L158" i="57"/>
  <c r="O158" i="57" s="1"/>
  <c r="J287" i="506" l="1"/>
  <c r="K286" i="506"/>
  <c r="L111" i="57"/>
  <c r="O111" i="57" s="1"/>
  <c r="E112" i="57"/>
  <c r="F112" i="57" s="1"/>
  <c r="I108" i="57"/>
  <c r="I109" i="57" s="1"/>
  <c r="H110" i="57"/>
  <c r="G111" i="57"/>
  <c r="J288" i="506" l="1"/>
  <c r="K287" i="506"/>
  <c r="L112" i="57"/>
  <c r="O112" i="57" s="1"/>
  <c r="E113" i="57"/>
  <c r="F113" i="57" s="1"/>
  <c r="I110" i="57"/>
  <c r="H111" i="57"/>
  <c r="G112" i="57"/>
  <c r="D159" i="57"/>
  <c r="D160" i="57" s="1"/>
  <c r="J289" i="506" l="1"/>
  <c r="K288" i="506"/>
  <c r="E114" i="57"/>
  <c r="F114" i="57" s="1"/>
  <c r="L113" i="57"/>
  <c r="O113" i="57" s="1"/>
  <c r="I111" i="57"/>
  <c r="G113" i="57"/>
  <c r="H112" i="57"/>
  <c r="E159" i="57"/>
  <c r="D161" i="57"/>
  <c r="J290" i="506" l="1"/>
  <c r="K289" i="506"/>
  <c r="I112" i="57"/>
  <c r="H113" i="57"/>
  <c r="L114" i="57"/>
  <c r="O114" i="57" s="1"/>
  <c r="E115" i="57"/>
  <c r="G114" i="57"/>
  <c r="F159" i="57"/>
  <c r="D162" i="57"/>
  <c r="D163" i="57" s="1"/>
  <c r="E160" i="57"/>
  <c r="F160" i="57" s="1"/>
  <c r="J291" i="506" l="1"/>
  <c r="K290" i="506"/>
  <c r="E116" i="57"/>
  <c r="F116" i="57"/>
  <c r="F115" i="57"/>
  <c r="I113" i="57"/>
  <c r="H114" i="57"/>
  <c r="D164" i="57"/>
  <c r="D166" i="57" s="1"/>
  <c r="K160" i="57"/>
  <c r="L160" i="57" s="1"/>
  <c r="O160" i="57" s="1"/>
  <c r="B35" i="507" s="1"/>
  <c r="E161" i="57"/>
  <c r="E162" i="57" s="1"/>
  <c r="J292" i="506" l="1"/>
  <c r="K291" i="506"/>
  <c r="G115" i="57"/>
  <c r="G116" i="57" s="1"/>
  <c r="I114" i="57"/>
  <c r="E117" i="57"/>
  <c r="K116" i="57"/>
  <c r="L116" i="57" s="1"/>
  <c r="O116" i="57" s="1"/>
  <c r="B27" i="507" s="1"/>
  <c r="D165" i="57"/>
  <c r="E166" i="57" s="1"/>
  <c r="E163" i="57"/>
  <c r="F163" i="57" s="1"/>
  <c r="D167" i="57"/>
  <c r="K166" i="57"/>
  <c r="L166" i="57" s="1"/>
  <c r="O166" i="57" s="1"/>
  <c r="B37" i="507" s="1"/>
  <c r="L161" i="57"/>
  <c r="O161" i="57" s="1"/>
  <c r="F161" i="57"/>
  <c r="F162" i="57" s="1"/>
  <c r="J293" i="506" l="1"/>
  <c r="K292" i="506"/>
  <c r="E118" i="57"/>
  <c r="L117" i="57"/>
  <c r="O117" i="57" s="1"/>
  <c r="F117" i="57"/>
  <c r="G117" i="57" s="1"/>
  <c r="H115" i="57"/>
  <c r="H116" i="57" s="1"/>
  <c r="E164" i="57"/>
  <c r="L164" i="57" s="1"/>
  <c r="O164" i="57" s="1"/>
  <c r="K163" i="57"/>
  <c r="L163" i="57" s="1"/>
  <c r="O163" i="57" s="1"/>
  <c r="B36" i="507" s="1"/>
  <c r="D168" i="57"/>
  <c r="E167" i="57"/>
  <c r="J294" i="506" l="1"/>
  <c r="K293" i="506"/>
  <c r="I115" i="57"/>
  <c r="I116" i="57" s="1"/>
  <c r="F118" i="57"/>
  <c r="G118" i="57" s="1"/>
  <c r="E119" i="57"/>
  <c r="L118" i="57"/>
  <c r="O118" i="57" s="1"/>
  <c r="H117" i="57"/>
  <c r="E165" i="57"/>
  <c r="D169" i="57"/>
  <c r="F164" i="57"/>
  <c r="E168" i="57"/>
  <c r="L168" i="57" s="1"/>
  <c r="O168" i="57" s="1"/>
  <c r="F167" i="57"/>
  <c r="K167" i="57"/>
  <c r="L167" i="57" s="1"/>
  <c r="O167" i="57" s="1"/>
  <c r="B38" i="507" s="1"/>
  <c r="J295" i="506" l="1"/>
  <c r="K294" i="506"/>
  <c r="H118" i="57"/>
  <c r="F119" i="57"/>
  <c r="G119" i="57" s="1"/>
  <c r="L119" i="57"/>
  <c r="O119" i="57" s="1"/>
  <c r="E120" i="57"/>
  <c r="I117" i="57"/>
  <c r="F165" i="57"/>
  <c r="F166" i="57" s="1"/>
  <c r="F168" i="57"/>
  <c r="D170" i="57"/>
  <c r="E169" i="57"/>
  <c r="J296" i="506" l="1"/>
  <c r="K295" i="506"/>
  <c r="I118" i="57"/>
  <c r="F120" i="57"/>
  <c r="G120" i="57" s="1"/>
  <c r="E121" i="57"/>
  <c r="L120" i="57"/>
  <c r="O120" i="57" s="1"/>
  <c r="H119" i="57"/>
  <c r="F169" i="57"/>
  <c r="L169" i="57"/>
  <c r="O169" i="57" s="1"/>
  <c r="E170" i="57"/>
  <c r="L170" i="57" s="1"/>
  <c r="O170" i="57" s="1"/>
  <c r="D171" i="57"/>
  <c r="J297" i="506" l="1"/>
  <c r="K296" i="506"/>
  <c r="F121" i="57"/>
  <c r="G121" i="57" s="1"/>
  <c r="I119" i="57"/>
  <c r="L121" i="57"/>
  <c r="O121" i="57" s="1"/>
  <c r="E122" i="57"/>
  <c r="H120" i="57"/>
  <c r="F170" i="57"/>
  <c r="D172" i="57"/>
  <c r="F122" i="57" l="1"/>
  <c r="J298" i="506"/>
  <c r="K297" i="506"/>
  <c r="L122" i="57"/>
  <c r="O122" i="57" s="1"/>
  <c r="E123" i="57"/>
  <c r="F123" i="57" s="1"/>
  <c r="H121" i="57"/>
  <c r="I120" i="57"/>
  <c r="G122" i="57"/>
  <c r="E171" i="57"/>
  <c r="E172" i="57" s="1"/>
  <c r="L172" i="57" s="1"/>
  <c r="O172" i="57" s="1"/>
  <c r="D173" i="57"/>
  <c r="J299" i="506" l="1"/>
  <c r="K298" i="506"/>
  <c r="I121" i="57"/>
  <c r="E124" i="57"/>
  <c r="F124" i="57" s="1"/>
  <c r="H122" i="57"/>
  <c r="G123" i="57"/>
  <c r="F171" i="57"/>
  <c r="F172" i="57" s="1"/>
  <c r="L171" i="57"/>
  <c r="O171" i="57" s="1"/>
  <c r="D174" i="57"/>
  <c r="E173" i="57"/>
  <c r="J300" i="506" l="1"/>
  <c r="K299" i="506"/>
  <c r="G124" i="57"/>
  <c r="K124" i="57"/>
  <c r="L124" i="57" s="1"/>
  <c r="O124" i="57" s="1"/>
  <c r="B28" i="507" s="1"/>
  <c r="E125" i="57"/>
  <c r="F125" i="57" s="1"/>
  <c r="H123" i="57"/>
  <c r="I122" i="57"/>
  <c r="E174" i="57"/>
  <c r="L174" i="57" s="1"/>
  <c r="O174" i="57" s="1"/>
  <c r="D175" i="57"/>
  <c r="L173" i="57"/>
  <c r="O173" i="57" s="1"/>
  <c r="F173" i="57"/>
  <c r="J301" i="506" l="1"/>
  <c r="K300" i="506"/>
  <c r="E126" i="57"/>
  <c r="F126" i="57" s="1"/>
  <c r="L125" i="57"/>
  <c r="O125" i="57" s="1"/>
  <c r="H124" i="57"/>
  <c r="G125" i="57"/>
  <c r="I123" i="57"/>
  <c r="D176" i="57"/>
  <c r="E175" i="57"/>
  <c r="F174" i="57"/>
  <c r="J302" i="506" l="1"/>
  <c r="K301" i="506"/>
  <c r="G126" i="57"/>
  <c r="I124" i="57"/>
  <c r="H125" i="57"/>
  <c r="E127" i="57"/>
  <c r="L126" i="57"/>
  <c r="O126" i="57" s="1"/>
  <c r="E176" i="57"/>
  <c r="F175" i="57"/>
  <c r="L175" i="57"/>
  <c r="O175" i="57" s="1"/>
  <c r="J303" i="506" l="1"/>
  <c r="K303" i="506" s="1"/>
  <c r="K302" i="506"/>
  <c r="E128" i="57"/>
  <c r="L127" i="57"/>
  <c r="O127" i="57" s="1"/>
  <c r="F127" i="57"/>
  <c r="F128" i="57" s="1"/>
  <c r="H126" i="57"/>
  <c r="I125" i="57"/>
  <c r="L176" i="57"/>
  <c r="O176" i="57" s="1"/>
  <c r="F176" i="57"/>
  <c r="I126" i="57" l="1"/>
  <c r="G127" i="57"/>
  <c r="H127" i="57" s="1"/>
  <c r="L128" i="57"/>
  <c r="O128" i="57" s="1"/>
  <c r="E129" i="57"/>
  <c r="F129" i="57" s="1"/>
  <c r="D177" i="57"/>
  <c r="D178" i="57" s="1"/>
  <c r="D179" i="57" s="1"/>
  <c r="D180" i="57" s="1"/>
  <c r="D181" i="57" s="1"/>
  <c r="D182" i="57" s="1"/>
  <c r="L129" i="57" l="1"/>
  <c r="O129" i="57" s="1"/>
  <c r="E130" i="57"/>
  <c r="G128" i="57"/>
  <c r="H128" i="57" s="1"/>
  <c r="I127" i="57"/>
  <c r="E177" i="57"/>
  <c r="F177" i="57" s="1"/>
  <c r="D183" i="57"/>
  <c r="D184" i="57" s="1"/>
  <c r="I128" i="57" l="1"/>
  <c r="G129" i="57"/>
  <c r="H129" i="57" s="1"/>
  <c r="E131" i="57"/>
  <c r="L130" i="57"/>
  <c r="O130" i="57" s="1"/>
  <c r="F130" i="57"/>
  <c r="E178" i="57"/>
  <c r="F178" i="57" s="1"/>
  <c r="D185" i="57"/>
  <c r="D186" i="57" s="1"/>
  <c r="F131" i="57" l="1"/>
  <c r="G130" i="57"/>
  <c r="G131" i="57" s="1"/>
  <c r="L131" i="57"/>
  <c r="O131" i="57" s="1"/>
  <c r="E132" i="57"/>
  <c r="I129" i="57"/>
  <c r="E179" i="57"/>
  <c r="F179" i="57" s="1"/>
  <c r="K178" i="57"/>
  <c r="L178" i="57" s="1"/>
  <c r="O178" i="57" s="1"/>
  <c r="B39" i="507" s="1"/>
  <c r="D188" i="57"/>
  <c r="D187" i="57"/>
  <c r="E133" i="57" l="1"/>
  <c r="E134" i="57" s="1"/>
  <c r="L132" i="57"/>
  <c r="O132" i="57" s="1"/>
  <c r="F132" i="57"/>
  <c r="H130" i="57"/>
  <c r="H131" i="57" s="1"/>
  <c r="E188" i="57"/>
  <c r="E189" i="57" s="1"/>
  <c r="F189" i="57" s="1"/>
  <c r="L179" i="57"/>
  <c r="O179" i="57" s="1"/>
  <c r="E180" i="57"/>
  <c r="K188" i="57"/>
  <c r="L188" i="57" s="1"/>
  <c r="O188" i="57" s="1"/>
  <c r="B41" i="507" s="1"/>
  <c r="D189" i="57"/>
  <c r="G132" i="57" l="1"/>
  <c r="F134" i="57"/>
  <c r="K134" i="57"/>
  <c r="L134" i="57" s="1"/>
  <c r="O134" i="57" s="1"/>
  <c r="B29" i="507" s="1"/>
  <c r="E135" i="57"/>
  <c r="I130" i="57"/>
  <c r="I131" i="57" s="1"/>
  <c r="F133" i="57"/>
  <c r="F180" i="57"/>
  <c r="L180" i="57"/>
  <c r="O180" i="57" s="1"/>
  <c r="E181" i="57"/>
  <c r="K189" i="57"/>
  <c r="L189" i="57" s="1"/>
  <c r="O189" i="57" s="1"/>
  <c r="B42" i="507" s="1"/>
  <c r="D190" i="57"/>
  <c r="E190" i="57" s="1"/>
  <c r="G133" i="57" l="1"/>
  <c r="G134" i="57" s="1"/>
  <c r="F135" i="57"/>
  <c r="L135" i="57"/>
  <c r="O135" i="57" s="1"/>
  <c r="E136" i="57"/>
  <c r="H132" i="57"/>
  <c r="F181" i="57"/>
  <c r="E182" i="57"/>
  <c r="L190" i="57"/>
  <c r="O190" i="57" s="1"/>
  <c r="F190" i="57"/>
  <c r="D191" i="57"/>
  <c r="E191" i="57" s="1"/>
  <c r="G135" i="57" l="1"/>
  <c r="I132" i="57"/>
  <c r="F136" i="57"/>
  <c r="G136" i="57" s="1"/>
  <c r="E137" i="57"/>
  <c r="L136" i="57"/>
  <c r="O136" i="57" s="1"/>
  <c r="H133" i="57"/>
  <c r="F182" i="57"/>
  <c r="K182" i="57"/>
  <c r="L182" i="57" s="1"/>
  <c r="O182" i="57" s="1"/>
  <c r="B40" i="507" s="1"/>
  <c r="L191" i="57"/>
  <c r="O191" i="57" s="1"/>
  <c r="F191" i="57"/>
  <c r="D192" i="57"/>
  <c r="H134" i="57" l="1"/>
  <c r="H135" i="57" s="1"/>
  <c r="H136" i="57" s="1"/>
  <c r="F137" i="57"/>
  <c r="G137" i="57" s="1"/>
  <c r="E138" i="57"/>
  <c r="L137" i="57"/>
  <c r="O137" i="57" s="1"/>
  <c r="I133" i="57"/>
  <c r="E183" i="57"/>
  <c r="D193" i="57"/>
  <c r="D194" i="57" s="1"/>
  <c r="D195" i="57" s="1"/>
  <c r="D196" i="57" s="1"/>
  <c r="E192" i="57"/>
  <c r="F138" i="57" l="1"/>
  <c r="L138" i="57"/>
  <c r="O138" i="57" s="1"/>
  <c r="E139" i="57"/>
  <c r="G138" i="57"/>
  <c r="H137" i="57"/>
  <c r="I134" i="57"/>
  <c r="I135" i="57" s="1"/>
  <c r="I136" i="57" s="1"/>
  <c r="F183" i="57"/>
  <c r="L183" i="57"/>
  <c r="O183" i="57" s="1"/>
  <c r="E184" i="57"/>
  <c r="D197" i="57"/>
  <c r="D198" i="57" s="1"/>
  <c r="F192" i="57"/>
  <c r="L192" i="57"/>
  <c r="O192" i="57" s="1"/>
  <c r="E193" i="57"/>
  <c r="H138" i="57" l="1"/>
  <c r="F139" i="57"/>
  <c r="L139" i="57"/>
  <c r="O139" i="57" s="1"/>
  <c r="E140" i="57"/>
  <c r="I137" i="57"/>
  <c r="I138" i="57" s="1"/>
  <c r="F184" i="57"/>
  <c r="D199" i="57"/>
  <c r="D200" i="57" s="1"/>
  <c r="D201" i="57" s="1"/>
  <c r="L184" i="57"/>
  <c r="O184" i="57" s="1"/>
  <c r="E185" i="57"/>
  <c r="F193" i="57"/>
  <c r="E194" i="57"/>
  <c r="F194" i="57" s="1"/>
  <c r="L140" i="57" l="1"/>
  <c r="O140" i="57" s="1"/>
  <c r="E141" i="57"/>
  <c r="F140" i="57"/>
  <c r="G139" i="57"/>
  <c r="K199" i="57"/>
  <c r="L199" i="57" s="1"/>
  <c r="O199" i="57" s="1"/>
  <c r="B44" i="507" s="1"/>
  <c r="E199" i="57"/>
  <c r="E200" i="57" s="1"/>
  <c r="F200" i="57" s="1"/>
  <c r="E186" i="57"/>
  <c r="L185" i="57"/>
  <c r="O185" i="57" s="1"/>
  <c r="F185" i="57"/>
  <c r="D202" i="57"/>
  <c r="E195" i="57"/>
  <c r="F195" i="57" s="1"/>
  <c r="K194" i="57"/>
  <c r="L194" i="57" s="1"/>
  <c r="O194" i="57" s="1"/>
  <c r="B43" i="507" s="1"/>
  <c r="G140" i="57" l="1"/>
  <c r="L141" i="57"/>
  <c r="O141" i="57" s="1"/>
  <c r="E142" i="57"/>
  <c r="F143" i="57" s="1"/>
  <c r="H139" i="57"/>
  <c r="H140" i="57" s="1"/>
  <c r="F141" i="57"/>
  <c r="F186" i="57"/>
  <c r="E187" i="57"/>
  <c r="F188" i="57" s="1"/>
  <c r="L186" i="57"/>
  <c r="O186" i="57" s="1"/>
  <c r="E201" i="57"/>
  <c r="E202" i="57" s="1"/>
  <c r="L202" i="57" s="1"/>
  <c r="O202" i="57" s="1"/>
  <c r="D203" i="57"/>
  <c r="K200" i="57"/>
  <c r="L200" i="57" s="1"/>
  <c r="O200" i="57" s="1"/>
  <c r="B45" i="507" s="1"/>
  <c r="L195" i="57"/>
  <c r="O195" i="57" s="1"/>
  <c r="E196" i="57"/>
  <c r="G141" i="57" l="1"/>
  <c r="I139" i="57"/>
  <c r="I140" i="57" s="1"/>
  <c r="F142" i="57"/>
  <c r="F187" i="57"/>
  <c r="F201" i="57"/>
  <c r="F202" i="57" s="1"/>
  <c r="L201" i="57"/>
  <c r="O201" i="57" s="1"/>
  <c r="E203" i="57"/>
  <c r="L203" i="57" s="1"/>
  <c r="O203" i="57" s="1"/>
  <c r="D204" i="57"/>
  <c r="E197" i="57"/>
  <c r="L197" i="57" s="1"/>
  <c r="O197" i="57" s="1"/>
  <c r="L196" i="57"/>
  <c r="O196" i="57" s="1"/>
  <c r="F196" i="57"/>
  <c r="G142" i="57" l="1"/>
  <c r="G143" i="57" s="1"/>
  <c r="G144" i="57" s="1"/>
  <c r="G145" i="57" s="1"/>
  <c r="G146" i="57" s="1"/>
  <c r="G147" i="57" s="1"/>
  <c r="G148" i="57" s="1"/>
  <c r="G149" i="57" s="1"/>
  <c r="G150" i="57" s="1"/>
  <c r="G151" i="57" s="1"/>
  <c r="H141" i="57"/>
  <c r="F203" i="57"/>
  <c r="E204" i="57"/>
  <c r="E205" i="57" s="1"/>
  <c r="E198" i="57"/>
  <c r="F199" i="57" s="1"/>
  <c r="D205" i="57"/>
  <c r="F197" i="57"/>
  <c r="I141" i="57" l="1"/>
  <c r="H142" i="57"/>
  <c r="H143" i="57" s="1"/>
  <c r="H144" i="57" s="1"/>
  <c r="H145" i="57" s="1"/>
  <c r="H146" i="57" s="1"/>
  <c r="G152" i="57"/>
  <c r="G153" i="57" s="1"/>
  <c r="F198" i="57"/>
  <c r="F204" i="57"/>
  <c r="F205" i="57"/>
  <c r="D206" i="57"/>
  <c r="K205" i="57"/>
  <c r="L205" i="57" s="1"/>
  <c r="O205" i="57" s="1"/>
  <c r="B46" i="507" s="1"/>
  <c r="H147" i="57" l="1"/>
  <c r="H148" i="57" s="1"/>
  <c r="H149" i="57" s="1"/>
  <c r="H150" i="57" s="1"/>
  <c r="H151" i="57" s="1"/>
  <c r="G154" i="57"/>
  <c r="I142" i="57"/>
  <c r="I143" i="57" s="1"/>
  <c r="I144" i="57" s="1"/>
  <c r="I145" i="57" s="1"/>
  <c r="I146" i="57" s="1"/>
  <c r="E206" i="57"/>
  <c r="F206" i="57" s="1"/>
  <c r="D207" i="57"/>
  <c r="D208" i="57"/>
  <c r="D209" i="57" s="1"/>
  <c r="G155" i="57" l="1"/>
  <c r="H152" i="57"/>
  <c r="H153" i="57" s="1"/>
  <c r="I147" i="57"/>
  <c r="I148" i="57" s="1"/>
  <c r="I149" i="57" s="1"/>
  <c r="I150" i="57" s="1"/>
  <c r="I151" i="57" s="1"/>
  <c r="D210" i="57"/>
  <c r="L206" i="57"/>
  <c r="O206" i="57" s="1"/>
  <c r="K208" i="57"/>
  <c r="L208" i="57" s="1"/>
  <c r="O208" i="57" s="1"/>
  <c r="B47" i="507" s="1"/>
  <c r="E208" i="57"/>
  <c r="H154" i="57" l="1"/>
  <c r="I152" i="57"/>
  <c r="I153" i="57" s="1"/>
  <c r="G156" i="57"/>
  <c r="E209" i="57"/>
  <c r="E207" i="57"/>
  <c r="G157" i="57" l="1"/>
  <c r="G158" i="57" s="1"/>
  <c r="G159" i="57" s="1"/>
  <c r="H155" i="57"/>
  <c r="I154" i="57"/>
  <c r="K209" i="57"/>
  <c r="L209" i="57" s="1"/>
  <c r="O209" i="57" s="1"/>
  <c r="B48" i="507" s="1"/>
  <c r="E210" i="57"/>
  <c r="F209" i="57"/>
  <c r="F207" i="57"/>
  <c r="F208" i="57"/>
  <c r="I155" i="57" l="1"/>
  <c r="H156" i="57"/>
  <c r="G160" i="57"/>
  <c r="L210" i="57"/>
  <c r="O210" i="57" s="1"/>
  <c r="F210" i="57"/>
  <c r="G161" i="57" l="1"/>
  <c r="H157" i="57"/>
  <c r="H158" i="57" s="1"/>
  <c r="H159" i="57" s="1"/>
  <c r="I156" i="57"/>
  <c r="D211" i="57"/>
  <c r="D212" i="57" s="1"/>
  <c r="I157" i="57" l="1"/>
  <c r="I158" i="57" s="1"/>
  <c r="I159" i="57" s="1"/>
  <c r="H160" i="57"/>
  <c r="G162" i="57"/>
  <c r="G163" i="57" s="1"/>
  <c r="E211" i="57"/>
  <c r="E212" i="57" s="1"/>
  <c r="D213" i="57"/>
  <c r="G164" i="57" l="1"/>
  <c r="H161" i="57"/>
  <c r="I160" i="57"/>
  <c r="E213" i="57"/>
  <c r="L213" i="57" s="1"/>
  <c r="O213" i="57" s="1"/>
  <c r="F212" i="57"/>
  <c r="K212" i="57"/>
  <c r="L212" i="57" s="1"/>
  <c r="O212" i="57" s="1"/>
  <c r="B49" i="507" s="1"/>
  <c r="D214" i="57"/>
  <c r="I161" i="57" l="1"/>
  <c r="H162" i="57"/>
  <c r="H163" i="57" s="1"/>
  <c r="G165" i="57"/>
  <c r="G166" i="57" s="1"/>
  <c r="F213" i="57"/>
  <c r="E214" i="57"/>
  <c r="F211" i="57"/>
  <c r="D215" i="57"/>
  <c r="H164" i="57" l="1"/>
  <c r="G167" i="57"/>
  <c r="G168" i="57" s="1"/>
  <c r="I162" i="57"/>
  <c r="I163" i="57" s="1"/>
  <c r="F214" i="57"/>
  <c r="L214" i="57"/>
  <c r="O214" i="57" s="1"/>
  <c r="D216" i="57"/>
  <c r="E215" i="57"/>
  <c r="G169" i="57" l="1"/>
  <c r="G170" i="57" s="1"/>
  <c r="H165" i="57"/>
  <c r="H166" i="57" s="1"/>
  <c r="I164" i="57"/>
  <c r="L215" i="57"/>
  <c r="O215" i="57" s="1"/>
  <c r="F215" i="57"/>
  <c r="E216" i="57"/>
  <c r="D217" i="57"/>
  <c r="D218" i="57" s="1"/>
  <c r="I165" i="57" l="1"/>
  <c r="I166" i="57" s="1"/>
  <c r="H167" i="57"/>
  <c r="H168" i="57" s="1"/>
  <c r="G171" i="57"/>
  <c r="E217" i="57"/>
  <c r="E218" i="57" s="1"/>
  <c r="F216" i="57"/>
  <c r="D219" i="57"/>
  <c r="L216" i="57"/>
  <c r="O216" i="57" s="1"/>
  <c r="H169" i="57" l="1"/>
  <c r="H170" i="57" s="1"/>
  <c r="G172" i="57"/>
  <c r="I167" i="57"/>
  <c r="I168" i="57" s="1"/>
  <c r="F217" i="57"/>
  <c r="F218" i="57"/>
  <c r="K218" i="57"/>
  <c r="L218" i="57" s="1"/>
  <c r="O218" i="57" s="1"/>
  <c r="B50" i="507" s="1"/>
  <c r="E219" i="57"/>
  <c r="H171" i="57" l="1"/>
  <c r="G173" i="57"/>
  <c r="G174" i="57" s="1"/>
  <c r="I169" i="57"/>
  <c r="I170" i="57" s="1"/>
  <c r="F219" i="57"/>
  <c r="L219" i="57"/>
  <c r="O219" i="57" s="1"/>
  <c r="D220" i="57"/>
  <c r="E220" i="57" s="1"/>
  <c r="G175" i="57" l="1"/>
  <c r="H172" i="57"/>
  <c r="I171" i="57"/>
  <c r="D221" i="57"/>
  <c r="E221" i="57" s="1"/>
  <c r="L220" i="57"/>
  <c r="O220" i="57" s="1"/>
  <c r="F220" i="57"/>
  <c r="I172" i="57" l="1"/>
  <c r="H173" i="57"/>
  <c r="H174" i="57" s="1"/>
  <c r="G176" i="57"/>
  <c r="D222" i="57"/>
  <c r="D223" i="57" s="1"/>
  <c r="L221" i="57"/>
  <c r="O221" i="57" s="1"/>
  <c r="F221" i="57"/>
  <c r="G177" i="57" l="1"/>
  <c r="G178" i="57" s="1"/>
  <c r="G179" i="57" s="1"/>
  <c r="G180" i="57" s="1"/>
  <c r="G181" i="57" s="1"/>
  <c r="H175" i="57"/>
  <c r="I173" i="57"/>
  <c r="I174" i="57" s="1"/>
  <c r="E222" i="57"/>
  <c r="E223" i="57" s="1"/>
  <c r="D224" i="57"/>
  <c r="I175" i="57" l="1"/>
  <c r="H176" i="57"/>
  <c r="G182" i="57"/>
  <c r="F222" i="57"/>
  <c r="F223" i="57"/>
  <c r="K223" i="57"/>
  <c r="L223" i="57" s="1"/>
  <c r="O223" i="57" s="1"/>
  <c r="B51" i="507" s="1"/>
  <c r="E224" i="57"/>
  <c r="L224" i="57" s="1"/>
  <c r="O224" i="57" s="1"/>
  <c r="D225" i="57"/>
  <c r="G183" i="57" l="1"/>
  <c r="G184" i="57" s="1"/>
  <c r="G185" i="57" s="1"/>
  <c r="H177" i="57"/>
  <c r="H178" i="57" s="1"/>
  <c r="H179" i="57" s="1"/>
  <c r="H180" i="57" s="1"/>
  <c r="H181" i="57" s="1"/>
  <c r="H182" i="57" s="1"/>
  <c r="I176" i="57"/>
  <c r="F224" i="57"/>
  <c r="D226" i="57"/>
  <c r="D227" i="57" s="1"/>
  <c r="E225" i="57"/>
  <c r="H183" i="57" l="1"/>
  <c r="H184" i="57" s="1"/>
  <c r="H185" i="57" s="1"/>
  <c r="I177" i="57"/>
  <c r="I178" i="57" s="1"/>
  <c r="I179" i="57" s="1"/>
  <c r="I180" i="57" s="1"/>
  <c r="I181" i="57" s="1"/>
  <c r="I182" i="57" s="1"/>
  <c r="G186" i="57"/>
  <c r="L225" i="57"/>
  <c r="O225" i="57" s="1"/>
  <c r="E226" i="57"/>
  <c r="D228" i="57"/>
  <c r="F225" i="57"/>
  <c r="H186" i="57" l="1"/>
  <c r="G187" i="57"/>
  <c r="G188" i="57" s="1"/>
  <c r="I183" i="57"/>
  <c r="I184" i="57" s="1"/>
  <c r="I185" i="57" s="1"/>
  <c r="I186" i="57" s="1"/>
  <c r="D229" i="57"/>
  <c r="D230" i="57" s="1"/>
  <c r="F226" i="57"/>
  <c r="E227" i="57"/>
  <c r="H187" i="57" l="1"/>
  <c r="H188" i="57" s="1"/>
  <c r="G189" i="57"/>
  <c r="I187" i="57"/>
  <c r="I188" i="57" s="1"/>
  <c r="D231" i="57"/>
  <c r="D232" i="57" s="1"/>
  <c r="K227" i="57"/>
  <c r="L227" i="57" s="1"/>
  <c r="O227" i="57" s="1"/>
  <c r="B52" i="507" s="1"/>
  <c r="F227" i="57"/>
  <c r="E228" i="57"/>
  <c r="H189" i="57" l="1"/>
  <c r="G190" i="57"/>
  <c r="I189" i="57"/>
  <c r="D233" i="57"/>
  <c r="D234" i="57" s="1"/>
  <c r="E229" i="57"/>
  <c r="L229" i="57" s="1"/>
  <c r="O229" i="57" s="1"/>
  <c r="L228" i="57"/>
  <c r="O228" i="57" s="1"/>
  <c r="F228" i="57"/>
  <c r="G191" i="57" l="1"/>
  <c r="G192" i="57" s="1"/>
  <c r="H190" i="57"/>
  <c r="E230" i="57"/>
  <c r="E231" i="57" s="1"/>
  <c r="F229" i="57"/>
  <c r="H191" i="57" l="1"/>
  <c r="I190" i="57"/>
  <c r="I191" i="57" s="1"/>
  <c r="H192" i="57"/>
  <c r="G193" i="57"/>
  <c r="L230" i="57"/>
  <c r="O230" i="57" s="1"/>
  <c r="F230" i="57"/>
  <c r="F231" i="57" s="1"/>
  <c r="E232" i="57"/>
  <c r="D236" i="57"/>
  <c r="K236" i="57" s="1"/>
  <c r="L236" i="57" s="1"/>
  <c r="O236" i="57" s="1"/>
  <c r="B54" i="507" s="1"/>
  <c r="D235" i="57"/>
  <c r="I192" i="57" l="1"/>
  <c r="H193" i="57"/>
  <c r="G194" i="57"/>
  <c r="F232" i="57"/>
  <c r="E233" i="57"/>
  <c r="L233" i="57" s="1"/>
  <c r="O233" i="57" s="1"/>
  <c r="D237" i="57"/>
  <c r="D238" i="57" s="1"/>
  <c r="D239" i="57" s="1"/>
  <c r="E236" i="57"/>
  <c r="E237" i="57" s="1"/>
  <c r="K232" i="57"/>
  <c r="L232" i="57" s="1"/>
  <c r="O232" i="57" s="1"/>
  <c r="B53" i="507" s="1"/>
  <c r="I193" i="57" l="1"/>
  <c r="H194" i="57"/>
  <c r="G195" i="57"/>
  <c r="E234" i="57"/>
  <c r="L234" i="57" s="1"/>
  <c r="O234" i="57" s="1"/>
  <c r="F233" i="57"/>
  <c r="E238" i="57"/>
  <c r="E239" i="57" s="1"/>
  <c r="L239" i="57" s="1"/>
  <c r="O239" i="57" s="1"/>
  <c r="K237" i="57"/>
  <c r="L237" i="57" s="1"/>
  <c r="O237" i="57" s="1"/>
  <c r="B55" i="507" s="1"/>
  <c r="F237" i="57"/>
  <c r="I194" i="57" l="1"/>
  <c r="G196" i="57"/>
  <c r="H195" i="57"/>
  <c r="F234" i="57"/>
  <c r="E235" i="57"/>
  <c r="F236" i="57" s="1"/>
  <c r="F238" i="57"/>
  <c r="F239" i="57" s="1"/>
  <c r="L238" i="57"/>
  <c r="O238" i="57" s="1"/>
  <c r="H196" i="57" l="1"/>
  <c r="I195" i="57"/>
  <c r="G197" i="57"/>
  <c r="F235" i="57"/>
  <c r="I196" i="57" l="1"/>
  <c r="G198" i="57"/>
  <c r="H197" i="57"/>
  <c r="H198" i="57" l="1"/>
  <c r="I197" i="57"/>
  <c r="I198" i="57" s="1"/>
  <c r="G199" i="57"/>
  <c r="G200" i="57" s="1"/>
  <c r="G201" i="57" l="1"/>
  <c r="H199" i="57"/>
  <c r="H200" i="57" l="1"/>
  <c r="I199" i="57"/>
  <c r="G202" i="57"/>
  <c r="I200" i="57" l="1"/>
  <c r="G203" i="57"/>
  <c r="H201" i="57"/>
  <c r="H202" i="57" l="1"/>
  <c r="I201" i="57"/>
  <c r="G204" i="57"/>
  <c r="G205" i="57" l="1"/>
  <c r="G206" i="57" s="1"/>
  <c r="H203" i="57"/>
  <c r="I202" i="57"/>
  <c r="H204" i="57" l="1"/>
  <c r="I203" i="57"/>
  <c r="G207" i="57" l="1"/>
  <c r="H205" i="57"/>
  <c r="H206" i="57" s="1"/>
  <c r="I204" i="57"/>
  <c r="J470" i="57"/>
  <c r="G208" i="57" l="1"/>
  <c r="I205" i="57"/>
  <c r="I206" i="57" s="1"/>
  <c r="J471" i="57"/>
  <c r="G209" i="57" l="1"/>
  <c r="G210" i="57" s="1"/>
  <c r="H207" i="57"/>
  <c r="J472" i="57"/>
  <c r="D240" i="57"/>
  <c r="B240" i="57"/>
  <c r="J240" i="57"/>
  <c r="H208" i="57" l="1"/>
  <c r="G211" i="57"/>
  <c r="I207" i="57"/>
  <c r="B241" i="57"/>
  <c r="J241" i="57"/>
  <c r="J242" i="57" s="1"/>
  <c r="J243" i="57" s="1"/>
  <c r="J244" i="57" s="1"/>
  <c r="J245" i="57" s="1"/>
  <c r="J246" i="57" s="1"/>
  <c r="D241" i="57"/>
  <c r="D242" i="57" s="1"/>
  <c r="D243" i="57" s="1"/>
  <c r="D244" i="57" s="1"/>
  <c r="E240" i="57"/>
  <c r="G212" i="57" l="1"/>
  <c r="H209" i="57"/>
  <c r="H210" i="57" s="1"/>
  <c r="I208" i="57"/>
  <c r="F240" i="57"/>
  <c r="E241" i="57"/>
  <c r="L241" i="57" s="1"/>
  <c r="O241" i="57" s="1"/>
  <c r="B242" i="57"/>
  <c r="B243" i="57" s="1"/>
  <c r="B244" i="57" s="1"/>
  <c r="B245" i="57" s="1"/>
  <c r="L240" i="57"/>
  <c r="O240" i="57" s="1"/>
  <c r="J247" i="57"/>
  <c r="J248" i="57" s="1"/>
  <c r="D245" i="57"/>
  <c r="I209" i="57" l="1"/>
  <c r="I210" i="57" s="1"/>
  <c r="H211" i="57"/>
  <c r="G213" i="57"/>
  <c r="E242" i="57"/>
  <c r="E243" i="57" s="1"/>
  <c r="E244" i="57" s="1"/>
  <c r="L244" i="57" s="1"/>
  <c r="O244" i="57" s="1"/>
  <c r="F241" i="57"/>
  <c r="J249" i="57"/>
  <c r="J250" i="57" s="1"/>
  <c r="B246" i="57"/>
  <c r="D246" i="57"/>
  <c r="D247" i="57" s="1"/>
  <c r="D248" i="57" s="1"/>
  <c r="L242" i="57" l="1"/>
  <c r="O242" i="57" s="1"/>
  <c r="G214" i="57"/>
  <c r="G215" i="57" s="1"/>
  <c r="G216" i="57" s="1"/>
  <c r="H212" i="57"/>
  <c r="I211" i="57"/>
  <c r="L243" i="57"/>
  <c r="O243" i="57" s="1"/>
  <c r="F242" i="57"/>
  <c r="F243" i="57" s="1"/>
  <c r="F244" i="57" s="1"/>
  <c r="E245" i="57"/>
  <c r="L245" i="57" s="1"/>
  <c r="O245" i="57" s="1"/>
  <c r="D249" i="57"/>
  <c r="D250" i="57" s="1"/>
  <c r="B247" i="57"/>
  <c r="B248" i="57" s="1"/>
  <c r="I212" i="57" l="1"/>
  <c r="H213" i="57"/>
  <c r="G217" i="57"/>
  <c r="G218" i="57" s="1"/>
  <c r="G219" i="57" s="1"/>
  <c r="G220" i="57" s="1"/>
  <c r="F245" i="57"/>
  <c r="E246" i="57"/>
  <c r="E247" i="57" s="1"/>
  <c r="E248" i="57" s="1"/>
  <c r="L248" i="57" s="1"/>
  <c r="O248" i="57" s="1"/>
  <c r="B249" i="57"/>
  <c r="G221" i="57" l="1"/>
  <c r="G222" i="57" s="1"/>
  <c r="G223" i="57" s="1"/>
  <c r="G224" i="57" s="1"/>
  <c r="H214" i="57"/>
  <c r="H215" i="57" s="1"/>
  <c r="H216" i="57" s="1"/>
  <c r="H217" i="57" s="1"/>
  <c r="H218" i="57" s="1"/>
  <c r="H219" i="57" s="1"/>
  <c r="H220" i="57" s="1"/>
  <c r="I213" i="57"/>
  <c r="L247" i="57"/>
  <c r="O247" i="57" s="1"/>
  <c r="L246" i="57"/>
  <c r="O246" i="57" s="1"/>
  <c r="E249" i="57"/>
  <c r="E250" i="57" s="1"/>
  <c r="F246" i="57"/>
  <c r="B250" i="57"/>
  <c r="D251" i="57"/>
  <c r="D252" i="57" s="1"/>
  <c r="H221" i="57" l="1"/>
  <c r="H222" i="57" s="1"/>
  <c r="H223" i="57" s="1"/>
  <c r="H224" i="57" s="1"/>
  <c r="I214" i="57"/>
  <c r="I215" i="57" s="1"/>
  <c r="I216" i="57" s="1"/>
  <c r="I217" i="57" s="1"/>
  <c r="I218" i="57" s="1"/>
  <c r="I219" i="57" s="1"/>
  <c r="I220" i="57" s="1"/>
  <c r="G225" i="57"/>
  <c r="G226" i="57" s="1"/>
  <c r="L250" i="57"/>
  <c r="O250" i="57" s="1"/>
  <c r="L249" i="57"/>
  <c r="O249" i="57" s="1"/>
  <c r="F247" i="57"/>
  <c r="E251" i="57"/>
  <c r="E252" i="57" s="1"/>
  <c r="D253" i="57"/>
  <c r="H225" i="57" l="1"/>
  <c r="H226" i="57" s="1"/>
  <c r="G227" i="57"/>
  <c r="I221" i="57"/>
  <c r="I222" i="57" s="1"/>
  <c r="I223" i="57" s="1"/>
  <c r="I224" i="57" s="1"/>
  <c r="I225" i="57" s="1"/>
  <c r="I226" i="57" s="1"/>
  <c r="D254" i="57"/>
  <c r="D255" i="57" s="1"/>
  <c r="F252" i="57"/>
  <c r="E253" i="57"/>
  <c r="K252" i="57"/>
  <c r="L252" i="57" s="1"/>
  <c r="O252" i="57" s="1"/>
  <c r="B56" i="507" s="1"/>
  <c r="F248" i="57"/>
  <c r="H227" i="57" l="1"/>
  <c r="I227" i="57" s="1"/>
  <c r="G228" i="57"/>
  <c r="E254" i="57"/>
  <c r="E255" i="57" s="1"/>
  <c r="L255" i="57" s="1"/>
  <c r="O255" i="57" s="1"/>
  <c r="L253" i="57"/>
  <c r="O253" i="57" s="1"/>
  <c r="F253" i="57"/>
  <c r="F249" i="57"/>
  <c r="F250" i="57" s="1"/>
  <c r="D256" i="57"/>
  <c r="G229" i="57" l="1"/>
  <c r="G230" i="57" s="1"/>
  <c r="G231" i="57" s="1"/>
  <c r="H228" i="57"/>
  <c r="L254" i="57"/>
  <c r="O254" i="57" s="1"/>
  <c r="F254" i="57"/>
  <c r="F255" i="57" s="1"/>
  <c r="E256" i="57"/>
  <c r="L256" i="57" s="1"/>
  <c r="O256" i="57" s="1"/>
  <c r="F251" i="57"/>
  <c r="D257" i="57"/>
  <c r="I228" i="57" l="1"/>
  <c r="H229" i="57"/>
  <c r="H230" i="57" s="1"/>
  <c r="H231" i="57" s="1"/>
  <c r="G232" i="57"/>
  <c r="F256" i="57"/>
  <c r="E257" i="57"/>
  <c r="L257" i="57" s="1"/>
  <c r="O257" i="57" s="1"/>
  <c r="D258" i="57"/>
  <c r="H232" i="57" l="1"/>
  <c r="G233" i="57"/>
  <c r="I229" i="57"/>
  <c r="I230" i="57" s="1"/>
  <c r="I231" i="57" s="1"/>
  <c r="I232" i="57" s="1"/>
  <c r="E258" i="57"/>
  <c r="L258" i="57" s="1"/>
  <c r="O258" i="57" s="1"/>
  <c r="F257" i="57"/>
  <c r="D259" i="57"/>
  <c r="D260" i="57" s="1"/>
  <c r="H233" i="57" l="1"/>
  <c r="I233" i="57" s="1"/>
  <c r="G234" i="57"/>
  <c r="F258" i="57"/>
  <c r="E259" i="57"/>
  <c r="E260" i="57" s="1"/>
  <c r="D261" i="57"/>
  <c r="G235" i="57" l="1"/>
  <c r="H234" i="57"/>
  <c r="H235" i="57" s="1"/>
  <c r="F259" i="57"/>
  <c r="K260" i="57"/>
  <c r="L260" i="57" s="1"/>
  <c r="O260" i="57" s="1"/>
  <c r="B57" i="507" s="1"/>
  <c r="E261" i="57"/>
  <c r="L261" i="57" s="1"/>
  <c r="O261" i="57" s="1"/>
  <c r="F260" i="57"/>
  <c r="I234" i="57" l="1"/>
  <c r="I235" i="57" s="1"/>
  <c r="G236" i="57"/>
  <c r="H236" i="57" s="1"/>
  <c r="F261" i="57"/>
  <c r="I236" i="57" l="1"/>
  <c r="G237" i="57"/>
  <c r="G238" i="57" s="1"/>
  <c r="H237" i="57" l="1"/>
  <c r="H238" i="57" s="1"/>
  <c r="G239" i="57"/>
  <c r="I237" i="57"/>
  <c r="I238" i="57" s="1"/>
  <c r="D262" i="57"/>
  <c r="H239" i="57" l="1"/>
  <c r="I239" i="57" s="1"/>
  <c r="G240" i="57"/>
  <c r="G241" i="57" s="1"/>
  <c r="G242" i="57" s="1"/>
  <c r="G243" i="57" s="1"/>
  <c r="D263" i="57"/>
  <c r="E262" i="57"/>
  <c r="L262" i="57" s="1"/>
  <c r="O262" i="57" s="1"/>
  <c r="H240" i="57" l="1"/>
  <c r="H241" i="57" s="1"/>
  <c r="H242" i="57" s="1"/>
  <c r="H243" i="57" s="1"/>
  <c r="G244" i="57"/>
  <c r="F262" i="57"/>
  <c r="E263" i="57"/>
  <c r="L263" i="57" s="1"/>
  <c r="O263" i="57" s="1"/>
  <c r="D264" i="57"/>
  <c r="D265" i="57" s="1"/>
  <c r="I240" i="57" l="1"/>
  <c r="I241" i="57" s="1"/>
  <c r="I242" i="57" s="1"/>
  <c r="I243" i="57" s="1"/>
  <c r="G245" i="57"/>
  <c r="H244" i="57"/>
  <c r="E264" i="57"/>
  <c r="E265" i="57" s="1"/>
  <c r="F265" i="57" s="1"/>
  <c r="D266" i="57"/>
  <c r="F263" i="57"/>
  <c r="H245" i="57" l="1"/>
  <c r="I244" i="57"/>
  <c r="I245" i="57" s="1"/>
  <c r="G246" i="57"/>
  <c r="F264" i="57"/>
  <c r="E266" i="57"/>
  <c r="F266" i="57" s="1"/>
  <c r="K265" i="57"/>
  <c r="L265" i="57" s="1"/>
  <c r="O265" i="57" s="1"/>
  <c r="B58" i="507" s="1"/>
  <c r="D267" i="57"/>
  <c r="G247" i="57" l="1"/>
  <c r="H246" i="57"/>
  <c r="L266" i="57"/>
  <c r="O266" i="57" s="1"/>
  <c r="E267" i="57"/>
  <c r="L267" i="57" s="1"/>
  <c r="O267" i="57" s="1"/>
  <c r="D268" i="57"/>
  <c r="D269" i="57" s="1"/>
  <c r="H247" i="57" l="1"/>
  <c r="I246" i="57"/>
  <c r="G248" i="57"/>
  <c r="F267" i="57"/>
  <c r="D270" i="57"/>
  <c r="E268" i="57"/>
  <c r="E269" i="57" s="1"/>
  <c r="H248" i="57" l="1"/>
  <c r="I247" i="57"/>
  <c r="I248" i="57" s="1"/>
  <c r="G249" i="57"/>
  <c r="G250" i="57" s="1"/>
  <c r="F268" i="57"/>
  <c r="F269" i="57"/>
  <c r="K269" i="57"/>
  <c r="L269" i="57" s="1"/>
  <c r="O269" i="57" s="1"/>
  <c r="B59" i="507" s="1"/>
  <c r="D271" i="57"/>
  <c r="E270" i="57"/>
  <c r="H249" i="57" l="1"/>
  <c r="H250" i="57" s="1"/>
  <c r="G251" i="57"/>
  <c r="G252" i="57" s="1"/>
  <c r="G253" i="57" s="1"/>
  <c r="D272" i="57"/>
  <c r="E271" i="57"/>
  <c r="L271" i="57" s="1"/>
  <c r="O271" i="57" s="1"/>
  <c r="F270" i="57"/>
  <c r="L270" i="57"/>
  <c r="O270" i="57" s="1"/>
  <c r="I249" i="57" l="1"/>
  <c r="I250" i="57" s="1"/>
  <c r="H251" i="57"/>
  <c r="H252" i="57" s="1"/>
  <c r="H253" i="57" s="1"/>
  <c r="G254" i="57"/>
  <c r="G255" i="57" s="1"/>
  <c r="G256" i="57" s="1"/>
  <c r="E272" i="57"/>
  <c r="F271" i="57"/>
  <c r="I251" i="57" l="1"/>
  <c r="I252" i="57" s="1"/>
  <c r="I253" i="57" s="1"/>
  <c r="H254" i="57"/>
  <c r="H255" i="57" s="1"/>
  <c r="H256" i="57" s="1"/>
  <c r="G257" i="57"/>
  <c r="D273" i="57"/>
  <c r="F272" i="57"/>
  <c r="L272" i="57"/>
  <c r="O272" i="57" s="1"/>
  <c r="I254" i="57" l="1"/>
  <c r="I255" i="57" s="1"/>
  <c r="I256" i="57" s="1"/>
  <c r="G258" i="57"/>
  <c r="H257" i="57"/>
  <c r="E273" i="57"/>
  <c r="H258" i="57" l="1"/>
  <c r="I257" i="57"/>
  <c r="G259" i="57"/>
  <c r="D274" i="57"/>
  <c r="L273" i="57"/>
  <c r="O273" i="57" s="1"/>
  <c r="F273" i="57"/>
  <c r="H259" i="57" l="1"/>
  <c r="I258" i="57"/>
  <c r="I259" i="57" s="1"/>
  <c r="G260" i="57"/>
  <c r="H260" i="57" s="1"/>
  <c r="D275" i="57"/>
  <c r="E274" i="57"/>
  <c r="I260" i="57" l="1"/>
  <c r="G261" i="57"/>
  <c r="G262" i="57" s="1"/>
  <c r="G263" i="57" s="1"/>
  <c r="D276" i="57"/>
  <c r="E275" i="57"/>
  <c r="L274" i="57"/>
  <c r="O274" i="57" s="1"/>
  <c r="F274" i="57"/>
  <c r="H261" i="57" l="1"/>
  <c r="H262" i="57" s="1"/>
  <c r="H263" i="57" s="1"/>
  <c r="G264" i="57"/>
  <c r="I261" i="57"/>
  <c r="I262" i="57" s="1"/>
  <c r="D277" i="57"/>
  <c r="D278" i="57" s="1"/>
  <c r="D279" i="57" s="1"/>
  <c r="L275" i="57"/>
  <c r="O275" i="57" s="1"/>
  <c r="E276" i="57"/>
  <c r="F275" i="57"/>
  <c r="I263" i="57" l="1"/>
  <c r="H264" i="57"/>
  <c r="I264" i="57" s="1"/>
  <c r="G265" i="57"/>
  <c r="D280" i="57"/>
  <c r="D281" i="57" s="1"/>
  <c r="E277" i="57"/>
  <c r="E278" i="57" s="1"/>
  <c r="F276" i="57"/>
  <c r="L276" i="57"/>
  <c r="O276" i="57" s="1"/>
  <c r="H265" i="57" l="1"/>
  <c r="I265" i="57" s="1"/>
  <c r="G266" i="57"/>
  <c r="H266" i="57" s="1"/>
  <c r="D282" i="57"/>
  <c r="L277" i="57"/>
  <c r="O277" i="57" s="1"/>
  <c r="E279" i="57"/>
  <c r="L278" i="57"/>
  <c r="O278" i="57" s="1"/>
  <c r="F277" i="57"/>
  <c r="F278" i="57" s="1"/>
  <c r="I266" i="57" l="1"/>
  <c r="G267" i="57"/>
  <c r="E280" i="57"/>
  <c r="F279" i="57"/>
  <c r="D283" i="57"/>
  <c r="L279" i="57"/>
  <c r="O279" i="57" s="1"/>
  <c r="G268" i="57" l="1"/>
  <c r="H267" i="57"/>
  <c r="D284" i="57"/>
  <c r="E281" i="57"/>
  <c r="F281" i="57" s="1"/>
  <c r="F280" i="57"/>
  <c r="I267" i="57" l="1"/>
  <c r="H268" i="57"/>
  <c r="G269" i="57"/>
  <c r="E282" i="57"/>
  <c r="K281" i="57"/>
  <c r="L281" i="57" s="1"/>
  <c r="O281" i="57" s="1"/>
  <c r="B60" i="507" s="1"/>
  <c r="I268" i="57" l="1"/>
  <c r="G270" i="57"/>
  <c r="H269" i="57"/>
  <c r="L282" i="57"/>
  <c r="O282" i="57" s="1"/>
  <c r="E283" i="57"/>
  <c r="F282" i="57"/>
  <c r="H270" i="57" l="1"/>
  <c r="I269" i="57"/>
  <c r="G271" i="57"/>
  <c r="E284" i="57"/>
  <c r="L283" i="57"/>
  <c r="O283" i="57" s="1"/>
  <c r="F283" i="57"/>
  <c r="I270" i="57" l="1"/>
  <c r="G272" i="57"/>
  <c r="H271" i="57"/>
  <c r="L284" i="57"/>
  <c r="O284" i="57" s="1"/>
  <c r="F284" i="57"/>
  <c r="H272" i="57" l="1"/>
  <c r="I271" i="57"/>
  <c r="G273" i="57"/>
  <c r="G274" i="57" s="1"/>
  <c r="I272" i="57" l="1"/>
  <c r="H273" i="57"/>
  <c r="H274" i="57" s="1"/>
  <c r="G275" i="57"/>
  <c r="I273" i="57" l="1"/>
  <c r="I274" i="57" s="1"/>
  <c r="H275" i="57"/>
  <c r="G276" i="57"/>
  <c r="I275" i="57" l="1"/>
  <c r="H276" i="57"/>
  <c r="G277" i="57"/>
  <c r="G278" i="57" s="1"/>
  <c r="G279" i="57" s="1"/>
  <c r="I276" i="57" l="1"/>
  <c r="H277" i="57"/>
  <c r="H278" i="57" s="1"/>
  <c r="H279" i="57" s="1"/>
  <c r="G280" i="57"/>
  <c r="D285" i="57"/>
  <c r="D286" i="57" s="1"/>
  <c r="I277" i="57" l="1"/>
  <c r="I278" i="57" s="1"/>
  <c r="I279" i="57" s="1"/>
  <c r="G281" i="57"/>
  <c r="H280" i="57"/>
  <c r="E285" i="57"/>
  <c r="E286" i="57" s="1"/>
  <c r="F286" i="57" s="1"/>
  <c r="I280" i="57" l="1"/>
  <c r="H281" i="57"/>
  <c r="G282" i="57"/>
  <c r="F285" i="57"/>
  <c r="K286" i="57"/>
  <c r="L286" i="57" s="1"/>
  <c r="O286" i="57" s="1"/>
  <c r="B61" i="507" s="1"/>
  <c r="H282" i="57" l="1"/>
  <c r="G283" i="57"/>
  <c r="I281" i="57"/>
  <c r="I282" i="57" l="1"/>
  <c r="G284" i="57"/>
  <c r="G285" i="57" s="1"/>
  <c r="H283" i="57"/>
  <c r="H284" i="57" l="1"/>
  <c r="H285" i="57" s="1"/>
  <c r="I283" i="57"/>
  <c r="G286" i="57"/>
  <c r="I284" i="57" l="1"/>
  <c r="I285" i="57" s="1"/>
  <c r="H286" i="57"/>
  <c r="I286" i="57" l="1"/>
  <c r="D287" i="57" l="1"/>
  <c r="E287" i="57" l="1"/>
  <c r="F287" i="57" s="1"/>
  <c r="D288" i="57"/>
  <c r="E288" i="57" l="1"/>
  <c r="F288" i="57" s="1"/>
  <c r="D289" i="57"/>
  <c r="D290" i="57" s="1"/>
  <c r="D291" i="57" s="1"/>
  <c r="E289" i="57" l="1"/>
  <c r="F289" i="57" s="1"/>
  <c r="D292" i="57"/>
  <c r="D293" i="57" s="1"/>
  <c r="E290" i="57" l="1"/>
  <c r="F290" i="57" s="1"/>
  <c r="D294" i="57"/>
  <c r="E291" i="57" l="1"/>
  <c r="F291" i="57" s="1"/>
  <c r="D295" i="57"/>
  <c r="E292" i="57" l="1"/>
  <c r="E293" i="57" s="1"/>
  <c r="E294" i="57" s="1"/>
  <c r="E295" i="57" s="1"/>
  <c r="D296" i="57"/>
  <c r="F292" i="57" l="1"/>
  <c r="F293" i="57" s="1"/>
  <c r="F294" i="57" s="1"/>
  <c r="F295" i="57" s="1"/>
  <c r="D297" i="57"/>
  <c r="E296" i="57"/>
  <c r="D298" i="57" l="1"/>
  <c r="D299" i="57" s="1"/>
  <c r="D300" i="57" s="1"/>
  <c r="E297" i="57"/>
  <c r="F296" i="57"/>
  <c r="E298" i="57" l="1"/>
  <c r="E299" i="57" s="1"/>
  <c r="E300" i="57" s="1"/>
  <c r="D301" i="57"/>
  <c r="D302" i="57" s="1"/>
  <c r="F297" i="57"/>
  <c r="F298" i="57" l="1"/>
  <c r="F299" i="57" s="1"/>
  <c r="F300" i="57" s="1"/>
  <c r="E301" i="57"/>
  <c r="E302" i="57" s="1"/>
  <c r="D303" i="57"/>
  <c r="F301" i="57" l="1"/>
  <c r="F302" i="57" s="1"/>
  <c r="E303" i="57"/>
  <c r="D304" i="57"/>
  <c r="E304" i="57" l="1"/>
  <c r="F303" i="57"/>
  <c r="D305" i="57"/>
  <c r="E305" i="57" l="1"/>
  <c r="F304" i="57"/>
  <c r="D306" i="57"/>
  <c r="E306" i="57" s="1"/>
  <c r="F305" i="57" l="1"/>
  <c r="F306" i="57" s="1"/>
  <c r="D307" i="57"/>
  <c r="E307" i="57" l="1"/>
  <c r="F307" i="57" s="1"/>
  <c r="D308" i="57"/>
  <c r="D309" i="57" s="1"/>
  <c r="D310" i="57" s="1"/>
  <c r="E308" i="57" l="1"/>
  <c r="E309" i="57" s="1"/>
  <c r="E310" i="57" s="1"/>
  <c r="D311" i="57"/>
  <c r="F308" i="57" l="1"/>
  <c r="F309" i="57" s="1"/>
  <c r="F310" i="57" s="1"/>
  <c r="D312" i="57"/>
  <c r="D313" i="57" s="1"/>
  <c r="D314" i="57" s="1"/>
  <c r="E311" i="57"/>
  <c r="F311" i="57" l="1"/>
  <c r="E312" i="57"/>
  <c r="D315" i="57"/>
  <c r="F312" i="57" l="1"/>
  <c r="D316" i="57"/>
  <c r="E313" i="57"/>
  <c r="E314" i="57" s="1"/>
  <c r="E315" i="57" s="1"/>
  <c r="D317" i="57" l="1"/>
  <c r="F313" i="57"/>
  <c r="F314" i="57" s="1"/>
  <c r="F315" i="57" s="1"/>
  <c r="E316" i="57"/>
  <c r="D318" i="57" l="1"/>
  <c r="F316" i="57"/>
  <c r="E317" i="57"/>
  <c r="D319" i="57" l="1"/>
  <c r="E318" i="57"/>
  <c r="F317" i="57"/>
  <c r="D320" i="57" l="1"/>
  <c r="E319" i="57"/>
  <c r="F318" i="57"/>
  <c r="E320" i="57" l="1"/>
  <c r="D321" i="57"/>
  <c r="D322" i="57" s="1"/>
  <c r="F319" i="57"/>
  <c r="F320" i="57" l="1"/>
  <c r="D323" i="57"/>
  <c r="E321" i="57"/>
  <c r="D324" i="57" l="1"/>
  <c r="K324" i="57" s="1"/>
  <c r="L324" i="57" s="1"/>
  <c r="O324" i="57" s="1"/>
  <c r="B62" i="507" s="1"/>
  <c r="F321" i="57"/>
  <c r="E322" i="57"/>
  <c r="D325" i="57"/>
  <c r="E324" i="57"/>
  <c r="E325" i="57" s="1"/>
  <c r="F325" i="57" s="1"/>
  <c r="F322" i="57" l="1"/>
  <c r="K325" i="57"/>
  <c r="L325" i="57" s="1"/>
  <c r="O325" i="57" s="1"/>
  <c r="B63" i="507" s="1"/>
  <c r="D326" i="57"/>
  <c r="E323" i="57" l="1"/>
  <c r="F324" i="57" s="1"/>
  <c r="D327" i="57"/>
  <c r="E326" i="57"/>
  <c r="F326" i="57" s="1"/>
  <c r="F323" i="57" l="1"/>
  <c r="L326" i="57"/>
  <c r="O326" i="57" s="1"/>
  <c r="E327" i="57"/>
  <c r="F327" i="57" l="1"/>
  <c r="L327" i="57"/>
  <c r="O327" i="57" s="1"/>
  <c r="D328" i="57"/>
  <c r="E328" i="57" l="1"/>
  <c r="L328" i="57" s="1"/>
  <c r="O328" i="57" s="1"/>
  <c r="D329" i="57"/>
  <c r="E329" i="57" l="1"/>
  <c r="L329" i="57" s="1"/>
  <c r="O329" i="57" s="1"/>
  <c r="D330" i="57"/>
  <c r="F328" i="57"/>
  <c r="F329" i="57" l="1"/>
  <c r="E330" i="57"/>
  <c r="L330" i="57" s="1"/>
  <c r="O330" i="57" s="1"/>
  <c r="D331" i="57"/>
  <c r="F330" i="57" l="1"/>
  <c r="D332" i="57"/>
  <c r="D333" i="57" s="1"/>
  <c r="E331" i="57"/>
  <c r="E332" i="57" l="1"/>
  <c r="L332" i="57" s="1"/>
  <c r="O332" i="57" s="1"/>
  <c r="F331" i="57"/>
  <c r="L331" i="57"/>
  <c r="O331" i="57" s="1"/>
  <c r="D334" i="57"/>
  <c r="E333" i="57" l="1"/>
  <c r="E334" i="57" s="1"/>
  <c r="F332" i="57"/>
  <c r="D335" i="57"/>
  <c r="L333" i="57" l="1"/>
  <c r="O333" i="57" s="1"/>
  <c r="D336" i="57"/>
  <c r="F333" i="57"/>
  <c r="F334" i="57" s="1"/>
  <c r="E335" i="57"/>
  <c r="E336" i="57" l="1"/>
  <c r="D337" i="57"/>
  <c r="F335" i="57"/>
  <c r="K335" i="57"/>
  <c r="L335" i="57" s="1"/>
  <c r="O335" i="57" s="1"/>
  <c r="B64" i="507" s="1"/>
  <c r="E337" i="57" l="1"/>
  <c r="L337" i="57" s="1"/>
  <c r="O337" i="57" s="1"/>
  <c r="D338" i="57"/>
  <c r="F336" i="57"/>
  <c r="L336" i="57"/>
  <c r="O336" i="57" s="1"/>
  <c r="F337" i="57" l="1"/>
  <c r="D339" i="57"/>
  <c r="D340" i="57" s="1"/>
  <c r="E338" i="57"/>
  <c r="E339" i="57" l="1"/>
  <c r="E340" i="57" s="1"/>
  <c r="L340" i="57" s="1"/>
  <c r="O340" i="57" s="1"/>
  <c r="F338" i="57"/>
  <c r="D341" i="57"/>
  <c r="L338" i="57"/>
  <c r="O338" i="57" s="1"/>
  <c r="F339" i="57" l="1"/>
  <c r="F340" i="57" s="1"/>
  <c r="L339" i="57"/>
  <c r="O339" i="57" s="1"/>
  <c r="D342" i="57"/>
  <c r="D343" i="57" s="1"/>
  <c r="E341" i="57"/>
  <c r="L341" i="57" s="1"/>
  <c r="O341" i="57" s="1"/>
  <c r="F341" i="57" l="1"/>
  <c r="E342" i="57"/>
  <c r="E343" i="57" s="1"/>
  <c r="L343" i="57" s="1"/>
  <c r="O343" i="57" s="1"/>
  <c r="D344" i="57"/>
  <c r="D345" i="57" s="1"/>
  <c r="L342" i="57" l="1"/>
  <c r="O342" i="57" s="1"/>
  <c r="E344" i="57"/>
  <c r="E345" i="57" s="1"/>
  <c r="F342" i="57"/>
  <c r="D346" i="57"/>
  <c r="F345" i="57" l="1"/>
  <c r="K345" i="57"/>
  <c r="L345" i="57" s="1"/>
  <c r="O345" i="57" s="1"/>
  <c r="B65" i="507" s="1"/>
  <c r="E346" i="57"/>
  <c r="F343" i="57"/>
  <c r="F344" i="57" s="1"/>
  <c r="D347" i="57"/>
  <c r="F346" i="57" l="1"/>
  <c r="L346" i="57"/>
  <c r="O346" i="57" s="1"/>
  <c r="D348" i="57"/>
  <c r="E347" i="57"/>
  <c r="D349" i="57" l="1"/>
  <c r="E348" i="57"/>
  <c r="L348" i="57" s="1"/>
  <c r="O348" i="57" s="1"/>
  <c r="F347" i="57"/>
  <c r="L347" i="57"/>
  <c r="O347" i="57" s="1"/>
  <c r="D350" i="57" l="1"/>
  <c r="D351" i="57" s="1"/>
  <c r="E349" i="57"/>
  <c r="L349" i="57" s="1"/>
  <c r="O349" i="57" s="1"/>
  <c r="F348" i="57"/>
  <c r="E350" i="57" l="1"/>
  <c r="L350" i="57" s="1"/>
  <c r="O350" i="57" s="1"/>
  <c r="F349" i="57"/>
  <c r="E351" i="57" l="1"/>
  <c r="D352" i="57"/>
  <c r="D353" i="57" s="1"/>
  <c r="D354" i="57" s="1"/>
  <c r="F350" i="57"/>
  <c r="F351" i="57" s="1"/>
  <c r="L351" i="57"/>
  <c r="O351" i="57" s="1"/>
  <c r="E352" i="57" l="1"/>
  <c r="L352" i="57" s="1"/>
  <c r="O352" i="57" s="1"/>
  <c r="D355" i="57"/>
  <c r="E353" i="57" l="1"/>
  <c r="F352" i="57"/>
  <c r="D356" i="57"/>
  <c r="F353" i="57" l="1"/>
  <c r="L353" i="57"/>
  <c r="O353" i="57" s="1"/>
  <c r="E354" i="57"/>
  <c r="D357" i="57"/>
  <c r="F354" i="57" l="1"/>
  <c r="L354" i="57"/>
  <c r="O354" i="57" s="1"/>
  <c r="E355" i="57"/>
  <c r="D358" i="57"/>
  <c r="L355" i="57" l="1"/>
  <c r="O355" i="57" s="1"/>
  <c r="E356" i="57"/>
  <c r="F355" i="57"/>
  <c r="D359" i="57"/>
  <c r="E357" i="57" l="1"/>
  <c r="F357" i="57" s="1"/>
  <c r="F356" i="57"/>
  <c r="D360" i="57"/>
  <c r="D361" i="57" l="1"/>
  <c r="D362" i="57" s="1"/>
  <c r="K357" i="57"/>
  <c r="L357" i="57" s="1"/>
  <c r="O357" i="57" s="1"/>
  <c r="B66" i="507" s="1"/>
  <c r="E358" i="57"/>
  <c r="F358" i="57" s="1"/>
  <c r="D363" i="57" l="1"/>
  <c r="D364" i="57" s="1"/>
  <c r="L358" i="57"/>
  <c r="O358" i="57" s="1"/>
  <c r="E359" i="57"/>
  <c r="E360" i="57" l="1"/>
  <c r="L359" i="57"/>
  <c r="O359" i="57" s="1"/>
  <c r="F359" i="57"/>
  <c r="F360" i="57" l="1"/>
  <c r="E361" i="57"/>
  <c r="L361" i="57" s="1"/>
  <c r="O361" i="57" s="1"/>
  <c r="L360" i="57"/>
  <c r="O360" i="57" s="1"/>
  <c r="D365" i="57"/>
  <c r="D366" i="57" s="1"/>
  <c r="E362" i="57" l="1"/>
  <c r="L362" i="57" s="1"/>
  <c r="O362" i="57" s="1"/>
  <c r="F361" i="57"/>
  <c r="D367" i="57"/>
  <c r="E363" i="57" l="1"/>
  <c r="E364" i="57" s="1"/>
  <c r="F362" i="57"/>
  <c r="D368" i="57"/>
  <c r="L363" i="57" l="1"/>
  <c r="O363" i="57" s="1"/>
  <c r="F363" i="57"/>
  <c r="F364" i="57" s="1"/>
  <c r="L364" i="57"/>
  <c r="O364" i="57" s="1"/>
  <c r="E365" i="57"/>
  <c r="D369" i="57"/>
  <c r="F365" i="57" l="1"/>
  <c r="E366" i="57"/>
  <c r="F366" i="57" s="1"/>
  <c r="D370" i="57"/>
  <c r="E367" i="57" l="1"/>
  <c r="F367" i="57" s="1"/>
  <c r="K366" i="57"/>
  <c r="L366" i="57" s="1"/>
  <c r="O366" i="57" s="1"/>
  <c r="B67" i="507" s="1"/>
  <c r="D371" i="57"/>
  <c r="L367" i="57" l="1"/>
  <c r="O367" i="57" s="1"/>
  <c r="E368" i="57"/>
  <c r="D372" i="57"/>
  <c r="L368" i="57" l="1"/>
  <c r="O368" i="57" s="1"/>
  <c r="E369" i="57"/>
  <c r="F368" i="57"/>
  <c r="D373" i="57"/>
  <c r="D374" i="57" l="1"/>
  <c r="F369" i="57"/>
  <c r="L369" i="57"/>
  <c r="O369" i="57" s="1"/>
  <c r="E370" i="57"/>
  <c r="F370" i="57" l="1"/>
  <c r="L370" i="57"/>
  <c r="O370" i="57" s="1"/>
  <c r="E371" i="57"/>
  <c r="D375" i="57"/>
  <c r="D376" i="57" s="1"/>
  <c r="D377" i="57" l="1"/>
  <c r="E372" i="57"/>
  <c r="L371" i="57"/>
  <c r="O371" i="57" s="1"/>
  <c r="F371" i="57"/>
  <c r="F372" i="57" s="1"/>
  <c r="D378" i="57" l="1"/>
  <c r="L372" i="57"/>
  <c r="O372" i="57" s="1"/>
  <c r="E373" i="57"/>
  <c r="D379" i="57" l="1"/>
  <c r="E374" i="57"/>
  <c r="L374" i="57" s="1"/>
  <c r="O374" i="57" s="1"/>
  <c r="L373" i="57"/>
  <c r="O373" i="57" s="1"/>
  <c r="F373" i="57"/>
  <c r="F374" i="57" l="1"/>
  <c r="E375" i="57"/>
  <c r="D380" i="57" l="1"/>
  <c r="D381" i="57" s="1"/>
  <c r="F375" i="57"/>
  <c r="E376" i="57"/>
  <c r="D382" i="57" l="1"/>
  <c r="F376" i="57"/>
  <c r="E377" i="57"/>
  <c r="K376" i="57"/>
  <c r="L376" i="57" s="1"/>
  <c r="O376" i="57" s="1"/>
  <c r="B68" i="507" s="1"/>
  <c r="D383" i="57" l="1"/>
  <c r="E378" i="57"/>
  <c r="L377" i="57"/>
  <c r="O377" i="57" s="1"/>
  <c r="F377" i="57"/>
  <c r="D384" i="57" l="1"/>
  <c r="D385" i="57" s="1"/>
  <c r="D386" i="57" s="1"/>
  <c r="D387" i="57" s="1"/>
  <c r="D388" i="57" s="1"/>
  <c r="L378" i="57"/>
  <c r="O378" i="57" s="1"/>
  <c r="E379" i="57"/>
  <c r="F378" i="57"/>
  <c r="L379" i="57" l="1"/>
  <c r="O379" i="57" s="1"/>
  <c r="F379" i="57"/>
  <c r="D389" i="57"/>
  <c r="E380" i="57" l="1"/>
  <c r="D390" i="57"/>
  <c r="F380" i="57" l="1"/>
  <c r="L380" i="57"/>
  <c r="O380" i="57" s="1"/>
  <c r="E381" i="57"/>
  <c r="E382" i="57" s="1"/>
  <c r="D391" i="57"/>
  <c r="L382" i="57" l="1"/>
  <c r="O382" i="57" s="1"/>
  <c r="E383" i="57"/>
  <c r="F381" i="57"/>
  <c r="L381" i="57"/>
  <c r="O381" i="57" s="1"/>
  <c r="D392" i="57"/>
  <c r="L383" i="57" l="1"/>
  <c r="O383" i="57" s="1"/>
  <c r="E384" i="57"/>
  <c r="F382" i="57"/>
  <c r="D393" i="57"/>
  <c r="L384" i="57" l="1"/>
  <c r="O384" i="57" s="1"/>
  <c r="E385" i="57"/>
  <c r="L385" i="57" s="1"/>
  <c r="O385" i="57" s="1"/>
  <c r="F383" i="57"/>
  <c r="D394" i="57"/>
  <c r="E386" i="57" l="1"/>
  <c r="E387" i="57" s="1"/>
  <c r="F387" i="57" s="1"/>
  <c r="F384" i="57"/>
  <c r="F385" i="57" s="1"/>
  <c r="D395" i="57"/>
  <c r="F386" i="57" l="1"/>
  <c r="K387" i="57"/>
  <c r="L387" i="57" s="1"/>
  <c r="O387" i="57" s="1"/>
  <c r="B69" i="507" s="1"/>
  <c r="E388" i="57"/>
  <c r="D396" i="57"/>
  <c r="L388" i="57" l="1"/>
  <c r="O388" i="57" s="1"/>
  <c r="F388" i="57"/>
  <c r="D397" i="57"/>
  <c r="J430" i="57"/>
  <c r="D398" i="57" l="1"/>
  <c r="D399" i="57" s="1"/>
  <c r="J431" i="57"/>
  <c r="E389" i="57" l="1"/>
  <c r="D400" i="57"/>
  <c r="D401" i="57" s="1"/>
  <c r="D402" i="57" l="1"/>
  <c r="L389" i="57"/>
  <c r="O389" i="57" s="1"/>
  <c r="E390" i="57"/>
  <c r="F389" i="57"/>
  <c r="J432" i="57"/>
  <c r="J433" i="57" s="1"/>
  <c r="E391" i="57" l="1"/>
  <c r="L390" i="57"/>
  <c r="O390" i="57" s="1"/>
  <c r="F390" i="57"/>
  <c r="J434" i="57"/>
  <c r="F391" i="57" l="1"/>
  <c r="L391" i="57"/>
  <c r="O391" i="57" s="1"/>
  <c r="E392" i="57"/>
  <c r="J435" i="57"/>
  <c r="J436" i="57" s="1"/>
  <c r="F392" i="57" l="1"/>
  <c r="E393" i="57"/>
  <c r="L392" i="57"/>
  <c r="O392" i="57" s="1"/>
  <c r="J437" i="57"/>
  <c r="J438" i="57" s="1"/>
  <c r="F393" i="57" l="1"/>
  <c r="E394" i="57"/>
  <c r="L393" i="57"/>
  <c r="O393" i="57" s="1"/>
  <c r="J439" i="57"/>
  <c r="F394" i="57" l="1"/>
  <c r="E395" i="57"/>
  <c r="L394" i="57"/>
  <c r="O394" i="57" s="1"/>
  <c r="J440" i="57"/>
  <c r="J441" i="57" s="1"/>
  <c r="F395" i="57" l="1"/>
  <c r="L395" i="57"/>
  <c r="O395" i="57" s="1"/>
  <c r="E396" i="57"/>
  <c r="J442" i="57"/>
  <c r="J443" i="57" s="1"/>
  <c r="J444" i="57" s="1"/>
  <c r="J445" i="57" s="1"/>
  <c r="F396" i="57" l="1"/>
  <c r="L396" i="57"/>
  <c r="O396" i="57" s="1"/>
  <c r="E397" i="57"/>
  <c r="J446" i="57"/>
  <c r="F397" i="57" l="1"/>
  <c r="E398" i="57"/>
  <c r="L398" i="57" s="1"/>
  <c r="O398" i="57" s="1"/>
  <c r="L397" i="57"/>
  <c r="O397" i="57" s="1"/>
  <c r="J447" i="57"/>
  <c r="J448" i="57" s="1"/>
  <c r="E399" i="57" l="1"/>
  <c r="E400" i="57" s="1"/>
  <c r="F398" i="57"/>
  <c r="L399" i="57"/>
  <c r="O399" i="57" s="1"/>
  <c r="J449" i="57"/>
  <c r="F399" i="57" l="1"/>
  <c r="F400" i="57" s="1"/>
  <c r="E401" i="57"/>
  <c r="J450" i="57"/>
  <c r="F401" i="57" l="1"/>
  <c r="E402" i="57"/>
  <c r="L402" i="57" s="1"/>
  <c r="O402" i="57" s="1"/>
  <c r="K401" i="57"/>
  <c r="L401" i="57" s="1"/>
  <c r="O401" i="57" s="1"/>
  <c r="B70" i="507" s="1"/>
  <c r="B432" i="57"/>
  <c r="B433" i="57" s="1"/>
  <c r="B434" i="57" s="1"/>
  <c r="F402" i="57" l="1"/>
  <c r="B435" i="57" l="1"/>
  <c r="B436" i="57" s="1"/>
  <c r="B437" i="57" s="1"/>
  <c r="B438" i="57" l="1"/>
  <c r="B439" i="57" l="1"/>
  <c r="B440" i="57" l="1"/>
  <c r="B441" i="57" s="1"/>
  <c r="B442" i="57" l="1"/>
  <c r="B443" i="57" l="1"/>
  <c r="B444" i="57" l="1"/>
  <c r="B445" i="57" s="1"/>
  <c r="B446" i="57" l="1"/>
  <c r="B447" i="57" l="1"/>
  <c r="B448" i="57" s="1"/>
  <c r="B449" i="57" l="1"/>
  <c r="B450" i="57" l="1"/>
  <c r="B20" i="637" l="1"/>
  <c r="B17" i="637"/>
  <c r="B18" i="637"/>
  <c r="B16" i="637"/>
  <c r="B15" i="637"/>
  <c r="B14" i="637"/>
  <c r="B19" i="637"/>
  <c r="B24" i="637"/>
  <c r="B21" i="637"/>
  <c r="B23" i="637"/>
  <c r="B26" i="637"/>
  <c r="B25" i="637"/>
  <c r="B22" i="637"/>
  <c r="G287" i="57" l="1"/>
  <c r="G288" i="57" l="1"/>
  <c r="B287" i="57"/>
  <c r="H287" i="57"/>
  <c r="G289" i="57" l="1"/>
  <c r="G290" i="57" s="1"/>
  <c r="G291" i="57" s="1"/>
  <c r="G292" i="57" s="1"/>
  <c r="B288" i="57"/>
  <c r="H288" i="57"/>
  <c r="I287" i="57"/>
  <c r="I288" i="57" l="1"/>
  <c r="B289" i="57"/>
  <c r="H289" i="57"/>
  <c r="G293" i="57"/>
  <c r="G294" i="57" s="1"/>
  <c r="I289" i="57" l="1"/>
  <c r="H290" i="57"/>
  <c r="B290" i="57"/>
  <c r="B291" i="57" s="1"/>
  <c r="B292" i="57" s="1"/>
  <c r="B293" i="57" s="1"/>
  <c r="G295" i="57"/>
  <c r="G296" i="57" s="1"/>
  <c r="H291" i="57" l="1"/>
  <c r="I290" i="57"/>
  <c r="G297" i="57"/>
  <c r="B294" i="57"/>
  <c r="H292" i="57" l="1"/>
  <c r="I291" i="57"/>
  <c r="G298" i="57"/>
  <c r="G299" i="57" s="1"/>
  <c r="G300" i="57" s="1"/>
  <c r="B295" i="57"/>
  <c r="H293" i="57" l="1"/>
  <c r="I292" i="57"/>
  <c r="G301" i="57"/>
  <c r="G302" i="57" s="1"/>
  <c r="B296" i="57"/>
  <c r="B297" i="57" s="1"/>
  <c r="B298" i="57" s="1"/>
  <c r="H294" i="57" l="1"/>
  <c r="I293" i="57"/>
  <c r="G303" i="57"/>
  <c r="B299" i="57"/>
  <c r="I294" i="57" l="1"/>
  <c r="H295" i="57"/>
  <c r="B300" i="57"/>
  <c r="B301" i="57" s="1"/>
  <c r="G304" i="57"/>
  <c r="H296" i="57" l="1"/>
  <c r="I295" i="57"/>
  <c r="G305" i="57"/>
  <c r="B302" i="57"/>
  <c r="I296" i="57" l="1"/>
  <c r="H297" i="57"/>
  <c r="B303" i="57"/>
  <c r="G306" i="57"/>
  <c r="I297" i="57" l="1"/>
  <c r="H298" i="57"/>
  <c r="H299" i="57" s="1"/>
  <c r="H300" i="57" s="1"/>
  <c r="G307" i="57"/>
  <c r="B304" i="57"/>
  <c r="I298" i="57" l="1"/>
  <c r="I299" i="57" s="1"/>
  <c r="I300" i="57" s="1"/>
  <c r="H301" i="57"/>
  <c r="G308" i="57"/>
  <c r="G309" i="57" s="1"/>
  <c r="G310" i="57" s="1"/>
  <c r="B305" i="57"/>
  <c r="I301" i="57" l="1"/>
  <c r="H302" i="57"/>
  <c r="H303" i="57" s="1"/>
  <c r="H304" i="57" s="1"/>
  <c r="H305" i="57" s="1"/>
  <c r="B306" i="57"/>
  <c r="B307" i="57" s="1"/>
  <c r="B308" i="57" s="1"/>
  <c r="G311" i="57"/>
  <c r="I302" i="57" l="1"/>
  <c r="I303" i="57" s="1"/>
  <c r="I304" i="57" s="1"/>
  <c r="I305" i="57" s="1"/>
  <c r="H306" i="57"/>
  <c r="H307" i="57" s="1"/>
  <c r="G312" i="57"/>
  <c r="B309" i="57"/>
  <c r="I306" i="57" l="1"/>
  <c r="I307" i="57" s="1"/>
  <c r="H308" i="57"/>
  <c r="G313" i="57"/>
  <c r="G314" i="57" s="1"/>
  <c r="G315" i="57" s="1"/>
  <c r="B310" i="57"/>
  <c r="H309" i="57" l="1"/>
  <c r="I308" i="57"/>
  <c r="G316" i="57"/>
  <c r="B311" i="57"/>
  <c r="I309" i="57" l="1"/>
  <c r="H310" i="57"/>
  <c r="H311" i="57" s="1"/>
  <c r="H312" i="57" s="1"/>
  <c r="H313" i="57" s="1"/>
  <c r="H314" i="57" s="1"/>
  <c r="H315" i="57" s="1"/>
  <c r="H316" i="57" s="1"/>
  <c r="G317" i="57"/>
  <c r="B312" i="57"/>
  <c r="I310" i="57" l="1"/>
  <c r="I311" i="57" s="1"/>
  <c r="I312" i="57" s="1"/>
  <c r="I313" i="57" s="1"/>
  <c r="I314" i="57" s="1"/>
  <c r="I315" i="57" s="1"/>
  <c r="I316" i="57" s="1"/>
  <c r="G318" i="57"/>
  <c r="H317" i="57"/>
  <c r="B313" i="57"/>
  <c r="B314" i="57" s="1"/>
  <c r="B315" i="57" s="1"/>
  <c r="B316" i="57" s="1"/>
  <c r="B317" i="57" s="1"/>
  <c r="B318" i="57" s="1"/>
  <c r="B319" i="57" s="1"/>
  <c r="B320" i="57" s="1"/>
  <c r="B321" i="57" s="1"/>
  <c r="I317" i="57" l="1"/>
  <c r="G319" i="57"/>
  <c r="H318" i="57"/>
  <c r="G320" i="57" l="1"/>
  <c r="I318" i="57"/>
  <c r="H319" i="57"/>
  <c r="B322" i="57"/>
  <c r="G321" i="57" l="1"/>
  <c r="G322" i="57" s="1"/>
  <c r="I319" i="57"/>
  <c r="H320" i="57"/>
  <c r="G323" i="57" l="1"/>
  <c r="G324" i="57" s="1"/>
  <c r="G325" i="57" s="1"/>
  <c r="G326" i="57" s="1"/>
  <c r="G327" i="57" s="1"/>
  <c r="I320" i="57"/>
  <c r="H321" i="57"/>
  <c r="I321" i="57" l="1"/>
  <c r="H322" i="57"/>
  <c r="G328" i="57"/>
  <c r="I322" i="57" l="1"/>
  <c r="G329" i="57"/>
  <c r="H323" i="57" l="1"/>
  <c r="G330" i="57"/>
  <c r="I323" i="57" l="1"/>
  <c r="H324" i="57"/>
  <c r="G331" i="57"/>
  <c r="I324" i="57" l="1"/>
  <c r="H325" i="57"/>
  <c r="H326" i="57" s="1"/>
  <c r="G332" i="57"/>
  <c r="G333" i="57" s="1"/>
  <c r="G334" i="57" s="1"/>
  <c r="I325" i="57" l="1"/>
  <c r="I326" i="57" s="1"/>
  <c r="H327" i="57"/>
  <c r="H328" i="57" s="1"/>
  <c r="G335" i="57"/>
  <c r="G336" i="57" l="1"/>
  <c r="G337" i="57" s="1"/>
  <c r="I327" i="57"/>
  <c r="I328" i="57" s="1"/>
  <c r="H329" i="57"/>
  <c r="H330" i="57" s="1"/>
  <c r="G338" i="57" l="1"/>
  <c r="I329" i="57"/>
  <c r="I330" i="57" s="1"/>
  <c r="H331" i="57"/>
  <c r="G339" i="57" l="1"/>
  <c r="H332" i="57"/>
  <c r="H333" i="57" s="1"/>
  <c r="H334" i="57" s="1"/>
  <c r="I331" i="57"/>
  <c r="G340" i="57" l="1"/>
  <c r="G341" i="57" s="1"/>
  <c r="G342" i="57" s="1"/>
  <c r="G343" i="57" s="1"/>
  <c r="G344" i="57" s="1"/>
  <c r="G345" i="57" s="1"/>
  <c r="G346" i="57" s="1"/>
  <c r="I332" i="57"/>
  <c r="I333" i="57" s="1"/>
  <c r="I334" i="57" s="1"/>
  <c r="H335" i="57"/>
  <c r="H336" i="57" l="1"/>
  <c r="H337" i="57" s="1"/>
  <c r="I335" i="57"/>
  <c r="G347" i="57"/>
  <c r="G348" i="57" l="1"/>
  <c r="H338" i="57"/>
  <c r="I336" i="57"/>
  <c r="I337" i="57" s="1"/>
  <c r="H339" i="57" l="1"/>
  <c r="H340" i="57" s="1"/>
  <c r="H341" i="57" s="1"/>
  <c r="G349" i="57"/>
  <c r="I338" i="57"/>
  <c r="I339" i="57" l="1"/>
  <c r="I340" i="57" s="1"/>
  <c r="I341" i="57" s="1"/>
  <c r="G350" i="57"/>
  <c r="G351" i="57" s="1"/>
  <c r="H342" i="57"/>
  <c r="H343" i="57" s="1"/>
  <c r="H344" i="57" s="1"/>
  <c r="H345" i="57" s="1"/>
  <c r="H346" i="57" s="1"/>
  <c r="H347" i="57" s="1"/>
  <c r="G352" i="57" l="1"/>
  <c r="H348" i="57"/>
  <c r="I342" i="57"/>
  <c r="I343" i="57" s="1"/>
  <c r="I344" i="57" s="1"/>
  <c r="I345" i="57" s="1"/>
  <c r="I346" i="57" s="1"/>
  <c r="I347" i="57" s="1"/>
  <c r="G353" i="57" l="1"/>
  <c r="G354" i="57" s="1"/>
  <c r="G355" i="57" s="1"/>
  <c r="G356" i="57" s="1"/>
  <c r="G357" i="57" s="1"/>
  <c r="H349" i="57"/>
  <c r="I348" i="57"/>
  <c r="H350" i="57" l="1"/>
  <c r="H351" i="57" s="1"/>
  <c r="I349" i="57"/>
  <c r="G358" i="57"/>
  <c r="H352" i="57" l="1"/>
  <c r="H353" i="57" s="1"/>
  <c r="H354" i="57" s="1"/>
  <c r="H355" i="57" s="1"/>
  <c r="H356" i="57" s="1"/>
  <c r="H357" i="57" s="1"/>
  <c r="H358" i="57" s="1"/>
  <c r="I350" i="57"/>
  <c r="I351" i="57" s="1"/>
  <c r="G359" i="57"/>
  <c r="G360" i="57" l="1"/>
  <c r="I352" i="57"/>
  <c r="I353" i="57" s="1"/>
  <c r="I354" i="57" s="1"/>
  <c r="I355" i="57" s="1"/>
  <c r="I356" i="57" s="1"/>
  <c r="I357" i="57" s="1"/>
  <c r="I358" i="57" s="1"/>
  <c r="H359" i="57"/>
  <c r="G361" i="57" l="1"/>
  <c r="H360" i="57"/>
  <c r="I359" i="57"/>
  <c r="H361" i="57" l="1"/>
  <c r="G362" i="57"/>
  <c r="G363" i="57" s="1"/>
  <c r="G364" i="57" s="1"/>
  <c r="I360" i="57"/>
  <c r="I361" i="57" l="1"/>
  <c r="H362" i="57"/>
  <c r="H363" i="57" s="1"/>
  <c r="H364" i="57" s="1"/>
  <c r="G365" i="57"/>
  <c r="I362" i="57" l="1"/>
  <c r="I363" i="57" s="1"/>
  <c r="I364" i="57" s="1"/>
  <c r="H365" i="57"/>
  <c r="G366" i="57"/>
  <c r="G367" i="57" l="1"/>
  <c r="H366" i="57"/>
  <c r="I365" i="57"/>
  <c r="G368" i="57" l="1"/>
  <c r="H367" i="57"/>
  <c r="I366" i="57"/>
  <c r="H368" i="57" l="1"/>
  <c r="G369" i="57"/>
  <c r="I367" i="57"/>
  <c r="I368" i="57" l="1"/>
  <c r="G370" i="57"/>
  <c r="H369" i="57"/>
  <c r="I369" i="57" l="1"/>
  <c r="G371" i="57"/>
  <c r="H370" i="57"/>
  <c r="G372" i="57" l="1"/>
  <c r="G373" i="57" s="1"/>
  <c r="H371" i="57"/>
  <c r="I370" i="57"/>
  <c r="H372" i="57" l="1"/>
  <c r="H373" i="57" s="1"/>
  <c r="G374" i="57"/>
  <c r="G375" i="57" s="1"/>
  <c r="I371" i="57"/>
  <c r="I372" i="57" l="1"/>
  <c r="I373" i="57" s="1"/>
  <c r="H374" i="57"/>
  <c r="H375" i="57" s="1"/>
  <c r="G376" i="57"/>
  <c r="I374" i="57" l="1"/>
  <c r="I375" i="57" s="1"/>
  <c r="G377" i="57"/>
  <c r="H376" i="57"/>
  <c r="G378" i="57" l="1"/>
  <c r="H377" i="57"/>
  <c r="I376" i="57"/>
  <c r="H378" i="57" l="1"/>
  <c r="G379" i="57"/>
  <c r="I377" i="57"/>
  <c r="I378" i="57" l="1"/>
  <c r="H379" i="57"/>
  <c r="I379" i="57" l="1"/>
  <c r="G380" i="57"/>
  <c r="G381" i="57" s="1"/>
  <c r="G382" i="57" l="1"/>
  <c r="H380" i="57"/>
  <c r="I380" i="57" s="1"/>
  <c r="G383" i="57" l="1"/>
  <c r="H381" i="57"/>
  <c r="G384" i="57" l="1"/>
  <c r="G385" i="57" s="1"/>
  <c r="H382" i="57"/>
  <c r="H383" i="57" s="1"/>
  <c r="I381" i="57"/>
  <c r="G386" i="57" l="1"/>
  <c r="G387" i="57" s="1"/>
  <c r="G388" i="57" s="1"/>
  <c r="G389" i="57" s="1"/>
  <c r="G390" i="57" s="1"/>
  <c r="H384" i="57"/>
  <c r="H385" i="57" s="1"/>
  <c r="I382" i="57"/>
  <c r="I383" i="57" s="1"/>
  <c r="H386" i="57" l="1"/>
  <c r="H387" i="57" s="1"/>
  <c r="H388" i="57" s="1"/>
  <c r="I384" i="57"/>
  <c r="I385" i="57" s="1"/>
  <c r="G391" i="57"/>
  <c r="I386" i="57" l="1"/>
  <c r="I387" i="57" s="1"/>
  <c r="I388" i="57" s="1"/>
  <c r="G392" i="57"/>
  <c r="H389" i="57" l="1"/>
  <c r="H390" i="57" s="1"/>
  <c r="H391" i="57" s="1"/>
  <c r="H392" i="57" s="1"/>
  <c r="G393" i="57"/>
  <c r="I389" i="57" l="1"/>
  <c r="I390" i="57" s="1"/>
  <c r="I391" i="57" s="1"/>
  <c r="I392" i="57" s="1"/>
  <c r="H393" i="57"/>
  <c r="G394" i="57"/>
  <c r="G395" i="57" l="1"/>
  <c r="H394" i="57"/>
  <c r="I393" i="57"/>
  <c r="H395" i="57" l="1"/>
  <c r="I394" i="57"/>
  <c r="G396" i="57"/>
  <c r="I395" i="57" l="1"/>
  <c r="G397" i="57"/>
  <c r="H396" i="57"/>
  <c r="G398" i="57" l="1"/>
  <c r="G399" i="57" s="1"/>
  <c r="I396" i="57"/>
  <c r="H397" i="57"/>
  <c r="H398" i="57" l="1"/>
  <c r="H399" i="57" s="1"/>
  <c r="I397" i="57"/>
  <c r="G400" i="57"/>
  <c r="I398" i="57" l="1"/>
  <c r="I399" i="57" s="1"/>
  <c r="H400" i="57"/>
  <c r="G401" i="57"/>
  <c r="I400" i="57" l="1"/>
  <c r="G402" i="57"/>
  <c r="H401" i="57"/>
  <c r="H402" i="57" l="1"/>
  <c r="I401" i="57"/>
  <c r="I402" i="57" l="1"/>
  <c r="J287" i="57"/>
  <c r="J288" i="57" l="1"/>
  <c r="L287" i="57"/>
  <c r="O287" i="57" s="1"/>
  <c r="J289" i="57" l="1"/>
  <c r="L288" i="57"/>
  <c r="O288" i="57" s="1"/>
  <c r="L289" i="57" l="1"/>
  <c r="O289" i="57" s="1"/>
  <c r="J290" i="57"/>
  <c r="J291" i="57" l="1"/>
  <c r="L290" i="57"/>
  <c r="O290" i="57" s="1"/>
  <c r="L291" i="57" l="1"/>
  <c r="O291" i="57" s="1"/>
  <c r="J292" i="57"/>
  <c r="J293" i="57" l="1"/>
  <c r="L292" i="57"/>
  <c r="O292" i="57" s="1"/>
  <c r="J294" i="57" l="1"/>
  <c r="L293" i="57"/>
  <c r="O293" i="57" s="1"/>
  <c r="J295" i="57" l="1"/>
  <c r="L294" i="57"/>
  <c r="O294" i="57" s="1"/>
  <c r="L295" i="57" l="1"/>
  <c r="O295" i="57" s="1"/>
  <c r="J296" i="57"/>
  <c r="J297" i="57" l="1"/>
  <c r="L296" i="57"/>
  <c r="O296" i="57" s="1"/>
  <c r="J298" i="57" l="1"/>
  <c r="L297" i="57"/>
  <c r="O297" i="57" s="1"/>
  <c r="L298" i="57" l="1"/>
  <c r="O298" i="57" s="1"/>
  <c r="J299" i="57"/>
  <c r="L299" i="57" l="1"/>
  <c r="O299" i="57" s="1"/>
  <c r="J300" i="57"/>
  <c r="J301" i="57" l="1"/>
  <c r="L300" i="57"/>
  <c r="O300" i="57" s="1"/>
  <c r="L301" i="57" l="1"/>
  <c r="O301" i="57" s="1"/>
  <c r="J302" i="57"/>
  <c r="J303" i="57" l="1"/>
  <c r="L302" i="57"/>
  <c r="O302" i="57" s="1"/>
  <c r="J304" i="57" l="1"/>
  <c r="L303" i="57"/>
  <c r="O303" i="57" s="1"/>
  <c r="J305" i="57" l="1"/>
  <c r="L304" i="57"/>
  <c r="O304" i="57" s="1"/>
  <c r="J306" i="57" l="1"/>
  <c r="L305" i="57"/>
  <c r="O305" i="57" s="1"/>
  <c r="J307" i="57" l="1"/>
  <c r="L306" i="57"/>
  <c r="O306" i="57" s="1"/>
  <c r="J308" i="57" l="1"/>
  <c r="L307" i="57"/>
  <c r="O307" i="57" s="1"/>
  <c r="L308" i="57" l="1"/>
  <c r="O308" i="57" s="1"/>
  <c r="J309" i="57"/>
  <c r="J310" i="57" l="1"/>
  <c r="L309" i="57"/>
  <c r="O309" i="57" s="1"/>
  <c r="J311" i="57" l="1"/>
  <c r="L310" i="57"/>
  <c r="O310" i="57" s="1"/>
  <c r="L311" i="57" l="1"/>
  <c r="O311" i="57" s="1"/>
  <c r="J312" i="57"/>
  <c r="L312" i="57" l="1"/>
  <c r="O312" i="57" s="1"/>
  <c r="J313" i="57"/>
  <c r="J314" i="57" l="1"/>
  <c r="L313" i="57"/>
  <c r="O313" i="57" s="1"/>
  <c r="J315" i="57" l="1"/>
  <c r="L314" i="57"/>
  <c r="O314" i="57" s="1"/>
  <c r="J316" i="57" l="1"/>
  <c r="L315" i="57"/>
  <c r="O315" i="57" s="1"/>
  <c r="L316" i="57" l="1"/>
  <c r="O316" i="57" s="1"/>
  <c r="J317" i="57"/>
  <c r="L317" i="57" l="1"/>
  <c r="O317" i="57" s="1"/>
  <c r="J318" i="57"/>
  <c r="J319" i="57" l="1"/>
  <c r="L318" i="57"/>
  <c r="O318" i="57" s="1"/>
  <c r="L319" i="57" l="1"/>
  <c r="O319" i="57" s="1"/>
  <c r="J320" i="57"/>
  <c r="L320" i="57" l="1"/>
  <c r="O320" i="57" s="1"/>
  <c r="J321" i="57"/>
  <c r="J322" i="57" l="1"/>
  <c r="L321" i="57"/>
  <c r="O321" i="57" s="1"/>
  <c r="L322" i="57" l="1"/>
  <c r="O322" i="57" s="1"/>
  <c r="B27" i="637" l="1"/>
  <c r="D403" i="57"/>
  <c r="D404" i="57" s="1"/>
  <c r="B403" i="57"/>
  <c r="J403" i="57"/>
  <c r="J404" i="57" s="1"/>
  <c r="E403" i="57" l="1"/>
  <c r="E404" i="57" s="1"/>
  <c r="B404" i="57"/>
  <c r="L403" i="57" l="1"/>
  <c r="O403" i="57" s="1"/>
  <c r="F403" i="57"/>
  <c r="G403" i="57" s="1"/>
  <c r="H403" i="57" s="1"/>
  <c r="I403" i="57" s="1"/>
  <c r="L404" i="57"/>
  <c r="O404" i="57" s="1"/>
  <c r="F404" i="57" l="1"/>
  <c r="G404" i="57" s="1"/>
  <c r="H404" i="57" s="1"/>
  <c r="I404" i="57" s="1"/>
  <c r="D405" i="57"/>
  <c r="E405" i="57" l="1"/>
  <c r="B405" i="57" l="1"/>
  <c r="D406" i="57" l="1"/>
  <c r="B406" i="57" l="1"/>
  <c r="E406" i="57"/>
  <c r="B407" i="57" l="1"/>
  <c r="B408" i="57" s="1"/>
  <c r="B409" i="57" l="1"/>
  <c r="B410" i="57" l="1"/>
  <c r="D407" i="57" l="1"/>
  <c r="E407" i="57" s="1"/>
  <c r="D408" i="57" l="1"/>
  <c r="E408" i="57" s="1"/>
  <c r="D409" i="57" l="1"/>
  <c r="D410" i="57" s="1"/>
  <c r="E409" i="57" l="1"/>
  <c r="E410" i="57" s="1"/>
  <c r="D411" i="57" l="1"/>
  <c r="E411" i="57" l="1"/>
  <c r="D412" i="57" l="1"/>
  <c r="E412" i="57" l="1"/>
  <c r="F405" i="57" l="1"/>
  <c r="F406" i="57" s="1"/>
  <c r="J405" i="57"/>
  <c r="J406" i="57" s="1"/>
  <c r="L405" i="57" l="1"/>
  <c r="O405" i="57" s="1"/>
  <c r="G405" i="57"/>
  <c r="H405" i="57" s="1"/>
  <c r="I405" i="57" s="1"/>
  <c r="L406" i="57"/>
  <c r="O406" i="57" s="1"/>
  <c r="G406" i="57" l="1"/>
  <c r="H406" i="57" s="1"/>
  <c r="I406" i="57" s="1"/>
  <c r="F407" i="57" l="1"/>
  <c r="F408" i="57" l="1"/>
  <c r="J407" i="57"/>
  <c r="J408" i="57" s="1"/>
  <c r="J409" i="57" s="1"/>
  <c r="L409" i="57" s="1"/>
  <c r="O409" i="57" s="1"/>
  <c r="G407" i="57"/>
  <c r="F409" i="57" l="1"/>
  <c r="F410" i="57" s="1"/>
  <c r="L408" i="57"/>
  <c r="O408" i="57" s="1"/>
  <c r="J410" i="57"/>
  <c r="G408" i="57"/>
  <c r="H407" i="57"/>
  <c r="L407" i="57"/>
  <c r="O407" i="57" s="1"/>
  <c r="G409" i="57" l="1"/>
  <c r="G410" i="57" s="1"/>
  <c r="L410" i="57"/>
  <c r="O410" i="57" s="1"/>
  <c r="H408" i="57"/>
  <c r="I407" i="57"/>
  <c r="H409" i="57" l="1"/>
  <c r="H410" i="57" s="1"/>
  <c r="I408" i="57"/>
  <c r="I409" i="57" l="1"/>
  <c r="I410" i="57" s="1"/>
  <c r="J411" i="57" l="1"/>
  <c r="F411" i="57" l="1"/>
  <c r="G411" i="57" s="1"/>
  <c r="H411" i="57" s="1"/>
  <c r="B411" i="57"/>
  <c r="L411" i="57" s="1"/>
  <c r="O411" i="57" s="1"/>
  <c r="I411" i="57" l="1"/>
  <c r="F412" i="57" l="1"/>
  <c r="G412" i="57" l="1"/>
  <c r="B412" i="57"/>
  <c r="B413" i="57" l="1"/>
  <c r="B414" i="57" l="1"/>
  <c r="B415" i="57" l="1"/>
  <c r="B416" i="57" s="1"/>
  <c r="B417" i="57" s="1"/>
  <c r="B418" i="57" s="1"/>
  <c r="B419" i="57" l="1"/>
  <c r="B420" i="57" l="1"/>
  <c r="H412" i="57"/>
  <c r="I412" i="57" s="1"/>
  <c r="J412" i="57"/>
  <c r="L412" i="57" s="1"/>
  <c r="O412" i="57" s="1"/>
  <c r="J413" i="57" l="1"/>
  <c r="J414" i="57" l="1"/>
  <c r="J415" i="57" s="1"/>
  <c r="J416" i="57" s="1"/>
  <c r="J417" i="57" s="1"/>
  <c r="J418" i="57" s="1"/>
  <c r="J419" i="57" l="1"/>
  <c r="D413" i="57"/>
  <c r="E413" i="57" s="1"/>
  <c r="L413" i="57" s="1"/>
  <c r="O413" i="57" s="1"/>
  <c r="J420" i="57" l="1"/>
  <c r="F413" i="57"/>
  <c r="G413" i="57" s="1"/>
  <c r="D414" i="57"/>
  <c r="D415" i="57" l="1"/>
  <c r="E414" i="57"/>
  <c r="H413" i="57"/>
  <c r="E415" i="57" l="1"/>
  <c r="L415" i="57" s="1"/>
  <c r="O415" i="57" s="1"/>
  <c r="F414" i="57"/>
  <c r="D416" i="57"/>
  <c r="L414" i="57"/>
  <c r="O414" i="57" s="1"/>
  <c r="I413" i="57"/>
  <c r="E416" i="57" l="1"/>
  <c r="D417" i="57"/>
  <c r="L416" i="57"/>
  <c r="O416" i="57" s="1"/>
  <c r="G414" i="57"/>
  <c r="F415" i="57"/>
  <c r="H414" i="57" l="1"/>
  <c r="G415" i="57"/>
  <c r="D418" i="57"/>
  <c r="E417" i="57"/>
  <c r="L417" i="57" s="1"/>
  <c r="O417" i="57" s="1"/>
  <c r="F416" i="57"/>
  <c r="G416" i="57" l="1"/>
  <c r="H415" i="57"/>
  <c r="E418" i="57"/>
  <c r="L418" i="57" s="1"/>
  <c r="O418" i="57" s="1"/>
  <c r="F417" i="57"/>
  <c r="I414" i="57"/>
  <c r="H416" i="57" l="1"/>
  <c r="I415" i="57"/>
  <c r="G417" i="57"/>
  <c r="F418" i="57"/>
  <c r="I416" i="57" l="1"/>
  <c r="G418" i="57"/>
  <c r="H417" i="57"/>
  <c r="H418" i="57" l="1"/>
  <c r="I417" i="57"/>
  <c r="I418" i="57" l="1"/>
  <c r="D419" i="57"/>
  <c r="D420" i="57" l="1"/>
  <c r="E419" i="57"/>
  <c r="L419" i="57" s="1"/>
  <c r="O419" i="57" s="1"/>
  <c r="F419" i="57" l="1"/>
  <c r="G419" i="57" s="1"/>
  <c r="E420" i="57"/>
  <c r="L420" i="57" s="1"/>
  <c r="O420" i="57" s="1"/>
  <c r="F420" i="57" l="1"/>
  <c r="G420" i="57" s="1"/>
  <c r="D421" i="57"/>
  <c r="D422" i="57" l="1"/>
  <c r="E421" i="57"/>
  <c r="E422" i="57" l="1"/>
  <c r="D423" i="57"/>
  <c r="D424" i="57" s="1"/>
  <c r="F421" i="57"/>
  <c r="D425" i="57" l="1"/>
  <c r="D426" i="57" s="1"/>
  <c r="D427" i="57" s="1"/>
  <c r="F422" i="57"/>
  <c r="E423" i="57"/>
  <c r="G421" i="57"/>
  <c r="D429" i="57" l="1"/>
  <c r="D428" i="57"/>
  <c r="F423" i="57"/>
  <c r="G422" i="57"/>
  <c r="E424" i="57"/>
  <c r="E429" i="57" l="1"/>
  <c r="G423" i="57"/>
  <c r="E425" i="57"/>
  <c r="E426" i="57" s="1"/>
  <c r="E427" i="57" s="1"/>
  <c r="D430" i="57"/>
  <c r="K429" i="57"/>
  <c r="L429" i="57" s="1"/>
  <c r="O429" i="57" s="1"/>
  <c r="B71" i="507" s="1"/>
  <c r="F424" i="57"/>
  <c r="F425" i="57" l="1"/>
  <c r="F426" i="57" s="1"/>
  <c r="F427" i="57" s="1"/>
  <c r="L430" i="57"/>
  <c r="O430" i="57" s="1"/>
  <c r="E430" i="57"/>
  <c r="D431" i="57"/>
  <c r="G424" i="57"/>
  <c r="E428" i="57"/>
  <c r="F429" i="57" s="1"/>
  <c r="D432" i="57" l="1"/>
  <c r="E431" i="57"/>
  <c r="L431" i="57"/>
  <c r="O431" i="57" s="1"/>
  <c r="G425" i="57"/>
  <c r="G426" i="57" s="1"/>
  <c r="G427" i="57" s="1"/>
  <c r="F430" i="57"/>
  <c r="F428" i="57"/>
  <c r="E432" i="57" l="1"/>
  <c r="D433" i="57"/>
  <c r="L432" i="57"/>
  <c r="O432" i="57" s="1"/>
  <c r="G428" i="57"/>
  <c r="G429" i="57" s="1"/>
  <c r="G430" i="57" s="1"/>
  <c r="F431" i="57"/>
  <c r="D434" i="57" l="1"/>
  <c r="E433" i="57"/>
  <c r="L433" i="57"/>
  <c r="O433" i="57" s="1"/>
  <c r="F432" i="57"/>
  <c r="G431" i="57"/>
  <c r="F433" i="57" l="1"/>
  <c r="G432" i="57"/>
  <c r="E434" i="57"/>
  <c r="F434" i="57" s="1"/>
  <c r="L434" i="57"/>
  <c r="O434" i="57" s="1"/>
  <c r="D435" i="57"/>
  <c r="G433" i="57" l="1"/>
  <c r="G434" i="57" s="1"/>
  <c r="E435" i="57"/>
  <c r="F435" i="57" s="1"/>
  <c r="D436" i="57"/>
  <c r="L435" i="57"/>
  <c r="O435" i="57" s="1"/>
  <c r="G435" i="57" l="1"/>
  <c r="E436" i="57"/>
  <c r="F436" i="57" s="1"/>
  <c r="D437" i="57"/>
  <c r="L436" i="57"/>
  <c r="O436" i="57" s="1"/>
  <c r="G436" i="57" l="1"/>
  <c r="L437" i="57"/>
  <c r="O437" i="57" s="1"/>
  <c r="D438" i="57"/>
  <c r="E437" i="57"/>
  <c r="F437" i="57" s="1"/>
  <c r="G437" i="57" s="1"/>
  <c r="D439" i="57" l="1"/>
  <c r="E438" i="57"/>
  <c r="F438" i="57" s="1"/>
  <c r="G438" i="57" s="1"/>
  <c r="L438" i="57"/>
  <c r="O438" i="57" s="1"/>
  <c r="E439" i="57" l="1"/>
  <c r="F439" i="57" s="1"/>
  <c r="G439" i="57" s="1"/>
  <c r="L439" i="57"/>
  <c r="O439" i="57" s="1"/>
  <c r="D440" i="57"/>
  <c r="E440" i="57" l="1"/>
  <c r="F440" i="57" s="1"/>
  <c r="G440" i="57" s="1"/>
  <c r="D441" i="57"/>
  <c r="L440" i="57"/>
  <c r="O440" i="57" s="1"/>
  <c r="E441" i="57" l="1"/>
  <c r="F441" i="57" s="1"/>
  <c r="G441" i="57" s="1"/>
  <c r="L441" i="57"/>
  <c r="O441" i="57" s="1"/>
  <c r="D442" i="57"/>
  <c r="D443" i="57" l="1"/>
  <c r="L442" i="57"/>
  <c r="O442" i="57" s="1"/>
  <c r="E442" i="57"/>
  <c r="F442" i="57" s="1"/>
  <c r="G442" i="57" s="1"/>
  <c r="E443" i="57" l="1"/>
  <c r="F443" i="57" s="1"/>
  <c r="G443" i="57" s="1"/>
  <c r="L443" i="57"/>
  <c r="O443" i="57" s="1"/>
  <c r="D444" i="57"/>
  <c r="E444" i="57" l="1"/>
  <c r="F444" i="57" s="1"/>
  <c r="G444" i="57" s="1"/>
  <c r="D445" i="57"/>
  <c r="L444" i="57"/>
  <c r="O444" i="57" s="1"/>
  <c r="E445" i="57" l="1"/>
  <c r="F445" i="57" s="1"/>
  <c r="G445" i="57" s="1"/>
  <c r="D446" i="57"/>
  <c r="L445" i="57"/>
  <c r="O445" i="57" s="1"/>
  <c r="E446" i="57" l="1"/>
  <c r="F446" i="57" s="1"/>
  <c r="G446" i="57" s="1"/>
  <c r="L446" i="57"/>
  <c r="O446" i="57" s="1"/>
  <c r="D447" i="57"/>
  <c r="L447" i="57" l="1"/>
  <c r="O447" i="57" s="1"/>
  <c r="E447" i="57"/>
  <c r="F447" i="57" s="1"/>
  <c r="G447" i="57" s="1"/>
  <c r="D448" i="57"/>
  <c r="E448" i="57" l="1"/>
  <c r="F448" i="57" s="1"/>
  <c r="G448" i="57" s="1"/>
  <c r="D449" i="57"/>
  <c r="L448" i="57"/>
  <c r="O448" i="57" s="1"/>
  <c r="E449" i="57" l="1"/>
  <c r="F449" i="57" s="1"/>
  <c r="G449" i="57" s="1"/>
  <c r="D450" i="57"/>
  <c r="L449" i="57"/>
  <c r="O449" i="57" s="1"/>
  <c r="E450" i="57" l="1"/>
  <c r="F450" i="57" s="1"/>
  <c r="G450" i="57" s="1"/>
  <c r="L450" i="57"/>
  <c r="O450" i="57" s="1"/>
  <c r="D452" i="57"/>
  <c r="D451" i="57"/>
  <c r="E452" i="57" l="1"/>
  <c r="E453" i="57" s="1"/>
  <c r="F453" i="57" s="1"/>
  <c r="K452" i="57"/>
  <c r="L452" i="57" s="1"/>
  <c r="O452" i="57" s="1"/>
  <c r="B72" i="507" s="1"/>
  <c r="D453" i="57"/>
  <c r="E451" i="57"/>
  <c r="F451" i="57" s="1"/>
  <c r="F452" i="57" s="1"/>
  <c r="G451" i="57" l="1"/>
  <c r="G452" i="57" s="1"/>
  <c r="K453" i="57"/>
  <c r="L453" i="57" s="1"/>
  <c r="O453" i="57" s="1"/>
  <c r="B73" i="507" s="1"/>
  <c r="D454" i="57"/>
  <c r="E454" i="57" l="1"/>
  <c r="F454" i="57" s="1"/>
  <c r="D455" i="57"/>
  <c r="G453" i="57"/>
  <c r="G454" i="57" l="1"/>
  <c r="L454" i="57"/>
  <c r="O454" i="57" s="1"/>
  <c r="D456" i="57"/>
  <c r="E455" i="57"/>
  <c r="E456" i="57" l="1"/>
  <c r="L456" i="57" s="1"/>
  <c r="O456" i="57" s="1"/>
  <c r="F455" i="57"/>
  <c r="G455" i="57" s="1"/>
  <c r="L455" i="57"/>
  <c r="O455" i="57" s="1"/>
  <c r="D457" i="57"/>
  <c r="E457" i="57" l="1"/>
  <c r="D458" i="57"/>
  <c r="F456" i="57"/>
  <c r="G456" i="57" s="1"/>
  <c r="E458" i="57" l="1"/>
  <c r="L458" i="57" s="1"/>
  <c r="O458" i="57" s="1"/>
  <c r="D459" i="57"/>
  <c r="F457" i="57"/>
  <c r="G457" i="57" s="1"/>
  <c r="L457" i="57"/>
  <c r="O457" i="57" s="1"/>
  <c r="E459" i="57" l="1"/>
  <c r="L459" i="57" s="1"/>
  <c r="O459" i="57" s="1"/>
  <c r="D460" i="57"/>
  <c r="F458" i="57"/>
  <c r="G458" i="57" s="1"/>
  <c r="D461" i="57" l="1"/>
  <c r="E460" i="57"/>
  <c r="F459" i="57"/>
  <c r="G459" i="57" s="1"/>
  <c r="D462" i="57" l="1"/>
  <c r="F460" i="57"/>
  <c r="G460" i="57" s="1"/>
  <c r="E461" i="57"/>
  <c r="L460" i="57"/>
  <c r="O460" i="57" s="1"/>
  <c r="F461" i="57" l="1"/>
  <c r="G461" i="57" s="1"/>
  <c r="E462" i="57"/>
  <c r="D463" i="57"/>
  <c r="L461" i="57"/>
  <c r="O461" i="57" s="1"/>
  <c r="F462" i="57" l="1"/>
  <c r="G462" i="57" s="1"/>
  <c r="L462" i="57"/>
  <c r="O462" i="57" s="1"/>
  <c r="E463" i="57"/>
  <c r="L463" i="57" s="1"/>
  <c r="O463" i="57" s="1"/>
  <c r="D464" i="57"/>
  <c r="F463" i="57" l="1"/>
  <c r="G463" i="57" s="1"/>
  <c r="E464" i="57"/>
  <c r="D465" i="57"/>
  <c r="F464" i="57" l="1"/>
  <c r="G464" i="57" s="1"/>
  <c r="L464" i="57"/>
  <c r="O464" i="57" s="1"/>
  <c r="E465" i="57"/>
  <c r="L465" i="57" s="1"/>
  <c r="O465" i="57" s="1"/>
  <c r="D466" i="57"/>
  <c r="E466" i="57" l="1"/>
  <c r="L466" i="57" s="1"/>
  <c r="O466" i="57" s="1"/>
  <c r="D467" i="57"/>
  <c r="F465" i="57"/>
  <c r="G465" i="57" l="1"/>
  <c r="E467" i="57"/>
  <c r="L467" i="57" s="1"/>
  <c r="O467" i="57" s="1"/>
  <c r="D468" i="57"/>
  <c r="F466" i="57"/>
  <c r="G466" i="57" l="1"/>
  <c r="D469" i="57"/>
  <c r="E468" i="57"/>
  <c r="E469" i="57" s="1"/>
  <c r="F469" i="57" s="1"/>
  <c r="F467" i="57"/>
  <c r="F468" i="57" l="1"/>
  <c r="D470" i="57"/>
  <c r="E470" i="57" s="1"/>
  <c r="K469" i="57"/>
  <c r="L469" i="57" s="1"/>
  <c r="O469" i="57" s="1"/>
  <c r="B74" i="507" s="1"/>
  <c r="G467" i="57"/>
  <c r="G468" i="57" l="1"/>
  <c r="G469" i="57" s="1"/>
  <c r="F470" i="57"/>
  <c r="D471" i="57"/>
  <c r="L470" i="57"/>
  <c r="O470" i="57" s="1"/>
  <c r="G470" i="57" l="1"/>
  <c r="D472" i="57"/>
  <c r="E471" i="57"/>
  <c r="F471" i="57" l="1"/>
  <c r="L471" i="57"/>
  <c r="O471" i="57" s="1"/>
  <c r="E472" i="57"/>
  <c r="L472" i="57" s="1"/>
  <c r="O472" i="57" s="1"/>
  <c r="D473" i="57"/>
  <c r="D474" i="57"/>
  <c r="E473" i="57" l="1"/>
  <c r="E474" i="57"/>
  <c r="E475" i="57" s="1"/>
  <c r="F475" i="57" s="1"/>
  <c r="F472" i="57"/>
  <c r="K474" i="57"/>
  <c r="L474" i="57" s="1"/>
  <c r="O474" i="57" s="1"/>
  <c r="B75" i="507" s="1"/>
  <c r="D475" i="57"/>
  <c r="G471" i="57"/>
  <c r="F473" i="57" l="1"/>
  <c r="F474" i="57"/>
  <c r="G472" i="57"/>
  <c r="D476" i="57"/>
  <c r="K475" i="57"/>
  <c r="L475" i="57" s="1"/>
  <c r="O475" i="57" s="1"/>
  <c r="B76" i="507" s="1"/>
  <c r="G473" i="57" l="1"/>
  <c r="G474" i="57" s="1"/>
  <c r="G475" i="57" s="1"/>
  <c r="E476" i="57"/>
  <c r="L476" i="57" s="1"/>
  <c r="O476" i="57" s="1"/>
  <c r="D477" i="57"/>
  <c r="E477" i="57" l="1"/>
  <c r="L477" i="57" s="1"/>
  <c r="O477" i="57" s="1"/>
  <c r="D478" i="57"/>
  <c r="F476" i="57"/>
  <c r="G476" i="57" s="1"/>
  <c r="E478" i="57" l="1"/>
  <c r="F477" i="57"/>
  <c r="D479" i="57"/>
  <c r="E479" i="57" s="1"/>
  <c r="L478" i="57"/>
  <c r="O478" i="57" s="1"/>
  <c r="F478" i="57" l="1"/>
  <c r="F479" i="57" s="1"/>
  <c r="D480" i="57"/>
  <c r="D481" i="57" s="1"/>
  <c r="L479" i="57"/>
  <c r="O479" i="57" s="1"/>
  <c r="G477" i="57"/>
  <c r="G478" i="57" l="1"/>
  <c r="E480" i="57"/>
  <c r="E481" i="57" s="1"/>
  <c r="K481" i="57" s="1"/>
  <c r="L481" i="57" s="1"/>
  <c r="O481" i="57" s="1"/>
  <c r="B77" i="507" s="1"/>
  <c r="G479" i="57"/>
  <c r="D482" i="57"/>
  <c r="F480" i="57" l="1"/>
  <c r="G480" i="57" s="1"/>
  <c r="E482" i="57"/>
  <c r="L482" i="57" s="1"/>
  <c r="O482" i="57" s="1"/>
  <c r="D483" i="57"/>
  <c r="F481" i="57"/>
  <c r="G481" i="57" l="1"/>
  <c r="E483" i="57"/>
  <c r="L483" i="57" s="1"/>
  <c r="O483" i="57" s="1"/>
  <c r="D484" i="57"/>
  <c r="D485" i="57" s="1"/>
  <c r="D486" i="57" s="1"/>
  <c r="D487" i="57" s="1"/>
  <c r="D488" i="57" s="1"/>
  <c r="F482" i="57"/>
  <c r="G482" i="57" s="1"/>
  <c r="E484" i="57" l="1"/>
  <c r="E485" i="57" s="1"/>
  <c r="F483" i="57"/>
  <c r="G483" i="57" s="1"/>
  <c r="D490" i="57"/>
  <c r="D489" i="57"/>
  <c r="F484" i="57" l="1"/>
  <c r="G484" i="57" s="1"/>
  <c r="K485" i="57"/>
  <c r="L485" i="57" s="1"/>
  <c r="O485" i="57" s="1"/>
  <c r="B78" i="507" s="1"/>
  <c r="E486" i="57"/>
  <c r="F485" i="57"/>
  <c r="E490" i="57"/>
  <c r="K490" i="57"/>
  <c r="L490" i="57" s="1"/>
  <c r="O490" i="57" s="1"/>
  <c r="B79" i="507" s="1"/>
  <c r="D491" i="57"/>
  <c r="G485" i="57" l="1"/>
  <c r="E491" i="57"/>
  <c r="F486" i="57"/>
  <c r="E487" i="57"/>
  <c r="L486" i="57"/>
  <c r="O486" i="57" s="1"/>
  <c r="L491" i="57"/>
  <c r="O491" i="57" s="1"/>
  <c r="D492" i="57"/>
  <c r="G486" i="57" l="1"/>
  <c r="E492" i="57"/>
  <c r="L487" i="57"/>
  <c r="O487" i="57" s="1"/>
  <c r="F487" i="57"/>
  <c r="G487" i="57" s="1"/>
  <c r="E488" i="57"/>
  <c r="L492" i="57"/>
  <c r="O492" i="57" s="1"/>
  <c r="D493" i="57"/>
  <c r="E493" i="57" l="1"/>
  <c r="L488" i="57"/>
  <c r="O488" i="57" s="1"/>
  <c r="F488" i="57"/>
  <c r="G488" i="57" s="1"/>
  <c r="E489" i="57"/>
  <c r="D494" i="57"/>
  <c r="L493" i="57"/>
  <c r="O493" i="57" s="1"/>
  <c r="F490" i="57" l="1"/>
  <c r="F491" i="57" s="1"/>
  <c r="F492" i="57" s="1"/>
  <c r="F493" i="57" s="1"/>
  <c r="F489" i="57"/>
  <c r="G489" i="57" s="1"/>
  <c r="D495" i="57"/>
  <c r="L494" i="57"/>
  <c r="O494" i="57" s="1"/>
  <c r="E494" i="57"/>
  <c r="G490" i="57" l="1"/>
  <c r="F494" i="57"/>
  <c r="E495" i="57"/>
  <c r="L495" i="57"/>
  <c r="O495" i="57" s="1"/>
  <c r="D496" i="57"/>
  <c r="E496" i="57" l="1"/>
  <c r="D497" i="57"/>
  <c r="L496" i="57"/>
  <c r="O496" i="57" s="1"/>
  <c r="F495" i="57"/>
  <c r="G491" i="57"/>
  <c r="E497" i="57" l="1"/>
  <c r="G492" i="57"/>
  <c r="D499" i="57"/>
  <c r="L497" i="57"/>
  <c r="O497" i="57" s="1"/>
  <c r="D498" i="57"/>
  <c r="F496" i="57"/>
  <c r="E499" i="57" l="1"/>
  <c r="E500" i="57" s="1"/>
  <c r="F500" i="57" s="1"/>
  <c r="E498" i="57"/>
  <c r="D500" i="57"/>
  <c r="K499" i="57"/>
  <c r="L499" i="57" s="1"/>
  <c r="O499" i="57" s="1"/>
  <c r="B80" i="507" s="1"/>
  <c r="F497" i="57"/>
  <c r="G493" i="57"/>
  <c r="F498" i="57" l="1"/>
  <c r="F499" i="57" s="1"/>
  <c r="G494" i="57"/>
  <c r="K500" i="57"/>
  <c r="L500" i="57" s="1"/>
  <c r="O500" i="57" s="1"/>
  <c r="B81" i="507" s="1"/>
  <c r="D501" i="57"/>
  <c r="E501" i="57" s="1"/>
  <c r="G495" i="57" l="1"/>
  <c r="F501" i="57"/>
  <c r="D502" i="57"/>
  <c r="L501" i="57"/>
  <c r="O501" i="57" s="1"/>
  <c r="D503" i="57" l="1"/>
  <c r="E502" i="57"/>
  <c r="G496" i="57"/>
  <c r="E503" i="57" l="1"/>
  <c r="G497" i="57"/>
  <c r="F502" i="57"/>
  <c r="L502" i="57"/>
  <c r="O502" i="57" s="1"/>
  <c r="D504" i="57"/>
  <c r="D505" i="57" s="1"/>
  <c r="L503" i="57"/>
  <c r="O503" i="57" s="1"/>
  <c r="E504" i="57" l="1"/>
  <c r="E505" i="57" s="1"/>
  <c r="D506" i="57"/>
  <c r="G498" i="57"/>
  <c r="F503" i="57"/>
  <c r="F505" i="57" l="1"/>
  <c r="K505" i="57"/>
  <c r="L505" i="57" s="1"/>
  <c r="O505" i="57" s="1"/>
  <c r="B82" i="507" s="1"/>
  <c r="E506" i="57"/>
  <c r="L506" i="57" s="1"/>
  <c r="O506" i="57" s="1"/>
  <c r="G499" i="57"/>
  <c r="F504" i="57"/>
  <c r="D507" i="57"/>
  <c r="F506" i="57" l="1"/>
  <c r="D508" i="57"/>
  <c r="G500" i="57"/>
  <c r="E507" i="57"/>
  <c r="G501" i="57" l="1"/>
  <c r="E508" i="57"/>
  <c r="L508" i="57" s="1"/>
  <c r="O508" i="57" s="1"/>
  <c r="L507" i="57"/>
  <c r="O507" i="57" s="1"/>
  <c r="D509" i="57"/>
  <c r="F507" i="57"/>
  <c r="E509" i="57" l="1"/>
  <c r="L509" i="57" s="1"/>
  <c r="O509" i="57" s="1"/>
  <c r="D510" i="57"/>
  <c r="G502" i="57"/>
  <c r="F508" i="57"/>
  <c r="E510" i="57" l="1"/>
  <c r="G503" i="57"/>
  <c r="F509" i="57"/>
  <c r="D511" i="57"/>
  <c r="E511" i="57" s="1"/>
  <c r="L510" i="57"/>
  <c r="O510" i="57" s="1"/>
  <c r="L511" i="57" l="1"/>
  <c r="O511" i="57" s="1"/>
  <c r="D512" i="57"/>
  <c r="D513" i="57" s="1"/>
  <c r="G504" i="57"/>
  <c r="F510" i="57"/>
  <c r="E512" i="57" l="1"/>
  <c r="E513" i="57" s="1"/>
  <c r="K513" i="57" s="1"/>
  <c r="L513" i="57" s="1"/>
  <c r="O513" i="57" s="1"/>
  <c r="B83" i="507" s="1"/>
  <c r="G505" i="57"/>
  <c r="D514" i="57"/>
  <c r="F511" i="57"/>
  <c r="F512" i="57" l="1"/>
  <c r="F513" i="57"/>
  <c r="D515" i="57"/>
  <c r="E514" i="57"/>
  <c r="G506" i="57"/>
  <c r="F514" i="57" l="1"/>
  <c r="E515" i="57"/>
  <c r="L515" i="57" s="1"/>
  <c r="O515" i="57" s="1"/>
  <c r="G507" i="57"/>
  <c r="L514" i="57"/>
  <c r="O514" i="57" s="1"/>
  <c r="D516" i="57"/>
  <c r="E516" i="57" l="1"/>
  <c r="F515" i="57"/>
  <c r="D517" i="57"/>
  <c r="L516" i="57"/>
  <c r="O516" i="57" s="1"/>
  <c r="G508" i="57"/>
  <c r="E517" i="57" l="1"/>
  <c r="F516" i="57"/>
  <c r="G509" i="57"/>
  <c r="D518" i="57"/>
  <c r="L517" i="57"/>
  <c r="O517" i="57" s="1"/>
  <c r="F517" i="57"/>
  <c r="D520" i="57" l="1"/>
  <c r="D519" i="57"/>
  <c r="G510" i="57"/>
  <c r="E518" i="57"/>
  <c r="K520" i="57" l="1"/>
  <c r="L520" i="57" s="1"/>
  <c r="O520" i="57" s="1"/>
  <c r="B84" i="507" s="1"/>
  <c r="D521" i="57"/>
  <c r="F518" i="57"/>
  <c r="G511" i="57"/>
  <c r="E519" i="57"/>
  <c r="E520" i="57"/>
  <c r="E521" i="57" s="1"/>
  <c r="L518" i="57"/>
  <c r="O518" i="57" s="1"/>
  <c r="G512" i="57" l="1"/>
  <c r="F520" i="57"/>
  <c r="F519" i="57"/>
  <c r="D522" i="57"/>
  <c r="K521" i="57"/>
  <c r="L521" i="57" s="1"/>
  <c r="O521" i="57" s="1"/>
  <c r="B85" i="507" s="1"/>
  <c r="F521" i="57"/>
  <c r="E522" i="57" l="1"/>
  <c r="L522" i="57" s="1"/>
  <c r="O522" i="57" s="1"/>
  <c r="D523" i="57"/>
  <c r="G513" i="57"/>
  <c r="G514" i="57" l="1"/>
  <c r="E523" i="57"/>
  <c r="L523" i="57" s="1"/>
  <c r="O523" i="57" s="1"/>
  <c r="D524" i="57"/>
  <c r="F522" i="57"/>
  <c r="F523" i="57" l="1"/>
  <c r="E524" i="57"/>
  <c r="L524" i="57" s="1"/>
  <c r="O524" i="57" s="1"/>
  <c r="D525" i="57"/>
  <c r="D526" i="57" s="1"/>
  <c r="G515" i="57"/>
  <c r="F524" i="57" l="1"/>
  <c r="E525" i="57"/>
  <c r="E526" i="57" s="1"/>
  <c r="F526" i="57" s="1"/>
  <c r="G516" i="57"/>
  <c r="D527" i="57"/>
  <c r="F525" i="57" l="1"/>
  <c r="K526" i="57"/>
  <c r="L526" i="57" s="1"/>
  <c r="O526" i="57" s="1"/>
  <c r="B86" i="507" s="1"/>
  <c r="E527" i="57"/>
  <c r="L527" i="57" s="1"/>
  <c r="O527" i="57" s="1"/>
  <c r="D528" i="57"/>
  <c r="V134" i="57"/>
  <c r="Y485" i="57"/>
  <c r="D78" i="507" s="1"/>
  <c r="Y227" i="57"/>
  <c r="D52" i="507" s="1"/>
  <c r="V189" i="57"/>
  <c r="Y124" i="57"/>
  <c r="D28" i="507" s="1"/>
  <c r="V505" i="57"/>
  <c r="Y252" i="57"/>
  <c r="D56" i="507" s="1"/>
  <c r="Y286" i="57"/>
  <c r="D61" i="507" s="1"/>
  <c r="Y46" i="57"/>
  <c r="D20" i="507" s="1"/>
  <c r="Y160" i="57"/>
  <c r="D35" i="507" s="1"/>
  <c r="V188" i="57"/>
  <c r="C23" i="637" s="1"/>
  <c r="V167" i="57"/>
  <c r="Y236" i="57"/>
  <c r="E26" i="637" s="1"/>
  <c r="Y205" i="57"/>
  <c r="D46" i="507" s="1"/>
  <c r="Y144" i="57"/>
  <c r="D31" i="507" s="1"/>
  <c r="V50" i="57"/>
  <c r="V481" i="57"/>
  <c r="V260" i="57"/>
  <c r="Y212" i="57"/>
  <c r="D49" i="507" s="1"/>
  <c r="Y143" i="57"/>
  <c r="E20" i="637" s="1"/>
  <c r="V205" i="57"/>
  <c r="V155" i="57"/>
  <c r="Y29" i="57"/>
  <c r="V269" i="57"/>
  <c r="V252" i="57"/>
  <c r="V324" i="57"/>
  <c r="C27" i="637" s="1"/>
  <c r="Y10" i="57"/>
  <c r="Y14" i="57"/>
  <c r="D10" i="507" s="1"/>
  <c r="V212" i="57"/>
  <c r="Y499" i="57"/>
  <c r="Y18" i="57"/>
  <c r="D11" i="507" s="1"/>
  <c r="Y188" i="57"/>
  <c r="E23" i="637" s="1"/>
  <c r="V14" i="57"/>
  <c r="V41" i="57"/>
  <c r="C18" i="637" s="1"/>
  <c r="V116" i="57"/>
  <c r="V11" i="57"/>
  <c r="Y182" i="57"/>
  <c r="D40" i="507" s="1"/>
  <c r="Y189" i="57"/>
  <c r="D42" i="507" s="1"/>
  <c r="V208" i="57"/>
  <c r="C25" i="637" s="1"/>
  <c r="V148" i="57"/>
  <c r="V58" i="57"/>
  <c r="V194" i="57"/>
  <c r="Y474" i="57"/>
  <c r="Y22" i="57"/>
  <c r="D13" i="507" s="1"/>
  <c r="Y324" i="57"/>
  <c r="E27" i="637" s="1"/>
  <c r="Y208" i="57"/>
  <c r="E25" i="637" s="1"/>
  <c r="V499" i="57"/>
  <c r="V335" i="57"/>
  <c r="V22" i="57"/>
  <c r="Y513" i="57"/>
  <c r="D83" i="507" s="1"/>
  <c r="Y50" i="57"/>
  <c r="D21" i="507" s="1"/>
  <c r="Y166" i="57"/>
  <c r="E22" i="637" s="1"/>
  <c r="V232" i="57"/>
  <c r="V182" i="57"/>
  <c r="V520" i="57"/>
  <c r="Y37" i="57"/>
  <c r="D17" i="507" s="1"/>
  <c r="Y116" i="57"/>
  <c r="D27" i="507" s="1"/>
  <c r="V218" i="57"/>
  <c r="Y376" i="57"/>
  <c r="D68" i="507" s="1"/>
  <c r="Y45" i="57"/>
  <c r="E19" i="637" s="1"/>
  <c r="Y281" i="57"/>
  <c r="D60" i="507" s="1"/>
  <c r="V513" i="57"/>
  <c r="V469" i="57"/>
  <c r="V154" i="57"/>
  <c r="C21" i="637" s="1"/>
  <c r="Y481" i="57"/>
  <c r="D77" i="507" s="1"/>
  <c r="Y178" i="57"/>
  <c r="D39" i="507" s="1"/>
  <c r="Y452" i="57"/>
  <c r="V36" i="57"/>
  <c r="C17" i="637" s="1"/>
  <c r="Y11" i="57"/>
  <c r="D9" i="507" s="1"/>
  <c r="Y357" i="57"/>
  <c r="D66" i="507" s="1"/>
  <c r="V485" i="57"/>
  <c r="V474" i="57"/>
  <c r="Y232" i="57"/>
  <c r="D53" i="507" s="1"/>
  <c r="Y70" i="57"/>
  <c r="D23" i="507" s="1"/>
  <c r="Y100" i="57"/>
  <c r="D25" i="507" s="1"/>
  <c r="Y154" i="57"/>
  <c r="E21" i="637" s="1"/>
  <c r="V200" i="57"/>
  <c r="V46" i="57"/>
  <c r="V490" i="57"/>
  <c r="V178" i="57"/>
  <c r="Y401" i="57"/>
  <c r="D70" i="507" s="1"/>
  <c r="V144" i="57"/>
  <c r="V265" i="57"/>
  <c r="Y520" i="57"/>
  <c r="V10" i="57"/>
  <c r="Y209" i="57"/>
  <c r="D48" i="507" s="1"/>
  <c r="V29" i="57"/>
  <c r="C16" i="637" s="1"/>
  <c r="V199" i="57"/>
  <c r="C24" i="637" s="1"/>
  <c r="V281" i="57"/>
  <c r="Y108" i="57"/>
  <c r="D26" i="507" s="1"/>
  <c r="V166" i="57"/>
  <c r="C22" i="637" s="1"/>
  <c r="V163" i="57"/>
  <c r="V143" i="57"/>
  <c r="C20" i="637" s="1"/>
  <c r="V45" i="57"/>
  <c r="C19" i="637" s="1"/>
  <c r="V236" i="57"/>
  <c r="C26" i="637" s="1"/>
  <c r="V160" i="57"/>
  <c r="Y366" i="57"/>
  <c r="D67" i="507" s="1"/>
  <c r="V108" i="57"/>
  <c r="V237" i="57"/>
  <c r="Y199" i="57"/>
  <c r="E24" i="637" s="1"/>
  <c r="V325" i="57"/>
  <c r="Y194" i="57"/>
  <c r="D43" i="507" s="1"/>
  <c r="Y58" i="57"/>
  <c r="D22" i="507" s="1"/>
  <c r="V227" i="57"/>
  <c r="V100" i="57"/>
  <c r="Y269" i="57"/>
  <c r="D59" i="507" s="1"/>
  <c r="Y26" i="57"/>
  <c r="V345" i="57"/>
  <c r="Y36" i="57"/>
  <c r="E17" i="637" s="1"/>
  <c r="Y265" i="57"/>
  <c r="D58" i="507" s="1"/>
  <c r="Y505" i="57"/>
  <c r="D82" i="507" s="1"/>
  <c r="V286" i="57"/>
  <c r="V223" i="57"/>
  <c r="V124" i="57"/>
  <c r="Y237" i="57"/>
  <c r="D55" i="507" s="1"/>
  <c r="Y21" i="57"/>
  <c r="E14" i="637" s="1"/>
  <c r="Y163" i="57"/>
  <c r="D36" i="507" s="1"/>
  <c r="V366" i="57"/>
  <c r="Y490" i="57"/>
  <c r="Y41" i="57"/>
  <c r="Y86" i="57"/>
  <c r="D24" i="507" s="1"/>
  <c r="V86" i="57"/>
  <c r="V209" i="57"/>
  <c r="V26" i="57"/>
  <c r="C15" i="637" s="1"/>
  <c r="V37" i="57"/>
  <c r="V70" i="57"/>
  <c r="V429" i="57"/>
  <c r="Y134" i="57"/>
  <c r="D29" i="507" s="1"/>
  <c r="Y260" i="57"/>
  <c r="D57" i="507" s="1"/>
  <c r="Y148" i="57"/>
  <c r="D32" i="507" s="1"/>
  <c r="Y155" i="57"/>
  <c r="D34" i="507" s="1"/>
  <c r="Y218" i="57"/>
  <c r="D50" i="507" s="1"/>
  <c r="Y429" i="57"/>
  <c r="Y200" i="57"/>
  <c r="D45" i="507" s="1"/>
  <c r="Y167" i="57"/>
  <c r="D38" i="507" s="1"/>
  <c r="V21" i="57"/>
  <c r="C14" i="637" s="1"/>
  <c r="V18" i="57"/>
  <c r="Y469" i="57"/>
  <c r="D74" i="507" s="1"/>
  <c r="Y223" i="57"/>
  <c r="D51" i="507" s="1"/>
  <c r="V452" i="57"/>
  <c r="V376" i="57"/>
  <c r="V401" i="57"/>
  <c r="V500" i="57"/>
  <c r="V475" i="57"/>
  <c r="Y387" i="57"/>
  <c r="D69" i="507" s="1"/>
  <c r="Y325" i="57"/>
  <c r="D63" i="507" s="1"/>
  <c r="Y335" i="57"/>
  <c r="D64" i="507" s="1"/>
  <c r="Y345" i="57"/>
  <c r="D65" i="507" s="1"/>
  <c r="V357" i="57"/>
  <c r="V387" i="57"/>
  <c r="Y453" i="57"/>
  <c r="D73" i="507" s="1"/>
  <c r="V453" i="57"/>
  <c r="Y475" i="57"/>
  <c r="D76" i="507" s="1"/>
  <c r="Y500" i="57"/>
  <c r="D81" i="507" s="1"/>
  <c r="G517" i="57"/>
  <c r="E528" i="57" l="1"/>
  <c r="L528" i="57" s="1"/>
  <c r="O528" i="57" s="1"/>
  <c r="H73" i="507"/>
  <c r="L73" i="507"/>
  <c r="T73" i="507"/>
  <c r="AB73" i="507"/>
  <c r="P73" i="507"/>
  <c r="D72" i="507"/>
  <c r="F73" i="507"/>
  <c r="V73" i="507"/>
  <c r="N73" i="507"/>
  <c r="X73" i="507"/>
  <c r="R73" i="507"/>
  <c r="J73" i="507"/>
  <c r="Z73" i="507"/>
  <c r="H55" i="507"/>
  <c r="D54" i="507"/>
  <c r="N55" i="507"/>
  <c r="P55" i="507"/>
  <c r="V55" i="507"/>
  <c r="AB55" i="507"/>
  <c r="J55" i="507"/>
  <c r="F55" i="507"/>
  <c r="X55" i="507"/>
  <c r="R55" i="507"/>
  <c r="Z55" i="507"/>
  <c r="T55" i="507"/>
  <c r="L55" i="507"/>
  <c r="P49" i="507"/>
  <c r="X49" i="507"/>
  <c r="T49" i="507"/>
  <c r="L49" i="507"/>
  <c r="F49" i="507"/>
  <c r="R49" i="507"/>
  <c r="V49" i="507"/>
  <c r="J49" i="507"/>
  <c r="N49" i="507"/>
  <c r="Z49" i="507"/>
  <c r="AB49" i="507"/>
  <c r="H49" i="507"/>
  <c r="V74" i="507"/>
  <c r="Z74" i="507"/>
  <c r="P74" i="507"/>
  <c r="N74" i="507"/>
  <c r="J74" i="507"/>
  <c r="AB74" i="507"/>
  <c r="T74" i="507"/>
  <c r="F74" i="507"/>
  <c r="R74" i="507"/>
  <c r="X74" i="507"/>
  <c r="H74" i="507"/>
  <c r="L74" i="507"/>
  <c r="F26" i="507"/>
  <c r="Z26" i="507"/>
  <c r="R26" i="507"/>
  <c r="J26" i="507"/>
  <c r="L26" i="507"/>
  <c r="H26" i="507"/>
  <c r="X26" i="507"/>
  <c r="N26" i="507"/>
  <c r="V26" i="507"/>
  <c r="P26" i="507"/>
  <c r="AB26" i="507"/>
  <c r="T26" i="507"/>
  <c r="J39" i="507"/>
  <c r="H39" i="507"/>
  <c r="AB39" i="507"/>
  <c r="P39" i="507"/>
  <c r="L39" i="507"/>
  <c r="T39" i="507"/>
  <c r="F39" i="507"/>
  <c r="R39" i="507"/>
  <c r="X39" i="507"/>
  <c r="N39" i="507"/>
  <c r="Z39" i="507"/>
  <c r="V39" i="507"/>
  <c r="AB77" i="507"/>
  <c r="N77" i="507"/>
  <c r="R77" i="507"/>
  <c r="P77" i="507"/>
  <c r="X77" i="507"/>
  <c r="L77" i="507"/>
  <c r="V77" i="507"/>
  <c r="Z77" i="507"/>
  <c r="J77" i="507"/>
  <c r="H77" i="507"/>
  <c r="F77" i="507"/>
  <c r="T77" i="507"/>
  <c r="X38" i="507"/>
  <c r="N38" i="507"/>
  <c r="V38" i="507"/>
  <c r="T38" i="507"/>
  <c r="L38" i="507"/>
  <c r="D37" i="507"/>
  <c r="AB38" i="507"/>
  <c r="P38" i="507"/>
  <c r="Z38" i="507"/>
  <c r="R38" i="507"/>
  <c r="F38" i="507"/>
  <c r="J38" i="507"/>
  <c r="H38" i="507"/>
  <c r="Z82" i="507"/>
  <c r="H82" i="507"/>
  <c r="P82" i="507"/>
  <c r="F82" i="507"/>
  <c r="N82" i="507"/>
  <c r="L82" i="507"/>
  <c r="AB82" i="507"/>
  <c r="X82" i="507"/>
  <c r="R82" i="507"/>
  <c r="T82" i="507"/>
  <c r="V82" i="507"/>
  <c r="J82" i="507"/>
  <c r="J31" i="507"/>
  <c r="F31" i="507"/>
  <c r="AB31" i="507"/>
  <c r="H31" i="507"/>
  <c r="P31" i="507"/>
  <c r="L31" i="507"/>
  <c r="T31" i="507"/>
  <c r="Z31" i="507"/>
  <c r="D30" i="507"/>
  <c r="R31" i="507"/>
  <c r="X31" i="507"/>
  <c r="N31" i="507"/>
  <c r="V31" i="507"/>
  <c r="P45" i="507"/>
  <c r="L45" i="507"/>
  <c r="V45" i="507"/>
  <c r="X45" i="507"/>
  <c r="T45" i="507"/>
  <c r="F45" i="507"/>
  <c r="J45" i="507"/>
  <c r="H45" i="507"/>
  <c r="AB45" i="507"/>
  <c r="Z45" i="507"/>
  <c r="R45" i="507"/>
  <c r="D44" i="507"/>
  <c r="N45" i="507"/>
  <c r="P58" i="507"/>
  <c r="N58" i="507"/>
  <c r="V58" i="507"/>
  <c r="Z58" i="507"/>
  <c r="J58" i="507"/>
  <c r="L58" i="507"/>
  <c r="H58" i="507"/>
  <c r="X58" i="507"/>
  <c r="AB58" i="507"/>
  <c r="R58" i="507"/>
  <c r="T58" i="507"/>
  <c r="F58" i="507"/>
  <c r="N48" i="507"/>
  <c r="R48" i="507"/>
  <c r="Z48" i="507"/>
  <c r="X48" i="507"/>
  <c r="H48" i="507"/>
  <c r="V48" i="507"/>
  <c r="J48" i="507"/>
  <c r="AB48" i="507"/>
  <c r="D47" i="507"/>
  <c r="L48" i="507"/>
  <c r="T48" i="507"/>
  <c r="F48" i="507"/>
  <c r="P48" i="507"/>
  <c r="L42" i="507"/>
  <c r="R42" i="507"/>
  <c r="T42" i="507"/>
  <c r="D41" i="507"/>
  <c r="J42" i="507"/>
  <c r="J41" i="507" s="1"/>
  <c r="N42" i="507"/>
  <c r="F42" i="507"/>
  <c r="P42" i="507"/>
  <c r="Z42" i="507"/>
  <c r="V42" i="507"/>
  <c r="AB42" i="507"/>
  <c r="X42" i="507"/>
  <c r="H42" i="507"/>
  <c r="V46" i="507"/>
  <c r="X46" i="507"/>
  <c r="F46" i="507"/>
  <c r="AB46" i="507"/>
  <c r="J46" i="507"/>
  <c r="T46" i="507"/>
  <c r="H46" i="507"/>
  <c r="Z46" i="507"/>
  <c r="R46" i="507"/>
  <c r="P46" i="507"/>
  <c r="L46" i="507"/>
  <c r="N46" i="507"/>
  <c r="J51" i="507"/>
  <c r="AB51" i="507"/>
  <c r="P51" i="507"/>
  <c r="F51" i="507"/>
  <c r="H51" i="507"/>
  <c r="T51" i="507"/>
  <c r="V51" i="507"/>
  <c r="L51" i="507"/>
  <c r="N51" i="507"/>
  <c r="Z51" i="507"/>
  <c r="X51" i="507"/>
  <c r="R51" i="507"/>
  <c r="D71" i="507"/>
  <c r="C13" i="637"/>
  <c r="U530" i="57"/>
  <c r="U531" i="57" s="1"/>
  <c r="H60" i="507"/>
  <c r="T60" i="507"/>
  <c r="AB60" i="507"/>
  <c r="F60" i="507"/>
  <c r="P60" i="507"/>
  <c r="N60" i="507"/>
  <c r="R60" i="507"/>
  <c r="Z60" i="507"/>
  <c r="V60" i="507"/>
  <c r="L60" i="507"/>
  <c r="J60" i="507"/>
  <c r="X60" i="507"/>
  <c r="AB40" i="507"/>
  <c r="N40" i="507"/>
  <c r="V40" i="507"/>
  <c r="H40" i="507"/>
  <c r="J40" i="507"/>
  <c r="T40" i="507"/>
  <c r="Z40" i="507"/>
  <c r="R40" i="507"/>
  <c r="X40" i="507"/>
  <c r="P40" i="507"/>
  <c r="L40" i="507"/>
  <c r="F40" i="507"/>
  <c r="F50" i="507"/>
  <c r="R50" i="507"/>
  <c r="P50" i="507"/>
  <c r="AB50" i="507"/>
  <c r="J50" i="507"/>
  <c r="H50" i="507"/>
  <c r="T50" i="507"/>
  <c r="L50" i="507"/>
  <c r="X50" i="507"/>
  <c r="V50" i="507"/>
  <c r="N50" i="507"/>
  <c r="Z50" i="507"/>
  <c r="G518" i="57"/>
  <c r="P34" i="507"/>
  <c r="R34" i="507"/>
  <c r="Z34" i="507"/>
  <c r="AB34" i="507"/>
  <c r="F34" i="507"/>
  <c r="J34" i="507"/>
  <c r="N34" i="507"/>
  <c r="V34" i="507"/>
  <c r="H34" i="507"/>
  <c r="D33" i="507"/>
  <c r="X34" i="507"/>
  <c r="T34" i="507"/>
  <c r="L34" i="507"/>
  <c r="E15" i="637"/>
  <c r="D14" i="507"/>
  <c r="L68" i="507"/>
  <c r="H68" i="507"/>
  <c r="F68" i="507"/>
  <c r="J68" i="507"/>
  <c r="P68" i="507"/>
  <c r="T68" i="507"/>
  <c r="R68" i="507"/>
  <c r="AB68" i="507"/>
  <c r="N68" i="507"/>
  <c r="X68" i="507"/>
  <c r="Z68" i="507"/>
  <c r="V68" i="507"/>
  <c r="X59" i="507"/>
  <c r="Z59" i="507"/>
  <c r="L59" i="507"/>
  <c r="R59" i="507"/>
  <c r="J59" i="507"/>
  <c r="N59" i="507"/>
  <c r="V59" i="507"/>
  <c r="AB59" i="507"/>
  <c r="H59" i="507"/>
  <c r="F59" i="507"/>
  <c r="P59" i="507"/>
  <c r="T59" i="507"/>
  <c r="X35" i="507"/>
  <c r="R35" i="507"/>
  <c r="P35" i="507"/>
  <c r="T35" i="507"/>
  <c r="N35" i="507"/>
  <c r="AB35" i="507"/>
  <c r="J35" i="507"/>
  <c r="Z35" i="507"/>
  <c r="V35" i="507"/>
  <c r="F35" i="507"/>
  <c r="H35" i="507"/>
  <c r="L35" i="507"/>
  <c r="AB57" i="507"/>
  <c r="X57" i="507"/>
  <c r="H57" i="507"/>
  <c r="T57" i="507"/>
  <c r="J57" i="507"/>
  <c r="R57" i="507"/>
  <c r="L57" i="507"/>
  <c r="N57" i="507"/>
  <c r="F57" i="507"/>
  <c r="Z57" i="507"/>
  <c r="V57" i="507"/>
  <c r="P57" i="507"/>
  <c r="N70" i="507"/>
  <c r="V70" i="507"/>
  <c r="H70" i="507"/>
  <c r="T70" i="507"/>
  <c r="R70" i="507"/>
  <c r="L70" i="507"/>
  <c r="P70" i="507"/>
  <c r="J70" i="507"/>
  <c r="AB70" i="507"/>
  <c r="F70" i="507"/>
  <c r="Z70" i="507"/>
  <c r="X70" i="507"/>
  <c r="R27" i="507"/>
  <c r="AB27" i="507"/>
  <c r="J27" i="507"/>
  <c r="Z27" i="507"/>
  <c r="N27" i="507"/>
  <c r="P27" i="507"/>
  <c r="X27" i="507"/>
  <c r="T27" i="507"/>
  <c r="L27" i="507"/>
  <c r="H27" i="507"/>
  <c r="V27" i="507"/>
  <c r="F27" i="507"/>
  <c r="F20" i="507"/>
  <c r="Z20" i="507"/>
  <c r="N20" i="507"/>
  <c r="R20" i="507"/>
  <c r="X20" i="507"/>
  <c r="V20" i="507"/>
  <c r="AB20" i="507"/>
  <c r="D19" i="507"/>
  <c r="P20" i="507"/>
  <c r="T20" i="507"/>
  <c r="J20" i="507"/>
  <c r="L20" i="507"/>
  <c r="H20" i="507"/>
  <c r="F17" i="507"/>
  <c r="F16" i="507" s="1"/>
  <c r="N17" i="507"/>
  <c r="N16" i="507" s="1"/>
  <c r="P17" i="507"/>
  <c r="P16" i="507" s="1"/>
  <c r="L17" i="507"/>
  <c r="L16" i="507" s="1"/>
  <c r="H17" i="507"/>
  <c r="H16" i="507" s="1"/>
  <c r="Z17" i="507"/>
  <c r="Z16" i="507" s="1"/>
  <c r="D16" i="507"/>
  <c r="R17" i="507"/>
  <c r="R16" i="507" s="1"/>
  <c r="V17" i="507"/>
  <c r="V16" i="507" s="1"/>
  <c r="J17" i="507"/>
  <c r="J16" i="507" s="1"/>
  <c r="X17" i="507"/>
  <c r="X16" i="507" s="1"/>
  <c r="AB17" i="507"/>
  <c r="AB16" i="507" s="1"/>
  <c r="T17" i="507"/>
  <c r="T16" i="507" s="1"/>
  <c r="N61" i="507"/>
  <c r="R61" i="507"/>
  <c r="X61" i="507"/>
  <c r="V61" i="507"/>
  <c r="Z61" i="507"/>
  <c r="J61" i="507"/>
  <c r="P61" i="507"/>
  <c r="L61" i="507"/>
  <c r="F61" i="507"/>
  <c r="H61" i="507"/>
  <c r="T61" i="507"/>
  <c r="AB61" i="507"/>
  <c r="Z22" i="507"/>
  <c r="P22" i="507"/>
  <c r="V22" i="507"/>
  <c r="L22" i="507"/>
  <c r="J22" i="507"/>
  <c r="F22" i="507"/>
  <c r="T22" i="507"/>
  <c r="R22" i="507"/>
  <c r="N22" i="507"/>
  <c r="X22" i="507"/>
  <c r="H22" i="507"/>
  <c r="AB22" i="507"/>
  <c r="AB11" i="507"/>
  <c r="T11" i="507"/>
  <c r="N11" i="507"/>
  <c r="F11" i="507"/>
  <c r="X11" i="507"/>
  <c r="Z11" i="507"/>
  <c r="P11" i="507"/>
  <c r="L11" i="507"/>
  <c r="H11" i="507"/>
  <c r="R11" i="507"/>
  <c r="V11" i="507"/>
  <c r="J11" i="507"/>
  <c r="N56" i="507"/>
  <c r="R56" i="507"/>
  <c r="Z56" i="507"/>
  <c r="X56" i="507"/>
  <c r="V56" i="507"/>
  <c r="L56" i="507"/>
  <c r="J56" i="507"/>
  <c r="AB56" i="507"/>
  <c r="T56" i="507"/>
  <c r="P56" i="507"/>
  <c r="F56" i="507"/>
  <c r="H56" i="507"/>
  <c r="T43" i="507"/>
  <c r="H43" i="507"/>
  <c r="Z43" i="507"/>
  <c r="V43" i="507"/>
  <c r="X43" i="507"/>
  <c r="F43" i="507"/>
  <c r="R43" i="507"/>
  <c r="L43" i="507"/>
  <c r="N43" i="507"/>
  <c r="P43" i="507"/>
  <c r="AB43" i="507"/>
  <c r="J43" i="507"/>
  <c r="L28" i="507"/>
  <c r="F28" i="507"/>
  <c r="V28" i="507"/>
  <c r="J28" i="507"/>
  <c r="Z28" i="507"/>
  <c r="N28" i="507"/>
  <c r="R28" i="507"/>
  <c r="X28" i="507"/>
  <c r="H28" i="507"/>
  <c r="AB28" i="507"/>
  <c r="P28" i="507"/>
  <c r="T28" i="507"/>
  <c r="F10" i="507"/>
  <c r="R10" i="507"/>
  <c r="N10" i="507"/>
  <c r="X10" i="507"/>
  <c r="AB10" i="507"/>
  <c r="V10" i="507"/>
  <c r="H10" i="507"/>
  <c r="P10" i="507"/>
  <c r="T10" i="507"/>
  <c r="L10" i="507"/>
  <c r="Z10" i="507"/>
  <c r="J10" i="507"/>
  <c r="R25" i="507"/>
  <c r="F25" i="507"/>
  <c r="N25" i="507"/>
  <c r="V25" i="507"/>
  <c r="T25" i="507"/>
  <c r="P25" i="507"/>
  <c r="H25" i="507"/>
  <c r="L25" i="507"/>
  <c r="AB25" i="507"/>
  <c r="Z25" i="507"/>
  <c r="J25" i="507"/>
  <c r="X25" i="507"/>
  <c r="N21" i="507"/>
  <c r="X21" i="507"/>
  <c r="V21" i="507"/>
  <c r="R21" i="507"/>
  <c r="F21" i="507"/>
  <c r="J21" i="507"/>
  <c r="Z21" i="507"/>
  <c r="AB21" i="507"/>
  <c r="H21" i="507"/>
  <c r="T21" i="507"/>
  <c r="P21" i="507"/>
  <c r="L21" i="507"/>
  <c r="E13" i="637"/>
  <c r="X530" i="57"/>
  <c r="Z52" i="507"/>
  <c r="H52" i="507"/>
  <c r="J52" i="507"/>
  <c r="X52" i="507"/>
  <c r="V52" i="507"/>
  <c r="N52" i="507"/>
  <c r="AB52" i="507"/>
  <c r="R52" i="507"/>
  <c r="T52" i="507"/>
  <c r="P52" i="507"/>
  <c r="L52" i="507"/>
  <c r="F52" i="507"/>
  <c r="F23" i="507"/>
  <c r="P23" i="507"/>
  <c r="Z23" i="507"/>
  <c r="T23" i="507"/>
  <c r="L23" i="507"/>
  <c r="J23" i="507"/>
  <c r="H23" i="507"/>
  <c r="AB23" i="507"/>
  <c r="R23" i="507"/>
  <c r="X23" i="507"/>
  <c r="N23" i="507"/>
  <c r="V23" i="507"/>
  <c r="J83" i="507"/>
  <c r="V83" i="507"/>
  <c r="H83" i="507"/>
  <c r="X83" i="507"/>
  <c r="Z83" i="507"/>
  <c r="P83" i="507"/>
  <c r="L83" i="507"/>
  <c r="T83" i="507"/>
  <c r="R83" i="507"/>
  <c r="N83" i="507"/>
  <c r="AB83" i="507"/>
  <c r="F83" i="507"/>
  <c r="P78" i="507"/>
  <c r="V78" i="507"/>
  <c r="R78" i="507"/>
  <c r="X78" i="507"/>
  <c r="T78" i="507"/>
  <c r="J78" i="507"/>
  <c r="L78" i="507"/>
  <c r="Z78" i="507"/>
  <c r="H78" i="507"/>
  <c r="F78" i="507"/>
  <c r="N78" i="507"/>
  <c r="AB78" i="507"/>
  <c r="J81" i="507"/>
  <c r="F81" i="507"/>
  <c r="T81" i="507"/>
  <c r="V81" i="507"/>
  <c r="N81" i="507"/>
  <c r="R81" i="507"/>
  <c r="X81" i="507"/>
  <c r="D80" i="507"/>
  <c r="H81" i="507"/>
  <c r="L81" i="507"/>
  <c r="Z81" i="507"/>
  <c r="P81" i="507"/>
  <c r="AB81" i="507"/>
  <c r="H65" i="507"/>
  <c r="F65" i="507"/>
  <c r="Z65" i="507"/>
  <c r="N65" i="507"/>
  <c r="P65" i="507"/>
  <c r="L65" i="507"/>
  <c r="R65" i="507"/>
  <c r="J65" i="507"/>
  <c r="T65" i="507"/>
  <c r="AB65" i="507"/>
  <c r="X65" i="507"/>
  <c r="V65" i="507"/>
  <c r="J24" i="507"/>
  <c r="X24" i="507"/>
  <c r="F24" i="507"/>
  <c r="Z24" i="507"/>
  <c r="N24" i="507"/>
  <c r="H24" i="507"/>
  <c r="V24" i="507"/>
  <c r="AB24" i="507"/>
  <c r="R24" i="507"/>
  <c r="L24" i="507"/>
  <c r="P24" i="507"/>
  <c r="T24" i="507"/>
  <c r="X67" i="507"/>
  <c r="F67" i="507"/>
  <c r="V67" i="507"/>
  <c r="Z67" i="507"/>
  <c r="J67" i="507"/>
  <c r="H67" i="507"/>
  <c r="R67" i="507"/>
  <c r="N67" i="507"/>
  <c r="L67" i="507"/>
  <c r="P67" i="507"/>
  <c r="AB67" i="507"/>
  <c r="T67" i="507"/>
  <c r="AB53" i="507"/>
  <c r="J53" i="507"/>
  <c r="F53" i="507"/>
  <c r="N53" i="507"/>
  <c r="R53" i="507"/>
  <c r="L53" i="507"/>
  <c r="Z53" i="507"/>
  <c r="P53" i="507"/>
  <c r="X53" i="507"/>
  <c r="V53" i="507"/>
  <c r="T53" i="507"/>
  <c r="H53" i="507"/>
  <c r="E18" i="637"/>
  <c r="D18" i="507"/>
  <c r="L29" i="507"/>
  <c r="H29" i="507"/>
  <c r="Z29" i="507"/>
  <c r="J29" i="507"/>
  <c r="T29" i="507"/>
  <c r="V29" i="507"/>
  <c r="R29" i="507"/>
  <c r="AB29" i="507"/>
  <c r="X29" i="507"/>
  <c r="N29" i="507"/>
  <c r="P29" i="507"/>
  <c r="F29" i="507"/>
  <c r="J63" i="507"/>
  <c r="H63" i="507"/>
  <c r="L63" i="507"/>
  <c r="T63" i="507"/>
  <c r="R63" i="507"/>
  <c r="V63" i="507"/>
  <c r="AB63" i="507"/>
  <c r="F63" i="507"/>
  <c r="Z63" i="507"/>
  <c r="X63" i="507"/>
  <c r="P63" i="507"/>
  <c r="N63" i="507"/>
  <c r="D62" i="507"/>
  <c r="D79" i="507"/>
  <c r="E16" i="637"/>
  <c r="D15" i="507"/>
  <c r="D529" i="57"/>
  <c r="E529" i="57" s="1"/>
  <c r="L76" i="507"/>
  <c r="R76" i="507"/>
  <c r="H76" i="507"/>
  <c r="J76" i="507"/>
  <c r="X76" i="507"/>
  <c r="F76" i="507"/>
  <c r="Z76" i="507"/>
  <c r="V76" i="507"/>
  <c r="AB76" i="507"/>
  <c r="T76" i="507"/>
  <c r="N76" i="507"/>
  <c r="D75" i="507"/>
  <c r="P76" i="507"/>
  <c r="F64" i="507"/>
  <c r="J64" i="507"/>
  <c r="X64" i="507"/>
  <c r="P64" i="507"/>
  <c r="H64" i="507"/>
  <c r="T64" i="507"/>
  <c r="V64" i="507"/>
  <c r="L64" i="507"/>
  <c r="N64" i="507"/>
  <c r="R64" i="507"/>
  <c r="Z64" i="507"/>
  <c r="AB64" i="507"/>
  <c r="X66" i="507"/>
  <c r="N66" i="507"/>
  <c r="Z66" i="507"/>
  <c r="P66" i="507"/>
  <c r="L66" i="507"/>
  <c r="V66" i="507"/>
  <c r="H66" i="507"/>
  <c r="J66" i="507"/>
  <c r="T66" i="507"/>
  <c r="F66" i="507"/>
  <c r="AB66" i="507"/>
  <c r="R66" i="507"/>
  <c r="X32" i="507"/>
  <c r="AB32" i="507"/>
  <c r="R32" i="507"/>
  <c r="F32" i="507"/>
  <c r="Z32" i="507"/>
  <c r="V32" i="507"/>
  <c r="T32" i="507"/>
  <c r="H32" i="507"/>
  <c r="L32" i="507"/>
  <c r="J32" i="507"/>
  <c r="N32" i="507"/>
  <c r="P32" i="507"/>
  <c r="AB36" i="507"/>
  <c r="T36" i="507"/>
  <c r="P36" i="507"/>
  <c r="F36" i="507"/>
  <c r="J36" i="507"/>
  <c r="Z36" i="507"/>
  <c r="N36" i="507"/>
  <c r="R36" i="507"/>
  <c r="V36" i="507"/>
  <c r="L36" i="507"/>
  <c r="X36" i="507"/>
  <c r="H36" i="507"/>
  <c r="V9" i="507"/>
  <c r="Z9" i="507"/>
  <c r="F9" i="507"/>
  <c r="D8" i="507"/>
  <c r="P9" i="507"/>
  <c r="J9" i="507"/>
  <c r="R9" i="507"/>
  <c r="N9" i="507"/>
  <c r="AB9" i="507"/>
  <c r="T9" i="507"/>
  <c r="X9" i="507"/>
  <c r="L9" i="507"/>
  <c r="H9" i="507"/>
  <c r="F527" i="57"/>
  <c r="T69" i="507"/>
  <c r="AB69" i="507"/>
  <c r="X69" i="507"/>
  <c r="Z69" i="507"/>
  <c r="V69" i="507"/>
  <c r="F69" i="507"/>
  <c r="H69" i="507"/>
  <c r="P69" i="507"/>
  <c r="R69" i="507"/>
  <c r="J69" i="507"/>
  <c r="N69" i="507"/>
  <c r="L69" i="507"/>
  <c r="P13" i="507"/>
  <c r="P12" i="507" s="1"/>
  <c r="J13" i="507"/>
  <c r="J12" i="507" s="1"/>
  <c r="R13" i="507"/>
  <c r="R12" i="507" s="1"/>
  <c r="Z13" i="507"/>
  <c r="Z12" i="507" s="1"/>
  <c r="V13" i="507"/>
  <c r="V12" i="507" s="1"/>
  <c r="H13" i="507"/>
  <c r="H12" i="507" s="1"/>
  <c r="X13" i="507"/>
  <c r="X12" i="507" s="1"/>
  <c r="L13" i="507"/>
  <c r="L12" i="507" s="1"/>
  <c r="AB13" i="507"/>
  <c r="AB12" i="507" s="1"/>
  <c r="N13" i="507"/>
  <c r="N12" i="507" s="1"/>
  <c r="T13" i="507"/>
  <c r="T12" i="507" s="1"/>
  <c r="F13" i="507"/>
  <c r="F12" i="507" s="1"/>
  <c r="D12" i="507"/>
  <c r="J8" i="507" l="1"/>
  <c r="Z37" i="507"/>
  <c r="Y526" i="57"/>
  <c r="D86" i="507" s="1"/>
  <c r="F86" i="507" s="1"/>
  <c r="V521" i="57"/>
  <c r="Y521" i="57"/>
  <c r="D85" i="507" s="1"/>
  <c r="J85" i="507" s="1"/>
  <c r="Z75" i="507"/>
  <c r="V526" i="57"/>
  <c r="T41" i="507"/>
  <c r="S41" i="507" s="1"/>
  <c r="E12" i="507"/>
  <c r="S12" i="507"/>
  <c r="F75" i="507"/>
  <c r="H75" i="507"/>
  <c r="AB75" i="507"/>
  <c r="J75" i="507"/>
  <c r="I75" i="507" s="1"/>
  <c r="L8" i="507"/>
  <c r="K8" i="507" s="1"/>
  <c r="L75" i="507"/>
  <c r="K75" i="507" s="1"/>
  <c r="P37" i="507"/>
  <c r="O37" i="507" s="1"/>
  <c r="L30" i="507"/>
  <c r="K30" i="507" s="1"/>
  <c r="F54" i="507"/>
  <c r="E54" i="507" s="1"/>
  <c r="P30" i="507"/>
  <c r="O30" i="507" s="1"/>
  <c r="P80" i="507"/>
  <c r="O80" i="507" s="1"/>
  <c r="L41" i="507"/>
  <c r="K41" i="507" s="1"/>
  <c r="Z80" i="507"/>
  <c r="Y80" i="507" s="1"/>
  <c r="V37" i="507"/>
  <c r="U37" i="507" s="1"/>
  <c r="AB19" i="507"/>
  <c r="AA19" i="507" s="1"/>
  <c r="N75" i="507"/>
  <c r="M75" i="507" s="1"/>
  <c r="AB80" i="507"/>
  <c r="AA80" i="507" s="1"/>
  <c r="H30" i="507"/>
  <c r="G30" i="507" s="1"/>
  <c r="AB44" i="507"/>
  <c r="AA44" i="507" s="1"/>
  <c r="M12" i="507"/>
  <c r="AA12" i="507"/>
  <c r="X19" i="507"/>
  <c r="W19" i="507" s="1"/>
  <c r="T30" i="507"/>
  <c r="S30" i="507" s="1"/>
  <c r="J30" i="507"/>
  <c r="I30" i="507" s="1"/>
  <c r="P8" i="507"/>
  <c r="O8" i="507" s="1"/>
  <c r="Z8" i="507"/>
  <c r="Y8" i="507" s="1"/>
  <c r="L80" i="507"/>
  <c r="K80" i="507" s="1"/>
  <c r="K12" i="507"/>
  <c r="Z30" i="507"/>
  <c r="Y30" i="507" s="1"/>
  <c r="Y37" i="507"/>
  <c r="P62" i="507"/>
  <c r="O62" i="507" s="1"/>
  <c r="S16" i="507"/>
  <c r="F30" i="507"/>
  <c r="E30" i="507" s="1"/>
  <c r="T75" i="507"/>
  <c r="S75" i="507" s="1"/>
  <c r="AA16" i="507"/>
  <c r="N37" i="507"/>
  <c r="M37" i="507" s="1"/>
  <c r="W16" i="507"/>
  <c r="X62" i="507"/>
  <c r="W62" i="507" s="1"/>
  <c r="X80" i="507"/>
  <c r="W80" i="507" s="1"/>
  <c r="I16" i="507"/>
  <c r="U16" i="507"/>
  <c r="Q16" i="507"/>
  <c r="V8" i="507"/>
  <c r="U8" i="507" s="1"/>
  <c r="T80" i="507"/>
  <c r="S80" i="507" s="1"/>
  <c r="Y16" i="507"/>
  <c r="X72" i="507"/>
  <c r="W72" i="507" s="1"/>
  <c r="X75" i="507"/>
  <c r="W75" i="507" s="1"/>
  <c r="W12" i="507"/>
  <c r="H8" i="507"/>
  <c r="G8" i="507" s="1"/>
  <c r="J80" i="507"/>
  <c r="I80" i="507" s="1"/>
  <c r="K16" i="507"/>
  <c r="R41" i="507"/>
  <c r="Q41" i="507" s="1"/>
  <c r="AB37" i="507"/>
  <c r="AA37" i="507" s="1"/>
  <c r="G16" i="507"/>
  <c r="Z62" i="507"/>
  <c r="Y62" i="507" s="1"/>
  <c r="I41" i="507"/>
  <c r="R54" i="507"/>
  <c r="Q54" i="507" s="1"/>
  <c r="V19" i="507"/>
  <c r="U19" i="507" s="1"/>
  <c r="X54" i="507"/>
  <c r="W54" i="507" s="1"/>
  <c r="R18" i="507"/>
  <c r="N18" i="507"/>
  <c r="F18" i="507"/>
  <c r="Z18" i="507"/>
  <c r="P18" i="507"/>
  <c r="H18" i="507"/>
  <c r="X18" i="507"/>
  <c r="AB18" i="507"/>
  <c r="J18" i="507"/>
  <c r="T18" i="507"/>
  <c r="L18" i="507"/>
  <c r="V18" i="507"/>
  <c r="F62" i="507"/>
  <c r="E62" i="507" s="1"/>
  <c r="R19" i="507"/>
  <c r="Q19" i="507" s="1"/>
  <c r="J54" i="507"/>
  <c r="I54" i="507" s="1"/>
  <c r="AB62" i="507"/>
  <c r="AA62" i="507" s="1"/>
  <c r="N19" i="507"/>
  <c r="M19" i="507" s="1"/>
  <c r="L37" i="507"/>
  <c r="K37" i="507" s="1"/>
  <c r="AB54" i="507"/>
  <c r="AA54" i="507" s="1"/>
  <c r="V62" i="507"/>
  <c r="U62" i="507" s="1"/>
  <c r="Z19" i="507"/>
  <c r="Y19" i="507" s="1"/>
  <c r="P47" i="507"/>
  <c r="O47" i="507" s="1"/>
  <c r="AB30" i="507"/>
  <c r="AA30" i="507" s="1"/>
  <c r="T37" i="507"/>
  <c r="S37" i="507" s="1"/>
  <c r="V54" i="507"/>
  <c r="U54" i="507" s="1"/>
  <c r="AA75" i="507"/>
  <c r="R62" i="507"/>
  <c r="Q62" i="507" s="1"/>
  <c r="H80" i="507"/>
  <c r="G80" i="507" s="1"/>
  <c r="F19" i="507"/>
  <c r="E19" i="507" s="1"/>
  <c r="F47" i="507"/>
  <c r="E47" i="507" s="1"/>
  <c r="N44" i="507"/>
  <c r="M44" i="507" s="1"/>
  <c r="P54" i="507"/>
  <c r="O54" i="507" s="1"/>
  <c r="V75" i="507"/>
  <c r="U75" i="507" s="1"/>
  <c r="T62" i="507"/>
  <c r="S62" i="507" s="1"/>
  <c r="T47" i="507"/>
  <c r="S47" i="507" s="1"/>
  <c r="N54" i="507"/>
  <c r="M54" i="507" s="1"/>
  <c r="Y75" i="507"/>
  <c r="L62" i="507"/>
  <c r="K62" i="507" s="1"/>
  <c r="L47" i="507"/>
  <c r="K47" i="507" s="1"/>
  <c r="R44" i="507"/>
  <c r="Q44" i="507" s="1"/>
  <c r="X37" i="507"/>
  <c r="W37" i="507" s="1"/>
  <c r="E75" i="507"/>
  <c r="H62" i="507"/>
  <c r="G62" i="507" s="1"/>
  <c r="R80" i="507"/>
  <c r="Q80" i="507" s="1"/>
  <c r="L33" i="507"/>
  <c r="K33" i="507" s="1"/>
  <c r="Z44" i="507"/>
  <c r="Y44" i="507" s="1"/>
  <c r="H54" i="507"/>
  <c r="G54" i="507" s="1"/>
  <c r="J62" i="507"/>
  <c r="I62" i="507" s="1"/>
  <c r="N80" i="507"/>
  <c r="M80" i="507" s="1"/>
  <c r="T33" i="507"/>
  <c r="S33" i="507" s="1"/>
  <c r="AB47" i="507"/>
  <c r="AA47" i="507" s="1"/>
  <c r="Z72" i="507"/>
  <c r="Y72" i="507" s="1"/>
  <c r="V80" i="507"/>
  <c r="U80" i="507" s="1"/>
  <c r="X33" i="507"/>
  <c r="W33" i="507" s="1"/>
  <c r="J47" i="507"/>
  <c r="I47" i="507" s="1"/>
  <c r="H44" i="507"/>
  <c r="G44" i="507" s="1"/>
  <c r="J72" i="507"/>
  <c r="I72" i="507" s="1"/>
  <c r="V47" i="507"/>
  <c r="U47" i="507" s="1"/>
  <c r="J44" i="507"/>
  <c r="I44" i="507" s="1"/>
  <c r="R72" i="507"/>
  <c r="Q72" i="507" s="1"/>
  <c r="H47" i="507"/>
  <c r="G47" i="507" s="1"/>
  <c r="F44" i="507"/>
  <c r="E44" i="507" s="1"/>
  <c r="X47" i="507"/>
  <c r="W47" i="507" s="1"/>
  <c r="T44" i="507"/>
  <c r="S44" i="507" s="1"/>
  <c r="N72" i="507"/>
  <c r="M72" i="507" s="1"/>
  <c r="H33" i="507"/>
  <c r="G33" i="507" s="1"/>
  <c r="O16" i="507"/>
  <c r="N33" i="507"/>
  <c r="M33" i="507" s="1"/>
  <c r="T71" i="507"/>
  <c r="P71" i="507"/>
  <c r="R71" i="507"/>
  <c r="H71" i="507"/>
  <c r="V71" i="507"/>
  <c r="L71" i="507"/>
  <c r="F71" i="507"/>
  <c r="X71" i="507"/>
  <c r="Z71" i="507"/>
  <c r="AB71" i="507"/>
  <c r="J71" i="507"/>
  <c r="N71" i="507"/>
  <c r="Z47" i="507"/>
  <c r="Y47" i="507" s="1"/>
  <c r="X44" i="507"/>
  <c r="W44" i="507" s="1"/>
  <c r="V72" i="507"/>
  <c r="U72" i="507" s="1"/>
  <c r="Y12" i="507"/>
  <c r="J33" i="507"/>
  <c r="I33" i="507" s="1"/>
  <c r="H41" i="507"/>
  <c r="G41" i="507" s="1"/>
  <c r="R47" i="507"/>
  <c r="Q47" i="507" s="1"/>
  <c r="V44" i="507"/>
  <c r="U44" i="507" s="1"/>
  <c r="F72" i="507"/>
  <c r="E72" i="507" s="1"/>
  <c r="G75" i="507"/>
  <c r="R75" i="507"/>
  <c r="Q75" i="507" s="1"/>
  <c r="I12" i="507"/>
  <c r="E16" i="507"/>
  <c r="F33" i="507"/>
  <c r="E33" i="507" s="1"/>
  <c r="X41" i="507"/>
  <c r="W41" i="507" s="1"/>
  <c r="N47" i="507"/>
  <c r="M47" i="507" s="1"/>
  <c r="L44" i="507"/>
  <c r="K44" i="507" s="1"/>
  <c r="G12" i="507"/>
  <c r="F80" i="507"/>
  <c r="E80" i="507" s="1"/>
  <c r="Q12" i="507"/>
  <c r="O12" i="507"/>
  <c r="N8" i="507"/>
  <c r="N15" i="507"/>
  <c r="AB15" i="507"/>
  <c r="Z15" i="507"/>
  <c r="F15" i="507"/>
  <c r="J15" i="507"/>
  <c r="P15" i="507"/>
  <c r="H15" i="507"/>
  <c r="X15" i="507"/>
  <c r="V15" i="507"/>
  <c r="R15" i="507"/>
  <c r="T15" i="507"/>
  <c r="L15" i="507"/>
  <c r="H19" i="507"/>
  <c r="G19" i="507" s="1"/>
  <c r="AB33" i="507"/>
  <c r="AA33" i="507" s="1"/>
  <c r="AB41" i="507"/>
  <c r="AA41" i="507" s="1"/>
  <c r="P44" i="507"/>
  <c r="O44" i="507" s="1"/>
  <c r="P72" i="507"/>
  <c r="O72" i="507" s="1"/>
  <c r="M16" i="507"/>
  <c r="R8" i="507"/>
  <c r="L19" i="507"/>
  <c r="K19" i="507" s="1"/>
  <c r="Z33" i="507"/>
  <c r="Y33" i="507" s="1"/>
  <c r="V41" i="507"/>
  <c r="U41" i="507" s="1"/>
  <c r="V30" i="507"/>
  <c r="U30" i="507" s="1"/>
  <c r="AB72" i="507"/>
  <c r="AA72" i="507" s="1"/>
  <c r="F528" i="57"/>
  <c r="H14" i="470" a="1"/>
  <c r="AC530" i="57"/>
  <c r="M1" i="506" a="1"/>
  <c r="M1" i="506" s="1"/>
  <c r="AB27" i="57"/>
  <c r="AC27" i="57" s="1"/>
  <c r="X531" i="57"/>
  <c r="J19" i="507"/>
  <c r="I19" i="507" s="1"/>
  <c r="R33" i="507"/>
  <c r="Q33" i="507" s="1"/>
  <c r="Z41" i="507"/>
  <c r="Y41" i="507" s="1"/>
  <c r="N30" i="507"/>
  <c r="M30" i="507" s="1"/>
  <c r="H37" i="507"/>
  <c r="G37" i="507" s="1"/>
  <c r="T72" i="507"/>
  <c r="S72" i="507" s="1"/>
  <c r="U12" i="507"/>
  <c r="X8" i="507"/>
  <c r="T8" i="507"/>
  <c r="I8" i="507"/>
  <c r="L79" i="507"/>
  <c r="AB79" i="507"/>
  <c r="T79" i="507"/>
  <c r="P79" i="507"/>
  <c r="F79" i="507"/>
  <c r="H79" i="507"/>
  <c r="N79" i="507"/>
  <c r="R79" i="507"/>
  <c r="V79" i="507"/>
  <c r="Z79" i="507"/>
  <c r="X79" i="507"/>
  <c r="J79" i="507"/>
  <c r="T19" i="507"/>
  <c r="S19" i="507" s="1"/>
  <c r="P33" i="507"/>
  <c r="O33" i="507" s="1"/>
  <c r="P41" i="507"/>
  <c r="O41" i="507" s="1"/>
  <c r="X30" i="507"/>
  <c r="W30" i="507" s="1"/>
  <c r="J37" i="507"/>
  <c r="I37" i="507" s="1"/>
  <c r="L54" i="507"/>
  <c r="K54" i="507" s="1"/>
  <c r="L72" i="507"/>
  <c r="K72" i="507" s="1"/>
  <c r="P75" i="507"/>
  <c r="O75" i="507" s="1"/>
  <c r="V33" i="507"/>
  <c r="U33" i="507" s="1"/>
  <c r="P19" i="507"/>
  <c r="O19" i="507" s="1"/>
  <c r="F41" i="507"/>
  <c r="E41" i="507" s="1"/>
  <c r="R30" i="507"/>
  <c r="Q30" i="507" s="1"/>
  <c r="F37" i="507"/>
  <c r="E37" i="507" s="1"/>
  <c r="T54" i="507"/>
  <c r="S54" i="507" s="1"/>
  <c r="H72" i="507"/>
  <c r="G72" i="507" s="1"/>
  <c r="AB8" i="507"/>
  <c r="F8" i="507"/>
  <c r="N62" i="507"/>
  <c r="M62" i="507" s="1"/>
  <c r="G519" i="57"/>
  <c r="N41" i="507"/>
  <c r="M41" i="507" s="1"/>
  <c r="R37" i="507"/>
  <c r="Q37" i="507" s="1"/>
  <c r="Z54" i="507"/>
  <c r="Y54" i="507" s="1"/>
  <c r="T85" i="507" l="1"/>
  <c r="D84" i="507"/>
  <c r="D91" i="507" s="1"/>
  <c r="T86" i="507"/>
  <c r="T84" i="507" s="1"/>
  <c r="S84" i="507" s="1"/>
  <c r="V86" i="507"/>
  <c r="X86" i="507"/>
  <c r="H85" i="507"/>
  <c r="R85" i="507"/>
  <c r="V85" i="507"/>
  <c r="V84" i="507" s="1"/>
  <c r="U84" i="507" s="1"/>
  <c r="L85" i="507"/>
  <c r="J86" i="507"/>
  <c r="J84" i="507" s="1"/>
  <c r="I84" i="507" s="1"/>
  <c r="P85" i="507"/>
  <c r="P86" i="507"/>
  <c r="X85" i="507"/>
  <c r="R86" i="507"/>
  <c r="AB85" i="507"/>
  <c r="F85" i="507"/>
  <c r="F84" i="507" s="1"/>
  <c r="E84" i="507" s="1"/>
  <c r="Z86" i="507"/>
  <c r="N85" i="507"/>
  <c r="Z85" i="507"/>
  <c r="Z84" i="507" s="1"/>
  <c r="Y84" i="507" s="1"/>
  <c r="H86" i="507"/>
  <c r="H84" i="507" s="1"/>
  <c r="G84" i="507" s="1"/>
  <c r="N86" i="507"/>
  <c r="AB86" i="507"/>
  <c r="L86" i="507"/>
  <c r="AC12" i="507"/>
  <c r="AC30" i="507"/>
  <c r="AC72" i="507"/>
  <c r="AC54" i="507"/>
  <c r="AC47" i="507"/>
  <c r="A14" i="507"/>
  <c r="AC19" i="507"/>
  <c r="AC75" i="507"/>
  <c r="AC62" i="507"/>
  <c r="AC37" i="507"/>
  <c r="AC41" i="507"/>
  <c r="I14" i="470"/>
  <c r="H14" i="470"/>
  <c r="M8" i="507"/>
  <c r="AC44" i="507"/>
  <c r="AA8" i="507"/>
  <c r="AC80" i="507"/>
  <c r="W8" i="507"/>
  <c r="AC16" i="507"/>
  <c r="E8" i="507"/>
  <c r="AC33" i="507"/>
  <c r="F529" i="57"/>
  <c r="G520" i="57"/>
  <c r="Q8" i="507"/>
  <c r="S8" i="507"/>
  <c r="X84" i="507" l="1"/>
  <c r="W84" i="507" s="1"/>
  <c r="AB84" i="507"/>
  <c r="AA84" i="507" s="1"/>
  <c r="L84" i="507"/>
  <c r="K84" i="507" s="1"/>
  <c r="N84" i="507"/>
  <c r="P84" i="507"/>
  <c r="R84" i="507"/>
  <c r="Q84" i="507" s="1"/>
  <c r="M84" i="507"/>
  <c r="N2" i="507"/>
  <c r="M14" i="507" s="1"/>
  <c r="N14" i="507" s="1"/>
  <c r="N88" i="507" s="1"/>
  <c r="M88" i="507" s="1"/>
  <c r="O84" i="507"/>
  <c r="P2" i="507"/>
  <c r="O14" i="507" s="1"/>
  <c r="P14" i="507" s="1"/>
  <c r="P88" i="507" s="1"/>
  <c r="O88" i="507" s="1"/>
  <c r="V2" i="507"/>
  <c r="U14" i="507" s="1"/>
  <c r="V14" i="507" s="1"/>
  <c r="V88" i="507" s="1"/>
  <c r="U88" i="507" s="1"/>
  <c r="AB2" i="507"/>
  <c r="AA14" i="507" s="1"/>
  <c r="AB14" i="507" s="1"/>
  <c r="AB88" i="507" s="1"/>
  <c r="AA88" i="507" s="1"/>
  <c r="T2" i="507"/>
  <c r="S14" i="507" s="1"/>
  <c r="T14" i="507" s="1"/>
  <c r="T88" i="507" s="1"/>
  <c r="S88" i="507" s="1"/>
  <c r="G521" i="57"/>
  <c r="H35" i="470"/>
  <c r="C14" i="470"/>
  <c r="F2" i="507"/>
  <c r="E14" i="507" s="1"/>
  <c r="J2" i="507"/>
  <c r="I14" i="507" s="1"/>
  <c r="J14" i="507" s="1"/>
  <c r="J88" i="507" s="1"/>
  <c r="I88" i="507" s="1"/>
  <c r="L2" i="507"/>
  <c r="K14" i="507" s="1"/>
  <c r="L14" i="507" s="1"/>
  <c r="L88" i="507" s="1"/>
  <c r="K88" i="507" s="1"/>
  <c r="AC8" i="507"/>
  <c r="Z2" i="507"/>
  <c r="Y14" i="507" s="1"/>
  <c r="Z14" i="507" s="1"/>
  <c r="Z88" i="507" s="1"/>
  <c r="Y88" i="507" s="1"/>
  <c r="X2" i="507"/>
  <c r="W14" i="507" s="1"/>
  <c r="X14" i="507" s="1"/>
  <c r="X88" i="507" s="1"/>
  <c r="W88" i="507" s="1"/>
  <c r="H2" i="507"/>
  <c r="G14" i="507" s="1"/>
  <c r="H14" i="507" s="1"/>
  <c r="H88" i="507" s="1"/>
  <c r="G88" i="507" s="1"/>
  <c r="AC84" i="507" l="1"/>
  <c r="R2" i="507"/>
  <c r="Q14" i="507" s="1"/>
  <c r="R14" i="507" s="1"/>
  <c r="R88" i="507" s="1"/>
  <c r="Q88" i="507" s="1"/>
  <c r="AC14" i="507"/>
  <c r="F14" i="507"/>
  <c r="F88" i="507" s="1"/>
  <c r="G522" i="57"/>
  <c r="G523" i="57" l="1"/>
  <c r="E88" i="507"/>
  <c r="F89" i="507"/>
  <c r="H89" i="507" l="1"/>
  <c r="E89" i="507"/>
  <c r="G524" i="57"/>
  <c r="G525" i="57" l="1"/>
  <c r="J89" i="507"/>
  <c r="G89" i="507"/>
  <c r="G526" i="57" l="1"/>
  <c r="I89" i="507"/>
  <c r="L89" i="507"/>
  <c r="N89" i="507" l="1"/>
  <c r="K89" i="507"/>
  <c r="G527" i="57"/>
  <c r="G528" i="57" l="1"/>
  <c r="M89" i="507"/>
  <c r="P89" i="507"/>
  <c r="O89" i="507" l="1"/>
  <c r="R89" i="507"/>
  <c r="G529" i="57"/>
  <c r="T89" i="507" l="1"/>
  <c r="Q89" i="507"/>
  <c r="V89" i="507" l="1"/>
  <c r="S89" i="507"/>
  <c r="X89" i="507" l="1"/>
  <c r="U89" i="507"/>
  <c r="W89" i="507" l="1"/>
  <c r="Z89" i="507"/>
  <c r="AB89" i="507" l="1"/>
  <c r="AA89" i="507" s="1"/>
  <c r="Y89" i="507"/>
  <c r="H419" i="57"/>
  <c r="I419" i="57" s="1"/>
  <c r="H420" i="57" l="1"/>
  <c r="I420" i="57" l="1"/>
  <c r="H421" i="57"/>
  <c r="H422" i="57" l="1"/>
  <c r="H423" i="57" l="1"/>
  <c r="H424" i="57" s="1"/>
  <c r="H425" i="57" l="1"/>
  <c r="H426" i="57" s="1"/>
  <c r="H427" i="57" s="1"/>
  <c r="H428" i="57" s="1"/>
  <c r="H429" i="57" s="1"/>
  <c r="H430" i="57" l="1"/>
  <c r="H431" i="57" l="1"/>
  <c r="H432" i="57" l="1"/>
  <c r="H433" i="57" l="1"/>
  <c r="H434" i="57" l="1"/>
  <c r="H435" i="57" l="1"/>
  <c r="H436" i="57" l="1"/>
  <c r="H437" i="57" l="1"/>
  <c r="H438" i="57" l="1"/>
  <c r="H439" i="57" l="1"/>
  <c r="H440" i="57" l="1"/>
  <c r="H441" i="57" l="1"/>
  <c r="H442" i="57" l="1"/>
  <c r="H443" i="57" l="1"/>
  <c r="H444" i="57" l="1"/>
  <c r="H445" i="57" l="1"/>
  <c r="H446" i="57" l="1"/>
  <c r="H447" i="57" l="1"/>
  <c r="H448" i="57" l="1"/>
  <c r="H449" i="57" l="1"/>
  <c r="H450" i="57" l="1"/>
  <c r="H451" i="57" l="1"/>
  <c r="H452" i="57" l="1"/>
  <c r="H453" i="57" l="1"/>
  <c r="H454" i="57" l="1"/>
  <c r="H455" i="57" l="1"/>
  <c r="H456" i="57" l="1"/>
  <c r="H457" i="57" l="1"/>
  <c r="H458" i="57" l="1"/>
  <c r="H459" i="57" l="1"/>
  <c r="H460" i="57" l="1"/>
  <c r="H461" i="57" l="1"/>
  <c r="H462" i="57" l="1"/>
  <c r="H463" i="57" l="1"/>
  <c r="H464" i="57" l="1"/>
  <c r="H465" i="57" l="1"/>
  <c r="H466" i="57" l="1"/>
  <c r="H467" i="57" l="1"/>
  <c r="H468" i="57" l="1"/>
  <c r="H469" i="57" l="1"/>
  <c r="H470" i="57" l="1"/>
  <c r="H471" i="57" l="1"/>
  <c r="H472" i="57" l="1"/>
  <c r="H473" i="57" l="1"/>
  <c r="H474" i="57" l="1"/>
  <c r="H475" i="57" l="1"/>
  <c r="H476" i="57" l="1"/>
  <c r="H477" i="57" l="1"/>
  <c r="H478" i="57" l="1"/>
  <c r="H479" i="57" l="1"/>
  <c r="H480" i="57" l="1"/>
  <c r="H481" i="57" l="1"/>
  <c r="H482" i="57" l="1"/>
  <c r="H483" i="57" l="1"/>
  <c r="H484" i="57" l="1"/>
  <c r="H485" i="57" l="1"/>
  <c r="H486" i="57" l="1"/>
  <c r="H487" i="57" l="1"/>
  <c r="H488" i="57" l="1"/>
  <c r="H489" i="57" l="1"/>
  <c r="H490" i="57" l="1"/>
  <c r="H491" i="57" l="1"/>
  <c r="H492" i="57" l="1"/>
  <c r="H493" i="57" l="1"/>
  <c r="H494" i="57" l="1"/>
  <c r="H495" i="57" l="1"/>
  <c r="H496" i="57" l="1"/>
  <c r="H497" i="57" l="1"/>
  <c r="H498" i="57" l="1"/>
  <c r="H499" i="57" l="1"/>
  <c r="H500" i="57" l="1"/>
  <c r="H501" i="57" l="1"/>
  <c r="H502" i="57" l="1"/>
  <c r="H503" i="57" l="1"/>
  <c r="H504" i="57" l="1"/>
  <c r="H505" i="57" l="1"/>
  <c r="H506" i="57" l="1"/>
  <c r="H507" i="57" l="1"/>
  <c r="H508" i="57" l="1"/>
  <c r="H509" i="57" l="1"/>
  <c r="H510" i="57" l="1"/>
  <c r="H511" i="57" l="1"/>
  <c r="H512" i="57" l="1"/>
  <c r="H513" i="57" l="1"/>
  <c r="H514" i="57" l="1"/>
  <c r="H515" i="57" l="1"/>
  <c r="H516" i="57" l="1"/>
  <c r="H517" i="57" l="1"/>
  <c r="H518" i="57" l="1"/>
  <c r="H519" i="57" l="1"/>
  <c r="H520" i="57" l="1"/>
  <c r="H521" i="57" l="1"/>
  <c r="H522" i="57" l="1"/>
  <c r="H523" i="57" l="1"/>
  <c r="H524" i="57" l="1"/>
  <c r="H525" i="57" l="1"/>
  <c r="H526" i="57" l="1"/>
  <c r="H527" i="57" l="1"/>
  <c r="H528" i="57" l="1"/>
  <c r="H529" i="57" l="1"/>
  <c r="I421" i="57"/>
  <c r="B421" i="57"/>
  <c r="B422" i="57" s="1"/>
  <c r="J421" i="57"/>
  <c r="L421" i="57" l="1"/>
  <c r="O421" i="57" s="1"/>
  <c r="J422" i="57"/>
  <c r="J423" i="57" s="1"/>
  <c r="J424" i="57" s="1"/>
  <c r="J425" i="57" s="1"/>
  <c r="I422" i="57"/>
  <c r="I423" i="57" s="1"/>
  <c r="I424" i="57" s="1"/>
  <c r="B423" i="57"/>
  <c r="L422" i="57" l="1"/>
  <c r="O422" i="57" s="1"/>
  <c r="I425" i="57"/>
  <c r="I426" i="57" s="1"/>
  <c r="I427" i="57" s="1"/>
  <c r="I428" i="57" s="1"/>
  <c r="I429" i="57" s="1"/>
  <c r="I430" i="57" s="1"/>
  <c r="I431" i="57" s="1"/>
  <c r="I432" i="57" s="1"/>
  <c r="I433" i="57" s="1"/>
  <c r="I434" i="57" s="1"/>
  <c r="I435" i="57" s="1"/>
  <c r="I436" i="57" s="1"/>
  <c r="I437" i="57" s="1"/>
  <c r="I438" i="57" s="1"/>
  <c r="I439" i="57" s="1"/>
  <c r="I440" i="57" s="1"/>
  <c r="I441" i="57" s="1"/>
  <c r="I442" i="57" s="1"/>
  <c r="I443" i="57" s="1"/>
  <c r="I444" i="57" s="1"/>
  <c r="I445" i="57" s="1"/>
  <c r="I446" i="57" s="1"/>
  <c r="I447" i="57" s="1"/>
  <c r="I448" i="57" s="1"/>
  <c r="I449" i="57" s="1"/>
  <c r="I450" i="57" s="1"/>
  <c r="I451" i="57" s="1"/>
  <c r="I452" i="57" s="1"/>
  <c r="I453" i="57" s="1"/>
  <c r="I454" i="57" s="1"/>
  <c r="I455" i="57" s="1"/>
  <c r="I456" i="57" s="1"/>
  <c r="I457" i="57" s="1"/>
  <c r="I458" i="57" s="1"/>
  <c r="I459" i="57" s="1"/>
  <c r="I460" i="57" s="1"/>
  <c r="I461" i="57" s="1"/>
  <c r="I462" i="57" s="1"/>
  <c r="I463" i="57" s="1"/>
  <c r="I464" i="57" s="1"/>
  <c r="I465" i="57" s="1"/>
  <c r="I466" i="57" s="1"/>
  <c r="I467" i="57" s="1"/>
  <c r="I468" i="57" s="1"/>
  <c r="I469" i="57" s="1"/>
  <c r="I470" i="57" s="1"/>
  <c r="I471" i="57" s="1"/>
  <c r="I472" i="57" s="1"/>
  <c r="I473" i="57" s="1"/>
  <c r="I474" i="57" s="1"/>
  <c r="I475" i="57" s="1"/>
  <c r="I476" i="57" s="1"/>
  <c r="I477" i="57" s="1"/>
  <c r="I478" i="57" s="1"/>
  <c r="I479" i="57" s="1"/>
  <c r="I480" i="57" s="1"/>
  <c r="I481" i="57" s="1"/>
  <c r="I482" i="57" s="1"/>
  <c r="I483" i="57" s="1"/>
  <c r="I484" i="57" s="1"/>
  <c r="I485" i="57" s="1"/>
  <c r="I486" i="57" s="1"/>
  <c r="I487" i="57" s="1"/>
  <c r="I488" i="57" s="1"/>
  <c r="I489" i="57" s="1"/>
  <c r="I490" i="57" s="1"/>
  <c r="I491" i="57" s="1"/>
  <c r="I492" i="57" s="1"/>
  <c r="I493" i="57" s="1"/>
  <c r="I494" i="57" s="1"/>
  <c r="I495" i="57" s="1"/>
  <c r="I496" i="57" s="1"/>
  <c r="I497" i="57" s="1"/>
  <c r="I498" i="57" s="1"/>
  <c r="I499" i="57" s="1"/>
  <c r="I500" i="57" s="1"/>
  <c r="I501" i="57" s="1"/>
  <c r="I502" i="57" s="1"/>
  <c r="I503" i="57" s="1"/>
  <c r="I504" i="57" s="1"/>
  <c r="I505" i="57" s="1"/>
  <c r="I506" i="57" s="1"/>
  <c r="I507" i="57" s="1"/>
  <c r="I508" i="57" s="1"/>
  <c r="I509" i="57" s="1"/>
  <c r="I510" i="57" s="1"/>
  <c r="I511" i="57" s="1"/>
  <c r="I512" i="57" s="1"/>
  <c r="I513" i="57" s="1"/>
  <c r="I514" i="57" s="1"/>
  <c r="I515" i="57" s="1"/>
  <c r="I516" i="57" s="1"/>
  <c r="I517" i="57" s="1"/>
  <c r="I518" i="57" s="1"/>
  <c r="I519" i="57" s="1"/>
  <c r="I520" i="57" s="1"/>
  <c r="I521" i="57" s="1"/>
  <c r="I522" i="57" s="1"/>
  <c r="I523" i="57" s="1"/>
  <c r="I524" i="57" s="1"/>
  <c r="I525" i="57" s="1"/>
  <c r="I526" i="57" s="1"/>
  <c r="I527" i="57" s="1"/>
  <c r="I528" i="57" s="1"/>
  <c r="I529" i="57" s="1"/>
  <c r="L423" i="57"/>
  <c r="O423" i="57" s="1"/>
  <c r="B424" i="57"/>
  <c r="L424" i="57" s="1"/>
  <c r="O424" i="57" s="1"/>
  <c r="J426" i="57"/>
  <c r="B425" i="57" l="1"/>
  <c r="L425" i="57" s="1"/>
  <c r="O425" i="57" s="1"/>
  <c r="J427" i="57"/>
  <c r="B426" i="57" l="1"/>
  <c r="B427" i="57" l="1"/>
  <c r="L427" i="57" s="1"/>
  <c r="O427" i="57" s="1"/>
  <c r="L426" i="57"/>
  <c r="O426" i="57" s="1"/>
  <c r="E28" i="637" l="1"/>
  <c r="B33" i="637"/>
  <c r="B29" i="637"/>
  <c r="C33" i="637"/>
  <c r="C29" i="637"/>
  <c r="E32" i="637"/>
  <c r="E30" i="637"/>
  <c r="C30" i="637"/>
  <c r="B30" i="637"/>
  <c r="B32" i="637"/>
  <c r="C32" i="637"/>
  <c r="E29" i="637"/>
  <c r="E31" i="637"/>
  <c r="B31" i="637"/>
  <c r="B28" i="637"/>
  <c r="C31" i="637"/>
  <c r="E33" i="637"/>
  <c r="C28" i="637"/>
  <c r="C34" i="637" l="1"/>
  <c r="C35" i="637" s="1"/>
  <c r="E34" i="637"/>
  <c r="E35" i="63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LEVANT" description="Conexão com a consulta 'LEVANT' na pasta de trabalho." type="5" refreshedVersion="0" background="1" saveData="1">
    <dbPr connection="Provider=Microsoft.Mashup.OleDb.1;Data Source=$Workbook$;Location=LEVANT;Extended Properties=&quot;&quot;" command="SELECT * FROM [LEVANT]"/>
  </connection>
  <connection id="2" xr16:uid="{00000000-0015-0000-FFFF-FFFF01000000}" keepAlive="1" name="Consulta - LEVANT (2)" description="Conexão com a consulta 'LEVANT (2)' na pasta de trabalho." type="5" refreshedVersion="0" background="1" saveData="1">
    <dbPr connection="Provider=Microsoft.Mashup.OleDb.1;Data Source=$Workbook$;Location=&quot;LEVANT (2)&quot;;Extended Properties=&quot;&quot;" command="SELECT * FROM [LEVANT (2)]"/>
  </connection>
  <connection id="3" xr16:uid="{23A1E43A-9894-426A-B7D7-D33E18DE3057}" keepAlive="1" name="Consulta - Tabela de pilar estrutural" description="Conexão com a consulta 'Tabela de pilar estrutural' na pasta de trabalho." type="5" refreshedVersion="0" background="1" saveData="1">
    <dbPr connection="Provider=Microsoft.Mashup.OleDb.1;Data Source=$Workbook$;Location=&quot;Tabela de pilar estrutural&quot;;Extended Properties=&quot;&quot;" command="SELECT * FROM [Tabela de pilar estrutura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<sst xmlns="http://schemas.openxmlformats.org/spreadsheetml/2006/main" count="86518" uniqueCount="44967">
  <si>
    <t>RELAÇÃO DE INSUMOS CDHU</t>
  </si>
  <si>
    <t>Total Planilha R$=</t>
  </si>
  <si>
    <t>Taxa BDI%=</t>
  </si>
  <si>
    <t>A taxa de BDI% deve ser alterada na guia Planilha - Célula H2</t>
  </si>
  <si>
    <t>Insumo</t>
  </si>
  <si>
    <t>Descrição</t>
  </si>
  <si>
    <t>Unid</t>
  </si>
  <si>
    <t>Taxa Enc. Sociais%=</t>
  </si>
  <si>
    <t>A taxa de L.S. deve ser alterada na guia Planilha - Célula H3</t>
  </si>
  <si>
    <t>B.01.000.010101</t>
  </si>
  <si>
    <t>Ajudante geral</t>
  </si>
  <si>
    <t>H</t>
  </si>
  <si>
    <t>Para alterar as Composições e Preços dos Serviços:</t>
  </si>
  <si>
    <t>B.01.000.010106</t>
  </si>
  <si>
    <t>Azulejista</t>
  </si>
  <si>
    <t>B.01.000.010109</t>
  </si>
  <si>
    <t>Esgoteiro/cavoqueiro</t>
  </si>
  <si>
    <t>B.01.000.010111</t>
  </si>
  <si>
    <t>Carpinteiro</t>
  </si>
  <si>
    <t>B.01.000.010112</t>
  </si>
  <si>
    <t>Ajudante de carpinteiro</t>
  </si>
  <si>
    <t>B.01.000.010115</t>
  </si>
  <si>
    <t>Eletricista</t>
  </si>
  <si>
    <t>B.01.000.010116</t>
  </si>
  <si>
    <t>Ajudante eletricista</t>
  </si>
  <si>
    <t>B.01.000.010117</t>
  </si>
  <si>
    <t>Eletrotécnico montador</t>
  </si>
  <si>
    <t>B.01.000.010118</t>
  </si>
  <si>
    <t>Encanador</t>
  </si>
  <si>
    <t>B.01.000.010119</t>
  </si>
  <si>
    <t>Ajudante de encanador</t>
  </si>
  <si>
    <t>B.01.000.010121</t>
  </si>
  <si>
    <t>Ferreiro/armador</t>
  </si>
  <si>
    <t>B.01.000.010122</t>
  </si>
  <si>
    <t>Ajudante de ferreiro</t>
  </si>
  <si>
    <t>B.01.000.010123</t>
  </si>
  <si>
    <t>Gesseiro</t>
  </si>
  <si>
    <t>B.01.000.010124</t>
  </si>
  <si>
    <t>Graniteiro</t>
  </si>
  <si>
    <t>B.01.000.010126</t>
  </si>
  <si>
    <t>Jardineiro</t>
  </si>
  <si>
    <t>B.01.000.010130</t>
  </si>
  <si>
    <t>Marceneiro</t>
  </si>
  <si>
    <t>B.01.000.010139</t>
  </si>
  <si>
    <t>Pedreiro</t>
  </si>
  <si>
    <t>B.01.000.010140</t>
  </si>
  <si>
    <t>Pintor</t>
  </si>
  <si>
    <t>B.01.000.010141</t>
  </si>
  <si>
    <t>Ajudante de pintor</t>
  </si>
  <si>
    <t>B.01.000.010142</t>
  </si>
  <si>
    <t>Poceiro</t>
  </si>
  <si>
    <t>B.01.000.010143</t>
  </si>
  <si>
    <t>Operador</t>
  </si>
  <si>
    <t>B.01.000.010144</t>
  </si>
  <si>
    <t>Serralheiro</t>
  </si>
  <si>
    <t>B.01.000.010145</t>
  </si>
  <si>
    <t>Ajudante serralheiro</t>
  </si>
  <si>
    <t>B.01.000.010146</t>
  </si>
  <si>
    <t>Servente</t>
  </si>
  <si>
    <t>B.01.000.010148</t>
  </si>
  <si>
    <t>Soldador</t>
  </si>
  <si>
    <t>B.01.000.010160</t>
  </si>
  <si>
    <t>Ajudante de topógrafo</t>
  </si>
  <si>
    <t>B.01.000.010185</t>
  </si>
  <si>
    <t>Topografo</t>
  </si>
  <si>
    <t>B.01.000.010186</t>
  </si>
  <si>
    <t>Vidraceiro</t>
  </si>
  <si>
    <t>B.01.000.010187</t>
  </si>
  <si>
    <t>Desenhista</t>
  </si>
  <si>
    <t>B.01.000.010195</t>
  </si>
  <si>
    <t>Ajudante de esgoteiro</t>
  </si>
  <si>
    <t>B.01.000.010197</t>
  </si>
  <si>
    <t>Oficial de eletrificação</t>
  </si>
  <si>
    <t>B.01.000.010198</t>
  </si>
  <si>
    <t>Técnico equipamentos informática</t>
  </si>
  <si>
    <t>B.01.000.010506</t>
  </si>
  <si>
    <t>Montador</t>
  </si>
  <si>
    <t>B.01.000.010507</t>
  </si>
  <si>
    <t>Montador eletromecânico</t>
  </si>
  <si>
    <t>B.01.000.020112</t>
  </si>
  <si>
    <t>Coordenador de projetos</t>
  </si>
  <si>
    <t>B.01.000.020113</t>
  </si>
  <si>
    <t>Arquiteto junior</t>
  </si>
  <si>
    <t>B.01.000.020114</t>
  </si>
  <si>
    <t>Arquiteto senior</t>
  </si>
  <si>
    <t>B.01.000.020115</t>
  </si>
  <si>
    <t>Engenheiro junior de civil</t>
  </si>
  <si>
    <t>B.01.000.020116</t>
  </si>
  <si>
    <t>Engenheiro junior de elétrica</t>
  </si>
  <si>
    <t>B.01.000.020117</t>
  </si>
  <si>
    <t>Engenheiro junior de mecânica</t>
  </si>
  <si>
    <t>B.01.000.020118</t>
  </si>
  <si>
    <t>Engenheiro senior de civil</t>
  </si>
  <si>
    <t>B.01.000.020119</t>
  </si>
  <si>
    <t>Engenheiro senior de elétrica</t>
  </si>
  <si>
    <t>B.01.000.020120</t>
  </si>
  <si>
    <t>Engenheiro senior de mecânica</t>
  </si>
  <si>
    <t>B.01.000.020121</t>
  </si>
  <si>
    <t>Projetista pleno - nível técnico</t>
  </si>
  <si>
    <t>B.01.000.020122</t>
  </si>
  <si>
    <t>Desenhista pleno/cadista</t>
  </si>
  <si>
    <t>A.02.000.070107</t>
  </si>
  <si>
    <t>Impressão colorida em papel sulfite A4</t>
  </si>
  <si>
    <t>UN</t>
  </si>
  <si>
    <t>A.02.000.070108</t>
  </si>
  <si>
    <t>Encadernação espiral até 100 folhas</t>
  </si>
  <si>
    <t>A.03.000.022111</t>
  </si>
  <si>
    <t>Taxa de mobilização e desmobilização de equipamentos para execução de estacas escavadas com injeção ou microestaca</t>
  </si>
  <si>
    <t>TX</t>
  </si>
  <si>
    <t>A.04.000.098083</t>
  </si>
  <si>
    <t>Taxa de mobilização e desmobilização de equipamentos para execução de rebaixamento de lençol freático</t>
  </si>
  <si>
    <t>A.04.000.098084</t>
  </si>
  <si>
    <t>Locação de conjunto de bombeamento a vácuo para rebaixamento de lençol freático, com até 50 ponteiras e potência até 15HP mínimo 30 dias</t>
  </si>
  <si>
    <t>CJxDI</t>
  </si>
  <si>
    <t>A.04.000.098085</t>
  </si>
  <si>
    <t>Ponteiras filtrantes até 5m de profundidades - instaladas</t>
  </si>
  <si>
    <t>A.05.000.020299</t>
  </si>
  <si>
    <t>Taxa de destinação de resíduo sólido em aterro, tipo inerte</t>
  </si>
  <si>
    <t>T</t>
  </si>
  <si>
    <t>A.05.000.020306</t>
  </si>
  <si>
    <t>Taxa de destinação de resíduo sólido em aterro, tipo solo/terra</t>
  </si>
  <si>
    <t>M3</t>
  </si>
  <si>
    <t>A.05.000.020358</t>
  </si>
  <si>
    <t>Remoção de entulho de obra, terra, alvenaria, concreto, argamassa, madeira, papel, plástico, metal, capacidade de 4m³</t>
  </si>
  <si>
    <t>A.05.000.020359</t>
  </si>
  <si>
    <t>Remoção de entulho de obra, material volumoso (mistura de alvenaria, terra, madeira, papel, plástico e metal), capacidade 4 m³</t>
  </si>
  <si>
    <t>A.05.000.020363</t>
  </si>
  <si>
    <t>A.05.000.020998</t>
  </si>
  <si>
    <t>Remoção de entulho de obra, material rejeitado (mistura de vegetação, isopor, manta asfáltica, lã de vidro), capacidade 4 m³</t>
  </si>
  <si>
    <t>A.05.000.020999</t>
  </si>
  <si>
    <t>Remoção de entulho de obra, gesso, dry wall, capacidade 4 m³</t>
  </si>
  <si>
    <t>A.05.000.021093</t>
  </si>
  <si>
    <t>Locação de duto coletor de entulho</t>
  </si>
  <si>
    <t>MXMES</t>
  </si>
  <si>
    <t>A.05.000.027014</t>
  </si>
  <si>
    <t>UNDIA</t>
  </si>
  <si>
    <t>A.05.000.047592</t>
  </si>
  <si>
    <t>Gerador a diesel carenado 150/136 kVA, variação de + ou - 5%, 380/220 V ou 220/127 V, 85dB a 1,5m, completo; ref. GMG 150 da Heimer ou equivalente</t>
  </si>
  <si>
    <t>A.05.000.066595</t>
  </si>
  <si>
    <t>Locação de bomba submersível monofásica, diâmetro de 2´ ou 3´, potência de 0,5CV até 3CV</t>
  </si>
  <si>
    <t>A.05.000.080110</t>
  </si>
  <si>
    <t>Balancim elétrico tipo plataforma de 3 m de comprimento, para transporte vertical, com cabo passante de 60m, com gancho, clips, sapatilhas, ponta de cabo, etc.</t>
  </si>
  <si>
    <t>UNMES</t>
  </si>
  <si>
    <t>A.05.000.080359</t>
  </si>
  <si>
    <t>GPS com receptor L1-L2 / RTK com base</t>
  </si>
  <si>
    <t>A.05.000.080373</t>
  </si>
  <si>
    <t>Plataforma articulada elétrica, autopropelida, com altura aproximada de 12,50m e capacidade para 227kg, ref. Z34/22 DC da Genie ou equivalente</t>
  </si>
  <si>
    <t>A.05.000.080374</t>
  </si>
  <si>
    <t>Plataforma articulada à diesel, autopropelida, com altura aproximada de 20m e capacidade para 227kg, ref. 600 AJ da JLG, Z60/34 RT da Genie ou equivalente</t>
  </si>
  <si>
    <t>A.06.000.027013</t>
  </si>
  <si>
    <t>Gás para soldagem tipo MIG, ref. Coogar 215 ou equivalente</t>
  </si>
  <si>
    <t>A.06.000.044680</t>
  </si>
  <si>
    <t>Óleo mineral para disjuntor e transformador</t>
  </si>
  <si>
    <t>L</t>
  </si>
  <si>
    <t>A.06.000.068502</t>
  </si>
  <si>
    <t>Cilindro de aço para gás GLP de 45kg com carga</t>
  </si>
  <si>
    <t>A.06.000.068550</t>
  </si>
  <si>
    <t>A.07.000.020350</t>
  </si>
  <si>
    <t>Taxa de mobilização e desmobilização de equipamentos para execução de sondagem rotativa</t>
  </si>
  <si>
    <t>A.07.000.020459</t>
  </si>
  <si>
    <t>Taxa de mobilização e desmobilização de equipamentos para execução de levantamento topográfico 100km</t>
  </si>
  <si>
    <t>A.07.000.020476</t>
  </si>
  <si>
    <t>Taxa de mobilização e desmobilização de equipamentos para execução de sondagem</t>
  </si>
  <si>
    <t>A.07.000.020483</t>
  </si>
  <si>
    <t>Sondagem a percussão, inclusive as peças gráficas e relatórios pertinentes mínimo de 30m</t>
  </si>
  <si>
    <t>M</t>
  </si>
  <si>
    <t>A.07.000.020484</t>
  </si>
  <si>
    <t>Sondagem rotativa em solo, inclusive as peças gráficas e relatórios pertinentes mínimo 30m</t>
  </si>
  <si>
    <t>A.07.000.020485</t>
  </si>
  <si>
    <t>Sondagem rotativa em rocha, inclusive as peças gráficas e relatórios pertinentes</t>
  </si>
  <si>
    <t>A.07.000.020486</t>
  </si>
  <si>
    <t>Sondagem a trado, inclusive as peças gráficas e relatórios pertinentes (não considerar os ensaios de solo) mínimo 30m</t>
  </si>
  <si>
    <t>A.07.000.020487</t>
  </si>
  <si>
    <t>Sondagem percussão com a utilização de torquímetro, inclusive peças gráficas e relatórios pertinentes mínimo 30m</t>
  </si>
  <si>
    <t>A.08.000.020000</t>
  </si>
  <si>
    <t>Taxa de mobilização e desmobilização de equipamentos para execução de estaca pré-moldada</t>
  </si>
  <si>
    <t>A.08.000.020001</t>
  </si>
  <si>
    <t>Estaca pré-moldada protendida cravada para 20t</t>
  </si>
  <si>
    <t>A.08.000.020002</t>
  </si>
  <si>
    <t>A.08.000.020003</t>
  </si>
  <si>
    <t>Estaca pré-moldada protendida cravada para 30t</t>
  </si>
  <si>
    <t>A.08.000.020004</t>
  </si>
  <si>
    <t>A.08.000.020005</t>
  </si>
  <si>
    <t>Estaca pré-moldada protendida cravada para 40t</t>
  </si>
  <si>
    <t>A.08.000.020006</t>
  </si>
  <si>
    <t>A.08.000.020007</t>
  </si>
  <si>
    <t>Estaca pré-moldada protendida cravada para 50t</t>
  </si>
  <si>
    <t>A.08.000.020008</t>
  </si>
  <si>
    <t>A.08.000.020009</t>
  </si>
  <si>
    <t>Estaca pré-moldada protendida cravada para 60t</t>
  </si>
  <si>
    <t>A.08.000.020010</t>
  </si>
  <si>
    <t>A.08.000.020109</t>
  </si>
  <si>
    <t>Taxa de mobilização e desmobilização de equipamentos para execução de estaca escavada</t>
  </si>
  <si>
    <t>A.08.000.020110</t>
  </si>
  <si>
    <t>Taxa de mobilização e desmobilização de equipamentos para execução de estaca tipo Strauss</t>
  </si>
  <si>
    <t>A.08.000.020111</t>
  </si>
  <si>
    <t>Taxa de mobilização e desmobilização de equipamentos para execução de estaca tipo Raiz em solo</t>
  </si>
  <si>
    <t>A.08.000.020112</t>
  </si>
  <si>
    <t>Taxa de mobilização e desmobilização de equipamentos para execução de tubulão escavado mecanicamente</t>
  </si>
  <si>
    <t>A.08.000.020117</t>
  </si>
  <si>
    <t>Estaca tipo Strauss, diâmetro de 25 cm até 20 t</t>
  </si>
  <si>
    <t>A.08.000.020118</t>
  </si>
  <si>
    <t>Estaca tipo Strauss, diâmetro de 32 cm até 30 t</t>
  </si>
  <si>
    <t>A.08.000.020119</t>
  </si>
  <si>
    <t>Estaca tipo Strauss, diâmetro de 38 cm até 40 t</t>
  </si>
  <si>
    <t>A.08.000.020129</t>
  </si>
  <si>
    <t>Perfil de ferro soldado ´I´ de 12´</t>
  </si>
  <si>
    <t>KG</t>
  </si>
  <si>
    <t>A.08.000.020130</t>
  </si>
  <si>
    <t>Abertura de fuste mecanizado diâmetro 50 cm</t>
  </si>
  <si>
    <t>A.08.000.020131</t>
  </si>
  <si>
    <t>Abertura de fuste mecanizado diâmetro 60 cm</t>
  </si>
  <si>
    <t>A.08.000.020132</t>
  </si>
  <si>
    <t>Abertura de fuste mecanizado diâmetro 80 cm</t>
  </si>
  <si>
    <t>A.08.000.020137</t>
  </si>
  <si>
    <t>Taxa de mobilização e desmobilização de equipamentos para execução de estaca tipo hélice contínua em solo</t>
  </si>
  <si>
    <t>A.08.000.020138</t>
  </si>
  <si>
    <t>Estaca tipo hélice contínua, diâmetro de 35 cm em solo</t>
  </si>
  <si>
    <t>A.08.000.020139</t>
  </si>
  <si>
    <t>Estaca tipo hélice contínua, diâmetro de 60 cm em solo</t>
  </si>
  <si>
    <t>A.08.000.020143</t>
  </si>
  <si>
    <t>Estaca tipo hélice contínua, diâmetro de 30 cm em solo</t>
  </si>
  <si>
    <t>A.08.000.020144</t>
  </si>
  <si>
    <t>Estaca escavada mecanicamente, diâmetro de 25 cm até 20 t</t>
  </si>
  <si>
    <t>A.08.000.020145</t>
  </si>
  <si>
    <t>Estaca escavada mecanicamente, diâmetro de 30 cm até 30 t</t>
  </si>
  <si>
    <t>A.08.000.020146</t>
  </si>
  <si>
    <t>Estaca escavada mecanicamente, diâmetro de 35 cm até 40 t</t>
  </si>
  <si>
    <t>A.08.000.020147</t>
  </si>
  <si>
    <t>Estaca escavada mecanicamente, diâmetro de 40 cm até 50 t</t>
  </si>
  <si>
    <t>A.08.000.020150</t>
  </si>
  <si>
    <t>Estaca tipo hélice contínua, diâmetro de 25 cm em solo</t>
  </si>
  <si>
    <t>A.08.000.020154</t>
  </si>
  <si>
    <t>Estaca tipo hélice contínua, diâmetro de 40 cm em solo</t>
  </si>
  <si>
    <t>A.08.000.020161</t>
  </si>
  <si>
    <t>Estaca tipo hélice contínua, diâmetro de 50 cm em solo</t>
  </si>
  <si>
    <t>A.08.000.020162</t>
  </si>
  <si>
    <t>Estaca tipo hélice contínua, diâmetro de 80 cm em solo</t>
  </si>
  <si>
    <t>A.08.000.020216</t>
  </si>
  <si>
    <t>Estaca tipo Strauss, diâmetro de 45 cm até 60 t</t>
  </si>
  <si>
    <t>A.08.000.020220</t>
  </si>
  <si>
    <t>Estaca tipo hélice contínua, diâmetro de 70 cm em solo</t>
  </si>
  <si>
    <t>A.08.000.020251</t>
  </si>
  <si>
    <t>Taxa de mobilização e desmobilização de equipamentos para execução de estaca tipo Raiz em rocha</t>
  </si>
  <si>
    <t>A.08.000.020260</t>
  </si>
  <si>
    <t>Estaca tipo Raiz, diâmetro 10cm para 10t, em solo</t>
  </si>
  <si>
    <t>A.08.000.020261</t>
  </si>
  <si>
    <t>Estaca tipo Raiz, diâmetro 31cm para 100t, em solo</t>
  </si>
  <si>
    <t>A.08.000.020262</t>
  </si>
  <si>
    <t>Estaca tipo Raiz, diâmetro 40cm para 130t, em solo</t>
  </si>
  <si>
    <t>A.08.000.020263</t>
  </si>
  <si>
    <t>Estaca tipo Raiz, diâmetro 12cm para 15t, em solo</t>
  </si>
  <si>
    <t>A.08.000.020265</t>
  </si>
  <si>
    <t>Estaca tipo Raiz, diâmetro 15cm para 25t, em solo</t>
  </si>
  <si>
    <t>A.08.000.020266</t>
  </si>
  <si>
    <t>Estaca tipo Raiz, diâmetro 16cm para 35t, em solo</t>
  </si>
  <si>
    <t>A.08.000.020267</t>
  </si>
  <si>
    <t>Estaca tipo Raiz, diâmetro 20cm para 50t, em solo</t>
  </si>
  <si>
    <t>A.08.000.020268</t>
  </si>
  <si>
    <t>Estaca tipo Raiz, diâmetro 25cm para 80t, em solo</t>
  </si>
  <si>
    <t>A.08.000.020271</t>
  </si>
  <si>
    <t>Estaca tipo Raiz, diâmetro de 45cm, sem armação, em solo</t>
  </si>
  <si>
    <t>A.08.000.020272</t>
  </si>
  <si>
    <t>Estaca tipo Raiz, diâmetro de 31cm, sem armação, em rocha</t>
  </si>
  <si>
    <t>A.08.000.020273</t>
  </si>
  <si>
    <t>Estaca tipo Raiz, diâmetro de 41cm, sem armação, em rocha</t>
  </si>
  <si>
    <t>A.08.000.020274</t>
  </si>
  <si>
    <t>Estaca tipo Raiz, diâmetro de 45cm, sem armação, em rocha</t>
  </si>
  <si>
    <t>A.08.000.020276</t>
  </si>
  <si>
    <t>Injeção de argamassa de cimento e areia em estaca raiz - sem fornecimento de materiais</t>
  </si>
  <si>
    <t>A.08.000.022106</t>
  </si>
  <si>
    <t>Estaca escavada com injeção ou microestaca, diâmetro de 16 cm</t>
  </si>
  <si>
    <t>A.08.000.022107</t>
  </si>
  <si>
    <t>Estaca escavada com injeção ou microestaca, diâmetro de 20 cm</t>
  </si>
  <si>
    <t>A.08.000.022108</t>
  </si>
  <si>
    <t>Estaca escavada com injeção ou microestaca, diâmetro de 25 cm</t>
  </si>
  <si>
    <t>A.09.000.020393</t>
  </si>
  <si>
    <t>Tubo de aço preto liso calandrado, para revestimento interno de poço profundo, diâmetro de 16" (406,40 mm), espessura de 3/16" (4,75 mm) com solda - fornecimento e aplicação</t>
  </si>
  <si>
    <t>A.09.000.020394</t>
  </si>
  <si>
    <t>Filtro espiralado em aço galvanizado simples (Standard) para poço profundo, diâmetro 6" (152,40 mm)</t>
  </si>
  <si>
    <t>A.09.000.020405</t>
  </si>
  <si>
    <t>Desinfecção de poço profundo</t>
  </si>
  <si>
    <t>A.09.000.020406</t>
  </si>
  <si>
    <t>Cimentação de boca do poço profundo, entre perfuração de maior diâmetro (cimentação do espaço anular)</t>
  </si>
  <si>
    <t>A.09.000.020408</t>
  </si>
  <si>
    <t>Ensaio de vazão (bombeamento) para poço profundo, com bomba submersa, conforme Norma ABNT NBR 12244</t>
  </si>
  <si>
    <t>A.09.000.020411</t>
  </si>
  <si>
    <t>Filtro em aço galvanizado tipo NOLD para poço profundo, diâmetro 6" (150 mm) - fornecimento e aplicação</t>
  </si>
  <si>
    <t>A.09.000.020413</t>
  </si>
  <si>
    <t>Limpeza e desenvolvimento de poço profundo com ar ou bomba submersível</t>
  </si>
  <si>
    <t>A.09.000.020414</t>
  </si>
  <si>
    <t>Perfuração rotativa para poço profundo em aluvião, arenito ou solos sedimentados em geral, diâmetro de 14" (350 mm)</t>
  </si>
  <si>
    <t>A.09.000.020415</t>
  </si>
  <si>
    <t>Perfuração rotativa para poço profundo em aluvião, arenito ou solos sedimentados em geral, diâmetro de 16" (400 mm)</t>
  </si>
  <si>
    <t>A.09.000.020416</t>
  </si>
  <si>
    <t>Perfuração rotativa para poço profundo em aluvião, arenito ou solos sedimentados em geral, diâmetro de 18" (450 mm)</t>
  </si>
  <si>
    <t>A.09.000.020417</t>
  </si>
  <si>
    <t>Perfuração rotativa para poço profundo em aluvião, arenito ou solos sedimentados em geral, diâmetro de 10" (250 mm)</t>
  </si>
  <si>
    <t>A.09.000.020418</t>
  </si>
  <si>
    <t>Perfuração rotativa para poço profundo em aluvião, arenito ou solos sedimentados em geral, diâmetro de 12" (300 mm)</t>
  </si>
  <si>
    <t>A.09.000.020419</t>
  </si>
  <si>
    <t>Perfuração para poço profundo em rocha alterada (basalto alterado) em geral, diâmetro de 8" (200 mm)</t>
  </si>
  <si>
    <t>A.09.000.020420</t>
  </si>
  <si>
    <t>Perfuração para poço profundo em rocha alterada (basalto alterado) em geral, diâmetro de 10" (250 mm)</t>
  </si>
  <si>
    <t>A.09.000.020421</t>
  </si>
  <si>
    <t>Perfuração para poço profundo em rocha alterada (basalto alterado) em geral, diâmetro de 12" (300 mm)</t>
  </si>
  <si>
    <t>A.09.000.020422</t>
  </si>
  <si>
    <t>Perfuração roto-pneumática para poço profundo em rocha sã (basalto), diâmetro de 6" (150 mm)</t>
  </si>
  <si>
    <t>A.09.000.020423</t>
  </si>
  <si>
    <t>Perfuração roto-pneumática para poço profundo em rocha sã (basalto), diâmetro de 8" (200 mm)</t>
  </si>
  <si>
    <t>A.09.000.020424</t>
  </si>
  <si>
    <t>Perfuração roto-pneumática para poço profundo em rocha sã (basalto), diâmetro de 10" (250 mm)</t>
  </si>
  <si>
    <t>A.09.000.020428</t>
  </si>
  <si>
    <t>Taxa de mobilização e desmobilização de equipamentos para execução de bombeamento, limpeza, desenvolvimento e teste de vazão</t>
  </si>
  <si>
    <t>A.09.000.020429</t>
  </si>
  <si>
    <t>Taxa de mobilização e desmobilização de equipamentos para execução de perfuração para poço profundo - profundidade até 200 m</t>
  </si>
  <si>
    <t>A.09.000.020430</t>
  </si>
  <si>
    <t>Tubo em chapa de aço 3/16", diâmetro de 12", para revestimento interno de poço profundo - fornecimento e aplicação (tubo sanitário)</t>
  </si>
  <si>
    <t>A.09.000.020431</t>
  </si>
  <si>
    <t>Tubo em chapa de aço 3/16", diâmetro de 14", para revestimento interno de poço profundo - fornecimento e aplicação (tubo sanitário)</t>
  </si>
  <si>
    <t>A.09.000.020432</t>
  </si>
  <si>
    <t>Tubo em chapa de aço 3/16", diâmetro de 16", para revestimento interno de poço profundo - fornecimento e aplicação</t>
  </si>
  <si>
    <t>A.09.000.020433</t>
  </si>
  <si>
    <t>Tubo preto DIN 2440 para revestimento interno de poço profundo, diâmetro de 6" (150 mm) - fornecimento e aplicação</t>
  </si>
  <si>
    <t>A.09.000.020434</t>
  </si>
  <si>
    <t>Tubo preto DIN 2440 para revestimento interno de poço profundo, diâmetro de 8" (200 mm) - fornecimento e aplicação</t>
  </si>
  <si>
    <t>A.09.000.020442</t>
  </si>
  <si>
    <t>Perfuração rotativa para poço profundo em aluvião, arenito ou solos sedimentados em geral, diâmetro de 26" (650 mm)</t>
  </si>
  <si>
    <t>A.09.000.020443</t>
  </si>
  <si>
    <t>Perfuração roto-pneumática para poço profundo em rocha sã (basalto), diâmetro de 12" (300 mm)</t>
  </si>
  <si>
    <t>A.09.000.020444</t>
  </si>
  <si>
    <t>Perfuração rotativa para poço profundo em aluvião, arenito ou solos sedimentados em geral, diâmetro de 20" (500 mm)</t>
  </si>
  <si>
    <t>A.09.000.020445</t>
  </si>
  <si>
    <t>Perfuração roto-pneumática para poço profundo em rocha sã (basalto), diâmetro de 18" (450 mm)</t>
  </si>
  <si>
    <t>A.09.000.020447</t>
  </si>
  <si>
    <t>Filtro PVC geomecânico nervurado tipo Standard para poço profundo, diâmetro 6" (150 mm) - fornecimento e aplicação</t>
  </si>
  <si>
    <t>A.09.000.020448</t>
  </si>
  <si>
    <t>Pré-filtro tipo Jacareí (pedrisco arestado tipo 1,5/3,0 mm) - fornecimento e aplicação</t>
  </si>
  <si>
    <t>A.09.000.020449</t>
  </si>
  <si>
    <t>Tubo em PVC geomecânico nervurado tipo Standard, diâmetro 6" (150 mm) - fornecimento e aplicação</t>
  </si>
  <si>
    <t>A.09.000.020452</t>
  </si>
  <si>
    <t>Filtro PVC geomecânico nervurado tipo reforçado para poço profundo, diâmetro 8" (200 mm) - fornecimento e aplicação</t>
  </si>
  <si>
    <t>A.09.000.020453</t>
  </si>
  <si>
    <t>Tubo em PVC geomecânico nervurado tipo reforçado, diâmetro 8" (200 mm) - fornecimento e aplicação</t>
  </si>
  <si>
    <t>A.09.000.020454</t>
  </si>
  <si>
    <t>Perfuração rotativa para poço profundo em rocha sã (basalto), diâmetro de 14" (350 mm)</t>
  </si>
  <si>
    <t>A.09.000.020473</t>
  </si>
  <si>
    <t>Taxa de mobilização e desmobilização de equipamentos para execução de perfuração para poço profundo - profundidade acima de 300 m</t>
  </si>
  <si>
    <t>A.09.000.020478</t>
  </si>
  <si>
    <t>Taxa de mobilização e desmobilização de equipamentos para execução de perfuração para poço profundo - profundidade acima de 200 m e até 300 m</t>
  </si>
  <si>
    <t>A.09.000.020496</t>
  </si>
  <si>
    <t>Perfuração rotativa para poço profundo em aluvião, arenito ou solos sedimentados em geral, diâmetro de 22" (550 mm)</t>
  </si>
  <si>
    <t>A.09.000.020497</t>
  </si>
  <si>
    <t>Perfuração roto-pneumática para poço profundo em rocha sã (basalto), diâmetro de 14" (350 mm)</t>
  </si>
  <si>
    <t>A.09.000.020500</t>
  </si>
  <si>
    <t>Tubo em chapa de aço 3/16", para revestimento da boca de poço profundo, diâmetro 20" (508 mm) - fornecimento e aplicação</t>
  </si>
  <si>
    <t>A.09.000.020506</t>
  </si>
  <si>
    <t>Licença de perfuração para poço profundo conforme Portaria DAEE nº 1.630 de 30/05/2017  e suas complementares 1.631 a 1.635 e Instrução Técnica DPO nº 10 de 30/05/2017 do DAEE</t>
  </si>
  <si>
    <t>A.09.000.020507</t>
  </si>
  <si>
    <t>Outorga de direito de uso para poço profundo conforme Portaria DAEE nº 1.630 de 30/05/2017 e suas complementares 1.631 a 1.635 e Instrução Técnica DPO nº 10 de 30/05/2017 do DAEE</t>
  </si>
  <si>
    <t>A.09.000.020897</t>
  </si>
  <si>
    <t>Perfuração rotativa para poço profundo em camadas de solos sedimentares, diâmetro de 8.1/2" (215,90 mm)</t>
  </si>
  <si>
    <t>A.09.000.020898</t>
  </si>
  <si>
    <t>Tubo liso em aço galvanizado conforme norma ABNT NBR 5590, espessura de 1/4" (6,35 mm), diâmetro de 6" (152,40 mm), união solda - fornecimento e aplicação</t>
  </si>
  <si>
    <t>A.09.000.020899</t>
  </si>
  <si>
    <t>Filtro espiralado em aço galvanizado tipo reforçado para poço profundo, diâmetro de 6" (152,40 mm) - fornecimento e aplicação</t>
  </si>
  <si>
    <t>A.09.000.020900</t>
  </si>
  <si>
    <t>Perfuração rotativa para poço profundo em solos e/ou rocha metassedimentar alterada em geral, diâmetro de 20" (508 mm)</t>
  </si>
  <si>
    <t>A.09.000.020901</t>
  </si>
  <si>
    <t>Perfuração roto-pneumática para poço profundo em rocha metassedimentar em geral, diâmetro de 12.1/4" (311,15 mm)</t>
  </si>
  <si>
    <t>A.09.000.020902</t>
  </si>
  <si>
    <t>Tubo de aço preto, com costura (soldado), para revestimento interno de poço profundo, diâmetro de 6" (152,40 mm), espessura de 1/4" (6,35 mm) - fornecimento e aplicação</t>
  </si>
  <si>
    <t>A.09.000.020925</t>
  </si>
  <si>
    <t>Filtro espiralado em aço inoxidável tipo reforçado para poço profundo, diâmetro de 6" (152,40 mm) - fornecimento e aplicação</t>
  </si>
  <si>
    <t>A.09.000.020926</t>
  </si>
  <si>
    <t>Centralizador de coluna para poço profundo, diâmetro de 4´ ou 6´ - fornecimento e aplicação</t>
  </si>
  <si>
    <t>A.09.000.020927</t>
  </si>
  <si>
    <t>Ensaio de vazão escalonado para poço profundo, conforme Norma ABNT NBR 12244</t>
  </si>
  <si>
    <t>A.09.000.020928</t>
  </si>
  <si>
    <t>Ensaio de recuperação de nível para poço profundo, conforme Norma ABNT NBR 12244</t>
  </si>
  <si>
    <t>A.09.000.020929</t>
  </si>
  <si>
    <t>Lacre do poço profundo (tampa), conforme Instrução Técnica DPO nº 10 de 30/05/2017 do DAEE - fornecimento e aplicação</t>
  </si>
  <si>
    <t>A.09.000.020930</t>
  </si>
  <si>
    <t>Parecer técnico junto a CETESB conforme critérios específicos determinados na Instrução Técnica DPO nº 10 de 30/05/2017 do DAEE</t>
  </si>
  <si>
    <t>A.09.000.090378</t>
  </si>
  <si>
    <t>Pré-filtro tipo Pérola (seixos selecionados tipo 1,0/2,0 mm) - fornecimento e aplicação</t>
  </si>
  <si>
    <t>A.09.000.090380</t>
  </si>
  <si>
    <t>Perfilagem elétrica de poço profundo com perfil raio gama</t>
  </si>
  <si>
    <t>A.09.000.090429</t>
  </si>
  <si>
    <t>Perfilagem ótica (filmagem / endoscopia) de poço profundo</t>
  </si>
  <si>
    <t>A.10.000.012114</t>
  </si>
  <si>
    <t>Realimentador automático de 1', ref. fabricação Acqua Save ou equivalente</t>
  </si>
  <si>
    <t>A.10.000.012115</t>
  </si>
  <si>
    <t>Sifão ladrão em polietileno para extravasão, diâmetro de 100mm, ref. fabricação Acqua Save ou equivalente</t>
  </si>
  <si>
    <t>A.10.000.066607</t>
  </si>
  <si>
    <t>Peneira estática em poliéster reforçado de fibra de vidro (PRFV) com tela de aço inoxidável AISI 304, malha de 1,5 mm, vazão de 50 l/s; ref. PE-03 da SanecomFibra ou equivalente</t>
  </si>
  <si>
    <t>CJ</t>
  </si>
  <si>
    <t>A.10.000.092000</t>
  </si>
  <si>
    <t>Análises químicas laboratoriais em amostra de efluente, conforme CONAMA 357 de 2005 - Artigos 10 e 15 (Água Doce - Classe II), exigências CETESB e para tratamento de fósforo e nitrogênio</t>
  </si>
  <si>
    <t>A.10.000.092001</t>
  </si>
  <si>
    <t>Análises químicas laboratoriais em amostra de efluente, conforme CONAMA 357 de 2005 (Água Doce - Classe II)</t>
  </si>
  <si>
    <t>A.10.000.092210</t>
  </si>
  <si>
    <t>Medidor vazão "Parshall" em fibra de vidro, garganta W= 3´ com régua medidora, conforme Norma ASTM D-1941, ref. SanecomFibra, Caldefiber, Werjen ou equivalente</t>
  </si>
  <si>
    <t>A.11.000.020364</t>
  </si>
  <si>
    <t>Locação de escoramento tubular metálico (pontual ou em quadros)</t>
  </si>
  <si>
    <t>KGMES</t>
  </si>
  <si>
    <t>A.11.000.020376</t>
  </si>
  <si>
    <t>Locação de quadros metálicos para plataforma de proteção perimetral, com lateral inclinada de 45°, largura 2,05+0,80m (desenvolvida)</t>
  </si>
  <si>
    <t>A.12.000.021081</t>
  </si>
  <si>
    <t>Container guarita, módulo metálico aço galvanizado 2,00x2,30m ou 2,30x2,30m, vão livre, forro térmico, piso concreto, cimentado, madeira ou material equivalente</t>
  </si>
  <si>
    <t>A.12.000.021097</t>
  </si>
  <si>
    <t>Container alojamento, módulo metálico em aço galvanizado de 6,0x2,3x1,5m, vão livre, piso de concreto, cimentado, madeira ou material equivalente</t>
  </si>
  <si>
    <t>A.12.000.021098</t>
  </si>
  <si>
    <t>Container sanitário, módulo aço galvanizado, 2 vasos sanitários, 2 lavatórios/calha e 2 mictórios/calha, 4 pontos para chuveiro, piso impermeável e antiderrapante</t>
  </si>
  <si>
    <t>A.12.000.021099</t>
  </si>
  <si>
    <t>Container depósito, módulo metálico em aço galvanizado de 6,0x2,3x2,5m, vão livre, piso de concreto, cimentado, madeira ou material equivalente</t>
  </si>
  <si>
    <t>A.12.000.021100</t>
  </si>
  <si>
    <t>Container escritório com WC, em aço galvanizado, piso compensado naval (escritório), 1 vaso sanitário, 1 lavatório, 1 ponto para chuveiro, piso impermeável e antiderrapante (WC)</t>
  </si>
  <si>
    <t>A.13.000.020661</t>
  </si>
  <si>
    <t>A.14.000.038043</t>
  </si>
  <si>
    <t>Saco de ráfia - capacidade 50 kg - dimensões (60 x 90)cm</t>
  </si>
  <si>
    <t>A.14.000.081900</t>
  </si>
  <si>
    <t>Banheiro químico, modelo Standard, com limpeza 1 vez por semana e descarte conforme exigências da CETESB</t>
  </si>
  <si>
    <t>B.02.000.020508</t>
  </si>
  <si>
    <t>Cimento CPII-E-32 (sacos de 50 kg)</t>
  </si>
  <si>
    <t>B.02.000.020509</t>
  </si>
  <si>
    <t>Cimento branco comum (sacos de 20 kg)</t>
  </si>
  <si>
    <t>B.02.000.020529</t>
  </si>
  <si>
    <t>Massa (só material) cor marfim, Classic Spray HD da Argamont ou equivalente</t>
  </si>
  <si>
    <t>B.02.000.026680</t>
  </si>
  <si>
    <t>B.02.000.028016</t>
  </si>
  <si>
    <t>B.02.000.034597</t>
  </si>
  <si>
    <t>Argamassa com resistência química, térmica e vibração, para áreas com altas temperaturas até 300°C, ref. Argamassa Kitchen ou equivalente</t>
  </si>
  <si>
    <t>B.02.000.037043</t>
  </si>
  <si>
    <t>Massa para vidro comum branca e/ou cinza</t>
  </si>
  <si>
    <t>B.02.000.037501</t>
  </si>
  <si>
    <t>Massa plástica para mármore e granito</t>
  </si>
  <si>
    <t>B.02.000.038504</t>
  </si>
  <si>
    <t>Argamassa polimérica do tipo Anchortec Anchormassa S2 da Fosroc, Denvertec 700 da Denver, ou equivalente</t>
  </si>
  <si>
    <t>B.02.000.039024</t>
  </si>
  <si>
    <t>Argamassa polimérica impermeabilizante, referência Sikatop 100, Tec Plus Top da Quartzolit Weber ou equivalente</t>
  </si>
  <si>
    <t>B.02.000.039026</t>
  </si>
  <si>
    <t>Impermeabilização em membrana à base de resina termoplástica e cimentos aditivados com reforço em tela poliéster; ref. Viaplus 5000 da Viapol ou equivalente</t>
  </si>
  <si>
    <t>B.02.000.039027</t>
  </si>
  <si>
    <t>Rejunte flexível cores diversas, para áreas interna e externa, pisos e paredes, juntas de 2 a 10 mm</t>
  </si>
  <si>
    <t>B.02.000.039028</t>
  </si>
  <si>
    <t>Rejunte antiácido bicomponente, à base de resina furânica, para rejuntamento de placas cerâmicas anticorrosivas, ref. comercial Resilit FN da Resinar, rejunte furânico da Gail ou equivalente</t>
  </si>
  <si>
    <t>B.02.000.039031</t>
  </si>
  <si>
    <t>Argamassa colante industrializada para assentamento, uso interno, tipo AC-I, conforme NBR 14081</t>
  </si>
  <si>
    <t>B.02.000.039032</t>
  </si>
  <si>
    <t>Argamassa colante industrializada flexível, para assentamento de placas cerâmicas em áreas internas e externas, tipo AC-II, conforme NBR 14081, ref. comercial Ligamax Gold Extra fabricante Eliane ou equivalente</t>
  </si>
  <si>
    <t>B.02.000.039033</t>
  </si>
  <si>
    <t>Argamassa industrializada colorida, para assentamento e rejuntamento de pastilhas cerâmicas, porcelana/vidro, bloco de vidro, interno e externo, e= 3 a 6 mm</t>
  </si>
  <si>
    <t>B.02.000.039041</t>
  </si>
  <si>
    <t>Rejunte sintético anticorrosivo tricomponente, à base de resina epóxi, para rejuntamento de placas cerâmicas antiácidas de uso industrial, ref. comercial Resilit E da Resinar, Rejunte Epóxi Anticorrosivo da Gail ou equivalente</t>
  </si>
  <si>
    <t>B.02.000.039042</t>
  </si>
  <si>
    <t>Argamassa química bicomponente, alta resistência química, térmicas e vibrações, Argamassa AC-III-E da Gail</t>
  </si>
  <si>
    <t>B.02.000.039043</t>
  </si>
  <si>
    <t>Rejunte anticorrosivo bicomponente, composto de cimentos especiais à base de bauxita, agregados e aditivos químicos não tóxico, resistente a altas temperaturas até 300°C, ref. Rejunte Aluminoso da Gail, Resilit Aluminoso da Resinar ou equivalente</t>
  </si>
  <si>
    <t>B.02.000.039044</t>
  </si>
  <si>
    <t>Argamassa colante industrializada; referência Gail Argamassa Industrial ou equivalente</t>
  </si>
  <si>
    <t>B.02.000.039055</t>
  </si>
  <si>
    <t>Massa para revestimento, ref. Multimassa pronta uso geral da Quartizolit ou equivalente - saco de 20 kg</t>
  </si>
  <si>
    <t>B.02.000.039056</t>
  </si>
  <si>
    <t>Argamassa colante industrializada, resistência química e térmicas, tipo AC-III. Ref. Argamassa Ligamax Gold Performance Branca da Eliane ou equivalente</t>
  </si>
  <si>
    <t>B.02.000.042229</t>
  </si>
  <si>
    <t>B.02.000.092014</t>
  </si>
  <si>
    <t>B.02.000.093344</t>
  </si>
  <si>
    <t>Rejunte flexível para porcelanato, aplicada em áreas internas e externas com junta até 3mm, ref. Rejunte Ligamax Gold Total da Eliane ou equivalente</t>
  </si>
  <si>
    <t>B.03.000.020505</t>
  </si>
  <si>
    <t>Cal hidratada (saco de 20 kg)</t>
  </si>
  <si>
    <t>B.03.000.020580</t>
  </si>
  <si>
    <t>Gesso em pó ensacado para revestimento saco de 20 kg</t>
  </si>
  <si>
    <t>B.03.000.038003</t>
  </si>
  <si>
    <t>Cal para pintura (saco de 8 kg)</t>
  </si>
  <si>
    <t>B.04.000.020503</t>
  </si>
  <si>
    <t>Areia média lavada (a granel caçamba fechada)</t>
  </si>
  <si>
    <t>B.04.000.020504</t>
  </si>
  <si>
    <t>Areia grossa</t>
  </si>
  <si>
    <t>B.05.000.020513</t>
  </si>
  <si>
    <t>Pedra britada usinada n° 1 posto obra</t>
  </si>
  <si>
    <t>B.05.000.020514</t>
  </si>
  <si>
    <t>Pedra britada usinada n° 2 posto obra</t>
  </si>
  <si>
    <t>B.05.000.020515</t>
  </si>
  <si>
    <t>Pedra britada usinada n° 4 posto obra</t>
  </si>
  <si>
    <t>B.05.000.020516</t>
  </si>
  <si>
    <t>Brita graduada usinada posto obra</t>
  </si>
  <si>
    <t>B.05.000.020518</t>
  </si>
  <si>
    <t>Pedra britada nº médios 1.2.3 e 4 (a granel)</t>
  </si>
  <si>
    <t>B.05.000.020519</t>
  </si>
  <si>
    <t>Pedra britada usinada n° 3 posto obra</t>
  </si>
  <si>
    <t>B.05.000.020521</t>
  </si>
  <si>
    <t>Pedra de mão (rachão)</t>
  </si>
  <si>
    <t>B.05.000.020522</t>
  </si>
  <si>
    <t>Pedrisco</t>
  </si>
  <si>
    <t>B.05.000.020523</t>
  </si>
  <si>
    <t>Bica corrida posto obra</t>
  </si>
  <si>
    <t>B.05.000.020524</t>
  </si>
  <si>
    <t>Pó de pedra</t>
  </si>
  <si>
    <t>B.06.000.021510</t>
  </si>
  <si>
    <t>Aço CA-25 $MD bitolas</t>
  </si>
  <si>
    <t>B.06.000.021525</t>
  </si>
  <si>
    <t>Aço CA-50-A $MD bitolas</t>
  </si>
  <si>
    <t>B.06.000.021538</t>
  </si>
  <si>
    <t>Aço CA-60-B $MD bitolas</t>
  </si>
  <si>
    <t>B.06.000.021560</t>
  </si>
  <si>
    <t>Tela soldada, diversas bitolas</t>
  </si>
  <si>
    <t>B.06.000.042302</t>
  </si>
  <si>
    <t>Tela em aço soldada nervurada CA-60, Q-61, diâmetro do fio = 3,4mm, espaçamento da malha = 15x15cm - (0,97 kg/m²)</t>
  </si>
  <si>
    <t>M2</t>
  </si>
  <si>
    <t>B.07.000.024042</t>
  </si>
  <si>
    <t>Disco de corte 7´</t>
  </si>
  <si>
    <t>B.07.000.024090</t>
  </si>
  <si>
    <t>Fita adesiva textura antiderrapante fosforescente/fotoluminescente para pisos, degraus, rampas, corredores/saídas de emergência, etc, cor preta, p/áreas internas/externas, alto tráfego, largura 5 cm, ref. Safety Walk Neon da 3M ou equivalente</t>
  </si>
  <si>
    <t>B.07.000.024091</t>
  </si>
  <si>
    <t>Faixa em policarbonato para sinalização, fotoluminescente amarela, adesivado com dupla face, para degraus, antiderrapante, comprimento 20cm, largura mínima de 3cm, ref. Andaluz ou equivalente</t>
  </si>
  <si>
    <t>B.07.000.024502</t>
  </si>
  <si>
    <t>Argila expandida n° 1 (tipo 2215 - dimensões 22 a 15 mm) - a granel</t>
  </si>
  <si>
    <t>B.07.000.026681</t>
  </si>
  <si>
    <t>B.07.000.038005</t>
  </si>
  <si>
    <t>Disco de desbaste 7´</t>
  </si>
  <si>
    <t>B.07.000.049501</t>
  </si>
  <si>
    <t>Fita isolante de 20 m, ref. 3M Scoth 33MR ou equivalente - uso especial</t>
  </si>
  <si>
    <t>B.07.000.049753</t>
  </si>
  <si>
    <t>Luva isolante de borracha, acima de 5 até 10kV</t>
  </si>
  <si>
    <t>PAR</t>
  </si>
  <si>
    <t>B.07.000.049763</t>
  </si>
  <si>
    <t>Luva de couro para proteção de luva isolante</t>
  </si>
  <si>
    <t>B.07.000.049764</t>
  </si>
  <si>
    <t>Porta luvas (caixa) em madeira com tampa</t>
  </si>
  <si>
    <t>B.07.000.049767</t>
  </si>
  <si>
    <t>Luva isolante de borracha, acima de 10 até 20kV</t>
  </si>
  <si>
    <t>B.07.000.067021</t>
  </si>
  <si>
    <t>Mangueira plástica flexível 3/4´</t>
  </si>
  <si>
    <t>B.07.000.069552</t>
  </si>
  <si>
    <t>Fita teflon de 18 mm</t>
  </si>
  <si>
    <t>B.07.000.090631</t>
  </si>
  <si>
    <t>Fita adesiva antiderrapante para pisos e degraus, na cor preta, alto tráfego, com largura de 5cm, ref. Safety-WalkMR fabricação 3M ou equivalente</t>
  </si>
  <si>
    <t>B.07.000.090806</t>
  </si>
  <si>
    <t>Escova de aço</t>
  </si>
  <si>
    <t>B.09.000.024006</t>
  </si>
  <si>
    <t>B.09.000.024069</t>
  </si>
  <si>
    <t>B.09.000.028074</t>
  </si>
  <si>
    <t>Adesivo para poliuretano PA 02</t>
  </si>
  <si>
    <t>bg</t>
  </si>
  <si>
    <t>B.09.000.039023</t>
  </si>
  <si>
    <t>Adesivo/selador à base de emulsão acrílica, ref. Nitobond AR da Anchortec ou Rheomix 104 da BASF ou equivalente</t>
  </si>
  <si>
    <t>B.09.000.039024</t>
  </si>
  <si>
    <t>Adesivo (cola) para dispositivos de resina - 1 kg</t>
  </si>
  <si>
    <t>B.09.000.039075</t>
  </si>
  <si>
    <t>Cola para chapas melamínicas</t>
  </si>
  <si>
    <t>B.09.000.039076</t>
  </si>
  <si>
    <t>B.09.000.069513</t>
  </si>
  <si>
    <t>Adesivo para tubos PVC</t>
  </si>
  <si>
    <t>C.01.000.020235</t>
  </si>
  <si>
    <t>Furo em concreto armado com diâmetro de 1 1/4´</t>
  </si>
  <si>
    <t>C.01.000.020236</t>
  </si>
  <si>
    <t>Furo em concreto armado com diâmetro de 1 1/2´</t>
  </si>
  <si>
    <t>C.01.000.020237</t>
  </si>
  <si>
    <t>Furo em concreto armado com diâmetro de 2 1/4´</t>
  </si>
  <si>
    <t>C.01.000.020256</t>
  </si>
  <si>
    <t>Furação com broca de vídea para até 10mm x 100mm em concreto armado, inclusive colagem da armadura com resina Epoxi (para até 8mm)</t>
  </si>
  <si>
    <t>C.01.000.020257</t>
  </si>
  <si>
    <t>Furação com broca de vídea para 16mm x 150mm em concreto armado, inclusive colagem da armadura com resina Epoxi (para 12,5mm)</t>
  </si>
  <si>
    <t>C.01.000.020258</t>
  </si>
  <si>
    <t>Furação com broca de vídea para 20mm x 150mm em concreto armado, inclusive colagem da armadura com resina Epoxi (para 16mm)</t>
  </si>
  <si>
    <t>C.01.000.020259</t>
  </si>
  <si>
    <t>Furação com broca de vídea para 12,5mm x 200mm em concreto armado, inclusive colagem da armadura com resina Epoxi (para 10mm)</t>
  </si>
  <si>
    <t>C.01.000.020260</t>
  </si>
  <si>
    <t>Furação com broca de vídea para 12,5mm x 100mm em concreto armado, inclusive colagem da armadura com resina Epoxi (para 10mm)</t>
  </si>
  <si>
    <t>C.01.000.020261</t>
  </si>
  <si>
    <t>Furação com broca de vídea para 16mm x 100mm em concreto armado, inclusive colagem da armadura com resina Epoxi (para 12,5mm)</t>
  </si>
  <si>
    <t>C.01.000.020263</t>
  </si>
  <si>
    <t>Furação com broca de vídea para até 10mm x 150mm em concreto armado, inclusive colagem da armadura com resina Epoxi (para até 8mm)</t>
  </si>
  <si>
    <t>C.01.000.020264</t>
  </si>
  <si>
    <t>Furação com broca de vídea para 12,5mm x 150mm em concreto armado, inclusive colagem da armadura com resina Epoxi (para 10mm)</t>
  </si>
  <si>
    <t>C.01.000.020265</t>
  </si>
  <si>
    <t>Furação com broca de vídea para até 10mm x 200mm em concreto armado, inclusive colagem da armadura com resina Epoxi (para 8mm)</t>
  </si>
  <si>
    <t>C.01.000.020266</t>
  </si>
  <si>
    <t>Furação com broca de vídea para 16mm x 200mm em concreto armado, inclusive colagem da armadura com resina Epoxi (para 12,5mm)</t>
  </si>
  <si>
    <t>C.01.000.020267</t>
  </si>
  <si>
    <t>Furação com broca de vídea para 20mm x 200mm em concreto armado, inclusive colagem da armadura com resina Epoxi (para 16mm)</t>
  </si>
  <si>
    <t>C.01.000.020317</t>
  </si>
  <si>
    <t>Locação de forma deslizante, Dint.= 5,50 a 6,00m, mão de obra especializada e direção técnica</t>
  </si>
  <si>
    <t>C.01.000.020318</t>
  </si>
  <si>
    <t>Locação de forma deslizante, Dint.= 3,50 a 4,00m, mão de obra especializada e direção técnica</t>
  </si>
  <si>
    <t>C.01.000.020560</t>
  </si>
  <si>
    <t>Furo em concreto armado com diâmetro de 2 1/2´</t>
  </si>
  <si>
    <t>C.01.000.020592</t>
  </si>
  <si>
    <t>Furo em concreto armado de 1´</t>
  </si>
  <si>
    <t>C.01.000.020593</t>
  </si>
  <si>
    <t>Furo em concreto armado de 3´</t>
  </si>
  <si>
    <t>C.01.000.020594</t>
  </si>
  <si>
    <t>Furo em concreto armado de 5´</t>
  </si>
  <si>
    <t>C.01.000.020692</t>
  </si>
  <si>
    <t>Taxa de mobilização e desmobilização de equipamentos para execução de corte em concreto armado</t>
  </si>
  <si>
    <t>C.01.000.024054</t>
  </si>
  <si>
    <t>Fibra de carbono para reforço estrutural de alta resisência 300 g/m², faixa de resistência a tração de 4.000 à 4900 Mpa; referência comercial Sika, Viapol ou equivalente</t>
  </si>
  <si>
    <t>C.01.000.090095</t>
  </si>
  <si>
    <t>Corte vertical em placa de concreto armado, espessura de 15cm</t>
  </si>
  <si>
    <t>C.01.000.090640</t>
  </si>
  <si>
    <t>Taxa de mobilização e desmobilização de equipamentos para execução de perfuração em concreto, com broca diamantada ou vídea</t>
  </si>
  <si>
    <t>C.01.000.090647</t>
  </si>
  <si>
    <t>Furo em concreto armado de 2´</t>
  </si>
  <si>
    <t>C.01.000.090648</t>
  </si>
  <si>
    <t>Furo em concreto armado de 4´</t>
  </si>
  <si>
    <t>C.01.000.090649</t>
  </si>
  <si>
    <t>Furo em concreto armado de 6´</t>
  </si>
  <si>
    <t>C.01.000.092024</t>
  </si>
  <si>
    <t>Corte de junta dilatação com serra disco diamantado na largura de 3 mm, profundidade de 3 cm, para piso de concreto ou alta resistência 3,0 mm x 3,0 cm</t>
  </si>
  <si>
    <t>C.01.000.098199</t>
  </si>
  <si>
    <t>Mão de obra especializada, equipamento e ferramentas apropriadas para nivelamento de piso em concreto com desempeno de magnésio e acabadora de superfície</t>
  </si>
  <si>
    <t>C.02.000.035614</t>
  </si>
  <si>
    <t>C.02.000.035615</t>
  </si>
  <si>
    <t>Piso em placa de concreto permeável drenante, cinza natural, de 40x40x8cm, de acordo com a norma NBR 16416:2015; ref. Glasser, Oterprem, Drenaltec, Geoblocos ou equivalente</t>
  </si>
  <si>
    <t>C.04.000.020530</t>
  </si>
  <si>
    <t>C.04.000.020531</t>
  </si>
  <si>
    <t>C.04.000.020535</t>
  </si>
  <si>
    <t>C.04.000.020536</t>
  </si>
  <si>
    <t>C.04.000.020542</t>
  </si>
  <si>
    <t>C.04.000.020544</t>
  </si>
  <si>
    <t>C.04.000.020546</t>
  </si>
  <si>
    <t>C.04.000.020551</t>
  </si>
  <si>
    <t>C.04.000.020553</t>
  </si>
  <si>
    <t>C.04.000.020554</t>
  </si>
  <si>
    <t>C.04.000.020556</t>
  </si>
  <si>
    <t>C.04.000.020559</t>
  </si>
  <si>
    <t>C.04.000.020560</t>
  </si>
  <si>
    <t>Concreto usinado fck= 30 MPa, pedrisco, slump 22cm ± 2cm</t>
  </si>
  <si>
    <t>C.04.000.020562</t>
  </si>
  <si>
    <t>Concreto usinado fck= 25 MPa para perfil extrudado, Slump 0 ± 1</t>
  </si>
  <si>
    <t>C.04.000.020563</t>
  </si>
  <si>
    <t>Concreto usinado 150kg cimento/m³</t>
  </si>
  <si>
    <t>C.04.000.020564</t>
  </si>
  <si>
    <t>Concreto usinado 200kg cimento/m³</t>
  </si>
  <si>
    <t>C.04.000.020565</t>
  </si>
  <si>
    <t>Concreto usinado 300kg cimento/m³</t>
  </si>
  <si>
    <t>C.04.000.020566</t>
  </si>
  <si>
    <t>Taxa para bombeamento de concreto</t>
  </si>
  <si>
    <t>C.04.000.022006</t>
  </si>
  <si>
    <t>Concreto celular, densidade 1200 kg/m³</t>
  </si>
  <si>
    <t>C.06.000.022011</t>
  </si>
  <si>
    <t>Laje pré-fabricada unidirecional em viga treliçada/lajota em EPS LT 12 (8 + 4) - SC = 200kgf/m²</t>
  </si>
  <si>
    <t>C.06.000.022012</t>
  </si>
  <si>
    <t>Laje pré-fabricada unidirecional em viga treliçada/lajota em EPS LT 16 (12 + 4) - SC = 300kgf/m²</t>
  </si>
  <si>
    <t>C.06.000.022013</t>
  </si>
  <si>
    <t>Laje pré-fabricada unidirecional em viga treliçada/lajota em EPS LT 20 (16 + 4) - SC = 300kgf/m²</t>
  </si>
  <si>
    <t>C.06.000.022014</t>
  </si>
  <si>
    <t>Laje pré-fabricada unidirecional em viga treliçada/lajota em EPS LT 25 (20 + 5) - SC = 300kgf/m²</t>
  </si>
  <si>
    <t>C.06.000.022015</t>
  </si>
  <si>
    <t>Laje pré-fabricada unidirecional em viga treliçada/lajota em EPS LT 30 (25+ 5) - SC = 300kgf/m²</t>
  </si>
  <si>
    <t>C.06.000.022029</t>
  </si>
  <si>
    <t>Laje pré-fabricada mista vigota treliçada/lajota cerâmica - LT 24 (20+4); sobrecarga 200 kgf/m²</t>
  </si>
  <si>
    <t>C.06.000.022030</t>
  </si>
  <si>
    <t>Laje pré-fabricada mista vigota treliçada/lajota cerâmica - LT 30 (24+6); sobrecarga 200 kgf/m²</t>
  </si>
  <si>
    <t>C.06.000.022032</t>
  </si>
  <si>
    <t>Pré-laje em painel pré-fabricado treliçado, com EPS classe PI, H= 12 cm, sem capeamento; sobrecarga 200 kgf/m²</t>
  </si>
  <si>
    <t>C.06.000.022033</t>
  </si>
  <si>
    <t>Pré-laje em painel pré-fabricado treliçado, com EPS classe PI, H= 25 cm, sem capeamento; sobrecarga 200 kgf/m²</t>
  </si>
  <si>
    <t>C.06.000.022034</t>
  </si>
  <si>
    <t>Pré-laje em painel pré-fabricado treliçado, com EPS classe PI, H= 20 cm, sem capeamento; sobrecarga 200 kgf/m²</t>
  </si>
  <si>
    <t>C.06.000.022035</t>
  </si>
  <si>
    <t>Pré-laje em painel pré-fabricado treliçado, com EPS classe PI, H= 16 cm, sem capeamento; sobrecarga 200 kgf/m²</t>
  </si>
  <si>
    <t>C.06.000.022039</t>
  </si>
  <si>
    <t>Laje pré-fabricada mista vigota protendida/lajota cerâmica - LP 25 (20+5); sobrecarga 200kgf/m²</t>
  </si>
  <si>
    <t>C.06.000.022047</t>
  </si>
  <si>
    <t>Laje pré-fabricada mista vigota treliçada/lajota cerâmica - LT 12 (8+4); sobrecarga 200kgf/m²</t>
  </si>
  <si>
    <t>C.06.000.022048</t>
  </si>
  <si>
    <t>Laje pré-fabricada mista vigota treliçada/lajota cerâmica - LT 16 (12+4); sobrecarga 200 kgf/m²</t>
  </si>
  <si>
    <t>C.06.000.022049</t>
  </si>
  <si>
    <t>Laje pré-fabricada mista vigota treliçada/lajota cerâmica - LT 20 (16+4); sobrecarga 200 kgf/m²</t>
  </si>
  <si>
    <t>C.06.000.022050</t>
  </si>
  <si>
    <t>Laje pré-fabricada mista vigota protendida/lajota cerâmica - LP 12 (8+4); sobrecarga 200kgf/m²</t>
  </si>
  <si>
    <t>C.06.000.022051</t>
  </si>
  <si>
    <t>Laje pré-fabricada mista vigota protendida/lajota cerâmica - LP 16 (12+4); sobrecarga 200kgf/m²</t>
  </si>
  <si>
    <t>C.06.000.022052</t>
  </si>
  <si>
    <t>Laje pré-fabricada mista vigota protendida/lajota cerâmica - LP 20 (16+4); sobrecarga 200kgf/m²</t>
  </si>
  <si>
    <t>C.06.000.022061</t>
  </si>
  <si>
    <t>Pré-laje em painel pré-fabricado treliçado maciço; altura total, H= 12 cm, sobrecarga 200 kgf/m²</t>
  </si>
  <si>
    <t>C.06.000.022065</t>
  </si>
  <si>
    <t>Pré-laje em painel pré-fabricado treliçado maciço; altura total, H= 16 cm; sobrecarga 200 kgf/m²</t>
  </si>
  <si>
    <t>C.06.000.025011</t>
  </si>
  <si>
    <t>Capa para muro e/ou rufo pré-moldado em concreto de 14 x 50 x 18,5 cm, ref. mod. 75C da Neo Rex ou equivalente</t>
  </si>
  <si>
    <t>C.06.000.025012</t>
  </si>
  <si>
    <t>Capa para muro e/ou rufo pré-moldado em concreto de 20 x 50 x 26 cm, ref. mod. 75D da Neo Rex ou equivalente</t>
  </si>
  <si>
    <t>C.06.000.025013</t>
  </si>
  <si>
    <t>Capa para muro e/ou rufo pré-moldado em concreto, com pingadeira, de 24/25x50x29,5cm; ref. 75F da Neo Rex, AD-83 da Facital ou equivalente</t>
  </si>
  <si>
    <t>C.07.000.022510</t>
  </si>
  <si>
    <t>Bloco de concreto de vedação 9 x 19 x 39 cm, classe C (resistência &gt; ou = 3 Mpa)</t>
  </si>
  <si>
    <t>C.07.000.022522</t>
  </si>
  <si>
    <t>Bloco de concreto de vedação 14 x 19 x 39 cm, classe C (resistência &gt; ou = 3 Mpa)</t>
  </si>
  <si>
    <t>C.07.000.022523</t>
  </si>
  <si>
    <t>Bloco de concreto de vedação 19 x 19 x 39 cm, classe C (resistência &gt; ou = 3 Mpa)</t>
  </si>
  <si>
    <t>C.07.000.022537</t>
  </si>
  <si>
    <t>C.07.000.022538</t>
  </si>
  <si>
    <t>C.07.000.022539</t>
  </si>
  <si>
    <t>C.07.000.022540</t>
  </si>
  <si>
    <t>C.07.000.022577</t>
  </si>
  <si>
    <t>C.07.000.022579</t>
  </si>
  <si>
    <t>Elemento vazado em concreto, tipo veneziana por sobreposição de peças de 39 x 39 x 10 cm; ref. Neo Rex EV59A ou equivalente</t>
  </si>
  <si>
    <t>C.07.000.023005</t>
  </si>
  <si>
    <t>Grelha pré-moldada em concreto, com furos redondos 79,5 x 24,5 x 8 cm; ref. GRE88R da Neo Rex ou equivalente</t>
  </si>
  <si>
    <t>C.07.000.023016</t>
  </si>
  <si>
    <t>Elemento vazado em concreto, tipo quadriculado de 39 x 39 x 10 cm; ref. Neo-Rex 23A ou equivalente</t>
  </si>
  <si>
    <t>C.07.000.023042</t>
  </si>
  <si>
    <t>Banco em concreto pré-moldado, dimensões 150 x 45 x 45 cm, referência BVP150 da Neo Rex ou equivalente</t>
  </si>
  <si>
    <t>C.07.000.023049</t>
  </si>
  <si>
    <t>Banco em concreto pré-moldado com 1 assento, pés vazados, de 200 x 42 x 47cm, ref. BV200 da Neo Rex ou equivalente</t>
  </si>
  <si>
    <t>C.07.000.023055</t>
  </si>
  <si>
    <t>C.07.000.027504</t>
  </si>
  <si>
    <t>Mourão de concreto 10x10x300cm, curvo com 8 furos</t>
  </si>
  <si>
    <t>C.07.000.027520</t>
  </si>
  <si>
    <t>C.07.000.027540</t>
  </si>
  <si>
    <t>Mourão de concreto seção min. 10x10x300cm, 12 furos</t>
  </si>
  <si>
    <t>C.07.000.035580</t>
  </si>
  <si>
    <t>Piso de concreto intertravado, cor natural, tipos: raquete, retangular, sextavado e 16 faces, espessura 6 cm, 35 MPa</t>
  </si>
  <si>
    <t>C.07.000.035581</t>
  </si>
  <si>
    <t>Piso de concreto intertravado, tipos: raquete, retangular, sextavado e 16 faces, espessura 8 cm, 35 MPa</t>
  </si>
  <si>
    <t>C.07.000.035583</t>
  </si>
  <si>
    <t>Piso de concreto intertravado, colorido, tipos: raquete, retangular, sextavado e 16 faces, espessura 6 cm, 35 MPa</t>
  </si>
  <si>
    <t>C.09.000.022551</t>
  </si>
  <si>
    <t>Bloco de concreto celular autoclavado com espessura de 10 cm - Classe C25</t>
  </si>
  <si>
    <t>C.09.000.022552</t>
  </si>
  <si>
    <t>Bloco de concreto celular autoclavado com espessura de 12,5 cm - Classe C25</t>
  </si>
  <si>
    <t>C.09.000.022553</t>
  </si>
  <si>
    <t>Bloco de concreto celular autoclavado com espessura de 15 cm - Classe C25</t>
  </si>
  <si>
    <t>C.09.000.022554</t>
  </si>
  <si>
    <t>Bloco de concreto celular autoclavado com espessura de 20 cm - Classe C25</t>
  </si>
  <si>
    <t>C.10.000.028150</t>
  </si>
  <si>
    <t>Guia chapeu para boca de lobo, padrão PMSP</t>
  </si>
  <si>
    <t>C.10.000.028151</t>
  </si>
  <si>
    <t>Tampa de concreto para boca de lobo, padrão PMSP</t>
  </si>
  <si>
    <t>C.10.000.028153</t>
  </si>
  <si>
    <t>Bate-roda pré-fabricado em concreto aparente liso, com chumbador para fixação, cor natural - medidas: (13x17x180cm) ou (13x17x200cm)</t>
  </si>
  <si>
    <t>C.10.000.032022</t>
  </si>
  <si>
    <t>C.10.000.036514</t>
  </si>
  <si>
    <t>Guia pré-moldada reta/curva, padrão PMSP 100, fck 25MPa</t>
  </si>
  <si>
    <t>C.10.000.036525</t>
  </si>
  <si>
    <t>Guia pré-moldada curva, padrão PMSP 100, fck 25 MPa</t>
  </si>
  <si>
    <t>C.10.000.091167</t>
  </si>
  <si>
    <t>D.01.000.035577</t>
  </si>
  <si>
    <t>Raspagem, calafetação de verniz a base de água, bi-componente com proteção, acabamento semibrilho; ref. Bona Traffic ou equivalente</t>
  </si>
  <si>
    <t>D.01.000.036007</t>
  </si>
  <si>
    <t>Colocação do soalho, inclusive fornecimento e acessórios para instalação</t>
  </si>
  <si>
    <t>D.02.000.020215</t>
  </si>
  <si>
    <t>Estronca de eucalipto com 10cm de diâmetro sem casca</t>
  </si>
  <si>
    <t>D.02.000.020217</t>
  </si>
  <si>
    <t>Estronca de eucalipto-citriodora (mourão), com diâmetro de 200 a 250 mm - com casca</t>
  </si>
  <si>
    <t>D.02.000.021001</t>
  </si>
  <si>
    <t>Caibro em cambará, cedrinho, eucalipto-citriodora, eucalipto-saligna, garapa, cupiúba, de 5,0 x 6,0cm</t>
  </si>
  <si>
    <t>D.02.000.021005</t>
  </si>
  <si>
    <t>Madeira serrada em cambará, cedrinho, cumaru, eucalipto-citriodora, eucalipto-saligna, garapa, tuari, (viga de 6 x 12cm)</t>
  </si>
  <si>
    <t>D.02.000.021009</t>
  </si>
  <si>
    <t>Pontalete de cedrinho de 75 mm x 75 mm - 3ª construção</t>
  </si>
  <si>
    <t>D.02.000.021014</t>
  </si>
  <si>
    <t>Sarrafo de cedrinho 2,5 x 5 cm</t>
  </si>
  <si>
    <t>D.02.000.021017</t>
  </si>
  <si>
    <t>Sarrafo de cedrinho 2,5 x 10 cm</t>
  </si>
  <si>
    <t>D.02.000.021018</t>
  </si>
  <si>
    <t>Sarrafo de cedrinho bruto - 1´ x 3´</t>
  </si>
  <si>
    <t>D.02.000.021021</t>
  </si>
  <si>
    <t>Tábua cedrinho 25 mm x 300 mm de 3ª</t>
  </si>
  <si>
    <t>D.02.000.021043</t>
  </si>
  <si>
    <t>Madeira de cedrinho - bruto</t>
  </si>
  <si>
    <t>D.02.000.021052</t>
  </si>
  <si>
    <t>Estronca de eucalipto (mourão), com 15cm de diâmetro sem casca</t>
  </si>
  <si>
    <t>D.02.000.021060</t>
  </si>
  <si>
    <t>Ripa em cambará, cedrinho, cupuíba, eucalipto-citriodora, eucalipto-saligna, garapa, itaúba, pinus-elioti, 12 mm x 50 mm</t>
  </si>
  <si>
    <t>D.02.000.021066</t>
  </si>
  <si>
    <t>Sarrafo de cedrinho aparelhado 1 x 2´</t>
  </si>
  <si>
    <t>D.02.000.021071</t>
  </si>
  <si>
    <t>D.02.000.021072</t>
  </si>
  <si>
    <t>D.02.000.090166</t>
  </si>
  <si>
    <t>Tábua aparelhada em cambará, cedrinho, cupuíba, eucalipto-citriodora, eucalipto-saligna, garapa, pinus-elioti, itaúba, de 2,5 x 20,0 cm - testeira / tabeira</t>
  </si>
  <si>
    <t>D.02.000.090635</t>
  </si>
  <si>
    <t>Madeira em cambará, cedrinho, eucalipto-citriodora, eucalipto-saligna, garapa, cupiúba, itaúba, de 5 x 20 cm - bruta</t>
  </si>
  <si>
    <t>D.03.000.021030</t>
  </si>
  <si>
    <t>Chapa compensada cola PVA resinada de 6mm (2,20 x 1,10)m</t>
  </si>
  <si>
    <t>D.03.000.021031</t>
  </si>
  <si>
    <t>Chapa compensada cola resinada de 10mm (2,20 x 1,10)m</t>
  </si>
  <si>
    <t>D.03.000.021032</t>
  </si>
  <si>
    <t>Chapa compensada cola PVA resinada de 12mm (2,20 x 1,10)m</t>
  </si>
  <si>
    <t>D.03.000.021033</t>
  </si>
  <si>
    <t>Chapa compensada cola fenólica plastificada de 12mm (2,20 x 1,10)m</t>
  </si>
  <si>
    <t>D.03.000.021034</t>
  </si>
  <si>
    <t>Chapa compensada cola fenólica plastificada de 18mm (2,44 x 1,22)m</t>
  </si>
  <si>
    <t>D.03.000.021036</t>
  </si>
  <si>
    <t>Chapa compensado naval em virola, espessura de 25mm - (2,20 x 1,60)m</t>
  </si>
  <si>
    <t>D.03.000.021085</t>
  </si>
  <si>
    <t>Chapa compensada cola fenólica plastificada de 6mm (2,2 x 1,10)m</t>
  </si>
  <si>
    <t>D.03.000.021095</t>
  </si>
  <si>
    <t>Forma em polipropileno (cubeta) e acessórios para laje nervurada com dimensões variáveis - locação</t>
  </si>
  <si>
    <t>M3MES</t>
  </si>
  <si>
    <t>D.04.000.021076</t>
  </si>
  <si>
    <t>Tabua emparelhada em cambará, cedrinho, cupuíba, amesclão, eucalipto-citriodora, eucalipto-saligna, garapa, pinus-elioti, tauari, de 2,50 x 10cm</t>
  </si>
  <si>
    <t>D.04.000.030003</t>
  </si>
  <si>
    <t>Porta lisa de correr suspensa em madeira Curupixá, freijo, com batente e trilho na parte superior</t>
  </si>
  <si>
    <t>D.04.000.030006</t>
  </si>
  <si>
    <t>Caixilho em madeira, tipo veneziana de correr</t>
  </si>
  <si>
    <t>D.04.000.030020</t>
  </si>
  <si>
    <t>Porta lisa de madeira, interna "PIM", para acabamento em pintura, 01 folha, desempenho intermediário para uso coletivo, tráfego regular 50.000 ciclos, padrão dimensional médio, com ferragens, completo - 80 x 210 cm</t>
  </si>
  <si>
    <t>D.04.000.030021</t>
  </si>
  <si>
    <t>Porta lisa de madeira, interna "PIM", para acabamento em pintura, 01 folha, desempenho superior para uso público, tráfego intenso de 100.000 ciclos, padrão dimensional médio/pesado, com ferragens, completo - 80 x 210 cm</t>
  </si>
  <si>
    <t>D.04.000.030022</t>
  </si>
  <si>
    <t>Porta lisa de madeira, interna "PIM", para acabamento em pintura, 01 folha, desempenho superior para uso público, tráfego intenso de 100.000 ciclos, padrão dimensional médio/pesado, com ferragens, completo - 90 x 210 cm</t>
  </si>
  <si>
    <t>D.04.000.030023</t>
  </si>
  <si>
    <t>Porta lisa de madeira, interna, resistente a umidade "PIM RU", para acabamento em pintura, 01 folha, desempenho superior para uso público, tráfego intenso de 100.000 ciclos, padrão dimensional médio/pesado, com ferragens, completo - 80 x 210 cm</t>
  </si>
  <si>
    <t>D.04.000.030024</t>
  </si>
  <si>
    <t>Porta lisa de madeira, interna "PIM RU", acab. revestida/pintura, 01 folha, de 35mm, p/divisória sanitária, desemp. superior, uso público, tráfego intenso 100.000 ciclos, padrão dimensional médio/pesado, c/ferragens, completo, 80 x 210 cm</t>
  </si>
  <si>
    <t>D.04.000.030025</t>
  </si>
  <si>
    <t>Porta lisa de madeira, interna, resistente a umidade "PIM RU", para  pintura, 01 folha, tipo acessível, desempenho superior,  uso público, tráfego intenso 100.000 ciclos, padrão dimensional médio/pesado, com ferragens, completo - 90 x 210 cm</t>
  </si>
  <si>
    <t>D.04.000.030026</t>
  </si>
  <si>
    <t>Porta lisa madeira, interna, resistente a umidade "PIM RU", para pintura, 01 folha, de correr/deslizante, tipo acessível, desempenho superior p/uso público, tráfego intenso 100.000 ciclos, padrão dimensional pesado, ferragem, completo 100x200cm</t>
  </si>
  <si>
    <t>D.04.000.030108</t>
  </si>
  <si>
    <t>Folha de porta lisa em madeira folheada e encabeçada, sob medida</t>
  </si>
  <si>
    <t>D.04.000.030112</t>
  </si>
  <si>
    <t>Folha de porta em madeira sarrafeada com película lisa para verniz 72x210cm</t>
  </si>
  <si>
    <t>D.04.000.030113</t>
  </si>
  <si>
    <t>Folha de porta em madeira sarrafeada com película lisa para verniz 82x210cm</t>
  </si>
  <si>
    <t>D.04.000.030114</t>
  </si>
  <si>
    <t>Folha de porta em madeira sarrafeada com película lisa para verniz 92x210cm</t>
  </si>
  <si>
    <t>D.04.000.030135</t>
  </si>
  <si>
    <t>Batente madeira itauba/garapeira/cedro/angelim 14 x 3,5 cm, vão 52 a 92 x 210 cm</t>
  </si>
  <si>
    <t>D.04.000.030137</t>
  </si>
  <si>
    <t>Batente madeira itauba/garapeira/cedro/angelim 14 x 3,5 cm, vão 122 x 210 cm</t>
  </si>
  <si>
    <t>D.04.000.030150</t>
  </si>
  <si>
    <t>Guarnição cedrinho de 210 x 100 x 1 x 5 cm</t>
  </si>
  <si>
    <t>D.04.000.030205</t>
  </si>
  <si>
    <t>Folha de madeira sarrafeada, revestida nas 2 faces com laminado liso 62x210cm</t>
  </si>
  <si>
    <t>D.04.000.030206</t>
  </si>
  <si>
    <t>Folha de madeira sarrafeada, revestida nas 2 faces com laminado liso 72x210cm</t>
  </si>
  <si>
    <t>D.04.000.030207</t>
  </si>
  <si>
    <t>Folha de madeira sarrafeada, revestida nas 2 faces com laminado liso 82x210cm</t>
  </si>
  <si>
    <t>D.04.000.030208</t>
  </si>
  <si>
    <t>Folha de madeira sarrafeada, revestida nas 2 faces com laminado liso 92x210cm</t>
  </si>
  <si>
    <t>D.04.000.030221</t>
  </si>
  <si>
    <t>Folha de porta lisa em madeira sarrafeada para pintura 62x210cm</t>
  </si>
  <si>
    <t>D.04.000.030222</t>
  </si>
  <si>
    <t>Folha de porta lisa em madeira sarrafeada para pintura 72x210cm</t>
  </si>
  <si>
    <t>D.04.000.030223</t>
  </si>
  <si>
    <t>Folha de porta lisa em madeira sarrafeada para pintura 82x210cm</t>
  </si>
  <si>
    <t>D.04.000.030224</t>
  </si>
  <si>
    <t>Folha de porta lisa em madeira sarrafeada para pintura 92x210cm</t>
  </si>
  <si>
    <t>D.04.000.030225</t>
  </si>
  <si>
    <t>Folha de porta macho/fêmea sem emenda de 72x210cm</t>
  </si>
  <si>
    <t>D.04.000.030226</t>
  </si>
  <si>
    <t>Folha de porta macho/fêmea sem emenda de 82x210cm</t>
  </si>
  <si>
    <t>D.04.000.030227</t>
  </si>
  <si>
    <t>Folha de porta macho/fêmea sem emenda de 92x210cm</t>
  </si>
  <si>
    <t>D.04.000.030228</t>
  </si>
  <si>
    <t>Folha de porta macho/fêmea sem emenda de 62x210cm</t>
  </si>
  <si>
    <t>D.04.000.030274</t>
  </si>
  <si>
    <t>D.04.000.030360</t>
  </si>
  <si>
    <t>Chapa de laminado melamínico</t>
  </si>
  <si>
    <t>D.04.000.030366</t>
  </si>
  <si>
    <t>Sarrafo de cedrinho de 10 x 1,5 cm, aparelhada 3ª construção (para acabamento lateral de beiral)</t>
  </si>
  <si>
    <t>D.04.000.030380</t>
  </si>
  <si>
    <t>Faixa/batedor de proteção em tábua de MDF, revestido com laminado melamínico, canto arredondado - 290x15mm</t>
  </si>
  <si>
    <t>D.04.000.034041</t>
  </si>
  <si>
    <t>Tabua aparelhada de pinus macho-fêmea, de 1 x 10 cm - para forro</t>
  </si>
  <si>
    <t>D.04.000.035511</t>
  </si>
  <si>
    <t>Tabua aparelhada em cambará, cedrinho, cupuíba, eucalipto-citriodora, eucalipto-saligna, garapa, pinus-elioti, de 10 x 2 cm - macho/fêmea</t>
  </si>
  <si>
    <t>D.04.000.035551</t>
  </si>
  <si>
    <t>Taco de Ipê fixado com cola 10 x 40cm - material</t>
  </si>
  <si>
    <t>D.04.000.036006</t>
  </si>
  <si>
    <t>Soalho madeira aparelhada em cumaru, ipê, jatobá, tauari, garapa, angelim-pedra, de 20 x 2 cm</t>
  </si>
  <si>
    <t>D.04.000.036106</t>
  </si>
  <si>
    <t>D.04.000.098078</t>
  </si>
  <si>
    <t>D.05.000.023507</t>
  </si>
  <si>
    <t>D.05.000.023509</t>
  </si>
  <si>
    <t>D.05.000.023512</t>
  </si>
  <si>
    <t>D.05.000.023585</t>
  </si>
  <si>
    <t>D.05.000.024618</t>
  </si>
  <si>
    <t>Divisória cega tipo piso/teto em laminado melamínico de baixa pressão, com coluna estrutural em alumínio extrudado</t>
  </si>
  <si>
    <t>D.05.000.024619</t>
  </si>
  <si>
    <t>D.05.000.024620</t>
  </si>
  <si>
    <t>E.01.000.037530</t>
  </si>
  <si>
    <t>Pintura de acabamento em tinta esmalte sobre estrutura metálica</t>
  </si>
  <si>
    <t>E.01.000.037531</t>
  </si>
  <si>
    <t>Pintura de acabamento em tinta epóxi sobre estrutura metálica</t>
  </si>
  <si>
    <t>E.01.000.037532</t>
  </si>
  <si>
    <t>Tinta PU bi componente para estrutura metálica, cor branca, ref. Sherwin Williams ou equivalente</t>
  </si>
  <si>
    <t>E.01.000.037533</t>
  </si>
  <si>
    <t>Fundo primer epoxi bicomponente, para pintura de ferro, alumínio, aço e galvanizado, ref. Sherwin Williams ou equivalente</t>
  </si>
  <si>
    <t>E.02.000.026760</t>
  </si>
  <si>
    <t>Prego diversas bitolas (referência 18 x 27)</t>
  </si>
  <si>
    <t>E.02.000.027010</t>
  </si>
  <si>
    <t>Arame recozido nº 18 BWG</t>
  </si>
  <si>
    <t>E.02.000.027011</t>
  </si>
  <si>
    <t>Arame tipo MIG, diâmetro de 0,80 a 1,20 mm</t>
  </si>
  <si>
    <t>E.02.000.027018</t>
  </si>
  <si>
    <t>Arame farpado galvanizado fio Nº 16 BWG</t>
  </si>
  <si>
    <t>E.02.000.027025</t>
  </si>
  <si>
    <t>Arame galvanizado nº 16 BWG</t>
  </si>
  <si>
    <t>E.02.000.090264</t>
  </si>
  <si>
    <t>Arame galvanizado nº 14 BWG</t>
  </si>
  <si>
    <t>E.03.000.026504</t>
  </si>
  <si>
    <t>Gancho de 1/4´ com porca e arruela, 550 mm</t>
  </si>
  <si>
    <t>E.03.000.026513</t>
  </si>
  <si>
    <t>Chumbador Fischer Bolt diâmetro = 1/2´ e comprimento = 4´</t>
  </si>
  <si>
    <t>E.03.000.026516</t>
  </si>
  <si>
    <t>Parafuso em latão com cabeça sextavada, com rosca mecânica de 3/8´ x 50mm</t>
  </si>
  <si>
    <t>E.03.000.026548</t>
  </si>
  <si>
    <t>Parafuso cabeça chata com bucha plástica de 8 mm - 5,5 x 50 mm</t>
  </si>
  <si>
    <t>E.03.000.026577</t>
  </si>
  <si>
    <t>Parafuso com rosca soberba 8 x 165mm</t>
  </si>
  <si>
    <t>E.03.000.026651</t>
  </si>
  <si>
    <t>Gaxeta EPDM ref. 1619 da Day Brasil ou equivalente</t>
  </si>
  <si>
    <t>E.03.000.026652</t>
  </si>
  <si>
    <t>Gaxeta EPDM ref. 274 da Day Brasil ou equivalente</t>
  </si>
  <si>
    <t>E.03.000.026653</t>
  </si>
  <si>
    <t>Parafuso auto-atarraxante/auto-brocante em aço médio carbono, com acabamento zincado brando, de 12 x 38 mm - com arruela de vedação</t>
  </si>
  <si>
    <t>E.03.000.026709</t>
  </si>
  <si>
    <t>Grapa ferro para cantoneira 1´ x 1/8´ 1,19 kg/m</t>
  </si>
  <si>
    <t>E.03.000.026726</t>
  </si>
  <si>
    <t>Parafuso com arruela e bucha S8 de 4,8 x 50 mm, tipo panela</t>
  </si>
  <si>
    <t>E.03.000.026733</t>
  </si>
  <si>
    <t>Parafusos niquelados para sanitários</t>
  </si>
  <si>
    <t>E.03.000.026735</t>
  </si>
  <si>
    <t>Conjunto de fixação para lavatório (dois parafusos, duas buchas e quatro arruelas); ref. SP 7 01 da Deca ou equivalente</t>
  </si>
  <si>
    <t>E.03.000.026771</t>
  </si>
  <si>
    <t>Rebites de ferro zincado n° 8, comprimento de 6,10 mm, diâmetro nominal de 3 mm</t>
  </si>
  <si>
    <t>E.03.000.049502</t>
  </si>
  <si>
    <t>Porca quadrada para parafuso M16</t>
  </si>
  <si>
    <t>E.03.000.049534</t>
  </si>
  <si>
    <t>Parafuso cabeça abaulada M16 x 45 mm</t>
  </si>
  <si>
    <t>E.03.000.049539</t>
  </si>
  <si>
    <t>Arruela quadrada de 50 mm com furo de 18 mm</t>
  </si>
  <si>
    <t>E.03.000.049540</t>
  </si>
  <si>
    <t>Arruela quadrada 100 x 100 x 5 mm com furo de 18 mm</t>
  </si>
  <si>
    <t>E.03.000.049550</t>
  </si>
  <si>
    <t>Parafuso cabeça quadrada M16 x 125 mm</t>
  </si>
  <si>
    <t>E.03.000.049551</t>
  </si>
  <si>
    <t>Parafuso cabeça abaulada M16 x 150 mm</t>
  </si>
  <si>
    <t>E.03.000.049552</t>
  </si>
  <si>
    <t>Parafuso cabeça quadrada M16 x 300 mm</t>
  </si>
  <si>
    <t>E.03.000.049553</t>
  </si>
  <si>
    <t>Parafuso rosca dupla M16 x 450 mm</t>
  </si>
  <si>
    <t>E.03.000.069519</t>
  </si>
  <si>
    <t>E.03.000.069568</t>
  </si>
  <si>
    <t>Parafuso e bucha de 8´ para fixação de louça sanitária</t>
  </si>
  <si>
    <t>E.03.000.090616</t>
  </si>
  <si>
    <t>Parafuso sextavado em aço inoxidável de 1/4" x 1 1/4"; ref. SXRI1/4X1.1/4A2 da Belenus, TEL5329 da Termotécnica ou equivalente</t>
  </si>
  <si>
    <t>E.03.000.090617</t>
  </si>
  <si>
    <t>Arruela lisa em aço inoxidável de 1/4"; ref. 39136202 da Ciser, Inox 1/4" da Aciole, AL3/16A4 da Veppel ou equivalente</t>
  </si>
  <si>
    <t>E.03.000.090618</t>
  </si>
  <si>
    <t>Porca sextavada em aço inoxidável de 1/4";  ref. Inox 1/4" da Ciser, TEL5314 da Termotécnica, Inox 304 1/4" da Walsywa ou equivalente</t>
  </si>
  <si>
    <t>E.04.000.025014</t>
  </si>
  <si>
    <t>Fornecimento e montagem de estrutura metálica em aço USISAC41E / COSARCOR400E / CSNCOR420</t>
  </si>
  <si>
    <t>E.04.000.037502</t>
  </si>
  <si>
    <t>Fornecimento e montagem de estrutura em aço ASTM-A572 Grau 50, sem pintura</t>
  </si>
  <si>
    <t>E.04.000.037503</t>
  </si>
  <si>
    <t>Fornecimento e montagem de estrutura tubular em aço ASTM-A572 Grau 50, sem pintura</t>
  </si>
  <si>
    <t>E.04.000.037504</t>
  </si>
  <si>
    <t>Tubo metálico metalon, referência 60 x 60 x 3,75mm</t>
  </si>
  <si>
    <t>E.04.000.037532</t>
  </si>
  <si>
    <t>Fornecimento e montagem de estrutura metálica em aço ASTM-A 36, sem pintura</t>
  </si>
  <si>
    <t>E.05.000.026198</t>
  </si>
  <si>
    <t>Chapa perfurada em aço SAE 1020, furos redondos de diâmetro 7,5 mm, área aberta 45%, e espessura de 1/8´, dimensão 2,0 x 1,0 m</t>
  </si>
  <si>
    <t>E.05.000.026615</t>
  </si>
  <si>
    <t>Cantoneira ferro 1´ x 1´ x 1/8´ - 1,19 kg/m</t>
  </si>
  <si>
    <t>E.05.000.026662</t>
  </si>
  <si>
    <t>Chapa de aço ASTM A-36 de 1/4´</t>
  </si>
  <si>
    <t>E.05.000.026678</t>
  </si>
  <si>
    <t>Ferro cantoneira abas iguais em aço carbono, de 1´ x 1´ x 1/8´</t>
  </si>
  <si>
    <t>E.05.000.026682</t>
  </si>
  <si>
    <t>Cantoneira em aço galvanizado de 1´ x 1/8´</t>
  </si>
  <si>
    <t>E.05.000.026702</t>
  </si>
  <si>
    <t>Insert maciço com furo inferior para ancoragem, carga de trabalho 3.000 kg; ref. TS24 da Trejor ou equivalente</t>
  </si>
  <si>
    <t>E.05.000.026703</t>
  </si>
  <si>
    <t>E.05.000.026704</t>
  </si>
  <si>
    <t>Chapa de ferro Nº 14</t>
  </si>
  <si>
    <t>E.05.000.026707</t>
  </si>
  <si>
    <t>Posicionador, carga de trabalho 3.000 kg, ref. TP24 fabricação Trejor ou equivalente</t>
  </si>
  <si>
    <t>E.06.000.021546</t>
  </si>
  <si>
    <t>Tela galvanizada para fixação de alvenaria, malha de 15x15mm e dimensão 6x50cm</t>
  </si>
  <si>
    <t>E.06.000.021547</t>
  </si>
  <si>
    <t>Tela galvanizada para fixação de alvenaria, malha de 15x15mm e dimensão 7,5x50cm</t>
  </si>
  <si>
    <t>E.06.000.021548</t>
  </si>
  <si>
    <t>Tela galvanizada para fixação de alvenaria, malha de 15x15mm e dimensão 10,5x50cm</t>
  </si>
  <si>
    <t>E.06.000.021549</t>
  </si>
  <si>
    <t>Tela galvanizada para fixação de alvenaria, malha de 15x15mm e dimensão 12x50cm</t>
  </si>
  <si>
    <t>E.06.000.021550</t>
  </si>
  <si>
    <t>Tela galvanizada para fixação de alvenaria, malha de 15x15mm e dimensão 17x50cm</t>
  </si>
  <si>
    <t>E.06.000.021551</t>
  </si>
  <si>
    <t>Pino de aço liso com arruela  1/4" x 27 mm para tela galvanizada para fixação de alvenaria</t>
  </si>
  <si>
    <t>E.06.000.042847</t>
  </si>
  <si>
    <t>Clips de fixação para vergalhão em aço galvanizado diâmetro de 3/8´, ref. TEL 5238 ou equivalente</t>
  </si>
  <si>
    <t>E.06.000.065041</t>
  </si>
  <si>
    <t>Reservatório metálico cilíndrico horizontal, capacidade de 10.000 litros</t>
  </si>
  <si>
    <t>E.06.000.065042</t>
  </si>
  <si>
    <t>Reservatório metálico cilíndrico horizontal, capacidade de 5.000 litros</t>
  </si>
  <si>
    <t>E.06.000.065056</t>
  </si>
  <si>
    <t>Reservatório metálico cilíndrico horizontal, capacidade de 3.000 litros</t>
  </si>
  <si>
    <t>E.07.000.020121</t>
  </si>
  <si>
    <t>Trilho em alumínio simples</t>
  </si>
  <si>
    <t>E.07.000.020122</t>
  </si>
  <si>
    <t>Perfil retangular em alumínio de 50x25x2mm</t>
  </si>
  <si>
    <t>E.07.000.020127</t>
  </si>
  <si>
    <t>Perfil em alumínio anodizado natural, perfil qualquer</t>
  </si>
  <si>
    <t>E.07.000.026650</t>
  </si>
  <si>
    <t>Cantoneira em alumínio antiderrapante, dimensões 50 x 30 mm; referência comercial Artesana ou equivalente</t>
  </si>
  <si>
    <t>E.07.000.026661</t>
  </si>
  <si>
    <t>Chapa lisa em alumínio 2000 x 1000 x 3 mm (16,20 kg/pc)</t>
  </si>
  <si>
    <t>E.07.000.026667</t>
  </si>
  <si>
    <t>E.07.000.027632</t>
  </si>
  <si>
    <t>Gradil em alumínio natural com portão central de 2 folhas de 80cm cada - sob medida</t>
  </si>
  <si>
    <t>E.07.000.033503</t>
  </si>
  <si>
    <t>E.07.000.090592</t>
  </si>
  <si>
    <t>Cinta de alumínio, diâmetro de 1/2´</t>
  </si>
  <si>
    <t>E.07.000.093837</t>
  </si>
  <si>
    <t>Fita porosa de 25mm x 25 m</t>
  </si>
  <si>
    <t>E.08.000.021080</t>
  </si>
  <si>
    <t>E.08.000.023605</t>
  </si>
  <si>
    <t>E.08.000.025044</t>
  </si>
  <si>
    <t>E.08.000.025053</t>
  </si>
  <si>
    <t>E.08.000.026210</t>
  </si>
  <si>
    <t>E.08.000.026211</t>
  </si>
  <si>
    <t>E.08.000.030901</t>
  </si>
  <si>
    <t>Barra de proteção para lavatório tipo U, para pessoas com mobilidade reduzida, em tubo de alumínio com pintura de epóxi, medidas: 63x51cm ou 54x40cm</t>
  </si>
  <si>
    <t>E.08.000.090569</t>
  </si>
  <si>
    <t>Folha em alumínio corrugado 015 revestido em papel kraft</t>
  </si>
  <si>
    <t>E.09.000.045602</t>
  </si>
  <si>
    <t>E.09.000.090147</t>
  </si>
  <si>
    <t>Parafuso com arruela em aço galvanizado, para flange S16/80</t>
  </si>
  <si>
    <t>E.09.000.090150</t>
  </si>
  <si>
    <t>Parafuso com porca e arruela em aço galvanizado S20/90</t>
  </si>
  <si>
    <t>E.10.000.020343</t>
  </si>
  <si>
    <t>Tela galvanizada fio 24 BWG, malha hexagonal de 1/2´</t>
  </si>
  <si>
    <t>E.10.000.027017</t>
  </si>
  <si>
    <t>Gabião tipo caixa em tela metálica, revestido com galvanização com liga zinco/alumínio, malha hexagonal torção dupla 8x10cm, fio diâmetro 2,7mm, altura de 0,5m, independente do formato, conforme NBR 8964, ref. Maccaferri, Comep, Diprotec ou equivalente</t>
  </si>
  <si>
    <t>E.10.000.027018</t>
  </si>
  <si>
    <t>Gabião tipo caixa em tela metálica, revestido com galvanização com liga zinco/alumínio, malha hexagonal torção dupla 8x10cm, fio diâmetro 2,7mm, altura de 1,0m, independente do formato, conforme NBR 8964; ref. Maccaferri, Comep, Diprotec ou equivalente</t>
  </si>
  <si>
    <t>E.10.000.027511</t>
  </si>
  <si>
    <t>Tela de aço galvanizado, fio 10 BWG,  malha 2´ tipo alambrado</t>
  </si>
  <si>
    <t>E.10.000.027518</t>
  </si>
  <si>
    <t>Tela de aço galvanizado, fio 12BWG, malha 2´ tipo alambrado</t>
  </si>
  <si>
    <t>E.10.000.027521</t>
  </si>
  <si>
    <t>Tela em arame galvanizado, malha 2´, fio 22BWG, tipo galinheiro</t>
  </si>
  <si>
    <t>E.10.000.027526</t>
  </si>
  <si>
    <t>E.10.000.027529</t>
  </si>
  <si>
    <t>E.10.000.049565</t>
  </si>
  <si>
    <t>Cordoalha para estai de aço galvanizado 7 fios, diâmetro 3/8´ tipo SM, galvanização eletrolítica</t>
  </si>
  <si>
    <t>E.10.000.049575</t>
  </si>
  <si>
    <t>Esticador para cabo de aço 5/16´ (8 mm) com terminal gancho-olhal</t>
  </si>
  <si>
    <t>E.10.000.090472</t>
  </si>
  <si>
    <t>Cabo de aço galvanizado com alma de aço, diâmetro 5/16´ (7,94mm)</t>
  </si>
  <si>
    <t>E.10.000.090476</t>
  </si>
  <si>
    <t>Cabo de aço galvanizado com alma de aço, diâmetro 3/16´ (4,76mm)</t>
  </si>
  <si>
    <t>E.10.000.090477</t>
  </si>
  <si>
    <t>Cordoalha de aço galvanizado, diâmetro de 1/4´ (6,35mm), tipo HS, galvanização à fogo, classe A com 7 fios</t>
  </si>
  <si>
    <t>E.10.000.092774</t>
  </si>
  <si>
    <t>Cabo de aço galvanizado com alma de aço, diâmetro 3/8´ (9,52mm)</t>
  </si>
  <si>
    <t>E.18.000.020159</t>
  </si>
  <si>
    <t>Barra de apoio lateral para lavatório, para pessoas com mobilidade reduzida, em tubo de aço inoxidável de 1.1/4´, comprimento 25 a 30 cm</t>
  </si>
  <si>
    <t>E.18.000.027519</t>
  </si>
  <si>
    <t>Barreira de proteção perimetral em aço inoxidável, AISI 430, dupla (clipada) instalado com 8 espiras, ref. Iron Wall, Master proteção, Incotela ou equivalente</t>
  </si>
  <si>
    <t>E.18.000.027523</t>
  </si>
  <si>
    <t>Colocação de Ouriço, simples ou dupla, com 8 espiras - instalado</t>
  </si>
  <si>
    <t>E.18.000.030900</t>
  </si>
  <si>
    <t>Barra de apoio em aço inoxidável AISI 304, diâmetro de 32 mm (1 1/4´), espessura 1,5 mm e comprimento 40 cm</t>
  </si>
  <si>
    <t>E.18.000.031010</t>
  </si>
  <si>
    <t>Barra de apoio, para pessoas com mobilidade reduzida, em tubo de aço inoxidável 1 1/2´, L= 500mm</t>
  </si>
  <si>
    <t>E.18.000.031011</t>
  </si>
  <si>
    <t>Barra de apoio, para pessoas com mobilidade reduzida, em tubo de aço inoxidável 1 1/2´, L= 800mm</t>
  </si>
  <si>
    <t>E.18.000.031013</t>
  </si>
  <si>
    <t>Barra de apoio, para pessoas com mobilidade reduzida, em tubo de aço inoxidável 1 1/2´, L= 800x800mm</t>
  </si>
  <si>
    <t>E.18.000.031109</t>
  </si>
  <si>
    <t>Corrimão em tubo redondo de aço inoxidável AISI 304 liga 18,8, diâmetro nominal de 1 1/2" (38,1mm), espessura de 1,5mm, acabamento escovado, sem arestas vivas, conforme NBR 9050, NBR 9077 E NBR 14718</t>
  </si>
  <si>
    <t>E.18.000.031932</t>
  </si>
  <si>
    <t>Corrimão duplo em tubo de aço inoxidável com diâmetro de 1 1/2´ e montantes com diâmetro de 2´, acabamento aço inox 304 escovado, fixado com flange e canopla</t>
  </si>
  <si>
    <t>E.18.000.031933</t>
  </si>
  <si>
    <t>Corrimão em tubo de aço inoxidável, diâmetro 1 1/2´ e montantes com diâmetro de 2´, acabamento em aço inox 304 escovado, fixado com flange e canopla</t>
  </si>
  <si>
    <t>E.18.000.036519</t>
  </si>
  <si>
    <t>E.18.000.039079</t>
  </si>
  <si>
    <t>Placa comemorativa em aço inoxidável escovado, medidas aproximadas de 50cm de largura e 70cm de altura, texto+desenho+parafuos</t>
  </si>
  <si>
    <t>E.18.000.050496</t>
  </si>
  <si>
    <t>Mesa lateral em aço inoxidável com prateleira inferior, de 2100 x 700 x 850mm</t>
  </si>
  <si>
    <t>E.18.000.063554</t>
  </si>
  <si>
    <t>Abrigo simples em aço inoxidável escovado AISI-304/316, com suporte para mangueira 1 1/2", porta em vidro temperado, 60x90x17cm, ref. Firex, Gilfire, Rwinox ou equivalente</t>
  </si>
  <si>
    <t>E.18.000.067524</t>
  </si>
  <si>
    <t>Captor pluvial equipado com mecanismo anti-vórtice, corpo em aço inoxidável, grelha em alumínio, DN= 50 mm; ref. linha EPAMS da Saint Gobain ou equivalente</t>
  </si>
  <si>
    <t>E.18.000.067525</t>
  </si>
  <si>
    <t>Captor pluvial equipado com mecanismo anti-vórtice, corpo em aço inoxidável, grelha em alumínio, DN= 75 mm; ref. linha SMU EPAMS da Saint Gobain ou equivalente</t>
  </si>
  <si>
    <t>E.19.000.025645</t>
  </si>
  <si>
    <t>Telha ondulada translúcida em polipropileno, 244x110cm, espessura 1,10mm, ref. 177 Esaf, Atco ou equivalente</t>
  </si>
  <si>
    <t>E.20.000.091554</t>
  </si>
  <si>
    <t>F.03.000.020572</t>
  </si>
  <si>
    <t>Concreto asfáltico usinado à quente tipo CBUQ, faixa Dersa (faixa 4 ou 5) posto obra</t>
  </si>
  <si>
    <t>F.03.000.020573</t>
  </si>
  <si>
    <t>Binder fechado, fornecimento posto obra</t>
  </si>
  <si>
    <t>F.03.000.024023</t>
  </si>
  <si>
    <t>Manta asfáltica plastomérica com armadura filme de poliéster tipo III, espessura 4mm, face exposta em geotêxtil, Premium Geotêxtil da Viapol ou equivalente</t>
  </si>
  <si>
    <t>F.03.000.024031</t>
  </si>
  <si>
    <t>Papel betumado KRAFT</t>
  </si>
  <si>
    <t>F.03.000.024034</t>
  </si>
  <si>
    <t>Asfalto oxidado tipo II (NBR9910), ref. Denver asfalto OX ou 084 da Petrox ou equivalente</t>
  </si>
  <si>
    <t>F.03.000.024078</t>
  </si>
  <si>
    <t>Impermeabilização flexível à base polímeros acrílicos; ref. Denvercril Super / Igolflex / Vedapren / Viaflex branco ou equivalente</t>
  </si>
  <si>
    <t>F.03.000.024081</t>
  </si>
  <si>
    <t>Membrana de asfalto modificado com elastômeros cor preta, ref. Vedapren / Otto Baumgart, Denverpren SBS / Denver, Igolflex Preto / Sika ou equivalente</t>
  </si>
  <si>
    <t>F.03.000.024109</t>
  </si>
  <si>
    <t>Manta asfáltica com armadura filme de poliéster, tipo III-B, espessura de 3 mm, ref. Denvermanta III-B Denver Global, Torodin III-B Viapol, Premium Poliéster III-B Viapol ou equivalente</t>
  </si>
  <si>
    <t>F.03.000.024110</t>
  </si>
  <si>
    <t>Manta asfáltica com armadura filme de poliéster, tipo III-B, espessura de 4 mm, ref. Denvermanta III-B Denver Global, Torodin III-B Viapol, Premium Poliéster III-B Viapol ou equivalente</t>
  </si>
  <si>
    <t>F.03.000.024111</t>
  </si>
  <si>
    <t>Manta asfáltica tipo III-B, esp. 3mm, face exposta em geotêxtil, ref. Denvermanta Geotêxtil III-B -Denver Global, Torodin Geotêxtil III-B e Premium III-B Viapol ou equivalente</t>
  </si>
  <si>
    <t>F.03.000.024534</t>
  </si>
  <si>
    <t>Isolamento térmico em espuma elastomérica, espessura de 9 a 12 mm, para tubulação água quente e refrigeração, diâmetro de 1/4´ (cobre)</t>
  </si>
  <si>
    <t>F.03.000.024535</t>
  </si>
  <si>
    <t>Isolamento térmico em espuma elastomérica, espessura de 9 a 12 mm, para tubulação água quente e refrigeração, diâmetro de 5/8´ (cobre) ou 1/4´ (ferro)</t>
  </si>
  <si>
    <t>F.03.000.024549</t>
  </si>
  <si>
    <t>Manta elastomérica para tubulação de água quente e refrigeração, espessura de 19 a 26 mm</t>
  </si>
  <si>
    <t>F.03.000.024550</t>
  </si>
  <si>
    <t>Isolamento térmico em espuma elastomérica, espessura de 19 a 26 mm, para tubulação de água quente e refrigeração, diâmetro de 3/8" (cobre) e 1/8" (ferro)</t>
  </si>
  <si>
    <t>F.03.000.024551</t>
  </si>
  <si>
    <t>Isolamento térmico em espuma elastomérica, espessura de 19 a 26 mm, para tubulação de água quente e refrigeração, diâmetro de 3/4" (cobre) e 3/8" (ferro)</t>
  </si>
  <si>
    <t>F.03.000.024702</t>
  </si>
  <si>
    <t>Asfalto betuminoso (CAP 85/100= CAP 7)(CAP 50/60= CAP 20)</t>
  </si>
  <si>
    <t>F.03.000.024704</t>
  </si>
  <si>
    <t>Emulsão RR-1-C</t>
  </si>
  <si>
    <t>F.03.000.024705</t>
  </si>
  <si>
    <t>Asfalto diluído CM-30</t>
  </si>
  <si>
    <t>F.03.000.039005</t>
  </si>
  <si>
    <t>F.04.000.025523</t>
  </si>
  <si>
    <t>Cumeeira para telha de poliester reforçado com fibra de vidro (PRFV), perfil trapezoidal 49 ou kalheta; ref. Coberfibras, Cersan, Fibratel Telhas, Doplast ou equivalente</t>
  </si>
  <si>
    <t>F.04.000.025549</t>
  </si>
  <si>
    <t>Domo em acrílico fixado com perfil de alumínio, de 1,05 x 1,05 m ref. Alumecril, Domoplast ou equivalente - instalado</t>
  </si>
  <si>
    <t>F.04.000.025550</t>
  </si>
  <si>
    <t>Chapa em policarbonato alveolar bronze de 6 x 1050 x 6000 mm</t>
  </si>
  <si>
    <t>F.04.000.025600</t>
  </si>
  <si>
    <t>Chapa em policarbonato compacto, cor fumê/bronze, espessura de 6mm</t>
  </si>
  <si>
    <t>F.04.000.025601</t>
  </si>
  <si>
    <t>Chapa em policarbonato compacto, cor cristal, espessura de 6mm</t>
  </si>
  <si>
    <t>F.04.000.025602</t>
  </si>
  <si>
    <t>Chapa em policarbonato compacto, cor cristal, espessura de 10mm</t>
  </si>
  <si>
    <t>F.04.000.025608</t>
  </si>
  <si>
    <t>Telha de poliester reforçado com fibra de vidro (PRFV), perfil trapezoidal 49 ou kalheta, com espessura de 1,5mm; ref. Coberfibras, Cersan, Fibratel Telhas, Doplast ou equivalente</t>
  </si>
  <si>
    <t>F.04.000.025638</t>
  </si>
  <si>
    <t>Chapa em policarbonato alveolar bronze de 10 x 2100 x 6000 mm</t>
  </si>
  <si>
    <t>F.04.000.025642</t>
  </si>
  <si>
    <t>Chapa em policarbonato alveolar translúcido de 10 x 2100 x 6000 mm</t>
  </si>
  <si>
    <t>F.04.000.026505</t>
  </si>
  <si>
    <t>Calço plástico para telha ondulada, 18 mm</t>
  </si>
  <si>
    <t>F.04.000.026506</t>
  </si>
  <si>
    <t>Calço plástico para telha trapezoidal, 38 mm</t>
  </si>
  <si>
    <t>F.04.000.090497</t>
  </si>
  <si>
    <t>Chapa em policarbonato alveolar de 6mm</t>
  </si>
  <si>
    <t>F.07.000.022013</t>
  </si>
  <si>
    <t>Poliestireno expandido densidade 9 a 10 kg/m³ - P1 para enchimento</t>
  </si>
  <si>
    <t>F.07.000.022016</t>
  </si>
  <si>
    <t>EPS (poliestireno expandido) tipo 5F com densidade de 22,5 kg/m³, antichamas (tipo F), resistência a compressão de 104 KPa, deformação de 10%, em blocos</t>
  </si>
  <si>
    <t>F.07.000.024075</t>
  </si>
  <si>
    <t>Manta de lã de vidro e/ou lã de rocha de 2´</t>
  </si>
  <si>
    <t>F.07.000.024507</t>
  </si>
  <si>
    <t>F.07.000.024513</t>
  </si>
  <si>
    <t>F.07.000.024536</t>
  </si>
  <si>
    <t>Isolamento térmico em espuma elastomérica, espessura de 9 a 12 mm, para tubulação água quente e refrigeração, diâmetro de 1/2´ (cobre)</t>
  </si>
  <si>
    <t>F.07.000.024537</t>
  </si>
  <si>
    <t>Isolamento térmico em espuma elastomérica, espessura de 9 a 12 mm, para tubulação água quente e refrigeração, diâmetro de 1´ (cobre)</t>
  </si>
  <si>
    <t>F.07.000.024538</t>
  </si>
  <si>
    <t>Isolamento térmico em espuma elastomérica, espessura de 19 a 26 mm, para tubulação água quente e refrigeração, diâmetro de 7/8´ (cobre) / 1/2´ (ferro)</t>
  </si>
  <si>
    <t>F.07.000.024539</t>
  </si>
  <si>
    <t>Isolamento térmico em espuma elastomérica, espessura de 19 a 26 mm, para tubulação água quente e refrigeração, diâmetro de 1 1/8´ (cobre) / 3/4´ (ferro)</t>
  </si>
  <si>
    <t>F.07.000.024540</t>
  </si>
  <si>
    <t>Isolamento térmico em espuma elastomérica, espessura de 19 a 26 mm, para tubulação água quente e refrigeração, diâmetro de 1 3/8´ (cobre) ou 1´ (ferro)</t>
  </si>
  <si>
    <t>F.07.000.024541</t>
  </si>
  <si>
    <t>Isolamento térmico em espuma elastomérica, espessura de 19 a 26 mm, para tubulação água quente e refrigeração, diâmetro de 1 5/8´ (cobre) ou 1 1/4´ (ferro)</t>
  </si>
  <si>
    <t>F.07.000.024542</t>
  </si>
  <si>
    <t>Isolamento térmico em espuma elastomérica, espessura de 19 a 26 mm, para tubulação água quente e refrigeração, diâmetro de 1 1/2´ (ferro)</t>
  </si>
  <si>
    <t>F.07.000.024543</t>
  </si>
  <si>
    <t>Isolamento térmico em espuma elastomérica, espessura de 19 a 26 mm, para tubulação água quente e refrigeração, diâmetro de 2´ (ferro)</t>
  </si>
  <si>
    <t>F.07.000.024544</t>
  </si>
  <si>
    <t>Isolamento térmico em espuma elastomérica, espessura de 19 a 26 mm, para tubulação água quente e refrigeração, diâmetro de 2 1/2´ (ferro)</t>
  </si>
  <si>
    <t>F.07.000.024545</t>
  </si>
  <si>
    <t>Isolamento térmico em espuma elastomérica, espessura de 19 a 26 mm, para tubulação água quente e refrigeração, diâmetro de 3 1/2´ (cobre) / 3´ (ferro)</t>
  </si>
  <si>
    <t>F.07.000.024546</t>
  </si>
  <si>
    <t>Isolamento térmico em espuma elastomérica, espessura de 19 a 26 mm, para tubulação água quente e refrigeração, diâmetro de 4´ (ferro)</t>
  </si>
  <si>
    <t>F.07.000.024547</t>
  </si>
  <si>
    <t>Isolamento térmico em espuma elastomérica, espessura de 19 a 26 mm, para tubulação água quente e refrigeração, diâmetro de 5´ (ferro)</t>
  </si>
  <si>
    <t>F.07.000.024548</t>
  </si>
  <si>
    <t>Isolamento térmico em espuma elastomérica, espessura de 19 a 26 mm, para tubulação água quente e refrigeração, diâmetro de 6´ (ferro)</t>
  </si>
  <si>
    <t>F.07.000.024551</t>
  </si>
  <si>
    <t>Manta em fibra cerâmica aluminizada, espessura de 38 mm, densidade 96 kg/m³, comprimento de fibra (médio) 100mm, para isolamento térmico de duto de pressurização</t>
  </si>
  <si>
    <t>F.07.000.024571</t>
  </si>
  <si>
    <t>Manta de lã de vidro e/ou lã de rocha de 1´</t>
  </si>
  <si>
    <t>F.08.000.020301</t>
  </si>
  <si>
    <t>DM3</t>
  </si>
  <si>
    <t>F.08.000.024103</t>
  </si>
  <si>
    <t>F.08.000.028059</t>
  </si>
  <si>
    <t>Perfil de acabamento com borracha termoplástica vulcanizada de embutir, para junta dilatação piso-piso, fixação em perfis de alumínio, ref. GFTW100V/GFT100x2" da CS Brasil ou equivalente</t>
  </si>
  <si>
    <t>F.08.000.028060</t>
  </si>
  <si>
    <t>Perfil de acabamento com borracha santoprene de embutir, para junta de dilatação, piso-parede, fixação em perfis de alumínio, ref. Cosimo Cataldo ou equivalente</t>
  </si>
  <si>
    <t>F.08.000.028061</t>
  </si>
  <si>
    <t>Perfil de acabamento com borracha santoprene de embutir, para junta dilatação parede-parede ou forro-forro, fixação em perfis de alumínio, ref. Cosimo Cataldo ou equivalente</t>
  </si>
  <si>
    <t>F.08.000.028062</t>
  </si>
  <si>
    <t>Perfil de acabamento com borracha santoprene de embutir, para junta dilatação parede-parede ou forro-forro-canto, fixação em perfis de alumínio, ref. Cosimo Cataldo ou equivalente</t>
  </si>
  <si>
    <t>F.08.000.028065</t>
  </si>
  <si>
    <t>Mastique elástico poliuretano para juntas; referência comercial Vedaflex da Otto Baumgart, Sikaflex 1A da Sika ou equivalente</t>
  </si>
  <si>
    <t>F.08.000.033572</t>
  </si>
  <si>
    <t>Friso para junta de dilatação em revestimento granito lavado tipo Fulget</t>
  </si>
  <si>
    <t>F.08.000.036004</t>
  </si>
  <si>
    <t>Junta estrutural, UT10VMA Uniontech / JJ1015M Jeene</t>
  </si>
  <si>
    <t>F.08.000.036005</t>
  </si>
  <si>
    <t>Junta estrutural, UT20VMA Uniontech / JJ2027M Jeene</t>
  </si>
  <si>
    <t>F.08.000.036018</t>
  </si>
  <si>
    <t>Junta UT25OAE Uniontech / JJ2540VV Jeene, labios poliméricos</t>
  </si>
  <si>
    <t>F.08.000.036019</t>
  </si>
  <si>
    <t>Junta UT35OAE Uniontech / JJ3550VV Jeene, labios poliméricos</t>
  </si>
  <si>
    <t>F.08.000.036025</t>
  </si>
  <si>
    <t>F.08.000.036027</t>
  </si>
  <si>
    <t>F.08.000.036063</t>
  </si>
  <si>
    <t>Juntas latão 3/4´x 1/8´</t>
  </si>
  <si>
    <t>F.08.000.062020</t>
  </si>
  <si>
    <t>Tarugo de polietileno D=10mm delimitador da junta de dilatação</t>
  </si>
  <si>
    <t>F.08.000.062026</t>
  </si>
  <si>
    <t>Guia de polietileno Tarucel, diâmetro de 15 mm</t>
  </si>
  <si>
    <t>F.09.000.024029</t>
  </si>
  <si>
    <t>Manta geotêxtil com resistência à tração longitudinal de 31kN/m e transversal de 27kN/m, ref. linha Bidim RT ou equivalente</t>
  </si>
  <si>
    <t>F.09.000.024049</t>
  </si>
  <si>
    <t>Manta geotêxtil com resistência à tração longitudinal de 16kN/m e transversal de 14kN/m, ref. linha Bidim RT ou equivalente</t>
  </si>
  <si>
    <t>F.09.000.024080</t>
  </si>
  <si>
    <t>Manta geotêxtil com resistência à tração longitudinal de 10kN/m e transversal de 9kN/m, ref. linha Bidim RT ou equivalente</t>
  </si>
  <si>
    <t>F.09.000.092628</t>
  </si>
  <si>
    <t>Tela de juta (aniagem)</t>
  </si>
  <si>
    <t>F.10.000.023573</t>
  </si>
  <si>
    <t>F.10.000.024058</t>
  </si>
  <si>
    <t>Lâmina refletiva revestida 2 faces em alumínio, dupla malha de reforço resina termoplástica, alta densidade, laminação c/filme entre camadas, cl. A, norma ABNT NBR15567, espes. 0,20mm; ref. Duralfoil Multi 2 de Gib do Brasil ou equivalente</t>
  </si>
  <si>
    <t>F.10.000.024520</t>
  </si>
  <si>
    <t>Espuma flexível poliuretano poliéter, auto extinguível, superfície em cunhas anecóicas ou ondulado, natural grafite, e=50mm, densidade 28 até 35kg/m³; ref. Sonique Wave 50/10 Vibrasom, Sinus PLus da Isopur ou equivalente</t>
  </si>
  <si>
    <t>F.11.000.025601</t>
  </si>
  <si>
    <t>Telha em fibra vegetal, ondulada de 3mm; ref. Onduline, Fibroflex ou equivalente</t>
  </si>
  <si>
    <t>F.11.000.025602</t>
  </si>
  <si>
    <t>Cumeeira em fibra vegetal, lisa de 3mm; ref. Onduline, Fibroflex ou equivalente</t>
  </si>
  <si>
    <t>F.12.000.024008</t>
  </si>
  <si>
    <t>Fita autoadesiva em poliester de 5 cm, para trincas, ref. Fitafix ou equivalente</t>
  </si>
  <si>
    <t>F.12.000.024026</t>
  </si>
  <si>
    <t>Selante endurecedor à base de polímeros siliconados, ref. Otto baugart, Masterkure HD 200WB da Basf ou equivalente</t>
  </si>
  <si>
    <t>F.12.000.024102</t>
  </si>
  <si>
    <t>Geomembrana em polietileno PEAD, lisa em ambas as faces com espessura de 1 mm</t>
  </si>
  <si>
    <t>F.12.000.028008</t>
  </si>
  <si>
    <t>Desmoldante para formas</t>
  </si>
  <si>
    <t>F.12.000.028069</t>
  </si>
  <si>
    <t>F.12.000.028075</t>
  </si>
  <si>
    <t>Cola de contato para espuma elastomérica, isolamento térmico (uso adesivo industrial), ref. Armaflex 520 ou equivalente</t>
  </si>
  <si>
    <t>F.12.000.091473</t>
  </si>
  <si>
    <t>Serviço soldagem geomembrana alta densidade PEAD</t>
  </si>
  <si>
    <t>F.13.000.025534</t>
  </si>
  <si>
    <t>Telha ondulada em CRFS (2,13x1,10m) de 8mm</t>
  </si>
  <si>
    <t>F.13.000.025535</t>
  </si>
  <si>
    <t>Cumeeira universal CRFS 0,06, (1,10), perfil ondulado</t>
  </si>
  <si>
    <t>F.13.000.025538</t>
  </si>
  <si>
    <t>Telha tipo Kalheta 44cm CRFS (3,0 x 0,472m)</t>
  </si>
  <si>
    <t>F.13.000.025539</t>
  </si>
  <si>
    <t>Rufo em CRFS 0,08, Tod.1,10m, perfil ondulado</t>
  </si>
  <si>
    <t>F.13.000.025542</t>
  </si>
  <si>
    <t>Cumeeira normal em CRFS, perfil ondulado (1,10m)</t>
  </si>
  <si>
    <t>F.13.000.025545</t>
  </si>
  <si>
    <t>Telha ondulada em CRFS (2,13x1,10m) de 6mm</t>
  </si>
  <si>
    <t>F.13.000.025551</t>
  </si>
  <si>
    <t>Cumeeira normal em CRFS, perfil Kalheta 44 (0,608m)</t>
  </si>
  <si>
    <t>F.13.000.025552</t>
  </si>
  <si>
    <t>Telha modulada (onda 50) em CRFS (2,30 x 0,605m)</t>
  </si>
  <si>
    <t>F.13.000.025555</t>
  </si>
  <si>
    <t>Cumeeira normal em CRFS, perfil modulada/onda 50(0,6m)</t>
  </si>
  <si>
    <t>F.13.000.025564</t>
  </si>
  <si>
    <t>Espigão normal CRFS perfil modulada/onda 50(1,22m)</t>
  </si>
  <si>
    <t>F.13.000.026001</t>
  </si>
  <si>
    <t>Espigão universal em CRFS perfil ondulado (1,80m)</t>
  </si>
  <si>
    <t>F.14.000.025516</t>
  </si>
  <si>
    <t>F.14.000.025529</t>
  </si>
  <si>
    <t>F.14.000.025531</t>
  </si>
  <si>
    <t>F.14.000.025532</t>
  </si>
  <si>
    <t>F.14.000.025563</t>
  </si>
  <si>
    <t>F.14.000.025576</t>
  </si>
  <si>
    <t>F.14.000.025580</t>
  </si>
  <si>
    <t>F.14.000.025581</t>
  </si>
  <si>
    <t>F.14.000.068001</t>
  </si>
  <si>
    <t>Calha em chapa galvanizada 26 desenvolvimento 0,33 m</t>
  </si>
  <si>
    <t>F.14.000.068002</t>
  </si>
  <si>
    <t>Calha em chapa galvanizada 26 desenvolvimento 0,50 m</t>
  </si>
  <si>
    <t>F.14.000.068025</t>
  </si>
  <si>
    <t>Calha em chapa galvanizada 24 desenvolvimento 0,33 m</t>
  </si>
  <si>
    <t>F.14.000.068026</t>
  </si>
  <si>
    <t>Calha em chapa galvanizada 24 desenvolvimento 0,50 m</t>
  </si>
  <si>
    <t>F.14.000.068027</t>
  </si>
  <si>
    <t>Calha em chapa galvanizada 24 desenvolvimento 1,00 m</t>
  </si>
  <si>
    <t>F.14.000.092046</t>
  </si>
  <si>
    <t>F.14.000.092047</t>
  </si>
  <si>
    <t>G.01.000.022500</t>
  </si>
  <si>
    <t>Elemento vazado em cerâmica, tipo quadriculado de 18x18x7cm</t>
  </si>
  <si>
    <t>G.01.000.022514</t>
  </si>
  <si>
    <t>Tijolo especial maciço para alvenaria a vista</t>
  </si>
  <si>
    <t>G.01.000.022515</t>
  </si>
  <si>
    <t>Tijolo comum maciço</t>
  </si>
  <si>
    <t>G.01.000.022516</t>
  </si>
  <si>
    <t>Tijolo cerâmico furado "baianinho" de 10 x 19 x 19 cm</t>
  </si>
  <si>
    <t>G.01.000.022536</t>
  </si>
  <si>
    <t>Tijolo laminado 5,5 x 11 x 23,5 cm</t>
  </si>
  <si>
    <t>G.01.000.022541</t>
  </si>
  <si>
    <t>G.01.000.022542</t>
  </si>
  <si>
    <t>Bloco cerâmico para vedação 14 x 19 x 39 cm</t>
  </si>
  <si>
    <t>G.01.000.022543</t>
  </si>
  <si>
    <t>G.01.000.022544</t>
  </si>
  <si>
    <t>G.01.000.022545</t>
  </si>
  <si>
    <t>G.01.000.025501</t>
  </si>
  <si>
    <t>Telha de barro tipo francesa</t>
  </si>
  <si>
    <t>G.01.000.025508</t>
  </si>
  <si>
    <t>Telha de barro tipo plan</t>
  </si>
  <si>
    <t>G.01.000.025533</t>
  </si>
  <si>
    <t>Telha de barro tipo italiana</t>
  </si>
  <si>
    <t>G.01.000.025536</t>
  </si>
  <si>
    <t>Telha de barro tipo romana</t>
  </si>
  <si>
    <t>G.01.000.025537</t>
  </si>
  <si>
    <t>Cumeeira para telhas tipo universal</t>
  </si>
  <si>
    <t>G.01.000.025639</t>
  </si>
  <si>
    <t>Final de espigão de barro - (terminal de cumeeira)</t>
  </si>
  <si>
    <t>G.01.000.026042</t>
  </si>
  <si>
    <t>Telhas cerâmica, tipo colonial paulista (capa e canal)</t>
  </si>
  <si>
    <t>G.02.000.022584</t>
  </si>
  <si>
    <t>G.02.000.022585</t>
  </si>
  <si>
    <t>Placa cerâmica extrudada para uso vertical (paredes e fachadas), com garras cônicas, espessura entre 9 e 10 mm, ref. linha Natural da Gail, linha Piscina e Cor e linha Industrial Premium da Cerâmica São Luiz ou equivalente</t>
  </si>
  <si>
    <t>G.02.000.023000</t>
  </si>
  <si>
    <t>Ladrilho hidráulico antiderrapante, tipo rampa, várias cores, de 30x30cm; ref. Ivaí, Mosaico Amazonas ou equivalente</t>
  </si>
  <si>
    <t>G.02.000.023001</t>
  </si>
  <si>
    <t>G.02.000.023003</t>
  </si>
  <si>
    <t>Porcelanato esmaltado polido, com acabamento retificado, indicado para áreas internas e ambientes com tráfego médio, grupo de absorção BIa; referência comercial Eliane, Cecrisa-Portinari ou equivalente</t>
  </si>
  <si>
    <t>G.02.000.023005</t>
  </si>
  <si>
    <t>Placa cerâmica esmaltada para parede ou fachada, de 7,5x7,5cm, monocromática; ref. Guaíba OBD da Atlas, Prisma branco da Portobello ou equivalente</t>
  </si>
  <si>
    <t>G.02.000.023006</t>
  </si>
  <si>
    <t>Placa cerâmica esmaltada para parede ou fachada, de 10x10 cm, monocromática, diversas cores; ref. linha esmaltado ou brilhante da Tecnogres, Ibérica White da Strufaldi ou equivalente</t>
  </si>
  <si>
    <t>G.02.000.023007</t>
  </si>
  <si>
    <t>Placa cerâmica esmaltada para parede, ambientes internos, tipo monoporosa; ref. linha Diamante da Eliane, branco acetinado da Artens ou equivalente</t>
  </si>
  <si>
    <t>G.02.000.023008</t>
  </si>
  <si>
    <t>Placa cerâmica esmaltada para parede, de 15x15cm, tipo monocolor, diversas cores; ref. White/azul da Geral, bold cobalto/branco da Pierini ou equivalente</t>
  </si>
  <si>
    <t>G.02.000.023009</t>
  </si>
  <si>
    <t>Placa cerâmica esmaltada para parede, de 20x20cm, tipo monocolor, diversas cores, borda bold, grupo BIIa; ref. Branco liso/Quarter da Pierini, Eliane ou equivalente</t>
  </si>
  <si>
    <t>G.02.000.023017</t>
  </si>
  <si>
    <t>Placa cerâmica extrudada resistente a altas temperaturas, para pisos indústrias e cozinhas profissionais, alta resistência química e mecânica, espessura mínima 13 mm; ref. Gail, Cerâmica São Luiz ou equivalente</t>
  </si>
  <si>
    <t>G.02.000.023018</t>
  </si>
  <si>
    <t>Rodapé em placa cerâmica extrudada, resistente a altas temperaturas, para pisos industriais e cozinhas profissionais, alta resistência química e mecânica, altura de 10 cm; ref. Gail, Cerâmica São Luiz ou equivalente</t>
  </si>
  <si>
    <t>G.02.000.032009</t>
  </si>
  <si>
    <t>Ladrilho hidráulico para portadores de deficiência física/visual 25x25x2,5cm; ref. Mosaicos Amazonas, Pisos Paulista, Mosaicos Bernardi ou equivalente</t>
  </si>
  <si>
    <t>G.02.000.034499</t>
  </si>
  <si>
    <t>Placa cerâmica extrudada para piso industrial, de alta resistência química e mecânica, nas dimensões 300 x 300 x 9 mm; referência Gail ou equivalente</t>
  </si>
  <si>
    <t>G.02.000.034523</t>
  </si>
  <si>
    <t>Placa cerâmica esmaltada antiderrapante, área interna com saída para o exterior, grupo de absorção BIIa, classe de abrasão PEI-5, resistência química A; ref. Biancogres, Incepa, Elizabeth ou equivalente</t>
  </si>
  <si>
    <t>G.02.000.034525</t>
  </si>
  <si>
    <t>Placa cerâmica esmaltada para área interna, grupo de absorção BIIb, classe de abrasão PEI-5, resistência química B; ref. Neve/Malta/Bariloche da Formigres, Rotocolor da Angra, Navona da Savane ou equivalente</t>
  </si>
  <si>
    <t>G.02.000.034532</t>
  </si>
  <si>
    <t>G.02.000.034534</t>
  </si>
  <si>
    <t>G.02.000.034535</t>
  </si>
  <si>
    <t>G.02.000.034536</t>
  </si>
  <si>
    <t>Placa cerâmica extrudada para piso industrial, de alta resistência química e mecânica, com espessura de 9 a 10 mm; ref. Gail, Cerâmica São Luiz ou equivalente</t>
  </si>
  <si>
    <t>G.02.000.034537</t>
  </si>
  <si>
    <t>Placa cerâmica extrudada para piso industrial, de alta resistência química e mecânica, com espessura de 13 a 14 mm; ref. Gail, Cerâmica São Luiz ou equivalente</t>
  </si>
  <si>
    <t>G.02.000.034538</t>
  </si>
  <si>
    <t>Rodapé em placa cerâmica extrudada para piso industrial, de alta resistência química e mecânica, com altura de 10 cm, topo boleado; ref. Gail, Cerâmica São Luiz ou equivalente</t>
  </si>
  <si>
    <t>G.02.000.034545</t>
  </si>
  <si>
    <t>G.02.000.034583</t>
  </si>
  <si>
    <t>Porcelanato técnico não esmaltado tipo antiderrapante, com acabamento retificado, resistente ao escorregamento, indicado para ambientes externos, grupo de absorção BIa, ref. comercial Eliane, Elizabeth, Portinari ou equivalente</t>
  </si>
  <si>
    <t>G.02.000.034585</t>
  </si>
  <si>
    <t>Porcelanato esmaltado tipo acetinado, indicado para áreas internas e ambientes com acesso ao exterior, com acabamento tradicional, grupo de absorção BIa; ref. comercial Eliane, Elizabeth, Cecrisa-Portinari ou equivalente</t>
  </si>
  <si>
    <t>G.02.000.034590</t>
  </si>
  <si>
    <t>Porcelanato técnico natural, com acabamento retificado, indicado para áreas internas e ambientes com acesso ao exterior, grupo de absorção BIa; ref. Eliane, Incepa ou equivalente</t>
  </si>
  <si>
    <t>G.02.000.034592</t>
  </si>
  <si>
    <t>Porcelanato técnico polido, indicado para ambientes internos e de médio tráfego, grupo de absorção BIa; referência comercial Eliane, Incepa, Cecrisa-Portinari ou equivalente</t>
  </si>
  <si>
    <t>H.01.000.021198</t>
  </si>
  <si>
    <t>Barra antipânico para porta dupla com travamentos horizontal e vertical completa, com maçaneta tipo alavanca e chave, para vãos de 1,40 a 1,60 m</t>
  </si>
  <si>
    <t>H.01.000.021199</t>
  </si>
  <si>
    <t>Barra antipânico para porta dupla com travamentos horizontal e vertical completa, com maçaneta tipo alavanca e chave, para vãos de 1,70 a 2,60 m</t>
  </si>
  <si>
    <t>H.01.000.021229</t>
  </si>
  <si>
    <t>Porta corta-fogo classe P.120 de 80 x 210 cm, chapa de aço, com uma folha de abrir, completa, sem barra antipânico</t>
  </si>
  <si>
    <t>H.01.000.021234</t>
  </si>
  <si>
    <t>Porta corta-fogo classe P.90, em aço galvanizada, com barra antipânico numa face e maçaneta na outra, completa; ref. Authentic ou equivalente</t>
  </si>
  <si>
    <t>H.01.000.021403</t>
  </si>
  <si>
    <t>Porta corta-fogo classe P.120 de 90 x 210 cm, chapa de aço, com uma folha de abrir, completa, sem barra anti-pânico</t>
  </si>
  <si>
    <t>H.01.000.031213</t>
  </si>
  <si>
    <t>Porta corta-fogo classe P.90 de 90 x 210 cm, completa, com maçaneta tipo alavanca e batentes (NBR 11742)</t>
  </si>
  <si>
    <t>H.01.000.031233</t>
  </si>
  <si>
    <t>Porta corta-fogo classe P.90 de 100 x 210 cm, completa, com maçaneta tipo alavanca e batentes (NBR 11742)</t>
  </si>
  <si>
    <t>H.01.000.031674</t>
  </si>
  <si>
    <t>Barra antipânico de sobrepor, com maçaneta e chave, com travamento horizontal, para porta em vidro de 1 folha</t>
  </si>
  <si>
    <t>H.01.000.031919</t>
  </si>
  <si>
    <t>Barra antipânico de sobrepor, com maçaneta e chave, com travamento vertical, para porta em vidro de 2 folhas</t>
  </si>
  <si>
    <t>H.02.000.030107</t>
  </si>
  <si>
    <t>Folha de porta veneziana maciça sob medida</t>
  </si>
  <si>
    <t>H.02.000.065547</t>
  </si>
  <si>
    <t>Armário sob medida compensado, revestido folheado madeira (mogno, freijó, imbuia, marfim, cerejeira) dobradiça em aço, puxadores, trinco com chave profundidade até 50cm</t>
  </si>
  <si>
    <t>H.02.000.065548</t>
  </si>
  <si>
    <t>Armário sob medida compensado, revestido laminado melamínico texturizado, várias cores (post forming) dobradiça em aço, puxadores, trinco com chave, profundidade até 50 cm</t>
  </si>
  <si>
    <t>H.02.000.090738</t>
  </si>
  <si>
    <t>Folha de porta em madeira para receber vidro, com montantes em imbuia</t>
  </si>
  <si>
    <t>H.02.000.090741</t>
  </si>
  <si>
    <t>Caixilho de madeira maxim-ar</t>
  </si>
  <si>
    <t>H.02.000.090797</t>
  </si>
  <si>
    <t>H.02.000.090798</t>
  </si>
  <si>
    <t>Prateleira sob medida em compensado, revestido nas 2 faces com laminado fenólico melamínico, e= 20 mm, L= 45 cm, C= 1,20 m - instalado</t>
  </si>
  <si>
    <t>H.02.000.090801</t>
  </si>
  <si>
    <t>Armário tipo prateleira revestido em laminado fenólico melamínico, espessura 20mm - instalado</t>
  </si>
  <si>
    <t>H.02.000.090802</t>
  </si>
  <si>
    <t>Tampo compensado, espessura de 25 mm, largura de 60 cm, revestimento na face superior em laminado fenólico melamínico - instalado</t>
  </si>
  <si>
    <t>H.02.000.090916</t>
  </si>
  <si>
    <t>Armário/gabinete embutido em MDF sob medida, revestido em laminado melamínico, com portas, prateleiras e ferragens - instalado</t>
  </si>
  <si>
    <t>H.03.000.026208</t>
  </si>
  <si>
    <t>Chapa perfurada em aço SAE 1020, furos redondos de diâmetro 25mm, área aberta de 57%, espessura 1/4´ - inclusive sondagem</t>
  </si>
  <si>
    <t>H.03.000.027541</t>
  </si>
  <si>
    <t>Portão tipo basculante com contrapeso, em chapa metálica 14 calandrada, estruturado com perfis metálicos, uma folha, de 3,30 x 7,20 m, completo, sem motor</t>
  </si>
  <si>
    <t>H.03.000.027618</t>
  </si>
  <si>
    <t>Porta de ferro acústica, espessura de 80mm, batente tripla vedação 185mm, com fechadura e maçaneta, pintura eletrostática cor a definir</t>
  </si>
  <si>
    <t>H.03.000.030355</t>
  </si>
  <si>
    <t>Porta veneziana completa para abrigo em chapa</t>
  </si>
  <si>
    <t>H.03.000.031045</t>
  </si>
  <si>
    <t>Porta ferro de abrir para receber vidro, sob medida</t>
  </si>
  <si>
    <t>H.03.000.031126</t>
  </si>
  <si>
    <t>Fechamento em chapa perfurada de 1,2mm, furos quadrados 4x4mm, com requadro cantoneira em aço carbono, sob medida</t>
  </si>
  <si>
    <t>H.03.000.031205</t>
  </si>
  <si>
    <t>Veneziana de ferro com folhas fixas e de correr sem grade, com 6 folhas; referência comercial JVB 62.51.301-2/62.51.304-7 Belfort da Sasazaki ou equivalente - linha comercial</t>
  </si>
  <si>
    <t>H.03.000.031206</t>
  </si>
  <si>
    <t>Porta de ferro veneziana de abrir 217 x 87 cm, 1 folha, ref. Belfort da Sasazaki ou equivalente - linha comercial</t>
  </si>
  <si>
    <t>H.03.000.031222</t>
  </si>
  <si>
    <t>Porta em chapa n° 14 com batente</t>
  </si>
  <si>
    <t>H.03.000.031225</t>
  </si>
  <si>
    <t>Porta/portão correr em chapa cega dupla, sobmedida</t>
  </si>
  <si>
    <t>H.03.000.031241</t>
  </si>
  <si>
    <t>Caixilho de correr em chapa de ferro dobrado, com subdivisão, sob medida</t>
  </si>
  <si>
    <t>H.03.000.031244</t>
  </si>
  <si>
    <t>Caixilho em ferro, tipo basculante, perfil em ´T´ e ´L´ com espessura de 1/8´, sob medida</t>
  </si>
  <si>
    <t>H.03.000.031245</t>
  </si>
  <si>
    <t>Caixilho em perfis de chapa dobrada, com espessura de 1/8´, baguetes em chapa de aço 14, para fixação de vidros, sob medida</t>
  </si>
  <si>
    <t>H.03.000.031262</t>
  </si>
  <si>
    <t>Porta ferro de abrir para receber vidro, parte inferior chapeada sob medida</t>
  </si>
  <si>
    <t>H.03.000.031266</t>
  </si>
  <si>
    <t>Grade de proteção para caixilhos</t>
  </si>
  <si>
    <t>H.03.000.031273</t>
  </si>
  <si>
    <t>Fechamento em chapa metálica expandida EXP-12D com requadro em cantoneira</t>
  </si>
  <si>
    <t>H.03.000.031274</t>
  </si>
  <si>
    <t>Grade de proteção em barra chata soldada 1 1/2´x1/4´, com requadro em chapa dobrada</t>
  </si>
  <si>
    <t>H.03.000.031275</t>
  </si>
  <si>
    <t>Portinhola de correr em chapa de aço 1/4´, para "passa pacote", completa</t>
  </si>
  <si>
    <t>H.03.000.031276</t>
  </si>
  <si>
    <t>Portinhola de abrir, dupla, em chapa de aço 10, para "passa pacote", completa sob medida</t>
  </si>
  <si>
    <t>H.03.000.031284</t>
  </si>
  <si>
    <t>Grade média em aço carbono com espaçamento de 2cm, com barra chata 1´ x 3/8´</t>
  </si>
  <si>
    <t>H.03.000.031296</t>
  </si>
  <si>
    <t>Portão tipo gradil 1 ou 2 folhas, com ou sem bandeira, sob medida</t>
  </si>
  <si>
    <t>H.03.000.031627</t>
  </si>
  <si>
    <t>Porta de abrir em chapa dupla 14 com visor, batente envolvente, completa</t>
  </si>
  <si>
    <t>H.03.000.067564</t>
  </si>
  <si>
    <t>Grelha arvoreira em ferro fundido nodular</t>
  </si>
  <si>
    <t>H.03.000.068037</t>
  </si>
  <si>
    <t>Fechamento em chapa de aço 14 MSG perfurada com diâmetro de 12,7 mm, com requadro em chapa dobrada</t>
  </si>
  <si>
    <t>H.03.000.090241</t>
  </si>
  <si>
    <t>Caixilho em ferro com ventilação permanente, perfil de ferro tipo ´T´ de 1´ x 1/8´ - sob medida</t>
  </si>
  <si>
    <t>H.03.000.090904</t>
  </si>
  <si>
    <t>Caixilho em ferro veneziana em perfis ´L´ e ´T´ com espessura de 1/8´ - sob medida</t>
  </si>
  <si>
    <t>H.04.000.026223</t>
  </si>
  <si>
    <t>Portão de abrir 2 folhas, com tela ondulada galvanizada, malha 2´ e fio 10BWG, cantoneira 5/8x1/8, esquadro tubular de 100x50mm, aço SAE 1008/1010 galvanizado</t>
  </si>
  <si>
    <t>H.04.000.026229</t>
  </si>
  <si>
    <t>Porta de enrolar automatizada, em chapa aço galvanizado 20 perfil articulada raiada, meia cana com micro perfurações, tipo transvision, inclusive coluna</t>
  </si>
  <si>
    <t>H.04.000.026233</t>
  </si>
  <si>
    <t>Guarda-corpo em tubo de aço galvanizado, diâmetro de 1 1/2´ para receber vidro</t>
  </si>
  <si>
    <t>H.04.000.026666</t>
  </si>
  <si>
    <t>Tampa em chapa xadrez galvanizada a fogo antiderrapante, espessura 1/4´ 50kg/m² com cantoneira 1´ x 1´ x 1/8´</t>
  </si>
  <si>
    <t>H.04.000.027501</t>
  </si>
  <si>
    <t>Alambrado em tela de aço galvanizado malha 2´, com montantes metálicos</t>
  </si>
  <si>
    <t>H.04.000.027517</t>
  </si>
  <si>
    <t>Alambrado de segurança em aço galvanizado malha 1´, fio 12BWG, com montantes verticais aço carbono SAE 1008/1010 e arame farpado, completo</t>
  </si>
  <si>
    <t>H.04.000.027524</t>
  </si>
  <si>
    <t>Caixilho fixo em tela galvanizada, revestida com poliamida, malha 10mm</t>
  </si>
  <si>
    <t>H.04.000.027530</t>
  </si>
  <si>
    <t>H.04.000.031006</t>
  </si>
  <si>
    <t>Corrimão tubular em aço galvanizado, diâmetro de 1 1/2´</t>
  </si>
  <si>
    <t>H.04.000.031007</t>
  </si>
  <si>
    <t>Corrimão tubular em aço galvanizado, diâmetro de 2´</t>
  </si>
  <si>
    <t>H.04.000.031030</t>
  </si>
  <si>
    <t>Porta de enrolar manual em chapa de aço galvanizado 22 perfil articulada raiada, meia cana cega ou vazada</t>
  </si>
  <si>
    <t>H.04.000.031111</t>
  </si>
  <si>
    <t>Mão de obra especializada para instalação de veneziana industrial em aço galvanizado com aletas em resina reforçada de fibra de vidro</t>
  </si>
  <si>
    <t>H.04.000.031224</t>
  </si>
  <si>
    <t>H.04.000.031249</t>
  </si>
  <si>
    <t>H.04.000.031269</t>
  </si>
  <si>
    <t>Caixilho fixo em tela de aço galvanizada, tipo ondulada com malha 1/2´, fio 12, com requadro cantoneira de aço carbono, sob medida</t>
  </si>
  <si>
    <t>H.04.000.031270</t>
  </si>
  <si>
    <t>Caixilho removível em tela de aço galvanizada, tipo ondulada com malha 1´, fio 12, com requadro tubular de aço carbono de 2´, sob medida</t>
  </si>
  <si>
    <t>H.04.000.031272</t>
  </si>
  <si>
    <t>Porta de abrir em tela de aço galvanizado, ondulada de 1´ fio 12, sob medida</t>
  </si>
  <si>
    <t>H.04.000.031282</t>
  </si>
  <si>
    <t>Caixilho para vidro á prova de bala em aço SAE1010/1020</t>
  </si>
  <si>
    <t>H.04.000.031312</t>
  </si>
  <si>
    <t>H.04.000.031352</t>
  </si>
  <si>
    <t>Guarda-corpo em tubo de aço galvanizado, diâmetro de 1 1/2´ com tela ondulada artística</t>
  </si>
  <si>
    <t>H.04.000.031374</t>
  </si>
  <si>
    <t>Escada marinheiro galvanizada com guarda-corpo</t>
  </si>
  <si>
    <t>H.04.000.031375</t>
  </si>
  <si>
    <t>Escada marinheiro galvanizada</t>
  </si>
  <si>
    <t>H.04.000.031390</t>
  </si>
  <si>
    <t>Tampa para alçapão em chapa de aço galvanizada de 14, com porta cadeado</t>
  </si>
  <si>
    <t>H.04.000.031395</t>
  </si>
  <si>
    <t>Portão 2 folhas tubular diâmetro 3´, com tela em aço galvanizado 2´, altura acima 3,0m, completo; ref. São Luiz, Alambre e Pruden Art ou equivalente</t>
  </si>
  <si>
    <t>H.04.000.031616</t>
  </si>
  <si>
    <t>Portão pivotante/abrir aço galvanizado de 65x132mm, pintura eletrostática, 1 folha, medida 2200x1000mm, dimensão 100x2100mm, incluso Pilares</t>
  </si>
  <si>
    <t>H.04.000.031617</t>
  </si>
  <si>
    <t>Portão pivotante/abrir aço galvanizado de 65x132mm, pintura eletrostática, 2 folhas, medida 2200x3600mm, dimensão 1600x2100mm, incluso requadro e pilares</t>
  </si>
  <si>
    <t>H.04.000.031618</t>
  </si>
  <si>
    <t>Gradil em aço galvanizado eletrofundido de 1718x1650mm e pintura eletrostática, 65x132mm e barra portante 25x2mm</t>
  </si>
  <si>
    <t>H.04.000.031619</t>
  </si>
  <si>
    <t>Montante para gradil em aço galvanizado eletrofundido, pintura eletrostática, chato, dimensões 2120 x 76 x 8 mm</t>
  </si>
  <si>
    <t>H.04.000.031621</t>
  </si>
  <si>
    <t>Portão deslizante/correr em aço galvanizado de 65x132mm, pintura eletrostática, inclusive requadros e pilares, dimensão 1600x2100mm</t>
  </si>
  <si>
    <t>H.04.000.031633</t>
  </si>
  <si>
    <t>Porta de enrolar em chapa de aço galvanizado, perfil meia-cana Tansvizion de 22, automatizada, com controle remoto, pintura eletrostática - instalada</t>
  </si>
  <si>
    <t>H.04.000.091169</t>
  </si>
  <si>
    <t>Portão 1 ou 2 folhas tubular com tela de arame galvanizado, completo até 2,50m</t>
  </si>
  <si>
    <t>H.04.000.091170</t>
  </si>
  <si>
    <t>Alambrado de segurança em aço galvanizado malha 2´, fio 10, com montantes verticais em tubos de aço carbono SAE 1008/1010 e arame farpado completo</t>
  </si>
  <si>
    <t>H.04.000.091532</t>
  </si>
  <si>
    <t>Portão com 2 folhas, tubular em tela de aço galvanizado, para alambrado, com altura acima de 2,50m</t>
  </si>
  <si>
    <t>H.04.000.091533</t>
  </si>
  <si>
    <t>Alambrado de segurança em aço galvanizado malha 2´, com montantes verticais em tubos de aço carbono SAE 1008/1010 e arame farpado, acima de 4,00 m de altura</t>
  </si>
  <si>
    <t>H.04.000.092647</t>
  </si>
  <si>
    <t>H.04.000.092773</t>
  </si>
  <si>
    <t>H.05.000.027629</t>
  </si>
  <si>
    <t>Caixilho em alumínio anodizado natural fixo, linha Cittá da Alcoa ou equivalente</t>
  </si>
  <si>
    <t>H.05.000.027630</t>
  </si>
  <si>
    <t>H.05.000.027631</t>
  </si>
  <si>
    <t>H.05.000.027635</t>
  </si>
  <si>
    <t>Caixilho fixo em alumínio anodizado, nas cores bronze/preto, linha 30 - sem vidro</t>
  </si>
  <si>
    <t>H.05.000.027636</t>
  </si>
  <si>
    <t>Caixilho basculante em alumínio anodizado, nas cores bronze/preto, linha 30 - sem vidro</t>
  </si>
  <si>
    <t>H.05.000.027637</t>
  </si>
  <si>
    <t>Caixilho maxim-ar em alumínio anodizado, nas cores bronze/preto, linha 30 - sem vidro</t>
  </si>
  <si>
    <t>H.05.000.027638</t>
  </si>
  <si>
    <t>Caixilho de correr em alumínio anodizado, nas cores bronze/preto, linha 30 - sem vidro</t>
  </si>
  <si>
    <t>H.05.000.027639</t>
  </si>
  <si>
    <t>Porta de abrir em alumínio anodizado, nas cores bronze/preto, linha 30 - sem vidro</t>
  </si>
  <si>
    <t>H.05.000.027640</t>
  </si>
  <si>
    <t>Porta de correr em alumínio anodizado, nas cores bronze/preto, linha 30 - sem vidro</t>
  </si>
  <si>
    <t>H.05.000.027641</t>
  </si>
  <si>
    <t>Porta de abrir tipo veneziana em alumínio anodizado, nas cores bronze/preto, linha 30 - sem vidro</t>
  </si>
  <si>
    <t>H.05.000.027642</t>
  </si>
  <si>
    <t>Portinhola de correr em alumínio anodizado linha 30, tipo veneziana, nas cores bronze/preto</t>
  </si>
  <si>
    <t>H.05.000.027644</t>
  </si>
  <si>
    <t>H.05.000.027645</t>
  </si>
  <si>
    <t>H.05.000.027646</t>
  </si>
  <si>
    <t>Porta de correr em alumínio tipo lambri branco, trilho na parte superior, sob medida</t>
  </si>
  <si>
    <t>H.05.000.030403</t>
  </si>
  <si>
    <t>Caixilho fixo em alumínio com pintura eletrostática branca, sob medida, instalado - sem vidros</t>
  </si>
  <si>
    <t>H.05.000.030415</t>
  </si>
  <si>
    <t>Caixilho fixo tipo veneziana em alumínio anodizado branco, linha 25 - sob medida</t>
  </si>
  <si>
    <t>H.05.000.031002</t>
  </si>
  <si>
    <t>Caixilho em alumínio anodizado fosco L 25 de correr, sob medida</t>
  </si>
  <si>
    <t>H.05.000.031015</t>
  </si>
  <si>
    <t>Barra de proteção tipo U, para pessoas com mobilidade reduzida, em tubo de alumínio, L= 250 x 250mm, acabamento com pintura epóxi, conforme NBR9050</t>
  </si>
  <si>
    <t>H.05.000.031101</t>
  </si>
  <si>
    <t>Caixilho em alumínio tipo basculante com vidro, linha comercial</t>
  </si>
  <si>
    <t>H.05.000.031102</t>
  </si>
  <si>
    <t>Caixilho em alumínio tipo maxim-ar com vidro, linha comercial</t>
  </si>
  <si>
    <t>H.05.000.031103</t>
  </si>
  <si>
    <t>Caixilho em alumínio tipo correr com vidro, linha comercial</t>
  </si>
  <si>
    <t>H.05.000.031104</t>
  </si>
  <si>
    <t>Caixilho em alumínio tipo veneziana com vidro, linha comercial</t>
  </si>
  <si>
    <t>H.05.000.031105</t>
  </si>
  <si>
    <t>Porta entrada de abrir em alumínio anodizado natural, com divisão horizontal com vidro e veneziana - linha 25 comercial</t>
  </si>
  <si>
    <t>H.05.000.031107</t>
  </si>
  <si>
    <t>H.05.000.031108</t>
  </si>
  <si>
    <t>H.05.000.031109</t>
  </si>
  <si>
    <t>Veneziana industrial em alumínio com aletas em fiber-glass, ref. Comovent ou equivalente</t>
  </si>
  <si>
    <t>H.05.000.031120</t>
  </si>
  <si>
    <t>Porta em alumínio anodizado fosco L 30, tipo veneziana de giro, completa com batente e ferragem, sob medida com referência 90 cm x 185 cm</t>
  </si>
  <si>
    <t>H.05.000.031127</t>
  </si>
  <si>
    <t>Porta de entrada em alumínio anodizado fosco L 30 de correr, completa com batente e ferragem, sob medida</t>
  </si>
  <si>
    <t>H.05.000.031128</t>
  </si>
  <si>
    <t>Porta de entrada em alumínio anodizado fosco L 30, 01 folha de giro, completa com batente e ferragem, sob medida</t>
  </si>
  <si>
    <t>H.05.000.031153</t>
  </si>
  <si>
    <t>Caixilho em alumínio anodizado fosco L 25 basculante, sob medida</t>
  </si>
  <si>
    <t>H.05.000.031154</t>
  </si>
  <si>
    <t>Caixilho guilhotina em alumínio anodizado natural, sob medida, instalado - sem vidros</t>
  </si>
  <si>
    <t>H.05.000.031155</t>
  </si>
  <si>
    <t>Caixilho em alumínio anodizado fosco L 25 fixo, sob medida</t>
  </si>
  <si>
    <t>H.05.000.031156</t>
  </si>
  <si>
    <t>Caixilho em alumínio anodizado fosco L 25 maxim-ar, sob medida</t>
  </si>
  <si>
    <t>H.05.000.032419</t>
  </si>
  <si>
    <t>H.05.000.032421</t>
  </si>
  <si>
    <t>H.05.000.032422</t>
  </si>
  <si>
    <t>Caixilho em alumínio tipo maxim-ar com vidro liso ou mini boreal, cor branco; ref. Sasazaki, Ebel, Gravia, Atlântica ou equivalente, linha comercial</t>
  </si>
  <si>
    <t>H.05.000.032426</t>
  </si>
  <si>
    <t>Caixilho em alumínio tipo basculante com vidro mini boreal, cor branco; referência comercial Sasazaki, Gravia, Atlantica ou equivalente - linha comercial</t>
  </si>
  <si>
    <t>H.05.000.032427</t>
  </si>
  <si>
    <t>Caixilho em alumínio de correr com vidro, cor branco; referência comercial Sasazaki, Ebel, Brimak, Atlantica ou equivalente - linha comercial</t>
  </si>
  <si>
    <t>H.05.000.032437</t>
  </si>
  <si>
    <t>Caixilho em alumínio basculante, com pintura eletrostática branca, sob medida</t>
  </si>
  <si>
    <t>H.05.000.032439</t>
  </si>
  <si>
    <t>Caixilho em alumínio maxim-ar com pintura eletrostática, cor branco, sob medida</t>
  </si>
  <si>
    <t>H.05.000.067522</t>
  </si>
  <si>
    <t>Grelha em alumínio fundido com requadro, 20x100 / 20x50cm, ref. Vila Rica ou equivalente</t>
  </si>
  <si>
    <t>H.05.000.067526</t>
  </si>
  <si>
    <t>Canaleta com grelha em alumínio, largura de 80 mm, ref. SP80 linha Sekapiso da Sekapiso, Aminox ou equivalente</t>
  </si>
  <si>
    <t>H.05.000.067536</t>
  </si>
  <si>
    <t>Canaleta com grelha em alumínio, largura de 46 mm, saída central, vertical ou horizontal, para tubo de 40 mm ou 50 mm; ref. SP46 linha Sekabox da Sekapiso, Aminox ou equivalente</t>
  </si>
  <si>
    <t>H.05.000.067537</t>
  </si>
  <si>
    <t>H.05.000.090632</t>
  </si>
  <si>
    <t>Caixilho em alumínio anodizado fosco L 25, tipo veneziana, sob medida</t>
  </si>
  <si>
    <t>H.05.000.090633</t>
  </si>
  <si>
    <t>H.05.000.090686</t>
  </si>
  <si>
    <t>Barra de apoio reta, para pessoas com mobilidade reduzida, em tubo de alumínio, L= 800mm, com flanges, acabamento pintura epóxi, conforme norma NBR 9050</t>
  </si>
  <si>
    <t>H.05.000.090687</t>
  </si>
  <si>
    <t>Barra de apoio em ângulo 90°, para pessoas com mobilidade reduzida, em tubo de alumínio, L= 800x800mm, acabamento com pintura epóxi, conforme norma NBR9050</t>
  </si>
  <si>
    <t>H.06.000.031110</t>
  </si>
  <si>
    <t>Veneziana industrial em aço galvanizado com aletas em resina reforçada de fibra de vidro</t>
  </si>
  <si>
    <t>H.06.000.031640</t>
  </si>
  <si>
    <t>Caixilho de correr com requadro em PVC, 2 folhas móveis, vidro-simples e liso de 3 a 4mm, persiana manual integrada; ref. Brimak, Eurosystem, Belle Acoustique, Marframe ou equivalente</t>
  </si>
  <si>
    <t>H.06.000.037103</t>
  </si>
  <si>
    <t>Placa de poliester insaturado com fibra vidro de 3 mm</t>
  </si>
  <si>
    <t>H.07.000.037004</t>
  </si>
  <si>
    <t>H.07.000.037008</t>
  </si>
  <si>
    <t>Vidro liso laminado incolor de 10 mm - material</t>
  </si>
  <si>
    <t>H.07.000.037011</t>
  </si>
  <si>
    <t>Espelho comum com espessura de 3mm, com moldura em perfil de alumínio de 1cm, fundo em chapa compensada com 3 mm de espessura</t>
  </si>
  <si>
    <t>H.07.000.037013</t>
  </si>
  <si>
    <t>Vidro liso laminado colorido de 10 mm - material</t>
  </si>
  <si>
    <t>H.07.000.037026</t>
  </si>
  <si>
    <t>Espelho em vidro cristal liso, espessura de 4 mm, sobre superfície plana, peças aproximadamente 0,5 a 4,12 m²</t>
  </si>
  <si>
    <t>H.07.000.037028</t>
  </si>
  <si>
    <t>Vidro liso laminado colorido de 8 mm - material</t>
  </si>
  <si>
    <t>H.07.000.037033</t>
  </si>
  <si>
    <t>Vidro multilaminado de alta segurança (blindado) em policarbonato, com certificação Retex; ref. NIJ III da Fanavid ou equivalente - material</t>
  </si>
  <si>
    <t>H.07.000.037040</t>
  </si>
  <si>
    <t>Vidro liso laminado, com filme polivinil butiral (PVB), incolor de 8 mm - material</t>
  </si>
  <si>
    <t>H.07.000.037042</t>
  </si>
  <si>
    <t>Vidro fantasia de 3/4 mm - material</t>
  </si>
  <si>
    <t>H.07.000.037047</t>
  </si>
  <si>
    <t>Vidro liso incolor laminado e temperado, espessura de 16 mm (8+8); ref. Personal ou equivalente - material</t>
  </si>
  <si>
    <t>H.07.000.037048</t>
  </si>
  <si>
    <t>Vidro temperado neutro verde de 10 mm - material</t>
  </si>
  <si>
    <t>H.07.000.037073</t>
  </si>
  <si>
    <t>Vidros float monolíticos de aparência verde, com espessura de 6 mm - material</t>
  </si>
  <si>
    <t>H.07.000.037074</t>
  </si>
  <si>
    <t>Vidro liso laminado incolor de 6 mm - material</t>
  </si>
  <si>
    <t>H.07.000.037079</t>
  </si>
  <si>
    <t>Vidro liso laminado colorido de 6 mm - material</t>
  </si>
  <si>
    <t>H.07.000.037080</t>
  </si>
  <si>
    <t>Vidro liso laminado leitoso de 6 mm - material</t>
  </si>
  <si>
    <t>H.07.000.037081</t>
  </si>
  <si>
    <t>Vidro liso transparente de 3 mm - material</t>
  </si>
  <si>
    <t>H.07.000.037082</t>
  </si>
  <si>
    <t>Vidro liso transparente de 4 mm - material</t>
  </si>
  <si>
    <t>H.07.000.037083</t>
  </si>
  <si>
    <t>Vidro liso transparente de 5 mm - material</t>
  </si>
  <si>
    <t>H.07.000.037084</t>
  </si>
  <si>
    <t>Vidro liso transparente de 6 mm - material</t>
  </si>
  <si>
    <t>H.07.000.037086</t>
  </si>
  <si>
    <t>Vidro temperado cinza ou bronze 6 mm - material</t>
  </si>
  <si>
    <t>H.07.000.037087</t>
  </si>
  <si>
    <t>Vidro temperado cinza ou bronze 8 mm - material</t>
  </si>
  <si>
    <t>H.07.000.037088</t>
  </si>
  <si>
    <t>Vidro temperado incolor 10 mm - material</t>
  </si>
  <si>
    <t>H.07.000.037089</t>
  </si>
  <si>
    <t>Vidro temperado incolor 6 mm - material</t>
  </si>
  <si>
    <t>H.07.000.037090</t>
  </si>
  <si>
    <t>Vidro temperado incolor 8 mm - material</t>
  </si>
  <si>
    <t>H.07.000.037095</t>
  </si>
  <si>
    <t>Vidro temperado cinza ou bronze 10 mm - material</t>
  </si>
  <si>
    <t>H.07.000.037098</t>
  </si>
  <si>
    <t>Vidro laminado temperado incolor de 8mm - material</t>
  </si>
  <si>
    <t>H.07.000.037099</t>
  </si>
  <si>
    <t>Vidro multilaminado de alta segurança, com proteção balística de nível III, com espessura final de 51 a 70 mm, com certificação Retex; ref. Inovaglass, Blindare, Grupo Fort ou equivalente - instalado</t>
  </si>
  <si>
    <t>H.08.000.010001</t>
  </si>
  <si>
    <t>H.08.000.031218</t>
  </si>
  <si>
    <t>H.08.000.031221</t>
  </si>
  <si>
    <t>Barra antipânico para porta, de sobrepor de um lado da folha e do outro lado cega</t>
  </si>
  <si>
    <t>H.08.000.031223</t>
  </si>
  <si>
    <t>Barra antipânico de sobrepor de um lado da folha da porta e do outro lado maçaneta, tipo alavanca, com acionamento livre</t>
  </si>
  <si>
    <t>H.08.000.031614</t>
  </si>
  <si>
    <t>Porta cadeado zincado, ref. 81114 89mm ZI da Aliança ou equivalente</t>
  </si>
  <si>
    <t>H.08.000.031637</t>
  </si>
  <si>
    <t>Maçaneta tipo alavanca e cilindro para acionamento com chave, acabamento na cor prata</t>
  </si>
  <si>
    <t>H.08.000.031641</t>
  </si>
  <si>
    <t>Pivô superior lateral, para porta em vidro temperado, ref. SM-1001 fabricação Dorma ou equivalente</t>
  </si>
  <si>
    <t>H.08.000.031642</t>
  </si>
  <si>
    <t>Mancal inferior com rolamento, para porta em vidro temperado, ref. SM 1002 fabricação Dorma, 1013 Santa Marina ou equivalente</t>
  </si>
  <si>
    <t>H.08.000.031644</t>
  </si>
  <si>
    <t>H.08.000.031645</t>
  </si>
  <si>
    <t>H.08.000.031646</t>
  </si>
  <si>
    <t>Dobradiça inferior para vidro temperado, ref. SM1010 fabricação Dorma, 1103 Santa Marina ou equivalente</t>
  </si>
  <si>
    <t>H.08.000.031647</t>
  </si>
  <si>
    <t>Dobradiça superior para vidro temperado; referência comercial 1101S Santa Marina, Dorma ou equivalente</t>
  </si>
  <si>
    <t>H.08.000.031650</t>
  </si>
  <si>
    <t>Fechadura de centro com cilindro, para porta externa em vidro temperado, ref. SM 1050-E linha Glas da Dorma ou equivalente</t>
  </si>
  <si>
    <t>H.08.000.031653</t>
  </si>
  <si>
    <t>Suporte duplo para vidro temperado fixado em alvenaria, ref. SM1092 fabricação Dorma, 1306 Santa Marina ou equivalente</t>
  </si>
  <si>
    <t>H.08.000.031656</t>
  </si>
  <si>
    <t>Contra fechadura de centro, para porta de vidro temperado; ref. SM1051/S1051E1 linha Glas da Dorma ou equivalente</t>
  </si>
  <si>
    <t>H.08.000.031658</t>
  </si>
  <si>
    <t>Puxador duplo para porta de madeira, alumínio ou vidro, ref. Dorma Manet de 350mm da Dorma ou equivalente</t>
  </si>
  <si>
    <t>H.08.000.031672</t>
  </si>
  <si>
    <t>Trinco para piso, ref. SM1060 da Dorma, 3240 da Glasspeças, 1519 da Santa Marina ou equivalente</t>
  </si>
  <si>
    <t>H.08.000.031679</t>
  </si>
  <si>
    <t>Roldana RO65 Plus, para porta de correr de 60kg - 15mm</t>
  </si>
  <si>
    <t>H.08.000.031687</t>
  </si>
  <si>
    <t>Fecho de embutir de alavanca, com 20 cm, em latão cromado; ref. 1011 / 20 FC da Arouca ou equivalente</t>
  </si>
  <si>
    <t>H.08.000.031688</t>
  </si>
  <si>
    <t>Fecho tipo ´unho´ de 10 cm em latão cromado de embutir</t>
  </si>
  <si>
    <t>H.08.000.031697</t>
  </si>
  <si>
    <t>Visor tipo olho mágico com ângulo de visualização de 200°; ref. Vonder ou equivalente</t>
  </si>
  <si>
    <t>H.08.000.031698</t>
  </si>
  <si>
    <t>H.08.000.031699</t>
  </si>
  <si>
    <t>H.08.000.031701</t>
  </si>
  <si>
    <t>Dobradiça de aço cromado de 3 1/2", para portas de até 21 kg, ref. União Mundial ou equivalente - (embalagem com 3 dobradiças)</t>
  </si>
  <si>
    <t>H.08.000.031712</t>
  </si>
  <si>
    <t>Puxador duplo tubular em aço inoxidável, com duas fixações, dimensões 300mm entre furos, ref. Dorma ou equivalente</t>
  </si>
  <si>
    <t>H.08.000.031715</t>
  </si>
  <si>
    <t>Ferragem completa para porta de box de WC tipo livre/ocupado; ref. 1515/136 Arouca, 719 AZ CR La Fonte, 801 AZ CR 35mm Lockwell ou equivalente</t>
  </si>
  <si>
    <t>H.08.000.031718</t>
  </si>
  <si>
    <t>Cadeado alta segurança 16 pinos, ref. CRT 70 mm da Papaiz ou equivalente</t>
  </si>
  <si>
    <t>H.08.000.031719</t>
  </si>
  <si>
    <t>Cadeado com haste de aço, 35/36 mm, ref. CR35 da Papaiz, E35 da Pado ou equivalente</t>
  </si>
  <si>
    <t>H.08.000.031722</t>
  </si>
  <si>
    <t>Cadeado com haste de aço, 60 mm, ref. CR60 da Papaiz, E60 da Pado ou equivalente</t>
  </si>
  <si>
    <t>H.08.000.031723</t>
  </si>
  <si>
    <t>Cadeado com haste de aço, 25/27 mm, ref. CR25 da Papaiz, E27 da Pado ou equivalente</t>
  </si>
  <si>
    <t>H.08.000.031726</t>
  </si>
  <si>
    <t>Mola de piso para porta com largura até 1,10m e esforço até 120kg, ref. BTS 75 V fabricação Dorma ou equivalente</t>
  </si>
  <si>
    <t>H.08.000.031728</t>
  </si>
  <si>
    <t>Cadeado com haste de aço, 50 mm, ref. CR50 da Papaiz; E50 da Pado ou equivalente</t>
  </si>
  <si>
    <t>H.08.000.031734</t>
  </si>
  <si>
    <t>Dobradiça em latão cromado reforçada com anéis de 3 1/2" x 3", ref. La Fonte Dob 85 3 1/2" x 3" LT S/P CR, 3635 da União Mundial ou equivalente</t>
  </si>
  <si>
    <t>H.08.000.031740</t>
  </si>
  <si>
    <t>Dobradiça em aço inoxidável escovado com anéis, de 3" x 2 1/2", para portas de até 25 kg, ref. Dobradiça 395 da La Fonte ou equivalente</t>
  </si>
  <si>
    <t>H.08.000.031764</t>
  </si>
  <si>
    <t>Equipamento automatizador de portas deslizantes para folha dupla, ref. ES200 EASY da Dorma ou equivalente</t>
  </si>
  <si>
    <t>H.08.000.031765</t>
  </si>
  <si>
    <t>Equipamento automatizador telescópico unilateral de portas deslizantes para folha dupla, ref. ES 200 T da Dorma ou equivalente</t>
  </si>
  <si>
    <t>H.08.000.035003</t>
  </si>
  <si>
    <t>Fechadura completa com maçaneta tipo alavanca, para porta externa de 1 folha; ref. 725.01/40CR da Pado, Papaiz ou equivalente</t>
  </si>
  <si>
    <t>H.08.000.035004</t>
  </si>
  <si>
    <t>Ferragem completa com maçaneta tipo alavanca, com miolo tipo gorges, para porta interna com 1 folha; referência 721/01 CR da Pado, 402526/40 da Arouca ou equivalente</t>
  </si>
  <si>
    <t>H.08.000.035009</t>
  </si>
  <si>
    <t>Fechadura eletroímã para capacidade de atraque de 150kgf</t>
  </si>
  <si>
    <t>H.08.000.035010</t>
  </si>
  <si>
    <t>H.08.000.035011</t>
  </si>
  <si>
    <t>Mola aérea para porta com esforço acima de 50kg até 60kg, ref. MA 200 potência 3 fabricação Dorma, linha 770 POT2 fabricação Disafe ou equivalente</t>
  </si>
  <si>
    <t>H.08.000.035012</t>
  </si>
  <si>
    <t>Mola aérea para porta com esforço acima de 60kg até 80kg, ref. MA 200 potência 4 fabricação Dorma, linha 770POT2 fabricação Disafe ou equivalente</t>
  </si>
  <si>
    <t>H.08.000.035013</t>
  </si>
  <si>
    <t>Mola aérea hidráulica com calha deslizante, para porta com largura até 1,60mm, com esforço de 81 até 250kg, ref. TS 93B / TS 93 System da Dorma, linha 6825 fabricação Disafe ou equivalente</t>
  </si>
  <si>
    <t>H.08.000.035019</t>
  </si>
  <si>
    <t>Fechadura com maçaneta tipo alavanca em aço inoxidável e rozeta, ref. Victória Ecoinox 882 IXE externa da Pado ou equivalente</t>
  </si>
  <si>
    <t>H.09.000.031168</t>
  </si>
  <si>
    <t>Porta de segurança de correr suspensa em grade com aço SAE 1045, com brete superior, diâmetro de 1´, completa, sem têmpera e revenimento</t>
  </si>
  <si>
    <t>H.09.000.031181</t>
  </si>
  <si>
    <t>Brete para instalação lateral em porta chapa/grade de segurança</t>
  </si>
  <si>
    <t>H.09.000.031253</t>
  </si>
  <si>
    <t>Grade de segurança em aço SAE 1045, diâmetro de 1´, com têmpera e revenimento</t>
  </si>
  <si>
    <t>H.09.000.031254</t>
  </si>
  <si>
    <t>Grade de segurança para janela em aço SAE 1045, diâmetro 1´, com têmpera e revenimento</t>
  </si>
  <si>
    <t>H.09.000.031255</t>
  </si>
  <si>
    <t>Porta de segurança de abrir em grade aço SAE 1045, diâmetro de 1´, completa - com têmpera e revenimento</t>
  </si>
  <si>
    <t>H.09.000.031256</t>
  </si>
  <si>
    <t>Porta de segurança de abrir grade em aço SAE 1045 chapeada, diâmetro de 1´, completa, com têmpera e revenimento</t>
  </si>
  <si>
    <t>H.09.000.031257</t>
  </si>
  <si>
    <t>Porta de segurança especial de abrir com grade em aço SAE 1045, diâmetro de 1´, completa, com têmpera e revenimento</t>
  </si>
  <si>
    <t>H.09.000.031258</t>
  </si>
  <si>
    <t>Portão de abrir para muralha em aço SAE 1045 chapeada, diâmetro de 1´, completa - com têmpera e revenimento</t>
  </si>
  <si>
    <t>H.09.000.031260</t>
  </si>
  <si>
    <t>Grade de segurança em aço SAE 1045 chapeada, diâmetro de 1´, com têmpera e revenimento</t>
  </si>
  <si>
    <t>H.09.000.031329</t>
  </si>
  <si>
    <t>Batente em chapa de aço SAE 1010/1020, espessura de 3/16´, para obras de segurança</t>
  </si>
  <si>
    <t>H.09.000.031341</t>
  </si>
  <si>
    <t>Ferrolho de segurança de 1,20 m, DN= 1´, para adaptação em portas de celas, embutido em caixa externamente</t>
  </si>
  <si>
    <t>H.09.000.031361</t>
  </si>
  <si>
    <t>Grade de segurança em aço SAE 1045, diâmetro de 1´ - sem têmpera e revenimento - instalado</t>
  </si>
  <si>
    <t>H.09.000.031362</t>
  </si>
  <si>
    <t>Grade de segurança para janela em aço SAE 1045, diâmetro 1´ - sem têmpera e revenimento - instalado</t>
  </si>
  <si>
    <t>H.09.000.031363</t>
  </si>
  <si>
    <t>Porta de segurança de abrir em grade aço SAE 1045, diâmetro de 1´, sem completa - sem têmpera e revenimento</t>
  </si>
  <si>
    <t>H.09.000.031364</t>
  </si>
  <si>
    <t>Porta de segurança de abrir grade em aço SAE 1045 chapeada, diâmetro de 1´, completa - sem têmpera e revenimento</t>
  </si>
  <si>
    <t>H.09.000.031368</t>
  </si>
  <si>
    <t>Porta de segurança especial de abrir com grade em aço SAE 1045, diâmetro de 1´, completa - sem têmpera e revenimento</t>
  </si>
  <si>
    <t>H.09.000.031369</t>
  </si>
  <si>
    <t>Portão de abrir para muralha em aço SAE 1045 chapeada, diâmetro de 1´, completa - sem têmpera e revenimento</t>
  </si>
  <si>
    <t>H.09.000.031370</t>
  </si>
  <si>
    <t>Grade de segurança em aço SAE 1045 chapeada, diâmetro de 1´ - sem têmpera e revenimento - instalado</t>
  </si>
  <si>
    <t>H.09.000.031613</t>
  </si>
  <si>
    <t>Ferrolho de segurança de 7/8´ para adaptação em portas de celas, com porta cadeado e suporte de fixação</t>
  </si>
  <si>
    <t>H.09.000.031622</t>
  </si>
  <si>
    <t>Caixilho de segurança em aço SAE 1010/1020 tipo fixo e de correr (0,70x0,80m), para receber vidro, com bandeira tipo veneziana (0,375x0,80m)</t>
  </si>
  <si>
    <t>H.09.000.031623</t>
  </si>
  <si>
    <t>Guichê de segurança em grade com aço SAE 1045, diâmetro de 1´, com têmpera e revenimento</t>
  </si>
  <si>
    <t>H.09.000.031625</t>
  </si>
  <si>
    <t>Guichê de segurança em grade com aço SAE 1045, diâmetro de 1´, sem têmpera e revenimento</t>
  </si>
  <si>
    <t>H.09.000.031626</t>
  </si>
  <si>
    <t>Brete para instalação superior em porta chapa/grade de segurança</t>
  </si>
  <si>
    <t>H.09.000.031628</t>
  </si>
  <si>
    <t>Porta de segurança de correr em grade de aço SAE 1045, com brete lateral, diâmetro de 1´, completa, com têmpera e revenimento</t>
  </si>
  <si>
    <t>H.09.000.031629</t>
  </si>
  <si>
    <t>Porta de segurança de correr suspensa em grade de aço SAE 1045, chapeada, diâmetro de 1´, completa, com têmpera e revenimento</t>
  </si>
  <si>
    <t>H.09.000.031631</t>
  </si>
  <si>
    <t>Porta de segurança de correr/deslizante, em grade com aço SAE 1045, diâmetro de 1´, completa, sem têmpera e revenimento</t>
  </si>
  <si>
    <t>H.09.000.031907</t>
  </si>
  <si>
    <t>Porta de segurança de correr suspensa em grade em aço SAE 1045, chapeada, diâmetro de 1´, com brete vertical, completa - sem têmpera e revenimento</t>
  </si>
  <si>
    <t>H.12.000.031610</t>
  </si>
  <si>
    <t>H.13.000.069501</t>
  </si>
  <si>
    <t>Solda 50/50</t>
  </si>
  <si>
    <t>H.13.000.069502</t>
  </si>
  <si>
    <t>Pasta para soldar</t>
  </si>
  <si>
    <t>H.13.000.069565</t>
  </si>
  <si>
    <t>I.01.000.025057</t>
  </si>
  <si>
    <t>Painel Wall com miolo de madeira contraplacado por lâminas de madeira e externamente por chapas em CRFS, para piso, ref. Eternit ou equivalente</t>
  </si>
  <si>
    <t>I.01.000.030105</t>
  </si>
  <si>
    <t>Porta em laminado melamínico estrutural Alcoplac, TS-10 (fórmica maciça) - 62 x 180cm, com dobradiça e fechadura</t>
  </si>
  <si>
    <t>I.05.000.021057</t>
  </si>
  <si>
    <t>Placa cimentícia impermeabilizada com espessura de 12mm, placa de 1,20 x 2,40m; ref. Brasilit ou equivalente</t>
  </si>
  <si>
    <t>I.05.000.021080</t>
  </si>
  <si>
    <t>Placa cimentícia em CRFS impermeabilizada, espessura 6 mm, dimensões 1,20 x 2,00m, ref. Eternit, Brasilit ou equivalente</t>
  </si>
  <si>
    <t>I.06.000.022566</t>
  </si>
  <si>
    <t>Veneziana de vidro tipo ´CAPELINHA´ 20 x 10 x 10 cm</t>
  </si>
  <si>
    <t>I.06.000.022567</t>
  </si>
  <si>
    <t>Veneziana de vidro ´IBRAVIR´ 20 x 20 x 6 cm</t>
  </si>
  <si>
    <t>I.06.000.025561</t>
  </si>
  <si>
    <t>Telha de vidro tipo ´FRANCESA´</t>
  </si>
  <si>
    <t>I.06.000.025562</t>
  </si>
  <si>
    <t>Telha de vidro tipo ´PAULISTA´</t>
  </si>
  <si>
    <t>J.01.000.038012</t>
  </si>
  <si>
    <t>Lixa para ferro e metais Norton N° 80, ou equivalente</t>
  </si>
  <si>
    <t>S.04.000.038014</t>
  </si>
  <si>
    <t>Lixa massa/madeira uso geral Norton, Alcar ou equivalente (médias)</t>
  </si>
  <si>
    <t>J.01.000.038040</t>
  </si>
  <si>
    <t>Lixa d´água, ref. Norton n° 80, Aquaflex ou equivalente</t>
  </si>
  <si>
    <t>J.02.000.024007</t>
  </si>
  <si>
    <t>Emulsão acrílica para vedação de trincas, ref. Selatrinca Suvinil ou  equivalente</t>
  </si>
  <si>
    <t>J.02.000.024028</t>
  </si>
  <si>
    <t>Hidrorepelente a base de silano-siloxano oligomérico disperso em solvente; ref. Silicone da Sika, Acquella Original da Otto Baumgart, Fuseprotec Silicone da Viapol ou equivalente</t>
  </si>
  <si>
    <t>J.02.000.024030</t>
  </si>
  <si>
    <t>Hidrorepelente a base de silano-siloxano oligomérico disperso em água, ref. Acqua da Denver, Repele água da Quartzolit ou equivalente</t>
  </si>
  <si>
    <t>J.02.000.024047</t>
  </si>
  <si>
    <t>J.02.000.024076</t>
  </si>
  <si>
    <t>Resina 100% acrílica plastificante, Hiper 409 da NS Brasil ou equivalente</t>
  </si>
  <si>
    <t>J.02.000.024147</t>
  </si>
  <si>
    <t>Resina acrílica para piso granilite</t>
  </si>
  <si>
    <t>J.02.000.024148</t>
  </si>
  <si>
    <t>Resina epóxi para piso granilite</t>
  </si>
  <si>
    <t>J.02.000.028057</t>
  </si>
  <si>
    <t>Selador para tinta epóxi</t>
  </si>
  <si>
    <t>J.02.000.028058</t>
  </si>
  <si>
    <t>Tinta esmalte Premium, base água, brilhante/acetinado, várias cores, pintura interna/externa, ref. Coralit Zero da Coral, Futura Premium, Suvinil Premium, Metalatex Eco, Sherwin Williams, ou equivalente</t>
  </si>
  <si>
    <t>J.02.000.037501</t>
  </si>
  <si>
    <t>J.02.000.037503</t>
  </si>
  <si>
    <t>Revestimento texturizado acrílico com microagregado, uso interno/externo em várias corres; ref. Permalit Textura Domus da Ibratin ou equivalente</t>
  </si>
  <si>
    <t>J.02.000.037505</t>
  </si>
  <si>
    <t>J.02.000.037506</t>
  </si>
  <si>
    <t>Tinta base borracha clorada, ref. Anklor TR da Tintas Ancora, Globaltrafic 611 da Global Tintas, Perfortrafic código 25020 da Tintas Perfortex ou equivalente</t>
  </si>
  <si>
    <t>J.02.000.037508</t>
  </si>
  <si>
    <t>J.02.000.037510</t>
  </si>
  <si>
    <t>Massa corrida de base acrílica; ref. Massa Acrílica (Suvinil/Glasurit), Massa FC (Fusecolor), Massa Especial para fachada (Retinco) ou equivalente</t>
  </si>
  <si>
    <t>J.02.000.037513</t>
  </si>
  <si>
    <t>Tinta latex, acabamento fosco aveludado, ref. coral 3 em 1 da Coral, rende e cobre muito da Suvinil ou equivalente</t>
  </si>
  <si>
    <t>J.02.000.037517</t>
  </si>
  <si>
    <t>Tinta acrílica para pisos, ref. Novacor Piso Liso-amarelo (Globo/Novacor), Suvinil Poliesportiva da Glasurit, Metalatex Acrílico com Quartzo da Sherwin Williams ou equivalente</t>
  </si>
  <si>
    <t>J.02.000.037518</t>
  </si>
  <si>
    <t>Selador para tinta acrílica Coral, Suvinil ou equivalente</t>
  </si>
  <si>
    <t>J.02.000.037528</t>
  </si>
  <si>
    <t>Tinta acrílica para sinalização visual de pisos, com acabamento fosco, várias cores, ref. Interlight da Indutil ou equivalente</t>
  </si>
  <si>
    <t>J.02.000.037539</t>
  </si>
  <si>
    <t>Verniz fungicida Stain, para madeiras; ref. Osmocolor Montana / Verniz Satin Suvinil ou equivalente</t>
  </si>
  <si>
    <t>J.02.000.037542</t>
  </si>
  <si>
    <t>Tinta 100% acrílica acabamento fosco acetinado, Coral, Suvinil 100% Acrílico (Glasurit), Sherwin Willian, Metalatex (Fusecolor) ou equivalente</t>
  </si>
  <si>
    <t>J.02.000.037545</t>
  </si>
  <si>
    <t>J.02.000.037548</t>
  </si>
  <si>
    <t>Verniz incolor antipichação, ref. Graffitiguard da Anchortec, Antgraf Eco verniz da Ant Graf ou equivalente</t>
  </si>
  <si>
    <t>J.02.000.037549</t>
  </si>
  <si>
    <t>Microesferas de vidro Extra Premix (tipo I-B); ref. Vimaster ou equivalente</t>
  </si>
  <si>
    <t>J.02.000.037602</t>
  </si>
  <si>
    <t>Proteção passiva contra incêndio com tinta intumescente, com tempo requerido de resistência ao fogo TRRF = 60 min - aplicação em painéis de gesso acartonado</t>
  </si>
  <si>
    <t>J.02.000.037603</t>
  </si>
  <si>
    <t>Proteção passiva contra incêndio com tinta intumescente, com tempo requerido de resistência ao fogo TRRF = 120 min - aplicação em painéis de gesso acartonado</t>
  </si>
  <si>
    <t>J.02.000.037605</t>
  </si>
  <si>
    <t>Tinta intumescente para aplicação em estrutura metálica; ref. Brasifire da Brasilux, Maza, Firecoat da Polidura, Renner ou equivalente</t>
  </si>
  <si>
    <t>J.02.000.038000</t>
  </si>
  <si>
    <t>Fundo preparador base água, para madeira e metais; ref. Fundo preparador Coralit Balance da Coral, Metalatex Eco fundo antiferrugem da Sherwin Williams, Fundo preparador da Suvinil ou equivalente</t>
  </si>
  <si>
    <t>J.02.000.038001</t>
  </si>
  <si>
    <t>Diluente aguarrás mineral; ref. Suvinil, Luksnova, Coral ou equivalente</t>
  </si>
  <si>
    <t>J.02.000.038006</t>
  </si>
  <si>
    <t>Fundo sintético branco para superfície galvanizada, alumínio; ref. Coral fundo para galvanização ou equivalente</t>
  </si>
  <si>
    <t>J.02.000.038008</t>
  </si>
  <si>
    <t>J.02.000.038017</t>
  </si>
  <si>
    <t>Massa corrida PVA; ref. Massa Corrida Suvinil, Massa Corrida Coral, Metalatex da Sherwin Willians ou equivalente</t>
  </si>
  <si>
    <t>J.02.000.038028</t>
  </si>
  <si>
    <t>Zarcão, ref. Zarcoral fabricação Coral - Zarcão Internacional ou equivalente</t>
  </si>
  <si>
    <t>J.02.000.038029</t>
  </si>
  <si>
    <t>Removedor de tinta, ref. Pintoff da Coral ou equivalente</t>
  </si>
  <si>
    <t>J.02.000.038038</t>
  </si>
  <si>
    <t>Pigmento para argamassa tipo Pó Xadrez, ref. amarelo Novacor, Globo ou equivalente</t>
  </si>
  <si>
    <t>J.02.000.038050</t>
  </si>
  <si>
    <t>Verniz comum a base de poliuretano; referência comercial Verniz SW Marítimo brilhante (Sherwin Willians), Suvinil Verniz Copal (Glasurit), Sparlak Copal (Akzo/Ypiranga) ou equivalente</t>
  </si>
  <si>
    <t>J.02.000.038052</t>
  </si>
  <si>
    <t>Verniz acrílico base água, ref. Denverniz Acqua (Denver), Durocryl A (Wolf Hacker), Nitoprimer AW (Fosroc) ou equivalente</t>
  </si>
  <si>
    <t>J.02.000.038054</t>
  </si>
  <si>
    <t>Verniz acrílico base solvente, Dekguard BS/FS, (Fosroc), Durocryl S (Wolf Hacker), Denverniz SB/SF (Denver) ou equivalente</t>
  </si>
  <si>
    <t>J.02.000.038058</t>
  </si>
  <si>
    <t>Impermeabilizante acrílico, ref. Suviflex ou equivalente</t>
  </si>
  <si>
    <t>J.02.000.038060</t>
  </si>
  <si>
    <t>Thinner, ref. Natrielli ou equivalente</t>
  </si>
  <si>
    <t>J.02.000.038061</t>
  </si>
  <si>
    <t>Líquido de fundo (fundo preparador)</t>
  </si>
  <si>
    <t>J.02.000.090805</t>
  </si>
  <si>
    <t>Tinta esmalte especial para lousa, cor verde, acabamento fosco, ref. Coralit Esmalte Sintético (Coral), Suvinil Esmalte Sintético, ou equivalente</t>
  </si>
  <si>
    <t>K.01.000.023500</t>
  </si>
  <si>
    <t>Divisória em granilite frontal, maciça ou revestida, e= 4,0cm - instalado</t>
  </si>
  <si>
    <t>K.01.000.023501</t>
  </si>
  <si>
    <t>K.01.000.033001</t>
  </si>
  <si>
    <t>Estucamento e polimento piso/patamar em granilite</t>
  </si>
  <si>
    <t>K.01.000.033002</t>
  </si>
  <si>
    <t>Estucamento e polimento degrau (piso e espelho) em granilite</t>
  </si>
  <si>
    <t>K.01.000.033004</t>
  </si>
  <si>
    <t>Estucamento e polimento de rodapé em granilite</t>
  </si>
  <si>
    <t>K.01.000.033011</t>
  </si>
  <si>
    <t>Soleira em granilite cinza ou verde, polido com espessura mínima de 8mm fornecimento e aplicação média</t>
  </si>
  <si>
    <t>K.01.000.033015</t>
  </si>
  <si>
    <t>Piso em granilite cinza ou verde, polido, espessura mínimo de 8mm fornecimento e aplicação média</t>
  </si>
  <si>
    <t>K.01.000.033017</t>
  </si>
  <si>
    <t>Soleira para piso alta resistência (&gt;40MPa), moldado no local, tráfego médio (8mm) ou pesado (12mm), largura até 30cm aplicado média</t>
  </si>
  <si>
    <t>K.01.000.035031</t>
  </si>
  <si>
    <t>Degrau em granilite, cinza ou verde, polido, com espessura mínima de 8mm fornecimento e aplicação média</t>
  </si>
  <si>
    <t>K.01.000.035531</t>
  </si>
  <si>
    <t>Placa granilite de 3 cm</t>
  </si>
  <si>
    <t>K.01.000.035534</t>
  </si>
  <si>
    <t>Piso alta resistência (&gt;40MPa), moldado no local, tráfego pesado com espessura de 12mm aplicado</t>
  </si>
  <si>
    <t>K.01.000.035535</t>
  </si>
  <si>
    <t>Degrau para piso alta resistência (&gt;40 MPa), moldado no local, tráfego médio, espessura de 8 mm aplicado</t>
  </si>
  <si>
    <t>K.01.000.035536</t>
  </si>
  <si>
    <t>Degrau para piso alta resistência (&gt;40 MPa), moldado no local, tráfego médio, espessura de 12 mm aplicado</t>
  </si>
  <si>
    <t>K.01.000.036042</t>
  </si>
  <si>
    <t>Rodapé em granilite tipo meia cana, cor cinza ou verde, polido, até 10cm fornecimento e aplicação média</t>
  </si>
  <si>
    <t>K.01.000.036140</t>
  </si>
  <si>
    <t>Rodapé para piso alta resistência (&gt;40MPa), moldado no local, tráfego médio (8mm) ou tráfego pesado (12mm) aplicado média</t>
  </si>
  <si>
    <t>K.01.000.036512</t>
  </si>
  <si>
    <t>Polimento piso fundido no local alta resistência</t>
  </si>
  <si>
    <t>K.02.000.023504</t>
  </si>
  <si>
    <t>MT</t>
  </si>
  <si>
    <t>K.02.000.023555</t>
  </si>
  <si>
    <t>K.02.000.032502</t>
  </si>
  <si>
    <t>Tampo (com frontão) em granito, com espessura de 2 cm, com furo para 1 cuba simples, nas cores Andorinha, cinza Corumbá, Santa Cecília, verde Ubatuba, acabamento polido</t>
  </si>
  <si>
    <t>K.02.000.032503</t>
  </si>
  <si>
    <t>Revestimento em granito em placas de 40 x 40 cm, com espessura de 2 cm, nas cores cinza Andorinha, cinza Corumbá, Santa Cecília, verde Ubatuba ou branco Dallas, acabamento polido - material</t>
  </si>
  <si>
    <t>K.02.000.032504</t>
  </si>
  <si>
    <t>Degrau e espelho em granito (piso 30 cm e espelho 20 cm), com espessura de 2 cm, nas cores cinza Andorinha, cinza Corumbá, Santa Cecília, verde Ubatuba ou branco Dallas, acabamento polido - material</t>
  </si>
  <si>
    <t>K.02.000.032508</t>
  </si>
  <si>
    <t>K.02.000.032509</t>
  </si>
  <si>
    <t>K.02.000.032516</t>
  </si>
  <si>
    <t>Rodapé em granito, espessura de 2 cm e altura de 7 cm, nas cores cinza Andorinha, cinza Corumbá, Santa Cecília, verde Ubatuba ou branco Dallas, acabamento polido - material</t>
  </si>
  <si>
    <t>K.02.000.032517</t>
  </si>
  <si>
    <t>Rodapé em granito, espessura de 2 cm e altura entre 7,1 a 10 cm, nas cores cinza Andorinha, cinza Corumbá, Santa Cecília, verde Ubatuba ou branco Dallas, acabamento polido - material</t>
  </si>
  <si>
    <t>K.02.000.033012</t>
  </si>
  <si>
    <t>Piso em granilite, placas pré-moldadas de 40 x 40 cm, inclusive assentamento, polimento, enceramento e rejunte</t>
  </si>
  <si>
    <t>K.02.000.033570</t>
  </si>
  <si>
    <t>Revestimento em granito lavado tipo Fulget tradicional ou natural em faixas até 40 cm; ref. Fulget da Grani Torre ou equivalente</t>
  </si>
  <si>
    <t>K.02.000.033571</t>
  </si>
  <si>
    <t>Revestimento em granito lavado tipo Fulget tradicional ou natural em panos, ref. Fulget da Grani Torre ou equivalente</t>
  </si>
  <si>
    <t>K.02.000.035033</t>
  </si>
  <si>
    <t>Degrau em mármore travertino nacional com espessura de 2 cm, piso 30 cm e espelho 20 cm</t>
  </si>
  <si>
    <t>K.02.000.035036</t>
  </si>
  <si>
    <t>Degrau e espelho em mármore branco com espessura de 2 cm, piso 30 cm e espelho 20 cm</t>
  </si>
  <si>
    <t>K.02.000.035072</t>
  </si>
  <si>
    <t>Mármore travertino nacional com espessura de 2 cm</t>
  </si>
  <si>
    <t>K.02.000.035073</t>
  </si>
  <si>
    <t>Mármore branco com espessura de 3 cm</t>
  </si>
  <si>
    <t>K.02.000.035075</t>
  </si>
  <si>
    <t>Mármore travertino nacional com espessura de 3 cm</t>
  </si>
  <si>
    <t>K.02.000.035076</t>
  </si>
  <si>
    <t>Mármore branco com espessura de 2 cm</t>
  </si>
  <si>
    <t>K.02.000.065652</t>
  </si>
  <si>
    <t>K.03.000.032508</t>
  </si>
  <si>
    <t>K.03.000.032517</t>
  </si>
  <si>
    <t>K.03.000.032519</t>
  </si>
  <si>
    <t>K.03.000.035055</t>
  </si>
  <si>
    <t>K.03.000.035060</t>
  </si>
  <si>
    <t>Pedra miracema de 11,5 x 23 cm, com espessura de 10 a 15 mm</t>
  </si>
  <si>
    <t>K.03.000.035061</t>
  </si>
  <si>
    <t>Pedra mineira comum irregular (chapa) para revestimento</t>
  </si>
  <si>
    <t>K.03.000.036138</t>
  </si>
  <si>
    <t>Rodapé em pedra mineira simples com altura de 10 cm</t>
  </si>
  <si>
    <t>K.03.000.036505</t>
  </si>
  <si>
    <t>Paralelepípedo só material</t>
  </si>
  <si>
    <t>L.01.000.023105</t>
  </si>
  <si>
    <t>L.01.000.023531</t>
  </si>
  <si>
    <t>L.01.000.023533</t>
  </si>
  <si>
    <t>L.01.000.023534</t>
  </si>
  <si>
    <t>L.01.000.023535</t>
  </si>
  <si>
    <t>L.01.000.023560</t>
  </si>
  <si>
    <t>L.01.000.023564</t>
  </si>
  <si>
    <t>L.01.000.023587</t>
  </si>
  <si>
    <t>L.01.000.023606</t>
  </si>
  <si>
    <t>L.01.000.023630</t>
  </si>
  <si>
    <t>L.01.000.023631</t>
  </si>
  <si>
    <t>L.01.000.023632</t>
  </si>
  <si>
    <t>L.01.000.023633</t>
  </si>
  <si>
    <t>L.01.000.023634</t>
  </si>
  <si>
    <t>L.01.000.023635</t>
  </si>
  <si>
    <t>L.01.000.034019</t>
  </si>
  <si>
    <t>L.01.000.034021</t>
  </si>
  <si>
    <t>L.01.000.034024</t>
  </si>
  <si>
    <t>M.02.000.036114</t>
  </si>
  <si>
    <t>Furação de piso elevado telescópico em chapa de aço</t>
  </si>
  <si>
    <t>M.02.000.036115</t>
  </si>
  <si>
    <t>Fornecimento e instalação de piso elevado tipo telescópico em chapa de aço, sem revestimento</t>
  </si>
  <si>
    <t>M.02.000.036118</t>
  </si>
  <si>
    <t>Piso elevado de concreto, placas 60x60cm, em sistema de apoio, pedestais em PVC, resistência 7 KN/m², espes. aproximada 4cm, altura 15cm, antiderrapante; ref. C40-600-PV Concreto linha Sílica da Dacapo, Piso Concrestiell ou equivalente - instalado</t>
  </si>
  <si>
    <t>M.02.000.036140</t>
  </si>
  <si>
    <t>M.02.000.036143</t>
  </si>
  <si>
    <t>Rodapé abaulado, com argamassa epoxi, altura entre 5 a 10cm</t>
  </si>
  <si>
    <t>M.02.000.036144</t>
  </si>
  <si>
    <t>Taxa de mobilização e desmobilização de equipe e equipamentos para execução de piso epóxi</t>
  </si>
  <si>
    <t>M.03.000.020450</t>
  </si>
  <si>
    <t>Limpeza fossa séptica</t>
  </si>
  <si>
    <t>M.04.000.022593</t>
  </si>
  <si>
    <t>M.04.000.023609</t>
  </si>
  <si>
    <t>Forro em fibra mineral acústico removível, em placas de 625 x 1250 mm, com atenuação sonora mínima de 28 dB, coeficiente de absorção sonora (NRC) de 0,85; ref. Forro Thermatex Thermofon da AMF, Humancare da OWA ou equivalente - instalado</t>
  </si>
  <si>
    <t>M.04.000.023650</t>
  </si>
  <si>
    <t>M.04.000.024096</t>
  </si>
  <si>
    <t>Placa para sinalização tátil em braile (início ou final), para corrimão, com o verso auto-aderente, conforme NBR 9050-2015</t>
  </si>
  <si>
    <t>M.04.000.024097</t>
  </si>
  <si>
    <t>Placa para sinalização tátil em braile (pavimento), para corrimão, com o verso auto-aderente, conforme NBR 9050-2015</t>
  </si>
  <si>
    <t>M.04.000.024522</t>
  </si>
  <si>
    <t>M.04.000.024523</t>
  </si>
  <si>
    <t>M.04.000.024524</t>
  </si>
  <si>
    <t>M.04.000.024525</t>
  </si>
  <si>
    <t>M.04.000.024526</t>
  </si>
  <si>
    <t>M.04.000.024527</t>
  </si>
  <si>
    <t>M.04.000.024618</t>
  </si>
  <si>
    <t>Placa acústica em espuma semirrígida na cor cinza, com uma camada de manta HD, espessura de 50mm e dimensões 500x500mm, ref. Sonex Illtec Bloc 50/35 da OWA ou equivalente</t>
  </si>
  <si>
    <t>M.04.000.024621</t>
  </si>
  <si>
    <t>Placa acústica incombustível em espuma semirrígida na cor cinza, com superfície em cunhas anecóicas - instalado</t>
  </si>
  <si>
    <t>M.04.000.030368</t>
  </si>
  <si>
    <t>M.04.000.030375</t>
  </si>
  <si>
    <t>Canto externo de acabamento em PVC, perfil de 1,0 x 3,0 cm, ref. TEC 183 da Tecnoperfil ou equivalente - barra de 2,70 m</t>
  </si>
  <si>
    <t>M.04.000.030376</t>
  </si>
  <si>
    <t>M.04.000.030377</t>
  </si>
  <si>
    <t>M.04.000.030378</t>
  </si>
  <si>
    <t>M.04.000.030379</t>
  </si>
  <si>
    <t>Bate-maca ou protetor de parede em PVC, com altura de 200mm, barra de 4m, ref. TEC 200 da Tecnoperfil ou equivalente</t>
  </si>
  <si>
    <t>M.04.000.030380</t>
  </si>
  <si>
    <t>Faixa protetora em vinil de alto impacto para paredes, altura de 400mm, várias cores, com tratamento antibacteriano, antifungo, antimofo, retardante de chama e resistente a impacto, ref. Cosimo Cataldo, Enterprises Arquitetura ou equivalente</t>
  </si>
  <si>
    <t>M.04.000.030382</t>
  </si>
  <si>
    <t>Cantoneira autoadesiva em vinil de alto impacto, aba 2cm a 3,8cm, espessura 2mm, ângulo 90º, cor branca; ref. Enterprises Arquitetura, Cosimo Cataldo ou equivalente</t>
  </si>
  <si>
    <t>M.04.000.032533</t>
  </si>
  <si>
    <t>Rodapé em poliestireno com altura de 7 cm, cor branca, linha Primer/BR, ref. 451 RP/BR da Revitech, 451 RP/BR da Santa Luzia ou equivalente</t>
  </si>
  <si>
    <t>M.04.000.033070</t>
  </si>
  <si>
    <t>Bate rodas/limitador em resina, sem refletivo, com pino de fixação, conforme NBR 14636; ref. comercial Safepark ou equivalente</t>
  </si>
  <si>
    <t>M.04.000.033508</t>
  </si>
  <si>
    <t>M.04.000.033510</t>
  </si>
  <si>
    <t>M.04.000.033511</t>
  </si>
  <si>
    <t>Degrau (piso e espelho) de borracha sintética preta de 4 mm, ref. Le Corp, Daud ou equivalente - colado</t>
  </si>
  <si>
    <t>M.04.000.033516</t>
  </si>
  <si>
    <t>Grama sintética decorativa, com altura da grama: 20 a 32 mm, fio, polietileno (PE); ref. Playgrama, Hatcarpet, SLC ou equivalente - instalada</t>
  </si>
  <si>
    <t>M.04.000.033526</t>
  </si>
  <si>
    <t>Rodapé em poliestireno de sobrepor, altura de 8 cm; ref. linha Blend da Tarkett ou equivalente</t>
  </si>
  <si>
    <t>M.04.000.033529</t>
  </si>
  <si>
    <t>M.04.000.033534</t>
  </si>
  <si>
    <t>Piso vinílico autoportante acústico com e=4,5 mm, classe III A; ref. linha Square Acoustic da Tarkett ou equivalente</t>
  </si>
  <si>
    <t>M.04.000.033535</t>
  </si>
  <si>
    <t>Rodapé flexível em resinas de PVC de 5cm, espessura de 2mm, curvo/plano; ref. Tarkett ou equivalente</t>
  </si>
  <si>
    <t>M.04.000.033536</t>
  </si>
  <si>
    <t>Rodapé flexível em resinas de PVC de 7,5cm, espessura de 2mm, curvo/plano; ref. Tarkett ou equivalente</t>
  </si>
  <si>
    <t>M.04.000.033537</t>
  </si>
  <si>
    <t>Rodapé hospitalar flexível em resinas de PVC de 7,5cm, espessura de 2mm, nível/sobrepor; ref. Tarkett ou equivalente</t>
  </si>
  <si>
    <t>M.04.000.033539</t>
  </si>
  <si>
    <t>Testeira flexível em resinas de PVC para arremate de degrau, espessura de 2,0 mm; ref. Tarkett ou equivalente</t>
  </si>
  <si>
    <t>M.04.000.033540</t>
  </si>
  <si>
    <t>M.04.000.033541</t>
  </si>
  <si>
    <t>Revestimento vinílico em placas de 30 x 30 cm, classe II A, com e= 3,2 mm; ref. Paviflex Natural da Tarkett ou equivalente</t>
  </si>
  <si>
    <t>M.04.000.033542</t>
  </si>
  <si>
    <t>Piso vinílico em manta heterogênea com e= 2mm; ref. Decode Warm Medium Grey, Ligth Grey da Tarkett ou equivalente</t>
  </si>
  <si>
    <t>M.04.000.033543</t>
  </si>
  <si>
    <t>Piso vinílico flexível em manta homogênea com e= 2mm, classe II A; ref. linha IQ Optima da Tarkett ou equivalente</t>
  </si>
  <si>
    <t>M.04.000.033544</t>
  </si>
  <si>
    <t>Piso vinílico flexível em régua heterogênea com e= 3mm, classe II A; ref. linha Ambienta da Tarkett ou equivalente</t>
  </si>
  <si>
    <t>M.04.000.033545</t>
  </si>
  <si>
    <t>M.04.000.034017</t>
  </si>
  <si>
    <t>M.04.000.034020</t>
  </si>
  <si>
    <t>M.04.000.034027</t>
  </si>
  <si>
    <t>M.04.000.034035</t>
  </si>
  <si>
    <t>M.04.000.035525</t>
  </si>
  <si>
    <t>M.04.000.035526</t>
  </si>
  <si>
    <t>M.04.000.035531</t>
  </si>
  <si>
    <t>M.04.000.035583</t>
  </si>
  <si>
    <t>M.04.000.036047</t>
  </si>
  <si>
    <t>M.04.000.036135</t>
  </si>
  <si>
    <t>M.04.000.065082</t>
  </si>
  <si>
    <t>Reservatório em polietileno de alta densidade (cisterna), antioxidante e proteção anti UV, capacidade de 5.000 litros, com acessórios, ref. Acqualimp ou equivalente</t>
  </si>
  <si>
    <t>M.04.000.065083</t>
  </si>
  <si>
    <t>Reservatório em polietileno de alta densidade (cisterna), antioxidante e proteção anti UV, capacidade de 10.000 litros, com acessório; ref. Acqualimp, Amanco ou equivalente</t>
  </si>
  <si>
    <t>M.04.000.092626</t>
  </si>
  <si>
    <t>Plástico bolha, diâmetro de 1,00 a 2,00 cm - rolo de (1,00 x 100 ou 1,30 x 100) metros, ref. Syroplat ou equivalente</t>
  </si>
  <si>
    <t>M.04.000.092845</t>
  </si>
  <si>
    <t>N.01.000.038507</t>
  </si>
  <si>
    <t>Grama tipo batatais em placas (caminhão cap.400m²)</t>
  </si>
  <si>
    <t>N.01.000.038508</t>
  </si>
  <si>
    <t>Forração Hera Inglesa, min. 18 mudas/m² - h= 0,15m</t>
  </si>
  <si>
    <t>N.01.000.038510</t>
  </si>
  <si>
    <t>Terra vegetal orgânica adubada</t>
  </si>
  <si>
    <t>N.01.000.038511</t>
  </si>
  <si>
    <t>Terra vegetal orgânica comum</t>
  </si>
  <si>
    <t>N.01.000.038513</t>
  </si>
  <si>
    <t>Grama tipo Esmeralda em placas</t>
  </si>
  <si>
    <t>N.01.000.038516</t>
  </si>
  <si>
    <t>Arbusto alamanda h= 0,60 a 0,80 m</t>
  </si>
  <si>
    <t>N.01.000.038605</t>
  </si>
  <si>
    <t>Árvore ornamental tipo Ipê Amarelo - h= 2,00m</t>
  </si>
  <si>
    <t>N.01.000.038610</t>
  </si>
  <si>
    <t>Grama tipo São Carlos em placas</t>
  </si>
  <si>
    <t>N.01.000.038613</t>
  </si>
  <si>
    <t>Árvore ornamental tipo Areca Bambu - h= 2,00m</t>
  </si>
  <si>
    <t>N.01.000.038621</t>
  </si>
  <si>
    <t>Arbusto Curculigo h= 0,60 a 0,80 m</t>
  </si>
  <si>
    <t>N.01.000.038624</t>
  </si>
  <si>
    <t>Árvore ornamental tipo Manacá-da-serra - h= 2,00m</t>
  </si>
  <si>
    <t>N.01.000.038628</t>
  </si>
  <si>
    <t>Árvore ornamental tipo Pata de Vaca - h= 2,00m</t>
  </si>
  <si>
    <t>N.01.000.038632</t>
  </si>
  <si>
    <t>Forração Lírio Amarelo, min.18 mudas/m² - h= 0,50m</t>
  </si>
  <si>
    <t>N.01.000.038639</t>
  </si>
  <si>
    <t>Arbusto Moréia - h= 0,50 m</t>
  </si>
  <si>
    <t>N.01.000.038642</t>
  </si>
  <si>
    <t>Arbusto Azaléia - h= 0,60 a 0,80 m</t>
  </si>
  <si>
    <t>N.01.000.038648</t>
  </si>
  <si>
    <t>Forração com clorofito, mínimo 20 mudas/m² - h= 0,15m</t>
  </si>
  <si>
    <t>N.01.000.038712</t>
  </si>
  <si>
    <t>Árvore tipo Aroeira salsa (Shinus molle) - h= 2,00m</t>
  </si>
  <si>
    <t>N.01.000.039154</t>
  </si>
  <si>
    <t>Árvore do tipo Coqueiro Jerivá (Syagrus romanzoffiana) - h= 4,00m</t>
  </si>
  <si>
    <t>N.01.000.039164</t>
  </si>
  <si>
    <t>Árvore do tipo Falso barbatimão (Cassia leptophylla) - h= 2,00m</t>
  </si>
  <si>
    <t>N.02.000.091652</t>
  </si>
  <si>
    <t>Mini centro de atividades em madeira rústica, ref. Mundo Mágico ou equivalente</t>
  </si>
  <si>
    <t>N.02.000.091653</t>
  </si>
  <si>
    <t>Balanço duplo em madeira rústica, ref. Mundo Mágico ou equivalente</t>
  </si>
  <si>
    <t>N.02.000.091654</t>
  </si>
  <si>
    <t>Gangorra dupla em madeira rústica, ref. Mundo Mágico ou equivalente</t>
  </si>
  <si>
    <t>N.02.000.091656</t>
  </si>
  <si>
    <t>Gira-gira em ferro com assento de madeira (8 lugares), ref. Mundo Mágico ou equivalente</t>
  </si>
  <si>
    <t>N.03.000.050471</t>
  </si>
  <si>
    <t>Assento (banco) articulado para banho, em liga de alumínio com pintura epóxi, de 700 x 450 mm, conforme norma NBR9050</t>
  </si>
  <si>
    <t>N.03.000.050494</t>
  </si>
  <si>
    <t>Banco de madeira tipos cavalinho ou tamanduá, com réguas em madeira envernizada de 1,60m e pés em ferro fundido pintado</t>
  </si>
  <si>
    <t>N.03.000.065537</t>
  </si>
  <si>
    <t>N.03.000.065539</t>
  </si>
  <si>
    <t>Armário plástico para lavatório embutir/sobrepor; referência modelo A43 fabricação Astra ou equivalente</t>
  </si>
  <si>
    <t>N.03.000.094235</t>
  </si>
  <si>
    <t>Superfície sólido mineral para bancadas, saias e frontões, não poroso e homogêneo composto de resina acrílica e minerais naturais; ref. Corian da Dupont ou equivalente</t>
  </si>
  <si>
    <t>N.04.000.020300</t>
  </si>
  <si>
    <t>Placa de sinalização em PVC fotoluminescente (200x200mmx2mm), com indicação de equipamentos de alarme, detecção e extinção de incêndio, ref. E001.01B da ADVcomm, E2 da Net Placa, 17388 da TAG Sinalização ou equivalente</t>
  </si>
  <si>
    <t>N.04.000.020301</t>
  </si>
  <si>
    <t>Placa de sinalização em PVC fotoluminescente (150x150x2mm), com indicação de equipamentos de combate à incêndio; ref. E005.01A da ADVcomm, E5 da Perfect Vision, E7MH da Net Placa ou equivalente</t>
  </si>
  <si>
    <t>N.04.000.020302</t>
  </si>
  <si>
    <t>Placa de sinalização em PVC fotoluminescente (240x120x2mm), indicação de rota de evacuação e saída de emergência; ref. S2 da Net Placa, 3670 da TAG Sinalização, S2 da Perfect Vision ou equivalente</t>
  </si>
  <si>
    <t>N.04.000.020303</t>
  </si>
  <si>
    <t>Placa de sinalização em PVC fotoluminescente (145x145x2mm) /  (200x100x2mm), com identificação de pavimentos, ref. S017.01 da ADVcomm, 6076 da Tag Sinalização, S17 da Net Placa ou equivalente</t>
  </si>
  <si>
    <t>N.04.000.020304</t>
  </si>
  <si>
    <t>Placa de sinalização em PVC, com indicação de alerta, (150x200x2mm); ref. A00511C da ADVcomm, 590 da TAG Sinalização, A1 da Perfect Vision ou equivalente</t>
  </si>
  <si>
    <t>N.04.000.020305</t>
  </si>
  <si>
    <t>Placa de sinalização em PVC, com indicação de proibição normativa, (150x200x2mm); ref. P00111C da ADVcomm, 639 da TAG Sinalização, P4 da Net Placa ou equivalente</t>
  </si>
  <si>
    <t>N.04.000.020357</t>
  </si>
  <si>
    <t>Placa para identificação da obra, em chapa de aço n° 18, galvanizado com tratamento anticorrosivo padrão</t>
  </si>
  <si>
    <t>N.04.000.020359</t>
  </si>
  <si>
    <t>Placa de sinalização tátill em poliestireno "PS", na cor cinza claro e alto relevo em braile preto, nas dimensões de 80x50x3mm, para sinalização de pavimentos, conforme Norma NBR 9050</t>
  </si>
  <si>
    <t>N.04.000.037601</t>
  </si>
  <si>
    <t>Matriz símbolo PSAI, poliestireno alto impacto, para vaga de estacionamento de pessoas com mobilidade reduzida, de acordo com a norma  NBR 9050</t>
  </si>
  <si>
    <t>N.04.000.039071</t>
  </si>
  <si>
    <t>Placa de identificação em PVC, com texto em vinil e espessura de 2mm</t>
  </si>
  <si>
    <t>N.04.000.039085</t>
  </si>
  <si>
    <t>Placa com sinalização indicativa de 7 x 25 cm, em acrílico cristal ou colorido, com espessura de 2 mm, com texto em vinílico adesivo</t>
  </si>
  <si>
    <t>N.04.000.039112</t>
  </si>
  <si>
    <t>Placa de identificação em alumínio para WC, com desenho universal de acessibilidade</t>
  </si>
  <si>
    <t>N.04.000.039114</t>
  </si>
  <si>
    <t>Banner em lona com impressão digitalmente, com bainha reforçada e ilhoses</t>
  </si>
  <si>
    <t>N.04.000.039115</t>
  </si>
  <si>
    <t>Requadro em metalon para banner em lona impresso</t>
  </si>
  <si>
    <t>N.04.000.091435</t>
  </si>
  <si>
    <t>Pictograma autoadesivo em policarbonato resistente para piso, de 80 cm x 120 cm, para área de resgate; ref. referência comercial Andaluz Acessibilidade, Escolha Certa, Advann Comunicação, Digimetta, Efeito Publicidade ou equivalente</t>
  </si>
  <si>
    <t>N.05.000.036719</t>
  </si>
  <si>
    <t>Trave oficial para futebol de salão completa</t>
  </si>
  <si>
    <t>N.05.000.036720</t>
  </si>
  <si>
    <t>Rede para futebol de salão, em náilon, fio 2</t>
  </si>
  <si>
    <t>N.06.000.050297</t>
  </si>
  <si>
    <t>Coifa em aço inoxidável com filtro e exaustor axial - área até 3,00 m²</t>
  </si>
  <si>
    <t>N.06.000.050298</t>
  </si>
  <si>
    <t>Coifa em aço inoxidável com filtro e exaustor axial - área de 3,01 até 7,50 m²</t>
  </si>
  <si>
    <t>N.06.000.050299</t>
  </si>
  <si>
    <t>Coifa em aço inoxidável com filtro e exaustor axial - área de 7,51 até 16,00 m²</t>
  </si>
  <si>
    <t>N.07.000.000008</t>
  </si>
  <si>
    <t>N.07.000.000009</t>
  </si>
  <si>
    <t>Abraçadeira em aço galvanizado com parafusos e porcas para placas de sinalização</t>
  </si>
  <si>
    <t>N.07.000.000010</t>
  </si>
  <si>
    <t>Placa regulamentação, advertência, educativa, orientação turística/serviços, ch.aço tipo NB 1010/1020, e= 1,25 mm, bitola 18, ou e= 1,50 mm, bitola 16 - ABNT NBR 11904, área até 2,0 m², refletiva com película IA/IA - ABNT NBR 14644</t>
  </si>
  <si>
    <t>N.07.000.000011</t>
  </si>
  <si>
    <t>N.07.000.000012</t>
  </si>
  <si>
    <t>Placa de regulamentação, advertência, educativa, de orientação turística e de serviços, ch. alumínio liga 5052, tempera H-34, e= 2,0 mm, área até 2,0 m², totalmente refletiva com película IA/IA - ABNT NBR 14644</t>
  </si>
  <si>
    <t>N.07.000.000013</t>
  </si>
  <si>
    <t>Placa de regulamentação, advertência, educativa, de orientação turística e de serviços, em chapa de alumínio liga 5052, tempera H-34, esp. 2,0 mm, área até 2,0 m², totalmente refletiva com película III/III - ABNT NBR 14644</t>
  </si>
  <si>
    <t>N.07.000.000014</t>
  </si>
  <si>
    <t>Placa de regulamentação, advertência, educativa, de orientação turística e de serviços, em chapa de alumínio liga 5052, tempera H-34, esp. 2,0 mm, área maior que 2,0 m², modulada, totalmente refletiva com película III/III - ABNT NBR 14644</t>
  </si>
  <si>
    <t>N.07.000.000015</t>
  </si>
  <si>
    <t>Placa de regulamentação, advertência, educativa, de orientação turística e de serviços, em ACM - alumínio composto - ABNT-NBR-16179, área até 2,0 m², totalmente refletiva com película IA/IA - ABNT NBR 14644</t>
  </si>
  <si>
    <t>N.07.000.000016</t>
  </si>
  <si>
    <t>Placa de regulamentação, advertência, educativa, de orientação turística e de serviços, em ACM - alumínio composto - ABNT-NBR-16179, área até 2,0 m², totalmente refletiva com película III/III - ABNT NBR 14644</t>
  </si>
  <si>
    <t>N.07.000.000017</t>
  </si>
  <si>
    <t>Placa de regulamentação, advertência, educativa, de orientação turística e de serviços, em ACM - alumínio composto - ABNT-NBR-16179, área maior que 2,0 m², modulada, totalmente refletiva com película III/III - ABNT NBR 14644</t>
  </si>
  <si>
    <t>N.07.000.000018</t>
  </si>
  <si>
    <t>Execução de sinalização horizontal com aplicação tinta a base de resina acrílica emulsionada em água, ABNT NBR 13699</t>
  </si>
  <si>
    <t>N.07.000.000019</t>
  </si>
  <si>
    <t>Execução de sinalização horizontal com aplicação de massa termoplástica à quente pelo método de extrusão na espessura de 3,0 mm, para faixas, ABNT NBR 13132 e NBR 15402</t>
  </si>
  <si>
    <t>N.07.000.000020</t>
  </si>
  <si>
    <t>Execução de sinalização horizontal com aplicação de massa termoplástica à quente pelo método de extrusão na espessura de 3,0 mm, para legendas, ABNT NBR 13132  e NBR 15402</t>
  </si>
  <si>
    <t>N.07.000.000021</t>
  </si>
  <si>
    <t>Execução de sinalização horizontal com aplicação de massa termoplástica à quente pelo método de aspersão, na espessura de 1,5 mm, para faixas, ABNT NBR 13159 e NBR 15402</t>
  </si>
  <si>
    <t>N.07.000.000022</t>
  </si>
  <si>
    <t>Execução de sinalização horizontal com aplicação de laminado elastoplástico retrorefletivo e antiderrapante pré formado em diversas cores para símbolos e letras, ABNT NBR 15741</t>
  </si>
  <si>
    <t>N.07.000.000023</t>
  </si>
  <si>
    <t>Execução de sinalização horizontal com aplicação de termoplástico de alto relevo, ABNT NBR 15543</t>
  </si>
  <si>
    <t>N.07.000.000024</t>
  </si>
  <si>
    <t>Execução de sinalização horizontal com aplicação de plástico a frio manual a base de resinas metacrílicas reativas para faixas, ABNT NBR 15870</t>
  </si>
  <si>
    <t>N.07.000.000025</t>
  </si>
  <si>
    <t>Remoção de sinalização horizontal existente pelo processo manual ou mecânico, ABNT NBR 15405</t>
  </si>
  <si>
    <t>N.07.000.000026</t>
  </si>
  <si>
    <t>Limpeza, pré marcação e pré pintura de solo</t>
  </si>
  <si>
    <t>O.01.000.067503</t>
  </si>
  <si>
    <t>Caixa de gordura em PVC, com tampa, cesto de limpeza, 2 entradas de 75mm, 1 entrada de 50mm, 1 saída de 100mm, completo; ref. Tigre ou equivalente - capacidade de 19 litros</t>
  </si>
  <si>
    <t>O.01.000.960000</t>
  </si>
  <si>
    <t>Caixa de gordura em concreto com tampa, modelo G1 (para 1 pia), volume 18 litros; ref. Concrebox ou equivamente</t>
  </si>
  <si>
    <t>O.02.000.062501</t>
  </si>
  <si>
    <t>Tubo de PVC rígido soldável marrom, DN= 20mm (1/2´)</t>
  </si>
  <si>
    <t>O.02.000.062502</t>
  </si>
  <si>
    <t>Tubo de PVC rígido soldável marrom, DN= 25mm (3/4´)</t>
  </si>
  <si>
    <t>O.02.000.062503</t>
  </si>
  <si>
    <t>Tubo de PVC rígido soldável marrom, DN= 32mm (1´)</t>
  </si>
  <si>
    <t>O.02.000.062504</t>
  </si>
  <si>
    <t>Tubo de PVC rígido soldável marrom, DN= 40mm (1 1/4´)</t>
  </si>
  <si>
    <t>O.02.000.062505</t>
  </si>
  <si>
    <t>Tubo de PVC rígido soldável marrom, DN= 50mm (1 1/2´)</t>
  </si>
  <si>
    <t>O.02.000.062506</t>
  </si>
  <si>
    <t>Tubo de PVC rígido soldável marrom, DN= 60mm (2´)</t>
  </si>
  <si>
    <t>O.02.000.062507</t>
  </si>
  <si>
    <t>Tubo de PVC rígido soldável marrom, DN= 75mm (2 1/2´)</t>
  </si>
  <si>
    <t>O.02.000.062508</t>
  </si>
  <si>
    <t>Tubo de PVC rígido soldável marrom, DN= 85mm (3´)</t>
  </si>
  <si>
    <t>O.02.000.062509</t>
  </si>
  <si>
    <t>Tubo de PVC rígido soldável marrom, DN= 110mm (4´)</t>
  </si>
  <si>
    <t>O.02.000.062512</t>
  </si>
  <si>
    <t>Tubo de PVC rígido DEFoFo, DN= 200mm (DE= 222mm), ref. Vinilfer ou equivalente</t>
  </si>
  <si>
    <t>O.02.000.062513</t>
  </si>
  <si>
    <t>Tubo de PVC rígido DEFoFo, DN= 250mm (DE= 274mm), ref. Vinilfer ou equivalente</t>
  </si>
  <si>
    <t>O.02.000.062514</t>
  </si>
  <si>
    <t>Tubo de PVC rígido DEFoFo, DN= 300mm (DE= 326mm), ref. Vinilfer ou equivalente</t>
  </si>
  <si>
    <t>O.02.000.062515</t>
  </si>
  <si>
    <t>Tubo de PVC rígido tipo Coletor Esgoto, DN= 400 mm, junta elástica</t>
  </si>
  <si>
    <t>O.02.000.062530</t>
  </si>
  <si>
    <t>Tubo de PVC rígido branco, pontas lisas, soldável, série normal, DN 40mm</t>
  </si>
  <si>
    <t>O.02.000.062531</t>
  </si>
  <si>
    <t>Tubo de PVC rígido branco PxB com virola, linha esgoto série normal, DN= 50mm</t>
  </si>
  <si>
    <t>O.02.000.062532</t>
  </si>
  <si>
    <t>Tubo de PVC rígido branco PxB com virola, linha esgoto série normal, DN= 75mm</t>
  </si>
  <si>
    <t>O.02.000.062533</t>
  </si>
  <si>
    <t>Tubo de PVC rígido branco PxB com virola, linha esgoto série normal, DN= 100mm</t>
  </si>
  <si>
    <t>O.02.000.062534</t>
  </si>
  <si>
    <t>Tubo de PVC para esgoto 150mm</t>
  </si>
  <si>
    <t>O.02.000.062549</t>
  </si>
  <si>
    <t>Tubo descarga em PVC de 1 1/2´ longo</t>
  </si>
  <si>
    <t>O.02.000.062554</t>
  </si>
  <si>
    <t>Tubo de PVC rígido, pontas lisas, soldável, linha esgoto série reforçada ´R´, DN= 40mm</t>
  </si>
  <si>
    <t>O.02.000.062558</t>
  </si>
  <si>
    <t>Tubo de PVC rígido PxB com virola, linha esgoto série reforçada ´R´, DN= 50mm</t>
  </si>
  <si>
    <t>O.02.000.062560</t>
  </si>
  <si>
    <t>Tubo de PVC rígido PxB com virola, linha esgoto série reforçada ´R´, DN= 75mm</t>
  </si>
  <si>
    <t>O.02.000.062561</t>
  </si>
  <si>
    <t>Tubo de PVC rígido PxB com virola, linha esgoto série reforçada ´R´, DN= 100mm</t>
  </si>
  <si>
    <t>O.02.000.062562</t>
  </si>
  <si>
    <t>Tubo de PVC rígido PxB com virola, linha esgoto série reforçada ´R´, DN= 150mm</t>
  </si>
  <si>
    <t>O.02.000.062570</t>
  </si>
  <si>
    <t>Tubo de PVC rígido PBA, classe 15, DN= 50mm</t>
  </si>
  <si>
    <t>O.02.000.062571</t>
  </si>
  <si>
    <t>Tubo de PVC rígido PBA, classe 15, DN= 75mm</t>
  </si>
  <si>
    <t>O.02.000.062572</t>
  </si>
  <si>
    <t>Tubo de PVC rígido PBA, classe 15, DN= 100mm</t>
  </si>
  <si>
    <t>O.02.000.062581</t>
  </si>
  <si>
    <t>Tubo de PVC rígido tipo Coletor Esgoto, DN= 100mm</t>
  </si>
  <si>
    <t>O.02.000.062583</t>
  </si>
  <si>
    <t>Tubo de PVC rígido tipo Coletor Esgoto, DN= 150mm</t>
  </si>
  <si>
    <t>O.02.000.062584</t>
  </si>
  <si>
    <t>Tubo de PVC rígido tipo Coletor Esgoto, DN= 200mm</t>
  </si>
  <si>
    <t>O.02.000.062585</t>
  </si>
  <si>
    <t>Tubo de PVC rígido tipo Coletor Esgoto, DN= 250mm</t>
  </si>
  <si>
    <t>O.02.000.062586</t>
  </si>
  <si>
    <t>Tubo de PVC rígido tipo Coletor Esgoto, DN= 300mm</t>
  </si>
  <si>
    <t>O.02.000.062591</t>
  </si>
  <si>
    <t>Caixa de areia em PVC de 100 mm, ref. Tigre ou equivalente</t>
  </si>
  <si>
    <t>O.02.000.063513</t>
  </si>
  <si>
    <t>Registro de pressão PVC soldável DN= 25mm (3/4´)</t>
  </si>
  <si>
    <t>O.02.000.064510</t>
  </si>
  <si>
    <t>Sifão de PVC rígido tipo copo 1´ x 1 1/2´, com tubo de ligação ajustável; ref. Akros 43.003-2 ou equivalente</t>
  </si>
  <si>
    <t>O.02.000.065572</t>
  </si>
  <si>
    <t>Válvula para lavatório em PVC- ref. Astra ou equivalente</t>
  </si>
  <si>
    <t>O.02.000.067501</t>
  </si>
  <si>
    <t>Caixa sifonada em PVC rígido de 150 x 150 x 50 mm</t>
  </si>
  <si>
    <t>O.02.000.067509</t>
  </si>
  <si>
    <t>Caixa sifonada em PVC rígido de 250 x 230 x 75 mm, com tampa cega</t>
  </si>
  <si>
    <t>O.02.000.067510</t>
  </si>
  <si>
    <t>Ralo seco em PVC rígido de 100 x 40 mm</t>
  </si>
  <si>
    <t>O.02.000.067512</t>
  </si>
  <si>
    <t>Caixa sifonada em PVC rígido de 100 x 150 x 50 mm</t>
  </si>
  <si>
    <t>O.02.000.067514</t>
  </si>
  <si>
    <t>Caixa sifonada em PVC rígido de 250 x 172 x 50 mm, com tampa cega</t>
  </si>
  <si>
    <t>O.02.000.067527</t>
  </si>
  <si>
    <t>Caixa sifonada em PVC rígido de 100 x 100 x 50 mm</t>
  </si>
  <si>
    <t>O.02.000.069514</t>
  </si>
  <si>
    <t>Solução limpadora para PVC</t>
  </si>
  <si>
    <t>O.02.000.069520</t>
  </si>
  <si>
    <t>Condutor circular em PVC 88mm, ref. Aquapluv-AP da Tigre ou equivalente</t>
  </si>
  <si>
    <t>O.02.000.069521</t>
  </si>
  <si>
    <t>O.02.000.090596</t>
  </si>
  <si>
    <t>O.02.000.090600</t>
  </si>
  <si>
    <t>Bengala em PVC rígido para o ramal de entrada, diâmetro de 32 mm, padrão Eletropaulo; ref. Coflex ou equivalente</t>
  </si>
  <si>
    <t>O.02.000.090637</t>
  </si>
  <si>
    <t>O.02.000.090829</t>
  </si>
  <si>
    <t>O.03.000.061340</t>
  </si>
  <si>
    <t>Tubo em polietileno de alta densidade PEAD PE 100 SDR17, DE 160 mm, PN-10, soldado</t>
  </si>
  <si>
    <t>O.03.000.061341</t>
  </si>
  <si>
    <t>Tubo em polietileno de alta densidade PEAD PE 100 SDR17, DE 200 mm, PN-10, soldado</t>
  </si>
  <si>
    <t>O.03.000.061342</t>
  </si>
  <si>
    <t>Tubo em polietileno de alta densidade PEAD PE 100 SDR17, DE 225 mm, PN-10, soldado</t>
  </si>
  <si>
    <t>O.03.000.062681</t>
  </si>
  <si>
    <t>Duto corrugado para dreno tipo Kananet, DN= 3´</t>
  </si>
  <si>
    <t>O.03.000.062682</t>
  </si>
  <si>
    <t>Duto corrugado para dreno tipo Kananet, DN= 4´</t>
  </si>
  <si>
    <t>O.03.000.062683</t>
  </si>
  <si>
    <t>Duto corrugado para dreno tipo Kananet, DN= 2 1/2´</t>
  </si>
  <si>
    <t>O.03.000.062684</t>
  </si>
  <si>
    <t>Duto corrugado para dreno tipo Kananet, DN= 6´</t>
  </si>
  <si>
    <t>O.03.000.062686</t>
  </si>
  <si>
    <t>Duto corrugado para dreno tipo Kananet, DN= 8´</t>
  </si>
  <si>
    <t>O.03.000.062690</t>
  </si>
  <si>
    <t>Tubo em polietileno de alta densidade corrugado para drenagem, ponta/bolsa/anel de vedação, SN4, DN/DI = 250 mm, ref. KNTS da Kanaflex, Tigre ADS ou equivalente</t>
  </si>
  <si>
    <t>O.03.000.062691</t>
  </si>
  <si>
    <t>Tubo em polietileno de alta densidade corrugado para drenagem, ponta/bolsa/anel de vedação, SN4, DN/DI = 300 mm, ref. KNTS da Kanaflex, Tigre ADS ou equivalente</t>
  </si>
  <si>
    <t>O.03.000.062692</t>
  </si>
  <si>
    <t>Tubo em polietileno de alta densidade corrugado para drenagem, ponta/bolsa/anel de vedação, SN4, DN/DI = 400 mm, ref. KNTS da Kanaflex, Tigre ADS ou equivalente</t>
  </si>
  <si>
    <t>O.03.000.062693</t>
  </si>
  <si>
    <t>Tubo em polietileno de alta densidade corrugado para drenagem, ponta/bolsa/anel de vedação, SN4, DN/DI = 500 mm, ref. KNTS da Kanaflex, Tigre ADS ou equivalente</t>
  </si>
  <si>
    <t>O.03.000.062694</t>
  </si>
  <si>
    <t>Tubo em polietileno de alta densidade corrugado para drenagem, ponta/bolsa/anel de vedação, SN4, DN/DI = 600 mm, ref. KNTS da Kanaflex, Tigre ADS ou equivalente</t>
  </si>
  <si>
    <t>O.03.000.062695</t>
  </si>
  <si>
    <t>Tubo em polietileno de alta densidade corrugado para drenagem, ponta/bolsa/anel de vedação, SN4, DN/DI = 800 mm, ref. KNTS da Kanaflex, Tigre ADS ou equivalente</t>
  </si>
  <si>
    <t>O.03.000.062696</t>
  </si>
  <si>
    <t>Tubo em polietileno de alta densidade corrugado para drenagem, ponta/bolsa/anel de vedação, SN4, DN/DI = 1000 mm, ref. KNTS da Kanaflex, Tigre ADS ou equivalente</t>
  </si>
  <si>
    <t>O.03.000.062697</t>
  </si>
  <si>
    <t>Tubo em polietileno de alta densidade corrugado para drenagem, ponta/bolsa/anel de vedação, SN4, DN/DI = 1200 mm, ref. KNTS da Kanaflex, Tigre ADS ou equivalente</t>
  </si>
  <si>
    <t>O.04.000.020472</t>
  </si>
  <si>
    <t>Tubo em aço carbono preto sem costura, SCH 40 DN= 6´</t>
  </si>
  <si>
    <t>O.04.000.021101</t>
  </si>
  <si>
    <t>Tubo de aço carbono preto sem costura, SCH 40 DN= 3´</t>
  </si>
  <si>
    <t>O.04.000.021102</t>
  </si>
  <si>
    <t>Tubo de aço carbono preto sem costura, SCH 40 DN= 8´</t>
  </si>
  <si>
    <t>O.04.000.021105</t>
  </si>
  <si>
    <t>Tubo em aço carbono preto sem costura SCH 40 DN= 1 1/2´</t>
  </si>
  <si>
    <t>O.04.000.021106</t>
  </si>
  <si>
    <t>Tubo de aço carbono preto sem costura SCH 40 DN= 2 1/2´</t>
  </si>
  <si>
    <t>O.04.000.021107</t>
  </si>
  <si>
    <t>Tubo de aço carbono preto sem costura SCH 40 DN= 4´</t>
  </si>
  <si>
    <t>O.04.000.021126</t>
  </si>
  <si>
    <t>Tubo de aço carbono preto sem costura SCH 40 DN= 5´</t>
  </si>
  <si>
    <t>O.04.000.021127</t>
  </si>
  <si>
    <t>Tubo de aço carbono preto sem costura SCH 40 DN= 2´</t>
  </si>
  <si>
    <t>O.04.000.021128</t>
  </si>
  <si>
    <t>Tubo de aço carbono preto sem costura SCH 40 DN= 1 1/4´</t>
  </si>
  <si>
    <t>O.04.000.021129</t>
  </si>
  <si>
    <t>Tubo de aço carbono preto sem costura SCH-40 DN= 1´</t>
  </si>
  <si>
    <t>O.04.000.021134</t>
  </si>
  <si>
    <t>Tubo de aço carbono preto sem costura, SCH 40 DN= 3 1/2´</t>
  </si>
  <si>
    <t>O.04.000.021308</t>
  </si>
  <si>
    <t>Tubo de aço carbono preto com costura, SCH 40 DN= 10´</t>
  </si>
  <si>
    <t>O.04.000.021309</t>
  </si>
  <si>
    <t>Tubo de aço carbono preto com costura, SCH 40 DN= 12´</t>
  </si>
  <si>
    <t>O.04.000.064079</t>
  </si>
  <si>
    <t>O.04.000.064080</t>
  </si>
  <si>
    <t>O.04.000.064081</t>
  </si>
  <si>
    <t>O.04.000.064082</t>
  </si>
  <si>
    <t>O.04.000.064096</t>
  </si>
  <si>
    <t>Válvula globo em aço carbono forjado, extremidades rosqueáveis; haste, disco, anel e junta em aço inoxidável, DN= 3/4', classe 800lbs para vapor; 2000lbs para água óleo e gás</t>
  </si>
  <si>
    <t>O.04.000.064097</t>
  </si>
  <si>
    <t>Válvula globo em aço carbono forjado, extremidades rosqueáveis; haste, disco, anel e junta em aço inoxidável, DN= 1', classe 800lbs para vapor; 200lbs para água óleo e gás</t>
  </si>
  <si>
    <t>O.04.000.064098</t>
  </si>
  <si>
    <t>Válvula globo em aço carbono forjado, extremidades rosqueáveis; haste, disco, anel e junta em aço inoxidável, DN=1 1/2', classe 800lbs para vapor; 200lbs para água óleo e gás</t>
  </si>
  <si>
    <t>O.04.000.064099</t>
  </si>
  <si>
    <t>Válvula globo em aço carbono forjado, extremidades rosqueáveis; haste, disco, anel e junta em aço inoxidável, DN= 2', classe 800lbs para vapor; 200lbs para água óleo e gás</t>
  </si>
  <si>
    <t>O.04.000.064164</t>
  </si>
  <si>
    <t>Chave de fluxo tipo palheta, para líquidos, com conexão tipo macho diâmetro 1´, ref. AT2011 da Contech ou equivalente</t>
  </si>
  <si>
    <t>O.04.000.064608</t>
  </si>
  <si>
    <t>Chave de fluxo de água com retardo eletrônico de 0 a 100 segundos, para tubulações com diâmetros de 1" a 6", funcionamento por palheta, conexão BSP</t>
  </si>
  <si>
    <t>O.04.000.068502</t>
  </si>
  <si>
    <t>CAP (tampão) em aço SCH 80, diâmetro de 3/4" soldável para tamponamento de tubulação</t>
  </si>
  <si>
    <t>O.04.000.068508</t>
  </si>
  <si>
    <t>Válvula de esfera monobloco em aço carbono, diâmetro de 1/2", com passagem plena e rosca BSP</t>
  </si>
  <si>
    <t>O.04.000.068509</t>
  </si>
  <si>
    <t>Tê em aço SCH 80, diâmetro de 1/2", soldável</t>
  </si>
  <si>
    <t>O.04.000.068541</t>
  </si>
  <si>
    <t>Manômetro em aço carbono, com mostrador de 4´, escalas: 0-4 , 0-7 / 0-10 / 0-17 / 0-21 / 0-28 kg/cm²</t>
  </si>
  <si>
    <t>O.04.000.068542</t>
  </si>
  <si>
    <t>Filtro Y em aço carbono, classe 150 libras, diâmetro nominal 4', conexões flangeadas 150, tela 1,2mm em aço inoxidável, referência 34C da Spirax Sarco ou equivalente</t>
  </si>
  <si>
    <t>O.04.000.092866</t>
  </si>
  <si>
    <t>Curva 90° em ferro fundido com flange, classe PN-10, DN= 50mm</t>
  </si>
  <si>
    <t>O.05.000.026519</t>
  </si>
  <si>
    <t>Ventosa em ferro dúctil, simples rosqueada, classe PN-25, DN= 3/4´</t>
  </si>
  <si>
    <t>O.05.000.026520</t>
  </si>
  <si>
    <t>Ventosa em ferro dúctil , tríplice função, flangeada, classe PN-10, DN= 50mm</t>
  </si>
  <si>
    <t>O.05.000.036504</t>
  </si>
  <si>
    <t>Tampão em ferro fundido, com tampa articulada, diâmetro de 900mm, classe D400; referência Afer, Alea, JM, EBF ou equivalente</t>
  </si>
  <si>
    <t>O.05.000.036507</t>
  </si>
  <si>
    <t>Tampão em ferro dúctil de Ø 600mm, classe 125 (ruptura &gt;125 kN), conforme NBR 10160/2005</t>
  </si>
  <si>
    <t>O.05.000.036508</t>
  </si>
  <si>
    <t>O.05.000.036521</t>
  </si>
  <si>
    <t>Tampão em ferro dúctil de Ø 600mm, classe 400 (ruptura &gt;400 kN), conforme NBR 10160/2005</t>
  </si>
  <si>
    <t>O.05.000.036522</t>
  </si>
  <si>
    <t>Tampão ferro dúctil de 400 x 400 mm, classe 125 (ruptura &gt; 125 kN), conforme NBR 10160/2005</t>
  </si>
  <si>
    <t>O.05.000.036524</t>
  </si>
  <si>
    <t>Tampão ferro dúctil de 500 x 500 mm, classe 125 (ruptura &gt; 125 kN), para tráfego leve, conforme NBR 10160/2005</t>
  </si>
  <si>
    <t>O.05.000.036527</t>
  </si>
  <si>
    <t>Tampão ferro dúctil de 600 x 600 mm, classe 125 (ruptura &gt; 125 kN), para tráfego leve, conforme NBR 10160/2005</t>
  </si>
  <si>
    <t>O.05.000.043699</t>
  </si>
  <si>
    <t>Punho de manobra de alavanca retrátil sem bloqueio kirk, com articulador de acionamento e biela; ref. GV-A03D+GV-A02+biela da Senner, NP9022+NP9108-NP9112 da American Fuse, PR+AR+TD100 da Dreyffus Pel ou equivalente</t>
  </si>
  <si>
    <t>O.05.000.061004</t>
  </si>
  <si>
    <t>Tubo em ferro fundido de 150mm, para esgoto, ref. PB SME linha predial da Saint-gobain ou equivalente</t>
  </si>
  <si>
    <t>O.05.000.061015</t>
  </si>
  <si>
    <t>Tubo em ferro fundido com PxP, TCLA, DN= 100mm sem juntas e conexões, ref. Barbara ou equivalente</t>
  </si>
  <si>
    <t>O.05.000.061016</t>
  </si>
  <si>
    <t>Tubo em ferro fundido com PxP, TCLA, DN= 200mm, sem juntas e conexões, ref. Barbara ou equivalente</t>
  </si>
  <si>
    <t>O.05.000.061017</t>
  </si>
  <si>
    <t>Flange avulso em ferro fundido classe PN-10, DN= 100mm, ref. Barbara ou equivalente</t>
  </si>
  <si>
    <t>O.05.000.061018</t>
  </si>
  <si>
    <t>Flange avulso em ferro fundido classe PN-10, DN= 200mm, ref. Barbara ou equivalente</t>
  </si>
  <si>
    <t>O.05.000.061019</t>
  </si>
  <si>
    <t>Curva de 90° em ferro fundido com flanges, classe PN-10, DN= 100mm</t>
  </si>
  <si>
    <t>O.05.000.061020</t>
  </si>
  <si>
    <t>Tubo em ferro fundido de 150mm, classe k-7 JGS, ref. Barbara ou equivalente</t>
  </si>
  <si>
    <t>O.05.000.061021</t>
  </si>
  <si>
    <t>Tubo em ferro fundido de 200mm, classe k-7 JGS, ref. Barbara ou equivalente</t>
  </si>
  <si>
    <t>O.05.000.061022</t>
  </si>
  <si>
    <t>Tubo em ferro fundido de 250mm, classe k-7 JGS, ref. Barbara ou equivalente</t>
  </si>
  <si>
    <t>O.05.000.061023</t>
  </si>
  <si>
    <t>Tubo em ferro fundido de 350mm, classe k-7 JGS, ref. Barbara ou equivalente</t>
  </si>
  <si>
    <t>O.05.000.061026</t>
  </si>
  <si>
    <t>Tubo em ferro fundido com PxP, TCLA, DN= 80mm sem juntas e conexões, ref. Barbará ou equivalente</t>
  </si>
  <si>
    <t>O.05.000.061027</t>
  </si>
  <si>
    <t>Tubo em ferro fundido com PxP, TCLA, DN= 150mm sem juntas e conexões, ref. Barbará ou equivalente</t>
  </si>
  <si>
    <t>O.05.000.061028</t>
  </si>
  <si>
    <t>Tubo em ferro fundido com PxP, TCLA, DN= 250mm sem juntas e conexões, ref. Barbará ou equivalente</t>
  </si>
  <si>
    <t>O.05.000.061030</t>
  </si>
  <si>
    <t>Tubo em ferro fundido com PxP, TCLA, DN= 300mm sem juntas e conexões, ref. Barbará ou equivalente</t>
  </si>
  <si>
    <t>O.05.000.061033</t>
  </si>
  <si>
    <t>Flange avulso em ferro fundido classe PN-10, DN= 80mm, ref. Barbara ou equivalente</t>
  </si>
  <si>
    <t>O.05.000.061034</t>
  </si>
  <si>
    <t>Flange avulso em ferro fundido classe PN-10, DN= 150mm, ref. Barbará ou equivalente</t>
  </si>
  <si>
    <t>O.05.000.061035</t>
  </si>
  <si>
    <t>Flange avulso em ferro fundido classe PN-10, DN= 250mm, ref. Barbará ou equivalente</t>
  </si>
  <si>
    <t>O.05.000.061036</t>
  </si>
  <si>
    <t>Flange avulso em ferro fundido classe PN-10, DN= 300mm, ref. Barbará ou equivalente</t>
  </si>
  <si>
    <t>O.05.000.061041</t>
  </si>
  <si>
    <t>Tubo em ferro fundido de 200mm, classe k-9 JGS, ref. Barbará ou equivalente</t>
  </si>
  <si>
    <t>O.05.000.061048</t>
  </si>
  <si>
    <t>Curva de 90° em ferro fundido com flanges, classe PN-10, DN= 80mm</t>
  </si>
  <si>
    <t>O.05.000.061049</t>
  </si>
  <si>
    <t>Curva de 90° em ferro fundido com flanges, classe PN-10, DN= 150mm</t>
  </si>
  <si>
    <t>O.05.000.061073</t>
  </si>
  <si>
    <t>Te em ferro fundido com flanges, classe PN-10, DN= 80mm com derivação 80x80mm, ref. Barbará ou equivalente</t>
  </si>
  <si>
    <t>O.05.000.061074</t>
  </si>
  <si>
    <t>Te em ferro fundido com flanges, classe PN-10, DN= 100mm com derivação 100x80mm, ref. Barbará ou equivalente</t>
  </si>
  <si>
    <t>O.05.000.061076</t>
  </si>
  <si>
    <t>Te em ferro fundido com flanges, classe PN-10, DN= 150mm com derivação 150x150mm, ref. Barbará ou equivalente</t>
  </si>
  <si>
    <t>O.05.000.061101</t>
  </si>
  <si>
    <t>Tubo em ferro fundido de 150mm, classe k-9 JGS, ref. Barbará ou equivalente</t>
  </si>
  <si>
    <t>O.05.000.061102</t>
  </si>
  <si>
    <t>Tubo em ferro fundido de 300mm, classe k-9 JGS, ref. Barbará ou equivalente</t>
  </si>
  <si>
    <t>O.05.000.061107</t>
  </si>
  <si>
    <t>Tubo em ferro fundido de 300mm, classe k-7 JGS, ref. Barbará ou equivalente</t>
  </si>
  <si>
    <t>O.05.000.061108</t>
  </si>
  <si>
    <t>Tubo em ferro fundido de 100mm, classe K-9 JGS, ref. Barbará ou equivalente</t>
  </si>
  <si>
    <t>O.05.000.061109</t>
  </si>
  <si>
    <t>Tubo em ferro fundido de 80mm, classe k-9 JGS, ref. Barbará ou equivalente</t>
  </si>
  <si>
    <t>O.05.000.061110</t>
  </si>
  <si>
    <t>Tubo em ferro fundido de 250mm, classe k-9 JGS, ref. Barbará ou equivalente</t>
  </si>
  <si>
    <t>O.05.000.061111</t>
  </si>
  <si>
    <t>Tubo em ferro fundido de 350mm, classe k-9 JGS, ref. Barbará ou equivalente</t>
  </si>
  <si>
    <t>O.05.000.061117</t>
  </si>
  <si>
    <t>Tubo em ferro fundido de 100 mm, predial para esgoto e pluvial, ref. TPSMU 300237 da Saint Gobain ou equivalente</t>
  </si>
  <si>
    <t>O.05.000.061118</t>
  </si>
  <si>
    <t>Tubo em ferro fundido de 150 mm, predial para esgoto e pluvial, ref. TPSMU 300332 da Saint Gobain ou equivalente</t>
  </si>
  <si>
    <t>O.05.000.061119</t>
  </si>
  <si>
    <t>Junta rapid de união em aço inoxidável com parafuso, para tubo em ferro fundido, DN= 100 mm; ref. JR SMUI 300497 da Saint Gobain ou equivalente</t>
  </si>
  <si>
    <t>O.05.000.061120</t>
  </si>
  <si>
    <t>Junta rapid de união em aço inoxidável com parafuso, para tubo em ferro fundido, DN= 150 mm; ref. JR SMUI 300505 da Saint Gobain ou equivalente</t>
  </si>
  <si>
    <t>O.05.000.061121</t>
  </si>
  <si>
    <t>Conjunto de ancoragem para tubo em ferro fundido predial SMU, DN= 100 mm, ref. CASMU 300071 da Saint Gobain ou equivalente</t>
  </si>
  <si>
    <t>O.05.000.061122</t>
  </si>
  <si>
    <t>Tubo em ferro fundido de 50 mm, predial para esgoto e pluvial, ref. TPSMU 300128 da Saint Gobain ou equivalente</t>
  </si>
  <si>
    <t>O.05.000.061123</t>
  </si>
  <si>
    <t>Tubo em ferro fundido de 75 mm, predial para esgoto e pluvial, ref. TPSMU 300172 da Saint Gobain ou equivalente</t>
  </si>
  <si>
    <t>O.05.000.061124</t>
  </si>
  <si>
    <t>Tubo em ferro fundido de 200 mm, predial para esgoto e pluvial, ref. TPSMU 300374 da Saint Gobain ou equivalente</t>
  </si>
  <si>
    <t>O.05.000.061125</t>
  </si>
  <si>
    <t>Junta rapid de união em aço inoxidável com parafuso, para tubo em ferro fundido, DN= 50 mm; ref. JR SMUI 300489 da Saint Gobain ou equivalente</t>
  </si>
  <si>
    <t>O.05.000.061126</t>
  </si>
  <si>
    <t>Junta rapid de união em aço inoxidável com parafuso, para tubo em ferro fundido, DN= 75 mm; ref. JR SMUI 300493 da Saint Gobain ou equivalente</t>
  </si>
  <si>
    <t>O.05.000.061127</t>
  </si>
  <si>
    <t>Junta rapid de união em aço inoxidável com parafuso, para tubo em ferro fundido, DN= 200 mm; ref. JR SMUI 300509 da Saint Gobain ou equivalente</t>
  </si>
  <si>
    <t>O.05.000.061128</t>
  </si>
  <si>
    <t>Conjunto de ancoragem para tubo em ferro fundido predial SMU, DN= 50 mm, ref. CASMU 300065 da Saint Gobain ou equivalente</t>
  </si>
  <si>
    <t>O.05.000.061129</t>
  </si>
  <si>
    <t>Conjunto de ancoragem para tubo em ferro fundido predial SMU, DN= 75 mm, ref. CASMU 300068 da Saint Gobain ou equivalente</t>
  </si>
  <si>
    <t>O.05.000.061130</t>
  </si>
  <si>
    <t>Conjunto de ancoragem para tubo em ferro fundido predial SMU, DN= 150 mm, ref. CASMU 300076 da Saint Gobain ou equivalente</t>
  </si>
  <si>
    <t>O.05.000.061131</t>
  </si>
  <si>
    <t>Conjunto de ancoragem para tubo em ferro fundido predial SMU, DN= 200 mm, ref. CASMU 300080 da Saint Gobain ou equivalente</t>
  </si>
  <si>
    <t>O.05.000.061133</t>
  </si>
  <si>
    <t>Joelho 45° em ferro fundido, linha predial tradicional, DN= 50 mm, ref. J45SBB 315912 Saint-Gobain ou equivalente</t>
  </si>
  <si>
    <t>O.05.000.061134</t>
  </si>
  <si>
    <t>Joelho 45° em ferro fundido, linha predial tradicional, DN= 75 mm  ref. J45SBB 315913 Saint-Gobain ou equivalente</t>
  </si>
  <si>
    <t>O.05.000.061135</t>
  </si>
  <si>
    <t>Joelho 45° em ferro fundido, linha predial tradicional, DN= 100 mm  ref. J45SBB 315914 Saint-Gobain ou equivalente</t>
  </si>
  <si>
    <t>O.05.000.061136</t>
  </si>
  <si>
    <t>Joelho 45° em ferro fundido, linha predial tradicional, DN= 150 mm, ref. J45SBB 315915 Saint-Gobain ou equivalente</t>
  </si>
  <si>
    <t>O.05.000.061137</t>
  </si>
  <si>
    <t>Joelho 87° 30' em ferro fundido, linha predial tradicional, DN= 50 mm, ref. J87SBB 315916 Saint-Gobain ou equivalente</t>
  </si>
  <si>
    <t>O.05.000.061138</t>
  </si>
  <si>
    <t>Joelho 87° 30' em ferro fundido, linha predial tradicional, DN= 75 mm, ref. J87SBB 315919 Saint-Gobain ou equivalente</t>
  </si>
  <si>
    <t>O.05.000.061139</t>
  </si>
  <si>
    <t>Joelho 87° 30' em ferro fundido, linha predial tradicional, DN= 100 mm, ref. J87SBB 315920 Saint-Gobain ou equivalente</t>
  </si>
  <si>
    <t>O.05.000.061140</t>
  </si>
  <si>
    <t>Joelho 87° 30' em ferro fundido, linha predial tradicional, DN= 150 mm, ref. J87SBB 315921 Saint-Gobain ou equivalente</t>
  </si>
  <si>
    <t>O.05.000.061141</t>
  </si>
  <si>
    <t>Luva bolsa/bolsa em ferro fundido, linha predial tradicional, DN= 50 mm, ref. LBBSBB 315937 Saint-Gobain ou equivalente</t>
  </si>
  <si>
    <t>O.05.000.061142</t>
  </si>
  <si>
    <t>Luva bolsa/bolsa em ferro fundido, linha predial tradicional, DN= 75 mm, ref. LBBSBB 315938 Saint-Gobain ou equivalente</t>
  </si>
  <si>
    <t>O.05.000.061143</t>
  </si>
  <si>
    <t>Luva bolsa/bolsa em ferro fundido, linha predial tradicional, DN= 100 mm, ref. LBBSBB 315939 Saint-Gobain ou equivalente</t>
  </si>
  <si>
    <t>O.05.000.061144</t>
  </si>
  <si>
    <t>Luva bolsa/bolsa em ferro fundido, linha predial tradicional, DN= 150 mm, ref. LBBSBB 315940 Saint-Gobain ou equivalente</t>
  </si>
  <si>
    <t>O.05.000.061145</t>
  </si>
  <si>
    <t>Placa cega em ferro fundido, linha predial tradicional, DN= 75 mm, ref. PCSBB 315942 Saint-Gobain ou equivalente</t>
  </si>
  <si>
    <t>O.05.000.061146</t>
  </si>
  <si>
    <t>Placa cega em ferro fundido, linha predial tradicional, DN= 100 mm, ref. PCSBB 315943 Saint-Gobain ou equivalente</t>
  </si>
  <si>
    <t>O.05.000.061147</t>
  </si>
  <si>
    <t>Junção 45° em ferro fundido, linha predial tradicional, DN= 50x50 mm  ref. YSBB 315923 Saint-Gobain ou equivalente</t>
  </si>
  <si>
    <t>O.05.000.061148</t>
  </si>
  <si>
    <t>Junção 45° em ferro fundido, linha predial tradicional, DN= 75x50 mm  ref. YSBB 315924 Saint-Gobain ou equivalente</t>
  </si>
  <si>
    <t>O.05.000.061149</t>
  </si>
  <si>
    <t>Junção 45° em ferro fundido, linha predial tradicional, DN= 75x75 mm  ref. YSBB 315925 Saint-Gobain ou equivalente</t>
  </si>
  <si>
    <t>O.05.000.061150</t>
  </si>
  <si>
    <t>Junção 45° em ferro fundido, linha predial tradicional, DN= 100x50 mm  ref. YSBB 315926 Saint-Gobain ou equivalente</t>
  </si>
  <si>
    <t>O.05.000.061151</t>
  </si>
  <si>
    <t>Junção 45° em ferro fundido, linha predial tradicional, DN= 100x75 mm  ref. YSBB 315927 Saint-Gobain ou equivalente</t>
  </si>
  <si>
    <t>O.05.000.061152</t>
  </si>
  <si>
    <t>Junção 45° em ferro fundido, linha predial tradicional, DN= 100x100 mm  ref. YSBB 315928 Saint-Gobain ou equivalente</t>
  </si>
  <si>
    <t>O.05.000.061153</t>
  </si>
  <si>
    <t>Junção 45° em ferro fundido, linha predial tradicional, DN= 150x100 mm  ref. YSBB 315930 Saint-Gobain ou equivalente</t>
  </si>
  <si>
    <t>O.05.000.061154</t>
  </si>
  <si>
    <t>Junção dupla 45° em ferro fundido, linha predial tradicional, DN= 100 mm  ref. YDSBB 315932 Saint-Gobain ou equivalente</t>
  </si>
  <si>
    <t>O.05.000.061155</t>
  </si>
  <si>
    <t>Te sanitário 87° 30' em ferro fundido, linha predial tradicional, DN= 50x50 mm, ref. TS87SBB 315953 Saint-Gobain ou equivalente</t>
  </si>
  <si>
    <t>O.05.000.061156</t>
  </si>
  <si>
    <t>Te sanitário 87° 30' em ferro fundido, linha predial tradicional, DN= 75x50 mm, ref. TS87SBB 315954 Saint-Gobain ou equivalente</t>
  </si>
  <si>
    <t>O.05.000.061157</t>
  </si>
  <si>
    <t>Te sanitário 87° 30' em ferro fundido, linha predial tradicional, DN= 75x75 mm, ref. TS87SBB 315955 Saint-Gobain ou equivalente</t>
  </si>
  <si>
    <t>O.05.000.061158</t>
  </si>
  <si>
    <t>Te sanitário 87° 30' em ferro fundido, linha predial tradicional, DN= 100x50 mm, ref. TS87SBB 315956 Saint-Gobain ou equivalente</t>
  </si>
  <si>
    <t>O.05.000.061159</t>
  </si>
  <si>
    <t>Te sanitário 87° 30' em ferro fundido, linha predial tradicional, DN= 100x75 mm, ref. TS87SBB 315957 Saint-Gobain ou equivalente</t>
  </si>
  <si>
    <t>O.05.000.061160</t>
  </si>
  <si>
    <t>Te sanitário 87° 30' em ferro fundido, linha predial tradicional, DN= 100x100 mm, ref. TS87SBB 315958 Saint-Gobain ou equivalente</t>
  </si>
  <si>
    <t>O.05.000.061161</t>
  </si>
  <si>
    <t>Bucha de redução em ferro fundido, linha predial tradicional, DN= 75x50 mm, ref. BRSBB 315906 Saint-Gobain ou equivalente</t>
  </si>
  <si>
    <t>O.05.000.061162</t>
  </si>
  <si>
    <t>Bucha de redução em ferro fundido, linha predial tradicional, DN= 100x75 mm, ref. BRSBB 315907 Saint-Gobain ou equivalente</t>
  </si>
  <si>
    <t>O.05.000.061163</t>
  </si>
  <si>
    <t>Bucha de redução em ferro fundido, linha predial tradicional, DN= 150x100 mm, ref. BRSBB 315908 Saint-Gobain ou equivalente</t>
  </si>
  <si>
    <t>O.05.000.061164</t>
  </si>
  <si>
    <t>Joelho 87° em ferro fundido, linha predial SMU, DN= 100 mm, ref. J88SMU 300246 Saint-Gobain ou equivalente</t>
  </si>
  <si>
    <t>O.05.000.061165</t>
  </si>
  <si>
    <t>Joelho 87° em ferro fundido, linha predial SMU, DN= 150 mm, ref. J88SMU 300338 Saint-Gobain ou equivalente</t>
  </si>
  <si>
    <t>O.05.000.061166</t>
  </si>
  <si>
    <t>Junção 45° em ferro fundido, linha predial SMU, DN= 50x50 mm  ref. YSMU 300169 Saint-Gobain ou equivalente</t>
  </si>
  <si>
    <t>O.05.000.061167</t>
  </si>
  <si>
    <t>Junção 45° em ferro fundido, linha predial SMU, DN= 75x50 mm  ref. YSMU 300195 Saint-Gobain ou equivalente</t>
  </si>
  <si>
    <t>O.05.000.061168</t>
  </si>
  <si>
    <t>Junção 45° em ferro fundido, linha predial SMU, DN= 100x75 mm  ref. YSMU 300268 Saint-Gobain ou equivalente</t>
  </si>
  <si>
    <t>O.05.000.061169</t>
  </si>
  <si>
    <t>Junção 45º em ferro fundido, predial SMU, DN = 100 x 100 mm, ref. YSMU 300298 da Saint Gobain ou equivalente</t>
  </si>
  <si>
    <t>O.05.000.061170</t>
  </si>
  <si>
    <t>Junção 45º em ferro fundido, predial SMU, DN = 150 x 150 mm, ref. YSMU 300370 da Saint Gobain ou equivalente</t>
  </si>
  <si>
    <t>O.05.000.061172</t>
  </si>
  <si>
    <t>Joelho 45° em ferro fundido, linha predial SMU, DN= 125 mm ref. J45SMU 300312 da Saint Gobain ou equivalente</t>
  </si>
  <si>
    <t>O.05.000.061173</t>
  </si>
  <si>
    <t>Joelho 45º em ferro fundido, predial SMU, DN=150mm, ref. J45SMU 300340 da Saint Gobain ou equivalente</t>
  </si>
  <si>
    <t>O.05.000.061174</t>
  </si>
  <si>
    <t>Tê de visita em ferro fundido linha predial SMU, DN= 125 mm, ref. TVSMU 300322 da Saint Gobain ou equivalente</t>
  </si>
  <si>
    <t>O.05.000.061175</t>
  </si>
  <si>
    <t>Conjunto de ancoragem para tubo em ferro fundido predial SMU, DN= 125 mm, ref. CASMU 300073 da Saint Gobain ou equivalente</t>
  </si>
  <si>
    <t>O.05.000.061176</t>
  </si>
  <si>
    <t>Junta rapid de união aço inox, linha predial SMU, DN= 125mm e anel de vedação nitrílico ou EPDM, ref. JRSMUI da Saint Gobain ou equivalente</t>
  </si>
  <si>
    <t>O.05.000.061177</t>
  </si>
  <si>
    <t>Abraçadeira dentada para travamento em aço inoxidável com parafuso aço zincado para tubo ferro fundido predial ADSMU DN 125mm da Saint Gobain ou equivalente</t>
  </si>
  <si>
    <t>O.05.000.061178</t>
  </si>
  <si>
    <t>Abraçadeira dentada para travamento em aço inoxidável para tubo de ferro fundido predial ADSMU 300005 - DN = 150 mm</t>
  </si>
  <si>
    <t>O.05.000.061179</t>
  </si>
  <si>
    <t>Redução excêntrica em ferro fundido, predial SMU, DN = 125 x 100 mm, ref. RESMU 300286 da Saint Gobain ou equivalente</t>
  </si>
  <si>
    <t>O.05.000.061180</t>
  </si>
  <si>
    <t>Redução excêntrica em ferro fundido, predial SMU, DN = 150 x 75 mm, ref. RESMU 300219 da Saint Gobain ou equivalente</t>
  </si>
  <si>
    <t>O.05.000.061181</t>
  </si>
  <si>
    <t>Redução excêntrica em ferro fundido, predial SMU, DN = 150 x 125 mm, ref. RESMU 300324 da Saint Gobain ou equivalente</t>
  </si>
  <si>
    <t>O.05.000.061182</t>
  </si>
  <si>
    <t>Redução excêntrica em ferro fundido, predial SMU, DN = 200 x 125 mm, ref. RESMU 300326 da Saint Gobain ou equivalente</t>
  </si>
  <si>
    <t>O.05.000.061183</t>
  </si>
  <si>
    <t>Tubo em ferro fundido com ponta e ponta, predial SMU - esgoto e pluvial - DN= 125 mm, ref. TPSMU 300306 da Saint Gobain ou equivalente</t>
  </si>
  <si>
    <t>O.05.000.061184</t>
  </si>
  <si>
    <t>Redução excêntrica em ferro fundido, predial SMU, DN = 200 x 150 mm, ref. RESMU 300362 da Saint Gobain ou equivalente</t>
  </si>
  <si>
    <t>O.05.000.061185</t>
  </si>
  <si>
    <t>Flange avulso em ferro fundido classe PN-10, DN= 50mm, ref. Barbara ou equivalente</t>
  </si>
  <si>
    <t>O.05.000.061186</t>
  </si>
  <si>
    <t>Joelho 88° em ferro fundido, linha predial SMU, DN= 200 mm, ref. J88SMU 300380 Saint-Gobain ou equivalente</t>
  </si>
  <si>
    <t>O.05.000.061187</t>
  </si>
  <si>
    <t>Junção 45° em ferro fundido, linha predial YSMU, DN= 125x100 mm  ref. YSMU 300319 Saint-Gobain ou equivalente</t>
  </si>
  <si>
    <t>O.05.000.061188</t>
  </si>
  <si>
    <t>Joelho 45° em ferro fundido, linha predial SMU, DN= 200 mm  ref. J45SMU 300382 da Saint Gobain ou equivalente</t>
  </si>
  <si>
    <t>O.05.000.061189</t>
  </si>
  <si>
    <t>Junção 45° em ferro fundido, linha predial YSMU, DN= 150x100 mm  ref. YSMU 300350 Saint-Gobain ou equivalente</t>
  </si>
  <si>
    <t>O.05.000.061190</t>
  </si>
  <si>
    <t>Tampão simples em ferro fundido, predial SMU, DN = 150mm, ref. TPS SMU 300336 da Saint Gobain ou equivalente</t>
  </si>
  <si>
    <t>O.05.000.061192</t>
  </si>
  <si>
    <t>Tampão simples em ferro fundido, predial SMU, DN = 200 mm, ref. TPSSMU MU20B1SC da Saint Gobain ou equivalente</t>
  </si>
  <si>
    <t>O.05.000.061195</t>
  </si>
  <si>
    <t>Redução excêntrica em ferro fundido, predial (RE SMU) DN= 125 x 75 mm, ref. J88SMU 300216 Saint-Gobain ou equivalente</t>
  </si>
  <si>
    <t>O.05.000.061196</t>
  </si>
  <si>
    <t>Junção 45° em ferro fundido, linha predial YSMU, DN= 200x100 mm  ref. YSMU 300388 Saint-Gobain ou equivalente</t>
  </si>
  <si>
    <t>O.05.000.061197</t>
  </si>
  <si>
    <t>Junção 45° em ferro fundido, linha predial YSMU, DN= 200x200 mm  ref. YSMU 300409 Saint-Gobain ou equivalente</t>
  </si>
  <si>
    <t>O.05.000.061198</t>
  </si>
  <si>
    <t>Tê de visita em ferro fundido linha predial SMU, DN= 150 mm, ref. TVSMU 300358 da Saint Gobain ou equivalente</t>
  </si>
  <si>
    <t>O.05.000.061199</t>
  </si>
  <si>
    <t>Tê de visita em ferro fundido linha predial SMU, DN= 200 mm, ref. TVSMU 300398 da Saint Gobain ou equivalente</t>
  </si>
  <si>
    <t>O.05.000.061401</t>
  </si>
  <si>
    <t>Redução em ferro fundido concêntrica com flange, classe PN-10, DN= 100 x 80 mm, ref. Barbara ou equivalente</t>
  </si>
  <si>
    <t>O.05.000.061402</t>
  </si>
  <si>
    <t>Redução em ferro fundido concêntrica com flange, classe PN-10, DN= 150 x 80 mm, ref. Barbará ou equivalente</t>
  </si>
  <si>
    <t>O.05.000.061403</t>
  </si>
  <si>
    <t>Redução em ferro fundido concêntrica com flange, classe PN-10, DN= 200 x 150 mm, ref. Barbará ou equivalente</t>
  </si>
  <si>
    <t>O.05.000.061404</t>
  </si>
  <si>
    <t>Redução em ferro fundido concêntrica com flange, classe PN-10, DN= 250 x 200 mm, ref. Barbará ou equivalente</t>
  </si>
  <si>
    <t>O.05.000.062010</t>
  </si>
  <si>
    <t>Redução em ferro fundido excêntrica com flange, classe PN-10, DN= 100 x 80 mm, ref. Barbara ou equivalente</t>
  </si>
  <si>
    <t>O.05.000.062011</t>
  </si>
  <si>
    <t>Redução em ferro fundido excêntrica com flange, classe PN-10, DN= 150 x 80 mm, ref. Barbará ou equivalente</t>
  </si>
  <si>
    <t>O.05.000.062012</t>
  </si>
  <si>
    <t>Redução em ferro fundido excêntrica com flange, classe PN-10, DN= 200 x 150 mm, ref. Barbará ou equivalente</t>
  </si>
  <si>
    <t>O.05.000.062013</t>
  </si>
  <si>
    <t>Redução em ferro fundido excêntrica com flange, classe PN-10, DN= 250 x 200 mm, ref. Barbará ou equivalente</t>
  </si>
  <si>
    <t>O.05.000.062027</t>
  </si>
  <si>
    <t>Redução concêntrica em ferro fundido com flange, classe PN-10, DN= 80x50mm</t>
  </si>
  <si>
    <t>O.05.000.062400</t>
  </si>
  <si>
    <t>Joelho 45° em ferro fundido, SMU (J45SMU) DN= 50 mm</t>
  </si>
  <si>
    <t>O.05.000.062401</t>
  </si>
  <si>
    <t>Joelho 45° em ferro fundido, SMU (J45SMU) DN= 75 mm</t>
  </si>
  <si>
    <t>O.05.000.062402</t>
  </si>
  <si>
    <t>Joelho 45° em ferro fundido, SMU (J45SMU) DN= 100 mm</t>
  </si>
  <si>
    <t>O.05.000.062403</t>
  </si>
  <si>
    <t>Redução excêntrica em ferro fundido, predial (RE SMU) DN= 75 x 50 mm</t>
  </si>
  <si>
    <t>O.05.000.062404</t>
  </si>
  <si>
    <t>Redução excêntrica em ferro fundido, predial (RE SMU) DN= 100 x 75 mm</t>
  </si>
  <si>
    <t>O.05.000.062405</t>
  </si>
  <si>
    <t>Joelho 88° em ferro fundido SMU (J88 SMU) DN= 50 mm</t>
  </si>
  <si>
    <t>O.05.000.062406</t>
  </si>
  <si>
    <t>Junção 45° em ferro fundido SMU (Y SMU) DN= 75 x 75 mm</t>
  </si>
  <si>
    <t>O.05.000.062407</t>
  </si>
  <si>
    <t>Te de visita em ferro fundido SMU (TV SMU) DN= 75 mm</t>
  </si>
  <si>
    <t>O.05.000.062408</t>
  </si>
  <si>
    <t>Abraçadeira dentada para travamento em ferro fundido, predial SMU DN= 50 mm</t>
  </si>
  <si>
    <t>O.05.000.062409</t>
  </si>
  <si>
    <t>Redução excêntrica em ferro fundido, linha predial SMU, DN= 150 x 100 mm, ref. RESMU 300288 da Saint-Gobain ou equivalente</t>
  </si>
  <si>
    <t>O.05.000.062410</t>
  </si>
  <si>
    <t>Joelho 88° em ferro fundido SMU (J88 SMU) - DN= 75 mm</t>
  </si>
  <si>
    <t>O.05.000.062411</t>
  </si>
  <si>
    <t>Tê de visita em ferro fundido linha predial SMU, DN= 100 mm, ref. TVSMU 300276 da Saint-Gobain ou equivalente</t>
  </si>
  <si>
    <t>O.05.000.062412</t>
  </si>
  <si>
    <t>Abraçadeira dentada para travamento, linha predial SMU, DN= 75 mm, ref. AD SMU da Saint-Gobain ou equivalente</t>
  </si>
  <si>
    <t>O.05.000.062413</t>
  </si>
  <si>
    <t>Abraçadeira dentada para travamento, linha predial SMU, DN= 100 mm, ref. AD SMU da Saint-Gobain ou equivalente</t>
  </si>
  <si>
    <t>O.05.000.062414</t>
  </si>
  <si>
    <t>Tubo em ferro fundido com ponta e ponta, predial SMU - esgoto e pluvial - DN= 250 mm, ref. TPSMU 300411 da Saint Gobain ou equivalente</t>
  </si>
  <si>
    <t>O.05.000.062415</t>
  </si>
  <si>
    <t>Redução excêntrica em ferro fundido, predial (RE SMU) DN= 250 x 200 mm, ref. J88SMU 300402 Saint-Gobain ou equivalente</t>
  </si>
  <si>
    <t>O.05.000.062416</t>
  </si>
  <si>
    <t>Junta CV de união em aço inoxidável, DN= 250mm "JCVSMUI", para linha predial SMU, ref. ZA91J25A da Saint Cobain ou equivalente</t>
  </si>
  <si>
    <t>O.05.000.063501</t>
  </si>
  <si>
    <t>Válvula de gaveta em ferro fundido, haste ascendente com flange, classe 125 lb, DN= 2´</t>
  </si>
  <si>
    <t>O.05.000.063502</t>
  </si>
  <si>
    <t>Válvula de retenção em ferro fundido, nodular ASTM A-536 Gr. 65-45-12, tipo portinhola dupla e vedação em Buna-N, DN= 6´</t>
  </si>
  <si>
    <t>O.05.000.063503</t>
  </si>
  <si>
    <t>Válvula de retenção tipo portinhola simples em ferro fundido, flangeada, DN= 6´</t>
  </si>
  <si>
    <t>O.05.000.063505</t>
  </si>
  <si>
    <t>Hidrômetro tipo Woltmann em ferro fundido de 100mm (4´), flangeado inclusive acessórios de fixação</t>
  </si>
  <si>
    <t>O.05.000.063516</t>
  </si>
  <si>
    <t>Hidrômetro tipo Woltmann em ferro fundido de 50mm (2´), flangeado inclusive acessórios de fixação</t>
  </si>
  <si>
    <t>O.05.000.063517</t>
  </si>
  <si>
    <t>Filtro tipo cesto, corpo em ferro fundido para hidrômetro de 50mm (2´), flangeado</t>
  </si>
  <si>
    <t>O.05.000.064007</t>
  </si>
  <si>
    <t>Válvula de gaveta em ferro fundido com bolsa, DN= 150mm, acionamento com volante</t>
  </si>
  <si>
    <t>O.05.000.064008</t>
  </si>
  <si>
    <t>Válvula de gaveta em ferro fundido com bolsa, DN= 200mm, acionamento com volante</t>
  </si>
  <si>
    <t>O.05.000.064009</t>
  </si>
  <si>
    <t>Válvula de retenção em ferro fundido, tipo portinhola simples e vedação em Buna-N, DN= 4´</t>
  </si>
  <si>
    <t>O.05.000.064012</t>
  </si>
  <si>
    <t>Válvula de retenção em ferro fundido, nodular ASTM A-536 Gr. 65-45-12, tipo portinhola dupla e vedação em Buna-N, DN= 4´</t>
  </si>
  <si>
    <t>O.05.000.064026</t>
  </si>
  <si>
    <t>Válvula de retenção em pé com crivo, flangeada, em ferro fundido, DN= 6´</t>
  </si>
  <si>
    <t>O.05.000.064049</t>
  </si>
  <si>
    <t>Válvula de gaveta em ferro dúctil com flange, classe PN-10, DN= 200 mm, com corpo curto e volante, ref. Barbará ou equivalente</t>
  </si>
  <si>
    <t>O.05.000.064052</t>
  </si>
  <si>
    <t>Válvula de segurança em ferro fundido rosqueada, com pressão de ajuste de 6,1 até 10 kg/cm², DN= 3/4´; ref. SV 17 da Spirax Sarco ou equivalente</t>
  </si>
  <si>
    <t>O.05.000.064053</t>
  </si>
  <si>
    <t>Válvula de segurança em ferro fundido rosqueada, com pressão de ajuste de 0,40 até 0,75 kg/cm², DN= 2´; ref. SV 17 da Spirax Sarco ou equivalente</t>
  </si>
  <si>
    <t>O.05.000.064126</t>
  </si>
  <si>
    <t>O.05.000.064127</t>
  </si>
  <si>
    <t>O.05.000.064128</t>
  </si>
  <si>
    <t>O.05.000.064129</t>
  </si>
  <si>
    <t>Válvula de gaveta em ferro fundido com bolsa, DN= 100mm</t>
  </si>
  <si>
    <t>O.05.000.064132</t>
  </si>
  <si>
    <t>Válvula de gaveta em ferro dúctil com flange, classe PN-10, DN= 300 mm, com corpo curto e volante, ref. Barbará ou equivalente</t>
  </si>
  <si>
    <t>O.05.000.064133</t>
  </si>
  <si>
    <t>Válvula de gaveta em ferro dúctil com flange, classe PN-10, DN= 100 mm, com corpo curto e volante, ref. Barbará ou equivalente</t>
  </si>
  <si>
    <t>O.05.000.064134</t>
  </si>
  <si>
    <t>Válvula de gaveta em ferro dúctil com flange, classe PN-10, DN= 150 mm, com corpo curto e volante, ref. Barbará ou equivalente</t>
  </si>
  <si>
    <t>O.05.000.064175</t>
  </si>
  <si>
    <t>Visor de fluxo com janela simples, corpo em ferro fundido ou aço carbono, DN = 1´</t>
  </si>
  <si>
    <t>O.05.000.064198</t>
  </si>
  <si>
    <t>O.05.000.064204</t>
  </si>
  <si>
    <t>Válvula de governo (retenção e alarme) completa, corpo em ferro fundido, extremidades flangeadas, classe 125 lbs, DN=4´</t>
  </si>
  <si>
    <t>O.05.000.064205</t>
  </si>
  <si>
    <t>Válvula de gaveta, corpo em ferro fundido, extremidades flangeadas, haste ascendente, classe 125lbs, DN=4´</t>
  </si>
  <si>
    <t>O.05.000.064206</t>
  </si>
  <si>
    <t>Válvula de gaveta, corpo em ferro fundido, extremidades flangeadas, haste ascendente, classe 125lbs, DN=6´</t>
  </si>
  <si>
    <t>O.05.000.064207</t>
  </si>
  <si>
    <t>Válvula de retenção vertical, corpo em ferro fundido, extremidades flangeadas, classe 125lbs, DN=4´</t>
  </si>
  <si>
    <t>O.05.000.064213</t>
  </si>
  <si>
    <t>Válvula dupla em latão cromado, para bancada de laboratório, uso em GLP, bico para mangueira, de 1/4´ a 1/2´, ref. PV120 Pecinox, JV109 Juval, ou equivalente</t>
  </si>
  <si>
    <t>O.05.000.064214</t>
  </si>
  <si>
    <t>Válvula latão cromado, para cuba de laboratório, bico arejado/escalonado e nuca alta giratória, para mangueira, ref. PV-140 Pecinox, JV203 Juval, ou equivalente</t>
  </si>
  <si>
    <t>O.05.000.066226</t>
  </si>
  <si>
    <t>Conjunto motor-bomba (centrífuga), potência 50cv, monoestágio, Hman= 61 a 81 mca, Q= 170 a 80 m³/h, ref. modelo Norm Bloc TH-65-200 Thebe, ou equivalente</t>
  </si>
  <si>
    <t>O.05.000.067502</t>
  </si>
  <si>
    <t>Ralo seco em ferro fundido de 100 x 165 x 50 mm</t>
  </si>
  <si>
    <t>O.05.000.067517</t>
  </si>
  <si>
    <t>O.05.000.067521</t>
  </si>
  <si>
    <t>Ralo sifonado em ferro fundido de 150 x 240 x 75 mm</t>
  </si>
  <si>
    <t>O.05.000.067535</t>
  </si>
  <si>
    <t>Plug em ferro fundido para ralo de 2´</t>
  </si>
  <si>
    <t>O.05.000.067543</t>
  </si>
  <si>
    <t>Grelha em ferro fundido com requadro de 30 x 100 cm - 20 kg/m</t>
  </si>
  <si>
    <t>O.05.000.067548</t>
  </si>
  <si>
    <t>Grelha metálica de 150 x 150 mm, para caixa sifonada ou ralo, ref. Metal Vila ou equivalente</t>
  </si>
  <si>
    <t>O.05.000.067549</t>
  </si>
  <si>
    <t>Grelha metálica de 100 x 100 mm, para caixa sifonada ou ralo, ref. Metal Vila ou equivalente</t>
  </si>
  <si>
    <t>O.05.000.068510</t>
  </si>
  <si>
    <t>Pig tail ou chicote flexível revestimento em borracha sintética resistente, DN= 7/16´ x 1,00 m</t>
  </si>
  <si>
    <t>O.05.000.068533</t>
  </si>
  <si>
    <t>Filtro ´Y´ ferro fundido, rosca, 125 lbs vapor, 2´; ref. Spirax Sarco ou equivalente</t>
  </si>
  <si>
    <t>O.05.000.069512</t>
  </si>
  <si>
    <t>O.05.000.090133</t>
  </si>
  <si>
    <t>Tampão ferro fundido com tampa articulada, de 400 x 600 mm, classe 15 (ruptura &gt; 1500 kg); ref. TA-40AR da Afer, TF-40 da Fuminas ou equivalente</t>
  </si>
  <si>
    <t>O.05.000.090427</t>
  </si>
  <si>
    <t>Grelha hemisférica em ferro fundido de 4´</t>
  </si>
  <si>
    <t>O.05.000.090496</t>
  </si>
  <si>
    <t>Grelha hemisférica em ferro fundido de 3´</t>
  </si>
  <si>
    <t>O.05.000.091139</t>
  </si>
  <si>
    <t>Grelha hemisférica em ferro fundido de 2´</t>
  </si>
  <si>
    <t>O.05.000.091171</t>
  </si>
  <si>
    <t>Grelha hemisférica em ferro fundido de 6´</t>
  </si>
  <si>
    <t>O.05.000.092863</t>
  </si>
  <si>
    <t>Válvula de gaveta em ferro dúctil com flange, classe PN-10, DN= 80 mm, com corpo curto e volante, ref. Barbará ou equivalente</t>
  </si>
  <si>
    <t>O.06.000.060501</t>
  </si>
  <si>
    <t>Tubo galvanizado, DN= 1/2´ DIN 2440 classe média</t>
  </si>
  <si>
    <t>O.06.000.060502</t>
  </si>
  <si>
    <t>Tubo galvanizado, DN= 3/4´ DIN 2440 classe média</t>
  </si>
  <si>
    <t>O.06.000.060503</t>
  </si>
  <si>
    <t>Tubo galvanizado, DN= 1´ DIN 2440 classe média</t>
  </si>
  <si>
    <t>O.06.000.060504</t>
  </si>
  <si>
    <t>Tubo galvanizado, DN= 1 1/4´ DIN 2440 classe média</t>
  </si>
  <si>
    <t>O.06.000.060505</t>
  </si>
  <si>
    <t>Tubo galvanizado, DN= 1 1/2´ DIN 2440 classe média</t>
  </si>
  <si>
    <t>O.06.000.060506</t>
  </si>
  <si>
    <t>Tubo galvanizado, DN= 2´ DIN 2440 classe média</t>
  </si>
  <si>
    <t>O.06.000.060507</t>
  </si>
  <si>
    <t>Tubo galvanizado, DN= 2 1/2´ DIN 2440 classe média</t>
  </si>
  <si>
    <t>O.06.000.060508</t>
  </si>
  <si>
    <t>Tubo galvanizado, DN= 3´ DIN 2440 classe média</t>
  </si>
  <si>
    <t>O.06.000.060509</t>
  </si>
  <si>
    <t>Tubo galvanizado, DN= 4´ DIN 2440 classe média</t>
  </si>
  <si>
    <t>O.06.000.060511</t>
  </si>
  <si>
    <t>Tubo galvanizado, DN= 6´ DIN 2440 classe média</t>
  </si>
  <si>
    <t>O.06.000.060702</t>
  </si>
  <si>
    <t>Tubo em aço galvanizado 2´ SCH 40, sem costura</t>
  </si>
  <si>
    <t>O.06.000.060705</t>
  </si>
  <si>
    <t>Tubo em aço galvanizado 1 1/2´ SCH 40, sem costura</t>
  </si>
  <si>
    <t>O.06.000.060750</t>
  </si>
  <si>
    <t>Tubo em aço galvanizado 1/2´ SCH 80, sem costura</t>
  </si>
  <si>
    <t>O.06.000.060751</t>
  </si>
  <si>
    <t>Tubo em aço galvanizado 3/4´ SCH 80, sem costura</t>
  </si>
  <si>
    <t>O.06.000.060801</t>
  </si>
  <si>
    <t>Tubo em aço galvanizado 4´ SCH 40, sem costura</t>
  </si>
  <si>
    <t>O.06.000.060802</t>
  </si>
  <si>
    <t>Tubo em aço galvanizado 3/4´ SCH 40, sem costura</t>
  </si>
  <si>
    <t>O.06.000.060803</t>
  </si>
  <si>
    <t>Tubo em aço galvanizado 1´ SCH 40, sem costura</t>
  </si>
  <si>
    <t>O.06.000.060804</t>
  </si>
  <si>
    <t>Tubo em aço galvanizado 1 1/4´ SCH 40, sem costura</t>
  </si>
  <si>
    <t>O.06.000.060805</t>
  </si>
  <si>
    <t>Tubo em aço galvanizado 2 1/2´ SCH 40, sem costura</t>
  </si>
  <si>
    <t>O.06.000.060806</t>
  </si>
  <si>
    <t>Tubo em aço galvanizado 3´ SCH 40, sem costura</t>
  </si>
  <si>
    <t>O.06.000.060808</t>
  </si>
  <si>
    <t>Tubo em aço galvanizado 1/2´ SCH 40, sem costura</t>
  </si>
  <si>
    <t>O.06.000.060809</t>
  </si>
  <si>
    <t>Tubo em aço galvanizado 6´ SCH 40, sem costura</t>
  </si>
  <si>
    <t>O.07.000.061330</t>
  </si>
  <si>
    <t>Válvula de esfera monobloco em latão fundido/forjado, passagem plena, acionamento com alavanca, DN= 4"</t>
  </si>
  <si>
    <t>O.07.000.063530</t>
  </si>
  <si>
    <t>Registro regulador de vazão para chuveiros e duchas 1/2´; ref. 00142206 da Docol linha Docolmatic ou equivalente</t>
  </si>
  <si>
    <t>O.07.000.063531</t>
  </si>
  <si>
    <t>Registro de pressão amarelo 3/4´, sem canopla; ref. Deca ou equivalente</t>
  </si>
  <si>
    <t>O.07.000.063532</t>
  </si>
  <si>
    <t>Registro de pressão cromado com canopla 1/2´</t>
  </si>
  <si>
    <t>O.07.000.063533</t>
  </si>
  <si>
    <t>Registro de pressão cromado com canopla 3/4´; ref. 4416202+canopla 4900.C39 Deca, 1416 e acabamento BE Forusi ou equivalente</t>
  </si>
  <si>
    <t>O.07.000.063535</t>
  </si>
  <si>
    <t>Registro regulador de vazão para torneiras, misturadores, bidês e outros de 1/2´ cromado; ref. 13010006 Docol linha Docolmatic ou equivalente</t>
  </si>
  <si>
    <t>O.07.000.063545</t>
  </si>
  <si>
    <t>Registro de gaveta cromado com canopla 1/2´</t>
  </si>
  <si>
    <t>O.07.000.063546</t>
  </si>
  <si>
    <t>Registro de gaveta cromado com canopla 3/4´</t>
  </si>
  <si>
    <t>O.07.000.063547</t>
  </si>
  <si>
    <t>Registro de gaveta cromado com canopla 1´</t>
  </si>
  <si>
    <t>O.07.000.063548</t>
  </si>
  <si>
    <t>Registro de gaveta cromado com canopla 1 1/4´</t>
  </si>
  <si>
    <t>O.07.000.063549</t>
  </si>
  <si>
    <t>Registro de gaveta cromado com canopla 1 1/2´</t>
  </si>
  <si>
    <t>O.07.000.063560</t>
  </si>
  <si>
    <t>Registro de gaveta amarelo 1/2´</t>
  </si>
  <si>
    <t>O.07.000.063561</t>
  </si>
  <si>
    <t>Registro de gaveta amarelo de 3/4´</t>
  </si>
  <si>
    <t>O.07.000.063562</t>
  </si>
  <si>
    <t>Registro de gaveta amarelo 1´</t>
  </si>
  <si>
    <t>O.07.000.063563</t>
  </si>
  <si>
    <t>Registro de gaveta amarelo 1 1/4´</t>
  </si>
  <si>
    <t>O.07.000.063564</t>
  </si>
  <si>
    <t>Registro de gaveta amarelo 1 1/2´</t>
  </si>
  <si>
    <t>O.07.000.063565</t>
  </si>
  <si>
    <t>Registro de gaveta amarelo 2´</t>
  </si>
  <si>
    <t>O.07.000.063566</t>
  </si>
  <si>
    <t>Registro de gaveta amarelo 2 1/2´</t>
  </si>
  <si>
    <t>O.07.000.063567</t>
  </si>
  <si>
    <t>Registro de gaveta amarelo 3´</t>
  </si>
  <si>
    <t>O.07.000.063569</t>
  </si>
  <si>
    <t>Registro de gaveta amarelo de 4´</t>
  </si>
  <si>
    <t>O.07.000.064006</t>
  </si>
  <si>
    <t>Válvula de esfera monobloco em latão fundido/forjado, passagem plena, acionamento com alavanca, DN=1/2"</t>
  </si>
  <si>
    <t>O.07.000.068503</t>
  </si>
  <si>
    <t>Luva de redução de 3/4´x 1/2´ para entrada de gás em latão</t>
  </si>
  <si>
    <t>O.07.000.068505</t>
  </si>
  <si>
    <t>Pigtail para manômetro em latão (rabo de porco), DN 1/2´</t>
  </si>
  <si>
    <t>O.07.000.068512</t>
  </si>
  <si>
    <t>Regulador de primeiro estágio, tipo alta pressão até 1,3 kgf/cm², vazão de 50 kg GLP/hora; ref. 76510/2 fabricação Alianca ou equivalente</t>
  </si>
  <si>
    <t>O.07.000.068516</t>
  </si>
  <si>
    <t>Bico escalonado para gás 3/8´ em latão</t>
  </si>
  <si>
    <t>O.07.000.090509</t>
  </si>
  <si>
    <t>Válvula de esfera monobloco em latão fundido/forjado, passagem plena, acionamento com alavanca, DN= 3/4"</t>
  </si>
  <si>
    <t>O.07.000.090510</t>
  </si>
  <si>
    <t>Válvula de esfera monobloco em latão fundido/forjado, passagem plena, acionamento com alavanca, DN= 1"</t>
  </si>
  <si>
    <t>O.07.000.090513</t>
  </si>
  <si>
    <t>Válvula de esfera monobloco em latão fundido, passagem plena, acionamento com alavanca, DN= 1.1/4´</t>
  </si>
  <si>
    <t>O.07.000.090518</t>
  </si>
  <si>
    <t>Válvula de esfera monobloco em latão fundido/forjado, passagem plena, acionamento com alavanca, DN= 2"</t>
  </si>
  <si>
    <t>O.08.000.061342</t>
  </si>
  <si>
    <t>Filtro ´Y´ corpo em bronze, pressão de serviço até 20,7 bar (PN 20), DN= 1 1/2´</t>
  </si>
  <si>
    <t>O.08.000.061343</t>
  </si>
  <si>
    <t>Filtro ´Y´ corpo em bronze, pressão de serviço até 20,7 bar (PN 20), DN= 2´</t>
  </si>
  <si>
    <t>O.08.000.063001</t>
  </si>
  <si>
    <t>Tubo de cobre flexível para sistema de ar condicionado, espessura 1/32" - diâmetro 3/16" (0,090 kg/m)</t>
  </si>
  <si>
    <t>O.08.000.063002</t>
  </si>
  <si>
    <t>Tubo de cobre flexível para sistema de ar condicionado, espessura 1/32" - diâmetro 1/4" (0,133 kg/m)</t>
  </si>
  <si>
    <t>O.08.000.063003</t>
  </si>
  <si>
    <t>Tubo de cobre flexível para sistema de ar condicionado, espessura 1/32" - diâmetro 5/16" (0,160 kg/m)</t>
  </si>
  <si>
    <t>O.08.000.063004</t>
  </si>
  <si>
    <t>Tubo de cobre flexível para sistema de ar condicionado, espessura 1/32" - diâmetro 3/8" (0,200 kg/m)</t>
  </si>
  <si>
    <t>O.08.000.063005</t>
  </si>
  <si>
    <t>Tubo de cobre flexível para sistema de ar condicionado, espessura 1/32" - diâmetro 1/2" (0,280 kg/m)</t>
  </si>
  <si>
    <t>O.08.000.063006</t>
  </si>
  <si>
    <t>Tubo de cobre flexível para sistema de ar condicionado, espessura 1/32" - diâmetro 5/8" (0,346 kg/m)</t>
  </si>
  <si>
    <t>O.08.000.063007</t>
  </si>
  <si>
    <t>Tubo de cobre flexível para sistema de ar condicionado, espessura 1/32" - diâmetro 3/4" (0,426 kg/m)</t>
  </si>
  <si>
    <t>O.08.000.063010</t>
  </si>
  <si>
    <t>Tubo de cobre sem costura, rígido, espessura 1/16", diâmetro 3/8" (0,353 kg/m)</t>
  </si>
  <si>
    <t>O.08.000.063011</t>
  </si>
  <si>
    <t>Tubo de cobre sem costura, rígido, espessura 1/16", diâmetro 1/2" (0,494 kg/m)</t>
  </si>
  <si>
    <t>O.08.000.063012</t>
  </si>
  <si>
    <t>Tubo de cobre sem costura, rígido, espessura 1/16", diâmetro 5/8" (0,635 kg/m)</t>
  </si>
  <si>
    <t>O.08.000.063013</t>
  </si>
  <si>
    <t>Tubo de cobre sem costura, rígido, espessura 1/16", diâmetro 3/4" (0,776 kg/m)</t>
  </si>
  <si>
    <t>O.08.000.063014</t>
  </si>
  <si>
    <t>Tubo de cobre sem costura, rígido, espessura 1/16", diâmetro 7/8" (0,918 kg/m)</t>
  </si>
  <si>
    <t>O.08.000.063015</t>
  </si>
  <si>
    <t>Tubo de cobre sem costura, rígido, espessura 1/16", diâmetro 1" (1,060 kg/m)</t>
  </si>
  <si>
    <t>O.08.000.063016</t>
  </si>
  <si>
    <t>Tubo de cobre sem costura, rígido, espessura 1/16", diâmetro 1 1/8" (1,200 kg/m)</t>
  </si>
  <si>
    <t>O.08.000.063017</t>
  </si>
  <si>
    <t>Tubo de cobre sem costura, rígido, espessura 1/16", diâmetro 1 1/4" (1,340 kg/m)</t>
  </si>
  <si>
    <t>O.08.000.063018</t>
  </si>
  <si>
    <t>Tubo de cobre sem costura, rígido, espessura 1/16", diâmetro 1 3/8" (1,480 kg/m)</t>
  </si>
  <si>
    <t>O.08.000.063019</t>
  </si>
  <si>
    <t>Tubo de cobre sem costura, rígido, espessura 1/16", diâmetro 1 1/2" (1,620 kg/m)</t>
  </si>
  <si>
    <t>O.08.000.063020</t>
  </si>
  <si>
    <t>Tubo de cobre sem costura, rígido, espessura 1/16", diâmetro 1 5/8" (1,760 kg/m)</t>
  </si>
  <si>
    <t>O.08.000.063040</t>
  </si>
  <si>
    <t>Tubo de cobre classe A, DN= 35mm (1 1/4´)</t>
  </si>
  <si>
    <t>O.08.000.063041</t>
  </si>
  <si>
    <t>Tubo de cobre classe A, DN= 42mm (1 1/2´)</t>
  </si>
  <si>
    <t>O.08.000.063042</t>
  </si>
  <si>
    <t>Tubo de cobre classe A, DN= 54mm (2´)</t>
  </si>
  <si>
    <t>O.08.000.063043</t>
  </si>
  <si>
    <t>Tubo de cobre classe A, DN= 66mm (2 1/2´)</t>
  </si>
  <si>
    <t>O.08.000.063044</t>
  </si>
  <si>
    <t>Tubo de cobre classe A, DN= 79mm (3´)</t>
  </si>
  <si>
    <t>O.08.000.063045</t>
  </si>
  <si>
    <t>Tubo de cobre classe A, DN= 104mm (4´)</t>
  </si>
  <si>
    <t>O.08.000.063046</t>
  </si>
  <si>
    <t>Tubo de cobre classe A, DN= 15mm (1/2´)</t>
  </si>
  <si>
    <t>O.08.000.063047</t>
  </si>
  <si>
    <t>Tubo de cobre classe A, DN= 22mm (3/4´)</t>
  </si>
  <si>
    <t>O.08.000.063048</t>
  </si>
  <si>
    <t>Tubo de cobre classe A, DN= 28mm (1´)</t>
  </si>
  <si>
    <t>O.08.000.063049</t>
  </si>
  <si>
    <t>Tubo de cobre classe E, DN= 22mm (3/4´)</t>
  </si>
  <si>
    <t>O.08.000.063050</t>
  </si>
  <si>
    <t>Tubo de cobre classe E, DN= 28mm (1´)</t>
  </si>
  <si>
    <t>O.08.000.063051</t>
  </si>
  <si>
    <t>Tubo de cobre classe E, DN= 35mm (1 1/4´)</t>
  </si>
  <si>
    <t>O.08.000.063052</t>
  </si>
  <si>
    <t>Tubo de cobre classe E, DN= 42mm (1 1/2´)</t>
  </si>
  <si>
    <t>O.08.000.063053</t>
  </si>
  <si>
    <t>Tubo de cobre classe E, DN= 54mm (2´)</t>
  </si>
  <si>
    <t>O.08.000.063054</t>
  </si>
  <si>
    <t>Tubo de cobre classe E, DN= 66mm (2 1/2´)</t>
  </si>
  <si>
    <t>O.08.000.069515</t>
  </si>
  <si>
    <t>O.08.000.069516</t>
  </si>
  <si>
    <t>O.08.000.069517</t>
  </si>
  <si>
    <t>O.08.000.069518</t>
  </si>
  <si>
    <t>O.08.000.069522</t>
  </si>
  <si>
    <t>O.08.000.069523</t>
  </si>
  <si>
    <t>O.09.000.063500</t>
  </si>
  <si>
    <t>Válvula de gaveta em bronze com haste ascendente e extremidades rosqueáveis, classe 150 libras para vapor saturado e 300 libras para água, óleo e gás, DN= 4´</t>
  </si>
  <si>
    <t>O.09.000.063503</t>
  </si>
  <si>
    <t>Válvula de gaveta em bronze com haste não ascendente e extremidades rosqueáveis, classe 150lbs para vapor saturado e classe 300lbs para água, óleo e gás, DN= 4´</t>
  </si>
  <si>
    <t>O.09.000.063504</t>
  </si>
  <si>
    <t>Válvula de gaveta em bronze com haste não ascendente e extremidades rosqueáveis, classe 150lbs para vapor saturado e classe 300lbs para água, óleo e gás, DN= 2´</t>
  </si>
  <si>
    <t>O.09.000.063507</t>
  </si>
  <si>
    <t>Válvula de gaveta em bronze com haste não ascendente e extremidades rosqueáveis, classe 125 libras, para vapor saturado e 200 libras para água, óleo e gás, DN= 3/4´</t>
  </si>
  <si>
    <t>O.09.000.063541</t>
  </si>
  <si>
    <t>Válvula de gaveta em bronze com haste não ascendente e extremidades rosqueáveis, classe 125 libras, para vapor e classe 200 libras, para água, óleo e gás, DN= 1´</t>
  </si>
  <si>
    <t>O.09.000.063542</t>
  </si>
  <si>
    <t>Válvula de gaveta em bronze com haste não ascendente e extremidades rosqueáveis, classe 125 libras, para vapor e classe 200 libras, para água, óleo e gás, DN= 1 1/2´</t>
  </si>
  <si>
    <t>O.09.000.063543</t>
  </si>
  <si>
    <t>Válvula de gaveta em bronze com haste não ascendente e extremidades rosqueáveis, classe 125 libras, para vapor e classe 200 libras, para água, óleo e gás, DN= 2 1/2´</t>
  </si>
  <si>
    <t>O.09.000.063544</t>
  </si>
  <si>
    <t>Válvula de gaveta em bronze com haste não ascendente e extremidades rosqueáveis, classe 125 libras, para vapor e classe 200 libras, para água, óleo e gás, DN= 3´</t>
  </si>
  <si>
    <t>O.09.000.063551</t>
  </si>
  <si>
    <t>Hidrômetro em bronze, diâmetro 25 mm (1), vazão máxima de trabalho de 10 m³/h</t>
  </si>
  <si>
    <t>O.09.000.063552</t>
  </si>
  <si>
    <t>Hidrômetro em bronze, diâmetro 40 mm (1 1/2)</t>
  </si>
  <si>
    <t>O.09.000.064001</t>
  </si>
  <si>
    <t>Válvula de gaveta em bronze com haste não ascendente e extremidades rosqueáveis, classe 125 libras para vapor e classe 200 libras, para água, óleo e gás, DN= 6´</t>
  </si>
  <si>
    <t>O.09.000.064005</t>
  </si>
  <si>
    <t>Válvula de gaveta em bronze com haste não ascendente e extremidades rosqueáveis, classe 125 libras para vapor e classe 200 libras para água, óleo e gás, DN= 2´</t>
  </si>
  <si>
    <t>O.09.000.064009</t>
  </si>
  <si>
    <t>Válvula de gaveta em bronze com haste não ascendente e extremidades rosqueáveis, classe 125 libras, para vapor e classe 200 libras, para água, óleo e gás, DN= 1 1/4´</t>
  </si>
  <si>
    <t>O.09.000.064016</t>
  </si>
  <si>
    <t>Válvula de retenção horizontal em bronze 3/4´</t>
  </si>
  <si>
    <t>O.09.000.064017</t>
  </si>
  <si>
    <t>Válvula de retenção horizontal em bronze 1´</t>
  </si>
  <si>
    <t>O.09.000.064018</t>
  </si>
  <si>
    <t>Válvula de retenção horizontal em bronze 1 1/4´</t>
  </si>
  <si>
    <t>O.09.000.064019</t>
  </si>
  <si>
    <t>Válvula de retenção horizontal em bronze 1 1/2´</t>
  </si>
  <si>
    <t>O.09.000.064020</t>
  </si>
  <si>
    <t>Válvula de retenção horizontal em bronze 2´</t>
  </si>
  <si>
    <t>O.09.000.064021</t>
  </si>
  <si>
    <t>Válvula de retenção horizontal em bronze 2 1/2´</t>
  </si>
  <si>
    <t>O.09.000.064022</t>
  </si>
  <si>
    <t>Válvula de retenção horizontal em bronze 3´</t>
  </si>
  <si>
    <t>O.09.000.064025</t>
  </si>
  <si>
    <t>Válvula globo em bronze com extremidades roscáveis, classe 150lbs para vapor saturado e classe 300lbs para água, óleo e gás, DN= 3/4´</t>
  </si>
  <si>
    <t>O.09.000.064027</t>
  </si>
  <si>
    <t>Válvula retenção pé com crivo em bronze, DN= 1´</t>
  </si>
  <si>
    <t>O.09.000.064028</t>
  </si>
  <si>
    <t>Válvula retenção pé com crivo em bronze, DN= 1 1/4´</t>
  </si>
  <si>
    <t>O.09.000.064029</t>
  </si>
  <si>
    <t>Válvula retenção pé com crivo em bronze, DN= 1 1/2´</t>
  </si>
  <si>
    <t>O.09.000.064030</t>
  </si>
  <si>
    <t>Válvula retenção pé com crivo em bronze, DN= 2´</t>
  </si>
  <si>
    <t>O.09.000.064031</t>
  </si>
  <si>
    <t>Válvula retenção pé com crivo em bronze, DN= 2 1/2´</t>
  </si>
  <si>
    <t>O.09.000.064032</t>
  </si>
  <si>
    <t>Válvula retenção pé com crivo em bronze, DN= 3´</t>
  </si>
  <si>
    <t>O.09.000.064033</t>
  </si>
  <si>
    <t>Válvula globo em bronze com extremidades roscáveis, classe 150lbs para vapor saturado, classe 300lbs para água, óleo e gás, DN= 1´</t>
  </si>
  <si>
    <t>O.09.000.064034</t>
  </si>
  <si>
    <t>Válvula retenção pé com crivo em bronze, DN= 4´</t>
  </si>
  <si>
    <t>O.09.000.064037</t>
  </si>
  <si>
    <t>Válvula globo em bronze com extremidades roscáveis, classe 150lbs para vapor saturado, classe 300lbs para água, óleo e gás, DN= 1 1/2´</t>
  </si>
  <si>
    <t>O.09.000.064038</t>
  </si>
  <si>
    <t>Válvula globo em bronze com extremidades roscáveis, classe 150lbs para vapor saturado, classe 300lbs para água, óleo e gás, DN= 2´</t>
  </si>
  <si>
    <t>O.09.000.064048</t>
  </si>
  <si>
    <t>Válvula globo em bronze com extremidades roscáveis, classe 150lbs para vapor saturado, 300lbs para água, óleo e gás, DN= 2 1/2´</t>
  </si>
  <si>
    <t>O.09.000.064050</t>
  </si>
  <si>
    <t>Válvula globo em bronze com extremidades roscáveis, classe 125lb para vapor saturado, classe 200 libras para água, óleo e gás, DN= 2´</t>
  </si>
  <si>
    <t>O.09.000.064051</t>
  </si>
  <si>
    <t>Válvula globo em bronze com extremidades roscáveis, classe 150lbs para vapor saturado, classe 300lbs para água, óleo e gás, D= 4´</t>
  </si>
  <si>
    <t>O.09.000.064061</t>
  </si>
  <si>
    <t>Válvula de retenção vertical em bronze 1´</t>
  </si>
  <si>
    <t>O.09.000.064062</t>
  </si>
  <si>
    <t>Válvula de retenção vertical em bronze 1 1/4´</t>
  </si>
  <si>
    <t>O.09.000.064063</t>
  </si>
  <si>
    <t>Válvula de retenção vertical em bronze 1 1/2´</t>
  </si>
  <si>
    <t>O.09.000.064064</t>
  </si>
  <si>
    <t>Válvula de retenção vertical em bronze 2´</t>
  </si>
  <si>
    <t>O.09.000.064065</t>
  </si>
  <si>
    <t>Válvula de retenção vertical em bronze 2 1/2´</t>
  </si>
  <si>
    <t>O.09.000.064066</t>
  </si>
  <si>
    <t>Válvula de retenção vertical em bronze 3´</t>
  </si>
  <si>
    <t>O.09.000.064068</t>
  </si>
  <si>
    <t>Válvula de retenção vertical em bronze de 4´ - com flange</t>
  </si>
  <si>
    <t>O.09.000.064172</t>
  </si>
  <si>
    <t>Válvula globo em bronze com extremidades roscáveis, classe 150lbs para vapor saturado, classe 300lbs para água, óleo e gás, D= 3´</t>
  </si>
  <si>
    <t>O.09.000.064187</t>
  </si>
  <si>
    <t>Válvula de gaveta, corpo em bronze, extremidades roscáveis, haste fixa, classe 150 libras, DN=1/2´</t>
  </si>
  <si>
    <t>O.09.000.064188</t>
  </si>
  <si>
    <t>Válvula de gaveta, corpo em bronze, extremidades roscáveis, haste fixa, classe 150 libras, DN=3/4´</t>
  </si>
  <si>
    <t>O.09.000.064189</t>
  </si>
  <si>
    <t>Válvula de gaveta, corpo em bronze, extremidades roscáveis, haste fixa, classe 150 libras, DN=1´</t>
  </si>
  <si>
    <t>O.09.000.064190</t>
  </si>
  <si>
    <t>Válvula de gaveta, corpo em bronze, extremidades roscáveis, haste fixa, classe 150 libras, DN=1 1/4´</t>
  </si>
  <si>
    <t>O.09.000.064191</t>
  </si>
  <si>
    <t>Válvula globo, corpo em bronze,extremidades roscáveis, haste ascendente, classe 150 libras, DN=1/2´</t>
  </si>
  <si>
    <t>O.09.000.064192</t>
  </si>
  <si>
    <t>Válvula globo, corpo em bronze,extremidades roscáveis, haste ascendente, classe 150 libras, DN=1 1/4´</t>
  </si>
  <si>
    <t>O.09.000.064193</t>
  </si>
  <si>
    <t>Filtro Y, corpo em aço carbono, tela removível em aço inox, classe 150 libras, DN=1/2´</t>
  </si>
  <si>
    <t>O.09.000.064194</t>
  </si>
  <si>
    <t>Filtro Y, corpo em aço carbono, tela removível em aço inox, classe 150 libras, DN=3,4´</t>
  </si>
  <si>
    <t>O.09.000.064195</t>
  </si>
  <si>
    <t>Filtro Y, corpo em aço carbono, tela removível em aço inox, classe 150 libras, DN=1´</t>
  </si>
  <si>
    <t>O.09.000.064196</t>
  </si>
  <si>
    <t>Filtro Y, corpo em aço carbono, tela removível em aço inox, classe 150 libras, DN=1 1/4´</t>
  </si>
  <si>
    <t>O.09.000.064202</t>
  </si>
  <si>
    <t>Válvula automática redutora de pressão, de ação direta, corpo em bronze, extremidades roscadas, para água, ar, óleo e gás, PE=200psi e PS=20 à 90psi, DN=11/4´</t>
  </si>
  <si>
    <t>O.09.000.064203</t>
  </si>
  <si>
    <t>Válvula automática de redução de pressão, de ação direta, corpo em bronze, extremidades roscadas, para água, ar, óleo e gás, PE=200psi e PS=20 à 90psi, DN=2´</t>
  </si>
  <si>
    <t>O.09.000.064215</t>
  </si>
  <si>
    <t>Válvula de gaveta em bronze com fecho rápido sem acabamento, DN= 1 1/2´</t>
  </si>
  <si>
    <t>O.09.000.068531</t>
  </si>
  <si>
    <t>Filtro tipo ´Y´ corpo em bronze, tela (filtro) em aço inoxidável, extremidades roscáveis, para gás, DN= 2´</t>
  </si>
  <si>
    <t>O.09.000.090132</t>
  </si>
  <si>
    <t>Válvula globo angular de 45° em bronze ou latão, classe de pressão mínima 14kgf/cm², para recalque de rede de incêndio, DN= 2 1/2´; ref. Buckaspiero ou equivalente</t>
  </si>
  <si>
    <t>O.09.000.092041</t>
  </si>
  <si>
    <t>Válvula de gaveta em bronze com haste ascendente e extremidades rosqueáveis, classe 150lbs para vapor saturado, classe 300lbs para água, óleo e gás, DN= 1/2´</t>
  </si>
  <si>
    <t>O.10.000.065502</t>
  </si>
  <si>
    <t>O.10.000.065506</t>
  </si>
  <si>
    <t>Bacia turca de louça branca, 6 litros com sifão, linha Institucional da Celite ou equivalente</t>
  </si>
  <si>
    <t>O.10.000.065508</t>
  </si>
  <si>
    <t>O.10.000.065509</t>
  </si>
  <si>
    <t>O.10.000.065514</t>
  </si>
  <si>
    <t>Papeleira de louça de embutir, 15x15cm / 18x18cm, inclusive rolete de plástico, ref. Celite, Hervy, Deca ou equivalente</t>
  </si>
  <si>
    <t>O.10.000.065516</t>
  </si>
  <si>
    <t>Meia saboneteira de louça de embutir 7,5x15cm / 10,5x17,5cm, ref. Deca, Celite, Hervy ou equivalente</t>
  </si>
  <si>
    <t>O.10.000.065518</t>
  </si>
  <si>
    <t>Saboneteira de louça de embutir 15x15cm / 18x18cm, ref. Deca, Celite, Hervy ou equivalente</t>
  </si>
  <si>
    <t>O.10.000.065522</t>
  </si>
  <si>
    <t>Bacia sifonada de louça com saída horizontal, linha Ravena da Deca, ou equivalente</t>
  </si>
  <si>
    <t>O.10.000.065528</t>
  </si>
  <si>
    <t>Tanque de louça com coluna de 18 a 20 litros, ref. Celite, Icasa, Incepa ou equivalente</t>
  </si>
  <si>
    <t>O.10.000.065534</t>
  </si>
  <si>
    <t>Lavatório pequeno e coluna suspensa; ref. Vogue Plus ou equivalente</t>
  </si>
  <si>
    <t>O.10.000.065538</t>
  </si>
  <si>
    <t>Mictório auto sifonado de louça, branco, ref. Icasa, Celite ou equivalente</t>
  </si>
  <si>
    <t>O.10.000.065544</t>
  </si>
  <si>
    <t>Cuba de louça de embutir redonda, de 36cm, branca, ref. Icasa, Deca ou equivalente</t>
  </si>
  <si>
    <t>O.10.000.065555</t>
  </si>
  <si>
    <t>Bacia louça branca 6 litros, com caixa descarga acoplada, linha Ravena da Deca, linha Diamantina, Azálea da Celite, ou equivalente</t>
  </si>
  <si>
    <t>O.10.000.065556</t>
  </si>
  <si>
    <t>Cuba de louça de embutir oval, 40x30cm, ref. Deca L 59 ou equivalente</t>
  </si>
  <si>
    <t>O.10.000.065559</t>
  </si>
  <si>
    <t>Lavatório de louça com coluna suspensa; referência comercial Celite, Icasa, Incepa ou equivalente</t>
  </si>
  <si>
    <t>O.10.000.065564</t>
  </si>
  <si>
    <t>Lavatório de louça para canto sem coluna para pessoa com mobilidade reduzida, ref. L76 Coleção Master da Deca ou equivalente</t>
  </si>
  <si>
    <t>O.10.000.065570</t>
  </si>
  <si>
    <t>Tanque louça branca com coluna, 30 litros; ref. Celite, Icasa, Incepa ou equivalente</t>
  </si>
  <si>
    <t>O.10.000.065671</t>
  </si>
  <si>
    <t>Bacia para pessoas com mobilidade reduzida, linha tradicional, cor branco gelo, ref. linha Vogue Plus Conforto P.510 ou equivalente</t>
  </si>
  <si>
    <t>O.10.000.065672</t>
  </si>
  <si>
    <t>Tanque de louça sem coluna, médio, capacidade 30 litros, ref. TQ.02, branco da Deca ou equivalente</t>
  </si>
  <si>
    <t>O.10.000.066152</t>
  </si>
  <si>
    <t>Lavatório de louça para canto de 300 x 300 x 300 mm, branco gelo, ref. L 101 linha Izi da Deca ou equivalente</t>
  </si>
  <si>
    <t>O.10.000.090733</t>
  </si>
  <si>
    <t>Bacia sifonafa com caixa de descarga acoplada de louça branca - infantil, referência Icasa, Celite ou equivalente</t>
  </si>
  <si>
    <t>O.11.000.021000</t>
  </si>
  <si>
    <t>Misturador termostato com acabamento cromado, para chuveiros e duchas, com dois volantes, trava de segurança a 38°C, ref. Decaterm 2430 C034 da Deca ou equivalente</t>
  </si>
  <si>
    <t>O.11.000.031636</t>
  </si>
  <si>
    <t>Arejador com articulador em ABS cromado, completo, para torneira padrão, referência Blukit ou equivalente</t>
  </si>
  <si>
    <t>O.11.000.047507</t>
  </si>
  <si>
    <t>Torneira elétrica, bica alta e móvel, com arejador articulável - 220V; ref. 220V de 5.400W da Fame, 220V Slim Multitemperaturas 5.500 W da Hydra ou equivalente</t>
  </si>
  <si>
    <t>O.11.000.063536</t>
  </si>
  <si>
    <t>Válvula para água fria ou pré-misturada 3/4´ baixa e alta pressão, acabamento Chrome; ref. linha Pressmatic 17120306 (baixa), 17120206 (alta) da Docol ou equivalente</t>
  </si>
  <si>
    <t>O.11.000.063537</t>
  </si>
  <si>
    <t>Registro regulador de vazão para torneira, misturador, bidê e outros 1/2´ plástico ABS; ref. 13030023 da Docol ou equivalente</t>
  </si>
  <si>
    <t>O.11.000.064004</t>
  </si>
  <si>
    <t>Válvula de escoamento cromada de 1 1/2', ref. 1606C da Deca ou equivalente</t>
  </si>
  <si>
    <t>O.11.000.064010</t>
  </si>
  <si>
    <t>Válvula de descarga com registro próprio e duplo acionamento limitador de fluxo de 1 1/2, ref. Hydra Max Duo 2545C; Docol DV Salvágua, ou equivalente</t>
  </si>
  <si>
    <t>O.11.000.064011</t>
  </si>
  <si>
    <t>Válvula de descarga com registro de 1 1/2´, ref. Hidramax 2550 da Deca / Docol / Flux 3650 Fabrimar ou equivalente</t>
  </si>
  <si>
    <t>O.11.000.064036</t>
  </si>
  <si>
    <t>Válvula de descarga com registro de 1 1/4´, ref. Hidramax 2550 da Deca, Docol, Flux 3650 da Fabrimar ou equivalente</t>
  </si>
  <si>
    <t>O.11.000.064044</t>
  </si>
  <si>
    <t>Válvula de metal cromado para lavatório com acabamento cromado de 1´, ref. VVL216 da Esteves; 1602C da Deca ou equivalente</t>
  </si>
  <si>
    <t>O.11.000.064045</t>
  </si>
  <si>
    <t>Válvula cromada para pia, tipo americana de 3 1/2" com cesta, sem unho, referência 1623 da Kimetais, Forusi, Esteves ou equivalente</t>
  </si>
  <si>
    <t>O.11.000.064056</t>
  </si>
  <si>
    <t>Válvula para mictório antivandalismo, sistema hidromecânico, DN= 3/4´; ref. linha Presmatic antivandalismo da Docol ou equivalente</t>
  </si>
  <si>
    <t>O.11.000.064057</t>
  </si>
  <si>
    <t>Válvula de descarga externa tipo alavanca de 1 1/4´; ref. Silent Flux 3500 da Fabrimar ou equivalente</t>
  </si>
  <si>
    <t>O.11.000.064138</t>
  </si>
  <si>
    <t>Válvula com acionamento hidromecânico para piso, ref. 17012100 linha Pematic Piso da Docal ou equivalente</t>
  </si>
  <si>
    <t>O.11.000.064503</t>
  </si>
  <si>
    <t>Sifão metálico cromado 1´ x 1 1/2´, com tubo de ligação ajustável; ref. Fabrimar, Esteves, ou equivalente</t>
  </si>
  <si>
    <t>O.11.000.064513</t>
  </si>
  <si>
    <t>Sifão metálico cromado 1 1/2´ x  2´, com tubo de ligação; ref. Fabrimar, Oriente ou equivalente</t>
  </si>
  <si>
    <t>O.11.000.065568</t>
  </si>
  <si>
    <t>Chuveiro com jato regulável de metal acabamento cromado; ref. comercial Fabrimar, Tigre ou equivalente</t>
  </si>
  <si>
    <t>O.11.000.065571</t>
  </si>
  <si>
    <t>Chuveiro simples em PVC, diâmetro de 5", com registro e tubo de ligação acoplados em PVC; referência 2320/2321 da Herc, 1614 Luconi ou equivalente</t>
  </si>
  <si>
    <t>O.11.000.065579</t>
  </si>
  <si>
    <t>Válvula de descarga com registro próprio e duplo acionamento limitador de fluxo de 1 1/4´; ref. Hydra Max Duo 2545C; Docol DV Salvágua ou equivalente</t>
  </si>
  <si>
    <t>O.11.000.066000</t>
  </si>
  <si>
    <t>Torneira de mesa com bica móvel, acionamento por meio de alavanca, acabamento metal cromado; ref. 21.031/21.060 da Proflux, 2195/2169 da Hidrofix, 4014 da TFC ou equivalente</t>
  </si>
  <si>
    <t>O.11.000.066001</t>
  </si>
  <si>
    <t>Torneira curta amarela de 3/4´ para jardim, ref. Chaveta 1128A da Metais Poly ou equivalente</t>
  </si>
  <si>
    <t>O.11.000.066002</t>
  </si>
  <si>
    <t>Torneira curta amarela de 1/2´ para jardim, ref. Chaveta 1128A da Metais Poly ou equivalente</t>
  </si>
  <si>
    <t>O.11.000.066007</t>
  </si>
  <si>
    <t>Válvula de descarga antivandalismo DN= 1 1/2´; ref. Docol / Hidra MaxPública ou equivalente</t>
  </si>
  <si>
    <t>O.11.000.066008</t>
  </si>
  <si>
    <t>Válvula de mictório vazão automática 3/4´, ref. Docol ou equivalente</t>
  </si>
  <si>
    <t>O.11.000.066010</t>
  </si>
  <si>
    <t>Torneira curta cromada de 3/4´ para jardim, ref. Chaveta 1128C da Metais Poly, Linha C23 da Forusi ou equivalente</t>
  </si>
  <si>
    <t>O.11.000.066012</t>
  </si>
  <si>
    <t>Torneira amarela de 3/4´ para tanque, curta (aprox. 10 cm), sem rosca</t>
  </si>
  <si>
    <t>O.11.000.066015</t>
  </si>
  <si>
    <t>O.11.000.066016</t>
  </si>
  <si>
    <t>O.11.000.066018</t>
  </si>
  <si>
    <t>O.11.000.066020</t>
  </si>
  <si>
    <t>Chuveiro simples em PVC, diâmetro de 10 cm, com braço acoplado, ref. Ducha 4 - linha Plena Duchas da Tigre ou equivalente</t>
  </si>
  <si>
    <t>O.11.000.066023</t>
  </si>
  <si>
    <t>O.11.000.066024</t>
  </si>
  <si>
    <t>Torneira de parede (de metal) para pia com bica móvel, arejador, de 1/2´ ou 3/4´; ref. 3159 linha Belle Époque CR da Forusi ou equivalente</t>
  </si>
  <si>
    <t>O.11.000.066025</t>
  </si>
  <si>
    <t>Torneira clínica profissional, parede ou mesa tipo alavanca, fabricada em metal cromado com bico arejador</t>
  </si>
  <si>
    <t>O.11.000.066028</t>
  </si>
  <si>
    <t>Torneira misturador clínica de mesa com arejador articulado, acionamento cotovelo; ref. Certiva, Solucenter, Proflux  ou equivalente</t>
  </si>
  <si>
    <t>O.11.000.066037</t>
  </si>
  <si>
    <t>Torneira de parede antivandalismo de 3/4´ de alta/baixa pressão, acabamento cromado, ref. Chrome da Docol de 135 mm, Biopress da Fabrimar ou equivalente</t>
  </si>
  <si>
    <t>O.11.000.066038</t>
  </si>
  <si>
    <t>Chuveiro com válvula e acionamento antivandalismo de 3/4´ (válvula + chuveiro); ref. Pressmatic ou equivalente</t>
  </si>
  <si>
    <t>O.11.000.066039</t>
  </si>
  <si>
    <t>Ducha cromada simples, água fria, sem desviador; ref. Fria Fitt 7000 F16 Fortti Cromada da Lorenzetti ou equivalente</t>
  </si>
  <si>
    <t>O.11.000.066040</t>
  </si>
  <si>
    <t>O.11.000.066050</t>
  </si>
  <si>
    <t>Misturador de parede para pia com bica móvel, com acabamento cromado, ref. linha Prata C50 da Forusi, 1258 da Fabrimar ou equivalente</t>
  </si>
  <si>
    <t>O.11.000.066051</t>
  </si>
  <si>
    <t>Aparelho misturador de mesa para pia com bica móvel, acabamento cromado. Referência Misturador Max 1256-C34 da Deca ou equivalente</t>
  </si>
  <si>
    <t>O.11.000.066059</t>
  </si>
  <si>
    <t>O.11.000.066063</t>
  </si>
  <si>
    <t>Torneira de acionamento restrito em latão cromado, registro 1/2' com adaptador para 3/4', ref. comercial 20000806 da Docol ou equivalente</t>
  </si>
  <si>
    <t>O.11.000.066064</t>
  </si>
  <si>
    <t>Torneira de parede para lavatório acionamento hidromecânico latão fundido cromado, DN 1/2´/3/4´ cod.17160706, Presmatic 120 da Docol, equivalente</t>
  </si>
  <si>
    <t>O.11.000.066066</t>
  </si>
  <si>
    <t>Torneira de parede para tanque em plástico (ABS e/ou polipropileno), DN 1/2´ ou 3/4´, 10 cm, sem rosca, ref. 1126 Herc ou equivalente</t>
  </si>
  <si>
    <t>O.11.000.066067</t>
  </si>
  <si>
    <t>Torneira de parede para tanque em plástico (ABS e/ou polipropileno), DN 1/2´ ou 3/4´, 15 cm, sem rosca, ref. 1158 Herc ou equivalente</t>
  </si>
  <si>
    <t>O.11.000.066072</t>
  </si>
  <si>
    <t>O.11.000.066091</t>
  </si>
  <si>
    <t>Torneira de mesa automática em metal cromado de 1/2", medidas aproximadas: distância horizontal 110 a 125mm, altura vertical 90 a 120mm, ref.Single, Robust ou Prime da LuxSanit, 1193 ou 1194 da Oliveira, Pressmatic da Docol ou equivalente</t>
  </si>
  <si>
    <t>O.11.000.066097</t>
  </si>
  <si>
    <t>Chuveiro elétrico comum com acabamento em plástico e braço, 220 V / 5500 W, ref. Bello Banho / Maxi Ducha da Lorenzetti ou equivalente</t>
  </si>
  <si>
    <t>O.11.000.066104</t>
  </si>
  <si>
    <t>Chuveiro lava olhos, acionamento manual através de haste triangular e placa empurre, com pintura epóxi; ref. CL001 KITINOX da Avlis Válvulas ou equivalente</t>
  </si>
  <si>
    <t>O.11.000.066106</t>
  </si>
  <si>
    <t>Torneira para lavatório em plástico, bitola de 1/2´</t>
  </si>
  <si>
    <t>O.11.000.066109</t>
  </si>
  <si>
    <t>Ducha com comando eletrônico de temperatura, com ou sem haste de comando, de 6.800W até 7.900W - 220 V, regulagem de inclinação, aprovado Inmetro/Procel, ref. comercial Top Jet Eletrônica da Lorenzetti ou equivalente</t>
  </si>
  <si>
    <t>O.11.000.068506</t>
  </si>
  <si>
    <t>O.11.000.068511</t>
  </si>
  <si>
    <t>O.11.000.068513</t>
  </si>
  <si>
    <t>O.11.000.068515</t>
  </si>
  <si>
    <t>Válvula e mangueira para gás domiciliar de 3/8´</t>
  </si>
  <si>
    <t>O.11.000.069556</t>
  </si>
  <si>
    <t>Botão para válvula descarga</t>
  </si>
  <si>
    <t>O.11.000.069558</t>
  </si>
  <si>
    <t>Canopla para válvula de descarga, ref. Hidramax 2550 da Deca, Docol, Flux 3650 Fabrimar ou equivalente</t>
  </si>
  <si>
    <t>O.11.000.069562</t>
  </si>
  <si>
    <t>O.11.000.092035</t>
  </si>
  <si>
    <t>Dispenser tipo toalheiro metálico esmaltado para bobina de 25cm x 50m, sem alavanca, ref. 1855 da Ideal, Aurimar 86 da Guarani ou equivalente</t>
  </si>
  <si>
    <t>O.11.000.092038</t>
  </si>
  <si>
    <t>Cabide cromado para banheiro simples; ref. Remma plus RP08, Versailles 08v, Requint 108RSK, 2060.C01 da Deca, 2312 standard da Jackwal, Lorenzetti, Plus da Sicmol ou equivalente</t>
  </si>
  <si>
    <t>O.12.000.061029</t>
  </si>
  <si>
    <t>Arruela de borracha para flange, diâmetro 200mm</t>
  </si>
  <si>
    <t>O.12.000.061039</t>
  </si>
  <si>
    <t>Arruela de borracha para flange, diâmetro 80mm</t>
  </si>
  <si>
    <t>O.12.000.061042</t>
  </si>
  <si>
    <t>Arruela de borracha para flange, diâmetro 150mm</t>
  </si>
  <si>
    <t>O.12.000.061043</t>
  </si>
  <si>
    <t>Arruela de borracha para flange, diâmetro 250mm</t>
  </si>
  <si>
    <t>O.12.000.061044</t>
  </si>
  <si>
    <t>Arruela de borracha para flange, diâmetro 300mm</t>
  </si>
  <si>
    <t>O.12.000.061100</t>
  </si>
  <si>
    <t>O.12.000.061115</t>
  </si>
  <si>
    <t>O.12.000.061116</t>
  </si>
  <si>
    <t>O.12.000.062671</t>
  </si>
  <si>
    <t>O.12.000.062672</t>
  </si>
  <si>
    <t>O.12.000.062673</t>
  </si>
  <si>
    <t>O.12.000.062674</t>
  </si>
  <si>
    <t>O.12.000.063510</t>
  </si>
  <si>
    <t>Arruela de borracha para flange, diâmetro 50mm</t>
  </si>
  <si>
    <t>O.12.000.064109</t>
  </si>
  <si>
    <t>O.12.000.064504</t>
  </si>
  <si>
    <t>O.12.000.064505</t>
  </si>
  <si>
    <t>Sifão de plástico rígido, tipo copo de 1 1/4´ x 2´, com tubo de ligação ajustável</t>
  </si>
  <si>
    <t>O.12.000.065023</t>
  </si>
  <si>
    <t>Caixa de descarga, capacidade 9 litros em plástico, de sobrepor com engate flexível e acessórios</t>
  </si>
  <si>
    <t>O.12.000.065055</t>
  </si>
  <si>
    <t>Caixa de descarga, volume regulável 6 a 9 litros, de embutir, com engate flexível, acionamento por botão acabamento cromado, ref. 9000C Montreal da Montana, 2500 CX.MC.AF da Deca ou equivalente</t>
  </si>
  <si>
    <t>O.12.000.065513</t>
  </si>
  <si>
    <t>Saboneteira em ABS, tipo dispenser, para refil de 800ml, ref. Columbus SG 4000 ou equivalente</t>
  </si>
  <si>
    <t>O.12.000.065543</t>
  </si>
  <si>
    <t>Lavatório em polipropileno de 36x26cm, ref. Astra ou equivalente</t>
  </si>
  <si>
    <t>O.12.000.065595</t>
  </si>
  <si>
    <t>Secador de mãos em ABS, fluxo de ar 70 l/s, resistência 1350 W, tensão de 220 V, ref. CR-108B da Brakey ou equivalente</t>
  </si>
  <si>
    <t>O.12.000.066013</t>
  </si>
  <si>
    <t>Tubo de ligação cromado com canopla de 1 1/2´ x 25 cm, ajustável, ref. VLL418 da Esteves ou equivalente</t>
  </si>
  <si>
    <t>O.12.000.066028</t>
  </si>
  <si>
    <t>Ligação (engate) flexível metálico de 1/2´x 30cm</t>
  </si>
  <si>
    <t>O.12.000.066029</t>
  </si>
  <si>
    <t>Engate flexível de PVC DN= 1/2´x 40 cm</t>
  </si>
  <si>
    <t>O.12.000.066053</t>
  </si>
  <si>
    <t>Tubo de ligação com canopla para sanitários</t>
  </si>
  <si>
    <t>O.12.000.066068</t>
  </si>
  <si>
    <t>O.12.000.066105</t>
  </si>
  <si>
    <t>Desviador para ducha e chuveiro, com mangueira de 2,20m de comprimento;  ref. 8010 da Lorenzetti ou equivalente</t>
  </si>
  <si>
    <t>O.12.000.066166</t>
  </si>
  <si>
    <t>O.12.000.067076</t>
  </si>
  <si>
    <t>Botoeira para acionamento de bomba de incêndio tipo quebra-vidro, com botão liga e desliga, em chapa de plástico na cor vermelha, com um martelo</t>
  </si>
  <si>
    <t>O.12.000.069503</t>
  </si>
  <si>
    <t>Bolsa de borracha para bacia sifonada</t>
  </si>
  <si>
    <t>O.12.000.069527</t>
  </si>
  <si>
    <t>Lubrificante para anel de neoprene</t>
  </si>
  <si>
    <t>O.12.000.069547</t>
  </si>
  <si>
    <t>Reparo para válvula hidra</t>
  </si>
  <si>
    <t>O.12.000.069550</t>
  </si>
  <si>
    <t>O.12.000.069555</t>
  </si>
  <si>
    <t>O.12.000.070960</t>
  </si>
  <si>
    <t>Manta de borracha de 100x75cm, espessura 10mm, cor preto e amarelo, alta resistência a atritos, para sinalização em estacionamento e proteção de coluna e parede</t>
  </si>
  <si>
    <t>O.12.000.070961</t>
  </si>
  <si>
    <t>Cantoneira de borracha de 75x10x10cm, espessura 10mm, cor preto e amarelo, alta resistência a atritos, para sinalização em estacionamento e proteção de coluna</t>
  </si>
  <si>
    <t>O.12.000.090146</t>
  </si>
  <si>
    <t>Arruela de borracha para flange, diâmetro 100mm</t>
  </si>
  <si>
    <t>O.12.000.090901</t>
  </si>
  <si>
    <t>Conjunto de 4 lixeiras em plástico com tampa basculante, para coleta seletiva, com suporte para chão em aço galvanizado, capacidade de 50 litros cada cesto, ref. Natural Limp, Lixlimp, Plasbox ou equivalente</t>
  </si>
  <si>
    <t>O.12.000.092034</t>
  </si>
  <si>
    <t>Dispenser toalheiro em ABS e policarbonato para bobina de 20cm x 200m com alavanca. Ref. Jofel, Exaccta, Alwin ou equivalente</t>
  </si>
  <si>
    <t>O.12.000.092036</t>
  </si>
  <si>
    <t>Dispenser papel higiênico em ABS para rolão 300/600m, com visor. Ref. Unik JSN, Trilha ou equivalente</t>
  </si>
  <si>
    <t>O.12.000.092309</t>
  </si>
  <si>
    <t>Toalheiro plástico em ABS branco tipo dispenser para papel</t>
  </si>
  <si>
    <t>O.13.000.060101</t>
  </si>
  <si>
    <t>Tubo de concreto (PS-1) DN= 300mm</t>
  </si>
  <si>
    <t>O.13.000.060102</t>
  </si>
  <si>
    <t>Tubo de concreto (PS-1) DN= 400mm</t>
  </si>
  <si>
    <t>O.13.000.060110</t>
  </si>
  <si>
    <t>Tubo de concreto (PS-2) DN= 300mm</t>
  </si>
  <si>
    <t>O.13.000.060111</t>
  </si>
  <si>
    <t>Tubo de concreto (PS-2) DN= 400mm</t>
  </si>
  <si>
    <t>O.13.000.060112</t>
  </si>
  <si>
    <t>Tubo de concreto (PS-2) DN= 500mm</t>
  </si>
  <si>
    <t>O.13.000.060113</t>
  </si>
  <si>
    <t>Tubo de concreto (PA-2) DN= 700mm</t>
  </si>
  <si>
    <t>O.13.000.060114</t>
  </si>
  <si>
    <t>Tubo de concreto (PA-2) DN= 300mm</t>
  </si>
  <si>
    <t>O.13.000.060115</t>
  </si>
  <si>
    <t>Tubo de concreto (PA-2) DN= 900mm</t>
  </si>
  <si>
    <t>O.13.000.060131</t>
  </si>
  <si>
    <t>Tubo de concreto (PA-1) DN= 300mm</t>
  </si>
  <si>
    <t>O.13.000.060132</t>
  </si>
  <si>
    <t>Tubo de concreto (PA-1) DN= 400mm</t>
  </si>
  <si>
    <t>O.13.000.060140</t>
  </si>
  <si>
    <t>Tubo de concreto (PA-1) DN= 600mm</t>
  </si>
  <si>
    <t>O.13.000.060141</t>
  </si>
  <si>
    <t>Tubo de concreto (PA-1) DN= 800mm</t>
  </si>
  <si>
    <t>O.13.000.060144</t>
  </si>
  <si>
    <t>Tubo de concreto (PA-2) DN= 400mm</t>
  </si>
  <si>
    <t>O.13.000.060145</t>
  </si>
  <si>
    <t>Tubo de concreto (PA-2) DN= 600mm</t>
  </si>
  <si>
    <t>O.13.000.060146</t>
  </si>
  <si>
    <t>Tubo de concreto (PA-2) DN= 800mm</t>
  </si>
  <si>
    <t>O.13.000.060147</t>
  </si>
  <si>
    <t>Tubo de concreto (PA-2) DN= 1000mm</t>
  </si>
  <si>
    <t>O.13.000.060149</t>
  </si>
  <si>
    <t>Tubo de concreto (PA-3) DN= 400mm</t>
  </si>
  <si>
    <t>O.13.000.060150</t>
  </si>
  <si>
    <t>Tubo de concreto (PA-3) DN= 600mm</t>
  </si>
  <si>
    <t>O.13.000.060151</t>
  </si>
  <si>
    <t>Tubo de concreto (PA-3) DN= 800mm</t>
  </si>
  <si>
    <t>O.13.000.060152</t>
  </si>
  <si>
    <t>Tubo de concreto (PA-3) DN= 1000mm</t>
  </si>
  <si>
    <t>O.13.000.060203</t>
  </si>
  <si>
    <t>Anel pré-moldado em concreto, diâmetro externo de 2,50 m, h= 0,50 m</t>
  </si>
  <si>
    <t>O.13.000.060204</t>
  </si>
  <si>
    <t>Tubo de concreto (PA-1) DN= 1000mm</t>
  </si>
  <si>
    <t>O.13.000.060206</t>
  </si>
  <si>
    <t>Tubo de concreto (PA-1) DN= 1200mm</t>
  </si>
  <si>
    <t>O.13.000.060207</t>
  </si>
  <si>
    <t>Anel pré-moldado em concreto, diâmetro externo de 1,20 m, h= 0,50 m</t>
  </si>
  <si>
    <t>O.13.000.060208</t>
  </si>
  <si>
    <t>Anel pré-moldado em concreto, diâmetro externo de 1,50 m, h= 0,50 m</t>
  </si>
  <si>
    <t>O.13.000.060209</t>
  </si>
  <si>
    <t>Anel pré-moldado em concreto, diâmetro externo de 1,80 m, h= 0,50 m</t>
  </si>
  <si>
    <t>O.13.000.060210</t>
  </si>
  <si>
    <t>Anel pré-moldado em concreto, diâmetro externo de 2,50 m, h= 0,50 m, com cortina</t>
  </si>
  <si>
    <t>O.13.000.060213</t>
  </si>
  <si>
    <t>Tubo de concreto (PA-2) DN= 500mm</t>
  </si>
  <si>
    <t>O.13.000.060215</t>
  </si>
  <si>
    <t>Anel pré-moldado em concreto, diâmetro externo de 0,60 m, h= 0,50 m</t>
  </si>
  <si>
    <t>O.13.000.060219</t>
  </si>
  <si>
    <t>Meia cana de concreto DN= 200mm</t>
  </si>
  <si>
    <t>O.13.000.060220</t>
  </si>
  <si>
    <t>Tampa pré moldada de concreto, diâmetro externo de 1,50m com 1 abertura de inspeção (para fossa séptica)</t>
  </si>
  <si>
    <t>O.13.000.060232</t>
  </si>
  <si>
    <t>Tubo de concreto (EA-3) DN= 400mm esgoto sanitário</t>
  </si>
  <si>
    <t>O.13.000.060233</t>
  </si>
  <si>
    <t>Tubo de concreto (EA-3) DN= 500mm esgoto sanitário</t>
  </si>
  <si>
    <t>O.13.000.060234</t>
  </si>
  <si>
    <t>Tubo de concreto (EA-3) DN= 600mm esgoto sanitário</t>
  </si>
  <si>
    <t>O.13.000.060235</t>
  </si>
  <si>
    <t>Tubo de concreto (EA-3) DN= 700mm esgoto sanitário</t>
  </si>
  <si>
    <t>O.13.000.060236</t>
  </si>
  <si>
    <t>Tubo de concreto (EA-3) DN= 800mm esgoto sanitário</t>
  </si>
  <si>
    <t>O.13.000.060237</t>
  </si>
  <si>
    <t>Tubo de concreto (EA-3) DN= 900mm esgoto sanitário</t>
  </si>
  <si>
    <t>O.13.000.060238</t>
  </si>
  <si>
    <t>Tubo de concreto (EA-3) DN= 1000mm esgoto sanitário</t>
  </si>
  <si>
    <t>O.13.000.060239</t>
  </si>
  <si>
    <t>Tubo de concreto (EA-3) DN= 1200mm esgoto sanitário</t>
  </si>
  <si>
    <t>O.13.000.060240</t>
  </si>
  <si>
    <t>Meia cana de concreto DN= 300mm</t>
  </si>
  <si>
    <t>O.13.000.060241</t>
  </si>
  <si>
    <t>Meia cana de concreto DN= 400mm</t>
  </si>
  <si>
    <t>O.13.000.060243</t>
  </si>
  <si>
    <t>Meia cana de concreto DN= 600mm</t>
  </si>
  <si>
    <t>O.13.000.060246</t>
  </si>
  <si>
    <t>Tampa pré moldada de concreto, diâmetro externo de 2,50m, com 2 aberturas de inspeção (para fossa séptica)</t>
  </si>
  <si>
    <t>O.13.000.060250</t>
  </si>
  <si>
    <t>Tampão pré moldado de concreto armado, diâmetro externo de 2,00 m, com 1 inspeção 0,60 cm se necessário (para sumidouro)</t>
  </si>
  <si>
    <t>O.13.000.060251</t>
  </si>
  <si>
    <t>Anel pré moldado em concreto armado, liso ou perfurado, diâmetro externo de 2,0 m, h= 0,50 m</t>
  </si>
  <si>
    <t>O.13.000.091172</t>
  </si>
  <si>
    <t>Anel pré moldado em concreto, diâmetro externo de 3,00 m, h= 0,50 m</t>
  </si>
  <si>
    <t>O.13.000.091262</t>
  </si>
  <si>
    <t>Tubo de concreto (PA-2) DN= 1500mm</t>
  </si>
  <si>
    <t>O.15.000.062636</t>
  </si>
  <si>
    <t>Purificador de pressão elétrico, chapa eletrozincado e tampo em aço inoxidável 304 escovado e ralo sifonado, capac. de água gelada 2,75 L/h; sistema duplo de filtração integrado com filtros Pré C+3 e C+5; ref. PDF 100 da IBBL ou equivalente</t>
  </si>
  <si>
    <t>O.15.000.062637</t>
  </si>
  <si>
    <t>Purificador de pressão elétrico, chapa eletrozincado, tampo aço inoxidável 304 escovado e ralo sifonado, c/2 torneiras, capac. de água gelada 7,2 L/h; sistema duplo de filtração integrado c/filtros Pré C+3 e C+5; ref. PDF 300-2T IBBL ou equivalente</t>
  </si>
  <si>
    <t>O.15.000.062638</t>
  </si>
  <si>
    <t>Purificador de pressão elétrico em chapa eletrozincado e tampo em aço inoxidável 304, com 2 torneiras em latão cromado, capacidade de refrigeração de 2 l/h - simples; ref. Puripress 40 da IBBL, BRX40 da Begel ou equivalente</t>
  </si>
  <si>
    <t>O.15.000.062639</t>
  </si>
  <si>
    <t>Purificador de pressão elétrico em chapa eletrozincado, tampo em aço inoxidável 304, com 3 torneiras de pressão em latão cromado, capacidade de refrigeração 2 l/h - conjugado; ref. Puripress 40C da IBBL, CJ40 da Begel ou equivalente</t>
  </si>
  <si>
    <t>O.15.000.064071</t>
  </si>
  <si>
    <t>Purgador termodinâmico com filtro incorporado, em aço inoxidável forjado, pressão de 0,25 a 42kg/cm², temperatura até 425°C, DN= 1/2´</t>
  </si>
  <si>
    <t>O.15.000.065503</t>
  </si>
  <si>
    <t>Cuba em aço inoxidável dupla de 1020x400x250mm, AISI 304, liga 18,8 e chapa 22</t>
  </si>
  <si>
    <t>O.15.000.065521</t>
  </si>
  <si>
    <t>Tanque em aço inoxidável, 60 x 60 x 30 / 64 x 53 x 28 cm</t>
  </si>
  <si>
    <t>O.15.000.065565</t>
  </si>
  <si>
    <t>Mictório coletivo em aço inoxidável AISI 304, liga 18,8, bitola 20, desenvolvimento 750 mm</t>
  </si>
  <si>
    <t>O.15.000.065603</t>
  </si>
  <si>
    <t>Cuba em aço inoxidável simples de 500x400x200mm, AISI 304, liga 18,8 e chapa 22</t>
  </si>
  <si>
    <t>O.15.000.065605</t>
  </si>
  <si>
    <t>Cuba em aço inoxidável simples de 465x300x140mm, AISI 304, liga 18,8 e chapa 22</t>
  </si>
  <si>
    <t>O.15.000.065606</t>
  </si>
  <si>
    <t>Cuba em aço inoxidável simples de 400x340x140mm, AISI 304, liga 18,8 e chapa 22</t>
  </si>
  <si>
    <t>O.15.000.065607</t>
  </si>
  <si>
    <t>Cuba em aço inoxidável dupla de 835x340x140mm, AISI 304, liga 18,8 e chapa 22</t>
  </si>
  <si>
    <t>O.15.000.065608</t>
  </si>
  <si>
    <t>Cuba em aço inoxidável simples de 560x330x140mm, AISI 304, liga 18,8 e chapa 22</t>
  </si>
  <si>
    <t>O.15.000.065609</t>
  </si>
  <si>
    <t>Cuba em aço inoxidável dupla de 715x400x140mm, AISI 304, liga 18,8 e chapa 22</t>
  </si>
  <si>
    <t>O.15.000.065611</t>
  </si>
  <si>
    <t>Cuba em aço inoxidável simples de 600x500x350mm, AISI 304, liga 18,8 e chapa 20</t>
  </si>
  <si>
    <t>O.15.000.065616</t>
  </si>
  <si>
    <t>Cuba em aço inoxidável simples de 1100x600x400mm, AISI-304, liga 18,8 e chapa 20</t>
  </si>
  <si>
    <t>O.15.000.065617</t>
  </si>
  <si>
    <t>Mesa em aço inoxidável, largura de 700 mm</t>
  </si>
  <si>
    <t>O.15.000.065619</t>
  </si>
  <si>
    <t>Cuba em aço inoxidável simples de 500x400x250mm, AISI 304, liga 18,8 e chapa 22, acabamento alto brilhante; ref.314 da Strake, Projinox ou equivalente</t>
  </si>
  <si>
    <t>O.15.000.065620</t>
  </si>
  <si>
    <t>Cuba em aço inoxidável simples de 500x400x300mm, AISI 304, liga 18,8 e chapa 22</t>
  </si>
  <si>
    <t>O.15.000.065622</t>
  </si>
  <si>
    <t>Cuba em aço inoxidável simples de 700x600x450mm, AISI 304, liga 18,8 e chapa 22</t>
  </si>
  <si>
    <t>O.15.000.065666</t>
  </si>
  <si>
    <t>Cuba de aço inoxidável simples de 500 x 400 x 400mm</t>
  </si>
  <si>
    <t>O.15.000.065670</t>
  </si>
  <si>
    <t>Tanque tipo cuba em aço inoxidável AISI 304, liga 18.8, de 1400 x 900 x 500 mm, acabamento polido, espessura de 1,2 a 1,5mm</t>
  </si>
  <si>
    <t>O.15.000.065785</t>
  </si>
  <si>
    <t>Cuba redonda em aço inoxidável AISI 304, de 300x140mm; ref. linha BL-30 Perfecta da Tramontina ou equivalente</t>
  </si>
  <si>
    <t>O.15.000.067555</t>
  </si>
  <si>
    <t>O.15.000.067556</t>
  </si>
  <si>
    <t>O.15.000.090259</t>
  </si>
  <si>
    <t>O.15.000.090556</t>
  </si>
  <si>
    <t>Cesto em chapa de aço inoxidável de 28 x 40 x 20 cm, espessura de 1,5 mm, com furo 1/2´</t>
  </si>
  <si>
    <t>O.15.000.094216</t>
  </si>
  <si>
    <t>Tanque duplo com pés tubulares em aço inoxidável com válvula americana de 3 1/2´ - 1600x700x850mm</t>
  </si>
  <si>
    <t>O.16.000.030539</t>
  </si>
  <si>
    <t>Acionador manual tipo quebra vidro endereçável, ref. Ascael ou equivalente</t>
  </si>
  <si>
    <t>O.16.000.063526</t>
  </si>
  <si>
    <t>Abrigo duplo para hidrante/mangueira, de 120x90x30cm, visor em vidro com a inscrição ´INCÊNDIO´ em ambas as portas e suportes para mangueiras</t>
  </si>
  <si>
    <t>O.16.000.063527</t>
  </si>
  <si>
    <t>Coluna hidrante T4´ x 2 1/2´, alt. 1,0m SCH40 com flange</t>
  </si>
  <si>
    <t>O.16.000.063528</t>
  </si>
  <si>
    <t>Tampão de engate rápido em latão, Storz de 2 1/2´</t>
  </si>
  <si>
    <t>O.16.000.063529</t>
  </si>
  <si>
    <t>Tampão de engate rápido em latão, Storz de 1 1/2´</t>
  </si>
  <si>
    <t>O.16.000.063555</t>
  </si>
  <si>
    <t>Chave tipo Storz dupla em latão de alta densidade e resistência, de Ø 1 1/2´ ou 2 1/2´</t>
  </si>
  <si>
    <t>O.16.000.064217</t>
  </si>
  <si>
    <t>Válvula de governo e alarme VGA, completa DN= 6´ - extremidade flangeada</t>
  </si>
  <si>
    <t>O.16.000.067001</t>
  </si>
  <si>
    <t>O.16.000.067009</t>
  </si>
  <si>
    <t>Adaptador de engate rápido em latão 2 1/2´ x 1 1/2´</t>
  </si>
  <si>
    <t>O.16.000.067010</t>
  </si>
  <si>
    <t>Extintor manual de pó químico seco BC, capacidade de 4 kg com carga</t>
  </si>
  <si>
    <t>O.16.000.067011</t>
  </si>
  <si>
    <t>Extintor manual de água pressurizada capacidade de 10 litros</t>
  </si>
  <si>
    <t>O.16.000.067013</t>
  </si>
  <si>
    <t>Extintor manual sobre rodas de gás carbônico, capacidade de 10 kg com carga</t>
  </si>
  <si>
    <t>O.16.000.067015</t>
  </si>
  <si>
    <t>Extintor manual de pó químico seco BC, capacidade de 8 kg com carga</t>
  </si>
  <si>
    <t>O.16.000.067017</t>
  </si>
  <si>
    <t>Extintor manual de pó químico seco 20 BC, capacidade de 12 kg com carga</t>
  </si>
  <si>
    <t>O.16.000.067018</t>
  </si>
  <si>
    <t>Extintor sobre rodas de pó químico seco 30/40BC - capacidade de 20 kg; ref. 417 da Zeus do Brasil, Firex, MP-20 da Bucka, Munhoz, KB-P20BCK95 da Kidde ou equivalente</t>
  </si>
  <si>
    <t>O.16.000.067022</t>
  </si>
  <si>
    <t>Mangueira com adaptador 1 1/2" x 15m, com reforço têxtil em fios sintéticos de alta tenacidade, conforme norma ABNT-NBR 11861</t>
  </si>
  <si>
    <t>O.16.000.067023</t>
  </si>
  <si>
    <t>Mangueira com união de engate rápido, diâmetro 1.1/2", com reforço têxtil em fios sintéticos de alta tenacidade, conforme norma ABNT-NBR 11861</t>
  </si>
  <si>
    <t>O.16.000.067024</t>
  </si>
  <si>
    <t>Mangueira com união de engate rápido, diâmetro 2.1/2", com reforço têxtil em fios sintéticos de alta tenacidade, conforme norma ABNT-NBR 11861</t>
  </si>
  <si>
    <t>O.16.000.067026</t>
  </si>
  <si>
    <t>Mangueira com adaptador 2 1/2" x 15m, com reforço têxtil em fios sintéticos de alta tenacidade, conforme norma ABNT-NBR 11861</t>
  </si>
  <si>
    <t>O.16.000.067027</t>
  </si>
  <si>
    <t>Adaptador de engate rápido em latão 2 1/2´ x 2 1/2´</t>
  </si>
  <si>
    <t>O.16.000.067031</t>
  </si>
  <si>
    <t>Esguicho em latão polido com engate rápido, jato regulável, DN= 1 1/2´ (38 mm), ref. Tata, Chama, Kasti, Aerotex extintores, Mecânica Reunida ou equivalente</t>
  </si>
  <si>
    <t>O.16.000.067042</t>
  </si>
  <si>
    <t>Recarga de extintor de pó químico seco</t>
  </si>
  <si>
    <t>O.16.000.067043</t>
  </si>
  <si>
    <t>Recarga de extintor de gás carbônico</t>
  </si>
  <si>
    <t>O.16.000.067044</t>
  </si>
  <si>
    <t>Recarga de extintor de água pressurizada</t>
  </si>
  <si>
    <t>O.16.000.067047</t>
  </si>
  <si>
    <t>Teste hidrostático e pintura de extintor CO2/PQS/H2O, acima 12kg até 20kg</t>
  </si>
  <si>
    <t>O.16.000.067048</t>
  </si>
  <si>
    <t>Teste hidrostático e pintura de extintor CO2/PQS/H2O até 12kg</t>
  </si>
  <si>
    <t>O.16.000.067055</t>
  </si>
  <si>
    <t>Esguicho em latão polido com engate rápido, jato regulável de 2 1/2´</t>
  </si>
  <si>
    <t>O.16.000.067067</t>
  </si>
  <si>
    <t>Extintor sobre rodas de gás carbônico - capacidade de 25 kg com carga</t>
  </si>
  <si>
    <t>O.16.000.067071</t>
  </si>
  <si>
    <t>Extintor manual de pó químico classes ABC, capacidade de 4 kg, ref. 1-A NBR 9443 e 10-B NBR 9444 com carga</t>
  </si>
  <si>
    <t>O.16.000.067072</t>
  </si>
  <si>
    <t>Extintor manual de pó químico seco classes ABC, capacidade de 6 kg, ref. 2-A NBR 9443 e 20-B NBR 9444 com carga</t>
  </si>
  <si>
    <t>O.16.000.067078</t>
  </si>
  <si>
    <t>O.16.000.067079</t>
  </si>
  <si>
    <t>Extintor manual de gás carbônico de 06 kg, capacidade extintora 5BC</t>
  </si>
  <si>
    <t>O.16.000.067303</t>
  </si>
  <si>
    <t>Suporte de piso para extintor em fibra de vidro cor vermelha; referência comercial n° 13 da Gilfire, Comercial Fire, Evolumix, Metalcasty, Brinox, Protege ou equivalente</t>
  </si>
  <si>
    <t>O.16.000.067304</t>
  </si>
  <si>
    <t>Suporte de piso para extintor base redonda em aço inoxidável, ref. n° 10 da Gilfire, modelo Torre da Protexfire, Comercial Fire, Evolumix, Metalcasty, Brinox, Protege ou equivalente</t>
  </si>
  <si>
    <t>O.16.000.090629</t>
  </si>
  <si>
    <t>Acionador manual tipo quebra vidro em caixa plástica, ref. AC-01FCS da Maximus, ou  AM-1 / AM-2 ou AM-1/PT da Renglan ou equivalente</t>
  </si>
  <si>
    <t>O.16.000.091292</t>
  </si>
  <si>
    <t>O.17.000.042431</t>
  </si>
  <si>
    <t>Pressostato diferencial ajustável mecânico, montagem inferior diâmetro 1/2" e/ou 1/4", faixa de operação até 16 bar; ref. modelo UT16 da Zurich, série UT16 da Waaree Instruments, WLF-5516 da Warme ou equivalente</t>
  </si>
  <si>
    <t>O.17.000.042479</t>
  </si>
  <si>
    <t>O.17.000.047501</t>
  </si>
  <si>
    <t>Aquecedor a gás vertical/horizontal 300 l, revestimento interno em aço inoxidável AISI 304, isolamento em lã de vidro, ref. modelo GV 300 da Etna ou equivalente</t>
  </si>
  <si>
    <t>O.17.000.047524</t>
  </si>
  <si>
    <t>Aquecedor a gás vertical/horizontal 500 l, revestimento interno em aço inoxidável AISI 304, revestimento externo em aço carbono pintado, isolamento em lã de vidro; ref. modelo GL-500 da Etna ou equivalente</t>
  </si>
  <si>
    <t>O.17.000.047606</t>
  </si>
  <si>
    <t>Coletor solar de alumínio com área coletora de 1,60m²; ref. Soletrol Max 1,60m² ou equivalente</t>
  </si>
  <si>
    <t>O.17.000.047607</t>
  </si>
  <si>
    <t>Coletor solar de alumínio com área coletora de 2,00m²; ref. Soletrol Max 2,00m² ou equivalente</t>
  </si>
  <si>
    <t>O.17.000.047608</t>
  </si>
  <si>
    <t>O.17.000.047609</t>
  </si>
  <si>
    <t>Bomba de circulação para aquecimento solar, ref. GP 100C da Inova ou equivalente</t>
  </si>
  <si>
    <t>O.17.000.047613</t>
  </si>
  <si>
    <t>Reservatório térmico horizontal em aço inoxidável AISI 304, capacidade de 500 litros, ref. Max Inox da Soletrol ou equivalente</t>
  </si>
  <si>
    <t>O.17.000.064177</t>
  </si>
  <si>
    <t>Pressostato diferencial ajustável, caixa à prova de água, unidade sensora em aço inoxidável 316, faixa de operação entre 1,4 a 14 bar, para fluídos corrosivos, conexão diâmetro 1/2´ NPT; ref. a unidade interruptora PA11B e unidade sensora RG10A44BX - TPL</t>
  </si>
  <si>
    <t>O.17.000.090732</t>
  </si>
  <si>
    <t>Aquecedor de passagem elétrico individual 4T, baixa pressão, 5000 W / 127 V ou 6400 W / 220 V; ref. AQ249-1 (124V) ou AQ249-2 (220V) da Cardal ou equivalente</t>
  </si>
  <si>
    <t>O.18.000.065001</t>
  </si>
  <si>
    <t>O.18.000.065002</t>
  </si>
  <si>
    <t>O.18.000.065003</t>
  </si>
  <si>
    <t>Reservatório em poliester reforçado de fibra vidro, capacidade de 15.000 litros</t>
  </si>
  <si>
    <t>O.18.000.065053</t>
  </si>
  <si>
    <t>Reservatório em polietileno com tampa de encaixar, capacidade de 2.000 litros, ref. comercial Fortlev, Tigre ou equivalente</t>
  </si>
  <si>
    <t>O.18.000.065054</t>
  </si>
  <si>
    <t>Reservatório em polietileno com tampa de encaixar, capacidade de 3.000 litros, ref. comercial Fortlev, Tigre ou equivalente</t>
  </si>
  <si>
    <t>O.18.000.065055</t>
  </si>
  <si>
    <t>Reservatório em polietileno com tampa de encaixar com sistema de travamento da tampa, capacidade de 5.000 litros, ref. comercial Fortlev, Tigre ou equivalente</t>
  </si>
  <si>
    <t>O.18.000.065056</t>
  </si>
  <si>
    <t>O.18.000.065086</t>
  </si>
  <si>
    <t>Reservatório em poliester reforçado de fibra vidro, capacidade de 20.000 litros; ref. Makrocaixa, Bakof Tec, Caixa Forte ou equivalente</t>
  </si>
  <si>
    <t>O.18.000.065110</t>
  </si>
  <si>
    <t>Tanque em poliéster reforçado de fibra vidro (PRFV) com quebra ondas, capacidade de 25.000 l e misturador interno vertical em aço inoxidável, trifásico, potência mínima de 2 cv</t>
  </si>
  <si>
    <t>O.18.000.065111</t>
  </si>
  <si>
    <t>Sistema de tratamento de efluente por reator anaeróbio (UASB) e Filtro aeróbio (FAS), para obras de segurança com vazão máxima horária 12 l/s</t>
  </si>
  <si>
    <t>O.18.000.092351</t>
  </si>
  <si>
    <t>O.25.000.000001</t>
  </si>
  <si>
    <t>Tubo de esgoto em polipropileno de alta resistência - PP, DN= 40mm, preto, com união deslizante, com guarnição elastomérica de duplo lábio, ref. Duratop da Tecnofluidos ou equivalente</t>
  </si>
  <si>
    <t>O.25.000.000002</t>
  </si>
  <si>
    <t>Tubo de esgoto em polipropileno de alta resistência - PP, DN= 50mm, preto, com união deslizante, com guarnição elastomérica de duplo lábio, ref. Duratop da Tecnofluidos ou equivalente</t>
  </si>
  <si>
    <t>O.25.000.000003</t>
  </si>
  <si>
    <t>Tubo de esgoto em polipropileno de alta resistência - PP, DN= 63mm, preto, com união deslizante, com guarnição elastomérica de duplo lábio, ref. Duratop da Tecnofluidos ou equivalente</t>
  </si>
  <si>
    <t>O.25.000.000004</t>
  </si>
  <si>
    <t>Tubo de esgoto em polipropileno de alta resistência - PP, DN= 110mm, preto, com união deslizante, com guarnição elastomérica de duplo lábio, ref. Duratop da Tecnofluidos ou equivalente</t>
  </si>
  <si>
    <t>O.25.000.000020</t>
  </si>
  <si>
    <t>Joelho 45° em polipropileno de alta resistência - PP, preto, tipo PB, DN= 40mm, ref. Duratop da Tecnofluidos ou equivalente</t>
  </si>
  <si>
    <t>O.25.000.000021</t>
  </si>
  <si>
    <t>Joelho 45° em polipropileno de alta resistência - PP, preto, tipo PB, DN= 50mm, ref. Duratop da Tecnofluidos ou equivalente</t>
  </si>
  <si>
    <t>O.25.000.000022</t>
  </si>
  <si>
    <t>Joelho 45° em polipropileno de alta resistência - PP, preto, tipo PB, DN= 63mm, ref. Duratop da Tecnofluidos ou equivalente</t>
  </si>
  <si>
    <t>O.25.000.000023</t>
  </si>
  <si>
    <t>Joelho 45° em polipropileno de alta resistência - PP, preto, tipo PB, DN= 110mm, ref. Duratop da Tecnofluidos ou equivalente</t>
  </si>
  <si>
    <t>O.25.000.000047</t>
  </si>
  <si>
    <t>Joelho 87°30' em polipropileno de alta resistência - PP, preto, tipo PB, DN= 40mm, ref. Duratop da Tecnofluidos ou equivalente</t>
  </si>
  <si>
    <t>O.25.000.000048</t>
  </si>
  <si>
    <t>Joelho 87°30' em polipropileno de alta resistência - PP, preto, tipo PB, DN= 50mm, ref. Duratop da Tecnofluidos ou equivalente</t>
  </si>
  <si>
    <t>O.25.000.000049</t>
  </si>
  <si>
    <t>Joelho 87°30' em polipropileno de alta resistência - PP, preto, tipo PB, DN= 63mm, ref. Duratop da Tecnofluidos ou equivalente</t>
  </si>
  <si>
    <t>O.25.000.000074</t>
  </si>
  <si>
    <t>Joelho 87°30' em polipropileno de alta resistência - PP, preto, tipo PB, DN= 110mm, com base de apoio, ref. Duratop da Tecnofluidos ou equivalente</t>
  </si>
  <si>
    <t>O.25.000.000102</t>
  </si>
  <si>
    <t>Luva Dupla em polipropileno de alta resistência - PP, preto, DN= 40mm, ref. Duratop da Tecnofluidos ou equivalente</t>
  </si>
  <si>
    <t>O.25.000.000103</t>
  </si>
  <si>
    <t>Luva Dupla em polipropileno de alta resistência - PP, preto, DN= 50mm, ref. Duratop da Tecnofluidos ou equivalente</t>
  </si>
  <si>
    <t>O.25.000.000104</t>
  </si>
  <si>
    <t>Luva Dupla em polipropileno de alta resistência - PP, preto, DN= 63mm, ref. Duratop da Tecnofluidos ou equivalente</t>
  </si>
  <si>
    <t>O.25.000.000105</t>
  </si>
  <si>
    <t>Luva Dupla em polipropileno de alta resistência - PP, preto, DN= 110mm, ref. Duratop da Tecnofluidos ou equivalente</t>
  </si>
  <si>
    <t>O.25.000.000116</t>
  </si>
  <si>
    <t>Luva de Redução em polipropileno de alta resistência - PP, preto, tipo PB, DN= 50x40mm, ref. Duratop da Tecnofluidos ou equivalente</t>
  </si>
  <si>
    <t>O.25.000.000117</t>
  </si>
  <si>
    <t>Luva de Redução em polipropileno de alta resistência - PP, preto, tipo PB, DN= 63x50mm, ref. Duratop da Tecnofluidos ou equivalente</t>
  </si>
  <si>
    <t>O.25.000.000118</t>
  </si>
  <si>
    <t>Luva de Redução em polipropileno de alta resistência - PP, preto, tipo PB, DN= 110x63mm, ref. Duratop da Tecnofluidos ou equivalente</t>
  </si>
  <si>
    <t>O.25.000.000130</t>
  </si>
  <si>
    <t>Tê 87°30' simples em polipropileno de alta resistência, preto, tipo PB, DN= 50x50mm</t>
  </si>
  <si>
    <t>O.25.000.000131</t>
  </si>
  <si>
    <t>Tê 87°30' simples em polipropileno de alta resistência, preto, tipo PB, DN= 63x63mm</t>
  </si>
  <si>
    <t>O.25.000.000132</t>
  </si>
  <si>
    <t>Tê 87°30' simples em polipropileno de alta resistência, preto, tipo PB, DN= 110x110mm</t>
  </si>
  <si>
    <t>O.25.000.000137</t>
  </si>
  <si>
    <t>Tê 87°30' simples em polipropileno de alta resistência, preto, de redução, tipo PB, DN= 110x63mm</t>
  </si>
  <si>
    <t>O.25.000.000149</t>
  </si>
  <si>
    <t>Junção 45° simples em polipropileno de alta resistência, preto, tipo PB, DN= 50x50mm</t>
  </si>
  <si>
    <t>O.25.000.000150</t>
  </si>
  <si>
    <t>Junção 45° simples em polipropileno de alta resistência, preto, tipo PB, DN= 63x63mm</t>
  </si>
  <si>
    <t>O.25.000.000151</t>
  </si>
  <si>
    <t>Junção 45° simples em polipropileno de alta resistência, preto, tipo PB, DN= 110x110mm</t>
  </si>
  <si>
    <t>O.25.000.000159</t>
  </si>
  <si>
    <t>Junção 45° simples de redução, em polipropileno de alta resistência, preto, tipo PB, DN= 63x50mm</t>
  </si>
  <si>
    <t>O.25.000.000160</t>
  </si>
  <si>
    <t>Junção 45° simples de redução, em polipropileno de alta resistência, preto, tipo PB, DN= 110x50mm</t>
  </si>
  <si>
    <t>O.25.000.000161</t>
  </si>
  <si>
    <t>Junção 45° simples de redução, em polipropileno de alta resistência, preto, tipo PB, DN= 110x63mm</t>
  </si>
  <si>
    <t>O.25.000.000168</t>
  </si>
  <si>
    <t>Porta marco para grelha de 12x12 cm, em prolipropileno de alta resistência, preto</t>
  </si>
  <si>
    <t>O.25.000.000170</t>
  </si>
  <si>
    <t>Marco de bronze com grelha em aço inoxidável de 12x12cm</t>
  </si>
  <si>
    <t>O.25.000.000186</t>
  </si>
  <si>
    <t>Caixa sifonada de piso, DN 125, 1 saída de 63mm, em polipropileno de alta resistência preto</t>
  </si>
  <si>
    <t>O.25.000.000189</t>
  </si>
  <si>
    <t>Curva 87°30' em propileno de alta resistência, preto, tipo PB, DN= 110mm</t>
  </si>
  <si>
    <t>O.25.000.000197</t>
  </si>
  <si>
    <t>Prolongamento para caixa sifonada em propileno de alta resistência, preto, DN= 125mm</t>
  </si>
  <si>
    <t>O.25.000.000201</t>
  </si>
  <si>
    <t>Tampa tê de inspeção oval, em polipropileno de alta resistência preto (PxB) - DN 110mm</t>
  </si>
  <si>
    <t>O.25.000.000206</t>
  </si>
  <si>
    <t>Tampão de esgoto em polipropileno de alta resistência, preto (PxB) - DN 63mm</t>
  </si>
  <si>
    <t>O.25.000.000207</t>
  </si>
  <si>
    <t>Tampão de esgoto em polipropileno de alta resistência, preto (PxB) - DN 110mm</t>
  </si>
  <si>
    <t>O.25.000.000213</t>
  </si>
  <si>
    <t>Tê de inspeção 87°30' em polipropileno de alta resistência preto (PxB) - DN 110mm</t>
  </si>
  <si>
    <t>P.01.000.030501</t>
  </si>
  <si>
    <t>Monitor LCD e/ou LED de 21,5", resolução máxima 1920x1080@60Hz, pixel pitch: 0,24795x0,24795mm, sinal vídeo analógico / digital; ref. AOC ou equivalente</t>
  </si>
  <si>
    <t>P.01.000.034016</t>
  </si>
  <si>
    <t>Abertura para vão de luminária em forro de PVC modular</t>
  </si>
  <si>
    <t>P.02.000.042501</t>
  </si>
  <si>
    <t>Eletroduto de PVC rígido roscável de 20mm (1/2´)</t>
  </si>
  <si>
    <t>P.02.000.042502</t>
  </si>
  <si>
    <t>Eletroduto de PVC rígido roscável de 25mm (3/4´)</t>
  </si>
  <si>
    <t>P.02.000.042503</t>
  </si>
  <si>
    <t>Eletroduto de PVC rígido roscável de 32mm (1´)</t>
  </si>
  <si>
    <t>P.02.000.042504</t>
  </si>
  <si>
    <t>Eletroduto de PVC rígido roscável de 38mm (1 1/4´)</t>
  </si>
  <si>
    <t>P.02.000.042505</t>
  </si>
  <si>
    <t>Eletroduto de PVC rígido roscável de 50mm (1 1/2´)</t>
  </si>
  <si>
    <t>P.02.000.042506</t>
  </si>
  <si>
    <t>Eletroduto de PVC rígido roscável de 60mm (2´)</t>
  </si>
  <si>
    <t>P.02.000.042507</t>
  </si>
  <si>
    <t>Eletroduto de PVC rígido roscável de 75mm (2 1/2´)</t>
  </si>
  <si>
    <t>P.02.000.042508</t>
  </si>
  <si>
    <t>Eletroduto de PVC rígido roscável de 85mm (3´)</t>
  </si>
  <si>
    <t>P.02.000.042509</t>
  </si>
  <si>
    <t>Eletroduto de PVC rígido roscável de 110mm (4´)</t>
  </si>
  <si>
    <t>P.02.000.042511</t>
  </si>
  <si>
    <t>Eletroduto de PVC corrugado flexível leve amarelo, DE= 20mm</t>
  </si>
  <si>
    <t>P.02.000.042512</t>
  </si>
  <si>
    <t>Eletroduto de PVC corrugado flexível leve amarelo, DE= 25mm</t>
  </si>
  <si>
    <t>P.02.000.042513</t>
  </si>
  <si>
    <t>Eletroduto de PVC corrugado flexível leve amarelo, DE= 32mm</t>
  </si>
  <si>
    <t>P.02.000.042515</t>
  </si>
  <si>
    <t>Eletroduto de PVC corrugado flexível reforçado cinza, DE= 25mm</t>
  </si>
  <si>
    <t>P.02.000.042516</t>
  </si>
  <si>
    <t>Eletroduto de PVC corrugado flexível reforçado cinza, DE= 32mm</t>
  </si>
  <si>
    <t>P.02.000.045668</t>
  </si>
  <si>
    <t>Base com tampa em PVC para canaleta aparente de 4 vias, auto extinguível, na cor branca, 85 x 35 mm; ref. 1122-05/06-BR da Parcus ou equivalente</t>
  </si>
  <si>
    <t>P.02.000.045669</t>
  </si>
  <si>
    <t>Base com duas tampas curvas em PVC para canaleta aparente de 4 vias, auto extinguível, na cor branca, 120 x 35 mm; ref. 1122-04/02-BR da Parcus ou equivalente</t>
  </si>
  <si>
    <t>P.02.000.045670</t>
  </si>
  <si>
    <t>Base com duas tampas curvas em PVC para canaleta aparente de 3 vias, auto extinguível, na cor branca, 120 x 60 mm; ref. 1122-20/24-BR da Parcus ou equivalente</t>
  </si>
  <si>
    <t>P.02.000.045671</t>
  </si>
  <si>
    <t>Suporte de tomada RJ em PVC 60x35x150mm, com 03 furos 14.7x19.3mm, para canaleta aparente; ref. 1126-12-BR da Parcus ou equivalente</t>
  </si>
  <si>
    <t>P.02.000.045672</t>
  </si>
  <si>
    <t>Suporte de tomada RJ em PVC 85x35x150mm, com 03 furos 14.7x19.3mm, para canaleta aparente; ref. 1126-33-BR da Parcus ou equivalente</t>
  </si>
  <si>
    <t>P.02.000.045673</t>
  </si>
  <si>
    <t>Suporte de tomada RJ em PVC 60x60x150mm, com 03 furos 14.7x19.3mm, para canaleta aparente; ref. 1126-88-BR da Parcus ou equivalente</t>
  </si>
  <si>
    <t>P.02.000.045678</t>
  </si>
  <si>
    <t>Tomada simples de  sobrepor modelo universal 2P+T 10A 250V</t>
  </si>
  <si>
    <t>P.02.000.090792</t>
  </si>
  <si>
    <t>P.03.000.042621</t>
  </si>
  <si>
    <t>Duto corrugado tipo Kanalex-KL, DN= 30mm</t>
  </si>
  <si>
    <t>P.03.000.042622</t>
  </si>
  <si>
    <t>Duto corrugado tipo Kanalex-KL, DN= 50mm</t>
  </si>
  <si>
    <t>P.03.000.042623</t>
  </si>
  <si>
    <t>Duto corrugado tipo Kanalex-KL, DN= 75mm</t>
  </si>
  <si>
    <t>P.03.000.042624</t>
  </si>
  <si>
    <t>Duto corrugado tipo Kanalex-KL, DN= 100mm</t>
  </si>
  <si>
    <t>P.03.000.042625</t>
  </si>
  <si>
    <t>Duto corrugado tipo Kanalex-KL, DN= 125mm</t>
  </si>
  <si>
    <t>P.03.000.042626</t>
  </si>
  <si>
    <t>Duto corrugado tipo Kanalex-KL, DN= 150mm</t>
  </si>
  <si>
    <t>P.03.000.042627</t>
  </si>
  <si>
    <t>Duto corrugado tipo Kanalex-KL, DN= 40mm</t>
  </si>
  <si>
    <t>P.04.000.040119</t>
  </si>
  <si>
    <t>Poste telecônico reto em aço galvanizado a fogo, altura de 4 m, com base, chumbadores, porcas e arruelas</t>
  </si>
  <si>
    <t>P.04.000.040123</t>
  </si>
  <si>
    <t>Poste telecônico em aço SAE 1010/1020 galvanizado a fogo, com espera para uma luminária, altura de 3 m</t>
  </si>
  <si>
    <t>P.04.000.040128</t>
  </si>
  <si>
    <t>Poste telecônico curvo em aço SAE 1010/1020 galvanizado a fogo, altura de 8 m</t>
  </si>
  <si>
    <t>P.04.000.041334</t>
  </si>
  <si>
    <t>Coluna semafórica simples 101 mm x 6 m</t>
  </si>
  <si>
    <t>P.04.000.042081</t>
  </si>
  <si>
    <t>Tirante/vergalhão aço rosca total de 5/16´</t>
  </si>
  <si>
    <t>P.04.000.042082</t>
  </si>
  <si>
    <t>Vergalhão liso de aço galvanizado a fogo RE-BAR 3/8´; ref. TEL 760 da Termotécnica, PRT-680 da Paratec, PK-1251 da Paraklin ou equivalente</t>
  </si>
  <si>
    <t>P.04.000.042105</t>
  </si>
  <si>
    <t>Eletroduto galvanizado conforme NBR13057 -  1 1/2´ com acessórios</t>
  </si>
  <si>
    <t>P.04.000.042107</t>
  </si>
  <si>
    <t>Eletroduto com costura galvanizado eletroliticamente, DN = 2 1/2´ - NBR13057</t>
  </si>
  <si>
    <t>P.04.000.042114</t>
  </si>
  <si>
    <t>Eletroduto com costura galvanizado por imersão a quente, DN = 3/4´- NBR6323</t>
  </si>
  <si>
    <t>P.04.000.042115</t>
  </si>
  <si>
    <t>Eletroduto com costura galvanizado por imersão a quente, DN = 1´ - NBR6323</t>
  </si>
  <si>
    <t>P.04.000.042116</t>
  </si>
  <si>
    <t>Eletroduto com costura galvanizado por imersão a quente, DN = 1 1/4´ - NBR6323</t>
  </si>
  <si>
    <t>P.04.000.042117</t>
  </si>
  <si>
    <t>Eletroduto com costura galvanizado por imersão a quente, DN = 1 1/2´ - NBR6323</t>
  </si>
  <si>
    <t>P.04.000.042118</t>
  </si>
  <si>
    <t>Eletroduto com costura galvanizado por imersão a quente, DN = 2´ - NBR6323</t>
  </si>
  <si>
    <t>P.04.000.042119</t>
  </si>
  <si>
    <t>Eletroduto com costura galvanizado por imersão a quente, DN = 2 1/2´ - NBR6323</t>
  </si>
  <si>
    <t>P.04.000.042120</t>
  </si>
  <si>
    <t>Eletroduto com costura galvanizado por imersão a quente, DN = 3´ - NBR6323</t>
  </si>
  <si>
    <t>P.04.000.042121</t>
  </si>
  <si>
    <t>Eletroduto com costura galvanizado por imersão a quente, DN = 4´ - NBR6323</t>
  </si>
  <si>
    <t>P.04.000.042122</t>
  </si>
  <si>
    <t>Eletroduto galvanizado por imersão a quente, DN = 1/2´ - NBR5598</t>
  </si>
  <si>
    <t>P.04.000.042123</t>
  </si>
  <si>
    <t>Eletroduto galvanizado por imersão a quente, DN = 3/4´ - NBR5598</t>
  </si>
  <si>
    <t>P.04.000.042124</t>
  </si>
  <si>
    <t>Eletroduto galvanizado por imersão a quente, DN = 1´ - NBR5598</t>
  </si>
  <si>
    <t>P.04.000.042125</t>
  </si>
  <si>
    <t>Eletroduto galvanizado por imersão a quente, DN = 1 1/4´ - NBR5598</t>
  </si>
  <si>
    <t>P.04.000.042126</t>
  </si>
  <si>
    <t>Eletroduto galvanizado por imersão a quente, DN = 1 1/2´ - NBR5598</t>
  </si>
  <si>
    <t>P.04.000.042127</t>
  </si>
  <si>
    <t>Eletroduto galvanizado por imersão a quente, DN = 2´ - NBR5598</t>
  </si>
  <si>
    <t>P.04.000.042128</t>
  </si>
  <si>
    <t>Eletroduto galvanizado por imersão a quente, DN = 2 1/2´ - NBR5598</t>
  </si>
  <si>
    <t>P.04.000.042129</t>
  </si>
  <si>
    <t>Eletroduto galvanizado por imersão a quente, DN = 3´ - NBR5598</t>
  </si>
  <si>
    <t>P.04.000.042130</t>
  </si>
  <si>
    <t>Eletroduto galvanizado por imersão a quente, DN = 4´ - NBR5598</t>
  </si>
  <si>
    <t>P.04.000.042171</t>
  </si>
  <si>
    <t>Eletroduto com costura galvanizado eletroliticamente, DN = 3/4´ - NBR13057</t>
  </si>
  <si>
    <t>P.04.000.042172</t>
  </si>
  <si>
    <t>Eletroduto com costura galvanizado eletroliticamente, DN = 1´ - NBR13057</t>
  </si>
  <si>
    <t>P.04.000.042173</t>
  </si>
  <si>
    <t>Eletroduto com costura galvanizado eletroliticamente, DN = 1 1/4´ - NBR13057</t>
  </si>
  <si>
    <t>P.04.000.042174</t>
  </si>
  <si>
    <t>Eletroduto com costura galvanizado eletroliticamente, DN = 4´ - NBR13057</t>
  </si>
  <si>
    <t>P.04.000.042175</t>
  </si>
  <si>
    <t>Eletroduto com costura galvanizado eletroliticamente, DN = 2´ - NBR13057</t>
  </si>
  <si>
    <t>P.04.000.042177</t>
  </si>
  <si>
    <t>Eletroduto com costura galvanizado eletroliticamente, DN = 3´ - NBR13057</t>
  </si>
  <si>
    <t>P.04.000.042221</t>
  </si>
  <si>
    <t>Luva de redução galvanizado de 2´ x 3/4´ - para-raio tipo Franklin</t>
  </si>
  <si>
    <t>P.04.000.042222</t>
  </si>
  <si>
    <t>Niple duplo galvanizado de 2´</t>
  </si>
  <si>
    <t>P.04.000.042289</t>
  </si>
  <si>
    <t>Sapata externa com 4 furos em aço zincado, de 38x38mm; ref. Atilux, Perfil Lider ou equivalente</t>
  </si>
  <si>
    <t>P.04.000.042290</t>
  </si>
  <si>
    <t>Perfilado perfurado 38 x 38 mm em chapa 14 pré-zincada</t>
  </si>
  <si>
    <t>P.04.000.042291</t>
  </si>
  <si>
    <t>Saída final de 3/4´ para perfilado</t>
  </si>
  <si>
    <t>P.04.000.042293</t>
  </si>
  <si>
    <t>Saída superior de 3/4´ para perfilado</t>
  </si>
  <si>
    <t>P.04.000.042301</t>
  </si>
  <si>
    <t>Tirante/vergalhão aço rosca total de 3/8´</t>
  </si>
  <si>
    <t>P.04.000.045069</t>
  </si>
  <si>
    <t>Curva horizontal dupla 90°, interna ou externa, tampa pintura eletrostática, 2x30x40 / 2x40x40 / 2x30x60mm, ref. 3143/3140PT Real Perfil ou equivalente</t>
  </si>
  <si>
    <t>P.04.000.045072</t>
  </si>
  <si>
    <t>Curva vertical tripla de 90°, interna/externa, e tampa pintura eletrostática, 3x30x40 / 3x40x40 3x30x60mm, ref. 3126/3129PT Real Perfil ou equivalente</t>
  </si>
  <si>
    <t>P.04.000.045571</t>
  </si>
  <si>
    <t>Terminal de fechamento ou mata junta com pintura eletrostática para rodapé triplo, 3x30x40 / 3x40x40 / 3x30x60mm, referência 3138PT Real Perfil ou equivalente</t>
  </si>
  <si>
    <t>P.04.000.046029</t>
  </si>
  <si>
    <t>P.04.000.046055</t>
  </si>
  <si>
    <t>Cruzeta reforçada em ferro galvanizado para fixação de 2 projetores, externa</t>
  </si>
  <si>
    <t>P.04.000.048553</t>
  </si>
  <si>
    <t>Braçadeiras aço galvanizado para tubo de 1´ a 4´</t>
  </si>
  <si>
    <t>P.04.000.049470</t>
  </si>
  <si>
    <t>Perfilado perfurado 38 x 76 mm em chapa 14 pré-zincada</t>
  </si>
  <si>
    <t>P.04.000.049471</t>
  </si>
  <si>
    <t>Perfilado liso 38 x 38 mm em chapa pré-zincada</t>
  </si>
  <si>
    <t>P.04.000.049472</t>
  </si>
  <si>
    <t>Tampa pressão para perfilado perfurado de 38 x 38 mm em chapa pré-zincada</t>
  </si>
  <si>
    <t>P.04.000.049511</t>
  </si>
  <si>
    <t>Mão francesa plana de 32x5x619mm</t>
  </si>
  <si>
    <t>P.04.000.049512</t>
  </si>
  <si>
    <t>Mão francesa de 1/4´ x 32 x 700 mm</t>
  </si>
  <si>
    <t>P.04.000.049513</t>
  </si>
  <si>
    <t>Mão francesa perfilada de 5x38x38x993mm</t>
  </si>
  <si>
    <t>P.04.000.049671</t>
  </si>
  <si>
    <t>Niple cônico galvanizado a fogo de 2 1/2´</t>
  </si>
  <si>
    <t>P.04.000.062038</t>
  </si>
  <si>
    <t>Eletrocalha lisa galvanizada a fogo, 50x50mm</t>
  </si>
  <si>
    <t>P.04.000.062039</t>
  </si>
  <si>
    <t>Eletrocalha lisa galvanizada a fogo, 100x50mm</t>
  </si>
  <si>
    <t>P.04.000.062040</t>
  </si>
  <si>
    <t>Eletrocalha lisa galvanizada a fogo, 150x50mm</t>
  </si>
  <si>
    <t>P.04.000.062041</t>
  </si>
  <si>
    <t>Eletrocalha lisa galvanizada a fogo, 200x50mm</t>
  </si>
  <si>
    <t>P.04.000.062042</t>
  </si>
  <si>
    <t>Eletrocalha lisa galvanizada a fogo, 250x50mm</t>
  </si>
  <si>
    <t>P.04.000.062055</t>
  </si>
  <si>
    <t>Eletrocalha lisa galvanizada a fogo, 100x100mm</t>
  </si>
  <si>
    <t>P.04.000.062056</t>
  </si>
  <si>
    <t>Eletrocalha lisa galvanizada a fogo, 150x100mm</t>
  </si>
  <si>
    <t>P.04.000.062057</t>
  </si>
  <si>
    <t>Eletrocalha lisa galvanizada a fogo, 200x100mm</t>
  </si>
  <si>
    <t>P.04.000.062058</t>
  </si>
  <si>
    <t>Eletrocalha lisa galvanizada a fogo, 250x100mm</t>
  </si>
  <si>
    <t>P.04.000.062059</t>
  </si>
  <si>
    <t>Eletrocalha lisa galvanizada a fogo, 300x100mm</t>
  </si>
  <si>
    <t>P.04.000.062060</t>
  </si>
  <si>
    <t>Eletrocalha lisa galvanizada a fogo, 400x100mm</t>
  </si>
  <si>
    <t>P.04.000.062115</t>
  </si>
  <si>
    <t>Eletrocalha perfurada galvanizada a fogo, 100x50mm</t>
  </si>
  <si>
    <t>P.04.000.062116</t>
  </si>
  <si>
    <t>Eletrocalha perfurada galvanizada a fogo, 150x50mm</t>
  </si>
  <si>
    <t>P.04.000.062117</t>
  </si>
  <si>
    <t>Eletrocalha perfurada galvanizada a fogo, 200x50mm</t>
  </si>
  <si>
    <t>P.04.000.062118</t>
  </si>
  <si>
    <t>Eletrocalha perfurada galvanizada a fogo, 250x50mm</t>
  </si>
  <si>
    <t>P.04.000.062132</t>
  </si>
  <si>
    <t>Eletrocalha perfurada galvanizada a fogo, 150x100mm</t>
  </si>
  <si>
    <t>P.04.000.062133</t>
  </si>
  <si>
    <t>Eletrocalha perfurada galvanizada a fogo, 200x100mm</t>
  </si>
  <si>
    <t>P.04.000.062134</t>
  </si>
  <si>
    <t>Eletrocalha perfurada galvanizada a fogo, 250x100mm</t>
  </si>
  <si>
    <t>P.04.000.062135</t>
  </si>
  <si>
    <t>Eletrocalha perfurada galvanizada a fogo, 300x100mm</t>
  </si>
  <si>
    <t>P.04.000.062136</t>
  </si>
  <si>
    <t>Eletrocalha perfurada galvanizada a fogo, 400x100mm</t>
  </si>
  <si>
    <t>P.04.000.062170</t>
  </si>
  <si>
    <t>Tampa encaixe para eletrocalha galvanizada a fogo, L= 50mm</t>
  </si>
  <si>
    <t>P.04.000.062171</t>
  </si>
  <si>
    <t>Tampa encaixe para eletrocalha galvanizada a fogo, L= 100mm</t>
  </si>
  <si>
    <t>P.04.000.062172</t>
  </si>
  <si>
    <t>Tampa encaixe para eletrocalha galvanizada a fogo, L= 150mm</t>
  </si>
  <si>
    <t>P.04.000.062173</t>
  </si>
  <si>
    <t>Tampa encaixe para eletrocalha galvanizada a fogo, L= 200mm</t>
  </si>
  <si>
    <t>P.04.000.062174</t>
  </si>
  <si>
    <t>Tampa encaixe para eletrocalha galvanizada a fogo, L= 250mm</t>
  </si>
  <si>
    <t>P.04.000.062175</t>
  </si>
  <si>
    <t>Tampa encaixe para eletrocalha galvanizada a fogo, L= 300mm</t>
  </si>
  <si>
    <t>P.04.000.062176</t>
  </si>
  <si>
    <t>Tampa encaixe para eletrocalha galvanizada a fogo, L= 400mm</t>
  </si>
  <si>
    <t>P.04.000.062187</t>
  </si>
  <si>
    <t>Suporte para eletrocalha galvanizado a fogo, 50x50mm</t>
  </si>
  <si>
    <t>P.04.000.062188</t>
  </si>
  <si>
    <t>Suporte para eletrocalha galvanizado a fogo, 100x50mm</t>
  </si>
  <si>
    <t>P.04.000.062189</t>
  </si>
  <si>
    <t>Suporte para eletrocalha galvanizado a fogo, 150x50mm</t>
  </si>
  <si>
    <t>P.04.000.062190</t>
  </si>
  <si>
    <t>Suporte para eletrocalha galvanizado a fogo, 200x50mm</t>
  </si>
  <si>
    <t>P.04.000.062191</t>
  </si>
  <si>
    <t>Suporte para eletrocalha galvanizado a fogo, 250x50mm</t>
  </si>
  <si>
    <t>P.04.000.062192</t>
  </si>
  <si>
    <t>Suporte para eletrocalha galvanizado a fogo, 300x50mm</t>
  </si>
  <si>
    <t>P.04.000.062196</t>
  </si>
  <si>
    <t>Suporte para eletrocalha galvanizada a fogo, 100x100mm</t>
  </si>
  <si>
    <t>P.04.000.062197</t>
  </si>
  <si>
    <t>Suporte para eletrocalha galvanizada a fogo, 150x100mm</t>
  </si>
  <si>
    <t>P.04.000.062198</t>
  </si>
  <si>
    <t>Suporte para eletrocalha galvanizada a fogo, 200x100mm</t>
  </si>
  <si>
    <t>P.04.000.062199</t>
  </si>
  <si>
    <t>Suporte para eletrocalha galvanizada a fogo, 250x100mm</t>
  </si>
  <si>
    <t>P.04.000.062201</t>
  </si>
  <si>
    <t>Suporte para eletrocalha galvanizada a fogo, 300x100mm</t>
  </si>
  <si>
    <t>P.04.000.062202</t>
  </si>
  <si>
    <t>Suporte para eletrocalha galvanizada a fogo, 400x100mm</t>
  </si>
  <si>
    <t>P.04.000.062205</t>
  </si>
  <si>
    <t>Mão francesa simples, galvanizada a fogo, L= 200mm</t>
  </si>
  <si>
    <t>P.04.000.062206</t>
  </si>
  <si>
    <t>Mão francesa simples, galvanizada a fogo, L= 300mm</t>
  </si>
  <si>
    <t>P.04.000.062207</t>
  </si>
  <si>
    <t>Mão francesa simples, galvanizada a fogo, L= 400mm</t>
  </si>
  <si>
    <t>P.04.000.062208</t>
  </si>
  <si>
    <t>Mão francesa simples, galvanizada a fogo, L= 500mm</t>
  </si>
  <si>
    <t>P.04.000.062210</t>
  </si>
  <si>
    <t>Mão francesa dupla, galvanizada a fogo, L= 300mm</t>
  </si>
  <si>
    <t>P.04.000.062211</t>
  </si>
  <si>
    <t>Mão francesa dupla, galvanizada a fogo, L= 400mm</t>
  </si>
  <si>
    <t>P.04.000.062212</t>
  </si>
  <si>
    <t>Mão francesa dupla, galvanizada a fogo, L= 500mm</t>
  </si>
  <si>
    <t>P.04.000.062229</t>
  </si>
  <si>
    <t>Rodapé técnico duplo com tampa pintura eletrostática, 2x30x40 / 2x40x40 / 2x30x60mm</t>
  </si>
  <si>
    <t>P.04.000.062230</t>
  </si>
  <si>
    <t>Curva vertical dupla de 90°, interna ou externa, e tampa pintura eletrostática, 2x30x40 / 2x40x40 / 2x30x60mm, ref. 3128PT Real Perfil ou equivalente</t>
  </si>
  <si>
    <t>P.04.000.062231</t>
  </si>
  <si>
    <t>Terminal de fechamento ou mata junta com pintura eletrostática, para rodapé duplo, 2x30x40 / 2x40x40 / 2x30x60mm, ref. 3137PT Real Perfil ou equivalente</t>
  </si>
  <si>
    <t>P.04.000.062251</t>
  </si>
  <si>
    <t>Saída lateral de eletrocalha para eletroduto de 1´</t>
  </si>
  <si>
    <t>P.04.000.062801</t>
  </si>
  <si>
    <t>Rodapé técnico triplo com tampa e pintura eletrostática de 3x30x40 / 3x40x40 / 3x30x60mm, ref. 3109PT Real Perfil ou equivalente</t>
  </si>
  <si>
    <t>P.04.000.062803</t>
  </si>
  <si>
    <t>Curva horizontal tripla 90°, interna/externa, tampa e pintura eletrostática de 3x30x40 / 3x40x40 / 3x30x60mm, ref. 3144/3141PT Real Perfil ou equivalente</t>
  </si>
  <si>
    <t>P.04.000.062805</t>
  </si>
  <si>
    <t>Tê triplo de 90° horizontal ou vertical, tampa com pintura eletrostática de 3x30x40 / 3x40x40 / 3x30x60mm, ref. 3135/3132PT Real Perfil ou equivalente</t>
  </si>
  <si>
    <t>P.04.000.062806</t>
  </si>
  <si>
    <t>Caixa para tomada de energia, RJ, sobressalente, interruptor ou espelho de 3x30x40 / 3x40x40 / 3x30x60mm, ref. 3114PT Real Perfil ou equivalente</t>
  </si>
  <si>
    <t>P.04.000.065641</t>
  </si>
  <si>
    <t>Leito para cabos, tipo pesado, em aço galvanizado a fogo, de 300 x 100 mm, ref. Mopa ou equivalente</t>
  </si>
  <si>
    <t>P.04.000.065643</t>
  </si>
  <si>
    <t>Leito para cabos, tipo pesado, em aço galvanizado a fogo, de 800 x 100 mm, ref. 156-0800 Mopa ou equivalente</t>
  </si>
  <si>
    <t>P.04.000.065644</t>
  </si>
  <si>
    <t>Leito para cabos, tipo pesado, em aço galvanizado a fogo, de 500 x 100 mm, ref. 156-0500-Z Mopa ou equivalente</t>
  </si>
  <si>
    <t>P.04.000.065649</t>
  </si>
  <si>
    <t>Leito para cabos, tipo pesado, em aço galvanizado a fogo, de 400 x 100 mm, ref. 156-0400-F da Mopa ou equivalente</t>
  </si>
  <si>
    <t>P.04.000.065650</t>
  </si>
  <si>
    <t>Leito para cabos, tipo pesado, em aço galvanizado a fogo, de 600 x 100 mm, ref. 156-0600-F da Mopa ou equivalente</t>
  </si>
  <si>
    <t>P.04.000.090407</t>
  </si>
  <si>
    <t>Terminal para vergalhão diâmetro 3/8´</t>
  </si>
  <si>
    <t>P.04.000.090614</t>
  </si>
  <si>
    <t>Caixa de passagem pré-zincado a frio, com tampa quadrada 4 x 25 x 70 mm, para duto de piso</t>
  </si>
  <si>
    <t>P.04.000.090728</t>
  </si>
  <si>
    <t>Poste telecônico em aço SAE 1010/1020 galvanizado a fogo, com espera para duas luminárias, altura de 3 m</t>
  </si>
  <si>
    <t>P.04.000.091215</t>
  </si>
  <si>
    <t>Duto modulado, pré-zincado, com luvas deslocadas 3 x 25 x 70 mm</t>
  </si>
  <si>
    <t>P.04.000.091216</t>
  </si>
  <si>
    <t>Duto liso pré-zincado a fogo/galvanizado de 2 x 25 x 70 mm, ref. Mopa ou equivalente</t>
  </si>
  <si>
    <t>P.04.000.091217</t>
  </si>
  <si>
    <t>Tirante/vergalhão aço rosca total de 1/4´</t>
  </si>
  <si>
    <t>P.04.000.091220</t>
  </si>
  <si>
    <t>Saída lateral simples de 3/4" para perfilado, referência VL 2/3.00.00.33PZ da Valeman, Real Perfil ou equivalente</t>
  </si>
  <si>
    <t>P.04.000.091361</t>
  </si>
  <si>
    <t>Poste telecônico reto em aço SAE 1010/1020 galvanizado a fogo, altura de 10 m</t>
  </si>
  <si>
    <t>P.04.000.091362</t>
  </si>
  <si>
    <t>Poste telecônico reto em aço SAE 1010/1020 galvanizado a fogo, altura de 8 m</t>
  </si>
  <si>
    <t>P.04.000.092151</t>
  </si>
  <si>
    <t>Cruzeta em aço carbono galvanizado, perfil ´L´, dimensões 8 x 75 x 2500 mm, ref. 400238 Romagnole ou equivalente</t>
  </si>
  <si>
    <t>P.04.000.092157</t>
  </si>
  <si>
    <t>P.04.000.092158</t>
  </si>
  <si>
    <t>P.04.000.092160</t>
  </si>
  <si>
    <t>P.04.000.092172</t>
  </si>
  <si>
    <t>Poste telecônico reto em aço SAE 1010/1020 galvanizado a fogo, altura de 6 m</t>
  </si>
  <si>
    <t>P.04.000.092173</t>
  </si>
  <si>
    <t>Coluna (P-57) para fixação de placa de orientação, com braço projetado de 3" x 3,15 m e coluna de 4" x 5,25 m x 3,75 mm, para placas com área até 2 m²</t>
  </si>
  <si>
    <t>P.04.000.092174</t>
  </si>
  <si>
    <t>Coluna simples (P-51) para fixação de placa de orientação, de 4" x 5 m x 3,75 mm</t>
  </si>
  <si>
    <t>P.04.000.092175</t>
  </si>
  <si>
    <t>Coluna dupla (P-53) para fixação de placa de orientação, de 4" x 5 m x 3,75 mm</t>
  </si>
  <si>
    <t>P.04.000.092176</t>
  </si>
  <si>
    <t>Coluna simples (PP), de 2 1/2" x 3,6 m</t>
  </si>
  <si>
    <t>P.04.000.092177</t>
  </si>
  <si>
    <t>Braço (P-55) para fixação em poste de concreto, de 3" x 2,7 m x 3,75 mm</t>
  </si>
  <si>
    <t>P.04.000.092178</t>
  </si>
  <si>
    <t>Grupo focal para pedestre com lâmpada LED, em policarbonato, com suportes de fixação e contador regressivo no verde, completo</t>
  </si>
  <si>
    <t>P.04.000.092179</t>
  </si>
  <si>
    <t>Grupo focal veicular com lâmpada LED, em policarbonato, com anteparo e suportes de fixação, completo</t>
  </si>
  <si>
    <t>P.05.000.092162</t>
  </si>
  <si>
    <t>Terminal em latão zincado macho fixo, 3/4´ ref. CMZL da SPTF ou equivalente</t>
  </si>
  <si>
    <t>P.05.000.092163</t>
  </si>
  <si>
    <t>Terminal em latão zincado macho fixo, 1´ ref. CMZL da SPTF ou equivalente</t>
  </si>
  <si>
    <t>P.05.000.092165</t>
  </si>
  <si>
    <t>Terminal em latão zincado macho fixo, 2´ ref. CMZL da SPTF ou equivalente</t>
  </si>
  <si>
    <t>P.05.000.092167</t>
  </si>
  <si>
    <t>Terminal em latão zincado macho giratório 3/4´ ref. CMZGL da SPTF ou equivalente</t>
  </si>
  <si>
    <t>P.05.000.092168</t>
  </si>
  <si>
    <t>Terminal em latão zincado macho giratório 1´ ref. CMZGL da SPTF ou equivalente</t>
  </si>
  <si>
    <t>P.05.000.092170</t>
  </si>
  <si>
    <t>Terminal em latão zincado macho giratório 2´ ref. CMZGL da SPTF ou equivalente</t>
  </si>
  <si>
    <t>P.07.000.042247</t>
  </si>
  <si>
    <t>Caixa de inspeção suspensa</t>
  </si>
  <si>
    <t>P.07.000.045033</t>
  </si>
  <si>
    <t>P.07.000.045056</t>
  </si>
  <si>
    <t>Condulete de 4´, corpo e tampa em alumínio injetado ou fundido, com saídas laterais em vários modelos, com ou sem rosca; ref. Daisa, Conduletzel da Wetzel ou equivalente</t>
  </si>
  <si>
    <t>P.07.000.045057</t>
  </si>
  <si>
    <t>Condulete de 1´, corpo e tampa em alumínio injetado ou fundido, com saídas laterais em vários modelos, com ou sem rosca; ref. Daisa, Conduletzel da Wetzel ou equivalente</t>
  </si>
  <si>
    <t>P.07.000.045059</t>
  </si>
  <si>
    <t>Condulete de 1 1/2´, corpo e tampa em alumínio injetado ou fundido, com saídas laterais em vários modelos, com ou sem rosca; ref. Daisa, Conduletzel da Wetzel ou equivalente</t>
  </si>
  <si>
    <t>P.07.000.045060</t>
  </si>
  <si>
    <t>Condulete de 2´, corpo e tampa em alumínio injetado ou fundido, com saídas laterais em vários modelos, com ou sem rosca; ref. Daisa, Conduletzel da Wetzel ou equivalente</t>
  </si>
  <si>
    <t>P.07.000.045061</t>
  </si>
  <si>
    <t>Condulete de 2 1/2´, corpo e tampa em alumínio injetado ou fundido, com saídas laterais em vários modelos, com ou sem rosca; ref. Daisa, Conduletzel da Wetzel ou equivalente</t>
  </si>
  <si>
    <t>P.07.000.045062</t>
  </si>
  <si>
    <t>Condulete de 3´, corpo e tampa em alumínio injetado ou fundido, com saídas laterais em vários modelos, com ou sem rosca; ref. Conduletzel da Wetzel ou equivalente</t>
  </si>
  <si>
    <t>P.07.000.045074</t>
  </si>
  <si>
    <t>Caixa de passagem em alumínio fundido, à prova de tempo e tampa, de 100x100mm, profundidade mínima 60mm, ref. CDT10 da Daisa, Cemar ou equivalente</t>
  </si>
  <si>
    <t>P.07.000.045075</t>
  </si>
  <si>
    <t>Caixa de passagem em alumínio fundido, à prova de tempo e tampa, de 200x200mm, profundidade mínima 100mm, ref. CDT20 da Daisa, Cemar ou equivalente</t>
  </si>
  <si>
    <t>P.07.000.045076</t>
  </si>
  <si>
    <t>Caixa de passagem em alumínio fundido, à prova de tempo e tampa, de 300x300mm, profundidade mínima 120mm, ref. CDT30 da Daisa, Cemar ou equivalente</t>
  </si>
  <si>
    <t>P.07.000.045105</t>
  </si>
  <si>
    <t>P.07.000.045151</t>
  </si>
  <si>
    <t>Condulete de 3/4", corpo e tampa em alumínio injetado ou fundido, vários modelos; ref. 56200/082 / 56104/042 / 56114/006 Tramontina, LR / LB 3/4" / LLSR-15 Wetzel ou equivalente</t>
  </si>
  <si>
    <t>P.07.000.045154</t>
  </si>
  <si>
    <t>Condulete de 1 1/4´, corpo e tampa em alumínio injetado ou fundido, com saídas laterais em vários modelos, com ou sem rosca; ref. Daisa, Conduletzel da Wetzel ou equivalente</t>
  </si>
  <si>
    <t>P.07.000.049585</t>
  </si>
  <si>
    <t>Bucha para passagem interna/externa com isolação para 15 kV</t>
  </si>
  <si>
    <t>P.07.000.049586</t>
  </si>
  <si>
    <t>Pino para isolador rígido</t>
  </si>
  <si>
    <t>P.07.000.049662</t>
  </si>
  <si>
    <t>Suporte para 4 isoladores de baixa tensão</t>
  </si>
  <si>
    <t>P.07.000.049663</t>
  </si>
  <si>
    <t>Suporte para 3 isoladores de baixa tensão</t>
  </si>
  <si>
    <t>P.07.000.049664</t>
  </si>
  <si>
    <t>Suporte para 2 isoladores de baixa tensão</t>
  </si>
  <si>
    <t>P.07.000.049667</t>
  </si>
  <si>
    <t>Suporte para 1 isolador de baixa tensão</t>
  </si>
  <si>
    <t>P.07.000.090724</t>
  </si>
  <si>
    <t>Caixa em alumínio fundido à prova de tempo, umidade, gases, vapores e pó, tampa plana, de 150x150x150mm, ref. ER12P/8 Telbra, CX/R12 P-8 Conex, ou equivalente</t>
  </si>
  <si>
    <t>P.07.000.090860</t>
  </si>
  <si>
    <t>P.07.000.090886</t>
  </si>
  <si>
    <t>P.07.000.091211</t>
  </si>
  <si>
    <t>Caixa de derivação pré-zincado a frio/galvanização eletrolítica, de 12 x 25 x 70 mm com cruzadora</t>
  </si>
  <si>
    <t>P.07.000.091214</t>
  </si>
  <si>
    <t>Caixa de derivação pré-zincado a frio/galvanização eletrolítica, de 16 x 25 x 70 mm com cruzadora</t>
  </si>
  <si>
    <t>P.07.000.091368</t>
  </si>
  <si>
    <t>Tampa para caixa R2 padrão Telebras</t>
  </si>
  <si>
    <t>P.07.000.091396</t>
  </si>
  <si>
    <t>Tampa para caixa R1 padrão Telebras</t>
  </si>
  <si>
    <t>P.07.000.092150</t>
  </si>
  <si>
    <t>Conector prensa-cabo 3/4´ em alumínio, ref. PC15-C12/C20 da Wetzel ou equivalente</t>
  </si>
  <si>
    <t>P.08.000.043012</t>
  </si>
  <si>
    <t>Cabo de cobre flexível de 1,5 mm², isolamento 750V - isolação PVC 70°C</t>
  </si>
  <si>
    <t>P.08.000.043014</t>
  </si>
  <si>
    <t>Cabo cobre nu tempera mole classe 2, de 10mm²</t>
  </si>
  <si>
    <t>P.08.000.043025</t>
  </si>
  <si>
    <t>Cabo de cobre flexível de 2,5 mm², isolamento 750V - isolação PVC 70°C</t>
  </si>
  <si>
    <t>P.08.000.043026</t>
  </si>
  <si>
    <t>Cabo de cobre flexível de 4 mm², isolamento 750V - isolação PVC 70°C</t>
  </si>
  <si>
    <t>P.08.000.043027</t>
  </si>
  <si>
    <t>Cabo de cobre flexível de 6 mm², isolamento 750V - isolação PVC 70°C</t>
  </si>
  <si>
    <t>P.08.000.043037</t>
  </si>
  <si>
    <t>Cabo de cobre unipolar, média tensão 35 mm², encordoamento classe 2, isolamento 15/25 kV, EPR 105 - NBR 7286, ref. CB Epronax Slim 105 Induscabos ou equivalente</t>
  </si>
  <si>
    <t>P.08.000.043038</t>
  </si>
  <si>
    <t>Cabo cobre nu tempera mole classe 2, de 16mm²</t>
  </si>
  <si>
    <t>P.08.000.043039</t>
  </si>
  <si>
    <t>Cabo de cobre unipolar, média tensão 50 mm², encordoamento classe 2, isolamento 15/25 kV, EPR 105 - NBR 7286, ref. CB Epronax Slim 105 Induscabos ou equivalente</t>
  </si>
  <si>
    <t>P.08.000.043040</t>
  </si>
  <si>
    <t>Cabo cobre nu tempera mole classe 2, de 25mm²</t>
  </si>
  <si>
    <t>P.08.000.043041</t>
  </si>
  <si>
    <t>Cabo cobre nu tempera mole classe 2, de 35mm²</t>
  </si>
  <si>
    <t>P.08.000.043043</t>
  </si>
  <si>
    <t>Cabo de cobre flexível de 3 x 1,5 mm², isolamento 0,6/1kV - isolação HEPR 90°C</t>
  </si>
  <si>
    <t>P.08.000.043044</t>
  </si>
  <si>
    <t>Cabo de cobre flexível de 3 x 2,5 mm², isolamento 0,6/1kV - isolação HEPR 90°C</t>
  </si>
  <si>
    <t>P.08.000.043047</t>
  </si>
  <si>
    <t>Cabo de cobre flexível de 3 x 10 mm², isolamento 0,6/1kV - isolação HEPR 90°C</t>
  </si>
  <si>
    <t>P.08.000.043050</t>
  </si>
  <si>
    <t>Cabo cobre flexível 1,5 mm², isolamento 0,6/1 kV - isolação HEPR 90°C, têmpera mole, classe 5, baixa emissão fumaça, ref. Cabos Afumex Prysmian; Atexsil Sil; ToxFree Conduspar ou equivalente</t>
  </si>
  <si>
    <t>P.08.000.043051</t>
  </si>
  <si>
    <t>Cabo cobre flexível 2,5 mm², isolamento 0,6/1 kV - isolação HEPR 90°C, têmpera mole, classe 5, baixa emissão fumaça, ref. Cabos Afumex Prysmian; Atexsil Sil; ToxFree Conduspar ou equivalente</t>
  </si>
  <si>
    <t>P.08.000.043052</t>
  </si>
  <si>
    <t>Cabo cobre flexível 4 mm², isolamento 0,6/1 kV - isolação HEPR 90°C, têmpera mole, classe 5, baixa emissão fumaça, ref. Cabos Afumex Prysmian; Atexsil Sil; ToxFree Conduspar ou equivalente</t>
  </si>
  <si>
    <t>P.08.000.043053</t>
  </si>
  <si>
    <t>Cabo cobre flexível 6 mm², isolamento 0,6/1 kV - isolação HEPR 90°C, têmpera mole, classe 5, baixa emissão fumaça, ref. Cabos Afumex Prysmian; Atexsil Sil; ToxFree Conduspar ou equivalente</t>
  </si>
  <si>
    <t>P.08.000.043054</t>
  </si>
  <si>
    <t>Cabo cobre flexível 10 mm², isolamento 0,6/1 kV - isolação HEPR 90°C, têmpera mole, classe 5, baixa emissão fumaça, ref. Cabos Afumex Prysmian; Atexsil Sil; ToxFree Conduspar ou equivalente</t>
  </si>
  <si>
    <t>P.08.000.043055</t>
  </si>
  <si>
    <t>Cabo cobre flexível 16 mm², isolamento 0,6/1 kV - isolação HEPR 90°C, têmpera mole, classe 5, baixa emissão fumaça, ref. Cabos Afumex Prysmian; Atexsil Sil; ToxFree Conduspar ou equivalente</t>
  </si>
  <si>
    <t>P.08.000.043056</t>
  </si>
  <si>
    <t>Cabo cobre flexível 25 mm², isolamento 0,6/1 kV - isolação HEPR 90°C, têmpera mole, classe 5, baixa emissão fumaça, ref. Cabos Afumex Prysmian; Atexsil Sil; ToxFree Conduspar ou equivalente</t>
  </si>
  <si>
    <t>P.08.000.043057</t>
  </si>
  <si>
    <t>Cabo cobre flexível 35 mm², isolamento 0,6/1 kV - isolação HEPR 90°C, têmpera mole, classe 5, baixa emissão fumaça, ref. Cabos Afumex Prysmian; Atexsil Sil; ToxFree Conduspar ou equivalente</t>
  </si>
  <si>
    <t>P.08.000.043058</t>
  </si>
  <si>
    <t>Cabo cobre flexível 50 mm², isolamento 0,6/1 kV - isolação HEPR 90°C, têmpera mole, classe 5, baixa emissão fumaça, ref. Cabos Afumex Prysmian; Atexsil Sil; ToxFree Conduspar ou equivalente</t>
  </si>
  <si>
    <t>P.08.000.043059</t>
  </si>
  <si>
    <t>Cabo cobre flexível 70 mm², isolamento 0,6/1 kV - isolação HEPR 90°C, têmpera mole, classe 5, baixa emissão fumaça, ref. Cabos Afumex Prysmian; Atexsil Sil; ToxFree Conduspar ou equivalente</t>
  </si>
  <si>
    <t>P.08.000.043060</t>
  </si>
  <si>
    <t>Cabo cobre flexível 95 mm², isolamento 0,6/1 kV - isolação HEPR 90°C, têmpera mole, classe 5, baixa emissão fumaça, ref. Cabos Afumex Prysmian; Atexsil Sil; ToxFree Conduspar ou equivalente</t>
  </si>
  <si>
    <t>P.08.000.043061</t>
  </si>
  <si>
    <t>Cabo cobre flexível 120 mm², isolamento 0,6/1 kV - isolação HEPR 90°C, têmpera mole, classe 5, baixa emissão fumaça, ref. Cabos Afumex Prysmian; Atexsil Sil; ToxFree Conduspar ou equivalente</t>
  </si>
  <si>
    <t>P.08.000.043062</t>
  </si>
  <si>
    <t>Cabo cobre flexível 150 mm², isolamento 0,6/1 kV - isolação HEPR 90°C, têmpera mole, classe 5, baixa emissão fumaça, ref. Cabos Afumex Prysmian; Atexsil Sil; ToxFree Conduspar ou equivalente</t>
  </si>
  <si>
    <t>P.08.000.043063</t>
  </si>
  <si>
    <t>Cabo cobre flexível 185 mm², isolamento 0,6/1 kV - isolação HEPR 90°C, têmpera mole, classe 5, baixa emissão fumaça, ref. Cabos Afumex Prysmian; Atexsil Sil; ToxFree Conduspar ou equivalente</t>
  </si>
  <si>
    <t>P.08.000.043064</t>
  </si>
  <si>
    <t>Cabo cobre flexível 240 mm², isolamento 0,6/1 kV - isolação HEPR 90°C, têmpera mole, classe 5, baixa emissão fumaça, ref. Cabos Afumex Prysmian; Atexsil Sil; ToxFree Conduspar ou equivalente</t>
  </si>
  <si>
    <t>P.08.000.043079</t>
  </si>
  <si>
    <t>Cabo de cobre flexível de 1,5 mm², isolamento 0,6/1kV - isolação HEPR 90°C</t>
  </si>
  <si>
    <t>P.08.000.043080</t>
  </si>
  <si>
    <t>Cabo de cobre flexível de 2,5 mm², isolamento 0,6/1kV - isolação HEPR 90°C</t>
  </si>
  <si>
    <t>P.08.000.043081</t>
  </si>
  <si>
    <t>Cabo de cobre flexível de 4 mm², isolamento 0,6/1kV - isolação HEPR 90°C</t>
  </si>
  <si>
    <t>P.08.000.043082</t>
  </si>
  <si>
    <t>Cabo de cobre flexível de 6 mm², isolamento 0,6/1kV - isolação HEPR 90°C</t>
  </si>
  <si>
    <t>P.08.000.043084</t>
  </si>
  <si>
    <t>Cabo de cobre flexível de 10 mm², isolamento 0,6/1kV - isolação HEPR 90°C</t>
  </si>
  <si>
    <t>P.08.000.043085</t>
  </si>
  <si>
    <t>Cabo de cobre flexível de 16 mm², isolamento 0,6/1kV - isolação HEPR 90°C</t>
  </si>
  <si>
    <t>P.08.000.043086</t>
  </si>
  <si>
    <t>Cabo de cobre flexível de 25 mm², isolamento 0,6/1kV - isolação HEPR 90°C</t>
  </si>
  <si>
    <t>P.08.000.043087</t>
  </si>
  <si>
    <t>Cabo de cobre flexível de 35 mm², isolamento 0,6/1kV - isolação HEPR 90°C</t>
  </si>
  <si>
    <t>P.08.000.043088</t>
  </si>
  <si>
    <t>Cabo de cobre flexível de 50 mm², isolamento 0,6/1kV - isolação HEPR 90°C</t>
  </si>
  <si>
    <t>P.08.000.043089</t>
  </si>
  <si>
    <t>Cabo de cobre flexível de 70 mm², isolamento 0,6/1kV - isolação HEPR 90°C</t>
  </si>
  <si>
    <t>P.08.000.043090</t>
  </si>
  <si>
    <t>Cabo de cobre flexível de 95 mm², isolamento 0,6/1kV - isolação HEPR 90°C</t>
  </si>
  <si>
    <t>P.08.000.043091</t>
  </si>
  <si>
    <t>Cabo de cobre flexível de 120 mm², isolamento 0,6/1kV - isolação HEPR 90°C</t>
  </si>
  <si>
    <t>P.08.000.043092</t>
  </si>
  <si>
    <t>Cabo de cobre flexível de 185 mm², isolamento 0,6/1kV - isolação HEPR 90°C</t>
  </si>
  <si>
    <t>P.08.000.043093</t>
  </si>
  <si>
    <t>Cabo de cobre flexível de 240 mm², isolamento 0,6/1kV - isolação HEPR 90°C</t>
  </si>
  <si>
    <t>P.08.000.043094</t>
  </si>
  <si>
    <t>Cabo de cobre flexível de 150 mm², isolamento 0,6/1kV - isolação HEPR 90°C</t>
  </si>
  <si>
    <t>P.08.000.043102</t>
  </si>
  <si>
    <t>Cabo de cobre 25 mm², tensão de isolamento 8,7/15kV, isolação EPR 90°C</t>
  </si>
  <si>
    <t>P.08.000.043103</t>
  </si>
  <si>
    <t>Cabo de cobre 35 mm², tensão de isolamento 8,7/15kV, isolação EPR 90°C</t>
  </si>
  <si>
    <t>P.08.000.043112</t>
  </si>
  <si>
    <t>Cabo cobre 3 x 35 mm², tensão de isolamento 8,7/15 kV, isolação EPR 90°C</t>
  </si>
  <si>
    <t>P.08.000.043155</t>
  </si>
  <si>
    <t>Cabo cobre isolamento PVC 70°C, isolam 0.6/1kV, 1,5mm²</t>
  </si>
  <si>
    <t>P.08.000.043156</t>
  </si>
  <si>
    <t>Cabo cobre isolamento PVC 70°C, isolam 0.6/1kV, 2,5mm²</t>
  </si>
  <si>
    <t>P.08.000.043157</t>
  </si>
  <si>
    <t>Cabo cobre isolamento PVC 70°C, isolam 0.6/1kV, 4mm²</t>
  </si>
  <si>
    <t>P.08.000.043158</t>
  </si>
  <si>
    <t>Cabo cobre isolamento PVC 70°C, isolam 0.6/1kV, 6mm²</t>
  </si>
  <si>
    <t>P.08.000.043159</t>
  </si>
  <si>
    <t>Cabo cobre isolamento PVC 70°C, isolam 0.6/1kV, 10mm²</t>
  </si>
  <si>
    <t>P.08.000.043201</t>
  </si>
  <si>
    <t>Cabo de cobre flexível de 2 x 2,5 mm², isolamento 0,6/1kV - isolação HEPR 90°C</t>
  </si>
  <si>
    <t>P.08.000.043206</t>
  </si>
  <si>
    <t>Cabo de cobre flexível de 3 x 25 mm², isolamento 0,6/1kV - isolação HEPR 90°C</t>
  </si>
  <si>
    <t>P.08.000.043207</t>
  </si>
  <si>
    <t>Cabo de cobre flexível de 3 x 35 mm², isolamento 0,6/1kV - isolação HEPR 90°C</t>
  </si>
  <si>
    <t>P.08.000.043212</t>
  </si>
  <si>
    <t>Cabo de cobre flexível de 4 x 10 mm², isolamento 0,6/1kV - isolação HEPR 90°C</t>
  </si>
  <si>
    <t>P.08.000.043223</t>
  </si>
  <si>
    <t>Cabo de cobre flexível de 3 x 1,5 mm², isolamento 500V - isolação PP 70° C, baixa emissão de fumaça, gases tóxicos e corrosivos; ref. Silflex PP 500V da Sil, Flexicom da Cobrecom ou equivalente</t>
  </si>
  <si>
    <t>P.08.000.043224</t>
  </si>
  <si>
    <t>Cabo de cobre flexível de 3 x 2,5 mm², isolamento 500V - isolação PP 70° C, baixa emissão de fumaça, gases tóxicos e corrosivos; ref. Silflex PP 500V da Sil, Flexicom da Cobrecom ou equivalente</t>
  </si>
  <si>
    <t>P.08.000.043225</t>
  </si>
  <si>
    <t>Cabo de cobre flexível de 3 x 4 mm², isolamento 500V - isolação PP 70°C, baixa emissão de fumaça, gases tóxicos e corrosivos; ref. Silflex PP 500V da Sil, Flexicom da Cobrecom ou equivalente</t>
  </si>
  <si>
    <t>P.08.000.043226</t>
  </si>
  <si>
    <t>Cabo de cobre flexível de 3 x 6 mm², isolamento 500V - isolação PP 70°C, baixa emissão de fumaça, gases tóxicos e corrosivos; ref. Silflex PP 500V da Sil, Flexicom da Cobrecom ou equivalente</t>
  </si>
  <si>
    <t>P.08.000.043230</t>
  </si>
  <si>
    <t>Cabo de cobre flexível de 4 x 4 mm², isolamento 500V - isolação PP 70°C, baixa emissão de fumaça, gases tóxicos e corrosivos; ref. Silflex PP 500V da Sil, Flexicom da Cobrecom ou equivalente</t>
  </si>
  <si>
    <t>P.08.000.043231</t>
  </si>
  <si>
    <t>Cabo de cobre flexível de 4 x 6 mm², isolamento 500V - isolação PP 70°C, baixa emissão de fumaça, gases tóxicos e corrosivos; ref. Silflex PP 500V da Sil, Flexicom da Cobrecom ou equivalente</t>
  </si>
  <si>
    <t>P.08.000.050102</t>
  </si>
  <si>
    <t>Cabo cobre nu tempera mole classe 2, de 50mm²</t>
  </si>
  <si>
    <t>P.08.000.050126</t>
  </si>
  <si>
    <t>Cabo de cobre flexível de 10 mm², isolamento 750V - isolação PVC 70°C</t>
  </si>
  <si>
    <t>P.08.000.050187</t>
  </si>
  <si>
    <t>Cabo media tensão em cobre com isolação em EPR 90°C, DN=50mm², tensão 8,7/15 kV, referência Conduspar, Disnacon, IPCE ou equivalente</t>
  </si>
  <si>
    <t>P.08.000.050190</t>
  </si>
  <si>
    <t>Cabo de cobre 120 mm², tensão de isolamento 8,7/15kV, isolação EPR 90°C</t>
  </si>
  <si>
    <t>P.08.000.090408</t>
  </si>
  <si>
    <t>Vergalhão de cobre eletrolítico diâmetro 3/8´</t>
  </si>
  <si>
    <t>P.08.000.090430</t>
  </si>
  <si>
    <t>Cabo cobre nu tempera mole classe 2, de 95mm²</t>
  </si>
  <si>
    <t>P.08.000.090432</t>
  </si>
  <si>
    <t>Cabo cobre nu tempera mole classe 2, de 185mm²</t>
  </si>
  <si>
    <t>P.08.000.090487</t>
  </si>
  <si>
    <t>Cabo cobre nu tempera mole classe 2, de 70mm²</t>
  </si>
  <si>
    <t>P.08.000.090853</t>
  </si>
  <si>
    <t>Cabo cobre flexível ´PP´ de 4x2,5mm², classe 5 de encordoamento, isolamento 450/750V -  isolação PVC 70°C</t>
  </si>
  <si>
    <t>P.08.000.091045</t>
  </si>
  <si>
    <t>Cabo coaxial tipo RG11, malha com mínimo 60% de proteção</t>
  </si>
  <si>
    <t>P.09.000.046344</t>
  </si>
  <si>
    <t>P.09.000.050002</t>
  </si>
  <si>
    <t>Cabo de alumínio nu com alma de aço CAA</t>
  </si>
  <si>
    <t>P.09.000.050003</t>
  </si>
  <si>
    <t>Cabo de alumínio nu sem alma de aço CA</t>
  </si>
  <si>
    <t>P.10.000.030519</t>
  </si>
  <si>
    <t>Voice panel 50 portas categoria 3, com sistema de fixação por parafuso ou encaixe, ref. Furukawa, ou Sollan ou equivalente</t>
  </si>
  <si>
    <t>P.10.000.042523</t>
  </si>
  <si>
    <t>Cordão óptico duplex multimodo com conector LC/LC 2,5 m</t>
  </si>
  <si>
    <t>P.10.000.042525</t>
  </si>
  <si>
    <t>Cabo óptico multimodo, 4 fibras uso interno/externo, diâmetro núcleo 50/125 µm, ref. CFOT.MM50-EO COG da Metrocable ou equivalente</t>
  </si>
  <si>
    <t>P.10.000.042542</t>
  </si>
  <si>
    <t>Cabo óptico multimodo, 6 fibras uso interno/externo, diâmetro núcleo 50/125 µm, ref. CFOT.MM-EO-06 da Furukawa ou equivalente</t>
  </si>
  <si>
    <t>P.10.000.050015</t>
  </si>
  <si>
    <t>Cabo para rede 23 AWG, com 4 pares, categoria 6A, ref. CM CZ 305M Furukawa, ou equivalente</t>
  </si>
  <si>
    <t>P.10.000.050016</t>
  </si>
  <si>
    <t>Conector RJ-45, fêmea, categoria 6A, ref. BR ROHS da Furukawa, ou equivalente</t>
  </si>
  <si>
    <t>P.10.000.050017</t>
  </si>
  <si>
    <t>Patch cords F/UTP de 2,0 a 3,0 m, RJ-45 / RJ-45 categoria 6A, ref. CM T568A/B fabricação Furukawa ou equivalente</t>
  </si>
  <si>
    <t>P.10.000.050020</t>
  </si>
  <si>
    <t>P.10.000.050021</t>
  </si>
  <si>
    <t>P.10.000.050023</t>
  </si>
  <si>
    <t>P.10.000.050026</t>
  </si>
  <si>
    <t>P.10.000.050027</t>
  </si>
  <si>
    <t>P.10.000.050033</t>
  </si>
  <si>
    <t>Cabo para rede 24 AWG, com 4 pares, categoria 6; ref. 23400174 da Sohoplus da Furukawa ou equivalente</t>
  </si>
  <si>
    <t>P.10.000.050034</t>
  </si>
  <si>
    <t>Patch cords de 1,50 ou 3,00 m RJ-45 / RJ-45, ref. 50495 fabricação Policom ou equivalente</t>
  </si>
  <si>
    <t>P.10.000.050035</t>
  </si>
  <si>
    <t>Patch panel 24 portas, categoria 6, ref. 50493 fabricação Policom ou equivalente</t>
  </si>
  <si>
    <t>P.10.000.090417</t>
  </si>
  <si>
    <t>P.10.000.090418</t>
  </si>
  <si>
    <t>P.10.000.090419</t>
  </si>
  <si>
    <t>P.10.000.090707</t>
  </si>
  <si>
    <t>P.10.000.090897</t>
  </si>
  <si>
    <t>Cabo óptico de terminação, 2 fibras, uso interno/externo, diâmetro do núcleo 50/125 µm, ref. CFOT-X-MF Furukawa ou equivalente</t>
  </si>
  <si>
    <t>P.10.000.091015</t>
  </si>
  <si>
    <t>Cabo coaxial tipo RG 59, D= 0,60 mm, blindagem com fio de cobre nu 95%, ref. KMP, ou IFE-EWG ou equivalente</t>
  </si>
  <si>
    <t>P.10.000.091027</t>
  </si>
  <si>
    <t>Cabo coaxial tipo RGC-59, diâmetro nominal de 0,82 mm, ref. KMP / Furukawa / IFE-EWG ou equivalente</t>
  </si>
  <si>
    <t>P.10.000.091377</t>
  </si>
  <si>
    <t>Fio telefônico externo tipo FE-160, com diâmetro nominal de 1,60mm, isolação em polietileno (PE), de acordo com especificação Telebrás</t>
  </si>
  <si>
    <t>P.10.000.091379</t>
  </si>
  <si>
    <t>P.10.000.091381</t>
  </si>
  <si>
    <t>P.10.000.091382</t>
  </si>
  <si>
    <t>P.10.000.091598</t>
  </si>
  <si>
    <t>Cabo torcido flexível de 2 x 2,5 mm², isolamento em PVC antichama; ref. CABCORD0111 da Dacota, cordão Flex torcido 300 V da Nambei, Cordão flexível torcido da Megatron ou equivalente</t>
  </si>
  <si>
    <t>P.10.000.092781</t>
  </si>
  <si>
    <t>Cabo telefônico CCE-APL, com 4 pares de 0,50mm, em cobre nu, isolação em polietileno ou polipropileno, capa externa tipo APL, de acordo com especificação TELEBRÁS; ref. GP Cabos ou equivalente</t>
  </si>
  <si>
    <t>P.10.000.092950</t>
  </si>
  <si>
    <t>P.11.000.032005</t>
  </si>
  <si>
    <t>Filtro de areia com vazão de 16,9 m³/h e carga de areia filtrante; ref. DFR-30 da Dancor ou equivalente</t>
  </si>
  <si>
    <t>P.11.000.032311</t>
  </si>
  <si>
    <t>P.11.000.042428</t>
  </si>
  <si>
    <t>Motor-bomba centrífuga, potencia 5cv, Hman= 24 a 33 mca, Q= 41,6 a 35,2 m³/h, ref. 5DM 1 1/2T da Jacuzzi ou equivalente</t>
  </si>
  <si>
    <t>P.11.000.047516</t>
  </si>
  <si>
    <t>Gerador a diesel 250/228 kVA, variação de + ou - 5%, 380/220 V ou 220/127 V, completo; ref. C200 D6 da Cummins ou equivalente</t>
  </si>
  <si>
    <t>P.11.000.047517</t>
  </si>
  <si>
    <t>Gerador a diesel 350/320 kVA, variação de + ou - 10%, 380/220 V ou 220/127 V, completo; ref. C300 D6 da Cummins ou equivalente</t>
  </si>
  <si>
    <t>P.11.000.047518</t>
  </si>
  <si>
    <t>Gerador a diesel 88/80 kVA, variação de + ou - 10%, 380/220 V ou 220/127 V, completo; ref. P70 da Nilmariz ou equivalente</t>
  </si>
  <si>
    <t>P.11.000.047519</t>
  </si>
  <si>
    <t>Gerador a diesel 165/150 kVA, variação de + ou - 5%, 380/220 V ou 220/127 V, completo; ref. GEP165 da Sotreq ou equivalente</t>
  </si>
  <si>
    <t>P.11.000.047522</t>
  </si>
  <si>
    <t>Gerador a diesel 180/168 kVA, variação de + ou - 5%, 380/220 V ou 220/127 V, completo; ref. MX180MWAB da Maxitrust ou equivalente</t>
  </si>
  <si>
    <t>P.11.000.047582</t>
  </si>
  <si>
    <t>Gerador a diesel 563/513 kVA, variação de + ou - 10%, 380/220 V ou 220/127 V, completo; ref. MX550SWAB da Maxitrust ou equivalente</t>
  </si>
  <si>
    <t>P.11.000.047594</t>
  </si>
  <si>
    <t>Gerador a diesel carenado 460/434 kVA, variação de + ou - 10%, 380/220 V ou 220/127 V, 85dB a 1,5m, completo; ref. MX460SWSL da Maxitrust ou equivalente</t>
  </si>
  <si>
    <t>P.11.000.047601</t>
  </si>
  <si>
    <t>Gerador a diesel 460/434 kVA, variação de + ou - 10%, 380/220 V ou 220/127 V, completo; ref. MX460SWAB da Maxitrust ou equivalente</t>
  </si>
  <si>
    <t>P.11.000.066172</t>
  </si>
  <si>
    <t>Conjunto motor-bomba (centrífuga), monoestágio, potência 40cv, trifásico, Hman= 45 a 75 MCA, Q= 120 a 75 m³/h , referência RL-26B da empresa THEBE ou equivalente</t>
  </si>
  <si>
    <t>P.11.000.066201</t>
  </si>
  <si>
    <t>Conjunto motor-bomba (centrífuga), potência 7,5cv multiestágio, Hman= 30 a 80 mca, Q= 21,6 a 12,0 m³/h; ref. 75 MC3-T da Jacuzzi ou equivalente</t>
  </si>
  <si>
    <t>P.11.000.066202</t>
  </si>
  <si>
    <t>Conjunto motor-bomba (centrifuga), potência 5cv multiestágio, Hman= 25 a 50 mca, Q= 21,0 a 13,3 m³/h; ref. 5MC2-T Jacuzzi ou equivalente</t>
  </si>
  <si>
    <t>P.11.000.066526</t>
  </si>
  <si>
    <t>Motor-bomba centrífuga, potência 30cv, monoestágio, Hman= 20 a 50 mca, Q= 197 a 112 m³/h, ref. CY-16 da Darka ou equivalente</t>
  </si>
  <si>
    <t>P.11.000.066539</t>
  </si>
  <si>
    <t>Conjunto motor-bomba submersível vertical trifásica, para esgoto, Q= 40 m³/h, Hman= 40 mca, diâmetro de sólidos até 50mm, ref DS-122/4 da Darka ou equivalente</t>
  </si>
  <si>
    <t>P.11.000.066543</t>
  </si>
  <si>
    <t>Motor-bomba centrífuga, potência 15cv, ref.CX 13-15cv da Darka ou equivalente</t>
  </si>
  <si>
    <t>P.11.000.066544</t>
  </si>
  <si>
    <t>Motor-bomba centrífuga, ref. CD-6 Darka / 2DH 1 1/2T da Jacuzzi ou equivalente</t>
  </si>
  <si>
    <t>P.11.000.066545</t>
  </si>
  <si>
    <t>Motor-bomba centrífuga, potência 60cv, ref. Meganorm 50/250 da KSB ou equivalente</t>
  </si>
  <si>
    <t>P.11.000.066546</t>
  </si>
  <si>
    <t>Motor-bomba submersível, potência 4cv; ref. UNI-1000T da ABS ou equivalente</t>
  </si>
  <si>
    <t>P.11.000.066567</t>
  </si>
  <si>
    <t>Motor-bomba de 6´/20HP, Q= 20 a 34m³/h, Hm= 152 a 88mca</t>
  </si>
  <si>
    <t>P.11.000.066571</t>
  </si>
  <si>
    <t>Motor-bomba de 6´/12,5HP, Q= 20 a 34m³/h, Hm= 92,5 a 53mca</t>
  </si>
  <si>
    <t>P.11.000.066575</t>
  </si>
  <si>
    <t>Motor-bomba de 6´/6HP, Q= 10 a 20m³/h, Hm= 80 a 48mca</t>
  </si>
  <si>
    <t>P.11.000.066576</t>
  </si>
  <si>
    <t>Motor-bomba de 6´/8HP, Q= 10 a 20m³/h, Hm= 108 a 64,5mca</t>
  </si>
  <si>
    <t>P.11.000.066580</t>
  </si>
  <si>
    <t>Motor-bomba de 6´/20HP, Q= 10 a 20m³/h, Hm= 274 a 170mca</t>
  </si>
  <si>
    <t>P.11.000.066581</t>
  </si>
  <si>
    <t>Motor-bomba de 6´/8HP, Q= 20 a 34m³/h, Hm= 56,5 a 32mca</t>
  </si>
  <si>
    <t>P.11.000.066585</t>
  </si>
  <si>
    <t>Motor-bomba submersível, potência 1,5cv; ref. KSB KRT Drainer 1500T ou equivalente</t>
  </si>
  <si>
    <t>P.11.000.066587</t>
  </si>
  <si>
    <t>Motor-bomba submersível, potência 5cv; ref. KSB KRT F80-200/190/34XG ou equivalente</t>
  </si>
  <si>
    <t>P.11.000.066588</t>
  </si>
  <si>
    <t>Motor-bomba submersível, potência 10cv; ref. KSB/KRT K100-251/74XG ou equivalente</t>
  </si>
  <si>
    <t>P.11.000.066590</t>
  </si>
  <si>
    <t>Motor-bomba submersível para esgoto, potência 3cv, ref. 851T SBS/EG 1000-F SPV ou equivalente</t>
  </si>
  <si>
    <t>P.11.000.066602</t>
  </si>
  <si>
    <t>Conjunto motor-bomba (centrífuga), trifásico, 220/380V, potência 0,5cv - 60Hz, Hman= 10 a 20mca, Q= 7,5 a 1,5m³/h, ref. XD-2 da Grundfos, RD-2 da Rudc ou equivalente</t>
  </si>
  <si>
    <t>P.11.000.066622</t>
  </si>
  <si>
    <t>Conjunto motor-bomba (centrífuga), potência 0,5cv monoestágio, trifásica, Hman= 21 a 9 mca, Q= 2 a 8,3 m³/h; ref. nxdp2 da Mark Grundfos, Rudc ou equivalente</t>
  </si>
  <si>
    <t>P.11.000.066623</t>
  </si>
  <si>
    <t>Conjunto motor-bomba (centrífuga), potência 30cv monoestágio, trifásica, Hman= 70 a 94 mca, Q= 34,8 a 61,7 m³/h, ref. BC-23R-1 1/2´ da Scheneider ou equivalente</t>
  </si>
  <si>
    <t>P.11.000.066624</t>
  </si>
  <si>
    <t>Conjunto motor-bomba (centrífuga), potência 20cv monoestágio, trifásica, Hman= 62 a 90 mca, Q= 21,1 a 43,8 m³/h, ref. RL-20B da Thebe ou equivalente</t>
  </si>
  <si>
    <t>P.11.000.066625</t>
  </si>
  <si>
    <t>Conjunto motor-bomba (centrífuga) monoestágio rosqueada trifásica, motor de 1cv, 220/380 V, sucção e recalque de 1´, ref. NXDP4 da Mark Grundfos ou equivalente</t>
  </si>
  <si>
    <t>P.11.000.066626</t>
  </si>
  <si>
    <t>Conjunto motor-bomba (centrífuga), potência 1 cv multiestágio, trifásica, Hman= 70 a 115 mca, Q= 1,0 a 1,6 m³/h, ref. BT4-0510E12 da Schneider ou equivalente</t>
  </si>
  <si>
    <t>P.11.000.066627</t>
  </si>
  <si>
    <t>Conjunto motor-bomba (centrífuga), potência 1 cv multiestágio, trifásica, Hman= 15 a 30 mca, Q=6,5 a 4,2m³/h, ref. ME 1210 da Schneider ou equivalente</t>
  </si>
  <si>
    <t>P.11.000.090203</t>
  </si>
  <si>
    <t>Conjunto motor-bomba centrífuga, potência 20cv; ref. 20 GC2-T da Jacuzzi ou equivalente</t>
  </si>
  <si>
    <t>P.11.000.090211</t>
  </si>
  <si>
    <t>Conjunto motor-bomba centrífuga, monoestágio, potência 10cv, ref.10GB2-T da Jacuzzi ou equivalente</t>
  </si>
  <si>
    <t>P.11.000.090212</t>
  </si>
  <si>
    <t>Conjunto motor-bomba centrífuga, potência 1,5cv, ref.15MA2-T da Jacuzzi ou equivalente</t>
  </si>
  <si>
    <t>P.11.000.090215</t>
  </si>
  <si>
    <t>Conjunto motor-bomba centrífuga, potência 3cv, ref. 3MA3T da Jacuzzi ou equivalente</t>
  </si>
  <si>
    <t>P.11.000.090216</t>
  </si>
  <si>
    <t>Conjunto motor-bomba centrífuga, potência 5cv, ref. 5DM2-T Jacuzzi ou equivalente</t>
  </si>
  <si>
    <t>P.11.000.090217</t>
  </si>
  <si>
    <t>Conjunto motor-bomba submersível para esgoto, ref. ROB 400T-SI (SESI 10D) ABS ou equivalente</t>
  </si>
  <si>
    <t>P.11.000.090218</t>
  </si>
  <si>
    <t>Conjunto motor-bomba submersível para esgoto, ref. ROB 8OOT-SI (SJSI 20D) ABS ou equivalente</t>
  </si>
  <si>
    <t>P.11.000.092025</t>
  </si>
  <si>
    <t>Conjunto motor-bomba submersível, ref.UNI 300T-SI da ABS ou equivalente</t>
  </si>
  <si>
    <t>P.11.000.092026</t>
  </si>
  <si>
    <t>Conjunto motor-bomba submersível, ref.UNI 500T-SI da ABS ou equivalente</t>
  </si>
  <si>
    <t>P.11.000.092027</t>
  </si>
  <si>
    <t>Conjunto motor-bomba centrífuga, potência 3/4cv; ref. 7DH1-T da Jacuzzi ou equivalente</t>
  </si>
  <si>
    <t>P.11.000.092048</t>
  </si>
  <si>
    <t>Conjunto motor-bomba centrífuga, potência 3cv, ref. 3MB2T da Jacuzzi ou equivalente</t>
  </si>
  <si>
    <t>P.11.000.092213</t>
  </si>
  <si>
    <t>Gerador a diesel 55/50 kVA, variação de + ou - 10%, 380/220 V ou 220/127 V, completo; ref. 12W6I0 da Nilmariz ou equivalente</t>
  </si>
  <si>
    <t>P.12.000.034083</t>
  </si>
  <si>
    <t>Transformador abaixador, entrada 110/220 V, saída 24 V + 24 V, corrente secundário 6A; ref. TF 24/6 da Hayama, 24+24 6A da Líder, 00891 da Unitel, Trafo EL-6 da Fácil transformadores ou equivalente</t>
  </si>
  <si>
    <t>P.12.000.041001</t>
  </si>
  <si>
    <t>Transformador de potência trifásico de 225kVA classe 15kV, a óleo</t>
  </si>
  <si>
    <t>P.12.000.041005</t>
  </si>
  <si>
    <t>Transformador de potência monofásico de 1000VA classe 15kV, a seco com fusíveis</t>
  </si>
  <si>
    <t>P.12.000.041008</t>
  </si>
  <si>
    <t>Transformador de potência monofásico de 2000VA classe 15kV, a seco com fusíveis</t>
  </si>
  <si>
    <t>P.12.000.041010</t>
  </si>
  <si>
    <t>Transformador de potência trifásico de 500 kVA, classe 15 kV, a seco</t>
  </si>
  <si>
    <t>P.12.000.041011</t>
  </si>
  <si>
    <t>Transformador de potência monofásico de 500VA classe 15kV, a seco, sem fusíveis</t>
  </si>
  <si>
    <t>P.12.000.041012</t>
  </si>
  <si>
    <t>Transformador de corrente 800-5 A janela; ref. DP88-800/5 da Sibratec, MES-100 da JNG, RH-90 da Renz, METSECT5DA080 da Schneider ou equivalente</t>
  </si>
  <si>
    <t>P.12.000.041015</t>
  </si>
  <si>
    <t>Transformador de potência trifásico de 150kVA classe 15, a óleo</t>
  </si>
  <si>
    <t>P.12.000.041016</t>
  </si>
  <si>
    <t>Transformador de corrente 200-5A até 600-5A janela; ref. RH-78 da Renz, MES-60 da JNG ou equivalente</t>
  </si>
  <si>
    <t>P.12.000.041017</t>
  </si>
  <si>
    <t>Transformador de corrente 1000-5A até 1500-5A janela; ref. RH-90 da Renz, SN157-0003554 da Soltran, 4NC5232-2FE21 da Siemens ou equivalente</t>
  </si>
  <si>
    <t>P.12.000.041021</t>
  </si>
  <si>
    <t>Transformador de potência trifásico de 75kVA classe 15kV, a óleo</t>
  </si>
  <si>
    <t>P.12.000.041024</t>
  </si>
  <si>
    <t>Transformador de comando de 200 VA, tensão primária 440/380V e tensão secundária 220/127V; ref. 4AM70180AB420EB0 da Siemens ou equivalente</t>
  </si>
  <si>
    <t>P.12.000.041025</t>
  </si>
  <si>
    <t>Transformador de potência trifásico de 300kVA classe 15kV, a óleo</t>
  </si>
  <si>
    <t>P.12.000.041026</t>
  </si>
  <si>
    <t>Transformador de potência trifásico de 112,5kVA classe 15kV, a óleo</t>
  </si>
  <si>
    <t>P.12.000.041035</t>
  </si>
  <si>
    <t>Transformador de corrente 50-5A até 150-5 A janela; ref. ST-30, ST-42 da Sassi, METSECT5CC015 da Schneider, RH-78 da Renz ou equivalente</t>
  </si>
  <si>
    <t>P.12.000.041038</t>
  </si>
  <si>
    <t>Transformador de potência trifásico de 500kVA, a seco com cabine</t>
  </si>
  <si>
    <t>P.12.000.041039</t>
  </si>
  <si>
    <t>Transformador de potência trifásico de 30 kVA, classe 1,2KV, impregnado em resina epoxi, a seco com cabine</t>
  </si>
  <si>
    <t>P.12.000.041046</t>
  </si>
  <si>
    <t>Transformador de potência trifásico de 750kVA, classe 15kV, a óleo</t>
  </si>
  <si>
    <t>P.12.000.041063</t>
  </si>
  <si>
    <t>Transformador de potência trifásico de 750 kVA, classe 15 kV, IP33, 220V/127V, a seco</t>
  </si>
  <si>
    <t>P.12.000.041064</t>
  </si>
  <si>
    <t>Transformador de potência trifásico de 300 kVA, classe 15 kV, a seco</t>
  </si>
  <si>
    <t>P.12.000.041068</t>
  </si>
  <si>
    <t>Transformador de potência trifásico de 45 kVA, classe 15 kV, a seco</t>
  </si>
  <si>
    <t>P.12.000.041072</t>
  </si>
  <si>
    <t>Transformador de potência trifásico de 500 kVA, classe 15kV-1,2kV, a óleo mineral, tipo pedestal (pad-mouted), (+6 TDC+6 Plug); referência comercial Contrafo ou equivalente</t>
  </si>
  <si>
    <t>P.12.000.041080</t>
  </si>
  <si>
    <t>Transformador trifásico a seco de 112,5 kVA, encapsulado em resina epóxi sob vácuo - 380/220V ou 220/127V</t>
  </si>
  <si>
    <t>P.12.000.041081</t>
  </si>
  <si>
    <t>Transformador trifásico a seco de 150 kVA/15kV, encapsulado resina epóxi sob vácuo, 220/127V-60Hz, tensão prim.13,8/13,2/12,6kV, lig. seg. estrela com neutro</t>
  </si>
  <si>
    <t>P.12.000.041612</t>
  </si>
  <si>
    <t>Transformador de potência trifásico de 500 kVA, classe 15 kV, a óleo</t>
  </si>
  <si>
    <t>P.12.000.049753</t>
  </si>
  <si>
    <t>Supressor de surto monofásico, In 4 a 11 kA, Imax. de surto de 12 até 15 kA, ref. 722.B.010.127 / 220 fabricação Clamper, DPS15275 fabricação Steck ou equivalente</t>
  </si>
  <si>
    <t>P.12.000.049754</t>
  </si>
  <si>
    <t>Supressor de surto monofásico, In 20 KA, Imax. de surto de 50 até 80 KA; ref. Spw275-60 da Weg, VCl-Slim 60KA da Clamper, LK385 da Lukma ou equivalente</t>
  </si>
  <si>
    <t>P.12.000.049760</t>
  </si>
  <si>
    <t>Tapete de borracha isolante elétrico de 1000x1000mm e espessura mínima de 4 mm na cor preto ou cinza, classe IV, para isolamento de tensão até 40 kV - com laudo</t>
  </si>
  <si>
    <t>P.12.000.049762</t>
  </si>
  <si>
    <t>P.12.000.049763</t>
  </si>
  <si>
    <t>Dispositivo de proteção contra surto, classe 1, tipo cartuchos (plug in), 4 polos, 3F+N, 240V/415V, curva de ensaio 10/350µs, Iimp: 75 kA (25 kA por fase); ref. 5SD7 414-1 da Siemens ou equivalente</t>
  </si>
  <si>
    <t>P.12.000.049764</t>
  </si>
  <si>
    <t>P.12.000.049765</t>
  </si>
  <si>
    <t>P.12.000.090126</t>
  </si>
  <si>
    <t>Capacitor de potência trifásico de 10kVAr, para 220V, frequência de 60Hz, com suporte de fixação</t>
  </si>
  <si>
    <t>P.12.000.092019</t>
  </si>
  <si>
    <t>Transformador de potência trifásico de 1000kVA classe 15kV, a seco com cabine</t>
  </si>
  <si>
    <t>P.12.000.092146</t>
  </si>
  <si>
    <t>Transformador de potência trifásico de 5 kVA a seco, encapsulado a vácuo em resina epóxi autoextinguível, com cabine em chapa de aço grau de proteção IP-23, uso abrigado, 380/220V ou 220/127V, frequência 60Hz, ref. SP Trafo, MVA ou equivalente</t>
  </si>
  <si>
    <t>P.12.000.092147</t>
  </si>
  <si>
    <t>Transformador de potência trifásico de 7,5 kVA a seco, encapsulado a vácuo em resina epóxi autoextinguível, com cabine em chapa de aço grau de proteção IP-23, uso abrigado, 380/220V ou 220/127V, frequência 60Hz, ref. SP Trafo, MVA ou equivalente</t>
  </si>
  <si>
    <t>P.13.000.030521</t>
  </si>
  <si>
    <t>Calha de aço com 4 tomadas 2P+T 250 V, com cabo até 2,5 mm tipo filtro de linha</t>
  </si>
  <si>
    <t>P.13.000.030526</t>
  </si>
  <si>
    <t>Régua com 8 tomadas 2P+T 250 V, com cabo tipo filtro de linha</t>
  </si>
  <si>
    <t>P.13.000.030527</t>
  </si>
  <si>
    <t>Régua com 12 tomadas 2P+T 250 V, com cabo tipo filtro de linha</t>
  </si>
  <si>
    <t>P.13.000.036121</t>
  </si>
  <si>
    <t>P.13.000.042203</t>
  </si>
  <si>
    <t>Tomada para telefone 4P padrão Telebras, com placa</t>
  </si>
  <si>
    <t>P.13.000.042284</t>
  </si>
  <si>
    <t>Botão de comando duplo sem sinalização</t>
  </si>
  <si>
    <t>P.13.000.042285</t>
  </si>
  <si>
    <t>Placa com ou sem furo, em poliestireno de 4´x 2´, ref. modelo Silentoque da Pial ou equivalente</t>
  </si>
  <si>
    <t>P.13.000.042286</t>
  </si>
  <si>
    <t>P.13.000.042289</t>
  </si>
  <si>
    <t>P.13.000.042290</t>
  </si>
  <si>
    <t>P.13.000.042351</t>
  </si>
  <si>
    <t>Tomada para TV, tipo pino Jack, com placa, ref. linha Trii da Tramontina, Simon, Pial Legrand, ou equivalente</t>
  </si>
  <si>
    <t>P.13.000.042354</t>
  </si>
  <si>
    <t>P.13.000.042461</t>
  </si>
  <si>
    <t>Botoeira tipo cogumelo (bloco de contato+flange+frontal), com retenção, trava, gira para soltar (1NF), para quadro/painel; ref. CEW-Begm-0100000 da Weg, Lay5-BS54 da JNG, Metaltex, Margirius ou equivalente</t>
  </si>
  <si>
    <t>P.13.000.042470</t>
  </si>
  <si>
    <t>Botoeira convencional para pedestre, ref. comercial Contransin, Portal sinalização ou equivalente</t>
  </si>
  <si>
    <t>P.13.000.042471</t>
  </si>
  <si>
    <t>Botoeira sonora para deficientes visuais, padrão Contran. Res. 704-2017, ref. comercial Contransin, Interativa soluções ou equivalente</t>
  </si>
  <si>
    <t>P.13.000.042540</t>
  </si>
  <si>
    <t>Tomada blindada VHF/UHF, CATV e FM, (divisor de sinais), frequência 5Mhz a 1 GHz, ref. WT/275 TV/FM da Wadt, Force Line, Conecte, Multi, TMS ou equivalente</t>
  </si>
  <si>
    <t>P.13.000.045001</t>
  </si>
  <si>
    <t>Caixa de passagem em chapa 18, com tampa parafusada, 10 x 10 x 8 cm</t>
  </si>
  <si>
    <t>P.13.000.045002</t>
  </si>
  <si>
    <t>Caixa de passagem em chapa 18, com tampa parafusada, 15 x 15 x 8 cm</t>
  </si>
  <si>
    <t>P.13.000.045003</t>
  </si>
  <si>
    <t>Caixa de passagem em chapa 18, com tampa parafusada, 20 x 20 x 10 cm</t>
  </si>
  <si>
    <t>P.13.000.045005</t>
  </si>
  <si>
    <t>Caixa de passagem em chapa 18, com tampa parafusada, 30 x 30 x 12 cm</t>
  </si>
  <si>
    <t>P.13.000.045006</t>
  </si>
  <si>
    <t>Caixa em PVC de 4´ x 2´</t>
  </si>
  <si>
    <t>P.13.000.045007</t>
  </si>
  <si>
    <t>Caixa de passagem em chapa 18, com tampa parafusada, 40 x 40 x 15 cm</t>
  </si>
  <si>
    <t>P.13.000.045008</t>
  </si>
  <si>
    <t>Caixa em PVC de 4´ x 4´</t>
  </si>
  <si>
    <t>P.13.000.045009</t>
  </si>
  <si>
    <t>Caixa de passagem em chapa 18, com tampa parafusada, 50 x 50 x 15 cm</t>
  </si>
  <si>
    <t>P.13.000.045012</t>
  </si>
  <si>
    <t>P.13.000.045013</t>
  </si>
  <si>
    <t>P.13.000.045014</t>
  </si>
  <si>
    <t>P.13.000.045021</t>
  </si>
  <si>
    <t>Caixa em PVC octogonal de 4´x 4´</t>
  </si>
  <si>
    <t>P.13.000.045028</t>
  </si>
  <si>
    <t>P.13.000.045046</t>
  </si>
  <si>
    <t>Caixa de tomada 4" x 4" em alumínio para piso, com saída de 3/4" ou 1", ref. Tramontina, Stamplac, Olivo ou equivalente</t>
  </si>
  <si>
    <t>P.13.000.045047</t>
  </si>
  <si>
    <t>Anel de regulagem 4" x 4" em alumínio para tomada de piso, ref. Tramontina, Stamplac, Olivo ou equivalente</t>
  </si>
  <si>
    <t>P.13.000.045049</t>
  </si>
  <si>
    <t>Placa/espelho em latão escovado 4´ x 4´, para 02 tomadas 2P+T</t>
  </si>
  <si>
    <t>P.13.000.045050</t>
  </si>
  <si>
    <t>Placa/espelho em latão escovado 4´ x 4´, para 01 tomada 2P+T</t>
  </si>
  <si>
    <t>P.13.000.045064</t>
  </si>
  <si>
    <t>Caixa de passagem para condicionamento de ar tipo Split de 39 x 22 x 6 cm, com saída de dreno único na vertical, sem tampa, ref. CPP-00-5U, Poloar ou equivalente</t>
  </si>
  <si>
    <t>P.13.000.045135</t>
  </si>
  <si>
    <t>Caixa de ferro chapa 20, estampada, de 4´ x 2´</t>
  </si>
  <si>
    <t>P.13.000.045136</t>
  </si>
  <si>
    <t>Caixa de ferro chapa 20, estampada octogonal, de 3´ x 3´</t>
  </si>
  <si>
    <t>P.13.000.045137</t>
  </si>
  <si>
    <t>Caixa de ferro chapa 20, estampada, de 4´ x 4´</t>
  </si>
  <si>
    <t>P.13.000.045140</t>
  </si>
  <si>
    <t>P.13.000.045501</t>
  </si>
  <si>
    <t>Interruptor com 1 tecla (simples), com placa</t>
  </si>
  <si>
    <t>P.13.000.045502</t>
  </si>
  <si>
    <t>Interruptor com 1 tecla (paralelo), com placa</t>
  </si>
  <si>
    <t>P.13.000.045503</t>
  </si>
  <si>
    <t>Interruptor bipolar tecla dupla (simples), com placa</t>
  </si>
  <si>
    <t>P.13.000.045504</t>
  </si>
  <si>
    <t>Interruptor com 1 tecla dupla paralela e placa, ref. mod. 2108 da Pial ou equivalente</t>
  </si>
  <si>
    <t>P.13.000.045506</t>
  </si>
  <si>
    <t>Interruptor com 2 teclas (simples), com placa</t>
  </si>
  <si>
    <t>P.13.000.045507</t>
  </si>
  <si>
    <t>Interruptor com 2 teclas (simples/paralelo), placa</t>
  </si>
  <si>
    <t>P.13.000.045509</t>
  </si>
  <si>
    <t>Interruptor com 2 teclas (paralelo), com placa</t>
  </si>
  <si>
    <t>P.13.000.045512</t>
  </si>
  <si>
    <t>Interruptor com 3 teclas (simples), com placa</t>
  </si>
  <si>
    <t>P.13.000.045513</t>
  </si>
  <si>
    <t>Interruptor 3 teclas (2 simples / 1 paralelo), com placa</t>
  </si>
  <si>
    <t>P.13.000.045514</t>
  </si>
  <si>
    <t>Interruptor 3 teclas (1 simples / 2 paralelos), com placa</t>
  </si>
  <si>
    <t>P.13.000.045559</t>
  </si>
  <si>
    <t>Caixa para tomada de energia, RJ, sobressalente, interruptor, espelho para rodapé duplo, 2x30x40 / 2x40x40 / 2x30x60mm, ref. 3112PT Real Perfil ou equivalente</t>
  </si>
  <si>
    <t>P.13.000.045564</t>
  </si>
  <si>
    <t>Pulsador 2A-250V para minuteria (lâmpada gravada) com placa, ref. 1103 da Pial Legrand ou equivalente</t>
  </si>
  <si>
    <t>P.13.000.045566</t>
  </si>
  <si>
    <t>P.13.000.045570</t>
  </si>
  <si>
    <t>P.13.000.045572</t>
  </si>
  <si>
    <t>Tomada 2P+T, 10A - 250V, completa; ref. 054343 da Pial Legrand ou equivalente</t>
  </si>
  <si>
    <t>P.13.000.045573</t>
  </si>
  <si>
    <t>Tomada 2P+T, 20A - 250V, completa; ref. 054344 da Pial Legrand ou equivalente</t>
  </si>
  <si>
    <t>P.13.000.045574</t>
  </si>
  <si>
    <t>Conjunto 02 tomadas 2P+T 10A, completa; ref. 054345 da Pial Legrand ou equivalente</t>
  </si>
  <si>
    <t>P.13.000.045575</t>
  </si>
  <si>
    <t>Conjunto 01 interruptor simples e 01 tomada 2P+T 10A, completa - ref. 054346 da Pial Legrand ou equivalente</t>
  </si>
  <si>
    <t>P.13.000.045576</t>
  </si>
  <si>
    <t>Conjunto 02 interruptores simples e 01 tomada 2P+T 10A, completa - ref. 054348 da Pial Legrand ou equivalente</t>
  </si>
  <si>
    <t>P.13.000.045614</t>
  </si>
  <si>
    <t>Tomada industrial 3P+T, de 32A para 220/240V, com carcaça, prensa cabos, aliviador de tensão e tampa trava; ref. S-4209 Steck ou equivalente</t>
  </si>
  <si>
    <t>P.13.000.050036</t>
  </si>
  <si>
    <t>Conector RJ-45, fêmea, categoria 6, ref. 50491 fabricação Policom, 6150 47 Pial Plus fabricação Legrand, ou equivalente</t>
  </si>
  <si>
    <t>P.13.000.062809</t>
  </si>
  <si>
    <t>Tomada de energia quadrada com rabicho, cor preta ou vermelha de 10 A, 250V, ref. VL 4.50.5.12/2PQ ou 4.50.5.12/2VQ da Valemam ou equivalente</t>
  </si>
  <si>
    <t>P.13.000.062816</t>
  </si>
  <si>
    <t>Poste condutor metálico com pintura eletrostática, para distribuição com suporte para tomadas elétrica e RJ, altura de 3 m; ref. MAX PC.3000 da Maxtil, LF1300 da Lifer, VL 8.01 da Valeman, ME 8.01 da Hoffman ou equivalente</t>
  </si>
  <si>
    <t>P.13.000.067507</t>
  </si>
  <si>
    <t>Plugue 2P+T de 10A 250V, ref. 615801 / 615811 / 615821 da Pial ou equivalente</t>
  </si>
  <si>
    <t>P.13.000.067508</t>
  </si>
  <si>
    <t>Plugue prolongador 2P+T 10 A 250 V, NBR 14136, ref. 615804 / 615814 / 615824 da Pial ou equivalente</t>
  </si>
  <si>
    <t>P.13.000.090396</t>
  </si>
  <si>
    <t>Botão sinalizador frontal, ref.3SB30 da Siemens ou equivalente</t>
  </si>
  <si>
    <t>P.13.000.091223</t>
  </si>
  <si>
    <t>Módulo de tomada universal 2P+T de 10A - 250V, sistema X, para canaleta/perfilado, com encaixe rápido e tampa; ref. Tramontina, Fame, Pial Legrand ou equivalente</t>
  </si>
  <si>
    <t>P.13.000.091231</t>
  </si>
  <si>
    <t>Tomada industrial 3P+T de 63A, para 220/240V, ref. S-4549 fabricação Steck ou equivalente</t>
  </si>
  <si>
    <t>P.14.000.046003</t>
  </si>
  <si>
    <t>P.14.000.046507</t>
  </si>
  <si>
    <t>P.14.000.046508</t>
  </si>
  <si>
    <t>P.14.000.046510</t>
  </si>
  <si>
    <t>P.14.000.046511</t>
  </si>
  <si>
    <t>Lâmpada fluorescente tubular comum 40W, base Bipino bilateral; ref. Universal 85858 GE, L40LDE Osram, TLTRS40W-ELD-25 Philips ou equivalente</t>
  </si>
  <si>
    <t>P.14.000.046522</t>
  </si>
  <si>
    <t>P.14.000.046524</t>
  </si>
  <si>
    <t>Lâmpada incandescente halógena refletora PAR20, base E27 de 50W - 220V; ref. Halopar 20 64832 Osram ou equivalente</t>
  </si>
  <si>
    <t>P.14.000.046535</t>
  </si>
  <si>
    <t>Lâmpada halógena com refletor dicroico de 50 W 12 V, ref. Decostar 51 Titan 60° GU5.3 da Osram ou equivalente</t>
  </si>
  <si>
    <t>P.14.000.046540</t>
  </si>
  <si>
    <t>Lâmpada fluorescente tubular, base bipino bilateral de 28 W, ref. T5 HE Lumilux, 28W/840 da Osram, TL5 Essential 28W/8401SL Philips, ou equivalente</t>
  </si>
  <si>
    <t>P.14.000.046547</t>
  </si>
  <si>
    <t>Lâmpada fluorescente tubular com camada trifósforo, base bipino bilateral, de 32 W; ref. TLDRS32W-S84 da Philips ou equivalente</t>
  </si>
  <si>
    <t>P.14.000.046604</t>
  </si>
  <si>
    <t>Lâmpada LED tubular HO-T8, base G13, 36 a 40W, 3400 a 4000 Lm, cor 4000 a 6500K, vida útil mínimo 25.000 horas; referência comercial T8-LED-G13-40-150-65-3C da Glight ou equivalente</t>
  </si>
  <si>
    <t>P.14.000.046614</t>
  </si>
  <si>
    <t>Lâmpada LED 13,5W, base E-27, cor branca quente ou fria, bivolt, temperatura 3.000K ou 6500K, fluxo luminoso mínimo de 1400lm</t>
  </si>
  <si>
    <t>P.14.000.046621</t>
  </si>
  <si>
    <t>Lâmpada fluorescente compacta sem reator integrado, base G24q-3 26W-2U duplo, ref. Dulux D/E 26W/827 ou 840 da Osram ou equivalente</t>
  </si>
  <si>
    <t>P.14.000.046622</t>
  </si>
  <si>
    <t>Lâmpada LED tubular T8, base G13 de 9 a 10W, 900 até 1050 Im, cor 4000 a 6500K, vida útil mínimo 25.000 horas, garantia mínima de 3 anos pelo fabricante, ref. Essential LEDtube 600mm 9W da Philips, Tubo LED T8 10W/4000 600 mm da Osram ou equivalente</t>
  </si>
  <si>
    <t>P.14.000.046623</t>
  </si>
  <si>
    <t>Lâmpada LED tubular T8, base G13 - 18 a 20W, 1850 até 2000 lm, cor 4000 a 6500K, vida útil mín. 25.000 horas; ref. Essential LEDtube 1200mm 18W 840/865 Philips, Tubo LED T8 - 20W/4000/5000/6500 1200mm da Osram ou equivalente</t>
  </si>
  <si>
    <t>P.14.000.090586</t>
  </si>
  <si>
    <t>P.14.000.091202</t>
  </si>
  <si>
    <t>P.14.000.091203</t>
  </si>
  <si>
    <t>Lâmpada fluorescente compacta sem reator integrado, base G-24D-3 26W-2U duplo; ref. D26 W / 41-827 da Dulux, 840 da Osram, PL-C / 2 P26 W / 827 ou 840 da Philips ou equivalente</t>
  </si>
  <si>
    <t>P.14.000.092181</t>
  </si>
  <si>
    <t>P.15.000.031401</t>
  </si>
  <si>
    <t>P.15.000.031407</t>
  </si>
  <si>
    <t>Luminária blindada tipo arandela, com suporte articulado, globo em vidro liso incolor e grade de proteção, para lâmpada LED; ref. Tramontina ou equivalente</t>
  </si>
  <si>
    <t>P.15.000.031434</t>
  </si>
  <si>
    <t>P.15.000.031435</t>
  </si>
  <si>
    <t>P.15.000.034006</t>
  </si>
  <si>
    <t>P.15.000.034101</t>
  </si>
  <si>
    <t>P.15.000.034102</t>
  </si>
  <si>
    <t>P.15.000.034104</t>
  </si>
  <si>
    <t>P.15.000.034106</t>
  </si>
  <si>
    <t>P.15.000.034109</t>
  </si>
  <si>
    <t>P.15.000.034118</t>
  </si>
  <si>
    <t>P.15.000.034120</t>
  </si>
  <si>
    <t>P.15.000.034123</t>
  </si>
  <si>
    <t>P.15.000.034124</t>
  </si>
  <si>
    <t>P.15.000.034127</t>
  </si>
  <si>
    <t>P.15.000.034128</t>
  </si>
  <si>
    <t>P.15.000.034129</t>
  </si>
  <si>
    <t>P.15.000.034131</t>
  </si>
  <si>
    <t>P.15.000.034132</t>
  </si>
  <si>
    <t>P.15.000.034133</t>
  </si>
  <si>
    <t>Luminária retangular tipo arandela externa, (axlxp) 40x13x8cm, com difusor em polietileno ou vidro leitoso, com dois soquetes E27, diversas cores</t>
  </si>
  <si>
    <t>P.15.000.034134</t>
  </si>
  <si>
    <t>P.15.000.034200</t>
  </si>
  <si>
    <t>Luminária LED solar integrada para poste, com suporte para fixação; ref. linha Sahy CLS-UF80 da Conexled, Atlas All in One 80W da Fotovolt,  EIF-80W da Lightsolar ou equivalente</t>
  </si>
  <si>
    <t>P.15.000.045618</t>
  </si>
  <si>
    <t>Módulo tomada RJ-45 1 posto, referência Alumbra linha Belise ou equivalente</t>
  </si>
  <si>
    <t>P.15.000.046012</t>
  </si>
  <si>
    <t>P.15.000.046030</t>
  </si>
  <si>
    <t>P.15.000.046050</t>
  </si>
  <si>
    <t>P.15.000.046064</t>
  </si>
  <si>
    <t>P.15.000.046068</t>
  </si>
  <si>
    <t>Luminária retangular de sobrepor tipo calha aberta para 4 lâmpadas fluorescentes tubulares de 32W, ref. CN10-S432 da Lumicenter ou equivalente</t>
  </si>
  <si>
    <t>P.15.000.046071</t>
  </si>
  <si>
    <t>P.15.000.046093</t>
  </si>
  <si>
    <t>P.15.000.046106</t>
  </si>
  <si>
    <t>Luminária fechada retangular tipo pétala pequena, com alojamento para reator, ref. DP-2198-01, DP-2198-02 da Projeto ou equivalente</t>
  </si>
  <si>
    <t>P.15.000.046107</t>
  </si>
  <si>
    <t>P.15.000.046109</t>
  </si>
  <si>
    <t>P.15.000.046175</t>
  </si>
  <si>
    <t>P.15.000.046177</t>
  </si>
  <si>
    <t>Luminária de embutir redonda com foco orientável e acessórios antiofuscante, para 1 lâmpada dicroica de 50 W, base GZ-10; ref. linha face plana IL0073-GZ Interlight ou equivalente</t>
  </si>
  <si>
    <t>P.15.000.046347</t>
  </si>
  <si>
    <t>P.15.000.046348</t>
  </si>
  <si>
    <t>P.15.000.046351</t>
  </si>
  <si>
    <t>P.15.000.046568</t>
  </si>
  <si>
    <t>P.15.000.049559</t>
  </si>
  <si>
    <t>Laço lateral duplo para cabo 4 15kV</t>
  </si>
  <si>
    <t>P.15.000.049560</t>
  </si>
  <si>
    <t>Laço pre-formado de topo para cabo CA 4 AWG</t>
  </si>
  <si>
    <t>P.15.000.090205</t>
  </si>
  <si>
    <t>Luminária LED quadrada, sobrepor, de 15 a 24W fluxo lum. 1363 a 1800 lm, 220V, temper. de cor 4000 K, difusor prismático transparente; ref. 400-24/1 LED da ARM, EF75-S2000840, difusor leitoso Lumicenter, PL 289/LED18W TL Prolumi ou equivalente</t>
  </si>
  <si>
    <t>P.15.000.091173</t>
  </si>
  <si>
    <t>Luminária blindada oval de sobrepor em alumínio fundido ou arandela, para lâmpada fluorescente compacta</t>
  </si>
  <si>
    <t>P.15.000.091243</t>
  </si>
  <si>
    <t>Luminária blindada de sobrepor ou pendente para 2 lâmpadas fluorescentes 32/36/40 W, ref. HT01S232 da Lumicenter ou equivalente</t>
  </si>
  <si>
    <t>P.15.000.091298</t>
  </si>
  <si>
    <t>P.15.000.091336</t>
  </si>
  <si>
    <t>P.15.000.092173</t>
  </si>
  <si>
    <t>P.15.000.092174</t>
  </si>
  <si>
    <t>P.15.000.092175</t>
  </si>
  <si>
    <t>P.16.000.067001</t>
  </si>
  <si>
    <t>Bloco autônomo de iluminação de emergência LED, autonomia de 3 horas, equipado com 2 faróis, fluxo luminoso 2.000 até 3.000 lúmens; ref. FAE-LED216 da KBR, Bloco de 3000 lumens da Segurimax ou equivalente</t>
  </si>
  <si>
    <t>P.16.000.067004</t>
  </si>
  <si>
    <t>Luminária de emergência LED sobrepor, teto ou parede (frontral/ lateral), dupla face, autonomia mínima 2 horas, 30/35 lúmens, bivolt 110/220V, bateria recarregável; ref. Iluminim, Intelbras, Segurimax ou equivalente</t>
  </si>
  <si>
    <t>P.16.000.091001</t>
  </si>
  <si>
    <t>Módulo para adaptação de luminária de emergência, autonomia 90 minutos para lâmpada fluorescente de 32W</t>
  </si>
  <si>
    <t>P.16.000.091030</t>
  </si>
  <si>
    <t>Central de detecção e alarme de incêndio, autonomia de 1 hora para 12 laços, 220V/12V</t>
  </si>
  <si>
    <t>P.16.000.091342</t>
  </si>
  <si>
    <t>Central para iluminação de emergência, completa (incluso 9 baterias de 150A - 1h30min), de 5000 a 7500 W, ref. UNILAMP USE 110/7000 Unitron ou equivalente</t>
  </si>
  <si>
    <t>P.16.000.091551</t>
  </si>
  <si>
    <t>P.17.000.030001</t>
  </si>
  <si>
    <t>Unidade gerenciadora digital de vídeo em rede (NVR) de até 8 câmeras IP em Full HD a 30FPS, armazenamento de 6 TB, 1 interface de rede Fast Ethernet; ref. NVD 1008 P da Intelbras ou equivalente</t>
  </si>
  <si>
    <t>P.17.000.030003</t>
  </si>
  <si>
    <t>Unidade gerenciadora digital de vídeo em rede (NVR) de até 16 câmeras IP em Full HD a 30FPS, armazen. de 12 TB, 1 interface de rede Gigabit Ethernet e 4 entradas de alarme; ref. NVD 3016 P da Intelbras ou equivalente</t>
  </si>
  <si>
    <t>P.17.000.030005</t>
  </si>
  <si>
    <t>Unidade gerenciadora digital de vídeo em rede (NVR) de até 32 câmeras IP em Full HD a 30FPS, para armazenamento de 48 TB, 2 interface de rede Gigabit Ethernet e 16 entradas de alarme; referência NVD 7032 da Intelbras ou equivalente</t>
  </si>
  <si>
    <t>P.17.000.030502</t>
  </si>
  <si>
    <t>Fonte de alimentação chaveada universal (bivolt), com saída de 24V 1,5A 35W; reerência comercial LRS-35-24 da Mean Well, I20667 Metaltex ou equivalente</t>
  </si>
  <si>
    <t>P.17.000.030515</t>
  </si>
  <si>
    <t>Rack fechado de piso padrão metálico, 19 x 44 Us x 770 mm</t>
  </si>
  <si>
    <t>P.17.000.030518</t>
  </si>
  <si>
    <t>Guia organizadora de cabos para rack, 19´ 1 U</t>
  </si>
  <si>
    <t>P.17.000.030520</t>
  </si>
  <si>
    <t>P.17.000.030522</t>
  </si>
  <si>
    <t>Rack fechado padrão metálico, 19 x 12 Us x 470 mm</t>
  </si>
  <si>
    <t>P.17.000.030523</t>
  </si>
  <si>
    <t>Bandeja fixa para rack, 19´ x 500 mm</t>
  </si>
  <si>
    <t>P.17.000.030524</t>
  </si>
  <si>
    <t>Bandeja fixa para rack, 19" x 800 mm</t>
  </si>
  <si>
    <t>P.17.000.030525</t>
  </si>
  <si>
    <t>Bandeja deslizante para rack, 19´ x 800 mm</t>
  </si>
  <si>
    <t>P.17.000.030531</t>
  </si>
  <si>
    <t>Guia organizadora de cabos para rack, 19´ 2 U</t>
  </si>
  <si>
    <t>P.17.000.030537</t>
  </si>
  <si>
    <t>Detector ou sensor de gás liquefeito (GLP), gás natural (GN) ou derivados de metano, endereçável; ref. Gevi gamma, AFDG2E da Abafire, AGD da Contech, IL022 da Aerot, MGC1000 da Minipa ou equivalente</t>
  </si>
  <si>
    <t>P.17.000.030538</t>
  </si>
  <si>
    <t>Painel repetidor de detecção e alarme de incêndio tipo endereçável</t>
  </si>
  <si>
    <t>P.17.000.030550</t>
  </si>
  <si>
    <t>Alarme hidráulico com gongo, cobertura e corpo em alumínio fundido ASTM-B-209, pintado na cor vermelha; ref. Reliablel, Skop ou equivalente</t>
  </si>
  <si>
    <t>P.17.000.030555</t>
  </si>
  <si>
    <t>Módulo isolador, módulo endereçador para audiovisual; ref. LSC-ISO da Global Fire, IRC485T03 da Tecnohold, IDL 520 da Intelbras, MIC-E 02251 da Ilumac ou equivalente</t>
  </si>
  <si>
    <t>P.17.000.030562</t>
  </si>
  <si>
    <t>Câmera fixa colorida compacta, resolução 1/3 Megapixels, tipo mini com lente varifocal, para áreas internas e externas; ref. VIP S3120 IP mini Bullet 1.3MP da Intelbras, IP GSIP1300TVP Bullet da Giga ou equivalente</t>
  </si>
  <si>
    <t>P.17.000.030563</t>
  </si>
  <si>
    <t>Câmera Dome IP HD 1.3MP, para áreas internas e externas, função WDR, com lente varifocal, possui função SIP (vídeo chamadas); ref. IP Dome HD VIP E4220Z da Intelbras, GV EDR2100-0F da Geovision ou equivalente</t>
  </si>
  <si>
    <t>P.17.000.030575</t>
  </si>
  <si>
    <t>Câmera fixa com domo e suporte de fixação, sensor de imagem CMOS, função WDR e IP 66; ref. NDI-50022-V3 da Bosch ou equivalente</t>
  </si>
  <si>
    <t>P.17.000.030578</t>
  </si>
  <si>
    <t>P.17.000.030580</t>
  </si>
  <si>
    <t>Unidade de disco rígido (HD) externo de 5 TB</t>
  </si>
  <si>
    <t>P.17.000.030581</t>
  </si>
  <si>
    <t>Bandeja deslizante para Rack de 19" padrão, com profundidade de 770 mm</t>
  </si>
  <si>
    <t>P.17.000.030583</t>
  </si>
  <si>
    <t>Estação de trabalho "WorkStation" para central de monitoramento com até 3 monitores, memória RAM de 8 GB; referência T3620 MT da empresa Dell ou equivalente</t>
  </si>
  <si>
    <t>P.17.000.030586</t>
  </si>
  <si>
    <t>Mesa controladora híbrida para até 32 câmeras IPs com teclado e joystick, compatível com sistema de CFTV, IP ou analógico; ref. modelo VTN-2000 da Intelbras ou equivalente</t>
  </si>
  <si>
    <t>P.17.000.030587</t>
  </si>
  <si>
    <t>Estação de monitoramento "WorkStation" para até 3 monitores, memória RAM de 16 GB DDR4, Placa de vídeo 5 GB DD5; ref. Z4 da marca HP ou equivalente</t>
  </si>
  <si>
    <t>P.17.000.030601</t>
  </si>
  <si>
    <t>P.17.000.030603</t>
  </si>
  <si>
    <t>Central de pabx para 2 linhas e 8 ramais; ref. Conecta + da Intelbras, incluso o kit de mais 1 placa de 4 ramais e 1 placa Disa de atendimento automático</t>
  </si>
  <si>
    <t>P.17.000.030700</t>
  </si>
  <si>
    <t>Sinalizador audiovisual endereçável com LEDs pulsantes do tipo flash, ref. SAV-E da Firemac, VALKYRIE A da Global Fire ou equivalente</t>
  </si>
  <si>
    <t>P.17.000.030701</t>
  </si>
  <si>
    <t>Chave de fluxo para ar</t>
  </si>
  <si>
    <t>P.17.000.030702</t>
  </si>
  <si>
    <t>Repetidor de Sinal I/I e V/I</t>
  </si>
  <si>
    <t>P.17.000.030703</t>
  </si>
  <si>
    <t>P.17.000.030704</t>
  </si>
  <si>
    <t>Transmissor de pressão diferencial, operação de 0 a 750 Pa</t>
  </si>
  <si>
    <t>P.17.000.030705</t>
  </si>
  <si>
    <t>Controlador lógico programável 16 entradas/16 saídas</t>
  </si>
  <si>
    <t>P.17.000.030706</t>
  </si>
  <si>
    <t>Módulo de expansão para 8 canais de entrada analógica</t>
  </si>
  <si>
    <t>P.17.000.030707</t>
  </si>
  <si>
    <t>Módulo de expansão para 8 de entradas e saídas digitais</t>
  </si>
  <si>
    <t>P.17.000.030708</t>
  </si>
  <si>
    <t>Módulos de expansão para 4 canais de saídas analógicas</t>
  </si>
  <si>
    <t>P.17.000.030710</t>
  </si>
  <si>
    <t>Termostato de segurança 90-110C, ref. BT-TRL-90110 da Slic Equipamentos, LS1 da Actua Controls ou equivalente</t>
  </si>
  <si>
    <t>P.17.000.030711</t>
  </si>
  <si>
    <t>Transmissor de pressão compacto, escala de pressão de 0 A 10 BAR, sinal de saída de 4 - 20 MA; ref. MBS1700 da Danfos, PX119 da Omega, RTP-420 da Rücken ou equivalente</t>
  </si>
  <si>
    <t>P.17.000.030712</t>
  </si>
  <si>
    <t>Transmissor de temperatura/umidade para dutos 3% 4-20 mA, ref. RHP-3D11 da Slic equipamentos, ou equivalente</t>
  </si>
  <si>
    <t>P.17.000.030715</t>
  </si>
  <si>
    <t>Termostato para aquecimento ou refrigeração com programação horária, referência comercial Full Gauge ou equivalente</t>
  </si>
  <si>
    <t>P.17.000.030716</t>
  </si>
  <si>
    <t>Poço Termométrico em alumínio com haste de 30mm e rosca 1/2" npt, ref. Comercial: Full Gauge ou equivalente</t>
  </si>
  <si>
    <t>P.17.000.031477</t>
  </si>
  <si>
    <t>Ponto de acesso de dados (Acess Point), para acesso em rede local sem fio, ref. com.: EAP245-AC1750-V1 da TP-Link, WAP150 da Cisco, DAP-2610 da D-Link ou equivalente</t>
  </si>
  <si>
    <t>P.17.000.031489</t>
  </si>
  <si>
    <t>Central de pabx híbrida de telefonia para 8 linhas tronco e 24 a 32 ramais (digital e analógico); ref. Intelbras Impacta 40 /68i, Panasonic KXTES 32 ou equivalente</t>
  </si>
  <si>
    <t>P.17.000.031490</t>
  </si>
  <si>
    <t>Switch Gigabit 24 portas 10/100/1000 Base TX Layer 2 mínimo com porta de saída em fibra</t>
  </si>
  <si>
    <t>P.17.000.031495</t>
  </si>
  <si>
    <t>Video porteiro eletrônico colorido com um interfone; referência comercial HDL 90.02.01.033, 90.02.01.700 ou equivalente</t>
  </si>
  <si>
    <t>P.17.000.035701</t>
  </si>
  <si>
    <t>P.17.000.035705</t>
  </si>
  <si>
    <t>Sistema eletrônico de automatização de portão deslizante, para esforço maior de 800kg e até 1400 kg, mono 220 V, com 3 controles de acesso; ref. DZ IND 1500 / EURUS 2000 da PPA ou equivalente - instalado</t>
  </si>
  <si>
    <t>P.17.000.035713</t>
  </si>
  <si>
    <t>Sistema eletrônico de automatização de portão deslizante, para esforços até 800 kg, mono 220 V, com 2 controles de acesso; ref. DZ4 DK 1/3hp da Rossi ou equivalente - instalado</t>
  </si>
  <si>
    <t>P.17.000.037603</t>
  </si>
  <si>
    <t>Sistema de alarme PNE com indicador audiovisual, com fio, com etiquetas informativas em alumínio com impressão UV e adesivos, resistente às intempéries conforme NBR 9050/2015, para pessoas com mobilidade reduzida ou cadeirante</t>
  </si>
  <si>
    <t>P.17.000.037604</t>
  </si>
  <si>
    <t>Sistema de alarme PNE com indicador audiovisual, sem fio (Wireless), com etiquetas informativas em alumínio com impressão UV e adesivos, resistente às intempéries conforme NBR 9050/2015, para pessoas com mobilidade reduzida ou cadeirante</t>
  </si>
  <si>
    <t>P.17.000.041097</t>
  </si>
  <si>
    <t>P.17.000.041119</t>
  </si>
  <si>
    <t>Dispositivo de partida ´Soft Starter´ para motor 220 V, trifásico de 40cv, ref. SSW070130T5SZ da Weg ou equivalente</t>
  </si>
  <si>
    <t>P.17.000.041120</t>
  </si>
  <si>
    <t>Dispositivo Soft Starter para motor 15 cv, trifásico 220 V, ref. SSW070045T5SZ da Weg ou equivalente</t>
  </si>
  <si>
    <t>P.17.000.041121</t>
  </si>
  <si>
    <t>Dispositivo Soft Starter para motor 25 cv, trifásico 220 V, ref. SSW070085T5SZ da Weg ou equivalente</t>
  </si>
  <si>
    <t>P.17.000.042200</t>
  </si>
  <si>
    <t>P.17.000.042462</t>
  </si>
  <si>
    <t>Alarme sonoro bitonal de 220V, para painel de comando; ref. 104/220 B Cutler Hammer ou equivalente</t>
  </si>
  <si>
    <t>P.17.000.042521</t>
  </si>
  <si>
    <t>Detector óptico de fumaça endereçável, com base de fixação, ref. BH-300 da Kidde, Protege ou equivalente</t>
  </si>
  <si>
    <t>P.17.000.042527</t>
  </si>
  <si>
    <t>Protetor de surto para bloco de distribuição, referência MPDG Slim RG / MPDG Slim RS da Bargoa, MP-R-CC (G) da Clamper ou equivalente</t>
  </si>
  <si>
    <t>P.17.000.042538</t>
  </si>
  <si>
    <t>Divisor interno com 1 entrada e 2 saídas 75 Ohms, ref. WDI/275 Wadt ou equivalente</t>
  </si>
  <si>
    <t>P.17.000.042539</t>
  </si>
  <si>
    <t>Divisor interno com 1 entrada e 4 saídas 75 Ohms, ref. WDI/475 Wadt ou equivalente</t>
  </si>
  <si>
    <t>P.17.000.042541</t>
  </si>
  <si>
    <t>P.17.000.042542</t>
  </si>
  <si>
    <t>Antema WI-FI dual band access point, banda 450Mbps em 2.4GHz e 1300Mbps em 5GHz, compatível em PoE (802,3at); ref. AC1750 - EAP245 TP-Link ou equivalente</t>
  </si>
  <si>
    <t>P.17.000.042546</t>
  </si>
  <si>
    <t>P.17.000.042563</t>
  </si>
  <si>
    <t>Modulador de canais modelo ágil, ref. PQMO-2600G2 da Proeletronic ou equivalente</t>
  </si>
  <si>
    <t>P.17.000.042566</t>
  </si>
  <si>
    <t>Amplificador transistorizado de linha VHF (50 a 220 MHz, 50 dB) ou UHF (470 a 800 MHz, 48 dB), nível de saída 1, 4 e 8 canais, conectores de saída F-fêmea - 110/220V</t>
  </si>
  <si>
    <t>P.17.000.046322</t>
  </si>
  <si>
    <t>Sensor de presença infravermelho passivo e microondas sem fio, alcance 12m, frequência 433,92Mhz, cobertura 90°; ref. Intelbras IVP2000 SR ou equivalente</t>
  </si>
  <si>
    <t>P.17.000.050018</t>
  </si>
  <si>
    <t>Transceptor Gigabit SX conectável de formato pequeno (SFP); ref. MGBSX1 da Cisco ou equivalente</t>
  </si>
  <si>
    <t>P.17.000.050162</t>
  </si>
  <si>
    <t>Sistema ininterrupto de energia monofásico no break, de 5 a 7,5 kVA (110 / 120 V), autonomia 15 minutos</t>
  </si>
  <si>
    <t>P.17.000.050167</t>
  </si>
  <si>
    <t>Sistema ininterrupto de energia monofásico de 2 kVA (127 / 127 V), autonomia 40 minutos</t>
  </si>
  <si>
    <t>P.17.000.050178</t>
  </si>
  <si>
    <t>Sistema ininterrupto de energia trifásico de 10 kVA (220 / 220 V), autonomia 15 minutos</t>
  </si>
  <si>
    <t>P.17.000.050179</t>
  </si>
  <si>
    <t>Sistema ininterrupto de energia trifásico de 20 kVA (220 / 208 / 108 V), autonomia 15 minutos</t>
  </si>
  <si>
    <t>P.17.000.050181</t>
  </si>
  <si>
    <t>Sistema ininterrupto de energia trifásico on line, de 15 kVA (208 / 110 V), autonomia 15 minutos</t>
  </si>
  <si>
    <t>P.17.000.050183</t>
  </si>
  <si>
    <t>Sistema ininterrupto de energia monofásico on line, de 5 kVA (220 / 110 V), com autonomia 15 minutos</t>
  </si>
  <si>
    <t>P.17.000.050186</t>
  </si>
  <si>
    <t>Sistema ininterrupto de energia, monofásico no break, de 600 VA (127 / 127 V, com autonomia de 10 a 15 minutos</t>
  </si>
  <si>
    <t>P.17.000.050192</t>
  </si>
  <si>
    <t>Sistema ininterrupto de energia trifásico de 10 kVA (220 / 110 V), autonomia 2 horas</t>
  </si>
  <si>
    <t>P.17.000.050208</t>
  </si>
  <si>
    <t>Estabilizador eletrônico de tensão, trifásico, com potência de 40 kVA (220/110V)</t>
  </si>
  <si>
    <t>P.17.000.050214</t>
  </si>
  <si>
    <t>Sistema ininterrupto de energia trifásico on line, de 20 kVA (220/127V), automação 15 minutos</t>
  </si>
  <si>
    <t>P.17.000.050215</t>
  </si>
  <si>
    <t>Sistema ininterrupto de energia trifásico on line, de 60 kVA (220/127V), automação 15 minutos</t>
  </si>
  <si>
    <t>P.17.000.050218</t>
  </si>
  <si>
    <t>Sistema ininterrupto de energia trifásico on line, de 80 kVA (220/127V), automação 15 minutos</t>
  </si>
  <si>
    <t>P.17.000.050220</t>
  </si>
  <si>
    <t>Sistema ininterrupto de energia, trifásico de 20 kVA, no break, entrada 380 V e saída 220 V, com autonomia de 15 minutos</t>
  </si>
  <si>
    <t>P.17.000.050224</t>
  </si>
  <si>
    <t>Sistema ininterrupto de energia on line senoidal, de 50 kVA (220/110 V), com automação de 15 minutos</t>
  </si>
  <si>
    <t>P.17.000.050225</t>
  </si>
  <si>
    <t>Sistema ininterrupto de energia, trifásico on line senoidal, de 5 kVA (220/110 V), com automação de 15 minutos</t>
  </si>
  <si>
    <t>P.17.000.050226</t>
  </si>
  <si>
    <t>Sistema ininterrupto de energia, trifásico on line senoidal, de 10 kVA (220/110 V), com autonomia de 15 minutos</t>
  </si>
  <si>
    <t>P.17.000.050231</t>
  </si>
  <si>
    <t>Sistema ininterrupto de energia, trifásico on line senoidal, de 7,5 kVA (220/110 V), com autonomia de 15 minutos</t>
  </si>
  <si>
    <t>P.17.000.050257</t>
  </si>
  <si>
    <t>Sistema ininterrupto de energia trifásico on line senoidal, de 40kVA, 380V/220V, com autonomia de 15 minutos; ref. Conception da CM Comandos Lineares, Sigma da Beta Eletronic, Energy Master, Oneupsti, Processtec ou equivalente</t>
  </si>
  <si>
    <t>P.17.000.067301</t>
  </si>
  <si>
    <t>Bloco de ligação com engate rápido para 10 pares com suporte BER-10</t>
  </si>
  <si>
    <t>P.17.000.090534</t>
  </si>
  <si>
    <t>Destravador magnético eletroímã (sem fonte), para porta corta-fogo de 24 Vcc, ref. Gevi gamma ou equivalente</t>
  </si>
  <si>
    <t>P.17.000.090899</t>
  </si>
  <si>
    <t>Rack fechado de piso padrão metálico, 19 x 24 Us x 570 mm</t>
  </si>
  <si>
    <t>P.17.000.091007</t>
  </si>
  <si>
    <t>Detector termovelocimétrico com base endereçável; ref. Johnson Controls, Fire &amp; Security, Aerotex Extintores ou equivalente</t>
  </si>
  <si>
    <t>P.17.000.091009</t>
  </si>
  <si>
    <t>Sirene audiovisual tipo endereçável, potência de 90 a 110db, tensão até 24Vcc, corrente 100mA, leds alto brilho; ref. VRE-SVF da Verin, Strobe 99dB da Siemens ou equivalente</t>
  </si>
  <si>
    <t>P.17.000.091031</t>
  </si>
  <si>
    <t>Sirene tipo corneta com potência nominal de 12V, potência sonora entre 115dB a 120dB, potência elétrica de 15 a 20W; ref. NA/12V da Aureon, GLK, DNI ou equivalente</t>
  </si>
  <si>
    <t>P.17.000.091404</t>
  </si>
  <si>
    <t>Aparelho telefônico multifrequencial, analógico, teclas: FLASH, HOOK, PAUSE, LND e MODE, controle discagem em pulso e tom, controle de volume em 3 níveis</t>
  </si>
  <si>
    <t>P.17.000.091560</t>
  </si>
  <si>
    <t>Sirene eletrônica em caixa metálica de 12 / 24 Volts</t>
  </si>
  <si>
    <t>P.17.000.091621</t>
  </si>
  <si>
    <t>Cancela automática com gabinete aço e barreira em alumínio de 3,50 até 4,00 m; ref. Gatter Peccinin, Barrier da PPA, Prime DC da Garen, Max Peccinin, Brasso jetflex da PPA ou equivalente</t>
  </si>
  <si>
    <t>P.17.000.092197</t>
  </si>
  <si>
    <t>P.17.000.092199</t>
  </si>
  <si>
    <t>Estabilizador eletrônico de tensão monofásico com potência, 10 kVA</t>
  </si>
  <si>
    <t>P.17.000.092292</t>
  </si>
  <si>
    <t>Controlador de acesso com identificação por impressão digital (biometria) e software de gerencimento; ref. SS 411E da Intelbras, iDAccess da Controlid ou equivalente</t>
  </si>
  <si>
    <t>P.17.000.092764</t>
  </si>
  <si>
    <t>Central alarme microprocessada para até 125 zonas, ref. FP-01 da Gevi Gamma ou equivalente</t>
  </si>
  <si>
    <t>P.17.000.092765</t>
  </si>
  <si>
    <t>Repetidora sinais do painel sinóptico para central</t>
  </si>
  <si>
    <t>P.17.000.092771</t>
  </si>
  <si>
    <t>Detector microprocessado metais tipo portal; ref. MAGXXI linha 300 / 3P da Magnetec; DMP-01/MP da Priel ou equivalente</t>
  </si>
  <si>
    <t>P.18.000.042520</t>
  </si>
  <si>
    <t>Painel frontal cego de 19´ x 1 U; ref. Itcomtech/20, Furukawa, Garra ou equivalente</t>
  </si>
  <si>
    <t>P.18.000.042526</t>
  </si>
  <si>
    <t>Painel frontal cego de 19´ x 2 U; ref. Itcomtech/20, Furukawa, Garra ou equivalente</t>
  </si>
  <si>
    <t>P.18.000.045100</t>
  </si>
  <si>
    <t>Caixa base lateral tipo ´N´ (1300x400x250mm), ref. Phaynell, JSA ou equivalente</t>
  </si>
  <si>
    <t>P.18.000.045101</t>
  </si>
  <si>
    <t>Caixa de medição tipo ´M´ externa de (900x1200x270)mm, padrão Eletropaulo</t>
  </si>
  <si>
    <t>P.18.000.045102</t>
  </si>
  <si>
    <t>Caixa para seccionadora tipo ´T´, (900x600x250)mm, padrão Eletropaulo</t>
  </si>
  <si>
    <t>P.18.000.045103</t>
  </si>
  <si>
    <t>Caixa de medição tipo II, (300 x 560 x 200)mm, padrão concessionárias</t>
  </si>
  <si>
    <t>P.18.000.045106</t>
  </si>
  <si>
    <t>Caixa de medição externa tipo ´N´ (1300x1200x270)mm, padrão Eletropaulo</t>
  </si>
  <si>
    <t>P.18.000.045108</t>
  </si>
  <si>
    <t>Caixa de proteção para TC, em chapa 14, (1000x750x300) mm, padrão CPFL</t>
  </si>
  <si>
    <t>P.18.000.045109</t>
  </si>
  <si>
    <t>Caixa de medição externa tipo ´L´ (900x600x270)mm, padrão Eletropaulo</t>
  </si>
  <si>
    <t>P.18.000.045110</t>
  </si>
  <si>
    <t>Caixa de medição ´A1´para cabine primária (1000x1000x300)mm, padrão Eletropaulo</t>
  </si>
  <si>
    <t>P.18.000.045111</t>
  </si>
  <si>
    <t>Caixa de proteção dos bornes do medidor, em chapa 18, (300x250x90) mm padrão CPFL</t>
  </si>
  <si>
    <t>P.18.000.045116</t>
  </si>
  <si>
    <t>P.18.000.045121</t>
  </si>
  <si>
    <t>Caixa de medição polifásica tipo III, (500x600x200)mm, padrão concessionárias</t>
  </si>
  <si>
    <t>P.18.000.049566</t>
  </si>
  <si>
    <t>Suporte para transformação em poste/estaleiro</t>
  </si>
  <si>
    <t>P.18.000.050127</t>
  </si>
  <si>
    <t>P.18.000.050128</t>
  </si>
  <si>
    <t>P.18.000.050129</t>
  </si>
  <si>
    <t>P.18.000.050130</t>
  </si>
  <si>
    <t>P.18.000.050131</t>
  </si>
  <si>
    <t>P.18.000.050132</t>
  </si>
  <si>
    <t>P.18.000.050133</t>
  </si>
  <si>
    <t>P.18.000.050134</t>
  </si>
  <si>
    <t>P.18.000.050135</t>
  </si>
  <si>
    <t>P.18.000.050269</t>
  </si>
  <si>
    <t>Cubículo de média tensão para uso ao tempo IP-53 (mínimo), classe 24kV para 300kVA, padrão CPFL, Piratininga, Elektro, Eletropaulo, etc.; ref. Beghim, ABB, VR Painéis, Gimi ou equivalente</t>
  </si>
  <si>
    <t>P.18.000.050271</t>
  </si>
  <si>
    <t>Quadro de embutir em chapa de aço, para disjuntores 16 DIN / 12 Bolt-on de 150 A, QDETG-U II, ref. 904501 da Cemar ou equivalente</t>
  </si>
  <si>
    <t>P.18.000.050272</t>
  </si>
  <si>
    <t>Quadro de embutir em chapa de aço, para disjuntores 24 DIN / 18 Bolt-on de 150 A, QDETG-U II, ref. 904502 da Cemar ou equivalente</t>
  </si>
  <si>
    <t>P.18.000.050273</t>
  </si>
  <si>
    <t>Quadro de embutir em chapa de aço, para disjuntores 34 DIN / 24 Bolt-on de 150 A, QDETG-U II, ref. 904503 da Cemar ou equivalente</t>
  </si>
  <si>
    <t>P.18.000.050274</t>
  </si>
  <si>
    <t>Quadro de embutir em chapa de aço, para disjuntores 44 DIN / 32 Bolt-on de 150 A, QDETG-U II, ref. 904504 da Cemar ou equivalente</t>
  </si>
  <si>
    <t>P.18.000.050275</t>
  </si>
  <si>
    <t>Quadro de embutir em chapa de aço, para disjuntores 56 DIN / 40 Bolt-on de 225 A, QDETG-U II, ref. 904505 da Cemar ou equivalente</t>
  </si>
  <si>
    <t>P.18.000.050276</t>
  </si>
  <si>
    <t>Quadro de embutir em chapa de aço, para disjuntores 70 DIN / 50 Bolt-on de 225 A, QDETG-U II, ref. 904506 da Cemar ou equivalente</t>
  </si>
  <si>
    <t>P.18.000.050277</t>
  </si>
  <si>
    <t>Quadro de sobrepor em chapa de aço, para disjuntores 16 DIN / 12 Bolt-on de 150 A, QDSTG-U II, ref. 904507 da Cemar ou equivalente</t>
  </si>
  <si>
    <t>P.18.000.050278</t>
  </si>
  <si>
    <t>Quadro de sobrepor em chapa de aço, para disjuntores 24 DIN / 18 Bolt-on de 150 A, QDSTG-U II, ref. 904508 da Cemar ou equivalente</t>
  </si>
  <si>
    <t>P.18.000.050279</t>
  </si>
  <si>
    <t>Quadro de sobrepor em chapa de aço, para disjuntores 34 DIN / 24 Bolt-on de 150 A, QDSTG-U II, ref. 904509 da Cemar ou equivalente</t>
  </si>
  <si>
    <t>P.18.000.050280</t>
  </si>
  <si>
    <t>Quadro de sobrepor em chapa de aço, para disjuntores 44 DIN / 32 Bolt-on de 150 A, QDSTG-U II, ref. 904510 da Cemar ou equivalente</t>
  </si>
  <si>
    <t>P.18.000.050281</t>
  </si>
  <si>
    <t>Quadro de sobrepor em chapa de aço, para disjuntores 56 DIN / 40 Bolt-on de 225 A, QDSTG-U II, ref. 904511 da Cemar ou equivalente</t>
  </si>
  <si>
    <t>P.18.000.050282</t>
  </si>
  <si>
    <t>Quadro de sobrepor em chapa de aço, para disjuntores 70 DIN / 50 Bolt-on de 225 A, QDSTG-U II, ref. 904512 da Cemar ou equivalente</t>
  </si>
  <si>
    <t>P.18.000.050287</t>
  </si>
  <si>
    <t>Cubículo de média tensão para uso ao tempo IP-53 (mínimo), classe 17,5kV e 300kVA, padrão CPFL, Piratininga, Elektro, Eletropaulo, etc.; referência comercial Beghim, ABB, VR Painéis, Gimi ou equivalente</t>
  </si>
  <si>
    <t>P.18.000.091179</t>
  </si>
  <si>
    <t>Painel autoportante/modular em chapa de aço, com proteção mínima IP-54, sem componentes; referência comercial Taunus, Press Mat ou equivalente</t>
  </si>
  <si>
    <t>P.18.000.091704</t>
  </si>
  <si>
    <t>P.18.000.092638</t>
  </si>
  <si>
    <t>Banco de medição para transformadores, TP/TC, Eletropaulo e Cesp</t>
  </si>
  <si>
    <t>P.18.000.092639</t>
  </si>
  <si>
    <t>Suporte para fixação lateral em cabine primária para TP´s 80 x 35 x 42 cm, em ferro cantoneira L: 1 1/2´ x esp. 1/8´</t>
  </si>
  <si>
    <t>P.19.000.024014</t>
  </si>
  <si>
    <t>Conector grampo cabo/haste de 3/4´</t>
  </si>
  <si>
    <t>P.19.000.040501</t>
  </si>
  <si>
    <t>Isolador tipo castanha de 85x90mm</t>
  </si>
  <si>
    <t>P.19.000.040516</t>
  </si>
  <si>
    <t>Grampo ´C´ de Ø 3/8´ e balancim grande para perfilado, ref. BF-078+BF-081 Bandeirantes, RP 2033+RP 2034 Real Perfil ou equivalente</t>
  </si>
  <si>
    <t>P.19.000.040517</t>
  </si>
  <si>
    <t>Gancho longo em chapa de aço zincado, para fixação de luminárias; ref. Perfilaço, TWT ou equivalente</t>
  </si>
  <si>
    <t>P.19.000.042219</t>
  </si>
  <si>
    <t>Captor tipo FRANKLIN, Hmin.= 300mm, 4 ou mais pontas,1 descida, cromado, ref. PRT-101 Paratec, PK-0003 Paraklin, TEL-020 Termotécnica ou equivalente</t>
  </si>
  <si>
    <t>P.19.000.042220</t>
  </si>
  <si>
    <t>Captor tipo FRANKLIN, Hmin.= 300mm, 4 ou mais pontas, 2 descidas, cromado, ref. PRT-102 Paratec, PK-0004 Paraklin, TEL-022 Termotécnica ou equivalente</t>
  </si>
  <si>
    <t>P.19.000.042223</t>
  </si>
  <si>
    <t>Isolador galvanizado reforçado para fixação a 90°</t>
  </si>
  <si>
    <t>P.19.000.042224</t>
  </si>
  <si>
    <t>Isolador galvanizado simples, chapa de encosto</t>
  </si>
  <si>
    <t>P.19.000.042225</t>
  </si>
  <si>
    <t>Isolador galvanizado simples reforçado, chapa de encosto</t>
  </si>
  <si>
    <t>P.19.000.042226</t>
  </si>
  <si>
    <t>Isolador galvanizado simples com calha para telha ondulada</t>
  </si>
  <si>
    <t>P.19.000.042227</t>
  </si>
  <si>
    <t>Isolador galvanizado simples reforçado com calha para telha ondulada</t>
  </si>
  <si>
    <t>P.19.000.042231</t>
  </si>
  <si>
    <t>Isolador galvanizado simples para mastro 2´, com 1 descida</t>
  </si>
  <si>
    <t>P.19.000.042232</t>
  </si>
  <si>
    <t>Isolador galvanizado simples para mastro 2´, com 2 descidas</t>
  </si>
  <si>
    <t>P.19.000.042233</t>
  </si>
  <si>
    <t>Isolador galvanizado reforçado para mastro 2´, com 1 descida</t>
  </si>
  <si>
    <t>P.19.000.042234</t>
  </si>
  <si>
    <t>Isolador galvanizado reforçado para mastro 2´, com 2 descida</t>
  </si>
  <si>
    <t>P.19.000.042235</t>
  </si>
  <si>
    <t>P.19.000.042236</t>
  </si>
  <si>
    <t>Apoio para mastro em aço galvanizado de 2´</t>
  </si>
  <si>
    <t>P.19.000.042237</t>
  </si>
  <si>
    <t>Base para mastro em aço galvanizado de 2´, ref. PK 0505 da Paraklim ou equivalente</t>
  </si>
  <si>
    <t>P.19.000.042238</t>
  </si>
  <si>
    <t>Contraventagem com cabo para mastro de 2´</t>
  </si>
  <si>
    <t>P.19.000.042240</t>
  </si>
  <si>
    <t>Mastro simples galvanizado de 2´, altura de 3 a 5 m, Inclusive luva de redução, ref. 703 Paraklin ou equivalente</t>
  </si>
  <si>
    <t>P.19.000.042241</t>
  </si>
  <si>
    <t>Suporte porta bandeira simples para mastro de 2´</t>
  </si>
  <si>
    <t>P.19.000.042242</t>
  </si>
  <si>
    <t>Suporte reforçado para porta bandeira de 2´</t>
  </si>
  <si>
    <t>P.19.000.042243</t>
  </si>
  <si>
    <t>Abraçadeira para fixação do aparelho sinalizador para mastro de diâmetro 2´</t>
  </si>
  <si>
    <t>P.19.000.042248</t>
  </si>
  <si>
    <t>Conector de emenda em latão para cabo até 50mm², com 4 parafusos</t>
  </si>
  <si>
    <t>P.19.000.042249</t>
  </si>
  <si>
    <t>Conector tipo olhal reforçado cabo/haste de 3/4", em latão forjado natural; ref. PK 0105 Paraklin, PRT-909 Paratec, 662401 Magnet, DR-098 Raycon, PG-0105 Paragam, TH-34-R Intelli, TTC006-1 Conimel ou equivalente</t>
  </si>
  <si>
    <t>P.19.000.042250</t>
  </si>
  <si>
    <t>P.19.000.042252</t>
  </si>
  <si>
    <t>P.19.000.042253</t>
  </si>
  <si>
    <t>Mastro para sinalizador de obstáculo de 1,50m x 3/4´</t>
  </si>
  <si>
    <t>P.19.000.042254</t>
  </si>
  <si>
    <t>Suporte para tubo de proteção com grapa de encosto 2´</t>
  </si>
  <si>
    <t>P.19.000.042255</t>
  </si>
  <si>
    <t>Suporte para tubo de proteção com grapa para chumbar 2´</t>
  </si>
  <si>
    <t>P.19.000.042257</t>
  </si>
  <si>
    <t>Tampa para caixa de inspeção cilíndrica em aço galvanizado</t>
  </si>
  <si>
    <t>P.19.000.042380</t>
  </si>
  <si>
    <t>Abraçadeira para cabo modelo MB-4 da 3M Scotch para fixação de cabo elétrico de potência, isolado de tensão até 35 KV</t>
  </si>
  <si>
    <t>P.19.000.042433</t>
  </si>
  <si>
    <t>Haste de aterramento de 3/4"x3 m, em aço SAE1010/1020, trefilado e revestido de cobre eletrolítico; ref. 6757 da Magnet, PK0068 da Paraklin ou equivalente</t>
  </si>
  <si>
    <t>P.19.000.042474</t>
  </si>
  <si>
    <t>Isolador galvanizado uso geral, 20 cm, PK-0195 da Paraklin,TEL-210 ou equivalente</t>
  </si>
  <si>
    <t>P.19.000.042476</t>
  </si>
  <si>
    <t>Caixa de inspeção do terra cilíndrica em PVC rígido, diâmetro de 300 mm, h= 400 mm</t>
  </si>
  <si>
    <t>P.19.000.042477</t>
  </si>
  <si>
    <t>Caixa de inspeção do terra cilíndrica em PVC rígido, diâmetro de 300 mm, h= 250 mm</t>
  </si>
  <si>
    <t>P.19.000.042478</t>
  </si>
  <si>
    <t>Caixa de inspeção do terra cilíndrica em PVC rígido, diâmetro de 300 mm, h= 600 mm</t>
  </si>
  <si>
    <t>P.19.000.043502</t>
  </si>
  <si>
    <t>Armação secundária para 1 estribo</t>
  </si>
  <si>
    <t>P.19.000.043503</t>
  </si>
  <si>
    <t>Armação secundária para 2 estribos</t>
  </si>
  <si>
    <t>P.19.000.043504</t>
  </si>
  <si>
    <t>Isolador tipo disco para 15kV</t>
  </si>
  <si>
    <t>P.19.000.043505</t>
  </si>
  <si>
    <t>Isolador tipo roldana baixa tensão de 76 x 79 mm</t>
  </si>
  <si>
    <t>P.19.000.044301</t>
  </si>
  <si>
    <t>Barra condutora chata em cobre de 3/4´ x 3/16´; ref. TEL 780 Termotécnica ou equivalente</t>
  </si>
  <si>
    <t>P.19.000.044304</t>
  </si>
  <si>
    <t>Caixa de equalização com barra cobre 6mm, embutir, chapa de aço com pintura esmaltada, de 400x400mm e tampa, uso interno, ref. Tel-900 Termotécnica ou equivalente</t>
  </si>
  <si>
    <t>P.19.000.044305</t>
  </si>
  <si>
    <t>Caixa de equalização com barra cobre 6mm, embutir, chapa de aço com pintura esmaltada, de 200x200mm e tampa, uso interno, ref. Tel-901 Termotécnica ou equivalente</t>
  </si>
  <si>
    <t>P.19.000.044306</t>
  </si>
  <si>
    <t>Fixador componente A+B; ref. FGG 01 da Gelcam ou equivalente</t>
  </si>
  <si>
    <t>P.19.000.044307</t>
  </si>
  <si>
    <t>Suporte para fixação de terminal aéreo e ou cabo de cobre; ref. SGG01 da Gelcam ou equivalente</t>
  </si>
  <si>
    <t>P.19.000.044308</t>
  </si>
  <si>
    <t>Terminal aéreo em barra de cobre circular maciço, diâmetro de 1/4´ x 300; ref. TAG da Gelcam ou equivalente</t>
  </si>
  <si>
    <t>P.19.000.044309</t>
  </si>
  <si>
    <t>Presilha em latão para cabos de 16 até 50 mm²; ref. Termotécnica ou equivalente</t>
  </si>
  <si>
    <t>P.19.000.044310</t>
  </si>
  <si>
    <t>Presilha em latão para cabos acima 50 até 120 mm²; ref. Termotécnica ou equivalente</t>
  </si>
  <si>
    <t>P.19.000.044311</t>
  </si>
  <si>
    <t>Suporte para fixação de terminal aéreo e ou cabo de cobre nu; ref. SGG02/SGG03 da Gelcam ou equivalente</t>
  </si>
  <si>
    <t>P.19.000.044314</t>
  </si>
  <si>
    <t>Suporte para fixação de fita de alumínio 7/8" x 1/8" e/ou cabo de cobre nu, com base ondulada; ref. SGG 03 (longitudinal) da Gelcam ou equivalente</t>
  </si>
  <si>
    <t>P.19.000.044315</t>
  </si>
  <si>
    <t>Suporte para fixação de fita de alumínio 7/8" x 1/8", com base plana; ref. SGG 04/F da Gelcam ou equivalente</t>
  </si>
  <si>
    <t>P.19.000.044320</t>
  </si>
  <si>
    <t>Cordoalha flexível "jumpers" de 25 X 300 mm, com 4 furos de 11 mm; ref. Barbanera, Raycon, TEL5703 da Termotécnica ou equivalente</t>
  </si>
  <si>
    <t>P.19.000.044321</t>
  </si>
  <si>
    <t>Terminal estanhado com 1 furo e 1 compressão - 16 mm², ref. TEC 5116 Termotécnica, Paraklin ou equivalente</t>
  </si>
  <si>
    <t>P.19.000.044322</t>
  </si>
  <si>
    <t>Terminal estanhado com 1 furo e 1 compressão - 35 mm², ref. TEC 5135 Termotécnica, Paraklin ou equivalente</t>
  </si>
  <si>
    <t>P.19.000.044323</t>
  </si>
  <si>
    <t>Terminal estanhado com 1 furo e 1 compressão - 50 mm², ref. TEC 5150 Termotécnica, Paraklin ou equivalente</t>
  </si>
  <si>
    <t>P.19.000.044326</t>
  </si>
  <si>
    <t>Terminal estanhado com 2 furos e 1 compressão - 50 mm², ref. TEC 5175 Termotécnica, Paraklin ou equivalente</t>
  </si>
  <si>
    <t>P.19.000.044327</t>
  </si>
  <si>
    <t>Conector tipo "X" fundido em bronze para aterramento de tela, para cabo 16 - 50mm², ref. TEL 6945 da Termotécnica ou equivalente</t>
  </si>
  <si>
    <t>P.19.000.044328</t>
  </si>
  <si>
    <t>Malha fechada pré-fabricada em fio de cobre de 16mm e mesch 30 x 30cm para aterramento, ref. MPT-16 da Fastweld ou equivalente</t>
  </si>
  <si>
    <t>P.19.000.044330</t>
  </si>
  <si>
    <t>P.19.000.044331</t>
  </si>
  <si>
    <t>Cordoalha flexível "jumpers" de 25 X 235 mm, com 4 furos de 11 mm; ref. Barbanera, Raycon, TEL5702 da Termotécnica ou equivalente</t>
  </si>
  <si>
    <t>P.19.000.048002</t>
  </si>
  <si>
    <t>Barra condutora chata em alumínio de 7/8´ x 1/8´ x 3 m; ref. TEL 771 da Termotécnica ou equivalente</t>
  </si>
  <si>
    <t>P.19.000.048007</t>
  </si>
  <si>
    <t>Barra condutora chata em alumínio de 3/4´ x 1/4´ x 3 m; ref. TEL 770 da Termotécnica ou equivalente</t>
  </si>
  <si>
    <t>P.19.000.048040</t>
  </si>
  <si>
    <t>Isolador suporte pedestal de epóxi e/ou porcelana com guia barra 25kV, completo - uso interno</t>
  </si>
  <si>
    <t>P.19.000.048071</t>
  </si>
  <si>
    <t>Kit solda com cartucho para solda exotérmica n. 25 a 45</t>
  </si>
  <si>
    <t>P.19.000.048072</t>
  </si>
  <si>
    <t>Kit solda com cartucho para solda exotérmica nº 65 a 115</t>
  </si>
  <si>
    <t>P.19.000.048073</t>
  </si>
  <si>
    <t>Kit solda com cartucho para solda exotérmica nº 150 a 250</t>
  </si>
  <si>
    <t>P.19.000.048074</t>
  </si>
  <si>
    <t>Alicate para solda exotérmica; referência U-L160 da Unisolda ou equivalente</t>
  </si>
  <si>
    <t>P.19.000.048075</t>
  </si>
  <si>
    <t>Alicate para solda exotérmica; referência U-S84 da Unisolda ou equivalente</t>
  </si>
  <si>
    <t>P.19.000.048080</t>
  </si>
  <si>
    <t>Molde para solda exotérmica conexão cabo-cabo horizontal em X, bitola do cabo de 16-16mm² a 35-35mm²; referência UXA da Unisolda ou equivalente</t>
  </si>
  <si>
    <t>P.19.000.048081</t>
  </si>
  <si>
    <t>Molde para solda exotérmica conexão cabo-cabo horizontal em X, bitola do cabo de 50-25mm² a 95-50mm²; referência UXA da Unisolda ou equivalente</t>
  </si>
  <si>
    <t>P.19.000.048084</t>
  </si>
  <si>
    <t>Molde para solda exotérmica conexão cabo-cabo horizontal em X sobreposto, bitola do cabo de 35-35mm² a 50-35mm²; referência UXB da Unisolda ou equivalente</t>
  </si>
  <si>
    <t>P.19.000.048085</t>
  </si>
  <si>
    <t>Molde para solda exotérmica conexão cabo-cabo horizontal em X sobreposto, bitola do cabo de 50-50mm² a 95-50mm²; referência UXB da Unisolda ou equivalente</t>
  </si>
  <si>
    <t>P.19.000.048087</t>
  </si>
  <si>
    <t>Molde para solda exotérmica conexão cabo-cabo horizontal em T, bitola do cabo 16-16mm² a 50-35mm², 70-35mm² e 95-35mm², ref. UTA da Unisolda ou equivalente</t>
  </si>
  <si>
    <t>P.19.000.048088</t>
  </si>
  <si>
    <t>Molde para solda exotérmica conexão cabo-cabo horizontal em T, bitola do cabo de 50-50mm² a 95-50mm²; referência UTA da Unisolda ou equivalente</t>
  </si>
  <si>
    <t>P.19.000.048089</t>
  </si>
  <si>
    <t>Molde para solda exotérmica conexão cabo-cabo horizontal reto, bitola do cabo de 16mm² a 70mm²; referência USS da Unisolda ou equivalente</t>
  </si>
  <si>
    <t>P.19.000.048091</t>
  </si>
  <si>
    <t>Molde para solda exotérmica conexão cabo-haste em X sobreposto, bitola do cabo de 35mm² a 50mm² para haste de 5/8 e 3/4; ref. UGXB da Unisolda ou equivalente</t>
  </si>
  <si>
    <t>P.19.000.048093</t>
  </si>
  <si>
    <t>Molde para solda exotérmica conexão cabo-haste em T, bitola do cabo de 35mm² para haste de 5/8 e 3/4; referência UGTA da Unisolda ou equivalente</t>
  </si>
  <si>
    <t>P.19.000.048094</t>
  </si>
  <si>
    <t>Molde para solda exotérmica conexão cabo-haste em T, bitola do cabo de 50mm² a 95mm² para haste de 5/8 e 3/4; referência UGTA da Unisolda ou equivalente</t>
  </si>
  <si>
    <t>P.19.000.048095</t>
  </si>
  <si>
    <t>Molde para solda exotérmica conexão cabo-haste na lateral, bitola do cabo de 25mm² a 70mm² para haste de 5/8 e 3/4; referência UGY da Unisolda ou equivalente</t>
  </si>
  <si>
    <t>P.19.000.048096</t>
  </si>
  <si>
    <t>Molde para solda exotérmica conexão cabo-haste no topo, bitola do cabo de 25mm² a 35mm² para haste de 5/8; referência UGT da Unisolda ou equivalente</t>
  </si>
  <si>
    <t>P.19.000.048097</t>
  </si>
  <si>
    <t>Molde para solda exotérmica conexão cabo-haste no topo, bitola do cabo de 50mm² a 95mm² para haste de 5/8 e 3/4; referência UGT da Unisolda ou equivalente</t>
  </si>
  <si>
    <t>P.19.000.048098</t>
  </si>
  <si>
    <t>Molde para solda exotérmica conexão cabo-ferro de construção com cabo paralelo, bitola do cabo 35mm² para haste 5/8 e 3/4; ref. URR da Unisolda ou equivalente</t>
  </si>
  <si>
    <t>P.19.000.048099</t>
  </si>
  <si>
    <t>Molde para solda exotérmica conexão cabo-ferro construção com cabo paralelo, bitola cabo 50mm² a 70mm² para haste 5/8 e 3/4; ref. URR da Unisolda ou equivalente</t>
  </si>
  <si>
    <t>P.19.000.048100</t>
  </si>
  <si>
    <t>Molde para solda exotérmica conexão cabo-ferro construção com cabo X sobreposto, bitola cabo de 35mm² a 70mm² para haste 5/8; ref. URC Unisolda ou equivalente</t>
  </si>
  <si>
    <t>P.19.000.048101</t>
  </si>
  <si>
    <t>Molde para solda exotérmica conexão cabo-ferro construção com cabo X sobreposto, bitola cabo 35mm² a 70mm² para haste 3/8; ref. URC da Unisolda ou equivalente</t>
  </si>
  <si>
    <t>P.19.000.048102</t>
  </si>
  <si>
    <t>Molde para solda exotérmica conexão cabo-terminal com duas fixações, bitola do cabo de 25mm² a 50mm² para terminal 3x25; ref. ULAB2 da Unisolda ou equivalente</t>
  </si>
  <si>
    <t>P.19.000.048103</t>
  </si>
  <si>
    <t>Molde para solda exotérmica conexão cabo-superfície de aço, bitola do cabo de 16mm² a 35mm²; referência UHC da Unisolda ou equivalente</t>
  </si>
  <si>
    <t>P.19.000.048104</t>
  </si>
  <si>
    <t>Molde para solda exotérmica conexão cabo-superfície de aço, bitola do cabo de 50mm² a 95mm²; referência UHC da Unisolda ou equivalente</t>
  </si>
  <si>
    <t>P.19.000.048105</t>
  </si>
  <si>
    <t>Cruzeta de aço galvanizado a fogo, tipo 'U' de 2400mm, para fixação de muflas ou para-raios</t>
  </si>
  <si>
    <t>P.19.000.048530</t>
  </si>
  <si>
    <t>Braçadeira circular de 290 mm, em aço carbono galvanizado a fogo para poste</t>
  </si>
  <si>
    <t>P.19.000.049505</t>
  </si>
  <si>
    <t>Alca pré-formada dupla de distribuição CA-CAA 2,0 a 4,0</t>
  </si>
  <si>
    <t>P.19.000.049506</t>
  </si>
  <si>
    <t>Captor terminal aéreo horizontal 3/8´ x 250mm, com 1 furo, galvanizado a fogo sem bandeirinha, ref. TEL 044 da Termotécnica ou equivalente</t>
  </si>
  <si>
    <t>P.19.000.049507</t>
  </si>
  <si>
    <t>Isolador rígido de pino Hi-Top, para 15 kV</t>
  </si>
  <si>
    <t>P.19.000.049517</t>
  </si>
  <si>
    <t>Olhal para parafuso M16 (5/8´)</t>
  </si>
  <si>
    <t>P.19.000.049533</t>
  </si>
  <si>
    <t>Gancho suspensão com olhal</t>
  </si>
  <si>
    <t>P.19.000.049561</t>
  </si>
  <si>
    <t>Alca pré-formada de distribuição estai para cabo de aço 4´ CA-CAA</t>
  </si>
  <si>
    <t>P.19.000.049562</t>
  </si>
  <si>
    <t>Manilha sapatilha de ferro</t>
  </si>
  <si>
    <t>P.19.000.049567</t>
  </si>
  <si>
    <t>Chapa para estai 8 x 76 x 60 x 70 mm 45°</t>
  </si>
  <si>
    <t>P.19.000.049568</t>
  </si>
  <si>
    <t>Sapatilha para cabo de aço de 3/8´</t>
  </si>
  <si>
    <t>P.19.000.049569</t>
  </si>
  <si>
    <t>Alca pré-formada estai para cabo de aço 3/8´</t>
  </si>
  <si>
    <t>P.19.000.070864</t>
  </si>
  <si>
    <t>Captor tipo terminal aéreo, h = 300 mm, em alumínio, ref. Tagal da Gelcam, PK 1989 da Paraklin ou equivalente</t>
  </si>
  <si>
    <t>P.19.000.090405</t>
  </si>
  <si>
    <t>União angular para vergalhão, diâmetro de 3/8´</t>
  </si>
  <si>
    <t>P.19.000.090406</t>
  </si>
  <si>
    <t>Prensa vergalhão ´T´ diâmetro 3/8´ (derivação)</t>
  </si>
  <si>
    <t>P.19.000.090409</t>
  </si>
  <si>
    <t>Isolador suporte pedestal de epóxi e/ou porcelana com guia barra 15kV, completo - uso interno</t>
  </si>
  <si>
    <t>P.19.000.090544</t>
  </si>
  <si>
    <t>Isolador em epoxi 1kV para barramento de 50mm</t>
  </si>
  <si>
    <t>P.19.000.091371</t>
  </si>
  <si>
    <t>Haste de aterramento de 5/8"x3 m, em aço SAE1010/1020, trefilado e revestido de cobre eletrolítico; ref. PK0066 da Paraklin, TEL5830 da Termotécnica ou equivalente</t>
  </si>
  <si>
    <t>P.19.000.091389</t>
  </si>
  <si>
    <t>Isolador roldana em porcelana de 72 x 72 mm</t>
  </si>
  <si>
    <t>P.19.000.091390</t>
  </si>
  <si>
    <t>Suporte para isolador roldana tipo DM, padrão TELEBRÁS</t>
  </si>
  <si>
    <t>P.19.000.092009</t>
  </si>
  <si>
    <t>Captor terminal aéreo h= 600mm, diâmetro de 3/8´ galvanizado a fogo; ref. PRT-152A/156A/160A/164A Paratec, PK-0034/0083/0097/0177 Paraklin, TEL-040/050/051/052 Termotécnica ou equivalente</t>
  </si>
  <si>
    <t>P.19.000.092010</t>
  </si>
  <si>
    <t>Sinalizador obstáculo simples sem fotocélula PK-0149</t>
  </si>
  <si>
    <t>P.19.000.092011</t>
  </si>
  <si>
    <t>Sinalizador obstáculo duplo sem fotocélula PK-0150</t>
  </si>
  <si>
    <t>P.19.000.092012</t>
  </si>
  <si>
    <t>Sinalizador de obstáculo duplo com célula fotoelétrica, ref. PK-0107 da Paraklin ou equivalente</t>
  </si>
  <si>
    <t>P.19.000.092013</t>
  </si>
  <si>
    <t>Sinalizador obstáculo simples com célula fotoelétrica; ref. PK 0106 da Paraklin ou equivalente</t>
  </si>
  <si>
    <t>P.19.000.092152</t>
  </si>
  <si>
    <t>Para-raios de distribuição, classe 12 kV / 10 kA, encapsulado com polímero; ref. PBP-1210 Balestro ou equivalente</t>
  </si>
  <si>
    <t>P.19.000.092153</t>
  </si>
  <si>
    <t>Para-raios de distribuição, classe 12 kV / 5 kA, encapsulado com polímero; ref. PBP-1205 Balestro ou equivalente</t>
  </si>
  <si>
    <t>P.19.000.092154</t>
  </si>
  <si>
    <t>Para-raios de distribuição, classe 15 kV / 5 kA, encapsulado com polímero; ref. PBP-1505 Balestro ou equivalente</t>
  </si>
  <si>
    <t>P.19.000.092155</t>
  </si>
  <si>
    <t>Para-raios de distribuição, classe 15 kV / 10 kA, encapsulado com polímero; ref. PBP-1510 Balestro ou equivalente</t>
  </si>
  <si>
    <t>P.19.000.092265</t>
  </si>
  <si>
    <t>P.19.000.092266</t>
  </si>
  <si>
    <t>P.07.000.043252</t>
  </si>
  <si>
    <t>Sistema de barramento blindado de 100 a 2000 A, trifásico, barra de aluminio, composto por: calha condutora trifásica com neutro 100%, igual ou superior a 630 V (Ui), para uso interno; ref. Megabarre, Beghin, Helzin ou equivalente</t>
  </si>
  <si>
    <t>Axm</t>
  </si>
  <si>
    <t>P.21.000.040002</t>
  </si>
  <si>
    <t>Poste concreto armado circular, H= 11m p/400kgf</t>
  </si>
  <si>
    <t>P.21.000.040003</t>
  </si>
  <si>
    <t>Poste concreto armado circular, H= 11m p/600kgf</t>
  </si>
  <si>
    <t>P.21.000.040004</t>
  </si>
  <si>
    <t>Poste concreto armado circular, H= 10m p/400kgf</t>
  </si>
  <si>
    <t>P.21.000.040005</t>
  </si>
  <si>
    <t>Poste concreto armado circular, H= 12m p/200kgf</t>
  </si>
  <si>
    <t>P.21.000.040006</t>
  </si>
  <si>
    <t>Poste concreto armado circular, H= 9m p/200kgf</t>
  </si>
  <si>
    <t>P.21.000.040010</t>
  </si>
  <si>
    <t>Poste concreto armado circular, H= 12m p/400kgf</t>
  </si>
  <si>
    <t>P.21.000.040011</t>
  </si>
  <si>
    <t>Poste concreto armado circular, H= 12m p/600kgf</t>
  </si>
  <si>
    <t>P.21.000.040012</t>
  </si>
  <si>
    <t>Poste concreto armado circular, H= 12m p/1000kgf</t>
  </si>
  <si>
    <t>P.21.000.042347</t>
  </si>
  <si>
    <t>Poste concreto armado circular, H= 7,00m p/200kgf</t>
  </si>
  <si>
    <t>P.21.000.042349</t>
  </si>
  <si>
    <t>Poste concreto armado circular, H= 10m p/200kgf</t>
  </si>
  <si>
    <t>P.23.000.042218</t>
  </si>
  <si>
    <t>Barra de neutro com parafuso isolantes (capacidade de 4 a 12 fios)</t>
  </si>
  <si>
    <t>P.23.000.043131</t>
  </si>
  <si>
    <t>Cabo de cobre flexível de 2x1,5mm², encordoamento com isolação termoplástico PVC/E 105°C, classe 4, tensão de isolamento 600V, para sistema de detecção incêndio</t>
  </si>
  <si>
    <t>P.23.000.043132</t>
  </si>
  <si>
    <t>Cabo de cobre flexível de 3x1,5mm², encordoamento com isolação termoplástico PVC/E 105°C, classe 4, tensão de isolamento 600V, para sistema de detecção incêndio</t>
  </si>
  <si>
    <t>P.23.000.043133</t>
  </si>
  <si>
    <t>Cabo de cobre flexível de 2x2,5mm², encordoamento com isolação termoplástico PVC/E 105°C, classe 4, tensão de isolamento 600V, para sistema de detecção incêndio</t>
  </si>
  <si>
    <t>P.23.000.043252</t>
  </si>
  <si>
    <t>Sistema de barramento blindado de 100 a 2000 A, trifásico, barra de cobre, composto por: calha condutora trifásica com neutro 100%, igual ou superior a 630 V (Ui), para uso interno; ref. Beghin, Helzin ou equivalente</t>
  </si>
  <si>
    <t>P.23.000.043661</t>
  </si>
  <si>
    <t>Barra de contato para chave seccionadora tipo NH3-600A</t>
  </si>
  <si>
    <t>P.23.000.049627</t>
  </si>
  <si>
    <t>Barramento de cobre nu (qualquer bitola)</t>
  </si>
  <si>
    <t>P.24.000.045045</t>
  </si>
  <si>
    <t>Condulete em PVC para 5 e/ou 6 entradas de 1´, ref. linha Top da Tigre, Daisa ou equivalente</t>
  </si>
  <si>
    <t>P.24.000.045047</t>
  </si>
  <si>
    <t>Tampa tomada redonda para condulete em PVC de 1´, ref. linha Top da Tigre, Daisa ou equivalente</t>
  </si>
  <si>
    <t>P.25.000.024009</t>
  </si>
  <si>
    <t>P.25.000.024010</t>
  </si>
  <si>
    <t>P.25.000.025010</t>
  </si>
  <si>
    <t>Acoplador a relé 24 VCC/VAC - 1 contato reversível</t>
  </si>
  <si>
    <t>P.25.000.042591</t>
  </si>
  <si>
    <t>Caixa de emenda ventilada em polipropileno, para até 200 pares; ref. CEANS SS da Corning ou equivalente</t>
  </si>
  <si>
    <t>P.25.000.091386</t>
  </si>
  <si>
    <t>Arame de espinar em aço inoxidável, nu (1,14 mm), para TV a cabo</t>
  </si>
  <si>
    <t>P.25.000.091392</t>
  </si>
  <si>
    <t>Fita em aço inoxidável para poste tubular; comprimento de 0,50 m, largura de 19 mm</t>
  </si>
  <si>
    <t>P.25.000.091393</t>
  </si>
  <si>
    <t>Fecho em aço inoxidável para fita de 19 mm</t>
  </si>
  <si>
    <t>P.26.000.042408</t>
  </si>
  <si>
    <t>P.26.000.044005</t>
  </si>
  <si>
    <t>P.26.000.044007</t>
  </si>
  <si>
    <t>Disjuntor em caixa moldada, termomagnético, tripolar, 1250A, Vn= 690V, 50/60Hz, faixa de ajuste de 800 até 1250A, ref. DWA1600S-1250-3 da Weg ou equivalente</t>
  </si>
  <si>
    <t>P.26.000.044008</t>
  </si>
  <si>
    <t>Disjuntor em caixa moldada, termomagnético tripolar. 1600A,Vn= 690V, 50/60Hz, faixa de ajuste de 1000 até 1600A; ref. DWA1600S-1600-3 da Weg ou equivalente</t>
  </si>
  <si>
    <t>P.26.000.044029</t>
  </si>
  <si>
    <t>P.26.000.044032</t>
  </si>
  <si>
    <t>Dispositivo e/ou interruptor diferencial residual de 125 A x 30 mA - 4 polos - 380 V, ref. fabricação Siemens, Schneider ou equivalente</t>
  </si>
  <si>
    <t>P.26.000.044036</t>
  </si>
  <si>
    <t>P.26.000.044037</t>
  </si>
  <si>
    <t>P.26.000.044039</t>
  </si>
  <si>
    <t>Disjuntor em caixa aberta tripolar extraível, 500V de 3200A, ref. ABW32 da Weg ou equivalente</t>
  </si>
  <si>
    <t>P.26.000.044041</t>
  </si>
  <si>
    <t>Disjuntor em caixa aberta tripolar extraível, 500V de 4000A, ref. ABW40 da Weg ou equivalente</t>
  </si>
  <si>
    <t>P.26.000.044045</t>
  </si>
  <si>
    <t>Disjuntor caixa aberta tripolar extraível, acionamento motorizado 220/240V, bloco contato 4NF+4NA, 500V de 6300A, ref. 3WL Siemens, EMAX da ABB, Masterpact NW Schneider ou equivalente</t>
  </si>
  <si>
    <t>P.26.000.044055</t>
  </si>
  <si>
    <t>P.26.000.044056</t>
  </si>
  <si>
    <t>P.26.000.044057</t>
  </si>
  <si>
    <t>Disjuntor em caixa moldada tripolar termomagnético fixo de 415 V, de 175 A até 250 A, ref. THQD 34175/34200/34225 e 34250 da GE ou equivalente</t>
  </si>
  <si>
    <t>P.26.000.044065</t>
  </si>
  <si>
    <t>P.26.000.044066</t>
  </si>
  <si>
    <t>P.26.000.044602</t>
  </si>
  <si>
    <t>Dispositivo diferencial residual de 25 A x 30 mA, 2 polos, ref. 5SM1 312-0 MB da Siemens ou equivalente</t>
  </si>
  <si>
    <t>P.26.000.044603</t>
  </si>
  <si>
    <t>Dispositivo diferencial residual de 40 A x 30 mA, 2 polos, ref. 5SM1 314-0 MB Siemens ou equivalente</t>
  </si>
  <si>
    <t>P.26.000.044605</t>
  </si>
  <si>
    <t>P.26.000.044606</t>
  </si>
  <si>
    <t>Dispositivo diferencial residual de 100 A x 30 mA, 4 polos, ref. BPC 4100/030 da GE, 30-100-4 da Weg, SDR-049031 da Steck ou equivalente</t>
  </si>
  <si>
    <t>P.26.000.044611</t>
  </si>
  <si>
    <t>P.26.000.044612</t>
  </si>
  <si>
    <t>Disjuntor termomagnético tripolar, 630 A, Vn= 690, 50/60 Hz, In= 440 até 630 A, ref. DWA800H-630-3 da Weg ou equivalente</t>
  </si>
  <si>
    <t>P.26.000.044613</t>
  </si>
  <si>
    <t>P.26.000.044614</t>
  </si>
  <si>
    <t>Disjuntor termomagnético, unipolar 127/220V, corrente de 35 até 50A, conforme selo de conformidade do INMETRO da Pial Legrand, Eletromar / Cuttler Hammer, Soprano, Lorenzetti, ABB ou equivalente</t>
  </si>
  <si>
    <t>P.26.000.044616</t>
  </si>
  <si>
    <t>Disjuntor termomagnético, bipolar 220/380V, corrente de 10 até 50A, conforme selo de conformidade do INMETRO da Pial Legrand, Eletromar / Cuttler Hammer, Soprano, Lorenzetti, ABB ou equivalente</t>
  </si>
  <si>
    <t>P.26.000.044617</t>
  </si>
  <si>
    <t>P.26.000.044618</t>
  </si>
  <si>
    <t>Disjuntor termomagnético, tripolar 220/380V, corrente de 10 até 50A, conforme selo de conformidade do INMETRO da Pial Legrand, Eletromar / Cuttler Hammer, Soprano, Lorenzetti, ABB ou equivalente</t>
  </si>
  <si>
    <t>P.26.000.044619</t>
  </si>
  <si>
    <t>Disjuntor termomagnético, tripolar 220/380V, corrente de 60 até 100A, conforme selo de conformidade do INMETRO para os modelos de 60 A da Pial Legrand, Eletromar / Cuttler Hammer, Soprano, Lorenzetti, ABB ou equivalente</t>
  </si>
  <si>
    <t>P.26.000.044624</t>
  </si>
  <si>
    <t>P.26.000.044625</t>
  </si>
  <si>
    <t>P.26.000.044627</t>
  </si>
  <si>
    <t>P.26.000.044628</t>
  </si>
  <si>
    <t>P.26.000.044629</t>
  </si>
  <si>
    <t>P.26.000.044631</t>
  </si>
  <si>
    <t>Mini-disjuntor termomagnético, bipolar 220/380V, corrente de 10 até 32A</t>
  </si>
  <si>
    <t>P.26.000.044632</t>
  </si>
  <si>
    <t>Mini-disjuntor termomagnético, bipolar 220/380V, corrente de 40 até 50A</t>
  </si>
  <si>
    <t>P.26.000.044633</t>
  </si>
  <si>
    <t>Mini-disjuntor termomagnético, bipolar 220/380V, corrente de 63A</t>
  </si>
  <si>
    <t>P.26.000.044634</t>
  </si>
  <si>
    <t>Mini-disjuntor termomagnético, bipolar 400V, corrente de 80A até 100A; ref. 5SP4 191-7 Siemens, SDD-2C100 Steck, 9350 Alumbra ou equivalente</t>
  </si>
  <si>
    <t>P.26.000.044635</t>
  </si>
  <si>
    <t>Mini-disjuntor termomagnético, tripolar 220/380V, corrente de 10 até 32A</t>
  </si>
  <si>
    <t>P.26.000.044636</t>
  </si>
  <si>
    <t>Mini-disjuntor termomagnético, tripolar 220/380V, corrente de 40 até 50A</t>
  </si>
  <si>
    <t>P.26.000.044637</t>
  </si>
  <si>
    <t>Mini-disjuntor termomagnético, tripolar 220/380 V, corrente de 63 A, ref. Pial Legrand, Eletromar/Cuttler Hammer, ABB, GE ou  equivalente</t>
  </si>
  <si>
    <t>P.26.000.044638</t>
  </si>
  <si>
    <t>P.26.000.044639</t>
  </si>
  <si>
    <t>Mini-disjuntor termomagnético, unipolar 127/220V, corrente de 10 até 32A</t>
  </si>
  <si>
    <t>P.26.000.044640</t>
  </si>
  <si>
    <t>Mini-disjuntor termomagnético, unipolar 127/220V, 40 até 50A</t>
  </si>
  <si>
    <t>P.26.000.090541</t>
  </si>
  <si>
    <t>Dispositivo diferencial residual de 40 A x 30 mA, 4 polos, GE V/304-044031, Siemens 5SM1 344-0 ou equivalente</t>
  </si>
  <si>
    <t>P.26.000.090542</t>
  </si>
  <si>
    <t>Dispositivo diferencial residual de 63 A x 30 mA, 4 polos industrial, ref. V/304-046031 da GE, 5SM1 346-0 da Siemens ou equivalente</t>
  </si>
  <si>
    <t>P.26.000.092804</t>
  </si>
  <si>
    <t>Dispositivo diferencial residual de 25A x 300mA 4 polos, ref. 5SM1642-0 da Siemens ou equivalente</t>
  </si>
  <si>
    <t>P.27.000.042258</t>
  </si>
  <si>
    <t>Fusível NH 00 6A a 125A</t>
  </si>
  <si>
    <t>P.27.000.042259</t>
  </si>
  <si>
    <t>Fusível NH 1 36A a 250A</t>
  </si>
  <si>
    <t>P.27.000.042260</t>
  </si>
  <si>
    <t>Fusível NH 2 224A a 400A</t>
  </si>
  <si>
    <t>P.27.000.042261</t>
  </si>
  <si>
    <t>Fusível NH 3 400A a 630A</t>
  </si>
  <si>
    <t>P.27.000.042308</t>
  </si>
  <si>
    <t>Base tripolar para fusível de 15kV</t>
  </si>
  <si>
    <t>P.27.000.042309</t>
  </si>
  <si>
    <t>Base unipolar para fusível de 15kV</t>
  </si>
  <si>
    <t>P.27.000.042310</t>
  </si>
  <si>
    <t>Fusível HH 15KV de 2.5A a 50A</t>
  </si>
  <si>
    <t>P.27.000.042311</t>
  </si>
  <si>
    <t>Fusível HH 15KV de 60 a 100A</t>
  </si>
  <si>
    <t>P.27.000.042432</t>
  </si>
  <si>
    <t>Vara para manobra em fibra de vidro, diâmetro de 38mm, elementos separados, para tensão até 36 kV</t>
  </si>
  <si>
    <t>P.27.000.043536</t>
  </si>
  <si>
    <t>Chave comutadora seletora com 3 polos e 3 posições para 25 A, ref. CA20-A270.600-ER ou equivalente</t>
  </si>
  <si>
    <t>P.27.000.043538</t>
  </si>
  <si>
    <t>Chave comutadora seletora com 1 polo e 3 posições para 25 A, ref. CA20B-A730.600-E ou equivalente</t>
  </si>
  <si>
    <t>P.27.000.043541</t>
  </si>
  <si>
    <t>Chave comutadora, reversão sob carga, tetrapolar, sem porta fusível para 100 A, ref. SS32-100/4 da Holec ou equivalente</t>
  </si>
  <si>
    <t>P.27.000.043652</t>
  </si>
  <si>
    <t>P.27.000.043653</t>
  </si>
  <si>
    <t>Chave seccionadora tripolar seca para 400 A - 15 kV - com prolongador, ref. INB-V da Inebrasa, SAN-15-400 da Moran ou equivalente</t>
  </si>
  <si>
    <t>P.27.000.043654</t>
  </si>
  <si>
    <t>Chave seccionadora tripolar seca para 600 / 630 A - 15 kV - com prolongador, ref. INB-V da Inebrasa, SAN-15-630 da Moran ou equivalente</t>
  </si>
  <si>
    <t>P.27.000.043656</t>
  </si>
  <si>
    <t>P.27.000.043657</t>
  </si>
  <si>
    <t>P.27.000.043663</t>
  </si>
  <si>
    <t>Chave seccionadora sob carga, tripolar, acionamento rotativo, com prolongador e porta fusível até NH-00-125, sem fusível</t>
  </si>
  <si>
    <t>P.27.000.043664</t>
  </si>
  <si>
    <t>Chave seccionadora sob carga, tripolar, acionamento rotativo, com prolongador e porta fusível até NH-00-160, sem fusível</t>
  </si>
  <si>
    <t>P.27.000.043665</t>
  </si>
  <si>
    <t>Chave seccionadora sob carga, tripolar, acionamento rotativo, com prolongador e porta fusível até NH-1-250, sem fusível</t>
  </si>
  <si>
    <t>P.27.000.043666</t>
  </si>
  <si>
    <t>Chave seccionadora sob carga, tripolar, acionamento rotativo, com prolongador e porta fusível até NH-2-400, sem fusível</t>
  </si>
  <si>
    <t>P.27.000.043667</t>
  </si>
  <si>
    <t>Chave seccionadora sob carga, tripolar, acionamento rotativo, com prolongador e porta fusível até NH-3-630, sem fusível</t>
  </si>
  <si>
    <t>P.27.000.043668</t>
  </si>
  <si>
    <t>Chave seccionadora sob carga, tripolar, acionamento tipo punho com porta fusível até NH-00-160, sem fusível</t>
  </si>
  <si>
    <t>P.27.000.043669</t>
  </si>
  <si>
    <t>Chave seccionadora sob carga, tripolar, acionamento tipo punho com porta fusível até NH-1-250, sem fusível</t>
  </si>
  <si>
    <t>P.27.000.043670</t>
  </si>
  <si>
    <t>Chave seccionadora sob carga, tripolar, acionamento tipo punho com porta fusível até NH-2-400, sem fusível</t>
  </si>
  <si>
    <t>P.27.000.043671</t>
  </si>
  <si>
    <t>Chave seccionadora sob carga, tripolar, acionamento tipo punho com porta fusível até NH-3-630, sem fusível, referência 3NP1163-1DA10 da Siemens, SP 630 da Holec ou equivalente</t>
  </si>
  <si>
    <t>P.27.000.043672</t>
  </si>
  <si>
    <t>Chave comutadora, reversão sob carga, tripolar, sem porta fusível para 400A</t>
  </si>
  <si>
    <t>P.27.000.043673</t>
  </si>
  <si>
    <t>Chave comutadora, reversão sob carga, tripolar, sem porta fusível para 600/630A</t>
  </si>
  <si>
    <t>P.27.000.043674</t>
  </si>
  <si>
    <t>Chave comutadora, reversão sob carga, tripolar, sem porta fusível para 1000A</t>
  </si>
  <si>
    <t>P.27.000.043676</t>
  </si>
  <si>
    <t>Chave seccionadora sob carga, tripolar, acionamento rotativo, com prolongador, sem porta fusível, de 1250A</t>
  </si>
  <si>
    <t>P.27.000.043677</t>
  </si>
  <si>
    <t>Chave seccionadora sob carga, tripolar, acionamento rotativo, com prolongador, sem porta fusível, de 1000A</t>
  </si>
  <si>
    <t>P.27.000.043678</t>
  </si>
  <si>
    <t>Chave seccionadora sob carga, tripolar, acionamento rotativo, com prolongador, sem porta fusível, de 630A</t>
  </si>
  <si>
    <t>P.27.000.043679</t>
  </si>
  <si>
    <t>Chave seccionadora sob carga, tripolar, acionamento rotativo, com prolongador, sem porta fusível, de 400A</t>
  </si>
  <si>
    <t>P.27.000.043680</t>
  </si>
  <si>
    <t>Chave seccionadora sob carga, tripolar, acionamento rotativo, com prolongador, sem porta fusível, de 250A</t>
  </si>
  <si>
    <t>P.27.000.043681</t>
  </si>
  <si>
    <t>Chave seccionadora sob carga, tripolar, acionamento rotativo, com prolongador, sem porta fusível, de 160A</t>
  </si>
  <si>
    <t>P.27.000.043691</t>
  </si>
  <si>
    <t>Chave seccionadora tripolar sob carga para 400 A / 15 kV - com prolongador, ref. Inebrasa, SANR-15-400 da Moran ou equivalente</t>
  </si>
  <si>
    <t>P.27.000.043694</t>
  </si>
  <si>
    <t>Chave seccionadora tripolar sob carga para 400 A / 25 kV - com prolongador, ref. Inebrasa, SANR-25-400 da Moran ou equivalente</t>
  </si>
  <si>
    <t>P.27.000.044001</t>
  </si>
  <si>
    <t>Base fusíveis Diazed completa até 25A</t>
  </si>
  <si>
    <t>P.27.000.044002</t>
  </si>
  <si>
    <t>Base fusíveis Diazed completa para 63A</t>
  </si>
  <si>
    <t>P.27.000.044050</t>
  </si>
  <si>
    <t>Base tipo NH completa para 125A</t>
  </si>
  <si>
    <t>P.27.000.044051</t>
  </si>
  <si>
    <t>Base tipo NH completa para 250A</t>
  </si>
  <si>
    <t>P.27.000.044052</t>
  </si>
  <si>
    <t>Base tipo NH completa para 400A</t>
  </si>
  <si>
    <t>P.27.000.044053</t>
  </si>
  <si>
    <t>P.27.000.044101</t>
  </si>
  <si>
    <t>Fusível Diazed rap/ret 35A a 63A</t>
  </si>
  <si>
    <t>P.27.000.044102</t>
  </si>
  <si>
    <t>P.27.000.090322</t>
  </si>
  <si>
    <t>Chave seccionadora tripolar, abertura sob carga seca para 160A/690V; ref. RIW160-3 H da WEG, S32-160/3 da Holec, N160 da THS ou equivalente</t>
  </si>
  <si>
    <t>P.27.000.090384</t>
  </si>
  <si>
    <t>Chave comutadora seletora com 1 polo e 2 posições para 25 A, ref. CA20-A220.600-EG ou equivalente</t>
  </si>
  <si>
    <t>P.27.000.090387</t>
  </si>
  <si>
    <t>Comutador voltímetro, 3 fases, 3 fios 10 A, ref. 5TW0 020-1 da Siemens ou equivalente</t>
  </si>
  <si>
    <t>P.27.000.090388</t>
  </si>
  <si>
    <t>Comutador amperímetro de 10 A, ref. 5TW 020-1 da Siemens ou equivalente</t>
  </si>
  <si>
    <t>P.27.000.090449</t>
  </si>
  <si>
    <t>Chave de boia normalmente fechada, ref. Masterflux, CB2002 Mar Girius Revers ou equivalente</t>
  </si>
  <si>
    <t>P.27.000.090450</t>
  </si>
  <si>
    <t>Chave comutadora seletora com 1 polo e 3 posições para 63 A, ref. 5TW3063-1 Siemens ou equivalente</t>
  </si>
  <si>
    <t>P.27.000.090456</t>
  </si>
  <si>
    <t>Amperímetro em ferro móvel 96x96mm, para ligação em transformador de corrente, escala fixa TC 0 A/50 A até 0 A/2,0 kA; ref. 2CNM515423R2000 da ABB, 7kM15515424Z1500 da Siemens ou equivalente</t>
  </si>
  <si>
    <t>P.27.000.090468</t>
  </si>
  <si>
    <t>Fusível de vidro para TP 0,5 A / 15 kV; ref. V14X160KT da Deckfuse, LD14mm da Rehtom ou equivalente</t>
  </si>
  <si>
    <t>P.27.000.091349</t>
  </si>
  <si>
    <t>Voltímetro ferro móvel de 96x96mm, escalas variáveis; ref. FM96 da Renz, FQ0207 600V da MultInst ou equivalente</t>
  </si>
  <si>
    <t>P.28.000.046542</t>
  </si>
  <si>
    <t>Reator eletrônico de alto fator de potência com partida instantânea para duas lâmpadas fluorescentes tubulares, TL-5, base bipino bilateral, 2 x 28 W - 220 V</t>
  </si>
  <si>
    <t>P.28.000.049734</t>
  </si>
  <si>
    <t>Reator eletrônico com partida instantânea de alto fator de potência (AFP), para lâmpada fluorescente tubular ´HO´, base bipino bilateral, 2x110W / 220V</t>
  </si>
  <si>
    <t>P.28.000.049735</t>
  </si>
  <si>
    <t>Reator eletrônico com partida instantânea de alto fator de potência (AFP), para lâmpada fluorescente tubular, base bipino bilateral, 2x16W / 127-220V</t>
  </si>
  <si>
    <t>P.28.000.049743</t>
  </si>
  <si>
    <t>Reator eletrônico com partida instantânea de alto fator de potência (AFP), para lâmpada fluorescente tubular, base bipino bilateral, 2x32W / 127-220V</t>
  </si>
  <si>
    <t>P.28.000.049769</t>
  </si>
  <si>
    <t>Reator eletrônico com partida instantânea de alto fator de potência (AFP), para lâmpada fluorescente compacta´2U´, 1x26W / 127-220 V</t>
  </si>
  <si>
    <t>P.28.000.049771</t>
  </si>
  <si>
    <t>Reator eletrônico com partida instantânea de alto fator de potência (AFP), para lâmpada fluorescente compacta´2U´, 2x26W / 127-220 V</t>
  </si>
  <si>
    <t>P.28.000.092320</t>
  </si>
  <si>
    <t>Transformador eletrônico para lâmpada halógena dicroica de 50 W / 220 V; ref. Xelux, Trancil, Taschibra ou equivalente</t>
  </si>
  <si>
    <t>P.29.000.042163</t>
  </si>
  <si>
    <t>Rele de corrente Ajustável de 0 a 200A</t>
  </si>
  <si>
    <t>P.29.000.042164</t>
  </si>
  <si>
    <t>Relé de tempo eletrônico de 3 - 30seg 220V 50/60Hz</t>
  </si>
  <si>
    <t>P.29.000.042273</t>
  </si>
  <si>
    <t>Relé de sobrecarga bimetálico, faixa de ajuste de 9 a 12 A, tamanho S00, ref. Siemens 3R11 16-1KBOR, ou equivalente</t>
  </si>
  <si>
    <t>P.29.000.042275</t>
  </si>
  <si>
    <t>Relé de tempo eletrônico 0.6-6seg. 220V 50/60HZ</t>
  </si>
  <si>
    <t>P.29.000.042277</t>
  </si>
  <si>
    <t>Contator de potência 9 A - 2NA + 2NF; ref. LC1D09M7+LADN11 da Schneider, CWM9-22-30D23 da Weg ou equivalente</t>
  </si>
  <si>
    <t>P.29.000.042278</t>
  </si>
  <si>
    <t>Contator de potência 12 A - 2NA + 2NF; ref. Siemens ou equivalente</t>
  </si>
  <si>
    <t>P.29.000.042279</t>
  </si>
  <si>
    <t>Contator de potência 16 A - 2NA + 2NF; ref. Siemens ou equivalente</t>
  </si>
  <si>
    <t>P.29.000.042280</t>
  </si>
  <si>
    <t>Contator de potência 22 A / 25 A - 2NA + 2NF; ref. Siemens ou equivalente</t>
  </si>
  <si>
    <t>P.29.000.042281</t>
  </si>
  <si>
    <t>Contator de potência 32 A - 2NA + 2NF; ref. Siemens ou equivalente</t>
  </si>
  <si>
    <t>P.29.000.042282</t>
  </si>
  <si>
    <t>Contator de potência 38 / 40 A - 2NA + 2NF; ref. Siemens ou equivalente</t>
  </si>
  <si>
    <t>P.29.000.042408</t>
  </si>
  <si>
    <t>Contator de potência de 65A - 2NA + 2NF, ref. modelo 3RT1044-1AN10+3RH1921-1HA22 da Siemens ou equivalente</t>
  </si>
  <si>
    <t>P.29.000.042409</t>
  </si>
  <si>
    <t>Relé bimetálico de sobrecarga para acoplamento direto com faixas de ajuste de 0,4/0,63A até 16/25A, ref. 3UA52 da Siemens ou equivalente</t>
  </si>
  <si>
    <t>P.29.000.042411</t>
  </si>
  <si>
    <t>Contator de potência 12 A - 1NA + 1NF, referência comercial 3RT1024-1AN20+3RH1921-1EA11 da Siemens ou equivalente</t>
  </si>
  <si>
    <t>P.29.000.042412</t>
  </si>
  <si>
    <t>Relé bimetálico de sobrecarga acoplamento direto com faixa de ajuste 20 até 63A</t>
  </si>
  <si>
    <t>P.29.000.042413</t>
  </si>
  <si>
    <t>Relé supervisor trifásico contra falta de fase e inversão de fase, ref. UNSX da Ward / PST da Pextron ou equivalente</t>
  </si>
  <si>
    <t>P.29.000.042423</t>
  </si>
  <si>
    <t>Relé de tempo eletrônico, com cíclico com escala de tempo fixa de 15 minutos, 110/220V - 50/60 Hz; ref. Dte-1 da Digimec ou equivalente</t>
  </si>
  <si>
    <t>P.29.000.042425</t>
  </si>
  <si>
    <t>Minicontator auxiliar 4 NA para 220 V, corrente alternada, ref. 3RH1140-1AN10 da Siemens ou equivalente</t>
  </si>
  <si>
    <t>P.29.000.042426</t>
  </si>
  <si>
    <t>Contator auxiliar 2NA + 2NF para tensão até 240 V, corrente alternada, ref. 3RH1122-1AN10 da Siemens ou equivalente</t>
  </si>
  <si>
    <t>P.29.000.042427</t>
  </si>
  <si>
    <t>Contator auxiliar 4NA + 4NF, ref. 3TH4244 Siemens ou equivalente</t>
  </si>
  <si>
    <t>P.29.000.042456</t>
  </si>
  <si>
    <t>Relé de sobrecarga eletrônico de 55 A até 250 A, ref. 3RB21 63-4GC2 da Siemens ou equivalente</t>
  </si>
  <si>
    <t>P.29.000.042458</t>
  </si>
  <si>
    <t>Contator de potência 110 A - 2NA + 2NF, ref. 3RT1054-1AP36 da Siemens ou equivalente</t>
  </si>
  <si>
    <t>P.29.000.042480</t>
  </si>
  <si>
    <t>Relé de impulso bipolar, 16 A, 250 V CA, ref. Finder ou equivalente</t>
  </si>
  <si>
    <t>P.29.000.042587</t>
  </si>
  <si>
    <t>Contator de potência, corrente nominal 220 A - 2NA + 2NF, tensão variável 24 V a 440 V, 50/60Hz, ref. 3RT1064-6AP36 da Siemens ou equivalente</t>
  </si>
  <si>
    <t>P.29.000.042900</t>
  </si>
  <si>
    <t>Contator de potência 50A, 2NA + 2NF; referência 3RT2036-1AN20n + 3RH2911-1HA11 da Siemens ou equivalente</t>
  </si>
  <si>
    <t>P.29.000.042901</t>
  </si>
  <si>
    <t>Contator de potência 150 A, 2NA + 2NF, ref. 3RT1055-6AP36 da Siemens ou equivalente</t>
  </si>
  <si>
    <t>P.29.000.090337</t>
  </si>
  <si>
    <t>Relé fotoelétrico 50/60Hz 110/220V, com suporte 1200VA</t>
  </si>
  <si>
    <t>P.30.000.034000</t>
  </si>
  <si>
    <t>Cabo coaxial RGC-06, 75ohms, com condutor em aço cobreado e blindagem em trança de cobre 60% e cobertura em capa PVC antichama, ref. KMP, RFS ou equivalente</t>
  </si>
  <si>
    <t>P.30.000.034009</t>
  </si>
  <si>
    <t>P.30.000.040530</t>
  </si>
  <si>
    <t>Terminal modular unipolar externo, ref. 5633K da 3M até 70mm²/15kV</t>
  </si>
  <si>
    <t>P.30.000.040531</t>
  </si>
  <si>
    <t>Terminal modular unipolar interno, ref. 5623K da 3M até 70mm²/15kV</t>
  </si>
  <si>
    <t>P.30.000.042207</t>
  </si>
  <si>
    <t>Conector Split-Bolt para cabo de 25mm², em latão, simples</t>
  </si>
  <si>
    <t>P.30.000.042208</t>
  </si>
  <si>
    <t>Conector Split-Bolt para cabo de 35mm², em latão, simples</t>
  </si>
  <si>
    <t>P.30.000.042209</t>
  </si>
  <si>
    <t>Conector Split-Bolt para cabo de 50mm², em latão, simples</t>
  </si>
  <si>
    <t>P.30.000.042211</t>
  </si>
  <si>
    <t>Conector Split-Bolt para cabo de 25mm², em latão, com rabicho</t>
  </si>
  <si>
    <t>P.30.000.042212</t>
  </si>
  <si>
    <t>Conector Split-Bolt para cabo de 35mm², em latão, com rabicho</t>
  </si>
  <si>
    <t>P.30.000.042213</t>
  </si>
  <si>
    <t>Conector Split-Bolt para cabo de 50mm², em latão, com rabicho</t>
  </si>
  <si>
    <t>P.30.000.042251</t>
  </si>
  <si>
    <t>Esticador para cabo de cobre, latão</t>
  </si>
  <si>
    <t>P.30.000.042454</t>
  </si>
  <si>
    <t>Terminal de compressão para cabo 2,5mm²</t>
  </si>
  <si>
    <t>P.30.000.049424</t>
  </si>
  <si>
    <t>Receptáculo porcelana com parafuso rosca E-27</t>
  </si>
  <si>
    <t>P.30.000.049430</t>
  </si>
  <si>
    <t>Terminal de pressão para cabo 6 até 10mm² (8AWG)</t>
  </si>
  <si>
    <t>P.30.000.049431</t>
  </si>
  <si>
    <t>Terminal de pressão para cabo 25mm² (4AWG)</t>
  </si>
  <si>
    <t>P.30.000.049432</t>
  </si>
  <si>
    <t>Terminal de pressão para cabo 50mm² (1/0AWG)</t>
  </si>
  <si>
    <t>P.30.000.049434</t>
  </si>
  <si>
    <t>Terminal de pressão para cabo 70mm² (3/0AWG)</t>
  </si>
  <si>
    <t>P.30.000.049435</t>
  </si>
  <si>
    <t>Terminal de pressão para cabo 95mm² (4/0AWG)</t>
  </si>
  <si>
    <t>P.30.000.049437</t>
  </si>
  <si>
    <t>Terminal de pressão/compressão para cabo 185mm² (400MCM)</t>
  </si>
  <si>
    <t>P.30.000.049510</t>
  </si>
  <si>
    <t>Conector em latão estanhado (mini gar) para terminais aéreos, com porca e arruela galvanizado a fogo, para cabo 16 a 50mm², TEL 583 da Termotécnica ou equivalente</t>
  </si>
  <si>
    <t>P.30.000.049531</t>
  </si>
  <si>
    <t>Conector com rabicho, porca 3/8", rosca, em latão natural, para cabo 16 até 35mm²; ref. TEL 625 Termomecânica, PK-0152 Paraklin, PRT-919 Paratec, 602500 Magnet, DR-216/DR-219 Raycon, PG-0070 Áraga, PFR-35R Intelli, PFR-015 Conimel ou equivalente</t>
  </si>
  <si>
    <t>P.30.000.049541</t>
  </si>
  <si>
    <t>Terminal de pressão/compressão para cabo 120mm² (250MCM)</t>
  </si>
  <si>
    <t>P.30.000.049542</t>
  </si>
  <si>
    <t>Terminal de pressão/compressão para cabo 240mm² (500MCM)</t>
  </si>
  <si>
    <t>P.30.000.049582</t>
  </si>
  <si>
    <t>Terminal de pressão para cabo 16mm² (6AWG)</t>
  </si>
  <si>
    <t>P.30.000.067008</t>
  </si>
  <si>
    <t>Bloco ligação interna 10 pares com canaleta BLI-10</t>
  </si>
  <si>
    <t>P.30.000.090458</t>
  </si>
  <si>
    <t>Terminal de pressão para cabo 35mm²</t>
  </si>
  <si>
    <t>P.30.000.090763</t>
  </si>
  <si>
    <t>Terminal de pressão para cabo 150mm²</t>
  </si>
  <si>
    <t>P.30.000.091016</t>
  </si>
  <si>
    <t>Conector terminal tipo BNC para cabo coaxial RG59</t>
  </si>
  <si>
    <t>P.30.000.091017</t>
  </si>
  <si>
    <t>Conector de emenda tipo BNC para cabo coaxial RG 59</t>
  </si>
  <si>
    <t>P.31.000.049508</t>
  </si>
  <si>
    <t>Cruzeta em madeira de 90 x 112,5 x 2000mm</t>
  </si>
  <si>
    <t>P.31.000.049509</t>
  </si>
  <si>
    <t>Cruzeta em madeira de 2400mm</t>
  </si>
  <si>
    <t>P.31.000.049514</t>
  </si>
  <si>
    <t>Sela para cruzeta de madeira</t>
  </si>
  <si>
    <t>Q.01.000.029068</t>
  </si>
  <si>
    <t>Q.01.000.029069</t>
  </si>
  <si>
    <t>Q.01.000.031441</t>
  </si>
  <si>
    <t>Ar condicionado a frio, tipo split parede, capacidade de 12.000 BTU/h, com controle remoto, ref. Samsung, Carrier, LG, Consul ou equivalente</t>
  </si>
  <si>
    <t>Q.01.000.032300</t>
  </si>
  <si>
    <t>Ar condicionado a frio, tipo split parede, capacidade de 18.000 BTU/h, com controle remoto, ref. Samsung, Carrier, LG, Consul ou equivalente</t>
  </si>
  <si>
    <t>Q.01.000.032302</t>
  </si>
  <si>
    <t>Ar condicionado a frio, tipo split cassete, capacidade de 18.000 BTU/h, com controle remoto, ref. Samsung, Carrier, LG, Consul ou equivalente</t>
  </si>
  <si>
    <t>Q.01.000.032322</t>
  </si>
  <si>
    <t>Ventilador centrífugo de dupla aspiração "limite-load" vazão 20.000 m³/h, pressão 50 mmCA - 380/660 V / 60 Hz, ref. CLD 560 da Projelmec ou equivalente</t>
  </si>
  <si>
    <t>Q.01.000.047537</t>
  </si>
  <si>
    <t>Insuflador de ar compacto para renovação de ar em ambientes, com filtros classe G4 (branco) + filtro classe M5 (azul) vazão máxima 54 m³/h ou com 2 filtros classe G4 vazão máxima 93 m³/h, conforme Lei 13.589/2018; ref. Splitvent Sicflux ou equivalente</t>
  </si>
  <si>
    <t>Q.01.000.047538</t>
  </si>
  <si>
    <t>Exaustor elétrico doméstico para banheiro, estrutura em plástico, potência 13 a 20W, vazão nominal livre 150 a 190m³/h, ref. B12 Plus da Cata, Silent 200cz da Soler &amp; Palau, Ventokit 150 da Westaflex, Inline-190 da Sicflux ou equivalente</t>
  </si>
  <si>
    <t>Q.01.000.091400</t>
  </si>
  <si>
    <t>Ar condicionado a frio, tipo split parede, capacidade de 30.000 BTU/h, com controle remoto, ref. Samsung, Carrier, LG, Consul ou equivalente</t>
  </si>
  <si>
    <t>Q.01.000.091550</t>
  </si>
  <si>
    <t>Ar condicionado a frio, tipo split parede, capacidade de 24.000 BTU/h, com controle remoto, ref. Samsung, Carrier, LG, Consul ou equivalente</t>
  </si>
  <si>
    <t>Q.01.000.091675</t>
  </si>
  <si>
    <t>Ar condicionado a frio, tipo split cassete, capacidade de 24.000 BTU/h, com controle remoto, ref. Samsung, Carrier, LG, Consul ou equivalente</t>
  </si>
  <si>
    <t>Q.01.000.091676</t>
  </si>
  <si>
    <t>Ar condicionado a frio, tipo split cassete, capacidade de 36.000 BTU/h, com controle remoto, ref. Samsung, Carrier, LG, Consul ou equivalente</t>
  </si>
  <si>
    <t>Q.01.000.091678</t>
  </si>
  <si>
    <t>Ar condicionado a frio, tipo split piso teto, capacidade de 24.000 BTU/h, com controle remoto, ref. Samsung, Carrier, LG, Consul ou equivalente</t>
  </si>
  <si>
    <t>Q.01.000.091679</t>
  </si>
  <si>
    <t>Ar condicionado a frio, tipo split piso teto, capacidade de 36.000 BTU/h, com controle remoto, ref. Samsung, Carrier, LG, Consul ou equivalente</t>
  </si>
  <si>
    <t>Q.01.000.098098</t>
  </si>
  <si>
    <t>Ar condicionado a frio, tipo split piso teto, capacidade de 48.000 BTU/h, com controle remoto; ref. Hitachi, Elgin, Carrier ou equivalente</t>
  </si>
  <si>
    <t>Q.01.000.098201</t>
  </si>
  <si>
    <t>Cortina de ar com duas velocidades, para vão 1,20 m, ref. Springer, Elgin ou equivalente</t>
  </si>
  <si>
    <t>Q.01.000.098203</t>
  </si>
  <si>
    <t>Cortina de ar com duas velocidades, para vão 1,50 m, ref. Springer, Elgin ou equivalente</t>
  </si>
  <si>
    <t>Q.02.000.024314</t>
  </si>
  <si>
    <t>Câmara frigorífica para resfriados</t>
  </si>
  <si>
    <t>Q.02.000.091438</t>
  </si>
  <si>
    <t>Câmara frigorífica para congelados</t>
  </si>
  <si>
    <t>Q.03.000.020669</t>
  </si>
  <si>
    <t>Sistema de tratamento de águas cinzas e aproveitamento de águas pluviais para reuso em fins não potáveis, vazão 2m³/h; ref. Acquaciclus ou equivalente</t>
  </si>
  <si>
    <t>Q.04.000.031001</t>
  </si>
  <si>
    <t>Unidade Condensadora VRF para sistema de ar condicionado, capacidade até 6 TR</t>
  </si>
  <si>
    <t>Q.04.000.031002</t>
  </si>
  <si>
    <t>Unidade Condensadora VRF para sistema de ar condicionado, capacidade de 8 TR a 10 TR</t>
  </si>
  <si>
    <t>Q.04.000.031003</t>
  </si>
  <si>
    <t>Unidade Condensadora VRF para sistema de ar condicionado, capacidade de 11 TR a 13 TR</t>
  </si>
  <si>
    <t>Q.04.000.031004</t>
  </si>
  <si>
    <t>Unidade Condensadora VRF para sistema de ar condicionado, capacidade de 14 TR a 16 TR</t>
  </si>
  <si>
    <t>Q.04.000.031006</t>
  </si>
  <si>
    <t>Resfriador de líquidos chiller refrigerado a ar (condensação a ar) controlado por microprocessador, com compressor tipo Scroll, capacidade de  80 TR, ref. Aquasnap modelo 30RBA  da Carrier ou equivalente</t>
  </si>
  <si>
    <t>Q.04.000.031016</t>
  </si>
  <si>
    <t>Resfriadora de líquidos (chiller), com compressor e condensação a ar, capacidade de 20 TR</t>
  </si>
  <si>
    <t>Q.04.000.031017</t>
  </si>
  <si>
    <t>Resfriador de líquidos chiller refrigerado a ar (condensação a ar) controlado por microprocessador, com compressor tipo Scroll, capacidade de 160 TR, ref. Aquasnap 30RB-A 170-446 da Carrier ou equivalente - instalado</t>
  </si>
  <si>
    <t>Q.04.000.031020</t>
  </si>
  <si>
    <t>Unidade Evaporadora VRF para sistema de ar condicionado, tipo hiwall, capacidade de 1 TR</t>
  </si>
  <si>
    <t>Q.04.000.031021</t>
  </si>
  <si>
    <t>Unidade Evaporadora VRF para sistema de ar condicionado, tipo hiwall, capacidade de 2 TR</t>
  </si>
  <si>
    <t>Q.04.000.031022</t>
  </si>
  <si>
    <t>Unidade Evaporadora VRF para sistema de ar condicionado, tipo hiwall, capacidade de 3 TR</t>
  </si>
  <si>
    <t>Q.04.000.031030</t>
  </si>
  <si>
    <t>Unidade Evaporadora VRF para sistema de ar condicionado, tipo piso teto, capacidade de 1 TR</t>
  </si>
  <si>
    <t>Q.04.000.031031</t>
  </si>
  <si>
    <t>Unidade Evaporadora VRF para sistema de ar condicionado, tipo piso teto, capacidade de 2 TR</t>
  </si>
  <si>
    <t>Q.04.000.031032</t>
  </si>
  <si>
    <t>Unidade Evaporadora VRF para sistema de ar condicionado, tipo piso teto, capacidade de 3 TR</t>
  </si>
  <si>
    <t>Q.04.000.031033</t>
  </si>
  <si>
    <t>Unidade Evaporadora VRF para sistema de ar condicionado, tipo piso teto, capacidade de 4 TR</t>
  </si>
  <si>
    <t>Q.04.000.031040</t>
  </si>
  <si>
    <t>Unidade Evaporadora VRF para sistema de ar condicionado, tipo cassete, capacidade de 1 TR</t>
  </si>
  <si>
    <t>Q.04.000.031041</t>
  </si>
  <si>
    <t>Unidade Evaporadora VRF para sistema de ar condicionado, tipo cassete, capacidade de 2 TR</t>
  </si>
  <si>
    <t>Q.04.000.031042</t>
  </si>
  <si>
    <t>Unidade Evaporadora VRF para sistema de ar condicionado, tipo cassete, capacidade de 3 TR</t>
  </si>
  <si>
    <t>Q.04.000.031043</t>
  </si>
  <si>
    <t>Unidade Evaporadora VRF para sistema de ar condicionado, tipo cassete, capacidade de 4 TR</t>
  </si>
  <si>
    <t>Q.04.000.031301</t>
  </si>
  <si>
    <t>Caixa ventiladora com ventilador centrífugo 10.000 m³/h, pressão 30mmca - 220 / 380 V / 60HZ; ref. Sirocco ou equivalente</t>
  </si>
  <si>
    <t>Q.04.000.031400</t>
  </si>
  <si>
    <t>Duto flexível em alumínio, seção circular, isolado termicamente com lã de vidro de 25 mm; ref. Isodec RT 10 cm (4") Multivac ou equivalente</t>
  </si>
  <si>
    <t>Q.04.000.031401</t>
  </si>
  <si>
    <t>Duto flexível em alumínio, seção circular, isolado termicamente com lã de vidro de 25 mm; ref. Isodec RT 15 cm (6") Multivac ou equivalente</t>
  </si>
  <si>
    <t>Q.04.000.031402</t>
  </si>
  <si>
    <t>Duto flexível em alumínio, seção circular, isolado termicamente com lã de vidro de 25 mm; ref. Isodec RT 20 cm (8") Multivac ou equivalente</t>
  </si>
  <si>
    <t>Q.04.000.031404</t>
  </si>
  <si>
    <t>Damper Corta Fogo tipo comporta, formato circular ou retangular, com elemento fusível e chave fim de curso, referência comercial série FKA-TI-BR-120 fabricante TROX ou equivalente</t>
  </si>
  <si>
    <t>Q.04.000.031408</t>
  </si>
  <si>
    <t>Difusor de jato de ar orientável, de longo alcance, tipo Jet-Nozzles, formato redondo, para insuflamento de ar, em alumínio pintado com esmalte sintético, vazão de ar 1.330 m³/h, ref. DUE-S de 400 da Trox ou equivalente</t>
  </si>
  <si>
    <t>Q.04.000.031409</t>
  </si>
  <si>
    <t>Damper de regulagem manual, modelo RG-B; tamanho: 0,10 m² a 0,14 m²; referência comercial: Trox, Difus-ar ou equivalente</t>
  </si>
  <si>
    <t>Q.04.000.031410</t>
  </si>
  <si>
    <t>Tanque de expansão, capacidade (volume mínimo) de 250 litros, completo, para compensação da dilatação térmica da água no sistema de ar condicionado central, ref. modelo Statico 250 l da Imi-Hydronic, TAP-250 V da Schneider ou equivalente</t>
  </si>
  <si>
    <t>Q.04.000.031415</t>
  </si>
  <si>
    <t>Registro de regulagem de vazão de ar, tipo OB, confeccionado em chapa galvanizada pintada com esmalte sintético, medindo 40 x 5 cm, ref. RG fabricante Trox ou equivalente</t>
  </si>
  <si>
    <t>Q.04.000.031416</t>
  </si>
  <si>
    <t>Damper de regulagem manual, modelo RG-B; tamanho: 0,15 m² a 0,20 m²; ref. Trox, Difus-ar ou equivalente</t>
  </si>
  <si>
    <t>Q.04.000.031417</t>
  </si>
  <si>
    <t>Difusor de insuflação de ar, tipo direcional, medindo 30 x 30 cm, ref. DQ-32 da Trox ou equivalente</t>
  </si>
  <si>
    <t>Q.04.000.031418</t>
  </si>
  <si>
    <t>Damper de regulagem manual, modelo RG-B; tamanho: 0,21 m² a 0,40 m²; ref. Trox, Difus-ar ou equivalente</t>
  </si>
  <si>
    <t>Q.04.000.031419</t>
  </si>
  <si>
    <t>Difusor de insuflação de ar, tipo direcional, medindo 45 x 15 cm, ref. DI-RG-32 da Trox ou equivalente</t>
  </si>
  <si>
    <t>Q.04.000.031425</t>
  </si>
  <si>
    <t>Difusor para insuflamento de ar com plenum, modelo ADLK-S-AG, tamanhos 2,3,4,e 5; ref. Trox ou equivalente</t>
  </si>
  <si>
    <t>Q.04.000.031426</t>
  </si>
  <si>
    <t>Difusor para insuflamento de ar com plenum, modelo ALS-DS com 2 aberturas, tamanho 200 cm; ref. Trox ou equivalente</t>
  </si>
  <si>
    <t>Q.04.000.031427</t>
  </si>
  <si>
    <t>Difusor de plástico, modelo DVK-R, diâmetro 15 cm; ref. Multivac ou equivalente</t>
  </si>
  <si>
    <t>Q.04.000.031428</t>
  </si>
  <si>
    <t>Difusor de plástico, modelo DVK-R, diâmetro 20 cm; ref. Multivac ou equivalente</t>
  </si>
  <si>
    <t>Q.04.000.031429</t>
  </si>
  <si>
    <t>Grelha de retorno/exaustão com registro, modelo AR-AG; tamanho: 0,03 m² a 0,06 m²</t>
  </si>
  <si>
    <t>Q.04.000.031430</t>
  </si>
  <si>
    <t>Grelha de retorno/exaustão com registro, modelo AR-AG; tamanho: 0,07 m² a 0,13 m²</t>
  </si>
  <si>
    <t>Q.04.000.031431</t>
  </si>
  <si>
    <t>Grelha de retorno/exaustão com registro, modelo AR-AG; tamanho: 0,14 m² a 0,19 m²</t>
  </si>
  <si>
    <t>Q.04.000.031432</t>
  </si>
  <si>
    <t>Grelha de retorno/exaustão com registro, modelo AR-AG; tamanho: 0,20 m² a 0,40 m²</t>
  </si>
  <si>
    <t>Q.04.000.031433</t>
  </si>
  <si>
    <t>Grelha de retorno/exaustão com registro, modelo AR-AG; tamanho: 0,41 m² a 0,65 m²</t>
  </si>
  <si>
    <t>Q.04.000.031434</t>
  </si>
  <si>
    <t>Grelha de porta, modelo AGS-T; tamanho: 0,03 m² a 0,06 m²</t>
  </si>
  <si>
    <t>Q.04.000.031435</t>
  </si>
  <si>
    <t>Grelha de porta, modelo AGS-T; tamanho: 0,07 m² a 0,13 m²</t>
  </si>
  <si>
    <t>Q.04.000.031436</t>
  </si>
  <si>
    <t>Grelha de porta, modelo AGS-T; tamanho: 0,14 m² a 0,30 m²</t>
  </si>
  <si>
    <t>Q.04.000.031440</t>
  </si>
  <si>
    <t>Grelha de insuflação ou retorno, dupla deflexão e registro, lâminas convergentes, aletas verticais ajustáveis individualmente, em alumínio anodizado, tamanho: acima de 0,5 até 1,0 m²; ref. mod. VAT-DG da Trox ou equivalente</t>
  </si>
  <si>
    <t>Q.04.000.031441</t>
  </si>
  <si>
    <t>Grelha de insuflação ou retorno, dupla deflexão e registro, lâminas convergentes, aletas verticais ajustáveis individualmente, em alumínio anodizado, tamanho: acima de 0,1 até 0,5 m²; ref. mod. VAT-DG da Trox ou equivalente</t>
  </si>
  <si>
    <t>Q.04.000.031442</t>
  </si>
  <si>
    <t>Grelha de insuflação ou retorno, dupla deflexão e registro, lâminas convergentes, aletas verticais ajustáveis individualmente, em alumínio anodizado, tamanho: até 0,1 m²; ref. mod. VAT-DG da Trox ou equivalente</t>
  </si>
  <si>
    <t>Q.04.000.031443</t>
  </si>
  <si>
    <t>Painel rígido em lã de vidro, alta densidade, dimensões 2,70x1,20m, espessura de 25mm, revestidos face externa FSK (Foil Scrim Kraft aluminizado) e face interna tecido de vidro preto; ref. Climaver Acustic da Isover ou equivalente</t>
  </si>
  <si>
    <t>Q.04.000.032307</t>
  </si>
  <si>
    <t>Caixa ventiladora tipo compacta em estrutura e painéis em aço galvanizado, contendo ventilador centrífugo de dupla aspiração e motor elétrico para acionamento, vazão de 4.600 m³/hora e pressão estática de 30 mmca</t>
  </si>
  <si>
    <t>Q.04.000.032309</t>
  </si>
  <si>
    <t>Caixa ventiladora tipo compacta em estrutura e painéis em aço galvanizado, contendo ventilador centrífugo de dupla aspiração e motor elétrico para acionamento, vazão de 28.000 m³/h e pressão estática de 30 mmca</t>
  </si>
  <si>
    <t>Q.04.000.032311</t>
  </si>
  <si>
    <t>Resfriadora de líquidos, compressor Screw/parafuso (chiller), condensação à ar, capacidade 120 TR, compacto, com tubulações, fiações e controles internos, 380V/60Hz, ref. 30 RB-A Carrier, R407C série SAZ mod. RCU120SAZ4A7P Chiller Hitachi ou equivalente</t>
  </si>
  <si>
    <t>Q.04.000.032314</t>
  </si>
  <si>
    <t>Caixa ventiladora com ventilador centrífugo 8.800 m³/h e motor 2,2 kW - tensão 220/380V/60Hz, pressão 35 mmCA</t>
  </si>
  <si>
    <t>Q.04.000.032316</t>
  </si>
  <si>
    <t>Q.04.000.032317</t>
  </si>
  <si>
    <t>Caixa ventiladora com ventilador centrífugo 1.190 m³/h e tensão 220/380V/60Hz, pressão 37 mmCA; ref. GV-SVDL 155 da Motovent ou equivalente</t>
  </si>
  <si>
    <t>Q.04.000.032319</t>
  </si>
  <si>
    <t>Resfriadora de líquidos com compressor Screw/parafuso (chiller), condensação à ar, capac. 200-210 TR, compacto, c/tubulações, fiações e controles internos, 380V/60Hz; ref. 30 RB-A Carrier, R407C série SAZ mod. RCU210SAZ4A7P chiller Hitachi ou equivalente</t>
  </si>
  <si>
    <t>Q.04.000.032321</t>
  </si>
  <si>
    <t>Q.04.000.032323</t>
  </si>
  <si>
    <t>Q.04.000.032324</t>
  </si>
  <si>
    <t>Q.04.000.032325</t>
  </si>
  <si>
    <t>Tratamento ar compacta fancolete hidrônico, piso-teto, serpentina, filtros ar, ventiladores/motores elétricos, revest. isolamento térmico/acústico, vazão 637m³/h, refrig 14.000Btu/h - 1,2TR 220V/1Ph/60Hz; ref. 42LS14 Carrier ou equivalente</t>
  </si>
  <si>
    <t>Q.04.000.032327</t>
  </si>
  <si>
    <t>Tratamento ar compacta fancolete hidrônico, piso-teto, serpentina, filtros ar, ventiladores/motores elétricos, revest. isolamento térmico/acústico, vazão 1.215m³/h, refrig. 25.000Btu/h, 2,1TR 220V/1Ph/60Hz; ref. Carrier ou equivalente</t>
  </si>
  <si>
    <t>Q.04.000.032329</t>
  </si>
  <si>
    <t>Tratamento ar compacta fancolete hidrônico, piso-teto, serpentina, filtros ar, ventiladores/motores elétricos, revest. isolamento térmico/acústico, vazão 1.758m³/h, refrigeração 36.000Btu/h, 3TR 220V/1Ph/60Hz; ref. Carrier ou equivalente</t>
  </si>
  <si>
    <t>Q.04.000.032331</t>
  </si>
  <si>
    <t>Tratamento ar compacta fancolete hidrônico, piso-teto, serpentina, filtros ar, ventiladores/motores elétricos, revest. isolamento térmico/acústico, vazão 2.166m³/h, refrig 48.000Btu/h-4TR 220V/1Ph/60Hz; ref. Carrier, Hitachi ou equivalente</t>
  </si>
  <si>
    <t>Q.04.000.032333</t>
  </si>
  <si>
    <t>Tratamento de ar fan-coil tipo Air Handling Unit de concepção modular, capacidade de 10 TR, ref. TKM-227 10TR - 50mmca Trox, modelo YE/10 fabricante York ou equivalente</t>
  </si>
  <si>
    <t>Q.04.000.032335</t>
  </si>
  <si>
    <t>Tratamento de ar fan-coil tipo Air Handling Unit de concepção modular, capacidade de 40 TR, ref. TKM-227 40TR - 50mmca Trox, modelo YE/40 fabricante York ou equivalente</t>
  </si>
  <si>
    <t>Q.04.000.032337</t>
  </si>
  <si>
    <t>Tratamento de ar fan-coil tipo Air Handling Unit de concepção modular, capacidade de 50 TR, ref. TKM-227 50TR - 50mmca Trox, modelo TCA-LQ-50/8ROWS Hitachi ou equivalente</t>
  </si>
  <si>
    <t>Q.04.000.032340</t>
  </si>
  <si>
    <t>Q.04.000.032344</t>
  </si>
  <si>
    <t>Válvula de balanceamento diâmetro 1 " a 2-1/2"</t>
  </si>
  <si>
    <t>Q.04.000.032345</t>
  </si>
  <si>
    <t>Válvula borboleta na configuração wafer motorizada atuador floating diâmetro 3'' a 4"</t>
  </si>
  <si>
    <t>Q.04.000.032346</t>
  </si>
  <si>
    <t>Atuador Floating de 40Nm, sinal de controle 3 e 2 pontos, tensão de entrada AC/DC 24V, IP 54</t>
  </si>
  <si>
    <t>Q.04.000.032347</t>
  </si>
  <si>
    <t>Válvula motorizada de esfera, com duas vias atuador floating; diâmetro de 1 1/2" a 3/4"; ref. EMO-85M-24+S6064 da Actua Controls, CN7510A2001+VB02 1/2"' e 3/4"' da Honeywell,  B239+ARB24-3 da Belimo ou equivalente</t>
  </si>
  <si>
    <t>Q.04.000.032348</t>
  </si>
  <si>
    <t>Válvula duas vias on/off retorno elétrico, diâmetro 1/2" a 3/4"; ref. ACTBV80S-215/ACTBV80S-220 da Actua ou equivalente</t>
  </si>
  <si>
    <t>Q.04.000.032349</t>
  </si>
  <si>
    <t>Válvula esfera motorizada de duas vias de atuador proporcional diâmetro 2" a 2 1/2"</t>
  </si>
  <si>
    <t>Q.04.000.032350</t>
  </si>
  <si>
    <t>Atuador proporcional de 10 Nm, tensão de entrada AC/DC 24 V, IP 54</t>
  </si>
  <si>
    <t>Q.04.000.032351</t>
  </si>
  <si>
    <t>Válvula esfera duas vias flangeada Ø3''</t>
  </si>
  <si>
    <t>Q.04.000.032357</t>
  </si>
  <si>
    <t>Veneziana com tela, anodizado natural, com filtro G4 e furos; referência comercial modelo AWG fabricantes Trox, Difus-ar ou equivalente</t>
  </si>
  <si>
    <t>Q.04.000.032358</t>
  </si>
  <si>
    <t>Veneziana com tela, modelo AWG; referência comercial: Trox ou equivalente</t>
  </si>
  <si>
    <t>Q.04.000.032359</t>
  </si>
  <si>
    <t>Veneziana com tela, modelo AWG, tamanho 38,5x33 cm; referência comercial: Trox, Difus-ar ou equivalente</t>
  </si>
  <si>
    <t>Q.04.000.032360</t>
  </si>
  <si>
    <t>Veneziana com tela, modelo AWG, tamanho 78,5x33 cm; referência comercial: Trox, Difus-ar ou equivalente</t>
  </si>
  <si>
    <t>R.02.000.038018</t>
  </si>
  <si>
    <t>Óleo de linhaça</t>
  </si>
  <si>
    <t>R.02.000.039013</t>
  </si>
  <si>
    <t>Ácido muriático</t>
  </si>
  <si>
    <t>R.02.000.039014</t>
  </si>
  <si>
    <t>Graxa lubrificante pastosa</t>
  </si>
  <si>
    <t>R.03.000.020338</t>
  </si>
  <si>
    <t>Tela tipo mosquiteira removível em fibra de vidro revestida em pvc, perfil alumínio, borracha EPDM, Kit fixação com 4 cantoneiras, travas e parafusos com buchas</t>
  </si>
  <si>
    <t>R.03.000.020341</t>
  </si>
  <si>
    <t>R.03.000.020342</t>
  </si>
  <si>
    <t>Tela em polietileno, malha hexagonal de 1/2´, gramatura mínima de 205g/m², ref. Pinteiro 5110P ou 5111P da Nortene, ou equivalente</t>
  </si>
  <si>
    <t>R.03.000.027502</t>
  </si>
  <si>
    <t>Tela em polietileno (nylon), malha 10x10cm - fio com espessura de 2 mm, instalada</t>
  </si>
  <si>
    <t>R.03.000.028049</t>
  </si>
  <si>
    <t>R.03.000.028050</t>
  </si>
  <si>
    <t>S.01.000.038760</t>
  </si>
  <si>
    <t>Plantio de grama pelo processo hidrossemeadura</t>
  </si>
  <si>
    <t>S.01.000.080102</t>
  </si>
  <si>
    <t>Caminhão com irrigadeira e autobomba, capacidade mínima de 6.000 litros - COND.D</t>
  </si>
  <si>
    <t>S.01.000.080105</t>
  </si>
  <si>
    <t>Vassoura mecânica - rebocada mecanicamente</t>
  </si>
  <si>
    <t>S.01.000.080119</t>
  </si>
  <si>
    <t>Trator com pneus industrial, agrícola com peso de 5 T</t>
  </si>
  <si>
    <t>S.01.000.080125</t>
  </si>
  <si>
    <t>Betoneira reversível com carregador, capacidade de 320 litros, acionamento do motor combustão interna (diesel e gasolina) ou motor elétrico Alfa 320</t>
  </si>
  <si>
    <t>S.01.000.080129</t>
  </si>
  <si>
    <t>Compressor de ar XA 125 MWD - COND. D</t>
  </si>
  <si>
    <t>S.01.000.080149</t>
  </si>
  <si>
    <t>Vibroacabadora de asfalto sobre esteiras, capacidade 400 ton/hora</t>
  </si>
  <si>
    <t>S.01.000.080157</t>
  </si>
  <si>
    <t>Rompedor Pneumático ATLAS COPCO TEX 32 PS</t>
  </si>
  <si>
    <t>S.01.000.080178</t>
  </si>
  <si>
    <t>Rolo compactador vibratório de um cilindro/PN 7T</t>
  </si>
  <si>
    <t>S.01.000.080258</t>
  </si>
  <si>
    <t>Caminhão carroceria em madeira, capacidade até 8 toneladas</t>
  </si>
  <si>
    <t>S.01.000.080266</t>
  </si>
  <si>
    <t>Pá-carregadeira retroescavadeira / carregadeira, capacidade de 0,77m³ - COND. D</t>
  </si>
  <si>
    <t>S.01.000.080272</t>
  </si>
  <si>
    <t>Escavadeira hidráulica sobre esteira 100 HP (74 kW)</t>
  </si>
  <si>
    <t>S.01.000.080303</t>
  </si>
  <si>
    <t>Trator sobre esteira com lamina/Ripper 2,28m³</t>
  </si>
  <si>
    <t>S.01.000.080308</t>
  </si>
  <si>
    <t>Caminhão basculante caçamba minério, capacidade de 8,0m³ - COND.D</t>
  </si>
  <si>
    <t>S.01.000.080311</t>
  </si>
  <si>
    <t>Caminhão basculante diesel com capacidade de 5 m³ - COND. D</t>
  </si>
  <si>
    <t>S.01.000.080312</t>
  </si>
  <si>
    <t>Caminhão espargidor, capacidade de 6.000 litros - COND.D</t>
  </si>
  <si>
    <t>S.01.000.080330</t>
  </si>
  <si>
    <t>S.01.000.080332</t>
  </si>
  <si>
    <t>S.01.000.080334</t>
  </si>
  <si>
    <t>Placa vibratória impacto de 1.700 kg, com motor diesel, ou gasolina, ou elétrico, ref. Placa Vibratoria Dynapac CM13 da Flygt do Brasil ou equivalente</t>
  </si>
  <si>
    <t>S.01.000.080337</t>
  </si>
  <si>
    <t>S.01.000.080338</t>
  </si>
  <si>
    <t>Rolo compactador de pneus para asfalto, capacidade 27 toneladas</t>
  </si>
  <si>
    <t>S.01.000.080342</t>
  </si>
  <si>
    <t>Trator de esteira lâmina reta/riper - 328HP, CATEPILLAR-D8R PS328 ou equivalente</t>
  </si>
  <si>
    <t>S.01.000.080344</t>
  </si>
  <si>
    <t>S.01.000.080349</t>
  </si>
  <si>
    <t>S.01.000.080351</t>
  </si>
  <si>
    <t>Guindauto MUNCK M-640/18 com lança telescópica capacidade 3750 kg</t>
  </si>
  <si>
    <t>S.01.000.080352</t>
  </si>
  <si>
    <t>Veículo utilitário com capacidade para 9 pessoas - 1.600 CC - COND.D</t>
  </si>
  <si>
    <t>S.01.000.080357</t>
  </si>
  <si>
    <t>Locação de estação total</t>
  </si>
  <si>
    <t>S.01.000.080358</t>
  </si>
  <si>
    <t>Locação de nível com tripé</t>
  </si>
  <si>
    <t>S.01.000.081345</t>
  </si>
  <si>
    <t>Fresadora, largura útil 1 m; ref. Fresadora Wirtgem 1000C ou equivalente</t>
  </si>
  <si>
    <t>S.01.000.091701</t>
  </si>
  <si>
    <t>Sinalização horizontal com resina vinílica ou acrílica</t>
  </si>
  <si>
    <t>S.01.000.091713</t>
  </si>
  <si>
    <t>Colocação de placa em suporte de madeira / metálico - solo</t>
  </si>
  <si>
    <t>Suporte de perfil metálico galvanizado</t>
  </si>
  <si>
    <t>S.03.000.000001</t>
  </si>
  <si>
    <t>S.03.000.020120</t>
  </si>
  <si>
    <t>Placa de advertência em chapa de alumínio, espessura 2mm, com pintura refletiva</t>
  </si>
  <si>
    <t>S.03.000.026616</t>
  </si>
  <si>
    <t>Cantoneira em alumínio</t>
  </si>
  <si>
    <t>S.03.000.026664</t>
  </si>
  <si>
    <t>Chapa de aço galvanizado nas bitolas: nº 22, n° 24 e n° 26</t>
  </si>
  <si>
    <t>S.03.000.028009</t>
  </si>
  <si>
    <t>Cola de contato para chapa vinílica / borracha</t>
  </si>
  <si>
    <t>S.03.000.028010</t>
  </si>
  <si>
    <t>Fita crepe 25mm x 50m</t>
  </si>
  <si>
    <t>S.03.000.028011</t>
  </si>
  <si>
    <t>S.03.000.032568</t>
  </si>
  <si>
    <t>Rodapé em mármore branco com espessura de 2 cm e altura de 7,0cm, acabamento polido</t>
  </si>
  <si>
    <t>S.03.000.036002</t>
  </si>
  <si>
    <t>Rodapé de madeira ipê/jatobá de 7 x 1,5 cm</t>
  </si>
  <si>
    <t>S.03.000.036500</t>
  </si>
  <si>
    <t>Tampão ferro dúctil de 300 x 300mm, classe 125 (ruptura &gt; 125 kN), conforme NBR 10160/2005</t>
  </si>
  <si>
    <t>S.03.000.040001</t>
  </si>
  <si>
    <t>Poste concreto armado circular, H= 11m p/200kgf</t>
  </si>
  <si>
    <t>S.03.000.040007</t>
  </si>
  <si>
    <t>Poste concreto armado circular, H= 9m p/300kgf</t>
  </si>
  <si>
    <t>S.03.000.040009</t>
  </si>
  <si>
    <t>Poste concreto armado circular, H= 9m p/400kgf</t>
  </si>
  <si>
    <t>S.03.000.042306</t>
  </si>
  <si>
    <t>Placa de sinalização em chapa de aço N.16, com pintura refletiva "Perigo Alta Tensão"</t>
  </si>
  <si>
    <t>S.03.000.060255</t>
  </si>
  <si>
    <t>Anel pré-moldado em concreto, diâmetro externo de 0,80 m, h= 0,50 m</t>
  </si>
  <si>
    <t>S.03.000.061192</t>
  </si>
  <si>
    <t>Curva 45° em aço galvanizado, rosca macho/fêmea, Ø 2 1/2´</t>
  </si>
  <si>
    <t>S.03.000.061193</t>
  </si>
  <si>
    <t>Curva 90° em aço galvanizado, rosca fêmea/fêmea, Ø 2 1/2´</t>
  </si>
  <si>
    <t>S.03.000.080127</t>
  </si>
  <si>
    <t>Máquina projetora de concreto</t>
  </si>
  <si>
    <t>S.03.000.080128</t>
  </si>
  <si>
    <t>Compressor de ar rebocável, vazão 748pcm, motor a diesel, pot. 210cv</t>
  </si>
  <si>
    <t>S.03.000.080129</t>
  </si>
  <si>
    <t>Máquina extrusora de concreto para guias e sarjetas, motor a diesel, potência 14cv</t>
  </si>
  <si>
    <t>S.03.000.080130</t>
  </si>
  <si>
    <t>Régua vibradora dupla para concreto a gasolina 5,5 Hp, peso de 60 kg, comprimento 4 m</t>
  </si>
  <si>
    <t>S.03.000.080328</t>
  </si>
  <si>
    <t>Guindaste hidráulico autopropelido, com lança telescópica, para espaços limitados, tração 4x4, capacidade acima de 30 ton, potência 97 KW</t>
  </si>
  <si>
    <t>S.03.000.085678</t>
  </si>
  <si>
    <t>Retroescavadeira sobre rodas com carregadeira, tração 4x4, potência liquida 88 HP, peso operacional mínimo 6674 kg capacidade da carregadeira de 1 m³ e da retroescavadeira mínima de 0,26 m³, profundidade de escavação máxima de 4,37 m</t>
  </si>
  <si>
    <t>S.04.000.020160</t>
  </si>
  <si>
    <t>Batente de alumínio para divisória</t>
  </si>
  <si>
    <t>S.04.000.020379</t>
  </si>
  <si>
    <t>Tubo de papelão para forma com diâmetro de 45 cm</t>
  </si>
  <si>
    <t>S.04.000.020750</t>
  </si>
  <si>
    <t>Mão de obra / equipamentos mecânico e rotativo / corte / laser</t>
  </si>
  <si>
    <t>S.04.000.021027</t>
  </si>
  <si>
    <t>Vigas em cambará, cedrinho, eucalipto-citriodora, eucalipto-saligna, garapa, cupiúba, itaúba, de 6,0 x 16,0cm</t>
  </si>
  <si>
    <t>S.04.000.021028</t>
  </si>
  <si>
    <t>Madeira serrada G1-C6</t>
  </si>
  <si>
    <t>S.04.000.021087</t>
  </si>
  <si>
    <t>Chapa compensada plastificada de 12 mm de espessura</t>
  </si>
  <si>
    <t>S.04.000.021093</t>
  </si>
  <si>
    <t>Locação de andaime torre metálico (1,5x1,5m), com piso metálico</t>
  </si>
  <si>
    <t>S.04.000.021094</t>
  </si>
  <si>
    <t>Locação de andaime tubular fachadeiro, largura mínima de 1,00 m com piso metálico e sapatas ajustáveis</t>
  </si>
  <si>
    <t>M2XME</t>
  </si>
  <si>
    <t>S.04.000.021235</t>
  </si>
  <si>
    <t>Tubo de papelão para forma com diâmetro de 30 cm</t>
  </si>
  <si>
    <t>S.04.000.021236</t>
  </si>
  <si>
    <t>Tubo de papelão para forma com diâmetro de 50 cm</t>
  </si>
  <si>
    <t>S.04.000.021238</t>
  </si>
  <si>
    <t>Tubo de papelão para forma com diâmetro de 25 cm</t>
  </si>
  <si>
    <t>S.04.000.021239</t>
  </si>
  <si>
    <t>Tubo de papelão para forma com diâmetro de 35 cm</t>
  </si>
  <si>
    <t>S.04.000.021240</t>
  </si>
  <si>
    <t>Tubo de papelão para fôrma com diâmetro de 40 cm</t>
  </si>
  <si>
    <t>S.04.000.021531</t>
  </si>
  <si>
    <t>Barra de transferência em aço liso, diâmetro de 12,5 mm e comprimento de 35 cm</t>
  </si>
  <si>
    <t>S.04.000.022069</t>
  </si>
  <si>
    <t>Espaçador treliçado de aço, H= 5 cm</t>
  </si>
  <si>
    <t>S.04.000.023626</t>
  </si>
  <si>
    <t>S.04.000.024045</t>
  </si>
  <si>
    <t>Disco diamantado para máquinas serra-mármore</t>
  </si>
  <si>
    <t>S.04.000.024123</t>
  </si>
  <si>
    <t>S.04.000.026514</t>
  </si>
  <si>
    <t>Parafuso auto-atarraxante com fenda, zincado branco de 9,5 x 2,9 mm</t>
  </si>
  <si>
    <t>S.04.000.026601</t>
  </si>
  <si>
    <t>Perfil ´U´ enrijecido (60x45x20)mm chapa 14 galvanizado</t>
  </si>
  <si>
    <t>S.04.000.026727</t>
  </si>
  <si>
    <t>Parafuso auto-atarraxante 5,5x38mm com arruela e bucha tipo S8</t>
  </si>
  <si>
    <t>S.04.000.026728</t>
  </si>
  <si>
    <t>Parafuso em inoxidável auto-atarraxante sextavado M6x50mm com bucha plástica tipo S6</t>
  </si>
  <si>
    <t>S.04.000.027499</t>
  </si>
  <si>
    <t>Galvanização a frio (tinta rica em zinco)</t>
  </si>
  <si>
    <t>S.04.000.027515</t>
  </si>
  <si>
    <t>Placas pré-moldada em concreto dimensões (1,60x0,60x0,03m)</t>
  </si>
  <si>
    <t>S.04.000.028017</t>
  </si>
  <si>
    <t>Endurecedor superficial para concreto</t>
  </si>
  <si>
    <t>S.04.000.028073</t>
  </si>
  <si>
    <t>Cola para piso vinílico</t>
  </si>
  <si>
    <t>S.04.000.031142</t>
  </si>
  <si>
    <t>S.04.000.031215</t>
  </si>
  <si>
    <t>Ferro trabalhado</t>
  </si>
  <si>
    <t>S.04.000.031547</t>
  </si>
  <si>
    <t>S.04.000.031548</t>
  </si>
  <si>
    <t>S.04.000.031550</t>
  </si>
  <si>
    <t>S.04.000.031551</t>
  </si>
  <si>
    <t>S.04.000.031552</t>
  </si>
  <si>
    <t>S.04.000.031554</t>
  </si>
  <si>
    <t>Fornecimento e instalação de vidro laminado 5+5mm, inclusive acessórios em alumínio</t>
  </si>
  <si>
    <t>S.04.000.031686</t>
  </si>
  <si>
    <t>Tela alambrado soldada galvanizada fio 3,0mm, malha 5 x 15 cm</t>
  </si>
  <si>
    <t>S.04.000.031731</t>
  </si>
  <si>
    <t>Dobradiça em aço cromado com pino e bola em aço de 3 1/2´ x 3´</t>
  </si>
  <si>
    <t>S.04.000.031733</t>
  </si>
  <si>
    <t>Dobradiça 03 estágios ferro galvanizado DN 1´ x 4´</t>
  </si>
  <si>
    <t>S.04.000.032569</t>
  </si>
  <si>
    <t>Granito com espessura de 2cm e acabamento polido</t>
  </si>
  <si>
    <t>S.04.000.032570</t>
  </si>
  <si>
    <t>Granito com espessura de 3cm e acabamento polido</t>
  </si>
  <si>
    <t>S.04.000.033032</t>
  </si>
  <si>
    <t>Lambri em madeira macho/fêmea 10 x 1 cm, exceto pinus</t>
  </si>
  <si>
    <t>S.04.000.033562</t>
  </si>
  <si>
    <t>Plaqueta laminada para revestimento em áreas internas e externas</t>
  </si>
  <si>
    <t>S.04.000.034030</t>
  </si>
  <si>
    <t>S.04.000.034045</t>
  </si>
  <si>
    <t>S.04.000.034078</t>
  </si>
  <si>
    <t>Luminária retangular de embutir tipo calha aberta com aletas parabólicas para 2 lâmpadas fluorescentes tubulares, ref. 123232 BC da ARM, FAA04-E228 da Lumicenter, PL 377/24 da Prolumi ou equivalente</t>
  </si>
  <si>
    <t>S.04.000.036075</t>
  </si>
  <si>
    <t>S.04.000.036701</t>
  </si>
  <si>
    <t>Tampo para suporte rede voleibol / trave de futebol</t>
  </si>
  <si>
    <t>S.04.000.036702</t>
  </si>
  <si>
    <t>Rede para volei em poliamida (nylon), malha de 10x10cm, fio com espessura de 2mm, com 4 faixas de arremate em lona</t>
  </si>
  <si>
    <t>S.04.000.036703</t>
  </si>
  <si>
    <t>Poste para voleibol oficial, galvanizado, com pintura em esmalte na cor verde, completo</t>
  </si>
  <si>
    <t>S.04.000.038009</t>
  </si>
  <si>
    <t>Selador para pintura latex</t>
  </si>
  <si>
    <t>S.04.000.038010</t>
  </si>
  <si>
    <t>Lixa carbeto de silício de 7´</t>
  </si>
  <si>
    <t>S.04.000.039006</t>
  </si>
  <si>
    <t>Adesivo/selador à base de emulsão PVA/acrílica, ref. KZ Heydi da Viapol, Denverfix da Denver ou equivalente</t>
  </si>
  <si>
    <t>S.04.000.039086</t>
  </si>
  <si>
    <t>Placa de sinalização em PVC expandido de 70x20cm, espessura 3mm, adesivo dupla face sobre todo o verso</t>
  </si>
  <si>
    <t>S.04.000.042631</t>
  </si>
  <si>
    <t>Cantoneira em aço galvanizado de 2" x 2" x 1/8"</t>
  </si>
  <si>
    <t>S.04.000.042634</t>
  </si>
  <si>
    <t>Trilho chapa 50x60x1,9mm galvanizado para porta de correr</t>
  </si>
  <si>
    <t>S.04.000.042635</t>
  </si>
  <si>
    <t>Rodizio em aço duplo de 1 1/2"</t>
  </si>
  <si>
    <t>S.04.000.046214</t>
  </si>
  <si>
    <t>Sensor presença com fotocélula, bivolt, para iluminação teto, alcance 6m,120°, tempo de desligamento 1 ou 4 minutos</t>
  </si>
  <si>
    <t>S.04.000.049579</t>
  </si>
  <si>
    <t>Serra circular</t>
  </si>
  <si>
    <t>S.04.000.062028</t>
  </si>
  <si>
    <t>Baguete plástico tipo Tarucel, D= 6 mm</t>
  </si>
  <si>
    <t>S.04.000.062553</t>
  </si>
  <si>
    <t>S.04.000.065610</t>
  </si>
  <si>
    <t>Cuba em aço inoxidável simples de 600x500x300mm, AISI 304, liga 18,8 e chapa 22</t>
  </si>
  <si>
    <t>S.04.000.065676</t>
  </si>
  <si>
    <t>Tampo em MDF de 25 mm de espessura com laminado melamínico</t>
  </si>
  <si>
    <t>S.04.000.066171</t>
  </si>
  <si>
    <t>Ducha higiênica com registro, ref. Belle Epoque Light 1984 C51 da Deca, Delicatta 10906 da Docol, Aquarius 2195-A da Fabrimar ou equivalente</t>
  </si>
  <si>
    <t>S.04.000.069500</t>
  </si>
  <si>
    <t>Solução limpadora diluída em água</t>
  </si>
  <si>
    <t>S.04.000.069508</t>
  </si>
  <si>
    <t>Solda liga chumbo e estanho de 70x30</t>
  </si>
  <si>
    <t>S.04.000.069569</t>
  </si>
  <si>
    <t>Parafuso francês 5/16´ x 3/4´ com porca e arruela galvanizadas</t>
  </si>
  <si>
    <t>S.04.000.080135</t>
  </si>
  <si>
    <t>Lixadeira elétrica</t>
  </si>
  <si>
    <t>S.04.000.080173</t>
  </si>
  <si>
    <t>Rolo compactador liso de 1000 kg</t>
  </si>
  <si>
    <t>S.04.000.080237</t>
  </si>
  <si>
    <t>Máquina de lavagem a pressão tipo Vap (água fria, pressão 1700PSI)</t>
  </si>
  <si>
    <t>S.04.000.080341</t>
  </si>
  <si>
    <t>Placa vibratória - 60 kg</t>
  </si>
  <si>
    <t>S.04.000.081346</t>
  </si>
  <si>
    <t>Motosserra a gasolina portátil tipo 60 cilindradas; ref. mod.61 da Husqvarna ou equivalente</t>
  </si>
  <si>
    <t>S.04.000.081349</t>
  </si>
  <si>
    <t>Caminhão MUNCK 3 toneladas</t>
  </si>
  <si>
    <t>S.04.000.081350</t>
  </si>
  <si>
    <t>Caminhão MUNCK 15 toneladas</t>
  </si>
  <si>
    <t>S.04.000.081351</t>
  </si>
  <si>
    <t>Caminhão guindaste sobre pneus com capacidade de carga de 25 Toneladas</t>
  </si>
  <si>
    <t>S.04.000.081352</t>
  </si>
  <si>
    <t>Caminhão guindaste sobre pneus com capacidade de carga de 30 Toneladas</t>
  </si>
  <si>
    <t>S.04.000.090258</t>
  </si>
  <si>
    <t>Tela tipo mosquiteira em arame galvanizado malha 14, fio 30, abertura 1,5 mm, com requadro em perfis e chapas de ferro galvanizado - removível</t>
  </si>
  <si>
    <t>S.04.000.092856</t>
  </si>
  <si>
    <t>Gasolina comum</t>
  </si>
  <si>
    <t>S.05.000.009700</t>
  </si>
  <si>
    <t>Defensa metálica semimaleável simples</t>
  </si>
  <si>
    <t>S.05.000.020220</t>
  </si>
  <si>
    <t>Estaca tipo Raiz, diâmetro de 20 cm para 50 t, com perfuração em rocha (sem fornecimento de materiais)</t>
  </si>
  <si>
    <t>S.05.000.020276</t>
  </si>
  <si>
    <t>Estaca tipo Raiz, diâmetro de 15 cm para 25 t, em rocha</t>
  </si>
  <si>
    <t>S.05.000.020356</t>
  </si>
  <si>
    <t>Tela em polietileno para proteção de fachada, trama de 2,2mm</t>
  </si>
  <si>
    <t>S.05.000.021023</t>
  </si>
  <si>
    <t>Sarrafo de pinus, 1´ x 4´ - bruto</t>
  </si>
  <si>
    <t>S.05.000.021048</t>
  </si>
  <si>
    <t>Ripa de imbuia 3,5 x 1,5 cm</t>
  </si>
  <si>
    <t>S.05.000.021049</t>
  </si>
  <si>
    <t>Moldura de 3 cm, guarnição em padrão Imbuia - tipo meia</t>
  </si>
  <si>
    <t>S.05.000.021061</t>
  </si>
  <si>
    <t>Tábua de pinus, 1´ x 12´ - bruta</t>
  </si>
  <si>
    <t>S.05.000.021062</t>
  </si>
  <si>
    <t>Pontalete de pinus, 3´ x 3´ - bruto</t>
  </si>
  <si>
    <t>S.05.000.021100</t>
  </si>
  <si>
    <t>Pré misturado a quente</t>
  </si>
  <si>
    <t>S.05.000.021101</t>
  </si>
  <si>
    <t>Pré misturado a frio</t>
  </si>
  <si>
    <t>S.05.000.024121</t>
  </si>
  <si>
    <t>Manta asfáltica com armadura poliéster tipo III, esp.4 mm anti raiz, ref. Torodin Anti Raiz Viapol - instalado</t>
  </si>
  <si>
    <t>S.05.000.026500</t>
  </si>
  <si>
    <t>Tela em aço inoxidável 430, perfurada, espessura de 1,6mm, diâmetro do furo 17mm</t>
  </si>
  <si>
    <t>S.05.000.026515</t>
  </si>
  <si>
    <t>Parafuso auto-atarraxante com cabeça panela e bucha de nylon S-8</t>
  </si>
  <si>
    <t>S.05.000.026607</t>
  </si>
  <si>
    <t>Grelha tipo boca de leão em ferro fundido ductil, articulada, classe mín. 250 - 25T, medidas aproximadas: 810x270mm - NBR 10160</t>
  </si>
  <si>
    <t>S.05.000.026608</t>
  </si>
  <si>
    <t>Ferro perfilado trabalhado</t>
  </si>
  <si>
    <t>S.05.000.027511</t>
  </si>
  <si>
    <t>Chapéu tipo chinês para duto galvanizado de 35cm, bitola 22, para exaustor</t>
  </si>
  <si>
    <t>S.05.000.028002</t>
  </si>
  <si>
    <t>Solvente para materiais base epóxi</t>
  </si>
  <si>
    <t>S.05.000.032432</t>
  </si>
  <si>
    <t>Caixilho em alumínio anodizado comum, fixo sem ventilação permanente, H= 1,00m, L= 1,20m, rerfil 30 - sem vidros</t>
  </si>
  <si>
    <t>S.05.000.032433</t>
  </si>
  <si>
    <t>Caixilho de alumínio anodizado comum, tipo maxim-ar, H= 0,90m, L- 1,20m, linha 30 - sem vidros</t>
  </si>
  <si>
    <t>S.05.000.036031</t>
  </si>
  <si>
    <t>Junta plástica de dilatação para pisos de 3/4´x 1/8´ (17 x 3 mm)</t>
  </si>
  <si>
    <t>S.05.000.036705</t>
  </si>
  <si>
    <t>Mastro para bandeira em aço galvanizado completo engastado, altura livre de 9,00 m</t>
  </si>
  <si>
    <t>S.05.000.036714</t>
  </si>
  <si>
    <t>Mastro para bandeira em aço galvanizado completo engastado, altura livre de 7,00 m</t>
  </si>
  <si>
    <t>S.05.000.039040</t>
  </si>
  <si>
    <t>Argamassa de cimento e areia - média 1:5</t>
  </si>
  <si>
    <t>S.05.000.039104</t>
  </si>
  <si>
    <t>Placa de identificação para estacionamento (placa+poste+base), com desenho universal de acessibilidade, tipo pedestal</t>
  </si>
  <si>
    <t>S.05.000.040132</t>
  </si>
  <si>
    <t>Poste telecônico reto em aço galvanizado a fogo, altura de 7 m, com base, chumbadores, porcas e arruelas</t>
  </si>
  <si>
    <t>S.05.000.065621</t>
  </si>
  <si>
    <t>Cuba em aço inoxidável simples de 600x500x400mm, AISI 304, liga 18,8 e chapa 22</t>
  </si>
  <si>
    <t>S.05.000.093275</t>
  </si>
  <si>
    <t>Retirada de estrutura metálica</t>
  </si>
  <si>
    <t>S.06.000.009687</t>
  </si>
  <si>
    <t>Caminhão carroceria fixa aberta madeira, capacidade 5T - 160CV - PBT*8250, capacidade máxima de tração 11T - Diesel</t>
  </si>
  <si>
    <t>S.06.000.011700</t>
  </si>
  <si>
    <t>Escoramento com estacas pranchas metálicas - profundidade até 4 m</t>
  </si>
  <si>
    <t>S.06.000.011701</t>
  </si>
  <si>
    <t>Escoramento com estacas pranchas metálicas - profundidade até 6 m</t>
  </si>
  <si>
    <t>S.06.000.011702</t>
  </si>
  <si>
    <t>Escoramento com estacas pranchas metálicas - profundidade até 8 m</t>
  </si>
  <si>
    <t>S.06.000.028076</t>
  </si>
  <si>
    <t>Aparelho corte oxiacetileno</t>
  </si>
  <si>
    <t>S.06.000.061088</t>
  </si>
  <si>
    <t>Junta Gibault em ferro fundido, DN= 80mm completa</t>
  </si>
  <si>
    <t>S.06.000.061089</t>
  </si>
  <si>
    <t>Junta Gibault em ferro fundido, DN= 100 mm completa</t>
  </si>
  <si>
    <t>S.06.000.067004</t>
  </si>
  <si>
    <t>Escavação e carga mecanizada em campo aberto com rompedor hidráulico, em rocha</t>
  </si>
  <si>
    <t>S.06.000.080349</t>
  </si>
  <si>
    <t>S.07.000.000001</t>
  </si>
  <si>
    <t>Tacha refletiva de plástico injetado tipo I monodirecional, conforme NBR 14636</t>
  </si>
  <si>
    <t>S.07.000.000002</t>
  </si>
  <si>
    <t>Tacha refletiva de plástico injetado tipo II monodirecional conforme NBR 14636</t>
  </si>
  <si>
    <t>S.07.000.000003</t>
  </si>
  <si>
    <t>Tacha refletiva de plástico injetado tipo I bidirecional conforme NBR 14636</t>
  </si>
  <si>
    <t>S.07.000.000004</t>
  </si>
  <si>
    <t>Tacha refletiva de plástico injetado tipo II bidirecional conforme NBR 14636</t>
  </si>
  <si>
    <t>S.07.000.000006</t>
  </si>
  <si>
    <t>Tachão refletivo de plástico injetado tipo I monodirecional conforme NBR 15576</t>
  </si>
  <si>
    <t>S.07.000.000007</t>
  </si>
  <si>
    <t>Tachão refletivo de plástico injetado tipo I bidirecional conforme NBR 15576</t>
  </si>
  <si>
    <t>S.07.000.000008</t>
  </si>
  <si>
    <t>Tacha refletiva de resina sintética tipo I bidirecional conforme NBR 14636</t>
  </si>
  <si>
    <t>S.07.000.000009</t>
  </si>
  <si>
    <t>Tacha refletiva de resina sintética tipo I monodirecional conforme NBR 14636</t>
  </si>
  <si>
    <t>S.07.000.000010</t>
  </si>
  <si>
    <t>Tacha refletiva de resina sintética tipo II bidirecional conforme NBR 15576</t>
  </si>
  <si>
    <t>S.07.000.000011</t>
  </si>
  <si>
    <t>Tacha refletiva de resina sintética tipo II monodirecional conforme NBR 14636</t>
  </si>
  <si>
    <t>S.07.000.000012</t>
  </si>
  <si>
    <t>Tachão refletivo de resina sintética tipo I bidirecional conforme NBR 14636</t>
  </si>
  <si>
    <t>S.07.000.000013</t>
  </si>
  <si>
    <t>Tachão refletivo de resina sintética tipo I monodirecional conforme NBR 14636</t>
  </si>
  <si>
    <t>S.07.000.009521</t>
  </si>
  <si>
    <t>Grupo gerador - 2,5/3 kVA</t>
  </si>
  <si>
    <t>S.07.000.009675</t>
  </si>
  <si>
    <t>Martelete perfurador/rompedor elétrico - 1,5 kW</t>
  </si>
  <si>
    <t>S.07.000.009800</t>
  </si>
  <si>
    <t>Bate-estaca hidráulico para defensas montado em caminhão guindauto com capacidade de 20 t.m e carroceria de 4 t - 136 kW</t>
  </si>
  <si>
    <t>S.07.000.080230</t>
  </si>
  <si>
    <t>S.07.000.080308</t>
  </si>
  <si>
    <t>Transporte de material asfáltico, com caminhão com capacidade de 20000l em rodovia pavimentada para distância médias de transporte igual ou inferior a 100km. af_02/2016</t>
  </si>
  <si>
    <t>TxKM</t>
  </si>
  <si>
    <t>RELAÇÃO DE INSUMOS</t>
  </si>
  <si>
    <t xml:space="preserve">Tipo de Fator (T): </t>
  </si>
  <si>
    <t>1 - MÃO DE OBRA</t>
  </si>
  <si>
    <t>Taxa do BDI=</t>
  </si>
  <si>
    <r>
      <t>Informe a Taxa de BDI na célula</t>
    </r>
    <r>
      <rPr>
        <b/>
        <sz val="8"/>
        <rFont val="Arial"/>
        <family val="2"/>
      </rPr>
      <t xml:space="preserve"> I1</t>
    </r>
    <r>
      <rPr>
        <sz val="8"/>
        <rFont val="Arial"/>
        <family val="2"/>
      </rPr>
      <t xml:space="preserve"> da pasta Planilha</t>
    </r>
  </si>
  <si>
    <t>2 - MATERIAIS</t>
  </si>
  <si>
    <t>Enc. Sociais %=</t>
  </si>
  <si>
    <r>
      <t xml:space="preserve">Altere a taxa de Encargos Socias na Célula </t>
    </r>
    <r>
      <rPr>
        <b/>
        <sz val="8"/>
        <color rgb="FFFF0000"/>
        <rFont val="Arial"/>
        <family val="2"/>
      </rPr>
      <t xml:space="preserve">J2 </t>
    </r>
    <r>
      <rPr>
        <b/>
        <sz val="8"/>
        <rFont val="Arial"/>
        <family val="2"/>
      </rPr>
      <t>da pasta</t>
    </r>
    <r>
      <rPr>
        <b/>
        <sz val="8"/>
        <color rgb="FFFF0000"/>
        <rFont val="Arial"/>
        <family val="2"/>
      </rPr>
      <t xml:space="preserve"> Composições</t>
    </r>
  </si>
  <si>
    <t>3 - EQUIPAMENTOS</t>
  </si>
  <si>
    <t>Altere TEXTOS e UNIDADES nas colunas B ou C respectivamente</t>
  </si>
  <si>
    <t>Para informar novos custos unitários:</t>
  </si>
  <si>
    <t>Cód. Insumos</t>
  </si>
  <si>
    <t>Custo Unit. CPUs</t>
  </si>
  <si>
    <r>
      <t>Substitua na</t>
    </r>
    <r>
      <rPr>
        <b/>
        <sz val="8"/>
        <color rgb="FFFF0000"/>
        <rFont val="Arial"/>
        <family val="2"/>
      </rPr>
      <t xml:space="preserve"> coluna H</t>
    </r>
    <r>
      <rPr>
        <b/>
        <sz val="8"/>
        <rFont val="Arial"/>
        <family val="2"/>
      </rPr>
      <t xml:space="preserve"> os custos unitários de Insumos, ou altere os valores, por Fator, nas células J1 a J3. </t>
    </r>
  </si>
  <si>
    <t>MÃO DE OBRA</t>
  </si>
  <si>
    <t>1.01.01</t>
  </si>
  <si>
    <t>AJUDANTE</t>
  </si>
  <si>
    <t xml:space="preserve">C/Enc. </t>
  </si>
  <si>
    <t>1.01.06</t>
  </si>
  <si>
    <t>AZULEJISTA</t>
  </si>
  <si>
    <t>1.01.09</t>
  </si>
  <si>
    <t>ESGOTEIRO/CAVOUQUEIRO</t>
  </si>
  <si>
    <t>1.01.11</t>
  </si>
  <si>
    <t>CARPINTEIRO</t>
  </si>
  <si>
    <t>1.01.12</t>
  </si>
  <si>
    <t>AJUDANTE DE CARPINTEIRO</t>
  </si>
  <si>
    <t>1.01.13</t>
  </si>
  <si>
    <t>ELETRICISTA PARA MÉDIA TENSÃO</t>
  </si>
  <si>
    <t>1.01.15</t>
  </si>
  <si>
    <t>ELETRICISTA</t>
  </si>
  <si>
    <t>1.01.16</t>
  </si>
  <si>
    <t>AJUDANTE ELETRICISTA</t>
  </si>
  <si>
    <t>1.01.18</t>
  </si>
  <si>
    <t>ENCANADOR</t>
  </si>
  <si>
    <t>1.01.19</t>
  </si>
  <si>
    <t>AJUDANTE DE ENCANADOR</t>
  </si>
  <si>
    <t>1.01.21</t>
  </si>
  <si>
    <t>FERREIRO</t>
  </si>
  <si>
    <t>1.01.22</t>
  </si>
  <si>
    <t>AJUDANTE DE FERREIRO</t>
  </si>
  <si>
    <t>1.01.23</t>
  </si>
  <si>
    <t>GESSEIRO</t>
  </si>
  <si>
    <t>1.01.24</t>
  </si>
  <si>
    <t>GRANITEIRO</t>
  </si>
  <si>
    <t>1.01.26</t>
  </si>
  <si>
    <t>JARDINEIRO</t>
  </si>
  <si>
    <t>1.01.28</t>
  </si>
  <si>
    <t>LADRILHISTA</t>
  </si>
  <si>
    <t>1.01.39</t>
  </si>
  <si>
    <t>PEDREIRO</t>
  </si>
  <si>
    <t>1.01.40</t>
  </si>
  <si>
    <t>PINTOR</t>
  </si>
  <si>
    <t>1.01.41</t>
  </si>
  <si>
    <t>AJUDANTE DE PINTOR</t>
  </si>
  <si>
    <t>1.01.42</t>
  </si>
  <si>
    <t>POCEIRO</t>
  </si>
  <si>
    <t>1.01.44</t>
  </si>
  <si>
    <t>SERRALHEIRO</t>
  </si>
  <si>
    <t>1.01.45</t>
  </si>
  <si>
    <t>AJUDANTE SERRALHEIRO</t>
  </si>
  <si>
    <t>1.01.46</t>
  </si>
  <si>
    <t>SERVENTE</t>
  </si>
  <si>
    <t>1.01.48</t>
  </si>
  <si>
    <t>MARCENEIRO</t>
  </si>
  <si>
    <t>1.01.49</t>
  </si>
  <si>
    <t>TAQUEIRO</t>
  </si>
  <si>
    <t>1.01.50</t>
  </si>
  <si>
    <t>TELHADISTA</t>
  </si>
  <si>
    <t>1.01.51</t>
  </si>
  <si>
    <t>AJUDANTE DE TELHADISTA</t>
  </si>
  <si>
    <t>1.01.52</t>
  </si>
  <si>
    <t>MOTORISTA</t>
  </si>
  <si>
    <t>1.01.55</t>
  </si>
  <si>
    <t>OPERADOR</t>
  </si>
  <si>
    <t>1.01.59</t>
  </si>
  <si>
    <t>AJUDANTE MARCENEIRO</t>
  </si>
  <si>
    <t>1.01.86</t>
  </si>
  <si>
    <t>VIDRACEIRO</t>
  </si>
  <si>
    <t>1.01.87</t>
  </si>
  <si>
    <t>APLICADOR</t>
  </si>
  <si>
    <t>1.01.88</t>
  </si>
  <si>
    <t>AJUDANTE DE APLICADOR</t>
  </si>
  <si>
    <t>1.01.90</t>
  </si>
  <si>
    <t>AJUDANTE DE POCEIRO</t>
  </si>
  <si>
    <t>1.01.91</t>
  </si>
  <si>
    <t>AJUDANTE DE TAQUEIRO</t>
  </si>
  <si>
    <t>1.01.95</t>
  </si>
  <si>
    <t>AJUDANTE DE ESGOTEIRO</t>
  </si>
  <si>
    <t>MATERIAIS</t>
  </si>
  <si>
    <t>2.01.17</t>
  </si>
  <si>
    <t>M.OBRA EQUIPAMENTO P/ESTACA STRAUSS DIAM 25MM</t>
  </si>
  <si>
    <t>2.01.18</t>
  </si>
  <si>
    <t>M.OBRA EQUIPAMENTO P/ESTACA STRAUSS DIAM 32MM</t>
  </si>
  <si>
    <t>2.01.19</t>
  </si>
  <si>
    <t>M.OBRA EQUIPAMENTO P/ESTACA STRAUSS DIAM 38MM</t>
  </si>
  <si>
    <t>2.01.22</t>
  </si>
  <si>
    <t>M.OBRA EQUIPAMENTO P/ESTACA STRAUSS DIAM 45MM</t>
  </si>
  <si>
    <t>2.01.40</t>
  </si>
  <si>
    <t>ESCAVACAO MECANICA DIAM 25 CM</t>
  </si>
  <si>
    <t>2.01.41</t>
  </si>
  <si>
    <t>ESCAVACAO MECANICA DIAM 30 CM</t>
  </si>
  <si>
    <t>2.01.42</t>
  </si>
  <si>
    <t>ESCAVACAO MECANICA DIAM 35 CM</t>
  </si>
  <si>
    <t>2.01.43</t>
  </si>
  <si>
    <t>ESCAVACAO MECANICA DIAM 50 CM</t>
  </si>
  <si>
    <t>2.01.44</t>
  </si>
  <si>
    <t>ESCAVACAO MECANICA DIAM 60 CM</t>
  </si>
  <si>
    <t>2.01.45</t>
  </si>
  <si>
    <t>ESCAVAÇÃO MECANICA DIAM. 40CM</t>
  </si>
  <si>
    <t>2.01.46</t>
  </si>
  <si>
    <t>ESCAVAÇÃO MECANICA DIAM. 70CM</t>
  </si>
  <si>
    <t>2.01.60</t>
  </si>
  <si>
    <t>TAXA DE MOBILIZACAO EQUIPAMENTOS-ESTACAS PRE-MOLD</t>
  </si>
  <si>
    <t>2.01.61</t>
  </si>
  <si>
    <t>TAXA DE MOBILIZAÇÃO EQUIPAMENTO - ESTACA RAIZ</t>
  </si>
  <si>
    <t>2.01.80</t>
  </si>
  <si>
    <t>FORN E APLIC EMENDA SOLDADA</t>
  </si>
  <si>
    <t>2.01.90</t>
  </si>
  <si>
    <t>ESTACA CONC PRE-MOLDADA CRAVADA SECAO 225 A 289 CM2</t>
  </si>
  <si>
    <t>2.01.91</t>
  </si>
  <si>
    <t>ESTACA CONC PRE-MOLDADA CRAVADA SECAO 290 A 429 CM2</t>
  </si>
  <si>
    <t>2.01.92</t>
  </si>
  <si>
    <t>ESTACA CONC PRE-MOLDADA CRAVADA SECAO 430 A 569 CM2</t>
  </si>
  <si>
    <t>2.01.93</t>
  </si>
  <si>
    <t>ESTACA CONC PRE-MOLDADA CRAVADA SECAO 570 A 714 CM2</t>
  </si>
  <si>
    <t>2.01.94</t>
  </si>
  <si>
    <t>ESTACA CONC PRE-MOLDADA CRAVADA SECAO 715 A 999 CM2</t>
  </si>
  <si>
    <t>2.02.10</t>
  </si>
  <si>
    <t>ESTACA REACAO P/ 20T CRAVADA ALEM 5.00M PROF</t>
  </si>
  <si>
    <t>2.02.11</t>
  </si>
  <si>
    <t>ESTACA REACAO P/ 20T CRAVADA ATE 5.00M PROF</t>
  </si>
  <si>
    <t>2.02.12</t>
  </si>
  <si>
    <t>ESTACA REACAO P/ 20T CRAVADAALÉM DE 5,00M PROF</t>
  </si>
  <si>
    <t>2.02.13</t>
  </si>
  <si>
    <t>ESTACA REACAO P/30T CRAVADA ATE 5.00M PROF</t>
  </si>
  <si>
    <t>2.02.20</t>
  </si>
  <si>
    <t>EXEC DE ESTACA TIPO HELICE DN 25CM</t>
  </si>
  <si>
    <t>2.02.21</t>
  </si>
  <si>
    <t>EXEC DE ESTACA TIPO HELICE DN 30CM</t>
  </si>
  <si>
    <t>2.02.22</t>
  </si>
  <si>
    <t>EXEC DE ESTACA TIPO HELICE DN 35CM</t>
  </si>
  <si>
    <t>2.02.23</t>
  </si>
  <si>
    <t>EXEC DE ESTACA TIPO HELICE DN 40CM</t>
  </si>
  <si>
    <t>2.02.24</t>
  </si>
  <si>
    <t>EXEC DE ESTACA TIPO HELICE DN 50CM</t>
  </si>
  <si>
    <t>2.02.26</t>
  </si>
  <si>
    <t>EXEC DE ESTACA TIPO HELICE DN 60CM</t>
  </si>
  <si>
    <t>2.02.27</t>
  </si>
  <si>
    <t>EXEC DE ESTACA TIPO HELICE DN 70CM</t>
  </si>
  <si>
    <t>2.02.28</t>
  </si>
  <si>
    <t>EXEC DE ESTACA TIPO HELICE DN 80CM</t>
  </si>
  <si>
    <t>2.02.29</t>
  </si>
  <si>
    <t>EXEC DE ESTACA TIPO HELICE DN 90CM</t>
  </si>
  <si>
    <t>2.02.71</t>
  </si>
  <si>
    <t>EXECUÇÃO DE ESTACA RAIZ D=150MM PERFURAÇÃO NO SOLO</t>
  </si>
  <si>
    <t>2.02.72</t>
  </si>
  <si>
    <t>EXECUÇÃO DE ESTACA RAIZ D=160MM PERFURAÇÃO NO SOLO</t>
  </si>
  <si>
    <t>2.02.73</t>
  </si>
  <si>
    <t>EXECUÇÃO DE ESTACA RAIZ D=200MM PERFURAÇÃO NO SOLO</t>
  </si>
  <si>
    <t>2.02.74</t>
  </si>
  <si>
    <t>EXECUÇÃO DE ESTACA RAIZ D=250MM PERFURAÇÃO NO SOLO</t>
  </si>
  <si>
    <t>2.02.75</t>
  </si>
  <si>
    <t>EXECUÇÃO DE ESTACA RAIZ D=310MM PERFURAÇÃO NO SOLO</t>
  </si>
  <si>
    <t>2.02.76</t>
  </si>
  <si>
    <t>EXECUÇÃO DE ESTACA RAIZ D=410MM PERFURAÇÃO NO SOLO</t>
  </si>
  <si>
    <t>2.03.15</t>
  </si>
  <si>
    <t>TAXA DE MOBILIZACAO DE EQUIPAMENTO - ESTACAS ESCAVADA</t>
  </si>
  <si>
    <t>2.03.17</t>
  </si>
  <si>
    <t>TAXA DE MOBILIZACAO DE EQUIPAMENTOS - ESTACAS STRAUSS</t>
  </si>
  <si>
    <t>2.03.18</t>
  </si>
  <si>
    <t>TAXA DE MOBILIZACAO DE EQUIPAMENTO - ESTACA HELICE</t>
  </si>
  <si>
    <t>2.03.19</t>
  </si>
  <si>
    <t>TAXA DE MOBILIZACAO DE EQUIPAMENTO - ESTACA HELICE SEGMENTADA</t>
  </si>
  <si>
    <t>2.03.48</t>
  </si>
  <si>
    <t>TRANSPORTE COM CAMINHAO CAP. ATE 6T. DISTANCIA ATE 100KM</t>
  </si>
  <si>
    <t>KM</t>
  </si>
  <si>
    <t>2.03.49</t>
  </si>
  <si>
    <t>TRANSPORTE COM CAMINHAO CAP. ATE 6T. DISTANCIA ATE 300KM</t>
  </si>
  <si>
    <t>2.03.50</t>
  </si>
  <si>
    <t>TRANSPORTE COM CAMINHAO CAP. ATE 6T. DISTANCIA ATE 500KM</t>
  </si>
  <si>
    <t>2.03.51</t>
  </si>
  <si>
    <t>TRANSPORTE COM CAMINHAO CAP. ATE 6T. DISTANCIA ATE 700KM</t>
  </si>
  <si>
    <t>2.03.53</t>
  </si>
  <si>
    <t>TRANSPORTE COM PICK-UP ATE 3T</t>
  </si>
  <si>
    <t>2.03.57</t>
  </si>
  <si>
    <t>LOC. MES (POSTO OBRA) CONTAINER 6,00M C/1 V.SANIT.1 LAV.1 PONTO CHUV.SUP.AR COND</t>
  </si>
  <si>
    <t>2.03.58</t>
  </si>
  <si>
    <t>LOCAÇÃO MENSAL (POSTO OBRA) DE CONTAINER 6,00M COM JANELAS VENTILAÇÃO</t>
  </si>
  <si>
    <t>2.03.59</t>
  </si>
  <si>
    <t>LOC. MES (POSTO OBRA) CONTAINER 4,00M C/2 V.SANIT.1 LAV.1 MICT.4 PONTOS CHU</t>
  </si>
  <si>
    <t>2.03.60</t>
  </si>
  <si>
    <t>LOCAÇÃO MENSAL INCLUSIVE FRETE DE APARELHO DE AR CONDICIONADO ATÉ 10000 BTU.</t>
  </si>
  <si>
    <t>2.03.61</t>
  </si>
  <si>
    <t>LOCAÇÃO MENSAL (POSTO OBRA) DE ESTRUT. DE COBERT. IMPERMEÁVEL (TENDA) INCL.MONT.</t>
  </si>
  <si>
    <t>2.03.62</t>
  </si>
  <si>
    <t>LOCAÇÃO MENSAL (POSTO OBRA) DE BEBEDOURO ELETRICO TEMPERATURA NATURAL OU GELADA.</t>
  </si>
  <si>
    <t>2.04.35</t>
  </si>
  <si>
    <t>RECARGA EXTINTOR GAS CARBONICO 6KG</t>
  </si>
  <si>
    <t>2.04.36</t>
  </si>
  <si>
    <t>RECARGA EXTINTOR ESPUMA 10 L</t>
  </si>
  <si>
    <t>2.04.37</t>
  </si>
  <si>
    <t>RECARGA EXTINTOR PO QUIMICO 4KG</t>
  </si>
  <si>
    <t>2.04.39</t>
  </si>
  <si>
    <t>RECARGA EXTINTOR AGUA PRESSURIZADA 10L</t>
  </si>
  <si>
    <t>2.04.50</t>
  </si>
  <si>
    <t>LIMPEZA FOSSA SEPTICA</t>
  </si>
  <si>
    <t>2.04.51</t>
  </si>
  <si>
    <t>LIMPEZA SUMIDOURO-VIAGEM 7M3</t>
  </si>
  <si>
    <t>VG</t>
  </si>
  <si>
    <t>2.05.03</t>
  </si>
  <si>
    <t>AREIA</t>
  </si>
  <si>
    <t>2.05.05</t>
  </si>
  <si>
    <t>CAL HIDRATADA</t>
  </si>
  <si>
    <t>2.05.07</t>
  </si>
  <si>
    <t>CAULIM</t>
  </si>
  <si>
    <t>2.05.08</t>
  </si>
  <si>
    <t>CIMENTO</t>
  </si>
  <si>
    <t>2.05.09</t>
  </si>
  <si>
    <t>CIMENTO BRANCO</t>
  </si>
  <si>
    <t>2.05.17</t>
  </si>
  <si>
    <t>PEDRA BRITADA 1</t>
  </si>
  <si>
    <t>2.05.18</t>
  </si>
  <si>
    <t>PEDRA BRITADA 2</t>
  </si>
  <si>
    <t>2.05.19</t>
  </si>
  <si>
    <t>PEDRA BRITADA 3</t>
  </si>
  <si>
    <t>2.05.20</t>
  </si>
  <si>
    <t>PEDRA BRITADA 4</t>
  </si>
  <si>
    <t>2.05.22</t>
  </si>
  <si>
    <t>PEDRISCO</t>
  </si>
  <si>
    <t>2.05.23</t>
  </si>
  <si>
    <t>BRITA GRADUADA</t>
  </si>
  <si>
    <t>2.05.25</t>
  </si>
  <si>
    <t>BICA CORRIDA</t>
  </si>
  <si>
    <t>2.05.30</t>
  </si>
  <si>
    <t>CONCRETO DOSADO (CONDICAO-A) FCK 15 M PA</t>
  </si>
  <si>
    <t>2.05.35</t>
  </si>
  <si>
    <t>CONCRETO DOSADO (CONDICAO-A) FCK 20 M PA</t>
  </si>
  <si>
    <t>2.05.36</t>
  </si>
  <si>
    <t>CONCRETO DOSADO (CONDICAO A) FCK 25 MPA</t>
  </si>
  <si>
    <t>2.05.37</t>
  </si>
  <si>
    <t>CONCRETO DOSADO (CONDICAO A) BOMB FCK 25 MPA</t>
  </si>
  <si>
    <t>2.05.38</t>
  </si>
  <si>
    <t>CONCRETO DOSADO (CONDICAO A) FCK=30MPA</t>
  </si>
  <si>
    <t>2.05.39</t>
  </si>
  <si>
    <t>CONCRETO DOSADO (CONDICAO A) BOMB FCK=30MPA</t>
  </si>
  <si>
    <t>2.05.53</t>
  </si>
  <si>
    <t>CONCRETO DOSADO (CONDICAO-A) BOMB FCK 20 MPA</t>
  </si>
  <si>
    <t>2.05.60</t>
  </si>
  <si>
    <t>CONCRETO DOSADO (COND-A) BOMB FCK 20MPA C/PEDRISCO</t>
  </si>
  <si>
    <t>2.05.70</t>
  </si>
  <si>
    <t>GRAUTH</t>
  </si>
  <si>
    <t>2.05.72</t>
  </si>
  <si>
    <t>AREIA RECICLADA DE RESIDUOS CONSTRUÇAO CIVIL</t>
  </si>
  <si>
    <t>2.05.75</t>
  </si>
  <si>
    <t>BRITA RECICLADA DE RESIDUOS CONSTRUÇAO CIVIL</t>
  </si>
  <si>
    <t>2.05.80</t>
  </si>
  <si>
    <t>GESSO</t>
  </si>
  <si>
    <t>2.05.81</t>
  </si>
  <si>
    <t>ARGAMASSA DE ASSENTAMENTO TIPO AC-I</t>
  </si>
  <si>
    <t>2.05.82</t>
  </si>
  <si>
    <t>ARGAMASSA QUARTZOLIT PARA PASTILHAS</t>
  </si>
  <si>
    <t>2.05.83</t>
  </si>
  <si>
    <t>ARGAMASSA DE ASSENTAMENTO TIPO AC-II OU AC-III</t>
  </si>
  <si>
    <t>2.05.96</t>
  </si>
  <si>
    <t>ARGAMASSA PRE FABRICADA PARA REJUNTAMENTO</t>
  </si>
  <si>
    <t>2.05.99</t>
  </si>
  <si>
    <t>ADESIVO P/ ARGAMASSA E CHAPISCO BIANCO/SIKAFIX</t>
  </si>
  <si>
    <t>2.10.04</t>
  </si>
  <si>
    <t>MADEIRA SERRADA G1-C2</t>
  </si>
  <si>
    <t>2.10.05</t>
  </si>
  <si>
    <t>MADEIRA SERRADA G1-C6</t>
  </si>
  <si>
    <t>2.10.07</t>
  </si>
  <si>
    <t>MADEIRA SERRADA G1-C5</t>
  </si>
  <si>
    <t>2.10.08</t>
  </si>
  <si>
    <t>CAIBRO 5X6CM G1-C2</t>
  </si>
  <si>
    <t>2.10.11</t>
  </si>
  <si>
    <t>PONTALETE DE MADEIRA 7.5X7.5CM G1-C2</t>
  </si>
  <si>
    <t>2.10.12</t>
  </si>
  <si>
    <t>SARRAFO BRUTO 5X2,5CM G1-C2</t>
  </si>
  <si>
    <t>2.10.13</t>
  </si>
  <si>
    <t>SARRAFO BRUTO 10X2,5CM G1-C2</t>
  </si>
  <si>
    <t>2.10.15</t>
  </si>
  <si>
    <t>SARRAFO BRUTO 10X2,5CM G1-C3</t>
  </si>
  <si>
    <t>2.10.19</t>
  </si>
  <si>
    <t>SARRAFO BRUTO 7,5X2,5CM G1-C2</t>
  </si>
  <si>
    <t>2.10.20</t>
  </si>
  <si>
    <t>TABUA 30X2.5CM G1-C2</t>
  </si>
  <si>
    <t>2.10.22</t>
  </si>
  <si>
    <t>VIGA DE MADEIRA 6X12CM G1-C6</t>
  </si>
  <si>
    <t>2.10.23</t>
  </si>
  <si>
    <t>VIGA DE MADEIRA 6X16CM G1-C5</t>
  </si>
  <si>
    <t>2.10.24</t>
  </si>
  <si>
    <t>PAINEL DE MADEIRA COMPENSADA E=10MM G1-C8</t>
  </si>
  <si>
    <t>2.10.25</t>
  </si>
  <si>
    <t>PAINEL DE MADEIRA COMPENSADA RESINADA E=10MM G1-C8</t>
  </si>
  <si>
    <t>2.10.28</t>
  </si>
  <si>
    <t>VIGA DE MADEIRA 6X16CM G1-C6</t>
  </si>
  <si>
    <t>2.10.35</t>
  </si>
  <si>
    <t>PAINEL DE MADEIRA COMPENSADA RESINADA E=12MM G1-C8</t>
  </si>
  <si>
    <t>2.10.39</t>
  </si>
  <si>
    <t>PAINEL DE MADEIRA COMPENSADA PLASTIFICADA E=10MM G1-C8</t>
  </si>
  <si>
    <t>2.10.43</t>
  </si>
  <si>
    <t>PAINEL DE MADEIRA COMPENSADA PLASTIFICADA E=12MM G1-C8</t>
  </si>
  <si>
    <t>2.10.44</t>
  </si>
  <si>
    <t>PAINEL DE MADEIRA COMPENSADA E=4MM G1-C8</t>
  </si>
  <si>
    <t>2.10.51</t>
  </si>
  <si>
    <t>PRANCHA DE MADEIRA E=3CM G1-C5</t>
  </si>
  <si>
    <t>2.10.52</t>
  </si>
  <si>
    <t>ESTRONCA EUCALIPTO/PINUS DIAM=15CM</t>
  </si>
  <si>
    <t>2.10.53</t>
  </si>
  <si>
    <t>CAIBRO 5X6CM G1-C6</t>
  </si>
  <si>
    <t>2.10.55</t>
  </si>
  <si>
    <t>RIPA 5X1.5CM G1-C2</t>
  </si>
  <si>
    <t>2.10.57</t>
  </si>
  <si>
    <t>TABUA 12X3CM G1-C6</t>
  </si>
  <si>
    <t>2.10.58</t>
  </si>
  <si>
    <t>RIPA 5X1.5CM G1-C6</t>
  </si>
  <si>
    <t>2.11.01</t>
  </si>
  <si>
    <t>SARRAFO APARELHADO 10X2,5CM G1-C2</t>
  </si>
  <si>
    <t>2.11.02</t>
  </si>
  <si>
    <t>SARRAFO BRUTO 5X2.5CM G1-C3</t>
  </si>
  <si>
    <t>2.11.07</t>
  </si>
  <si>
    <t>SARRAFO APARELHADO 5X2.5CM G1-C4</t>
  </si>
  <si>
    <t>2.11.08</t>
  </si>
  <si>
    <t>SARRAFO APARELHADO 5X2CM BOLEADO G1-C4</t>
  </si>
  <si>
    <t>2.11.09</t>
  </si>
  <si>
    <t>ARREMATE MEIA-CANA 2X2CM G1-C4</t>
  </si>
  <si>
    <t>2.12.10</t>
  </si>
  <si>
    <t>ANDAIME-FACHADA-ALUGUEL MENSAL</t>
  </si>
  <si>
    <t>2.12.13</t>
  </si>
  <si>
    <t>ESCORAMENTO METÁLICO REGULÁVEL ATÉ 3,20M</t>
  </si>
  <si>
    <t>2.12.17</t>
  </si>
  <si>
    <t>ACESSÓRIO SUPORTE TIPO CRUZETA (LOCAÇÃO MENSAL)</t>
  </si>
  <si>
    <t>2.12.18</t>
  </si>
  <si>
    <t>ACESSÓRIO SUPORTE TIPO "U" (LOCAÇÃO MENSAL)</t>
  </si>
  <si>
    <t>2.12.19</t>
  </si>
  <si>
    <t>APARELHO DE APOIO DE NEOPRENE FRETADO</t>
  </si>
  <si>
    <t>D3</t>
  </si>
  <si>
    <t>2.12.21</t>
  </si>
  <si>
    <t>ANDAIME TIPO TORRE - ALUGUEL MENSAL</t>
  </si>
  <si>
    <t>2.12.28</t>
  </si>
  <si>
    <t>FORMA DE TUBO DE PAPELAO DIAM.20 CM</t>
  </si>
  <si>
    <t>2.12.29</t>
  </si>
  <si>
    <t>FORMA DE TUBO DE PAPELAO DIAM.30 CM</t>
  </si>
  <si>
    <t>2.12.32</t>
  </si>
  <si>
    <t>FORMA DE TUBO DE PAPELAO DIAM. 25CM</t>
  </si>
  <si>
    <t>2.12.33</t>
  </si>
  <si>
    <t>FORMA DE TUBO DE PAPELAO DIAM. 35CM</t>
  </si>
  <si>
    <t>2.12.34</t>
  </si>
  <si>
    <t>FORMA DE TUBO DE PAPELAO DIAM. 40CM</t>
  </si>
  <si>
    <t>2.12.35</t>
  </si>
  <si>
    <t>FORMA DE TUBO DE PAPELAO DIAM. 45CM</t>
  </si>
  <si>
    <t>2.12.36</t>
  </si>
  <si>
    <t>FORMA DE TUBO DE PAPELAO DIAM. 50CM</t>
  </si>
  <si>
    <t>2.12.37</t>
  </si>
  <si>
    <t>FORMA DE TUBO DE PAPELAO DIAM. 55CM</t>
  </si>
  <si>
    <t>2.12.38</t>
  </si>
  <si>
    <t>FORMA DE TUBO DE PAPELAO DIAM. 60CM</t>
  </si>
  <si>
    <t>2.12.39</t>
  </si>
  <si>
    <t>FORMA DE TUBO DE PAPELAO Ø70CM</t>
  </si>
  <si>
    <t>2.15.06</t>
  </si>
  <si>
    <t>BARRA ZINCADA ROSCADA 20MM ROSCA GROSSA AÇO SAE1010/1020</t>
  </si>
  <si>
    <t>2.15.07</t>
  </si>
  <si>
    <t>BARRA DE TRANSF AÇO LISO D=12,5MM</t>
  </si>
  <si>
    <t>2.15.08</t>
  </si>
  <si>
    <t>ESPAÇADOR TRELIÇADO DE AÇO H=5CM</t>
  </si>
  <si>
    <t>2.15.10</t>
  </si>
  <si>
    <t>ACO CA-25 $MD BITOLAS</t>
  </si>
  <si>
    <t>2.15.25</t>
  </si>
  <si>
    <t>ACO CA-50-A $MD BITOLAS</t>
  </si>
  <si>
    <t>2.15.38</t>
  </si>
  <si>
    <t>ACO CA-60-B $MD BITOLAS</t>
  </si>
  <si>
    <t>2.15.42</t>
  </si>
  <si>
    <t>TELA TELCON Q138 (PAINEL)</t>
  </si>
  <si>
    <t>2.15.44</t>
  </si>
  <si>
    <t>TELA TELCON Q-92</t>
  </si>
  <si>
    <t>2.15.55</t>
  </si>
  <si>
    <t>FORN INST DHP FUROS 100MM C/TUBO PVC 2" C/TXS INST</t>
  </si>
  <si>
    <t>2.15.56</t>
  </si>
  <si>
    <t>FORN INST DHP FUROS 100MM TUBO PVC 1 1/2" C/TXS INST</t>
  </si>
  <si>
    <t>2.15.60</t>
  </si>
  <si>
    <t>TELA ARMADURA (MALHA AÇO CA-60)</t>
  </si>
  <si>
    <t>2.16.02</t>
  </si>
  <si>
    <t>LUVA DE ROSCA DIREITA PARA AÇO CA-50 DN 12,5MM</t>
  </si>
  <si>
    <t>2.16.03</t>
  </si>
  <si>
    <t>LUVA DE ROSCA DIREITA PARA AÇO CA-50 DN 16MM</t>
  </si>
  <si>
    <t>2.16.04</t>
  </si>
  <si>
    <t>LUVA DE ROSCA DIREITA PARA AÇO CA-50 DN 20MM</t>
  </si>
  <si>
    <t>2.16.05</t>
  </si>
  <si>
    <t>LUVA DE ROSCA DIREITA PARA AÇO CA-50 DN 25MM</t>
  </si>
  <si>
    <t>2.16.06</t>
  </si>
  <si>
    <t>LUVA DE ROSCA DIREITA PARA AÇO CA-50 DN 32MM</t>
  </si>
  <si>
    <t>2.16.12</t>
  </si>
  <si>
    <t>LUVA DE ROSCA ESQUERDA PARA AÇO CA-50 DN 12,5MM</t>
  </si>
  <si>
    <t>2.16.13</t>
  </si>
  <si>
    <t>LUVA DE ROSCA ESQUERDA PARA AÇO CA-50 DN 16MM</t>
  </si>
  <si>
    <t>2.16.14</t>
  </si>
  <si>
    <t>LUVA DE ROSCA ESQUERDA PARA AÇO CA-50 DN 20MM</t>
  </si>
  <si>
    <t>2.16.15</t>
  </si>
  <si>
    <t>LUVA DE ROSCA ESQUERDA PARA AÇO CA-50 DN 25MM</t>
  </si>
  <si>
    <t>2.16.16</t>
  </si>
  <si>
    <t>LUVA DE ROSCA ESQUERDA PARA AÇO CA-50 DN 32MM</t>
  </si>
  <si>
    <t>2.16.22</t>
  </si>
  <si>
    <t>PINO DIREITA/ESQUERDA PARA AÇO CA-50 DN 12,5MM</t>
  </si>
  <si>
    <t>2.16.23</t>
  </si>
  <si>
    <t>PINO DIREITA/ESQUERDA PARA AÇO CA-50 DN 16MM</t>
  </si>
  <si>
    <t>2.16.24</t>
  </si>
  <si>
    <t>PINO DIREITA/ESQUERDA PARA AÇO CA-50 DN 20MM</t>
  </si>
  <si>
    <t>2.16.25</t>
  </si>
  <si>
    <t>PINO DIREITA/ESQUERDA PARA AÇO CA-50 DN 25MM</t>
  </si>
  <si>
    <t>2.16.26</t>
  </si>
  <si>
    <t>PINO DIREITA/ESQUERDA PARA AÇO CA-50 DN 32MM</t>
  </si>
  <si>
    <t>2.20.55</t>
  </si>
  <si>
    <t>ESTRUTURA PRE-MOLDADA DE CONCRETO FORN/MONT</t>
  </si>
  <si>
    <t>2.20.62</t>
  </si>
  <si>
    <t>VIGA PROTENDIDA PRE-MOLDADA DE CONCRETO FORNEC/MONTAGEM</t>
  </si>
  <si>
    <t>2.20.75</t>
  </si>
  <si>
    <t>LAJE PRE-MOLD D=2,50M E=15CM P/RESERV FORN/MONT</t>
  </si>
  <si>
    <t>2.20.76</t>
  </si>
  <si>
    <t>LAJE PRE-MOLD D=2,50M E=8CM P/RESERV FORN/MONT</t>
  </si>
  <si>
    <t>2.20.80</t>
  </si>
  <si>
    <t>LAJE PRE-MOLD D=3,00M E=08CM P/ RESERV FORN E MONT</t>
  </si>
  <si>
    <t>2.20.81</t>
  </si>
  <si>
    <t>LAJE PRE-MOLD D=3,00M E=15CM P/ RESERV FORN E MONT</t>
  </si>
  <si>
    <t>2.21.01</t>
  </si>
  <si>
    <t>LAJE PRE-FABR UNIDIR VIGOTA PROT LP12-100KGF/M2</t>
  </si>
  <si>
    <t>2.21.02</t>
  </si>
  <si>
    <t>LAJE PRE-FABR UNIDIR VIGOTA PROT LP12-300KGF/M2</t>
  </si>
  <si>
    <t>2.21.04</t>
  </si>
  <si>
    <t>LAJE PRE-FABR UNIDIR VIGOTA PROT LP16-100KGF/M2</t>
  </si>
  <si>
    <t>2.21.05</t>
  </si>
  <si>
    <t>LAJE PRE-FABR UNIDIR VIGOTA PROT LP16-300KGF/M2</t>
  </si>
  <si>
    <t>2.21.07</t>
  </si>
  <si>
    <t>LAJE PRE-FABR UNIDIR VIGOTA PROT LP20-100KGF/M2</t>
  </si>
  <si>
    <t>2.21.08</t>
  </si>
  <si>
    <t>LAJE PRE-FABR UNIDIR VIGOTA PROT LP20-300KGF/M2</t>
  </si>
  <si>
    <t>2.21.09</t>
  </si>
  <si>
    <t>LAJE PRE-FABR UNIDIR VIGOTA PROT LP20-500KGF/M2</t>
  </si>
  <si>
    <t>2.21.10</t>
  </si>
  <si>
    <t>LAJE PRE-FABR UNIDIR VIGOTA PROT LP24-100KGF/M2</t>
  </si>
  <si>
    <t>2.21.11</t>
  </si>
  <si>
    <t>LAJE PRE-FABR UNIDIR VIGOTA PROT LP24-300KGF/M2</t>
  </si>
  <si>
    <t>2.21.12</t>
  </si>
  <si>
    <t>LAJE PRE-FABR UNIDIR VIGOTA PROT LP24-500KGF/M2</t>
  </si>
  <si>
    <t>2.21.21</t>
  </si>
  <si>
    <t>LAJE PRE-FABR VIGOTA TREL UNIDIR LT12-100KGF/M2</t>
  </si>
  <si>
    <t>2.21.24</t>
  </si>
  <si>
    <t>LAJE PRE-FABR VIGOTA TREL UNIDIR LT16-100KGF/M2</t>
  </si>
  <si>
    <t>2.21.25</t>
  </si>
  <si>
    <t>LAJE PRE-FABR VIGOTA TREL UNIDIR LT16-300KGF/M2</t>
  </si>
  <si>
    <t>2.21.26</t>
  </si>
  <si>
    <t>LAJE PRE FABRIC. VIGOTA TREL UNIDIR LT-12-300 KGF/M2</t>
  </si>
  <si>
    <t>2.21.27</t>
  </si>
  <si>
    <t>LAJE PRE-FABR VIGOTA TREL UNIDIR LT20-100KGF/M2</t>
  </si>
  <si>
    <t>2.21.28</t>
  </si>
  <si>
    <t>LAJE PRE-FABR VIGOTA TREL UNIDIR LT20-300KGF/M2</t>
  </si>
  <si>
    <t>2.21.29</t>
  </si>
  <si>
    <t>LAJE PRE-FABR VIGOTA TREL UNIDIR LT20-500KGF/M2</t>
  </si>
  <si>
    <t>2.21.30</t>
  </si>
  <si>
    <t>LAJE PRE-FABR VIGOTA TREL UNIDIR LT25-300KGF/M2</t>
  </si>
  <si>
    <t>2.21.31</t>
  </si>
  <si>
    <t>LAJE PRE-FABR VIGOTA TREL UNIDIR LT25-500KGF/M2</t>
  </si>
  <si>
    <t>2.21.44</t>
  </si>
  <si>
    <t>LAJE PRE-FABR PAINEL ALVEOLAR PROT H15-100KGF/M2</t>
  </si>
  <si>
    <t>2.21.45</t>
  </si>
  <si>
    <t>LAJE PRE-FABR PAINEL ALVEOLAR PROT H15-300KGF/M2</t>
  </si>
  <si>
    <t>2.21.46</t>
  </si>
  <si>
    <t>LAJE PRE-FABR PAINEL ALVEOLAR PROT H15-500KGF/M2</t>
  </si>
  <si>
    <t>2.21.47</t>
  </si>
  <si>
    <t>LAJE PRE-FABR PAINEL ALVEOLAR PROT H20-300KGF/M2</t>
  </si>
  <si>
    <t>2.21.48</t>
  </si>
  <si>
    <t>LAJE PRE-FABR PAINEL ALVEOLAR PROT H20-500KGF/M2</t>
  </si>
  <si>
    <t>2.21.51</t>
  </si>
  <si>
    <t>PRE-LAJE TREL UNIDIR C/EPS PLT12-100KGF/M2</t>
  </si>
  <si>
    <t>2.21.52</t>
  </si>
  <si>
    <t>PRE-LAJE TREL UNIDIR C/EPS PLT16-100KGF/M2</t>
  </si>
  <si>
    <t>2.21.53</t>
  </si>
  <si>
    <t>PRE-LAJE TREL UNIDIR C/EPS PLT16-300KGF/M2</t>
  </si>
  <si>
    <t>2.21.54</t>
  </si>
  <si>
    <t>PRE-LAJE TREL UNIDIR C/EPS PLT20-100KGF/M2</t>
  </si>
  <si>
    <t>2.21.55</t>
  </si>
  <si>
    <t>PRE-LAJE TREL UNIDIR C/EPS PLT20-300KGF/M2</t>
  </si>
  <si>
    <t>2.21.56</t>
  </si>
  <si>
    <t>PRE-LAJE TREL UNIDIR C/EPS PLT20-500KGF/M2</t>
  </si>
  <si>
    <t>2.21.57</t>
  </si>
  <si>
    <t>PRE-LAJE TREL UNIDIR C/EPS PLT25-300KGF/M2</t>
  </si>
  <si>
    <t>2.21.58</t>
  </si>
  <si>
    <t>PRE-LAJE TREL UNIDIR C/EPS PLT25-500KGF/M2</t>
  </si>
  <si>
    <t>2.21.61</t>
  </si>
  <si>
    <t>PRE-LAJE TREL BIDIR C/EPS PLT12-100KGF/M2</t>
  </si>
  <si>
    <t>2.21.62</t>
  </si>
  <si>
    <t>PRE-LAJE TREL BIDIR C/EPS PLT16-100KGF/M2</t>
  </si>
  <si>
    <t>2.21.63</t>
  </si>
  <si>
    <t>PRE-LAJE TREL BIDIR C/EPS PLT16-300KGF/M2</t>
  </si>
  <si>
    <t>2.21.64</t>
  </si>
  <si>
    <t>PRE-LAJE TREL BIDIR C/EPS PLT20-100KGF/M2</t>
  </si>
  <si>
    <t>2.21.65</t>
  </si>
  <si>
    <t>PRE-LAJE TREL BIDIR C/EPS PLT20-300KGF/M2</t>
  </si>
  <si>
    <t>2.21.66</t>
  </si>
  <si>
    <t>PRE-LAJE TREL BIDIR C/EPS PLT20-500KGF/M2</t>
  </si>
  <si>
    <t>2.21.67</t>
  </si>
  <si>
    <t>PRE-LAJE TREL BIDIR C/EPS PLT25-300KGF/M2</t>
  </si>
  <si>
    <t>2.21.68</t>
  </si>
  <si>
    <t>PRE-LAJE TREL BIDIR C/EPS PLT25-500KGF/M2</t>
  </si>
  <si>
    <t>2.25.02</t>
  </si>
  <si>
    <t>BLOCO DE CONCRETO 9X19X39CM - 3MPa</t>
  </si>
  <si>
    <t>2.25.03</t>
  </si>
  <si>
    <t>BLOCO DE CONCRETO 11.5 X19X39CM - 3MPa</t>
  </si>
  <si>
    <t>2.25.04</t>
  </si>
  <si>
    <t>BLOCO DE CONCRETO 14X19X39CM - 6MPa</t>
  </si>
  <si>
    <t>2.25.06</t>
  </si>
  <si>
    <t>BLOCO DE CONCRETO 14X19X39CM - 8MPa</t>
  </si>
  <si>
    <t>2.25.07</t>
  </si>
  <si>
    <t>BLOCO DE CONCRETO 19X19X39CM - 8MPa</t>
  </si>
  <si>
    <t>2.25.08</t>
  </si>
  <si>
    <t>2.25.09</t>
  </si>
  <si>
    <t>BLOCO DE CONCRETO 19X19X19CM - 6MPa</t>
  </si>
  <si>
    <t>2.25.14</t>
  </si>
  <si>
    <t>TIJOLO ESPECIAL MACICO P/ALVENARIA A VISTA</t>
  </si>
  <si>
    <t>2.25.15</t>
  </si>
  <si>
    <t>TIJOLO COMUM MACICO</t>
  </si>
  <si>
    <t>2.25.16</t>
  </si>
  <si>
    <t>TIJOLO CERAMICO FURADO BAIANINHO 9X19X19 CM</t>
  </si>
  <si>
    <t>2.25.25</t>
  </si>
  <si>
    <t>BLOCO CERAMICO FURADO VEDACAO - 19X19X39 CM</t>
  </si>
  <si>
    <t>2.25.28</t>
  </si>
  <si>
    <t>BLOCO DE CONCRETO 39X19X39CM - 3MPa</t>
  </si>
  <si>
    <t>2.25.29</t>
  </si>
  <si>
    <t>TIJOLO CERAMICO FURADO BAIANAO 11.5X14X25CM</t>
  </si>
  <si>
    <t>2.25.31</t>
  </si>
  <si>
    <t>BLOCO CERAMICO ESTRUTURAL 14X19X39 CM</t>
  </si>
  <si>
    <t>2.25.32</t>
  </si>
  <si>
    <t>BLOCO CERAMICO ESTRUTURAL 19X19X39 CM</t>
  </si>
  <si>
    <t>2.25.36</t>
  </si>
  <si>
    <t>TIJOLO LAMINADO FURADO</t>
  </si>
  <si>
    <t>2.25.37</t>
  </si>
  <si>
    <t>TIJOLO REQUEIMADO 22,5X10,50X5CM</t>
  </si>
  <si>
    <t>2.25.75</t>
  </si>
  <si>
    <t>BLOCO DE CONCRETO 14X19X39CM - 4MPa</t>
  </si>
  <si>
    <t>2.25.76</t>
  </si>
  <si>
    <t>BLOCO DE CONCRETO 19X19X39CM - 6MPa</t>
  </si>
  <si>
    <t>2.25.77</t>
  </si>
  <si>
    <t>BLOCO DE CONCRETO 14X19X39CM - 3MPa</t>
  </si>
  <si>
    <t>2.25.80</t>
  </si>
  <si>
    <t>BLOCO DE CONCRETO 19X19X39CM - 3MPa</t>
  </si>
  <si>
    <t>2.25.96</t>
  </si>
  <si>
    <t>BLOCO DE CONCRETO CANALETA 14X19X39CM - 3MPa</t>
  </si>
  <si>
    <t>2.25.97</t>
  </si>
  <si>
    <t>BLOCO DE CONCRETO CANALETA 19X19X39CM - 3MPa</t>
  </si>
  <si>
    <t>2.25.98</t>
  </si>
  <si>
    <t>BLOCO DE CONCRETO CANALETA 14X19X19CM - 3MPa</t>
  </si>
  <si>
    <t>2.30.05</t>
  </si>
  <si>
    <t>ELEMENTO VAZADO DE CONCRETO TIPO QUADRICULADO 16 FUROS C/ALETAS INCLINADAS 39X39X10CM</t>
  </si>
  <si>
    <t>2.30.10</t>
  </si>
  <si>
    <t>ELEMENTO VAZADO "NEO-REX" N.16 (19X19X10)CM</t>
  </si>
  <si>
    <t>2.30.12</t>
  </si>
  <si>
    <t>ELEMENTO VAZADO "NEO-REX" N.16D (19X19X20)CM</t>
  </si>
  <si>
    <t>2.30.19</t>
  </si>
  <si>
    <t>ELEMENTO VAZADO "NEO-REX" N.90 (39X39X7)CM</t>
  </si>
  <si>
    <t>2.30.22</t>
  </si>
  <si>
    <t>ELEMENTO VAZADO "NEO-REX" N.19C (39X39X8)CM</t>
  </si>
  <si>
    <t>2.30.23</t>
  </si>
  <si>
    <t>ELEMENTO VAZADO DE CONCRETO TIPO CAIXILHO 40X40X20CM</t>
  </si>
  <si>
    <t>2.30.50</t>
  </si>
  <si>
    <t>ELEMENTO VAZADO CERAMICO 18X18X7CM</t>
  </si>
  <si>
    <t>2.35.23</t>
  </si>
  <si>
    <t>DIVISORIA SANITARIA DE GRANILITE E=4CM</t>
  </si>
  <si>
    <t>2.35.27</t>
  </si>
  <si>
    <t>DIVISORIA SANITARIA DE GRANILITE E=3CM</t>
  </si>
  <si>
    <t>2.35.29</t>
  </si>
  <si>
    <t>FORN INST DIV BP-PLUS PERFIL AÇO GALV H=1.055M</t>
  </si>
  <si>
    <t>2.35.30</t>
  </si>
  <si>
    <t>DIVISORIA DIVILUX FORN. E COLOCADA G1-C7</t>
  </si>
  <si>
    <t>2.35.31</t>
  </si>
  <si>
    <t>DIVISORIA PAINEL/VIDRO/VENT PERMANENTE-COLOCADA G1-C7</t>
  </si>
  <si>
    <t>2.35.32</t>
  </si>
  <si>
    <t>DIVISORIA PAINEL CEGO 1.20X2.52M COLOCADA G1-C7</t>
  </si>
  <si>
    <t>2.35.34</t>
  </si>
  <si>
    <t>DIVISORIA VENT. PERMANENTE 1.20X2.96M COLOCADA G1-C7</t>
  </si>
  <si>
    <t>2.35.35</t>
  </si>
  <si>
    <t>DIVISORIA PORTA 0.82X2.10M COLOCADA G1-C7</t>
  </si>
  <si>
    <t>2.35.39</t>
  </si>
  <si>
    <t>DIVISORIA DE GESSO ACARTONADA 100/70 2ST 15MM COM LÃ MINERAL FORN E INST</t>
  </si>
  <si>
    <t>2.35.40</t>
  </si>
  <si>
    <t>DIVISORIA DE GESSO ACARTONADA 120/90 2ST15MM COM LÃ MINERAL FORN E INST</t>
  </si>
  <si>
    <t>2.40.09</t>
  </si>
  <si>
    <t>CIMENTO CRISTALIZANTE PARA IMPERMEABILIZACAO</t>
  </si>
  <si>
    <t>2.40.10</t>
  </si>
  <si>
    <t>EMULSAO ADESIVA PVA</t>
  </si>
  <si>
    <t>2.40.27</t>
  </si>
  <si>
    <t>TELA ESTRUTURANTE FIO DE POLIESTER MALHA 2X2MM</t>
  </si>
  <si>
    <t>2.40.29</t>
  </si>
  <si>
    <t>BIDIM GEOTEXTIL NAO TECIDO AGULHADO 100% POLIESTER, RT 31</t>
  </si>
  <si>
    <t>2.40.31</t>
  </si>
  <si>
    <t>PAPEL KRAFT BETUMADO GRAMATURA 210 G X M2</t>
  </si>
  <si>
    <t>2.40.35</t>
  </si>
  <si>
    <t>LONA DE PLASTICO PRETO E=0,20MM</t>
  </si>
  <si>
    <t>2.40.40</t>
  </si>
  <si>
    <t>MANTA ALUMINIZADA PARA SUB-COBERTURA</t>
  </si>
  <si>
    <t>2.40.45</t>
  </si>
  <si>
    <t>CURING</t>
  </si>
  <si>
    <t>2.40.47</t>
  </si>
  <si>
    <t>IMUNIZANTE PARA MADEIRA - CUPINICIDA</t>
  </si>
  <si>
    <t>2.40.49</t>
  </si>
  <si>
    <t>BIDIM GEOTEXTIL NAO TECIDO AGULHADO 100% POLIESTER, RT 21</t>
  </si>
  <si>
    <t>2.40.52</t>
  </si>
  <si>
    <t>ASFALTO 80/100</t>
  </si>
  <si>
    <t>2.40.53</t>
  </si>
  <si>
    <t>ARGAMASSA POLIMERICA BICOMPONENTE SEMIFLEXIVEL</t>
  </si>
  <si>
    <t>2.40.54</t>
  </si>
  <si>
    <t>ARGAMASSA POLIMERICA BICOMPONENTE FLEXIVEL</t>
  </si>
  <si>
    <t>2.40.56</t>
  </si>
  <si>
    <t>TINTA BETUMINOSA</t>
  </si>
  <si>
    <t>2.40.62</t>
  </si>
  <si>
    <t>IMPERM MANTA ELASTOMER 0.8MM BUTIL/EPDM-APLICADA</t>
  </si>
  <si>
    <t>2.40.69</t>
  </si>
  <si>
    <t>IMPERMEABILIZANTE PEGA NORMAL P/ ARGAM E CONCRETO</t>
  </si>
  <si>
    <t>2.40.74</t>
  </si>
  <si>
    <t>MANTA ASFALTICA PRE-FABRICADA ALUM 4MM FORN/APLIC</t>
  </si>
  <si>
    <t>2.40.75</t>
  </si>
  <si>
    <t>IMPERM MANTA ASFALTICA PRE-FABRICADA 4MM-APLICADA</t>
  </si>
  <si>
    <t>2.40.78</t>
  </si>
  <si>
    <t>IMPERM MULTIMENBR ASFALT FELTRO ASFALTO-APLICADA</t>
  </si>
  <si>
    <t>2.40.80</t>
  </si>
  <si>
    <t>BIDIM GEOTEXTIL NAO TECIDO AGULHADO 100% POLIESTER, RT 10</t>
  </si>
  <si>
    <t>2.40.81</t>
  </si>
  <si>
    <t>IMPERM EMULSAO ASFALTICA ELASTOMERICA MONOCOMPONENTE</t>
  </si>
  <si>
    <t>2.40.88</t>
  </si>
  <si>
    <t>IMPERM MANTA ASFALT PRE-FABR 4MM.ACAB AREIA-APLIC</t>
  </si>
  <si>
    <t>2.40.91</t>
  </si>
  <si>
    <t>SELANTE POLIURETANO BISNAGA 300ML DUREZA SHORE A30</t>
  </si>
  <si>
    <t>2.40.93</t>
  </si>
  <si>
    <t>BAGUETE PLASTICO TIPO TARUCEL D=6MM</t>
  </si>
  <si>
    <t>2.40.96</t>
  </si>
  <si>
    <t>SILICONE</t>
  </si>
  <si>
    <t>2.40.98</t>
  </si>
  <si>
    <t>IMPERMEABILIZANTE FLEXIVEL DE BASE ACRILICA</t>
  </si>
  <si>
    <t>2.45.02</t>
  </si>
  <si>
    <t>ARGILA EXPANDIDA</t>
  </si>
  <si>
    <t>2.45.03</t>
  </si>
  <si>
    <t>ISOLACAO TERMOACUSTICA - LA DE VIDRO E=2"</t>
  </si>
  <si>
    <t>2.45.04</t>
  </si>
  <si>
    <t>ISOLACAO TERMOACUSTICA LÃ DE ROCHA DENSID 32 KG/M3 E=50 MM ENVELOPADA FILME AUTO-EXTÍINGUÍVE</t>
  </si>
  <si>
    <t>2.45.09</t>
  </si>
  <si>
    <t>MANTA DE LÃ DE ROCHA ENVELOPADA DENS 144KG/M3</t>
  </si>
  <si>
    <t>2.45.13</t>
  </si>
  <si>
    <t>ISOPOR ESP= 20 MM</t>
  </si>
  <si>
    <t>2.45.14</t>
  </si>
  <si>
    <t>ISOPOR PARA ISOLACAO ACUSTICA E=30 MM DENSIDADE 13 A 16KG/M3</t>
  </si>
  <si>
    <t>2.45.15</t>
  </si>
  <si>
    <t>ISOPOR PARA ISOLACAO ACUSTICA</t>
  </si>
  <si>
    <t>2.45.66</t>
  </si>
  <si>
    <t>CONCRETO CELULAR ESP 7.5CM P/ PROT TERM-MEC</t>
  </si>
  <si>
    <t>2.45.67</t>
  </si>
  <si>
    <t>CONCRETO CELULAR ESP 10CM P/ PROT TERM-MEC</t>
  </si>
  <si>
    <t>2.45.68</t>
  </si>
  <si>
    <t>CONCRETO CELULAR ESP=15CM P/ PROT TERM-MEC</t>
  </si>
  <si>
    <t>2.45.70</t>
  </si>
  <si>
    <t>LA VIDRO ESP. 1" P/ISOLAMENTO</t>
  </si>
  <si>
    <t>2.50.13</t>
  </si>
  <si>
    <t>FERRAGEM P/MADEIRAMENTO DE TELHADOS</t>
  </si>
  <si>
    <t>2.50.16</t>
  </si>
  <si>
    <t>ESTR MET ACO RESIST A CORROSAO (ASTM A709/A588)</t>
  </si>
  <si>
    <t>2.50.17</t>
  </si>
  <si>
    <t>ESTR METALICA ACO NAO PATINAVEL (ASTM A36/A570)</t>
  </si>
  <si>
    <t>2.50.20</t>
  </si>
  <si>
    <t>MONTAGEM DE ESTRUTURA METALICA</t>
  </si>
  <si>
    <t>2.50.40</t>
  </si>
  <si>
    <t>DESMONTAGEM DE ESTRUTURA METALICA</t>
  </si>
  <si>
    <t>2.55.01</t>
  </si>
  <si>
    <t>TELHA CERAMICA TIPO FRANCESA</t>
  </si>
  <si>
    <t>2.55.02</t>
  </si>
  <si>
    <t>TELHA CERAMICA TIPO PAULISTA</t>
  </si>
  <si>
    <t>2.55.03</t>
  </si>
  <si>
    <t>TELHA TECNOLOGIA CRFS MAXIPLAC H=125MM E=8 MM</t>
  </si>
  <si>
    <t>2.55.05</t>
  </si>
  <si>
    <t>TELHA CERAMICA TIPO COLONIAL</t>
  </si>
  <si>
    <t>2.55.06</t>
  </si>
  <si>
    <t>TELHA CERAMICA TIPO ROMANA</t>
  </si>
  <si>
    <t>2.55.07</t>
  </si>
  <si>
    <t>TELHA GALVALUME / ACO GALV PINT 1 FACE PO OU COIL-COATING ONDULADA CRFS E=0,65MM</t>
  </si>
  <si>
    <t>2.55.08</t>
  </si>
  <si>
    <t>TELHA CERAMICA TIPO PLAN</t>
  </si>
  <si>
    <t>2.55.09</t>
  </si>
  <si>
    <t>TELHA GALVALUME / ACO GALV PINT 1 FACE PO/COIL-COATING TRAPEZ H=40MM E=0,65MM</t>
  </si>
  <si>
    <t>2.55.10</t>
  </si>
  <si>
    <t>TELHA GALVALUME / ACO GALV PINT 1 FACE PO/COIL-COATING TRAPEZ H=100MM E=0,65MM</t>
  </si>
  <si>
    <t>2.55.11</t>
  </si>
  <si>
    <t>TELHA GALVALUME / ACO GALV ACAB. NATURAL ONDULADA CRFS .E=0,65MM</t>
  </si>
  <si>
    <t>2.55.16</t>
  </si>
  <si>
    <t>TELHA GALVALUME / ACO GALV ACABAMENTO NATURAL TRAPEZ H=40MM .E=0,65MM</t>
  </si>
  <si>
    <t>2.55.17</t>
  </si>
  <si>
    <t>TELHA GALVALUME / ACO GALV ACABAMENTO NATURAL TRAPEZ H=100MM E=0,65MM</t>
  </si>
  <si>
    <t>2.55.18</t>
  </si>
  <si>
    <t>TELHA GALVALUME / ACO GALV SANDUICHE E=30MM (PUR) / (PIR) TRAPEZ H=40MM NAS DUAS FACES E= 0,50MM COM PINT FACES APARENTES.</t>
  </si>
  <si>
    <t>2.55.19</t>
  </si>
  <si>
    <t>TELHA GALVALUME / ACO GALV SANDUICHE E=50MM (PUR) / (PIR) TRAPEZ H=40MM NAS DUAS FACES E= 0,50MM COM PINT FACES APARENTES.</t>
  </si>
  <si>
    <t>2.55.21</t>
  </si>
  <si>
    <t>TELHA GALVALUME / ACO GALV SANDUICHE E=30MM (PUR) / (PIR) SUPERIOR TRAPEZ H=40MM / INFERIOR PLANO E= 0,50MM COM PINT FACES APARENTES</t>
  </si>
  <si>
    <t>2.55.22</t>
  </si>
  <si>
    <t>TELHA GALVALUME / ACO GALV SANDUICHE E=50MM (PUR) / (PIR) SUPERIOR TRAPEZ H=40MM / INFERIOR PLANO E= 0,50MM COM PINT FACES APARENTES</t>
  </si>
  <si>
    <t>2.55.49</t>
  </si>
  <si>
    <t>DOMO DE ACRILICO C CAIXILHO DE ALUMINIO</t>
  </si>
  <si>
    <t>2.55.51</t>
  </si>
  <si>
    <t>TELHA DE FIBROCIMENTO MAXIPLAC H=125MM - E=6MM</t>
  </si>
  <si>
    <t>2.55.59</t>
  </si>
  <si>
    <t>TELHA DE POLIESTER (PERFIL TRAP. ALUM.) - E=1.2MM</t>
  </si>
  <si>
    <t>2.55.61</t>
  </si>
  <si>
    <t>TELHA DE VIDRO TIPO "FRANCESA"</t>
  </si>
  <si>
    <t>2.55.68</t>
  </si>
  <si>
    <t>CUMEEIRA ACO PINTADO SIMPLES E=0,65MM</t>
  </si>
  <si>
    <t>2.55.75</t>
  </si>
  <si>
    <t>TELHA DE CONCRETO - COR VERMELHA</t>
  </si>
  <si>
    <t>2.55.76</t>
  </si>
  <si>
    <t>TELHA DE CONCRETO - COR CINZA</t>
  </si>
  <si>
    <t>2.55.82</t>
  </si>
  <si>
    <t>CUMEEIRA ACO PRE-PINTADO SIMPLES 0.5MM</t>
  </si>
  <si>
    <t>2.55.90</t>
  </si>
  <si>
    <t>CUMEEIRA ACO GALV PINT 1 FACE TRAP E=0.65MM H=100M</t>
  </si>
  <si>
    <t>2.55.91</t>
  </si>
  <si>
    <t>RUFO DENT ACO GALV PINT 1FACE E=0.65MM C ATE 300MM</t>
  </si>
  <si>
    <t>2.55.92</t>
  </si>
  <si>
    <t>RUFO DENT ACO GALV PINT 1FACE E=0.65MM C ATE 400MM</t>
  </si>
  <si>
    <t>2.55.93</t>
  </si>
  <si>
    <t>RUFO DENT.ACO GALV.PINT.E=0.50MM C=300MM</t>
  </si>
  <si>
    <t>2.55.94</t>
  </si>
  <si>
    <t>RUFO DENT.ACO GALV.PINT.E=0.50MM C=400MM</t>
  </si>
  <si>
    <t>2.55.95</t>
  </si>
  <si>
    <t>RUFO DENT.ACO GALV.PINT.E=0.50MM C=600MM</t>
  </si>
  <si>
    <t>2.55.97</t>
  </si>
  <si>
    <t>RUFO DENT ACO GALV PINT 1FACE E=0.65MM C ATE 600MM</t>
  </si>
  <si>
    <t>2.55.98</t>
  </si>
  <si>
    <t>RUFO LISO ACO GALV.PINT.E=0.65MM C=300MM</t>
  </si>
  <si>
    <t>2.55.99</t>
  </si>
  <si>
    <t>RUFO LISO ACO GALV.PINT.E=0.65MM C=400MM</t>
  </si>
  <si>
    <t>2.56.01</t>
  </si>
  <si>
    <t>RUFO LISO ACO GALV.PINT.E=0.65MM C=600MM</t>
  </si>
  <si>
    <t>2.56.09</t>
  </si>
  <si>
    <t>TELHA DE POLIESTER (PERFIL 90 OU KALHETAO)</t>
  </si>
  <si>
    <t>2.56.10</t>
  </si>
  <si>
    <t>TELHA DE POLIESTER (PERFIL MAXIPLAC)</t>
  </si>
  <si>
    <t>2.56.11</t>
  </si>
  <si>
    <t>TELHA DE POLIESTER (PERFIL OND. ACO) - E=1.2MM</t>
  </si>
  <si>
    <t>2.56.12</t>
  </si>
  <si>
    <t>TELHA DE POLIESTER (PERF.TRAP.ACO H=40MM)- E=1.2MM</t>
  </si>
  <si>
    <t>2.56.13</t>
  </si>
  <si>
    <t>TELHA DE POLIESTER (PERF.TRAP.ACO H=100M)- E=1.2MM</t>
  </si>
  <si>
    <t>2.56.15</t>
  </si>
  <si>
    <t>TELHA DE POLIESTER (PERFIL OND. CRFS) - E=1.2MM</t>
  </si>
  <si>
    <t>2.56.41</t>
  </si>
  <si>
    <t>CUMEEIRA DE ACO NATURAL LISA / LISA DENT. E=0.5MM</t>
  </si>
  <si>
    <t>2.56.42</t>
  </si>
  <si>
    <t>CUMEEIRA ACO NAT. PERF. OND/TRAP E=065 H=ATE 40MM</t>
  </si>
  <si>
    <t>2.56.43</t>
  </si>
  <si>
    <t>CUMEEIRA ACO GALV NAT PERFIL TRAP 0.5MM H=100MM</t>
  </si>
  <si>
    <t>2.56.44</t>
  </si>
  <si>
    <t>RUFO DE ACO NATURAL SIMPLES E=0,5MM</t>
  </si>
  <si>
    <t>2.56.45</t>
  </si>
  <si>
    <t>RUFO LISO DE ACO GALV NAT E=0.65MM CORTE ATE 300MM</t>
  </si>
  <si>
    <t>2.56.46</t>
  </si>
  <si>
    <t>RUFO LISO DE ACO GALV NAT E=0.65MM CORTE ATE 400MM</t>
  </si>
  <si>
    <t>2.56.47</t>
  </si>
  <si>
    <t>RUFO LISO ACO GALV NAT E=0.65MM CORTE ATE 600MM</t>
  </si>
  <si>
    <t>2.56.49</t>
  </si>
  <si>
    <t>RUFO DENTADO ACO GALV NAT E=0.65MM CORTE ATE 300MM</t>
  </si>
  <si>
    <t>2.56.50</t>
  </si>
  <si>
    <t>RUFO DENTADO ACO GALV NAT E=0.65MM CORTE ATE 400MM</t>
  </si>
  <si>
    <t>2.56.51</t>
  </si>
  <si>
    <t>RUFO DENTADO ACO GALV NAT E=0.65MM CORTE ATE 600MM</t>
  </si>
  <si>
    <t>2.56.61</t>
  </si>
  <si>
    <t>TELHA TECNOLOGIA CRFS ONDULADA 6MM</t>
  </si>
  <si>
    <t>2.56.62</t>
  </si>
  <si>
    <t>TELHA TECNOLOGIA CRFS ONDULADA 8MM</t>
  </si>
  <si>
    <t>2.56.63</t>
  </si>
  <si>
    <t>TELHA TECNOLOGIA CRFS MODULAR E=8MM</t>
  </si>
  <si>
    <t>2.56.64</t>
  </si>
  <si>
    <t>TELHA TECNOLOGIA CRFS TRAPEZOIDAL 44CM E=8MM</t>
  </si>
  <si>
    <t>2.56.67</t>
  </si>
  <si>
    <t>TELHA PERFURADA GALVALUME / GALVAN. PINT 2 FACES TRAPEZ H=40MM E=0,65MM</t>
  </si>
  <si>
    <t>2.56.68</t>
  </si>
  <si>
    <t>TELHA PERFURADA GALVALUME / GALVAN. PINT 2 FACES TRAPEZ H=35MM E=0,65MM</t>
  </si>
  <si>
    <t>2.56.69</t>
  </si>
  <si>
    <t>TELHA PERFURADA GALVALUME / GALV PINT PO 2 FACES TRAPEZ H=40MM E=0,80MM</t>
  </si>
  <si>
    <t>2.56.74</t>
  </si>
  <si>
    <t>TELHA GALVALUME / ACO GALV AUTOPORT ACAB NAT E=0,80MM H=260MM</t>
  </si>
  <si>
    <t>2.56.75</t>
  </si>
  <si>
    <t>TELHA DE POLIESTER (PERFIL OND. ALUM.) - E=1.2MM</t>
  </si>
  <si>
    <t>2.56.76</t>
  </si>
  <si>
    <t>CUMEEIRA NORMAL P/ TELHA TECNOLOGIA CRFS ONDULADA</t>
  </si>
  <si>
    <t>2.56.77</t>
  </si>
  <si>
    <t>CUMEEIRA ARTICULADA P/ TELHA TECNOLOGIA CRFS ONDULADA</t>
  </si>
  <si>
    <t>PR</t>
  </si>
  <si>
    <t>2.56.78</t>
  </si>
  <si>
    <t>CUMEEIRA SHED P/ TELHA TECNOLOGIA CRFS ONDULADA</t>
  </si>
  <si>
    <t>2.56.80</t>
  </si>
  <si>
    <t>ESPIGAO NORMAL P/ TELHA TECNOLOGIA CRFS ONDULADA</t>
  </si>
  <si>
    <t>2.56.83</t>
  </si>
  <si>
    <t>ARESTA P/ TELHA TECNOL. CRFS ONDULADA C=1.83M</t>
  </si>
  <si>
    <t>2.56.85</t>
  </si>
  <si>
    <t>RUFO P/ TELHA TECNOLOGIA CRFS ONDULADA</t>
  </si>
  <si>
    <t>2.56.86</t>
  </si>
  <si>
    <t>TELHA GALVALUME / ACO GALV AUTOPORTE E=0,80MM H=260MM PINTURA FACE INFERIOR</t>
  </si>
  <si>
    <t>2.56.88</t>
  </si>
  <si>
    <t>TELHA GALVALUME / GALV PINT PO 2 FACES TRAPEZ H=40MM E=0,80MM</t>
  </si>
  <si>
    <t>2.60.77</t>
  </si>
  <si>
    <t>CUMEEIRA E ESPIGAO P/TELHA CERAMICA</t>
  </si>
  <si>
    <t>2.61.03</t>
  </si>
  <si>
    <t>CUMEEIRA NORMAL P/ TELHA TECNOLOGIA CRFS MODULAR</t>
  </si>
  <si>
    <t>2.61.04</t>
  </si>
  <si>
    <t>CUMEEIRA NORMAL P/ TELHA TECNOLOGIA CRFS TRAP 44CM</t>
  </si>
  <si>
    <t>2.61.06</t>
  </si>
  <si>
    <t>CUMEEIRA NORMAL P/ TELHA TECNOLOGIA CRFS TRAP 90CM</t>
  </si>
  <si>
    <t>2.61.07</t>
  </si>
  <si>
    <t>CUMEEIRA ARTICULADA P/ TELHA TECNOL CRFS MODULAR</t>
  </si>
  <si>
    <t>2.61.10</t>
  </si>
  <si>
    <t>CUMEEIRA ARTICULADA P/ TELHA TECNOL CRFS TRAP 90CM</t>
  </si>
  <si>
    <t>2.61.34</t>
  </si>
  <si>
    <t>RUFO PARA TELHA TECNOLOGIA CRFS MODULAR</t>
  </si>
  <si>
    <t>2.61.37</t>
  </si>
  <si>
    <t>RUFO P/ TELHA TECNOLOGIA CRFS TRAP 90CM</t>
  </si>
  <si>
    <t>2.63.60</t>
  </si>
  <si>
    <t>BUCHA E ARRUELA EM ZAMACK 15MM (1/2")</t>
  </si>
  <si>
    <t>2.65.03</t>
  </si>
  <si>
    <t>CONJUNTO DE FIXACAO P/ RUFO METALICO</t>
  </si>
  <si>
    <t>2.65.69</t>
  </si>
  <si>
    <t>PREGO 18X27</t>
  </si>
  <si>
    <t>2.65.78</t>
  </si>
  <si>
    <t>CALÇO PLASTICO P/ FIXACAO TELHA CRFS MODULADA</t>
  </si>
  <si>
    <t>2.65.88</t>
  </si>
  <si>
    <t>PERFIL METALICO SECCAO CARTOLA PARA FORRO</t>
  </si>
  <si>
    <t>2.65.91</t>
  </si>
  <si>
    <t>VEDACAO ELASTICA - CONJ DE ARRUELAS DE ACO E PVC</t>
  </si>
  <si>
    <t>2.65.97</t>
  </si>
  <si>
    <t>PARAFUSO P/ MADEIRA 3.2X20MM - CABECA REDONDA</t>
  </si>
  <si>
    <t>2.65.98</t>
  </si>
  <si>
    <t>CANTONEIRA DE ALUMINIO ABAS IGUAIS 1"x1/8"</t>
  </si>
  <si>
    <t>2.65.99</t>
  </si>
  <si>
    <t>PARAFUSO AUTO-PERF C/ CONJ VEDACAO P/ TELHA DE ACO</t>
  </si>
  <si>
    <t>2.66.02</t>
  </si>
  <si>
    <t>CANTONEIRA DE FERRO ABAS IGUAIS 2"X1/8" GALVANIZADA</t>
  </si>
  <si>
    <t>2.66.03</t>
  </si>
  <si>
    <t>PARAFUSO AUTO ATARRACHANTE 6.0X80MM</t>
  </si>
  <si>
    <t>2.66.11</t>
  </si>
  <si>
    <t>MASSA DE VEDACAO PARA TELHAS</t>
  </si>
  <si>
    <t>2.66.12</t>
  </si>
  <si>
    <t>PARAFUSO 8X65MM OU GANCHO FIX.TELHA TRAPEZOIDAL</t>
  </si>
  <si>
    <t>2.66.13</t>
  </si>
  <si>
    <t>PARAFUSO 8X110MM GALVAN. OU GANCHO FIX.TELHA ONDULADA/CANALETE 90CM</t>
  </si>
  <si>
    <t>2.66.14</t>
  </si>
  <si>
    <t>CANTONEIRA DE FERRO ABAS IGUAIS 11/2"x1/8"</t>
  </si>
  <si>
    <t>2.66.20</t>
  </si>
  <si>
    <t>CANTONEIRA DE FERRO ABAS IGUAIS 1"x1/8" GALVANIZADA</t>
  </si>
  <si>
    <t>2.66.21</t>
  </si>
  <si>
    <t>FERRO CHATO 3/4"X1/8" GALV</t>
  </si>
  <si>
    <t>2.66.24</t>
  </si>
  <si>
    <t>PARAFUSO 8X180MM GALVAN. OU GANCHO FIX.TELHA MAXIPLAC</t>
  </si>
  <si>
    <t>2.66.25</t>
  </si>
  <si>
    <t>PARAFUSO 8X165MM GALVAN. OU GANCHO PARA FIX. TELHA MODULADA</t>
  </si>
  <si>
    <t>2.66.27</t>
  </si>
  <si>
    <t>PARAFUSO P/ ESPIGAO NORMAL DE TELHA FIBRA ONDULADA</t>
  </si>
  <si>
    <t>2.66.40</t>
  </si>
  <si>
    <t>CHAPA DE ACO INOX P/ PROTECAO E=0.79MM</t>
  </si>
  <si>
    <t>2.66.50</t>
  </si>
  <si>
    <t>FERRO CHATO GALVANIZADO 50MMX3,00MM</t>
  </si>
  <si>
    <t>2.66.51</t>
  </si>
  <si>
    <t>GANCHO E ACESSORIOS P/ FIX TELHA TRAPEZ ALUMINIO</t>
  </si>
  <si>
    <t>2.66.53</t>
  </si>
  <si>
    <t>FIXADOR DE ABAS PARA TELHAS DE FIBRA</t>
  </si>
  <si>
    <t>2.66.54</t>
  </si>
  <si>
    <t>GANCHO E ACESSORIOS P/ FIX TELHA OND ALUMINIO</t>
  </si>
  <si>
    <t>2.66.67</t>
  </si>
  <si>
    <t>CANTONEIRA DE ALUMINIO PERFIL SEXTAVADO PARA AZULEJO</t>
  </si>
  <si>
    <t>2.66.73</t>
  </si>
  <si>
    <t>PERFIL U ABAS IGUAIS 30X15X3MM ALUMINIO COR NATURAL</t>
  </si>
  <si>
    <t>2.66.78</t>
  </si>
  <si>
    <t>CANTONEIRA DE FERRO ABAS IGUAIS 1"x1/8"</t>
  </si>
  <si>
    <t>2.66.85</t>
  </si>
  <si>
    <t>PERFIL "U" ENRIJECIDO 60X45X20MM CH.14 GALV</t>
  </si>
  <si>
    <t>2.66.87</t>
  </si>
  <si>
    <t>PARAFUSO AÇO GALV. 6.3X38MM</t>
  </si>
  <si>
    <t>2.66.88</t>
  </si>
  <si>
    <t>CANTONEIRA DE FERRO ABAS IGUAIS 100X100X5MM GALVANIZADA</t>
  </si>
  <si>
    <t>2.66.90</t>
  </si>
  <si>
    <t>PARAFUSO AUTOATARRACHANTE 6.3 X 50 MM</t>
  </si>
  <si>
    <t>2.66.91</t>
  </si>
  <si>
    <t>CHUMBADOR MECÂNICO EXPANSÍVEL 1/4"X2".</t>
  </si>
  <si>
    <t>2.66.92</t>
  </si>
  <si>
    <t>CHUMBADOR MECÂNICO EXPANSÍVEL 3/4"X5 1/2".</t>
  </si>
  <si>
    <t>2.66.93</t>
  </si>
  <si>
    <t>CHUMBADOR MECÂNICO EXPANSÍVEL 1/4"X3".</t>
  </si>
  <si>
    <t>2.67.04</t>
  </si>
  <si>
    <t>CHAPA DE FERRO N.14</t>
  </si>
  <si>
    <t>2.67.14</t>
  </si>
  <si>
    <t>CHUMBADOR P/ FIXACAO POSTE METALICO 1/2"X300MM</t>
  </si>
  <si>
    <t>2.67.19</t>
  </si>
  <si>
    <t>PARAFUSO SEXTAVADO 3/8"X3" C/ PORCA E ARRUELA</t>
  </si>
  <si>
    <t>2.67.20</t>
  </si>
  <si>
    <t>PARAFUSO P/ MADEIRA 3.2X40MM</t>
  </si>
  <si>
    <t>2.67.21</t>
  </si>
  <si>
    <t>PARAFUSO P/ MADEIRA 6.1X75MM</t>
  </si>
  <si>
    <t>2.67.23</t>
  </si>
  <si>
    <t>PARAFUSO 3/16' 2.5CM</t>
  </si>
  <si>
    <t>2.67.24</t>
  </si>
  <si>
    <t>PARAFUSO SEXT 1/4' X 5CM C/BUCHA PLASTICA</t>
  </si>
  <si>
    <t>2.67.26</t>
  </si>
  <si>
    <t>PARAFUSO AUTO-ATARRACHANTE 5.5X38MM C/ ARRUELA</t>
  </si>
  <si>
    <t>2.67.31</t>
  </si>
  <si>
    <t>PARAFUSO AUTO-ATARRACHANTE CABECA OVAL 4.8 X 75MM</t>
  </si>
  <si>
    <t>2.67.32</t>
  </si>
  <si>
    <t>PARAFUSO FRANCES 3/8"X8" C/ PORCA E ARRUELA</t>
  </si>
  <si>
    <t>2.67.37</t>
  </si>
  <si>
    <t>PARAFUSO FRANCES 5/16"X3/4" C/PORCAS E ARRUELAS GA</t>
  </si>
  <si>
    <t>2.67.39</t>
  </si>
  <si>
    <t>PARAFUSO AUTOATARRACHANTE 9.5X2.9MM</t>
  </si>
  <si>
    <t>2.67.45</t>
  </si>
  <si>
    <t>PARAFUSO AUTO-ATARRACHANTE (3.5X25MM)-CABEÇA CHATA</t>
  </si>
  <si>
    <t>2.67.46</t>
  </si>
  <si>
    <t>PARAFUSO AUTO-ATARRACHANTE 4.8X25MM</t>
  </si>
  <si>
    <t>2.67.47</t>
  </si>
  <si>
    <t>PARAFUSO INOX AUTO-ATARR SEXT M6X50</t>
  </si>
  <si>
    <t>2.67.48</t>
  </si>
  <si>
    <t>PARAFUSO INOX AUTO-ATARR CABECA PANELA 6X25MM</t>
  </si>
  <si>
    <t>2.67.50</t>
  </si>
  <si>
    <t>PORCAS E CONTRA-PORCAS 3/8'</t>
  </si>
  <si>
    <t>2.67.60</t>
  </si>
  <si>
    <t>PREGO</t>
  </si>
  <si>
    <t>2.67.70</t>
  </si>
  <si>
    <t>REBITE TIPO POP 440 (CENTO)</t>
  </si>
  <si>
    <t>2.67.71</t>
  </si>
  <si>
    <t>REBITE TANOEIRO No. 8 (3.0 X 6.1 MM) FERRO ZINCADO</t>
  </si>
  <si>
    <t>2.67.77</t>
  </si>
  <si>
    <t>BUCHA NYLON TIPO S-8 (CENTO)</t>
  </si>
  <si>
    <t>2.67.78</t>
  </si>
  <si>
    <t>BUCHA NYLON TIPO S-6 (CENTO)</t>
  </si>
  <si>
    <t>2.67.79</t>
  </si>
  <si>
    <t>BUCHA NYLON TIPO S-5 (CENTO)</t>
  </si>
  <si>
    <t>2.68.10</t>
  </si>
  <si>
    <t>BUCHA NYLON TIPO S-10 (CENTO)</t>
  </si>
  <si>
    <t>2.68.18</t>
  </si>
  <si>
    <t>PERFIL TUBULAR 30X30MM E=3MM GALVANIZADO</t>
  </si>
  <si>
    <t>2.68.20</t>
  </si>
  <si>
    <t>PERFIL METALICO TUBULAR SECAO QUADRADA 8X8CM E=3MM</t>
  </si>
  <si>
    <t>2.68.23</t>
  </si>
  <si>
    <t>FERRO CHATO 3/4"X1/8" GALV.</t>
  </si>
  <si>
    <t>2.68.41</t>
  </si>
  <si>
    <t>PARAFUSO SEXT 5/16X1 3/4" C/ PORCA E ARRUELA PRES</t>
  </si>
  <si>
    <t>2.68.50</t>
  </si>
  <si>
    <t>REBITE DE FERRO ZINCADO CABECA REDONDA 5/32"X1/2"</t>
  </si>
  <si>
    <t>2.68.55</t>
  </si>
  <si>
    <t>REBITE DE ALUMINIO CABECA REDONDA 5/32"X3/4"</t>
  </si>
  <si>
    <t>2.70.10</t>
  </si>
  <si>
    <t>ARAME RECOZIDO N.18</t>
  </si>
  <si>
    <t>2.70.12</t>
  </si>
  <si>
    <t>GABIAO MALHA 8/10 FIO 2,7MM INC ARAME ZINC P/AMARRAÇAO</t>
  </si>
  <si>
    <t>2.70.20</t>
  </si>
  <si>
    <t>2.70.29</t>
  </si>
  <si>
    <t>ARAME GALVANIZADO N.12</t>
  </si>
  <si>
    <t>2.70.31</t>
  </si>
  <si>
    <t>ARAME GALVANIZADO No. 16</t>
  </si>
  <si>
    <t>2.70.32</t>
  </si>
  <si>
    <t>ARAME GALVANIZADO No. 10</t>
  </si>
  <si>
    <t>2.75.04</t>
  </si>
  <si>
    <t>TELA ALAMBRADO SOLDADA GALV.FIO 3.0MM MALHA 5X15CM</t>
  </si>
  <si>
    <t>2.75.08</t>
  </si>
  <si>
    <t>TELA ARAME GALV MALHA QUADRANGULAR 2" FIO 12</t>
  </si>
  <si>
    <t>2.75.09</t>
  </si>
  <si>
    <t>TELA ARAME GALV (FIO 10) EM MALHA QUADRADA 2"</t>
  </si>
  <si>
    <t>2.75.16</t>
  </si>
  <si>
    <t>PLACA PREMOLDADA 160X60X3CM</t>
  </si>
  <si>
    <t>2.75.20</t>
  </si>
  <si>
    <t>FD-10 MOURAO CONCRETO 10X10X220CM</t>
  </si>
  <si>
    <t>2.75.21</t>
  </si>
  <si>
    <t>MOURAO P/PLACA PREMOLD C/DIMENS MIN 11X11X250CM</t>
  </si>
  <si>
    <t>2.75.24</t>
  </si>
  <si>
    <t>TELA DE NYLON TIPO MOSQUITEIRO</t>
  </si>
  <si>
    <t>2.75.28</t>
  </si>
  <si>
    <t>TP-12 TELA DE PROTECAO REMOVIVEL COMPLETA - GALVANIZADA</t>
  </si>
  <si>
    <t>2.75.29</t>
  </si>
  <si>
    <t>TELA PROT. 1/2 X 1/2 FIO 15 PARA CAIXILHO</t>
  </si>
  <si>
    <t>2.75.31</t>
  </si>
  <si>
    <t>TELA P/ VIVEIRO ARAME GALV MALHA 1/2 FIO 24</t>
  </si>
  <si>
    <t>2.75.34</t>
  </si>
  <si>
    <t>TELA ARAME GALV. MALHA QUADRANGULA 1" FIO 12</t>
  </si>
  <si>
    <t>2.80.03</t>
  </si>
  <si>
    <t>TELA PARA ESTUQUE</t>
  </si>
  <si>
    <t>2.80.05</t>
  </si>
  <si>
    <t>COLA PVA</t>
  </si>
  <si>
    <t>2.80.06</t>
  </si>
  <si>
    <t>COLA DE CONTATO A BASE DE NEOPRENE</t>
  </si>
  <si>
    <t>2.80.16</t>
  </si>
  <si>
    <t>ADESIVO PARA ARGAMASSA E CHAPISCO</t>
  </si>
  <si>
    <t>2.80.17</t>
  </si>
  <si>
    <t>ENDURECEDOR SUPERFICIAL PARA CONCRETO</t>
  </si>
  <si>
    <t>2.80.20</t>
  </si>
  <si>
    <t>FIBRA DE POLIPROPILENO MONOFILAMENTO</t>
  </si>
  <si>
    <t>2.80.21</t>
  </si>
  <si>
    <t>FIBRA DE POLIPROPILENO CORRUGADA</t>
  </si>
  <si>
    <t>2.80.29</t>
  </si>
  <si>
    <t>PEDRA RACHAO D=10A15CM</t>
  </si>
  <si>
    <t>2.80.40</t>
  </si>
  <si>
    <t>ADITIVO EXPANSOR</t>
  </si>
  <si>
    <t>2.80.56</t>
  </si>
  <si>
    <t>GRAFITE</t>
  </si>
  <si>
    <t>2.80.65</t>
  </si>
  <si>
    <t>MASTIQUE ELASTICO POLIURETANO P/JUNTAS</t>
  </si>
  <si>
    <t>C3</t>
  </si>
  <si>
    <t>2.80.70</t>
  </si>
  <si>
    <t>TRAVA QUIMICA</t>
  </si>
  <si>
    <t>GR</t>
  </si>
  <si>
    <t>2.80.73</t>
  </si>
  <si>
    <t>COLA PARA PISO VINILICO</t>
  </si>
  <si>
    <t>2.80.81</t>
  </si>
  <si>
    <t>FITA CREPE 25MM X 50M</t>
  </si>
  <si>
    <t>2.81.02</t>
  </si>
  <si>
    <t>ESPÍCULA EM POLICARBONATO PEÇA 33x11,8 CM ARCO 100 GRAUS</t>
  </si>
  <si>
    <t>3.01.01</t>
  </si>
  <si>
    <t>GUARNICAO DE MADEIRA 5CM PARA PORTAS G1-C4</t>
  </si>
  <si>
    <t>3.01.02</t>
  </si>
  <si>
    <t>GUARNICAO DE MADEIRA 5CM G1-C4</t>
  </si>
  <si>
    <t>3.01.03</t>
  </si>
  <si>
    <t>GUARNICAO DE MADEIRA 10CM G1-C4</t>
  </si>
  <si>
    <t>3.01.04</t>
  </si>
  <si>
    <t>GUARNICAO DE MADEIRA 15CM G1-C4</t>
  </si>
  <si>
    <t>3.01.05</t>
  </si>
  <si>
    <t>GUARNICAO DE MADEIRA 7CM G1-C4</t>
  </si>
  <si>
    <t>3.01.09</t>
  </si>
  <si>
    <t>GS-03 JANELA SARRAF.MACIÇA 60X130CM E=25MM X 2 G1-C1</t>
  </si>
  <si>
    <t>3.01.10</t>
  </si>
  <si>
    <t>GS-04 JANELA SARRAF.MACIÇA 130X125CM C/BATENTE E GUARNICOES G1-C1</t>
  </si>
  <si>
    <t>3.01.35</t>
  </si>
  <si>
    <t>BATENTE DE MADEIRA 3.5X14CM VAO 50 A 90X210CM G1-C1</t>
  </si>
  <si>
    <t>3.01.37</t>
  </si>
  <si>
    <t>BATENTE DE MADEIRA 3,5X14CM VAO 124X210CM G1-C1</t>
  </si>
  <si>
    <t>3.01.60</t>
  </si>
  <si>
    <t>BR-05 TAMPO MDF 25MM C/LAMINADO POSTFORMING 6MM G1-C7</t>
  </si>
  <si>
    <t>3.01.63</t>
  </si>
  <si>
    <t>PORTA SARRAFEADA SEMI OCA LISA P/ PINT ADAPTADA 42X210CM G1-C1</t>
  </si>
  <si>
    <t>FL</t>
  </si>
  <si>
    <t>3.01.67</t>
  </si>
  <si>
    <t>PORTA DE MADEIRA MACHO-FEMEA 72X210CM G1-C1</t>
  </si>
  <si>
    <t>3.01.68</t>
  </si>
  <si>
    <t>PORTA DE MADEIRA MACHO FEMEA 92X210CM G1-C1</t>
  </si>
  <si>
    <t>3.01.69</t>
  </si>
  <si>
    <t>PORTA DE MADEIRA MACHO-FEMEA 82X210CM G1-C1</t>
  </si>
  <si>
    <t>3.01.70</t>
  </si>
  <si>
    <t>PORTA DE MADEIRA MACHO FEMEA ADAPTADA 42X210CM G1-C1</t>
  </si>
  <si>
    <t>3.01.71</t>
  </si>
  <si>
    <t>PORTA DE MADEIRA MACHO FEMEA 62X210CM G1-C1</t>
  </si>
  <si>
    <t>3.01.72</t>
  </si>
  <si>
    <t>PORTA DE MADEIRA COMPENS.LISA P/PINT C/VISOR 82X210CM G1-C1</t>
  </si>
  <si>
    <t>3.01.73</t>
  </si>
  <si>
    <t>PORTA DE MADEIRA ALMOFADADA 82X210CM G1-C1</t>
  </si>
  <si>
    <t>3.01.79</t>
  </si>
  <si>
    <t>PORTA DE MADEIRA VENEZIANA 82X210CM G1-C1</t>
  </si>
  <si>
    <t>3.01.80</t>
  </si>
  <si>
    <t>FOLHA PORTA DE MADEIRA LISA P/ARMARIO 22MM G1-C1</t>
  </si>
  <si>
    <t>3.02.05</t>
  </si>
  <si>
    <t>PORTA SARRAFEADA MACIÇA 111X211CM DE CORRER G1-C1</t>
  </si>
  <si>
    <t>3.02.06</t>
  </si>
  <si>
    <t>PORTA SARRAFEADA MACIÇA P/ BOX 62X150CM G1-C1</t>
  </si>
  <si>
    <t>3.02.07</t>
  </si>
  <si>
    <t>PORTA SARRAFEADA MACIÇA P/ BOX 92X150CM G1-C1</t>
  </si>
  <si>
    <t>3.02.10</t>
  </si>
  <si>
    <t>PORTA LISA SARRAFEADA MACIÇA P/PINTURA 92X210CM G1-C1</t>
  </si>
  <si>
    <t>3.02.17</t>
  </si>
  <si>
    <t>PORTA DE MADEIRA COMPENS.LISA P/ VERNIZ 82X210CM G1-C1</t>
  </si>
  <si>
    <t>3.02.18</t>
  </si>
  <si>
    <t>PORTA DE MADEIRA COMPENS. LISA P/ VERNIZ 92X210CM G1-C1</t>
  </si>
  <si>
    <t>3.02.19</t>
  </si>
  <si>
    <t>PORTA DE MADEIRA COMPENS.LISA P/ VERNIZ 72X210CM G1-C1</t>
  </si>
  <si>
    <t>3.02.20</t>
  </si>
  <si>
    <t>PORTA SARRAFEADA MACIÇA 101X211CM CORRER G1-C1</t>
  </si>
  <si>
    <t>3.02.21</t>
  </si>
  <si>
    <t>PORTA SARRAFEADA MACIÇA P/ BOX 82X150CM G1-C1</t>
  </si>
  <si>
    <t>3.02.22</t>
  </si>
  <si>
    <t>PORTA SARRAF.SEMI OCA LISA P/ PINTURA 72X210CM G1-C1</t>
  </si>
  <si>
    <t>3.02.23</t>
  </si>
  <si>
    <t>PORTA SARRAF.SEMI OCA LISA P/ PINTURA 82X210CM G1-C1</t>
  </si>
  <si>
    <t>3.02.24</t>
  </si>
  <si>
    <t>PORTA SARRAF.SEMI OCA LISA P/ PINTURA 92X210CM G1-C1</t>
  </si>
  <si>
    <t>3.02.25</t>
  </si>
  <si>
    <t>PORTA SARRAFEADA MACIÇA 121X210CM CORRER G1-C1</t>
  </si>
  <si>
    <t>3.03.08</t>
  </si>
  <si>
    <t>BANDEIRA P/ PORTA SARRAF.SEMI OCA LISA P/ PINTURA G1-C1</t>
  </si>
  <si>
    <t>3.03.09</t>
  </si>
  <si>
    <t>BANDEIRA P/ PORTA MACHO-FEMEA G1-C1</t>
  </si>
  <si>
    <t>3.03.38</t>
  </si>
  <si>
    <t>PORTA DE MADEIRA VENEZIANA P/ PIA G1-C1</t>
  </si>
  <si>
    <t>3.10.03</t>
  </si>
  <si>
    <t>PF-26 PORTA DE FERRO P/HALL ELEVADOR L=90CM C/BATENTE</t>
  </si>
  <si>
    <t>3.10.04</t>
  </si>
  <si>
    <t>BA-13 PORTA BASCULANTE 150X150CM ACIONAMENTO MANUAL</t>
  </si>
  <si>
    <t>3.10.17</t>
  </si>
  <si>
    <t>PF-19 PORTA DE FERRO PARA RESERVATÓRIO-GALVANIZADA C/BATENTE</t>
  </si>
  <si>
    <t>3.10.23</t>
  </si>
  <si>
    <t>EF-24 ESQ. FERRO VENEZ. P/ ELEVADOR (0.80X0.40M)</t>
  </si>
  <si>
    <t>3.10.29</t>
  </si>
  <si>
    <t>TELA MOSQUITEIRA ARAMA GALV C/REQUADRO</t>
  </si>
  <si>
    <t>3.10.49</t>
  </si>
  <si>
    <t>AC-04/05 PORTA DE TELA C/TRINCO P/CAVALETE 65X85CM</t>
  </si>
  <si>
    <t>3.10.50</t>
  </si>
  <si>
    <t>AC-08 PORTA DE TELA C/TRINCO P/CAVALETE 2"</t>
  </si>
  <si>
    <t>3.10.54</t>
  </si>
  <si>
    <t>BATENTE DE ALUMINIO P/ DIVISORIA GRANILITE</t>
  </si>
  <si>
    <t>3.10.55</t>
  </si>
  <si>
    <t>FIXACAO (FERRO TRABALHADO)</t>
  </si>
  <si>
    <t>3.10.65</t>
  </si>
  <si>
    <t>SUPORTE METÁLICO (PERFIL LAMINADO TRABALHADO)</t>
  </si>
  <si>
    <t>3.10.68</t>
  </si>
  <si>
    <t>PF-20 PORTA DE FERRO COM BANDEIRA L=180CM</t>
  </si>
  <si>
    <t>3.10.70</t>
  </si>
  <si>
    <t>EF-14 ESQUADRIA DE FERRO 180X90CM</t>
  </si>
  <si>
    <t>3.10.71</t>
  </si>
  <si>
    <t>EF-13 ESQUADRIA DE FERRO 90X90CM</t>
  </si>
  <si>
    <t>3.10.73</t>
  </si>
  <si>
    <t>BA-12 PORTA FERRO BASC.ACION.MANUAL (2.10X1.50)</t>
  </si>
  <si>
    <t>3.10.75</t>
  </si>
  <si>
    <t>BA-10 PORTA BASCULANTE ACION.MANUAL (3.50X1.50)</t>
  </si>
  <si>
    <t>3.10.76</t>
  </si>
  <si>
    <t>BA-11 PORTA DE FERRO (0.70X1.50)</t>
  </si>
  <si>
    <t>3.10.81</t>
  </si>
  <si>
    <t>GR-02 GRADIL DE PROTECAO/GUICHE 122X105 CM</t>
  </si>
  <si>
    <t>3.10.83</t>
  </si>
  <si>
    <t>EF-22 ESQUADRIA DE FERRO C/BASCULANTE L=90CM</t>
  </si>
  <si>
    <t>3.10.84</t>
  </si>
  <si>
    <t>EF-23 ESQUADRIA DE FERRO C/BASCULANTE L=180CM</t>
  </si>
  <si>
    <t>3.10.88</t>
  </si>
  <si>
    <t>EF-16 ESQUADRIA DE FERRO FIXA L=90CM</t>
  </si>
  <si>
    <t>3.10.89</t>
  </si>
  <si>
    <t>EF-17 ESQUADRIA DE FERRO FIXA L=180CM</t>
  </si>
  <si>
    <t>3.10.91</t>
  </si>
  <si>
    <t>MONTANTE P/GRADIL ELETROFUNDIDO H=2114MM GALV. COM PINTURA ELETROSTATICA</t>
  </si>
  <si>
    <t>3.10.92</t>
  </si>
  <si>
    <t>VENEZIANA IND.ALETAS PVC MONT ACO GALV (REF 100)</t>
  </si>
  <si>
    <t>3.10.93</t>
  </si>
  <si>
    <t>VENEZIANA IND.ALETAS FIBRA VIDRO MONT GALV REF 100</t>
  </si>
  <si>
    <t>3.10.94</t>
  </si>
  <si>
    <t>VENEZIANA IND.ALETAS PVC MONT ACO PRE-PINT REF 100</t>
  </si>
  <si>
    <t>3.10.95</t>
  </si>
  <si>
    <t>VENEZIANA IND.ALETAS FIBRA VIDRO MONT ACO PRE R100</t>
  </si>
  <si>
    <t>3.10.96</t>
  </si>
  <si>
    <t>VENEZIANA IND.ALETAS PVC MONT ALUM ANOD (REF 100)</t>
  </si>
  <si>
    <t>3.10.97</t>
  </si>
  <si>
    <t>VENEZIANA IND.ALETAS FIBRA VIDRO MONT ALUM REF 100</t>
  </si>
  <si>
    <t>3.10.98</t>
  </si>
  <si>
    <t>VENEZIANA IND.ALETAS PVC MONT ACO GALV(REF 50)</t>
  </si>
  <si>
    <t>3.10.99</t>
  </si>
  <si>
    <t>VENEZIANA IND.ALETAS PVC MONT ALUM ANOD (REF 50)</t>
  </si>
  <si>
    <t>3.11.01</t>
  </si>
  <si>
    <t>AL-01/AL-02 PORTAO C/ CHAPA PERFURADA GALV 1.20 X 2.40M</t>
  </si>
  <si>
    <t>3.11.04</t>
  </si>
  <si>
    <t>PF-22 PORTA DE FERRO C/ BANDEIRA. CH PERF L=82CM C/BATENTE</t>
  </si>
  <si>
    <t>3.11.05</t>
  </si>
  <si>
    <t>PF-21 PORTA DE FERRO C/ BAND. CHAPA PERF. L=102CM C/BATENTE</t>
  </si>
  <si>
    <t>3.11.06</t>
  </si>
  <si>
    <t>PF-23 PORTA DE FERRO C/ BAND. CHAPA PERF. L=140CM C/BATENTE</t>
  </si>
  <si>
    <t>3.11.07</t>
  </si>
  <si>
    <t>PORTA PF-B ADAPTADA MODELO PF-23 DUAS FOLHAS L=300CM</t>
  </si>
  <si>
    <t>3.11.08</t>
  </si>
  <si>
    <t>PORTA CORRER QUATRO FOLHAS PF-D ADAPTADA MODELO PF-11</t>
  </si>
  <si>
    <t>3.11.09</t>
  </si>
  <si>
    <t>PF-A PORTA/JANELA DE FERRO ADAPTADA DA PF11</t>
  </si>
  <si>
    <t>3.11.12</t>
  </si>
  <si>
    <t>CAIXILHO CORRER 068084</t>
  </si>
  <si>
    <t>3.11.17</t>
  </si>
  <si>
    <t>FOLHA P/CAIXILHO 068086</t>
  </si>
  <si>
    <t>3.11.19</t>
  </si>
  <si>
    <t>(EA-14) JANELA DE ALUMINIO</t>
  </si>
  <si>
    <t>3.11.20</t>
  </si>
  <si>
    <t>(EA-15) JANELA DE ALUMINIO</t>
  </si>
  <si>
    <t>3.11.21</t>
  </si>
  <si>
    <t>(EA-13) JANELA DE ALUMINIO</t>
  </si>
  <si>
    <t>3.11.22</t>
  </si>
  <si>
    <t>EA-16 JANELA DE ALUMINIO 0.90X0.90M</t>
  </si>
  <si>
    <t>3.11.23</t>
  </si>
  <si>
    <t>EA-17 JANELA DE ALUMINIO 1.80X0.90M</t>
  </si>
  <si>
    <t>3.11.40</t>
  </si>
  <si>
    <t>AG-07 PORTA EM CHAPA 16 60x60CM COM ALETA DE VENTILACAO</t>
  </si>
  <si>
    <t>3.11.42</t>
  </si>
  <si>
    <t>AG-04 PORTAO TELA 1.50X1.50 M MALHA 2" FIO 10</t>
  </si>
  <si>
    <t>3.11.43</t>
  </si>
  <si>
    <t>AG-05 PORTAO TELA 1.50X2.30 M MALHA 2" FIO 10</t>
  </si>
  <si>
    <t>3.11.44</t>
  </si>
  <si>
    <t>AG-06 PORTAO TELA 1.50X3.10 M MALHA 2" FIO 10</t>
  </si>
  <si>
    <t>3.11.52</t>
  </si>
  <si>
    <t>AG-08 PORTINHOLA CHAPA ACO COMPLETA</t>
  </si>
  <si>
    <t>3.11.53</t>
  </si>
  <si>
    <t>CAIXILHO ALUMINIO BASCULANTES</t>
  </si>
  <si>
    <t>3.11.55</t>
  </si>
  <si>
    <t>CAIXILHO ALUMINIO FIXO</t>
  </si>
  <si>
    <t>3.11.56</t>
  </si>
  <si>
    <t>CAIXILHO ALUMINIO TIPO MAXIMAR</t>
  </si>
  <si>
    <t>3.11.85</t>
  </si>
  <si>
    <t>TUBO AÇO GALVANIZADO 50MMX50MMX1,9MM</t>
  </si>
  <si>
    <t>3.11.88</t>
  </si>
  <si>
    <t>TUBO DE ACO 100X100X3 MM</t>
  </si>
  <si>
    <t>3.11.91</t>
  </si>
  <si>
    <t>CAIXILHARIA EM ALUMINIO</t>
  </si>
  <si>
    <t>3.11.93</t>
  </si>
  <si>
    <t>AI-01 PORTINHOLA EM CHAPA COMPLETA</t>
  </si>
  <si>
    <t>3.11.94</t>
  </si>
  <si>
    <t>AF-01 ALCAPAO P/LAJE E FORRO 60X60 COMPLETO</t>
  </si>
  <si>
    <t>3.11.97</t>
  </si>
  <si>
    <t>TUBO DE ACO GALVANIZADO RETANGULAR 50X70X3MM</t>
  </si>
  <si>
    <t>3.12.06</t>
  </si>
  <si>
    <t>PF-32 PORTA EM CHAPA DE AÇO 82X210CM GALV. C/BATENTE</t>
  </si>
  <si>
    <t>3.12.07</t>
  </si>
  <si>
    <t>PF-33 PORTA DE FERRO 180X215CM C/BATENTE</t>
  </si>
  <si>
    <t>3.12.08</t>
  </si>
  <si>
    <t>PF-27 PORTA DE FERRO 90X215CM C/BATENTE</t>
  </si>
  <si>
    <t>3.12.11</t>
  </si>
  <si>
    <t>EF-04 ESQUADRIA DE FERRO 180X60CM</t>
  </si>
  <si>
    <t>3.12.12</t>
  </si>
  <si>
    <t>EF-05 ESQUADRIA DE FERRO 180X120CM</t>
  </si>
  <si>
    <t>3.12.13</t>
  </si>
  <si>
    <t>EF-06 ESQUADRIA DE FERRO180X150CM</t>
  </si>
  <si>
    <t>3.12.15</t>
  </si>
  <si>
    <t>GRADIL DE FERRO (TIPO PMSP)</t>
  </si>
  <si>
    <t>3.12.17</t>
  </si>
  <si>
    <t>ESQUADRIA DE FERRO (TIPO CONESP)</t>
  </si>
  <si>
    <t>3.12.18</t>
  </si>
  <si>
    <t>EF-01 ESQUADRIA DE FERRO 90X60CM</t>
  </si>
  <si>
    <t>3.12.19</t>
  </si>
  <si>
    <t>EF-02 ESQUADRIA DE FERRO 90X120CM</t>
  </si>
  <si>
    <t>3.12.20</t>
  </si>
  <si>
    <t>EF-20 ESQUADRIA DE FERRO 180X180CM</t>
  </si>
  <si>
    <t>3.12.25</t>
  </si>
  <si>
    <t>PORTA DE TELA PT-06</t>
  </si>
  <si>
    <t>3.12.26</t>
  </si>
  <si>
    <t>PF-28 PORTA DE FERRO C/BANDEIRA 90X260CM C/BATENTE</t>
  </si>
  <si>
    <t>3.12.27</t>
  </si>
  <si>
    <t>EF-21 ESQUADRIA DE FERRO 180X210CM</t>
  </si>
  <si>
    <t>3.12.30</t>
  </si>
  <si>
    <t>PF-29 PORTA FERRO C/BANDEIRA CHAPA PERF 90X260CM C/BATENTE</t>
  </si>
  <si>
    <t>3.12.31</t>
  </si>
  <si>
    <t>PF-11 PORTA/JANELA DE FERRO 180X260CM C/BATENTE</t>
  </si>
  <si>
    <t>3.12.33</t>
  </si>
  <si>
    <t>PORTA DE TELA PT-05</t>
  </si>
  <si>
    <t>3.12.37</t>
  </si>
  <si>
    <t>PORTA DE ENROLAR DE AÇO ARTICULADA</t>
  </si>
  <si>
    <t>3.12.38</t>
  </si>
  <si>
    <t>PORTA GIZ DE MADEIRA ENCERADA G1-C4</t>
  </si>
  <si>
    <t>3.12.39</t>
  </si>
  <si>
    <t>EF-28 ESQUADRIA DE FERRO 90X180CM</t>
  </si>
  <si>
    <t>3.12.44</t>
  </si>
  <si>
    <t>CAIXILHO DE FERRO BASCULANTE (TIPO EF-06)</t>
  </si>
  <si>
    <t>3.12.46</t>
  </si>
  <si>
    <t>CAIXILHO DE FERRO FIXO C/VENT PERMANENTE (TIPO EF-19)</t>
  </si>
  <si>
    <t>3.12.50</t>
  </si>
  <si>
    <t>EF-29 ESQUADRIA DE FERRO 90X210CM</t>
  </si>
  <si>
    <t>3.12.51</t>
  </si>
  <si>
    <t>PT-43 PORTAO CORRER EM GRADIL ELETROF (360X230CM)</t>
  </si>
  <si>
    <t>3.12.52</t>
  </si>
  <si>
    <t>PT-44 PORTAO CORRER EM GRADIL ELETROF (720X230CM)</t>
  </si>
  <si>
    <t>3.12.53</t>
  </si>
  <si>
    <t>PT-45 PORTAO CORRER EM GRADIL ELETROF (372X230CM)</t>
  </si>
  <si>
    <t>3.12.54</t>
  </si>
  <si>
    <t>PT-46 PORTAO CORRER EM GRADIL ELETROF (732X230CM)</t>
  </si>
  <si>
    <t>3.12.55</t>
  </si>
  <si>
    <t>PT-47 PORTAO BASCULANTE-GRADIL ELETROF 705X230CM</t>
  </si>
  <si>
    <t>3.12.56</t>
  </si>
  <si>
    <t>PT-48 PORTAO BASCULANTE-GRADIL ELETROF 525X230CM</t>
  </si>
  <si>
    <t>3.12.57</t>
  </si>
  <si>
    <t>PT-49 PORTAO BASCULANTE-GRADIL ELETROF 345X230CM</t>
  </si>
  <si>
    <t>3.12.60</t>
  </si>
  <si>
    <t>EF-30 ESQUADRIA DE FERRO PARA DUTO DE CAPELA</t>
  </si>
  <si>
    <t>3.12.61</t>
  </si>
  <si>
    <t>EF-25 ESQ FERRO /VENTILACAO CRUZADA (H=60 A 80CM)</t>
  </si>
  <si>
    <t>3.12.62</t>
  </si>
  <si>
    <t>EF-26 ESQ FERRO / VENTILACAO CRUZADA (180X65CM)</t>
  </si>
  <si>
    <t>3.12.63</t>
  </si>
  <si>
    <t>EF-27 ESQ FERRO / VENTILACAO CRUZADA (180X75CM)</t>
  </si>
  <si>
    <t>3.12.64</t>
  </si>
  <si>
    <t>EF-31 ESQUADRIA DE FERRO VENTILAÇÃO CRUZADA 90X65CM</t>
  </si>
  <si>
    <t>3.12.65</t>
  </si>
  <si>
    <t>EF-32 ESQUADRIA DE FERRO VENTILAÇÃO CRUZADA 90X75CM</t>
  </si>
  <si>
    <t>3.12.98</t>
  </si>
  <si>
    <t>PF-C PORTA CAIXILHO DE FERRO 93X215CM ADAPTADA DA PF-27</t>
  </si>
  <si>
    <t>3.12.99</t>
  </si>
  <si>
    <t>OLEO LUBRIFICANTE</t>
  </si>
  <si>
    <t>3.13.02</t>
  </si>
  <si>
    <t>PORTA CORTA-FOGO CLASSE P90 L=90CM</t>
  </si>
  <si>
    <t>3.13.03</t>
  </si>
  <si>
    <t>PF-16 / PORTA EM CHAPA DE FERRO - L=92 CM C/BATENTE</t>
  </si>
  <si>
    <t>3.13.04</t>
  </si>
  <si>
    <t>PF-17 / PORTA EM CHAPA DE FERRO L=102 CM C/BATENTE</t>
  </si>
  <si>
    <t>3.13.05</t>
  </si>
  <si>
    <t>BARRA DE INOX ESCOVADO (D=7/8" OU 1") C=450MM</t>
  </si>
  <si>
    <t>3.13.06</t>
  </si>
  <si>
    <t>FRISO PARA VEDAÇÃO EM ALUMÍNIO E BORRACHA</t>
  </si>
  <si>
    <t>3.13.12</t>
  </si>
  <si>
    <t>BATENTE METALICO EM PERFIL CHAPA 14 (1,9MM) ZINCADA</t>
  </si>
  <si>
    <t>3.13.34</t>
  </si>
  <si>
    <t>EA-18 / JANELA DE ALUMINIO VENTILACAO CRUZADA</t>
  </si>
  <si>
    <t>3.13.39</t>
  </si>
  <si>
    <t>VA-01 VARAL TOALHEIRO</t>
  </si>
  <si>
    <t>3.13.43</t>
  </si>
  <si>
    <t>MONTANTE P/GRADIL ELETROFUNDIDO H=1718MM GALV. COM PINTURA ELETROSTATICA</t>
  </si>
  <si>
    <t>3.13.44</t>
  </si>
  <si>
    <t>GRADIL ELETROFUNDIDO H=1322MM C=2170MM GALV. COM PINTURA ELETROSTATICA</t>
  </si>
  <si>
    <t>3.13.46</t>
  </si>
  <si>
    <t>GRADIL ELETROFUNDIDO H=2114MM C=1650MM GALV. COM PINTURA ELETROSTATICA</t>
  </si>
  <si>
    <t>3.13.47</t>
  </si>
  <si>
    <t>BARRA INOX ESCOVADO D=7/8" OU 1" C=300MM</t>
  </si>
  <si>
    <t>3.13.48</t>
  </si>
  <si>
    <t>BARRA DE APOIO P/ LAV BANCADA INOX ESCOVADO D=30/35MM C/FLANGE</t>
  </si>
  <si>
    <t>3.13.53</t>
  </si>
  <si>
    <t>PF-15 / PORTA EM CHAPA DE FERRO - L=82 CM C/BATENTE</t>
  </si>
  <si>
    <t>3.13.55</t>
  </si>
  <si>
    <t>EF-03 ESQUADRIA DE FERRO 90X150CM</t>
  </si>
  <si>
    <t>3.13.59</t>
  </si>
  <si>
    <t>EV-01 / ESQUADRIA VENEZIANA DE ACO (1.20X2.00M)</t>
  </si>
  <si>
    <t>3.13.60</t>
  </si>
  <si>
    <t>EF-15 ESQUADRIA DE FERRO / VENT. CRUZ. L=180CM</t>
  </si>
  <si>
    <t>3.13.67</t>
  </si>
  <si>
    <t>EF-18 ESQUADRIA DE FERRO / VENT. PERM. 90X60CM</t>
  </si>
  <si>
    <t>3.13.68</t>
  </si>
  <si>
    <t>EF-19 ESQUADRIA DE FERRO / VENT. PERM. 180X60CM</t>
  </si>
  <si>
    <t>3.13.69</t>
  </si>
  <si>
    <t>PT-50 PORTÃO DE TELA P/SETORIZAÇÃO (1.00X2.00)M-GALVANIZADO</t>
  </si>
  <si>
    <t>3.13.70</t>
  </si>
  <si>
    <t>PT-40 BANDEIRA EM GRADIL ELETROFUNDIDO</t>
  </si>
  <si>
    <t>3.13.71</t>
  </si>
  <si>
    <t>PT-41 PORTAO EM CHAPA DE ACO (300X235CM)-GALVANIZADO</t>
  </si>
  <si>
    <t>3.13.72</t>
  </si>
  <si>
    <t>PT-42 PORTAO EM CHAPA DE ACO (180X235CM)-GALVANIZADO</t>
  </si>
  <si>
    <t>3.13.74</t>
  </si>
  <si>
    <t>EM-06 ESCADA MARINHEIRO GALVANIZADO</t>
  </si>
  <si>
    <t>3.13.75</t>
  </si>
  <si>
    <t>EM-05 ESCADA MARINHEIRO GALVANIZADA</t>
  </si>
  <si>
    <t>3.13.76</t>
  </si>
  <si>
    <t>PT-38 PORTAO EM GRADIL ELETROFUNDIDO (345X230CM)</t>
  </si>
  <si>
    <t>3.13.77</t>
  </si>
  <si>
    <t>PT-39 PORTAO EM GRADIL ELETROFUNDIDO (165X230CM)</t>
  </si>
  <si>
    <t>3.13.80</t>
  </si>
  <si>
    <t>PT30/PT34-PORTAO GRADIL ELETROFUNDIDO (300X185CM)</t>
  </si>
  <si>
    <t>3.13.81</t>
  </si>
  <si>
    <t>PT31/PT35-PORTAO GRADIL ELETROFUNDIDO (300X235CM)</t>
  </si>
  <si>
    <t>3.13.82</t>
  </si>
  <si>
    <t>PT32/PT36-PORTAO GRADIL ELETROFUNDIDO (180X185CM)</t>
  </si>
  <si>
    <t>3.13.83</t>
  </si>
  <si>
    <t>PT33/PT37-PORTAO GRADIL ELETROFUNDIDO (180X235CM)</t>
  </si>
  <si>
    <t>3.13.89</t>
  </si>
  <si>
    <t>TI-01 TAMPA DE INSPECAO - GALVANIZADA</t>
  </si>
  <si>
    <t>3.13.91</t>
  </si>
  <si>
    <t>PT-29 PORTAO DE TELA PARA QUADRA-GALVANIZADO</t>
  </si>
  <si>
    <t>3.14.01</t>
  </si>
  <si>
    <t>BARRA APOIO 70CM AÇO INOX ESCOVADO D=30/35MM C/FLANGE</t>
  </si>
  <si>
    <t>3.14.02</t>
  </si>
  <si>
    <t>BARRA APOIO ANGULAR 70X70CM AÇO INOX ESCOVADO D=30/35MM C/FLANGE</t>
  </si>
  <si>
    <t>3.14.03</t>
  </si>
  <si>
    <t>BARRA DE APOIO INOX ESCOVADO D=30/35MM C/ FLANGE C=800MM</t>
  </si>
  <si>
    <t>3.14.04</t>
  </si>
  <si>
    <t>BARRA DE APOIO P/LAVAT INOX ESCOVADO D=30/35MM C/FLANGE</t>
  </si>
  <si>
    <t>3.14.05</t>
  </si>
  <si>
    <t>PF-30 PORTA EM CHAPA DE AÇO C/VENT.PERM.(L=140CM) - GALVANIZADA C/BATENTE</t>
  </si>
  <si>
    <t>3.14.07</t>
  </si>
  <si>
    <t>GRADIL ELETROFUNDIDO H=1322MM C=2170MM GALV. COM PINT ELETROSTATICA</t>
  </si>
  <si>
    <t>3.14.08</t>
  </si>
  <si>
    <t>EM-07 ESCADA MARINHEIRO GALVANIZADA ACESSO POÇO ELEVADOR</t>
  </si>
  <si>
    <t>3.14.09</t>
  </si>
  <si>
    <t>BARRA DE APOIO P/ LAVATORIO INOX ESCOVADO D=30/35MM C=300MM C/ FLANGE</t>
  </si>
  <si>
    <t>3.14.10</t>
  </si>
  <si>
    <t>BARRA DE APOIO P/ LAVATORIO INOX ESCOVADO D=30/35MM C=400MM C/ FLANGE</t>
  </si>
  <si>
    <t>3.14.21</t>
  </si>
  <si>
    <t>BANCO ARTICULADO 70X45CM ALUMINIO CANTO ARREDONDADO PINTURA EPOXI BRANCA</t>
  </si>
  <si>
    <t>3.14.22</t>
  </si>
  <si>
    <t>BANCO DE CONCRETO PRE-FABRICADO L=115CM (BMR115)</t>
  </si>
  <si>
    <t>3.14.23</t>
  </si>
  <si>
    <t>BANCO DE CONCRETO PRE-FABRICADO L=216CM (BMR216)</t>
  </si>
  <si>
    <t>3.14.24</t>
  </si>
  <si>
    <t>BANCO DE CONCRETO PRE-FABRICADO Ø 60 CM PUFE60</t>
  </si>
  <si>
    <t>3.14.25</t>
  </si>
  <si>
    <t>FLOREIRA DE CONCRETO PRE-FABRICADO Ø 60 CM FR6040</t>
  </si>
  <si>
    <t>3.14.26</t>
  </si>
  <si>
    <t>BANCO DE CONCRETO PRE-FABRICADO (L=220CM) METALCO SARAH</t>
  </si>
  <si>
    <t>3.14.27</t>
  </si>
  <si>
    <t>FLOREIRA PRE FABRICADO DE CONCRETO Ø 56,50CM H=42,90CM METALCO CLASSICA 570</t>
  </si>
  <si>
    <t>3.14.28</t>
  </si>
  <si>
    <t>OBSTACULO PRE FABRICADO DE CONCRETO TIPO FRADE Ø30 H=60CM NEOREX FR3060</t>
  </si>
  <si>
    <t>3.14.30</t>
  </si>
  <si>
    <t>OBSTACULO PRE FABRICADO DE CONCRETO TIPO PRISMA 15X50X10CM NEOREX PBR50</t>
  </si>
  <si>
    <t>3.14.31</t>
  </si>
  <si>
    <t>OBSTACULO PRE FABRICADO DE CONCRETO TIPO BOLA Ø35CM H=33CM METALCO TIPO BOLA</t>
  </si>
  <si>
    <t>3.14.51</t>
  </si>
  <si>
    <t>BL-01 BICICLETÁRIO - PARAFUSADO</t>
  </si>
  <si>
    <t>3.14.52</t>
  </si>
  <si>
    <t>BL-02 BICICLETÁRIO - CHUMBADO</t>
  </si>
  <si>
    <t>3.15.11</t>
  </si>
  <si>
    <t>MOLA HIDRAULICA AEREA ( REF. DORMA TS68)</t>
  </si>
  <si>
    <t>3.15.16</t>
  </si>
  <si>
    <t>MACANETA ALAVANCA MACICA CROMADA BORDAS ARREDOND</t>
  </si>
  <si>
    <t>3.15.18</t>
  </si>
  <si>
    <t>TRILHO SUPERIOR (STANLEY) ALUMINIO 34X43MM PINT ELETROSTATICA</t>
  </si>
  <si>
    <t>3.15.19</t>
  </si>
  <si>
    <t>CONJUNTO RODIZIO FIXADOR SUSPENSAO PORTA AMORTECEDOR E PINO GUIA INFERIOR</t>
  </si>
  <si>
    <t>3.15.20</t>
  </si>
  <si>
    <t>FECHADURA LATAO CROMADO P/PORTA DE CORRER</t>
  </si>
  <si>
    <t>3.15.21</t>
  </si>
  <si>
    <t>CONCHA LATAO CROMADO C/FURO P/CHAVE</t>
  </si>
  <si>
    <t>3.15.22</t>
  </si>
  <si>
    <t xml:space="preserve">CO-27 CORRIMÃO DUPLO AÇO INOX FORNECIDO E INSTALADO </t>
  </si>
  <si>
    <t>3.15.23</t>
  </si>
  <si>
    <t xml:space="preserve">CO-28 CORRIMÃO DUPLO COM MONTANTE VERTICAL AÇO INOX FORNECIDO E INSTALADO </t>
  </si>
  <si>
    <t>3.15.24</t>
  </si>
  <si>
    <t xml:space="preserve">CO-29 CORRIMÃO DUPLO INTERMEDIÁRIO AÇO INOX FORNECIDO E INSTALADO </t>
  </si>
  <si>
    <t>3.15.25</t>
  </si>
  <si>
    <t>FECHADURA TETRA COMPLETA REDONDA CROMADA</t>
  </si>
  <si>
    <t>3.15.26</t>
  </si>
  <si>
    <t xml:space="preserve">CO-30 GUARDA-CORPO TUBULAR AÇO INOX FORNECIDO E INSTALADO </t>
  </si>
  <si>
    <t>3.15.27</t>
  </si>
  <si>
    <t>CO-31 CORRIMÃO SIMPLES AÇO INOX FORNECIDO E INSTALADO</t>
  </si>
  <si>
    <t>3.15.28</t>
  </si>
  <si>
    <t>CO-32 CORRIMÃO SIMPLES C/ MONTANTE VERTICAL AÇO INOX FORNECIDO E INSTALADO</t>
  </si>
  <si>
    <t>3.15.29</t>
  </si>
  <si>
    <t>CO-33 CORRIMÃO SIMPLES INTERMEDIÁRIO AÇO INOX FORNECIDO E INSTALADO</t>
  </si>
  <si>
    <t>3.15.30</t>
  </si>
  <si>
    <t>CO-34 CORRIMÃO DUPLO AÇO GALVANIZADO</t>
  </si>
  <si>
    <t>3.15.31</t>
  </si>
  <si>
    <t>CO-35 CORRIMÃO DUPLO COM MONTANTE VERTICAL AÇO GALVANIZADO</t>
  </si>
  <si>
    <t>3.15.32</t>
  </si>
  <si>
    <t>DOBRADICA 3 ESTAGIOS FERRO GALV DN 1"X4"</t>
  </si>
  <si>
    <t>3.15.33</t>
  </si>
  <si>
    <t>DOBRADICA ACO CROM. C/PINO BOLAS ACO 3 1/2X3"</t>
  </si>
  <si>
    <t>3.15.34</t>
  </si>
  <si>
    <t>TRILHO PARA JANELA DE CORRER</t>
  </si>
  <si>
    <t>3.15.35</t>
  </si>
  <si>
    <t>ROLDANA DUPLA DE FERRO RINCADO P/JANELA DE CORRER</t>
  </si>
  <si>
    <t>3.15.36</t>
  </si>
  <si>
    <t>TRILHO CANALETA DE ALUMINIO "U" DE 1/2"</t>
  </si>
  <si>
    <t>3.15.37</t>
  </si>
  <si>
    <t>PIVOT RETO DE LATAO DE 1/2"</t>
  </si>
  <si>
    <t>3.15.39</t>
  </si>
  <si>
    <t>CO-36 CORRIMÃO DUPLO INTERMEDIÁRIO AÇO GALVANIZADO</t>
  </si>
  <si>
    <t>3.15.41</t>
  </si>
  <si>
    <t>TRILHO CHAPA 50X60X1.9MM GALV.P/PORTA CORRER</t>
  </si>
  <si>
    <t>3.15.43</t>
  </si>
  <si>
    <t>TRILHO GALVAN. INFERIOR DESLIZE DE PORTA CORRER</t>
  </si>
  <si>
    <t>3.15.44</t>
  </si>
  <si>
    <t>SUPORTE PINT ELETROSTATICA AFASTADOR E FIXADOR DO TRILHO SUPERIOR</t>
  </si>
  <si>
    <t>3.15.45</t>
  </si>
  <si>
    <t>BP-01 BARRA ANTIPANICO SIMPLES</t>
  </si>
  <si>
    <t>3.15.46</t>
  </si>
  <si>
    <t>BP-02 BARRA ANTIPANICO DUPLO</t>
  </si>
  <si>
    <t>3.15.47</t>
  </si>
  <si>
    <t>CO-37 CORRIMÃO SIMPLES AÇO GALVANIZADO</t>
  </si>
  <si>
    <t>3.15.48</t>
  </si>
  <si>
    <t>CO-38 CORRIMÃO SIMPLES COM MONTANTE VERTICAL AÇO GALVANIZADO</t>
  </si>
  <si>
    <t>3.15.50</t>
  </si>
  <si>
    <t>CO-39 CORRIMÃO SIMPLES INTERMEDIÁRIO AÇO GALVANIZADO</t>
  </si>
  <si>
    <t>3.15.52</t>
  </si>
  <si>
    <t>CO-40 GUARDA-CORPO TUBULAR SOBRE ALVENARIA AÇO GALVANIZADO</t>
  </si>
  <si>
    <t>3.15.53</t>
  </si>
  <si>
    <t>CO-41 GUARDA-CORPO COM CHAPA PERFURADA H=110CM AÇO GALVANIZADO</t>
  </si>
  <si>
    <t>3.15.54</t>
  </si>
  <si>
    <t>CO-42 GUARDA-CORPO COM CHAPA PERFURADA H=130CM AÇO GALVANIZADO</t>
  </si>
  <si>
    <t>3.15.55</t>
  </si>
  <si>
    <t>CO-43 GUARDA-CORPO COM GRADIL DE FECHAMENTO H=110CM AÇO GALVANIZADO</t>
  </si>
  <si>
    <t>3.15.56</t>
  </si>
  <si>
    <t>CO-44 GUARDA-CORPO COM GRADIL DE FECHAMENTO H=130CM AÇO GALVANIZADO</t>
  </si>
  <si>
    <t>3.15.57</t>
  </si>
  <si>
    <t>CO-45 GUARDA-CORPO TUBULAR COM GRADIL DE FECHAMENTO H=110CM AÇO GALVANIZADO</t>
  </si>
  <si>
    <t>3.15.58</t>
  </si>
  <si>
    <t>CO-46 GUARDA-CORPO TUBULAR COM GRADIL DE FECHAMENTO H=130CM AÇO GALVANIZADO</t>
  </si>
  <si>
    <t>3.15.59</t>
  </si>
  <si>
    <t>CO-47 GUARDA-CORPO TUBULAR H=20CM SOBRE ALVENARIA AÇO GALVANIZADO</t>
  </si>
  <si>
    <t>3.15.60</t>
  </si>
  <si>
    <t>REFORCO DE FECHADURA PARA PORTA (RP-02)</t>
  </si>
  <si>
    <t>3.15.61</t>
  </si>
  <si>
    <t>BATENTE ALUMINIO 38,1X76,2X1,58 MM PINT ELETROSTATICA</t>
  </si>
  <si>
    <t>3.15.64</t>
  </si>
  <si>
    <t>FECHADURA TIPO YALE/CROMADA PARA ARMARIO</t>
  </si>
  <si>
    <t>3.15.66</t>
  </si>
  <si>
    <t>ROLDANA CANAL V AÇO 1020 COM ROLAMENTO</t>
  </si>
  <si>
    <t>3.15.88</t>
  </si>
  <si>
    <t>FECHADURA DE SOBREPOR CILINDRICA PARA PORTOES</t>
  </si>
  <si>
    <t>3.15.96</t>
  </si>
  <si>
    <t>FE-01 GRADIL TIPO ALAMBRADO COMPLETO-GALVANIZADO</t>
  </si>
  <si>
    <t>3.15.97</t>
  </si>
  <si>
    <t>RODIZIO DE AÇO DUPLO DN 1 1/2" (JOCEC REF.71203)</t>
  </si>
  <si>
    <t>3.15.98</t>
  </si>
  <si>
    <t>ROLDANA EM ZAMACK E NYLON (RODIZIO NAPOLEAO) 6 MM</t>
  </si>
  <si>
    <t>3.16.01</t>
  </si>
  <si>
    <t>ALAVANCA ACO CARBONO ZINCADO E=3MM COMP 140/145MM</t>
  </si>
  <si>
    <t>3.16.05</t>
  </si>
  <si>
    <t>BRACO DE ALAVANCA ALUMINIO 3/4" X 1/4"</t>
  </si>
  <si>
    <t>3.16.06</t>
  </si>
  <si>
    <t>BRACO DE ALAVANCA - FERRO CHATO 5/8" X 3/16"</t>
  </si>
  <si>
    <t>3.16.12</t>
  </si>
  <si>
    <t>PORTA CADEADO 63 MM - ACO ZINCADO</t>
  </si>
  <si>
    <t>3.16.15</t>
  </si>
  <si>
    <t>PORTA CADEADO 114 MM - ACO ZINCADO</t>
  </si>
  <si>
    <t>3.16.16</t>
  </si>
  <si>
    <t>PORTA CADEADO 89 MM - ACO ZINCADO</t>
  </si>
  <si>
    <t>3.16.21</t>
  </si>
  <si>
    <t>CADEADO LATAO CIL. TRAVA DUPLA 30 MM</t>
  </si>
  <si>
    <t>3.16.30</t>
  </si>
  <si>
    <t>CREMONA C/VARETA DE FERRO P/PINTURA</t>
  </si>
  <si>
    <t>3.16.35</t>
  </si>
  <si>
    <t>CABIDE SIMPLES GANCHO GRANDE - ZAMACK</t>
  </si>
  <si>
    <t>3.16.44</t>
  </si>
  <si>
    <t>DOBRADICA DE ACO CROMADO C/ PINOS BOLAS 3"X2 1/2"</t>
  </si>
  <si>
    <t>3.16.45</t>
  </si>
  <si>
    <t>DOBRADIÇA PALMELA AÇO INOX 304 41/4" X 3 1/2" ESPESSURA 5MM</t>
  </si>
  <si>
    <t>3.16.52</t>
  </si>
  <si>
    <t>DOBRADICA DE FERRO POL PINO E BOLAS FERRO 3 1/2X3"</t>
  </si>
  <si>
    <t>3.16.71</t>
  </si>
  <si>
    <t>FECHADURA TIPO TUBULAR COMPLETA - 90 MM DIST.</t>
  </si>
  <si>
    <t>3.16.72</t>
  </si>
  <si>
    <t>FECHAD GORGES COMPL (FECHAD.ROSETA ENTRADA MACAN)</t>
  </si>
  <si>
    <t>3.16.80</t>
  </si>
  <si>
    <t>FECHADURA EXT.TIPO BICO PAPAGAIO C/ROSETA ACAB.CROMADO P/PORTA CORRER</t>
  </si>
  <si>
    <t>3.16.86</t>
  </si>
  <si>
    <t>FECHO UNHA (18A20CM) DE EMBUTIR ACO CROMADO</t>
  </si>
  <si>
    <t>3.16.88</t>
  </si>
  <si>
    <t>FECHO UNHA 10 CM DE EMBUTIR - AÇO CROMADO</t>
  </si>
  <si>
    <t>3.16.91</t>
  </si>
  <si>
    <t>FECHO DE FIO REDONDO 102MM (TIP PEDREZE)ACO ZINCADO</t>
  </si>
  <si>
    <t>3.16.94</t>
  </si>
  <si>
    <t>VARETA P/CREMONA</t>
  </si>
  <si>
    <t>3.17.11</t>
  </si>
  <si>
    <t>PUXADOR ENGATE ALUM 'BICO PAPAGAIO'</t>
  </si>
  <si>
    <t>3.17.15</t>
  </si>
  <si>
    <t>TARGETA DE SOBREPOR LIVRE-OCUP</t>
  </si>
  <si>
    <t>3.17.18</t>
  </si>
  <si>
    <t>TRILHO ALUMUMINIO - 6 MM</t>
  </si>
  <si>
    <t>3.17.19</t>
  </si>
  <si>
    <t>CADEADO LATAO CIL. TRAVA DUPLA 35 MM</t>
  </si>
  <si>
    <t>3.17.23</t>
  </si>
  <si>
    <t>CADEADO LATAO CIL. TRAVA DUPLA 25 MM</t>
  </si>
  <si>
    <t>3.17.27</t>
  </si>
  <si>
    <t>CADEADO LATAO CIL. TRAVA DUPLA 45 MM</t>
  </si>
  <si>
    <t>3.17.28</t>
  </si>
  <si>
    <t>CADEADO LATAO CIL. TRAVA DUPLA 50 MM</t>
  </si>
  <si>
    <t>3.17.47</t>
  </si>
  <si>
    <t>PUXADOR TIPO CONCHA 40 X 100 MM - LATAO LAMINADO</t>
  </si>
  <si>
    <t>3.17.49</t>
  </si>
  <si>
    <t>PUCHADOR DE CENTRO PARA JANELAS</t>
  </si>
  <si>
    <t>3.17.53</t>
  </si>
  <si>
    <t>CONJ. FECHADURA EXT. D=55MMM C/ MACANETA E ROSETA</t>
  </si>
  <si>
    <t>3.17.55</t>
  </si>
  <si>
    <t>CILINDRO DE FECHADURA CROMADA 27MMX50MM INCLUSIVE CHAVES</t>
  </si>
  <si>
    <t>3.17.56</t>
  </si>
  <si>
    <t>CONJ ROSETA CROMADA FECHADURA INTERNA E EXTERNA</t>
  </si>
  <si>
    <t>3.20.01</t>
  </si>
  <si>
    <t>AZULEJOS RETIFICADO LISO BRANCO BRILHANTE</t>
  </si>
  <si>
    <t>3.20.22</t>
  </si>
  <si>
    <t>PASTILHA NATURAL 2.5X2.5CM</t>
  </si>
  <si>
    <t>3.20.23</t>
  </si>
  <si>
    <t>PASTILHA NATURAL 5.0X5.0CM</t>
  </si>
  <si>
    <t>3.20.24</t>
  </si>
  <si>
    <t>PASTILHA ESMALTADA 2.5X 2.5 CM</t>
  </si>
  <si>
    <t>3.20.25</t>
  </si>
  <si>
    <t>PASTILHA ESMALTADA 4.0X 4.0 CM</t>
  </si>
  <si>
    <t>3.20.26</t>
  </si>
  <si>
    <t>PASTILHA ESMALTADA 5.0X 5.0 CM</t>
  </si>
  <si>
    <t>3.30.15</t>
  </si>
  <si>
    <t>FORN DE GRANILHA. APLIC. POLIM "IN-LOCO" ESP=8MM</t>
  </si>
  <si>
    <t>3.30.25</t>
  </si>
  <si>
    <t>CONCRETO CELULAR (CACOS)</t>
  </si>
  <si>
    <t>3.30.40</t>
  </si>
  <si>
    <t>AREIA QUARTZOSA FINA -(FILLER P/COMP.S)-O.BAUNGAR</t>
  </si>
  <si>
    <t>3.35.15</t>
  </si>
  <si>
    <t>CANTONEIRA DE ALUMINIO PARA REBOCO (CANTO REBOCO)</t>
  </si>
  <si>
    <t>3.35.62</t>
  </si>
  <si>
    <t>PLAQUETA LAMINADA PARA REVESTIMENTO</t>
  </si>
  <si>
    <t>3.40.02</t>
  </si>
  <si>
    <t>FORN INST FORRO PLACA MIN. NRC 0,55 GIORGIAN (625X625) INCL.PERFIS E CLIPES DE FIXAÇÃO</t>
  </si>
  <si>
    <t>3.40.05</t>
  </si>
  <si>
    <t>FORN INST FORRO PLACA MIN. NRC 0,65 SAHARA (625X625) INCL.PERFIS E CLIPES DE FIXAÇÃO</t>
  </si>
  <si>
    <t>3.40.06</t>
  </si>
  <si>
    <t>FORN INST FORRO PLACA MIN. NRC 0,70 CONSTELATION (625X625) INCL.PERFIS E CLIPES DE FIXAÇÃO</t>
  </si>
  <si>
    <t>3.40.07</t>
  </si>
  <si>
    <t>FORN INST FORRO PLACA MIN. NRC 0,70 MP COMPLETE (625X625) INCL.PERFIS E CLIPES DE FIXAÇÃO</t>
  </si>
  <si>
    <t>3.40.08</t>
  </si>
  <si>
    <t>FORN INST FORRO PLACA MIN. NRC 0,85 THERMOFON (625X625) INCL.PERFIS E CLIPES DE FIXAÇÃO</t>
  </si>
  <si>
    <t>3.40.09</t>
  </si>
  <si>
    <t>FORN INST FORRO ACUSTICO COR BRANCA TIPO NUVEM PLACA 60X60CM H=50MM INCLUSIVE ELEMENTOS DE FIXAÇÃO</t>
  </si>
  <si>
    <t>3.40.12</t>
  </si>
  <si>
    <t>TABUA 10X1CM MACHO-FEMEA P/FORRO G1-C4</t>
  </si>
  <si>
    <t>3.40.13</t>
  </si>
  <si>
    <t>FORN INST FORRO ACUSTICO COR BRANCA TIPO NUVEM PLACA 120X60CM H=50MM INCLUSIVE ELEMENTOS DE FIXAÇÃO</t>
  </si>
  <si>
    <t>3.40.15</t>
  </si>
  <si>
    <t>FORN INST FORRO PLACA MIN. NRC 0,75 TÔNICA (625X625) INCL.PERFIS E CLIPES DE FIXAÇÃO</t>
  </si>
  <si>
    <t>3.40.43</t>
  </si>
  <si>
    <t>FORRO LÂMINA PVC 200MM E = 7 OU 8MM</t>
  </si>
  <si>
    <t>3.40.44</t>
  </si>
  <si>
    <t>ARREMATES PARA FORRO DE LAMINAS DE PVC</t>
  </si>
  <si>
    <t>3.40.45</t>
  </si>
  <si>
    <t>ESTRUT.MET.TUBULAR 20X20 GALV.E=0,95MM MALHA 1,20X0,40M P/FORRO PVC</t>
  </si>
  <si>
    <t>3.40.50</t>
  </si>
  <si>
    <t>CHAPA MELAMÍNICO TEXTURIZADO LOUSA VERDE OFICIAL E=1MM</t>
  </si>
  <si>
    <t>3.40.51</t>
  </si>
  <si>
    <t>CHAPA LAMINADO GREENBOARD QUADRIC (5X5CM) E=1MM</t>
  </si>
  <si>
    <t>3.40.60</t>
  </si>
  <si>
    <t>FORRO GESSO ACARTONADO FORN COLOCADO INCL ESTRUTURA</t>
  </si>
  <si>
    <t>3.45.05</t>
  </si>
  <si>
    <t>PORCELANATO TECNICO GRUPO ABSORÇAO B1a</t>
  </si>
  <si>
    <t>3.45.13</t>
  </si>
  <si>
    <t>CERAMICA ESMALTADA LISA 20X20CM</t>
  </si>
  <si>
    <t>3.45.34</t>
  </si>
  <si>
    <t>CERAMICA ESMALTADA 10X10CM-AZUL.VERDE.PRETO</t>
  </si>
  <si>
    <t>3.45.35</t>
  </si>
  <si>
    <t>CERAMICA ESMALT.10X10CM-BRAN.AREIA.BEGE.OCRE.CINZA</t>
  </si>
  <si>
    <t>3.45.36</t>
  </si>
  <si>
    <t>CERAMICA ESMALTADA 10X10CM-LARANJA.VERMELHO.AMARELO</t>
  </si>
  <si>
    <t>3.45.46</t>
  </si>
  <si>
    <t>PORCELANATO TÉCNICO 25X25CM E=10 A 15 MM PISO TATIL ALERTA.</t>
  </si>
  <si>
    <t>3.45.48</t>
  </si>
  <si>
    <t>PORCELANATO TÉCNICO 25X25CM E=10 A 15 MM PISO TATIL DIRECIONAL</t>
  </si>
  <si>
    <t>3.45.62</t>
  </si>
  <si>
    <t>PORCELANATO ESMALTADO</t>
  </si>
  <si>
    <t>3.45.65</t>
  </si>
  <si>
    <t>CER ESM ANT.DERRAPANTE PEI4/PEI5 COEF.ATRITO MÍNIMO 0,40</t>
  </si>
  <si>
    <t>3.50.02</t>
  </si>
  <si>
    <t>PEDRA ARDOSIA 40X40CM E=7A10MM</t>
  </si>
  <si>
    <t>3.50.31</t>
  </si>
  <si>
    <t>DEGRAU GRANILITE APLICADO (MOLD LOCAL)</t>
  </si>
  <si>
    <t>3.50.36</t>
  </si>
  <si>
    <t>GRANITO CINZA ANDORINHA E=2CM C/ RECORTE P/ CUBA</t>
  </si>
  <si>
    <t>3.50.38</t>
  </si>
  <si>
    <t>GRANITO CINZA ANDORINHA E=3CM</t>
  </si>
  <si>
    <t>3.50.39</t>
  </si>
  <si>
    <t>GRANITO CINZA ANDORINHA E=2CM</t>
  </si>
  <si>
    <t>3.50.45</t>
  </si>
  <si>
    <t>PEDRA MIRACEMA 23X11.5CM</t>
  </si>
  <si>
    <t>3.50.55</t>
  </si>
  <si>
    <t>PEDRA EM MOSAICO PORTUGUES 2 CORES</t>
  </si>
  <si>
    <t>3.50.90</t>
  </si>
  <si>
    <t>GRANITO LEVIGADO 3,5X2,0 CM (BAGUETE)</t>
  </si>
  <si>
    <t>3.50.91</t>
  </si>
  <si>
    <t>GRANITO CINZA ANDORINHA LEVIGADO (E=2CM)</t>
  </si>
  <si>
    <t>3.55.01</t>
  </si>
  <si>
    <t>TABUA 10X2CM MACHO-FEMEA P/ASSOALHO G1-C6</t>
  </si>
  <si>
    <t>3.55.03</t>
  </si>
  <si>
    <t>TABUA 20X2CM MACHO-FEMEA P/ASSOALHO G1-C6</t>
  </si>
  <si>
    <t>3.55.06</t>
  </si>
  <si>
    <t>TACO 10X40X2CM PARA COLA G1-C6</t>
  </si>
  <si>
    <t>3.55.08</t>
  </si>
  <si>
    <t>PISO VINÍLICO 2MM - PLACAS FORNECIDO E COLOCADO</t>
  </si>
  <si>
    <t>3.55.10</t>
  </si>
  <si>
    <t>MANTA VINILICA L= 2,00M H=2MM INCLUSO RODAPÉ CURVO 10CM FORNECIDO E INSTALADO</t>
  </si>
  <si>
    <t>3.55.14</t>
  </si>
  <si>
    <t>RESINA EPOXICA (COMPOUND S ) O. BOUMGART</t>
  </si>
  <si>
    <t>3.55.17</t>
  </si>
  <si>
    <t>MANTA VINILICA L= 2,00M E=2MM INCLUSO RODAPÉ CURVO 5CM FORNECIDO E INSTALADO</t>
  </si>
  <si>
    <t>m2</t>
  </si>
  <si>
    <t>3.55.18</t>
  </si>
  <si>
    <t>DEGRAU BORRACHA SINTETICA INCL TESTEIRA</t>
  </si>
  <si>
    <t>3.55.19</t>
  </si>
  <si>
    <t>PISO VINILICO (COLOCADO) 3.2MM</t>
  </si>
  <si>
    <t>3.55.30</t>
  </si>
  <si>
    <t>DEGRAU GRANILITE FORNECIDO E APLICADO</t>
  </si>
  <si>
    <t>3.55.31</t>
  </si>
  <si>
    <t>PLACA GRANILITE POLIDO ESPESSURA 3CM</t>
  </si>
  <si>
    <t>3.55.32</t>
  </si>
  <si>
    <t>PLACA GRANILITE POLIDO ESPESSURA 4CM</t>
  </si>
  <si>
    <t>3.55.33</t>
  </si>
  <si>
    <t>PISO ALTA RESISTENCIA MEDIO POLIDO E=8MM APLICADO</t>
  </si>
  <si>
    <t>3.55.37</t>
  </si>
  <si>
    <t>DEGRAU VINILICO 2MM C/TEST-FORN.COLOC</t>
  </si>
  <si>
    <t>3.55.40</t>
  </si>
  <si>
    <t>PLACAS BORRACHA 250X250MM E=7MM TATIL ALER/DIR-ARG</t>
  </si>
  <si>
    <t>3.55.41</t>
  </si>
  <si>
    <t>PLACAS BORRACHA 250X250MM E=4MM TATIL ALER/DIR-COL</t>
  </si>
  <si>
    <t>3.55.42</t>
  </si>
  <si>
    <t>PISO DE BORRACHA SINTETICA PASTILHADO PRETO E=4/5MM COLADO</t>
  </si>
  <si>
    <t>3.55.45</t>
  </si>
  <si>
    <t>PISO DE BORRACHA SINTETICA PASTILHADO PRETO 7MM</t>
  </si>
  <si>
    <t>3.55.59</t>
  </si>
  <si>
    <t>PISO VINÍLICO TRÂNSITO PESADO 2MM - MANTA FORNECIDO E COLOCADO</t>
  </si>
  <si>
    <t>3.55.69</t>
  </si>
  <si>
    <t>RASPAGEM/CALAFETACAO/CERA EM TACOS - APLICADO</t>
  </si>
  <si>
    <t>3.55.76</t>
  </si>
  <si>
    <t>RASPAGEM/CALAFETACAO/SINTEKO EM TACOS -APLICADO</t>
  </si>
  <si>
    <t>3.55.80</t>
  </si>
  <si>
    <t>CHAPA LAMINADO MELAMINICO ACAB TEXTURIZADO E=1MM</t>
  </si>
  <si>
    <t>3.55.90</t>
  </si>
  <si>
    <t>MAO DE OBRA / EQUIP. MEC. ROT. / CORTE / LASER</t>
  </si>
  <si>
    <t>3.60.01</t>
  </si>
  <si>
    <t>RODAPE DE MADEIRA 7X1.5CM G1-C4</t>
  </si>
  <si>
    <t>3.60.24</t>
  </si>
  <si>
    <t>JUNTA ELAST ESTR NEOPRENE-REF JJ2027M EPDM APLIC</t>
  </si>
  <si>
    <t>3.60.25</t>
  </si>
  <si>
    <t>JUNTA DILATACAO FUGEMBAND 120MM</t>
  </si>
  <si>
    <t>3.60.26</t>
  </si>
  <si>
    <t>JUNTA PLASTICA 9.0X4.0MM PARA PISO</t>
  </si>
  <si>
    <t>3.60.27</t>
  </si>
  <si>
    <t>JUNTA DILATACAO FUGEMBAND 220MM</t>
  </si>
  <si>
    <t>3.60.28</t>
  </si>
  <si>
    <t>JUNTA ELAST ESTR NEOPRENE-REF JJ2020F EPDM APLIC</t>
  </si>
  <si>
    <t>3.60.39</t>
  </si>
  <si>
    <t>RODAPE VINILICO 5 CM SIMPLES</t>
  </si>
  <si>
    <t>3.60.42</t>
  </si>
  <si>
    <t>RODAPE GRANILITE EM PLACAS</t>
  </si>
  <si>
    <t>3.60.43</t>
  </si>
  <si>
    <t>TESTEIRA BORRACHA P/DEGRAU VINIL FC</t>
  </si>
  <si>
    <t>3.60.50</t>
  </si>
  <si>
    <t>ESPELHO MARMORE 19CM</t>
  </si>
  <si>
    <t>3.60.51</t>
  </si>
  <si>
    <t>PATAMAR MARMORE 26CM</t>
  </si>
  <si>
    <t>3.60.52</t>
  </si>
  <si>
    <t>RODAPE MARMORE 15CM</t>
  </si>
  <si>
    <t>3.60.65</t>
  </si>
  <si>
    <t>JUNTAS PLASTICAS COLORIDAS</t>
  </si>
  <si>
    <t>3.60.80</t>
  </si>
  <si>
    <t>RODAPE FORN GRAN APLI/POL IN LOCO E=10MM H=10CM</t>
  </si>
  <si>
    <t>3.60.81</t>
  </si>
  <si>
    <t>RODAPE FORN GRAN APLIC/POL IN LOCO E=10MM H=7CM</t>
  </si>
  <si>
    <t>3.60.82</t>
  </si>
  <si>
    <t>RODAPE FORN GRAN APL/POL IN LOCO E=10MM H=10CM/ESC</t>
  </si>
  <si>
    <t>3.60.83</t>
  </si>
  <si>
    <t>RODAPE FORN GRAN APL/POL IN LOCO E=10MM H=7CM ESC</t>
  </si>
  <si>
    <t>3.61.02</t>
  </si>
  <si>
    <t>CORDAO MEIA CANA 1.5X1.5CM P/RODAPE G1-C4</t>
  </si>
  <si>
    <t>3.61.30</t>
  </si>
  <si>
    <t>RODAPE LADRILHO HIDRAULICO ALT 10CM</t>
  </si>
  <si>
    <t>3.61.31</t>
  </si>
  <si>
    <t>RODAPE M GRANIT ALT RES 10CM MED P/ESCAD</t>
  </si>
  <si>
    <t>3.61.40</t>
  </si>
  <si>
    <t>RODAPE MASSA GRANIT ALT RES 10CM SIM MED</t>
  </si>
  <si>
    <t>3.61.43</t>
  </si>
  <si>
    <t>RODAPE MASSA GRANIT ALT RES 7-CM C/ TRIANG</t>
  </si>
  <si>
    <t>3.61.52</t>
  </si>
  <si>
    <t>RODAPE VINILICO 7.5CM PARA ESCADA</t>
  </si>
  <si>
    <t>3.61.53</t>
  </si>
  <si>
    <t>RODAPE VINILICO 7CM SIMPLES</t>
  </si>
  <si>
    <t>3.61.54</t>
  </si>
  <si>
    <t>RODAPE VINILICO 5CM P/ESCADA</t>
  </si>
  <si>
    <t>3.65.01</t>
  </si>
  <si>
    <t>ELEMENTO DE CONCRETO PRE-MOLD. P/PAVIMENT. AREA PERMEAVEL (GRAMA)</t>
  </si>
  <si>
    <t>3.65.02</t>
  </si>
  <si>
    <t>ELEMENTO DE CONCRETO PRE-MOLD. P/PAVIMENT. AREA PERMEAVEL (QUADRICULADO)</t>
  </si>
  <si>
    <t>3.65.10</t>
  </si>
  <si>
    <t>PISO CONCRETO PRE MOLDADO ARTICULADO INTERTRAVADO E=6CM 35MPa COR NATURAL</t>
  </si>
  <si>
    <t>3.65.11</t>
  </si>
  <si>
    <t>PISO CONCRETO PRE MOLDADO ARTICULADO INTERTRAVADO E= 8 CM 50MPa COR NATURAL</t>
  </si>
  <si>
    <t>3.65.12</t>
  </si>
  <si>
    <t>RASPAGEM. ESTUCAMENTO E POLIMENTO DE GRANILITE</t>
  </si>
  <si>
    <t>3.65.13</t>
  </si>
  <si>
    <t>3.65.14</t>
  </si>
  <si>
    <t>GUIA PRE-MOLDADA CONCR TIPO "PMSP"</t>
  </si>
  <si>
    <t>3.65.15</t>
  </si>
  <si>
    <t>GUIA LEVE PRE-MOLDADA P/ JARDIM 5,0X23X100CM</t>
  </si>
  <si>
    <t>3.65.16</t>
  </si>
  <si>
    <t>GUIA ECONOMICA PRE-MOLDADA 7,5X23X75CM</t>
  </si>
  <si>
    <t>3.65.17</t>
  </si>
  <si>
    <t>PISO CONCRETO PRE MOLDADO ARTICULADO INTERTRAVADO E=6CM 35MPa COLORIDO</t>
  </si>
  <si>
    <t>3.65.19</t>
  </si>
  <si>
    <t>LADRILHO HIDRAULICO 20X20CM 1 COR</t>
  </si>
  <si>
    <t>3.65.25</t>
  </si>
  <si>
    <t>LADRILHO HIDRAUL.(25X25) (E=2CM) PISO TATIL ALERTA</t>
  </si>
  <si>
    <t>3.65.27</t>
  </si>
  <si>
    <t>LADRILHO HIDRAUL.(25X25) (E=2CM) PISO TATIL DIREC.</t>
  </si>
  <si>
    <t>3.65.31</t>
  </si>
  <si>
    <t>ELEMENTO DE CONCRETO PRE-MOLD. P/PAVIMENT. AREA PERMEAVEL (SEXTAVADO)</t>
  </si>
  <si>
    <t>3.65.32</t>
  </si>
  <si>
    <t>ELEMENTO DE CONCRETO PRE-MOLD. P/PAVIMENT. AREA PERMEAVEL (DIAGONAL)</t>
  </si>
  <si>
    <t>3.65.50</t>
  </si>
  <si>
    <t>TC-03 PLACA DE CONCRETO PRE-MOLDADO 59.5X19.5X5CM</t>
  </si>
  <si>
    <t>3.65.51</t>
  </si>
  <si>
    <t>TC-04 PLACA DE CONCRETO PRE-MOLDADO 59.5X24.5X5CM</t>
  </si>
  <si>
    <t>3.65.52</t>
  </si>
  <si>
    <t>TC-05 PLACA DE CONCRETO PRE-MOLDADO 59.5X34.5X5CM</t>
  </si>
  <si>
    <t>3.65.53</t>
  </si>
  <si>
    <t>TC-09 PLACA DE CONCR. PRE-MOLD PERF. 59.5X19.5X5CM</t>
  </si>
  <si>
    <t>3.65.54</t>
  </si>
  <si>
    <t>TC-10 PLACA DE CONCR. PRE-MOLD PERF. 59.5X24.5X5CM</t>
  </si>
  <si>
    <t>3.65.55</t>
  </si>
  <si>
    <t>TC-11 PLACA DE CONCR. PRE-MOLD PERF. 59.5X34.5X5CM</t>
  </si>
  <si>
    <t>3.67.02</t>
  </si>
  <si>
    <t>MASTRO P/BANDEIRA DE ACO 10M - COMPLETO (MB-03)</t>
  </si>
  <si>
    <t>3.67.09</t>
  </si>
  <si>
    <t>TABELA DE BASQUETE COM ARO E CESTO</t>
  </si>
  <si>
    <t>3.67.10</t>
  </si>
  <si>
    <t>ARO DUPLO DE ACO BASQUETE</t>
  </si>
  <si>
    <t>3.67.11</t>
  </si>
  <si>
    <t>CESTO NYLON BASQUETE</t>
  </si>
  <si>
    <t>3.67.12</t>
  </si>
  <si>
    <t>REDE PARA TRAVE DE GOL</t>
  </si>
  <si>
    <t>3.67.15</t>
  </si>
  <si>
    <t>TAMPO P/SUPORTE REDE VOLEIBOL/TRAVE DE FUTEBOL</t>
  </si>
  <si>
    <t>3.67.17</t>
  </si>
  <si>
    <t>QE-02 POSTE REDE VOLEIBOL/ GALV E PINT ESMALTE-PAR</t>
  </si>
  <si>
    <t>3.67.18</t>
  </si>
  <si>
    <t>QE-03 TRAVE DE FUTEBOL DE SALAO GALV/PINT ESMALTE</t>
  </si>
  <si>
    <t>3.67.20</t>
  </si>
  <si>
    <t>REDE DE VOLEI C/ 4 FAIXAS</t>
  </si>
  <si>
    <t>3.67.31</t>
  </si>
  <si>
    <t>TELA POLIETILENO CRISTAL #10 F 4 COMPL FORN/INST</t>
  </si>
  <si>
    <t>3.70.10</t>
  </si>
  <si>
    <t>FORN E INST DE VIDRO LAMINADO 5+5MM INC ACESS ALUM</t>
  </si>
  <si>
    <t>3.70.43</t>
  </si>
  <si>
    <t>MASSA PARA VIDRO</t>
  </si>
  <si>
    <t>3.70.45</t>
  </si>
  <si>
    <t>COLA ADESIVA FIXA ESPELHO BISNAGA 360G CEBRACE</t>
  </si>
  <si>
    <t>3.70.68</t>
  </si>
  <si>
    <t>VIDRO FANTASIA INCOLOR 4MM</t>
  </si>
  <si>
    <t>3.70.71</t>
  </si>
  <si>
    <t>VIDRO LISO INCOLOR LAMINADO 3+3MM COM FILME PVB</t>
  </si>
  <si>
    <t>3.70.72</t>
  </si>
  <si>
    <t>GUARNICAO CUNHA NEOPRENE PARA VIDRO</t>
  </si>
  <si>
    <t>3.70.75</t>
  </si>
  <si>
    <t>VIDRO ARAMADO 7 MM</t>
  </si>
  <si>
    <t>3.70.78</t>
  </si>
  <si>
    <t>VIDRO LISO FOSCO (DESPOLIDO) ESP 3MM</t>
  </si>
  <si>
    <t>3.70.81</t>
  </si>
  <si>
    <t>VIDRO LISO COMUM INCOLOR - 3MM</t>
  </si>
  <si>
    <t>3.70.82</t>
  </si>
  <si>
    <t>VIDRO LISO COMUM INCOLOR - 4MM</t>
  </si>
  <si>
    <t>3.70.83</t>
  </si>
  <si>
    <t>VIDRO LISO COMUM INCOLOR - 5MM</t>
  </si>
  <si>
    <t>3.70.84</t>
  </si>
  <si>
    <t>VIDRO LISO COMUM INCOLOR - 6MM</t>
  </si>
  <si>
    <t>3.71.30</t>
  </si>
  <si>
    <t>ACRILICO TRANSPARENTE ESP=5MM</t>
  </si>
  <si>
    <t>3.72.01</t>
  </si>
  <si>
    <t>EP-01 ESPELHO 60X45X3MM C/ MOLDURA ALUM ANODIZ</t>
  </si>
  <si>
    <t>3.75.02</t>
  </si>
  <si>
    <t>TINTA ESMALTE</t>
  </si>
  <si>
    <t>3.75.04</t>
  </si>
  <si>
    <t>TEXTURA ACRILICA PIGMENTADA (CORES PRONTAS)</t>
  </si>
  <si>
    <t>3.75.05</t>
  </si>
  <si>
    <t>TEXTURA ACRILICA - BRANCA</t>
  </si>
  <si>
    <t>3.75.07</t>
  </si>
  <si>
    <t>TINTA ESMALTE SINTETICO - ALUMINIO</t>
  </si>
  <si>
    <t>3.75.08</t>
  </si>
  <si>
    <t>TINTA ESMALTE A BASE DE ÁGUA</t>
  </si>
  <si>
    <t>3.75.12</t>
  </si>
  <si>
    <t>TINTA LATEX PARA PISO</t>
  </si>
  <si>
    <t>3.75.13</t>
  </si>
  <si>
    <t>TINTA LATEX ECONOMICA</t>
  </si>
  <si>
    <t>3.75.15</t>
  </si>
  <si>
    <t>TINTA MINERAL IMPERMEAVEL</t>
  </si>
  <si>
    <t>3.75.21</t>
  </si>
  <si>
    <t>RESINA DE POLIESTER</t>
  </si>
  <si>
    <t>3.75.26</t>
  </si>
  <si>
    <t>TINTA EPÓXI BASE ÁGUA PARA AZULEJO</t>
  </si>
  <si>
    <t>3.75.30</t>
  </si>
  <si>
    <t>TINTA ESMALTE SINTETICO VERDE ESCOLAR</t>
  </si>
  <si>
    <t>3.75.42</t>
  </si>
  <si>
    <t>TINTA LATEX STANDARD</t>
  </si>
  <si>
    <t>3.75.48</t>
  </si>
  <si>
    <t>TINTA ESMALTE EPOXI BI COMPONENTE</t>
  </si>
  <si>
    <t>3.75.50</t>
  </si>
  <si>
    <t>FUNDO WHASH-PRIMER / FUNDO P/ GALVANIZADOS</t>
  </si>
  <si>
    <t>3.75.52</t>
  </si>
  <si>
    <t>FUNDO PARA METAIS E MADEIRA BASE ÁGUA</t>
  </si>
  <si>
    <t>3.75.80</t>
  </si>
  <si>
    <t>PRIMER ACRILICO BASE AGUA</t>
  </si>
  <si>
    <t>3.75.91</t>
  </si>
  <si>
    <t>GALVANIZACAO A FRIO (TINTA RICA EM ZINCO)</t>
  </si>
  <si>
    <t>3.76.35</t>
  </si>
  <si>
    <t>TINTA FUNDO PRIMER EPOXI</t>
  </si>
  <si>
    <t>3.76.37</t>
  </si>
  <si>
    <t>DILUENTE P/ FUNDO PRIMER EPOXI</t>
  </si>
  <si>
    <t>3.76.40</t>
  </si>
  <si>
    <t>PINTURA INTUMESCENTE FORNECIDA E APLICADA</t>
  </si>
  <si>
    <t>3.76.45</t>
  </si>
  <si>
    <t>ARGAMASSA PROJETADA FORNECIDA E APLICADA</t>
  </si>
  <si>
    <t>3.76.50</t>
  </si>
  <si>
    <t>GALVANIZACAO A FOGO</t>
  </si>
  <si>
    <t>3.80.01</t>
  </si>
  <si>
    <t>AGUARRAZ MINERAL</t>
  </si>
  <si>
    <t>3.80.03</t>
  </si>
  <si>
    <t>CAL PARA PINTURA</t>
  </si>
  <si>
    <t>3.80.05</t>
  </si>
  <si>
    <t>DISCO DE DESBASTE 7"</t>
  </si>
  <si>
    <t>3.80.07</t>
  </si>
  <si>
    <t>LIQUIDO BASE PARA PINTURA INTERNA</t>
  </si>
  <si>
    <t>3.80.09</t>
  </si>
  <si>
    <t>SELADOR P/PINTURA LATEX</t>
  </si>
  <si>
    <t>3.80.10</t>
  </si>
  <si>
    <t>FUNDO PREPARADOR DE PAREDE</t>
  </si>
  <si>
    <t>3.80.11</t>
  </si>
  <si>
    <t>LIXA CARBETO DE SILICIO 7"</t>
  </si>
  <si>
    <t>3.80.12</t>
  </si>
  <si>
    <t>LIXA PARA FERRO</t>
  </si>
  <si>
    <t>3.80.14</t>
  </si>
  <si>
    <t>MASSA NIVELADORA ACRILICA</t>
  </si>
  <si>
    <t>3.80.17</t>
  </si>
  <si>
    <t>MASSA NIVELADORA PVA</t>
  </si>
  <si>
    <t>3.80.19</t>
  </si>
  <si>
    <t>MASSA NIVELADORA A BASE DE AGUA PARA MADEIRA</t>
  </si>
  <si>
    <t>3.80.20</t>
  </si>
  <si>
    <t>MASSA NIVELADORA PIGMENTADA BASE DE AGUA PARA MADEIRA</t>
  </si>
  <si>
    <t>3.80.22</t>
  </si>
  <si>
    <t>SILICONE - HIDRAFUGANTE</t>
  </si>
  <si>
    <t>3.80.24</t>
  </si>
  <si>
    <t>VERNIZ ANTIPICHACAO (SPEEL FLEX)</t>
  </si>
  <si>
    <t>3.80.26</t>
  </si>
  <si>
    <t>VERNIZ RETARDANTE DE CHAMA CKC-VR ACABAMENTO TRANSPARENTE</t>
  </si>
  <si>
    <t>LT</t>
  </si>
  <si>
    <t>3.80.27</t>
  </si>
  <si>
    <t>VERNIZ SELANTE RESITENTE À ABRASAO CKC-VA ACABAMENTO TRANSPARENTE</t>
  </si>
  <si>
    <t>3.80.28</t>
  </si>
  <si>
    <t>ZARCAO</t>
  </si>
  <si>
    <t>3.80.29</t>
  </si>
  <si>
    <t>REMOVEDOR DE TINTA</t>
  </si>
  <si>
    <t>3.80.34</t>
  </si>
  <si>
    <t>TINTA A OLEO</t>
  </si>
  <si>
    <t>3.80.35</t>
  </si>
  <si>
    <t>ESMALTE AUTOMOTIVO (TIPO DUCO)</t>
  </si>
  <si>
    <t>3.80.38</t>
  </si>
  <si>
    <t>PIGMENTO EM PO PARA ARGAMASSA</t>
  </si>
  <si>
    <t>3.80.39</t>
  </si>
  <si>
    <t>LIXA PARA MADEIRA</t>
  </si>
  <si>
    <t>3.80.40</t>
  </si>
  <si>
    <t>LIXA D"AGUA</t>
  </si>
  <si>
    <t>3.80.42</t>
  </si>
  <si>
    <t>VERNIZ EPOXI BICOMPONENTE</t>
  </si>
  <si>
    <t>3.80.44</t>
  </si>
  <si>
    <t>JONSEAL 220</t>
  </si>
  <si>
    <t>3.80.45</t>
  </si>
  <si>
    <t>TRAFFIC</t>
  </si>
  <si>
    <t>3.80.46</t>
  </si>
  <si>
    <t>PRIMER ANTIOXIDANTE RICO EM ZINCO</t>
  </si>
  <si>
    <t>3.80.47</t>
  </si>
  <si>
    <t>CERA VIRGEM</t>
  </si>
  <si>
    <t>3.80.49</t>
  </si>
  <si>
    <t>VERNIZ POLIURETANO</t>
  </si>
  <si>
    <t>3.80.50</t>
  </si>
  <si>
    <t>VERNIZ SINTETICO BRILHANTE</t>
  </si>
  <si>
    <t>3.80.51</t>
  </si>
  <si>
    <t>SELADORA PARA MADEIRA</t>
  </si>
  <si>
    <t>3.80.53</t>
  </si>
  <si>
    <t>PRIMER RESINA ACRILICA P/ VERNIZ ACRILICO BASE SOLVENTE</t>
  </si>
  <si>
    <t>3.80.54</t>
  </si>
  <si>
    <t>VERNIZ ACRILICO BASE AGUA</t>
  </si>
  <si>
    <t>3.80.55</t>
  </si>
  <si>
    <t>VERNIZ ACRILICO BASE SOLV PARA PEDRA/CONCR/TIJOLO</t>
  </si>
  <si>
    <t>3.80.57</t>
  </si>
  <si>
    <t>PREPERADOR LIQUIDO BASE DE OLEO</t>
  </si>
  <si>
    <t>3.80.60</t>
  </si>
  <si>
    <t>TINNER</t>
  </si>
  <si>
    <t>3.80.61</t>
  </si>
  <si>
    <t>LIQUIDO DE FUNDO P/PINT INT OLEO PAREDE</t>
  </si>
  <si>
    <t>3.80.62</t>
  </si>
  <si>
    <t>REMOVEDOR DE PICHACOES</t>
  </si>
  <si>
    <t>3.80.66</t>
  </si>
  <si>
    <t>FUNDO ESPECIAL PARA ACO GALVANIZADO E ALUMINIO</t>
  </si>
  <si>
    <t>3.80.90</t>
  </si>
  <si>
    <t>MASSA PLASTICA. LATA 400 GR - IBERE</t>
  </si>
  <si>
    <t>3.84.01</t>
  </si>
  <si>
    <t>ARBUSTO ALECRIM H=0.50 A 0.70M</t>
  </si>
  <si>
    <t>3.84.02</t>
  </si>
  <si>
    <t>ARBUSTO ALPINIA H=0.50 A 0.70M</t>
  </si>
  <si>
    <t>3.84.03</t>
  </si>
  <si>
    <t>ARBUSTO AVE-DO-PARAISO H=0.50 A 0.70M</t>
  </si>
  <si>
    <t>3.84.04</t>
  </si>
  <si>
    <t>ARBUSTO CLÚSIA H=0.50 A 0.70M</t>
  </si>
  <si>
    <t>3.84.05</t>
  </si>
  <si>
    <t>ARBUSTO DICORISANDRA H=0.50 A 0.70M</t>
  </si>
  <si>
    <t>3.84.06</t>
  </si>
  <si>
    <t>ARBUSTO FILODENDRO H=0.50 A 0.70M</t>
  </si>
  <si>
    <t>3.84.07</t>
  </si>
  <si>
    <t>ARBUSTO GARDÊNIA H=0.50 A 0.70M</t>
  </si>
  <si>
    <t>3.84.08</t>
  </si>
  <si>
    <t>ARBUSTO GUAIMBÊ-DA-FOLHA-ONDULADA H=0.50 A 0.70M</t>
  </si>
  <si>
    <t>3.84.09</t>
  </si>
  <si>
    <t>ARBUSTO GUAIMBÊ-DO-BREJO H=0.50 A 0.70M</t>
  </si>
  <si>
    <t>3.84.10</t>
  </si>
  <si>
    <t>ARBUSTO IMBÊ H=0.50 A 0.70M</t>
  </si>
  <si>
    <t>3.84.11</t>
  </si>
  <si>
    <t>ARBUSTO JASMIM AMARELO H=0.50 A 0.70M</t>
  </si>
  <si>
    <t>3.84.12</t>
  </si>
  <si>
    <t>ARBUSTO LANTERNA-CHINESA H=0.50 A 0.70M</t>
  </si>
  <si>
    <t>3.84.13</t>
  </si>
  <si>
    <t>ARBUSTO MANACÁ-DE-CHEIRO H=0.50 A 0.70M</t>
  </si>
  <si>
    <t>3.84.14</t>
  </si>
  <si>
    <t>ARBUSTO MANJERICÃO H=0.50 A 0.70M</t>
  </si>
  <si>
    <t>3.84.15</t>
  </si>
  <si>
    <t>ARBUSTO MARIA-PRETA H=0.50 A 0.70M</t>
  </si>
  <si>
    <t>3.84.16</t>
  </si>
  <si>
    <t>ARBUSTO MUSSAENDA H=0.50 A 0.70M</t>
  </si>
  <si>
    <t>3.84.17</t>
  </si>
  <si>
    <t>ARBUSTO MUSSAENDA-FRONDOSA H=0.50 A 0.70M</t>
  </si>
  <si>
    <t>3.84.18</t>
  </si>
  <si>
    <t>ARBUSTO PLEOMELE H=0.50 A 0.70M</t>
  </si>
  <si>
    <t>3.84.19</t>
  </si>
  <si>
    <t>ARBUSTO QUARESMEIRINHA H=0.50 A 0.70M</t>
  </si>
  <si>
    <t>3.84.20</t>
  </si>
  <si>
    <t>ARBUSTO RESEDÁ H=0.50 A 0.70M</t>
  </si>
  <si>
    <t>3.84.21</t>
  </si>
  <si>
    <t>ARBUSTO SOMBRINHA CHINESA H=0.50 A 0.70M</t>
  </si>
  <si>
    <t>3.84.22</t>
  </si>
  <si>
    <t>ARBUSTO TUMBÉRGIA H=0.50 A 0.70M</t>
  </si>
  <si>
    <t>3.84.27</t>
  </si>
  <si>
    <t>ÁRVORE ORNAMENTAL ALDRAGO H=2.00M</t>
  </si>
  <si>
    <t>3.84.28</t>
  </si>
  <si>
    <t>ÁRVORE ORNAMENTAL ARAÇÁ H=2.00M</t>
  </si>
  <si>
    <t>3.84.29</t>
  </si>
  <si>
    <t>ÁRVORE ORNAMENTAL AROEIRA-DO-SERTÃO H=2.00M</t>
  </si>
  <si>
    <t>3.84.30</t>
  </si>
  <si>
    <t>ÁRVORE ORNAMENTAL AROEIRA-SALSA H=2.00M</t>
  </si>
  <si>
    <t>3.84.31</t>
  </si>
  <si>
    <t>ÁRVORE ORNAMENTAL BICO-DE-PATO H=2.00M</t>
  </si>
  <si>
    <t>3.84.32</t>
  </si>
  <si>
    <t>ÁRVORE ORNAMENTAL CANELA-PRETA H=2.00M</t>
  </si>
  <si>
    <t>3.84.33</t>
  </si>
  <si>
    <t>ÁRVORE ORNAMENTAL CANELA-SASSAFRÁS H=2.00M</t>
  </si>
  <si>
    <t>3.84.34</t>
  </si>
  <si>
    <t>ÁRVORE ORNAMENTAL CANELEIRA H=2.00M</t>
  </si>
  <si>
    <t>3.84.35</t>
  </si>
  <si>
    <t>ÁRVORE ORNAMENTAL CAPUTUNA-PRETA (CHUPA FERRO) H=2.00M</t>
  </si>
  <si>
    <t>3.84.36</t>
  </si>
  <si>
    <t>ÁRVORE ORNAMENTAL CAROBA H=2.00M</t>
  </si>
  <si>
    <t>3.84.37</t>
  </si>
  <si>
    <t>ÁRVORE ORNAMENTAL CAROBA-BRANCA H=2.00M</t>
  </si>
  <si>
    <t>3.84.38</t>
  </si>
  <si>
    <t>ÁRVORE ORNAMENTAL CAROBÃO H=2.00M</t>
  </si>
  <si>
    <t>3.84.39</t>
  </si>
  <si>
    <t>ÁRVORE ORNAMENTAL CARVALHO-BRASILEIRO (CARVALHO DO BRASIL) H=2.00M</t>
  </si>
  <si>
    <t>3.84.40</t>
  </si>
  <si>
    <t>ÁRVORE ORNAMENTAL CÁSSIA-GRANDE H=2.00M</t>
  </si>
  <si>
    <t>3.84.41</t>
  </si>
  <si>
    <t>ÁRVORE ORNAMENTAL CASTANHA-DO-PARÁ H=2.00M</t>
  </si>
  <si>
    <t>3.84.42</t>
  </si>
  <si>
    <t>ÁRVORE ORNAMENTAL CEDRO ROSA (CEDRO) H=2.00M</t>
  </si>
  <si>
    <t>3.84.43</t>
  </si>
  <si>
    <t>ÁRVORE ORNAMENTAL CHÁ-DE-BUGRE (CAPITÃO DO CAMPO) H=2.00M</t>
  </si>
  <si>
    <t>3.84.44</t>
  </si>
  <si>
    <t>ÁRVORE ORNAMENTAL CHUVA DE OURO H=2.00M</t>
  </si>
  <si>
    <t>3.84.45</t>
  </si>
  <si>
    <t>ÁRVORE ORNAMENTAL DEDALEIRO H=2.00M</t>
  </si>
  <si>
    <t>3.84.46</t>
  </si>
  <si>
    <t>ÁRVORE ORNAMENTAL DIADEMA H=2.00M</t>
  </si>
  <si>
    <t>3.84.47</t>
  </si>
  <si>
    <t>ÁRVORE ORNAMENTAL EMBAÚBA H=2.00M</t>
  </si>
  <si>
    <t>3.84.48</t>
  </si>
  <si>
    <t>ÁRVORE ORNAMENTAL EMBIRUÇU H=2.00M</t>
  </si>
  <si>
    <t>3.84.49</t>
  </si>
  <si>
    <t>ÁRVORE ORNAMENTAL FEIJOA H=2.00M</t>
  </si>
  <si>
    <t>3.84.50</t>
  </si>
  <si>
    <t>ÁRVORE ORNAMENTAL GUANANDI H=2.00M</t>
  </si>
  <si>
    <t>3.84.51</t>
  </si>
  <si>
    <t>ÁRVORE ORNAMENTAL IMBUIA H=2.00M</t>
  </si>
  <si>
    <t>3.84.52</t>
  </si>
  <si>
    <t>ÁRVORE ORNAMENTAL IPÊ ROXO DE 7 FOLHAS H=2.00M</t>
  </si>
  <si>
    <t>3.84.53</t>
  </si>
  <si>
    <t>ÁRVORE ORNAMENTAL IPÊ-AMARELO-DA-SERRA H=2.00M</t>
  </si>
  <si>
    <t>3.84.54</t>
  </si>
  <si>
    <t>ÁRVORE ORNAMENTAL IPÊ-BRANCO H=2.00M</t>
  </si>
  <si>
    <t>3.84.55</t>
  </si>
  <si>
    <t>ÁRVORE ORNAMENTAL JABORANDI H=2.00M</t>
  </si>
  <si>
    <t>3.84.56</t>
  </si>
  <si>
    <t>ÁRVORE ORNAMENTAL JACARANDÁ-PAULISTA H=2.00M</t>
  </si>
  <si>
    <t>3.84.57</t>
  </si>
  <si>
    <t>ÁRVORE ORNAMENTAL JEQUITIBÁ-BRANCO H=2.00M</t>
  </si>
  <si>
    <t>3.84.58</t>
  </si>
  <si>
    <t>ÁRVORE ORNAMENTAL JEQUITIBÁ-ROSA H=2.00M</t>
  </si>
  <si>
    <t>3.84.59</t>
  </si>
  <si>
    <t>ÁRVORE ORNAMENTAL MIRINDIBA (MIRINDIBA ROSA) H=2.00M</t>
  </si>
  <si>
    <t>3.84.60</t>
  </si>
  <si>
    <t>ÁRVORE ORNAMENTAL MULUNGU H=2.00M</t>
  </si>
  <si>
    <t>3.84.61</t>
  </si>
  <si>
    <t>ÁRVORE ORNAMENTAL MULUNGU-DO-LITORAL (SUINÃ) H=2.00M</t>
  </si>
  <si>
    <t>3.84.62</t>
  </si>
  <si>
    <t>ÁRVORE ORNAMENTAL PAU-CIGARRA H=2.00M</t>
  </si>
  <si>
    <t>3.84.63</t>
  </si>
  <si>
    <t>ÁRVORE ORNAMENTAL PEROBA ROSA H=2.00M</t>
  </si>
  <si>
    <t>3.84.64</t>
  </si>
  <si>
    <t>ÁRVORE ORNAMENTAL PINHEIRO-DO-PARANÁ H=2.00M</t>
  </si>
  <si>
    <t>3.84.65</t>
  </si>
  <si>
    <t>ÁRVORE ORNAMENTAL TARUMÃ H=2.00M</t>
  </si>
  <si>
    <t>3.84.66</t>
  </si>
  <si>
    <t>ÁRVORE ORNAMENTAL URUCUM H=2.00M</t>
  </si>
  <si>
    <t>3.84.67</t>
  </si>
  <si>
    <t>ÁRVORE ORNAMENTAL ARAÇÁ H=0.50 A 1.00M</t>
  </si>
  <si>
    <t>3.84.68</t>
  </si>
  <si>
    <t>ÁRVORE ORNAMENTAL SUINÃ (ERYTHRINA SPECIOSA) - DAP3</t>
  </si>
  <si>
    <t>3.84.69</t>
  </si>
  <si>
    <t>ÁRVORE ORNAMENTAL PAU-CIGARRA (SENNA MULTIJUGA) - DAP5</t>
  </si>
  <si>
    <t>3.84.70</t>
  </si>
  <si>
    <t>FORRAÇÃO AZULZINHA</t>
  </si>
  <si>
    <t>3.84.71</t>
  </si>
  <si>
    <t>FORRAÇÃO BARLÉRIA</t>
  </si>
  <si>
    <t>3.84.72</t>
  </si>
  <si>
    <t>FORRAÇÃO BULBINE</t>
  </si>
  <si>
    <t>3.84.73</t>
  </si>
  <si>
    <t>FORRAÇÃO DINHEIRO-EM-PENCA</t>
  </si>
  <si>
    <t>3.84.74</t>
  </si>
  <si>
    <t>FORRAÇÃO FALSO-IRIS</t>
  </si>
  <si>
    <t>3.84.75</t>
  </si>
  <si>
    <t>FORRAÇÃO FLOR-LEOPARDO</t>
  </si>
  <si>
    <t>3.84.76</t>
  </si>
  <si>
    <t>FORRAÇÃO GOTA DE ORVALHO</t>
  </si>
  <si>
    <t>3.84.77</t>
  </si>
  <si>
    <t>FORRAÇÃO GRAMA TIPO ESMERALDA EM PLACAS</t>
  </si>
  <si>
    <t>3.84.78</t>
  </si>
  <si>
    <t>FORRAÇÃO GRAMA-AMENDOIM</t>
  </si>
  <si>
    <t>3.84.79</t>
  </si>
  <si>
    <t>FORRAÇÃO HELICÔNIA-PAPAGAIO</t>
  </si>
  <si>
    <t>3.84.80</t>
  </si>
  <si>
    <t>FORRAÇÃO JIBÓIA-VERDE</t>
  </si>
  <si>
    <t>3.84.81</t>
  </si>
  <si>
    <t>FORRAÇÃO LAMBARI-ROXO</t>
  </si>
  <si>
    <t>3.84.82</t>
  </si>
  <si>
    <t>ARVORE ORNAMENTAL UNHA DE VACA H=2.00M</t>
  </si>
  <si>
    <t>3.84.83</t>
  </si>
  <si>
    <t>FORRAÇÃO MORÉIA-AMARELA</t>
  </si>
  <si>
    <t>3.84.84</t>
  </si>
  <si>
    <t>FORRAÇÃO OFIOPOGO</t>
  </si>
  <si>
    <t>3.84.85</t>
  </si>
  <si>
    <t>FORRAÇÃO PAPIRINHO</t>
  </si>
  <si>
    <t>3.84.86</t>
  </si>
  <si>
    <t>FORRAÇÃO SINGÔNIO</t>
  </si>
  <si>
    <t>3.84.87</t>
  </si>
  <si>
    <t>FORRAÇÃO TRAPOERABA</t>
  </si>
  <si>
    <t>3.84.89</t>
  </si>
  <si>
    <t>FRUTIFERA PITANGUEIRA (EUGÊNIA UNIFLORA) - DAP5</t>
  </si>
  <si>
    <t>3.84.91</t>
  </si>
  <si>
    <t>FRUTÍFERA ANGELIM-DOCE H=2.00M</t>
  </si>
  <si>
    <t>3.84.92</t>
  </si>
  <si>
    <t>FRUTÍFERA CEREJINHA (CEREJEIRA DO MATO) H=2.00M</t>
  </si>
  <si>
    <t>3.84.93</t>
  </si>
  <si>
    <t>FRUTÍFERA GABIROBA H=2.00M</t>
  </si>
  <si>
    <t>3.84.94</t>
  </si>
  <si>
    <t>FRUTÍFERA GENIPAPO (JENIPAPO) H=2.00M</t>
  </si>
  <si>
    <t>3.84.95</t>
  </si>
  <si>
    <t>FRUTÍFERA GOIABEIRA H=2.00M</t>
  </si>
  <si>
    <t>3.84.96</t>
  </si>
  <si>
    <t>FRUTÍFERA GRUMIXAMA H=2.00M</t>
  </si>
  <si>
    <t>3.84.97</t>
  </si>
  <si>
    <t>FRUTÍFERA JABUTICABEIRA H=2.00M</t>
  </si>
  <si>
    <t>3.84.98</t>
  </si>
  <si>
    <t>FRUTÍFERA UVAIA (EUGENIA PYRIFORMIS) - DAP3</t>
  </si>
  <si>
    <t>3.85.02</t>
  </si>
  <si>
    <t>ADUBO QUIMICO NPK.FORM.BASE (10-10-10)</t>
  </si>
  <si>
    <t>3.85.03</t>
  </si>
  <si>
    <t>CALCARIO DOLOMITICO</t>
  </si>
  <si>
    <t>3.85.11</t>
  </si>
  <si>
    <t>TERRA VEGETAL</t>
  </si>
  <si>
    <t>3.85.13</t>
  </si>
  <si>
    <t>ADUBO ORGANICO CURTIDO</t>
  </si>
  <si>
    <t>3.85.14</t>
  </si>
  <si>
    <t>FRUTÍFERA ACEROLA H=2.00M</t>
  </si>
  <si>
    <t>3.85.17</t>
  </si>
  <si>
    <t>FRUTÍFERA PITANGUEIRA H=2.00M</t>
  </si>
  <si>
    <t>3.85.18</t>
  </si>
  <si>
    <t>FRUTÍFERA UVAIA H=2.00M</t>
  </si>
  <si>
    <t>3.85.19</t>
  </si>
  <si>
    <t>ÁRVORE ORNAMENTAL ALECRIM DE CAMPINAS H=2.00M</t>
  </si>
  <si>
    <t>3.85.20</t>
  </si>
  <si>
    <t>ÁRVORE ORNAMENTAL FEDEGOSO (ALELUIA) H=2.00M</t>
  </si>
  <si>
    <t>3.85.21</t>
  </si>
  <si>
    <t>ÁRVORE ORNAMENTAL IPÊ AMARELO H=2.00M</t>
  </si>
  <si>
    <t>3.85.22</t>
  </si>
  <si>
    <t>ÁRVORE ORNAMENTAL IPÊ-ROXO DE BOLA H=2.00M</t>
  </si>
  <si>
    <t>3.85.23</t>
  </si>
  <si>
    <t>ÁRVORE ORNAMENTAL JATOBÁ H=2.00M</t>
  </si>
  <si>
    <t>3.85.24</t>
  </si>
  <si>
    <t>ÁRVORE ORNAMENTAL MANACÁ-DA-SERRA H=2.00M</t>
  </si>
  <si>
    <t>3.85.25</t>
  </si>
  <si>
    <t>ÁRVORE ORNAMENTAL PAU-BRASIL H=2.00M</t>
  </si>
  <si>
    <t>3.85.26</t>
  </si>
  <si>
    <t>ÁRVORE ORNAMENTAL PAU-FERRO H=2.00M</t>
  </si>
  <si>
    <t>3.85.27</t>
  </si>
  <si>
    <t>ÁRVORE ORNAMENTAL QUARESMEIRA H=2.00M</t>
  </si>
  <si>
    <t>3.85.28</t>
  </si>
  <si>
    <t>ÁRVORE ORNAMENTAL SIBIPIRUNA H=2.00M</t>
  </si>
  <si>
    <t>3.85.36</t>
  </si>
  <si>
    <t>PALMEIRA JERIVÁ H=1.50 A 2.00 M</t>
  </si>
  <si>
    <t>3.85.37</t>
  </si>
  <si>
    <t>ARBUSTO H=0.50 A 0.70 M - CALIANDRA</t>
  </si>
  <si>
    <t>3.85.44</t>
  </si>
  <si>
    <t>FORRACAO - AGAPANTO</t>
  </si>
  <si>
    <t>3.85.46</t>
  </si>
  <si>
    <t>FORRACAO - MARANTA</t>
  </si>
  <si>
    <t>3.85.47</t>
  </si>
  <si>
    <t>BAMBU - H=1.00 A 2.00 M - BAMBUZINHO</t>
  </si>
  <si>
    <t>3.85.51</t>
  </si>
  <si>
    <t>ÁRVORE ORNAMENTAL PATA-DE-VACA-BRANCA (PATA-DE-VACA) H=2.00M</t>
  </si>
  <si>
    <t>3.85.60</t>
  </si>
  <si>
    <t>PALMEIRA AÇAÍ H=1.50 A 2.00M</t>
  </si>
  <si>
    <t>3.85.61</t>
  </si>
  <si>
    <t>PALMEIRA GUARIROBA H=1.50 A 2.00M</t>
  </si>
  <si>
    <t>3.85.62</t>
  </si>
  <si>
    <t>PALMEIRA INDAIÁ H=1.50 A 2.00M</t>
  </si>
  <si>
    <t>3.85.63</t>
  </si>
  <si>
    <t>PALMEIRA PALMITO-JUÇARA (PALMITO) H=1.50 A 2.00M</t>
  </si>
  <si>
    <t>3.85.64</t>
  </si>
  <si>
    <t>PALMEIRA PUPUNHA H=1.50 A 2.00M</t>
  </si>
  <si>
    <t>3.85.65</t>
  </si>
  <si>
    <t>PALMEIRA INDAIÁ H=0.50 A 1.00M</t>
  </si>
  <si>
    <t>3.85.66</t>
  </si>
  <si>
    <t>PALMEIRA GUARIROBA (SYAGRUS OLERACEA) - DAP3</t>
  </si>
  <si>
    <t>3.85.67</t>
  </si>
  <si>
    <t xml:space="preserve">PALMEIRA JERIVÁ (SYAGRUS ROMANZOFILIANA) - DAP5 </t>
  </si>
  <si>
    <t>3.85.70</t>
  </si>
  <si>
    <t>CIPÓ DE SÃO JOÃO H=0.50 A 0.70M</t>
  </si>
  <si>
    <t>3.85.71</t>
  </si>
  <si>
    <t>CUSPIDÁRIA H=0.50 A 0.70M</t>
  </si>
  <si>
    <t>3.85.72</t>
  </si>
  <si>
    <t>IPOMÉIA H=0,50 A 0,70M</t>
  </si>
  <si>
    <t>3.85.73</t>
  </si>
  <si>
    <t>ÁRVORE PEITO DE POMBA H=0,50M A 1,00M (NATIVA PIONEIRA-SP)</t>
  </si>
  <si>
    <t>3.85.74</t>
  </si>
  <si>
    <t>ÁRVORE TÁPIA H=0,50M A 1,00M (NATIVA PIONEIRA-SP)</t>
  </si>
  <si>
    <t>3.85.75</t>
  </si>
  <si>
    <t>ÁRVORE CAPIXINGUI H=0,50M A 1,00M (NATIVA PIONEIRA-SP)</t>
  </si>
  <si>
    <t>3.85.76</t>
  </si>
  <si>
    <t>ÁRVORE INGÁ H=0,50M A 1,00M (NATIVA PIONEIRA-SP)</t>
  </si>
  <si>
    <t>3.85.77</t>
  </si>
  <si>
    <t>ÁRVORE FUMO BRAVO H=0,50M A 1,00M (NATIVA PIONEIRA-SP)</t>
  </si>
  <si>
    <t>3.85.78</t>
  </si>
  <si>
    <t>ÁRVORE MUTAMBO H=0,50M A 1,00M (NATIVA PIONEIRA-SP)</t>
  </si>
  <si>
    <t>3.85.79</t>
  </si>
  <si>
    <t>ÁRVORE AÇOITA CAVALO H=0,50M A 1,00M (NATIVA PIONEIRA-SP)</t>
  </si>
  <si>
    <t>3.85.80</t>
  </si>
  <si>
    <t>ÁRVORE PAU POLVORA H=0,50M A 1,00M (NATIVA PIONEIRA-SP)</t>
  </si>
  <si>
    <t>3.85.82</t>
  </si>
  <si>
    <t>FRUTÍFERA GOIABEIRA - DAP 7</t>
  </si>
  <si>
    <t>3.85.83</t>
  </si>
  <si>
    <t>PALMEIRA PUPUNHA - DAP 7</t>
  </si>
  <si>
    <t>3.85.84</t>
  </si>
  <si>
    <t>ÁRVORE ORNAMENTAL URUCUM - DAP 7</t>
  </si>
  <si>
    <t>3.86.10</t>
  </si>
  <si>
    <t>FORRACAO GRAMA TIPO SAO CARLOS EM PLACAS</t>
  </si>
  <si>
    <t>3.86.11</t>
  </si>
  <si>
    <t>FORRACAO GRAMA TIPO PRETA</t>
  </si>
  <si>
    <t>3.86.16</t>
  </si>
  <si>
    <t>FRUTÍFERA AMOREIRA H=2,00M</t>
  </si>
  <si>
    <t>3.86.23</t>
  </si>
  <si>
    <t>ARVORE ORNAM. H=1.50/2.00M-TIPUANA</t>
  </si>
  <si>
    <t>3.86.34</t>
  </si>
  <si>
    <t>ARVORE FRUTIF. H=0.50/1.00-JAMBOLAO</t>
  </si>
  <si>
    <t>3.86.46</t>
  </si>
  <si>
    <t>ARBUSTO H=0.50/0.70M-AZALEIA</t>
  </si>
  <si>
    <t>3.86.47</t>
  </si>
  <si>
    <t>ARBUSTO H=0.50/0.70M-BELA EMILIA</t>
  </si>
  <si>
    <t>3.86.48</t>
  </si>
  <si>
    <t>ARBUSTO H=0.50/0.70M-HIBISCO</t>
  </si>
  <si>
    <t>3.86.52</t>
  </si>
  <si>
    <t>ARBUSTO COSTELA DE ADAO H=0.50 A 0.70M</t>
  </si>
  <si>
    <t>3.86.53</t>
  </si>
  <si>
    <t>ARBUSTO GUAIMBÊ H=0.50 A 0.70M</t>
  </si>
  <si>
    <t>3.86.54</t>
  </si>
  <si>
    <t>ARBUSTO PRIMAVERA H=0.50 A 0.70M</t>
  </si>
  <si>
    <t>3.86.80</t>
  </si>
  <si>
    <t>FORRACAO - CURCULIGO</t>
  </si>
  <si>
    <t>3.86.82</t>
  </si>
  <si>
    <t>FORRACAO - LANTANA</t>
  </si>
  <si>
    <t>3.86.83</t>
  </si>
  <si>
    <t>FORRACAO - LIRIO AMARELO</t>
  </si>
  <si>
    <t>3.86.85</t>
  </si>
  <si>
    <t>ARBUSTO SANQUÉSIA H= 0.50 A 0.70 M</t>
  </si>
  <si>
    <t>3.86.86</t>
  </si>
  <si>
    <t>FORRACAO - PILEA</t>
  </si>
  <si>
    <t>3.86.87</t>
  </si>
  <si>
    <t>FORRACAO - CLOROFITO</t>
  </si>
  <si>
    <t>3.86.88</t>
  </si>
  <si>
    <t>FORRACAO - VEDELIA</t>
  </si>
  <si>
    <t>3.86.90</t>
  </si>
  <si>
    <t>ÁRVORE PEITO DE POMBA H=2,00M (NATIVA PIONEIRA-SP)</t>
  </si>
  <si>
    <t>3.86.91</t>
  </si>
  <si>
    <t>ÁRVORE TÁPIA H=2,00M (NATIVA PIONEIRA-SP)</t>
  </si>
  <si>
    <t>3.86.92</t>
  </si>
  <si>
    <t>ÁRVORE CAPIXINGUI H=2,00M (NATIVA PIONEIRA-SP)</t>
  </si>
  <si>
    <t>3.86.93</t>
  </si>
  <si>
    <t>ÁRVORE INGÁ H=2,00M (NATIVA PIONEIRA-SP)</t>
  </si>
  <si>
    <t>3.86.94</t>
  </si>
  <si>
    <t>ÁRVORE FUMO BRAVO H=2,00M (NATIVA PIONEIRA-SP)</t>
  </si>
  <si>
    <t>3.86.95</t>
  </si>
  <si>
    <t>ÁRVORE MUTAMBO H=2,00M (NATIVA PIONEIRA-SP)</t>
  </si>
  <si>
    <t>3.86.96</t>
  </si>
  <si>
    <t>ÁRVORE AÇOITA CAVALO H=2,00M (NATIVA PIONEIRA-SP)</t>
  </si>
  <si>
    <t>3.86.97</t>
  </si>
  <si>
    <t>ÁRVORE PAU POLVORA H=2,00M (NATIVA PIONEIRA-SP)</t>
  </si>
  <si>
    <t>3.87.11</t>
  </si>
  <si>
    <t>FITA ADESIVA ANTIDERRAPANTE L=50MM COR PRETA 20 METROS</t>
  </si>
  <si>
    <t>3.87.12</t>
  </si>
  <si>
    <t>SELADOR DE BORDA SECAGEM RAPIDA (BISNAGA) P/ FITA ANTIDERRAPANTE</t>
  </si>
  <si>
    <t>3.87.13</t>
  </si>
  <si>
    <t>PRIMER ADESIVO CONTATO FITA ANTIDERRAPANTE 900 ML</t>
  </si>
  <si>
    <t>3.87.15</t>
  </si>
  <si>
    <t>PLACA DE IDENTIFICACAO EM ACRILICO 15X30CM</t>
  </si>
  <si>
    <t>3.87.16</t>
  </si>
  <si>
    <t>SI-01 PLACA DE SINALIZAÇÃO DE AMBIENTES 200X200MM (PORTA)</t>
  </si>
  <si>
    <t>3.87.17</t>
  </si>
  <si>
    <t>SI-02 PLACA DE SINALIZAÇÃO DE AMBIENTES 200X200MM (PAREDE)</t>
  </si>
  <si>
    <t>3.87.18</t>
  </si>
  <si>
    <t>SI-03 PLACA DE SINALIZAÇÃO DE AMBIENTES 200X200MM (PAREDE)</t>
  </si>
  <si>
    <t>3.87.19</t>
  </si>
  <si>
    <t>SI-04 PLACA DE SINALIZAÇÃO DE AMBIENTES 700X200MM (PORTA)</t>
  </si>
  <si>
    <t>3.87.20</t>
  </si>
  <si>
    <t>FITA ADESIVA P/DEMARCAÇÃO PISO (3M SCOTCH 471)AMAR</t>
  </si>
  <si>
    <t>3.87.21</t>
  </si>
  <si>
    <t>SI-05 PLACA DE SINALIZAÇÃO DE AMBIENTES 700X200MM (PAREDE)</t>
  </si>
  <si>
    <t>3.87.22</t>
  </si>
  <si>
    <t>SI-06 PLACA DE SINALIZAÇÃO DE AMBIENTES 700X200MM (PAREDE)</t>
  </si>
  <si>
    <t>3.87.23</t>
  </si>
  <si>
    <t>SI-07 PLACA DE SINALIZAÇÃO DE AMBIENTES 500X60MM (PAREDE) / BRAILLE</t>
  </si>
  <si>
    <t>3.87.24</t>
  </si>
  <si>
    <t>SI-08 PLACA DE SINALIZAÇÃO DE AMBIENTES 30X30MM (CORRIMÃO)</t>
  </si>
  <si>
    <t>3.87.25</t>
  </si>
  <si>
    <t>SI-09 PLACA DE SINALIZAÇÃO DE AMBIENTES 500X500MM (PAREDE EXTERNA)</t>
  </si>
  <si>
    <t>3.87.26</t>
  </si>
  <si>
    <t>SI-10 PLACA DE SINALIZAÇÃO DE AMBIENTES 500X700MM (PAREDE EXTERNA)</t>
  </si>
  <si>
    <t>3.87.27</t>
  </si>
  <si>
    <t>SI-12 TOTEM DE SINALIZAÇÃO</t>
  </si>
  <si>
    <t>3.87.28</t>
  </si>
  <si>
    <t>SI-13 PLACA DE SINALIZAÇÃO DE AMBIENTES 540X200MM (PAINEL/PORTA)</t>
  </si>
  <si>
    <t>3.87.29</t>
  </si>
  <si>
    <t>SI-14 PLACA DE SINALIZAÇÃO DE AMBIENTES 300X300MM (PAREDE/PAINEL)</t>
  </si>
  <si>
    <t>3.87.30</t>
  </si>
  <si>
    <t>FORNECIMENTO DE PLACA DE OBRA</t>
  </si>
  <si>
    <t>3.87.32</t>
  </si>
  <si>
    <t>SI-15 PLACA DE SINALIZAÇÃO DE AMBIENTES 200X200MM (PAREDE/PAINEL)</t>
  </si>
  <si>
    <t>3.87.33</t>
  </si>
  <si>
    <t>SI-16 PLACA DE SINALIZAÇÃO DE AMBIENTES 700X200MM (PAREDE/PAINEL)</t>
  </si>
  <si>
    <t>3.87.34</t>
  </si>
  <si>
    <t>SI-17 PLACA DE SINALIZAÇÃO DE AMBIENTES 200X200MM (PAREDE/PAINEL)</t>
  </si>
  <si>
    <t>3.87.40</t>
  </si>
  <si>
    <t>ADESIVO PARA PORTA CORTA FOGO (APERTE E EMPURRE)</t>
  </si>
  <si>
    <t>3.90.55</t>
  </si>
  <si>
    <t>FORNECIMENTO E MONTAGEM DO CONJUNTO DE ESTR.PRÉ-FABRICADA DE MADEIRA DESMONTAVEL -PROJ REF1201040 PROJETO ÍNDIO</t>
  </si>
  <si>
    <t>3.90.75</t>
  </si>
  <si>
    <t>COLA PARA CHAPAS MELAMINICAS</t>
  </si>
  <si>
    <t>3.90.76</t>
  </si>
  <si>
    <t>COLA BRANCA ESPECIF P/PISO TACOS MADEIRA</t>
  </si>
  <si>
    <t>3.91.11</t>
  </si>
  <si>
    <t>EXAUSTOR AXIAL DN 40CM 1/3 HP</t>
  </si>
  <si>
    <t>3.91.20</t>
  </si>
  <si>
    <t>ESTRADO DE POLIPROPILENO (25X50X2.5CM)</t>
  </si>
  <si>
    <t>4.01.01</t>
  </si>
  <si>
    <t>POSTE DE CONCRETO DUPLO T 90DAN 7.50M</t>
  </si>
  <si>
    <t>4.01.02</t>
  </si>
  <si>
    <t>POSTE DE CONCRETO DUPLO T 200DAN 7.50M</t>
  </si>
  <si>
    <t>4.01.03</t>
  </si>
  <si>
    <t>POSTE DE CONCRETO DUPLO T 300DAN 7.50M</t>
  </si>
  <si>
    <t>4.01.04</t>
  </si>
  <si>
    <t>POSTE AÇO GALV FLANGEADO CÔNICO RETO H=3,00 M PINTURA EPOXI</t>
  </si>
  <si>
    <t>4.01.09</t>
  </si>
  <si>
    <t>POSTE EM ACO ZINCADO H=2.50M DIAM 60MM</t>
  </si>
  <si>
    <t>4.01.11</t>
  </si>
  <si>
    <t>POSTE CONCR TUB OCO 7M C/JANELA INSPECAO</t>
  </si>
  <si>
    <t>4.01.12</t>
  </si>
  <si>
    <t>POSTE CONCR TUB OCO 11M C/JANELA INSPECAO</t>
  </si>
  <si>
    <t>4.01.15</t>
  </si>
  <si>
    <t>POSTE DE CONCRETO CIRCULAR 10,50M/600 DAN</t>
  </si>
  <si>
    <t>4.01.18</t>
  </si>
  <si>
    <t>POSTE CONCR TUBULAR OCO 11M C/ ACESSORIOS P/ SOM</t>
  </si>
  <si>
    <t>4.01.20</t>
  </si>
  <si>
    <t>POSTE DE ACO GALV 3 1/2'X 6M</t>
  </si>
  <si>
    <t>4.01.21</t>
  </si>
  <si>
    <t>POSTE AÇO GALV CURVO C/JAN INSP H=7M ACIMA DO SOLO</t>
  </si>
  <si>
    <t>4.01.25</t>
  </si>
  <si>
    <t>POSTE AÇO GALV,TELECON RETO, FLANGEADO 88,9 MM X 6,0 M</t>
  </si>
  <si>
    <t>4.01.26</t>
  </si>
  <si>
    <t>POSTE AÇO GALV. FLANGEADO CONICO RETO C/SUPORTE P/LUMINÁRIA H=4.00 PINT.EPOXI</t>
  </si>
  <si>
    <t>4.01.28</t>
  </si>
  <si>
    <t>POSTE DE CONCRETO CIRCULAR 11M/600 DAN</t>
  </si>
  <si>
    <t>4.01.29</t>
  </si>
  <si>
    <t>POSTE DE CONCRETO CIRCULAR 11M/1000 DAN</t>
  </si>
  <si>
    <t>4.01.30</t>
  </si>
  <si>
    <t>POSTE DE CONCRETO PADRÃO MULTI 200 CPFL CATEGORIA C-4 (INSTALADO)</t>
  </si>
  <si>
    <t>4.01.31</t>
  </si>
  <si>
    <t>POSTE DE CONCRETO PADRÃO MULTI 200 CPFL CATEGORIA C-5 (INSTALADO)</t>
  </si>
  <si>
    <t>4.01.32</t>
  </si>
  <si>
    <t>POSTE DE CONCRETO PADRÃO MULTI 200 CPFL CATEGORIA C-6 (INSTALADO)</t>
  </si>
  <si>
    <t>4.01.35</t>
  </si>
  <si>
    <t>POSTE ACO GALV RETO C/ JAN INSP 4"X2"X10M</t>
  </si>
  <si>
    <t>4.01.53</t>
  </si>
  <si>
    <t>POSTE DE CONCRETO CIRCULAR 10.50M/1000 DAN</t>
  </si>
  <si>
    <t>4.05.01</t>
  </si>
  <si>
    <t>ISOLADOR DE SUSPENSÃO TIPO BASTÃO CLASSE 15 KV, POLIMÉRICO</t>
  </si>
  <si>
    <t>4.05.02</t>
  </si>
  <si>
    <t>ISOLADOR DE DISCO DE 175MM DE VIDRO</t>
  </si>
  <si>
    <t>4.05.03</t>
  </si>
  <si>
    <t>ISOLADOR DISCO 150MM DE PORCELANA</t>
  </si>
  <si>
    <t>4.05.04</t>
  </si>
  <si>
    <t>ISOLADOR DE PINO 15KV-POLIMÉRICO COM ANEL DE AMARRAÇÃO</t>
  </si>
  <si>
    <t>4.05.05</t>
  </si>
  <si>
    <t>ISOLADOR PARALELO TIPO BUJÃO (POLIESTER C/ FIBRA DE VIDRO)  h=70 MM x D= 30 MM x P=12 MM x M10</t>
  </si>
  <si>
    <t>4.05.07</t>
  </si>
  <si>
    <t>ISOLADOR DE PINO 15KV-PORCELANA</t>
  </si>
  <si>
    <t>4.05.08</t>
  </si>
  <si>
    <t>ISOLADOR DE SUSPENSÃO 15 KV TIPO BASTAO VIDRO TEMPERADO Ø 150MM NBR 7109</t>
  </si>
  <si>
    <t>4.05.09</t>
  </si>
  <si>
    <t>GRAMPO DE ANCORAGEM UNIVERSAL 15KV LIGA DE ALUMINIO CUNHA POLIMERO CABO DE 25 ATE 240 MM2</t>
  </si>
  <si>
    <t>4.05.10</t>
  </si>
  <si>
    <t>ISOLADOR ROLDANA BAIXA TENSAO</t>
  </si>
  <si>
    <t>4.05.30</t>
  </si>
  <si>
    <t>MUFLA TERM UNIP EXT CABO ISOL XLPE 15KV ATE 35MM2</t>
  </si>
  <si>
    <t>4.05.31</t>
  </si>
  <si>
    <t>MUFLA TERM UNIP INT CABO ISOL XLPE 15KV ATE 35MM2</t>
  </si>
  <si>
    <t>4.07.01</t>
  </si>
  <si>
    <t>CABINE CUBÍCULO BLINDADO USO AO TEMPO PADRAO CONCESSIONARIA ENEL CLASSE 17,5KV</t>
  </si>
  <si>
    <t>4.07.03</t>
  </si>
  <si>
    <t>CABINE CUBÍCULO BLINDADO 4 MODULOS USO AO TEMPO PADRAO ENEL SP CLASSE 15KV</t>
  </si>
  <si>
    <t>4.10.01</t>
  </si>
  <si>
    <t>TRANSFORMADOR 45KVA MT=13.2KV+-5%BT=220/127</t>
  </si>
  <si>
    <t>4.10.03</t>
  </si>
  <si>
    <t>TRANSFORMADOR 75KVA MT=13.2KV+-5%BT=220/127</t>
  </si>
  <si>
    <t>4.10.04</t>
  </si>
  <si>
    <t>TRANSFORMADOR 112.5 KVA ÓLEO MINERAL PRIM 13.8/11,4 KV SEC 220/127 NBR 5440/5356</t>
  </si>
  <si>
    <t>4.10.05</t>
  </si>
  <si>
    <t>TRANSFORMADOR 150 KVA ÓLEO MINERAL PRIM 13.8/11,4 KV SEC 220/127 NBR 5440/5356</t>
  </si>
  <si>
    <t>4.10.06</t>
  </si>
  <si>
    <t>TRANSFORMADOR 225 KVA ÓLEO MINERAL PRIM 13.8 /11,4KV SEC 220/127 NBR 5440/5356</t>
  </si>
  <si>
    <t>4.10.07</t>
  </si>
  <si>
    <t>TRANSFORMADOR 300 KVA ÓLEO MINERAL PRIM 13.8/11,4 KV SEC 220/127 NBR 5440/5356</t>
  </si>
  <si>
    <t>4.10.08</t>
  </si>
  <si>
    <t>TRANSFORMADOR 500KVA MT=13.2KV+-5%BT=220/127</t>
  </si>
  <si>
    <t>4.10.09</t>
  </si>
  <si>
    <t>TRANSFORMADOR DE POTENCIAL-15 KV</t>
  </si>
  <si>
    <t>4.10.10</t>
  </si>
  <si>
    <t>TRANSFORMADOR TRIFASICO A SECO 112,5KVA 13800V 220/127V ENCAPSULADO USO ABRIGADO.</t>
  </si>
  <si>
    <t>4.10.11</t>
  </si>
  <si>
    <t>TRANSFORMADOR TRIFASICO A SECO 150KVA 13800V 220/127V ENCAPSULADO USO ABRIGADO</t>
  </si>
  <si>
    <t>4.10.12</t>
  </si>
  <si>
    <t>TRANSFORMADOR TRIFASICO A SECO 225KVA 13800V 220/127V ENCAPSULADO USO ABRIGADO.</t>
  </si>
  <si>
    <t>4.10.13</t>
  </si>
  <si>
    <t>TRANSFORMADOR TRIFASICO A SECO 300KVA 13800V 220/127V ENCAPSULADO USO ABRIGADO</t>
  </si>
  <si>
    <t>4.10.15</t>
  </si>
  <si>
    <t>TRANSFORMADOR CORRENTE-15KV MT(TAXAX 10=$)</t>
  </si>
  <si>
    <t>4.11.03</t>
  </si>
  <si>
    <t>QUADRO DISTR CAPAC P/ 4 A 8 DISJ C/ BARRAMENTO</t>
  </si>
  <si>
    <t>4.11.05</t>
  </si>
  <si>
    <t>QUADRO DISTR CAPAC P/ 10 A 12 DISJ C/ BARRAMENTO</t>
  </si>
  <si>
    <t>4.11.07</t>
  </si>
  <si>
    <t>QUADRO DISTR CAPAC P/ 14 A 20 DISJ C/ BARRAMENTO</t>
  </si>
  <si>
    <t>4.11.10</t>
  </si>
  <si>
    <t>QUADRO DISTR CAPAC P/ 22 A 26 DISJ C/ BARRAMENTO</t>
  </si>
  <si>
    <t>4.11.12</t>
  </si>
  <si>
    <t>QUADRO DISTR CAPAC P/ 28 A 42 DISJ C/ BARRAMENTO</t>
  </si>
  <si>
    <t>4.12.01</t>
  </si>
  <si>
    <t>QUADRO EMBUTIR TELESP/TELEBRAS 20X20X12CM /1 PORTA</t>
  </si>
  <si>
    <t>4.12.03</t>
  </si>
  <si>
    <t>QUADRO EMBUTIR TELESP/TELEBRAS 40X40X12CM /1 PORTA</t>
  </si>
  <si>
    <t>4.12.06</t>
  </si>
  <si>
    <t>QUADRO EMBUTIR TELESP/TELEBRAS 60X60X12CM/2 PORTAS</t>
  </si>
  <si>
    <t>4.17.40</t>
  </si>
  <si>
    <t>RELE FALTA-DE-FASE TRIF ST 220/110V</t>
  </si>
  <si>
    <t>4.17.41</t>
  </si>
  <si>
    <t>IL-06 RELE FOTOELETRICO</t>
  </si>
  <si>
    <t>4.17.42</t>
  </si>
  <si>
    <t>RELE DE SOBRECORRENTE DO DISJ.SACE</t>
  </si>
  <si>
    <t>4.17.44</t>
  </si>
  <si>
    <t>BASE CONEXAO RELE FOTOELETRICO COM 3 PINOS</t>
  </si>
  <si>
    <t>4.17.50</t>
  </si>
  <si>
    <t>RELE BIMET.DE SOBREC.-FAIXA AJUST.2.5-4A</t>
  </si>
  <si>
    <t>4.17.51</t>
  </si>
  <si>
    <t>RELE BIMET.DE SOBREC.-FAIXA AJUST.4-6.3A</t>
  </si>
  <si>
    <t>4.17.52</t>
  </si>
  <si>
    <t>RELE BIMET.DE SOBREC.-FAIXA AJUST.6.3-10A</t>
  </si>
  <si>
    <t>4.17.53</t>
  </si>
  <si>
    <t>RELE BIMET.DE SOBREC.-FAIXA AJUST.8-12.5A</t>
  </si>
  <si>
    <t>4.17.54</t>
  </si>
  <si>
    <t>RELE BIMET.DE SOBREC.-FAIXA AJUST.10-16A</t>
  </si>
  <si>
    <t>4.17.55</t>
  </si>
  <si>
    <t>RELE BIMET.DE SOBREC FAIXA AJUST 16-25A</t>
  </si>
  <si>
    <t>4.17.70</t>
  </si>
  <si>
    <t>CONTACTOR TRIPOLAR ATE 9A</t>
  </si>
  <si>
    <t>4.17.71</t>
  </si>
  <si>
    <t>CONTACTOR TRIPOLAR ATE 12A</t>
  </si>
  <si>
    <t>4.17.72</t>
  </si>
  <si>
    <t>CONTACTOR TRIPOLAR ATE 16A</t>
  </si>
  <si>
    <t>4.17.73</t>
  </si>
  <si>
    <t>CONTACTOR TRIPOLAR ATE 25A</t>
  </si>
  <si>
    <t>4.17.74</t>
  </si>
  <si>
    <t>CONTACTOR TRIPOLAR ATE 32A</t>
  </si>
  <si>
    <t>4.18.01</t>
  </si>
  <si>
    <t>ELETROCALHA (BANDEJA) LISA CHAPA 24 (065MM) PRE ZINCADA 50X50MM</t>
  </si>
  <si>
    <t>4.18.02</t>
  </si>
  <si>
    <t>ELETROCALHA (BANDEJA) LISA CHAPA 24 (065MM) PRE ZINCADA 100X50MM</t>
  </si>
  <si>
    <t>4.18.03</t>
  </si>
  <si>
    <t>ELETROCALHA (BANDEJA) LISA CHAPA 24 (065MM) PRE ZINCADA 150X50MM</t>
  </si>
  <si>
    <t>4.18.04</t>
  </si>
  <si>
    <t>ELETROCALHA (BANDEJA) LISA CHAPA 24 (065MM ) PRE ZINCADA 200X50MM</t>
  </si>
  <si>
    <t>4.18.10</t>
  </si>
  <si>
    <t>ELETROCALHA (TAMPA) LISA CHAPA 24 (065MM) PRE ZINCADA 50X50MM</t>
  </si>
  <si>
    <t>4.18.11</t>
  </si>
  <si>
    <t>ELETROCALHA (TAMPA) LISA CHAPA 24 (065MM) PRE ZINCADA 100X50MM</t>
  </si>
  <si>
    <t>4.18.12</t>
  </si>
  <si>
    <t>ELETROCALHA (TAMPA) LISA CHAPA 24 (065MM) PRE ZINCADA 150X50MM</t>
  </si>
  <si>
    <t>4.18.13</t>
  </si>
  <si>
    <t>ELETROCALHA (TAMPA) LISA CHAPA 24 (065MM) PRE ZINCADA 200X50MM</t>
  </si>
  <si>
    <t>4.20.51</t>
  </si>
  <si>
    <t>CURVA ACO GALV QUENTE 19 MM (3/4") X 90 GRAUS</t>
  </si>
  <si>
    <t>4.20.52</t>
  </si>
  <si>
    <t>CURVA ACO GALV QUENTE 25 MM (1") X 90 GRAUS</t>
  </si>
  <si>
    <t>4.20.80</t>
  </si>
  <si>
    <t>CURVA ACO GALV QUENTE 15 MM (1/2") X 90 GRAUS</t>
  </si>
  <si>
    <t>4.20.83</t>
  </si>
  <si>
    <t>CURVA ACO GALV QUENTE 32 MM (1 1/4") X 90 GRAUS</t>
  </si>
  <si>
    <t>4.21.04</t>
  </si>
  <si>
    <t>CURVA ACO GALV QUENTE 38MM (1 1/2") X 90 GRAUS</t>
  </si>
  <si>
    <t>4.21.05</t>
  </si>
  <si>
    <t>CURVA ACO GALV QUENTE 100 MM (4" ) X 90 GRAUS</t>
  </si>
  <si>
    <t>4.21.30</t>
  </si>
  <si>
    <t>CURVA ACO GALV QUENTE 51 MM (2") X 90 GRAUS</t>
  </si>
  <si>
    <t>4.21.32</t>
  </si>
  <si>
    <t>CURVA ACO GALV QUENTE 64 MM (2 1/2") X 90 GRAUS</t>
  </si>
  <si>
    <t>4.21.34</t>
  </si>
  <si>
    <t>CURVA ACO GALV QUENTE 76 MM (3") X 90 GRAUS</t>
  </si>
  <si>
    <t>4.21.41</t>
  </si>
  <si>
    <t>CURVA ACO GALV QUENTE 25 MM (1") X 180 GRAUS</t>
  </si>
  <si>
    <t>4.21.42</t>
  </si>
  <si>
    <t>CURVA ACO GALV QUENTE 32 MM (1 1/4") X 180 GRAUS</t>
  </si>
  <si>
    <t>4.21.43</t>
  </si>
  <si>
    <t>CURVA ACO GALV QUENTE 38 MM (1 1/2") X 180 GRAUS</t>
  </si>
  <si>
    <t>4.21.44</t>
  </si>
  <si>
    <t>CURVA ACO GALV QUENTE 51 MM (2") X 180 GRAUS</t>
  </si>
  <si>
    <t>4.21.45</t>
  </si>
  <si>
    <t>CURVA ACO GALV QUENTE 64 MM (2 1/2") X 180 GRAUS</t>
  </si>
  <si>
    <t>4.21.46</t>
  </si>
  <si>
    <t>CURVA ACO GALV QUENTE 76 MM (3") X 180 GRAUS</t>
  </si>
  <si>
    <t>4.21.47</t>
  </si>
  <si>
    <t>CABEÇOTE DE ALUMÍNIO DN=65MM</t>
  </si>
  <si>
    <t>4.21.49</t>
  </si>
  <si>
    <t>CABEÇOTE DE ALUMÍNIO DN=80MM</t>
  </si>
  <si>
    <t>4.21.50</t>
  </si>
  <si>
    <t>CABEÇOTE DE ALUMÍNIO DN=100MM (4")</t>
  </si>
  <si>
    <t>4.21.59</t>
  </si>
  <si>
    <t>LUVA ACO GALV QUENTE (NBR-5624) 15 MM (1/2")</t>
  </si>
  <si>
    <t>4.21.60</t>
  </si>
  <si>
    <t>LUVA ACO GALV QUENTE (NBR 5624) 19 MM (3/4")</t>
  </si>
  <si>
    <t>4.21.61</t>
  </si>
  <si>
    <t>LUVA ACO GALV QUENTE (NBR 5624) 25 MM (1")</t>
  </si>
  <si>
    <t>4.21.62</t>
  </si>
  <si>
    <t>LUVA ACO GALV QUENTE (NBR 5624) 32 MM (1 1/4")</t>
  </si>
  <si>
    <t>4.21.63</t>
  </si>
  <si>
    <t>LUVA ACO GALV QUENTE (NBR 5624) 38 MM (1 1/2")</t>
  </si>
  <si>
    <t>4.21.64</t>
  </si>
  <si>
    <t>LUVA ACO GALV QUENTE (NBR 5624) 51 MM (2")</t>
  </si>
  <si>
    <t>4.21.65</t>
  </si>
  <si>
    <t>LUVA ACO GALV QUENTE (NBR 5624) 64 MM (2 1/2")</t>
  </si>
  <si>
    <t>4.21.66</t>
  </si>
  <si>
    <t>LUVA ACO GALV QUENTE (NBR 5624) 76 MM (3")</t>
  </si>
  <si>
    <t>4.21.69</t>
  </si>
  <si>
    <t>LUVA ACO GALV QUENTE (NBR 5624) 100 MM (4")</t>
  </si>
  <si>
    <t>4.21.70</t>
  </si>
  <si>
    <t>ELETROD ACO GALV QUENTE (NBR-5624) 15 MM (1/2")</t>
  </si>
  <si>
    <t>4.21.71</t>
  </si>
  <si>
    <t>ELETROD ACO GALV QUENTE (NBR-5624) 20 MM (3/4")</t>
  </si>
  <si>
    <t>4.21.72</t>
  </si>
  <si>
    <t>ELETROD ACO GALV QUENTE (NBR-5624) 25 MM (1")</t>
  </si>
  <si>
    <t>4.21.73</t>
  </si>
  <si>
    <t>ELETROD ACO GALV QUENTE (NBR-5624) 32 MM (1 1/4")</t>
  </si>
  <si>
    <t>4.21.74</t>
  </si>
  <si>
    <t>ELETROD ACO GALV QUENTE (NBR-5624) 40 MM (1 1/2")</t>
  </si>
  <si>
    <t>4.21.75</t>
  </si>
  <si>
    <t>ELETROD ACO GALV QUENTE (NBR-5624) 50 MM (2")</t>
  </si>
  <si>
    <t>4.21.76</t>
  </si>
  <si>
    <t>ELETROD ACO GALV QUENTE (NBR-5624) 65 MM (2 1/2")</t>
  </si>
  <si>
    <t>4.21.77</t>
  </si>
  <si>
    <t>ELETROD ACO GALV QUENTE (NBR-5624) 80 MM (3")</t>
  </si>
  <si>
    <t>4.21.80</t>
  </si>
  <si>
    <t>ELETROD ACO GALV QUENTE (NBR-5624) 100 MM (4")</t>
  </si>
  <si>
    <t>4.21.82</t>
  </si>
  <si>
    <t>ELETRODUTO ACO GALV ELETROLITICA / PRE ZINCADO 20 MM (3/4) COM LUVA</t>
  </si>
  <si>
    <t>4.25.02</t>
  </si>
  <si>
    <t>ELETRODUTO PVC RIGIDO 25MM (3/4')</t>
  </si>
  <si>
    <t>4.25.03</t>
  </si>
  <si>
    <t>ELETRODUTO PVC RIGIDO 32MM (1')</t>
  </si>
  <si>
    <t>4.25.04</t>
  </si>
  <si>
    <t>ELETRODUTO PVC RIGIDO 38MM (1 1/4)</t>
  </si>
  <si>
    <t>4.25.05</t>
  </si>
  <si>
    <t>ELETRODUTO PVC RIGIDO 50MM (1 1/2')</t>
  </si>
  <si>
    <t>4.25.06</t>
  </si>
  <si>
    <t>ELETRODUTO PVC RIGIDO 60MM (2')</t>
  </si>
  <si>
    <t>4.25.07</t>
  </si>
  <si>
    <t>ELETRODUTO PVC RIGIDO 75MM (2 1/2')</t>
  </si>
  <si>
    <t>4.25.08</t>
  </si>
  <si>
    <t>ELETRODUTO PVC RIGIDO 85MM (3')</t>
  </si>
  <si>
    <t>4.25.09</t>
  </si>
  <si>
    <t>ELETRODUTO PVC RIGIDO 110MM (4')</t>
  </si>
  <si>
    <t>4.26.01</t>
  </si>
  <si>
    <t>ELETRODUTO FLEXIVEL PVC 1/2'</t>
  </si>
  <si>
    <t>4.26.12</t>
  </si>
  <si>
    <t>ELETRODUTO DE POLIETILENO 25 MM</t>
  </si>
  <si>
    <t>4.26.13</t>
  </si>
  <si>
    <t>ELETRODUTO DE PVC 25MM ANTICHAMA AMARELO NBR 15465</t>
  </si>
  <si>
    <t>4.26.14</t>
  </si>
  <si>
    <t>ELETRODUTO DE POLIETILENO 32 MM</t>
  </si>
  <si>
    <t>4.30.01</t>
  </si>
  <si>
    <t>4.30.04</t>
  </si>
  <si>
    <t>FIO DE 1.50 MM2 (ISOL PVC ANTICHAMA 750V)</t>
  </si>
  <si>
    <t>4.30.05</t>
  </si>
  <si>
    <t>FIO DE 2.50 MM2 (ISOL PVC ANTICHAMA 750V)</t>
  </si>
  <si>
    <t>4.30.06</t>
  </si>
  <si>
    <t>FIO DE 4.00 MM2 (ISOL PVC ANTICHAMA 750V)</t>
  </si>
  <si>
    <t>4.30.07</t>
  </si>
  <si>
    <t>FIO DE 6.00 MM2 (ISOL PVC ANTICHAMA 750V)</t>
  </si>
  <si>
    <t>4.30.10</t>
  </si>
  <si>
    <t>4.30.13</t>
  </si>
  <si>
    <t>4.30.14</t>
  </si>
  <si>
    <t>4.30.15</t>
  </si>
  <si>
    <t>4.30.16</t>
  </si>
  <si>
    <t>4.30.17</t>
  </si>
  <si>
    <t>4.30.18</t>
  </si>
  <si>
    <t>4.30.19</t>
  </si>
  <si>
    <t>4.30.20</t>
  </si>
  <si>
    <t>4.30.21</t>
  </si>
  <si>
    <t>4.30.22</t>
  </si>
  <si>
    <t>4.30.23</t>
  </si>
  <si>
    <t>4.30.24</t>
  </si>
  <si>
    <t>4.30.25</t>
  </si>
  <si>
    <t>4.30.26</t>
  </si>
  <si>
    <t>4.30.36</t>
  </si>
  <si>
    <t>4.30.37</t>
  </si>
  <si>
    <t>4.30.38</t>
  </si>
  <si>
    <t>4.30.39</t>
  </si>
  <si>
    <t>4.30.40</t>
  </si>
  <si>
    <t>4.30.41</t>
  </si>
  <si>
    <t>4.30.42</t>
  </si>
  <si>
    <t>4.30.43</t>
  </si>
  <si>
    <t>4.30.54</t>
  </si>
  <si>
    <t>4.30.60</t>
  </si>
  <si>
    <t>FIO TRANCADO PARA TELEFONE - PADRAO TELEBRAS</t>
  </si>
  <si>
    <t>4.30.67</t>
  </si>
  <si>
    <t>FIO BICOLOR POLARIZADO 2X1.00MM2</t>
  </si>
  <si>
    <t>4.31.13</t>
  </si>
  <si>
    <t>4.31.14</t>
  </si>
  <si>
    <t>4.31.20</t>
  </si>
  <si>
    <t>CABO COBRE FLEXIVEL MULTIPOLAR PP 3x1,5 mm2 0,6/1KV</t>
  </si>
  <si>
    <t>4.31.21</t>
  </si>
  <si>
    <t>4.31.22</t>
  </si>
  <si>
    <t>4.31.23</t>
  </si>
  <si>
    <t>4.31.24</t>
  </si>
  <si>
    <t>4.31.25</t>
  </si>
  <si>
    <t>4.31.26</t>
  </si>
  <si>
    <t>CABO BLINDADO (4 X 4,0 MM²)  BLINDAGEM METÁLICA ISOL 750 V NBR 7289 COLORIDO</t>
  </si>
  <si>
    <t>4.31.40</t>
  </si>
  <si>
    <t>CORDOALHA DE AÇO GALV. 50MM2</t>
  </si>
  <si>
    <t>4.31.42</t>
  </si>
  <si>
    <t>CORDOALHA DE ACO GALV. 80MM2 (7/16")</t>
  </si>
  <si>
    <t>4.31.57</t>
  </si>
  <si>
    <t>4.31.58</t>
  </si>
  <si>
    <t>4.31.59</t>
  </si>
  <si>
    <t>4.31.60</t>
  </si>
  <si>
    <t>4.31.61</t>
  </si>
  <si>
    <t>4.31.62</t>
  </si>
  <si>
    <t>4.31.63</t>
  </si>
  <si>
    <t>4.31.64</t>
  </si>
  <si>
    <t>4.31.65</t>
  </si>
  <si>
    <t>4.31.66</t>
  </si>
  <si>
    <t>4.31.67</t>
  </si>
  <si>
    <t>4.31.68</t>
  </si>
  <si>
    <t>4.31.69</t>
  </si>
  <si>
    <t>4.31.70</t>
  </si>
  <si>
    <t>4.31.71</t>
  </si>
  <si>
    <t>4.35.04</t>
  </si>
  <si>
    <t>ISOLADOR TIPO DISCO P/15 KV</t>
  </si>
  <si>
    <t>4.35.55</t>
  </si>
  <si>
    <t>DISJUNTOR TERMOMAGNETICO 3X300A</t>
  </si>
  <si>
    <t>4.35.56</t>
  </si>
  <si>
    <t>DISJUNTOR TRIPOLAR TERMOMAGNETICO 3X200A</t>
  </si>
  <si>
    <t>4.35.57</t>
  </si>
  <si>
    <t>DISJUNTOR TRIPOLAR TERMOMAGNETICO 3X400A</t>
  </si>
  <si>
    <t>4.35.58</t>
  </si>
  <si>
    <t>DISJUNTOR TRIPOLAR TERMOMAGNETICO 3X600A</t>
  </si>
  <si>
    <t>4.35.59</t>
  </si>
  <si>
    <t>DISJUNTOR TRIPOLAR TERMOMAGNETICO 3X800A</t>
  </si>
  <si>
    <t>4.36.10</t>
  </si>
  <si>
    <t>CHAVE REVERSIVEL 3X30 A BASE MARMORE</t>
  </si>
  <si>
    <t>4.36.41</t>
  </si>
  <si>
    <t>CHAVE FACA SECA 2X60A BASE ' MARMORE'</t>
  </si>
  <si>
    <t>4.36.46</t>
  </si>
  <si>
    <t>CHAVE FACA SECA 3X60A 'MARMORE'</t>
  </si>
  <si>
    <t>4.36.47</t>
  </si>
  <si>
    <t>CHAVE FACA SECA 3X100A 'MARMORE'</t>
  </si>
  <si>
    <t>4.36.55</t>
  </si>
  <si>
    <t>CHAVE FACA BLIND TRIP C/FUSIV 100A</t>
  </si>
  <si>
    <t>4.36.57</t>
  </si>
  <si>
    <t>CHAVE FACA BLIND TRIP C/FUSIV 200A</t>
  </si>
  <si>
    <t>4.36.70</t>
  </si>
  <si>
    <t>CHAVE BLINDADA C/FUSIVEL 3X30A B.T.</t>
  </si>
  <si>
    <t>4.36.71</t>
  </si>
  <si>
    <t>CHAVE BLINDADA C/FUSIVEL 3X60 A B.T.</t>
  </si>
  <si>
    <t>4.36.91</t>
  </si>
  <si>
    <t>CHAVE SECC TRIP SECA 200A/15KV S/FS</t>
  </si>
  <si>
    <t>4.36.95</t>
  </si>
  <si>
    <t>CHAVE SECC ACAO RAPIDA 3X100 A</t>
  </si>
  <si>
    <t>4.36.96</t>
  </si>
  <si>
    <t>CHAVE SECC ACAO RAPIDA 3X250 A</t>
  </si>
  <si>
    <t>4.36.98</t>
  </si>
  <si>
    <t>CHAVE SECC ACAO RAPIDA 3X630 A</t>
  </si>
  <si>
    <t>4.37.13</t>
  </si>
  <si>
    <t>CHAVE FUSÍVEL DISTRIBUIÇÃO "DHC" 15KV CAP NOMINAL DA BASE 300 A CLASSE 2 TIPO C NBR 7282 E NBI: 95/</t>
  </si>
  <si>
    <t>4.40.01</t>
  </si>
  <si>
    <t>BASE FUSIVEIS DIAZED COMPLETA ATE 25A</t>
  </si>
  <si>
    <t>4.40.02</t>
  </si>
  <si>
    <t>BASE FUSIVEIS DIAZED COMPLETA P/ 63 A</t>
  </si>
  <si>
    <t>4.40.10</t>
  </si>
  <si>
    <t>FUSIVEL DIAZED ATE 25A</t>
  </si>
  <si>
    <t>4.40.31</t>
  </si>
  <si>
    <t>BASE CHAPA 14 P/FIX DISJ NO Q.D.</t>
  </si>
  <si>
    <t>4.41.02</t>
  </si>
  <si>
    <t>FUSIVEL DIAZED RAP/RET 2/35 A $MD</t>
  </si>
  <si>
    <t>4.45.10</t>
  </si>
  <si>
    <t>DPS - DISPOSITIVO DE PROT. CONTRA SURTOS 40 KA</t>
  </si>
  <si>
    <t>4.45.15</t>
  </si>
  <si>
    <t>DPS - DISPOSITIVO DE PROT. CONTRA SURTOS TEL 20KA</t>
  </si>
  <si>
    <t>4.45.62</t>
  </si>
  <si>
    <t>DISJUNTOR UNIPOLAR TERMOMAGNETICO 1X60A A 1X70A</t>
  </si>
  <si>
    <t>4.45.72</t>
  </si>
  <si>
    <t>DISJUNTOR UNIPOLAR TERMOMAGNETICO 1X90A A 1X100A</t>
  </si>
  <si>
    <t>4.45.93</t>
  </si>
  <si>
    <t>INTERRUPTOR AUTOM.DIFER.(DISPOSITIVO DR)40A/30MA</t>
  </si>
  <si>
    <t>4.45.94</t>
  </si>
  <si>
    <t>INTERRUPTOR AUTOM.DIFER.(DISPOSITIVO DR)63A/30MA</t>
  </si>
  <si>
    <t>4.45.95</t>
  </si>
  <si>
    <t>INTERRUPTOR AUTOM.DIFER.(DISPOSITIVO DR)40A/300MA</t>
  </si>
  <si>
    <t>4.45.96</t>
  </si>
  <si>
    <t>INTERRUPTOR AUTOM.DIFER.(DISPOSITIVO DR)63A/300MA</t>
  </si>
  <si>
    <t>4.46.10</t>
  </si>
  <si>
    <t>DISJUNTOR BIPOLAR TERMOMAGNETICO 2X10A A 2X50A</t>
  </si>
  <si>
    <t>4.46.12</t>
  </si>
  <si>
    <t>DISJUNTOR BIPOLAR TERMOMAGNETICO 2X60A A 2X100A</t>
  </si>
  <si>
    <t>4.46.13</t>
  </si>
  <si>
    <t>DISJUNTOR BIPOLAR TERMOMAGNÉTICO 2X125A A 2X225A</t>
  </si>
  <si>
    <t>4.46.15</t>
  </si>
  <si>
    <t>DISJUNTOR TRIPOLAR TERMOMAGNETICO 3X10A A 3X50A</t>
  </si>
  <si>
    <t>4.46.30</t>
  </si>
  <si>
    <t>DISJUNTOR UNIPOLAR TERMOMAGNETICO 1X10A A 1X30A</t>
  </si>
  <si>
    <t>4.46.31</t>
  </si>
  <si>
    <t>DISJUNTOR UNIPOLAR TERMOMAGNETICO 1X35A A 1X50A</t>
  </si>
  <si>
    <t>4.46.40</t>
  </si>
  <si>
    <t>DISJUNTOR TRIPOLAR TERMOMAGNETICO 3X60A A 3X100A</t>
  </si>
  <si>
    <t>4.46.56</t>
  </si>
  <si>
    <t>DISJUNTOR VOL.REDUZIDO OLEO 15KV/250 PL15B MVA 630 COMPLETO</t>
  </si>
  <si>
    <t>4.46.65</t>
  </si>
  <si>
    <t>DISJUNTOR TRIPOLAR TERMOMAGNETICO 125A A 225A</t>
  </si>
  <si>
    <t>4.46.70</t>
  </si>
  <si>
    <t>BOBINA MINIMA DO DISJUNTOR OLEO</t>
  </si>
  <si>
    <t>4.46.75</t>
  </si>
  <si>
    <t>MANOPLA DE COMANDO P/DISJUNTOR A.T.</t>
  </si>
  <si>
    <t>4.46.80</t>
  </si>
  <si>
    <t>OLEO MINERAL P/DISJUNTOR E TRANSF</t>
  </si>
  <si>
    <t>4.50.01</t>
  </si>
  <si>
    <t>CAIXA PASS CH TAMPA PARAF 10X10X8 CM</t>
  </si>
  <si>
    <t>4.50.02</t>
  </si>
  <si>
    <t>CAIXA PASS CH TAMPA PARAF 15X15X8 CM</t>
  </si>
  <si>
    <t>4.50.03</t>
  </si>
  <si>
    <t>CAIXA PASS CH TAMPA PARAF 20X20X10 CM</t>
  </si>
  <si>
    <t>4.50.05</t>
  </si>
  <si>
    <t>CAIXA PASS CH TAMPA PARAF 30X30X12 CM</t>
  </si>
  <si>
    <t>4.50.07</t>
  </si>
  <si>
    <t>CAIXA PASS CH TAMPA PARAF 40X40X15 CM</t>
  </si>
  <si>
    <t>4.50.09</t>
  </si>
  <si>
    <t>CAIXA PASS CH TAMPA PARAF 50X50X15 CM</t>
  </si>
  <si>
    <t>4.50.20</t>
  </si>
  <si>
    <t>CAIXA DE PASSAGEM DE ALUM. 10X10X6CM ANTI-UMIDADE</t>
  </si>
  <si>
    <t>4.50.21</t>
  </si>
  <si>
    <t>CAIXA DE PASSAGEM DE ALUM. 15X15X10CM ANTI-UMIDADE</t>
  </si>
  <si>
    <t>4.50.22</t>
  </si>
  <si>
    <t>CAIXA DE PASSAGEM DE ALUM. 20X20X10CM ANTI-UMIDADE</t>
  </si>
  <si>
    <t>4.50.23</t>
  </si>
  <si>
    <t>CAIXA DE PASSAGEM DE ALUM. 30X30X12CM ANTI-UMIDADE</t>
  </si>
  <si>
    <t>4.50.24</t>
  </si>
  <si>
    <t>CAIXA DE PASSAGEM DE ALUM. 40X40X20CM ANTI-UMIDADE</t>
  </si>
  <si>
    <t>4.51.03</t>
  </si>
  <si>
    <t>SOBRE PORTA EXTERNA METÁLICA C/VENEZIANAS 185X95CM CHAPA 16 MSG</t>
  </si>
  <si>
    <t>4.51.05</t>
  </si>
  <si>
    <t>SOBRE PORTA EXTERNA METÁLICA C/VENEZIANAS 185X160CM CHAPA 16 MSG</t>
  </si>
  <si>
    <t>4.51.06</t>
  </si>
  <si>
    <t>CAIXA DE MEDIÇÃO E PROTEÇÃO 180X160x40 CM CHAPA # 16 MSG PADRAO CPFL</t>
  </si>
  <si>
    <t>4.51.08</t>
  </si>
  <si>
    <t>CAIXA CH.ACO - 18 TIPO II 560X300X200 MM EXTERNA</t>
  </si>
  <si>
    <t>4.51.09</t>
  </si>
  <si>
    <t>CAIXA EM CHAPA TIPO "M" PADRAO ELETROPAULO</t>
  </si>
  <si>
    <t>4.51.11</t>
  </si>
  <si>
    <t>CAIXA TIPO 'T' 60X90X25CM ELETROPAULO</t>
  </si>
  <si>
    <t>4.51.14</t>
  </si>
  <si>
    <t>CAIXA TIPO "S" 60X110CM # 16 MSG</t>
  </si>
  <si>
    <t>4.51.16</t>
  </si>
  <si>
    <t>CAIXA PROTECAO CHAPA DE FERRO No16 DE 90X40X25CM</t>
  </si>
  <si>
    <t>4.51.17</t>
  </si>
  <si>
    <t>CAIXA CHAPA FERRO 16 DE 50X30X25CM</t>
  </si>
  <si>
    <t>4.51.18</t>
  </si>
  <si>
    <t>CAIXA TIPO "E" 35x62,5x21cm PADRAO ELETROPAULO</t>
  </si>
  <si>
    <t>4.51.19</t>
  </si>
  <si>
    <t>CAIXA TIPO "IV" 30,20 x 55,3 x 21cm CPFL, EDP BANDEIRANTE E ELEKTRO</t>
  </si>
  <si>
    <t>4.51.21</t>
  </si>
  <si>
    <t>CAIXA P/ MEDICAO 50X60X25CM BANDEIRANTE/CPFL/ELEKTRO</t>
  </si>
  <si>
    <t>4.51.22</t>
  </si>
  <si>
    <t>CUBICULO: QUADRO GERAL PORTA/FECH/ACO 100x125x25CM</t>
  </si>
  <si>
    <t>4.51.23</t>
  </si>
  <si>
    <t>CAIXA P/TRANSF COR 60X70X25CM ELEKTRO</t>
  </si>
  <si>
    <t>4.51.25</t>
  </si>
  <si>
    <t>CAIXA P/MEDICAO ENERGIA/ATIV/REATI 70X60X25CM ELEKTRO</t>
  </si>
  <si>
    <t>4.51.28</t>
  </si>
  <si>
    <t>CAIXA DE MEDICÃO TIPO A1 P/POSTO PRIMÁRIO CHAPA 16 MSG</t>
  </si>
  <si>
    <t>4.51.29</t>
  </si>
  <si>
    <t>SOBRE PORTA EXTERNA METÁLICA C/VENEZIANAS 215X115CM CHAPA 16 MSG</t>
  </si>
  <si>
    <r>
      <rPr>
        <sz val="7"/>
        <rFont val="Arial"/>
        <family val="2"/>
      </rPr>
      <t>4.51.30</t>
    </r>
  </si>
  <si>
    <t>CAIXA DE MEDIÇÃO TIPO "A-4"   CHAPA # 16  900 x 750 x 250 MM  PADRAO EDP - SÃO PAULO</t>
  </si>
  <si>
    <t>4.51.32</t>
  </si>
  <si>
    <t>CAIXA VENEZIANA TELEFONICA 15X25X10CM</t>
  </si>
  <si>
    <t>4.51.35</t>
  </si>
  <si>
    <t>CAIXA 4"X2"</t>
  </si>
  <si>
    <t>4.51.36</t>
  </si>
  <si>
    <t>CAIXA ESTAMPADA 3X3'</t>
  </si>
  <si>
    <t>4.51.37</t>
  </si>
  <si>
    <t>CAIXA 4"X4"</t>
  </si>
  <si>
    <t>4.51.40</t>
  </si>
  <si>
    <t>CAIXA PASSAGEM FUNDO MOVEL 4"X4" (TIPO FM2)</t>
  </si>
  <si>
    <t>4.51.50</t>
  </si>
  <si>
    <t>CONDULETE DE 1/2"</t>
  </si>
  <si>
    <t>4.51.53</t>
  </si>
  <si>
    <t>CONDULETE DE 1"</t>
  </si>
  <si>
    <t>4.51.54</t>
  </si>
  <si>
    <t>CONDULETE DE 1 1/4"</t>
  </si>
  <si>
    <t>4.51.55</t>
  </si>
  <si>
    <t>CONDULETE DE 1 1/2"</t>
  </si>
  <si>
    <t>4.51.56</t>
  </si>
  <si>
    <t>CONDULETE DE 2"</t>
  </si>
  <si>
    <t>4.51.57</t>
  </si>
  <si>
    <t>CONECTOR CURVO Ø 3/4 COM ROSCA BSP</t>
  </si>
  <si>
    <t>4.51.61</t>
  </si>
  <si>
    <t>CAIXA BLINDADA DE ALUMINIO FUNDIDO 200X200MM</t>
  </si>
  <si>
    <t>4.51.65</t>
  </si>
  <si>
    <t>JANELA DE VENTILACAO ELETROPAULO 0,40X0,40X0,15M</t>
  </si>
  <si>
    <t>4.51.70</t>
  </si>
  <si>
    <t>CONDULETE DE ALUMINIO 4"X2"XD=3/4"</t>
  </si>
  <si>
    <t>4.51.71</t>
  </si>
  <si>
    <t>CONDULETE DE ALUMINIO 4"X2" "C" D=3/4"</t>
  </si>
  <si>
    <t>4.51.72</t>
  </si>
  <si>
    <t>CONDULETE DE ALUMINIO 4"X4" "C" D=3/4"</t>
  </si>
  <si>
    <t>4.55.19</t>
  </si>
  <si>
    <t>TOMADA 2P+T PADRAO NBR 14136 CORRENTE 10A-250V</t>
  </si>
  <si>
    <t>4.55.25</t>
  </si>
  <si>
    <t>ESPELHO 4"X2"</t>
  </si>
  <si>
    <t>4.55.26</t>
  </si>
  <si>
    <t>ESPELHO 4"X4"</t>
  </si>
  <si>
    <t>4.55.50</t>
  </si>
  <si>
    <t>AUTOMÁTICO DE BÓIA. EM POLIPROPILENO. (ELETRICO 16A) CONTATO ISENTO DE MERCÚRIO</t>
  </si>
  <si>
    <t>4.55.51</t>
  </si>
  <si>
    <t>BOTOEIRA COMANDO LIG-DESL P/BOMBA</t>
  </si>
  <si>
    <t>4.56.08</t>
  </si>
  <si>
    <t>TOMADA 2P+T PADRAO NBR 14136 CORRENTE 20A-250V</t>
  </si>
  <si>
    <t>4.56.11</t>
  </si>
  <si>
    <t>TOMADA DE PISO 2P+T PADRAO NBR 14136 CORRENTE 10A-250V CX.4"X2" INCL. ESPELHO</t>
  </si>
  <si>
    <t>4.56.12</t>
  </si>
  <si>
    <t>TOMADA DE PISO TEL/LOGICA CX.4"X2" INCL ESPELHO</t>
  </si>
  <si>
    <t>4.56.13</t>
  </si>
  <si>
    <t>TOMADA INDUSTRIAL DE PAREDE 2P+T 32 AMPERES 220/240V ESTANQUE IP65</t>
  </si>
  <si>
    <t>4.56.20</t>
  </si>
  <si>
    <t>TOMADA LIGACAO ALUMINIO P/PERFILADO</t>
  </si>
  <si>
    <t>4.56.25</t>
  </si>
  <si>
    <t>PLUG PARA TOMADA 2P + T 20A-250V (PIAL 650671)</t>
  </si>
  <si>
    <t>4.56.49</t>
  </si>
  <si>
    <t>INTERRUPTOR 1 TECLA E TOMADA SEM ESPELHO</t>
  </si>
  <si>
    <t>4.56.50</t>
  </si>
  <si>
    <t>INTERRUPTOR 1 TECLA SIMPLES E TOMADA 2P+T PADRÃO NBR 14136 CORRENTE 10A</t>
  </si>
  <si>
    <t>4.56.51</t>
  </si>
  <si>
    <t>INTERRUPTOR 1 TECLA PARAL SILENT COMPL</t>
  </si>
  <si>
    <t>4.56.52</t>
  </si>
  <si>
    <t>INTERRUPTOR 1 TECLA SILENTOQUE COMPL</t>
  </si>
  <si>
    <t>4.56.53</t>
  </si>
  <si>
    <t>INTERRUPTOR 2 TECLAS SILENTOQUE COMPL</t>
  </si>
  <si>
    <t>4.56.54</t>
  </si>
  <si>
    <t>INTERRUPTOR 3 TECLAS SILENTOQUE COMPL</t>
  </si>
  <si>
    <t>4.56.55</t>
  </si>
  <si>
    <t>INTERRUPTOR PARALELO BIPOLAR COMPL</t>
  </si>
  <si>
    <t>4.56.56</t>
  </si>
  <si>
    <t>INTERRUPTOR 1 TECLA SILENT S/ESPELHO</t>
  </si>
  <si>
    <t>4.56.57</t>
  </si>
  <si>
    <t>INTERRUPTOR PARAL 1 TECLA S/ESPELHO</t>
  </si>
  <si>
    <t>4.56.58</t>
  </si>
  <si>
    <t>INTERRUPTOR 1 TECLA BIPOLAR COMPL</t>
  </si>
  <si>
    <t>4.56.59</t>
  </si>
  <si>
    <t>INTERRUPTOR 2 TECLAS BIPOLAR S/ESP</t>
  </si>
  <si>
    <t>4.56.61</t>
  </si>
  <si>
    <t>BOTAO DE CAMPAINHA S/ESPELHO</t>
  </si>
  <si>
    <t>4.56.62</t>
  </si>
  <si>
    <t>BOTAO DE CAMPAINHA COMPLETO</t>
  </si>
  <si>
    <t>4.56.63</t>
  </si>
  <si>
    <t>INTERRUPTOR 1 TECLA BIPOLAR SEM ESPELHO</t>
  </si>
  <si>
    <t>4.56.68</t>
  </si>
  <si>
    <t>INTERRUPTOR 2 TECLAS SILENT SEM ESPELHO</t>
  </si>
  <si>
    <t>4.56.69</t>
  </si>
  <si>
    <t>INTERRUPTOR 3 TECLAS SILENT SEM ESPELHO</t>
  </si>
  <si>
    <t>4.56.70</t>
  </si>
  <si>
    <t>INTERRUPTOR PARALELO BIPOLAR SEM ESPELHO</t>
  </si>
  <si>
    <t>4.60.01</t>
  </si>
  <si>
    <t>IL-108 LUMINÁRIA LED &lt;= 70W ÁREA EXTERNA CORPO EM ALUMÍNIO</t>
  </si>
  <si>
    <t>4.60.02</t>
  </si>
  <si>
    <t>IL-107 LUMINÁRIA LED &lt;= 50W CORPO E SUPORTE FIXAÇÃO EM ALUMÍNIO</t>
  </si>
  <si>
    <t>4.60.03</t>
  </si>
  <si>
    <t>IL-102 PROJETOR ANGULAR LAMPADA LED &lt;=200 W C/ DIFUSOR DE POLICARBONATO</t>
  </si>
  <si>
    <t>4.60.04</t>
  </si>
  <si>
    <t>IL-106 LUMINÁRIA LED &lt;= 60W CORPO E SUPORTE FIXAÇÃO EM ALUMÍNIO</t>
  </si>
  <si>
    <t>4.60.05</t>
  </si>
  <si>
    <t>IL-105 LUMINÁRIA ALUMÍNIO SINALIZADOR TOPO DE EDIFÍCIO / RESERVATÓRIO</t>
  </si>
  <si>
    <t>4.60.06</t>
  </si>
  <si>
    <t>IL-103 ARANDELA ALUMÍNIO BLINDADA (TARTARUGA) P/LAMPADA LED BULBO ROSCA E27</t>
  </si>
  <si>
    <t>4.60.07</t>
  </si>
  <si>
    <t>RELE FOTO ELETRÔNICO CORPO POLIPROPILENO COR AZUL PROTEÇÃO UV.</t>
  </si>
  <si>
    <t>4.60.08</t>
  </si>
  <si>
    <t>IL-98 LUMINÁRIA LED SUSPENSA &gt;= 60W Ø 385 MM</t>
  </si>
  <si>
    <t>4.60.11</t>
  </si>
  <si>
    <t>IL-89 LUMINÁRIA LED DE EMBUTIR COM DIFUSOR TRANSLÚCIDO &gt;= 21W</t>
  </si>
  <si>
    <t>4.60.12</t>
  </si>
  <si>
    <t>IL-91 LUMINÁRIA LED DE EMBUTIR COM DIFUSOR TRANSLÚCIDO &lt;= 39W</t>
  </si>
  <si>
    <t>4.60.13</t>
  </si>
  <si>
    <t>IL-93 LUMINÁRIA LED PENDENTE COM DIFUSOR TRANSLÚCIDO &lt;= 39W</t>
  </si>
  <si>
    <t>4.60.14</t>
  </si>
  <si>
    <t>IL-95 LUMINÁRIA LED QUADRADA DE EMBUTIR COM DIFUSOR TRANSLÚCIDO &lt;= 40W</t>
  </si>
  <si>
    <t>4.60.15</t>
  </si>
  <si>
    <t>IL-111 LUMINÁRIA LED &lt;= 70W ÁREA EXTERNA CORPO EM ALUMÍNIO</t>
  </si>
  <si>
    <t>4.60.16</t>
  </si>
  <si>
    <t>BRAÇO COM SAPATA INCLINAÇÃO 5º AÇO GALVANIZADO Ø 60,3 MMX100CM</t>
  </si>
  <si>
    <t>4.60.17</t>
  </si>
  <si>
    <t>IL-104 ARANDELA ALUMÍNIO BLINDADA INCLINADA 45º P/LÂMPADA LED BULBO ROSCA E27</t>
  </si>
  <si>
    <t>4.60.19</t>
  </si>
  <si>
    <t>IL-92 LUMINÁRIA LED PENDENTE C/DIFUSOR TRANSLÚCIDO &lt;= 24W</t>
  </si>
  <si>
    <t>4.60.21</t>
  </si>
  <si>
    <t>IL-96 LUMINÁRIA LED QUADRADA DE SOBREPOR DIMERIZÁVEL C/DIFUSOR TRANSLÚCIDO &lt;= 40W</t>
  </si>
  <si>
    <t>4.60.23</t>
  </si>
  <si>
    <t>4.60.24</t>
  </si>
  <si>
    <t>IL-59 ARANDELA BLINDADA ALUMINIO (TARTARUGA) P/LAMPADA LED BULBO ROSCA E27</t>
  </si>
  <si>
    <t>4.60.25</t>
  </si>
  <si>
    <t>LUMINARIA LED TUBUL DRIVER INTEGRADO NA CALHA C=594MM H=72MM</t>
  </si>
  <si>
    <t>4.60.27</t>
  </si>
  <si>
    <t>GANCHO CURTO H=100MM PARA LUMINARIA /PERFILADO 38X38 COM PARAFUSOS</t>
  </si>
  <si>
    <t>4.60.30</t>
  </si>
  <si>
    <t>BRACO ACO GALVANIZADO DIAM 25.4MMX1.0M P/ILUM.EXT.</t>
  </si>
  <si>
    <t>4.60.32</t>
  </si>
  <si>
    <t>IL-90 LUMINÁRIA LED DE SOBREPOR C/DIFUSOR TRANSLÚCIDO &lt;= 39W</t>
  </si>
  <si>
    <t>4.60.34</t>
  </si>
  <si>
    <t>IL-86 LUMINÁRIA LED HERMÉTICA DE SOBREPOR C/DIFUSOR TRANSLÚCIDO &lt;= 36W</t>
  </si>
  <si>
    <t>4.60.44</t>
  </si>
  <si>
    <t>IL-94 LUMINÁRIA LED QUADRADA DE SOBREPOR C/DIFUSOR TRANSLÚCIDO &lt;= 40W</t>
  </si>
  <si>
    <t>4.60.46</t>
  </si>
  <si>
    <t>PLAFON ALUM SOBREPOR BOCA 10 'BR'</t>
  </si>
  <si>
    <t>4.60.48</t>
  </si>
  <si>
    <t>IL-88 LUMINÁRIA LED DE SOBREPOR C/DIFUSOR TRANSLÚCIDO &lt;= 24W</t>
  </si>
  <si>
    <t>4.60.49</t>
  </si>
  <si>
    <t>LUMINÁRIA AUTONOMA DE EMERGÊNCIA COMPLETA COM 30 LEDS, BATERIA E ACESSÓRIOS</t>
  </si>
  <si>
    <t>4.60.51</t>
  </si>
  <si>
    <t>IL-13 REFLETOR TIPO INDUSTRIAL(DD)</t>
  </si>
  <si>
    <t>4.60.52</t>
  </si>
  <si>
    <t>IL-14 REFLETOR TIPO INDUSTRIAL (DC) C/GRADE</t>
  </si>
  <si>
    <t>4.60.54</t>
  </si>
  <si>
    <t>IL-87 LUMINÁRIA LED HERMÉTICA DE SOBREPOR C/DIFUSOR TRANSLÚCIDO &lt;= 50W</t>
  </si>
  <si>
    <t>4.60.55</t>
  </si>
  <si>
    <t>CRUZETA P/FIX 2 LUMIN EXTERNA</t>
  </si>
  <si>
    <t>4.60.56</t>
  </si>
  <si>
    <t>IL-98 LUMINÁRIA LED SUSPENSA &lt;= 68W Ø 190MM</t>
  </si>
  <si>
    <t>4.60.61</t>
  </si>
  <si>
    <t>4.60.62</t>
  </si>
  <si>
    <t>4.60.63</t>
  </si>
  <si>
    <t>IL-06 SINALIZADOR LUZ DE OBSTACULO</t>
  </si>
  <si>
    <t>4.60.65</t>
  </si>
  <si>
    <t>IL-100 PROJETOR LED 50W C/DIFUSOR DE VIDRO TEMPERADO</t>
  </si>
  <si>
    <t>4.60.67</t>
  </si>
  <si>
    <t>VARIADOR DE LUMINOSIDADE ROTATIVO (DIMER)</t>
  </si>
  <si>
    <t>4.60.71</t>
  </si>
  <si>
    <t>IL-37 LUMIN. ABERTA - LAMP. V. MERC./MISTA 160W</t>
  </si>
  <si>
    <t>4.60.78</t>
  </si>
  <si>
    <t>IL-97 LUMINÁRIA LED QUADRADA DIMERIZÁVEL DE EMBUTIR COM DIFUSOR TRANSLÚCIDO &lt;= 40W</t>
  </si>
  <si>
    <t>4.60.79</t>
  </si>
  <si>
    <t>IL-99 LUMINÁRIA LED SUSPENSA &lt;= 150W Ø 270 MM</t>
  </si>
  <si>
    <t>4.60.80</t>
  </si>
  <si>
    <t>IL-99 LUMINÁRIA LED SUSPENSA &lt;= 150W Ø 450 MM</t>
  </si>
  <si>
    <t>4.60.82</t>
  </si>
  <si>
    <t>IL-101 PROJETOR LED 100W C/DIFUSOR DE VIDRO TEMPERADO</t>
  </si>
  <si>
    <t>4.60.84</t>
  </si>
  <si>
    <t>IL-50/IL-51 PROJETOR P/ LAMP VAPOR MET 250W</t>
  </si>
  <si>
    <t>4.60.85</t>
  </si>
  <si>
    <t>IL-52 LUMINARIA ABERTA P/ LAMP VAPOR DE SODIO 150W</t>
  </si>
  <si>
    <t>4.60.86</t>
  </si>
  <si>
    <t>IL 53/54 LUMINARIA P/ LAMP VAPOR DE SODIO 150W</t>
  </si>
  <si>
    <t>4.60.89</t>
  </si>
  <si>
    <t>IL-57 REFLETOR INDUSTRIAL (DC) C/ TELA PROTETORA</t>
  </si>
  <si>
    <t>4.60.90</t>
  </si>
  <si>
    <t>IL-58 PROJETOR P/ VAPOR METALICO (1X250W)</t>
  </si>
  <si>
    <t>4.60.93</t>
  </si>
  <si>
    <t>CONJUNTO KIT DE SUSPENSAO COM CABO REGULAVEL</t>
  </si>
  <si>
    <t>4.60.95</t>
  </si>
  <si>
    <t>IL-113 LUMINÁRIA LED &lt;= 70W ÁREA EXTERNA CORPO EM ALUMÍNIO</t>
  </si>
  <si>
    <t>4.61.01</t>
  </si>
  <si>
    <t>IL-101 PROJETOR LED 80W C/DIFUSOR DE VIDRO TEMPERADO</t>
  </si>
  <si>
    <t>4.61.04</t>
  </si>
  <si>
    <t>SUPORTE CURTO PARA LUMINARIA</t>
  </si>
  <si>
    <t>4.61.05</t>
  </si>
  <si>
    <t>GANCHO PITÃO COM BUCHA TIPO S8I</t>
  </si>
  <si>
    <t>4.61.06</t>
  </si>
  <si>
    <t>IL-112 LUMINÁRIA LED &lt;= 70W ÁREA EXTERNA CORPO EM ALUMÍNIO</t>
  </si>
  <si>
    <t>4.61.10</t>
  </si>
  <si>
    <t>IL-109 PROJETOR ANGULAR LÂMPADA LED &lt;=200 W C/ DIFUSOR DE POLICARBONATO</t>
  </si>
  <si>
    <t>4.61.29</t>
  </si>
  <si>
    <t>SUSPENSAO TIPO PENDENTE P/LUMINARIA FLUORESCENTE</t>
  </si>
  <si>
    <t>4.61.38</t>
  </si>
  <si>
    <t>IL - 30 LUMINARIA TIPO PRACA</t>
  </si>
  <si>
    <t>4.61.40</t>
  </si>
  <si>
    <t>CALHA P/LUMINARIA SOBREPOR C/REFLET.E ALETAS P/LAMP.FLUOR. 2x32W E SOQUETES</t>
  </si>
  <si>
    <t>4.61.41</t>
  </si>
  <si>
    <t>4.61.42</t>
  </si>
  <si>
    <t>4.61.43</t>
  </si>
  <si>
    <t>4.61.44</t>
  </si>
  <si>
    <t>4.61.45</t>
  </si>
  <si>
    <t>4.61.50</t>
  </si>
  <si>
    <t>4.61.51</t>
  </si>
  <si>
    <t>4.61.52</t>
  </si>
  <si>
    <t>CALHA P/LUMIN SOBREPOR LÂMPADA LED VIDRO 1X18W TEMPERATURA COR 4000ºK E SOQUETES</t>
  </si>
  <si>
    <t>4.61.53</t>
  </si>
  <si>
    <t>CALHA P/LUMIN SOBREPOR LÂMPADA LED VIDRO 2X18W TEMPERATURA COR 4000ºK E SOQUETES</t>
  </si>
  <si>
    <t>4.61.68</t>
  </si>
  <si>
    <t>4.61.69</t>
  </si>
  <si>
    <t>4.61.70</t>
  </si>
  <si>
    <t>4.61.72</t>
  </si>
  <si>
    <t>LUMINARIA ABERTA C/REFLETOR ACRILICO PRISMATICO TRANSP.</t>
  </si>
  <si>
    <t>4.61.73</t>
  </si>
  <si>
    <t>4.61.74</t>
  </si>
  <si>
    <t>4.61.75</t>
  </si>
  <si>
    <t>4.61.76</t>
  </si>
  <si>
    <t>4.61.77</t>
  </si>
  <si>
    <t>4.61.78</t>
  </si>
  <si>
    <t>4.61.79</t>
  </si>
  <si>
    <t>4.61.83</t>
  </si>
  <si>
    <t>CANOPLA CHAPA GALV. PINTURA ELETROSTÁTICA A PÓ C/FUROS P/PENDENTE</t>
  </si>
  <si>
    <t>4.61.88</t>
  </si>
  <si>
    <t>LUM. BLINDADA - PLAFONIER PARA LAMP. MISTA 160 W</t>
  </si>
  <si>
    <t>4.61.89</t>
  </si>
  <si>
    <t>LUM. BLINDADA - ARANDELA PARA LAMP. MISTA 160 W</t>
  </si>
  <si>
    <t>4.63.01</t>
  </si>
  <si>
    <t>CHUMBADOR P/ FIXACAO BRACO - ILUM. EXT. - 1/2"</t>
  </si>
  <si>
    <t>4.63.05</t>
  </si>
  <si>
    <t>MOLDE CLASSE C PARA CONEXÃO EXOTERMICA</t>
  </si>
  <si>
    <t>4.63.06</t>
  </si>
  <si>
    <t>MOLDE CLASSE R PARA CONEXAO EXOTERMICA</t>
  </si>
  <si>
    <t>4.63.10</t>
  </si>
  <si>
    <t>ALICATE P/ MOLDE CLASSE C (CONEXAO EXOTERMICA)</t>
  </si>
  <si>
    <t>4.63.11</t>
  </si>
  <si>
    <t>ALICATE P/ MOLDE CLASSE R (CONEXAO EXOTERMICA)</t>
  </si>
  <si>
    <t>4.63.20</t>
  </si>
  <si>
    <t>CARTUCHO P/CONEXÃO EXOTERM.CABO/CABO 50MM2</t>
  </si>
  <si>
    <t>4.63.21</t>
  </si>
  <si>
    <t>CARTUCHO P/CONEXÃO EXOTERM.CABO/HASTE P/CABO 50MM2</t>
  </si>
  <si>
    <t>4.63.22</t>
  </si>
  <si>
    <t>CARTUCHO P/CONEXÃO EXOT.VB ESTR.MET.P/CABO 35MM2</t>
  </si>
  <si>
    <t>4.65.05</t>
  </si>
  <si>
    <t>LAMPADA FLUORESCENTE COMPACTA 23W A 25W C/TEMP.DE COR MAIOR OU IGUAL 4000° K</t>
  </si>
  <si>
    <t>4.65.08</t>
  </si>
  <si>
    <t>LAMPADA BULBO LED &lt;= 13W ROSCA E27 BIVOLT. TEMPERATURA COR 3000ºK</t>
  </si>
  <si>
    <t>4.65.13</t>
  </si>
  <si>
    <t>LAMPADA FLUORESCENTE DE 32W C/TEMPERATURA DE COR 4000° K</t>
  </si>
  <si>
    <t>4.65.14</t>
  </si>
  <si>
    <t>LAMPADA FLUORESCENTE DE 16W C/TEMPERATURA DE COR 4000° K</t>
  </si>
  <si>
    <t>4.65.18</t>
  </si>
  <si>
    <t>LAMPADA LED TUBULAR VIDRO DE 18W C/TEMPERATURA DE COR 4000° K</t>
  </si>
  <si>
    <t>4.65.19</t>
  </si>
  <si>
    <t>LAMPADA LED TUBULAR POLICARBONATO DE 18W C/TEMPERATURA DE COR 4000° K</t>
  </si>
  <si>
    <t>4.65.20</t>
  </si>
  <si>
    <t>LAMPADA LED TUBULAR VIDRO DE 10W C/TEMPERATURA DE COR 4000° K</t>
  </si>
  <si>
    <t>4.65.22</t>
  </si>
  <si>
    <t>LAMPADA LED TUBULAR POLICARBONATO DE 10W C/TEMPERATURA DE COR 4000° K</t>
  </si>
  <si>
    <t>4.65.23</t>
  </si>
  <si>
    <t>LÂMPADA BULBO LED &lt;= 11W ROSCA E27 BIVOLT TEMPERATURA COR 3000ºK</t>
  </si>
  <si>
    <t>4.65.28</t>
  </si>
  <si>
    <t>LAMPADA VAPOR METALICO ELIPSOIDAL 150W/220V</t>
  </si>
  <si>
    <t>4.65.29</t>
  </si>
  <si>
    <t>LAMPADA VAPOR METALICO ELIPSOIDAL OU TUBULAR 250W/220V</t>
  </si>
  <si>
    <t>4.65.30</t>
  </si>
  <si>
    <t>LAMPADA VAPOR DE SODIO ELIPSOIDAL OU TUBULAR 150W/220V</t>
  </si>
  <si>
    <t>4.65.31</t>
  </si>
  <si>
    <t>LAMPADA VAPOR DE SODIO ELIPSOIDAL OU TUBULAR 250W/220V</t>
  </si>
  <si>
    <t>4.65.36</t>
  </si>
  <si>
    <t>LAMPADA VAPOR METALICO ELIPSOIDAL 70W/220W</t>
  </si>
  <si>
    <t>4.65.39</t>
  </si>
  <si>
    <t>LAMPADA VAPOR DE SODIO ELIPSOIDAL OU TUBULAR 70W/220V</t>
  </si>
  <si>
    <t>4.75.01</t>
  </si>
  <si>
    <t>AQUECEDOR ELETRICO DE PASSAGEM C/ RESIST BLINDADA</t>
  </si>
  <si>
    <t>4.75.02</t>
  </si>
  <si>
    <t>BEBEDOURO ACESSÍVEL ÁGUA REFRIGERADA IBBL (BDF 100) FORNECIDO E INSTALADO 1,00000</t>
  </si>
  <si>
    <t>4.75.04</t>
  </si>
  <si>
    <t>BEBEDOURO ELETRICO CAP 40L C/SIST REFRIG</t>
  </si>
  <si>
    <t>4.75.07</t>
  </si>
  <si>
    <t>TORNEIRA ELETRICA P/PIA</t>
  </si>
  <si>
    <t>4.75.08</t>
  </si>
  <si>
    <t>BEBEDOURO ELETRICO CAP 80L C/SIST REFRIG</t>
  </si>
  <si>
    <t>4.75.09</t>
  </si>
  <si>
    <t>CHUVEIRO ELETRICO COM RESISTENCIA BLINDADA</t>
  </si>
  <si>
    <t>4.75.10</t>
  </si>
  <si>
    <t>EXAUSTOR AXIAL DN 15 CM VAZAO 280M3XHORA COM GRELHA ACABAMENTO</t>
  </si>
  <si>
    <t>4.75.11</t>
  </si>
  <si>
    <t>GRELHA DN 150MM ACABAMENTO SAIDA DE EXAUSTAO</t>
  </si>
  <si>
    <t>4.75.12</t>
  </si>
  <si>
    <t>DUTO FLEXIVEL ALUMINIO DN 150MM PARA EXAUSTOR</t>
  </si>
  <si>
    <t>4.75.50</t>
  </si>
  <si>
    <t>CENTRAL DE SISTEMA DE ALARME ATÉ 12 ENDEREÇOS</t>
  </si>
  <si>
    <t>4.75.51</t>
  </si>
  <si>
    <t>CENTRAL DE SISTEMA DE ALARME DE 13 A 24 ENDEREÇOS</t>
  </si>
  <si>
    <t>4.80.03</t>
  </si>
  <si>
    <t>CONJ CONTRAVENTAGEM EM ACO GALV C/SUPORT FIXO.D=2"</t>
  </si>
  <si>
    <t>4.80.06</t>
  </si>
  <si>
    <t>PARA RAIO TIPO VALVULA-15KV C/FERRAG</t>
  </si>
  <si>
    <t>4.80.08</t>
  </si>
  <si>
    <t>HASTE COPERWELD 19MM (3/4)X3 M</t>
  </si>
  <si>
    <t>4.80.09</t>
  </si>
  <si>
    <t>CONECTOR P/ HASTE TERRA DN 19MM (3/4")</t>
  </si>
  <si>
    <r>
      <rPr>
        <sz val="7"/>
        <rFont val="Arial"/>
        <family val="2"/>
      </rPr>
      <t>4.80.10</t>
    </r>
  </si>
  <si>
    <t>HASTES DE ATERRAMENTO COPPERWELD  Ø 16MM  (5/8") x 2,40m CAMADA DE COBRE</t>
  </si>
  <si>
    <t>4.80.13</t>
  </si>
  <si>
    <t>CONECTOR P/ HASTE TERRA DN 16MM (5/8")</t>
  </si>
  <si>
    <t>4.80.35</t>
  </si>
  <si>
    <t>SUPORTE SIMPLES C/ROLDANA P/ 2AWG</t>
  </si>
  <si>
    <t>4.80.36</t>
  </si>
  <si>
    <t>SUPORTE SIMPLES C/ROLDANA P/ 3/0 AWG</t>
  </si>
  <si>
    <t>4.80.50</t>
  </si>
  <si>
    <t>CAIXA DE INSPEÇÃO P/TERRA (250X250X250)MM</t>
  </si>
  <si>
    <r>
      <rPr>
        <sz val="7"/>
        <rFont val="Arial"/>
        <family val="2"/>
      </rPr>
      <t>4.80.52</t>
    </r>
  </si>
  <si>
    <t>4.80.61</t>
  </si>
  <si>
    <t>BRACADEIRA DE ACO GALVANIZADO P/POSTE REDONDO</t>
  </si>
  <si>
    <t>4.80.62</t>
  </si>
  <si>
    <t>CAPTOR TIPO FRANKLIN, H 250 A 350MM, ROSCA Ø= 3/4".</t>
  </si>
  <si>
    <t>4.80.63</t>
  </si>
  <si>
    <t>TERMINAL DE PRESSAO PASSAGEM LATERAL PARA CORDOALHA 50MM2</t>
  </si>
  <si>
    <t>4.80.64</t>
  </si>
  <si>
    <t>ABRAÇADEIRA TIPO D AÇO GALVANIZADA Ø2' COM CUNHA</t>
  </si>
  <si>
    <t>4.80.65</t>
  </si>
  <si>
    <t>CONECTOR MEDIÇÃO / EMENDA COM QUATRO PARAFUSOS CORDOALHA 80MM2</t>
  </si>
  <si>
    <t>4.80.66</t>
  </si>
  <si>
    <t>CAIXA SUSPENSA MEDIÇAO ATERRAMENTO POLIPROPILENO Ø 2"</t>
  </si>
  <si>
    <t>4.80.67</t>
  </si>
  <si>
    <t>BASE FIXAÇÃO QUATRO PARAFUSOS AÇO GALVANIZADO PARA MASTRO Ø 2"</t>
  </si>
  <si>
    <t>4.80.68</t>
  </si>
  <si>
    <t>LAUDO TECNICO SPDA CONFORME NBR 5419</t>
  </si>
  <si>
    <t>4.80.70</t>
  </si>
  <si>
    <t>PARA-RAIOS OXIDOS METALICOS SEM CENTELHADOR POLIMERICO Vm 10,2 KVEF NBR 16050</t>
  </si>
  <si>
    <t>4.85.10</t>
  </si>
  <si>
    <t>SUPORTE GALV FOGO FIXAÇÃO TRAFO P/ POSTE Ø 240 MM NBR 8159</t>
  </si>
  <si>
    <t>4.85.28</t>
  </si>
  <si>
    <t>CINTA ACO ZINCADO P/ POSTE CONCRETO TUBULAR 250MM</t>
  </si>
  <si>
    <t>4.85.30</t>
  </si>
  <si>
    <t>CINTA ACO GALVANIZADO DE 170MM</t>
  </si>
  <si>
    <t>4.85.32</t>
  </si>
  <si>
    <t>SUPORTE PARA 1 LUMINÁRIA INCLINAÇÃO 5º AÇO GALVANIZADO POSTE METÁLICO Ø 60,3MM</t>
  </si>
  <si>
    <t>4.85.38</t>
  </si>
  <si>
    <t>BUCHA E ARRUELA EM ZAMAK 19 MM (3/4")</t>
  </si>
  <si>
    <t>4.85.39</t>
  </si>
  <si>
    <t>BUCHA E ARRUELA EM ZAMAK 25 MM (1")</t>
  </si>
  <si>
    <t>4.85.40</t>
  </si>
  <si>
    <t>BUCHA E ARRUELA EM ZAMAK 32 MM (1 1/4")</t>
  </si>
  <si>
    <t>4.85.41</t>
  </si>
  <si>
    <t>BUCHA E ARRUELA EM ZAMAK 38 MM (1 1/2")</t>
  </si>
  <si>
    <t>4.85.42</t>
  </si>
  <si>
    <t>BUCHA E ARRUELA EM ZAMAK 51 MM (2")</t>
  </si>
  <si>
    <t>4.85.43</t>
  </si>
  <si>
    <t>BUCHA E ARRUELA EM ZAMAK 64 MM (2 1/2")</t>
  </si>
  <si>
    <t>4.85.44</t>
  </si>
  <si>
    <t>BUCHA E ARRUELA EM ZAMAK 76 MM (3")</t>
  </si>
  <si>
    <r>
      <rPr>
        <sz val="7"/>
        <rFont val="Arial"/>
        <family val="2"/>
      </rPr>
      <t>4.85.46</t>
    </r>
  </si>
  <si>
    <t>BUCHA E ARRUELA EM ZAMAK 100 MM (4)</t>
  </si>
  <si>
    <t>4.85.47</t>
  </si>
  <si>
    <t>BUCHA PASSAG PARA NEUTRO</t>
  </si>
  <si>
    <t>4.85.49</t>
  </si>
  <si>
    <t>BUCHA DE ENCAIXE 25MM - POLIETILENO</t>
  </si>
  <si>
    <t>4.85.50</t>
  </si>
  <si>
    <t>BRACADEIRA ACO GALV ELETROLITICO 19 MM (3/4")</t>
  </si>
  <si>
    <t>4.85.53</t>
  </si>
  <si>
    <t>BRACADEIRA ACO GALV ELETROLITICO 25 MM (1")</t>
  </si>
  <si>
    <t>4.85.54</t>
  </si>
  <si>
    <t>SUPORTE PARA 2 LUMINÁRIAS INCLINAÇÃO 5º AÇO GALVANIZADO POSTE METALICO Ø 60,3MM</t>
  </si>
  <si>
    <t>4.85.61</t>
  </si>
  <si>
    <t>BRAÇADEIRA AÇO GALVANIZADO PARA CRUZETA POSTE TUBULAR</t>
  </si>
  <si>
    <t>4.85.68</t>
  </si>
  <si>
    <t>BRACADEIRA ACO GALV ELETROLITICO 15 MM (1/2")</t>
  </si>
  <si>
    <t>4.85.71</t>
  </si>
  <si>
    <t>BRACADEIRA PARA TUBO 200MM ACO GALV.</t>
  </si>
  <si>
    <t>4.85.73</t>
  </si>
  <si>
    <t>FITA AÇO INOXIDAVEL LARGURA 19MM ESPESSURA 0,50MM</t>
  </si>
  <si>
    <t>4.85.74</t>
  </si>
  <si>
    <t>AJUSTADOR 60MM X 40MM X 2,4MM GALV. FIXAÇÃO DUTO COM FITA AÇO INOXIDAVEL</t>
  </si>
  <si>
    <t>4.85.75</t>
  </si>
  <si>
    <t>FECHO AÇO INOXIDAVEL DENTADO 19MM TRAVAMENTO FITA AÇO INOXIDAVEL</t>
  </si>
  <si>
    <t>4.94.03</t>
  </si>
  <si>
    <t>CHAPA FERRO 1.5X0.5X1/4' P/BUCHA PASS</t>
  </si>
  <si>
    <t>4.94.20</t>
  </si>
  <si>
    <t>SOQUETE P/LAMP HG/MHL 098451</t>
  </si>
  <si>
    <t>4.94.21</t>
  </si>
  <si>
    <t>SOQUETE P/LAMP FLUORESCENTE S/PORTA STA</t>
  </si>
  <si>
    <t>4.94.30</t>
  </si>
  <si>
    <t>TERMINAL PRESSAO CABO 10MM2</t>
  </si>
  <si>
    <t>4.94.31</t>
  </si>
  <si>
    <t>TERMINAL PRES P/CABO 25MM2</t>
  </si>
  <si>
    <t>4.94.32</t>
  </si>
  <si>
    <t>TERMINAL PRES P/CABO 50MM2</t>
  </si>
  <si>
    <t>4.94.34</t>
  </si>
  <si>
    <t>TERMINAL PRES P/CABO 70MM2</t>
  </si>
  <si>
    <t>4.94.35</t>
  </si>
  <si>
    <t>TERMINAL PRES P/CABO 95MM2</t>
  </si>
  <si>
    <t>4.94.36</t>
  </si>
  <si>
    <t>TERMINAL PRES P/CABO 150MM2</t>
  </si>
  <si>
    <t>4.94.37</t>
  </si>
  <si>
    <t>TERMINAL PRES P/CABO 185MM2</t>
  </si>
  <si>
    <t>4.94.41</t>
  </si>
  <si>
    <t>TERMINAL COMPRESSAO CABO 25MM2</t>
  </si>
  <si>
    <t>4.94.42</t>
  </si>
  <si>
    <t>TERMINAL COMPRESSAO CABO 35MM2</t>
  </si>
  <si>
    <t>4.94.45</t>
  </si>
  <si>
    <t>TERMINAL COMPRESSAO CABO 95MM2</t>
  </si>
  <si>
    <t>4.94.48</t>
  </si>
  <si>
    <t>TERMINAL DE COMPRESSAO CABO 185MM2</t>
  </si>
  <si>
    <t>4.94.55</t>
  </si>
  <si>
    <t>TERMINAL P/VERGALHAO COBRE 1/2'</t>
  </si>
  <si>
    <t>4.94.59</t>
  </si>
  <si>
    <t>CRUZETA POLIMÉRICA FIBRA DE VIDRO PRFV CLASSE 15 kV 90X90X2000 MM NBR-16946</t>
  </si>
  <si>
    <t>4.94.63</t>
  </si>
  <si>
    <t>CRUZETA DE MADEIRA TRATADA 90X112.50 L=2.00M G1-C5</t>
  </si>
  <si>
    <t>4.94.64</t>
  </si>
  <si>
    <t>CRUZETA DE MADEIRA TRATADA CLASSE 15 kV 90X90X2000 MM NBR-8458</t>
  </si>
  <si>
    <t>4.94.65</t>
  </si>
  <si>
    <t>ELO FUSÍVEL P/ CHAVE DE DISTRIBUIÇÃO ATÉ 36,2KV NBR7282 CURVA K In= 8A</t>
  </si>
  <si>
    <t>4.94.66</t>
  </si>
  <si>
    <t>ELO FUSÍVEL P/ CHAVE DE DISTRIBUIÇÃO ATÉ 36,2KV NBR7282 CURVA K In= 10A</t>
  </si>
  <si>
    <t>4.94.67</t>
  </si>
  <si>
    <t>ELO FUSÍVEL P/ CHAVE DE DISTRIBUIÇÃO ATÉ 36,2KV NBR7282 CURVA K In= 15A</t>
  </si>
  <si>
    <t>4.94.68</t>
  </si>
  <si>
    <t>ELO FUSÍVEL P/ CHAVE DE DISTRIBUIÇÃO ATÉ 36,2KV NBR7282 CURVA K In= 6A</t>
  </si>
  <si>
    <t>4.94.70</t>
  </si>
  <si>
    <t>CANALETA PERFURADA CH 14 GALV(SISA SRS-1650-P-14GE</t>
  </si>
  <si>
    <t>4.94.71</t>
  </si>
  <si>
    <t>PERFILADO EM CHAPA ACO 38X38MM</t>
  </si>
  <si>
    <t>4.94.78</t>
  </si>
  <si>
    <t>SUPORTE PARA PERFILADOS</t>
  </si>
  <si>
    <t>4.94.81</t>
  </si>
  <si>
    <t>ALCA COM ISOLADOR PORCELANA TELEFONICA</t>
  </si>
  <si>
    <t>4.94.83</t>
  </si>
  <si>
    <t>DETECTOR DE FUMAÇA OPTICO CONVENCIONAL NÃO ENDEREÇAVEL</t>
  </si>
  <si>
    <t>4.94.84</t>
  </si>
  <si>
    <t>SENSOR DE PRESENÇA INTERNO</t>
  </si>
  <si>
    <t>4.94.85</t>
  </si>
  <si>
    <t>SIRENE BITONAL ELETRICA 12/24V ALCANCE 100M</t>
  </si>
  <si>
    <t>4.94.87</t>
  </si>
  <si>
    <t>TAMPAO FERRO FUNDIDO T-16 TELEBRAS</t>
  </si>
  <si>
    <t>4.94.89</t>
  </si>
  <si>
    <t>PINOS DE ACO 30X30</t>
  </si>
  <si>
    <t>4.94.90</t>
  </si>
  <si>
    <t>CIGARRA TIPO FABRICA</t>
  </si>
  <si>
    <t>4.94.91</t>
  </si>
  <si>
    <t>SUPORTE P/LUMINARIA SIMPLES - IL-53/IL-33/IL35</t>
  </si>
  <si>
    <t>4.94.92</t>
  </si>
  <si>
    <t>SUPORTE P/LUMINARIA DUPLA - IL-54/IL-34/IL-36</t>
  </si>
  <si>
    <t>4.95.02</t>
  </si>
  <si>
    <t>PORCA QUADRADA P/PARAF N 16</t>
  </si>
  <si>
    <t>4.95.03</t>
  </si>
  <si>
    <t>ISOLADOR DE BAIXA TENSAO. EM PORCELANA</t>
  </si>
  <si>
    <t>4.95.04</t>
  </si>
  <si>
    <t>BRAQUETE COM 3 ISOLADORES P/ B.T.</t>
  </si>
  <si>
    <t>4.95.09</t>
  </si>
  <si>
    <t>CRUZETA DE MADEIRA DE 2400MM G1-C5</t>
  </si>
  <si>
    <t>4.95.10</t>
  </si>
  <si>
    <t>MÃO FRANCESA PLANA DE 619 MM ACO GALV FOGO</t>
  </si>
  <si>
    <t>4.95.11</t>
  </si>
  <si>
    <t>MAO FRANCESA PLANA 1053 MM ACO GALV FOGO</t>
  </si>
  <si>
    <t>4.95.12</t>
  </si>
  <si>
    <t>MAO FRANCESA 710 MM</t>
  </si>
  <si>
    <t>4.95.14</t>
  </si>
  <si>
    <t>SELA ACO GALV FOGO PARA CRUZETA SECÇAO 90 X 90 MM</t>
  </si>
  <si>
    <t>4.95.17</t>
  </si>
  <si>
    <t>PORCA OLHAL PARA PARAFUSO M-16(5/8) RUPTURA 5000 KG ACO GALV FOGO</t>
  </si>
  <si>
    <t>4.95.20</t>
  </si>
  <si>
    <t>GRAMPO DE LINHA VIVA PARA CONDUTORES DE COBRE SEÇÕES TR25 A 120MM² E DR16 A 70MM²</t>
  </si>
  <si>
    <t>4.95.27</t>
  </si>
  <si>
    <t>TERMINAL P/VERGALHAO COBRE 3/8"</t>
  </si>
  <si>
    <t>4.95.28</t>
  </si>
  <si>
    <t>TERMINAL PRES P/CABO 35MM2(2AWG)</t>
  </si>
  <si>
    <t>4.95.32</t>
  </si>
  <si>
    <t>PLACA AVISO PERIGO ALTA TENSAO 30X40 CM</t>
  </si>
  <si>
    <t>4.95.33</t>
  </si>
  <si>
    <t>4.95.34</t>
  </si>
  <si>
    <t>PARAFUSO ABAULADO M 16X45MM ACO GALV FOGO</t>
  </si>
  <si>
    <t>4.95.35</t>
  </si>
  <si>
    <t>PARAFUSO ABAULADO M 10X115MM</t>
  </si>
  <si>
    <t>4.95.36</t>
  </si>
  <si>
    <t>PARAFUSO QUADRADO M 16X45MM</t>
  </si>
  <si>
    <t>4.95.37</t>
  </si>
  <si>
    <t>PARAFUSO ABAULADO M 16X150MM</t>
  </si>
  <si>
    <t>4.95.38</t>
  </si>
  <si>
    <t>ARRUELA QUADRADA 34MM FURO 12MM</t>
  </si>
  <si>
    <t>4.95.39</t>
  </si>
  <si>
    <t>ARRUELA QUADRADA 58MM FURO 18MM</t>
  </si>
  <si>
    <t>4.95.40</t>
  </si>
  <si>
    <t>PARAFUSO ABAULADO M 10X125MM ACO  GALV FOGO</t>
  </si>
  <si>
    <t>4.95.41</t>
  </si>
  <si>
    <t>TERMINAL PRES P/CABO 120MM2</t>
  </si>
  <si>
    <t>4.95.42</t>
  </si>
  <si>
    <t>TERMINAL PRES P/CABO 240MM2</t>
  </si>
  <si>
    <t>4.95.43</t>
  </si>
  <si>
    <t>CONECTOR SPLIT-BOLT P/CABO 16MM2</t>
  </si>
  <si>
    <t>4.95.54</t>
  </si>
  <si>
    <t>MASSA CALAFETAR COMPOSTA POR BORRACHAS SINTÉTICAS CARGAS MINERAIS E PLASTIFICANTES NÃO SECATIVOS</t>
  </si>
  <si>
    <t>4.95.67</t>
  </si>
  <si>
    <t>CABECOTE TIPO TELEFONICA</t>
  </si>
  <si>
    <t>4.95.82</t>
  </si>
  <si>
    <t>TERMINAL PRES P/CABO 16MM2(6AWG)</t>
  </si>
  <si>
    <t>4.95.84</t>
  </si>
  <si>
    <t>ARMACAO SECUNDARIA 1 ESTRIBO</t>
  </si>
  <si>
    <t>4.95.86</t>
  </si>
  <si>
    <t>PINO RETO CABEÇA DE CHUMBO 16X294 MM ACO GALV FOGO (CRUZETA)</t>
  </si>
  <si>
    <t>4.95.97</t>
  </si>
  <si>
    <t>VARA MANOPLA FENOLITE 2.70M P/CH SEC</t>
  </si>
  <si>
    <t>4.96.01</t>
  </si>
  <si>
    <t>CONECTOR SPLIT-BOOLT P/CABO 25MM2</t>
  </si>
  <si>
    <t>4.96.02</t>
  </si>
  <si>
    <t>CONECTOR SPLIT-BOOLT P/CABO 35MM2</t>
  </si>
  <si>
    <t>4.96.05</t>
  </si>
  <si>
    <t>CONECTOR SPLIT-BOOLT P/CABO 95MM2</t>
  </si>
  <si>
    <t>4.96.13</t>
  </si>
  <si>
    <t>4.96.16</t>
  </si>
  <si>
    <t>SUPORTE ACO GALV FOGO PARA FIXAÇÃO CHAVE FUSIVEL E DE PARA-RAIOS</t>
  </si>
  <si>
    <t>4.96.20</t>
  </si>
  <si>
    <t>BARRA NEUTRO 600A 1 1/2" X 1/4"</t>
  </si>
  <si>
    <t>4.96.21</t>
  </si>
  <si>
    <t>BARRAMENTO COBRE 6X1MM P/30A - 1/4"X1/16"</t>
  </si>
  <si>
    <t>4.96.22</t>
  </si>
  <si>
    <t>BARRAMENTO COBRE 10X2MM P/60A - 3/8"X1/16"</t>
  </si>
  <si>
    <t>4.96.23</t>
  </si>
  <si>
    <t>BARRAMENTO COBRE 100 A - 3/8"X1/8"</t>
  </si>
  <si>
    <t>4.96.24</t>
  </si>
  <si>
    <t>BARRAMENTO COBRE 20X4MM P/150A - 1/2"X1/8"</t>
  </si>
  <si>
    <t>4.96.25</t>
  </si>
  <si>
    <t>BARRAMENTO COBRE 25X4MM P/ 200A - 3/4"X1/8"</t>
  </si>
  <si>
    <t>4.96.26</t>
  </si>
  <si>
    <t>BARRAMENTO COBRE 40X7MM P/ 400A - 1"X3/8"</t>
  </si>
  <si>
    <t>4.96.27</t>
  </si>
  <si>
    <t>BARRAMENTO COBRE 800A 2"X1/4" (TRIFÁSICO)</t>
  </si>
  <si>
    <t>4.96.28</t>
  </si>
  <si>
    <t>BARRAMENTO COBRE 1000A - 3"X1/4"</t>
  </si>
  <si>
    <t>4.96.29</t>
  </si>
  <si>
    <t>BARRAMENTO DE COBRE 600A-1 1/2" X 1/4"</t>
  </si>
  <si>
    <t>4.96.30</t>
  </si>
  <si>
    <t>VERGALHAO DE COBRE DE 3/8"</t>
  </si>
  <si>
    <t>4.96.41</t>
  </si>
  <si>
    <t>VERGALHAO COBRE 1/2'</t>
  </si>
  <si>
    <t>4.96.42</t>
  </si>
  <si>
    <t>VERGALHAO GALVANIZADO 3/8'</t>
  </si>
  <si>
    <t>4.96.65</t>
  </si>
  <si>
    <t>BRAQUETE COM 2 ISOLADORES P/B.T.</t>
  </si>
  <si>
    <t>4.96.66</t>
  </si>
  <si>
    <t>BRAQUETE COM 4 ISOLADORES P/B.T.</t>
  </si>
  <si>
    <t>4.96.70</t>
  </si>
  <si>
    <t>NIPLE DUPLO FERRO GALV. 3/4" ROSCA BSP</t>
  </si>
  <si>
    <t>4.96.71</t>
  </si>
  <si>
    <t>NIPLE DUPLO FERRO GALV 2 1/2"</t>
  </si>
  <si>
    <t>4.96.86</t>
  </si>
  <si>
    <t>BARRAMENTO  COBRE 320 AMPERES 1 1/4 x 3/16</t>
  </si>
  <si>
    <t>4.96.87</t>
  </si>
  <si>
    <t>BARRAMENTO COBRE 400 AMPERES 1 1/4 x 1/4</t>
  </si>
  <si>
    <t>4.96.88</t>
  </si>
  <si>
    <t>BARRAMENTO COBRE 630 AMPERES 1 1/4 x 3/8</t>
  </si>
  <si>
    <t>4.96.89</t>
  </si>
  <si>
    <t>BARRAMENTO COBRE 800 AMPERES 1 1/4 x 1/2</t>
  </si>
  <si>
    <t>4.97.01</t>
  </si>
  <si>
    <t>PORTA LAMP E27.PORCEL.C/FLANGE.FIX.3/8"GAS.4A-250V</t>
  </si>
  <si>
    <t>4.97.03</t>
  </si>
  <si>
    <t>REATOR ELETRONICO PT RAP P/FLUOR AFP 1X32W BIVOLT C/PROTECAO</t>
  </si>
  <si>
    <t>4.97.04</t>
  </si>
  <si>
    <t>CORRENTE P/PENDENTE APAR ILUMINACAO</t>
  </si>
  <si>
    <t>4.97.05</t>
  </si>
  <si>
    <t>SOQUETE PORCELANA C/ROSCA E-27</t>
  </si>
  <si>
    <t>4.97.07</t>
  </si>
  <si>
    <t>REATOR ELETRONICO PT RAP P/FLUOR AFP 2X32W BIVOLT C/PROTECAO</t>
  </si>
  <si>
    <t>4.97.08</t>
  </si>
  <si>
    <t>LUVA DE COBERTURA EM VAQUETA E RASPA CA 26742</t>
  </si>
  <si>
    <t>4.97.09</t>
  </si>
  <si>
    <t>MANGA DE BORRACHA ISOLANTE 20KV CLASSE 2, ABNT NBR 10623</t>
  </si>
  <si>
    <t>4.97.10</t>
  </si>
  <si>
    <t>CAIXA DE MADEIRA TIPO PORTA-LUVAS, 470 X 210 X 210MM (A X L X P)</t>
  </si>
  <si>
    <t>4.97.11</t>
  </si>
  <si>
    <t>BRACO AÇO GALV. 1 1/2" AFASTAMENTO DA BASE 2,00M</t>
  </si>
  <si>
    <t>4.97.14</t>
  </si>
  <si>
    <t>REATOR SIMPLES P/ VAPOR MET AFP 150W-220V CAP/IGN</t>
  </si>
  <si>
    <t>4.97.15</t>
  </si>
  <si>
    <t>REATOR SIMPLES P/ VAPOR MET AFP 250W-220V CAP/IGN-EXTERNO</t>
  </si>
  <si>
    <t>4.97.16</t>
  </si>
  <si>
    <t>REATOR SIMPLES P/VAPOR SODIO AFP 150W-220V CAP/IGN-EXTERNO</t>
  </si>
  <si>
    <t>4.97.17</t>
  </si>
  <si>
    <t>REATOR SIMPLES P/VAPOR SODIO AFP 250W-220V CAP/IGN</t>
  </si>
  <si>
    <t>4.97.18</t>
  </si>
  <si>
    <t>REATOR SIMPLES P/VAPOR SODIO AFP 70W 220V CAP/IGN</t>
  </si>
  <si>
    <t>4.97.19</t>
  </si>
  <si>
    <t>REATOR SIMPLES P/VAPOR MET. AFP 70W-220V CAP/IGN</t>
  </si>
  <si>
    <t>4.97.20</t>
  </si>
  <si>
    <t>REATOR ELETRONICO PT RAP P/FLUOR AFP 2X16W - BIVOLT C/PROTEÇÃO</t>
  </si>
  <si>
    <t>4.97.36</t>
  </si>
  <si>
    <t>ESTRADO ISOLANTE DE BORRACHA, CLASSE 2, 20 KV, 1.000MM (L) x 1.000MM (C), 25,4MM</t>
  </si>
  <si>
    <t>4.97.37</t>
  </si>
  <si>
    <t>SUPORTE PARA FIXAÇÃO DE CABOS SINGELOS, 20 A 30 MM COM PERFIL GALVANIZADO, ABRAÇADEIRA DE AÇO INOXIDAVEL</t>
  </si>
  <si>
    <t>4.97.41</t>
  </si>
  <si>
    <t>REATOR P/LAMPADA HG 220V/250W</t>
  </si>
  <si>
    <t>4.97.56</t>
  </si>
  <si>
    <t>REATOR SIMPLES P/ VAPOR MET AFP 250W-220V CAP/IGN - INTERNO</t>
  </si>
  <si>
    <t>4.97.60</t>
  </si>
  <si>
    <t>TAPETE BORRACHA 100X100X0.5CM</t>
  </si>
  <si>
    <t>4.97.67</t>
  </si>
  <si>
    <t>LUVA BORRACHA P/ A.T. 20KV</t>
  </si>
  <si>
    <t>6.01.05</t>
  </si>
  <si>
    <t>TUBO CONCRETO SIMPLES (PS-1) COM PONTA E BOLSA Ø 30CM NBR 8890/2007</t>
  </si>
  <si>
    <t>6.01.06</t>
  </si>
  <si>
    <t>TUBO CONCRETO SIMPLES (PS-1) COM PONTA E BOLSA Ø 40CM NBR 8890/2007</t>
  </si>
  <si>
    <t>6.01.07</t>
  </si>
  <si>
    <t>TUBO CONCRETO SIMPLES (PS-1) COM PONTA E BOLSA Ø 50CM NBR 8890/2007</t>
  </si>
  <si>
    <t>6.01.08</t>
  </si>
  <si>
    <t>TUBO CONCRETO SIMPLES (PS-1) COM PONTA E BOLSA Ø 60CM NBR 8890/2007</t>
  </si>
  <si>
    <t>6.01.09</t>
  </si>
  <si>
    <t>TUBO CONCRETO ARMADO(PA-1) COM PONTA E BOLSA Ø 80CM NBR 8890/2007</t>
  </si>
  <si>
    <t>6.01.10</t>
  </si>
  <si>
    <t>TUBO CONCRETO ARMADO(PA-1) COM PONTA E BOLSA Ø 100CM NBR 8890/2007</t>
  </si>
  <si>
    <t>6.01.11</t>
  </si>
  <si>
    <t>TUBO CONCRETO ARMADO(PA-1) COM PONTA E BOLSA Ø 120CM NBR 8890/2007</t>
  </si>
  <si>
    <t>6.01.83</t>
  </si>
  <si>
    <t>ANEIS PRE-MOLD RES.CONCR ARM. 2.50X0.50M FORN/MONT</t>
  </si>
  <si>
    <t>6.02.12</t>
  </si>
  <si>
    <t>ANEIS PRE-MOLD RES.CONCR ARM. 3.00X0.50M FORN/MONT</t>
  </si>
  <si>
    <t>6.02.15</t>
  </si>
  <si>
    <t>ANEL PREMOLDADO CONCRETO DIAMETRO EXTERNO 100CM H=50CM E=3,50 CM</t>
  </si>
  <si>
    <t>6.02.30</t>
  </si>
  <si>
    <t>FA-01 FILTRO ANEIS CONCRETO DN=1.4M H=2.0M COMPLET</t>
  </si>
  <si>
    <t>6.02.31</t>
  </si>
  <si>
    <t>FA-02 FILTRO ANEIS CONCRETO DN=2.0M H=2.0M COMPLET</t>
  </si>
  <si>
    <t>6.02.36</t>
  </si>
  <si>
    <t>FS-05 FOSSA EM ANEIS CONCR. DN=1,4M H=1,5M COMPLETO</t>
  </si>
  <si>
    <t>6.02.40</t>
  </si>
  <si>
    <t xml:space="preserve">FS-08-01 FOSSA SEPTICA ANEIS CONCR. DN=2,4M H=2,0M	</t>
  </si>
  <si>
    <t>6.02.41</t>
  </si>
  <si>
    <t xml:space="preserve">FS-08-02 FOSSA SEPTICA ANEIS CONCR. DN=2,4M H=2,5M	</t>
  </si>
  <si>
    <t>6.02.42</t>
  </si>
  <si>
    <t>FS-08-03 FOSSA SEPTICA ANEIS CONCR. DN=2,4M H=3,0M</t>
  </si>
  <si>
    <t>6.02.50</t>
  </si>
  <si>
    <t>FS-09-01 FOSSA SEPTICA ANEIS CONCR. DN=3,0M H=2,5M</t>
  </si>
  <si>
    <t>6.02.51</t>
  </si>
  <si>
    <t xml:space="preserve">FS-09-02 FOSSA SEPTICA ANEIS CONCR. DN=3,0M H=3,0M	</t>
  </si>
  <si>
    <t>6.02.60</t>
  </si>
  <si>
    <t>TAMPA CONCRETO PRE-MOLD C/ SOBRE TAMPA DN=2.40M</t>
  </si>
  <si>
    <t>6.02.61</t>
  </si>
  <si>
    <t>TAMPA CONCRETO PRE-MOLD C/ SOBRE TAMPA DN=3.00M</t>
  </si>
  <si>
    <t>6.02.62</t>
  </si>
  <si>
    <t xml:space="preserve">TAMPA DE CONCRETO PRÉ-MOLD. Ø 2,50M COM TAMPA DE INSPEÇÃO Ø 0,60M </t>
  </si>
  <si>
    <t>6.02.63</t>
  </si>
  <si>
    <t xml:space="preserve">TAMPA DE CONCRETO PRÉ-MOLD. Ø 3,00M COM TAMPA DE INSPEÇÃO Ø 0,60M </t>
  </si>
  <si>
    <t>6.02.65</t>
  </si>
  <si>
    <t>ANÉIS PRÉ-MOLD.CONCRETO DN=2,50M</t>
  </si>
  <si>
    <t>6.02.66</t>
  </si>
  <si>
    <t>ANEIS PRE-MOLD CONCRETO DN=3.00M</t>
  </si>
  <si>
    <t>6.03.65</t>
  </si>
  <si>
    <t>ADAPTADOR PVC MARROM 25MM COM FLANGES E ANEL</t>
  </si>
  <si>
    <t>6.03.66</t>
  </si>
  <si>
    <t>ADAPTADOR PVC MARROM 32MM COM FLANGES E ANEL</t>
  </si>
  <si>
    <t>6.03.67</t>
  </si>
  <si>
    <t>ADAPTADOR PVC MARROM 60MM COM FLANGES E ANEL</t>
  </si>
  <si>
    <t>6.04.36</t>
  </si>
  <si>
    <t>NIPLE DUPLO FERRO GALV 3/8"</t>
  </si>
  <si>
    <t>6.05.01</t>
  </si>
  <si>
    <t>TUBO ACO GALV.NBR5580-CLASSE MEDIA DN15MM (1/2")</t>
  </si>
  <si>
    <t>6.05.02</t>
  </si>
  <si>
    <t>TUBO ACO GALV.NBR5580-CLASSE MEDIA DN 20MM (3/4")</t>
  </si>
  <si>
    <t>6.05.03</t>
  </si>
  <si>
    <t>TUBO ACO GALV.NBR5580 CLASSE MEDIA DN 25MM (1")</t>
  </si>
  <si>
    <t>6.05.04</t>
  </si>
  <si>
    <t>TUBO ACO GALV.NBR5580 CLASSE MEDIA DN32MM (1 1/4")</t>
  </si>
  <si>
    <t>6.05.05</t>
  </si>
  <si>
    <t>TUBO ACO GALV.NBR5580 CLASSE MEDIA DN40MM (1 1/2")</t>
  </si>
  <si>
    <t>6.05.06</t>
  </si>
  <si>
    <t>TUBO ACO GALV.NBR5580 CLASSE MEDIA DN50MM (2")</t>
  </si>
  <si>
    <t>6.05.07</t>
  </si>
  <si>
    <t>TUBO ACO GALV.NBR5580 CLASSE MEDIA DN65MM (2 1/2")</t>
  </si>
  <si>
    <t>6.05.08</t>
  </si>
  <si>
    <t>TUBO ACO GALV.NBR5580 CLASSE MEDIA DN80MM (3")</t>
  </si>
  <si>
    <t>6.05.09</t>
  </si>
  <si>
    <t>TUBO ACO GALV.NBR5580 CLASSE MEDIA DN100MM (4")</t>
  </si>
  <si>
    <t>6.05.11</t>
  </si>
  <si>
    <t>TUBO ACO GALV.NBR5580 CLASSE MEDIA DN150MM (6")</t>
  </si>
  <si>
    <t>6.05.15</t>
  </si>
  <si>
    <t>TUBO DE ACO GALVANIZADO ESP PAREDE 2MM (DN=32MM)</t>
  </si>
  <si>
    <t>6.05.16</t>
  </si>
  <si>
    <t>TUBO DE ACO GALVANIZADO ESP PAREDE 2MM (DN=50MM)</t>
  </si>
  <si>
    <t>6.05.23</t>
  </si>
  <si>
    <t>COTOVELO FERRO GALVANIZADO DE 1/2'</t>
  </si>
  <si>
    <t>6.05.24</t>
  </si>
  <si>
    <t>COTOVELO FERRO GALV DE 3/4'</t>
  </si>
  <si>
    <t>6.05.33</t>
  </si>
  <si>
    <t>ELETRODUTO AÇO GALV. QUENTE DN 100MM (4") NBR 5598 BSP RIR</t>
  </si>
  <si>
    <t>6.05.43</t>
  </si>
  <si>
    <t>ELETRODUTO CORRUGADO ESPIRAL PEAD DN 100 (4") NBR 13897</t>
  </si>
  <si>
    <t>6.05.45</t>
  </si>
  <si>
    <t>NIPLE DUPLO DE REDUCAO FERRO GALV 3/4" X 1/2"</t>
  </si>
  <si>
    <t>6.05.52</t>
  </si>
  <si>
    <t>UNIAO FERRO GALV DE 3/4'</t>
  </si>
  <si>
    <t>6.05.65</t>
  </si>
  <si>
    <t>KIT CAVALETE 2" FORNC/CERTIFICADO DE GARANTIA</t>
  </si>
  <si>
    <t>6.06.01</t>
  </si>
  <si>
    <t>REDUCAO 3/8"X1/2"</t>
  </si>
  <si>
    <t>6.06.02</t>
  </si>
  <si>
    <t>REDUCAO 3/4"X1/4"</t>
  </si>
  <si>
    <t>6.06.85</t>
  </si>
  <si>
    <t>NIPLE DUPLO FERRO GALV 1/2"</t>
  </si>
  <si>
    <t>6.07.51</t>
  </si>
  <si>
    <t>TUBO ACO GALV NBR 5590-CL PESADA DN 20MM (3/4")</t>
  </si>
  <si>
    <t>6.07.52</t>
  </si>
  <si>
    <t>TUBO ACO GALV NBR 5590-CL PESADA DN 25MM (1")</t>
  </si>
  <si>
    <t>6.07.53</t>
  </si>
  <si>
    <t>TUBO ACO GALV NBR 5590-CL PESADA DN 32MM (1 1/4")</t>
  </si>
  <si>
    <t>6.07.54</t>
  </si>
  <si>
    <t>TUBO ACO GALV NBR 5590-CL PESADA DN 40MM (1 1/2")</t>
  </si>
  <si>
    <t>6.08.34</t>
  </si>
  <si>
    <t>NIPLE DUPLO FERRO GALV. 3/4" ROSCA NPT</t>
  </si>
  <si>
    <t>6.10.01</t>
  </si>
  <si>
    <t>TUBO DE FERRO FUNDIDO DE 50MM-HL</t>
  </si>
  <si>
    <t>6.10.02</t>
  </si>
  <si>
    <t>TUBO DE FERRO FUNDIDO DE 75MM-HL</t>
  </si>
  <si>
    <t>6.10.03</t>
  </si>
  <si>
    <t>TUBO DE FERRO FUNDIDO DE 100MM-HL</t>
  </si>
  <si>
    <t>6.10.04</t>
  </si>
  <si>
    <t>TUBO DE FERRO FUNDIDO DE 150MM-HL</t>
  </si>
  <si>
    <t>6.10.05</t>
  </si>
  <si>
    <t>TUBO DE FERRO FUNDIDO DN 100MM P&amp;B 300CM L.PREDIAL</t>
  </si>
  <si>
    <t>6.10.06</t>
  </si>
  <si>
    <t>TUBO DE FERRO FUNDIDO DN 150MM P&amp;B 300CM L.PREDIAL</t>
  </si>
  <si>
    <t>6.10.64</t>
  </si>
  <si>
    <t>ANEL DE BORRACHA HL D=50MM</t>
  </si>
  <si>
    <t>6.10.66</t>
  </si>
  <si>
    <t>ANEL DE BORRACHA HL D=75MM</t>
  </si>
  <si>
    <t>6.10.67</t>
  </si>
  <si>
    <t>ANEL DE BORRACHA HL D=100MM</t>
  </si>
  <si>
    <t>6.10.75</t>
  </si>
  <si>
    <t>ANEL DE BORRACHA HL D=150MM</t>
  </si>
  <si>
    <t>6.21.96</t>
  </si>
  <si>
    <t>TERMINAL VENTILACAO PVC PARA ESGOTO DN100MM (4")</t>
  </si>
  <si>
    <t>6.21.97</t>
  </si>
  <si>
    <t>TERMINAL VENTILACAO PVC P/ ESGOTO DN 75MM (3")</t>
  </si>
  <si>
    <t>6.21.98</t>
  </si>
  <si>
    <t>TERMINAL VENTILACAO PVC P/ESGOTO DN 50MM (2")</t>
  </si>
  <si>
    <t>6.23.56</t>
  </si>
  <si>
    <t>LUVA DE PRESSAO PVC DE 25MM (3/4")</t>
  </si>
  <si>
    <t>6.23.70</t>
  </si>
  <si>
    <t>ADAPT.PVC SOLD.CURTO C/BOLSA/ROSCA D=25MMX3/4"</t>
  </si>
  <si>
    <t>6.25.01</t>
  </si>
  <si>
    <t>TUBO PVC SOLDÁVEL - ÁGUA FRIA NBR5648 - DE 20</t>
  </si>
  <si>
    <t>6.25.02</t>
  </si>
  <si>
    <t>TUBO PVC SOLDÁVEL - ÁGUA FRIA NBR5648 - DE 25</t>
  </si>
  <si>
    <t>6.25.03</t>
  </si>
  <si>
    <t>TUBO PVC SOLDÁVEL - ÁGUA FRIA NBR5648 - DE 32</t>
  </si>
  <si>
    <t>6.25.04</t>
  </si>
  <si>
    <t>TUBO PVC SOLDÁVEL - ÁGUA FRIA NBR5648 - DE 40</t>
  </si>
  <si>
    <t>6.25.05</t>
  </si>
  <si>
    <t>TUBO PVC SOLDÁVEL - ÁGUA FRIA NBR5648 - DE 50</t>
  </si>
  <si>
    <t>6.25.06</t>
  </si>
  <si>
    <t>TUBO PVC SOLDÁVEL - ÁGUA FRIA NBR5648 - DE 60</t>
  </si>
  <si>
    <t>6.25.07</t>
  </si>
  <si>
    <t>TUBO PVC SOLDÁVEL - ÁGUA FRIA NBR5648 - DE 75</t>
  </si>
  <si>
    <t>6.25.08</t>
  </si>
  <si>
    <t>TUBO PVC SOLDÁVEL - ÁGUA FRIA NBR5648 - DE 85</t>
  </si>
  <si>
    <t>6.25.09</t>
  </si>
  <si>
    <t>TUBO PVC SOLDÁVEL - ÁGUA FRIA NBR5648 - DE 110</t>
  </si>
  <si>
    <t>6.25.10</t>
  </si>
  <si>
    <t>TUBO DE DESCARGA EM PVC COM ANEL (D=40MM)</t>
  </si>
  <si>
    <t>6.25.30</t>
  </si>
  <si>
    <t>TUBO PVC ESGOTO "SN" NBR5688 DN 40</t>
  </si>
  <si>
    <t>6.25.31</t>
  </si>
  <si>
    <t>TUBO PVC ESGOTO "SN" NBR5688 DN 50</t>
  </si>
  <si>
    <t>6.25.32</t>
  </si>
  <si>
    <t>TUBO PVC ESGOTO "SN" NBR5688 DN 75</t>
  </si>
  <si>
    <t>6.25.33</t>
  </si>
  <si>
    <t>TUBO PVC ESGOTO "SN" NBR5688 DN 100</t>
  </si>
  <si>
    <t>6.25.34</t>
  </si>
  <si>
    <t>TUBO PVC ESGOTO "SN" NBR5688 DN 150</t>
  </si>
  <si>
    <t>6.25.60</t>
  </si>
  <si>
    <t>TUBO PVC ESGOTO "SR" NBR5688 DN 40</t>
  </si>
  <si>
    <t>6.25.61</t>
  </si>
  <si>
    <t>TUBO PVC ESGOTO "SR" NBR5688 DN 50</t>
  </si>
  <si>
    <t>6.25.62</t>
  </si>
  <si>
    <t>TUBO PVC ESGOTO "SR" NBR5688 DN 75</t>
  </si>
  <si>
    <t>6.25.63</t>
  </si>
  <si>
    <t>TUBO PVC ESGOTO "SR" NBR5688 DN 100</t>
  </si>
  <si>
    <t>6.25.64</t>
  </si>
  <si>
    <t>TUBO PVC ESGOTO "SR" NBR5688 DN 150</t>
  </si>
  <si>
    <t>6.26.70</t>
  </si>
  <si>
    <t>ANEL BORRACHA P/TUBO PVC 40MM</t>
  </si>
  <si>
    <t>6.26.71</t>
  </si>
  <si>
    <t>ANEL BORRACHA P/TUBO PVC 50MM (2")</t>
  </si>
  <si>
    <t>6.26.72</t>
  </si>
  <si>
    <t>ANEL BORRACHA P/TUBOS PVC 75MM (3")</t>
  </si>
  <si>
    <t>6.26.73</t>
  </si>
  <si>
    <t>ANEL BORRACHA P/TUBO PVC ESGOTO DN=100MM</t>
  </si>
  <si>
    <t>6.26.74</t>
  </si>
  <si>
    <t>ANEL BORRACHA P/TUBO PVC ESGOTO DN=150MM</t>
  </si>
  <si>
    <t>6.26.77</t>
  </si>
  <si>
    <t>ANEL BORRACHA P/TUBO PVC ESGOTO DN=200MM</t>
  </si>
  <si>
    <t>6.26.80</t>
  </si>
  <si>
    <t>ABRAÇADEIRA TIPO D AÇO GALVANIZADO 4" COM PARAFUSO</t>
  </si>
  <si>
    <t>6.26.81</t>
  </si>
  <si>
    <t>ABRAÇADEIRA TIPO D AÇO GALVANIZADO 6" COM PARAFUSO</t>
  </si>
  <si>
    <t>6.26.82</t>
  </si>
  <si>
    <t>FITA ABRAÇADEIRA 19MM X 0,40MM GALVANIZADA</t>
  </si>
  <si>
    <t>6.26.85</t>
  </si>
  <si>
    <t>TUBO PVC RIGIDO ESGOTO DIAM 200 MM (8")</t>
  </si>
  <si>
    <t>6.26.86</t>
  </si>
  <si>
    <t>TUBO PVC RIGIDO ESGOTO DIAM 250 MM (10")</t>
  </si>
  <si>
    <t>6.26.90</t>
  </si>
  <si>
    <t>LUVA DE PVC RIGIDO ESGOTO DIAM 200MM (8")</t>
  </si>
  <si>
    <t>6.26.91</t>
  </si>
  <si>
    <t>TUBO PVC OCRE NBR 7362 PAREDE MACIÇA DN 100 INCLUSIVE CONEXÕES</t>
  </si>
  <si>
    <t>6.26.92</t>
  </si>
  <si>
    <t>TUBO PVC OCRE NBR 7362 PAREDE MACIÇA DN 150 INCLUSIVE CONEXÕES</t>
  </si>
  <si>
    <t>6.26.93</t>
  </si>
  <si>
    <t>TUBO PVC OCRE NBR 7362 PAREDE MACIÇA DN 200 INCLUSIVE CONEXOES</t>
  </si>
  <si>
    <t>6.26.94</t>
  </si>
  <si>
    <t>TUBO PVC OCRE NBR 7362 PAREDE MACIÇA DN 250 INCLUSIVE CONEXOES</t>
  </si>
  <si>
    <t>6.26.95</t>
  </si>
  <si>
    <t>TUBO PVC OCRE NBR 7362 PAREDE MACIÇA DN 300 INCLUSIVE CONEXOES</t>
  </si>
  <si>
    <t>6.30.40</t>
  </si>
  <si>
    <t>TUBO DE COBRE P/ GAS DN=1/2 (15) CLASSE A S/ COST</t>
  </si>
  <si>
    <t>6.30.41</t>
  </si>
  <si>
    <t>TUBO DE COBRE P/ GAS DN=3/4 (22) CLASSE A S/ COST</t>
  </si>
  <si>
    <t>6.30.42</t>
  </si>
  <si>
    <t>TUBO DE COBRE P/ GAS DN=1 (28) CLASSE A S/ COST</t>
  </si>
  <si>
    <t>6.30.43</t>
  </si>
  <si>
    <t>TUBO DE COBRE P/ GAS DN=1 1/4 (35) CLASSE A S/COST</t>
  </si>
  <si>
    <t>6.30.44</t>
  </si>
  <si>
    <t>TUBO DE COBRE P/ GAS DN=1 1/2 (42) CLASSE A S/COST</t>
  </si>
  <si>
    <t>6.30.50</t>
  </si>
  <si>
    <t>VARETAS PARA SOLDA FOSCOPER</t>
  </si>
  <si>
    <t>6.30.52</t>
  </si>
  <si>
    <t>PASTA DE SOLDA P/TUBO DE COBRE</t>
  </si>
  <si>
    <t>6.30.74</t>
  </si>
  <si>
    <t>TUBO DE COBRE CLASSE "E" DN=1/2" (15MM) P/AGUA QUENTE</t>
  </si>
  <si>
    <t>6.30.75</t>
  </si>
  <si>
    <t>TUBO DE COBRE CLASSE "E" DN=3/4" (22MM) P/AGUA QUENTE</t>
  </si>
  <si>
    <t>6.30.76</t>
  </si>
  <si>
    <t>TUBO DE COBRE CLASSE "E" DN=1" (28MM) P/AGUA QUENTE</t>
  </si>
  <si>
    <t>6.30.77</t>
  </si>
  <si>
    <t>TUBO DE COBRE CLASSE "E" DN=1 1/4" (35MM) P/AGUA QUENTE</t>
  </si>
  <si>
    <t>6.30.78</t>
  </si>
  <si>
    <t>ISOLANTE TÉRMICO EM POLIETILENO EXPANDIDO DN=15MM E=10MM</t>
  </si>
  <si>
    <t>6.30.79</t>
  </si>
  <si>
    <t>ISOLANTE TÉRMICO EM POLIETILENO EXPANDIDO DN=22MM E=10MM</t>
  </si>
  <si>
    <t>6.30.80</t>
  </si>
  <si>
    <t>ISOLANTE TÉRMICO EM POLIETILENO EXPANDIDO DN=28MM E=10MM</t>
  </si>
  <si>
    <t>6.30.81</t>
  </si>
  <si>
    <t>ISOLANTE TÉRMICO EM POLIETILENO EXPANDIDO DN=35MM E=10MM</t>
  </si>
  <si>
    <t>6.30.82</t>
  </si>
  <si>
    <t>PROTEÇÃO ALUMINIO CORRUGADO SEM BARREIRA E= 0,15 MM</t>
  </si>
  <si>
    <t>6.35.25</t>
  </si>
  <si>
    <t>REGISTRO GLOBO ANGULAR DE 2 1/2'</t>
  </si>
  <si>
    <t>6.35.30</t>
  </si>
  <si>
    <t>REGISTRO PRESSAO AMARELO DE 1/2'</t>
  </si>
  <si>
    <t>6.35.32</t>
  </si>
  <si>
    <t>REGISTRO PRESSAO C/ CANOPLA CROMADA DN 1/2"</t>
  </si>
  <si>
    <t>6.35.33</t>
  </si>
  <si>
    <t>REGISTRO PRESSAO C/ CANOPLA CROMADA DN 3/4"</t>
  </si>
  <si>
    <t>6.35.35</t>
  </si>
  <si>
    <t>REGISTRO PRESSAO AMARELO DE 3/4'</t>
  </si>
  <si>
    <t>6.35.45</t>
  </si>
  <si>
    <t>REGISTRO GAVETA C/ CANOPLA CROMADA DN 1/2"</t>
  </si>
  <si>
    <t>6.35.46</t>
  </si>
  <si>
    <t>REGISTRO GAVETA C/ CANOPLA CROMADA DN 3/4"</t>
  </si>
  <si>
    <t>6.35.47</t>
  </si>
  <si>
    <t>REGISTRO GAVETA C/ CANOPLA CROMADA DN 1"</t>
  </si>
  <si>
    <t>6.35.48</t>
  </si>
  <si>
    <t>REGISTRO GAVETA C/ CANOPLA CROMADA DN 1 1/4"</t>
  </si>
  <si>
    <t>6.35.49</t>
  </si>
  <si>
    <t>REGISTRO GAVETA C/ CANOPLA CROMADA DN 1 1/2"</t>
  </si>
  <si>
    <t>6.35.60</t>
  </si>
  <si>
    <t>REGISTRO GAVETA AMARELO 1/2'</t>
  </si>
  <si>
    <t>6.35.61</t>
  </si>
  <si>
    <t>REGISTRO GAVETA AMARELO 3/4'</t>
  </si>
  <si>
    <t>6.35.62</t>
  </si>
  <si>
    <t>REGISTRO GAVETA AMARELO 1'</t>
  </si>
  <si>
    <t>6.35.63</t>
  </si>
  <si>
    <t>REGISTRO GAVETA AMARELO 1 1/4'</t>
  </si>
  <si>
    <t>6.35.64</t>
  </si>
  <si>
    <t>REGISTRO GAVETA AMARELO 1 1/2'</t>
  </si>
  <si>
    <t>6.35.65</t>
  </si>
  <si>
    <t>REGISTRO GAVETA AMARELO 2'</t>
  </si>
  <si>
    <t>6.35.66</t>
  </si>
  <si>
    <t>REGISTRO GAVETA AMARELO 2 1/2'</t>
  </si>
  <si>
    <t>6.35.67</t>
  </si>
  <si>
    <t>REGISTRO GAVETA AMARELO 3'</t>
  </si>
  <si>
    <t>6.35.69</t>
  </si>
  <si>
    <t>REGISTRO GAVETA AMARELO 4'</t>
  </si>
  <si>
    <t>6.40.03</t>
  </si>
  <si>
    <t>VALVULA ESCOAMENTO LATAO CROMADO D=1.1/4"</t>
  </si>
  <si>
    <t>6.40.04</t>
  </si>
  <si>
    <t>VALVULA ESCOAMENTO LATAO CROMADO DN 1 1/2"</t>
  </si>
  <si>
    <t>6.40.11</t>
  </si>
  <si>
    <t>VALVULA DESC C/REGISTRO 1 1/2'</t>
  </si>
  <si>
    <t>6.40.12</t>
  </si>
  <si>
    <t>VALVULA DESCARGA DUPLO FLUXO C/REGISTRO E ACABAMENTO DN 1 1/4"</t>
  </si>
  <si>
    <t>6.40.13</t>
  </si>
  <si>
    <t>VALVULA DESCARGA DUPLO FLUXO C/REGISTRO E ACABAMENTO DN 1 1/2"</t>
  </si>
  <si>
    <t>6.40.15</t>
  </si>
  <si>
    <t>VALVULA DE DESCARGA P/ MICTORIO CICLO FECH AUTOMAT</t>
  </si>
  <si>
    <t>6.40.17</t>
  </si>
  <si>
    <t>VALVULA RET HORIZ BRONZE 1'</t>
  </si>
  <si>
    <t>6.40.18</t>
  </si>
  <si>
    <t>VALVULA RET HORIZ BRONZE 1 1/4'</t>
  </si>
  <si>
    <t>6.40.19</t>
  </si>
  <si>
    <t>VALVULA RET HORIZ BRONZE 1 1/2'</t>
  </si>
  <si>
    <t>6.40.20</t>
  </si>
  <si>
    <t>VALVULA RET HORIZ BRONZE 2'</t>
  </si>
  <si>
    <t>6.40.21</t>
  </si>
  <si>
    <t>VALVULA RET HORIZ BRONZE 2 1/2'</t>
  </si>
  <si>
    <t>6.40.22</t>
  </si>
  <si>
    <t>VALVULA RET HORIZ BRONZE 3'</t>
  </si>
  <si>
    <t>6.40.23</t>
  </si>
  <si>
    <t>VALVULA RET HORIZ BRONZE 4'</t>
  </si>
  <si>
    <t>6.40.27</t>
  </si>
  <si>
    <t>VALVULA RET PE C/CRIVO BRONZE 1'</t>
  </si>
  <si>
    <t>6.40.28</t>
  </si>
  <si>
    <t>VALVULA RET PE C/CRIVO BRONZE 1 1/4'</t>
  </si>
  <si>
    <t>6.40.29</t>
  </si>
  <si>
    <t>VALVULA RET PE C/CRIVO BRONZE 1 1/2'</t>
  </si>
  <si>
    <t>6.40.30</t>
  </si>
  <si>
    <t>VALVULA RET PE C/CRIVO BRONZE 2'</t>
  </si>
  <si>
    <t>6.40.31</t>
  </si>
  <si>
    <t>VALVULA RET PE C/CRIVO BRONZE 2 1/2'</t>
  </si>
  <si>
    <t>6.40.32</t>
  </si>
  <si>
    <t>VALVULA RET PE C/CRIVO BRONZE 3"</t>
  </si>
  <si>
    <t>6.40.33</t>
  </si>
  <si>
    <t>VALVULA DE DESCARGA 1 1/4 ACAB ANTIVANDALISMO</t>
  </si>
  <si>
    <t>6.40.34</t>
  </si>
  <si>
    <t>VALVULA DE DESCARGA 1 1/2 ACAB ANTIVANDALISMO</t>
  </si>
  <si>
    <t>6.40.36</t>
  </si>
  <si>
    <t>VALVULA DESC C/REGISTRO 1 1/4'</t>
  </si>
  <si>
    <t>6.40.42</t>
  </si>
  <si>
    <t>VALVULA ESCOAMENTO LATAO CROMADO DN 1"</t>
  </si>
  <si>
    <t>6.40.45</t>
  </si>
  <si>
    <t>VALVULA AMERICANA P/PIA 3 1/2'</t>
  </si>
  <si>
    <t>6.40.61</t>
  </si>
  <si>
    <t>VALVULA RET VERT BRONZE 1'</t>
  </si>
  <si>
    <t>6.40.62</t>
  </si>
  <si>
    <t>VALVULA RET VERT BRONZE 1 1/4'</t>
  </si>
  <si>
    <t>6.40.63</t>
  </si>
  <si>
    <t>VALVULA RET VERT BRONZE 1 1/2'</t>
  </si>
  <si>
    <t>6.40.64</t>
  </si>
  <si>
    <t>VALVULA RET VERT BRONZE 2'</t>
  </si>
  <si>
    <t>6.40.65</t>
  </si>
  <si>
    <t>VALVULA RET VERT BRONZE 2 1/2'</t>
  </si>
  <si>
    <t>6.40.66</t>
  </si>
  <si>
    <t>VALVULA RET VERT BRONZE 3'</t>
  </si>
  <si>
    <t>6.40.68</t>
  </si>
  <si>
    <t>VALVULA RET VERT BRONZE 4'</t>
  </si>
  <si>
    <t>6.40.69</t>
  </si>
  <si>
    <t>ACABAMENTO P/ VALVULA DE DESCARGA ANTIVANDALISMO</t>
  </si>
  <si>
    <t>6.41.02</t>
  </si>
  <si>
    <t>FILTRO CUNO(AQUALAR)ABS C/ELEM FIL CAR/CEL 360/L/H</t>
  </si>
  <si>
    <t>6.41.12</t>
  </si>
  <si>
    <t>ELEMENTO FILTRANTE CUNO CARVAO/CELULOSE 360L/H</t>
  </si>
  <si>
    <t>6.41.13</t>
  </si>
  <si>
    <t>ELEMENTO FILTRANTE CUNO(AQUALAR)CARVAO/CEL 180 L/H</t>
  </si>
  <si>
    <t>6.41.20</t>
  </si>
  <si>
    <t>FILTRO CUNO(AQUALAR)C/ELEM FILT CARVAO/CEL 180/L/H</t>
  </si>
  <si>
    <t>6.41.25</t>
  </si>
  <si>
    <t>PURIFICADOR/BEBEDOURO AGUA REFRIGERADA FORNECIDO E INSTALADO</t>
  </si>
  <si>
    <t>6.45.03</t>
  </si>
  <si>
    <t>SIFAO METALICO TIPO COPO DN 1X1 1/2"</t>
  </si>
  <si>
    <t>6.45.10</t>
  </si>
  <si>
    <t>SIFAO PVC RIGIDO TIPO COPO DN 1 1/2X2"</t>
  </si>
  <si>
    <t>6.45.11</t>
  </si>
  <si>
    <t>SIFAO METALITO TIPO COPO DN 1 1/2X1 1/2"</t>
  </si>
  <si>
    <t>6.45.12</t>
  </si>
  <si>
    <t>SIFAO PVC RIGIDO TIPO COPO DN 1 1/2X1 1/2"</t>
  </si>
  <si>
    <t>6.45.13</t>
  </si>
  <si>
    <t>SIFAO METALICO TIPO COPO DN 1 1/2X2"</t>
  </si>
  <si>
    <t>6.45.15</t>
  </si>
  <si>
    <t>SIFAO METALICO TIPO COPO DN 2X2"</t>
  </si>
  <si>
    <t>6.45.16</t>
  </si>
  <si>
    <t>SIFAO PVC RIGIDO TIPO COPO DN 1X1 1/2"</t>
  </si>
  <si>
    <t>6.50.20</t>
  </si>
  <si>
    <t>CAIXA D'AGUA CONICA 500L POLIETILENO COM TAMPA</t>
  </si>
  <si>
    <t>6.50.21</t>
  </si>
  <si>
    <t>CAIXA D'AGUA CONICA 1000L POLIETILENO COM TAMPA</t>
  </si>
  <si>
    <t>6.55.02</t>
  </si>
  <si>
    <t>BACIA SIFONADA LOUCA BRANCA</t>
  </si>
  <si>
    <t>6.55.03</t>
  </si>
  <si>
    <t>BACIA SANITARIA ACESSIVEL</t>
  </si>
  <si>
    <t>6.55.07</t>
  </si>
  <si>
    <t>CABIDE DE LOUCA C/2 GANCHOS BRANCO</t>
  </si>
  <si>
    <t>6.55.09</t>
  </si>
  <si>
    <t>LAVATORIO BRANCO SEM COLUNA 33X45CM</t>
  </si>
  <si>
    <t>6.55.11</t>
  </si>
  <si>
    <t>LAVATÓRIO ACESSÍVEL</t>
  </si>
  <si>
    <t>6.55.12</t>
  </si>
  <si>
    <t>LAVATÓRIO DE CANTO ACESSÍVEL</t>
  </si>
  <si>
    <t>6.55.14</t>
  </si>
  <si>
    <t>PAPELEIRA LOUCA BRANCA</t>
  </si>
  <si>
    <t>6.55.16</t>
  </si>
  <si>
    <t>SABONETEIRA LOUCA BRANCA 7.5X15CM</t>
  </si>
  <si>
    <t>6.55.18</t>
  </si>
  <si>
    <t>SABONETEIRA LOUCA BRANCA DIMENSAO APROX 15X15CM</t>
  </si>
  <si>
    <t>6.55.21</t>
  </si>
  <si>
    <t>TANQUE LOUÇA BRANCA PEQUENO (50X50CM)</t>
  </si>
  <si>
    <t>6.55.22</t>
  </si>
  <si>
    <t>COLUNA TANQUE LOUÇA BRANCA PEQUENO (50X50CM)</t>
  </si>
  <si>
    <t>6.55.38</t>
  </si>
  <si>
    <t>MICTORIO AUTO SIFONADO LOUCA BRANCA C/ KIT DE INST</t>
  </si>
  <si>
    <t>6.55.44</t>
  </si>
  <si>
    <t>CUBA OVAL DE LOUCA BRANCA</t>
  </si>
  <si>
    <t>6.55.52</t>
  </si>
  <si>
    <t>BACIA INFANTIL SIFONADA DE LOUÇA BRANCA</t>
  </si>
  <si>
    <t>6.55.55</t>
  </si>
  <si>
    <t>BACIA C/CAIXA DESC. ACOPLADA BRANCA</t>
  </si>
  <si>
    <t>6.55.65</t>
  </si>
  <si>
    <t>MICTORIO ACO INOXIDAVEL</t>
  </si>
  <si>
    <t>6.55.71</t>
  </si>
  <si>
    <t>TANQUE DE LOUÇA BRANCA GRANDE (55X60CM)</t>
  </si>
  <si>
    <t>6.55.73</t>
  </si>
  <si>
    <t>COLUNA TANQUE DE LOUÇA BRANCA GRANDE (55X60CM)</t>
  </si>
  <si>
    <t>6.56.01</t>
  </si>
  <si>
    <t>BANHEIRA INOX AISI 304 (100X60CM E=1MM) POLIDA C/ENCHIMENTO DE CONCRETO</t>
  </si>
  <si>
    <t>6.56.07</t>
  </si>
  <si>
    <t>CUBA DUPLA ACO INOX 304 CH 22-835X340X140MM</t>
  </si>
  <si>
    <t>6.56.08</t>
  </si>
  <si>
    <t>CUBA SIMPLES ACO INOX 304 CH 22 560X330X140MM</t>
  </si>
  <si>
    <t>6.56.11</t>
  </si>
  <si>
    <t>CUBA SIMPLES ACO INOX 304 CH22 400X340X140MM</t>
  </si>
  <si>
    <t>6.56.12</t>
  </si>
  <si>
    <t>CUBA SIMPLES ACO INOX 304 CH 20 600X500X300MM</t>
  </si>
  <si>
    <t>6.56.13</t>
  </si>
  <si>
    <t>CUBA DUPLA ACO INOX 304 CH.20 1020X400X250MM</t>
  </si>
  <si>
    <t>6.56.15</t>
  </si>
  <si>
    <t>CUBA SIMPLES AÇO INOX 304 CH.22 460X300X170MM</t>
  </si>
  <si>
    <t>6.56.20</t>
  </si>
  <si>
    <t>CUBA SIMPLES ACO INOX 304 CH.20 500X400X250MM</t>
  </si>
  <si>
    <t>6.56.35</t>
  </si>
  <si>
    <t>TAMPO ACO INOX(304)CHAPA 18-1,50X0,60M CUBA SIMPLES</t>
  </si>
  <si>
    <t>6.56.36</t>
  </si>
  <si>
    <t>TAMPO ACO INOX(304) CHAPA 18 - 2,00X0,60M CUBA DUPLA</t>
  </si>
  <si>
    <t>6.56.38</t>
  </si>
  <si>
    <t>TAMPO LISO EM ACO INOX (304) - CHAPA 20</t>
  </si>
  <si>
    <t>6.56.52</t>
  </si>
  <si>
    <t>TAMPO PIA EM MARMORE BRANCO NAC 3CM</t>
  </si>
  <si>
    <t>6.56.53</t>
  </si>
  <si>
    <t>TAMPO PIA EM GRANILITE</t>
  </si>
  <si>
    <t>6.57.20</t>
  </si>
  <si>
    <t>ESPELHO DE CRISTAL-ESPESSURA 6MM LAPIDADO</t>
  </si>
  <si>
    <t>6.57.22</t>
  </si>
  <si>
    <t>ESPELHO RET 200X50MM PESO MINIMO 170G</t>
  </si>
  <si>
    <t>6.60.01</t>
  </si>
  <si>
    <t>RESTRITOR DE VAZAO P/ 12L/MIN</t>
  </si>
  <si>
    <t>6.60.02</t>
  </si>
  <si>
    <t>RESTRITOR DE VAZAO P/ 6L/MIN</t>
  </si>
  <si>
    <t>6.60.13</t>
  </si>
  <si>
    <t>LIGAÇÃO FLEXÍVEL 1/2" X 40CM CROMADO COM CANOPLA</t>
  </si>
  <si>
    <t>6.60.14</t>
  </si>
  <si>
    <t>TUBO LIGACAO CROM C/CANOPLA P/CHUV</t>
  </si>
  <si>
    <t>6.60.15</t>
  </si>
  <si>
    <t>LIGAÇÃO FLEXÍVEL 1/2" X 60CM CROMADO COM CANOPLA</t>
  </si>
  <si>
    <t>6.60.18</t>
  </si>
  <si>
    <t>DUCHA HIGIENICA COM REGISTRO</t>
  </si>
  <si>
    <t>6.60.19</t>
  </si>
  <si>
    <t>DUCHA HIGIENICA</t>
  </si>
  <si>
    <t>6.60.20</t>
  </si>
  <si>
    <t>CHUVEIRO SIMPLES C/ VALVULA DE ACION HIDROMEC</t>
  </si>
  <si>
    <t>6.60.21</t>
  </si>
  <si>
    <t>CHUVEIRO SIMPLES ARTICUL LATAO CROM DN 15MM (1/2")</t>
  </si>
  <si>
    <t>6.60.23</t>
  </si>
  <si>
    <t>TORNEIRA DE PRESSAO 3/4 ACION RESTR C/ CHAVE DEST</t>
  </si>
  <si>
    <t>6.60.24</t>
  </si>
  <si>
    <t>TORNEIRA DE PRESSAO 1/2 ACION RESTR C/ CHAVE DEST</t>
  </si>
  <si>
    <t>6.60.25</t>
  </si>
  <si>
    <t>TORNEIRA PRESSAO USO GERAL 140X15MM (1/2")CROM</t>
  </si>
  <si>
    <t>6.60.27</t>
  </si>
  <si>
    <t>TORNEIRA LAV CROM 1/2'X110MM</t>
  </si>
  <si>
    <t>6.60.31</t>
  </si>
  <si>
    <t>TORNEIRA PRESSAO LATAO CROM 1/2" C/ AREJ P/ TANQUE</t>
  </si>
  <si>
    <t>6.60.35</t>
  </si>
  <si>
    <t>TORN.JARDIM/TANQUE CROM C/ENGATE DN 20MM (3/4")</t>
  </si>
  <si>
    <t>6.60.40</t>
  </si>
  <si>
    <t>TORNEIRA P/ BEBEDOURO DE PRESSAO TIPO JATO</t>
  </si>
  <si>
    <t>6.60.53</t>
  </si>
  <si>
    <t>TUBO LIGACAO C/CANOPLA P/SANITARIOS</t>
  </si>
  <si>
    <t>6.60.56</t>
  </si>
  <si>
    <t>CONJUNTO DE FIXACAO CROMADO P/ BACIAS</t>
  </si>
  <si>
    <t>6.60.57</t>
  </si>
  <si>
    <t>CONJUNTO DE FIXAÇAO CROMADO PARA TANQUE</t>
  </si>
  <si>
    <t>6.60.58</t>
  </si>
  <si>
    <t>CONJUNTO DE FIXAÇAO CROMADO PARA COLUNA</t>
  </si>
  <si>
    <t>6.60.59</t>
  </si>
  <si>
    <t>TORNEIRA DE PRESSAO CROMADA C=15A20 CM DE 1/2"</t>
  </si>
  <si>
    <t>6.60.60</t>
  </si>
  <si>
    <t>TORNEIRA DE FECHAMENTO AUTOMATICA DE MESA</t>
  </si>
  <si>
    <t>6.60.61</t>
  </si>
  <si>
    <t>TORNEIRA DE FECHAMENTO AUTOMATICO DE PAREDE</t>
  </si>
  <si>
    <t>6.60.62</t>
  </si>
  <si>
    <t>TORNEIRA DE PAREDE ANTIVANDALISMO - 140mm</t>
  </si>
  <si>
    <t>6.60.64</t>
  </si>
  <si>
    <t>TORNEIRA DE PAREDE ANTIVANDALISMO - 85MM</t>
  </si>
  <si>
    <t>6.60.71</t>
  </si>
  <si>
    <t>MISTURADOR P/PIA 1/4 VOLTA TIPO PARED CROMADO 1/2"</t>
  </si>
  <si>
    <t>6.60.73</t>
  </si>
  <si>
    <t>TORNEIRA MEC/CER 1/4 VOLTA TIPO PARED CROMADO 1/2"</t>
  </si>
  <si>
    <t>6.60.74</t>
  </si>
  <si>
    <t>TORNEIRA MEC/CER 1/4 VOLTA TIPO MESA CROMADO 1/2"</t>
  </si>
  <si>
    <t>6.60.75</t>
  </si>
  <si>
    <t>TORNEIRA PRES 1/2" C/ALAVANCA TIPO MESA CROMADO</t>
  </si>
  <si>
    <t>6.61.02</t>
  </si>
  <si>
    <t>BASE MISTURADOR DUPLO COMANDO DE EMBUTIR LATÃO D=3/4" SAIDA 1/2"</t>
  </si>
  <si>
    <t>6.61.03</t>
  </si>
  <si>
    <t>BASE MISTURADOR DE CHUVEIROS DE EMBUTIR</t>
  </si>
  <si>
    <t>6.61.11</t>
  </si>
  <si>
    <t>CHUVEIRO C/DESVIADOR E DUCHA MANUAL EM LATÃO CROMADO DN 15MM</t>
  </si>
  <si>
    <t>6.61.21</t>
  </si>
  <si>
    <t>VOLANTE TIPO ALAVANCA ACABAMENTO LATÃO CROMADO</t>
  </si>
  <si>
    <t>6.65.12</t>
  </si>
  <si>
    <t>MANUT INTEGRAL P/ ELEV NOVO 2 PARADAS - MENSAL</t>
  </si>
  <si>
    <t>6.65.13</t>
  </si>
  <si>
    <t>MANUT INTEGRAL P/ ELEV NOVO 3 PARADAS - MENSAL</t>
  </si>
  <si>
    <t>6.65.14</t>
  </si>
  <si>
    <t>MANUT INTEGRAL P/ ELEVADOR NOVO 4 PARADAS - MENSAL</t>
  </si>
  <si>
    <t>6.65.15</t>
  </si>
  <si>
    <t>MANUT INTEGRAL P/ ELEVADOR NOVO 5 PARADAS - MENSAL</t>
  </si>
  <si>
    <t>6.65.22</t>
  </si>
  <si>
    <t>FORN INST DE ELEVADOR 2 PARADAS C/ PORTA UNILATERAL</t>
  </si>
  <si>
    <t>6.65.23</t>
  </si>
  <si>
    <t>FORN INST DE ELEVADOR 3 PARADAS C/ PORTA UNILATERAL</t>
  </si>
  <si>
    <t>6.65.24</t>
  </si>
  <si>
    <t>FORN INST DE ELEVADOR 4 PARADAS C/ PORTA UNILATERAL</t>
  </si>
  <si>
    <t>6.65.25</t>
  </si>
  <si>
    <t>FORN INST DE ELEVADOR 5 PARADAS C/ PORTA BILATERAL</t>
  </si>
  <si>
    <t>6.65.26</t>
  </si>
  <si>
    <t>FORN INST DE ELEVADOR 5 PARADAS C/ PORTA UNILATERAL</t>
  </si>
  <si>
    <t>6.65.33</t>
  </si>
  <si>
    <t>FORN INST DE ELEVADOR 3 PARADAS C/ PORTA BILATERAL</t>
  </si>
  <si>
    <t>6.65.34</t>
  </si>
  <si>
    <t>FORN INST DE ELEVADOR 4 PARADAS C/ PORTA BILATERAL</t>
  </si>
  <si>
    <t>6.65.50</t>
  </si>
  <si>
    <t>CJ MOTOR BOMBA SUBMERSO POTENCIA 1CV TRIFASICO VAZAO 7M3/HORA 10MCA</t>
  </si>
  <si>
    <t>6.65.51</t>
  </si>
  <si>
    <t>CONJUNTO MOTORBOMBA CENTRIFUGO COMPL 1/2 HP TRIF</t>
  </si>
  <si>
    <t>6.65.52</t>
  </si>
  <si>
    <t>CONJUNTO MOTORBOMBA CENTRIFUGO COMPL 3/4 HP TRIF</t>
  </si>
  <si>
    <t>6.65.53</t>
  </si>
  <si>
    <t>CONJUNTO MOTORBOMBA CENTRIFUGO COMPL 1 HP TRIF</t>
  </si>
  <si>
    <t>6.65.54</t>
  </si>
  <si>
    <t>CONJUNTO MOTORBOMBA CENTRIFUGO COMPL 2 HP TRIF</t>
  </si>
  <si>
    <t>6.65.55</t>
  </si>
  <si>
    <t>CONJUNTO MOTORBOMBA CENTRIFUGO COMPL 3 HP TRIF</t>
  </si>
  <si>
    <t>6.65.56</t>
  </si>
  <si>
    <t>CONJUNTO MOTOR BOMBA PARA INCENDIO 4HP</t>
  </si>
  <si>
    <t>6.65.57</t>
  </si>
  <si>
    <t>CONJUNTO MOTOR BOMBA PARA INCENDIO 5HP</t>
  </si>
  <si>
    <t>6.65.58</t>
  </si>
  <si>
    <t>CONJUNTO MOTOR BOMBA PARA INCENDIO 7.5HP</t>
  </si>
  <si>
    <t>6.65.59</t>
  </si>
  <si>
    <t>CONJUNTO MOTORBOMBA CENTRIFUGO COMPL 1 1/2 HP TRIF</t>
  </si>
  <si>
    <t>6.65.60</t>
  </si>
  <si>
    <t>CJ MOTOR BOMBA SUBMERSO P/POCO ARTES 1 HP-120 MCA</t>
  </si>
  <si>
    <t>6.65.61</t>
  </si>
  <si>
    <t>CJ MOTOR BOMBA SUBMERSO P/POCO ARTES 1.5HP-140MCA</t>
  </si>
  <si>
    <t>6.65.62</t>
  </si>
  <si>
    <t>CJ MOTOR BOMBA SUBMERSO P/POCO ARTES 2HP-160MCA</t>
  </si>
  <si>
    <t>6.65.63</t>
  </si>
  <si>
    <t>CJ MOTOR BOMBA SUBMERSO P/POCO ARTES 3HP-160MCA</t>
  </si>
  <si>
    <t>6.65.64</t>
  </si>
  <si>
    <t>CJ MOTOR BOMBA SUBMERSO P/POCO ARTES 5HP-180MCA</t>
  </si>
  <si>
    <t>6.65.65</t>
  </si>
  <si>
    <t>CONJUNTO MOTOR BOMBA PARA INCENDIO 1.5HP</t>
  </si>
  <si>
    <t>6.65.66</t>
  </si>
  <si>
    <t>CONJUNTO MOTOR BOMBA PARA INCENDIO 2 HP</t>
  </si>
  <si>
    <t>6.65.67</t>
  </si>
  <si>
    <t>CONJUNTO MOTOR BOMBA PARA INCENDIO 10HP.</t>
  </si>
  <si>
    <t>6.65.68</t>
  </si>
  <si>
    <t>CONJUNTO MOTOR BOMBA PARA INCENDIO 3HP</t>
  </si>
  <si>
    <t>6.65.70</t>
  </si>
  <si>
    <t>MOTOR 1/2 HP BIFASICO P/BOMBA RECALQ</t>
  </si>
  <si>
    <t>6.65.71</t>
  </si>
  <si>
    <t>MOTOR 3/4 HP BIFASICO P/BOMBA RECALQ</t>
  </si>
  <si>
    <t>6.65.72</t>
  </si>
  <si>
    <t>MOTOR 1 HP BIFASICO P/BOMBA RECALQ</t>
  </si>
  <si>
    <t>6.65.73</t>
  </si>
  <si>
    <t>MOTOR 2 HP TRIFASICO P/BOMBA RECALQUE</t>
  </si>
  <si>
    <t>6.65.74</t>
  </si>
  <si>
    <t>MOTOR 3 HP TRIFASICO P/BOMBA RECALQUE</t>
  </si>
  <si>
    <t>6.65.75</t>
  </si>
  <si>
    <t>MOTOR 5 HP TRIFASICO P/BOMBA RECALQUE</t>
  </si>
  <si>
    <t>6.65.76</t>
  </si>
  <si>
    <t>MANOMETRO IND INOX ESC O A 15K/O A 400L</t>
  </si>
  <si>
    <t>6.65.77</t>
  </si>
  <si>
    <t>PRESSOSTATO INOX ATUAC O/10K-REG O/2.5K</t>
  </si>
  <si>
    <t>6.65.78</t>
  </si>
  <si>
    <t>CORRENTE ELO CURTO GALVANIZADO DIAM 3,2MM CARGA TRABALHO 100KG</t>
  </si>
  <si>
    <t>6.65.80</t>
  </si>
  <si>
    <t>FORNECIM E INSTALAÇÃO SISTEMA AQUECIMENTO SOLAR PADRAO CRECHE</t>
  </si>
  <si>
    <t>6.65.84</t>
  </si>
  <si>
    <t>FORNECIMENTO E INSTALAÇÃO SISTEMA AQUECIMENTO SOLAR PADRAO PEROBAL</t>
  </si>
  <si>
    <t>6.70.04</t>
  </si>
  <si>
    <t>EXTINTOR GAS CARBONICO 6 KG C/CARGA</t>
  </si>
  <si>
    <t>6.70.05</t>
  </si>
  <si>
    <t>ABRIGO PARA HIDRANTE 0,60X0,90X0,17M COM FECHADURA CHAVE MESTRA OU TRANCA</t>
  </si>
  <si>
    <t>6.70.09</t>
  </si>
  <si>
    <t>ADAP ENG RAPIDO LATAO 2 1/2 X 2 1/2"</t>
  </si>
  <si>
    <t>6.70.10</t>
  </si>
  <si>
    <t>EXTINTOR PO QUIMICO DE 4 KG C/CARGA</t>
  </si>
  <si>
    <t>6.70.11</t>
  </si>
  <si>
    <t>EXTINTOR DE AGUA PRESSURIZADO 10 L</t>
  </si>
  <si>
    <t>6.70.12</t>
  </si>
  <si>
    <t>EXTINTOR PO QUIMICO 12 KG COM CARGA</t>
  </si>
  <si>
    <t>6.70.13</t>
  </si>
  <si>
    <t>EXTINTOR GAS CARBONICO 4KG C/ CARGA</t>
  </si>
  <si>
    <t>6.70.15</t>
  </si>
  <si>
    <t>EXTINTOR PO QUIMICO BC 6KG COM CARGA</t>
  </si>
  <si>
    <t>6.70.16</t>
  </si>
  <si>
    <t>EXTINTOR PO QUIMICO ABC 6KG COM CARGA</t>
  </si>
  <si>
    <t>6.70.20</t>
  </si>
  <si>
    <t>MANGUEIRA C/ADAPTADOR '1 1/2'-30 M</t>
  </si>
  <si>
    <t>6.70.21</t>
  </si>
  <si>
    <t>MANGUEIRA PLASTICA FLEXIVEL 3/4" ESP=2MM</t>
  </si>
  <si>
    <t>6.70.22</t>
  </si>
  <si>
    <t>MANGUEIRA C/ADAPTADOR 1 1/2' X 15M</t>
  </si>
  <si>
    <t>6.70.23</t>
  </si>
  <si>
    <t>MANGUEIRA UNIAO ENGATE RAPIDO DIA 1.1/2"</t>
  </si>
  <si>
    <t>6.70.24</t>
  </si>
  <si>
    <t>MANGUEIRA UNIAO ENGATE RAPIDO DIA 2.1/2"</t>
  </si>
  <si>
    <t>6.70.28</t>
  </si>
  <si>
    <t>ESGUICHO LATAO 1 1/2"X1/2"C/REQUINTE</t>
  </si>
  <si>
    <t>6.70.30</t>
  </si>
  <si>
    <t>ESGUICHO LATAO ENG RAPIDO ORIF 1.1/2X5/8</t>
  </si>
  <si>
    <t>6.70.31</t>
  </si>
  <si>
    <t>ESGUICHO LATAO ENG RAPIDO ORIF 2.1/2X3/4</t>
  </si>
  <si>
    <t>6.70.33</t>
  </si>
  <si>
    <t>ESGUICHO REGULAVEL PARA MANGUEIRA TIPO 2 - 1 1/2"</t>
  </si>
  <si>
    <t>6.75.01</t>
  </si>
  <si>
    <t>CX SIFONADA PVC 150X150X50MM - C/GRELHA ALUMINIO</t>
  </si>
  <si>
    <t>6.75.02</t>
  </si>
  <si>
    <t>RALO SECO FERRO FUNDIDO DN 100MM</t>
  </si>
  <si>
    <t>6.75.03</t>
  </si>
  <si>
    <t>RALO SIFONADO F. FUNDIDO DN 150MM</t>
  </si>
  <si>
    <t>6.75.04</t>
  </si>
  <si>
    <t>GRELHA HEMISFERICA FERRO FUNDIDO DN 75MM</t>
  </si>
  <si>
    <t>6.75.05</t>
  </si>
  <si>
    <t>GRELHA HEMISFERICA FERRO FUNDIDO DN 100MM</t>
  </si>
  <si>
    <t>6.75.06</t>
  </si>
  <si>
    <t>GRELHA HEMISFERICA FERRO FUNDIDO DN 150MM</t>
  </si>
  <si>
    <t>6.75.10</t>
  </si>
  <si>
    <t>RALO SECO CONICO PVC DN 100MM C/GRELHA PVC CROMADO</t>
  </si>
  <si>
    <t>6.75.12</t>
  </si>
  <si>
    <t>CX SIFONADA PVC 100X150X50MM - C/GRELHA PVC CROMAD</t>
  </si>
  <si>
    <t>6.75.13</t>
  </si>
  <si>
    <t>CX.SIFONADA PVC 100X100X50MM-C/GRELHA PVC CROMADO</t>
  </si>
  <si>
    <t>6.75.14</t>
  </si>
  <si>
    <t>CX SIFONADA PVC 150X150X50MM - C/GRELHA PVC CROMADO</t>
  </si>
  <si>
    <t>6.75.15</t>
  </si>
  <si>
    <t>RALO SIFONADO CONICO PVC DN 100MM C/GRELHA PVC CROMADO</t>
  </si>
  <si>
    <t>6.75.16</t>
  </si>
  <si>
    <t>CX SIFONADA PVC 150X150X75MM - C/GRELHA PVC CROMADO</t>
  </si>
  <si>
    <t>6.75.18</t>
  </si>
  <si>
    <t>CORPO CX SIFONADA PVC 100X150X50MM</t>
  </si>
  <si>
    <t>6.75.20</t>
  </si>
  <si>
    <t>CORPO CX SIFONADA PVC 150X150X50MM</t>
  </si>
  <si>
    <t>6.75.25</t>
  </si>
  <si>
    <t>GRELHA DE AÇO INOX COM FECHO ROTATIVO DN 100MM.</t>
  </si>
  <si>
    <t>6.75.26</t>
  </si>
  <si>
    <t>GRELHA DE AÇO INOX COM FECHO ROTATIVO DN 150MM.</t>
  </si>
  <si>
    <t>6.75.35</t>
  </si>
  <si>
    <t>PLUG FERRO FUNDIDO 2" P/RALO</t>
  </si>
  <si>
    <t>6.75.40</t>
  </si>
  <si>
    <t>GRELHA FERRO FUNDIDO 20X20CM</t>
  </si>
  <si>
    <t>6.75.41</t>
  </si>
  <si>
    <t>GRELHA FERRO FUNDIDO 15X15CM</t>
  </si>
  <si>
    <t>6.75.52</t>
  </si>
  <si>
    <t>GRELHA PVC RIGIDO ACAB.CROMADO DN 100MM</t>
  </si>
  <si>
    <t>6.75.53</t>
  </si>
  <si>
    <t>GRELHA PVC RIGIDO ACAB.CROMADO DN 150MM</t>
  </si>
  <si>
    <t>6.75.62</t>
  </si>
  <si>
    <t>GRELHA DE FERRO CHATO 3/4" X 1/4" ESPAÇAMENTO DE 2CM 100 x 40CM</t>
  </si>
  <si>
    <t>6.75.63</t>
  </si>
  <si>
    <t>GRELHA DE FERRO CHATO 3/4" X 1/4" ESPAÇAMENTO DE 2CM 100 x 50CM</t>
  </si>
  <si>
    <t>6.75.64</t>
  </si>
  <si>
    <t>GRELHA LATAO CROM DIAM 10 CM P/CX SIFONADA</t>
  </si>
  <si>
    <t>6.75.65</t>
  </si>
  <si>
    <t>GRELHA LATAO CROM DIAM 15 CM P/CX SIFONADA</t>
  </si>
  <si>
    <t>6.75.68</t>
  </si>
  <si>
    <t>TC-06 GRELHA FERRO GALV (PERFIL 3/4"X1/4") L=20CM</t>
  </si>
  <si>
    <t>6.75.69</t>
  </si>
  <si>
    <t>TC-07 GRELHA FERRO GALV (PERFIL 3/4"X1/4") L=25CM</t>
  </si>
  <si>
    <t>6.75.70</t>
  </si>
  <si>
    <t>TC-08 GRELHA FERRO GALV (PERFIL 3/4"X1/4") L=35CM</t>
  </si>
  <si>
    <t>6.76.08</t>
  </si>
  <si>
    <t>CA-11 GRELHA DE FERRO 20 X 20 CM</t>
  </si>
  <si>
    <t>6.80.01</t>
  </si>
  <si>
    <t>CALHA C/CHAPA GALV 26 DESENV 0.33M</t>
  </si>
  <si>
    <t>6.80.02</t>
  </si>
  <si>
    <t>CALHA C/CHAPA GALV 26 DESENV 0.50M</t>
  </si>
  <si>
    <t>6.80.09</t>
  </si>
  <si>
    <t>CONDUTOR C/CHAPA GALV 26 DESEN 0.33M</t>
  </si>
  <si>
    <t>6.80.16</t>
  </si>
  <si>
    <t>LIG CALHA-COND CHAP GALV N24X1,00MX3"</t>
  </si>
  <si>
    <t>6.80.17</t>
  </si>
  <si>
    <t>LIG CALHA-COND CHAP GALV N24X1,00MX4"</t>
  </si>
  <si>
    <t>6.80.18</t>
  </si>
  <si>
    <t>CHAPA PERFUR GALV No 14 FUROS D=3/8" AREA PERF 48%</t>
  </si>
  <si>
    <t>6.80.25</t>
  </si>
  <si>
    <t>CALHA C/CHAPA GALV 24 DESENV 0.33M</t>
  </si>
  <si>
    <t>6.80.26</t>
  </si>
  <si>
    <t>CALHA C/CHAPA GALV 24 DESENV 0.50M</t>
  </si>
  <si>
    <t>6.80.27</t>
  </si>
  <si>
    <t>CALHA C/CHAPA GALV 24 DESENV 1.00M</t>
  </si>
  <si>
    <t>6.80.30</t>
  </si>
  <si>
    <t>CALHA C/CHAPA GALV 26 DESENV 1.00M</t>
  </si>
  <si>
    <t>6.80.33</t>
  </si>
  <si>
    <t>CONDUTOR C/CHAPA GALV 24 DESEN 0.33M</t>
  </si>
  <si>
    <t>6.80.35</t>
  </si>
  <si>
    <t>CHAPA GALVANIZADA N.24 CORTE 0.25M</t>
  </si>
  <si>
    <t>6.80.36</t>
  </si>
  <si>
    <t>CHAPA GALVANIZADA N.26 CORTE 0.25M</t>
  </si>
  <si>
    <t>6.80.40</t>
  </si>
  <si>
    <t>CANALETA CONCRETO DIAM 40 CM</t>
  </si>
  <si>
    <t>6.80.41</t>
  </si>
  <si>
    <t>CANALETA CONCRETO 30X100CM (DXC)</t>
  </si>
  <si>
    <t>6.80.60</t>
  </si>
  <si>
    <t>RUFO C/CHAPA GALV 24 DESENV 0.16M</t>
  </si>
  <si>
    <t>6.80.61</t>
  </si>
  <si>
    <t>RUFO C/CHAPA GALV 24 DESENV 0.25M</t>
  </si>
  <si>
    <t>6.80.62</t>
  </si>
  <si>
    <t>RUFO C/CHAPA GALV 24 DESENV 0.33M</t>
  </si>
  <si>
    <t>6.80.63</t>
  </si>
  <si>
    <t>RUFO C/CHAPA GALV 24 DESENV 0.50M</t>
  </si>
  <si>
    <t>6.80.68</t>
  </si>
  <si>
    <t>RUFO C/CHAPA GALV 24 DESENV 1.00M</t>
  </si>
  <si>
    <t>6.80.70</t>
  </si>
  <si>
    <t>RUFO C/CHAPA GALV 26 DESENV 0.16M</t>
  </si>
  <si>
    <t>6.80.71</t>
  </si>
  <si>
    <t>RUFO C/CHAPA GALV 26 DESENV 0.25M</t>
  </si>
  <si>
    <t>6.80.72</t>
  </si>
  <si>
    <t>RUFO C/CHAPA GALV 26 DESENV 0.33M</t>
  </si>
  <si>
    <t>6.80.73</t>
  </si>
  <si>
    <t>RUFO C/CHAPA GALV 26 DESENV 0.50M</t>
  </si>
  <si>
    <t>6.80.78</t>
  </si>
  <si>
    <t>RUFO C/CHAPA GALV 26 DESENV 1.00M</t>
  </si>
  <si>
    <t>6.80.90</t>
  </si>
  <si>
    <t>CANALETA DE CONCRETO 1/2 CANA DN 50CM</t>
  </si>
  <si>
    <t>6.80.91</t>
  </si>
  <si>
    <t>CANALETA DE CONCRETO 1/2 CANA DN 60CM</t>
  </si>
  <si>
    <t>6.81.03</t>
  </si>
  <si>
    <t>TUBO PVC RIG CORRUG PERF P/ DRENAG 100MM</t>
  </si>
  <si>
    <t>6.81.04</t>
  </si>
  <si>
    <t>TUBO PVC RIG CORRUG PERF P/ DRENAGEM 150MM</t>
  </si>
  <si>
    <t>6.81.10</t>
  </si>
  <si>
    <t>TUBO DRENO PEAD CORRUG PERF DN 65MM EM ROLO</t>
  </si>
  <si>
    <t>6.81.11</t>
  </si>
  <si>
    <t>TUBO DRENO PEAD CORRUG PERF DN 80MM EM ROLO</t>
  </si>
  <si>
    <t>6.81.12</t>
  </si>
  <si>
    <t>TUBO DRENO PEAD CORRUG PERF DN 100MM EM ROLO</t>
  </si>
  <si>
    <t>6.81.13</t>
  </si>
  <si>
    <t>TUBO DRENO PEAD CORRUG PERF DN 170MM EM ROLO</t>
  </si>
  <si>
    <t>6.81.20</t>
  </si>
  <si>
    <t>TUBO DRENO PEAD CORRUG PERF P/ PAISAGISMO DN 65MM</t>
  </si>
  <si>
    <t>6.81.21</t>
  </si>
  <si>
    <t>TUBO DRENO PEAD CORRUG PERF P/ PAISAGISMO DN 110MM</t>
  </si>
  <si>
    <t>6.85.01</t>
  </si>
  <si>
    <t>CAP 3/4" NPT</t>
  </si>
  <si>
    <t>6.85.02</t>
  </si>
  <si>
    <t>CILINDRO ACO 45 KG COM GAS</t>
  </si>
  <si>
    <t>6.85.04</t>
  </si>
  <si>
    <t>MEIA LUVA POL(VALV.RET)-GAS</t>
  </si>
  <si>
    <t>6.85.05</t>
  </si>
  <si>
    <t>PIGTAIL POL MX7/16 NS(24)</t>
  </si>
  <si>
    <t>6.85.09</t>
  </si>
  <si>
    <t>VALVULA DE CILINDRO P/BOTIJAO 45KG (GAS)</t>
  </si>
  <si>
    <t>6.85.10</t>
  </si>
  <si>
    <t>VALVULA DE ESFERA METALICO 3/4"</t>
  </si>
  <si>
    <t>6.85.15</t>
  </si>
  <si>
    <t>VALVULA E MANGUEIRA P/GAS DOMIC 3/8'</t>
  </si>
  <si>
    <t>6.85.16</t>
  </si>
  <si>
    <t>BICO ESCALONADO PARA GAS 3/8' BRONZE</t>
  </si>
  <si>
    <t>6.85.18</t>
  </si>
  <si>
    <t>TEE 3/4" NPT</t>
  </si>
  <si>
    <t>6.85.22</t>
  </si>
  <si>
    <t>REGULADOR SEMI-INDUST 2o ESTAGIO PRESSAO S 2.8KPA</t>
  </si>
  <si>
    <t>6.85.23</t>
  </si>
  <si>
    <t>REGULADOR PRESSAO PRIM EST SAIDA 150KPA VAZ 5G/H</t>
  </si>
  <si>
    <t>6.85.30</t>
  </si>
  <si>
    <t>VALVULA DE BLOQUEIO AUTOM C/ REARME MANUAL</t>
  </si>
  <si>
    <t>6.85.40</t>
  </si>
  <si>
    <t>TESTE DE ESTANQUEIDADE EM REDE DISTRIBUIÇAO DE GAS COMBUSTIVEL</t>
  </si>
  <si>
    <t>6.85.50</t>
  </si>
  <si>
    <t>CILINDRO (BUJAO) ACO 13KG COM GAS</t>
  </si>
  <si>
    <t>6.95.02</t>
  </si>
  <si>
    <t>ASSENTO C/TAMPA EM RESINA DE POLIESTER BRANCA</t>
  </si>
  <si>
    <t>6.95.03</t>
  </si>
  <si>
    <t>BOLSA DE BORRACHA DN 100MM PARA BACIA SIFONADA</t>
  </si>
  <si>
    <t>6.95.08</t>
  </si>
  <si>
    <t>SOLDA LIGA CHUMBO E ESTANHO 70:30</t>
  </si>
  <si>
    <t>6.95.13</t>
  </si>
  <si>
    <t>ADESIVO PARA TUBOS PVC</t>
  </si>
  <si>
    <t>6.95.14</t>
  </si>
  <si>
    <t>SOLUCAO LIMPADORA P/ PVC</t>
  </si>
  <si>
    <t>6.95.15</t>
  </si>
  <si>
    <t>TORNEIRA DE BOIA EM LATAO (BOIA PLAST) DN 20MM (3/4")</t>
  </si>
  <si>
    <t>6.95.16</t>
  </si>
  <si>
    <t>TORNEIRA DE BOIA EM LATAO (BOIA PLAST) DN 25MM (1")</t>
  </si>
  <si>
    <t>6.95.18</t>
  </si>
  <si>
    <t>TORNEIRA DE BOIA EM LATAO (BOIA PLAST)50MM (2")</t>
  </si>
  <si>
    <t>6.95.26</t>
  </si>
  <si>
    <t>FITA PROT.ANTICORROS.LARG.50MM SCOTCHRAP/TOROFITA</t>
  </si>
  <si>
    <t>6.95.27</t>
  </si>
  <si>
    <t>LUBRIFICANTE P/ANEL NEOPRENE</t>
  </si>
  <si>
    <t>6.95.45</t>
  </si>
  <si>
    <t>ASSENTO C/TAMPA PLASTICA BRANCA P/BACIA INFANTIL</t>
  </si>
  <si>
    <t>6.95.46</t>
  </si>
  <si>
    <t>TAMPAO 2.1/2"</t>
  </si>
  <si>
    <t>6.95.47</t>
  </si>
  <si>
    <t>REPARO P/VALVULA DESCARGA HIDRA LISA II</t>
  </si>
  <si>
    <t>6.95.48</t>
  </si>
  <si>
    <t>KIT REPARO PARA CAIXA ACOPLADA</t>
  </si>
  <si>
    <t>6.95.50</t>
  </si>
  <si>
    <t>ASSENTO C/TAMPA PLASTICA BRANCA P/BACIA SANITARIA</t>
  </si>
  <si>
    <t>6.95.52</t>
  </si>
  <si>
    <t>FITA VEDANTE PARA ROSCA ROLO 3/4" X 50 M</t>
  </si>
  <si>
    <t>6.95.55</t>
  </si>
  <si>
    <t>ANEL BORRACHA DN 40MM P/LIGACAO BACIA SIFONADA</t>
  </si>
  <si>
    <t>6.95.56</t>
  </si>
  <si>
    <t>BOTAO P/VALVULA DESCARGA</t>
  </si>
  <si>
    <t>6.95.58</t>
  </si>
  <si>
    <t>CANOPLA P/VALVULA DESCARGA</t>
  </si>
  <si>
    <t>6.95.59</t>
  </si>
  <si>
    <t>CANOPLA P/REGISTRO 3/4'</t>
  </si>
  <si>
    <t>6.95.62</t>
  </si>
  <si>
    <t>VOLANTE CROMADO LISO P/REGISTRO</t>
  </si>
  <si>
    <t>6.95.65</t>
  </si>
  <si>
    <t>SOLDA ELETRICA</t>
  </si>
  <si>
    <t>6.96.02</t>
  </si>
  <si>
    <t>MODULO DE VERBA</t>
  </si>
  <si>
    <t>MV</t>
  </si>
  <si>
    <t>6.96.05</t>
  </si>
  <si>
    <t>TAMPA F.F. 0.60X0.40M P/ COM INSCR INCENDIO</t>
  </si>
  <si>
    <t>6.96.10</t>
  </si>
  <si>
    <t>TREINAMENTO BÁSICO BRIGADA INCÊNDIO INCLUSO EQUIPAMENTO POR PARTICIPANTE</t>
  </si>
  <si>
    <t>8.01.01</t>
  </si>
  <si>
    <t>BETONEIRA MOTOR ELETRICO MONOFASICO CAPACIDADE 400L</t>
  </si>
  <si>
    <t>8.01.02</t>
  </si>
  <si>
    <t>ALUGUEL CAÇAMBA 4M3</t>
  </si>
  <si>
    <t>8.01.03</t>
  </si>
  <si>
    <t>DUTO COLETOR DE ENTULHO-LOCAÇÃO MENSAL</t>
  </si>
  <si>
    <t>8.01.04</t>
  </si>
  <si>
    <t>PA-CARREGADEIRA DE PNEUS CAP APROX DE 1,7M3</t>
  </si>
  <si>
    <t>8.01.08</t>
  </si>
  <si>
    <t>RETRO ESCAVADEIRA COM CACAMBA FRONTRA-85HP</t>
  </si>
  <si>
    <t>8.01.10</t>
  </si>
  <si>
    <t>LOCAÇÃO MENSAL DE SANITÁRIO QUÍMICO PADRÃO STANDARD</t>
  </si>
  <si>
    <t>8.01.11</t>
  </si>
  <si>
    <t>SERVIÇO DE HIGIENIZAÇÃO DE SANITÁRIO QUÍMICO</t>
  </si>
  <si>
    <t>8.01.14</t>
  </si>
  <si>
    <t>GUINCHO TALHA ELETRICA CARGA 300KHG CABO DE 12 METROS</t>
  </si>
  <si>
    <t>8.01.15</t>
  </si>
  <si>
    <t>ROLO COMPACTADOR PE-DE-CARNEIRO POT 100 A 130CV</t>
  </si>
  <si>
    <t>8.01.16</t>
  </si>
  <si>
    <t>ROLO COMPACTADOR LISO 1000KG</t>
  </si>
  <si>
    <t>8.01.20</t>
  </si>
  <si>
    <t>PLACA VIBRATORIA - 90KG</t>
  </si>
  <si>
    <t>8.01.30</t>
  </si>
  <si>
    <t>VIBRADOR DE IMERSÃO ELÉTRICO 2HP (1,5KW)</t>
  </si>
  <si>
    <t>8.01.50</t>
  </si>
  <si>
    <t>FRESADORA DE PISO 8"-5.5HP</t>
  </si>
  <si>
    <t>8.01.75</t>
  </si>
  <si>
    <t>ROÇADEIRA MECANICA</t>
  </si>
  <si>
    <t>8.01.87</t>
  </si>
  <si>
    <t>MOTOSSERRA</t>
  </si>
  <si>
    <t>8.01.92</t>
  </si>
  <si>
    <t>CAMINHAO MUNCK 3 TONELADAS</t>
  </si>
  <si>
    <t>8.01.93</t>
  </si>
  <si>
    <t>CAMINHAO MUNCK 6 TONELADAS</t>
  </si>
  <si>
    <t>8.01.95</t>
  </si>
  <si>
    <t>CAMINHAO MUNCK 15 TONELADAS</t>
  </si>
  <si>
    <t>8.01.97</t>
  </si>
  <si>
    <t>EQUIPAMENTO JATO DE AREIA COMPLETO C/COMPRESSOR</t>
  </si>
  <si>
    <t>8.03.05</t>
  </si>
  <si>
    <t>TRATOR DE ESTEIRAS C/LAMINA POT 80HP</t>
  </si>
  <si>
    <t>8.03.10</t>
  </si>
  <si>
    <t>CAMINHAO BASCULANTE 6M3</t>
  </si>
  <si>
    <t>8.03.12</t>
  </si>
  <si>
    <t>CAMINHAO ESPARGIDOR 6000KG-BAR/MANG</t>
  </si>
  <si>
    <t>8.03.14</t>
  </si>
  <si>
    <t>CARRETA PRANCHA</t>
  </si>
  <si>
    <t>8.03.26</t>
  </si>
  <si>
    <t>ROLO COMPRESSOR 10/12 T</t>
  </si>
  <si>
    <t>8.03.29</t>
  </si>
  <si>
    <t>CAMINHAO GUINDASTE SOBRE PNEUS CAPAC.CARGA DE 60 TON</t>
  </si>
  <si>
    <t>8.03.30</t>
  </si>
  <si>
    <t>CAMINHAO GUINDASTE SOBRE PNEUS CAPAC.CARGA DE 25 T.</t>
  </si>
  <si>
    <t>8.03.31</t>
  </si>
  <si>
    <t>CAMINHAO GUINDASTE SOBRE PNEUS CAPAC.CARGA DE 30 T.</t>
  </si>
  <si>
    <t>8.03.32</t>
  </si>
  <si>
    <t>CAMINHAO GUINDASTE SOBRE PNEUS CAPAC.CARGA DE 100 T.</t>
  </si>
  <si>
    <t>8.03.33</t>
  </si>
  <si>
    <t>TRANSPORTE MOBILIZAÇÃO CONTRA PESO GUINDASTE 100T</t>
  </si>
  <si>
    <t>8.03.35</t>
  </si>
  <si>
    <t xml:space="preserve">TAXA DE DESCARTE DE RESÍDUO DE OBRA EM ATT </t>
  </si>
  <si>
    <t>8.65.95</t>
  </si>
  <si>
    <t>FINCA PINOS LONGO</t>
  </si>
  <si>
    <t>8.65.96</t>
  </si>
  <si>
    <t>PISTOLA PARA FIXACAO DE PINOS</t>
  </si>
  <si>
    <t>8.80.08</t>
  </si>
  <si>
    <t>JOGO DE ROSETAS DE DESBASTE DE VIDEA</t>
  </si>
  <si>
    <t>8.80.70</t>
  </si>
  <si>
    <t>DISCO DE CORTE DIAMANTADO</t>
  </si>
  <si>
    <t>8.81.14</t>
  </si>
  <si>
    <t>OLEO DIESEL</t>
  </si>
  <si>
    <t>8.81.16</t>
  </si>
  <si>
    <t>GASOLINA</t>
  </si>
  <si>
    <t>9.00.01</t>
  </si>
  <si>
    <t>SERRA CIRCULAR MANUAL</t>
  </si>
  <si>
    <t>9.00.02</t>
  </si>
  <si>
    <t>LIXADEIRA ELETRICA</t>
  </si>
  <si>
    <t>9.00.03</t>
  </si>
  <si>
    <t>REBARBADOR ELETRICO E PONTEIROS</t>
  </si>
  <si>
    <t>9.00.04</t>
  </si>
  <si>
    <t>COMPRESSOR (250 PCM) 2 MARTEL TEX20 FILTROS LINHA</t>
  </si>
  <si>
    <t>9.00.05</t>
  </si>
  <si>
    <t>PISTOLA ELETROMECANICA</t>
  </si>
  <si>
    <t>9.00.08</t>
  </si>
  <si>
    <t>FREZADORA E ESCARIFICADORA MECANICA (MOD F-30)</t>
  </si>
  <si>
    <t>9.00.09</t>
  </si>
  <si>
    <t>MAQUINA LAVA-JATO(AGUA FRIA, PRES 1700PSI)</t>
  </si>
  <si>
    <t>9.00.10</t>
  </si>
  <si>
    <t>MAQUINA LAVA-JATO (AGUA QUENTE/FRIA PRES 1700PSI)</t>
  </si>
  <si>
    <t>9.00.11</t>
  </si>
  <si>
    <t>COMPRESSOR DE 125/250PCM,MANGUEIRA E FILTRO LINHA</t>
  </si>
  <si>
    <t>9.00.12</t>
  </si>
  <si>
    <t>BICO PROJETOR COMPLETO</t>
  </si>
  <si>
    <t>9.00.13</t>
  </si>
  <si>
    <t>MANGOTE DE 1 1/2"</t>
  </si>
  <si>
    <t>9.00.14</t>
  </si>
  <si>
    <t>MAQUINA DE JATO VIA SECA</t>
  </si>
  <si>
    <t>9.00.15</t>
  </si>
  <si>
    <t>DISCO DE FERRO</t>
  </si>
  <si>
    <t>9.00.16</t>
  </si>
  <si>
    <t>DISCO DE BORRACHA SUPERIOR</t>
  </si>
  <si>
    <t>9.00.17</t>
  </si>
  <si>
    <t>DISCO DE BORRACHA INFERIOR</t>
  </si>
  <si>
    <t>9.00.18</t>
  </si>
  <si>
    <t>CENTRAL INJECAO RESINA C/TANQUE REG PRES E COMPRES</t>
  </si>
  <si>
    <t>9.00.19</t>
  </si>
  <si>
    <t>FURADEIRA ELETRICA MOD PROFISSIONAL</t>
  </si>
  <si>
    <t>9.00.20</t>
  </si>
  <si>
    <t>COMPRESSOR AR PORTATIL P/LIMPEZA DA CAVIDADE</t>
  </si>
  <si>
    <t>9.00.21</t>
  </si>
  <si>
    <t>PISTOLA PINTURA / PULVERIZADORA ELÉTRICA COMPRESSOR AR PORTATIL POTENCIA 450W.</t>
  </si>
  <si>
    <t>9.00.22</t>
  </si>
  <si>
    <t>EQUIPAMENTO DE PERFURACAO TIPO (HIT DD-80)</t>
  </si>
  <si>
    <t>9.00.30</t>
  </si>
  <si>
    <t>PRENSA R-40 MANDÍBULA DN 12,5 ATE 25MM (ALUGUEL)</t>
  </si>
  <si>
    <t>9.00.31</t>
  </si>
  <si>
    <t>PRENSA R-80 MANDÍBULA DN 32MM (ALUGUEL)</t>
  </si>
  <si>
    <t>9.00.35</t>
  </si>
  <si>
    <t>BOMBA/COMPRESSOR ELÉTRICO 220V/380V-TRIF.P/PRENSAS R-40/R-80 (ALUGUEL)</t>
  </si>
  <si>
    <t>9.00.41</t>
  </si>
  <si>
    <t>FURO EM CONCRETO COM D=3/8"</t>
  </si>
  <si>
    <t>9.00.42</t>
  </si>
  <si>
    <t>FURO EM CONCRETO COM D=1/2"</t>
  </si>
  <si>
    <t>9.00.43</t>
  </si>
  <si>
    <t>FURO EM CONCRETO COM D=5/8"</t>
  </si>
  <si>
    <t>9.00.44</t>
  </si>
  <si>
    <t>FURO EM CONCRETO COM D=3/4"</t>
  </si>
  <si>
    <t>9.00.45</t>
  </si>
  <si>
    <t>FURO EM CONCRETO COM D=1"</t>
  </si>
  <si>
    <t>9.00.50</t>
  </si>
  <si>
    <t>TAXA MOBILIZ. EQUIP. FUROS EM CONCRETO</t>
  </si>
  <si>
    <t>9.10.02</t>
  </si>
  <si>
    <t>ESCOVAS CIRCULAR COM CERDAS DE ACO</t>
  </si>
  <si>
    <t>9.10.03</t>
  </si>
  <si>
    <t>ESCOVAS RETANGULAR COM CERDAS DE ACO</t>
  </si>
  <si>
    <t>9.10.04</t>
  </si>
  <si>
    <t>JOGO DE AGULHAS PARA PISTOLA ELETROMECANICA</t>
  </si>
  <si>
    <t>9.10.06</t>
  </si>
  <si>
    <t>GAS</t>
  </si>
  <si>
    <t>9.10.07</t>
  </si>
  <si>
    <t>REMOVEDOR DE GRAXAS BASE SOLVENTE NAO CORROSIVO</t>
  </si>
  <si>
    <t>9.10.08</t>
  </si>
  <si>
    <t>SOLUCAO LIMPADORA DILUIDA EM AGUA</t>
  </si>
  <si>
    <t>9.10.09</t>
  </si>
  <si>
    <t>QUEROSENE</t>
  </si>
  <si>
    <t>9.10.10</t>
  </si>
  <si>
    <t>SOLUCAO ACIDA DILUIDA EM AGUA - MURIATICO</t>
  </si>
  <si>
    <t>9.10.11</t>
  </si>
  <si>
    <t>SOLUCAO ALCALINA Ca(OH)2 + H20 (EM MASSA 1:5)</t>
  </si>
  <si>
    <t>9.10.12</t>
  </si>
  <si>
    <t>ACETONA</t>
  </si>
  <si>
    <t>9.10.13</t>
  </si>
  <si>
    <t>ESTOPA</t>
  </si>
  <si>
    <t>9.10.14</t>
  </si>
  <si>
    <t>ALGODAO</t>
  </si>
  <si>
    <t>9.10.15</t>
  </si>
  <si>
    <t>SACOS DE ANINHAGEM</t>
  </si>
  <si>
    <t>9.10.16</t>
  </si>
  <si>
    <t>FORN PREP ARGAMASSA MONOCOMPONENTE BASE CIMENTO POLÍMEROS</t>
  </si>
  <si>
    <t>9.10.17</t>
  </si>
  <si>
    <t>ARGAMASSA POLIMERICA BASE EPOXI</t>
  </si>
  <si>
    <t>9.10.18</t>
  </si>
  <si>
    <t>SOLVENTE PARA MATERIAIS BASE EPOXI</t>
  </si>
  <si>
    <t>9.10.19</t>
  </si>
  <si>
    <t>PREPARO E FORNECIMENTO DE ARGAMASSA BASE POLIESTER</t>
  </si>
  <si>
    <t>9.10.21</t>
  </si>
  <si>
    <t>OXIDO DE ALUMINIO</t>
  </si>
  <si>
    <t>9.10.23</t>
  </si>
  <si>
    <t>SELANTE PARA ENCHIMENTO DE JUNTAS</t>
  </si>
  <si>
    <t>9.10.24</t>
  </si>
  <si>
    <t>INIBIDOR DE CORROSAO (NITRO DE SODIO OU CALCIO)</t>
  </si>
  <si>
    <t>9.10.25</t>
  </si>
  <si>
    <t>ELETRODO E7018 OU E6013 (AWS)</t>
  </si>
  <si>
    <t>9.10.27</t>
  </si>
  <si>
    <t>ARGAMASSA GRAUTE.BASE EPOXI</t>
  </si>
  <si>
    <t>9.10.28</t>
  </si>
  <si>
    <t>TUBOS PLASTICOS PARA INJECAO DE GRAUTE</t>
  </si>
  <si>
    <t>9.10.29</t>
  </si>
  <si>
    <t>PASTA TIXOTROPICA BASE POLIESTER SELANTE</t>
  </si>
  <si>
    <t>9.10.30</t>
  </si>
  <si>
    <t>PASTA DE ALTA PERFORMANCE P/INJECAO BASE EPOXI</t>
  </si>
  <si>
    <t>9.10.32</t>
  </si>
  <si>
    <t>PRODUTO A BASE DE SILICATO DE SODIO</t>
  </si>
  <si>
    <t>9.10.33</t>
  </si>
  <si>
    <t>BROCA COM PONTA DE VIDIA (D=1"X160MM)</t>
  </si>
  <si>
    <t>9.10.34</t>
  </si>
  <si>
    <t>BROCA COM PONTA DE VIDIA (D=1"X330MM)</t>
  </si>
  <si>
    <t>9.10.35</t>
  </si>
  <si>
    <t>BROCA EXTRATORA C/PONTA DE DIAMANTE (D=1"X400MM</t>
  </si>
  <si>
    <t>9.10.36</t>
  </si>
  <si>
    <t>BROCA COM PONTA DE VIDIA (D=3/4"X160MM)</t>
  </si>
  <si>
    <t>9.10.37</t>
  </si>
  <si>
    <t>BROCA COM PONTA DE VIDIA (D=3/4"X330MM)</t>
  </si>
  <si>
    <t>9.10.38</t>
  </si>
  <si>
    <t>BROCA EXTRATORA C/PONTA DE DIAMANTE (D=3/4"X400MM)</t>
  </si>
  <si>
    <t>9.10.39</t>
  </si>
  <si>
    <t>BROCA COM PONTA DE VIDIA (D=1/2"X160MM)</t>
  </si>
  <si>
    <t>9.10.40</t>
  </si>
  <si>
    <t>BROCA COM PONTA DE VIDEA (D=1/2"X330MM)</t>
  </si>
  <si>
    <t>9.10.41</t>
  </si>
  <si>
    <t>BROCA EXTRATORA C/PONTA DE DIAMANTE (D=1/2"X400MM)</t>
  </si>
  <si>
    <t>9.10.42</t>
  </si>
  <si>
    <t>BROCA COM PONTA DE VIDIA (D=3/8"X160MM)</t>
  </si>
  <si>
    <t>9.10.43</t>
  </si>
  <si>
    <t>BROCA COM PONTA DE VIDIA (D=3/8"X330MM)</t>
  </si>
  <si>
    <t>9.10.44</t>
  </si>
  <si>
    <t>BROCA EXTRATORA C/PONTA DE DIAMANTE (D=3/8"X400MM)</t>
  </si>
  <si>
    <t>9.10.45</t>
  </si>
  <si>
    <t>PARAFUSO PRISIONEIRO COMPR=160MM</t>
  </si>
  <si>
    <t>9.10.46</t>
  </si>
  <si>
    <t>PARAFUSO PRISIONEIRO COMPR=130MM</t>
  </si>
  <si>
    <t>9.10.47</t>
  </si>
  <si>
    <t>CHUMBADOR QUIMICO D=3/4"</t>
  </si>
  <si>
    <t>9.10.48</t>
  </si>
  <si>
    <t>CHUMBADOR QUIMICO D=1/2"</t>
  </si>
  <si>
    <t>9.10.49</t>
  </si>
  <si>
    <t>CHUMBADOR QUIMICO D=3/8"</t>
  </si>
  <si>
    <t>9.10.50</t>
  </si>
  <si>
    <t>CHUMBADOR EXPANSIVEL D=3/4"</t>
  </si>
  <si>
    <t>9.10.51</t>
  </si>
  <si>
    <t>CHUMBADOR EXPANSIVEL D=1/2"</t>
  </si>
  <si>
    <t>9.10.52</t>
  </si>
  <si>
    <t>CHUMBADOR EXPANSIVEL D=3/8"</t>
  </si>
  <si>
    <t>9.10.53</t>
  </si>
  <si>
    <t>DISCO DE LIXA GROSSO (24 OU 36)</t>
  </si>
  <si>
    <t>9.10.54</t>
  </si>
  <si>
    <t>DISCO DE BORRACHA</t>
  </si>
  <si>
    <t>9.10.55</t>
  </si>
  <si>
    <t>SILICONE BASE AGUA</t>
  </si>
  <si>
    <t>9.10.56</t>
  </si>
  <si>
    <t>SILICONE BASE SOLVENTE</t>
  </si>
  <si>
    <t>9.10.57</t>
  </si>
  <si>
    <t>SILOXANO OLIGOMERICO</t>
  </si>
  <si>
    <t>9.10.58</t>
  </si>
  <si>
    <t>SILOXANO POLIMERICO</t>
  </si>
  <si>
    <t>9.10.59</t>
  </si>
  <si>
    <t>VERNIZ POLIURETANO ALIFATICO (BICOMPONENTES)</t>
  </si>
  <si>
    <t>9.10.60</t>
  </si>
  <si>
    <t>VERNIZ POLIURETANO ALIFATICO (MONOCOMPONENTES)</t>
  </si>
  <si>
    <t>9.10.62</t>
  </si>
  <si>
    <t>PINTURA BORRACHA CLORADA</t>
  </si>
  <si>
    <t>9.10.63</t>
  </si>
  <si>
    <t>SOLVENTE PARA BORRACHA CLORADA</t>
  </si>
  <si>
    <t>9.10.65</t>
  </si>
  <si>
    <t>SOLVENTE</t>
  </si>
  <si>
    <t>9.10.66</t>
  </si>
  <si>
    <t>PARAFUSO PRISIONEIRO COMPR=220MM</t>
  </si>
  <si>
    <t>9.10.67</t>
  </si>
  <si>
    <t>ADESIVO BASE ACRILICA</t>
  </si>
  <si>
    <t>9.10.68</t>
  </si>
  <si>
    <t>ADESIVO BASE EPOXI</t>
  </si>
  <si>
    <t>9.10.69</t>
  </si>
  <si>
    <t>PRIMER SILANO SILOXANO</t>
  </si>
  <si>
    <t>9.10.70</t>
  </si>
  <si>
    <t>FORN PREP ARGAMASSA BICOMPONENTE BASE CIMENTO POLÍMERO ACRÍLICO</t>
  </si>
  <si>
    <t>9.10.71</t>
  </si>
  <si>
    <t>FORN PREP ARGAMASSA BICOMPONENTE BASE CIMENTO POLÍMERO ACRÍLICO E FIBRA SINTÉTICA</t>
  </si>
  <si>
    <t>9.10.72</t>
  </si>
  <si>
    <t>ACO CA 50 (1/2")</t>
  </si>
  <si>
    <t>9.10.73</t>
  </si>
  <si>
    <t>ARGAMASSA SECA TIPO DRY PACK</t>
  </si>
  <si>
    <t/>
  </si>
  <si>
    <t>SC25KG</t>
  </si>
  <si>
    <t>M2XMES</t>
  </si>
  <si>
    <t>UNXMES</t>
  </si>
  <si>
    <t>Digite as quantidades de seu Edital na coluna D</t>
  </si>
  <si>
    <t>Taxa de BDI%=</t>
  </si>
  <si>
    <t>CDHU - COMPANHIA DE DESENVOLVIMENTO HABITACIONAL E URBANO</t>
  </si>
  <si>
    <t>Enc. Social %=</t>
  </si>
  <si>
    <t>CUSTOS UNITÁRIOS DAS COMPOSIÇÕES ANALÍTICAS</t>
  </si>
  <si>
    <t>UNITÁRIOS CPUs R$ - SEM TAXA DO BDI COM ENCARGOS</t>
  </si>
  <si>
    <t>CUSTOS UNITÁRIOS CDHU R$ -SEM BDI</t>
  </si>
  <si>
    <t>Alterar: Taxa do BDI na célula H2 - Encargos Sociais na célula H3</t>
  </si>
  <si>
    <t>CÓDIGO</t>
  </si>
  <si>
    <t>DESCRIÇÃO</t>
  </si>
  <si>
    <t>UNID</t>
  </si>
  <si>
    <t>QUANTIDADE</t>
  </si>
  <si>
    <t>CUSTO UNITÁRIO CPUs R$</t>
  </si>
  <si>
    <t>TOTAL SERVIÇO R$</t>
  </si>
  <si>
    <t>MATERIAL CPUs</t>
  </si>
  <si>
    <t>MÃO DE OBRA CPUs</t>
  </si>
  <si>
    <t>TOTAL R$ MAT+MO</t>
  </si>
  <si>
    <t>TAXA DO BDI</t>
  </si>
  <si>
    <t>TOTAL CPUs</t>
  </si>
  <si>
    <t>UNITÁRIO  CPUs</t>
  </si>
  <si>
    <t>MATERIAL CDHU</t>
  </si>
  <si>
    <t>MÃO DE OBRA CDHU</t>
  </si>
  <si>
    <t>TOTAL CDHU</t>
  </si>
  <si>
    <t>UNITÁRIO  CDHU</t>
  </si>
  <si>
    <t>Diferença : CPUs - CDHU</t>
  </si>
  <si>
    <t>01</t>
  </si>
  <si>
    <t>SERVICO TECNICO ESPECIALIZADO</t>
  </si>
  <si>
    <t>01.02</t>
  </si>
  <si>
    <t>Parecer técnico</t>
  </si>
  <si>
    <t>01.02.071</t>
  </si>
  <si>
    <t>Parecer técnico de fundações, contenções e recomendações gerais, para empreendimentos com área construída até 1.000 m²</t>
  </si>
  <si>
    <t>01.02.081</t>
  </si>
  <si>
    <t>Parecer técnico de fundações, contenções e recomendações gerais, para empreendimentos com área construída de 1.001 a 2.000 m²</t>
  </si>
  <si>
    <t>01.02.091</t>
  </si>
  <si>
    <t>Parecer técnico de fundações, contenções e recomendações gerais, para empreendimentos com área construída de 2.001 a 5.000 m²</t>
  </si>
  <si>
    <t>01.02.101</t>
  </si>
  <si>
    <t>Parecer técnico de fundações, contenções e recomendações gerais, para empreendimentos com área construída de 5.001 a 10.000 m²</t>
  </si>
  <si>
    <t>01.02.111</t>
  </si>
  <si>
    <t>Parecer técnico de fundações, contenções e recomendações gerais, para empreendimentos com área construída acima de 10.000 m²</t>
  </si>
  <si>
    <t>01.06</t>
  </si>
  <si>
    <t>Projeto de instalações elétricas</t>
  </si>
  <si>
    <t>01.06.021</t>
  </si>
  <si>
    <t>Elaboração de projeto de adequação de entrada de energia elétrica junto a concessionária, com medição em baixa tensão e demanda até 75 kVA</t>
  </si>
  <si>
    <t>01.06.031</t>
  </si>
  <si>
    <t>Elaboração de projeto de adequação de entrada de energia elétrica junto a concessionária, com medição em média tensão, subestação simplificada e demanda de 75 kVA a 300 kVA</t>
  </si>
  <si>
    <t>01.06.032</t>
  </si>
  <si>
    <t>Elaboração de projeto de adequação de entrada de energia elétrica junto a concessionária, com medição em média tensão e demanda de 75 kVA a 300 kVA</t>
  </si>
  <si>
    <t>01.06.041</t>
  </si>
  <si>
    <t>Elaboração de projeto de adequação de entrada de energia elétrica junto a concessionária, com medição em média tensão e demanda acima de 300 kVA a 2 MVA</t>
  </si>
  <si>
    <t>01.17</t>
  </si>
  <si>
    <t>Projeto executivo</t>
  </si>
  <si>
    <t>01.17.031</t>
  </si>
  <si>
    <t>Projeto executivo de arquitetura em formato A1</t>
  </si>
  <si>
    <t>01.17.041</t>
  </si>
  <si>
    <t>Projeto executivo de arquitetura em formato A0</t>
  </si>
  <si>
    <t>01.17.051</t>
  </si>
  <si>
    <t>Projeto executivo de estrutura em formato A1</t>
  </si>
  <si>
    <t>01.17.061</t>
  </si>
  <si>
    <t>Projeto executivo de estrutura em formato A0</t>
  </si>
  <si>
    <t>01.17.071</t>
  </si>
  <si>
    <t>Projeto executivo de instalações hidráulicas em formato A1</t>
  </si>
  <si>
    <t>01.17.081</t>
  </si>
  <si>
    <t>Projeto executivo de instalações hidráulicas em formato A0</t>
  </si>
  <si>
    <t>01.17.111</t>
  </si>
  <si>
    <t>Projeto executivo de instalações elétricas em formato A1</t>
  </si>
  <si>
    <t>01.17.121</t>
  </si>
  <si>
    <t>Projeto executivo de instalações elétricas em formato A0</t>
  </si>
  <si>
    <t>01.17.151</t>
  </si>
  <si>
    <t>Projeto executivo de climatização em formato A1</t>
  </si>
  <si>
    <t>01.17.161</t>
  </si>
  <si>
    <t>Projeto executivo de climatização em formato A0</t>
  </si>
  <si>
    <t>01.17.171</t>
  </si>
  <si>
    <t>Projeto executivo de chuveiros automáticos em formato A1</t>
  </si>
  <si>
    <t>01.17.181</t>
  </si>
  <si>
    <t>Projeto executivo de chuveiros automáticos em formato A0</t>
  </si>
  <si>
    <t>01.20</t>
  </si>
  <si>
    <t>Levantamento topográfico e geofísico</t>
  </si>
  <si>
    <t>01.20.010</t>
  </si>
  <si>
    <t>Taxa de mobilização e desmobilização de equipamentos para execução de levantamento topográfico</t>
  </si>
  <si>
    <t>01.20.280</t>
  </si>
  <si>
    <t>Levantamento planimétrico de área pavimentada para veículo e pedestre</t>
  </si>
  <si>
    <t>01.20.691</t>
  </si>
  <si>
    <t>Levantamento planimétrico cadastral com áreas ocupadas predominantemente por comunidades - área até 20.000 m² (mínimo de 3.500 m²)</t>
  </si>
  <si>
    <t>01.20.701</t>
  </si>
  <si>
    <t>Levantamento planimétrico cadastral com áreas ocupadas predominantemente por comunidades - área acima de 20.000 m² até 200.000 m²</t>
  </si>
  <si>
    <t>01.20.711</t>
  </si>
  <si>
    <t>Levantamento planimétrico cadastral com áreas ocupadas predominantemente por comunidades - área acima de 200.000 m²</t>
  </si>
  <si>
    <t>01.20.721</t>
  </si>
  <si>
    <t>Levantamento planimétrico cadastral com áreas até 50% de ocupação - área até 20.000 m² (mínimo de 3.500 m²)</t>
  </si>
  <si>
    <t>01.20.731</t>
  </si>
  <si>
    <t>Levantamento planimétrico cadastral com áreas até 50% de ocupação - área acima de 20.000 m² até 200.000 m²</t>
  </si>
  <si>
    <t>01.20.741</t>
  </si>
  <si>
    <t>Levantamento planimétrico cadastral com áreas até 50% de ocupação - área acima de 200.000 m²</t>
  </si>
  <si>
    <t>01.20.751</t>
  </si>
  <si>
    <t>Levantamento planimétrico cadastral com áreas acima de 50% de ocupação - área até 20.000 m² (mínimo de 4.000 m²)</t>
  </si>
  <si>
    <t>01.20.761</t>
  </si>
  <si>
    <t>Levantamento planimétrico cadastral com áreas acima de 50% de ocupação - área acima de 20.000 m² até 200.000 m²</t>
  </si>
  <si>
    <t>01.20.771</t>
  </si>
  <si>
    <t>Levantamento planimétrico cadastral com áreas acima de 50% de ocupação - área acima de 200.000 m²</t>
  </si>
  <si>
    <t>01.20.781</t>
  </si>
  <si>
    <t>Levantamento planialtimétrico cadastral com áreas ocupadas predominantemente por comunidades - área até 20.000 m² (mínimo de 3.500 m²)</t>
  </si>
  <si>
    <t>01.20.791</t>
  </si>
  <si>
    <t>Levantamento planialtimétrico cadastral com áreas ocupadas predominantemente por comunidades - área acima de 20.000 m² até 200.000 m²</t>
  </si>
  <si>
    <t>01.20.801</t>
  </si>
  <si>
    <t>Levantamento planialtimétrico cadastral com áreas ocupadas predominantemente por comunidades - área acima de 200.000 m²</t>
  </si>
  <si>
    <t>01.20.811</t>
  </si>
  <si>
    <t>Levantamento planialtimétrico cadastral com áreas até 50% de ocupação - área até 20.000 m² (mínimo de 4.000 m²)</t>
  </si>
  <si>
    <t>01.20.821</t>
  </si>
  <si>
    <t>Levantamento planialtimétrico cadastral com áreas até 50% de ocupação - área acima de 20.000 m² até 200.000 m²</t>
  </si>
  <si>
    <t>01.20.831</t>
  </si>
  <si>
    <t>Levantamento planialtimétrico cadastral com áreas até 50% de ocupação - área acima de 200.000 m²</t>
  </si>
  <si>
    <t>01.20.841</t>
  </si>
  <si>
    <t>Levantamento planialtimétrico cadastral com áreas acima de 50% de ocupação - área até 20.000 m² (mínimo de 3.500 m²)</t>
  </si>
  <si>
    <t>01.20.851</t>
  </si>
  <si>
    <t>Levantamento planialtimétrico cadastral com áreas acima de 50% de ocupação - área acima de 20.000 m² até 200.000 m²</t>
  </si>
  <si>
    <t>01.20.861</t>
  </si>
  <si>
    <t>Levantamento planialtimétrico cadastral com áreas acima de 50% de ocupação - área acima de 200.000 m²</t>
  </si>
  <si>
    <t>01.20.871</t>
  </si>
  <si>
    <t>Levantamento planialtimétrico cadastral em área rural até 2 alqueires (mínimo de 10.000 m²)</t>
  </si>
  <si>
    <t>01.20.881</t>
  </si>
  <si>
    <t>Levantamento planialtimétrico cadastral em área rural acima de 2 até 5 alqueires</t>
  </si>
  <si>
    <t>01.20.891</t>
  </si>
  <si>
    <t>Levantamento planialtimétrico cadastral em área rural acima de 5 até 10 alqueires</t>
  </si>
  <si>
    <t>01.20.901</t>
  </si>
  <si>
    <t>Levantamento planialtimétrico cadastral em área rural acima de 10 alqueires</t>
  </si>
  <si>
    <t>01.20.911</t>
  </si>
  <si>
    <t>Transporte de referência de nível (RN) - classe IIN (mínimo de 2 km)</t>
  </si>
  <si>
    <t>01.20.921</t>
  </si>
  <si>
    <t>Implantação de marcos através de levantamento com GPS (mínimo de 3 marcos)</t>
  </si>
  <si>
    <t>01.21</t>
  </si>
  <si>
    <t>Estudo geotecnico (sondagem)</t>
  </si>
  <si>
    <t>01.21.010</t>
  </si>
  <si>
    <t>01.21.090</t>
  </si>
  <si>
    <t>01.21.100</t>
  </si>
  <si>
    <t>Sondagem do terreno a trado</t>
  </si>
  <si>
    <t>01.21.110</t>
  </si>
  <si>
    <t>Sondagem do terreno à percussão (mínimo de 30 m)</t>
  </si>
  <si>
    <t>01.21.120</t>
  </si>
  <si>
    <t>Sondagem do terreno rotativa em solo</t>
  </si>
  <si>
    <t>01.21.130</t>
  </si>
  <si>
    <t>Sondagem do terreno rotativa em rocha</t>
  </si>
  <si>
    <t>01.21.140</t>
  </si>
  <si>
    <t>Sondagem do terreno à percussão com a utilização de torquímetro (mínimo de 30 m)</t>
  </si>
  <si>
    <t>01.23</t>
  </si>
  <si>
    <t>Tratamento, recuperação e trabalhos especiais em concreto</t>
  </si>
  <si>
    <t>01.23.010</t>
  </si>
  <si>
    <t>01.23.020</t>
  </si>
  <si>
    <t>Limpeza de armadura com escova de aço</t>
  </si>
  <si>
    <t>01.23.030</t>
  </si>
  <si>
    <t>Preparo de ponte de aderência com adesivo a base de epóxi</t>
  </si>
  <si>
    <t>01.23.056</t>
  </si>
  <si>
    <t>Tratamento de armadura com produto anticorrosivo a base de zinco</t>
  </si>
  <si>
    <t>01.23.060</t>
  </si>
  <si>
    <t>Corte de concreto deteriorado inclusive remoção dos detritos</t>
  </si>
  <si>
    <t>01.23.070</t>
  </si>
  <si>
    <t>Demarcação de área com disco de corte diamantado</t>
  </si>
  <si>
    <t>01.23.100</t>
  </si>
  <si>
    <t>Demolição de concreto armado com preservação de armadura, para reforço e recuperação estrutural</t>
  </si>
  <si>
    <t>01.23.140</t>
  </si>
  <si>
    <t>Furação de 1 1/4´ em concreto armado</t>
  </si>
  <si>
    <t>01.23.150</t>
  </si>
  <si>
    <t>Furação de 1 1/2´ em concreto armado</t>
  </si>
  <si>
    <t>01.23.160</t>
  </si>
  <si>
    <t>Furação de 2 1/4´ em concreto armado</t>
  </si>
  <si>
    <t>01.23.190</t>
  </si>
  <si>
    <t>Furação de 2 1/2´ em concreto armado</t>
  </si>
  <si>
    <t>01.23.200</t>
  </si>
  <si>
    <t>Taxa de mobilização e desmobilização de equipamentos para execução de perfuração em concreto</t>
  </si>
  <si>
    <t>01.23.221</t>
  </si>
  <si>
    <t>Furação para até 10mm x 100mm em concreto armado, inclusive colagem de armadura (para até 8mm)</t>
  </si>
  <si>
    <t>01.23.222</t>
  </si>
  <si>
    <t>Furação para 12,5mm x 100mm em concreto armado, inclusive colagem de armadura (para 10mm)</t>
  </si>
  <si>
    <t>01.23.223</t>
  </si>
  <si>
    <t>Furação para 16mm x 100mm em concreto armado, inclusive colagem de armadura (para 12,5mm)</t>
  </si>
  <si>
    <t>01.23.231</t>
  </si>
  <si>
    <t>Furação para até 10mm x 150mm em concreto armado, inclusive colagem de armadura (para até 8mm)</t>
  </si>
  <si>
    <t>01.23.232</t>
  </si>
  <si>
    <t>Furação para 12,5mm x 150mm em concreto armado, inclusive colagem de armadura (para 10mm)</t>
  </si>
  <si>
    <t>01.23.233</t>
  </si>
  <si>
    <t>Furação para 16mm x 150mm em concreto armado, inclusive colagem de armadura (para 12,5mm)</t>
  </si>
  <si>
    <t>01.23.234</t>
  </si>
  <si>
    <t>Furação para 20mm x 150mm em concreto armado, inclusive colagem de armadura (para 16mm)</t>
  </si>
  <si>
    <t>01.23.236</t>
  </si>
  <si>
    <t>Furação para até 10mm x 200mm em concreto armado, inclusive colagem de armadura (para 8mm)</t>
  </si>
  <si>
    <t>01.23.237</t>
  </si>
  <si>
    <t>Furação para 12,5mm x 200mm em concreto armado, inclusive colagem de armadura (para 10mm)</t>
  </si>
  <si>
    <t>01.23.238</t>
  </si>
  <si>
    <t>Furação para 16mm x 200mm em concreto armado, inclusive colagem de armadura (para 12,5mm)</t>
  </si>
  <si>
    <t>01.23.239</t>
  </si>
  <si>
    <t>Furação para 20mm x 200mm em concreto armado, inclusive colagem de armadura (para 16mm)</t>
  </si>
  <si>
    <t>01.23.254</t>
  </si>
  <si>
    <t>Furação de 1´ em concreto armado</t>
  </si>
  <si>
    <t>01.23.260</t>
  </si>
  <si>
    <t>Furação de 2´ em concreto armado</t>
  </si>
  <si>
    <t>01.23.264</t>
  </si>
  <si>
    <t>Furação de 3´ em concreto armado</t>
  </si>
  <si>
    <t>01.23.270</t>
  </si>
  <si>
    <t>Furação de 4´ em concreto armado</t>
  </si>
  <si>
    <t>01.23.274</t>
  </si>
  <si>
    <t>Furação de 5´ em concreto armado</t>
  </si>
  <si>
    <t>01.23.280</t>
  </si>
  <si>
    <t>Furação de 6´ em concreto armado</t>
  </si>
  <si>
    <t>01.23.510</t>
  </si>
  <si>
    <t>Corte vertical em concreto armado, espessura de 15 cm</t>
  </si>
  <si>
    <t>01.23.700</t>
  </si>
  <si>
    <t>Taxa de mobilização e desmobilização para reforço estrutural com fibra de carbono</t>
  </si>
  <si>
    <t>01.23.701</t>
  </si>
  <si>
    <t>Preparação de substrato para colagem de fibra de carbono, mediante lixamento e/ou apicoamento e escovação</t>
  </si>
  <si>
    <t>01.23.702</t>
  </si>
  <si>
    <t>Fibra de carbono para reforço estrutural de alta resistência - 300 g/m²</t>
  </si>
  <si>
    <t>01.27</t>
  </si>
  <si>
    <t>Estudo e programa ambientais</t>
  </si>
  <si>
    <t>01.27.011</t>
  </si>
  <si>
    <t>Projeto e implementação de gerenciamento integrado de resíduos sólidos e gestão de perdas</t>
  </si>
  <si>
    <t>01.27.021</t>
  </si>
  <si>
    <t>Projeto e implementação de educação ambiental</t>
  </si>
  <si>
    <t>01.27.031</t>
  </si>
  <si>
    <t>Projeto e implementação de controle ambiental de obra</t>
  </si>
  <si>
    <t>01.27.041</t>
  </si>
  <si>
    <t>Laudo de caracterização de vegetação</t>
  </si>
  <si>
    <t>01.27.051</t>
  </si>
  <si>
    <t>Laudo de caracterização da fauna associada à flora</t>
  </si>
  <si>
    <t>01.27.061</t>
  </si>
  <si>
    <t>Projeto e implementação de monitoramento da fauna durante a obra</t>
  </si>
  <si>
    <t>01.27.071</t>
  </si>
  <si>
    <t>Laudo de autodepuração</t>
  </si>
  <si>
    <t>01.27.091</t>
  </si>
  <si>
    <t>Estudo de impacto de vizinhança, em área urbana até 10.000 m²</t>
  </si>
  <si>
    <t>01.28</t>
  </si>
  <si>
    <t>Poço profundo</t>
  </si>
  <si>
    <t>01.28.010</t>
  </si>
  <si>
    <t>01.28.020</t>
  </si>
  <si>
    <t>01.28.030</t>
  </si>
  <si>
    <t>01.28.040</t>
  </si>
  <si>
    <t>Perfuração rotativa para poço profundo em camadas de solos sedimentares, diâmetro de 8 1/2" (215,90 mm)</t>
  </si>
  <si>
    <t>01.28.050</t>
  </si>
  <si>
    <t>Perfuração rotativa para poço profundo em aluvião, arenito, ou solos sedimentados em geral, diâmetro de 10" (250 mm)</t>
  </si>
  <si>
    <t>01.28.060</t>
  </si>
  <si>
    <t>Perfuração rotativa para poço profundo em aluvião, arenito, ou solos sedimentados em geral, diâmetro de 12" (300 mm)</t>
  </si>
  <si>
    <t>01.28.070</t>
  </si>
  <si>
    <t>Perfuração rotativa para poço profundo em aluvião, arenito, ou solos sedimentados em geral, diâmetro de 14" (350 mm)</t>
  </si>
  <si>
    <t>01.28.080</t>
  </si>
  <si>
    <t>Perfuração rotativa para poço profundo em aluvião, arenito, ou solos sedimentados em geral, diâmetro de 16" (400 mm)</t>
  </si>
  <si>
    <t>01.28.090</t>
  </si>
  <si>
    <t>Perfuração rotativa para poço profundo em aluvião, arenito, ou solos sedimentados em geral, diâmetro de 18" (450 mm)</t>
  </si>
  <si>
    <t>01.28.100</t>
  </si>
  <si>
    <t>Perfuração rotativa para poço profundo em aluvião, arenito, ou solos sedimentados em geral, diâmetro de 20" (500 mm)</t>
  </si>
  <si>
    <t>01.28.110</t>
  </si>
  <si>
    <t>Perfuração rotativa para poço profundo em aluvião, arenito, ou solos sedimentados em geral, diâmetro de 22" (550 mm)</t>
  </si>
  <si>
    <t>01.28.120</t>
  </si>
  <si>
    <t>Perfuração rotativa para poço profundo em aluvião, arenito, ou solos sedimentados em geral, diâmetro de 26" (650 mm)</t>
  </si>
  <si>
    <t>01.28.130</t>
  </si>
  <si>
    <t>01.28.140</t>
  </si>
  <si>
    <t>Perfuração roto-pneumática para poço profundo em rocha metassedimentar em geral, diâmetro de 12 1/4" (311,15 mm)</t>
  </si>
  <si>
    <t>01.28.150</t>
  </si>
  <si>
    <t>01.28.160</t>
  </si>
  <si>
    <t>Perfuração rotativa para poço profundo em rocha alterada (basalto alterado), diâmetro de 8" (200 mm)</t>
  </si>
  <si>
    <t>01.28.170</t>
  </si>
  <si>
    <t>Perfuração rotativa para poço profundo em rocha alterada (basalto alterado), diâmetro de 10" (250 mm)</t>
  </si>
  <si>
    <t>01.28.180</t>
  </si>
  <si>
    <t>Perfuração rotativa para poço profundo em rocha alterada (basalto alterado), diâmetro de 12" (300 mm)</t>
  </si>
  <si>
    <t>01.28.190</t>
  </si>
  <si>
    <t>01.28.200</t>
  </si>
  <si>
    <t>01.28.210</t>
  </si>
  <si>
    <t>01.28.220</t>
  </si>
  <si>
    <t>01.28.230</t>
  </si>
  <si>
    <t>01.28.240</t>
  </si>
  <si>
    <t>01.28.250</t>
  </si>
  <si>
    <t>Revestimento interno de poço profundo tubo liso em aço galvanizado, diâmetro de 6" (152,40 mm) - união solda</t>
  </si>
  <si>
    <t>01.28.260</t>
  </si>
  <si>
    <t>Revestimento interno de poço profundo tubo PVC geomecânico nervurado standard, diâmetro de 6" (150 mm)</t>
  </si>
  <si>
    <t>01.28.270</t>
  </si>
  <si>
    <t>Revestimento interno de poço profundo tubo PVC geomecânico nervurado reforçado, diâmetro de 8" (200 mm)</t>
  </si>
  <si>
    <t>01.28.280</t>
  </si>
  <si>
    <t>Revestimento interno de poço profundo tubo de aço preto, diâmetro de 6" (152,40 mm)</t>
  </si>
  <si>
    <t>01.28.290</t>
  </si>
  <si>
    <t>Revestimento interno de poço profundo tubo preto DIN 2440, diâmetro de 6" (150 mm)</t>
  </si>
  <si>
    <t>01.28.300</t>
  </si>
  <si>
    <t>Revestimento interno de poço profundo tubo preto DIN 2440, diâmetro de 8" (200 mm)</t>
  </si>
  <si>
    <t>01.28.310</t>
  </si>
  <si>
    <t>Revestimento interno de poço profundo tubo de aço preto liso calandrado, diâmetro de 16" (406,40 mm)</t>
  </si>
  <si>
    <t>01.28.350</t>
  </si>
  <si>
    <t>Revestimento da boca de poço profundo tubo chapa 3/16", diâmetro de 12"</t>
  </si>
  <si>
    <t>01.28.360</t>
  </si>
  <si>
    <t>Revestimento da boca de poço profundo tubo chapa 3/16", diâmetro de 14"</t>
  </si>
  <si>
    <t>01.28.370</t>
  </si>
  <si>
    <t>Revestimento da boca de poço profundo tubo chapa 3/16", diâmetro de 16"</t>
  </si>
  <si>
    <t>01.28.380</t>
  </si>
  <si>
    <t>Revestimento da boca de poço profundo tubo chapa 3/16", diâmetro de 20"</t>
  </si>
  <si>
    <t>01.28.390</t>
  </si>
  <si>
    <t>Filtro PVC geomecânico nervurado tipo standard para poço profundo, diâmetro de 6" (150 mm)</t>
  </si>
  <si>
    <t>01.28.400</t>
  </si>
  <si>
    <t>Filtro PVC geomecânico nervurado tipo reforçado para poço profundo, diâmetro de 8" (200 mm)</t>
  </si>
  <si>
    <t>01.28.410</t>
  </si>
  <si>
    <t>Filtro espiralado galvanizado simples (standard) para poço profundo, diâmetro de 6" (152,40 mm)</t>
  </si>
  <si>
    <t>01.28.420</t>
  </si>
  <si>
    <t>Filtro espiralado galvanizado reforçado para poço profundo, diâmetro de 6" (152,40 mm)</t>
  </si>
  <si>
    <t>01.28.430</t>
  </si>
  <si>
    <t>Filtro espiralado em aço inoxidável reforçado para poço profundo, diâmetro de 6" (152,40 mm)</t>
  </si>
  <si>
    <t>01.28.440</t>
  </si>
  <si>
    <t>Filtro galvanizado tipo NOLD para poço profundo, diâmetro de 6" (150 mm)</t>
  </si>
  <si>
    <t>01.28.450</t>
  </si>
  <si>
    <t>Pré-filtro tipo pérola para poço profundo</t>
  </si>
  <si>
    <t>01.28.460</t>
  </si>
  <si>
    <t>Pré-filtro tipo Jacareí para poço profundo</t>
  </si>
  <si>
    <t>01.28.470</t>
  </si>
  <si>
    <t>Perfilagem ótica (filmagem / endoscopia) para poço profundo</t>
  </si>
  <si>
    <t>01.28.480</t>
  </si>
  <si>
    <t>Perfilagem elétrica de poço profundo</t>
  </si>
  <si>
    <t>01.28.490</t>
  </si>
  <si>
    <t>01.28.500</t>
  </si>
  <si>
    <t>Limpeza e desenvolvimento do poço profundo</t>
  </si>
  <si>
    <t>01.28.510</t>
  </si>
  <si>
    <t>Ensaio de vazão (bombeamento) para poço profundo, com bomba submersa</t>
  </si>
  <si>
    <t>01.28.520</t>
  </si>
  <si>
    <t>Ensaio de vazão escalonado para poço profundo</t>
  </si>
  <si>
    <t>01.28.530</t>
  </si>
  <si>
    <t>Ensaio de recuperação de nível para poço profundo</t>
  </si>
  <si>
    <t>01.28.540</t>
  </si>
  <si>
    <t>01.28.550</t>
  </si>
  <si>
    <t>Análise físico-química e bacteriológica da água para poço profundo</t>
  </si>
  <si>
    <t>01.28.560</t>
  </si>
  <si>
    <t>Centralizador de coluna para poço profundo, diâmetro de 4" ou 6"</t>
  </si>
  <si>
    <t>01.28.570</t>
  </si>
  <si>
    <t>01.28.580</t>
  </si>
  <si>
    <t>Laje de proteção em concreto armado para poço profundo (área mínimo de 3,00 m²)</t>
  </si>
  <si>
    <t>01.28.590</t>
  </si>
  <si>
    <t>Lacre do poço profundo (tampa)</t>
  </si>
  <si>
    <t>01.28.600</t>
  </si>
  <si>
    <t>Licença de perfuração para poço profundo</t>
  </si>
  <si>
    <t>01.28.610</t>
  </si>
  <si>
    <t>Outorga de direito de uso para poço profundo</t>
  </si>
  <si>
    <t>01.28.620</t>
  </si>
  <si>
    <t>Parecer técnico junto a CETESB</t>
  </si>
  <si>
    <t>02</t>
  </si>
  <si>
    <t>INICIO, APOIO E ADMINISTRACAO DA OBRA</t>
  </si>
  <si>
    <t>02.01</t>
  </si>
  <si>
    <t>Construção provisória</t>
  </si>
  <si>
    <t>02.01.021</t>
  </si>
  <si>
    <t>Construção provisória em madeira - fornecimento e montagem</t>
  </si>
  <si>
    <t>02.01.171</t>
  </si>
  <si>
    <t>Sanitário/vestiário provisório em alvenaria</t>
  </si>
  <si>
    <t>02.01.180</t>
  </si>
  <si>
    <t>Banheiro químico modelo Standard, com manutenção conforme exigências da CETESB</t>
  </si>
  <si>
    <t>02.01.200</t>
  </si>
  <si>
    <t>Desmobilização de construção provisória</t>
  </si>
  <si>
    <t>02.02</t>
  </si>
  <si>
    <t>Container</t>
  </si>
  <si>
    <t>02.02.120</t>
  </si>
  <si>
    <t>Locação de container tipo alojamento - área mínima de 13,80 m²</t>
  </si>
  <si>
    <t>02.02.130</t>
  </si>
  <si>
    <t>Locação de container tipo escritório com 1 vaso sanitário, 1 lavatório e 1 ponto para chuveiro - área mínima de 13,80 m²</t>
  </si>
  <si>
    <t>02.02.140</t>
  </si>
  <si>
    <t>Locação de container tipo sanitário com 2 vasos sanitários, 2 lavatórios, 2 mictórios e 4 pontos para chuveiro - área mínima de 13,80 m²</t>
  </si>
  <si>
    <t>02.02.150</t>
  </si>
  <si>
    <t>Locação de container tipo depósito - área mínima de 13,80 m²</t>
  </si>
  <si>
    <t>02.02.160</t>
  </si>
  <si>
    <t>Locação de container tipo guarita - área mínima de 4,60 m²</t>
  </si>
  <si>
    <t>02.03</t>
  </si>
  <si>
    <t>Tapume, vedação e proteções diversas</t>
  </si>
  <si>
    <t>02.03.030</t>
  </si>
  <si>
    <t>Proteção de superfícies em geral com plástico bolha</t>
  </si>
  <si>
    <t>02.03.060</t>
  </si>
  <si>
    <t>Proteção de fachada com tela de nylon</t>
  </si>
  <si>
    <t>02.03.080</t>
  </si>
  <si>
    <t>Fechamento provisório de vãos em chapa de madeira compensada</t>
  </si>
  <si>
    <t>02.03.110</t>
  </si>
  <si>
    <t>Tapume móvel para fechamento de áreas</t>
  </si>
  <si>
    <t>02.03.120</t>
  </si>
  <si>
    <t>Tapume fixo para fechamento de áreas, com portão</t>
  </si>
  <si>
    <t>02.03.200</t>
  </si>
  <si>
    <t>Locação de quadros metálicos para plataforma de proteção, inclusive o madeiramento</t>
  </si>
  <si>
    <t>M2MES</t>
  </si>
  <si>
    <t>02.03.240</t>
  </si>
  <si>
    <t>Proteção de piso com tecido de aniagem e gesso</t>
  </si>
  <si>
    <t>02.03.260</t>
  </si>
  <si>
    <t>Tapume fixo em painel OSB - espessura 10 mm</t>
  </si>
  <si>
    <t>02.03.270</t>
  </si>
  <si>
    <t>Tapume fixo em painel OSB - espessura 12 mm</t>
  </si>
  <si>
    <t>02.03.500</t>
  </si>
  <si>
    <t>Proteção em madeira e lona plástica para equipamento mecânico ou informática - para obras de reforma</t>
  </si>
  <si>
    <t>02.05</t>
  </si>
  <si>
    <t>Andaime e balancim</t>
  </si>
  <si>
    <t>02.05.060</t>
  </si>
  <si>
    <t>Montagem e desmontagem de andaime torre metálica com altura até 10 m</t>
  </si>
  <si>
    <t>02.05.080</t>
  </si>
  <si>
    <t>Montagem e desmontagem de andaime torre metálica com altura superior a 10 m</t>
  </si>
  <si>
    <t>02.05.090</t>
  </si>
  <si>
    <t>Montagem e desmontagem de andaime tubular fachadeiro com altura até 10 m</t>
  </si>
  <si>
    <t>02.05.100</t>
  </si>
  <si>
    <t>Montagem e desmontagem de andaime tubular fachadeiro com altura superior a 10 m</t>
  </si>
  <si>
    <t>02.05.195</t>
  </si>
  <si>
    <t>Balancim elétrico tipo plataforma para transporte vertical, com altura até 60 m</t>
  </si>
  <si>
    <t>02.05.202</t>
  </si>
  <si>
    <t>Andaime torre metálico (1,5 x 1,5 m) com piso metálico</t>
  </si>
  <si>
    <t>02.05.212</t>
  </si>
  <si>
    <t>Andaime tubular fachadeiro com piso metálico e sapatas ajustáveis</t>
  </si>
  <si>
    <t>02.06</t>
  </si>
  <si>
    <t>Alocação de equipe, equipamento e ferramental</t>
  </si>
  <si>
    <t>02.06.030</t>
  </si>
  <si>
    <t>Locação de plataforma elevatória articulada, com altura aproximada de 12,5m, capacidade de carga de 227 kg, elétrica</t>
  </si>
  <si>
    <t>02.06.040</t>
  </si>
  <si>
    <t>Locação de plataforma elevatória articulada, com altura aproximada de 20 m, capacidade de carga de 227 kg, diesel</t>
  </si>
  <si>
    <t>02.08</t>
  </si>
  <si>
    <t>Sinalização de obra</t>
  </si>
  <si>
    <t>02.08.020</t>
  </si>
  <si>
    <t>Placa de identificação para obra</t>
  </si>
  <si>
    <t>02.08.040</t>
  </si>
  <si>
    <t>Placa em lona com impressão digital e requadro em metalon</t>
  </si>
  <si>
    <t>02.08.050</t>
  </si>
  <si>
    <t>Placa em lona com impressão digital e estrutura em madeira</t>
  </si>
  <si>
    <t>02.09</t>
  </si>
  <si>
    <t>Limpeza de terreno</t>
  </si>
  <si>
    <t>02.09.030</t>
  </si>
  <si>
    <t>Limpeza manual do terreno, inclusive troncos até 5 cm de diâmetro, com caminhão à disposição dentro da obra, até o raio de 1 km</t>
  </si>
  <si>
    <t>02.09.040</t>
  </si>
  <si>
    <t>Limpeza mecanizada do terreno, inclusive troncos até 15 cm de diâmetro, com caminhão à disposição dentro e fora da obra, com transporte no raio de até 1 km</t>
  </si>
  <si>
    <t>02.09.130</t>
  </si>
  <si>
    <t>Limpeza mecanizada do terreno, inclusive troncos com diâmetro acima de 15 cm até 50 cm, com caminhão à disposição dentro da obra, até o raio de 1 km</t>
  </si>
  <si>
    <t>02.09.150</t>
  </si>
  <si>
    <t>Corte e derrubada de eucalipto (1° corte) - idade até 4 anos</t>
  </si>
  <si>
    <t>02.09.160</t>
  </si>
  <si>
    <t>Corte e derrubada de eucalipto (1° corte) - idade acima de 4 anos</t>
  </si>
  <si>
    <t>02.10</t>
  </si>
  <si>
    <t>Locação de obra</t>
  </si>
  <si>
    <t>02.10.020</t>
  </si>
  <si>
    <t>Locação de obra de edificação</t>
  </si>
  <si>
    <t>02.10.040</t>
  </si>
  <si>
    <t>Locação de rede de canalização</t>
  </si>
  <si>
    <t>02.10.050</t>
  </si>
  <si>
    <t>Locação para muros, cercas e alambrados</t>
  </si>
  <si>
    <t>02.10.060</t>
  </si>
  <si>
    <t>Locação de vias, calçadas, tanques e lagoas</t>
  </si>
  <si>
    <t>03</t>
  </si>
  <si>
    <t>DEMOLICAO SEM REAPROVEITAMENTO</t>
  </si>
  <si>
    <t>03.01</t>
  </si>
  <si>
    <t>Demolição de concreto, lastro, mistura e afins</t>
  </si>
  <si>
    <t>03.01.020</t>
  </si>
  <si>
    <t>Demolição manual de concreto simples</t>
  </si>
  <si>
    <t>03.01.040</t>
  </si>
  <si>
    <t>Demolição manual de concreto armado</t>
  </si>
  <si>
    <t>03.01.060</t>
  </si>
  <si>
    <t>Demolição manual de lajes pré-moldadas, incluindo revestimento</t>
  </si>
  <si>
    <t>03.01.200</t>
  </si>
  <si>
    <t>Demolição mecanizada de concreto armado, inclusive fragmentação, carregamento, transporte até 1 quilômetro e descarregamento</t>
  </si>
  <si>
    <t>03.01.210</t>
  </si>
  <si>
    <t>Demolição mecanizada de concreto armado, inclusive fragmentação e acomodação do material</t>
  </si>
  <si>
    <t>03.01.220</t>
  </si>
  <si>
    <t>Demolição mecanizada de concreto simples, inclusive fragmentação, carregamento, transporte até 1 quilômetro e descarregamento</t>
  </si>
  <si>
    <t>03.01.230</t>
  </si>
  <si>
    <t>Demolição mecanizada de concreto simples, inclusive fragmentação e acomodação do material</t>
  </si>
  <si>
    <t>03.01.240</t>
  </si>
  <si>
    <t>Demolição mecanizada de pavimento ou piso em concreto, inclusive fragmentação, carregamento, transporte até 1 quilômetro e descarregamento</t>
  </si>
  <si>
    <t>03.01.250</t>
  </si>
  <si>
    <t>Demolição mecanizada de pavimento ou piso em concreto, inclusive fragmentação e acomodação do material</t>
  </si>
  <si>
    <t>03.01.260</t>
  </si>
  <si>
    <t>Demolição mecanizada de sarjeta ou sarjetão, inclusive fragmentação, carregamento, transporte até 1 quilômetro e descarregamento</t>
  </si>
  <si>
    <t>03.01.270</t>
  </si>
  <si>
    <t>Demolição mecanizada de sarjeta ou sarjetão, inclusive fragmentação e acomodação do material</t>
  </si>
  <si>
    <t>03.02</t>
  </si>
  <si>
    <t>Demolição de alvenaria</t>
  </si>
  <si>
    <t>03.02.020</t>
  </si>
  <si>
    <t>Demolição manual de alvenaria de fundação/embasamento</t>
  </si>
  <si>
    <t>03.02.040</t>
  </si>
  <si>
    <t>Demolição manual de alvenaria de elevação ou elemento vazado, incluindo revestimento</t>
  </si>
  <si>
    <t>03.03</t>
  </si>
  <si>
    <t>Demolição de revestimento em massa</t>
  </si>
  <si>
    <t>03.03.020</t>
  </si>
  <si>
    <t>Apicoamento manual de piso, parede ou teto</t>
  </si>
  <si>
    <t>03.03.040</t>
  </si>
  <si>
    <t>Demolição manual de revestimento em massa de parede ou teto</t>
  </si>
  <si>
    <t>03.03.060</t>
  </si>
  <si>
    <t>Demolição manual de revestimento em massa de piso</t>
  </si>
  <si>
    <t>03.04</t>
  </si>
  <si>
    <t>Demolição de revestimento cerâmico e ladrilho hidráulico</t>
  </si>
  <si>
    <t>03.04.020</t>
  </si>
  <si>
    <t>Demolição manual de revestimento cerâmico, incluindo a base</t>
  </si>
  <si>
    <t>03.04.030</t>
  </si>
  <si>
    <t>Demolição manual de revestimento em ladrilho hidráulico, incluindo a base</t>
  </si>
  <si>
    <t>03.04.040</t>
  </si>
  <si>
    <t>Demolição manual de rodapé, soleira ou peitoril, em material cerâmico e/ou ladrilho hidráulico, incluindo a base</t>
  </si>
  <si>
    <t>03.05</t>
  </si>
  <si>
    <t>Demolição de revestimento sintético</t>
  </si>
  <si>
    <t>03.05.020</t>
  </si>
  <si>
    <t>Demolição manual de revestimento sintético, incluindo a base</t>
  </si>
  <si>
    <t>03.06</t>
  </si>
  <si>
    <t>Demolição de revestimento em pedra e blocos maciços</t>
  </si>
  <si>
    <t>03.06.050</t>
  </si>
  <si>
    <t>Desmonte (levantamento) mecanizado de pavimento em paralelepípedo ou lajota de concreto, inclusive carregamento, transporte até 1 quilômetro e descarregamento</t>
  </si>
  <si>
    <t>03.06.060</t>
  </si>
  <si>
    <t>Desmonte (levantamento) mecanizado de pavimento em paralelepípedo ou lajota de concreto, inclusive acomodação do material</t>
  </si>
  <si>
    <t>03.07</t>
  </si>
  <si>
    <t>Demolição de revestimento asfáltico</t>
  </si>
  <si>
    <t>03.07.010</t>
  </si>
  <si>
    <t>Demolição (levantamento) mecanizada de pavimento asfáltico, inclusive carregamento, transporte até 1 quilômetro e descarregamento</t>
  </si>
  <si>
    <t>03.07.030</t>
  </si>
  <si>
    <t>Demolição (levantamento) mecanizada de pavimento asfáltico, inclusive fragmentação e acomodação do material</t>
  </si>
  <si>
    <t>03.07.050</t>
  </si>
  <si>
    <t>Fresagem de pavimento asfáltico com espessura até 5 cm, inclusive carregamento, transporte até 1 quilômetro e descarregamento</t>
  </si>
  <si>
    <t>03.07.070</t>
  </si>
  <si>
    <t>Fresagem de pavimento asfáltico com espessura até 5 cm, inclusive acomodação do material</t>
  </si>
  <si>
    <t>03.07.080</t>
  </si>
  <si>
    <t>Fresagem de pavimento asfáltico com espessura até 5 cm, inclusive remoção do material fresado até 10 quilômetros e varrição</t>
  </si>
  <si>
    <t>03.08</t>
  </si>
  <si>
    <t>Demolição de forro / divisórias</t>
  </si>
  <si>
    <t>03.08.020</t>
  </si>
  <si>
    <t>Demolição manual de forro em estuque, inclusive sistema de fixação/tarugamento</t>
  </si>
  <si>
    <t>03.08.040</t>
  </si>
  <si>
    <t>Demolição manual de forro qualquer, inclusive sistema de fixação/tarugamento</t>
  </si>
  <si>
    <t>03.08.060</t>
  </si>
  <si>
    <t>Demolição manual de forro em gesso, inclusive sistema de fixação</t>
  </si>
  <si>
    <t>03.08.200</t>
  </si>
  <si>
    <t>Demolição manual de painéis divisórias, inclusive montantes metálicos</t>
  </si>
  <si>
    <t>03.09</t>
  </si>
  <si>
    <t>Demolição de impermeabilização e afins</t>
  </si>
  <si>
    <t>03.09.020</t>
  </si>
  <si>
    <t>Demolição manual de camada impermeabilizante</t>
  </si>
  <si>
    <t>03.09.040</t>
  </si>
  <si>
    <t>Demolição manual de argamassa regularizante, isolante ou protetora e papel Kraft</t>
  </si>
  <si>
    <t>03.09.060</t>
  </si>
  <si>
    <t>Remoção manual de junta de dilatação ou retração, inclusive apoio</t>
  </si>
  <si>
    <t>03.10</t>
  </si>
  <si>
    <t>Remoção de pintura</t>
  </si>
  <si>
    <t>03.10.020</t>
  </si>
  <si>
    <t>Remoção de pintura em rodapé, baguete ou moldura com lixa</t>
  </si>
  <si>
    <t>03.10.040</t>
  </si>
  <si>
    <t>Remoção de pintura em rodapé, baguete ou moldura com produto químico</t>
  </si>
  <si>
    <t>03.10.080</t>
  </si>
  <si>
    <t>Remoção de pintura em superfícies de madeira e/ou metálicas com produtos químicos</t>
  </si>
  <si>
    <t>03.10.100</t>
  </si>
  <si>
    <t>Remoção de pintura em superfícies de madeira e/ou metálicas com lixamento</t>
  </si>
  <si>
    <t>03.10.120</t>
  </si>
  <si>
    <t>Remoção de pintura em massa com produtos químicos</t>
  </si>
  <si>
    <t>03.10.140</t>
  </si>
  <si>
    <t>Remoção de pintura em massa com lixamento</t>
  </si>
  <si>
    <t>03.16</t>
  </si>
  <si>
    <t>Remoção de sinalização horizontal</t>
  </si>
  <si>
    <t>03.16.010</t>
  </si>
  <si>
    <t>Remoção de sinalização horizontal existente</t>
  </si>
  <si>
    <t>03.16.011</t>
  </si>
  <si>
    <t>Remoção de tacha/tachões</t>
  </si>
  <si>
    <t>04</t>
  </si>
  <si>
    <t>RETIRADA COM PROVAVEL REAPROVEITAMENTO</t>
  </si>
  <si>
    <t>04.01</t>
  </si>
  <si>
    <t>Retirada de fechamento e elemento divisor</t>
  </si>
  <si>
    <t>04.01.020</t>
  </si>
  <si>
    <t>Retirada de divisória em placa de madeira ou fibrocimento tarugada</t>
  </si>
  <si>
    <t>04.01.040</t>
  </si>
  <si>
    <t>Retirada de divisória em placa de madeira ou fibrocimento com montantes metálicos</t>
  </si>
  <si>
    <t>04.01.060</t>
  </si>
  <si>
    <t>Retirada de divisória em placa de concreto, granito, granilite ou mármore</t>
  </si>
  <si>
    <t>04.01.080</t>
  </si>
  <si>
    <t>Retirada de fechamento em placas pré-moldadas, inclusive pilares</t>
  </si>
  <si>
    <t>04.01.090</t>
  </si>
  <si>
    <t>Retirada de barreira de proteção com arame de alta segurança, simples ou duplo</t>
  </si>
  <si>
    <t>04.01.100</t>
  </si>
  <si>
    <t>Retirada de cerca</t>
  </si>
  <si>
    <t>04.02</t>
  </si>
  <si>
    <t>Retirada de elementos de estrutura (concreto, ferro, alumínio e madeira)</t>
  </si>
  <si>
    <t>04.02.020</t>
  </si>
  <si>
    <t>Retirada de peças lineares em madeira com seção até 60 cm²</t>
  </si>
  <si>
    <t>04.02.030</t>
  </si>
  <si>
    <t>Retirada de peças lineares em madeira com seção superior a 60 cm²</t>
  </si>
  <si>
    <t>04.02.050</t>
  </si>
  <si>
    <t>Retirada de estrutura em madeira tesoura - telhas de barro</t>
  </si>
  <si>
    <t>04.02.070</t>
  </si>
  <si>
    <t>Retirada de estrutura em madeira tesoura - telhas perfil qualquer</t>
  </si>
  <si>
    <t>04.02.090</t>
  </si>
  <si>
    <t>Retirada de estrutura em madeira pontaletada - telhas de barro</t>
  </si>
  <si>
    <t>04.02.110</t>
  </si>
  <si>
    <t>Retirada de estrutura em madeira pontaletada - telhas perfil qualquer</t>
  </si>
  <si>
    <t>04.02.140</t>
  </si>
  <si>
    <t>04.03</t>
  </si>
  <si>
    <t>Retirada de telhamento e proteção</t>
  </si>
  <si>
    <t>04.03.020</t>
  </si>
  <si>
    <t>Retirada de telhamento em barro</t>
  </si>
  <si>
    <t>04.03.040</t>
  </si>
  <si>
    <t>Retirada de telhamento perfil e material qualquer, exceto barro</t>
  </si>
  <si>
    <t>04.03.060</t>
  </si>
  <si>
    <t>Retirada de cumeeira ou espigão em barro</t>
  </si>
  <si>
    <t>04.03.080</t>
  </si>
  <si>
    <t>Retirada de cumeeira, espigão ou rufo perfil qualquer</t>
  </si>
  <si>
    <t>04.03.090</t>
  </si>
  <si>
    <t>Retirada de domo de acrílico, inclusive perfis metálicos de fixação</t>
  </si>
  <si>
    <t>04.04</t>
  </si>
  <si>
    <t>Retirada de revestimento em pedra e blocos maciços</t>
  </si>
  <si>
    <t>04.04.010</t>
  </si>
  <si>
    <t>Retirada de revestimento em pedra, granito ou mármore, em parede ou fachada</t>
  </si>
  <si>
    <t>04.04.020</t>
  </si>
  <si>
    <t>Retirada de revestimento em pedra, granito ou mármore, em piso</t>
  </si>
  <si>
    <t>04.04.030</t>
  </si>
  <si>
    <t>Retirada de soleira ou peitoril em pedra, granito ou mármore</t>
  </si>
  <si>
    <t>04.04.040</t>
  </si>
  <si>
    <t>Retirada de degrau em pedra, granito ou mármore</t>
  </si>
  <si>
    <t>04.04.060</t>
  </si>
  <si>
    <t>Retirada de rodapé em pedra, granito ou mármore</t>
  </si>
  <si>
    <t>04.05</t>
  </si>
  <si>
    <t>Retirada de revestimentos em madeira</t>
  </si>
  <si>
    <t>04.05.010</t>
  </si>
  <si>
    <t>Retirada de revestimento em lambris de madeira</t>
  </si>
  <si>
    <t>04.05.020</t>
  </si>
  <si>
    <t>Retirada de piso em tacos de madeira</t>
  </si>
  <si>
    <t>04.05.040</t>
  </si>
  <si>
    <t>Retirada de soalho somente o tablado</t>
  </si>
  <si>
    <t>04.05.060</t>
  </si>
  <si>
    <t>Retirada de soalho inclusive vigamento</t>
  </si>
  <si>
    <t>04.05.080</t>
  </si>
  <si>
    <t>Retirada de degrau em madeira</t>
  </si>
  <si>
    <t>04.05.100</t>
  </si>
  <si>
    <t>Retirada de rodapé inclusive cordão em madeira</t>
  </si>
  <si>
    <t>04.06</t>
  </si>
  <si>
    <t>Retirada de revestimentos sintéticos e metálicos</t>
  </si>
  <si>
    <t>04.06.010</t>
  </si>
  <si>
    <t>Retirada de revestimento em lambris metálicos</t>
  </si>
  <si>
    <t>04.06.020</t>
  </si>
  <si>
    <t>Retirada de piso em material sintético assentado a cola</t>
  </si>
  <si>
    <t>04.06.040</t>
  </si>
  <si>
    <t>Retirada de degrau em material sintético assentado a cola</t>
  </si>
  <si>
    <t>04.06.060</t>
  </si>
  <si>
    <t>Retirada de rodapé inclusive cordão em material sintético</t>
  </si>
  <si>
    <t>04.06.100</t>
  </si>
  <si>
    <t>Retirada de piso elevado telescópico metálico, inclusive estrutura de sustentação</t>
  </si>
  <si>
    <t>04.07</t>
  </si>
  <si>
    <t>Retirada de forro, brise e fachada</t>
  </si>
  <si>
    <t>04.07.020</t>
  </si>
  <si>
    <t>Retirada de forro qualquer em placas ou tiras fixadas</t>
  </si>
  <si>
    <t>04.07.040</t>
  </si>
  <si>
    <t>Retirada de forro qualquer em placas ou tiras apoiadas</t>
  </si>
  <si>
    <t>04.07.060</t>
  </si>
  <si>
    <t>Retirada de sistema de fixação ou tarugamento de forro</t>
  </si>
  <si>
    <t>04.08</t>
  </si>
  <si>
    <t>Retirada de esquadria e elemento de madeira</t>
  </si>
  <si>
    <t>04.08.020</t>
  </si>
  <si>
    <t>Retirada de folha de esquadria em madeira</t>
  </si>
  <si>
    <t>04.08.040</t>
  </si>
  <si>
    <t>Retirada de guarnição, moldura e peças lineares em madeira, fixadas</t>
  </si>
  <si>
    <t>04.08.060</t>
  </si>
  <si>
    <t>Retirada de batente com guarnição e peças lineares em madeira, chumbados</t>
  </si>
  <si>
    <t>04.08.080</t>
  </si>
  <si>
    <t>Retirada de elemento em madeira e sistema de fixação tipo quadro, lousa, etc.</t>
  </si>
  <si>
    <t>04.08.100</t>
  </si>
  <si>
    <t>Retirada de armário em madeira ou metal</t>
  </si>
  <si>
    <t>04.09</t>
  </si>
  <si>
    <t>Retirada de esquadria e elementos metálicos</t>
  </si>
  <si>
    <t>04.09.020</t>
  </si>
  <si>
    <t>Retirada de esquadria metálica em geral</t>
  </si>
  <si>
    <t>04.09.040</t>
  </si>
  <si>
    <t>Retirada de folha de esquadria metálica</t>
  </si>
  <si>
    <t>04.09.060</t>
  </si>
  <si>
    <t>Retirada de batente, corrimão ou peças lineares metálicas, chumbados</t>
  </si>
  <si>
    <t>04.09.080</t>
  </si>
  <si>
    <t>Retirada de batente, corrimão ou peças lineares metálicas, fixados</t>
  </si>
  <si>
    <t>04.09.100</t>
  </si>
  <si>
    <t>Retirada de guarda-corpo ou gradil em geral</t>
  </si>
  <si>
    <t>04.09.120</t>
  </si>
  <si>
    <t>Retirada de escada de marinheiro com ou sem guarda-corpo</t>
  </si>
  <si>
    <t>04.09.140</t>
  </si>
  <si>
    <t>Retirada de poste ou sistema de sustentação para alambrado ou fechamento</t>
  </si>
  <si>
    <t>04.09.160</t>
  </si>
  <si>
    <t>Retirada de entelamento metálico em geral</t>
  </si>
  <si>
    <t>04.10</t>
  </si>
  <si>
    <t>Retirada de ferragens e acessórios para esquadrias</t>
  </si>
  <si>
    <t>04.10.020</t>
  </si>
  <si>
    <t>Retirada de fechadura ou fecho de embutir</t>
  </si>
  <si>
    <t>04.10.040</t>
  </si>
  <si>
    <t>Retirada de fechadura ou fecho de sobrepor</t>
  </si>
  <si>
    <t>04.10.060</t>
  </si>
  <si>
    <t>Retirada de dobradiça</t>
  </si>
  <si>
    <t>04.10.080</t>
  </si>
  <si>
    <t>Retirada de peça ou acessório complementar em geral de esquadria</t>
  </si>
  <si>
    <t>04.11</t>
  </si>
  <si>
    <t>Retirada de aparelhos, metais sanitários e registro</t>
  </si>
  <si>
    <t>04.11.020</t>
  </si>
  <si>
    <t>Retirada de aparelho sanitário incluindo acessórios</t>
  </si>
  <si>
    <t>04.11.030</t>
  </si>
  <si>
    <t>Retirada de bancada incluindo pertences</t>
  </si>
  <si>
    <t>04.11.040</t>
  </si>
  <si>
    <t>Retirada de complemento sanitário chumbado</t>
  </si>
  <si>
    <t>04.11.060</t>
  </si>
  <si>
    <t>Retirada de complemento sanitário fixado ou de sobrepor</t>
  </si>
  <si>
    <t>04.11.080</t>
  </si>
  <si>
    <t>Retirada de registro ou válvula embutidos</t>
  </si>
  <si>
    <t>04.11.100</t>
  </si>
  <si>
    <t>Retirada de registro ou válvula aparentes</t>
  </si>
  <si>
    <t>04.11.110</t>
  </si>
  <si>
    <t>Retirada de purificador/bebedouro</t>
  </si>
  <si>
    <t>04.11.120</t>
  </si>
  <si>
    <t>Retirada de torneira ou chuveiro</t>
  </si>
  <si>
    <t>04.11.140</t>
  </si>
  <si>
    <t>Retirada de sifão ou metais sanitários diversos</t>
  </si>
  <si>
    <t>04.11.160</t>
  </si>
  <si>
    <t>Retirada de caixa de descarga de sobrepor ou acoplada</t>
  </si>
  <si>
    <t>04.12</t>
  </si>
  <si>
    <t>Retirada de aparelhos elétricos e hidráulicos</t>
  </si>
  <si>
    <t>04.12.020</t>
  </si>
  <si>
    <t>Retirada de conjunto motor-bomba</t>
  </si>
  <si>
    <t>04.12.040</t>
  </si>
  <si>
    <t>Retirada de motor de bomba de recalque</t>
  </si>
  <si>
    <t>04.13</t>
  </si>
  <si>
    <t>Retirada de impermeabilização e afins</t>
  </si>
  <si>
    <t>04.13.020</t>
  </si>
  <si>
    <t>Retirada de isolamento térmico com material monolítico</t>
  </si>
  <si>
    <t>04.13.060</t>
  </si>
  <si>
    <t>Retirada de isolamento térmico com material em panos</t>
  </si>
  <si>
    <t>04.14</t>
  </si>
  <si>
    <t>Retirada de vidro</t>
  </si>
  <si>
    <t>04.14.020</t>
  </si>
  <si>
    <t>Retirada de vidro ou espelho com raspagem da massa ou retirada de baguete</t>
  </si>
  <si>
    <t>04.14.040</t>
  </si>
  <si>
    <t>Retirada de esquadria em vidro</t>
  </si>
  <si>
    <t>04.17</t>
  </si>
  <si>
    <t>Retirada em instalação elétrica - letra A ate B</t>
  </si>
  <si>
    <t>04.17.020</t>
  </si>
  <si>
    <t>Remoção de aparelho de iluminação ou projetor fixo em teto, piso ou parede</t>
  </si>
  <si>
    <t>04.17.040</t>
  </si>
  <si>
    <t>Remoção de aparelho de iluminação ou projetor fixo em poste ou braço</t>
  </si>
  <si>
    <t>04.17.060</t>
  </si>
  <si>
    <t>Remoção de suporte tipo braquet</t>
  </si>
  <si>
    <t>04.17.080</t>
  </si>
  <si>
    <t>Remoção de barramento de cobre</t>
  </si>
  <si>
    <t>04.17.100</t>
  </si>
  <si>
    <t>Remoção de base de disjuntor tipo QUIK-LAG</t>
  </si>
  <si>
    <t>04.17.120</t>
  </si>
  <si>
    <t>Remoção de base de fusível tipo Diazed</t>
  </si>
  <si>
    <t>04.17.140</t>
  </si>
  <si>
    <t>Remoção de base e haste de para-raios</t>
  </si>
  <si>
    <t>04.17.160</t>
  </si>
  <si>
    <t>Remoção de base ou chave para fusível NH tipo tripolar</t>
  </si>
  <si>
    <t>04.17.180</t>
  </si>
  <si>
    <t>Remoção de base ou chave para fusível NH tipo unipolar</t>
  </si>
  <si>
    <t>04.17.200</t>
  </si>
  <si>
    <t>Remoção de braçadeira para passagem de cordoalha</t>
  </si>
  <si>
    <t>04.17.220</t>
  </si>
  <si>
    <t>Remoção de bucha de passagem interna ou externa</t>
  </si>
  <si>
    <t>04.17.240</t>
  </si>
  <si>
    <t>Remoção de bucha de passagem para neutro</t>
  </si>
  <si>
    <t>04.18</t>
  </si>
  <si>
    <t>Retirada em instalação elétrica - letra C</t>
  </si>
  <si>
    <t>04.18.020</t>
  </si>
  <si>
    <t>Remoção de cabeçote em rede de telefonia</t>
  </si>
  <si>
    <t>04.18.040</t>
  </si>
  <si>
    <t>Remoção de cabo de aço e esticadores de para-raios</t>
  </si>
  <si>
    <t>04.18.060</t>
  </si>
  <si>
    <t>Remoção de caixa de entrada de energia padrão medição indireta completa</t>
  </si>
  <si>
    <t>04.18.070</t>
  </si>
  <si>
    <t>Remoção de caixa de entrada de energia padrão residencial completa</t>
  </si>
  <si>
    <t>04.18.080</t>
  </si>
  <si>
    <t>Remoção de caixa de entrada telefônica completa</t>
  </si>
  <si>
    <t>04.18.090</t>
  </si>
  <si>
    <t>Remoção de caixa de medição padrão completa</t>
  </si>
  <si>
    <t>04.18.120</t>
  </si>
  <si>
    <t>Remoção de caixa estampada</t>
  </si>
  <si>
    <t>04.18.130</t>
  </si>
  <si>
    <t>Remoção de caixa para fusível ou tomada instalada em perfilado</t>
  </si>
  <si>
    <t>04.18.140</t>
  </si>
  <si>
    <t>Remoção de caixa para transformador de corrente</t>
  </si>
  <si>
    <t>04.18.180</t>
  </si>
  <si>
    <t>Remoção de cantoneira metálica</t>
  </si>
  <si>
    <t>04.18.200</t>
  </si>
  <si>
    <t>Remoção de captor de para-raios tipo Franklin</t>
  </si>
  <si>
    <t>04.18.220</t>
  </si>
  <si>
    <t>Remoção de chapa de ferro para bucha de passagem</t>
  </si>
  <si>
    <t>04.18.240</t>
  </si>
  <si>
    <t>Remoção de chave automática da boia</t>
  </si>
  <si>
    <t>04.18.250</t>
  </si>
  <si>
    <t>Remoção de chave base de mármore ou ardósia</t>
  </si>
  <si>
    <t>04.18.260</t>
  </si>
  <si>
    <t>Remoção de chave de ação rápida comando frontal montado em painel</t>
  </si>
  <si>
    <t>04.18.270</t>
  </si>
  <si>
    <t>Remoção de chave fusível indicadora tipo Matheus</t>
  </si>
  <si>
    <t>04.18.280</t>
  </si>
  <si>
    <t>Remoção de chave seccionadora tripolar seca mecanismo de manobra frontal</t>
  </si>
  <si>
    <t>04.18.290</t>
  </si>
  <si>
    <t>Remoção de chave tipo Pacco rotativo</t>
  </si>
  <si>
    <t>04.18.320</t>
  </si>
  <si>
    <t>Remoção de cinta de fixação de eletroduto ou sela para cruzeta em poste</t>
  </si>
  <si>
    <t>04.18.340</t>
  </si>
  <si>
    <t>Remoção de condulete</t>
  </si>
  <si>
    <t>04.18.360</t>
  </si>
  <si>
    <t>Remoção de condutor aparente diâmetro externo acima de 6,5 mm</t>
  </si>
  <si>
    <t>04.18.370</t>
  </si>
  <si>
    <t>Remoção de condutor aparente diâmetro externo até 6,5 mm</t>
  </si>
  <si>
    <t>04.18.380</t>
  </si>
  <si>
    <t>Remoção de condutor embutido diâmetro externo acima de 6,5 mm</t>
  </si>
  <si>
    <t>04.18.390</t>
  </si>
  <si>
    <t>Remoção de condutor embutido diâmetro externo até 6,5 mm</t>
  </si>
  <si>
    <t>04.18.400</t>
  </si>
  <si>
    <t>Remoção de condutor especial</t>
  </si>
  <si>
    <t>04.18.410</t>
  </si>
  <si>
    <t>Remoção de cordoalha ou cabo de cobre nu</t>
  </si>
  <si>
    <t>04.18.420</t>
  </si>
  <si>
    <t>Remoção de contator magnético para comando de bomba</t>
  </si>
  <si>
    <t>04.18.440</t>
  </si>
  <si>
    <t>Remoção de corrente para pendentes</t>
  </si>
  <si>
    <t>04.18.460</t>
  </si>
  <si>
    <t>Remoção de cruzeta de ferro para fixação de projetores</t>
  </si>
  <si>
    <t>04.18.470</t>
  </si>
  <si>
    <t>Remoção de cruzeta de madeira</t>
  </si>
  <si>
    <t>04.19</t>
  </si>
  <si>
    <t>Retirada em instalação elétrica - letra D ate I</t>
  </si>
  <si>
    <t>04.19.020</t>
  </si>
  <si>
    <t>Remoção de disjuntor de volume normal ou reduzido</t>
  </si>
  <si>
    <t>04.19.030</t>
  </si>
  <si>
    <t>Remoção de disjuntor a seco aberto tripolar, 600 V de 800 A</t>
  </si>
  <si>
    <t>04.19.060</t>
  </si>
  <si>
    <t>Remoção de disjuntor termomagnético</t>
  </si>
  <si>
    <t>04.19.080</t>
  </si>
  <si>
    <t>Remoção de fundo de quadro de distribuição ou caixa de passagem</t>
  </si>
  <si>
    <t>04.19.100</t>
  </si>
  <si>
    <t>Remoção de gancho de sustentação de luminária em perfilado</t>
  </si>
  <si>
    <t>04.19.120</t>
  </si>
  <si>
    <t>Remoção de interruptores, tomadas, botão de campainha ou cigarra</t>
  </si>
  <si>
    <t>04.19.140</t>
  </si>
  <si>
    <t>Remoção de isolador tipo castanha e gancho de sustentação</t>
  </si>
  <si>
    <t>04.19.160</t>
  </si>
  <si>
    <t>Remoção de isolador tipo disco completo e gancho de suspensão</t>
  </si>
  <si>
    <t>04.19.180</t>
  </si>
  <si>
    <t>Remoção de isolador tipo pino, inclusive o pino</t>
  </si>
  <si>
    <t>04.19.190</t>
  </si>
  <si>
    <t>Remoção de isolador galvanizado uso geral</t>
  </si>
  <si>
    <t>04.20</t>
  </si>
  <si>
    <t>Retirada em instalação elétrica - letra J ate N</t>
  </si>
  <si>
    <t>04.20.020</t>
  </si>
  <si>
    <t>Remoção de janela de ventilação, iluminação ou ventilação e iluminação padrão</t>
  </si>
  <si>
    <t>04.20.040</t>
  </si>
  <si>
    <t>Remoção de lâmpada</t>
  </si>
  <si>
    <t>04.20.060</t>
  </si>
  <si>
    <t>Remoção de luz de obstáculo</t>
  </si>
  <si>
    <t>04.20.080</t>
  </si>
  <si>
    <t>Remoção de manopla de comando de disjuntor</t>
  </si>
  <si>
    <t>04.20.100</t>
  </si>
  <si>
    <t>Remoção de mão francesa</t>
  </si>
  <si>
    <t>04.20.120</t>
  </si>
  <si>
    <t>Remoção de terminal modular (mufla) tripolar ou unipolar</t>
  </si>
  <si>
    <t>04.21</t>
  </si>
  <si>
    <t>Retirada em instalação elétrica - letra O ate S</t>
  </si>
  <si>
    <t>04.21.020</t>
  </si>
  <si>
    <t>Remoção de óleo de disjuntor ou transformador</t>
  </si>
  <si>
    <t>04.21.040</t>
  </si>
  <si>
    <t>Remoção de pára-raios tipo cristal-valve em cabine primária</t>
  </si>
  <si>
    <t>04.21.050</t>
  </si>
  <si>
    <t>Remoção de pára-raios tipo cristal-valve em poste singelo ou estaleiro</t>
  </si>
  <si>
    <t>04.21.060</t>
  </si>
  <si>
    <t>Remoção de perfilado</t>
  </si>
  <si>
    <t>04.21.100</t>
  </si>
  <si>
    <t>Remoção de porta de quadro ou painel</t>
  </si>
  <si>
    <t>04.21.130</t>
  </si>
  <si>
    <t>Remoção de poste de concreto</t>
  </si>
  <si>
    <t>04.21.140</t>
  </si>
  <si>
    <t>Remoção de poste metálico</t>
  </si>
  <si>
    <t>04.21.150</t>
  </si>
  <si>
    <t>Remoção de poste de madeira</t>
  </si>
  <si>
    <t>04.21.160</t>
  </si>
  <si>
    <t>Remoção de quadro de distribuição, chamada ou caixa de passagem</t>
  </si>
  <si>
    <t>04.21.200</t>
  </si>
  <si>
    <t>Remoção de reator para lâmpada</t>
  </si>
  <si>
    <t>04.21.210</t>
  </si>
  <si>
    <t>Remoção de reator para lâmpada fixo em poste</t>
  </si>
  <si>
    <t>04.21.240</t>
  </si>
  <si>
    <t>Remoção de relé</t>
  </si>
  <si>
    <t>04.21.260</t>
  </si>
  <si>
    <t>Remoção de roldana</t>
  </si>
  <si>
    <t>04.21.280</t>
  </si>
  <si>
    <t>Remoção de soquete</t>
  </si>
  <si>
    <t>04.21.300</t>
  </si>
  <si>
    <t>Remoção de suporte de transformador em poste singelo ou estaleiro</t>
  </si>
  <si>
    <t>04.22</t>
  </si>
  <si>
    <t>Retirada em instalação elétrica - letra T ate o final</t>
  </si>
  <si>
    <t>04.22.020</t>
  </si>
  <si>
    <t>Remoção de terminal ou conector para cabos</t>
  </si>
  <si>
    <t>04.22.040</t>
  </si>
  <si>
    <t>Remoção de transformador de potência em cabine primária</t>
  </si>
  <si>
    <t>04.22.050</t>
  </si>
  <si>
    <t>Remoção de transformador de potencial completo (pequeno)</t>
  </si>
  <si>
    <t>04.22.060</t>
  </si>
  <si>
    <t>Remoção de transformador de potência trifásico até 225 kVA, a óleo, em poste singelo</t>
  </si>
  <si>
    <t>04.22.100</t>
  </si>
  <si>
    <t>Remoção de tubulação elétrica aparente com diâmetro externo acima de 50 mm</t>
  </si>
  <si>
    <t>04.22.110</t>
  </si>
  <si>
    <t>Remoção de tubulação elétrica aparente com diâmetro externo até 50 mm</t>
  </si>
  <si>
    <t>04.22.120</t>
  </si>
  <si>
    <t>Remoção de tubulação elétrica embutida com diâmetro externo acima de 50 mm</t>
  </si>
  <si>
    <t>04.22.130</t>
  </si>
  <si>
    <t>Remoção de tubulação elétrica embutida com diâmetro externo até 50 mm</t>
  </si>
  <si>
    <t>04.22.200</t>
  </si>
  <si>
    <t>Remoção de vergalhão</t>
  </si>
  <si>
    <t>04.30</t>
  </si>
  <si>
    <t>Retirada em instalação hidráulica</t>
  </si>
  <si>
    <t>04.30.020</t>
  </si>
  <si>
    <t>Remoção de calha ou rufo</t>
  </si>
  <si>
    <t>04.30.040</t>
  </si>
  <si>
    <t>Remoção de condutor aparente</t>
  </si>
  <si>
    <t>04.30.060</t>
  </si>
  <si>
    <t>Remoção de tubulação hidráulica em geral, incluindo conexões, caixas e ralos</t>
  </si>
  <si>
    <t>04.30.080</t>
  </si>
  <si>
    <t>Remoção de hidrante de parede completo</t>
  </si>
  <si>
    <t>04.30.100</t>
  </si>
  <si>
    <t>Remoção de reservatório em fibrocimento até 1000 litros</t>
  </si>
  <si>
    <t>04.31</t>
  </si>
  <si>
    <t>Retirada em instalação de combate a incêndio</t>
  </si>
  <si>
    <t>04.31.010</t>
  </si>
  <si>
    <t>Retirada de bico de sprinkler</t>
  </si>
  <si>
    <t>04.35</t>
  </si>
  <si>
    <t>Retirada de sistema e equipamento de conforto mecânico</t>
  </si>
  <si>
    <t>04.35.050</t>
  </si>
  <si>
    <t>Retirada de aparelho de ar condicionado portátil</t>
  </si>
  <si>
    <t>04.40</t>
  </si>
  <si>
    <t>Retirada diversa de pecas pre-moldadas</t>
  </si>
  <si>
    <t>04.40.010</t>
  </si>
  <si>
    <t>Retirada manual de guia pré-moldada, inclusive limpeza, carregamento, transporte até 1 quilômetro e descarregamento</t>
  </si>
  <si>
    <t>04.40.020</t>
  </si>
  <si>
    <t>Retirada de soleira ou peitoril em geral</t>
  </si>
  <si>
    <t>04.40.030</t>
  </si>
  <si>
    <t>Retirada manual de guia pré-moldada, inclusive limpeza e empilhamento</t>
  </si>
  <si>
    <t>04.40.050</t>
  </si>
  <si>
    <t>Retirada manual de paralelepípedo ou lajota de concreto, inclusive limpeza, carregamento, transporte até 1 quilômetro e descarregamento</t>
  </si>
  <si>
    <t>04.40.070</t>
  </si>
  <si>
    <t>Retirada manual de paralelepípedo ou lajota de concreto, inclusive limpeza e empilhamento</t>
  </si>
  <si>
    <t>04.41</t>
  </si>
  <si>
    <t>Retirada de dispositivos viários</t>
  </si>
  <si>
    <t>04.41.001</t>
  </si>
  <si>
    <t>Retirada de placa de solo</t>
  </si>
  <si>
    <t>05</t>
  </si>
  <si>
    <t>TRANSPORTE E MOVIMENTACAO, DENTRO E FORA DA OBRA</t>
  </si>
  <si>
    <t>05.04</t>
  </si>
  <si>
    <t>Transporte de material solto</t>
  </si>
  <si>
    <t>05.04.060</t>
  </si>
  <si>
    <t>Transporte manual horizontal e/ou vertical de entulho até o local de despejo - ensacado</t>
  </si>
  <si>
    <t>05.07</t>
  </si>
  <si>
    <t>Transporte comercial, carreteiro e aluguel</t>
  </si>
  <si>
    <t>05.07.040</t>
  </si>
  <si>
    <t>Remoção de entulho separado de obra com caçamba metálica - terra, alvenaria, concreto, argamassa, madeira, papel, plástico ou metal</t>
  </si>
  <si>
    <t>05.07.050</t>
  </si>
  <si>
    <t>Remoção de entulho de obra com caçamba metálica - material volumoso e misturado por alvenaria, terra, madeira, papel, plástico e metal</t>
  </si>
  <si>
    <t>05.07.060</t>
  </si>
  <si>
    <t>Remoção de entulho de obra com caçamba metálica - material rejeitado e misturado por vegetação, isopor, manta asfáltica e lã de vidro</t>
  </si>
  <si>
    <t>05.07.070</t>
  </si>
  <si>
    <t>Remoção de entulho de obra com caçamba metálica - gesso e/ou drywall</t>
  </si>
  <si>
    <t>05.08</t>
  </si>
  <si>
    <t>Transporte mecanizado de material solto</t>
  </si>
  <si>
    <t>05.08.060</t>
  </si>
  <si>
    <t>Transporte de entulho, para distâncias superiores ao 3° km até o 5° km</t>
  </si>
  <si>
    <t>05.08.080</t>
  </si>
  <si>
    <t>Transporte de entulho, para distâncias superiores ao 5° km até o 10° km</t>
  </si>
  <si>
    <t>05.08.100</t>
  </si>
  <si>
    <t>Transporte de entulho, para distâncias superiores ao 10° km até o 15° km</t>
  </si>
  <si>
    <t>05.08.120</t>
  </si>
  <si>
    <t>Transporte de entulho, para distâncias superiores ao 15° km até o 20° km</t>
  </si>
  <si>
    <t>05.08.140</t>
  </si>
  <si>
    <t>Transporte de entulho, para distâncias superiores ao 20° km</t>
  </si>
  <si>
    <t>M3XKM</t>
  </si>
  <si>
    <t>05.08.220</t>
  </si>
  <si>
    <t>Carregamento mecanizado de entulho fragmentado, com caminhão à disposição dentro da obra, até o raio de 1 km</t>
  </si>
  <si>
    <t>05.09</t>
  </si>
  <si>
    <t>Taxas de recolhimento</t>
  </si>
  <si>
    <t>05.09.006</t>
  </si>
  <si>
    <t>05.09.007</t>
  </si>
  <si>
    <t>05.09.008</t>
  </si>
  <si>
    <t>05.10</t>
  </si>
  <si>
    <t>Transporte mecanizado de solo</t>
  </si>
  <si>
    <t>05.10.010</t>
  </si>
  <si>
    <t>Carregamento mecanizado de solo de 1ª e 2ª categoria</t>
  </si>
  <si>
    <t>05.10.020</t>
  </si>
  <si>
    <t>Transporte de solo de 1ª e 2ª categoria por caminhão até o 2° km</t>
  </si>
  <si>
    <t>05.10.021</t>
  </si>
  <si>
    <t>Transporte de solo de 1ª e 2ª categoria por caminhão para distâncias superiores ao 2° km até o 3° km</t>
  </si>
  <si>
    <t>05.10.022</t>
  </si>
  <si>
    <t>Transporte de solo de 1ª e 2ª categoria por caminhão para distâncias superiores ao 3° km até o 5° km</t>
  </si>
  <si>
    <t>05.10.023</t>
  </si>
  <si>
    <t>Transporte de solo de 1ª e 2ª categoria por caminhão para distâncias superiores ao 5° km até o 10° km</t>
  </si>
  <si>
    <t>05.10.024</t>
  </si>
  <si>
    <t>Transporte de solo de 1ª e 2ª categoria por caminhão para distâncias superiores ao 10° km até o 15° km</t>
  </si>
  <si>
    <t>05.10.025</t>
  </si>
  <si>
    <t>Transporte de solo de 1ª e 2ª categoria por caminhão para distâncias superiores ao 15° km até o 20° km</t>
  </si>
  <si>
    <t>05.10.026</t>
  </si>
  <si>
    <t>Transporte de solo de 1ª e 2ª categoria por caminhão para distâncias superiores ao 20° km</t>
  </si>
  <si>
    <t>05.10.030</t>
  </si>
  <si>
    <t>Transporte de solo brejoso por caminhão até o 2° km</t>
  </si>
  <si>
    <t>05.10.031</t>
  </si>
  <si>
    <t>Transporte de solo brejoso por caminhão para distâncias superiores ao 2° km até o 3° km</t>
  </si>
  <si>
    <t>05.10.032</t>
  </si>
  <si>
    <t>Transporte de solo brejoso por caminhão para distâncias superiores ao 3° km até o 5° km</t>
  </si>
  <si>
    <t>05.10.033</t>
  </si>
  <si>
    <t>Transporte de solo brejoso por caminhão para distâncias superiores ao 5° km até o 10° km</t>
  </si>
  <si>
    <t>05.10.034</t>
  </si>
  <si>
    <t>Transporte de solo brejoso por caminhão para distâncias superiores ao 10° km até o 15° km</t>
  </si>
  <si>
    <t>05.10.035</t>
  </si>
  <si>
    <t>Transporte de solo brejoso por caminhão para distâncias superiores ao 15° km até o 20° km</t>
  </si>
  <si>
    <t>05.10.036</t>
  </si>
  <si>
    <t>Transporte de solo brejoso por caminhão para distâncias superiores ao 20° km</t>
  </si>
  <si>
    <t>06</t>
  </si>
  <si>
    <t>SERVICO EM SOLO E ROCHA, MANUAL</t>
  </si>
  <si>
    <t>06.01</t>
  </si>
  <si>
    <t>Escavação manual em campo aberto de solo, exceto rocha</t>
  </si>
  <si>
    <t>06.01.020</t>
  </si>
  <si>
    <t>Escavação manual em solo de 1ª e 2ª categoria em campo aberto</t>
  </si>
  <si>
    <t>06.01.040</t>
  </si>
  <si>
    <t>Escavação manual em solo brejoso em campo aberto</t>
  </si>
  <si>
    <t>06.02</t>
  </si>
  <si>
    <t>Escavação manual em valas e buracos de solo, exceto rocha</t>
  </si>
  <si>
    <t>06.02.020</t>
  </si>
  <si>
    <t>Escavação manual em solo de 1ª e 2ª categoria em vala ou cava até 1,5 m</t>
  </si>
  <si>
    <t>06.02.040</t>
  </si>
  <si>
    <t>Escavação manual em solo de 1ª e 2ª categoria em vala ou cava além de 1,5 m</t>
  </si>
  <si>
    <t>06.11</t>
  </si>
  <si>
    <t>Reaterro manual sem fornecimento de material</t>
  </si>
  <si>
    <t>06.11.020</t>
  </si>
  <si>
    <t>Reaterro manual para simples regularização sem compactação</t>
  </si>
  <si>
    <t>06.11.040</t>
  </si>
  <si>
    <t>Reaterro manual apiloado sem controle de compactação</t>
  </si>
  <si>
    <t>06.11.060</t>
  </si>
  <si>
    <t>Reaterro manual com adição de 2% de cimento</t>
  </si>
  <si>
    <t>06.12</t>
  </si>
  <si>
    <t>Aterro manual sem fornecimento de material</t>
  </si>
  <si>
    <t>06.12.020</t>
  </si>
  <si>
    <t>Aterro manual apiloado de área interna com maço de 30 kg</t>
  </si>
  <si>
    <t>06.14</t>
  </si>
  <si>
    <t>Carga / carregamento e descarga manual</t>
  </si>
  <si>
    <t>06.14.020</t>
  </si>
  <si>
    <t>Carga manual de solo</t>
  </si>
  <si>
    <t>07</t>
  </si>
  <si>
    <t>SERVICO EM SOLO E ROCHA, MECANIZADO</t>
  </si>
  <si>
    <t>07.01</t>
  </si>
  <si>
    <t>Escavação ou corte mecanizados em campo aberto de solo, exceto rocha</t>
  </si>
  <si>
    <t>07.01.010</t>
  </si>
  <si>
    <t>Escavação e carga mecanizada para exploração de solo em jazida</t>
  </si>
  <si>
    <t>07.01.020</t>
  </si>
  <si>
    <t>Escavação e carga mecanizada em solo de 1ª categoria, em campo aberto</t>
  </si>
  <si>
    <t>07.01.060</t>
  </si>
  <si>
    <t>Escavação e carga mecanizada em solo de 2ª categoria, em campo aberto</t>
  </si>
  <si>
    <t>07.01.120</t>
  </si>
  <si>
    <t>Carga e remoção de terra até a distância média de 1 km</t>
  </si>
  <si>
    <t>07.02</t>
  </si>
  <si>
    <t>Escavação mecanizada de valas e buracos em solo, exceto rocha</t>
  </si>
  <si>
    <t>07.02.020</t>
  </si>
  <si>
    <t>Escavação mecanizada de valas ou cavas com profundidade de até 2 m</t>
  </si>
  <si>
    <t>07.02.040</t>
  </si>
  <si>
    <t>Escavação mecanizada de valas ou cavas com profundidade de até 3 m</t>
  </si>
  <si>
    <t>07.02.060</t>
  </si>
  <si>
    <t>Escavação mecanizada de valas ou cavas com profundidade de até 4 m</t>
  </si>
  <si>
    <t>07.02.080</t>
  </si>
  <si>
    <t>Escavação mecanizada de valas ou cavas com profundidade acima de 4 m, com escavadeira hidráulica</t>
  </si>
  <si>
    <t>07.05</t>
  </si>
  <si>
    <t>Escavação mecanizada em solo brejoso ou turfa</t>
  </si>
  <si>
    <t>07.05.010</t>
  </si>
  <si>
    <t>Escavação e carga mecanizada em solo brejoso ou turfa</t>
  </si>
  <si>
    <t>07.05.020</t>
  </si>
  <si>
    <t>Escavação e carga mecanizada em solo vegetal superficial</t>
  </si>
  <si>
    <t>07.06</t>
  </si>
  <si>
    <t>Escavação ou carga mecanizada em campo aberto</t>
  </si>
  <si>
    <t>07.06.010</t>
  </si>
  <si>
    <t>Escavação e carga mecanizada em campo aberto, com rompedor hidráulico, em rocha</t>
  </si>
  <si>
    <t>07.10</t>
  </si>
  <si>
    <t>Apiloamento e nivelamento mecanizado de solo</t>
  </si>
  <si>
    <t>07.10.020</t>
  </si>
  <si>
    <t>Espalhamento de solo em bota-fora com compactação sem controle</t>
  </si>
  <si>
    <t>07.11</t>
  </si>
  <si>
    <t>Reaterro mecanizado sem fornecimento de material</t>
  </si>
  <si>
    <t>07.11.020</t>
  </si>
  <si>
    <t>Reaterro compactado mecanizado de vala ou cava com compactador</t>
  </si>
  <si>
    <t>07.11.040</t>
  </si>
  <si>
    <t>Reaterro compactado mecanizado de vala ou cava com rolo, mínimo de 95% PN</t>
  </si>
  <si>
    <t>07.12</t>
  </si>
  <si>
    <t>Aterro mecanizado sem fornecimento de material</t>
  </si>
  <si>
    <t>07.12.010</t>
  </si>
  <si>
    <t>Compactação de aterro mecanizado mínimo de 95% PN, sem fornecimento de solo em áreas fechadas</t>
  </si>
  <si>
    <t>07.12.020</t>
  </si>
  <si>
    <t>Compactação de aterro mecanizado mínimo de 95% PN, sem fornecimento de solo em campo aberto</t>
  </si>
  <si>
    <t>07.12.030</t>
  </si>
  <si>
    <t>Compactação de aterro mecanizado a 100% PN, sem fornecimento de solo em campo aberto</t>
  </si>
  <si>
    <t>07.12.040</t>
  </si>
  <si>
    <t>Aterro mecanizado por compensação, solo de 1ª categoria em campo aberto, sem compactação do aterro</t>
  </si>
  <si>
    <t>08</t>
  </si>
  <si>
    <t>ESCORAMENTO, CONTENCAO E DRENAGEM</t>
  </si>
  <si>
    <t>08.01</t>
  </si>
  <si>
    <t>Escoramento</t>
  </si>
  <si>
    <t>08.01.020</t>
  </si>
  <si>
    <t>Escoramento de solo contínuo</t>
  </si>
  <si>
    <t>08.01.040</t>
  </si>
  <si>
    <t>Escoramento de solo descontínuo</t>
  </si>
  <si>
    <t>08.01.060</t>
  </si>
  <si>
    <t>Escoramento de solo pontaletado</t>
  </si>
  <si>
    <t>08.01.080</t>
  </si>
  <si>
    <t>Escoramento de solo especial</t>
  </si>
  <si>
    <t>08.01.100</t>
  </si>
  <si>
    <t>08.01.110</t>
  </si>
  <si>
    <t>08.01.120</t>
  </si>
  <si>
    <t>08.02</t>
  </si>
  <si>
    <t>Cimbramento</t>
  </si>
  <si>
    <t>08.02.020</t>
  </si>
  <si>
    <t>Cimbramento em madeira com estroncas de eucalipto</t>
  </si>
  <si>
    <t>08.02.040</t>
  </si>
  <si>
    <t>Cimbramento em perfil metálico para obras de arte</t>
  </si>
  <si>
    <t>08.02.050</t>
  </si>
  <si>
    <t>Cimbramento tubular metálico</t>
  </si>
  <si>
    <t>08.02.060</t>
  </si>
  <si>
    <t>Montagem e desmontagem de cimbramento tubular metálico</t>
  </si>
  <si>
    <t>08.03</t>
  </si>
  <si>
    <t>Descimbramento</t>
  </si>
  <si>
    <t>08.03.020</t>
  </si>
  <si>
    <t>Descimbramento em madeira</t>
  </si>
  <si>
    <t>08.05</t>
  </si>
  <si>
    <t>Manta, filtro e dreno</t>
  </si>
  <si>
    <t>08.05.010</t>
  </si>
  <si>
    <t>Geomembrana em polietileno de alta densidade PEAD de 1 mm</t>
  </si>
  <si>
    <t>08.05.100</t>
  </si>
  <si>
    <t>Dreno com pedra britada</t>
  </si>
  <si>
    <t>08.05.110</t>
  </si>
  <si>
    <t>Dreno com areia grossa</t>
  </si>
  <si>
    <t>08.05.180</t>
  </si>
  <si>
    <t>Manta geotêxtil com resistência à tração longitudinal de 10kN/m e transversal de 9kN/m</t>
  </si>
  <si>
    <t>08.05.190</t>
  </si>
  <si>
    <t>Manta geotêxtil com resistência à tração longitudinal de 16kN/m e transversal de 14kN/m</t>
  </si>
  <si>
    <t>08.05.220</t>
  </si>
  <si>
    <t>Manta geotêxtil com resistência à tração longitudinal de 31kN/m e transversal de 27kN/m</t>
  </si>
  <si>
    <t>08.06</t>
  </si>
  <si>
    <t>Barbaca</t>
  </si>
  <si>
    <t>08.06.040</t>
  </si>
  <si>
    <t>Barbacã em tubo de PVC com diâmetro 50 mm</t>
  </si>
  <si>
    <t>08.06.060</t>
  </si>
  <si>
    <t>Barbacã em tubo de PVC com diâmetro 75 mm</t>
  </si>
  <si>
    <t>08.06.080</t>
  </si>
  <si>
    <t>Barbacã em tubo de PVC com diâmetro 100 mm</t>
  </si>
  <si>
    <t>08.07</t>
  </si>
  <si>
    <t>Esgotamento</t>
  </si>
  <si>
    <t>08.07.050</t>
  </si>
  <si>
    <t>08.07.060</t>
  </si>
  <si>
    <t>Locação de conjunto de bombeamento a vácuo para rebaixamento de lençol freático, com até 50 ponteiras e potência até 15 HP, mínimo 30 dias</t>
  </si>
  <si>
    <t>08.07.070</t>
  </si>
  <si>
    <t>Ponteiras filtrantes, profundidade até 5 m</t>
  </si>
  <si>
    <t>08.07.090</t>
  </si>
  <si>
    <t>Esgotamento de águas superficiais com bomba de superfície ou submersa</t>
  </si>
  <si>
    <t>HPXh</t>
  </si>
  <si>
    <t>08.10</t>
  </si>
  <si>
    <t>Contenção</t>
  </si>
  <si>
    <t>08.10.040</t>
  </si>
  <si>
    <t>Enrocamento com pedra arrumada</t>
  </si>
  <si>
    <t>08.10.060</t>
  </si>
  <si>
    <t>Enrocamento com pedra assentada</t>
  </si>
  <si>
    <t>08.10.108</t>
  </si>
  <si>
    <t>Gabião tipo caixa em tela metálica, altura de 0,5 m, com revestimento liga zinco/alumínio, malha hexagonal 8/10 cm, fio diâmetro 2,7 mm, independente do formato ou utilização</t>
  </si>
  <si>
    <t>08.10.109</t>
  </si>
  <si>
    <t>Gabião tipo caixa em tela metálica, altura de 1 m, com revestimento liga zinco/alumínio, malha hexagonal 8/10 cm, fio diâmetro 2,7 mm, independente do formato ou utilização</t>
  </si>
  <si>
    <t>09</t>
  </si>
  <si>
    <t>FORMA</t>
  </si>
  <si>
    <t>09.01</t>
  </si>
  <si>
    <t>Forma em tabua</t>
  </si>
  <si>
    <t>09.01.020</t>
  </si>
  <si>
    <t>Forma em madeira comum para fundação</t>
  </si>
  <si>
    <t>09.01.030</t>
  </si>
  <si>
    <t>Forma em madeira comum para estrutura</t>
  </si>
  <si>
    <t>09.01.040</t>
  </si>
  <si>
    <t>Forma em madeira comum para caixão perdido</t>
  </si>
  <si>
    <t>09.01.150</t>
  </si>
  <si>
    <t>Desmontagem de forma em madeira para estrutura de laje, com tábuas</t>
  </si>
  <si>
    <t>09.01.160</t>
  </si>
  <si>
    <t>Desmontagem de forma em madeira para estrutura de vigas, com tábuas</t>
  </si>
  <si>
    <t>09.02</t>
  </si>
  <si>
    <t>Forma em madeira compensada</t>
  </si>
  <si>
    <t>09.02.020</t>
  </si>
  <si>
    <t>Forma plana em compensado para estrutura convencional</t>
  </si>
  <si>
    <t>09.02.040</t>
  </si>
  <si>
    <t>Forma plana em compensado para estrutura aparente</t>
  </si>
  <si>
    <t>09.02.060</t>
  </si>
  <si>
    <t>Forma curva em compensado para estrutura aparente</t>
  </si>
  <si>
    <t>09.02.080</t>
  </si>
  <si>
    <t>Forma plana em compensado para obra de arte, sem cimbramento</t>
  </si>
  <si>
    <t>09.02.100</t>
  </si>
  <si>
    <t>Forma em compensado para encamisamento de tubulão</t>
  </si>
  <si>
    <t>09.02.120</t>
  </si>
  <si>
    <t>Forma ripada de 5 cm na vertical</t>
  </si>
  <si>
    <t>09.02.130</t>
  </si>
  <si>
    <t>Forma plana em compensado para estrutura convencional com cimbramento tubular metálico</t>
  </si>
  <si>
    <t>09.02.140</t>
  </si>
  <si>
    <t>Forma plana em compensado para estrutura aparente com cimbramento tubular metálico</t>
  </si>
  <si>
    <t>09.02.150</t>
  </si>
  <si>
    <t>Forma curva em compensado para estrutura convencional com cimbramento tubular metálico</t>
  </si>
  <si>
    <t>09.04</t>
  </si>
  <si>
    <t>Forma em papelão</t>
  </si>
  <si>
    <t>09.04.020</t>
  </si>
  <si>
    <t>Forma em tubo de papelão com diâmetro de 25 cm</t>
  </si>
  <si>
    <t>09.04.030</t>
  </si>
  <si>
    <t>Forma em tubo de papelão com diâmetro de 30 cm</t>
  </si>
  <si>
    <t>09.04.040</t>
  </si>
  <si>
    <t>Forma em tubo de papelão com diâmetro de 35 cm</t>
  </si>
  <si>
    <t>09.04.050</t>
  </si>
  <si>
    <t>Forma em tubo de papelão com diâmetro de 40 cm</t>
  </si>
  <si>
    <t>09.04.060</t>
  </si>
  <si>
    <t>Forma em tubo de papelão com diâmetro de 45 cm</t>
  </si>
  <si>
    <t>09.04.070</t>
  </si>
  <si>
    <t>Forma em tubo de papelão com diâmetro de 50 cm</t>
  </si>
  <si>
    <t>09.07</t>
  </si>
  <si>
    <t>Forma em polipropileno</t>
  </si>
  <si>
    <t>09.07.060</t>
  </si>
  <si>
    <t>10</t>
  </si>
  <si>
    <t>ARMADURA E CORDOALHA ESTRUTURAL</t>
  </si>
  <si>
    <t>10.01</t>
  </si>
  <si>
    <t>Armadura em barra</t>
  </si>
  <si>
    <t>10.01.020</t>
  </si>
  <si>
    <t>Armadura em barra de aço CA-25 fyk = 250 MPa</t>
  </si>
  <si>
    <t>10.01.040</t>
  </si>
  <si>
    <t>Armadura em barra de aço CA-50 (A ou B) fyk = 500 MPa</t>
  </si>
  <si>
    <t>10.01.060</t>
  </si>
  <si>
    <t>Armadura em barra de aço CA-60 (A ou B) fyk = 600 MPa</t>
  </si>
  <si>
    <t>10.02</t>
  </si>
  <si>
    <t>Armadura em tela</t>
  </si>
  <si>
    <t>10.02.020</t>
  </si>
  <si>
    <t>Armadura em tela soldada de aço</t>
  </si>
  <si>
    <t>10.20</t>
  </si>
  <si>
    <t>Reparos, conservações e complementos - GRUPO 10</t>
  </si>
  <si>
    <t>10.20.001</t>
  </si>
  <si>
    <t>Lubrificante em pasta para aplicação em barras de transferência de concreto</t>
  </si>
  <si>
    <t>11</t>
  </si>
  <si>
    <t>CONCRETO, MASSA E LASTRO</t>
  </si>
  <si>
    <t>11.01</t>
  </si>
  <si>
    <t>Concreto usinado com controle fck - fornecimento do material</t>
  </si>
  <si>
    <t>11.01.100</t>
  </si>
  <si>
    <t>Concreto usinado, fck = 20 MPa</t>
  </si>
  <si>
    <t>11.01.130</t>
  </si>
  <si>
    <t>Concreto usinado, fck = 25 MPa</t>
  </si>
  <si>
    <t>11.01.160</t>
  </si>
  <si>
    <t>Concreto usinado, fck = 30 MPa</t>
  </si>
  <si>
    <t>11.01.170</t>
  </si>
  <si>
    <t>Concreto usinado, fck = 35 MPa</t>
  </si>
  <si>
    <t>11.01.190</t>
  </si>
  <si>
    <t>Concreto usinado, fck = 40 MPa</t>
  </si>
  <si>
    <t>11.01.260</t>
  </si>
  <si>
    <t>Concreto usinado, fck = 20 MPa - para bombeamento</t>
  </si>
  <si>
    <t>11.01.290</t>
  </si>
  <si>
    <t>Concreto usinado, fck = 25 MPa - para bombeamento</t>
  </si>
  <si>
    <t>11.01.320</t>
  </si>
  <si>
    <t>Concreto usinado, fck = 30 MPa - para bombeamento</t>
  </si>
  <si>
    <t>11.01.321</t>
  </si>
  <si>
    <t>Concreto usinado, fck = 35 MPa - para bombeamento</t>
  </si>
  <si>
    <t>11.01.350</t>
  </si>
  <si>
    <t>Concreto usinado, fck = 40 MPa - para bombeamento</t>
  </si>
  <si>
    <t>11.01.520</t>
  </si>
  <si>
    <t>Concreto usinado, fck = 30 MPa - para bombeamento em estaca hélice contínua</t>
  </si>
  <si>
    <t>11.01.621</t>
  </si>
  <si>
    <t>Concreto usinado, fck=30 MPa, fctm_k=4,2 Mpa</t>
  </si>
  <si>
    <t>11.01.630</t>
  </si>
  <si>
    <t>Concreto usinado, fck = 25 MPa - para perfil extrudado</t>
  </si>
  <si>
    <t>11.02</t>
  </si>
  <si>
    <t>Concreto usinado não estrutural - fornecimento do material</t>
  </si>
  <si>
    <t>11.02.020</t>
  </si>
  <si>
    <t>Concreto usinado não estrutural mínimo 150 kg cimento / m³</t>
  </si>
  <si>
    <t>11.02.040</t>
  </si>
  <si>
    <t>Concreto usinado não estrutural mínimo 200 kg cimento / m³</t>
  </si>
  <si>
    <t>11.02.060</t>
  </si>
  <si>
    <t>Concreto usinado não estrutural mínimo 300 kg cimento / m³</t>
  </si>
  <si>
    <t>11.03</t>
  </si>
  <si>
    <t>Concreto executado no local com controle fck - fornecimento do material</t>
  </si>
  <si>
    <t>11.03.090</t>
  </si>
  <si>
    <t>Concreto preparado no local, fck = 20 MPa</t>
  </si>
  <si>
    <t>11.04</t>
  </si>
  <si>
    <t>Concreto não estrutural executado no local - fornecimento do material</t>
  </si>
  <si>
    <t>11.04.020</t>
  </si>
  <si>
    <t>Concreto não estrutural executado no local, mínimo 150 kg cimento / m³</t>
  </si>
  <si>
    <t>11.04.040</t>
  </si>
  <si>
    <t>Concreto não estrutural executado no local, mínimo 200 kg cimento / m³</t>
  </si>
  <si>
    <t>11.04.060</t>
  </si>
  <si>
    <t>Concreto não estrutural executado no local, mínimo 300 kg cimento / m³</t>
  </si>
  <si>
    <t>11.05</t>
  </si>
  <si>
    <t>Concreto e argamassa especial</t>
  </si>
  <si>
    <t>11.05.010</t>
  </si>
  <si>
    <t>Argamassa em solo e cimento a 5% em peso</t>
  </si>
  <si>
    <t>11.05.030</t>
  </si>
  <si>
    <t>Argamassa graute expansiva autonivelante de alta resistência</t>
  </si>
  <si>
    <t>11.05.040</t>
  </si>
  <si>
    <t>Argamassa graute</t>
  </si>
  <si>
    <t>11.05.060</t>
  </si>
  <si>
    <t>Concreto ciclópico - fornecimento e aplicação (com 30% de pedra rachão), concreto fck 15 Mpa</t>
  </si>
  <si>
    <t>11.05.120</t>
  </si>
  <si>
    <t>Execução de concreto projetado - consumo de cimento 350 kg/m³</t>
  </si>
  <si>
    <t>11.11</t>
  </si>
  <si>
    <t>Argamassas especiais</t>
  </si>
  <si>
    <t>11.11.030</t>
  </si>
  <si>
    <t>Argamassa de cimento e areia, fck = 20 MPa, consumo de cimento 600 kg/m³ - material para injeção em estaca raiz</t>
  </si>
  <si>
    <t>11.16</t>
  </si>
  <si>
    <t>Lançamento e aplicação</t>
  </si>
  <si>
    <t>11.16.020</t>
  </si>
  <si>
    <t>Lançamento, espalhamento e adensamento de concreto ou massa em lastro e/ou enchimento</t>
  </si>
  <si>
    <t>11.16.040</t>
  </si>
  <si>
    <t>Lançamento e adensamento de concreto ou massa em fundação</t>
  </si>
  <si>
    <t>11.16.060</t>
  </si>
  <si>
    <t>Lançamento e adensamento de concreto ou massa em estrutura</t>
  </si>
  <si>
    <t>11.16.080</t>
  </si>
  <si>
    <t>Lançamento e adensamento de concreto ou massa por bombeamento</t>
  </si>
  <si>
    <t>11.16.220</t>
  </si>
  <si>
    <t>Nivelamento de piso em concreto com acabadora de superfície</t>
  </si>
  <si>
    <t>11.18</t>
  </si>
  <si>
    <t>Lastro e enchimento</t>
  </si>
  <si>
    <t>11.18.020</t>
  </si>
  <si>
    <t>Lastro de areia</t>
  </si>
  <si>
    <t>11.18.040</t>
  </si>
  <si>
    <t>Lastro de pedra britada</t>
  </si>
  <si>
    <t>11.18.060</t>
  </si>
  <si>
    <t>Lona plástica - 150 micron</t>
  </si>
  <si>
    <t>11.18.070</t>
  </si>
  <si>
    <t>Enchimento de laje com concreto celular com densidade de 1.200 kg/m³</t>
  </si>
  <si>
    <t>11.18.080</t>
  </si>
  <si>
    <t>Enchimento de laje com tijolos cerâmicos furados</t>
  </si>
  <si>
    <t>11.18.110</t>
  </si>
  <si>
    <t>Enchimento de nichos em geral, com material proveniente de entulho</t>
  </si>
  <si>
    <t>11.18.140</t>
  </si>
  <si>
    <t>Lastro e/ou fundação em rachão mecanizado</t>
  </si>
  <si>
    <t>11.18.150</t>
  </si>
  <si>
    <t>Lastro e/ou fundação em rachão manual</t>
  </si>
  <si>
    <t>11.18.160</t>
  </si>
  <si>
    <t>Enchimento de nichos em geral, com areia</t>
  </si>
  <si>
    <t>11.18.180</t>
  </si>
  <si>
    <t>Colchão de areia</t>
  </si>
  <si>
    <t>11.18.190</t>
  </si>
  <si>
    <t>Enchimento de nichos com poliestireno expandido do tipo P-1</t>
  </si>
  <si>
    <t>11.18.220</t>
  </si>
  <si>
    <t>Enchimento de nichos com poliestireno expandido do tipo EPS-5F</t>
  </si>
  <si>
    <t>11.20</t>
  </si>
  <si>
    <t>Reparos, conservações e complementos - GRUPO 11</t>
  </si>
  <si>
    <t>11.20.030</t>
  </si>
  <si>
    <t>Cura química de concreto, membrana líquida</t>
  </si>
  <si>
    <t>11.20.050</t>
  </si>
  <si>
    <t>Corte de junta de dilatação, com serra de disco diamantado para pisos</t>
  </si>
  <si>
    <t>11.20.090</t>
  </si>
  <si>
    <t>Selante endurecedor de concreto antipó</t>
  </si>
  <si>
    <t>11.20.120</t>
  </si>
  <si>
    <t>Reparo superficial com argamassa polimérica (tixotrópica), bicomponente</t>
  </si>
  <si>
    <t>11.20.130</t>
  </si>
  <si>
    <t>Tratamento de fissuras estáveis (não ativas) em elementos de concreto</t>
  </si>
  <si>
    <t>12</t>
  </si>
  <si>
    <t>FUNDACAO PROFUNDA</t>
  </si>
  <si>
    <t>12.01</t>
  </si>
  <si>
    <t>Broca</t>
  </si>
  <si>
    <t>12.01.021</t>
  </si>
  <si>
    <t>Broca em concreto armado diâmetro de 20 cm - completa</t>
  </si>
  <si>
    <t>12.01.041</t>
  </si>
  <si>
    <t>Broca em concreto armado diâmetro de 25 cm - completa</t>
  </si>
  <si>
    <t>12.01.061</t>
  </si>
  <si>
    <t>Broca em concreto armado diâmetro de 30 cm - completa</t>
  </si>
  <si>
    <t>12.04</t>
  </si>
  <si>
    <t>Estaca pre-moldada de concreto</t>
  </si>
  <si>
    <t>12.04.080</t>
  </si>
  <si>
    <t>12.04.081</t>
  </si>
  <si>
    <t>12.04.082</t>
  </si>
  <si>
    <t>12.04.083</t>
  </si>
  <si>
    <t>12.04.084</t>
  </si>
  <si>
    <t>12.04.085</t>
  </si>
  <si>
    <t>12.05</t>
  </si>
  <si>
    <t>Estaca escavada mecanicamente</t>
  </si>
  <si>
    <t>12.05.010</t>
  </si>
  <si>
    <t>12.05.020</t>
  </si>
  <si>
    <t>12.05.030</t>
  </si>
  <si>
    <t>12.05.040</t>
  </si>
  <si>
    <t>12.05.150</t>
  </si>
  <si>
    <t>12.06</t>
  </si>
  <si>
    <t>Estaca tipo STRAUSS</t>
  </si>
  <si>
    <t>12.06.010</t>
  </si>
  <si>
    <t>12.06.020</t>
  </si>
  <si>
    <t>12.06.030</t>
  </si>
  <si>
    <t>12.06.040</t>
  </si>
  <si>
    <t>12.06.080</t>
  </si>
  <si>
    <t>12.07</t>
  </si>
  <si>
    <t>Estaca tipo RAIZ</t>
  </si>
  <si>
    <t>12.07.010</t>
  </si>
  <si>
    <t>12.07.030</t>
  </si>
  <si>
    <t>Estaca tipo Raiz, diâmetro de 10 cm para 10 t, em solo</t>
  </si>
  <si>
    <t>12.07.050</t>
  </si>
  <si>
    <t>Estaca tipo Raiz, diâmetro de 12 cm para 15 t, em solo</t>
  </si>
  <si>
    <t>12.07.060</t>
  </si>
  <si>
    <t>Estaca tipo Raiz, diâmetro de 15 cm para 25 t, em solo</t>
  </si>
  <si>
    <t>12.07.070</t>
  </si>
  <si>
    <t>Estaca tipo Raiz, diâmetro de 16 cm para 35 t, em solo</t>
  </si>
  <si>
    <t>12.07.090</t>
  </si>
  <si>
    <t>Estaca tipo Raiz, diâmetro de 20 cm para 50 t, em solo</t>
  </si>
  <si>
    <t>12.07.100</t>
  </si>
  <si>
    <t>Estaca tipo Raiz, diâmetro de 25 cm para 80 t, em solo</t>
  </si>
  <si>
    <t>12.07.110</t>
  </si>
  <si>
    <t>Estaca tipo Raiz, diâmetro de 31 cm para 100 t, em solo</t>
  </si>
  <si>
    <t>12.07.130</t>
  </si>
  <si>
    <t>Estaca tipo Raiz, diâmetro de 40 cm para 130 t, em solo</t>
  </si>
  <si>
    <t>12.07.151</t>
  </si>
  <si>
    <t>Estaca tipo Raiz, diâmetro de 31 cm, sem armação, em solo</t>
  </si>
  <si>
    <t>12.07.153</t>
  </si>
  <si>
    <t>Estaca tipo Raiz, diâmetro de 45 cm, sem armação, em solo</t>
  </si>
  <si>
    <t>12.07.270</t>
  </si>
  <si>
    <t>12.07.271</t>
  </si>
  <si>
    <t>Estaca tipo Raiz, diâmetro de 31 cm, sem armação, em rocha</t>
  </si>
  <si>
    <t>12.07.272</t>
  </si>
  <si>
    <t>Estaca tipo Raiz, diâmetro de 41 cm, sem armação, em rocha</t>
  </si>
  <si>
    <t>12.07.273</t>
  </si>
  <si>
    <t>Estaca tipo Raiz, diâmetro de 45 cm, sem armação, em rocha</t>
  </si>
  <si>
    <t>12.07.274</t>
  </si>
  <si>
    <t>Estaca tipo Raiz, diâmetro de 15 cm para 25 t, sem armação e sem argamassa, em rocha</t>
  </si>
  <si>
    <t>12.07.275</t>
  </si>
  <si>
    <t>Estaca tipo Raiz, diâmetro de 20 cm para 50 t, sem armação e sem argamassa, em rocha</t>
  </si>
  <si>
    <t>12.07.511</t>
  </si>
  <si>
    <t>Injeção de argamassa de cimento e areia em estaca raiz - sobreconsumo</t>
  </si>
  <si>
    <t>12.09</t>
  </si>
  <si>
    <t>Tubulão</t>
  </si>
  <si>
    <t>12.09.010</t>
  </si>
  <si>
    <t>12.09.020</t>
  </si>
  <si>
    <t>Abertura de fuste mecanizado diâmetro de 50 cm</t>
  </si>
  <si>
    <t>12.09.040</t>
  </si>
  <si>
    <t>Abertura de fuste mecanizado diâmetro de 60 cm</t>
  </si>
  <si>
    <t>12.09.060</t>
  </si>
  <si>
    <t>Abertura de fuste mecanizado diâmetro de 80 cm</t>
  </si>
  <si>
    <t>12.09.140</t>
  </si>
  <si>
    <t>Escavação manual em campo aberto para tubulão, fuste e/ou base</t>
  </si>
  <si>
    <t>12.12</t>
  </si>
  <si>
    <t>Estaca hélice continua</t>
  </si>
  <si>
    <t>12.12.010</t>
  </si>
  <si>
    <t>12.12.014</t>
  </si>
  <si>
    <t>12.12.016</t>
  </si>
  <si>
    <t>12.12.020</t>
  </si>
  <si>
    <t>12.12.060</t>
  </si>
  <si>
    <t>12.12.070</t>
  </si>
  <si>
    <t>12.12.074</t>
  </si>
  <si>
    <t>12.12.090</t>
  </si>
  <si>
    <t>12.12.100</t>
  </si>
  <si>
    <t>12.14</t>
  </si>
  <si>
    <t>Estaca escavada com injeção ou micro estaca</t>
  </si>
  <si>
    <t>12.14.010</t>
  </si>
  <si>
    <t>12.14.040</t>
  </si>
  <si>
    <t>12.14.050</t>
  </si>
  <si>
    <t>12.14.060</t>
  </si>
  <si>
    <t>13</t>
  </si>
  <si>
    <t>LAJE E PAINEL DE FECHAMENTO PRE-FABRICADOS</t>
  </si>
  <si>
    <t>13.01</t>
  </si>
  <si>
    <t>Laje pre-fabricada mista em vigotas treplicadas e lajotas</t>
  </si>
  <si>
    <t>13.01.130</t>
  </si>
  <si>
    <t>Laje pré-fabricada mista vigota treliçada/lajota cerâmica - LT 12 (8+4) e capa com concreto de 25 MPa</t>
  </si>
  <si>
    <t>13.01.150</t>
  </si>
  <si>
    <t>Laje pré-fabricada mista vigota treliçada/lajota cerâmica - LT 16 (12+4) e capa com concreto de 25 MPa</t>
  </si>
  <si>
    <t>13.01.170</t>
  </si>
  <si>
    <t>Laje pré-fabricada mista vigota treliçada/lajota cerâmica - LT 20 (16+4) e capa com concreto de 25 MPa</t>
  </si>
  <si>
    <t>13.01.190</t>
  </si>
  <si>
    <t>Laje pré-fabricada mista vigota treliçada/lajota cerâmica - LT 24 (20+4) e capa com concreto de 25 MPa</t>
  </si>
  <si>
    <t>13.01.210</t>
  </si>
  <si>
    <t>Laje pré-fabricada mista vigota treliçada/lajota cerâmica - LT 30 (24+6) e capa com concreto de 25 MPa</t>
  </si>
  <si>
    <t>13.01.310</t>
  </si>
  <si>
    <t>Laje pré-fabricada unidirecional em viga treliçada/lajota em EPS LT 12 (8 + 4), com capa de concreto de 25 MPa</t>
  </si>
  <si>
    <t>13.01.320</t>
  </si>
  <si>
    <t>Laje pré-fabricada unidirecional em viga treliçada/lajota em EPS LT 16 (12 + 4), com capa de concreto de 25 MPa</t>
  </si>
  <si>
    <t>13.01.330</t>
  </si>
  <si>
    <t>Laje pré-fabricada unidirecional em viga treliçada/lajota em EPS LT 20 (16 + 4), com capa de concreto de 25 MPa</t>
  </si>
  <si>
    <t>13.01.340</t>
  </si>
  <si>
    <t>Laje pré-fabricada unidirecional em viga treliçada/lajota em EPS LT 25 (20 + 5), com capa de concreto de 25 MPa</t>
  </si>
  <si>
    <t>13.01.350</t>
  </si>
  <si>
    <t>Laje pré-fabricada unidirecional em viga treliçada/lajota em EPS LT 30 (25 + 5), com capa de concreto de 25 MPa</t>
  </si>
  <si>
    <t>13.02</t>
  </si>
  <si>
    <t>Laje pre-fabricada mista em vigotas protendidas e lajotas</t>
  </si>
  <si>
    <t>13.02.150</t>
  </si>
  <si>
    <t>Laje pré-fabricada mista vigota protendida/lajota cerâmica - LP 12 (8+4) e capa com concreto de 25 MPa</t>
  </si>
  <si>
    <t>13.02.170</t>
  </si>
  <si>
    <t>Laje pré-fabricada mista vigota protendida/lajota cerâmica - LP 16 (12+4) e capa com concreto de 25 MPa</t>
  </si>
  <si>
    <t>13.02.190</t>
  </si>
  <si>
    <t>Laje pré-fabricada mista vigota protendida/lajota cerâmica - LP 20 (16+4) e capa com concreto de 25 MPa</t>
  </si>
  <si>
    <t>13.02.210</t>
  </si>
  <si>
    <t>Laje pré-fabricada mista vigota protendida/lajota cerâmica - LP 25 (20+5) e capa com concreto de 25 MPa</t>
  </si>
  <si>
    <t>13.05</t>
  </si>
  <si>
    <t>Pre-laje</t>
  </si>
  <si>
    <t>13.05.084</t>
  </si>
  <si>
    <t>Pré-laje em painel pré-fabricado treliçado, com EPS, H= 12 cm</t>
  </si>
  <si>
    <t>13.05.090</t>
  </si>
  <si>
    <t>Pré-laje em painel pré-fabricado treliçado, com EPS, H= 16 cm</t>
  </si>
  <si>
    <t>13.05.094</t>
  </si>
  <si>
    <t>Pré-laje em painel pré-fabricado treliçado, com EPS, H= 20 cm</t>
  </si>
  <si>
    <t>13.05.096</t>
  </si>
  <si>
    <t>Pré-laje em painel pré-fabricado treliçado, com EPS, H= 25 cm</t>
  </si>
  <si>
    <t>13.05.110</t>
  </si>
  <si>
    <t>Pré-laje em painel pré-fabricado treliçado, H= 12 cm</t>
  </si>
  <si>
    <t>13.05.150</t>
  </si>
  <si>
    <t>Pré-laje em painel pré-fabricado treliçado, H= 16 cm</t>
  </si>
  <si>
    <t>14</t>
  </si>
  <si>
    <t>ALVENARIA E ELEMENTO DIVISOR</t>
  </si>
  <si>
    <t>14.01</t>
  </si>
  <si>
    <t>Alvenaria de fundação (embasamento)</t>
  </si>
  <si>
    <t>14.01.020</t>
  </si>
  <si>
    <t>Alvenaria de embasamento em tijolo maciço comum</t>
  </si>
  <si>
    <t>14.01.050</t>
  </si>
  <si>
    <t>Alvenaria de embasamento em bloco de concreto de 14 x 19 x 39 cm - classe A</t>
  </si>
  <si>
    <t>14.01.060</t>
  </si>
  <si>
    <t>Alvenaria de embasamento em bloco de concreto de 19 x 19 x 39 cm - classe A</t>
  </si>
  <si>
    <t>14.02</t>
  </si>
  <si>
    <t>Alvenaria com tijolo maciço comum ou especial</t>
  </si>
  <si>
    <t>14.02.020</t>
  </si>
  <si>
    <t>Alvenaria de elevação de 1/4 tijolo maciço comum</t>
  </si>
  <si>
    <t>14.02.030</t>
  </si>
  <si>
    <t>Alvenaria de elevação de 1/2 tijolo maciço comum</t>
  </si>
  <si>
    <t>14.02.040</t>
  </si>
  <si>
    <t>Alvenaria de elevação de 1 tijolo maciço comum</t>
  </si>
  <si>
    <t>14.02.050</t>
  </si>
  <si>
    <t>Alvenaria de elevação de 1 1/2 tijolo maciço comum</t>
  </si>
  <si>
    <t>14.02.070</t>
  </si>
  <si>
    <t>Alvenaria de elevação de 1/2 tijolo maciço aparente</t>
  </si>
  <si>
    <t>14.02.080</t>
  </si>
  <si>
    <t>Alvenaria de elevação de 1 tijolo maciço aparente</t>
  </si>
  <si>
    <t>14.03</t>
  </si>
  <si>
    <t>Alvenaria com tijolo laminado aparente</t>
  </si>
  <si>
    <t>14.03.020</t>
  </si>
  <si>
    <t>Alvenaria de elevação de 1/4 tijolo laminado</t>
  </si>
  <si>
    <t>14.03.040</t>
  </si>
  <si>
    <t>Alvenaria de elevação de 1/2 tijolo laminado</t>
  </si>
  <si>
    <t>14.03.060</t>
  </si>
  <si>
    <t>Alvenaria de elevação de 1 tijolo laminado</t>
  </si>
  <si>
    <t>14.04</t>
  </si>
  <si>
    <t>Alvenaria com bloco cerâmico de vedação</t>
  </si>
  <si>
    <t>14.04.200</t>
  </si>
  <si>
    <t>14.04.210</t>
  </si>
  <si>
    <t>14.04.220</t>
  </si>
  <si>
    <t>14.05</t>
  </si>
  <si>
    <t>Alvenaria com bloco cerâmico estrutural</t>
  </si>
  <si>
    <t>14.05.050</t>
  </si>
  <si>
    <t>14.05.060</t>
  </si>
  <si>
    <t>14.10</t>
  </si>
  <si>
    <t>Alvenaria com bloco de concreto de vedação</t>
  </si>
  <si>
    <t>14.10.101</t>
  </si>
  <si>
    <t>14.10.111</t>
  </si>
  <si>
    <t>14.10.121</t>
  </si>
  <si>
    <t>14.11</t>
  </si>
  <si>
    <t>Alvenaria com bloco de concreto estrutural</t>
  </si>
  <si>
    <t>14.11.221</t>
  </si>
  <si>
    <t>14.11.231</t>
  </si>
  <si>
    <t>14.11.261</t>
  </si>
  <si>
    <t>14.11.271</t>
  </si>
  <si>
    <t>14.15</t>
  </si>
  <si>
    <t>Alvenaria de concreto celular ou silico calcário</t>
  </si>
  <si>
    <t>14.15.060</t>
  </si>
  <si>
    <t>Alvenaria em bloco de concreto celular autoclavado de 10 cm, uso revestido - classe C25</t>
  </si>
  <si>
    <t>14.15.100</t>
  </si>
  <si>
    <t>Alvenaria em bloco de concreto celular autoclavado de 12,5 cm, uso revestido - classe C25</t>
  </si>
  <si>
    <t>14.15.120</t>
  </si>
  <si>
    <t>Alvenaria em bloco de concreto celular autoclavado de 15 cm, uso revestido - classe C25</t>
  </si>
  <si>
    <t>14.15.140</t>
  </si>
  <si>
    <t>Alvenaria em bloco de concreto celular autoclavado de 20 cm, uso revestido - classe C25</t>
  </si>
  <si>
    <t>14.20</t>
  </si>
  <si>
    <t>Pecas moldadas no local (vergas, pilaretes, etc.)</t>
  </si>
  <si>
    <t>14.20.010</t>
  </si>
  <si>
    <t>Vergas, contravergas e pilaretes de concreto armado</t>
  </si>
  <si>
    <t>14.20.020</t>
  </si>
  <si>
    <t>Cimalha em concreto com pingadeira</t>
  </si>
  <si>
    <t>14.28</t>
  </si>
  <si>
    <t>Elementos vazados (concreto, cerâmica e vidros)</t>
  </si>
  <si>
    <t>14.28.012</t>
  </si>
  <si>
    <t>Elemento vazado em cerâmica, tipo quadriculado de 18 x 18 x 7 cm</t>
  </si>
  <si>
    <t>14.28.030</t>
  </si>
  <si>
    <t>Elemento vazado em concreto, tipo quadriculado de 39 x 39 x 10 cm</t>
  </si>
  <si>
    <t>14.28.096</t>
  </si>
  <si>
    <t>Elemento vazado em concreto, tipo veneziana de 39 x 39 x 10 cm</t>
  </si>
  <si>
    <t>14.28.100</t>
  </si>
  <si>
    <t>Elemento vazado em vidro, tipo veneziana capelinha de 20 x 10 x 10 cm</t>
  </si>
  <si>
    <t>14.28.140</t>
  </si>
  <si>
    <t>Elemento vazado em vidro, tipo veneziana de 20 x 20 x 6 cm</t>
  </si>
  <si>
    <t>14.30</t>
  </si>
  <si>
    <t>Divisória e fechamento</t>
  </si>
  <si>
    <t>14.30.010</t>
  </si>
  <si>
    <t>Divisória em placas de granito com espessura de 3 cm</t>
  </si>
  <si>
    <t>14.30.020</t>
  </si>
  <si>
    <t>Divisória em placas de granilite com espessura de 3 cm</t>
  </si>
  <si>
    <t>14.30.070</t>
  </si>
  <si>
    <t>Divisória sanitária em painel laminado melamínico estrutural com perfis em alumínio, inclusive ferragem completa para vão de porta</t>
  </si>
  <si>
    <t>14.30.080</t>
  </si>
  <si>
    <t>Divisão para mictório em placas de mármore branco, com espessura de 3 cm</t>
  </si>
  <si>
    <t>14.30.110</t>
  </si>
  <si>
    <t>Divisória cega tipo naval, acabamento em laminado fenólico melamínico, com espessura de 3,5 cm</t>
  </si>
  <si>
    <t>14.30.160</t>
  </si>
  <si>
    <t>Divisória em placas de gesso acartonado, resistência ao fogo 60 minutos, espessura 120/90mm - 1RF / 1RF LM</t>
  </si>
  <si>
    <t>14.30.190</t>
  </si>
  <si>
    <t>Divisória cega tipo naval com miolo mineral, acabamento em laminado melamínico, com espessura de 3,5 cm</t>
  </si>
  <si>
    <t>14.30.230</t>
  </si>
  <si>
    <t>Divisória painel/vidro/vidro tipo naval, acabamento em laminado fenólico melamínico, com espessura de 3,5 cm</t>
  </si>
  <si>
    <t>14.30.260</t>
  </si>
  <si>
    <t>Divisória em placas de gesso acartonado, resistência ao fogo 30 minutos, espessura 73/48mm - 1ST / 1ST</t>
  </si>
  <si>
    <t>14.30.270</t>
  </si>
  <si>
    <t>Divisória em placas de gesso acartonado, resistência ao fogo 30 minutos, espessura 73/48mm - 1ST / 1ST LM</t>
  </si>
  <si>
    <t>14.30.300</t>
  </si>
  <si>
    <t>Divisória em placas de gesso acartonado, resistência ao fogo 30 minutos, espessura 100/70mm - 1ST / 1ST LM</t>
  </si>
  <si>
    <t>14.30.310</t>
  </si>
  <si>
    <t>Divisória em placas de gesso acartonado, resistência ao fogo 30 minutos, espessura 100/70mm - 1ST / 1ST</t>
  </si>
  <si>
    <t>14.30.410</t>
  </si>
  <si>
    <t>Divisória em placas de gesso acartonado, resistência ao fogo 30 minutos, espessura 100/70mm - 1RU / 1RU</t>
  </si>
  <si>
    <t>14.30.440</t>
  </si>
  <si>
    <t>Divisória em placas duplas de gesso acartonado, resistência ao fogo 60 minutos, espessura 120/70mm - 2ST / 2ST LM</t>
  </si>
  <si>
    <t>14.30.841</t>
  </si>
  <si>
    <t>14.30.842</t>
  </si>
  <si>
    <t>Divisória tipo piso/teto em vidro temperado simples, com coluna estrutural em alumínio extrudado</t>
  </si>
  <si>
    <t>14.30.843</t>
  </si>
  <si>
    <t>Divisória tipo piso/teto em vidro temperado duplo e micro persianas, com coluna estrutural em alumínio extrudado</t>
  </si>
  <si>
    <t>14.30.860</t>
  </si>
  <si>
    <t>Divisória em placas de granilite com espessura de 4 cm</t>
  </si>
  <si>
    <t>14.30.870</t>
  </si>
  <si>
    <t>Divisória em placas duplas de gesso acartonado, resistência ao fogo 120 minutos, espessura 130/70mm - 2RF / 2RF</t>
  </si>
  <si>
    <t>14.30.880</t>
  </si>
  <si>
    <t>Divisória em placas duplas de gesso acartonado, resistência ao fogo 60 minutos, espessura 120/70mm - 2ST / 2RU</t>
  </si>
  <si>
    <t>14.30.890</t>
  </si>
  <si>
    <t>Divisória em placas duplas de gesso acartonado, resistência ao fogo 60 minutos, espessura 120/70mm - 2RU / 2RU</t>
  </si>
  <si>
    <t>14.30.900</t>
  </si>
  <si>
    <t>Divisória em placas duplas de gesso acartonado, resistência ao fogo 60 minutos, espessura 98/48mm - 2ST / 2ST LM</t>
  </si>
  <si>
    <t>14.30.910</t>
  </si>
  <si>
    <t>Divisória em placas duplas de gesso acartonado, resistência ao fogo 60 minutos, espessura 98/48mm - 2RU / 2RU LM</t>
  </si>
  <si>
    <t>14.30.920</t>
  </si>
  <si>
    <t>Divisória em placas duplas de gesso acartonado, resistência ao fogo 60 minutos, espessura 98/48mm - 2ST / 2RU LM</t>
  </si>
  <si>
    <t>14.31</t>
  </si>
  <si>
    <t>Divisória e fechamento.</t>
  </si>
  <si>
    <t>14.31.030</t>
  </si>
  <si>
    <t>Fechamento em placa cimentícia com espessura de 12 mm</t>
  </si>
  <si>
    <t>14.40</t>
  </si>
  <si>
    <t>Reparos, conservações e complementos - GRUPO 14</t>
  </si>
  <si>
    <t>14.40.040</t>
  </si>
  <si>
    <t>Recolocação de divisórias em chapas com montantes metálicos</t>
  </si>
  <si>
    <t>14.40.060</t>
  </si>
  <si>
    <t>Tela galvanizada para fixação de alvenaria com dimensão de 6x50cm</t>
  </si>
  <si>
    <t>14.40.070</t>
  </si>
  <si>
    <t>Tela galvanizada para fixação de alvenaria com dimensão de 7,5x50cm</t>
  </si>
  <si>
    <t>14.40.080</t>
  </si>
  <si>
    <t>Tela galvanizada para fixação de alvenaria com dimensão de 10,5x50cm</t>
  </si>
  <si>
    <t>14.40.090</t>
  </si>
  <si>
    <t>Tela galvanizada para fixação de alvenaria com dimensão de 12x50cm</t>
  </si>
  <si>
    <t>14.40.100</t>
  </si>
  <si>
    <t>Tela galvanizada para fixação de alvenaria com dimensão de 17x50cm</t>
  </si>
  <si>
    <t>15</t>
  </si>
  <si>
    <t>ESTRUTURA EM MADEIRA, FERRO, ALUMINIO E CONCRETO</t>
  </si>
  <si>
    <t>15.01</t>
  </si>
  <si>
    <t>Estrutura em madeira para cobertura</t>
  </si>
  <si>
    <t>15.01.010</t>
  </si>
  <si>
    <t>Estrutura de madeira tesourada para telha de barro - vãos até 7,00 m</t>
  </si>
  <si>
    <t>15.01.020</t>
  </si>
  <si>
    <t>Estrutura de madeira tesourada para telha de barro - vãos de 7,01 a 10,00 m</t>
  </si>
  <si>
    <t>15.01.030</t>
  </si>
  <si>
    <t>Estrutura de madeira tesourada para telha de barro - vãos de 10,01 a 13,00 m</t>
  </si>
  <si>
    <t>15.01.040</t>
  </si>
  <si>
    <t>Estrutura de madeira tesourada para telha de barro - vãos de 13,01 a 18,00 m</t>
  </si>
  <si>
    <t>15.01.110</t>
  </si>
  <si>
    <t>Estrutura de madeira tesourada para telha perfil ondulado - vãos até 7,00 m</t>
  </si>
  <si>
    <t>15.01.120</t>
  </si>
  <si>
    <t>Estrutura de madeira tesourada para telha perfil ondulado - vãos 7,01 a 10,00 m</t>
  </si>
  <si>
    <t>15.01.130</t>
  </si>
  <si>
    <t>Estrutura de madeira tesourada para telha perfil ondulado - vãos 10,01 a 13,00 m</t>
  </si>
  <si>
    <t>15.01.140</t>
  </si>
  <si>
    <t>Estrutura de madeira tesourada para telha perfil ondulado - vãos 13,01 a 18,00 m</t>
  </si>
  <si>
    <t>15.01.210</t>
  </si>
  <si>
    <t>Estrutura pontaletada para telhas de barro</t>
  </si>
  <si>
    <t>15.01.220</t>
  </si>
  <si>
    <t>Estrutura pontaletada para telhas onduladas</t>
  </si>
  <si>
    <t>15.01.310</t>
  </si>
  <si>
    <t>Estrutura em terças para telhas de barro</t>
  </si>
  <si>
    <t>15.01.320</t>
  </si>
  <si>
    <t>Estrutura em terças para telhas perfil e material qualquer, exceto barro</t>
  </si>
  <si>
    <t>15.01.330</t>
  </si>
  <si>
    <t>Estrutura em terças para telhas perfil trapezoidal</t>
  </si>
  <si>
    <t>15.03</t>
  </si>
  <si>
    <t>Estrutura em aço</t>
  </si>
  <si>
    <t>15.03.030</t>
  </si>
  <si>
    <t>Fornecimento e montagem de estrutura em aço ASTM-A36, sem pintura</t>
  </si>
  <si>
    <t>15.03.090</t>
  </si>
  <si>
    <t>Montagem de estrutura metálica em aço, sem pintura</t>
  </si>
  <si>
    <t>15.03.110</t>
  </si>
  <si>
    <t>Fornecimento e montagem de estrutura em aço patinável, sem pintura</t>
  </si>
  <si>
    <t>15.03.131</t>
  </si>
  <si>
    <t>15.03.140</t>
  </si>
  <si>
    <t>15.03.150</t>
  </si>
  <si>
    <t>Fornecimento e montagem de estrutura metálica em perfil metalon, sem pintura</t>
  </si>
  <si>
    <t>15.05</t>
  </si>
  <si>
    <t>Estrutura pre-fabricada de concreto</t>
  </si>
  <si>
    <t>15.05.290</t>
  </si>
  <si>
    <t>Placas, vigas e pilares em concreto armado pré-moldado - fck= 40 MPa</t>
  </si>
  <si>
    <t>15.05.300</t>
  </si>
  <si>
    <t>Mobiliário em concreto armado pré-moldado - fck= 40 MPa</t>
  </si>
  <si>
    <t>15.05.520</t>
  </si>
  <si>
    <t>Placas, vigas e pilares em concreto armado pré-moldado - fck= 35 MPa</t>
  </si>
  <si>
    <t>15.05.530</t>
  </si>
  <si>
    <t>Placas, vigas e pilares em concreto armado pré-moldado - fck= 25 MPa</t>
  </si>
  <si>
    <t>15.05.540</t>
  </si>
  <si>
    <t>Mobiliário em concreto armado pré-moldado - fck= 25 MPa</t>
  </si>
  <si>
    <t>15.20</t>
  </si>
  <si>
    <t>Reparos, conservações e complementos - GRUPO 15</t>
  </si>
  <si>
    <t>15.20.020</t>
  </si>
  <si>
    <t>Fornecimento de peças diversas para estrutura em madeira</t>
  </si>
  <si>
    <t>15.20.040</t>
  </si>
  <si>
    <t>Recolocação de peças lineares em madeira com seção até 60 cm²</t>
  </si>
  <si>
    <t>15.20.060</t>
  </si>
  <si>
    <t>Recolocação de peças lineares em madeira com seção superior a 60 cm²</t>
  </si>
  <si>
    <t>16</t>
  </si>
  <si>
    <t>TELHAMENTO</t>
  </si>
  <si>
    <t>16.02</t>
  </si>
  <si>
    <t>Telhamento em barro</t>
  </si>
  <si>
    <t>16.02.010</t>
  </si>
  <si>
    <t>16.02.020</t>
  </si>
  <si>
    <t>16.02.030</t>
  </si>
  <si>
    <t>16.02.045</t>
  </si>
  <si>
    <t>Telha de barro colonial/paulista</t>
  </si>
  <si>
    <t>16.02.060</t>
  </si>
  <si>
    <t>16.02.120</t>
  </si>
  <si>
    <t>Emboçamento de beiral em telhas de barro</t>
  </si>
  <si>
    <t>16.02.230</t>
  </si>
  <si>
    <t>Cumeeira de barro emboçado tipos: plan, romana, italiana, francesa e paulistinha</t>
  </si>
  <si>
    <t>16.02.270</t>
  </si>
  <si>
    <t>Espigão de barro emboçado</t>
  </si>
  <si>
    <t>16.03</t>
  </si>
  <si>
    <t>Telhamento em cimento reforçado com fio sintético (CRFS)</t>
  </si>
  <si>
    <t>16.03.010</t>
  </si>
  <si>
    <t>Telhamento em cimento reforçado com fio sintético CRFS - perfil ondulado de 6 mm</t>
  </si>
  <si>
    <t>16.03.020</t>
  </si>
  <si>
    <t>Telhamento em cimento reforçado com fio sintético CRFS - perfil ondulado de 8 mm</t>
  </si>
  <si>
    <t>16.03.030</t>
  </si>
  <si>
    <t>Telhamento em cimento reforçado com fio sintético CRFS - perfil trapezoidal de 44 cm</t>
  </si>
  <si>
    <t>16.03.040</t>
  </si>
  <si>
    <t>Telhamento em cimento reforçado com fio sintético CRFS - perfil modulado</t>
  </si>
  <si>
    <t>16.03.300</t>
  </si>
  <si>
    <t>Cumeeira normal em cimento reforçado com fio sintético CRFS - perfil ondulado</t>
  </si>
  <si>
    <t>16.03.310</t>
  </si>
  <si>
    <t>Cumeeira universal em cimento reforçado com fio sintético CRFS - perfil ondulado</t>
  </si>
  <si>
    <t>16.03.320</t>
  </si>
  <si>
    <t>Cumeeira normal em cimento reforçado com fio sintético CRFS - perfil trapezoidal 44 cm</t>
  </si>
  <si>
    <t>16.03.330</t>
  </si>
  <si>
    <t>Cumeeira normal em cimento reforçado com fio sintético CRFS - perfil modulado</t>
  </si>
  <si>
    <t>16.03.360</t>
  </si>
  <si>
    <t>Espigão em cimento reforçado com fio sintético CRFS - perfil ondulado</t>
  </si>
  <si>
    <t>16.03.370</t>
  </si>
  <si>
    <t>Espigão em cimento reforçado com fio sintético CRFS - perfil modulado</t>
  </si>
  <si>
    <t>16.03.400</t>
  </si>
  <si>
    <t>Rufo em cimento reforçado com fio sintético CRFS - perfil ondulado</t>
  </si>
  <si>
    <t>16.10</t>
  </si>
  <si>
    <t>Telhamento em madeira ou fibra vegetal</t>
  </si>
  <si>
    <t>16.10.020</t>
  </si>
  <si>
    <t>Telha em fibra vegetal, perfil ondulado, com espessura de 3 mm</t>
  </si>
  <si>
    <t>16.10.100</t>
  </si>
  <si>
    <t>Cumeeira em fibra vegetal, lisa, com espessura de 3 mm</t>
  </si>
  <si>
    <t>16.12</t>
  </si>
  <si>
    <t>Telhamento metálico comum</t>
  </si>
  <si>
    <t>16.12.020</t>
  </si>
  <si>
    <t>Telhamento em chapa de aço pré-pintada com epóxi e poliéster, perfil ondulado, com espessura de 0,50 mm</t>
  </si>
  <si>
    <t>16.12.040</t>
  </si>
  <si>
    <t>Telhamento em chapa de aço pré-pintada com epóxi e poliéster, perfil ondulado calandrado, com espessura de 0,80 mm</t>
  </si>
  <si>
    <t>16.12.050</t>
  </si>
  <si>
    <t>Telhamento em chapa de aço pré-pintada com epóxi e poliéster, perfil trapezoidal, com espessura de 0,80 mm e altura de 100 mm</t>
  </si>
  <si>
    <t>16.12.060</t>
  </si>
  <si>
    <t>Telhamento em chapa de aço pré-pintada com epóxi e poliéster, perfil trapezoidal, com espessura de 0,50 mm e altura de 40 mm</t>
  </si>
  <si>
    <t>16.12.200</t>
  </si>
  <si>
    <t>Cumeeira em chapa de aço pré-pintada com epóxi e poliéster, perfil trapezoidal, com espessura de 0,50 mm</t>
  </si>
  <si>
    <t>16.12.220</t>
  </si>
  <si>
    <t>Cumeeira em chapa de aço pré-pintada com epóxi e poliéster, perfil ondulado, com espessura de 0,50 mm</t>
  </si>
  <si>
    <t>16.13</t>
  </si>
  <si>
    <t>Telhamento metálico especial</t>
  </si>
  <si>
    <t>16.13.060</t>
  </si>
  <si>
    <t>Telhamento em chapa de aço pré-pintada com epóxi e poliéster, tipo sanduíche, espessura de 0,50 mm, com lã de rocha</t>
  </si>
  <si>
    <t>16.13.070</t>
  </si>
  <si>
    <t>Telhamento em chapa de aço pré-pintada com epóxi e poliéster, tipo sanduíche, espessura de 0,50 mm, com poliuretano</t>
  </si>
  <si>
    <t>16.13.130</t>
  </si>
  <si>
    <t>Telhamento em chapa de aço com pintura poliéster, tipo sanduíche, espessura de 0,50 mm, com poliestireno expandido</t>
  </si>
  <si>
    <t>16.13.140</t>
  </si>
  <si>
    <t>Telhamento em chapa de aço galvanizado autoportante, perfil trapezoidal, com espessura de 0,80 mm e altura de 120 mm</t>
  </si>
  <si>
    <t>16.16</t>
  </si>
  <si>
    <t>Telhamento em material sintético</t>
  </si>
  <si>
    <t>16.16.040</t>
  </si>
  <si>
    <t>Telha ondulada translúcida em polipropileno</t>
  </si>
  <si>
    <t>16.16.160</t>
  </si>
  <si>
    <t>Telha em poliéster reforçado com fibras de vidro, perfil trapezoidal 49</t>
  </si>
  <si>
    <t>16.16.400</t>
  </si>
  <si>
    <t>Cumeeira para telha de poliéster, tipo perfil trapezoidal 49</t>
  </si>
  <si>
    <t>16.20</t>
  </si>
  <si>
    <t>Telhamento em vidro</t>
  </si>
  <si>
    <t>16.20.020</t>
  </si>
  <si>
    <t>Telhas de vidro para iluminação tipo francesa</t>
  </si>
  <si>
    <t>16.20.040</t>
  </si>
  <si>
    <t>Telhas de vidro para iluminação tipo colonial/paulistinha</t>
  </si>
  <si>
    <t>16.30</t>
  </si>
  <si>
    <t>Domos</t>
  </si>
  <si>
    <t>16.30.020</t>
  </si>
  <si>
    <t>Domo de acrílico fixado em perfis de alumínio</t>
  </si>
  <si>
    <t>16.32</t>
  </si>
  <si>
    <t>Painel, chapas e fechamento</t>
  </si>
  <si>
    <t>16.32.070</t>
  </si>
  <si>
    <t>Cobertura curva em chapa de policarbonato alveolar bronze de 6 mm</t>
  </si>
  <si>
    <t>16.32.120</t>
  </si>
  <si>
    <t>Cobertura plana em chapa de policarbonato alveolar de 10 mm</t>
  </si>
  <si>
    <t>16.32.130</t>
  </si>
  <si>
    <t>Cobertura curva em chapa de policarbonato alveolar bronze de 10 mm</t>
  </si>
  <si>
    <t>16.33</t>
  </si>
  <si>
    <t>Calhas e rufos</t>
  </si>
  <si>
    <t>16.33.022</t>
  </si>
  <si>
    <t>Calha, rufo, afins em chapa galvanizada nº 24 - corte 0,33 m</t>
  </si>
  <si>
    <t>16.33.052</t>
  </si>
  <si>
    <t>Calha, rufo, afins em chapa galvanizada nº 24 - corte 0,50 m</t>
  </si>
  <si>
    <t>16.33.062</t>
  </si>
  <si>
    <t>Calha, rufo, afins em chapa galvanizada nº 24 - corte 1,00 m</t>
  </si>
  <si>
    <t>16.33.082</t>
  </si>
  <si>
    <t>Calha, rufo, afins em chapa galvanizada nº 26 - corte 0,33 m</t>
  </si>
  <si>
    <t>16.33.102</t>
  </si>
  <si>
    <t>Calha, rufo, afins em chapa galvanizada nº 26 - corte 0,50 m</t>
  </si>
  <si>
    <t>16.33.250</t>
  </si>
  <si>
    <t>Calha em PVC 125mm, inclusive conexões - AP</t>
  </si>
  <si>
    <t>16.33.400</t>
  </si>
  <si>
    <t>Rufo pré-moldado em concreto, de 14 x 50 x 18,5 cm</t>
  </si>
  <si>
    <t>16.33.410</t>
  </si>
  <si>
    <t>Rufo pré-moldado em concreto, de 20 x 50 x 26 cm</t>
  </si>
  <si>
    <t>16.33.412</t>
  </si>
  <si>
    <t>Rufo pré-moldado em concreto, largura 24 cm</t>
  </si>
  <si>
    <t>16.40</t>
  </si>
  <si>
    <t>Reparos, conservações e complementos - GRUPO 16</t>
  </si>
  <si>
    <t>16.40.040</t>
  </si>
  <si>
    <t>Recolocação de cumeeiras e espigões de barro</t>
  </si>
  <si>
    <t>16.40.060</t>
  </si>
  <si>
    <t>Recolocação de telha de barro tipo colonial/paulistinha</t>
  </si>
  <si>
    <t>16.40.080</t>
  </si>
  <si>
    <t>Recolocação de telha de barro tipo plan</t>
  </si>
  <si>
    <t>16.40.090</t>
  </si>
  <si>
    <t>Recolocação de domo de acrílico, inclusive perfis metálicos de fixação</t>
  </si>
  <si>
    <t>16.40.120</t>
  </si>
  <si>
    <t>Recolocação de telha de barro tipo francesa</t>
  </si>
  <si>
    <t>16.40.140</t>
  </si>
  <si>
    <t>Recolocação de telha em fibrocimento ou CRFS, perfil ondulado</t>
  </si>
  <si>
    <t>16.40.150</t>
  </si>
  <si>
    <t>Recolocação de telha em fibrocimento ou CRFS, perfil modulado ou trapezoidal</t>
  </si>
  <si>
    <t>17</t>
  </si>
  <si>
    <t>REVESTIMENTO EM MASSA OU FUNDIDO NO LOCAL</t>
  </si>
  <si>
    <t>17.01</t>
  </si>
  <si>
    <t>Regularização de base</t>
  </si>
  <si>
    <t>17.01.010</t>
  </si>
  <si>
    <t>Argamassa de proteção com argila expandida</t>
  </si>
  <si>
    <t>17.01.020</t>
  </si>
  <si>
    <t>Argamassa de regularização e/ou proteção</t>
  </si>
  <si>
    <t>17.01.040</t>
  </si>
  <si>
    <t>Lastro de concreto impermeabilizado</t>
  </si>
  <si>
    <t>17.01.050</t>
  </si>
  <si>
    <t>Regularização de piso com nata de cimento</t>
  </si>
  <si>
    <t>17.01.060</t>
  </si>
  <si>
    <t>Regularização de piso com nata de cimento e adesivo de alto desempenho</t>
  </si>
  <si>
    <t>17.01.120</t>
  </si>
  <si>
    <t>Argamassa de cimento e areia traço 1:3, com adesivo acrílico</t>
  </si>
  <si>
    <t>17.02</t>
  </si>
  <si>
    <t>Revestimento em argamassa</t>
  </si>
  <si>
    <t>17.02.020</t>
  </si>
  <si>
    <t>Chapisco</t>
  </si>
  <si>
    <t>17.02.030</t>
  </si>
  <si>
    <t>Chapisco 1:4 com areia grossa</t>
  </si>
  <si>
    <t>17.02.040</t>
  </si>
  <si>
    <t>Chapisco com adesivo de alto desempenho</t>
  </si>
  <si>
    <t>17.02.060</t>
  </si>
  <si>
    <t>Chapisco fino peneirado</t>
  </si>
  <si>
    <t>17.02.080</t>
  </si>
  <si>
    <t>Chapisco rústico com pedra britada nº 1</t>
  </si>
  <si>
    <t>17.02.120</t>
  </si>
  <si>
    <t>Emboço comum</t>
  </si>
  <si>
    <t>17.02.140</t>
  </si>
  <si>
    <t>Emboço desempenado com espuma de poliéster</t>
  </si>
  <si>
    <t>17.02.160</t>
  </si>
  <si>
    <t>Emboço desempenado com argamassa industrializada</t>
  </si>
  <si>
    <t>17.02.220</t>
  </si>
  <si>
    <t>Reboco</t>
  </si>
  <si>
    <t>17.02.260</t>
  </si>
  <si>
    <t>Barra lisa com acabamento em nata de cimento</t>
  </si>
  <si>
    <t>17.03</t>
  </si>
  <si>
    <t>Revestimento em cimentado</t>
  </si>
  <si>
    <t>17.03.020</t>
  </si>
  <si>
    <t>Cimentado desempenado</t>
  </si>
  <si>
    <t>17.03.040</t>
  </si>
  <si>
    <t>Cimentado desempenado e alisado (queimado)</t>
  </si>
  <si>
    <t>17.03.060</t>
  </si>
  <si>
    <t>Cimentado desempenado e alisado com corante (queimado)</t>
  </si>
  <si>
    <t>17.03.080</t>
  </si>
  <si>
    <t>Cimentado semi-áspero</t>
  </si>
  <si>
    <t>17.03.100</t>
  </si>
  <si>
    <t>Cimentado áspero com caneluras</t>
  </si>
  <si>
    <t>17.03.200</t>
  </si>
  <si>
    <t>Degrau em cimentado</t>
  </si>
  <si>
    <t>17.03.300</t>
  </si>
  <si>
    <t>Rodapé em cimentado desempenado e alisado com altura 5 cm</t>
  </si>
  <si>
    <t>17.03.310</t>
  </si>
  <si>
    <t>Rodapé em cimentado desempenado e alisado com altura 7 cm</t>
  </si>
  <si>
    <t>17.03.320</t>
  </si>
  <si>
    <t>Rodapé em cimentado desempenado e alisado com altura 10 cm</t>
  </si>
  <si>
    <t>17.03.330</t>
  </si>
  <si>
    <t>Rodapé em cimentado desempenado e alisado com altura 15 cm</t>
  </si>
  <si>
    <t>17.04</t>
  </si>
  <si>
    <t>Revestimento em gesso</t>
  </si>
  <si>
    <t>17.04.020</t>
  </si>
  <si>
    <t>Revestimento em gesso liso desempenado sobre emboço</t>
  </si>
  <si>
    <t>17.04.040</t>
  </si>
  <si>
    <t>Revestimento em gesso liso desempenado sobre bloco</t>
  </si>
  <si>
    <t>17.05</t>
  </si>
  <si>
    <t>Revestimento em concreto</t>
  </si>
  <si>
    <t>17.05.020</t>
  </si>
  <si>
    <t>Piso com requadro em concreto simples sem controle de fck</t>
  </si>
  <si>
    <t>17.05.070</t>
  </si>
  <si>
    <t>Piso com requadro em concreto simples com controle de fck= 20 MPa</t>
  </si>
  <si>
    <t>17.05.100</t>
  </si>
  <si>
    <t>Piso com requadro em concreto simples com controle de fck= 25 MPa</t>
  </si>
  <si>
    <t>17.05.320</t>
  </si>
  <si>
    <t>Soleira em concreto simples</t>
  </si>
  <si>
    <t>17.05.420</t>
  </si>
  <si>
    <t>Peitoril em concreto simples</t>
  </si>
  <si>
    <t>17.10</t>
  </si>
  <si>
    <t>Revestimento em granilite fundido no local</t>
  </si>
  <si>
    <t>17.10.020</t>
  </si>
  <si>
    <t>Piso em granilite moldado no local</t>
  </si>
  <si>
    <t>17.10.100</t>
  </si>
  <si>
    <t>Soleira em granilite moldado no local</t>
  </si>
  <si>
    <t>17.10.120</t>
  </si>
  <si>
    <t>Degrau em granilite moldado no local</t>
  </si>
  <si>
    <t>17.10.200</t>
  </si>
  <si>
    <t>Rodapé qualquer em granilite moldado no local até 10 cm</t>
  </si>
  <si>
    <t>17.10.410</t>
  </si>
  <si>
    <t>Rodapé em placas pré-moldadas de granilite, acabamento encerado, até 10 cm</t>
  </si>
  <si>
    <t>17.10.430</t>
  </si>
  <si>
    <t>Piso em placas de granilite, acabamento encerado</t>
  </si>
  <si>
    <t>17.12</t>
  </si>
  <si>
    <t>Revestimento industrial fundido no local</t>
  </si>
  <si>
    <t>17.12.060</t>
  </si>
  <si>
    <t>Piso em alta resistência moldado no local 12 mm</t>
  </si>
  <si>
    <t>17.12.100</t>
  </si>
  <si>
    <t>Soleira em alta resistência moldada no local</t>
  </si>
  <si>
    <t>17.12.120</t>
  </si>
  <si>
    <t>Degrau em alta resistência 8 mm</t>
  </si>
  <si>
    <t>17.12.140</t>
  </si>
  <si>
    <t>Degrau em alta resistência 12 mm</t>
  </si>
  <si>
    <t>17.12.240</t>
  </si>
  <si>
    <t>Rodapé qualquer em alta resistência moldado no local até 10 cm</t>
  </si>
  <si>
    <t>17.12.241</t>
  </si>
  <si>
    <t>Rodapé abaulado, com argamassa epoxi, altura entre 5 a 10 cm</t>
  </si>
  <si>
    <t>17.12.302</t>
  </si>
  <si>
    <t>Piso epóxi autonivelante, múltiplas camadas, espessura 4 mm</t>
  </si>
  <si>
    <t>17.12.310</t>
  </si>
  <si>
    <t>17.20</t>
  </si>
  <si>
    <t>Revestimento especial fundido no local</t>
  </si>
  <si>
    <t>17.20.020</t>
  </si>
  <si>
    <t>Massa raspada</t>
  </si>
  <si>
    <t>17.20.040</t>
  </si>
  <si>
    <t>Revestimento em granito lavado tipo Fulget uso externo, em faixas até 40 cm</t>
  </si>
  <si>
    <t>17.20.050</t>
  </si>
  <si>
    <t>Friso para junta de dilatação em revestimento de granito lavado tipo Fulget</t>
  </si>
  <si>
    <t>17.20.060</t>
  </si>
  <si>
    <t>Revestimento em granito lavado tipo Fulget uso externo</t>
  </si>
  <si>
    <t>17.20.140</t>
  </si>
  <si>
    <t>Revestimento texturizado acrílico com microagregados minerais</t>
  </si>
  <si>
    <t>17.40</t>
  </si>
  <si>
    <t>Reparos e conservações em massa e concreto - GRUPO 17</t>
  </si>
  <si>
    <t>17.40.010</t>
  </si>
  <si>
    <t>Reparos em piso de granilite - estucamento e polimento</t>
  </si>
  <si>
    <t>17.40.020</t>
  </si>
  <si>
    <t>Reparos em pisos de alta resistência fundidos no local - estucamento e polimento</t>
  </si>
  <si>
    <t>17.40.030</t>
  </si>
  <si>
    <t>Reparos em degrau e espelho de granilite - estucamento e polimento</t>
  </si>
  <si>
    <t>17.40.070</t>
  </si>
  <si>
    <t>Reparos em rodapé de granilite - estucamento e polimento</t>
  </si>
  <si>
    <t>17.40.110</t>
  </si>
  <si>
    <t>Faixa antiderrapante definitiva para degraus, soleiras, patamares ou pisos</t>
  </si>
  <si>
    <t>17.40.150</t>
  </si>
  <si>
    <t>Resina acrílica para piso de granilite</t>
  </si>
  <si>
    <t>17.40.160</t>
  </si>
  <si>
    <t>Resina epóxi para piso de granilite</t>
  </si>
  <si>
    <t>17.40.180</t>
  </si>
  <si>
    <t>Resina acrílica para degrau de granilite</t>
  </si>
  <si>
    <t>17.40.190</t>
  </si>
  <si>
    <t>Resina epóxi para degrau de granilite</t>
  </si>
  <si>
    <t>18</t>
  </si>
  <si>
    <t>REVESTIMENTO CERAMICO</t>
  </si>
  <si>
    <t>18.05</t>
  </si>
  <si>
    <t>Plaqueta laminada para revestimento</t>
  </si>
  <si>
    <t>18.05.020</t>
  </si>
  <si>
    <t>Revestimento em plaqueta laminada, para área interna e externa, sem rejunte</t>
  </si>
  <si>
    <t>18.06</t>
  </si>
  <si>
    <t>Placa cerâmica esmaltada prensada</t>
  </si>
  <si>
    <t>18.06.102</t>
  </si>
  <si>
    <t>Placa cerâmica esmaltada PEI-5 para área interna, grupo de absorção BIIb, resistência química B, assentado com argamassa colante industrializada</t>
  </si>
  <si>
    <t>18.06.103</t>
  </si>
  <si>
    <t>Rodapé em placa cerâmica esmaltada PEI-5 para área interna, grupo de absorção BIIb, resistência química B, assentado com argamassa colante industrializada</t>
  </si>
  <si>
    <t>18.06.142</t>
  </si>
  <si>
    <t>Placa cerâmica esmaltada antiderrapante PEI-5 para área interna com saída para o exterior, grupo de absorção BIIa, resistência química A, assentado com argamassa colante industrializada</t>
  </si>
  <si>
    <t>18.06.143</t>
  </si>
  <si>
    <t>Rodapé em placa cerâmica esmaltada antiderrapante PEI-5 para área interna com saída para o exterior, grupo de absorção BIIa, resistência química A, assentado com argamassa colante industrializada</t>
  </si>
  <si>
    <t>18.06.152</t>
  </si>
  <si>
    <t>Placa cerâmica esmaltada PEI-4 para área interna com saída para o exterior, grupo de absorção BIIb, tráfego médio, assentado com argamassa colante industrializada</t>
  </si>
  <si>
    <t>18.06.153</t>
  </si>
  <si>
    <t>Rodapé em placa cerâmica esmaltada PEI-4 para área interna com saída para o exterior, grupo de absorção BIIb, tráfego médio, assentado com argamassa colante industrializada</t>
  </si>
  <si>
    <t>18.06.182</t>
  </si>
  <si>
    <t>Placa cerâmica esmaltada rústica PEI-5 para área interna com saída para o exterior, grupo de absorção BIIb, resistência química B, assentado com argamassa colante industrializada</t>
  </si>
  <si>
    <t>18.06.183</t>
  </si>
  <si>
    <t>Rodapé em placa cerâmica esmaltada rústica PEI-5 para área interna com saída para o exterior, grupo de absorção BIIb, resistência química B, assentado com argamassa colante industrializada</t>
  </si>
  <si>
    <t>18.06.350</t>
  </si>
  <si>
    <t>Assentamento de pisos e revestimentos cerâmicos com argamassa mista</t>
  </si>
  <si>
    <t>18.06.400</t>
  </si>
  <si>
    <t>Rejuntamento em placas cerâmicas com cimento branco, juntas acima de 3 até 5 mm</t>
  </si>
  <si>
    <t>18.06.410</t>
  </si>
  <si>
    <t>Rejuntamento em placas cerâmicas com argamassa industrializada para rejunte, juntas acima de 3 até 5 mm</t>
  </si>
  <si>
    <t>18.06.420</t>
  </si>
  <si>
    <t>Rejuntamento em placas cerâmicas com cimento branco, juntas acima de 5 até 10 mm</t>
  </si>
  <si>
    <t>18.06.430</t>
  </si>
  <si>
    <t>Rejuntamento em placas cerâmicas com argamassa industrializada para rejunte, juntas acima de 5 até 10 mm</t>
  </si>
  <si>
    <t>18.06.500</t>
  </si>
  <si>
    <t>Rejuntamento de rodapé em placas cerâmicas com cimento branco, altura até 10 cm, juntas acima de 3 até 5 mm</t>
  </si>
  <si>
    <t>18.06.510</t>
  </si>
  <si>
    <t>Rejuntamento de rodapé em placas cerâmicas com argamassa industrializada para rejunte, altura até 10 cm, juntas acima de 3 até 5 mm</t>
  </si>
  <si>
    <t>18.06.520</t>
  </si>
  <si>
    <t>Rejuntamento de rodapé em placas cerâmicas com cimento branco, altura até 10 cm, juntas acima de 5 até 10 mm</t>
  </si>
  <si>
    <t>18.06.530</t>
  </si>
  <si>
    <t>Rejuntamento de rodapé em placas cerâmicas com argamassa industrializada para rejunte, altura até 10 cm, juntas acima de 5 até 10 mm</t>
  </si>
  <si>
    <t>18.07</t>
  </si>
  <si>
    <t>Placa ceramica nao esmaltada extrudada</t>
  </si>
  <si>
    <t>18.07.020</t>
  </si>
  <si>
    <t>Placa cerâmica não esmaltada extrudada de alta resistência química e mecânica, espessura de 9 mm, uso industrial, assentado com argamassa química bicomponente</t>
  </si>
  <si>
    <t>18.07.021</t>
  </si>
  <si>
    <t>Placa cerâmica não esmaltada extrudada de alta resistência química e mecânica, espessura de 9 mm, uso industrial, assentado com argamassa colante industrial</t>
  </si>
  <si>
    <t>18.07.040</t>
  </si>
  <si>
    <t>Placa cerâmica não esmaltada extrudada de alta resistência química e mecânica, espessura de 14 mm, uso industrial, assentado com argamassa química bicomponente</t>
  </si>
  <si>
    <t>18.07.080</t>
  </si>
  <si>
    <t>Rodapé em placa cerâmica não esmaltada extrudada de alta resistência química e mecânica, altura de 10 cm, uso industrial, assentado com argamassa química bicomponente</t>
  </si>
  <si>
    <t>18.07.160</t>
  </si>
  <si>
    <t>Placa cerâmica não esmaltada extrudada para área com altas temperaturas, de alta resistência química e mecânica, espessura mínima de 13 mm, uso industrial e cozinhas profissionais, assentado com argamassa industrializada</t>
  </si>
  <si>
    <t>18.07.170</t>
  </si>
  <si>
    <t>Rodapé em placa cerâmica não esmaltada extrudada para área com altas temperaturas, de alta resistência química e mecânica, altura de 10cm, uso industrial e cozinhas profissionais, assentado com argamassa industrializada</t>
  </si>
  <si>
    <t>18.07.200</t>
  </si>
  <si>
    <t>Rejuntamento em placa cerâmica extrudada antiácida de 9 mm, com argamassa industrializada bicomponente à base de resina furânica, juntas acima de 3 até 6 mm</t>
  </si>
  <si>
    <t>18.07.210</t>
  </si>
  <si>
    <t>Rejuntamento de placa cerâmica extrudada de 9 mm, com argamassa sintética industrializada tricomponente à base de resina epóxi, juntas acima de 3 até 6 mm</t>
  </si>
  <si>
    <t>18.07.220</t>
  </si>
  <si>
    <t>Rejuntamento em placa cerâmica extrudada antiácida, espessura de 14 mm, com argamassa industrializada bicomponente, à base de resina furânica, juntas acima de 3 até 6 mm</t>
  </si>
  <si>
    <t>18.07.230</t>
  </si>
  <si>
    <t>Rejuntamento em placa cerâmica extrudada antiácida de 14 mm, com argamassa sintética industrializada tricomponente, à base de resina epóxi, juntas de 3 até 6 mm</t>
  </si>
  <si>
    <t>18.07.250</t>
  </si>
  <si>
    <t>Rejuntamento em placa cerâmica extrudada antiácida, com argamassa industrializada anticorrosiva bicomponente à base de bauxita, para área de altas temperaturas, juntas acima de 3 até 6 mm</t>
  </si>
  <si>
    <t>18.07.300</t>
  </si>
  <si>
    <t>Rejuntamento de rodapé em placa cerâmica extrudada antiácida de 9 mm, com argamassa industrializada bicomponente à base de resina furânica, juntas acima de 3 até 6 mm</t>
  </si>
  <si>
    <t>18.07.310</t>
  </si>
  <si>
    <t>Rejuntamento de rodapé em placa cerâmica extrudada antiácida de 9 mm, com argamassa sintética  industrializada tricomponente à base de resina epóxi, juntas acima de 3 até 6 mm</t>
  </si>
  <si>
    <t>18.08</t>
  </si>
  <si>
    <t>Revestimento em porcelanato</t>
  </si>
  <si>
    <t>18.08.032</t>
  </si>
  <si>
    <t>Revestimento em porcelanato esmaltado antiderrapante para área externa e ambiente com alto tráfego, grupo de absorção BIa, assentado com argamassa colante industrializada, rejuntado</t>
  </si>
  <si>
    <t>18.08.042</t>
  </si>
  <si>
    <t>Rodapé em porcelanato esmaltado antiderrapante para área externa e ambiente com alto tráfego, grupo de absorção BIa, assentado com argamassa colante industrializada, rejuntado</t>
  </si>
  <si>
    <t>18.08.062</t>
  </si>
  <si>
    <t>Revestimento em porcelanato esmaltado polido para área interna e ambiente com tráfego médio, grupo de absorção BIa, assentado com argamassa colante industrializada, rejuntado</t>
  </si>
  <si>
    <t>18.08.072</t>
  </si>
  <si>
    <t>Rodapé em porcelanato esmaltado polido para área interna e ambiente com tráfego médio, grupo de absorção BIa, assentado com argamassa colante industrializada, rejuntado</t>
  </si>
  <si>
    <t>18.08.090</t>
  </si>
  <si>
    <t>Revestimento em porcelanato esmaltado acetinado para área interna e ambiente com acesso ao exterior, grupo de absorção BIa, resistência química B, assentado com argamassa colante industrializada, rejuntado</t>
  </si>
  <si>
    <t>18.08.100</t>
  </si>
  <si>
    <t>Rodapé em porcelanato esmaltado acetinado para área interna e ambiente com acesso ao exterior, grupo de absorção BIa, resistência química B, assentado com argamassa colante industrializada, rejuntado</t>
  </si>
  <si>
    <t>18.08.110</t>
  </si>
  <si>
    <t>Revestimento em porcelanato técnico antiderrapante para área externa, grupo de absorção BIa, assentado com argamassa colante industrializada, rejuntado</t>
  </si>
  <si>
    <t>18.08.120</t>
  </si>
  <si>
    <t>Rodapé em porcelanato técnico antiderrapante para área interna, grupo de absorção BIa, assentado com argamassa colante industrializada, rejuntado</t>
  </si>
  <si>
    <t>18.08.152</t>
  </si>
  <si>
    <t>Revestimento em porcelanato técnico natural para área interna e ambiente com acesso ao exterior, grupo de absorção BIa, assentado com argamassa colante industrializada, rejuntado</t>
  </si>
  <si>
    <t>18.08.162</t>
  </si>
  <si>
    <t>Rodapé em porcelanato técnico natural, para área interna e ambiente com acesso ao exterior, grupo de absorção BIa, assentado com argamassa colante industrializada, rejuntado</t>
  </si>
  <si>
    <t>18.08.170</t>
  </si>
  <si>
    <t>Revestimento em porcelanato técnico polido para área interna e ambiente de médio tráfego, grupo de absorção BIa, coeficiente de atrito I, assentado com argamassa colante industrializada, rejuntado</t>
  </si>
  <si>
    <t>18.08.180</t>
  </si>
  <si>
    <t>Rodapé em porcelanato técnico polido para área interna e ambiente de médio tráfego, grupo de absorção BIa, assentado com argamassa colante industrializada, rejuntado</t>
  </si>
  <si>
    <t>18.11</t>
  </si>
  <si>
    <t>Revestimento em placa ceramica esmaltada</t>
  </si>
  <si>
    <t>18.11.012</t>
  </si>
  <si>
    <t>Revestimento em placa cerâmica esmaltada de 7,5x7,5 cm, assentado e rejuntado com argamassa industrializada</t>
  </si>
  <si>
    <t>18.11.022</t>
  </si>
  <si>
    <t>Revestimento em placa cerâmica esmaltada de 10x10 cm, assentado e rejuntado com argamassa industrializada</t>
  </si>
  <si>
    <t>18.11.032</t>
  </si>
  <si>
    <t>Revestimento em placa cerâmica esmaltada de 15x15 cm, tipo monocolor, assentado e rejuntado com argamassa industrializada</t>
  </si>
  <si>
    <t>18.11.042</t>
  </si>
  <si>
    <t>Revestimento em placa cerâmica esmaltada de 20x20 cm, tipo monocolor, assentado e rejuntado com argamassa industrializada</t>
  </si>
  <si>
    <t>18.11.052</t>
  </si>
  <si>
    <t>Revestimento em placa cerâmica esmaltada, tipo monoporosa, assentado e rejuntado com argamassa industrializada</t>
  </si>
  <si>
    <t>18.12</t>
  </si>
  <si>
    <t>Revestimento em pastilha e mosaico</t>
  </si>
  <si>
    <t>18.12.020</t>
  </si>
  <si>
    <t>Revestimento em pastilha de porcelana natural ou esmaltada de 5x5 cm, assentado e rejuntado com argamassa colante industrializada</t>
  </si>
  <si>
    <t>18.12.120</t>
  </si>
  <si>
    <t>Revestimento em pastilha de porcelana natural ou esmaltada de 2,5x2,5 cm, assentado e rejuntado com argamassa colante industrializada</t>
  </si>
  <si>
    <t>18.12.140</t>
  </si>
  <si>
    <t>Revestimento em pastilha de porcelana natural ou esmaltada de 2,5x5 cm, assentado e rejuntado com argamassa colante industrializada</t>
  </si>
  <si>
    <t>18.13</t>
  </si>
  <si>
    <t>Revestimento ceramico nao esmaltado extrudado</t>
  </si>
  <si>
    <t>18.13.010</t>
  </si>
  <si>
    <t>Revestimento em placa cerâmica não esmaltada extrudada, de alta resistência química e mecânica, espessura de 9 mm, assentado com argamassa colante industrializada</t>
  </si>
  <si>
    <t>18.13.020</t>
  </si>
  <si>
    <t>Revestimento em placa cerâmica extrudada de alta resistência química e mecânica, espessura entre 9 e 10 mm, assentado com argamassa industrializada de alta aderência</t>
  </si>
  <si>
    <t>18.13.202</t>
  </si>
  <si>
    <t>Rejuntamento em placa cerâmica extrudada, espessura entre 9 e 10 mm, com argamassa industrial anticorrosiva à base de resina epóxi, juntas de 6 a 10 mm</t>
  </si>
  <si>
    <t>19</t>
  </si>
  <si>
    <t>REVESTIMENTO EM PEDRA</t>
  </si>
  <si>
    <t>19.01</t>
  </si>
  <si>
    <t>Granito</t>
  </si>
  <si>
    <t>19.01.022</t>
  </si>
  <si>
    <t>Revestimento em granito, espessura de 2 cm, acabamento polido</t>
  </si>
  <si>
    <t>19.01.062</t>
  </si>
  <si>
    <t>Peitoril e/ou soleira em granito, espessura de 2 cm e largura até 20 cm, acabamento polido</t>
  </si>
  <si>
    <t>19.01.064</t>
  </si>
  <si>
    <t>Peitoril e/ou soleira em granito, espessura de 2 cm e largura de 21 cm até 30 cm, acabamento polido</t>
  </si>
  <si>
    <t>19.01.122</t>
  </si>
  <si>
    <t>Degrau e espelho de granito, espessura de 2 cm, acabamento polido</t>
  </si>
  <si>
    <t>19.01.322</t>
  </si>
  <si>
    <t>Rodapé em granito, espessura de 2 cm e altura de 7 cm, acabamento polido</t>
  </si>
  <si>
    <t>19.01.324</t>
  </si>
  <si>
    <t>Rodapé em granito, espessura de 2 cm e altura de 7,1 cm até 10 cm, acabamento polido</t>
  </si>
  <si>
    <t>19.02</t>
  </si>
  <si>
    <t>Marmore</t>
  </si>
  <si>
    <t>19.02.020</t>
  </si>
  <si>
    <t>Revestimento em mármore branco, espessura de 2 cm, assente com massa</t>
  </si>
  <si>
    <t>19.02.040</t>
  </si>
  <si>
    <t>Revestimento em mármore travertino nacional, espessura de 2 cm, assente com massa</t>
  </si>
  <si>
    <t>19.02.060</t>
  </si>
  <si>
    <t>Revestimento em mármore branco, espessura de 3 cm, assente com massa</t>
  </si>
  <si>
    <t>19.02.080</t>
  </si>
  <si>
    <t>Revestimento em mármore travertino nacional, espessura de 3 cm, assente com massa</t>
  </si>
  <si>
    <t>19.02.220</t>
  </si>
  <si>
    <t>Degrau e espelho em mármore branco, espessura de 2 cm</t>
  </si>
  <si>
    <t>19.02.240</t>
  </si>
  <si>
    <t>Degrau e espelho em mármore travertino nacional, espessura de 2 cm</t>
  </si>
  <si>
    <t>19.02.250</t>
  </si>
  <si>
    <t>Rodapé em mármore branco, espessura de 2 cm e altura de 7 cm</t>
  </si>
  <si>
    <t>19.03</t>
  </si>
  <si>
    <t>Pedra</t>
  </si>
  <si>
    <t>19.03.060</t>
  </si>
  <si>
    <t>Revestimento em pedra mineira comum</t>
  </si>
  <si>
    <t>19.03.090</t>
  </si>
  <si>
    <t>Revestimento em pedra Miracema</t>
  </si>
  <si>
    <t>19.03.110</t>
  </si>
  <si>
    <t>Rodapé em pedra Miracema, altura de 11,5 cm</t>
  </si>
  <si>
    <t>19.03.220</t>
  </si>
  <si>
    <t>Rodapé em pedra mineira simples, altura de 10 cm</t>
  </si>
  <si>
    <t>19.03.260</t>
  </si>
  <si>
    <t>Revestimento em pedra ardósia selecionada</t>
  </si>
  <si>
    <t>19.03.270</t>
  </si>
  <si>
    <t>Rodapé em pedra ardósia, altura de 7 cm</t>
  </si>
  <si>
    <t>19.03.290</t>
  </si>
  <si>
    <t>Peitoril e/ou soleira em ardósia, espessura de 2 cm e largura até 20 cm</t>
  </si>
  <si>
    <t>19.20</t>
  </si>
  <si>
    <t>Reparos, conservacoes e complementos - GRUPO 19</t>
  </si>
  <si>
    <t>19.20.020</t>
  </si>
  <si>
    <t>Recolocação de mármore, pedras e granitos, assentes com massa</t>
  </si>
  <si>
    <t>20</t>
  </si>
  <si>
    <t>REVESTIMENTO EM MADEIRA</t>
  </si>
  <si>
    <t>20.01</t>
  </si>
  <si>
    <t>Lambris de madeira</t>
  </si>
  <si>
    <t>20.01.040</t>
  </si>
  <si>
    <t>Lambril em madeira macho/fêmea tarugado, exceto pinus</t>
  </si>
  <si>
    <t>20.03</t>
  </si>
  <si>
    <t>Soalho de madeira</t>
  </si>
  <si>
    <t>20.03.010</t>
  </si>
  <si>
    <t>Soalho em tábua de madeira aparelhada</t>
  </si>
  <si>
    <t>20.04</t>
  </si>
  <si>
    <t>Tacos</t>
  </si>
  <si>
    <t>20.04.020</t>
  </si>
  <si>
    <t>Piso em tacos de Ipê colado</t>
  </si>
  <si>
    <t>20.10</t>
  </si>
  <si>
    <t>Rodape de madeira</t>
  </si>
  <si>
    <t>20.10.040</t>
  </si>
  <si>
    <t>Rodapé de madeira de 7 x 1,5 cm</t>
  </si>
  <si>
    <t>20.10.120</t>
  </si>
  <si>
    <t>Cordão de madeira</t>
  </si>
  <si>
    <t>20.20</t>
  </si>
  <si>
    <t>Reparos, conservacoes e complementos - GRUPO 20</t>
  </si>
  <si>
    <t>20.20.020</t>
  </si>
  <si>
    <t>Recolocação de soalho em madeira</t>
  </si>
  <si>
    <t>20.20.040</t>
  </si>
  <si>
    <t>Recolocação de tacos soltos com cola</t>
  </si>
  <si>
    <t>20.20.100</t>
  </si>
  <si>
    <t>Recolocação de rodapé e cordão de madeira</t>
  </si>
  <si>
    <t>20.20.202</t>
  </si>
  <si>
    <t>Raspagem com calafetação e aplicação de verniz</t>
  </si>
  <si>
    <t>21</t>
  </si>
  <si>
    <t>REVESTIMENTO SINTETICO E METALICO</t>
  </si>
  <si>
    <t>21.01</t>
  </si>
  <si>
    <t>Revestimento em borracha</t>
  </si>
  <si>
    <t>21.01.100</t>
  </si>
  <si>
    <t>Revestimento em borracha sintética preta, espessura de 4 mm - colado</t>
  </si>
  <si>
    <t>21.01.160</t>
  </si>
  <si>
    <t>Revestimento em grama sintética, com espessura de 20 a 32 mm</t>
  </si>
  <si>
    <t>21.02</t>
  </si>
  <si>
    <t>Revestimento vinilico</t>
  </si>
  <si>
    <t>21.02.050</t>
  </si>
  <si>
    <t>Revestimento vinílico, espessura de 2 mm, para tráfego médio, com impermeabilizante acrílico</t>
  </si>
  <si>
    <t>21.02.060</t>
  </si>
  <si>
    <t>Revestimento vinílico, espessura de 3,2 mm, para tráfego intenso, com impermeabilizante acrílico</t>
  </si>
  <si>
    <t>21.02.071</t>
  </si>
  <si>
    <t>Revestimento vinílico em manta, espessura total de 2mm, resistente a lavagem com hipoclorito</t>
  </si>
  <si>
    <t>21.02.271</t>
  </si>
  <si>
    <t>Revestimento vinílico em manta heterogênea, espessura de 2 mm, com impermeabilizante acrílico</t>
  </si>
  <si>
    <t>21.02.281</t>
  </si>
  <si>
    <t>Revestimento vinílico flexível em manta homogênea, espessura de 2 mm, com impermeabilizante acrílico</t>
  </si>
  <si>
    <t>21.02.291</t>
  </si>
  <si>
    <t>Revestimento vinílico heterogêneo flexível em réguas, espessura de 3 mm, com impermeabilizante acrílico</t>
  </si>
  <si>
    <t>21.02.310</t>
  </si>
  <si>
    <t>Revestimento vinílico autoportante acústico, espessura de 4,5 mm, com impermeabilizante acrílico</t>
  </si>
  <si>
    <t>21.02.311</t>
  </si>
  <si>
    <t>Revestimento vinílico autoportante, espessura de 4 mm, com impermeabilizante acrílico</t>
  </si>
  <si>
    <t>21.02.320</t>
  </si>
  <si>
    <t>Revestimento vinílico antiestático acústico, espessura de 5 mm, com impermeabilizante acrílico</t>
  </si>
  <si>
    <t>21.03</t>
  </si>
  <si>
    <t>Revestimento metalico</t>
  </si>
  <si>
    <t>21.03.010</t>
  </si>
  <si>
    <t>Revestimento em aço inoxidável AISI 304, liga 18,8, chapa 20, espessura de 1 mm, acabamento escovado com grana especial</t>
  </si>
  <si>
    <t>21.03.090</t>
  </si>
  <si>
    <t>Piso elevado tipo telescópico em chapa de aço, sem revestimento</t>
  </si>
  <si>
    <t>21.03.151</t>
  </si>
  <si>
    <t>Revestimento em placa de alumínio composto "ACM", espessura de 4 mm e acabamento em PVDF</t>
  </si>
  <si>
    <t>21.03.153</t>
  </si>
  <si>
    <t>Revestimento em placa de alumínio composto "ACM", espessura de 3 mm e acabamento em poliéster - uso interno</t>
  </si>
  <si>
    <t>21.04</t>
  </si>
  <si>
    <t>Forracao e carpete</t>
  </si>
  <si>
    <t>21.04.100</t>
  </si>
  <si>
    <t>Revestimento com carpete para tráfego moderado, uso comercial, tipo bouclê de 5,4 até 8 mm</t>
  </si>
  <si>
    <t>21.04.110</t>
  </si>
  <si>
    <t>Revestimento com carpete para tráfego intenso, uso comercial, tipo bouclê de 6 mm</t>
  </si>
  <si>
    <t>21.05</t>
  </si>
  <si>
    <t>Revestimento em cimento reforcado com fio sintetico (CRFS)</t>
  </si>
  <si>
    <t>21.05.010</t>
  </si>
  <si>
    <t>Piso em painel com miolo de madeira contraplacado por lâminas de madeira e externamente por chapas em CRFS, espessura de 40 mm</t>
  </si>
  <si>
    <t>21.05.100</t>
  </si>
  <si>
    <t>Piso elevado de concreto em placas de 600 x 600 mm, antiderrapante, sem acabamento</t>
  </si>
  <si>
    <t>21.07</t>
  </si>
  <si>
    <t>Revestimento sintetico</t>
  </si>
  <si>
    <t>21.07.010</t>
  </si>
  <si>
    <t>Revestimento em laminado melamínico dissipativo</t>
  </si>
  <si>
    <t>21.10</t>
  </si>
  <si>
    <t>Rodape sintetico</t>
  </si>
  <si>
    <t>21.10.050</t>
  </si>
  <si>
    <t>Rodapé de poliestireno, espessura de 7 cm</t>
  </si>
  <si>
    <t>21.10.051</t>
  </si>
  <si>
    <t>Rodapé de poliestireno, espessura de 8 cm</t>
  </si>
  <si>
    <t>21.10.061</t>
  </si>
  <si>
    <t>Rodapé para piso vinílico em PVC, espessura de 2 mm e altura de 5 cm, curvo/plano, com impermeabilizante acrílico</t>
  </si>
  <si>
    <t>21.10.071</t>
  </si>
  <si>
    <t>Rodapé flexível para piso vinílico em PVC, espessura de 2 mm e altura de 7,5 cm, curvo/plano, com impermeabilizante acrílico</t>
  </si>
  <si>
    <t>21.10.081</t>
  </si>
  <si>
    <t>Rodapé hospitalar flexível em PVC para piso vinílico, espessura de 2 mm e altura de 7,5 cm, com impermeabilizante acrílico</t>
  </si>
  <si>
    <t>21.10.210</t>
  </si>
  <si>
    <t>Rodapé em borracha sintética preta, altura até 7 cm - colado</t>
  </si>
  <si>
    <t>21.10.220</t>
  </si>
  <si>
    <t>Rodapé de cordão de poliamida</t>
  </si>
  <si>
    <t>21.10.250</t>
  </si>
  <si>
    <t>Rodapé em laminado melamínico dissipativo, espessura de 2 mm e altura de 10 cm</t>
  </si>
  <si>
    <t>21.11</t>
  </si>
  <si>
    <t>Degrau sintetico</t>
  </si>
  <si>
    <t>21.11.050</t>
  </si>
  <si>
    <t>Degrau (piso e espelho) em borracha sintética preta com testeira - colado</t>
  </si>
  <si>
    <t>21.11.131</t>
  </si>
  <si>
    <t>Testeira flexível para arremate de degrau vinílico em PVC, espessura de 2 mm, com impermeabilizante acrílico</t>
  </si>
  <si>
    <t>21.20</t>
  </si>
  <si>
    <t>Reparos, conservacoes e complementos - GRUPO 21</t>
  </si>
  <si>
    <t>21.20.020</t>
  </si>
  <si>
    <t>Recolocação de piso sintético com cola</t>
  </si>
  <si>
    <t>21.20.040</t>
  </si>
  <si>
    <t>Recolocação de piso sintético argamassado</t>
  </si>
  <si>
    <t>21.20.050</t>
  </si>
  <si>
    <t>Recolocação de piso elevado telescópico metálico, inclusive estrutura de sustentação</t>
  </si>
  <si>
    <t>21.20.060</t>
  </si>
  <si>
    <t>21.20.100</t>
  </si>
  <si>
    <t>Recolocação de rodapé e cordões sintéticos</t>
  </si>
  <si>
    <t>21.20.300</t>
  </si>
  <si>
    <t>Fita adesiva antiderrapante com largura de 5 cm</t>
  </si>
  <si>
    <t>21.20.302</t>
  </si>
  <si>
    <t>Fita adesiva antiderrapante fosforescente, alto tráfego, largura de 5 cm</t>
  </si>
  <si>
    <t>21.20.410</t>
  </si>
  <si>
    <t>Cantoneira de sobrepor em PVC de 4 x 4 cm</t>
  </si>
  <si>
    <t>21.20.460</t>
  </si>
  <si>
    <t>Canto externo de acabamento em PVC</t>
  </si>
  <si>
    <t>21.20.500</t>
  </si>
  <si>
    <t>Cantoneira em alumínio antiderrapante de 50 x 30 mm</t>
  </si>
  <si>
    <t>22</t>
  </si>
  <si>
    <t>FORRO, BRISE E FACHADA</t>
  </si>
  <si>
    <t>22.01</t>
  </si>
  <si>
    <t>Forro de madeira</t>
  </si>
  <si>
    <t>22.01.010</t>
  </si>
  <si>
    <t>Forro em tábuas aparelhadas macho e fêmea de pinus</t>
  </si>
  <si>
    <t>22.01.020</t>
  </si>
  <si>
    <t>Forro em tábuas aparelhadas macho e fêmea de pinus tarugado</t>
  </si>
  <si>
    <t>22.01.080</t>
  </si>
  <si>
    <t>Forro xadrez em ripas de angelim-vermelho / bacuri / maçaranduba tarugado</t>
  </si>
  <si>
    <t>22.01.210</t>
  </si>
  <si>
    <t>Testeira em tábua aparelhada, largura até 20cm</t>
  </si>
  <si>
    <t>22.01.220</t>
  </si>
  <si>
    <t>Beiral em tábua de angelim-vermelho / bacuri / maçaranduba macho e fêmea com tarugamento</t>
  </si>
  <si>
    <t>22.01.240</t>
  </si>
  <si>
    <t>Beiral em tábua de angelim-vermelho / bacuri / maçaranduba macho e fêmea</t>
  </si>
  <si>
    <t>22.02</t>
  </si>
  <si>
    <t>Forro de gesso</t>
  </si>
  <si>
    <t>22.02.010</t>
  </si>
  <si>
    <t>Forro em placa de gesso liso fixo</t>
  </si>
  <si>
    <t>22.02.030</t>
  </si>
  <si>
    <t>Forro em painéis de gesso acartonado, espessura de 12,5mm, fixo</t>
  </si>
  <si>
    <t>22.02.100</t>
  </si>
  <si>
    <t>Forro em painéis de gesso acartonado, acabamento liso com película em PVC - removível</t>
  </si>
  <si>
    <t>22.03</t>
  </si>
  <si>
    <t>Forro sintetico</t>
  </si>
  <si>
    <t>22.03.020</t>
  </si>
  <si>
    <t>Forro em lã de vidro revestido em PVC, espessura de 20mm</t>
  </si>
  <si>
    <t>22.03.030</t>
  </si>
  <si>
    <t>Forro em fibra mineral NRC 0.55 acústico, revestido em látex</t>
  </si>
  <si>
    <t>22.03.040</t>
  </si>
  <si>
    <t>Forro modular removível em PVC de 618mm x 1243mm</t>
  </si>
  <si>
    <t>22.03.050</t>
  </si>
  <si>
    <t>Forro em fibra mineral NRC 0.50, revestido em látex</t>
  </si>
  <si>
    <t>22.03.070</t>
  </si>
  <si>
    <t>Forro em lâmina de PVC</t>
  </si>
  <si>
    <t>22.03.122</t>
  </si>
  <si>
    <t>Forro em fibra mineral NRC 0.85, em placas acústicas removíveis de 625mm x 1250mm</t>
  </si>
  <si>
    <t>22.03.140</t>
  </si>
  <si>
    <t>Forro em fibra mineral NRC 0.65, em placas acústicas removíveis de 625mm x 625mm</t>
  </si>
  <si>
    <t>22.03.200</t>
  </si>
  <si>
    <t>Forro em fibra mineral NRC 0.70, em placas acústicas removíveis</t>
  </si>
  <si>
    <t>22.04</t>
  </si>
  <si>
    <t>Forro metalico</t>
  </si>
  <si>
    <t>22.04.020</t>
  </si>
  <si>
    <t>Forro metálico removível, em painéis de 625mm x 625mm, tipo colmeia</t>
  </si>
  <si>
    <t>22.04.030</t>
  </si>
  <si>
    <t>Forro metálico removível, em painéis de 625mm x 625mm, tile tegular perfurada</t>
  </si>
  <si>
    <t>22.06</t>
  </si>
  <si>
    <t>Brise-soleil</t>
  </si>
  <si>
    <t>22.06.130</t>
  </si>
  <si>
    <t>Brise em placa cimentícia, montado em perfil e chapa metálica</t>
  </si>
  <si>
    <t>22.06.240</t>
  </si>
  <si>
    <t>Brise metálico fixo em chapa lisa aluzinc pré-pintada, formato ogiva, lâmina frontal de 200mm</t>
  </si>
  <si>
    <t>22.06.300</t>
  </si>
  <si>
    <t>Brise metálico curvo e móvel em chapa microperfurada de alumínio pré-pintada</t>
  </si>
  <si>
    <t>22.06.350</t>
  </si>
  <si>
    <t>Brise metálico curvo e móvel termoacústico em chapa lisa de alumínio pré-pintada</t>
  </si>
  <si>
    <t>22.20</t>
  </si>
  <si>
    <t>Reparos, conservacoes e complementos - GRUPO 22</t>
  </si>
  <si>
    <t>22.20.011</t>
  </si>
  <si>
    <t>Placa em lã de vidro revestida em PVC, auto extinguível</t>
  </si>
  <si>
    <t>22.20.020</t>
  </si>
  <si>
    <t>Recolocação de forros fixados</t>
  </si>
  <si>
    <t>22.20.040</t>
  </si>
  <si>
    <t>Recolocação de forros apoiados ou encaixados</t>
  </si>
  <si>
    <t>22.20.050</t>
  </si>
  <si>
    <t>Moldura de gesso simples, largura até 6,0cm</t>
  </si>
  <si>
    <t>22.20.090</t>
  </si>
  <si>
    <t>23</t>
  </si>
  <si>
    <t>ESQUADRIA, MARCENARIA E ELEMENTO EM MADEIRA</t>
  </si>
  <si>
    <t>23.01</t>
  </si>
  <si>
    <t>Janela e veneziana em madeira</t>
  </si>
  <si>
    <t>23.01.050</t>
  </si>
  <si>
    <t>Caixilho em madeira maxim-ar</t>
  </si>
  <si>
    <t>23.01.060</t>
  </si>
  <si>
    <t>Caixilho em madeira tipo veneziana de correr</t>
  </si>
  <si>
    <t>23.02</t>
  </si>
  <si>
    <t>Porta macho / femea montada com batente</t>
  </si>
  <si>
    <t>23.02.010</t>
  </si>
  <si>
    <t>Acréscimo de bandeira - porta macho e fêmea com batente de madeira</t>
  </si>
  <si>
    <t>23.02.030</t>
  </si>
  <si>
    <t>Porta macho e fêmea com batente de madeira - 70 x 210 cm</t>
  </si>
  <si>
    <t>23.02.040</t>
  </si>
  <si>
    <t>Porta macho e fêmea com batente de madeira - 80 x 210 cm</t>
  </si>
  <si>
    <t>23.02.050</t>
  </si>
  <si>
    <t>Porta macho e fêmea com batente de madeira - 90 x 210 cm</t>
  </si>
  <si>
    <t>23.02.060</t>
  </si>
  <si>
    <t>Porta macho e fêmea com batente de madeira - 120 x 210 cm</t>
  </si>
  <si>
    <t>23.04</t>
  </si>
  <si>
    <t>Porta lisa laminada montada com batente</t>
  </si>
  <si>
    <t>23.04.070</t>
  </si>
  <si>
    <t>Porta em laminado fenólico melamínico com batente em alumínio - 80 x 180 cm</t>
  </si>
  <si>
    <t>23.04.080</t>
  </si>
  <si>
    <t>Porta em laminado fenólico melamínico com batente em alumínio - 60 x 160 cm</t>
  </si>
  <si>
    <t>23.04.090</t>
  </si>
  <si>
    <t>Porta em laminado fenólico melamínico com acabamento liso, batente de madeira sem revestimento - 70 x 210 cm</t>
  </si>
  <si>
    <t>23.04.100</t>
  </si>
  <si>
    <t>Porta em laminado fenólico melamínico com acabamento liso, batente de madeira sem revestimento - 80 x 210 cm</t>
  </si>
  <si>
    <t>23.04.110</t>
  </si>
  <si>
    <t>Porta em laminado fenólico melamínico com acabamento liso, batente de madeira sem revestimento - 90 x 210 cm</t>
  </si>
  <si>
    <t>23.04.120</t>
  </si>
  <si>
    <t>Porta em laminado fenólico melamínico com acabamento liso, batente de madeira sem revestimento - 120 x 210 cm</t>
  </si>
  <si>
    <t>23.04.130</t>
  </si>
  <si>
    <t>Porta em laminado fenólico melamínico com acabamento liso, batente de madeira sem revestimento - 140 x 210 cm</t>
  </si>
  <si>
    <t>23.04.140</t>
  </si>
  <si>
    <t>Porta em laminado fenólico melamínico com acabamento liso, batente de madeira sem revestimento - 220 x 210 cm</t>
  </si>
  <si>
    <t>23.04.570</t>
  </si>
  <si>
    <t>Porta em laminado melamínico estrutural com acabamento texturizado, batente em alumínio com ferragens - 60 x 180 cm</t>
  </si>
  <si>
    <t>23.04.580</t>
  </si>
  <si>
    <t>Porta em laminado fenólico melamínico com acabamento liso, batente metálico - 60 x 160 cm</t>
  </si>
  <si>
    <t>23.04.590</t>
  </si>
  <si>
    <t>Porta em laminado fenólico melamínico com acabamento liso, batente metálico - 70 x 210 cm</t>
  </si>
  <si>
    <t>23.04.600</t>
  </si>
  <si>
    <t>Porta em laminado fenólico melamínico com acabamento liso, batente metálico - 80 x 210 cm</t>
  </si>
  <si>
    <t>23.04.610</t>
  </si>
  <si>
    <t>Porta em laminado fenólico melamínico com acabamento liso, batente metálico - 90 x 210 cm</t>
  </si>
  <si>
    <t>23.04.620</t>
  </si>
  <si>
    <t>Porta em laminado fenólico melamínico com acabamento liso, batente metálico - 120 x 210 cm</t>
  </si>
  <si>
    <t>23.08</t>
  </si>
  <si>
    <t>Marcenaria em geral</t>
  </si>
  <si>
    <t>23.08.010</t>
  </si>
  <si>
    <t>Estrado em madeira</t>
  </si>
  <si>
    <t>23.08.020</t>
  </si>
  <si>
    <t>Faixa/batedor de proteção em madeira aparelhada natural de 10 x 2,5 cm</t>
  </si>
  <si>
    <t>23.08.030</t>
  </si>
  <si>
    <t>Faixa/batedor de proteção em madeira de 20 x 5 cm, com acabamento em laminado fenólico melamínico</t>
  </si>
  <si>
    <t>23.08.040</t>
  </si>
  <si>
    <t>Armário/gabinete embutido em MDF sob medida, revestido em laminado melamínico, com portas e prateleiras</t>
  </si>
  <si>
    <t>23.08.060</t>
  </si>
  <si>
    <t>Tampo sob medida em compensado, revestido na face superior em laminado fenólico melamínico</t>
  </si>
  <si>
    <t>23.08.080</t>
  </si>
  <si>
    <t>Prateleira sob medida em compensado, revestida nas duas faces em laminado fenólico melamínico</t>
  </si>
  <si>
    <t>23.08.100</t>
  </si>
  <si>
    <t>Armário tipo prateleira com subdivisão em compensado, revestido totalmente em laminado fenólico melamínico</t>
  </si>
  <si>
    <t>23.08.110</t>
  </si>
  <si>
    <t>Painel em compensado naval, espessura de 25 mm</t>
  </si>
  <si>
    <t>23.08.160</t>
  </si>
  <si>
    <t>Porta lisa com balcão, batente de madeira, completa - 80 x 210 cm</t>
  </si>
  <si>
    <t>23.08.170</t>
  </si>
  <si>
    <t>Lousa em laminado melamínico, branco - linha comercial</t>
  </si>
  <si>
    <t>23.08.210</t>
  </si>
  <si>
    <t>Armário sob medida em compensado de madeira totalmente revestido em folheado de madeira, completo</t>
  </si>
  <si>
    <t>23.08.220</t>
  </si>
  <si>
    <t>Armário sob medida em compensado de madeira totalmente revestido em laminado melamínico texturizado, completo</t>
  </si>
  <si>
    <t>23.08.242</t>
  </si>
  <si>
    <t>Porta lisa de correr suspensa em madeira com batente</t>
  </si>
  <si>
    <t>23.08.244</t>
  </si>
  <si>
    <t>Porta articulada em MDF revestida com laminado melamínico, batente em alumínio - completa</t>
  </si>
  <si>
    <t>23.08.320</t>
  </si>
  <si>
    <t>Porta acústica de madeira</t>
  </si>
  <si>
    <t>23.08.380</t>
  </si>
  <si>
    <t>Faixa/batedor de proteção em madeira de 290 x 15 mm, com acabamento em laminado fenólico melamínico</t>
  </si>
  <si>
    <t>23.09</t>
  </si>
  <si>
    <t>Porta lisa comum montada com batente</t>
  </si>
  <si>
    <t>23.09.010</t>
  </si>
  <si>
    <t>Acréscimo de bandeira - porta lisa comum com batente de madeira</t>
  </si>
  <si>
    <t>23.09.020</t>
  </si>
  <si>
    <t>Porta lisa com batente madeira - 60 x 210 cm</t>
  </si>
  <si>
    <t>23.09.030</t>
  </si>
  <si>
    <t>Porta lisa com batente madeira - 70 x 210 cm</t>
  </si>
  <si>
    <t>23.09.040</t>
  </si>
  <si>
    <t>Porta lisa com batente madeira - 80 x 210 cm</t>
  </si>
  <si>
    <t>23.09.050</t>
  </si>
  <si>
    <t>Porta lisa com batente madeira - 90 x 210 cm</t>
  </si>
  <si>
    <t>23.09.052</t>
  </si>
  <si>
    <t>Porta lisa com batente madeira - 110 x 210 cm</t>
  </si>
  <si>
    <t>23.09.060</t>
  </si>
  <si>
    <t>Porta lisa com batente madeira - 120 x 210 cm</t>
  </si>
  <si>
    <t>23.09.100</t>
  </si>
  <si>
    <t>Porta lisa com batente madeira - 160 x 210 cm</t>
  </si>
  <si>
    <t>23.09.420</t>
  </si>
  <si>
    <t>Porta lisa com batente em alumínio, largura 60 cm, altura de 105 a 200 cm</t>
  </si>
  <si>
    <t>23.09.430</t>
  </si>
  <si>
    <t>Porta lisa com batente em alumínio, largura 80 cm, altura de 105 a 200 cm</t>
  </si>
  <si>
    <t>23.09.440</t>
  </si>
  <si>
    <t>Porta lisa com batente em alumínio, largura 90 cm, altura de 105 a 200 cm</t>
  </si>
  <si>
    <t>23.09.520</t>
  </si>
  <si>
    <t>Porta lisa com batente metálico - 60 x 160 cm</t>
  </si>
  <si>
    <t>23.09.530</t>
  </si>
  <si>
    <t>Porta lisa com batente metálico - 80 x 160 cm</t>
  </si>
  <si>
    <t>23.09.540</t>
  </si>
  <si>
    <t>Porta lisa com batente metálico - 70 x 210 cm</t>
  </si>
  <si>
    <t>23.09.550</t>
  </si>
  <si>
    <t>Porta lisa com batente metálico - 80 x 210 cm</t>
  </si>
  <si>
    <t>23.09.560</t>
  </si>
  <si>
    <t>Porta lisa com batente metálico - 90 x 210 cm</t>
  </si>
  <si>
    <t>23.09.570</t>
  </si>
  <si>
    <t>Porta lisa com batente metálico - 120 x 210 cm</t>
  </si>
  <si>
    <t>23.09.590</t>
  </si>
  <si>
    <t>Porta lisa com batente metálico - 160 x 210 cm</t>
  </si>
  <si>
    <t>23.09.600</t>
  </si>
  <si>
    <t>Porta lisa com batente metálico - 60 x 180 cm</t>
  </si>
  <si>
    <t>23.09.610</t>
  </si>
  <si>
    <t>Porta lisa com batente metálico - 60 x 210 cm</t>
  </si>
  <si>
    <t>23.09.630</t>
  </si>
  <si>
    <t>Porta lisa com batente madeira, 2 folhas - 140 x 210 cm</t>
  </si>
  <si>
    <t>23.11</t>
  </si>
  <si>
    <t>Porta lisa para acabamento em verniz montada com batente</t>
  </si>
  <si>
    <t>23.11.010</t>
  </si>
  <si>
    <t>Acréscimo de bandeira - porta lisa para acabamento em verniz, com batente de madeira</t>
  </si>
  <si>
    <t>23.11.030</t>
  </si>
  <si>
    <t>Porta lisa para acabamento em verniz, com batente de madeira - 70 x 210 cm</t>
  </si>
  <si>
    <t>23.11.040</t>
  </si>
  <si>
    <t>Porta lisa para acabamento em verniz, com batente de madeira - 80 x 210 cm</t>
  </si>
  <si>
    <t>23.11.050</t>
  </si>
  <si>
    <t>Porta lisa para acabamento em verniz, com batente de madeira - 90 x 210 cm</t>
  </si>
  <si>
    <t>23.12</t>
  </si>
  <si>
    <t>Porta comum completa - uso coletivo (padrao dimensional medio)</t>
  </si>
  <si>
    <t>23.12.001</t>
  </si>
  <si>
    <t>Porta lisa de madeira, interna "PIM", para acabamento em pintura, padrão dimensional médio, com ferragens, completo - 80 x 210 cm</t>
  </si>
  <si>
    <t>23.13</t>
  </si>
  <si>
    <t>Porta comum completa - uso publico (padrao dimensional medio/pesado)</t>
  </si>
  <si>
    <t>23.13.001</t>
  </si>
  <si>
    <t>Porta lisa de madeira, interna "PIM", para acabamento em pintura, padrão dimensional médio/pesado, com ferragens, completo - 80 x 210 cm</t>
  </si>
  <si>
    <t>23.13.002</t>
  </si>
  <si>
    <t>Porta lisa de madeira, interna "PIM", para acabamento em pintura, padrão dimensional médio/pesado, com ferragens, completo - 90 x 210 cm</t>
  </si>
  <si>
    <t>23.13.020</t>
  </si>
  <si>
    <t>Porta lisa de madeira, interna, resistente a umidade "PIM RU", para acabamento em pintura, padrão dimensional médio/pesado, com ferragens, completo - 80 x 210 cm</t>
  </si>
  <si>
    <t>23.13.040</t>
  </si>
  <si>
    <t>Porta lisa de madeira, interna, resistente a umidade "PIM RU", para acabamento revestido ou em pintura, para divisória sanitária, padrão dimensional médio/pesado, com ferragens, completo - 80 x 190 cm</t>
  </si>
  <si>
    <t>23.13.052</t>
  </si>
  <si>
    <t>Porta lisa de madeira, interna, resistente a umidade "PIM RU", para acabamento em pintura, tipo acessível, padrão dimensional médio/pesado, com ferragens, completo - 90 x 210 cm</t>
  </si>
  <si>
    <t>23.13.064</t>
  </si>
  <si>
    <t>Porta lisa de madeira, interna, resistente a umidade "PIM RU", para acabamento em pintura, de correr ou deslizante, tipo acessível, padrão dimensional pesado, com sistema deslizante e ferragens, completo - 100 x 210 cm</t>
  </si>
  <si>
    <t>23.20</t>
  </si>
  <si>
    <t>Reparos, conservacoes e complementos - GRUPO 23</t>
  </si>
  <si>
    <t>23.20.020</t>
  </si>
  <si>
    <t>Recolocação de batentes de madeira</t>
  </si>
  <si>
    <t>23.20.040</t>
  </si>
  <si>
    <t>Recolocação de folhas de porta ou janela</t>
  </si>
  <si>
    <t>23.20.060</t>
  </si>
  <si>
    <t>Recolocação de guarnição ou molduras</t>
  </si>
  <si>
    <t>23.20.100</t>
  </si>
  <si>
    <t>Batente de madeira para porta</t>
  </si>
  <si>
    <t>23.20.110</t>
  </si>
  <si>
    <t>Visor fixo e requadro de madeira para porta, para receber vidro</t>
  </si>
  <si>
    <t>23.20.120</t>
  </si>
  <si>
    <t>Guarnição de madeira</t>
  </si>
  <si>
    <t>23.20.140</t>
  </si>
  <si>
    <t>Acréscimo de visor completo em porta de madeira</t>
  </si>
  <si>
    <t>23.20.160</t>
  </si>
  <si>
    <t>Folha de porta veneziana maciça, sob medida</t>
  </si>
  <si>
    <t>23.20.170</t>
  </si>
  <si>
    <t>Folha de porta lisa folheada com madeira, sob medida</t>
  </si>
  <si>
    <t>23.20.180</t>
  </si>
  <si>
    <t>Folha de porta em madeira para receber vidro, sob medida</t>
  </si>
  <si>
    <t>23.20.310</t>
  </si>
  <si>
    <t>Folha de porta lisa comum - 60 x 210 cm</t>
  </si>
  <si>
    <t>23.20.320</t>
  </si>
  <si>
    <t>Folha de porta lisa comum - 70 x 210 cm</t>
  </si>
  <si>
    <t>23.20.330</t>
  </si>
  <si>
    <t>Folha de porta lisa comum - 80 x 210 cm</t>
  </si>
  <si>
    <t>23.20.340</t>
  </si>
  <si>
    <t>Folha de porta lisa comum - 90 x 210 cm</t>
  </si>
  <si>
    <t>23.20.450</t>
  </si>
  <si>
    <t>Folha de porta em laminado fenólico melamínico com acabamento liso - 70 x 210 cm</t>
  </si>
  <si>
    <t>23.20.460</t>
  </si>
  <si>
    <t>Folha de porta em laminado fenólico melamínico com acabamento liso - 90 x 210 cm</t>
  </si>
  <si>
    <t>23.20.550</t>
  </si>
  <si>
    <t>Folha de porta em laminado fenólico melamínico com acabamento liso - 80 x 210 cm</t>
  </si>
  <si>
    <t>23.20.600</t>
  </si>
  <si>
    <t>Folha de porta em madeira com tela de proteção tipo mosqueteira</t>
  </si>
  <si>
    <t>24</t>
  </si>
  <si>
    <t>ESQUADRIA, SERRALHERIA E ELEMENTO EM FERRO</t>
  </si>
  <si>
    <t>24.01</t>
  </si>
  <si>
    <t>Caixilho em ferro</t>
  </si>
  <si>
    <t>24.01.010</t>
  </si>
  <si>
    <t>Caixilho em ferro fixo, sob medida</t>
  </si>
  <si>
    <t>24.01.030</t>
  </si>
  <si>
    <t>Caixilho em ferro basculante, sob medida</t>
  </si>
  <si>
    <t>24.01.070</t>
  </si>
  <si>
    <t>Caixilho em ferro de correr, sob medida</t>
  </si>
  <si>
    <t>24.01.090</t>
  </si>
  <si>
    <t>Caixilho em ferro com ventilação permanente, sob medida</t>
  </si>
  <si>
    <t>24.01.100</t>
  </si>
  <si>
    <t>Caixilho em ferro tipo veneziana, linha comercial</t>
  </si>
  <si>
    <t>24.01.110</t>
  </si>
  <si>
    <t>Caixilho em ferro tipo veneziana, sob medida</t>
  </si>
  <si>
    <t>24.01.120</t>
  </si>
  <si>
    <t>Caixilho tipo veneziana industrial com montantes em aço galvanizado e aletas em fibra de vidro</t>
  </si>
  <si>
    <t>24.01.180</t>
  </si>
  <si>
    <t>Caixilho removível em tela de aço galvanizado, tipo ondulada com malha de 1", fio 12, com requadro tubular de aço carbono, sob medida</t>
  </si>
  <si>
    <t>24.01.190</t>
  </si>
  <si>
    <t>Caixilho fixo em tela de aço galvanizado tipo ondulada com malha de 1/2", fio 12, com requadro em cantoneira de aço carbono, sob medida</t>
  </si>
  <si>
    <t>24.01.200</t>
  </si>
  <si>
    <t>Caixilho fixo em aço SAE 1010/1020 para vidro à prova de bala, sob medida</t>
  </si>
  <si>
    <t>24.01.280</t>
  </si>
  <si>
    <t>Caixilho tipo guichê em chapa de aço</t>
  </si>
  <si>
    <t>24.02</t>
  </si>
  <si>
    <t>Portas, portoes e gradis</t>
  </si>
  <si>
    <t>24.02.010</t>
  </si>
  <si>
    <t>Porta em ferro de abrir, para receber vidro, sob medida</t>
  </si>
  <si>
    <t>24.02.040</t>
  </si>
  <si>
    <t>Porta/portão tipo gradil sob medida</t>
  </si>
  <si>
    <t>24.02.050</t>
  </si>
  <si>
    <t>Porta corta-fogo classe P.90 de 90 x 210 cm, completa, com maçaneta tipo alavanca</t>
  </si>
  <si>
    <t>24.02.052</t>
  </si>
  <si>
    <t>Porta corta-fogo classe P.90 de 100 x 210 cm, completa, com maçaneta tipo alavanca</t>
  </si>
  <si>
    <t>24.02.054</t>
  </si>
  <si>
    <t>Porta corta-fogo classe P.90, com barra antipânico numa face e maçaneta na outra, completa</t>
  </si>
  <si>
    <t>24.02.056</t>
  </si>
  <si>
    <t>Porta corta-fogo classe P.120 de 80 x 210 cm, com uma folha de abrir, completa</t>
  </si>
  <si>
    <t>24.02.058</t>
  </si>
  <si>
    <t>Porta corta-fogo classe P.120 de 90 x 210 cm, com uma folha de abrir, completa</t>
  </si>
  <si>
    <t>24.02.060</t>
  </si>
  <si>
    <t>Porta/portão de abrir em chapa, sob medida</t>
  </si>
  <si>
    <t>24.02.070</t>
  </si>
  <si>
    <t>Porta de ferro de abrir tipo veneziana, linha comercial</t>
  </si>
  <si>
    <t>24.02.080</t>
  </si>
  <si>
    <t>24.02.100</t>
  </si>
  <si>
    <t>Portão tubular em tela de aço galvanizado até 2,50 m de altura, completo</t>
  </si>
  <si>
    <t>24.02.270</t>
  </si>
  <si>
    <t>Portão de 2 folhas, tubular em tela de aço galvanizado acima de 2,50 m de altura, completo</t>
  </si>
  <si>
    <t>24.02.280</t>
  </si>
  <si>
    <t>Porta/portão de correr em tela ondulada de aço galvanizado, sob medida</t>
  </si>
  <si>
    <t>24.02.290</t>
  </si>
  <si>
    <t>Porta/portão de correr em chapa cega dupla, sob medida</t>
  </si>
  <si>
    <t>24.02.410</t>
  </si>
  <si>
    <t>Porta em ferro de correr, para receber vidro, sob medida</t>
  </si>
  <si>
    <t>24.02.430</t>
  </si>
  <si>
    <t>Porta em ferro de abrir, parte inferior chapeada, parte superior para receber vidro, sob medida</t>
  </si>
  <si>
    <t>24.02.450</t>
  </si>
  <si>
    <t>24.02.460</t>
  </si>
  <si>
    <t>Porta de abrir em tela ondulada de aço galvanizado, completa</t>
  </si>
  <si>
    <t>24.02.470</t>
  </si>
  <si>
    <t>Portinhola de correr em chapa, para ´passa pacote´, completa, sob medida</t>
  </si>
  <si>
    <t>24.02.480</t>
  </si>
  <si>
    <t>Portinhola de abrir em chapa, para ´passa pacote´, completa, sob medida</t>
  </si>
  <si>
    <t>24.02.490</t>
  </si>
  <si>
    <t>Grade em barra chata soldada de 1 1/2´ x 1/4´, sob medida</t>
  </si>
  <si>
    <t>24.02.590</t>
  </si>
  <si>
    <t>Porta de enrolar manual, cega ou vazada</t>
  </si>
  <si>
    <t>24.02.630</t>
  </si>
  <si>
    <t>Portão de 2 folhas tubular diâmetro de 3´, com tela em aço galvanizado de 2´, altura acima de 3,00 m, completo</t>
  </si>
  <si>
    <t>24.02.810</t>
  </si>
  <si>
    <t>Porta/portão de abrir em chapa cega com isolamento acústico, sob medida</t>
  </si>
  <si>
    <t>24.02.811</t>
  </si>
  <si>
    <t>Porta de ferro acústica, espessura de 80mm, batente tripla vedação 185mm, com fechadura e maçaneta - 50 dB</t>
  </si>
  <si>
    <t>24.02.840</t>
  </si>
  <si>
    <t>Portão basculante em chapa metálica, estruturado com perfis metálicos</t>
  </si>
  <si>
    <t>24.02.900</t>
  </si>
  <si>
    <t>Porta de abrir em chapa dupla com visor, batente envolvente, completa</t>
  </si>
  <si>
    <t>24.02.930</t>
  </si>
  <si>
    <t>Portão de 2 folhas tubular, com tela em aço galvanizado de 2´ e fio 10, completo</t>
  </si>
  <si>
    <t>24.03</t>
  </si>
  <si>
    <t>Elementos em ferro</t>
  </si>
  <si>
    <t>24.03.040</t>
  </si>
  <si>
    <t>Guarda-corpo tubular com tela em aço galvanizado, diâmetro de 1 1/2´</t>
  </si>
  <si>
    <t>24.03.060</t>
  </si>
  <si>
    <t>Escada marinheiro (em aço galvanizado)</t>
  </si>
  <si>
    <t>24.03.080</t>
  </si>
  <si>
    <t>Escada marinheiro com guarda corpo (em aço galvanizado)</t>
  </si>
  <si>
    <t>24.03.100</t>
  </si>
  <si>
    <t>Alçapão/tampa em chapa de ferro com porta cadeado</t>
  </si>
  <si>
    <t>24.03.200</t>
  </si>
  <si>
    <t>Tela de proteção tipo mosquiteira em aço galvanizado, com requadro em perfis de ferro</t>
  </si>
  <si>
    <t>24.03.210</t>
  </si>
  <si>
    <t>24.03.290</t>
  </si>
  <si>
    <t>Fechamento em chapa de aço galvanizada nº 14 MSG, perfurada com diâmetro de 12,7 mm, requadro em chapa dobrada</t>
  </si>
  <si>
    <t>24.03.300</t>
  </si>
  <si>
    <t>Fechamento em chapa expandida losangular de 10 x 20 mm, com requadro em cantoneira de aço carbono</t>
  </si>
  <si>
    <t>24.03.310</t>
  </si>
  <si>
    <t>Corrimão tubular em aço galvanizado, diâmetro 1 1/2´</t>
  </si>
  <si>
    <t>24.03.320</t>
  </si>
  <si>
    <t>Corrimão tubular em aço galvanizado, diâmetro 2´</t>
  </si>
  <si>
    <t>24.03.340</t>
  </si>
  <si>
    <t>Tampa em chapa de segurança tipo xadrez, aço galvanizado a fogo antiderrapante de 1/4´</t>
  </si>
  <si>
    <t>24.03.410</t>
  </si>
  <si>
    <t>Fechamento em chapa perfurada, furos quadrados 4 x 4 mm, com requadro em cantoneira de aço carbono</t>
  </si>
  <si>
    <t>24.03.680</t>
  </si>
  <si>
    <t>Grade para piso eletrofundida, malha 30 x 100 mm, com barra de 40 x 2 mm</t>
  </si>
  <si>
    <t>24.03.690</t>
  </si>
  <si>
    <t>Grade para forro eletrofundida, malha 25 x 100 mm, com barra de 25 x 2 mm</t>
  </si>
  <si>
    <t>24.03.930</t>
  </si>
  <si>
    <t>Porta de enrolar automatizada, em chapa de aço galvanizada microperfurada, com pintura eletrostática, com controle remoto</t>
  </si>
  <si>
    <t>24.04</t>
  </si>
  <si>
    <t>Esquadria, serralheria de seguranca</t>
  </si>
  <si>
    <t>24.04.150</t>
  </si>
  <si>
    <t>Porta de segurança de correr suspensa em grade de aço SAE 1045, diâmetro de 1´, completa, sem têmpera e revenimento</t>
  </si>
  <si>
    <t>24.04.220</t>
  </si>
  <si>
    <t>Grade de segurança em aço SAE 1045, diâmetro 1´, sem têmpera e revenimento</t>
  </si>
  <si>
    <t>24.04.230</t>
  </si>
  <si>
    <t>Grade de segurança em aço SAE 1045, para janela, diâmetro 1´, sem têmpera e revenimento</t>
  </si>
  <si>
    <t>24.04.240</t>
  </si>
  <si>
    <t>Grade de segurança em aço SAE 1045 chapeada, diâmetro 1´, sem têmpera e revenimento</t>
  </si>
  <si>
    <t>24.04.250</t>
  </si>
  <si>
    <t>Porta de segurança de abrir em grade de aço SAE 1045, diâmetro 1´, completa, sem têmpera e revenimento</t>
  </si>
  <si>
    <t>24.04.260</t>
  </si>
  <si>
    <t>Porta de segurança de abrir em grade de aço SAE 1045 chapeada, diâmetro 1´, completa, sem têmpera e revenimento</t>
  </si>
  <si>
    <t>24.04.270</t>
  </si>
  <si>
    <t>Porta de segurança de abrir em grade de aço SAE 1045, diâmetro 1´, com ferrolho longo embutido em caixa, completa, sem têmpera e revenimento</t>
  </si>
  <si>
    <t>24.04.280</t>
  </si>
  <si>
    <t>Portão de segurança de abrir em grade de aço SAE 1045 chapeado, para muralha, diâmetro 1´, completo, sem têmpera e revenimento</t>
  </si>
  <si>
    <t>24.04.300</t>
  </si>
  <si>
    <t>Grade de segurança em aço SAE 1045, diâmetro 1´, com têmpera e revenimento</t>
  </si>
  <si>
    <t>24.04.310</t>
  </si>
  <si>
    <t>Grade de segurança em aço SAE 1045, para janela, diâmetro 1´, com têmpera e revenimento</t>
  </si>
  <si>
    <t>24.04.320</t>
  </si>
  <si>
    <t>Grade de segurança em aço SAE 1045 chapeada, diâmetro 1´, com têmpera e revenimento</t>
  </si>
  <si>
    <t>24.04.330</t>
  </si>
  <si>
    <t>Porta de segurança de abrir em grade de aço SAE 1045, diâmetro 1´, completa, com têmpera e revenimento</t>
  </si>
  <si>
    <t>24.04.340</t>
  </si>
  <si>
    <t>Porta de segurança de abrir em grade de aço SAE 1045 chapeada, diâmetro 1´, completa, com têmpera e revenimento</t>
  </si>
  <si>
    <t>24.04.350</t>
  </si>
  <si>
    <t>Porta de segurança de abrir em grade de aço SAE 1045, diâmetro 1´, com ferrolho longo embutido em caixa, completa, com têmpera e revenimento</t>
  </si>
  <si>
    <t>24.04.360</t>
  </si>
  <si>
    <t>Porta de segurança de abrir em grade de aço SAE 1045 chapeada, com isolamento acústico, diâmetro 1´, completa, com têmpera e revenimento</t>
  </si>
  <si>
    <t>24.04.370</t>
  </si>
  <si>
    <t>Portão de segurança de abrir em grade de aço SAE 1045 chapeado, para muralha, diâmetro 1´, completo, com têmpera e revenimento</t>
  </si>
  <si>
    <t>24.04.380</t>
  </si>
  <si>
    <t>Porta de segurança de correr suspensa em grade de aço SAE 1045, chapeada, diâmetro de 1´, completa, sem têmpera e revenimento</t>
  </si>
  <si>
    <t>24.04.400</t>
  </si>
  <si>
    <t>Porta de segurança de correr em grade de aço SAE 1045, diâmetro de 1´, completa, com têmpera e revenimento</t>
  </si>
  <si>
    <t>24.04.410</t>
  </si>
  <si>
    <t>Porta de segurança de correr suspensa em grade de aço SAE 1045 chapeada, diâmetro de 1´, completa, com têmpera e revenimento</t>
  </si>
  <si>
    <t>24.04.420</t>
  </si>
  <si>
    <t>Porta de segurança de correr em grade de aço SAE 1045 chapeada, diâmetro de 1´, completa, sem têmpera e revenimento</t>
  </si>
  <si>
    <t>24.04.430</t>
  </si>
  <si>
    <t>Porta de segurança de correr em grade de aço SAE 1045, diâmetro de 1´, completa, sem têmpera e revenimento</t>
  </si>
  <si>
    <t>24.04.610</t>
  </si>
  <si>
    <t>Caixilho de segurança em aço SAE 1010/1020 tipo fixo e de correr, para receber vidro, com bandeira tipo veneziana</t>
  </si>
  <si>
    <t>24.04.620</t>
  </si>
  <si>
    <t>Guichê de segurança em grade de aço SAE 1045, diâmetro de 1´', com têmpera e revenimento</t>
  </si>
  <si>
    <t>24.04.630</t>
  </si>
  <si>
    <t>Guichê de segurança em grade de aço SAE 1045, diâmetro de 1´', sem têmpera e revenimento</t>
  </si>
  <si>
    <t>24.06</t>
  </si>
  <si>
    <t>Esquadria, serralheria e elemento em ferro.</t>
  </si>
  <si>
    <t>24.06.030</t>
  </si>
  <si>
    <t>Guarda-corpo com vidro de 8 mm, em tubo de aço galvanizado, diâmetro 1 1/2´</t>
  </si>
  <si>
    <t>24.07</t>
  </si>
  <si>
    <t>Portas, portoes e gradis.</t>
  </si>
  <si>
    <t>24.07.030</t>
  </si>
  <si>
    <t>Porta de enrolar automatizado, em perfil meia cana perfurado, tipo transvision</t>
  </si>
  <si>
    <t>24.07.040</t>
  </si>
  <si>
    <t>Porta de abrir em chapa de aço galvanizado, com requadro em tela ondulada malha 2´ e fio 12</t>
  </si>
  <si>
    <t>24.08</t>
  </si>
  <si>
    <t>Esquadria, serralheria e elemento em aco inoxidavel</t>
  </si>
  <si>
    <t>24.08.020</t>
  </si>
  <si>
    <t>Corrimão duplo em tubo de aço inoxidável escovado, com diâmetro de 1 1/2´ e montantes com diâmetro de 2´</t>
  </si>
  <si>
    <t>24.08.031</t>
  </si>
  <si>
    <t>Corrimão em tubo de aço inoxidável escovado, diâmetro de 1 1/2"</t>
  </si>
  <si>
    <t>24.08.040</t>
  </si>
  <si>
    <t>Corrimão em tubo de aço inoxidável escovado, diâmetro de 1 1/2´ e montantes com diâmetro de 2´</t>
  </si>
  <si>
    <t>24.20</t>
  </si>
  <si>
    <t>Reparos, conservacoes e complementos - GRUPO 24</t>
  </si>
  <si>
    <t>24.20.020</t>
  </si>
  <si>
    <t>Recolocação de esquadrias metálicas</t>
  </si>
  <si>
    <t>24.20.040</t>
  </si>
  <si>
    <t>Recolocação de batentes</t>
  </si>
  <si>
    <t>24.20.060</t>
  </si>
  <si>
    <t>Recolocação de escada de marinheiro</t>
  </si>
  <si>
    <t>24.20.090</t>
  </si>
  <si>
    <t>Solda MIG em esquadrias metálicas</t>
  </si>
  <si>
    <t>24.20.100</t>
  </si>
  <si>
    <t>Brete para instalação lateral em grade de segurança</t>
  </si>
  <si>
    <t>24.20.120</t>
  </si>
  <si>
    <t>Batente em chapa dobrada para portas</t>
  </si>
  <si>
    <t>24.20.140</t>
  </si>
  <si>
    <t>24.20.200</t>
  </si>
  <si>
    <t>Chapa de ferro nº 14, inclusive soldagem</t>
  </si>
  <si>
    <t>24.20.230</t>
  </si>
  <si>
    <t>Tela ondulada em aço galvanizado fio 10 BWG, malha de 1´</t>
  </si>
  <si>
    <t>24.20.270</t>
  </si>
  <si>
    <t>Tela em aço galvanizado fio 16 BWG, malha de 1´ - tipo alambrado</t>
  </si>
  <si>
    <t>24.20.300</t>
  </si>
  <si>
    <t>Chapa perfurada em aço SAE 1020, furos redondos de diâmetro 7,5 mm, espessura 1/8´ - soldagem tipo MIG</t>
  </si>
  <si>
    <t>24.20.310</t>
  </si>
  <si>
    <t>Chapa perfurada em aço SAE 1020, furos redondos de diâmetro 25 mm, espessura 1/4´ - inclusive soldagem</t>
  </si>
  <si>
    <t>25</t>
  </si>
  <si>
    <t>ESQUADRIA, SERRALHERIA E ELEMENTO EM ALUMINIO</t>
  </si>
  <si>
    <t>25.01</t>
  </si>
  <si>
    <t>Caixilho em aluminio</t>
  </si>
  <si>
    <t>25.01.020</t>
  </si>
  <si>
    <t>Caixilho em alumínio fixo, sob medida</t>
  </si>
  <si>
    <t>25.01.030</t>
  </si>
  <si>
    <t>Caixilho em alumínio basculante com vidro, linha comercial</t>
  </si>
  <si>
    <t>25.01.040</t>
  </si>
  <si>
    <t>Caixilho em alumínio basculante, sob medida</t>
  </si>
  <si>
    <t>25.01.050</t>
  </si>
  <si>
    <t>Caixilho em alumínio maxim-ar com vidro, linha comercial</t>
  </si>
  <si>
    <t>25.01.060</t>
  </si>
  <si>
    <t>Caixilho em alumínio maxim-ar, sob medida</t>
  </si>
  <si>
    <t>25.01.070</t>
  </si>
  <si>
    <t>Caixilho em alumínio de correr com vidro, linha comercial</t>
  </si>
  <si>
    <t>25.01.080</t>
  </si>
  <si>
    <t>Caixilho em alumínio de correr, sob medida</t>
  </si>
  <si>
    <t>25.01.090</t>
  </si>
  <si>
    <t>25.01.100</t>
  </si>
  <si>
    <t>Caixilho em alumínio tipo veneziana, sob medida</t>
  </si>
  <si>
    <t>25.01.110</t>
  </si>
  <si>
    <t>Caixilho guilhotina em alumínio anodizado, sob medida</t>
  </si>
  <si>
    <t>25.01.120</t>
  </si>
  <si>
    <t>Caixilho tipo veneziana industrial com montantes em alumínio e aletas em fibra de vidro</t>
  </si>
  <si>
    <t>25.01.240</t>
  </si>
  <si>
    <t>Caixilho fixo em alumínio, sob medida - branco</t>
  </si>
  <si>
    <t>25.01.361</t>
  </si>
  <si>
    <t>Caixilho em alumínio maxim-ar com vidro - branco</t>
  </si>
  <si>
    <t>25.01.371</t>
  </si>
  <si>
    <t>Caixilho em alumínio basculante com vidro - branco</t>
  </si>
  <si>
    <t>25.01.380</t>
  </si>
  <si>
    <t>Caixilho em alumínio de correr com vidro - branco</t>
  </si>
  <si>
    <t>25.01.400</t>
  </si>
  <si>
    <t>25.01.410</t>
  </si>
  <si>
    <t>Caixilho em alumínio anodizado maxim-ar</t>
  </si>
  <si>
    <t>25.01.430</t>
  </si>
  <si>
    <t>Caixilho em alumínio fixo, tipo fachada</t>
  </si>
  <si>
    <t>25.01.440</t>
  </si>
  <si>
    <t>Caixilho em alumínio maxim-ar, tipo fachada</t>
  </si>
  <si>
    <t>25.01.450</t>
  </si>
  <si>
    <t>Caixilho em alumínio para pele de vidro, tipo fachada</t>
  </si>
  <si>
    <t>25.01.460</t>
  </si>
  <si>
    <t>Gradil em alumínio natural, sob medida</t>
  </si>
  <si>
    <t>25.01.470</t>
  </si>
  <si>
    <t>Caixilho fixo tipo veneziana em alumínio anodizado, sob medida - branco</t>
  </si>
  <si>
    <t>25.01.480</t>
  </si>
  <si>
    <t>Caixilho em alumínio com pintura eletrostática, basculante, sob medida - branco</t>
  </si>
  <si>
    <t>25.01.490</t>
  </si>
  <si>
    <t>Caixilho em alumínio com pintura eletrostática, maxim-ar, sob medida - branco</t>
  </si>
  <si>
    <t>25.01.500</t>
  </si>
  <si>
    <t>Caixilho em alumínio anodizado fixo, sob medida - bronze/preto</t>
  </si>
  <si>
    <t>25.01.510</t>
  </si>
  <si>
    <t>Caixilho em alumínio anodizado basculante, sob medida - bronze/preto</t>
  </si>
  <si>
    <t>25.01.520</t>
  </si>
  <si>
    <t>Caixilho em alumínio anodizado maxim-ar, sob medida - bronze/preto</t>
  </si>
  <si>
    <t>25.01.530</t>
  </si>
  <si>
    <t>Caixilho em alumínio anodizado de correr, sob medida - bronze/preto</t>
  </si>
  <si>
    <t>25.02</t>
  </si>
  <si>
    <t>Porta em aluminio</t>
  </si>
  <si>
    <t>25.02.010</t>
  </si>
  <si>
    <t>Porta de entrada de abrir em alumínio com vidro, linha comercial</t>
  </si>
  <si>
    <t>25.02.020</t>
  </si>
  <si>
    <t>Porta de entrada de abrir em alumínio, sob medida</t>
  </si>
  <si>
    <t>25.02.040</t>
  </si>
  <si>
    <t>Porta de entrada de correr em alumínio, sob medida</t>
  </si>
  <si>
    <t>25.02.042</t>
  </si>
  <si>
    <t>Porta de correr em alumínio tipo lambri branco, sob medida</t>
  </si>
  <si>
    <t>25.02.050</t>
  </si>
  <si>
    <t>Porta veneziana de abrir em alumínio, linha comercial</t>
  </si>
  <si>
    <t>25.02.060</t>
  </si>
  <si>
    <t>25.02.070</t>
  </si>
  <si>
    <t>25.02.110</t>
  </si>
  <si>
    <t>25.02.211</t>
  </si>
  <si>
    <t>Porta veneziana de abrir em alumínio - cor branca</t>
  </si>
  <si>
    <t>25.02.221</t>
  </si>
  <si>
    <t>Porta de correr em alumínio com veneziana e vidro - cor branca</t>
  </si>
  <si>
    <t>25.02.230</t>
  </si>
  <si>
    <t>Porta em alumínio anodizado de abrir, sob medida - bronze/preto</t>
  </si>
  <si>
    <t>25.02.240</t>
  </si>
  <si>
    <t>25.02.250</t>
  </si>
  <si>
    <t>Porta em alumínio anodizado de abrir, tipo veneziana, sob medida - bronze/preto</t>
  </si>
  <si>
    <t>25.02.260</t>
  </si>
  <si>
    <t>Portinhola em alumínio anodizado de correr, tipo veneziana, sob medida - bronze/preto</t>
  </si>
  <si>
    <t>25.02.300</t>
  </si>
  <si>
    <t>Porta de abrir em alumínio com pintura eletrostática, sob medida - cor branca</t>
  </si>
  <si>
    <t>25.02.310</t>
  </si>
  <si>
    <t>Porta de abrir em alumínio tipo lambri, sob medida - cor branca</t>
  </si>
  <si>
    <t>25.20</t>
  </si>
  <si>
    <t>Reparos, conservacoes e complementos - GRUPO 25</t>
  </si>
  <si>
    <t>25.20.020</t>
  </si>
  <si>
    <t>Tela de proteção tipo mosquiteira removível, em fibra de vidro com revestimento em PVC e requadro em alumínio</t>
  </si>
  <si>
    <t>26</t>
  </si>
  <si>
    <t>ESQUADRIA E ELEMENTO EM VIDRO</t>
  </si>
  <si>
    <t>26.01</t>
  </si>
  <si>
    <t>Vidro comum e laminado</t>
  </si>
  <si>
    <t>26.01.020</t>
  </si>
  <si>
    <t>Vidro liso transparente de 3 mm</t>
  </si>
  <si>
    <t>26.01.040</t>
  </si>
  <si>
    <t>Vidro liso transparente de 4 mm</t>
  </si>
  <si>
    <t>26.01.060</t>
  </si>
  <si>
    <t>Vidro liso transparente de 5 mm</t>
  </si>
  <si>
    <t>26.01.080</t>
  </si>
  <si>
    <t>Vidro liso transparente de 6 mm</t>
  </si>
  <si>
    <t>26.01.140</t>
  </si>
  <si>
    <t>Vidro liso laminado colorido de 6 mm</t>
  </si>
  <si>
    <t>26.01.142</t>
  </si>
  <si>
    <t>Vidro liso laminado colorido de 8 mm</t>
  </si>
  <si>
    <t>26.01.155</t>
  </si>
  <si>
    <t>Vidro liso laminado colorido de 10 mm</t>
  </si>
  <si>
    <t>26.01.160</t>
  </si>
  <si>
    <t>Vidro liso laminado leitoso de 6 mm</t>
  </si>
  <si>
    <t>26.01.168</t>
  </si>
  <si>
    <t>Vidro liso laminado incolor de 6 mm</t>
  </si>
  <si>
    <t>26.01.169</t>
  </si>
  <si>
    <t>Vidro liso laminado incolor de 8 mm</t>
  </si>
  <si>
    <t>26.01.170</t>
  </si>
  <si>
    <t>Vidro liso laminado incolor de 10 mm</t>
  </si>
  <si>
    <t>26.01.230</t>
  </si>
  <si>
    <t>Vidro fantasia de 3/4 mm</t>
  </si>
  <si>
    <t>26.01.348</t>
  </si>
  <si>
    <t>Vidro multilaminado de alta segurança, proteção balística nível III</t>
  </si>
  <si>
    <t>26.01.350</t>
  </si>
  <si>
    <t>Vidro multilaminado de alta segurança em policarbonato, proteção balística nível III</t>
  </si>
  <si>
    <t>26.01.460</t>
  </si>
  <si>
    <t>Vidro float monolítico verde de 6 mm</t>
  </si>
  <si>
    <t>26.02</t>
  </si>
  <si>
    <t>Vidro temperado</t>
  </si>
  <si>
    <t>26.02.020</t>
  </si>
  <si>
    <t>Vidro temperado incolor de 6 mm</t>
  </si>
  <si>
    <t>26.02.040</t>
  </si>
  <si>
    <t>Vidro temperado incolor de 8 mm</t>
  </si>
  <si>
    <t>26.02.060</t>
  </si>
  <si>
    <t>Vidro temperado incolor de 10 mm</t>
  </si>
  <si>
    <t>26.02.120</t>
  </si>
  <si>
    <t>Vidro temperado cinza ou bronze de 6 mm</t>
  </si>
  <si>
    <t>26.02.140</t>
  </si>
  <si>
    <t>Vidro temperado cinza ou bronze de 8 mm</t>
  </si>
  <si>
    <t>26.02.160</t>
  </si>
  <si>
    <t>Vidro temperado cinza ou bronze de 10 mm</t>
  </si>
  <si>
    <t>26.02.170</t>
  </si>
  <si>
    <t>Vidro temperado serigrafado incolor de 8 mm</t>
  </si>
  <si>
    <t>26.02.300</t>
  </si>
  <si>
    <t>Vidro temperado neutro verde de 10 mm</t>
  </si>
  <si>
    <t>26.03</t>
  </si>
  <si>
    <t>Vidro especial</t>
  </si>
  <si>
    <t>26.03.070</t>
  </si>
  <si>
    <t>Vidro laminado temperado incolor de 8mm</t>
  </si>
  <si>
    <t>26.03.074</t>
  </si>
  <si>
    <t>Vidro laminado temperado incolor de 16 mm</t>
  </si>
  <si>
    <t>26.04</t>
  </si>
  <si>
    <t>Espelhos</t>
  </si>
  <si>
    <t>26.04.010</t>
  </si>
  <si>
    <t>Espelho em vidro cristal liso, espessura de 4 mm</t>
  </si>
  <si>
    <t>26.04.030</t>
  </si>
  <si>
    <t>Espelho comum de 3 mm com moldura em alumínio</t>
  </si>
  <si>
    <t>26.20</t>
  </si>
  <si>
    <t>Reparos, conservacoes e complementos - GRUPO 26</t>
  </si>
  <si>
    <t>26.20.010</t>
  </si>
  <si>
    <t>Massa para vidro</t>
  </si>
  <si>
    <t>26.20.020</t>
  </si>
  <si>
    <t>Recolocação de vidro inclusive emassamento ou recolocação de baguetes</t>
  </si>
  <si>
    <t>27</t>
  </si>
  <si>
    <t>ESQUADRIA E ELEMENTO EM MATERIAL ESPECIAL</t>
  </si>
  <si>
    <t>27.02</t>
  </si>
  <si>
    <t>Policarbonato</t>
  </si>
  <si>
    <t>27.02.001</t>
  </si>
  <si>
    <t>Chapa em policarbonato compacta, fumê, espessura de 6 mm</t>
  </si>
  <si>
    <t>27.02.011</t>
  </si>
  <si>
    <t>Chapa em policarbonato compacta, cristal, espessura de 6 mm</t>
  </si>
  <si>
    <t>27.02.041</t>
  </si>
  <si>
    <t>Chapa em policarbonato compacta, cristal, espessura de 10 mm</t>
  </si>
  <si>
    <t>27.02.050</t>
  </si>
  <si>
    <t>Chapa de policarbonato alveolar de 6 mm</t>
  </si>
  <si>
    <t>27.03</t>
  </si>
  <si>
    <t>Chapa de fibra de vidro</t>
  </si>
  <si>
    <t>27.03.030</t>
  </si>
  <si>
    <t>Placa de poliéster reforçada com fibra de vidro de 3 mm</t>
  </si>
  <si>
    <t>27.04</t>
  </si>
  <si>
    <t>PVC / VINIL</t>
  </si>
  <si>
    <t>27.04.031</t>
  </si>
  <si>
    <t>Caixilho de correr em PVC com vidro e persiana</t>
  </si>
  <si>
    <t>27.04.040</t>
  </si>
  <si>
    <t>Corrimão, bate-maca ou protetor de parede em PVC, com amortecimento à impacto, altura de 131 mm</t>
  </si>
  <si>
    <t>27.04.050</t>
  </si>
  <si>
    <t>Protetor de parede ou bate-maca em PVC flexível, com amortecimento à impacto, altura de 150 mm</t>
  </si>
  <si>
    <t>27.04.051</t>
  </si>
  <si>
    <t>Faixa em vinil para proteção de paredes, com amortecimento à alto impacto, altura de 400 mm</t>
  </si>
  <si>
    <t>27.04.052</t>
  </si>
  <si>
    <t>Cantoneira adesiva em vinil de alto impacto</t>
  </si>
  <si>
    <t>27.04.060</t>
  </si>
  <si>
    <t>Bate-maca ou protetor de parede curvo em PVC, com amortecimento à impacto, altura de 200 mm</t>
  </si>
  <si>
    <t>27.04.070</t>
  </si>
  <si>
    <t>Bate-maca ou protetor de parede em PVC, com amortecimento à impacto, altura de 200 mm</t>
  </si>
  <si>
    <t>28</t>
  </si>
  <si>
    <t>FERRAGEM COMPLEMENTAR PARA ESQUADRIAS</t>
  </si>
  <si>
    <t>28.01</t>
  </si>
  <si>
    <t>Ferragem para porta</t>
  </si>
  <si>
    <t>28.01.020</t>
  </si>
  <si>
    <t>Ferragem completa com maçaneta tipo alavanca, para porta externa com 1 folha</t>
  </si>
  <si>
    <t>28.01.030</t>
  </si>
  <si>
    <t>Ferragem completa com maçaneta tipo alavanca, para porta externa com 2 folhas</t>
  </si>
  <si>
    <t>28.01.040</t>
  </si>
  <si>
    <t>Ferragem completa com maçaneta tipo alavanca, para porta interna com 1 folha</t>
  </si>
  <si>
    <t>28.01.050</t>
  </si>
  <si>
    <t>Ferragem completa com maçaneta tipo alavanca, para porta interna com 2 folhas</t>
  </si>
  <si>
    <t>28.01.070</t>
  </si>
  <si>
    <t>Ferragem completa para porta de box de WC tipo livre/ocupado</t>
  </si>
  <si>
    <t>28.01.080</t>
  </si>
  <si>
    <t>Ferragem adicional para porta vão simples em divisória</t>
  </si>
  <si>
    <t>28.01.090</t>
  </si>
  <si>
    <t>Ferragem adicional para porta vão duplo em divisória</t>
  </si>
  <si>
    <t>28.01.146</t>
  </si>
  <si>
    <t>Fechadura eletromagnética para capacidade de atraque de 150 kgf</t>
  </si>
  <si>
    <t>28.01.150</t>
  </si>
  <si>
    <t>Fechadura elétrica de sobrepor para porta ou portão com peso até 400 kg</t>
  </si>
  <si>
    <t>28.01.160</t>
  </si>
  <si>
    <t>Mola aérea para porta, com esforço acima de 50 kg até 60 kg</t>
  </si>
  <si>
    <t>28.01.171</t>
  </si>
  <si>
    <t>Mola aérea para porta, com esforço acima de 60 kg até 80 kg</t>
  </si>
  <si>
    <t>28.01.180</t>
  </si>
  <si>
    <t>Mola aérea hidráulica, para porta com largura até 1,60 m</t>
  </si>
  <si>
    <t>28.01.210</t>
  </si>
  <si>
    <t>Fechadura tipo alavanca com chave para porta corta-fogo</t>
  </si>
  <si>
    <t>28.01.250</t>
  </si>
  <si>
    <t>Visor tipo olho mágico</t>
  </si>
  <si>
    <t>28.01.330</t>
  </si>
  <si>
    <t>Mola hidráulica de piso, para porta com largura até 1,10 m e peso até 120 kg</t>
  </si>
  <si>
    <t>28.01.400</t>
  </si>
  <si>
    <t>Ferrolho de segurança de 1,20 m, para adaptação em portas de celas, embutido em caixa</t>
  </si>
  <si>
    <t>28.01.550</t>
  </si>
  <si>
    <t>Fechadura com maçaneta tipo alavanca em aço inoxidável, para porta externa</t>
  </si>
  <si>
    <t>28.05</t>
  </si>
  <si>
    <t>Cadeado</t>
  </si>
  <si>
    <t>28.05.020</t>
  </si>
  <si>
    <t>Cadeado de latão com cilindro - trava dupla - 25/27mm</t>
  </si>
  <si>
    <t>28.05.040</t>
  </si>
  <si>
    <t>Cadeado de latão com cilindro - trava dupla - 35/36mm</t>
  </si>
  <si>
    <t>28.05.060</t>
  </si>
  <si>
    <t>Cadeado de latão com cilindro - trava dupla - 50mm</t>
  </si>
  <si>
    <t>28.05.070</t>
  </si>
  <si>
    <t>Cadeado de latão com cilindro de alta segurança, com 16 pinos e tetra-chave - 70mm</t>
  </si>
  <si>
    <t>28.05.080</t>
  </si>
  <si>
    <t>Cadeado de latão com cilindro - trava dupla - 60mm</t>
  </si>
  <si>
    <t>28.20</t>
  </si>
  <si>
    <t>Reparos, conservacoes e complementos - GRUPO 28</t>
  </si>
  <si>
    <t>28.20.020</t>
  </si>
  <si>
    <t>Recolocação de fechaduras de embutir</t>
  </si>
  <si>
    <t>28.20.030</t>
  </si>
  <si>
    <t>Barra antipânico de sobrepor para porta de 1 folha</t>
  </si>
  <si>
    <t>28.20.040</t>
  </si>
  <si>
    <t>Recolocação de fechaduras e fechos de sobrepor</t>
  </si>
  <si>
    <t>28.20.050</t>
  </si>
  <si>
    <t>Barra antipânico de sobrepor e maçaneta livre para porta de 1 folha</t>
  </si>
  <si>
    <t>28.20.060</t>
  </si>
  <si>
    <t>Recolocação de dobradiças</t>
  </si>
  <si>
    <t>28.20.070</t>
  </si>
  <si>
    <t>Ferragem para portão de tapume</t>
  </si>
  <si>
    <t>28.20.090</t>
  </si>
  <si>
    <t>Dobradiça tipo gonzo, diâmetro de 1 1/2´ com abas de 2´ x 3/8´</t>
  </si>
  <si>
    <t>28.20.170</t>
  </si>
  <si>
    <t>28.20.210</t>
  </si>
  <si>
    <t>Ferrolho de segurança para adaptação em portas de celas</t>
  </si>
  <si>
    <t>28.20.211</t>
  </si>
  <si>
    <t>Maçaneta tipo alavanca, acionamento com chave, para porta corta-fogo</t>
  </si>
  <si>
    <t>28.20.220</t>
  </si>
  <si>
    <t>Dobradiça inferior para porta de vidro temperado</t>
  </si>
  <si>
    <t>28.20.230</t>
  </si>
  <si>
    <t>Dobradiça superior para porta de vidro temperado</t>
  </si>
  <si>
    <t>28.20.360</t>
  </si>
  <si>
    <t>Suporte duplo para vidro temperado fixado em alvenaria</t>
  </si>
  <si>
    <t>28.20.411</t>
  </si>
  <si>
    <t>Dobradiça em aço cromado de 3 1/2", para porta de até 21 kg</t>
  </si>
  <si>
    <t>28.20.412</t>
  </si>
  <si>
    <t>Dobradiça em aço inoxidável de 3" x 2 1/2", para porta de até 25 kg</t>
  </si>
  <si>
    <t>28.20.413</t>
  </si>
  <si>
    <t>Dobradiça em latão cromado reforçada de 3 1/2" x 3", para porta de até 35 kg</t>
  </si>
  <si>
    <t>28.20.430</t>
  </si>
  <si>
    <t>Dobradiça em latão cromado, com mola tipo vai e vem, de 3"</t>
  </si>
  <si>
    <t>28.20.510</t>
  </si>
  <si>
    <t>Pivô superior lateral para porta em vidro temperado</t>
  </si>
  <si>
    <t>28.20.550</t>
  </si>
  <si>
    <t>Mancal inferior com rolamento para porta em vidro temperado</t>
  </si>
  <si>
    <t>28.20.590</t>
  </si>
  <si>
    <t>Contra fechadura de centro para porta em vidro temperado</t>
  </si>
  <si>
    <t>28.20.600</t>
  </si>
  <si>
    <t>Fechadura de centro com cilindro para porta em vidro temperado</t>
  </si>
  <si>
    <t>28.20.650</t>
  </si>
  <si>
    <t>Puxador duplo em aço inoxidável, para porta de madeira, alumínio ou vidro, de 350 mm</t>
  </si>
  <si>
    <t>28.20.655</t>
  </si>
  <si>
    <t>Puxador duplo em aço inoxidável de 300 mm, para porta</t>
  </si>
  <si>
    <t>28.20.750</t>
  </si>
  <si>
    <t>Capa de proteção para fechadura / ferrolho</t>
  </si>
  <si>
    <t>28.20.770</t>
  </si>
  <si>
    <t>Trinco de piso para porta em vidro temperado</t>
  </si>
  <si>
    <t>28.20.800</t>
  </si>
  <si>
    <t>Equipamento automatizador de portas deslizantes para folha dupla</t>
  </si>
  <si>
    <t>28.20.810</t>
  </si>
  <si>
    <t>Equipamento automatizador telescópico unilateral de portas deslizantes para folha dupla</t>
  </si>
  <si>
    <t>28.20.820</t>
  </si>
  <si>
    <t>Barra antipânico de sobrepor com maçaneta e chave, para porta em vidro de 1 folha</t>
  </si>
  <si>
    <t>28.20.830</t>
  </si>
  <si>
    <t>Barra antipânico de sobrepor com maçaneta e chave, para porta dupla em vidro</t>
  </si>
  <si>
    <t>28.20.840</t>
  </si>
  <si>
    <t>28.20.850</t>
  </si>
  <si>
    <t>28.20.860</t>
  </si>
  <si>
    <t>Veda porta/veda fresta com escova em alumínio branco</t>
  </si>
  <si>
    <t>29</t>
  </si>
  <si>
    <t>INSERTE METALICO</t>
  </si>
  <si>
    <t>29.01</t>
  </si>
  <si>
    <t>Cantoneira</t>
  </si>
  <si>
    <t>29.01.020</t>
  </si>
  <si>
    <t>Cantoneira em alumínio perfil sextavado</t>
  </si>
  <si>
    <t>29.01.030</t>
  </si>
  <si>
    <t>Perfil em alumínio natural</t>
  </si>
  <si>
    <t>29.01.040</t>
  </si>
  <si>
    <t>Cantoneira em alumínio perfil ´Y´</t>
  </si>
  <si>
    <t>29.01.210</t>
  </si>
  <si>
    <t>Cantoneira em aço galvanizado</t>
  </si>
  <si>
    <t>29.01.230</t>
  </si>
  <si>
    <t>Cantoneira e perfis em ferro</t>
  </si>
  <si>
    <t>29.03</t>
  </si>
  <si>
    <t>Cabos e cordoalhas</t>
  </si>
  <si>
    <t>29.03.010</t>
  </si>
  <si>
    <t>Cabo em aço galvanizado com alma de aço, diâmetro de 3/16´ (4,76 mm)</t>
  </si>
  <si>
    <t>29.03.020</t>
  </si>
  <si>
    <t>Cabo em aço galvanizado com alma de aço, diâmetro de 5/16´ (7,94 mm)</t>
  </si>
  <si>
    <t>29.03.030</t>
  </si>
  <si>
    <t>Cordoalha de aço galvanizado, diâmetro de 1/4´ (6,35 mm)</t>
  </si>
  <si>
    <t>29.03.040</t>
  </si>
  <si>
    <t>Cabo em aço galvanizado com alma de aço, diâmetro de 3/8´ (9,52 mm)</t>
  </si>
  <si>
    <t>29.20</t>
  </si>
  <si>
    <t>Reparos, conservacoes e complementos - GRUPO 29</t>
  </si>
  <si>
    <t>29.20.030</t>
  </si>
  <si>
    <t>Alumínio liso para complementos e reparos</t>
  </si>
  <si>
    <t>30</t>
  </si>
  <si>
    <t>ACESSIBILIDADE</t>
  </si>
  <si>
    <t>30.01</t>
  </si>
  <si>
    <t>Barra de apoio</t>
  </si>
  <si>
    <t>30.01.010</t>
  </si>
  <si>
    <t>Barra de apoio reta, para pessoas com mobilidade reduzida, em tubo de aço inoxidável de 1 1/2´</t>
  </si>
  <si>
    <t>30.01.020</t>
  </si>
  <si>
    <t>Barra de apoio reta, para pessoas com mobilidade reduzida, em tubo de aço inoxidável de 1 1/2´ x 500 mm</t>
  </si>
  <si>
    <t>30.01.030</t>
  </si>
  <si>
    <t>Barra de apoio reta, para pessoas com mobilidade reduzida, em tubo de aço inoxidável de 1 1/2´ x 800 mm</t>
  </si>
  <si>
    <t>30.01.050</t>
  </si>
  <si>
    <t>Barra de apoio em ângulo de 90°, para pessoas com mobilidade reduzida, em tubo de aço inoxidável de 1 1/2´ x 800 x 800 mm</t>
  </si>
  <si>
    <t>30.01.061</t>
  </si>
  <si>
    <t>Barra de apoio lateral para lavatório, para pessoas com mobilidade reduzida, em tubo de aço inoxidável de 1.1/4", comprimento 25 a 30 cm</t>
  </si>
  <si>
    <t>30.01.080</t>
  </si>
  <si>
    <t>Barra de apoio reta, para pessoas com mobilidade reduzida, em tubo de alumínio, comprimento de 800 mm, acabamento com pintura epóxi</t>
  </si>
  <si>
    <t>30.01.090</t>
  </si>
  <si>
    <t>Barra de apoio em ângulo de 90°, para pessoas com mobilidade reduzida, em tubo de alumínio de 800 x 800 mm, acabamento com pintura epóxi</t>
  </si>
  <si>
    <t>30.01.110</t>
  </si>
  <si>
    <t>Barra de proteção para sifão, para pessoas com mobilidade reduzida, em tubo de alumínio, acabamento com pintura epóxi</t>
  </si>
  <si>
    <t>30.01.120</t>
  </si>
  <si>
    <t>Barra de apoio reta, para pessoas com mobilidade reduzida, em tubo de aço inoxidável de 1 1/4´ x 400 mm</t>
  </si>
  <si>
    <t>30.01.130</t>
  </si>
  <si>
    <t>Barra de proteção para lavatório, para pessoas com mobilidade reduzida, em tubo de alumínio acabamento com pintura epóxi</t>
  </si>
  <si>
    <t>30.03</t>
  </si>
  <si>
    <t>Aparelhos eletricos, hidraulicos e a gas</t>
  </si>
  <si>
    <t>30.03.032</t>
  </si>
  <si>
    <t>Purificador de pressão elétrico em chapa eletrozincado pré-pintada e tampo em aço inoxidável, capacidade de refrigeração de 2,75 l/h</t>
  </si>
  <si>
    <t>30.03.042</t>
  </si>
  <si>
    <t>Purificador de pressão elétrico em chapa eletrozincado pré-pintada e tampo em aço inoxidável, capacidade de refrigeração de 7,2 l/h</t>
  </si>
  <si>
    <t>30.04</t>
  </si>
  <si>
    <t>Revestimento</t>
  </si>
  <si>
    <t>30.04.010</t>
  </si>
  <si>
    <t>30.04.020</t>
  </si>
  <si>
    <t>30.04.030</t>
  </si>
  <si>
    <t>Piso em ladrilho hidráulico podotátil várias cores (25x25cm), assentado com argamassa mista</t>
  </si>
  <si>
    <t>30.04.040</t>
  </si>
  <si>
    <t>Faixa em policarbonato para sinalização visual fotoluminescente, para degraus, comprimento de 20 cm</t>
  </si>
  <si>
    <t>30.04.060</t>
  </si>
  <si>
    <t>Revestimento em chapa de aço inoxidável para proteção de portas, altura de 40 cm</t>
  </si>
  <si>
    <t>30.04.070</t>
  </si>
  <si>
    <t>Rejuntamento de piso em ladrilho hidráulico (25x25cm) com argamassa industrializada para rejunte, juntas de 2 mm</t>
  </si>
  <si>
    <t>30.04.090</t>
  </si>
  <si>
    <t>Sinalização visual de degraus com pintura esmalte epóxi, comprimento de 20 cm</t>
  </si>
  <si>
    <t>30.04.100</t>
  </si>
  <si>
    <t>30.06</t>
  </si>
  <si>
    <t>Comunicacao visual e sonora</t>
  </si>
  <si>
    <t>30.06.010</t>
  </si>
  <si>
    <t>Placa para sinalização tátil (início ou final) em braile para corrimão</t>
  </si>
  <si>
    <t>30.06.020</t>
  </si>
  <si>
    <t>Placa para sinalização tátil (pavimento) em braile para corrimão</t>
  </si>
  <si>
    <t>30.06.050</t>
  </si>
  <si>
    <t>Tinta acrílica para sinalização visual de piso, com acabamento microtexturizado e antiderrapante</t>
  </si>
  <si>
    <t>30.06.061</t>
  </si>
  <si>
    <t>Sistema de alarme PNE com indicador audiovisual, para pessoas com mobilidade reduzida ou cadeirante</t>
  </si>
  <si>
    <t>30.06.064</t>
  </si>
  <si>
    <t>Sistema de alarme PNE com indicador audiovisual, sistema sem fio (Wireless), para pessoas com mobilidade reduzida ou cadeirante</t>
  </si>
  <si>
    <t>30.06.080</t>
  </si>
  <si>
    <t>30.06.090</t>
  </si>
  <si>
    <t>Placa de identificação para estacionamento, com desenho universal de acessibilidade, tipo pedestal</t>
  </si>
  <si>
    <t>30.06.100</t>
  </si>
  <si>
    <t>Sinalização com pictograma para vaga de estacionamento</t>
  </si>
  <si>
    <t>30.06.110</t>
  </si>
  <si>
    <t>Sinalização com pictograma para vaga de estacionamento, com faixas demarcatórias</t>
  </si>
  <si>
    <t>30.06.124</t>
  </si>
  <si>
    <t>Sinalização com pictograma autoadesivo em policarbonato para piso 80 cm x 120 cm - área de resgate</t>
  </si>
  <si>
    <t>30.06.132</t>
  </si>
  <si>
    <t>Placa de sinalização tátil em poliestireno com alto relevo em braile, para identificação de pavimentos</t>
  </si>
  <si>
    <t>30.08</t>
  </si>
  <si>
    <t>Aparelhos sanitarios</t>
  </si>
  <si>
    <t>30.08.030</t>
  </si>
  <si>
    <t>Assento articulado para banho, em alumínio com pintura epóxi de 700 x 450 mm</t>
  </si>
  <si>
    <t>30.08.040</t>
  </si>
  <si>
    <t>Lavatório de louça para canto sem coluna para pessoas com mobilidade reduzida</t>
  </si>
  <si>
    <t>30.08.050</t>
  </si>
  <si>
    <t>Trocador acessível em MDF com revestimento em laminado melamínico de 180x80 cm</t>
  </si>
  <si>
    <t>30.08.060</t>
  </si>
  <si>
    <t>Bacia sifonada de louça para pessoas com mobilidade reduzida - capacidade de 6 litros</t>
  </si>
  <si>
    <t>30.14</t>
  </si>
  <si>
    <t>Elevador e plataforma</t>
  </si>
  <si>
    <t>30.14.030</t>
  </si>
  <si>
    <t>Plataforma para elevação até 2,00 m, nas dimensões de 900 x 1400 mm, capacidade de 250 kg- percurso até 1,00 m de altura</t>
  </si>
  <si>
    <t>30.14.040</t>
  </si>
  <si>
    <t>Plataforma para elevação até 2,00 m, nas dimensões de 900 x 1400 mm, capacidade de 250 kg - percurso superior a 1,00 m de altura</t>
  </si>
  <si>
    <t>32</t>
  </si>
  <si>
    <t>IMPERMEABILIZACAO, PROTECAO E JUNTA</t>
  </si>
  <si>
    <t>32.06</t>
  </si>
  <si>
    <t>Isolamentos termicos / acusticos</t>
  </si>
  <si>
    <t>32.06.010</t>
  </si>
  <si>
    <t>Lã de vidro e/ou lã de rocha com espessura de 1´</t>
  </si>
  <si>
    <t>32.06.030</t>
  </si>
  <si>
    <t>Lã de vidro e/ou lã de rocha com espessura de 2´</t>
  </si>
  <si>
    <t>32.06.120</t>
  </si>
  <si>
    <t>Argila expandida</t>
  </si>
  <si>
    <t>32.06.130</t>
  </si>
  <si>
    <t>Espuma flexível de poliuretano poliéter/poliéster para absorção acústica, espessura de 50 mm</t>
  </si>
  <si>
    <t>32.06.151</t>
  </si>
  <si>
    <t>Lâmina refletiva revestida com dupla face em alumínio, dupla malha de reforço e laminação entre camadas, para isolação térmica</t>
  </si>
  <si>
    <t>32.06.231</t>
  </si>
  <si>
    <t>32.06.380</t>
  </si>
  <si>
    <t>Isolamento acústico em placas de espuma semirrígida, com uma camada de manta HD, espessura de 50 mm</t>
  </si>
  <si>
    <t>32.06.396</t>
  </si>
  <si>
    <t>Manta termoacústica em fibra cerâmica aluminizada, espessura de 38 mm</t>
  </si>
  <si>
    <t>32.06.400</t>
  </si>
  <si>
    <t>Isolamento acústico em placas de espuma semirrígida incombustível, com superfície em cunhas anecóicas, espessura de 50 mm</t>
  </si>
  <si>
    <t>32.07</t>
  </si>
  <si>
    <t>Junta de dilatacao</t>
  </si>
  <si>
    <t>32.07.040</t>
  </si>
  <si>
    <t>Junta plástica de 3/4´ x 1/8´</t>
  </si>
  <si>
    <t>32.07.060</t>
  </si>
  <si>
    <t>Junta de latão bitola de 1/8´</t>
  </si>
  <si>
    <t>32.07.090</t>
  </si>
  <si>
    <t>Junta de dilatação ou vedação com mastique de silicone, 1,0 x 0,5 cm - inclusive guia de apoio em polietileno</t>
  </si>
  <si>
    <t>32.07.110</t>
  </si>
  <si>
    <t>Junta a base de asfalto oxidado a quente</t>
  </si>
  <si>
    <t>CM3</t>
  </si>
  <si>
    <t>32.07.120</t>
  </si>
  <si>
    <t>Mangueira plástica flexível para junta de dilatação</t>
  </si>
  <si>
    <t>32.07.160</t>
  </si>
  <si>
    <t>Junta de dilatação elástica a base de poliuretano</t>
  </si>
  <si>
    <t>32.07.230</t>
  </si>
  <si>
    <t>Perfil de acabamento com borracha termoplástica vulcanizada contínua flexível, para junta de dilatação de embutir - piso-piso</t>
  </si>
  <si>
    <t>32.07.240</t>
  </si>
  <si>
    <t>Perfil de acabamento com borracha termoplástica vulcanizada contínua flexível, para junta de dilatação de embutir - piso-parede</t>
  </si>
  <si>
    <t>32.07.250</t>
  </si>
  <si>
    <t>Perfil de acabamento com borracha termoplástica vulcanizada contínua flexível, para junta de dilatação de embutir - parede-parede ou forro-forro</t>
  </si>
  <si>
    <t>32.07.260</t>
  </si>
  <si>
    <t>Perfil de acabamento com borracha termoplástica vulcanizada contínua flexível, para junta de dilatação de embutir - parede-parede ou forro-forro - canto</t>
  </si>
  <si>
    <t>32.08</t>
  </si>
  <si>
    <t>Junta de dilatacao estrutural</t>
  </si>
  <si>
    <t>32.08.010</t>
  </si>
  <si>
    <t>Junta estrutural com poliestireno expandido de alta densidade P-III, espessura de 10 mm</t>
  </si>
  <si>
    <t>32.08.030</t>
  </si>
  <si>
    <t>Junta estrutural com poliestireno expandido de alta densidade P-III, espessura de 20 mm</t>
  </si>
  <si>
    <t>32.08.050</t>
  </si>
  <si>
    <t>Junta estrutural com perfilado termoplástico em PVC, perfil O-12</t>
  </si>
  <si>
    <t>32.08.060</t>
  </si>
  <si>
    <t>Junta estrutural com perfilado termoplástico em PVC, perfil O-22</t>
  </si>
  <si>
    <t>32.08.070</t>
  </si>
  <si>
    <t>Junta estrutural com perfil elastomérico para fissuras, painéis e estruturas em geral, movimentação máxima 15 mm</t>
  </si>
  <si>
    <t>32.08.090</t>
  </si>
  <si>
    <t>Junta estrutural com perfil elastomérico para fissuras, painéis e estruturas em geral, movimentação máxima 30 mm</t>
  </si>
  <si>
    <t>32.08.110</t>
  </si>
  <si>
    <t>Junta estrutural com perfil elastomérico e lábios poliméricos para obras de arte, movimentação máxima 40 mm</t>
  </si>
  <si>
    <t>32.08.130</t>
  </si>
  <si>
    <t>Junta estrutural com perfil elastomérico e lábios poliméricos para obras de arte, movimentação máxima 55 mm</t>
  </si>
  <si>
    <t>32.08.160</t>
  </si>
  <si>
    <t>Junta elástica estrutural de neoprene</t>
  </si>
  <si>
    <t>32.09</t>
  </si>
  <si>
    <t>Apoios e afins</t>
  </si>
  <si>
    <t>32.09.020</t>
  </si>
  <si>
    <t>Chapa de aço em bitolas medias</t>
  </si>
  <si>
    <t>32.09.040</t>
  </si>
  <si>
    <t>Apoio em placa de neoprene fretado</t>
  </si>
  <si>
    <t>32.10</t>
  </si>
  <si>
    <t>Envelope de concreto e protecao de tubos</t>
  </si>
  <si>
    <t>32.10.050</t>
  </si>
  <si>
    <t>Proteção anticorrosiva, a base de resina epóxi com alcatrão, para ramais sob a terra, com DN até 1´</t>
  </si>
  <si>
    <t>32.10.060</t>
  </si>
  <si>
    <t>Proteção anticorrosiva, a base de resina epóxi com alcatrão, para ramais sob a terra, com DN acima de 1´ até 2´</t>
  </si>
  <si>
    <t>32.10.070</t>
  </si>
  <si>
    <t>Proteção anticorrosiva, a base de resina epóxi com alcatrão, para ramais sob a terra, com DN acima de 2´ até 3´</t>
  </si>
  <si>
    <t>32.10.080</t>
  </si>
  <si>
    <t>Proteção anticorrosiva, a base de resina epóxi com alcatrão, para ramais sob a terra, com DN acima de 3´ até 4´</t>
  </si>
  <si>
    <t>32.10.082</t>
  </si>
  <si>
    <t>Proteção anticorrosiva, a base de resina epóxi com alcatrão, para ramais sob a terra, com DN acima de 5´ até 6´</t>
  </si>
  <si>
    <t>32.10.090</t>
  </si>
  <si>
    <t>Proteção anticorrosiva, com fita adesiva, para ramais sob a terra, com DN até 1´</t>
  </si>
  <si>
    <t>32.10.100</t>
  </si>
  <si>
    <t>Proteção anticorrosiva, com fita adesiva, para ramais sob a terra, com DN acima de 1´ até 2´</t>
  </si>
  <si>
    <t>32.10.110</t>
  </si>
  <si>
    <t>Proteção anticorrosiva, com fita adesiva, para ramais sob a terra, com DN acima de 2´ até 3´</t>
  </si>
  <si>
    <t>32.11</t>
  </si>
  <si>
    <t>Isolante termico para tubos e dutos</t>
  </si>
  <si>
    <t>32.11.150</t>
  </si>
  <si>
    <t>Proteção para isolamento térmico em alumínio</t>
  </si>
  <si>
    <t>32.11.200</t>
  </si>
  <si>
    <t>Isolamento térmico em polietileno expandido, espessura de 5 mm, para tubulação de 1/2´ (15 mm)</t>
  </si>
  <si>
    <t>32.11.210</t>
  </si>
  <si>
    <t>Isolamento térmico em polietileno expandido, espessura de 5 mm, para tubulação de 3/4´ (22 mm)</t>
  </si>
  <si>
    <t>32.11.220</t>
  </si>
  <si>
    <t>Isolamento térmico em polietileno expandido, espessura de 5 mm, para tubulação de 1´ (28 mm)</t>
  </si>
  <si>
    <t>32.11.230</t>
  </si>
  <si>
    <t>Isolamento térmico em polietileno expandido, espessura de 10 mm, para tubulação de 1 1/4´ (35 mm)</t>
  </si>
  <si>
    <t>32.11.240</t>
  </si>
  <si>
    <t>Isolamento térmico em polietileno expandido, espessura de 10 mm, para tubulação de 1 1/2´ (42 mm)</t>
  </si>
  <si>
    <t>32.11.250</t>
  </si>
  <si>
    <t>Isolamento térmico em polietileno expandido, espessura de 10 mm, para tubulação de 2´ (54 mm)</t>
  </si>
  <si>
    <t>32.11.270</t>
  </si>
  <si>
    <t>Isolamento térmico em espuma elastomérica, espessura de 9 a 12 mm, para tubulação de 1/4´ (cobre)</t>
  </si>
  <si>
    <t>32.11.280</t>
  </si>
  <si>
    <t>Isolamento térmico em espuma elastomérica, espessura de 9 a 12 mm, para tubulação de 1/2´ (cobre)</t>
  </si>
  <si>
    <t>32.11.290</t>
  </si>
  <si>
    <t>Isolamento térmico em espuma elastomérica, espessura de 9 a 12 mm, para tubulação de 5/8´ (cobre) ou 1/4´ (ferro)</t>
  </si>
  <si>
    <t>32.11.300</t>
  </si>
  <si>
    <t>Isolamento térmico em espuma elastomérica, espessura de 9 a 12 mm, para tubulação de 1´ (cobre)</t>
  </si>
  <si>
    <t>32.11.310</t>
  </si>
  <si>
    <t>Isolamento térmico em espuma elastomérica, espessura de 19 a 26 mm, para tubulação de 7/8´ (cobre) ou 1/2´ (ferro)</t>
  </si>
  <si>
    <t>32.11.320</t>
  </si>
  <si>
    <t>Isolamento térmico em espuma elastomérica, espessura de 19 a 26 mm, para tubulação de 1 1/8´ (cobre) ou 3/4´ (ferro)</t>
  </si>
  <si>
    <t>32.11.330</t>
  </si>
  <si>
    <t>Isolamento térmico em espuma elastomérica, espessura de 19 a 26 mm, para tubulação de 1 3/8´ (cobre) ou 1´ (ferro)</t>
  </si>
  <si>
    <t>32.11.340</t>
  </si>
  <si>
    <t>Isolamento térmico em espuma elastomérica, espessura de 19 a 26 mm, para tubulação de 1 5/8´ (cobre) ou 1 1/4´ (ferro)</t>
  </si>
  <si>
    <t>32.11.350</t>
  </si>
  <si>
    <t>Isolamento térmico em espuma elastomérica, espessura de 19 a 26 mm, para tubulação de 1 1/2´ (ferro)</t>
  </si>
  <si>
    <t>32.11.360</t>
  </si>
  <si>
    <t>Isolamento térmico em espuma elastomérica, espessura de 19 a 26 mm, para tubulação de 2´ (ferro)</t>
  </si>
  <si>
    <t>32.11.370</t>
  </si>
  <si>
    <t>Isolamento térmico em espuma elastomérica, espessura de 19 a 26 mm, para tubulação de 2 1/2´ (ferro)</t>
  </si>
  <si>
    <t>32.11.380</t>
  </si>
  <si>
    <t>Isolamento térmico em espuma elastomérica, espessura de 19 a 26 mm, para tubulação de 3 1/2´ (cobre) ou 3´ (ferro)</t>
  </si>
  <si>
    <t>32.11.390</t>
  </si>
  <si>
    <t>Isolamento térmico em espuma elastomérica, espessura de 19 a 26 mm, para tubulação de 4´ (ferro)</t>
  </si>
  <si>
    <t>32.11.400</t>
  </si>
  <si>
    <t>Isolamento térmico em espuma elastomérica, espessura de 19 a 26 mm, para tubulação de 5´ (ferro)</t>
  </si>
  <si>
    <t>32.11.410</t>
  </si>
  <si>
    <t>Isolamento térmico em espuma elastomérica, espessura de 19 a 26 mm, para tubulação de 6´ (ferro)</t>
  </si>
  <si>
    <t>32.11.420</t>
  </si>
  <si>
    <t>Manta em espuma elastomérica, espessura de 19 a 26 mm, para isolamento térmico de tubulação acima de 6´</t>
  </si>
  <si>
    <t>32.11.430</t>
  </si>
  <si>
    <t>Isolamento térmico em espuma elastomérica, espessura de 19 a 26 mm, para tubulação de 3/8" (cobre) ou 1/8" (ferro)</t>
  </si>
  <si>
    <t>32.11.440</t>
  </si>
  <si>
    <t>Isolamento térmico em espuma elastomérica, espessura de 19 a 26 mm, para tubulação de 3/4" (cobre) ou 3/8" (ferro)</t>
  </si>
  <si>
    <t>32.15</t>
  </si>
  <si>
    <t>Impermeabilizacao flexivel com manta</t>
  </si>
  <si>
    <t>32.15.030</t>
  </si>
  <si>
    <t>Impermeabilização em manta asfáltica com armadura, tipo III-B, espessura de 3 mm</t>
  </si>
  <si>
    <t>32.15.040</t>
  </si>
  <si>
    <t>Impermeabilização em manta asfáltica com armadura, tipo III-B, espessura de 4 mm</t>
  </si>
  <si>
    <t>32.15.080</t>
  </si>
  <si>
    <t>Impermeabilização em manta asfáltica tipo III-B, espessura de 3 mm, face exposta em geotêxtil, com membrana acrílica</t>
  </si>
  <si>
    <t>32.15.100</t>
  </si>
  <si>
    <t>Impermeabilização em manta asfáltica plastomérica com armadura, tipo III, espessura de 4 mm, face exposta em geotêxtil com membrana acrílica</t>
  </si>
  <si>
    <t>32.15.240</t>
  </si>
  <si>
    <t>Impermeabilização com manta asfáltica tipo III, anti raiz, espessura de 4 mm</t>
  </si>
  <si>
    <t>32.16</t>
  </si>
  <si>
    <t>Impermeabilizacao flexivel com membranas</t>
  </si>
  <si>
    <t>32.16.010</t>
  </si>
  <si>
    <t>Impermeabilização em pintura de asfalto oxidado com solventes orgânicos, sobre massa</t>
  </si>
  <si>
    <t>32.16.020</t>
  </si>
  <si>
    <t>Impermeabilização em pintura de asfalto oxidado com solventes orgânicos, sobre metal</t>
  </si>
  <si>
    <t>32.16.030</t>
  </si>
  <si>
    <t>Impermeabilização em membrana de asfalto modificado com elastômeros, na cor preta</t>
  </si>
  <si>
    <t>32.16.040</t>
  </si>
  <si>
    <t>Impermeabilização em membrana de asfalto modificado com elastômeros, na cor preta e reforço em tela poliéster</t>
  </si>
  <si>
    <t>32.16.050</t>
  </si>
  <si>
    <t>Impermeabilização em membrana à base de polímeros acrílicos, na cor branca</t>
  </si>
  <si>
    <t>32.16.060</t>
  </si>
  <si>
    <t>Impermeabilização em membrana à base de polímeros acrílicos, na cor branca e reforço em tela poliéster</t>
  </si>
  <si>
    <t>32.16.070</t>
  </si>
  <si>
    <t>Impermeabilização em membrana à base de resina termoplástica e cimentos aditivados com reforço em tela poliéster</t>
  </si>
  <si>
    <t>32.17</t>
  </si>
  <si>
    <t>Impermeabilizacao rigida</t>
  </si>
  <si>
    <t>32.17.010</t>
  </si>
  <si>
    <t>Impermeabilização em argamassa impermeável com aditivo hidrófugo</t>
  </si>
  <si>
    <t>32.17.012</t>
  </si>
  <si>
    <t>Impermeabilização em argamassa de concreto não estrutural com aditivo hidrófugo</t>
  </si>
  <si>
    <t>32.17.030</t>
  </si>
  <si>
    <t>Impermeabilização em argamassa polimérica para umidade e água de percolação</t>
  </si>
  <si>
    <t>32.17.040</t>
  </si>
  <si>
    <t>Impermeabilização em argamassa polimérica com reforço em tela poliéster para pressão hidrostática positiva</t>
  </si>
  <si>
    <t>32.17.070</t>
  </si>
  <si>
    <t>Impermeabilização anticorrosiva em membrana epoxídica com alcatrão de hulha, sobre massa</t>
  </si>
  <si>
    <t>32.20</t>
  </si>
  <si>
    <t>Reparos, conservacoes e complementos - GRUPO 32</t>
  </si>
  <si>
    <t>32.20.010</t>
  </si>
  <si>
    <t>Recolocação de argila expandida</t>
  </si>
  <si>
    <t>32.20.020</t>
  </si>
  <si>
    <t>Aplicação de papel Kraft</t>
  </si>
  <si>
    <t>32.20.050</t>
  </si>
  <si>
    <t>Tela em polietileno, malha hexagonal de 1/2´, para armadura de argamassa</t>
  </si>
  <si>
    <t>32.20.060</t>
  </si>
  <si>
    <t>Tela galvanizada fio 24 BWG, malha hexagonal de 1/2´, para armadura de argamassa</t>
  </si>
  <si>
    <t>33</t>
  </si>
  <si>
    <t>PINTURA</t>
  </si>
  <si>
    <t>33.01</t>
  </si>
  <si>
    <t>Preparo de base</t>
  </si>
  <si>
    <t>33.01.040</t>
  </si>
  <si>
    <t>Estucamento e lixamento de concreto deteriorado</t>
  </si>
  <si>
    <t>33.01.050</t>
  </si>
  <si>
    <t>Estucamento e lixamento de concreto</t>
  </si>
  <si>
    <t>33.01.060</t>
  </si>
  <si>
    <t>Imunizante para madeira</t>
  </si>
  <si>
    <t>33.01.280</t>
  </si>
  <si>
    <t>Reparo de trincas rasas até 5 mm de largura, na massa</t>
  </si>
  <si>
    <t>33.01.350</t>
  </si>
  <si>
    <t>Preparo de base para superfície metálica com fundo antioxidante</t>
  </si>
  <si>
    <t>33.02</t>
  </si>
  <si>
    <t>Massa corrida</t>
  </si>
  <si>
    <t>33.02.060</t>
  </si>
  <si>
    <t>Massa corrida a base de PVA</t>
  </si>
  <si>
    <t>33.02.080</t>
  </si>
  <si>
    <t>Massa corrida à base de resina acrílica</t>
  </si>
  <si>
    <t>33.03</t>
  </si>
  <si>
    <t>Pintura em superficies de concreto / massa / gesso / pedras</t>
  </si>
  <si>
    <t>33.03.220</t>
  </si>
  <si>
    <t>Tinta látex em elemento vazado</t>
  </si>
  <si>
    <t>33.03.350</t>
  </si>
  <si>
    <t>Pintura especial em esmalte para lousa cor verde</t>
  </si>
  <si>
    <t>33.03.740</t>
  </si>
  <si>
    <t>Resina acrílica plastificante</t>
  </si>
  <si>
    <t>33.03.750</t>
  </si>
  <si>
    <t>Verniz acrílico</t>
  </si>
  <si>
    <t>33.03.760</t>
  </si>
  <si>
    <t>Hidrorepelente incolor para fachada à base de silano-siloxano oligomérico disperso em água</t>
  </si>
  <si>
    <t>33.03.770</t>
  </si>
  <si>
    <t>Hidrorepelente incolor para fachada à base de silano-siloxano oligomérico disperso em solvente</t>
  </si>
  <si>
    <t>33.03.780</t>
  </si>
  <si>
    <t>Verniz de proteção antipichação</t>
  </si>
  <si>
    <t>33.05</t>
  </si>
  <si>
    <t>Pintura em superficies de madeira</t>
  </si>
  <si>
    <t>33.05.010</t>
  </si>
  <si>
    <t>Verniz fungicida para madeira</t>
  </si>
  <si>
    <t>33.05.120</t>
  </si>
  <si>
    <t>Esmalte em rodapés, baguetes ou molduras de madeira</t>
  </si>
  <si>
    <t>33.05.330</t>
  </si>
  <si>
    <t>Verniz em superfície de madeira</t>
  </si>
  <si>
    <t>33.05.360</t>
  </si>
  <si>
    <t>Verniz em rodapés, baguetes ou molduras de madeira</t>
  </si>
  <si>
    <t>33.06</t>
  </si>
  <si>
    <t>Pintura em pisos</t>
  </si>
  <si>
    <t>33.06.020</t>
  </si>
  <si>
    <t>Acrílico para quadras e pisos cimentados</t>
  </si>
  <si>
    <t>33.07</t>
  </si>
  <si>
    <t>Pintura em estruturas metalicas</t>
  </si>
  <si>
    <t>33.07.130</t>
  </si>
  <si>
    <t>Pintura epóxi bicomponente em estruturas metálicas</t>
  </si>
  <si>
    <t>33.07.140</t>
  </si>
  <si>
    <t>Pintura com esmalte alquídico em estrutura metálica</t>
  </si>
  <si>
    <t>33.07.303</t>
  </si>
  <si>
    <t>Proteção passiva contra incêndio com tinta intumescente, com tempo requerido de resistência ao fogo TRRF = 60 min - aplicação em estrutura metálica</t>
  </si>
  <si>
    <t>33.07.304</t>
  </si>
  <si>
    <t>Proteção passiva contra incêndio com tinta intumescente, com tempo requerido de resistência ao fogo TRRF = 120 min - aplicação em estrutura metálica</t>
  </si>
  <si>
    <t>33.09</t>
  </si>
  <si>
    <t>Pintura de sinalizacao</t>
  </si>
  <si>
    <t>33.09.020</t>
  </si>
  <si>
    <t>Borracha clorada para faixas demarcatórias</t>
  </si>
  <si>
    <t>33.09.021</t>
  </si>
  <si>
    <t>Tinta acrílica para faixas demarcatórias</t>
  </si>
  <si>
    <t>33.10</t>
  </si>
  <si>
    <t>Pintura em superficie de concreto/massa/gesso/pedras, inclusive preparo</t>
  </si>
  <si>
    <t>33.10.020</t>
  </si>
  <si>
    <t>Tinta látex em massa, inclusive preparo</t>
  </si>
  <si>
    <t>33.10.030</t>
  </si>
  <si>
    <t>Tinta acrílica antimofo em massa, inclusive preparo</t>
  </si>
  <si>
    <t>33.10.041</t>
  </si>
  <si>
    <t>Esmalte à base de água em massa, inclusive preparo</t>
  </si>
  <si>
    <t>33.10.050</t>
  </si>
  <si>
    <t>Tinta acrílica em massa, inclusive preparo</t>
  </si>
  <si>
    <t>33.10.060</t>
  </si>
  <si>
    <t>Epóxi em massa, inclusive preparo</t>
  </si>
  <si>
    <t>33.10.070</t>
  </si>
  <si>
    <t>Borracha clorada em massa, inclusive preparo</t>
  </si>
  <si>
    <t>33.10.100</t>
  </si>
  <si>
    <t>Textura acrílica para uso interno / externo, inclusive preparo</t>
  </si>
  <si>
    <t>33.10.120</t>
  </si>
  <si>
    <t>Proteção passiva contra incêndio com tinta intumescente, tempo requerido de resistência ao fogo TRRF = 60 minutos - aplicação em painéis de gesso acartonado</t>
  </si>
  <si>
    <t>33.10.130</t>
  </si>
  <si>
    <t>Proteção passiva contra incêndio com tinta intumescente, tempo requerido de resistência ao fogo TRRF = 120 minutos - aplicação em painéis de gesso acartonado</t>
  </si>
  <si>
    <t>33.11</t>
  </si>
  <si>
    <t>Pintura em superficie metalica, inclusive preparo</t>
  </si>
  <si>
    <t>33.11.050</t>
  </si>
  <si>
    <t>Esmalte à base água em superfície metálica, inclusive preparo</t>
  </si>
  <si>
    <t>33.12</t>
  </si>
  <si>
    <t>Pintura em superficie de madeira, inclusive preparo</t>
  </si>
  <si>
    <t>33.12.011</t>
  </si>
  <si>
    <t>Esmalte à base de água em madeira, inclusive preparo</t>
  </si>
  <si>
    <t>34</t>
  </si>
  <si>
    <t>PAISAGISMO E FECHAMENTOS</t>
  </si>
  <si>
    <t>34.01</t>
  </si>
  <si>
    <t>Preparacao de solo</t>
  </si>
  <si>
    <t>34.01.010</t>
  </si>
  <si>
    <t>34.01.020</t>
  </si>
  <si>
    <t>Limpeza e regularização de áreas para ajardinamento (jardins e canteiros)</t>
  </si>
  <si>
    <t>34.02</t>
  </si>
  <si>
    <t>Vegetacao rasteira</t>
  </si>
  <si>
    <t>34.02.020</t>
  </si>
  <si>
    <t>Plantio de grama batatais em placas (praças e áreas abertas)</t>
  </si>
  <si>
    <t>34.02.040</t>
  </si>
  <si>
    <t>Plantio de grama batatais em placas (jardins e canteiros)</t>
  </si>
  <si>
    <t>34.02.070</t>
  </si>
  <si>
    <t>Forração com Lírio Amarelo, mínimo 18 mudas / m² - h= 0,50 m</t>
  </si>
  <si>
    <t>34.02.080</t>
  </si>
  <si>
    <t>Plantio de grama São Carlos em placas (jardins e canteiros)</t>
  </si>
  <si>
    <t>34.02.090</t>
  </si>
  <si>
    <t>Forração com Hera Inglesa, mínimo 18 mudas / m² - h= 0,15 m</t>
  </si>
  <si>
    <t>34.02.100</t>
  </si>
  <si>
    <t>Plantio de grama esmeralda em placas (jardins e canteiros)</t>
  </si>
  <si>
    <t>34.02.110</t>
  </si>
  <si>
    <t>Forração com clorofito, mínimo de 20 mudas / m² - h= 0,15 m</t>
  </si>
  <si>
    <t>34.02.400</t>
  </si>
  <si>
    <t>34.03</t>
  </si>
  <si>
    <t>Vegetacao arbustiva</t>
  </si>
  <si>
    <t>34.03.020</t>
  </si>
  <si>
    <t>Arbusto Azaléa - h= 0,60 a 0,80 m</t>
  </si>
  <si>
    <t>34.03.120</t>
  </si>
  <si>
    <t>34.03.130</t>
  </si>
  <si>
    <t>Arbusto Alamanda - h= 0,60 a 0,80 m</t>
  </si>
  <si>
    <t>34.03.150</t>
  </si>
  <si>
    <t>Arbusto Curcúligo - h= 0,60 a 0,80 m</t>
  </si>
  <si>
    <t>34.04</t>
  </si>
  <si>
    <t>arvores</t>
  </si>
  <si>
    <t>34.04.050</t>
  </si>
  <si>
    <t>Árvore ornamental tipo Pata de Vaca - h= 2,00 m</t>
  </si>
  <si>
    <t>34.04.130</t>
  </si>
  <si>
    <t>Árvore ornamental tipo Ipê Amarelo - h= 2,00 m</t>
  </si>
  <si>
    <t>34.04.160</t>
  </si>
  <si>
    <t>Árvore ornamental tipo Areca Bambu - h= 2,00 m</t>
  </si>
  <si>
    <t>34.04.164</t>
  </si>
  <si>
    <t>Árvore ornamental tipo Falso barbatimão - h= 2,00 m</t>
  </si>
  <si>
    <t>34.04.166</t>
  </si>
  <si>
    <t>Árvore ornamental tipo Aroeira salsa - h= 2,00 m</t>
  </si>
  <si>
    <t>34.04.280</t>
  </si>
  <si>
    <t>Árvore ornamental tipo Manacá-da-serra - h= 2,00 m</t>
  </si>
  <si>
    <t>34.04.360</t>
  </si>
  <si>
    <t>Árvore ornamental tipo coqueiro Jerivá - h= 4,00 m</t>
  </si>
  <si>
    <t>34.04.370</t>
  </si>
  <si>
    <t>34.05</t>
  </si>
  <si>
    <t>Cercas e fechamentos</t>
  </si>
  <si>
    <t>34.05.020</t>
  </si>
  <si>
    <t>Cerca em arame farpado com mourões de concreto</t>
  </si>
  <si>
    <t>34.05.030</t>
  </si>
  <si>
    <t>Cerca em arame farpado com mourões de concreto, com ponta inclinada</t>
  </si>
  <si>
    <t>34.05.032</t>
  </si>
  <si>
    <t>Cerca em arame farpado com mourões de concreto, com ponta inclinada - 12 fiadas</t>
  </si>
  <si>
    <t>34.05.050</t>
  </si>
  <si>
    <t>Cerca em tela de aço galvanizado de 2´, montantes em mourões de concreto com ponta inclinada e arame farpado</t>
  </si>
  <si>
    <t>34.05.080</t>
  </si>
  <si>
    <t>Alambrado em tela de aço galvanizado de 2´, montantes metálicos e arame farpado, até 4,00 m de altura</t>
  </si>
  <si>
    <t>34.05.110</t>
  </si>
  <si>
    <t>Alambrado em tela de aço galvanizado de 2´, montantes metálicos e arame farpado, acima de 4,00 m de altura</t>
  </si>
  <si>
    <t>34.05.120</t>
  </si>
  <si>
    <t>Alambrado em tela de aço galvanizado de 1´, montantes metálicos e arame farpado</t>
  </si>
  <si>
    <t>34.05.170</t>
  </si>
  <si>
    <t>Barreira de proteção perimetral em aço inoxidável AISI 430, dupla</t>
  </si>
  <si>
    <t>34.05.210</t>
  </si>
  <si>
    <t>Alambrado em tela de aço galvanizado de 2´, montantes metálicos com extremo superior duplo e arame farpado, acima de 4,00 m de altura</t>
  </si>
  <si>
    <t>34.05.260</t>
  </si>
  <si>
    <t>Gradil em aço galvanizado eletrofundido, malha 65 x 132 mm e pintura eletrostática</t>
  </si>
  <si>
    <t>34.05.270</t>
  </si>
  <si>
    <t>Alambrado em tela de aço galvanizado de 2´, montantes metálicos retos</t>
  </si>
  <si>
    <t>34.05.290</t>
  </si>
  <si>
    <t>Portão de abrir em grade de aço galvanizado eletrofundida, malha 65 x 132 mm, e pintura eletrostática</t>
  </si>
  <si>
    <t>34.05.300</t>
  </si>
  <si>
    <t>Portão de correr em grade de aço galvanizado eletrofundida, malha 65 x 132 mm, e pintura eletrostática</t>
  </si>
  <si>
    <t>34.05.310</t>
  </si>
  <si>
    <t>Gradil de ferro perfilado, tipo parque</t>
  </si>
  <si>
    <t>34.05.320</t>
  </si>
  <si>
    <t>Portão de ferro perfilado, tipo parque</t>
  </si>
  <si>
    <t>34.05.350</t>
  </si>
  <si>
    <t>Portão de abrir em gradil eletrofundido, malha 5 x 15 cm</t>
  </si>
  <si>
    <t>34.05.360</t>
  </si>
  <si>
    <t>Gradil tela eletrosoldado, malha de 5 x 15cm, galvanizado</t>
  </si>
  <si>
    <t>34.05.370</t>
  </si>
  <si>
    <t>Fechamento de divisa - mourão com placas pré moldadas</t>
  </si>
  <si>
    <t>34.13</t>
  </si>
  <si>
    <t>Corte, recorte e remocao</t>
  </si>
  <si>
    <t>34.13.011</t>
  </si>
  <si>
    <t>Corte, recorte e remoção de árvore  inclusive as raízes - diâmetro (DAP)&gt;5cm&lt;15cm</t>
  </si>
  <si>
    <t>34.13.021</t>
  </si>
  <si>
    <t>Corte, recorte e remoção de árvore inclusive as raízes - diâmetro (DAP)&gt;15cm&lt;30cm</t>
  </si>
  <si>
    <t>34.13.031</t>
  </si>
  <si>
    <t>Corte, recorte e remoção de árvore inclusive as raízes - diâmetro (DAP)&gt;30cm&lt;45cm</t>
  </si>
  <si>
    <t>34.13.041</t>
  </si>
  <si>
    <t>Corte, recorte e remoção de árvore inclusive as raízes - diâmetro (DAP)&gt;45cm&lt;60cm</t>
  </si>
  <si>
    <t>34.13.051</t>
  </si>
  <si>
    <t>Corte, recorte e remoção de árvore inclusive as raízes - diâmetro (DAP)&gt;60cm&lt;100cm</t>
  </si>
  <si>
    <t>34.13.060</t>
  </si>
  <si>
    <t>Corte, recorte e remoção de árvore inclusive as raízes - diâmetro (DAP) acima de 100 cm</t>
  </si>
  <si>
    <t>34.20</t>
  </si>
  <si>
    <t>Reparos, conservacoes e complementos - GRUPO 34</t>
  </si>
  <si>
    <t>34.20.050</t>
  </si>
  <si>
    <t>Tela de arame galvanizado fio nº 22 BWG, malha de 2´, tipo galinheiro</t>
  </si>
  <si>
    <t>34.20.080</t>
  </si>
  <si>
    <t>Tela de aço galvanizado fio nº 10 BWG, malha de 2´, tipo alambrado de segurança</t>
  </si>
  <si>
    <t>34.20.110</t>
  </si>
  <si>
    <t>Recolocação de barreira de proteção perimetral, simples ou dupla</t>
  </si>
  <si>
    <t>34.20.160</t>
  </si>
  <si>
    <t>Recolocação de alambrado, com altura até 4,50 m</t>
  </si>
  <si>
    <t>34.20.170</t>
  </si>
  <si>
    <t>Recolocação de alambrado, com altura acima de 4,50 m</t>
  </si>
  <si>
    <t>34.20.390</t>
  </si>
  <si>
    <t>Grelha arvoreira em ferro fundido</t>
  </si>
  <si>
    <t>35</t>
  </si>
  <si>
    <t>PLAYGROUND E EQUIPAMENTO RECREATIVO</t>
  </si>
  <si>
    <t>35.01</t>
  </si>
  <si>
    <t>Quadra e equipamento de esportes</t>
  </si>
  <si>
    <t>35.01.070</t>
  </si>
  <si>
    <t>Tela de arame galvanizado fio nº 12 BWG, malha de 2´</t>
  </si>
  <si>
    <t>35.01.150</t>
  </si>
  <si>
    <t>Trave oficial completa com rede para futebol de salão</t>
  </si>
  <si>
    <t>35.01.170</t>
  </si>
  <si>
    <t>Poste oficial completo com rede para voleibol</t>
  </si>
  <si>
    <t>35.01.550</t>
  </si>
  <si>
    <t>Piso em fibra de polipropileno corrugado para quadra de esportes, inclusive pintura</t>
  </si>
  <si>
    <t>35.03</t>
  </si>
  <si>
    <t>Abrigo, guarita e quiosque</t>
  </si>
  <si>
    <t>35.03.030</t>
  </si>
  <si>
    <t>Cancela automática metálica com barreira de alumínio de 3,50 até 4,00 m</t>
  </si>
  <si>
    <t>35.04</t>
  </si>
  <si>
    <t>Bancos</t>
  </si>
  <si>
    <t>35.04.020</t>
  </si>
  <si>
    <t>Banco contínuo em concreto vazado</t>
  </si>
  <si>
    <t>35.04.120</t>
  </si>
  <si>
    <t>Banco em concreto pré-moldado, comprimento 150 cm</t>
  </si>
  <si>
    <t>35.04.130</t>
  </si>
  <si>
    <t>Banco de madeira sobre alvenaria</t>
  </si>
  <si>
    <t>35.04.140</t>
  </si>
  <si>
    <t>Banco em concreto pré-moldado com pés vazados, comprimento 200 cm</t>
  </si>
  <si>
    <t>35.04.150</t>
  </si>
  <si>
    <t>Banco em concreto pré-moldado com 3 pés, comprimento 300 cm</t>
  </si>
  <si>
    <t>35.05</t>
  </si>
  <si>
    <t>Equipamento recreativo</t>
  </si>
  <si>
    <t>35.05.200</t>
  </si>
  <si>
    <t>Centro de atividades em madeira rústica</t>
  </si>
  <si>
    <t>35.05.210</t>
  </si>
  <si>
    <t>Balanço duplo em madeira rústica</t>
  </si>
  <si>
    <t>35.05.220</t>
  </si>
  <si>
    <t>Gangorra dupla em madeira rústica</t>
  </si>
  <si>
    <t>35.05.240</t>
  </si>
  <si>
    <t>Gira-gira em ferro com assento de madeira (8 lugares)</t>
  </si>
  <si>
    <t>35.07</t>
  </si>
  <si>
    <t>Mastro para bandeiras</t>
  </si>
  <si>
    <t>35.07.020</t>
  </si>
  <si>
    <t>Plataforma com 3 mastros galvanizados, h= 7,00 m</t>
  </si>
  <si>
    <t>35.07.030</t>
  </si>
  <si>
    <t>Plataforma com 3 mastros galvanizados, h= 9,00 m</t>
  </si>
  <si>
    <t>35.07.060</t>
  </si>
  <si>
    <t>Mastro para bandeira galvanizado, h= 9,00 m</t>
  </si>
  <si>
    <t>35.07.070</t>
  </si>
  <si>
    <t>Mastro para bandeira galvanizado, h= 7,00 m</t>
  </si>
  <si>
    <t>35.20</t>
  </si>
  <si>
    <t>Reparos, conservacoes e complementos - GRUPO 35</t>
  </si>
  <si>
    <t>35.20.010</t>
  </si>
  <si>
    <t>Tela em polietileno, malha 10 x 10 cm, fio 2 mm</t>
  </si>
  <si>
    <t>35.20.050</t>
  </si>
  <si>
    <t>Conjunto de 4 lixeiras para coleta seletiva, com tampa basculante, capacidade 50 litros</t>
  </si>
  <si>
    <t>36</t>
  </si>
  <si>
    <t>ENTRADA DE ENERGIA ELETRICA E TELEFONIA</t>
  </si>
  <si>
    <t>36.01</t>
  </si>
  <si>
    <t>Entrada de energia - componentes</t>
  </si>
  <si>
    <t>36.01.242</t>
  </si>
  <si>
    <t>Cubículo de média tensão, para uso ao tempo, classe 24 kV</t>
  </si>
  <si>
    <t>36.01.252</t>
  </si>
  <si>
    <t>Cubículo de média tensão, para uso ao tempo, classe 17,5 kV</t>
  </si>
  <si>
    <t>36.03</t>
  </si>
  <si>
    <t>Caixas de entrada / medicao</t>
  </si>
  <si>
    <t>36.03.010</t>
  </si>
  <si>
    <t>Caixa de medição tipo II (300 x 560 x 200) mm, padrão concessionárias</t>
  </si>
  <si>
    <t>36.03.020</t>
  </si>
  <si>
    <t>Caixa de medição polifásica (500 x 600 x 200) mm, padrão concessionárias</t>
  </si>
  <si>
    <t>36.03.030</t>
  </si>
  <si>
    <t>Caixa de medição externa tipo ´L´ (900 x 600 x 270) mm, padrão Concessionárias</t>
  </si>
  <si>
    <t>36.03.050</t>
  </si>
  <si>
    <t>Caixa de medição externa tipo ´N´ (1300 x 1200 x 270) mm, padrão Concessionárias</t>
  </si>
  <si>
    <t>36.03.060</t>
  </si>
  <si>
    <t>Caixa de medição externa tipo ´M´ (900 x 1200 x 270) mm, padrão Concessionárias</t>
  </si>
  <si>
    <t>36.03.080</t>
  </si>
  <si>
    <t>Caixa para seccionadora tipo ´T´ (900 x 600 x 250) mm, padrão Concessionárias</t>
  </si>
  <si>
    <t>36.03.090</t>
  </si>
  <si>
    <t>Caixa de medição interna tipo ´A1´ (1000 x 1000 x 300) mm, padrão Concessionárias</t>
  </si>
  <si>
    <t>36.03.120</t>
  </si>
  <si>
    <t>Caixa de proteção para transformador de corrente, (1000 x 750 x 300) mm, padrão Concessionárias</t>
  </si>
  <si>
    <t>36.03.130</t>
  </si>
  <si>
    <t>Caixa de proteção dos bornes do medidor, (300 x 250 x 90) mm, padrão Concessionárias</t>
  </si>
  <si>
    <t>36.03.150</t>
  </si>
  <si>
    <t>Caixa de entrada tipo ´E´ (560 x 350 x 210) mm - padrão Concessionárias</t>
  </si>
  <si>
    <t>36.03.160</t>
  </si>
  <si>
    <t>Caixa base lateral tipo ´N´ (1300 x 400 x 250) mm</t>
  </si>
  <si>
    <t>36.04</t>
  </si>
  <si>
    <t>Suporte (Braquet)</t>
  </si>
  <si>
    <t>36.04.010</t>
  </si>
  <si>
    <t>36.04.030</t>
  </si>
  <si>
    <t>36.04.050</t>
  </si>
  <si>
    <t>36.04.070</t>
  </si>
  <si>
    <t>36.05</t>
  </si>
  <si>
    <t>Isoladores</t>
  </si>
  <si>
    <t>36.05.010</t>
  </si>
  <si>
    <t>Isolador tipo roldana para baixa tensão de 76 x 79 mm</t>
  </si>
  <si>
    <t>36.05.040</t>
  </si>
  <si>
    <t>Isolador tipo disco para 15 kV de 6´ - 150 mm</t>
  </si>
  <si>
    <t>36.05.080</t>
  </si>
  <si>
    <t>Isolador tipo pino para 15 kV, inclusive pino (poste)</t>
  </si>
  <si>
    <t>36.05.100</t>
  </si>
  <si>
    <t>Isolador pedestal para 15 kV</t>
  </si>
  <si>
    <t>36.05.110</t>
  </si>
  <si>
    <t>Isolador pedestal para 25 kV</t>
  </si>
  <si>
    <t>36.06</t>
  </si>
  <si>
    <t>Muflas e terminais</t>
  </si>
  <si>
    <t>36.06.060</t>
  </si>
  <si>
    <t>Terminal modular (mufla) unipolar externo para cabo até 70 mm²/15 kV</t>
  </si>
  <si>
    <t>36.06.080</t>
  </si>
  <si>
    <t>Terminal modular (mufla) unipolar interno para cabo até 70 mm²/15 kV</t>
  </si>
  <si>
    <t>36.07</t>
  </si>
  <si>
    <t>Para-raios de media tensao</t>
  </si>
  <si>
    <t>36.07.010</t>
  </si>
  <si>
    <t>Para-raios de distribuição, classe 12 kV/5 kA, completo, encapsulado com polímero</t>
  </si>
  <si>
    <t>36.07.030</t>
  </si>
  <si>
    <t>Para-raios de distribuição, classe 12 kV/10 kA, completo, encapsulado com polímero</t>
  </si>
  <si>
    <t>36.07.050</t>
  </si>
  <si>
    <t>Para-raios de distribuição, classe 15 kV/5 kA, completo, encapsulado com polímero</t>
  </si>
  <si>
    <t>36.07.060</t>
  </si>
  <si>
    <t>Para-raios de distribuição, classe 15 kV/10 kA, completo, encapsulado com polímero</t>
  </si>
  <si>
    <t>36.08</t>
  </si>
  <si>
    <t>Gerador e grupo gerador</t>
  </si>
  <si>
    <t>36.08.030</t>
  </si>
  <si>
    <t>Grupo gerador com potência de 250/228 kVA, variação de + ou - 5% - completo</t>
  </si>
  <si>
    <t>36.08.040</t>
  </si>
  <si>
    <t>Grupo gerador com potência de 350/320 kVA, variação de + ou - 10% - completo</t>
  </si>
  <si>
    <t>36.08.050</t>
  </si>
  <si>
    <t>Grupo gerador com potência de 88/80 kVA, variação de + ou - 10% - completo</t>
  </si>
  <si>
    <t>36.08.060</t>
  </si>
  <si>
    <t>Grupo gerador com potência de 165/150 kVA, variação de + ou - 5% - completo</t>
  </si>
  <si>
    <t>36.08.100</t>
  </si>
  <si>
    <t>Grupo gerador com potência de 55/50 kVA, variação de + ou - 10% - completo</t>
  </si>
  <si>
    <t>36.08.110</t>
  </si>
  <si>
    <t>Grupo gerador com potência de 180/168 kVA, variação de + ou - 5% - completo</t>
  </si>
  <si>
    <t>36.08.290</t>
  </si>
  <si>
    <t>Grupo gerador com potência de 563/513 kVA, variação de + ou - 10% - completo</t>
  </si>
  <si>
    <t>36.08.350</t>
  </si>
  <si>
    <t>Grupo gerador carenado com potência de 150/136 kVA, variação de + ou - 5% - completo</t>
  </si>
  <si>
    <t>36.08.360</t>
  </si>
  <si>
    <t>Grupo gerador carenado com potência de 460/434 kVA, variação de + ou - 10% - completo</t>
  </si>
  <si>
    <t>36.08.540</t>
  </si>
  <si>
    <t>Grupo gerador com potência de 460/434 kVA, variação de + ou - 10% - completo</t>
  </si>
  <si>
    <t>36.09</t>
  </si>
  <si>
    <t>Transformador de entrada</t>
  </si>
  <si>
    <t>36.09.020</t>
  </si>
  <si>
    <t>Transformador de potência trifásico de 225 kVA, classe 15 kV, a óleo</t>
  </si>
  <si>
    <t>36.09.050</t>
  </si>
  <si>
    <t>Transformador de potência trifásico de 150 kVA, classe 15 kV, a óleo</t>
  </si>
  <si>
    <t>36.09.060</t>
  </si>
  <si>
    <t>36.09.070</t>
  </si>
  <si>
    <t>Transformador de potência trifásico de 1000 kVA, classe 15 kV, a seco com cabine</t>
  </si>
  <si>
    <t>36.09.100</t>
  </si>
  <si>
    <t>Transformador de potência trifásico de 5 kVA, classe 0,6 kV, a seco com cabine</t>
  </si>
  <si>
    <t>36.09.110</t>
  </si>
  <si>
    <t>Transformador de potência trifásico de 7,5 kVA, classe 0,6 kV, a seco com cabine</t>
  </si>
  <si>
    <t>36.09.150</t>
  </si>
  <si>
    <t>Transformador de potência trifásico de 75 kVA, classe 15 kV, a óleo</t>
  </si>
  <si>
    <t>36.09.170</t>
  </si>
  <si>
    <t>Transformador de potência trifásico de 300 kVA, classe 15 kV, a óleo</t>
  </si>
  <si>
    <t>36.09.180</t>
  </si>
  <si>
    <t>Transformador de potência trifásico de 112,5 kVA, classe 15 kV, a óleo</t>
  </si>
  <si>
    <t>36.09.220</t>
  </si>
  <si>
    <t>Transformador de potência trifásico de 500 kVA, classe 15 kV, a seco com cabine</t>
  </si>
  <si>
    <t>36.09.230</t>
  </si>
  <si>
    <t>Transformador de potência trifásico de 30 kVA, classe 1,2 KV, a seco com cabine</t>
  </si>
  <si>
    <t>36.09.250</t>
  </si>
  <si>
    <t>36.09.300</t>
  </si>
  <si>
    <t>Transformador de potência trifásico de 750 kVA, classe 15 kV, a óleo</t>
  </si>
  <si>
    <t>36.09.360</t>
  </si>
  <si>
    <t>Transformador de potência trifásico de 750 kVA, classe 15 kV, a seco</t>
  </si>
  <si>
    <t>36.09.370</t>
  </si>
  <si>
    <t>36.09.410</t>
  </si>
  <si>
    <t>36.09.440</t>
  </si>
  <si>
    <t>Transformador de potência trifásico de 500 kVA, classe 15 kV, a óleo - tipo pedestal</t>
  </si>
  <si>
    <t>36.09.480</t>
  </si>
  <si>
    <t>Transformador trifásico a seco de 112,5 kVA, encapsulado em resina epóxi sob vácuo</t>
  </si>
  <si>
    <t>36.09.490</t>
  </si>
  <si>
    <t>Transformador trifásico a seco de 150 kVA, encapsulado em resina epóxi sob vácuo</t>
  </si>
  <si>
    <t>36.20</t>
  </si>
  <si>
    <t>Reparos, conservacoes e complementos - GRUPO 36</t>
  </si>
  <si>
    <t>36.20.010</t>
  </si>
  <si>
    <t>Vergalhão de cobre eletrolítico, diâmetro de 3/8´</t>
  </si>
  <si>
    <t>36.20.030</t>
  </si>
  <si>
    <t>36.20.050</t>
  </si>
  <si>
    <t>Terminal para vergalhão, diâmetro de 3/8´</t>
  </si>
  <si>
    <t>36.20.060</t>
  </si>
  <si>
    <t>Braçadeira para fixação de eletroduto, até 4´</t>
  </si>
  <si>
    <t>36.20.070</t>
  </si>
  <si>
    <t>Prensa vergalhão ´T´, diâmetro de 3/8´</t>
  </si>
  <si>
    <t>36.20.090</t>
  </si>
  <si>
    <t>Vara para manobra em cabine em fibra de vidro, para tensão até 36 kV</t>
  </si>
  <si>
    <t>36.20.100</t>
  </si>
  <si>
    <t>36.20.120</t>
  </si>
  <si>
    <t>Chapa de ferro de 1,50 x 0,50 m para bucha de passagem</t>
  </si>
  <si>
    <t>36.20.140</t>
  </si>
  <si>
    <t>Cruzeta de madeira de 2400 mm</t>
  </si>
  <si>
    <t>36.20.180</t>
  </si>
  <si>
    <t>Luva isolante de borracha, acima de 10 até 20 kV</t>
  </si>
  <si>
    <t>36.20.200</t>
  </si>
  <si>
    <t>Mão francesa de 700 mm</t>
  </si>
  <si>
    <t>36.20.210</t>
  </si>
  <si>
    <t>Luva isolante de borracha, até 10 kV</t>
  </si>
  <si>
    <t>36.20.220</t>
  </si>
  <si>
    <t>Mudança de tap do transformador</t>
  </si>
  <si>
    <t>36.20.240</t>
  </si>
  <si>
    <t>Óleo para disjuntor</t>
  </si>
  <si>
    <t>36.20.260</t>
  </si>
  <si>
    <t>Óleo para transformador</t>
  </si>
  <si>
    <t>36.20.282</t>
  </si>
  <si>
    <t>Placa de advertência em chapa de aço, com pintura refletiva "Perigo Alta Tensão"</t>
  </si>
  <si>
    <t>36.20.284</t>
  </si>
  <si>
    <t>Placa de advertência em chapa de alumínio, com pintura refletiva "Perigo Alta Tensão"</t>
  </si>
  <si>
    <t>36.20.330</t>
  </si>
  <si>
    <t>36.20.340</t>
  </si>
  <si>
    <t>36.20.350</t>
  </si>
  <si>
    <t>Caixa porta luvas em madeira, com tampa</t>
  </si>
  <si>
    <t>36.20.360</t>
  </si>
  <si>
    <t>Suporte de transformador em poste ou estaleiro</t>
  </si>
  <si>
    <t>36.20.380</t>
  </si>
  <si>
    <t>Tapete de borracha isolante elétrico de 1000 x 1000 mm</t>
  </si>
  <si>
    <t>36.20.540</t>
  </si>
  <si>
    <t>Cruzeta metálica de 2400 mm, para fixação de mufla ou para-raios</t>
  </si>
  <si>
    <t>36.20.560</t>
  </si>
  <si>
    <t>Dispositivo Soft Starter para motor 15 cv, trifásico 220 V</t>
  </si>
  <si>
    <t>36.20.570</t>
  </si>
  <si>
    <t>Dispositivo Soft Starter para motor 25 cv, trifásico 220 V</t>
  </si>
  <si>
    <t>36.20.580</t>
  </si>
  <si>
    <t>Dispositivo Soft Starter para motor 50 cv, trifásico 220 V</t>
  </si>
  <si>
    <t>37</t>
  </si>
  <si>
    <t>QUADRO E PAINEL PARA ENERGIA ELETRICA E TELEFONIA</t>
  </si>
  <si>
    <t>37.01</t>
  </si>
  <si>
    <t>Quadro para telefonia embutir, protecao IP40 chapa nº 16msg</t>
  </si>
  <si>
    <t>37.01.020</t>
  </si>
  <si>
    <t>Quadro Telebrás de embutir de 200 x 200 x 120 mm</t>
  </si>
  <si>
    <t>37.01.080</t>
  </si>
  <si>
    <t>Quadro Telebrás de embutir de 400 x 400 x 120 mm</t>
  </si>
  <si>
    <t>37.01.120</t>
  </si>
  <si>
    <t>Quadro Telebrás de embutir de 600 x 600 x 120 mm</t>
  </si>
  <si>
    <t>37.01.160</t>
  </si>
  <si>
    <t>Quadro Telebrás de embutir de 800 x 800 x 120 mm</t>
  </si>
  <si>
    <t>37.01.220</t>
  </si>
  <si>
    <t>Quadro Telebrás de embutir de 1200 x 1200 x 120 mm</t>
  </si>
  <si>
    <t>37.02</t>
  </si>
  <si>
    <t>Quadro para telefonia de sobrepor, protecao IP40 chapa nº 16msg</t>
  </si>
  <si>
    <t>37.02.020</t>
  </si>
  <si>
    <t>Quadro Telebrás de sobrepor de 200 x 200 x 120 mm</t>
  </si>
  <si>
    <t>37.02.060</t>
  </si>
  <si>
    <t>Quadro Telebrás de sobrepor de 400 x 400 x 120 mm</t>
  </si>
  <si>
    <t>37.02.100</t>
  </si>
  <si>
    <t>Quadro Telebrás de sobrepor de 600 x 600 x 120 mm</t>
  </si>
  <si>
    <t>37.02.140</t>
  </si>
  <si>
    <t>Quadro Telebrás de sobrepor de 800 x 800 x 120 mm</t>
  </si>
  <si>
    <t>37.03</t>
  </si>
  <si>
    <t>Quadro distribuicao de luz e forca de embutir universal</t>
  </si>
  <si>
    <t>37.03.200</t>
  </si>
  <si>
    <t>Quadro de distribuição universal de embutir, para disjuntores 16 DIN / 12 Bolt-on - 150 A - sem componentes</t>
  </si>
  <si>
    <t>37.03.210</t>
  </si>
  <si>
    <t>Quadro de distribuição universal de embutir, para disjuntores 24 DIN / 18 Bolt-on - 150 A - sem componentes</t>
  </si>
  <si>
    <t>37.03.220</t>
  </si>
  <si>
    <t>Quadro de distribuição universal de embutir, para disjuntores 34 DIN / 24 Bolt-on - 150 A - sem componentes</t>
  </si>
  <si>
    <t>37.03.230</t>
  </si>
  <si>
    <t>Quadro de distribuição universal de embutir, para disjuntores 44 DIN / 32 Bolt-on - 150 A - sem componentes</t>
  </si>
  <si>
    <t>37.03.240</t>
  </si>
  <si>
    <t>Quadro de distribuição universal de embutir, para disjuntores 56 DIN / 40 Bolt-on - 225 A - sem componentes</t>
  </si>
  <si>
    <t>37.03.250</t>
  </si>
  <si>
    <t>Quadro de distribuição universal de embutir, para disjuntores 70 DIN / 50 Bolt-on - 225 A - sem componentes</t>
  </si>
  <si>
    <t>37.04</t>
  </si>
  <si>
    <t>Quadro distribuicao de luz e forca de sobrepor universal</t>
  </si>
  <si>
    <t>37.04.250</t>
  </si>
  <si>
    <t>Quadro de distribuição universal de sobrepor, para disjuntores 16 DIN / 12 Bolt-on - 150 A - sem componentes</t>
  </si>
  <si>
    <t>37.04.260</t>
  </si>
  <si>
    <t>Quadro de distribuição universal de sobrepor, para disjuntores 24 DIN / 18 Bolt-on - 150 A - sem componentes</t>
  </si>
  <si>
    <t>37.04.270</t>
  </si>
  <si>
    <t>Quadro de distribuição universal de sobrepor, para disjuntores 34 DIN / 24 Bolt-on - 150 A - sem componentes</t>
  </si>
  <si>
    <t>37.04.280</t>
  </si>
  <si>
    <t>Quadro de distribuição universal de sobrepor, para disjuntores 44 DIN / 32 Bolt-on - 150 A - sem componentes</t>
  </si>
  <si>
    <t>37.04.290</t>
  </si>
  <si>
    <t>Quadro de distribuição universal de sobrepor, para disjuntores 56 DIN / 40 Bolt-on - 225 A - sem componentes</t>
  </si>
  <si>
    <t>37.04.300</t>
  </si>
  <si>
    <t>Quadro de distribuição universal de sobrepor, para disjuntores 70 DIN / 50 Bolt-on - 225 A - sem componentes</t>
  </si>
  <si>
    <t>37.06</t>
  </si>
  <si>
    <t>Painel autoportante</t>
  </si>
  <si>
    <t>37.06.014</t>
  </si>
  <si>
    <t>Painel autoportante em chapa de aço, com proteção mínima IP 54 - sem componentes</t>
  </si>
  <si>
    <t>37.10</t>
  </si>
  <si>
    <t>Barramentos</t>
  </si>
  <si>
    <t>37.10.010</t>
  </si>
  <si>
    <t>Barramento de cobre nu</t>
  </si>
  <si>
    <t>37.11</t>
  </si>
  <si>
    <t>Bases</t>
  </si>
  <si>
    <t>37.11.020</t>
  </si>
  <si>
    <t>Base de fusível Diazed completa para 25 A</t>
  </si>
  <si>
    <t>37.11.040</t>
  </si>
  <si>
    <t>Base de fusível Diazed completa para 63 A</t>
  </si>
  <si>
    <t>37.11.060</t>
  </si>
  <si>
    <t>Base de fusível NH até 125 A, com fusível</t>
  </si>
  <si>
    <t>37.11.080</t>
  </si>
  <si>
    <t>Base de fusível NH até 250 A, com fusível</t>
  </si>
  <si>
    <t>37.11.100</t>
  </si>
  <si>
    <t>Base de fusível NH até 400 A, com fusível</t>
  </si>
  <si>
    <t>37.11.120</t>
  </si>
  <si>
    <t>Base de fusível tripolar de 15 kV</t>
  </si>
  <si>
    <t>37.11.140</t>
  </si>
  <si>
    <t>Base de fusível unipolar de 15 kV</t>
  </si>
  <si>
    <t>37.12</t>
  </si>
  <si>
    <t>Fusiveis</t>
  </si>
  <si>
    <t>37.12.020</t>
  </si>
  <si>
    <t>Fusível tipo NH 00 de 6 A até 160 A</t>
  </si>
  <si>
    <t>37.12.040</t>
  </si>
  <si>
    <t>Fusível tipo NH 1 de 36 A até 250 A</t>
  </si>
  <si>
    <t>37.12.060</t>
  </si>
  <si>
    <t>Fusível tipo NH 2 de 224 A até 400 A</t>
  </si>
  <si>
    <t>37.12.080</t>
  </si>
  <si>
    <t>Fusível tipo NH 3 de 400 A até 630 A</t>
  </si>
  <si>
    <t>37.12.120</t>
  </si>
  <si>
    <t>Fusível tipo HH para 15 kV de 2,5 A até 50 A</t>
  </si>
  <si>
    <t>37.12.140</t>
  </si>
  <si>
    <t>Fusível tipo HH para 15 kV de 60 A até 100 A</t>
  </si>
  <si>
    <t>37.12.200</t>
  </si>
  <si>
    <t>Fusível Diazed retardado de 2 A até 25 A</t>
  </si>
  <si>
    <t>37.12.220</t>
  </si>
  <si>
    <t>Fusível Diazed retardado de 35 A até 63 A</t>
  </si>
  <si>
    <t>37.12.300</t>
  </si>
  <si>
    <t>Fusível em vidro para ´TP´ de 0,5 A</t>
  </si>
  <si>
    <t>37.13</t>
  </si>
  <si>
    <t>Disjuntores</t>
  </si>
  <si>
    <t>37.13.520</t>
  </si>
  <si>
    <t>Disjuntor a seco aberto trifásico, 600 V de 800 A, 50/60 Hz, com acessórios</t>
  </si>
  <si>
    <t>37.13.550</t>
  </si>
  <si>
    <t>Disjuntor em caixa aberta tripolar extraível, 500V de 3200A, com acessórios</t>
  </si>
  <si>
    <t>37.13.570</t>
  </si>
  <si>
    <t>Disjuntor em caixa aberta tripolar extraível, 500V de 4000A, com acessórios</t>
  </si>
  <si>
    <t>37.13.600</t>
  </si>
  <si>
    <t>Disjuntor termomagnético, unipolar 127/220 V, corrente de 10 A até 30 A</t>
  </si>
  <si>
    <t>37.13.610</t>
  </si>
  <si>
    <t>Disjuntor termomagnético, unipolar 127/220 V, corrente de 35 A até 50 A</t>
  </si>
  <si>
    <t>37.13.630</t>
  </si>
  <si>
    <t>Disjuntor termomagnético, bipolar 220/380 V, corrente de 10 A até 50 A</t>
  </si>
  <si>
    <t>37.13.640</t>
  </si>
  <si>
    <t>Disjuntor termomagnético, bipolar 220/380 V, corrente de 60 A até 100 A</t>
  </si>
  <si>
    <t>37.13.650</t>
  </si>
  <si>
    <t>Disjuntor termomagnético, tripolar 220/380 V, corrente de 10 A até 50 A</t>
  </si>
  <si>
    <t>37.13.660</t>
  </si>
  <si>
    <t>Disjuntor termomagnético, tripolar 220/380 V, corrente de 60 A até 100 A</t>
  </si>
  <si>
    <t>37.13.690</t>
  </si>
  <si>
    <t>Disjuntor série universal, em caixa moldada, térmico e magnético fixos, bipolar 480 V, corrente de 60 A até 100 A</t>
  </si>
  <si>
    <t>37.13.700</t>
  </si>
  <si>
    <t>Disjuntor série universal, em caixa moldada, térmico e magnético fixos, bipolar 480/600 V, corrente de 125 A</t>
  </si>
  <si>
    <t>37.13.720</t>
  </si>
  <si>
    <t>Disjuntor série universal, em caixa moldada, térmico fixo e magnético ajustável, tripolar 600 V, corrente de 300 A até 400 A</t>
  </si>
  <si>
    <t>37.13.730</t>
  </si>
  <si>
    <t>Disjuntor série universal, em caixa moldada, térmico fixo e magnético ajustável, tripolar 600 V, corrente de 500 A até 630 A</t>
  </si>
  <si>
    <t>37.13.740</t>
  </si>
  <si>
    <t>Disjuntor série universal, em caixa moldada, térmico fixo e magnético ajustável, tripolar 600 V, corrente de 700 A até 800 A</t>
  </si>
  <si>
    <t>37.13.760</t>
  </si>
  <si>
    <t>Disjuntor em caixa moldada, térmico e magnético ajustáveis, tripolar 630/690 V, faixa de ajuste de 440 até 630 A</t>
  </si>
  <si>
    <t>37.13.770</t>
  </si>
  <si>
    <t>Disjuntor em caixa moldada, térmico e magnético ajustáveis, tripolar 1250/690 V, faixa de ajuste de 800 até 1250 A</t>
  </si>
  <si>
    <t>37.13.780</t>
  </si>
  <si>
    <t>Disjuntor em caixa moldada, térmico e magnético ajustáveis, tripolar 1600/690 V, faixa de ajuste de 1000 até 1600 A</t>
  </si>
  <si>
    <t>37.13.800</t>
  </si>
  <si>
    <t>Mini-disjuntor termomagnético, unipolar 127/220 V, corrente de 10 A até 32 A</t>
  </si>
  <si>
    <t>37.13.810</t>
  </si>
  <si>
    <t>Mini-disjuntor termomagnético, unipolar 127/220 V, corrente de 40 A até 50 A</t>
  </si>
  <si>
    <t>37.13.840</t>
  </si>
  <si>
    <t>Mini-disjuntor termomagnético, bipolar 220/380 V, corrente de 10 A até 32 A</t>
  </si>
  <si>
    <t>37.13.850</t>
  </si>
  <si>
    <t>Mini-disjuntor termomagnético, bipolar 220/380 V, corrente de 40 A até 50 A</t>
  </si>
  <si>
    <t>37.13.860</t>
  </si>
  <si>
    <t>Mini-disjuntor termomagnético, bipolar 220/380 V, corrente de 63 A</t>
  </si>
  <si>
    <t>37.13.870</t>
  </si>
  <si>
    <t>Mini-disjuntor termomagnético, bipolar 400 V, corrente de 80 A até 100 A</t>
  </si>
  <si>
    <t>37.13.880</t>
  </si>
  <si>
    <t>Mini-disjuntor termomagnético, tripolar 220/380 V, corrente de 10 A até 32 A</t>
  </si>
  <si>
    <t>37.13.890</t>
  </si>
  <si>
    <t>Mini-disjuntor termomagnético, tripolar 220/380 V, corrente de 40 A até 50 A</t>
  </si>
  <si>
    <t>37.13.900</t>
  </si>
  <si>
    <t>Mini-disjuntor termomagnético, tripolar 220/380 V, corrente de 63 A</t>
  </si>
  <si>
    <t>37.13.910</t>
  </si>
  <si>
    <t>Mini-disjuntor termomagnético, tripolar 400 V, corrente de 80 A até 125 A</t>
  </si>
  <si>
    <t>37.13.920</t>
  </si>
  <si>
    <t>Disjuntor em caixa moldada, térmico ajustável e magnético fixo, tripolar 2000/1200 V, faixa de ajuste de 1600 até 2000 A</t>
  </si>
  <si>
    <t>37.13.930</t>
  </si>
  <si>
    <t>Disjuntor em caixa moldada, térmico ajustável e magnético fixo, tripolar 2500/1200 V, faixa de ajuste de 2000 até 2500 A</t>
  </si>
  <si>
    <t>37.13.940</t>
  </si>
  <si>
    <t>Disjuntor em caixa aberta tripolar extraível, 500 V de 6300 A, com acessórios</t>
  </si>
  <si>
    <t>37.14</t>
  </si>
  <si>
    <t>Chave de baixa tensao</t>
  </si>
  <si>
    <t>37.14.050</t>
  </si>
  <si>
    <t>Chave comutadora, reversão sob carga, tetrapolar, sem porta fusível, para 100 A</t>
  </si>
  <si>
    <t>37.14.300</t>
  </si>
  <si>
    <t>Chave seccionadora sob carga, tripolar, acionamento rotativo, com prolongador, sem porta-fusível, de 160 A</t>
  </si>
  <si>
    <t>37.14.310</t>
  </si>
  <si>
    <t>Chave seccionadora sob carga, tripolar, acionamento rotativo, com prolongador, sem porta-fusível, de 250 A</t>
  </si>
  <si>
    <t>37.14.320</t>
  </si>
  <si>
    <t>Chave seccionadora sob carga, tripolar, acionamento rotativo, com prolongador, sem porta-fusível, de 400 A</t>
  </si>
  <si>
    <t>37.14.330</t>
  </si>
  <si>
    <t>Chave seccionadora sob carga, tripolar, acionamento rotativo, com prolongador, sem porta-fusível, de 630 A</t>
  </si>
  <si>
    <t>37.14.340</t>
  </si>
  <si>
    <t>Chave seccionadora sob carga, tripolar, acionamento rotativo, com prolongador, sem porta-fusível, de 1000 A</t>
  </si>
  <si>
    <t>37.14.350</t>
  </si>
  <si>
    <t>Chave seccionadora sob carga, tripolar, acionamento rotativo, com prolongador, sem porta-fusível, de 1250 A</t>
  </si>
  <si>
    <t>37.14.410</t>
  </si>
  <si>
    <t>Chave seccionadora sob carga, tripolar, acionamento rotativo, com prolongador e porta-fusível até NH-00-125 A - sem fusíveis</t>
  </si>
  <si>
    <t>37.14.420</t>
  </si>
  <si>
    <t>Chave seccionadora sob carga, tripolar, acionamento rotativo, com prolongador e porta-fusível até NH-00-160 A - sem fusíveis</t>
  </si>
  <si>
    <t>37.14.430</t>
  </si>
  <si>
    <t>Chave seccionadora sob carga, tripolar, acionamento rotativo, com prolongador e porta-fusível até NH-1-250 A - sem fusíveis</t>
  </si>
  <si>
    <t>37.14.440</t>
  </si>
  <si>
    <t>Chave seccionadora sob carga, tripolar, acionamento rotativo, com prolongador e porta-fusível até NH-2-400 A - sem fusíveis</t>
  </si>
  <si>
    <t>37.14.450</t>
  </si>
  <si>
    <t>Chave seccionadora sob carga, tripolar, acionamento rotativo, com prolongador e porta-fusível até NH-3-630 A - sem fusíveis</t>
  </si>
  <si>
    <t>37.14.500</t>
  </si>
  <si>
    <t>Chave seccionadora sob carga, tripolar, acionamento tipo punho, com porta-fusível até NH-00-160 A - sem fusíveis</t>
  </si>
  <si>
    <t>37.14.510</t>
  </si>
  <si>
    <t>Chave seccionadora sob carga, tripolar, acionamento tipo punho, com porta-fusível até NH-1-250 A - sem fusíveis</t>
  </si>
  <si>
    <t>37.14.520</t>
  </si>
  <si>
    <t>Chave seccionadora sob carga, tripolar, acionamento tipo punho, com porta-fusível até NH-2-400 A - sem fusíveis</t>
  </si>
  <si>
    <t>37.14.530</t>
  </si>
  <si>
    <t>Chave seccionadora sob carga, tripolar, acionamento tipo punho, com porta-fusível até NH-3-630 A - sem fusíveis</t>
  </si>
  <si>
    <t>37.14.600</t>
  </si>
  <si>
    <t>Chave comutadora, reversão sob carga, tripolar, sem porta fusível, para 400 A</t>
  </si>
  <si>
    <t>37.14.610</t>
  </si>
  <si>
    <t>Chave comutadora, reversão sob carga, tripolar, sem porta fusível, para 600/630 A</t>
  </si>
  <si>
    <t>37.14.620</t>
  </si>
  <si>
    <t>Chave comutadora, reversão sob carga, tripolar, sem porta fusível, para 1000 A</t>
  </si>
  <si>
    <t>37.14.640</t>
  </si>
  <si>
    <t>Chave comutadora, reversão sob carga, tetrapolar, sem porta fusível, para 630 A / 690 V</t>
  </si>
  <si>
    <t>37.14.830</t>
  </si>
  <si>
    <t>Barra de contato para chave seccionadora tipo NH3-630 A</t>
  </si>
  <si>
    <t>37.14.912</t>
  </si>
  <si>
    <t>Chave seccionadora tripolar, abertura sob carga seca até 160 A / 690 V</t>
  </si>
  <si>
    <t>37.15</t>
  </si>
  <si>
    <t>Chave de media tensao</t>
  </si>
  <si>
    <t>37.15.110</t>
  </si>
  <si>
    <t>Chave seccionadora tripolar sob carga para 400 A - 25 kV - com prolongador</t>
  </si>
  <si>
    <t>37.15.120</t>
  </si>
  <si>
    <t>Chave seccionadora tripolar sob carga para 400 A - 15 kV - com prolongador</t>
  </si>
  <si>
    <t>37.15.150</t>
  </si>
  <si>
    <t>Chave fusível base ´C´ para 15 kV/100 A, com capacidade de ruptura até 10 kA - com fusível</t>
  </si>
  <si>
    <t>37.15.160</t>
  </si>
  <si>
    <t>Chave fusível base ´C´  para 15 kV/200 A, com capacidade de ruptura até 10 kA - com fusível</t>
  </si>
  <si>
    <t>37.15.170</t>
  </si>
  <si>
    <t>Chave fusível base ´C´ para 25 kV/100 A, com capacidade de ruptura até 6,3 kA - com fusível</t>
  </si>
  <si>
    <t>37.15.200</t>
  </si>
  <si>
    <t>Chave seccionadora tripolar seca para 400 A - 15 kV - com prolongador</t>
  </si>
  <si>
    <t>37.15.210</t>
  </si>
  <si>
    <t>Chave seccionadora tripolar seca para 600 / 630 A - 15 kV - com prolongador</t>
  </si>
  <si>
    <t>37.16</t>
  </si>
  <si>
    <t>Bus-way</t>
  </si>
  <si>
    <t>37.16.071</t>
  </si>
  <si>
    <t>Sistema de barramento blindado de 100 a 2000 A, trifásico, barra de cobre</t>
  </si>
  <si>
    <t>37.16.081</t>
  </si>
  <si>
    <t>Sistema de barramento blindado de 100 a 2000 A, trifásico, barra de alumínio</t>
  </si>
  <si>
    <t>37.17</t>
  </si>
  <si>
    <t>Dispositivo DR ou interruptor de corrente de fuga</t>
  </si>
  <si>
    <t>37.17.060</t>
  </si>
  <si>
    <t>Dispositivo diferencial residual de 25 A x 30 mA - 2 polos</t>
  </si>
  <si>
    <t>37.17.070</t>
  </si>
  <si>
    <t>Dispositivo diferencial residual de 40 A x 30 mA - 2 polos</t>
  </si>
  <si>
    <t>37.17.074</t>
  </si>
  <si>
    <t>Dispositivo diferencial residual de 25 A x 30 mA - 4 polos</t>
  </si>
  <si>
    <t>37.17.080</t>
  </si>
  <si>
    <t>Dispositivo diferencial residual de 40 A x 30 mA - 4 polos</t>
  </si>
  <si>
    <t>37.17.090</t>
  </si>
  <si>
    <t>Dispositivo diferencial residual de 63 A x 30 mA - 4 polos</t>
  </si>
  <si>
    <t>37.17.100</t>
  </si>
  <si>
    <t>Dispositivo diferencial residual de 80 A x 30 mA - 4 polos</t>
  </si>
  <si>
    <t>37.17.110</t>
  </si>
  <si>
    <t>Dispositivo diferencial residual de 100 A x 30 mA - 4 polos</t>
  </si>
  <si>
    <t>37.17.114</t>
  </si>
  <si>
    <t>Dispositivo diferencial residual de 125 A x 30 mA - 4 polos</t>
  </si>
  <si>
    <t>37.17.130</t>
  </si>
  <si>
    <t>Dispositivo diferencial residual de 25 A x 300 mA - 4 polos</t>
  </si>
  <si>
    <t>37.18</t>
  </si>
  <si>
    <t>Transformador de Potencial</t>
  </si>
  <si>
    <t>37.18.010</t>
  </si>
  <si>
    <t>Transformador de potencial monofásico até 1000 VA classe 15 kV, a seco, com fusíveis</t>
  </si>
  <si>
    <t>37.18.020</t>
  </si>
  <si>
    <t>Transformador de potencial monofásico até 2000 VA classe 15 kV, a seco, com fusíveis</t>
  </si>
  <si>
    <t>37.18.030</t>
  </si>
  <si>
    <t>Transformador de potencial monofásico até 500 VA classe 15 kV, a seco, sem fusíveis</t>
  </si>
  <si>
    <t>37.19</t>
  </si>
  <si>
    <t>Transformador de corrente</t>
  </si>
  <si>
    <t>37.19.010</t>
  </si>
  <si>
    <t>Transformador de corrente 800-5 A, janela</t>
  </si>
  <si>
    <t>37.19.020</t>
  </si>
  <si>
    <t>Transformador de corrente 200-5 A até 600-5 A, janela</t>
  </si>
  <si>
    <t>37.19.030</t>
  </si>
  <si>
    <t>Transformador de corrente 1000-5 A até 1500-5 A, janela</t>
  </si>
  <si>
    <t>37.19.060</t>
  </si>
  <si>
    <t>Transformador de corrente 50-5 A até 150-5 A, janela</t>
  </si>
  <si>
    <t>37.20</t>
  </si>
  <si>
    <t>Reparos, conservacoes e complementos - GRUPO 37</t>
  </si>
  <si>
    <t>37.20.010</t>
  </si>
  <si>
    <t>Isolador em epóxi de 1 kV para barramento</t>
  </si>
  <si>
    <t>37.20.030</t>
  </si>
  <si>
    <t>Bloco terminal conector até 65A / 600V, faixa de aplicação até 16 mm²</t>
  </si>
  <si>
    <t>37.20.080</t>
  </si>
  <si>
    <t>Barra de neutro e/ou terra</t>
  </si>
  <si>
    <t>37.20.090</t>
  </si>
  <si>
    <t>Recolocação de chave seccionadora tripolar de 125 A até 650 A, sem base fusível</t>
  </si>
  <si>
    <t>37.20.100</t>
  </si>
  <si>
    <t>Recolocação de fundo de quadro de distribuição, sem componentes</t>
  </si>
  <si>
    <t>37.20.110</t>
  </si>
  <si>
    <t>Recolocação de quadro de distribuição de sobrepor, sem componentes</t>
  </si>
  <si>
    <t>37.20.130</t>
  </si>
  <si>
    <t>Banco de medição para transformadores TC/TP, padrão Eletropaulo e/ou Cesp</t>
  </si>
  <si>
    <t>37.20.140</t>
  </si>
  <si>
    <t>Suporte fixo para transformadores de potencial</t>
  </si>
  <si>
    <t>37.20.156</t>
  </si>
  <si>
    <t>Placa de montagem para quadros em geral, em chapa de aço</t>
  </si>
  <si>
    <t>37.20.190</t>
  </si>
  <si>
    <t>Inversor de frequência para variação de velocidade em motores, potência de 0,25 a 20 cv</t>
  </si>
  <si>
    <t>37.20.193</t>
  </si>
  <si>
    <t>Inversor de frequência para variação de velocidade em motores, potência de 50 cv</t>
  </si>
  <si>
    <t>37.20.210</t>
  </si>
  <si>
    <t>Punho de manobra com articulador de acionamento</t>
  </si>
  <si>
    <t>37.21</t>
  </si>
  <si>
    <t>Capacitor de potencia</t>
  </si>
  <si>
    <t>37.21.010</t>
  </si>
  <si>
    <t>Capacitor de potência trifásico de 10 kVAr, 220 V/60 Hz, para correção de fator de potência</t>
  </si>
  <si>
    <t>37.22</t>
  </si>
  <si>
    <t>Transformador de comando</t>
  </si>
  <si>
    <t>37.22.010</t>
  </si>
  <si>
    <t>Transformador monofásico de comando de 200 VA, a seco</t>
  </si>
  <si>
    <t>37.24</t>
  </si>
  <si>
    <t>Supressor de surto</t>
  </si>
  <si>
    <t>37.24.031</t>
  </si>
  <si>
    <t>Supressor de surto monofásico, corrente nominal 4 a 11 kA, Imax. de surto 12 até 15 kA</t>
  </si>
  <si>
    <t>37.24.032</t>
  </si>
  <si>
    <t>Supressor de surto monofásico, corrente nominal 20 kA, Imax. de surto 50 até 80 kA</t>
  </si>
  <si>
    <t>37.24.042</t>
  </si>
  <si>
    <t>Dispositivo de proteção contra surto, 1 polo, suportabilidade &lt;= 4 kV, Un até 240V/415V, Iimp = 60 kA, curva de ensaio 10/350µs - classe 1</t>
  </si>
  <si>
    <t>37.24.043</t>
  </si>
  <si>
    <t>Dispositivo de proteção contra surto, 4 polos, 3F+N, Un até 240/415V, Iimp= 75 kA (25 kA por fase), curva de ensaio 10/350 µs - classe 1</t>
  </si>
  <si>
    <t>37.24.044</t>
  </si>
  <si>
    <t>Dispositivo de proteção contra surto, 4 polos, suportabilidade &lt;= 2,5 kV, 3F+N, Un até 240/415V, curva de ensaio 8/20µs, In=20kA/40kA - classe 2</t>
  </si>
  <si>
    <t>37.24.045</t>
  </si>
  <si>
    <t>Dispositivo de proteção contra surto, 1 polo, monobloco, suportabilidade &lt;=1,5kV, F+N / F+F, Un até 230/264V, curva de ensaio 8/20µs - classe 3</t>
  </si>
  <si>
    <t>37.25</t>
  </si>
  <si>
    <t>Disjuntores.</t>
  </si>
  <si>
    <t>37.25.090</t>
  </si>
  <si>
    <t>Disjuntor em caixa moldada tripolar, térmico e magnético fixos, tensão de isolamento 480/690V, de 10A a 60A</t>
  </si>
  <si>
    <t>37.25.100</t>
  </si>
  <si>
    <t>Disjuntor em caixa moldada tripolar, térmico e magnético fixos, tensão de isolamento 480/690V, de 70A até 150A</t>
  </si>
  <si>
    <t>37.25.110</t>
  </si>
  <si>
    <t>Disjuntor em caixa moldada tripolar, térmico e magnético fixos, tensão de isolamento 415/690V, de 175A a 250A</t>
  </si>
  <si>
    <t>37.25.200</t>
  </si>
  <si>
    <t>Disjuntor em caixa moldada bipolar, térmico e magnético fixos - 480 V, de 10 A a 50 A para 120/240 Vca - 25 KA e para 380/440 Vca - 18 KA</t>
  </si>
  <si>
    <t>37.25.210</t>
  </si>
  <si>
    <t>Disjuntor em caixa moldada bipolar, térmico e magnético fixos - 600 V, de 150 A para 120/240 Vca - 25 KA e para 380/440 Vca - 18 KA</t>
  </si>
  <si>
    <t>37.25.215</t>
  </si>
  <si>
    <t>Disjuntor fixo a vácuo de 15 a 17,5 kV, equipado com motorização de fechamento, com relê de proteção</t>
  </si>
  <si>
    <t>38</t>
  </si>
  <si>
    <t>TUBULACAO E CONDUTOR PARA ENERGIA ELETRICA E TELEFONIA BASICA</t>
  </si>
  <si>
    <t>38.01</t>
  </si>
  <si>
    <t>Eletroduto em PVC rigido roscavel</t>
  </si>
  <si>
    <t>38.01.040</t>
  </si>
  <si>
    <t>Eletroduto de PVC rígido roscável de 3/4´ - com acessórios</t>
  </si>
  <si>
    <t>38.01.060</t>
  </si>
  <si>
    <t>Eletroduto de PVC rígido roscável de 1´ - com acessórios</t>
  </si>
  <si>
    <t>38.01.080</t>
  </si>
  <si>
    <t>Eletroduto de PVC rígido roscável de 1 1/4´ - com acessórios</t>
  </si>
  <si>
    <t>38.01.100</t>
  </si>
  <si>
    <t>Eletroduto de PVC rígido roscável de 1 1/2´ - com acessórios</t>
  </si>
  <si>
    <t>38.01.120</t>
  </si>
  <si>
    <t>Eletroduto de PVC rígido roscável de 2´ - com acessórios</t>
  </si>
  <si>
    <t>38.01.140</t>
  </si>
  <si>
    <t>Eletroduto de PVC rígido roscável de 2 1/2´ - com acessórios</t>
  </si>
  <si>
    <t>38.01.160</t>
  </si>
  <si>
    <t>Eletroduto de PVC rígido roscável de 3´ - com acessórios</t>
  </si>
  <si>
    <t>38.01.180</t>
  </si>
  <si>
    <t>Eletroduto de PVC rígido roscável de 4´ - com acessórios</t>
  </si>
  <si>
    <t>38.04</t>
  </si>
  <si>
    <t>Eletroduto rígido em aço carbono galvanizado com acessórios - NBR 13057</t>
  </si>
  <si>
    <t>38.04.040</t>
  </si>
  <si>
    <t>Eletroduto galvanizado conforme NBR13057 -  3/4´ com acessórios</t>
  </si>
  <si>
    <t>38.04.060</t>
  </si>
  <si>
    <t>Eletroduto galvanizado conforme NBR13057 -  1´ com acessórios</t>
  </si>
  <si>
    <t>38.04.080</t>
  </si>
  <si>
    <t>Eletroduto galvanizado conforme NBR13057 -  1 1/4´ com acessórios</t>
  </si>
  <si>
    <t>38.04.100</t>
  </si>
  <si>
    <t>38.04.120</t>
  </si>
  <si>
    <t>Eletroduto galvanizado conforme NBR13057 -  2´ com acessórios</t>
  </si>
  <si>
    <t>38.04.140</t>
  </si>
  <si>
    <t>Eletroduto galvanizado conforme NBR13057 -  2 1/2´ com acessórios</t>
  </si>
  <si>
    <t>38.04.160</t>
  </si>
  <si>
    <t>Eletroduto galvanizado conforme NBR13057 -  3´ com acessórios</t>
  </si>
  <si>
    <t>38.04.180</t>
  </si>
  <si>
    <t>Eletroduto galvanizado conforme NBR13057 -  4´ com acessórios</t>
  </si>
  <si>
    <t>38.05</t>
  </si>
  <si>
    <t>Eletroduto rígido em aço carbono galvanizado com acessórios - NBR 6323</t>
  </si>
  <si>
    <t>38.05.040</t>
  </si>
  <si>
    <t>Eletroduto galvanizado a quente conforme NBR6323 - 3/4´ - com acessórios</t>
  </si>
  <si>
    <t>38.05.060</t>
  </si>
  <si>
    <t>Eletroduto galvanizado a quente conforme NBR6323 - 1´ - com acessórios</t>
  </si>
  <si>
    <t>38.05.090</t>
  </si>
  <si>
    <t>Eletroduto galvanizado a quente conforme NBR6323 - 1 1/4´ com acessórios</t>
  </si>
  <si>
    <t>38.05.100</t>
  </si>
  <si>
    <t>Eletroduto galvanizado a quente conforme NBR6323 - 1 1/2´ com acessórios</t>
  </si>
  <si>
    <t>38.05.120</t>
  </si>
  <si>
    <t>Eletroduto galvanizado a quente conforme NBR6323 - 2´ com acessórios</t>
  </si>
  <si>
    <t>38.05.140</t>
  </si>
  <si>
    <t>Eletroduto galvanizado a quente conforme NBR6323 - 2 1/2´ com acessórios</t>
  </si>
  <si>
    <t>38.05.160</t>
  </si>
  <si>
    <t>Eletroduto galvanizado a quente conforme NBR6323 - 3´ com acessórios</t>
  </si>
  <si>
    <t>38.05.180</t>
  </si>
  <si>
    <t>Eletroduto galvanizado a quente conforme NBR6323 - 4´ com acessórios</t>
  </si>
  <si>
    <t>38.06</t>
  </si>
  <si>
    <t>Eletroduto rígido em aço carbono galvanizado por imersão a quente com acessórios – NBR 5598</t>
  </si>
  <si>
    <t>38.06.020</t>
  </si>
  <si>
    <t>Eletroduto galvanizado a quente conforme NBR5598 - 1/2´ com acessórios</t>
  </si>
  <si>
    <t>38.06.040</t>
  </si>
  <si>
    <t>Eletroduto galvanizado a quente conforme NBR5598 - 3/4´ com acessórios</t>
  </si>
  <si>
    <t>38.06.060</t>
  </si>
  <si>
    <t>Eletroduto galvanizado a quente conforme NBR5598 - 1´ com acessórios</t>
  </si>
  <si>
    <t>38.06.080</t>
  </si>
  <si>
    <t>Eletroduto galvanizado a quente conforme NBR5598 - 1 1/4´ com acessórios</t>
  </si>
  <si>
    <t>38.06.100</t>
  </si>
  <si>
    <t>Eletroduto galvanizado a quente conforme NBR5598 - 1 1/2´ com acessórios</t>
  </si>
  <si>
    <t>38.06.120</t>
  </si>
  <si>
    <t>Eletroduto galvanizado a quente conforme NBR5598 - 2´ com acessórios</t>
  </si>
  <si>
    <t>38.06.140</t>
  </si>
  <si>
    <t>Eletroduto galvanizado a quente conforme NBR5598 - 2 1/2´ com acessórios</t>
  </si>
  <si>
    <t>38.06.160</t>
  </si>
  <si>
    <t>Eletroduto galvanizado a quente conforme NBR5598 - 3´ com acessórios</t>
  </si>
  <si>
    <t>38.06.180</t>
  </si>
  <si>
    <t>Eletroduto galvanizado a quente conforme NBR5598 - 4´ com acessórios</t>
  </si>
  <si>
    <t>38.07</t>
  </si>
  <si>
    <t>Canaleta, perfilado e acessorios</t>
  </si>
  <si>
    <t>38.07.030</t>
  </si>
  <si>
    <t>Grampo tipo ´C´ diâmetro 3/8`, com balancim tamanho grande</t>
  </si>
  <si>
    <t>38.07.050</t>
  </si>
  <si>
    <t>Tampa de pressão para perfilado de 38 x 38 mm</t>
  </si>
  <si>
    <t>38.07.120</t>
  </si>
  <si>
    <t>Saída final, diâmetro de 3/4´</t>
  </si>
  <si>
    <t>38.07.130</t>
  </si>
  <si>
    <t>Saída lateral simples, diâmetro de 3/4´</t>
  </si>
  <si>
    <t>38.07.134</t>
  </si>
  <si>
    <t>Saída lateral simples, diâmetro de 1´</t>
  </si>
  <si>
    <t>38.07.140</t>
  </si>
  <si>
    <t>Saída superior, diâmetro de 3/4´</t>
  </si>
  <si>
    <t>38.07.172</t>
  </si>
  <si>
    <t>Canaleta em PVC de 20 x 12 mm, inclusive acessórios</t>
  </si>
  <si>
    <t>38.07.200</t>
  </si>
  <si>
    <t>Vergalhão com rosca, porca e arruela de diâmetro 3/8´ (tirante)</t>
  </si>
  <si>
    <t>38.07.210</t>
  </si>
  <si>
    <t>Vergalhão com rosca, porca e arruela de diâmetro 1/4´ (tirante)</t>
  </si>
  <si>
    <t>38.07.216</t>
  </si>
  <si>
    <t>Vergalhão com rosca, porca e arruela de diâmetro 5/16´ (tirante)</t>
  </si>
  <si>
    <t>38.07.300</t>
  </si>
  <si>
    <t>Perfilado perfurado 38 x 38 mm em chapa 14 pré-zincada, com acessórios</t>
  </si>
  <si>
    <t>38.07.310</t>
  </si>
  <si>
    <t>Perfilado perfurado 38 x 76 mm em chapa 14 pré-zincada, com acessórios</t>
  </si>
  <si>
    <t>38.07.340</t>
  </si>
  <si>
    <t>Perfilado liso 38 x 38 mm - com acessórios</t>
  </si>
  <si>
    <t>38.07.700</t>
  </si>
  <si>
    <t>Canaleta aparente com tampa em PVC, autoextinguível, de 85 x 35 mm, com acessórios</t>
  </si>
  <si>
    <t>38.07.710</t>
  </si>
  <si>
    <t>Canaleta aparente com duas tampas em PVC, autoextinguível, de 120 x 35 mm, com acessórios</t>
  </si>
  <si>
    <t>38.07.720</t>
  </si>
  <si>
    <t>Canaleta aparente com duas tampas em PVC, autoextinguível, de 120 x 60 mm, com acessórios</t>
  </si>
  <si>
    <t>38.07.730</t>
  </si>
  <si>
    <t>Suporte com furos de tomada em PVC de 60 x 35 x 150 mm, para canaleta aparente</t>
  </si>
  <si>
    <t>38.07.740</t>
  </si>
  <si>
    <t>Suporte com furos de tomada em PVC de 85 x 35 x 150 mm, para canaleta aparente</t>
  </si>
  <si>
    <t>38.07.750</t>
  </si>
  <si>
    <t>Suporte com furos de tomada em PVC de 60 x 60 x 150 mm, para canaleta aparente</t>
  </si>
  <si>
    <t>38.07.800</t>
  </si>
  <si>
    <t>Gancho longo em chapa aço zincado para fixação de luminária</t>
  </si>
  <si>
    <t>38.07.801</t>
  </si>
  <si>
    <t>Sapata externa com 4 furos, 38 x 38 mm</t>
  </si>
  <si>
    <t>38.10</t>
  </si>
  <si>
    <t>Duto fechado de piso e acessorios</t>
  </si>
  <si>
    <t>38.10.010</t>
  </si>
  <si>
    <t>Duto de piso liso em aço, medindo 2 x 25 x 70 mm, com acessórios</t>
  </si>
  <si>
    <t>38.10.020</t>
  </si>
  <si>
    <t>Duto de piso liso em aço, medindo 3 x 25 x 70 mm, com acessórios</t>
  </si>
  <si>
    <t>38.10.024</t>
  </si>
  <si>
    <t>Caixa de derivação ou passagem, para cruzamento de duto, medindo 4 x 25 x 70 mm, sem cruzadora</t>
  </si>
  <si>
    <t>38.10.026</t>
  </si>
  <si>
    <t>Caixa de derivação ou passagem, para cruzamento de duto, medindo 12 x 25 x 70 mm, com cruzadora</t>
  </si>
  <si>
    <t>38.10.030</t>
  </si>
  <si>
    <t>Caixa de derivação ou passagem, para cruzamento de duto, medindo 16 x 25 x 70 mm, com cruzadora</t>
  </si>
  <si>
    <t>38.10.060</t>
  </si>
  <si>
    <t>Caixa de tomada e tampa basculante com rebaixo de 2 x (25 x 70 mm)</t>
  </si>
  <si>
    <t>38.10.070</t>
  </si>
  <si>
    <t>Caixa de tomada e tampa basculante com rebaixo de 3 x (25 x 70 mm)</t>
  </si>
  <si>
    <t>38.10.080</t>
  </si>
  <si>
    <t>Caixa de tomada e tampa basculante com rebaixo de 4 x (25 x 70 mm)</t>
  </si>
  <si>
    <t>38.12</t>
  </si>
  <si>
    <t>Leitos e acessorios</t>
  </si>
  <si>
    <t>38.12.086</t>
  </si>
  <si>
    <t>Leito para cabos, tipo pesado, em aço galvanizado de 300 x 100 mm - com acessórios</t>
  </si>
  <si>
    <t>38.12.090</t>
  </si>
  <si>
    <t>Leito para cabos, tipo pesado, em aço galvanizado de 400 x 100 mm - com acessórios</t>
  </si>
  <si>
    <t>38.12.100</t>
  </si>
  <si>
    <t>Leito para cabos, tipo pesado, em aço galvanizado de 600 x 100 mm - com acessórios</t>
  </si>
  <si>
    <t>38.12.120</t>
  </si>
  <si>
    <t>Leito para cabos, tipo pesado, em aço galvanizado de 500 x 100 mm - com acessórios</t>
  </si>
  <si>
    <t>38.12.130</t>
  </si>
  <si>
    <t>Leito para cabos, tipo pesado, em aço galvanizado de 800 x 100 mm - com acessórios</t>
  </si>
  <si>
    <t>38.13</t>
  </si>
  <si>
    <t>Eletroduto em polietileno de alta densidade</t>
  </si>
  <si>
    <t>38.13.010</t>
  </si>
  <si>
    <t>Eletroduto corrugado em polietileno de alta densidade, DN= 30 mm, com acessórios</t>
  </si>
  <si>
    <t>38.13.016</t>
  </si>
  <si>
    <t>Eletroduto corrugado em polietileno de alta densidade, DN= 40 mm, com acessórios</t>
  </si>
  <si>
    <t>38.13.020</t>
  </si>
  <si>
    <t>Eletroduto corrugado em polietileno de alta densidade, DN= 50 mm, com acessórios</t>
  </si>
  <si>
    <t>38.13.030</t>
  </si>
  <si>
    <t>Eletroduto corrugado em polietileno de alta densidade, DN= 75 mm, com acessórios</t>
  </si>
  <si>
    <t>38.13.040</t>
  </si>
  <si>
    <t>Eletroduto corrugado em polietileno de alta densidade, DN= 100 mm, com acessórios</t>
  </si>
  <si>
    <t>38.13.050</t>
  </si>
  <si>
    <t>Eletroduto corrugado em polietileno de alta densidade, DN= 125 mm, com acessórios</t>
  </si>
  <si>
    <t>38.13.060</t>
  </si>
  <si>
    <t>Eletroduto corrugado em polietileno de alta densidade, DN= 150 mm, com acessórios</t>
  </si>
  <si>
    <t>38.15</t>
  </si>
  <si>
    <t>Eletroduto metalico flexivel</t>
  </si>
  <si>
    <t>38.15.010</t>
  </si>
  <si>
    <t>Eletroduto metálico flexível com capa em PVC de 3/4´</t>
  </si>
  <si>
    <t>38.15.020</t>
  </si>
  <si>
    <t>Eletroduto metálico flexível com capa em PVC de 1´</t>
  </si>
  <si>
    <t>38.15.040</t>
  </si>
  <si>
    <t>Eletroduto metálico flexível com capa em PVC de 2´</t>
  </si>
  <si>
    <t>38.15.110</t>
  </si>
  <si>
    <t>Terminal macho fixo em latão zincado de 3/4´</t>
  </si>
  <si>
    <t>38.15.120</t>
  </si>
  <si>
    <t>Terminal macho fixo em latão zincado de 1´</t>
  </si>
  <si>
    <t>38.15.140</t>
  </si>
  <si>
    <t>Terminal macho fixo em latão zincado de 2´</t>
  </si>
  <si>
    <t>38.15.310</t>
  </si>
  <si>
    <t>Terminal macho giratório em latão zincado de 3/4´</t>
  </si>
  <si>
    <t>38.15.320</t>
  </si>
  <si>
    <t>Terminal macho giratório em latão zincado de 1´</t>
  </si>
  <si>
    <t>38.15.340</t>
  </si>
  <si>
    <t>Terminal macho giratório em latão zincado de 2´</t>
  </si>
  <si>
    <t>38.16</t>
  </si>
  <si>
    <t>Rodape tecnico e acessorios</t>
  </si>
  <si>
    <t>38.16.030</t>
  </si>
  <si>
    <t>Rodapé técnico triplo e tampa com pintura eletrostática</t>
  </si>
  <si>
    <t>38.16.060</t>
  </si>
  <si>
    <t>Curva horizontal tripla de 90°, interna ou externa e tampa com pintura eletrostática</t>
  </si>
  <si>
    <t>38.16.080</t>
  </si>
  <si>
    <t>Tê triplo de 90°, horizontal ou vertical e tampa com pintura eletrostática</t>
  </si>
  <si>
    <t>38.16.090</t>
  </si>
  <si>
    <t>Caixa para tomadas: de energia, RJ, sobressalente, interruptor ou espelho, com pintura eletrostática, para rodapé técnico triplo</t>
  </si>
  <si>
    <t>38.16.130</t>
  </si>
  <si>
    <t>Caixa para tomadas: de energia, RJ, sobressalente, interruptor ou espelho, com pintura eletrostática, para rodapé técnico duplo</t>
  </si>
  <si>
    <t>38.16.140</t>
  </si>
  <si>
    <t>Terminal de fechamento ou mata junta com pintura eletrostática, para rodapé técnico triplo</t>
  </si>
  <si>
    <t>38.16.150</t>
  </si>
  <si>
    <t>Rodapé técnico duplo e tampa com pintura eletrostática</t>
  </si>
  <si>
    <t>38.16.160</t>
  </si>
  <si>
    <t>Curva vertical dupla de 90°, interna ou externa e tampa com pintura eletrostática</t>
  </si>
  <si>
    <t>38.16.190</t>
  </si>
  <si>
    <t>Terminal de fechamento ou mata junta com pintura eletrostática, para rodapé técnico duplo</t>
  </si>
  <si>
    <t>38.16.200</t>
  </si>
  <si>
    <t>Curva horizontal dupla de 90°, interna ou externa e tampa com pintura eletrostática</t>
  </si>
  <si>
    <t>38.16.230</t>
  </si>
  <si>
    <t>Curva vertical tripla de 90°, interna ou externa e tampa com pintura eletrostática</t>
  </si>
  <si>
    <t>38.16.250</t>
  </si>
  <si>
    <t>Poste condutor metálico para distribuição, com suporte para tomadas elétricas e RJ, com pintura eletrostática, altura de 3 m</t>
  </si>
  <si>
    <t>38.16.270</t>
  </si>
  <si>
    <t>Caixa de derivação embutida ou externa para rodapé técnico duplo</t>
  </si>
  <si>
    <t>38.19</t>
  </si>
  <si>
    <t>Eletroduto em PVC corrugado flexivel</t>
  </si>
  <si>
    <t>38.19.020</t>
  </si>
  <si>
    <t>Eletroduto de PVC corrugado flexível leve, diâmetro externo de 20 mm</t>
  </si>
  <si>
    <t>38.19.030</t>
  </si>
  <si>
    <t>Eletroduto de PVC corrugado flexível leve, diâmetro externo de 25 mm</t>
  </si>
  <si>
    <t>38.19.040</t>
  </si>
  <si>
    <t>Eletroduto de PVC corrugado flexível leve, diâmetro externo de 32 mm</t>
  </si>
  <si>
    <t>38.19.210</t>
  </si>
  <si>
    <t>Eletroduto de PVC corrugado flexível reforçado, diâmetro externo de 25 mm</t>
  </si>
  <si>
    <t>38.19.220</t>
  </si>
  <si>
    <t>Eletroduto de PVC corrugado flexível reforçado, diâmetro externo de 32 mm</t>
  </si>
  <si>
    <t>38.20</t>
  </si>
  <si>
    <t>Reparos, conservacoes e complementos - GRUPO 38</t>
  </si>
  <si>
    <t>38.20.010</t>
  </si>
  <si>
    <t>Recolocação de perfilado 38x38 mm</t>
  </si>
  <si>
    <t>38.20.020</t>
  </si>
  <si>
    <t>Recolocação de vergalhão</t>
  </si>
  <si>
    <t>38.20.030</t>
  </si>
  <si>
    <t>Recolocação de caixa de tomada para perfilado</t>
  </si>
  <si>
    <t>38.20.040</t>
  </si>
  <si>
    <t>Recolocação de eletrodutos</t>
  </si>
  <si>
    <t>38.21</t>
  </si>
  <si>
    <t>Eletrocalha e acessorios</t>
  </si>
  <si>
    <t>38.21.110</t>
  </si>
  <si>
    <t>Eletrocalha lisa galvanizada a fogo, 50 x 50 mm, com acessórios</t>
  </si>
  <si>
    <t>38.21.120</t>
  </si>
  <si>
    <t>Eletrocalha lisa galvanizada a fogo, 100 x 50 mm, com acessórios</t>
  </si>
  <si>
    <t>38.21.130</t>
  </si>
  <si>
    <t>Eletrocalha lisa galvanizada a fogo, 150 x 50 mm, com acessórios</t>
  </si>
  <si>
    <t>38.21.140</t>
  </si>
  <si>
    <t>Eletrocalha lisa galvanizada a fogo, 200 x 50 mm, com acessórios</t>
  </si>
  <si>
    <t>38.21.150</t>
  </si>
  <si>
    <t>Eletrocalha lisa galvanizada a fogo, 250 x 50 mm, com acessórios</t>
  </si>
  <si>
    <t>38.21.310</t>
  </si>
  <si>
    <t>Eletrocalha lisa galvanizada a fogo, 100 x 100 mm, com acessórios</t>
  </si>
  <si>
    <t>38.21.320</t>
  </si>
  <si>
    <t>Eletrocalha lisa galvanizada a fogo, 150 x 100 mm, com acessórios</t>
  </si>
  <si>
    <t>38.21.330</t>
  </si>
  <si>
    <t>Eletrocalha lisa galvanizada a fogo, 200 x 100 mm, com acessórios</t>
  </si>
  <si>
    <t>38.21.340</t>
  </si>
  <si>
    <t>Eletrocalha lisa galvanizada a fogo, 250 x 100 mm, com acessórios</t>
  </si>
  <si>
    <t>38.21.350</t>
  </si>
  <si>
    <t>Eletrocalha lisa galvanizada a fogo, 300 x 100 mm, com acessórios</t>
  </si>
  <si>
    <t>38.21.360</t>
  </si>
  <si>
    <t>Eletrocalha lisa galvanizada a fogo, 400 x 100 mm, com acessórios</t>
  </si>
  <si>
    <t>38.21.920</t>
  </si>
  <si>
    <t>Eletrocalha perfurada galvanizada a fogo, 100 x 50 mm, com acessórios</t>
  </si>
  <si>
    <t>38.21.930</t>
  </si>
  <si>
    <t>Eletrocalha perfurada galvanizada a fogo, 150 x 50 mm, com acessórios</t>
  </si>
  <si>
    <t>38.21.940</t>
  </si>
  <si>
    <t>Eletrocalha perfurada galvanizada a fogo, 200 x 50 mm, com acessórios</t>
  </si>
  <si>
    <t>38.21.950</t>
  </si>
  <si>
    <t>Eletrocalha perfurada galvanizada a fogo, 250 x 50 mm, com acessórios</t>
  </si>
  <si>
    <t>38.22</t>
  </si>
  <si>
    <t>Eletrocalha e acessorios.</t>
  </si>
  <si>
    <t>38.22.120</t>
  </si>
  <si>
    <t>Eletrocalha perfurada galvanizada a fogo, 150x100 mm, com acessórios</t>
  </si>
  <si>
    <t>38.22.130</t>
  </si>
  <si>
    <t>Eletrocalha perfurada galvanizada a fogo, 200x100 mm, com acessórios</t>
  </si>
  <si>
    <t>38.22.140</t>
  </si>
  <si>
    <t>Eletrocalha perfurada galvanizada a fogo, 250x100 mm, com acessórios</t>
  </si>
  <si>
    <t>38.22.150</t>
  </si>
  <si>
    <t>Eletrocalha perfurada galvanizada a fogo, 300x100 mm, com acessórios</t>
  </si>
  <si>
    <t>38.22.160</t>
  </si>
  <si>
    <t>Eletrocalha perfurada galvanizada a fogo, 400x100 mm, com acessórios</t>
  </si>
  <si>
    <t>38.22.610</t>
  </si>
  <si>
    <t>Tampa de encaixe para eletrocalha, galvanizada a fogo, L= 50 mm</t>
  </si>
  <si>
    <t>38.22.620</t>
  </si>
  <si>
    <t>Tampa de encaixe para eletrocalha, galvanizada a fogo, L= 100 mm</t>
  </si>
  <si>
    <t>38.22.630</t>
  </si>
  <si>
    <t>Tampa de encaixe para eletrocalha, galvanizada a fogo, L= 150 mm</t>
  </si>
  <si>
    <t>38.22.640</t>
  </si>
  <si>
    <t>Tampa de encaixe para eletrocalha, galvanizada a fogo, L= 200 mm</t>
  </si>
  <si>
    <t>38.22.650</t>
  </si>
  <si>
    <t>Tampa de encaixe para eletrocalha, galvanizada a fogo, L= 250 mm</t>
  </si>
  <si>
    <t>38.22.660</t>
  </si>
  <si>
    <t>Tampa de encaixe para eletrocalha, galvanizada a fogo, L= 300 mm</t>
  </si>
  <si>
    <t>38.22.670</t>
  </si>
  <si>
    <t>Tampa de encaixe para eletrocalha, galvanizada a fogo, L= 400 mm</t>
  </si>
  <si>
    <t>38.23</t>
  </si>
  <si>
    <t>Eletrocalha e acessorios..</t>
  </si>
  <si>
    <t>38.23.010</t>
  </si>
  <si>
    <t>Suporte para eletrocalha, galvanizado a fogo, 50x50 mm</t>
  </si>
  <si>
    <t>38.23.020</t>
  </si>
  <si>
    <t>Suporte para eletrocalha, galvanizado a fogo, 100x50 mm</t>
  </si>
  <si>
    <t>38.23.030</t>
  </si>
  <si>
    <t>Suporte para eletrocalha, galvanizado a fogo, 150x50 mm</t>
  </si>
  <si>
    <t>38.23.040</t>
  </si>
  <si>
    <t>Suporte para eletrocalha, galvanizado a fogo, 200x50 mm</t>
  </si>
  <si>
    <t>38.23.050</t>
  </si>
  <si>
    <t>Suporte para eletrocalha, galvanizado a fogo, 250x50 mm</t>
  </si>
  <si>
    <t>38.23.060</t>
  </si>
  <si>
    <t>Suporte para eletrocalha, galvanizado a fogo, 300x50 mm</t>
  </si>
  <si>
    <t>38.23.110</t>
  </si>
  <si>
    <t>Suporte para eletrocalha, galvanizado a fogo, 100x100 mm</t>
  </si>
  <si>
    <t>38.23.120</t>
  </si>
  <si>
    <t>Suporte para eletrocalha, galvanizado a fogo, 150x100 mm</t>
  </si>
  <si>
    <t>38.23.130</t>
  </si>
  <si>
    <t>Suporte para eletrocalha, galvanizado a fogo, 200x100 mm</t>
  </si>
  <si>
    <t>38.23.140</t>
  </si>
  <si>
    <t>Suporte para eletrocalha, galvanizado a fogo, 250x100 mm</t>
  </si>
  <si>
    <t>38.23.150</t>
  </si>
  <si>
    <t>Suporte para eletrocalha, galvanizado a fogo, 300x100 mm</t>
  </si>
  <si>
    <t>38.23.160</t>
  </si>
  <si>
    <t>Suporte para eletrocalha, galvanizado a fogo, 400x100 mm</t>
  </si>
  <si>
    <t>38.23.210</t>
  </si>
  <si>
    <t>Mão francesa simples, galvanizada a fogo, L= 200 mm</t>
  </si>
  <si>
    <t>38.23.220</t>
  </si>
  <si>
    <t>Mão francesa simples, galvanizada a fogo, L= 300 mm</t>
  </si>
  <si>
    <t>38.23.230</t>
  </si>
  <si>
    <t>Mão francesa simples, galvanizada a fogo, L= 400 mm</t>
  </si>
  <si>
    <t>38.23.240</t>
  </si>
  <si>
    <t>Mão francesa simples, galvanizada a fogo, L= 500 mm</t>
  </si>
  <si>
    <t>38.23.310</t>
  </si>
  <si>
    <t>Mão francesa dupla, galvanizada a fogo, L= 300 mm</t>
  </si>
  <si>
    <t>38.23.320</t>
  </si>
  <si>
    <t>Mão francesa dupla, galvanizada a fogo, L= 400 mm</t>
  </si>
  <si>
    <t>38.23.330</t>
  </si>
  <si>
    <t>Mão francesa dupla, galvanizada a fogo, L= 500 mm</t>
  </si>
  <si>
    <t>39</t>
  </si>
  <si>
    <t>CONDUTOR E ENFIACAO DE ENERGIA ELETRICA E TELEFONIA</t>
  </si>
  <si>
    <t>39.02</t>
  </si>
  <si>
    <t>Cabo de cobre, isolamento 450V / 750 V, isolacao em PVC 70°C</t>
  </si>
  <si>
    <t>39.02.010</t>
  </si>
  <si>
    <t>Cabo de cobre de 1,5 mm², isolamento 750 V - isolação em PVC 70°C</t>
  </si>
  <si>
    <t>39.02.016</t>
  </si>
  <si>
    <t>Cabo de cobre de 2,5 mm², isolamento 750 V - isolação em PVC 70°C</t>
  </si>
  <si>
    <t>39.02.020</t>
  </si>
  <si>
    <t>Cabo de cobre de 4 mm², isolamento 750 V - isolação em PVC 70°C</t>
  </si>
  <si>
    <t>39.02.030</t>
  </si>
  <si>
    <t>Cabo de cobre de 6 mm², isolamento 750 V - isolação em PVC 70°C</t>
  </si>
  <si>
    <t>39.02.040</t>
  </si>
  <si>
    <t>Cabo de cobre de 10 mm², isolamento 750 V - isolação em PVC 70°C</t>
  </si>
  <si>
    <t>39.03</t>
  </si>
  <si>
    <t>Cabo de cobre, isolamento 0,6/1kV, isolacao em PVC 70°C</t>
  </si>
  <si>
    <t>39.03.160</t>
  </si>
  <si>
    <t>Cabo de cobre de 1,5 mm², isolamento 0,6/1 kV - isolação em PVC 70°C</t>
  </si>
  <si>
    <t>39.03.170</t>
  </si>
  <si>
    <t>Cabo de cobre de 2,5 mm², isolamento 0,6/1 kV - isolação em PVC 70°C</t>
  </si>
  <si>
    <t>39.03.174</t>
  </si>
  <si>
    <t>Cabo de cobre de 4 mm², isolamento 0,6/1 kV - isolação em PVC 70°C</t>
  </si>
  <si>
    <t>39.03.178</t>
  </si>
  <si>
    <t>Cabo de cobre de 6 mm², isolamento 0,6/1 kV - isolação em PVC 70°C</t>
  </si>
  <si>
    <t>39.03.182</t>
  </si>
  <si>
    <t>Cabo de cobre de 10 mm², isolamento 0,6/1 kV - isolação em PVC 70°C</t>
  </si>
  <si>
    <t>39.04</t>
  </si>
  <si>
    <t>Cabo de cobre nu, tempera mole, classe 2</t>
  </si>
  <si>
    <t>39.04.040</t>
  </si>
  <si>
    <t>Cabo de cobre nu, têmpera mole, classe 2, de 10 mm²</t>
  </si>
  <si>
    <t>39.04.050</t>
  </si>
  <si>
    <t>Cabo de cobre nu, têmpera mole, classe 2, de 16 mm²</t>
  </si>
  <si>
    <t>39.04.060</t>
  </si>
  <si>
    <t>Cabo de cobre nu, têmpera mole, classe 2, de 25 mm²</t>
  </si>
  <si>
    <t>39.04.070</t>
  </si>
  <si>
    <t>Cabo de cobre nu, têmpera mole, classe 2, de 35 mm²</t>
  </si>
  <si>
    <t>39.04.080</t>
  </si>
  <si>
    <t>Cabo de cobre nu, têmpera mole, classe 2, de 50 mm²</t>
  </si>
  <si>
    <t>39.04.100</t>
  </si>
  <si>
    <t>Cabo de cobre nu, têmpera mole, classe 2, de 70 mm²</t>
  </si>
  <si>
    <t>39.04.120</t>
  </si>
  <si>
    <t>Cabo de cobre nu, têmpera mole, classe 2, de 95 mm²</t>
  </si>
  <si>
    <t>39.04.180</t>
  </si>
  <si>
    <t>Cabo de cobre nu, têmpera mole, classe 2, de 185 mm²</t>
  </si>
  <si>
    <t>39.05</t>
  </si>
  <si>
    <t>Cabo de cobre tripolar, isolamento 8,7/15 kV, isolacao EPR 90°C</t>
  </si>
  <si>
    <t>39.05.070</t>
  </si>
  <si>
    <t>Cabo de cobre de 3x35 mm², isolamento 8,7/15 kV - isolação EPR 90°C</t>
  </si>
  <si>
    <t>39.06</t>
  </si>
  <si>
    <t>Cabo de cobre unipolar, isolamento 8,7/15 kV, isolacao EPR 90°C</t>
  </si>
  <si>
    <t>39.06.060</t>
  </si>
  <si>
    <t>Cabo de cobre de 25 mm², isolamento 8,7/15 kV - isolação EPR 90°C</t>
  </si>
  <si>
    <t>39.06.070</t>
  </si>
  <si>
    <t>Cabo de cobre de 35 mm², isolamento 8,7/15 kV - isolação EPR 90°C</t>
  </si>
  <si>
    <t>39.06.074</t>
  </si>
  <si>
    <t>Cabo de cobre de 50 mm², isolamento 8,7/15 kV - isolação EPR 90°C</t>
  </si>
  <si>
    <t>39.06.084</t>
  </si>
  <si>
    <t>Cabo de cobre de 120 mm², isolamento 8,7/15 kV - isolação EPR 90°C</t>
  </si>
  <si>
    <t>39.09</t>
  </si>
  <si>
    <t>Conectores</t>
  </si>
  <si>
    <t>39.09.010</t>
  </si>
  <si>
    <t>Conector terminal tipo BNC para cabo coaxial RG 59</t>
  </si>
  <si>
    <t>39.09.015</t>
  </si>
  <si>
    <t>39.09.020</t>
  </si>
  <si>
    <t>Conector split-bolt para cabo de 25 mm², latão, simples</t>
  </si>
  <si>
    <t>39.09.040</t>
  </si>
  <si>
    <t>Conector split-bolt para cabo de 35 mm², latão, simples</t>
  </si>
  <si>
    <t>39.09.060</t>
  </si>
  <si>
    <t>Conector split-bolt para cabo de 50 mm², latão, simples</t>
  </si>
  <si>
    <t>39.09.100</t>
  </si>
  <si>
    <t>Conector split-bolt para cabo de 25 mm², latão, com rabicho</t>
  </si>
  <si>
    <t>39.09.120</t>
  </si>
  <si>
    <t>Conector split-bolt para cabo de 35 mm², latão, com rabicho</t>
  </si>
  <si>
    <t>39.09.140</t>
  </si>
  <si>
    <t>Conector split-bolt para cabo de 50 mm², latão, com rabicho</t>
  </si>
  <si>
    <t>39.10</t>
  </si>
  <si>
    <t>Terminais de pressao e compressao</t>
  </si>
  <si>
    <t>39.10.050</t>
  </si>
  <si>
    <t>Terminal de compressão para cabo de 2,5 mm²</t>
  </si>
  <si>
    <t>39.10.060</t>
  </si>
  <si>
    <t>Terminal de pressão/compressão para cabo de 6 até 10 mm²</t>
  </si>
  <si>
    <t>39.10.080</t>
  </si>
  <si>
    <t>Terminal de pressão/compressão para cabo de 16 mm²</t>
  </si>
  <si>
    <t>39.10.120</t>
  </si>
  <si>
    <t>Terminal de pressão/compressão para cabo de 25 mm²</t>
  </si>
  <si>
    <t>39.10.130</t>
  </si>
  <si>
    <t>Terminal de pressão/compressão para cabo de 35 mm²</t>
  </si>
  <si>
    <t>39.10.160</t>
  </si>
  <si>
    <t>Terminal de pressão/compressão para cabo de 50 mm²</t>
  </si>
  <si>
    <t>39.10.200</t>
  </si>
  <si>
    <t>Terminal de pressão/compressão para cabo de 70 mm²</t>
  </si>
  <si>
    <t>39.10.240</t>
  </si>
  <si>
    <t>Terminal de pressão/compressão para cabo de 95 mm²</t>
  </si>
  <si>
    <t>39.10.246</t>
  </si>
  <si>
    <t>Terminal de pressão/compressão para cabo de 120 mm²</t>
  </si>
  <si>
    <t>39.10.250</t>
  </si>
  <si>
    <t>Terminal de pressão/compressão para cabo de 150 mm²</t>
  </si>
  <si>
    <t>39.10.280</t>
  </si>
  <si>
    <t>Terminal de pressão/compressão para cabo de 185 mm²</t>
  </si>
  <si>
    <t>39.10.300</t>
  </si>
  <si>
    <t>Terminal de pressão/compressão para cabo de 240 mm²</t>
  </si>
  <si>
    <t>39.11</t>
  </si>
  <si>
    <t>Fios e cabos telefônicos</t>
  </si>
  <si>
    <t>39.11.020</t>
  </si>
  <si>
    <t>Cabo telefônico CI, com 10 pares de 0,50 mm, para centrais telefônicas, equipamentos e rede interna</t>
  </si>
  <si>
    <t>39.11.040</t>
  </si>
  <si>
    <t>Cabo telefônico CI, com 20 pares de 0,50 mm, para centrais telefônicas, equipamentos e rede interna</t>
  </si>
  <si>
    <t>39.11.080</t>
  </si>
  <si>
    <t>Cabo telefônico CI, com 50 pares de 0,50 mm, para centrais telefônicas, equipamentos e rede interna</t>
  </si>
  <si>
    <t>39.11.110</t>
  </si>
  <si>
    <t>Fio telefônico externo tipo FE-160</t>
  </si>
  <si>
    <t>39.11.120</t>
  </si>
  <si>
    <t>Cabo telefônico CTP-APL-SN, com 10 pares de 0,50 mm, para cotos de transição em caixas e entradas</t>
  </si>
  <si>
    <t>39.11.190</t>
  </si>
  <si>
    <t>Cabo telefônico CCE-APL, com 4 pares de 0,50 mm, para conexões em rede externa</t>
  </si>
  <si>
    <t>39.11.210</t>
  </si>
  <si>
    <t>Cabo telefônico secundário de distribuição CTP-APL, com 20 pares de 0,50 mm, para rede externa</t>
  </si>
  <si>
    <t>39.11.230</t>
  </si>
  <si>
    <t>Cabo telefônico secundário de distribuição CTP-APL, com 50 pares de 0,50 mm, para rede externa</t>
  </si>
  <si>
    <t>39.11.240</t>
  </si>
  <si>
    <t>Cabo telefônico secundário de distribuição CTP-APL, com 100 pares de 0,50 mm, para rede externa</t>
  </si>
  <si>
    <t>39.11.270</t>
  </si>
  <si>
    <t>Cabo telefônico secundário de distribuição CTP-APL-G, com 10 pares de 0,50 mm, para rede subterrânea</t>
  </si>
  <si>
    <t>39.11.280</t>
  </si>
  <si>
    <t>Cabo telefônico secundário de distribuição CTP-APL-G, com 20 pares de 0,50 mm, para rede subterrânea</t>
  </si>
  <si>
    <t>39.11.300</t>
  </si>
  <si>
    <t>Cabo telefônico secundário de distribuição CTP-APL-G, com 50 pares de 0,50 mm, para rede subterrânea</t>
  </si>
  <si>
    <t>39.11.400</t>
  </si>
  <si>
    <t>Cabo telefônico secundário de distribuição CTP-APL, com 10 pares de 0,65 mm, para rede externa</t>
  </si>
  <si>
    <t>39.11.410</t>
  </si>
  <si>
    <t>Cabo telefônico secundário de distribuição CTP-APL, com 20 pares de 0,65 mm, para rede externa</t>
  </si>
  <si>
    <t>39.11.430</t>
  </si>
  <si>
    <t>Cabo telefônico secundário de distribuição CTP-APL, com 50 pares de 0,65 mm, para rede externa</t>
  </si>
  <si>
    <t>39.12</t>
  </si>
  <si>
    <t>Cabo de cobre flexivel, isolamento 600 V, isolacao em VC/E 105°C</t>
  </si>
  <si>
    <t>39.12.510</t>
  </si>
  <si>
    <t>Cabo de cobre flexível blindado de 2 x 1,5 mm², isolamento 600V, isolação em VC/E 105°C - para detecção de incêndio</t>
  </si>
  <si>
    <t>39.12.520</t>
  </si>
  <si>
    <t>Cabo de cobre flexível blindado de 3 x 1,5 mm², isolamento 600V, isolação em VC/E 105°C - para detecção de incêndio</t>
  </si>
  <si>
    <t>39.12.530</t>
  </si>
  <si>
    <t>Cabo de cobre flexível blindado de 2 x 2,5 mm², isolamento 600V, isolação em VC/E 105°C - para detecção de incêndio</t>
  </si>
  <si>
    <t>39.14</t>
  </si>
  <si>
    <t>Cabo de aluminio nu com alma de aco</t>
  </si>
  <si>
    <t>39.14.010</t>
  </si>
  <si>
    <t>Cabo de alumínio nu com alma de aço CAA, 1/0 AWG - Raven</t>
  </si>
  <si>
    <t>39.14.050</t>
  </si>
  <si>
    <t>Cabo de alumínio nu com alma de aço CAA, 4 AWG - Swan</t>
  </si>
  <si>
    <t>39.15</t>
  </si>
  <si>
    <t>Cabo de aluminio nu sem alma de aco</t>
  </si>
  <si>
    <t>39.15.040</t>
  </si>
  <si>
    <t>Cabo de alumínio nu sem alma de aço CA, 2 AWG - Iris</t>
  </si>
  <si>
    <t>39.15.070</t>
  </si>
  <si>
    <t>Cabo de alumínio nu sem alma de aço CA, 2/0 AWG - Aster</t>
  </si>
  <si>
    <t>39.18</t>
  </si>
  <si>
    <t>Cabo para transmissao de dados</t>
  </si>
  <si>
    <t>39.18.100</t>
  </si>
  <si>
    <t>Cabo coaxial tipo RG 6</t>
  </si>
  <si>
    <t>39.18.104</t>
  </si>
  <si>
    <t>Cabo coaxial tipo RG 11</t>
  </si>
  <si>
    <t>39.18.106</t>
  </si>
  <si>
    <t>Cabo coaxial tipo RG 59</t>
  </si>
  <si>
    <t>39.18.110</t>
  </si>
  <si>
    <t>Cabo coaxial tipo RGC 6</t>
  </si>
  <si>
    <t>39.18.114</t>
  </si>
  <si>
    <t>Cabo coaxial tipo RGC 59</t>
  </si>
  <si>
    <t>39.18.120</t>
  </si>
  <si>
    <t>Cabo para rede U/UTP 23 AWG com 4 pares - categoria 6A</t>
  </si>
  <si>
    <t>39.18.126</t>
  </si>
  <si>
    <t>Cabo para rede 24 AWG com 4 pares, categoria 6</t>
  </si>
  <si>
    <t>39.20</t>
  </si>
  <si>
    <t>Reparos, conservacoes e complementos - GRUPO 39</t>
  </si>
  <si>
    <t>39.20.005</t>
  </si>
  <si>
    <t>Conector prensa-cabo de 3/4´</t>
  </si>
  <si>
    <t>39.20.010</t>
  </si>
  <si>
    <t>Recolocação de condutor aparente com diâmetro externo até 6,5 mm</t>
  </si>
  <si>
    <t>39.20.030</t>
  </si>
  <si>
    <t>Recolocação de condutor aparente com diâmetro externo acima de 6,5 mm</t>
  </si>
  <si>
    <t>39.21</t>
  </si>
  <si>
    <t>Cabo de cobre flexivel, isolamento 0,6/1 kV, isolacao em HEPR 90°C</t>
  </si>
  <si>
    <t>39.21.010</t>
  </si>
  <si>
    <t>39.21.020</t>
  </si>
  <si>
    <t>39.21.030</t>
  </si>
  <si>
    <t>39.21.040</t>
  </si>
  <si>
    <t>39.21.050</t>
  </si>
  <si>
    <t>39.21.060</t>
  </si>
  <si>
    <t>39.21.070</t>
  </si>
  <si>
    <t>39.21.080</t>
  </si>
  <si>
    <t>39.21.090</t>
  </si>
  <si>
    <t>39.21.100</t>
  </si>
  <si>
    <t>39.21.110</t>
  </si>
  <si>
    <t>39.21.120</t>
  </si>
  <si>
    <t>39.21.125</t>
  </si>
  <si>
    <t>Cabo de cobre flexível de 150 mm², isolamento 0,6/1 kV - isolação HEPR 90°C</t>
  </si>
  <si>
    <t>39.21.130</t>
  </si>
  <si>
    <t>39.21.140</t>
  </si>
  <si>
    <t>39.21.201</t>
  </si>
  <si>
    <t>Cabo de cobre flexível de 2 x 2,5 mm², isolamento 0,6/1 kV - isolação HEPR 90°C</t>
  </si>
  <si>
    <t>39.21.230</t>
  </si>
  <si>
    <t>Cabo de cobre flexível de 3 x 1,5 mm², isolamento 0,6/1 kV - isolação HEPR 90°C</t>
  </si>
  <si>
    <t>39.21.231</t>
  </si>
  <si>
    <t>Cabo de cobre flexível de 3 x 2,5 mm², isolamento 0,6/1 kV - isolação HEPR 90°C</t>
  </si>
  <si>
    <t>39.21.234</t>
  </si>
  <si>
    <t>Cabo de cobre flexível de 3 x 10 mm², isolamento 0,6/1 kV - isolação HEPR 90°C</t>
  </si>
  <si>
    <t>39.21.236</t>
  </si>
  <si>
    <t>Cabo de cobre flexível de 3 x 25 mm², isolamento 0,6/1 kV - isolação HEPR 90°C</t>
  </si>
  <si>
    <t>39.21.237</t>
  </si>
  <si>
    <t>Cabo de cobre flexível de 3 x 35 mm², isolamento 0,6/1 kV - isolação HEPR 90°C</t>
  </si>
  <si>
    <t>39.21.254</t>
  </si>
  <si>
    <t>Cabo de cobre flexível de 4 x 10 mm², isolamento 0,6/1 kV - isolação HEPR 90°C</t>
  </si>
  <si>
    <t>39.24</t>
  </si>
  <si>
    <t>Cabo de cobre flexivel, isolamento 500 V, isolacao PP 70°C</t>
  </si>
  <si>
    <t>39.24.151</t>
  </si>
  <si>
    <t>Cabo de cobre flexível de 3 x 1,5 mm², isolamento 500 V - isolação PP 70°C</t>
  </si>
  <si>
    <t>39.24.152</t>
  </si>
  <si>
    <t>Cabo de cobre flexível de 3 x 2,5 mm², isolamento 500 V - isolação PP 70°C</t>
  </si>
  <si>
    <t>39.24.153</t>
  </si>
  <si>
    <t>Cabo de cobre flexível de 3 x 4 mm², isolamento 500 V - isolação PP 70°C</t>
  </si>
  <si>
    <t>39.24.154</t>
  </si>
  <si>
    <t>Cabo de cobre flexível de 3 x 6 mm², isolamento 500 V - isolação PP 70°C</t>
  </si>
  <si>
    <t>39.24.173</t>
  </si>
  <si>
    <t>Cabo de cobre flexível de 4 x 4 mm², isolamento 500 V - isolação PP 70°C</t>
  </si>
  <si>
    <t>39.24.174</t>
  </si>
  <si>
    <t>Cabo de cobre flexível de 4 x 6 mm², isolamento 500 V - isolação PP 70°C</t>
  </si>
  <si>
    <t>39.25</t>
  </si>
  <si>
    <t>Cabo de cobre unipolar, isolamento 15/25 kV, isolacao EPR 90 °C / 105 °C</t>
  </si>
  <si>
    <t>39.25.020</t>
  </si>
  <si>
    <t>Cabo de cobre de 35 mm², isolamento 15/25 kV - isolação EPR 105°C</t>
  </si>
  <si>
    <t>39.25.030</t>
  </si>
  <si>
    <t>Cabo de cobre de 50 mm², isolamento 15/25 kV - isolação EPR 105°C</t>
  </si>
  <si>
    <t>39.26</t>
  </si>
  <si>
    <t>Cabo de cobre flexivel, isolamento 0,6/1kV - isolacao HEPR 90° C - baixa emissao fumaca e gases</t>
  </si>
  <si>
    <t>39.26.010</t>
  </si>
  <si>
    <t>Cabo de cobre flexível de 1,5 mm², isolamento 0,6/1 kV - isolação HEPR 90°C - baixa emissão de fumaça e gases</t>
  </si>
  <si>
    <t>39.26.020</t>
  </si>
  <si>
    <t>Cabo de cobre flexível de 2,5 mm², isolamento 0,6/1 kV - isolação HEPR 90°C - baixa emissão de fumaça e gases</t>
  </si>
  <si>
    <t>39.26.030</t>
  </si>
  <si>
    <t>Cabo de cobre flexível de 4 mm², isolamento 0,6/1 kV -  isolação HEPR 90°C - baixa emissão de fumaça e gases</t>
  </si>
  <si>
    <t>39.26.040</t>
  </si>
  <si>
    <t>Cabo de cobre flexível de 6 mm², isolamento 0,6/1 kV - isolação HEPR 90°C - baixa emissão de fumaça e gases</t>
  </si>
  <si>
    <t>39.26.050</t>
  </si>
  <si>
    <t>Cabo de cobre flexível de 10 mm², isolamento 0,6/1 kV - isolação HEPR 90°C - baixa emissão de fumaça e gases</t>
  </si>
  <si>
    <t>39.26.060</t>
  </si>
  <si>
    <t>Cabo de cobre flexível de 16 mm², isolamento 0,6/1 kV - isolação HEPR 90°C - baixa emissão de fumaça e gases</t>
  </si>
  <si>
    <t>39.26.070</t>
  </si>
  <si>
    <t>Cabo de cobre flexível de 25 mm², isolamento 0,6/1 kV - isolação HEPR 90°C - baixa emissão de fumaça e gases</t>
  </si>
  <si>
    <t>39.26.080</t>
  </si>
  <si>
    <t>Cabo de cobre flexível de 35 mm², isolamento 0,6/1 kV - isolação HEPR 90°C - baixa emissão de fumaça e gases</t>
  </si>
  <si>
    <t>39.26.090</t>
  </si>
  <si>
    <t>Cabo de cobre flexível de 50 mm², isolamento 0,6/1 kV - isolação HEPR 90°C - baixa emissão de fumaça e gases</t>
  </si>
  <si>
    <t>39.26.100</t>
  </si>
  <si>
    <t>Cabo de cobre flexível de 70 mm², isolamento 0,6/1 kV - isolação HEPR 90°C - baixa emissão de fumaça e gases</t>
  </si>
  <si>
    <t>39.26.110</t>
  </si>
  <si>
    <t>Cabo de cobre flexível de 95 mm², isolamento 0,6/1 kV - isolação HEPR 90°C - baixa emissão de fumaça e gases</t>
  </si>
  <si>
    <t>39.26.120</t>
  </si>
  <si>
    <t>Cabo de cobre flexível de 120 mm², isolamento 0,6/1 kV - isolação HEPR 90°C - baixa emissão de fumaça e gases</t>
  </si>
  <si>
    <t>39.26.130</t>
  </si>
  <si>
    <t>Cabo de cobre flexível de 150 mm², isolamento 0,6/1 kV - isolação HEPR 90°C - baixa emissão de fumaça e gases</t>
  </si>
  <si>
    <t>39.26.140</t>
  </si>
  <si>
    <t>Cabo de cobre flexível de 185 mm², isolamento 0,6/1 kV - isolação HEPR 90°C - baixa emissão de fumaça e gases</t>
  </si>
  <si>
    <t>39.26.150</t>
  </si>
  <si>
    <t>Cabo de cobre flexível de 240 mm², isolamento 0,6/1 kV - isolação HEPR 90°C - baixa emissão de fumaça e gases</t>
  </si>
  <si>
    <t>39.27</t>
  </si>
  <si>
    <t>Cabo optico</t>
  </si>
  <si>
    <t>39.27.010</t>
  </si>
  <si>
    <t>Cabo óptico de terminação, 2 fibras, 50/125 µm - uso interno/externo</t>
  </si>
  <si>
    <t>39.27.020</t>
  </si>
  <si>
    <t>Cabo óptico multimodo, 4 fibras, 50/125 µm - uso interno/externo</t>
  </si>
  <si>
    <t>39.27.030</t>
  </si>
  <si>
    <t>Cabo óptico multimodo, 6 fibras, 50/125 µm - uso interno/externo</t>
  </si>
  <si>
    <t>39.30</t>
  </si>
  <si>
    <t>Fios e cabos - audio e video</t>
  </si>
  <si>
    <t>39.30.010</t>
  </si>
  <si>
    <t>Cabo torcido flexível de 2 x 2,5 mm², isolação em PVC antichama</t>
  </si>
  <si>
    <t>40</t>
  </si>
  <si>
    <t>DISTRIBUICAO DE FORCA E COMANDO DE ENERGIA ELETRICA E TELEFONIA</t>
  </si>
  <si>
    <t>40.01</t>
  </si>
  <si>
    <t>Caixa de passagem estampada</t>
  </si>
  <si>
    <t>40.01.020</t>
  </si>
  <si>
    <t>Caixa de ferro estampada 4´ x 2´</t>
  </si>
  <si>
    <t>40.01.040</t>
  </si>
  <si>
    <t>Caixa de ferro estampada 4´ x 4´</t>
  </si>
  <si>
    <t>40.01.080</t>
  </si>
  <si>
    <t>40.01.090</t>
  </si>
  <si>
    <t>Caixa de ferro estampada octogonal de 3´ x 3´</t>
  </si>
  <si>
    <t>40.02</t>
  </si>
  <si>
    <t>Caixa de passagem com tampa</t>
  </si>
  <si>
    <t>40.02.010</t>
  </si>
  <si>
    <t>Caixa de tomada em alumínio para piso 4´ x 4´</t>
  </si>
  <si>
    <t>40.02.020</t>
  </si>
  <si>
    <t>Caixa de passagem em chapa, com tampa parafusada, 100 x 100 x 80 mm</t>
  </si>
  <si>
    <t>40.02.040</t>
  </si>
  <si>
    <t>Caixa de passagem em chapa, com tampa parafusada, 150 x 150 x 80 mm</t>
  </si>
  <si>
    <t>40.02.060</t>
  </si>
  <si>
    <t>Caixa de passagem em chapa, com tampa parafusada, 200 x 200 x 100 mm</t>
  </si>
  <si>
    <t>40.02.080</t>
  </si>
  <si>
    <t>Caixa de passagem em chapa, com tampa parafusada, 300 x 300 x 120 mm</t>
  </si>
  <si>
    <t>40.02.100</t>
  </si>
  <si>
    <t>Caixa de passagem em chapa, com tampa parafusada, 400 x 400 x 150 mm</t>
  </si>
  <si>
    <t>40.02.120</t>
  </si>
  <si>
    <t>Caixa de passagem em chapa, com tampa parafusada, 500 x 500 x 150 mm</t>
  </si>
  <si>
    <t>40.02.440</t>
  </si>
  <si>
    <t>Caixa em alumínio fundido à prova de tempo, umidade, gases, vapores e pó, 150 x 150 x 150 mm</t>
  </si>
  <si>
    <t>40.02.450</t>
  </si>
  <si>
    <t>Caixa em alumínio fundido à prova de tempo, umidade, gases, vapores e pó, 200 x 200 x 200 mm</t>
  </si>
  <si>
    <t>40.02.460</t>
  </si>
  <si>
    <t>Caixa em alumínio fundido à prova de tempo, umidade, gases, vapores e pó, 240 x 240 x 150 mm</t>
  </si>
  <si>
    <t>40.02.470</t>
  </si>
  <si>
    <t>Caixa em alumínio fundido à prova de tempo, umidade, gases, vapores e pó, 445 x 350 x 220 mm</t>
  </si>
  <si>
    <t>40.02.600</t>
  </si>
  <si>
    <t>Caixa de passagem em alumínio fundido à prova de tempo, 100 x 100 mm</t>
  </si>
  <si>
    <t>40.02.610</t>
  </si>
  <si>
    <t>Caixa de passagem em alumínio fundido à prova de tempo, 200 x 200 mm</t>
  </si>
  <si>
    <t>40.02.620</t>
  </si>
  <si>
    <t>Caixa de passagem em alumínio fundido à prova de tempo, 300 x 300 mm</t>
  </si>
  <si>
    <t>40.04</t>
  </si>
  <si>
    <t>Tomadas</t>
  </si>
  <si>
    <t>40.04.080</t>
  </si>
  <si>
    <t>Tomada para telefone 4P, padrão TELEBRÁS, com placa</t>
  </si>
  <si>
    <t>40.04.090</t>
  </si>
  <si>
    <t>Tomada RJ 11 para telefone, sem placa</t>
  </si>
  <si>
    <t>40.04.096</t>
  </si>
  <si>
    <t>Tomada RJ 45 para rede de dados, com placa</t>
  </si>
  <si>
    <t>40.04.140</t>
  </si>
  <si>
    <t>Tomada 3P+T de 32 A, blindada industrial de sobrepor negativa</t>
  </si>
  <si>
    <t>40.04.146</t>
  </si>
  <si>
    <t>Tomada 3P+T de 63 A, blindada industrial de embutir</t>
  </si>
  <si>
    <t>40.04.230</t>
  </si>
  <si>
    <t>Tomada de canaleta/perfilado universal 2P+T, com caixa e tampa</t>
  </si>
  <si>
    <t>40.04.340</t>
  </si>
  <si>
    <t>Plugue e tomada 2P+T de 16 A de sobrepor - 380 / 440 V</t>
  </si>
  <si>
    <t>40.04.390</t>
  </si>
  <si>
    <t>Tomada de energia quadrada com rabicho de 10 A - 250 V , para instalação em painel / rodapé / caixa de tomadas</t>
  </si>
  <si>
    <t>40.04.450</t>
  </si>
  <si>
    <t>Tomada 2P+T de 10 A - 250 V, completa</t>
  </si>
  <si>
    <t>40.04.460</t>
  </si>
  <si>
    <t>Tomada 2P+T de 20 A - 250 V, completa</t>
  </si>
  <si>
    <t>40.04.470</t>
  </si>
  <si>
    <t>Conjunto 2 tomadas 2P+T de 10 A, completo</t>
  </si>
  <si>
    <t>40.04.480</t>
  </si>
  <si>
    <t>Conjunto 1 interruptor simples e 1 tomada 2P+T de 10 A, completo</t>
  </si>
  <si>
    <t>40.04.490</t>
  </si>
  <si>
    <t>Conjunto 2 interruptores simples e 1 tomada 2P+T de 10 A, completo</t>
  </si>
  <si>
    <t>40.04.492</t>
  </si>
  <si>
    <t>Conjunto 4´ x 4´ de 1 interruptor simples, 1 tomada universal e 1 tomada de 3 polos</t>
  </si>
  <si>
    <t>40.05</t>
  </si>
  <si>
    <t>Interruptores e minuterias</t>
  </si>
  <si>
    <t>40.05.020</t>
  </si>
  <si>
    <t>Interruptor com 1 tecla simples e placa</t>
  </si>
  <si>
    <t>40.05.040</t>
  </si>
  <si>
    <t>Interruptor com 2 teclas simples e placa</t>
  </si>
  <si>
    <t>40.05.060</t>
  </si>
  <si>
    <t>Interruptor com 3 teclas simples e placa</t>
  </si>
  <si>
    <t>40.05.080</t>
  </si>
  <si>
    <t>Interruptor com 1 tecla paralelo e placa</t>
  </si>
  <si>
    <t>40.05.100</t>
  </si>
  <si>
    <t>Interruptor com 2 teclas paralelo e placa</t>
  </si>
  <si>
    <t>40.05.120</t>
  </si>
  <si>
    <t>Interruptor com 2 teclas, 1 simples, 1 paralelo e placa</t>
  </si>
  <si>
    <t>40.05.140</t>
  </si>
  <si>
    <t>Interruptor com 3 teclas, 2 simples, 1 paralelo e placa</t>
  </si>
  <si>
    <t>40.05.160</t>
  </si>
  <si>
    <t>Interruptor com 3 teclas, 1 simples, 2 paralelo e placa</t>
  </si>
  <si>
    <t>40.05.170</t>
  </si>
  <si>
    <t>Interruptor bipolar paralelo, 1 tecla dupla e placa</t>
  </si>
  <si>
    <t>40.05.180</t>
  </si>
  <si>
    <t>Interruptor bipolar simples, 1 tecla dupla e placa</t>
  </si>
  <si>
    <t>40.05.320</t>
  </si>
  <si>
    <t>Pulsador 2 A - 250 V, para minuteria com placa</t>
  </si>
  <si>
    <t>40.05.330</t>
  </si>
  <si>
    <t>Variador de luminosidade rotativo até 1000 W, 127/220 V, com placa</t>
  </si>
  <si>
    <t>40.05.340</t>
  </si>
  <si>
    <t>Sensor de presença para teto, com fotocélula, para lâmpada qualquer</t>
  </si>
  <si>
    <t>40.05.350</t>
  </si>
  <si>
    <t>Sensor de presença infravermelho passivo e microondas, alcance de 12 m - sem fio</t>
  </si>
  <si>
    <t>40.06</t>
  </si>
  <si>
    <t>Conduletes</t>
  </si>
  <si>
    <t>40.06.040</t>
  </si>
  <si>
    <t>Condulete metálico de 3/4´</t>
  </si>
  <si>
    <t>40.06.060</t>
  </si>
  <si>
    <t>Condulete metálico de 1´</t>
  </si>
  <si>
    <t>40.06.080</t>
  </si>
  <si>
    <t>Condulete metálico de 1 1/4´</t>
  </si>
  <si>
    <t>40.06.100</t>
  </si>
  <si>
    <t>Condulete metálico de 1 1/2´</t>
  </si>
  <si>
    <t>40.06.120</t>
  </si>
  <si>
    <t>Condulete metálico de 2´</t>
  </si>
  <si>
    <t>40.06.140</t>
  </si>
  <si>
    <t>Condulete metálico de 2 1/2´</t>
  </si>
  <si>
    <t>40.06.160</t>
  </si>
  <si>
    <t>Condulete metálico de 3´</t>
  </si>
  <si>
    <t>40.06.170</t>
  </si>
  <si>
    <t>Condulete metálico de 4´</t>
  </si>
  <si>
    <t>40.06.510</t>
  </si>
  <si>
    <t>Condulete em PVC de 1´ - com tampa</t>
  </si>
  <si>
    <t>40.07</t>
  </si>
  <si>
    <t>Caixa de passagem em PVC</t>
  </si>
  <si>
    <t>40.07.010</t>
  </si>
  <si>
    <t>40.07.020</t>
  </si>
  <si>
    <t>40.07.040</t>
  </si>
  <si>
    <t>Caixa em PVC octogonal de 4´ x 4´</t>
  </si>
  <si>
    <t>40.10</t>
  </si>
  <si>
    <t>Contator</t>
  </si>
  <si>
    <t>40.10.016</t>
  </si>
  <si>
    <t>Contator de potência 12 A - 1na+1nf</t>
  </si>
  <si>
    <t>40.10.020</t>
  </si>
  <si>
    <t>Contator de potência 9 A - 2na+2nf</t>
  </si>
  <si>
    <t>40.10.040</t>
  </si>
  <si>
    <t>Contator de potência 12 A - 2na+2nf</t>
  </si>
  <si>
    <t>40.10.060</t>
  </si>
  <si>
    <t>Contator de potência 16 A - 2na+2nf</t>
  </si>
  <si>
    <t>40.10.080</t>
  </si>
  <si>
    <t>Contator de potência 22 A/25 A - 2na+2nf</t>
  </si>
  <si>
    <t>40.10.100</t>
  </si>
  <si>
    <t>Contator de potência 32 A - 2na+2nf</t>
  </si>
  <si>
    <t>40.10.106</t>
  </si>
  <si>
    <t>Contator de potência 38 A/40 A - 2na+2nf</t>
  </si>
  <si>
    <t>40.10.110</t>
  </si>
  <si>
    <t>Contator de potência 50 A - 2na+2nf</t>
  </si>
  <si>
    <t>40.10.132</t>
  </si>
  <si>
    <t>Contator de potência 65 A - 2na+2nf</t>
  </si>
  <si>
    <t>40.10.136</t>
  </si>
  <si>
    <t>Contator de potência 110 A - 2na+2nf</t>
  </si>
  <si>
    <t>40.10.140</t>
  </si>
  <si>
    <t>Contator de potência 150 A - 2na+2nf</t>
  </si>
  <si>
    <t>40.10.150</t>
  </si>
  <si>
    <t>Contator de potência 220 A - 2na+2nf</t>
  </si>
  <si>
    <t>40.10.500</t>
  </si>
  <si>
    <t>Minicontator auxiliar - 4na</t>
  </si>
  <si>
    <t>40.10.510</t>
  </si>
  <si>
    <t>Contator auxiliar - 2na+2nf</t>
  </si>
  <si>
    <t>40.10.520</t>
  </si>
  <si>
    <t>Contator auxiliar - 4na+4nf</t>
  </si>
  <si>
    <t>40.11</t>
  </si>
  <si>
    <t>Rele</t>
  </si>
  <si>
    <t>40.11.010</t>
  </si>
  <si>
    <t>Relé fotoelétrico 50/60 Hz, 110/220 V, 1200 VA, completo</t>
  </si>
  <si>
    <t>40.11.020</t>
  </si>
  <si>
    <t>Relé bimetálico de sobrecarga para acoplamento direto, faixas de ajuste de 9/12 A</t>
  </si>
  <si>
    <t>40.11.030</t>
  </si>
  <si>
    <t>Relé bimetálico de sobrecarga para acoplamento direto, faixas de ajuste de 20/32 A até 50/63 A</t>
  </si>
  <si>
    <t>40.11.050</t>
  </si>
  <si>
    <t>Relé bimetálico de sobrecarga para acoplamento direto, faixas de ajuste 0,4/0,63 A até 16/25 A</t>
  </si>
  <si>
    <t>40.11.060</t>
  </si>
  <si>
    <t>Relé de tempo eletrônico de 0,6 até 6 s - 220V - 50/60 Hz</t>
  </si>
  <si>
    <t>40.11.070</t>
  </si>
  <si>
    <t>Relé supervisor trifásico contra falta de fase, inversão de fase e mínima tensão</t>
  </si>
  <si>
    <t>40.11.120</t>
  </si>
  <si>
    <t>Relé de tempo eletrônico de 1,5 até 15 minutos - 110V/220V - 50/60Hz</t>
  </si>
  <si>
    <t>40.11.230</t>
  </si>
  <si>
    <t>Relé de sobrecarga eletrônico para acoplamento direto, faixa de ajuste de 55 A até 250 A</t>
  </si>
  <si>
    <t>40.11.240</t>
  </si>
  <si>
    <t>Relé de tempo eletrônico de 3 até 30s - 220V - 50/60Hz</t>
  </si>
  <si>
    <t>40.11.250</t>
  </si>
  <si>
    <t>Relé de impulso bipolar, 16 A, 250 V CA</t>
  </si>
  <si>
    <t>40.12</t>
  </si>
  <si>
    <t>Chave comutadora e seletora</t>
  </si>
  <si>
    <t>40.12.020</t>
  </si>
  <si>
    <t>Chave comutadora/seletora com 1 polo e 3 posições para 63 A</t>
  </si>
  <si>
    <t>40.12.030</t>
  </si>
  <si>
    <t>Chave comutadora/seletora com 1 polo e 3 posições para 25 A</t>
  </si>
  <si>
    <t>40.12.200</t>
  </si>
  <si>
    <t>Chave comutadora/seletora com 1 polo e 2 posições para 25 A</t>
  </si>
  <si>
    <t>40.12.210</t>
  </si>
  <si>
    <t>Chave comutadora/seletora com 3 polos e 3 posições para 25 A</t>
  </si>
  <si>
    <t>40.13</t>
  </si>
  <si>
    <t>Amperimetro</t>
  </si>
  <si>
    <t>40.13.010</t>
  </si>
  <si>
    <t>Chave comutadora para amperímetro</t>
  </si>
  <si>
    <t>40.13.040</t>
  </si>
  <si>
    <t>Amperímetro de ferro móvel de 96 x 96 mm, para ligação em transformador de corrente, escala fixa de 0A/50 A até 0A/2 kA</t>
  </si>
  <si>
    <t>40.14</t>
  </si>
  <si>
    <t>Voltimetro</t>
  </si>
  <si>
    <t>40.14.010</t>
  </si>
  <si>
    <t>Chave comutadora para voltímetro</t>
  </si>
  <si>
    <t>40.14.030</t>
  </si>
  <si>
    <t>Voltímetro de ferro móvel de 96 x 96 mm, escalas variáveis de 0/150 V, 0/250 V, 0/300 V, 0/500 V e 0/600 V</t>
  </si>
  <si>
    <t>40.20</t>
  </si>
  <si>
    <t>Reparos, conservacoes e complementos - GRUPO 40</t>
  </si>
  <si>
    <t>40.20.050</t>
  </si>
  <si>
    <t>Sinalizador com lâmpada</t>
  </si>
  <si>
    <t>40.20.060</t>
  </si>
  <si>
    <t>Botão de comando duplo sem sinalizador</t>
  </si>
  <si>
    <t>40.20.090</t>
  </si>
  <si>
    <t>Botoeira com retenção para quadro/painel</t>
  </si>
  <si>
    <t>40.20.100</t>
  </si>
  <si>
    <t>Botoeira de comando liga-desliga, sem sinalização</t>
  </si>
  <si>
    <t>40.20.110</t>
  </si>
  <si>
    <t>Alarme sonoro bitonal 220 V para painel de comando</t>
  </si>
  <si>
    <t>40.20.120</t>
  </si>
  <si>
    <t>Placa de 4´ x 2´</t>
  </si>
  <si>
    <t>40.20.140</t>
  </si>
  <si>
    <t>Placa de 4´ x 4´</t>
  </si>
  <si>
    <t>40.20.200</t>
  </si>
  <si>
    <t>Chave de boia normalmente fechada ou aberta</t>
  </si>
  <si>
    <t>40.20.240</t>
  </si>
  <si>
    <t>Plugue com 2P+T de 10A, 250V</t>
  </si>
  <si>
    <t>40.20.250</t>
  </si>
  <si>
    <t>Plugue prolongador com 2P+T de 10A, 250V</t>
  </si>
  <si>
    <t>40.20.300</t>
  </si>
  <si>
    <t>Chave de nível tipo boia pendular (pera), com contato micro switch</t>
  </si>
  <si>
    <t>40.20.302</t>
  </si>
  <si>
    <t>Placa suporte (tampa) 4´ x 4´ para áreas úmidas, grau de proteção IP55</t>
  </si>
  <si>
    <t>40.20.310</t>
  </si>
  <si>
    <t>Placa/espelho em latão escovado 4´ x 4´, para 02 tomadas elétrica</t>
  </si>
  <si>
    <t>40.20.320</t>
  </si>
  <si>
    <t>Placa/espelho em latão escovado 4´ x 4´, para 01 tomada elétrica</t>
  </si>
  <si>
    <t>41</t>
  </si>
  <si>
    <t>ILUMINACAO</t>
  </si>
  <si>
    <t>41.02</t>
  </si>
  <si>
    <t>Lampadas</t>
  </si>
  <si>
    <t>41.02.541</t>
  </si>
  <si>
    <t>Lâmpada LED tubular T8 com base G13, de 900 até 1050 Im - 9 a 10 W</t>
  </si>
  <si>
    <t>41.02.551</t>
  </si>
  <si>
    <t>Lâmpada LED tubular T8 com base G13, de 1850 até 2000 Im - 18 a 20 W</t>
  </si>
  <si>
    <t>41.02.562</t>
  </si>
  <si>
    <t>Lâmpada LED tubular T8 com base G13, de 3400 até 4000 Im - 36 a 40 W</t>
  </si>
  <si>
    <t>41.02.580</t>
  </si>
  <si>
    <t>Lâmpada LED 13,5W, com base E-27, 1400 até 1510 lm</t>
  </si>
  <si>
    <t>41.04</t>
  </si>
  <si>
    <t>Acessorios para iluminacao</t>
  </si>
  <si>
    <t>41.04.020</t>
  </si>
  <si>
    <t>Receptáculo de porcelana com parafuso de fixação com rosca E-27</t>
  </si>
  <si>
    <t>41.04.050</t>
  </si>
  <si>
    <t>Trilho eletrificado de alimentação com 1 circuito, em alumínio com pintura na cor branco, inclusive acessórios</t>
  </si>
  <si>
    <t>41.06</t>
  </si>
  <si>
    <t>Lampada halogena</t>
  </si>
  <si>
    <t>41.06.100</t>
  </si>
  <si>
    <t>Lâmpada halógena refletora PAR20, base E27 de 50 W - 220 V</t>
  </si>
  <si>
    <t>41.06.130</t>
  </si>
  <si>
    <t>Lâmpada halógena com refletor dicroico de 50 W - 12 V</t>
  </si>
  <si>
    <t>41.06.410</t>
  </si>
  <si>
    <t>Lâmpada halógena tubular, base R7s bilateral de 300 W - 110 ou 220 V</t>
  </si>
  <si>
    <t>41.07</t>
  </si>
  <si>
    <t>Lampada fluorescente</t>
  </si>
  <si>
    <t>41.07.030</t>
  </si>
  <si>
    <t>Lâmpada fluorescente tubular, base bipino bilateral de 16 W</t>
  </si>
  <si>
    <t>41.07.050</t>
  </si>
  <si>
    <t>Lâmpada fluorescente tubular, base bipino bilateral de 20 W</t>
  </si>
  <si>
    <t>41.07.060</t>
  </si>
  <si>
    <t>Lâmpada fluorescente tubular, base bipino bilateral de 28 W</t>
  </si>
  <si>
    <t>41.07.070</t>
  </si>
  <si>
    <t>Lâmpada fluorescente tubular, base bipino bilateral de 32 W</t>
  </si>
  <si>
    <t>41.07.200</t>
  </si>
  <si>
    <t>Lâmpada fluorescente tubular, base bipino bilateral de 32 W, com camada trifósforo</t>
  </si>
  <si>
    <t>41.07.430</t>
  </si>
  <si>
    <t>Lâmpada fluorescente compacta eletrônica "3U", base E27 de 20 W - 110 ou 220 V</t>
  </si>
  <si>
    <t>41.07.450</t>
  </si>
  <si>
    <t>Lâmpada fluorescente compacta eletrônica "3U", base E27 de 25 W - 110 ou 220 V</t>
  </si>
  <si>
    <t>41.07.800</t>
  </si>
  <si>
    <t>Lâmpada fluorescente compacta "1U", base G-23 de 9 W</t>
  </si>
  <si>
    <t>41.07.810</t>
  </si>
  <si>
    <t>Lâmpada fluorescente compacta "2U", base G-24D-2 de 18 W</t>
  </si>
  <si>
    <t>41.07.820</t>
  </si>
  <si>
    <t>Lâmpada fluorescente compacta "2U", base G-24D-3 de 26 W</t>
  </si>
  <si>
    <t>41.07.860</t>
  </si>
  <si>
    <t>Lâmpada fluorescente compacta "2U", base G-24Q-3 de 26 W</t>
  </si>
  <si>
    <t>41.08</t>
  </si>
  <si>
    <t>Reator e equipamentos para lampada de descarga de alta potencia</t>
  </si>
  <si>
    <t>41.08.010</t>
  </si>
  <si>
    <t>Transformador eletrônico para lâmpada halógena dicroica de 50 W - 220 V</t>
  </si>
  <si>
    <t>41.09</t>
  </si>
  <si>
    <t>Reator e equipamentos para lampada fluorescente</t>
  </si>
  <si>
    <t>41.09.720</t>
  </si>
  <si>
    <t>Reator eletrônico de alto fator de potência com partida instantânea, para 2 lâmpadas fluorescentes tubulares, base bipino bilateral, 16 W - 127 V / 220 V</t>
  </si>
  <si>
    <t>41.09.740</t>
  </si>
  <si>
    <t>Reator eletrônico de alto fator de potência com partida instantânea, para 2 lâmpadas fluorescentes tubulares, base bipino bilateral, 28 W - 127 V / 220 V</t>
  </si>
  <si>
    <t>41.09.750</t>
  </si>
  <si>
    <t>Reator eletrônico de alto fator de potência com partida instantânea, para 2 lâmpadas fluorescentes tubulares, base bipino bilateral, 32 W - 127 V / 220 V</t>
  </si>
  <si>
    <t>41.09.830</t>
  </si>
  <si>
    <t>Reator eletrônico de alto fator de potência com partida instantânea, para 2 lâmpadas fluorescentes tubulares "HO", base bipino bilateral, 110 W - 220 V</t>
  </si>
  <si>
    <t>41.09.870</t>
  </si>
  <si>
    <t>Reator eletrônico de alto fator de potência com partida instantânea, para uma lâmpada fluorescente compacta "2U", base G24q-3, 26 W - 220 V</t>
  </si>
  <si>
    <t>41.09.890</t>
  </si>
  <si>
    <t>Reator eletrônico de alto fator de potência com partida instantânea, para 2 lâmpadas fluorescentes compactas "2U", base G24q-3, 26 W - 220 V</t>
  </si>
  <si>
    <t>41.10</t>
  </si>
  <si>
    <t>Postes e acessorios</t>
  </si>
  <si>
    <t>41.10.060</t>
  </si>
  <si>
    <t>Braço em tubo de ferro galvanizado de 1" x 1,00 m para fixação de uma luminária</t>
  </si>
  <si>
    <t>41.10.070</t>
  </si>
  <si>
    <t>Cruzeta reforçada em ferro galvanizado para fixação de quatro luminárias</t>
  </si>
  <si>
    <t>41.10.080</t>
  </si>
  <si>
    <t>Cruzeta reforçada em ferro galvanizado para fixação de duas luminárias</t>
  </si>
  <si>
    <t>41.10.260</t>
  </si>
  <si>
    <t>Poste telecônico curvo em aço SAE 1010/1020 galvanizado a fogo, altura de 8,00 m</t>
  </si>
  <si>
    <t>41.10.330</t>
  </si>
  <si>
    <t>Poste telecônico reto em aço SAE 1010/1020 galvanizado a fogo, altura de 10,00 m</t>
  </si>
  <si>
    <t>41.10.340</t>
  </si>
  <si>
    <t>Poste telecônico reto em aço SAE 1010/1020 galvanizado a fogo, altura de 8,00 m</t>
  </si>
  <si>
    <t>41.10.400</t>
  </si>
  <si>
    <t>Poste telecônico em aço SAE 1010/1020 galvanizado a fogo, com espera para uma luminária, altura de 3,00 m</t>
  </si>
  <si>
    <t>41.10.410</t>
  </si>
  <si>
    <t>Poste telecônico em aço SAE 1010/1020 galvanizado a fogo, com espera para duas luminárias, altura de 3,00 m</t>
  </si>
  <si>
    <t>41.10.430</t>
  </si>
  <si>
    <t>Poste telecônico reto em aço SAE 1010/1020 galvanizado a fogo, altura de 6,00 m</t>
  </si>
  <si>
    <t>41.10.490</t>
  </si>
  <si>
    <t>Poste telecônico reto em aço SAE 1010/1020 galvanizado a fogo, com base, altura de 7,00 m</t>
  </si>
  <si>
    <t>41.10.500</t>
  </si>
  <si>
    <t>Poste telecônico reto em aço SAE 1010/1020 galvanizado a fogo, altura de 4,00 m</t>
  </si>
  <si>
    <t>41.11</t>
  </si>
  <si>
    <t>Aparelho de iluminacao publica e decorativa</t>
  </si>
  <si>
    <t>41.11.060</t>
  </si>
  <si>
    <t>Luminária fechada para iluminação pública tipo pétala pequena</t>
  </si>
  <si>
    <t>41.11.090</t>
  </si>
  <si>
    <t>Luminária com corpo em tubo de alumínio tipo balizador para uso externo</t>
  </si>
  <si>
    <t>41.11.094</t>
  </si>
  <si>
    <t>Luminária LED de embutir para caixa de luz 4 x 2cm, para uso externo, tipo balizador de 3 W</t>
  </si>
  <si>
    <t>41.11.100</t>
  </si>
  <si>
    <t>Luminária retangular fechada para iluminação externa em poste, tipo pétala grande</t>
  </si>
  <si>
    <t>41.11.110</t>
  </si>
  <si>
    <t>Luminária retangular fechada para iluminação externa em poste, tipo pétala pequena</t>
  </si>
  <si>
    <t>41.11.115</t>
  </si>
  <si>
    <t>Luminária retangular tipo arandela externa para 2 lâmpadas, com difusor em polietileno ou vidro leitoso</t>
  </si>
  <si>
    <t>41.11.116</t>
  </si>
  <si>
    <t>Luminária LED retangular para poste, fluxo luminoso de 5000 a 5500 lm - potência de 50W</t>
  </si>
  <si>
    <t>41.11.440</t>
  </si>
  <si>
    <t>Suporte tubular de fixação em poste para 1 luminária tipo pétala</t>
  </si>
  <si>
    <t>41.11.450</t>
  </si>
  <si>
    <t>Suporte tubular de fixação em poste para 2 luminárias tipo pétala</t>
  </si>
  <si>
    <t>41.11.702</t>
  </si>
  <si>
    <t>Luminária LED solar integrada para poste, fluxo luminoso de 8000 lm, eficiência mínima de 130,5 lm/W - potência de 80 W</t>
  </si>
  <si>
    <t>41.11.703</t>
  </si>
  <si>
    <t>41.11.704</t>
  </si>
  <si>
    <t>Luminária LED retangular para poste, fluxo luminoso de 14083 lm, eficiência mínima 135 lm/W - potência de 104 W</t>
  </si>
  <si>
    <t>41.11.707</t>
  </si>
  <si>
    <t>Luminária LED retangular para poste, fluxo luminoso de 27624 lm, eficiência mínima 135 lm/W - potência de 204 W</t>
  </si>
  <si>
    <t>41.11.711</t>
  </si>
  <si>
    <t>Luminária LED retangular para parede ou piso, fluxo luminoso de 11838 a 12150 lm, eficiência mínima 107 lm/W - potência de 86 W/120 W</t>
  </si>
  <si>
    <t>41.11.712</t>
  </si>
  <si>
    <t>Luminária LED redonda de embutir para parede ou piso, área interna ou externa, bivolt - potência 6 W</t>
  </si>
  <si>
    <t>41.11.721</t>
  </si>
  <si>
    <t>41.12</t>
  </si>
  <si>
    <t>Aparelho de iluminacao de longo alcance e especifica</t>
  </si>
  <si>
    <t>41.12.210</t>
  </si>
  <si>
    <t>Projetor LED modular, fluxo luminoso de 26294 lm, eficiência mínima de 125 l/W - 150 W/200 W</t>
  </si>
  <si>
    <t>41.13</t>
  </si>
  <si>
    <t>Aparelho de iluminacao a prova de tempo, gases e vapores</t>
  </si>
  <si>
    <t>41.13.050</t>
  </si>
  <si>
    <t>Luminária blindada de sobrepor ou pendente em calha fechada, para 2 lâmpadas fluorescentes de 32 W/36 W/40 W</t>
  </si>
  <si>
    <t>41.13.102</t>
  </si>
  <si>
    <t>Luminária blindada tipo arandela de 45º e 90º, para lâmpada LED</t>
  </si>
  <si>
    <t>41.13.200</t>
  </si>
  <si>
    <t>Luminária blindada oval de sobrepor ou arandela, para lâmpada fluorescentes compacta</t>
  </si>
  <si>
    <t>41.14</t>
  </si>
  <si>
    <t>Aparelho de iluminacao comercial e industrial</t>
  </si>
  <si>
    <t>41.14.020</t>
  </si>
  <si>
    <t>Luminária retangular de embutir tipo calha fechada, com difusor plano, para 2 lâmpadas fluorescentes tubulares de 28 W/32 W/36 W/54 W</t>
  </si>
  <si>
    <t>41.14.070</t>
  </si>
  <si>
    <t>Luminária retangular de sobrepor tipo calha aberta, para 2 lâmpadas fluorescentes tubulares de 32 W</t>
  </si>
  <si>
    <t>41.14.090</t>
  </si>
  <si>
    <t>Luminária retangular de sobrepor tipo calha fechada, com difusor translúcido, para 2 lâmpadas fluorescentes de 28 W/32 W/36 W/54 W</t>
  </si>
  <si>
    <t>41.14.210</t>
  </si>
  <si>
    <t>Luminária quadrada de embutir tipo calha aberta com aletas planas, para 2 lâmpadas fluorescentes compactas de 18 W/26 W</t>
  </si>
  <si>
    <t>41.14.390</t>
  </si>
  <si>
    <t>Luminária retangular de sobrepor tipo calha aberta, com refletor em alumínio de alto brilho, para 2 lâmpadas fluorescentes tubulares 32 W/36 W</t>
  </si>
  <si>
    <t>41.14.430</t>
  </si>
  <si>
    <t>Luminária quadrada de embutir tipo calha aberta, com refletor e aleta parabólicas em alumínio de alto brilho, para 4 lâmpadas fluorescentes de 14 W/16 W/18 W</t>
  </si>
  <si>
    <t>41.14.530</t>
  </si>
  <si>
    <t>Luminária redonda de sobrepor com difusor em vidro temperado jateado para 1 ou 2 lâmpadas fluorescentes compactas de 18 W/26 W</t>
  </si>
  <si>
    <t>41.14.560</t>
  </si>
  <si>
    <t>Luminária retangular de embutir tipo calha aberta com aletas parabólicas para 2 lâmpadas fluorescentes tubulares de 28 W/54 W</t>
  </si>
  <si>
    <t>41.14.590</t>
  </si>
  <si>
    <t>Luminária industrial pendente tipo calha aberta instalação em perfilado para 1 ou 2 lâmpadas fluorescentes tubulares 14 W</t>
  </si>
  <si>
    <t>41.14.600</t>
  </si>
  <si>
    <t>Luminária industrial pendente tipo calha aberta instalação em perfilado para 1 ou 2 lâmpadas fluorescentes tubulares 28 W/54 W</t>
  </si>
  <si>
    <t>41.14.620</t>
  </si>
  <si>
    <t>Luminária retangular de sobrepor tipo calha aberta com refletor e aletas parabólicas para 2 lâmpadas fluorescentes tubulares 28 W/54 W</t>
  </si>
  <si>
    <t>41.14.640</t>
  </si>
  <si>
    <t>Luminária retangular de embutir tipo calha aberta com refletor em alumínio de alto brilho para 2 lâmpadas fluorescentes tubulares de 28 W/54 W</t>
  </si>
  <si>
    <t>41.14.670</t>
  </si>
  <si>
    <t>Luminária triangular de sobrepor tipo arandela para fluorescente compacta de 15 W/20 W/23 W</t>
  </si>
  <si>
    <t>41.14.730</t>
  </si>
  <si>
    <t>Luminária redonda de embutir com refletor em alumínio jateado e difusor em vidro para 2 lâmpadas fluorescentes compactas duplas de 18 W/26 W</t>
  </si>
  <si>
    <t>41.14.740</t>
  </si>
  <si>
    <t>Luminária retangular de embutir assimétrica para 1 lâmpada fluorescente tubular de 14 W</t>
  </si>
  <si>
    <t>41.14.790</t>
  </si>
  <si>
    <t>41.14.792</t>
  </si>
  <si>
    <t>Luminária hermética de sobrepor, com difusor em policarbonato, para lâmpadas de 2 x 28 W/32 W/54 W</t>
  </si>
  <si>
    <t>41.15</t>
  </si>
  <si>
    <t>Aparelho de iluminacao interna decorativa</t>
  </si>
  <si>
    <t>41.15.170</t>
  </si>
  <si>
    <t>Luminária redonda de embutir, com foco orientável e acessório antiofuscante, para 1 lâmpada dicroica de 50 W</t>
  </si>
  <si>
    <t>41.20</t>
  </si>
  <si>
    <t>Reparos, conservacoes e complementos - GRUPO 41</t>
  </si>
  <si>
    <t>41.20.020</t>
  </si>
  <si>
    <t>Recolocação de aparelhos de iluminação ou projetores fixos em teto, piso ou parede</t>
  </si>
  <si>
    <t>41.20.080</t>
  </si>
  <si>
    <t>Plafon plástico e/ou PVC para acabamento de ponto de luz, com soquete E-27 para lâmpada fluorescente compacta</t>
  </si>
  <si>
    <t>41.20.120</t>
  </si>
  <si>
    <t>Recolocação de reator</t>
  </si>
  <si>
    <t>41.20.130</t>
  </si>
  <si>
    <t>Recolocação de lâmpada</t>
  </si>
  <si>
    <t>41.31</t>
  </si>
  <si>
    <t>Iluminacao LED</t>
  </si>
  <si>
    <t>41.31.040</t>
  </si>
  <si>
    <t>Luminária LED retangular de sobrepor com difusor translúcido, 4000 K, fluxo luminoso de 3690 a 4800 lm, potência de 35 W a 41 W</t>
  </si>
  <si>
    <t>41.31.070</t>
  </si>
  <si>
    <t>Luminária LED quadrada de sobrepor com difusor prismático translúcido, 4000 K, fluxo luminoso de 1363 a 1800 lm, potência de 15 W a 24 W</t>
  </si>
  <si>
    <t>41.31.080</t>
  </si>
  <si>
    <t>Luminária LED redonda de embutir com difusor translúcido, 4000 K, fluxo luminoso de 800 a 1060 lm, potência de 9 W a 12 W</t>
  </si>
  <si>
    <t>41.31.087</t>
  </si>
  <si>
    <t>Luminária LED redonda de sobrepor com difusor recuado translucido, 4000 K, fluxo luminoso de 1900 a 2000 lm, potência de 17 W a 19 W</t>
  </si>
  <si>
    <t>41.31.101</t>
  </si>
  <si>
    <t>Projetor LED retangular, potência de 30 W, fluxo luminoso de 2250 a 2400 lm, temperatura cor 6.500 K, bivolt</t>
  </si>
  <si>
    <t>42</t>
  </si>
  <si>
    <t>PARA-RAIOS PARA EDIFICACAO</t>
  </si>
  <si>
    <t>42.01</t>
  </si>
  <si>
    <t>Complementos para para-raios</t>
  </si>
  <si>
    <t>42.01.020</t>
  </si>
  <si>
    <t>Captor tipo Franklin, h= 300 mm, 4 pontos, 1 descida, acabamento cromado</t>
  </si>
  <si>
    <t>42.01.040</t>
  </si>
  <si>
    <t>Captor tipo Franklin, h= 300 mm, 4 pontos, 2 descidas, acabamento cromado</t>
  </si>
  <si>
    <t>42.01.060</t>
  </si>
  <si>
    <t>Luva de redução galvanizada de 2´ x 3/4´</t>
  </si>
  <si>
    <t>42.01.080</t>
  </si>
  <si>
    <t>42.01.086</t>
  </si>
  <si>
    <t>Captor tipo terminal aéreo, h= 300 mm em alumínio</t>
  </si>
  <si>
    <t>42.01.090</t>
  </si>
  <si>
    <t>Captor tipo terminal aéreo, h= 300 mm, diâmetro de 1/4´ em cobre</t>
  </si>
  <si>
    <t>42.01.096</t>
  </si>
  <si>
    <t>Captor tipo terminal aéreo, h= 250 mm, diâmetro de 3/8´ galvanizado a fogo</t>
  </si>
  <si>
    <t>42.01.098</t>
  </si>
  <si>
    <t>Captor tipo terminal aéreo, h= 600 mm, diâmetro de 3/8´ galvanizado a fogo</t>
  </si>
  <si>
    <t>42.02</t>
  </si>
  <si>
    <t>Isolador galvanizado uso geral</t>
  </si>
  <si>
    <t>42.02.010</t>
  </si>
  <si>
    <t>Isolador galvanizado uso geral, simples com rosca mecânica</t>
  </si>
  <si>
    <t>42.02.020</t>
  </si>
  <si>
    <t>Isolador galvanizado uso geral, reforçado para fixação a 90°</t>
  </si>
  <si>
    <t>42.02.040</t>
  </si>
  <si>
    <t>Isolador galvanizado uso geral, simples com chapa de encosto</t>
  </si>
  <si>
    <t>42.02.060</t>
  </si>
  <si>
    <t>Isolador galvanizado uso geral, reforçado com chapa de encosto</t>
  </si>
  <si>
    <t>42.02.080</t>
  </si>
  <si>
    <t>Isolador galvanizado uso geral, simples com calha para telha ondulada</t>
  </si>
  <si>
    <t>42.02.100</t>
  </si>
  <si>
    <t>Isolador galvanizado uso geral, reforçado com calha para telha ondulada</t>
  </si>
  <si>
    <t>42.03</t>
  </si>
  <si>
    <t>Isolador galvanizado para mastro</t>
  </si>
  <si>
    <t>42.03.020</t>
  </si>
  <si>
    <t>Isolador galvanizado para mastro de diâmetro 2´, simples com 1 descida</t>
  </si>
  <si>
    <t>42.03.040</t>
  </si>
  <si>
    <t>Isolador galvanizado para mastro de diâmetro 2´, simples com 2 descidas</t>
  </si>
  <si>
    <t>42.03.060</t>
  </si>
  <si>
    <t>Isolador galvanizado para mastro de diâmetro 2´, reforçado com 1 descida</t>
  </si>
  <si>
    <t>42.03.080</t>
  </si>
  <si>
    <t>Isolador galvanizado para mastro de diâmetro 2´, reforçado com 2 descidas</t>
  </si>
  <si>
    <t>42.04</t>
  </si>
  <si>
    <t>Componentes de sustentacao para mastro galvanizado</t>
  </si>
  <si>
    <t>42.04.020</t>
  </si>
  <si>
    <t>Braçadeira de contraventagem para mastro de diâmetro 2´</t>
  </si>
  <si>
    <t>42.04.040</t>
  </si>
  <si>
    <t>Apoio para mastro de diâmetro 2´</t>
  </si>
  <si>
    <t>42.04.060</t>
  </si>
  <si>
    <t>Base para mastro de diâmetro 2´</t>
  </si>
  <si>
    <t>42.04.080</t>
  </si>
  <si>
    <t>Contraventagem com cabo para mastro de diâmetro 2´</t>
  </si>
  <si>
    <t>42.04.120</t>
  </si>
  <si>
    <t>Mastro simples galvanizado de diâmetro 2´</t>
  </si>
  <si>
    <t>42.04.140</t>
  </si>
  <si>
    <t>Suporte porta bandeira simples para mastro de diâmetro 2´</t>
  </si>
  <si>
    <t>42.04.160</t>
  </si>
  <si>
    <t>Suporte porta bandeira reforçado para mastro de diâmetro 2´</t>
  </si>
  <si>
    <t>42.05</t>
  </si>
  <si>
    <t>Componentes para cabo de descida</t>
  </si>
  <si>
    <t>42.05.010</t>
  </si>
  <si>
    <t>Sinalizador de obstáculo simples, sem célula fotoelétrica</t>
  </si>
  <si>
    <t>42.05.020</t>
  </si>
  <si>
    <t>Braçadeira para fixação do aparelho sinalizador para mastro de diâmetro 2´</t>
  </si>
  <si>
    <t>42.05.030</t>
  </si>
  <si>
    <t>Sinalizador de obstáculo duplo, sem célula fotoelétrica</t>
  </si>
  <si>
    <t>42.05.050</t>
  </si>
  <si>
    <t>Sinalizador de obstáculo simples, com célula fotoelétrica</t>
  </si>
  <si>
    <t>42.05.070</t>
  </si>
  <si>
    <t>Sinalizador de obstáculo duplo, com célula fotoelétrica</t>
  </si>
  <si>
    <t>42.05.100</t>
  </si>
  <si>
    <t>42.05.110</t>
  </si>
  <si>
    <t>Conector cabo/haste de 3/4´</t>
  </si>
  <si>
    <t>42.05.120</t>
  </si>
  <si>
    <t>Conector de emenda em latão para cabo de até 50 mm² com 4 parafusos</t>
  </si>
  <si>
    <t>42.05.140</t>
  </si>
  <si>
    <t>Conector olhal cabo/haste de 3/4´</t>
  </si>
  <si>
    <t>42.05.160</t>
  </si>
  <si>
    <t>Conector olhal cabo/haste de 5/8´</t>
  </si>
  <si>
    <t>42.05.170</t>
  </si>
  <si>
    <t>Vergalhão liso de aço galvanizado, diâmetro de 3/8´</t>
  </si>
  <si>
    <t>42.05.180</t>
  </si>
  <si>
    <t>Esticador em latão para cabo de cobre</t>
  </si>
  <si>
    <t>42.05.190</t>
  </si>
  <si>
    <t>Haste de aterramento de 3/4´ x 3 m</t>
  </si>
  <si>
    <t>42.05.200</t>
  </si>
  <si>
    <t>Haste de aterramento de 5/8" x 2,4 m</t>
  </si>
  <si>
    <t>42.05.210</t>
  </si>
  <si>
    <t>Haste de aterramento de 5/8´ x 3 m</t>
  </si>
  <si>
    <t>42.05.220</t>
  </si>
  <si>
    <t>Mastro para sinalizador de obstáculo, de 1,5 m x 3/4´</t>
  </si>
  <si>
    <t>42.05.230</t>
  </si>
  <si>
    <t>Clips de fixação para vergalhão em aço galvanizado de 3/8´</t>
  </si>
  <si>
    <t>42.05.240</t>
  </si>
  <si>
    <t>Suporte para tubo de proteção com chapa de encosto, diâmetro 2´</t>
  </si>
  <si>
    <t>42.05.250</t>
  </si>
  <si>
    <t>Barra condutora chata em alumínio de 3/4´ x 1/4´, inclusive acessórios de fixação</t>
  </si>
  <si>
    <t>42.05.260</t>
  </si>
  <si>
    <t>Suporte para tubo de proteção com grapa para chumbar, diâmetro 2´</t>
  </si>
  <si>
    <t>42.05.270</t>
  </si>
  <si>
    <t>Conector em latão estanhado para cabos de 16 a 50 mm² e vergalhões até 3/8´</t>
  </si>
  <si>
    <t>42.05.290</t>
  </si>
  <si>
    <t>Suporte para fixação de terminal aéreo e/ou de cabo de cobre nu, com base plana</t>
  </si>
  <si>
    <t>42.05.300</t>
  </si>
  <si>
    <t>Tampa para caixa de inspeção cilíndrica, aço galvanizado</t>
  </si>
  <si>
    <t>42.05.310</t>
  </si>
  <si>
    <t>Caixa de inspeção do terra cilíndrica em PVC rígido, diâmetro de 300 mm - h= 250 mm</t>
  </si>
  <si>
    <t>42.05.320</t>
  </si>
  <si>
    <t>Caixa de inspeção do terra cilíndrica em PVC rígido, diâmetro de 300 mm - h= 400 mm</t>
  </si>
  <si>
    <t>42.05.330</t>
  </si>
  <si>
    <t>Caixa de inspeção do terra cilíndrica em PVC rígido, diâmetro de 300 mm - h= 600 mm</t>
  </si>
  <si>
    <t>42.05.340</t>
  </si>
  <si>
    <t>Barra condutora chata em cobre de 3/4´ x 3/16´, inclusive acessórios de fixação</t>
  </si>
  <si>
    <t>42.05.370</t>
  </si>
  <si>
    <t>Caixa de equalização, de embutir, em aço com barramento, de 400 x 400 mm e tampa</t>
  </si>
  <si>
    <t>42.05.380</t>
  </si>
  <si>
    <t>Caixa de equalização, de embutir, em aço com barramento, de 200 x 200 mm e tampa</t>
  </si>
  <si>
    <t>42.05.390</t>
  </si>
  <si>
    <t>Presilha em latão para cabos de 16 até 50 mm²</t>
  </si>
  <si>
    <t>42.05.410</t>
  </si>
  <si>
    <t>Suporte para fixação de terminal aéreo e/ou de cabo de cobre nu, com base ondulada</t>
  </si>
  <si>
    <t>42.05.440</t>
  </si>
  <si>
    <t>Barra condutora chata em alumínio de 7/8´ x 1/8´, inclusive acessórios de fixação</t>
  </si>
  <si>
    <t>42.05.450</t>
  </si>
  <si>
    <t>Conector com rabicho e porca em latão para cabo de 16 a 35 mm²</t>
  </si>
  <si>
    <t>42.05.510</t>
  </si>
  <si>
    <t>Suporte para fixação de fita de alumínio 7/8´ x 1/8´ e/ou cabo de cobre nu, com base ondulada</t>
  </si>
  <si>
    <t>42.05.520</t>
  </si>
  <si>
    <t>Suporte para fixação de fita de alumínio 7/8´ x 1/8´, com base plana</t>
  </si>
  <si>
    <t>42.05.542</t>
  </si>
  <si>
    <t>Tela equipotencial em aço inoxidável, largura de 200 mm, espessura de 1,4 mm</t>
  </si>
  <si>
    <t>42.05.550</t>
  </si>
  <si>
    <t>Cordoalha flexível "Jumpers" de 25 x 235 mm, com 4 furos de 11 mm</t>
  </si>
  <si>
    <t>42.05.560</t>
  </si>
  <si>
    <t>Cordoalha flexível "Jumpers" de 25 x 300 mm, com 4 furos de 11 mm</t>
  </si>
  <si>
    <t>42.05.570</t>
  </si>
  <si>
    <t>Terminal estanhado com 1 furo e 1 compressão - 16 mm²</t>
  </si>
  <si>
    <t>42.05.580</t>
  </si>
  <si>
    <t>Terminal estanhado com 1 furo e 1 compressão - 35 mm²</t>
  </si>
  <si>
    <t>42.05.590</t>
  </si>
  <si>
    <t>Terminal estanhado com 1 furo e 1 compressão - 50 mm²</t>
  </si>
  <si>
    <t>42.05.620</t>
  </si>
  <si>
    <t>Terminal estanhado com 2 furos e 1 compressão - 50 mm²</t>
  </si>
  <si>
    <t>42.05.630</t>
  </si>
  <si>
    <t>Conector tipo ´X´ para aterramento de telas, acabamento estanhado, para cabo de 16 - 50 mm²</t>
  </si>
  <si>
    <t>42.05.650</t>
  </si>
  <si>
    <t>Malha fechada pré-fabricada em fio de cobre de 16mm e mesch 30 x 30cm para aterramento</t>
  </si>
  <si>
    <t>42.20</t>
  </si>
  <si>
    <t>Reparos, conservacoes e complementos - GRUPO 42</t>
  </si>
  <si>
    <t>42.20.080</t>
  </si>
  <si>
    <t>Solda exotérmica conexão cabo-cabo horizontal em X, bitola do cabo de 16-16mm² a 35-35mm²</t>
  </si>
  <si>
    <t>42.20.090</t>
  </si>
  <si>
    <t>Solda exotérmica conexão cabo-cabo horizontal em X, bitola do cabo de 50-25mm² a 95-50mm²</t>
  </si>
  <si>
    <t>42.20.120</t>
  </si>
  <si>
    <t>Solda exotérmica conexão cabo-cabo horizontal em X sobreposto, bitola do cabo de 35-35mm² a 50-35mm²</t>
  </si>
  <si>
    <t>42.20.130</t>
  </si>
  <si>
    <t>Solda exotérmica conexão cabo-cabo horizontal em X sobreposto, bitola do cabo de 50-50mm² a 95-50mm²</t>
  </si>
  <si>
    <t>42.20.150</t>
  </si>
  <si>
    <t>Solda exotérmica conexão cabo-cabo horizontal em T, bitola do cabo de 16-16mm² a 50-35mm², 70-35mm² e 95-35mm²</t>
  </si>
  <si>
    <t>42.20.160</t>
  </si>
  <si>
    <t>Solda exotérmica conexão cabo-cabo horizontal em T, bitola do cabo de 50-50mm² a 95-50mm²</t>
  </si>
  <si>
    <t>42.20.170</t>
  </si>
  <si>
    <t>Solda exotérmica conexão cabo-cabo horizontal reto, bitola do cabo de 16mm² a 70mm²</t>
  </si>
  <si>
    <t>42.20.190</t>
  </si>
  <si>
    <t>Solda exotérmica conexão cabo-haste em X sobreposto, bitola do cabo de 35mm² a 50mm² para haste de 5/8" e 3/4"</t>
  </si>
  <si>
    <t>42.20.210</t>
  </si>
  <si>
    <t>Solda exotérmica conexão cabo-haste em T, bitola do cabo de 35mm² para haste de 5/8" e 3/4"</t>
  </si>
  <si>
    <t>42.20.220</t>
  </si>
  <si>
    <t>Solda exotérmica conexão cabo-haste em T, bitola do cabo de 50mm² a 95mm² para haste de 5/8" e 3/4"</t>
  </si>
  <si>
    <t>42.20.230</t>
  </si>
  <si>
    <t>Solda exotérmica conexão cabo-haste na lateral, bitola do cabo de 25mm² a 70mm² para haste de 5/8" e 3/4"</t>
  </si>
  <si>
    <t>42.20.240</t>
  </si>
  <si>
    <t>Solda exotérmica conexão cabo-haste no topo, bitola do cabo de 25mm² a 35mm² para haste de 5/8"</t>
  </si>
  <si>
    <t>42.20.250</t>
  </si>
  <si>
    <t>Solda exotérmica conexão cabo-haste no topo, bitola do cabo de 50mm² a 95mm² para haste de 5/8" e 3/4"</t>
  </si>
  <si>
    <t>42.20.260</t>
  </si>
  <si>
    <t>Solda exotérmica conexão cabo-ferro de construção com cabo paralelo, bitola do cabo de 35mm² para haste de 5/8" e 3/4"</t>
  </si>
  <si>
    <t>42.20.270</t>
  </si>
  <si>
    <t>Solda exotérmica conexão cabo-ferro de construção com cabo paralelo, bitola do cabo de 50mm² a 70mm² para haste de 5/8" e 3/4"</t>
  </si>
  <si>
    <t>42.20.280</t>
  </si>
  <si>
    <t>Solda exotérmica conexão cabo-ferro de construção com cabo em X sobreposto, bitola do cabo de 35mm² a 70mm² para haste de 5/8"</t>
  </si>
  <si>
    <t>42.20.290</t>
  </si>
  <si>
    <t>Solda exotérmica conexão cabo-ferro de construção com cabo em X sobreposto, bitola do cabo de 35mm² a 70mm² para haste de 3/8"</t>
  </si>
  <si>
    <t>42.20.300</t>
  </si>
  <si>
    <t>Solda exotérmica conexão cabo-terminal com duas fixações, bitola do cabo de 25mm² a 50mm² para terminal 3x25</t>
  </si>
  <si>
    <t>42.20.310</t>
  </si>
  <si>
    <t>Solda exotérmica conexão cabo-superfície de aço, bitola do cabo de 16mm² a 35mm²</t>
  </si>
  <si>
    <t>42.20.320</t>
  </si>
  <si>
    <t>Solda exotérmica conexão cabo-superfície de aço, bitola do cabo de 50mm² a 95mm²</t>
  </si>
  <si>
    <t>43</t>
  </si>
  <si>
    <t>APARELHOS ELETRICOS, HIDRAULICOS E A GAS.</t>
  </si>
  <si>
    <t>43.01</t>
  </si>
  <si>
    <t>Bebedouros</t>
  </si>
  <si>
    <t>43.01.012</t>
  </si>
  <si>
    <t>Purificador de pressão elétrico em chapa eletrozincado pré-pintada e tampo em aço inoxidável, tipo coluna, capacidade de refrigeração de 2 l/h - simples</t>
  </si>
  <si>
    <t>43.01.032</t>
  </si>
  <si>
    <t>Purificador de pressão elétrico em chapa eletrozincado pré-pintada e tampo em aço inoxidável, tipo coluna, capacidade de refrigeração de 2 l/h - conjugado</t>
  </si>
  <si>
    <t>43.02</t>
  </si>
  <si>
    <t>Chuveiros</t>
  </si>
  <si>
    <t>43.02.010</t>
  </si>
  <si>
    <t>Chuveiro frio em PVC, diâmetro de 10 cm</t>
  </si>
  <si>
    <t>43.02.070</t>
  </si>
  <si>
    <t>Chuveiro com válvula de acionamento antivandalismo, DN= 3/4´</t>
  </si>
  <si>
    <t>43.02.080</t>
  </si>
  <si>
    <t>Chuveiro elétrico de 6.500W / 220V com resistência blindada</t>
  </si>
  <si>
    <t>43.02.100</t>
  </si>
  <si>
    <t>Chuveiro com jato regulável em metal com acabamento cromado</t>
  </si>
  <si>
    <t>43.02.122</t>
  </si>
  <si>
    <t>Chuveiro frio em PVC, com registro e tubo de ligação acoplados</t>
  </si>
  <si>
    <t>43.02.140</t>
  </si>
  <si>
    <t>Chuveiro elétrico de 5.500 W / 220 V em PVC</t>
  </si>
  <si>
    <t>43.02.160</t>
  </si>
  <si>
    <t>Chuveiro lava-olhos, acionamento manual, tubulação em ferro galvanizado com pintura epóxi cor verde</t>
  </si>
  <si>
    <t>43.02.180</t>
  </si>
  <si>
    <t>Ducha eletrônica de 6.800W até 7.900 W / 220 V</t>
  </si>
  <si>
    <t>43.03</t>
  </si>
  <si>
    <t>Aquecedores</t>
  </si>
  <si>
    <t>43.03.050</t>
  </si>
  <si>
    <t>Aquecedor a gás de acumulação, capacidade 300 l</t>
  </si>
  <si>
    <t>43.03.130</t>
  </si>
  <si>
    <t>Aquecedor a gás de acumulação, capacidade 500 l</t>
  </si>
  <si>
    <t>43.03.212</t>
  </si>
  <si>
    <t>Aquecedor de passagem elétrico individual, baixa pressão - 5.000 W / 6.400 W</t>
  </si>
  <si>
    <t>43.03.220</t>
  </si>
  <si>
    <t>Sistema de aquecimento de passagem a gás com sistema misturador para abastecimento de até 08 duchas</t>
  </si>
  <si>
    <t>43.03.500</t>
  </si>
  <si>
    <t>Coletor em alumínio para sistema de aquecimento solar com área coletora até 1,60 m²</t>
  </si>
  <si>
    <t>43.03.510</t>
  </si>
  <si>
    <t>Coletor em alumínio para sistema de aquecimento solar com área coletora até 2,00 m²</t>
  </si>
  <si>
    <t>43.03.550</t>
  </si>
  <si>
    <t>Reservatório térmico horizontal em aço inoxidável AISI 304, capacidade de 500 litros</t>
  </si>
  <si>
    <t>43.04</t>
  </si>
  <si>
    <t>Torneiras eletricas</t>
  </si>
  <si>
    <t>43.04.020</t>
  </si>
  <si>
    <t>Torneira elétrica</t>
  </si>
  <si>
    <t>43.05</t>
  </si>
  <si>
    <t>Exaustor, ventilador e circulador de ar</t>
  </si>
  <si>
    <t>43.05.030</t>
  </si>
  <si>
    <t>Exaustor elétrico em plástico, vazão de 150 a 190m³/h</t>
  </si>
  <si>
    <t>43.05.100</t>
  </si>
  <si>
    <t>Insuflador de ar compacto, para renovação de ar em ambientes, vazão máxima 93 m³/h</t>
  </si>
  <si>
    <t>43.06</t>
  </si>
  <si>
    <t>Emissores de som</t>
  </si>
  <si>
    <t>43.06.010</t>
  </si>
  <si>
    <t>Cigarra de embutir 50/60HZ até 127V, com placa</t>
  </si>
  <si>
    <t>43.07</t>
  </si>
  <si>
    <t>Aparelho condicionador de ar</t>
  </si>
  <si>
    <t>43.07.070</t>
  </si>
  <si>
    <t>Ar condicionado a frio, tipo split piso teto com capacidade de 48.000 BTU/h</t>
  </si>
  <si>
    <t>43.07.300</t>
  </si>
  <si>
    <t>Ar condicionado a frio, tipo split cassete com capacidade de 18.000 BTU/h</t>
  </si>
  <si>
    <t>43.07.310</t>
  </si>
  <si>
    <t>Ar condicionado a frio, tipo split cassete com capacidade de 24.000 BTU/h</t>
  </si>
  <si>
    <t>43.07.320</t>
  </si>
  <si>
    <t>Ar condicionado a frio, tipo split cassete com capacidade de 36.000 BTU/h</t>
  </si>
  <si>
    <t>43.07.330</t>
  </si>
  <si>
    <t>Ar condicionado a frio, tipo split parede com capacidade de 12.000 BTU/h</t>
  </si>
  <si>
    <t>43.07.340</t>
  </si>
  <si>
    <t>Ar condicionado a frio, tipo split parede com capacidade de 18.000 BTU/h</t>
  </si>
  <si>
    <t>43.07.350</t>
  </si>
  <si>
    <t>Ar condicionado a frio, tipo split parede com capacidade de 24.000 BTU/h</t>
  </si>
  <si>
    <t>43.07.360</t>
  </si>
  <si>
    <t>Ar condicionado a frio, tipo split parede com capacidade de 30.000 BTU/h</t>
  </si>
  <si>
    <t>43.07.380</t>
  </si>
  <si>
    <t>Ar condicionado a frio, tipo split piso teto com capacidade de 24.000 BTU/h</t>
  </si>
  <si>
    <t>43.07.390</t>
  </si>
  <si>
    <t>Ar condicionado a frio, tipo split piso teto com capacidade de 36.000 BTU/h</t>
  </si>
  <si>
    <t>43.08</t>
  </si>
  <si>
    <t>Equipamentos para sistema VRF ar condicionado</t>
  </si>
  <si>
    <t>43.08.001</t>
  </si>
  <si>
    <t>Condensador para sistema VRF de ar condicionado, capacidade até 6 TR</t>
  </si>
  <si>
    <t>43.08.002</t>
  </si>
  <si>
    <t>Condensador para sistema VRF de ar condicionado, capacidade de 8 TR a 10 TR</t>
  </si>
  <si>
    <t>43.08.003</t>
  </si>
  <si>
    <t>Condensador para sistema VRF de ar condicionado, capacidade de 11 TR a 13 TR</t>
  </si>
  <si>
    <t>43.08.004</t>
  </si>
  <si>
    <t>Condensador para sistema VRF de ar condicionado, capacidade de 14 TR a 16 TR</t>
  </si>
  <si>
    <t>43.08.020</t>
  </si>
  <si>
    <t>Evaporador para sistema VRF de ar condicionado, tipo parede, capacidade de 1 TR</t>
  </si>
  <si>
    <t>43.08.021</t>
  </si>
  <si>
    <t>Evaporador para sistema VRF de ar condicionado, tipo parede, capacidade de 2 TR</t>
  </si>
  <si>
    <t>43.08.022</t>
  </si>
  <si>
    <t>Evaporador para sistema VRF de ar condicionado, tipo parede, capacidade de 3 TR</t>
  </si>
  <si>
    <t>43.08.030</t>
  </si>
  <si>
    <t>Evaporador para sistema VRF de ar condicionado, tipo piso teto, capacidade de 1 TR</t>
  </si>
  <si>
    <t>43.08.031</t>
  </si>
  <si>
    <t>Evaporador para sistema VRF de ar condicionado, tipo piso teto, capacidade de 2 TR</t>
  </si>
  <si>
    <t>43.08.032</t>
  </si>
  <si>
    <t>Evaporador para sistema VRF de ar condicionado, tipo piso teto, capacidade de 3 TR</t>
  </si>
  <si>
    <t>43.08.033</t>
  </si>
  <si>
    <t>Evaporador para sistema VRF de ar condicionado, tipo piso teto, capacidade de 4 TR</t>
  </si>
  <si>
    <t>43.08.040</t>
  </si>
  <si>
    <t>Evaporador para sistema VRF de ar condicionado, tipo cassete, capacidade de 1 TR</t>
  </si>
  <si>
    <t>43.08.041</t>
  </si>
  <si>
    <t>Evaporador para sistema VRF de ar condicionado, tipo cassete, capacidade de 2 TR</t>
  </si>
  <si>
    <t>43.08.042</t>
  </si>
  <si>
    <t>Evaporador para sistema VRF de ar condicionado, tipo cassete, capacidade de 3 TR</t>
  </si>
  <si>
    <t>43.08.043</t>
  </si>
  <si>
    <t>Evaporador para sistema VRF de ar condicionado, tipo cassete, capacidade de 4 TR</t>
  </si>
  <si>
    <t>43.10</t>
  </si>
  <si>
    <t>Bombas centrifugas, uso geral</t>
  </si>
  <si>
    <t>43.10.050</t>
  </si>
  <si>
    <t>Conjunto motor-bomba (centrífuga) 10 cv, monoestágio, Hman= 24 a 36 mca, Q= 53 a 45 m³/h</t>
  </si>
  <si>
    <t>43.10.090</t>
  </si>
  <si>
    <t>Conjunto motor-bomba (centrífuga) 20 cv, monoestágio, Hman= 40 a 70 mca, Q= 76 a 28 m³/h</t>
  </si>
  <si>
    <t>43.10.110</t>
  </si>
  <si>
    <t>Conjunto motor-bomba (centrífuga) 5 cv, monoestágio, Hmam= 14 a 26 mca, Q= 56 a 30 m³/h</t>
  </si>
  <si>
    <t>43.10.130</t>
  </si>
  <si>
    <t>Conjunto motor-bomba (centrífuga) 3/4 cv, monoestágio, Hman= 10 a 16 mca, Q= 12,7 a 8 m³/h</t>
  </si>
  <si>
    <t>43.10.210</t>
  </si>
  <si>
    <t>Conjunto motor-bomba (centrífuga) 60 cv, monoestágio, Hman= 90 a 125 mca, Q= 115 a 50 m³/h</t>
  </si>
  <si>
    <t>43.10.230</t>
  </si>
  <si>
    <t>Conjunto motor-bomba (centrífuga) 2 cv, monoestágio, Hman= 12 a 27 mca, Q= 25 a 8 m³/h</t>
  </si>
  <si>
    <t>43.10.250</t>
  </si>
  <si>
    <t>Conjunto motor-bomba (centrífuga) 15 cv, monoestágio, Hman= 30 a 60 mca, Q= 82 a 20 m³/h</t>
  </si>
  <si>
    <t>43.10.290</t>
  </si>
  <si>
    <t>Conjunto motor-bomba (centrífuga) 5 cv, monoestágio, Hman= 24 a 33 mca, Q= 41,6 a 35,2 m³/h</t>
  </si>
  <si>
    <t>43.10.450</t>
  </si>
  <si>
    <t>Conjunto motor-bomba (centrífuga) 30 cv, monoestágio, Hman= 20 a 50 mca, Q= 197 a 112 m³/h</t>
  </si>
  <si>
    <t>43.10.452</t>
  </si>
  <si>
    <t>Conjunto motor-bomba (centrífuga) 1,5 cv, multiestágio, Hman= 20 a 35 mca, Q= 7,1 a 4,5 m³/h</t>
  </si>
  <si>
    <t>43.10.454</t>
  </si>
  <si>
    <t>Conjunto motor-bomba (centrífuga) 3 cv, multiestágio, Hman= 30 a 45 mca, Q= 12,4 a 8,4 m³/h</t>
  </si>
  <si>
    <t>43.10.456</t>
  </si>
  <si>
    <t>Conjunto motor-bomba (centrífuga) 3 cv, multiestágio, Hman= 35 a 60 mca, Q= 7,8 a 5,8 m³/h</t>
  </si>
  <si>
    <t>43.10.480</t>
  </si>
  <si>
    <t>Conjunto motor-bomba (centrífuga) 7,5 cv, multiestágio, Hman= 30 a 80 mca, Q= 21,6 a 12,0 m³/h</t>
  </si>
  <si>
    <t>43.10.490</t>
  </si>
  <si>
    <t>Conjunto motor-bomba (centrífuga) 5 cv, multiestágio, Hman= 25 a 50 mca, Q= 21,0 a 13,3 m³/h</t>
  </si>
  <si>
    <t>43.10.620</t>
  </si>
  <si>
    <t>Conjunto motor-bomba (centrífuga), 0,5 cv, monoestágio, Hman= 10 a 20 mca, Q= 7,5 a 1,5 m³/h</t>
  </si>
  <si>
    <t>43.10.670</t>
  </si>
  <si>
    <t>Conjunto motor-bomba (centrífuga) 0,5 cv, monoestágio, trifásico, Hman= 9 a 21 mca, Q= 8,3 a 2,0 m³/h</t>
  </si>
  <si>
    <t>43.10.730</t>
  </si>
  <si>
    <t>Conjunto motor-bomba (centrífuga) 30 cv, monoestágio trifásico, Hman= 70 a 94 mca, Q= 34,80 a 61,7 m³/h</t>
  </si>
  <si>
    <t>43.10.740</t>
  </si>
  <si>
    <t>Conjunto motor-bomba (centrífuga) 20 cv, monoestágio trifásico, Hman= 62 a 90 mca, Q= 21,1 a 43,8 m³/h</t>
  </si>
  <si>
    <t>43.10.750</t>
  </si>
  <si>
    <t>Conjunto motor-bomba (centrífuga) 1 cv, monoestágio trifásico, Hman= 8 a 25 mca e Q= 11 a 1,50 m³/h</t>
  </si>
  <si>
    <t>43.10.770</t>
  </si>
  <si>
    <t>Conjunto motor-bomba (centrífuga) 40 cv, monoestágio trifásico, Hman= 45 a 75 mca e Q= 120 a 75 m³/h</t>
  </si>
  <si>
    <t>43.10.780</t>
  </si>
  <si>
    <t>Conjunto motor-bomba (centrífuga) 50 cv, monoestágio trifásico, Hman= 61 a 81 mca e Q= 170 a 80 m³/h</t>
  </si>
  <si>
    <t>43.10.790</t>
  </si>
  <si>
    <t>Conjunto motor-bomba (centrífuga) 1 cv, multiestágio trifásico, Hman= 15 a 30 mca, Q= 6,5 a 4,2 m³/h</t>
  </si>
  <si>
    <t>43.10.794</t>
  </si>
  <si>
    <t>Conjunto motor-bomba (centrífuga) 1 cv, multiestágio trifásico, Hman= 70 a 115 mca e Q= 1,0 a 1,6 m³/h</t>
  </si>
  <si>
    <t>43.11</t>
  </si>
  <si>
    <t>Bombas submersiveis</t>
  </si>
  <si>
    <t>43.11.050</t>
  </si>
  <si>
    <t>Conjunto motor-bomba submersível para poço profundo de 6´, Q= 10 a 20m³/h, Hman= 80 a 48 mca, até 6 HP</t>
  </si>
  <si>
    <t>43.11.060</t>
  </si>
  <si>
    <t>Conjunto motor-bomba submersível para poço profundo de 6´, Q= 10 a 20m³/h, Hman= 108 a 64,5 mca, 8 HP</t>
  </si>
  <si>
    <t>43.11.100</t>
  </si>
  <si>
    <t>Conjunto motor-bomba submersível para poço profundo de 6´, Q= 10 a 20m³/h, Hman= 274 a 170 mca, 20 HP</t>
  </si>
  <si>
    <t>43.11.110</t>
  </si>
  <si>
    <t>Conjunto motor-bomba submersível para poço profundo de 6´, Q= 20 a 34m³/h, Hman= 56,5 a 32 mca, até 8 HP</t>
  </si>
  <si>
    <t>43.11.130</t>
  </si>
  <si>
    <t>Conjunto motor-bomba submersível para poço profundo de 6´, Q= 20 a 34m³/h, Hman= 92,5 a 53 mca, 12,5 HP</t>
  </si>
  <si>
    <t>43.11.150</t>
  </si>
  <si>
    <t>Conjunto motor-bomba submersível para poço profundo de 6´, Q= 20 a 34m³/h, Hman= 152 a 88 mca, 20 HP</t>
  </si>
  <si>
    <t>43.11.320</t>
  </si>
  <si>
    <t>Conjunto motor-bomba submersível vertical para esgoto, Q= 4,8 a 25,8 m³/h, Hmam= 19 a 5 mca, potência 1 cv, diâmetro de sólidos até 20mm</t>
  </si>
  <si>
    <t>43.11.330</t>
  </si>
  <si>
    <t>Conjunto motor-bomba submersível vertical para esgoto, Q= 4,6 a 57,2 m³/h, Hman= 13 a 4 mca, potência 2 a 3,5 cv, diâmetro de sólidos até 50mm</t>
  </si>
  <si>
    <t>43.11.360</t>
  </si>
  <si>
    <t>Conjunto motor-bomba submersível vertical para águas residuais, Q= 2 a16 m³/h, Hman= 12 a 2 mca, potência de 0,5 cv</t>
  </si>
  <si>
    <t>43.11.370</t>
  </si>
  <si>
    <t>Conjunto motor-bomba submersível vertical para águas residuais, Q= 3 a 20 m³/h, Hman= 13 a 5 mca, potência de 1 cv</t>
  </si>
  <si>
    <t>43.11.380</t>
  </si>
  <si>
    <t>Conjunto motor-bomba submersível vertical para águas residuais, Q= 10 a 50 m³/h, Hman= 22 a 4 mca, potência 4 cv</t>
  </si>
  <si>
    <t>43.11.390</t>
  </si>
  <si>
    <t>Conjunto motor-bomba submersível vertical para águas residuais, Q= 8 a 45 m³/h, Hman= 10,5 a 3,5 mca, potência 1,5 cv</t>
  </si>
  <si>
    <t>43.11.400</t>
  </si>
  <si>
    <t>Conjunto motor-bomba submersível vertical para esgoto, Q= 3,4 a 86,3 m³/h, Hman= 14 a 5 mca, potência 5 cv</t>
  </si>
  <si>
    <t>43.11.410</t>
  </si>
  <si>
    <t>Conjunto motor-bomba submersível vertical para esgoto, Q= 9,1 a 113,6m³/h, Hman= 20 a 15 mca, potência 10 cv</t>
  </si>
  <si>
    <t>43.11.420</t>
  </si>
  <si>
    <t>Conjunto motor-bomba submersível vertical para esgoto, Q=9,3 a 69,0 m³/h, Hman=15 a 7 mca, potência 3cv, diâmetro de sólidos 50/65mm</t>
  </si>
  <si>
    <t>43.11.460</t>
  </si>
  <si>
    <t>Conjunto motor-bomba submersível vertical para esgoto, Q= 40 m³/h, Hman= 40 mca, diâmetro de sólidos até 50 mm</t>
  </si>
  <si>
    <t>43.12</t>
  </si>
  <si>
    <t>Bombas especiais, uso industrial</t>
  </si>
  <si>
    <t>43.12.500</t>
  </si>
  <si>
    <t>Filtro de areia com carga de areia filtrante, vazão de 16,9 m³/h</t>
  </si>
  <si>
    <t>43.20</t>
  </si>
  <si>
    <t>Reparos, conservacoes e complementos - GRUPO 43</t>
  </si>
  <si>
    <t>43.20.130</t>
  </si>
  <si>
    <t>Caixa de passagem para condicionamento de ar tipo Split, com saída de dreno único na vertical - 39 x 22 x 6 cm</t>
  </si>
  <si>
    <t>43.20.140</t>
  </si>
  <si>
    <t>Bomba de remoção de condensados para condicionadores de ar</t>
  </si>
  <si>
    <t>43.20.200</t>
  </si>
  <si>
    <t>Controlador de temperatura digital</t>
  </si>
  <si>
    <t>43.20.210</t>
  </si>
  <si>
    <t>Bomba de circulação para água quente</t>
  </si>
  <si>
    <t>43.20.250</t>
  </si>
  <si>
    <t>Poço termométrico em alumínio, com haste de 30mm e rosca 1/2" npt</t>
  </si>
  <si>
    <t>43.20.260</t>
  </si>
  <si>
    <t>Termostato para aquecimento ou refrigeração com programação horária</t>
  </si>
  <si>
    <t>44</t>
  </si>
  <si>
    <t>APARELHOS E METAIS HIDRAULICOS</t>
  </si>
  <si>
    <t>44.01</t>
  </si>
  <si>
    <t>Aparelhos e loucas</t>
  </si>
  <si>
    <t>44.01.030</t>
  </si>
  <si>
    <t>Bacia turca de louça - 6 litros</t>
  </si>
  <si>
    <t>44.01.040</t>
  </si>
  <si>
    <t xml:space="preserve">Bacia sifonada com caixa de descarga acoplada e tampa - infantil	</t>
  </si>
  <si>
    <t>44.01.050</t>
  </si>
  <si>
    <t>Bacia sifonada de louça sem tampa - 6 litros</t>
  </si>
  <si>
    <t>44.01.070</t>
  </si>
  <si>
    <t>Bacia sifonada de louça sem tampa com saída horizontal - 6 litros</t>
  </si>
  <si>
    <t>44.01.100</t>
  </si>
  <si>
    <t>Lavatório de louça sem coluna</t>
  </si>
  <si>
    <t>44.01.110</t>
  </si>
  <si>
    <t>Lavatório de louça com coluna</t>
  </si>
  <si>
    <t>44.01.160</t>
  </si>
  <si>
    <t>Lavatório de louça pequeno com coluna suspensa - linha especial</t>
  </si>
  <si>
    <t>44.01.170</t>
  </si>
  <si>
    <t>Lavatório em polipropileno</t>
  </si>
  <si>
    <t>44.01.200</t>
  </si>
  <si>
    <t>Mictório de louça sifonado auto aspirante</t>
  </si>
  <si>
    <t>44.01.240</t>
  </si>
  <si>
    <t>Lavatório em louça com coluna suspensa</t>
  </si>
  <si>
    <t>44.01.270</t>
  </si>
  <si>
    <t>Cuba de louça de embutir oval</t>
  </si>
  <si>
    <t>44.01.310</t>
  </si>
  <si>
    <t>Tanque de louça com coluna de 30 litros</t>
  </si>
  <si>
    <t>44.01.360</t>
  </si>
  <si>
    <t>Tanque de louça com coluna de 18 a 20 litros</t>
  </si>
  <si>
    <t>44.01.370</t>
  </si>
  <si>
    <t>Tanque em granito sintético, linha comercial - sem pertences</t>
  </si>
  <si>
    <t>44.01.610</t>
  </si>
  <si>
    <t>Lavatório de louça para canto, sem coluna - sem pertences</t>
  </si>
  <si>
    <t>44.01.680</t>
  </si>
  <si>
    <t>Caixa de descarga em plástico, de sobrepor, capacidade 9 litros com engate flexível</t>
  </si>
  <si>
    <t>44.01.690</t>
  </si>
  <si>
    <t>Tanque de louça sem coluna de 30 litros</t>
  </si>
  <si>
    <t>44.01.800</t>
  </si>
  <si>
    <t>Bacia sifonada com caixa de descarga acoplada sem tampa - 6 litros</t>
  </si>
  <si>
    <t>44.01.850</t>
  </si>
  <si>
    <t>Cuba de louça de embutir redonda</t>
  </si>
  <si>
    <t>44.02</t>
  </si>
  <si>
    <t>Bancadas e tampos</t>
  </si>
  <si>
    <t>44.02.062</t>
  </si>
  <si>
    <t>Tampo/bancada em granito, com frontão, espessura de 2 cm, acabamento polido</t>
  </si>
  <si>
    <t>44.02.100</t>
  </si>
  <si>
    <t>Tampo/bancada em mármore nacional espessura de 3 cm</t>
  </si>
  <si>
    <t>44.02.200</t>
  </si>
  <si>
    <t>Tampo/bancada em concreto armado, revestido em aço inoxidável fosco polido</t>
  </si>
  <si>
    <t>44.02.300</t>
  </si>
  <si>
    <t>Superfície sólido mineral para bancadas, saias, frontões e/ou cubas</t>
  </si>
  <si>
    <t>44.03</t>
  </si>
  <si>
    <t>Acessorios e metais</t>
  </si>
  <si>
    <t>44.03.010</t>
  </si>
  <si>
    <t>Dispenser toalheiro em ABS e policarbonato para bobina de 20 cm x 200 m, com alavanca</t>
  </si>
  <si>
    <t>44.03.020</t>
  </si>
  <si>
    <t>Meia saboneteira de louça de embutir</t>
  </si>
  <si>
    <t>44.03.030</t>
  </si>
  <si>
    <t>Dispenser toalheiro metálico esmaltado para bobina de 25cm x 50m, sem alavanca</t>
  </si>
  <si>
    <t>44.03.040</t>
  </si>
  <si>
    <t>Saboneteira de louça de embutir</t>
  </si>
  <si>
    <t>44.03.050</t>
  </si>
  <si>
    <t>Dispenser papel higiênico em ABS para rolão 300 / 600 m, com visor</t>
  </si>
  <si>
    <t>44.03.080</t>
  </si>
  <si>
    <t>Porta-papel de louça de embutir</t>
  </si>
  <si>
    <t>44.03.090</t>
  </si>
  <si>
    <t>Cabide cromado para banheiro</t>
  </si>
  <si>
    <t>44.03.130</t>
  </si>
  <si>
    <t>Saboneteira tipo dispenser, para refil de 800 ml</t>
  </si>
  <si>
    <t>44.03.180</t>
  </si>
  <si>
    <t>Dispenser toalheiro em ABS, para folhas</t>
  </si>
  <si>
    <t>44.03.210</t>
  </si>
  <si>
    <t>Ducha cromada simples</t>
  </si>
  <si>
    <t>44.03.260</t>
  </si>
  <si>
    <t>Armário de plástico de embutir, para lavatório</t>
  </si>
  <si>
    <t>44.03.300</t>
  </si>
  <si>
    <t>Torneira clínica com volante tipo alavanca</t>
  </si>
  <si>
    <t>44.03.315</t>
  </si>
  <si>
    <t>Torneira de mesa com bica móvel e alavanca</t>
  </si>
  <si>
    <t>44.03.316</t>
  </si>
  <si>
    <t>Torneira misturador clínica de mesa com arejador articulado, acionamento cotovelo</t>
  </si>
  <si>
    <t>44.03.360</t>
  </si>
  <si>
    <t>Ducha higiênica cromada</t>
  </si>
  <si>
    <t>44.03.370</t>
  </si>
  <si>
    <t>Torneira curta com rosca para uso geral, em latão fundido sem acabamento, DN= 1/2´</t>
  </si>
  <si>
    <t>44.03.380</t>
  </si>
  <si>
    <t>Torneira curta com rosca para uso geral, em latão fundido sem acabamento, DN= 3/4´</t>
  </si>
  <si>
    <t>44.03.400</t>
  </si>
  <si>
    <t>Torneira curta com rosca para uso geral, em latão fundido cromado, DN= 3/4´</t>
  </si>
  <si>
    <t>44.03.420</t>
  </si>
  <si>
    <t>Torneira curta sem rosca para uso geral, em latão fundido sem acabamento, DN= 3/4´</t>
  </si>
  <si>
    <t>44.03.430</t>
  </si>
  <si>
    <t>Torneira curta sem rosca para uso geral, em latão fundido cromado, DN= 1/2"</t>
  </si>
  <si>
    <t>44.03.440</t>
  </si>
  <si>
    <t>Torneira curta sem rosca para uso geral, em latão fundido cromado, DN= 3/4"</t>
  </si>
  <si>
    <t>44.03.450</t>
  </si>
  <si>
    <t>Torneira longa sem rosca para uso geral, em latão fundido cromado</t>
  </si>
  <si>
    <t>44.03.470</t>
  </si>
  <si>
    <t>Torneira de parede para pia com bica móvel e arejador, em latão fundido cromado</t>
  </si>
  <si>
    <t>44.03.500</t>
  </si>
  <si>
    <t>Aparelho misturador de parede, para pia, com bica móvel, acabamento cromado</t>
  </si>
  <si>
    <t>44.03.510</t>
  </si>
  <si>
    <t>Torneira de parede antivandalismo, DN= 3/4´</t>
  </si>
  <si>
    <t>44.03.590</t>
  </si>
  <si>
    <t>Torneira de mesa para pia com bica móvel e arejador em latão fundido cromado</t>
  </si>
  <si>
    <t>44.03.630</t>
  </si>
  <si>
    <t>Torneira de acionamento restrito em latão cromado, DN= 1/2´ com adaptador para 3/4´</t>
  </si>
  <si>
    <t>44.03.640</t>
  </si>
  <si>
    <t>Torneira de parede acionamento hidromecânico, em latão cromado, DN= 1/2´ ou 3/4´</t>
  </si>
  <si>
    <t>44.03.645</t>
  </si>
  <si>
    <t>Torneira de mesa automática, acionamento hidromecânico, em latão cromado, DN= 1/2´ou 3/4´</t>
  </si>
  <si>
    <t>44.03.670</t>
  </si>
  <si>
    <t>Caixa de descarga de embutir, acionamento frontal, completa</t>
  </si>
  <si>
    <t>44.03.690</t>
  </si>
  <si>
    <t>Torneira de parede em ABS, DN 1/2´ ou 3/4´, 10cm</t>
  </si>
  <si>
    <t>44.03.700</t>
  </si>
  <si>
    <t>Torneira de parede em ABS, DN 1/2´ ou 3/4´, 15cm</t>
  </si>
  <si>
    <t>44.03.720</t>
  </si>
  <si>
    <t>Torneira de mesa para lavatório, acionamento hidromecânico com alavanca, registro integrado regulador de vazão, em latão cromado, DN= 1/2´</t>
  </si>
  <si>
    <t>44.03.810</t>
  </si>
  <si>
    <t>Aparelho misturador de mesa para pia com bica móvel, acabamento cromado</t>
  </si>
  <si>
    <t>44.03.825</t>
  </si>
  <si>
    <t>Misturador termostato para chuveiro ou ducha, acabamento cromado</t>
  </si>
  <si>
    <t>44.03.900</t>
  </si>
  <si>
    <t>Secador de mãos em ABS</t>
  </si>
  <si>
    <t>44.03.920</t>
  </si>
  <si>
    <t>Ducha higiênica com registro</t>
  </si>
  <si>
    <t>44.03.931</t>
  </si>
  <si>
    <t>Desviador para duchas e chuveiros</t>
  </si>
  <si>
    <t>44.03.940</t>
  </si>
  <si>
    <t>Válvula dupla para bancada de laboratório, uso em GLP, com bico para mangueira - diâmetro de 1/4´ a 1/2´</t>
  </si>
  <si>
    <t>44.03.950</t>
  </si>
  <si>
    <t>Válvula para cuba de laboratório, com nuca giratória e bico escalonado para mangueira</t>
  </si>
  <si>
    <t>44.04</t>
  </si>
  <si>
    <t>Prateleiras</t>
  </si>
  <si>
    <t>44.04.030</t>
  </si>
  <si>
    <t>Prateleira em granito com espessura de 2 cm</t>
  </si>
  <si>
    <t>44.04.040</t>
  </si>
  <si>
    <t>Prateleira em granilite</t>
  </si>
  <si>
    <t>44.04.050</t>
  </si>
  <si>
    <t>Prateleira em granito com espessura de 3 cm</t>
  </si>
  <si>
    <t>44.06</t>
  </si>
  <si>
    <t>Aparelhos de aco inoxidavel</t>
  </si>
  <si>
    <t>44.06.010</t>
  </si>
  <si>
    <t>Lavatório coletivo em aço inoxidável</t>
  </si>
  <si>
    <t>44.06.100</t>
  </si>
  <si>
    <t>Mictório coletivo em aço inoxidável</t>
  </si>
  <si>
    <t>44.06.200</t>
  </si>
  <si>
    <t>Tanque em aço inoxidável</t>
  </si>
  <si>
    <t>44.06.250</t>
  </si>
  <si>
    <t>Cuba em aço inoxidável simples de 300 x 140mm</t>
  </si>
  <si>
    <t>44.06.300</t>
  </si>
  <si>
    <t>Cuba em aço inoxidável simples de 400x340x140mm</t>
  </si>
  <si>
    <t>44.06.310</t>
  </si>
  <si>
    <t>Cuba em aço inoxidável simples de 465x300x140mm</t>
  </si>
  <si>
    <t>44.06.320</t>
  </si>
  <si>
    <t>Cuba em aço inoxidável simples de 560x330x140mm</t>
  </si>
  <si>
    <t>44.06.330</t>
  </si>
  <si>
    <t>Cuba em aço inoxidável simples de 500x400x400mm</t>
  </si>
  <si>
    <t>44.06.360</t>
  </si>
  <si>
    <t>Cuba em aço inoxidável simples de 500x400x200mm</t>
  </si>
  <si>
    <t>44.06.370</t>
  </si>
  <si>
    <t>Cuba em aço inoxidável simples de 500x400x250mm</t>
  </si>
  <si>
    <t>44.06.400</t>
  </si>
  <si>
    <t>Cuba em aço inoxidável simples de 500x400x300mm</t>
  </si>
  <si>
    <t>44.06.410</t>
  </si>
  <si>
    <t>Cuba em aço inoxidável simples de 600x500x300mm</t>
  </si>
  <si>
    <t>44.06.470</t>
  </si>
  <si>
    <t>Cuba em aço inoxidável simples de 600x500x350mm</t>
  </si>
  <si>
    <t>44.06.520</t>
  </si>
  <si>
    <t>Cuba em aço inoxidável simples de 600x500x400mm</t>
  </si>
  <si>
    <t>44.06.570</t>
  </si>
  <si>
    <t>Cuba em aço inoxidável simples de 700x600x450mm</t>
  </si>
  <si>
    <t>44.06.600</t>
  </si>
  <si>
    <t>Cuba em aço inoxidável simples de 1400x900x500mm</t>
  </si>
  <si>
    <t>44.06.610</t>
  </si>
  <si>
    <t>Cuba em aço inoxidável simples de 1100x600x400mm</t>
  </si>
  <si>
    <t>44.06.700</t>
  </si>
  <si>
    <t>44.06.710</t>
  </si>
  <si>
    <t>Cuba em aço inoxidável dupla de 835x340x140mm</t>
  </si>
  <si>
    <t>44.06.750</t>
  </si>
  <si>
    <t>Cuba em aço inoxidável dupla de 1020x400x250mm</t>
  </si>
  <si>
    <t>44.20</t>
  </si>
  <si>
    <t>Reparos, conservacoes e complementos - GRUPO 44</t>
  </si>
  <si>
    <t>44.20.010</t>
  </si>
  <si>
    <t>Sifão plástico sanfonado universal de 1´</t>
  </si>
  <si>
    <t>44.20.020</t>
  </si>
  <si>
    <t>Recolocação de torneiras</t>
  </si>
  <si>
    <t>44.20.040</t>
  </si>
  <si>
    <t>Recolocação de sifões</t>
  </si>
  <si>
    <t>44.20.060</t>
  </si>
  <si>
    <t>Recolocação de aparelhos sanitários, incluindo acessórios</t>
  </si>
  <si>
    <t>44.20.080</t>
  </si>
  <si>
    <t>Recolocação de caixas de descarga de sobrepor</t>
  </si>
  <si>
    <t>44.20.100</t>
  </si>
  <si>
    <t>Engate flexível metálico DN= 1/2´</t>
  </si>
  <si>
    <t>44.20.110</t>
  </si>
  <si>
    <t>Engate flexível de PVC DN= 1/2´</t>
  </si>
  <si>
    <t>44.20.120</t>
  </si>
  <si>
    <t>Canopla para válvula de descarga</t>
  </si>
  <si>
    <t>44.20.121</t>
  </si>
  <si>
    <t>Arejador com articulador em ABS cromado para torneira padrão, completo</t>
  </si>
  <si>
    <t>44.20.130</t>
  </si>
  <si>
    <t>Tubo de ligação para mictório, DN= 1/2´</t>
  </si>
  <si>
    <t>44.20.150</t>
  </si>
  <si>
    <t>Acabamento cromado para registro</t>
  </si>
  <si>
    <t>44.20.160</t>
  </si>
  <si>
    <t>Botão para válvula de descarga</t>
  </si>
  <si>
    <t>44.20.180</t>
  </si>
  <si>
    <t>Reparo para válvula de descarga</t>
  </si>
  <si>
    <t>44.20.200</t>
  </si>
  <si>
    <t>Sifão de metal cromado de 1 1/2´ x 2´</t>
  </si>
  <si>
    <t>44.20.220</t>
  </si>
  <si>
    <t>Sifão de metal cromado de 1´ x 1 1/2´</t>
  </si>
  <si>
    <t>44.20.230</t>
  </si>
  <si>
    <t>Tubo de ligação para sanitário</t>
  </si>
  <si>
    <t>44.20.240</t>
  </si>
  <si>
    <t>Sifão plástico com copo, rígido, de 1´ x 1 1/2´</t>
  </si>
  <si>
    <t>44.20.260</t>
  </si>
  <si>
    <t>Sifão plástico com copo, rígido, de 1 1/4´ x 2´</t>
  </si>
  <si>
    <t>44.20.280</t>
  </si>
  <si>
    <t>Tampa de plástico para bacia sanitária</t>
  </si>
  <si>
    <t>44.20.300</t>
  </si>
  <si>
    <t>Bolsa para bacia sanitária</t>
  </si>
  <si>
    <t>44.20.310</t>
  </si>
  <si>
    <t>Filtro de pressão em ABS, para 360 l/h</t>
  </si>
  <si>
    <t>44.20.390</t>
  </si>
  <si>
    <t>Válvula de PVC para lavatório</t>
  </si>
  <si>
    <t>44.20.620</t>
  </si>
  <si>
    <t>Válvula americana</t>
  </si>
  <si>
    <t>44.20.640</t>
  </si>
  <si>
    <t>Válvula de metal cromado de 1 1/2´</t>
  </si>
  <si>
    <t>44.20.650</t>
  </si>
  <si>
    <t>Válvula de metal cromado de 1´</t>
  </si>
  <si>
    <t>45</t>
  </si>
  <si>
    <t>ENTRADA DE AGUA, INCÊNDIO E GAS</t>
  </si>
  <si>
    <t>45.01</t>
  </si>
  <si>
    <t>Entrada de agua</t>
  </si>
  <si>
    <t>45.01.020</t>
  </si>
  <si>
    <t>Entrada completa de água com abrigo e registro de gaveta, DN= 3/4´</t>
  </si>
  <si>
    <t>45.01.040</t>
  </si>
  <si>
    <t>Entrada completa de água com abrigo e registro de gaveta, DN= 1´</t>
  </si>
  <si>
    <t>45.01.060</t>
  </si>
  <si>
    <t>Entrada completa de água com abrigo e registro de gaveta, DN= 1 1/2´</t>
  </si>
  <si>
    <t>45.01.066</t>
  </si>
  <si>
    <t>Entrada completa de água com abrigo e registro de gaveta, DN= 2´</t>
  </si>
  <si>
    <t>45.01.080</t>
  </si>
  <si>
    <t>Entrada completa de água com abrigo e registro de gaveta, DN= 2 1/2´</t>
  </si>
  <si>
    <t>45.01.082</t>
  </si>
  <si>
    <t>Entrada completa de água com abrigo e registro de gaveta, DN= 3´</t>
  </si>
  <si>
    <t>45.02</t>
  </si>
  <si>
    <t>Entrada de gas</t>
  </si>
  <si>
    <t>45.02.020</t>
  </si>
  <si>
    <t>Entrada completa de gás GLP domiciliar com 2 bujões de 13 kg</t>
  </si>
  <si>
    <t>45.02.040</t>
  </si>
  <si>
    <t>Entrada completa de gás GLP com 2 cilindros de 45 kg</t>
  </si>
  <si>
    <t>45.02.060</t>
  </si>
  <si>
    <t>Entrada completa de gás GLP com 4 cilindros de 45 kg</t>
  </si>
  <si>
    <t>45.02.080</t>
  </si>
  <si>
    <t>Entrada completa de gás GLP com 6 cilindros de 45 kg</t>
  </si>
  <si>
    <t>45.02.200</t>
  </si>
  <si>
    <t>Abrigo padronizado de gás GLP encanado</t>
  </si>
  <si>
    <t>45.03</t>
  </si>
  <si>
    <t>Hidrômetro</t>
  </si>
  <si>
    <t>45.03.010</t>
  </si>
  <si>
    <t>Hidrômetro em ferro fundido, diâmetro 50 mm (2´)</t>
  </si>
  <si>
    <t>45.03.030</t>
  </si>
  <si>
    <t>Hidrômetro em ferro fundido, diâmetro 100 mm (4´)</t>
  </si>
  <si>
    <t>45.03.100</t>
  </si>
  <si>
    <t>Hidrômetro em bronze, diâmetro de 25 mm (1´)</t>
  </si>
  <si>
    <t>45.03.110</t>
  </si>
  <si>
    <t>Hidrômetro em bronze, diâmetro de 40 mm (1 1/2´)</t>
  </si>
  <si>
    <t>45.03.200</t>
  </si>
  <si>
    <t>Filtro tipo cesto para hidrômetro de 50 mm (2´)</t>
  </si>
  <si>
    <t>45.20</t>
  </si>
  <si>
    <t>Reparos, conservacoes e complementos - GRUPO 45</t>
  </si>
  <si>
    <t>45.20.020</t>
  </si>
  <si>
    <t>Cilindro de gás (GLP) de 45 kg, com carga</t>
  </si>
  <si>
    <t>46</t>
  </si>
  <si>
    <t>TUBULACAO E CONDUTORES PARA LIQUIDOS E GASES.</t>
  </si>
  <si>
    <t>46.01</t>
  </si>
  <si>
    <t>Tubulacao em PVC rigido marrom para sistemas prediais de agua fria</t>
  </si>
  <si>
    <t>46.01.010</t>
  </si>
  <si>
    <t>Tubo de PVC rígido soldável marrom, DN= 20 mm, (1/2´), inclusive conexões</t>
  </si>
  <si>
    <t>46.01.020</t>
  </si>
  <si>
    <t>Tubo de PVC rígido soldável marrom, DN= 25 mm, (3/4´), inclusive conexões</t>
  </si>
  <si>
    <t>46.01.030</t>
  </si>
  <si>
    <t>Tubo de PVC rígido soldável marrom, DN= 32 mm, (1´), inclusive conexões</t>
  </si>
  <si>
    <t>46.01.040</t>
  </si>
  <si>
    <t>Tubo de PVC rígido soldável marrom, DN= 40 mm, (1 1/4´), inclusive conexões</t>
  </si>
  <si>
    <t>46.01.050</t>
  </si>
  <si>
    <t>Tubo de PVC rígido soldável marrom, DN= 50 mm, (1 1/2´), inclusive conexões</t>
  </si>
  <si>
    <t>46.01.060</t>
  </si>
  <si>
    <t>Tubo de PVC rígido soldável marrom, DN= 60 mm, (2´), inclusive conexões</t>
  </si>
  <si>
    <t>46.01.070</t>
  </si>
  <si>
    <t>Tubo de PVC rígido soldável marrom, DN= 75 mm, (2 1/2´), inclusive conexões</t>
  </si>
  <si>
    <t>46.01.080</t>
  </si>
  <si>
    <t>Tubo de PVC rígido soldável marrom, DN= 85 mm, (3´), inclusive conexões</t>
  </si>
  <si>
    <t>46.01.090</t>
  </si>
  <si>
    <t>Tubo de PVC rígido soldável marrom, DN= 110 mm, (4´), inclusive conexões</t>
  </si>
  <si>
    <t>46.02</t>
  </si>
  <si>
    <t>Tubulacao em PVC rigido branco para esgoto domiciliar</t>
  </si>
  <si>
    <t>46.02.010</t>
  </si>
  <si>
    <t>Tubo de PVC rígido branco, pontas lisas, soldável, linha esgoto série normal, DN= 40 mm, inclusive conexões</t>
  </si>
  <si>
    <t>46.02.050</t>
  </si>
  <si>
    <t>Tubo de PVC rígido branco PxB com virola e anel de borracha, linha esgoto série normal, DN= 50 mm, inclusive conexões</t>
  </si>
  <si>
    <t>46.02.060</t>
  </si>
  <si>
    <t>Tubo de PVC rígido branco PxB com virola e anel de borracha, linha esgoto série normal, DN= 75 mm, inclusive conexões</t>
  </si>
  <si>
    <t>46.02.070</t>
  </si>
  <si>
    <t>Tubo de PVC rígido branco PxB com virola e anel de borracha, linha esgoto série normal, DN= 100 mm, inclusive conexões</t>
  </si>
  <si>
    <t>46.03</t>
  </si>
  <si>
    <t>Tubulacao em PVC rigido branco serie R - A.P e esgoto domiciliar</t>
  </si>
  <si>
    <t>46.03.038</t>
  </si>
  <si>
    <t>Tubo de PVC rígido PxB com virola e anel de borracha, linha esgoto série reforçada ´R´, DN= 50 mm, inclusive conexões</t>
  </si>
  <si>
    <t>46.03.040</t>
  </si>
  <si>
    <t>Tubo de PVC rígido PxB com virola e anel de borracha, linha esgoto série reforçada ´R´, DN= 75 mm, inclusive conexões</t>
  </si>
  <si>
    <t>46.03.050</t>
  </si>
  <si>
    <t>Tubo de PVC rígido PxB com virola e anel de borracha, linha esgoto série reforçada ´R´, DN= 100 mm, inclusive conexões</t>
  </si>
  <si>
    <t>46.03.060</t>
  </si>
  <si>
    <t>Tubo de PVC rígido PxB com virola e anel de borracha, linha esgoto série reforçada ´R´. DN= 150 mm, inclusive conexões</t>
  </si>
  <si>
    <t>46.03.080</t>
  </si>
  <si>
    <t>Tubo de PVC rígido, pontas lisas, soldável, linha esgoto série reforçada ´R´, DN= 40 mm, inclusive conexões</t>
  </si>
  <si>
    <t>46.04</t>
  </si>
  <si>
    <t>Tubulacao em PVC rigido com junta elastica - aducao e distribuicao de agua</t>
  </si>
  <si>
    <t>46.04.010</t>
  </si>
  <si>
    <t>Tubo de PVC rígido tipo PBA classe 15, DN= 50mm, (DE= 60mm), inclusive conexões</t>
  </si>
  <si>
    <t>46.04.020</t>
  </si>
  <si>
    <t>Tubo de PVC rígido tipo PBA classe 15, DN= 75mm, (DE= 85mm), inclusive conexões</t>
  </si>
  <si>
    <t>46.04.030</t>
  </si>
  <si>
    <t>Tubo de PVC rígido tipo PBA classe 15, DN= 100mm, (DE= 110mm), inclusive conexões</t>
  </si>
  <si>
    <t>46.04.040</t>
  </si>
  <si>
    <t>Tubo de PVC rígido DEFoFo, DN= 100mm (DE= 118mm), inclusive conexões</t>
  </si>
  <si>
    <t>46.04.050</t>
  </si>
  <si>
    <t>Tubo de PVC rígido DEFoFo, DN= 150mm (DE= 170mm), inclusive conexões</t>
  </si>
  <si>
    <t>46.04.070</t>
  </si>
  <si>
    <t>Tubo de PVC rígido DEFoFo, DN= 200mm (DE= 222mm), inclusive conexões</t>
  </si>
  <si>
    <t>46.04.080</t>
  </si>
  <si>
    <t>Tubo de PVC rígido DEFoFo, DN= 250mm (DE= 274mm), inclusive conexões</t>
  </si>
  <si>
    <t>46.04.090</t>
  </si>
  <si>
    <t>Tubo de PVC rígido DEFoFo, DN= 300mm (DE= 326mm), inclusive conexões</t>
  </si>
  <si>
    <t>46.05</t>
  </si>
  <si>
    <t>Tubulacao em PVC rigido com junta elastica - rede de esgoto</t>
  </si>
  <si>
    <t>46.05.020</t>
  </si>
  <si>
    <t>Tubo PVC rígido, tipo Coletor Esgoto, junta elástica, DN= 100 mm, inclusive conexões</t>
  </si>
  <si>
    <t>46.05.040</t>
  </si>
  <si>
    <t>Tubo PVC rígido, tipo Coletor Esgoto, junta elástica, DN= 150 mm, inclusive conexões</t>
  </si>
  <si>
    <t>46.05.050</t>
  </si>
  <si>
    <t>Tubo PVC rígido, tipo Coletor Esgoto, junta elástica, DN= 200 mm, inclusive conexões</t>
  </si>
  <si>
    <t>46.05.060</t>
  </si>
  <si>
    <t>Tubo PVC rígido, tipo Coletor Esgoto, junta elástica, DN= 250 mm, inclusive conexões</t>
  </si>
  <si>
    <t>46.05.070</t>
  </si>
  <si>
    <t>Tubo PVC rígido, tipo Coletor Esgoto, junta elástica, DN= 300 mm, inclusive conexões</t>
  </si>
  <si>
    <t>46.05.090</t>
  </si>
  <si>
    <t>Tubo PVC rígido, tipo Coletor Esgoto, junta elástica, DN= 400 mm, inclusive conexões</t>
  </si>
  <si>
    <t>46.07</t>
  </si>
  <si>
    <t>Tubulacao galvanizado</t>
  </si>
  <si>
    <t>46.07.010</t>
  </si>
  <si>
    <t>Tubo galvanizado DN= 1/2´, inclusive conexões</t>
  </si>
  <si>
    <t>46.07.020</t>
  </si>
  <si>
    <t>Tubo galvanizado DN= 3/4´, inclusive conexões</t>
  </si>
  <si>
    <t>46.07.030</t>
  </si>
  <si>
    <t>Tubo galvanizado DN= 1´, inclusive conexões</t>
  </si>
  <si>
    <t>46.07.040</t>
  </si>
  <si>
    <t>Tubo galvanizado DN= 1 1/4´, inclusive conexões</t>
  </si>
  <si>
    <t>46.07.050</t>
  </si>
  <si>
    <t>Tubo galvanizado DN= 1 1/2´, inclusive conexões</t>
  </si>
  <si>
    <t>46.07.060</t>
  </si>
  <si>
    <t>Tubo galvanizado DN= 2´, inclusive conexões</t>
  </si>
  <si>
    <t>46.07.070</t>
  </si>
  <si>
    <t>Tubo galvanizado DN= 2 1/2´, inclusive conexões</t>
  </si>
  <si>
    <t>46.07.080</t>
  </si>
  <si>
    <t>Tubo galvanizado DN= 3´, inclusive conexões</t>
  </si>
  <si>
    <t>46.07.090</t>
  </si>
  <si>
    <t>Tubo galvanizado DN= 4´, inclusive conexões</t>
  </si>
  <si>
    <t>46.07.100</t>
  </si>
  <si>
    <t>Tubo galvanizado DN= 6´, inclusive conexões</t>
  </si>
  <si>
    <t>46.08</t>
  </si>
  <si>
    <t>Tubulacao em aco carbono galvanizado classe schedule</t>
  </si>
  <si>
    <t>46.08.006</t>
  </si>
  <si>
    <t>Tubo galvanizado sem costura schedule 40, DN= 1/2´, inclusive conexões</t>
  </si>
  <si>
    <t>46.08.010</t>
  </si>
  <si>
    <t>Tubo galvanizado sem costura schedule 40, DN= 3/4´, inclusive conexões</t>
  </si>
  <si>
    <t>46.08.020</t>
  </si>
  <si>
    <t>Tubo galvanizado sem costura schedule 40, DN= 1´, inclusive conexões</t>
  </si>
  <si>
    <t>46.08.030</t>
  </si>
  <si>
    <t>Tubo galvanizado sem costura schedule 40, DN= 1 1/4´, inclusive conexões</t>
  </si>
  <si>
    <t>46.08.040</t>
  </si>
  <si>
    <t>Tubo galvanizado sem costura schedule 40, DN= 1 1/2´, inclusive conexões</t>
  </si>
  <si>
    <t>46.08.050</t>
  </si>
  <si>
    <t>Tubo galvanizado sem costura schedule 40, DN= 2´, inclusive conexões</t>
  </si>
  <si>
    <t>46.08.070</t>
  </si>
  <si>
    <t>Tubo galvanizado sem costura schedule 40, DN= 2 1/2´, inclusive conexões</t>
  </si>
  <si>
    <t>46.08.080</t>
  </si>
  <si>
    <t>Tubo galvanizado sem costura schedule 40, DN= 3´, inclusive conexões</t>
  </si>
  <si>
    <t>46.08.100</t>
  </si>
  <si>
    <t>Tubo galvanizado sem costura schedule 40, DN= 4´, inclusive conexões</t>
  </si>
  <si>
    <t>46.08.110</t>
  </si>
  <si>
    <t>Tubo galvanizado sem costura schedule 40, DN= 6´, inclusive conexões</t>
  </si>
  <si>
    <t>46.09</t>
  </si>
  <si>
    <t>Conexoes e acessorios em ferro fundido, predial e tradicional, esgoto e pluvial</t>
  </si>
  <si>
    <t>46.09.050</t>
  </si>
  <si>
    <t>Joelho 45° em ferro fundido, linha predial tradicional, DN= 50 mm</t>
  </si>
  <si>
    <t>46.09.060</t>
  </si>
  <si>
    <t>Joelho 45° em ferro fundido, linha predial tradicional, DN= 75 mm</t>
  </si>
  <si>
    <t>46.09.070</t>
  </si>
  <si>
    <t>Joelho 45° em ferro fundido, linha predial tradicional, DN= 100 mm</t>
  </si>
  <si>
    <t>46.09.080</t>
  </si>
  <si>
    <t>Joelho 45° em ferro fundido, linha predial tradicional, DN= 150 mm</t>
  </si>
  <si>
    <t>46.09.100</t>
  </si>
  <si>
    <t>Joelho 87° 30´ em ferro fundido, linha predial tradicional, DN= 50 mm</t>
  </si>
  <si>
    <t>46.09.110</t>
  </si>
  <si>
    <t>Joelho 87° 30´ em ferro fundido, linha predial tradicional, DN= 75 mm</t>
  </si>
  <si>
    <t>46.09.120</t>
  </si>
  <si>
    <t>Joelho 87° 30´ em ferro fundido, linha predial tradicional, DN= 100 mm</t>
  </si>
  <si>
    <t>46.09.130</t>
  </si>
  <si>
    <t>Joelho 87° 30´ em ferro fundido, linha predial tradicional, DN= 150 mm</t>
  </si>
  <si>
    <t>46.09.150</t>
  </si>
  <si>
    <t>Luva bolsa e bolsa em ferro fundido, linha predial tradicional, DN= 50 mm</t>
  </si>
  <si>
    <t>46.09.160</t>
  </si>
  <si>
    <t>Luva bolsa e bolsa em ferro fundido, linha predial tradicional, DN= 75 mm</t>
  </si>
  <si>
    <t>46.09.170</t>
  </si>
  <si>
    <t>Luva bolsa e bolsa em ferro fundido, linha predial tradicional, DN= 100 mm</t>
  </si>
  <si>
    <t>46.09.180</t>
  </si>
  <si>
    <t>Luva bolsa e bolsa em ferro fundido, linha predial tradicional, DN= 150 mm</t>
  </si>
  <si>
    <t>46.09.200</t>
  </si>
  <si>
    <t>Placa cega em ferro fundido, linha predial tradicional, DN= 75 mm</t>
  </si>
  <si>
    <t>46.09.210</t>
  </si>
  <si>
    <t>Placa cega em ferro fundido, linha predial tradicional, DN= 100 mm</t>
  </si>
  <si>
    <t>46.09.230</t>
  </si>
  <si>
    <t>Junção 45° em ferro fundido, linha predial tradicional, DN= 50 x 50 mm</t>
  </si>
  <si>
    <t>46.09.240</t>
  </si>
  <si>
    <t>Junção 45° em ferro fundido, linha predial tradicional, DN= 75 x 50 mm</t>
  </si>
  <si>
    <t>46.09.250</t>
  </si>
  <si>
    <t>Junção 45° em ferro fundido, linha predial tradicional, DN= 75 x 75 mm</t>
  </si>
  <si>
    <t>46.09.260</t>
  </si>
  <si>
    <t>Junção 45° em ferro fundido, linha predial tradicional, DN= 100 x 50 mm</t>
  </si>
  <si>
    <t>46.09.270</t>
  </si>
  <si>
    <t>Junção 45° em ferro fundido, linha predial tradicional, DN= 100 x 75 mm</t>
  </si>
  <si>
    <t>46.09.280</t>
  </si>
  <si>
    <t>Junção 45° em ferro fundido, linha predial tradicional, DN= 100 x 100 mm</t>
  </si>
  <si>
    <t>46.09.290</t>
  </si>
  <si>
    <t>Junção 45° em ferro fundido, linha predial tradicional, DN= 150 x 100 mm</t>
  </si>
  <si>
    <t>46.09.300</t>
  </si>
  <si>
    <t>Junção dupla 45° em ferro fundido, linha predial tradicional, DN= 100 mm</t>
  </si>
  <si>
    <t>46.09.320</t>
  </si>
  <si>
    <t>Te sanitário 87° 30´ em ferro fundido, linha predial tradicional, DN= 50 x 50 mm</t>
  </si>
  <si>
    <t>46.09.330</t>
  </si>
  <si>
    <t>Te sanitário 87° 30´ em ferro fundido, linha predial tradicional, DN= 75 x 50 mm</t>
  </si>
  <si>
    <t>46.09.340</t>
  </si>
  <si>
    <t>Te sanitário 87° 30´ em ferro fundido, linha predial tradicional, DN= 75 x 75 mm</t>
  </si>
  <si>
    <t>46.09.350</t>
  </si>
  <si>
    <t>Te sanitário 87° 30´ em ferro fundido, linha predial tradicional, DN= 100 x 50 mm</t>
  </si>
  <si>
    <t>46.09.360</t>
  </si>
  <si>
    <t>Te sanitário 87° 30´ em ferro fundido, linha predial tradicional, DN= 100 x 75 mm</t>
  </si>
  <si>
    <t>46.09.370</t>
  </si>
  <si>
    <t>Te sanitário 87° 30´ em ferro fundido, linha predial tradicional, DN= 100 x 100 mm</t>
  </si>
  <si>
    <t>46.09.400</t>
  </si>
  <si>
    <t>Bucha de redução em ferro fundido, linha predial tradicional, DN= 75 x 50 mm</t>
  </si>
  <si>
    <t>46.09.410</t>
  </si>
  <si>
    <t>Bucha de redução em ferro fundido, linha predial tradicional, DN= 100 x 75 mm</t>
  </si>
  <si>
    <t>46.09.420</t>
  </si>
  <si>
    <t>Bucha de redução em ferro fundido, linha predial tradicional, DN= 150 x 100 mm</t>
  </si>
  <si>
    <t>46.10</t>
  </si>
  <si>
    <t>Tubulacao em cobre para agua quente, gas e vapor</t>
  </si>
  <si>
    <t>46.10.010</t>
  </si>
  <si>
    <t>Tubo de cobre classe A, DN= 15mm (1/2´), inclusive conexões</t>
  </si>
  <si>
    <t>46.10.020</t>
  </si>
  <si>
    <t>Tubo de cobre classe A, DN= 22mm (3/4´), inclusive conexões</t>
  </si>
  <si>
    <t>46.10.030</t>
  </si>
  <si>
    <t>Tubo de cobre classe A, DN= 28mm (1´), inclusive conexões</t>
  </si>
  <si>
    <t>46.10.040</t>
  </si>
  <si>
    <t>Tubo de cobre classe A, DN= 35mm (1 1/4´), inclusive conexões</t>
  </si>
  <si>
    <t>46.10.050</t>
  </si>
  <si>
    <t>Tubo de cobre classe A, DN= 42mm (1 1/2´), inclusive conexões</t>
  </si>
  <si>
    <t>46.10.060</t>
  </si>
  <si>
    <t>Tubo de cobre classe A, DN= 54mm (2´), inclusive conexões</t>
  </si>
  <si>
    <t>46.10.070</t>
  </si>
  <si>
    <t>Tubo de cobre classe A, DN= 66mm (2 1/2´), inclusive conexões</t>
  </si>
  <si>
    <t>46.10.080</t>
  </si>
  <si>
    <t>Tubo de cobre classe A, DN= 79mm (3´), inclusive conexões</t>
  </si>
  <si>
    <t>46.10.090</t>
  </si>
  <si>
    <t>Tubo de cobre classe A, DN= 104mm (4´), inclusive conexões</t>
  </si>
  <si>
    <t>46.10.200</t>
  </si>
  <si>
    <t>Tubo de cobre classe E, DN= 22mm (3/4´), inclusive conexões</t>
  </si>
  <si>
    <t>46.10.210</t>
  </si>
  <si>
    <t>Tubo de cobre classe E, DN= 28mm (1´), inclusive conexões</t>
  </si>
  <si>
    <t>46.10.220</t>
  </si>
  <si>
    <t>Tubo de cobre classe E, DN= 35mm (1 1/4´), inclusive conexões</t>
  </si>
  <si>
    <t>46.10.230</t>
  </si>
  <si>
    <t>Tubo de cobre classe E, DN= 42mm (1 1/2´), inclusive conexões</t>
  </si>
  <si>
    <t>46.10.240</t>
  </si>
  <si>
    <t>Tubo de cobre classe E, DN= 54mm (2´), inclusive conexões</t>
  </si>
  <si>
    <t>46.10.250</t>
  </si>
  <si>
    <t>Tubo de cobre classe E, DN= 66mm (2 1/2´), inclusive conexões</t>
  </si>
  <si>
    <t>46.12</t>
  </si>
  <si>
    <t>Tubulacao em concreto para rede de aguas pluviais</t>
  </si>
  <si>
    <t>46.12.010</t>
  </si>
  <si>
    <t>Tubo de concreto (PS-1), DN= 300mm</t>
  </si>
  <si>
    <t>46.12.020</t>
  </si>
  <si>
    <t>Tubo de concreto (PS-1), DN= 400mm</t>
  </si>
  <si>
    <t>46.12.050</t>
  </si>
  <si>
    <t>Tubo de concreto (PS-2), DN= 300mm</t>
  </si>
  <si>
    <t>46.12.060</t>
  </si>
  <si>
    <t>Tubo de concreto (PS-2), DN= 400mm</t>
  </si>
  <si>
    <t>46.12.070</t>
  </si>
  <si>
    <t>Tubo de concreto (PS-2), DN= 500mm</t>
  </si>
  <si>
    <t>46.12.080</t>
  </si>
  <si>
    <t>Tubo de concreto (PA-1), DN= 600mm</t>
  </si>
  <si>
    <t>46.12.100</t>
  </si>
  <si>
    <t>Tubo de concreto (PA-1), DN= 800mm</t>
  </si>
  <si>
    <t>46.12.120</t>
  </si>
  <si>
    <t>Tubo de concreto (PA-1), DN= 1000mm</t>
  </si>
  <si>
    <t>46.12.140</t>
  </si>
  <si>
    <t>Tubo de concreto (PA-1), DN= 1200mm</t>
  </si>
  <si>
    <t>46.12.150</t>
  </si>
  <si>
    <t>Tubo de concreto (PA-2), DN= 600mm</t>
  </si>
  <si>
    <t>46.12.160</t>
  </si>
  <si>
    <t>Tubo de concreto (PA-2), DN= 800mm</t>
  </si>
  <si>
    <t>46.12.170</t>
  </si>
  <si>
    <t>Tubo de concreto (PA-2), DN= 1000mm</t>
  </si>
  <si>
    <t>46.12.180</t>
  </si>
  <si>
    <t>Tubo de concreto (PA-3), DN= 600mm</t>
  </si>
  <si>
    <t>46.12.190</t>
  </si>
  <si>
    <t>Tubo de concreto (PA-3), DN= 800mm</t>
  </si>
  <si>
    <t>46.12.200</t>
  </si>
  <si>
    <t>Tubo de concreto (PA-3), DN= 1000mm</t>
  </si>
  <si>
    <t>46.12.210</t>
  </si>
  <si>
    <t>Meio tubo de concreto, DN= 300mm</t>
  </si>
  <si>
    <t>46.12.220</t>
  </si>
  <si>
    <t>Meio tubo de concreto, DN= 400mm</t>
  </si>
  <si>
    <t>46.12.240</t>
  </si>
  <si>
    <t>Meio tubo de concreto, DN= 600mm</t>
  </si>
  <si>
    <t>46.12.250</t>
  </si>
  <si>
    <t>Tubo de concreto (PA-2), DN= 1500mm</t>
  </si>
  <si>
    <t>46.12.260</t>
  </si>
  <si>
    <t>Tubo de concreto (PA-1), DN= 400mm</t>
  </si>
  <si>
    <t>46.12.270</t>
  </si>
  <si>
    <t>Tubo de concreto (PA-2), DN= 400mm</t>
  </si>
  <si>
    <t>46.12.280</t>
  </si>
  <si>
    <t>Tubo de concreto (PA-3), DN= 400mm</t>
  </si>
  <si>
    <t>46.12.290</t>
  </si>
  <si>
    <t>Tubo de concreto (PA-2), DN= 700mm</t>
  </si>
  <si>
    <t>46.12.300</t>
  </si>
  <si>
    <t>Tubo de concreto (PA-2), DN= 500mm</t>
  </si>
  <si>
    <t>46.12.310</t>
  </si>
  <si>
    <t>Tubo de concreto (PA-2), DN= 900mm</t>
  </si>
  <si>
    <t>46.12.320</t>
  </si>
  <si>
    <t>Tubo de concreto (PA-1), DN= 300mm</t>
  </si>
  <si>
    <t>46.12.330</t>
  </si>
  <si>
    <t>Tubo de concreto (PA-2), DN= 300mm</t>
  </si>
  <si>
    <t>46.12.340</t>
  </si>
  <si>
    <t>Meio tubo de concreto, DN= 200mm</t>
  </si>
  <si>
    <t>46.13</t>
  </si>
  <si>
    <t>Tubulacao em PEAD corrugado perfurado para rede drenagem</t>
  </si>
  <si>
    <t>46.13.006</t>
  </si>
  <si>
    <t>Tubo em polietileno de alta densidade corrugado perfurado, DN= 2 1/2´, inclusive conexões</t>
  </si>
  <si>
    <t>46.13.010</t>
  </si>
  <si>
    <t>Tubo em polietileno de alta densidade corrugado perfurado, DN= 3´, inclusive conexões</t>
  </si>
  <si>
    <t>46.13.020</t>
  </si>
  <si>
    <t>Tubo em polietileno de alta densidade corrugado perfurado, DN= 4´, inclusive conexões</t>
  </si>
  <si>
    <t>46.13.026</t>
  </si>
  <si>
    <t>Tubo em polietileno de alta densidade corrugado perfurado, DN= 6´, inclusive conexões</t>
  </si>
  <si>
    <t>46.13.030</t>
  </si>
  <si>
    <t>Tubo em polietileno de alta densidade corrugado perfurado, DN= 8´, inclusive conexões</t>
  </si>
  <si>
    <t>46.13.100</t>
  </si>
  <si>
    <t>Tubo em polietileno de alta densidade corrugado, DN/DI= 250 mm</t>
  </si>
  <si>
    <t>46.13.101</t>
  </si>
  <si>
    <t>Tubo em polietileno de alta densidade corrugado, DN/DI= 300 mm</t>
  </si>
  <si>
    <t>46.13.102</t>
  </si>
  <si>
    <t>Tubo em polietileno de alta densidade corrugado, DN/DI= 400 mm</t>
  </si>
  <si>
    <t>46.13.103</t>
  </si>
  <si>
    <t>Tubo em polietileno de alta densidade corrugado, DN/DI= 500 mm</t>
  </si>
  <si>
    <t>46.13.104</t>
  </si>
  <si>
    <t>Tubo em polietileno de alta densidade corrugado, DN/DI= 600 mm</t>
  </si>
  <si>
    <t>46.13.105</t>
  </si>
  <si>
    <t>Tubo em polietileno de alta densidade corrugado, DN/DI= 800 mm</t>
  </si>
  <si>
    <t>46.13.106</t>
  </si>
  <si>
    <t>Tubo em polietileno de alta densidade corrugado, DN/DI= 1000 mm</t>
  </si>
  <si>
    <t>46.13.107</t>
  </si>
  <si>
    <t>Tubo em polietileno de alta densidade corrugado, DN/DI= 1200 mm</t>
  </si>
  <si>
    <t>46.14</t>
  </si>
  <si>
    <t>Tubulacao em ferro ductil para redes de saneamento</t>
  </si>
  <si>
    <t>46.14.020</t>
  </si>
  <si>
    <t>Tubo de ferro fundido classe K-7 com junta elástica, DN= 150mm, inclusive conexões</t>
  </si>
  <si>
    <t>46.14.030</t>
  </si>
  <si>
    <t>Tubo de ferro fundido classe K-7 com junta elástica, DN= 200mm, inclusive conexões</t>
  </si>
  <si>
    <t>46.14.040</t>
  </si>
  <si>
    <t>Tubo de ferro fundido classe K-7 com junta elástica, DN= 250mm, inclusive conexões</t>
  </si>
  <si>
    <t>46.14.050</t>
  </si>
  <si>
    <t>Tubo de ferro fundido classe K-7 com junta elástica, DN= 350mm, inclusive conexões</t>
  </si>
  <si>
    <t>46.14.060</t>
  </si>
  <si>
    <t>Tubo de ferro fundido classe K-7 com junta elástica, DN= 300mm, inclusive conexões</t>
  </si>
  <si>
    <t>46.14.490</t>
  </si>
  <si>
    <t>Tubo de ferro fundido classe k-9 com junta elástica, DN= 80mm, inclusive conexões</t>
  </si>
  <si>
    <t>46.14.510</t>
  </si>
  <si>
    <t>Tubo de ferro fundido classe K-9 com junta elástica, DN= 100mm, inclusive conexões</t>
  </si>
  <si>
    <t>46.14.520</t>
  </si>
  <si>
    <t>Tubo de ferro fundido classe K-9 com junta elástica, DN= 150mm, inclusive conexões</t>
  </si>
  <si>
    <t>46.14.530</t>
  </si>
  <si>
    <t>Tubo de ferro fundido classe K-9 com junta elástica, DN= 200mm, inclusive conexões</t>
  </si>
  <si>
    <t>46.14.540</t>
  </si>
  <si>
    <t>Tubo de ferro fundido classe k-9 com junta elástica, DN= 250mm, inclusive conexões</t>
  </si>
  <si>
    <t>46.14.550</t>
  </si>
  <si>
    <t>Tubo de ferro fundido classe K-9 com junta elástica, DN= 300mm, inclusive conexões</t>
  </si>
  <si>
    <t>46.14.560</t>
  </si>
  <si>
    <t>Tubo de ferro fundido classe k-9 com junta elástica, DN= 350mm, inclusive conexões</t>
  </si>
  <si>
    <t>46.15</t>
  </si>
  <si>
    <t>Tubulacao em PEAD - recalque de tratamento de esgoto</t>
  </si>
  <si>
    <t>46.15.111</t>
  </si>
  <si>
    <t>Tubo em polietileno de alta densidade DE=160 mm - PN-10, inclusive conexões</t>
  </si>
  <si>
    <t>46.15.112</t>
  </si>
  <si>
    <t>Tubo em polietileno de alta densidade DE=200 mm - PN-10, inclusive conexões</t>
  </si>
  <si>
    <t>46.15.113</t>
  </si>
  <si>
    <t>Tubo em polietileno de alta densidade DE=225 mm - PN-10, inclusive conexões</t>
  </si>
  <si>
    <t>46.18</t>
  </si>
  <si>
    <t>Tubulacao flangeada em ferro ductil para redes de saneamento</t>
  </si>
  <si>
    <t>46.18.010</t>
  </si>
  <si>
    <t>Tubo em ferro fundido com ponta e ponta TCLA - DN= 80mm, sem juntas e conexões</t>
  </si>
  <si>
    <t>46.18.020</t>
  </si>
  <si>
    <t>Tubo em ferro fundido com ponta e ponta TCLA - DN= 100mm, sem juntas e conexões</t>
  </si>
  <si>
    <t>46.18.030</t>
  </si>
  <si>
    <t>Tubo em ferro fundido com ponta e ponta TCLA - DN= 150mm, sem juntas e conexões</t>
  </si>
  <si>
    <t>46.18.040</t>
  </si>
  <si>
    <t>Tubo em ferro fundido com ponta e ponta TCLA - DN= 200mm, sem juntas e conexões</t>
  </si>
  <si>
    <t>46.18.050</t>
  </si>
  <si>
    <t>Tubo em ferro fundido com ponta e ponta TCLA - DN= 250mm, sem juntas e conexões</t>
  </si>
  <si>
    <t>46.18.060</t>
  </si>
  <si>
    <t>Tubo em ferro fundido com ponta e ponta TCLA - DN= 300mm, sem juntas e conexões</t>
  </si>
  <si>
    <t>46.18.089</t>
  </si>
  <si>
    <t>Flange avulso em ferro fundido, classe PN-10, DN= 50mm</t>
  </si>
  <si>
    <t>46.18.090</t>
  </si>
  <si>
    <t>Flange avulso em ferro fundido, classe PN-10, DN= 80mm</t>
  </si>
  <si>
    <t>46.18.100</t>
  </si>
  <si>
    <t>Flange avulso em ferro fundido, classe PN-10, DN= 100mm</t>
  </si>
  <si>
    <t>46.18.110</t>
  </si>
  <si>
    <t>Flange avulso em ferro fundido, classe PN-10, DN= 150mm</t>
  </si>
  <si>
    <t>46.18.120</t>
  </si>
  <si>
    <t>Flange avulso em ferro fundido, classe PN-10, DN= 200mm</t>
  </si>
  <si>
    <t>46.18.130</t>
  </si>
  <si>
    <t>Flange avulso em ferro fundido, classe PN-10, DN= 250mm</t>
  </si>
  <si>
    <t>46.18.140</t>
  </si>
  <si>
    <t>Flange avulso em ferro fundido, classe PN-10, DN= 300mm</t>
  </si>
  <si>
    <t>46.18.168</t>
  </si>
  <si>
    <t>Curva de 90° em ferro fundido com flanges, classe PN-10, DN= 50mm</t>
  </si>
  <si>
    <t>46.18.170</t>
  </si>
  <si>
    <t>Curva de 90° em ferro fundido, com flanges, classe PN-10, DN= 80mm</t>
  </si>
  <si>
    <t>46.18.180</t>
  </si>
  <si>
    <t>Curva de 90° em ferro fundido, com flanges, classe PN-10, DN= 100mm</t>
  </si>
  <si>
    <t>46.18.190</t>
  </si>
  <si>
    <t>Curva de 90° em ferro fundido, com flanges, classe PN-10, DN= 150mm</t>
  </si>
  <si>
    <t>46.18.410</t>
  </si>
  <si>
    <t>Te em ferro fundido, com flanges, classe PN-10, DN= 80mm, com derivação de 80mm</t>
  </si>
  <si>
    <t>46.18.420</t>
  </si>
  <si>
    <t>Te em ferro fundido, com flanges, classe PN-10, DN= 100mm, com derivações de 80 até 100mm</t>
  </si>
  <si>
    <t>46.18.430</t>
  </si>
  <si>
    <t>Te em ferro fundido, com flanges, classe PN-10, DN= 150mm, com derivações de 80 até 150mm</t>
  </si>
  <si>
    <t>46.18.560</t>
  </si>
  <si>
    <t>Junta Gibault em ferro fundido, DN= 80mm, completa</t>
  </si>
  <si>
    <t>46.18.570</t>
  </si>
  <si>
    <t>Junta Gibault em ferro fundido, DN= 100 mm, completa</t>
  </si>
  <si>
    <t>46.19</t>
  </si>
  <si>
    <t>Tubulacao flangeada em ferro ductil para redes de saneamento.</t>
  </si>
  <si>
    <t>46.19.500</t>
  </si>
  <si>
    <t>Redução excêntrica em ferro fundido, com flanges, classe PN-10, DN= 100mm x 80mm</t>
  </si>
  <si>
    <t>46.19.510</t>
  </si>
  <si>
    <t>Redução excêntrica em ferro fundido, com flanges, classe PN-10, DN= 150mm x 80/100mm</t>
  </si>
  <si>
    <t>46.19.520</t>
  </si>
  <si>
    <t>Redução excêntrica em ferro fundido, com flanges, classe PN-10, DN= 200mm x 100/150mm</t>
  </si>
  <si>
    <t>46.19.530</t>
  </si>
  <si>
    <t>Redução excêntrica em ferro fundido, com flanges, classe PN-10, DN= 250mm x 150/200mm</t>
  </si>
  <si>
    <t>46.19.590</t>
  </si>
  <si>
    <t>Redução concêntrica em ferro fundido, com flanges, classe PN-10, DN= 80 x 50mm</t>
  </si>
  <si>
    <t>46.19.600</t>
  </si>
  <si>
    <t>Redução concêntrica em ferro fundido, com flanges, classe PN-10, DN= 100mm x 80mm</t>
  </si>
  <si>
    <t>46.19.610</t>
  </si>
  <si>
    <t>Redução concêntrica em ferro fundido, com flanges, classe PN-10, DN= 150mm x 80/100mm</t>
  </si>
  <si>
    <t>46.19.620</t>
  </si>
  <si>
    <t>Redução concêntrica em ferro fundido, com flanges, classe PN-10, DN= 200mm x 100/150mm</t>
  </si>
  <si>
    <t>46.19.630</t>
  </si>
  <si>
    <t>Redução concêntrica em ferro fundido, com flanges, classe PN-10, DN= 250mm x 150/200mm</t>
  </si>
  <si>
    <t>46.20</t>
  </si>
  <si>
    <t>Reparos, conservacoes e complementos - GRUPO 46</t>
  </si>
  <si>
    <t>46.20.010</t>
  </si>
  <si>
    <t>Assentamento de tubo de concreto com diâmetro até 600 mm</t>
  </si>
  <si>
    <t>46.20.020</t>
  </si>
  <si>
    <t>Assentamento de tubo de concreto com diâmetro de 700 até 1500 mm</t>
  </si>
  <si>
    <t>46.21</t>
  </si>
  <si>
    <t>Tubulacao em aco preto schedule</t>
  </si>
  <si>
    <t>46.21.012</t>
  </si>
  <si>
    <t>Tubo de aço carbono preto sem costura Schedule 40, DN= 1´ - inclusive conexões</t>
  </si>
  <si>
    <t>46.21.036</t>
  </si>
  <si>
    <t>Tubo de aço carbono preto sem costura Schedule 40, DN= 1 1/4´ - inclusive conexões</t>
  </si>
  <si>
    <t>46.21.040</t>
  </si>
  <si>
    <t>Tubo de aço carbono preto sem costura Schedule 40, DN= 1 1/2´ - inclusive conexões</t>
  </si>
  <si>
    <t>46.21.046</t>
  </si>
  <si>
    <t>Tubo de aço carbono preto sem costura Schedule 40, DN= 2´ - inclusive conexões</t>
  </si>
  <si>
    <t>46.21.056</t>
  </si>
  <si>
    <t>Tubo de aço carbono preto sem costura Schedule 40, DN= 2 1/2´ - inclusive conexões</t>
  </si>
  <si>
    <t>46.21.060</t>
  </si>
  <si>
    <t>Tubo de aço carbono preto sem costura Schedule 40, DN= 3´ - inclusive conexões</t>
  </si>
  <si>
    <t>46.21.066</t>
  </si>
  <si>
    <t>Tubo de aço carbono preto sem costura Schedule 40, DN= 3 1/2´ - inclusive conexões</t>
  </si>
  <si>
    <t>46.21.080</t>
  </si>
  <si>
    <t>Tubo de aço carbono preto sem costura Schedule 40, DN= 4´ - inclusive conexões</t>
  </si>
  <si>
    <t>46.21.090</t>
  </si>
  <si>
    <t>Tubo de aço carbono preto sem costura Schedule 40, DN= 5´ - inclusive conexões</t>
  </si>
  <si>
    <t>46.21.100</t>
  </si>
  <si>
    <t>Tubo de aço carbono preto sem costura Schedule 40, DN= 6´ - inclusive conexões</t>
  </si>
  <si>
    <t>46.21.110</t>
  </si>
  <si>
    <t>Tubo de aço carbono preto sem costura Schedule 40, DN= 8´ - inclusive conexões</t>
  </si>
  <si>
    <t>46.21.140</t>
  </si>
  <si>
    <t>Tubo de aço carbono preto com costura Schedule 40, DN= 10´ - inclusive conexões</t>
  </si>
  <si>
    <t>46.21.150</t>
  </si>
  <si>
    <t>Tubo de aço carbono preto com costura Schedule 40, DN= 12´ - inclusive conexões</t>
  </si>
  <si>
    <t>46.23</t>
  </si>
  <si>
    <t>Tubulacao em concreto para rede de esgoto sanitario</t>
  </si>
  <si>
    <t>46.23.110</t>
  </si>
  <si>
    <t>Tubo de concreto classe EA-3, DN= 400 mm</t>
  </si>
  <si>
    <t>46.23.120</t>
  </si>
  <si>
    <t>Tubo de concreto classe EA-3, DN= 500 mm</t>
  </si>
  <si>
    <t>46.23.130</t>
  </si>
  <si>
    <t>Tubo de concreto classe EA-3, DN= 600 mm</t>
  </si>
  <si>
    <t>46.23.140</t>
  </si>
  <si>
    <t>Tubo de concreto classe EA-3, DN= 700 mm</t>
  </si>
  <si>
    <t>46.23.150</t>
  </si>
  <si>
    <t>Tubo de concreto classe EA-3, DN= 800 mm</t>
  </si>
  <si>
    <t>46.23.160</t>
  </si>
  <si>
    <t>Tubo de concreto classe EA-3, DN= 900 mm</t>
  </si>
  <si>
    <t>46.23.170</t>
  </si>
  <si>
    <t>Tubo de concreto classe EA-3, DN= 1000 mm</t>
  </si>
  <si>
    <t>46.23.180</t>
  </si>
  <si>
    <t>Tubo de concreto classe EA-3, DN= 1200 mm</t>
  </si>
  <si>
    <t>46.25</t>
  </si>
  <si>
    <t>Tubulação em CPVC</t>
  </si>
  <si>
    <t>46.25.050</t>
  </si>
  <si>
    <t>Condutor em PVC 88mm, inclusive conexões - AP</t>
  </si>
  <si>
    <t>46.26</t>
  </si>
  <si>
    <t>Tubulacao em ferro fundido predial SMU - esgoto e pluvial</t>
  </si>
  <si>
    <t>46.26.010</t>
  </si>
  <si>
    <t>Tubo em ferro fundido com ponta e ponta, predial SMU, DN= 50 mm</t>
  </si>
  <si>
    <t>46.26.020</t>
  </si>
  <si>
    <t>Tubo em ferro fundido com ponta e ponta, predial SMU, DN= 75 mm</t>
  </si>
  <si>
    <t>46.26.030</t>
  </si>
  <si>
    <t>Tubo em ferro fundido com ponta e ponta, predial SMU, DN= 100 mm</t>
  </si>
  <si>
    <t>46.26.040</t>
  </si>
  <si>
    <t>Tubo em ferro fundido com ponta e ponta, predial SMU, DN= 150 mm</t>
  </si>
  <si>
    <t>46.26.050</t>
  </si>
  <si>
    <t>Tubo em ferro fundido com ponta e ponta, predial SMU, DN= 200 mm</t>
  </si>
  <si>
    <t>46.26.060</t>
  </si>
  <si>
    <t>Junta de união em aço inoxidável para tubo em ferro fundido predial SMU, DN= 50 mm</t>
  </si>
  <si>
    <t>46.26.070</t>
  </si>
  <si>
    <t>Junta de união em aço inoxidável para tubo em ferro fundido predial SMU, DN= 75 mm</t>
  </si>
  <si>
    <t>46.26.080</t>
  </si>
  <si>
    <t>Junta de união em aço inoxidável para tubo em ferro fundido predial SMU, DN= 100 mm</t>
  </si>
  <si>
    <t>46.26.090</t>
  </si>
  <si>
    <t>Junta de união em aço inoxidável para tubo em ferro fundido predial SMU, DN= 150 mm</t>
  </si>
  <si>
    <t>46.26.100</t>
  </si>
  <si>
    <t>Junta de união em aço inoxidável para tubo em ferro fundido predial SMU, DN= 200 mm</t>
  </si>
  <si>
    <t>46.26.110</t>
  </si>
  <si>
    <t>Conjunto de ancoragem para tubo em ferro fundido predial SMU, DN= 50 mm</t>
  </si>
  <si>
    <t>46.26.120</t>
  </si>
  <si>
    <t>Conjunto de ancoragem para tubo em ferro fundido predial SMU, DN= 75 mm</t>
  </si>
  <si>
    <t>46.26.130</t>
  </si>
  <si>
    <t>Conjunto de ancoragem para tubo em ferro fundido predial SMU, DN= 100 mm</t>
  </si>
  <si>
    <t>46.26.136</t>
  </si>
  <si>
    <t>Conjunto de ancoragem para tubo em ferro fundido predial SMU, DN= 125 mm</t>
  </si>
  <si>
    <t>46.26.140</t>
  </si>
  <si>
    <t>Conjunto de ancoragem para tubo em ferro fundido predial SMU, DN= 150 mm</t>
  </si>
  <si>
    <t>46.26.150</t>
  </si>
  <si>
    <t>Conjunto de ancoragem para tubo em ferro fundido predial SMU, DN= 200 mm</t>
  </si>
  <si>
    <t>46.26.200</t>
  </si>
  <si>
    <t>Tubo em ferro fundido com ponta e ponta, predial SMU, DN= 125 mm</t>
  </si>
  <si>
    <t>46.26.210</t>
  </si>
  <si>
    <t>Tubo em ferro fundido com ponta e ponta, predial SMU, DN= 250 mm</t>
  </si>
  <si>
    <t>46.26.400</t>
  </si>
  <si>
    <t>Joelho 45° em ferro fundido, predial SMU, DN= 50 mm</t>
  </si>
  <si>
    <t>46.26.410</t>
  </si>
  <si>
    <t>Joelho 45° em ferro fundido, predial SMU, DN= 75 mm</t>
  </si>
  <si>
    <t>46.26.420</t>
  </si>
  <si>
    <t>Joelho 45° em ferro fundido, predial SMU, DN= 100 mm</t>
  </si>
  <si>
    <t>46.26.426</t>
  </si>
  <si>
    <t>Joelho 45° em ferro fundido, predial SMU, DN= 125 mm</t>
  </si>
  <si>
    <t>46.26.430</t>
  </si>
  <si>
    <t>Joelho 45° em ferro fundido, predial SMU, DN= 150 mm</t>
  </si>
  <si>
    <t>46.26.440</t>
  </si>
  <si>
    <t>Joelho 45° em ferro fundido, predial SMU, DN= 200 mm</t>
  </si>
  <si>
    <t>46.26.460</t>
  </si>
  <si>
    <t>Joelho 88° em ferro fundido, predial SMU, DN= 50 mm</t>
  </si>
  <si>
    <t>46.26.470</t>
  </si>
  <si>
    <t>Joelho 88° em ferro fundido, predial SMU, DN= 75 mm</t>
  </si>
  <si>
    <t>46.26.480</t>
  </si>
  <si>
    <t>Joelho 88° em ferro fundido, predial SMU, DN= 100 mm</t>
  </si>
  <si>
    <t>46.26.490</t>
  </si>
  <si>
    <t>Joelho 88° em ferro fundido, predial SMU, DN= 150 mm</t>
  </si>
  <si>
    <t>46.26.500</t>
  </si>
  <si>
    <t>Joelho 88° em ferro fundido, predial SMU, DN= 200 mm</t>
  </si>
  <si>
    <t>46.26.510</t>
  </si>
  <si>
    <t>Junção 45° em ferro fundido, predial SMU, DN= 50 x 50 mm</t>
  </si>
  <si>
    <t>46.26.516</t>
  </si>
  <si>
    <t>Junção 45° em ferro fundido, predial SMU, DN= 75 x 50 mm</t>
  </si>
  <si>
    <t>46.26.520</t>
  </si>
  <si>
    <t>Junção 45° em ferro fundido, predial SMU, DN= 75 x 75 mm</t>
  </si>
  <si>
    <t>46.26.540</t>
  </si>
  <si>
    <t>Junção 45° em ferro fundido, predial SMU, DN= 100 x 75 mm</t>
  </si>
  <si>
    <t>46.26.550</t>
  </si>
  <si>
    <t>Junção 45° em ferro fundido, predial SMU, DN= 100 x 100 mm</t>
  </si>
  <si>
    <t>46.26.560</t>
  </si>
  <si>
    <t>Junção 45° em ferro fundido, predial SMU, DN= 150 x 150 mm</t>
  </si>
  <si>
    <t>46.26.580</t>
  </si>
  <si>
    <t>Junta de união em aço inoxidável para tubo em ferro fundido predial SMU, DN= 125 mm</t>
  </si>
  <si>
    <t>46.26.590</t>
  </si>
  <si>
    <t>Junta de união em aço inoxidável para tubo em ferro fundido predial SMU, DN= 250 mm</t>
  </si>
  <si>
    <t>46.26.600</t>
  </si>
  <si>
    <t>Redução excêntrica em ferro fundido, predial SMU, DN= 75 x 50 mm</t>
  </si>
  <si>
    <t>46.26.610</t>
  </si>
  <si>
    <t>Redução excêntrica em ferro fundido, predial SMU, DN= 100 x 75 mm</t>
  </si>
  <si>
    <t>46.26.612</t>
  </si>
  <si>
    <t>Redução excêntrica em ferro fundido, predial SMU, DN= 125 x 75 mm</t>
  </si>
  <si>
    <t>46.26.614</t>
  </si>
  <si>
    <t>Redução excêntrica em ferro fundido, predial SMU, DN= 125 x 100 mm</t>
  </si>
  <si>
    <t>46.26.616</t>
  </si>
  <si>
    <t>Redução excêntrica em ferro fundido, predial SMU, DN= 150 x 75 mm</t>
  </si>
  <si>
    <t>46.26.632</t>
  </si>
  <si>
    <t>Redução excêntrica em ferro fundido, predial SMU, DN= 150 x 100 mm</t>
  </si>
  <si>
    <t>46.26.634</t>
  </si>
  <si>
    <t>Redução excêntrica em ferro fundido, predial SMU, DN= 150 x 125 mm</t>
  </si>
  <si>
    <t>46.26.636</t>
  </si>
  <si>
    <t>Redução excêntrica em ferro fundido, predial SMU, DN= 200 x 125 mm</t>
  </si>
  <si>
    <t>46.26.640</t>
  </si>
  <si>
    <t>Redução excêntrica em ferro fundido, predial SMU, DN= 200 x 150 mm</t>
  </si>
  <si>
    <t>46.26.690</t>
  </si>
  <si>
    <t>Redução excêntrica em ferro fundido, predial SMU, DN= 250 x 200 mm</t>
  </si>
  <si>
    <t>46.26.700</t>
  </si>
  <si>
    <t>Te de visita em ferro fundido, predial SMU, DN= 75 mm</t>
  </si>
  <si>
    <t>46.26.710</t>
  </si>
  <si>
    <t>Te de visita em ferro fundido, predial SMU, DN= 100 mm</t>
  </si>
  <si>
    <t>46.26.720</t>
  </si>
  <si>
    <t>Te de visita em ferro fundido, predial SMU, DN= 125 mm</t>
  </si>
  <si>
    <t>46.26.730</t>
  </si>
  <si>
    <t>Te de visita em ferro fundido, predial SMU, DN= 150 mm</t>
  </si>
  <si>
    <t>46.26.740</t>
  </si>
  <si>
    <t>Te de visita em ferro fundido, predial SMU, DN= 200 mm</t>
  </si>
  <si>
    <t>46.26.800</t>
  </si>
  <si>
    <t>Abraçadeira dentada para travamento em aço inoxidável, com parafuso de aço zincado, para tubo em ferro fundido predial SMU, DN= 50 mm</t>
  </si>
  <si>
    <t>46.26.810</t>
  </si>
  <si>
    <t>Abraçadeira dentada para travamento em aço inoxidável, com parafuso de aço zincado, para tubo em ferro fundido predial SMU, DN= 75 mm</t>
  </si>
  <si>
    <t>46.26.820</t>
  </si>
  <si>
    <t>Abraçadeira dentada para travamento em aço inoxidável, com parafuso de aço zincado, para tubo em ferro fundido predial SMU, DN= 100 mm</t>
  </si>
  <si>
    <t>46.26.825</t>
  </si>
  <si>
    <t>Abraçadeira dentada para travamento em aço inoxidável, com parafuso de aço zincado, para tubo em ferro fundido predial SMU, DN= 125 mm</t>
  </si>
  <si>
    <t>46.26.830</t>
  </si>
  <si>
    <t>Abraçadeira dentada para travamento em aço inoxidável, com parafuso de aço zincado, para tubo em ferro fundido predial SMU, DN= 150 mm</t>
  </si>
  <si>
    <t>46.26.840</t>
  </si>
  <si>
    <t>Tampão simples em ferro fundido, predial SMU, DN= 150 mm</t>
  </si>
  <si>
    <t>46.26.843</t>
  </si>
  <si>
    <t>Tampão simples em ferro fundido, predial SMU, DN= 200 mm</t>
  </si>
  <si>
    <t>46.26.900</t>
  </si>
  <si>
    <t>Junção 45° em ferro fundido, predial SMU, DN= 125 x 100 mm</t>
  </si>
  <si>
    <t>46.26.910</t>
  </si>
  <si>
    <t>Junção 45° em ferro fundido, predial SMU, DN= 150 x 100 mm</t>
  </si>
  <si>
    <t>46.26.920</t>
  </si>
  <si>
    <t>Junção 45° em ferro fundido, predial SMU, DN= 200 x 100 mm</t>
  </si>
  <si>
    <t>46.26.930</t>
  </si>
  <si>
    <t>Junção 45° em ferro fundido, predial SMU, DN= 200 x 200 mm</t>
  </si>
  <si>
    <t>46.27</t>
  </si>
  <si>
    <t>Tubulacao em cobre, para sistema de ar condicionado</t>
  </si>
  <si>
    <t>46.27.050</t>
  </si>
  <si>
    <t>Tubo de cobre flexível, espessura 1/32" - diâmetro 3/16", inclusive conexões</t>
  </si>
  <si>
    <t>46.27.060</t>
  </si>
  <si>
    <t>Tubo de cobre flexível, espessura 1/32" - diâmetro 1/4", inclusive conexões</t>
  </si>
  <si>
    <t>46.27.070</t>
  </si>
  <si>
    <t>Tubo de cobre flexível, espessura 1/32" - diâmetro 5/16", inclusive conexões</t>
  </si>
  <si>
    <t>46.27.080</t>
  </si>
  <si>
    <t>Tubo de cobre flexível, espessura 1/32" - diâmetro 3/8", inclusive conexões</t>
  </si>
  <si>
    <t>46.27.090</t>
  </si>
  <si>
    <t>Tubo de cobre flexível, espessura 1/32" - diâmetro 1/2", inclusive conexões</t>
  </si>
  <si>
    <t>46.27.100</t>
  </si>
  <si>
    <t>Tubo de cobre flexível, espessura 1/32" - diâmetro 5/8", inclusive conexões</t>
  </si>
  <si>
    <t>46.27.110</t>
  </si>
  <si>
    <t>Tubo de cobre flexível, espessura 1/32" - diâmetro 3/4", inclusive conexões</t>
  </si>
  <si>
    <t>46.32</t>
  </si>
  <si>
    <t>Tubulacao em cobre rigido, para sistema VRF de ar condicionado</t>
  </si>
  <si>
    <t>46.32.001</t>
  </si>
  <si>
    <t>Tubo de cobre sem costura, rígido, espessura 1/16" - diâmetro 3/8", inclusive conexões</t>
  </si>
  <si>
    <t>46.32.002</t>
  </si>
  <si>
    <t>Tubo de cobre sem costura, rígido, espessura 1/16" - diâmetro 1/2", inclusive conexões</t>
  </si>
  <si>
    <t>46.32.003</t>
  </si>
  <si>
    <t>Tubo de cobre sem costura, rígido, espessura 1/16" - diâmetro 5/8", inclusive conexões</t>
  </si>
  <si>
    <t>46.32.004</t>
  </si>
  <si>
    <t>Tubo de cobre sem costura, rígido, espessura 1/16" - diâmetro 3/4", inclusive conexões</t>
  </si>
  <si>
    <t>46.32.005</t>
  </si>
  <si>
    <t>Tubo de cobre sem costura, rígido, espessura 1/16" - diâmetro 7/8", inclusive conexões</t>
  </si>
  <si>
    <t>46.32.006</t>
  </si>
  <si>
    <t>Tubo de cobre sem costura, rígido, espessura 1/16" - diâmetro 1", inclusive conexões</t>
  </si>
  <si>
    <t>46.32.007</t>
  </si>
  <si>
    <t>Tubo de cobre sem costura, rígido, espessura 1/16" - diâmetro 1.1/8", inclusive conexões</t>
  </si>
  <si>
    <t>46.32.008</t>
  </si>
  <si>
    <t>Tubo de cobre sem costura, rígido, espessura 1/16" - diâmetro 1.1/4", inclusive conexões</t>
  </si>
  <si>
    <t>46.32.009</t>
  </si>
  <si>
    <t>Tubo de cobre sem costura, rígido, espessura 1/16" - diâmetro 1.3/8", inclusive conexões</t>
  </si>
  <si>
    <t>46.32.010</t>
  </si>
  <si>
    <t>Tubo de cobre sem costura, rígido, espessura 1/16" - diâmetro 1.1/2", inclusive conexões</t>
  </si>
  <si>
    <t>46.32.011</t>
  </si>
  <si>
    <t>Tubo de cobre sem costura, rígido, espessura 1/16" - diâmetro 1.5/8", inclusive conexões</t>
  </si>
  <si>
    <t>46.33</t>
  </si>
  <si>
    <t>Tubulacao em PP - aguas pluviais / esgoto</t>
  </si>
  <si>
    <t>46.33.001</t>
  </si>
  <si>
    <t>Tubo de esgoto em polipropileno de alta resistência - PP, DN= 40mm, preto, com união deslizante e guarnição elastomérica de duplo lábio</t>
  </si>
  <si>
    <t>46.33.002</t>
  </si>
  <si>
    <t>Tubo de esgoto em polipropileno de alta resistência - PP, DN= 50mm, preto, com união deslizante e guarnição elastomérica de duplo lábio</t>
  </si>
  <si>
    <t>46.33.003</t>
  </si>
  <si>
    <t>Tubo de esgoto em polipropileno de alta resistência - PP, DN= 63mm, preto, com união deslizante e guarnição elastomérica de duplo lábio</t>
  </si>
  <si>
    <t>46.33.004</t>
  </si>
  <si>
    <t>Tubo de esgoto em polipropileno de alta resistência - PP, DN= 110mm, preto, com união deslizante e guarnição elastomérica de duplo lábio</t>
  </si>
  <si>
    <t>46.33.020</t>
  </si>
  <si>
    <t>Joelho 45° em polipropileno de alta resistência, preto, tipo PB, DN= 40mm</t>
  </si>
  <si>
    <t>46.33.021</t>
  </si>
  <si>
    <t>Joelho 45° em polipropileno de alta resistência - PP, preto, tipo PB, DN= 50mm</t>
  </si>
  <si>
    <t>46.33.022</t>
  </si>
  <si>
    <t>Joelho 45° em polipropileno de alta resistência - PP, preto, tipo PB, DN= 63mm</t>
  </si>
  <si>
    <t>46.33.023</t>
  </si>
  <si>
    <t>Joelho 45° em polipropileno de alta resistência - PP, preto, tipo PB, DN= 110mm</t>
  </si>
  <si>
    <t>46.33.047</t>
  </si>
  <si>
    <t>Joelho 87°30' em polipropileno de alta resistência - PP, preto, tipo PB, DN= 40mm</t>
  </si>
  <si>
    <t>46.33.048</t>
  </si>
  <si>
    <t>Joelho 87°30' em polipropileno de alta resistência - PP, preto, tipo PB, DN= 50mm</t>
  </si>
  <si>
    <t>46.33.049</t>
  </si>
  <si>
    <t>Joelho 87°30' em polipropileno de alta resistência - PP, preto, tipo PB, DN= 63mm</t>
  </si>
  <si>
    <t>46.33.074</t>
  </si>
  <si>
    <t>Joelho 87°30' em polipropileno de alta resistência - PP, preto, tipo PB, DN= 110mm, com base de apoio</t>
  </si>
  <si>
    <t>46.33.102</t>
  </si>
  <si>
    <t>Luva dupla em polipropileno de alta resistência - PP,  preto,  DN= 40mm</t>
  </si>
  <si>
    <t>46.33.103</t>
  </si>
  <si>
    <t>Luva dupla em polipropileno de alta resistência - PP,  preto,  DN= 50mm</t>
  </si>
  <si>
    <t>46.33.104</t>
  </si>
  <si>
    <t>Luva dupla em polipropileno de alta resistência - PP,  preto,  DN= 63mm</t>
  </si>
  <si>
    <t>46.33.105</t>
  </si>
  <si>
    <t>Luva dupla em polipropileno de alta resistência - PP,  preto,  DN= 110mm</t>
  </si>
  <si>
    <t>46.33.116</t>
  </si>
  <si>
    <t>Luva de Redução em polipropileno de alta resistência - PP, preto, tipo PB, DN= 50x40mm</t>
  </si>
  <si>
    <t>46.33.117</t>
  </si>
  <si>
    <t>Luva de Redução em polipropileno de alta resistência - PP, preto, tipo PB, DN= 63x50mm</t>
  </si>
  <si>
    <t>46.33.118</t>
  </si>
  <si>
    <t>Luva de Redução em polipropileno de alta resistência - PP, preto, tipo PB, DN= 110x63mm</t>
  </si>
  <si>
    <t>46.33.130</t>
  </si>
  <si>
    <t>Tê 87°30' simples em polipropileno de alta resistência - PP, preto, tipo PB, DN= 50x50mm</t>
  </si>
  <si>
    <t>46.33.131</t>
  </si>
  <si>
    <t>Tê 87°30' simples em polipropileno de alta resistência - PP, preto, tipo PB, DN= 63x63mm</t>
  </si>
  <si>
    <t>46.33.132</t>
  </si>
  <si>
    <t>Tê 87°30' simples em polipropileno de alta resistência - PP, preto, tipo PB, DN= 110x110mm</t>
  </si>
  <si>
    <t>46.33.137</t>
  </si>
  <si>
    <t>Tê 87°30' simples de redução em polipropileno de alta resistência - PP, preto, tipo PB, DN= 110x63mm</t>
  </si>
  <si>
    <t>46.33.140</t>
  </si>
  <si>
    <t>Tê 87°30' de inspeção em polipropileno de alta resistência - PP, preto (PxB), DN 110mm</t>
  </si>
  <si>
    <t>46.33.149</t>
  </si>
  <si>
    <t>Junção 45° simples em polipropileno de alta resistência - PP, preto, tipo PB, DN= 50x50mm</t>
  </si>
  <si>
    <t>46.33.150</t>
  </si>
  <si>
    <t>Junção 45° simples em polipropileno de alta resistência - PP, preto, tipo PB, DN= 63x63mm</t>
  </si>
  <si>
    <t>46.33.151</t>
  </si>
  <si>
    <t>Junção 45° simples em polipropileno de alta resistência - PP, preto, tipo PB, DN= 110x110mm</t>
  </si>
  <si>
    <t>46.33.159</t>
  </si>
  <si>
    <t>Junção 45° simples de redução em polipropileno de alta resistência - PP, preto, tipo PB, DN= 63x50mm</t>
  </si>
  <si>
    <t>46.33.160</t>
  </si>
  <si>
    <t>Junção 45° simples de redução em polipropileno de alta resistência - PP, preto, tipo PB, DN= 110x50mm</t>
  </si>
  <si>
    <t>46.33.161</t>
  </si>
  <si>
    <t>Junção 45° simples de redução em polipropileno de alta resistência - PP, preto, tipo PB, DN= 110x63mm</t>
  </si>
  <si>
    <t>46.33.170</t>
  </si>
  <si>
    <t>Curva 87°30' em polipropileno de alta resistência - PP, preto, tipo PB, DN= 110mm</t>
  </si>
  <si>
    <t>46.33.186</t>
  </si>
  <si>
    <t>Caixa sifonada de piso, em polipropileno de alta resistência PP, preto,  DN=125mm, uma saída de 63mm</t>
  </si>
  <si>
    <t>46.33.197</t>
  </si>
  <si>
    <t>Prolongamento para caixa sifonada em prolipropileno de alta resistência PP, preto, DN= 125mm</t>
  </si>
  <si>
    <t>46.33.201</t>
  </si>
  <si>
    <t>Tampa tê de inspeção oval, em polipropileno de alta resistência preto (PxB), DN=110mm</t>
  </si>
  <si>
    <t>46.33.206</t>
  </si>
  <si>
    <t>Tampão em polipropileno de alta resistência PP, preto (PxB), DN=63mm</t>
  </si>
  <si>
    <t>46.33.207</t>
  </si>
  <si>
    <t>Tampão em polipropileno de alta resistência PP, preto (PxB), DN=110mm</t>
  </si>
  <si>
    <t>46.33.210</t>
  </si>
  <si>
    <t>Porta marco para grelha de 12x12 cm, em prolipropileno de alta resistência PP,  preto</t>
  </si>
  <si>
    <t>46.33.211</t>
  </si>
  <si>
    <t>47</t>
  </si>
  <si>
    <t>VALVULAS E APARELHOS DE MEDICAO E CONTROLE PARA LIQUIDOS E GASES</t>
  </si>
  <si>
    <t>47.01</t>
  </si>
  <si>
    <t>Registro e / ou valvula em latao fundido sem acabamento</t>
  </si>
  <si>
    <t>47.01.010</t>
  </si>
  <si>
    <t>Registro de gaveta em latão fundido sem acabamento, DN= 1/2´</t>
  </si>
  <si>
    <t>47.01.020</t>
  </si>
  <si>
    <t>Registro de gaveta em latão fundido sem acabamento, DN= 3/4´</t>
  </si>
  <si>
    <t>47.01.030</t>
  </si>
  <si>
    <t>Registro de gaveta em latão fundido sem acabamento, DN= 1´</t>
  </si>
  <si>
    <t>47.01.040</t>
  </si>
  <si>
    <t>Registro de gaveta em latão fundido sem acabamento, DN= 1 1/4´</t>
  </si>
  <si>
    <t>47.01.050</t>
  </si>
  <si>
    <t>Registro de gaveta em latão fundido sem acabamento, DN= 1 1/2´</t>
  </si>
  <si>
    <t>47.01.060</t>
  </si>
  <si>
    <t>Registro de gaveta em latão fundido sem acabamento, DN= 2´</t>
  </si>
  <si>
    <t>47.01.070</t>
  </si>
  <si>
    <t>Registro de gaveta em latão fundido sem acabamento, DN= 2 1/2´</t>
  </si>
  <si>
    <t>47.01.080</t>
  </si>
  <si>
    <t>Registro de gaveta em latão fundido sem acabamento, DN= 3´</t>
  </si>
  <si>
    <t>47.01.090</t>
  </si>
  <si>
    <t>Registro de gaveta em latão fundido sem acabamento, DN= 4´</t>
  </si>
  <si>
    <t>47.01.130</t>
  </si>
  <si>
    <t>Registro de pressão em latão fundido sem acabamento, DN= 3/4´</t>
  </si>
  <si>
    <t>47.01.170</t>
  </si>
  <si>
    <t>Válvula de esfera monobloco em latão, passagem plena, acionamento com alavanca, DN= 1/2´</t>
  </si>
  <si>
    <t>47.01.180</t>
  </si>
  <si>
    <t>Válvula de esfera monobloco em latão, passagem plena, acionamento com alavanca, DN= 3/4´</t>
  </si>
  <si>
    <t>47.01.190</t>
  </si>
  <si>
    <t>Válvula de esfera monobloco em latão, passagem plena, acionamento com alavanca, DN= 1´</t>
  </si>
  <si>
    <t>47.01.191</t>
  </si>
  <si>
    <t>Válvula de esfera monobloco em latão, passagem plena, acionamento com alavanca, DN= 1.1/4´</t>
  </si>
  <si>
    <t>47.01.210</t>
  </si>
  <si>
    <t>Válvula de esfera monobloco em latão, passagem plena, acionamento com alavanca, DN= 2´</t>
  </si>
  <si>
    <t>47.01.220</t>
  </si>
  <si>
    <t>Válvula de esfera monobloco em latão, passagem plena, acionamento com alavanca, DN= 4´</t>
  </si>
  <si>
    <t>47.02</t>
  </si>
  <si>
    <t>Registro e / ou valvula em latao fundido com acabamento cromado</t>
  </si>
  <si>
    <t>47.02.010</t>
  </si>
  <si>
    <t>Registro de gaveta em latão fundido cromado com canopla, DN= 1/2´ - linha especial</t>
  </si>
  <si>
    <t>47.02.020</t>
  </si>
  <si>
    <t>Registro de gaveta em latão fundido cromado com canopla, DN= 3/4´ - linha especial</t>
  </si>
  <si>
    <t>47.02.030</t>
  </si>
  <si>
    <t>Registro de gaveta em latão fundido cromado com canopla, DN= 1´ - linha especial</t>
  </si>
  <si>
    <t>47.02.040</t>
  </si>
  <si>
    <t>Registro de gaveta em latão fundido cromado com canopla, DN= 1 1/4´ - linha especial</t>
  </si>
  <si>
    <t>47.02.050</t>
  </si>
  <si>
    <t>Registro de gaveta em latão fundido cromado com canopla, DN= 1 1/2´ - linha especial</t>
  </si>
  <si>
    <t>47.02.100</t>
  </si>
  <si>
    <t>Registro de pressão em latão fundido cromado com canopla, DN= 1/2´ - linha especial</t>
  </si>
  <si>
    <t>47.02.110</t>
  </si>
  <si>
    <t>Registro de pressão em latão fundido cromado com canopla, DN= 3/4´ - linha especial</t>
  </si>
  <si>
    <t>47.02.200</t>
  </si>
  <si>
    <t>Registro regulador de vazão para chuveiro e ducha em latão cromado com canopla, DN= 1/2´</t>
  </si>
  <si>
    <t>47.02.210</t>
  </si>
  <si>
    <t>Registro regulador de vazão para torneira, misturador e bidê, em latão cromado com canopla, DN= 1/2´</t>
  </si>
  <si>
    <t>47.04</t>
  </si>
  <si>
    <t>Valvula de descarga ou para acionamento de metais sanitarios</t>
  </si>
  <si>
    <t>47.04.020</t>
  </si>
  <si>
    <t>Válvula de descarga com registro próprio, duplo acionamento limitador de fluxo, DN= 1 1/4´</t>
  </si>
  <si>
    <t>47.04.030</t>
  </si>
  <si>
    <t>Válvula de descarga com registro próprio, DN= 1 1/4´</t>
  </si>
  <si>
    <t>47.04.040</t>
  </si>
  <si>
    <t>Válvula de descarga com registro próprio, DN= 1 1/2´</t>
  </si>
  <si>
    <t>47.04.050</t>
  </si>
  <si>
    <t>Válvula de descarga antivandalismo, DN= 1 1/2´</t>
  </si>
  <si>
    <t>47.04.080</t>
  </si>
  <si>
    <t>Válvula de descarga externa, tipo alavanca com registro próprio, DN= 1 1/4´ e DN= 1 1/2´</t>
  </si>
  <si>
    <t>47.04.090</t>
  </si>
  <si>
    <t>Válvula de mictório antivandalismo, DN= 3/4´</t>
  </si>
  <si>
    <t>47.04.100</t>
  </si>
  <si>
    <t>Válvula de mictório padrão, vazão automática, DN= 3/4´</t>
  </si>
  <si>
    <t>47.04.110</t>
  </si>
  <si>
    <t>Válvula de acionamento hidromecânico para piso</t>
  </si>
  <si>
    <t>47.04.120</t>
  </si>
  <si>
    <t>Válvula de acionamento hidromecânico para ducha, em latão cromado, DN= 3/4´</t>
  </si>
  <si>
    <t>47.04.180</t>
  </si>
  <si>
    <t>Válvula de descarga com registro próprio, duplo acionamento limitador de fluxo, DN = 1 1/2´</t>
  </si>
  <si>
    <t>47.05</t>
  </si>
  <si>
    <t>Registro e / ou valvula em bronze</t>
  </si>
  <si>
    <t>47.05.010</t>
  </si>
  <si>
    <t>Válvula de retenção horizontal em bronze, DN= 3/4´</t>
  </si>
  <si>
    <t>47.05.020</t>
  </si>
  <si>
    <t>Válvula de retenção horizontal em bronze, DN= 1´</t>
  </si>
  <si>
    <t>47.05.030</t>
  </si>
  <si>
    <t>Válvula de retenção horizontal em bronze, DN= 1 1/4´</t>
  </si>
  <si>
    <t>47.05.040</t>
  </si>
  <si>
    <t>Válvula de retenção horizontal em bronze, DN= 1 1/2´</t>
  </si>
  <si>
    <t>47.05.050</t>
  </si>
  <si>
    <t>Válvula de retenção horizontal em bronze, DN= 2´</t>
  </si>
  <si>
    <t>47.05.060</t>
  </si>
  <si>
    <t>Válvula de retenção horizontal em bronze, DN= 2 1/2´</t>
  </si>
  <si>
    <t>47.05.070</t>
  </si>
  <si>
    <t>Válvula de retenção horizontal em bronze, DN= 3´</t>
  </si>
  <si>
    <t>47.05.100</t>
  </si>
  <si>
    <t>Válvula de retenção vertical em bronze, DN= 1´</t>
  </si>
  <si>
    <t>47.05.110</t>
  </si>
  <si>
    <t>Válvula de retenção vertical em bronze, DN= 1 1/4´</t>
  </si>
  <si>
    <t>47.05.120</t>
  </si>
  <si>
    <t>Válvula de retenção vertical em bronze, DN= 1 1/2´</t>
  </si>
  <si>
    <t>47.05.130</t>
  </si>
  <si>
    <t>Válvula de retenção vertical em bronze, DN= 2´</t>
  </si>
  <si>
    <t>47.05.140</t>
  </si>
  <si>
    <t>Válvula de retenção vertical em bronze, DN= 2 1/2´</t>
  </si>
  <si>
    <t>47.05.150</t>
  </si>
  <si>
    <t>Válvula de retenção vertical em bronze, DN= 3´</t>
  </si>
  <si>
    <t>47.05.160</t>
  </si>
  <si>
    <t>Válvula de retenção vertical em bronze, DN= 4´</t>
  </si>
  <si>
    <t>47.05.170</t>
  </si>
  <si>
    <t>Válvula de retenção de pé com crivo em bronze, DN= 1´</t>
  </si>
  <si>
    <t>47.05.180</t>
  </si>
  <si>
    <t>Válvula de retenção de pé com crivo em bronze, DN= 1 1/4´</t>
  </si>
  <si>
    <t>47.05.190</t>
  </si>
  <si>
    <t>Válvula de retenção de pé com crivo em bronze, DN= 1 1/2´</t>
  </si>
  <si>
    <t>47.05.200</t>
  </si>
  <si>
    <t>Válvula de retenção de pé com crivo em bronze, DN= 2´</t>
  </si>
  <si>
    <t>47.05.210</t>
  </si>
  <si>
    <t>Válvula de retenção de pé com crivo em bronze, DN= 2 1/2´</t>
  </si>
  <si>
    <t>47.05.220</t>
  </si>
  <si>
    <t>Válvula de gaveta em bronze, com haste não ascendente, classe 125 libras para vapor e classe 200 libras para água, óleo e gás, DN= 6´</t>
  </si>
  <si>
    <t>47.05.230</t>
  </si>
  <si>
    <t>Válvula de gaveta em bronze, com haste não ascendente, classe 125 libras para vapor e classe 200 libras para água, óleo e gás, DN= 2´</t>
  </si>
  <si>
    <t>47.05.240</t>
  </si>
  <si>
    <t>Válvula globo em bronze, classe 125 libras para vapor e classe 200 libras para água, óleo e gás, DN= 2´</t>
  </si>
  <si>
    <t>47.05.260</t>
  </si>
  <si>
    <t>Válvula de retenção de pé com crivo em bronze, DN= 3´</t>
  </si>
  <si>
    <t>47.05.270</t>
  </si>
  <si>
    <t>Válvula de retenção de pé com crivo em bronze, DN= 4´</t>
  </si>
  <si>
    <t>47.05.280</t>
  </si>
  <si>
    <t>Válvula globo angular de 45° em bronze, DN= 2 1/2´</t>
  </si>
  <si>
    <t>47.05.290</t>
  </si>
  <si>
    <t>Válvula de gaveta em bronze, haste ascendente, classe 150 libras para vapor saturado e 300 libras para água, óleo e gás, DN= 1/2´</t>
  </si>
  <si>
    <t>47.05.296</t>
  </si>
  <si>
    <t>Válvula de gaveta em bronze, haste ascendente, classe 150 libras para vapor saturado e 300 libras para água, óleo e gás, DN= 4´</t>
  </si>
  <si>
    <t>47.05.300</t>
  </si>
  <si>
    <t>Válvula de gaveta em bronze, haste não ascendente, classe 150 libras para vapor saturado e 300 libras para água, óleo e gás, DN= 4´</t>
  </si>
  <si>
    <t>47.05.310</t>
  </si>
  <si>
    <t>Válvula de gaveta em bronze, haste não ascendente, classe 150 libras para vapor saturado e 300 libras para água, óleo e gás, DN= 2´</t>
  </si>
  <si>
    <t>47.05.340</t>
  </si>
  <si>
    <t>Válvula globo em bronze, classe 150 libras para vapor saturado e 300 libras para água, óleo e gás, DN= 3/4´</t>
  </si>
  <si>
    <t>47.05.350</t>
  </si>
  <si>
    <t>Válvula globo em bronze, classe 150 libras para vapor saturado e 300 libras para água, óleo e gás, DN= 1´</t>
  </si>
  <si>
    <t>47.05.360</t>
  </si>
  <si>
    <t>Válvula globo em bronze, classe 150 libras para vapor saturado e 300 libras para água, óleo e gás, DN= 1 1/2´</t>
  </si>
  <si>
    <t>47.05.370</t>
  </si>
  <si>
    <t>Válvula globo em bronze, classe 150 libras para vapor saturado e 300 libras para água, óleo e gás, DN= 2´</t>
  </si>
  <si>
    <t>47.05.390</t>
  </si>
  <si>
    <t>Válvula globo em bronze, classe 150 libras para vapor saturado e 300 libras para água, óleo e gás, DN= 2 1/2´</t>
  </si>
  <si>
    <t>47.05.392</t>
  </si>
  <si>
    <t>Válvula globo em bronze, classe 150 libras para vapor saturado e 300 libras para água, óleo e gás, DN= 3´</t>
  </si>
  <si>
    <t>47.05.394</t>
  </si>
  <si>
    <t>Válvula globo em bronze, classe 150 libras para vapor saturado e 300 libras para água, óleo e gás, DN= 4´</t>
  </si>
  <si>
    <t>47.05.398</t>
  </si>
  <si>
    <t>Válvula de gaveta em bronze, haste não ascendente, classe 125 libras para vapor e classe 200 libras para água, óleo e gás, DN= 3/4´</t>
  </si>
  <si>
    <t>47.05.400</t>
  </si>
  <si>
    <t>Válvula de gaveta em bronze, haste não ascendente, classe 125 libras para vapor e classe 200 libras para água, óleo e gás, DN= 1´</t>
  </si>
  <si>
    <t>47.05.406</t>
  </si>
  <si>
    <t>Válvula de gaveta em bronze, haste não ascendente, classe 125 libras para vapor e classe 200 libras para água, óleo e gás, DN= 1.1/4´</t>
  </si>
  <si>
    <t>47.05.410</t>
  </si>
  <si>
    <t>Válvula de gaveta em bronze, haste não ascendente, classe 125 libras para vapor e classe 200 libras para água, óleo e gás, DN= 1 1/2´</t>
  </si>
  <si>
    <t>47.05.420</t>
  </si>
  <si>
    <t>Válvula de gaveta em bronze, haste não ascendente, classe 125 libras para vapor e classe 200 libras para água, óleo e gás, DN= 2 1/2´</t>
  </si>
  <si>
    <t>47.05.430</t>
  </si>
  <si>
    <t>Válvula de gaveta em bronze, haste não ascendente, classe 125 libras para vapor e classe 200 libras para água, óleo e gás, DN= 3´</t>
  </si>
  <si>
    <t>47.05.450</t>
  </si>
  <si>
    <t>Válvula redutora de pressão de ação direta em bronze, extremidade roscada, para água, ar, óleo e gás, PE= 200 psi e PS= 20 à 90 psi, DN= 1 1/4´</t>
  </si>
  <si>
    <t>47.05.460</t>
  </si>
  <si>
    <t>Válvula redutora de pressão de ação direta em bronze, extremidade roscada, para água, ar, óleo e gás, PE= 200 psi e PS= 20 à 90 psi, DN= 2´</t>
  </si>
  <si>
    <t>47.05.580</t>
  </si>
  <si>
    <t>Válvula de gaveta em bronze com fecho rápido, DN= 1 1/2´</t>
  </si>
  <si>
    <t>47.06</t>
  </si>
  <si>
    <t>Registro e / ou valvula em ferro fundido</t>
  </si>
  <si>
    <t>47.06.030</t>
  </si>
  <si>
    <t>Válvula de gaveta em ferro fundido, haste ascendente com flange, classe 125 libras, DN= 2´</t>
  </si>
  <si>
    <t>47.06.040</t>
  </si>
  <si>
    <t>Válvula de retenção de pé com crivo em ferro fundido, flangeada, DN= 6´</t>
  </si>
  <si>
    <t>47.06.050</t>
  </si>
  <si>
    <t>Válvula de retenção tipo portinhola dupla em ferro fundido, DN= 6´</t>
  </si>
  <si>
    <t>47.06.051</t>
  </si>
  <si>
    <t>47.06.060</t>
  </si>
  <si>
    <t>Válvula de gaveta em ferro fundido com bolsa, DN= 150 mm</t>
  </si>
  <si>
    <t>47.06.070</t>
  </si>
  <si>
    <t>Válvula de gaveta em ferro fundido com bolsa, DN= 200 mm</t>
  </si>
  <si>
    <t>47.06.080</t>
  </si>
  <si>
    <t>Válvula de retenção tipo portinhola simples em ferro fundido, DN= 4´</t>
  </si>
  <si>
    <t>47.06.090</t>
  </si>
  <si>
    <t>Válvula de retenção tipo portinhola dupla em ferro fundido, DN= 4´</t>
  </si>
  <si>
    <t>47.06.100</t>
  </si>
  <si>
    <t>Válvula de segurança em ferro fundido rosqueada com pressão de ajuste 0,4 até 0,75kgf/cm², DN= 2´</t>
  </si>
  <si>
    <t>47.06.110</t>
  </si>
  <si>
    <t>Válvula de segurança em ferro fundido rosqueada com pressão de ajuste 6,1 até 10,0kgf/cm², DN= 3/4´</t>
  </si>
  <si>
    <t>47.06.180</t>
  </si>
  <si>
    <t>47.06.310</t>
  </si>
  <si>
    <t>47.06.320</t>
  </si>
  <si>
    <t>Válvula de governo (retenção e alarme) completa, corpo em ferro fundido, classe 125 libras, DN= 4´</t>
  </si>
  <si>
    <t>47.06.330</t>
  </si>
  <si>
    <t>Válvula de gaveta em ferro fundido, haste ascendente com flange, classe 125 libras, DN= 4´</t>
  </si>
  <si>
    <t>47.06.340</t>
  </si>
  <si>
    <t>Válvula de gaveta em ferro fundido, haste ascendente com flange, classe 125 libras, DN= 6´</t>
  </si>
  <si>
    <t>47.06.350</t>
  </si>
  <si>
    <t>Válvula de retenção vertical em ferro fundido com flange, classe 125 libras, DN= 4´</t>
  </si>
  <si>
    <t>47.07</t>
  </si>
  <si>
    <t>Registro e / ou valvula em aco carbono fundido</t>
  </si>
  <si>
    <t>47.07.010</t>
  </si>
  <si>
    <t>Válvula de esfera em aço carbono fundido, passagem plena, extremidades rosqueáveis, classe 300 libras para vapor e classe 600 libras para água, óleo e gás, DN= 1/2"</t>
  </si>
  <si>
    <t>47.07.020</t>
  </si>
  <si>
    <t>Válvula de esfera em aço carbono fundido, passagem plena, extremidades rosqueáveis, classe 300 libras para vapor e classe 600 libras para água, óleo e gás, DN= 3/4"</t>
  </si>
  <si>
    <t>47.07.030</t>
  </si>
  <si>
    <t>Válvula de esfera em aço carbono fundido, passagem plena, extremidades rosqueáveis, classe 300 libras para vapor e classe 600 libras para água, óleo e gás, DN= 1"</t>
  </si>
  <si>
    <t>47.07.031</t>
  </si>
  <si>
    <t>Válvula de esfera em aço carbono fundido, passagem plena, extremidades rosqueáveis, classe 300 libras para vapor e classe 600 libras para água, óleo e gás, DN= 1.1/4"</t>
  </si>
  <si>
    <t>47.07.090</t>
  </si>
  <si>
    <t>Válvula de esfera em aço carbono fundido, passagem plena, extremidades rosqueáveis, classe 300 libras para vapor saturado, DN= 2"</t>
  </si>
  <si>
    <t>47.09</t>
  </si>
  <si>
    <t>Registro e / ou valvula em aco carbono forjado</t>
  </si>
  <si>
    <t>47.09.010</t>
  </si>
  <si>
    <t>Válvula globo em aço carbono forjado, classe 800 libras para vapor e classe 2000 libras para água, óleo e gás, DN= 3/4´</t>
  </si>
  <si>
    <t>47.09.020</t>
  </si>
  <si>
    <t>Válvula globo em aço carbono forjado, classe 800 libras para vapor e classe 2000 libras para água, óleo e gás, DN= 1´</t>
  </si>
  <si>
    <t>47.09.030</t>
  </si>
  <si>
    <t>Válvula globo em aço carbono forjado, classe 800 libras para vapor e classe 2000 libras para água, óleo e gás, DN= 1 1/2´</t>
  </si>
  <si>
    <t>47.09.040</t>
  </si>
  <si>
    <t>Válvula globo em aço carbono forjado, classe 800 libras para vapor e classe 2000 libras para água, óleo e gás, DN= 2´</t>
  </si>
  <si>
    <t>47.10</t>
  </si>
  <si>
    <t>Registro e / ou valvula em aco inoxidavel forjado</t>
  </si>
  <si>
    <t>47.10.010</t>
  </si>
  <si>
    <t>Purgador termodinâmico com filtro incorporado, em aço inoxidável forjado, pressão de 0,25 a 42 kg/cm², temperatura até 425°C, DN= 1/2´</t>
  </si>
  <si>
    <t>47.11</t>
  </si>
  <si>
    <t>Aparelho de medicao e controle</t>
  </si>
  <si>
    <t>47.11.021</t>
  </si>
  <si>
    <t>Pressostato diferencial ajustável mecânico, montagem inferior com diâmetro de 1/2" e/ou 1/4", faixa de operação até 16 bar</t>
  </si>
  <si>
    <t>47.11.080</t>
  </si>
  <si>
    <t>Termômetro bimetálico, mostrador com 4´, saída angular, escala 0-100°C</t>
  </si>
  <si>
    <t>47.11.100</t>
  </si>
  <si>
    <t>Manômetro com mostrador de 4´, escalas: 0-4 / 0-7 / 0-10 / 0-17 / 0-21 / 0-28 kg/cm²</t>
  </si>
  <si>
    <t>47.11.111</t>
  </si>
  <si>
    <t>Pressostato diferencial ajustável, caixa à prova de água, unidade sensora em aço inoxidável 316, faixa de operação entre 1,4 a 14 bar, para fluídos corrosivos, DN=1/2´</t>
  </si>
  <si>
    <t>47.12</t>
  </si>
  <si>
    <t>Registro e / ou valvula em ferro ductil</t>
  </si>
  <si>
    <t>47.12.040</t>
  </si>
  <si>
    <t>Válvula de gaveta em ferro dúctil com flanges, classe PN-10, DN= 200mm</t>
  </si>
  <si>
    <t>47.12.270</t>
  </si>
  <si>
    <t>Válvula de gaveta em ferro dúctil com flanges, classe PN-10, DN= 80mm</t>
  </si>
  <si>
    <t>47.12.280</t>
  </si>
  <si>
    <t>Válvula globo auto-operada hidraulicamente, em ferro dúctil, classe PN-10/16, DN= 50mm</t>
  </si>
  <si>
    <t>47.12.290</t>
  </si>
  <si>
    <t>Válvula globo auto-operada hidraulicamente, comandada por solenóide, em ferro dúctil, classe PN-10, DN= 50mm</t>
  </si>
  <si>
    <t>47.12.300</t>
  </si>
  <si>
    <t>Válvula globo auto-operada hidraulicamente, comandada por solenóide, em ferro dúctil, classe PN-10, DN= 100mm</t>
  </si>
  <si>
    <t>47.12.310</t>
  </si>
  <si>
    <t>Válvula de gaveta em ferro dúctil com flanges, classe PN-10, DN= 300mm</t>
  </si>
  <si>
    <t>47.12.320</t>
  </si>
  <si>
    <t>Válvula de gaveta em ferro dúctil com flanges, classe PN-10, DN= 100mm</t>
  </si>
  <si>
    <t>47.12.330</t>
  </si>
  <si>
    <t>Válvula de gaveta em ferro dúctil com flanges, classe PN-10, DN= 150mm</t>
  </si>
  <si>
    <t>47.12.340</t>
  </si>
  <si>
    <t>Ventosa simples rosqueada em ferro dúctil, classe PN-25, DN= 3/4´</t>
  </si>
  <si>
    <t>47.12.350</t>
  </si>
  <si>
    <t>Ventosa de tríplice função em ferro dúctil flangeada, classe PN-10/16/25, DN= 50mm</t>
  </si>
  <si>
    <t>47.14</t>
  </si>
  <si>
    <t>Registro e / ou valvula em PVC rigido ou ABS</t>
  </si>
  <si>
    <t>47.14.020</t>
  </si>
  <si>
    <t>Registro de pressão em PVC rígido, soldável, DN= 25mm (3/4´)</t>
  </si>
  <si>
    <t>47.14.200</t>
  </si>
  <si>
    <t>Registro regulador de vazão para torneira, misturador e bidê, em ABS com canopla, DN= 1/2´</t>
  </si>
  <si>
    <t>47.20</t>
  </si>
  <si>
    <t>Reparos, conservacoes e complementos - GRUPO 47</t>
  </si>
  <si>
    <t>47.20.010</t>
  </si>
  <si>
    <t>Pigtail em latão para manômetro, DN= 1/2´</t>
  </si>
  <si>
    <t>47.20.020</t>
  </si>
  <si>
    <t>Filtro ´Y´ em bronze para gás combustível, DN= 2´</t>
  </si>
  <si>
    <t>47.20.030</t>
  </si>
  <si>
    <t>Filtro ´Y´ em ferro fundido, classe 125 libras para vapor saturado, com extremidades rosqueáveis, DN= 2´</t>
  </si>
  <si>
    <t>47.20.070</t>
  </si>
  <si>
    <t>Pigtail flexível, revestido com borracha sintética resistente, DN= 7/16´ comprimento até 1,00 m</t>
  </si>
  <si>
    <t>47.20.080</t>
  </si>
  <si>
    <t>Regulador de primeiro estágio de alta pressão até 2 kgf/cm², vazão de 90 kg GLP/hora</t>
  </si>
  <si>
    <t>47.20.100</t>
  </si>
  <si>
    <t>Regulador de primeiro estágio de alta pressão até 1,3 kgf/cm², vazão de 50 kg GLP/hora</t>
  </si>
  <si>
    <t>47.20.120</t>
  </si>
  <si>
    <t>Regulador de segundo estágio para gás, uso industrial, vazão até 12 kg GLP/hora</t>
  </si>
  <si>
    <t>47.20.181</t>
  </si>
  <si>
    <t>Filtro Y em aço carbono, classe 150 libras, conexões flangeadas, DN= 4´</t>
  </si>
  <si>
    <t>47.20.190</t>
  </si>
  <si>
    <t>Chave de fluxo tipo palheta para tubulação de líquidos</t>
  </si>
  <si>
    <t>47.20.300</t>
  </si>
  <si>
    <t>Chave de fluxo de água com retardo para tubulações com diâmetro nominal de 1´ a 6´ - conexão BSP</t>
  </si>
  <si>
    <t>47.20.320</t>
  </si>
  <si>
    <t>47.20.330</t>
  </si>
  <si>
    <t>48</t>
  </si>
  <si>
    <t>RESERVATORIO E TANQUE PARA LIQUIDOS E GASES</t>
  </si>
  <si>
    <t>48.02</t>
  </si>
  <si>
    <t>Reservatorio em material sintetico</t>
  </si>
  <si>
    <t>48.02.008</t>
  </si>
  <si>
    <t>Reservatório de fibra de vidro - capacidade de 15.000 litros</t>
  </si>
  <si>
    <t>48.02.009</t>
  </si>
  <si>
    <t>Reservatório de fibra de vidro - capacidade de 20.000 litros</t>
  </si>
  <si>
    <t>48.02.204</t>
  </si>
  <si>
    <t>Reservatório em polietileno com tampa de encaixar - capacidade de 2.000 litros</t>
  </si>
  <si>
    <t>48.02.205</t>
  </si>
  <si>
    <t>Reservatório em polietileno com tampa de encaixar - capacidade de 3.000 litros</t>
  </si>
  <si>
    <t>48.02.206</t>
  </si>
  <si>
    <t>Reservatório em polietileno com tampa de encaixar - capacidade de 5.000 litros</t>
  </si>
  <si>
    <t>48.02.207</t>
  </si>
  <si>
    <t>Reservatório em polietileno com tampa de encaixar - capacidade de 10.000 litros</t>
  </si>
  <si>
    <t>48.02.300</t>
  </si>
  <si>
    <t>Reservatório em polietileno de alta densidade (cisterna) com antioxidante e proteção contra raios ultravioleta (UV) - capacidade de 5.000 litros</t>
  </si>
  <si>
    <t>48.02.310</t>
  </si>
  <si>
    <t>Reservatório em polietileno de alta densidade (cisterna) com antioxidante e proteção contra raios ultravioleta (UV) - capacidade de 10.000 litros</t>
  </si>
  <si>
    <t>48.02.400</t>
  </si>
  <si>
    <t>Reservatório em polietileno com tampa de rosca - capacidade de 1.000 litros</t>
  </si>
  <si>
    <t>48.02.401</t>
  </si>
  <si>
    <t>Reservatório em polietileno com tampa de rosca - capacidade de 500 litros</t>
  </si>
  <si>
    <t>48.03</t>
  </si>
  <si>
    <t>Reservatorio metalico</t>
  </si>
  <si>
    <t>48.03.112</t>
  </si>
  <si>
    <t>Reservatório metálico cilíndrico horizontal - capacidade de 3.000 litros</t>
  </si>
  <si>
    <t>48.03.130</t>
  </si>
  <si>
    <t>Reservatório metálico cilíndrico horizontal - capacidade de 5.000 litros</t>
  </si>
  <si>
    <t>48.03.138</t>
  </si>
  <si>
    <t>Reservatório metálico cilíndrico horizontal - capacidade de 10.000 litros</t>
  </si>
  <si>
    <t>48.04</t>
  </si>
  <si>
    <t>Reservatorio em concreto</t>
  </si>
  <si>
    <t>48.04.381</t>
  </si>
  <si>
    <t>Reservatório em concreto armado cilíndrico, vertical, bipartido, método construtivo em formas deslizantes, diâmetro interno de 3,50m a 4,00m, altura de 15,00m a 25,00m</t>
  </si>
  <si>
    <t>48.04.391</t>
  </si>
  <si>
    <t>Reservatório em concreto armado cilíndrico, vertical, bipartido, método construtivo em formas deslizantes, diâmetro interno de 5,5m a 6,00m, altura de 25,00m a 30,00m</t>
  </si>
  <si>
    <t>48.05</t>
  </si>
  <si>
    <t>Torneira de boia</t>
  </si>
  <si>
    <t>48.05.010</t>
  </si>
  <si>
    <t>Torneira de boia, DN= 3/4´</t>
  </si>
  <si>
    <t>48.05.020</t>
  </si>
  <si>
    <t>Torneira de boia, DN= 1´</t>
  </si>
  <si>
    <t>48.05.030</t>
  </si>
  <si>
    <t>Torneira de boia, DN= 1 1/4´</t>
  </si>
  <si>
    <t>48.05.040</t>
  </si>
  <si>
    <t>Torneira de boia, DN= 1 1/2´</t>
  </si>
  <si>
    <t>48.05.050</t>
  </si>
  <si>
    <t>Torneira de boia, DN= 2´</t>
  </si>
  <si>
    <t>48.05.052</t>
  </si>
  <si>
    <t>Torneira de boia, DN= 2 1/2´</t>
  </si>
  <si>
    <t>48.05.070</t>
  </si>
  <si>
    <t>Torneira de boia, tipo registro automático de entrada, DN= 3´</t>
  </si>
  <si>
    <t>48.20</t>
  </si>
  <si>
    <t>Reparos, conservacoes e complementos - GRUPO 48</t>
  </si>
  <si>
    <t>48.20.020</t>
  </si>
  <si>
    <t>Limpeza de caixa d´água até 1.000 litros</t>
  </si>
  <si>
    <t>48.20.040</t>
  </si>
  <si>
    <t>Limpeza de caixa d´água de 1.001 até 10.000 litros</t>
  </si>
  <si>
    <t>48.20.060</t>
  </si>
  <si>
    <t>Limpeza de caixa d´água acima de 10.000 litros</t>
  </si>
  <si>
    <t>49</t>
  </si>
  <si>
    <t>CAIXA, RALO, GRELHA E ACESSORIO HIDRAULICO</t>
  </si>
  <si>
    <t>49.01</t>
  </si>
  <si>
    <t>Caixas sifonadas de PVC rigido</t>
  </si>
  <si>
    <t>49.01.016</t>
  </si>
  <si>
    <t>Caixa sifonada de PVC rígido de 100 x 100 x 50 mm, com grelha</t>
  </si>
  <si>
    <t>49.01.020</t>
  </si>
  <si>
    <t>Caixa sifonada de PVC rígido de 100 x 150 x 50 mm, com grelha</t>
  </si>
  <si>
    <t>49.01.030</t>
  </si>
  <si>
    <t>Caixa sifonada de PVC rígido de 150 x 150 x 50 mm, com grelha</t>
  </si>
  <si>
    <t>49.01.040</t>
  </si>
  <si>
    <t>Caixa sifonada de PVC rígido de 150 x 185 x 75 mm, com grelha</t>
  </si>
  <si>
    <t>49.01.050</t>
  </si>
  <si>
    <t>Caixa sifonada de PVC rígido de 250 x 172 x 50 mm, com tampa cega</t>
  </si>
  <si>
    <t>49.01.070</t>
  </si>
  <si>
    <t>Caixa sifonada de PVC rígido de 250 x 230 x 75 mm, com tampa cega</t>
  </si>
  <si>
    <t>49.03</t>
  </si>
  <si>
    <t>Caixa de gordura</t>
  </si>
  <si>
    <t>49.03.020</t>
  </si>
  <si>
    <t>Caixa de gordura em alvenaria, 600 x 600 x 600 mm</t>
  </si>
  <si>
    <t>49.03.022</t>
  </si>
  <si>
    <t>Caixa de gordura premoldada com tampa - capacidade 18 litros</t>
  </si>
  <si>
    <t>49.03.036</t>
  </si>
  <si>
    <t>Caixa de gordura em PVC com tampa reforçada - capacidade 19 litros</t>
  </si>
  <si>
    <t>49.04</t>
  </si>
  <si>
    <t>Ralo em PVC rigido</t>
  </si>
  <si>
    <t>49.04.010</t>
  </si>
  <si>
    <t>Ralo seco em PVC rígido de 100 x 40 mm, com grelha</t>
  </si>
  <si>
    <t>49.05</t>
  </si>
  <si>
    <t>Ralo em ferro fundido</t>
  </si>
  <si>
    <t>49.05.020</t>
  </si>
  <si>
    <t>Ralo seco em ferro fundido, 100 x 165 x 50 mm, com grelha metálica saída vertical</t>
  </si>
  <si>
    <t>49.05.040</t>
  </si>
  <si>
    <t>Ralo sifonado em ferro fundido de 150 x 240 x 75 mm, com grelha</t>
  </si>
  <si>
    <t>49.06</t>
  </si>
  <si>
    <t>Grelhas e tampas</t>
  </si>
  <si>
    <t>49.06.010</t>
  </si>
  <si>
    <t>49.06.020</t>
  </si>
  <si>
    <t>Grelha em ferro fundido para caixas e canaletas</t>
  </si>
  <si>
    <t>49.06.030</t>
  </si>
  <si>
    <t>49.06.072</t>
  </si>
  <si>
    <t>Grelha articulada em ferro fundido tipo boca de leão</t>
  </si>
  <si>
    <t>49.06.080</t>
  </si>
  <si>
    <t>49.06.110</t>
  </si>
  <si>
    <t>49.06.160</t>
  </si>
  <si>
    <t>Grelha quadriculada em ferro fundido para caixas e canaletas</t>
  </si>
  <si>
    <t>49.06.170</t>
  </si>
  <si>
    <t>Grelha em alumínio fundido para caixas e canaletas - linha comercial</t>
  </si>
  <si>
    <t>49.06.190</t>
  </si>
  <si>
    <t>Grelha pré-moldada em concreto, com furos redondos, 79,5 x 24,5 x 8 cm</t>
  </si>
  <si>
    <t>49.06.200</t>
  </si>
  <si>
    <t>Captador pluvial em aço inoxidável e grelha em alumínio, com mecanismo anti-vórtice, DN= 50 mm</t>
  </si>
  <si>
    <t>49.06.210</t>
  </si>
  <si>
    <t>Captador pluvial em aço inoxidável e grelha em alumínio, com mecanismo anti-vórtice, DN= 75 mm</t>
  </si>
  <si>
    <t>49.06.400</t>
  </si>
  <si>
    <t>Tampão em ferro fundido, diâmetro de 600 mm, classe B 125 (ruptura &gt; 125 kN)</t>
  </si>
  <si>
    <t>49.06.410</t>
  </si>
  <si>
    <t>Tampão em ferro fundido, diâmetro de 600 mm, classe C 300 (ruptura &gt; 300 kN)</t>
  </si>
  <si>
    <t>49.06.420</t>
  </si>
  <si>
    <t>Tampão em ferro fundido, diâmetro de 600 mm, classe D 400 (ruptura&gt; 400 kN)</t>
  </si>
  <si>
    <t>49.06.430</t>
  </si>
  <si>
    <t>Tampão em ferro fundido de 300 x 300 mm, classe B 125 (ruptura &gt; 125 kN)</t>
  </si>
  <si>
    <t>49.06.440</t>
  </si>
  <si>
    <t>Tampão em ferro fundido de 400 x 400 mm, classe B 125 (ruptura &gt; 125 kN)</t>
  </si>
  <si>
    <t>49.06.450</t>
  </si>
  <si>
    <t>Tampão em ferro fundido de 500 x 500 mm, classe B 125 (ruptura &gt; 125 kN)</t>
  </si>
  <si>
    <t>49.06.460</t>
  </si>
  <si>
    <t>Tampão em ferro fundido de 600 x 600 mm, classe B 125 (ruptura &gt; 125 kN)</t>
  </si>
  <si>
    <t>49.06.480</t>
  </si>
  <si>
    <t>Tampão em ferro fundido com tampa articulada, de 400 x 600 mm, classe 15 (ruptura &gt; 1500 kg)</t>
  </si>
  <si>
    <t>49.06.486</t>
  </si>
  <si>
    <t>Tampão em ferro fundido com tampa articulada, de 900 mm, classe D 400 (ruptura &gt; 400kN</t>
  </si>
  <si>
    <t>49.06.550</t>
  </si>
  <si>
    <t>Grelha com calha e cesto coletor para piso em aço inoxidável, largura de 15 cm</t>
  </si>
  <si>
    <t>49.06.560</t>
  </si>
  <si>
    <t>Grelha com calha e cesto coletor para piso em aço inoxidável, largura de 20 cm</t>
  </si>
  <si>
    <t>49.08</t>
  </si>
  <si>
    <t>Caixa de passagem e inspecao</t>
  </si>
  <si>
    <t>49.08.250</t>
  </si>
  <si>
    <t>Caixa de areia em PVC, diâmetro nominal de 100 mm</t>
  </si>
  <si>
    <t>49.11</t>
  </si>
  <si>
    <t>Canaletas e afins</t>
  </si>
  <si>
    <t>49.11.130</t>
  </si>
  <si>
    <t>Canaleta com grelha em alumínio, largura de 80 mm</t>
  </si>
  <si>
    <t>49.11.140</t>
  </si>
  <si>
    <t>Canaleta com grelha em alumínio, saída central / vertical, largura de 46 mm</t>
  </si>
  <si>
    <t>49.11.141</t>
  </si>
  <si>
    <t>Canaleta com grelha abre-fecha, em alumínio, saída central ou vertical, largura 46mm</t>
  </si>
  <si>
    <t>49.12</t>
  </si>
  <si>
    <t>Poco de visita, boca de lobo, caixa de passagem e afins</t>
  </si>
  <si>
    <t>49.12.010</t>
  </si>
  <si>
    <t>Boca de lobo simples tipo PMSP com tampa de concreto</t>
  </si>
  <si>
    <t>49.12.030</t>
  </si>
  <si>
    <t>Boca de lobo dupla tipo PMSP com tampa de concreto</t>
  </si>
  <si>
    <t>49.12.050</t>
  </si>
  <si>
    <t>Boca de lobo tripla tipo PMSP com tampa de concreto</t>
  </si>
  <si>
    <t>49.12.058</t>
  </si>
  <si>
    <t>Boca de leão simples tipo PMSP com grelha</t>
  </si>
  <si>
    <t>49.12.110</t>
  </si>
  <si>
    <t>Poço de visita de 1,60 x 1,60 x 1,60 m - tipo PMSP</t>
  </si>
  <si>
    <t>49.12.120</t>
  </si>
  <si>
    <t>Chaminé para poço de visita tipo PMSP em alvenaria, diâmetro interno 70 cm - pescoço</t>
  </si>
  <si>
    <t>49.12.140</t>
  </si>
  <si>
    <t>Poço de visita em alvenaria tipo PMSP - balão</t>
  </si>
  <si>
    <t>49.13</t>
  </si>
  <si>
    <t>Filtro anaerobio</t>
  </si>
  <si>
    <t>49.13.010</t>
  </si>
  <si>
    <t>Filtro biológico anaeróbio com anéis pré-moldados de concreto diâmetro de 1,40 m - h= 2,00 m</t>
  </si>
  <si>
    <t>49.13.020</t>
  </si>
  <si>
    <t>Filtro biológico anaeróbio com anéis pré-moldados de concreto diâmetro de 2,00 m - h= 2,00 m</t>
  </si>
  <si>
    <t>49.13.030</t>
  </si>
  <si>
    <t>Filtro biológico anaeróbio com anéis pré-moldados de concreto diâmetro de 2,40 m - h= 2,00 m</t>
  </si>
  <si>
    <t>49.13.040</t>
  </si>
  <si>
    <t>Filtro biológico anaeróbio com anéis pré-moldados de concreto diâmetro de 2,84 m - h= 2,50 m</t>
  </si>
  <si>
    <t>49.14</t>
  </si>
  <si>
    <t>Fossa septica</t>
  </si>
  <si>
    <t>49.14.010</t>
  </si>
  <si>
    <t>Fossa séptica câmara única com anéis pré-moldados em concreto, diâmetro externo de 1,50 m, altura útil de 1,50 m</t>
  </si>
  <si>
    <t>49.14.020</t>
  </si>
  <si>
    <t>Fossa séptica câmara única com anéis pré-moldados em concreto, diâmetro externo de 2,50 m, altura útil de 2,50 m</t>
  </si>
  <si>
    <t>49.14.030</t>
  </si>
  <si>
    <t>Fossa séptica câmara única com anéis pré-moldados em concreto, diâmetro externo de 2,50 m, altura útil de 4,00 m</t>
  </si>
  <si>
    <t>49.14.061</t>
  </si>
  <si>
    <t>SM01 Sumidouro - poço absorvente</t>
  </si>
  <si>
    <t>49.14.071</t>
  </si>
  <si>
    <t>Tampão pré-moldado de concreto armado para sumidouro com diâmetro externo de 2,00 m</t>
  </si>
  <si>
    <t>49.15</t>
  </si>
  <si>
    <t>Anel e aduela pre-moldados</t>
  </si>
  <si>
    <t>49.15.010</t>
  </si>
  <si>
    <t>Anel pré-moldado de concreto com diâmetro de 0,60 m</t>
  </si>
  <si>
    <t>49.15.030</t>
  </si>
  <si>
    <t>Anel pré-moldado de concreto com diâmetro de 0,80 m</t>
  </si>
  <si>
    <t>49.15.040</t>
  </si>
  <si>
    <t>Anel pré-moldado de concreto com diâmetro de 1,20 m</t>
  </si>
  <si>
    <t>49.15.050</t>
  </si>
  <si>
    <t>Anel pré-moldado de concreto com diâmetro de 1,50 m</t>
  </si>
  <si>
    <t>49.15.060</t>
  </si>
  <si>
    <t>Anel pré-moldado de concreto com diâmetro de 1,80 m</t>
  </si>
  <si>
    <t>49.15.100</t>
  </si>
  <si>
    <t>Anel pré-moldado de concreto com diâmetro de 3,00 m</t>
  </si>
  <si>
    <t>49.16</t>
  </si>
  <si>
    <t>Acessorios hidraulicos para agua de reuso</t>
  </si>
  <si>
    <t>49.16.050</t>
  </si>
  <si>
    <t>Realimentador automático, DN= 1´</t>
  </si>
  <si>
    <t>49.16.051</t>
  </si>
  <si>
    <t>Sifão ladrão em polietileno para extravasão, diâmetro de 100mm</t>
  </si>
  <si>
    <t>50</t>
  </si>
  <si>
    <t>DETECCAO, COMBATE E PREVENCAO A INCÊNDIO</t>
  </si>
  <si>
    <t>50.01</t>
  </si>
  <si>
    <t>Hidrantes e acessorios</t>
  </si>
  <si>
    <t>50.01.030</t>
  </si>
  <si>
    <t>Abrigo duplo para hidrante/mangueira, com visor e suporte (embutir e externo)</t>
  </si>
  <si>
    <t>50.01.060</t>
  </si>
  <si>
    <t>Abrigo para hidrante/mangueira (embutir e externo)</t>
  </si>
  <si>
    <t>50.01.080</t>
  </si>
  <si>
    <t>Mangueira com união de engate rápido, DN= 1 1/2´ (38 mm)</t>
  </si>
  <si>
    <t>50.01.090</t>
  </si>
  <si>
    <t>Botoeira para acionamento de bomba de incêndio tipo quebra-vidro</t>
  </si>
  <si>
    <t>50.01.100</t>
  </si>
  <si>
    <t>Mangueira com união de engate rápido, DN= 2 1/2´ (63 mm)</t>
  </si>
  <si>
    <t>50.01.110</t>
  </si>
  <si>
    <t>Esguicho em latão com engate rápido, DN= 2 1/2´, jato regulável</t>
  </si>
  <si>
    <t>50.01.130</t>
  </si>
  <si>
    <t>Abrigo simples com suporte, em aço inoxidável escovado, para mangueira de 1 1/2´, porta em vidro temperado jateado - inclusive mangueira de 30 m (2 x 15 m)</t>
  </si>
  <si>
    <t>50.01.160</t>
  </si>
  <si>
    <t>Adaptador de engate rápido em latão de 2 1/2´ x 1 1/2´</t>
  </si>
  <si>
    <t>50.01.170</t>
  </si>
  <si>
    <t>Adaptador de engate rápido em latão de 2 1/2´ x 2 1/2´</t>
  </si>
  <si>
    <t>50.01.180</t>
  </si>
  <si>
    <t>Hidrante de coluna com duas saídas, 4´x 2 1/2´ - simples</t>
  </si>
  <si>
    <t>50.01.190</t>
  </si>
  <si>
    <t>Tampão de engate rápido em latão, DN= 2 1/2´, com corrente</t>
  </si>
  <si>
    <t>50.01.200</t>
  </si>
  <si>
    <t>Tampão de engate rápido em latão, DN= 1 1/2´, com corrente</t>
  </si>
  <si>
    <t>50.01.210</t>
  </si>
  <si>
    <t>Chave para conexão de engate rápido</t>
  </si>
  <si>
    <t>50.01.220</t>
  </si>
  <si>
    <t>Esguicho latão com engate rápido, DN= 1 1/2´, jato regulável</t>
  </si>
  <si>
    <t>50.01.320</t>
  </si>
  <si>
    <t>Abrigo de hidrante de 1 1/2´ completo - inclusive mangueira de 30 m (2 x 15 m)</t>
  </si>
  <si>
    <t>50.01.330</t>
  </si>
  <si>
    <t>Abrigo de hidrante de 2 1/2´ completo - inclusive mangueira de 30 m (2 x 15 m)</t>
  </si>
  <si>
    <t>50.01.340</t>
  </si>
  <si>
    <t>Abrigo para registro de recalque tipo coluna, completo - inclusive tubulações e válvulas</t>
  </si>
  <si>
    <t>50.02</t>
  </si>
  <si>
    <t>Registro e valvula controladora</t>
  </si>
  <si>
    <t>50.02.020</t>
  </si>
  <si>
    <t>Bico de sprinkler tipo pendente com rompimento da ampola a 68°C</t>
  </si>
  <si>
    <t>50.02.050</t>
  </si>
  <si>
    <t>Alarme hidráulico tipo gongo</t>
  </si>
  <si>
    <t>50.02.060</t>
  </si>
  <si>
    <t>Bico de sprinkler tipo upright com rompimento da ampola a 68ºC</t>
  </si>
  <si>
    <t>50.02.080</t>
  </si>
  <si>
    <t>Válvula de governo completa com alarme VGA, corpo em ferro fundido, extremidades flangeadas e DN = 6´</t>
  </si>
  <si>
    <t>50.05</t>
  </si>
  <si>
    <t>Iluminacao e sinalizacao de emergencia</t>
  </si>
  <si>
    <t>50.05.022</t>
  </si>
  <si>
    <t>Destravador magnético (eletroímã) para porta corta-fogo de 24 Vcc</t>
  </si>
  <si>
    <t>50.05.060</t>
  </si>
  <si>
    <t>Central de iluminação de emergência, completa, para até 6.000 W</t>
  </si>
  <si>
    <t>50.05.072</t>
  </si>
  <si>
    <t>Luminária de emergência LED de sobrepor, para teto ou parede, autonomia mínima 2 horas</t>
  </si>
  <si>
    <t>50.05.160</t>
  </si>
  <si>
    <t>Módulo para adaptação de luminária de emergência, autonomia 90 minutos para lâmpada fluorescente de 32 W</t>
  </si>
  <si>
    <t>50.05.170</t>
  </si>
  <si>
    <t>Acionador manual tipo quebra vidro, em caixa plástica</t>
  </si>
  <si>
    <t>50.05.210</t>
  </si>
  <si>
    <t>Detector termovelocimétrico endereçável com base endereçável</t>
  </si>
  <si>
    <t>50.05.214</t>
  </si>
  <si>
    <t>Detector de gás liquefeito (GLP), gás natural (GN) ou derivados de metano</t>
  </si>
  <si>
    <t>50.05.230</t>
  </si>
  <si>
    <t>Sirene audiovisual tipo endereçável</t>
  </si>
  <si>
    <t>50.05.250</t>
  </si>
  <si>
    <t>Central de iluminação de emergência, completa, autonomia 1 hora, para até 240 W</t>
  </si>
  <si>
    <t>50.05.270</t>
  </si>
  <si>
    <t>Central de detecção e alarme de incêndio completa, autonomia de 1 hora para 12 laços, 220 V/12 V</t>
  </si>
  <si>
    <t>50.05.280</t>
  </si>
  <si>
    <t>Sirene tipo corneta de 12 V</t>
  </si>
  <si>
    <t>50.05.312</t>
  </si>
  <si>
    <t>Bloco autônomo de iluminação de emergência LED, com autonomia mínima de 3 horas, fluxo luminoso de 2.000 até 3.000 lúmens, equipado com 2 faróis</t>
  </si>
  <si>
    <t>50.05.400</t>
  </si>
  <si>
    <t>Sirene eletrônica em caixa metálica de 4 x 4</t>
  </si>
  <si>
    <t>50.05.430</t>
  </si>
  <si>
    <t>Detector óptico de fumaça com base endereçável</t>
  </si>
  <si>
    <t>50.05.440</t>
  </si>
  <si>
    <t>50.05.450</t>
  </si>
  <si>
    <t>Acionador manual quebra-vidro endereçável</t>
  </si>
  <si>
    <t>50.05.470</t>
  </si>
  <si>
    <t>Módulo isolador, módulo endereçador para audiovisual</t>
  </si>
  <si>
    <t>50.05.490</t>
  </si>
  <si>
    <t>Sinalizador audiovisual endereçável com LED</t>
  </si>
  <si>
    <t>50.05.491</t>
  </si>
  <si>
    <t>Sinalizador visual de advertência</t>
  </si>
  <si>
    <t>50.05.492</t>
  </si>
  <si>
    <t>Sinalizador audiovisual de advertência</t>
  </si>
  <si>
    <t>50.10</t>
  </si>
  <si>
    <t>Extintores</t>
  </si>
  <si>
    <t>50.10.030</t>
  </si>
  <si>
    <t>Extintor sobre rodas de gás carbônico - capacidade de 10 kg</t>
  </si>
  <si>
    <t>50.10.050</t>
  </si>
  <si>
    <t>Extintor sobre rodas de gás carbônico - capacidade de 25 kg</t>
  </si>
  <si>
    <t>50.10.058</t>
  </si>
  <si>
    <t>Extintor manual de pó químico seco BC - capacidade de 4 kg</t>
  </si>
  <si>
    <t>50.10.060</t>
  </si>
  <si>
    <t>Extintor manual de pó químico seco BC - capacidade de 8 kg</t>
  </si>
  <si>
    <t>50.10.084</t>
  </si>
  <si>
    <t>Extintor manual de pó químico seco 20 BC - capacidade de 12 kg</t>
  </si>
  <si>
    <t>50.10.096</t>
  </si>
  <si>
    <t>Extintor sobre rodas de pó químico seco BC - capacidade de 20 kg</t>
  </si>
  <si>
    <t>50.10.100</t>
  </si>
  <si>
    <t>Extintor manual de água pressurizada - capacidade de 10 litros</t>
  </si>
  <si>
    <t>50.10.110</t>
  </si>
  <si>
    <t>Extintor manual de pó químico seco ABC - capacidade de 4 kg</t>
  </si>
  <si>
    <t>50.10.120</t>
  </si>
  <si>
    <t>Extintor manual de pó químico seco ABC - capacidade de 6 kg</t>
  </si>
  <si>
    <t>50.10.140</t>
  </si>
  <si>
    <t>Extintor manual de gás carbônico 5 BC - capacidade de 6 kg</t>
  </si>
  <si>
    <t>50.10.210</t>
  </si>
  <si>
    <t>Suporte para extintor de piso em fibra de vidro</t>
  </si>
  <si>
    <t>50.10.220</t>
  </si>
  <si>
    <t>Suporte para extintor de piso em aço inoxidável</t>
  </si>
  <si>
    <t>50.20</t>
  </si>
  <si>
    <t>Reparos, conservacoes e complementos - GRUPO 50</t>
  </si>
  <si>
    <t>50.20.110</t>
  </si>
  <si>
    <t>50.20.120</t>
  </si>
  <si>
    <t>50.20.130</t>
  </si>
  <si>
    <t>50.20.160</t>
  </si>
  <si>
    <t>Pintura de extintor de gás carbônico, pó químico seco, ou água pressurizada, com capacidade acima de 12 kg até 20 kg</t>
  </si>
  <si>
    <t>50.20.170</t>
  </si>
  <si>
    <t>Pintura de extintor de gás carbônico, pó químico seco, ou água pressurizada, com capacidade até 12 kg</t>
  </si>
  <si>
    <t>50.20.200</t>
  </si>
  <si>
    <t>Recolocação de bico de sprinkler</t>
  </si>
  <si>
    <t>54</t>
  </si>
  <si>
    <t>PAVIMENTACAO E PASSEIO</t>
  </si>
  <si>
    <t>54.01</t>
  </si>
  <si>
    <t>Pavimentacao preparo de base</t>
  </si>
  <si>
    <t>54.01.010</t>
  </si>
  <si>
    <t>Regularização e compactação mecanizada de superfície, sem controle do proctor normal</t>
  </si>
  <si>
    <t>54.01.030</t>
  </si>
  <si>
    <t>Abertura e preparo de caixa até 40 cm, compactação do subleito mínimo de 95% do PN e transporte até o raio de 1 km</t>
  </si>
  <si>
    <t>54.01.050</t>
  </si>
  <si>
    <t>Compactação do subleito mínimo de 95% do PN</t>
  </si>
  <si>
    <t>54.01.200</t>
  </si>
  <si>
    <t>Base de macadame hidráulico</t>
  </si>
  <si>
    <t>54.01.210</t>
  </si>
  <si>
    <t>Base de brita graduada</t>
  </si>
  <si>
    <t>54.01.220</t>
  </si>
  <si>
    <t>Base de bica corrida</t>
  </si>
  <si>
    <t>54.01.230</t>
  </si>
  <si>
    <t>Base de macadame betuminoso</t>
  </si>
  <si>
    <t>54.01.400</t>
  </si>
  <si>
    <t>Abertura de caixa até 25 cm, inclui escavação, compactação, transporte e preparo do sub-leito</t>
  </si>
  <si>
    <t>54.01.410</t>
  </si>
  <si>
    <t>Varrição de pavimento para recapeamento</t>
  </si>
  <si>
    <t>54.02</t>
  </si>
  <si>
    <t>Pavimentacao com pedrisco e revestimento primario</t>
  </si>
  <si>
    <t>54.02.030</t>
  </si>
  <si>
    <t>Revestimento primário com pedra britada, compactação mínima de 95% do PN</t>
  </si>
  <si>
    <t>54.02.040</t>
  </si>
  <si>
    <t>Camada de areia grossa compactada manualmente com compactador</t>
  </si>
  <si>
    <t>54.03</t>
  </si>
  <si>
    <t>Pavimentacao flexivel</t>
  </si>
  <si>
    <t>54.03.200</t>
  </si>
  <si>
    <t>Concreto asfáltico usinado a quente - Binder</t>
  </si>
  <si>
    <t>54.03.210</t>
  </si>
  <si>
    <t>Camada de rolamento em concreto betuminoso usinado quente - CBUQ</t>
  </si>
  <si>
    <t>54.03.221</t>
  </si>
  <si>
    <t>Restauração de pavimento asfáltico com concreto betuminoso usinado quente - CBUQ</t>
  </si>
  <si>
    <t>54.03.230</t>
  </si>
  <si>
    <t>Imprimação betuminosa ligante</t>
  </si>
  <si>
    <t>54.03.240</t>
  </si>
  <si>
    <t>Imprimação betuminosa impermeabilizante</t>
  </si>
  <si>
    <t>54.03.250</t>
  </si>
  <si>
    <t>Revestimento de pré-misturado a quente</t>
  </si>
  <si>
    <t>54.03.260</t>
  </si>
  <si>
    <t>Revestimento de pré-misturado a frio</t>
  </si>
  <si>
    <t>54.04</t>
  </si>
  <si>
    <t>Pavimentacao em paralelepipedos e blocos de concreto</t>
  </si>
  <si>
    <t>54.04.030</t>
  </si>
  <si>
    <t>Pavimentação em paralelepípedo, sem rejunte</t>
  </si>
  <si>
    <t>54.04.040</t>
  </si>
  <si>
    <t>Rejuntamento de paralelepípedo com areia</t>
  </si>
  <si>
    <t>54.04.050</t>
  </si>
  <si>
    <t>Rejuntamento de paralelepípedo com argamassa de cimento e areia 1:3</t>
  </si>
  <si>
    <t>54.04.060</t>
  </si>
  <si>
    <t>Rejuntamento de paralelepípedo com asfalto e pedrisco</t>
  </si>
  <si>
    <t>54.04.340</t>
  </si>
  <si>
    <t>Pavimentação em lajota de concreto 35 MPa, espessura 6 cm, cor natural, tipos: raquete, retangular, sextavado e 16 faces, com rejunte em areia</t>
  </si>
  <si>
    <t>54.04.342</t>
  </si>
  <si>
    <t>Pavimentação em lajota de concreto 35 MPa, espessura 6 cm, colorido, tipos: raquete, retangular, sextavado e 16 faces, com rejunte em areia</t>
  </si>
  <si>
    <t>54.04.350</t>
  </si>
  <si>
    <t>Pavimentação em lajota de concreto 35 MPa, espessura 8 cm, tipos: raquete, retangular, sextavado e 16 faces, com rejunte em areia</t>
  </si>
  <si>
    <t>54.04.360</t>
  </si>
  <si>
    <t>54.04.392</t>
  </si>
  <si>
    <t>Piso em placa de concreto permeável drenante, cor natural - espessura de 6 cm</t>
  </si>
  <si>
    <t>54.04.393</t>
  </si>
  <si>
    <t>Piso em placa de concreto permeável drenante, cor natural - espessura de 8 cm</t>
  </si>
  <si>
    <t>54.06</t>
  </si>
  <si>
    <t>Guias e sarjetas</t>
  </si>
  <si>
    <t>54.06.020</t>
  </si>
  <si>
    <t>Guia pré-moldada curva tipo PMSP 100 - fck 25 MPa</t>
  </si>
  <si>
    <t>54.06.040</t>
  </si>
  <si>
    <t>Guia pré-moldada reta tipo PMSP 100 - fck 25 MPa</t>
  </si>
  <si>
    <t>54.06.100</t>
  </si>
  <si>
    <t>Base em concreto com fck de 20 MPa, para guias, sarjetas ou sarjetões</t>
  </si>
  <si>
    <t>54.06.110</t>
  </si>
  <si>
    <t>Base em concreto com fck de 25 MPa, para guias, sarjetas ou sarjetões</t>
  </si>
  <si>
    <t>54.06.151</t>
  </si>
  <si>
    <t>Execução de perfil extrusado no local, sem concreto</t>
  </si>
  <si>
    <t>54.06.160</t>
  </si>
  <si>
    <t>Sarjeta ou sarjetão moldado no local, tipo PMSP em concreto com fck 20 MPa</t>
  </si>
  <si>
    <t>54.06.170</t>
  </si>
  <si>
    <t>Sarjeta ou sarjetão moldado no local, tipo PMSP em concreto com fck 25 MPa</t>
  </si>
  <si>
    <t>54.07</t>
  </si>
  <si>
    <t>Calcadas e passeios.</t>
  </si>
  <si>
    <t>54.07.040</t>
  </si>
  <si>
    <t>Passeio em mosaico português</t>
  </si>
  <si>
    <t>54.07.110</t>
  </si>
  <si>
    <t>54.07.130</t>
  </si>
  <si>
    <t>Piso em ladrilho hidráulico várias cores 20 x 20 cm, assentado com argamassa colante industrializada</t>
  </si>
  <si>
    <t>54.07.210</t>
  </si>
  <si>
    <t>Rejuntamento de piso em ladrilho hidráulico (20 x 20 x 1,8 cm) com argamassa industrializada para rejunte, juntas de 2 mm</t>
  </si>
  <si>
    <t>54.07.240</t>
  </si>
  <si>
    <t>Rejuntamento de piso em ladrilho hidráulico (30 x 30 x 2,5 cm), com cimento branco, juntas de 2 mm</t>
  </si>
  <si>
    <t>54.07.260</t>
  </si>
  <si>
    <t>Piso em ladrilho hidráulico tipo rampa várias cores 30 x 30 cm, antiderrapante, assentado com argamassa mista</t>
  </si>
  <si>
    <t>54.08</t>
  </si>
  <si>
    <t>Pavimentação rígida</t>
  </si>
  <si>
    <t>54.08.001</t>
  </si>
  <si>
    <t>Nivelamento e regularização de superfície e desempeno mecânico através de régua vibratória de pavimento em concreto</t>
  </si>
  <si>
    <t>54.08.002</t>
  </si>
  <si>
    <t>Texturização de superfície de pavimento em concreto com vassoura</t>
  </si>
  <si>
    <t>54.08.010</t>
  </si>
  <si>
    <t>Fibra em polipropileno (macrofibra), resistência residual 4,3+-0,3 Mpa</t>
  </si>
  <si>
    <t>54.08.011</t>
  </si>
  <si>
    <t>Fibra polimérica (microfibra anticrack), tenacidade mínima 5cN/dtex</t>
  </si>
  <si>
    <t>54.20</t>
  </si>
  <si>
    <t>Reparos, conservacoes e complementos - GRUPO 54</t>
  </si>
  <si>
    <t>54.20.040</t>
  </si>
  <si>
    <t>Bate-roda em concreto pré-moldado</t>
  </si>
  <si>
    <t>54.20.050</t>
  </si>
  <si>
    <t>Bate rodas / limitador de pneus em resina</t>
  </si>
  <si>
    <t>54.20.100</t>
  </si>
  <si>
    <t>Reassentamento de guia pré-moldada reta e/ou curva</t>
  </si>
  <si>
    <t>54.20.110</t>
  </si>
  <si>
    <t>Reassentamento de paralelepípedos, sem rejunte</t>
  </si>
  <si>
    <t>54.20.120</t>
  </si>
  <si>
    <t>Reassentamento de pavimentação em lajota de concreto, espessura 6 cm, com rejunte em areia</t>
  </si>
  <si>
    <t>54.20.130</t>
  </si>
  <si>
    <t>Reassentamento de pavimentação em lajota de concreto, espessura 8 cm, com rejunte em areia</t>
  </si>
  <si>
    <t>54.20.140</t>
  </si>
  <si>
    <t>Reassentamento de pavimentação em lajota de concreto, espessura 10 cm, com rejunte em areia</t>
  </si>
  <si>
    <t>55</t>
  </si>
  <si>
    <t>LIMPEZA E ARREMATE</t>
  </si>
  <si>
    <t>55.01</t>
  </si>
  <si>
    <t>Limpeza de obra</t>
  </si>
  <si>
    <t>55.01.020</t>
  </si>
  <si>
    <t>Limpeza final da obra</t>
  </si>
  <si>
    <t>55.01.030</t>
  </si>
  <si>
    <t>Limpeza complementar com hidrojateamento</t>
  </si>
  <si>
    <t>55.01.070</t>
  </si>
  <si>
    <t>Limpeza complementar e especial de piso com produtos químicos</t>
  </si>
  <si>
    <t>55.01.080</t>
  </si>
  <si>
    <t>Limpeza complementar e especial de peças e aparelhos sanitários</t>
  </si>
  <si>
    <t>55.01.100</t>
  </si>
  <si>
    <t>Limpeza complementar e especial de vidros</t>
  </si>
  <si>
    <t>55.01.130</t>
  </si>
  <si>
    <t>Limpeza e lavagem de superfície revestida com material cerâmico ou pastilhas por hidrojateamento com rejuntamento</t>
  </si>
  <si>
    <t>55.01.140</t>
  </si>
  <si>
    <t>Limpeza de superfície com hidrojateamento</t>
  </si>
  <si>
    <t>55.02</t>
  </si>
  <si>
    <t>Limpeza e desinfeccao sanitaria</t>
  </si>
  <si>
    <t>55.02.010</t>
  </si>
  <si>
    <t>Limpeza de caixa de inspeção</t>
  </si>
  <si>
    <t>55.02.012</t>
  </si>
  <si>
    <t>Limpeza de caixa de passagem, poço de visita ou bueiro</t>
  </si>
  <si>
    <t>55.02.020</t>
  </si>
  <si>
    <t>Limpeza de fossa</t>
  </si>
  <si>
    <t>55.02.040</t>
  </si>
  <si>
    <t>Limpeza e desobstrução de boca de lobo</t>
  </si>
  <si>
    <t>55.02.050</t>
  </si>
  <si>
    <t>Limpeza e desobstrução de canaletas ou tubulações de águas pluviais</t>
  </si>
  <si>
    <t>55.02.060</t>
  </si>
  <si>
    <t>Limpeza e desentupimento manual de tubulação de esgoto predial</t>
  </si>
  <si>
    <t>55.10</t>
  </si>
  <si>
    <t>Remocao de entulho</t>
  </si>
  <si>
    <t>55.10.030</t>
  </si>
  <si>
    <t>61</t>
  </si>
  <si>
    <t>CONFORTO MECANICO, EQUIPAMENTO E SISTEMA</t>
  </si>
  <si>
    <t>61.01</t>
  </si>
  <si>
    <t>Elevador</t>
  </si>
  <si>
    <t>61.01.670</t>
  </si>
  <si>
    <t>Elevador para passageiros, uso interno com capacidade mínima de 600 kg para duas paradas, portas unilaterais</t>
  </si>
  <si>
    <t>61.01.680</t>
  </si>
  <si>
    <t>Elevador para passageiros, uso interno com capacidade mínima de 600 kg para três paradas, portas unilaterais</t>
  </si>
  <si>
    <t>61.01.690</t>
  </si>
  <si>
    <t>Elevador para passageiros, uso interno com capacidade mínima de 600 kg para três paradas, portas bilaterais</t>
  </si>
  <si>
    <t>61.01.760</t>
  </si>
  <si>
    <t>Elevador para passageiros, uso interno com capacidade mínima de 600 kg para quatro paradas, portas bilaterais</t>
  </si>
  <si>
    <t>61.01.770</t>
  </si>
  <si>
    <t>Elevador para passageiros, uso interno com capacidade mínima de 600 kg para quatro paradas, portas unilaterais</t>
  </si>
  <si>
    <t>61.01.800</t>
  </si>
  <si>
    <t>Fechamento em vidro laminado para caixa de elevador</t>
  </si>
  <si>
    <t>61.10</t>
  </si>
  <si>
    <t>Climatizacao</t>
  </si>
  <si>
    <t>61.10.001</t>
  </si>
  <si>
    <t>Resfriadora de líquidos (chiller), com compressor e condensação à ar, capacidade de 120 TR</t>
  </si>
  <si>
    <t>61.10.007</t>
  </si>
  <si>
    <t>Resfriadora de líquidos (chiller), com compressor e condensação à ar, capacidade de 160 TR</t>
  </si>
  <si>
    <t>61.10.010</t>
  </si>
  <si>
    <t>Resfriadora de líquidos (chiller), com compressor e condensação à ar, capacidade de 200-210 TR</t>
  </si>
  <si>
    <t>61.10.012</t>
  </si>
  <si>
    <t>Resfriadora de líquidos (chiller), com compressor e condensação à ar, capacidade de 80 TR</t>
  </si>
  <si>
    <t>61.10.014</t>
  </si>
  <si>
    <t>Resfriadora de líquidos (chiller), com compressor e condensação à ar, capacidade de 20 TR</t>
  </si>
  <si>
    <t>61.10.100</t>
  </si>
  <si>
    <t>Tratamento de ar (fan-coil) tipo Air Handling Unit de concepção modular, capacidade de 10 TR</t>
  </si>
  <si>
    <t>61.10.101</t>
  </si>
  <si>
    <t>Tratamento de ar (fan-Coil) tipo Air Handling Unit de concepção modular, capacidade de 6 TR</t>
  </si>
  <si>
    <t>61.10.110</t>
  </si>
  <si>
    <t>Tratamento de ar (fan-coil) tipo Air Handling Unit de concepção modular, capacidade de 40 TR</t>
  </si>
  <si>
    <t>61.10.120</t>
  </si>
  <si>
    <t>Tratamento de ar (fan-coil) tipo Air Handling Unit de concepção modular, capacidade de 50 TR</t>
  </si>
  <si>
    <t>61.10.200</t>
  </si>
  <si>
    <t>Tratamento de ar compacta fancolete hidrônico tipo piso-teto, vazão de ar nominal 637 m³/h, capacidade de refrigeração 14.000 Btu/h - 1,2 TR</t>
  </si>
  <si>
    <t>61.10.210</t>
  </si>
  <si>
    <t>Tratamento de ar compacta fancolete hidrônico tipo piso-teto, vazão de ar nominal 1.215 m³/h, capacidade de refrigeração 25.000 Btu/h - 2,1 TR</t>
  </si>
  <si>
    <t>61.10.220</t>
  </si>
  <si>
    <t>Tratamento de ar compacta fancolete hidrônico tipo piso-teto, vazão de ar nominal 1.758 m³/h, capacidade de refrigeração 36.000 Btu/h - 3,0 TR</t>
  </si>
  <si>
    <t>61.10.230</t>
  </si>
  <si>
    <t>Tratamento de ar compacta fancolete hidrônico tipo piso-teto, vazão de ar nominal 2.166 m³/h, capacidade de refrigeração 48.000 Btu/h - 4,0 TR</t>
  </si>
  <si>
    <t>61.10.250</t>
  </si>
  <si>
    <t>Tratamento de ar compacta fancolete hidrônico tipo cassete, capacidade de refrigeração 20.000 Btu/h - 1,6 TR</t>
  </si>
  <si>
    <t>61.10.260</t>
  </si>
  <si>
    <t>Tratamento de ar compacta fancolete hidrônico tipo cassete, capacidade de refrigeração 25.000 Btu/h - 2,1 TR</t>
  </si>
  <si>
    <t>61.10.270</t>
  </si>
  <si>
    <t>Tratamento de ar compacta fancolete hidrônico tipo cassete, capacidade de refrigeração 32.000 Btu/h - 2,6 TR</t>
  </si>
  <si>
    <t>61.10.300</t>
  </si>
  <si>
    <t>Duto flexível aluminizado, seção circular de 10cm (4´)</t>
  </si>
  <si>
    <t>61.10.310</t>
  </si>
  <si>
    <t>Duto flexível aluminizado, seção circular de 15cm (6´)</t>
  </si>
  <si>
    <t>61.10.320</t>
  </si>
  <si>
    <t>Duto flexível aluminizado, seção circular de 20cm (8´)</t>
  </si>
  <si>
    <t>61.10.380</t>
  </si>
  <si>
    <t>Duto em painel rígido de lã de vidro acústico, espessura 25 mm</t>
  </si>
  <si>
    <t>61.10.400</t>
  </si>
  <si>
    <t>Damper corta fogo (DCF) tipo comporta, com elemento fusível e chave fim de curso.</t>
  </si>
  <si>
    <t>61.10.401</t>
  </si>
  <si>
    <t>Damper de regulagem manual, tamanho: 0,10 m² a 0,14 m²</t>
  </si>
  <si>
    <t>61.10.402</t>
  </si>
  <si>
    <t>Damper de regulagem manual, tamanho: 0,15 m² a 0,20 m²</t>
  </si>
  <si>
    <t>61.10.403</t>
  </si>
  <si>
    <t>Damper de regulagem manual, tamanho: 0,21 m² a 0,40 m²</t>
  </si>
  <si>
    <t>61.10.410</t>
  </si>
  <si>
    <t>Serviço de instalação de Damper Corta Fogo</t>
  </si>
  <si>
    <t>61.10.430</t>
  </si>
  <si>
    <t>Tanque de compensação pressurizado, capacidade (volume mínimo) de 250 litros</t>
  </si>
  <si>
    <t>61.10.440</t>
  </si>
  <si>
    <t>Registro de regulagem de vazão de ar</t>
  </si>
  <si>
    <t>61.10.510</t>
  </si>
  <si>
    <t>Difusor de ar de longo alcance tipo Jet-Nozzles, vazão de ar 1.330 m³/h</t>
  </si>
  <si>
    <t>61.10.511</t>
  </si>
  <si>
    <t>Difusor para insuflamento de ar com plenum, multivias e colarinho</t>
  </si>
  <si>
    <t>61.10.512</t>
  </si>
  <si>
    <t>Difusor para insuflamento de ar com plenum, com 2 aberturas</t>
  </si>
  <si>
    <t>61.10.513</t>
  </si>
  <si>
    <t>Difusor de plástico, diâmetro 15 cm</t>
  </si>
  <si>
    <t>61.10.514</t>
  </si>
  <si>
    <t>Difusor de plástico, diâmetro 20 cm</t>
  </si>
  <si>
    <t>61.10.530</t>
  </si>
  <si>
    <t>Difusor de insuflação de ar tipo direcional, medindo 30 x 30 cm</t>
  </si>
  <si>
    <t>61.10.550</t>
  </si>
  <si>
    <t>Difusor de insuflação de ar tipo direcional, medindo 45 x 15 cm</t>
  </si>
  <si>
    <t>61.10.564</t>
  </si>
  <si>
    <t>Grelha de insuflação de ar em alumínio anodizado, de dupla deflexão, tamanho: até 0,10 m²</t>
  </si>
  <si>
    <t>61.10.565</t>
  </si>
  <si>
    <t>Grelha de insuflação de ar em alumínio anodizado, de dupla deflexão, tamanho: acima de 0,10 m² até 0,50 m²</t>
  </si>
  <si>
    <t>61.10.566</t>
  </si>
  <si>
    <t>Grelha de insuflação de ar em alumínio anodizado, de dupla deflexão, tamanho: acima de 0,50 m² até 1,00 m²</t>
  </si>
  <si>
    <t>61.10.567</t>
  </si>
  <si>
    <t>Grelha de porta, tamanho: 0,14 m² a 0,30 m²</t>
  </si>
  <si>
    <t>61.10.568</t>
  </si>
  <si>
    <t>Grelha de porta, tamanho: 0,07 m² a 0,13 m²</t>
  </si>
  <si>
    <t>61.10.569</t>
  </si>
  <si>
    <t>Grelha de porta, tamanho: 0,03 m² a 0,06 m²</t>
  </si>
  <si>
    <t>61.10.574</t>
  </si>
  <si>
    <t>Grelha de retorno/exaustão com registro, tamanho: 0,03 m² a 0,06 m²</t>
  </si>
  <si>
    <t>61.10.575</t>
  </si>
  <si>
    <t>Grelha de retorno/exaustão com registro, tamanho: 0,07 m² a 0,13 m²</t>
  </si>
  <si>
    <t>61.10.576</t>
  </si>
  <si>
    <t>Grelha de retorno/exaustão com registro, tamanho: 0,14 m² a 0,19 m²</t>
  </si>
  <si>
    <t>61.10.577</t>
  </si>
  <si>
    <t>Grelha de retorno/exaustão com registro, tamanho: 0,20 m² a 0,40 m²</t>
  </si>
  <si>
    <t>61.10.578</t>
  </si>
  <si>
    <t>Grelha de retorno/exaustão com registro, tamanho: 0,41 m² a 0,65 m²</t>
  </si>
  <si>
    <t>61.10.581</t>
  </si>
  <si>
    <t>Veneziana com tela e filtro G4</t>
  </si>
  <si>
    <t>61.10.582</t>
  </si>
  <si>
    <t>Veneziana com tela</t>
  </si>
  <si>
    <t>61.10.583</t>
  </si>
  <si>
    <t>Veneziana com tela, tamanho 38,5 x 33 cm</t>
  </si>
  <si>
    <t>61.10.584</t>
  </si>
  <si>
    <t>Veneziana com tela, tamanho 78,5 x 33 cm</t>
  </si>
  <si>
    <t>61.14</t>
  </si>
  <si>
    <t>Ventilacao</t>
  </si>
  <si>
    <t>61.14.005</t>
  </si>
  <si>
    <t>Caixa ventiladora com ventilador centrífugo, vazão 4.600 m³/h, pressão 30 mmCA - 220 / 380 V / 60HZ</t>
  </si>
  <si>
    <t>61.14.015</t>
  </si>
  <si>
    <t>Caixa ventiladora com ventilador centrífugo, vazão 28.000 m³/h, pressão 30 mmCA - 220 / 380 V / 60HZ</t>
  </si>
  <si>
    <t>61.14.050</t>
  </si>
  <si>
    <t>Caixa ventiladora com ventilador centrífugo, vazão 8.800 m³/h, pressão 35 mmCA - 220/380 V / 60Hz</t>
  </si>
  <si>
    <t>61.14.051</t>
  </si>
  <si>
    <t>Caixa ventiladora com ventilador centrífugo, vazão 10.000 m³/h, pressão 30 mmCA - 220/380 V / 60Hz</t>
  </si>
  <si>
    <t>61.14.070</t>
  </si>
  <si>
    <t>Caixa ventiladora com ventilador centrífugo, vazão 1.710 m³/h, pressão 35 mmCA - 220/380 V / 60Hz</t>
  </si>
  <si>
    <t>61.14.080</t>
  </si>
  <si>
    <t>Caixa ventiladora com ventilador centrífugo, vazão 1.190 m³/h, pressão 37 mmCA - 220/380 V / 60Hz</t>
  </si>
  <si>
    <t>61.14.100</t>
  </si>
  <si>
    <t>Ventilador centrífugo de dupla aspiração "limite-load", vazão 20.000 m³/h, pressão 50 mmCA - 380/660 V / 60 Hz</t>
  </si>
  <si>
    <t>61.15</t>
  </si>
  <si>
    <t>Controles para Fan-Coil e CAG</t>
  </si>
  <si>
    <t>61.15.010</t>
  </si>
  <si>
    <t>Fonte de alimentação universal bivolt com saída de 24 V - 1,5 A - 35 W</t>
  </si>
  <si>
    <t>61.15.020</t>
  </si>
  <si>
    <t>Tomada simples de sobrepor universal 2P+T - 10 A - 250 V</t>
  </si>
  <si>
    <t>61.15.030</t>
  </si>
  <si>
    <t>Transformador abaixador, entrada 110/220V, saída 24V+24V, corrente secundário 6A</t>
  </si>
  <si>
    <t>61.15.040</t>
  </si>
  <si>
    <t>61.15.050</t>
  </si>
  <si>
    <t>Válvula motorizada esfera, com duas vias atuador floating, diâmetro 3/4´ a 1 1/2´</t>
  </si>
  <si>
    <t>61.15.060</t>
  </si>
  <si>
    <t>Válvula de balanceamento diâmetro 1´ a 2 1/2´</t>
  </si>
  <si>
    <t>61.15.070</t>
  </si>
  <si>
    <t>Válvula borboleta na configuração wafer motorizada atuador floating diâmetro 3´ a 4´</t>
  </si>
  <si>
    <t>61.15.080</t>
  </si>
  <si>
    <t>Válvula duas vias on/off retorno elétrico diâmetro 1/2´ a 3/4´</t>
  </si>
  <si>
    <t>61.15.090</t>
  </si>
  <si>
    <t>Válvula esfera motorizada de duas vias de atuador proporcional diâmetro 2´ a 2 1/2´</t>
  </si>
  <si>
    <t>61.15.100</t>
  </si>
  <si>
    <t>Atuador proporcional de 10 Nm, tensão de entrada AC/DC 24 V - IP 54</t>
  </si>
  <si>
    <t>61.15.110</t>
  </si>
  <si>
    <t>Válvula esfera duas vias flangeada, diâmetro 3´</t>
  </si>
  <si>
    <t>61.15.120</t>
  </si>
  <si>
    <t>61.15.130</t>
  </si>
  <si>
    <t>61.15.140</t>
  </si>
  <si>
    <t>Repetidor de sinal I/I e V/I</t>
  </si>
  <si>
    <t>61.15.150</t>
  </si>
  <si>
    <t>Relé de corrente ajustável de 0 a 200 A</t>
  </si>
  <si>
    <t>61.15.160</t>
  </si>
  <si>
    <t>Sensor de temperatura ambiente PT100 - 2 fios</t>
  </si>
  <si>
    <t>61.15.164</t>
  </si>
  <si>
    <t>Termostato de segurança com temperatura ajustável de 90°C - 110°C</t>
  </si>
  <si>
    <t>61.15.170</t>
  </si>
  <si>
    <t>61.15.172</t>
  </si>
  <si>
    <t>Transmissor de pressão compacto, escala de pressão 0 a 10 Bar, sinal de saída 4 - 20 mA</t>
  </si>
  <si>
    <t>61.15.174</t>
  </si>
  <si>
    <t>Transmissor de temperatura e umidade para dutos, alta precisão, corrente de 0 a 20 mA, alimentação 12Vcc a 30Vcc</t>
  </si>
  <si>
    <t>61.15.181</t>
  </si>
  <si>
    <t>Controlador lógico programável para 16 entradas/16 saídas</t>
  </si>
  <si>
    <t>61.15.191</t>
  </si>
  <si>
    <t>Módulo de expansão para 4 canais de saída analógica</t>
  </si>
  <si>
    <t>61.15.196</t>
  </si>
  <si>
    <t>61.15.201</t>
  </si>
  <si>
    <t>Módulo de expansão para 8 canais de entrada e saída digitais</t>
  </si>
  <si>
    <t>61.20</t>
  </si>
  <si>
    <t>Reparos, conservacoes e complementos - GRUPO 61</t>
  </si>
  <si>
    <t>61.20.040</t>
  </si>
  <si>
    <t>Cortina de ar com duas velocidades, para vão de 1,20 m</t>
  </si>
  <si>
    <t>61.20.092</t>
  </si>
  <si>
    <t>Cortina de ar com duas velocidades, para vão de 1,50 m</t>
  </si>
  <si>
    <t>61.20.100</t>
  </si>
  <si>
    <t>Ligação típica, (cavalete), para ar condicionado ´fancoil´, diâmetro de 1/2´</t>
  </si>
  <si>
    <t>61.20.110</t>
  </si>
  <si>
    <t>Ligação típica, (cavalete), para ar condicionado ´fancoil´, diâmetro de 3/4´</t>
  </si>
  <si>
    <t>61.20.120</t>
  </si>
  <si>
    <t>Ligação típica, (cavalete), para ar condicionado ´fancoil´, diâmetro de 1´</t>
  </si>
  <si>
    <t>61.20.130</t>
  </si>
  <si>
    <t>Ligação típica, (cavalete), para ar condicionado ´fancoil´, diâmetro de 1 1/4´</t>
  </si>
  <si>
    <t>61.20.450</t>
  </si>
  <si>
    <t>Duto em chapa de aço galvanizado</t>
  </si>
  <si>
    <t>61.20.452</t>
  </si>
  <si>
    <t>Chapéu tipo chinês para duto galvanizado de 35cm</t>
  </si>
  <si>
    <t>62</t>
  </si>
  <si>
    <t>COZINHA, REFEITORIO, LAVANDERIA INDUSTRIAL E EQUIPAMENTOS</t>
  </si>
  <si>
    <t>62.04</t>
  </si>
  <si>
    <t>Mobiliario e acessorios</t>
  </si>
  <si>
    <t>62.04.060</t>
  </si>
  <si>
    <t>Tanque duplo com pés em aço inoxidável de 1600 x 700 x 850 mm</t>
  </si>
  <si>
    <t>62.04.070</t>
  </si>
  <si>
    <t>Mesa em aço inoxidável, largura até 700 mm</t>
  </si>
  <si>
    <t>62.04.090</t>
  </si>
  <si>
    <t>Mesa lateral em aço inoxidável com prateleira inferior, largura até 700 mm</t>
  </si>
  <si>
    <t>62.20</t>
  </si>
  <si>
    <t>Reparos, conservacoes e complementos - GRUPO 62</t>
  </si>
  <si>
    <t>62.20.330</t>
  </si>
  <si>
    <t>62.20.340</t>
  </si>
  <si>
    <t>62.20.350</t>
  </si>
  <si>
    <t>65</t>
  </si>
  <si>
    <t>RESFRIAMENTO E CONSERVACAO DE MATERIAL PERECIVEL</t>
  </si>
  <si>
    <t>65.01</t>
  </si>
  <si>
    <t>Camara frigorifica para resfriado</t>
  </si>
  <si>
    <t>65.01.210</t>
  </si>
  <si>
    <t>65.02</t>
  </si>
  <si>
    <t>Camara frigorifica para congelado</t>
  </si>
  <si>
    <t>65.02.100</t>
  </si>
  <si>
    <t>66</t>
  </si>
  <si>
    <t>SEGURANCA, VIGILANCIA E CONTROLE, EQUIPAMENTO E SISTEMA</t>
  </si>
  <si>
    <t>66.02</t>
  </si>
  <si>
    <t>Controle de acessos e alarme</t>
  </si>
  <si>
    <t>66.02.060</t>
  </si>
  <si>
    <t>Repetidora de sinais de ocorrências, do painel sinóptico da central de alarme</t>
  </si>
  <si>
    <t>66.02.090</t>
  </si>
  <si>
    <t>Detector de metais, tipo portal, microprocessado</t>
  </si>
  <si>
    <t>66.02.130</t>
  </si>
  <si>
    <t>Porteiro eletrônico com um interfone</t>
  </si>
  <si>
    <t>66.02.239</t>
  </si>
  <si>
    <t>Sistema eletrônico de automatização de portão deslizante, para esforços até 800 kg</t>
  </si>
  <si>
    <t>66.02.240</t>
  </si>
  <si>
    <t>Sistema eletrônico de automatização de portão deslizante, para esforços maior de 800 kg e até 1400 kg</t>
  </si>
  <si>
    <t>66.02.460</t>
  </si>
  <si>
    <t>Vídeo porteiro eletrônico colorido, com um interfone</t>
  </si>
  <si>
    <t>66.02.500</t>
  </si>
  <si>
    <t>Central de alarme microprocessada, para até 125 zonas</t>
  </si>
  <si>
    <t>66.02.560</t>
  </si>
  <si>
    <t>Controlador de acesso com identificação por impressão digital (biometria) e software de gerenciamento</t>
  </si>
  <si>
    <t>66.08</t>
  </si>
  <si>
    <t>Equipamentos para sistema de seguranca, vigilancia e controle</t>
  </si>
  <si>
    <t>66.08.061</t>
  </si>
  <si>
    <t>Mesa controladora híbrida para até 32 câmeras IPs, com teclado e joystick, compatível com sistema de CFTV, IP ou analógico</t>
  </si>
  <si>
    <t>66.08.100</t>
  </si>
  <si>
    <t>66.08.110</t>
  </si>
  <si>
    <t>Rack fechado padrão metálico, 19 x 20 Us x 470 mm</t>
  </si>
  <si>
    <t>66.08.111</t>
  </si>
  <si>
    <t>66.08.115</t>
  </si>
  <si>
    <t>66.08.131</t>
  </si>
  <si>
    <t>Monitor LCD ou LED colorido, tela plana de 21,5´</t>
  </si>
  <si>
    <t>66.08.258</t>
  </si>
  <si>
    <t>Ponto de acesso de dados (Access Point), uso interno, compatível com PoE 802.3af</t>
  </si>
  <si>
    <t>66.08.260</t>
  </si>
  <si>
    <t>Modulador de canais VHF / UHF / CATV / CFTV</t>
  </si>
  <si>
    <t>66.08.270</t>
  </si>
  <si>
    <t>Amplificador de linha VHF / UHF com conector de F-50 dB</t>
  </si>
  <si>
    <t>66.08.324</t>
  </si>
  <si>
    <t>Câmera fixa colorida compacta com domo, para áreas internas e externas - 1,3 MP</t>
  </si>
  <si>
    <t>66.08.326</t>
  </si>
  <si>
    <t>Câmera fixa colorida tipo bullet, para áreas internas e externas - 1,3 MP</t>
  </si>
  <si>
    <t>66.08.328</t>
  </si>
  <si>
    <t>Câmera fixa colorida com domo, para áreas internas e externas - 5 MP</t>
  </si>
  <si>
    <t>66.08.340</t>
  </si>
  <si>
    <t>66.08.400</t>
  </si>
  <si>
    <t>Estação de monitoramento "WorkStation" para até 3 monitores - memória RAM de 8 GB</t>
  </si>
  <si>
    <t>66.08.401</t>
  </si>
  <si>
    <t>Estação de monitoramento "WorkStation" para até 3 monitores - memória RAM de 16 GB</t>
  </si>
  <si>
    <t>66.08.600</t>
  </si>
  <si>
    <t>Unidade gerenciadora digital de vídeo em rede (NVR) de até 8 câmeras IP, armazenamento de 6 TB, 1 interface de rede Fast Ethernet</t>
  </si>
  <si>
    <t>66.08.610</t>
  </si>
  <si>
    <t>Unidade gerenciadora digital de vídeo em rede (NVR) de até 16 câmeras IP, armazenamento de 12 TB, 1 interface de rede Gigabit Ethernet e 4 entradas de alarme</t>
  </si>
  <si>
    <t>66.08.620</t>
  </si>
  <si>
    <t>Unidade gerenciadora digital vídeo em rede (NVR) de até 32 câmeras IP, armazenamento de 48 TB, 2 interface de rede Gigabit Ethernet e 16 entradas de alarme</t>
  </si>
  <si>
    <t>66.20</t>
  </si>
  <si>
    <t>Reparos, conservacoes e complementos - GRUPO 66</t>
  </si>
  <si>
    <t>66.20.150</t>
  </si>
  <si>
    <t>66.20.170</t>
  </si>
  <si>
    <t>66.20.202</t>
  </si>
  <si>
    <t>Instalação de câmera fixa para CFTV</t>
  </si>
  <si>
    <t>66.20.212</t>
  </si>
  <si>
    <t>Instalação de câmera móvel para CFTV</t>
  </si>
  <si>
    <t>66.20.221</t>
  </si>
  <si>
    <t>Switch Gigabit para servidor central com 24 portas frontais e 2 portas SFP, capacidade 10 / 100 / 1000 Mbps</t>
  </si>
  <si>
    <t>66.20.225</t>
  </si>
  <si>
    <t>Switch Gigabit 24 portas com capacidade de 10/100/1000/Mbps</t>
  </si>
  <si>
    <t>67</t>
  </si>
  <si>
    <t>CAPTACAO, ADUCAO E TRATAMENTO DE AGUA E ESGOTO, EQUIPAMENTOS E SISTEMA</t>
  </si>
  <si>
    <t>67.02</t>
  </si>
  <si>
    <t>Tratamento</t>
  </si>
  <si>
    <t>67.02.160</t>
  </si>
  <si>
    <t>Medidor de vazão tipo calha Parshall com garganta W= 3´</t>
  </si>
  <si>
    <t>67.02.210</t>
  </si>
  <si>
    <t>Tela galvanizada revestida em poliamida, malha de 10 mm</t>
  </si>
  <si>
    <t>67.02.240</t>
  </si>
  <si>
    <t>Grade média em aço carbono, espaçamento de 2 cm com barras chatas de 1´ x 3/8´</t>
  </si>
  <si>
    <t>67.02.280</t>
  </si>
  <si>
    <t>Cesto em chapa de aço inoxidável com espessura de 1,5 mm e furos de 1/2´</t>
  </si>
  <si>
    <t>67.02.301</t>
  </si>
  <si>
    <t>Peneira estática em poliéster reforçado de fibra de vidro (PRFV) com tela de aço inoxidável AISI 304, malha de 1,5 mm, vazão de 50 l/s</t>
  </si>
  <si>
    <t>67.02.320</t>
  </si>
  <si>
    <t>Comporta em fibra de vidro (stop log) - espessura de 10 mm</t>
  </si>
  <si>
    <t>67.02.330</t>
  </si>
  <si>
    <t>Sistema de tratamento de águas cinzas e aproveitamento de águas pluviais, para reuso em fins não potáveis, vazão de 2 m³/h</t>
  </si>
  <si>
    <t>67.02.400</t>
  </si>
  <si>
    <t>Tanque em fibra de vidro (PRFV) com quebra ondas, capacidade de 25.000 l e misturador interno vertical em aço inoxidável</t>
  </si>
  <si>
    <t>67.02.410</t>
  </si>
  <si>
    <t>Sistema de tratamento de efluente por reator anaeróbio (UASB) e filtro aeróbio (FAS), para obras de segurança com vazão máxima horária 12 l/s</t>
  </si>
  <si>
    <t>67.02.502</t>
  </si>
  <si>
    <t>Elaboração de projeto de sistema de estação compacta de tratamento de esgoto para vazão máxima horária 12 l/s e atendimento classe II, assessoria, documentação e aprovação na CETESB</t>
  </si>
  <si>
    <t>67.02.503</t>
  </si>
  <si>
    <t>Elaboração de projeto de sistema de estação compacta de tratamento de esgoto para vazão máxima horária 12 l/s, atendimento classe II, tratamento de nitrogênio e fósforo, assessoria, documentação e aprovação na CETESB</t>
  </si>
  <si>
    <t>68</t>
  </si>
  <si>
    <t>ELETRIFICACAO, EQUIPAMENTOS E SISTEMA</t>
  </si>
  <si>
    <t>68.01</t>
  </si>
  <si>
    <t>Posteamento</t>
  </si>
  <si>
    <t>68.01.600</t>
  </si>
  <si>
    <t>Poste de concreto circular, 200 kg, H = 7,00 m</t>
  </si>
  <si>
    <t>68.01.620</t>
  </si>
  <si>
    <t>Poste de concreto circular, 200 kg, H = 9,00 m</t>
  </si>
  <si>
    <t>68.01.630</t>
  </si>
  <si>
    <t>Poste de concreto circular, 200 kg, H = 10,00 m</t>
  </si>
  <si>
    <t>68.01.640</t>
  </si>
  <si>
    <t>Poste de concreto circular, 200 kg, H = 11,00 m</t>
  </si>
  <si>
    <t>68.01.650</t>
  </si>
  <si>
    <t>Poste de concreto circular, 200 kg, H = 12,00 m</t>
  </si>
  <si>
    <t>68.01.670</t>
  </si>
  <si>
    <t>Poste de concreto circular, 300 kg, H = 9,00 m</t>
  </si>
  <si>
    <t>68.01.730</t>
  </si>
  <si>
    <t>Poste de concreto circular, 400 kg, H = 9,00 m</t>
  </si>
  <si>
    <t>68.01.740</t>
  </si>
  <si>
    <t>Poste de concreto circular, 400 kg, H = 10,00 m</t>
  </si>
  <si>
    <t>68.01.750</t>
  </si>
  <si>
    <t>Poste de concreto circular, 400 kg, H = 11,00 m</t>
  </si>
  <si>
    <t>68.01.760</t>
  </si>
  <si>
    <t>Poste de concreto circular, 400 kg, H = 12,00 m</t>
  </si>
  <si>
    <t>68.01.800</t>
  </si>
  <si>
    <t>Poste de concreto circular, 600 kg, H = 11,00 m</t>
  </si>
  <si>
    <t>68.01.810</t>
  </si>
  <si>
    <t>Poste de concreto circular, 600 kg, H = 12,00 m</t>
  </si>
  <si>
    <t>68.01.850</t>
  </si>
  <si>
    <t>Poste de concreto circular, 1000 kg, H = 12,00 m</t>
  </si>
  <si>
    <t>68.02</t>
  </si>
  <si>
    <t>Estrutura especifica</t>
  </si>
  <si>
    <t>68.02.010</t>
  </si>
  <si>
    <t>Estai</t>
  </si>
  <si>
    <t>68.02.020</t>
  </si>
  <si>
    <t>Estrutura tipo M1</t>
  </si>
  <si>
    <t>68.02.030</t>
  </si>
  <si>
    <t>Estrutura tipo M2</t>
  </si>
  <si>
    <t>68.02.040</t>
  </si>
  <si>
    <t>Estrutura tipo N3</t>
  </si>
  <si>
    <t>68.02.050</t>
  </si>
  <si>
    <t>Estrutura tipo M1 - N3</t>
  </si>
  <si>
    <t>68.02.060</t>
  </si>
  <si>
    <t>Estrutura tipo M4</t>
  </si>
  <si>
    <t>68.02.070</t>
  </si>
  <si>
    <t>Estrutura tipo N2</t>
  </si>
  <si>
    <t>68.02.090</t>
  </si>
  <si>
    <t>Estrutura tipo N4</t>
  </si>
  <si>
    <t>68.02.100</t>
  </si>
  <si>
    <t>Armação secundária tipo 1C - 2R</t>
  </si>
  <si>
    <t>68.02.110</t>
  </si>
  <si>
    <t>Armação secundária tipo 1C - 3R</t>
  </si>
  <si>
    <t>68.02.120</t>
  </si>
  <si>
    <t>Armação secundária tipo 2C - 3R</t>
  </si>
  <si>
    <t>68.02.140</t>
  </si>
  <si>
    <t>Armação secundária tipo 4C - 6R</t>
  </si>
  <si>
    <t>68.20</t>
  </si>
  <si>
    <t>Reparos, conservacoes e complementos - GRUPO 68</t>
  </si>
  <si>
    <t>68.20.010</t>
  </si>
  <si>
    <t>Recolocação de poste de madeira</t>
  </si>
  <si>
    <t>68.20.040</t>
  </si>
  <si>
    <t>Braçadeira circular em aço carbono galvanizado, diâmetro nominal de 140 até 300 mm</t>
  </si>
  <si>
    <t>68.20.050</t>
  </si>
  <si>
    <t>Cruzeta em aço carbono galvanizado perfil ´L´ 75 x 75 x 8 mm, comprimento 2500 mm</t>
  </si>
  <si>
    <t>68.20.120</t>
  </si>
  <si>
    <t>Bengala em PVC para ramal de entrada, diâmetro de 32 mm</t>
  </si>
  <si>
    <t>69</t>
  </si>
  <si>
    <t>TELEFONIA, LOGICA E TRANSMISSAO DE DADOS, EQUIPAMENTOS E SISTEMA</t>
  </si>
  <si>
    <t>69.03</t>
  </si>
  <si>
    <t>Distribuicao e comando, caixas e equipamentos especificos</t>
  </si>
  <si>
    <t>69.03.090</t>
  </si>
  <si>
    <t>Aparelho telefônico multifrequencial, com teclas ´FLASH´, ´HOOK´, ´PAUSE´, ´LND´, ´MODE´</t>
  </si>
  <si>
    <t>69.03.130</t>
  </si>
  <si>
    <t>Caixa subterrânea de entrada de telefonia, tipo R1 (600 x 350 x 500) mm, padrão TELEBRÁS, com tampa</t>
  </si>
  <si>
    <t>69.03.140</t>
  </si>
  <si>
    <t>Caixa subterrânea de entrada de telefonia, tipo R2 (1070 x 520 x 500) mm, padrão TELEBRÁS, com tampa</t>
  </si>
  <si>
    <t>69.03.301</t>
  </si>
  <si>
    <t>Central de Pabx para 2 linhas e 8 ramais</t>
  </si>
  <si>
    <t>69.03.310</t>
  </si>
  <si>
    <t>Caixa de tomada em poliamida e tampa para piso elevado, com 4 alojamentos para elétrica e até 8 alojamentos para telefonia e dados</t>
  </si>
  <si>
    <t>69.03.340</t>
  </si>
  <si>
    <t>Conector RJ-45 fêmea - categoria 6</t>
  </si>
  <si>
    <t>69.03.360</t>
  </si>
  <si>
    <t>Conector RJ-45 fêmea - categoria 6A</t>
  </si>
  <si>
    <t>69.03.400</t>
  </si>
  <si>
    <t>Central PABX híbrida de telefonia para 8 linhas tronco e 24 a 32 ramais digital e analógico</t>
  </si>
  <si>
    <t>69.03.410</t>
  </si>
  <si>
    <t>Central PABX híbrida de telefonia para 8 linhas tronco e 128 ramais digital e analógico</t>
  </si>
  <si>
    <t>69.05</t>
  </si>
  <si>
    <t>Estabilizacao de tensao</t>
  </si>
  <si>
    <t>69.05.010</t>
  </si>
  <si>
    <t>Estabilizador eletrônico de tensão, monofásico, com potência de 5 kVA</t>
  </si>
  <si>
    <t>69.05.040</t>
  </si>
  <si>
    <t>Estabilizador eletrônico de tensão, monofásico, com potência de 10 kVA</t>
  </si>
  <si>
    <t>69.05.230</t>
  </si>
  <si>
    <t>Estabilizador eletrônico de tensão, trifásico, com potência de 40 kVA</t>
  </si>
  <si>
    <t>69.06</t>
  </si>
  <si>
    <t>Sistemas ininterruptos de energia</t>
  </si>
  <si>
    <t>69.06.020</t>
  </si>
  <si>
    <t>Sistema ininterrupto de energia, trifásico on line de 10 kVA (220 V/220 V), com autonomia de 15 minutos</t>
  </si>
  <si>
    <t>69.06.030</t>
  </si>
  <si>
    <t>Sistema ininterrupto de energia, trifásico on line de 20 kVA (220 V/208 V-108 V), com autonomia 15 minutos</t>
  </si>
  <si>
    <t>69.06.040</t>
  </si>
  <si>
    <t>Sistema ininterrupto de energia, trifásico on line senoidal de 15 kVA (208 V/110 V), com autonomia de 15 minutos</t>
  </si>
  <si>
    <t>69.06.050</t>
  </si>
  <si>
    <t>Sistema ininterrupto de energia, monofásico, com potência de 2 kVA</t>
  </si>
  <si>
    <t>69.06.080</t>
  </si>
  <si>
    <t>Sistema ininterrupto de energia, monofásico on line senoidal de 5 kVA (220 V/110 V), com autonomia de 15 minutos</t>
  </si>
  <si>
    <t>69.06.100</t>
  </si>
  <si>
    <t>Sistema ininterrupto de energia, monofásico, com potência entre 5 a 7,5 kVA</t>
  </si>
  <si>
    <t>69.06.110</t>
  </si>
  <si>
    <t>Sistema ininterrupto de energia, monofásico de 600 VA (127 V/127 V), com autonomia de 10 a 15 minutos</t>
  </si>
  <si>
    <t>69.06.120</t>
  </si>
  <si>
    <t>Sistema ininterrupto de energia, trifásico on line senoidal de 10 kVA (220 V/110 V), com autonomia de 2 horas</t>
  </si>
  <si>
    <t>69.06.200</t>
  </si>
  <si>
    <t>Sistema ininterrupto de energia, trifásico on line de 20 kVA (220/127 V), com autonomia de 15 minutos</t>
  </si>
  <si>
    <t>69.06.210</t>
  </si>
  <si>
    <t>Sistema ininterrupto de energia, trifásico on line de 60 kVA (220/127 V), com autonomia de 15 minutos</t>
  </si>
  <si>
    <t>69.06.220</t>
  </si>
  <si>
    <t>Sistema ininterrupto de energia, trifásico on line de 80 kVA (220/127 V), com autonomia de 15 minutos</t>
  </si>
  <si>
    <t>69.06.240</t>
  </si>
  <si>
    <t>Sistema ininterrupto de energia, trifásico on line de 20 kVA (380/220 V), com autonomia de 15 minutos</t>
  </si>
  <si>
    <t>69.06.280</t>
  </si>
  <si>
    <t>Sistema ininterrupto de energia, trifásico on line senoidal de 5 kVA (220/110 V), com autonomia de 15 minutos</t>
  </si>
  <si>
    <t>69.06.290</t>
  </si>
  <si>
    <t>Sistema ininterrupto de energia, trifásico on line senoidal de 10 kVA (220/110 V), com autonomia de 10 a 15 minutos</t>
  </si>
  <si>
    <t>69.06.300</t>
  </si>
  <si>
    <t>Sistema ininterrupto de energia, trifásico on line senoidal de 50 kVA (220/110 V), com autonomia de 15 minutos</t>
  </si>
  <si>
    <t>69.06.320</t>
  </si>
  <si>
    <t>Sistema ininterrupto de energia, trifásico on line senoidal de 7,5 kVA (220/110 V), com autonomia de 15 minutos</t>
  </si>
  <si>
    <t>69.06.390</t>
  </si>
  <si>
    <t>Sistema ininterrupto de energia, trifásico on line senoidal de 40 kVA (380/220 V), com autonomia de 15 minutos</t>
  </si>
  <si>
    <t>69.08</t>
  </si>
  <si>
    <t>Equipamentos para informatica</t>
  </si>
  <si>
    <t>69.09</t>
  </si>
  <si>
    <t>Sistema de rede</t>
  </si>
  <si>
    <t>69.09.250</t>
  </si>
  <si>
    <t>Patch cords de 1,50 ou 3,00 m - RJ-45 / RJ-45 - categoria 6A</t>
  </si>
  <si>
    <t>69.09.260</t>
  </si>
  <si>
    <t>Patch panel de 24 portas - categoria 6</t>
  </si>
  <si>
    <t>69.09.300</t>
  </si>
  <si>
    <t>Voice panel de 50 portas - categoria 3</t>
  </si>
  <si>
    <t>69.09.360</t>
  </si>
  <si>
    <t>Patch cords de 2,00 ou 3,00 m - RJ-45 / RJ-45 - categoria 6A</t>
  </si>
  <si>
    <t>69.09.370</t>
  </si>
  <si>
    <t>Transceptor Gigabit SX - LC conectável de formato pequeno (SFP)</t>
  </si>
  <si>
    <t>69.10</t>
  </si>
  <si>
    <t>Telecomunicacoes</t>
  </si>
  <si>
    <t>69.10.130</t>
  </si>
  <si>
    <t xml:space="preserve">Amplificador de potência para VHF e CATV-50 dB, frequência 54 a 750 MHz  </t>
  </si>
  <si>
    <t>69.10.152</t>
  </si>
  <si>
    <t>Antena WI-FI dual band access point, bandas simultâneas - 1750Mbps</t>
  </si>
  <si>
    <t>69.20</t>
  </si>
  <si>
    <t>Reparos, conservacoes e complementos - GRUPO 69</t>
  </si>
  <si>
    <t>69.20.010</t>
  </si>
  <si>
    <t>Arame de espinar em aço inoxidável nu, para TV a cabo</t>
  </si>
  <si>
    <t>69.20.040</t>
  </si>
  <si>
    <t>69.20.050</t>
  </si>
  <si>
    <t>69.20.070</t>
  </si>
  <si>
    <t>Fita em aço inoxidável para poste de 0,50 m x 19 mm, com fecho em aço inoxidável</t>
  </si>
  <si>
    <t>69.20.100</t>
  </si>
  <si>
    <t>Tampa para caixa R1, padrão TELEBRÁS</t>
  </si>
  <si>
    <t>69.20.110</t>
  </si>
  <si>
    <t>Tampa para caixa R2, padrão TELEBRÁS</t>
  </si>
  <si>
    <t>69.20.130</t>
  </si>
  <si>
    <t>Bloco de ligação interna para 10 pares, BLI-10</t>
  </si>
  <si>
    <t>69.20.140</t>
  </si>
  <si>
    <t>Bloco de ligação com engate rápido para 10 pares, BER-10</t>
  </si>
  <si>
    <t>69.20.170</t>
  </si>
  <si>
    <t>Calha de aço com 4 tomadas 2P+T - 250 V, com cabo</t>
  </si>
  <si>
    <t>69.20.180</t>
  </si>
  <si>
    <t>Cordão óptico duplex, multimodo com conector LC/LC - 2,5 m</t>
  </si>
  <si>
    <t>69.20.200</t>
  </si>
  <si>
    <t>69.20.210</t>
  </si>
  <si>
    <t>Bandeja fixa para rack, 19´ x 800 mm</t>
  </si>
  <si>
    <t>69.20.220</t>
  </si>
  <si>
    <t>69.20.230</t>
  </si>
  <si>
    <t>Calha de aço com 8 tomadas 2P+T - 250 V, com cabo</t>
  </si>
  <si>
    <t>69.20.240</t>
  </si>
  <si>
    <t>Calha de aço com 12 tomadas 2P+T - 250 V, com cabo</t>
  </si>
  <si>
    <t>69.20.248</t>
  </si>
  <si>
    <t>Painel frontal cego - 19´ x 1 U</t>
  </si>
  <si>
    <t>69.20.250</t>
  </si>
  <si>
    <t>Painel frontal cego - 19´ x 2 U</t>
  </si>
  <si>
    <t>69.20.260</t>
  </si>
  <si>
    <t>Protetor de surto híbrido para rede de telecomunicações</t>
  </si>
  <si>
    <t>69.20.270</t>
  </si>
  <si>
    <t>Divisor interno com 1 entrada e 2 saídas - 75 Ohms</t>
  </si>
  <si>
    <t>69.20.280</t>
  </si>
  <si>
    <t>Divisor interno com 1 entrada e 4 saídas - 75 Ohms</t>
  </si>
  <si>
    <t>69.20.290</t>
  </si>
  <si>
    <t>Tomada blindada para VHF/UHF, CATV e FM, frequência 5 MHz a 1 GHz</t>
  </si>
  <si>
    <t>69.20.300</t>
  </si>
  <si>
    <t>Bloco de distribuição com protetor de surtos, para 10 pares, BTDG-10</t>
  </si>
  <si>
    <t>69.20.340</t>
  </si>
  <si>
    <t>Tomada para TV, tipo pino Jack, com placa</t>
  </si>
  <si>
    <t>69.20.350</t>
  </si>
  <si>
    <t>Caixa de emenda ventilada, em polipropileno, para até 200 pares</t>
  </si>
  <si>
    <t>70</t>
  </si>
  <si>
    <t>SINALIZACAO VIARIA</t>
  </si>
  <si>
    <t>70.01</t>
  </si>
  <si>
    <t>Dispositivo viario</t>
  </si>
  <si>
    <t>70.01.003</t>
  </si>
  <si>
    <t>Faixa elevada para travessia de pedestres em massa asfáltica - lombofaixa de vias com execução de recapeamento</t>
  </si>
  <si>
    <t>70.01.030</t>
  </si>
  <si>
    <t>Ondulação transversal em massa asfáltica - lombada tipo "A" de vias com execução de recapeamento</t>
  </si>
  <si>
    <t>70.01.031</t>
  </si>
  <si>
    <t>Ondulação transversal em massa asfáltica - lombada tipo "B" de vias com execução de recapeamento</t>
  </si>
  <si>
    <t>70.01.050</t>
  </si>
  <si>
    <t>Defensa semimaleavel simples</t>
  </si>
  <si>
    <t>70.02</t>
  </si>
  <si>
    <t>Sinalizacao horizontal</t>
  </si>
  <si>
    <t>70.02.001</t>
  </si>
  <si>
    <t>70.02.010</t>
  </si>
  <si>
    <t>Sinalização horizontal com tinta vinílica ou acrílica</t>
  </si>
  <si>
    <t>70.02.012</t>
  </si>
  <si>
    <t>Sinalização horizontal em laminado elastoplástico retrorefletivo e antiderrapante, para faixas</t>
  </si>
  <si>
    <t>70.02.013</t>
  </si>
  <si>
    <t>Sinalização horizontal em laminado elastoplástico retrorefletivo e antiderrapante, para símbolos e letras</t>
  </si>
  <si>
    <t>70.02.014</t>
  </si>
  <si>
    <t>Sinalização horizontal em massa termoplástica à quente por aspersão, espessura de 1,5 mm, para faixas</t>
  </si>
  <si>
    <t>70.02.016</t>
  </si>
  <si>
    <t>Sinalização horizontal em massa termoplástica à quente por extrusão, espessura de 3,0 mm, para faixas</t>
  </si>
  <si>
    <t>70.02.017</t>
  </si>
  <si>
    <t>Sinalização horizontal em massa termoplástica à quente por extrusão, espessura de 3,0 mm, para legendas</t>
  </si>
  <si>
    <t>70.02.020</t>
  </si>
  <si>
    <t>Sinalização horizontal em plástico a frio manual, para faixas</t>
  </si>
  <si>
    <t>70.02.021</t>
  </si>
  <si>
    <t>Sinalização horizontal em termoplástico de alto relevo</t>
  </si>
  <si>
    <t>70.02.022</t>
  </si>
  <si>
    <t>Sinalização horizontal em tinta a base de resina acrílica emulsionada em água</t>
  </si>
  <si>
    <t>70.03</t>
  </si>
  <si>
    <t>Sinalizacao vertical</t>
  </si>
  <si>
    <t>70.03.001</t>
  </si>
  <si>
    <t>Placa para sinalização viária em chapa de aço, totalmente refletiva com película IA/IA - área até 2,0 m²</t>
  </si>
  <si>
    <t>70.03.003</t>
  </si>
  <si>
    <t>Placa para sinalização viária em chapa de aço, totalmente refletiva com película III/III - área até 2,0 m²</t>
  </si>
  <si>
    <t>70.03.006</t>
  </si>
  <si>
    <t>Placa para sinalização viária em chapa de alumínio, totalmente refletiva com película IA/IA - área até 2,0 m²</t>
  </si>
  <si>
    <t>70.03.008</t>
  </si>
  <si>
    <t>Placa para sinalização viária em chapa de alumínio, totalmente refletiva com película III/III - área até 2,0 m²</t>
  </si>
  <si>
    <t>70.03.009</t>
  </si>
  <si>
    <t>Placa para sinalização viária em chapa de alumínio, totalmente refletiva com película III/III - área maior que 2,0 m²</t>
  </si>
  <si>
    <t>70.03.010</t>
  </si>
  <si>
    <t>Placa para sinalização viária em alumínio composto, totalmente refletiva com película IA/IA - área até 2,0 m²</t>
  </si>
  <si>
    <t>70.03.012</t>
  </si>
  <si>
    <t>Placa para sinalização viária em alumínio composto, totalmente refletiva com película III/III - área até 2,0 m²</t>
  </si>
  <si>
    <t>70.03.013</t>
  </si>
  <si>
    <t>Placa para sinalização viária em alumínio composto, totalmente refletiva com película III/III - área maior que 2,0 m²</t>
  </si>
  <si>
    <t>70.04</t>
  </si>
  <si>
    <t>Coluna cônica</t>
  </si>
  <si>
    <t>70.04.001</t>
  </si>
  <si>
    <t>Coluna simples (PP), diâmetro de 2 1/2´ e comprimento de 3,6 m</t>
  </si>
  <si>
    <t>70.04.002</t>
  </si>
  <si>
    <t>Coluna simples (P-51), para fixação de placa de orientação</t>
  </si>
  <si>
    <t>70.04.003</t>
  </si>
  <si>
    <t>Coluna dupla (P-53) para fixação de placa de orientação</t>
  </si>
  <si>
    <t>70.04.004</t>
  </si>
  <si>
    <t>Coluna (P-57) para fixação de placa de orientação, com braço projetado</t>
  </si>
  <si>
    <t>70.04.005</t>
  </si>
  <si>
    <t>Braço (P-55) para fixação em poste de concreto</t>
  </si>
  <si>
    <t>70.04.006</t>
  </si>
  <si>
    <t>Coluna dupla (PP), diâmetro de 2 x 2 1/2´ e comprimento de 3,6 m</t>
  </si>
  <si>
    <t>70.04.007</t>
  </si>
  <si>
    <t>70.05</t>
  </si>
  <si>
    <t>Sinalizacao semaforica e complementar</t>
  </si>
  <si>
    <t>70.05.001</t>
  </si>
  <si>
    <t>Botoeira convencional para pedestre</t>
  </si>
  <si>
    <t>70.05.002</t>
  </si>
  <si>
    <t>Botoeira sonora para deficientes visuais</t>
  </si>
  <si>
    <t>70.05.006</t>
  </si>
  <si>
    <t>Luminária LED 20W com braço, para travessia de pedestre</t>
  </si>
  <si>
    <t>70.05.011</t>
  </si>
  <si>
    <t>Grupo focal para pedestre com lâmpada LED e contador regressivo</t>
  </si>
  <si>
    <t>70.05.020</t>
  </si>
  <si>
    <t>Grupo focal veicular com lâmpada LED, com anteparo e suportes de fixação</t>
  </si>
  <si>
    <t>70.06</t>
  </si>
  <si>
    <t>Tachas e tachoes</t>
  </si>
  <si>
    <t>70.06.001</t>
  </si>
  <si>
    <t>Segregador (bate-roda) refletivo - resina</t>
  </si>
  <si>
    <t>70.06.011</t>
  </si>
  <si>
    <t>Tacha tipo I bidirecional refletiva</t>
  </si>
  <si>
    <t>70.06.012</t>
  </si>
  <si>
    <t>Tacha tipo I monodirecional refletiva</t>
  </si>
  <si>
    <t>70.06.013</t>
  </si>
  <si>
    <t>Tacha tipo II bidirecional refletiva</t>
  </si>
  <si>
    <t>70.06.014</t>
  </si>
  <si>
    <t>Tacha tipo II monodirecional refletiva</t>
  </si>
  <si>
    <t>70.06.020</t>
  </si>
  <si>
    <t>Tachão tipo I bidirecional refletivo</t>
  </si>
  <si>
    <t>70.06.021</t>
  </si>
  <si>
    <t>Tachão tipo I monodirecional refletivo</t>
  </si>
  <si>
    <t>70.06.031</t>
  </si>
  <si>
    <t>Tacha tipo I bidirecional refletiva - resina</t>
  </si>
  <si>
    <t>70.06.032</t>
  </si>
  <si>
    <t>Tacha tipo I monodirecional refletiva - resina</t>
  </si>
  <si>
    <t>70.06.033</t>
  </si>
  <si>
    <t>Tacha tipo II bidirecional refletiva - resina</t>
  </si>
  <si>
    <t>70.06.034</t>
  </si>
  <si>
    <t>Tacha tipo II monodirecional refletiva - resina</t>
  </si>
  <si>
    <t>70.06.040</t>
  </si>
  <si>
    <t>Tachão tipo I bidirecional refletivo - resina</t>
  </si>
  <si>
    <t>70.06.041</t>
  </si>
  <si>
    <t>Tachão tipo I monodirecional refletivo - resina</t>
  </si>
  <si>
    <t>70.20</t>
  </si>
  <si>
    <t>Dispositivo viário / transporte</t>
  </si>
  <si>
    <t>70.20.001</t>
  </si>
  <si>
    <t>Faixa elevada para travessia de pedestres em massa asfáltica - lombafaixa - conservação de vias sem execução de recapeamento</t>
  </si>
  <si>
    <t>70.20.010</t>
  </si>
  <si>
    <t>Ondulação transversal em massa asfáltica - lombada tipo "A" - conservação de vias urbanas sem execução de recapeamento</t>
  </si>
  <si>
    <t>70.20.011</t>
  </si>
  <si>
    <t>Ondulação transversal em massa asfáltica - lombada tipo "B" - conservação de vias urbanas sem execução de recapeamento</t>
  </si>
  <si>
    <t>70.20.020</t>
  </si>
  <si>
    <t>Transporte de equipamentos com caminhão carroceria em rodovia pavimentada</t>
  </si>
  <si>
    <t>70.20.021</t>
  </si>
  <si>
    <t>Equipe para serviços de conservação de pavimentação de vias</t>
  </si>
  <si>
    <t>EQDIA</t>
  </si>
  <si>
    <t>97</t>
  </si>
  <si>
    <t>SINALIZACAO E COMUNICACAO VISUAL</t>
  </si>
  <si>
    <t>97.02</t>
  </si>
  <si>
    <t>Placas, porticos e obeliscos arquitetônicos</t>
  </si>
  <si>
    <t>97.02.030</t>
  </si>
  <si>
    <t>Placa comemorativa em aço inoxidável escovado</t>
  </si>
  <si>
    <t>97.02.036</t>
  </si>
  <si>
    <t>Placa de identificação em PVC com texto em vinil</t>
  </si>
  <si>
    <t>97.02.190</t>
  </si>
  <si>
    <t>Placa de identificação em acrílico com texto em vinil</t>
  </si>
  <si>
    <t>97.02.193</t>
  </si>
  <si>
    <t>Placa de sinalização em PVC fotoluminescente (200x200mm), com indicação de equipamentos de alarme, detecção e extinção de incêndio</t>
  </si>
  <si>
    <t>97.02.194</t>
  </si>
  <si>
    <t>Placa de sinalização em PVC fotoluminescente (150x150mm), com indicação de equipamentos de combate à incêndio e alarme</t>
  </si>
  <si>
    <t>97.02.195</t>
  </si>
  <si>
    <t>Placa de sinalização em PVC fotoluminescente (240x120mm), com indicação de rota de evacuação e saída de emergência</t>
  </si>
  <si>
    <t>97.02.196</t>
  </si>
  <si>
    <t>Placa de sinalização em PVC fotoluminescente, com identificação de pavimentos</t>
  </si>
  <si>
    <t>97.02.197</t>
  </si>
  <si>
    <t>Placa de sinalização em PVC, com indicação de alerta</t>
  </si>
  <si>
    <t>97.02.198</t>
  </si>
  <si>
    <t>Placa de sinalização em PVC, com indicação de proibição normativa</t>
  </si>
  <si>
    <t>97.02.210</t>
  </si>
  <si>
    <t>Placa de sinalização em PVC para ambientes</t>
  </si>
  <si>
    <t>97.03</t>
  </si>
  <si>
    <t>Pintura de letras e pictogramas</t>
  </si>
  <si>
    <t>97.03.010</t>
  </si>
  <si>
    <t>Sinalização com pictograma em tinta acrílica</t>
  </si>
  <si>
    <t>97.05</t>
  </si>
  <si>
    <t>Placas, porticos e sinalizacao viaria</t>
  </si>
  <si>
    <t>97.05.070</t>
  </si>
  <si>
    <t>Manta de borracha para sinalização em estacionamento e proteção de coluna e parede, de 1000 x 750 mm e espessura 10 mm</t>
  </si>
  <si>
    <t>97.05.080</t>
  </si>
  <si>
    <t>Cantoneira de borracha para sinalização em estacionamento e proteção de coluna, de 750 x 100 x 100 mm e espessura 10 mm</t>
  </si>
  <si>
    <t>97.05.130</t>
  </si>
  <si>
    <t>97.05.140</t>
  </si>
  <si>
    <t>98</t>
  </si>
  <si>
    <t>ARQUITETURA DE INTERIORES</t>
  </si>
  <si>
    <t>98.02</t>
  </si>
  <si>
    <t>Mobiliario</t>
  </si>
  <si>
    <t>98.02.210</t>
  </si>
  <si>
    <t>Banco de madeira com encosto e pés em ferro fundido pintado</t>
  </si>
  <si>
    <t>TOTAL PLANILHA</t>
  </si>
  <si>
    <t>%</t>
  </si>
  <si>
    <t>01.01.001</t>
  </si>
  <si>
    <t>RETIRANDO A VEGETACAO, TRONCOS ATE 5CM DE DIAMETRO E RASPAGEM.</t>
  </si>
  <si>
    <t>01.01.010</t>
  </si>
  <si>
    <t>CORTE, RECORTE E REMOCAO DE ARVORES INCL RAIZES DIAM&gt;5&lt;15CM</t>
  </si>
  <si>
    <t>01.01.021</t>
  </si>
  <si>
    <t>01.01.022</t>
  </si>
  <si>
    <t>01.01.023</t>
  </si>
  <si>
    <t>01.01.024</t>
  </si>
  <si>
    <t>01.01.025</t>
  </si>
  <si>
    <t>01.01.030</t>
  </si>
  <si>
    <t>CORTE RASO , RECORTE E REMOÇÃO DE ÁRVORES 5CM&lt;DIAM&lt;15CM</t>
  </si>
  <si>
    <t>01.01.031</t>
  </si>
  <si>
    <t>CORTE RASO, RECORTE E REMOÇÃO DE ÁRVORES 15CM&lt;DIAM&lt;30CM</t>
  </si>
  <si>
    <t>01.01.032</t>
  </si>
  <si>
    <t>CORTE RASO, RECORTE E REMOÇÃO DE ÁRVORES 30CM&lt;DIAM&lt;45CM</t>
  </si>
  <si>
    <t>01.01.033</t>
  </si>
  <si>
    <t>01.01.034</t>
  </si>
  <si>
    <t>01.01.035</t>
  </si>
  <si>
    <t>CORTE RASO, RECORTE E REMOÇÃO DE ÁRVORES 100CM&lt;DIAM&lt;150CM</t>
  </si>
  <si>
    <t>01.01.036</t>
  </si>
  <si>
    <t>01.01.037</t>
  </si>
  <si>
    <t>01.01.040</t>
  </si>
  <si>
    <t>01.01.041</t>
  </si>
  <si>
    <t>01.01.043</t>
  </si>
  <si>
    <t>01.01.044</t>
  </si>
  <si>
    <t>01.01.099</t>
  </si>
  <si>
    <t>LIMPEZAS DO TERRENO</t>
  </si>
  <si>
    <t>01.02.001</t>
  </si>
  <si>
    <t>CORTE E ATERRO DENTRO DA OBRA COM TRANSPORTE INTERNO</t>
  </si>
  <si>
    <t>01.02.002</t>
  </si>
  <si>
    <t>CORTE COM RETIRADA POR CAMINHAO NOS PRIMEIROS 100 M</t>
  </si>
  <si>
    <t>01.02.003</t>
  </si>
  <si>
    <t>ATERRO COM TRANSPORTE POR CAMINHAO NOS PRIMEIROS 100 M</t>
  </si>
  <si>
    <t>01.02.004</t>
  </si>
  <si>
    <t>01.02.099</t>
  </si>
  <si>
    <t>MOVIMENTOS DE TERRA MANUAL</t>
  </si>
  <si>
    <t>01.03.001</t>
  </si>
  <si>
    <t>01.03.002</t>
  </si>
  <si>
    <t>01.03.004</t>
  </si>
  <si>
    <t>01.03.005</t>
  </si>
  <si>
    <t>01.03.099</t>
  </si>
  <si>
    <t>MOVIMENTOS DE TERRA MECANIZADOS</t>
  </si>
  <si>
    <t>01.04.006</t>
  </si>
  <si>
    <t>ESCORAMENTO PONTALETADO</t>
  </si>
  <si>
    <t>01.04.010</t>
  </si>
  <si>
    <t>ESCORAMENTO DE VALAS CONTINUO ATE 2,00M</t>
  </si>
  <si>
    <t>01.04.015</t>
  </si>
  <si>
    <t>ESCORAMENTO DE VALAS DESCONTINUO ATE 2,00M</t>
  </si>
  <si>
    <t>01.04.099</t>
  </si>
  <si>
    <t>ESCORAMENTOS DE TERRA</t>
  </si>
  <si>
    <t>01.05.001</t>
  </si>
  <si>
    <t>ESCAVACAO MANUAL - PROFUNDIDADE ATE 1.80 M</t>
  </si>
  <si>
    <t>01.05.002</t>
  </si>
  <si>
    <t>ESCAVACAO MANUAL - PROFUNDIDADE ALEM DE 1.80 M</t>
  </si>
  <si>
    <t>01.05.099</t>
  </si>
  <si>
    <t>ESCAVACOES MANUAIS EM TERRA</t>
  </si>
  <si>
    <t>01.06.001</t>
  </si>
  <si>
    <t>APILOAMENTO PARA SIMPLES REGULARIZACAO</t>
  </si>
  <si>
    <t>01.06.005</t>
  </si>
  <si>
    <t>REATERRO INTERNO APILOADO</t>
  </si>
  <si>
    <t>01.06.099</t>
  </si>
  <si>
    <t>APILOAMENTO E ATERRO DE CAVAS</t>
  </si>
  <si>
    <t>01.07.002</t>
  </si>
  <si>
    <t>LASTRO DE PEDRA BRITADA - 5CM</t>
  </si>
  <si>
    <t>01.07.010</t>
  </si>
  <si>
    <t>LASTRO DE CONCRETO - 5 CM</t>
  </si>
  <si>
    <t>01.07.099</t>
  </si>
  <si>
    <t>LASTROS</t>
  </si>
  <si>
    <t>01.08.014</t>
  </si>
  <si>
    <t>TUBO PVC OCRE JUNTA ELÁSTICA DN 100 INCLUSIVE CONEXÕES - ENTERRADO</t>
  </si>
  <si>
    <t>01.08.015</t>
  </si>
  <si>
    <t>TUBO PVC OCRE JUNTA ELÁSTICA DN 150 INCLUSIVE CONEXÕES - ENTERRADO</t>
  </si>
  <si>
    <t>01.08.032</t>
  </si>
  <si>
    <t>TUBO DRENO PLASTICO CORRUGADO PERFURADO DE 100MM EM BARRAS</t>
  </si>
  <si>
    <t>01.08.033</t>
  </si>
  <si>
    <t>TUBO DRENO PLASTICO CORRUGADO PERFURADO DE 150MM EM BARRAS</t>
  </si>
  <si>
    <t>01.08.034</t>
  </si>
  <si>
    <t>MANTA GEOTÊXTIL NÃO TECIDO AGULHADO 100% POLIESTER, RT 10</t>
  </si>
  <si>
    <t>01.08.035</t>
  </si>
  <si>
    <t>MANTA GEOTÊXTIL NÃO TECIDO AGULHADO 100% POLIESTER, RT 21</t>
  </si>
  <si>
    <t>01.08.036</t>
  </si>
  <si>
    <t>MANTA GEOTÊXTIL NÃO TECIDO AGULHADO 100% POLIESTER, RT 31</t>
  </si>
  <si>
    <t>01.08.040</t>
  </si>
  <si>
    <t>ENVOLVIMENTO DE DRENOS COM PEDRA BRITADA</t>
  </si>
  <si>
    <t>01.08.041</t>
  </si>
  <si>
    <t>ENVOLVIMENTO DE DRENOS COM AREIA GROSSA</t>
  </si>
  <si>
    <t>01.08.044</t>
  </si>
  <si>
    <t>FORNEC E INST DE DHP EM FUROS DE 100MM C/TUBO PVC 1 1/2" INCL TXS INST</t>
  </si>
  <si>
    <t>01.08.045</t>
  </si>
  <si>
    <t>FORNEC E INST DE DHP EM FUROS DE 100MM C/TUBO PVC 2" INCL TXS INST</t>
  </si>
  <si>
    <t>01.08.050</t>
  </si>
  <si>
    <t>CAIXA DE LIGACAO OU INSPECAO - ALVENARIA DE 1/2 TIJOLO REVESTIDA</t>
  </si>
  <si>
    <t>01.08.051</t>
  </si>
  <si>
    <t>CAIXA DE LIGACAO OU INSPECAO - ALVENARIA DE 1 TIJOLO REVESTIDA</t>
  </si>
  <si>
    <t>01.08.052</t>
  </si>
  <si>
    <t>CAIXA DE LIGACAO OU INSPECAO - TAMPA DE CONCRETO ARMADO</t>
  </si>
  <si>
    <t>01.08.053</t>
  </si>
  <si>
    <t>01.08.054</t>
  </si>
  <si>
    <t>01.08.055</t>
  </si>
  <si>
    <t>01.08.056</t>
  </si>
  <si>
    <t>01.08.057</t>
  </si>
  <si>
    <t>01.08.058</t>
  </si>
  <si>
    <t>01.08.059</t>
  </si>
  <si>
    <t>01.08.060</t>
  </si>
  <si>
    <t>TUBO DRENO PEAD CORRUG PERF DN 65MM EM ROLOS</t>
  </si>
  <si>
    <t>01.08.061</t>
  </si>
  <si>
    <t>01.08.062</t>
  </si>
  <si>
    <t>01.08.063</t>
  </si>
  <si>
    <t>01.08.064</t>
  </si>
  <si>
    <t>TUBO DRENO PEAD CORRUG PERF P/ PAISAGISMO DN 65MM EM ROLO</t>
  </si>
  <si>
    <t>01.08.065</t>
  </si>
  <si>
    <t>TUBO DRENO PEAD CORRUG PERF P/ PAISAGISMO DN 110MM EM ROLO</t>
  </si>
  <si>
    <t>01.08.099</t>
  </si>
  <si>
    <t>SERVICOS EM DRENAGEM DO TERRENO</t>
  </si>
  <si>
    <t>01.10.001</t>
  </si>
  <si>
    <t>GABARITO DE MADEIRA ESQUADRADO E NIVELADO PARA LOCAÇÃO DE OBRA</t>
  </si>
  <si>
    <t>01.50.099</t>
  </si>
  <si>
    <t>DEMOLICOES</t>
  </si>
  <si>
    <t>01.60.099</t>
  </si>
  <si>
    <t>RETIRADAS</t>
  </si>
  <si>
    <t>01.70.099</t>
  </si>
  <si>
    <t>RECOLOCACOES</t>
  </si>
  <si>
    <t>01.80.099</t>
  </si>
  <si>
    <t>SERVICOS PRELIMINARES - CONSERVACAO</t>
  </si>
  <si>
    <t>INFRAESTRUTURA</t>
  </si>
  <si>
    <t>02.01.001</t>
  </si>
  <si>
    <t>02.01.002</t>
  </si>
  <si>
    <t>02.01.005</t>
  </si>
  <si>
    <t>ESCORAMENTO DE TERRA CONTINUO</t>
  </si>
  <si>
    <t>02.01.006</t>
  </si>
  <si>
    <t>ESCORAMENTO DE TERRA DESCONTINUO</t>
  </si>
  <si>
    <t>02.01.010</t>
  </si>
  <si>
    <t>02.01.012</t>
  </si>
  <si>
    <t>02.01.015</t>
  </si>
  <si>
    <t>02.01.025</t>
  </si>
  <si>
    <t>02.01.027</t>
  </si>
  <si>
    <t>REATERRO COM ADICAO DE 2% DE CIMENTO</t>
  </si>
  <si>
    <t>02.01.099</t>
  </si>
  <si>
    <t>ESCAVACOES</t>
  </si>
  <si>
    <t>02.02.004</t>
  </si>
  <si>
    <t>02.02.005</t>
  </si>
  <si>
    <t>02.02.018</t>
  </si>
  <si>
    <t>TUBULÕES CONCRETO DOSADO FCK=20MPa PARA BASE E FUSTE</t>
  </si>
  <si>
    <t>02.02.019</t>
  </si>
  <si>
    <t>PREENCHIMENTO COROA CIRCULAR ENCAMISAMENTO FUSTE TUBULAO ARGAMASSA CIMENTO AREIA TRAÇO 1:8</t>
  </si>
  <si>
    <t>02.02.021</t>
  </si>
  <si>
    <t>ACO CA-50 (A OU B) FYK = 500 MPA</t>
  </si>
  <si>
    <t>02.02.022</t>
  </si>
  <si>
    <t>ACO CA 60 (A OU B) FYK= 600 M PA</t>
  </si>
  <si>
    <t>02.02.026</t>
  </si>
  <si>
    <t>BROCA DE CONCRETO DE DIAMETRO 25CM - INCL ARRANQUES</t>
  </si>
  <si>
    <t>02.02.027</t>
  </si>
  <si>
    <t>BROCA DE CONCRETO DE DIAMETRO 30CM - INCL ARRANQUES</t>
  </si>
  <si>
    <t>02.02.035</t>
  </si>
  <si>
    <t>ESTACAS TIPO STRAUSS DIAM 25CM</t>
  </si>
  <si>
    <t>02.02.036</t>
  </si>
  <si>
    <t>ESTACAS TIPO STRAUSS DIAM 32CM</t>
  </si>
  <si>
    <t>02.02.037</t>
  </si>
  <si>
    <t>ESTACAS TIPO STRAUSS DIAM 38CM</t>
  </si>
  <si>
    <t>02.02.038</t>
  </si>
  <si>
    <t>ESTACAS TIPO STRAUSS DIAM 45CM</t>
  </si>
  <si>
    <t>02.02.070</t>
  </si>
  <si>
    <t>ESTACA TIPO HELICE DN 25CM</t>
  </si>
  <si>
    <t>02.02.071</t>
  </si>
  <si>
    <t>ESTACA TIPO HELICE DN 30CM</t>
  </si>
  <si>
    <t>02.02.072</t>
  </si>
  <si>
    <t>ESTACA TIPO HELICE DN 35CM</t>
  </si>
  <si>
    <t>02.02.073</t>
  </si>
  <si>
    <t>ESTACA TIPO HELICE DN 40CM</t>
  </si>
  <si>
    <t>02.02.074</t>
  </si>
  <si>
    <t>ESTACA TIPO HELICE DN 50CM</t>
  </si>
  <si>
    <t>02.02.075</t>
  </si>
  <si>
    <t>ESTACA TIPO HELICE DN 60CM</t>
  </si>
  <si>
    <t>02.02.076</t>
  </si>
  <si>
    <t>ESTACA TIPO HELICE DN 70CM</t>
  </si>
  <si>
    <t>02.02.077</t>
  </si>
  <si>
    <t>ESTACA TIPO HELICE DN 80CM</t>
  </si>
  <si>
    <t>02.02.078</t>
  </si>
  <si>
    <t>ESTACA TIPO HELICE DN 90CM</t>
  </si>
  <si>
    <t>02.02.085</t>
  </si>
  <si>
    <t>TRANSPORTE E ATERRO INTERNO DE MATERIAL ESCAVADO DE FUNDAÇÃO-ESTACA-TUBULÃO</t>
  </si>
  <si>
    <t>02.02.089</t>
  </si>
  <si>
    <t>TAXA DE MOBILIZACÃO DE EQUIPAMENTO PARA ESTACA TIPO HELICE SEGMENTAD</t>
  </si>
  <si>
    <t>02.02.091</t>
  </si>
  <si>
    <t>TAXA DE MOBILIZAÇÃO DE EQUIPAMENTO - ESTACA ESCAVADA</t>
  </si>
  <si>
    <t>02.02.093</t>
  </si>
  <si>
    <t>TAXA DE MOBILIZAÇÃO DE EQUIPAMENTO - ESTACA RAIZ</t>
  </si>
  <si>
    <t>02.02.094</t>
  </si>
  <si>
    <t>TAXA DE MOBILIZACAO DE EQUIPAMENTO PARA ESTACA TIPO HELICE</t>
  </si>
  <si>
    <t>02.02.095</t>
  </si>
  <si>
    <t>EMENDA COM ANEIS SOLDADOS PARA ESTACA</t>
  </si>
  <si>
    <t>02.02.097</t>
  </si>
  <si>
    <t>TAXA DE MOBILIZACAO DE EQUIPAMENTO - ESTACAS PRE-MOLDADAS</t>
  </si>
  <si>
    <t>02.02.098</t>
  </si>
  <si>
    <t>02.02.099</t>
  </si>
  <si>
    <t>FUNDACOES PROFUNDAS</t>
  </si>
  <si>
    <t>02.02.100</t>
  </si>
  <si>
    <t>ESTACA ESCAVADA MECANICAMENTE DIAM 25CM</t>
  </si>
  <si>
    <t>02.02.101</t>
  </si>
  <si>
    <t>ESTACA ESCAVADA MECANICAMENTE DIAM 30CM</t>
  </si>
  <si>
    <t>02.02.102</t>
  </si>
  <si>
    <t>ESTACA ESCAVADA MECANICAMENTE DIAM 35CM</t>
  </si>
  <si>
    <t>02.02.103</t>
  </si>
  <si>
    <t>ESTACA ESCAVADA MECANICAMENTE DIAM 40CM</t>
  </si>
  <si>
    <t>02.02.104</t>
  </si>
  <si>
    <t>ESTACA ESCAVADA MECANICAMENTE DIAM 50CM</t>
  </si>
  <si>
    <t>02.02.105</t>
  </si>
  <si>
    <t>ESTACA ESCAVADA MECANICAMENTE DIAM 60CM</t>
  </si>
  <si>
    <t>02.02.106</t>
  </si>
  <si>
    <t>ESTACA ESCAVADA MECANICAMENTE DIAM 70CM</t>
  </si>
  <si>
    <t>02.02.107</t>
  </si>
  <si>
    <t>02.02.108</t>
  </si>
  <si>
    <t>02.02.109</t>
  </si>
  <si>
    <t>02.02.110</t>
  </si>
  <si>
    <t>02.02.111</t>
  </si>
  <si>
    <t>02.02.113</t>
  </si>
  <si>
    <t>ESTACA RAIZ DN 150MM PERFURAÇAO EM SOLO</t>
  </si>
  <si>
    <t>02.02.114</t>
  </si>
  <si>
    <t>ESTACA RAIZ DN 160MM PERFURAÇAO EM SOLO</t>
  </si>
  <si>
    <t>02.02.115</t>
  </si>
  <si>
    <t>ESTACA RAIZ DN 200MM PERFURAÇAO EM SOLO</t>
  </si>
  <si>
    <t>02.02.116</t>
  </si>
  <si>
    <t>ESTACA RAIZ DN 250MM PERFURAÇAO EM SOLO</t>
  </si>
  <si>
    <t>02.02.117</t>
  </si>
  <si>
    <t>ESTACA RAIZ DN 310MM PERFURAÇAO EM SOLO</t>
  </si>
  <si>
    <t>02.02.118</t>
  </si>
  <si>
    <t>ESTACA RAIZ DN 400MM PERFURAÇAO EM SOLO</t>
  </si>
  <si>
    <t>02.03.001</t>
  </si>
  <si>
    <t>FORMA DE MADEIRA MACICA</t>
  </si>
  <si>
    <t>02.03.099</t>
  </si>
  <si>
    <t>FORMAS</t>
  </si>
  <si>
    <t>02.04.002</t>
  </si>
  <si>
    <t>ACO CA 50 (A OU B) FYK= 500 M PA</t>
  </si>
  <si>
    <t>02.04.003</t>
  </si>
  <si>
    <t>02.04.005</t>
  </si>
  <si>
    <t>TELA ARMADURA (MALHA ACO CA 60 FYK= 600 M PA)</t>
  </si>
  <si>
    <t>02.04.099</t>
  </si>
  <si>
    <t>ARMADURAS</t>
  </si>
  <si>
    <t>02.05.014</t>
  </si>
  <si>
    <t>CONCRETO DOSADO E LANÇADO FCK=20MPA</t>
  </si>
  <si>
    <t>02.05.018</t>
  </si>
  <si>
    <t>CONCRETO DOSADO E LANCADO FCK=25MPA</t>
  </si>
  <si>
    <t>02.05.019</t>
  </si>
  <si>
    <t>CONCRETO DOSADO E LANCADO FCK=30MPA</t>
  </si>
  <si>
    <t>02.05.024</t>
  </si>
  <si>
    <t>CONCRETO DOSADO,BOMBEADO E LANÇADO FCK=20MPA</t>
  </si>
  <si>
    <t>02.05.028</t>
  </si>
  <si>
    <t>CONCRETO DOSADO,BOMBEADO E LANCADO FCK=25MPA</t>
  </si>
  <si>
    <t>02.05.029</t>
  </si>
  <si>
    <t>CONCRETO DOSADO, BOMBEADO E LANCADO FCK=30MPA</t>
  </si>
  <si>
    <t>02.05.050</t>
  </si>
  <si>
    <t>CONCRETO GROUT, PREPARADO NO LOCAL, LANÇADO E ADENSADO</t>
  </si>
  <si>
    <t>02.05.098</t>
  </si>
  <si>
    <t>FORNECIMENTO E MONTAGEM DE ESTRUTURA PRE-MOLDADA DE CONCRETO</t>
  </si>
  <si>
    <t>02.05.099</t>
  </si>
  <si>
    <t>CONCRETOS</t>
  </si>
  <si>
    <t>02.06.002</t>
  </si>
  <si>
    <t>ALVENARIA EMBASAMENTO TIJOLO BARRO MACIÇO E = 1/2 TIJOLO</t>
  </si>
  <si>
    <t>02.06.003</t>
  </si>
  <si>
    <t>ALVENARIA EMBASAMENTO TIJOLO BARRO MACIÇO E = 1 TIJOLO</t>
  </si>
  <si>
    <t>02.06.020</t>
  </si>
  <si>
    <t>ALVENARIA EMBASAMENTO BLOCO CONCRETO ESTRUTURAL 14X19X39CM CLASSE A</t>
  </si>
  <si>
    <t>02.06.021</t>
  </si>
  <si>
    <t>ALVENARIA EMBASAMENTO BLOCO CONCRETO ESTRUTURAL 19X19X39CM CLASSE A</t>
  </si>
  <si>
    <t>02.06.099</t>
  </si>
  <si>
    <t>EMBASAMENTOS</t>
  </si>
  <si>
    <t>02.07.001</t>
  </si>
  <si>
    <t>IMPERM RESP ALV EMBAS COM ARGAM CIM-AREIA 1:3 CONTENDO HIDROFUGO</t>
  </si>
  <si>
    <t>02.07.002</t>
  </si>
  <si>
    <t>IMPERM RESP ALV EMBAS C/ CIM-AREIA 1-3 HIDROFUGO/TINTA BETUMINOSA</t>
  </si>
  <si>
    <t>02.07.003</t>
  </si>
  <si>
    <t>IMPERMEABILIZACAO POR CRISTALIZACAO - SUB SOLOS</t>
  </si>
  <si>
    <t>02.07.099</t>
  </si>
  <si>
    <t>IMPERMEABILIZACOES</t>
  </si>
  <si>
    <t>02.50.001</t>
  </si>
  <si>
    <t>DEMOLIÇÃO DE CONCRETO SIMPLES (MANUAL)</t>
  </si>
  <si>
    <t>02.50.002</t>
  </si>
  <si>
    <t>DEMOLIÇÃO DE LASTRO DE CONCRETO SIMPLES (MANUAL)</t>
  </si>
  <si>
    <t>02.50.003</t>
  </si>
  <si>
    <t>DEMOLIÇÃO DE ALVENARIA DE FUNDACÃO (MANUAL)</t>
  </si>
  <si>
    <t>02.50.099</t>
  </si>
  <si>
    <t>02.60.099</t>
  </si>
  <si>
    <t>02.70.099</t>
  </si>
  <si>
    <t>02.80.099</t>
  </si>
  <si>
    <t>SERVICOS INFRA ESTRUTURA - CONSERVACAO</t>
  </si>
  <si>
    <t>03.01.001</t>
  </si>
  <si>
    <t>FORMAS DE MADEIRA MACICA</t>
  </si>
  <si>
    <t>03.01.002</t>
  </si>
  <si>
    <t>FORMAS PLANAS PLASTIFICADA PARA CONCRETO APARENTE</t>
  </si>
  <si>
    <t>03.01.003</t>
  </si>
  <si>
    <t>FORMAS CURVAS PLASTIFICADA PARA CONCRETO APARENTE</t>
  </si>
  <si>
    <t>03.01.005</t>
  </si>
  <si>
    <t>CIMBRAMENTO DE MADEIRA</t>
  </si>
  <si>
    <t>03.01.021</t>
  </si>
  <si>
    <t>FORMA TUBO DE PAPELAO DIAMETRO DE 20CM COM GRAVATA E ESCORA DUAS DIREÇOES</t>
  </si>
  <si>
    <t>03.01.022</t>
  </si>
  <si>
    <t>FORMA TUBO DE PAPELAO DIAMETRO DE 25CM COM GRAVATA E ESCORA DUAS DIREÇOES</t>
  </si>
  <si>
    <t>03.01.023</t>
  </si>
  <si>
    <t>FORMA TUBO DE PAPELAO DIAMETRO DE 30CM COM GRAVATA E ESCORA DUAS DIREÇOES</t>
  </si>
  <si>
    <t>03.01.024</t>
  </si>
  <si>
    <t>FORMA TUBO DE PAPELAO DIAMETRO DE 35CM COM GRAVATA E ESCORA DUAS DIREÇOES</t>
  </si>
  <si>
    <t>03.01.026</t>
  </si>
  <si>
    <t>FORMA TUBO DE PAPELAO DIAMETRO DE 40CM COM GRAVATA E ESCORA DUAS DIREÇOES</t>
  </si>
  <si>
    <t>03.01.027</t>
  </si>
  <si>
    <t>FORMA TUBO DE PAPELAO DIAMETRO DE 45CM COM GRAVATA E ESCORA DUAS DIREÇOES</t>
  </si>
  <si>
    <t>03.01.028</t>
  </si>
  <si>
    <t>FORMA TUBO DE PAPELAO DIAMETRO DE 50CM COM GRAVATA E ESCORA DUAS DIREÇOES</t>
  </si>
  <si>
    <t>03.01.029</t>
  </si>
  <si>
    <t>FORMA TUBO DE PAPELAO DIAMETRO DE 55CM COM GRAVATA E ESCORA DUAS DIREÇOES</t>
  </si>
  <si>
    <t>03.01.031</t>
  </si>
  <si>
    <t>FORMA TUBO DE PAPELAO DIAMETRO DE 60CM COM GRAVATA E ESCORA DUAS DIREÇOES</t>
  </si>
  <si>
    <t>03.01.032</t>
  </si>
  <si>
    <t>FORMA TUBO DE PAPELAO DIAMETRO DE 70CM COM GRAVATA E ESCORA DUAS DIREÇOES</t>
  </si>
  <si>
    <t>03.01.099</t>
  </si>
  <si>
    <t>03.02.002</t>
  </si>
  <si>
    <t>03.02.003</t>
  </si>
  <si>
    <t>03.02.005</t>
  </si>
  <si>
    <t>03.02.010</t>
  </si>
  <si>
    <t>INSERTS EM CANTONEIRAS OU CHAPA AÇO A-36 P/SOLIDARIZAÇÃO DE VIGAS E PILARES</t>
  </si>
  <si>
    <t>CONJUNTO DE LUVAS E PINO ROSCAVEL DN 12,5MM P/SOLIDARIZAÇÃO DE VIGA FORNEC. E INST.</t>
  </si>
  <si>
    <t>03.02.021</t>
  </si>
  <si>
    <t>CONJUNTO DE LUVAS E PINO ROSCAVEL DN 16MM P/SOLIDARIZAÇÃO DE VIGA FORNEC. E INST.</t>
  </si>
  <si>
    <t>03.02.022</t>
  </si>
  <si>
    <t>CONJUNTO DE LUVAS E PINO ROSCAVEL DN 20MM P/SOLIDARIZAÇÃO DE VIGA FORNEC. E INST.</t>
  </si>
  <si>
    <t>03.02.023</t>
  </si>
  <si>
    <t>CONJUNTO DE LUVAS E PINO ROSCAVEL DN 25MM P/SOLIDARIZAÇÃO DE VIGA FORNEC. E INST.</t>
  </si>
  <si>
    <t>03.02.024</t>
  </si>
  <si>
    <t>CONJUNTO DE LUVAS E PINO ROSCAVEL DN 32MM P/SOLIDARIZAÇÃO DE VIGA FORNEC. E INST.</t>
  </si>
  <si>
    <t>03.02.099</t>
  </si>
  <si>
    <t>03.03.003</t>
  </si>
  <si>
    <t>LAJE PRE-FABRICADA UNID C/VIGOTAS PROTENDIDAS LP12-100KGF/M2</t>
  </si>
  <si>
    <t>03.03.005</t>
  </si>
  <si>
    <t>LAJE PRE-FABRICADA UNIDIRECIONAL C/VIGOTAS PROTENDIDAS LP12-300KGF/M2</t>
  </si>
  <si>
    <t>03.03.006</t>
  </si>
  <si>
    <t>LAJE PRE-FABRICADA UNIDIRECIONAL C/VIGOTAS PROTENDIDAS LP16-100KGF/M2</t>
  </si>
  <si>
    <t>03.03.007</t>
  </si>
  <si>
    <t>LAJE PRE-FABRICADA UNIDIRECIONAL C/VIGOTAS PROTENDIDAS LP16-300KGF/M2</t>
  </si>
  <si>
    <t>03.03.008</t>
  </si>
  <si>
    <t>LAJE PRE-FABRICADA UNIDIRECIONAL C/VIGOTAS PROTENDIDAS LP20-100KGF/M2</t>
  </si>
  <si>
    <t>03.03.009</t>
  </si>
  <si>
    <t>LAJE PRE-FABRICADA UNIDIRECIONAL C/VIGOTAS PROTENDIDAS LP20-300KGF/M2</t>
  </si>
  <si>
    <t>03.03.010</t>
  </si>
  <si>
    <t>LAJE PRE-FABRICADA UNIDIRECIONAL C/VIGOTAS PROTENDIDAS LP20-500KGF/M2</t>
  </si>
  <si>
    <t>03.03.012</t>
  </si>
  <si>
    <t>LAJE PRE-FABRICADA UNIDIRECIONAL C/VIGOTAS PROTENDIDAS LP24-100KGF/M2</t>
  </si>
  <si>
    <t>03.03.014</t>
  </si>
  <si>
    <t>CONCRETO DOSADO E LANCADO FCK= 20 M PA</t>
  </si>
  <si>
    <t>03.03.015</t>
  </si>
  <si>
    <t>LAJE PRE-FABRICADA UNIDIRECIONAL C/VIGOTAS PROTENDIDAS LP24-300KGF/M2</t>
  </si>
  <si>
    <t>03.03.016</t>
  </si>
  <si>
    <t>CONCRETO DOSADO E LANCADO FCK=25 MPA</t>
  </si>
  <si>
    <t>03.03.017</t>
  </si>
  <si>
    <t>LAJE PRE-FABRICADA UNIDIRECIONAL C/VIGOTAS PROTENDIDAS LP24-500KGF/M2</t>
  </si>
  <si>
    <t>03.03.018</t>
  </si>
  <si>
    <t>LAJE PRE-FABRICADA VIGOTA TRELICADA UNIDIRECIONAL LT12-100KGF/M2</t>
  </si>
  <si>
    <t>03.03.019</t>
  </si>
  <si>
    <t>LAJE PRE-FABRICADA VIGOTA TRELICADA UNIDIRECIONAL LT16-100KGF/M2</t>
  </si>
  <si>
    <t>03.03.022</t>
  </si>
  <si>
    <t>LAJE PRE-FABRICADA VIGOTA TRELICADA UNIDIRECIONAL LT16-300KGF/M2</t>
  </si>
  <si>
    <t>03.03.024</t>
  </si>
  <si>
    <t>CONCRETO DOSADO,BOMBEADO E LANCADO FCK= 20 M PA</t>
  </si>
  <si>
    <t>03.03.026</t>
  </si>
  <si>
    <t>CONCRETO DOSADO,BOMBEADO E LANCADO FCK 25 MPA</t>
  </si>
  <si>
    <t>03.03.027</t>
  </si>
  <si>
    <t>LAJE PRE-FABRICADA VIGOTA TRELICADA UNIDIRECIONAL LT20-100KGF/M2</t>
  </si>
  <si>
    <t>03.03.028</t>
  </si>
  <si>
    <t>LAJE PRE-FABRICADA VIGOTA TRELICADA UNIDIRECIONAL LT20-300KGF/M2</t>
  </si>
  <si>
    <t>03.03.029</t>
  </si>
  <si>
    <t>LAJE PRE-FABRICADA VIGOTA TRELICADA UNIDIRECIONAL LT20-500KGF/M2</t>
  </si>
  <si>
    <t>03.03.030</t>
  </si>
  <si>
    <t>03.03.031</t>
  </si>
  <si>
    <t>LAJE PRE-FABRICADA VIGOTA TRELICADA UNIDIRECIONAL LT25-300KGF/M2</t>
  </si>
  <si>
    <t>03.03.032</t>
  </si>
  <si>
    <t>LAJE PRE-FABRICADA VIGOTA TRELICADA UNIDIRECIONAL LT25-500KGF/M2</t>
  </si>
  <si>
    <t>03.03.034</t>
  </si>
  <si>
    <t>LAJE PRE-FABRICADA PAINEL ALVEOLAR CONCRETO PROTENDIDO H15-100KGF/M2</t>
  </si>
  <si>
    <t>03.03.036</t>
  </si>
  <si>
    <t>LAJE PRE-FABRICADA PAINEL ALVEOLAR CONCRETO PROTENDIDO H15-300KGF/M2</t>
  </si>
  <si>
    <t>03.03.037</t>
  </si>
  <si>
    <t>LAJE PRE-FABRICADA PAINEL ALVEOLAR CONCRETO PROTENDIDO H15-500KGF/M2</t>
  </si>
  <si>
    <t>03.03.038</t>
  </si>
  <si>
    <t>LAJE PRE-FABRICADA PAINEL ALVEOLAR CONCRETO PROTENDIDO H20-300KGF/M2</t>
  </si>
  <si>
    <t>03.03.039</t>
  </si>
  <si>
    <t>LAJE PRE-FABRICADA PAINEL ALVEOLAR CONCRETO PROTENDIDO H20-500KGF/M2</t>
  </si>
  <si>
    <t>03.03.048</t>
  </si>
  <si>
    <t>LAJE PRE-FABRICADA PRE-LAJE TRELICADA BIDIR C/ EPS PLT12-100KGF/M2</t>
  </si>
  <si>
    <t>03.03.049</t>
  </si>
  <si>
    <t>LAJE PRE-FABRICADA PRE-LAJE TRELICADA BIDIR C/ EPS PLT16-100KGF/M2</t>
  </si>
  <si>
    <t>03.03.050</t>
  </si>
  <si>
    <t>LAJE PRE-FABRICADA PRE-LAJE TRELICADA BIDIR C/ EPS PLT-16 300KGF/M2</t>
  </si>
  <si>
    <t>03.03.054</t>
  </si>
  <si>
    <t>LAJE PRE-FABRICADA PRE-LAJE TRELICADA BIDIR C/ EPS PLT20-100KGF/M2</t>
  </si>
  <si>
    <t>03.03.055</t>
  </si>
  <si>
    <t>TIJOLO FURADO CERAMICO P/ENCHIMENTO DE REBAIXO DE LAJE</t>
  </si>
  <si>
    <t>03.03.056</t>
  </si>
  <si>
    <t>CONCRETO PREPARADO NO LOCAL C/AGREGADO LEVE P/ENCHIMENTO</t>
  </si>
  <si>
    <t>03.03.058</t>
  </si>
  <si>
    <t>LAJE PRE-FABRICADA PRE-LAJE TRELICADA BIDIR C/ EPS PLT20-300KGF/M2</t>
  </si>
  <si>
    <t>03.03.059</t>
  </si>
  <si>
    <t>LAJE PRE-FABRICADA PRE-LAJE TRELICADA BIDIR C/ EPS PLT20-500KGF/M2</t>
  </si>
  <si>
    <t>03.03.063</t>
  </si>
  <si>
    <t>LAJE PRE-FABRICADA PRE-LAJE TRELICADA BIDIR C/ EPS PLT25-300KGF/M2</t>
  </si>
  <si>
    <t>03.03.067</t>
  </si>
  <si>
    <t>LAJE PRE-FABRICADA PRE-LAJE TRELICADA BIDIR C/ EPS PLT25-500KGF/M2</t>
  </si>
  <si>
    <t>03.03.080</t>
  </si>
  <si>
    <t>REFORÇO PARA LAJE PRÉ-FABRICADA</t>
  </si>
  <si>
    <t>03.03.082</t>
  </si>
  <si>
    <t>LAJE PRE-FABRICADA PRE-LAJE TRELICADA UNIDIR C/ EPS PLT12-100KGF/M2</t>
  </si>
  <si>
    <t>03.03.083</t>
  </si>
  <si>
    <t>LAJE PRE-FABRICADA PRE-LAJE TRELICADA UNIDIR C/ EPS PLT16-100KGF/M2</t>
  </si>
  <si>
    <t>03.03.084</t>
  </si>
  <si>
    <t>LAJE PRE-FABRICADA PRE-LAJE TRELICADA UNIDIR C/ EPS PLT16-300KGF/M2</t>
  </si>
  <si>
    <t>03.03.085</t>
  </si>
  <si>
    <t>LAJE PRE-FABRICADA PRE-LAJE TRELICADA UNIDIR C/ EPS PLT20-100KGF/M2</t>
  </si>
  <si>
    <t>03.03.086</t>
  </si>
  <si>
    <t>LAJE PRE-FABRICADA PRE-LAJE TRELICADA UNIDIR C/ EPS PLT20-300KGF/M2</t>
  </si>
  <si>
    <t>03.03.087</t>
  </si>
  <si>
    <t>LAJE PRE-FABRICADA PRE-LAJE TRELICADA UNIDIR C/ EPS PLT20-500KGF/M2</t>
  </si>
  <si>
    <t>03.03.088</t>
  </si>
  <si>
    <t>LAJE PRE-FABRICADA PRE-LAJE TRELICADA UNIDIR C/ EPS PLT25-300KGF/M2</t>
  </si>
  <si>
    <t>03.03.089</t>
  </si>
  <si>
    <t>LAJE PRE-FABRICADA PRE-LAJE TRELICADA UNIDIR C/ EPS PLT25-500KGF/M2</t>
  </si>
  <si>
    <t>03.03.095</t>
  </si>
  <si>
    <t>FORNEC. E MONTAGEM DE VIGA PROTENDIDA PRÉ-MOLDADA DE CONCRETO</t>
  </si>
  <si>
    <t>03.03.098</t>
  </si>
  <si>
    <t>03.03.099</t>
  </si>
  <si>
    <t>03.03.101</t>
  </si>
  <si>
    <t>LAJE PRE-FABRICADA VIGOTA TRELICADA UNIDIRECIONAL LT12-300KGF/M2</t>
  </si>
  <si>
    <t>03.03.110</t>
  </si>
  <si>
    <t>ESCORAMENTO METÁLICO PARA VIGAS ALTURA ATÉ 3,20M ESPAÇAMENTO MENOR OU IGUAL 60CM</t>
  </si>
  <si>
    <t>03.03.111</t>
  </si>
  <si>
    <t>ESCORAMENTO METÁLICO PARA LAJES ALTURA ATÉ 3,20M MALHA MENOR OU IGUAL 1,50X1,50</t>
  </si>
  <si>
    <t>03.04.010</t>
  </si>
  <si>
    <t>FORNECIMENTO E MONTAGEM DE ESTRUTURA METALICA COM AÇO NAO PATINAVE (ASTM A36/A570)</t>
  </si>
  <si>
    <t>03.04.016</t>
  </si>
  <si>
    <t>FORNECIMENTO E MONTAGEM DE ESTRUTURA METALICA COM AÇO RESISTENTE A CORROSAO (ASTM A709/A588)</t>
  </si>
  <si>
    <t>ESTRUTURA METÁLICA</t>
  </si>
  <si>
    <t>03.04.099</t>
  </si>
  <si>
    <t>ESTRUTURAS METALICAS</t>
  </si>
  <si>
    <t>03.05.010</t>
  </si>
  <si>
    <t>PILAR DE MADEIRA (PASSAGEM COBERTA)</t>
  </si>
  <si>
    <t>03.05.011</t>
  </si>
  <si>
    <t>VIGA DE MADEIRA 6X12 CM (PASSAGEM COBERTA)</t>
  </si>
  <si>
    <t>03.05.012</t>
  </si>
  <si>
    <t>VIGA DE MADEIRA 6X16 CM (PASSAGEM COBERTA)</t>
  </si>
  <si>
    <t>03.05.099</t>
  </si>
  <si>
    <t>ESTRUTURAS DE MADEIRA</t>
  </si>
  <si>
    <t>03.50.001</t>
  </si>
  <si>
    <t>DEMOLIÇÃO DE CONCRETO INCLUINDO REVESTIMENTOS (MANUAL)</t>
  </si>
  <si>
    <t>03.50.005</t>
  </si>
  <si>
    <t>DEMOLIÇÃO DE LAJES MISTAS OU PRÉ-MOLDADAS INCLUINDO REVESTIMENTOS (MANUAL)</t>
  </si>
  <si>
    <t>03.50.099</t>
  </si>
  <si>
    <t>03.60.099</t>
  </si>
  <si>
    <t>03.70.099</t>
  </si>
  <si>
    <t>03.80.099</t>
  </si>
  <si>
    <t>SERVICOS SUPER ESTRUTURA - CONSERVACAO</t>
  </si>
  <si>
    <t>04.01.001</t>
  </si>
  <si>
    <t>ALVENARIA DE TIJOLO DE BARRO MACICO E=1/4 TIJOLO</t>
  </si>
  <si>
    <t>04.01.002</t>
  </si>
  <si>
    <t>ALVENARIA DE TIJOLO DE BARRO MACICO E=1/2 TIJOLO</t>
  </si>
  <si>
    <t>04.01.003</t>
  </si>
  <si>
    <t>ALVENARIA DE TIJOLO DE BARRO MACICO E=1 TIJOLO</t>
  </si>
  <si>
    <t>04.01.012</t>
  </si>
  <si>
    <t>ALVENARIA DE TIJOLO DE BARRO A VISTA E=1/4 TIJOLO</t>
  </si>
  <si>
    <t>04.01.013</t>
  </si>
  <si>
    <t>REVESTIMENTO COM TIJOLO DE BARRO A VISTA E=1/2 TIJOLO/DISP ALTERNADA</t>
  </si>
  <si>
    <t>04.01.014</t>
  </si>
  <si>
    <t>ALVENARIA DE TIJOLO DE BARRO A VISTA E=1/2 TIJOLO</t>
  </si>
  <si>
    <t>04.01.015</t>
  </si>
  <si>
    <t>ALVENARIA DE TIJOLO DE BARRO A VISTA E=1 TIJOLO</t>
  </si>
  <si>
    <t>04.01.017</t>
  </si>
  <si>
    <t>ALVENARIA DE TIJOLO LAMINADO A VISTA E=1/2 TIJOLO/DISP ALTERNADO</t>
  </si>
  <si>
    <t>04.01.018</t>
  </si>
  <si>
    <t>ALVENARIA DE TIJOLO LAMINADO A VISTA E=1/4 TIJOLO</t>
  </si>
  <si>
    <t>04.01.019</t>
  </si>
  <si>
    <t>ALVENARIA DE TIJOLO LAMINADO A VISTA E=1/2 TIJOLO</t>
  </si>
  <si>
    <t>ALVENARIA DE TIJOLO LAMINADO A VISTA E=1 TIJOLO</t>
  </si>
  <si>
    <t>04.01.030</t>
  </si>
  <si>
    <t>ALVENARIA DE BLOCOS DE CONCRETO E=9CM CLASSE C</t>
  </si>
  <si>
    <t>04.01.033</t>
  </si>
  <si>
    <t>ALVENARIA DE BLOCO DE CONCRETO 14X19X39 CM CLASSE C</t>
  </si>
  <si>
    <t>04.01.034</t>
  </si>
  <si>
    <t>ALVENARIA DE BLOCO DE CONCRETO 19X19X39 CM CLASSE C</t>
  </si>
  <si>
    <t>04.01.042</t>
  </si>
  <si>
    <t>ALVENARIA DE BLOCO CERAMICO PORTANTE E=14CM</t>
  </si>
  <si>
    <t>04.01.043</t>
  </si>
  <si>
    <t>ALVENARIA DE BLOCO CERAMICO PORTANTE E=19CM</t>
  </si>
  <si>
    <t>04.01.045</t>
  </si>
  <si>
    <t>04.01.046</t>
  </si>
  <si>
    <t>ARMADURA CA 50 PARA PAREDE AUTO-PORTANTE</t>
  </si>
  <si>
    <t>04.01.047</t>
  </si>
  <si>
    <t>ARMADURA CA 60 PARA PAREDE AUTO-PORTANTE</t>
  </si>
  <si>
    <t>04.01.049</t>
  </si>
  <si>
    <t>ALVENARIA AUTO-PORTANTE: BLOCO CONCRETO ESTRUTURAL DE 19X19X19CM CLASSE B</t>
  </si>
  <si>
    <t>04.01.050</t>
  </si>
  <si>
    <t>04.01.051</t>
  </si>
  <si>
    <t>04.01.058</t>
  </si>
  <si>
    <t>VERGA/CINTA EM BLOCO DE CONCRETO CANALETA - 14 CM</t>
  </si>
  <si>
    <t>04.01.059</t>
  </si>
  <si>
    <t>VERGA/CINTA EM BLOCO DE CONCRETO CANALETA - 19 CM</t>
  </si>
  <si>
    <t>04.01.063</t>
  </si>
  <si>
    <t>ALVENARIA DE CONCRETO CELULAR - BLOCOS E=7,5CM</t>
  </si>
  <si>
    <t>04.01.064</t>
  </si>
  <si>
    <t>ALVENARIA DE CONCRETO CELULAR - BLOCOS E=10CM</t>
  </si>
  <si>
    <t>04.01.065</t>
  </si>
  <si>
    <t>ALVENARIA DE CONCRETO CELULAR BLOCOS E=15CM</t>
  </si>
  <si>
    <t>04.01.066</t>
  </si>
  <si>
    <t>04.01.070</t>
  </si>
  <si>
    <t>ALVENARIA DE TIJOLO CERAMICO FURADO (BAIANO) ESP.NOM. 10 CM</t>
  </si>
  <si>
    <t>04.01.071</t>
  </si>
  <si>
    <t>ALVENARIA DE TIJOLO CERAMICO FURADO (BAIANO) ESP.NOM. 12.5 CM</t>
  </si>
  <si>
    <t>04.01.072</t>
  </si>
  <si>
    <t>ALVENARIA DE TIJOLO CERAMICO FURADO (BAIANO) ESP.NOM 15 CM</t>
  </si>
  <si>
    <t>04.01.073</t>
  </si>
  <si>
    <t>ALVENARIA DE TIJOLO CERAMICO FURADO (BAIANO) ESP.NOM. 20 CM</t>
  </si>
  <si>
    <t>04.01.099</t>
  </si>
  <si>
    <t>ALVENARIAS</t>
  </si>
  <si>
    <t>04.02.014</t>
  </si>
  <si>
    <t>04.02.015</t>
  </si>
  <si>
    <t>04.02.018</t>
  </si>
  <si>
    <t>ELEMENTO VAZADO DE BLOCO DE CONCRETO 19X19X39CM CLASSE C</t>
  </si>
  <si>
    <t>ELEMENTO VAZADO DE BLOCOS CERAMICOS DE VEDACAO</t>
  </si>
  <si>
    <t>04.02.062</t>
  </si>
  <si>
    <t>04.02.099</t>
  </si>
  <si>
    <t>ELEMENTOS VAZADOS</t>
  </si>
  <si>
    <t>04.03.001</t>
  </si>
  <si>
    <t>DV-01 DIVISORIA DE GRANILITE - LATERAL ABERTA</t>
  </si>
  <si>
    <t>04.03.002</t>
  </si>
  <si>
    <t>DV-02 DIVISORIA DE GRANILITE - LATERAL FECHADA</t>
  </si>
  <si>
    <t>04.03.003</t>
  </si>
  <si>
    <t>DV-03 DIVISORIA DE GRANILITE - FRONTAL</t>
  </si>
  <si>
    <t>04.03.005</t>
  </si>
  <si>
    <t>DV-06 DIVISORIA DE GRANILITE SANITARIO INFANTIL H=1,20M</t>
  </si>
  <si>
    <t>04.03.008</t>
  </si>
  <si>
    <t>DV-04 DIVISÓRIA DE GRANILITE - ANTEPARO</t>
  </si>
  <si>
    <t>04.03.009</t>
  </si>
  <si>
    <t>DV-07 DIVISÓRIA DE GRANILITE</t>
  </si>
  <si>
    <t>04.03.010</t>
  </si>
  <si>
    <t>PLACAS DE CONCRETO - ESPESSURA 5 CM</t>
  </si>
  <si>
    <t>04.03.022</t>
  </si>
  <si>
    <t>DIVISORIA CHAPA FIBRA MAD PRENS BP/PAINEL/VIDRO/VENTIL PERM E=35MM</t>
  </si>
  <si>
    <t>04.03.023</t>
  </si>
  <si>
    <t>DIVISORIA CHAPA FIBRA MAD PRENS BP/PAINEL CEGO 1,20X2,11M E=35MM</t>
  </si>
  <si>
    <t>04.03.025</t>
  </si>
  <si>
    <t>DIVISORIA CHAPA FIBRA MAD PRENS BP/PAINEL VENT PERM 1,20X2,11M E=35MM</t>
  </si>
  <si>
    <t>04.03.026</t>
  </si>
  <si>
    <t>DV-05 DIVISORIA PARA SALA DE INFORMÁTICA</t>
  </si>
  <si>
    <t>04.03.028</t>
  </si>
  <si>
    <t>04.03.029</t>
  </si>
  <si>
    <t>04.03.099</t>
  </si>
  <si>
    <t>PLACAS DIVISORIAS</t>
  </si>
  <si>
    <t>04.50.001</t>
  </si>
  <si>
    <t>DEMOLIÇÃO DE ALVENARIAS EM GERAL E ELEMENTOS VAZADOS,INCL REVESTIMENTOS</t>
  </si>
  <si>
    <t>04.50.010</t>
  </si>
  <si>
    <t>DEMOLIÇÃO DE DIVISÓRIAS DE MADEIRA INCLUINDO ENTARUGAMENTO</t>
  </si>
  <si>
    <t>04.50.011</t>
  </si>
  <si>
    <t>DEMOLIÇÃO DE DIVISÓRIAS EM PLACAS PARA SANITÁRIOS</t>
  </si>
  <si>
    <t>04.50.012</t>
  </si>
  <si>
    <t>DEMOLIÇÃO DE PLACAS DE FIBRO CIMENTO</t>
  </si>
  <si>
    <t>04.50.099</t>
  </si>
  <si>
    <t>04.60.010</t>
  </si>
  <si>
    <t>RETIRADA DE DIVISÓRIAS EM CHAPAS DE MADEIRA, INCLUSIVE ENTARUGAMENTO</t>
  </si>
  <si>
    <t>04.60.011</t>
  </si>
  <si>
    <t>RETIRADA DE DIVISÓRIAS EM CHAPA DE MADEIRA,EXCLUSIVE ENTARUGAMENTO</t>
  </si>
  <si>
    <t>04.60.012</t>
  </si>
  <si>
    <t>RETIRADA DE PAINÉIS DIVISÓRIAS COM MONTANTES METÁLICAS</t>
  </si>
  <si>
    <t>04.60.099</t>
  </si>
  <si>
    <t>04.70.010</t>
  </si>
  <si>
    <t>RECOLOCAÇÃO DE DIVISÓRIAS EM CHAPAS DE MADEIRA INCLUSIVE ENTARUGAMENTO</t>
  </si>
  <si>
    <t>04.70.011</t>
  </si>
  <si>
    <t>RECOLOCAÇÃO DE DIVISÓRIAS EM CHAPAS DE MADEIRA EXCLUSIVE ENTARUGAMENTO</t>
  </si>
  <si>
    <t>04.70.012</t>
  </si>
  <si>
    <t>RECOLOCAÇÃO DE PAINÉIS DIVISÓRIOS COM MONTANTES METÁLICAS</t>
  </si>
  <si>
    <t>04.70.099</t>
  </si>
  <si>
    <t>RECOLOCACOES DE ALVENARIA E OUTROS ELEMENTOS DIVISORIOS</t>
  </si>
  <si>
    <t>04.80.002</t>
  </si>
  <si>
    <t>ELEMENTO VAZADO REF NEO REX 16 19X19X10CM</t>
  </si>
  <si>
    <t>04.80.003</t>
  </si>
  <si>
    <t>ELEMENTO VAZADO REF NEO REX 16DC 19X19X19CM</t>
  </si>
  <si>
    <t>04.80.004</t>
  </si>
  <si>
    <t>ELEMENTO VAZADO REF NEO REX 90 39X39X7CM</t>
  </si>
  <si>
    <t>04.80.011</t>
  </si>
  <si>
    <t>04.80.017</t>
  </si>
  <si>
    <t>DIVISORIAS DE CHAPAS DIVILUX OU SIMILAR</t>
  </si>
  <si>
    <t>04.80.099</t>
  </si>
  <si>
    <t>SERVICOS DE ALVENARIA E OUTROS ELEMENTOS DIVISORIOS - CONSERVACAO</t>
  </si>
  <si>
    <t>05.01.001</t>
  </si>
  <si>
    <t>PM-67 PORTA DE MADEIRA MACHO/FEMEA P/ PINT. BAT. MET. L=82CM</t>
  </si>
  <si>
    <t>05.01.002</t>
  </si>
  <si>
    <t>PM-68 PORTA DE MADEIRA MACHO/FEMEA P/ PINT. BAT. MET. L=92CM</t>
  </si>
  <si>
    <t>05.01.004</t>
  </si>
  <si>
    <t>PM-04 PORTA DE MADEIRA SARRAFEADA P/ PINT. BAT. MADEIRA L=82CM</t>
  </si>
  <si>
    <t>05.01.005</t>
  </si>
  <si>
    <t>PM-05 PORTA DE MADEIRA SARRAFEADA P/ PINT. BAT. MADEIRA L=92CM</t>
  </si>
  <si>
    <t>05.01.009</t>
  </si>
  <si>
    <t>PM-19 PORTA DE MADEIRA MACHO/FEMEA P/ PINT. BAT. MADEIRA L=62CM</t>
  </si>
  <si>
    <t>05.01.010</t>
  </si>
  <si>
    <t>PM-20 PORTA DE MADEIRA MACHO/FEMEA P/ PINT. BAT. MADEIRA L=82CM</t>
  </si>
  <si>
    <t>05.01.011</t>
  </si>
  <si>
    <t>PM-21 PORTA DE MADEIRA MACHO/FEMEA P/ PINT. BAT. MADEIRA L=92CM</t>
  </si>
  <si>
    <t>05.01.013</t>
  </si>
  <si>
    <t>PM-23 PORTA DE MADEIRA MACHO/FEMEA P/ PINT. BAT. MADEIRA L=72CM</t>
  </si>
  <si>
    <t>05.01.014</t>
  </si>
  <si>
    <t>PM-24 PORTA DE MADEIRA SARRAFEADA P/ PINT. BAT. MADEIRA L=72CM</t>
  </si>
  <si>
    <t>05.01.024</t>
  </si>
  <si>
    <t>PM-34 PORTA DE MADEIRA MACHO/FEMEA P/ PINT. C/ BAND. BAT. MET. L=72CM</t>
  </si>
  <si>
    <t>05.01.025</t>
  </si>
  <si>
    <t>PM-35 PORTA DE MADEIRA MACHO/FEMEA P/ PINT. C/ BAND. BAT. MET. L=82CM</t>
  </si>
  <si>
    <t>05.01.026</t>
  </si>
  <si>
    <t>PM-36 PORTA DE MADEIRA MACHO/FEMEA P/ PINT. C/ BAND. BAT. MET. L=92CM</t>
  </si>
  <si>
    <t>05.01.028</t>
  </si>
  <si>
    <t>PORTAS PARA DIVISORIAS CHAPA FIBRA MAD PRENS BP COM FERRAGENS</t>
  </si>
  <si>
    <t>05.01.029</t>
  </si>
  <si>
    <t>PM-74 PORTA SARRAFEADO MACIÇO P/BOXES L=62CM-COMPLETA</t>
  </si>
  <si>
    <t>05.01.036</t>
  </si>
  <si>
    <t>PM-38 PORTA DE MADEIRA MACHO/FEMEA P/ PINT. C/ BAND. BAT. MAD. L=72CM</t>
  </si>
  <si>
    <t>05.01.037</t>
  </si>
  <si>
    <t>PM-39 PORTA DE MADEIRA MACHO/FEMEA P/ PINT. C/ BAND. BAT. MAD. L=82CM</t>
  </si>
  <si>
    <t>05.01.044</t>
  </si>
  <si>
    <t>PM-40 PORTA DE MADEIRA MACHO/FEMEA P/ PINT. C/ BAND. BAT. MAD. L=92CM</t>
  </si>
  <si>
    <t>05.01.046</t>
  </si>
  <si>
    <t>PM-70 PORTA DE MADEIRA SARRAFEADA P/ PINT. BAT. MET. L=72CM</t>
  </si>
  <si>
    <t>05.01.047</t>
  </si>
  <si>
    <t>PM-71 PORTA DE MADEIRA SARRAFEADA P/ PINT. BAT. MET. L=82CM</t>
  </si>
  <si>
    <t>05.01.048</t>
  </si>
  <si>
    <t>PM-72 PORTA DE MADEIRA SARRAFEADA P/ PINT. BAT. MET. L=92CM</t>
  </si>
  <si>
    <t>05.01.050</t>
  </si>
  <si>
    <t>PM-81 PORTA SARRAFEADO MACIÇO P/BOXE ACESSIVEL-COMPLETA</t>
  </si>
  <si>
    <t>05.01.051</t>
  </si>
  <si>
    <t>PM-75 PORTA SARRAFEADA MACICA SANIT. ACESSIVEL BAT. MET.</t>
  </si>
  <si>
    <t>05.01.069</t>
  </si>
  <si>
    <t>PM-82 PORTA DE CORRER ACESSIVEL SARRAF.MACIÇA P/PINTURA(L=111CM)</t>
  </si>
  <si>
    <t>05.01.070</t>
  </si>
  <si>
    <t>PM-83 PORTA DE CORRER ACESSIVEL SARRAFEADA MACIÇA G1-C1 P/PINTURA L=101CM</t>
  </si>
  <si>
    <t>05.01.090</t>
  </si>
  <si>
    <t>PM-58 PORTA DE MADEIRA SARRAFEADA P/ PINT. C/ BAND. BAT. MET. L=72CM INCLUSIVE REFORÇO DE FECHADURA</t>
  </si>
  <si>
    <t>05.01.091</t>
  </si>
  <si>
    <t>PM-59 PORTA DE MADEIRA SARRAFEADA P/ PINT. C/ BAND. BAT. MET. L=82CM INCLUSIVE REFORÇO DE FECHADURA</t>
  </si>
  <si>
    <t>05.01.092</t>
  </si>
  <si>
    <t>PM-60 PORTA DE MADEIRA SARRAFEADA P/ PINT. C/ BAND. BAT. MET. L=92CM INCLUSIVE REFORÇO DE FECHADURA</t>
  </si>
  <si>
    <t>05.01.094</t>
  </si>
  <si>
    <t>PM-62 PORTA DE MADEIRA SARRAFEADA P/ PINT. C/ BAND. BAT. MAD. L=72CM INCLUSIVE REFORÇO DE FECHADURA</t>
  </si>
  <si>
    <t>05.01.095</t>
  </si>
  <si>
    <t>PM-63 PORTA DE MADEIRA SARRAFEADA P/ PINT. C/ BAND. BAT. MAD. L=82CM INCLUSIVE REFORÇO DE FECHADURA</t>
  </si>
  <si>
    <t>05.01.096</t>
  </si>
  <si>
    <t>PM-64 PORTA DE MADEIRA SARRAFEADA P/ PINT. C/ BAND. BAT. MAD. L=92CM INCLUSIVE REFORÇO DE FECHADURA</t>
  </si>
  <si>
    <t>05.01.098</t>
  </si>
  <si>
    <t>PM-66 PORTA DE MADEIRA MACHO/FEMEA P/ PINT. BAT. MET. L=72CM</t>
  </si>
  <si>
    <t>05.01.099</t>
  </si>
  <si>
    <t>ELEMENTOS DE MADEIRA COM ACESSORIO</t>
  </si>
  <si>
    <t>05.01.100</t>
  </si>
  <si>
    <t>PM-69 PORTA DE MADEIRA MACHO/FEMEA P/ PINT. BAT. MET. L=124CM</t>
  </si>
  <si>
    <t>05.01.101</t>
  </si>
  <si>
    <t>PM-08 PORTA DE MADEIRA SARRAFEADA P/ PINT. BAT. MADEIRA L=124CM INCLUSIVE REFORÇO FECHADURA</t>
  </si>
  <si>
    <t>05.01.102</t>
  </si>
  <si>
    <t>PM-22 PORTA DE MADEIRA MACHO/FEMEA P/ PINT. BAT. MADEIRA L=124CM</t>
  </si>
  <si>
    <t>05.01.103</t>
  </si>
  <si>
    <t>PM-37 PORTA DE MADEIRA MACHO/FEMEA P/ PINT. C/ BAND. BAT. MET. L=124CM</t>
  </si>
  <si>
    <t>05.01.104</t>
  </si>
  <si>
    <t>PM-41 PORTA DE MADEIRA MACHO/FEMEA P/ PINT. C/ BAND. BAT. MAD. L=124CM</t>
  </si>
  <si>
    <t>05.01.105</t>
  </si>
  <si>
    <t>PM-73 PORTA DE MADEIRA SARRAFEADA P/ PINT. BAT. MET. L=124CM INCLUSIVE REFORÇO FECHADURA</t>
  </si>
  <si>
    <t>05.01.106</t>
  </si>
  <si>
    <t>PM-61 PORTA DE MADEIRA SARRAFEADA P/ PINT. C/ BAND. BAT. MET. L=124CM INCLUSIVE REFORÇO DE FECHADURA</t>
  </si>
  <si>
    <t>05.01.107</t>
  </si>
  <si>
    <t>PM-65 PORTA DE MADEIRA SARRAFEADA P/ PINT. C/ BAND. BAT. MAD. L=124CM INCLUSIVE REFORÇO DE FECHADURA</t>
  </si>
  <si>
    <t>05.01.108</t>
  </si>
  <si>
    <t>PM-76 PORTA SARRAFEADA MACICA SANIT. ACESSIVEL BAT. MAD.</t>
  </si>
  <si>
    <t>05.01.109</t>
  </si>
  <si>
    <t>PM-79 PORTA SARRAFEADA MACICA PARA HALL DO ELEVADOR BAT. MET</t>
  </si>
  <si>
    <t>05.01.110</t>
  </si>
  <si>
    <t>05.01.111</t>
  </si>
  <si>
    <t>PM-85 PORTA DE CORRER ACESSIVEL SARRAFEADA MACIÇA G1-C1 P/PINTURA L=121CM</t>
  </si>
  <si>
    <t>05.02.099</t>
  </si>
  <si>
    <t>05.03.099</t>
  </si>
  <si>
    <t>FERRAGENS</t>
  </si>
  <si>
    <t>05.04.099</t>
  </si>
  <si>
    <t>QUADRO NEGRO / QUADROS DE AVISO</t>
  </si>
  <si>
    <t>05.05.037</t>
  </si>
  <si>
    <t>BS-08 BANCADA PARA FRALDÁRIO</t>
  </si>
  <si>
    <t>05.05.040</t>
  </si>
  <si>
    <t>BS-05 BANCADA PARA COZINHA - GRANITO POLIDO 20MM</t>
  </si>
  <si>
    <t>05.05.049</t>
  </si>
  <si>
    <t>BE-04 BANCADA LAVATORIO/EDUCAÇAO INFANTIL</t>
  </si>
  <si>
    <t>05.05.050</t>
  </si>
  <si>
    <t>BE-05 BANCADA EDUCAÇÃO INFANTIL</t>
  </si>
  <si>
    <t>05.05.053</t>
  </si>
  <si>
    <t>BE-08 BANCADA ALUNOS / QUIMICA E BIOLOGIA (150CM)</t>
  </si>
  <si>
    <t>05.05.054</t>
  </si>
  <si>
    <t>BE-09 BANCADA ALUNOS / QUIMICA E BIOLOGIA (195CM)</t>
  </si>
  <si>
    <t>05.05.055</t>
  </si>
  <si>
    <t>BE-10 BANCADA ALUNOS / MATEMATICA E FISICA (280CM)</t>
  </si>
  <si>
    <t>05.05.057</t>
  </si>
  <si>
    <t>BE-11 BANCADA ALUNOS / QUIMICA E BIOLOGIA (120CM)</t>
  </si>
  <si>
    <t>05.05.058</t>
  </si>
  <si>
    <t>BE-12 BANCADA ALUNOS / QUIMICA E BIOLOGIA (165CM)</t>
  </si>
  <si>
    <t>05.05.059</t>
  </si>
  <si>
    <t>BE-13 BANCADA ALUNOS / MATEMATICA E FISICA (225CM)</t>
  </si>
  <si>
    <t>05.05.060</t>
  </si>
  <si>
    <t>BE-14 BANCADA APOIO PARA CAPELA</t>
  </si>
  <si>
    <t>05.05.061</t>
  </si>
  <si>
    <t>BE-15 BANCADA LABORATORIO COM PRATELEIRA</t>
  </si>
  <si>
    <t>05.05.062</t>
  </si>
  <si>
    <t>BE-16 BANCADA LABORATORIO 2 CUBAS 50X40X25CM (L=180CM)</t>
  </si>
  <si>
    <t>05.05.063</t>
  </si>
  <si>
    <t>BE-17 BANCADA LABORATORIO 1 CUBA 50X40X25CM (L=120CM)</t>
  </si>
  <si>
    <t>05.05.064</t>
  </si>
  <si>
    <t>PR-08 PRATELEIRA DE GRANITO</t>
  </si>
  <si>
    <t>05.05.067</t>
  </si>
  <si>
    <t>PR-03 PRATELEIRA DE GRANILITE - L=30CM</t>
  </si>
  <si>
    <t>05.05.068</t>
  </si>
  <si>
    <t>BE-18 BANCADA LABORATORIO 1 CUBA 60X50X30CM (L=180CM)</t>
  </si>
  <si>
    <t>05.05.069</t>
  </si>
  <si>
    <t>BE-19 BANCADA LABORATORIO SIMPLES</t>
  </si>
  <si>
    <t>05.05.075</t>
  </si>
  <si>
    <t>PR-09 PRATELEIRA EM GRANILITE - L=55CM</t>
  </si>
  <si>
    <t>05.05.078</t>
  </si>
  <si>
    <t>GS-03 GUICHE DE SECRETARIA/JANELA DE 2 FOLHAS</t>
  </si>
  <si>
    <t>05.05.079</t>
  </si>
  <si>
    <t>PR-10 PRATELEIRA EM GRANILITE L=70CM</t>
  </si>
  <si>
    <t>05.05.080</t>
  </si>
  <si>
    <t>ET-05 ESTRADO DE POLIPROPILENO</t>
  </si>
  <si>
    <t>05.05.085</t>
  </si>
  <si>
    <t>BA-12 BALCÃO DE ATENDIMENTO DE GRANITO (210X60CM)</t>
  </si>
  <si>
    <t>05.05.086</t>
  </si>
  <si>
    <t>BA-13 BALCAO ATENDIMENTO - GRANITO</t>
  </si>
  <si>
    <t>05.05.087</t>
  </si>
  <si>
    <t>GS-04 GUICHE DE SECRETARIA/JANELA DE CORRER</t>
  </si>
  <si>
    <t>05.05.089</t>
  </si>
  <si>
    <t>BA-10 BALCÃO DE DISTRIB.DE GRANITO (L=350CM)</t>
  </si>
  <si>
    <t>05.05.090</t>
  </si>
  <si>
    <t>BA-11 BALCÃO DE DEVOLUÇÃO DE GRANITO (L=70CM)</t>
  </si>
  <si>
    <t>05.05.096</t>
  </si>
  <si>
    <t>CC-06 CUBA INOX 460X300X170MM - MISTURADOR DE PAREDE</t>
  </si>
  <si>
    <t>05.05.099</t>
  </si>
  <si>
    <t>COMPONENTES</t>
  </si>
  <si>
    <t>05.05.101</t>
  </si>
  <si>
    <t>CC-01 CUBA INOX (60X50X30CM) INCLUSIVE VÁLVULA AMERICANA-GRANITO</t>
  </si>
  <si>
    <t>05.05.103</t>
  </si>
  <si>
    <t>CC-03 CUBA INOX (50X40X25CM) TORNEIRA DE PAREDE INCL.VÁLVULA AMERICANA-GRANITO</t>
  </si>
  <si>
    <t>05.05.104</t>
  </si>
  <si>
    <t>CC-04 CUBA DUPLA INOX (102X40X25CM) INCLUSIVE VÁLVULA AMERICANA-GRANITO</t>
  </si>
  <si>
    <t>05.05.105</t>
  </si>
  <si>
    <t>CC-05 CUBA INOX (50X40X25CM) TORNEIRA DE MESA INCL.VÁLVULA AMERICANA-GRANITO</t>
  </si>
  <si>
    <t>05.05.108</t>
  </si>
  <si>
    <t>05.06.061</t>
  </si>
  <si>
    <t>RP-02 REFORCO DE FECHADURAS PARA PORTAS (RP-02)</t>
  </si>
  <si>
    <t>05.06.099</t>
  </si>
  <si>
    <t>05.50.015</t>
  </si>
  <si>
    <t>DEMOLIÇÃO DE QUADRO NEGRO TIPO GREEMBOARD INCLUINDO ENTARUGAMENTO</t>
  </si>
  <si>
    <t>05.50.099</t>
  </si>
  <si>
    <t>05.60.001</t>
  </si>
  <si>
    <t>RETIRADA DE FOLHAS DE PORTAS OU JANELAS</t>
  </si>
  <si>
    <t>05.60.005</t>
  </si>
  <si>
    <t>RETIRADA DE BATENTES DE ESQUADRIAS DE MADEIRA</t>
  </si>
  <si>
    <t>05.60.010</t>
  </si>
  <si>
    <t>RETIRADA DE GUARNIÇÃO OU MOLDURAS</t>
  </si>
  <si>
    <t>05.60.017</t>
  </si>
  <si>
    <t>RETIRADA DE PORTA GIZ, INCLUSIVE SUPORTES</t>
  </si>
  <si>
    <t>05.60.050</t>
  </si>
  <si>
    <t>RETIRADA DE FECHADURAS DE EMBUTIR</t>
  </si>
  <si>
    <t>05.60.055</t>
  </si>
  <si>
    <t>05.60.060</t>
  </si>
  <si>
    <t>RETIRADA DE DOBRADIÇAS</t>
  </si>
  <si>
    <t>05.60.099</t>
  </si>
  <si>
    <t>05.70.001</t>
  </si>
  <si>
    <t>RECOLOCAÇÃO DE FOLHAS DE PORTA OU JANELA</t>
  </si>
  <si>
    <t>05.70.005</t>
  </si>
  <si>
    <t>RECOLOCAÇÃO DE BATENTES DE ESQUADRIAS DE MADEIRA</t>
  </si>
  <si>
    <t>05.70.010</t>
  </si>
  <si>
    <t>RECOLOCAÇÃO DE GUARNIÇÃO OU MOLDURAS</t>
  </si>
  <si>
    <t>05.70.013</t>
  </si>
  <si>
    <t>RECOLOCAÇÃO DE PORTA-GIZ, INCLUINDO SUPORTES</t>
  </si>
  <si>
    <t>05.70.015</t>
  </si>
  <si>
    <t>RECOLOCAÇÃO DE FECHADURAS DE EMBUTIR</t>
  </si>
  <si>
    <t>05.70.016</t>
  </si>
  <si>
    <t>RECOLOCAÇÃO DE CREMONA,FECHOS DE ALAVANCA EMBUTIR,TARJETAS E FECHADURAS SOBREPOR</t>
  </si>
  <si>
    <t>05.70.017</t>
  </si>
  <si>
    <t>RECOLOCAÇÃO DE DOBRADICAS</t>
  </si>
  <si>
    <t>05.70.099</t>
  </si>
  <si>
    <t>RECOLOCACAO DE ELEM DE MADEIRA/COMPONENTES</t>
  </si>
  <si>
    <t>05.80.001</t>
  </si>
  <si>
    <t>PORTA MADEIRA COMPENS LISA P/ PINTURA</t>
  </si>
  <si>
    <t>05.80.002</t>
  </si>
  <si>
    <t>PORTA MADEIRA COMPENS LISA COM VISOR</t>
  </si>
  <si>
    <t>05.80.003</t>
  </si>
  <si>
    <t>PORTA MADEIRA ALMOFADADA</t>
  </si>
  <si>
    <t>05.80.004</t>
  </si>
  <si>
    <t>PORTA MADEIRA MACHO-FEMEA</t>
  </si>
  <si>
    <t>05.80.005</t>
  </si>
  <si>
    <t>PORTA TIPO VENEZIANA</t>
  </si>
  <si>
    <t>05.80.006</t>
  </si>
  <si>
    <t>FOLHA DE PORTA LISA DE 22 MM PARA ARMARIOS</t>
  </si>
  <si>
    <t>05.80.015</t>
  </si>
  <si>
    <t>BANDEIRA P/ PORTA MADEIRA COMPENS LISA P/ PINTURA</t>
  </si>
  <si>
    <t>05.80.020</t>
  </si>
  <si>
    <t>BATENTE DE MADEIRA PARA PORTAS DE 1 FL SEM BANDEIRA</t>
  </si>
  <si>
    <t>05.80.021</t>
  </si>
  <si>
    <t>BATENTE DE MADEIRA PARA PORTAS DE 1 FOLHA COM BANDEIRA</t>
  </si>
  <si>
    <t>05.80.022</t>
  </si>
  <si>
    <t>BATENTE DE MADEIRA PARA PORTA DE 2 FLS SEM BANDEIRA</t>
  </si>
  <si>
    <t>05.80.023</t>
  </si>
  <si>
    <t>BATENTE DE MADEIRA PARA PORTAS DE 2 FLS COM BANDEIRA</t>
  </si>
  <si>
    <t>05.80.030</t>
  </si>
  <si>
    <t>BATENTE METALICO - PERFIL CHAPA 14 (1,9MM) ZINCADA</t>
  </si>
  <si>
    <t>05.80.035</t>
  </si>
  <si>
    <t>GUARNICAO DE 5 CM PARA PORTA DE 1 FOLHA</t>
  </si>
  <si>
    <t>05.80.036</t>
  </si>
  <si>
    <t>GUARNICAO DE 5 CM PARA PORTA DE 2 FOLHAS</t>
  </si>
  <si>
    <t>05.80.037</t>
  </si>
  <si>
    <t>GUARNICAO MADEIRA DE 5,0CM</t>
  </si>
  <si>
    <t>05.80.038</t>
  </si>
  <si>
    <t>GUARNICAO MADEIRA DE 7,0CM</t>
  </si>
  <si>
    <t>05.80.039</t>
  </si>
  <si>
    <t>GUARNICAO MADEIRA DE 10,0CM</t>
  </si>
  <si>
    <t>05.80.040</t>
  </si>
  <si>
    <t>GUARNICAO MADEIRA DE 15,0CM</t>
  </si>
  <si>
    <t>05.80.041</t>
  </si>
  <si>
    <t>PORTA GIZ, INCLUSIVE SUPORTES</t>
  </si>
  <si>
    <t>05.80.042</t>
  </si>
  <si>
    <t>LOUSA QUADRICULADA L=4.61M MOD. LG-01</t>
  </si>
  <si>
    <t>05.80.043</t>
  </si>
  <si>
    <t>CHAPA GREENBOARD DE 1,3 MM DE ESPESSURA</t>
  </si>
  <si>
    <t>05.80.044</t>
  </si>
  <si>
    <t>LOUSA QUADRICULADA L=2.55M MOD. LG-02</t>
  </si>
  <si>
    <t>05.80.050</t>
  </si>
  <si>
    <t>LOUSA EM ARGAMASSA L=461M MOD LG-03</t>
  </si>
  <si>
    <t>05.80.051</t>
  </si>
  <si>
    <t>QUADRO NEGRO EM MASSA - COMPLETO</t>
  </si>
  <si>
    <t>05.80.070</t>
  </si>
  <si>
    <t>FECHADURA COMPLETA, CILINDRICA DE EMBUTIR</t>
  </si>
  <si>
    <t>JG</t>
  </si>
  <si>
    <t>05.80.071</t>
  </si>
  <si>
    <t>FECHADURA COMPLETA, TIPO GORGE DE EMBUTIR</t>
  </si>
  <si>
    <t>05.80.072</t>
  </si>
  <si>
    <t>FECHADURA COMPL TIPO TARGETA DE SOBREPOR C/VISOR "LIVRE-OCUPADO"</t>
  </si>
  <si>
    <t>05.80.073</t>
  </si>
  <si>
    <t>05.80.080</t>
  </si>
  <si>
    <t>DOBRADICA DE 3 1/2" X 3" CROMADO, COM EIXO E BOLA DE LATAO</t>
  </si>
  <si>
    <t>05.80.081</t>
  </si>
  <si>
    <t>DOBRADICA DE 3 1/2" X 3" EM ACO LAMINADO</t>
  </si>
  <si>
    <t>05.80.082</t>
  </si>
  <si>
    <t>DOBRADICA FERRO CROMADO COM PINO E BOLAS DE FERRO 3" X 2 1/2"</t>
  </si>
  <si>
    <t>05.80.083</t>
  </si>
  <si>
    <t>DOBRADICA DE 3" X 2 1/2" EM ACO LAMINADO</t>
  </si>
  <si>
    <t>05.80.085</t>
  </si>
  <si>
    <t>FECHADURA TETRA COMPLETA ESPELHO REDONDO CROMADO</t>
  </si>
  <si>
    <t>05.80.086</t>
  </si>
  <si>
    <t>CREMONA COMPLETO</t>
  </si>
  <si>
    <t>05.80.087</t>
  </si>
  <si>
    <t>VARETA PARA CREMONA</t>
  </si>
  <si>
    <t>05.80.091</t>
  </si>
  <si>
    <t>FECHO TIPO UNHA DE EMBUTIR DE 10 CM</t>
  </si>
  <si>
    <t>05.80.094</t>
  </si>
  <si>
    <t>DOBRADICA FERRO CROM C/ PINO BOLAS ANEIS FERRO 3 1/2"X3"</t>
  </si>
  <si>
    <t>05.80.095</t>
  </si>
  <si>
    <t>FECHADURA CILINDRICA COMPLETO (FECHAD ROSETA MACAN)</t>
  </si>
  <si>
    <t>05.80.096</t>
  </si>
  <si>
    <t>FECHO UNHA DE EMBUTIR AÇO CROMADO 20CM X 3/4"</t>
  </si>
  <si>
    <t>05.80.099</t>
  </si>
  <si>
    <t>SERVICOS DE ELEMENTOS DE MADEIRA/COMPONENTES - CONSERVACAO</t>
  </si>
  <si>
    <t>05.81.001</t>
  </si>
  <si>
    <t>PORTA MADEIRA COMPENS LISA P/ VERNIZ 72X210CM</t>
  </si>
  <si>
    <t>05.81.002</t>
  </si>
  <si>
    <t>PORTA MADEIRA COMPENS LISA P/ VERNIZ 82X210CM</t>
  </si>
  <si>
    <t>05.81.003</t>
  </si>
  <si>
    <t>PORTA MADEIRA COMPENS LISA P/ VERNIZ 92X210CM</t>
  </si>
  <si>
    <t>05.81.005</t>
  </si>
  <si>
    <t>PORTA MADEIRA COMPENS LISA P/ PINTURA 72X210CM</t>
  </si>
  <si>
    <t>05.81.006</t>
  </si>
  <si>
    <t>PORTA MADEIRA COMPENS LISA P/ PINTURA 82X210CM</t>
  </si>
  <si>
    <t>05.81.007</t>
  </si>
  <si>
    <t>PORTA COMPENS LISA MADEIRA P/ PINTURA 92X210CM</t>
  </si>
  <si>
    <t>05.81.025</t>
  </si>
  <si>
    <t>PORTA MADEIRA MACHO-FEMEA 72X210CM</t>
  </si>
  <si>
    <t>05.81.026</t>
  </si>
  <si>
    <t>PORTA MADEIRA MACHO-FEMEA 82X210CM</t>
  </si>
  <si>
    <t>05.81.027</t>
  </si>
  <si>
    <t>PORTA MADEIRA MACHO-FEMEA 92X210CM</t>
  </si>
  <si>
    <t>05.81.033</t>
  </si>
  <si>
    <t>PORTA DE ARMARIO SOB PIA TIPO VENEZIANA - DE CORRER</t>
  </si>
  <si>
    <t>05.81.047</t>
  </si>
  <si>
    <t>FECHADURAS E FECHOS PARA PORTAS INT WC - TARGETA LATAO LIVRE-OCUPADO</t>
  </si>
  <si>
    <t>05.81.048</t>
  </si>
  <si>
    <t>ESPELHOS RET 200 X 50 MM PESO MINIMO 170 G</t>
  </si>
  <si>
    <t>05.81.056</t>
  </si>
  <si>
    <t>05.81.062</t>
  </si>
  <si>
    <t>05.81.065</t>
  </si>
  <si>
    <t>FERRAGEM PORTINHOLAS ARMARIO SOB PIA - COM 2 FOLHAS DE CORRER</t>
  </si>
  <si>
    <t>05.81.070</t>
  </si>
  <si>
    <t>CADEADO DE LATAO COM CILINDRO - TRAVA DUPLA DE 25 MM</t>
  </si>
  <si>
    <t>05.81.071</t>
  </si>
  <si>
    <t>CADEADO DE LATAO COM CILINDRO - TRAVA DUPLA DE 35 MM</t>
  </si>
  <si>
    <t>05.81.072</t>
  </si>
  <si>
    <t>CADEADO DE LATAO COM CILINDRO - TRAVA DUPLA DE 45 MM</t>
  </si>
  <si>
    <t>05.81.073</t>
  </si>
  <si>
    <t>CADEADO DE LATAO COM CILINDRO - TRAVA DUPLA DE 50 MM</t>
  </si>
  <si>
    <t>05.81.076</t>
  </si>
  <si>
    <t>CADEADO DE LATAO C/ CILINDRO-TRAVA DUPLA DE 30MM - PESO MIN 110G</t>
  </si>
  <si>
    <t>05.81.080</t>
  </si>
  <si>
    <t>PORTA CADEADO EM FERRO PINTADO - DE 60MM - PESO MIN 25G</t>
  </si>
  <si>
    <t>05.81.081</t>
  </si>
  <si>
    <t>PORTA CADEADO EM FERRO PINTADO - DE 90MM - PESO MIN 115G</t>
  </si>
  <si>
    <t>05.81.082</t>
  </si>
  <si>
    <t>PORTA CADEADO EM FERRO PINTADO - DE 110MM - PESO MIN 135G</t>
  </si>
  <si>
    <t>05.81.099</t>
  </si>
  <si>
    <t>RECOLOCACOES DE ELEM DE MADEIRA/COMPONENTES</t>
  </si>
  <si>
    <t>05.82.010</t>
  </si>
  <si>
    <t>TAMPO DE PIA EM GRANITO E=2CM</t>
  </si>
  <si>
    <t>05.82.099</t>
  </si>
  <si>
    <t>SERVICOS DE ELEMENTOS DE MADEIRA/COMPONENTES</t>
  </si>
  <si>
    <t>06.01.001</t>
  </si>
  <si>
    <t>06.01.002</t>
  </si>
  <si>
    <t>06.01.003</t>
  </si>
  <si>
    <t>06.01.004</t>
  </si>
  <si>
    <t>06.01.005</t>
  </si>
  <si>
    <t>06.01.006</t>
  </si>
  <si>
    <t>EF-06 ESQUADRIA DE FERRO 180X150CM</t>
  </si>
  <si>
    <t>06.01.013</t>
  </si>
  <si>
    <t>06.01.014</t>
  </si>
  <si>
    <t>06.01.015</t>
  </si>
  <si>
    <t>EF-15 ESQUADRIA DE FERRO / VENTILACAO CRUZADA H=30 A 45CM</t>
  </si>
  <si>
    <t>06.01.016</t>
  </si>
  <si>
    <t>06.01.017</t>
  </si>
  <si>
    <t>06.01.019</t>
  </si>
  <si>
    <t>EF-18 ESQUADRIA DE FERRO / VENTILACAO PERMANENTE L=90X60CM</t>
  </si>
  <si>
    <t>EF-19 ESQUADRIA DE FERRO VENTILACAO PERMANENTE L=180X60CM</t>
  </si>
  <si>
    <t>06.01.022</t>
  </si>
  <si>
    <t>06.01.023</t>
  </si>
  <si>
    <t>06.01.024</t>
  </si>
  <si>
    <t>EF-22 ESQUADRIA DE FERRO COM BASCULANTE L=90CM</t>
  </si>
  <si>
    <t>06.01.025</t>
  </si>
  <si>
    <t>CAIXILHOS DE FERRO -BASCULANTES</t>
  </si>
  <si>
    <t>06.01.026</t>
  </si>
  <si>
    <t>CAIXILHOS DE FERRO -FIXOS</t>
  </si>
  <si>
    <t>06.01.027</t>
  </si>
  <si>
    <t>CAIXILHOS DE FERRO -FIXO COM VENTILACAO PERMANENTE</t>
  </si>
  <si>
    <t>06.01.028</t>
  </si>
  <si>
    <t>EF-23 ESQUADRIA DE FERRO COM BASCULANTE L=180CM</t>
  </si>
  <si>
    <t>06.01.029</t>
  </si>
  <si>
    <t>06.01.037</t>
  </si>
  <si>
    <t>EF-24 ADAPTADO ESQUADRIA DE FERRO 1,00X1,00</t>
  </si>
  <si>
    <t>EF-24 ESQ FERRO VENEZIANA DA CAIXA DO ELEVADOR (0.80X0.40M)</t>
  </si>
  <si>
    <t>06.01.041</t>
  </si>
  <si>
    <t>EF-25 ESQ DE FERRO VENTILACAO CRUZADA (H=60 A 80CM)</t>
  </si>
  <si>
    <t>06.01.042</t>
  </si>
  <si>
    <t>EF-26 ESQ DE FERRO VENTILACAO CRUZADA (180X65CM)</t>
  </si>
  <si>
    <t>06.01.043</t>
  </si>
  <si>
    <t>EF-27 ESQ DE FERRO VENTILACAO CRUZADA (180X75CM)</t>
  </si>
  <si>
    <t>06.01.044</t>
  </si>
  <si>
    <t>06.01.047</t>
  </si>
  <si>
    <t>06.01.048</t>
  </si>
  <si>
    <t>EF-30 ESQUADRIA DE FERRO PARA DUTO EXAUSTOR DE CAPELA</t>
  </si>
  <si>
    <t>06.01.049</t>
  </si>
  <si>
    <t>EV-01 ESQUADRIA VENEZIANA DE ACO (1,20X2,00 M)</t>
  </si>
  <si>
    <t>06.01.050</t>
  </si>
  <si>
    <t>06.01.051</t>
  </si>
  <si>
    <t>06.01.062</t>
  </si>
  <si>
    <t>EA-13 JANELA DE ALUMINIO - 1,80 X 1,50 M</t>
  </si>
  <si>
    <t>06.01.063</t>
  </si>
  <si>
    <t>EA-14 JANELA DE ALUMINIO - 1,80 X 1,20 M</t>
  </si>
  <si>
    <t>06.01.064</t>
  </si>
  <si>
    <t>EA-15 JANELA DE ALUMINIO - 1,80 X 0,60 M</t>
  </si>
  <si>
    <t>06.01.065</t>
  </si>
  <si>
    <t>EA-16 JANELA DE ALUMINIO (0,90X0,90M)</t>
  </si>
  <si>
    <t>06.01.066</t>
  </si>
  <si>
    <t>EA - 17 JANELA DE ALUMINIO (1,80 X0,90 M)</t>
  </si>
  <si>
    <t>06.01.067</t>
  </si>
  <si>
    <t>EA-18 JANELA DE ALUMINIO (VENTILACAO CRUZADA) L= 180 CM</t>
  </si>
  <si>
    <t>06.01.072</t>
  </si>
  <si>
    <t>CAIXILHOS DE ALUMINIO -BASCULANTES</t>
  </si>
  <si>
    <t>06.01.075</t>
  </si>
  <si>
    <t>CAIXILHOS DE ALUMINIO -FIXO</t>
  </si>
  <si>
    <t>06.01.080</t>
  </si>
  <si>
    <t>VENEZIANA INDUSTRIAL -ALETAS PVC MONTANTES ACO GALVANIZADO REF 100</t>
  </si>
  <si>
    <t>06.01.081</t>
  </si>
  <si>
    <t>VENEZIANA INDUSTRIAL-ALETAS FIBRA DE VIDRO MONTANTES ACO GALV REF 100</t>
  </si>
  <si>
    <t>06.01.082</t>
  </si>
  <si>
    <t>VENEZIANA INDUSTRIAL-ALETAS PVC MONTANTES ACO PRE-PINTADO REF 100</t>
  </si>
  <si>
    <t>06.01.083</t>
  </si>
  <si>
    <t>VENEZIANA INDUSTRIAL-ALETAS FIBRA VIDRO MONTANTES ACO PRE-PINT REF 100</t>
  </si>
  <si>
    <t>06.01.084</t>
  </si>
  <si>
    <t>VENEZIANA INDUSTRIAL-ALETAS PVC MONTANTE ALUMINIO ANODIZADO REF 100</t>
  </si>
  <si>
    <t>06.01.085</t>
  </si>
  <si>
    <t>VENEZIANA INDUSTRIAL-ALETAS FIBRA VIDRO MONTANTES ALUM ANODIZ REF 100</t>
  </si>
  <si>
    <t>06.01.086</t>
  </si>
  <si>
    <t>VENEZIANA INDUSTRIAL-ALETAS PVC/MONTANTES ACO GALVANIZADO/REF.50</t>
  </si>
  <si>
    <t>06.01.087</t>
  </si>
  <si>
    <t>VENEZIANA INDUSTRIAL-ALETAS PVC/MONTANTES ALUM. ANODIZADO/REF.50</t>
  </si>
  <si>
    <t>06.01.099</t>
  </si>
  <si>
    <t>SERVICOS EM ELEMENTOS METALICOS/COMPONENTES</t>
  </si>
  <si>
    <t>06.02.001</t>
  </si>
  <si>
    <t>PC-01 PORTA CORTA-FOGO P90 L=90CM COMPLETA</t>
  </si>
  <si>
    <t>06.02.010</t>
  </si>
  <si>
    <t>PF-11 PORTA/JANELA DE FERRO 180X260CM</t>
  </si>
  <si>
    <t>06.02.015</t>
  </si>
  <si>
    <t>PF-15 PORTA EM CHAPA DE FERRO (L=82 CM)</t>
  </si>
  <si>
    <t>06.02.016</t>
  </si>
  <si>
    <t>PF-16 PORTA EM CHAPA DE FERRO (L=92 CM)</t>
  </si>
  <si>
    <t>06.02.017</t>
  </si>
  <si>
    <t>PF-17 PORTA EM CHAPA DE FERRO L=102CM</t>
  </si>
  <si>
    <t>06.02.019</t>
  </si>
  <si>
    <t>PF-19 PORTA DE FERRO P/ RESERVATORIO - GALVANIZADA</t>
  </si>
  <si>
    <t>PORTA DE FERRO (TIPO PF-11)</t>
  </si>
  <si>
    <t>06.02.026</t>
  </si>
  <si>
    <t>PF-23 PORTA DE FERRO C/ BANDEIRA EM CHAPA PERFURADA L=140CM</t>
  </si>
  <si>
    <t>06.02.028</t>
  </si>
  <si>
    <t>PF-21 PORTA DE FERRO COM BANDEIRA EM CHAPA PERFURADA L=102CM</t>
  </si>
  <si>
    <t>06.02.029</t>
  </si>
  <si>
    <t>PF-22 PORTA DE FERRO C/ BANDEIRA EM CHAPA PERFURADA L=82CM</t>
  </si>
  <si>
    <t>06.02.032</t>
  </si>
  <si>
    <t>06.02.045</t>
  </si>
  <si>
    <t>PF-26 PORTA DE FERRO C/BANDEIRA PARA HALL ELEVADOR L=90CM</t>
  </si>
  <si>
    <t>06.02.046</t>
  </si>
  <si>
    <t>PF-27 PORTA DE FERRO 90X215CM</t>
  </si>
  <si>
    <t>06.02.047</t>
  </si>
  <si>
    <t>PF-28 PORTA DE FERRO COM BANDEIRA 90X260CM</t>
  </si>
  <si>
    <t>06.02.048</t>
  </si>
  <si>
    <t>PF-29 PORTA DE FERRO COM BANDEIRA EM CHAPA PERFURADA 90X260CM</t>
  </si>
  <si>
    <t>06.02.049</t>
  </si>
  <si>
    <t>PF-30 PORTA EM CHAPA DE AÇO C/VENT.PERM (L=140CM)</t>
  </si>
  <si>
    <t>06.02.053</t>
  </si>
  <si>
    <t>PF-32 PORTA EM CHAPA DE AÇO 82X210CM C/VENTILAÇÃO</t>
  </si>
  <si>
    <t>06.02.054</t>
  </si>
  <si>
    <t>PF-33 PORTA EM CHAPA DE ACO 180X215CM</t>
  </si>
  <si>
    <t>06.02.056</t>
  </si>
  <si>
    <t>PORTA EM CHAPA DE FERRO GALVANIZADO TIPO PF-15</t>
  </si>
  <si>
    <t>06.02.060</t>
  </si>
  <si>
    <t>06.02.061</t>
  </si>
  <si>
    <t>06.02.062</t>
  </si>
  <si>
    <t>06.02.063</t>
  </si>
  <si>
    <t>PORTÃO EM GRADIL ELETROFUNDIDO</t>
  </si>
  <si>
    <t>06.02.064</t>
  </si>
  <si>
    <t>PT-43 PORTAO DE CORRER EM GRADIL ELETROF (360X230CM)</t>
  </si>
  <si>
    <t>06.02.065</t>
  </si>
  <si>
    <t>PT-44 PORTAO DE CORRER EM GRADIL ELETROF (720X230CM)</t>
  </si>
  <si>
    <t>06.02.066</t>
  </si>
  <si>
    <t>PT-45 PORTAO DE CORRER EM GRADIL ELETROF (372X230CM)</t>
  </si>
  <si>
    <t>06.02.067</t>
  </si>
  <si>
    <t>PT-46 PORTAO DE CORRER EM GRADIL ELETROF (732X230CM)</t>
  </si>
  <si>
    <t>06.02.073</t>
  </si>
  <si>
    <t>PT-47 PORTÃO BASCULANTE-GRADIL ELETROFUND 705X230CM (USO INT)</t>
  </si>
  <si>
    <t>06.02.074</t>
  </si>
  <si>
    <t>PT-48 PORTÃO BASCULANTE-GRADIL ELETROFUND 525X230CM (USO INT)</t>
  </si>
  <si>
    <t>06.02.075</t>
  </si>
  <si>
    <t>PT-49 PORTÃO BASCULANTE-GRADIL ELETROFUND 345X230CM (USO INT)</t>
  </si>
  <si>
    <t>06.02.088</t>
  </si>
  <si>
    <t>PORTÃO DE CORRER EM GRADIL ELETROFUNDIDO</t>
  </si>
  <si>
    <t>06.02.089</t>
  </si>
  <si>
    <t>PORTÃO BASCULANTE EM GRADIL ELETROFUNDIDO</t>
  </si>
  <si>
    <t>06.02.094</t>
  </si>
  <si>
    <t>ME-02 MONTANTE ESTRUTURAL VERTICAL P/ESQUADRIAS EM VÃO DE 7,20M</t>
  </si>
  <si>
    <t>06.02.095</t>
  </si>
  <si>
    <t>ME-03 MONTANTE ESTRUTURAL HORIZONTAL P/ESQUADRIAS</t>
  </si>
  <si>
    <t>06.02.098</t>
  </si>
  <si>
    <t>06.02.099</t>
  </si>
  <si>
    <t>06.02.103</t>
  </si>
  <si>
    <t>PF-A PORTA 2 FOLHAS 193X210CM ADAPTADA MODELO PF-11 USO EXCLUSIVO PADRÃO CRECHE.</t>
  </si>
  <si>
    <t>06.02.104</t>
  </si>
  <si>
    <t>06.02.108</t>
  </si>
  <si>
    <t>06.02.109</t>
  </si>
  <si>
    <t>06.03.001</t>
  </si>
  <si>
    <t>TI-01 TAMPA DE INSPECAO - ACO</t>
  </si>
  <si>
    <t>06.03.003</t>
  </si>
  <si>
    <t>AF-01 ALCAPAO PARA LAJE DE FORRO</t>
  </si>
  <si>
    <t>06.03.016</t>
  </si>
  <si>
    <t>06.03.017</t>
  </si>
  <si>
    <t>BP-02 BARRA ANTIPANICO DUPLA</t>
  </si>
  <si>
    <t>06.03.018</t>
  </si>
  <si>
    <t>06.03.019</t>
  </si>
  <si>
    <t>EM-05 ESCADA MARINHEIRO (GALVANIZADA)</t>
  </si>
  <si>
    <t>06.03.020</t>
  </si>
  <si>
    <t>EM-06 ESCADA DE MARINHEIRO C/GUARDA CORPO GALVANIZADA</t>
  </si>
  <si>
    <t>06.03.024</t>
  </si>
  <si>
    <t>TP-12 TELA DE PROTECAO REMOVIVEL</t>
  </si>
  <si>
    <t>06.03.032</t>
  </si>
  <si>
    <t>GR-01 GRADE DE PROTECAO FERRO CHATO 1" X 1/4" MALHA 15CM X15CM</t>
  </si>
  <si>
    <t>06.03.035</t>
  </si>
  <si>
    <t>GR-02 GRADE DE PROTECAO / GUICHE (122X105 CM) FERRO CHATO 1/2" X 1/8"</t>
  </si>
  <si>
    <t>06.03.036</t>
  </si>
  <si>
    <t>06.03.037</t>
  </si>
  <si>
    <t>PERFIL METALICO TUBULAR SECCAO QUADRADA 8X8CM E=3MM</t>
  </si>
  <si>
    <t>06.03.039</t>
  </si>
  <si>
    <t>TELA DE PROTEÇÃO CONTRA NIDIFICACAO DE PASSAROS</t>
  </si>
  <si>
    <t>06.03.040</t>
  </si>
  <si>
    <t>TELA ARAME GALVANIZADO MOSQUITEIRA CONTRA INSETOS</t>
  </si>
  <si>
    <t>06.03.060</t>
  </si>
  <si>
    <t>BARRA DE APOIO P/DEFICIENTES EM INOX ESCOVADO</t>
  </si>
  <si>
    <t>06.03.061</t>
  </si>
  <si>
    <t>CO-27 CORRIMÃO DUPLO AÇO INOX FORNECIDO E INSTALADO</t>
  </si>
  <si>
    <t>06.03.062</t>
  </si>
  <si>
    <t>CO-28 CORRIMÃO DUPLO COM MONTANTE VERTICAL AÇO INOX FORNECIDO E INSTALADO</t>
  </si>
  <si>
    <t>06.03.063</t>
  </si>
  <si>
    <t>CO-29 CORRIMÃO DUPLO INTERMEDIÁRIO AÇO INOX FORNECIDO E INSTALADO</t>
  </si>
  <si>
    <t>06.03.064</t>
  </si>
  <si>
    <t>CO-30 GUARDA-CORPO TUBULAR AÇO INOX FORNECIDO E INSTALADO</t>
  </si>
  <si>
    <t>06.03.066</t>
  </si>
  <si>
    <t>06.03.067</t>
  </si>
  <si>
    <t>FQ-05 ALAMBRADO PARA QUADRA COBERTA TÉRREA (BROCA)</t>
  </si>
  <si>
    <t>06.03.068</t>
  </si>
  <si>
    <t>FQ-06 ALAMBRADO PARA QUADRA COBERTA TERREA (SAPATA)</t>
  </si>
  <si>
    <t>06.03.069</t>
  </si>
  <si>
    <t>QE-36 REDE DE PROTECAO PARA QUADRAS DE ESPORTES</t>
  </si>
  <si>
    <t>06.03.073</t>
  </si>
  <si>
    <t>QE-41 TABELA DE BASQUETE (SOMENTE TRELICA - FIXACAO PAREDE/PILAR)</t>
  </si>
  <si>
    <t>06.03.074</t>
  </si>
  <si>
    <t>QE-42 POSTE PARA REDE DE VOLEIBOL (FUNDACAO DIRETA)</t>
  </si>
  <si>
    <t>06.03.075</t>
  </si>
  <si>
    <t>QE-43 POSTE PARA REDE VOLEIBOL (LAJE ALVEOLAR)</t>
  </si>
  <si>
    <t>06.03.076</t>
  </si>
  <si>
    <t>QE-44 POSTE PARA REDE VOLEIBOL (PRE-LAJE TRELICADA)</t>
  </si>
  <si>
    <t>06.03.077</t>
  </si>
  <si>
    <t>QE-45 TRAVE DE FUTEBOL DE SALAO (FUNDACAO DIRETA)</t>
  </si>
  <si>
    <t>06.03.078</t>
  </si>
  <si>
    <t>QE-46 TRAVE DE FUTEBOL DE SALAO (LAJE ALVEOLAR)</t>
  </si>
  <si>
    <t>06.03.079</t>
  </si>
  <si>
    <t>QE-47 TRAVE DE FUTEBOL DE SALAO (PRE-LAJE TRELICADA)</t>
  </si>
  <si>
    <t>06.03.080</t>
  </si>
  <si>
    <t>QE-39 TABELA DE BASQUETE (LAJE ALVEOLAR)</t>
  </si>
  <si>
    <t>06.03.081</t>
  </si>
  <si>
    <t>QE-40 TABELA DE BASQUETE (PRE-LAJE TRELIÇADA)</t>
  </si>
  <si>
    <t>06.03.082</t>
  </si>
  <si>
    <t>06.03.083</t>
  </si>
  <si>
    <t>06.03.084</t>
  </si>
  <si>
    <t>06.03.085</t>
  </si>
  <si>
    <t>EM-07 ESCADA MARINHEIRO GALVANIZADA ACESSO POÇO DO ELEVADOR</t>
  </si>
  <si>
    <t>06.03.086</t>
  </si>
  <si>
    <t>BR-11 BARRA DE APOIO COM FIXAÇAO LATERAL LAVATORIO COLETIVO</t>
  </si>
  <si>
    <t>06.03.087</t>
  </si>
  <si>
    <t>06.03.090</t>
  </si>
  <si>
    <t>06.03.091</t>
  </si>
  <si>
    <t>CAIXILHARIA EM FERRO</t>
  </si>
  <si>
    <t>06.03.099</t>
  </si>
  <si>
    <t>06.03.100</t>
  </si>
  <si>
    <t>CO-34 CORRIMÃO DUPLO AÇO GALVANIZADO COM PINTURA ESMALTE.</t>
  </si>
  <si>
    <t>06.03.101</t>
  </si>
  <si>
    <t>CO-35 CORRIMÃO DUPLO COM MONTANTE VERTICAL AÇO GALVANIZADO COM PINTURA ESMALTE</t>
  </si>
  <si>
    <t>06.03.102</t>
  </si>
  <si>
    <t>CO-36 CORRIMÃO DUPLO INTERMEDIÁRIO AÇO GALVANIZADO COM PINTURA ESMALTE</t>
  </si>
  <si>
    <t>06.03.103</t>
  </si>
  <si>
    <t>CO-37 CORRIMÃO SIMPLES AÇO GALVANIZADO COM PINTURA ESMALTE</t>
  </si>
  <si>
    <t>06.03.104</t>
  </si>
  <si>
    <t>CO-38 CORRIMÃO SIMPLES COM MONTANTE VERTICAL AÇO GALVANIZADO COM PINTURA ESMALTE</t>
  </si>
  <si>
    <t>06.03.105</t>
  </si>
  <si>
    <t>CO-39 CORRIMÃO SIMPLES INTERMEDIÁRIO AÇO GALVANIZADO COM PINTURA ESMALTE</t>
  </si>
  <si>
    <t>06.03.106</t>
  </si>
  <si>
    <t>CO-40 GUARDA-CORPO TUBULAR H=15CM SOBRE ALVENARIA AÇO GALVANIZADO COM PINTURA ESMALTE</t>
  </si>
  <si>
    <t>06.03.107</t>
  </si>
  <si>
    <t>06.03.108</t>
  </si>
  <si>
    <t>CO-42 GUARDA-CORPO COM CHAPA PERFURADA H=130CM AÇO GALVANIZADO COM PINTURA ESMALTE</t>
  </si>
  <si>
    <t>06.03.109</t>
  </si>
  <si>
    <t>06.03.110</t>
  </si>
  <si>
    <t>06.03.111</t>
  </si>
  <si>
    <t>06.03.112</t>
  </si>
  <si>
    <t>06.03.113</t>
  </si>
  <si>
    <t>CO-47 GUARDA-CORPO TUBULAR H=20CM SOBRE ALVENARIA AÇO GALVANIZADO COM PINTURA ESMALTE</t>
  </si>
  <si>
    <t>06.03.115</t>
  </si>
  <si>
    <t>06.50.030</t>
  </si>
  <si>
    <t>DEMOLIÇÃO DE DEGRAUS DE ESCADA DE MARINHEIRO EM GRAMPOS</t>
  </si>
  <si>
    <t>06.50.099</t>
  </si>
  <si>
    <t>06.60.001</t>
  </si>
  <si>
    <t>RETIRADA DE ESQUADRIAS METÁLICAS</t>
  </si>
  <si>
    <t>06.60.002</t>
  </si>
  <si>
    <t>RETIRADA DE TELA</t>
  </si>
  <si>
    <t>06.60.005</t>
  </si>
  <si>
    <t>RETIRADA DE BATENTES</t>
  </si>
  <si>
    <t>06.60.050</t>
  </si>
  <si>
    <t>RETIRADA DE BRAÇO DE ALAVANCA</t>
  </si>
  <si>
    <t>06.60.051</t>
  </si>
  <si>
    <t>RETIRADA DE ALAVANCA</t>
  </si>
  <si>
    <t>06.60.052</t>
  </si>
  <si>
    <t>RETIRADA DE PUXADOR DE ENGATE PARA CAIXILHO DE CORRER</t>
  </si>
  <si>
    <t>06.60.060</t>
  </si>
  <si>
    <t>RETIRADA DE ESCADA DE MARINHEIRO COM GUARDA-CORPO</t>
  </si>
  <si>
    <t>06.60.099</t>
  </si>
  <si>
    <t>06.70.001</t>
  </si>
  <si>
    <t>RECOLOCAÇÃO DE ESQUADRIAS METÁLICAS</t>
  </si>
  <si>
    <t>06.70.005</t>
  </si>
  <si>
    <t>RECOLOCAÇÃO DE BATENTES</t>
  </si>
  <si>
    <t>06.70.020</t>
  </si>
  <si>
    <t>RECOLOCACAO DE TELA</t>
  </si>
  <si>
    <t>06.70.050</t>
  </si>
  <si>
    <t>RECOLOCAÇÃO DE BRAÇO DE ALAVANCA</t>
  </si>
  <si>
    <t>06.70.051</t>
  </si>
  <si>
    <t>RECOLOCAÇÃO DE ALAVANCA</t>
  </si>
  <si>
    <t>06.70.052</t>
  </si>
  <si>
    <t>RECOLOCAÇÃO DE PUXADOR DE ENGATE PARA CAIXILHO DE CORRER</t>
  </si>
  <si>
    <t>06.70.060</t>
  </si>
  <si>
    <t>RECOLOCAÇÃO DE ESCADA MARINHEIRO COM GUARDA CORPO</t>
  </si>
  <si>
    <t>06.70.099</t>
  </si>
  <si>
    <t>RECOLOCACOES DE ELEMENTOS METALICOS/COMPONENTES</t>
  </si>
  <si>
    <t>06.80.001</t>
  </si>
  <si>
    <t>CAIXILHO BASCULANTE EM PERFIL DE FERRO</t>
  </si>
  <si>
    <t>06.80.003</t>
  </si>
  <si>
    <t>CAIXILHO FIXO EM PERFIL DE FERRO</t>
  </si>
  <si>
    <t>06.80.005</t>
  </si>
  <si>
    <t>CAIXILHO DE CORRER EM PERFIL DE FERRO</t>
  </si>
  <si>
    <t>06.80.008</t>
  </si>
  <si>
    <t>FOLHA PARA CAIXILHO DE CORRER EM PERFIL DE FERRO</t>
  </si>
  <si>
    <t>06.80.009</t>
  </si>
  <si>
    <t>CAIXILHO MAXIMAR DE FERRO</t>
  </si>
  <si>
    <t>06.80.020</t>
  </si>
  <si>
    <t>PORTA DE ENROLAR EM TIRAS ARTICULADAS</t>
  </si>
  <si>
    <t>06.80.023</t>
  </si>
  <si>
    <t>PORTAO DE 1 FOLHA DE TUBOS E TELA GALVANIZADOS COM PORTA CADEADO</t>
  </si>
  <si>
    <t>06.80.025</t>
  </si>
  <si>
    <t>PORTAO DE 2 FOLHAS DE TUBO E TELA GALVANIZADOS COM PORTA CADEADO</t>
  </si>
  <si>
    <t>06.80.029</t>
  </si>
  <si>
    <t>TELA DE PROTEÇAO P/CAIXILHO C/REQ. DE PERFIL DE FERRO E TELA ARAME GALV.</t>
  </si>
  <si>
    <t>06.80.033</t>
  </si>
  <si>
    <t>CHAPA DE FERRO N 14, INCLUSIVE SOLDAGEM</t>
  </si>
  <si>
    <t>06.80.043</t>
  </si>
  <si>
    <t>BRACO DE ALAVANCA DE FERRO</t>
  </si>
  <si>
    <t>06.80.044</t>
  </si>
  <si>
    <t>ALAVANCA PARA CAIXILHO BASCULANTE</t>
  </si>
  <si>
    <t>06.80.045</t>
  </si>
  <si>
    <t>PUXADORES DE ENGATE EM LATAO CROMADO PARA CAIXILHO DE CORRER</t>
  </si>
  <si>
    <t>06.80.046</t>
  </si>
  <si>
    <t>CADEADO E PORTA CADEADO</t>
  </si>
  <si>
    <t>06.80.049</t>
  </si>
  <si>
    <t>LUBRIFICACAO DE CAIXILHO E TROCA DE REBITES</t>
  </si>
  <si>
    <t>06.80.050</t>
  </si>
  <si>
    <t>FERRO TRABALHADO (CAIXILHO)</t>
  </si>
  <si>
    <t>06.80.082</t>
  </si>
  <si>
    <t>CAIXILHO FIXO EM ALUMINIO ANODIZADO</t>
  </si>
  <si>
    <t>06.80.084</t>
  </si>
  <si>
    <t>CAIXILHO DE CORRER EM ALUMINIO ANODIZADO</t>
  </si>
  <si>
    <t>06.80.086</t>
  </si>
  <si>
    <t>FOLHA PARA CAIXILHO DE CORRER EM ALUMINIO ANODIZADO</t>
  </si>
  <si>
    <t>06.80.088</t>
  </si>
  <si>
    <t>CAIXILHO MAXIMAR EM ALUMINIO ANODIZADO</t>
  </si>
  <si>
    <t>06.80.094</t>
  </si>
  <si>
    <t>BRACO DE ALAVANCA DE ALUMINIO</t>
  </si>
  <si>
    <t>06.80.096</t>
  </si>
  <si>
    <t>PUXADOR DE ENGATE DE ALUMINIO TIPO "BICO DE PAPAGAIO"</t>
  </si>
  <si>
    <t>06.80.099</t>
  </si>
  <si>
    <t>SERVICOS EM ELEMENTOS METALICOS/COMPONENTES - CONSERVACAO</t>
  </si>
  <si>
    <t>07.01.001</t>
  </si>
  <si>
    <t>EM TESOURAS PARA TELHAS CERAMICAS - VAOS ATE 7.00 M</t>
  </si>
  <si>
    <t>07.01.002</t>
  </si>
  <si>
    <t>EM TESOURAS PARA TELHAS CERAMICAS - VAOS DE 7.01 A 10.00 M</t>
  </si>
  <si>
    <t>07.01.003</t>
  </si>
  <si>
    <t>EM TESOURAS PARA TELHAS CERAMICAS - VAOS DE 10.01 A 13.00 M</t>
  </si>
  <si>
    <t>07.01.004</t>
  </si>
  <si>
    <t>EM TESOURAS PARA TELHAS CERAMICAS - VAOS DE 13.01 A 18.00 M</t>
  </si>
  <si>
    <t>EM TESOURAS PARA TELHAS OND CIM-AM/AL/PLAST - VAOS ATE 7,00 M</t>
  </si>
  <si>
    <t>07.01.011</t>
  </si>
  <si>
    <t>EM TESOURAS PARA TELHAS OND CIM-AM/AL/PLAST - VAOS DE 7.01 A 10,00 M</t>
  </si>
  <si>
    <t>07.01.012</t>
  </si>
  <si>
    <t>EM TESOURAS PARA TELHAS OND CIM-AM/AL/PLAST - VAOS DE 10.01 A 13,00 M</t>
  </si>
  <si>
    <t>07.01.013</t>
  </si>
  <si>
    <t>EM TESOURAS PARA TELHAS OND CIM-AM/AL/PLAST - VAOS DE 13,01 A 18,00 M</t>
  </si>
  <si>
    <t>07.01.025</t>
  </si>
  <si>
    <t>EM TERCAS PARA TELHAS CERAMICAS</t>
  </si>
  <si>
    <t>07.01.026</t>
  </si>
  <si>
    <t>EM TERCAS PARA TELHAS DE CIM-AM/AL/PLAST</t>
  </si>
  <si>
    <t>07.01.027</t>
  </si>
  <si>
    <t>EM TERCAS PARA TELHAS TRAPEZOIDAIS</t>
  </si>
  <si>
    <t>07.01.040</t>
  </si>
  <si>
    <t>07.01.098</t>
  </si>
  <si>
    <t>PECAS DE MADEIRA MACICA</t>
  </si>
  <si>
    <t>07.01.099</t>
  </si>
  <si>
    <t>ESTRUTURAS DE COBERTURA</t>
  </si>
  <si>
    <t>07.02.004</t>
  </si>
  <si>
    <t>07.02.016</t>
  </si>
  <si>
    <t>07.02.099</t>
  </si>
  <si>
    <t>07.03.064</t>
  </si>
  <si>
    <t>TELHA DE POLIESTER (PERFIL DA ONDULADA ACO) - E=1,2MM</t>
  </si>
  <si>
    <t>07.03.065</t>
  </si>
  <si>
    <t>TELHA DE POLIESTER (PERFIL DA TRAPEZOIDAL ACO H ATE 40MM) - E=1,2MM</t>
  </si>
  <si>
    <t>07.03.066</t>
  </si>
  <si>
    <t>TELHA DE POLIESTER (PERFIL DA TRAPEZOIDAL ACO H=100MM) - E=1,2MM</t>
  </si>
  <si>
    <t>07.03.067</t>
  </si>
  <si>
    <t>TELHA DE POLIESTER (PERFIL DA ONDULADA CRFS) - E=1,2MM</t>
  </si>
  <si>
    <t>07.03.099</t>
  </si>
  <si>
    <t>COBERTURAS</t>
  </si>
  <si>
    <t>07.03.105</t>
  </si>
  <si>
    <t>07.03.106</t>
  </si>
  <si>
    <t>07.03.107</t>
  </si>
  <si>
    <t>07.03.110</t>
  </si>
  <si>
    <t>07.03.112</t>
  </si>
  <si>
    <t>07.03.120</t>
  </si>
  <si>
    <t>07.03.121</t>
  </si>
  <si>
    <t>TELHA TECNOLOGIA CRFS ONDULADA E=8MM</t>
  </si>
  <si>
    <t>07.03.122</t>
  </si>
  <si>
    <t>07.03.123</t>
  </si>
  <si>
    <t>07.03.129</t>
  </si>
  <si>
    <t>07.03.130</t>
  </si>
  <si>
    <t>07.03.131</t>
  </si>
  <si>
    <t>07.03.132</t>
  </si>
  <si>
    <t>07.03.133</t>
  </si>
  <si>
    <t>07.03.134</t>
  </si>
  <si>
    <t>07.03.135</t>
  </si>
  <si>
    <t>07.03.136</t>
  </si>
  <si>
    <t>07.03.137</t>
  </si>
  <si>
    <t>07.03.138</t>
  </si>
  <si>
    <t>07.04.001</t>
  </si>
  <si>
    <t>CUMEEIRA E ESPIGAO EMBOCADOS PARA TELHA CERAMICA</t>
  </si>
  <si>
    <t>07.04.034</t>
  </si>
  <si>
    <t>CUMEEIRA ACO PINT PO/COIL-COATING PERFIL OND/TRAP E=0,65MM H ATE 40MM</t>
  </si>
  <si>
    <t>07.04.035</t>
  </si>
  <si>
    <t>07.04.037</t>
  </si>
  <si>
    <t>07.04.040</t>
  </si>
  <si>
    <t>CUMEEIRA DE ACO NATURAL LISA OU LISA DENTADA E=0,5MM</t>
  </si>
  <si>
    <t>07.04.041</t>
  </si>
  <si>
    <t>CUMEEIRA DE ACO NATURAL PERFIL ONDUL OU TRAP E=0,65MM H ATE 40MM</t>
  </si>
  <si>
    <t>07.04.042</t>
  </si>
  <si>
    <t>CUMEEIRA DE ACO GALV NATURAL PERFIL TRAP E=0,5MM H=100MM</t>
  </si>
  <si>
    <t>07.04.044</t>
  </si>
  <si>
    <t>07.04.061</t>
  </si>
  <si>
    <t>DOMO DE ACRILICO COM CAIXILHO DE ALUMINIO</t>
  </si>
  <si>
    <t>07.04.099</t>
  </si>
  <si>
    <t>PECAS PARA COBERTURA</t>
  </si>
  <si>
    <t>07.04.100</t>
  </si>
  <si>
    <t>RUFO LISO DE ACO GALV NATURAL E=0,65MM CORTE ATE 300MM</t>
  </si>
  <si>
    <t>07.04.101</t>
  </si>
  <si>
    <t>RUFO LISO DE ACO GALV NATURAL E=0,65MM CORTE ATE 400MM</t>
  </si>
  <si>
    <t>07.04.102</t>
  </si>
  <si>
    <t>RUFO LISO DE ACO GALV NATURAL E=0,65MM CORTE ATE 600MM</t>
  </si>
  <si>
    <t>07.04.112</t>
  </si>
  <si>
    <t>RUFO DENTADO ACO GALV NATURAL E=0,65MM CORTE ATE 300MM</t>
  </si>
  <si>
    <t>07.04.113</t>
  </si>
  <si>
    <t>RUFO DENTADO ACO GALV NATURAL E=0,65MM CORTE ATE 400MM</t>
  </si>
  <si>
    <t>07.04.114</t>
  </si>
  <si>
    <t>RUFO DENTADO ACO GALV NATURAL E=0,65MM CORTE ATE 600MM</t>
  </si>
  <si>
    <t>07.04.120</t>
  </si>
  <si>
    <t>RUFO DENTADO ACO GALV PINT PO/COIL-COATING E=0,65MM CORTE ATE 300MM</t>
  </si>
  <si>
    <t>07.04.121</t>
  </si>
  <si>
    <t>RUFO DENTADO ACO GALV PINT PO/COIL-COATING E=0,65MM CORTE ATE 400MM</t>
  </si>
  <si>
    <t>07.04.122</t>
  </si>
  <si>
    <t>RUFO DENTADO ACO GALV PINT PO/COIL-COATING E=0,50MM CORTE ATE 300MM</t>
  </si>
  <si>
    <t>07.04.123</t>
  </si>
  <si>
    <t>RUFO DENTADO ACO GALV PINT PO/COIL-COATING E=0,50MM CORTE ATE 400MM</t>
  </si>
  <si>
    <t>07.04.124</t>
  </si>
  <si>
    <t>RUFO DENTADO ACO GALV PINT PO/COIL-COATING E=0,50MM CORTE ATE 600MM</t>
  </si>
  <si>
    <t>07.04.126</t>
  </si>
  <si>
    <t>RUFO DENTADO ACO GALV PINT PO/COIL-COATING E=0,65MM CORTE ATE 600MM</t>
  </si>
  <si>
    <t>07.04.127</t>
  </si>
  <si>
    <t>RUFO LISO ACO GALV PINT PO OU COIL-COATING E=0,65MM CORTE ATE 300MM</t>
  </si>
  <si>
    <t>07.04.129</t>
  </si>
  <si>
    <t>07.04.130</t>
  </si>
  <si>
    <t>07.04.131</t>
  </si>
  <si>
    <t>07.04.132</t>
  </si>
  <si>
    <t>07.04.133</t>
  </si>
  <si>
    <t>RUFO LISO ACO GALV PINT PO/COIL-COATING E=0,65MM CORTE ATE 400MM</t>
  </si>
  <si>
    <t>07.04.134</t>
  </si>
  <si>
    <t>RUFO LISO ACO GALV PINT PO/COIL-COATING E=0,65MM CORTE ATE 600MM</t>
  </si>
  <si>
    <t>07.05.007</t>
  </si>
  <si>
    <t>07.05.008</t>
  </si>
  <si>
    <t>VEDACAO LATERAL DE COBERTURA COM TELA DE NYLON</t>
  </si>
  <si>
    <t>07.05.023</t>
  </si>
  <si>
    <t>07.05.025</t>
  </si>
  <si>
    <t>07.05.080</t>
  </si>
  <si>
    <t>SUB-COBERTURA COM MANTA ALUMINIZADA</t>
  </si>
  <si>
    <t>07.05.099</t>
  </si>
  <si>
    <t>FECHAMENTOS E/OU VEDACOES</t>
  </si>
  <si>
    <t>07.50.001</t>
  </si>
  <si>
    <t>DEMOLICAO DE TELHA FIBRO CIMENTO TRAPEZOIDAL</t>
  </si>
  <si>
    <t>07.60.001</t>
  </si>
  <si>
    <t>RETIRADA DE ESTRUT DE MADEIRA EM TESOURA,PONTAL OU MISTA P/TELHA BARRO SOBRE LAJE</t>
  </si>
  <si>
    <t>07.60.002</t>
  </si>
  <si>
    <t>RETIRADA DE ESTRUT DE MADEIRA EM TESOURA PARA TELHAS DE BARRO SOBRE VAO LIVRE</t>
  </si>
  <si>
    <t>07.60.005</t>
  </si>
  <si>
    <t>RETIRADA DE ESTRUT DE MADEIRA EM TESOURA,PONTAL OU MISTA P/TELHA FIBRO-CIM SOBRE LAJE</t>
  </si>
  <si>
    <t>07.60.006</t>
  </si>
  <si>
    <t>RETIRADA DE ESTRUT DE MADEIRA EM TESOURA,PARA TELHA DE FIBRO-CIM SOBR VAO LIVRE</t>
  </si>
  <si>
    <t>07.60.010</t>
  </si>
  <si>
    <t>RETIRADA DE VIGAMENTO DE APOIO P/TELHAS DE BARRO/FIBRO-CIM/AL/PLAST/PLANA PRE-FAB</t>
  </si>
  <si>
    <t>07.60.015</t>
  </si>
  <si>
    <t>RETIRADA DE CAIBROS</t>
  </si>
  <si>
    <t>07.60.016</t>
  </si>
  <si>
    <t>RETIRADA DE RIPAS</t>
  </si>
  <si>
    <t>07.60.020</t>
  </si>
  <si>
    <t>RETIRADA DE FERRAGENS PARA ESTRUTURA DE MADEIRA</t>
  </si>
  <si>
    <t>07.60.050</t>
  </si>
  <si>
    <t>RETIRADA DE TELHAS DE BARRO</t>
  </si>
  <si>
    <t>07.60.051</t>
  </si>
  <si>
    <t>RETIRADA DE TELHAS DE BARRO - S/REAPROV</t>
  </si>
  <si>
    <t>07.60.055</t>
  </si>
  <si>
    <t>RETIRADA DE CUMEEIRAS E ESPIGÕES DE BARRO</t>
  </si>
  <si>
    <t>07.60.056</t>
  </si>
  <si>
    <t>RETIRADA DE CUMEEIRAS E ESPIGOES DE BARRO - S/REAPROV</t>
  </si>
  <si>
    <t>07.60.060</t>
  </si>
  <si>
    <t>RETIRADA DE TELHAS OND DE FIBRO-CIM/PLAST OU ALUM/PLANA PRE FAB</t>
  </si>
  <si>
    <t>07.60.061</t>
  </si>
  <si>
    <t>07.60.065</t>
  </si>
  <si>
    <t>RETIRADA DE CUMEEIRAS, ESPIGÕES E RUFOS DE FIBRO-CIMENTO</t>
  </si>
  <si>
    <t>07.60.066</t>
  </si>
  <si>
    <t>RETIRADA DE CUMEEIRAS, ESPIGOES E RUFOS DE FIBRO-CIMENTO - S/REAPROV</t>
  </si>
  <si>
    <t>07.60.099</t>
  </si>
  <si>
    <t>07.70.001</t>
  </si>
  <si>
    <t>RECOLOCAÇÃO DE RIPAS</t>
  </si>
  <si>
    <t>07.70.002</t>
  </si>
  <si>
    <t>RECOLOCAÇÃO DE CAIBROS</t>
  </si>
  <si>
    <t>07.70.003</t>
  </si>
  <si>
    <t>RECOLOCAÇÃO DE VIGAS</t>
  </si>
  <si>
    <t>07.70.010</t>
  </si>
  <si>
    <t>RECOLOCAÇÃO DE FERRAGEM PARA ESTRUTURA DE MADEIRA</t>
  </si>
  <si>
    <t>07.70.050</t>
  </si>
  <si>
    <t>RECOLOCAÇÃO DE TELHAS DE BARRO TIPO FRANCESA / ROMANA</t>
  </si>
  <si>
    <t>07.70.052</t>
  </si>
  <si>
    <t>RECOLOCAÇÃO DE TELHA DE BARRO TIPO PLAN</t>
  </si>
  <si>
    <t>07.70.055</t>
  </si>
  <si>
    <t>RECOLOCAÇÃO DE TELHA DE FIBROCIMENTO, PLÁSTICO OU ALUMÍNIO</t>
  </si>
  <si>
    <t>07.70.080</t>
  </si>
  <si>
    <t>RECOLOCAÇÃO DE CUMEEIRAS E ESPIGÕES DE BARRO</t>
  </si>
  <si>
    <t>07.70.081</t>
  </si>
  <si>
    <t>RECOLOCAÇÃO DE CUMEEIRAS, ESPIGÕES E RUFOS DE CRFS</t>
  </si>
  <si>
    <t>07.70.099</t>
  </si>
  <si>
    <t>RECOLOCACOES DE COBERTURA</t>
  </si>
  <si>
    <t>07.80.001</t>
  </si>
  <si>
    <t>RIPAS DE 5 X 1,5 CM G1-C6</t>
  </si>
  <si>
    <t>07.80.002</t>
  </si>
  <si>
    <t>CAIBRO DE 5 X 6 CM G1-C6</t>
  </si>
  <si>
    <t>07.80.003</t>
  </si>
  <si>
    <t>TABUA DE 12 X 3 CM G1-C6</t>
  </si>
  <si>
    <t>07.80.004</t>
  </si>
  <si>
    <t>VIGA DE MADEIRA 6 X 12 CM G1-C6</t>
  </si>
  <si>
    <t>07.80.005</t>
  </si>
  <si>
    <t>VIGA DE MADEIRA 6 X 16 CM G1-C6</t>
  </si>
  <si>
    <t>07.80.008</t>
  </si>
  <si>
    <t>ML</t>
  </si>
  <si>
    <t>07.80.009</t>
  </si>
  <si>
    <t>PECAS ESPECIAIS DE MADEIRA SERRADA G1-C6</t>
  </si>
  <si>
    <t>07.80.019</t>
  </si>
  <si>
    <t>PARAFUSO PARA FIXACAO DE TELHA ONDULADA CRFS</t>
  </si>
  <si>
    <t>07.80.020</t>
  </si>
  <si>
    <t>PARAFUSO OU GANCHO P/ FIXACAO TELHA CRFS MODULADA</t>
  </si>
  <si>
    <t>07.80.022</t>
  </si>
  <si>
    <t>CHAPUZ METÁLICO FERRO 2" X 1/4" ENCONTRO CUMEEIRA/PENDURAL INCLUSIVE PARAFUSOS</t>
  </si>
  <si>
    <t>07.80.023</t>
  </si>
  <si>
    <t>ESTRIBO/GRAMPO FERRO REDONDO 1/2" INCLUSO CHAPA E PORCAS</t>
  </si>
  <si>
    <t>07.80.024</t>
  </si>
  <si>
    <t>CHAPUZ METALICO 2X40CM FERRO 2" X 1/4" INCLUSIVE PARAFUSOS</t>
  </si>
  <si>
    <t>07.80.025</t>
  </si>
  <si>
    <t>TELHA DE CONCRETO COR VERMELHA</t>
  </si>
  <si>
    <t>07.80.026</t>
  </si>
  <si>
    <t>TELHA DE CONCRETO COR CINZA</t>
  </si>
  <si>
    <t>07.80.027</t>
  </si>
  <si>
    <t>07.80.028</t>
  </si>
  <si>
    <t>07.80.029</t>
  </si>
  <si>
    <t>07.80.030</t>
  </si>
  <si>
    <t>TELHAS CERAMICA TIPO FRANCESA</t>
  </si>
  <si>
    <t>07.80.032</t>
  </si>
  <si>
    <t>CUMEEIRA E ESPIGAO EMBOCADOS PARA TELHAS CERAMICA</t>
  </si>
  <si>
    <t>07.80.033</t>
  </si>
  <si>
    <t>FECHAMENTO DE OITAO EM TABUA DE 10 X 1CM MACHO-FEMEA P/FORRO G1-C4</t>
  </si>
  <si>
    <t>07.80.035</t>
  </si>
  <si>
    <t>LIMPEZA DE TELHADO INCLUSIVE REMOÇÃO DO MATERIAL RECOLHIDO</t>
  </si>
  <si>
    <t>07.80.036</t>
  </si>
  <si>
    <t>TELHA TECNOLOGIA CRFS MODULADA E=8MM</t>
  </si>
  <si>
    <t>07.80.037</t>
  </si>
  <si>
    <t>07.80.039</t>
  </si>
  <si>
    <t>07.80.040</t>
  </si>
  <si>
    <t>TELHA TECNOLOGIA CRFS ONDULADA E=6MM</t>
  </si>
  <si>
    <t>07.80.041</t>
  </si>
  <si>
    <t>07.80.042</t>
  </si>
  <si>
    <t>07.80.043</t>
  </si>
  <si>
    <t>07.80.044</t>
  </si>
  <si>
    <t>07.80.045</t>
  </si>
  <si>
    <t>07.80.048</t>
  </si>
  <si>
    <t>ARESTA P/ TELHA TECNOLOGIA CRFS ONDULADA</t>
  </si>
  <si>
    <t>07.80.050</t>
  </si>
  <si>
    <t>07.80.051</t>
  </si>
  <si>
    <t>FECHAMENTO DE OITAO C/ TELHA TECNOLOGIA CRFS ONDULADA E=8MM</t>
  </si>
  <si>
    <t>07.80.052</t>
  </si>
  <si>
    <t>CUMEEIRA NORMAL PARA TELHA TECNOLOGIA CRFS MODULADA</t>
  </si>
  <si>
    <t>07.80.053</t>
  </si>
  <si>
    <t>CUMEEIRA ARTICULADA PARA TELHA TECNOLOGIA CRFS MODULADA</t>
  </si>
  <si>
    <t>07.80.054</t>
  </si>
  <si>
    <t>RUFO PARA TELHA TECNOLOGIA CRFS MODULADA</t>
  </si>
  <si>
    <t>07.80.055</t>
  </si>
  <si>
    <t>CUMEEIRA NORMAL PARA TELHA TECNOLOGIA CRFS TRAPEZOIDAL 44CM</t>
  </si>
  <si>
    <t>07.80.056</t>
  </si>
  <si>
    <t>CUMEEIRA NORMAL PARA TELHA TECNOLOGIA CRFS TRAPEZOIDAL 90CM</t>
  </si>
  <si>
    <t>07.80.057</t>
  </si>
  <si>
    <t>CUMEEIRA ARTICULADA PARA TELHA TECNOLOGIA CRFS TRAPEZOIDAL 90CM</t>
  </si>
  <si>
    <t>07.80.058</t>
  </si>
  <si>
    <t>RUFO PARA TELHA TECNOLOGIA CRFS TRAPEZOIDAL 90CM</t>
  </si>
  <si>
    <t>07.80.059</t>
  </si>
  <si>
    <t>TELHA DE VIDRO TIPO FRANCESA PARA ILUMINAÇÃO</t>
  </si>
  <si>
    <t>07.80.062</t>
  </si>
  <si>
    <t>TELHA DE POLIESTER PERFIL DA CANALETE 90 CM E=1,20MM</t>
  </si>
  <si>
    <t>07.80.064</t>
  </si>
  <si>
    <t>TELHA DE POLIESTER PERFIL DA MAXIPLAC E=1,20MM</t>
  </si>
  <si>
    <t>07.80.065</t>
  </si>
  <si>
    <t>TELHA DE POLIESTER PERFIL DA ONDULADA ALUMINIO E=1,20MM</t>
  </si>
  <si>
    <t>07.80.066</t>
  </si>
  <si>
    <t>TELHA DE POLIESTER PERFIL DA TRAPEZOIDAL ALUMINIO E=1,20MM</t>
  </si>
  <si>
    <t>07.80.087</t>
  </si>
  <si>
    <t>PARAFUSO PARA FIXACAO TELHA CRFS TRAPEZOIDAL C/ 44CM</t>
  </si>
  <si>
    <t>07.80.088</t>
  </si>
  <si>
    <t>PARAFUSO PARA FIXACAO TELHA CRFS TRAPEZOIDAL C/ 90CM</t>
  </si>
  <si>
    <t>07.80.089</t>
  </si>
  <si>
    <t>PARAFUSO P/ FIXACAO TELHA CRFS TRAPEZOIDAL C/ 49CM</t>
  </si>
  <si>
    <t>07.80.090</t>
  </si>
  <si>
    <t>AMARRACAO DE TELHA CERAMICA COM ARAME DE COBRE</t>
  </si>
  <si>
    <t>07.80.091</t>
  </si>
  <si>
    <t>EMBOCAMENTO DE BEIRAL EM TELHA CERAMICA</t>
  </si>
  <si>
    <t>07.80.099</t>
  </si>
  <si>
    <t>SERVICOS DE COBERTURA - CONSERVACAO</t>
  </si>
  <si>
    <t>08.01.001</t>
  </si>
  <si>
    <t>AC-04 ABRIGO E CAVALETE DE 3/4" COMPLETO 85X65X30CM</t>
  </si>
  <si>
    <t>08.01.002</t>
  </si>
  <si>
    <t>AC-05 ABRIGO E CAVALETE DE 1" COMPLETO 85X65X30CM</t>
  </si>
  <si>
    <t>08.01.005</t>
  </si>
  <si>
    <t>AC-08 ABRIGO E CAVALETE DE 2" COMPLETO 245X110X40CM</t>
  </si>
  <si>
    <t>08.01.099</t>
  </si>
  <si>
    <t>SERVICOS EM CAVALETE E ABRIGO</t>
  </si>
  <si>
    <t>08.02.001</t>
  </si>
  <si>
    <t>AG-04 ABRIGO PARA GAS COM 2 CILINDROS DE 45 KG</t>
  </si>
  <si>
    <t>08.02.002</t>
  </si>
  <si>
    <t>AG-05 ABRIGO PARA GAS COM 4 CILINDROS DE 45 KG</t>
  </si>
  <si>
    <t>08.02.003</t>
  </si>
  <si>
    <t>AG-06 ABRIGO PARA GAS COM 6 CILINDROS DE 45 KG</t>
  </si>
  <si>
    <t>08.02.004</t>
  </si>
  <si>
    <t>AG-07 ABRIGO PARA MEDIDOR COMGAS 60X60X30CM</t>
  </si>
  <si>
    <t>08.02.005</t>
  </si>
  <si>
    <t>AG-08 ABRIGO PARA GAS COM 2 BUJOES DE 13 KG</t>
  </si>
  <si>
    <t>08.02.016</t>
  </si>
  <si>
    <t>PROTECAO ANTICORROSIVA PARA RAMAIS SOB A TERRA</t>
  </si>
  <si>
    <t>08.02.017</t>
  </si>
  <si>
    <t>PROTECAO MECANICA PARA RAMAIS SOB ATERRA</t>
  </si>
  <si>
    <t>08.02.021</t>
  </si>
  <si>
    <t>VG-01 VALVULA E REGULADOR DE PRESSAO DE GAS</t>
  </si>
  <si>
    <t>TUBO ACO GALV NBR5590-CLASSE PESADA DN 20MM (3/4") INCL CONEXOES</t>
  </si>
  <si>
    <t>08.02.041</t>
  </si>
  <si>
    <t>TUBO ACO GALV NBR5590-CLASSE PESADA DN 25MM (1") INCL CONEXOES</t>
  </si>
  <si>
    <t>08.02.042</t>
  </si>
  <si>
    <t>TUBO ACO GALV NBR5590-CLASSE PESADA DN 32MM (1 1/4") INCL CONEXOES</t>
  </si>
  <si>
    <t>08.02.043</t>
  </si>
  <si>
    <t>TUBO ACO GALV NBR5590-CLASSE PESADA DN 40MM (1 1/2") INCL CONEXOES</t>
  </si>
  <si>
    <t>ENVOLVIMENTO C/ TUBO DE PVC DN 150MM EM TUBULACAO DE GAS DE RUA</t>
  </si>
  <si>
    <t>TUBO DE COBRE P/ GAS CLASSE A S/COST DN=1/2 (15) SOLDA FOSCOPER</t>
  </si>
  <si>
    <t>08.02.061</t>
  </si>
  <si>
    <t>TUBO DE COBRE P/ GAS CLASSE A S/COST DN=3/4 (22) SOLDA FOSCOPER</t>
  </si>
  <si>
    <t>08.02.062</t>
  </si>
  <si>
    <t>TUBO DE COBRE P/ GAS CLASSE A S/COST DN=1 (28) SOLDA FOSCOPER</t>
  </si>
  <si>
    <t>08.02.063</t>
  </si>
  <si>
    <t>TUBO DE COBRE P/ GAS CLASSE A S/COST DN=1 1/4 (35) SOLDA FOSCOPER</t>
  </si>
  <si>
    <t>08.02.064</t>
  </si>
  <si>
    <t>TUBO DE COBRE P/ GAS CLSSE A S/COST DN=1 1/2 (42) SOLDA FOSCOPER</t>
  </si>
  <si>
    <t>08.02.099</t>
  </si>
  <si>
    <t>SERVICOS EM ABRIGO E REDE DE GAS</t>
  </si>
  <si>
    <t>08.03.001</t>
  </si>
  <si>
    <t>TUBO ACO GALVANIZ NBR5580-CL MEDIA, DN15MM (1/2") - INCL CONEXOES</t>
  </si>
  <si>
    <t>08.03.002</t>
  </si>
  <si>
    <t>TUBO ACO GALVANIZ NBR5580-CL MEDIA, DN20MM (3/4") - INCL CONEXOES</t>
  </si>
  <si>
    <t>08.03.003</t>
  </si>
  <si>
    <t>TUBO ACO GALVANIZ NBR5580-CL MEDIA, DN25MM (1") - INCL. CONEXOES</t>
  </si>
  <si>
    <t>08.03.004</t>
  </si>
  <si>
    <t>TUBO ACO GALVANIZ NBR 5580-CL MEDIA, DN32MM (1 1/4")-INCL CONEXOES</t>
  </si>
  <si>
    <t>08.03.005</t>
  </si>
  <si>
    <t>TUBO ACO GALVANIZ NBR5580-CL MEDIA, DN40MM (1 1/2")-INCL CONEXOES</t>
  </si>
  <si>
    <t>08.03.006</t>
  </si>
  <si>
    <t>TUBO ACO GALVANIZ NBR5580-CL MEDIA, DN50MM (2") - INCL CONEXOES</t>
  </si>
  <si>
    <t>08.03.007</t>
  </si>
  <si>
    <t>TUBO ACO GALVANIZ NBR5580-CL MEDIA, DN65MM (2 1/2") - INCL CONEXOES</t>
  </si>
  <si>
    <t>08.03.008</t>
  </si>
  <si>
    <t>TUBO ACO GALVANIZ NBR5580-CL MEDIA, DN80MM (3")-INCL CONEXOES</t>
  </si>
  <si>
    <t>08.03.009</t>
  </si>
  <si>
    <t>TUBO ACO GALVANIZ NBR5580-CL MEDIA, DN100MM (4")-INCL CONEXOES</t>
  </si>
  <si>
    <t>08.03.010</t>
  </si>
  <si>
    <t>TUBO ACO GALVANIZ NBR5580-CL MEDIA, DN 150MM (6") - INCL CONEXOES</t>
  </si>
  <si>
    <t>08.03.012</t>
  </si>
  <si>
    <t>08.03.015</t>
  </si>
  <si>
    <t>TUBO PVC RÍGIDO JUNTA SOLDÁVEL DE 20 INCL CONEXÕES</t>
  </si>
  <si>
    <t>08.03.016</t>
  </si>
  <si>
    <t>TUBO PVC RÍGIDO JUNTA SOLDÁVEL DE 25 INCL CONEXÕES</t>
  </si>
  <si>
    <t>08.03.017</t>
  </si>
  <si>
    <t>TUBO PVC RÍGIDO JUNTA SOLDÁVEL DE 32 INCL CONEXÕES</t>
  </si>
  <si>
    <t>08.03.018</t>
  </si>
  <si>
    <t>TUBO PVC RÍGIDO JUNTA SOLDÁVEL DE 40 INCL CONEXÕES</t>
  </si>
  <si>
    <t>08.03.019</t>
  </si>
  <si>
    <t>TUBO PVC RÍGIDO JUNTA SOLDÁVEL DE 50 INCL CONEXÕES</t>
  </si>
  <si>
    <t>TUBO PVC RÍGIDO JUNTA SOLDÁVEL DE 60 INCL CONEXÕES</t>
  </si>
  <si>
    <t>08.03.021</t>
  </si>
  <si>
    <t>TUBO PVC RÍGIDO JUNTA SOLDÁVEL DE 75 INCL CONEXÕES</t>
  </si>
  <si>
    <t>08.03.022</t>
  </si>
  <si>
    <t>TUBO PVC RÍGIDO JUNTA SOLDÁVEL DE 85 INCL CONEXÕES</t>
  </si>
  <si>
    <t>08.03.023</t>
  </si>
  <si>
    <t>TUBO PVC RÍGIDO JUNTA SOLDÁVEL DE 110 INCL CONEXÕES</t>
  </si>
  <si>
    <t>08.03.099</t>
  </si>
  <si>
    <t>SERVICOS EM REDE DE AGUA FRIA</t>
  </si>
  <si>
    <t>TUBO DE COBRE NBR13206 CLASSE "E" DN 22 MM (3/4") AGUA QUENTE INCL CONEXOES COM ISOLAÇAO TERMICA POLIETIL EXPANDIDO</t>
  </si>
  <si>
    <t>08.05.011</t>
  </si>
  <si>
    <t>TUBO DE COBRE NBR13206 CLASSE "E" DN 28 MM (1") AGUA QUENTE INCL CONEXOES COM ISOLAÇAO TERMICA POLIETIL EXPANDIDO</t>
  </si>
  <si>
    <t>08.05.012</t>
  </si>
  <si>
    <t>TUBO DE COBRE NBR13206 CLASSE "E" DN 35 MM (1 1/4") AGUA QUENTE INCL CONEXOES COM ISOLAÇAO TERMICA POLIETIL EXPANDIDO</t>
  </si>
  <si>
    <t>08.05.013</t>
  </si>
  <si>
    <t>08.05.014</t>
  </si>
  <si>
    <t>08.05.015</t>
  </si>
  <si>
    <t>08.05.016</t>
  </si>
  <si>
    <t>08.04.001</t>
  </si>
  <si>
    <t>REGISTRO DE GAVETA BRUTO DN 15MM (1/2")</t>
  </si>
  <si>
    <t>08.04.002</t>
  </si>
  <si>
    <t>REGISTRO DE GAVETA BRUTO DN 20MM (3/4")</t>
  </si>
  <si>
    <t>08.04.003</t>
  </si>
  <si>
    <t>REGISTRO DE GAVETA BRUTO DN 25MM (1")</t>
  </si>
  <si>
    <t>08.04.004</t>
  </si>
  <si>
    <t>REGISTRO DE GAVETA BRUTO DN 32MM (1 1/4")</t>
  </si>
  <si>
    <t>08.04.005</t>
  </si>
  <si>
    <t>REGISTRO DE GAVETA BRUTO DN 40MM 1 1/2"</t>
  </si>
  <si>
    <t>08.04.006</t>
  </si>
  <si>
    <t>REGISTRO DE GAVETA BRUTO DN 50MM (2")</t>
  </si>
  <si>
    <t>08.04.007</t>
  </si>
  <si>
    <t>REGISTRO DE GAVETA BRUTO DN 65MM (2 1/2")</t>
  </si>
  <si>
    <t>08.04.008</t>
  </si>
  <si>
    <t>REGISTRO DE GAVETA BRUTO DN 80MM (3")</t>
  </si>
  <si>
    <t>08.04.009</t>
  </si>
  <si>
    <t>REGISTRO DE GAVETA BRUTO DN 100MM (4")</t>
  </si>
  <si>
    <t>08.04.015</t>
  </si>
  <si>
    <t>REGISTRO DE PRESSAO BRUTO DE 1/2"</t>
  </si>
  <si>
    <t>08.04.016</t>
  </si>
  <si>
    <t>REGISTRO DE PRESSAO BRUTO DE 3/4"</t>
  </si>
  <si>
    <t>08.04.021</t>
  </si>
  <si>
    <t>REGISTRO DE GAVETA COM CANOPLA CROMADA DN 15MM (1/2")</t>
  </si>
  <si>
    <t>08.04.022</t>
  </si>
  <si>
    <t>REGISTRO DE GAVETA COM CANOPLA CROMADA DN 20MM (3/4")</t>
  </si>
  <si>
    <t>08.04.023</t>
  </si>
  <si>
    <t>REGISTRO DE GAVETA COM CANOPLA CROMADA DN 25MM (1")</t>
  </si>
  <si>
    <t>08.04.024</t>
  </si>
  <si>
    <t>REGISTRO DE GAVETA COM CANOPLA CROMADA DN 32MM (1 1/4")</t>
  </si>
  <si>
    <t>08.04.025</t>
  </si>
  <si>
    <t>REGISTRO DE GAVETA COM CANOPLA CROMADA DN 40MM (1 1/2")</t>
  </si>
  <si>
    <t>08.04.031</t>
  </si>
  <si>
    <t>REGISTRO DE PRESSAO C/ CANOPLA CROMADA DN 15MM (1/2")</t>
  </si>
  <si>
    <t>08.04.032</t>
  </si>
  <si>
    <t>REGISTRO DE PRESSAO C/ CANOPLA CROMADA DN 20MM (3/4")</t>
  </si>
  <si>
    <t>08.04.043</t>
  </si>
  <si>
    <t>VALVULA DE DESCARGA C/ REG INCORP DN=32MM(1 1/4) ACAB ANTIVANDALISMO</t>
  </si>
  <si>
    <t>08.04.044</t>
  </si>
  <si>
    <t>VALVULA DE DESCARGA C/ REG INCORP DN=40MM(1 1/2) ACAB ANTIVANDALISMO</t>
  </si>
  <si>
    <t>08.04.048</t>
  </si>
  <si>
    <t>VALVULA DE DESCARGA DE FECHAMENTO AUTOMATICO PARA MICTORIO</t>
  </si>
  <si>
    <t>08.04.051</t>
  </si>
  <si>
    <t>VALVULA DE DESCARGA C/REG INCORP DN 32MM (1 1/4") C/ ACAB SIMPLES</t>
  </si>
  <si>
    <t>08.04.052</t>
  </si>
  <si>
    <t>VALVULA DE DESCARGA C/REG INCORP DN 40MM (1 1/2") C/ ACAB SIMPLES</t>
  </si>
  <si>
    <t>08.04.053</t>
  </si>
  <si>
    <t>08.04.054</t>
  </si>
  <si>
    <t>08.04.060</t>
  </si>
  <si>
    <t>ENVELOPE DE CONCRETO PARA DUTOS</t>
  </si>
  <si>
    <t>08.04.099</t>
  </si>
  <si>
    <t>08.05.005</t>
  </si>
  <si>
    <t>TUBO DE COBRE NBR13206 CLASSE "E" DN 15MM (1/2") AGUA QUENTE INCL CONEXOES</t>
  </si>
  <si>
    <t>08.05.006</t>
  </si>
  <si>
    <t>TUBO DE COBRE NBR13206 CLASSE "E" DN 22MM (3/4") AGUA QUENTE INCL CONEXOES</t>
  </si>
  <si>
    <t>08.05.007</t>
  </si>
  <si>
    <t>TUBO DE COBRE NBR13206 CLASSE "E" DN 28MM (1") AGUA QUENTE INCL CONEXOES</t>
  </si>
  <si>
    <t>08.05.008</t>
  </si>
  <si>
    <t>TUBO DE COBRE NBR13206 CLASSE "E" DN 35MM (1 1/4") AGUA QUENTE INCL CONEXOES</t>
  </si>
  <si>
    <t>08.05.009</t>
  </si>
  <si>
    <t>TUBO DE COBRE NBR13206 CLASSE "E" DN 15 MM (1/2") AGUA QUENTE INCL CONEXOES COM ISOLAÇAO TERMICA POLIETIL EXPANDIDO</t>
  </si>
  <si>
    <t>08.05.099</t>
  </si>
  <si>
    <t>SERVIÇOS EM REDE DE ÁGUA QUENTE</t>
  </si>
  <si>
    <t>08.06.001</t>
  </si>
  <si>
    <t>08.06.004</t>
  </si>
  <si>
    <t>08.07.002</t>
  </si>
  <si>
    <t>TUBO ACO GALVANIZ NBR5580-CL MEDIA, DN65MM (2 1/2")- INCL CONEXOES</t>
  </si>
  <si>
    <t>08.07.003</t>
  </si>
  <si>
    <t>08.07.004</t>
  </si>
  <si>
    <t>TUBO ACO GLAVANIZ NBR5580-CL MEDIA, DN100MM (4")-INCL CONEXOES</t>
  </si>
  <si>
    <t>08.07.005</t>
  </si>
  <si>
    <t>08.07.010</t>
  </si>
  <si>
    <t>PROTECAO ANTI CORROSIVA PARA RAMAIS SOB A TERRA</t>
  </si>
  <si>
    <t>08.07.099</t>
  </si>
  <si>
    <t>SERVICOS EM REDE DE INCENDIO</t>
  </si>
  <si>
    <t>08.08.002</t>
  </si>
  <si>
    <t>08.08.003</t>
  </si>
  <si>
    <t>08.08.004</t>
  </si>
  <si>
    <t>08.08.010</t>
  </si>
  <si>
    <t>REGISTRO GLOBO ANGULAR AMARELO 2 1/2"</t>
  </si>
  <si>
    <t>08.08.012</t>
  </si>
  <si>
    <t>REGISTRO DE RECALQUE NO PASSEIO (RR-01)</t>
  </si>
  <si>
    <t>08.08.015</t>
  </si>
  <si>
    <t>VALVULA DE RETENCAO VERT.BRONZE TIPO LEVE DE 2 1/2"</t>
  </si>
  <si>
    <t>08.08.016</t>
  </si>
  <si>
    <t>VALVULA DE RETENCAO VERT.BRONZE TIPO LEVE DE 3"</t>
  </si>
  <si>
    <t>08.08.017</t>
  </si>
  <si>
    <t>VALVULA DE RETENCAO VERT.BRONZE TIPO LEVE DE 4"</t>
  </si>
  <si>
    <t>08.08.021</t>
  </si>
  <si>
    <t>HIDRANTE COM REGISTRO TIPO GLOBO AMARELO DE 2 1/2"</t>
  </si>
  <si>
    <t>08.08.028</t>
  </si>
  <si>
    <t>08.08.030</t>
  </si>
  <si>
    <t>MANGUEIRA COM UNIAO DE ENGATE RAPIDO DE 1 1/2"</t>
  </si>
  <si>
    <t>08.08.031</t>
  </si>
  <si>
    <t>MANGUEIRA COM UNIAO DE ENGATE RAPIDO DE 2 1/2"</t>
  </si>
  <si>
    <t>08.08.035</t>
  </si>
  <si>
    <t>ESGUICHO DE LATAO C/ENGATE RAPIDO ORIFICIO DE 1/2"</t>
  </si>
  <si>
    <t>08.08.036</t>
  </si>
  <si>
    <t>ESGUICHO DE LATAO C/ENGATE RAPIDO ORIFICIO DE 5/8"</t>
  </si>
  <si>
    <t>08.08.037</t>
  </si>
  <si>
    <t>ESGUICHO DE LATAO C/ENGATE RAPIDO ORIFICIO DE 3/4"</t>
  </si>
  <si>
    <t>08.08.041</t>
  </si>
  <si>
    <t>VALVULA RETENCAO HORIZ BRONZE DE 2 1/2"</t>
  </si>
  <si>
    <t>08.08.042</t>
  </si>
  <si>
    <t>VALVULA RETENCAO HORIZONTAL DE BRONZE DE 3"</t>
  </si>
  <si>
    <t>08.08.043</t>
  </si>
  <si>
    <t>VALVULA RETENCAO HORIZONTAL BRONZE DE 4"</t>
  </si>
  <si>
    <t>08.08.044</t>
  </si>
  <si>
    <t>EXTINTORES MANUAIS DE CO2 CAPACIDADE 4KG</t>
  </si>
  <si>
    <t>08.08.045</t>
  </si>
  <si>
    <t>EXTINTORES MANUAIS DE CO2 COM CAPACIDADE DE 6 KG</t>
  </si>
  <si>
    <t>08.08.046</t>
  </si>
  <si>
    <t>EXTINTORES MANUAIS PO QUIMICO SECO COM CAPACIDADE DE 4 KG</t>
  </si>
  <si>
    <t>08.08.047</t>
  </si>
  <si>
    <t>EXTINTOR MANUAL PO QUIMICO SECO C/ CAPACIDADE DE 12KG</t>
  </si>
  <si>
    <t>08.08.048</t>
  </si>
  <si>
    <t>EXTINTOR PORTATIL DE PO QUIMICO BC CAPACIDADE 6 KG</t>
  </si>
  <si>
    <t>08.08.050</t>
  </si>
  <si>
    <t>EXTINTORES MANUAIS DE AGUA PRESSURIZADA CAP DE 10 L</t>
  </si>
  <si>
    <t>08.08.051</t>
  </si>
  <si>
    <t>EXTINTOR PORTATIL DE PO QUIMICO ABC CAPACIDADE 6 KG</t>
  </si>
  <si>
    <t>08.08.060</t>
  </si>
  <si>
    <t>MANOMETRO INDUSTRIAL COM TOMADA INFERIOR.</t>
  </si>
  <si>
    <t>08.08.061</t>
  </si>
  <si>
    <t>PRESSOSTATO (VALVULA DE FLUXO) COM SENSOR DIAFRAGMA.</t>
  </si>
  <si>
    <t>08.08.069</t>
  </si>
  <si>
    <t>AI-01 ABRIGO PARA BOMBA DE INCENDIO</t>
  </si>
  <si>
    <t>08.08.070</t>
  </si>
  <si>
    <t>CONJ MOTOR-BOMBA (CENTRIFUGA) 1/2 HP (3400 L/H -20 MCA)</t>
  </si>
  <si>
    <t>08.08.071</t>
  </si>
  <si>
    <t>CONJ MOTOR-BOMBA (CENTRIFUGA) 3/4 HP (7400 L/H - 20 MCA)</t>
  </si>
  <si>
    <t>08.08.072</t>
  </si>
  <si>
    <t>CONJ MOTOR-BOMBA (CENTRIFUGA) 1 HP (8500 L/H - 20 MCA)</t>
  </si>
  <si>
    <t>08.08.073</t>
  </si>
  <si>
    <t>CONJ MOTOR-BOMBA (CENTRIFUGA) 1.5 HP (10000 L/H - 20 MCA)</t>
  </si>
  <si>
    <t>08.08.074</t>
  </si>
  <si>
    <t>CONJ MOTOR-BOMBA (CENTRIFUGA) 2 HP (13900 L/H - 20 MCA)</t>
  </si>
  <si>
    <t>08.08.075</t>
  </si>
  <si>
    <t>CONJ MOTOR-BOMBA (CENTRIFUGA) 3 HP (25000 L/H - 20 MCA)</t>
  </si>
  <si>
    <t>08.08.076</t>
  </si>
  <si>
    <t>CONJ MOTOR-BOMBA (CENTRIFUGA) 4 HP (31200 L/H - 20 MCA)</t>
  </si>
  <si>
    <t>08.08.077</t>
  </si>
  <si>
    <t>CONJ MOTOR-BOMBA (CENTRIFUGA) 5 HP (31200 L/H -20 MCA)</t>
  </si>
  <si>
    <t>08.08.078</t>
  </si>
  <si>
    <t>CONJ MOTOR-BOMBA (CENTRIFUGA) 7,5 HP (40000L/H 20 MCA)</t>
  </si>
  <si>
    <t>08.08.079</t>
  </si>
  <si>
    <t>CONJ MOTOR-BOMBA (CENTRIFUGA) 10 HP (40000 L/H 20MCA)</t>
  </si>
  <si>
    <t>08.08.090</t>
  </si>
  <si>
    <t>TREINAMENTO BÁSICO PARA BRIGADA DE INCÊNDIO INCLUSO EQUIPAMENTOS (PO PARTICIPANTE)</t>
  </si>
  <si>
    <t>08.08.099</t>
  </si>
  <si>
    <t>08.09.001</t>
  </si>
  <si>
    <t>08.09.002</t>
  </si>
  <si>
    <t>08.09.003</t>
  </si>
  <si>
    <t>08.09.015</t>
  </si>
  <si>
    <t>TUBO PVC NORMAL "SN" JUNTA SOLDÁVEL/ELÁSTICA DN 40 INCL CONEXÕES</t>
  </si>
  <si>
    <t>08.09.016</t>
  </si>
  <si>
    <t>TUBO PVC NORMAL "SN" JUNTA ELÁSTICA DN 50 INCL CONEXÕES</t>
  </si>
  <si>
    <t>08.09.017</t>
  </si>
  <si>
    <t>TUBO PVC NORMAL "SN" JUNTA ELÁSTICA DN 75 INCL CONEXÕES</t>
  </si>
  <si>
    <t>08.09.018</t>
  </si>
  <si>
    <t>TUBO PVC NORMAL "SN" JUNTA ELÁSTICA DN 100 INCL CONEXÕES</t>
  </si>
  <si>
    <t>08.09.019</t>
  </si>
  <si>
    <t>TUBO PVC NORMAL "SN" JUNTA ELÁSTICA DN 150 INCL CONEXÕES</t>
  </si>
  <si>
    <t>08.09.030</t>
  </si>
  <si>
    <t>TUBO DE ACO GALVANIZADO DN 40MM (1.1/2") - INCLUSIVE CONEXOES</t>
  </si>
  <si>
    <t>08.09.060</t>
  </si>
  <si>
    <t>TUBO PVC REFORÇADO "SR" JUNTA ELÁSTICA DN 40 INCL CONEXÕES</t>
  </si>
  <si>
    <t>08.09.061</t>
  </si>
  <si>
    <t>TUBO PVC REFORÇADO "SR" JUNTA ELÁSTICA DN 50 INCL CONEXÕES</t>
  </si>
  <si>
    <t>08.09.062</t>
  </si>
  <si>
    <t>TUBO PVC REFORÇADO "SR" JUNTA ELÁSTICA DN 75 INCL CONEXÕES</t>
  </si>
  <si>
    <t>08.09.063</t>
  </si>
  <si>
    <t>TUBO PVC REFORÇADO "SR" JUNTA ELÁSTICA DN 100 INCL CONEXÕES</t>
  </si>
  <si>
    <t>08.09.064</t>
  </si>
  <si>
    <t>TUBO PVC REFORÇADO "SR" JUNTA ELÁSTICA DN 150 INCL CONEXÕES</t>
  </si>
  <si>
    <t>08.09.099</t>
  </si>
  <si>
    <t>SERVICOS EM REDE DE ESGOTO</t>
  </si>
  <si>
    <t>08.10.004</t>
  </si>
  <si>
    <t>CAIXA SIFONADA DE PVC DN 100X150X50MM C/GRELHA PVC CROMADO</t>
  </si>
  <si>
    <t>08.10.006</t>
  </si>
  <si>
    <t>CAIXA SIFONADA DE PVC DN 150X150X50MM C/GRELHA METALICA</t>
  </si>
  <si>
    <t>08.10.007</t>
  </si>
  <si>
    <t>CAIXA SIFONADA DE PVC DN 150X150X50MM COM GRELHA DE PVC CROMADO</t>
  </si>
  <si>
    <t>08.10.008</t>
  </si>
  <si>
    <t>CAIXA SIFONADA DE PVC DN 100X150X50MM COM GRELHA DE AÇO INOX COM FECHO ROTATIVO.</t>
  </si>
  <si>
    <t>08.10.009</t>
  </si>
  <si>
    <t>CAIXA SIFONADA DE PVC DN 150X150X50MM COM GRELHA DE AÇO INOX COM FECHO ROTATIVO.</t>
  </si>
  <si>
    <t>08.10.010</t>
  </si>
  <si>
    <t>CAIXA SIFONADA DE PVC DN 100X100X50MM C/GRELHA PVC CROMADO</t>
  </si>
  <si>
    <t>08.10.011</t>
  </si>
  <si>
    <t>CAIXA SIFONADA DE PVC DN 150X185X75MM C/GRELHA PVC CROMADO</t>
  </si>
  <si>
    <t>08.10.045</t>
  </si>
  <si>
    <t>08.10.048</t>
  </si>
  <si>
    <t>RALO SIFONADO DE F.FUNDIDO DN 150 MM C/GRELHA PVC CROMADO</t>
  </si>
  <si>
    <t>08.10.049</t>
  </si>
  <si>
    <t>08.10.050</t>
  </si>
  <si>
    <t>RALO SECO DE F.FUNDIDO DN 100 MM C/GRELHA PVC CROMADO</t>
  </si>
  <si>
    <t>08.10.056</t>
  </si>
  <si>
    <t>TERMINAL DE VENTILACAO EM PVC P/ESGOTO DN 50MM (2")</t>
  </si>
  <si>
    <t>08.10.057</t>
  </si>
  <si>
    <t>TERMINAL DE VENTILACAO EM PVC P/ ESGOTO DN 75MM (3")</t>
  </si>
  <si>
    <t>08.10.058</t>
  </si>
  <si>
    <t>TERMINAL DE VENTILACAO EM PVC P/ ESGOTO DN 100MM(4")</t>
  </si>
  <si>
    <t>08.10.099</t>
  </si>
  <si>
    <t>08.11.002</t>
  </si>
  <si>
    <t>TUBO DE FERRO FUNDIDO DN 50MM (2") - INCLUSIVE CONEXOES</t>
  </si>
  <si>
    <t>08.11.003</t>
  </si>
  <si>
    <t>TUBO DE FERRO FUNDIDO DN 75MM (3") - INCLUSIVE CONEXOES</t>
  </si>
  <si>
    <t>08.11.004</t>
  </si>
  <si>
    <t>TUBO DE FERRO FUNDIDO DN 100MM (4") - INCLUSIVE CONEXOES</t>
  </si>
  <si>
    <t>08.11.005</t>
  </si>
  <si>
    <t>TUBO DE FERRO FUNDIDO DN 150MM (6") - INCLUSIVE CONEXOES</t>
  </si>
  <si>
    <t>08.11.015</t>
  </si>
  <si>
    <t>DESCIDA DE AGUA PLUVIAL H=300CM C/TUBO DE FºFº DN 100MM PONTA-BOLSA INCL.FIX.NA PAREDE</t>
  </si>
  <si>
    <t>08.11.016</t>
  </si>
  <si>
    <t>DESCIDA DE AGUA PLUVIAL H=300CM C/TUBO DE FºFº DN 150MM PONTA-BOLSA INCL.FIX.NA PAREDE</t>
  </si>
  <si>
    <t>08.11.024</t>
  </si>
  <si>
    <t>08.11.025</t>
  </si>
  <si>
    <t>08.11.026</t>
  </si>
  <si>
    <t>08.11.027</t>
  </si>
  <si>
    <t>08.11.050</t>
  </si>
  <si>
    <t>TUBO DE PVC REFORÇADO "SR" JUNTA ELÁSTICA DN 40 INCL CONEXÕES</t>
  </si>
  <si>
    <t>08.11.051</t>
  </si>
  <si>
    <t>TUBO DE PVC REFORÇADO "SR" JUNTA ELÁSTICA DN 50 INCL CONEXÕES</t>
  </si>
  <si>
    <t>08.11.052</t>
  </si>
  <si>
    <t>TUBO DE PVC REFORÇADO "SR" JUNTA ELÁSTICA DN 75 INCL CONEXÕES</t>
  </si>
  <si>
    <t>08.11.053</t>
  </si>
  <si>
    <t>TUBO DE PVC REFORÇADO "SR" JUNTA ELÁSTICA DN 100 INCL CONEXÕES</t>
  </si>
  <si>
    <t>08.11.054</t>
  </si>
  <si>
    <t>TUBO DE PVC REFORÇADO "SR" JUNTA ELÁSTICA DN 150 INCL CONEXÕES</t>
  </si>
  <si>
    <t>08.11.099</t>
  </si>
  <si>
    <t>SERVICOS EM REDE DE AGUAS PLUVIAIS</t>
  </si>
  <si>
    <t>08.12.001</t>
  </si>
  <si>
    <t>CONDUTOR EM CHAPA GALVANIZADA N 24 DESENV. 0,25M</t>
  </si>
  <si>
    <t>08.12.002</t>
  </si>
  <si>
    <t>CONDUTOR EM CHAPA GALVANIZADA N 26 DESENV. 0,25M</t>
  </si>
  <si>
    <t>08.12.003</t>
  </si>
  <si>
    <t>CONDUTOR DE CHAPA GALVANIZADA N 24 - DESENVOLVIMENTO DE 0,33 M</t>
  </si>
  <si>
    <t>08.12.004</t>
  </si>
  <si>
    <t>CONDUTOR DE CHAPA GALVANIZADA N 26 - DESENVOLVIMENTO DE 0,33 M</t>
  </si>
  <si>
    <t>08.12.007</t>
  </si>
  <si>
    <t>LIGACAO CALHA CONDUTOR DE CHAPA ACO GALVANIZADO N.24 DIAMETRO DE 3"</t>
  </si>
  <si>
    <t>08.12.008</t>
  </si>
  <si>
    <t>LIGACAO CALHA CONDUTOR DE CHAPA ACO GALVANIZADO N.24 DIAMETRO DE 4"</t>
  </si>
  <si>
    <t>08.12.015</t>
  </si>
  <si>
    <t>CALHA OU AGUA FURTADA EM CHAPA GALV. N 24 - CORTE 0,33M</t>
  </si>
  <si>
    <t>08.12.016</t>
  </si>
  <si>
    <t>CALHA OU AGUA FURTADA EM CHAPA GALV. N 24 - CORTE 0,50M</t>
  </si>
  <si>
    <t>08.12.017</t>
  </si>
  <si>
    <t>CALHA OU AGUA FURTADA EM CHAPA GALV. N 24 - CORTE 1,00M</t>
  </si>
  <si>
    <t>08.12.021</t>
  </si>
  <si>
    <t>CALHA OU AGUA FURTADA EM CHAPA GALV. N 26 - CORTE 0.33M</t>
  </si>
  <si>
    <t>08.12.022</t>
  </si>
  <si>
    <t>CALHA OU AGUA FURTADA EM CHAPA GALV. N 26 - CORTE 0,50M</t>
  </si>
  <si>
    <t>08.12.023</t>
  </si>
  <si>
    <t>CALHA OU AGUA FURTADA EM CHAPA GALV. N 26 - CORTE 1,00M</t>
  </si>
  <si>
    <t>08.12.031</t>
  </si>
  <si>
    <t>RUFO EM CHAPA GALVANIZADA N 24 - CORTE 0,16 M</t>
  </si>
  <si>
    <t>08.12.032</t>
  </si>
  <si>
    <t>RUFO EM CHAPA GALVANIZADA N 24 - CORTE 0,25 M</t>
  </si>
  <si>
    <t>08.12.033</t>
  </si>
  <si>
    <t>RUFO EM CHAPA GALVANIZADA N 24 - CORTE 0,33 M</t>
  </si>
  <si>
    <t>08.12.034</t>
  </si>
  <si>
    <t>RUFO EM CHAPA GALVANIZADA N 24 - CORTE 0,50 M</t>
  </si>
  <si>
    <t>08.12.035</t>
  </si>
  <si>
    <t>RUFO EM CHAPA GALVANIZADA N 24 - CORTE 1,00 M</t>
  </si>
  <si>
    <t>08.12.038</t>
  </si>
  <si>
    <t>RUFO EM CHAPA GALVANIZADA N 26 - CORTE 0,16 M</t>
  </si>
  <si>
    <t>08.12.039</t>
  </si>
  <si>
    <t>RUFO EM CHAPA GALVANIZADA N 26 - CORTE 0,25 M</t>
  </si>
  <si>
    <t>08.12.040</t>
  </si>
  <si>
    <t>RUFO EM CHAPA GALVANIZADA N 26 - CORTE 0,33 M</t>
  </si>
  <si>
    <t>08.12.041</t>
  </si>
  <si>
    <t>RUFO EM CHAPA GALVANIZADA N 26 - CORTE 0,50 M</t>
  </si>
  <si>
    <t>08.12.042</t>
  </si>
  <si>
    <t>RUFO EM CHAPA GALVANIZADA N 26 - CORTE 1,00 M</t>
  </si>
  <si>
    <t>08.12.065</t>
  </si>
  <si>
    <t>GRELHA HEMISFERICA DE FERRO FUNDIDO DN 75MM (3")</t>
  </si>
  <si>
    <t>08.12.066</t>
  </si>
  <si>
    <t>GRELHA HEMISFERICA DE FERRO FUNDIDO DN 100MM (4")</t>
  </si>
  <si>
    <t>08.12.067</t>
  </si>
  <si>
    <t>GRELHA HEMISFERICA DE FERRO FUNDIDO DN 150MM (6")</t>
  </si>
  <si>
    <t>08.12.087</t>
  </si>
  <si>
    <t>RALO SECO DE F. FUNDIDO DN 100 MM C/GRELHA PVC CROMADO</t>
  </si>
  <si>
    <t>08.12.099</t>
  </si>
  <si>
    <t>08.13.001</t>
  </si>
  <si>
    <t>08.13.002</t>
  </si>
  <si>
    <t>08.13.003</t>
  </si>
  <si>
    <t>08.13.004</t>
  </si>
  <si>
    <t>08.13.005</t>
  </si>
  <si>
    <t>08.13.006</t>
  </si>
  <si>
    <t>08.13.007</t>
  </si>
  <si>
    <t>08.13.008</t>
  </si>
  <si>
    <t>08.13.011</t>
  </si>
  <si>
    <t>08.13.012</t>
  </si>
  <si>
    <t>TUBO ACO GALVANIZ NBR5580-CL MEDIA, DN25MM (1") - INCL CONEXOES</t>
  </si>
  <si>
    <t>08.13.013</t>
  </si>
  <si>
    <t>TUBO ACO GALVANIZ NBR5580-CL MEDIA, DN32MM (1 1/4")-INCL CONEXOES</t>
  </si>
  <si>
    <t>08.13.014</t>
  </si>
  <si>
    <t>TUBO ACO GALVANIZ NBR5580-CL MEDIA, DN40MM (1 1/2") - INCL CONEXOES</t>
  </si>
  <si>
    <t>08.13.015</t>
  </si>
  <si>
    <t>08.13.016</t>
  </si>
  <si>
    <t>TUBO ACO GALVANIZ NBR5580-CL MEDIA, DN65MM (2 1/2")-INCL CONEXOES</t>
  </si>
  <si>
    <t>08.13.017</t>
  </si>
  <si>
    <t>08.13.018</t>
  </si>
  <si>
    <t>08.13.099</t>
  </si>
  <si>
    <t>SERVICOS EM RESERVATORIOS</t>
  </si>
  <si>
    <t>08.14.002</t>
  </si>
  <si>
    <t>08.14.003</t>
  </si>
  <si>
    <t>08.14.004</t>
  </si>
  <si>
    <t>08.14.005</t>
  </si>
  <si>
    <t>REGISTRO DE GAVETA BRUTO DN 40MM (1.1/2")</t>
  </si>
  <si>
    <t>08.14.006</t>
  </si>
  <si>
    <t>08.14.007</t>
  </si>
  <si>
    <t>REGISTRO DE GAVETA BRUTO DN 65MM (2.1/2")</t>
  </si>
  <si>
    <t>08.14.008</t>
  </si>
  <si>
    <t>08.14.009</t>
  </si>
  <si>
    <t>08.14.016</t>
  </si>
  <si>
    <t>VALVULA DE RETENCAO HORIZONTAL DE BRONZE DE 1"</t>
  </si>
  <si>
    <t>08.14.017</t>
  </si>
  <si>
    <t>VALVULA DE RETENCAO HORIZONTAL DE BRONZE DE 1.1/4"</t>
  </si>
  <si>
    <t>08.14.018</t>
  </si>
  <si>
    <t>VALVULA DE RETENCAO HORIZONTAL DE BRONZE DE 1.1/2"</t>
  </si>
  <si>
    <t>08.14.019</t>
  </si>
  <si>
    <t>VALVULA DE RETENCAO HORIZONTAL DE BRONZE DE 2"</t>
  </si>
  <si>
    <t>08.14.020</t>
  </si>
  <si>
    <t>VALVULA DE RETENCAO HORIZONTAL DE BRONZE DE 2.1/2"</t>
  </si>
  <si>
    <t>08.14.021</t>
  </si>
  <si>
    <t>VALVULA DE RETENCAO HORIZONTAL DE BRONZE DE 3"</t>
  </si>
  <si>
    <t>08.14.022</t>
  </si>
  <si>
    <t>VALVULA DE RETENCAO HORIZONTAL DE BRONZE DE 4"</t>
  </si>
  <si>
    <t>08.14.026</t>
  </si>
  <si>
    <t>VALVULA DE RETENCAO VERTICAL DE BRONZE DE 1"</t>
  </si>
  <si>
    <t>08.14.027</t>
  </si>
  <si>
    <t>VALVULA DE RETENCAO VERTICAL DE BRONZE DE 1.1/4"</t>
  </si>
  <si>
    <t>08.14.028</t>
  </si>
  <si>
    <t>VALVULA DE RETENCAO VERTICAL DE BRONZE DE 1.1/2"</t>
  </si>
  <si>
    <t>08.14.029</t>
  </si>
  <si>
    <t>VALVULA DE RETENCAO VERTICAL DE BRONZE DE 2"</t>
  </si>
  <si>
    <t>08.14.030</t>
  </si>
  <si>
    <t>VALVULA DE RETENCAO VERTICAL DE BRONZE DE 2.1/2"</t>
  </si>
  <si>
    <t>08.14.031</t>
  </si>
  <si>
    <t>VALVULA DE RETENCAO VERTICAL DE BRONZE DE 3"</t>
  </si>
  <si>
    <t>08.14.032</t>
  </si>
  <si>
    <t>VALVULA DE RETENCAO VERTICAL DE BRONZE DE 4"</t>
  </si>
  <si>
    <t>08.14.035</t>
  </si>
  <si>
    <t>VALVULA DE RETENCAO DE PE COM CRIVO DE BRONZE DE 1"</t>
  </si>
  <si>
    <t>08.14.036</t>
  </si>
  <si>
    <t>VALVULA DE RETENCAO DE PE COM CRIVO DE BRONZE DE 1.1/4"</t>
  </si>
  <si>
    <t>08.14.037</t>
  </si>
  <si>
    <t>VALVULA DE RETENCAO DE PE COM CRIVO DE BRONZE DE 1.1/2"</t>
  </si>
  <si>
    <t>08.14.038</t>
  </si>
  <si>
    <t>VALVULA DE RETENCAO DE PE COM CRIVO DE BRONZE DE 2"</t>
  </si>
  <si>
    <t>08.14.039</t>
  </si>
  <si>
    <t>VALVULA DE RETENCAO DE PE COM CRIVO DE BRONZE DE 2.1/2"</t>
  </si>
  <si>
    <t>08.14.040</t>
  </si>
  <si>
    <t>VALVULA DE RETENCAO DE PE COM CRIVO DE BRONZE DE 3"</t>
  </si>
  <si>
    <t>08.14.045</t>
  </si>
  <si>
    <t>08.14.046</t>
  </si>
  <si>
    <t>08.14.049</t>
  </si>
  <si>
    <t>TORNEIRA DE BOIA EM LATAO (BOIA PLAST) DN50MM (2")</t>
  </si>
  <si>
    <t>08.14.062</t>
  </si>
  <si>
    <t>ANEIS PRE-MOLDADOS EM CONCRETO ARMADO P/ RESERVATORIO D'AGUA D=3,00M</t>
  </si>
  <si>
    <t>08.14.063</t>
  </si>
  <si>
    <t>LAJE PRE-MOLDADA D=3,00M E=8CM P/ RESERVATORIO</t>
  </si>
  <si>
    <t>08.14.064</t>
  </si>
  <si>
    <t>LAJE PRE-MOLDADA D=3,00M E=15CM P/ RESERVATORIO</t>
  </si>
  <si>
    <t>08.14.071</t>
  </si>
  <si>
    <t>CONJ MOTOR-BOMBA (CENTRIFUGA) 1/2 HP (3400 L/H-20 MCA)</t>
  </si>
  <si>
    <t>08.14.072</t>
  </si>
  <si>
    <t>CONJ MOTOR-BOMBA(CENTRIFUGA)3/4 HP(7400 L/H-20 MCA)</t>
  </si>
  <si>
    <t>08.14.073</t>
  </si>
  <si>
    <t>CONJ MOTOR-BOMBA(CENTRIFUGA)1,5 HP(10000 L/H-20 MCA)</t>
  </si>
  <si>
    <t>08.14.074</t>
  </si>
  <si>
    <t>CONJ MOTOR-BOMBA (CENTRIFUGA) 2 HP (13900 L/H-20 MCA)</t>
  </si>
  <si>
    <t>08.14.075</t>
  </si>
  <si>
    <t>CONJ MOTOR-BOMBA(CENTRIFUGA)3 HP(25000 L/H-20 MCA)</t>
  </si>
  <si>
    <t>08.14.078</t>
  </si>
  <si>
    <t>CONJ MOTOR-BOMBA (CENTRIFUGA) 1 HP 8500 L/H-20 MCA</t>
  </si>
  <si>
    <t>08.14.085</t>
  </si>
  <si>
    <t>ANEIS PRE-MOLDADOS EM CONCRETO ARMADO P/ RESERVATORIO D'AGUA D=2,50M</t>
  </si>
  <si>
    <t>08.14.086</t>
  </si>
  <si>
    <t>LAJE PRE-MOLDADA D=2,50M E=8CM P/ RESERVATORIO</t>
  </si>
  <si>
    <t>08.14.087</t>
  </si>
  <si>
    <t>LAJE PRE-MOLDADA D=2,50M E=15CM P/ RESERVATORIO</t>
  </si>
  <si>
    <t>08.14.099</t>
  </si>
  <si>
    <t>SERVICOS RESERVATORIOS</t>
  </si>
  <si>
    <t>08.14.101</t>
  </si>
  <si>
    <t>CAIXA DÁGUA CÔNICA POLIETILENO CAPACIDADE DE 500L INCLUSIVE TAMPA</t>
  </si>
  <si>
    <t>08.14.103</t>
  </si>
  <si>
    <t>CAIXA DÁGUA CÔNICA POLIETILENO CAPACIDADE DE 1000L INCLUSIVE TAMPA</t>
  </si>
  <si>
    <t>08.15.002</t>
  </si>
  <si>
    <t>BN-01 BANHO BERCÁRIO</t>
  </si>
  <si>
    <t>08.15.003</t>
  </si>
  <si>
    <t>BN-02 BANHO INFANTIL</t>
  </si>
  <si>
    <t>08.15.013</t>
  </si>
  <si>
    <t>LT-04 LAVATORIO /BEBEDOURO COLETIVO COM TORNEIRA ANTIVANDALISMO</t>
  </si>
  <si>
    <t>08.15.016</t>
  </si>
  <si>
    <t>BB-01 BEBEDOURO COLETIVO</t>
  </si>
  <si>
    <t>08.15.017</t>
  </si>
  <si>
    <t>08.15.018</t>
  </si>
  <si>
    <t>LT-06 LAVATÓRIO COLETIVO COM TORNEIRA ANTIVANDALISMO</t>
  </si>
  <si>
    <t>08.15.019</t>
  </si>
  <si>
    <t>LT-07 LAVATÓRIO COLETIVO COM TORNEIRA DE MESA- SANIT.ADMINISTRAÇÃO</t>
  </si>
  <si>
    <t>08.15.023</t>
  </si>
  <si>
    <t>MT-04 MICTORIO COLETIVO</t>
  </si>
  <si>
    <t>08.15.099</t>
  </si>
  <si>
    <t>SERVICOS EM BEBEDOUROS,LAVATORIOS E MICTORIOS PADRONIZADOS</t>
  </si>
  <si>
    <t>08.16.001</t>
  </si>
  <si>
    <t>BACIA SIFONADA DE LOUCA BRANCA (VDR 6L) C/ ASSENTO</t>
  </si>
  <si>
    <t>08.16.003</t>
  </si>
  <si>
    <t>BACIA SANITÁRIA INFANTIL</t>
  </si>
  <si>
    <t>08.16.004</t>
  </si>
  <si>
    <t>BACIA SIFONADA COM CAIXA DE DESCARGA ACOPLADA BRANCA</t>
  </si>
  <si>
    <t>08.16.010</t>
  </si>
  <si>
    <t>LAVATORIO DE LOUCA BRANCA SEM COLUNA C/ TORNEIRA DE FECHAM AUTOMATICO</t>
  </si>
  <si>
    <t>08.16.025</t>
  </si>
  <si>
    <t>MICTORIO DE LOUCA SIFONADO/AUTO ASPIRANTE BRANCO</t>
  </si>
  <si>
    <t>08.16.045</t>
  </si>
  <si>
    <t>TANQUE DE LOUCA BRANCA,PEQUENO C/COLUNA</t>
  </si>
  <si>
    <t>08.16.046</t>
  </si>
  <si>
    <t>TANQUE DE LOUCA BRANCA,GRANDE C/COLUNA</t>
  </si>
  <si>
    <t>08.16.050</t>
  </si>
  <si>
    <t>SABONETEIRA DE LOUCA BRANCA DE 7,5X15 CM</t>
  </si>
  <si>
    <t>08.16.051</t>
  </si>
  <si>
    <t>SABONETEIRA DE LOUCA BRANCA DE 15X15 CM</t>
  </si>
  <si>
    <t>08.16.053</t>
  </si>
  <si>
    <t>BR-07 CHUVEIRO ACESSIVEL</t>
  </si>
  <si>
    <t>08.16.054</t>
  </si>
  <si>
    <t>BR-08 BACIA PARA SANITARIO ACESSIVEL</t>
  </si>
  <si>
    <t>08.16.055</t>
  </si>
  <si>
    <t>BR-09 LAVATORIO ACESSIVEL</t>
  </si>
  <si>
    <t>08.16.056</t>
  </si>
  <si>
    <t>BR-10 LAVATORIO (CANTO) ACESSIVEL</t>
  </si>
  <si>
    <t>08.16.065</t>
  </si>
  <si>
    <t>PAPELEIRA DE LOUCA BRANCA DE 15X15CM</t>
  </si>
  <si>
    <t>08.16.070</t>
  </si>
  <si>
    <t>CABIDE DE LOUCA BRANCA COM 2 GANCHOS</t>
  </si>
  <si>
    <t>08.16.073</t>
  </si>
  <si>
    <t>BC-23 BANCO DE GRANITO 2CM COM BORDA ARREDONDADA PARA VESTIÁRIO</t>
  </si>
  <si>
    <t>08.16.083</t>
  </si>
  <si>
    <t>VA-01 VARAL/TOALHEIRO</t>
  </si>
  <si>
    <t>08.16.089</t>
  </si>
  <si>
    <t>BR-01 BACIA P/ SANITARIO ACESSIVEL</t>
  </si>
  <si>
    <t>08.16.090</t>
  </si>
  <si>
    <t>08.16.091</t>
  </si>
  <si>
    <t>08.16.092</t>
  </si>
  <si>
    <t>BR-04 BARRA DE APOIO COM FIXAÇÃO LATERAL</t>
  </si>
  <si>
    <t>08.16.093</t>
  </si>
  <si>
    <t>BR-05 TROCADOR ACESSÍVEL</t>
  </si>
  <si>
    <t>08.16.094</t>
  </si>
  <si>
    <t>BR-06 CHUVEIRO ACESSIVEL</t>
  </si>
  <si>
    <t>08.16.099</t>
  </si>
  <si>
    <t>SERVICOS EM LOUCAS</t>
  </si>
  <si>
    <t>APARELHOS E METAIS</t>
  </si>
  <si>
    <t>08.17.013</t>
  </si>
  <si>
    <t>MICTORIO COLETIVO DE ACO INOXIDAVEL</t>
  </si>
  <si>
    <t>08.17.030</t>
  </si>
  <si>
    <t>TAMPO PARA PIA MARMORE NACIONAL ESPESSURA DE 3 CM</t>
  </si>
  <si>
    <t>08.17.037</t>
  </si>
  <si>
    <t>CHUVEIRO ANTIVANDALISMO</t>
  </si>
  <si>
    <t>08.17.038</t>
  </si>
  <si>
    <t>CHUVEIRO SIMPLES C/ARTICULACAO, LATAO CROMADO DN 15MM (1/2")</t>
  </si>
  <si>
    <t>08.17.041</t>
  </si>
  <si>
    <t>08.17.043</t>
  </si>
  <si>
    <t>AQUECEDOR ELETRICO DE PASSAGEM COM RESISTENCIA BLINDADA</t>
  </si>
  <si>
    <t>08.17.049</t>
  </si>
  <si>
    <t>PURIFICADOR/BEBEDOURO DE AGUA REFRIGERADA</t>
  </si>
  <si>
    <t>08.17.050</t>
  </si>
  <si>
    <t>BEBEDOURO ELETRICO COM CAPACIDADE DE 40 L</t>
  </si>
  <si>
    <t>08.17.051</t>
  </si>
  <si>
    <t>BEBEDOURO ELETRICO COM CAPACIDADE DE 80 L</t>
  </si>
  <si>
    <t>08.17.055</t>
  </si>
  <si>
    <t>FILTRO PRESSAO CUNO(AQUALAR)C/ELEM FILTR CARVAO ATIVADO E CEL 180/L/H</t>
  </si>
  <si>
    <t>08.17.056</t>
  </si>
  <si>
    <t>FILTRO PRESSAO CUNO (AQUALAR)C/ELEM FILTRANTE CARVAO E CEL 360/L/H</t>
  </si>
  <si>
    <t>08.17.058</t>
  </si>
  <si>
    <t>FT-02 FILTRO PARA AGUA POTAVEL</t>
  </si>
  <si>
    <t>08.17.077</t>
  </si>
  <si>
    <t>RESTRITOR DE VAZAO 12L/MIN PARA CHUVEIRO SIMPLES</t>
  </si>
  <si>
    <t>08.17.078</t>
  </si>
  <si>
    <t>RESTRITOR DE VAZAO 6L/MIN PARA TORNEIRAS E MISTURADORES</t>
  </si>
  <si>
    <t>08.17.079</t>
  </si>
  <si>
    <t>08.17.080</t>
  </si>
  <si>
    <t>TORNEIRA DE LAVAGEM COM CANOPLA DE 1/2"</t>
  </si>
  <si>
    <t>08.17.081</t>
  </si>
  <si>
    <t>TJ-03 TORNEIRA DE JARDIM</t>
  </si>
  <si>
    <t>08.17.084</t>
  </si>
  <si>
    <t>TORNEIRA ELETRICA - ELETROD PVC Ø 25MM FLEXIVEL NBR 15465</t>
  </si>
  <si>
    <t>08.17.085</t>
  </si>
  <si>
    <t>TORNEIRA DE FECHAMENTO AUTOMATICO DE MESA</t>
  </si>
  <si>
    <t>08.17.086</t>
  </si>
  <si>
    <t>08.17.087</t>
  </si>
  <si>
    <t>TORNEIRA DE PAREDE ANTIVANDALISMO -140mm</t>
  </si>
  <si>
    <t>08.17.088</t>
  </si>
  <si>
    <t>TORNEIRA DE USO RESTRITO DE 1/2</t>
  </si>
  <si>
    <t>08.17.089</t>
  </si>
  <si>
    <t>TORNEIRA DE USO RESTRITO DE 3/4</t>
  </si>
  <si>
    <t>08.17.099</t>
  </si>
  <si>
    <t>SERVICOS EM APARELHOS E METAIS</t>
  </si>
  <si>
    <t>08.50.001</t>
  </si>
  <si>
    <t>DEMOLIÇÃO DE TUBULACÕES EM GERAL INCLUINDO CONEXÕES, CAIXAS E RALOS</t>
  </si>
  <si>
    <t>08.50.020</t>
  </si>
  <si>
    <t>DEMOLIÇÃO DE CALHAS E RUFOS EM CHAPAS METALICAS</t>
  </si>
  <si>
    <t>08.50.021</t>
  </si>
  <si>
    <t>DEMOLIÇÃO DE CONDUTORES APARENTES</t>
  </si>
  <si>
    <t>08.50.099</t>
  </si>
  <si>
    <t>08.60.005</t>
  </si>
  <si>
    <t>RETIRADA DE REGISTROS E VÁLVULAS DE DESCARGA</t>
  </si>
  <si>
    <t>08.60.006</t>
  </si>
  <si>
    <t>RETIRADA DE VÁLVULAS DE RETENCAO</t>
  </si>
  <si>
    <t>08.60.007</t>
  </si>
  <si>
    <t>RETIRADA DE TORNEIRAS</t>
  </si>
  <si>
    <t>08.60.010</t>
  </si>
  <si>
    <t>RETIRADA DE SIFÕES</t>
  </si>
  <si>
    <t>08.60.011</t>
  </si>
  <si>
    <t>RETIRADA DE APARELHOS SANITÁRIOS INCLUINDO ACESSÓRIOS</t>
  </si>
  <si>
    <t>08.60.013</t>
  </si>
  <si>
    <t>RETIRADA DE RESERVATÓRIOS DE FIBRO CIMENTO ATE 1000 LITROS</t>
  </si>
  <si>
    <t>08.60.014</t>
  </si>
  <si>
    <t>RETIRADA DE CONJUNTO DE MOTOR-BOMBA</t>
  </si>
  <si>
    <t>08.60.015</t>
  </si>
  <si>
    <t>RETIRADA DE HIDRANTE DE PAREDE COMPLETO</t>
  </si>
  <si>
    <t>08.60.099</t>
  </si>
  <si>
    <t>08.70.005</t>
  </si>
  <si>
    <t>RECOLOCAÇÃO DE REGISTRO E VÁLVULAS DE DESCARGA</t>
  </si>
  <si>
    <t>08.70.006</t>
  </si>
  <si>
    <t>RECOLOCAÇÃO DE VÁLVULA DE RETENÇÃO</t>
  </si>
  <si>
    <t>08.70.007</t>
  </si>
  <si>
    <t>RECOLOCAÇÃO DE TORNEIRAS</t>
  </si>
  <si>
    <t>08.70.010</t>
  </si>
  <si>
    <t>RECOLOCAÇÃO DE SIFÕES</t>
  </si>
  <si>
    <t>08.70.013</t>
  </si>
  <si>
    <t>RECOLOCAÇÃO DE RESERVATÓRIO DE FIBRO-CIMENTO ATE 1000 L</t>
  </si>
  <si>
    <t>08.70.014</t>
  </si>
  <si>
    <t>RECOLOCAÇÃO DE CONJUNTO MOTOR BOMBA</t>
  </si>
  <si>
    <t>08.70.015</t>
  </si>
  <si>
    <t>RECOLOCAÇÃO DE HIDRANTE DE PAREDE COMPLETO</t>
  </si>
  <si>
    <t>08.70.016</t>
  </si>
  <si>
    <t>RECOLOCAÇÃO DE APARELHOS SANITARIOS INCLUINDO ACESSORIOS</t>
  </si>
  <si>
    <t>08.70.099</t>
  </si>
  <si>
    <t>RECOLOCACOES DE INSTALACOES HIDRAULICAS</t>
  </si>
  <si>
    <t>08.80.007</t>
  </si>
  <si>
    <t>CAVALETE DE 3/4" (TUBO E CONEXÕES DE AÇO GALVANIZADO)</t>
  </si>
  <si>
    <t>08.80.008</t>
  </si>
  <si>
    <t>CAVALETE DE 1" (TUBO E CONEXÕES DE AÇO GALVANIZADO)</t>
  </si>
  <si>
    <t>08.80.009</t>
  </si>
  <si>
    <t>CAVALETE DE 1 1/2" (TUBO E CONEXÕES DE AÇO GALVANIZADO)</t>
  </si>
  <si>
    <t>08.80.010</t>
  </si>
  <si>
    <t>CANOPLA PARA REGISTROS</t>
  </si>
  <si>
    <t>08.80.011</t>
  </si>
  <si>
    <t>CANOPLA PARA VALVULA DE DESCARGA</t>
  </si>
  <si>
    <t>08.80.012</t>
  </si>
  <si>
    <t>VOLANTE CROMADO PARA REGISTRO</t>
  </si>
  <si>
    <t>08.80.015</t>
  </si>
  <si>
    <t>BOTAO PARA VALVULA DE DESCARGA</t>
  </si>
  <si>
    <t>08.80.018</t>
  </si>
  <si>
    <t>ACABAMENTO ANTIVANDALISMO PARA VALVULA DE DESCARGA</t>
  </si>
  <si>
    <t>08.80.019</t>
  </si>
  <si>
    <t>REPARO PARA CAIXA DE DESCARGA ACOPLADA</t>
  </si>
  <si>
    <t>08.80.020</t>
  </si>
  <si>
    <t>REPARO DE VALVULA DE DESCARGA</t>
  </si>
  <si>
    <t>08.80.021</t>
  </si>
  <si>
    <t>TUBO DE DESCARGA EM PVC DN=40MM</t>
  </si>
  <si>
    <t>08.80.022</t>
  </si>
  <si>
    <t>TUBO DE LIGAÇÃO COM CANOPLA PARA VASO SANITÁRIO (METAL CROMADO)</t>
  </si>
  <si>
    <t>08.80.031</t>
  </si>
  <si>
    <t>TORNEIRA DE PRESSAO CROMADA DE 1/2" EM PAREDE</t>
  </si>
  <si>
    <t>08.80.032</t>
  </si>
  <si>
    <t>TORNEIRA PARA LAVATORIO DE LOUCA BRANCA OU BANCADA</t>
  </si>
  <si>
    <t>08.80.040</t>
  </si>
  <si>
    <t>08.80.090</t>
  </si>
  <si>
    <t>ABRIGO PARA HIDRANTE CAIXA 0,60X0,90X0,17M COM CESTO MEIA LUA P/MANGUEIRA</t>
  </si>
  <si>
    <t>08.80.091</t>
  </si>
  <si>
    <t>RECARGA DE EXTINTOR DE GAS CARBONICO DE 6 LITROS</t>
  </si>
  <si>
    <t>08.80.092</t>
  </si>
  <si>
    <t>RECARGA DE EXTINTOR DE ESPUMA DE 10 LITROS</t>
  </si>
  <si>
    <t>08.80.093</t>
  </si>
  <si>
    <t>RECARGA DE EXTINTOR DE PO QUIMICO DE 4 KG</t>
  </si>
  <si>
    <t>08.80.095</t>
  </si>
  <si>
    <t>EXTINTOR DE INCENDIO DE AGUA PRESSURIZADA 10L : RECARGA</t>
  </si>
  <si>
    <t>08.80.099</t>
  </si>
  <si>
    <t>OUTROS SERVICOS DE REDE DE GAS E AGUA FRIA - CONSERVACAO</t>
  </si>
  <si>
    <t>08.82.012</t>
  </si>
  <si>
    <t>RALO SIFONADO F.FUNDIDO DN 150MM C/GRELHA PVC CROMADO</t>
  </si>
  <si>
    <t>08.82.023</t>
  </si>
  <si>
    <t>GRELHA METALICA CROMADA DIAM 15 CM</t>
  </si>
  <si>
    <t>08.82.024</t>
  </si>
  <si>
    <t>GRELHA METALICA CROMADA DIAM 10 CM</t>
  </si>
  <si>
    <t>08.82.030</t>
  </si>
  <si>
    <t>GRELHA DE FERRO FUNDIDO DE 20X20 CM</t>
  </si>
  <si>
    <t>08.82.031</t>
  </si>
  <si>
    <t>GRELHA DE FERRO FUNDIDO DE 15X15 CM</t>
  </si>
  <si>
    <t>08.82.040</t>
  </si>
  <si>
    <t>08.82.041</t>
  </si>
  <si>
    <t>SIFAO METALICO TIPO COPO DN 1 1/2 X 1 1/2"</t>
  </si>
  <si>
    <t>08.82.046</t>
  </si>
  <si>
    <t>08.82.050</t>
  </si>
  <si>
    <t>DESENTUPIMENTO DE RAMAIS DE ESGOTO</t>
  </si>
  <si>
    <t>08.82.055</t>
  </si>
  <si>
    <t>LIMPEZA SIMPLES EM CALHAS METALICAS</t>
  </si>
  <si>
    <t>08.82.056</t>
  </si>
  <si>
    <t>LIMPEZA SIMPLES EM LAJES/CALHAS DE CONCRETO</t>
  </si>
  <si>
    <t>08.82.060</t>
  </si>
  <si>
    <t>LIMPEZA DE CANALETAS DE ÁGUAS PLUVIAIS</t>
  </si>
  <si>
    <t>08.82.061</t>
  </si>
  <si>
    <t>SOLDA E REBITAGEM EM CALHAS DE CHAPA GALVANIZADA</t>
  </si>
  <si>
    <t>08.82.062</t>
  </si>
  <si>
    <t>SOLDA EM CHAPA GALVANIZADA</t>
  </si>
  <si>
    <t>08.82.099</t>
  </si>
  <si>
    <t>OUTROS SERVICOS DE REDES DE ESGOTO E AGUAS PLUVIAIS</t>
  </si>
  <si>
    <t>08.84.005</t>
  </si>
  <si>
    <t>ASSENTO PLASTICO C/ TAMPA PARA BACIA SANITARIA</t>
  </si>
  <si>
    <t>08.84.012</t>
  </si>
  <si>
    <t>BOLSA PLASTICA PARA BACIA SANITARIA</t>
  </si>
  <si>
    <t>08.84.020</t>
  </si>
  <si>
    <t>SUPORTE DE FERRO FUNDIDO PARA LAVATORIO</t>
  </si>
  <si>
    <t>08.84.030</t>
  </si>
  <si>
    <t>08.84.031</t>
  </si>
  <si>
    <t>08.84.032</t>
  </si>
  <si>
    <t>08.84.033</t>
  </si>
  <si>
    <t>TORNEIRA PRES 1/2 C/ALAVANCA TIPO MESA CROMADO</t>
  </si>
  <si>
    <t>08.84.034</t>
  </si>
  <si>
    <t>TORNEIRA MEC/CER 1/4 VOLTA TIPO PARED CROMADO 1/2</t>
  </si>
  <si>
    <t>08.84.035</t>
  </si>
  <si>
    <t>TORNEIRA MEC/CER 1/4 VOLTA TIPO MESA CROMADO 1/2</t>
  </si>
  <si>
    <t>08.84.036</t>
  </si>
  <si>
    <t>08.84.038</t>
  </si>
  <si>
    <t>FILTRO DE PRESSAO CUNO (AQUALAR) C/ELEM. FILTRANTE CARVAO E CEL 360/L/H</t>
  </si>
  <si>
    <t>08.84.042</t>
  </si>
  <si>
    <t>ELEMENTO FILTRANTE CUNO (AQUALAR)ELEM FILTRANTE CARVAO E CEL/180L/H</t>
  </si>
  <si>
    <t>08.84.043</t>
  </si>
  <si>
    <t>ELEMENTO FILTRANTE CUNO (AQUALAR) CARVAO E CELULOSE 360 L/H</t>
  </si>
  <si>
    <t>08.84.047</t>
  </si>
  <si>
    <t>TAMPO DE PIA EM MARMORE BRANCO NACIONAL DE 3 CM</t>
  </si>
  <si>
    <t>08.84.048</t>
  </si>
  <si>
    <t>TAMPO DE PIA EM GRANILITE</t>
  </si>
  <si>
    <t>08.84.049</t>
  </si>
  <si>
    <t>TAMPO ACO INOX (304) C/ CUBA SIMPLES - CH.22</t>
  </si>
  <si>
    <t>08.84.050</t>
  </si>
  <si>
    <t>TAMPO ACO INOX (304) C/ CUBA DUPLA - CH.22</t>
  </si>
  <si>
    <t>08.84.054</t>
  </si>
  <si>
    <t>CUBA SIMPLES ACO INOX(304) - CHAPA 22 560X330X140MM - SEM PERTENCES</t>
  </si>
  <si>
    <t>08.84.055</t>
  </si>
  <si>
    <t>CUBA SIMPLES ACO INOX(304) CHAP.22 - 400X340X140MM - SEM PERTENCES</t>
  </si>
  <si>
    <t>08.84.058</t>
  </si>
  <si>
    <t>CUBA DUPLA ACO INOX(304) CHAPA 22 835X340X140MM - SEM PERTENCES</t>
  </si>
  <si>
    <t>08.84.060</t>
  </si>
  <si>
    <t>TAMPO LISO EM ACO INOX (304) CHAPA 20</t>
  </si>
  <si>
    <t>08.84.073</t>
  </si>
  <si>
    <t>VALVULA AMERICANA</t>
  </si>
  <si>
    <t>08.84.076</t>
  </si>
  <si>
    <t>VALVULA DE METAL CROMADO DE 1 1/2"</t>
  </si>
  <si>
    <t>08.84.090</t>
  </si>
  <si>
    <t>MANGUEIRA PARA HIDRANTE DIAM 1 1/2' L=15,00M</t>
  </si>
  <si>
    <t>08.84.091</t>
  </si>
  <si>
    <t>MANGUEIRA PARA HIDRANTE DIAM 1 1/2' L=30,00M</t>
  </si>
  <si>
    <t>08.84.099</t>
  </si>
  <si>
    <t>OUTROS SERVICOS DE APARELHOS E METAIS</t>
  </si>
  <si>
    <t>08.86.099</t>
  </si>
  <si>
    <t>OUTROS SERVICOS DE TRATAMENTO DE DESPEJOS SANITARIOS</t>
  </si>
  <si>
    <t>09.01.001</t>
  </si>
  <si>
    <t>09.01.002</t>
  </si>
  <si>
    <t>TE-02 ENTRADA PRIMÁRIA SIMPLIF. POSTE UNICO - EDP - 150 KVA - 15KV- 220/127 V</t>
  </si>
  <si>
    <t>09.01.003</t>
  </si>
  <si>
    <t>TE-03 ENTRADA PRIMÁRIA SIMPLIF. POSTE UNICO - EDP - 225 KVA - 15KV- 220/127 V</t>
  </si>
  <si>
    <t>09.01.004</t>
  </si>
  <si>
    <t>TE-04 ENTRADA PRIMÁRIA SIMPLIF. POSTE UNICO - EDP - 300 KVA - 15KV- 220/127 V</t>
  </si>
  <si>
    <t>09.01.005</t>
  </si>
  <si>
    <t>09.01.006</t>
  </si>
  <si>
    <t>09.01.007</t>
  </si>
  <si>
    <t>09.01.008</t>
  </si>
  <si>
    <t>09.01.009</t>
  </si>
  <si>
    <t>09.01.010</t>
  </si>
  <si>
    <t>09.01.011</t>
  </si>
  <si>
    <t>09.01.012</t>
  </si>
  <si>
    <t>09.01.014</t>
  </si>
  <si>
    <t>09.01.015</t>
  </si>
  <si>
    <t>09.01.016</t>
  </si>
  <si>
    <t>09.01.017</t>
  </si>
  <si>
    <t>09.01.022</t>
  </si>
  <si>
    <t>09.01.026</t>
  </si>
  <si>
    <t>09.01.027</t>
  </si>
  <si>
    <t>09.01.028</t>
  </si>
  <si>
    <t>09.01.029</t>
  </si>
  <si>
    <t>09.01.099</t>
  </si>
  <si>
    <t>SERVICOS DE LIGACOES EM TENSAO PRIMARIA</t>
  </si>
  <si>
    <t>09.02.011</t>
  </si>
  <si>
    <t>AT-01 ENTRADA AEREA PARA TELEFONE</t>
  </si>
  <si>
    <t>09.02.042</t>
  </si>
  <si>
    <t>DPS - DISPOSITIVO PROTECAO CONTRA SURTOS (TELEFONIA)</t>
  </si>
  <si>
    <t>09.02.043</t>
  </si>
  <si>
    <t>DPS - DISPOSITIVO PROTECAO CONTRA SURTOS (ENERGIA)</t>
  </si>
  <si>
    <t>09.02.047</t>
  </si>
  <si>
    <t>DISJUNTOR TRIPOLAR TERMOMAGNETICO 3X300A</t>
  </si>
  <si>
    <t>09.02.048</t>
  </si>
  <si>
    <t>CONJ 3 CABOS P/ ENTRADA ENERGIA SECCAO 240MM2 C/ ELETRODUTOS</t>
  </si>
  <si>
    <t>09.02.049</t>
  </si>
  <si>
    <t>CONJ 4 CABOS P/ ENTRADA ENERGIA SECCAO 240MM2 C/ ELETRODUTOS</t>
  </si>
  <si>
    <t>09.02.052</t>
  </si>
  <si>
    <t>09.02.053</t>
  </si>
  <si>
    <t>09.02.059</t>
  </si>
  <si>
    <t>AE-19 ABRIGO E ENTRADA DE ENERGIA (CAIXA II, IV OU E): AES ELETROP/BANDEIRANTE/CPFL/ELEKTRO</t>
  </si>
  <si>
    <t>AE-20 ABRIGO E ENTRADA DE ENERGIA (CAIXAS III OU V):BANDEIRANTE/CPFL/ELEKTRO</t>
  </si>
  <si>
    <t>09.02.061</t>
  </si>
  <si>
    <t>AE-21 ABRIGO E ENTRADA DE ENERGIA (CAIXA M OU H): AES ELETROP/BANDEIRANTE/ELEKTRO/CPFL</t>
  </si>
  <si>
    <t>09.02.062</t>
  </si>
  <si>
    <t>CONJ 3 CABOS P/ ENTRADA ENERGIA SECCAO 10MM2 C/ ELETRODUTOS</t>
  </si>
  <si>
    <t>09.02.063</t>
  </si>
  <si>
    <t>CONJ 3 CABOS P/ ENTRADA ENERGIA SECCAO 16MM2 C/ ELETRODUTOS</t>
  </si>
  <si>
    <t>09.02.064</t>
  </si>
  <si>
    <t>CONJ 3 CABOS P/ ENTRADA ENERGIA SECCAO 25MM2 C/ ELETRODUTOS</t>
  </si>
  <si>
    <t>09.02.065</t>
  </si>
  <si>
    <t>CONJ 3 CABOS P/ ENTRADA ENERGIA SECCAO 35MM2 C/ ELETRODUTOS</t>
  </si>
  <si>
    <t>09.02.066</t>
  </si>
  <si>
    <t>CONJ 3 CABOS P/ ENTRADA ENERGIA SECCAO 50MM2 C/ ELETRODUTOS</t>
  </si>
  <si>
    <t>09.02.067</t>
  </si>
  <si>
    <t>CONJ 3 CABOS P/ ENTRADA ENERGIA SECCAO 70MM2 C/ ELETRODUTOS</t>
  </si>
  <si>
    <t>09.02.068</t>
  </si>
  <si>
    <t>CONJ 3 CABOS P/ ENTRADA ENERGIA SECCAO 95MM2 C/ ELETRODUTOS</t>
  </si>
  <si>
    <t>09.02.069</t>
  </si>
  <si>
    <t>CONJ 3 CABOS P/ ENTRADA ENERGIA SECCAO 120MM2 C/ ELETRODUTOS</t>
  </si>
  <si>
    <t>09.02.070</t>
  </si>
  <si>
    <t>CONJ 3 CABOS P/ ENTRADA ENERGIA SECCAO 150MM2 C/ ELETRODUTOS</t>
  </si>
  <si>
    <t>09.02.071</t>
  </si>
  <si>
    <t>CONJ 3 CABOS P/ ENTRADA ENERGIA SECCAO 185MM2 C/ ELETRODUTOS</t>
  </si>
  <si>
    <t>09.02.072</t>
  </si>
  <si>
    <t>CONJ 4 CABOS P/ ENTRADA ENERGIA SECCAO 10MM2 C/ ELETRUDUTOS</t>
  </si>
  <si>
    <t>09.02.073</t>
  </si>
  <si>
    <t>CONJ 4 CABOS P/ ENTRADA ENERGIA SECCAO 16MM2 C/ ELETRODUTOS</t>
  </si>
  <si>
    <t>09.02.074</t>
  </si>
  <si>
    <t>CONJ 4 CABOS P/ ENTRADA ENERGIA SECCAO 25MM2 C/ ELETRODUTOS</t>
  </si>
  <si>
    <t>09.02.075</t>
  </si>
  <si>
    <t>CONJ 4 CABOS P/ ENTRADA ENERGIA SECCAO 35MM2 C/ ELETRODUTOS</t>
  </si>
  <si>
    <t>09.02.076</t>
  </si>
  <si>
    <t>CONJ 4 CABOS P/ ENTRADA ENERGIA SECCAO 50MM2 C/ ELETRODUTOS</t>
  </si>
  <si>
    <t>09.02.077</t>
  </si>
  <si>
    <t>CONJ 4 CABOS P/ ENTRADA ENERGIA SECCAO 70MM2 C/ ELETRODUTOS</t>
  </si>
  <si>
    <t>09.02.078</t>
  </si>
  <si>
    <t>CONJ 4 CABOS P/ ENTRADA ENERGIA SECCAO 95MM2 C/ ELETRODUTOS</t>
  </si>
  <si>
    <t>09.02.079</t>
  </si>
  <si>
    <t>CONJ 4 CABOS P/ ENTRADA ENERGIA SECCAO 120MM2 C/ ELETRODUTOS</t>
  </si>
  <si>
    <t>CONJ 4 CABOS P/ ENTRADA ENERGIA SECCAO 150MM2 C/ ELETRODUTOS</t>
  </si>
  <si>
    <t>09.02.081</t>
  </si>
  <si>
    <t>CONJ 4 CABOS P/ ENTRADA ENERGIA SECCAO 185MM2 C/ ELETRODUTOS</t>
  </si>
  <si>
    <t>09.02.086</t>
  </si>
  <si>
    <t>09.02.087</t>
  </si>
  <si>
    <t>09.02.088</t>
  </si>
  <si>
    <t>09.02.089</t>
  </si>
  <si>
    <t>09.02.091</t>
  </si>
  <si>
    <t>DISJUNTOR TRIPOLAR TERMOMAGNETICO 3X125A A 3X225A</t>
  </si>
  <si>
    <t>09.02.099</t>
  </si>
  <si>
    <t>SERVICOS DE ENTRADA DE BAIXA TENSAO</t>
  </si>
  <si>
    <t>09.02.101</t>
  </si>
  <si>
    <t>CONJ. ENTRADA P/INTRAGOV (FIBRA ÓTICA) EM ENTRADA DE ENERGIA</t>
  </si>
  <si>
    <t>09.02.102</t>
  </si>
  <si>
    <t>09.02.103</t>
  </si>
  <si>
    <t>09.02.105</t>
  </si>
  <si>
    <t>DISJUNTOR BIPOLAR TERMOMAGNETICO 2X225A</t>
  </si>
  <si>
    <t>09.02.110</t>
  </si>
  <si>
    <t>09.03.004</t>
  </si>
  <si>
    <t>09.03.005</t>
  </si>
  <si>
    <t>09.03.006</t>
  </si>
  <si>
    <t>09.03.007</t>
  </si>
  <si>
    <t>09.03.008</t>
  </si>
  <si>
    <t>09.03.009</t>
  </si>
  <si>
    <t>09.03.010</t>
  </si>
  <si>
    <t>09.03.011</t>
  </si>
  <si>
    <t>09.03.012</t>
  </si>
  <si>
    <t>09.03.013</t>
  </si>
  <si>
    <t>09.03.014</t>
  </si>
  <si>
    <t>09.03.015</t>
  </si>
  <si>
    <t>09.03.017</t>
  </si>
  <si>
    <t>09.03.018</t>
  </si>
  <si>
    <t>09.03.019</t>
  </si>
  <si>
    <t>09.03.020</t>
  </si>
  <si>
    <t>09.03.021</t>
  </si>
  <si>
    <t>09.03.022</t>
  </si>
  <si>
    <t>09.03.023</t>
  </si>
  <si>
    <t>09.03.024</t>
  </si>
  <si>
    <t>09.03.025</t>
  </si>
  <si>
    <t>09.03.026</t>
  </si>
  <si>
    <t>09.03.027</t>
  </si>
  <si>
    <t>09.03.028</t>
  </si>
  <si>
    <t>09.03.029</t>
  </si>
  <si>
    <t>09.03.030</t>
  </si>
  <si>
    <t>09.03.046</t>
  </si>
  <si>
    <t>ELETRODUTO DE PVC RIGIDO ROSCAVEL DE 25MM - INCL CONEXOES</t>
  </si>
  <si>
    <t>09.03.047</t>
  </si>
  <si>
    <t>ELETRODUTO DE PVC RIGIDO ROSCAVEL DE 32MM - INCL CONEXOES</t>
  </si>
  <si>
    <t>09.03.048</t>
  </si>
  <si>
    <t>ELETRODUTO DE PVC RIGIDO ROSCAVEL DE 40MM - INCL CONEXOES</t>
  </si>
  <si>
    <t>09.03.049</t>
  </si>
  <si>
    <t>ELETRODUTO DE PVC RIGIDO ROSCAVEL DE 50MM - INCL CONEXOES</t>
  </si>
  <si>
    <t>09.03.050</t>
  </si>
  <si>
    <t>ELETRODUTO DE PVC RIGIDO ROSCAVEL DE 60MM - INCL CONEXOES</t>
  </si>
  <si>
    <t>09.03.051</t>
  </si>
  <si>
    <t>ELETRODUTO DE PVC RIGIDO ROSCAVEL DE 75MM - INCL CONEXOES</t>
  </si>
  <si>
    <t>09.03.052</t>
  </si>
  <si>
    <t>ELETRODUTO DE PVC RIGIDO ROSCAVEL DE 85MM - INCL CONEXOES</t>
  </si>
  <si>
    <t>09.03.053</t>
  </si>
  <si>
    <t>ELETRODUTO DE PVC RIGIDO ROSCAVEL DE 110MM -INCL CONEXOES</t>
  </si>
  <si>
    <t>09.03.058</t>
  </si>
  <si>
    <t>ELETRODUTO EM POLIETILENO DE 25MM-INCLUSIVE CONEXOES</t>
  </si>
  <si>
    <t>09.03.059</t>
  </si>
  <si>
    <t>ELETRODUTO EM POLIETILENO DE 32MM-INCLUSIVE CONEXOES</t>
  </si>
  <si>
    <t>09.03.090</t>
  </si>
  <si>
    <t>09.03.099</t>
  </si>
  <si>
    <t>SERVICOS DE INTERLIGACAO AO QUADRO GERAL</t>
  </si>
  <si>
    <t>09.04.006</t>
  </si>
  <si>
    <t>CAIXA EM CHAPA DE AÇO 16 COM PORTA E FECHO</t>
  </si>
  <si>
    <t>09.04.019</t>
  </si>
  <si>
    <t>QUADRO GERAL - DISJUNTOR TERMOMAGNETICO 3X10A A 3X50A</t>
  </si>
  <si>
    <t>QUADRO GERAL - DISJUNTOR TERMOMAGNETICO 3X60A A 3X100A</t>
  </si>
  <si>
    <t>09.04.021</t>
  </si>
  <si>
    <t>QUADRO GERAL - DISJUNTOR TERMO MAGNETICO 3X200A</t>
  </si>
  <si>
    <t>09.04.022</t>
  </si>
  <si>
    <t>QUADRO GERAL - DISJUNTOR TERMO MAGNETICO 3X400A</t>
  </si>
  <si>
    <t>09.04.023</t>
  </si>
  <si>
    <t>QUADRO GERAL - DISJUNTOR TERMO MAGNETICO 3X600A</t>
  </si>
  <si>
    <t>09.04.024</t>
  </si>
  <si>
    <t>QUADRO GERAL - DISJUNTOR TERMO MAGNETICO 3X800A</t>
  </si>
  <si>
    <t>09.04.025</t>
  </si>
  <si>
    <t>QUADRO GERAL - DISJUNTOR TERMO MAGNETICO 3X125A A 3X225A</t>
  </si>
  <si>
    <t>09.04.028</t>
  </si>
  <si>
    <t>QUADRO GERAL-DISJUNTOR TERMOMAGNETICO 3X300A</t>
  </si>
  <si>
    <t>09.04.036</t>
  </si>
  <si>
    <t>INTERRUPTOR AUTOM. DIFERENCIAL (DISPOSITIVO DR) 40A/30MA</t>
  </si>
  <si>
    <t>09.04.037</t>
  </si>
  <si>
    <t>INTERRUPTOR AUTOM. DIFERENCIAL (DISPOSITIVO DR) 63A/30MA</t>
  </si>
  <si>
    <t>09.04.038</t>
  </si>
  <si>
    <t>INTERRUPTOR AUTOM. DIFERENCIAL (DISPOSITIVO DR) 40A/300 mA</t>
  </si>
  <si>
    <t>09.04.039</t>
  </si>
  <si>
    <t>INTERRUPTOR AUTOM. DIFERENCIAL (DISPOSITIVO DR) 63A/300 mA</t>
  </si>
  <si>
    <t>QUADRO GERAL-BARRAMENTO DE 30 A</t>
  </si>
  <si>
    <t>09.04.041</t>
  </si>
  <si>
    <t>QUADRO GERAL-BARRAMENTO DE 60 A</t>
  </si>
  <si>
    <t>09.04.042</t>
  </si>
  <si>
    <t>QUADRO GERAL-BARRAMENTO DE 100 A</t>
  </si>
  <si>
    <t>09.04.043</t>
  </si>
  <si>
    <t>QUADRO GERAL-BARRAMENTO DE 150 A</t>
  </si>
  <si>
    <t>09.04.044</t>
  </si>
  <si>
    <t>QUADRO GERAL-BARRAMENTO DE 200 A</t>
  </si>
  <si>
    <t>09.04.045</t>
  </si>
  <si>
    <t>QUADRO GERAL-BARRAMENTO DE 400 A</t>
  </si>
  <si>
    <t>09.04.046</t>
  </si>
  <si>
    <t>QUADRO GERAL-BARRAMENTO DE 800 A</t>
  </si>
  <si>
    <t>09.04.047</t>
  </si>
  <si>
    <t>QUADRO GERAL-BARRAMENTO DE 1000 A</t>
  </si>
  <si>
    <t>09.04.049</t>
  </si>
  <si>
    <t>QUADRO GERAL - BARRAMENTO DE 600A</t>
  </si>
  <si>
    <t>PLACA DE ACRILICO TRANSPARENTE ESP=5MM PROTECAO A CONTATO ACIDENTAL</t>
  </si>
  <si>
    <t>09.04.072</t>
  </si>
  <si>
    <t>QUADRO GERAL - ELETRODUTO DE PVC RIGIDO ROSCAVEL DE 32 MM INCL CONEX</t>
  </si>
  <si>
    <t>09.04.075</t>
  </si>
  <si>
    <t>QUADRO GERAL - CABO DE COBRE NU DE 6 MM2</t>
  </si>
  <si>
    <t>09.04.076</t>
  </si>
  <si>
    <t>QUADRO GERAL - CABO DE COBRE NU DE 10 MM2</t>
  </si>
  <si>
    <t>09.04.077</t>
  </si>
  <si>
    <t>QUADRO GERAL - CABO DE COBRE NU DE 16 MM2</t>
  </si>
  <si>
    <t>09.04.078</t>
  </si>
  <si>
    <t>QUADRO GERAL - CABO DE COBRE NU DE 25 MM2</t>
  </si>
  <si>
    <t>09.04.079</t>
  </si>
  <si>
    <t>QUADRO GERAL - CABO DE COBRE NU DE 35 MM2</t>
  </si>
  <si>
    <t>09.04.080</t>
  </si>
  <si>
    <t>QUADRO GERAL - CABO DE COBRE NU DE 50 MM2</t>
  </si>
  <si>
    <t>09.04.081</t>
  </si>
  <si>
    <t>QUADRO GERAL - CABO DE COBRE NU DE 70 MM2</t>
  </si>
  <si>
    <t>09.04.082</t>
  </si>
  <si>
    <t>QUADRO GERAL - CABO DE COBRE NU DE 95 MM2</t>
  </si>
  <si>
    <t>09.04.083</t>
  </si>
  <si>
    <t>QUADRO GERAL - CABO DE COBRE NU DE 120 MM2</t>
  </si>
  <si>
    <t>09.04.085</t>
  </si>
  <si>
    <t>TERRA COMPLETO 1 HASTE Ø 19MM COM CAIXA DE INSPEÇÃO</t>
  </si>
  <si>
    <t>09.04.089</t>
  </si>
  <si>
    <t>09.04.090</t>
  </si>
  <si>
    <t>DISJUNTOR UNIPOLAR TERMOMAGNETICO 1X10A 1X30A</t>
  </si>
  <si>
    <t>09.04.091</t>
  </si>
  <si>
    <t>09.04.092</t>
  </si>
  <si>
    <t>09.04.094</t>
  </si>
  <si>
    <t>DISJUNTOR BIPOLAR TERMOMAG. 2X125A A 2X225A</t>
  </si>
  <si>
    <t>09.04.095</t>
  </si>
  <si>
    <t>DISJUNTOR UNIPOLAR TERMOMAGNETICO 1X50A A 1X70A</t>
  </si>
  <si>
    <t>09.04.096</t>
  </si>
  <si>
    <t>09.04.099</t>
  </si>
  <si>
    <t>SERVICOS DE QUADRO GERAL</t>
  </si>
  <si>
    <t>09.05.002</t>
  </si>
  <si>
    <t>ELETROD ACO GALV QUENTE (NBR 5624) 20 MM (3/4") - INCL CONEXOES</t>
  </si>
  <si>
    <t>09.05.003</t>
  </si>
  <si>
    <t>ELETROD ACO GALV QUENTE (NBR 5624) 25 MM (1") - INCL CONEXOES</t>
  </si>
  <si>
    <t>09.05.004</t>
  </si>
  <si>
    <t>ELETROD ACO GALV QUENTE (NBR 5624) 32 MM (1 1/4") - INCL CONEXOES</t>
  </si>
  <si>
    <t>09.05.005</t>
  </si>
  <si>
    <t>ELETROD ACO GALV QUENTE (NBR 5624) 40 MM (1 1/2") - INCL CONEXOES</t>
  </si>
  <si>
    <t>09.05.006</t>
  </si>
  <si>
    <t>ELETROD ACO GALV QUENTE (NBR 5624) 50 MM (2") - INCL CONEXOES</t>
  </si>
  <si>
    <t>09.05.007</t>
  </si>
  <si>
    <t>ELETROD ACO GALV. QUENTE (NBR5624) 65MM(2X1/2") INCL CONEXOES</t>
  </si>
  <si>
    <t>09.05.008</t>
  </si>
  <si>
    <t>ELETROD ACO GALV QUENTE (NBR5624) 80MM(3") INCL CONEXOES</t>
  </si>
  <si>
    <t>09.05.010</t>
  </si>
  <si>
    <t>09.05.013</t>
  </si>
  <si>
    <t>09.05.014</t>
  </si>
  <si>
    <t>09.05.015</t>
  </si>
  <si>
    <t>09.05.016</t>
  </si>
  <si>
    <t>09.05.017</t>
  </si>
  <si>
    <t>09.05.018</t>
  </si>
  <si>
    <t>09.05.019</t>
  </si>
  <si>
    <t>09.05.020</t>
  </si>
  <si>
    <t>09.05.021</t>
  </si>
  <si>
    <t>ELETROCALHA LISA CHAPA 24 (0,65MM) PRE ZINCADA 50X50MM INCL. ACESSORIOS E TAMPA DE ENCAIXE .</t>
  </si>
  <si>
    <t>09.05.022</t>
  </si>
  <si>
    <t>ELETROCALHA LISA CHAPA 24 (0,65MM) PRE ZINCADA 100X50MM INCL. ACESSORIOS E TAMPA DE ENCAIXE .</t>
  </si>
  <si>
    <t>09.05.023</t>
  </si>
  <si>
    <t>ELETROCALHA LISA CHAPA 24 (0,65MM) PRE ZINCADA 150X50MM INCL. ACESSORIOS E TAMPA DE ENCAIXE .</t>
  </si>
  <si>
    <t>09.05.024</t>
  </si>
  <si>
    <t>ELETROCALHA LISA CHAPA 24 (0,65MM) PRE ZINCADA 200X50MM INCL. ACESSORIOS E TAMPA DE ENCAIXE</t>
  </si>
  <si>
    <t>09.05.036</t>
  </si>
  <si>
    <t>09.05.037</t>
  </si>
  <si>
    <t>09.05.040</t>
  </si>
  <si>
    <t>09.05.042</t>
  </si>
  <si>
    <t>QUADRO DISTRIBUICAO, DISJ. GERAL 30A P/ 4 A 8 DISJS.</t>
  </si>
  <si>
    <t>09.05.045</t>
  </si>
  <si>
    <t>QUADRO DISTRIBUICAO, DISJ. GERAL 50A P/ 10 A 12 DISJS.</t>
  </si>
  <si>
    <t>09.05.047</t>
  </si>
  <si>
    <t>QUADRO DISTRIBUICAO, DISJ. GERAL 60A P/ 14 A 20 DISJS.</t>
  </si>
  <si>
    <t>09.05.051</t>
  </si>
  <si>
    <t>QUADRO DISTRIBUICAO, DISJ. GERAL 80A P/ 22 A 26 DISJS.</t>
  </si>
  <si>
    <t>09.05.054</t>
  </si>
  <si>
    <t>QUADRO DISTRIBUICAO, DISJ. GERAL 100A P/ 28 A 42 DISJS.</t>
  </si>
  <si>
    <t>09.05.062</t>
  </si>
  <si>
    <t>BARRAMENTO DE 30A P/QUADROS DE DISTRIBUIÇÃO</t>
  </si>
  <si>
    <t>09.05.063</t>
  </si>
  <si>
    <t>BARRAMENTO DE 60A P/QUADROS DE DISTRIBUIÇÃO</t>
  </si>
  <si>
    <t>09.05.064</t>
  </si>
  <si>
    <t>BARRAMENTO DE 100A P/QUADROS DE DISTRIBUIÇÃO</t>
  </si>
  <si>
    <t>09.05.069</t>
  </si>
  <si>
    <t>INTERRUPTOR TIPO AUTOMÁTICO DE BÓIA</t>
  </si>
  <si>
    <t>09.05.070</t>
  </si>
  <si>
    <t>09.05.071</t>
  </si>
  <si>
    <t>09.05.073</t>
  </si>
  <si>
    <t>09.05.074</t>
  </si>
  <si>
    <t>09.05.075</t>
  </si>
  <si>
    <t>09.05.076</t>
  </si>
  <si>
    <t>QUADRO COMANDO PARA CONJUNTO MOTOR BOMBA TRIFASICO DE 3/4 A 1 HP</t>
  </si>
  <si>
    <t>09.05.077</t>
  </si>
  <si>
    <t>QUADRO COMANDO PARA CONJUNTO MOTOR BOMBA TRIFASICO DE 1 1/2 A 2 HP</t>
  </si>
  <si>
    <t>09.05.078</t>
  </si>
  <si>
    <t>QUADRO COMANDO PARA CONJUNTO MOTOR BOMBA TRIFASICO DE 2 A 3 HP</t>
  </si>
  <si>
    <t>09.05.079</t>
  </si>
  <si>
    <t>QUADRO COMANDO PARA CONJUNTO MOTOR BOMBA TRIFASICO DE 3 A 4 HP</t>
  </si>
  <si>
    <t>09.05.080</t>
  </si>
  <si>
    <t>QUADRO COMANDO PARA CONJUNTO MOTOR BOMBA TRIFASICO DE 4 A 5 HP</t>
  </si>
  <si>
    <t>09.05.081</t>
  </si>
  <si>
    <t>QUADRO COMANDO PARA CONJUNTO MOTOR BOMBA TRIFASICO DE 7,5 HP</t>
  </si>
  <si>
    <t>09.05.082</t>
  </si>
  <si>
    <t>QUADRO COMANDO PARA CONJUNTO MOTOR BOMBA BIFASICO DE 3/4 A 1 HP</t>
  </si>
  <si>
    <t>09.05.083</t>
  </si>
  <si>
    <t>QUADRO COMANDO PARA CONJUNTO MOTOR BOMBA BIFASICO DE 1 1/2 A 2 HP</t>
  </si>
  <si>
    <t>09.05.084</t>
  </si>
  <si>
    <t>QUADRO COMANDO PARA CONJUNTO MOTOR BOMBA BIFASICO DE 2 A 3 HP</t>
  </si>
  <si>
    <t>09.05.085</t>
  </si>
  <si>
    <t>QUADRO COMANDO PARA BOMBA DE INCENDIO TRIFASICO DE 3/4 A 2 HP</t>
  </si>
  <si>
    <t>09.05.086</t>
  </si>
  <si>
    <t>QUADRO COMANDO PARA BOMBA DE INCENDIO TRIFASICO DE 2 A 4 HP</t>
  </si>
  <si>
    <t>09.05.087</t>
  </si>
  <si>
    <t>QUADRO COMANDO PARA BOMBA DE INCENDIO TRIFASICO DE 5 HP</t>
  </si>
  <si>
    <t>09.05.088</t>
  </si>
  <si>
    <t>QUADRO COMANDO PARA BOMBA DE INCENDIO TRIFASICO DE 7,5 HP</t>
  </si>
  <si>
    <t>09.05.089</t>
  </si>
  <si>
    <t>QUADRO COMANDO PARA BOMBA DE INCENDIO TRIFASICO DE 10 HP</t>
  </si>
  <si>
    <t>09.05.090</t>
  </si>
  <si>
    <t>QUADRO COMANDO PARA BOMBA DE INCENDIO BIFASICO DE 3/4 A 1 HP</t>
  </si>
  <si>
    <t>09.05.091</t>
  </si>
  <si>
    <t>QUADRO COMANDO PARA BOMBA DE INCENDIO BIFASICO DE 1 1/2 A 2 HP</t>
  </si>
  <si>
    <t>09.05.092</t>
  </si>
  <si>
    <t>INTERRUPTOR AUTOMATICO DIFERENCIAL (DISPOSITIVO DR) 40A/30 mA</t>
  </si>
  <si>
    <t>09.05.093</t>
  </si>
  <si>
    <t>INTERRUPTOR AUTOMATICO DIFERENCIAL (DISPOSITIVO DR) 63A/30 mA</t>
  </si>
  <si>
    <t>09.05.094</t>
  </si>
  <si>
    <t>INTERRUPTOR AUTOMATICO DIFERENCIAL (DISPOSITIVO DR) 40A/300 mA</t>
  </si>
  <si>
    <t>09.05.095</t>
  </si>
  <si>
    <t>INTERRUPTOR AUTOMATICO DIFERENCIAL (DISPOSITIVO DR) 63A/300 mA</t>
  </si>
  <si>
    <t>09.05.096</t>
  </si>
  <si>
    <t>09.05.097</t>
  </si>
  <si>
    <t>09.05.099</t>
  </si>
  <si>
    <t>SERVICOS DE DUTOS/QUADROS PARCIAIS LUZ/ALARMES DE INCÊNDIO</t>
  </si>
  <si>
    <t>09.06.001</t>
  </si>
  <si>
    <t>CAIXA DE PASSAGEM ESTAMPADA COM TAMPA PLASTICA DE 4"X2"</t>
  </si>
  <si>
    <t>09.06.002</t>
  </si>
  <si>
    <t>CAIXA DE PASSAGEM ESTAMPADA COM TAMPA PLASTICA DE 4"X4"</t>
  </si>
  <si>
    <t>09.06.005</t>
  </si>
  <si>
    <t>CAIXA DE PASSAGEM CHAPA TAMPA PARAFUSADA DE 10X10X8 CM</t>
  </si>
  <si>
    <t>09.06.007</t>
  </si>
  <si>
    <t>CAIXA DE PASSAGEM CHAPA TAMPA PARAFUSADA DE 15X15X8 CM</t>
  </si>
  <si>
    <t>09.06.009</t>
  </si>
  <si>
    <t>CAIXA DE PASSAGEM CHAPA TAMPA PARAFUSADA DE 20X20X10 CM</t>
  </si>
  <si>
    <t>09.06.012</t>
  </si>
  <si>
    <t>CAIXA DE PASSAGEM CHAPA TAMPA PARAFUSADA DE 30X30X12 CM</t>
  </si>
  <si>
    <t>09.06.015</t>
  </si>
  <si>
    <t>CAIXA DE PASSAGEM CHAPA TAMPA PARAFUSADA DE 40X40X15 CM</t>
  </si>
  <si>
    <t>09.06.019</t>
  </si>
  <si>
    <t>CAIXA DE PASSAGEM CHAPA TAMPA PARAFUSADA DE 50X50X15 CM</t>
  </si>
  <si>
    <t>09.06.025</t>
  </si>
  <si>
    <t>CAIXA DE PASSAGEM EM ALVENARIA DE 0,40X0,40X0,40 M</t>
  </si>
  <si>
    <t>09.06.026</t>
  </si>
  <si>
    <t>CAIXA DE PASSAGEM EM ALVENARIA DE 0,60X0,60X0,60 M</t>
  </si>
  <si>
    <t>09.06.027</t>
  </si>
  <si>
    <t>CAIXA DE PASSAGEM EM ALVENARIA DE 0,80X0,80X0,80 M</t>
  </si>
  <si>
    <t>09.06.028</t>
  </si>
  <si>
    <t>CAIXA DE PASSAGEM EM ALVENARIA DE 1,00X1,00X1,00 M</t>
  </si>
  <si>
    <t>09.06.029</t>
  </si>
  <si>
    <t>CAIXA DE PASSAGEM EM ALVENARIA DE 1,00X1,00X0,60 M</t>
  </si>
  <si>
    <t>09.06.035</t>
  </si>
  <si>
    <t>CAIXA DE PASSAGEM A PROVA DE UMIDADE EM ALUMINIO 10X10X6CM</t>
  </si>
  <si>
    <t>09.06.036</t>
  </si>
  <si>
    <t>CAIXA DE PASSAGEM A PROVA DE UMIDADE EM ALUMINIO 15X15X10CM</t>
  </si>
  <si>
    <t>09.06.037</t>
  </si>
  <si>
    <t>CAIXA DE PASSAGEM A PROVA DE UMIDADE EM ALUMINIO 20X20X10CM</t>
  </si>
  <si>
    <t>09.06.038</t>
  </si>
  <si>
    <t>CAIXA DE PASSAGEM A PROVA DE UMIDADE EM ALUMINIO 30X30X12CM</t>
  </si>
  <si>
    <t>09.06.039</t>
  </si>
  <si>
    <t>CAIXA DE PASSAGEM A PROVA DE UMIDADE EM ALUMINIO 40X40X20CM</t>
  </si>
  <si>
    <t>09.06.045</t>
  </si>
  <si>
    <t>QUADRO EM CHAPA COM PORTA E FECHADURA (TELEBRAS) DE 20X20X12CM</t>
  </si>
  <si>
    <t>09.06.047</t>
  </si>
  <si>
    <t>QUADRO EM CHAPA COM PORTA E FECHADURA (TELEBRAS) DE 40X40X12CM</t>
  </si>
  <si>
    <t>09.06.049</t>
  </si>
  <si>
    <t>QUADRO EM CHAPA COM PORTA E FECHADURA (TELEBRAS) DE 60X60X12CM</t>
  </si>
  <si>
    <t>09.06.099</t>
  </si>
  <si>
    <t>SERVICOS DE CAIXAS DE PASSAGEM</t>
  </si>
  <si>
    <t>09.07.003</t>
  </si>
  <si>
    <t>09.07.004</t>
  </si>
  <si>
    <t>09.07.005</t>
  </si>
  <si>
    <t>09.07.006</t>
  </si>
  <si>
    <t>09.07.009</t>
  </si>
  <si>
    <t>FIO TRANCADO PARA TELEFONE - PAD. TELEBRAS</t>
  </si>
  <si>
    <t>09.07.011</t>
  </si>
  <si>
    <t>09.07.012</t>
  </si>
  <si>
    <t>09.07.013</t>
  </si>
  <si>
    <t>09.07.014</t>
  </si>
  <si>
    <t>09.07.015</t>
  </si>
  <si>
    <t>09.07.016</t>
  </si>
  <si>
    <t>09.07.017</t>
  </si>
  <si>
    <t>09.07.018</t>
  </si>
  <si>
    <t>09.07.019</t>
  </si>
  <si>
    <t>09.07.020</t>
  </si>
  <si>
    <t>09.07.021</t>
  </si>
  <si>
    <t>09.07.022</t>
  </si>
  <si>
    <t>09.07.023</t>
  </si>
  <si>
    <t>09.07.024</t>
  </si>
  <si>
    <t>09.07.025</t>
  </si>
  <si>
    <t>09.07.026</t>
  </si>
  <si>
    <t>09.07.099</t>
  </si>
  <si>
    <t>SERVICOS DE ENFIACAO</t>
  </si>
  <si>
    <t>09.08.002</t>
  </si>
  <si>
    <t>INTERRUPTOR DE 1 TECLA SIMPLES EM CX.4"X2"-ELETROD.AÇO GALV.A QUENTE</t>
  </si>
  <si>
    <t>09.08.003</t>
  </si>
  <si>
    <t>INTERRUPTOR DE 2 TECLAS SIMPLES EM CX.4"X2"-ELETROD.AÇO GALV.A QUENTE</t>
  </si>
  <si>
    <t>09.08.004</t>
  </si>
  <si>
    <t>INTERRUPTOR DE 3 TECLAS SIMPLES EM CX.4"X2"-ELETROD.AÇO GALV.A QUENTE</t>
  </si>
  <si>
    <t>09.08.005</t>
  </si>
  <si>
    <t>09.08.006</t>
  </si>
  <si>
    <t>2 INTERRUPTORES DE 1 TECLA BIP.SIMPL.CX.4"X4"-ELETR.AÇO GALV.A QUENTE</t>
  </si>
  <si>
    <t>09.08.007</t>
  </si>
  <si>
    <t>INTERRUPTOR DE 1 TECLA PARAL.SIMPL.CX.4"X2"-ELETR.AÇO GALV.A QUENTE</t>
  </si>
  <si>
    <t>09.08.008</t>
  </si>
  <si>
    <t>INTERRUPTOR DE 1 TECLA PARAL.BIP.CX.4"X2"-ELETR.AÇO GALV.A QUENTE</t>
  </si>
  <si>
    <t>09.08.009</t>
  </si>
  <si>
    <t>INTERRUPTOR DE 1 TECLA SIMPL.E TOMADA 2P+T UNIV.CX.4"X4" ELETR.AÇO GALV.A QUENTE</t>
  </si>
  <si>
    <t>09.08.010</t>
  </si>
  <si>
    <t>VARIADOR DE LUMINOSIDADE ROTATIVO (DIMER) LÂMPADA LED DIMERIZÁVEL CAIXA 4X2.</t>
  </si>
  <si>
    <t>09.08.013</t>
  </si>
  <si>
    <t>TOMADA 2P+T PADRAO NBR 14136, CORRENTE 10A-250V-ELETR. AÇO GALV. A QUENTE</t>
  </si>
  <si>
    <t>09.08.016</t>
  </si>
  <si>
    <t>09.08.029</t>
  </si>
  <si>
    <t>INTERRUPTOR DE 1 TECLA - ELETROD PVC Ø 25MM FLEXIVEL NBR 15465</t>
  </si>
  <si>
    <t>09.08.030</t>
  </si>
  <si>
    <t>INTERRUPTOR DE 2 TECLAS - ELETROD PVC Ø 25MM FLEXIVEL NBR 15465</t>
  </si>
  <si>
    <t>09.08.032</t>
  </si>
  <si>
    <t>INTERRUPTOR DE 3 TECLAS - ELETROD PVC Ø 25MM FLEXIVEL NBR 15465</t>
  </si>
  <si>
    <t>09.08.033</t>
  </si>
  <si>
    <t>09.08.034</t>
  </si>
  <si>
    <t>09.08.036</t>
  </si>
  <si>
    <t>INTERRUPTOR DE 1 TECLA BIPOLAR EM CAIXA 4X2 - ELETROD PVC Ø 25MM FLEXIVE NBR 15465</t>
  </si>
  <si>
    <t>09.08.038</t>
  </si>
  <si>
    <t>2 INTERRUPTORES 1 TECLA BIPOLAR EM CAIXA 4X4 - ELETROD PVC Ø 25MM FLEXIVEL NBR 15465</t>
  </si>
  <si>
    <t>09.08.039</t>
  </si>
  <si>
    <t>3 INTERRUPTORES 1 TECLA BIPOLAR EM CAIXA 4X4 - ELETROD PVC Ø 25MM FLEXIVEL NBR 15465</t>
  </si>
  <si>
    <t>09.08.041</t>
  </si>
  <si>
    <t>09.08.043</t>
  </si>
  <si>
    <t>INTERRUPTOR EM PARALELO BIPOLAR EM CAIXA 4X2 - ELETROD PVC Ø 25MM FLEXIVEL NBR 15465</t>
  </si>
  <si>
    <t>09.08.045</t>
  </si>
  <si>
    <t>INTERRUPTOR DE 1 TECLA E TOMADA 2P+T EM CAIXA 4X2 - ELETROD PVC Ø 25MM FLEXIVEL NBR 15465</t>
  </si>
  <si>
    <t>09.08.046</t>
  </si>
  <si>
    <t>TOMADA 2P+T PADRAO NBR 14136 CORRENTE 10A-250V - ELETROD PVC Ø 25MM FLEXIVEL NBR 15465</t>
  </si>
  <si>
    <t>09.08.049</t>
  </si>
  <si>
    <t>TOMADA 2P+T PADRAO NBR 14136 CORRENTE 20A-250V - ELETROD PVC Ø 25MM FLEXIVEL NBR 15465</t>
  </si>
  <si>
    <t>09.08.050</t>
  </si>
  <si>
    <t>09.08.052</t>
  </si>
  <si>
    <t>PONTO SECO PARA TELEFONE - ELETROD PVC Ø 25MM FLEXIVEL NBR 15465</t>
  </si>
  <si>
    <t>09.08.054</t>
  </si>
  <si>
    <t>BOTAO PARA CAMPAINHA - ELETROD PVC Ø 25MM FLEXIVEL NBR 15465</t>
  </si>
  <si>
    <t>09.08.055</t>
  </si>
  <si>
    <t>BOTOEIRA PARA ACIONAMENTO DA BOMBA DE INCENDIO</t>
  </si>
  <si>
    <t>09.08.056</t>
  </si>
  <si>
    <t>CIGARRA - ELETROD PVC Ø 25MM FLEXIVEL NBR 15465</t>
  </si>
  <si>
    <t>09.08.057</t>
  </si>
  <si>
    <t>09.08.058</t>
  </si>
  <si>
    <t>INTERRUPTOR DE 1 TECLA SIMPLES CAIXA 4"X2"-ELETR PVC RÍGIDO</t>
  </si>
  <si>
    <t>09.08.060</t>
  </si>
  <si>
    <t>INTERRUPTOR 2 TECLAS SIMPLES CAIXA DE 4"X2"-ELETR PVC RIGIDO</t>
  </si>
  <si>
    <t>09.08.062</t>
  </si>
  <si>
    <t>INTERRUPTOR 3 TECLAS SIMPLES CAIXA 4"X2"-ELETR PVC RIGIDO</t>
  </si>
  <si>
    <t>09.08.063</t>
  </si>
  <si>
    <t>2 INTERRUPTORES DE 1 TECLA EM CAIXA 4"X4"-ELETRODUTO DE PVC</t>
  </si>
  <si>
    <t>09.08.065</t>
  </si>
  <si>
    <t>3 INTERRUPTORES DE 1 TECLA EM CAIXA 4"X4"-ELETRODUTO DE PVC</t>
  </si>
  <si>
    <t>09.08.066</t>
  </si>
  <si>
    <t>09.08.067</t>
  </si>
  <si>
    <t>INTERRUPTOR 1 TECLA BIPOLAR SIMPLES CAIXA 4"X2"- ELETR PVC RIGIDO</t>
  </si>
  <si>
    <t>09.08.069</t>
  </si>
  <si>
    <t>2 INTERRUPTORES 1 TECLA BIPOLAR SIMPLES CAIXA 4"X4"-ELETR PVC RIGIDO</t>
  </si>
  <si>
    <t>09.08.070</t>
  </si>
  <si>
    <t>3 INTERRUPTORES DE 1 TECLA BIPOLAR EM CAIXA 4"X4"-ELETRODUTO DE PVC</t>
  </si>
  <si>
    <t>09.08.071</t>
  </si>
  <si>
    <t>INTERRUPTOR 1 TECLA PARALELO SIMPLES CAIXA 4"X2"- ELETR PVC RIGIDO</t>
  </si>
  <si>
    <t>09.08.073</t>
  </si>
  <si>
    <t>INTERRUPTOR 1 TECLA PARALELO BIPOLAR CAIXA 4"X2"- ELETR PVC RIGIDO</t>
  </si>
  <si>
    <t>09.08.075</t>
  </si>
  <si>
    <t>INTERRUPTOR 1 TECLA SIMPLES/TOMADA 2P+T PADRÃO NBR 14136 CORRENTE 10A ELETROD.PVC RIGIDO</t>
  </si>
  <si>
    <t>09.08.076</t>
  </si>
  <si>
    <t>09.08.079</t>
  </si>
  <si>
    <t>TOMADA 2P+T PADRAO NBR 14136 CORRENTE 10A-250V-ELETR. PVC RÍGIDO</t>
  </si>
  <si>
    <t>09.08.080</t>
  </si>
  <si>
    <t>TOMADA DE PISO 2P+T PADRAO NBR 14136 CORRENTE 10A-250V-ELETR PVC RÍGIDO</t>
  </si>
  <si>
    <t>09.08.081</t>
  </si>
  <si>
    <t>PONTO SECO PARA TELEFONE-ELETRODUTO DE PVC</t>
  </si>
  <si>
    <t>09.08.082</t>
  </si>
  <si>
    <t>TOMADA DE PISO PARA TEL/LOGICA - ELETRODUTO DE PVC</t>
  </si>
  <si>
    <t>09.08.083</t>
  </si>
  <si>
    <t>BOTAO PARA CIGARRA - ELETRODUTO DE PVC</t>
  </si>
  <si>
    <t>09.08.084</t>
  </si>
  <si>
    <t>CIGARRA PARA CHAMADA DE AULA - ELETRODUTO DE PVC</t>
  </si>
  <si>
    <t>09.08.085</t>
  </si>
  <si>
    <t>PONTO SECO P/INSTALACAO DE SOM/TV/ALARME/LOGICA - ELETRODUTO PVC</t>
  </si>
  <si>
    <t>09.08.086</t>
  </si>
  <si>
    <t>ACIONADOR DO ALARME DE INCENDIO</t>
  </si>
  <si>
    <t>09.08.087</t>
  </si>
  <si>
    <t>SIRENE PARA ALARME DE EMERGENCIA- ELETRODUTO DE PVC</t>
  </si>
  <si>
    <t>09.08.089</t>
  </si>
  <si>
    <t>TOMADA 2P+T PADRAO NBR 14136, CORRENTE 20A-250V-ELETR.PVC RIGIDO</t>
  </si>
  <si>
    <t>09.08.090</t>
  </si>
  <si>
    <t>DETECTOR DE FUMAÇA OPTICO CONVENCIONAL-ELETROD.AÇO GALV.A QUENTE</t>
  </si>
  <si>
    <t>09.08.092</t>
  </si>
  <si>
    <t>09.08.096</t>
  </si>
  <si>
    <t>TOMADA INDUSTRIAL DE PAREDE 2P+T 32A 220/240V ESTANQUE IP65 ELETR AÇO GALV.A QUENTE</t>
  </si>
  <si>
    <t>09.08.099</t>
  </si>
  <si>
    <t>SERVICOS DE INTERRUPTORES E TOMADAS</t>
  </si>
  <si>
    <t>09.09.011</t>
  </si>
  <si>
    <t>IL-102 PROJETOR ANGULAR LÂMPADA LED &lt;=200 W C/DIFUSOR DE POLICARBONATO QUADRA DE ESPORTE COBERTA</t>
  </si>
  <si>
    <t>09.09.014</t>
  </si>
  <si>
    <t>09.09.018</t>
  </si>
  <si>
    <t>09.09.024</t>
  </si>
  <si>
    <t>IL-96 LUMINÁRIA LED QUADRADA DE SOBREPOR DIMERIZÁVEL COM DIFUSOR TRANSLÚCIDO &lt;= 40W</t>
  </si>
  <si>
    <t>09.09.025</t>
  </si>
  <si>
    <t>IL-13 REFLETOR PARA LAMPADA DE VAPOR METÁLICO 70W</t>
  </si>
  <si>
    <t>09.09.026</t>
  </si>
  <si>
    <t>IL-14 REFLETOR COM GRADE PARA LAMPADA DE VAPOR METÁLICO 70 W</t>
  </si>
  <si>
    <t>09.09.030</t>
  </si>
  <si>
    <t>09.09.034</t>
  </si>
  <si>
    <t>IL-42 LUMINARIA C/ DIFUSOR TRANSPARENTE P/ LAMPADA FLUOR (2X32W)</t>
  </si>
  <si>
    <t>09.09.036</t>
  </si>
  <si>
    <t>IL-57 REFLETOR C/ GRADE P/ VAPOR MET 150W</t>
  </si>
  <si>
    <t>09.09.037</t>
  </si>
  <si>
    <t>IL-58 ILUMINACAO P/ QUADRA DE ESP. COB. LAMP. VAPOR METALICO (1X250W)</t>
  </si>
  <si>
    <t>09.09.038</t>
  </si>
  <si>
    <t>09.09.039</t>
  </si>
  <si>
    <t>09.09.041</t>
  </si>
  <si>
    <t>IL-88 LUMINÁRIA LED DE SOBREPOR C/DIFUSOR TRANSLÚCIDO &lt;=24W</t>
  </si>
  <si>
    <t>09.09.044</t>
  </si>
  <si>
    <t>IL-05 ARANDELA BLINDADA</t>
  </si>
  <si>
    <t>09.09.045</t>
  </si>
  <si>
    <t>09.09.046</t>
  </si>
  <si>
    <t>IL-59 ILUMINAÇÃO P/PASSAGEM COBERTA E CIRCULAÇÕES</t>
  </si>
  <si>
    <t>IL-93LUMINÁRIA LED PENDENTE COM DIFUSOR TRANSLÚCIDO &lt;= 39W</t>
  </si>
  <si>
    <t>09.09.051</t>
  </si>
  <si>
    <t>IL-44 LUMINARIA PARA LAMPADA FLUORESCENTE (1X32W)</t>
  </si>
  <si>
    <t>09.09.052</t>
  </si>
  <si>
    <t>IL-45 LUMINARIA PARA LAMPADA FLUORESCENTE (2X32W)</t>
  </si>
  <si>
    <t>09.09.055</t>
  </si>
  <si>
    <t>IL-48 LUMINARIA ABERTA C/ REFLETOR E PEND P/FLUOR (2X32W)</t>
  </si>
  <si>
    <t>09.09.057</t>
  </si>
  <si>
    <t>09.09.058</t>
  </si>
  <si>
    <t>09.09.059</t>
  </si>
  <si>
    <t>09.09.060</t>
  </si>
  <si>
    <t>IL-60 LUMINARIA DE SOBREPOR C/REFLETOR E ALETAS P/LAMP.FLUORESCENTE (2X32W)</t>
  </si>
  <si>
    <t>09.09.065</t>
  </si>
  <si>
    <t>IL-67 LUMINÁRIA DE EMBUTIR C/REFLETOR SEM ALETAS (2X32W)</t>
  </si>
  <si>
    <t>09.09.067</t>
  </si>
  <si>
    <t>09.09.069</t>
  </si>
  <si>
    <t>IL-69 LUMINARIA C/DIFUSOR TRANSLUCIDO P/LAMPADAS FLUOR. (2X32W)</t>
  </si>
  <si>
    <t>09.09.072</t>
  </si>
  <si>
    <t>IL-72 LUMINARIA PRISMATICA TRANSP.P/LAMPADA A VAPOR METALICO (250W)</t>
  </si>
  <si>
    <t>09.09.083</t>
  </si>
  <si>
    <t>IL-83 ILUMINAÇÃO AUTONOMA DE EMERGÊNCIA - LED</t>
  </si>
  <si>
    <t>IL-92 LUMINÁRIA LED PENDENTE COM DIFUSOR TRANSLÚCIDO &lt;= 24W</t>
  </si>
  <si>
    <t>09.09.099</t>
  </si>
  <si>
    <t>SERVICOS DE ILUMINACAO</t>
  </si>
  <si>
    <t>09.10.002</t>
  </si>
  <si>
    <t>CENTRO DE LUZ EM CAIXA FM - ELETROD PVC Ø 25MM FLEXIVEL NBR 15465</t>
  </si>
  <si>
    <t>09.10.003</t>
  </si>
  <si>
    <t>CENTRO DE LUZ EM CAIXA FM ELETRODUTO DE PVC</t>
  </si>
  <si>
    <t>09.10.011</t>
  </si>
  <si>
    <t>CENTRO DE LUZ EM CONDULETE-ELETRODUTO DE PVC</t>
  </si>
  <si>
    <t>09.10.013</t>
  </si>
  <si>
    <t>CENTRO DE LUZ EM CONDULETE - ELETROD PVC Ø 25MM FLEXIVEL NBR 15465</t>
  </si>
  <si>
    <t>09.10.021</t>
  </si>
  <si>
    <t>CENTRO DE LUZ EM PERFILADOS-CAIXA FM</t>
  </si>
  <si>
    <t>09.10.023</t>
  </si>
  <si>
    <t>CENTRO DE LUZ EM PERFILADO-TOMADA DE LIGACAO - ELETROD PVC Ø 25MM FLEXIVEL NBR 15465</t>
  </si>
  <si>
    <t>09.10.024</t>
  </si>
  <si>
    <t>CENTRO DE LUZ EM PERFILADO-TOMADA DE LIGACAO - ELETRODUTO DE PVC</t>
  </si>
  <si>
    <t>09.10.026</t>
  </si>
  <si>
    <t>09.10.030</t>
  </si>
  <si>
    <t>09.10.099</t>
  </si>
  <si>
    <t>SERVICOS DE CENTROS DE LUZ</t>
  </si>
  <si>
    <t>09.11.003</t>
  </si>
  <si>
    <t>09.11.004</t>
  </si>
  <si>
    <t>IL-106 LUMINÁRIA LED &lt;= 60 W APLICADA EM JARDINS E CIRCULAÇÕES POSTE METÁLICO H=3 M</t>
  </si>
  <si>
    <t>09.11.007</t>
  </si>
  <si>
    <t>09.11.008</t>
  </si>
  <si>
    <t>09.11.009</t>
  </si>
  <si>
    <t>09.11.015</t>
  </si>
  <si>
    <t>09.11.016</t>
  </si>
  <si>
    <t>09.11.022</t>
  </si>
  <si>
    <t>09.11.026</t>
  </si>
  <si>
    <t>IL-50 LUMINARIA VAPOR MET 2X250W C/ POSTE CONCR TUB 11M (QE)</t>
  </si>
  <si>
    <t>09.11.028</t>
  </si>
  <si>
    <t>IL-52 LUMINARIA P/ VAPOR DE SODIO 1X150W EM POSTE TUB 7M</t>
  </si>
  <si>
    <t>09.11.035</t>
  </si>
  <si>
    <t>IL-06 LUZ DE OBSTACULO COM LAMPADA</t>
  </si>
  <si>
    <t>09.11.040</t>
  </si>
  <si>
    <t>IL-100 PROJETOR LED &lt;= 50W C/DIFUSOR DE VIDRO TEMPERADO</t>
  </si>
  <si>
    <t>09.11.060</t>
  </si>
  <si>
    <t>IL-30 LUMINARIA EM POSTE H= 2,50 M C/ LAMPADA VAPOR SÓDIO 70W</t>
  </si>
  <si>
    <t>09.11.068</t>
  </si>
  <si>
    <t>IL-53 LUMINARIA P/ VAPOR DE SODIO 1X150W EM POSTE 6M</t>
  </si>
  <si>
    <t>09.11.070</t>
  </si>
  <si>
    <t>IL-54 LUMINARIA P/ VAPOR DE SODIO 2X150W EM POSTE 6M</t>
  </si>
  <si>
    <t>09.11.099</t>
  </si>
  <si>
    <t>09.12.001</t>
  </si>
  <si>
    <t>EX-01 EXAUSTOR AXIAL DN 40CM</t>
  </si>
  <si>
    <t>09.12.010</t>
  </si>
  <si>
    <t>09.12.099</t>
  </si>
  <si>
    <t>SERVICOS DE APARELHOS ELETRICOS</t>
  </si>
  <si>
    <t>09.13.010</t>
  </si>
  <si>
    <t>PP-02 PARA RAIOS FRANKLIN COM MASTRO AÇO GALVANIZADO 02" X 3,00M</t>
  </si>
  <si>
    <t>09.13.011</t>
  </si>
  <si>
    <t>09.13.015</t>
  </si>
  <si>
    <t>BARRA CHATA ACO GALVANIZADO (3/4"X1/8") - CAPTOR P/ PARA RAIOS</t>
  </si>
  <si>
    <t>09.13.018</t>
  </si>
  <si>
    <t>BARRA CHATA ACO GALVANIZADO (3/4"X1/8") - DESCIDA P/ PARA RAIO</t>
  </si>
  <si>
    <t>09.13.025</t>
  </si>
  <si>
    <t>CORDOALHA DE AÇO GALV. A QUENTE 80MM2 (7/16") SOB A TERRA</t>
  </si>
  <si>
    <t>09.13.027</t>
  </si>
  <si>
    <t>TERRA SIMPLES - 1 HASTE COM CAIXA DE INSPEÇÃO E TAMPA DE CONCRETO</t>
  </si>
  <si>
    <t>09.13.028</t>
  </si>
  <si>
    <t>TERRA SIMPLES 1 HASTE COPERWELD DN 19MM X 3M SEM CAIXA DE INSPEÇAO</t>
  </si>
  <si>
    <t>09.13.030</t>
  </si>
  <si>
    <t>CAIXA SUSPENSA MEDIÇÃO ATERRRAMENTO 4"X2" POLIPROPILENO Ø2''</t>
  </si>
  <si>
    <t>09.13.032</t>
  </si>
  <si>
    <t>CONEXAO EXOTERMICA CABO/CABO</t>
  </si>
  <si>
    <t>09.13.033</t>
  </si>
  <si>
    <t>CONEXAO EXOTERMICA CABO/HASTE</t>
  </si>
  <si>
    <t>09.13.034</t>
  </si>
  <si>
    <t>CONEXAO EXOTERMICA EM ESTRUTURA METALICA</t>
  </si>
  <si>
    <t>09.13.035</t>
  </si>
  <si>
    <t>RELATORIO DE INSPEÇAO E MEDIÇAO COM LAUDO TECNICO DO SISTEMA DE PROTEÇAO CONTRA DESCARGAS ATMOSFERICAS CONFORME NBR 5419</t>
  </si>
  <si>
    <t>09.13.036</t>
  </si>
  <si>
    <t>09.13.040</t>
  </si>
  <si>
    <t>CORDOALHA DE AÇO GALV. A QUENTE 50 MM2 (3/8") C/SUPORTE.DE FIXAÇÃO.</t>
  </si>
  <si>
    <t>09.13.099</t>
  </si>
  <si>
    <t>SERVICOS DE PARA-RAIOS</t>
  </si>
  <si>
    <t>09.50.001</t>
  </si>
  <si>
    <t>REMOCAO DE OLEO DE DISJUNTOR OU TRANSFORMADOR EM CABINE PRIMARIA</t>
  </si>
  <si>
    <t>09.50.003</t>
  </si>
  <si>
    <t>REMOCAO DE ISOLADOR TIPO DISCO COMPL, INCL GANCHO DE SUSPENSAO OLHAL</t>
  </si>
  <si>
    <t>09.50.004</t>
  </si>
  <si>
    <t>REMOCAO DE BUCHA DE PASSAGEM INT/EXT, OU DE CHAPA P/ BUCHA PASS A.T.</t>
  </si>
  <si>
    <t>09.50.005</t>
  </si>
  <si>
    <t>REMOCAO DE BUCHA DE PASSAGEM PARA NEUTRO EM CABINE PRIMARIA</t>
  </si>
  <si>
    <t>09.50.007</t>
  </si>
  <si>
    <t>REMOCAO DE CANTONEIRA METALICA</t>
  </si>
  <si>
    <t>09.50.008</t>
  </si>
  <si>
    <t>REMOCAO DE ISOLADOR TIPO CASTANHA, INCLUSIVE GANCHO DE SUSTENTACAO</t>
  </si>
  <si>
    <t>09.50.009</t>
  </si>
  <si>
    <t>REMOCAO DE ISOLADOR TIPO PINO PARA A.T., INCLUSIVE PINO</t>
  </si>
  <si>
    <t>09.50.011</t>
  </si>
  <si>
    <t>REMOCAO DE VERGALHAO DE COBRE</t>
  </si>
  <si>
    <t>09.50.013</t>
  </si>
  <si>
    <t>REMOCAO DE MUFLA EXTERNA TRIPOLAR</t>
  </si>
  <si>
    <t>09.50.014</t>
  </si>
  <si>
    <t>REMOCAO DE MUFLA INTERNA TRIPOLAR</t>
  </si>
  <si>
    <t>09.50.016</t>
  </si>
  <si>
    <t>REMOCAO DE CABO DE A.T. TRIPOLAR</t>
  </si>
  <si>
    <t>09.50.018</t>
  </si>
  <si>
    <t>REMOCAO CHAVE SECCION TRIP SECA, COMANDO POR VARA/ESTRIBO FRONTAL</t>
  </si>
  <si>
    <t>09.50.020</t>
  </si>
  <si>
    <t>REMOCAO DE TRANSFORMADOR DE POTENCIAL COMPLETO</t>
  </si>
  <si>
    <t>09.50.022</t>
  </si>
  <si>
    <t>REMOCAO DE DISJUNTOR DE VOLUME NORMAL OU REDUZIDO</t>
  </si>
  <si>
    <t>09.50.023</t>
  </si>
  <si>
    <t>REMOCAO DE MANOPLA DE COMANDO DE DISJUNTOR DE A.T.(ENGRENAGEM INTERNA)</t>
  </si>
  <si>
    <t>09.50.024</t>
  </si>
  <si>
    <t>REMOCAO DE JANELA DE VENTILACAO PADRAO ELETROPAULO</t>
  </si>
  <si>
    <t>09.50.025</t>
  </si>
  <si>
    <t>REMOCAO RELE DE SOBRE-CORRENTE,INFRATENSAO/BOBINA MINIMA DO DISJ A.T.</t>
  </si>
  <si>
    <t>09.50.026</t>
  </si>
  <si>
    <t>REMOCAO DE TRANSFORMADOR DE POTENCIA EM CABINE PRIMARIA</t>
  </si>
  <si>
    <t>09.50.027</t>
  </si>
  <si>
    <t>REMOCAO DE TRANSFORMADOR DE POTENCIA EM POSTE OU ESTALEIRO</t>
  </si>
  <si>
    <t>09.50.029</t>
  </si>
  <si>
    <t>REMOÇÃO DE POSTE DE CONCRETO</t>
  </si>
  <si>
    <t>09.50.030</t>
  </si>
  <si>
    <t>REMOCAO DE PARA-RAIO TIPO CRISTAL VALVE EM POSTE SINGELO OU ESTALEIRO</t>
  </si>
  <si>
    <t>09.50.031</t>
  </si>
  <si>
    <t>REMOCAO DE PARA-RAIO TIPO CRISTAL-VALVE EM CABINE PRIMARIA</t>
  </si>
  <si>
    <t>09.50.032</t>
  </si>
  <si>
    <t>REMOCAO DE CRUZETA DE MADEIRA</t>
  </si>
  <si>
    <t>09.50.033</t>
  </si>
  <si>
    <t>REMOCAO DE MAO FRANCESA</t>
  </si>
  <si>
    <t>09.50.034</t>
  </si>
  <si>
    <t>REMOCAO DE CHAVE FUSIVEL INDICADORA TIPO MATHEUS</t>
  </si>
  <si>
    <t>09.50.036</t>
  </si>
  <si>
    <t>REMOCAO DE SUPORTE DE TRANSFORMADOR EM POSTE SINGELO OU ESTALEIRO</t>
  </si>
  <si>
    <t>09.50.037</t>
  </si>
  <si>
    <t>REMOCAO CINTA FIXACAO DE ELETRODUTO OU SELA P/CRUZETA MAD EM POSTE</t>
  </si>
  <si>
    <t>09.50.039</t>
  </si>
  <si>
    <t>REMOCAO DE CAIXAS DE MEDICAO OU CAIXAS P/ TRANSF. DE CORRENTE</t>
  </si>
  <si>
    <t>09.50.099</t>
  </si>
  <si>
    <t>DEMOLICOES DE ALTA TENSAO</t>
  </si>
  <si>
    <t>09.52.001</t>
  </si>
  <si>
    <t>REMOCAO DE POSTE ACO GALV. OU CAIXA ACO P/ ENTRADA ENERGIA EM B.T.</t>
  </si>
  <si>
    <t>09.52.002</t>
  </si>
  <si>
    <t>REMOCAO DE POSTE DE CONCRETO DE ENTRADA EM B.T.</t>
  </si>
  <si>
    <t>09.52.003</t>
  </si>
  <si>
    <t>REMOCAO DE ARMACAO TIPO BRAQUET</t>
  </si>
  <si>
    <t>09.52.004</t>
  </si>
  <si>
    <t>REMOCAO DE CABECOTE TIPO TELEFONICA</t>
  </si>
  <si>
    <t>09.52.005</t>
  </si>
  <si>
    <t>REMOCAO DE CAIXA DE ENTRADA DE TELEFONE PADRAO TELEFONICA</t>
  </si>
  <si>
    <t>09.52.007</t>
  </si>
  <si>
    <t>REMOCAO DE TUBULACAO ELETRICA EMBUTIDA ATE 2"</t>
  </si>
  <si>
    <t>09.52.008</t>
  </si>
  <si>
    <t>REMOCAO DE TUBULACAO ELETRICA EMBUTIDA ACIMA DE 2"</t>
  </si>
  <si>
    <t>09.52.009</t>
  </si>
  <si>
    <t>REMOCAO DE TUBULACAO ELETRICA APARENTE ATE 2"</t>
  </si>
  <si>
    <t>09.52.010</t>
  </si>
  <si>
    <t>REMOCAO DE TUBULACAO ELETRICA APARENTE ACIMA 2"</t>
  </si>
  <si>
    <t>09.52.015</t>
  </si>
  <si>
    <t>REMOCAO DE CAIXA PARA FUSIVEL OU TOMADA INSTALADA EM PERFILADOS</t>
  </si>
  <si>
    <t>09.52.016</t>
  </si>
  <si>
    <t>REMOCAO DE CAIXAS ESTAMPADAS</t>
  </si>
  <si>
    <t>09.52.017</t>
  </si>
  <si>
    <t>REMOCAO DE FIO EMBUTIDO ATE 16 MM2</t>
  </si>
  <si>
    <t>09.52.018</t>
  </si>
  <si>
    <t>REMOCAO DE CABO EMBUTIDO ACIMA DE 16 MM2</t>
  </si>
  <si>
    <t>09.52.019</t>
  </si>
  <si>
    <t>REMOCAO DE FIO APARENTE ATE 16 MM2</t>
  </si>
  <si>
    <t>09.52.020</t>
  </si>
  <si>
    <t>REMOCAO DE CABO APARENTE ACIMA DE 16 MM2</t>
  </si>
  <si>
    <t>09.52.021</t>
  </si>
  <si>
    <t>REMOCAO DE TERMINAIS ,CONECTORES DE PRESSAO OU ROLDANAS PARA CABOS</t>
  </si>
  <si>
    <t>09.52.022</t>
  </si>
  <si>
    <t>REMOCAO DE TERMINAIS OU CONECTORES DE SOLDA PARA CABOS</t>
  </si>
  <si>
    <t>09.52.026</t>
  </si>
  <si>
    <t>REMOCAO DE FUNDO OU PORTAS MADEIRA/METAL .P/QUADROS OU CAIXAS PASSAGEM</t>
  </si>
  <si>
    <t>09.52.028</t>
  </si>
  <si>
    <t>REMOCAO DE FECHADURAS TIPO YALE (Q.DISTRIBUICAO)</t>
  </si>
  <si>
    <t>09.52.029</t>
  </si>
  <si>
    <t>REMOCAO DE CHAVES BASE MARMORE,NH UNIPOLAR OU DISJUNT.NO-FUSE EM BT</t>
  </si>
  <si>
    <t>09.52.030</t>
  </si>
  <si>
    <t>09.52.034</t>
  </si>
  <si>
    <t>REMOCAO DE BASE OU CHAVE PARA FUSIVEL NH TIPO UNIPOLAR</t>
  </si>
  <si>
    <t>09.52.035</t>
  </si>
  <si>
    <t>REMOCAO DE CHAVE OU BASE NH TRIPOL. OU CHAVE PACCO ROTATIVA EM B.T</t>
  </si>
  <si>
    <t>09.52.037</t>
  </si>
  <si>
    <t>REMOCAO DE CHAVE DE ACAO RAPIDA,COMANDO FRONTAL MONTADO EM PAINEL B.T</t>
  </si>
  <si>
    <t>09.52.039</t>
  </si>
  <si>
    <t>REMOCAO DE BARRAMENTO DE COBRE</t>
  </si>
  <si>
    <t>09.52.099</t>
  </si>
  <si>
    <t>DEMOLICOES DE BAIXA TENSAO</t>
  </si>
  <si>
    <t>09.54.001</t>
  </si>
  <si>
    <t>REMOCAO DE INTERRUPTORES TOMADAS BOTOES DE CAMPAINHA E CIGARRAS</t>
  </si>
  <si>
    <t>09.54.002</t>
  </si>
  <si>
    <t>REMOCAO DE CHAVE AUTOMATICA DA BOIA</t>
  </si>
  <si>
    <t>09.54.003</t>
  </si>
  <si>
    <t>REMOCAO DE CONTACTOR MAGNETICO P/ QUADRO DE COMANDO DE BOMBA RECALQUE</t>
  </si>
  <si>
    <t>09.54.004</t>
  </si>
  <si>
    <t>REMOCAO DE MOTOR BOMBA DE RECALQUE</t>
  </si>
  <si>
    <t>09.54.005</t>
  </si>
  <si>
    <t>REMOCAO AP.ILUM FLUORESC.C/PLAFON E PEND,OU CANOPLA P/ LUM.PENDENTE</t>
  </si>
  <si>
    <t>09.54.006</t>
  </si>
  <si>
    <t>REMOCAO APARELHO ILUMINACAO,PLAFONS E PENDENTES P/LAMPADAS FLUORESC</t>
  </si>
  <si>
    <t>09.54.007</t>
  </si>
  <si>
    <t>09.54.013</t>
  </si>
  <si>
    <t>REMOCAO DE REATORES PARA LAMPADAS HG EM POSTES</t>
  </si>
  <si>
    <t>09.54.014</t>
  </si>
  <si>
    <t>REMOCAO DE AP. ILUMIN. EM POSTES OU DE PROJETORES EM FACHADAS</t>
  </si>
  <si>
    <t>09.54.016</t>
  </si>
  <si>
    <t>REMOCAO DE PROJETORES EM JARDINS OU DE LUZ DE OBSTACULO</t>
  </si>
  <si>
    <t>09.54.017</t>
  </si>
  <si>
    <t>REMOCAO DE ARANDELA EXTERNA EM BRACO DE FERRO</t>
  </si>
  <si>
    <t>09.54.018</t>
  </si>
  <si>
    <t>REMOCAO DO APARELHO A PROVA DE TEMPO, GASES E VAPOR</t>
  </si>
  <si>
    <t>09.54.019</t>
  </si>
  <si>
    <t>REMOCAO DE CRUZETAS DE FERRO PARA FIXACAO DE PROJETORES</t>
  </si>
  <si>
    <t>09.54.020</t>
  </si>
  <si>
    <t>REMOCAO DE POSTE CURVO, INCLUINDO BASES DE FIXACAO</t>
  </si>
  <si>
    <t>09.54.021</t>
  </si>
  <si>
    <t>REMOCAO DE POSTE DE FERRO RETO ENGASTADO NO SOLO</t>
  </si>
  <si>
    <t>09.54.099</t>
  </si>
  <si>
    <t>DEMOLICOES DE APARELHOS E EQUIPAMENTOS</t>
  </si>
  <si>
    <t>09.56.001</t>
  </si>
  <si>
    <t>REMOCAO DE CAPTOR DE PARA-RAIOS TIPO FRANKLIN OU RADIATIVO</t>
  </si>
  <si>
    <t>09.56.003</t>
  </si>
  <si>
    <t>REMOCAO DE BASE E HASTE DE PARA-RAIO</t>
  </si>
  <si>
    <t>09.56.004</t>
  </si>
  <si>
    <t>REMOCAO CABOS E ESTICADORES OU DE BRACADEIRAS P/ 3 ESTAIS EM P.RAIOS</t>
  </si>
  <si>
    <t>09.56.005</t>
  </si>
  <si>
    <t>REMOCAO DE CABO DE COBRE NU</t>
  </si>
  <si>
    <t>09.56.006</t>
  </si>
  <si>
    <t>REMOCAO DE CABO COBRE NU PARA ATERRAMENTO</t>
  </si>
  <si>
    <t>09.56.007</t>
  </si>
  <si>
    <t>REMOCAO DE CONECTOR TIPO SPLIT-BOLDT PARA CABOS DE ATERRAMENTO</t>
  </si>
  <si>
    <t>09.56.009</t>
  </si>
  <si>
    <t>REMOCAO DE BRACADEIRAS PARA PASSAGEM DE CABOS DE COBRE NU</t>
  </si>
  <si>
    <t>09.56.012</t>
  </si>
  <si>
    <t>REMOCAO DE TUBO DE PROTECAO DE CABO DE COBRE NU INCL. FIXACOES</t>
  </si>
  <si>
    <t>09.56.099</t>
  </si>
  <si>
    <t>DEMOLICOES DE PARA-RAIOS E ATERRAMENTO</t>
  </si>
  <si>
    <t>09.60.003</t>
  </si>
  <si>
    <t>09.60.004</t>
  </si>
  <si>
    <t>09.60.007</t>
  </si>
  <si>
    <t>RETIRADA DE CANTONEIRA METÁLICA</t>
  </si>
  <si>
    <t>09.60.008</t>
  </si>
  <si>
    <t>RETIRADA DE ISOLADOR TIPO CASTANHA INCL GANCHO DE SUSTENTAÇÃO</t>
  </si>
  <si>
    <t>09.60.009</t>
  </si>
  <si>
    <t>RETIRADA DE ISOLADOR TIPO PINO PARA A.T. INCLUSIVE PINO</t>
  </si>
  <si>
    <t>09.60.011</t>
  </si>
  <si>
    <t>RETIRADA DE VERGALHÃO DE COBRE</t>
  </si>
  <si>
    <t>09.60.012</t>
  </si>
  <si>
    <t>RETIRADA DE TERMINAL OU CONECTOR PARA VERGALHAO DE COBRE</t>
  </si>
  <si>
    <t>09.60.018</t>
  </si>
  <si>
    <t>RETIRADA DE CHAVE SECCION TRIP SECA, COMANDO POR VARA/ESTRIBO FRONTA</t>
  </si>
  <si>
    <t>09.60.020</t>
  </si>
  <si>
    <t>RETIRADA DE TRANSFORMADOR DE POTENCIAL COMPLETO</t>
  </si>
  <si>
    <t>09.60.022</t>
  </si>
  <si>
    <t>RETIRADA DE DISJUNTOR DE VOLUME NORMAL OU REDUZIDO</t>
  </si>
  <si>
    <t>09.60.023</t>
  </si>
  <si>
    <t>RETIRADA DE MANOPLA DE COMANDO DO DISJUNTOR DE A.T. (ENGRENAGEM INTERNA)</t>
  </si>
  <si>
    <t>09.60.026</t>
  </si>
  <si>
    <t>RETIRADA DE TRANSFORMADOR DE POTENCIA EM CABINE PRIMARIA</t>
  </si>
  <si>
    <t>09.60.027</t>
  </si>
  <si>
    <t>RETIRADA DE TRANSFORMADOR DE POTENCIA EM POSTE OU ESTALEIRO</t>
  </si>
  <si>
    <t>09.60.029</t>
  </si>
  <si>
    <t>RETIRADA DE POSTE DE CONCRETO</t>
  </si>
  <si>
    <t>09.60.034</t>
  </si>
  <si>
    <t>RETIRADA DE CHAVE FUSIVEL INDICADORA TIPO MATHEUS</t>
  </si>
  <si>
    <t>09.60.099</t>
  </si>
  <si>
    <t>RETIRADAS DE ALTA TENSAO</t>
  </si>
  <si>
    <t>09.62.001</t>
  </si>
  <si>
    <t>RETIRADA DE POSTE GALVANIZADO DE ENTRADA EM B.T.</t>
  </si>
  <si>
    <t>09.62.002</t>
  </si>
  <si>
    <t>RETIRADA DE POSTE DE CONCRETO DE ENTRADA EM B.T.</t>
  </si>
  <si>
    <t>09.62.003</t>
  </si>
  <si>
    <t>RETIRADA DE ARMACAO T BRAQUET, CONDULETES OU DE CX.FUSIV/TOMADAS EM PERFILADO</t>
  </si>
  <si>
    <t>09.62.004</t>
  </si>
  <si>
    <t>RETIRADA DE CABECOTE PADRAO TELEFONICA OU DE BASE P/DISJUNTOR QUICK LAG</t>
  </si>
  <si>
    <t>09.62.009</t>
  </si>
  <si>
    <t>RETIRADA DE TUBULACAO ELETRICA APARENTE ATE 2"</t>
  </si>
  <si>
    <t>09.62.010</t>
  </si>
  <si>
    <t>RETIRADA DE TUBULACAO ELETRICA APARENTE ACIMA 2"</t>
  </si>
  <si>
    <t>09.62.012</t>
  </si>
  <si>
    <t>RETIRADA DE PERFILADOS</t>
  </si>
  <si>
    <t>09.62.014</t>
  </si>
  <si>
    <t>RETIRADA DE GANCHOS DE SUSTENTACAO DE LUMINARIAS EM PERFILADOS</t>
  </si>
  <si>
    <t>09.62.017</t>
  </si>
  <si>
    <t>RETIRADA DE FIO EMBUTIDO ATE 16 MM2</t>
  </si>
  <si>
    <t>09.62.018</t>
  </si>
  <si>
    <t>RETIRADA DE CABO EMBUTIDO ACIMA DE 16 MM2</t>
  </si>
  <si>
    <t>09.62.019</t>
  </si>
  <si>
    <t>RETIRADA DE FIO APARENTE ATE 16 MM2</t>
  </si>
  <si>
    <t>09.62.020</t>
  </si>
  <si>
    <t>RETIRADA DE CABO APARENTE ACIMA DE 16 MM2</t>
  </si>
  <si>
    <t>09.62.021</t>
  </si>
  <si>
    <t>RETIRADA DE TERMINAIS/CONECTORES DE PRESSAO P/CABOS OU DE ROLDANAS</t>
  </si>
  <si>
    <t>09.62.024</t>
  </si>
  <si>
    <t>RETIRADA E DESMONTAGEM QD.DISTRIB, CAIXA PASSAGEM OU QD. CHAMADA</t>
  </si>
  <si>
    <t>09.62.099</t>
  </si>
  <si>
    <t>RETIRADAS DE BAIXA TENSAO</t>
  </si>
  <si>
    <t>09.64.004</t>
  </si>
  <si>
    <t>RETIRADA DE MOTOR DE BOMBA DE RECALQUE</t>
  </si>
  <si>
    <t>09.64.005</t>
  </si>
  <si>
    <t>RETIRADA DE APARELHO DE ILUMINACAO, PLAFONS E PENDENTES P/LAMPADAS INCANDESC</t>
  </si>
  <si>
    <t>09.64.006</t>
  </si>
  <si>
    <t>RETIRADA DE APARELHOS DE ILUMINACAO, PLAFONS E PENDENTES P/LAMPADAS FLUORESC</t>
  </si>
  <si>
    <t>09.64.014</t>
  </si>
  <si>
    <t>RETIRADA DE AP.ILUM.EM POSTE,ARANDELA EXT BRACO ACO OU PROJET EM FACHADA</t>
  </si>
  <si>
    <t>09.64.016</t>
  </si>
  <si>
    <t>RETIRADA DE PROJETORES EM JARDINS</t>
  </si>
  <si>
    <t>09.64.018</t>
  </si>
  <si>
    <t>RETIRADA DE APARELHO A PROVA DE TEMPO, GASES E VAPOR</t>
  </si>
  <si>
    <t>09.64.020</t>
  </si>
  <si>
    <t>RETIRADA DE POSTE CURVO, INCLUINDO BASES DE FIXACAO</t>
  </si>
  <si>
    <t>09.64.023</t>
  </si>
  <si>
    <t>RETIRADA DE POSTE DE FERRO RETO ENGASTADO NO SOLO</t>
  </si>
  <si>
    <t>09.64.024</t>
  </si>
  <si>
    <t>RETIRADA DE POSTE DE CONCRETO DE ATE 10M ACIMA DO SOLO</t>
  </si>
  <si>
    <t>09.64.099</t>
  </si>
  <si>
    <t>RETIRADAS DE APARELHOS E EQUIPAMENTOS</t>
  </si>
  <si>
    <t>09.66.001</t>
  </si>
  <si>
    <t>RETIRADA DE CAPTOR DE PARA-RAIOS TIPO FRANKLIN</t>
  </si>
  <si>
    <t>09.66.003</t>
  </si>
  <si>
    <t>RETIRADA DE BASE E HASTE,OU DE BRAÇADEIRA C/3 ESTAIS EM PARA-RAIOS</t>
  </si>
  <si>
    <t>09.66.004</t>
  </si>
  <si>
    <t>RETIRADA DE CABOS DE AÇO E ESTICADORES DE PARA-RAIOS</t>
  </si>
  <si>
    <t>09.66.005</t>
  </si>
  <si>
    <t>RETIRADA DE CABO DE COBRE NU</t>
  </si>
  <si>
    <t>09.66.006</t>
  </si>
  <si>
    <t>RETIRADA DE CABO DE COBRE NU PARA ATERRAMENTO</t>
  </si>
  <si>
    <t>09.66.007</t>
  </si>
  <si>
    <t>RETIRADA DE CONECTOR TIPO SPLIT-BOLT PARA CABOS DE ATERRAMENTO</t>
  </si>
  <si>
    <t>09.66.009</t>
  </si>
  <si>
    <t>RETIRADA DE BRAÇADEIRAS PARA PASSAGEM DE CABO DE COBRE NU</t>
  </si>
  <si>
    <t>09.66.099</t>
  </si>
  <si>
    <t>RETIRADAS DE PARA-RAIOS E ATERRAMENTOS</t>
  </si>
  <si>
    <t>09.70.003</t>
  </si>
  <si>
    <t>RECOLOCAÇÃO DE ISOLADOR TIPO DISCO COMPL, INCLUS GANCHO DE SUSPENSA TIPO OLHAL</t>
  </si>
  <si>
    <t>09.70.004</t>
  </si>
  <si>
    <t>RECOLOCAÇÃO DE BUCHA PASS.INT/EXT OU DE CH.ACO P/BUCHA PASSAGEM EM A.T</t>
  </si>
  <si>
    <t>09.70.007</t>
  </si>
  <si>
    <t>RECOLOCAÇÃO DE CANTONEIRA METALICA</t>
  </si>
  <si>
    <t>09.70.008</t>
  </si>
  <si>
    <t>RECOLOCAÇÃO DE ISOLADOR CASTANHA OU DE TERMINAL/CONEC. P/BARRAM.COBRE A.T</t>
  </si>
  <si>
    <t>09.70.009</t>
  </si>
  <si>
    <t>RECOLOCAÇÃO DE ISOLADOR TIPO PINO PARA A.T. INCLUSIVE PINO</t>
  </si>
  <si>
    <t>09.70.011</t>
  </si>
  <si>
    <t>RECOLOCAÇÃO DE VERGALHÃO DE COBRE</t>
  </si>
  <si>
    <t>09.70.018</t>
  </si>
  <si>
    <t>RECOLOCAÇÃO DE CHAVE SECCIONADORA TRIP SECA,COMANDO POR VARA/ESTRIBO FRONTAL</t>
  </si>
  <si>
    <t>09.70.020</t>
  </si>
  <si>
    <t>RECOLOCAÇÃO DE CH.FUSIV.INDICADORA OU DE TRANSF.DE POTENCIAL COMPL. A.T</t>
  </si>
  <si>
    <t>09.70.022</t>
  </si>
  <si>
    <t>RECOLOCAÇÃO DE DISJUNTOR DE VOLUME NORMAL OU REDUZIDO</t>
  </si>
  <si>
    <t>09.70.023</t>
  </si>
  <si>
    <t>RECOLOCAÇÃO DE MANOPLA DE COMANDO DO DISJUNTOR DE A.T. (ENGRENAGEM INTERNA)</t>
  </si>
  <si>
    <t>09.70.026</t>
  </si>
  <si>
    <t>RECOLOCAÇÃO DE TRANSFORMADOR DE POTENCIA EM POSTE OU CAB.PRIMARIA</t>
  </si>
  <si>
    <t>09.70.029</t>
  </si>
  <si>
    <t>RECOLOCAÇÃO DE POSTE DE CONCRETO</t>
  </si>
  <si>
    <t>09.70.099</t>
  </si>
  <si>
    <t>RECOLOCACOES DE ALTA TENSAO</t>
  </si>
  <si>
    <t>09.72.003</t>
  </si>
  <si>
    <t>RECOLOCAÇÃO DE CABECOTE TELEFONICA, ARMACAO BRAQUET OU CONECTORES PRESSAO P/CABOS</t>
  </si>
  <si>
    <t>09.72.004</t>
  </si>
  <si>
    <t>RECOLOCAÇÃO DE POSTE GALVANIZADO DE ENTRADA B.T.</t>
  </si>
  <si>
    <t>09.72.005</t>
  </si>
  <si>
    <t>RECOLOCAÇÃO DE POSTE DE CONCRETO DE ENTRADA EM B.T.</t>
  </si>
  <si>
    <t>09.72.009</t>
  </si>
  <si>
    <t>RECOLOCAÇÃO DE TUBULACAO ELETRICA APARENTE ATE 2"</t>
  </si>
  <si>
    <t>09.72.010</t>
  </si>
  <si>
    <t>RECOLOCAÇÃO DE TUBULACAO ELETRICA APARENTE ACIMA DE 2"</t>
  </si>
  <si>
    <t>09.72.011</t>
  </si>
  <si>
    <t>09.72.012</t>
  </si>
  <si>
    <t>RECOLOCAÇÃO DE PERFILADOS</t>
  </si>
  <si>
    <t>09.72.014</t>
  </si>
  <si>
    <t>RECOLOCAÇÃO DE GANCHOS DE SUSTENTACAO DE LUMINARIAS E PERFILADOS</t>
  </si>
  <si>
    <t>09.72.017</t>
  </si>
  <si>
    <t>RECOLOCAÇÃO DE FIO EMBUTIDO ATE 16 MM2</t>
  </si>
  <si>
    <t>09.72.018</t>
  </si>
  <si>
    <t>RECOLOCAÇÃO DE CABO EMBUTIDO ACIMA DE 16 MM2</t>
  </si>
  <si>
    <t>09.72.019</t>
  </si>
  <si>
    <t>RECOLOCAÇÃO DE FIO APARENTE ATE 16 MM2</t>
  </si>
  <si>
    <t>09.72.020</t>
  </si>
  <si>
    <t>RECOLOCAÇÃO DE CABO APARENTE ACIMA DE 16 MM2</t>
  </si>
  <si>
    <t>09.72.023</t>
  </si>
  <si>
    <t>RECOLOCAÇÃO DE ROLDANAS</t>
  </si>
  <si>
    <t>09.72.024</t>
  </si>
  <si>
    <t>RECOLOCAÇÃO E MONTAGEM DE QD.DISTRIB,CX DE PASSAG MET OU QD.CHAMADA</t>
  </si>
  <si>
    <t>09.72.031</t>
  </si>
  <si>
    <t>RECOLOCAÇÃO DE BASE DE DISJUNTOR TIPO QUICK-LAG EM CHAPA DE FERRO</t>
  </si>
  <si>
    <t>09.72.099</t>
  </si>
  <si>
    <t>RECOLOCACOES DE BAIXA TENSAO</t>
  </si>
  <si>
    <t>09.74.004</t>
  </si>
  <si>
    <t>RECOLOCAÇÃO DE MOTOR DE BOMBA DE RECALQUE</t>
  </si>
  <si>
    <t>09.74.005</t>
  </si>
  <si>
    <t>RECOLOCAÇÃO DE AP.ILUM.(PLAFON OU PEND.)P/LAMP.INCAND OU DE PROJET EM JARDINS</t>
  </si>
  <si>
    <t>09.74.006</t>
  </si>
  <si>
    <t>RECOLOCAÇÃO DE APARELHO DE ILUMINACAO,PLAFONS OU PENDENTES P/ LAMP FLUORESCENTES</t>
  </si>
  <si>
    <t>09.74.015</t>
  </si>
  <si>
    <t>RECOLOCAÇÃO DE PROJ.EM FACHADAS OU AP.ILUMIN.A PROVA DE TEMPO</t>
  </si>
  <si>
    <t>09.74.017</t>
  </si>
  <si>
    <t>RECOLOCAÇÃO DE ARANDELA EXTERNA EM BRACO DE FERRO</t>
  </si>
  <si>
    <t>09.74.018</t>
  </si>
  <si>
    <t>RECOLOCAÇÃO DE APARELHOS DE ILUMINAÇÃO EM POSTE</t>
  </si>
  <si>
    <t>09.74.019</t>
  </si>
  <si>
    <t>RECOLOCAÇÃO DE POSTE CURVO, INCLUINDO BASE DE FIXACAO</t>
  </si>
  <si>
    <t>09.74.023</t>
  </si>
  <si>
    <t>RECOLOCAÇÃO DE POSTE DE FERRO RETO ENGASTADO NO SOLO</t>
  </si>
  <si>
    <t>09.74.024</t>
  </si>
  <si>
    <t>RECOLOCAÇÃO DE POSTE DE CONCRETO DE ATE 10M ACIMA DO SOLO</t>
  </si>
  <si>
    <t>09.74.099</t>
  </si>
  <si>
    <t>RECOLOCACOES DE APARELHOS E EQUIPAMENTOS</t>
  </si>
  <si>
    <t>09.76.001</t>
  </si>
  <si>
    <t>RECOLOCAÇÃO DE CAPTOR DE PARA-RAIOS TIPO FRANKLIN OU RADIOATIVO</t>
  </si>
  <si>
    <t>09.76.003</t>
  </si>
  <si>
    <t>RECOLOCAÇÃO DE BASE E HASTE DE PARA-RAIOS</t>
  </si>
  <si>
    <t>09.76.004</t>
  </si>
  <si>
    <t>RECOLOCAÇÃO DE CABO ACO E ESTICADORES,OU DE CABO COBRE NU P/ATERR. P.RAIOS</t>
  </si>
  <si>
    <t>09.76.005</t>
  </si>
  <si>
    <t>RECOLOCAÇÃO DE CABO DE COBRE NU</t>
  </si>
  <si>
    <t>09.76.007</t>
  </si>
  <si>
    <t>RECOLOCAÇÃO DE CONECTOR TIPO SPLIT-BOLT PARA CABOS DE ATERRAMENTO</t>
  </si>
  <si>
    <t>09.76.009</t>
  </si>
  <si>
    <t>RECOLOCAÇÃO DE BRACADEIRAS PARA 3 ESTAIS OU PARA PASSAGEM DE CABO DE COBRE NU</t>
  </si>
  <si>
    <t>09.76.099</t>
  </si>
  <si>
    <t>RECOLOCACOES DE PARA-RAIOS E ATERRAMENTO</t>
  </si>
  <si>
    <t>09.80.001</t>
  </si>
  <si>
    <t>OLEO P/DISJUNTOR EM TRANSFOMADOR DE ALTA TENSAO EM CABINE</t>
  </si>
  <si>
    <t>09.80.002</t>
  </si>
  <si>
    <t>OLEO PARA TRANSFORMADOR DE ALTA TENSAO EM POSTE SINGELO OU ESTALEIRO</t>
  </si>
  <si>
    <t>09.80.003</t>
  </si>
  <si>
    <t>ISOLADOR TIPO DISCO 15 KV 6" (150 MM)</t>
  </si>
  <si>
    <t>09.80.004</t>
  </si>
  <si>
    <t>CHAPA DE FERRO DE 1,50 X 0,50 M PARA BUCHA DE PASSAGEM</t>
  </si>
  <si>
    <t>09.80.005</t>
  </si>
  <si>
    <t>BUCHA PARA PASSAGEM INTERNA/EXTERNA COM ISOLACAO PARA 15 KV</t>
  </si>
  <si>
    <t>09.80.006</t>
  </si>
  <si>
    <t>BUCHA DE PASSAGEM PARA NEUTRO</t>
  </si>
  <si>
    <t>09.80.007</t>
  </si>
  <si>
    <t>CANTONEIRA DE FERRO 1 1/2" X 1 1/2" X 1/8"</t>
  </si>
  <si>
    <t>09.80.008</t>
  </si>
  <si>
    <t>JANELA DE VENTILACAO PADRAO ELETROPAULO DE 0,40 X 0,40 X 0,15 M</t>
  </si>
  <si>
    <t>09.80.010</t>
  </si>
  <si>
    <t>ISOLADOR TIPO PINO PARA 15 KV, INCLUSIVE PINO, INSTALADO EM CABINE</t>
  </si>
  <si>
    <t>09.80.011</t>
  </si>
  <si>
    <t>ISOLADOR TIPO PINO PARA 15 KV, INCLUSIVE PINO, INSTALADO EM POSTE</t>
  </si>
  <si>
    <t>09.80.012</t>
  </si>
  <si>
    <t>VERGALHAO DE COBRE DE 3/8" (10MM)</t>
  </si>
  <si>
    <t>09.80.013</t>
  </si>
  <si>
    <t>VERGALHAO DE COBRE DE 1/2" (12,5MM)</t>
  </si>
  <si>
    <t>09.80.014</t>
  </si>
  <si>
    <t>TERMINAL OU CONECTOR PARA VERGALHAO DE COBRE DE 3/8" (10 MM2)</t>
  </si>
  <si>
    <t>09.80.015</t>
  </si>
  <si>
    <t>TERMINAL OU CONECTOR PARA VERGALHAO DE COBRE DE 1/2" (12,5 MM2)</t>
  </si>
  <si>
    <t>09.80.017</t>
  </si>
  <si>
    <t>MUFLA TERMINAL UNIPOLAR EXTERNA P/ CABO ISOLAÇÃO XLPE 15KV ATE 35MM2</t>
  </si>
  <si>
    <t>09.80.019</t>
  </si>
  <si>
    <t>MUFLA TERMINAL UNIPOLAR INTERNA P/ CABO ISOLAÇÃO XLPE 15KV ATE 35MM2</t>
  </si>
  <si>
    <t>09.80.024</t>
  </si>
  <si>
    <t>09.80.025</t>
  </si>
  <si>
    <t>09.80.026</t>
  </si>
  <si>
    <t>CHAVE SECCIONADORA TRIPOLAR SECA PARA 200A/15 KV C/ CMD PROLONGADO</t>
  </si>
  <si>
    <t>09.80.029</t>
  </si>
  <si>
    <t>CHAVE FUSIVEL INDIC 'MATHEUS' P/100 A/15 KV RUPTURA 1200A POSTE/ESTAL</t>
  </si>
  <si>
    <t>09.80.030</t>
  </si>
  <si>
    <t>CHAVE FUSIVEL INDIC 'MATHEUS' P/100A/15 KV RUPTURA 1200A EM CABINE</t>
  </si>
  <si>
    <t>09.80.033</t>
  </si>
  <si>
    <t>TRANSFORMADOR DE CORRENTE PARA M.T. 15 KV</t>
  </si>
  <si>
    <t>09.80.034</t>
  </si>
  <si>
    <t>TRANSFORMADOR DE POTENCIAL 400 W/220V COM FUSIVEL DE M.T. 15 KV</t>
  </si>
  <si>
    <t>09.80.036</t>
  </si>
  <si>
    <t>09.80.038</t>
  </si>
  <si>
    <t>BOBINA MINIMA DO DISJUNTOR</t>
  </si>
  <si>
    <t>09.80.039</t>
  </si>
  <si>
    <t>RELE FALTA-DE-FASE TRIFASICO TIPO ST 220/110 V PEXTRON OU SIMILAR</t>
  </si>
  <si>
    <t>09.80.040</t>
  </si>
  <si>
    <t>RELE PRIMARIO DE SOBRECORRENTE P/DISJ. DE MEDIA TENSAO</t>
  </si>
  <si>
    <t>09.80.041</t>
  </si>
  <si>
    <t>MANOPLA DE COMANDO DE DISJUNTOR DE A. T.</t>
  </si>
  <si>
    <t>09.80.042</t>
  </si>
  <si>
    <t>TAPETE DE BORRACHA DE 100 X 100 X 0,5 CM</t>
  </si>
  <si>
    <t>09.80.043</t>
  </si>
  <si>
    <t>LUVA DE BORRACHA PARA A.T. 20 KV</t>
  </si>
  <si>
    <t>09.80.044</t>
  </si>
  <si>
    <t>VARA MANOPLA DE FENOLITE DE 2,70 M P/ CHAVE SECCIONADORA - 15 KV</t>
  </si>
  <si>
    <t>09.80.048</t>
  </si>
  <si>
    <t>SELA PARA CRUZETA DE MADEIRA</t>
  </si>
  <si>
    <t>09.80.049</t>
  </si>
  <si>
    <t>09.80.050</t>
  </si>
  <si>
    <t>CRUZETA DE MADEIRA DE 2400 MM</t>
  </si>
  <si>
    <t>09.80.051</t>
  </si>
  <si>
    <t>MAO FRANCESA DE 700 MM</t>
  </si>
  <si>
    <t>09.80.052</t>
  </si>
  <si>
    <t>CAIXA PARA TRANSFORMADOR DE CORRENTE PADRAO ELEKTRO</t>
  </si>
  <si>
    <t>09.80.053</t>
  </si>
  <si>
    <t>CAIXA DE MEDICAO PADRAO ELEKTRO - 0,70 X 0,60 X 0,25 M</t>
  </si>
  <si>
    <t>09.80.055</t>
  </si>
  <si>
    <t>TRANSF-POT 45 KVA-M.T.13,2(5%)B.T.220/127V(5%)EM POSTE/ESTALEIRO</t>
  </si>
  <si>
    <t>09.80.057</t>
  </si>
  <si>
    <t>TRANSF-POT 75 KVA-M.T.13,2 KV(5%)B.T.220/127V(5%)EM POSTE/ESTALEIRO</t>
  </si>
  <si>
    <t>09.80.058</t>
  </si>
  <si>
    <t>TRANSF-POT 112,5 KVA-M.T.13,2 KV(5%)220/127V(5%) EM POSTE /ESTALEIRO</t>
  </si>
  <si>
    <t>09.80.059</t>
  </si>
  <si>
    <t>TRANSF-POT 112,5 KVA-M.T.13,2 KV(5%)B.T.220/127V(5%) EM CABINE</t>
  </si>
  <si>
    <t>09.80.060</t>
  </si>
  <si>
    <t>TRANSF-POT 150 KVA-M.T.13,2 KV(5%) B.T. 220/127V(5%) EM CABINE</t>
  </si>
  <si>
    <t>09.80.061</t>
  </si>
  <si>
    <t>TRANSF-POT 225 KVA-M.T.13,2 KV(5%)B.T. 220/127(5%) EM CABINE</t>
  </si>
  <si>
    <t>09.80.062</t>
  </si>
  <si>
    <t>TRANSF-POT 300 KVA-M.T.13,2 KV(5%)B.T. 220/127(5%) EM CABINE</t>
  </si>
  <si>
    <t>09.80.063</t>
  </si>
  <si>
    <t>TRANSF-POT 500 KVA-M.T.13,2 KV(5%)B.T. 220/127V(5%) EM CABINE</t>
  </si>
  <si>
    <t>09.80.064</t>
  </si>
  <si>
    <t>MUDANCA DE TAP DO TRANSFORMADOR</t>
  </si>
  <si>
    <t>09.80.065</t>
  </si>
  <si>
    <t>LIMPEZA DE POSTO PRIMARIO E PINTURA DOS BARRAMENTOS</t>
  </si>
  <si>
    <t>09.80.090</t>
  </si>
  <si>
    <t>PLACA DE AVISO EM CABINE PRIMARIA</t>
  </si>
  <si>
    <t>09.80.099</t>
  </si>
  <si>
    <t>OUTROS SERVICOS EM ALTA TENSAO - CONSERVACAO</t>
  </si>
  <si>
    <t>09.82.001</t>
  </si>
  <si>
    <t>POSTE DE ACO GALVANIZADO DE 3 1/2" X 6,00 M</t>
  </si>
  <si>
    <t>09.82.005</t>
  </si>
  <si>
    <t>BRAQUET COM 2 ISOLADORES PARA B.T.</t>
  </si>
  <si>
    <t>09.82.006</t>
  </si>
  <si>
    <t>BRAQUET COM 3 ISOLADORES PARA B.T.</t>
  </si>
  <si>
    <t>09.82.007</t>
  </si>
  <si>
    <t>BRAQUET COM 4 ISOLADORES PARA B.T.</t>
  </si>
  <si>
    <t>09.82.009</t>
  </si>
  <si>
    <t>CAIXA ESTAMPADA 4" X 2"</t>
  </si>
  <si>
    <t>09.82.010</t>
  </si>
  <si>
    <t>CAIXA ESTAMPADA 4" X 4"</t>
  </si>
  <si>
    <t>09.82.011</t>
  </si>
  <si>
    <t>BRACADEIRA PARA FIXACAO DE ELETRODUTO</t>
  </si>
  <si>
    <t>09.82.025</t>
  </si>
  <si>
    <t>TERMINAL OU CONECTOR DE PRESSAO PARA CABO 10MM</t>
  </si>
  <si>
    <t>09.82.026</t>
  </si>
  <si>
    <t>TERMINAL OU CONECTOR DE PRESSAO PARA CABO 16MM</t>
  </si>
  <si>
    <t>09.82.027</t>
  </si>
  <si>
    <t>TERMINAL OU CONECTOR DE PRESSAO PARA CABO 25MM</t>
  </si>
  <si>
    <t>09.82.028</t>
  </si>
  <si>
    <t>TERMINAL OU CONECTOR DE PRESSAO PARA CABO 35MM</t>
  </si>
  <si>
    <t>09.82.029</t>
  </si>
  <si>
    <t>TERMINAL OU CONECTOR DE PRESSAO PARA CABO 50MM</t>
  </si>
  <si>
    <t>09.82.030</t>
  </si>
  <si>
    <t>TERMINAL OU CONECTOR DE PRESSAO PARA CABO 70MM</t>
  </si>
  <si>
    <t>09.82.031</t>
  </si>
  <si>
    <t>TERMINAL OU CONECTOR DE PRESSAO PARA CABO 95MM</t>
  </si>
  <si>
    <t>09.82.032</t>
  </si>
  <si>
    <t>TERMINAL OU CONECTOR DE PRESSAO PARA CABO 120MM</t>
  </si>
  <si>
    <t>09.82.033</t>
  </si>
  <si>
    <t>TERMINAL OU CONECTOR DE PRESSAO PARA CABO 150MM</t>
  </si>
  <si>
    <t>09.82.034</t>
  </si>
  <si>
    <t>TERMINAL OU CONECTOR DE PRESSAO PARA CABO 185MM</t>
  </si>
  <si>
    <t>09.82.035</t>
  </si>
  <si>
    <t>TERMINAL OU CONECTOR DE PRESSAO PARA CABO 240MM</t>
  </si>
  <si>
    <t>09.82.042</t>
  </si>
  <si>
    <t>BASE DE CHAPA DE FERRO N 14 PARA FIXACAO DE DISJUNTOR NO Q.D.</t>
  </si>
  <si>
    <t>09.82.046</t>
  </si>
  <si>
    <t>FECHADURA TIPO YALE</t>
  </si>
  <si>
    <t>09.82.084</t>
  </si>
  <si>
    <t>CHAVE BLINDADA COM FUSIVEIS DE 3 X 30 A - B.T.</t>
  </si>
  <si>
    <t>09.82.085</t>
  </si>
  <si>
    <t>CHAVE BLINDADA COM FUSIVEIS DE 3 X 60 A - B.T.</t>
  </si>
  <si>
    <t>09.82.086</t>
  </si>
  <si>
    <t>CHAVE BLINDADA COM FUSIVEIS DE 3X100 A - B.T.</t>
  </si>
  <si>
    <t>09.82.087</t>
  </si>
  <si>
    <t>CHAVE BLINDADA COM FUSIVEIS DE 3X200 A - B.T.</t>
  </si>
  <si>
    <t>09.82.095</t>
  </si>
  <si>
    <t>PERFILADO EM CHAPA DE ACO 38X38MM</t>
  </si>
  <si>
    <t>09.82.099</t>
  </si>
  <si>
    <t>OUTROS SERVICOS DE BAIXA TENSAO</t>
  </si>
  <si>
    <t>09.83.001</t>
  </si>
  <si>
    <t>CH.SEC.DE ACAO RAP.SOBRE CARGA COMANDO FRONTAL 3X100 A PAINEL BL.B.T</t>
  </si>
  <si>
    <t>09.83.002</t>
  </si>
  <si>
    <t>CH.SECCION. AÇAO RAPIDA SOBRECARGA COMANDO FRONTAL 3X250A PAINEL BL.BT</t>
  </si>
  <si>
    <t>09.83.004</t>
  </si>
  <si>
    <t>CH.SEC.DE ACAO RAP.SOBRE CARGA COMANDO FRONTAL 3X630 A PAINEL BL.B.T</t>
  </si>
  <si>
    <t>09.83.033</t>
  </si>
  <si>
    <t>BARRA DE COBRE PARA NEUTRO - 200 A</t>
  </si>
  <si>
    <t>09.83.034</t>
  </si>
  <si>
    <t>BARRA DE COBRE PARA NEUTRO - 400 A</t>
  </si>
  <si>
    <t>09.83.035</t>
  </si>
  <si>
    <t>BARRA DE COBRE PARA NEUTRO - 600 A</t>
  </si>
  <si>
    <t>09.83.036</t>
  </si>
  <si>
    <t>BARRA DE COBRE PARA NEUTRO - 30 A</t>
  </si>
  <si>
    <t>09.83.037</t>
  </si>
  <si>
    <t>BARRA DE COBRE PARA NEUTRO - 60 A</t>
  </si>
  <si>
    <t>09.83.038</t>
  </si>
  <si>
    <t>BARRA DE COBRE PARA NEUTRO - 100 A</t>
  </si>
  <si>
    <t>09.83.050</t>
  </si>
  <si>
    <t>BOTOEIRA LIGA-DESLIGA PARA COMANDO DA BOMBA DE RECALQUE</t>
  </si>
  <si>
    <t>09.83.052</t>
  </si>
  <si>
    <t>DISJUNTOR BIPOLAR TERMOMAGNETICO 2X60A a 2X100A</t>
  </si>
  <si>
    <t>09.83.063</t>
  </si>
  <si>
    <t>09.83.065</t>
  </si>
  <si>
    <t>DISJUNTOR TRIPOLAR TERMOMAGNETICO 3X10A a 3X50A</t>
  </si>
  <si>
    <t>09.83.066</t>
  </si>
  <si>
    <t>DISJUNTOR TRIPOLAR TERMOMAGNETICO 3X60A a 3X100A</t>
  </si>
  <si>
    <t>09.83.067</t>
  </si>
  <si>
    <t>09.83.069</t>
  </si>
  <si>
    <t>09.83.070</t>
  </si>
  <si>
    <t>RELE BIMETALICO DE SOBRECORRENTE FAIXA AJUSTAVEL DE 6,3A - 10A PARA QD.COMANDO BOMBA RECALQUE</t>
  </si>
  <si>
    <t>09.83.071</t>
  </si>
  <si>
    <t>RELE BIMETALICO DE SOBRECORRENTE FAIXA AJUSTAVEL DE 8,0A - 12,5A PARA QD.COMANDO BOMBA RECALQUE</t>
  </si>
  <si>
    <t>09.83.072</t>
  </si>
  <si>
    <t>RELE BIMETALICO DE SOBRECORRENTE FAIXA AJUSTAVEL DE 10A - 16A PARA QD.COMANDO BOMBA RECALQUE</t>
  </si>
  <si>
    <t>09.83.073</t>
  </si>
  <si>
    <t>RELE BIMETALICO DE SOBRECORRENTE FAIXA AJUSTAVEL DE 16A - 25A PARA QD.COMANDO BOMBA RECALQUE</t>
  </si>
  <si>
    <t>09.83.077</t>
  </si>
  <si>
    <t>CONTACTOR TRIPOLAR ATE 9A PARA QD.COMANDO BOMBA RECALQUE</t>
  </si>
  <si>
    <t>09.83.078</t>
  </si>
  <si>
    <t>CONTACTOR TRIPOLAR ATE 12A PARA QD.COMANDO BOMBA RECALQUE</t>
  </si>
  <si>
    <t>09.83.079</t>
  </si>
  <si>
    <t>CONTACTOR TRIPOLAR ATE 16A PARA QD.COMANDO BOMBA RECALQUE</t>
  </si>
  <si>
    <t>09.83.080</t>
  </si>
  <si>
    <t>CONTACTOR TRIPOLAR ATE 25A PARA QD.COMANDO BOMBA RECALQUE</t>
  </si>
  <si>
    <t>09.83.099</t>
  </si>
  <si>
    <t>09.84.001</t>
  </si>
  <si>
    <t>INTERRUPTOR DE 1 TECLA</t>
  </si>
  <si>
    <t>09.84.002</t>
  </si>
  <si>
    <t>INTERRUPTOR DE 2 TECLAS</t>
  </si>
  <si>
    <t>09.84.003</t>
  </si>
  <si>
    <t>INTERRUPTOR DE 3 TECLAS</t>
  </si>
  <si>
    <t>09.84.004</t>
  </si>
  <si>
    <t>INTERRUPTOR PARALELO</t>
  </si>
  <si>
    <t>09.84.009</t>
  </si>
  <si>
    <t>09.84.010</t>
  </si>
  <si>
    <t>09.84.017</t>
  </si>
  <si>
    <t>BOTAO DE CAMPAINHA</t>
  </si>
  <si>
    <t>09.84.020</t>
  </si>
  <si>
    <t>ESPELHO DE 4'X2'</t>
  </si>
  <si>
    <t>09.84.021</t>
  </si>
  <si>
    <t>ESPELHO 4'X4'</t>
  </si>
  <si>
    <t>09.84.030</t>
  </si>
  <si>
    <t>09.84.035</t>
  </si>
  <si>
    <t>PLAFON DE ALUMINIO DE SOBREPOR - BOCA 10 PARA GLOBO TIPO BRASIL</t>
  </si>
  <si>
    <t>09.84.037</t>
  </si>
  <si>
    <t>09.84.038</t>
  </si>
  <si>
    <t>CALHA DA LUMINARIA P/LAMPADA FLUOR. 1X32W C/REFLETOR ALUM. E SOQUETE (IL-44)</t>
  </si>
  <si>
    <t>09.84.039</t>
  </si>
  <si>
    <t>CALHA DA LUMINARIA P/LAMPADA FLUOR. 2X32W C/REFLETOR ALUM. E SOQUETE (IL-45)</t>
  </si>
  <si>
    <t>09.84.040</t>
  </si>
  <si>
    <t>09.84.041</t>
  </si>
  <si>
    <t>09.84.042</t>
  </si>
  <si>
    <t>09.84.045</t>
  </si>
  <si>
    <t>REATOR ELETRONICO P/LAMPADA FLUORESC.AFP 1X32W BIVOLT COM PROTEÇÃO</t>
  </si>
  <si>
    <t>09.84.046</t>
  </si>
  <si>
    <t>REATOR ELETRONICO P/LAMPADA FLUORESC.AFP 2X32W BIVOLT COM PROTEÇÃO</t>
  </si>
  <si>
    <t>09.84.049</t>
  </si>
  <si>
    <t>09.84.050</t>
  </si>
  <si>
    <t>09.84.051</t>
  </si>
  <si>
    <t>RECEPTACULO P/LAMPADA HG OU MHL P/LUMINARIA EXT.OU PROJ-ROSCA E-40</t>
  </si>
  <si>
    <t>09.84.052</t>
  </si>
  <si>
    <t>09.84.055</t>
  </si>
  <si>
    <t>PORTA LAMP ROSCA E-27,PORCEL.C/FLANGE FIX.P/PRATO FIX.P/ROSCA 3/8" GAS</t>
  </si>
  <si>
    <t>09.84.060</t>
  </si>
  <si>
    <t>CORRENTE PARA PENDENTE DE APARELHO PARA ILUMINACAO</t>
  </si>
  <si>
    <t>09.84.061</t>
  </si>
  <si>
    <t>09.84.062</t>
  </si>
  <si>
    <t>09.84.074</t>
  </si>
  <si>
    <t>09.84.075</t>
  </si>
  <si>
    <t>REATOR SIMPLES P/VAPOR SODIO AFP 150W 220V CAP/IGN</t>
  </si>
  <si>
    <t>09.84.076</t>
  </si>
  <si>
    <t>REATOR SIMPLES P/VAPOR SODIO AFP 250W 220V CAP/IGN</t>
  </si>
  <si>
    <t>09.84.077</t>
  </si>
  <si>
    <t>REATOR SIMPLES P/VAPOR METAL. AFP 70W 220V CAP/IGN</t>
  </si>
  <si>
    <t>09.84.078</t>
  </si>
  <si>
    <t>REATOR SIMPLES P/VAPOR METAL. AFP 150W 220V CAP/IGN</t>
  </si>
  <si>
    <t>09.84.079</t>
  </si>
  <si>
    <t>REATOR SIMPLES P/VAPOR METAL. AFP 250W 220V CAP/IGN</t>
  </si>
  <si>
    <t>09.84.080</t>
  </si>
  <si>
    <t>REATOR ELETRONICO P/LAMPADA FLUORESCENTE 2X16W BIVOLT C/PROTEÇÃO</t>
  </si>
  <si>
    <t>09.84.092</t>
  </si>
  <si>
    <t>REATOR PARA LAMPADA HG - 220V/250W</t>
  </si>
  <si>
    <t>09.84.099</t>
  </si>
  <si>
    <t>OUTROS SERVICOS DE APARELHOS E EQUIPAMENTOS</t>
  </si>
  <si>
    <t>09.84.100</t>
  </si>
  <si>
    <t>09.84.101</t>
  </si>
  <si>
    <t>09.84.102</t>
  </si>
  <si>
    <t>09.84.103</t>
  </si>
  <si>
    <t>09.84.104</t>
  </si>
  <si>
    <t>09.84.105</t>
  </si>
  <si>
    <t>09.84.106</t>
  </si>
  <si>
    <t>09.84.107</t>
  </si>
  <si>
    <t>09.84.108</t>
  </si>
  <si>
    <t>09.84.109</t>
  </si>
  <si>
    <t>09.84.110</t>
  </si>
  <si>
    <t>ADEQUAÇÃO DE LUMINARIA FLUORESCENTE 2X16W PARA LED TUBULAR POLICARBONATO 10W TEMPERATURA DE COR 4000ºK</t>
  </si>
  <si>
    <t>09.85.005</t>
  </si>
  <si>
    <t>LAMPADA FLUORESCENTE DE 32W</t>
  </si>
  <si>
    <t>09.85.006</t>
  </si>
  <si>
    <t>LAMPADA FLUORESCENTE COMPACTA 23W</t>
  </si>
  <si>
    <t>09.85.010</t>
  </si>
  <si>
    <t>LAMPADA VAPOR DE SODIO 70W</t>
  </si>
  <si>
    <t>09.85.011</t>
  </si>
  <si>
    <t>LAMPADA VAPOR DE SODIO 150W</t>
  </si>
  <si>
    <t>09.85.012</t>
  </si>
  <si>
    <t>LAMPADA VAPOR DE SODIO 250W</t>
  </si>
  <si>
    <t>09.85.016</t>
  </si>
  <si>
    <t>LAMPADA FLUORESCENTE DE 16W</t>
  </si>
  <si>
    <t>09.85.017</t>
  </si>
  <si>
    <t>LAMPADA VAPOR METÁLICO 70W</t>
  </si>
  <si>
    <t>09.85.018</t>
  </si>
  <si>
    <t>LAMPADA VAPOR METALICO 150W</t>
  </si>
  <si>
    <t>09.85.019</t>
  </si>
  <si>
    <t>LAMPADA VAPOR METALICO 250W</t>
  </si>
  <si>
    <t>09.85.023</t>
  </si>
  <si>
    <t>LUMIN. BLINDADA ARANDELA P/ LAMP. MISTA 160 W</t>
  </si>
  <si>
    <t>09.85.024</t>
  </si>
  <si>
    <t>LUMIN. BLINDADA PLAFONIER P/ LAMP. MISTA 160W</t>
  </si>
  <si>
    <t>09.85.025</t>
  </si>
  <si>
    <t>09.85.037</t>
  </si>
  <si>
    <t>BRACO ACO GALVANIZADO DN 1 1/2" X 2,00 M</t>
  </si>
  <si>
    <t>09.85.039</t>
  </si>
  <si>
    <t>BRACO ACO GALVANIZADO DE 1" X 1.00M</t>
  </si>
  <si>
    <t>09.85.043</t>
  </si>
  <si>
    <t>LUMINARIA ABERTA (APARELHO) TIPO ECON. P/ LAMP. V. MERC./MISTA 250W</t>
  </si>
  <si>
    <t>09.85.045</t>
  </si>
  <si>
    <t>CRUZETA DE FERRO GALVANIZADO PARA 2 PROJETORES</t>
  </si>
  <si>
    <t>09.85.047</t>
  </si>
  <si>
    <t>POSTE ACO GALVANIZADO RETO 4" X6.00M P/ILUMIN EXTERNA</t>
  </si>
  <si>
    <t>09.85.048</t>
  </si>
  <si>
    <t>POSTE DE AÇO GALV.TIPO CURVO,C/JANELAS INSP H=7 M ACIMA DO SOLO</t>
  </si>
  <si>
    <t>09.85.050</t>
  </si>
  <si>
    <t>POSTE DE AÇO GALV.TIPO RETO, C/JANELA INSP. H=10M ACIMA DO SOLO</t>
  </si>
  <si>
    <t>09.85.053</t>
  </si>
  <si>
    <t>POSTE DE CONCRETO TUBULAR OCO DE 7 M DE COMPR C/ JANELA ISNPECAO</t>
  </si>
  <si>
    <t>09.85.060</t>
  </si>
  <si>
    <t>09.85.061</t>
  </si>
  <si>
    <t>09.85.062</t>
  </si>
  <si>
    <t>09.85.063</t>
  </si>
  <si>
    <t>09.85.064</t>
  </si>
  <si>
    <t>CONDULETE DE 3/4"</t>
  </si>
  <si>
    <t>09.85.065</t>
  </si>
  <si>
    <t>09.85.066</t>
  </si>
  <si>
    <t>09.85.080</t>
  </si>
  <si>
    <t>MOTOR PARA BOMBA DE RECALQUE DE 1/2 HP - 220 V BIFASICO</t>
  </si>
  <si>
    <t>09.85.081</t>
  </si>
  <si>
    <t>MOTOR PARA BOMBA DE RECALQUE DE 3/4 HP - 220 V BIFASICO</t>
  </si>
  <si>
    <t>09.85.082</t>
  </si>
  <si>
    <t>MOTOR PARA BOMBA DE RECALQUE DE 1 HP - 220 V BIFASICO</t>
  </si>
  <si>
    <t>09.85.083</t>
  </si>
  <si>
    <t>MOTOR PARA BOMBA DE RECALQUE DE 2 HP - 220 V TRIFASICO</t>
  </si>
  <si>
    <t>09.85.084</t>
  </si>
  <si>
    <t>MOTOR PARA BOMBA DE RECALQUE DE 3 HP - 220 V TRIFASICO</t>
  </si>
  <si>
    <t>09.85.085</t>
  </si>
  <si>
    <t>MOTOR PARA BOMBA DE RECALQUE DE 5 HP - 220 V TRIFASICO</t>
  </si>
  <si>
    <t>09.85.086</t>
  </si>
  <si>
    <t>09.85.087</t>
  </si>
  <si>
    <t>09.85.088</t>
  </si>
  <si>
    <t>09.85.089</t>
  </si>
  <si>
    <t>09.85.099</t>
  </si>
  <si>
    <t>09.86.001</t>
  </si>
  <si>
    <t>CAPTOR TIPO FRANKLIN, BOUQUET NIQUELADO DE 4 PONTAS-CONECTOR GRANDE</t>
  </si>
  <si>
    <t>09.86.020</t>
  </si>
  <si>
    <t>SUPORTE SIMPLES COM ROLDANA PARA CABO DE COBRE NU 25 A 35 MM2</t>
  </si>
  <si>
    <t>09.86.021</t>
  </si>
  <si>
    <t>SUPORTE SIMPLES COM ROLDANA PARA CABO DE COBRE NU 70 A 95 MM2</t>
  </si>
  <si>
    <t>09.86.025</t>
  </si>
  <si>
    <t>CONECTOR TIPO SPLIT-BOLT PARA CABO DE 25 MM2</t>
  </si>
  <si>
    <t>09.86.026</t>
  </si>
  <si>
    <t>CONECTOR TIPO SPLIT-BOLT PARA CABO DE 35 MM2</t>
  </si>
  <si>
    <t>09.86.027</t>
  </si>
  <si>
    <t>CONECTOR TIPO SPLIT-BOLT PARA CABO DE 95 MM2</t>
  </si>
  <si>
    <t>09.86.035</t>
  </si>
  <si>
    <t>ELETRODUTO DE PVC DE 2" X 3,00 M PARA PROTECAO DE CABO DE COBRE NU</t>
  </si>
  <si>
    <t>09.86.099</t>
  </si>
  <si>
    <t>OUTROS SERVICOS DE PARA-RAIOS E ATERRAMENTOS</t>
  </si>
  <si>
    <t>10.01.021</t>
  </si>
  <si>
    <t>FORRO DE TABUA APAR. 10X1CM MACHO-FEMEA G1-C4 ENTARUGADO</t>
  </si>
  <si>
    <t>10.01.022</t>
  </si>
  <si>
    <t>FORRO ACUSTICO COR BRANCA TIPO NUVEM PLACA 60X60CM H=50MM INCLUSIVE ELEMENTOS DE FIXAÇÃO FORNEC. E INSTAL - USO EXCLUSIVO SALA DE INOVAÇÃO</t>
  </si>
  <si>
    <t>10.01.023</t>
  </si>
  <si>
    <t>FORRO ACUSTICO COR BRANCA TIPO NUVEM PLACA 120X60CM H=50MM INCLUSIVE ELEMENTOS DE FIXAÇÃO FORNEC. E INSTAL - USO EXCLUSIVO SALA DE INOVAÇÃO</t>
  </si>
  <si>
    <t>10.01.049</t>
  </si>
  <si>
    <t>FORRO DE GESSO ACARTONADO INCL ESTRUTURA</t>
  </si>
  <si>
    <t>10.01.058</t>
  </si>
  <si>
    <t>ISOLACAO TERMOACUSTICA - LA DE VIDRO ESP 1"</t>
  </si>
  <si>
    <t>10.01.059</t>
  </si>
  <si>
    <t>ISOLACAO TERMICA - CHAPA DE ISOPOR E=30MM</t>
  </si>
  <si>
    <t>10.01.061</t>
  </si>
  <si>
    <t>ISOLACAO TERMOACUSTICA - LA DE ROCHA E=2``</t>
  </si>
  <si>
    <t>10.01.071</t>
  </si>
  <si>
    <t>FORRO PLACA MINERAL NRC 0,55 GERGIAN INCL.PERFIS FORNEC/INST.</t>
  </si>
  <si>
    <t>10.01.074</t>
  </si>
  <si>
    <t>FORRO PLACA MINERAL NRC 0,65 SAHARA INCL.PERFIS FORNEC/INST.</t>
  </si>
  <si>
    <t>10.01.075</t>
  </si>
  <si>
    <t>FORRO PLACA MINERAL NRC 0,70 CONSTELATION INCL.PERFIS FORNEC/INST.</t>
  </si>
  <si>
    <t>10.01.076</t>
  </si>
  <si>
    <t>FORRO PLACA MINERAL NRC 0,70 MP COMPLETE INCL.PERFIS FORNEC/INST.</t>
  </si>
  <si>
    <t>10.01.077</t>
  </si>
  <si>
    <t>FORRO PLACA MINERAL NRC 0,85 THERMOFON INCL.PERFIS FORNEC/INST.</t>
  </si>
  <si>
    <t>10.01.078</t>
  </si>
  <si>
    <t>FORRO EM PLACA MINERAL NRC 0,75 TÔNICA INC. PERFIS FORNEC/INSTALADO</t>
  </si>
  <si>
    <t>10.01.082</t>
  </si>
  <si>
    <t>FORRO EM LÂMINA DE PVC 200MM E = 7 OU 8MM</t>
  </si>
  <si>
    <t>10.01.083</t>
  </si>
  <si>
    <t>ESTRUTURA METÁLICA TUBULAR 20X20 GALV. E=0,95MM MALHA 1,20X0,40M P/SUSTENTAÇÃO DE FORRO PVC</t>
  </si>
  <si>
    <t>10.01.099</t>
  </si>
  <si>
    <t>FORROS</t>
  </si>
  <si>
    <t>10.50.001</t>
  </si>
  <si>
    <t>DEMOLIÇÃO DE FORRO DE ESTUQUE OU MADEIRA, INCLUSIVE ENTARUGAMENTO</t>
  </si>
  <si>
    <t>10.50.003</t>
  </si>
  <si>
    <t>DEMOLIÇÃO DE FORRO EM GESSO</t>
  </si>
  <si>
    <t>10.50.004</t>
  </si>
  <si>
    <t>DEMOLIÇÃO DE ENTARUGAMENTO</t>
  </si>
  <si>
    <t>10.50.005</t>
  </si>
  <si>
    <t>DEMOLIÇÃO DE FORROS DE MADEIRA, EXCLUSIVE ENTARUGAMENTO.</t>
  </si>
  <si>
    <t>10.50.099</t>
  </si>
  <si>
    <t>10.60.001</t>
  </si>
  <si>
    <t>RETIRADA DE FORROS DE MADEIRA PREGADOS (PLACAS OU TABUAS)</t>
  </si>
  <si>
    <t>10.60.002</t>
  </si>
  <si>
    <t>RETIRADA DE FORROS EM PLACAS APOIADAS</t>
  </si>
  <si>
    <t>10.60.005</t>
  </si>
  <si>
    <t>RETIRADA DE FORRO DE PVC EM LAMINAS</t>
  </si>
  <si>
    <t>10.60.099</t>
  </si>
  <si>
    <t>10.70.001</t>
  </si>
  <si>
    <t>RECOLOCAÇÃO DE FORRO DE MADEIRA PREGADO (PLACAS OU TABUAS)</t>
  </si>
  <si>
    <t>10.70.002</t>
  </si>
  <si>
    <t>RECOLOCAÇÃO DE FORRO EM PLACAS APOIADAS</t>
  </si>
  <si>
    <t>10.70.005</t>
  </si>
  <si>
    <t>RECOLOCACAO DE FORRO DE PVC EM LAMINAS</t>
  </si>
  <si>
    <t>10.70.099</t>
  </si>
  <si>
    <t>RECOLOCACOES DE FORROS</t>
  </si>
  <si>
    <t>10.80.012</t>
  </si>
  <si>
    <t>FORRO DE ESTUQUE</t>
  </si>
  <si>
    <t>10.80.033</t>
  </si>
  <si>
    <t>PERFIL DE FERRO SECCAO CARTOLA EM CHAPA N 20 P/SUST DE FORRO</t>
  </si>
  <si>
    <t>10.80.034</t>
  </si>
  <si>
    <t>TABUA DE 10 X 1 CM TIPO MACHO-FEMEA G1-C4 PARA FORRO</t>
  </si>
  <si>
    <t>10.80.038</t>
  </si>
  <si>
    <t>REPREGAMENTO DE FORROS DE MADEIRA</t>
  </si>
  <si>
    <t>10.80.040</t>
  </si>
  <si>
    <t>ESTRUTURA DE ENTARUGAMENTO PARA FORRO DE MADEIRA</t>
  </si>
  <si>
    <t>10.80.099</t>
  </si>
  <si>
    <t>SERVICOS EM FORROS - CONSERVACAO</t>
  </si>
  <si>
    <t>11.01.001</t>
  </si>
  <si>
    <t>IMPERMEABILIZACAO DE SUB-SOLOS C/ARG CIM-AREIA 1:3 CONTENDO HIDROFUGO</t>
  </si>
  <si>
    <t>11.01.002</t>
  </si>
  <si>
    <t>11.01.003</t>
  </si>
  <si>
    <t>11.01.010</t>
  </si>
  <si>
    <t>IMPERMEAB C/ ARGAM POLIMERICA SEMIFLEXIVEL P/ CORTINAS E POCOS DE ELEV COM APLICAÇAO 4 DEMAOS</t>
  </si>
  <si>
    <t>11.01.099</t>
  </si>
  <si>
    <t>11.02.022</t>
  </si>
  <si>
    <t>IMPERMEABILIZACAO MULTIMEMBRANAS ASFALTICAS - FELTRO ASFALTO</t>
  </si>
  <si>
    <t>11.02.023</t>
  </si>
  <si>
    <t>IMPERMEABILIZACAO COM MANTA ELASTOMERICA BUTILICA OU EPDM</t>
  </si>
  <si>
    <t>11.02.024</t>
  </si>
  <si>
    <t>IMPERMEABILIZACAO COM MANTA ASFALTICA PRE FABRICADA 4MM</t>
  </si>
  <si>
    <t>11.02.025</t>
  </si>
  <si>
    <t>IMPERMEABILIZACAO COM MANTA ASFALTICA PRE FABRICADA 4MM - ACAB AREIA</t>
  </si>
  <si>
    <t>11.02.026</t>
  </si>
  <si>
    <t>IMPERM C/ EMULSAO ACRILICA ESTRUT C/ VEU DE POLIESTER-6 DEMAOS / 2 EST</t>
  </si>
  <si>
    <t>11.02.027</t>
  </si>
  <si>
    <t>IMPERMEABILIZACAO C/ EMULSAO ACRILICA - 6 DEMAOS</t>
  </si>
  <si>
    <t>11.02.035</t>
  </si>
  <si>
    <t>IMPERMEAB C/ MANTA ASF PRE-FABR 4MM ACAB ALUMIN SEM PROT MECANICA</t>
  </si>
  <si>
    <t>IMPERMEABIL.EMULSAO ASFALTICA ELASTOMERICA MONOCOMPONENTE. APLICAÇAO 4 DEMÃOS INCLUS.TELA ESTRUTURANTE</t>
  </si>
  <si>
    <t>11.02.050</t>
  </si>
  <si>
    <t>11.02.054</t>
  </si>
  <si>
    <t>ISOLAMENTO TERMICO COM CAMADAS DE ARGILA EXPANDIDA</t>
  </si>
  <si>
    <t>11.02.055</t>
  </si>
  <si>
    <t>FORNEC E COLOCACAO DE ISOPOR P/ TRATAMENTO ACUSTICO ENTRE LAJES</t>
  </si>
  <si>
    <t>11.02.062</t>
  </si>
  <si>
    <t>PROTECAO TERMO-MECANICA C/LADR HIDRAUL 1 COR INCL ARGAM ASSENT</t>
  </si>
  <si>
    <t>11.02.066</t>
  </si>
  <si>
    <t>REGULARIZACAO DE SUPERFICIE P/ PREPARO IMPERM 1:3 E=2,5CM</t>
  </si>
  <si>
    <t>11.02.067</t>
  </si>
  <si>
    <t>11.02.099</t>
  </si>
  <si>
    <t>11.03.001</t>
  </si>
  <si>
    <t>COM ARGAMASSA CIM AREIA 1:3 COM HIDROFUGO (APLICACAO INTERNA)</t>
  </si>
  <si>
    <t>11.03.002</t>
  </si>
  <si>
    <t>COM ARGAMASSA CIM AREIA 1:3 COM HIDROFUGO E TINTA BET (APLIC INTERNA)</t>
  </si>
  <si>
    <t>11.03.004</t>
  </si>
  <si>
    <t>IMPERMEABILIZACAO POR CRISTALIZACAO - RESERVATORIOS ENTERRADOS</t>
  </si>
  <si>
    <t>11.03.006</t>
  </si>
  <si>
    <t>11.03.007</t>
  </si>
  <si>
    <t>IMPERMEABIL RESERV.ENTERRADO COM ARGAMASSA POLIMERICA SEMIFLEXIVEL COM APLICAÇÃO 4 DEMÃOS</t>
  </si>
  <si>
    <t>11.03.010</t>
  </si>
  <si>
    <t>COM TINTA BETUMINOSA (APLICACAO EXTERNA)</t>
  </si>
  <si>
    <t>11.03.099</t>
  </si>
  <si>
    <t>11.04.002</t>
  </si>
  <si>
    <t>JUNTAS DE DILATACAO FUGENBAND ELASTICO PERFIL 0-12</t>
  </si>
  <si>
    <t>11.04.003</t>
  </si>
  <si>
    <t>JUNTAS DE DILATACAO FUGENBANB ELASTICO PERFIL 0-22</t>
  </si>
  <si>
    <t>11.04.004</t>
  </si>
  <si>
    <t>JUNTAS DE DILATACAO/MASTIQUE ELASTICO OU POLIURETANO</t>
  </si>
  <si>
    <t>11.04.010</t>
  </si>
  <si>
    <t>MANGUEIRA PLASTICA FLEXIVEL PARA JUNTA DE DILATACAO</t>
  </si>
  <si>
    <t>11.04.012</t>
  </si>
  <si>
    <t>ISOPOR PARA SUPORTE DE MASTIQUE</t>
  </si>
  <si>
    <t>11.04.021</t>
  </si>
  <si>
    <t>JUNTA ELASTICA ESTRUTURAL NEOPRENE (REF 2020F) INCLUSIVE LIMPEZA</t>
  </si>
  <si>
    <t>11.04.022</t>
  </si>
  <si>
    <t>JUNTA ELASTICA ESTRUTURAL NEOPRENE (REF 2027M) INCLUSIVE LIMPEZA</t>
  </si>
  <si>
    <t>11.04.030</t>
  </si>
  <si>
    <t>CANTONEIRA DE ABAS IGUAIS 1"x1/8" ALUMINIO</t>
  </si>
  <si>
    <t>11.04.041</t>
  </si>
  <si>
    <t>SELANTE DE POLIURETANO P/JUNTAS MOVIMENTACAO/DESSOLIDARIZACAO QUADRO</t>
  </si>
  <si>
    <t>11.04.099</t>
  </si>
  <si>
    <t>SERVICOS EM JUNTAS DE DILATACAO</t>
  </si>
  <si>
    <t>11.50.001</t>
  </si>
  <si>
    <t>11.50.002</t>
  </si>
  <si>
    <t>DEMOLIÇÃO DE ARGAMASSA COM IMPERMEABILIZANTE</t>
  </si>
  <si>
    <t>11.50.003</t>
  </si>
  <si>
    <t>DEMOLIÇÃO DE ISOLAMENTO TÉRMICO COM CONCRETO CELULAR</t>
  </si>
  <si>
    <t>11.50.004</t>
  </si>
  <si>
    <t>DEMOLIÇÃO DE ISOLAMENTO TÉRMICO DE MANTA DE LA DE VIDRO</t>
  </si>
  <si>
    <t>11.50.005</t>
  </si>
  <si>
    <t>DEMOLIÇÃO PROTECAO TERMOMECANICA COM CONCRETO CELULAR</t>
  </si>
  <si>
    <t>11.50.050</t>
  </si>
  <si>
    <t>DEMOLIÇÃO DE JUNTAS DE DILATACAO METALICAS</t>
  </si>
  <si>
    <t>11.50.099</t>
  </si>
  <si>
    <t>11.60.001</t>
  </si>
  <si>
    <t>RETIRADA DE ISOLAMENTO TÉRMICO COM CONCRETO CELULAR OU TIJOLOS CERÂMICOS</t>
  </si>
  <si>
    <t>11.60.002</t>
  </si>
  <si>
    <t>RETIRADA DE ISOLAMENTO TERMICO COM DOLOMITA/SEIXOS ROLADOS/ARGILA EXPANDIDA</t>
  </si>
  <si>
    <t>11.60.099</t>
  </si>
  <si>
    <t>11.70.015</t>
  </si>
  <si>
    <t>RECOLOCAÇÃO DE ISOLAMENTO TÉRMICO EM BRITA E SEIXO ROLADO.</t>
  </si>
  <si>
    <t>11.70.099</t>
  </si>
  <si>
    <t>RECOLOCACOES DE IMPERMEABILIZACOES/JUNTA DE DILATACAO</t>
  </si>
  <si>
    <t>11.80.099</t>
  </si>
  <si>
    <t>SERVICOS DE IMPERMEABILIZACAO/JUNTAS DE DILATACAO - CONSERVACAO</t>
  </si>
  <si>
    <t>12.01.001</t>
  </si>
  <si>
    <t>CHAPISCO</t>
  </si>
  <si>
    <t>12.01.006</t>
  </si>
  <si>
    <t>EMBOCO DESEMPENADO</t>
  </si>
  <si>
    <t>12.01.099</t>
  </si>
  <si>
    <t>REVESTIMENTOS PARA TETOS</t>
  </si>
  <si>
    <t>12.02.002</t>
  </si>
  <si>
    <t>12.02.003</t>
  </si>
  <si>
    <t>CHAPISCO ROLADO PARA SUPERFICIES LISAS</t>
  </si>
  <si>
    <t>12.02.005</t>
  </si>
  <si>
    <t>EMBOCO</t>
  </si>
  <si>
    <t>12.02.006</t>
  </si>
  <si>
    <t>12.02.007</t>
  </si>
  <si>
    <t>REBOCO</t>
  </si>
  <si>
    <t>12.02.009</t>
  </si>
  <si>
    <t>REVESTIMENTO COM GESSO</t>
  </si>
  <si>
    <t>12.02.010</t>
  </si>
  <si>
    <t>REVESTIMENTO TEXTURIZADO ACRILICO BRANCO</t>
  </si>
  <si>
    <t>12.02.011</t>
  </si>
  <si>
    <t>REVESTIMENTO TEXTURIZADO ACRILICO BRANCO E PINTURA ACRILICA</t>
  </si>
  <si>
    <t>12.02.012</t>
  </si>
  <si>
    <t>CERAMICA ESMALTADA 10X10CM - LARANJA,VERMELHO,AMARELO</t>
  </si>
  <si>
    <t>12.02.013</t>
  </si>
  <si>
    <t>CERAMICA ESMALTADA 10X10CM - AZUL,VERDE,PRETO</t>
  </si>
  <si>
    <t>12.02.014</t>
  </si>
  <si>
    <t>CERAMICA ESMALTADA 10X10CM - BRANCO,AREIA,BEGE,OCRE,CINZA</t>
  </si>
  <si>
    <t>12.02.029</t>
  </si>
  <si>
    <t>CERAMICA ESMALTADA 20X20CM</t>
  </si>
  <si>
    <t>12.02.036</t>
  </si>
  <si>
    <t>12.02.043</t>
  </si>
  <si>
    <t>PERFIL SEXTAVADO EM ALUMINIO PARA AZULEJO</t>
  </si>
  <si>
    <t>12.02.044</t>
  </si>
  <si>
    <t>PERFIL CANTONEIRA EM ALUMINIO PARA REBOCO</t>
  </si>
  <si>
    <t>12.02.050</t>
  </si>
  <si>
    <t>REVESTIMENTO TEXT. ACRIL. PIGMENTADO (CORES PRONTAS) - ACAB RANHURADO</t>
  </si>
  <si>
    <t>12.02.051</t>
  </si>
  <si>
    <t>REVESTIMENTO TEXTURIZADO ACRILICO PIGMENTADO (CORES PRONTAS)</t>
  </si>
  <si>
    <t>12.02.072</t>
  </si>
  <si>
    <t>GUARNIÇÃO APARELHADA 5 X 1 CM G1-C4 P/ACABAM JUNTAS DILATACAO</t>
  </si>
  <si>
    <t>12.02.099</t>
  </si>
  <si>
    <t>REVESTIMENTOS P/ PAREDES INTERNAS</t>
  </si>
  <si>
    <t>PAREDES EXTERNAS</t>
  </si>
  <si>
    <t>12.04.004</t>
  </si>
  <si>
    <t>12.04.005</t>
  </si>
  <si>
    <t>12.04.006</t>
  </si>
  <si>
    <t>12.04.007</t>
  </si>
  <si>
    <t>12.04.008</t>
  </si>
  <si>
    <t>CHAPISCO FINO PENEIRADO</t>
  </si>
  <si>
    <t>12.04.013</t>
  </si>
  <si>
    <t>REVESTIMENTO TEXT. ACRIL. PIGMENTADO (CORES PRONTAS)- ACAB RANHURADO</t>
  </si>
  <si>
    <t>12.04.014</t>
  </si>
  <si>
    <t>REVESTIMENTO TEXTURIZADO ACRILICO PIGMENTADO (CORES PRONTA)</t>
  </si>
  <si>
    <t>12.04.018</t>
  </si>
  <si>
    <t>12.04.019</t>
  </si>
  <si>
    <t>12.04.020</t>
  </si>
  <si>
    <t>REVESTIMENTO COM PASTILHAS NATURAIS 2,5X2,5CM</t>
  </si>
  <si>
    <t>12.04.021</t>
  </si>
  <si>
    <t>REVESTIMENTO COM PASTILHAS NATURAIS 5,0X5,0CM</t>
  </si>
  <si>
    <t>12.04.022</t>
  </si>
  <si>
    <t>REVESTIMENTO COM PASTILHAS ESMALTADAS 2,5X 2,5 CM</t>
  </si>
  <si>
    <t>12.04.023</t>
  </si>
  <si>
    <t>REVESTIMENTO COM PASTILHAS ESMALTADAS 4,0X 4,0 CM</t>
  </si>
  <si>
    <t>12.04.024</t>
  </si>
  <si>
    <t>REVESTIMENTO COM PASTILHAS ESMALTADAS 5,0X 5,0 CM</t>
  </si>
  <si>
    <t>12.04.040</t>
  </si>
  <si>
    <t>REVESTIMENTO C/ PLAQUETA LAMINADA</t>
  </si>
  <si>
    <t>12.04.048</t>
  </si>
  <si>
    <t>12.04.049</t>
  </si>
  <si>
    <t>12.04.050</t>
  </si>
  <si>
    <t>12.04.099</t>
  </si>
  <si>
    <t>REVESTIMENTOS PARA PAREDES EXTERNAS</t>
  </si>
  <si>
    <t>12.50.001</t>
  </si>
  <si>
    <t>DEMOLIÇÃO DE REVESTIMENTO EM ARGAMASSA/GESSO EM FORRO E PAREDES</t>
  </si>
  <si>
    <t>12.50.002</t>
  </si>
  <si>
    <t>DEMOLIÇÃO DE REVEST DE AZULEJOS, PASTILHAS E LADRILHOS INCL ARG ASSENTAMENTO</t>
  </si>
  <si>
    <t>12.50.003</t>
  </si>
  <si>
    <t>DEMOLIÇÃO SOMENTE DE AZULEJO</t>
  </si>
  <si>
    <t>12.50.099</t>
  </si>
  <si>
    <t>12.60.001</t>
  </si>
  <si>
    <t>RETIRADA DE MÁRMORE PEDRAS OU GRANITOS INCL DEMOLICÃO ARGAMASSA ASSENTAMENTO</t>
  </si>
  <si>
    <t>12.60.099</t>
  </si>
  <si>
    <t>12.70.001</t>
  </si>
  <si>
    <t>RECOLOCAÇÃO DE MÁRMORE, PEDRAS E GRANITOS</t>
  </si>
  <si>
    <t>12.70.099</t>
  </si>
  <si>
    <t>RECOLOCACOES DE REVESTIMENTOS DE FORRO E PAREDE</t>
  </si>
  <si>
    <t>12.80.003</t>
  </si>
  <si>
    <t>CHAPISCO RUSTICO COM PEDRISCO</t>
  </si>
  <si>
    <t>12.80.030</t>
  </si>
  <si>
    <t>REPARO EM TRINCAS E RACHADURAS</t>
  </si>
  <si>
    <t>12.80.050</t>
  </si>
  <si>
    <t>CANTONEIRA DE FERRO DE 1"X1"X1/8"</t>
  </si>
  <si>
    <t>12.80.051</t>
  </si>
  <si>
    <t>12.80.099</t>
  </si>
  <si>
    <t>SERVICOS EM REVESTIMENTOS DE FORRO E PAREDE - CONSERVACAO</t>
  </si>
  <si>
    <t>13.01.004</t>
  </si>
  <si>
    <t>LASTRO DE CONCRETO C/ HIDROFUGO E=5CM</t>
  </si>
  <si>
    <t>13.01.006</t>
  </si>
  <si>
    <t>13.01.010</t>
  </si>
  <si>
    <t>ENCHIMENTO DE REBAIXO DE LAJE COM TIJOLOS CERAMICOS FURADOS</t>
  </si>
  <si>
    <t>13.01.011</t>
  </si>
  <si>
    <t>ENCHIMENTO DE REBAIXO DE LAJE COM CACOS DE CONCRETO CELULAR</t>
  </si>
  <si>
    <t>13.01.017</t>
  </si>
  <si>
    <t>ARGAMASSA DE REGULARIZACAO CIM/AREIA 1:3 ESP=2,50CM</t>
  </si>
  <si>
    <t>13.01.018</t>
  </si>
  <si>
    <t>ARGAMASSA DE REGULARIZACAO CIM/AREIA 1:3 C/ IMPERM. ESP=2,50CM</t>
  </si>
  <si>
    <t>13.01.099</t>
  </si>
  <si>
    <t>SERVICOS DE LASTROS E/OU ENCHIMENTOS</t>
  </si>
  <si>
    <t>13.02.004</t>
  </si>
  <si>
    <t>CIMENTADO DESEMPENADO E ALISADO C/ CORANTE E=3,5CM INCL ARG REG</t>
  </si>
  <si>
    <t>13.02.005</t>
  </si>
  <si>
    <t>CIMENTADO DESEMPENADO ALISADO E=3,50CM INCL ARG REG</t>
  </si>
  <si>
    <t>13.02.006</t>
  </si>
  <si>
    <t>PISO DE CONCRETO Fck 25MPa DESEMPENAMENTO MECÂNICO E=8CM</t>
  </si>
  <si>
    <t>13.02.007</t>
  </si>
  <si>
    <t>PISO DE CONCRETO LISO-FUNDACAO DIRETA FCK-25 MPA</t>
  </si>
  <si>
    <t>13.02.009</t>
  </si>
  <si>
    <t>PISO DE CONCRETO CAMURCADO-FUNDACAO DIRETA FCK-25 MPA</t>
  </si>
  <si>
    <t>13.02.010</t>
  </si>
  <si>
    <t>QE-26 QUADRA DE ESPORTES/DE CONCRETO/LAJE ALVEOLAR</t>
  </si>
  <si>
    <t>13.02.011</t>
  </si>
  <si>
    <t>QE-27 QUADRA DE ESPORTES/PISO DE CONCRETO/PRE-LAJE TRELICADA</t>
  </si>
  <si>
    <t>13.02.012</t>
  </si>
  <si>
    <t>QE-28 QUADRA DE ESPORTES/PISO COM PROTECAO ACUSTICA SOBRE LAJE</t>
  </si>
  <si>
    <t>13.02.013</t>
  </si>
  <si>
    <t>QE-29 ESPACO MULTIESPORTIVO/PISO DE CONCRETO/LAJE ALVEOLAR</t>
  </si>
  <si>
    <t>13.02.014</t>
  </si>
  <si>
    <t>QE-30 ESPACO MULTIESPORTIVO/PISO DE CONCRETO/PRE-LAJE TRELICADA</t>
  </si>
  <si>
    <t>13.02.015</t>
  </si>
  <si>
    <t>QE-31 ESPACO MULTIESPORTIVO/PISO COM PROTECAO ACUSTICA SOBRE LAJE</t>
  </si>
  <si>
    <t>13.02.017</t>
  </si>
  <si>
    <t>LADRILHOS HIDRAULICOS DE 20X20 CM LISOS EM UMA COR</t>
  </si>
  <si>
    <t>13.02.019</t>
  </si>
  <si>
    <t>LADRILHO HIDRAULICO 25X25 E=2CM - PISO TATIL DE ALERTA</t>
  </si>
  <si>
    <t>13.02.020</t>
  </si>
  <si>
    <t>LADRILHO HIDRAULICO 25X25 E=2CM - PISO TATIL DIRECIONAL</t>
  </si>
  <si>
    <t>13.02.023</t>
  </si>
  <si>
    <t>BORRACHA COLADA - PISO TATIL DIRECIONAL</t>
  </si>
  <si>
    <t>13.02.024</t>
  </si>
  <si>
    <t>BORRACHA ASSENTADA C/ ARGAMASSA - PISO TATIL DIRECIONAL</t>
  </si>
  <si>
    <t>13.02.031</t>
  </si>
  <si>
    <t>QE-32 QUADRA DE ESPORTES/PISO DE CONCRETO ARMADO/FUNDACAO DIRETA</t>
  </si>
  <si>
    <t>13.02.032</t>
  </si>
  <si>
    <t>FAIXA ANTIDERRAPANTE A BASE DE RESINA EPÓXICA E AREIA QUARTZOSA L=4CM</t>
  </si>
  <si>
    <t>13.02.033</t>
  </si>
  <si>
    <t>QE-33 ESPACO MULTIESPORTIVO/PISO DE CONCRETO ARMADO/FUNDACAO DIRETA</t>
  </si>
  <si>
    <t>13.02.034</t>
  </si>
  <si>
    <t>GRANILITE CINZA / CIMENTO COMUM 8MM C/ POLIMENTO</t>
  </si>
  <si>
    <t>13.02.038</t>
  </si>
  <si>
    <t>GRANILITE PRETO/CIMENTO COMUM E=8MM COM POLIMENTO</t>
  </si>
  <si>
    <t>13.02.040</t>
  </si>
  <si>
    <t>PISO DE ALTA RESISTENCIA TIPO MEDIO, POLIDO E=8MM PRETO/CIMENTO COMUM</t>
  </si>
  <si>
    <t>13.02.041</t>
  </si>
  <si>
    <t>PISO DE ALTA RESISTENCIA TIPO MEDIO, POLIDO E=8MM CINZA/CIMENTO COMUM</t>
  </si>
  <si>
    <t>13.02.042</t>
  </si>
  <si>
    <t>13.02.047</t>
  </si>
  <si>
    <t>SOALHO DE TABUAS DE 10X2CM MACHO-FEMEA G1-C6 SOBRE LASTRO/LAJE</t>
  </si>
  <si>
    <t>13.02.048</t>
  </si>
  <si>
    <t>SOALHO DE TABUAS DE 20X2CM MACHO-FEMEA G1-C6 SOBRE LASTRO/LAJE</t>
  </si>
  <si>
    <t>13.02.049</t>
  </si>
  <si>
    <t>QE-34 QUADRA DE ESPORTES/PISO FIBRA POLIPROPILENO CORRUGADO/FUND DIR</t>
  </si>
  <si>
    <t>13.02.050</t>
  </si>
  <si>
    <t>QE-35 ESPACO MULTIESPORTIVO/PISO FIBRA POLIPROP CORRUGADO/FUND DIR</t>
  </si>
  <si>
    <t>13.02.052</t>
  </si>
  <si>
    <t>TRATAMENTO SELADOR PARA GRANILITE - BASE AGUA</t>
  </si>
  <si>
    <t>13.02.053</t>
  </si>
  <si>
    <t>BORRACHA COLADA - PISO TATIL DE ALERTA</t>
  </si>
  <si>
    <t>13.02.055</t>
  </si>
  <si>
    <t>13.02.058</t>
  </si>
  <si>
    <t>SINALIZAÇÃO VISUAL DE DEGRAUS-PINTURA ESMALTE EPOXI</t>
  </si>
  <si>
    <t>13.02.059</t>
  </si>
  <si>
    <t>13.02.061</t>
  </si>
  <si>
    <t>PISO DE BORRACHA SINT PASTILHADA COR PRETA ESP 7MM FIXAVEL C/ARGAMASSA</t>
  </si>
  <si>
    <t>13.02.064</t>
  </si>
  <si>
    <t>PORCELANATO TECNICO</t>
  </si>
  <si>
    <t>13.02.066</t>
  </si>
  <si>
    <t>PISO DE CONCRETO/LAJE ALVEOLAR (TIPO LAJE ZERO)</t>
  </si>
  <si>
    <t>13.02.067</t>
  </si>
  <si>
    <t>PISO DE CONCRETO/LAJE TRELICADA (TIPO LAJE ZERO)</t>
  </si>
  <si>
    <t>13.02.068</t>
  </si>
  <si>
    <t>PISO DE CONCRETO SOBRE LAJE IMPERMEABILIZADA OU SOBRE PROTECAO ACUSTICA</t>
  </si>
  <si>
    <t>13.02.069</t>
  </si>
  <si>
    <t>13.02.075</t>
  </si>
  <si>
    <t>CHAPAS VINILICAS (COR ESPECIFICAR) ESPESSURA DE 2 MM</t>
  </si>
  <si>
    <t>13.02.076</t>
  </si>
  <si>
    <t>PORCELANATO TÉCNICO 25X25 CM ESPESSURA 10 A 15MM - PISO TATIL DE ALERTA</t>
  </si>
  <si>
    <t>13.02.077</t>
  </si>
  <si>
    <t>CHAPAS VINILICAS/TRANSITO PESADO (COR ESPECIFICAR) ESP 2MM</t>
  </si>
  <si>
    <t>13.02.078</t>
  </si>
  <si>
    <t>13.02.080</t>
  </si>
  <si>
    <t>13.02.085</t>
  </si>
  <si>
    <t>PORCELANATO TÉCNICO 25X25 CM ESPESSURA 10 A 15MM - PISO TATIL DIRECIONA</t>
  </si>
  <si>
    <t>13.02.087</t>
  </si>
  <si>
    <t>TACO MADEIRA G1-C6 APLICADO COM COLA</t>
  </si>
  <si>
    <t>13.02.092</t>
  </si>
  <si>
    <t>SINTEKO - DUAS DEMAOS INCLUSIVE RASPAGEM - APLICADO</t>
  </si>
  <si>
    <t>13.02.093</t>
  </si>
  <si>
    <t>RASPAGEM COM CALAFETACAO E APLICACAO DE CERA</t>
  </si>
  <si>
    <t>13.02.099</t>
  </si>
  <si>
    <t>SERVICOS DE REVESTIMENTO DE PISOS</t>
  </si>
  <si>
    <t>13.02.100</t>
  </si>
  <si>
    <t>CERAMICA ESMALT.ANTIDER. ABSORÇÃO DE AGUA 3% A 8% PEI 4/5 COEF.ATRITO MINIMO 0,4 USO EXCLUSIVO PADRAO CRECHE</t>
  </si>
  <si>
    <t>13.02.102</t>
  </si>
  <si>
    <t>13.03.042</t>
  </si>
  <si>
    <t>13.03.099</t>
  </si>
  <si>
    <t>13.04.001</t>
  </si>
  <si>
    <t>DEGRAUS EM ARGAMASSA DE CIMENTO E AREIA 1:3 ESPESSURA DE 2 CM</t>
  </si>
  <si>
    <t>13.04.004</t>
  </si>
  <si>
    <t>DEGRAU DE CONCRETO LISO</t>
  </si>
  <si>
    <t>13.04.026</t>
  </si>
  <si>
    <t>DEGRAUS DE GRANILITE MOLDADOS NO LOCAL</t>
  </si>
  <si>
    <t>13.04.027</t>
  </si>
  <si>
    <t>DEGRAUS DE GRANILITE PRE-MOLDADOS</t>
  </si>
  <si>
    <t>13.04.040</t>
  </si>
  <si>
    <t>DEGRAUS DE CHAPA VINILICA ESPESS 2 MM</t>
  </si>
  <si>
    <t>13.04.050</t>
  </si>
  <si>
    <t>DEGRAU DE BORRACHA SINTETICA COR PRETA C/TESTEIRA FIXAVEL C/ARG</t>
  </si>
  <si>
    <t>13.04.099</t>
  </si>
  <si>
    <t>SERVICOS DE REVESTIMENTO DE DEGRAUS</t>
  </si>
  <si>
    <t>13.05.001</t>
  </si>
  <si>
    <t>RODAPES DE ARGAM CIMENTO E AREIA 1:3 COM ALTURA DE 5 CM</t>
  </si>
  <si>
    <t>13.05.003</t>
  </si>
  <si>
    <t>RODAPE DE CIMENTADO DE 15 CM</t>
  </si>
  <si>
    <t>13.05.004</t>
  </si>
  <si>
    <t>RODAPES DE ARGAM CIMENTO E AREIA 1:3 COM ALTURA DE 10 CM</t>
  </si>
  <si>
    <t>13.05.005</t>
  </si>
  <si>
    <t>RODAPE DE ARGAMASSA DE CIM/AREIA 1:3 PARA ESCADA</t>
  </si>
  <si>
    <t>13.05.006</t>
  </si>
  <si>
    <t>13.05.009</t>
  </si>
  <si>
    <t>RODAPE DE MADEIRA DE 7X1,5CM G1-C4</t>
  </si>
  <si>
    <t>13.05.014</t>
  </si>
  <si>
    <t>RODAPES DE LADRILHO HIDRAULICO UMA COR COM 10 CM DE ALTURA</t>
  </si>
  <si>
    <t>13.05.020</t>
  </si>
  <si>
    <t>RODAPES DE GRANILITE SIMPLES DE 10 CM</t>
  </si>
  <si>
    <t>13.05.022</t>
  </si>
  <si>
    <t>RODAPE PORCELANATO ESMALTADO 7CM</t>
  </si>
  <si>
    <t>13.05.023</t>
  </si>
  <si>
    <t>13.05.024</t>
  </si>
  <si>
    <t>RODAPES DE GRANILITE PARA ESCADA DE 10 CM</t>
  </si>
  <si>
    <t>13.05.025</t>
  </si>
  <si>
    <t>RODAPE DE GRANILITE PARA ESCADA DE 7-CM</t>
  </si>
  <si>
    <t>13.05.026</t>
  </si>
  <si>
    <t>RODAPÉ DE GRANILITE SIMPLES ALTURA 7CM</t>
  </si>
  <si>
    <t>13.05.028</t>
  </si>
  <si>
    <t>RODAPES DE MASSA GRANIT ALTA RESISTENCIA DE 10 CM TIPO MEDIO SIMPLES</t>
  </si>
  <si>
    <t>13.05.030</t>
  </si>
  <si>
    <t>RODAPES MASSA GRANIT ALTA RES 10CM MEDIO P/ESCADA INCL TRIANG</t>
  </si>
  <si>
    <t>13.05.031</t>
  </si>
  <si>
    <t>RODAPE DE ALTA RESISTENCIA 7-CM TIPO MEDIO PARA ESCADA INCL TRIANGULO</t>
  </si>
  <si>
    <t>13.05.068</t>
  </si>
  <si>
    <t>RODAPE VINILICO DE 5 CM SIMPLES</t>
  </si>
  <si>
    <t>13.05.069</t>
  </si>
  <si>
    <t>RODAPE VINILICO DE 7 CM SIMPLES</t>
  </si>
  <si>
    <t>13.05.074</t>
  </si>
  <si>
    <t>RODAPE VINILICO DE 5 CM PARA ESCADA</t>
  </si>
  <si>
    <t>13.05.075</t>
  </si>
  <si>
    <t>RODAPE VINILICO DE 7,5 CM PARA ESCADA</t>
  </si>
  <si>
    <t>13.05.099</t>
  </si>
  <si>
    <t>SERVICOS DE REVESTIMENTO DE RODAPES</t>
  </si>
  <si>
    <t>13.05.100</t>
  </si>
  <si>
    <t>RODAPE CERAMICA ANTIDERRAPANTE ALTURA 7CM (MONOQUEIMA) USO EXCLUSIVO PADRAO CRECHE</t>
  </si>
  <si>
    <t>13.06.005</t>
  </si>
  <si>
    <t>SOLEIRA DE ARGAMASSA CIM/AREIA 1:3 EM RAMPA</t>
  </si>
  <si>
    <t>13.06.074</t>
  </si>
  <si>
    <t>SO-14 SOLEIRA RAMPADA DESNIVEL ATE 2CM (CIMENTADO / ALVENARIA 15,5CM)</t>
  </si>
  <si>
    <t>13.06.075</t>
  </si>
  <si>
    <t>SO-15 SOLEIRA RAMPADA DESNIVEL ATE 2CM (CIMENTADO / ALVENARIA 22CM)</t>
  </si>
  <si>
    <t>13.06.076</t>
  </si>
  <si>
    <t>SO-16 SOLEIRA RAMPADA DESNIVEL ATE 2CM (GRANILITE / ALVENARIA 15,5CM)</t>
  </si>
  <si>
    <t>13.06.077</t>
  </si>
  <si>
    <t>SO-17 SOLEIRA RAMPADA DESNIVEL ATE 2CM (GRANILITE / ALVENARIA 22CM)</t>
  </si>
  <si>
    <t>13.06.082</t>
  </si>
  <si>
    <t>SO-22 SOLEIRA DE GRANITO EM NIVEL 1 PEÇA (L= 14 A 17CM)</t>
  </si>
  <si>
    <t>13.06.083</t>
  </si>
  <si>
    <t>SO-23 SOLEIRA DE GRANITO EM NIVEL 1 PEÇA (L=19 A 22CM)</t>
  </si>
  <si>
    <t>13.06.084</t>
  </si>
  <si>
    <t>13.06.085</t>
  </si>
  <si>
    <t>SO-25 SOLEIRA DE GRANITO RAMPADA DESNIVEL ATE 2CM 2 PEÇAS (L=19 A 22CM)</t>
  </si>
  <si>
    <t>13.06.086</t>
  </si>
  <si>
    <t>SO-26 SOLEIRA DE GRANITO RAMPADA DESNIVEL ATE 2CM 3 PEÇAS (L=14 A 17CM)</t>
  </si>
  <si>
    <t>13.06.087</t>
  </si>
  <si>
    <t>SO-27 SOLEIRA DE GRANITO RAMPADA DESNIVEL ATE 2CM 3 PEÇAS (L=19 A 22CM)</t>
  </si>
  <si>
    <t>13.06.099</t>
  </si>
  <si>
    <t>SERVICOS DE REVESTIMENTO DE SOLEIRAS</t>
  </si>
  <si>
    <t>13.07.002</t>
  </si>
  <si>
    <t>PE-02 PEITORIL</t>
  </si>
  <si>
    <t>13.07.099</t>
  </si>
  <si>
    <t>SERVICOS DE REVESTIMENTO DE PEITORIS</t>
  </si>
  <si>
    <t>13.50.001</t>
  </si>
  <si>
    <t>DEMOLICAO PISO DE CONCRETO SIMPLES CAPEADO</t>
  </si>
  <si>
    <t>13.50.002</t>
  </si>
  <si>
    <t>13.50.003</t>
  </si>
  <si>
    <t>DEMOLICAO PISO TACOS DE MADEIRA INCLUSIVE ARG ASSENTAMENTO</t>
  </si>
  <si>
    <t>13.50.004</t>
  </si>
  <si>
    <t>DEMOLICAO PISO SOALHO DE TABUAS INCLUSIVE VIGAMENTOS</t>
  </si>
  <si>
    <t>13.50.006</t>
  </si>
  <si>
    <t>DEMOLIÇÃO DE SOALHO SOMENTE TÁBUAS</t>
  </si>
  <si>
    <t>13.50.010</t>
  </si>
  <si>
    <t>DEMOLIÇÃO DE PISOS VINÍLICOS E DE BORRACHA INCL ARG ASSENT E REGULARIZACÃO</t>
  </si>
  <si>
    <t>13.50.015</t>
  </si>
  <si>
    <t>DEMOLIÇAO REVEST DE DEGRAUS DE ARG/GRANILITE/CACOS/LADRILHOS, INCL ARG ASSENT.</t>
  </si>
  <si>
    <t>13.50.016</t>
  </si>
  <si>
    <t>DEMOLICAO RODAPES EM GERAL INCLUSIVE ARGAMASSA ASSENTAMENTO</t>
  </si>
  <si>
    <t>13.50.017</t>
  </si>
  <si>
    <t>DEMOLICAO SOLEIRAS EM GERAL INCLUSIVE ARGAMASSA ASSENTAMENTO</t>
  </si>
  <si>
    <t>13.50.018</t>
  </si>
  <si>
    <t>DEMOLICAO PEITORIS EM GERAL INCLUSIVE ARGAMASSA ASSENTAMENTO</t>
  </si>
  <si>
    <t>13.50.019</t>
  </si>
  <si>
    <t>DEMOLICAO GUARDA-CORPOS EM GERAL INCLUSIVE ARGAMASSA ASSENTAMENTO</t>
  </si>
  <si>
    <t>13.50.099</t>
  </si>
  <si>
    <t>13.60.001</t>
  </si>
  <si>
    <t>RETIRADA DE PISO VINILICO E BORRACHA</t>
  </si>
  <si>
    <t>13.60.002</t>
  </si>
  <si>
    <t>RETIRADA DE PISO DE BORRACHA ARGAMASSADO</t>
  </si>
  <si>
    <t>13.60.003</t>
  </si>
  <si>
    <t>RETIRADA DE PISO DE CERÂMICA OU LADRILHOS HIDRÁULICOS</t>
  </si>
  <si>
    <t>13.60.004</t>
  </si>
  <si>
    <t>RETIRADA DE PISO DE TACOS DE MADEIRA</t>
  </si>
  <si>
    <t>13.60.005</t>
  </si>
  <si>
    <t>RETIRADA DE SOALHO INCLUSIVE VIGAMENTO</t>
  </si>
  <si>
    <t>13.60.006</t>
  </si>
  <si>
    <t>RETIRADA DE SOALHO SOMENTE TÁBUAS</t>
  </si>
  <si>
    <t>13.60.007</t>
  </si>
  <si>
    <t>RETIRADA DE PISO DE PEDRA</t>
  </si>
  <si>
    <t>13.60.008</t>
  </si>
  <si>
    <t>RETIRADA DE PISO DE GRANITO OU MÁRMORE</t>
  </si>
  <si>
    <t>13.60.009</t>
  </si>
  <si>
    <t>RETIRADA DE DEGRAUS E ESPELHOS EM PEDRA</t>
  </si>
  <si>
    <t>13.60.010</t>
  </si>
  <si>
    <t>RETIRADA DE DEGRAUS E ESP DE GRANITO OU MÁRMORE</t>
  </si>
  <si>
    <t>13.60.011</t>
  </si>
  <si>
    <t>RETIRADA DE RODAPÉS DE CERAM LADR-HIDR GRANITO OU MÁRMORE</t>
  </si>
  <si>
    <t>13.60.012</t>
  </si>
  <si>
    <t>RETIRADA DE RODAPES DE MADEIRA INCLUSIVE CORDÃO</t>
  </si>
  <si>
    <t>13.60.013</t>
  </si>
  <si>
    <t>RETIRADA DE SOLEIRAS EM GERAL</t>
  </si>
  <si>
    <t>13.60.014</t>
  </si>
  <si>
    <t>RETIRADA DE PEITORIS EM GERAL</t>
  </si>
  <si>
    <t>13.60.015</t>
  </si>
  <si>
    <t>RETIRADA DE GUARDA-CORPOS EM GERAL</t>
  </si>
  <si>
    <t>13.60.099</t>
  </si>
  <si>
    <t>13.70.001</t>
  </si>
  <si>
    <t>RECOLOCAÇÃO DE PISO VINÍLICO E BORRACHA</t>
  </si>
  <si>
    <t>13.70.002</t>
  </si>
  <si>
    <t>RECOLOCAÇÃO DE PISO DE BORRACHA ARGAMASSADO</t>
  </si>
  <si>
    <t>13.70.005</t>
  </si>
  <si>
    <t>RECOLOCAÇÃO E REPREGAMENTO DE SOALHO</t>
  </si>
  <si>
    <t>13.70.050</t>
  </si>
  <si>
    <t>RECOLOCAÇÃO DE RODAPÉS E CORDÕES DE MADEIRA</t>
  </si>
  <si>
    <t>13.70.099</t>
  </si>
  <si>
    <t>RECOLOCACOES DE PISOS</t>
  </si>
  <si>
    <t>13.80.002</t>
  </si>
  <si>
    <t>LASTRO DE CONCRETO</t>
  </si>
  <si>
    <t>13.80.003</t>
  </si>
  <si>
    <t>LASTRO DE BRITA GRADUADA COMPACTAÇÃO MECÂNICA E=8CM</t>
  </si>
  <si>
    <t>13.80.005</t>
  </si>
  <si>
    <t>13.80.006</t>
  </si>
  <si>
    <t>13.80.007</t>
  </si>
  <si>
    <t>PISO DE CONCRETO FCK=25MPA E=5CM</t>
  </si>
  <si>
    <t>13.80.012</t>
  </si>
  <si>
    <t>13.80.013</t>
  </si>
  <si>
    <t>ISOLAMENTO COM LONA PRETA</t>
  </si>
  <si>
    <t>13.80.014</t>
  </si>
  <si>
    <t>FRESAMENTO DE PISO CIMENTADO</t>
  </si>
  <si>
    <t>13.80.015</t>
  </si>
  <si>
    <t>PISO VINILICO DE 2MM DE ESPESSURA</t>
  </si>
  <si>
    <t>13.80.016</t>
  </si>
  <si>
    <t>PISO VINILICO DE 3,2MM DE ESPESSURA</t>
  </si>
  <si>
    <t>13.80.018</t>
  </si>
  <si>
    <t>REPARO COMPLETO EM GRANILITE-RASPAGEM/ESTUCAMENTO/POLIMENTO</t>
  </si>
  <si>
    <t>13.80.021</t>
  </si>
  <si>
    <t>ARGAMASSA DE REGULARIZACAO CIMENTO/AREIA 1:3 E=2,50CM</t>
  </si>
  <si>
    <t>13.80.022</t>
  </si>
  <si>
    <t>COLAGEM COM NATA DE CIMENTO E ADESIVO P/ ARGAMASSA E CHAPISCO</t>
  </si>
  <si>
    <t>13.80.023</t>
  </si>
  <si>
    <t>13.80.024</t>
  </si>
  <si>
    <t>13.80.025</t>
  </si>
  <si>
    <t>REPREGAMENTO DE SOALHO DE MADEIRA</t>
  </si>
  <si>
    <t>13.80.026</t>
  </si>
  <si>
    <t>13.80.027</t>
  </si>
  <si>
    <t>13.80.028</t>
  </si>
  <si>
    <t>13.80.032</t>
  </si>
  <si>
    <t>TELA Q-92 PARA PISO DE CONCRETO</t>
  </si>
  <si>
    <t>13.80.033</t>
  </si>
  <si>
    <t>TELA Q-138 E ESPAÇADOR TRELIÇADO P/PISO DE CONCRETO</t>
  </si>
  <si>
    <t>13.80.034</t>
  </si>
  <si>
    <t>PISO DE CONCRETO FCK=25MPA E=8CM DESEMPENAMENTO MECÂNICO</t>
  </si>
  <si>
    <t>13.80.035</t>
  </si>
  <si>
    <t>PISO DE CONCRETO COM FIBRA FCK=25MPA E=8CM DESEMPENAMENTO MECÂNICO</t>
  </si>
  <si>
    <t>13.80.050</t>
  </si>
  <si>
    <t>RODAPE DE GRANILITE EM PLACAS FORN/APLIC</t>
  </si>
  <si>
    <t>13.80.051</t>
  </si>
  <si>
    <t>RODAPE DE MARMORE DE 15CM</t>
  </si>
  <si>
    <t>13.80.055</t>
  </si>
  <si>
    <t>CORDAO MEIA CANA 1,5x1,5CM G1-C4</t>
  </si>
  <si>
    <t>13.80.056</t>
  </si>
  <si>
    <t>RODAPE DE MADEIRA DE 7X1,5CM G1-C4 COM CORDAO</t>
  </si>
  <si>
    <t>13.80.057</t>
  </si>
  <si>
    <t>REPARO RODAPÉ EM GRANILITE RASPAGEM/ESTUCAMENTO/POLIMENTO</t>
  </si>
  <si>
    <t>13.80.060</t>
  </si>
  <si>
    <t>DEGRAU DE GRANILITE</t>
  </si>
  <si>
    <t>13.80.061</t>
  </si>
  <si>
    <t>DEGRAUS DE MARMORE</t>
  </si>
  <si>
    <t>13.80.062</t>
  </si>
  <si>
    <t>DEGRAU VINILICO COM TESTEIRA DE BORRACHA</t>
  </si>
  <si>
    <t>13.80.065</t>
  </si>
  <si>
    <t>TESTEIRA DE BORRACHA</t>
  </si>
  <si>
    <t>13.80.066</t>
  </si>
  <si>
    <t>PISO BORRACHA SINT PASTILHADO PRETO ESPES 4/5MM - COLADO</t>
  </si>
  <si>
    <t>13.80.075</t>
  </si>
  <si>
    <t>ENCHIMENTO DE PISO COM ARGILA EXPANDIDA</t>
  </si>
  <si>
    <t>13.80.099</t>
  </si>
  <si>
    <t>SERVICOS EM PISOS - CONSERVACAO</t>
  </si>
  <si>
    <t>14.01.002</t>
  </si>
  <si>
    <t>VIDRO LISO COMUM INCOLOR DE 3MM</t>
  </si>
  <si>
    <t>14.01.004</t>
  </si>
  <si>
    <t>VIDRO LISO COMUM INCOLOR DE 4MM</t>
  </si>
  <si>
    <t>14.01.006</t>
  </si>
  <si>
    <t>VIDRO LISO COMUM INCOLOR DE 5MM</t>
  </si>
  <si>
    <t>14.01.008</t>
  </si>
  <si>
    <t>VIDRO LISO COMUM INCOLOR DE 6MM</t>
  </si>
  <si>
    <t>14.01.032</t>
  </si>
  <si>
    <t>VIDRO LISO FOSCO (DESPOLIDO) ESPESS 3 MM</t>
  </si>
  <si>
    <t>14.01.035</t>
  </si>
  <si>
    <t>VIDRO IMPRESSO INCOLOR (E=4MM)</t>
  </si>
  <si>
    <t>14.01.040</t>
  </si>
  <si>
    <t>VIDRO ARAMADO DE 7/8 MM</t>
  </si>
  <si>
    <t>FECHAMENTO EM VIDRO LAMINADO 5+5MM INC ACESS ALUM (CX/ELEVADOR)</t>
  </si>
  <si>
    <t>14.01.062</t>
  </si>
  <si>
    <t>14.01.063</t>
  </si>
  <si>
    <t>14.01.099</t>
  </si>
  <si>
    <t>SERVICOS EM VIDROS</t>
  </si>
  <si>
    <t>14.02.001</t>
  </si>
  <si>
    <t>EP-01 ESPELHO</t>
  </si>
  <si>
    <t>14.02.099</t>
  </si>
  <si>
    <t>SERVICOS DE ESPELHOS</t>
  </si>
  <si>
    <t>14.60.001</t>
  </si>
  <si>
    <t>RETIRADA DE VIDRO INCLUSIVE RASPAGEM DE MASSA OU RETIRADA DE BAGUETES</t>
  </si>
  <si>
    <t>14.60.099</t>
  </si>
  <si>
    <t>14.70.001</t>
  </si>
  <si>
    <t>RECOLOCAÇÃO DE VIDRO INCLUSIVE EMASSAMENTO OU RECOLOCACAO DE BAGUETES</t>
  </si>
  <si>
    <t>14.70.099</t>
  </si>
  <si>
    <t>RECOLOCACOES DE VIDRO</t>
  </si>
  <si>
    <t>14.80.001</t>
  </si>
  <si>
    <t>ESPELHO DE CRISTAL 6MM LAPIDADO INCLUSIVE FIXAÇÃO COM COLA ADESIVA.</t>
  </si>
  <si>
    <t>14.80.099</t>
  </si>
  <si>
    <t>15.01.001</t>
  </si>
  <si>
    <t>OLEO EM ESTRUTURA METALICA</t>
  </si>
  <si>
    <t>15.01.002</t>
  </si>
  <si>
    <t>GRAFITE EM ESTRUTURA METALICA</t>
  </si>
  <si>
    <t>15.01.003</t>
  </si>
  <si>
    <t>PINTURA ALUMINIO EM ESTRUTURA METALICA</t>
  </si>
  <si>
    <t>15.01.004</t>
  </si>
  <si>
    <t>ESMALTE EM ESTRUTURA METALICA</t>
  </si>
  <si>
    <t>15.01.005</t>
  </si>
  <si>
    <t>PINTURA PARA ESTRUTURA DE ALUMINIO C/ TINTA ESMALTE AUTOMOTIVA</t>
  </si>
  <si>
    <t>15.01.006</t>
  </si>
  <si>
    <t>ESMALTE A BASE DE ÁGUA EM ESTRUTURA METÁLICA</t>
  </si>
  <si>
    <t>OLEO SEM APAREL E EMASS PREVIOS EM ESTRUT DE MAD APARENTE (GALPOES)</t>
  </si>
  <si>
    <t>15.01.012</t>
  </si>
  <si>
    <t>ESMALTE S/APAREL EMASS PREVIOS EM ESTRUTURA DE MADEIRA APARENTES</t>
  </si>
  <si>
    <t>15.01.013</t>
  </si>
  <si>
    <t>ESMALTE A BASE DE ÁGUA SEM APARELHAMENTO E EMASSAMENTO PRÉVIOS EM ESTRUTURA DE MADEIRA</t>
  </si>
  <si>
    <t>15.01.014</t>
  </si>
  <si>
    <t>APLICAÇAO DE IMUNIZANTE CUPINICIDA EM MADEIRA.</t>
  </si>
  <si>
    <t>15.01.015</t>
  </si>
  <si>
    <t>VERNIZ SEM APARELHAMENTO E EMAS PREVIOS EM ESTRUT DE MADEIRA APARENTE</t>
  </si>
  <si>
    <t>15.01.029</t>
  </si>
  <si>
    <t>SERVIÇO GALVANIZACAO A FOGO - ESTRUTURAS</t>
  </si>
  <si>
    <t>15.01.032</t>
  </si>
  <si>
    <t>PRIMER P/ GALVANIZADOS (GALVITE/SIMILAR) - ESTRUTURAS</t>
  </si>
  <si>
    <t>15.01.035</t>
  </si>
  <si>
    <t>FUNDO ANTI-OXIDANTE EM ESTRUTURAS</t>
  </si>
  <si>
    <t>15.01.099</t>
  </si>
  <si>
    <t>PINTURAS EM ESTRUTURAS</t>
  </si>
  <si>
    <t>15.02.003</t>
  </si>
  <si>
    <t>MASSA NIVELADORA PARA INTERIOR</t>
  </si>
  <si>
    <t>15.02.005</t>
  </si>
  <si>
    <t>15.02.006</t>
  </si>
  <si>
    <t>LATEX COM MASSA NIVELADORA PARA INTERIOR</t>
  </si>
  <si>
    <t>15.02.010</t>
  </si>
  <si>
    <t>TINTA LATEX ECONOMICA EM ELEMENTO VAZADO</t>
  </si>
  <si>
    <t>15.02.014</t>
  </si>
  <si>
    <t>OLEO COM MASSA NIVELADORA</t>
  </si>
  <si>
    <t>15.02.015</t>
  </si>
  <si>
    <t>OLEO</t>
  </si>
  <si>
    <t>15.02.018</t>
  </si>
  <si>
    <t>ESMALTE A BASE DE AGUA</t>
  </si>
  <si>
    <t>15.02.019</t>
  </si>
  <si>
    <t>ESMALTE</t>
  </si>
  <si>
    <t>15.02.020</t>
  </si>
  <si>
    <t>MASSA NIVELADORA PARA INTERIOR (AREAS MOLHADAS)</t>
  </si>
  <si>
    <t>15.02.025</t>
  </si>
  <si>
    <t>15.02.026</t>
  </si>
  <si>
    <t>TINTA LATEX STANDARD COM MASSA NIVELADORA</t>
  </si>
  <si>
    <t>15.02.040</t>
  </si>
  <si>
    <t>VERNIZ RETARDANTE DE CHAMA APLICADO EM SUPERFICIE DE MADEIRA ACABAMENTO TRANSPARENTE COM DUAS DEMÃOS</t>
  </si>
  <si>
    <t>15.02.041</t>
  </si>
  <si>
    <t>VERNIZ SELANTE RESISTENTE À ABRASÃO APLICADO SOBRE VERNIZ RETARDANTE EM SUPERFICIE DE MADEIRA ACABAMENTO TRANSPARENTE COM DUAS DEMÃOS</t>
  </si>
  <si>
    <t>15.02.050</t>
  </si>
  <si>
    <t>OLEO EM FORRO DE MADEIRA</t>
  </si>
  <si>
    <t>15.02.052</t>
  </si>
  <si>
    <t>ESMALTE EM FORRO DE MADEIRA</t>
  </si>
  <si>
    <t>15.02.053</t>
  </si>
  <si>
    <t>ESMALTE A BASE DE AGUA EM FORRO DE MADEIRA</t>
  </si>
  <si>
    <t>15.02.055</t>
  </si>
  <si>
    <t>ENVERNIZAMENTO EM FORRO DE MADEIRA</t>
  </si>
  <si>
    <t>15.02.061</t>
  </si>
  <si>
    <t>TINTA LATEX STANDARD EM SUPERFICIE DE GESSO</t>
  </si>
  <si>
    <t>15.02.062</t>
  </si>
  <si>
    <t>TINTA LATEX ECONOMICA EM SUPERFICIE DE GESSO</t>
  </si>
  <si>
    <t>15.02.080</t>
  </si>
  <si>
    <t>15.02.099</t>
  </si>
  <si>
    <t>PINTURAS EM FORROS/PAREDES INTERNAS</t>
  </si>
  <si>
    <t>ESQUADRIAS</t>
  </si>
  <si>
    <t>15.03.002</t>
  </si>
  <si>
    <t>MASSA NIVELADORA A BASE DE AGUA EM ESQUADRIAS DE MADEIRA</t>
  </si>
  <si>
    <t>15.03.003</t>
  </si>
  <si>
    <t>ÓLEO SEM MASSA NIVELADORA EM ESQUADRIAS DE MADEIRA</t>
  </si>
  <si>
    <t>15.03.005</t>
  </si>
  <si>
    <t>OLEO EM MADEIRA SEM APARELHAMENTO E EMASS PREVIOS (PORTOES-CERCAS)</t>
  </si>
  <si>
    <t>15.03.006</t>
  </si>
  <si>
    <t>ESMALTE SEM MASSA NIVELADORA EM ESQUADRIAS DE MADEIRA</t>
  </si>
  <si>
    <t>15.03.008</t>
  </si>
  <si>
    <t>OLEO COM MASSA NIVELADORA EM ESQUADRIAS DE MADEIRA</t>
  </si>
  <si>
    <t>15.03.009</t>
  </si>
  <si>
    <t>ESMALTE EM CERCAS PORTOES E GRADIS</t>
  </si>
  <si>
    <t>15.03.010</t>
  </si>
  <si>
    <t>VERNIZ PLASTICO BASE POLIURET EM ESQUADRIAS E PECAS MADEIRA EXTERNA</t>
  </si>
  <si>
    <t>15.03.011</t>
  </si>
  <si>
    <t>ESMALTE COM MASSA NIVELADORA EM ESQUADRIAS DE MADEIRA</t>
  </si>
  <si>
    <t>15.03.012</t>
  </si>
  <si>
    <t>ENVERNIZAMENTO EM ESQUADRIAS DE MADEIRA</t>
  </si>
  <si>
    <t>15.03.020</t>
  </si>
  <si>
    <t>OLEO EM ESQUADRIAS DE FERRO</t>
  </si>
  <si>
    <t>15.03.021</t>
  </si>
  <si>
    <t>ESMALTE EM ESQUADRIAS DE FERRO</t>
  </si>
  <si>
    <t>15.03.022</t>
  </si>
  <si>
    <t>GRAFITE EM ESQUADRIAS DE FERRO</t>
  </si>
  <si>
    <t>15.03.024</t>
  </si>
  <si>
    <t>PINTURA ALUMINIO EM ESQUADRIAS DE FERRO</t>
  </si>
  <si>
    <t>15.03.025</t>
  </si>
  <si>
    <t>ESMALTE A BASE DE AGUA SEM MASSA NIVELADORA EM ESQUADRIAS DE MADEIRA</t>
  </si>
  <si>
    <t>15.03.026</t>
  </si>
  <si>
    <t>ESMALTE A BASE DE AGUA COM MASSA NIVELADORA EM ESQUADRIAS DE MADEIRA</t>
  </si>
  <si>
    <t>15.03.027</t>
  </si>
  <si>
    <t>ESMALTE A BASE DE AGUA EM CERCAS, PORTÕES E GRADIS</t>
  </si>
  <si>
    <t>15.03.028</t>
  </si>
  <si>
    <t>ESMALTE A BASE DE AGUA EM ESQUADRIAS DE FERRO</t>
  </si>
  <si>
    <t>15.03.029</t>
  </si>
  <si>
    <t>15.03.032</t>
  </si>
  <si>
    <t>PRIMER P/ GALVANIZADOS (GALVIT/SIMILAR) - ESQUADRIAS</t>
  </si>
  <si>
    <t>15.03.035</t>
  </si>
  <si>
    <t>FUNDO ANTI-OXIDANTE EM ESQUADRIAS</t>
  </si>
  <si>
    <t>15.03.040</t>
  </si>
  <si>
    <t>OLEO EM RODAPES, BAGUETES E MOLDURAS DE MADEIRA</t>
  </si>
  <si>
    <t>15.03.041</t>
  </si>
  <si>
    <t>ESMALTE EM RODAPES, BAGUETES E MOLDURAS DE MADEIRA</t>
  </si>
  <si>
    <t>15.03.042</t>
  </si>
  <si>
    <t>ESMALTE A BASE DE AGUA EM RODAPES BAGUETES E MOLDURAS DE MADEIRA</t>
  </si>
  <si>
    <t>15.03.050</t>
  </si>
  <si>
    <t>ENVERNIZAMENTO DE RODAPES,BAGUETES OU MOLDURAS DE MADEIRA</t>
  </si>
  <si>
    <t>15.03.060</t>
  </si>
  <si>
    <t>FACE EXTERNA DE CALHAS/CONDUTORES COM TINTA SINTETICA (ESMALTE)</t>
  </si>
  <si>
    <t>15.03.061</t>
  </si>
  <si>
    <t>FACE INTERNA DE CALHAS COM TINTA BETUMINOSA</t>
  </si>
  <si>
    <t>15.03.062</t>
  </si>
  <si>
    <t>FACE APARENTE DE RUFOS/RINCOES COM TINTA BETUMINOSA</t>
  </si>
  <si>
    <t>15.03.063</t>
  </si>
  <si>
    <t>FACE EXTERNA DE CALHAS/CONDUTORES COM TINTA A OLEO</t>
  </si>
  <si>
    <t>15.03.064</t>
  </si>
  <si>
    <t>FACE EXTERNA DE CALHAS/CONDUTORES COM ESMALTE A BASE DE AGUA</t>
  </si>
  <si>
    <t>15.03.068</t>
  </si>
  <si>
    <t>PINTURA DUAS DEMÃOS ESMALTE FACE APARENTE DE TUBULAÇÃO Ø 3/4"</t>
  </si>
  <si>
    <t>15.03.069</t>
  </si>
  <si>
    <t>PINTURA DUAS DEMÃOS ESMALTE FACE APARENTE DE TUBULAÇÃO Ø1"</t>
  </si>
  <si>
    <t>15.03.072</t>
  </si>
  <si>
    <t>PINTURA DUAS DEMÃOS ESMALTE FACE APARENTE DE TUBULAÇÃO Ø1 1/4"</t>
  </si>
  <si>
    <t>15.03.073</t>
  </si>
  <si>
    <t>PINTURA DUAS DEMÃOS ESMALTE FACE APARENTE DE TUBULAÇÃO Ø1 1/2"</t>
  </si>
  <si>
    <t>15.03.074</t>
  </si>
  <si>
    <t>PINTURA DUAS DEMÃOS ESMALTE FACE APARENTE DE TUBULAÇÃO Ø 2"</t>
  </si>
  <si>
    <t>15.03.075</t>
  </si>
  <si>
    <t>PINTURA DUAS DEMÃOS ESMALTE FACE APARENTE DE TUBULAÇÃO Ø 2 1/2"</t>
  </si>
  <si>
    <t>15.03.076</t>
  </si>
  <si>
    <t>PINTURA DUAS DEMÃOS ESMALTE FACE APARENTE DE TUBULAÇÃO Ø 3"</t>
  </si>
  <si>
    <t>15.03.077</t>
  </si>
  <si>
    <t>PINTURA DUAS DEMÃOS ESMALTE FACE APARENTE DE TUBULAÇÃO Ø 4"</t>
  </si>
  <si>
    <t>15.03.079</t>
  </si>
  <si>
    <t>15.03.080</t>
  </si>
  <si>
    <t>15.03.081</t>
  </si>
  <si>
    <t>PINTURA DUAS DEMÃOS ESMALTE FACE APARENTE DE TUBULAÇÃO PVC Ø 4"</t>
  </si>
  <si>
    <t>15.03.082</t>
  </si>
  <si>
    <t>PINTURA DUAS DEMÃOS ESMALTE FACE APARENTE DE TUBULAÇÃO PVC Ø 6"</t>
  </si>
  <si>
    <t>15.03.099</t>
  </si>
  <si>
    <t>PINTURAS EM ESQUADRIAS</t>
  </si>
  <si>
    <t>15.04.001</t>
  </si>
  <si>
    <t>CAIACAO</t>
  </si>
  <si>
    <t>15.04.005</t>
  </si>
  <si>
    <t>TINTA LÁTEX ECONÔMICA</t>
  </si>
  <si>
    <t>15.04.006</t>
  </si>
  <si>
    <t>15.04.007</t>
  </si>
  <si>
    <t>MASSA NIVELADORA PARA EXTERIOR</t>
  </si>
  <si>
    <t>15.04.008</t>
  </si>
  <si>
    <t>LATEX EM ELEMENTO VAZADO</t>
  </si>
  <si>
    <t>15.04.009</t>
  </si>
  <si>
    <t>TRATAMENTO DE CONCRETO COM ESTUQUE E LIXAMENTO</t>
  </si>
  <si>
    <t>15.04.011</t>
  </si>
  <si>
    <t>TINTA MINERAL IMPERMEAVEL SEM NATA SELADORA</t>
  </si>
  <si>
    <t>15.04.012</t>
  </si>
  <si>
    <t>TINTA MINERAL IMPERMEAVEL C/ NATA SELADORA S/ BLOCO DE CONCRETO</t>
  </si>
  <si>
    <t>15.04.013</t>
  </si>
  <si>
    <t>HIDROFUGO A BASE DE SILICONE</t>
  </si>
  <si>
    <t>15.04.015</t>
  </si>
  <si>
    <t>ESMALTE EM SUPERFICIE REBOCADA SEM MASSA NIVELADORA</t>
  </si>
  <si>
    <t>15.04.020</t>
  </si>
  <si>
    <t>LIQUIDO IMUNIZANTE EM MADEIRA APARENTE</t>
  </si>
  <si>
    <t>15.04.030</t>
  </si>
  <si>
    <t>VERNIZ ACRILICO BASE SOLVENTE COM 1 DEMAO PRIMER +2 DEMAOS VERNIZ ACRILICO BASE SOLVENTE</t>
  </si>
  <si>
    <t>15.04.031</t>
  </si>
  <si>
    <t>VERNIZ ACRILICO BASE AGUA APLICAÇAO 3 DEMAOS</t>
  </si>
  <si>
    <t>15.04.040</t>
  </si>
  <si>
    <t>15.04.041</t>
  </si>
  <si>
    <t>15.04.073</t>
  </si>
  <si>
    <t>PINTURA PARA TELHAS DE ALUMINIO COM TINTA ESMALTE AUTOMOTIVA</t>
  </si>
  <si>
    <t>15.04.078</t>
  </si>
  <si>
    <t>SINALIZAÇÃO VISUAL DE DEGRAUS-PINTURA ACRÍLICA P/PISOS</t>
  </si>
  <si>
    <t>15.04.080</t>
  </si>
  <si>
    <t>15.04.081</t>
  </si>
  <si>
    <t>PINTURA DE LINHAS DEMARCATORIAS DE QUADRA DE ESPORTES</t>
  </si>
  <si>
    <t>15.04.082</t>
  </si>
  <si>
    <t>15.04.099</t>
  </si>
  <si>
    <t>PINTURAS EM PAREDES EXTERNAS</t>
  </si>
  <si>
    <t>15.50.001</t>
  </si>
  <si>
    <t>RASPAGEM DE CAIACAO OU TINTA MINERAL IMPERMEAVEL</t>
  </si>
  <si>
    <t>15.50.002</t>
  </si>
  <si>
    <t>REMOCAO DE OLEO,ESMALTE,LATEX/ACRILICO EM PAREDES COM LIXAMENTO</t>
  </si>
  <si>
    <t>15.50.003</t>
  </si>
  <si>
    <t>REMOCAO DE OLEO,ESMALTE OU VERNIZ EM ESQ DE MADEIRA C/LIXAMENTO</t>
  </si>
  <si>
    <t>15.50.004</t>
  </si>
  <si>
    <t>REMOCAO DE OLEO,ESMALTE,ALUMIN OU GRAFITE EM ESQ DE FERRO C/LIXAMENT</t>
  </si>
  <si>
    <t>15.50.010</t>
  </si>
  <si>
    <t>REMOÇAO DE OLEO,ESMALTE,VERNIZ EM RODAPES,BAGUETES E MOLD C/LIXAMENTO</t>
  </si>
  <si>
    <t>15.50.011</t>
  </si>
  <si>
    <t>REMOCAO DE OLEO,ESMALTE,LATEX/ACRILICO EM PAREDES COM PRODUTO QUIMICO</t>
  </si>
  <si>
    <t>15.50.012</t>
  </si>
  <si>
    <t>REMOCAO DE OLEO ESMALTE OU VERNIZ EM ESQ. DE MADEIRA C/PROD QUIMICO</t>
  </si>
  <si>
    <t>15.50.013</t>
  </si>
  <si>
    <t>REMOCAO DE OLEO,ESMALTE,ALUMIN OU GRAFITE EM ESQ DE FERRO C/PROD QUI</t>
  </si>
  <si>
    <t>15.50.014</t>
  </si>
  <si>
    <t>REMOÇAO DE OLEO,ESMALTE,VERNIZ EM RODAPES,BAGUETES E MOLD C/PROD.QUIMICO</t>
  </si>
  <si>
    <t>15.50.030</t>
  </si>
  <si>
    <t>REMOCAO DE PINTURA EM ESTRUTURA METALICA COM LIXAMENTO</t>
  </si>
  <si>
    <t>15.50.099</t>
  </si>
  <si>
    <t>REMOCOES</t>
  </si>
  <si>
    <t>15.80.010</t>
  </si>
  <si>
    <t>PINTURA EM AZULEJO</t>
  </si>
  <si>
    <t>15.80.011</t>
  </si>
  <si>
    <t>OLEO EM SUPERFICIE INCLUSIVE PREPARO E RETOQUE DE MASSA</t>
  </si>
  <si>
    <t>15.80.013</t>
  </si>
  <si>
    <t>ESMALTE EM ESQUADRIAS DE MADEIRA INCLUSIVE PREPARO E RETOQUES DE MASSA</t>
  </si>
  <si>
    <t>15.80.018</t>
  </si>
  <si>
    <t>TINTA LATEX STANDARD INCLUSIVE PREPARO E RETOQUE DE MASSA NIVELADORA</t>
  </si>
  <si>
    <t>15.80.021</t>
  </si>
  <si>
    <t>OLEO EM ESQUADRIAS DE FERRO INCLUSIVE PREPARO E RETOQUES DE ZARCAO</t>
  </si>
  <si>
    <t>15.80.023</t>
  </si>
  <si>
    <t>OLEO EM RODAPES/BAGUETES/MOLD. MAD. INCL. PREPARO E RETOQUE DE MASSA</t>
  </si>
  <si>
    <t>15.80.024</t>
  </si>
  <si>
    <t>ALUMINIO EM ESQUADRIAS DE FERRO INCLUSIVE PREPARO E RETOQUE DE ZARCA</t>
  </si>
  <si>
    <t>15.80.025</t>
  </si>
  <si>
    <t>REMOVEDOR DE PICHAÇÃO - POS PINTURA ANTIPICHAÇÃO</t>
  </si>
  <si>
    <t>15.80.026</t>
  </si>
  <si>
    <t>OLEO EM ESQUADRIAS DE MADEIRA INCLUSIVE PREPARO E RETOQUES DE MASSA</t>
  </si>
  <si>
    <t>15.80.029</t>
  </si>
  <si>
    <t>VERNIZ ANTIPICHAÇÃO 2 DEMAOS</t>
  </si>
  <si>
    <t>15.80.031</t>
  </si>
  <si>
    <t>VERNIZ EM ESQUADRIAS DE MADEIRA INCL PREPARO E RETOQUE DE MASSA</t>
  </si>
  <si>
    <t>15.80.036</t>
  </si>
  <si>
    <t>ESMALTE EM SUPERFICIE DE MADEIRA INCLUSIVE PREPARO E RETOQUE DE MASSA</t>
  </si>
  <si>
    <t>15.80.032</t>
  </si>
  <si>
    <t>VERNIZ EM RODAPES/BAGUETES/MOLD. MAD. INCL. PREPARO E RETOQUE DE MASSA</t>
  </si>
  <si>
    <t>15.80.040</t>
  </si>
  <si>
    <t>PINTURA DE QUADRAS ESPORTIVAS - LINHAS DEMARCATORIAS</t>
  </si>
  <si>
    <t>15.80.042</t>
  </si>
  <si>
    <t>15.80.043</t>
  </si>
  <si>
    <t>TINTA LATEX ECONOMICA INCLUSIVE PREPARO E RETOQUE DE MASSA NIVELADOR</t>
  </si>
  <si>
    <t>15.80.044</t>
  </si>
  <si>
    <t>ESMALTE EM SUPERFICIE INCLUSIVE PREPARO E RETOQUE DE MASSA</t>
  </si>
  <si>
    <t>15.80.045</t>
  </si>
  <si>
    <t>ESMALTE EM ESQUADRIAS DE FERRO INCLUSIVE PREPARO E RETOQUES DE ZARCAO</t>
  </si>
  <si>
    <t>15.80.046</t>
  </si>
  <si>
    <t>GRAFITE EM ESQUADRIAS DE FERRO INCL. PREPARO E RETOQUE DE ZARCAO</t>
  </si>
  <si>
    <t>15.80.047</t>
  </si>
  <si>
    <t>PINTURA EM LOUSA INCL. PREPARO E RETOQUE DE MASSA</t>
  </si>
  <si>
    <t>15.80.048</t>
  </si>
  <si>
    <t>ESMALTE EM FORRO DE MADEIRA INCLUSIVE PREPARO E RETOQUE DE MASSA</t>
  </si>
  <si>
    <t>15.80.050</t>
  </si>
  <si>
    <t>OLEO EM FORRO DE MADEIRA INCLUSIVE PREPARO E RETOQUE DE MASSA</t>
  </si>
  <si>
    <t>15.80.060</t>
  </si>
  <si>
    <t>ESMALTE EM ESTRUTURA METALICA INCLUSIVE PREPARO E RETOQUE DE ZARCAO</t>
  </si>
  <si>
    <t>15.80.061</t>
  </si>
  <si>
    <t>OLEO EM ESTRUTURA METALICA INCLUSIVE PREPARO E RETOQUE DE ZARCAO</t>
  </si>
  <si>
    <t>15.80.062</t>
  </si>
  <si>
    <t>GRAFITE EM ESTRUTURA METALICA INCLUSIVE PREPARO E RETOQUE DE ZARCAO</t>
  </si>
  <si>
    <t>15.80.070</t>
  </si>
  <si>
    <t>GALVANIZACAO A FRIO - PINTURA P/ ESTRUTURAS - CONSERVACAO</t>
  </si>
  <si>
    <t>15.80.071</t>
  </si>
  <si>
    <t>GALVANIZACAO A FRIO - PINTURA P/ ESQUADRIAS - CONSERVACAO</t>
  </si>
  <si>
    <t>15.80.072</t>
  </si>
  <si>
    <t>PRIMER P/ GALVANIZADOS (GALVIT/SIMILAR) - ESTRUTURAS - CONSERVACAO</t>
  </si>
  <si>
    <t>15.80.073</t>
  </si>
  <si>
    <t>PRIMER P/ GALVANIZADOS (GALVIT/SIMILAR) - ESQUADRIAS - CONSERVACAO</t>
  </si>
  <si>
    <t>15.80.075</t>
  </si>
  <si>
    <t>FUNDO ANTI-OXIDANTE EM ESTRUTURAS - CONSERVACAO</t>
  </si>
  <si>
    <t>15.80.076</t>
  </si>
  <si>
    <t>FUNDO ANTI-OXIDANTE EM ESQUADRIAS - CONSERVACAO</t>
  </si>
  <si>
    <t>15.80.080</t>
  </si>
  <si>
    <t>SERVIÇO GALVANIZACAO A FOGO - ESTRUTURAS / ESQUADRIAS.</t>
  </si>
  <si>
    <t>15.80.099</t>
  </si>
  <si>
    <t>SERVICOS DE PINTURA - CONSERVACAO</t>
  </si>
  <si>
    <t>16.01.008</t>
  </si>
  <si>
    <t>FD-07 FECHAM DIVISA/BL CONCRETO/REV CHAP GROSSO FACE EXT H=185CM/SAPAT</t>
  </si>
  <si>
    <t>16.01.009</t>
  </si>
  <si>
    <t>FD-08 FECHAM DIVISA/BL CONCRETO/REV CHAP GROSSO FACE EXT H=185CM/BROCA</t>
  </si>
  <si>
    <t>16.01.010</t>
  </si>
  <si>
    <t>FD-10 FECHAMENTO PARA DEVISAS/MOUROES</t>
  </si>
  <si>
    <t>16.01.011</t>
  </si>
  <si>
    <t>FD-11 FECHAMENTO DE DIVISAS - MOUROES C/ PLACAS PRE MOLDADAS</t>
  </si>
  <si>
    <t>16.01.012</t>
  </si>
  <si>
    <t>FD-12 FECHAMENTO DE DIVISAS - MOUROES C/ ARAMES E HIBISCOS</t>
  </si>
  <si>
    <t>16.01.013</t>
  </si>
  <si>
    <t>FD-13 FECHAMENTO DIV/BL CONCR/SEM REVESTIMENTO (H=185CM/SAPATA)</t>
  </si>
  <si>
    <t>16.01.014</t>
  </si>
  <si>
    <t>FD-14 FECHAMENTO DE DIVISA/BLOCO DE CONCRETO/ S/REVEST. H=185CM/BROCA</t>
  </si>
  <si>
    <t>16.01.015</t>
  </si>
  <si>
    <t>FD-15 FECHAMENTO DE DIVISA/BL CONCRETO/REVEST CHAP FINO H=235CM/SAPATA</t>
  </si>
  <si>
    <t>16.01.016</t>
  </si>
  <si>
    <t>FD-16 FECHAMENTO DIVISA/BL CONCRETO/REVEST CHAPISCO FINO H=235CM/BROCA</t>
  </si>
  <si>
    <t>16.01.021</t>
  </si>
  <si>
    <t>FD-21 FECHAMENTO DE DIVISA COM GRADIL ELETROFUNDIDO / SAPATA (H=185CM)</t>
  </si>
  <si>
    <t>16.01.022</t>
  </si>
  <si>
    <t>FD-22 FECHAMENTO DE DIVISA COM GRADIL ELETROFUNDIDO/SAPATA (H=235CM)</t>
  </si>
  <si>
    <t>16.01.028</t>
  </si>
  <si>
    <t>FD-23 FECHAMENTO DE DIVISA COM GRADIL ELETROFUNDIDO / BROCA (H=185CM)</t>
  </si>
  <si>
    <t>16.01.029</t>
  </si>
  <si>
    <t>FD-24 FECHAMENTO DE DIVISA COM GRADIL ELETROFUNDIDO / BROCA (H=235CM)</t>
  </si>
  <si>
    <t>16.01.030</t>
  </si>
  <si>
    <t>FD-25 FECHAMENTO DIVISA C/ GRADIL ELETROF / SAPATA (199X132.20CM)</t>
  </si>
  <si>
    <t>16.01.031</t>
  </si>
  <si>
    <t>FD-26 FECHAMENTO DIVISA C/ GRADIL ELETROF / BROCA (199X132.20CM)</t>
  </si>
  <si>
    <t>16.01.032</t>
  </si>
  <si>
    <t>FD-27 FECHAMENTO DIVISA C/ GRADIL ELETROF / SAPATA (59X211.40CM)</t>
  </si>
  <si>
    <t>16.01.033</t>
  </si>
  <si>
    <t>FD-28 FECHAMENTO DIVISA C/ GRADIL ELETROF / BROCA (59X211.40CM)</t>
  </si>
  <si>
    <t>16.01.045</t>
  </si>
  <si>
    <t>16.01.046</t>
  </si>
  <si>
    <t>PORTÃO EM CHAPA DE AÇO</t>
  </si>
  <si>
    <t>16.01.058</t>
  </si>
  <si>
    <t>16.01.060</t>
  </si>
  <si>
    <t>FD-29 FECHAMENTO DIVISA C/ ELEMENTO VAZADO / SAPATA (239X199CM)</t>
  </si>
  <si>
    <t>16.01.061</t>
  </si>
  <si>
    <t>FD-30 FECHAMENTO DIVISA C/ ELEMENTO VAZADO / BROCA (239X199CM)</t>
  </si>
  <si>
    <t>16.01.062</t>
  </si>
  <si>
    <t>FD-31 FECHAMENTO DIVISA C/ ELEMENTO VAZADO / SAPATA (39X199CM)</t>
  </si>
  <si>
    <t>16.01.063</t>
  </si>
  <si>
    <t>FD-32 FECHAMENTO DIVISA C/ ELEMENTO VAZADO / BROCA (39X199CM)</t>
  </si>
  <si>
    <t>16.01.064</t>
  </si>
  <si>
    <t>PT-29 PORTAO DE TELA PARA QUADRA</t>
  </si>
  <si>
    <t>16.01.065</t>
  </si>
  <si>
    <t>VERGA/CINTA EM BLOCO DE CONCRETO CANALETA 14X19X39CM</t>
  </si>
  <si>
    <t>16.01.066</t>
  </si>
  <si>
    <t>VERGA/CINTA EM BLOCO DE CONCRETO CANALETA 19X19X39CM</t>
  </si>
  <si>
    <t>16.01.067</t>
  </si>
  <si>
    <t>FD-33 FECHAMENTO DE DIVISA/BL.CONCRETO/REVEST. CHAPISCO GROSSO H=235CM/SAPATA</t>
  </si>
  <si>
    <t>16.01.068</t>
  </si>
  <si>
    <t>FD-34 FECHAMENTO DE DIVISA/BL. CONCRETO/REVEST. CHAPISCO GROSSO H=235CM/BROCA</t>
  </si>
  <si>
    <t>16.01.080</t>
  </si>
  <si>
    <t>PT-30 PORTAO GRADIL ELETROFUNDIDO / PILARETE DE CONCRETO (300X185CM)</t>
  </si>
  <si>
    <t>16.01.081</t>
  </si>
  <si>
    <t>PT-31 PORTAO GRADIL ELETROFUNDIDO / PILARETE DE CONCRETO (300X235CM)</t>
  </si>
  <si>
    <t>16.01.082</t>
  </si>
  <si>
    <t>PT-32 PORTAO GRADIL ELETROFUNDIDO / PILARETE DE CONCRETO (180X185CM)</t>
  </si>
  <si>
    <t>16.01.083</t>
  </si>
  <si>
    <t>PT-33 PORTAO GRADIL ELETROFUNDIDO / PILARETE DE CONCRETO (180X235CM)</t>
  </si>
  <si>
    <t>16.01.088</t>
  </si>
  <si>
    <t>PT-41 PORTAO EM CHAPA DE ACO (300X235CM)</t>
  </si>
  <si>
    <t>16.01.089</t>
  </si>
  <si>
    <t>PT-42 PORTAO EM CHAPA DE ACO (180X235CM)</t>
  </si>
  <si>
    <t>16.01.090</t>
  </si>
  <si>
    <t>16.01.091</t>
  </si>
  <si>
    <t>16.01.092</t>
  </si>
  <si>
    <t>PT-50 PORTAO DE TELA PARA SETORIZAÇAO 120&lt;H&lt;200 CM</t>
  </si>
  <si>
    <t>16.01.093</t>
  </si>
  <si>
    <t>PT-34 PORTAO GRADIL ELETROFUNDIDO / PILARETE METALICO (300X185CM)</t>
  </si>
  <si>
    <t>16.01.094</t>
  </si>
  <si>
    <t>PT-35 PORTAO GRADIL ELETROFUNDIDO / PILARETE METALICO (300X235CM)</t>
  </si>
  <si>
    <t>16.01.095</t>
  </si>
  <si>
    <t>PT-36 PORTAO GRADIL ELETROFUNDIDO / PILARETE METALICO (180X185CM)</t>
  </si>
  <si>
    <t>16.01.098</t>
  </si>
  <si>
    <t>PT-37 PORTAO GRADIL ELETROFUNDIDO / PILARETE METALICO (180X235CM)</t>
  </si>
  <si>
    <t>16.01.099</t>
  </si>
  <si>
    <t>SERVICOS PARA FECHAMENTOS</t>
  </si>
  <si>
    <t>16.02.004</t>
  </si>
  <si>
    <t>PAVIMENTAÇÃO DE CONCRETO P/PISO PERMEAVEL DRENANTE (DIAGONAL)</t>
  </si>
  <si>
    <t>16.02.008</t>
  </si>
  <si>
    <t>16.02.009</t>
  </si>
  <si>
    <t>PLACA DE CONCRETO MOLDADA NO LOCAL - 90X90 CM</t>
  </si>
  <si>
    <t>PAVIMENTAÇÃO DE CONCRETO P/PISO PERMEAVEL DRENANTE (SEXTAVADO)</t>
  </si>
  <si>
    <t>16.02.014</t>
  </si>
  <si>
    <t>PAVIMENTAÇAO DE CONCRETO PARA PISO PERMEAVEL DRENANTE (GRAMA)</t>
  </si>
  <si>
    <t>16.02.015</t>
  </si>
  <si>
    <t>PAVIMENTACAO ASFALTICA</t>
  </si>
  <si>
    <t>16.02.018</t>
  </si>
  <si>
    <t>BORRACHA ASSENTADA C/ ARGAMASSA - PISO TATIL ALERTA</t>
  </si>
  <si>
    <t>16.02.022</t>
  </si>
  <si>
    <t>PAVIMENTACAO COM PEDRISCO COM ESPESS DE 5 CM</t>
  </si>
  <si>
    <t>16.02.023</t>
  </si>
  <si>
    <t>PAVIMENTACAO DE PEDRA MOSAICO PORTUGUES 2 COR/SOBRE BASE AREIA GROSSA</t>
  </si>
  <si>
    <t>16.02.025</t>
  </si>
  <si>
    <t>GUIAS PRE-MOLDADAS TIPO PMSP</t>
  </si>
  <si>
    <t>16.02.026</t>
  </si>
  <si>
    <t>SARJETAS MOLDADAS NO LOCAL TIPO PMSP</t>
  </si>
  <si>
    <t>16.02.027</t>
  </si>
  <si>
    <t>GA-01 GUIA LEVE OU SEPARADOR DE PISOS</t>
  </si>
  <si>
    <t>16.02.028</t>
  </si>
  <si>
    <t>GA-02 GUIA E SARJETA</t>
  </si>
  <si>
    <t>16.02.029</t>
  </si>
  <si>
    <t>GA-03 GUIA E SARJETA TIPO PMSP</t>
  </si>
  <si>
    <t>16.02.031</t>
  </si>
  <si>
    <t>DEGRAU DE CONCRETO CAMURCADO</t>
  </si>
  <si>
    <t>16.02.033</t>
  </si>
  <si>
    <t>PEDRA MIRACEMA</t>
  </si>
  <si>
    <t>16.02.039</t>
  </si>
  <si>
    <t>PAVIMENTAÇÃO DE CONCRETO P/PISO PERMEAVEL DRENANTE (QUADRICULADO)</t>
  </si>
  <si>
    <t>16.02.040</t>
  </si>
  <si>
    <t>16.02.041</t>
  </si>
  <si>
    <t>16.02.050</t>
  </si>
  <si>
    <t>PASTILHA NATURAL 2,5X2,5CM - DETALHES E REQUADROS</t>
  </si>
  <si>
    <t>16.02.051</t>
  </si>
  <si>
    <t>PASTILHA NATURAL 5,0X5,0CM - DETALHES E REQUADROS</t>
  </si>
  <si>
    <t>16.02.056</t>
  </si>
  <si>
    <t>LADRILHO HIDRAULICO 20X20CM LISO 1 COR</t>
  </si>
  <si>
    <t>16.02.061</t>
  </si>
  <si>
    <t>16.02.062</t>
  </si>
  <si>
    <t>16.02.063</t>
  </si>
  <si>
    <t>16.02.064</t>
  </si>
  <si>
    <t>16.02.066</t>
  </si>
  <si>
    <t>16.02.067</t>
  </si>
  <si>
    <t>16.02.068</t>
  </si>
  <si>
    <t>16.02.069</t>
  </si>
  <si>
    <t>16.02.070</t>
  </si>
  <si>
    <t>LASTRO DE CONCRETO - 5CM</t>
  </si>
  <si>
    <t>16.02.071</t>
  </si>
  <si>
    <t>16.02.080</t>
  </si>
  <si>
    <t>16.02.090</t>
  </si>
  <si>
    <t>CIMENTADO DESEMPENADO COM JUNTA SECA E=3,5CM INCL ARG REG</t>
  </si>
  <si>
    <t>16.02.091</t>
  </si>
  <si>
    <t>CIMENTADO DESEMPENADO ALISADO C/ CORANTE E=3,5CM INCL ARG REG</t>
  </si>
  <si>
    <t>16.02.099</t>
  </si>
  <si>
    <t>REVESTIMENTOS P/ PISOS EXTERNOS</t>
  </si>
  <si>
    <t>16.02.100</t>
  </si>
  <si>
    <t>LASTRO DE BRITA E=5CM COM AGREGADO RECICLADO DA CONSTRUÇÃO CIVIL</t>
  </si>
  <si>
    <t>16.02.101</t>
  </si>
  <si>
    <t>16.02.105</t>
  </si>
  <si>
    <t>CIMENTADO DESEMPENADO COM JUNTA SECA E = 5 CM COM AGREGADO RECICLADO DA CONSTRUÇAO CIVIL</t>
  </si>
  <si>
    <t>16.02.106</t>
  </si>
  <si>
    <t>16.03.001</t>
  </si>
  <si>
    <t>CORTE DE MATO E GRAMA - ROÇAGEM MECANIZADA</t>
  </si>
  <si>
    <t>16.03.002</t>
  </si>
  <si>
    <t>GRAMA ESMERALDA EM PLACAS</t>
  </si>
  <si>
    <t>16.03.006</t>
  </si>
  <si>
    <t>GRAMA SAO CARLOS EM PLACAS</t>
  </si>
  <si>
    <t>16.03.012</t>
  </si>
  <si>
    <t>GRAMA PRETA EM MUDAS</t>
  </si>
  <si>
    <t>16.03.014</t>
  </si>
  <si>
    <t>AP-02 PROTETOR PARA ARVORES</t>
  </si>
  <si>
    <t>16.03.031</t>
  </si>
  <si>
    <t>ARVORE ORNAMENTAL H=1,50 A 2.00M - TIPUANA</t>
  </si>
  <si>
    <t>16.03.063</t>
  </si>
  <si>
    <t>PALMEIRA JERIVÁ H=1,50 A 2,00 M</t>
  </si>
  <si>
    <t>16.03.066</t>
  </si>
  <si>
    <t>ARBUSTO H=0.50 A 0.70M - AZALÉIA</t>
  </si>
  <si>
    <t>16.03.067</t>
  </si>
  <si>
    <t>ARBUSTO H=0.50 A 0.70M - BELA EMILIA</t>
  </si>
  <si>
    <t>16.03.075</t>
  </si>
  <si>
    <t>16.03.076</t>
  </si>
  <si>
    <t>16.03.077</t>
  </si>
  <si>
    <t>16.03.080</t>
  </si>
  <si>
    <t>ARBUSTO H=0,50 A 0,70 M - CALIANDRA</t>
  </si>
  <si>
    <t>16.03.083</t>
  </si>
  <si>
    <t>BAMBU H=1,00 A 2,00 M - BAMBUZINHO</t>
  </si>
  <si>
    <t>16.03.085</t>
  </si>
  <si>
    <t>16.03.087</t>
  </si>
  <si>
    <t>16.03.088</t>
  </si>
  <si>
    <t>16.03.090</t>
  </si>
  <si>
    <t>16.03.091</t>
  </si>
  <si>
    <t>FORRACAO - PILEIA</t>
  </si>
  <si>
    <t>16.03.092</t>
  </si>
  <si>
    <t>16.03.093</t>
  </si>
  <si>
    <t>16.03.096</t>
  </si>
  <si>
    <t>16.03.099</t>
  </si>
  <si>
    <t>SERVIÇOS DE PAISAGISMO</t>
  </si>
  <si>
    <t>16.03.100</t>
  </si>
  <si>
    <t>ARBUSTO ALECRIM H=0,50M A 0,70M</t>
  </si>
  <si>
    <t>16.03.101</t>
  </si>
  <si>
    <t>16.03.102</t>
  </si>
  <si>
    <t>16.03.103</t>
  </si>
  <si>
    <t>16.03.104</t>
  </si>
  <si>
    <t>ARBUSTO DICORISANDRA H=0,50 A 0,70M</t>
  </si>
  <si>
    <t>16.03.105</t>
  </si>
  <si>
    <t>16.03.106</t>
  </si>
  <si>
    <t>16.03.107</t>
  </si>
  <si>
    <t>16.03.108</t>
  </si>
  <si>
    <t>16.03.109</t>
  </si>
  <si>
    <t>16.03.110</t>
  </si>
  <si>
    <t>ARBUSTO MANJERICÃO H=0,50 A 0,70M</t>
  </si>
  <si>
    <t>16.03.111</t>
  </si>
  <si>
    <t>16.03.112</t>
  </si>
  <si>
    <t>16.03.113</t>
  </si>
  <si>
    <t>16.03.114</t>
  </si>
  <si>
    <t>16.03.150</t>
  </si>
  <si>
    <t>ÁRVORE ORNAMENTAL AROEIRA-DO-SERTÃO H=2,00M</t>
  </si>
  <si>
    <t>16.03.151</t>
  </si>
  <si>
    <t>ÁRVORE ORNAMENTAL CANELA-PRETA H=2,00M</t>
  </si>
  <si>
    <t>16.03.152</t>
  </si>
  <si>
    <t>ÁRVORE ORNAMENTAL CANELA-SASSAFRÁS H=2,00M</t>
  </si>
  <si>
    <t>16.03.153</t>
  </si>
  <si>
    <t>ÁRVORE ORNAMENTAL CASTANHA-DO-PARÁ H=2,00M</t>
  </si>
  <si>
    <t>16.03.154</t>
  </si>
  <si>
    <t>ÁRVORE ORNAMENTAL IMBUIA H=2,00M</t>
  </si>
  <si>
    <t>16.03.155</t>
  </si>
  <si>
    <t>ÁRVORE ORNAMENTAL JABORANDI H=2,00M</t>
  </si>
  <si>
    <t>16.03.156</t>
  </si>
  <si>
    <t>ÁRVORE ORNAMENTAL PEROBA ROSA H=2,00M</t>
  </si>
  <si>
    <t>16.03.157</t>
  </si>
  <si>
    <t>ÁRVORE ORNAMENTAL PINHEIRO-DO-PARANÁ H=2,00M</t>
  </si>
  <si>
    <t>16.03.170</t>
  </si>
  <si>
    <t>16.03.171</t>
  </si>
  <si>
    <t>16.03.172</t>
  </si>
  <si>
    <t>16.03.173</t>
  </si>
  <si>
    <t>16.03.174</t>
  </si>
  <si>
    <t>16.03.175</t>
  </si>
  <si>
    <t>16.03.176</t>
  </si>
  <si>
    <t>16.03.177</t>
  </si>
  <si>
    <t>16.03.190</t>
  </si>
  <si>
    <t>16.03.191</t>
  </si>
  <si>
    <t>16.03.192</t>
  </si>
  <si>
    <t>16.03.193</t>
  </si>
  <si>
    <t>16.03.194</t>
  </si>
  <si>
    <t>16.03.195</t>
  </si>
  <si>
    <t>16.03.196</t>
  </si>
  <si>
    <t>16.03.197</t>
  </si>
  <si>
    <t>16.03.200</t>
  </si>
  <si>
    <t>ÁRVORE ORNAMENTAL ALDRAGO H=2,00M</t>
  </si>
  <si>
    <t>16.03.201</t>
  </si>
  <si>
    <t>ÁRVORE ORNAMENTAL PAU-CIGARRA H=2,00M</t>
  </si>
  <si>
    <t>16.03.202</t>
  </si>
  <si>
    <t>ÁRVORE ORNAMENTAL ARAÇÁ H=2,00M</t>
  </si>
  <si>
    <t>16.03.203</t>
  </si>
  <si>
    <t>ÁRVORE ORNAMENTAL AROEIRA-SALSA H=2,00M</t>
  </si>
  <si>
    <t>16.03.204</t>
  </si>
  <si>
    <t>ÁRVORE ORNAMENTAL BICO-DE-PATO H=2,00M</t>
  </si>
  <si>
    <t>16.03.205</t>
  </si>
  <si>
    <t>ÁRVORE ORNAMENTAL CHUVA DE OURO H=2,00M</t>
  </si>
  <si>
    <t>16.03.206</t>
  </si>
  <si>
    <t>ÁRVORE ORNAMENTAL CANELEIRA H=2,00M</t>
  </si>
  <si>
    <t>16.03.207</t>
  </si>
  <si>
    <t>ÁRVORE ORNAMENTAL CAPUTUNA-PRETA (CHUPA FERRO) H=2,00M</t>
  </si>
  <si>
    <t>16.03.208</t>
  </si>
  <si>
    <t>ÁRVORE ORNAMENTAL CAROBA H=2,00M</t>
  </si>
  <si>
    <t>16.03.209</t>
  </si>
  <si>
    <t>ÁRVORE ORNAMENTAL CAROBA-BRANCA H=2,00M</t>
  </si>
  <si>
    <t>16.03.210</t>
  </si>
  <si>
    <t>ÁRVORE ORNAMENTAL CAROBÃO H=2,00M</t>
  </si>
  <si>
    <t>16.03.211</t>
  </si>
  <si>
    <t>ÁRVORE ORNAMENTAL CARVALHO-BRASILEIRO (CARVALHO DO BRASIL) H=2,00M</t>
  </si>
  <si>
    <t>16.03.212</t>
  </si>
  <si>
    <t>ÁRVORE ORNAMENTAL CÁSSIA-GRANDE H=2,00M</t>
  </si>
  <si>
    <t>16.03.213</t>
  </si>
  <si>
    <t>ÁRVORE ORNAMENTAL CEDRO-ROSA (CEDRO) H=2,00M</t>
  </si>
  <si>
    <t>16.03.214</t>
  </si>
  <si>
    <t>ÁRVORE ORNAMENTAL CHÁ-DE-BUGRE (CAPITÃO DO CAMPO) H=2,00M</t>
  </si>
  <si>
    <t>16.03.215</t>
  </si>
  <si>
    <t>ÁRVORE ORNAMENTAL DEDALEIRO H=2,00M</t>
  </si>
  <si>
    <t>16.03.216</t>
  </si>
  <si>
    <t>ÁRVORE ORNAMENTAL DIADEMA H=2,00M</t>
  </si>
  <si>
    <t>16.03.217</t>
  </si>
  <si>
    <t>ÁRVORE ORNAMENTAL EMBAÚBA H=2,00M</t>
  </si>
  <si>
    <t>16.03.218</t>
  </si>
  <si>
    <t>ÁRVORE ORNAMENTAL EMBIRUÇU H=2,00M</t>
  </si>
  <si>
    <t>16.03.219</t>
  </si>
  <si>
    <t>ÁRVORE ORNAMENTAL FEIJOA H=2,00M</t>
  </si>
  <si>
    <t>16.03.220</t>
  </si>
  <si>
    <t>ÁRVORE ORNAMENTAL GUANANDI H=2,00M</t>
  </si>
  <si>
    <t>16.03.221</t>
  </si>
  <si>
    <t>ÁRVORE ORNAMENTAL IPÊ-AMARELO-DA-SERRA H=2,00M</t>
  </si>
  <si>
    <t>16.03.222</t>
  </si>
  <si>
    <t>ÁRVORE ORNAMENTAL IPÊ-BRANCO H=2,00M</t>
  </si>
  <si>
    <t>16.03.223</t>
  </si>
  <si>
    <t>ÁRVORE ORNAMENTAL IPÊ-ROXO DE 7 FOLHAS H=2,00M</t>
  </si>
  <si>
    <t>16.03.224</t>
  </si>
  <si>
    <t>ÁRVORE ORNAMENTAL JACARANDÁ-PAULISTA H=2,00M</t>
  </si>
  <si>
    <t>16.03.225</t>
  </si>
  <si>
    <t>ÁRVORE ORNAMENTAL JEQUITIBÁ-BRANCO H=2,00M</t>
  </si>
  <si>
    <t>16.03.226</t>
  </si>
  <si>
    <t>ÁRVORE ORNAMENTAL JEQUITIBÁ-ROSA H=2,00M</t>
  </si>
  <si>
    <t>16.03.227</t>
  </si>
  <si>
    <t>ÁRVORE ORNAMENTAL MIRINDIBA (MIRINDIBA ROSA) H=2,00M</t>
  </si>
  <si>
    <t>16.03.228</t>
  </si>
  <si>
    <t>ÁRVORE ORNAMENTAL MULUNGU-DO-LITORAL (SUINÃ) H=2,00M</t>
  </si>
  <si>
    <t>16.03.229</t>
  </si>
  <si>
    <t>ÁRVORE ORNAMENTAL MULUNGU H=2,00M</t>
  </si>
  <si>
    <t>16.03.230</t>
  </si>
  <si>
    <t>ÁRVORE ORNAMENTAL PATA-DE-VACA-BRANCA (PATA-DE-VACA) H=2,00M</t>
  </si>
  <si>
    <t>16.03.231</t>
  </si>
  <si>
    <t>ÁRVORE ORNAMENTAL TARUMÃ H=2,00M</t>
  </si>
  <si>
    <t>16.03.232</t>
  </si>
  <si>
    <t>ÁRVORE ORNAMENTAL URUCUM H=2,00M</t>
  </si>
  <si>
    <t>ARBUSTO ALPÍNIA H=0,50 A 0,70M</t>
  </si>
  <si>
    <t>16.03.301</t>
  </si>
  <si>
    <t>ARBUSTO AVE-DO-PARAÍSO H=0,50 A 0,70M</t>
  </si>
  <si>
    <t>16.03.302</t>
  </si>
  <si>
    <t>ARBUSTO CLÚSIA H=0,50 A 0,70M</t>
  </si>
  <si>
    <t>16.03.303</t>
  </si>
  <si>
    <t>FORRAÇÃO FALSO-ÍRIS</t>
  </si>
  <si>
    <t>16.03.304</t>
  </si>
  <si>
    <t>ARBUSTO FILODENDRO H=0,50 A 0,70M</t>
  </si>
  <si>
    <t>16.03.305</t>
  </si>
  <si>
    <t>16.03.306</t>
  </si>
  <si>
    <t>ARBUSTO GARDÊNIA H=0,50 A 0,70M</t>
  </si>
  <si>
    <t>16.03.307</t>
  </si>
  <si>
    <t>ARBUSTO GUAIMBÊ-DA-FOLHA-ONDULADA H=0,50 A 0,70M</t>
  </si>
  <si>
    <t>16.03.308</t>
  </si>
  <si>
    <t>ARBUSTO GUAIMBÊ-DE-BREJO H=0,50 A 0,70M</t>
  </si>
  <si>
    <t>16.03.309</t>
  </si>
  <si>
    <t>ARBUSTO IMBÊ H=0,50 A 0,70M</t>
  </si>
  <si>
    <t>16.03.311</t>
  </si>
  <si>
    <t>ARBUSTO JASMIM-AMARELO H=0,50 A 0,70M</t>
  </si>
  <si>
    <t>16.03.312</t>
  </si>
  <si>
    <t>ARBUSTO LANTERNA-CHINESA H=0,50 A 0,70M</t>
  </si>
  <si>
    <t>16.03.313</t>
  </si>
  <si>
    <t>ARBUSTO MANACÁ-DE-CHEIRO H=0,50 A 0,70M</t>
  </si>
  <si>
    <t>16.03.314</t>
  </si>
  <si>
    <t>ARBUSTO MARIA-PRETA H=0,50 A 0,70M</t>
  </si>
  <si>
    <t>16.03.315</t>
  </si>
  <si>
    <t>16.03.316</t>
  </si>
  <si>
    <t>ARBUSTO MUSSAENDA H=0,50 A 0,70M</t>
  </si>
  <si>
    <t>16.03.317</t>
  </si>
  <si>
    <t>ARBUSTO MUSSAENDA-FRONDOSA H=0,50 A 0,70M</t>
  </si>
  <si>
    <t>16.03.318</t>
  </si>
  <si>
    <t>ARBUSTO PLEOMELE H=0,50 A 0,70M</t>
  </si>
  <si>
    <t>16.03.319</t>
  </si>
  <si>
    <t>ARBUSTO QUARESMEIRINHA H=0,50 A 0,70M</t>
  </si>
  <si>
    <t>ARBUSTO RESEDÁ H=0,50 A 0,70M</t>
  </si>
  <si>
    <t>16.03.321</t>
  </si>
  <si>
    <t>ARBUSTO SOMBRINHA-CHINESA H=0,50 A 0,70M</t>
  </si>
  <si>
    <t>16.03.322</t>
  </si>
  <si>
    <t>ARBUSTO TUMBÉRGIA H=0,50 A 0,70M</t>
  </si>
  <si>
    <t>16.03.350</t>
  </si>
  <si>
    <t>FRUTÍFERA ANGELIM-DOCE H=2,00M</t>
  </si>
  <si>
    <t>16.03.351</t>
  </si>
  <si>
    <t>16.03.352</t>
  </si>
  <si>
    <t>FRUTÍFERA GENIPAPO (JENIPAPO) H=2,00M</t>
  </si>
  <si>
    <t>16.03.353</t>
  </si>
  <si>
    <t>FRUTÍFERA GOIABEIRA H=2,00M</t>
  </si>
  <si>
    <t>16.03.354</t>
  </si>
  <si>
    <t>FRUTÍFERA GRUMIXAMA H=2,00M</t>
  </si>
  <si>
    <t>16.03.355</t>
  </si>
  <si>
    <t>16.03.356</t>
  </si>
  <si>
    <t>FRUTÍFERA JABUTICABEIRA H=2,00M</t>
  </si>
  <si>
    <t>PALMEIRA AÇAÍ H=1,50 A 2,00M</t>
  </si>
  <si>
    <t>16.03.401</t>
  </si>
  <si>
    <t>PALMEIRA GUARIROBA H=1,50 A 2,00M</t>
  </si>
  <si>
    <t>16.03.402</t>
  </si>
  <si>
    <t>PALMEIRA INDAIÁ H=1,50 A 2,00M</t>
  </si>
  <si>
    <t>16.03.403</t>
  </si>
  <si>
    <t>PALMEIRA PALMITO-JUÇARA (PALMITO) H=1,50 A 2,00M</t>
  </si>
  <si>
    <t>16.03.404</t>
  </si>
  <si>
    <t>PALMEIRA PUPUNHA H=1,50 A 2,00M</t>
  </si>
  <si>
    <t>16.03.430</t>
  </si>
  <si>
    <t>CIPÓ DE SÃO JOÃO H=0,50 A 0,70M</t>
  </si>
  <si>
    <t>16.03.431</t>
  </si>
  <si>
    <t>CUSPIDÁRIA H=0,50 A 0,70M</t>
  </si>
  <si>
    <t>16.03.432</t>
  </si>
  <si>
    <t>16.03.450</t>
  </si>
  <si>
    <t>TRANSPLANTE INTERNO DE ÁRVORE COM 2CM&lt;DAP&lt;3CM</t>
  </si>
  <si>
    <t>16.03.451</t>
  </si>
  <si>
    <t>TRANSPLANTE INTERNO DE ÁRVORE COM 3CM&lt;DAP&lt;5CM</t>
  </si>
  <si>
    <t>16.03.452</t>
  </si>
  <si>
    <t>TRANSPLANTE INTERNO DE ÁRVORE COM 5CM&lt;DAP&lt;7CM</t>
  </si>
  <si>
    <t>16.03.453</t>
  </si>
  <si>
    <t>TRANSPLANTE INTERNO DE ÁRVORE COM 7CM&lt;DAP&lt;15CM</t>
  </si>
  <si>
    <t>16.03.454</t>
  </si>
  <si>
    <t>16.03.455</t>
  </si>
  <si>
    <t>16.03.456</t>
  </si>
  <si>
    <t>16.03.464</t>
  </si>
  <si>
    <t>16.03.465</t>
  </si>
  <si>
    <t>PODA DE CONSERVAÇAO / ADEQUAÇAO PARA ARVORES TOPO DA COPA COM ALTURA SUPERIOR A 10M</t>
  </si>
  <si>
    <t>16.03.466</t>
  </si>
  <si>
    <t>16.03.467</t>
  </si>
  <si>
    <t>TRANSPLANTE INTERNO DE ÁRVORE COM 30CM&lt;DAP&lt;45CM APLICAVEL EXCLUSIVAMENTE PELA GOE/DOEV UMA UNIDADE-DIA.</t>
  </si>
  <si>
    <t>16.03.468</t>
  </si>
  <si>
    <t>TRANSPLANTE INTERNO DE ÁRVORE COM 45CM&lt;DAP&lt;60CM APLICAVEL EXCLUSIVAMENTE PELA GOE/DOEV UMA UNIDADE-DIA.</t>
  </si>
  <si>
    <t>16.03.469</t>
  </si>
  <si>
    <t>TRANSPLANTE INTERNO DE ÁRVORE COM 60CM&lt;DAP&lt;100CM APLICAVEL EXCLUSIVAMENTE PELA GOE/DOEV UMA UNIDADE-DIA.</t>
  </si>
  <si>
    <t>16.03.470</t>
  </si>
  <si>
    <t>FRUTÍFERA JAMBOLÃO H=0,50 A 1,00M</t>
  </si>
  <si>
    <t>16.03.471</t>
  </si>
  <si>
    <t>PALMEIRA INDAIÁ H=0,50 A 1,00M</t>
  </si>
  <si>
    <t>16.03.472</t>
  </si>
  <si>
    <t>ÁRVORE ORNAMENTAL ARAÇÁ H=0,50 A 1,00M</t>
  </si>
  <si>
    <t>16.03.482</t>
  </si>
  <si>
    <t>FRUTÍFERA UVAIA - DAP3</t>
  </si>
  <si>
    <t>16.03.483</t>
  </si>
  <si>
    <t>PALMEIRA GUARIROBA - DAP3</t>
  </si>
  <si>
    <t>16.03.484</t>
  </si>
  <si>
    <t>ÁRVORE ORNAMENTAL SUINÃ - DAP3</t>
  </si>
  <si>
    <t>16.03.485</t>
  </si>
  <si>
    <t>FRUTÍFERA PITANGUEIRA - DAP5</t>
  </si>
  <si>
    <t>16.03.486</t>
  </si>
  <si>
    <t>PALMEIRA JERIVÁ - DAP5</t>
  </si>
  <si>
    <t>16.03.487</t>
  </si>
  <si>
    <t>ÁRVORE ORNAMENTAL PAU-CIGARRA - DAP5</t>
  </si>
  <si>
    <t>16.03.488</t>
  </si>
  <si>
    <t>FRUTÍFERA ACEROLA H=2,00M</t>
  </si>
  <si>
    <t>16.03.489</t>
  </si>
  <si>
    <t>16.03.490</t>
  </si>
  <si>
    <t>FRUTÍFERA PITANGUEIRA H=2,00M</t>
  </si>
  <si>
    <t>16.03.491</t>
  </si>
  <si>
    <t>FRUTÍFERA UVAIA H=2,00M</t>
  </si>
  <si>
    <t>16.03.492</t>
  </si>
  <si>
    <t>ÁRVORE ORNAMENTAL ALECRIM DE CAMPINAS H=2,00M</t>
  </si>
  <si>
    <t>16.03.493</t>
  </si>
  <si>
    <t>16.03.494</t>
  </si>
  <si>
    <t>ÁRVORE ORNAMENTAL IPÊ-AMARELO H=2,00M</t>
  </si>
  <si>
    <t>16.03.495</t>
  </si>
  <si>
    <t>16.03.496</t>
  </si>
  <si>
    <t>ÁRVORE ORNAMENTAL JATOBÁ H=2,00M</t>
  </si>
  <si>
    <t>16.03.497</t>
  </si>
  <si>
    <t>16.03.498</t>
  </si>
  <si>
    <t>16.03.500</t>
  </si>
  <si>
    <t>ÁRVORE ORNAMENTAL PAU-FERRO H=2,00M</t>
  </si>
  <si>
    <t>16.03.501</t>
  </si>
  <si>
    <t>ÁRVORE ORNAMENTAL QUARESMEIRA H=2,00M</t>
  </si>
  <si>
    <t>16.03.502</t>
  </si>
  <si>
    <t>ÁRVORE ORNAMENTAL SIBIPIRUNA H=2,00M</t>
  </si>
  <si>
    <t>16.03.503</t>
  </si>
  <si>
    <t>ÁRVORE ORNAMENTAL UNHA-DE-VACA H=2,00M</t>
  </si>
  <si>
    <t>16.03.508</t>
  </si>
  <si>
    <t>FRUTIFERA GOIABEIRA - DAP 7</t>
  </si>
  <si>
    <t>16.03.509</t>
  </si>
  <si>
    <t>16.03.510</t>
  </si>
  <si>
    <t>ARVORE ORNAMENTAL URUCUM - DAP 7</t>
  </si>
  <si>
    <t>16.04.001</t>
  </si>
  <si>
    <t>QE-02 POSTE PARA REDE DE VOLEIBOL</t>
  </si>
  <si>
    <t>16.04.002</t>
  </si>
  <si>
    <t>QE-03 TRAVE DE FUTEBOL DE SALAO (FUNDACAO DIRETA)</t>
  </si>
  <si>
    <t>16.04.007</t>
  </si>
  <si>
    <t>16.04.016</t>
  </si>
  <si>
    <t>QUADRA DE ESPORTES-PISO DE CONCRETO ARMADO-FUND. DIRETA</t>
  </si>
  <si>
    <t>16.04.019</t>
  </si>
  <si>
    <t>FQ-01 FECHAMENTO PARA QUADRA DE ESPORTES - FUNDO - BROCA</t>
  </si>
  <si>
    <t>16.04.020</t>
  </si>
  <si>
    <t>FQ-01 FECHAMENTO PARA QUADRA DE ESPORTES - FUNDO - SAPATA</t>
  </si>
  <si>
    <t>16.04.025</t>
  </si>
  <si>
    <t>16.04.031</t>
  </si>
  <si>
    <t>FQ-01 FECHAMENTO PARA QUADRA DE ESPORTES - LATERAIS - BROCA</t>
  </si>
  <si>
    <t>16.04.034</t>
  </si>
  <si>
    <t>FQ-02 ALAMBRADO SOBRE DIVISA</t>
  </si>
  <si>
    <t>16.04.036</t>
  </si>
  <si>
    <t>FQ-01 FECHAMENTO PARA QUADRA DE ESPORTES - LATERAIS - SAPATA</t>
  </si>
  <si>
    <t>16.04.037</t>
  </si>
  <si>
    <t>FQ-04 ALAMBRADO COM PERFIL E TELA SOLDADA-GALVANIZADOS</t>
  </si>
  <si>
    <t>16.04.043</t>
  </si>
  <si>
    <t>QE-23 ESPACO MULTIESPORTIVO/PISO DE CONCR. ARMADO/FUND. DIRET - 160 M2</t>
  </si>
  <si>
    <t>16.04.099</t>
  </si>
  <si>
    <t>SERVICOS DE QUADRAS DE ESPORTES</t>
  </si>
  <si>
    <t>16.05.004</t>
  </si>
  <si>
    <t>CA-05 CANALETA P/ AGUAS PLUVIAIS (L=60CM)</t>
  </si>
  <si>
    <t>16.05.005</t>
  </si>
  <si>
    <t>CA-06 CANALETA P/ AGUAS PLUVIAIS (L=90CM)</t>
  </si>
  <si>
    <t>16.05.012</t>
  </si>
  <si>
    <t>CA-11 CAIXA DE AREIA COM GRELHA</t>
  </si>
  <si>
    <t>16.05.030</t>
  </si>
  <si>
    <t>CA-20 CANALETA DE AGUAS PLUVIAIS EM CONCRETO (15CM)</t>
  </si>
  <si>
    <t>16.05.031</t>
  </si>
  <si>
    <t>CA-21 CANALETA DE AGUAS PLUVIAIS EM CONCRETO (20CM)</t>
  </si>
  <si>
    <t>16.05.032</t>
  </si>
  <si>
    <t>CA-22 CANALETA DE AGUAS PLUVIAIS EM CONCRETO (30CM)</t>
  </si>
  <si>
    <t>16.05.036</t>
  </si>
  <si>
    <t>CANALETA DE CONCRETO 1/2 CANA DN 30CM P/ AGUAS PLUVIAIS</t>
  </si>
  <si>
    <t>16.05.037</t>
  </si>
  <si>
    <t>CANALETA DE CONCRETO 1/2 CANA DN 40CM P/ AGUAS PLUVIAIS</t>
  </si>
  <si>
    <t>16.05.038</t>
  </si>
  <si>
    <t>CANALETA DE CONCRETO 1/2 CANA DN 50CM P/ AGUAS PLUVIAIS</t>
  </si>
  <si>
    <t>16.05.039</t>
  </si>
  <si>
    <t>CANALETA DE CONCRETO 1/2 CANA DN 60CM P/ AGUAS PLUVIAIS</t>
  </si>
  <si>
    <t>16.05.040</t>
  </si>
  <si>
    <t>TC-03 TAMPA DE CONCRETO P/ CANALETA AP (20CM)</t>
  </si>
  <si>
    <t>16.05.041</t>
  </si>
  <si>
    <t>TC-04 TAMPA DE CONCRETO P/ CANALETA AP (25CM)</t>
  </si>
  <si>
    <t>16.05.042</t>
  </si>
  <si>
    <t>TC-05 TAMPA DE CONCRETO P/ CANALETA AP (35CM)</t>
  </si>
  <si>
    <t>16.05.043</t>
  </si>
  <si>
    <t>TC-06 TAMPA EM GRELHA DE FERRO GALVANIZADO P/ CANALETA (20CM)</t>
  </si>
  <si>
    <t>16.05.044</t>
  </si>
  <si>
    <t>TC-07 TAMPA EM GRELHA DE FERRO GALVANIZADO P/ CANALETA (25CM)</t>
  </si>
  <si>
    <t>16.05.045</t>
  </si>
  <si>
    <t>TC-08 TAMPA EM GRELHA DE FERRO GALVANIZADO P/ CANALETA (35CM)</t>
  </si>
  <si>
    <t>16.05.046</t>
  </si>
  <si>
    <t>TC-09 TAMPA DE CONCRETO PRE-MOLDADA PERF. P/ CANALETA L=20CM</t>
  </si>
  <si>
    <t>16.05.047</t>
  </si>
  <si>
    <t>TC-10 TAMPA DE CONCRETO PRE-MOLDADA PERF. P/ CANALETA L=25CM</t>
  </si>
  <si>
    <t>16.05.048</t>
  </si>
  <si>
    <t>TC-11 TAMPA DE CONCRETO PRE-MOLDADA PERF. P/ CANALETA L=35CM</t>
  </si>
  <si>
    <t>16.05.050</t>
  </si>
  <si>
    <t>POÇO DE RETENÇÃO DE ÁGUA PLUVIAL Ø 2,50M COM FUNDO DE BRITA</t>
  </si>
  <si>
    <t>16.05.052</t>
  </si>
  <si>
    <t>TAMPA PRÉ-MOLDADA Ø 2,50M PARA POÇO DE RETENÇÃO DE A.P. COM TAMPA DE INSPEÇÃO Ø 0,60M</t>
  </si>
  <si>
    <t>16.05.054</t>
  </si>
  <si>
    <t>POÇO DE RETENÇÃO DE ÁGUA PLUVIAL Ø 3,00M COM FUNDO DE BRITA</t>
  </si>
  <si>
    <t>16.05.056</t>
  </si>
  <si>
    <t>TAMPA PRÉ-MOLDADA Ø 3,00M PARA POÇO DE RETENÇÃO DE A.P. COM TAMPA DE INSPEÇÃO Ø 0,60M</t>
  </si>
  <si>
    <t>16.05.057</t>
  </si>
  <si>
    <t>16.05.058</t>
  </si>
  <si>
    <t>POÇO DE RETENÇÃO DE ÁGUA PLUVIAL Ø 2,50M COM FUNDO DE CONCRETO</t>
  </si>
  <si>
    <t>16.05.059</t>
  </si>
  <si>
    <t>LASTRO DE PEDRA RACHAO TAMANHO DE 10 A 15 CM.</t>
  </si>
  <si>
    <t>16.05.060</t>
  </si>
  <si>
    <t>POÇO DE RETENÇÃO DE ÁGUA PLUVIAL Ø 3,00M COM FUNDO DE CONCRETO</t>
  </si>
  <si>
    <t>16.05.064</t>
  </si>
  <si>
    <t>16.05.065</t>
  </si>
  <si>
    <t>16.05.066</t>
  </si>
  <si>
    <t>16.05.067</t>
  </si>
  <si>
    <t>16.05.068</t>
  </si>
  <si>
    <t>16.05.070</t>
  </si>
  <si>
    <t>CAIXA DE ALVENARIA - ESCAVACAO MANUAL COM APILOAMENTO DO FUNDO</t>
  </si>
  <si>
    <t>16.05.071</t>
  </si>
  <si>
    <t>CAIXA DE ALVENARIA - LASTRO DE CONCRETO</t>
  </si>
  <si>
    <t>16.05.072</t>
  </si>
  <si>
    <t>CAIXA DE ALVENARIA - PAREDE DE 1/2 TIJOLO REVESTIDO</t>
  </si>
  <si>
    <t>16.05.073</t>
  </si>
  <si>
    <t>CAIXA DE ALVENARIA - PAREDE DE 1 TIJOLO REVESTIDO</t>
  </si>
  <si>
    <t>16.05.074</t>
  </si>
  <si>
    <t>CAIXA DE ALVENARIA - TAMPA DE CONCRETO</t>
  </si>
  <si>
    <t>16.05.075</t>
  </si>
  <si>
    <t>CA-10 CAIXA DE AREIA 50X50 CM PARA AGUAS PLUVIAIS</t>
  </si>
  <si>
    <t>16.05.076</t>
  </si>
  <si>
    <t>GRELHA FERRO PERF. - 1,00X0,40 M</t>
  </si>
  <si>
    <t>16.05.077</t>
  </si>
  <si>
    <t>GRELHA FERRO PERF. 1,00X0,50 M</t>
  </si>
  <si>
    <t>16.05.078</t>
  </si>
  <si>
    <t>16.05.080</t>
  </si>
  <si>
    <t>BOMBA SUBMERSA POTENCIA 1CV, TRIFASICA VAZAO 7M3/HORA ALTURA MANOMETRICA 10 MCA RESERVATORIO RETENÇÃO AGUA PLUVIAL</t>
  </si>
  <si>
    <t>16.05.081</t>
  </si>
  <si>
    <t>16.05.082</t>
  </si>
  <si>
    <t>16.05.083</t>
  </si>
  <si>
    <t>REGISTRO DE GAVETA BRUTO DN 80MM (3") RESERVATORIO RETENÇÃO AGUA PLUVIAL</t>
  </si>
  <si>
    <t>16.05.084</t>
  </si>
  <si>
    <t>16.05.085</t>
  </si>
  <si>
    <t>CORRENTE ELO CURTO GALVANIZADO 4MM CARGA TRABALHO 100KG RESERVATORIO RETENÇÃO AGUA PLUVIAL</t>
  </si>
  <si>
    <t>16.05.099</t>
  </si>
  <si>
    <t>ÁGUAS PLUVIAIS E DRENAGEM DE ACABAMENTO</t>
  </si>
  <si>
    <t>16.06.022</t>
  </si>
  <si>
    <t>MB-03 MASTRO PARA BANDEIRAS</t>
  </si>
  <si>
    <t>16.06.023</t>
  </si>
  <si>
    <t>AL-01 ABRIGO PARA LIXO</t>
  </si>
  <si>
    <t>16.06.024</t>
  </si>
  <si>
    <t>AL-02 ABRIGO PARA RESÍDUOS RECICLÁVEIS</t>
  </si>
  <si>
    <t>16.06.045</t>
  </si>
  <si>
    <t>LOCAÇÃO MENSAL CONTAINER DE 6M C/1 V.SANIT. 1 LAVABO E 1 PONTO P/CHUVEIRO,INCLUSIVE SUPORTE AR COND.</t>
  </si>
  <si>
    <t>16.06.046</t>
  </si>
  <si>
    <t>LOCAÇÃO MENSAL DE CONTAINER 6,00M COM JANELAS DE VENTILAÇÃO.</t>
  </si>
  <si>
    <t>16.06.047</t>
  </si>
  <si>
    <t>16.06.048</t>
  </si>
  <si>
    <t>LOCAÇÃO MENSAL INCLUSIVE FRETE BEBEDOURO ELÉTRICO TEMPERATURA NATURAL OU GELADA.</t>
  </si>
  <si>
    <t>16.06.049</t>
  </si>
  <si>
    <t>16.06.050</t>
  </si>
  <si>
    <t>CANTEIRO DE OBRAS - LARG 2,20M</t>
  </si>
  <si>
    <t>16.06.051</t>
  </si>
  <si>
    <t>CANTEIRO DE OBRAS - LARG 3.30M</t>
  </si>
  <si>
    <t>16.06.052</t>
  </si>
  <si>
    <t>LOCAÇÃO MENSAL DE ESTRUTURA DE COBERTURA IMPERMEÁVEL (TENDA) INCLUSIVE MONTAGEM E FRETE.</t>
  </si>
  <si>
    <t>16.06.058</t>
  </si>
  <si>
    <t>TAPUME H=225CM APOIADO NO TERRENO E PINTURA LATEX FACE EXTERNA COM LOGOTIPO</t>
  </si>
  <si>
    <t>16.06.059</t>
  </si>
  <si>
    <t>TAPUME H=225CM ENGASTADO NO TERRENO E PINTURA LATEX FACE EXTERNA CO LOGOTIPO</t>
  </si>
  <si>
    <t>16.06.065</t>
  </si>
  <si>
    <t>ANDAIME - FACHADA - ALUGUEL MENSAL</t>
  </si>
  <si>
    <t>16.06.066</t>
  </si>
  <si>
    <t>ANDAIME - TORRE - ALUGUEL MENSAL</t>
  </si>
  <si>
    <t>16.06.077</t>
  </si>
  <si>
    <t>MANUTENÇÃO MENSAL DE PLACAS DE OBRA</t>
  </si>
  <si>
    <t>16.06.078</t>
  </si>
  <si>
    <t>16.06.081</t>
  </si>
  <si>
    <t>TRANSPORTE COM UTILITARIO ATE 3 T</t>
  </si>
  <si>
    <t>16.06.085</t>
  </si>
  <si>
    <t>INSTALAÇÃO CH-01 CHUVEIRO E LAVA OLHOS / FACE</t>
  </si>
  <si>
    <t>16.06.086</t>
  </si>
  <si>
    <t>INSTALAÇÃO DE QUADRO BRANCO (QB-01)</t>
  </si>
  <si>
    <t>16.06.087</t>
  </si>
  <si>
    <t>INSTALACÃO DE FAIXAS DE PROTECAO (FP-03/FP-04) POR REGUA</t>
  </si>
  <si>
    <t>16.06.088</t>
  </si>
  <si>
    <t>INSTALACÃO DE FAIXAS DE EXPOSICAO (FP-05) POR REGUA</t>
  </si>
  <si>
    <t>16.06.090</t>
  </si>
  <si>
    <t>INSTALACÃO DE LOUSA (LG-07)</t>
  </si>
  <si>
    <t>16.06.091</t>
  </si>
  <si>
    <t>INSTALACÃO DE MURAL (MR-02)</t>
  </si>
  <si>
    <t>16.06.092</t>
  </si>
  <si>
    <t>INSTALACÃO DE FOGAO INDUSTRIAL</t>
  </si>
  <si>
    <t>16.06.093</t>
  </si>
  <si>
    <t>INSTALACÃO DE SUPORTE TV/VIDEO</t>
  </si>
  <si>
    <t>16.06.099</t>
  </si>
  <si>
    <t>SERVICOS DE COMPLEMENTOS EXTERNOS</t>
  </si>
  <si>
    <t>16.06.101</t>
  </si>
  <si>
    <t>INSTALAÇÃO DE VENTILADOR DE PAREDE VN-02</t>
  </si>
  <si>
    <t>16.06.103</t>
  </si>
  <si>
    <t>16.06.106</t>
  </si>
  <si>
    <t>TRANSPORTE C/CAMINHAO ATE 6T. DIST.ATE 100KM C/MOTORISTA E 2 AJUDANTES.</t>
  </si>
  <si>
    <t>16.06.107</t>
  </si>
  <si>
    <t>16.06.108</t>
  </si>
  <si>
    <t>16.06.109</t>
  </si>
  <si>
    <t>16.07.011</t>
  </si>
  <si>
    <t>BL-01 BICICLETÁRIO SOBRE LAJE DE CONCRETO ARMADO</t>
  </si>
  <si>
    <t>16.07.012</t>
  </si>
  <si>
    <t>BL-02 BICICLETÁRIO SOBRE CIMENTADO OU BLOCO INTERTRAVADO</t>
  </si>
  <si>
    <t>16.07.015</t>
  </si>
  <si>
    <t>AM-01 AMARELINHA</t>
  </si>
  <si>
    <t>16.07.022</t>
  </si>
  <si>
    <t>BC-24 BANCO DE CONCRETO PRE-FABRICADO (L=115CM)</t>
  </si>
  <si>
    <t>16.07.023</t>
  </si>
  <si>
    <t>BC-25 BANCO DE CONCRETO PRE-FABRICADO (L=216CM)</t>
  </si>
  <si>
    <t>16.07.024</t>
  </si>
  <si>
    <t>BC-26 BANCO PUFE PRE FABRICADO DE CONCRETO Ø 60CM</t>
  </si>
  <si>
    <t>16.07.025</t>
  </si>
  <si>
    <t>BC-27 BANCO DE CONCRETO PRE-FABRICADO (L=220CM)</t>
  </si>
  <si>
    <t>16.07.031</t>
  </si>
  <si>
    <t>CR-01 CARACOL</t>
  </si>
  <si>
    <t>16.07.037</t>
  </si>
  <si>
    <t>FL-07 FLOREIRA PRE FABRICADO DE CONCRETO Ø 60CM</t>
  </si>
  <si>
    <t>16.07.038</t>
  </si>
  <si>
    <t>FL-08 FLOREIRA PRE FABRICADO DE CONCRETO Ø 56,50CM H=42,90CM</t>
  </si>
  <si>
    <t>16.07.040</t>
  </si>
  <si>
    <t>16.07.043</t>
  </si>
  <si>
    <t>16.07.045</t>
  </si>
  <si>
    <t>OC-01 OBSTACULO PRE FABRICADO DE CONCRETO TIPO PRISMA 15X50X10CM BASE FIXADA COM TARUGO Ø 12,5MM E ARGAMASSA COLANTE AClll.</t>
  </si>
  <si>
    <t>16.07.046</t>
  </si>
  <si>
    <t>OC-01 OBSTACULO PRE FABRICADO DE CONCRETO TIPO BOLA Ø35CM H=33CM INCLUSIVE BARRA ROSCADA Ø 20MM</t>
  </si>
  <si>
    <t>16.07.081</t>
  </si>
  <si>
    <t>RV-01 ROSA DOS VENTOS R=180CM</t>
  </si>
  <si>
    <t>16.08.024</t>
  </si>
  <si>
    <t>16.08.025</t>
  </si>
  <si>
    <t>16.08.026</t>
  </si>
  <si>
    <t>CI-02 CAIXA DE INSPEÇÃO 80X80CM PARA ESGOTO</t>
  </si>
  <si>
    <t>16.08.027</t>
  </si>
  <si>
    <t>CG-01 CAIXA DE GORDURA EM ALVENARIA</t>
  </si>
  <si>
    <t>16.08.028</t>
  </si>
  <si>
    <t>CI-01 CAIXA DE INSPECAO 60X60CM PARA ESGOTO</t>
  </si>
  <si>
    <t>16.08.034</t>
  </si>
  <si>
    <t>FS-05 FOSSA SEPTICA ANEIS CONCR. DN=1,4M H=1,5M</t>
  </si>
  <si>
    <t>16.08.037</t>
  </si>
  <si>
    <t>16.08.038</t>
  </si>
  <si>
    <t>16.08.039</t>
  </si>
  <si>
    <t>16.08.040</t>
  </si>
  <si>
    <t>16.08.041</t>
  </si>
  <si>
    <t>16.08.050</t>
  </si>
  <si>
    <t>FA-01 FILTRO ANAEROBICO DN=1,40M H=2,00M</t>
  </si>
  <si>
    <t>16.08.051</t>
  </si>
  <si>
    <t>FA-02 FILTRO ANAEROBICO DN=2,00M H=2,00M</t>
  </si>
  <si>
    <t>16.08.060</t>
  </si>
  <si>
    <t>CD-01 CAIXA DE DISTRIBUICAO /2 CAMARAS</t>
  </si>
  <si>
    <t>16.08.061</t>
  </si>
  <si>
    <t>CD-02 CAIXA DE DISTRIBUICAO /3 CAMARAS</t>
  </si>
  <si>
    <t>16.08.062</t>
  </si>
  <si>
    <t>CD-03 CAIXA DE DISTRIBUICAO /4 CAMARAS</t>
  </si>
  <si>
    <t>16.08.065</t>
  </si>
  <si>
    <t>FS-06-01 FOSSA SEPTICA L=3,00M VOL. UTIL = 7,56M3</t>
  </si>
  <si>
    <t>16.08.066</t>
  </si>
  <si>
    <t>FS-06-02 FOSSA SEPTICA L=3,80M VOL. UTIL = 9,58M3</t>
  </si>
  <si>
    <t>16.08.067</t>
  </si>
  <si>
    <t>FS-06-03 FOSSA SEPTICA L=5,40M VOL. UTIL = 13,61M3</t>
  </si>
  <si>
    <t>16.08.068</t>
  </si>
  <si>
    <t>FS-07-01 FOSSA SEPTICA L=4,80M VOL. UTIL = 20,74M3</t>
  </si>
  <si>
    <t>16.08.069</t>
  </si>
  <si>
    <t>FS-07-02 FOSSA SEPTICA L=5,80M VOL. UTIL = 25,06M3</t>
  </si>
  <si>
    <t>16.08.070</t>
  </si>
  <si>
    <t>FS-07-03 FOSSA SEPTICA L=6,40M VOL. UTIL = 29,38M3</t>
  </si>
  <si>
    <t>16.08.071</t>
  </si>
  <si>
    <t>FS-08-01 FOSSA SEPTICA ANEIS CONCRETO DN=2,4M H=2,0M</t>
  </si>
  <si>
    <t>16.08.072</t>
  </si>
  <si>
    <t>FS-08-02 FOSSA SEPTICA ANEIS CONCRETO DN=2,4M H=2,5M</t>
  </si>
  <si>
    <t>16.08.073</t>
  </si>
  <si>
    <t>FS-08-03 FOSSA SEPTICA ANEIS CONCRETO DN=2,4M H=3,0M</t>
  </si>
  <si>
    <t>16.08.074</t>
  </si>
  <si>
    <t>FS-09-01 FOSSA SEPTICA ANEIS CONCRETO DN=3,0M H=2,5M</t>
  </si>
  <si>
    <t>16.08.075</t>
  </si>
  <si>
    <t>FS-09-02 FOSSA SEPTICA ANEIS CONCRETO DN=3,0M H=3,0M</t>
  </si>
  <si>
    <t>16.08.099</t>
  </si>
  <si>
    <t>REDE E TRATAMENTO DE ESGOTO</t>
  </si>
  <si>
    <t>16.09.003</t>
  </si>
  <si>
    <t>SM-03 SUMIDOURO - TAMPA DE CONCRETO DN=2,40M</t>
  </si>
  <si>
    <t>16.09.004</t>
  </si>
  <si>
    <t>SM-04 SUMIDOURO - TAMPA DE CONCRETO DN=3,00M</t>
  </si>
  <si>
    <t>16.09.007</t>
  </si>
  <si>
    <t>SM-03 SUMIDOURO - POCO</t>
  </si>
  <si>
    <t>16.09.008</t>
  </si>
  <si>
    <t>SM-04 SUMIDOURO - POCO</t>
  </si>
  <si>
    <t>16.09.099</t>
  </si>
  <si>
    <t>SERVICOS DE POCO ABSORVENTE</t>
  </si>
  <si>
    <t>16.10.099</t>
  </si>
  <si>
    <t>SERVICOS DE POCO DE AGUA POTAVEL</t>
  </si>
  <si>
    <t>16.11.005</t>
  </si>
  <si>
    <t>LIMPEZA DA OBRA</t>
  </si>
  <si>
    <t>16.11.012</t>
  </si>
  <si>
    <t>LIMPEZA DE APARELHOS SANITARIOS</t>
  </si>
  <si>
    <t>16.11.013</t>
  </si>
  <si>
    <t>LIMPEZA DE REVESTIMENTOS HIDRAULICOS</t>
  </si>
  <si>
    <t>16.11.014</t>
  </si>
  <si>
    <t>LIMPEZA DE VIDROS</t>
  </si>
  <si>
    <t>16.11.020</t>
  </si>
  <si>
    <t>LIMPEZA DE FACHADA POR HIDROJATEAMENTO</t>
  </si>
  <si>
    <t>16.11.025</t>
  </si>
  <si>
    <t>REMOÇÃO DE RESÍDUOS ( PODA / ENTULHO) PARA ÁREA DE TRANSBORDO E TRIAGEM (ATT)</t>
  </si>
  <si>
    <t>16.11.030</t>
  </si>
  <si>
    <t>TRANSPORTE POR CAMINHÃO PARA ÁREA DE TRANSBORDO DE RESÍDUOS DE OBRA</t>
  </si>
  <si>
    <t>16.11.099</t>
  </si>
  <si>
    <t>SERVICOS DE LIMPEZA</t>
  </si>
  <si>
    <t>16.13.001</t>
  </si>
  <si>
    <t>16.13.002</t>
  </si>
  <si>
    <t>16.13.007</t>
  </si>
  <si>
    <t>16.13.010</t>
  </si>
  <si>
    <t>16.13.015</t>
  </si>
  <si>
    <t>16.13.025</t>
  </si>
  <si>
    <t>16.13.026</t>
  </si>
  <si>
    <t>16.13.030</t>
  </si>
  <si>
    <t>ESCORAMENTO DE VALAS CONTINUO ATé 2,00M</t>
  </si>
  <si>
    <t>16.13.035</t>
  </si>
  <si>
    <t>ESCORAMENTO DE VALAS DESCONTINUO ATé 2,00M</t>
  </si>
  <si>
    <t>16.13.099</t>
  </si>
  <si>
    <t>SERVICOS EM TERRA - MUROS DE ARRIMO</t>
  </si>
  <si>
    <t>16.14.006</t>
  </si>
  <si>
    <t>16.14.009</t>
  </si>
  <si>
    <t>FORMAS PLANAS PLASTIFICADAS PARA CONCRETO APARENTE</t>
  </si>
  <si>
    <t>16.14.011</t>
  </si>
  <si>
    <t>ACO CA 50 (A OU B) FYK = 500 M PA</t>
  </si>
  <si>
    <t>16.14.012</t>
  </si>
  <si>
    <t>ACO CA 60 (A OU B) FYK = 600 M PA</t>
  </si>
  <si>
    <t>16.14.013</t>
  </si>
  <si>
    <t>TELA ARMADURA (MALHA ACO CA 60 FYK = 600 M PA)</t>
  </si>
  <si>
    <t>16.14.034</t>
  </si>
  <si>
    <t>16.14.038</t>
  </si>
  <si>
    <t>16.14.039</t>
  </si>
  <si>
    <t>16.14.044</t>
  </si>
  <si>
    <t>16.14.048</t>
  </si>
  <si>
    <t>CONCRETO DOSADO BOMBEADO E LANCADO FCK=25 MPA</t>
  </si>
  <si>
    <t>16.14.049</t>
  </si>
  <si>
    <t>16.14.055</t>
  </si>
  <si>
    <t>16.14.099</t>
  </si>
  <si>
    <t>SERVICOS EM CONCRETO ARMADO - MUROS DE ARRIMO</t>
  </si>
  <si>
    <t>16.15.003</t>
  </si>
  <si>
    <t>VERGA / CINTA EM BLOCO DE CONCRETO CANALETA 14X19X39 CM</t>
  </si>
  <si>
    <t>16.15.004</t>
  </si>
  <si>
    <t>VERGA / CINTA EM BLOCO DE CONCRETO CANALETA 19X19X39 CM</t>
  </si>
  <si>
    <t>16.15.005</t>
  </si>
  <si>
    <t>ALVENARIA AUTO PORTANTE BLOCO DE CONCRETO ESTRUTURAL DE 14X19X39 CM CLASSE A</t>
  </si>
  <si>
    <t>16.15.006</t>
  </si>
  <si>
    <t>ALVENARIA AUTO PORTANTE BLOCO DE CONCRETO ESTRUTURAL DE 19X19X39 CM CLASSE A</t>
  </si>
  <si>
    <t>16.15.029</t>
  </si>
  <si>
    <t>IMPERMEAB COM ARGAM CIM/AREIA 1:3 COM HIDROFOGO</t>
  </si>
  <si>
    <t>16.15.030</t>
  </si>
  <si>
    <t>IMPERM COM TINTA BETUMINOSA / COM REG. EM ARGAMASSA CIM AREIA 1:3</t>
  </si>
  <si>
    <t>16.15.031</t>
  </si>
  <si>
    <t>IMPERMEABILIZACAO POR CRISTALIZACAO - MUROS DE ARRIMO</t>
  </si>
  <si>
    <t>16.15.034</t>
  </si>
  <si>
    <t>16.15.040</t>
  </si>
  <si>
    <t>DRENAGEM COM PEDRA BRITADA</t>
  </si>
  <si>
    <t>16.15.041</t>
  </si>
  <si>
    <t>DRENAGEM COM AREIA GROSSA</t>
  </si>
  <si>
    <t>16.15.049</t>
  </si>
  <si>
    <t>MURO EM GABIAO COM TELA GALVANIZADA 8/10CM - FIO DIAM 2,7MM</t>
  </si>
  <si>
    <t>16.15.099</t>
  </si>
  <si>
    <t>OUTROS SERVICOS - MUROS DE ARRIMO</t>
  </si>
  <si>
    <t>16.18.015</t>
  </si>
  <si>
    <t>16.18.020</t>
  </si>
  <si>
    <t>16.18.021</t>
  </si>
  <si>
    <t>16.18.022</t>
  </si>
  <si>
    <t>16.18.070</t>
  </si>
  <si>
    <t>SI-01 PLACA DE SINALIZAÇÃO DE AMBIENTE 200X200MM (PORTA)</t>
  </si>
  <si>
    <t>16.18.071</t>
  </si>
  <si>
    <t>SI-02 PLACA DE SINALIZAÇÃO DE AMBIENTE 200X200MM (PAREDE INTERNA)</t>
  </si>
  <si>
    <t>16.18.072</t>
  </si>
  <si>
    <t>SI-03 PLACA DE SINALIZAÇÃO DE AMBIENTE 200X200MM (PAREDE INTERNA)</t>
  </si>
  <si>
    <t>16.18.073</t>
  </si>
  <si>
    <t>SI-04 PLACA DE SINALIZAÇÃO DE AMBIENTE 700X200MM (PORTA)</t>
  </si>
  <si>
    <t>16.18.074</t>
  </si>
  <si>
    <t>SI-05 PLACA DE SINALIZAÇÃO DE AMBIENTE 700X200MM (PAREDE INTERNA)</t>
  </si>
  <si>
    <t>16.18.075</t>
  </si>
  <si>
    <t>SI-06 PLACA DE SINALIZAÇÃO DE AMBIENTE 700X200MM (PAREDE INTERNA)</t>
  </si>
  <si>
    <t>16.18.076</t>
  </si>
  <si>
    <t>SI-07 PLACA DE SINALIZAÇÃO DE AMBIENTE 500X60MM (PAREDE INTERNA) / BRAILLE</t>
  </si>
  <si>
    <t>16.18.077</t>
  </si>
  <si>
    <t>SI-08 PLACA DE SINALIZAÇÃO DE CORRIMÃO 30X30MM (METÁLICA/BRAILLE)</t>
  </si>
  <si>
    <t>16.18.078</t>
  </si>
  <si>
    <t>SI-09 PLACA DE SINALIZAÇÃO DE AMBIENTE 500X500MM (PAREDE EXTERNA)</t>
  </si>
  <si>
    <t>16.18.079</t>
  </si>
  <si>
    <t>SI-10 PLACA DE SINALIZAÇÃO DE AMBIENTE 500X700MM (PAREDE EXTERNA)</t>
  </si>
  <si>
    <t>16.18.080</t>
  </si>
  <si>
    <t>SI-11 SINALIZAÇÃO HORIZONTAL PARA VAGA ACESSIVEL</t>
  </si>
  <si>
    <t>16.18.081</t>
  </si>
  <si>
    <t>SI-12 TOTEM DE IDENTIFICAÇÃO</t>
  </si>
  <si>
    <t>16.18.082</t>
  </si>
  <si>
    <t>SI-13 SINALIZAÇÃO DE AMBIENTE 540X200MM PAREDE EXTERNA/PORTA</t>
  </si>
  <si>
    <t>16.18.083</t>
  </si>
  <si>
    <t>SI-14 SINALIZAÇÃO DE AMBIENTE 300X300MM PAREDE EXTERNA</t>
  </si>
  <si>
    <t>16.18.084</t>
  </si>
  <si>
    <t>SI-15 SINALIZAÇÃO DE AMBIENTE 200X200MM PAREDE EXTERNA</t>
  </si>
  <si>
    <t>16.18.085</t>
  </si>
  <si>
    <t>SI-16 SINALIZAÇÃO DE AMBIENTE 700X200MM PAREDE EXTERNA</t>
  </si>
  <si>
    <t>16.18.086</t>
  </si>
  <si>
    <t>SI-17 SINALIZAÇÃO DE AMBIENTE 200X200MM PAREDE EXTERNA</t>
  </si>
  <si>
    <t>16.18.099</t>
  </si>
  <si>
    <t>SERVICOS - CIVIL</t>
  </si>
  <si>
    <t>16.19.099</t>
  </si>
  <si>
    <t>SERVIÇOS - HIDRÁULICA</t>
  </si>
  <si>
    <t>16.20.022</t>
  </si>
  <si>
    <t>ELEVADOR 2 PARADAS MAQ CONJUGADA PORTA UNILATERAL (ACESSIB)</t>
  </si>
  <si>
    <t>16.20.023</t>
  </si>
  <si>
    <t>ELEVADOR 3 PARADAS MAQ CONJUGADA PORTA UNILATERAL (ACESSIB)</t>
  </si>
  <si>
    <t>16.20.024</t>
  </si>
  <si>
    <t>ELEVADOR 4 PARADAS MAQUINA CONJUGADA COM PORTAS UNILATERAIS</t>
  </si>
  <si>
    <t>16.20.025</t>
  </si>
  <si>
    <t>ELEVADOR 5 PARADAS MAQUINA CONJUGADA COM PORTAS BILATERAIS</t>
  </si>
  <si>
    <t>16.20.026</t>
  </si>
  <si>
    <t>ELEVADOR 5 PARADAS MAQUINA CONJUGADA COM PORTAS UNILATERAIS</t>
  </si>
  <si>
    <t>16.20.029</t>
  </si>
  <si>
    <t>ELEVADOR 4 PARADAS MAQUINA CONJUGADA COM PORTAS BILATERAIS</t>
  </si>
  <si>
    <t>16.20.033</t>
  </si>
  <si>
    <t>ELEVADOR 3 PARADAS MAQUINA CONJUGADA COM PORTAS BILATERAIS</t>
  </si>
  <si>
    <t>16.20.042</t>
  </si>
  <si>
    <t>MANUTENCAO INTEGRAL P/ ELEVADOR NOVO 2 PARADAS - MENSAL</t>
  </si>
  <si>
    <t>16.20.043</t>
  </si>
  <si>
    <t>MANUTENCAO INTEGRAL P/ ELEVADOR NOVO 3 PARADAS - MENSAL</t>
  </si>
  <si>
    <t>16.20.044</t>
  </si>
  <si>
    <t>MANUTENCAO INTEGRAL P/ ELEVADOR NOVO 4 PARADAS - MENSAL</t>
  </si>
  <si>
    <t>16.20.045</t>
  </si>
  <si>
    <t>MANUTENCAO INTEGRAL P/ ELEVADOR NOVO 5 PARADAS - MENSAL</t>
  </si>
  <si>
    <t>16.20.099</t>
  </si>
  <si>
    <t>SERVICOS - ELETRICA</t>
  </si>
  <si>
    <t>16.20.103</t>
  </si>
  <si>
    <t>ELETRODUTO GALV.QUENTE D=100 CABINE PRIMARIA NBR 5598 BSP RIR (INCL.CONEX.E FIXAÇOES EM POSTE)</t>
  </si>
  <si>
    <t>16.20.113</t>
  </si>
  <si>
    <t>ELETRODUTO CORRUGADO ESPIRAL ENTERRADO PEAD D=100 CABINE PRIMÁRIA NBR 13897</t>
  </si>
  <si>
    <t>16.30.010</t>
  </si>
  <si>
    <t>16.30.012</t>
  </si>
  <si>
    <t>16.30.013</t>
  </si>
  <si>
    <t>CANTEIRO DE OBRAS - LARG 3,30M</t>
  </si>
  <si>
    <t>16.30.016</t>
  </si>
  <si>
    <t>16.30.017</t>
  </si>
  <si>
    <t>16.31.018</t>
  </si>
  <si>
    <t>TAXA DE MOBILIZAÇÃO DE EQUIPAMENTO-ESTACA RAIZ</t>
  </si>
  <si>
    <t>16.31.024</t>
  </si>
  <si>
    <t>ESTACA REACAO PARA 20T CRAVADA ALEM 5,00M DE PROFUNDIDADE</t>
  </si>
  <si>
    <t>16.31.025</t>
  </si>
  <si>
    <t>ESTACA REACAO P/20T CRAVADA ATE 5,00 M DE PROFUNDIDADE</t>
  </si>
  <si>
    <t>16.31.026</t>
  </si>
  <si>
    <t>ESTACA REACAO PARA 30T CRAVADA ALEM 5,00M DE PROFUNDIDADE</t>
  </si>
  <si>
    <t>16.31.027</t>
  </si>
  <si>
    <t>ESTACA REACAO P/30T CRAVADA ATE 5,00M DE PROFUNDIDADE</t>
  </si>
  <si>
    <t>16.31.030</t>
  </si>
  <si>
    <t>REFORÇO DE FUNDAÇOES ESTACA RAIZ DN 160MM PERFURAÇÃO EM SOLO</t>
  </si>
  <si>
    <t>16.31.031</t>
  </si>
  <si>
    <t>REFORÇO DE FUNDAÇOES ESTACA RAIZ DN 200MM PERFURAÇÃO EM SOLO</t>
  </si>
  <si>
    <t>16.32.034</t>
  </si>
  <si>
    <t>JATEAMENTO ABRASIVO COM ÓXIDO DE ALUMÍNIO</t>
  </si>
  <si>
    <t>16.35.001</t>
  </si>
  <si>
    <t>DEFINICAO E DEMARCACAO DA AREA DE REPARO, COM DISCO DE CORTE</t>
  </si>
  <si>
    <t>16.35.002</t>
  </si>
  <si>
    <t>ESCARIFICACAO MANUAL (CORTE DE CONCRETO) ATE 3CM DE PROFUNDIDADE</t>
  </si>
  <si>
    <t>16.35.003</t>
  </si>
  <si>
    <t>ESCARIFICACAO COM DISCO DE DESBASTE ATE 0,5CM DE PROFUNDIDADE</t>
  </si>
  <si>
    <t>16.35.004</t>
  </si>
  <si>
    <t>ESCARIFICACAO MECANICA,CORTE DE CONCRETO ATE 3,0CM PROFUNDIDADE</t>
  </si>
  <si>
    <t>16.35.005</t>
  </si>
  <si>
    <t>DEMOLICAO C/MARTELETES PNEUMATICOS ATE 5,0CM DE PROFUNDIDADE</t>
  </si>
  <si>
    <t>16.35.006</t>
  </si>
  <si>
    <t>ESCARIFICACAO MECANICA,CORTE CONCRETO C/REBARBADORES ELETR ATE 5,0C</t>
  </si>
  <si>
    <t>16.35.007</t>
  </si>
  <si>
    <t>LIXAMENTO ELETRICO DE ARMADURA C/ESCOVA CIRCULAR</t>
  </si>
  <si>
    <t>16.35.008</t>
  </si>
  <si>
    <t>ESCOVAMENTO MANUAL</t>
  </si>
  <si>
    <t>16.35.009</t>
  </si>
  <si>
    <t>PISTOLA DE AGULHA</t>
  </si>
  <si>
    <t>16.35.011</t>
  </si>
  <si>
    <t>QUEIMA CONTROLADA</t>
  </si>
  <si>
    <t>16.35.012</t>
  </si>
  <si>
    <t>APLICACAO DE SOLVENTE EM SUBSTRATO IMPREGNADOS</t>
  </si>
  <si>
    <t>16.35.013</t>
  </si>
  <si>
    <t>FREZAMENTO MECANICO COM MAQUINA DE DESBASTE</t>
  </si>
  <si>
    <t>16.35.014</t>
  </si>
  <si>
    <t>LIMPEZA DO SUBSTRATO COM APLICACAO DE JATO DE AGUA FRIA</t>
  </si>
  <si>
    <t>16.35.015</t>
  </si>
  <si>
    <t>LIMPEZA DO SUBSTRATO COM APLICACAO DE JATO DE AGUA QUENTE</t>
  </si>
  <si>
    <t>16.35.016</t>
  </si>
  <si>
    <t>LIMPEZA DO SUBSTRATO, LAVAGEM COM SOLUCOES ACIDAS, PISOS E PAREDES</t>
  </si>
  <si>
    <t>16.35.017</t>
  </si>
  <si>
    <t>LIMPEZA DO SUBSTRATO,LAVAGEM COM SOLUCOES ALCALINAS,PISOS E PAREDES</t>
  </si>
  <si>
    <t>16.35.018</t>
  </si>
  <si>
    <t>LIMPEZA PARA REMOCAO DE OLEOS E GRAXAS IMPREGNADOS SUPERFICIALMENTE</t>
  </si>
  <si>
    <t>16.35.019</t>
  </si>
  <si>
    <t>LIMPEZA DO SUBSTRATO, COM JATO DE AR COMPRIMIDO</t>
  </si>
  <si>
    <t>16.35.020</t>
  </si>
  <si>
    <t>LIMPEZA DO SUBSTRATO COM UTILIZACAO DE SOLVENTE VOLATEIS</t>
  </si>
  <si>
    <t>16.35.021</t>
  </si>
  <si>
    <t>PREPARACAO DO SUBSTRATOS POR SATURACAO COM AGUA</t>
  </si>
  <si>
    <t>16.35.022</t>
  </si>
  <si>
    <t>PREPARACAO DO SUBSTRATO POR APICOAMENTO MANUAL DA SUPERFICIE</t>
  </si>
  <si>
    <t>16.36.001</t>
  </si>
  <si>
    <t>REPAROS SUPERF ARGAM MONOCOMP CIMENTO C/POLÍMEROS (1,0&lt;ESP&lt;3.0CM)</t>
  </si>
  <si>
    <t>16.36.002</t>
  </si>
  <si>
    <t>REPAROS SUPERF ARGAM BICOMP CIMENTO C/POLÍMERO ACRILICO (1,0&lt;ESP&lt;3.0C</t>
  </si>
  <si>
    <t>16.36.003</t>
  </si>
  <si>
    <t>REPAROS SUPERF ARGAM BICOMP CIMENTO C/POLÍMERO ACRILICO E FIBRA SINT (1,0&lt;ESP&lt;3,0CM)</t>
  </si>
  <si>
    <t>16.36.005</t>
  </si>
  <si>
    <t>REPAROS SUPERF LOCALIZ, ARGAM POLIMERICA BASE EPOXI (0,5&lt;ESP&lt;1,5CM)</t>
  </si>
  <si>
    <t>16.36.006</t>
  </si>
  <si>
    <t>REPAROS SUPERF LOCALIZ,ARGAM POLIMERICA BASE POLIESTER (0,5&lt;ESP&lt;1,5CM)</t>
  </si>
  <si>
    <t>16.37.001</t>
  </si>
  <si>
    <t>REPAROS SUPERF ARGAM MONOCOMP CIMENTO C/POLÍMEROS (1,0&lt;ESP&lt;5,0CM)</t>
  </si>
  <si>
    <t>16.37.002</t>
  </si>
  <si>
    <t>REPAROS SUPERF ARGAM BICOMP CIMENTO C/POLÍMERO ACRILICO (1,0&lt;ESP&lt;5,0C</t>
  </si>
  <si>
    <t>16.37.003</t>
  </si>
  <si>
    <t>16.37.005</t>
  </si>
  <si>
    <t>REPAROS SUPERF COM ARGAMASSA MONOCOMP CIMENTO C/POLÍMEROS PROJETADA (1,0&lt;ESP&lt;7,0CM)</t>
  </si>
  <si>
    <t>16.37.006</t>
  </si>
  <si>
    <t>REPAROS SUPERF COM ARGAM BICOMP CIMENTO C/POLÍMERO ACRILICO PROJETADA (1,0&lt;ESP&lt;7,0CM)</t>
  </si>
  <si>
    <t>16.37.007</t>
  </si>
  <si>
    <t>REPAROS SUPERF COM ARGAM BICOMP CIMENTO C/POLÍMERO ACRILICO E FIBRA SINT PROJETADA (1,0&lt;ESP&lt;7,0CM)</t>
  </si>
  <si>
    <t>16.37.009</t>
  </si>
  <si>
    <t>REPAROS SUPERF ESTUCAM CORRETIVO ARGAM MONOCOMP C/POLÍMEROS ESP&lt;5MM</t>
  </si>
  <si>
    <t>16.37.010</t>
  </si>
  <si>
    <t>REPAROS SUPERF ESTUCAM CORRETIVO ARGAM BICOMP CIMENTO C/POLÍMERO ACRILICO ESP&lt;5MM</t>
  </si>
  <si>
    <t>16.37.011</t>
  </si>
  <si>
    <t>REPAROS SUPERF ESTUCAM CORRETIVO ARGAM BICOMP CIMENTO C/POLÍMERO ACRILICO E FIBRA SINT ESP&lt;5MM</t>
  </si>
  <si>
    <t>16.38.001</t>
  </si>
  <si>
    <t>REPAROS DE JUNTAS C/ARGAM MONOCOMP CIMENTO C/POLÍMEROS</t>
  </si>
  <si>
    <t>16.38.002</t>
  </si>
  <si>
    <t>REPAROS DE JUNTAS C/ARGAM BICOMP CIMENTO C/POLÍMERO ACRILICO</t>
  </si>
  <si>
    <t>16.38.003</t>
  </si>
  <si>
    <t>REPAROS DE JUNTAS C/ARGAM BICOMP CIMENTO C/ POLÍMERO ACRILICO E FIBRA SINT</t>
  </si>
  <si>
    <t>16.38.005</t>
  </si>
  <si>
    <t>REPAROS EM JUNTAS, C/ARGAM BASE EPOXI P/ESP ATE 1,5CM</t>
  </si>
  <si>
    <t>16.38.006</t>
  </si>
  <si>
    <t>JUNTAS C/ELASTOMEROS POLISSULFETOS OU BOR SILICONE SEC TRANSV 2X2CM</t>
  </si>
  <si>
    <t>16.39.001</t>
  </si>
  <si>
    <t>REPAROS PROFUNDOS COM GRAUTE BASE CIMENTO (3,0&lt;ESP&lt;5,0CM)</t>
  </si>
  <si>
    <t>16.39.002</t>
  </si>
  <si>
    <t>REPAROS PROFUNDOS, MICROCONCRETO COM POLIMEROS (5,0&lt;ESP&lt;30,0CM)</t>
  </si>
  <si>
    <t>16.39.003</t>
  </si>
  <si>
    <t>REPAROS PROF EXEC C/ARGAM SECA DRY PACK ISENTA RETR(3,0&lt;ESP&lt;10,0CM)</t>
  </si>
  <si>
    <t>16.39.004</t>
  </si>
  <si>
    <t>FORMAS PARA REPAROS PROFUNDOS (ESP&gt;3,0CM)</t>
  </si>
  <si>
    <t>16.39.005</t>
  </si>
  <si>
    <t>APLICACAO DE MEMBRANA DE CURA QUIMICA EM REPAROS ESTRUTURAIS</t>
  </si>
  <si>
    <t>16.40.001</t>
  </si>
  <si>
    <t>PROTECAO DE ARMADURAS COM TINTA DE ALTO TEOR DE ZINCO</t>
  </si>
  <si>
    <t>16.40.002</t>
  </si>
  <si>
    <t>ARGAMASSA OU CONCRETO DE REPARO COM INIBIDORES DE CORROSAO</t>
  </si>
  <si>
    <t>16.41.001</t>
  </si>
  <si>
    <t>EMENDA POR TRASPASSE, PARA RECONSTITUICAO DA SECAO DA ARMADURA</t>
  </si>
  <si>
    <t>16.41.002</t>
  </si>
  <si>
    <t>EMENDAS POR SOLDA DE TOPO, P/RECONSTITUICAO DA SECAO DA ARMADURA</t>
  </si>
  <si>
    <t>16.42.001</t>
  </si>
  <si>
    <t>REPARO ESTRUTURAL POR INJECAO RESINA BASE EPOXI EM FISSURAS 0,3A9,0MM</t>
  </si>
  <si>
    <t>16.42.002</t>
  </si>
  <si>
    <t>16.42.003</t>
  </si>
  <si>
    <t>REPARO ESTR VIGAS LAJES PILARES C/APLIC GRAUTE BASE EPOXI VAOS 35A70MM</t>
  </si>
  <si>
    <t>16.42.004</t>
  </si>
  <si>
    <t>TRATAMENTO DE MICRO FISSURAS POR SILICATACAO OU FLUORSILICATACAO</t>
  </si>
  <si>
    <t>16.43.001</t>
  </si>
  <si>
    <t>FUROS EM CONCRETO COM D=1" E PROFUNDIDADE 5CM</t>
  </si>
  <si>
    <t>16.43.002</t>
  </si>
  <si>
    <t>FUROS EM CONCRETO COM D=1" E PROFUNDIDADE 15CM</t>
  </si>
  <si>
    <t>16.43.003</t>
  </si>
  <si>
    <t>FUROS EM CONCRETO COM D=1" E PROFUNDIDADE 30CM</t>
  </si>
  <si>
    <t>16.43.004</t>
  </si>
  <si>
    <t>FUROS EM CONCRETO COM D=3/4" E PROFUNDIDADE 5CM</t>
  </si>
  <si>
    <t>16.43.005</t>
  </si>
  <si>
    <t>FUROS EM CONCRETO COM D=3/4" E PROFUNDIDADE 15CM</t>
  </si>
  <si>
    <t>16.43.006</t>
  </si>
  <si>
    <t>FUROS EM CONCRETO COM D=3/4" E PROFUNDIDADE 30CM</t>
  </si>
  <si>
    <t>16.43.007</t>
  </si>
  <si>
    <t>FUROS EM CONCRETO COM D=1/2" E PROFUNDIDADE 5CM</t>
  </si>
  <si>
    <t>16.43.008</t>
  </si>
  <si>
    <t>FUROS EM CONCRETO COM D=1/2" E PROFUNDIDADE 15CM</t>
  </si>
  <si>
    <t>16.43.009</t>
  </si>
  <si>
    <t>FUROS EM CONCRETO COM D=1/2" E PROFUNDIDADE 30CM</t>
  </si>
  <si>
    <t>16.43.010</t>
  </si>
  <si>
    <t>FUROS EM CONCRETO COM D=3/8" E PROFUNDIDADE 5CM</t>
  </si>
  <si>
    <t>16.43.011</t>
  </si>
  <si>
    <t>FUROS EM CONCRETO COM D=3/8" E PROFUNDIDADE 15CM</t>
  </si>
  <si>
    <t>16.43.012</t>
  </si>
  <si>
    <t>FUROS EM CONCRETO COM D=3/8" E PROFUNDIDADE 30CM</t>
  </si>
  <si>
    <t>16.43.013</t>
  </si>
  <si>
    <t>16.43.014</t>
  </si>
  <si>
    <t>16.43.015</t>
  </si>
  <si>
    <t>16.43.016</t>
  </si>
  <si>
    <t>16.43.017</t>
  </si>
  <si>
    <t>16.43.020</t>
  </si>
  <si>
    <t>TAXA DE MOBILIZAÇÃO EQUIP. FUROS EM CONCRETO</t>
  </si>
  <si>
    <t>16.43.099</t>
  </si>
  <si>
    <t>SERVIÇOS DE FUROS EM CONCRETO</t>
  </si>
  <si>
    <t>16.44.001</t>
  </si>
  <si>
    <t>FORNECIMENTO E COLOCACAO DE CHUMBADORES QUIMICOS D=3/4"</t>
  </si>
  <si>
    <t>16.44.002</t>
  </si>
  <si>
    <t>FORNECIMENTO E COLOCACAO DE CHUMBADORES QUIMICOS D=1/2"</t>
  </si>
  <si>
    <t>16.44.003</t>
  </si>
  <si>
    <t>FORNECIMENTO E COLOCACAO DE CHUMBADORES QUIMICOS D=3/8"</t>
  </si>
  <si>
    <t>16.44.099</t>
  </si>
  <si>
    <t>SERVIÇOS DE FORNECIMENTO E COLOCACAO DE CHUMBADORES QUIMICOS</t>
  </si>
  <si>
    <t>16.45.001</t>
  </si>
  <si>
    <t>FORNECIMENTO E COLOCACAO DE CHUMBADORES EXPANSIVEIS D=3/4"</t>
  </si>
  <si>
    <t>16.45.002</t>
  </si>
  <si>
    <t>FORNECIMENTO E COLOCACAO DE CHUMBADORES EXPANSIVEIS D=1/2"</t>
  </si>
  <si>
    <t>16.45.003</t>
  </si>
  <si>
    <t>FORNECIMENTO E COLOCACAO DE CHUMBADORES EXPANSIVEIS D=3/8"</t>
  </si>
  <si>
    <t>16.45.010</t>
  </si>
  <si>
    <t>PINOS WALSIWA PARA FIXACAO DE ARMADURAS</t>
  </si>
  <si>
    <t>16.46.001</t>
  </si>
  <si>
    <t>ANCORAGEM DE BARRAS DE ACO, COM RESINA BASE DE POLIESTER</t>
  </si>
  <si>
    <t>16.46.002</t>
  </si>
  <si>
    <t>ANCORAGEM DE BARRAS DE ACO COM RESINA BASE EPOXI</t>
  </si>
  <si>
    <t>16.47.001</t>
  </si>
  <si>
    <t>PREPARACAO DE PONTE DE ADERENCIA COM ADESIVO ACRILICO</t>
  </si>
  <si>
    <t>16.47.002</t>
  </si>
  <si>
    <t>PREPARACAO DE PONTE DE ADERENCIA COM ADESIVO BASE EPOXI</t>
  </si>
  <si>
    <t>16.48.001</t>
  </si>
  <si>
    <t>LIXAMENTO MANUAL</t>
  </si>
  <si>
    <t>16.48.002</t>
  </si>
  <si>
    <t>LIXAMENTO GROSSO OU FINO COM LIXADEIRA ELETRICA</t>
  </si>
  <si>
    <t>16.48.003</t>
  </si>
  <si>
    <t>APLICACAO MANUAL DE ESTUQUE E PREPARO DE PASTA</t>
  </si>
  <si>
    <t>16.48.004</t>
  </si>
  <si>
    <t>POLIMENTO DO ESTUQUE, LIXAMENTO MANUAL</t>
  </si>
  <si>
    <t>16.48.005</t>
  </si>
  <si>
    <t>APLICACAO PINTURA HIDROFUGANTE UMA DEMAO,SILICONE BASE AGUA</t>
  </si>
  <si>
    <t>16.48.006</t>
  </si>
  <si>
    <t>APLICACAO PINTURA HIDROFUGANTE EM DUAS DEMAOS,SILICONE BASE SOLVENTE</t>
  </si>
  <si>
    <t>16.48.007</t>
  </si>
  <si>
    <t>APLICAÇAO PINTURA HIDROF. DUAS DEMAOS, SILOXANO OLIGOMERICO BASE SOLVENTE</t>
  </si>
  <si>
    <t>16.48.008</t>
  </si>
  <si>
    <t>APLICAÇAO PINTURA HIDROF. DUAS DEMAOS, SILOXANO POLIMERICO BASE SOLVENTE</t>
  </si>
  <si>
    <t>16.48.009</t>
  </si>
  <si>
    <t>APLICACAO PINTURA IMPERM DUAS DEMAOS VERNIZ EPOXI BICOMPONENTE</t>
  </si>
  <si>
    <t>16.48.010</t>
  </si>
  <si>
    <t>16.48.011</t>
  </si>
  <si>
    <t>APLICACAO PINTURA IMPERM DUAS DEMAOS VERNIZ POLIUR ALIF MONOCOMPONENTE</t>
  </si>
  <si>
    <t>16.48.012</t>
  </si>
  <si>
    <t>APLICACAO PINTURA IMPERM DUAS DEMAOS VERNIZ ACRILICO BASE SOLVENTE</t>
  </si>
  <si>
    <t>16.48.013</t>
  </si>
  <si>
    <t>APLICACAO PINTURA IMPERM PRIMER DUAS DEMAOS VERNIZ ACRILICO BASE AGUA</t>
  </si>
  <si>
    <t>16.48.014</t>
  </si>
  <si>
    <t>APLICACAO PINTURA IMPERM DUAS DEMAOS,BORRACHA CLORADA BASE SOLVENTE</t>
  </si>
  <si>
    <t>16.48.015</t>
  </si>
  <si>
    <t>APLICACAO PINTURA IMPERM DUAS DEMAOS SITEMA DUPLO EPOXI POLIURETANO</t>
  </si>
  <si>
    <t>16.48.016</t>
  </si>
  <si>
    <t>APLICACAO PINTURA IMPERM DUAS DEMAOS SISTEMA DUPLO SILANO SILOXANO</t>
  </si>
  <si>
    <t>16.48.031</t>
  </si>
  <si>
    <t>PREPARACAO SUPERF C/ JATEAMENTO ABRAS PAD SA 2X1/2" APLIC FUNDO PRIMER</t>
  </si>
  <si>
    <t>16.48.035</t>
  </si>
  <si>
    <t>PINTURA INTUMESCENTE P/ REVESTIMENTO CONTRA FOGO EM ESTR METALICA</t>
  </si>
  <si>
    <t>16.48.040</t>
  </si>
  <si>
    <t>ARGAMASSA PROJETADA P/ REVESTIMENTO CONTRA FOGO EM ESTR METALICA</t>
  </si>
  <si>
    <t>16.49.001</t>
  </si>
  <si>
    <t>16.50.001</t>
  </si>
  <si>
    <t>DEMOLIÇÃO DE TUBO DE F.G. P/ SUST DE TELA ALAMBR INCL BASE FIXAÇÃO</t>
  </si>
  <si>
    <t>16.50.002</t>
  </si>
  <si>
    <t>DEMOLIÇÃO DE TELA DE ARAME GALVANIZADO</t>
  </si>
  <si>
    <t>16.50.010</t>
  </si>
  <si>
    <t>DEMOLICAO DE PISO DE CONCRETO SIMPLES CAPEADO</t>
  </si>
  <si>
    <t>16.50.015</t>
  </si>
  <si>
    <t>DEMOLICAO DE PISO DE CONCRETO COM RETRO ESCAVADEIRA</t>
  </si>
  <si>
    <t>16.50.099</t>
  </si>
  <si>
    <t>16.80.002</t>
  </si>
  <si>
    <t>TELA DE ARAME GALVANIZADO N.10 MALHA 2"</t>
  </si>
  <si>
    <t>16.80.006</t>
  </si>
  <si>
    <t>FERRO TRABALHADO (GRADIL)</t>
  </si>
  <si>
    <t>16.80.007</t>
  </si>
  <si>
    <t>PINGADEIRA PARA MUROS DE ALVENARIA</t>
  </si>
  <si>
    <t>16.80.008</t>
  </si>
  <si>
    <t>QUADRA DE ESPORTES - PISO DE CONCRETO NAO ARMADO</t>
  </si>
  <si>
    <t>16.80.009</t>
  </si>
  <si>
    <t>QUADRA DE ESPORTES - PISO DE CONCRETO ARMADO</t>
  </si>
  <si>
    <t>16.80.010</t>
  </si>
  <si>
    <t>TELA DE ARAME GALVANIZADO N.12 MALHA 2"</t>
  </si>
  <si>
    <t>16.80.012</t>
  </si>
  <si>
    <t>TUBO DE F.G. 2" P/ SUSTENT TELA DE ALAMBRADO EXCL BASE-MONTANTE</t>
  </si>
  <si>
    <t>16.80.013</t>
  </si>
  <si>
    <t>PISO DE CONCRETO DESEMPENADO C/ REQUADRO 1.80CM E=6CM</t>
  </si>
  <si>
    <t>16.80.014</t>
  </si>
  <si>
    <t>16.80.015</t>
  </si>
  <si>
    <t>16.80.016</t>
  </si>
  <si>
    <t>16.80.017</t>
  </si>
  <si>
    <t>16.80.018</t>
  </si>
  <si>
    <t>16.80.019</t>
  </si>
  <si>
    <t>16.80.022</t>
  </si>
  <si>
    <t>CESTO PARA TABELA DE BASQUETE</t>
  </si>
  <si>
    <t>16.80.023</t>
  </si>
  <si>
    <t>16.80.024</t>
  </si>
  <si>
    <t>16.80.025</t>
  </si>
  <si>
    <t>TUBO DE F.G. 1 1/4" P/ SUSTENT.TELA DE ALAMBRADO EXCL BASE-TRAVAMENTO</t>
  </si>
  <si>
    <t>16.80.026</t>
  </si>
  <si>
    <t>TRELIÇA METÁLICA GALV. A FOGO P/TABELA DE BASQUETE MOD.QE-37 A QE-40</t>
  </si>
  <si>
    <t>16.80.031</t>
  </si>
  <si>
    <t>16.80.070</t>
  </si>
  <si>
    <t>SUMIDOURO - COROAMENTO, INCLUSIVE ESCAVACAO</t>
  </si>
  <si>
    <t>16.80.071</t>
  </si>
  <si>
    <t>SUMIDOURO - ESCAVACAO</t>
  </si>
  <si>
    <t>16.80.072</t>
  </si>
  <si>
    <t>SUMIDOURO - BRITA</t>
  </si>
  <si>
    <t>16.80.084</t>
  </si>
  <si>
    <t>DUTO COLETOR DE ENTULHO - LOCAÇÃO MENSAL</t>
  </si>
  <si>
    <t>16.80.086</t>
  </si>
  <si>
    <t>16.80.087</t>
  </si>
  <si>
    <t>16.80.088</t>
  </si>
  <si>
    <t>16.80.089</t>
  </si>
  <si>
    <t>LIMPEZA DE CAIXA D'AGUA ATE 1000 LITROS</t>
  </si>
  <si>
    <t>16.80.090</t>
  </si>
  <si>
    <t>LIMPEZA DE CAIXAS D'AGUA ATE 10.000 LITROS</t>
  </si>
  <si>
    <t>16.80.091</t>
  </si>
  <si>
    <t>LIMPEZA DE CAIXAS D'AGUA ACIMA DE 10.000 LITROS</t>
  </si>
  <si>
    <t>16.80.092</t>
  </si>
  <si>
    <t>LIMPEZA DE CAIXILHOS METALICOS</t>
  </si>
  <si>
    <t>16.80.093</t>
  </si>
  <si>
    <t>LIMPEZA DE CAIXA DE INSPECAO</t>
  </si>
  <si>
    <t>16.80.094</t>
  </si>
  <si>
    <t>LIMPEZA DE FOSSA SEPTICA</t>
  </si>
  <si>
    <t>16.80.095</t>
  </si>
  <si>
    <t>LIMPEZA DE SUMIDOURO POR VIAGEM DE 7 M3</t>
  </si>
  <si>
    <t>16.80.097</t>
  </si>
  <si>
    <t>CAÇAMBA DE 4M3 PARA RETIRADA DE ENTULHO</t>
  </si>
  <si>
    <t>16.80.098</t>
  </si>
  <si>
    <t>RETIRADA DE ENTULHO</t>
  </si>
  <si>
    <t>16.80.099</t>
  </si>
  <si>
    <t>SERVICOS COMPLEMENTARES - CONSERVACAO</t>
  </si>
  <si>
    <t>16.80.100</t>
  </si>
  <si>
    <t>16.80.104</t>
  </si>
  <si>
    <t>16.85.048</t>
  </si>
  <si>
    <t>LAJE DE PROTECAO DE 2,00X2,00 M</t>
  </si>
  <si>
    <t>16.85.049</t>
  </si>
  <si>
    <t>ABRIGO DE POCO EM ALVENARIA DE 1,00X1,00X0,60 M C/ TAMPA METALICA</t>
  </si>
  <si>
    <t>16.85.060</t>
  </si>
  <si>
    <t>CJ MOTOR BOMBA SUBMERSO 1HP EXTR 700 A 2000 L/H A M 120 A 80MCA</t>
  </si>
  <si>
    <t>16.85.061</t>
  </si>
  <si>
    <t>CJ MOTOR BOMBA SUBMERSO 1,5HP EXTR 1700 A 2600 L/H A M 140 A 80 MCA</t>
  </si>
  <si>
    <t>16.85.062</t>
  </si>
  <si>
    <t>CJ MOTOR BOMBA SUBMERSO 2HP EXTR 2200 A 4000 L/H A M 160 A 100MCA</t>
  </si>
  <si>
    <t>16.85.063</t>
  </si>
  <si>
    <t>CJ MOTOR BOMBA SUBMERSO 3HP EXTR 2600 A 4900 L/H A M 160 A 100MCA</t>
  </si>
  <si>
    <t>16.85.064</t>
  </si>
  <si>
    <t>CJ MOTOR BOMBA SUBMERSO 5HP EXTR 3000 A 5700 L/H A M 180 A 100MCA</t>
  </si>
  <si>
    <t>16.85.080</t>
  </si>
  <si>
    <t>16.85.081</t>
  </si>
  <si>
    <t>16.85.082</t>
  </si>
  <si>
    <t>16.85.083</t>
  </si>
  <si>
    <t>16.85.084</t>
  </si>
  <si>
    <t>16.85.085</t>
  </si>
  <si>
    <t>16.85.099</t>
  </si>
  <si>
    <t>SERVIÇOS POÇO TUBULAR PROFUNDO - CONSERVACAO</t>
  </si>
  <si>
    <t>TUBO DE PVC PARA REDE COLETORA DE ESGOTO DE PAREDE MACIÇA, DN 100 MM, JUNTA ELÁSTICA - FORNECIMENTO E ASSENTAMENTO. AF_01/2021</t>
  </si>
  <si>
    <t>TUBO DE PVC PARA REDE COLETORA DE ESGOTO DE PAREDE MACIÇA, DN 200 MM, JUNTA ELÁSTICA - FORNECIMENTO E ASSENTAMENTO. AF_01/2021</t>
  </si>
  <si>
    <t>TUBO DE PVC CORRUGADO DE DUPLA PAREDE PARA REDE COLETORA DE ESGOTO, DN 150 MM, JUNTA ELÁSTICA - FORNECIMENTO E ASSENTAMENTO. AF_01/2021</t>
  </si>
  <si>
    <t>TUBO DE PVC CORRUGADO DE DUPLA PAREDE PARA REDE COLETORA DE ESGOTO, DN 200 MM, JUNTA ELÁSTICA - FORNECIMENTO E ASSENTAMENTO. AF_01/2021</t>
  </si>
  <si>
    <t>TUBO DE PVC CORRUGADO DE DUPLA PAREDE PARA REDE COLETORA DE ESGOTO, DN 250 MM, JUNTA ELÁSTICA - FORNECIMENTO E ASSENTAMENTO. AF_01/2021</t>
  </si>
  <si>
    <t>TUBO DE PVC CORRUGADO DE DUPLA PAREDE PARA REDE COLETORA DE ESGOTO, DN 300 MM, JUNTA ELÁSTICA - FORNECIMENTO E ASSENTAMENTO. AF_01/2021</t>
  </si>
  <si>
    <t>TUBO DE PVC CORRUGADO DE DUPLA PAREDE PARA REDE COLETORA DE ESGOTO, DN 350 MM, JUNTA ELÁSTICA - FORNECIMENTO E ASSENTAMENTO. AF_01/2021</t>
  </si>
  <si>
    <t>TUBO DE PVC CORRUGADO DE DUPLA PAREDE PARA REDE COLETORA DE ESGOTO, DN 400 MM, JUNTA ELÁSTICA - FORNECIMENTO E ASSENTAMENTO. AF_01/2021</t>
  </si>
  <si>
    <t>TUBO DE PEAD CORRUGADO DE DUPLA PAREDE PARA REDE COLETORA DE ESGOTO, DN 600 MM, JUNTA ELÁSTICA INTEGRADA - FORNECIMENTO E ASSENTAMENTO. AF_01/2021</t>
  </si>
  <si>
    <t>JUNTA ARGAMASSADA ENTRE TUBO DN 100 MM E O POÇO DE VISITA/ CAIXA DE CONCRETO OU ALVENARIA EM REDES DE ESGOTO. AF_01/2021</t>
  </si>
  <si>
    <t>JUNTA ARGAMASSADA ENTRE TUBO DN 150 MM E O POÇO DE VISITA/ CAIXA DE CONCRETO OU ALVENARIA EM REDES DE ESGOTO. AF_01/2021</t>
  </si>
  <si>
    <t>JUNTA ARGAMASSADA ENTRE TUBO DN 200 MM E O POÇO/ CAIXA DE CONCRETO OU ALVENARIA EM REDES DE ESGOTO. AF_01/2021</t>
  </si>
  <si>
    <t>JUNTA ARGAMASSADA ENTRE TUBO DN 250 MM E O POÇO DE VISITA/ CAIXA DE CONCRETO OU ALVENARIA EM REDES DE ESGOTO. AF_01/2021</t>
  </si>
  <si>
    <t>JUNTA ARGAMASSADA ENTRE TUBO DN 300 MM E O POÇO DE VISITA/ CAIXA DE CONCRETO OU ALVENARIA EM REDES DE ESGOTO. AF_01/2021</t>
  </si>
  <si>
    <t>JUNTA ARGAMASSADA ENTRE TUBO DN 350 MM E O POÇO DE VISITA/ CAIXA DE CONCRETO OU ALVENARIA EM REDES DE ESGOTO. AF_01/2021</t>
  </si>
  <si>
    <t>JUNTA ARGAMASSADA ENTRE TUBO DN 400 MM E O POÇO DE VISITA/ CAIXA DE CONCRETO OU ALVENARIA EM REDES DE ESGOTO. AF_01/2021</t>
  </si>
  <si>
    <t>JUNTA ARGAMASSADA ENTRE TUBO DN 450 MM E O POÇO DE VISITA/ CAIXA DE CONCRETO OU ALVENARIA EM REDES DE ESGOTO. AF_01/2021</t>
  </si>
  <si>
    <t>JUNTA ARGAMASSADA ENTRE TUBO DN 600 MM E O POÇO DE VISITA/ CAIXA DE CONCRETO OU ALVENARIA EM REDES DE ESGOTO. AF_01/2021</t>
  </si>
  <si>
    <t>ASSENTAMENTO DE TUBO DE PVC PARA REDE COLETORA DE ESGOTO DE PAREDE MACIÇA, DN 100 MM, JUNTA ELÁSTICA (NÃO INCLUI FORNECIMENTO). AF_01/2021</t>
  </si>
  <si>
    <t>ASSENTAMENTO DE TUBO DE PVC PARA REDE COLETORA DE ESGOTO DE PAREDE MACIÇA, DN 200 MM, JUNTA ELÁSTICA (NÃO INCLUI FORNECIMENTO). AF_01/2021</t>
  </si>
  <si>
    <t>ASSENTAMENTO DE TUBO DE PVC PARA REDE COLETORA DE ESGOTO DE PAREDE MACIÇA, DN 250 MM, JUNTA ELÁSTICA (NÃO INCLUI FORNECIMENTO). AF_01/2021</t>
  </si>
  <si>
    <t>ASSENTAMENTO DE TUBO DE PVC PARA REDE COLETORA DE ESGOTO DE PAREDE MACIÇA, DN 350 MM, JUNTA ELÁSTICA (NÃO INCLUI FORNECIMENTO). AF_01/2021</t>
  </si>
  <si>
    <t>ASSENTAMENTO DE TUBO DE PVC PARA REDE COLETORA DE ESGOTO DE PAREDE MACIÇA, DN 400 MM, JUNTA ELÁSTICA (NÃO INCLUI FORNECIMENTO). AF_01/2021</t>
  </si>
  <si>
    <t>ASSENTAMENTO DE TUBO DE PVC CORRUGADO DE DUPLA PAREDE PARA REDE COLETORA DE ESGOTO, DN 150 MM, JUNTA ELÁSTICA (NÃO INCLUI FORNECIMENTO). AF_01/2021</t>
  </si>
  <si>
    <t>ASSENTAMENTO DE TUBO DE PVC CORRUGADO DE DUPLA PAREDE PARA REDE COLETORA DE ESGOTO, DN 200 MM, JUNTA ELÁSTICA (NÃO INCLUI FORNECIMENTO). AF_01/2021</t>
  </si>
  <si>
    <t>ASSENTAMENTO DE TUBO DE PVC CORRUGADO DE DUPLA PAREDE PARA REDE COLETORA DE ESGOTO, DN 250 MM, JUNTA ELÁSTICA (NÃO INCLUI FORNECIMENTO). AF_01/2021</t>
  </si>
  <si>
    <t>ASSENTAMENTO DE TUBO DE PVC CORRUGADO DE DUPLA PAREDE PARA REDE COLETORA DE ESGOTO, DN 300 MM, JUNTA ELÁSTICA (NÃO INCLUI FORNECIMENTO). AF_01/2021</t>
  </si>
  <si>
    <t>ASSENTAMENTO DE TUBO DE PVC CORRUGADO DE DUPLA PAREDE PARA REDE COLETORA DE ESGOTO, DN 350 MM, JUNTA ELÁSTICA (NÃO INCLUI FORNECIMENTO). AF_01/2021</t>
  </si>
  <si>
    <t>ASSENTAMENTO DE TUBO DE PEAD CORRUGADO DE DUPLA PAREDE PARA REDE COLETORA DE ESGOTO, DN 450 MM, JUNTA ELÁSTICA INTEGRADA (NÃO INCLUI FORNECIMENTO). AF_01/2021</t>
  </si>
  <si>
    <t>ASSENTAMENTO DE TUBO DE PEAD CORRUGADO DE DUPLA PAREDE PARA REDE COLETORA DE ESGOTO, DN 600 MM, JUNTA ELÁSTICA INTEGRADA (NÃO INCLUI FORNECIMENTO). AF_01/2021</t>
  </si>
  <si>
    <t>TUBO DE PEAD CORRUGADO DE DUPLA PAREDE PARA REDE COLETORA DE ESGOTO, DN 250 MM, JUNTA ELÁSTICA INTEGRADA - FORNECIMENTO E ASSENTAMENTO. AF_01/2021</t>
  </si>
  <si>
    <t>ASSENTAMENTO DE TUBO DE PEAD CORRUGADO DE DUPLA PAREDE PARA REDE COLETORA DE ESGOTO, DN 250 MM, JUNTA ELÁSTICA INTEGRADA (NÃO INCLUI FORNECIMENTO). AF_01/2021</t>
  </si>
  <si>
    <t>TUBO DE PEAD CORRUGADO DE DUPLA PAREDE PARA REDE COLETORA DE ESGOTO, DN 300 MM, JUNTA ELÁSTICA INTEGRADA - FORNECIMENTO E ASSENTAMENTO. AF_01/2021</t>
  </si>
  <si>
    <t>TUBO DE PEAD CORRUGADO DE DUPLA PAREDE PARA REDE COLETORA DE ESGOTO, DN 800 MM, JUNTA ELÁSTICA INTEGRADA - FORNECIMENTO E ASSENTAMENTO. AF_01/2021</t>
  </si>
  <si>
    <t>ASSENTAMENTO DE TUBO DE PEAD CORRUGADO DE DUPLA PAREDE PARA REDE COLETORA DE ESGOTO, DN 900 MM, JUNTA ELÁSTICA INTEGRADA (NÃO INCLUI FORNECIMENTO). AF_01/2021</t>
  </si>
  <si>
    <t>TUBO DE PEAD CORRUGADO DE DUPLA PAREDE PARA REDE COLETORA DE ESGOTO, DN 1000 MM, JUNTA ELÁSTICA INTEGRADA - FORNECIMENTO E ASSENTAMENTO. AF_01/2021</t>
  </si>
  <si>
    <t>ASSENTAMENTO DE TUBO DE PEAD CORRUGADO DE DUPLA PAREDE PARA REDE COLETORA DE ESGOTO, DN 1000 MM, JUNTA ELÁSTICA INTEGRADA (NÃO INCLUI FORNECIMENTO). AF_01/2021</t>
  </si>
  <si>
    <t>TUBO DE PEAD CORRUGADO DE DUPLA PAREDE PARA REDE COLETORA DE ESGOTO, DN 1200 MM, JUNTA ELÁSTICA INTEGRADA - FORNECIMENTO E ASSENTAMENTO. AF_01/2021</t>
  </si>
  <si>
    <t>ASSENTAMENTO DE TUBO DE PEAD CORRUGADO DE DUPLA PAREDE PARA REDE COLETORA DE ESGOTO, DN 1200 MM, JUNTA ELÁSTICA INTEGRADA (NÃO INCLUI FORNECIMENTO). AF_01/2021</t>
  </si>
  <si>
    <t>ASSENTAMENTO DE TUBO DE PEAD CORRUGADO DE DUPLA PAREDE PARA REDE COLETORA DE ESGOTO, DN 1500 MM, JUNTA ELÁSTICA INTEGRADA (NÃO INCLUI FORNECIMENTO). AF_01/2021</t>
  </si>
  <si>
    <t>TUBO DE PVC BRANCO PARA REDE COLETORA DE ESGOTO CONDOMINIAL DE PAREDE MACIÇA, DN 100 MM, JUNTA ELÁSTICA - FORNECIMENTO E ASSENTAMENTO. AF_01/2021</t>
  </si>
  <si>
    <t>JUNTA ARGAMASSADA ENTRE TUBO DN 800 MM E O POÇO DE VISITA/ CAIXA DE CONCRETO OU ALVENARIA EM REDES DE ESGOTO. AF_01/2021</t>
  </si>
  <si>
    <t>JUNTA ARGAMASSADA ENTRE TUBO DN 900 MM E O POÇO DE VISITA/ CAIXA DE CONCRETO OU ALVENARIA EM REDES DE ESGOTO. AF_01/2021</t>
  </si>
  <si>
    <t>JUNTA ARGAMASSADA ENTRE TUBO DN 1000 MM E O POÇO DE VISITA/ CAIXA DE CONCRETO OU ALVENARIA EM REDES DE ESGOTO. AF_01/2021</t>
  </si>
  <si>
    <t>JUNTA ARGAMASSADA ENTRE TUBO DN 1200 MM E O POÇO DE VISITA/ CAIXA DE CONCRETO OU ALVENARIA EM REDES DE ESGOTO. AF_01/2021</t>
  </si>
  <si>
    <t>JUNTA ARGAMASSADA ENTRE TUBO DN 1500 MM E O POÇO DE VISITA/ CAIXA DE CONCRETO OU ALVENARIA EM REDES DE ESGOTO. AF_01/2021</t>
  </si>
  <si>
    <t>ASSENTAMENTO DE TUBO DE FERRO FUNDIDO PARA REDE DE ÁGUA, DN 80 MM, JUNTA FLANGEADA (NÃO INCLUI O FORNECIMENTO). AF_09/2021</t>
  </si>
  <si>
    <t>ASSENTAMENTO DE TUBO DE FERRO FUNDIDO PARA REDE DE ÁGUA, DN 100 MM, JUNTA FLANGEADA (NÃO INCLUI O FORNECIMENTO). AF_09/2021</t>
  </si>
  <si>
    <t>ASSENTAMENTO DE TUBO DE FERRO FUNDIDO PARA REDE DE ÁGUA, DN 150 MM, JUNTA FLANGEADA (NÃO INCLUI O FORNECIMENTO). AF_09/2021</t>
  </si>
  <si>
    <t>ASSENTAMENTO DE TUBO DE FERRO FUNDIDO PARA REDE DE ÁGUA, DN 200 MM, JUNTA FLANGEADA (NÃO INCLUI O FORNECIMENTO). AF_09/2021</t>
  </si>
  <si>
    <t>ASSENTAMENTO DE TUBO DE FERRO FUNDIDO PARA REDE DE ÁGUA, DN 250 MM, JUNTA FLANGEADA (NÃO INCLUI O FORNECIMENTO). AF_09/2021</t>
  </si>
  <si>
    <t>ASSENTAMENTO DE TUBO DE FERRO FUNDIDO PARA REDE DE ÁGUA, DN 300 MM, JUNTA FLANGEADA (NÃO INCLUI O FORNECIMENTO). AF_09/2021</t>
  </si>
  <si>
    <t>ASSENTAMENTO DE TUBO DE FERRO FUNDIDO PARA REDE DE ÁGUA, DN 350 MM, JUNTA FLANGEADA (NÃO INCLUI O FORNECIMENTO). AF_09/2021</t>
  </si>
  <si>
    <t>ASSENTAMENTO DE TUBO DE FERRO FUNDIDO PARA REDE DE ÁGUA, DN 400 MM, JUNTA FLANGEADA (NÃO INCLUI O FORNECIMENTO). AF_09/2021</t>
  </si>
  <si>
    <t>ASSENTAMENTO DE TUBO DE FERRO FUNDIDO PARA REDE DE ÁGUA, DN 450 MM, JUNTA FLANGEADA (NÃO INCLUI O FORNECIMENTO). AF_09/2021</t>
  </si>
  <si>
    <t>ASSENTAMENTO DE TUBO DE FERRO FUNDIDO PARA REDE DE ÁGUA, DN 500 MM, JUNTA FLANGEADA (NÃO INCLUI O FORNECIMENTO). AF_09/2021</t>
  </si>
  <si>
    <t>ASSENTAMENTO DE TUBO DE FERRO FUNDIDO PARA REDE DE ÁGUA, DN 600 MM, JUNTA FLANGEADA (NÃO INCLUI O FORNECIMENTO). AF_09/2021</t>
  </si>
  <si>
    <t>ASSENTAMENTO DE TUBO DE FERRO FUNDIDO PARA REDE DE ÁGUA, DN 700 MM, JUNTA FLANGEADA (NÃO INCLUI O FORNECIMENTO). AF_09/2021</t>
  </si>
  <si>
    <t>ASSENTAMENTO DE TUBO DE FERRO FUNDIDO PARA REDE DE ÁGUA, DN 800 MM, JUNTA FLANGEADA (NÃO INCLUI O FORNECIMENTO). AF_09/2021</t>
  </si>
  <si>
    <t>ASSENTAMENTO DE TUBO DE FERRO FUNDIDO PARA REDE DE ÁGUA, DN 900 MM, JUNTA FLANGEADA (NÃO INCLUI O FORNECIMENTO). AF_09/2021</t>
  </si>
  <si>
    <t>ASSENTAMENTO DE TUBO DE FERRO FUNDIDO PARA REDE DE ÁGUA, DN 1000 MM, JUNTA FLANGEADA (NÃO INCLUI O FORNECIMENTO). AF_09/2021</t>
  </si>
  <si>
    <t>ASSENTAMENTO DE TUBO DE FERRO FUNDIDO PARA REDE DE ÁGUA, DN 1200 MM, JUNTA FLANGEADA (NÃO INCLUI O FORNECIMENTO). AF_09/2021</t>
  </si>
  <si>
    <t>TUBO PEAD LISO PARA REDE DE ÁGUA OU ESGOTO, DIÂMETRO DE 20 MM, JUNTA SOLDADA (NÃO INCLUI A EXECUÇÃO DE SOLDA) - FORNECIMENTO E ASSENTAMENTO. AF_12/2021</t>
  </si>
  <si>
    <t>TUBO PEAD LISO PARA REDE DE ÁGUA OU ESGOTO, DIÂMETRO DE 32 MM, JUNTA SOLDADA (NÃO INCLUI A EXECUÇÃO DE SOLDA) - FORNECIMENTO E ASSENTAMENTO. AF_12/2021</t>
  </si>
  <si>
    <t>TUBO PEAD LISO PARA REDE DE ÁGUA OU ESGOTO, DIÂMETRO DE 110 MM, JUNTA SOLDADA (NÃO INCLUI A EXECUÇÃO DE SOLDA) - FORNECIMENTO E ASSENTAMENTO. AF_12/2021</t>
  </si>
  <si>
    <t>TUBO PEAD LISO PARA REDE DE ÁGUA OU ESGOTO, DIÂMETRO DE 160 MM, JUNTA SOLDADA (NÃO INCLUI A EXECUÇÃO DE SOLDA) - FORNECIMENTO E ASSENTAMENTO. AF_12/2021</t>
  </si>
  <si>
    <t>TUBO PEAD LISO PARA REDE DE ÁGUA OU ESGOTO, DIÂMETRO DE 200 MM, JUNTA SOLDADA (NÃO INCLUI A EXECUÇÃO DE SOLDA) - FORNECIMENTO E ASSENTAMENTO. AF_12/2021</t>
  </si>
  <si>
    <t>TUBO PEAD LISO PARA REDE DE ÁGUA OU ESGOTO, DIÂMETRO DE 315 MM, JUNTA SOLDADA (NÃO INCLUI A EXECUÇÃO DE SOLDA) - FORNECIMENTO E ASSENTAMENTO. AF_12/2021</t>
  </si>
  <si>
    <t>TUBO PEAD LISO PARA REDE DE ÁGUA OU ESGOTO, DIÂMETRO DE 400 MM, JUNTA SOLDADA (NÃO INCLUI A EXECUÇÃO DE SOLDA) - FORNECIMENTO E ASSENTAMENTO. AF_12/2021</t>
  </si>
  <si>
    <t>TUBO PEAD LISO PARA REDE DE ÁGUA OU ESGOTO, DIÂMETRO DE 500 MM, JUNTA SOLDADA (NÃO INCLUI A EXECUÇÃO DE SOLDA) - FORNECIMENTO E ASSENTAMENTO. AF_12/2021</t>
  </si>
  <si>
    <t>TUBO PEAD LISO PARA REDE DE ÁGUA OU ESGOTO, DIÂMETRO DE 630 MM, JUNTA SOLDADA (NÃO INCLUI A EXECUÇÃO DE SOLDA) - FORNECIMENTO E ASSENTAMENTO. AF_12/2021</t>
  </si>
  <si>
    <t>TUBO PEAD LISO PARA REDE DE ÁGUA OU ESGOTO, DIÂMETRO DE 800 MM, JUNTA SOLDADA (NÃO INCLUI A EXECUÇÃO DE SOLDA) - FORNECIMENTO E ASSENTAMENTO. AF_12/2021</t>
  </si>
  <si>
    <t>TUBO PEAD LISO PARA REDE DE ÁGUA OU ESGOTO, DIÂMETRO DE 900 MM, JUNTA SOLDADA (NÃO INCLUI A EXECUÇÃO DE SOLDA) - FORNECIMENTO E ASSENTAMENTO. AF_12/2021</t>
  </si>
  <si>
    <t>TUBO PEAD LISO PARA REDE DE ÁGUA OU ESGOTO, DIÂMETRO DE 1000 MM, JUNTA SOLDADA (NÃO INCLUI A EXECUÇÃO DE SOLDA) - FORNECIMENTO E ASSENTAMENTO. AF_12/2021</t>
  </si>
  <si>
    <t>ASSENTAMENTO DE CONEXÃO COM 2 ACESSOS, EM PEAD LISO PARA REDE DE ÁGUA OU ESGOTO, DIÂMETRO DE 20 MM, JUNTA SOLDADA (NÃO INCLUI O FORNECIMENTO E EXECUÇÃO DE SOLDA). AF_12/2021</t>
  </si>
  <si>
    <t>ASSENTAMENTO DE CONEXÃO COM 2 ACESSOS, EM PEAD LISO PARA REDE DE ÁGUA OU ESGOTO, DIÂMETRO DE 32 MM, JUNTA SOLDADA (NÃO INCLUI O FORNECIMENTO E EXECUÇÃO DE SOLDA). AF_12/2021</t>
  </si>
  <si>
    <t>ASSENTAMENTO DE CONEXÃO COM 2 ACESSOS, EM PEAD LISO PARA REDE DE ÁGUA OU ESGOTO, DIÂMETRO DE 63 MM, JUNTA SOLDADA (NÃO INCLUI O FORNECIMENTO E EXECUÇÃO DE SOLDA). AF_12/2021</t>
  </si>
  <si>
    <t>ASSENTAMENTO DE CONEXÃO COM 2 ACESSOS, EM PEAD LISO PARA REDE DE ÁGUA OU ESGOTO, DIÂMETRO DE 90 MM, JUNTA SOLDADA (NÃO INCLUI O FORNECIMENTO E EXECUÇÃO DE SOLDA). AF_12/2021</t>
  </si>
  <si>
    <t>ASSENTAMENTO DE CONEXÃO COM 2 ACESSOS, EM PEAD LISO PARA REDE DE ÁGUA OU ESGOTO, DIÂMETRO DE 110 MM, JUNTA SOLDADA (NÃO INCLUI O FORNECIMENTO E EXECUÇÃO DE SOLDA). AF_12/2021</t>
  </si>
  <si>
    <t>ASSENTAMENTO DE CONEXÃO COM 2 ACESSOS, EM PEAD LISO PARA REDE DE ÁGUA OU ESGOTO, DIÂMETRO DE 160 MM, JUNTA SOLDADA (NÃO INCLUI O FORNECIMENTO E EXECUÇÃO DE SOLDA). AF_12/2021</t>
  </si>
  <si>
    <t>ASSENTAMENTO DE CONEXÃO COM 2 ACESSOS, EM PEAD LISO PARA REDE DE ÁGUA OU ESGOTO, DIÂMETRO DE 180 MM, JUNTA SOLDADA (NÃO INCLUI O FORNECIMENTO E EXECUÇÃO DE SOLDA). AF_12/2021</t>
  </si>
  <si>
    <t>ASSENTAMENTO DE CONEXÃO COM 2 ACESSOS, EM PEAD LISO PARA REDE DE ÁGUA OU ESGOTO, DIÂMETRO DE 200 MM, JUNTA SOLDADA (NÃO INCLUI O FORNECIMENTO E EXECUÇÃO DE SOLDA). AF_12/2021</t>
  </si>
  <si>
    <t>ASSENTAMENTO DE CONEXÃO COM 2 ACESSOS, EM PEAD LISO PARA REDE DE ÁGUA OU ESGOTO, DIÂMETRO DE 225 MM, JUNTA SOLDADA (NÃO INCLUI O FORNECIMENTO E EXECUÇÃO DE SOLDA). AF_12/2021</t>
  </si>
  <si>
    <t>ASSENTAMENTO DE CONEXÃO COM 2 ACESSOS, EM PEAD LISO PARA REDE DE ÁGUA OU ESGOTO, DIÂMETRO DE 250 MM, JUNTA SOLDADA (NÃO INCLUI O FORNECIMENTO E EXECUÇÃO DE SOLDA). AF_12/2021</t>
  </si>
  <si>
    <t>ASSENTAMENTO DE CONEXÃO COM 2 ACESSOS, EM PEAD LISO PARA REDE DE ÁGUA OU ESGOTO, DIÂMETRO DE 280 MM, JUNTA SOLDADA (NÃO INCLUI O FORNECIMENTO E EXECUÇÃO DE SOLDA). AF_12/2021</t>
  </si>
  <si>
    <t>ASSENTAMENTO DE CONEXÃO COM 2 ACESSOS, EM PEAD LISO PARA REDE DE ÁGUA OU ESGOTO, DIÂMETRO DE 315 MM, JUNTA SOLDADA (NÃO INCLUI O FORNECIMENTO E EXECUÇÃO DE SOLDA). AF_12/2021</t>
  </si>
  <si>
    <t>ASSENTAMENTO DE CONEXÃO COM 2 ACESSOS, EM PEAD LISO PARA REDE DE ÁGUA OU ESGOTO, DIÂMETRO DE 355 MM, JUNTA SOLDADA (NÃO INCLUI O FORNECIMENTO E EXECUÇÃO DE SOLDA). AF_12/2021</t>
  </si>
  <si>
    <t>ASSENTAMENTO DE CONEXÃO COM 2 ACESSOS, EM PEAD LISO PARA REDE DE ÁGUA OU ESGOTO, DIÂMETRO DE 400 MM, JUNTA SOLDADA (NÃO INCLUI O FORNECIMENTO E EXECUÇÃO DE SOLDA). AF_12/2021</t>
  </si>
  <si>
    <t>ASSENTAMENTO DE CONEXÃO COM 3 ACESSOS, EM PEAD LISO PARA REDE DE ÁGUA OU ESGOTO, DIÂMETRO DE 20 MM, JUNTA SOLDADA (NÃO INCLUI O FORNECIMENTO E EXECUÇÃO DE SOLDA). AF_12/2021</t>
  </si>
  <si>
    <t>ASSENTAMENTO DE CONEXÃO COM 3 ACESSOS, EM PEAD LISO PARA REDE DE ÁGUA OU ESGOTO, DIÂMETRO DE 32 MM, JUNTA SOLDADA (NÃO INCLUI O FORNECIMENTO E EXECUÇÃO DE SOLDA). AF_12/2021</t>
  </si>
  <si>
    <t>ASSENTAMENTO DE CONEXÃO COM 3 ACESSOS, EM PEAD LISO PARA REDE DE ÁGUA OU ESGOTO, DIÂMETRO DE 63 MM, JUNTA SOLDADA (NÃO INCLUI O FORNECIMENTO E EXECUÇÃO DE SOLDA). AF_12/2021</t>
  </si>
  <si>
    <t>ASSENTAMENTO DE CONEXÃO COM 3 ACESSOS, EM PEAD LISO PARA REDE DE ÁGUA OU ESGOTO, DIÂMETRO DE 90 MM, JUNTA SOLDADA (NÃO INCLUI O FORNECIMENTO E EXECUÇÃO DE SOLDA). AF_12/2021</t>
  </si>
  <si>
    <t>ASSENTAMENTO DE CONEXÃO COM 3 ACESSOS, EM PEAD LISO PARA REDE DE ÁGUA OU ESGOTO, DIÂMETRO DE 110 MM, JUNTA SOLDADA (NÃO INCLUI O FORNECIMENTO E EXECUÇÃO DE SOLDA). AF_12/2021</t>
  </si>
  <si>
    <t>ASSENTAMENTO DE CONEXÃO COM 3 ACESSOS, EM PEAD LISO PARA REDE DE ÁGUA OU ESGOTO, DIÂMETRO DE 160 MM, JUNTA SOLDADA (NÃO INCLUI O FORNECIMENTO E EXECUÇÃO DE SOLDA). AF_12/2021</t>
  </si>
  <si>
    <t>ASSENTAMENTO DE CONEXÃO COM 3 ACESSOS, EM PEAD LISO PARA REDE DE ÁGUA OU ESGOTO, DIÂMETRO DE 180 MM, JUNTA SOLDADA (NÃO INCLUI O FORNECIMENTO E EXECUÇÃO DE SOLDA). AF_12/2021</t>
  </si>
  <si>
    <t>ASSENTAMENTO DE CONEXÃO COM 3 ACESSOS, EM PEAD LISO PARA REDE DE ÁGUA OU ESGOTO, DIÂMETRO DE 200 MM, JUNTA SOLDADA (NÃO INCLUI O FORNECIMENTO E EXECUÇÃO DE SOLDA). AF_12/2021</t>
  </si>
  <si>
    <t>ASSENTAMENTO DE CONEXÃO COM 3 ACESSOS, EM PEAD LISO PARA REDE DE ÁGUA OU ESGOTO, DIÂMETRO DE 225 MM, JUNTA SOLDADA (NÃO INCLUI O FORNECIMENTO E EXECUÇÃO DE SOLDA). AF_12/2021</t>
  </si>
  <si>
    <t>ASSENTAMENTO DE CONEXÃO COM 3 ACESSOS, EM PEAD LISO PARA REDE DE ÁGUA OU ESGOTO, DIÂMETRO DE 250 MM, JUNTA SOLDADA (NÃO INCLUI O FORNECIMENTO E EXECUÇÃO DE SOLDA). AF_12/2021</t>
  </si>
  <si>
    <t>ASSENTAMENTO DE CONEXÃO COM 3 ACESSOS, EM PEAD LISO PARA REDE DE ÁGUA OU ESGOTO, DIÂMETRO DE 280 MM, JUNTA SOLDADA (NÃO INCLUI O FORNECIMENTO E EXECUÇÃO DE SOLDA). AF_12/2021</t>
  </si>
  <si>
    <t>ASSENTAMENTO DE CONEXÃO COM 3 ACESSOS, EM PEAD LISO PARA REDE DE ÁGUA OU ESGOTO, DIÂMETRO DE 315 MM, JUNTA SOLDADA (NÃO INCLUI O FORNECIMENTO E EXECUÇÃO DE SOLDA). AF_12/2021</t>
  </si>
  <si>
    <t>ASSENTAMENTO DE CONEXÃO COM 3 ACESSOS, EM PEAD LISO PARA REDE DE ÁGUA OU ESGOTO, DIÂMETRO DE 355 MM, JUNTA SOLDADA (NÃO INCLUI O FORNECIMENTO E EXECUÇÃO DE SOLDA). AF_12/2021</t>
  </si>
  <si>
    <t>ASSENTAMENTO DE CONEXÃO COM 3 ACESSOS, EM PEAD LISO PARA REDE DE ÁGUA OU ESGOTO, DIÂMETRO DE 400 MM, JUNTA SOLDADA (NÃO INCLUI O FORNECIMENTO E EXECUÇÃO DE SOLDA). AF_12/2021</t>
  </si>
  <si>
    <t>LUVA, EM PEAD LISO PARA REDE DE ÁGUA OU ESGOTO, DIÂMETRO DE 20 MM, JUNTA SOLDADA POR ELETROFUSÃO (NÃO INCLUI A EXECUÇÃO DE SOLDA). AF_12/2021</t>
  </si>
  <si>
    <t>LUVA, EM PEAD LISO PARA REDE DE ÁGUA OU ESGOTO, DIÂMETRO DE 32 MM, JUNTA SOLDADA POR ELETROFUSÃO (NÃO INCLUI A EXECUÇÃO DE SOLDA). AF_12/2021</t>
  </si>
  <si>
    <t>LUVA, EM PEAD LISO PARA REDE DE ÁGUA OU ESGOTO, DIÂMETRO DE 63 MM, JUNTA SOLDADA POR ELETROFUSÃO (NÃO INCLUI A EXECUÇÃO DE SOLDA). AF_12/2021</t>
  </si>
  <si>
    <t>LUVA, EM PEAD LISO PARA REDE DE ÁGUA OU ESGOTO, DIÂMETRO DE 200 MM, JUNTA SOLDADA POR ELETROFUSÃO (NÃO INCLUI A EXECUÇÃO DE SOLDA). AF_12/2021</t>
  </si>
  <si>
    <t>LUVA, EM PEAD LISO PARA REDE DE ÁGUA OU ESGOTO, DIÂMETRO DE 400 MM, JUNTA SOLDADA POR ELETROFUSÃO (NÃO INCLUI A EXECUÇÃO DE SOLDA). AF_12/2021</t>
  </si>
  <si>
    <t>COTOVELO 45 GRAUS, EM PEAD LISO PARA REDE DE ÁGUA OU ESGOTO, DIÂMETRO DE 32 MM, JUNTA SOLDADA POR ELETROFUSÃO (NÃO INCLUI A EXECUÇÃO DE SOLDA). AF_12/2021</t>
  </si>
  <si>
    <t>COTOVELO 45 GRAUS, EM PEAD LISO PARA REDE DE ÁGUA OU ESGOTO, DIÂMETRO DE 63 MM, JUNTA SOLDADA POR ELETROFUSÃO (NÃO INCLUI A EXECUÇÃO DE SOLDA). AF_12/2021</t>
  </si>
  <si>
    <t>COTOVELO 45 GRAUS, EM PEAD LISO PARA REDE DE ÁGUA OU ESGOTO, DIÂMETRO DE 200 MM, JUNTA SOLDADA POR ELETROFUSÃO (NÃO INCLUI A EXECUÇÃO DE SOLDA). AF_12/2021</t>
  </si>
  <si>
    <t>COTOVELO 90 GRAUS, EM PEAD LISO PARA REDE DE ÁGUA OU ESGOTO, DIÂMETRO DE 20 MM, JUNTA SOLDADA POR ELETROFUSÃO (NÃO INCLUI A EXECUÇÃO DE SOLDA). AF_12/2021</t>
  </si>
  <si>
    <t>COTOVELO 90 GRAUS, EM PEAD LISO PARA REDE DE ÁGUA OU ESGOTO, DIÂMETRO DE 32 MM, JUNTA SOLDADA POR ELETROFUSÃO (NÃO INCLUI A EXECUÇÃO DE SOLDA). AF_12/2021</t>
  </si>
  <si>
    <t>COTOVELO 90 GRAUS, EM PEAD LISO PARA REDE DE ÁGUA OU ESGOTO, DIÂMETRO DE 63 MM, JUNTA SOLDADA POR ELETROFUSÃO (NÃO INCLUI A EXECUÇÃO DE SOLDA). AF_12/2021</t>
  </si>
  <si>
    <t>COTOVELO 90 GRAUS, POLIETILENO DE ALTA DENSIDADE (PEAD) PARA REDE DE ÁGUA OU ESGOTO, DIÂMETRO DE 200 MM, JUNTA SOLDADA POR ELETROFUSÃO (NÃO INCLUI A EXECUÇÃO DE SOLDA). AF_12/2021</t>
  </si>
  <si>
    <t>TÊ DE SERVIÇO, EM PEAD LISO PARA REDE DE ÁGUA OU ESGOTO, DIÂMETRO DE 63 X 20 MM, JUNTA SOLDADA POR ELETROFUSÃO (NÃO INCLUI A EXECUÇÃO DE SOLDA). AF_12/2021</t>
  </si>
  <si>
    <t>TÊ DE SERVIÇO, EM PEAD LISO PARA REDE DE ÁGUA OU ESGOTO, DIÂMETRO DE 63 X 32 MM, JUNTA SOLDADA POR ELETROFUSÃO (NÃO INCLUI A EXECUÇÃO DE SOLDA). AF_12/2021</t>
  </si>
  <si>
    <t>TÊ DE SERVIÇO, EM PEAD LISO PARA REDE DE ÁGUA OU ESGOTO, DIÂMETRO DE 63 X 63 MM, JUNTA SOLDADA POR ELETROFUSÃO (NÃO INCLUI A EXECUÇÃO DE SOLDA). AF_12/2021</t>
  </si>
  <si>
    <t>TÊ DE SERVIÇO, EM PEAD LISO PARA REDE DE ÁGUA OU ESGOTO, DIÂMETRO DE 200 X 20 MM, JUNTA SOLDADA POR ELETROFUSÃO (NÃO INCLUI A EXECUÇÃO DE SOLDA). AF_12/2021</t>
  </si>
  <si>
    <t>TÊ DE SERVIÇO, EM PEAD LISO PARA REDE DE ÁGUA OU ESGOTO, DIÂMETRO DE 200 X 32 MM, JUNTA SOLDADA POR ELETROFUSÃO (NÃO INCLUI A EXECUÇÃO DE SOLDA). AF_12/2021</t>
  </si>
  <si>
    <t>TÊ DE SERVIÇO, EM PEAD LISO PARA REDE DE ÁGUA OU ESGOTO, DIÂMETRO DE 200 X 63 MM, JUNTA SOLDADA POR ELETROFUSÃO (NÃO INCLUI A EXECUÇÃO DE SOLDA). AF_12/2021</t>
  </si>
  <si>
    <t>ESCAVADEIRA HIDRÁULICA SOBRE ESTEIRAS, CAÇAMBA 0,80 M3, PESO OPERACIONAL 17 T, POTENCIA BRUTA 111 HP - CHP DIURNO. AF_06/2014</t>
  </si>
  <si>
    <t>CHP</t>
  </si>
  <si>
    <t>RETROESCAVADEIRA SOBRE RODAS COM CARREGADEIRA, TRAÇÃO 4X4, POTÊNCIA LÍQ. 88 HP, CAÇAMBA CARREG. CAP. MÍN. 1 M3, CAÇAMBA RETRO CAP. 0,26 M3, PESO OPERACIONAL MÍN. 6.674 KG, PROFUNDIDADE ESCAVAÇÃO MÁX. 4,37 M - CHP DIURNO. AF_06/2014</t>
  </si>
  <si>
    <t>RETROESCAVADEIRA SOBRE RODAS COM CARREGADEIRA, TRAÇÃO 4X2, POTÊNCIA LÍQ. 79 HP, CAÇAMBA CARREG. CAP. MÍN. 1 M3, CAÇAMBA RETRO CAP. 0,20 M3, PESO OPERACIONAL MÍN. 6.570 KG, PROFUNDIDADE ESCAVAÇÃO MÁX. 4,37 M - CHP DIURNO. AF_06/2014</t>
  </si>
  <si>
    <t>ROLO COMPACTADOR VIBRATÓRIO DE UM CILINDRO AÇO LISO, POTÊNCIA 80 HP, PESO OPERACIONAL MÁXIMO 8,1 T, IMPACTO DINÂMICO 16,15 / 9,5 T, LARGURA DE TRABALHO 1,68 M - CHP DIURNO. AF_06/2014</t>
  </si>
  <si>
    <t>GRADE DE DISCO CONTROLE REMOTO REBOCÁVEL, COM 24 DISCOS 24 X 6 MM COM PNEUS PARA TRANSPORTE - CHP DIURNO. AF_06/2014</t>
  </si>
  <si>
    <t>MARTELETE OU ROMPEDOR PNEUMÁTICO MANUAL, 28 KG, COM SILENCIADOR - CHP DIURNO. AF_07/2016</t>
  </si>
  <si>
    <t>CAMINHÃO BASCULANTE 6 M3, PESO BRUTO TOTAL 16.000 KG, CARGA ÚTIL MÁXIMA 13.071 KG, DISTÂNCIA ENTRE EIXOS 4,80 M, POTÊNCIA 230 CV INCLUSIVE CAÇAMBA METÁLICA - CHP DIURNO. AF_06/2014</t>
  </si>
  <si>
    <t>USINA DE CONCRETO FIXA, CAPACIDADE NOMINAL DE 90 A 120 M3/H, SEM SILO - CHP DIURNO. AF_07/2016</t>
  </si>
  <si>
    <t>CAMINHÃO TOCO, PBT 16.000 KG, CARGA ÚTIL MÁX. 10.685 KG, DIST. ENTRE EIXOS 4,8 M, POTÊNCIA 189 CV, INCLUSIVE CARROCERIA FIXA ABERTA DE MADEIRA P/ TRANSPORTE GERAL DE CARGA SECA, DIMEN. APROX. 2,5 X 7,00 X 0,50 M - CHP DIURNO. AF_06/2014</t>
  </si>
  <si>
    <t>VIBROACABADORA DE ASFALTO SOBRE ESTEIRAS, LARGURA DE PAVIMENTAÇÃO 1,90 M A 5,30 M, POTÊNCIA 105 HP CAPACIDADE 450 T/H - CHP DIURNO. AF_11/2014</t>
  </si>
  <si>
    <t>VASSOURA MECÂNICA REBOCÁVEL COM ESCOVA CILÍNDRICA, LARGURA ÚTIL DE VARRIMENTO DE 2,44 M - CHP DIURNO. AF_06/2014</t>
  </si>
  <si>
    <t>TRATOR DE PNEUS, POTÊNCIA 122 CV, TRAÇÃO 4X4, PESO COM LASTRO DE 4.510 KG - CHP DIURNO. AF_06/2014</t>
  </si>
  <si>
    <t>TRATOR DE ESTEIRAS, POTÊNCIA 170 HP, PESO OPERACIONAL 19 T, CAÇAMBA 5,2 M3 - CHP DIURNO. AF_06/2014</t>
  </si>
  <si>
    <t>TRATOR DE ESTEIRAS, POTÊNCIA 150 HP, PESO OPERACIONAL 16,7 T, COM RODA MOTRIZ ELEVADA E LÂMINA 3,18 M3 - CHP DIURNO. AF_06/2014</t>
  </si>
  <si>
    <t>TRATOR DE ESTEIRAS, POTÊNCIA 347 HP, PESO OPERACIONAL 38,5 T, COM LÂMINA 8,70 M3 - CHP DIURNO. AF_06/2014</t>
  </si>
  <si>
    <t>ROLO COMPACTADOR VIBRATÓRIO REBOCÁVEL, CILINDRO DE AÇO LISO, POTÊNCIA DE TRAÇÃO DE 65 CV, PESO 4,7 T, IMPACTO DINÂMICO 18,3 T, LARGURA DE TRABALHO 1,67 M - CHP DIURNO. AF_02/2016</t>
  </si>
  <si>
    <t>ROLO COMPACTADOR VIBRATÓRIO TANDEM AÇO LISO, POTÊNCIA 58 HP, PESO SEM/COM LASTRO 6,5 / 9,4 T, LARGURA DE TRABALHO 1,2 M - CHP DIURNO. AF_06/2014</t>
  </si>
  <si>
    <t>RETROESCAVADEIRA SOBRE RODAS COM CARREGADEIRA, TRAÇÃO 4X4, POTÊNCIA LÍQ. 72 HP, CAÇAMBA CARREG. CAP. MÍN. 0,79 M3, CAÇAMBA RETRO CAP. 0,18 M3, PESO OPERACIONAL MÍN. 7.140 KG, PROFUNDIDADE ESCAVAÇÃO MÁX. 4,50 M - CHP DIURNO. AF_06/2014</t>
  </si>
  <si>
    <t>ROLO COMPACTADOR VIBRATÓRIO PÉ DE CARNEIRO, OPERADO POR CONTROLE REMOTO, POTÊNCIA 12,5 KW, PESO OPERACIONAL 1,675 T, LARGURA DE TRABALHO 0,85 M - CHP DIURNO. AF_02/2016</t>
  </si>
  <si>
    <t>CAMINHÃO TOCO, PESO BRUTO TOTAL 14.300 KG, CARGA ÚTIL MÁXIMA 9590 KG, DISTÂNCIA ENTRE EIXOS 4,76 M, POTÊNCIA 185 CV (NÃO INCLUI CARROCERIA) - CHP DIURNO. AF_06/2014</t>
  </si>
  <si>
    <t>CAMINHÃO TOCO, PESO BRUTO TOTAL 16.000 KG, CARGA ÚTIL MÁXIMA DE 10.685 KG, DISTÂNCIA ENTRE EIXOS 4,80 M, POTÊNCIA 189 CV EXCLUSIVE CARROCERIA - CHP DIURNO. AF_06/2014</t>
  </si>
  <si>
    <t>CAMINHÃO PIPA 10.000 L TRUCADO, PESO BRUTO TOTAL 23.000 KG, CARGA ÚTIL MÁXIMA 15.935 KG, DISTÂNCIA ENTRE EIXOS 4,8 M, POTÊNCIA 230 CV, INCLUSIVE TANQUE DE AÇO PARA TRANSPORTE DE ÁGUA - CHP DIURNO. AF_06/2014</t>
  </si>
  <si>
    <t>ESPARGIDOR DE ASFALTO PRESSURIZADO COM TANQUE DE 2500 L, REBOCÁVEL COM MOTOR A GASOLINA POTÊNCIA 3,4 HP - CHP DIURNO. AF_07/2014</t>
  </si>
  <si>
    <t>GRADE DE DISCO REBOCÁVEL COM 20 DISCOS 24" X 6 MM COM PNEUS PARA TRANSPORTE - CHP DIURNO. AF_06/2014</t>
  </si>
  <si>
    <t>GUINDAUTO HIDRÁULICO, CAPACIDADE MÁXIMA DE CARGA 6200 KG, MOMENTO MÁXIMO DE CARGA 11,7 TM, ALCANCE MÁXIMO HORIZONTAL 9,70 M, INCLUSIVE CAMINHÃO TOCO PBT 16.000 KG, POTÊNCIA DE 189 CV - CHP DIURNO. AF_06/2014</t>
  </si>
  <si>
    <t>MOTONIVELADORA POTÊNCIA BÁSICA LÍQUIDA (PRIMEIRA MARCHA) 125 HP, PESO BRUTO 13032 KG, LARGURA DA LÂMINA DE 3,7 M - CHP DIURNO. AF_06/2014</t>
  </si>
  <si>
    <t>PÁ CARREGADEIRA SOBRE RODAS, POTÊNCIA LÍQUIDA 128 HP, CAPACIDADE DA CAÇAMBA 1,7 A 2,8 M3, PESO OPERACIONAL 11632 KG - CHP DIURNO. AF_06/2014</t>
  </si>
  <si>
    <t>PÁ CARREGADEIRA SOBRE RODAS, POTÊNCIA 197 HP, CAPACIDADE DA CAÇAMBA 2,5 A 3,5 M3, PESO OPERACIONAL 18338 KG - CHP DIURNO. AF_06/2014</t>
  </si>
  <si>
    <t>COMPRESSOR DE AR REBOCÁVEL, VAZÃO 189 PCM, PRESSÃO EFETIVA DE TRABALHO 102 PSI, MOTOR DIESEL, POTÊNCIA 63 CV - CHP DIURNO. AF_06/2015</t>
  </si>
  <si>
    <t>CAMINHÃO PIPA 6.000 L, PESO BRUTO TOTAL 13.000 KG, DISTÂNCIA ENTRE EIXOS 4,80 M, POTÊNCIA 189 CV INCLUSIVE TANQUE DE AÇO PARA TRANSPORTE DE ÁGUA, CAPACIDADE 6 M3 - CHP DIURNO. AF_06/2014</t>
  </si>
  <si>
    <t>ROLO COMPACTADOR DE PNEUS ESTÁTICO, PRESSÃO VARIÁVEL, POTÊNCIA 111 HP, PESO SEM/COM LASTRO 9,5 / 26 T, LARGURA DE TRABALHO 1,90 M - CHP DIURNO. AF_07/2014</t>
  </si>
  <si>
    <t>TANQUE DE ASFALTO ESTACIONÁRIO COM SERPENTINA, CAPACIDADE 30.000 L - CHP DIURNO. AF_05/2023</t>
  </si>
  <si>
    <t>MOTOBOMBA TRASH (PARA ÁGUA SUJA) AUTO ESCORVANTE, MOTOR GASOLINA DE 6,41 HP, DIÂMETROS DE SUCÇÃO X RECALQUE: 3" X 3", HM/Q = 10 MCA / 60 M3/H A 23 MCA / 0 M3/H - CHP DIURNO. AF_10/2014</t>
  </si>
  <si>
    <t>ROLO COMPACTADOR PE DE CARNEIRO VIBRATORIO, POTENCIA 125 HP, PESO OPERACIONAL SEM/COM LASTRO 11,95 / 13,30 T, IMPACTO DINAMICO 38,5 / 22,5 T, LARGURA DE TRABALHO 2,15 M - CHP DIURNO. AF_06/2014</t>
  </si>
  <si>
    <t>CAMINHÃO BASCULANTE 6 M3 TOCO, PESO BRUTO TOTAL 16.000 KG, CARGA ÚTIL MÁXIMA 11.130 KG, DISTÂNCIA ENTRE EIXOS 5,36 M, POTÊNCIA 185 CV, INCLUSIVE CAÇAMBA METÁLICA - CHP DIURNO. AF_06/2014</t>
  </si>
  <si>
    <t>GRUPO GERADOR ESTACIONÁRIO, MOTOR DIESEL POTÊNCIA 170 KVA - CHP DIURNO. AF_02/2016</t>
  </si>
  <si>
    <t>ROLO COMPACTADOR VIBRATÓRIO PÉ DE CARNEIRO PARA SOLOS, POTÊNCIA 80 HP, PESO OPERACIONAL SEM/COM LASTRO 7,4 / 8,8 T, LARGURA DE TRABALHO 1,68 M - CHP DIURNO. AF_02/2016</t>
  </si>
  <si>
    <t>CAMINHÃO TOCO, PBT 14.300 KG, CARGA ÚTIL MÁX. 9.710 KG, DIST. ENTRE EIXOS 3,56 M, POTÊNCIA 185 CV, INCLUSIVE CARROCERIA FIXA ABERTA DE MADEIRA P/ TRANSPORTE GERAL DE CARGA SECA, DIMEN. APROX. 2,50 X 6,50 X 0,50 M - CHP DIURNO. AF_06/2014</t>
  </si>
  <si>
    <t>MOTOBOMBA CENTRÍFUGA, MOTOR A GASOLINA, POTÊNCIA 5,42 HP, BOCAIS 1 1/2" X 1", DIÂMETRO ROTOR 143 MM HM/Q = 6 MCA / 16,8 M3/H A 38 MCA / 6,6 M3/H - CHP DIURNO. AF_06/2014</t>
  </si>
  <si>
    <t>GRUPO DE SOLDAGEM COM GERADOR A DIESEL 60 CV PARA SOLDA ELÉTRICA, SOBRE 04 RODAS, COM MOTOR 4 CILINDROS 600 A - CHP DIURNO. AF_02/2016</t>
  </si>
  <si>
    <t>BETONEIRA CAPACIDADE NOMINAL 400 L, CAPACIDADE DE MISTURA 310 L, MOTOR A DIESEL POTÊNCIA 5,0 HP, SEM CARREGADOR - CHP DIURNO. AF_05/2023</t>
  </si>
  <si>
    <t>MISTURADOR DE ARGAMASSA, EIXO HORIZONTAL, CAPACIDADE DE MISTURA 300 KG, MOTOR ELÉTRICO POTÊNCIA 5 CV - CHP DIURNO. AF_05/2023</t>
  </si>
  <si>
    <t>MISTURADOR DE ARGAMASSA, EIXO HORIZONTAL, CAPACIDADE DE MISTURA 600 KG, MOTOR ELÉTRICO POTÊNCIA 7,5 CV - CHP DIURNO. AF_05/2023</t>
  </si>
  <si>
    <t>MISTURADOR DE ARGAMASSA, EIXO HORIZONTAL, CAPACIDADE DE MISTURA 160 KG, MOTOR ELÉTRICO POTÊNCIA 3 CV - CHP DIURNO. AF_05/2023</t>
  </si>
  <si>
    <t>PROJETOR DE ARGAMASSA, CAPACIDADE DE PROJEÇÃO 1,5 M3/H, ALCANCE DE 30 ATÉ 60 M, MOTOR ELÉTRICO POTÊNCIA 7,5 HP - CHP DIURNO. AF_06/2014</t>
  </si>
  <si>
    <t>PROJETOR DE ARGAMASSA, CAPACIDADE DE PROJEÇÃO 2 M3/H, ALCANCE ATÉ 50 M, MOTOR ELÉTRICO POTÊNCIA 7,5 HP - CHP DIURNO. AF_06/2014</t>
  </si>
  <si>
    <t>BETONEIRA CAPACIDADE NOMINAL DE 400 L, CAPACIDADE DE MISTURA 280 L, MOTOR ELÉTRICO TRIFÁSICO POTÊNCIA DE 2 CV, SEM CARREGADOR - CHP DIURNO. AF_05/2023</t>
  </si>
  <si>
    <t>TRATOR DE ESTEIRAS, POTÊNCIA 125 HP, PESO OPERACIONAL 12,9 T, COM LÂMINA 2,7 M3 - CHP DIURNO. AF_10/2014</t>
  </si>
  <si>
    <t>ESCAVADEIRA HIDRÁULICA SOBRE ESTEIRAS, CAÇAMBA 1,20 M3, PESO OPERACIONAL 21 T, POTÊNCIA BRUTA 155 HP - CHP DIURNO. AF_06/2014</t>
  </si>
  <si>
    <t>TANQUE DE ASFALTO ESTACIONÁRIO COM MAÇARICO, CAPACIDADE 20.000 L - CHP DIURNO. AF_05/2023</t>
  </si>
  <si>
    <t>TRATOR DE ESTEIRAS, POTÊNCIA 100 HP, PESO OPERACIONAL 9,4 T, COM LÂMINA 2,19 M3 - CHP DIURNO. AF_06/2014</t>
  </si>
  <si>
    <t>TRATOR DE PNEUS, POTÊNCIA 85 CV, TRAÇÃO 4X4, PESO COM LASTRO DE 4.675 KG - CHP DIURNO. AF_06/2014</t>
  </si>
  <si>
    <t>BETONEIRA CAPACIDADE NOMINAL DE 600 L, CAPACIDADE DE MISTURA 360 L, MOTOR ELÉTRICO TRIFÁSICO POTÊNCIA DE 4 CV, SEM CARREGADOR - CHP DIURNO. AF_05/2023</t>
  </si>
  <si>
    <t>FRESADORA DE ASFALTO A FRIO SOBRE RODAS, LARGURA FRESAGEM DE 1,0 M, POTÊNCIA 208 HP - CHP DIURNO. AF_11/2014</t>
  </si>
  <si>
    <t>FRESADORA DE ASFALTO A FRIO SOBRE RODAS, LARGURA FRESAGEM DE 2,0 M, POTÊNCIA 550 HP - CHP DIURNO. AF_11/2014</t>
  </si>
  <si>
    <t>RECICLADORA DE ASFALTO A FRIO SOBRE RODAS, LARGURA FRESAGEM DE 2,0 M, POTÊNCIA 422 HP - CHP DIURNO. AF_11/2014</t>
  </si>
  <si>
    <t>VIBROACABADORA DE ASFALTO SOBRE ESTEIRAS, LARGURA DE PAVIMENTAÇÃO 2,13 M A 4,55 M, POTÊNCIA 100 HP CAPACIDADE 400 T/H - CHP DIURNO. AF_11/2014</t>
  </si>
  <si>
    <t>GUINDASTE HIDRÁULICO AUTOPROPELIDO, COM LANÇA TELESCÓPICA 28,80 M, CAPACIDADE MÁXIMA 30 T, POTÊNCIA 97 KW, TRAÇÃO 4 X 4 - CHP DIURNO. AF_11/2014</t>
  </si>
  <si>
    <t>BETONEIRA CAPACIDADE NOMINAL DE 600 L, CAPACIDADE DE MISTURA 440 L, MOTOR A DIESEL POTÊNCIA 10 HP, COM CARREGADOR - CHP DIURNO. AF_05/2023</t>
  </si>
  <si>
    <t>BATE-ESTACAS POR GRAVIDADE, POTÊNCIA DE 160 HP, PESO DO MARTELO ATÉ 3 TONELADAS - CHP DIURNO. AF_11/2014</t>
  </si>
  <si>
    <t>CAMINHÃO BASCULANTE 14 M3, COM CAVALO MECÂNICO DE CAPACIDADE MÁXIMA DE TRAÇÃO COMBINADO DE 36000 KG, POTÊNCIA 286 CV, INCLUSIVE SEMIREBOQUE COM CAÇAMBA METÁLICA - CHP DIURNO. AF_12/2014</t>
  </si>
  <si>
    <t>CAMINHÃO BASCULANTE 18 M3, COM CAVALO MECÂNICO DE CAPACIDADE MÁXIMA DE TRAÇÃO COMBINADO DE 45000 KG, POTÊNCIA 330 CV, INCLUSIVE SEMIREBOQUE COM CAÇAMBA METÁLICA - CHP DIURNO. AF_12/2014</t>
  </si>
  <si>
    <t>VIBRADOR DE IMERSÃO, DIÂMETRO DE PONTEIRA 45MM, MOTOR ELÉTRICO TRIFÁSICO POTÊNCIA DE 2 CV - CHP DIURNO. AF_06/2015</t>
  </si>
  <si>
    <t>PERFURATRIZ MANUAL, TORQUE MÁXIMO 83 N.M, POTÊNCIA 5 CV, COM DIÂMETRO MÁXIMO 4" - CHP DIURNO. AF_06/2015</t>
  </si>
  <si>
    <t>PERFURATRIZ SOBRE ESTEIRA, TORQUE MÁXIMO 600 KGF, PESO MÉDIO 1000 KG, POTÊNCIA 20 HP, DIÂMETRO MÁXIMO 10" - CHP DIURNO. AF_06/2015</t>
  </si>
  <si>
    <t>MISTURADOR DUPLO HORIZONTAL DE ALTA TURBULÊNCIA, CAPACIDADE / VOLUME 2 X 500 LITROS, MOTORES ELÉTRICOS MÍNIMO 5 CV CADA, PARA NATA CIMENTO, ARGAMASSA E OUTROS - CHP DIURNO. AF_06/2015</t>
  </si>
  <si>
    <t>BOMBA TRIPLEX, PARA INJEÇÃO DE NATA DE CIMENTO, VAZÃO MÁXIMA DE 100 LITROS/MINUTO, PRESSÃO MÁXIMA DE 70 BAR - CHP DIURNO. AF_06/2015</t>
  </si>
  <si>
    <t>BOMBA CENTRÍFUGA MONOESTÁGIO COM MOTOR ELÉTRICO MONOFÁSICO, POTÊNCIA 15 HP, DIÂMETRO DO ROTOR 173 MM, HM/Q = 30 MCA / 90 M3/H A 45 MCA / 55 M3/H - CHP DIURNO. AF_06/2015</t>
  </si>
  <si>
    <t>BOMBA DE PROJEÇÃO DE CONCRETO SECO, POTÊNCIA 10 CV, VAZÃO 3 M3/H - CHP DIURNO. AF_06/2015</t>
  </si>
  <si>
    <t>BOMBA DE PROJEÇÃO DE CONCRETO SECO, POTÊNCIA 10 CV, VAZÃO 6 M3/H - CHP DIURNO. AF_06/2015</t>
  </si>
  <si>
    <t>PROJETOR PNEUMÁTICO DE ARGAMASSA PARA CHAPISCO E REBOCO COM RECIPIENTE ACOPLADO, TIPO CANEQUINHA, COM COMPRESSOR DE AR REBOCÁVEL VAZÃO 89 PCM E MOTOR DIESEL DE 20 CV - CHP DIURNO. AF_05/2023</t>
  </si>
  <si>
    <t>PERFURATRIZ COM TORRE METÁLICA PARA EXECUÇÃO DE ESTACA HÉLICE CONTÍNUA, PROFUNDIDADE MÁXIMA DE 30 M, DIÂMETRO MÁXIMO DE 800 MM, POTÊNCIA INSTALADA DE 268 HP, MESA ROTATIVA COM TORQUE MÁXIMO DE 170 KNM - CHP DIURNO. AF_06/2015</t>
  </si>
  <si>
    <t>PERFURATRIZ HIDRÁULICA SOBRE CAMINHÃO COM TRADO CURTO ACOPLADO, PROFUNDIDADE MÁXIMA DE 20 M, DIÂMETRO MÁXIMO DE 1500 MM, POTÊNCIA INSTALADA DE 137 HP, MESA ROTATIVA COM TORQUE MÁXIMO DE 30 KNM - CHP DIURNO. AF_06/2015</t>
  </si>
  <si>
    <t>MANIPULADOR TELESCÓPICO, POTÊNCIA DE 85 HP, CAPACIDADE DE CARGA DE 3.500 KG, ALTURA MÁXIMA DE ELEVAÇÃO DE 12,3 M - CHP DIURNO. AF_05/2023</t>
  </si>
  <si>
    <t>MINICARREGADEIRA SOBRE RODAS, POTÊNCIA LÍQUIDA DE 47 HP, CAPACIDADE NOMINAL DE OPERAÇÃO DE 646 KG - CHP DIURNO. AF_06/2015</t>
  </si>
  <si>
    <t>COMPRESSOR DE AR REBOCÁVEL, VAZÃO 89 PCM, PRESSÃO EFETIVA DE TRABALHO 102 PSI, MOTOR DIESEL, POTÊNCIA 20 CV - CHP DIURNO. AF_06/2015</t>
  </si>
  <si>
    <t>COMPRESSOR DE AR REBOCAVEL, VAZÃO 250 PCM, PRESSAO DE TRABALHO 102 PSI, MOTOR A DIESEL POTÊNCIA 81 CV - CHP DIURNO. AF_06/2015</t>
  </si>
  <si>
    <t>COMPRESSOR DE AR REBOCÁVEL, VAZÃO 748 PCM, PRESSÃO EFETIVA DE TRABALHO 102 PSI, MOTOR DIESEL, POTÊNCIA 210 CV - CHP DIURNO. AF_06/2015</t>
  </si>
  <si>
    <t>COMPRESSOR DE AR REBOCAVEL, VAZÃO 400 PCM, PRESSAO DE TRABALHO 102 PSI, MOTOR A DIESEL POTÊNCIA 110 CV - CHP DIURNO. AF_06/2015</t>
  </si>
  <si>
    <t>CAMINHÃO TRUCADO (C/ TERCEIRO EIXO) ELETRÔNICO - POTÊNCIA 231CV - PBT = 22000KG - DIST. ENTRE EIXOS 5170 MM - INCLUI CARROCERIA FIXA ABERTA DE MADEIRA - CHP DIURNO. AF_06/2015</t>
  </si>
  <si>
    <t>PLACA VIBRATÓRIA REVERSÍVEL COM MOTOR 4 TEMPOS A GASOLINA, FORÇA CENTRÍFUGA DE 25 KN (2500 KGF), POTÊNCIA 5,5 CV - CHP DIURNO. AF_08/2015</t>
  </si>
  <si>
    <t>CORTADORA DE PISO COM MOTOR 4 TEMPOS A GASOLINA, POTÊNCIA DE 13 HP, COM DISCO DE CORTE DIAMANTADO SEGMENTADO PARA CONCRETO, DIÂMETRO DE 350 MM, FURO DE 1" (14 X 1") - CHP DIURNO. AF_08/2015</t>
  </si>
  <si>
    <t>CAMINHÃO BASCULANTE 10 M3, TRUCADO CABINE SIMPLES, PESO BRUTO TOTAL 23.000 KG, CARGA ÚTIL MÁXIMA 15.935 KG, DISTÂNCIA ENTRE EIXOS 4,80 M, POTÊNCIA 230 CV INCLUSIVE CAÇAMBA METÁLICA - CHP DIURNO. AF_06/2014</t>
  </si>
  <si>
    <t>COMPACTADOR DE SOLOS DE PERCUSSÃO (SOQUETE) COM MOTOR A GASOLINA 4 TEMPOS, POTÊNCIA 4 CV - CHP DIURNO. AF_08/2015</t>
  </si>
  <si>
    <t>GUINDAUTO HIDRÁULICO, CAPACIDADE MÁXIMA DE CARGA 6500 KG, MOMENTO MÁXIMO DE CARGA 5,8 TM, ALCANCE MÁXIMO HORIZONTAL 7,60 M, INCLUSIVE CAMINHÃO TOCO PBT 9.700 KG, POTÊNCIA DE 160 CV - CHP DIURNO. AF_08/2015</t>
  </si>
  <si>
    <t>CAMINHÃO DE TRANSPORTE DE MATERIAL ASFÁLTICO 30.000 L, COM CAVALO MECÂNICO DE CAPACIDADE MÁXIMA DE TRAÇÃO COMBINADO DE 66.000 KG, POTÊNCIA 360 CV, INCLUSIVE TANQUE DE ASFALTO COM SERPENTINA - CHP DIURNO. AF_08/2015</t>
  </si>
  <si>
    <t>SERRA CIRCULAR DE BANCADA COM MOTOR ELÉTRICO POTÊNCIA DE 5HP, COM COIFA PARA DISCO 10" - CHP DIURNO. AF_08/2015</t>
  </si>
  <si>
    <t>DISTRIBUIDOR DE AGREGADOS REBOCAVEL, CAPACIDADE 1,9 M³, LARGURA DE TRABALHO 3,66 M - CHP DIURNO. AF_11/2015</t>
  </si>
  <si>
    <t>CAMINHÃO PARA EQUIPAMENTO DE LIMPEZA A SUCÇÃO, COM CAMINHÃO TRUCADO DE PESO BRUTO TOTAL 23000 KG, CARGA ÚTIL MÁXIMA 15935 KG, DISTÂNCIA ENTRE EIXOS 4,80 M, POTÊNCIA 230 CV, INCLUSIVE LIMPADORA A SUCÇÃO, TANQUE 12000 L - CHP DIURNO. AF_05/2023</t>
  </si>
  <si>
    <t>PENEIRA ROTATIVA COM MOTOR ELÉTRICO TRIFÁSICO DE 2 CV, CILINDRO DE 1 M X 0,60 M, COM FUROS DE 3,17 MM - CHP DIURNO. AF_05/2023</t>
  </si>
  <si>
    <t>DOSADOR DE AREIA, CAPACIDADE DE 26 LITROS - CHP DIURNO. AF_05/2023</t>
  </si>
  <si>
    <t>CAMINHONETE COM MOTOR A DIESEL, POTÊNCIA 180 CV, CABINE DUPLA, 4X4 - CHP DIURNO. AF_11/2015</t>
  </si>
  <si>
    <t>CAMINHONETE CABINE SIMPLES COM MOTOR 1.6 FLEX, CÂMBIO MANUAL, POTÊNCIA 101/104 CV, 2 PORTAS - CHP DIURNO. AF_11/2015</t>
  </si>
  <si>
    <t>CAMINHÃO DE TRANSPORTE DE MATERIAL ASFÁLTICO 20.000 L, COM CAVALO MECÂNICO DE CAPACIDADE MÁXIMA DE TRAÇÃO COMBINADO DE 45.000 KG, POTÊNCIA 330 CV, INCLUSIVE TANQUE DE ASFALTO COM MAÇARICO - CHP DIURNO. AF_12/2015</t>
  </si>
  <si>
    <t>APARELHO PARA CORTE E SOLDA OXI-ACETILENO SOBRE RODAS, INCLUSIVE CILINDROS E MAÇARICOS - CHP DIURNO. AF_05/2023</t>
  </si>
  <si>
    <t>MÁQUINA EXTRUSORA DE CONCRETO PARA GUIAS E SARJETAS, MOTOR A DIESEL, POTÊNCIA 14 CV - CHP DIURNO. AF_12/2015</t>
  </si>
  <si>
    <t>PERFURATRIZ COM TORRE METÁLICA PARA EXECUÇÃO DE ESTACA HÉLICE CONTÍNUA, PROFUNDIDADE MÁXIMA DE 32 M, DIÂMETRO MÁXIMO DE 1000 MM, POTÊNCIA INSTALADA DE 350 HP, MESA ROTATIVA COM TORQUE MÁXIMO DE 263 KNM - CHP DIURNO. AF_01/2016</t>
  </si>
  <si>
    <t>BETONEIRA CAPACIDADE NOMINAL 400 L, CAPACIDADE DE MISTURA 310 L, MOTOR A GASOLINA POTÊNCIA 5,5 HP, SEM CARREGADOR - CHP DIURNO. AF_02/2016</t>
  </si>
  <si>
    <t>GRUA ASCENSIONAL, LANCA DE 30 M, CAPACIDADE DE 1,0 T A 30 M, ALTURA ATE 39 M - CHP DIURNO. AF_05/2023</t>
  </si>
  <si>
    <t>GUINCHO ELÉTRICO DE COLUNA, CAPACIDADE 400 KG, COM MOTO FREIO, MOTOR TRIFÁSICO DE 1,25 CV - CHP DIURNO. AF_03/2016</t>
  </si>
  <si>
    <t>GUINDASTE HIDRÁULICO AUTOPROPELIDO, COM LANÇA TELESCÓPICA 40 M, CAPACIDADE MÁXIMA 60 T, POTÊNCIA 260 KW - CHP DIURNO. AF_03/2016</t>
  </si>
  <si>
    <t>GUINDAUTO HIDRÁULICO, CAPACIDADE MÁXIMA DE CARGA 3300 KG, MOMENTO MÁXIMO DE CARGA 5,8 TM, ALCANCE MÁXIMO HORIZONTAL 7,60 M, INCLUSIVE CAMINHÃO TOCO PBT 16.000 KG, POTÊNCIA DE 189 CV - CHP DIURNO. AF_03/2016</t>
  </si>
  <si>
    <t>GERADOR PORTÁTIL MONOFÁSICO, POTÊNCIA 5500 VA, MOTOR A GASOLINA, POTÊNCIA DO MOTOR 13 CV - CHP DIURNO. AF_03/2016</t>
  </si>
  <si>
    <t>GRUPO GERADOR REBOCÁVEL, POTÊNCIA 66 KVA, MOTOR A DIESEL - CHP DIURNO. AF_03/2016</t>
  </si>
  <si>
    <t>GRUPO GERADOR ESTACIONÁRIO, POTÊNCIA 150 KVA, MOTOR A DIESEL- CHP DIURNO. AF_03/2016</t>
  </si>
  <si>
    <t>USINA DE MISTURA ASFÁLTICA À QUENTE, TIPO CONTRA FLUXO, PROD 40 A 80 TON/HORA - CHP DIURNO. AF_05/2023</t>
  </si>
  <si>
    <t>USINA DE ASFALTO À FRIO, CAPACIDADE DE 40 A 60 TON/HORA, ELÉTRICA POTÊNCIA 30 CV - CHP DIURNO. AF_05/2023</t>
  </si>
  <si>
    <t>USINA MISTURADORA DE SOLOS, CAPACIDADE DE 200 A 500 TON/H, POTENCIA 75KW - CHP DIURNO. AF_07/2016</t>
  </si>
  <si>
    <t>DISTRIBUIDOR DE AGREGADOS AUTOPROPELIDO, CAP 3 M3, A DIESEL, POTÊNCIA 176CV - CHP DIURNO. AF_07/2016</t>
  </si>
  <si>
    <t>MÁQUINA DEMARCADORA DE FAIXA DE TRÁFEGO À FRIO, AUTOPROPELIDA, POTÊNCIA 38 HP - CHP DIURNO. AF_07/2016</t>
  </si>
  <si>
    <t>TALHA MANUAL DE CORRENTE, CAPACIDADE DE 2 TON. COM ELEVAÇÃO DE 3 M - CHP DIURNO. AF_07/2016</t>
  </si>
  <si>
    <t>GRUA ASCENCIONAL, LANCA DE 42 M, CAPACIDADE DE 1,5 T A 30 M, ALTURA ATE 39 M - CHP DIURNO. AF_05/2023</t>
  </si>
  <si>
    <t>MARTELO DEMOLIDOR PNEUMÁTICO MANUAL, 32 KG - CHP DIURNO. AF_09/2016</t>
  </si>
  <si>
    <t>COMPACTADOR DE SOLOS DE PERCUSÃO (SOQUETE) COM MOTOR A GASOLINA, POTÊNCIA 3 CV - CHP DIURNO. AF_09/2016</t>
  </si>
  <si>
    <t>RÉGUA VIBRATÓRIA DUPLA PARA CONCRETO, PESO DE 60KG, COMPRIMENTO 4 M, COM MOTOR A GASOLINA, POTÊNCIA 5,5 HP - CHP DIURNO. AF_09/2016</t>
  </si>
  <si>
    <t>POLIDORA DE PISO (POLITRIZ), PESO DE 100KG, DIÂMETRO 450 MM, MOTOR ELÉTRICO, POTÊNCIA 4 HP - CHP DIURNO. AF_05/2023</t>
  </si>
  <si>
    <t>DESEMPENADEIRA DE CONCRETO, PESO DE 78 KG, 4 PÁS, MOTOR A GASOLINA, POTÊNCIA 5,5 HP - CHP DIURNO. AF_05/2023</t>
  </si>
  <si>
    <t>ROLO COMPACTADOR VIBRATORIO TANDEM, ACO LISO, POTENCIA 125 HP, PESO SEM/COM LASTRO 10,20/11,65 T, LARGURA DE TRABALHO 1,73 M - CHP DIURNO. AF_11/2016</t>
  </si>
  <si>
    <t>ESCAVADEIRA HIDRAULICA SOBRE ESTEIRA, EQUIPADA COM CLAMSHELL, COM CAPACIDADE DA CAÇAMBA ENTRE 1,20 E 1,50 M3, PESO OPERACIONAL ENTRE 20,00 E 22,00 TON, POTENCIA LIQUIDA ENTRE 150 E 160 HP - CHP DIURNO. AF_11/2016</t>
  </si>
  <si>
    <t>GRUPO GERADOR COM CARENAGEM, MOTOR DIESEL POTÊNCIA STANDART ENTRE 250 E 260 KVA - CHP DIURNO. AF_12/2016</t>
  </si>
  <si>
    <t>TRATOR DE PNEUS COM POTÊNCIA DE 122 CV, TRAÇÃO 4X4, COM VASSOURA MECÂNICA ACOPLADA - CHP DIURNO. AF_02/2017</t>
  </si>
  <si>
    <t>TRATOR DE PNEUS COM POTÊNCIA DE 122 CV, TRAÇÃO 4X4, COM GRADE DE DISCOS ACOPLADA - CHP DIURNO. AF_02/2017</t>
  </si>
  <si>
    <t>TRATOR DE PNEUS COM POTÊNCIA DE 85 CV, TRAÇÃO 4X4, COM GRADE DE DISCOS ACOPLADA - CHP DIURNO. AF_02/2017</t>
  </si>
  <si>
    <t>CAMINHÃO BASCULANTE 10 M3, TRUCADO, POTÊNCIA 230 CV, INCLUSIVE CAÇAMBA METÁLICA, COM DISTRIBUIDOR DE AGREGADOS ACOPLADO - CHP DIURNO. AF_02/2017</t>
  </si>
  <si>
    <t>TRATOR DE PNEUS COM POTÊNCIA DE 85 CV, TRAÇÃO 4X4, COM VASSOURA MECÂNICA ACOPLADA - CHP DIURNO. AF_03/2017</t>
  </si>
  <si>
    <t>MINICARREGADEIRA SOBRE RODAS POTENCIA 47HP CAPACIDADE OPERACAO 646 KG, COM VASSOURA MECÂNICA ACOPLADA - CHP DIURNO. AF_03/2017</t>
  </si>
  <si>
    <t>LAVADORA DE ALTA PRESSAO (LAVA-JATO) PARA AGUA FRIA, PRESSAO DE OPERACAO ENTRE 1400 E 1900 LIB/POL2, VAZAO MAXIMA ENTRE 400 E 700 L/H - CHP DIURNO. AF_05/2023</t>
  </si>
  <si>
    <t>USINA DE MISTURA ASFÁLTICA À QUENTE, TIPO CONTRA FLUXO, PROD 100 A 140 TON/HORA - CHP DIURNO. AF_12/2019</t>
  </si>
  <si>
    <t>USINA DE ASFALTO, TIPO GRAVIMÉTRICA, PROD 150 TON/HORA - CHP DIURNO. AF_12/2019</t>
  </si>
  <si>
    <t>MARTELO DEMOLIDOR ELÉTRICO, COM POTÊNCIA DE 2.000 W, 1.000 IMPACTOS POR MINUTO, PESO DE 30 KG - CHP DIURNO. AF_01/2021</t>
  </si>
  <si>
    <t>TERMOFUSORA PARA TUBOS E CONEXÕES EM PPR COM DIÂMETROS DE 20 A 63 MM, POTÊNCIA DE 800 W, TENSAO 220 V - CHP DIURNO. AF_05/2022</t>
  </si>
  <si>
    <t>TERMOFUSORA PARA TUBOS E CONEXÕES EM PPR COM DIÂMETROS DE 75 A 110 MM, POTÊNCIA DE *1100* W, TENSÃO 220 V - CHP DIURNO. AF_05/2022</t>
  </si>
  <si>
    <t>ESCAVADEIRA HIDRÁULICA SOBRE ESTEIRAS, CAÇAMBA 0,80 M3, PESO OPERACIONAL 17 T, POTENCIA BRUTA 111 HP - CHI DIURNO. AF_06/2014</t>
  </si>
  <si>
    <t>CHI</t>
  </si>
  <si>
    <t>RETROESCAVADEIRA SOBRE RODAS COM CARREGADEIRA, TRAÇÃO 4X4, POTÊNCIA LÍQ. 88 HP, CAÇAMBA CARREG. CAP. MÍN. 1 M3, CAÇAMBA RETRO CAP. 0,26 M3, PESO OPERACIONAL MÍN. 6.674 KG, PROFUNDIDADE ESCAVAÇÃO MÁX. 4,37 M - CHI DIURNO. AF_06/2014</t>
  </si>
  <si>
    <t>RETROESCAVADEIRA SOBRE RODAS COM CARREGADEIRA, TRAÇÃO 4X2, POTÊNCIA LÍQ. 79 HP, CAÇAMBA CARREG. CAP. MÍN. 1 M3, CAÇAMBA RETRO CAP. 0,20 M3, PESO OPERACIONAL MÍN. 6.570 KG, PROFUNDIDADE ESCAVAÇÃO MÁX. 4,37 M - CHI DIURNO. AF_06/2014</t>
  </si>
  <si>
    <t>ROLO COMPACTADOR VIBRATÓRIO DE UM CILINDRO AÇO LISO, POTÊNCIA 80 HP, PESO OPERACIONAL MÁXIMO 8,1 T, IMPACTO DINÂMICO 16,15 / 9,5 T, LARGURA DE TRABALHO 1,68 M - CHI DIURNO. AF_06/2014</t>
  </si>
  <si>
    <t>MOTOBOMBA CENTRÍFUGA, MOTOR A GASOLINA, POTÊNCIA 5,42 HP, BOCAIS 1 1/2" X 1", DIÂMETRO ROTOR 143 MM HM/Q = 6 MCA / 16,8 M3/H A 38 MCA / 6,6 M3/H - CHI DIURNO. AF_06/2014</t>
  </si>
  <si>
    <t>CAMINHÃO TOCO, PBT 16.000 KG, CARGA ÚTIL MÁX. 10.685 KG, DIST. ENTRE EIXOS 4,8 M, POTÊNCIA 189 CV, INCLUSIVE CARROCERIA FIXA ABERTA DE MADEIRA P/ TRANSPORTE GERAL DE CARGA SECA, DIMEN. APROX. 2,5 X 7,00 X 0,50 M - CHI DIURNO. AF_06/2014</t>
  </si>
  <si>
    <t>USINA DE CONCRETO FIXA, CAPACIDADE NOMINAL DE 90 A 120 M3/H, SEM SILO - CHI DIURNO. AF_07/2016</t>
  </si>
  <si>
    <t>VIBROACABADORA DE ASFALTO SOBRE ESTEIRAS, LARGURA DE PAVIMENTAÇÃO 1,90 M A 5,30 M, POTÊNCIA 105 HP CAPACIDADE 450 T/H - CHI DIURNO. AF_11/2014</t>
  </si>
  <si>
    <t>VASSOURA MECÂNICA REBOCÁVEL COM ESCOVA CILÍNDRICA, LARGURA ÚTIL DE VARRIMENTO DE 2,44 M - CHI DIURNO. AF_06/2014</t>
  </si>
  <si>
    <t>TRATOR DE PNEUS, POTÊNCIA 122 CV, TRAÇÃO 4X4, PESO COM LASTRO DE 4.510 KG - CHI DIURNO. AF_06/2014</t>
  </si>
  <si>
    <t>TRATOR DE ESTEIRAS, POTÊNCIA 170 HP, PESO OPERACIONAL 19 T, CAÇAMBA 5,2 M3 - CHI DIURNO. AF_06/2014</t>
  </si>
  <si>
    <t>TRATOR DE ESTEIRAS, POTÊNCIA 150 HP, PESO OPERACIONAL 16,7 T, COM RODA MOTRIZ ELEVADA E LÂMINA 3,18 M3 - CHI DIURNO. AF_06/2014</t>
  </si>
  <si>
    <t>TRATOR DE ESTEIRAS, POTÊNCIA 347 HP, PESO OPERACIONAL 38,5 T, COM LÂMINA 8,70 M3 - CHI DIURNO. AF_06/2014</t>
  </si>
  <si>
    <t>ROLO COMPACTADOR VIBRATÓRIO REBOCÁVEL, CILINDRO DE AÇO LISO, POTÊNCIA DE TRAÇÃO DE 65 CV, PESO 4,7 T, IMPACTO DINÂMICO 18,3 T, LARGURA DE TRABALHO 1,67 M - CHI DIURNO. AF_02/2016</t>
  </si>
  <si>
    <t>ROLO COMPACTADOR VIBRATÓRIO TANDEM AÇO LISO, POTÊNCIA 58 HP, PESO SEM/COM LASTRO 6,5 / 9,4 T, LARGURA DE TRABALHO 1,2 M - CHI DIURNO. AF_06/2014</t>
  </si>
  <si>
    <t>RETROESCAVADEIRA SOBRE RODAS COM CARREGADEIRA, TRAÇÃO 4X4, POTÊNCIA LÍQ. 72 HP, CAÇAMBA CARREG. CAP. MÍN. 0,79 M3, CAÇAMBA RETRO CAP. 0,18 M3, PESO OPERACIONAL MÍN. 7.140 KG, PROFUNDIDADE ESCAVAÇÃO MÁX. 4,50 M - CHI DIURNO. AF_06/2014</t>
  </si>
  <si>
    <t>ROLO COMPACTADOR VIBRATÓRIO PÉ DE CARNEIRO, OPERADO POR CONTROLE REMOTO, POTÊNCIA 12,5 KW, PESO OPERACIONAL 1,675 T, LARGURA DE TRABALHO 0,85 M - CHI DIURNO. AF_02/2016</t>
  </si>
  <si>
    <t>CAMINHÃO TOCO, PESO BRUTO TOTAL 14.300 KG, CARGA ÚTIL MÁXIMA 9590 KG, DISTÂNCIA ENTRE EIXOS 4,76 M, POTÊNCIA 185 CV (NÃO INCLUI CARROCERIA) - CHI DIURNO. AF_06/2014</t>
  </si>
  <si>
    <t>CAMINHÃO TOCO, PESO BRUTO TOTAL 16.000 KG, CARGA ÚTIL MÁXIMA DE 10.685 KG, DISTÂNCIA ENTRE EIXOS 4,80 M, POTÊNCIA 189 CV EXCLUSIVE CARROCERIA - CHI DIURNO. AF_06/2014</t>
  </si>
  <si>
    <t>CAMINHÃO PIPA 10.000 L TRUCADO, PESO BRUTO TOTAL 23.000 KG, CARGA ÚTIL MÁXIMA 15.935 KG, DISTÂNCIA ENTRE EIXOS 4,8 M, POTÊNCIA 230 CV, INCLUSIVE TANQUE DE AÇO PARA TRANSPORTE DE ÁGUA - CHI DIURNO. AF_06/2014</t>
  </si>
  <si>
    <t>ESPARGIDOR DE ASFALTO PRESSURIZADO COM TANQUE DE 2500 L, REBOCÁVEL COM MOTOR A GASOLINA POTÊNCIA 3,4 HP - CHI DIURNO. AF_07/2014</t>
  </si>
  <si>
    <t>GRADE DE DISCO REBOCÁVEL COM 20 DISCOS 24" X 6 MM COM PNEUS PARA TRANSPORTE - CHI DIURNO. AF_06/2014</t>
  </si>
  <si>
    <t>GUINDAUTO HIDRÁULICO, CAPACIDADE MÁXIMA DE CARGA 6200 KG, MOMENTO MÁXIMO DE CARGA 11,7 TM, ALCANCE MÁXIMO HORIZONTAL 9,70 M, INCLUSIVE CAMINHÃO TOCO PBT 16.000 KG, POTÊNCIA DE 189 CV - CHI DIURNO. AF_06/2014</t>
  </si>
  <si>
    <t>MOTONIVELADORA POTÊNCIA BÁSICA LÍQUIDA (PRIMEIRA MARCHA) 125 HP, PESO BRUTO 13032 KG, LARGURA DA LÂMINA DE 3,7 M - CHI DIURNO. AF_06/2014</t>
  </si>
  <si>
    <t>PÁ CARREGADEIRA SOBRE RODAS, POTÊNCIA LÍQUIDA 128 HP, CAPACIDADE DA CAÇAMBA 1,7 A 2,8 M3, PESO OPERACIONAL 11632 KG - CHI DIURNO. AF_06/2014</t>
  </si>
  <si>
    <t>PÁ CARREGADEIRA SOBRE RODAS, POTÊNCIA 197 HP, CAPACIDADE DA CAÇAMBA 2,5 A 3,5 M3, PESO OPERACIONAL 18338 KG - CHI DIURNO. AF_06/2014</t>
  </si>
  <si>
    <t>MARTELETE OU ROMPEDOR PNEUMÁTICO MANUAL, 28 KG, COM SILENCIADOR - CHI DIURNO. AF_07/2016</t>
  </si>
  <si>
    <t>COMPRESSOR DE AR REBOCÁVEL, VAZÃO 189 PCM, PRESSÃO EFETIVA DE TRABALHO 102 PSI, MOTOR DIESEL, POTÊNCIA 63 CV - CHI DIURNO. AF_06/2015</t>
  </si>
  <si>
    <t>CAMINHÃO BASCULANTE 6 M3, PESO BRUTO TOTAL 16.000 KG, CARGA ÚTIL MÁXIMA 13.071 KG, DISTÂNCIA ENTRE EIXOS 4,80 M, POTÊNCIA 230 CV INCLUSIVE CAÇAMBA METÁLICA - CHI DIURNO. AF_06/2014</t>
  </si>
  <si>
    <t>CAMINHÃO PIPA 6.000 L, PESO BRUTO TOTAL 13.000 KG, DISTÂNCIA ENTRE EIXOS 4,80 M, POTÊNCIA 189 CV INCLUSIVE TANQUE DE AÇO PARA TRANSPORTE DE ÁGUA, CAPACIDADE 6 M3 - CHI DIURNO. AF_06/2014</t>
  </si>
  <si>
    <t>ROLO COMPACTADOR DE PNEUS ESTÁTICO, PRESSÃO VARIÁVEL, POTÊNCIA 111 HP, PESO SEM/COM LASTRO 9,5 / 26 T, LARGURA DE TRABALHO 1,90 M - CHI DIURNO. AF_07/2014</t>
  </si>
  <si>
    <t>TANQUE DE ASFALTO ESTACIONÁRIO COM SERPENTINA, CAPACIDADE 30.000 L - CHI DIURNO. AF_05/2023</t>
  </si>
  <si>
    <t>MOTOBOMBA TRASH (PARA ÁGUA SUJA) AUTO ESCORVANTE, MOTOR GASOLINA DE 6,41 HP, DIÂMETROS DE SUCÇÃO X RECALQUE: 3" X 3", HM/Q = 10 MCA / 60 M3/H A 23 MCA / 0 M3/H - CHI DIURNO. AF_10/2014</t>
  </si>
  <si>
    <t>ROLO COMPACTADOR PE DE CARNEIRO VIBRATORIO, POTENCIA 125 HP, PESO OPERACIONAL SEM/COM LASTRO 11,95 / 13,30 T, IMPACTO DINAMICO 38,5 / 22,5 T, LARGURA DE TRABALHO 2,15 M - CHI DIURNO. AF_06/2014</t>
  </si>
  <si>
    <t>CAMINHÃO BASCULANTE 6 M3 TOCO, PESO BRUTO TOTAL 16.000 KG, CARGA ÚTIL MÁXIMA 11.130 KG, DISTÂNCIA ENTRE EIXOS 5,36 M, POTÊNCIA 185 CV, INCLUSIVE CAÇAMBA METÁLICA - CHI DIURNO. AF_06/2014</t>
  </si>
  <si>
    <t>GRUPO GERADOR ESTACIONÁRIO, MOTOR DIESEL POTÊNCIA 170 KVA - CHI DIURNO. AF_02/2016</t>
  </si>
  <si>
    <t>GRUPO DE SOLDAGEM COM GERADOR A DIESEL 60 CV PARA SOLDA ELÉTRICA, SOBRE 04 RODAS, COM MOTOR 4 CILINDROS 600 A - CHI DIURNO. AF_02/2016</t>
  </si>
  <si>
    <t>BETONEIRA CAPACIDADE NOMINAL 400 L, CAPACIDADE DE MISTURA 310 L, MOTOR A DIESEL POTÊNCIA 5,0 HP, SEM CARREGADOR - CHI DIURNO. AF_05/2023</t>
  </si>
  <si>
    <t>MISTURADOR DE ARGAMASSA, EIXO HORIZONTAL, CAPACIDADE DE MISTURA 300 KG, MOTOR ELÉTRICO POTÊNCIA 5 CV - CHI DIURNO. AF_05/2023</t>
  </si>
  <si>
    <t>MISTURADOR DE ARGAMASSA, EIXO HORIZONTAL, CAPACIDADE DE MISTURA 600 KG, MOTOR ELÉTRICO POTÊNCIA 7,5 CV - CHI DIURNO. AF_05/2023</t>
  </si>
  <si>
    <t>MISTURADOR DE ARGAMASSA, EIXO HORIZONTAL, CAPACIDADE DE MISTURA 160 KG, MOTOR ELÉTRICO POTÊNCIA 3 CV - CHI DIURNO. AF_05/2023</t>
  </si>
  <si>
    <t>PROJETOR DE ARGAMASSA, CAPACIDADE DE PROJEÇÃO 1,5 M3/H, ALCANCE DE 30 ATÉ 60 M, MOTOR ELÉTRICO POTÊNCIA 7,5 HP - CHI DIURNO. AF_06/2014</t>
  </si>
  <si>
    <t>PROJETOR DE ARGAMASSA, CAPACIDADE DE PROJEÇÃO 2 M3/H, ALCANCE ATÉ 50 M, MOTOR ELÉTRICO POTÊNCIA 7,5 HP - CHI DIURNO. AF_06/2014</t>
  </si>
  <si>
    <t>BETONEIRA CAPACIDADE NOMINAL DE 400 L, CAPACIDADE DE MISTURA 280 L, MOTOR ELÉTRICO TRIFÁSICO POTÊNCIA DE 2 CV, SEM CARREGADOR - CHI DIURNO. AF_05/2023</t>
  </si>
  <si>
    <t>TRATOR DE ESTEIRAS, POTÊNCIA 125 HP, PESO OPERACIONAL 12,9 T, COM LÂMINA 2,7 M3 - CHI DIURNO. AF_10/2014</t>
  </si>
  <si>
    <t>ESCAVADEIRA HIDRÁULICA SOBRE ESTEIRAS, CAÇAMBA 1,20 M3, PESO OPERACIONAL 21 T, POTÊNCIA BRUTA 155 HP - CHI DIURNO. AF_06/2014</t>
  </si>
  <si>
    <t>TANQUE DE ASFALTO ESTACIONÁRIO COM MAÇARICO, CAPACIDADE 20.000 L - CHI DIURNO. AF_05/2023</t>
  </si>
  <si>
    <t>TRATOR DE ESTEIRAS, POTÊNCIA 100 HP, PESO OPERACIONAL 9,4 T, COM LÂMINA 2,19 M3 - CHI DIURNO. AF_06/2014</t>
  </si>
  <si>
    <t>TRATOR DE PNEUS, POTÊNCIA 85 CV, TRAÇÃO 4X4, PESO COM LASTRO DE 4.675 KG - CHI DIURNO. AF_06/2014</t>
  </si>
  <si>
    <t>BATE-ESTACAS POR GRAVIDADE, POTÊNCIA DE 160 HP, PESO DO MARTELO ATÉ 3 TONELADAS - CHI DIURNO. AF_11/2014</t>
  </si>
  <si>
    <t>BETONEIRA CAPACIDADE NOMINAL DE 600 L, CAPACIDADE DE MISTURA 360 L, MOTOR ELÉTRICO TRIFÁSICO POTÊNCIA DE 4 CV, SEM CARREGADOR - CHI DIURNO. AF_05/2023</t>
  </si>
  <si>
    <t>FRESADORA DE ASFALTO A FRIO SOBRE RODAS, LARGURA FRESAGEM DE 1,0 M, POTÊNCIA 208 HP - CHI DIURNO. AF_11/2014</t>
  </si>
  <si>
    <t>FRESADORA DE ASFALTO A FRIO SOBRE RODAS, LARGURA FRESAGEM DE 2,0 M, POTÊNCIA 550 HP - CHI DIURNO. AF_11/2014</t>
  </si>
  <si>
    <t>RECICLADORA DE ASFALTO A FRIO SOBRE RODAS, LARGURA FRESAGEM DE 2,0 M, POTÊNCIA 422 HP - CHI DIURNO. AF_11/2014</t>
  </si>
  <si>
    <t>VIBROACABADORA DE ASFALTO SOBRE ESTEIRAS, LARGURA DE PAVIMENTAÇÃO 2,13 M A 4,55 M, POTÊNCIA 100 HP, CAPACIDADE 400 T/H - CHI DIURNO. AF_11/2014</t>
  </si>
  <si>
    <t>GUINDASTE HIDRÁULICO AUTOPROPELIDO, COM LANÇA TELESCÓPICA 28,80 M, CAPACIDADE MÁXIMA 30 T, POTÊNCIA 97 KW, TRAÇÃO 4 X 4 - CHI DIURNO. AF_11/2014</t>
  </si>
  <si>
    <t>BETONEIRA CAPACIDADE NOMINAL DE 600 L, CAPACIDADE DE MISTURA 440 L, MOTOR A DIESEL POTÊNCIA 10 HP, COM CARREGADOR - CHI DIURNO. AF_05/2023</t>
  </si>
  <si>
    <t>CAMINHÃO BASCULANTE 14 M3, COM CAVALO MECÂNICO DE CAPACIDADE MÁXIMA DE TRAÇÃO COMBINADO DE 36000 KG, POTÊNCIA 286 CV, INCLUSIVE SEMIREBOQUE COM CAÇAMBA METÁLICA - CHI DIURNO. AF_12/2014</t>
  </si>
  <si>
    <t>CAMINHÃO BASCULANTE 18 M3, COM CAVALO MECÂNICO DE CAPACIDADE MÁXIMA DE TRAÇÃO COMBINADO DE 45000 KG, POTÊNCIA 330 CV, INCLUSIVE SEMIREBOQUE COM CAÇAMBA METÁLICA - CHI DIURNO. AF_12/2014</t>
  </si>
  <si>
    <t>VIBRADOR DE IMERSÃO, DIÂMETRO DE PONTEIRA 45MM, MOTOR ELÉTRICO TRIFÁSICO POTÊNCIA DE 2 CV - CHI DIURNO. AF_06/2015</t>
  </si>
  <si>
    <t>PERFURATRIZ MANUAL, TORQUE MÁXIMO 83 N.M, POTÊNCIA 5 CV, COM DIÂMETRO MÁXIMO 4" - CHI DIURNO. AF_06/2015</t>
  </si>
  <si>
    <t>PERFURATRIZ SOBRE ESTEIRA, TORQUE MÁXIMO 600 KGF, PESO MÉDIO 1000 KG, POTÊNCIA 20 HP, DIÂMETRO MÁXIMO 10" - CHI DIURNO. AF_06/2015</t>
  </si>
  <si>
    <t>MISTURADOR DUPLO HORIZONTAL DE ALTA TURBULÊNCIA, CAPACIDADE / VOLUME 2 X 500 LITROS, MOTORES ELÉTRICOS MÍNIMO 5 CV CADA, PARA NATA CIMENTO, ARGAMASSA E OUTROS - CHI DIURNO. AF_06/2015</t>
  </si>
  <si>
    <t>BOMBA TRIPLEX, PARA INJEÇÃO DE NATA DE CIMENTO, VAZÃO MÁXIMA DE 100 LITROS/MINUTO, PRESSÃO MÁXIMA DE 70 BAR - CHI DIURNO. AF_06/2015</t>
  </si>
  <si>
    <t>BOMBA CENTRÍFUGA MONOESTÁGIO COM MOTOR ELÉTRICO MONOFÁSICO, POTÊNCIA 15 HP, DIÂMETRO DO ROTOR 173 MM, HM/Q = 30 MCA / 90 M3/H A 45 MCA / 55 M3/H - CHI DIURNO. AF_06/2015</t>
  </si>
  <si>
    <t>BOMBA DE PROJEÇÃO DE CONCRETO SECO, POTÊNCIA 10 CV, VAZÃO 3 M3/H - CHI DIURNO. AF_06/2015</t>
  </si>
  <si>
    <t>BOMBA DE PROJEÇÃO DE CONCRETO SECO, POTÊNCIA 10 CV, VAZÃO 6 M3/H - CHI DIURNO. AF_06/2015</t>
  </si>
  <si>
    <t>PROJETOR PNEUMÁTICO DE ARGAMASSA PARA CHAPISCO E REBOCO COM RECIPIENTE ACOPLADO, TIPO CANEQUINHA, COM COMPRESSOR DE AR REBOCÁVEL VAZÃO 89 PCM E MOTOR DIESEL DE 20 CV - CHI DIURNO. AF_05/2023</t>
  </si>
  <si>
    <t>PERFURATRIZ COM TORRE METÁLICA PARA EXECUÇÃO DE ESTACA HÉLICE CONTÍNUA, PROFUNDIDADE MÁXIMA DE 30 M, DIÂMETRO MÁXIMO DE 800 MM, POTÊNCIA INSTALADA DE 268 HP, MESA ROTATIVA COM TORQUE MÁXIMO DE 170 KNM - CHI DIURNO. AF_06/2015</t>
  </si>
  <si>
    <t>PERFURATRIZ HIDRÁULICA SOBRE CAMINHÃO COM TRADO CURTO ACOPLADO, PROFUNDIDADE MÁXIMA DE 20 M, DIÂMETRO MÁXIMO DE 1500 MM, POTÊNCIA INSTALADA DE 137 HP, MESA ROTATIVA COM TORQUE MÁXIMO DE 30 KNM - CHI DIURNO. AF_06/2015</t>
  </si>
  <si>
    <t>MANIPULADOR TELESCÓPICO, POTÊNCIA DE 85 HP, CAPACIDADE DE CARGA DE 3.500 KG, ALTURA MÁXIMA DE ELEVAÇÃO DE 12,3 M - CHI DIURNO. AF_05/2023</t>
  </si>
  <si>
    <t>MINICARREGADEIRA SOBRE RODAS, POTÊNCIA LÍQUIDA DE 47 HP, CAPACIDADE NOMINAL DE OPERAÇÃO DE 646 KG - CHI DIURNO. AF_06/2015</t>
  </si>
  <si>
    <t>COMPRESSOR DE AR REBOCÁVEL, VAZÃO 89 PCM, PRESSÃO EFETIVA DE TRABALHO 102 PSI, MOTOR DIESEL, POTÊNCIA 20 CV - CHI DIURNO. AF_06/2015</t>
  </si>
  <si>
    <t>COMPRESSOR DE AR REBOCAVEL, VAZÃO 250 PCM, PRESSAO DE TRABALHO 102 PSI, MOTOR A DIESEL POTÊNCIA 81 CV - CHI DIURNO. AF_06/2015</t>
  </si>
  <si>
    <t>COMPRESSOR DE AR REBOCÁVEL, VAZÃO 748 PCM, PRESSÃO EFETIVA DE TRABALHO 102 PSI, MOTOR DIESEL, POTÊNCIA 210 CV - CHI DIURNO. AF_06/2015</t>
  </si>
  <si>
    <t>COMPRESSOR DE AR REBOCAVEL, VAZÃO 400 PCM, PRESSAO DE TRABALHO 102 PSI, MOTOR A DIESEL POTÊNCIA 110 CV - CHI DIURNO. AF_06/2015</t>
  </si>
  <si>
    <t>CAMINHÃO TRUCADO (C/ TERCEIRO EIXO) ELETRÔNICO - POTÊNCIA 231CV - PBT = 22000KG - DIST. ENTRE EIXOS 5170 MM - INCLUI CARROCERIA FIXA ABERTA DE MADEIRA - CHI DIURNO. AF_06/2015</t>
  </si>
  <si>
    <t>PLACA VIBRATÓRIA REVERSÍVEL COM MOTOR 4 TEMPOS A GASOLINA, FORÇA CENTRÍFUGA DE 25 KN (2500 KGF), POTÊNCIA 5,5 CV - CHI DIURNO. AF_08/2015</t>
  </si>
  <si>
    <t>CORTADORA DE PISO COM MOTOR 4 TEMPOS A GASOLINA, POTÊNCIA DE 13 HP, COM DISCO DE CORTE DIAMANTADO SEGMENTADO PARA CONCRETO, DIÂMETRO DE 350 MM, FURO DE 1" (14 X 1") - CHI DIURNO. AF_08/2015</t>
  </si>
  <si>
    <t>CAMINHÃO BASCULANTE 10 M3, TRUCADO CABINE SIMPLES, PESO BRUTO TOTAL 23.000 KG, CARGA ÚTIL MÁXIMA 15.935 KG, DISTÂNCIA ENTRE EIXOS 4,80 M, POTÊNCIA 230 CV INCLUSIVE CAÇAMBA METÁLICA - CHI DIURNO. AF_06/2014</t>
  </si>
  <si>
    <t>CAMINHÃO TOCO, PBT 14.300 KG, CARGA ÚTIL MÁX. 9.710 KG, DIST. ENTRE EIXOS 3,56 M, POTÊNCIA 185 CV, INCLUSIVE CARROCERIA FIXA ABERTA DE MADEIRA P/ TRANSPORTE GERAL DE CARGA SECA, DIMEN. APROX. 2,50 X 6,50 X 0,50 M - CHI DIURNO. AF_06/2014</t>
  </si>
  <si>
    <t>COMPACTADOR DE SOLOS DE PERCUSSÃO (SOQUETE) COM MOTOR A GASOLINA 4 TEMPOS, POTÊNCIA 4 CV - CHI DIURNO. AF_08/2015</t>
  </si>
  <si>
    <t>GUINDAUTO HIDRÁULICO, CAPACIDADE MÁXIMA DE CARGA 6500 KG, MOMENTO MÁXIMO DE CARGA 5,8 TM, ALCANCE MÁXIMO HORIZONTAL 7,60 M, INCLUSIVE CAMINHÃO TOCO PBT 9.700 KG, POTÊNCIA DE 160 CV - CHI DIURNO. AF_08/2015</t>
  </si>
  <si>
    <t>CAMINHÃO DE TRANSPORTE DE MATERIAL ASFÁLTICO 30.000 L, COM CAVALO MECÂNICO DE CAPACIDADE MÁXIMA DE TRAÇÃO COMBINADO DE 66.000 KG, POTÊNCIA 360 CV, INCLUSIVE TANQUE DE ASFALTO COM SERPENTINA - CHI DIURNO. AF_08/2015</t>
  </si>
  <si>
    <t>SERRA CIRCULAR DE BANCADA COM MOTOR ELÉTRICO POTÊNCIA DE 5HP, COM COIFA PARA DISCO 10" - CHI DIURNO. AF_08/2015</t>
  </si>
  <si>
    <t>DISTRIBUIDOR DE AGREGADOS REBOCAVEL, CAPACIDADE 1,9 M³, LARGURA DE TRABALHO 3,66 M - CHI DIURNO. AF_11/2015</t>
  </si>
  <si>
    <t>CAMINHÃO PARA EQUIPAMENTO DE LIMPEZA A SUCÇÃO COM CAMINHÃO TRUCADO DE PESO BRUTO TOTAL 23000 KG, CARGA ÚTIL MÁXIMA 15935 KG, DISTÂNCIA ENTRE EIXOS 4,80 M, POTÊNCIA 230 CV, INCLUSIVE LIMPADORA A SUCÇÃO, TANQUE 12000 L - CHI DIURNO. AF_05/2023</t>
  </si>
  <si>
    <t>PENEIRA ROTATIVA COM MOTOR ELÉTRICO TRIFÁSICO DE 2 CV, CILINDRO DE 1 M X 0,60 M, COM FUROS DE 3,17 MM - CHI DIURNO. AF_05/2023</t>
  </si>
  <si>
    <t>DOSADOR DE AREIA, CAPACIDADE DE 26 LITROS - CHI DIURNO. AF_05/2023</t>
  </si>
  <si>
    <t>CAMINHONETE COM MOTOR A DIESEL, POTÊNCIA 180 CV, CABINE DUPLA, 4X4 - CHI DIURNO. AF_11/2015</t>
  </si>
  <si>
    <t>CAMINHONETE CABINE SIMPLES COM MOTOR 1.6 FLEX, CÂMBIO MANUAL, POTÊNCIA 101/104 CV, 2 PORTAS - CHI DIURNO. AF_11/2015</t>
  </si>
  <si>
    <t>CAMINHÃO DE TRANSPORTE DE MATERIAL ASFÁLTICO 20.000 L, COM CAVALO MECÂNICO DE CAPACIDADE MÁXIMA DE TRAÇÃO COMBINADO DE 45.000 KG, POTÊNCIA 330 CV, INCLUSIVE TANQUE DE ASFALTO COM MAÇARICO - CHI DIURNO. AF_12/2015</t>
  </si>
  <si>
    <t>APARELHO PARA CORTE E SOLDA OXI-ACETILENO SOBRE RODAS, INCLUSIVE CILINDROS E MAÇARICOS - CHI DIURNO. AF_05/2023</t>
  </si>
  <si>
    <t>MÁQUINA EXTRUSORA DE CONCRETO PARA GUIAS E SARJETAS, MOTOR A DIESEL, POTÊNCIA 14 CV - CHI DIURNO. AF_12/2015</t>
  </si>
  <si>
    <t>PERFURATRIZ COM TORRE METÁLICA PARA EXECUÇÃO DE ESTACA HÉLICE CONTÍNUA, PROFUNDIDADE MÁXIMA DE 32 M, DIÂMETRO MÁXIMO DE 1000 MM, POTÊNCIA INSTALADA DE 350 HP, MESA ROTATIVA COM TORQUE MÁXIMO DE 263 KNM - CHI DIURNO. AF_01/2016</t>
  </si>
  <si>
    <t>BETONEIRA CAPACIDADE NOMINAL 400 L, CAPACIDADE DE MISTURA 310 L, MOTOR A GASOLINA POTÊNCIA 5,5 HP, SEM CARREGADOR - CHI DIURNO. AF_02/2016</t>
  </si>
  <si>
    <t>ROLO COMPACTADOR VIBRATÓRIO PÉ DE CARNEIRO PARA SOLOS, POTÊNCIA 80 HP, PESO OPERACIONAL SEM/COM LASTRO 7,4 / 8,8 T, LARGURA DE TRABALHO 1,68 M - CHI DIURNO. AF_02/2016</t>
  </si>
  <si>
    <t>GRUA ASCENSIONAL, LANÇA DE 30 M, CAPACIDADE DE 1,0 T A 30 M, ALTURA ATÉ 39 M - CHI DIURNO. AF_05/2023</t>
  </si>
  <si>
    <t>GUINCHO ELÉTRICO DE COLUNA, CAPACIDADE 400 KG, COM MOTO FREIO, MOTOR TRIFÁSICO DE 1,25 CV - CHI DIURNO. AF_03/2016</t>
  </si>
  <si>
    <t>GUINDASTE HIDRÁULICO AUTOPROPELIDO, COM LANÇA TELESCÓPICA 40 M, CAPACIDADE MÁXIMA 60 T, POTÊNCIA 260 KW - CHI DIURNO. AF_03/2016</t>
  </si>
  <si>
    <t>GUINDAUTO HIDRÁULICO, CAPACIDADE MÁXIMA DE CARGA 3300 KG, MOMENTO MÁXIMO DE CARGA 5,8 TM, ALCANCE MÁXIMO HORIZONTAL 7,60 M, INCLUSIVE CAMINHÃO TOCO PBT 16.000 KG, POTÊNCIA DE 189 CV - CHI DIURNO. AF_03/2016</t>
  </si>
  <si>
    <t>GERADOR PORTÁTIL MONOFÁSICO, POTÊNCIA 5500 VA, MOTOR A GASOLINA, POTÊNCIA DO MOTOR 13 CV - CHI DIURNO. AF_03/2016</t>
  </si>
  <si>
    <t>GRUPO GERADOR REBOCÁVEL, POTÊNCIA 66 KVA, MOTOR A DIESEL - CHI DIURNO. AF_03/2016</t>
  </si>
  <si>
    <t>GRUPO GERADOR ESTACIONÁRIO, POTÊNCIA 150 KVA, MOTOR A DIESEL- CHI DIURNO. AF_03/2016</t>
  </si>
  <si>
    <t>USINA DE MISTURA ASFÁLTICA À QUENTE, TIPO CONTRA FLUXO, PROD 40 A 80 TON/HORA - CHI DIURNO. AF_05/2023</t>
  </si>
  <si>
    <t>USINA DE ASFALTO À FRIO, CAPACIDADE DE 40 A 60 TON/HORA, ELÉTRICA POTÊNCIA 30 CV - CHI DIURNO. AF_05/2023</t>
  </si>
  <si>
    <t>USINA MISTURADORA DE SOLOS, CAPACIDADE DE 200 A 500 TON/H, POTENCIA 75KW - CHI DIURNO. AF_07/2016</t>
  </si>
  <si>
    <t>DISTRIBUIDOR DE AGREGADOS AUTOPROPELIDO, CAP 3 M3, A DIESEL, POTÊNCIA 176CV - CHI DIURNO. AF_07/2016</t>
  </si>
  <si>
    <t>TALHA MANUAL DE CORRENTE, CAPACIDADE DE 2 TON. COM ELEVAÇÃO DE 3 M - CHI DIURNO. AF_07/2016</t>
  </si>
  <si>
    <t>GRUA ASCENCIONAL, LANÇA DE 42 M, CAPACIDADE DE 1,5 T A 30 M, ALTURA ATÉ 39 M - CHI DIURNO. AF_05/2023</t>
  </si>
  <si>
    <t>MARTELO DEMOLIDOR PNEUMÁTICO MANUAL, 32 KG - CHI DIURNO. AF_09/2016</t>
  </si>
  <si>
    <t>COMPACTADOR DE SOLOS DE PERCUSÃO (SOQUETE) COM MOTOR A GASOLINA, POTÊNCIA 3 CV - CHI DIURNO. AF_09/2016</t>
  </si>
  <si>
    <t>RÉGUA VIBRATÓRIA DUPLA PARA CONCRETO, PESO DE 60KG, COMPRIMENTO 4 M, COM MOTOR A GASOLINA, POTÊNCIA 5,5 HP - CHI DIURNO. AF_09/2016</t>
  </si>
  <si>
    <t>POLIDORA DE PISO (POLITRIZ), PESO DE 100KG, DIÂMETRO 450 MM, MOTOR ELÉTRICO, POTÊNCIA 4 HP - CHI DIURNO. AF_05/2023</t>
  </si>
  <si>
    <t>DESEMPENADEIRA DE CONCRETO, PESO DE 78 KG, 4 PÁS, MOTOR A GASOLINA, POTÊNCIA 5,5 HP - CHI DIURNO. AF_05/2023</t>
  </si>
  <si>
    <t>ROLO COMPACTADOR VIBRATORIO TANDEM, ACO LISO, POTENCIA 125 HP, PESO SEM/COM LASTRO 10,20/11,65 T, LARGURA DE TRABALHO 1,73 M - CHI DIURNO. AF_11/2016</t>
  </si>
  <si>
    <t>ESCAVADEIRA HIDRAULICA SOBRE ESTEIRA, EQUIPADA COM CLAMSHELL, COM CAPACIDADE DA CAÇAMBA ENTRE 1,20 E 1,50 M3, PESO OPERACIONAL ENTRE 20,00 E 22,00 TON, POTENCIA LIQUIDA ENTRE 150 E 160 HP - CHI DIURNO. AF_11/2016</t>
  </si>
  <si>
    <t>GRUPO GERADOR COM CARENAGEM, MOTOR DIESEL POTÊNCIA STANDART ENTRE 250 E 260 KVA - CHI DIURNO. AF_12/2016</t>
  </si>
  <si>
    <t>TRATOR DE PNEUS COM POTÊNCIA DE 122 CV, TRAÇÃO 4X4, COM VASSOURA MECÂNICA ACOPLADA - CHI DIURNO. AF_02/2017</t>
  </si>
  <si>
    <t>TRATOR DE PNEUS COM POTÊNCIA DE 122 CV, TRAÇÃO 4X4, COM GRADE DE DISCOS ACOPLADA - CHI DIURNO. AF_02/2017</t>
  </si>
  <si>
    <t>TRATOR DE PNEUS COM POTÊNCIA DE 85 CV, TRAÇÃO 4X4, COM GRADE DE DISCOS ACOPLADA - CHI DIURNO. AF_02/2017</t>
  </si>
  <si>
    <t>CAMINHÃO BASCULANTE 10 M3, TRUCADO, POTÊNCIA 230 CV, INCLUSIVE CAÇAMBA METÁLICA, COM DISTRIBUIDOR DE AGREGADOS ACOPLADO - CHI DIURNO. AF_02/2017</t>
  </si>
  <si>
    <t>TRATOR DE PNEUS COM POTÊNCIA DE 85 CV, TRAÇÃO 4X4, COM VASSOURA MECÂNICA ACOPLADA - CHI DIURNO. AF_02/2017</t>
  </si>
  <si>
    <t>MINICARREGADEIRA SOBRE RODAS POTENCIA 47HP CAPACIDADE OPERACAO 646 KG, COM VASSOURA MECÂNICA ACOPLADA - CHI DIURNO. AF_03/2017</t>
  </si>
  <si>
    <t>MÁQUINA DEMARCADORA DE FAIXA DE TRÁFEGO À FRIO, AUTOPROPELIDA, POTÊNCIA 38 HP - CHI DIURNO. AF_07/2016</t>
  </si>
  <si>
    <t>LAVADORA DE ALTA PRESSAO (LAVA-JATO) PARA AGUA FRIA, PRESSAO DE OPERACAO ENTRE 1400 E 1900 LIB/POL2, VAZAO MAXIMA ENTRE 400 E 700 L/H - CHI DIURNO. AF_05/2023</t>
  </si>
  <si>
    <t>USINA DE MISTURA ASFÁLTICA À QUENTE, TIPO CONTRA FLUXO, PROD 100 A 140 TON/HORA - CHI DIURNO. AF_12/2019</t>
  </si>
  <si>
    <t>USINA DE ASFALTO, TIPO GRAVIMÉTRICA, PROD 150 TON/HORA - CHI DIURNO. AF_12/2019</t>
  </si>
  <si>
    <t>TERMOFUSORA PARA TUBOS E CONEXÕES EM PPR COM DIÂMETROS DE 20 A 63 MM, POTÊNCIA DE 800 W, TENSAO 220 V - CHI DIURNO. AF_05/2022</t>
  </si>
  <si>
    <t>TERMOFUSORA PARA TUBOS E CONEXÕES EM PPR COM DIÂMETROS DE 75 A 110 MM, POTÊNCIA DE *1100* W, TENSÃO 220 V - CHI DIURNO. AF_05/2022</t>
  </si>
  <si>
    <t>ROLO COMPACTADOR VIBRATÓRIO PÉ DE CARNEIRO PARA SOLOS, POTÊNCIA 80 HP, PESO OPERACIONAL SEM/COM LASTRO 7,4 / 8,8 T, LARGURA DE TRABALHO 1,68 M - MANUTENÇÃO. AF_02/2016</t>
  </si>
  <si>
    <t>ESCAVADEIRA HIDRÁULICA SOBRE ESTEIRAS, CAÇAMBA 0,80 M3, PESO OPERACIONAL 17 T, POTENCIA BRUTA 111 HP - DEPRECIAÇÃO. AF_06/2014</t>
  </si>
  <si>
    <t>ESCAVADEIRA HIDRÁULICA SOBRE ESTEIRAS, CAÇAMBA 0,80 M3, PESO OPERACIONAL 17 T, POTENCIA BRUTA 111 HP - JUROS. AF_06/2014</t>
  </si>
  <si>
    <t>ESCAVADEIRA HIDRÁULICA SOBRE ESTEIRAS, CAÇAMBA 0,80 M3, PESO OPERACIONAL 17 T, POTENCIA BRUTA 111 HP - MANUTENÇÃO. AF_06/2014</t>
  </si>
  <si>
    <t>ESCAVADEIRA HIDRÁULICA SOBRE ESTEIRAS, CAÇAMBA 0,80 M3, PESO OPERACIONAL 17 T, POTENCIA BRUTA 111 HP - MATERIAIS NA OPERAÇÃO. AF_06/2014</t>
  </si>
  <si>
    <t>RETROESCAVADEIRA SOBRE RODAS COM CARREGADEIRA, TRAÇÃO 4X4, POTÊNCIA LÍQ. 88 HP, CAÇAMBA CARREG. CAP. MÍN. 1 M3, CAÇAMBA RETRO CAP. 0,26 M3, PESO OPERACIONAL MÍN. 6.674 KG, PROFUNDIDADE ESCAVAÇÃO MÁX. 4,37 M - MANUTENÇÃO. AF_06/2014</t>
  </si>
  <si>
    <t>RETROESCAVADEIRA SOBRE RODAS COM CARREGADEIRA, TRAÇÃO 4X2, POTÊNCIA LÍQ. 79 HP, CAÇAMBA CARREG. CAP. MÍN. 1 M3, CAÇAMBA RETRO CAP. 0,20 M3, PESO OPERACIONAL MÍN. 6.570 KG, PROFUNDIDADE ESCAVAÇÃO MÁX. 4,37 M - MANUTENÇÃO. AF_06/2014</t>
  </si>
  <si>
    <t>RETROESCAVADEIRA SOBRE RODAS COM CARREGADEIRA, TRAÇÃO 4X2, POTÊNCIA LÍQ. 79 HP, CAÇAMBA CARREG. CAP. MÍN. 1 M3, CAÇAMBA RETRO CAP. 0,20 M3, PESO OPERACIONAL MÍN. 6.570 KG, PROFUNDIDADE ESCAVAÇÃO MÁX. 4,37 M - MATERIAIS NA OPERAÇÃO. AF_06/2014</t>
  </si>
  <si>
    <t>ROLO COMPACTADOR VIBRATÓRIO DE UM CILINDRO AÇO LISO, POTÊNCIA 80 HP, PESO OPERACIONAL MÁXIMO 8,1 T, IMPACTO DINÂMICO 16,15 / 9,5 T, LARGURA DE TRABALHO 1,68 M - MANUTENÇÃO. AF_06/2014</t>
  </si>
  <si>
    <t>MOTOBOMBA CENTRÍFUGA, MOTOR A GASOLINA, POTÊNCIA 5,42 HP, BOCAIS 1 1/2" X 1", DIÂMETRO ROTOR 143 MM HM/Q = 6 MCA / 16,8 M3/H A 38 MCA / 6,6 M3/H - MANUTENÇÃO. AF_06/2014</t>
  </si>
  <si>
    <t>MOTOBOMBA CENTRÍFUGA, MOTOR A GASOLINA, POTÊNCIA 5,42 HP, BOCAIS 1 1/2" X 1", DIÂMETRO ROTOR 143 MM HM/Q = 6 MCA / 16,8 M3/H A 38 MCA / 6,6 M3/H - MATERIAIS NA OPERAÇÃO. AF_06/2014</t>
  </si>
  <si>
    <t>CAMINHÃO BASCULANTE 6 M3, PESO BRUTO TOTAL 16.000 KG, CARGA ÚTIL MÁXIMA 13.071 KG, DISTÂNCIA ENTRE EIXOS 4,80 M, POTÊNCIA 230 CV INCLUSIVE CAÇAMBA METÁLICA - MANUTENÇÃO. AF_06/2014</t>
  </si>
  <si>
    <t>USINA DE CONCRETO FIXA, CAPACIDADE NOMINAL DE 90 A 120 M3/H, SEM SILO - MATERIAIS NA OPERAÇÃO. AF_07/2016</t>
  </si>
  <si>
    <t>CAMINHÃO TOCO, PBT 16.000 KG, CARGA ÚTIL MÁX. 10.685 KG, DIST. ENTRE EIXOS 4,8 M, POTÊNCIA 189 CV, INCLUSIVE CARROCERIA FIXA ABERTA DE MADEIRA P/ TRANSPORTE GERAL DE CARGA SECA, DIMEN. APROX. 2,5 X 7,00 X 0,50 M - MANUTENÇÃO. AF_06/2014</t>
  </si>
  <si>
    <t>USINA MISTURADORA DE SOLOS, CAPACIDADE DE 200 A 500 TON/H, POTENCIA 75KW - MANUTENÇÃO. AF_07/2016</t>
  </si>
  <si>
    <t>VIBROACABADORA DE ASFALTO SOBRE ESTEIRAS, LARGURA DE PAVIMENTAÇÃO 1,90 M A 5,30 M, POTÊNCIA 105 HP CAPACIDADE 450 T/H - MANUTENÇÃO. AF_11/2014</t>
  </si>
  <si>
    <t>VIBROACABADORA DE ASFALTO SOBRE ESTEIRAS, LARGURA DE PAVIMENTAÇÃO 1,90 M A 5,30 M, POTÊNCIA 105 HP CAPACIDADE 450 T/H - MATERIAIS NA OPERAÇÃO. AF_11/2014</t>
  </si>
  <si>
    <t>TRATOR DE PNEUS, POTÊNCIA 85 CV, TRAÇÃO 4X4, PESO COM LASTRO DE 4.675 KG - MANUTENÇÃO. AF_06/2014</t>
  </si>
  <si>
    <t>TRATOR DE PNEUS, POTÊNCIA 85 CV, TRAÇÃO 4X4, PESO COM LASTRO DE 4.675 KG - MATERIAIS NA OPERAÇÃO. AF_06/2014</t>
  </si>
  <si>
    <t>TRATOR DE ESTEIRAS, POTÊNCIA 170 HP, PESO OPERACIONAL 19 T, CAÇAMBA 5,2 M3 - MATERIAIS NA OPERAÇÃO. AF_06/2014</t>
  </si>
  <si>
    <t>TRATOR DE ESTEIRAS, POTÊNCIA 150 HP, PESO OPERACIONAL 16,7 T, COM RODA MOTRIZ ELEVADA E LÂMINA 3,18 M3 - MATERIAIS NA OPERAÇÃO. AF_06/2014</t>
  </si>
  <si>
    <t>TRATOR DE ESTEIRAS, POTÊNCIA 347 HP, PESO OPERACIONAL 38,5 T, COM LÂMINA 8,70 M3 - MATERIAIS NA OPERAÇÃO. AF_06/2014</t>
  </si>
  <si>
    <t>TRATOR DE ESTEIRAS, POTÊNCIA 100 HP, PESO OPERACIONAL 9,4 T, COM LÂMINA 2,19 M3 - MANUTENÇÃO. AF_06/2014</t>
  </si>
  <si>
    <t>ROLO COMPACTADOR VIBRATÓRIO REBOCÁVEL, CILINDRO DE AÇO LISO, POTÊNCIA DE TRAÇÃO DE 65 CV, PESO 4,7 T, IMPACTO DINÂMICO 18,3 T, LARGURA DE TRABALHO 1,67 M - MANUTENÇÃO. AF_02/2016</t>
  </si>
  <si>
    <t>ROLO COMPACTADOR VIBRATÓRIO TANDEM AÇO LISO, POTÊNCIA 58 HP, PESO SEM/COM LASTRO 6,5 / 9,4 T, LARGURA DE TRABALHO 1,2 M - MANUTENÇÃO. AF_06/2014</t>
  </si>
  <si>
    <t>ROLO COMPACTADOR VIBRATÓRIO TANDEM AÇO LISO, POTÊNCIA 58 HP, PESO SEM/COM LASTRO 6,5 / 9,4 T, LARGURA DE TRABALHO 1,2 M - MATERIAIS NA OPERAÇÃO. AF_06/2014</t>
  </si>
  <si>
    <t>RETROESCAVADEIRA SOBRE RODAS COM CARREGADEIRA, TRAÇÃO 4X4, POTÊNCIA LÍQ. 72 HP, CAÇAMBA CARREG. CAP. MÍN. 0,79 M3, CAÇAMBA RETRO CAP. 0,18 M3, PESO OPERACIONAL MÍN. 7.140 KG, PROFUNDIDADE ESCAVAÇÃO MÁX. 4,50 M - MANUTENÇÃO. AF_06/2014</t>
  </si>
  <si>
    <t>RETROESCAVADEIRA SOBRE RODAS COM CARREGADEIRA, TRAÇÃO 4X4, POTÊNCIA LÍQ. 72 HP, CAÇAMBA CARREG. CAP. MÍN. 0,79 M3, CAÇAMBA RETRO CAP. 0,18 M3, PESO OPERACIONAL MÍN. 7.140 KG, PROFUNDIDADE ESCAVAÇÃO MÁX. 4,50 M - MATERIAIS NA OPERAÇÃO. AF_06/2014</t>
  </si>
  <si>
    <t>ROLO COMPACTADOR VIBRATÓRIO PÉ DE CARNEIRO, OPERADO POR CONTROLE REMOTO, POTÊNCIA 12,5 KW, PESO OPERACIONAL 1,675 T, LARGURA DE TRABALHO 0,85 M - DEPRECIAÇÃO. AF_02/2016</t>
  </si>
  <si>
    <t>ROLO COMPACTADOR VIBRATÓRIO PÉ DE CARNEIRO, OPERADO POR CONTROLE REMOTO, POTÊNCIA 12,5 KW, PESO OPERACIONAL 1,675 T, LARGURA DE TRABALHO 0,85 M - MANUTENÇÃO. AF_02/2016</t>
  </si>
  <si>
    <t>CAMINHÃO PIPA 6.000 L, PESO BRUTO TOTAL 13.000 KG, DISTÂNCIA ENTRE EIXOS 4,80 M, POTÊNCIA 189 CV INCLUSIVE TANQUE DE AÇO PARA TRANSPORTE DE ÁGUA, CAPACIDADE 6 M3 - MATERIAIS NA OPERAÇÃO. AF_06/2014</t>
  </si>
  <si>
    <t>CAMINHÃO TOCO, PESO BRUTO TOTAL 14.300 KG, CARGA ÚTIL MÁXIMA 9590 KG, DISTÂNCIA ENTRE EIXOS 4,76 M, POTÊNCIA 185 CV (NÃO INCLUI CARROCERIA) - MANUTENÇÃO. AF_06/2014</t>
  </si>
  <si>
    <t>CAMINHÃO TOCO, PESO BRUTO TOTAL 16.000 KG, CARGA ÚTIL MÁXIMA DE 10.685 KG, DISTÂNCIA ENTRE EIXOS 4,80 M, POTÊNCIA 189 CV EXCLUSIVE CARROCERIA - MANUTENÇÃO. AF_06/2014</t>
  </si>
  <si>
    <t>CAMINHÃO PIPA 10.000 L TRUCADO, PESO BRUTO TOTAL 23.000 KG, CARGA ÚTIL MÁXIMA 15.935 KG, DISTÂNCIA ENTRE EIXOS 4,8 M, POTÊNCIA 230 CV, INCLUSIVE TANQUE DE AÇO PARA TRANSPORTE DE ÁGUA - MANUTENÇÃO. AF_06/2014</t>
  </si>
  <si>
    <t>ESPARGIDOR DE ASFALTO PRESSURIZADO COM TANQUE DE 2500 L, REBOCÁVEL COM MOTOR A GASOLINA POTÊNCIA 3,4 HP - MANUTENÇÃO. AF_07/2014</t>
  </si>
  <si>
    <t>ESPARGIDOR DE ASFALTO PRESSURIZADO COM TANQUE DE 2500 L, REBOCÁVEL COM MOTOR A GASOLINA POTÊNCIA 3,4 HP - MATERIAIS NA OPERAÇÃO. AF_07/2014</t>
  </si>
  <si>
    <t>MOTONIVELADORA POTÊNCIA BÁSICA LÍQUIDA (PRIMEIRA MARCHA) 125 HP, PESO BRUTO 13032 KG, LARGURA DA LÂMINA DE 3,7 M - MANUTENÇÃO. AF_06/2014</t>
  </si>
  <si>
    <t>PÁ CARREGADEIRA SOBRE RODAS, POTÊNCIA 197 HP, CAPACIDADE DA CAÇAMBA 2,5 A 3,5 M3, PESO OPERACIONAL 18338 KG - MATERIAIS NA OPERAÇÃO. AF_06/2014</t>
  </si>
  <si>
    <t>COMPRESSOR DE AR REBOCÁVEL, VAZÃO 189 PCM, PRESSÃO EFETIVA DE TRABALHO 102 PSI, MOTOR DIESEL, POTÊNCIA 63 CV - MANUTENÇÃO. AF_06/2015</t>
  </si>
  <si>
    <t>TANQUE DE ASFALTO ESTACIONÁRIO COM SERPENTINA, CAPACIDADE 30.000 L - DEPRECIAÇÃO. AF_05/2023</t>
  </si>
  <si>
    <t>TANQUE DE ASFALTO ESTACIONÁRIO COM SERPENTINA, CAPACIDADE 30.000 L - JUROS. AF_05/2023</t>
  </si>
  <si>
    <t>TANQUE DE ASFALTO ESTACIONÁRIO COM SERPENTINA, CAPACIDADE 30.000 L - MANUTENÇÃO. AF_05/2023</t>
  </si>
  <si>
    <t>TANQUE DE ASFALTO ESTACIONÁRIO COM SERPENTINA, CAPACIDADE 30.000 L - MATERIAIS NA OPERAÇÃO. AF_05/2023</t>
  </si>
  <si>
    <t>ROLO COMPACTADOR DE PNEUS ESTÁTICO, PRESSÃO VARIÁVEL, POTÊNCIA 111 HP, PESO SEM/COM LASTRO 9,5 / 26 T, LARGURA DE TRABALHO 1,90 M - DEPRECIAÇÃO. AF_07/2014</t>
  </si>
  <si>
    <t>ROLO COMPACTADOR DE PNEUS ESTÁTICO, PRESSÃO VARIÁVEL, POTÊNCIA 111 HP, PESO SEM/COM LASTRO 9,5 / 26 T, LARGURA DE TRABALHO 1,90 M - JUROS. AF_07/2014</t>
  </si>
  <si>
    <t>ROLO COMPACTADOR DE PNEUS ESTÁTICO, PRESSÃO VARIÁVEL, POTÊNCIA 111 HP, PESO SEM/COM LASTRO 9,5 / 26 T, LARGURA DE TRABALHO 1,90 M - MANUTENÇÃO. AF_07/2014</t>
  </si>
  <si>
    <t>MOTOBOMBA TRASH (PARA ÁGUA SUJA) AUTO ESCORVANTE, MOTOR GASOLINA DE 6,41 HP, DIÂMETROS DE SUCÇÃO X RECALQUE: 3" X 3", HM/Q = 10 MCA / 60 M3/H A 23 MCA / 0 M3/H - DEPRECIAÇÃO. AF_10/2014</t>
  </si>
  <si>
    <t>MOTOBOMBA TRASH (PARA ÁGUA SUJA) AUTO ESCORVANTE, MOTOR GASOLINA DE 6,41 HP, DIÂMETROS DE SUCÇÃO X RECALQUE: 3" X 3", HM/Q = 10 MCA / 60 M3/H A 23 MCA / 0 M3/H - JUROS. AF_10/2014</t>
  </si>
  <si>
    <t>MOTOBOMBA TRASH (PARA ÁGUA SUJA) AUTO ESCORVANTE, MOTOR GASOLINA DE 6,41 HP, DIÂMETROS DE SUCÇÃO X RECALQUE: 3" X 3", HM/Q = 10 MCA / 60 M3/H A 23 MCA / 0 M3/H - MANUTENÇÃO. AF_10/2014</t>
  </si>
  <si>
    <t>MOTOBOMBA TRASH (PARA ÁGUA SUJA) AUTO ESCORVANTE, MOTOR GASOLINA DE 6,41 HP, DIÂMETROS DE SUCÇÃO X RECALQUE: 3" X 3", HM/Q = 10 MCA / 60 M3/H A 23 MCA / 0 M3/H - MATERIAIS NA OPERAÇÃO. AF_10/2014</t>
  </si>
  <si>
    <t>ROLO COMPACTADOR PE DE CARNEIRO VIBRATORIO, POTENCIA 125 HP, PESO OPERACIONAL SEM/COM LASTRO 11,95 / 13,30 T, IMPACTO DINAMICO 38,5 / 22,5 T, LARGURA DE TRABALHO 2,15 M - DEPRECIAÇÃO. AF_06/2014</t>
  </si>
  <si>
    <t>ROLO COMPACTADOR PE DE CARNEIRO VIBRATORIO, POTENCIA 125 HP, PESO OPERACIONAL SEM/COM LASTRO 11,95 / 13,30 T, IMPACTO DINAMICO 38,5 / 22,5 T, LARGURA DE TRABALHO 2,15 M - JUROS. AF_06/2014</t>
  </si>
  <si>
    <t>ROLO COMPACTADOR PE DE CARNEIRO VIBRATORIO, POTENCIA 125 HP, PESO OPERACIONAL SEM/COM LASTRO 11,95 / 13,30 T, IMPACTO DINAMICO 38,5 / 22,5 T, LARGURA DE TRABALHO 2,15 M - MANUTENÇÃO. AF_06/2014</t>
  </si>
  <si>
    <t>ROLO COMPACTADOR PE DE CARNEIRO VIBRATORIO, POTENCIA 125 HP, PESO OPERACIONAL SEM/COM LASTRO 11,95 / 13,30 T, IMPACTO DINAMICO 38,5 / 22,5 T, LARGURA DE TRABALHO 2,15 M - MATERIAIS NA OPERAÇÃO. AF_06/2014</t>
  </si>
  <si>
    <t>CAMINHÃO BASCULANTE 6 M3 TOCO, PESO BRUTO TOTAL 16.000 KG, CARGA ÚTIL MÁXIMA 11.130 KG, DISTÂNCIA ENTRE EIXOS 5,36 M, POTÊNCIA 185 CV, INCLUSIVE CAÇAMBA METÁLICA - DEPRECIAÇÃO. AF_06/2014</t>
  </si>
  <si>
    <t>CAMINHÃO BASCULANTE 6 M3 TOCO, PESO BRUTO TOTAL 16.000 KG, CARGA ÚTIL MÁXIMA 11.130 KG, DISTÂNCIA ENTRE EIXOS 5,36 M, POTÊNCIA 185 CV, INCLUSIVE CAÇAMBA METÁLICA - JUROS. AF_06/2014</t>
  </si>
  <si>
    <t>CAMINHÃO BASCULANTE 6 M3 TOCO, PESO BRUTO TOTAL 16.000 KG, CARGA ÚTIL MÁXIMA 11.130 KG, DISTÂNCIA ENTRE EIXOS 5,36 M, POTÊNCIA 185 CV, INCLUSIVE CAÇAMBA METÁLICA - MANUTENÇÃO. AF_06/2014</t>
  </si>
  <si>
    <t>CAMINHÃO BASCULANTE 6 M3 TOCO, PESO BRUTO TOTAL 16.000 KG, CARGA ÚTIL MÁXIMA 11.130 KG, DISTÂNCIA ENTRE EIXOS 5,36 M, POTÊNCIA 185 CV, INCLUSIVE CAÇAMBA METÁLICA - MATERIAIS NA OPERAÇÃO. AF_06/2014</t>
  </si>
  <si>
    <t>TRATOR DE PNEUS, POTÊNCIA 122 CV, TRAÇÃO 4X4, PESO COM LASTRO DE 4.510 KG - DEPRECIAÇÃO. AF_06/2014</t>
  </si>
  <si>
    <t>TRATOR DE PNEUS, POTÊNCIA 122 CV, TRAÇÃO 4X4, PESO COM LASTRO DE 4.510 KG - JUROS. AF_06/2014</t>
  </si>
  <si>
    <t>TRATOR DE PNEUS, POTÊNCIA 122 CV, TRAÇÃO 4X4, PESO COM LASTRO DE 4.510 KG - MANUTENÇÃO. AF_06/2014</t>
  </si>
  <si>
    <t>TRATOR DE PNEUS, POTÊNCIA 122 CV, TRAÇÃO 4X4, PESO COM LASTRO DE 4.510 KG - MATERIAIS NA OPERAÇÃO. AF_06/2014</t>
  </si>
  <si>
    <t>RETROESCAVADEIRA SOBRE RODAS COM CARREGADEIRA, TRAÇÃO 4X4, POTÊNCIA LÍQ. 88 HP, CAÇAMBA CARREG. CAP. MÍN. 1 M3, CAÇAMBA RETRO CAP. 0,26 M3, PESO OPERACIONAL MÍN. 6.674 KG, PROFUNDIDADE ESCAVAÇÃO MÁX. 4,37 M - MATERIAIS NA OPERAÇÃO. AF_06/2014</t>
  </si>
  <si>
    <t>ROLO COMPACTADOR VIBRATÓRIO DE UM CILINDRO AÇO LISO, POTÊNCIA 80 HP, PESO OPERACIONAL MÁXIMO 8,1 T, IMPACTO DINÂMICO 16,15 / 9,5 T, LARGURA DE TRABALHO 1,68 M - MATERIAIS NA OPERAÇÃO. AF_06/2014</t>
  </si>
  <si>
    <t>CAMINHÃO BASCULANTE 6 M3, PESO BRUTO TOTAL 16.000 KG, CARGA ÚTIL MÁXIMA 13.071 KG, DISTÂNCIA ENTRE EIXOS 4,80 M, POTÊNCIA 230 CV INCLUSIVE CAÇAMBA METÁLICA - MATERIAIS NA OPERAÇÃO. AF_06/2014</t>
  </si>
  <si>
    <t>USINA DE CONCRETO FIXA, CAPACIDADE NOMINAL DE 90 A 120 M3/H, SEM SILO - MANUTENÇÃO. AF_07/2016</t>
  </si>
  <si>
    <t>CAMINHÃO TOCO, PBT 16.000 KG, CARGA ÚTIL MÁX. 10.685 KG, DIST. ENTRE EIXOS 4,8 M, POTÊNCIA 189 CV, INCLUSIVE CARROCERIA FIXA ABERTA DE MADEIRA P/ TRANSPORTE GERAL DE CARGA SECA, DIMEN. APROX. 2,5 X 7,00 X 0,50 M - MATERIAIS NA OPERAÇÃO. AF_06/2014</t>
  </si>
  <si>
    <t>VASSOURA MECÂNICA REBOCÁVEL COM ESCOVA CILÍNDRICA, LARGURA ÚTIL DE VARRIMENTO DE 2,44 M - MANUTENÇÃO. AF_06/2014</t>
  </si>
  <si>
    <t>TRATOR DE ESTEIRAS, POTÊNCIA 170 HP, PESO OPERACIONAL 19 T, CAÇAMBA 5,2 M3 - MANUTENÇÃO. AF_06/2014</t>
  </si>
  <si>
    <t>TRATOR DE ESTEIRAS, POTÊNCIA 150 HP, PESO OPERACIONAL 16,7 T, COM RODA MOTRIZ ELEVADA E LÂMINA 3,18 M3 - MANUTENÇÃO. AF_06/2014</t>
  </si>
  <si>
    <t>TRATOR DE ESTEIRAS, POTÊNCIA 347 HP, PESO OPERACIONAL 38,5 T, COM LÂMINA 8,70 M3 - MANUTENÇÃO. AF_06/2014</t>
  </si>
  <si>
    <t>TRATOR DE ESTEIRAS, POTÊNCIA 100 HP, PESO OPERACIONAL 9,4 T, COM LÂMINA 2,19 M3 - MATERIAIS NA OPERAÇÃO. AF_06/2014</t>
  </si>
  <si>
    <t>ROLO COMPACTADOR VIBRATÓRIO REBOCÁVEL, CILINDRO DE AÇO LISO, POTÊNCIA DE TRAÇÃO DE 65 CV, PESO 4,7 T, IMPACTO DINÂMICO 18,3 T, LARGURA DE TRABALHO 1,67 M - DEPRECIAÇÃO. AF_02/2016</t>
  </si>
  <si>
    <t>CAMINHÃO TOCO, PESO BRUTO TOTAL 14.300 KG, CARGA ÚTIL MÁXIMA 9590 KG, DISTÂNCIA ENTRE EIXOS 4,76 M, POTÊNCIA 185 CV (NÃO INCLUI CARROCERIA) - MATERIAIS NA OPERAÇÃO. AF_06/2014</t>
  </si>
  <si>
    <t>CAMINHÃO TOCO, PESO BRUTO TOTAL 16.000 KG, CARGA ÚTIL MÁXIMA DE 10.685 KG, DISTÂNCIA ENTRE EIXOS 4,80 M, POTÊNCIA 189 CV EXCLUSIVE CARROCERIA - MATERIAIS NA OPERAÇÃO. AF_06/2014</t>
  </si>
  <si>
    <t>CAMINHÃO PIPA 10.000 L TRUCADO, PESO BRUTO TOTAL 23.000 KG, CARGA ÚTIL MÁXIMA 15.935 KG, DISTÂNCIA ENTRE EIXOS 4,8 M, POTÊNCIA 230 CV, INCLUSIVE TANQUE DE AÇO PARA TRANSPORTE DE ÁGUA - MATERIAIS NA OPERAÇÃO. AF_06/2014</t>
  </si>
  <si>
    <t>GRADE DE DISCO REBOCÁVEL COM 20 DISCOS 24" X 6 MM COM PNEUS PARA TRANSPORTE - DEPRECIAÇÃO. AF_06/2014</t>
  </si>
  <si>
    <t>GRADE DE DISCO REBOCÁVEL COM 20 DISCOS 24" X 6 MM COM PNEUS PARA TRANSPORTE - MANUTENÇÃO. AF_06/2014</t>
  </si>
  <si>
    <t>MOTONIVELADORA POTÊNCIA BÁSICA LÍQUIDA (PRIMEIRA MARCHA) 125 HP, PESO BRUTO 13032 KG, LARGURA DA LÂMINA DE 3,7 M - MATERIAIS NA OPERAÇÃO. AF_06/2014</t>
  </si>
  <si>
    <t>PÁ CARREGADEIRA SOBRE RODAS, POTÊNCIA LÍQUIDA 128 HP, CAPACIDADE DA CAÇAMBA 1,7 A 2,8 M3, PESO OPERACIONAL 11632 KG - MANUTENÇÃO. AF_06/2014</t>
  </si>
  <si>
    <t>PÁ CARREGADEIRA SOBRE RODAS, POTÊNCIA LÍQUIDA 128 HP, CAPACIDADE DA CAÇAMBA 1,7 A 2,8 M3, PESO OPERACIONAL 11632 KG - MATERIAIS NA OPERAÇÃO. AF_06/2014</t>
  </si>
  <si>
    <t>PÁ CARREGADEIRA SOBRE RODAS, POTÊNCIA 197 HP, CAPACIDADE DA CAÇAMBA 2,5 A 3,5 M3, PESO OPERACIONAL 18338 KG - MANUTENÇÃO. AF_06/2014</t>
  </si>
  <si>
    <t>MARTELETE OU ROMPEDOR PNEUMÁTICO MANUAL, 28 KG, COM SILENCIADOR - MANUTENÇÃO. AF_07/2016</t>
  </si>
  <si>
    <t>COMPRESSOR DE AR REBOCÁVEL, VAZÃO 189 PCM, PRESSÃO EFETIVA DE TRABALHO 102 PSI, MOTOR DIESEL, POTÊNCIA 63 CV - MATERIAIS NA OPERAÇÃO. AF_06/2015</t>
  </si>
  <si>
    <t>CAMINHÃO PIPA 6.000 L, PESO BRUTO TOTAL 13.000 KG, DISTÂNCIA ENTRE EIXOS 4,80 M, POTÊNCIA 189 CV INCLUSIVE TANQUE DE AÇO PARA TRANSPORTE DE ÁGUA, CAPACIDADE 6 M3 - MANUTENÇÃO. AF_06/2014</t>
  </si>
  <si>
    <t>ROLO COMPACTADOR DE PNEUS ESTÁTICO, PRESSÃO VARIÁVEL, POTÊNCIA 111 HP, PESO SEM/COM LASTRO 9,5 / 26 T, LARGURA DE TRABALHO 1,90 M - MATERIAIS NA OPERAÇÃO. AF_07/2014</t>
  </si>
  <si>
    <t>GRUPO GERADOR ESTACIONÁRIO, MOTOR DIESEL POTÊNCIA 170 KVA - DEPRECIAÇÃO. AF_02/2016</t>
  </si>
  <si>
    <t>GRUPO GERADOR ESTACIONÁRIO, MOTOR DIESEL POTÊNCIA 170 KVA - MANUTENÇÃO. AF_02/2016</t>
  </si>
  <si>
    <t>ROLO COMPACTADOR VIBRATÓRIO PÉ DE CARNEIRO PARA SOLOS, POTÊNCIA 80 HP, PESO OPERACIONAL SEM/COM LASTRO 7,4 / 8,8 T, LARGURA DE TRABALHO 1,68 M - DEPRECIAÇÃO. AF_02/2016</t>
  </si>
  <si>
    <t>GRUPO GERADOR ESTACIONÁRIO, MOTOR DIESEL POTÊNCIA 170 KVA - MATERIAIS NA OPERAÇÃO. AF_02/2016</t>
  </si>
  <si>
    <t>ROLO COMPACTADOR VIBRATÓRIO PÉ DE CARNEIRO PARA SOLOS, POTÊNCIA 80 HP, PESO OPERACIONAL SEM/COM LASTRO 7,4 / 8,8 T, LARGURA DE TRABALHO 1,68 M - JUROS. AF_02/2016</t>
  </si>
  <si>
    <t>ROLO COMPACTADOR VIBRATÓRIO PÉ DE CARNEIRO PARA SOLOS, POTÊNCIA 80 HP, PESO OPERACIONAL SEM/COM LASTRO 7,4 / 8,8 T, LARGURA DE TRABALHO 1,68 M - MATERIAIS NA OPERAÇÃO. AF_02/2016</t>
  </si>
  <si>
    <t>CAMINHÃO TOCO, PBT 14.300 KG, CARGA ÚTIL MÁX. 9.710 KG, DIST. ENTRE EIXOS 3,56 M, POTÊNCIA 185 CV, INCLUSIVE CARROCERIA FIXA ABERTA DE MADEIRA P/ TRANSPORTE GERAL DE CARGA SECA, DIMEN. APROX. 2,50 X 6,50 X 0,50 M - MANUTENÇÃO. AF_06/2014</t>
  </si>
  <si>
    <t>CAMINHÃO TOCO, PBT 14.300 KG, CARGA ÚTIL MÁX. 9.710 KG, DIST. ENTRE EIXOS 3,56 M, POTÊNCIA 185 CV, INCLUSIVE CARROCERIA FIXA ABERTA DE MADEIRA P/ TRANSPORTE GERAL DE CARGA SECA, DIMEN. APROX. 2,50 X 6,50 X 0,50 M - MATERIAIS NA OPERAÇÃO. AF_06/2014</t>
  </si>
  <si>
    <t>GRUPO DE SOLDAGEM COM GERADOR A DIESEL 60 CV PARA SOLDA ELÉTRICA, SOBRE 04 RODAS, COM MOTOR 4 CILINDROS 600 A - DEPRECIAÇÃO. AF_02/2016</t>
  </si>
  <si>
    <t>GRUPO DE SOLDAGEM COM GERADOR A DIESEL 60 CV PARA SOLDA ELÉTRICA, SOBRE 04 RODAS, COM MOTOR 4 CILINDROS 600 A - MANUTENÇÃO. AF_02/2016</t>
  </si>
  <si>
    <t>GRUPO DE SOLDAGEM COM GERADOR A DIESEL 60 CV PARA SOLDA ELÉTRICA, SOBRE 04 RODAS, COM MOTOR 4 CILINDROS 600 A - MATERIAIS NA OPERAÇÃO. AF_02/2016</t>
  </si>
  <si>
    <t>GRUPO DE SOLDAGEM COM GERADOR A DIESEL 60 CV PARA SOLDA ELÉTRICA, SOBRE 04 RODAS, COM MOTOR 4 CILINDROS 600 A - JUROS. AF_02/2016</t>
  </si>
  <si>
    <t>GRADE DE DISCO REBOCÁVEL COM 20 DISCOS 24" X 6 MM COM PNEUS PARA TRANSPORTE - JUROS. AF_06/2014</t>
  </si>
  <si>
    <t>BETONEIRA CAPACIDADE NOMINAL 400 L, CAPACIDADE DE MISTURA 310 L, MOTOR A DIESEL POTÊNCIA 5,0 CV, SEM CARREGADOR - DEPRECIAÇÃO. AF_05/2023</t>
  </si>
  <si>
    <t>BETONEIRA CAPACIDADE NOMINAL 400 L, CAPACIDADE DE MISTURA 310 L, MOTOR A DIESEL POTÊNCIA 5,0 CV, SEM CARREGADOR - JUROS. AF_05/2023</t>
  </si>
  <si>
    <t>BETONEIRA CAPACIDADE NOMINAL 400 L, CAPACIDADE DE MISTURA 310 L, MOTOR A DIESEL POTÊNCIA 5,0 CV, SEM CARREGADOR - MANUTENÇÃO. AF_05/2023</t>
  </si>
  <si>
    <t>BETONEIRA CAPACIDADE NOMINAL 400 L, CAPACIDADE DE MISTURA 310 L, MOTOR A DIESEL POTÊNCIA 5,0 CV, SEM CARREGADOR - MATERIAIS NA OPERAÇÃO. AF_05/2023</t>
  </si>
  <si>
    <t>MISTURADOR DE ARGAMASSA, EIXO HORIZONTAL, CAPACIDADE DE MISTURA 300 KG, MOTOR ELÉTRICO POTÊNCIA 5 CV - DEPRECIAÇÃO. AF_05/2023</t>
  </si>
  <si>
    <t>MISTURADOR DE ARGAMASSA, EIXO HORIZONTAL, CAPACIDADE DE MISTURA 300 KG, MOTOR ELÉTRICO POTÊNCIA 5 CV - JUROS. AF_05/2023</t>
  </si>
  <si>
    <t>MISTURADOR DE ARGAMASSA, EIXO HORIZONTAL, CAPACIDADE DE MISTURA 300 KG, MOTOR ELÉTRICO POTÊNCIA 5 CV - MANUTENÇÃO. AF_05/2023</t>
  </si>
  <si>
    <t>MISTURADOR DE ARGAMASSA, EIXO HORIZONTAL, CAPACIDADE DE MISTURA 300 KG, MOTOR ELÉTRICO POTÊNCIA 5 CV - MATERIAIS NA OPERAÇÃO. AF_05/2023</t>
  </si>
  <si>
    <t>MISTURADOR DE ARGAMASSA, EIXO HORIZONTAL, CAPACIDADE DE MISTURA 600 KG, MOTOR ELÉTRICO POTÊNCIA 7,5 CV - DEPRECIAÇÃO. AF_05/2023</t>
  </si>
  <si>
    <t>MISTURADOR DE ARGAMASSA, EIXO HORIZONTAL, CAPACIDADE DE MISTURA 600 KG, MOTOR ELÉTRICO POTÊNCIA 7,5 CV - JUROS. AF_05/2023</t>
  </si>
  <si>
    <t>MISTURADOR DE ARGAMASSA, EIXO HORIZONTAL, CAPACIDADE DE MISTURA 600 KG, MOTOR ELÉTRICO POTÊNCIA 7,5 CV - MANUTENÇÃO. AF_05/2023</t>
  </si>
  <si>
    <t>MISTURADOR DE ARGAMASSA, EIXO HORIZONTAL, CAPACIDADE DE MISTURA 600 KG, MOTOR ELÉTRICO POTÊNCIA 7,5 CV - MATERIAIS NA OPERAÇÃO. AF_05/2023</t>
  </si>
  <si>
    <t>MISTURADOR DE ARGAMASSA, EIXO HORIZONTAL, CAPACIDADE DE MISTURA 160 KG, MOTOR ELÉTRICO POTÊNCIA 3 CV - DEPRECIAÇÃO. AF_05/2023</t>
  </si>
  <si>
    <t>MISTURADOR DE ARGAMASSA, EIXO HORIZONTAL, CAPACIDADE DE MISTURA 160 KG, MOTOR ELÉTRICO POTÊNCIA 3 CV - JUROS. AF_05/2023</t>
  </si>
  <si>
    <t>MISTURADOR DE ARGAMASSA, EIXO HORIZONTAL, CAPACIDADE DE MISTURA 160 KG, MOTOR ELÉTRICO POTÊNCIA 3 CV - MANUTENÇÃO. AF_05/2023</t>
  </si>
  <si>
    <t>MISTURADOR DE ARGAMASSA, EIXO HORIZONTAL, CAPACIDADE DE MISTURA 160 KG, MOTOR ELÉTRICO POTÊNCIA 3 CV - MATERIAIS NA OPERAÇÃO. AF_05/2023</t>
  </si>
  <si>
    <t>PROJETOR DE ARGAMASSA, CAPACIDADE DE PROJEÇÃO 1,5 M3/H, ALCANCE DE 30 ATÉ 60 M, MOTOR ELÉTRICO POTÊNCIA 7,5 HP - DEPRECIAÇÃO. AF_06/2014</t>
  </si>
  <si>
    <t>PROJETOR DE ARGAMASSA, CAPACIDADE DE PROJEÇÃO 1,5 M3/H, ALCANCE DE 30 ATÉ 60 M, MOTOR ELÉTRICO POTÊNCIA 7,5 HP - JUROS. AF_06/2014</t>
  </si>
  <si>
    <t>PROJETOR DE ARGAMASSA, CAPACIDADE DE PROJEÇÃO 1,5 M3/H, ALCANCE DE 30 ATÉ 60 M, MOTOR ELÉTRICO POTÊNCIA 7,5 HP - MANUTENÇÃO. AF_06/2014</t>
  </si>
  <si>
    <t>PROJETOR DE ARGAMASSA, CAPACIDADE DE PROJEÇÃO 1,5 M3/H, ALCANCE DE 30 ATÉ 60 M, MOTOR ELÉTRICO POTÊNCIA 7,5 HP - MATERIAIS NA OPERAÇÃO. AF_06/2014</t>
  </si>
  <si>
    <t>PROJETOR DE ARGAMASSA, CAPACIDADE DE PROJEÇÃO 2 M3/H, ALCANCE ATÉ 50 M, MOTOR ELÉTRICO POTÊNCIA 7,5 HP - DEPRECIAÇÃO. AF_06/2014</t>
  </si>
  <si>
    <t>PROJETOR DE ARGAMASSA, CAPACIDADE DE PROJEÇÃO 2 M3/H, ALCANCE ATÉ 50 M, MOTOR ELÉTRICO POTÊNCIA 7,5 HP - JUROS. AF_06/2014</t>
  </si>
  <si>
    <t>PROJETOR DE ARGAMASSA, CAPACIDADE DE PROJEÇÃO 2 M3/H, ALCANCE ATÉ 50 M, MOTOR ELÉTRICO POTÊNCIA 7,5 HP - MANUTENÇÃO. AF_06/2014</t>
  </si>
  <si>
    <t>PROJETOR DE ARGAMASSA, CAPACIDADE DE PROJEÇÃO 2 M3/H, ALCANCE ATÉ 50 M, MOTOR ELÉTRICO POTÊNCIA 7,5 HP - MATERIAIS NA OPERAÇÃO. AF_06/2014</t>
  </si>
  <si>
    <t>ESPARGIDOR DE ASFALTO PRESSURIZADO COM TANQUE DE 2500 L, REBOCÁVEL COM MOTOR A GASOLINA POTÊNCIA 3,4 HP - DEPRECIAÇÃO. AF_07/2014</t>
  </si>
  <si>
    <t>ESPARGIDOR DE ASFALTO PRESSURIZADO COM TANQUE DE 2500 L, REBOCÁVEL COM MOTOR A GASOLINA POTÊNCIA 3,4 HP - JUROS. AF_07/2014</t>
  </si>
  <si>
    <t>BETONEIRA CAPACIDADE NOMINAL DE 400 L, CAPACIDADE DE MISTURA 280 L, MOTOR ELÉTRICO TRIFÁSICO POTÊNCIA DE 2 CV, SEM CARREGADOR - DEPRECIAÇÃO. AF_05/2023</t>
  </si>
  <si>
    <t>BETONEIRA CAPACIDADE NOMINAL DE 400 L, CAPACIDADE DE MISTURA 280 L, MOTOR ELÉTRICO TRIFÁSICO POTÊNCIA DE 2 CV, SEM CARREGADOR - JUROS. AF_05/2023</t>
  </si>
  <si>
    <t>BETONEIRA CAPACIDADE NOMINAL DE 400 L, CAPACIDADE DE MISTURA 280 L, MOTOR ELÉTRICO TRIFÁSICO POTÊNCIA DE 2 CV, SEM CARREGADOR - MANUTENÇÃO. AF_05/2023</t>
  </si>
  <si>
    <t>BETONEIRA CAPACIDADE NOMINAL DE 400 L, CAPACIDADE DE MISTURA 280 L, MOTOR ELÉTRICO TRIFÁSICO POTÊNCIA DE 2 CV, SEM CARREGADOR - MATERIAIS NA OPERAÇÃO. AF_05/2023</t>
  </si>
  <si>
    <t>TRATOR DE ESTEIRAS, POTÊNCIA 125 HP, PESO OPERACIONAL 12,9 T, COM LÂMINA 2,7 M3 - DEPRECIAÇÃO. AF_10/2014</t>
  </si>
  <si>
    <t>TRATOR DE ESTEIRAS, POTÊNCIA 125 HP, PESO OPERACIONAL 12,9 T, COM LÂMINA 2,7 M3 - JUROS. AF_10/2014</t>
  </si>
  <si>
    <t>TRATOR DE ESTEIRAS, POTÊNCIA 125 HP, PESO OPERACIONAL 12,9 T, COM LÂMINA 2,7 M3 - MANUTENÇÃO. AF_10/2014</t>
  </si>
  <si>
    <t>TRATOR DE ESTEIRAS, POTÊNCIA 125 HP, PESO OPERACIONAL 12,9 T, COM LÂMINA 2,7 M3 - MATERIAIS NA OPERAÇÃO. AF_10/2014</t>
  </si>
  <si>
    <t>MOTOBOMBA CENTRÍFUGA, MOTOR A GASOLINA, POTÊNCIA 5,42 HP, BOCAIS 1 1/2" X 1", DIÂMETRO ROTOR 143 MM HM/Q = 6 MCA / 16,8 M3/H A 38 MCA / 6,6 M3/H - DEPRECIAÇÃO. AF_06/2014</t>
  </si>
  <si>
    <t>MOTOBOMBA CENTRÍFUGA, MOTOR A GASOLINA, POTÊNCIA 5,42 HP, BOCAIS 1 1/2" X 1", DIÂMETRO ROTOR 143 MM HM/Q = 6 MCA / 16,8 M3/H A 38 MCA / 6,6 M3/H - JUROS. AF_06/2014</t>
  </si>
  <si>
    <t>RETROESCAVADEIRA SOBRE RODAS COM CARREGADEIRA, TRAÇÃO 4X4, POTÊNCIA LÍQ. 88 HP, CAÇAMBA CARREG. CAP. MÍN. 1 M3, CAÇAMBA RETRO CAP. 0,26 M3, PESO OPERACIONAL MÍN. 6.674 KG, PROFUNDIDADE ESCAVAÇÃO MÁX. 4,37 M - DEPRECIAÇÃO. AF_06/2014</t>
  </si>
  <si>
    <t>RETROESCAVADEIRA SOBRE RODAS COM CARREGADEIRA, TRAÇÃO 4X4, POTÊNCIA LÍQ. 88 HP, CAÇAMBA CARREG. CAP. MÍN. 1 M3, CAÇAMBA RETRO CAP. 0,26 M3, PESO OPERACIONAL MÍN. 6.674 KG, PROFUNDIDADE ESCAVAÇÃO MÁX. 4,37 M - JUROS. AF_06/2014</t>
  </si>
  <si>
    <t>RETROESCAVADEIRA SOBRE RODAS COM CARREGADEIRA, TRAÇÃO 4X2, POTÊNCIA LÍQ. 79 HP, CAÇAMBA CARREG. CAP. MÍN. 1 M3, CAÇAMBA RETRO CAP. 0,20 M3, PESO OPERACIONAL MÍN. 6.570 KG, PROFUNDIDADE ESCAVAÇÃO MÁX. 4,37 M - DEPRECIAÇÃO. AF_06/2014</t>
  </si>
  <si>
    <t>RETROESCAVADEIRA SOBRE RODAS COM CARREGADEIRA, TRAÇÃO 4X2, POTÊNCIA LÍQ. 79 HP, CAÇAMBA CARREG. CAP. MÍN. 1 M3, CAÇAMBA RETRO CAP. 0,20 M3, PESO OPERACIONAL MÍN. 6.570 KG, PROFUNDIDADE ESCAVAÇÃO MÁX. 4,37 M - JUROS. AF_06/2014</t>
  </si>
  <si>
    <t>ESCAVADEIRA HIDRÁULICA SOBRE ESTEIRAS, CAÇAMBA 1,20 M3, PESO OPERACIONAL 21 T, POTÊNCIA BRUTA 155 HP - DEPRECIAÇÃO. AF_06/2014</t>
  </si>
  <si>
    <t>ESCAVADEIRA HIDRÁULICA SOBRE ESTEIRAS, CAÇAMBA 1,20 M3, PESO OPERACIONAL 21 T, POTÊNCIA BRUTA 155 HP - JUROS. AF_06/2014</t>
  </si>
  <si>
    <t>ESCAVADEIRA HIDRÁULICA SOBRE ESTEIRAS, CAÇAMBA 1,20 M3, PESO OPERACIONAL 21 T, POTÊNCIA BRUTA 155 HP - MANUTENÇÃO. AF_06/2014</t>
  </si>
  <si>
    <t>ESCAVADEIRA HIDRÁULICA SOBRE ESTEIRAS, CAÇAMBA 1,20 M3, PESO OPERACIONAL 21 T, POTÊNCIA BRUTA 155 HP - MATERIAIS NA OPERAÇÃO. AF_06/2014</t>
  </si>
  <si>
    <t>TRATOR DE ESTEIRAS, POTÊNCIA 150 HP, PESO OPERACIONAL 16,7 T, COM RODA MOTRIZ ELEVADA E LÂMINA 3,18 M3 - DEPRECIAÇÃO. AF_06/2014</t>
  </si>
  <si>
    <t>TRATOR DE ESTEIRAS, POTÊNCIA 150 HP, PESO OPERACIONAL 16,7 T, COM RODA MOTRIZ ELEVADA E LÂMINA 3,18 M3 - JUROS. AF_06/2014</t>
  </si>
  <si>
    <t>RETROESCAVADEIRA SOBRE RODAS COM CARREGADEIRA, TRAÇÃO 4X4, POTÊNCIA LÍQ. 72 HP, CAÇAMBA CARREG. CAP. MÍN. 0,79 M3, CAÇAMBA RETRO CAP. 0,18 M3, PESO OPERACIONAL MÍN. 7.140 KG, PROFUNDIDADE ESCAVAÇÃO MÁX. 4,50 M - DEPRECIAÇÃO. AF_06/2014</t>
  </si>
  <si>
    <t>RETROESCAVADEIRA SOBRE RODAS COM CARREGADEIRA, TRAÇÃO 4X4, POTÊNCIA LÍQ. 72 HP, CAÇAMBA CARREG. CAP. MÍN. 0,79 M3, CAÇAMBA RETRO CAP. 0,18 M3, PESO OPERACIONAL MÍN. 7.140 KG, PROFUNDIDADE ESCAVAÇÃO MÁX. 4,50 M - JUROS. AF_06/2014</t>
  </si>
  <si>
    <t>TRATOR DE ESTEIRAS, POTÊNCIA 347 HP, PESO OPERACIONAL 38,5 T, COM LÂMINA 8,70 M3 - DEPRECIAÇÃO. AF_06/2014</t>
  </si>
  <si>
    <t>TRATOR DE ESTEIRAS, POTÊNCIA 347 HP, PESO OPERACIONAL 38,5 T, COM LÂMINA 8,70 M3 - JUROS. AF_06/2014</t>
  </si>
  <si>
    <t>VASSOURA MECÂNICA REBOCÁVEL COM ESCOVA CILÍNDRICA, LARGURA ÚTIL DE VARRIMENTO DE 2,44 M - DEPRECIAÇÃO. AF_06/2014</t>
  </si>
  <si>
    <t>VASSOURA MECÂNICA REBOCÁVEL COM ESCOVA CILÍNDRICA, LARGURA ÚTIL DE VARRIMENTO DE 2,44 M - JUROS. AF_06/2014</t>
  </si>
  <si>
    <t>TRATOR DE ESTEIRAS, POTÊNCIA 170 HP, PESO OPERACIONAL 19 T, CAÇAMBA 5,2 M3 - DEPRECIAÇÃO. AF_06/2014</t>
  </si>
  <si>
    <t>TRATOR DE ESTEIRAS, POTÊNCIA 170 HP, PESO OPERACIONAL 19 T, CAÇAMBA 5,2 M3 - JUROS. AF_06/2014</t>
  </si>
  <si>
    <t>TANQUE DE ASFALTO ESTACIONÁRIO COM MAÇARICO, CAPACIDADE 20.000 L - DEPRECIAÇÃO. AF_05/2023</t>
  </si>
  <si>
    <t>TANQUE DE ASFALTO ESTACIONÁRIO COM MAÇARICO, CAPACIDADE 20.000 L - JUROS. AF_05/2023</t>
  </si>
  <si>
    <t>TANQUE DE ASFALTO ESTACIONÁRIO COM MAÇARICO, CAPACIDADE 20.000 L - MANUTENÇÃO. AF_05/2023</t>
  </si>
  <si>
    <t>TANQUE DE ASFALTO ESTACIONÁRIO COM MAÇARICO, CAPACIDADE 20.000 L - MATERIAIS NA OPERAÇÃO. AF_05/2023</t>
  </si>
  <si>
    <t>TRATOR DE ESTEIRAS, POTÊNCIA 100 HP, PESO OPERACIONAL 9,4 T, COM LÂMINA 2,19 M3 - DEPRECIAÇÃO. AF_06/2014</t>
  </si>
  <si>
    <t>TRATOR DE ESTEIRAS, POTÊNCIA 100 HP, PESO OPERACIONAL 9,4 T, COM LÂMINA 2,19 M3 - JUROS. AF_06/2014</t>
  </si>
  <si>
    <t>TRATOR DE PNEUS, POTÊNCIA 85 CV, TRAÇÃO 4X4, PESO COM LASTRO DE 4.675 KG - DEPRECIAÇÃO. AF_06/2014</t>
  </si>
  <si>
    <t>TRATOR DE PNEUS, POTÊNCIA 85 CV, TRAÇÃO 4X4, PESO COM LASTRO DE 4.675 KG - JUROS. AF_06/2014</t>
  </si>
  <si>
    <t>PÁ CARREGADEIRA SOBRE RODAS, POTÊNCIA LÍQUIDA 128 HP, CAPACIDADE DA CAÇAMBA 1,7 A 2,8 M3, PESO OPERACIONAL 11632 KG - DEPRECIAÇÃO. AF_06/2014</t>
  </si>
  <si>
    <t>PÁ CARREGADEIRA SOBRE RODAS, POTÊNCIA LÍQUIDA 128 HP, CAPACIDADE DA CAÇAMBA 1,7 A 2,8 M3, PESO OPERACIONAL 11632 KG - JUROS. AF_06/2014</t>
  </si>
  <si>
    <t>PÁ CARREGADEIRA SOBRE RODAS, POTÊNCIA 197 HP, CAPACIDADE DA CAÇAMBA 2,5 A 3,5 M3, PESO OPERACIONAL 18338 KG - DEPRECIAÇÃO. AF_06/2014</t>
  </si>
  <si>
    <t>PÁ CARREGADEIRA SOBRE RODAS, POTÊNCIA 197 HP, CAPACIDADE DA CAÇAMBA 2,5 A 3,5 M3, PESO OPERACIONAL 18338 KG - JUROS. AF_06/2014</t>
  </si>
  <si>
    <t>ROLO COMPACTADOR VIBRATÓRIO DE UM CILINDRO AÇO LISO, POTÊNCIA 80 HP, PESO OPERACIONAL MÁXIMO 8,1 T, IMPACTO DINÂMICO 16,15 / 9,5 T, LARGURA DE TRABALHO 1,68 M - DEPRECIAÇÃO. AF_06/2014</t>
  </si>
  <si>
    <t>ROLO COMPACTADOR VIBRATÓRIO DE UM CILINDRO AÇO LISO, POTÊNCIA 80 HP, PESO OPERACIONAL MÁXIMO 8,1 T, IMPACTO DINÂMICO 16,15 / 9,5 T, LARGURA DE TRABALHO 1,68 M - JUROS. AF_06/2014</t>
  </si>
  <si>
    <t>BATE-ESTACAS POR GRAVIDADE, POTÊNCIA DE 160 HP, PESO DO MARTELO ATÉ 3 TONELADAS - DEPRECIAÇÃO. AF_11/2014</t>
  </si>
  <si>
    <t>BATE-ESTACAS POR GRAVIDADE, POTÊNCIA DE 160 HP, PESO DO MARTELO ATÉ 3 TONELADAS - JUROS. AF_11/2014</t>
  </si>
  <si>
    <t>BATE-ESTACAS POR GRAVIDADE, POTÊNCIA DE 160 HP, PESO DO MARTELO ATÉ 3 TONELADAS - MANUTENÇÃO. AF_11/2014</t>
  </si>
  <si>
    <t>BATE-ESTACAS POR GRAVIDADE, POTÊNCIA DE 160 HP, PESO DO MARTELO ATÉ 3 TONELADAS - MATERIAIS NA OPERAÇÃO. AF_11/2014</t>
  </si>
  <si>
    <t>BETONEIRA CAPACIDADE NOMINAL DE 600 L, CAPACIDADE DE MISTURA 360 L, MOTOR ELÉTRICO TRIFÁSICO POTÊNCIA DE 4 CV, SEM CARREGADOR - DEPRECIAÇÃO. AF_05/2023</t>
  </si>
  <si>
    <t>BETONEIRA CAPACIDADE NOMINAL DE 600 L, CAPACIDADE DE MISTURA 360 L, MOTOR ELÉTRICO TRIFÁSICO POTÊNCIA DE 4 CV, SEM CARREGADOR - JUROS. AF_05/2023</t>
  </si>
  <si>
    <t>BETONEIRA CAPACIDADE NOMINAL DE 600 L, CAPACIDADE DE MISTURA 360 L, MOTOR ELÉTRICO TRIFÁSICO POTÊNCIA DE 4 CV, SEM CARREGADOR - MANUTENÇÃO. AF_05/2023</t>
  </si>
  <si>
    <t>BETONEIRA CAPACIDADE NOMINAL DE 600 L, CAPACIDADE DE MISTURA 360 L, MOTOR ELÉTRICO TRIFÁSICO POTÊNCIA DE 4 CV, SEM CARREGADOR - MATERIAIS NA OPERAÇÃO. AF_05/2023</t>
  </si>
  <si>
    <t>MOTONIVELADORA POTÊNCIA BÁSICA LÍQUIDA (PRIMEIRA MARCHA) 125 HP, PESO BRUTO 13032 KG, LARGURA DA LÂMINA DE 3,7 M - DEPRECIAÇÃO. AF_06/2014</t>
  </si>
  <si>
    <t>MOTONIVELADORA POTÊNCIA BÁSICA LÍQUIDA (PRIMEIRA MARCHA) 125 HP, PESO BRUTO 13032 KG, LARGURA DA LÂMINA DE 3,7 M - JUROS. AF_06/2014</t>
  </si>
  <si>
    <t>FRESADORA DE ASFALTO A FRIO SOBRE RODAS, LARGURA FRESAGEM DE 1,0 M, POTÊNCIA 208 HP - DEPRECIAÇÃO. AF_11/2014</t>
  </si>
  <si>
    <t>FRESADORA DE ASFALTO A FRIO SOBRE RODAS, LARGURA FRESAGEM DE 1,0 M, POTÊNCIA 208 HP - JUROS. AF_11/2014</t>
  </si>
  <si>
    <t>FRESADORA DE ASFALTO A FRIO SOBRE RODAS, LARGURA FRESAGEM DE 1,0 M, POTÊNCIA 208 HP - MANUTENÇÃO. AF_11/2014</t>
  </si>
  <si>
    <t>FRESADORA DE ASFALTO A FRIO SOBRE RODAS, LARGURA FRESAGEM DE 1,0 M, POTÊNCIA 208 HP - MATERIAIS NA OPERAÇÃO. AF_11/2014</t>
  </si>
  <si>
    <t>FRESADORA DE ASFALTO A FRIO SOBRE RODAS, LARGURA FRESAGEM DE 2,0 M, POTÊNCIA 550 HP - DEPRECIAÇÃO. AF_11/2014</t>
  </si>
  <si>
    <t>FRESADORA DE ASFALTO A FRIO SOBRE RODAS, LARGURA FRESAGEM DE 2,0 M, POTÊNCIA 550 HP - JUROS. AF_11/2014</t>
  </si>
  <si>
    <t>FRESADORA DE ASFALTO A FRIO SOBRE RODAS, LARGURA FRESAGEM DE 2,0 M, POTÊNCIA 550 HP - MANUTENÇÃO. AF_11/2014</t>
  </si>
  <si>
    <t>FRESADORA DE ASFALTO A FRIO SOBRE RODAS, LARGURA FRESAGEM DE 2,0 M, POTÊNCIA 550 HP - MATERIAIS NA OPERAÇÃO. AF_11/2014</t>
  </si>
  <si>
    <t>VIBROACABADORA DE ASFALTO SOBRE ESTEIRAS, LARGURA DE PAVIMENTAÇÃO 1,90 M A 5,30 M, POTÊNCIA 105 HP CAPACIDADE 450 T/H - DEPRECIAÇÃO. AF_11/2014</t>
  </si>
  <si>
    <t>VIBROACABADORA DE ASFALTO SOBRE ESTEIRAS, LARGURA DE PAVIMENTAÇÃO 1,90 M A 5,30 M, POTÊNCIA 105 HP CAPACIDADE 450 T/H - JUROS. AF_11/2014</t>
  </si>
  <si>
    <t>RECICLADORA DE ASFALTO A FRIO SOBRE RODAS, LARGURA FRESAGEM DE 2,0 M, POTÊNCIA 422 HP - DEPRECIAÇÃO. AF_11/2014</t>
  </si>
  <si>
    <t>RECICLADORA DE ASFALTO A FRIO SOBRE RODAS, LARGURA FRESAGEM DE 2,0 M, POTÊNCIA 422 HP - JUROS. AF_11/2014</t>
  </si>
  <si>
    <t>RECICLADORA DE ASFALTO A FRIO SOBRE RODAS, LARGURA FRESAGEM DE 2,0 M, POTÊNCIA 422 HP - MANUTENÇÃO. AF_11/2014</t>
  </si>
  <si>
    <t>RECICLADORA DE ASFALTO A FRIO SOBRE RODAS, LARGURA FRESAGEM DE 2,0 M, POTÊNCIA 422 HP - MATERIAIS NA OPERAÇÃO. AF_11/2014</t>
  </si>
  <si>
    <t>VIBROACABADORA DE ASFALTO SOBRE ESTEIRAS, LARGURA DE PAVIMENTAÇÃO 2,13 M A 4,55 M, POTÊNCIA 100 HP, CAPACIDADE 400 T/H - DEPRECIAÇÃO. AF_11/2014</t>
  </si>
  <si>
    <t>VIBROACABADORA DE ASFALTO SOBRE ESTEIRAS, LARGURA DE PAVIMENTAÇÃO 2,13 M A 4,55 M, POTÊNCIA 100 HP, CAPACIDADE 400 T/H - JUROS. AF_11/2014</t>
  </si>
  <si>
    <t>VIBROACABADORA DE ASFALTO SOBRE ESTEIRAS, LARGURA DE PAVIMENTAÇÃO 2,13 M A 4,55 M, POTÊNCIA 100 HP, CAPACIDADE 400 T/H - MANUTENÇÃO. AF_11/2014</t>
  </si>
  <si>
    <t>VIBROACABADORA DE ASFALTO SOBRE ESTEIRAS, LARGURA DE PAVIMENTAÇÃO 2,13 M A 4,55 M, POTÊNCIA 100 HP, CAPACIDADE 400 T/H - MATERIAIS NA OPERAÇÃO. AF_11/2014</t>
  </si>
  <si>
    <t>GUINDAUTO HIDRÁULICO, CAPACIDADE MÁXIMA DE CARGA 6200 KG, MOMENTO MÁXIMO DE CARGA 11,7 TM, ALCANCE MÁXIMO HORIZONTAL 9,70 M, INCLUSIVE CAMINHÃO TOCO PBT 16.000 KG, POTÊNCIA DE 189 CV - DEPRECIAÇÃO. AF_06/2014</t>
  </si>
  <si>
    <t>GUINDAUTO HIDRÁULICO, CAPACIDADE MÁXIMA DE CARGA 6200 KG, MOMENTO MÁXIMO DE CARGA 11,7 TM, ALCANCE MÁXIMO HORIZONTAL 9,70 M, INCLUSIVE CAMINHÃO TOCO PBT 16.000 KG, POTÊNCIA DE 189 CV - JUROS. AF_06/2014</t>
  </si>
  <si>
    <t>GUINDAUTO HIDRÁULICO, CAPACIDADE MÁXIMA DE CARGA 6200 KG, MOMENTO MÁXIMO DE CARGA 11,7 TM, ALCANCE MÁXIMO HORIZONTAL 9,70 M, INCLUSIVE CAMINHÃO TOCO PBT 16.000 KG, POTÊNCIA DE 189 CV - MANUTENÇÃO. AF_06/2014</t>
  </si>
  <si>
    <t>CAMINHÃO TOCO, PBT 16.000 KG, CARGA ÚTIL MÁX. 10.685 KG, DIST. ENTRE EIXOS 4,8 M, POTÊNCIA 189 CV, INCLUSIVE CARROCERIA FIXA ABERTA DE MADEIRA P/ TRANSPORTE GERAL DE CARGA SECA, DIMEN. APROX. 2,5 X 7,00 X 0,50 M - DEPRECIAÇÃO. AF_06/2014</t>
  </si>
  <si>
    <t>CAMINHÃO TOCO, PBT 16.000 KG, CARGA ÚTIL MÁX. 10.685 KG, DIST. ENTRE EIXOS 4,8 M, POTÊNCIA 189 CV, INCLUSIVE CARROCERIA FIXA ABERTA DE MADEIRA P/ TRANSPORTE GERAL DE CARGA SECA, DIMEN. APROX. 2,5 X 7,00 X 0,50 M - JUROS. AF_06/2014</t>
  </si>
  <si>
    <t>CAMINHÃO TOCO, PBT 16.000 KG, CARGA ÚTIL MÁX. 10.685 KG, DIST. ENTRE EIXOS 4,8 M, POTÊNCIA 189 CV, INCLUSIVE CARROCERIA FIXA ABERTA DE MADEIRA P/ TRANSPORTE GERAL DE CARGA SECA, DIMEN. APROX. 2,5 X 7,00 X 0,50 M - IMPOSTOS E SEGUROS. AF_06/2014</t>
  </si>
  <si>
    <t>GUINDASTE HIDRÁULICO AUTOPROPELIDO, COM LANÇA TELESCÓPICA 28,80 M, CAPACIDADE MÁXIMA 30 T, POTÊNCIA 97 KW, TRAÇÃO 4 X 4 - DEPRECIAÇÃO. AF_11/2014</t>
  </si>
  <si>
    <t>GUINDASTE HIDRÁULICO AUTOPROPELIDO, COM LANÇA TELESCÓPICA 28,80 M, CAPACIDADE MÁXIMA 30 T, POTÊNCIA 97 KW, TRAÇÃO 4 X 4 - JUROS. AF_11/2014</t>
  </si>
  <si>
    <t>GUINDASTE HIDRÁULICO AUTOPROPELIDO, COM LANÇA TELESCÓPICA 28,80 M, CAPACIDADE MÁXIMA 30 T, POTÊNCIA 97 KW, TRAÇÃO 4 X 4 - IMPOSTOS E SEGUROS. AF_11/2014</t>
  </si>
  <si>
    <t>GUINDASTE HIDRÁULICO AUTOPROPELIDO, COM LANÇA TELESCÓPICA 28,80 M, CAPACIDADE MÁXIMA 30 T, POTÊNCIA 97 KW, TRAÇÃO 4 X 4 - MANUTENÇÃO. AF_11/2014</t>
  </si>
  <si>
    <t>GUINDASTE HIDRÁULICO AUTOPROPELIDO, COM LANÇA TELESCÓPICA 28,80 M, CAPACIDADE MÁXIMA 30 T, POTÊNCIA 97 KW, TRAÇÃO 4 X 4 - MATERIAIS NA OPERAÇÃO. AF_11/2014</t>
  </si>
  <si>
    <t>BETONEIRA CAPACIDADE NOMINAL DE 600 L, CAPACIDADE DE MISTURA 440 L, MOTOR A DIESEL POTÊNCIA 10 CV, COM CARREGADOR - DEPRECIAÇÃO. AF_05/2023</t>
  </si>
  <si>
    <t>BETONEIRA CAPACIDADE NOMINAL DE 600 L, CAPACIDADE DE MISTURA 440 L, MOTOR A DIESEL POTÊNCIA 10 CV, COM CARREGADOR - JUROS. AF_05/2023</t>
  </si>
  <si>
    <t>BETONEIRA CAPACIDADE NOMINAL DE 600 L, CAPACIDADE DE MISTURA 440 L, MOTOR A DIESEL POTÊNCIA 10 CV, COM CARREGADOR - MANUTENÇÃO. AF_05/2023</t>
  </si>
  <si>
    <t>BETONEIRA CAPACIDADE NOMINAL DE 600 L, CAPACIDADE DE MISTURA 440 L, MOTOR A DIESEL POTÊNCIA 10 CV, COM CARREGADOR - MATERIAIS NA OPERAÇÃO. AF_05/2023</t>
  </si>
  <si>
    <t>ROLO COMPACTADOR VIBRATÓRIO TANDEM AÇO LISO, POTÊNCIA 58 HP, PESO SEM/COM LASTRO 6,5 / 9,4 T, LARGURA DE TRABALHO 1,2 M - DEPRECIAÇÃO. AF_06/2014</t>
  </si>
  <si>
    <t>ROLO COMPACTADOR VIBRATÓRIO TANDEM AÇO LISO, POTÊNCIA 58 HP, PESO SEM/COM LASTRO 6,5 / 9,4 T, LARGURA DE TRABALHO 1,2 M - JUROS. AF_06/2014</t>
  </si>
  <si>
    <t>CAMINHÃO BASCULANTE 14 M3, COM CAVALO MECÂNICO DE CAPACIDADE MÁXIMA DE TRAÇÃO COMBINADO DE 36000 KG, POTÊNCIA 286 CV, INCLUSIVE SEMIREBOQUE COM CAÇAMBA METÁLICA - DEPRECIAÇÃO. AF_12/2014</t>
  </si>
  <si>
    <t>CAMINHÃO BASCULANTE 14 M3, COM CAVALO MECÂNICO DE CAPACIDADE MÁXIMA DE TRAÇÃO COMBINADO DE 36000 KG, POTÊNCIA 286 CV, INCLUSIVE SEMIREBOQUE COM CAÇAMBA METÁLICA - JUROS. AF_12/2014</t>
  </si>
  <si>
    <t>CAMINHÃO BASCULANTE 14 M3, COM CAVALO MECÂNICO DE CAPACIDADE MÁXIMA DE TRAÇÃO COMBINADO DE 36000 KG, POTÊNCIA 286 CV, INCLUSIVE SEMIREBOQUE COM CAÇAMBA METÁLICA - IMPOSTOS E SEGUROS. AF_12/2014</t>
  </si>
  <si>
    <t>CAMINHÃO BASCULANTE 14 M3, COM CAVALO MECÂNICO DE CAPACIDADE MÁXIMA DE TRAÇÃO COMBINADO DE 36000 KG, POTÊNCIA 286 CV, INCLUSIVE SEMIREBOQUE COM CAÇAMBA METÁLICA - MANUTENÇÃO. AF_12/2014</t>
  </si>
  <si>
    <t>CAMINHÃO BASCULANTE 14 M3, COM CAVALO MECÂNICO DE CAPACIDADE MÁXIMA DE TRAÇÃO COMBINADO DE 36000 KG, POTÊNCIA 286 CV, INCLUSIVE SEMIREBOQUE COM CAÇAMBA METÁLICA - MATERIAIS NA OPERAÇÃO. AF_12/2014</t>
  </si>
  <si>
    <t>CAMINHÃO BASCULANTE 18 M3, COM CAVALO MECÂNICO DE CAPACIDADE MÁXIMA DE TRAÇÃO COMBINADO DE 45000 KG, POTÊNCIA 330 CV, INCLUSIVE SEMIREBOQUE COM CAÇAMBA METÁLICA - DEPRECIAÇÃO. AF_12/2014</t>
  </si>
  <si>
    <t>CAMINHÃO BASCULANTE 18 M3, COM CAVALO MECÂNICO DE CAPACIDADE MÁXIMA DE TRAÇÃO COMBINADO DE 45000 KG, POTÊNCIA 330 CV, INCLUSIVE SEMIREBOQUE COM CAÇAMBA METÁLICA - JUROS. AF_12/2014</t>
  </si>
  <si>
    <t>CAMINHÃO BASCULANTE 18 M3, COM CAVALO MECÂNICO DE CAPACIDADE MÁXIMA DE TRAÇÃO COMBINADO DE 45000 KG, POTÊNCIA 330 CV, INCLUSIVE SEMIREBOQUE COM CAÇAMBA METÁLICA - IMPOSTOS E SEGUROS. AF_12/2014</t>
  </si>
  <si>
    <t>CAMINHÃO BASCULANTE 18 M3, COM CAVALO MECÂNICO DE CAPACIDADE MÁXIMA DE TRAÇÃO COMBINADO DE 45000 KG, POTÊNCIA 330 CV, INCLUSIVE SEMIREBOQUE COM CAÇAMBA METÁLICA - MANUTENÇÃO. AF_12/2014</t>
  </si>
  <si>
    <t>CAMINHÃO BASCULANTE 18 M3, COM CAVALO MECÂNICO DE CAPACIDADE MÁXIMA DE TRAÇÃO COMBINADO DE 45000 KG, POTÊNCIA 330 CV, INCLUSIVE SEMIREBOQUE COM CAÇAMBA METÁLICA - MATERIAIS NA OPERAÇÃO. AF_12/2014</t>
  </si>
  <si>
    <t>VIBRADOR DE IMERSÃO, DIÂMETRO DE PONTEIRA 45MM, MOTOR ELÉTRICO TRIFÁSICO POTÊNCIA DE 2 CV - DEPRECIAÇÃO. AF_06/2015</t>
  </si>
  <si>
    <t>VIBRADOR DE IMERSÃO, DIÂMETRO DE PONTEIRA 45MM, MOTOR ELÉTRICO TRIFÁSICO POTÊNCIA DE 2 CV - JUROS. AF_06/2015</t>
  </si>
  <si>
    <t>VIBRADOR DE IMERSÃO, DIÂMETRO DE PONTEIRA 45MM, MOTOR ELÉTRICO TRIFÁSICO POTÊNCIA DE 2 CV - MANUTENÇÃO. AF_06/2015</t>
  </si>
  <si>
    <t>VIBRADOR DE IMERSÃO, DIÂMETRO DE PONTEIRA 45MM, MOTOR ELÉTRICO TRIFÁSICO POTÊNCIA DE 2 CV - MATERIAIS NA OPERAÇÃO. AF_06/2015</t>
  </si>
  <si>
    <t>PERFURATRIZ MANUAL, TORQUE MÁXIMO 83 N.M, POTÊNCIA 5 CV, COM DIÂMETRO MÁXIMO 4" - DEPRECIAÇÃO. AF_06/2015</t>
  </si>
  <si>
    <t>PERFURATRIZ MANUAL, TORQUE MÁXIMO 83 N.M, POTÊNCIA 5 CV, COM DIÂMETRO MÁXIMO 4" - JUROS. AF_06/2015</t>
  </si>
  <si>
    <t>PERFURATRIZ MANUAL, TORQUE MÁXIMO 83 N.M, POTÊNCIA 5 CV, COM DIÂMETRO MÁXIMO 4" - MANUTENÇÃO. AF_06/2015</t>
  </si>
  <si>
    <t>PERFURATRIZ MANUAL, TORQUE MÁXIMO 83 N.M, POTÊNCIA 5 CV, COM DIÂMETRO MÁXIMO 4" - MATERIAIS NA OPERAÇÃO. AF_06/2015</t>
  </si>
  <si>
    <t>PERFURATRIZ SOBRE ESTEIRA, TORQUE MÁXIMO 600 KGF, PESO MÉDIO 1000 KG, POTÊNCIA 20 HP, DIÂMETRO MÁXIMO 10" - DEPRECIAÇÃO. AF_06/2015</t>
  </si>
  <si>
    <t>PERFURATRIZ SOBRE ESTEIRA, TORQUE MÁXIMO 600 KGF, PESO MÉDIO 1000 KG, POTÊNCIA 20 HP, DIÂMETRO MÁXIMO 10" - JUROS. AF_06/2015</t>
  </si>
  <si>
    <t>PERFURATRIZ SOBRE ESTEIRA, TORQUE MÁXIMO 600 KGF, PESO MÉDIO 1000 KG, POTÊNCIA 20 HP, DIÂMETRO MÁXIMO 10" - MANUTENÇÃO. AF_06/2015</t>
  </si>
  <si>
    <t>PERFURATRIZ SOBRE ESTEIRA, TORQUE MÁXIMO 600 KGF, PESO MÉDIO 1000 KG, POTÊNCIA 20 HP, DIÂMETRO MÁXIMO 10" - MATERIAIS NA OPERAÇÃO. AF_06/2015</t>
  </si>
  <si>
    <t>MISTURADOR DUPLO HORIZONTAL DE ALTA TURBULÊNCIA, CAPACIDADE / VOLUME 2 X 500 LITROS, MOTORES ELÉTRICOS MÍNIMO 5 CV CADA, PARA NATA CIMENTO, ARGAMASSA E OUTROS - DEPRECIAÇÃO. AF_06/2015</t>
  </si>
  <si>
    <t>MISTURADOR DUPLO HORIZONTAL DE ALTA TURBULÊNCIA, CAPACIDADE / VOLUME 2 X 500 LITROS, MOTORES ELÉTRICOS MÍNIMO 5 CV CADA, PARA NATA CIMENTO, ARGAMASSA E OUTROS - JUROS. AF_06/2015</t>
  </si>
  <si>
    <t>MISTURADOR DUPLO HORIZONTAL DE ALTA TURBULÊNCIA, CAPACIDADE / VOLUME 2 X 500 LITROS, MOTORES ELÉTRICOS MÍNIMO 5 CV CADA, PARA NATA CIMENTO, ARGAMASSA E OUTROS - MANUTENÇÃO. AF_06/2015</t>
  </si>
  <si>
    <t>MISTURADOR DUPLO HORIZONTAL DE ALTA TURBULÊNCIA, CAPACIDADE / VOLUME 2 X 500 LITROS, MOTORES ELÉTRICOS MÍNIMO 5 CV CADA, PARA NATA CIMENTO, ARGAMASSA E OUTROS - MATERIAIS NA OPERAÇÃO. AF_06/2015</t>
  </si>
  <si>
    <t>BOMBA TRIPLEX, PARA INJEÇÃO DE NATA DE CIMENTO, VAZÃO MÁXIMA DE 100 LITROS/MINUTO, PRESSÃO MÁXIMA DE 70 BAR - DEPRECIAÇÃO. AF_06/2015</t>
  </si>
  <si>
    <t>BOMBA TRIPLEX, PARA INJEÇÃO DE NATA DE CIMENTO, VAZÃO MÁXIMA DE 100 LITROS/MINUTO, PRESSÃO MÁXIMA DE 70 BAR - JUROS. AF_06/2015</t>
  </si>
  <si>
    <t>BOMBA TRIPLEX, PARA INJEÇÃO DE NATA DE CIMENTO, VAZÃO MÁXIMA DE 100 LITROS/MINUTO, PRESSÃO MÁXIMA DE 70 BAR - MANUTENÇÃO. AF_06/2015</t>
  </si>
  <si>
    <t>BOMBA TRIPLEX, PARA INJEÇÃO DE NATA DE CIMENTO, VAZÃO MÁXIMA DE 100 LITROS/MINUTO, PRESSÃO MÁXIMA DE 70 BAR - MATERIAIS NA OPERAÇÃO. AF_06/2015</t>
  </si>
  <si>
    <t>BOMBA CENTRÍFUGA MONOESTÁGIO COM MOTOR ELÉTRICO MONOFÁSICO, POTÊNCIA 15 HP, DIÂMETRO DO ROTOR 173 MM, HM/Q = 30 MCA / 90 M3/H A 45 MCA / 55 M3/H - DEPRECIAÇÃO. AF_06/2015</t>
  </si>
  <si>
    <t>BOMBA CENTRÍFUGA MONOESTÁGIO COM MOTOR ELÉTRICO MONOFÁSICO, POTÊNCIA 15 HP, DIÂMETRO DO ROTOR 173 MM, HM/Q = 30 MCA / 90 M3/H A 45 MCA / 55 M3/H - JUROS. AF_06/2015</t>
  </si>
  <si>
    <t>BOMBA CENTRÍFUGA MONOESTÁGIO COM MOTOR ELÉTRICO MONOFÁSICO, POTÊNCIA 15 HP, DIÂMETRO DO ROTOR 173 MM, HM/Q = 30 MCA / 90 M3/H A 45 MCA / 55 M3/H - MANUTENÇÃO. AF_06/2015</t>
  </si>
  <si>
    <t>BOMBA CENTRÍFUGA MONOESTÁGIO COM MOTOR ELÉTRICO MONOFÁSICO, POTÊNCIA 15 HP, DIÂMETRO DO ROTOR 173 MM, HM/Q = 30 MCA / 90 M3/H A 45 MCA / 55 M3/H - MATERIAIS NA OPERAÇÃO. AF_06/2015</t>
  </si>
  <si>
    <t>BOMBA DE PROJEÇÃO DE CONCRETO SECO, POTÊNCIA 10 CV, VAZÃO 3 M3/H - DEPRECIAÇÃO. AF_06/2015</t>
  </si>
  <si>
    <t>BOMBA DE PROJEÇÃO DE CONCRETO SECO, POTÊNCIA 10 CV, VAZÃO 3 M3/H - JUROS. AF_06/2015</t>
  </si>
  <si>
    <t>BOMBA DE PROJEÇÃO DE CONCRETO SECO, POTÊNCIA 10 CV, VAZÃO 3 M3/H - MANUTENÇÃO. AF_06/2015</t>
  </si>
  <si>
    <t>BOMBA DE PROJEÇÃO DE CONCRETO SECO, POTÊNCIA 10 CV, VAZÃO 3 M3/H - MATERIAIS NA OPERAÇÃO. AF_06/2015</t>
  </si>
  <si>
    <t>BOMBA DE PROJEÇÃO DE CONCRETO SECO, POTÊNCIA 10 CV, VAZÃO 6 M3/H - DEPRECIAÇÃO. AF_06/2015</t>
  </si>
  <si>
    <t>BOMBA DE PROJEÇÃO DE CONCRETO SECO, POTÊNCIA 10 CV, VAZÃO 6 M3/H - JUROS. AF_06/2015</t>
  </si>
  <si>
    <t>BOMBA DE PROJEÇÃO DE CONCRETO SECO, POTÊNCIA 10 CV, VAZÃO 6 M3/H - MANUTENÇÃO. AF_06/2015</t>
  </si>
  <si>
    <t>BOMBA DE PROJEÇÃO DE CONCRETO SECO, POTÊNCIA 10 CV, VAZÃO 6 M3/H - MATERIAIS NA OPERAÇÃO. AF_06/2015</t>
  </si>
  <si>
    <t>PROJETOR PNEUMÁTICO DE ARGAMASSA PARA CHAPISCO E REBOCO COM RECIPIENTE ACOPLADO, TIPO CANEQUINHA, COM COMPRESSOR DE AR REBOCÁVEL VAZÃO 89 PCM E MOTOR DIESEL DE 20 CV - DEPRECIAÇÃO. AF_05/2023</t>
  </si>
  <si>
    <t>PROJETOR PNEUMÁTICO DE ARGAMASSA PARA CHAPISCO E REBOCO COM RECIPIENTE ACOPLADO, TIPO CANEQUINHA, COM COMPRESSOR DE AR REBOCÁVEL VAZÃO 89 PCM E MOTOR DIESEL DE 20 CV - JUROS. AF_05/2023</t>
  </si>
  <si>
    <t>PROJETOR PNEUMÁTICO DE ARGAMASSA PARA CHAPISCO E REBOCO COM RECIPIENTE ACOPLADO, TIPO CANEQUINHA, COM COMPRESSOR DE AR REBOCÁVEL VAZÃO 89 PCM E MOTOR DIESEL DE 20 CV - MANUTENÇÃO. AF_05/2023</t>
  </si>
  <si>
    <t>PROJETOR PNEUMÁTICO DE ARGAMASSA PARA CHAPISCO E REBOCO COM RECIPIENTE ACOPLADO, TIPO CANEQUINHA, COM COMPRESSOR DE AR REBOCÁVEL VAZÃO 89 PCM E MOTOR DIESEL DE 20 CV - MATERIAIS NA OPERAÇÃO. AF_05/2023</t>
  </si>
  <si>
    <t>PERFURATRIZ COM TORRE METÁLICA PARA EXECUÇÃO DE ESTACA HÉLICE CONTÍNUA, PROFUNDIDADE MÁXIMA DE 30 M, DIÂMETRO MÁXIMO DE 800 MM, POTÊNCIA INSTALADA DE 268 HP, MESA ROTATIVA COM TORQUE MÁXIMO DE 170 KNM - DEPRECIAÇÃO. AF_06/2015</t>
  </si>
  <si>
    <t>PERFURATRIZ COM TORRE METÁLICA PARA EXECUÇÃO DE ESTACA HÉLICE CONTÍNUA, PROFUNDIDADE MÁXIMA DE 30 M, DIÂMETRO MÁXIMO DE 800 MM, POTÊNCIA INSTALADA DE 268 HP, MESA ROTATIVA COM TORQUE MÁXIMO DE 170 KNM - JUROS. AF_06/2015</t>
  </si>
  <si>
    <t>PERFURATRIZ COM TORRE METÁLICA PARA EXECUÇÃO DE ESTACA HÉLICE CONTÍNUA, PROFUNDIDADE MÁXIMA DE 30 M, DIÂMETRO MÁXIMO DE 800 MM, POTÊNCIA INSTALADA DE 268 HP, MESA ROTATIVA COM TORQUE MÁXIMO DE 170 KNM - MANUTENÇÃO. AF_06/2015</t>
  </si>
  <si>
    <t>PERFURATRIZ COM TORRE METÁLICA PARA EXECUÇÃO DE ESTACA HÉLICE CONTÍNUA, PROFUNDIDADE MÁXIMA DE 30 M, DIÂMETRO MÁXIMO DE 800 MM, POTÊNCIA INSTALADA DE 268 HP, MESA ROTATIVA COM TORQUE MÁXIMO DE 170 KNM - MATERIAIS NA OPERAÇÃO. AF_06/2015</t>
  </si>
  <si>
    <t>PERFURATRIZ HIDRÁULICA SOBRE CAMINHÃO COM TRADO CURTO ACOPLADO, PROFUNDIDADE MÁXIMA DE 20 M, DIÂMETRO MÁXIMO DE 1500 MM, POTÊNCIA INSTALADA DE 137 HP, MESA ROTATIVA COM TORQUE MÁXIMO DE 30 KNM - DEPRECIAÇÃO. AF_06/2015</t>
  </si>
  <si>
    <t>PERFURATRIZ HIDRÁULICA SOBRE CAMINHÃO COM TRADO CURTO ACOPLADO, PROFUNDIDADE MÁXIMA DE 20 M, DIÂMETRO MÁXIMO DE 1500 MM, POTÊNCIA INSTALADA DE 137 HP, MESA ROTATIVA COM TORQUE MÁXIMO DE 30 KNM - JUROS. AF_06/2015</t>
  </si>
  <si>
    <t>PERFURATRIZ HIDRÁULICA SOBRE CAMINHÃO COM TRADO CURTO ACOPLADO, PROFUNDIDADE MÁXIMA DE 20 M, DIÂMETRO MÁXIMO DE 1500 MM, POTÊNCIA INSTALADA DE 137 HP, MESA ROTATIVA COM TORQUE MÁXIMO DE 30 KNM - MANUTENÇÃO. AF_06/2015</t>
  </si>
  <si>
    <t>PERFURATRIZ HIDRÁULICA SOBRE CAMINHÃO COM TRADO CURTO ACOPLADO, PROFUNDIDADE MÁXIMA DE 20 M, DIÂMETRO MÁXIMO DE 1500 MM, POTÊNCIA INSTALADA DE 137 HP, MESA ROTATIVA COM TORQUE MÁXIMO DE 30 KNM - MATERIAIS NA OPERAÇÃO. AF_06/2015</t>
  </si>
  <si>
    <t>MANIPULADOR TELESCÓPICO, POTÊNCIA DE 85 HP, CAPACIDADE DE CARGA DE 3.500 KG, ALTURA MÁXIMA DE ELEVAÇÃO DE 12,3 M - DEPRECIAÇÃO. AF_05/2023</t>
  </si>
  <si>
    <t>MANIPULADOR TELESCÓPICO, POTÊNCIA DE 85 HP, CAPACIDADE DE CARGA DE 3.500 KG, ALTURA MÁXIMA DE ELEVAÇÃO DE 12,3 M - JUROS. AF_05/2023</t>
  </si>
  <si>
    <t>MANIPULADOR TELESCÓPICO, POTÊNCIA DE 85 HP, CAPACIDADE DE CARGA DE 3.500 KG, ALTURA MÁXIMA DE ELEVAÇÃO DE 12,3 M - MANUTENÇÃO. AF_05/2023</t>
  </si>
  <si>
    <t>MANIPULADOR TELESCÓPICO, POTÊNCIA DE 85 HP, CAPACIDADE DE CARGA DE 3.500 KG, ALTURA MÁXIMA DE ELEVAÇÃO DE 12,3 M - MATERIAIS NA OPERAÇÃO. AF_05/2023</t>
  </si>
  <si>
    <t>MINICARREGADEIRA SOBRE RODAS, POTÊNCIA LÍQUIDA DE 47 HP, CAPACIDADE NOMINAL DE OPERAÇÃO DE 646 KG - DEPRECIAÇÃO. AF_06/2015</t>
  </si>
  <si>
    <t>MINICARREGADEIRA SOBRE RODAS, POTÊNCIA LÍQUIDA DE 47 HP, CAPACIDADE NOMINAL DE OPERAÇÃO DE 646 KG - JUROS. AF_06/2015</t>
  </si>
  <si>
    <t>MINICARREGADEIRA SOBRE RODAS, POTÊNCIA LÍQUIDA DE 47 HP, CAPACIDADE NOMINAL DE OPERAÇÃO DE 646 KG - MANUTENÇÃO. AF_06/2015</t>
  </si>
  <si>
    <t>MINICARREGADEIRA SOBRE RODAS, POTÊNCIA LÍQUIDA DE 47 HP, CAPACIDADE NOMINAL DE OPERAÇÃO DE 646 KG - MATERIAIS NA OPERAÇÃO. AF_06/2015</t>
  </si>
  <si>
    <t>COMPRESSOR DE AR REBOCÁVEL, VAZÃO 189 PCM, PRESSÃO EFETIVA DE TRABALHO 102 PSI, MOTOR DIESEL, POTÊNCIA 63 CV - DEPRECIAÇÃO. AF_06/2015</t>
  </si>
  <si>
    <t>COMPRESSOR DE AR REBOCÁVEL, VAZÃO 189 PCM, PRESSÃO EFETIVA DE TRABALHO 102 PSI, MOTOR DIESEL, POTÊNCIA 63 CV - JUROS. AF_06/2015</t>
  </si>
  <si>
    <t>COMPRESSOR DE AR REBOCÁVEL, VAZÃO 89 PCM, PRESSÃO EFETIVA DE TRABALHO 102 PSI, MOTOR DIESEL, POTÊNCIA 20 CV - DEPRECIAÇÃO. AF_06/2015</t>
  </si>
  <si>
    <t>COMPRESSOR DE AR REBOCÁVEL, VAZÃO 89 PCM, PRESSÃO EFETIVA DE TRABALHO 102 PSI, MOTOR DIESEL, POTÊNCIA 20 CV - JUROS. AF_06/2015</t>
  </si>
  <si>
    <t>COMPRESSOR DE AR REBOCÁVEL, VAZÃO 89 PCM, PRESSÃO EFETIVA DE TRABALHO 102 PSI, MOTOR DIESEL, POTÊNCIA 20 CV - MANUTENÇÃO. AF_06/2015</t>
  </si>
  <si>
    <t>COMPRESSOR DE AR REBOCÁVEL, VAZÃO 89 PCM, PRESSÃO EFETIVA DE TRABALHO 102 PSI, MOTOR DIESEL, POTÊNCIA 20 CV - MATERIAIS NA OPERAÇÃO. AF_06/2015</t>
  </si>
  <si>
    <t>COMPRESSOR DE AR REBOCAVEL, VAZÃO 250 PCM, PRESSAO DE TRABALHO 102 PSI, MOTOR A DIESEL POTÊNCIA 81 CV - DEPRECIAÇÃO. AF_06/2015</t>
  </si>
  <si>
    <t>COMPRESSOR DE AR REBOCAVEL, VAZÃO 250 PCM, PRESSAO DE TRABALHO 102 PSI, MOTOR A DIESEL POTÊNCIA 81 CV - JUROS. AF_06/2015</t>
  </si>
  <si>
    <t>COMPRESSOR DE AR REBOCAVEL, VAZÃO 250 PCM, PRESSAO DE TRABALHO 102 PSI, MOTOR A DIESEL POTÊNCIA 81 CV - MANUTENÇÃO. AF_06/2015</t>
  </si>
  <si>
    <t>COMPRESSOR DE AR REBOCAVEL, VAZÃO 250 PCM, PRESSAO DE TRABALHO 102 PSI, MOTOR A DIESEL POTÊNCIA 81 CV - MATERIAIS NA OPERAÇÃO. AF_06/2015</t>
  </si>
  <si>
    <t>COMPRESSOR DE AR REBOCÁVEL, VAZÃO 748 PCM, PRESSÃO EFETIVA DE TRABALHO 102 PSI, MOTOR DIESEL, POTÊNCIA 210 CV - DEPRECIAÇÃO. AF_06/2015</t>
  </si>
  <si>
    <t>COMPRESSOR DE AR REBOCÁVEL, VAZÃO 748 PCM, PRESSÃO EFETIVA DE TRABALHO 102 PSI, MOTOR DIESEL, POTÊNCIA 210 CV - JUROS. AF_06/2015</t>
  </si>
  <si>
    <t>COMPRESSOR DE AR REBOCÁVEL, VAZÃO 748 PCM, PRESSÃO EFETIVA DE TRABALHO 102 PSI, MOTOR DIESEL, POTÊNCIA 210 CV - MANUTENÇÃO. AF_06/2015</t>
  </si>
  <si>
    <t>COMPRESSOR DE AR REBOCÁVEL, VAZÃO 748 PCM, PRESSÃO EFETIVA DE TRABALHO 102 PSI, MOTOR DIESEL, POTÊNCIA 210 CV - MATERIAIS NA OPERAÇÃO. AF_06/2015</t>
  </si>
  <si>
    <t>COMPRESSOR DE AR REBOCAVEL, VAZÃO 400 PCM, PRESSAO DE TRABALHO 102 PSI, MOTOR A DIESEL POTÊNCIA 110 CV - DEPRECIAÇÃO. AF_06/2015</t>
  </si>
  <si>
    <t>COMPRESSOR DE AR REBOCAVEL, VAZÃO 400 PCM, PRESSAO DE TRABALHO 102 PSI, MOTOR A DIESEL POTÊNCIA 110 CV - JUROS. AF_06/2015</t>
  </si>
  <si>
    <t>COMPRESSOR DE AR REBOCAVEL, VAZÃO 400 PCM, PRESSAO DE TRABALHO 102 PSI, MOTOR A DIESEL POTÊNCIA 110 CV - MANUTENÇÃO. AF_06/2015</t>
  </si>
  <si>
    <t>COMPRESSOR DE AR REBOCAVEL, VAZÃO 400 PCM, PRESSAO DE TRABALHO 102 PSI, MOTOR A DIESEL POTÊNCIA 110 CV - MATERIAIS NA OPERAÇÃO. AF_06/2015</t>
  </si>
  <si>
    <t>PERFURATRIZ HIDRÁULICA SOBRE CAMINHÃO COM TRADO CURTO ACOPLADO, PROFUNDIDADE MÁXIMA DE 20 M, DIÂMETRO MÁXIMO DE 1500 MM, POTÊNCIA INSTALADA DE 137 HP, MESA ROTATIVA COM TORQUE MÁXIMO DE 30 KNM - IMPOSTOS E SEGUROS. AF_06/2015</t>
  </si>
  <si>
    <t>CAMINHÃO TRUCADO (C/ TERCEIRO EIXO) ELETRÔNICO - POTÊNCIA 231CV - PBT = 22000KG - DIST. ENTRE EIXOS 5170 MM - INCLUI CARROCERIA FIXA ABERTA DE MADEIRA - DEPRECIAÇÃO. AF_06/2015</t>
  </si>
  <si>
    <t>CAMINHÃO TRUCADO (C/ TERCEIRO EIXO) ELETRÔNICO - POTÊNCIA 231CV - PBT = 22000KG - DIST. ENTRE EIXOS 5170 MM - INCLUI CARROCERIA FIXA ABERTA DE MADEIRA - JUROS. AF_06/2015</t>
  </si>
  <si>
    <t>CAMINHÃO TRUCADO (C/ TERCEIRO EIXO) ELETRÔNICO - POTÊNCIA 231CV - PBT = 22000KG - DIST. ENTRE EIXOS 5170 MM - INCLUI CARROCERIA FIXA ABERTA DE MADEIRA - IMPOSTOS E SEGUROS. AF_06/2015</t>
  </si>
  <si>
    <t>CAMINHÃO TRUCADO (C/ TERCEIRO EIXO) ELETRÔNICO - POTÊNCIA 231CV - PBT = 22000KG - DIST. ENTRE EIXOS 5170 MM - INCLUI CARROCERIA FIXA ABERTA DE MADEIRA - MANUTENÇÃO. AF_06/2015</t>
  </si>
  <si>
    <t>CAMINHÃO TRUCADO (C/ TERCEIRO EIXO) ELETRÔNICO - POTÊNCIA 231CV - PBT = 22000KG - DIST. ENTRE EIXOS 5170 MM - INCLUI CARROCERIA FIXA ABERTA DE MADEIRA - MATERIAIS NA OPERAÇÃO. AF_06/2015</t>
  </si>
  <si>
    <t>PLACA VIBRATÓRIA REVERSÍVEL COM MOTOR 4 TEMPOS A GASOLINA, FORÇA CENTRÍFUGA DE 25 KN (2500 KGF), POTÊNCIA 5,5 CV - DEPRECIAÇÃO. AF_08/2015</t>
  </si>
  <si>
    <t>PLACA VIBRATÓRIA REVERSÍVEL COM MOTOR 4 TEMPOS A GASOLINA, FORÇA CENTRÍFUGA DE 25 KN (2500 KGF), POTÊNCIA 5,5 CV - JUROS. AF_08/2015</t>
  </si>
  <si>
    <t>PLACA VIBRATÓRIA REVERSÍVEL COM MOTOR 4 TEMPOS A GASOLINA, FORÇA CENTRÍFUGA DE 25 KN (2500 KGF), POTÊNCIA 5,5 CV - MANUTENÇÃO. AF_08/2015</t>
  </si>
  <si>
    <t>PLACA VIBRATÓRIA REVERSÍVEL COM MOTOR 4 TEMPOS A GASOLINA, FORÇA CENTRÍFUGA DE 25 KN (2500 KGF), POTÊNCIA 5,5 CV - MATERIAIS NA OPERAÇÃO. AF_08/2015</t>
  </si>
  <si>
    <t>CORTADORA DE PISO COM MOTOR 4 TEMPOS A GASOLINA, POTÊNCIA DE 13 HP, COM DISCO DE CORTE DIAMANTADO SEGMENTADO PARA CONCRETO, DIÂMETRO DE 350 MM, FURO DE 1" (14 X 1") - DEPRECIAÇÃO. AF_08/2015</t>
  </si>
  <si>
    <t>CORTADORA DE PISO COM MOTOR 4 TEMPOS A GASOLINA, POTÊNCIA DE 13 HP, COM DISCO DE CORTE DIAMANTADO SEGMENTADO PARA CONCRETO, DIÂMETRO DE 350 MM, FURO DE 1" (14 X 1") - JUROS. AF_08/2015</t>
  </si>
  <si>
    <t>CORTADORA DE PISO COM MOTOR 4 TEMPOS A GASOLINA, POTÊNCIA DE 13 HP, COM DISCO DE CORTE DIAMANTADO SEGMENTADO PARA CONCRETO, DIÂMETRO DE 350 MM, FURO DE 1" (14 X 1") - MANUTENÇÃO. AF_08/2015</t>
  </si>
  <si>
    <t>CORTADORA DE PISO COM MOTOR 4 TEMPOS A GASOLINA, POTÊNCIA DE 13 HP, COM DISCO DE CORTE DIAMANTADO SEGMENTADO PARA CONCRETO, DIÂMETRO DE 350 MM, FURO DE 1" (14 X 1") - MATERIAIS NA OPERAÇÃO. AF_08/2015</t>
  </si>
  <si>
    <t>CAMINHÃO TOCO, PESO BRUTO TOTAL 14.300 KG, CARGA ÚTIL MÁXIMA 9590 KG, DISTÂNCIA ENTRE EIXOS 4,76 M, POTÊNCIA 185 CV (NÃO INCLUI CARROCERIA) - DEPRECIAÇÃO. AF_06/2014</t>
  </si>
  <si>
    <t>CAMINHÃO TOCO, PESO BRUTO TOTAL 14.300 KG, CARGA ÚTIL MÁXIMA 9590 KG, DISTÂNCIA ENTRE EIXOS 4,76 M, POTÊNCIA 185 CV (NÃO INCLUI CARROCERIA) - JUROS. AF_06/2014</t>
  </si>
  <si>
    <t>CAMINHÃO TOCO, PESO BRUTO TOTAL 14.300 KG, CARGA ÚTIL MÁXIMA 9590 KG, DISTÂNCIA ENTRE EIXOS 4,76 M, POTÊNCIA 185 CV (NÃO INCLUI CARROCERIA) - IMPOSTOS E SEGUROS. AF_06/2014</t>
  </si>
  <si>
    <t>CAMINHÃO PIPA 6.000 L, PESO BRUTO TOTAL 13.000 KG, DISTÂNCIA ENTRE EIXOS 4,80 M, POTÊNCIA 189 CV INCLUSIVE TANQUE DE AÇO PARA TRANSPORTE DE ÁGUA, CAPACIDADE 6 M3 - DEPRECIAÇÃO. AF_06/2014</t>
  </si>
  <si>
    <t>CAMINHÃO PIPA 6.000 L, PESO BRUTO TOTAL 13.000 KG, DISTÂNCIA ENTRE EIXOS 4,80 M, POTÊNCIA 189 CV INCLUSIVE TANQUE DE AÇO PARA TRANSPORTE DE ÁGUA, CAPACIDADE 6 M3 - JUROS. AF_06/2014</t>
  </si>
  <si>
    <t>CAMINHÃO PIPA 6.000 L, PESO BRUTO TOTAL 13.000 KG, DISTÂNCIA ENTRE EIXOS 4,80 M, POTÊNCIA 189 CV INCLUSIVE TANQUE DE AÇO PARA TRANSPORTE DE ÁGUA, CAPACIDADE 6 M3 - IMPOSTOS E SEGUROS. AF_06/2014</t>
  </si>
  <si>
    <t>CAMINHÃO BASCULANTE 6 M3, PESO BRUTO TOTAL 16.000 KG, CARGA ÚTIL MÁXIMA 13.071 KG, DISTÂNCIA ENTRE EIXOS 4,80 M, POTÊNCIA 230 CV INCLUSIVE CAÇAMBA METÁLICA - DEPRECIAÇÃO. AF_06/2014</t>
  </si>
  <si>
    <t>CAMINHÃO BASCULANTE 6 M3, PESO BRUTO TOTAL 16.000 KG, CARGA ÚTIL MÁXIMA 13.071 KG, DISTÂNCIA ENTRE EIXOS 4,80 M, POTÊNCIA 230 CV INCLUSIVE CAÇAMBA METÁLICA - JUROS. AF_06/2014</t>
  </si>
  <si>
    <t>CAMINHÃO BASCULANTE 6 M3, PESO BRUTO TOTAL 16.000 KG, CARGA ÚTIL MÁXIMA 13.071 KG, DISTÂNCIA ENTRE EIXOS 4,80 M, POTÊNCIA 230 CV INCLUSIVE CAÇAMBA METÁLICA - IMPOSTOS E SEGUROS. AF_06/2014</t>
  </si>
  <si>
    <t>CAMINHÃO TOCO, PESO BRUTO TOTAL 16.000 KG, CARGA ÚTIL MÁXIMA DE 10.685 KG, DISTÂNCIA ENTRE EIXOS 4,80 M, POTÊNCIA 189 CV EXCLUSIVE CARROCERIA - DEPRECIAÇÃO. AF_06/2014</t>
  </si>
  <si>
    <t>CAMINHÃO TOCO, PESO BRUTO TOTAL 16.000 KG, CARGA ÚTIL MÁXIMA DE 10.685 KG, DISTÂNCIA ENTRE EIXOS 4,80 M, POTÊNCIA 189 CV EXCLUSIVE CARROCERIA - JUROS. AF_06/2014</t>
  </si>
  <si>
    <t>CAMINHÃO TOCO, PESO BRUTO TOTAL 16.000 KG, CARGA ÚTIL MÁXIMA DE 10.685 KG, DISTÂNCIA ENTRE EIXOS 4,80 M, POTÊNCIA 189 CV EXCLUSIVE CARROCERIA - IMPOSTOS E SEGUROS. AF_06/2014</t>
  </si>
  <si>
    <t>CAMINHÃO BASCULANTE 10 M3, TRUCADO CABINE SIMPLES, PESO BRUTO TOTAL 23.000 KG, CARGA ÚTIL MÁXIMA 15.935 KG, DISTÂNCIA ENTRE EIXOS 4,80 M, POTÊNCIA 230 CV INCLUSIVE CAÇAMBA METÁLICA - DEPRECIAÇÃO. AF_06/2014</t>
  </si>
  <si>
    <t>CAMINHÃO BASCULANTE 10 M3, TRUCADO CABINE SIMPLES, PESO BRUTO TOTAL 23.000 KG, CARGA ÚTIL MÁXIMA 15.935 KG, DISTÂNCIA ENTRE EIXOS 4,80 M, POTÊNCIA 230 CV INCLUSIVE CAÇAMBA METÁLICA - JUROS. AF_06/2014</t>
  </si>
  <si>
    <t>CAMINHÃO BASCULANTE 10 M3, TRUCADO CABINE SIMPLES, PESO BRUTO TOTAL 23.000 KG, CARGA ÚTIL MÁXIMA 15.935 KG, DISTÂNCIA ENTRE EIXOS 4,80 M, POTÊNCIA 230 CV INCLUSIVE CAÇAMBA METÁLICA - IMPOSTOS E SEGUROS. AF_06/2014</t>
  </si>
  <si>
    <t>CAMINHÃO BASCULANTE 10 M3, TRUCADO CABINE SIMPLES, PESO BRUTO TOTAL 23.000 KG, CARGA ÚTIL MÁXIMA 15.935 KG, DISTÂNCIA ENTRE EIXOS 4,80 M, POTÊNCIA 230 CV INCLUSIVE CAÇAMBA METÁLICA - MANUTENÇÃO. AF_06/2014</t>
  </si>
  <si>
    <t>CAMINHÃO BASCULANTE 10 M3, TRUCADO CABINE SIMPLES, PESO BRUTO TOTAL 23.000 KG, CARGA ÚTIL MÁXIMA 15.935 KG, DISTÂNCIA ENTRE EIXOS 4,80 M, POTÊNCIA 230 CV INCLUSIVE CAÇAMBA METÁLICA - MATERIAIS NA OPERAÇÃO. AF_06/2014</t>
  </si>
  <si>
    <t>CAMINHÃO TOCO, PBT 14.300 KG, CARGA ÚTIL MÁX. 9.710 KG, DIST. ENTRE EIXOS 3,56 M, POTÊNCIA 185 CV, INCLUSIVE CARROCERIA FIXA ABERTA DE MADEIRA P/ TRANSPORTE GERAL DE CARGA SECA, DIMEN. APROX. 2,50 X 6,50 X 0,50 M - DEPRECIAÇÃO. AF_06/2014</t>
  </si>
  <si>
    <t>CAMINHÃO TOCO, PBT 14.300 KG, CARGA ÚTIL MÁX. 9.710 KG, DIST. ENTRE EIXOS 3,56 M, POTÊNCIA 185 CV, INCLUSIVE CARROCERIA FIXA ABERTA DE MADEIRA P/ TRANSPORTE GERAL DE CARGA SECA, DIMEN. APROX. 2,50 X 6,50 X 0,50 M - JUROS. AF_06/2014</t>
  </si>
  <si>
    <t>CAMINHÃO TOCO, PBT 14.300 KG, CARGA ÚTIL MÁX. 9.710 KG, DIST. ENTRE EIXOS 3,56 M, POTÊNCIA 185 CV, INCLUSIVE CARROCERIA FIXA ABERTA DE MADEIRA P/ TRANSPORTE GERAL DE CARGA SECA, DIMEN. APROX. 2,50 X 6,50 X 0,50 M - IMPOSTOS E SEGUROS. AF_06/2014</t>
  </si>
  <si>
    <t>CAMINHÃO PIPA 10.000 L TRUCADO, PESO BRUTO TOTAL 23.000 KG, CARGA ÚTIL MÁXIMA 15.935 KG, DISTÂNCIA ENTRE EIXOS 4,8 M, POTÊNCIA 230 CV, INCLUSIVE TANQUE DE AÇO PARA TRANSPORTE DE ÁGUA - DEPRECIAÇÃO. AF_06/2014</t>
  </si>
  <si>
    <t>CAMINHÃO PIPA 10.000 L TRUCADO, PESO BRUTO TOTAL 23.000 KG, CARGA ÚTIL MÁXIMA 15.935 KG, DISTÂNCIA ENTRE EIXOS 4,8 M, POTÊNCIA 230 CV, INCLUSIVE TANQUE DE AÇO PARA TRANSPORTE DE ÁGUA - JUROS. AF_06/2014</t>
  </si>
  <si>
    <t>CAMINHÃO PIPA 10.000 L TRUCADO, PESO BRUTO TOTAL 23.000 KG, CARGA ÚTIL MÁXIMA 15.935 KG, DISTÂNCIA ENTRE EIXOS 4,8 M, POTÊNCIA 230 CV, INCLUSIVE TANQUE DE AÇO PARA TRANSPORTE DE ÁGUA - IMPOSTOS E SEGUROS. AF_06/2014</t>
  </si>
  <si>
    <t>CAMINHÃO BASCULANTE 6 M3 TOCO, PESO BRUTO TOTAL 16.000 KG, CARGA ÚTIL MÁXIMA 11.130 KG, DISTÂNCIA ENTRE EIXOS 5,36 M, POTÊNCIA 185 CV, INCLUSIVE CAÇAMBA METÁLICA - IMPOSTOS E SEGUROS. AF_06/2014</t>
  </si>
  <si>
    <t>GUINDAUTO HIDRÁULICO, CAPACIDADE MÁXIMA DE CARGA 6200 KG, MOMENTO MÁXIMO DE CARGA 11,7 TM, ALCANCE MÁXIMO HORIZONTAL 9,70 M, INCLUSIVE CAMINHÃO TOCO PBT 16.000 KG, POTÊNCIA DE 189 CV - IMPOSTOS E SEGUROS. AF_08/2015</t>
  </si>
  <si>
    <t>GUINDAUTO HIDRÁULICO, CAPACIDADE MÁXIMA DE CARGA 6200 KG, MOMENTO MÁXIMO DE CARGA 11,7 TM, ALCANCE MÁXIMO HORIZONTAL 9,70 M, INCLUSIVE CAMINHÃO TOCO PBT 16.000 KG, POTÊNCIA DE 189 CV - MATERIAIS NA OPERAÇÃO. AF_08/2015</t>
  </si>
  <si>
    <t>COMPACTADOR DE SOLOS DE PERCUSSÃO (SOQUETE) COM MOTOR A GASOLINA 4 TEMPOS, POTÊNCIA 4 CV - DEPRECIAÇÃO. AF_08/2015</t>
  </si>
  <si>
    <t>COMPACTADOR DE SOLOS DE PERCUSSÃO (SOQUETE) COM MOTOR A GASOLINA 4 TEMPOS, POTÊNCIA 4 CV - JUROS. AF_08/2015</t>
  </si>
  <si>
    <t>COMPACTADOR DE SOLOS DE PERCUSSÃO (SOQUETE) COM MOTOR A GASOLINA 4 TEMPOS, POTÊNCIA 4 CV - MANUTENÇÃO. AF_08/2015</t>
  </si>
  <si>
    <t>COMPACTADOR DE SOLOS DE PERCUSSÃO (SOQUETE) COM MOTOR A GASOLINA 4 TEMPOS, POTÊNCIA 4 CV - MATERIAIS NA OPERAÇÃO. AF_08/2015</t>
  </si>
  <si>
    <t>GUINDAUTO HIDRÁULICO, CAPACIDADE MÁXIMA DE CARGA 6500 KG, MOMENTO MÁXIMO DE CARGA 5,8 TM, ALCANCE MÁXIMO HORIZONTAL 7,60 M, INCLUSIVE CAMINHÃO TOCO PBT 9.700 KG, POTÊNCIA DE 160 CV - DEPRECIAÇÃO. AF_08/2015</t>
  </si>
  <si>
    <t>GUINDAUTO HIDRÁULICO, CAPACIDADE MÁXIMA DE CARGA 6500 KG, MOMENTO MÁXIMO DE CARGA 5,8 TM, ALCANCE MÁXIMO HORIZONTAL 7,60 M, INCLUSIVE CAMINHÃO TOCO PBT 9.700 KG, POTÊNCIA DE 160 CV - JUROS. AF_08/2015</t>
  </si>
  <si>
    <t>GUINDAUTO HIDRÁULICO, CAPACIDADE MÁXIMA DE CARGA 6500 KG, MOMENTO MÁXIMO DE CARGA 5,8 TM, ALCANCE MÁXIMO HORIZONTAL 7,60 M, INCLUSIVE CAMINHÃO TOCO PBT 9.700 KG, POTÊNCIA DE 160 CV - IMPOSTOS E SEGUROS. AF_08/2015</t>
  </si>
  <si>
    <t>GUINDAUTO HIDRÁULICO, CAPACIDADE MÁXIMA DE CARGA 6500 KG, MOMENTO MÁXIMO DE CARGA 5,8 TM, ALCANCE MÁXIMO HORIZONTAL 7,60 M, INCLUSIVE CAMINHÃO TOCO PBT 9.700 KG, POTÊNCIA DE 160 CV - MANUTENÇÃO. AF_08/2015</t>
  </si>
  <si>
    <t>GUINDAUTO HIDRÁULICO, CAPACIDADE MÁXIMA DE CARGA 6500 KG, MOMENTO MÁXIMO DE CARGA 5,8 TM, ALCANCE MÁXIMO HORIZONTAL 7,60 M, INCLUSIVE CAMINHÃO TOCO PBT 9.700 KG, POTÊNCIA DE 160 CV - MATERIAIS NA OPERAÇÃO. AF_08/2015</t>
  </si>
  <si>
    <t>CAMINHÃO DE TRANSPORTE DE MATERIAL ASFÁLTICO 30.000 L, COM CAVALO MECÂNICO DE CAPACIDADE MÁXIMA DE TRAÇÃO COMBINADO DE 66.000 KG, POTÊNCIA 360 CV, INCLUSIVE TANQUE DE ASFALTO COM SERPENTINA - DEPRECIAÇÃO. AF_08/2015</t>
  </si>
  <si>
    <t>CAMINHÃO DE TRANSPORTE DE MATERIAL ASFÁLTICO 30.000 L, COM CAVALO MECÂNICO DE CAPACIDADE MÁXIMA DE TRAÇÃO COMBINADO DE 66.000 KG, POTÊNCIA 360 CV, INCLUSIVE TANQUE DE ASFALTO COM SERPENTINA - JUROS. AF_08/2015</t>
  </si>
  <si>
    <t>CAMINHÃO DE TRANSPORTE DE MATERIAL ASFÁLTICO 30.000 L, COM CAVALO MECÂNICO DE CAPACIDADE MÁXIMA DE TRAÇÃO COMBINADO DE 66.000 KG, POTÊNCIA 360 CV, INCLUSIVE TANQUE DE ASFALTO COM SERPENTINA - IMPOSTOS E SEGUROS. AF_08/2015</t>
  </si>
  <si>
    <t>CAMINHÃO DE TRANSPORTE DE MATERIAL ASFÁLTICO 30.000 L, COM CAVALO MECÂNICO DE CAPACIDADE MÁXIMA DE TRAÇÃO COMBINADO DE 66.000 KG, POTÊNCIA 360 CV, INCLUSIVE TANQUE DE ASFALTO COM SERPENTINA - MANUTENÇÃO. AF_08/2015</t>
  </si>
  <si>
    <t>CAMINHÃO DE TRANSPORTE DE MATERIAL ASFÁLTICO 30.000 L, COM CAVALO MECÂNICO DE CAPACIDADE MÁXIMA DE TRAÇÃO COMBINADO DE 66.000 KG, POTÊNCIA 360 CV, INCLUSIVE TANQUE DE ASFALTO COM SERPENTINA - MATERIAIS NA OPERAÇÃO. AF_08/2015</t>
  </si>
  <si>
    <t>SERRA CIRCULAR DE BANCADA COM MOTOR ELÉTRICO POTÊNCIA DE 5HP, COM COIFA PARA DISCO 10" - DEPRECIAÇÃO. AF_08/2015</t>
  </si>
  <si>
    <t>SERRA CIRCULAR DE BANCADA COM MOTOR ELÉTRICO POTÊNCIA DE 5HP, COM COIFA PARA DISCO 10" - JUROS. AF_08/2015</t>
  </si>
  <si>
    <t>SERRA CIRCULAR DE BANCADA COM MOTOR ELÉTRICO POTÊNCIA DE 5HP, COM COIFA PARA DISCO 10" - MANUTENÇÃO. AF_08/2015</t>
  </si>
  <si>
    <t>SERRA CIRCULAR DE BANCADA COM MOTOR ELÉTRICO POTÊNCIA DE 5HP, COM COIFA PARA DISCO 10" - MATERIAIS NA OPERAÇÃO. AF_08/2015</t>
  </si>
  <si>
    <t>DISTRIBUIDOR DE AGREGADOS REBOCAVEL, CAPACIDADE 1,9 M³, LARGURA DE TRABALHO 3,66 M - DEPRECIAÇÃO. AF_11/2015</t>
  </si>
  <si>
    <t>DISTRIBUIDOR DE AGREGADOS REBOCAVEL, CAPACIDADE 1,9 M³, LARGURA DE TRABALHO 3,66 M - JUROS. AF_11/2015</t>
  </si>
  <si>
    <t>DISTRIBUIDOR DE AGREGADOS REBOCAVEL, CAPACIDADE 1,9 M³, LARGURA DE TRABALHO 3,66 M - MANUTENÇÃO. AF_11/2015</t>
  </si>
  <si>
    <t>CAMINHÃO PARA EQUIPAMENTO DE LIMPEZA A SUCÇÃO COM CAMINHÃO TRUCADO DE PESO BRUTO TOTAL 23000 KG, CARGA ÚTIL MÁXIMA 15935 KG, DISTÂNCIA ENTRE EIXOS 4,80 M, POTÊNCIA 230 CV, INCLUSIVE LIMPADORA A SUCÇÃO, TANQUE 12000 L - DEPRECIAÇÃO. AF_05/2023</t>
  </si>
  <si>
    <t>CAMINHÃO PARA EQUIPAMENTO DE LIMPEZA A SUCÇÃO COM CAMINHÃO TRUCADO DE PESO BRUTO TOTAL 23000 KG, CARGA ÚTIL MÁXIMA 15935 KG, DISTÂNCIA ENTRE EIXOS 4,80 M, POTÊNCIA 230 CV, INCLUSIVE LIMPADORA A SUCÇÃO, TANQUE 12000 L - JUROS. AF_05/2023</t>
  </si>
  <si>
    <t>CAMINHÃO PARA EQUIPAMENTO DE LIMPEZA A SUCÇÃO COM CAMINHÃO TRUCADO DE PESO BRUTO TOTAL 23000 KG, CARGA ÚTIL MÁXIMA 15935 KG, DISTÂNCIA ENTRE EIXOS 4,80 M, POTÊNCIA 230 CV, INCLUSIVE LIMPADORA A SUCÇÃO, TANQUE 12000 L - IMPOSTOS E SEGUROS. AF_05/2023</t>
  </si>
  <si>
    <t>CAMINHÃO PARA EQUIPAMENTO DE LIMPEZA A SUCÇÃO COM CAMINHÃO TRUCADO DE PESO BRUTO TOTAL 23000 KG, CARGA ÚTIL MÁXIMA 15935 KG, DISTÂNCIA ENTRE EIXOS 4,80 M, POTÊNCIA 230 CV, INCLUSIVE LIMPADORA A SUCÇÃO, TANQUE 12000 L - MANUTENÇÃO. AF_05/2023</t>
  </si>
  <si>
    <t>CAMINHÃO PARA EQUIPAMENTO DE LIMPEZA A SUCÇÃO COM CAMINHÃO TRUCADO DE PESO BRUTO TOTAL 23000 KG, CARGA ÚTIL MÁX. 15935 KG, DISTÂNCIA ENTRE EIXOS 4,80 M, POTÊNCIA 230 CV, INCLUSIVE LIMPADORA A SUCÇÃO, TANQUE 12000 L - MATERIAIS NA OPERAÇÃO. AF_05/2023</t>
  </si>
  <si>
    <t>PENEIRA ROTATIVA COM MOTOR ELÉTRICO TRIFÁSICO DE 2 CV, CILINDRO DE 1 M X 0,60 M, COM FUROS DE 3,17 MM - DEPRECIAÇÃO. AF_05/2023</t>
  </si>
  <si>
    <t>PENEIRA ROTATIVA COM MOTOR ELÉTRICO TRIFÁSICO DE 2 CV, CILINDRO DE 1 M X 0,60 M, COM FUROS DE 3,17 MM - JUROS. AF_05/2023</t>
  </si>
  <si>
    <t>PENEIRA ROTATIVA COM MOTOR ELÉTRICO TRIFÁSICO DE 2 CV, CILINDRO DE 1 M X 0,60 M, COM FUROS DE 3,17 MM - MANUTENÇÃO. AF_05/2023</t>
  </si>
  <si>
    <t>PENEIRA ROTATIVA COM MOTOR ELÉTRICO TRIFÁSICO DE 2 CV, CILINDRO DE 1 M X 0,60 M, COM FUROS DE 3,17 MM - MATERIAIS NA OPERAÇÃO. AF_05/2023</t>
  </si>
  <si>
    <t>DOSADOR DE AREIA, CAPACIDADE DE 26 LITROS - DEPRECIAÇÃO. AF_05/2023</t>
  </si>
  <si>
    <t>DOSADOR DE AREIA, CAPACIDADE DE 26 LITROS - JUROS. AF_05/2023</t>
  </si>
  <si>
    <t>DOSADOR DE AREIA, CAPACIDADE DE 26 LITROS - MANUTENÇÃO. AF_05/2023</t>
  </si>
  <si>
    <t>CAMINHONETE COM MOTOR A DIESEL, POTÊNCIA 180 CV, CABINE DUPLA, 4X4 - DEPRECIAÇÃO. AF_11/2015</t>
  </si>
  <si>
    <t>CAMINHONETE COM MOTOR A DIESEL, POTÊNCIA 180 CV, CABINE DUPLA, 4X4 - JUROS. AF_11/2015</t>
  </si>
  <si>
    <t>CAMINHONETE COM MOTOR A DIESEL, POTÊNCIA 180 CV, CABINE DUPLA, 4X4 - IMPOSTOS E SEGUROS. AF_11/2015</t>
  </si>
  <si>
    <t>CAMINHONETE COM MOTOR A DIESEL, POTÊNCIA 180 CV, CABINE DUPLA, 4X4 - MANUTENÇÃO. AF_11/2015</t>
  </si>
  <si>
    <t>CAMINHONETE COM MOTOR A DIESEL, POTÊNCIA 180 CV, CABINE DUPLA, 4X4 - MATERIAIS NA OPERAÇÃO. AF_11/2015</t>
  </si>
  <si>
    <t>CAMINHONETE CABINE SIMPLES COM MOTOR 1.6 FLEX, CÂMBIO MANUAL, POTÊNCIA 101/104 CV, 2 PORTAS - DEPRECIAÇÃO. AF_11/2015</t>
  </si>
  <si>
    <t>CAMINHONETE CABINE SIMPLES COM MOTOR 1.6 FLEX, CÂMBIO MANUAL, POTÊNCIA 101/104 CV, 2 PORTAS - JUROS. AF_11/2015</t>
  </si>
  <si>
    <t>CAMINHONETE CABINE SIMPLES COM MOTOR 1.6 FLEX, CÂMBIO MANUAL, POTÊNCIA 101/104 CV, 2 PORTAS - IMPOSTOS E SEGUROS. AF_11/2015</t>
  </si>
  <si>
    <t>CAMINHONETE CABINE SIMPLES COM MOTOR 1.6 FLEX, CÂMBIO MANUAL, POTÊNCIA 101/104 CV, 2 PORTAS - MANUTENÇÃO. AF_11/2015</t>
  </si>
  <si>
    <t>CAMINHONETE CABINE SIMPLES COM MOTOR 1.6 FLEX, CÂMBIO MANUAL, POTÊNCIA 101/104 CV, 2 PORTAS - MATERIAIS NA OPERAÇÃO. AF_11/2015</t>
  </si>
  <si>
    <t>CAMINHÃO DE TRANSPORTE DE MATERIAL ASFÁLTICO 20.000 L, COM CAVALO MECÂNICO DE CAPACIDADE MÁXIMA DE TRAÇÃO COMBINADO DE 45.000 KG, POTÊNCIA 330 CV, INCLUSIVE TANQUE DE ASFALTO COM MAÇARICO - DEPRECIAÇÃO. AF_12/2015</t>
  </si>
  <si>
    <t>CAMINHÃO DE TRANSPORTE DE MATERIAL ASFÁLTICO 20.000 L, COM CAVALO MECÂNICO DE CAPACIDADE MÁXIMA DE TRAÇÃO COMBINADO DE 45.000 KG, POTÊNCIA 330 CV, INCLUSIVE TANQUE DE ASFALTO COM MAÇARICO - JUROS. AF_12/2015</t>
  </si>
  <si>
    <t>CAMINHÃO DE TRANSPORTE DE MATERIAL ASFÁLTICO 20.000 L, COM CAVALO MECÂNICO DE CAPACIDADE MÁXIMA DE TRAÇÃO COMBINADO DE 45.000 KG, POTÊNCIA 330 CV, INCLUSIVE TANQUE DE ASFALTO COM MAÇARICO - IMPOSTOS E SEGUROS. AF_12/2015</t>
  </si>
  <si>
    <t>CAMINHÃO DE TRANSPORTE DE MATERIAL ASFÁLTICO 20.000 L, COM CAVALO MECÂNICO DE CAPACIDADE MÁXIMA DE TRAÇÃO COMBINADO DE 45.000 KG, POTÊNCIA 330 CV, INCLUSIVE TANQUE DE ASFALTO COM MAÇARICO - MANUTENÇÃO. AF_12/2015</t>
  </si>
  <si>
    <t>CAMINHÃO DE TRANSPORTE DE MATERIAL ASFÁLTICO 20.000 L, COM CAVALO MECÂNICO DE CAPACIDADE MÁXIMA DE TRAÇÃO COMBINADO DE 45.000 KG, POTÊNCIA 330 CV, INCLUSIVE TANQUE DE ASFALTO COM MAÇARICO - MATERIAIS NA OPERAÇÃO. AF_12/2015</t>
  </si>
  <si>
    <t>APARELHO PARA CORTE E SOLDA OXI-ACETILENO SOBRE RODAS, INCLUSIVE CILINDROS E MAÇARICOS - DEPRECIAÇÃO. AF_05/2023</t>
  </si>
  <si>
    <t>APARELHO PARA CORTE E SOLDA OXI-ACETILENO SOBRE RODAS, INCLUSIVE CILINDROS E MAÇARICOS - JUROS. AF_05/2023</t>
  </si>
  <si>
    <t>APARELHO PARA CORTE E SOLDA OXI-ACETILENO SOBRE RODAS, INCLUSIVE CILINDROS E MAÇARICOS - MANUTENÇÃO. AF_05/2023</t>
  </si>
  <si>
    <t>APARELHO PARA CORTE E SOLDA OXI-ACETILENO SOBRE RODAS, INCLUSIVE CILINDROS E MAÇARICOS - MATERIAIS NA OPERAÇÃO. AF_05/2023</t>
  </si>
  <si>
    <t>MÁQUINA EXTRUSORA DE CONCRETO PARA GUIAS E SARJETAS, MOTOR A DIESEL, POTÊNCIA 14 CV - DEPRECIAÇÃO. AF_12/2015</t>
  </si>
  <si>
    <t>MÁQUINA EXTRUSORA DE CONCRETO PARA GUIAS E SARJETAS, MOTOR A DIESEL, POTÊNCIA 14 CV - JUROS. AF_12/2015</t>
  </si>
  <si>
    <t>MÁQUINA EXTRUSORA DE CONCRETO PARA GUIAS E SARJETAS, MOTOR A DIESEL, POTÊNCIA 14 CV - MANUTENÇÃO. AF_12/2015</t>
  </si>
  <si>
    <t>MÁQUINA EXTRUSORA DE CONCRETO PARA GUIAS E SARJETAS, MOTOR A DIESEL, POTÊNCIA 14 CV - MATERIAIS NA OPERAÇÃO. AF_12/2015</t>
  </si>
  <si>
    <t>PERFURATRIZ COM TORRE METÁLICA PARA EXECUÇÃO DE ESTACA HÉLICE CONTÍNUA, PROFUNDIDADE MÁXIMA DE 32 M, DIÂMETRO MÁXIMO DE 1000 MM, POTÊNCIA INSTALADA DE 350 HP, MESA ROTATIVA COM TORQUE MÁXIMO DE 263 KNM - DEPRECIAÇÃO. AF_01/2016</t>
  </si>
  <si>
    <t>PERFURATRIZ COM TORRE METÁLICA PARA EXECUÇÃO DE ESTACA HÉLICE CONTÍNUA, PROFUNDIDADE MÁXIMA DE 32 M, DIÂMETRO MÁXIMO DE 1000 MM, POTÊNCIA INSTALADA DE 350 HP, MESA ROTATIVA COM TORQUE MÁXIMO DE 263 KNM - JUROS. AF_01/2016</t>
  </si>
  <si>
    <t>PERFURATRIZ COM TORRE METÁLICA PARA EXECUÇÃO DE ESTACA HÉLICE CONTÍNUA, PROFUNDIDADE MÁXIMA DE 32 M, DIÂMETRO MÁXIMO DE 1000 MM, POTÊNCIA INSTALADA DE 350 HP, MESA ROTATIVA COM TORQUE MÁXIMO DE 263 KNM - MANUTENÇÃO. AF_01/2016</t>
  </si>
  <si>
    <t>BETONEIRA CAPACIDADE NOMINAL 400 L, CAPACIDADE DE MISTURA 310 L, MOTOR A GASOLINA POTÊNCIA 5,5 CV, SEM CARREGADOR - DEPRECIAÇÃO. AF_02/2016</t>
  </si>
  <si>
    <t>BETONEIRA CAPACIDADE NOMINAL 400 L, CAPACIDADE DE MISTURA 310 L, MOTOR A GASOLINA POTÊNCIA 5,5 CV, SEM CARREGADOR - JUROS. AF_02/2016</t>
  </si>
  <si>
    <t>BETONEIRA CAPACIDADE NOMINAL 400 L, CAPACIDADE DE MISTURA 310 L, MOTOR A GASOLINA POTÊNCIA 5,5 CV, SEM CARREGADOR - MANUTENÇÃO. AF_02/2016</t>
  </si>
  <si>
    <t>BETONEIRA CAPACIDADE NOMINAL 400 L, CAPACIDADE DE MISTURA 310 L, MOTOR A GASOLINA POTÊNCIA 5,5 CV, SEM CARREGADOR - MATERIAIS NA OPERAÇÃO. AF_02/2016</t>
  </si>
  <si>
    <t>GRUPO GERADOR ESTACIONÁRIO, MOTOR DIESEL POTÊNCIA 170 KVA - JUROS. AF_02/2016</t>
  </si>
  <si>
    <t>ROLO COMPACTADOR VIBRATÓRIO REBOCÁVEL, CILINDRO DE AÇO LISO, POTÊNCIA DE TRAÇÃO DE 65 CV, PESO 4,7 T, IMPACTO DINÂMICO 18,3 T, LARGURA DE TRABALHO 1,67 M - JUROS. AF_02/2016</t>
  </si>
  <si>
    <t>ROLO COMPACTADOR VIBRATÓRIO PÉ DE CARNEIRO, OPERADO POR CONTROLE REMOTO, POTÊNCIA 12,5 KW, PESO OPERACIONAL 1,675 T, LARGURA DE TRABALHO 0,85 M - JUROS. AF_02/2016</t>
  </si>
  <si>
    <t>ROLO COMPACTADOR VIBRATÓRIO PÉ DE CARNEIRO, OPERADO POR CONTROLE REMOTO, POTÊNCIA 12,5 KW, PESO OPERACIONAL 1,675 T, LARGURA DE TRABALHO 0,85 M - MATERIAIS NA OPERAÇÃO. AF_02/2016</t>
  </si>
  <si>
    <t>GUINCHO ELÉTRICO DE COLUNA, CAPACIDADE 400 KG, COM MOTO FREIO, MOTOR TRIFÁSICO DE 1,25 CV - DEPRECIAÇÃO. AF_03/2016</t>
  </si>
  <si>
    <t>GUINCHO ELÉTRICO DE COLUNA, CAPACIDADE 400 KG, COM MOTO FREIO, MOTOR TRIFÁSICO DE 1,25 CV - JUROS. AF_03/2016</t>
  </si>
  <si>
    <t>GUINCHO ELÉTRICO DE COLUNA, CAPACIDADE 400 KG, COM MOTO FREIO, MOTOR TRIFÁSICO DE 1,25 CV - MANUTENÇÃO. AF_03/2016</t>
  </si>
  <si>
    <t>GUINCHO ELÉTRICO DE COLUNA, CAPACIDADE 400 KG, COM MOTO FREIO, MOTOR TRIFÁSICO DE 1,25 CV - MATERIAIS NA OPERAÇÃO. AF_03/2016</t>
  </si>
  <si>
    <t>GUINDASTE HIDRÁULICO AUTOPROPELIDO, COM LANÇA TELESCÓPICA 40 M, CAPACIDADE MÁXIMA 60 T, POTÊNCIA 260 KW - DEPRECIAÇÃO. AF_03/2016</t>
  </si>
  <si>
    <t>GUINDASTE HIDRÁULICO AUTOPROPELIDO, COM LANÇA TELESCÓPICA 40 M, CAPACIDADE MÁXIMA 60 T, POTÊNCIA 260 KW - JUROS. AF_03/2016</t>
  </si>
  <si>
    <t>GUINDASTE HIDRÁULICO AUTOPROPELIDO, COM LANÇA TELESCÓPICA 40 M, CAPACIDADE MÁXIMA 60 T, POTÊNCIA 260 KW - MANUTENÇÃO. AF_03/2016</t>
  </si>
  <si>
    <t>GUINDASTE HIDRÁULICO AUTOPROPELIDO, COM LANÇA TELESCÓPICA 40 M, CAPACIDADE MÁXIMA 60 T, POTÊNCIA 260 KW - MATERIAIS NA OPERAÇÃO. AF_03/2016</t>
  </si>
  <si>
    <t>GUINDASTE HIDRÁULICO AUTOPROPELIDO, COM LANÇA TELESCÓPICA 40 M, CAPACIDADE MÁXIMA 60 T, POTÊNCIA 260 KW - IMPOSTOS E SEGUROS. AF_03/2016</t>
  </si>
  <si>
    <t>GUINDAUTO HIDRÁULICO, CAPACIDADE MÁXIMA DE CARGA 3300 KG, MOMENTO MÁXIMO DE CARGA 5,8 TM, ALCANCE MÁXIMO HORIZONTAL 7,60 M, INCLUSIVE CAMINHÃO TOCO PBT 16.000 KG, POTÊNCIA DE 189 CV - DEPRECIAÇÃO. AF_03/2016</t>
  </si>
  <si>
    <t>GUINDAUTO HIDRÁULICO, CAPACIDADE MÁXIMA DE CARGA 3300 KG, MOMENTO MÁXIMO DE CARGA 5,8 TM, ALCANCE MÁXIMO HORIZONTAL 7,60 M, INCLUSIVE CAMINHÃO TOCO PBT 16.000 KG, POTÊNCIA DE 189 CV - JUROS. AF_03/2016</t>
  </si>
  <si>
    <t>GUINDAUTO HIDRÁULICO, CAPACIDADE MÁXIMA DE CARGA 3300 KG, MOMENTO MÁXIMO DE CARGA 5,8 TM, ALCANCE MÁXIMO HORIZONTAL 7,60 M, INCLUSIVE CAMINHÃO TOCO PBT 16.000 KG, POTÊNCIA DE 189 CV - MANUTENÇÃO. AF_03/2016</t>
  </si>
  <si>
    <t>GUINDAUTO HIDRÁULICO, CAPACIDADE MÁXIMA DE CARGA 3300 KG, MOMENTO MÁXIMO DE CARGA 5,8 TM, ALCANCE MÁXIMO HORIZONTAL 7,60 M, INCLUSIVE CAMINHÃO TOCO PBT 16.000 KG, POTÊNCIA DE 189 CV - MATERIAIS NA OPERAÇÃO. AF_03/2016</t>
  </si>
  <si>
    <t>GERADOR PORTÁTIL MONOFÁSICO, POTÊNCIA 5500 VA, MOTOR A GASOLINA, POTÊNCIA DO MOTOR 13 CV - DEPRECIAÇÃO. AF_03/2016</t>
  </si>
  <si>
    <t>GERADOR PORTÁTIL MONOFÁSICO, POTÊNCIA 5500 VA, MOTOR A GASOLINA, POTÊNCIA DO MOTOR 13 CV - JUROS. AF_03/2016</t>
  </si>
  <si>
    <t>GERADOR PORTÁTIL MONOFÁSICO, POTÊNCIA 5500 VA, MOTOR A GASOLINA, POTÊNCIA DO MOTOR 13 CV - MANUTENÇÃO. AF_03/2016</t>
  </si>
  <si>
    <t>GERADOR PORTÁTIL MONOFÁSICO, POTÊNCIA 5500 VA, MOTOR A GASOLINA, POTÊNCIA DO MOTOR 13 CV - MATERIAIS NA OPERAÇÃO. AF_03/2016</t>
  </si>
  <si>
    <t>GRUPO GERADOR REBOCÁVEL, POTÊNCIA 66 KVA, MOTOR A DIESEL - DEPRECIAÇÃO. AF_03/2016</t>
  </si>
  <si>
    <t>GRUPO GERADOR REBOCÁVEL, POTÊNCIA 66 KVA, MOTOR A DIESEL - JUROS. AF_03/2016</t>
  </si>
  <si>
    <t>GRUPO GERADOR REBOCÁVEL, POTÊNCIA 66 KVA, MOTOR A DIESEL - MANUTENÇÃO. AF_03/2016</t>
  </si>
  <si>
    <t>GRUPO GERADOR REBOCÁVEL, POTÊNCIA 66 KVA, MOTOR A DIESEL - MATERIAIS NA OPERAÇÃO. AF_03/2016</t>
  </si>
  <si>
    <t>GRUPO GERADOR ESTACIONÁRIO, POTÊNCIA 150 KVA, MOTOR A DIESEL- DEPRECIAÇÃO. AF_03/2016</t>
  </si>
  <si>
    <t>GRUPO GERADOR ESTACIONÁRIO, POTÊNCIA 150 KVA, MOTOR A DIESEL- JUROS. AF_03/2016</t>
  </si>
  <si>
    <t>GRUPO GERADOR ESTACIONÁRIO, POTÊNCIA 150 KVA, MOTOR A DIESEL- MANUTENÇÃO. AF_03/2016</t>
  </si>
  <si>
    <t>GRUPO GERADOR ESTACIONÁRIO, POTÊNCIA 150 KVA, MOTOR A DIESEL- MATERIAIS NA OPERAÇÃO. AF_03/2016</t>
  </si>
  <si>
    <t>USINA DE MISTURA ASFÁLTICA À QUENTE, TIPO CONTRA FLUXO, PROD 40 A 80 TON/HORA - DEPRECIAÇÃO. AF_05/2023</t>
  </si>
  <si>
    <t>USINA DE MISTURA ASFÁLTICA À QUENTE, TIPO CONTRA FLUXO, PROD 40 A 80 TON/HORA - JUROS. AF_05/2023</t>
  </si>
  <si>
    <t>USINA DE MISTURA ASFÁLTICA À QUENTE, TIPO CONTRA FLUXO, PROD 40 A 80 TON/HORA - MANUTENÇÃO. AF_05/2023</t>
  </si>
  <si>
    <t>USINA DE MISTURA ASFÁLTICA À QUENTE, TIPO CONTRA FLUXO, PROD 40 A 80 TON/HORA - MATERIAIS NA OPERAÇÃO. AF_05/2023</t>
  </si>
  <si>
    <t>USINA DE ASFALTO À FRIO, CAPACIDADE DE 40 A 60 TON/HORA, ELÉTRICA POTÊNCIA 30 CV - DEPRECIAÇÃO. AF_05/2023</t>
  </si>
  <si>
    <t>USINA DE ASFALTO À FRIO, CAPACIDADE DE 40 A 60 TON/HORA, ELÉTRICA POTÊNCIA 30 CV - JUROS. AF_05/2023</t>
  </si>
  <si>
    <t>USINA DE ASFALTO À FRIO, CAPACIDADE DE 40 A 60 TON/HORA, ELÉTRICA POTÊNCIA 30 CV - MANUTENÇÃO. AF_05/2023</t>
  </si>
  <si>
    <t>USINA DE ASFALTO À FRIO, CAPACIDADE DE 40 A 60 TON/HORA, ELÉTRICA POTÊNCIA 30 CV - MATERIAIS NA OPERAÇÃO. AF_05/2023</t>
  </si>
  <si>
    <t>MARTELETE OU ROMPEDOR PNEUMÁTICO MANUAL, 28 KG, COM SILENCIADOR - DEPRECIAÇÃO. AF_07/2016</t>
  </si>
  <si>
    <t>MARTELETE OU ROMPEDOR PNEUMÁTICO MANUAL, 28 KG, COM SILENCIADOR - JUROS. AF_07/2016</t>
  </si>
  <si>
    <t>USINA DE CONCRETO FIXA, CAPACIDADE NOMINAL DE 90 A 120 M3/H, SEM SILO - DEPRECIAÇÃO. AF_07/2016</t>
  </si>
  <si>
    <t>USINA DE CONCRETO FIXA, CAPACIDADE NOMINAL DE 90 A 120 M3/H, SEM SILO - JUROS. AF_07/2016</t>
  </si>
  <si>
    <t>USINA MISTURADORA DE SOLOS, CAPACIDADE DE 200 A 500 TON/H, POTENCIA 75KW - DEPRECIAÇÃO. AF_07/2016</t>
  </si>
  <si>
    <t>USINA MISTURADORA DE SOLOS, CAPACIDADE DE 200 A 500 TON/H, POTENCIA 75KW - JUROS. AF_07/2016</t>
  </si>
  <si>
    <t>USINA MISTURADORA DE SOLOS, CAPACIDADE DE 200 A 500 TON/H, POTENCIA 75KW - MATERIAIS NA OPERAÇÃO. AF_07/2016</t>
  </si>
  <si>
    <t>DISTRIBUIDOR DE AGREGADOS AUTOPROPELIDO, CAP 3 M3, A DIESEL, POTÊNCIA 176CV - DEPRECIAÇÃO. AF_07/2016</t>
  </si>
  <si>
    <t>DISTRIBUIDOR DE AGREGADOS AUTOPROPELIDO, C/AP 3 M3, A DIESEL, POTÊNCIA 176CV - JUROS. AF_07/2016</t>
  </si>
  <si>
    <t>DISTRIBUIDOR DE AGREGADOS AUTOPROPELIDO, CAP 3 M3, A DIESEL, POTÊNCIA 176CV - MANUTENÇÃO. AF_07/2016</t>
  </si>
  <si>
    <t>MÁQUINA DEMARCADORA DE FAIXA DE TRÁFEGO À FRIO, AUTOPROPELIDA, POTÊNCIA 38 HP - DEPRECIAÇÃO. AF_07/2016</t>
  </si>
  <si>
    <t>MÁQUINA DEMARCADORA DE FAIXA DE TRÁFEGO À FRIO, AUTOPROPELIDA, POTÊNCIA 38 HP - JUROS. AF_07/2016</t>
  </si>
  <si>
    <t>MÁQUINA DEMARCADORA DE FAIXA DE TRÁFEGO À FRIO, AUTOPROPELIDA, POTÊNCIA 38 HP - MANUTENÇÃO. AF_07/2016</t>
  </si>
  <si>
    <t>MÁQUINA DEMARCADORA DE FAIXA DE TRÁFEGO À FRIO, AUTOPROPELIDA, POTÊNCIA 38 HP - MATERIAIS NA OPERAÇÃO. AF_07/2016</t>
  </si>
  <si>
    <t>TALHA MANUAL DE CORRENTE, CAPACIDADE DE 2 TON. COM ELEVAÇÃO DE 3 M - DEPRECIAÇÃO. AF_07/2016</t>
  </si>
  <si>
    <t>TALHA MANUAL DE CORRENTE, CAPACIDADE DE 2 TON. COM ELEVAÇÃO DE 3 M - JUROS. AF_07/2016</t>
  </si>
  <si>
    <t>TALHA MANUAL DE CORRENTE, CAPACIDADE DE 2 TON. COM ELEVAÇÃO DE 3 M - MANUTENÇÃO. AF_07/2016</t>
  </si>
  <si>
    <t>PULVERIZADOR DE TINTA ELÉTRICO/MÁQUINA DE PINTURA AIRLESS, VAZÃO 2 L/MIN - MATERIAIS NA OPERAÇÃO. AF_05/2023</t>
  </si>
  <si>
    <t>MARTELO DEMOLIDOR PNEUMÁTICO MANUAL, 32 KG - DEPRECIAÇÃO. AF_09/2016</t>
  </si>
  <si>
    <t>MARTELO DEMOLIDOR PNEUMÁTICO MANUAL, 32 KG - JUROS. AF_09/2016</t>
  </si>
  <si>
    <t>MARTELO DEMOLIDOR PNEUMÁTICO MANUAL, 32 KG - MANUTENÇÃO. AF_09/2016</t>
  </si>
  <si>
    <t>COMPACTADOR DE SOLOS DE PERCUSÃO (SOQUETE) COM MOTOR A GASOLINA, POTÊNCIA 3 CV - DEPRECIAÇÃO. AF_09/2016</t>
  </si>
  <si>
    <t>COMPACTADOR DE SOLOS DE PERCUSÃO (SOQUETE) COM MOTOR A GASOLINA, POTÊNCIA 3 CV - JUROS. AF_09/2016</t>
  </si>
  <si>
    <t>COMPACTADOR DE SOLOS DE PERCUSÃO (SOQUETE) COM MOTOR A GASOLINA, POTÊNCIA 3 CV - MANUTENÇÃO. AF_09/2016</t>
  </si>
  <si>
    <t>COMPACTADOR DE SOLOS DE PERCUSÃO (SOQUETE) COM MOTOR A GASOLINA, POTÊNCIA 3 CV - MATERIAIS NA OPERAÇÃO. AF_09/2016</t>
  </si>
  <si>
    <t>RÉGUA VIBRATÓRIA DUPLA PARA CONCRETO, PESO DE 60KG, COMPRIMENTO 4 M, COM MOTOR A GASOLINA, POTÊNCIA 5,5 HP - DEPRECIAÇÃO. AF_09/2016</t>
  </si>
  <si>
    <t>RÉGUA VIBRATÓRIA DUPLA PARA CONCRETO, PESO DE 60KG, COMPRIMENTO 4 M, COM MOTOR A GASOLINA, POTÊNCIA 5,5 HP - JUROS. AF_09/2016</t>
  </si>
  <si>
    <t>RÉGUA VIBRATÓRIA DUPLA PARA CONCRETO, PESO DE 60KG, COMPRIMENTO 4 M, COM MOTOR A GASOLINA, POTÊNCIA 5,5 HP - MANUTENÇÃO. AF_09/2016</t>
  </si>
  <si>
    <t>POLIDORA DE PISO (POLITRIZ), PESO DE 100KG, DIÂMETRO 450 MM, MOTOR ELÉTRICO, POTÊNCIA 4 HP - DEPRECIAÇÃO. AF_05/2023</t>
  </si>
  <si>
    <t>POLIDORA DE PISO (POLITRIZ), PESO DE 100KG, DIÂMETRO 450 MM, MOTOR ELÉTRICO, POTÊNCIA 4 HP - JUROS. AF_05/2023</t>
  </si>
  <si>
    <t>POLIDORA DE PISO (POLITRIZ), PESO DE 100KG, DIÂMETRO 450 MM, MOTOR ELÉTRICO, POTÊNCIA 4 HP - MANUTENÇÃO. AF_05/2023</t>
  </si>
  <si>
    <t>POLIDORA DE PISO (POLITRIZ), PESO DE 100KG, DIÂMETRO 450 MM, MOTOR ELÉTRICO, POTÊNCIA 4 HP - MATERIAIS NA OPERAÇÃO. AF_05/2023</t>
  </si>
  <si>
    <t>DESEMPENADEIRA DE CONCRETO, PESO DE 78 KG, 4 PÁS, MOTOR A GASOLINA, POTÊNCIA 5,5 HP - DEPRECIAÇÃO. AF_05/2023</t>
  </si>
  <si>
    <t>DESEMPENADEIRA DE CONCRETO, PESO DE 78 KG, 4 PÁS, MOTOR A GASOLINA, POTÊNCIA 5,5 HP - JUROS. AF_05/2023</t>
  </si>
  <si>
    <t>DESEMPENADEIRA DE CONCRETO, PESO DE 78 KG, 4 PÁS, MOTOR A GASOLINA, POTÊNCIA 5,5 HP - MANUTENÇÃO. AF_05/2023</t>
  </si>
  <si>
    <t>ROLO COMPACTADOR VIBRATORIO TANDEM, ACO LISO, POTENCIA 125 HP, PESO SEM/COM LASTRO 10,20/11,65 T, LARGURA DE TRABALHO 1,73 M - DEPRECIAÇÃO. AF_11/2016</t>
  </si>
  <si>
    <t>ROLO COMPACTADOR VIBRATORIO TANDEM, ACO LISO, POTENCIA 125 HP, PESO SEM/COM LASTRO 10,20/11,65 T, LARGURA DE TRABALHO 1,73 M - JUROS. AF_11/2016</t>
  </si>
  <si>
    <t>ROLO COMPACTADOR VIBRATORIO TANDEM, ACO LISO, POTENCIA 125 HP, PESO SEM/COM LASTRO 10,20/11,65 T, LARGURA DE TRABALHO 1,73 M - MANUTENÇÃO. AF_11/2016</t>
  </si>
  <si>
    <t>ROLO COMPACTADOR VIBRATORIO TANDEM, ACO LISO, POTENCIA 125 HP, PESO SEM/COM LASTRO 10,20/11,65 T, LARGURA DE TRABALHO 1,73 M - MATERIAIS NA OPERAÇÃO. AF_11/2016</t>
  </si>
  <si>
    <t>ESCAVADEIRA HIDRAULICA SOBRE ESTEIRA, EQUIPADA COM CLAMSHELL, COM CAPACIDADE DA CAÇAMBA ENTRE 1,20 E 1,50 M3, PESO OPERACIONAL ENTRE 20,00 E 22,00 TON, POTENCIA LIQUIDA ENTRE 150 E 160 HP - DEPRECIAÇÃO. AF_11/2016</t>
  </si>
  <si>
    <t>ESCAVADEIRA HIDRAULICA SOBRE ESTEIRA, EQUIPADA COM CLAMSHELL, COM CAPACIDADE DA CAÇAMBA ENTRE 1,20 E 1,50 M3, PESO OPERACIONAL ENTRE 20,00 E 22,00 TON, POTENCIA LIQUIDA ENTRE 150 E 160 HP - JUROS. AF_11/2016</t>
  </si>
  <si>
    <t>ESCAVADEIRA HIDRAULICA SOBRE ESTEIRA, EQUIPADA COM CLAMSHELL, COM CAPACIDADE DA CAÇAMBA ENTRE 1,20 E 1,50 M3, PESO OPERACIONAL ENTRE 20,00 E 22,00 TON, POTENCIA LIQUIDA ENTRE 150 E 160 HP - MANUTENÇÃO. AF_11/2016</t>
  </si>
  <si>
    <t>ESCAVADEIRA HIDRAULICA SOBRE ESTEIRA, EQUIPADA COM CLAMSHELL, COM CAPACIDADE DA CAÇAMBA ENTRE 1,20 E 1,50 M3, PESO OPERACIONAL ENTRE 20,00 E 22,00 TON, POTENCIA LIQUIDA ENTRE 150 E 160 HP - MATERIAIS NA OPERAÇÃO. AF_11/2016</t>
  </si>
  <si>
    <t>GRUPO GERADOR COM CARENAGEM, MOTOR DIESEL POTÊNCIA STANDART ENTRE 250 E 260 KVA - JUROS. AF_12/2016</t>
  </si>
  <si>
    <t>GRUPO GERADOR COM CARENAGEM, MOTOR DIESEL POTÊNCIA STANDART ENTRE 250 E 260 KVA - MANUTENÇÃO. AF_12/2016</t>
  </si>
  <si>
    <t>GRUPO GERADOR COM CARENAGEM, MOTOR DIESEL POTÊNCIA STANDART ENTRE 250 E 260 KVA - MATERIAIS NA OPERAÇÃO. AF_12/2016</t>
  </si>
  <si>
    <t>GRUPO GERADOR COM CARENAGEM, MOTOR DIESEL POTÊNCIA STANDART ENTRE 250 E 260 KVA - DEPRECIAÇÃO. AF_12/2016</t>
  </si>
  <si>
    <t>TRATOR DE PNEUS COM POTÊNCIA DE 122 CV, TRAÇÃO 4X4, COM VASSOURA MECÂNICA ACOPLADA - DEPRECIAÇÃO. AF_02/2017</t>
  </si>
  <si>
    <t>TRATOR DE PNEUS COM POTÊNCIA DE 122 CV, TRAÇÃO 4X4, COM VASSOURA MECÂNICA ACOPLADA - JUROS. AF_02/2017</t>
  </si>
  <si>
    <t>TRATOR DE PNEUS COM POTÊNCIA DE 122 CV, TRAÇÃO 4X4, COM VASSOURA MECÂNICA ACOPLADA - MANUTENÇÃO. AF_02/2017</t>
  </si>
  <si>
    <t>TRATOR DE PNEUS COM POTÊNCIA DE 122 CV, TRAÇÃO 4X4, COM VASSOURA MECÂNICA ACOPLADA - MATERIAIS NA OPERAÇÃO. AF_02/2017</t>
  </si>
  <si>
    <t>TRATOR DE PNEUS COM POTÊNCIA DE 122 CV, TRAÇÃO 4X4, COM GRADE DE DISCOS ACOPLADA - DEPRECIAÇÃO. AF_02/2017</t>
  </si>
  <si>
    <t>TRATOR DE PNEUS COM POTÊNCIA DE 122 CV, TRAÇÃO 4X4, COM GRADE DE DISCOS ACOPLADA - JUROS. AF_02/2017</t>
  </si>
  <si>
    <t>TRATOR DE PNEUS COM POTÊNCIA DE 122 CV, TRAÇÃO 4X4, COM GRADE DE DISCOS ACOPLADA - MANUTENÇÃO. AF_02/2017</t>
  </si>
  <si>
    <t>TRATOR DE PNEUS COM POTÊNCIA DE 122 CV, TRAÇÃO 4X4, COM GRADE DE DISCOS ACOPLADA - MATERIAIS NA OPERAÇÃO. AF_02/2017</t>
  </si>
  <si>
    <t>TRATOR DE PNEUS COM POTÊNCIA DE 85 CV, TRAÇÃO 4X4, COM GRADE DE DISCOS ACOPLADA - DEPRECIAÇÃO. AF_02/2017</t>
  </si>
  <si>
    <t>TRATOR DE PNEUS COM POTÊNCIA DE 85 CV, TRAÇÃO 4X4, COM GRADE DE DISCOS ACOPLADA - JUROS. AF_02/2017</t>
  </si>
  <si>
    <t>TRATOR DE PNEUS COM POTÊNCIA DE 85 CV, TRAÇÃO 4X4, COM GRADE DE DISCOS ACOPLADA - MANUTENÇÃO. AF_02/2017</t>
  </si>
  <si>
    <t>TRATOR DE PNEUS COM POTÊNCIA DE 85 CV, TRAÇÃO 4X4, COM GRADE DE DISCOS ACOPLADA - MATERIAIS NA OPERAÇÃO. AF_02/2017</t>
  </si>
  <si>
    <t>CAMINHÃO BASCULANTE 10 M3, TRUCADO, POTÊNCIA 230 CV, INCLUSIVE CAÇAMBA METÁLICA, COM DISTRIBUIDOR DE AGREGADOS ACOPLADO - DEPRECIAÇÃO. AF_02/2017</t>
  </si>
  <si>
    <t>CAMINHÃO BASCULANTE 10 M3, TRUCADO, POTÊNCIA 230 CV, INCLUSIVE CAÇAMBA METÁLICA, COM DISTRIBUIDOR DE AGREGADOS ACOPLADO - JUROS. AF_02/2017</t>
  </si>
  <si>
    <t>CAMINHÃO BASCULANTE 10 M3, TRUCADO, POTÊNCIA 230 CV, INCLUSIVE CAÇAMBA METÁLICA, COM DISTRIBUIDOR DE AGREGADOS ACOPLADO - IMPOSTOS E SEGUROS. AF_02/2017</t>
  </si>
  <si>
    <t>CAMINHÃO BASCULANTE 10 M3, TRUCADO, POTÊNCIA 230 CV, INCLUSIVE CAÇAMBA METÁLICA, COM DISTRIBUIDOR DE AGREGADOS ACOPLADO - MANUTENÇÃO. AF_02/2017</t>
  </si>
  <si>
    <t>CAMINHÃO BASCULANTE 10 M3, TRUCADO, POTÊNCIA 230 CV, INCLUSIVE CAÇAMBA METÁLICA, COM DISTRIBUIDOR DE AGREGADOS ACOPLADO - MATERIAIS NA OPERAÇÃO. AF_02/2017</t>
  </si>
  <si>
    <t>TRATOR DE PNEUS COM POTÊNCIA DE 85 CV, TRAÇÃO 4X4, COM VASSOURA MECÂNICA ACOPLADA - DEPRECIAÇÃO. AF_03/2017</t>
  </si>
  <si>
    <t>MINICARREGADEIRA SOBRE RODAS POTENCIA 47HP CAPACIDADE OPERACAO 646 KG, COM VASSOURA MECÂNICA ACOPLADA - DEPRECIAÇÃO. AF_03/2017</t>
  </si>
  <si>
    <t>TRATOR DE PNEUS COM POTÊNCIA DE 85 CV, TRAÇÃO 4X4, COM VASSOURA MECÂNICA ACOPLADA - JUROS. AF_03/2017</t>
  </si>
  <si>
    <t>TRATOR DE PNEUS COM POTÊNCIA DE 85 CV, TRAÇÃO 4X4, COM VASSOURA MECÂNICA ACOPLADA - MANUTENÇÃO. AF_03/2017</t>
  </si>
  <si>
    <t>TRATOR DE PNEUS COM POTÊNCIA DE 85 CV, TRAÇÃO 4X4, COM VASSOURA MECÂNICA ACOPLADA - MATERIAIS NA OPERAÇÃO. AF_03/2017</t>
  </si>
  <si>
    <t>MINICARREGADEIRA SOBRE RODAS POTENCIA 47HP CAPACIDADE OPERACAO 646 KG, COM VASSOURA MECÂNICA ACOPLADA - JUROS. AF_03/2017</t>
  </si>
  <si>
    <t>MINICARREGADEIRA SOBRE RODAS POTENCIA 47HP CAPACIDADE OPERACAO 646 KG, COM VASSOURA MECÂNICA ACOPLADA - MANUTENÇÃO. AF_03/2017</t>
  </si>
  <si>
    <t>MINICARREGADEIRA SOBRE RODAS POTENCIA 47HP CAPACIDADE OPERACAO 646 KG, COM VASSOURA MECÂNICA ACOPLADA - MATERIAIS NA OPERAÇÃO. AF_03/2017</t>
  </si>
  <si>
    <t>PERFURATRIZ ROTATIVA SOBRE ESTEIRA, TORQUE MAXIMO 2500 KGM, POTENCIA 110 HP, MOTOR DIESEL - MATERIAIS NA OPERAÇÃO. AF_05/2017</t>
  </si>
  <si>
    <t>LAVADORA DE ALTA PRESSAO (LAVA-JATO) PARA AGUA FRIA, PRESSAO DE OPERACAO ENTRE 1400 E 1900 LIB/POL2, VAZAO MAXIMA ENTRE 400 E 700 L/H - DEPRECIAÇÃO. AF_05/2023</t>
  </si>
  <si>
    <t>LAVADORA DE ALTA PRESSAO (LAVA-JATO) PARA AGUA FRIA, PRESSAO DE OPERACAO ENTRE 1400 E 1900 LIB/POL2, VAZAO MAXIMA ENTRE 400 E 700 L/H - JUROS. AF_05/2023</t>
  </si>
  <si>
    <t>LAVADORA DE ALTA PRESSAO (LAVA-JATO) PARA AGUA FRIA, PRESSAO DE OPERACAO ENTRE 1400 E 1900 LIB/POL2, VAZAO MAXIMA ENTRE 400 E 700 L/H - MANUTENÇÃO. AF_05/2023</t>
  </si>
  <si>
    <t>LAVADORA DE ALTA PRESSAO (LAVA-JATO) PARA AGUA FRIA, PRESSAO DE OPERACAO ENTRE 1400 E 1900 LIB/POL2, VAZAO MAXIMA ENTRE 400 E 700 L/H - MATERIAIS NA OPERAÇÃO. AF_05/2023</t>
  </si>
  <si>
    <t>USINA DE MISTURA ASFÁLTICA À QUENTE, TIPO CONTRA FLUXO, PROD 100 A 140 TON/HORA - DEPRECIAÇÃO. AF_12/2019</t>
  </si>
  <si>
    <t>USINA DE MISTURA ASFÁLTICA À QUENTE, TIPO CONTRA FLUXO, PROD 100 A 140 TON/HORA - JUROS. AF_12/2019</t>
  </si>
  <si>
    <t>USINA DE MISTURA ASFÁLTICA À QUENTE, TIPO CONTRA FLUXO, PROD 100 A 140 TON/HORA - MANUTENÇÃO. AF_12/2019</t>
  </si>
  <si>
    <t>USINA DE MISTURA ASFÁLTICA À QUENTE, TIPO CONTRA FLUXO, PROD 100 A 140 TON/HORA - MATERIAIS NA OPERAÇÃO. AF_12/2019</t>
  </si>
  <si>
    <t>USINA DE ASFALTO, TIPO GRAVIMÉTRICA, PROD 150 TON/HORA - DEPRECIAÇÃO. AF_12/2019</t>
  </si>
  <si>
    <t>USINA DE ASFALTO, TIPO GRAVIMÉTRICA, PROD 150 TON/HORA - JUROS. AF_12/2019</t>
  </si>
  <si>
    <t>USINA DE ASFALTO, TIPO GRAVIMÉTRICA, PROD 150 TON/HORA - MANUTENÇÃO. AF_12/2019</t>
  </si>
  <si>
    <t>USINA DE ASFALTO, TIPO GRAVIMÉTRICA, PROD 150 TON/HORA - MATERIAIS NA OPERAÇÃO. AF_12/2019</t>
  </si>
  <si>
    <t>MARTELO DEMOLIDOR ELÉTRICO, COM POTÊNCIA DE 2.000 W, 1.000 IMPACTOS POR MINUTO, PESO DE 30 KG - DEPRECIAÇÃO. AF_01/2021</t>
  </si>
  <si>
    <t>MARTELO DEMOLIDOR ELÉTRICO, COM POTÊNCIA DE 2.000 W, 1.000 IMPACTOS POR MINUTO, PESO DE 30 KG - JUROS. AF_01/2021</t>
  </si>
  <si>
    <t>MARTELO DEMOLIDOR ELÉTRICO, COM POTÊNCIA DE 2.000 W, 1.000 IMPACTOS POR MINUTO, PESO DE 30 KG - MANUTENÇÃO. AF_01/2021</t>
  </si>
  <si>
    <t>MARTELO DEMOLIDOR ELÉTRICO, COM POTÊNCIA DE 2.000 W, 1.000 IMPACTOS POR MINUTO, PESO DE 30 KG - MATERIAIS NA OPERAÇÃO. AF_01/2021</t>
  </si>
  <si>
    <t>CALDEIRA A GÁS COM TERMOSTATO, CAPACIDADE 100 LITROS - MATERIAIS NA OPERAÇÃO. AF_05/2023</t>
  </si>
  <si>
    <t>CENTRAL DE LAMA BENTONÍTICA (DEPÓSITO DE BENTONITA, MISTURADOR DE ALTA TURBULÊNCIA, SILOS DE ARMAZENAMENTO DE LAMA E ÁGUA, LABORATÓRIO DE CONTROLE DE QUALIDADE DA LAMA) - MATERIAIS NA OPERAÇÃO. AF_04/2019</t>
  </si>
  <si>
    <t>CONJUNTO MACACO E BOMBA HIDRÁULICA PARA PROTENSAO DE CORDOALHAS, ESFORÇO MAXIMO DE 115 TONELADAS - MATERIAIS NA OPERAÇÃO. AF_05/2023</t>
  </si>
  <si>
    <t>GUINDASTE HIDRAULICO AUTOPROPELIDO, COM LANÇA TRELIÇADA 40 M, CAPACIDADE MÁXIMA 75 T, EQUIPADO COM CLAMSHELL - MATERIAIS NA OPERAÇÃO. AF_04/2019</t>
  </si>
  <si>
    <t>GUINDASTE SOBRE ESTEIRAS, COM LANÇA TRELIÇADA 40 M, CAPACIDADE MÁXIMA 75 T - MATERIAIS NA OPERAÇÃO. AF_04/2019</t>
  </si>
  <si>
    <t>GUINDASTE SOBRE ESTEIRAS, COM LANÇA TRELIÇADA 40 M, CAPACIDADE MÁXIMA 75 T, EQUIPADO COM CLAMSHELL - MATERIAIS NA OPERAÇÃO. AF_04/2019</t>
  </si>
  <si>
    <t>MÁQUINA FORMER DOBRAS DIVERSAS: 220V/380V TRIFÁSICO OU MONOFÁSICO, CAPACIDADE 0,5-1,27MM, MOTOR 2CV - MATERIAIS NA OPERAÇÃO. AF_05/2023</t>
  </si>
  <si>
    <t>MÁQUINA SOLDA ARCO COM PISTOLA DE SOLDAGEM PARA STUD BOLT DE 5 MM A 22 MM - MATERIAIS NA OPERAÇÃO. AF_05/2023</t>
  </si>
  <si>
    <t>PERFURATRIZ HIDRÁULICA SOBRE ESTEIRA, TORQUE MÁXIMO 161 KNM, PROFUNDIDADE MÁXIMA 54 M, DIÂMETRO MÁXIMO 1500 MM, POTÊNCIA MOTOR 268 HP - MATERIAIS NA OPERAÇÃO. AF_04/2019</t>
  </si>
  <si>
    <t>PERFURATRIZ PARA EXECUÇÃO DE ESTACAS SECANTES, TIPO HÉLICE CONTÍNUA COM CABEÇOTE DUPLO E TUBO METÁLICO - MATERIAIS NA OPERAÇÃO. AF_04/2019</t>
  </si>
  <si>
    <t>PLATAFORMA ELEVATÓRIA - MATERIAIS NA OPERAÇÃO. AF_04/2019</t>
  </si>
  <si>
    <t>ESCAVADEIRA HIDRÁULICA SOBRE ESTEIRA, PESO OPERACIONAL ENTRE 22,00 E 23,50 T, POTÊNCIA NOMINAL 139 HP, COM MARTELO ROMPEDOR HIDRÁULICO 1700 KG - MATERIAIS NA OPERAÇÃO. AF_04/2019</t>
  </si>
  <si>
    <t>UNIDADE DOSADORA AIRLESS TIPO HOT SPRAY - MATERIAIS NA OPERAÇÃO. AF_05/2023</t>
  </si>
  <si>
    <t>ENCERADEIRA INDUSTRIAL, 400 MM, 220V, 1 HP - MATERIAIS NA OPERAÇÃO. AF_05/2023</t>
  </si>
  <si>
    <t>SERRA FITA HORIZONTAL, ELÉTRICA, COM CONTROLE HIDRÁULICO, PAINEL DE COMANDO EM 24 V, MOTOR ELÉTRICO 1,5 CV, DIMENSÕES DA FITA 3880 X 27 X 0,9 MM, TRIFÁSICA - MATERIAIS NA OPERAÇÃO. AF_05/2023</t>
  </si>
  <si>
    <t>FURADEIRA ELETROMAGNÉTICA, VELOCIDADE (SEM CARGA/ COM CARGA) 450/ 270 RPM, ESPESSURA MÁXIMA DA CHAPA A SER FURADA 50 MM, PORÇA DE ADESÃO MAGNÉTICA 17000 N, POTÊNCIA 1100 W, ALIMENTÇÃO 220 - 60 HZ, MONOFÁSICA - MATERIAIS NA OPERAÇÃO. AF_08/2019</t>
  </si>
  <si>
    <t>MÁQUINA METALEIRA UNIVERSAL MODELO IW 110/180 BTD - MATERIAIS NA OPERAÇÃO. AF_05/2023</t>
  </si>
  <si>
    <t>TARTARUGA DE OXICORTE CG1, MONOFÁSICA, 220 V, FREQUÊNCIA 50 HZ, VELOCIDADE DE CORTE (MM/MIN) 50 A 750, DIÂMETRO MÍNIMO DO COMPASSO MM 200 - MATERIAIS NA OPERAÇÃO. AF_05/2023</t>
  </si>
  <si>
    <t>BETONEIRA CAPACIDADE NOMINAL DE 250 L, CAPACIDADE DE MISTURA DE 175 L, MOTOR ELÉTRICO MONOFÁSICO POTÊNCIA 1CV - MATERIAIS NA OPERAÇÃO. AF_05/2023</t>
  </si>
  <si>
    <t>PERFURATRIZ HIDRÁULICA SOBRE ESTEIRA, TORQUE MÁXIMO 98 KNM, PROFUNDIDADE MÁXIMA 25 M, DIÂMETRO MÁXIMO 115 MM, POTÊNCIA MOTOR 190 HP - MATERIAIS NA OPERAÇÃO. AF_02/2021</t>
  </si>
  <si>
    <t>COMPRESSOR DE AR, VAZAO DE 10 PCM, RESERVATORIO 100 L, PRESSAO DE TRABALHO ENTRE 6,9 E 9,7 BAR, POTENCIA 2 HP, TENSAO 110/220 V - MATERIAIS NA OPERAÇÃO. AF_05/2023</t>
  </si>
  <si>
    <t>MÁQUINA DEMARCADORA DE FAIXA DE TRÁFEGO À FRIO, TRAÇÃO MANUAL, 4 CV, PRESSÃO MAX 3300 PSI, TANQUE 20 L - MATERIAIS NA OPERAÇÃO. AF_06/2021</t>
  </si>
  <si>
    <t>MÁQUINA PARA SOLDA POR ELETROFUSÃO PARA TUBOS DE POLIETILENO DE ALTA DENSIDADE (PEAD) COM DIÂMETRO EXTERNO DE 20 A 800 MM, POTÊNCIA ENTRE 2750 E 3000 W - MATERIAIS NA OPERAÇÃO. AF_05/2023</t>
  </si>
  <si>
    <t>MÁQUINA PARA SOLDA POR ELETROFUSÃO PARA TUBOS DE POLIETILENO DE ALTA DENSIDADE (PEAD) COM DIÂMETRO EXTERNO DE 20 A 1600 MM, POTÊNCIA DE 3500 W - MATERIAIS NA OPERAÇÃO. AF_05/2023</t>
  </si>
  <si>
    <t>MÁQUINA PARA SOLDA POR TERMOFUSÃO PARA TUBOS DE POLIETILENO DE ALTA DENSIDADE (PEAD) COM DIÂMETRO EXTERNO DE 90 A 315 MM, POTÊNCIA ENTRE 2500 E 5350 W - MATERIAIS NA OPERAÇÃO. AF_05/2023</t>
  </si>
  <si>
    <t>MÁQUINA PARA SOLDA POR TERMOFUSÃO PARA TUBOS DE POLIETILENO DE ALTA DENSIDADE (PEAD) COM DIÂMETRO EXTERNO DE 315 A 630 MM, POTÊNCIA ENTRE 8000 E 12350 W - MATERIAIS NA OPERAÇÃO. AF_05/2023</t>
  </si>
  <si>
    <t>MÁQUINA PARA SOLDA POR TERMOFUSÃO PARA TUBOS DE POLIETILENO DE ALTA DENSIDADE (PEAD) COM DIÂMETRO EXTERNO DE 710 A 1200 MM, POTÊNCIA ENTRE 16000 E 29500 W - MATERIAIS NA OPERAÇÃO. AF_05/2023</t>
  </si>
  <si>
    <t>PERFURATRIZ PARA FURO DIRECIONAL HORIZONTAL (HDD) COM CAPACIDADE ATÉ 89 KN, POTÊNCIA 24,8 HP A 80 HP (INCLUSO FERRAMENTAS E LOCALIZADOR) - MATERIAIS NA OPERAÇÃO. AF_05/2023</t>
  </si>
  <si>
    <t>PERFURATRIZ PARA FURO DIRECIONAL HORIZONTAL (HDD) COM CAPACIDADE DE 90 KN A 200 KN, POTÊNCIA 100 HP A 160 HP (INCLUSO FERRAMENTAS E LOCALIZADOR) - MATERIAIS NA OPERAÇÃO. AF_05/2023</t>
  </si>
  <si>
    <t>PERFURATRIZ PARA FURO DIRECIONAL HORIZONTAL (HDD) COM CAPACIDADE DE 201 KN A 560 KN, POTÊNCIA 200 HP A 260 HP (INCLUSO FERRAMENTAS E LOCALIZADOR) - MATERIAIS NA OPERAÇÃO. AF_05/2023</t>
  </si>
  <si>
    <t>MISTURADOR PARA PREPARO DE LAMA ESTABILIZANTE COM CAPACIDADE DE *4000* L, COM BOMBA CENTRÍFUGA 5,5 HP A 23,07 HP, PARA SISTEMA DE FURO DIRECIONAL - MATERIAIS NA OPERAÇÃO. AF_05/2023</t>
  </si>
  <si>
    <t>VARREDEIRA DE GRAMA SINTÉTICA A GASOLINA, 2,4 CV, 4 TEMPOS - MATERIAIS NA OPERAÇÃO. AF_05/2023</t>
  </si>
  <si>
    <t>BATE ESTACA PARA INSTALAÇÃO DE DEFENSAS METÁLICAS (GUARD RAIL) FIXO, INCLUSIVE CAMINHÃO TOCO PBT 9.700 KG, POTÊNCIA DE 160 CV - MATERIAIS NA OPERAÇÃO. AF_05/2023</t>
  </si>
  <si>
    <t>TERMOFUSORA PARA TUBOS E CONEXÕES EM PPR COM DIÂMETROS DE 20 A 63 MM, POTÊNCIA DE 800 W, TENSAO 220 V - DEPRECIAÇÃO. AF_05/2022</t>
  </si>
  <si>
    <t>TERMOFUSORA PARA TUBOS E CONEXÕES EM PPR COM DIÂMETROS DE 20 A 63 MM, POTÊNCIA DE 800 W, TENSAO 220 V - JUROS. AF_05/2022</t>
  </si>
  <si>
    <t>TERMOFUSORA PARA TUBOS E CONEXÕES EM PPR COM DIÂMETROS DE 20 A 63 MM, POTÊNCIA DE 800 W, TENSAO 220 V - MANUTENÇÃO. AF_05/2022</t>
  </si>
  <si>
    <t>TERMOFUSORA PARA TUBOS E CONEXÕES EM PPR COM DIÂMETROS DE 20 A 63 MM, POTÊNCIA DE 800 W, TENSAO 220 V - MATERIAIS NA OPERAÇÃO. AF_05/2022</t>
  </si>
  <si>
    <t>TERMOFUSORA PARA TUBOS E CONEXÕES EM PPR COM DIÂMETROS DE 75 A 110 MM, POTÊNCIA DE *1100* W, TENSÃO 220 V - DEPRECIAÇÃO. AF_05/2022</t>
  </si>
  <si>
    <t>TERMOFUSORA PARA TUBOS E CONEXÕES EM PPR COM DIÂMETROS DE 75 A 110 MM, POTÊNCIA DE *1100* W, TENSÃO 220 V - JUROS. AF_05/2022</t>
  </si>
  <si>
    <t>TERMOFUSORA PARA TUBOS E CONEXÕES EM PPR COM DIÂMETROS DE 75 A 110 MM, POTÊNCIA DE *1100* W, TENSÃO 220 V - MANUTENÇÃO. AF_05/2022</t>
  </si>
  <si>
    <t>TERMOFUSORA PARA TUBOS E CONEXÕES EM PPR COM DIÂMETROS DE 75 A 110 MM, POTÊNCIA DE *1100* W, TENSÃO 220 V - MATERIAIS NA OPERAÇÃO. AF_05/2022</t>
  </si>
  <si>
    <t>LIXADEIRA DE PAREDE, COM LED, POTÊNCIA 750 W, FREQUÊNCIA 60 HZ, VELOCIDADE 1000 A 2100 RPM, DIÂMETRO DA LIXA 225 MM - MATERIAIS NA OPERAÇÃO. AF_12/2022</t>
  </si>
  <si>
    <t>MARTELETE PERFURADOR/ ROMPEDOR ELÉTRICO, POTÊNCIA 800 W, 220 V - MATERIAIS NA OPERAÇÃO. AF_05/2023</t>
  </si>
  <si>
    <t>GRUPO GERADOR DIESEL, COM CARENAGEM, POTÊNCIA STANDART ENTRE 400 E 460 KVA, VELOCIDADE DE 1800 RPM, FREQUÊNCIA DE 60 HZ - MATERIAIS NA OPERAÇÃO. AF_05/2023</t>
  </si>
  <si>
    <t>PERFURATRIZ DE COROA DIAMANTADA PARA CONCRETO, DIÂMETRO ATÉ 250 MM, MOTOR ELÉTRICO 220 V, POTÊNCIA 2.500 W - MATERIAIS NA OPERAÇÃO. AF_05/2023</t>
  </si>
  <si>
    <t>TELHAMENTO COM TELHA DE CONCRETO DE ENCAIXE, COM ATÉ 2 ÁGUAS, INCLUSO TRANSPORTE VERTICAL. AF_07/2019</t>
  </si>
  <si>
    <t>TELHAMENTO COM TELHA DE CONCRETO DE ENCAIXE, COM MAIS DE 2 ÁGUAS, INCLUSO TRANSPORTE VERTICAL. AF_07/2019</t>
  </si>
  <si>
    <t>TELHAMENTO COM TELHA CERÂMICA DE ENCAIXE, TIPO PORTUGUESA, COM ATÉ 2 ÁGUAS, INCLUSO TRANSPORTE VERTICAL. AF_07/2019</t>
  </si>
  <si>
    <t>TELHAMENTO COM TELHA CERÂMICA DE ENCAIXE, TIPO PORTUGUESA, COM MAIS DE 2 ÁGUAS, INCLUSO TRANSPORTE VERTICAL. AF_07/2019</t>
  </si>
  <si>
    <t>TELHAMENTO COM TELHA CERÂMICA CAPA-CANAL, TIPO COLONIAL, COM ATÉ 2 ÁGUAS, INCLUSO TRANSPORTE VERTICAL. AF_07/2019</t>
  </si>
  <si>
    <t>TELHAMENTO COM TELHA CERÂMICA CAPA-CANAL, TIPO COLONIAL, COM MAIS DE 2 ÁGUAS, INCLUSO TRANSPORTE VERTICAL. AF_07/2019</t>
  </si>
  <si>
    <t>EMBOÇAMENTO COM ARGAMASSA TRAÇO 1:2:9 (CIMENTO, CAL E AREIA). AF_07/2019</t>
  </si>
  <si>
    <t>SUBCOBERTURA COM MANTA PLÁSTICA REVESTIDA POR PELÍCULA DE ALUMÍNO, INCLUSO TRANSPORTE VERTICAL. AF_07/2019</t>
  </si>
  <si>
    <t>AMARRAÇÃO DE TELHAS CERÂMICAS OU DE CONCRETO. AF_07/2019</t>
  </si>
  <si>
    <t>TELHAMENTO COM TELHA CERÂMICA DE ENCAIXE, TIPO FRANCESA, COM ATÉ 2 ÁGUAS, INCLUSO TRANSPORTE VERTICAL. AF_07/2019</t>
  </si>
  <si>
    <t>TELHAMENTO COM TELHA CERÂMICA DE ENCAIXE, TIPO FRANCESA, COM MAIS DE 2 ÁGUAS, INCLUSO TRANSPORTE VERTICAL. AF_07/2019</t>
  </si>
  <si>
    <t>TELHAMENTO COM TELHA CERÂMICA DE ENCAIXE, TIPO ROMANA, COM ATÉ 2 ÁGUAS, INCLUSO TRANSPORTE VERTICAL. AF_07/2019</t>
  </si>
  <si>
    <t>TELHAMENTO COM TELHA CERÂMICA DE ENCAIXE, TIPO ROMANA, COM MAIS DE 2 ÁGUAS, INCLUSO TRANSPORTE VERTICAL. AF_07/2019</t>
  </si>
  <si>
    <t>TELHAMENTO COM TELHA CERÂMICA CAPA-CANAL, TIPO PLAN, COM ATÉ 2 ÁGUAS, INCLUSO TRANSPORTE VERTICAL. AF_07/2019</t>
  </si>
  <si>
    <t>TELHAMENTO COM TELHA CERÂMICA CAPA-CANAL, TIPO PLAN, COM MAIS DE 2 ÁGUAS, INCLUSO TRANSPORTE VERTICAL. AF_07/2019</t>
  </si>
  <si>
    <t>TELHAMENTO COM TELHA CERÂMICA CAPA-CANAL, TIPO PAULISTA, COM ATÉ 2 ÁGUAS, INCLUSO TRANSPORTE VERTICAL. AF_07/2019</t>
  </si>
  <si>
    <t>TELHAMENTO COM TELHA CERÂMICA CAPA-CANAL, TIPO PAULISTA, COM MAIS DE 2 ÁGUAS, INCLUSO TRANSPORTE VERTICAL. AF_07/2019</t>
  </si>
  <si>
    <t>TELHAMENTO COM TELHA ONDULADA DE FIBROCIMENTO E = 6 MM, COM RECOBRIMENTO LATERAL DE 1/4 DE ONDA PARA TELHADO COM INCLINAÇÃO MAIOR QUE 10°, COM ATÉ 2 ÁGUAS, INCLUSO IÇAMENTO. AF_07/2019</t>
  </si>
  <si>
    <t>TELHAMENTO COM TELHA ONDULADA DE FIBROCIMENTO E = 6 MM, COM RECOBRIMENTO LATERAL DE 1 1/4 DE ONDA PARA TELHADO COM INCLINAÇÃO MÁXIMA DE 10°, COM ATÉ 2 ÁGUAS, INCLUSO IÇAMENTO. AF_07/2019</t>
  </si>
  <si>
    <t>TELHAMENTO COM TELHA ESTRUTURAL DE FIBROCIMENTO E= 8 MM, COM ATÉ 2 ÁGUAS, INCLUSO IÇAMENTO. AF_07/2019_PS</t>
  </si>
  <si>
    <t>TELHAMENTO COM TELHA DE AÇO/ALUMÍNIO E = 0,5 MM, COM ATÉ 2 ÁGUAS, INCLUSO IÇAMENTO. AF_07/2019</t>
  </si>
  <si>
    <t>TELHAMENTO COM TELHA METÁLICA TERMOACÚSTICA E = 30 MM, COM ATÉ 2 ÁGUAS, INCLUSO IÇAMENTO. AF_07/2019</t>
  </si>
  <si>
    <t>CUMEEIRA E ESPIGÃO PARA TELHA CERÂMICA EMBOÇADA COM ARGAMASSA TRAÇO 1:2:9 (CIMENTO, CAL E AREIA), PARA TELHADOS COM MAIS DE 2 ÁGUAS, INCLUSO TRANSPORTE VERTICAL. AF_07/2019</t>
  </si>
  <si>
    <t>CUMEEIRA E ESPIGÃO PARA TELHA DE CONCRETO EMBOÇADA COM ARGAMASSA TRAÇO 1:2:9 (CIMENTO, CAL E AREIA), PARA TELHADOS COM MAIS DE 2 ÁGUAS, INCLUSO TRANSPORTE VERTICAL. AF_07/2019</t>
  </si>
  <si>
    <t>CUMEEIRA PARA TELHA CERÂMICA EMBOÇADA COM ARGAMASSA TRAÇO 1:2:9 (CIMENTO, CAL E AREIA) PARA TELHADOS COM ATÉ 2 ÁGUAS, INCLUSO TRANSPORTE VERTICAL. AF_07/2019</t>
  </si>
  <si>
    <t>CUMEEIRA PARA TELHA DE CONCRETO EMBOÇADA COM ARGAMASSA TRAÇO 1:2:9 (CIMENTO, CAL E AREIA) PARA TELHADOS COM ATÉ 2 ÁGUAS, INCLUSO TRANSPORTE VERTICAL. AF_07/2019</t>
  </si>
  <si>
    <t>CUMEEIRA PARA TELHA DE FIBROCIMENTO ONDULADA E = 6 MM, INCLUSO ACESSÓRIOS DE FIXAÇÃO E IÇAMENTO. AF_07/2019</t>
  </si>
  <si>
    <t>CUMEEIRA PARA TELHA DE FIBROCIMENTO ESTRUTURAL E = 6 MM, INCLUSO ACESSÓRIOS DE FIXAÇÃO E IÇAMENTO. AF_07/2019</t>
  </si>
  <si>
    <t>CUMEEIRA SHED PARA TELHA ONDULADA DE FIBROCIMENTO, E = 6 MM, INCLUSO ACESSÓRIOS DE FIXAÇÃO E IÇAMENTO. AF_07/2019</t>
  </si>
  <si>
    <t>RUFO EXTERNO/INTERNO EM CHAPA DE AÇO GALVANIZADO NÚMERO 26, CORTE DE 33 CM, INCLUSO IÇAMENTO. AF_07/2019</t>
  </si>
  <si>
    <t>CALHA DE BEIRAL, SEMICIRCULAR DE PVC, DIAMETRO 125 MM, INCLUINDO CABECEIRAS, EMENDAS, BOCAIS, SUPORTES E VEDAÇÕES, EXCLUINDO CONDUTORES, INCLUSO TRANSPORTE VERTICAL. AF_07/2019</t>
  </si>
  <si>
    <t>RUFO EM FIBROCIMENTO PARA TELHA ONDULADA E = 6 MM, ABA DE 26 CM, INCLUSO TRANSPORTE VERTICAL, EXCETO CONTRARRUFO. AF_07/2019</t>
  </si>
  <si>
    <t>CALHA EM CHAPA DE AÇO GALVANIZADO NÚMERO 24, DESENVOLVIMENTO DE 33 CM, INCLUSO TRANSPORTE VERTICAL. AF_07/2019</t>
  </si>
  <si>
    <t>CALHA EM CHAPA DE AÇO GALVANIZADO NÚMERO 24, DESENVOLVIMENTO DE 50 CM, INCLUSO TRANSPORTE VERTICAL. AF_07/2019</t>
  </si>
  <si>
    <t>CALHA EM CHAPA DE AÇO GALVANIZADO NÚMERO 24, DESENVOLVIMENTO DE 100 CM, INCLUSO TRANSPORTE VERTICAL. AF_07/2019</t>
  </si>
  <si>
    <t>RUFO EM CHAPA DE AÇO GALVANIZADO NÚMERO 24, CORTE DE 25 CM, INCLUSO TRANSPORTE VERTICAL. AF_07/2019</t>
  </si>
  <si>
    <t>TELHAMENTO COM TELHA ONDULADA DE FIBRA DE VIDRO E = 0,6 MM, PARA TELHADO COM INCLINAÇÃO MAIOR QUE 10°, COM ATÉ 2 ÁGUAS, INCLUSO IÇAMENTO. AF_07/2019</t>
  </si>
  <si>
    <t>TELHAMENTO COM TELHA DE ENCAIXE, TIPO FRANCESA DE VIDRO, COM ATÉ 2 ÁGUAS, INCLUSO TRANSPORTE VERTICAL. AF_07/2019</t>
  </si>
  <si>
    <t>ESGOTAMENTO DE VALA COM BOMBA SUBMERSÍVEL. AF_12/2022</t>
  </si>
  <si>
    <t>INSTALAÇÃO E DESINSTALAÇÃO DE REGISTRO DE PVC PARA SISTEMA DE REBAIXAMENTO DE LENÇOL FREÁTICO POR PONTEIRAS FILTRANTES. AF_12/2022</t>
  </si>
  <si>
    <t>INSTALAÇÃO E DESINSTALAÇÃO DE CONJUNTO DE BOMBAS, À VÁCUO E CENTRÍFUGA, PARA SISTEMA DE REBAIXAMENTO DE LENÇOL FREÁTICO POR PONTEIRAS FILTRANTES (EXCLUI O FORNECIMENTO DE BOMBAS). AF_12/2022</t>
  </si>
  <si>
    <t>INSTALAÇÃO DE MATERIAL GRANULAR FILTRANTE PARA SISTEMA DE REBAIXAMENTO DE LENÇOL FREÁTICO POR POÇOS PROFUNDOSA, DIÂMETRO DO POÇO DE 400 MM. AF_12/2022</t>
  </si>
  <si>
    <t>INSTALAÇÃO E DESINSTALAÇÃO DE SISTEMA DE BOMBA PARA SISTEMA DE REBAIXAMENTO DE LENÇOL FREÁTICO POR POÇOS PROFUNDOS (EXCLUI O FORNECIMENTO DE BOMBA). AF_12/2022</t>
  </si>
  <si>
    <t>DRENO SUBSUPERFICIAL (SEÇÃO 0,40 X 0,40 M), COM TUBO DE PEAD CORRUGADO PERFURADO, DN 100 MM, ENCHIMENTO COM AREIA. AF_07/2021</t>
  </si>
  <si>
    <t>DRENO SUBSUPERFICIAL (SEÇÃO 0,40 X 0,40 M), COM TUBO DE PVC CORRUGADO RÍGIDO PERFURADO, DN 100 MM, ENCHIMENTO COM AREIA. AF_07/2021</t>
  </si>
  <si>
    <t>DRENO SUBSUPERFICIAL (SEÇÃO 0,40 X 0,40 M), COM TUBO DE CONCRETO SIMPLES POROSO, DN 200 MM, ENCHIMENTO COM AREIA. AF_07/2021</t>
  </si>
  <si>
    <t>DRENO SUBSUPERFICIAL (SEÇÃO 0,40 X 0,40 M), CEGO, ENCHIMENTO DE BRITA, ENVOLVIDO COM MANTA GEOTÊXTIL. AF_07/2021</t>
  </si>
  <si>
    <t>DRENO SUBSUPERFICIAL (SEÇÃO 0,40 X 0,40 M), CEGO, ENCHIMENTO DE BRITA. AF_07/2021</t>
  </si>
  <si>
    <t>DRENO SUBSUPERFICIAL (SEÇÃO 0,40 X 0,40 M), COM TUBO DE PEAD CORRUGADO PERFURADO, DN 100 MM, ENCHIMENTO COM BRITA, ENVOLVIDO COM MANTA GEOTÊXTIL. AF_07/2021</t>
  </si>
  <si>
    <t>DRENO SUBSUPERFICIAL (SEÇÃO 0,40 X 0,40 M), COM TUBO DE PVC CORRUGADO RÍGIDO PERFURADO, DN 100 MM, ENCHIMENTO COM BRITA, ENVOLVIDO COM MANTA GEOTÊXTIL. AF_07/2021</t>
  </si>
  <si>
    <t>DRENO SUBSUPERFICIAL (SEÇÃO 0,40 X 0,40 M), COM TUBO DE CONCRETO SIMPLES POROSO, DN 200 MM, ENCHIMENTO COM BRITA, ENVOLVIDO COM MANTA GEOTÊXTIL. AF_07/2021</t>
  </si>
  <si>
    <t>DRENO PROFUNDO (SEÇÃO 0,50 X 1,50 M), COM TUBO DE PEAD CORRUGADO PERFURADO, DN 100 MM, ENCHIMENTO COM AREIA, COM SELO DE ARGILA. AF_07/2021</t>
  </si>
  <si>
    <t>DRENO PROFUNDO (SEÇÃO 0,50 X 1,50 M), COM TUBO DE PVC CORRUGADO RÍGIDO PERFURADO, DN 100 MM, ENCHIMENTO COM AREIA, COM SELO DE ARGILA. AF_07/2021</t>
  </si>
  <si>
    <t>DRENO PROFUNDO (SEÇÃO 0,50 X 1,50 M), COM TUBO DE CONCRETO SIMPLES POROSO, DN 200 MM, ENCHIMENTO COM AREIA, COM SELO DE ARGILA. AF_07/2021</t>
  </si>
  <si>
    <t>DRENO PROFUNDO (SEÇÃO 0,50 X 1,50 M), COM TUBO DE PEAD CORRUGADO PERFURADO, DN 100 MM, ENCHIMENTO COM AREIA. AF_07/2021</t>
  </si>
  <si>
    <t>DRENO PROFUNDO (SEÇÃO 0,50 X 1,50 M), COM TUBO DE PVC CORRUGADO RÍGIDO PERFURADO, DN 100 MM, ENCHIMENTO COM AREIA. AF_07/2021</t>
  </si>
  <si>
    <t>DRENO PROFUNDO (SEÇÃO 0,50 X 1,50 M), COM TUBO DE CONCRETO SIMPLES POROSO, DN 200 MM, ENCHIMENTO COM AREIA. AF_07/2021</t>
  </si>
  <si>
    <t>DRENO PROFUNDO (SEÇÃO 0,50 X 1,50 M), CEGO, ENCHIMENTO DE BRITA, ENVOLVIDO COM MANTA GEOTÊXTIL, COM SELO DE ARGILA. AF_07/2021</t>
  </si>
  <si>
    <t>DRENO PROFUNDO (SEÇÃO 0,50 X 1,50 M), CEGO, ENCHIMENTO DE BRITA, ENVOLVIDO COM MANTA GEOTÊXTIL. AF_07/2021</t>
  </si>
  <si>
    <t>DRENO PROFUNDO (SEÇÃO 0,50 X 1,50 M), COM TUBO DE PEAD CORRUGADO PERFURADO, DN 100 MM, ENCHIMENTO COM BRITA, ENVOLVIDO COM MANTA GEOTÊXTIL, COM SELO DE ARGILA. AF_07/2021</t>
  </si>
  <si>
    <t>DRENO PROFUNDO (SEÇÃO 0,50 X 1,50 M), COM TUBO DE PVC CORRUGADO RÍGIDO PERFURADO, DN 100 MM, ENCHIMENTO COM BRITA, ENVOLVIDO COM MANTA GEOTÊXTIL, COM SELO DE ARGILA. AF_07/2021</t>
  </si>
  <si>
    <t>DRENO PROFUNDO (SEÇÃO 0,50 X 1,50 M), COM TUBO DE CONCRETO SIMPLES POROSO, DN 200 MM, ENCHIMENTO COM BRITA, ENVOLVIDO COM MANTA GEOTÊXTIL, COM SELO DE ARGILA. AF_07/2021</t>
  </si>
  <si>
    <t>DRENO PROFUNDO (SEÇÃO 0,50 X 1,50 M), COM TUBO DE PEAD CORRUGADO PERFURADO, DN 100 MM, ENCHIMENTO COM BRITA, ENVOLVIDO COM MANTA GEOTÊXTIL. AF_07/2021</t>
  </si>
  <si>
    <t>DRENO PROFUNDO (SEÇÃO 0,50 X 1,50 M), COM TUBO DE PVC CORRUGADO RÍGIDO PERFURADO, DN 100 MM, ENCHIMENTO COM BRITA, ENVOLVIDO COM MANTA GEOTÊXTIL. AF_07/2021</t>
  </si>
  <si>
    <t>DRENO PROFUNDO (SEÇÃO 0,50 X 1,50 M), COM TUBO DE CONCRETO SIMPLES POROSO, DN 200 MM, ENCHIMENTO COM BRITA, ENVOLVIDO COM MANTA GEOTÊXTIL. AF_07/2021</t>
  </si>
  <si>
    <t>DRENO ESPINHA DE PEIXE (SEÇÃO (0,40 X 0,40 M), COM TUBO DE PEAD CORRUGADO PERFURADO, DN 100 MM, ENCHIMENTO COM BRITA, ENVOLVIDO COM MANTA GEOTÊXTIL, INCLUSIVE CONEXÕES. AF_07/2021</t>
  </si>
  <si>
    <t>TUBO DE PEAD CORRUGADO PERFURADO, DN 100 MM, PARA DRENO - FORNECIMENTO E ASSENTAMENTO. AF_07/2021</t>
  </si>
  <si>
    <t>TUBO DE PVC CORRUGADO RÍGIDO PERFURADO, DN 100 MM, PARA DRENO - FORNECIMENTO E ASSENTAMENTO. AF_07/2021</t>
  </si>
  <si>
    <t>TUBO DE CONCRETO SIMPLES POROSO, DN 200 MM, PARA DRENO - FORNECIMENTO E ASSENTAMENTO. AF_07/2021</t>
  </si>
  <si>
    <t>JUNÇÃO SIMPLES DE PVC, 45 GRAUS, SÉRIE NORMAL, PARA ESGOTO PREDIAL, DN 100 MM, INSTALADA EM DRENO - FORNECIMENTO E INSTALAÇÃO. AF_07/2021</t>
  </si>
  <si>
    <t>GEOTÊXTIL NÃO TECIDO 100% POLIÉSTER, RESISTÊNCIA A TRAÇÃO DE 9 KN/M (RT - 9), INSTALADO EM DRENO - FORNECIMENTO E INSTALAÇÃO. AF_07/2021</t>
  </si>
  <si>
    <t>GEOTÊXTIL NÃO TECIDO 100% POLIÉSTER, RESISTÊNCIA A TRAÇÃO DE 14 KN/M (RT - 14), INSTALADO EM DRENO - FORNECIMENTO E INSTALAÇÃO. AF_07/2021</t>
  </si>
  <si>
    <t>GEOTÊXTIL NÃO TECIDO 100% POLIÉSTER, RESISTÊNCIA A TRAÇÃO DE 26 KN/M (RT - 26), INSTALADO EM DRENO - FORNECIMENTO E INSTALAÇÃO. AF_07/2021</t>
  </si>
  <si>
    <t>ENCHIMENTO DE AREIA PARA DRENO, LANÇAMENTO MECANIZADO. AF_07/2021</t>
  </si>
  <si>
    <t>ENCHIMENTO DE BRITA PARA DRENO, LANÇAMENTO MECANIZADO. AF_07/2021</t>
  </si>
  <si>
    <t>ENCHIMENTO DE AREIA PARA DRENO, LANÇAMENTO MANUAL. AF_07/2021</t>
  </si>
  <si>
    <t>ENCHIMENTO DE BRITA PARA DRENO, LANÇAMENTO MANUAL. AF_07/2021</t>
  </si>
  <si>
    <t>DRENO EM MURO DE CONTENÇÃO, EXECUTADO NO PÉ DO MURO, COM TUBO DE PEAD CORRUGADO FLEXÍVEL PERFURADO, ENCHIMENTO COM BRITA, ENVOLVIDO COM MANTA GEOTÊXTIL. AF_07/2021</t>
  </si>
  <si>
    <t>DRENO BARBACÃ, DN 100 MM, COM MATERIAL DRENANTE. AF_07/2021</t>
  </si>
  <si>
    <t>DRENO BARBACÃ, DN 75 MM, COM MATERIAL DRENANTE. AF_07/2021</t>
  </si>
  <si>
    <t>DRENO BARBACÃ, DN 50 MM, COM MATERIAL DRENANTE. AF_07/2021</t>
  </si>
  <si>
    <t>GEOTÊXTIL NÃO TECIDO 100% POLIÉSTER, RESISTÊNCIA A TRAÇÃO DE 31 KN/M (RT-31), INSTALADO EM DRENO - FORNECIMENTO E INSTALAÇÃO. AF_07/2021</t>
  </si>
  <si>
    <t>CAIXA COM GRELHA SIMPLES RETANGULAR, EM CONCRETO PRÉ-MOLDADO, DIMENSÕES INTERNAS: 0,6X1,0X1,0 M. AF_12/2020</t>
  </si>
  <si>
    <t>CAIXA COM GRELHA DUPLA RETANGULAR, EM CONCRETO PRÉ-MOLDADO, DIMENSÕES INTERNAS: 0,5X2,2X1,0 M. AF_12/2020</t>
  </si>
  <si>
    <t>CAIXA PARA BOCA DE LOBO SIMPLES RETANGULAR, EM CONCRETO PRÉ-MOLDADO, DIMENSÕES INTERNAS: 0,6X1,0X1,2 M. AF_12/2020</t>
  </si>
  <si>
    <t>CAIXA PARA BOCA DE LOBO DUPLA RETANGULAR, EM CONCRETO PRÉ-MOLDADO, DIMENSÕES INTERNAS: 0,6X2,2X1,2 M. AF_12/2020</t>
  </si>
  <si>
    <t>CAIXA COM GRELHA SIMPLES RETANGULAR, EM ALVENARIA COM TIJOLOS CERÂMICOS MACIÇOS, DIMENSÕES INTERNAS: 0,5X1X1 M. AF_12/2020</t>
  </si>
  <si>
    <t>CAIXA COM GRELHA DUPLA RETANGULAR, EM ALVENARIA COM TIJOLOS CERÂMICOS MACIÇOS, DIMENSÕES INTERNAS: 0,5X2,2X1 M. AF_12/2020</t>
  </si>
  <si>
    <t>CAIXA PARA BOCA DE LOBO SIMPLES RETANGULAR, EM ALVENARIA COM TIJOLOS CERÂMICOS MACIÇOS, DIMENSÕES INTERNAS: 0,6X1X1,2 M. AF_12/2020</t>
  </si>
  <si>
    <t>CAIXA PARA BOCA DE LOBO DUPLA RETANGULAR, EM ALVENARIA COM TIJOLOS CERÂMICOS MACIÇOS, DIMENSÕES INTERNAS: 0,6X2,2X1,2 M. AF_12/2020</t>
  </si>
  <si>
    <t>CAIXA PARA BOCA DE LOBO COMBINADA COM GRELHA RETANGULAR, EM ALVENARIA COM TIJOLOS CERÂMICOS MACIÇOS, DIMENSÕES INTERNAS: 1,3X1X1,2 M. AF_12/2020</t>
  </si>
  <si>
    <t>CAIXA PARA BOCA DE LOBO DUPLA COMBINADA COM GRELHA RETANGULAR, EM ALVENARIA COM TIJOLOS CERÂMICOS MACIÇOS, DIMENSÕES INTERNAS: 1,3X2,2X1,2 M. AF_12/2020</t>
  </si>
  <si>
    <t>CAIXA COM GRELHA SIMPLES RETANGULAR, EM ALVENARIA COM BLOCOS DE CONCRETO, DIMENSÕES INTERNAS: 0,5X1X1 M. AF_12/2020</t>
  </si>
  <si>
    <t>CAIXA COM GRELHA DUPLA RETANGULAR, EM ALVENARIA COM BLOCOS DE CONCRETO, DIMENSÕES INTERNAS: 0,5X2,2X1 M. AF_12/2020</t>
  </si>
  <si>
    <t>CAIXA PARA BOCA DE LOBO SIMPLES RETANGULAR, EM ALVENARIA COM BLOCOS DE CONCRETO, DIMENSÕES INTERNAS: 0,6X1X1,2 M. AF_12/2020</t>
  </si>
  <si>
    <t>CAIXA PARA BOCA DE LOBO DUPLA RETANGULAR, EM ALVENARIA COM BLOCOS DE CONCRETO, DIMENSÕES INTERNAS: 0,6X2,2X1,2 M. AF_12/2020</t>
  </si>
  <si>
    <t>CAIXA PARA BOCA DE LOBO COMBINADA COM GRELHA RETANGULAR, EM ALVENARIA COM BLOCOS DE CONCRETO, DIMENSÕES INTERNAS: 1,3X1X1,2 M. AF_12/2020</t>
  </si>
  <si>
    <t>CAIXA PARA BOCA DE LOBO DUPLA COMBINADA COM GRELHA RETANGULAR, EM ALVENARIA COM BLOCOS DE CONCRETO, DIMENSÕES INTERNAS: 1,3X2,2X1,2 M. AF_12/2020</t>
  </si>
  <si>
    <t>ACRÉSCIMO PARA POÇO DE VISITA CIRCULAR PARA ESGOTO, EM ALVENARIA COM TIJOLOS CERÂMICOS MACIÇOS, DIÂMETRO INTERNO = 0,8 M. AF_12/2020</t>
  </si>
  <si>
    <t>ACRÉSCIMO PARA POÇO DE VISITA CIRCULAR PARA ESGOTO, EM CONCRETO PRÉ-MOLDADO, DIÂMETRO INTERNO = 1 M. AF_12/2020</t>
  </si>
  <si>
    <t>ACRÉSCIMO PARA POÇO DE VISITA CIRCULAR PARA ESGOTO, EM CONCRETO PRÉ-MOLDADO, DIÂMETRO INTERNO = 1,2 M. AF_12/2020</t>
  </si>
  <si>
    <t>ACRÉSCIMO PARA POÇO DE VISITA CIRCULAR PARA ESGOTO, EM ALVENARIA COM TIJOLOS CERÂMICOS MACIÇOS, DIÂMETRO INTERNO = 1,2 M. AF_12/2020</t>
  </si>
  <si>
    <t>ACRÉSCIMO PARA POÇO DE VISITA RETANGULAR PARA ESGOTO, EM ALVENARIA COM BLOCOS DE CONCRETO, DIMENSÕES INTERNAS = 1X1 M. AF_12/2020</t>
  </si>
  <si>
    <t>ACRÉSCIMO PARA POÇO DE VISITA RETANGULAR PARA ESGOTO, EM ALVENARIA COM BLOCOS DE CONCRETO, DIMENSÕES INTERNAS = 1X1,5 M. AF_12/2020</t>
  </si>
  <si>
    <t>ACRÉSCIMO PARA POÇO DE VISITA RETANGULAR PARA ESGOTO, EM ALVENARIA COM BLOCOS DE CONCRETO, DIMENSÕES INTERNAS = 1X2 M. AF_12/2020</t>
  </si>
  <si>
    <t>ACRÉSCIMO PARA POÇO DE VISITA RETANGULAR PARA ESGOTO, EM ALVENARIA COM BLOCOS DE CONCRETO, DIMENSÕES INTERNAS = 1X2,5 M. AF_12/2020</t>
  </si>
  <si>
    <t>ACRÉSCIMO PARA POÇO DE VISITA RETANGULAR PARA ESGOTO, EM ALVENARIA COM BLOCOS DE CONCRETO, DIMENSÕES INTERNAS = 1X3 M. AF_12/2020</t>
  </si>
  <si>
    <t>ACRÉSCIMO PARA POÇO DE VISITA RETANGULAR PARA ESGOTO, EM ALVENARIA COM BLOCOS DE CONCRETO, DIMENSÕES INTERNAS = 1X3,5 M. AF_12/2020</t>
  </si>
  <si>
    <t>ACRÉSCIMO PARA POÇO DE VISITA RETANGULAR PARA ESGOTO, EM ALVENARIA COM BLOCOS DE CONCRETO, DIMENSÕES INTERNAS = 1X4 M. AF_12/2020</t>
  </si>
  <si>
    <t>ACRÉSCIMO PARA POÇO DE VISITA RETANGULAR PARA ESGOTO, EM ALVENARIA COM BLOCOS DE CONCRETO, DIMENSÕES INTERNAS = 1,5X1,5 M. AF_12/2020</t>
  </si>
  <si>
    <t>ACRÉSCIMO PARA POÇO DE VISITA RETANGULAR PARA ESGOTO, EM ALVENARIA COM BLOCOS DE CONCRETO, DIMENSÕES INTERNAS = 1,5X2 M. AF_12/2020</t>
  </si>
  <si>
    <t>ACRÉSCIMO PARA POÇO DE VISITA RETANGULAR PARA ESGOTO, EM ALVENARIA COM BLOCOS DE CONCRETO, DIMENSÕES INTERNAS = 1,5X2,5 M. AF_12/2020</t>
  </si>
  <si>
    <t>ACRÉSCIMO PARA POÇO DE VISITA RETANGULAR PARA ESGOTO, EM ALVENARIA COM BLOCOS DE CONCRETO, DIMENSÕES INTERNAS = 1,5X3 M. AF_12/2020</t>
  </si>
  <si>
    <t>ACRÉSCIMO PARA POÇO DE VISITA RETANGULAR PARA ESGOTO, EM ALVENARIA COM BLOCOS DE CONCRETO, DIMENSÕES INTERNAS = 1,5X3,5 M. AF_12/2020</t>
  </si>
  <si>
    <t>ACRÉSCIMO PARA POÇO DE VISITA RETANGULAR PARA ESGOTO, EM ALVENARIA COM BLOCOS DE CONCRETO, DIMENSÕES INTERNAS = 1,5X4 M. AF_12/2020</t>
  </si>
  <si>
    <t>ACRÉSCIMO PARA POÇO DE VISITA RETANGULAR PARA ESGOTO, EM ALVENARIA COM BLOCOS DE CONCRETO, DIMENSÕES INTERNAS = 2X2 M. AF_12/2020</t>
  </si>
  <si>
    <t>ACRÉSCIMO PARA POÇO DE VISITA RETANGULAR PARA ESGOTO, EM ALVENARIA COM BLOCOS DE CONCRETO, DIMENSÕES INTERNAS = 2X2,5 M. AF_12/2020</t>
  </si>
  <si>
    <t>ACRÉSCIMO PARA POÇO DE VISITA RETANGULAR PARA ESGOTO, EM ALVENARIA COM BLOCOS DE CONCRETO, DIMENSÕES INTERNAS = 2X3 M. AF_12/2020</t>
  </si>
  <si>
    <t>ACRÉSCIMO PARA POÇO DE VISITA RETANGULAR PARA ESGOTO, EM ALVENARIA COM BLOCOS DE CONCRETO, DIMENSÕES INTERNAS = 2X3,5 M. AF_12/2020</t>
  </si>
  <si>
    <t>ACRÉSCIMO PARA POÇO DE VISITA RETANGULAR PARA ESGOTO, EM ALVENARIA COM BLOCOS DE CONCRETO, DIMENSÕES INTERNAS = 2X4 M. AF_12/2020</t>
  </si>
  <si>
    <t>ACRÉSCIMO PARA POÇO DE VISITA RETANGULAR PARA ESGOTO, EM ALVENARIA COM BLOCOS DE CONCRETO, DIMENSÕES INTERNAS = 2,5X2,5 M. AF_12/2020</t>
  </si>
  <si>
    <t>ACRÉSCIMO PARA POÇO DE VISITA RETANGULAR PARA ESGOTO, EM ALVENARIA COM BLOCOS DE CONCRETO, DIMENSÕES INTERNAS = 2,5X3 M. AF_12/2020</t>
  </si>
  <si>
    <t>ACRÉSCIMO PARA POÇO DE VISITA RETANGULAR PARA ESGOTO, EM ALVENARIA COM BLOCOS DE CONCRETO, DIMENSÕES INTERNAS = 2,5X3,5 M. AF_12/2020</t>
  </si>
  <si>
    <t>ACRÉSCIMO PARA POÇO DE VISITA RETANGULAR PARA ESGOTO, EM ALVENARIA COM BLOCOS DE CONCRETO, DIMENSÕES INTERNAS = 2,5X4 M. AF_12/2020</t>
  </si>
  <si>
    <t>ACRÉSCIMO PARA POÇO DE VISITA RETANGULAR PARA ESGOTO, EM ALVENARIA COM BLOCOS DE CONCRETO, DIMENSÕES INTERNAS = 3X3 M. AF_12/2020</t>
  </si>
  <si>
    <t>ACRÉSCIMO PARA POÇO DE VISITA RETANGULAR PARA ESGOTO, EM ALVENARIA COM BLOCOS DE CONCRETO, DIMENSÕES INTERNAS = 3X3,5 M. AF_12/2020</t>
  </si>
  <si>
    <t>ACRÉSCIMO PARA POÇO DE VISITA RETANGULAR PARA ESGOTO, EM ALVENARIA COM BLOCOS DE CONCRETO, DIMENSÕES INTERNAS = 3X4 M. AF_12/2020</t>
  </si>
  <si>
    <t>ACRÉSCIMO PARA POÇO DE VISITA RETANGULAR PARA ESGOTO, EM ALVENARIA COM BLOCOS DE CONCRETO, DIMENSÕES INTERNAS = 3,5X3,5 M. AF_12/2020</t>
  </si>
  <si>
    <t>ACRÉSCIMO PARA POÇO DE VISITA RETANGULAR PARA ESGOTO, EM ALVENARIA COM BLOCOS DE CONCRETO, DIMENSÕES INTERNAS = 3,5X4 M. AF_12/2020</t>
  </si>
  <si>
    <t>ACRÉSCIMO PARA POÇO DE VISITA RETANGULAR PARA ESGOTO, EM ALVENARIA COM BLOCOS DE CONCRETO, DIMENSÕES INTERNAS = 4X4 M. AF_12/2020</t>
  </si>
  <si>
    <t>CHAMINÉ CIRCULAR PARA POÇO DE VISITA PARA ESGOTO, EM CONCRETO PRÉ-MOLDADO, DIÂMETRO INTERNO = 0,6 M. AF_12/2020</t>
  </si>
  <si>
    <t>CHAMINÉ CIRCULAR PARA POÇO DE VISITA PARA ESGOTO, EM ALVENARIA COM TIJOLOS CERÂMICOS MACIÇOS, DIÂMETRO INTERNO = 0,6 M. AF_12/2020</t>
  </si>
  <si>
    <t>ACRÉSCIMO PARA POÇO DE VISITA CIRCULAR PARA ESGOTO, EM CONCRETO PRÉ-MOLDADO, DIÂMETRO INTERNO = 0,8 M. AF_12/2020</t>
  </si>
  <si>
    <t>ACRÉSCIMO PARA POÇO DE VISITA CIRCULAR PARA DRENAGEM, EM CONCRETO PRÉ-MOLDADO, DIÂMETRO INTERNO = 1,2 M. AF_12/2020</t>
  </si>
  <si>
    <t>ACRÉSCIMO PARA POÇO DE VISITA RETANGULAR PARA DRENAGEM, EM ALVENARIA COM BLOCOS DE CONCRETO, DIMENSÕES INTERNAS = 1,5X1,5 M. AF_12/2020</t>
  </si>
  <si>
    <t>ACRÉSCIMO PARA POÇO DE VISITA CIRCULAR PARA DRENAGEM, EM ALVENARIA COM TIJOLOS CERÂMICOS MACIÇOS, DIÂMETRO INTERNO = 1,2 M. AF_12/2020</t>
  </si>
  <si>
    <t>ACRÉSCIMO PARA POÇO DE VISITA CIRCULAR PARA DRENAGEM, EM CONCRETO PRÉ-MOLDADO, DIÂMETRO INTERNO = 1,5 M. AF_12/2020</t>
  </si>
  <si>
    <t>ACRÉSCIMO PARA POÇO DE VISITA RETANGULAR PARA DRENAGEM, EM ALVENARIA COM BLOCOS DE CONCRETO, DIMENSÕES INTERNAS = 1,5X2 M. AF_12/2020</t>
  </si>
  <si>
    <t>ACRÉSCIMO PARA POÇO DE VISITA CIRCULAR PARA DRENAGEM, EM ALVENARIA COM TIJOLOS CERÂMICOS MACIÇOS, DIÂMETRO INTERNO = 1,5 M. AF_12/2020</t>
  </si>
  <si>
    <t>ACRÉSCIMO PARA POÇO DE VISITA RETANGULAR PARA DRENAGEM, EM ALVENARIA COM BLOCOS DE CONCRETO, DIMENSÕES INTERNAS = 1X1 M. AF_12/2020</t>
  </si>
  <si>
    <t>ACRÉSCIMO PARA POÇO DE VISITA RETANGULAR PARA DRENAGEM, EM ALVENARIA COM BLOCOS DE CONCRETO, DIMENSÕES INTERNAS = 1X1,5 M. AF_12/2020</t>
  </si>
  <si>
    <t>ACRÉSCIMO PARA POÇO DE VISITA RETANGULAR PARA DRENAGEM, EM ALVENARIA COM BLOCOS DE CONCRETO, DIMENSÕES INTERNAS = 1,5X2,5 M. AF_12/2020</t>
  </si>
  <si>
    <t>ACRÉSCIMO PARA POÇO DE VISITA RETANGULAR PARA DRENAGEM, EM ALVENARIA COM BLOCOS DE CONCRETO, DIMENSÕES INTERNAS = 1X2 M. AF_12/2020</t>
  </si>
  <si>
    <t>ACRÉSCIMO PARA POÇO DE VISITA RETANGULAR PARA DRENAGEM, EM ALVENARIA COM BLOCOS DE CONCRETO, DIMENSÕES INTERNAS = 1X2,5 M. AF_12/2020</t>
  </si>
  <si>
    <t>ACRÉSCIMO PARA POÇO DE VISITA RETANGULAR PARA DRENAGEM, EM ALVENARIA COM BLOCOS DE CONCRETO, DIMENSÕES INTERNAS = 1,5X3 M. AF_12/2020</t>
  </si>
  <si>
    <t>ACRÉSCIMO PARA POÇO DE VISITA RETANGULAR PARA DRENAGEM, EM ALVENARIA COM BLOCOS DE CONCRETO, DIMENSÕES INTERNAS = 1X3 M. AF_12/2020</t>
  </si>
  <si>
    <t>ACRÉSCIMO PARA POÇO DE VISITA CIRCULAR PARA DRENAGEM, EM CONCRETO PRÉ-MOLDADO, DIÂMETRO INTERNO = 0,8 M. AF_12/2020</t>
  </si>
  <si>
    <t>ACRÉSCIMO PARA POÇO DE VISITA RETANGULAR PARA DRENAGEM, EM ALVENARIA COM BLOCOS DE CONCRETO, DIMENSÕES INTERNAS = 1X3,5 M. AF_12/2020</t>
  </si>
  <si>
    <t>ACRÉSCIMO PARA POÇO DE VISITA RETANGULAR PARA DRENAGEM, EM ALVENARIA COM BLOCOS DE CONCRETO, DIMENSÕES INTERNAS = 2,5X2,5 M. AF_12/2020</t>
  </si>
  <si>
    <t>ACRÉSCIMO PARA POÇO DE VISITA CIRCULAR PARA DRENAGEM, EM ALVENARIA COM TIJOLOS CERÂMICOS MACIÇOS, DIÂMETRO INTERNO = 0,8 M. AF_12/2020</t>
  </si>
  <si>
    <t>ACRÉSCIMO PARA POÇO DE VISITA CIRCULAR PARA DRENAGEM, EM CONCRETO PRÉ-MOLDADO, DIÂMETRO INTERNO = 1 M. AF_12/2020</t>
  </si>
  <si>
    <t>ACRÉSCIMO PARA POÇO DE VISITA RETANGULAR PARA DRENAGEM, EM ALVENARIA COM BLOCOS DE CONCRETO, DIMENSÕES INTERNAS = 1X4 M. AF_12/2020</t>
  </si>
  <si>
    <t>ACRÉSCIMO PARA POÇO DE VISITA RETANGULAR PARA DRENAGEM, EM ALVENARIA COM BLOCOS DE CONCRETO, DIMENSÕES INTERNAS = 1,5X3,5 M. AF_12/2020</t>
  </si>
  <si>
    <t>ACRÉSCIMO PARA POÇO DE VISITA CIRCULAR PARA DRENAGEM, EM ALVENARIA COM TIJOLOS CERÂMICOS MACIÇOS, DIÂMETRO INTERNO = 1 M. AF_12/2020</t>
  </si>
  <si>
    <t>ACRÉSCIMO PARA POÇO DE VISITA RETANGULAR PARA DRENAGEM, EM ALVENARIA COM BLOCOS DE CONCRETO, DIMENSÕES INTERNAS = 2,5X3 M. AF_12/2020</t>
  </si>
  <si>
    <t>ACRÉSCIMO PARA POÇO DE VISITA RETANGULAR PARA DRENAGEM, EM ALVENARIA COM BLOCOS DE CONCRETO, DIMENSÕES INTERNAS = 1,5X4 M. AF_12/2020</t>
  </si>
  <si>
    <t>ACRÉSCIMO PARA POÇO DE VISITA RETANGULAR PARA DRENAGEM, EM ALVENARIA COM BLOCOS DE CONCRETO, DIMENSÕES INTERNAS = 2,5X3,5 M. AF_12/2020</t>
  </si>
  <si>
    <t>ACRÉSCIMO PARA POÇO DE VISITA RETANGULAR PARA DRENAGEM, EM ALVENARIA COM BLOCOS DE CONCRETO, DIMENSÕES INTERNAS = 2,5X4 M. AF_12/2020</t>
  </si>
  <si>
    <t>ACRÉSCIMO PARA POÇO DE VISITA RETANGULAR PARA DRENAGEM, EM ALVENARIA COM BLOCOS DE CONCRETO, DIMENSÕES INTERNAS = 3X3 M. AF_12/2020</t>
  </si>
  <si>
    <t>ACRÉSCIMO PARA POÇO DE VISITA RETANGULAR PARA DRENAGEM, EM ALVENARIA COM BLOCOS DE CONCRETO, DIMENSÕES INTERNAS = 3X3,5 M. AF_12/2020</t>
  </si>
  <si>
    <t>ACRÉSCIMO PARA POÇO DE VISITA RETANGULAR PARA DRENAGEM, EM ALVENARIA COM BLOCOS DE CONCRETO, DIMENSÕES INTERNAS = 2X2 M. AF_12/2020</t>
  </si>
  <si>
    <t>ACRÉSCIMO PARA POÇO DE VISITA RETANGULAR PARA DRENAGEM, EM ALVENARIA COM BLOCOS DE CONCRETO, DIMENSÕES INTERNAS = 3X4 M. AF_12/2020</t>
  </si>
  <si>
    <t>ACRÉSCIMO PARA POÇO DE VISITA RETANGULAR PARA DRENAGEM, EM ALVENARIA COM BLOCOS DE CONCRETO, DIMENSÕES INTERNAS = 3,5X3,5 M. AF_12/2020</t>
  </si>
  <si>
    <t>ACRÉSCIMO PARA POÇO DE VISITA RETANGULAR PARA DRENAGEM, EM ALVENARIA COM BLOCOS DE CONCRETO, DIMENSÕES INTERNAS = 3,5X4 M. AF_12/2020</t>
  </si>
  <si>
    <t>ACRÉSCIMO PARA POÇO DE VISITA RETANGULAR PARA DRENAGEM, EM ALVENARIA COM BLOCOS DE CONCRETO, DIMENSÕES INTERNAS = 2X2,5 M. AF_12/2020</t>
  </si>
  <si>
    <t>CHAMINÉ CIRCULAR PARA POÇO DE VISITA PARA DRENAGEM, EM CONCRETO PRÉ-MOLDADO, DIÂMETRO INTERNO = 0,6 M. AF_12/2020</t>
  </si>
  <si>
    <t>CHAMINÉ CIRCULAR PARA POÇO DE VISITA PARA DRENAGEM, EM ALVENARIA COM TIJOLOS CERÂMICOS MACIÇOS, DIÂMETRO INTERNO = 0,6 M. AF_12/2020</t>
  </si>
  <si>
    <t>ACRÉSCIMO PARA POÇO DE VISITA RETANGULAR PARA DRENAGEM, EM ALVENARIA COM BLOCOS DE CONCRETO, DIMENSÕES INTERNAS = 2X3 M. AF_12/2020</t>
  </si>
  <si>
    <t>ACRÉSCIMO PARA POÇO DE VISITA RETANGULAR PARA DRENAGEM, EM ALVENARIA COM BLOCOS DE CONCRETO, DIMENSÕES INTERNAS = 2X3,5 M. AF_12/2020</t>
  </si>
  <si>
    <t>ACRÉSCIMO PARA POÇO DE VISITA RETANGULAR PARA DRENAGEM, EM ALVENARIA COM BLOCOS DE CONCRETO, DIMENSÕES INTERNAS = 2X4 M. AF_12/2020</t>
  </si>
  <si>
    <t>ACRÉSCIMO PARA POÇO DE VISITA RETANGULAR PARA DRENAGEM, EM ALVENARIA COM BLOCOS DE CONCRETO, DIMENSÕES INTERNAS = 4X4 M. AF_12/2020</t>
  </si>
  <si>
    <t>CAIXA COM GRELHA RETANGULAR DE FERRO FUNDIDO, EM ALVENARIA COM TIJOLOS CERÂMICOS MACIÇOS, DIMENSÕES INTERNAS: 0,30 X 1,00 X 1,00. AF_12/2020</t>
  </si>
  <si>
    <t>CAIXA COM GRELHA RETANGULAR DE FERRO FUNDIDO, EM ALVENARIA COM BLOCOS DE CONCRETO, DIMENSÕES INTERNAS: 0,30 X 1,00 X 1,00. AF_12/2020</t>
  </si>
  <si>
    <t>CAIXA ENTERRADA DISTRIBUIDORA DE VAZÃO (SUMIDOUROS MÚLTIPLOS), RETANGULAR, EM ALVENARIA COM TIJOLOS MACIÇOS, DIMENSÕES INTERNAS: 0,60 X 0,60 X H=0,50 M. AF_12/2020</t>
  </si>
  <si>
    <t>CAIXA ENTERRADA DISTRIBUIDORA DE VAZÃO (SUMIDOUROS MÚLTIPLOS), RETANGULAR, EM ALVENARIA COM BLOCOS DE CONCRETO, DIMENSÕES INTERNAS: 0,60 X 0,60 X H=0,50 M. AF_12/2020</t>
  </si>
  <si>
    <t>CAIXA ENTERRADA DISTRIBUIDORA DE VAZÃO (SUMIDOUROS MÚLTIPLOS), RETANGULAR, EM CONCRETO PRÉ-MOLDADO, DIMENSÕES INTERNAS: 0,60 X 0,60 X H=0,50 M. AF_12/2020</t>
  </si>
  <si>
    <t>APLICAÇÃO DE MANTA GEOTÊXTIL NAS JUNTAS RÍGIDAS DE ADUELAS PRÉ-MOLDADAS DE CONCRETO ARMADO. AF_01/2023</t>
  </si>
  <si>
    <t>FABRICAÇÃO, MONTAGEM E DESMONTAGEM DE FÔRMA PARA BOCA PARA BUEIRO, EM CHAPA DE MADEIRA COMPENSADA RESINADA, E = 17 MM, 2 UTILIZAÇÕES. AF_07/2021</t>
  </si>
  <si>
    <t>ARMAÇÃO DE MURO ALA E MURO TESTA UTILIZANDO AÇO CA-50 DE 6,3 MM - MONTAGEM. AF_07/2021</t>
  </si>
  <si>
    <t>ARMAÇÃO DE MURO ALA E MURO TESTA UTILIZANDO AÇO CA-50 DE 8 MM - MONTAGEM. AF_07/2021</t>
  </si>
  <si>
    <t>ARMAÇÃO DE MURO ALA E MURO TESTA UTILIZANDO AÇO CA-50 DE 10 MM - MONTAGEM. AF_07/2021</t>
  </si>
  <si>
    <t>ARMAÇÃO DE MURO ALA E MURO TESTA UTILIZANDO AÇO CA-50 DE 12,5 MM - MONTAGEM. AF_07/2021</t>
  </si>
  <si>
    <t>ARMAÇÃO DE MURO ALA E MURO TESTA UTILIZANDO AÇO CA-50 DE 16 MM - MONTAGEM. AF_07/2021</t>
  </si>
  <si>
    <t>ARMAÇÃO DE MURO ALA E MURO TESTA UTILIZANDO AÇO CA-50 DE 20 MM - MONTAGEM. AF_07/2021</t>
  </si>
  <si>
    <t>ARMAÇÃO DE SOLEIRA UTILIZANDO AÇO CA-50 DE 6,3 MM - MONTAGEM. AF_07/2021</t>
  </si>
  <si>
    <t>ARMAÇÃO DE SOLEIRA UTILIZANDO AÇO CA-50 DE 8 MM - MONTAGEM. AF_07/2021</t>
  </si>
  <si>
    <t>CONCRETAGEM DE BOCA PARA BUEIRO, FCK = 20 MPA, COM USO DE BOMBA - LANÇAMENTO, ADENSAMENTO E ACABAMENTO. AF_07/2021</t>
  </si>
  <si>
    <t>BOCA PARA BUEIRO SIMPLES TUBULAR D = 40 CM EM CONCRETO, ALAS COM ESCONSIDADE DE 0°, INCLUINDO FÔRMAS E MATERIAIS. AF_07/2021</t>
  </si>
  <si>
    <t>BOCA PARA BUEIRO SIMPLES TUBULAR D = 60 CM EM CONCRETO, ALAS COM ESCONSIDADE DE 0°, INCLUINDO FÔRMAS E MATERIAIS. AF_07/2021</t>
  </si>
  <si>
    <t>BOCA PARA BUEIRO SIMPLES TUBULAR D = 80 CM EM CONCRETO, ALAS COM ESCONSIDADE DE 0°, INCLUINDO FÔRMAS E MATERIAIS. AF_07/2021</t>
  </si>
  <si>
    <t>BOCA PARA BUEIRO SIMPLES TUBULAR D = 100 CM EM CONCRETO, ALAS COM ESCONSIDADE DE 0°, INCLUINDO FÔRMAS E MATERIAIS. AF_07/2021</t>
  </si>
  <si>
    <t>BOCA PARA BUEIRO SIMPLES TUBULAR D = 120 CM EM CONCRETO, ALAS COM ESCONSIDADE DE 0°, INCLUINDO FÔRMAS E MATERIAIS. AF_07/2021</t>
  </si>
  <si>
    <t>BOCA PARA BUEIRO SIMPLES TUBULAR D = 150 CM EM CONCRETO, ALAS COM ESCONSIDADE DE 0°, INCLUINDO FÔRMAS E MATERIAIS. AF_07/2021</t>
  </si>
  <si>
    <t>BOCA PARA BUEIRO DUPLO TUBULAR D = 80 CM EM CONCRETO, ALAS COM ESCONSIDADE DE 0°, INCLUINDO FÔRMAS E MATERIAIS. AF_07/2021</t>
  </si>
  <si>
    <t>BOCA PARA BUEIRO DUPLO TUBULAR D = 100 CM EM CONCRETO, ALAS COM ESCONSIDADE DE 0°, INCLUINDO FÔRMAS E MATERIAIS. AF_07/2021</t>
  </si>
  <si>
    <t>BOCA PARA BUEIRO DUPLO TUBULAR D = 120 CM EM CONCRETO, ALAS COM ESCONSIDADE DE 0°, INCLUINDO FÔRMAS E MATERIAIS. AF_07/2021</t>
  </si>
  <si>
    <t>BOCA PARA BUEIRO DUPLO TUBULAR D = 150 CM EM CONCRETO, ALAS COM ESCONSIDADE DE 0°, INCLUINDO FÔRMAS E MATERIAIS. AF_07/2021</t>
  </si>
  <si>
    <t>BOCA PARA BUEIRO TRIPLO TUBULAR D = 100 CM EM CONCRETO, ALAS COM ESCONSIDADE DE 0°, INCLUINDO FÔRMAS E MATERIAIS. AF_07/2021</t>
  </si>
  <si>
    <t>BOCA PARA BUEIRO TRIPLO TUBULAR D = 120 CM EM CONCRETO, ALAS COM ESCONSIDADE DE 0°, INCLUINDO FÔRMAS E MATERIAIS. AF_07/2021</t>
  </si>
  <si>
    <t>BOCA PARA BUEIRO TRIPLO TUBULAR D = 150 CM EM CONCRETO, ALAS COM ESCONSIDADE DE 0°, INCLUINDO FÔRMAS E MATERIAIS. AF_07/2021</t>
  </si>
  <si>
    <t>BOCA PARA BUEIRO SIMPLES TUBULAR D = 60 CM EM CONCRETO, ALAS COM ESCONSIDADE DE 30°, INCLUINDO FÔRMAS E MATERIAIS. AF_07/2021</t>
  </si>
  <si>
    <t>BOCA PARA BUEIRO SIMPLES TUBULAR D = 80 CM EM CONCRETO, ALAS COM ESCONSIDADE DE 30°, INCLUINDO FÔRMAS E MATERIAIS. AF_07/2021</t>
  </si>
  <si>
    <t>BOCA PARA BUEIRO SIMPLES TUBULAR D = 100 CM EM CONCRETO, ALAS COM ESCONSIDADE DE 30°, INCLUINDO FÔRMAS E MATERIAIS. AF_07/2021</t>
  </si>
  <si>
    <t>BOCA PARA BUEIRO SIMPLES TUBULAR D = 120 CM EM CONCRETO, ALAS COM ESCONSIDADE DE 30°, INCLUINDO FÔRMAS E MATERIAIS. AF_07/2021</t>
  </si>
  <si>
    <t>BOCA PARA BUEIRO SIMPLES TUBULAR D = 150 CM EM CONCRETO, ALAS COM ESCONSIDADE DE 30°, INCLUINDO FÔRMAS E MATERIAIS. AF_07/2021</t>
  </si>
  <si>
    <t>BOCA PARA BUEIRO DUPLO TUBULAR D = 100 CM EM CONCRETO, ALAS COM ESCONSIDADE DE 30°, INCLUINDO FÔRMAS E MATERIAIS. AF_07/2021</t>
  </si>
  <si>
    <t>BOCA PARA BUEIRO DUPLO TUBULAR D = 120 CM EM CONCRETO, ALAS COM ESCONSIDADE DE 30°, INCLUINDO FÔRMAS E MATERIAIS. AF_07/2021</t>
  </si>
  <si>
    <t>BOCA PARA BUEIRO DUPLO TUBULAR D = 150 CM EM CONCRETO, ALAS COM ESCONSIDADE DE 30°, INCLUINDO FÔRMAS E MATERIAIS. AF_07/2021</t>
  </si>
  <si>
    <t>BOCA PARA BUEIRO TRIPLO TUBULAR D = 100 CM EM CONCRETO, ALAS COM ESCONSIDADE DE 30°, INCLUINDO FÔRMAS E MATERIAIS. AF_07/2021</t>
  </si>
  <si>
    <t>BOCA PARA BUEIRO TRIPLO TUBULAR D = 120 CM EM CONCRETO, ALAS COM ESCONSIDADE DE 30°, INCLUINDO FÔRMAS E MATERIAIS. AF_07/2021</t>
  </si>
  <si>
    <t>BOCA PARA BUEIRO TRIPLO TUBULAR D = 150 CM EM CONCRETO, ALAS COM ESCONSIDADE DE 30°, INCLUINDO FÔRMAS E MATERIAIS. AF_07/2021</t>
  </si>
  <si>
    <t>BOCA PARA BUEIRO SIMPLES CELULAR 150 X 150 CM EM CONCRETO, ALAS COM ESCONSIDADE DE 30°, INCLUINDO FÔRMAS E MATERIAIS. AF_07/2021</t>
  </si>
  <si>
    <t>BOCA PARA BUEIRO SIMPLES CELULAR 200 X 200 CM EM CONCRETO, ALAS COM ESCONSIDADE DE 30°, INCLUINDO FÔRMAS E MATERIAIS. AF_07/2021</t>
  </si>
  <si>
    <t>BOCA PARA BUEIRO SIMPLES CELULAR 250 X 250 CM EM CONCRETO, ALAS COM ESCONSIDADE DE 30°, INCLUINDO FÔRMAS E MATERIAIS. AF_07/2021</t>
  </si>
  <si>
    <t>BOCA PARA BUEIRO SIMPLES CELULAR 300 X 300 CM EM CONCRETO, ALAS COM ESCONSIDADE DE 30°, INCLUINDO FÔRMAS E MATERIAIS. AF_07/2021</t>
  </si>
  <si>
    <t>BOCA PARA BUEIRO DUPLO CELULAR 150 X 150 CM EM CONCRETO, ALAS COM ESCONSIDADE DE 30°, INCLUINDO FÔRMAS E MATERIAIS. AF_07/2021</t>
  </si>
  <si>
    <t>BOCA PARA BUEIRO DUPLO CELULAR 200 X 200 CM EM CONCRETO, ALAS COM ESCONSIDADE DE 30°, INCLUINDO FÔRMAS E MATERIAIS. AF_07/2021</t>
  </si>
  <si>
    <t>BOCA PARA BUEIRO DUPLO CELULAR 250 X 250 CM EM CONCRETO, ALAS COM ESCONSIDADE DE 30°, INCLUINDO FÔRMAS E MATERIAIS. AF_07/2021</t>
  </si>
  <si>
    <t>BOCA PARA BUEIRO DUPLO CELULAR 300 X 300 CM EM CONCRETO, ALAS COM ESCONSIDADE DE 30°, INCLUINDO FÔRMAS E MATERIAIS. AF_07/2021</t>
  </si>
  <si>
    <t>BOCA PARA BUEIRO TRIPLO CELULAR 150 X 150 CM EM CONCRETO, ALAS COM ESCONSIDADE DE 30°, INCLUINDO FÔRMAS E MATERIAIS. AF_07/2021</t>
  </si>
  <si>
    <t>BOCA PARA BUEIRO TRIPLO CELULAR 200 X 200 CM EM CONCRETO, ALAS COM ESCONSIDADE DE 30°, INCLUINDO FÔRMAS E MATERIAIS. AF_07/2021</t>
  </si>
  <si>
    <t>BOCA PARA BUEIRO TRIPLO CELULAR 250 X 250 CM EM CONCRETO, ALAS COM ESCONSIDADE DE 30°, INCLUINDO FÔRMAS E MATERIAIS. AF_07/2021</t>
  </si>
  <si>
    <t>BOCA PARA BUEIRO TRIPLO CELULAR 300 X 300 CM EM CONCRETO, ALAS COM ESCONSIDADE DE 30°, INCLUINDO FÔRMAS E MATERIAIS. AF_07/2021</t>
  </si>
  <si>
    <t>BOCA PARA BUEIRO SIMPLES TUBULAR D = 40 CM EM GABIÃO, ALAS COM ESCONSIDADE DE 45°, INCLUINDO FÔRMAS E MATERIAIS. AF_07/2021</t>
  </si>
  <si>
    <t>BOCA PARA BUEIRO SIMPLES TUBULAR D = 60 CM EM GABIÃO, ALAS COM ESCONSIDADE DE 45°, INCLUINDO FÔRMAS E MATERIAIS. AF_07/2021</t>
  </si>
  <si>
    <t>BOCA PARA BUEIRO SIMPLES TUBULAR D = 80 CM EM GABIÃO, ALAS COM ESCONSIDADE DE 45°, INCLUINDO FÔRMAS E MATERIAIS. AF_07/2021</t>
  </si>
  <si>
    <t>BOCA PARA BUEIRO SIMPLES TUBULAR D = 100 CM EM GABIÃO, ALAS COM ESCONSIDADE DE 45°, INCLUINDO FÔRMAS E MATERIAIS. AF_07/2021</t>
  </si>
  <si>
    <t>BOCA PARA BUEIRO SIMPLES TUBULAR D = 120 CM EM GABIÃO, ALAS COM ESCONSIDADE DE 45°, INCLUINDO FÔRMAS E MATERIAIS. AF_07/2021</t>
  </si>
  <si>
    <t>BOCA PARA BUEIRO SIMPLES TUBULAR D = 150 CM EM GABIÃO, ALAS COM ESCONSIDADE DE 45°, INCLUINDO FÔRMAS E MATERIAIS. AF_07/2021</t>
  </si>
  <si>
    <t>BOCA PARA BUEIRO DUPLO TUBULAR D = 40 CM EM GABIÃO, ALAS COM ESCONSIDADE DE 45°, INCLUINDO FÔRMAS E MATERIAIS. AF_07/2021</t>
  </si>
  <si>
    <t>BOCA PARA BUEIRO DUPLO TUBULAR D = 60 CM EM GABIÃO, ALAS COM ESCONSIDADE DE 45°, INCLUINDO FÔRMAS E MATERIAIS. AF_07/2021</t>
  </si>
  <si>
    <t>BOCA PARA BUEIRO DUPLO TUBULAR D = 80 CM EM GABIÃO, ALAS COM ESCONSIDADE DE 45°, INCLUINDO FÔRMAS E MATERIAIS. AF_07/2021</t>
  </si>
  <si>
    <t>BOCA PARA BUEIRO DUPLO TUBULAR D = 100 CM EM GABIÃO, ALAS COM ESCONSIDADE DE 45°, INCLUINDO FÔRMAS E MATERIAIS. AF_07/2021</t>
  </si>
  <si>
    <t>BOCA PARA BUEIRO DUPLO TUBULAR D = 120 CM EM GABIÃO, ALAS COM ESCONSIDADE DE 45°, INCLUINDO FÔRMAS E MATERIAIS. AF_07/2021</t>
  </si>
  <si>
    <t>BOCA PARA BUEIRO DUPLO TUBULAR D = 150 CM EM GABIÃO, ALAS COM ESCONSIDADE DE 45°, INCLUINDO FÔRMAS E MATERIAIS. AF_07/2021</t>
  </si>
  <si>
    <t>BOCA PARA BUEIRO TRIPLO TUBULAR D = 40 CM EM GABIÃO, ALAS COM ESCONSIDADE DE 45°, INCLUINDO FÔRMAS E MATERIAIS. AF_07/2021</t>
  </si>
  <si>
    <t>BOCA PARA BUEIRO TRIPLO TUBULAR D = 60 CM EM GABIÃO, ALAS COM ESCONSIDADE DE 45°, INCLUINDO FÔRMAS E MATERIAIS. AF_07/2021</t>
  </si>
  <si>
    <t>BOCA PARA BUEIRO TRIPLO TUBULAR D = 80 CM EM GABIÃO, ALAS COM ESCONSIDADE DE 45°, INCLUINDO FÔRMAS E MATERIAIS. AF_07/2021</t>
  </si>
  <si>
    <t>BOCA PARA BUEIRO TRIPLO TUBULAR D = 100 CM EM GABIÃO, ALAS COM ESCONSIDADE DE 45°, INCLUINDO FÔRMAS E MATERIAIS. AF_07/2021</t>
  </si>
  <si>
    <t>BOCA PARA BUEIRO TRIPLO TUBULAR D = 120 CM EM GABIÃO, ALAS COM ESCONSIDADE DE 45°, INCLUINDO FÔRMAS E MATERIAIS. AF_07/2021</t>
  </si>
  <si>
    <t>BOCA PARA BUEIRO TRIPLO TUBULAR D = 150 CM EM GABIÃO, ALAS COM ESCONSIDADE DE 45°, INCLUINDO FÔRMAS E MATERIAIS. AF_07/2021</t>
  </si>
  <si>
    <t>BOCA PARA BUEIRO SIMPLES CELULAR 150 X 150 CM EM GABIÃO, ALAS COM ESCONSIDADE DE 45°, INCLUINDO FÔRMAS E MATERIAIS. AF_07/2021</t>
  </si>
  <si>
    <t>BOCA PARA BUEIRO SIMPLES CELULAR 200 X 200 CM EM GABIÃO, ALAS COM ESCONSIDADE DE 45°, INCLUINDO FÔRMAS E MATERIAIS. AF_07/2021</t>
  </si>
  <si>
    <t>BOCA PARA BUEIRO SIMPLES CELULAR 250 X 250 CM EM GABIÃO, ALAS COM ESCONSIDADE DE 45°, INCLUINDO FÔRMAS E MATERIAIS. AF_07/2021</t>
  </si>
  <si>
    <t>BOCA PARA BUEIRO SIMPLES CELULAR 300 X 300 CM EM GABIÃO, ALAS COM ESCONSIDADE DE 45°, INCLUINDO FÔRMAS E MATERIAIS. AF_07/2021</t>
  </si>
  <si>
    <t>BOCA PARA BUEIRO DUPLO CELULAR 150 X 150 CM EM GABIÃO, ALAS COM ESCONSIDADE DE 45°, INCLUINDO FÔRMAS E MATERIAIS. AF_07/2021</t>
  </si>
  <si>
    <t>BOCA PARA BUEIRO DUPLO CELULAR 200 X 200 CM EM GABIÃO, ALAS COM ESCONSIDADE DE 45°, INCLUINDO FÔRMAS E MATERIAIS. AF_07/2021</t>
  </si>
  <si>
    <t>BOCA PARA BUEIRO DUPLO CELULAR 250 X 250 CM EM GABIÃO, ALAS COM ESCONSIDADE DE 45°, INCLUINDO FÔRMAS E MATERIAIS. AF_07/2021</t>
  </si>
  <si>
    <t>BOCA PARA BUEIRO DUPLO CELULAR 300 X 300 CM EM GABIÃO, ALAS COM ESCONSIDADE DE 45°, INCLUINDO FÔRMAS E MATERIAIS. AF_07/2021</t>
  </si>
  <si>
    <t>BOCA PARA BUEIRO TRIPLO CELULAR 150 X 150 CM EM GABIÃO, ALAS COM ESCONSIDADE DE 45°, INCLUINDO FÔRMAS E MATERIAIS. AF_07/2021</t>
  </si>
  <si>
    <t>BOCA PARA BUEIRO TRIPLO CELULAR 200 X 200 CM EM GABIÃO, ALAS COM ESCONSIDADE DE 45°, INCLUINDO FÔRMAS E MATERIAIS. AF_07/2021</t>
  </si>
  <si>
    <t>BOCA PARA BUEIRO TRIPLO CELULAR 250 X 250 CM EM GABIÃO, ALAS COM ESCONSIDADE DE 45°, INCLUINDO FÔRMAS E MATERIAIS. AF_07/2021</t>
  </si>
  <si>
    <t>BOCA PARA BUEIRO TRIPLO CELULAR 300 X 300 CM EM GABIÃO, ALAS COM ESCONSIDADE DE 45°, INCLUINDO FÔRMAS E MATERIAIS. AF_07/2021</t>
  </si>
  <si>
    <t>ALARGAMENTO DE BASE DE TUBULÃO A CÉU ABERTO, ESCAVAÇÃO MANUAL, CONCRETO FEITO EM OBRA E LANÇADO COM JERICA. AF_05/2020</t>
  </si>
  <si>
    <t>ALARGAMENTO DE BASE DE TUBULÃO A CÉU ABERTO, ESCAVAÇÃO MANUAL, CONCRETO USINADO E LANÇADO COM BOMBA OU DIRETAMENTE DO CAMINHÃO (EXCLUSIVE BOMBEAMENTO). AF_05/2020</t>
  </si>
  <si>
    <t>ARRASAMENTO MECANICO DE ESTACA DE CONCRETO ARMADO, DIAMETROS DE ATÉ 40 CM. AF_05/2021</t>
  </si>
  <si>
    <t>ARRASAMENTO MECANICO DE ESTACA DE CONCRETO ARMADO, DIAMETROS DE 41 CM A 60 CM. AF_05/2021</t>
  </si>
  <si>
    <t>ARRASAMENTO MECANICO DE ESTACA DE CONCRETO ARMADO, DIAMETROS DE 61 CM A 80 CM. AF_05/2021</t>
  </si>
  <si>
    <t>ARRASAMENTO MECANICO DE ESTACA DE CONCRETO ARMADO, DIAMETROS DE 81 CM A 100 CM. AF_05/2021</t>
  </si>
  <si>
    <t>ARRASAMENTO MECANICO DE ESTACA DE CONCRETO ARMADO, DIAMETROS DE 101 CM A 150 CM. AF_05/2021</t>
  </si>
  <si>
    <t>ESTACA PRÉ-MOLDADA DE CONCRETO, SEÇÃO QUADRADA, CAPACIDADE DE 25 TONELADAS, INCLUSO EMENDA (EXCLUSIVE MOBILIZAÇÃO E DESMOBILIZAÇÃO). AF_12/2019</t>
  </si>
  <si>
    <t>ESTACA PRÉ-MOLDADA DE CONCRETO SEÇÃO QUADRADA, CAPACIDADE DE 50 TONELADAS, INCLUSO EMENDA (EXCLUSIVE MOBILIZAÇÃO E DESMOBILIZAÇÃO). AF_12/2019</t>
  </si>
  <si>
    <t>ESTACA PRÉ-MOLDADA DE CONCRETO CENTRIFUGADO, SEÇÃO CIRCULAR, CAPACIDADE DE 100 TONELADAS, INCLUSO EMENDA (EXCLUSIVE MOBILIZAÇÃO E DESMOBILIZAÇÃO). AF_12/2019</t>
  </si>
  <si>
    <t>ESTACA METÁLICA PARA FUNDAÇÃO, UTILIZANDO PERFIL LAMINADO HP250X62 (EXCLUSIVE MOBILIZAÇÃO E DESMOBILIZAÇÃO). AF_01/2020</t>
  </si>
  <si>
    <t>ESTACA METÁLICA PARA FUNDAÇÃO, UTILIZANDO PERFIL LAMINADO HP310X79 (EXCLUSIVE MOBILIZAÇÃO E DESMOBILIZAÇÃO). AF_01/2020</t>
  </si>
  <si>
    <t>ESTACA METÁLICA PARA CONTENÇÃO, UTILIZANDO PERFIL LAMINADO W250X32,7 (EXCLUSIVE MOBILIZAÇÃO E DESMOBILIZAÇÃO). AF_01/2020</t>
  </si>
  <si>
    <t>ESTACA METÁLICA PARA CONTENÇÃO, UTILIZANDO PERFIL LAMINADO W250X38,5 (EXCLUSIVE MOBILIZAÇÃO E DESMOBILIZAÇÃO). AF_01/2020</t>
  </si>
  <si>
    <t>ESTACA METÁLICA PARA CONTENÇÃO, UTILIZANDO PERFIL LAMINADO W250X44,8 (EXCLUSIVE MOBILIZAÇÃO E DESMOBILIZAÇÃO). AF_01/2020</t>
  </si>
  <si>
    <t>ESTACA BROCA DE CONCRETO, DIÂMETRO DE 20CM, ESCAVAÇÃO MANUAL COM TRADO CONCHA, COM ARMADURA DE ARRANQUE. AF_05/2020</t>
  </si>
  <si>
    <t>ESTACA BROCA DE CONCRETO, DIÂMETRO DE 25CM, ESCAVAÇÃO MANUAL COM TRADO CONCHA, COM ARMADURA DE ARRANQUE. AF_05/2020</t>
  </si>
  <si>
    <t>ESTACA BROCA DE CONCRETO, DIÂMETRO DE 30CM, ESCAVAÇÃO MANUAL COM TRADO CONCHA, COM ARMADURA DE ARRANQUE. AF_05/2020</t>
  </si>
  <si>
    <t>ARRASAMENTO MECÂNICO DE ESTACA BARRETE DE CONCRETO ARMADO, SEÇÃO DE 0,40 X 2,50 M. AF_05/2021</t>
  </si>
  <si>
    <t>ARRASAMENTO MECÂNICO DE ESTACA BARRETE DE CONCRETO ARMADO, SEÇÃO DE 0,60 X 2,50 M. AF_05/2021</t>
  </si>
  <si>
    <t>ARRASAMENTO MECÂNICO DE ESTACA BARRETE DE CONCRETO ARMADO, SEÇÃO DE 0,80 X 2,50 M. AF_05/2021</t>
  </si>
  <si>
    <t>ESCAVAÇÃO MANUAL DE VIGA DE BORDA PARA RADIER. AF_09/2021</t>
  </si>
  <si>
    <t>COMPACTAÇÃO MECÂNICA DE SOLO PARA EXECUÇÃO DE RADIER, PISO DE CONCRETO OU LAJE SOBRE SOLO, COM COMPACTADOR DE SOLOS A PERCUSSÃO. AF_09/2021</t>
  </si>
  <si>
    <t>COMPACTAÇÃO MECÂNICA DE SOLO PARA EXECUÇÃO DE RADIER, PISO DE CONCRETO OU LAJE SOBRE SOLO, COM COMPACTADOR DE SOLOS TIPO PLACA VIBRATÓRIA. AF_09/2021</t>
  </si>
  <si>
    <t>FABRICAÇÃO, MONTAGEM E DESMONTAGEM DE FORMA PARA RADIER, PISO DE CONCRETO OU LAJE SOBRE SOLO, EM MADEIRA SERRADA, 4 UTILIZAÇÕES. AF_09/2021</t>
  </si>
  <si>
    <t>CAMADA SEPARADORA PARA EXECUÇÃO DE RADIER, PISO DE CONCRETO OU LAJE SOBRE SOLO, EM LONA PLÁSTICA. AF_09/2021</t>
  </si>
  <si>
    <t>ARMAÇÃO PARA EXECUÇÃO DE RADIER, PISO DE CONCRETO OU LAJE SOBRE SOLO, COM USO DE TELA Q-92. AF_09/2021</t>
  </si>
  <si>
    <t>ARMAÇÃO PARA EXECUÇÃO DE RADIER, PISO DE CONCRETO OU LAJE SOBRE SOLO, COM USO DE TELA Q-113. AF_09/2021</t>
  </si>
  <si>
    <t>ARMAÇÃO PARA EXECUÇÃO DE RADIER, PISO DE CONCRETO OU LAJE SOBRE SOLO, COM USO DE TELA Q-138. AF_09/2021</t>
  </si>
  <si>
    <t>ARMAÇÃO PARA EXECUÇÃO DE RADIER, PISO DE CONCRETO OU LAJE SOBRE SOLO, COM USO DE TELA Q-159. AF_09/2021</t>
  </si>
  <si>
    <t>ARMAÇÃO PARA EXECUÇÃO DE RADIER, PISO DE CONCRETO OU LAJE SOBRE SOLO, COM USO DE TELA Q-196. AF_09/2021</t>
  </si>
  <si>
    <t>ARMAÇÃO PARA EXECUÇÃO DE RADIER, PISO DE CONCRETO OU LAJE SOBRE SOLO, COM USO DE TELA Q-283. AF_09/2021</t>
  </si>
  <si>
    <t>CONCRETAGEM DE RADIER, PISO DE CONCRETO OU LAJE SOBRE SOLO, FCK 30 MPA - LANÇAMENTO, ADENSAMENTO E ACABAMENTO. AF_09/2021</t>
  </si>
  <si>
    <t>ACABAMENTO POLIDO PARA PISO DE CONCRETO ARMADO OU LAJE SOBRE SOLO DE ALTA RESISTÊNCIA. AF_09/2021</t>
  </si>
  <si>
    <t>EXECUÇÃO DE RADIER, ESPESSURA DE 10 CM, FCK = 30 MPA, COM USO DE FORMAS EM MADEIRA SERRADA. AF_09/2021</t>
  </si>
  <si>
    <t>EXECUÇÃO DE RADIER, ESPESSURA DE 15 CM, FCK = 30 MPA, COM USO DE FORMAS EM MADEIRA SERRADA. AF_09/2021</t>
  </si>
  <si>
    <t>EXECUÇÃO DE RADIER, ESPESSURA DE 20 CM, FCK = 30 MPA, COM USO DE FORMAS EM MADEIRA SERRADA. AF_09/2021</t>
  </si>
  <si>
    <t>EXECUÇÃO DE RADIER, ESPESSURA DE 25 CM, FCK = 30 MPA, COM USO DE FORMAS EM MADEIRA SERRADA. AF_09/2021</t>
  </si>
  <si>
    <t>EXECUÇÃO DE RADIER, ESPESSURA DE 30 CM, FCK = 30 MPA, COM USO DE FORMAS EM MADEIRA SERRADA. AF_09/2021</t>
  </si>
  <si>
    <t>EXECUÇÃO DE PISO DE CONCRETO, SEM ACABAMENTO SUPERFICIAL, ESPESSURA DE 15 CM, FCK = 30 MPA, COM USO DE FORMAS EM MADEIRA SERRADA. AF_09/2021</t>
  </si>
  <si>
    <t>EXECUÇÃO DE PISO DE CONCRETO, COM ACABAMENTO SUPERFICIAL, ESPESSURA DE 15 CM, FCK = 30 MPA, COM USO DE FORMAS EM MADEIRA SERRADA. AF_09/2021</t>
  </si>
  <si>
    <t>EXECUÇÃO DE LAJE SOBRE SOLO, ESPESSURA DE 10 CM, FCK = 30 MPA, COM USO DE FORMAS EM MADEIRA SERRADA. AF_09/2021</t>
  </si>
  <si>
    <t>EXECUÇÃO DE LAJE SOBRE SOLO, ESPESSURA DE 15 CM, FCK = 30 MPA, COM USO DE FORMAS EM MADEIRA SERRADA. AF_09/2021</t>
  </si>
  <si>
    <t>EXECUÇÃO DE LAJE SOBRE SOLO, ESPESSURA DE 20 CM, FCK = 30 MPA, COM USO DE FORMAS EM MADEIRA SERRADA. AF_09/2021</t>
  </si>
  <si>
    <t>EXECUÇÃO DE LAJE SOBRE SOLO, ESPESSURA DE 25 CM, FCK = 30 MPA, COM USO DE FORMAS EM MADEIRA SERRADA. AF_09/2021</t>
  </si>
  <si>
    <t>EXECUÇÃO DE LAJE SOBRE SOLO, ESPESSURA DE 30 CM, FCK = 30 MPA, COM USO DE FORMAS EM MADEIRA SERRADA. AF_09/2021</t>
  </si>
  <si>
    <t>FABRICAÇÃO DE FÔRMA PARA PILARES E ESTRUTURAS SIMILARES, EM CHAPA DE MADEIRA COMPENSADA RESINADA, E = 17 MM. AF_09/2020</t>
  </si>
  <si>
    <t>FABRICAÇÃO DE FÔRMA PARA PILARES E ESTRUTURAS SIMILARES, EM CHAPA DE MADEIRA COMPENSADA PLASTIFICADA, E = 18 MM. AF_09/2020</t>
  </si>
  <si>
    <t>FABRICAÇÃO DE FÔRMA PARA VIGAS, EM CHAPA DE MADEIRA COMPENSADA RESINADA, E = 17 MM. AF_09/2020</t>
  </si>
  <si>
    <t>FABRICAÇÃO DE FÔRMA PARA VIGAS, EM CHAPA DE MADEIRA COMPENSADA PLASTIFICADA, E = 18 MM. AF_09/2020</t>
  </si>
  <si>
    <t>FABRICAÇÃO DE FÔRMA PARA LAJES, EM CHAPA DE MADEIRA COMPENSADA RESINADA, E = 17 MM. AF_09/2020</t>
  </si>
  <si>
    <t>FABRICAÇÃO DE FÔRMA PARA LAJES, EM CHAPA DE MADEIRA COMPENSADA PLASTIFICADA, E = 18 MM. AF_09/2020</t>
  </si>
  <si>
    <t>FABRICAÇÃO DE FÔRMA PARA PILARES E ESTRUTURAS SIMILARES, EM MADEIRA SERRADA, E=25 MM. AF_09/2020</t>
  </si>
  <si>
    <t>FABRICAÇÃO DE FÔRMA PARA VIGAS, COM MADEIRA SERRADA, E = 25 MM. AF_09/2020</t>
  </si>
  <si>
    <t>FABRICAÇÃO DE FÔRMA PARA LAJES, EM MADEIRA SERRADA, E=25 MM. AF_09/2020</t>
  </si>
  <si>
    <t>FABRICAÇÃO DE ESCORAS DE VIGA DO TIPO GARFO, EM MADEIRA. AF_09/2020</t>
  </si>
  <si>
    <t>FABRICAÇÃO DE ESCORAS DO TIPO PONTALETE, EM MADEIRA, PARA PÉ-DIREITO SIMPLES. AF_09/2020</t>
  </si>
  <si>
    <t>MONTAGEM E DESMONTAGEM DE FÔRMA DE PILARES RETANGULARES E ESTRUTURAS SIMILARES, PÉ-DIREITO SIMPLES, EM MADEIRA SERRADA, 1 UTILIZAÇÃO. AF_09/2020</t>
  </si>
  <si>
    <t>MONTAGEM E DESMONTAGEM DE FÔRMA DE PILARES RETANGULARES E ESTRUTURAS SIMILARES, PÉ-DIREITO SIMPLES, EM MADEIRA SERRADA, 2 UTILIZAÇÕES. AF_09/2020</t>
  </si>
  <si>
    <t>MONTAGEM E DESMONTAGEM DE FÔRMA DE PILARES RETANGULARES E ESTRUTURAS SIMILARES, PÉ-DIREITO SIMPLES, EM MADEIRA SERRADA, 4 UTILIZAÇÕES. AF_09/2020</t>
  </si>
  <si>
    <t>MONTAGEM E DESMONTAGEM DE FÔRMA DE PILARES RETANGULARES E ESTRUTURAS SIMILARES, PÉ-DIREITO SIMPLES, EM CHAPA DE MADEIRA COMPENSADA RESINADA, 2 UTILIZAÇÕES. AF_09/2020</t>
  </si>
  <si>
    <t>MONTAGEM E DESMONTAGEM DE FÔRMA DE PILARES RETANGULARES E ESTRUTURAS SIMILARES, PÉ-DIREITO DUPLO, EM CHAPA DE MADEIRA COMPENSADA RESINADA, 2 UTILIZAÇÕES. AF_09/2020</t>
  </si>
  <si>
    <t>MONTAGEM E DESMONTAGEM DE FÔRMA DE PILARES RETANGULARES E ESTRUTURAS SIMILARES, PÉ-DIREITO SIMPLES, EM CHAPA DE MADEIRA COMPENSADA RESINADA, 4 UTILIZAÇÕES. AF_09/2020</t>
  </si>
  <si>
    <t>MONTAGEM E DESMONTAGEM DE FÔRMA DE PILARES RETANGULARES E ESTRUTURAS SIMILARES, PÉ-DIREITO DUPLO, EM CHAPA DE MADEIRA COMPENSADA RESINADA, 4 UTILIZAÇÕES. AF_09/2020</t>
  </si>
  <si>
    <t>MONTAGEM E DESMONTAGEM DE FÔRMA DE PILARES RETANGULARES E ESTRUTURAS SIMILARES, PÉ-DIREITO SIMPLES, EM CHAPA DE MADEIRA COMPENSADA RESINADA, 6 UTILIZAÇÕES. AF_09/2020</t>
  </si>
  <si>
    <t>MONTAGEM E DESMONTAGEM DE FÔRMA DE PILARES RETANGULARES E ESTRUTURAS SIMILARES, PÉ-DIREITO DUPLO, EM CHAPA DE MADEIRA COMPENSADA RESINADA, 6 UTILIZAÇÕES. AF_09/2020</t>
  </si>
  <si>
    <t>MONTAGEM E DESMONTAGEM DE FÔRMA DE PILARES RETANGULARES E ESTRUTURAS SIMILARES, PÉ-DIREITO SIMPLES, EM CHAPA DE MADEIRA COMPENSADA RESINADA, 8 UTILIZAÇÕES. AF_09/2020</t>
  </si>
  <si>
    <t>MONTAGEM E DESMONTAGEM DE FÔRMA DE PILARES RETANGULARES E ESTRUTURAS SIMILARES, PÉ-DIREITO DUPLO, EM CHAPA DE MADEIRA COMPENSADA RESINADA, 8 UTILIZAÇÕES. AF_09/2020</t>
  </si>
  <si>
    <t>MONTAGEM E DESMONTAGEM DE FÔRMA DE PILARES RETANGULARES E ESTRUTURAS SIMILARES, PÉ-DIREITO SIMPLES, EM CHAPA DE MADEIRA COMPENSADA PLASTIFICADA, 10 UTILIZAÇÕES. AF_09/2020</t>
  </si>
  <si>
    <t>MONTAGEM E DESMONTAGEM DE FÔRMA DE PILARES RETANGULARES E ESTRUTURAS SIMILARES, PÉ-DIREITO DUPLO, EM CHAPA DE MADEIRA COMPENSADA PLASTIFICADA, 10 UTILIZAÇÕES. AF_09/2020</t>
  </si>
  <si>
    <t>MONTAGEM E DESMONTAGEM DE FÔRMA DE PILARES RETANGULARES E ESTRUTURAS SIMILARES, PÉ-DIREITO SIMPLES, EM CHAPA DE MADEIRA COMPENSADA PLASTIFICADA, 12 UTILIZAÇÕES. AF_09/2020</t>
  </si>
  <si>
    <t>MONTAGEM E DESMONTAGEM DE FÔRMA DE PILARES RETANGULARES E ESTRUTURAS SIMILARES, PÉ-DIREITO DUPLO, EM CHAPA DE MADEIRA COMPENSADA PLASTIFICADA, 12 UTILIZAÇÕES. AF_09/2020</t>
  </si>
  <si>
    <t>MONTAGEM E DESMONTAGEM DE FÔRMA DE PILARES RETANGULARES E ESTRUTURAS SIMILARES, PÉ-DIREITO SIMPLES, EM CHAPA DE MADEIRA COMPENSADA PLASTIFICADA, 14 UTILIZAÇÕES. AF_09/2020</t>
  </si>
  <si>
    <t>MONTAGEM E DESMONTAGEM DE FÔRMA DE PILARES RETANGULARES E ESTRUTURAS SIMILARES, PÉ-DIREITO DUPLO, EM CHAPA DE MADEIRA COMPENSADA PLASTIFICADA, 14 UTILIZAÇÕES. AF_09/2020</t>
  </si>
  <si>
    <t>MONTAGEM E DESMONTAGEM DE FÔRMA DE PILARES RETANGULARES E ESTRUTURAS SIMILARES, PÉ-DIREITO SIMPLES, EM CHAPA DE MADEIRA COMPENSADA PLASTIFICADA, 18 UTILIZAÇÕES. AF_09/2020</t>
  </si>
  <si>
    <t>MONTAGEM E DESMONTAGEM DE FÔRMA DE PILARES RETANGULARES E ESTRUTURAS SIMILARES, PÉ-DIREITO DUPLO, EM CHAPA DE MADEIRA COMPENSADA PLASTIFICADA, 18 UTILIZAÇÕES. AF_09/2020</t>
  </si>
  <si>
    <t>MONTAGEM E DESMONTAGEM DE FÔRMA DE VIGA, ESCORAMENTO COM PONTALETE DE MADEIRA, PÉ-DIREITO SIMPLES, EM MADEIRA SERRADA, 1 UTILIZAÇÃO. AF_09/2020</t>
  </si>
  <si>
    <t>MONTAGEM E DESMONTAGEM DE FÔRMA DE VIGA, ESCORAMENTO COM PONTALETE DE MADEIRA, PÉ-DIREITO SIMPLES, EM MADEIRA SERRADA, 2 UTILIZAÇÕES. AF_09/2020</t>
  </si>
  <si>
    <t>MONTAGEM E DESMONTAGEM DE FÔRMA DE VIGA, ESCORAMENTO COM PONTALETE DE MADEIRA, PÉ-DIREITO SIMPLES, EM MADEIRA SERRADA, 4 UTILIZAÇÕES. AF_09/2020</t>
  </si>
  <si>
    <t>MONTAGEM E DESMONTAGEM DE FÔRMA DE VIGA, ESCORAMENTO COM GARFO DE MADEIRA, PÉ-DIREITO DUPLO, EM CHAPA DE MADEIRA RESINADA, 2 UTILIZAÇÕES. AF_09/2020</t>
  </si>
  <si>
    <t>MONTAGEM E DESMONTAGEM DE FÔRMA DE VIGA, ESCORAMENTO METÁLICO, PÉ-DIREITO DUPLO, EM CHAPA DE MADEIRA RESINADA, 2 UTILIZAÇÕES. AF_09/2020</t>
  </si>
  <si>
    <t>MONTAGEM E DESMONTAGEM DE FÔRMA DE VIGA, ESCORAMENTO COM GARFO DE MADEIRA, PÉ-DIREITO SIMPLES, EM CHAPA DE MADEIRA RESINADA, 2 UTILIZAÇÕES. AF_09/2020</t>
  </si>
  <si>
    <t>MONTAGEM E DESMONTAGEM DE FÔRMA DE VIGA, ESCORAMENTO METÁLICO, PÉ-DIREITO SIMPLES, EM CHAPA DE MADEIRA RESINADA, 2 UTILIZAÇÕES. AF_09/2020</t>
  </si>
  <si>
    <t>MONTAGEM E DESMONTAGEM DE FÔRMA DE VIGA, ESCORAMENTO COM GARFO DE MADEIRA, PÉ-DIREITO DUPLO, EM CHAPA DE MADEIRA RESINADA, 4 UTILIZAÇÕES. AF_09/2020</t>
  </si>
  <si>
    <t>MONTAGEM E DESMONTAGEM DE FÔRMA DE VIGA, ESCORAMENTO METÁLICO, PÉ-DIREITO DUPLO, EM CHAPA DE MADEIRA RESINADA, 4 UTILIZAÇÕES. AF_09/2020</t>
  </si>
  <si>
    <t>MONTAGEM E DESMONTAGEM DE FÔRMA DE VIGA, ESCORAMENTO COM GARFO DE MADEIRA, PÉ-DIREITO SIMPLES, EM CHAPA DE MADEIRA RESINADA, 4 UTILIZAÇÕES. AF_09/2020</t>
  </si>
  <si>
    <t>MONTAGEM E DESMONTAGEM DE FÔRMA DE VIGA, ESCORAMENTO METÁLICO, PÉ-DIREITO SIMPLES, EM CHAPA DE MADEIRA RESINADA, 4 UTILIZAÇÕES. AF_09/2020</t>
  </si>
  <si>
    <t>MONTAGEM E DESMONTAGEM DE FÔRMA DE VIGA, ESCORAMENTO COM GARFO DE MADEIRA, PÉ-DIREITO DUPLO, EM CHAPA DE MADEIRA RESINADA, 6 UTILIZAÇÕES. AF_09/2020</t>
  </si>
  <si>
    <t>MONTAGEM E DESMONTAGEM DE FÔRMA DE VIGA, ESCORAMENTO COM GARFO DE MADEIRA, PÉ-DIREITO SIMPLES, EM CHAPA DE MADEIRA RESINADA, 6 UTILIZAÇÕES. AF_09/2020</t>
  </si>
  <si>
    <t>MONTAGEM E DESMONTAGEM DE FÔRMA DE VIGA, ESCORAMENTO METÁLICO, PÉ-DIREITO SIMPLES, EM CHAPA DE MADEIRA RESINADA, 6 UTILIZAÇÕES. AF_09/2020</t>
  </si>
  <si>
    <t>MONTAGEM E DESMONTAGEM DE FÔRMA DE VIGA, ESCORAMENTO COM GARFO DE MADEIRA, PÉ-DIREITO DUPLO, EM CHAPA DE MADEIRA RESINADA, 8 UTILIZAÇÕES. AF_09/2020</t>
  </si>
  <si>
    <t>MONTAGEM E DESMONTAGEM DE FÔRMA DE VIGA, ESCORAMENTO METÁLICO, PÉ-DIREITO DUPLO, EM CHAPA DE MADEIRA RESINADA, 8 UTILIZAÇÕES. AF_09/2020</t>
  </si>
  <si>
    <t>MONTAGEM E DESMONTAGEM DE FÔRMA DE VIGA, ESCORAMENTO COM GARFO DE MADEIRA, PÉ-DIREITO SIMPLES, EM CHAPA DE MADEIRA RESINADA, 8 UTILIZAÇÕES. AF_09/2020</t>
  </si>
  <si>
    <t>MONTAGEM E DESMONTAGEM DE FÔRMA DE VIGA, ESCORAMENTO METÁLICO, PÉ-DIREITO SIMPLES, EM CHAPA DE MADEIRA RESINADA, 8 UTILIZAÇÕES. AF_09/2020</t>
  </si>
  <si>
    <t>MONTAGEM E DESMONTAGEM DE FÔRMA DE VIGA, ESCORAMENTO COM GARFO DE MADEIRA, PÉ-DIREITO DUPLO, EM CHAPA DE MADEIRA PLASTIFICADA, 10 UTILIZAÇÕES. AF_09/2020</t>
  </si>
  <si>
    <t>MONTAGEM E DESMONTAGEM DE FÔRMA DE VIGA, ESCORAMENTO METÁLICO, PÉ-DIREITO DUPLO, EM CHAPA DE MADEIRA PLASTIFICADA, 10 UTILIZAÇÕES. AF_09/2020</t>
  </si>
  <si>
    <t>MONTAGEM E DESMONTAGEM DE FÔRMA DE VIGA, ESCORAMENTO COM GARFO DE MADEIRA, PÉ-DIREITO SIMPLES, EM CHAPA DE MADEIRA PLASTIFICADA, 10 UTILIZAÇÕES. AF_09/2020</t>
  </si>
  <si>
    <t>MONTAGEM E DESMONTAGEM DE FÔRMA DE VIGA, ESCORAMENTO METÁLICO, PÉ-DIREITO SIMPLES, EM CHAPA DE MADEIRA PLASTIFICADA, 10 UTILIZAÇÕES. AF_09/2020</t>
  </si>
  <si>
    <t>MONTAGEM E DESMONTAGEM DE FÔRMA DE VIGA, ESCORAMENTO COM GARFO DE MADEIRA, PÉ-DIREITO DUPLO, EM CHAPA DE MADEIRA PLASTIFICADA, 12 UTILIZAÇÕES. AF_09/2020</t>
  </si>
  <si>
    <t>MONTAGEM E DESMONTAGEM DE FÔRMA DE VIGA, ESCORAMENTO METÁLICO, PÉ-DIREITO DUPLO, EM CHAPA DE MADEIRA PLASTIFICADA, 12 UTILIZAÇÕES. AF_09/2020</t>
  </si>
  <si>
    <t>MONTAGEM E DESMONTAGEM DE FÔRMA DE VIGA, ESCORAMENTO COM GARFO DE MADEIRA, PÉ-DIREITO SIMPLES, EM CHAPA DE MADEIRA PLASTIFICADA, 12 UTILIZAÇÕES. AF_09/2020</t>
  </si>
  <si>
    <t>MONTAGEM E DESMONTAGEM DE FÔRMA DE VIGA, ESCORAMENTO METÁLICO, PÉ-DIREITO SIMPLES, EM CHAPA DE MADEIRA PLASTIFICADA, 12 UTILIZAÇÕES. AF_09/2020</t>
  </si>
  <si>
    <t>MONTAGEM E DESMONTAGEM DE FÔRMA DE VIGA, ESCORAMENTO COM GARFO DE MADEIRA, PÉ-DIREITO DUPLO, EM CHAPA DE MADEIRA PLASTIFICADA, 14 UTILIZAÇÕES. AF_09/2020</t>
  </si>
  <si>
    <t>MONTAGEM E DESMONTAGEM DE FÔRMA DE VIGA, ESCORAMENTO METÁLICO, PÉ-DIREITO DUPLO, EM CHAPA DE MADEIRA PLASTIFICADA, 14 UTILIZAÇÕES. AF_09/2020</t>
  </si>
  <si>
    <t>MONTAGEM E DESMONTAGEM DE FÔRMA DE VIGA, ESCORAMENTO COM GARFO DE MADEIRA, PÉ-DIREITO SIMPLES, EM CHAPA DE MADEIRA PLASTIFICADA, 14 UTILIZAÇÕES. AF_09/2020</t>
  </si>
  <si>
    <t>MONTAGEM E DESMONTAGEM DE FÔRMA DE VIGA, ESCORAMENTO METÁLICO, PÉ-DIREITO SIMPLES, EM CHAPA DE MADEIRA PLASTIFICADA, 14 UTILIZAÇÕES. AF_09/2020</t>
  </si>
  <si>
    <t>MONTAGEM E DESMONTAGEM DE FÔRMA DE VIGA, ESCORAMENTO COM GARFO DE MADEIRA, PÉ-DIREITO DUPLO, EM CHAPA DE MADEIRA PLASTIFICADA, 18 UTILIZAÇÕES. AF_09/2020</t>
  </si>
  <si>
    <t>MONTAGEM E DESMONTAGEM DE FÔRMA DE VIGA, ESCORAMENTO METÁLICO, PÉ-DIREITO DUPLO, EM CHAPA DE MADEIRA PLASTIFICADA, 18 UTILIZAÇÕES. AF_09/2020</t>
  </si>
  <si>
    <t>MONTAGEM E DESMONTAGEM DE FÔRMA DE VIGA, ESCORAMENTO COM GARFO DE MADEIRA, PÉ-DIREITO SIMPLES, EM CHAPA DE MADEIRA PLASTIFICADA, 18 UTILIZAÇÕES. AF_09/2020</t>
  </si>
  <si>
    <t>MONTAGEM E DESMONTAGEM DE FÔRMA DE VIGA, ESCORAMENTO METÁLICO, PÉ-DIREITO SIMPLES, EM CHAPA DE MADEIRA PLASTIFICADA, 18 UTILIZAÇÕES. AF_09/2020</t>
  </si>
  <si>
    <t>MONTAGEM E DESMONTAGEM DE FÔRMA DE LAJE MACIÇA, PÉ-DIREITO SIMPLES, EM MADEIRA SERRADA, 1 UTILIZAÇÃO. AF_09/2020</t>
  </si>
  <si>
    <t>MONTAGEM E DESMONTAGEM DE FÔRMA DE LAJE MACIÇA, PÉ-DIREITO SIMPLES, EM MADEIRA SERRADA, 2 UTILIZAÇÕES. AF_09/2020</t>
  </si>
  <si>
    <t>MONTAGEM E DESMONTAGEM DE FÔRMA DE LAJE MACIÇA, PÉ-DIREITO SIMPLES, EM MADEIRA SERRADA, 4 UTILIZAÇÕES. AF_09/2020</t>
  </si>
  <si>
    <t>MONTAGEM E DESMONTAGEM DE FÔRMA DE LAJE NERVURADA COM CUBETA E ASSOALHO, PÉ-DIREITO DUPLO, EM CHAPA DE MADEIRA COMPENSADA RESINADA, 8 UTILIZAÇÕES. AF_09/2020</t>
  </si>
  <si>
    <t>MONTAGEM E DESMONTAGEM DE FÔRMA DE LAJE NERVURADA COM CUBETA E ASSOALHO, PÉ-DIREITO SIMPLES, EM CHAPA DE MADEIRA COMPENSADA RESINADA, 8 UTILIZAÇÕES. AF_09/2020</t>
  </si>
  <si>
    <t>MONTAGEM E DESMONTAGEM DE FÔRMA DE LAJE NERVURADA COM CUBETA E ASSOALHO, PÉ-DIREITO DUPLO, EM CHAPA DE MADEIRA COMPENSADA RESINADA, 10 UTILIZAÇÕES. AF_09/2020</t>
  </si>
  <si>
    <t>MONTAGEM E DESMONTAGEM DE FÔRMA DE LAJE NERVURADA COM CUBETA E ASSOALHO, PÉ-DIREITO SIMPLES, EM CHAPA DE MADEIRA COMPENSADA RESINADA, 10 UTILIZAÇÕES. AF_09/2020</t>
  </si>
  <si>
    <t>MONTAGEM E DESMONTAGEM DE FÔRMA DE LAJE NERVURADA COM CUBETA E ASSOALHO, PÉ-DIREITO DUPLO, EM CHAPA DE MADEIRA COMPENSADA RESINADA, 12 UTILIZAÇÕES. AF_09/2020</t>
  </si>
  <si>
    <t>MONTAGEM E DESMONTAGEM DE FÔRMA DE LAJE NERVURADA COM CUBETA E ASSOALHO, PÉ-DIREITO SIMPLES, EM CHAPA DE MADEIRA COMPENSADA RESINADA, 12 UTILIZAÇÕES. AF_09/2020</t>
  </si>
  <si>
    <t>MONTAGEM E DESMONTAGEM DE FÔRMA DE LAJE NERVURADA COM CUBETA E ASSOALHO, PÉ-DIREITO DUPLO, EM CHAPA DE MADEIRA COMPENSADA RESINADA, 14 UTILIZAÇÕES. AF_09/2020</t>
  </si>
  <si>
    <t>MONTAGEM E DESMONTAGEM DE FÔRMA DE LAJE NERVURADA COM CUBETA E ASSOALHO, PÉ-DIREITO SIMPLES, EM CHAPA DE MADEIRA COMPENSADA RESINADA, 14 UTILIZAÇÕES. AF_09/2020</t>
  </si>
  <si>
    <t>MONTAGEM E DESMONTAGEM DE FÔRMA DE LAJE NERVURADA COM CUBETA E ASSOALHO, PÉ-DIREITO DUPLO, EM CHAPA DE MADEIRA COMPENSADA RESINADA, 18 UTILIZAÇÕES. AF_09/2020</t>
  </si>
  <si>
    <t>MONTAGEM E DESMONTAGEM DE FÔRMA DE LAJE NERVURADA COM CUBETA E ASSOALHO, PÉ-DIREITO SIMPLES, EM CHAPA DE MADEIRA COMPENSADA RESINADA, 18 UTILIZAÇÕES. AF_09/2020</t>
  </si>
  <si>
    <t>MONTAGEM E DESMONTAGEM DE FÔRMA DE LAJE MACIÇA, PÉ-DIREITO DUPLO, EM CHAPA DE MADEIRA COMPENSADA RESINADA, 2 UTILIZAÇÕES. AF_09/2020</t>
  </si>
  <si>
    <t>MONTAGEM E DESMONTAGEM DE FÔRMA DE LAJE MACIÇA, PÉ-DIREITO SIMPLES, EM CHAPA DE MADEIRA COMPENSADA RESINADA, 2 UTILIZAÇÕES. AF_09/2020</t>
  </si>
  <si>
    <t>MONTAGEM E DESMONTAGEM DE FÔRMA DE LAJE MACIÇA, PÉ-DIREITO DUPLO, EM CHAPA DE MADEIRA COMPENSADA RESINADA, 4 UTILIZAÇÕES. AF_09/2020</t>
  </si>
  <si>
    <t>MONTAGEM E DESMONTAGEM DE FÔRMA DE LAJE MACIÇA, PÉ-DIREITO SIMPLES, EM CHAPA DE MADEIRA COMPENSADA RESINADA, 4 UTILIZAÇÕES. AF_09/2020</t>
  </si>
  <si>
    <t>MONTAGEM E DESMONTAGEM DE FÔRMA DE LAJE MACIÇA, PÉ-DIREITO DUPLO, EM CHAPA DE MADEIRA COMPENSADA RESINADA, 6 UTILIZAÇÕES. AF_09/2020</t>
  </si>
  <si>
    <t>MONTAGEM E DESMONTAGEM DE FÔRMA DE LAJE MACIÇA, PÉ-DIREITO SIMPLES, EM CHAPA DE MADEIRA COMPENSADA RESINADA, 6 UTILIZAÇÕES. AF_09/2020</t>
  </si>
  <si>
    <t>MONTAGEM E DESMONTAGEM DE FÔRMA DE LAJE MACIÇA, PÉ-DIREITO DUPLO, EM CHAPA DE MADEIRA COMPENSADA RESINADA, 8 UTILIZAÇÕES. AF_09/2020</t>
  </si>
  <si>
    <t>MONTAGEM E DESMONTAGEM DE FÔRMA DE LAJE MACIÇA, PÉ-DIREITO SIMPLES, EM CHAPA DE MADEIRA COMPENSADA RESINADA, 8 UTILIZAÇÕES. AF_09/2020</t>
  </si>
  <si>
    <t>MONTAGEM E DESMONTAGEM DE FÔRMA DE LAJE MACIÇA, PÉ-DIREITO DUPLO, EM CHAPA DE MADEIRA COMPENSADA PLASTIFICADA, 10 UTILIZAÇÕES. AF_09/2020</t>
  </si>
  <si>
    <t>MONTAGEM E DESMONTAGEM DE FÔRMA DE LAJE MACIÇA, PÉ-DIREITO SIMPLES, EM CHAPA DE MADEIRA COMPENSADA PLASTIFICADA, 10 UTILIZAÇÕES. AF_09/2020</t>
  </si>
  <si>
    <t>MONTAGEM E DESMONTAGEM DE FÔRMA DE LAJE MACIÇA, PÉ-DIREITO DUPLO, EM CHAPA DE MADEIRA COMPENSADA PLASTIFICADA, 12 UTILIZAÇÕES. AF_09/2020</t>
  </si>
  <si>
    <t>MONTAGEM E DESMONTAGEM DE FÔRMA DE LAJE MACIÇA, PÉ-DIREITO SIMPLES, EM CHAPA DE MADEIRA COMPENSADA PLASTIFICADA, 12 UTILIZAÇÕES. AF_09/2020</t>
  </si>
  <si>
    <t>MONTAGEM E DESMONTAGEM DE FÔRMA DE LAJE MACIÇA, PÉ-DIREITO DUPLO, EM CHAPA DE MADEIRA COMPENSADA PLASTIFICADA, 14 UTILIZAÇÕES. AF_09/2020</t>
  </si>
  <si>
    <t>MONTAGEM E DESMONTAGEM DE FÔRMA DE LAJE MACIÇA, PÉ-DIREITO SIMPLES, EM CHAPA DE MADEIRA COMPENSADA PLASTIFICADA, 14 UTILIZAÇÕES. AF_09/2020</t>
  </si>
  <si>
    <t>MONTAGEM E DESMONTAGEM DE FÔRMA DE LAJE MACIÇA, PÉ-DIREITO DUPLO, EM CHAPA DE MADEIRA COMPENSADA PLASTIFICADA, 18 UTILIZAÇÕES. AF_09/2020</t>
  </si>
  <si>
    <t>MONTAGEM E DESMONTAGEM DE FÔRMA DE LAJE MACIÇA, PÉ-DIREITO SIMPLES, EM CHAPA DE MADEIRA COMPENSADA PLASTIFICADA, 18 UTILIZAÇÕES. AF_09/2020</t>
  </si>
  <si>
    <t>FABRICAÇÃO DE ESCORAS DO TIPO PONTALETE, EM MADEIRA, PARA PÉ-DIREITO DUPLO. AF_09/2020</t>
  </si>
  <si>
    <t>ESCORAMENTO DE FÔRMAS DE LAJE EM MADEIRA NÃO APARELHADA, PÉ-DIREITO SIMPLES, INCLUSO TRAVAMENTO, 4 UTILIZAÇÕES. AF_09/2020</t>
  </si>
  <si>
    <t>ESCORAMENTO DE FÔRMAS DE LAJE EM MADEIRA NÃO APARELHADA, PÉ-DIREITO DUPLO, INCLUSO TRAVAMENTO, 4 UTILIZAÇÕES. AF_09/2020</t>
  </si>
  <si>
    <t>FABRICAÇÃO DE FÔRMA PARA ESCADAS, COM 2 LANCES EM "U" E LAJE PLANA, EM CHAPA DE MADEIRA COMPENSADA PLASTIFICADA, E=18 MM. AF_11/2020</t>
  </si>
  <si>
    <t>FABRICAÇÃO DE FÔRMA PARA ESCADAS, COM 2 LANCES EM "U" E LAJE PLANA, EM CHAPA DE MADEIRA COMPENSADA RESINADA, E= 17 MM. AF_11/2020</t>
  </si>
  <si>
    <t>FABRICAÇÃO DE FÔRMA PARA ESCADAS, COM 2 LANCES EM "U" E LAJE PLANA, EM MADEIRA SERRADA, E=25 MM. AF_11/2020</t>
  </si>
  <si>
    <t>MONTAGEM E DESMONTAGEM DE FÔRMA PARA ESCADAS, COM 2 LANCES EM "U" E LAJE PLANA, EM MADEIRA SERRADA, 1 UTILIZAÇÃO. AF_11/2020</t>
  </si>
  <si>
    <t>MONTAGEM E DESMONTAGEM DE FÔRMA PARA ESCADAS, COM 2 LANCES EM "U" E LAJE PLANA, EM CHAPA DE MADEIRA COMPENSADA RESINADA, 2 UTILIZAÇÕES. AF_11/2020</t>
  </si>
  <si>
    <t>MONTAGEM E DESMONTAGEM DE FÔRMA PARA ESCADAS, COM 2 LANCES EM "U" E LAJE PLANA, EM CHAPA DE MADEIRA COMPENSADA RESINADA, 4 UTILIZAÇÕES. AF_11/2020</t>
  </si>
  <si>
    <t>MONTAGEM E DESMONTAGEM DE FÔRMA PARA ESCADAS, COM 2 LANCES EM "U" E LAJE PLANA, EM CHAPA DE MADEIRA COMPENSADA PLASTIFICADA, 6 UTILIZAÇÕES. AF_11/2020</t>
  </si>
  <si>
    <t>MONTAGEM E DESMONTAGEM DE FÔRMA PARA ESCADAS, COM 2 LANCES EM "U" E LAJE PLANA, EM CHAPA DE MADEIRA COMPENSADA PLASTIFICADA, 8 UTILIZAÇÕES. AF_11/2020</t>
  </si>
  <si>
    <t>MONTAGEM E DESMONTAGEM DE FÔRMA PARA ESCADAS, COM 2 LANCES EM "U" E LAJE PLANA, EM CHAPA DE MADEIRA COMPENSADA PLASTIFICADA, 10 UTILIZAÇÕES. AF_11/2020</t>
  </si>
  <si>
    <t>FABRICAÇÃO DE FÔRMA PARA ESCADAS, COM 2 LANCES EM "U" E LAJE CASCATA, EM CHAPA DE MADEIRA COMPENSADA PLASTIFICADA, E=18 MM. AF_11/2020</t>
  </si>
  <si>
    <t>FABRICAÇÃO DE FÔRMA PARA ESCADAS, COM 2 LANCES EM "U" E LAJE CASCATA, EM CHAPA DE MADEIRA COMPENSADA RESINADA, E= 17 MM. AF_11/2020</t>
  </si>
  <si>
    <t>FABRICAÇÃO DE FÔRMA PARA ESCADAS, COM 2 LANCES EM "U" E LAJE CASCATA, EM MADEIRA SERRADA, E=25 MM. AF_11/2020</t>
  </si>
  <si>
    <t>FABRICAÇÃO DE FÔRMA PARA ESCADAS, COM 2 LANCES EM "L" E LAJE PLANA, EM CHAPA DE MADEIRA COMPENSADA PLASTIFICADA, E=18 MM. AF_11/2020</t>
  </si>
  <si>
    <t>FABRICAÇÃO DE FÔRMA PARA ESCADAS, COM 2 LANCES EM "L" E LAJE PLANA, EM CHAPA DE MADEIRA COMPENSADA RESINADA, E= 17 MM. AF_11/2020</t>
  </si>
  <si>
    <t>FABRICAÇÃO DE FÔRMA PARA ESCADAS, COM 2 LANCES EM "L" E LAJE PLANA, EM MADEIRA SERRADA, E=25 MM. AF_11/2020</t>
  </si>
  <si>
    <t>FABRICAÇÃO DE FÔRMA PARA ESCADAS, COM 2 LANCES EM "L" E LAJE CASCATA, EM CHAPA DE MADEIRA COMPENSADA PLASTIFICADA, E=18 MM. AF_11/2020</t>
  </si>
  <si>
    <t>FABRICAÇÃO DE FÔRMA PARA ESCADAS, COM 2 LANCES EM "L" E LAJE CASCATA, EM CHAPA DE MADEIRA COMPENSADA RESINADA, E= 17 MM. AF_11/2020</t>
  </si>
  <si>
    <t>FABRICAÇÃO DE FÔRMA PARA ESCADAS, COM 2 LANCES EM "L" E LAJE CASCATA, EM MADEIRA SERRADA, E=25 MM. AF_11/2020</t>
  </si>
  <si>
    <t>FABRICAÇÃO DE FÔRMA PARA ESCADAS, COM 1 LANCE E LAJE PLANA, EM CHAPA DE MADEIRA COMPENSADA PLASTIFICADA, E=18 MM. AF_11/2020</t>
  </si>
  <si>
    <t>FABRICAÇÃO DE FÔRMA PARA ESCADAS, COM 1 LANCE E LAJE PLANA, EM CHAPA DE MADEIRA COMPENSADA RESINADA, E= 17 MM. AF_11/2020</t>
  </si>
  <si>
    <t>FABRICAÇÃO DE FÔRMA PARA ESCADAS, COM 1 LANCE E LAJE PLANA, EM MADEIRA SERRADA, E=25 MM. AF_11/2020</t>
  </si>
  <si>
    <t>FABRICAÇÃO DE FÔRMA PARA ESCADAS, COM 1 LANCE E LAJE CASCATA, EM CHAPA DE MADEIRA COMPENSADA PLASTIFICADA, E=18 MM. AF_11/2020</t>
  </si>
  <si>
    <t>FABRICAÇÃO DE FÔRMA PARA ESCADAS, COM 1 LANCE E LAJE CASCATA, EM CHAPA DE MADEIRA COMPENSADA RESINADA, E= 17 MM. AF_11/2020</t>
  </si>
  <si>
    <t>FABRICAÇÃO DE FÔRMA PARA ESCADAS, COM 1 LANCE E LAJE CASCATA, EM MADEIRA SERRADA, E=25 MM. AF_11/2020</t>
  </si>
  <si>
    <t>MONTAGEM E DESMONTAGEM DE FÔRMA PARA ESCADAS, COM 2 LANCES EM "U" E LAJE CASCATA, EM MADEIRA SERRADA, 1 UTILIZAÇÃO. AF_11/2020</t>
  </si>
  <si>
    <t>MONTAGEM E DESMONTAGEM DE FÔRMA PARA ESCADAS, COM 2 LANCES EM "U" E LAJE CASCATA, EM MADEIRA SERRADA, 2 UTILIZAÇÕES. AF_11/2020</t>
  </si>
  <si>
    <t>MONTAGEM E DESMONTAGEM DE FÔRMA PARA ESCADAS, COM 2 LANCES EM "U" E LAJE CASCATA, EM CHAPA DE MADEIRA COMPENSADA RESINADA, 2 UTILIZAÇÕES. AF_11/2020</t>
  </si>
  <si>
    <t>MONTAGEM E DESMONTAGEM DE FÔRMA PARA ESCADAS, COM 2 LANCES EM "U" E LAJE CASCATA, EM CHAPA DE MADEIRA COMPENSADA RESINADA, 4 UTILIZAÇÕES. AF_11/2020</t>
  </si>
  <si>
    <t>MONTAGEM E DESMONTAGEM DE FÔRMA PARA ESCADAS, COM 2 LANCES EM "U" E LAJE CASCATA, EM CHAPA DE MADEIRA COMPENSADA PLASTIFICADA, 6 UTILIZAÇÕES. AF_11/2020</t>
  </si>
  <si>
    <t>MONTAGEM E DESMONTAGEM DE FÔRMA PARA ESCADAS, COM 2 LANCES EM "U" E LAJE CASCATA, EM CHAPA DE MADEIRA COMPENSADA PLASTIFICADA, 8 UTILIZAÇÕES. AF_11/2020</t>
  </si>
  <si>
    <t>MONTAGEM E DESMONTAGEM DE FÔRMA PARA ESCADAS, COM 2 LANCES EM "U" E LAJE CASCATA, EM CHAPA DE MADEIRA COMPENSADA PLASTIFICADA, 10 UTILIZAÇÕES. AF_11/2020</t>
  </si>
  <si>
    <t>MONTAGEM E DESMONTAGEM DE FÔRMA PARA ESCADAS, COM 2 LANCES EM "L" E LAJE PLANA, EM MADEIRA SERRADA, 1 UTILIZAÇÃO. AF_11/2020</t>
  </si>
  <si>
    <t>MONTAGEM E DESMONTAGEM DE FÔRMA PARA ESCADAS, COM 2 LANCES EM "L" E LAJE PLANA, EM MADEIRA SERRADA, 2 UTILIZAÇÕES. AF_11/2020</t>
  </si>
  <si>
    <t>MONTAGEM E DESMONTAGEM DE FÔRMA PARA ESCADAS, COM 2 LANCES EM "L" E LAJE PLANA, EM CHAPA DE MADEIRA COMPENSADA RESINADA, 2 UTILIZAÇÕES. AF_11/2020</t>
  </si>
  <si>
    <t>MONTAGEM E DESMONTAGEM DE FÔRMA PARA ESCADAS, COM 2 LANCES EM "L" E LAJE PLANA, EM CHAPA DE MADEIRA COMPENSADA RESINADA, 4 UTILIZAÇÕES. AF_11/2020</t>
  </si>
  <si>
    <t>MONTAGEM E DESMONTAGEM DE FÔRMA PARA ESCADAS, COM 2 LANCES EM "L" E LAJE PLANA, EM CHAPA DE MADEIRA COMPENSADA PLASTIFICADA, 6 UTILIZAÇÕES. AF_11/2020</t>
  </si>
  <si>
    <t>MONTAGEM E DESMONTAGEM DE FÔRMA PARA ESCADAS, COM 2 LANCES EM "L" E LAJE PLANA, EM CHAPA DE MADEIRA COMPENSADA PLASTIFICADA, 8 UTILIZAÇÕES. AF_11/2020</t>
  </si>
  <si>
    <t>MONTAGEM E DESMONTAGEM DE FÔRMA PARA ESCADAS, COM 2 LANCES EM "L" E LAJE PLANA, EM CHAPA DE MADEIRA COMPENSADA PLASTIFICADA, 10 UTILIZAÇÕES. AF_11/2020</t>
  </si>
  <si>
    <t>MONTAGEM E DESMONTAGEM DE FÔRMA PARA ESCADAS, COM 2 LANCES EM "L" E LAJE CASCATA, EM MADEIRA SERRADA, 1 UTILIZAÇÃO. AF_11/2020</t>
  </si>
  <si>
    <t>MONTAGEM E DESMONTAGEM DE FÔRMA PARA ESCADAS, COM 2 LANCES EM "L" E LAJE CASCATA, EM MADEIRA SERRADA, 2 UTILIZAÇÕES. AF_11/2020</t>
  </si>
  <si>
    <t>MONTAGEM E DESMONTAGEM DE FÔRMA PARA ESCADAS, COM 2 LANCES EM "L" E LAJE CASCATA, EM CHAPA DE MADEIRA COMPENSADA RESINADA, 2 UTILIZAÇÕES. AF_11/2020</t>
  </si>
  <si>
    <t>MONTAGEM E DESMONTAGEM DE FÔRMA PARA ESCADAS, COM 2 LANCES EM "L" E LAJE CASCATA, EM CHAPA DE MADEIRA COMPENSADA RESINADA, 4 UTILIZAÇÕES. AF_11/2020</t>
  </si>
  <si>
    <t>MONTAGEM E DESMONTAGEM DE FÔRMA PARA ESCADAS, COM 2 LANCES EM "L" E LAJE CASCATA, EM CHAPA DE MADEIRA COMPENSADA PLASTIFICADA, 6 UTILIZAÇÕES. AF_11/2020</t>
  </si>
  <si>
    <t>MONTAGEM E DESMONTAGEM DE FÔRMA PARA ESCADAS, COM 2 LANCES EM "L" E LAJE CASCATA, EM CHAPA DE MADEIRA COMPENSADA PLASTIFICADA, 8 UTILIZAÇÕES. AF_11/2020</t>
  </si>
  <si>
    <t>MONTAGEM E DESMONTAGEM DE FÔRMA PARA ESCADAS, COM 2 LANCES EM "L" E LAJE CASCATA, EM CHAPA DE MADEIRA COMPENSADA PLASTIFICADA, 10 UTILIZAÇÕES. AF_11/2020</t>
  </si>
  <si>
    <t>MONTAGEM E DESMONTAGEM DE FÔRMA PARA ESCADAS, COM 1 LANCE E LAJE PLANA, EM MADEIRA SERRADA, 1 UTILIZAÇÃO. AF_11/2020</t>
  </si>
  <si>
    <t>MONTAGEM E DESMONTAGEM DE FÔRMA PARA ESCADAS, COM 1 LANCE E LAJE PLANA, EM MADEIRA SERRADA, 2 UTILIZAÇÕES. AF_11/2020</t>
  </si>
  <si>
    <t>MONTAGEM E DESMONTAGEM DE FÔRMA PARA ESCADAS, COM 1 LANCE E LAJE PLANA, EM CHAPA DE MADEIRA COMPENSADA RESINADA, 2 UTILIZAÇÕES. AF_11/2020</t>
  </si>
  <si>
    <t>MONTAGEM E DESMONTAGEM DE FÔRMA PARA ESCADAS, COM 1 LANCE E LAJE PLANA, EM CHAPA DE MADEIRA COMPENSADA RESINADA, 4 UTILIZAÇÕES. AF_11/2020</t>
  </si>
  <si>
    <t>MONTAGEM E DESMONTAGEM DE FÔRMA PARA ESCADAS, COM 1 LANCE E LAJE PLANA, EM CHAPA DE MADEIRA COMPENSADA PLASTIFICADA, 6 UTILIZAÇÕES. AF_11/2020</t>
  </si>
  <si>
    <t>MONTAGEM E DESMONTAGEM DE FÔRMA PARA ESCADAS, COM 1 LANCE E LAJE PLANA, EM CHAPA DE MADEIRA COMPENSADA PLASTIFICADA, 8 UTILIZAÇÕES. AF_11/2020</t>
  </si>
  <si>
    <t>MONTAGEM E DESMONTAGEM DE FÔRMA PARA ESCADAS, COM 1 LANCE E LAJE PLANA, EM CHAPA DE MADEIRA COMPENSADA PLASTIFICADA, 10 UTILIZAÇÕES. AF_11/2020</t>
  </si>
  <si>
    <t>MONTAGEM E DESMONTAGEM DE FÔRMA PARA ESCADAS, COM 1 LANCE E LAJE CASCATA, EM MADEIRA SERRADA, 1 UTILIZAÇÃO. AF_11/2020</t>
  </si>
  <si>
    <t>MONTAGEM E DESMONTAGEM DE FÔRMA PARA ESCADAS, COM 1 LANCE E LAJE CASCATA, EM MADEIRA SERRADA, 2 UTILIZAÇÕES. AF_11/2020</t>
  </si>
  <si>
    <t>MONTAGEM E DESMONTAGEM DE FÔRMA PARA ESCADAS, COM 1 LANCE E LAJE CASCATA, EM CHAPA DE MADEIRA COMPENSADA RESINADA, 2 UTILIZAÇÕES. AF_11/2020</t>
  </si>
  <si>
    <t>MONTAGEM E DESMONTAGEM DE FÔRMA PARA ESCADAS, COM 1 LANCE E LAJE CASCATA, EM CHAPA DE MADEIRA COMPENSADA RESINADA, 4 UTILIZAÇÕES. AF_11/2020</t>
  </si>
  <si>
    <t>MONTAGEM E DESMONTAGEM DE FÔRMA PARA ESCADAS, COM 1 LANCE E LAJE CASCATA, EM CHAPA DE MADEIRA COMPENSADA PLASTIFICADA, 6 UTILIZAÇÕES. AF_11/2020</t>
  </si>
  <si>
    <t>MONTAGEM E DESMONTAGEM DE FÔRMA PARA ESCADAS, COM 1 LANCE E LAJE CASCATA, EM CHAPA DE MADEIRA COMPENSADA PLASTIFICADA, 8 UTILIZAÇÕES. AF_11/2020</t>
  </si>
  <si>
    <t>MONTAGEM E DESMONTAGEM DE FÔRMA PARA ESCADAS, COM 1 LANCE E LAJE CASCATA, EM CHAPA DE MADEIRA COMPENSADA PLASTIFICADA, 10 UTILIZAÇÕES. AF_11/2020</t>
  </si>
  <si>
    <t>MONTAGEM E DESMONTAGEM DE FÔRMA PARA ESCADA DUPLA COM 2 LANCES EM "X" E LAJE PLANA, EM MADEIRA SERRADA, 1 UTILIZAÇÃO. AF_11/2020</t>
  </si>
  <si>
    <t>MONTAGEM E DESMONTAGEM DE FÔRMA PARA ESCADA DUPLA COM 2 LANCES EM "X" E LAJE PLANA, EM MADEIRA SERRADA, 2 UTILIZAÇÕES. AF_11/2020</t>
  </si>
  <si>
    <t>MONTAGEM E DESMONTAGEM DE FÔRMA PARA ESCADA DUPLA COM 2 LANCES EM "X" E LAJE PLANA, EM CHAPA DE MADEIRA COMPENSADA RESINADA, 2 UTILIZAÇÕES. AF_11/2020</t>
  </si>
  <si>
    <t>MONTAGEM E DESMONTAGEM DE FÔRMA PARA ESCADA DUPLA COM 2 LANCES EM "X" E LAJE PLANA, EM CHAPA DE MADEIRA COMPENSADA RESINADA, 4 UTILIZAÇÕES. AF_11/2020</t>
  </si>
  <si>
    <t>MONTAGEM E DESMONTAGEM DE FÔRMA PARA ESCADA DUPLA COM 2 LANCES EM "X" E LAJE PLANA, EM CHAPA DE MADEIRA COMPENSADA PLASTIFICADA, 6 UTILIZAÇÕES. AF_11/2020</t>
  </si>
  <si>
    <t>MONTAGEM E DESMONTAGEM DE FÔRMA PARA ESCADA DUPLA COM 2 LANCES EM "X" E LAJE PLANA, EM CHAPA DE MADEIRA COMPENSADA PLASTIFICADA, 8 UTILIZAÇÕES. AF_11/2020</t>
  </si>
  <si>
    <t>MONTAGEM E DESMONTAGEM DE FÔRMA PARA ESCADA DUPLA COM 2 LANCES EM "X" E LAJE PLANA, EM CHAPA DE MADEIRA COMPENSADA PLASTIFICADA, 10 UTILIZAÇÕES. AF_11/2020</t>
  </si>
  <si>
    <t>MONTAGEM E DESMONTAGEM DE FÔRMA PARA ESCADA DUPLA COM 2 LANCES EM "X" E LAJE CASCATA, EM MADEIRA SERRADA, 1 UTILIZAÇÃO. AF_11/2020</t>
  </si>
  <si>
    <t>MONTAGEM E DESMONTAGEM DE FÔRMA PARA ESCADA DUPLA COM 2 LANCES EM "X" E LAJE CASCATA, EM MADEIRA SERRADA, 2 UTILIZAÇÕES. AF_11/2020</t>
  </si>
  <si>
    <t>MONTAGEM E DESMONTAGEM DE FÔRMA PARA ESCADA DUPLA COM 2 LANCES EM "X" E LAJE CASCATA, EM CHAPA DE MADEIRA COMPENSADA RESINADA, 2 UTILIZAÇÕES. AF_11/2020</t>
  </si>
  <si>
    <t>MONTAGEM E DESMONTAGEM DE FÔRMA PARA ESCADA DUPLA COM 2 LANCES EM "X" E LAJE CASCATA, EM CHAPA DE MADEIRA COMPENSADA RESINADA, 4 UTILIZAÇÕES. AF_11/2020</t>
  </si>
  <si>
    <t>MONTAGEM E DESMONTAGEM DE FÔRMA PARA ESCADA DUPLA COM 2 LANCES EM "X" E LAJE CASCATA, EM CHAPA DE MADEIRA COMPENSADA PLASTIFICADA, 6 UTILIZAÇÕES. AF_11/2020</t>
  </si>
  <si>
    <t>MONTAGEM E DESMONTAGEM DE FÔRMA PARA ESCADA DUPLA COM 2 LANCES EM "X" E LAJE CASCATA, EM CHAPA DE MADEIRA COMPENSADA PLASTIFICADA, 8 UTILIZAÇÕES. AF_11/2020</t>
  </si>
  <si>
    <t>MONTAGEM E DESMONTAGEM DE FÔRMA PARA ESCADA DUPLA COM 2 LANCES EM "X" E LAJE CASCATA, EM CHAPA DE MADEIRA COMPENSADA PLASTIFICADA, 10 UTILIZAÇÕES. AF_11/2020</t>
  </si>
  <si>
    <t>FABRICAÇÃO DE FÔRMA PARA ESCADA DUPLA COM 2 LANCES EM "X" E LAJE PLANA, EM CHAPA DE MADEIRA COMPENSADA PLASTIFICADA, E=18 MM. AF_11/2020</t>
  </si>
  <si>
    <t>FABRICAÇÃO DE FÔRMA PARA ESCADA DUPLA COM 2 LANCES EM "X" E LAJE PLANA, EM CHAPA DE MADEIRA COMPENSADA RESINADA, E= 17 MM. AF_11/2020</t>
  </si>
  <si>
    <t>FABRICAÇÃO DE FÔRMA PARA ESCADA DUPLA COM 2 LANCES EM "X" E LAJE CASCATA, EM CHAPA DE MADEIRA COMPENSADA PLASTIFICADA, E=18 MM. AF_11/2020</t>
  </si>
  <si>
    <t>FABRICAÇÃO DE FÔRMA PARA ESCADA DUPLA COM 2 LANCES EM "X" E LAJE CASCATA, EM CHAPA DE MADEIRA COMPENSADA RESINADA, E= 17 MM. AF_11/2020</t>
  </si>
  <si>
    <t>MONTAGEM E DESMONTAGEM DE FÔRMA DE LAJE MACIÇA, PÉ-DIREITO SIMPLES, EM CHAPA DE MADEIRA COMPENSADA RESINADA E CIMBRAMENTO DE MADEIRA, 2 UTILIZAÇÕES. AF_03/2022</t>
  </si>
  <si>
    <t>MONTAGEM E DESMONTAGEM DE FÔRMA DE LAJE MACIÇA, PÉ-DIREITO SIMPLES, EM CHAPA DE MADEIRA COMPENSADA RESINADA E CIMBRAMENTO DE MADEIRA, 4 UTILIZAÇÕES. AF_03/2022</t>
  </si>
  <si>
    <t>MONTAGEM E DESMONTAGEM DE FÔRMA DE LAJE MACIÇA, PÉ-DIREITO SIMPLES, EM CHAPA DE MADEIRA COMPENSADA RESINADA E CIMBRAMENTO DE MADEIRA, 6 UTILIZAÇÕES. AF_03/2022</t>
  </si>
  <si>
    <t>MONTAGEM E DESMONTAGEM DE FÔRMA DE LAJE MACIÇA, PÉ-DIREITO SIMPLES, EM CHAPA DE MADEIRA COMPENSADA RESINADA E CIMBRAMENTO DE MADEIRA, 8 UTILIZAÇÕES. AF_03/2022</t>
  </si>
  <si>
    <t>ARMAÇÃO VERTICAL DE ALVENARIA ESTRUTURAL; DIÂMETRO DE 10,0 MM. AF_09/2021</t>
  </si>
  <si>
    <t>ARMAÇÃO VERTICAL DE ALVENARIA ESTRUTURAL; DIÂMETRO DE 12,5 MM. AF_09/2021</t>
  </si>
  <si>
    <t>ARMAÇÃO DE CINTA DE ALVENARIA ESTRUTURAL; DIÂMETRO DE 10,0 MM. AF_09/2021</t>
  </si>
  <si>
    <t>ARMAÇÃO DE VERGA E CONTRAVERGA DE ALVENARIA ESTRUTURAL; DIÂMETRO DE 8,0 MM. AF_09/2021</t>
  </si>
  <si>
    <t>ARMAÇÃO DE VERGA E CONTRAVERGA DE ALVENARIA ESTRUTURAL; DIÂMETRO DE 10,0 MM. AF_09/2021</t>
  </si>
  <si>
    <t>ARMAÇÃO DE PILAR OU VIGA DE ESTRUTURA CONVENCIONAL DE CONCRETO ARMADO UTILIZANDO AÇO CA-60 DE 5,0 MM - MONTAGEM. AF_06/2022</t>
  </si>
  <si>
    <t>ARMAÇÃO DE PILAR OU VIGA DE ESTRUTURA CONVENCIONAL DE CONCRETO ARMADO UTILIZANDO AÇO CA-50 DE 6,3 MM - MONTAGEM. AF_06/2022</t>
  </si>
  <si>
    <t>ARMAÇÃO DE PILAR OU VIGA DE ESTRUTURA CONVENCIONAL DE CONCRETO ARMADO UTILIZANDO AÇO CA-50 DE 8,0 MM - MONTAGEM. AF_06/2022</t>
  </si>
  <si>
    <t>ARMAÇÃO DE PILAR OU VIGA DE ESTRUTURA CONVENCIONAL DE CONCRETO ARMADO UTILIZANDO AÇO CA-50 DE 10,0 MM - MONTAGEM. AF_06/2022</t>
  </si>
  <si>
    <t>ARMAÇÃO DE PILAR OU VIGA DE ESTRUTURA CONVENCIONAL DE CONCRETO ARMADO UTILIZANDO AÇO CA-50 DE 12,5 MM - MONTAGEM. AF_06/2022</t>
  </si>
  <si>
    <t>ARMAÇÃO DE PILAR OU VIGA DE ESTRUTURA CONVENCIONAL DE CONCRETO ARMADO UTILIZANDO AÇO CA-50 DE 16,0 MM - MONTAGEM. AF_06/2022</t>
  </si>
  <si>
    <t>ARMAÇÃO DE PILAR OU VIGA DE ESTRUTURA CONVENCIONAL DE CONCRETO ARMADO UTILIZANDO AÇO CA-50 DE 20,0 MM - MONTAGEM. AF_06/2022</t>
  </si>
  <si>
    <t>ARMAÇÃO DE PILAR OU VIGA DE ESTRUTURA CONVENCIONAL DE CONCRETO ARMADO UTILIZANDO AÇO CA-50 DE 25,0 MM - MONTAGEM. AF_06/2022</t>
  </si>
  <si>
    <t>ARMAÇÃO DE LAJE DE ESTRUTURA CONVENCIONAL DE CONCRETO ARMADO UTILIZANDO AÇO CA-60 DE 4,2 MM - MONTAGEM. AF_06/2022</t>
  </si>
  <si>
    <t>ARMAÇÃO DE LAJE DE ESTRUTURA CONVENCIONAL DE CONCRETO ARMADO UTILIZANDO AÇO CA-60 DE 5,0 MM - MONTAGEM. AF_06/2022</t>
  </si>
  <si>
    <t>ARMAÇÃO DE LAJE DE ESTRUTURA CONVENCIONAL DE CONCRETO ARMADO UTILIZANDO AÇO CA-50 DE 6,3 MM - MONTAGEM. AF_06/2022</t>
  </si>
  <si>
    <t>ARMAÇÃO DE LAJE DE ESTRUTURA CONVENCIONAL DE CONCRETO ARMADO UTILIZANDO AÇO CA-50 DE 8,0 MM - MONTAGEM. AF_06/2022</t>
  </si>
  <si>
    <t>ARMAÇÃO DE LAJE DE ESTRUTURA CONVENCIONAL DE CONCRETO ARMADO UTILIZANDO AÇO CA-50 DE 10,0 MM - MONTAGEM. AF_06/2022</t>
  </si>
  <si>
    <t>ARMAÇÃO DE LAJE DE ESTRUTURA CONVENCIONAL DE CONCRETO ARMADO UTILIZANDO AÇO CA-50 DE 12,5 MM - MONTAGEM. AF_06/2022</t>
  </si>
  <si>
    <t>ARMAÇÃO DE LAJE DE ESTRUTURA CONVENCIONAL DE CONCRETO ARMADO UTILIZANDO AÇO CA-50 DE 16,0 MM - MONTAGEM. AF_06/2022</t>
  </si>
  <si>
    <t>ARMAÇÃO DE LAJE DE ESTRUTURA CONVENCIONAL DE CONCRETO ARMADO UTILIZANDO AÇO CA-50 DE 20,0 MM - MONTAGEM. AF_06/2022</t>
  </si>
  <si>
    <t>CORTE E DOBRA DE AÇO CA-50, DIÂMETRO DE 25,0 MM. AF_06/2022</t>
  </si>
  <si>
    <t>CORTE E DOBRA DE AÇO CA-60, DIÂMETRO DE 4,2 MM. AF_06/2022</t>
  </si>
  <si>
    <t>CORTE E DOBRA DE AÇO CA-60, DIÂMETRO DE 5,0 MM. AF_06/2022</t>
  </si>
  <si>
    <t>CORTE E DOBRA DE AÇO CA-50, DIÂMETRO DE 6,3 MM. AF_06/2022</t>
  </si>
  <si>
    <t>CORTE E DOBRA DE AÇO CA-50, DIÂMETRO DE 8,0 MM. AF_06/2022</t>
  </si>
  <si>
    <t>CORTE E DOBRA DE AÇO CA-50, DIÂMETRO DE 10,0 MM. AF_06/2022</t>
  </si>
  <si>
    <t>CORTE E DOBRA DE AÇO CA-50, DIÂMETRO DE 12,5 MM. AF_06/2022</t>
  </si>
  <si>
    <t>CORTE E DOBRA DE AÇO CA-50, DIÂMETRO DE 16,0 MM. AF_06/2022</t>
  </si>
  <si>
    <t>CORTE E DOBRA DE AÇO CA-50, DIÂMETRO DE 20,0 MM. AF_06/2022</t>
  </si>
  <si>
    <t>CORTE E DOBRA DE AÇO CA-25, DIÂMETRO DE 6,3 MM. AF_06/2022</t>
  </si>
  <si>
    <t>CORTE E DOBRA DE AÇO CA-25, DIÂMETRO DE 8,0 MM. AF_06/2022</t>
  </si>
  <si>
    <t>CORTE E DOBRA DE AÇO CA-25, DIÂMETRO DE 10,0 MM. AF_06/2022</t>
  </si>
  <si>
    <t>CORTE E DOBRA DE AÇO CA-25, DIÂMETRO DE 12,5 MM. AF_06/2022</t>
  </si>
  <si>
    <t>CORTE E DOBRA DE AÇO CA-25, DIÂMETRO DE 16,0 MM. AF_06/2022</t>
  </si>
  <si>
    <t>CORTE E DOBRA DE AÇO CA-25, DIÂMETRO DE 20,0 MM. AF_06/2022</t>
  </si>
  <si>
    <t>CORTE E DOBRA DE AÇO CA-25, DIÂMETRO DE 25,0 MM. AF_06/2022</t>
  </si>
  <si>
    <t>ARMAÇÃO UTILIZANDO AÇO CA-25 DE 6,3 MM - MONTAGEM. AF_06/2022</t>
  </si>
  <si>
    <t>ARMAÇÃO UTILIZANDO AÇO CA-25 DE 8,0 MM - MONTAGEM. AF_06/2022</t>
  </si>
  <si>
    <t>ARMAÇÃO UTILIZANDO AÇO CA-25 DE 10,0 MM - MONTAGEM. AF_06/2022</t>
  </si>
  <si>
    <t>ARMAÇÃO UTILIZANDO AÇO CA-25 DE 12,5 MM - MONTAGEM. AF_06/2022</t>
  </si>
  <si>
    <t>ARMAÇÃO UTILIZANDO AÇO CA-25 DE 16,0 MM - MONTAGEM. AF_06/2022</t>
  </si>
  <si>
    <t>ARMAÇÃO UTILIZANDO AÇO CA-25 DE 20,0 MM - MONTAGEM. AF_06/2022</t>
  </si>
  <si>
    <t>ARMAÇÃO UTILIZANDO AÇO CA-25 DE 25,0 MM - MONTAGEM. AF_06/2022</t>
  </si>
  <si>
    <t>ARMAÇÃO DE ESTRUTURAS DIVERSAS DE CONCRETO ARMADO, EXCETO VIGAS, PILARES, LAJES E FUNDAÇÕES, UTILIZANDO AÇO CA-60 DE 5,0 MM - MONTAGEM. AF_06/2022</t>
  </si>
  <si>
    <t>ARMAÇÃO DE ESTRUTURAS DIVERSAS DE CONCRETO ARMADO, EXCETO VIGAS, PILARES, LAJES E FUNDAÇÕES, UTILIZANDO AÇO CA-50 DE 6,3 MM - MONTAGEM. AF_06/2022</t>
  </si>
  <si>
    <t>ARMAÇÃO DE ESTRUTURAS DIVERSAS DE CONCRETO ARMADO, EXCETO VIGAS, PILARES, LAJES E FUNDAÇÕES, UTILIZANDO AÇO CA-50 DE 8,0 MM - MONTAGEM. AF_06/2022</t>
  </si>
  <si>
    <t>ARMAÇÃO DE ESTRUTURAS DIVERSAS DE CONCRETO ARMADO, EXCETO VIGAS, PILARES, LAJES E FUNDAÇÕES, UTILIZANDO AÇO CA-50 DE 10,0 MM - MONTAGEM. AF_06/2022</t>
  </si>
  <si>
    <t>ARMAÇÃO DE ESTRUTURAS DIVERSAS DE CONCRETO ARMADO, EXCETO VIGAS, PILARES, LAJES E FUNDAÇÕES, UTILIZANDO AÇO CA-50 DE 12,5 MM - MONTAGEM. AF_06/2022</t>
  </si>
  <si>
    <t>ARMAÇÃO DE ESTRUTURAS DIVERSAS DE CONCRETO ARMADO, EXCETO VIGAS, PILARES, LAJES E FUNDAÇÕES, UTILIZANDO AÇO CA-50 DE 16,0 MM - MONTAGEM. AF_06/2022</t>
  </si>
  <si>
    <t>ARMAÇÃO DE ESTRUTURAS DIVERSAS DE CONCRETO ARMADO, EXCETO VIGAS, PILARES, LAJES E FUNDAÇÕES, UTILIZANDO AÇO CA-50 DE 20,0 MM - MONTAGEM. AF_06/2022</t>
  </si>
  <si>
    <t>ARMAÇÃO DE ESTRUTURAS DIVERSAS DE CONCRETO ARMADO, EXCETO VIGAS, PILARES, LAJES E FUNDAÇÕES, UTILIZANDO AÇO CA-50 DE 25,0 MM - MONTAGEM. AF_06/2022</t>
  </si>
  <si>
    <t>MONTAGEM DE ARMADURA DE ESTACAS, DIÂMETRO = 8,0 MM. AF_09/2021_PS</t>
  </si>
  <si>
    <t>MONTAGEM DE ARMADURA DE ESTACAS, DIÂMETRO = 10,0 MM. AF_09/2021_PS</t>
  </si>
  <si>
    <t>MONTAGEM DE ARMADURA DE ESTACAS, DIÂMETRO = 12,5 MM. AF_09/2021_PS</t>
  </si>
  <si>
    <t>MONTAGEM DE ARMADURA DE ESTACAS, DIÂMETRO = 16,0 MM. AF_09/2021_PS</t>
  </si>
  <si>
    <t>MONTAGEM DE ARMADURA DE ESTACAS, DIÂMETRO = 20,0 MM. AF_09/2021_PS</t>
  </si>
  <si>
    <t>MONTAGEM DE ARMADURA DE ESTACAS, DIÂMETRO = 25,0 MM. AF_09/2021_PS</t>
  </si>
  <si>
    <t>MONTAGEM DE ARMADURA DE ESTACAS, DIÂMETRO = 32,0 MM. AF_09/2021_PS</t>
  </si>
  <si>
    <t>MONTAGEM DE ARMADURA TRANSVERSAL DE ESTACAS DE SEÇÃO CIRCULAR, DIÂMETRO = 5,0 MM. AF_09/2021_PS</t>
  </si>
  <si>
    <t>MONTAGEM DE ARMADURA TRANSVERSAL DE ESTACAS DE SEÇÃO CIRCULAR, DIÂMETRO = 6,30 MM. AF_09/2021_PS</t>
  </si>
  <si>
    <t>MONTAGEM DE ARMADURA TRANVERSAL DE ESTACAS DE SEÇÃO RETANGULAR, DIÂMETRO = 5,0 MM. AF_09/2021_PS</t>
  </si>
  <si>
    <t>MONTAGEM DE ARMADURA TRANSVERSAL DE ESTACAS DE SEÇÃO RETANGULAR, DIÂMETRO = 6,30 MM. AF_09/2021_PS</t>
  </si>
  <si>
    <t>ARMAÇÃO DE ESCADA, DE UMA ESTRUTURA CONVENCIONAL DE CONCRETO ARMADO UTILIZANDO AÇO CA-60 DE 5,0 MM - MONTAGEM. AF_11/2020</t>
  </si>
  <si>
    <t>ARMAÇÃO DE ESCADA, DE UMA ESTRUTURA CONVENCIONAL DE CONCRETO ARMADO UTILIZANDO AÇO CA-50 DE 6,3 MM - MONTAGEM. AF_11/2020</t>
  </si>
  <si>
    <t>ARMAÇÃO DE ESCADA, DE UMA ESTRUTURA CONVENCIONAL DE CONCRETO ARMADO UTILIZANDO AÇO CA-50 DE 8,0 MM - MONTAGEM. AF_11/2020</t>
  </si>
  <si>
    <t>ARMAÇÃO DE ESCADA, DE UMA ESTRUTURA CONVENCIONAL DE CONCRETO ARMADO UTILIZANDO AÇO CA-50 DE 10,0 MM - MONTAGEM. AF_11/2020</t>
  </si>
  <si>
    <t>ARMAÇÃO DE ESCADA, DE UMA ESTRUTURA CONVENCIONAL DE CONCRETO ARMADO UTILIZANDO AÇO CA-50 DE 12,5 MM - MONTAGEM. AF_11/2020</t>
  </si>
  <si>
    <t>ARMAÇÃO DE ESCADA, DE UMA ESTRUTURA CONVENCIONAL DE CONCRETO ARMADO UTILIZANDO AÇO CA-50 DE 16,0 MM - MONTAGEM. AF_11/2020</t>
  </si>
  <si>
    <t>ARMAÇÃO DE CINTA DE ALVENARIA ESTRUTURAL; DIÂMETRO DE 12,5 MM. AF_09/2021</t>
  </si>
  <si>
    <t>ARMAÇÃO VERTICAL DE ALVENARIA ESTRUTURAL; DIÂMETRO DE 16,0 MM. AF_09/2021</t>
  </si>
  <si>
    <t>ARMAÇÃO DE VERGA E CONTRAVERGA DE ALVENARIA ESTRUTURAL; DIÂMETRO DE 16,0 MM. AF_09/2021</t>
  </si>
  <si>
    <t>ARMAÇÃO DE CINTA DE ALVENARIA ESTRUTURAL; DIÂMETRO DE 16,0 MM. AF_09/2021</t>
  </si>
  <si>
    <t>ARMAÇÃO DE VERGA E CONTRAVERGA DE ALVENARIA ESTRUTURAL; DIÂMETRO DE 12,5 MM. AF_09/2021</t>
  </si>
  <si>
    <t>ARMAÇÃO DE ESTRUTURAS DIVERSAS DE CONCRETO ARMADO, EXCETO VIGAS, PILARES, LAJES E FUNDAÇÕES, UTILIZANDO AÇO CA-50 DE 32,0 MM - MONTAGEM. AF_06/2022</t>
  </si>
  <si>
    <t>ARMAÇÃO DE PILAR OU VIGA DE ESTRUTURA CONVENCIONAL DE CONCRETO ARMADO UTILIZANDO AÇO CA-50 DE 32,0 MM. AF_06/2022</t>
  </si>
  <si>
    <t>ARMAÇÃO DE PILAR OU VIGA DE ESTRUTURA DE CONCRETO ARMADO EMBUTIDA EM ALVENARIA DE VEDAÇÃO UTILIZANDO AÇO CA-50 DE 16,0 MM - MONTAGEM. AF_06/2022</t>
  </si>
  <si>
    <t>ARMAÇÃO DE PILAR OU VIGA DE ESTRUTURA DE CONCRETO ARMADO EMBUTIDA EM ALVENARIA DE VEDAÇÃO UTILIZANDO AÇO CA-50 DE 12,5 MM - MONTAGEM. AF_06/2022</t>
  </si>
  <si>
    <t>ARMAÇÃO DE PILAR OU VIGA DE ESTRUTURA DE CONCRETO ARMADO EMBUTIDA EM ALVENARIA DE VEDAÇÃO UTILIZANDO AÇO CA-50 DE 10,0 MM - MONTAGEM. AF_06/2022</t>
  </si>
  <si>
    <t>ARMAÇÃO DE PILAR OU VIGA DE ESTRUTURA DE CONCRETO ARMADO EMBUTIDA EM ALVENARIA DE VEDAÇÃO UTILIZANDO AÇO CA-50 DE 8,0 MM - MONTAGEM. AF_06/2022</t>
  </si>
  <si>
    <t>ARMAÇÃO DE PILAR OU VIGA DE ESTRUTURA DE CONCRETO ARMADO EMBUTIDA EM ALVENARIA DE VEDAÇÃO UTILIZANDO AÇO CA-50 DE 6,3 MM - MONTAGEM. AF_06/2022</t>
  </si>
  <si>
    <t>ARMAÇÃO DE PILAR OU VIGA DE ESTRUTURA DE CONCRETO ARMADO EMBUTIDA EM ALVENARIA DE VEDAÇÃO UTILIZANDO AÇO CA-60 DE 5,0 MM - MONTAGEM. AF_06/2022</t>
  </si>
  <si>
    <t>GRAUTEAMENTO VERTICAL EM ALVENARIA ESTRUTURAL. AF_09/2021</t>
  </si>
  <si>
    <t>GRAUTEAMENTO DE CINTA INTERMEDIÁRIA OU DE CONTRAVERGA EM ALVENARIA ESTRUTURAL. AF_09/2021</t>
  </si>
  <si>
    <t>GRAUTEAMENTO DE CINTA SUPERIOR OU DE VERGA EM ALVENARIA ESTRUTURAL. AF_09/2021</t>
  </si>
  <si>
    <t>GRAUTE FGK=15 MPA; TRAÇO 1:0,04:2,2:2,5 (EM MASSA SECA DE CIMENTO/CAL/AREIA GROSSA/BRITA 0) - PREPARO MECÂNICO COM BETONEIRA 400 L. AF_09/2021</t>
  </si>
  <si>
    <t>GRAUTE FGK=20 MPA; TRAÇO 1:0,04:1,8:2,1 (EM MASSA SECA DE CIMENTO/ CAL/ AREIA GROSSA/ BRITA 0) - PREPARO MECÂNICO COM BETONEIRA 400 L. AF_09/2021</t>
  </si>
  <si>
    <t>GRAUTE FGK=25 MPA; TRAÇO 1:0,02:1,3:1,6 (EM MASSA SECA DE CIMENTO/ CAL/ AREIA GROSSA/ BRITA 0) - PREPARO MECÂNICO COM BETONEIRA 400 L. AF_09/2021</t>
  </si>
  <si>
    <t>GRAUTE FGK=30 MPA; TRAÇO 1:0,02:0,9:1,2 (EM MASSA SECA DE CIMENTO/ CAL/ AREIA GROSSA/ BRITA 0) - PREPARO MECÂNICO COM BETONEIRA 400 L. AF_09/2021</t>
  </si>
  <si>
    <t>GRAUTE FGK=15 MPA; TRAÇO 1:2,2:2,5:0,3 (EM MASSA SECA DE CIMENTO/ AREIA GROSSA/ BRITA 0/ ADITIVO) - PREPARO MECÂNICO COM BETONEIRA 400 L. AF_09/2021</t>
  </si>
  <si>
    <t>GRAUTE FGK=20 MPA; TRAÇO 1:1,8:2,1:0,4 (EM MASSA SECA DE CIMENTO/ AREIA GROSSA/ BRITA 0/ ADITIVO) - PREPARO MECÂNICO COM BETONEIRA 400 L. AF_09/2021</t>
  </si>
  <si>
    <t>GRAUTE FGK=25 MPA; TRAÇO 1:1,3:1,6:0,4 (EM MASSA SECA DE CIMENTO/ AREIA GROSSA/ BRITA 0/ ADITIVO) - PREPARO MECÂNICO COM BETONEIRA 400 L. AF_09/2021</t>
  </si>
  <si>
    <t>GRAUTE FGK=30 MPA; TRAÇO 1:0,9:1,2:0,6 (EM MASSA SECA DE CIMENTO/ AREIA GROSSA/ BRITA 0/ ADITIVO) - PREPARO MECÂNICO COM BETONEIRA 400 L. AF_09/2021</t>
  </si>
  <si>
    <t>CONCRETO MAGRO PARA LASTRO, TRAÇO 1:4,5:4,5 (EM MASSA SECA DE CIMENTO/ AREIA MÉDIA/ BRITA 1) - PREPARO MECÂNICO COM BETONEIRA 400 L. AF_05/2021</t>
  </si>
  <si>
    <t>CONCRETO FCK = 15MPA, TRAÇO 1:3,4:3,5 (EM MASSA SECA DE CIMENTO/ AREIA MÉDIA/ BRITA 1) - PREPARO MECÂNICO COM BETONEIRA 400 L. AF_05/2021</t>
  </si>
  <si>
    <t>CONCRETO FCK = 20MPA, TRAÇO 1:2,7:3 (EM MASSA SECA DE CIMENTO/ AREIA MÉDIA/ BRITA 1) - PREPARO MECÂNICO COM BETONEIRA 400 L. AF_05/2021</t>
  </si>
  <si>
    <t>CONCRETO FCK = 25MPA, TRAÇO 1:2,3:2,7 (EM MASSA SECA DE CIMENTO/ AREIA MÉDIA/ BRITA 1) - PREPARO MECÂNICO COM BETONEIRA 400 L. AF_05/2021</t>
  </si>
  <si>
    <t>CONCRETO FCK = 30MPA, TRAÇO 1:2,1:2,5 (EM MASSA SECA DE CIMENTO/ AREIA MÉDIA/ BRITA 1) - PREPARO MECÂNICO COM BETONEIRA 400 L. AF_05/2021</t>
  </si>
  <si>
    <t>CONCRETO FCK = 40MPA, TRAÇO 1:1,6:1,9 (EM MASSA SECA DE CIMENTO/ AREIA MÉDIA/ BRITA 1) - PREPARO MECÂNICO COM BETONEIRA 400 L. AF_05/2021</t>
  </si>
  <si>
    <t>CONCRETO MAGRO PARA LASTRO, TRAÇO 1:4,5:4,5 (EM MASSA SECA DE CIMENTO/ AREIA MÉDIA/ BRITA 1) - PREPARO MECÂNICO COM BETONEIRA 600 L. AF_05/2021</t>
  </si>
  <si>
    <t>CONCRETO FCK = 15MPA, TRAÇO 1:3,4:3,5 (EM MASSA SECA DE CIMENTO/ AREIA MÉDIA/ BRITA 1) - PREPARO MECÂNICO COM BETONEIRA 600 L. AF_05/2021</t>
  </si>
  <si>
    <t>CONCRETO FCK = 20MPA, TRAÇO 1:2,7:3 (EM MASSA SECA DE CIMENTO/ AREIA MÉDIA/ BRITA 1) - PREPARO MECÂNICO COM BETONEIRA 600 L. AF_05/2021</t>
  </si>
  <si>
    <t>CONCRETO FCK = 25MPA, TRAÇO 1:2,3:2,7 (EM MASSA SECA DE CIMENTO/ AREIA MÉDIA/ BRITA 1) - PREPARO MECÂNICO COM BETONEIRA 600 L. AF_05/2021</t>
  </si>
  <si>
    <t>CONCRETO FCK = 30MPA, TRAÇO 1:2,1:2,5 (EM MASSA SECA DE CIMENTO/ AREIA MÉDIA/ BRITA 1) - PREPARO MECÂNICO COM BETONEIRA 600 L. AF_05/2021</t>
  </si>
  <si>
    <t>CONCRETO FCK = 40MPA, TRAÇO 1:1,6:1,9 (EM MASSA SECA DE CIMENTO/ AREIA MÉDIA/ BRITA 1) - PREPARO MECÂNICO COM BETONEIRA 600 L. AF_05/2021</t>
  </si>
  <si>
    <t>CONCRETO MAGRO PARA LASTRO, TRAÇO 1:4,5:4,5 (EM MASSA SECA DE CIMENTO/ AREIA MÉDIA/ BRITA 1) - PREPARO MANUAL. AF_05/2021</t>
  </si>
  <si>
    <t>CONCRETO FCK = 15MPA, TRAÇO 1:3,4:3,5 (EM MASSA SECA DE CIMENTO/ AREIA MÉDIA/ BRITA 1) - PREPARO MANUAL. AF_05/2021</t>
  </si>
  <si>
    <t>CONCRETO MAGRO PARA LASTRO, TRAÇO 1:4,5:4,5 (EM MASSA SECA DE CIMENTO/ AREIA MÉDIA/ SEIXO ROLADO) - PREPARO MECÂNICO COM BETONEIRA 400 L. AF_05/2021</t>
  </si>
  <si>
    <t>CONCRETO FCK = 15MPA, TRAÇO 1:3,4:3,4 (EM MASSA SECA DE CIMENTO/ AREIA MÉDIA/ SEIXO ROLADO) - PREPARO MECÂNICO COM BETONEIRA 400 L. AF_05/2021</t>
  </si>
  <si>
    <t>CONCRETO FCK = 20MPA, TRAÇO 1:2,6:2,9 (EM MASSA SECA DE CIMENTO/ AREIA MÉDIA/ SEIXO ROLADO) - PREPARO MECÂNICO COM BETONEIRA 400 L. AF_05/2021</t>
  </si>
  <si>
    <t>CONCRETO FCK = 25MPA, TRAÇO 1:2,2:2,5 (EM MASSA SECA DE CIMENTO/ AREIA MÉDIA/ SEIXO ROLADO) - PREPARO MECÂNICO COM BETONEIRA 400 L. AF_05/2021</t>
  </si>
  <si>
    <t>CONCRETO FCK = 30MPA, TRAÇO 1:1,9:2,3 (EM MASSA SECA DE CIMENTO/ AREIA MÉDIA/ SEIXO ROLADO) - PREPARO MECÂNICO COM BETONEIRA 400 L. AF_05/2021</t>
  </si>
  <si>
    <t>CONCRETO FCK = 40MPA, TRAÇO 1:1,4:1,8 (EM MASSA SECA DE CIMENTO/ AREIA MÉDIA/ SEIXO ROLADO) - PREPARO MECÂNICO COM BETONEIRA 400 L. AF_05/2021</t>
  </si>
  <si>
    <t>CONCRETO MAGRO PARA LASTRO, TRAÇO 1:4,5:4,5 (EM MASSA SECA DE CIMENTO/ AREIA MÉDIA/ SEIXO ROLADO) - PREPARO MECÂNICO COM BETONEIRA 600 L. AF_05/2021</t>
  </si>
  <si>
    <t>CONCRETO FCK = 15MPA, TRAÇO 1:3,4:3,4 (EM MASSA SECA DE CIMENTO/ AREIA MÉDIA/ SEIXO ROLADO) - PREPARO MECÂNICO COM BETONEIRA 600 L. AF_05/2021</t>
  </si>
  <si>
    <t>CONCRETO FCK = 20MPA, TRAÇO 1:2,6:2,9 (EM MASSA SECA DE CIMENTO/ AREIA MÉDIA/ SEIXO ROLADO) - PREPARO MECÂNICO COM BETONEIRA 600 L. AF_05/2021</t>
  </si>
  <si>
    <t>CONCRETO FCK = 25MPA, TRAÇO 1:2,2:2,5 (EM MASSA SECA DE CIMENTO/ AREIA MÉDIA/ SEIXO ROLADO) - PREPARO MECÂNICO COM BETONEIRA 600 L. AF_05/2021</t>
  </si>
  <si>
    <t>CONCRETO FCK = 30MPA, TRAÇO 1:1,9:2,3 (EM MASSA SECA DE CIMENTO/ AREIA MÉDIA/ SEIXO ROLADO) - PREPARO MECÂNICO COM BETONEIRA 600 L. AF_05/2021</t>
  </si>
  <si>
    <t>CONCRETO FCK = 40MPA, TRAÇO 1:1,4:1,8 (EM MASSA SECA DE CIMENTO/ AREIA MÉDIA/ SEIXO ROLADO) - PREPARO MECÂNICO COM BETONEIRA 600 L. AF_05/2021</t>
  </si>
  <si>
    <t>CONCRETO MAGRO PARA LASTRO, TRAÇO 1:4,5:4,5 (EM MASSA SECA DE CIMENTO/ AREIA MÉDIA/ SEIXO ROLADO) - PREPARO MANUAL. AF_05/2021</t>
  </si>
  <si>
    <t>CONCRETO FCK = 15MPA, TRAÇO 1:3,4:3,4 (EM MASSA SECA DE CIMENTO/ AREIA MÉDIA/ SEIXO ROLADO) - PREPARO MANUAL. AF_05/2021</t>
  </si>
  <si>
    <t>CONCRETO CICLÓPICO FCK = 15MPA, 30% PEDRA DE MÃO EM VOLUME REAL, INCLUSIVE LANÇAMENTO. AF_05/2021</t>
  </si>
  <si>
    <t>LANÇAMENTO COM USO DE BALDES, ADENSAMENTO E ACABAMENTO DE CONCRETO EM ESTRUTURAS. AF_02/2022</t>
  </si>
  <si>
    <t>CONCRETAGEM DE PILARES, FCK = 25 MPA, COM USO DE GRUA - LANÇAMENTO, ADENSAMENTO E ACABAMENTO. AF_02/2022</t>
  </si>
  <si>
    <t>CONCRETAGEM DE PILARES, FCK = 25 MPA, COM USO DE BOMBA - LANÇAMENTO, ADENSAMENTO E ACABAMENTO. AF_02/2022_PS</t>
  </si>
  <si>
    <t>LANÇAMENTO COM USO DE BOMBA, ADENSAMENTO E ACABAMENTO DE CONCRETO EM ESTRUTURAS. AF_02/2022</t>
  </si>
  <si>
    <t>CONCRETAGEM DE VIGAS E LAJES, FCK=25 MPA, PARA LAJES PREMOLDADAS COM USO DE BOMBA - LANÇAMENTO, ADENSAMENTO E ACABAMENTO. AF_02/2022_PS</t>
  </si>
  <si>
    <t>CONCRETAGEM DE VIGAS E LAJES, FCK=25 MPA, PARA LAJES MACIÇAS OU NERVURADAS COM USO DE BOMBA - LANÇAMENTO, ADENSAMENTO E ACABAMENTO. AF_02/2022_PS</t>
  </si>
  <si>
    <t>CONCRETAGEM DE VIGAS E LAJES, FCK=25 MPA, PARA LAJES PREMOLDADAS COM JERICAS EM ELEVADOR DE CABO EM EDIFICAÇÃO DE MULTIPAVIMENTOS ATÉ 16 ANDARES - LANÇAMENTO, ADENSAMENTO E ACABAMENTO. AF_02/2022</t>
  </si>
  <si>
    <t>CONCRETAGEM DE VIGAS E LAJES, FCK=25 MPA, PARA LAJES MACIÇAS OU NERVURADAS COM JERICAS EM CREMALHEIRA EM EDIFICAÇÃO DE MULTIPAVIMENTOS ATÉ 16 ANDARES - LANÇAMENTO, ADENSAMENTO E ACABAMENTO. AF_02/2022</t>
  </si>
  <si>
    <t>CONCRETAGEM DE VIGAS E LAJES, FCK=25 MPA, PARA LAJES PREMOLDADAS COM GRUA DE CAÇAMBA DE 350 L EM EDIFICAÇÃO DE MULTIPAVIMENTOS ATÉ 16 ANDARES - LANÇAMENTO, ADENSAMENTO E ACABAMENTO. AF_02/2022</t>
  </si>
  <si>
    <t>CONCRETAGEM DE VIGAS E LAJES, FCK=25 MPA, PARA LAJES MACIÇAS OU NERVURADAS COM GRUA DE CAÇAMBA DE 500 L EM EDIFICAÇÃO DE MULTIPAVIMENTOS ATÉ 16 ANDARES - LANÇAMENTO, ADENSAMENTO E ACABAMENTO. AF_02/2022</t>
  </si>
  <si>
    <t>CONCRETAGEM DE VIGAS E LAJES, FCK=25 MPA, PARA QUALQUER TIPO DE LAJE COM BALDES EM EDIFICAÇÃO TÉRREA - LANÇAMENTO, ADENSAMENTO E ACABAMENTO. AF_02/2022</t>
  </si>
  <si>
    <t>CONCRETAGEM DE VIGAS E LAJES, FCK=25 MPA, PARA QUALQUER TIPO DE LAJE COM BALDES EM EDIFICAÇÃO DE MULTIPAVIMENTOS ATÉ 04 ANDARES - LANÇAMENTO, ADENSAMENTO E ACABAMENTO. AF_02/2022</t>
  </si>
  <si>
    <t>CONCRETAGEM DE RESERVATÓRIOS, FCK=25 MPA, COM USO DE BOMBA - LANÇAMENTO, ADENSAMENTO E ACABAMENTO. AF_02/2022_PS</t>
  </si>
  <si>
    <t>CONCRETAGEM DE MURETAS, FCK=25 MPA, COM USO DE BOMBA - LANÇAMENTO, ADENSAMENTO E ACABAMENTO. AF_02/2022_PS</t>
  </si>
  <si>
    <t>CONCRETAGEM DE ESCADAS, FCK=25 MPA, COM USO DE BOMBA - LANÇAMENTO, ADENSAMENTO E ACABAMENTO. AF_02/2022_PS</t>
  </si>
  <si>
    <t>CONCRETAGEM DE PILARES, FCK=25 MPA, COM USO DE JERICAS EM ELEVADOR DE CABO - LANÇAMENTO, ADENSAMENTO E ACABAMENTO. AF_02/2022</t>
  </si>
  <si>
    <t>CONCRETAGEM DE PILARES, FCK=25 MPA, COM USO DE JERICAS EM CREMALHEIRA - LANÇAMENTO, ADENSAMENTO E ACABAMENTO. AF_02/2022</t>
  </si>
  <si>
    <t>ALVENARIA DE EMBASAMENTO COM BLOCO ESTRUTURAL DE CONCRETO, DE 14X19X29CM E ARGAMASSA DE ASSENTAMENTO COM PREPARO EM BETONEIRA. AF_05/2020</t>
  </si>
  <si>
    <t>ALVENARIA DE EMBASAMENTO COM BLOCO ESTRUTURAL DE CERÂMICA, DE 14X19X29CM E ARGAMASSA DE ASSENTAMENTO COM PREPARO EM BETONEIRA. AF_05/2020</t>
  </si>
  <si>
    <t>SOLDA DE TOPO EM CHAPA/PERFIL/TUBO DE AÇO CHANFRADO, ESPESSURA=1/4''. AF_06/2018</t>
  </si>
  <si>
    <t>SOLDA DE TOPO EM CHAPA/PERFIL/TUBO DE AÇO CHANFRADO, ESPESSURA=5/16''. AF_06/2018</t>
  </si>
  <si>
    <t>SOLDA DE TOPO EM CHAPA/PERFIL/TUBO DE AÇO CHANFRADO, ESPESSURA=3/8''. AF_06/2018</t>
  </si>
  <si>
    <t>SOLDA DE TOPO EM CHAPA/PERFIL/TUBO DE AÇO CHANFRADO, ESPESSURA=1/2''. AF_06/2018</t>
  </si>
  <si>
    <t>SOLDA DE TOPO EM CHAPA/PERFIL/TUBO DE AÇO CHANFRADO, ESPESSURA=5/8''. AF_06/2018</t>
  </si>
  <si>
    <t>SOLDA DE TOPO EM CHAPA/PERFIL/TUBO DE AÇO CHANFRADO, ESPESSURA=3/4''. AF_06/2018</t>
  </si>
  <si>
    <t>FABRICAÇÃO, MONTAGEM E DESMONTAGEM DE FÔRMA PARA ESCADA HIDRÁULICA, EM CHAPA DE MADEIRA COMPENSADA RESINADA, E = 17 MM, 3 UTILIZAÇÕES. AF_08/2022</t>
  </si>
  <si>
    <t>FABRICAÇÃO, MONTAGEM E DESMONTAGEM DE FÔRMA PARA BACIA DE DISSIPAÇÃO, EM MADEIRA SERRADA, E = 25 MM, 2 UTILIZAÇÕES. AF_08/2022</t>
  </si>
  <si>
    <t>CONCRETAGEM DE DISSIPADOR DE ENERGIA, CONCRETO USINADO, FCK = 20 MPA, COM USO DE BOMBA - LANÇAMENTO, ADENSAMENTO E ACABAMENTO. AF_08/2022</t>
  </si>
  <si>
    <t>PEDRA DE MÃO FIXADA COM CONCRETO PARA BACIA DE DISSIPAÇÃO, 40% DE CONCRETO EM VOLUME, FCK = 20 MPA, COM USO DE JERICA E PREPARO EM BETONEIRA DE 600 L - AREIA, BRITA E PEDRA DE MÃO COMERCIAIS - LANÇAMENTO, ADENSAMENTO E ACABAMENTO. AF_08/2022</t>
  </si>
  <si>
    <t>PEDRA ARGAMASSADA COM CIMENTO E AREIA 1:3, 40% DE ARGAMASSA EM VOLUME - AREIA E PEDRA DE MÃO COMERCIAIS - FORNECIMENTO E ASSENTAMENTO. AF_08/2022</t>
  </si>
  <si>
    <t>CONCRETAGEM DE DISSIPADOR DE ENERGIA, FCK = 20 MPA, COM USO DE JERICAS E PREPARO EM BETONEIRA DE 600 L - AREIA E BRITA COMERCIAIS - LANÇAMENTO, ADENSAMENTO E ACABAMENTO. AF_08/2022</t>
  </si>
  <si>
    <t>BACIA DE DISSIPAÇÃO, TIPO BACIA EM PEDRA DE MÃO ARGAMASSADA (DES 01, 02, 03, 04), LANÇADO MANUALMENTE, INCLUINDO MATERIAIS E FÔRMAS (2 UTILIZAÇÕES). AF_08/2022</t>
  </si>
  <si>
    <t>BACIA DE DISSIPAÇÃO, TIPO BACIA COM DENTES DE CONCRETO (01), COM PREPARO MANUAL, FCK = 20 MPA, LANÇADO MANUALMENTE, INCLUINDO MATERIAIS E FÔRMAS (2 UTILIZAÇÕES). AF_08/2022</t>
  </si>
  <si>
    <t>BACIA DE DISSIPAÇÃO, LARGURA ATÉ 1 M, TIPO BACIA EM PEDRA DE MÃO FIXADA COM CONCRETO (DEB 01, 02), COM PREPARO MANUAL, FCK = 20 MPA, LANÇADO MANUALMENTE, INCLUINDO MATERIAIS E FÔRMAS (2 UTILIZAÇÕES). AF_08/2022</t>
  </si>
  <si>
    <t>BACIA DE DISSIPAÇÃO, LARGURA DE 1 A 4 M, TIPO BACIA EM PEDRA DE MÃO FIXADA COM CONCRETO (DEB 03, 04, 05, 06), COM PREPARO MANUAL, FCK = 20 MPA, LANÇADO MANUALMENTE, INCLUINDO MATERIAIS E FÔRMAS (2 UTILIZAÇÕES). AF_08/2022</t>
  </si>
  <si>
    <t>BACIA DE DISSIPAÇÃO, LARGURA DE 4 A 9,2 M, TIPO BACIA EM PEDRA DE MÃO FIXADA COM CONCRETO (DEB 07, 08, 09, 10, 11, 12, 13), COM PREPARO MANUAL, FCK = 20 MPA, LANÇADO MANUALMENTE, INCLUINDO MATERIAIS E FÔRMAS (2 UTILIZAÇÕES). AF_08/2022</t>
  </si>
  <si>
    <t>DESCIDA D'ÁGUA RÁPIDA (DAR 03), EM CONCRETO USINADO, FCK = 20 MPA, LANÇADO COM BOMBA, INCLUINDO ARMAÇÃO, MATERIAIS E FÔRMAS (2 UTILIZAÇÕES). AF_08/2022</t>
  </si>
  <si>
    <t>ELETRODUTO FLEXÍVEL CORRUGADO REFORÇADO, PVC, DN 20 MM (1/2"), PARA CIRCUITOS TERMINAIS, INSTALADO EM LAJE - FORNECIMENTO E INSTALAÇÃO. AF_03/2023</t>
  </si>
  <si>
    <t>ELETRODUTO FLEXÍVEL CORRUGADO REFORÇADO, PVC, DN 25 MM (3/4"), PARA CIRCUITOS TERMINAIS, INSTALADO EM LAJE - FORNECIMENTO E INSTALAÇÃO. AF_03/2023</t>
  </si>
  <si>
    <t>ELETRODUTO FLEXÍVEL CORRUGADO REFORÇADO, PVC, DN 32 MM (1"), PARA CIRCUITOS TERMINAIS, INSTALADO EM LAJE - FORNECIMENTO E INSTALAÇÃO. AF_03/2023</t>
  </si>
  <si>
    <t>ELETRODUTO FLEXÍVEL LISO, PEAD, DN 32 MM (1"), PARA CIRCUITOS TERMINAIS, INSTALADO EM LAJE - FORNECIMENTO E INSTALAÇÃO. AF_03/2023</t>
  </si>
  <si>
    <t>ELETRODUTO FLEXÍVEL CORRUGADO, PEAD, DN 40 MM (1 1/4"), PARA CIRCUITOS TERMINAIS, INSTALADO EM LAJE - FORNECIMENTO E INSTALAÇÃO. AF_03/2023</t>
  </si>
  <si>
    <t>ELETRODUTO FLEXÍVEL LISO, PEAD, DN 40 MM (1 1/4"), PARA CIRCUITOS TERMINAIS, INSTALADO EM LAJE - FORNECIMENTO E INSTALAÇÃO. AF_03/2023</t>
  </si>
  <si>
    <t>ELETRODUTO FLEXÍVEL CORRUGADO, PVC, DN 20 MM (1/2"), PARA CIRCUITOS TERMINAIS, INSTALADO EM PAREDE - FORNECIMENTO E INSTALAÇÃO. AF_03/2023</t>
  </si>
  <si>
    <t>ELETRODUTO FLEXÍVEL CORRUGADO REFORÇADO, PVC, DN 20 MM (1/2"), PARA CIRCUITOS TERMINAIS, INSTALADO EM PAREDE - FORNECIMENTO E INSTALAÇÃO. AF_03/2023</t>
  </si>
  <si>
    <t>ELETRODUTO FLEXÍVEL CORRUGADO, PVC, DN 25 MM (3/4"), PARA CIRCUITOS TERMINAIS, INSTALADO EM PAREDE - FORNECIMENTO E INSTALAÇÃO. AF_03/2023</t>
  </si>
  <si>
    <t>ELETRODUTO FLEXÍVEL CORRUGADO REFORÇADO, PVC, DN 25 MM (3/4"), PARA CIRCUITOS TERMINAIS, INSTALADO EM PAREDE - FORNECIMENTO E INSTALAÇÃO. AF_03/2023</t>
  </si>
  <si>
    <t>ELETRODUTO FLEXÍVEL CORRUGADO, PVC, DN 32 MM (1"), PARA CIRCUITOS TERMINAIS, INSTALADO EM PAREDE - FORNECIMENTO E INSTALAÇÃO. AF_03/2023</t>
  </si>
  <si>
    <t>ELETRODUTO FLEXÍVEL CORRUGADO REFORÇADO, PVC, DN 32 MM (1"), PARA CIRCUITOS TERMINAIS, INSTALADO EM PAREDE - FORNECIMENTO E INSTALAÇÃO. AF_03/2023</t>
  </si>
  <si>
    <t>ELETRODUTO FLEXÍVEL LISO, PEAD, DN 32 MM (1"), PARA CIRCUITOS TERMINAIS, INSTALADO EM PAREDE - FORNECIMENTO E INSTALAÇÃO. AF_03/2023</t>
  </si>
  <si>
    <t>ELETRODUTO FLEXÍVEL CORRUGADO, PEAD, DN 40 MM (1 1/4"), PARA CIRCUITOS TERMINAIS, INSTALADO EM PAREDE - FORNECIMENTO E INSTALAÇÃO. AF_03/2023</t>
  </si>
  <si>
    <t>ELETRODUTO FLEXÍVEL LISO, PEAD, DN 40 MM (1 1/4"), PARA CIRCUITOS TERMINAIS, INSTALADO EM PAREDE - FORNECIMENTO E INSTALAÇÃO. AF_03/2023</t>
  </si>
  <si>
    <t>ELETRODUTO RÍGIDO ROSCÁVEL, PVC, DN 20 MM (1/2"), PARA CIRCUITOS TERMINAIS, INSTALADO EM FORRO - FORNECIMENTO E INSTALAÇÃO. AF_03/2023</t>
  </si>
  <si>
    <t>ELETRODUTO RÍGIDO ROSCÁVEL, PVC, DN 25 MM (3/4"), PARA CIRCUITOS TERMINAIS, INSTALADO EM FORRO - FORNECIMENTO E INSTALAÇÃO. AF_03/2023</t>
  </si>
  <si>
    <t>ELETRODUTO RÍGIDO ROSCÁVEL, PVC, DN 32 MM (1"), PARA CIRCUITOS TERMINAIS, INSTALADO EM FORRO - FORNECIMENTO E INSTALAÇÃO. AF_03/2023</t>
  </si>
  <si>
    <t>ELETRODUTO RÍGIDO ROSCÁVEL, PVC, DN 40 MM (1 1/4"), PARA CIRCUITOS TERMINAIS, INSTALADO EM FORRO - FORNECIMENTO E INSTALAÇÃO. AF_03/2023</t>
  </si>
  <si>
    <t>ELETRODUTO RÍGIDO ROSCÁVEL, PVC, DN 20 MM (1/2"), PARA CIRCUITOS TERMINAIS, INSTALADO EM LAJE - FORNECIMENTO E INSTALAÇÃO. AF_03/2023</t>
  </si>
  <si>
    <t>ELETRODUTO RÍGIDO ROSCÁVEL, PVC, DN 25 MM (3/4"), PARA CIRCUITOS TERMINAIS, INSTALADO EM LAJE - FORNECIMENTO E INSTALAÇÃO. AF_03/2023</t>
  </si>
  <si>
    <t>ELETRODUTO RÍGIDO ROSCÁVEL, PVC, DN 32 MM (1"), PARA CIRCUITOS TERMINAIS, INSTALADO EM LAJE - FORNECIMENTO E INSTALAÇÃO. AF_03/2023</t>
  </si>
  <si>
    <t>ELETRODUTO RÍGIDO ROSCÁVEL, PVC, DN 40 MM (1 1/4"), PARA CIRCUITOS TERMINAIS, INSTALADO EM LAJE - FORNECIMENTO E INSTALAÇÃO. AF_03/2023</t>
  </si>
  <si>
    <t>ELETRODUTO RÍGIDO ROSCÁVEL, PVC, DN 20 MM (1/2"), PARA CIRCUITOS TERMINAIS, INSTALADO EM PAREDE - FORNECIMENTO E INSTALAÇÃO. AF_03/2023</t>
  </si>
  <si>
    <t>ELETRODUTO RÍGIDO ROSCÁVEL, PVC, DN 25 MM (3/4"), PARA CIRCUITOS TERMINAIS, INSTALADO EM PAREDE - FORNECIMENTO E INSTALAÇÃO. AF_03/2023</t>
  </si>
  <si>
    <t>ELETRODUTO RÍGIDO ROSCÁVEL, PVC, DN 32 MM (1"), PARA CIRCUITOS TERMINAIS, INSTALADO EM PAREDE - FORNECIMENTO E INSTALAÇÃO. AF_03/2023</t>
  </si>
  <si>
    <t>ELETRODUTO RÍGIDO ROSCÁVEL, PVC, DN 40 MM (1 1/4"), PARA CIRCUITOS TERMINAIS, INSTALADO EM PAREDE - FORNECIMENTO E INSTALAÇÃO. AF_03/2023</t>
  </si>
  <si>
    <t>ELETRODUTO RÍGIDO ROSCÁVEL, PVC, DN 50 MM (1 1/2"), PARA REDE ENTERRADA DE DISTRIBUIÇÃO DE ENERGIA ELÉTRICA - FORNECIMENTO E INSTALAÇÃO. AF_12/2021</t>
  </si>
  <si>
    <t>ELETRODUTO RÍGIDO ROSCÁVEL, PVC, DN 60 MM (2"), PARA REDE ENTERRADA DE DISTRIBUIÇÃO DE ENERGIA ELÉTRICA - FORNECIMENTO E INSTALAÇÃO. AF_12/2021</t>
  </si>
  <si>
    <t>ELETRODUTO RÍGIDO ROSCÁVEL, PVC, DN 75 MM (2 1/2"), PARA REDE ENTERRADA DE DISTRIBUIÇÃO DE ENERGIA ELÉTRICA - FORNECIMENTO E INSTALAÇÃO. AF_12/2021</t>
  </si>
  <si>
    <t>ELETRODUTO RÍGIDO ROSCÁVEL, PVC, DN 85 MM (3"), PARA REDE ENTERRADA DE DISTRIBUIÇÃO DE ENERGIA ELÉTRICA - FORNECIMENTO E INSTALAÇÃO. AF_12/2021</t>
  </si>
  <si>
    <t>ELETRODUTO RÍGIDO ROSCÁVEL, PVC, DN 110 MM (4"), PARA REDE ENTERRADA DE DISTRIBUIÇÃO DE ENERGIA ELÉTRICA - FORNECIMENTO E INSTALAÇÃO. AF_12/2021</t>
  </si>
  <si>
    <t>ELETRODUTO FLEXÍVEL CORRUGADO, PEAD, DN 50 (1 1/2"), PARA REDE ENTERRADA DE DISTRIBUIÇÃO DE ENERGIA ELÉTRICA - FORNECIMENTO E INSTALAÇÃO. AF_12/2021</t>
  </si>
  <si>
    <t>ELETRODUTO FLEXÍVEL CORRUGADO, PEAD, DN 63 (2"), PARA REDE ENTERRADA DE DISTRIBUIÇÃO DE ENERGIA ELÉTRICA - FORNECIMENTO E INSTALAÇÃO. AF_12/2021</t>
  </si>
  <si>
    <t>ELETRODUTO FLEXÍVEL CORRUGADO, PEAD, DN 90 (3"), PARA REDE ENTERRADA DE DISTRIBUIÇÃO DE ENERGIA ELÉTRICA - FORNECIMENTO E INSTALAÇÃO. AF_12/2021</t>
  </si>
  <si>
    <t>ELETRODUTO FLEXÍVEL CORRUGADO, PEAD, DN 100 (4"), PARA REDE ENTERRADA DE DISTRIBUIÇÃO DE ENERGIA ELÉTRICA - FORNECIMENTO E INSTALAÇÃO. AF_12/2021</t>
  </si>
  <si>
    <t>LUVA PARA ELETRODUTO, PVC, ROSCÁVEL, DN 20 MM (1/2"), PARA CIRCUITOS TERMINAIS, INSTALADA EM FORRO - FORNECIMENTO E INSTALAÇÃO. AF_03/2023</t>
  </si>
  <si>
    <t>LUVA PARA ELETRODUTO, PVC, ROSCÁVEL, DN 25 MM (3/4"), PARA CIRCUITOS TERMINAIS, INSTALADA EM FORRO - FORNECIMENTO E INSTALAÇÃO. AF_03/2023</t>
  </si>
  <si>
    <t>LUVA PARA ELETRODUTO, PVC, ROSCÁVEL, DN 32 MM (1"), PARA CIRCUITOS TERMINAIS, INSTALADA EM FORRO - FORNECIMENTO E INSTALAÇÃO. AF_03/2023</t>
  </si>
  <si>
    <t>LUVA PARA ELETRODUTO, PVC, ROSCÁVEL, DN 40 MM (1 1/4"), PARA CIRCUITOS TERMINAIS, INSTALADA EM FORRO - FORNECIMENTO E INSTALAÇÃO. AF_03/2023</t>
  </si>
  <si>
    <t>LUVA PARA ELETRODUTO, PVC, ROSCÁVEL, DN 20 MM (1/2"), PARA CIRCUITOS TERMINAIS, INSTALADA EM LAJE - FORNECIMENTO E INSTALAÇÃO. AF_03/2023</t>
  </si>
  <si>
    <t>LUVA PARA ELETRODUTO, PVC, ROSCÁVEL, DN 25 MM (3/4"), PARA CIRCUITOS TERMINAIS, INSTALADA EM LAJE - FORNECIMENTO E INSTALAÇÃO. AF_03/2023</t>
  </si>
  <si>
    <t>LUVA PARA ELETRODUTO, PVC, ROSCÁVEL, DN 32 MM (1"), PARA CIRCUITOS TERMINAIS, INSTALADA EM LAJE - FORNECIMENTO E INSTALAÇÃO. AF_03/2023</t>
  </si>
  <si>
    <t>LUVA PARA ELETRODUTO, PVC, ROSCÁVEL, DN 40 MM (1 1/4"), PARA CIRCUITOS TERMINAIS, INSTALADA EM LAJE - FORNECIMENTO E INSTALAÇÃO. AF_03/2023</t>
  </si>
  <si>
    <t>LUVA PARA ELETRODUTO, PVC, ROSCÁVEL, DN 20 MM (1/2"), PARA CIRCUITOS TERMINAIS, INSTALADA EM PAREDE - FORNECIMENTO E INSTALAÇÃO. AF_03/2023</t>
  </si>
  <si>
    <t>LUVA PARA ELETRODUTO, PVC, ROSCÁVEL, DN 25 MM (3/4"), PARA CIRCUITOS TERMINAIS, INSTALADA EM PAREDE - FORNECIMENTO E INSTALAÇÃO. AF_03/2023</t>
  </si>
  <si>
    <t>LUVA PARA ELETRODUTO, PVC, ROSCÁVEL, DN 32 MM (1"), PARA CIRCUITOS TERMINAIS, INSTALADA EM PAREDE - FORNECIMENTO E INSTALAÇÃO. AF_03/2023</t>
  </si>
  <si>
    <t>LUVA PARA ELETRODUTO, PVC, ROSCÁVEL, DN 40 MM (1 1/4"), PARA CIRCUITOS TERMINAIS, INSTALADA EM PAREDE - FORNECIMENTO E INSTALAÇÃO. AF_03/2023</t>
  </si>
  <si>
    <t>CURVA 90 GRAUS PARA ELETRODUTO, PVC, ROSCÁVEL, DN 20 MM (1/2"), PARA CIRCUITOS TERMINAIS, INSTALADA EM FORRO - FORNECIMENTO E INSTALAÇÃO. AF_03/2023</t>
  </si>
  <si>
    <t>CURVA 180 GRAUS PARA ELETRODUTO, PVC, ROSCÁVEL, DN 20 MM (1/2"), PARA CIRCUITOS TERMINAIS, INSTALADA EM FORRO - FORNECIMENTO E INSTALAÇÃO. AF_03/2023</t>
  </si>
  <si>
    <t>CURVA 90 GRAUS PARA ELETRODUTO, PVC, ROSCÁVEL, DN 25 MM (3/4"), PARA CIRCUITOS TERMINAIS, INSTALADA EM FORRO - FORNECIMENTO E INSTALAÇÃO. AF_03/2023</t>
  </si>
  <si>
    <t>CURVA 180 GRAUS PARA ELETRODUTO, PVC, ROSCÁVEL, DN 25 MM (3/4"), PARA CIRCUITOS TERMINAIS, INSTALADA EM FORRO - FORNECIMENTO E INSTALAÇÃO. AF_03/2023</t>
  </si>
  <si>
    <t>CURVA 90 GRAUS PARA ELETRODUTO, PVC, ROSCÁVEL, DN 32 MM (1"), PARA CIRCUITOS TERMINAIS, INSTALADA EM FORRO - FORNECIMENTO E INSTALAÇÃO. AF_03/2023</t>
  </si>
  <si>
    <t>CURVA 180 GRAUS PARA ELETRODUTO, PVC, ROSCÁVEL, DN 32 MM (1"), PARA CIRCUITOS TERMINAIS, INSTALADA EM FORRO - FORNECIMENTO E INSTALAÇÃO. AF_03/2023</t>
  </si>
  <si>
    <t>CURVA 90 GRAUS PARA ELETRODUTO, PVC, ROSCÁVEL, DN 40 MM (1 1/4"), PARA CIRCUITOS TERMINAIS, INSTALADA EM FORRO - FORNECIMENTO E INSTALAÇÃO. AF_03/2023</t>
  </si>
  <si>
    <t>CURVA 180 GRAUS PARA ELETRODUTO, PVC, ROSCÁVEL, DN 40 MM (1 1/4"), PARA CIRCUITOS TERMINAIS, INSTALADA EM FORRO - FORNECIMENTO E INSTALAÇÃO. AF_03/2023</t>
  </si>
  <si>
    <t>CURVA 90 GRAUS PARA ELETRODUTO, PVC, ROSCÁVEL, DN 20 MM (1/2"), PARA CIRCUITOS TERMINAIS, INSTALADA EM LAJE - FORNECIMENTO E INSTALAÇÃO. AF_03/2023</t>
  </si>
  <si>
    <t>CURVA 180 GRAUS PARA ELETRODUTO, PVC, ROSCÁVEL, DN 20 MM (1/2"), PARA CIRCUITOS TERMINAIS, INSTALADA EM LAJE - FORNECIMENTO E INSTALAÇÃO. AF_03/2023</t>
  </si>
  <si>
    <t>CURVA 90 GRAUS PARA ELETRODUTO, PVC, ROSCÁVEL, DN 25 MM (3/4"), PARA CIRCUITOS TERMINAIS, INSTALADA EM LAJE - FORNECIMENTO E INSTALAÇÃO. AF_03/2023</t>
  </si>
  <si>
    <t>CURVA 180 GRAUS PARA ELETRODUTO, PVC, ROSCÁVEL, DN 25 MM (3/4"), PARA CIRCUITOS TERMINAIS, INSTALADA EM LAJE - FORNECIMENTO E INSTALAÇÃO. AF_03/2023</t>
  </si>
  <si>
    <t>CURVA 90 GRAUS PARA ELETRODUTO, PVC, ROSCÁVEL, DN 32 MM (1"), PARA CIRCUITOS TERMINAIS, INSTALADA EM LAJE - FORNECIMENTO E INSTALAÇÃO. AF_03/2023</t>
  </si>
  <si>
    <t>CURVA 180 GRAUS PARA ELETRODUTO, PVC, ROSCÁVEL, DN 32 MM (1"), PARA CIRCUITOS TERMINAIS, INSTALADA EM LAJE - FORNECIMENTO E INSTALAÇÃO. AF_03/2023</t>
  </si>
  <si>
    <t>CURVA 90 GRAUS PARA ELETRODUTO, PVC, ROSCÁVEL, DN 40 MM (1 1/4"), PARA CIRCUITOS TERMINAIS, INSTALADA EM LAJE - FORNECIMENTO E INSTALAÇÃO. AF_03/2023</t>
  </si>
  <si>
    <t>CURVA 180 GRAUS PARA ELETRODUTO, PVC, ROSCÁVEL, DN 40 MM (1 1/4"), PARA CIRCUITOS TERMINAIS, INSTALADA EM LAJE - FORNECIMENTO E INSTALAÇÃO. AF_03/2023</t>
  </si>
  <si>
    <t>CURVA 90 GRAUS PARA ELETRODUTO, PVC, ROSCÁVEL, DN 20 MM (1/2"), PARA CIRCUITOS TERMINAIS, INSTALADA EM PAREDE - FORNECIMENTO E INSTALAÇÃO. AF_03/2023</t>
  </si>
  <si>
    <t>CURVA 180 GRAUS PARA ELETRODUTO, PVC, ROSCÁVEL, DN 20 MM (1/2"), PARA CIRCUITOS TERMINAIS, INSTALADA EM PAREDE - FORNECIMENTO E INSTALAÇÃO. AF_03/2023</t>
  </si>
  <si>
    <t>CURVA 90 GRAUS PARA ELETRODUTO, PVC, ROSCÁVEL, DN 25 MM (3/4"), PARA CIRCUITOS TERMINAIS, INSTALADA EM PAREDE - FORNECIMENTO E INSTALAÇÃO. AF_03/2023</t>
  </si>
  <si>
    <t>CURVA 180 GRAUS PARA ELETRODUTO, PVC, ROSCÁVEL, DN 25 MM (3/4"), PARA CIRCUITOS TERMINAIS, INSTALADA EM PAREDE - FORNECIMENTO E INSTALAÇÃO. AF_03/2023</t>
  </si>
  <si>
    <t>CURVA 90 GRAUS PARA ELETRODUTO, PVC, ROSCÁVEL, DN 32 MM (1"), PARA CIRCUITOS TERMINAIS, INSTALADA EM PAREDE - FORNECIMENTO E INSTALAÇÃO. AF_03/2023</t>
  </si>
  <si>
    <t>CURVA 180 GRAUS PARA ELETRODUTO, PVC, ROSCÁVEL, DN 32 MM (1"), PARA CIRCUITOS TERMINAIS, INSTALADA EM PAREDE - FORNECIMENTO E INSTALAÇÃO. AF_03/2023</t>
  </si>
  <si>
    <t>CURVA 90 GRAUS PARA ELETRODUTO, PVC, ROSCÁVEL, DN 40 MM (1 1/4"), PARA CIRCUITOS TERMINAIS, INSTALADA EM PAREDE - FORNECIMENTO E INSTALAÇÃO. AF_03/2023</t>
  </si>
  <si>
    <t>CURVA 180 GRAUS PARA ELETRODUTO, PVC, ROSCÁVEL, DN 40 MM (1 1/4"), PARA CIRCUITOS TERMINAIS, INSTALADA EM PAREDE - FORNECIMENTO E INSTALAÇÃO. AF_03/2023</t>
  </si>
  <si>
    <t>LUVA PARA ELETRODUTO, PVC, ROSCÁVEL, DN 50 MM (1 1/2"), PARA REDE ENTERRADA DE DISTRIBUIÇÃO DE ENERGIA ELÉTRICA - FORNECIMENTO E INSTALAÇÃO. AF_12/2021</t>
  </si>
  <si>
    <t>LUVA PARA ELETRODUTO, PVC, ROSCÁVEL, DN 60 MM (2"), PARA REDE ENTERRADA DE DISTRIBUIÇÃO DE ENERGIA ELÉTRICA - FORNECIMENTO E INSTALAÇÃO. AF_12/2021</t>
  </si>
  <si>
    <t>LUVA PARA ELETRODUTO, PVC, ROSCÁVEL, DN 75 MM (2 1/2"), PARA REDE ENTERRADA DE DISTRIBUIÇÃO DE ENERGIA ELÉTRICA - FORNECIMENTO E INSTALAÇÃO. AF_12/2021</t>
  </si>
  <si>
    <t>LUVA PARA ELETRODUTO, PVC, ROSCÁVEL, DN 85 MM (3"), PARA REDE ENTERRADA DE DISTRIBUIÇÃO DE ENERGIA ELÉTRICA - FORNECIMENTO E INSTALAÇÃO. AF_12/2021</t>
  </si>
  <si>
    <t>LUVA PARA ELETRODUTO, PVC, ROSCÁVEL, DN 110 MM (4"), PARA REDE ENTERRADA DE DISTRIBUIÇÃO DE ENERGIA ELÉTRICA - FORNECIMENTO E INSTALAÇÃO. AF_12/2021</t>
  </si>
  <si>
    <t>CURVA 90 GRAUS PARA ELETRODUTO, PVC, ROSCÁVEL, DN 50 MM (1 1/2"), PARA REDE ENTERRADA DE DISTRIBUIÇÃO DE ENERGIA ELÉTRICA - FORNECIMENTO E INSTALAÇÃO. AF_12/2021</t>
  </si>
  <si>
    <t>CURVA 90 GRAUS PARA ELETRODUTO, PVC, ROSCÁVEL, DN 60 MM (2"), PARA REDE ENTERRADA DE DISTRIBUIÇÃO DE ENERGIA ELÉTRICA - FORNECIMENTO E INSTALAÇÃO. AF_12/2021</t>
  </si>
  <si>
    <t>CURVA 90 GRAUS PARA ELETRODUTO, PVC, ROSCÁVEL, DN 75 MM (2 1/2"), PARA REDE ENTERRADA DE DISTRIBUIÇÃO DE ENERGIA ELÉTRICA - FORNECIMENTO E INSTALAÇÃO. AF_12/2021</t>
  </si>
  <si>
    <t>CURVA 90 GRAUS PARA ELETRODUTO, PVC, ROSCÁVEL, DN 85 MM (3"), PARA REDE ENTERRADA DE DISTRIBUIÇÃO DE ENERGIA ELÉTRICA - FORNECIMENTO E INSTALAÇÃO. AF_12/2021</t>
  </si>
  <si>
    <t>CURVA 90 GRAUS PARA ELETRODUTO, PVC, ROSCÁVEL, DN 110 MM (4"), PARA REDE ENTERRADA DE DISTRIBUIÇÃO DE ENERGIA ELÉTRICA - FORNECIMENTO E INSTALAÇÃO. AF_12/2021</t>
  </si>
  <si>
    <t>CURVA 135 GRAUS PARA ELETRODUTO, PVC, ROSCÁVEL, DN 25 MM (3/4"), PARA CIRCUITOS TERMINAIS, INSTALADA EM FORRO - FORNECIMENTO E INSTALAÇÃO. AF_03/2023</t>
  </si>
  <si>
    <t>CURVA 135 GRAUS PARA ELETRODUTO, PVC, ROSCÁVEL, DN 25 MM (3/4"), PARA CIRCUITOS TERMINAIS, INSTALADA EM LAJE - FORNECIMENTO E INSTALAÇÃO. AF_03/2023</t>
  </si>
  <si>
    <t>CURVA 135 GRAUS PARA ELETRODUTO, PVC, ROSCÁVEL, DN 25 MM (3/4"), PARA CIRCUITOS TERMINAIS, INSTALADA EM PAREDE - FORNECIMENTO E INSTALAÇÃO. AF_03/2023</t>
  </si>
  <si>
    <t>CABO DE COBRE FLEXÍVEL ISOLADO, 1,5 MM², ANTI-CHAMA 450/750 V, PARA CIRCUITOS TERMINAIS - FORNECIMENTO E INSTALAÇÃO. AF_03/2023</t>
  </si>
  <si>
    <t>CABO DE COBRE FLEXÍVEL ISOLADO, 1,5 MM², ANTI-CHAMA 0,6/1,0 KV, PARA CIRCUITOS TERMINAIS - FORNECIMENTO E INSTALAÇÃO. AF_03/2023</t>
  </si>
  <si>
    <t>CABO DE COBRE FLEXÍVEL ISOLADO, 2,5 MM², ANTI-CHAMA 450/750 V, PARA CIRCUITOS TERMINAIS - FORNECIMENTO E INSTALAÇÃO. AF_03/2023</t>
  </si>
  <si>
    <t>CABO DE COBRE FLEXÍVEL ISOLADO, 2,5 MM², ANTI-CHAMA 0,6/1,0 KV, PARA CIRCUITOS TERMINAIS - FORNECIMENTO E INSTALAÇÃO. AF_03/2023</t>
  </si>
  <si>
    <t>CABO DE COBRE FLEXÍVEL ISOLADO, 4 MM², ANTI-CHAMA 450/750 V, PARA CIRCUITOS TERMINAIS - FORNECIMENTO E INSTALAÇÃO. AF_03/2023</t>
  </si>
  <si>
    <t>CABO DE COBRE FLEXÍVEL ISOLADO, 4 MM², ANTI-CHAMA 0,6/1,0 KV, PARA CIRCUITOS TERMINAIS - FORNECIMENTO E INSTALAÇÃO. AF_03/2023</t>
  </si>
  <si>
    <t>CABO DE COBRE FLEXÍVEL ISOLADO, 6 MM², ANTI-CHAMA 450/750 V, PARA CIRCUITOS TERMINAIS - FORNECIMENTO E INSTALAÇÃO. AF_03/2023</t>
  </si>
  <si>
    <t>CABO DE COBRE FLEXÍVEL ISOLADO, 6 MM², ANTI-CHAMA 0,6/1,0 KV, PARA CIRCUITOS TERMINAIS - FORNECIMENTO E INSTALAÇÃO. AF_03/2023</t>
  </si>
  <si>
    <t>CABO DE COBRE FLEXÍVEL ISOLADO, 10 MM², ANTI-CHAMA 450/750 V, PARA CIRCUITOS TERMINAIS - FORNECIMENTO E INSTALAÇÃO. AF_03/2023</t>
  </si>
  <si>
    <t>CABO DE COBRE FLEXÍVEL ISOLADO, 10 MM², ANTI-CHAMA 0,6/1,0 KV, PARA CIRCUITOS TERMINAIS - FORNECIMENTO E INSTALAÇÃO. AF_03/2023</t>
  </si>
  <si>
    <t>CABO DE COBRE FLEXÍVEL ISOLADO, 16 MM², ANTI-CHAMA 450/750 V, PARA CIRCUITOS TERMINAIS - FORNECIMENTO E INSTALAÇÃO. AF_03/2023</t>
  </si>
  <si>
    <t>CABO DE COBRE FLEXÍVEL ISOLADO, 16 MM², ANTI-CHAMA 0,6/1,0 KV, PARA CIRCUITOS TERMINAIS - FORNECIMENTO E INSTALAÇÃO. AF_03/2023</t>
  </si>
  <si>
    <t>CABO DE COBRE FLEXÍVEL ISOLADO, 25 MM², ANTI-CHAMA 0,6/1,0 KV, PARA REDE ENTERRADA DE DISTRIBUIÇÃO DE ENERGIA ELÉTRICA - FORNECIMENTO E INSTALAÇÃO. AF_12/2021</t>
  </si>
  <si>
    <t>CABO DE COBRE FLEXÍVEL ISOLADO, 35 MM², ANTI-CHAMA 0,6/1,0 KV, PARA REDE ENTERRADA DE DISTRIBUIÇÃO DE ENERGIA ELÉTRICA - FORNECIMENTO E INSTALAÇÃO. AF_12/2021</t>
  </si>
  <si>
    <t>CABO DE COBRE FLEXÍVEL ISOLADO, 50 MM², ANTI-CHAMA 0,6/1,0 KV, PARA REDE ENTERRADA DE DISTRIBUIÇÃO DE ENERGIA ELÉTRICA - FORNECIMENTO E INSTALAÇÃO. AF_12/2021</t>
  </si>
  <si>
    <t>CABO DE COBRE FLEXÍVEL ISOLADO, 70 MM², ANTI-CHAMA 0,6/1,0 KV, PARA REDE ENTERRADA DE DISTRIBUIÇÃO DE ENERGIA ELÉTRICA - FORNECIMENTO E INSTALAÇÃO. AF_12/2021</t>
  </si>
  <si>
    <t>CABO DE COBRE FLEXÍVEL ISOLADO, 95 MM², ANTI-CHAMA 0,6/1,0 KV, PARA REDE ENTERRADA DE DISTRIBUIÇÃO DE ENERGIA ELÉTRICA - FORNECIMENTO E INSTALAÇÃO. AF_12/2021</t>
  </si>
  <si>
    <t>CABO DE COBRE FLEXÍVEL ISOLADO, 120 MM², ANTI-CHAMA 0,6/1,0 KV, PARA REDE ENTERRADA DE DISTRIBUIÇÃO DE ENERGIA ELÉTRICA - FORNECIMENTO E INSTALAÇÃO. AF_12/2021</t>
  </si>
  <si>
    <t>CABO DE COBRE FLEXÍVEL ISOLADO, 150 MM², ANTI-CHAMA 0,6/1,0 KV, PARA REDE ENTERRADA DE DISTRIBUIÇÃO DE ENERGIA ELÉTRICA - FORNECIMENTO E INSTALAÇÃO. AF_12/2021</t>
  </si>
  <si>
    <t>CABO DE COBRE FLEXÍVEL ISOLADO, 185 MM², ANTI-CHAMA 0,6/1,0 KV, PARA REDE ENTERRADA DE DISTRIBUIÇÃO DE ENERGIA ELÉTRICA - FORNECIMENTO E INSTALAÇÃO. AF_12/2021</t>
  </si>
  <si>
    <t>CABO DE COBRE FLEXÍVEL ISOLADO, 240 MM², ANTI-CHAMA 0,6/1,0 KV, PARA REDE ENTERRADA DE DISTRIBUIÇÃO DE ENERGIA ELÉTRICA - FORNECIMENTO E INSTALAÇÃO. AF_12/2021</t>
  </si>
  <si>
    <t>CABO DE COBRE FLEXÍVEL ISOLADO, 300 MM², ANTI-CHAMA 0,6/1,0 KV, PARA REDE ENTERRADA DE DISTRIBUIÇÃO DE ENERGIA ELÉTRICA - FORNECIMENTO E INSTALAÇÃO. AF_12/2021</t>
  </si>
  <si>
    <t>CAIXA OCTOGONAL 4" X 4", PVC, INSTALADA EM LAJE - FORNECIMENTO E INSTALAÇÃO. AF_03/2023</t>
  </si>
  <si>
    <t>CAIXA OCTOGONAL 3" X 3", PVC, INSTALADA EM LAJE - FORNECIMENTO E INSTALAÇÃO. AF_03/2023</t>
  </si>
  <si>
    <t>CAIXA RETANGULAR 4" X 2" ALTA (2,00 M DO PISO), PVC, INSTALADA EM PAREDE - FORNECIMENTO E INSTALAÇÃO. AF_03/2023</t>
  </si>
  <si>
    <t>CAIXA RETANGULAR 4" X 2" MÉDIA (1,30 M DO PISO), PVC, INSTALADA EM PAREDE - FORNECIMENTO E INSTALAÇÃO. AF_03/2023</t>
  </si>
  <si>
    <t>CAIXA RETANGULAR 4" X 2" BAIXA (0,30 M DO PISO), PVC, INSTALADA EM PAREDE - FORNECIMENTO E INSTALAÇÃO. AF_03/2023</t>
  </si>
  <si>
    <t>CAIXA RETANGULAR 4" X 4" ALTA (2,00 M DO PISO), PVC, INSTALADA EM PAREDE - FORNECIMENTO E INSTALAÇÃO. AF_03/2023</t>
  </si>
  <si>
    <t>CAIXA RETANGULAR 4" X 4" MÉDIA (1,30 M DO PISO), PVC, INSTALADA EM PAREDE - FORNECIMENTO E INSTALAÇÃO. AF_03/2023</t>
  </si>
  <si>
    <t>CAIXA RETANGULAR 4" X 4" BAIXA (0,30 M DO PISO), PVC, INSTALADA EM PAREDE - FORNECIMENTO E INSTALAÇÃO. AF_03/2023</t>
  </si>
  <si>
    <t>CAIXA OCTOGONAL 4" X 4", METÁLICA, INSTALADA EM LAJE - FORNECIMENTO E INSTALAÇÃO. AF_03/2023</t>
  </si>
  <si>
    <t>CAIXA SEXTAVADA 3" X 3", METÁLICA, INSTALADA EM LAJE - FORNECIMENTO E INSTALAÇÃO. AF_03/2023</t>
  </si>
  <si>
    <t>CAIXA RETANGULAR 4" X 2" ALTA (2,00 M DO PISO), METÁLICA, INSTALADA EM PAREDE - FORNECIMENTO E INSTALAÇÃO. AF_03/2023</t>
  </si>
  <si>
    <t>CAIXA RETANGULAR 4" X 2" MÉDIA (1,30 M DO PISO), METÁLICA, INSTALADA EM PAREDE - FORNECIMENTO E INSTALAÇÃO. AF_03/2023</t>
  </si>
  <si>
    <t>CAIXA RETANGULAR 4" X 2" BAIXA (0,30 M DO PISO), METÁLICA, INSTALADA EM PAREDE - FORNECIMENTO E INSTALAÇÃO. AF_03/2023</t>
  </si>
  <si>
    <t>CAIXA RETANGULAR 4" X 4" ALTA (2,00 M DO PISO), METÁLICA, INSTALADA EM PAREDE - FORNECIMENTO E INSTALAÇÃO. AF_03/2023</t>
  </si>
  <si>
    <t>CAIXA RETANGULAR 4" X 4" MÉDIA (1,30 M DO PISO), METÁLICA, INSTALADA EM PAREDE - FORNECIMENTO E INSTALAÇÃO. AF_03/2023</t>
  </si>
  <si>
    <t>CAIXA RETANGULAR 4" X 4" BAIXA (0,30 M DO PISO), METÁLICA, INSTALADA EM PAREDE - FORNECIMENTO E INSTALAÇÃO. AF_03/2023</t>
  </si>
  <si>
    <t>CAIXA ENTERRADA ELÉTRICA RETANGULAR, EM CONCRETO PRÉ-MOLDADO, FUNDO COM BRITA, DIMENSÕES INTERNAS: 0,3X0,3X0,3 M. AF_12/2020</t>
  </si>
  <si>
    <t>CAIXA ENTERRADA ELÉTRICA RETANGULAR, EM CONCRETO PRÉ-MOLDADO, FUNDO COM BRITA, DIMENSÕES INTERNAS: 0,4X0,4X0,4 M. AF_12/2020</t>
  </si>
  <si>
    <t>CAIXA ENTERRADA ELÉTRICA RETANGULAR, EM CONCRETO PRÉ-MOLDADO, FUNDO COM BRITA, DIMENSÕES INTERNAS: 0,6X0,6X0,5 M. AF_12/2020</t>
  </si>
  <si>
    <t>CAIXA ENTERRADA ELÉTRICA RETANGULAR, EM CONCRETO PRÉ-MOLDADO, FUNDO COM BRITA, DIMENSÕES INTERNAS: 0,8X0,8X0,5 M. AF_12/2020</t>
  </si>
  <si>
    <t>CAIXA ENTERRADA ELÉTRICA RETANGULAR, EM CONCRETO PRÉ-MOLDADO, FUNDO COM BRITA, DIMENSÕES INTERNAS: 1X1X0,5 M. AF_12/2020</t>
  </si>
  <si>
    <t>CAIXA ENTERRADA ELÉTRICA RETANGULAR, EM ALVENARIA COM TIJOLOS CERÂMICOS MACIÇOS, FUNDO COM BRITA, DIMENSÕES INTERNAS: 0,3X0,3X0,3 M. AF_12/2020</t>
  </si>
  <si>
    <t>CAIXA ENTERRADA ELÉTRICA RETANGULAR, EM ALVENARIA COM TIJOLOS CERÂMICOS MACIÇOS, FUNDO COM BRITA, DIMENSÕES INTERNAS: 0,4X0,4X0,4 M. AF_12/2020</t>
  </si>
  <si>
    <t>CAIXA ENTERRADA ELÉTRICA RETANGULAR, EM ALVENARIA COM TIJOLOS CERÂMICOS MACIÇOS, FUNDO COM BRITA, DIMENSÕES INTERNAS: 0,6X0,6X0,6 M. AF_12/2020</t>
  </si>
  <si>
    <t>CAIXA ENTERRADA ELÉTRICA RETANGULAR, EM ALVENARIA COM TIJOLOS CERÂMICOS MACIÇOS, FUNDO COM BRITA, DIMENSÕES INTERNAS: 0,8X0,8X0,6 M. AF_12/2020</t>
  </si>
  <si>
    <t>CAIXA ENTERRADA ELÉTRICA RETANGULAR, EM ALVENARIA COM TIJOLOS CERÂMICOS MACIÇOS, FUNDO COM BRITA, DIMENSÕES INTERNAS: 1X1X0,6 M. AF_12/2020</t>
  </si>
  <si>
    <t>CAIXA ENTERRADA ELÉTRICA RETANGULAR, EM ALVENARIA COM BLOCOS DE CONCRETO, FUNDO COM BRITA, DIMENSÕES INTERNAS: 0,4X0,4X0,4 M. AF_12/2020</t>
  </si>
  <si>
    <t>CAIXA ENTERRADA ELÉTRICA RETANGULAR, EM ALVENARIA COM BLOCOS DE CONCRETO, FUNDO COM BRITA, DIMENSÕES INTERNAS: 0,6X0,6X0,6 M. AF_12/2020</t>
  </si>
  <si>
    <t>CAIXA ENTERRADA ELÉTRICA RETANGULAR, EM ALVENARIA COM BLOCOS DE CONCRETO, FUNDO COM BRITA, DIMENSÕES INTERNAS: 0,8X0,8X0,6 M. AF_12/2020</t>
  </si>
  <si>
    <t>CAIXA ENTERRADA ELÉTRICA RETANGULAR, EM ALVENARIA COM BLOCOS DE CONCRETO, FUNDO COM BRITA, DIMENSÕES INTERNAS: 1X1X0,6 M. AF_12/2020</t>
  </si>
  <si>
    <t>SUPORTE PARAFUSADO COM PLACA DE ENCAIXE 4" X 2" ALTO (2,00 M DO PISO) PARA PONTO ELÉTRICO - FORNECIMENTO E INSTALAÇÃO. AF_03/2023</t>
  </si>
  <si>
    <t>SUPORTE PARAFUSADO COM PLACA DE ENCAIXE 4" X 2" MÉDIO (1,30 M DO PISO) PARA PONTO ELÉTRICO - FORNECIMENTO E INSTALAÇÃO. AF_03/2023</t>
  </si>
  <si>
    <t>SUPORTE PARAFUSADO COM PLACA DE ENCAIXE 4" X 2" BAIXO (0,30 M DO PISO) PARA PONTO ELÉTRICO - FORNECIMENTO E INSTALAÇÃO. AF_03/2023</t>
  </si>
  <si>
    <t>SUPORTE PARAFUSADO COM PLACA DE ENCAIXE 4" X 4" ALTO (2,00 M DO PISO) PARA PONTO ELÉTRICO - FORNECIMENTO E INSTALAÇÃO. AF_03/2023</t>
  </si>
  <si>
    <t>SUPORTE PARAFUSADO COM PLACA DE ENCAIXE 4" X 4" MÉDIO (1,30 M DO PISO) PARA PONTO ELÉTRICO - FORNECIMENTO E INSTALAÇÃO. AF_03/2023</t>
  </si>
  <si>
    <t>SUPORTE PARAFUSADO COM PLACA DE ENCAIXE 4" X 4" BAIXO (0,30 M DO PISO) PARA PONTO ELÉTRICO - FORNECIMENTO E INSTALAÇÃO. AF_03/2023</t>
  </si>
  <si>
    <t>INTERRUPTOR SIMPLES (1 MÓDULO), 10A/250V, SEM SUPORTE E SEM PLACA - FORNECIMENTO E INSTALAÇÃO. AF_03/2023</t>
  </si>
  <si>
    <t>INTERRUPTOR SIMPLES (1 MÓDULO), 10A/250V, INCLUINDO SUPORTE E PLACA - FORNECIMENTO E INSTALAÇÃO. AF_03/2023</t>
  </si>
  <si>
    <t>INTERRUPTOR PARALELO (1 MÓDULO), 10A/250V, SEM SUPORTE E SEM PLACA - FORNECIMENTO E INSTALAÇÃO. AF_03/2023</t>
  </si>
  <si>
    <t>INTERRUPTOR PARALELO (1 MÓDULO), 10A/250V, INCLUINDO SUPORTE E PLACA - FORNECIMENTO E INSTALAÇÃO. AF_03/2023</t>
  </si>
  <si>
    <t>INTERRUPTOR SIMPLES (1 MÓDULO) COM INTERRUPTOR PARALELO (1 MÓDULO), 10A/250V, SEM SUPORTE E SEM PLACA - FORNECIMENTO E INSTALAÇÃO. AF_03/2023</t>
  </si>
  <si>
    <t>INTERRUPTOR SIMPLES (1 MÓDULO) COM INTERRUPTOR PARALELO (1 MÓDULO), 10A/250V, INCLUINDO SUPORTE E PLACA - FORNECIMENTO E INSTALAÇÃO. AF_03/2023</t>
  </si>
  <si>
    <t>INTERRUPTOR SIMPLES (2 MÓDULOS), 10A/250V, SEM SUPORTE E SEM PLACA - FORNECIMENTO E INSTALAÇÃO. AF_03/2023</t>
  </si>
  <si>
    <t>INTERRUPTOR SIMPLES (2 MÓDULOS), 10A/250V, INCLUINDO SUPORTE E PLACA - FORNECIMENTO E INSTALAÇÃO. AF_03/2023</t>
  </si>
  <si>
    <t>INTERRUPTOR PARALELO (2 MÓDULOS), 10A/250V, SEM SUPORTE E SEM PLACA - FORNECIMENTO E INSTALAÇÃO. AF_03/2023</t>
  </si>
  <si>
    <t>INTERRUPTOR PARALELO (2 MÓDULOS), 10A/250V, INCLUINDO SUPORTE E PLACA - FORNECIMENTO E INSTALAÇÃO. AF_03/2023</t>
  </si>
  <si>
    <t>INTERRUPTOR SIMPLES (1 MÓDULO) COM INTERRUPTOR PARALELO (2 MÓDULOS), 10A/250V, SEM SUPORTE E SEM PLACA - FORNECIMENTO E INSTALAÇÃO. AF_03/2023</t>
  </si>
  <si>
    <t>INTERRUPTOR SIMPLES (1 MÓDULO) COM INTERRUPTOR PARALELO (2 MÓDULOS), 10A/250V, INCLUINDO SUPORTE E PLACA - FORNECIMENTO E INSTALAÇÃO. AF_03/2023</t>
  </si>
  <si>
    <t>INTERRUPTOR SIMPLES (2 MÓDULOS) COM INTERRUPTOR PARALELO (1 MÓDULO), 10A/250V, SEM SUPORTE E SEM PLACA - FORNECIMENTO E INSTALAÇÃO. AF_03/2023</t>
  </si>
  <si>
    <t>INTERRUPTOR SIMPLES (2 MÓDULOS) COM INTERRUPTOR PARALELO (1 MÓDULO), 10A/250V, INCLUINDO SUPORTE E PLACA - FORNECIMENTO E INSTALAÇÃO. AF_03/2023</t>
  </si>
  <si>
    <t>INTERRUPTOR SIMPLES (3 MÓDULOS), 10A/250V, SEM SUPORTE E SEM PLACA - FORNECIMENTO E INSTALAÇÃO. AF_03/2023</t>
  </si>
  <si>
    <t>INTERRUPTOR SIMPLES (3 MÓDULOS), 10A/250V, INCLUINDO SUPORTE E PLACA - FORNECIMENTO E INSTALAÇÃO. AF_03/2023</t>
  </si>
  <si>
    <t>INTERRUPTOR PARALELO (3 MÓDULOS), 10A/250V, SEM SUPORTE E SEM PLACA - FORNECIMENTO E INSTALAÇÃO. AF_03/2023</t>
  </si>
  <si>
    <t>INTERRUPTOR PARALELO (3 MÓDULOS), 10A/250V, INCLUINDO SUPORTE E PLACA - FORNECIMENTO E INSTALAÇÃO. AF_03/2023</t>
  </si>
  <si>
    <t>INTERRUPTOR SIMPLES (3 MÓDULOS) COM INTERRUPTOR PARALELO (1 MÓDULO), 10A/250V, SEM SUPORTE E SEM PLACA - FORNECIMENTO E INSTALAÇÃO. AF_03/2023</t>
  </si>
  <si>
    <t>INTERRUPTOR SIMPLES (3 MÓDULOS) COM INTERRUPTOR PARALELO (1 MÓDULO), 10A/250V, INCLUINDO SUPORTE E PLACA - FORNECIMENTO E INSTALAÇÃO. AF_03/2023</t>
  </si>
  <si>
    <t>INTERRUPTOR SIMPLES (2 MÓDULOS) COM INTERRUPTOR PARALELO (2 MÓDULOS), 10A/250V, SEM SUPORTE E SEM PLACA - FORNECIMENTO E INSTALAÇÃO. AF_03/2023</t>
  </si>
  <si>
    <t>INTERRUPTOR SIMPLES (2 MÓDULOS) COM INTERRUPTOR PARALELO (2 MÓDULOS), 10A/250V, INCLUINDO SUPORTE E PLACA - FORNECIMENTO E INSTALAÇÃO. AF_03/2023</t>
  </si>
  <si>
    <t>INTERRUPTOR SIMPLES (4 MÓDULOS), 10A/250V, SEM SUPORTE E SEM PLACA - FORNECIMENTO E INSTALAÇÃO. AF_03/2023</t>
  </si>
  <si>
    <t>INTERRUPTOR SIMPLES (4 MÓDULOS), 10A/250V, INCLUINDO SUPORTE E PLACA - FORNECIMENTO E INSTALAÇÃO. AF_03/2023</t>
  </si>
  <si>
    <t>INTERRUPTOR SIMPLES (6 MÓDULOS), 10A/250V, SEM SUPORTE E SEM PLACA - FORNECIMENTO E INSTALAÇÃO. AF_03/2023</t>
  </si>
  <si>
    <t>INTERRUPTOR SIMPLES (6 MÓDULOS), 10A/250V, INCLUINDO SUPORTE E PLACA - FORNECIMENTO E INSTALAÇÃO. AF_03/2023</t>
  </si>
  <si>
    <t>INTERRUPTOR INTERMEDIÁRIO (1 MÓDULO), 10A/250V, SEM SUPORTE E SEM PLACA - FORNECIMENTO E INSTALAÇÃO. AF_03/2023</t>
  </si>
  <si>
    <t>INTERRUPTOR INTERMEDIÁRIO (1 MÓDULO), 10A/250V, INCLUINDO SUPORTE E PLACA - FORNECIMENTO E INSTALAÇÃO. AF_03/2023</t>
  </si>
  <si>
    <t>INTERRUPTOR BIPOLAR (1 MÓDULO), 10A/250V, SEM SUPORTE E SEM PLACA - FORNECIMENTO E INSTALAÇÃO. AF_03/2023</t>
  </si>
  <si>
    <t>INTERRUPTOR BIPOLAR (1 MÓDULO), 10A/250V, INCLUINDO SUPORTE E PLACA - FORNECIMENTO E INSTALAÇÃO. AF_03/2023</t>
  </si>
  <si>
    <t>DIMMER ROTATIVO (1 MÓDULO), 220V/600W, SEM SUPORTE E SEM PLACA - FORNECIMENTO E INSTALAÇÃO. AF_03/2023</t>
  </si>
  <si>
    <t>DIMMER ROTATIVO (1 MÓDULO), 220V/600W, INCLUINDO SUPORTE E PLACA - FORNECIMENTO E INSTALAÇÃO. AF_03/2023</t>
  </si>
  <si>
    <t>INTERRUPTOR PULSADOR CAMPAINHA (1 MÓDULO), 10A/250V, SEM SUPORTE E SEM PLACA - FORNECIMENTO E INSTALAÇÃO. AF_03/2023</t>
  </si>
  <si>
    <t>INTERRUPTOR PULSADOR CAMPAINHA (1 MÓDULO), 10A/250V, INCLUINDO SUPORTE E PLACA - FORNECIMENTO E INSTALAÇÃO. AF_03/2023</t>
  </si>
  <si>
    <t>CAMPAINHA CIGARRA (1 MÓDULO), 10A/250V, SEM SUPORTE E SEM PLACA - FORNECIMENTO E INSTALAÇÃO. AF_03/2023</t>
  </si>
  <si>
    <t>CAMPAINHA CIGARRA (1 MÓDULO), 10A/250V, INCLUINDO SUPORTE E PLACA - FORNECIMENTO E INSTALAÇÃO. AF_03/2023</t>
  </si>
  <si>
    <t>INTERRUPTOR PULSADOR MINUTERIA (1 MÓDULO), 10A/250V, SEM SUPORTE E SEM PLACA - FORNECIMENTO E INSTALAÇÃO. AF_03/2023</t>
  </si>
  <si>
    <t>INTERRUPTOR PULSADOR MINUTERIA (1 MÓDULO), 10A/250V, INCLUINDO SUPORTE E PLACA - FORNECIMENTO E INSTALAÇÃO. AF_03/2023</t>
  </si>
  <si>
    <t>TOMADA ALTA DE EMBUTIR (1 MÓDULO), 2P+T 10 A, SEM SUPORTE E SEM PLACA - FORNECIMENTO E INSTALAÇÃO. AF_03/2023</t>
  </si>
  <si>
    <t>TOMADA ALTA DE EMBUTIR (1 MÓDULO), 2P+T 20 A, SEM SUPORTE E SEM PLACA - FORNECIMENTO E INSTALAÇÃO. AF_03/2023</t>
  </si>
  <si>
    <t>TOMADA ALTA DE EMBUTIR (1 MÓDULO), 2P+T 10 A, INCLUINDO SUPORTE E PLACA - FORNECIMENTO E INSTALAÇÃO. AF_03/2023</t>
  </si>
  <si>
    <t>TOMADA ALTA DE EMBUTIR (1 MÓDULO), 2P+T 20 A, INCLUINDO SUPORTE E PLACA - FORNECIMENTO E INSTALAÇÃO. AF_03/2023</t>
  </si>
  <si>
    <t>TOMADA MÉDIA DE EMBUTIR (1 MÓDULO), 2P+T 10 A, SEM SUPORTE E SEM PLACA - FORNECIMENTO E INSTALAÇÃO. AF_03/2023</t>
  </si>
  <si>
    <t>TOMADA MÉDIA DE EMBUTIR (1 MÓDULO), 2P+T 20 A, SEM SUPORTE E SEM PLACA - FORNECIMENTO E INSTALAÇÃO. AF_03/2023</t>
  </si>
  <si>
    <t>TOMADA MÉDIA DE EMBUTIR (1 MÓDULO), 2P+T 10 A, INCLUINDO SUPORTE E PLACA - FORNECIMENTO E INSTALAÇÃO. AF_03/2023</t>
  </si>
  <si>
    <t>TOMADA MÉDIA DE EMBUTIR (1 MÓDULO), 2P+T 20 A, INCLUINDO SUPORTE E PLACA - FORNECIMENTO E INSTALAÇÃO. AF_03/2023</t>
  </si>
  <si>
    <t>TOMADA BAIXA DE EMBUTIR (1 MÓDULO), 2P+T 10 A, SEM SUPORTE E SEM PLACA - FORNECIMENTO E INSTALAÇÃO. AF_03/2023</t>
  </si>
  <si>
    <t>TOMADA BAIXA DE EMBUTIR (1 MÓDULO), 2P+T 20 A, SEM SUPORTE E SEM PLACA - FORNECIMENTO E INSTALAÇÃO. AF_03/2023</t>
  </si>
  <si>
    <t>TOMADA BAIXA DE EMBUTIR (1 MÓDULO), 2P+T 10 A, INCLUINDO SUPORTE E PLACA - FORNECIMENTO E INSTALAÇÃO. AF_03/2023</t>
  </si>
  <si>
    <t>TOMADA BAIXA DE EMBUTIR (1 MÓDULO), 2P+T 20 A, INCLUINDO SUPORTE E PLACA - FORNECIMENTO E INSTALAÇÃO. AF_03/2023</t>
  </si>
  <si>
    <t>TOMADA MÉDIA DE EMBUTIR (2 MÓDULOS), 2P+T 10 A, SEM SUPORTE E SEM PLACA - FORNECIMENTO E INSTALAÇÃO. AF_03/2023</t>
  </si>
  <si>
    <t>TOMADA MÉDIA DE EMBUTIR (2 MÓDULOS), 2P+T 20 A, SEM SUPORTE E SEM PLACA - FORNECIMENTO E INSTALAÇÃO. AF_03/2023</t>
  </si>
  <si>
    <t>TOMADA MÉDIA DE EMBUTIR (2 MÓDULOS), 2P+T 10 A, INCLUINDO SUPORTE E PLACA - FORNECIMENTO E INSTALAÇÃO. AF_03/2023</t>
  </si>
  <si>
    <t>TOMADA MÉDIA DE EMBUTIR (2 MÓDULOS), 2P+T 20 A, INCLUINDO SUPORTE E PLACA - FORNECIMENTO E INSTALAÇÃO. AF_03/2023</t>
  </si>
  <si>
    <t>TOMADA BAIXA DE EMBUTIR (2 MÓDULOS), 2P+T 10 A, SEM SUPORTE E SEM PLACA - FORNECIMENTO E INSTALAÇÃO. AF_03/2023</t>
  </si>
  <si>
    <t>TOMADA BAIXA DE EMBUTIR (2 MÓDULOS), 2P+T 20 A, SEM SUPORTE E SEM PLACA - FORNECIMENTO E INSTALAÇÃO. AF_03/2023</t>
  </si>
  <si>
    <t>TOMADA BAIXA DE EMBUTIR (2 MÓDULOS), 2P+T 10 A, INCLUINDO SUPORTE E PLACA - FORNECIMENTO E INSTALAÇÃO. AF_03/2023</t>
  </si>
  <si>
    <t>TOMADA BAIXA DE EMBUTIR (2 MÓDULOS), 2P+T 20 A, INCLUINDO SUPORTE E PLACA - FORNECIMENTO E INSTALAÇÃO. AF_03/2023</t>
  </si>
  <si>
    <t>TOMADA MÉDIA DE EMBUTIR (3 MÓDULOS), 2P+T 10 A, SEM SUPORTE E SEM PLACA - FORNECIMENTO E INSTALAÇÃO. AF_03/2023</t>
  </si>
  <si>
    <t>TOMADA MÉDIA DE EMBUTIR (3 MÓDULOS), 2P+T 20 A, SEM SUPORTE E SEM PLACA - FORNECIMENTO E INSTALAÇÃO. AF_03/2023</t>
  </si>
  <si>
    <t>TOMADA MÉDIA DE EMBUTIR (3 MÓDULOS), 2P+T 10 A, INCLUINDO SUPORTE E PLACA - FORNECIMENTO E INSTALAÇÃO. AF_03/2023</t>
  </si>
  <si>
    <t>TOMADA MÉDIA DE EMBUTIR (3 MÓDULOS), 2P+T 20 A, INCLUINDO SUPORTE E PLACA - FORNECIMENTO E INSTALAÇÃO. AF_03/2023</t>
  </si>
  <si>
    <t>TOMADA BAIXA DE EMBUTIR (3 MÓDULOS), 2P+T 10 A, SEM SUPORTE E SEM PLACA - FORNECIMENTO E INSTALAÇÃO. AF_03/2023</t>
  </si>
  <si>
    <t>TOMADA BAIXA DE EMBUTIR (3 MÓDULOS), 2P+T 20 A, SEM SUPORTE E SEM PLACA - FORNECIMENTO E INSTALAÇÃO. AF_03/2023</t>
  </si>
  <si>
    <t>TOMADA BAIXA DE EMBUTIR (3 MÓDULOS), 2P+T 10 A, INCLUINDO SUPORTE E PLACA - FORNECIMENTO E INSTALAÇÃO. AF_03/2023</t>
  </si>
  <si>
    <t>TOMADA BAIXA DE EMBUTIR (3 MÓDULOS), 2P+T 20 A, INCLUINDO SUPORTE E PLACA - FORNECIMENTO E INSTALAÇÃO. AF_03/2023</t>
  </si>
  <si>
    <t>TOMADA BAIXA DE EMBUTIR (4 MÓDULOS), 2P+T 10 A, SEM SUPORTE E SEM PLACA - FORNECIMENTO E INSTALAÇÃO. AF_03/2023</t>
  </si>
  <si>
    <t>TOMADA BAIXA DE EMBUTIR (4 MÓDULOS), 2P+T 10 A, INCLUINDO SUPORTE E PLACA - FORNECIMENTO E INSTALAÇÃO. AF_03/2023</t>
  </si>
  <si>
    <t>TOMADA BAIXA DE EMBUTIR (6 MÓDULOS), 2P+T 10 A, SEM SUPORTE E SEM PLACA - FORNECIMENTO E INSTALAÇÃO. AF_03/2023</t>
  </si>
  <si>
    <t>TOMADA BAIXA DE EMBUTIR (6 MÓDULOS), 2P+T 10 A, INCLUINDO SUPORTE E PLACA - FORNECIMENTO E INSTALAÇÃO. AF_03/2023</t>
  </si>
  <si>
    <t>INTERRUPTOR SIMPLES (1 MÓDULO) COM 1 TOMADA DE EMBUTIR 2P+T 10 A, SEM SUPORTE E SEM PLACA - FORNECIMENTO E INSTALAÇÃO. AF_03/2023</t>
  </si>
  <si>
    <t>INTERRUPTOR SIMPLES (1 MÓDULO) COM 1 TOMADA DE EMBUTIR 2P+T 10 A, INCLUINDO SUPORTE E PLACA - FORNECIMENTO E INSTALAÇÃO. AF_03/2023</t>
  </si>
  <si>
    <t>INTERRUPTOR SIMPLES (1 MÓDULO) COM 2 TOMADAS DE EMBUTIR 2P+T 10 A, SEM SUPORTE E SEM PLACA - FORNECIMENTO E INSTALAÇÃO. AF_03/2023</t>
  </si>
  <si>
    <t>INTERRUPTOR SIMPLES (1 MÓDULO) COM 2 TOMADAS DE EMBUTIR 2P+T 10 A, INCLUINDO SUPORTE E PLACA - FORNECIMENTO E INSTALAÇÃO. AF_03/2023</t>
  </si>
  <si>
    <t>INTERRUPTOR SIMPLES (2 MÓDULOS) COM 1 TOMADA DE EMBUTIR 2P+T 10 A, SEM SUPORTE E SEM PLACA - FORNECIMENTO E INSTALAÇÃO. AF_03/2023</t>
  </si>
  <si>
    <t>INTERRUPTOR SIMPLES (2 MÓDULOS) COM 1 TOMADA DE EMBUTIR 2P+T 10 A, INCLUINDO SUPORTE E PLACA - FORNECIMENTO E INSTALAÇÃO. AF_03/2023</t>
  </si>
  <si>
    <t>INTERRUPTOR PARALELO (1 MÓDULO) COM 1 TOMADA DE EMBUTIR 2P+T 10 A, SEM SUPORTE E SEM PLACA - FORNECIMENTO E INSTALAÇÃO. AF_03/2023</t>
  </si>
  <si>
    <t>INTERRUPTOR PARALELO (1 MÓDULO) COM 1 TOMADA DE EMBUTIR 2P+T 10 A, INCLUINDO SUPORTE E PLACA - FORNECIMENTO E INSTALAÇÃO. AF_03/2023</t>
  </si>
  <si>
    <t>INTERRUPTOR PARALELO (1 MÓDULO) COM 2 TOMADAS DE EMBUTIR 2P+T 10 A, SEM SUPORTE E SEM PLACA - FORNECIMENTO E INSTALAÇÃO. AF_03/2023</t>
  </si>
  <si>
    <t>INTERRUPTOR PARALELO (1 MÓDULO) COM 2 TOMADAS DE EMBUTIR 2P+T 10 A, INCLUINDO SUPORTE E PLACA - FORNECIMENTO E INSTALAÇÃO. AF_03/2023</t>
  </si>
  <si>
    <t>INTERRUPTOR PARALELO (2 MÓDULOS) COM 1 TOMADA DE EMBUTIR 2P+T 10 A, SEM SUPORTE E SEM PLACA - FORNECIMENTO E INSTALAÇÃO. AF_03/2023</t>
  </si>
  <si>
    <t>INTERRUPTOR PARALELO (2 MÓDULOS) COM 1 TOMADA DE EMBUTIR 2P+T 10 A, INCLUINDO SUPORTE E PLACA - FORNECIMENTO E INSTALAÇÃO. AF_03/2023</t>
  </si>
  <si>
    <t>INTERRUPTOR SIMPLES (1 MÓDULO), INTERRUPTOR PARALELO (1 MÓDULO) E 1 TOMADA DE EMBUTIR 2P+T 10 A, SEM SUPORTE E SEM PLACA - FORNECIMENTO E INSTALAÇÃO. AF_03/2023</t>
  </si>
  <si>
    <t>INTERRUPTOR SIMPLES (1 MÓDULO), INTERRUPTOR PARALELO (1 MÓDULO) E 1 TOMADA DE EMBUTIR 2P+T 10 A, INCLUINDO SUPORTE E PLACA - FORNECIMENTO E INSTALAÇÃO. AF_03/2023</t>
  </si>
  <si>
    <t>TRANSFORMADOR DE DISTRIBUIÇÃO, 30 KVA, TRIFÁSICO, 60 HZ, CLASSE 15 KV, IMERSO EM ÓLEO MINERAL, INSTALAÇÃO EM POSTE (NÃO INCLUSO SUPORTE) - FORNECIMENTO E INSTALAÇÃO. AF_12/2020</t>
  </si>
  <si>
    <t>TRANSFORMADOR DE DISTRIBUIÇÃO, 45 KVA, TRIFÁSICO, 60 HZ, CLASSE 15 KV, IMERSO EM ÓLEO MINERAL, INSTALAÇÃO EM POSTE (NÃO INCLUSO SUPORTE) - FORNECIMENTO E INSTALAÇÃO. AF_12/2020</t>
  </si>
  <si>
    <t>TRANSFORMADOR DE DISTRIBUIÇÃO, 75 KVA, TRIFÁSICO, 60 HZ, CLASSE 15 KV, IMERSO EM ÓLEO MINERAL, INSTALAÇÃO EM POSTE (NÃO INCLUSO SUPORTE) - FORNECIMENTO E INSTALAÇÃO. AF_12/2020</t>
  </si>
  <si>
    <t>TRANSFORMADOR DE DISTRIBUIÇÃO, 112,5 KVA, TRIFÁSICO, 60 HZ, CLASSE 15 KV, IMERSO EM ÓLEO MINERAL, INSTALAÇÃO EM POSTE (NÃO INCLUSO SUPORTE) - FORNECIMENTO E INSTALAÇÃO. AF_12/2020</t>
  </si>
  <si>
    <t>TRANSFORMADOR DE DISTRIBUIÇÃO, 150 KVA, TRIFÁSICO, 60 HZ, CLASSE 15 KV, IMERSO EM ÓLEO MINERAL, INSTALAÇÃO EM POSTE (NÃO INCLUSO SUPORTE) - FORNECIMENTO E INSTALAÇÃO. AF_12/2020</t>
  </si>
  <si>
    <t>TRANSFORMADOR DE DISTRIBUIÇÃO, 225 KVA, TRIFÁSICO, 60 HZ, CLASSE 15 KV, IMERSO EM ÓLEO MINERAL, INSTALAÇÃO EM POSTE (NÃO INCLUSO SUPORTE) - FORNECIMENTO E INSTALAÇÃO. AF_12/2020</t>
  </si>
  <si>
    <t>TRANSFORMADOR DE DISTRIBUIÇÃO, 300 KVA, TRIFÁSICO, 60 HZ, CLASSE 15 KV, IMERSO EM ÓLEO MINERAL, INSTALAÇÃO EM POSTE (NÃO INCLUSO SUPORTE) - FORNECIMENTO E INSTALAÇÃO. AF_12/2020</t>
  </si>
  <si>
    <t>SUPORTE PARA TRANSFORMADOR EM POSTE DE CONCRETO CIRCULAR - FORNECIMENTO E INSTALAÇÃO. AF_12/2020</t>
  </si>
  <si>
    <t>SUPORTE PARA TRANSFORMADOR EM POSTE DE CONCRETO DUPLO T - FORNECIMENTO E INSTALAÇÃO. AF_12/2020</t>
  </si>
  <si>
    <t>TRANSFORMADOR DE DISTRIBUIÇÃO, 500KVA, TRIFÁSICO, 60 HZ, CLASSE 15 KV, IMERSO EM ÓLEO MINERAL, INSTALAÇÃO EM SOLO (NÃO INCLUSO ABRIGO) - FORNECIMENTO E INSTALAÇÃO. AF_02/2022</t>
  </si>
  <si>
    <t>TRANSFORMADOR DE DISTRIBUIÇÃO, 750 KVA, TRIFÁSICO, 60 HZ, CLASSE 15 KV, IMERSO EM ÓLEO MINERAL, INSTALAÇÃO EM SOLO (NÃO INCLUSO ABRIGO) - FORNECIMENTO E INSTALAÇÃO. AF_02/2022</t>
  </si>
  <si>
    <t>TRANSFORMADOR DE DISTRIBUIÇÃO, 1000 KVA, TRIFÁSICO, 60 HZ, CLASSE 15 KV, IMERSO EM ÓLEO MINERAL, INSTALAÇÃO EM SOLO (NÃO INCLUSO ABRIGO) - FORNECIMENTO E INSTALAÇÃO. AF_02/2022</t>
  </si>
  <si>
    <t>PLACA DE CONCRETO PRÉ-MOLDADO COMO PROTEÇÃO MECÂNICA ADICIONAL NO REATERRO PARA REDE ENTERRADA DE DISTRIBUIÇÃO DE ENERGIA ELÉTRICA - FORNECIMENTO E INSTALAÇÃO. AF_12/2021</t>
  </si>
  <si>
    <t>CONCRETAGEM COMO PROTEÇÃO MECÂNICA ADICIONAL NO REATERRO PARA REDE ENTERRADA DE DISTRIBUIÇÃO DE ENERGIA ELÉTRICA - FORNECIMENTO E INSTALAÇÃO. AF_12/2021</t>
  </si>
  <si>
    <t>CAIXA ENTERRADA PARA INSTALAÇÕES TELEFÔNICAS TIPO R1, EM ALVENARIA COM BLOCOS DE CONCRETO, DIMENSÕES INTERNAS: 0,35X0,60X0,60 M, EXCLUINDO TAMPÃO. AF_12/2020</t>
  </si>
  <si>
    <t>TAMPA PARA CAIXA TIPO R1, EM FERRO FUNDIDO, DIMENSÕES INTERNAS: 0,40 X 0,60 M - FORNECIMENTO E INSTALAÇÃO. AF_12/2020</t>
  </si>
  <si>
    <t>TAMPA PARA CAIXA TIPO R2 E R3, EM FERRO FUNDIDO, DIMENSÕES INTERNAS: 0,55 X 1,10 M - FORNECIMENTO E INSTALAÇÃO. AF_12/2020</t>
  </si>
  <si>
    <t>AR CONDICIONADO SPLIT INVERTER, HI-WALL (PAREDE), 9000 BTU/H, CICLO FRIO - FORNECIMENTO E INSTALAÇÃO. AF_11/2021_PE</t>
  </si>
  <si>
    <t>AR CONDICIONADO SPLIT ON/OFF, HI-WALL (PAREDE), 9000 BTUS/H, CICLO FRIO - FORNECIMENTO E INSTALAÇÃO. AF_11/2021_PE</t>
  </si>
  <si>
    <t>AR CONDICIONADO SPLIT ON/OFF, HI-WALL (PAREDE), 9000 BTUS/H, CICLO QUENTE/FRIO - FORNECIMENTO E INSTALAÇÃO. AF_11/2021_PE</t>
  </si>
  <si>
    <t>AR CONDICIONADO SPLIT INVERTER, HI-WALL (PAREDE), 12000 BTU/H, CICLO FRIO - FORNECIMENTO E INSTALAÇÃO. AF_11/2021_PE</t>
  </si>
  <si>
    <t>AR CONDICIONADO SPLIT ON/OFF, HI-WALL (PAREDE), 12000 BTUS/H, CICLO FRIO - FORNECIMENTO E INSTALAÇÃO. AF_11/2021_PE</t>
  </si>
  <si>
    <t>AR CONDICIONADO SPLIT ON/OFF, HI-WALL (PAREDE), 12000 BTUS/H, CICLO QUENTE/FRIO - FORNECIMENTO E INSTALAÇÃO. AF_11/2021_PE</t>
  </si>
  <si>
    <t>AR CONDICIONADO SPLIT INVERTER, HI-WALL (PAREDE), 18000 BTU/H, CICLO FRIO - FORNECIMENTO E INSTALAÇÃO. AF_11/2021_PE</t>
  </si>
  <si>
    <t>AR CONDICIONADO SPLIT ON/OFF, HI-WALL (PAREDE), 18000 BTUS/H, CICLO FRIO - FORNECIMENTO E INSTALAÇÃO. AF_11/2021_PE</t>
  </si>
  <si>
    <t>AR CONDICIONADO SPLIT ON/OFF, HI-WALL (PAREDE), 18000 BTUS/H, CICLO QUENTE/FRIO - FORNECIMENTO E INSTALAÇÃO. AF_11/2021_PE</t>
  </si>
  <si>
    <t>AR CONDICIONADO SPLIT INVERTER, HI-WALL (PAREDE), 24000 BTU/H, CICLO FRIO - FORNECIMENTO E INSTALAÇÃO. AF_11/2021_PE</t>
  </si>
  <si>
    <t>AR CONDICIONADO SPLIT ON/OFF, HI-WALL (PAREDE), 24000 BTUS/H, CICLO FRIO - FORNECIMENTO E INSTALAÇÃO. AF_11/2021_PE</t>
  </si>
  <si>
    <t>AR CONDICIONADO SPLIT ON/OFF, HI-WALL (PAREDE), 24000 BTUS/H, CICLO QUENTE/FRIO - FORNECIMENTO E INSTALAÇÃO. AF_11/2021_PE</t>
  </si>
  <si>
    <t>AR CONDICIONADO SPLIT INVERTER, PISO TETO, 48000 BTU/H, CICLO FRIO - FORNECIMENTO E INSTALAÇÃO. AF_11/2021_PE</t>
  </si>
  <si>
    <t>AR CONDICIONADO SPLIT ON/OFF, PISO TETO, 48.000 BTU/H, CICLO FRIO - FORNECIMENTO E INSTALAÇÃO. AF_11/2021_PE</t>
  </si>
  <si>
    <t>AR CONDICIONADO SPLIT INVERTER, PISO TETO, APRESENTANDO ENTRE 54000 E 58000 BTU/H, CICLO FRIO - FORNECIMENTO E INSTALAÇÃO. AF_11/2021_PE</t>
  </si>
  <si>
    <t>AR CONDICIONADO SPLIT ON/OFF, PISO TETO, 60.000 BTU/H, CICLO FRIO - FORNECIMENTO E INSTALAÇÃO. AF_11/2021_PE</t>
  </si>
  <si>
    <t>AR CONDICIONADO SPLIT ON/OFF, CASSETE (TETO), FRIO 4 VIAS 18000 BTU/H - FORNECIMENTO E INSTALAÇÃO. AF_11/2021_PE</t>
  </si>
  <si>
    <t>AR CONDICIONADO SPLIT ON/OFF, CASSETE (TETO), 18000 BTU/H, CICLO QUENTE/FRIO - FORNECIMENTO E INSTALAÇÃO. AF_11/2021_PE</t>
  </si>
  <si>
    <t>AR CONDICIONADO SPLIT ON/OFF, CASSETE (TETO), FRIO 4 VIAS 24000 BTU/H - FORNECIMENTO E INSTALAÇÃO. AF_11/2021_PE</t>
  </si>
  <si>
    <t>AR CONDICIONADO SPLIT ON/OFF, CASSETE (TETO), 24000 BTU/H, CICLO QUENTE/FRIO - FORNECIMENTO E INSTALAÇÃO. AF_11/2021_PE</t>
  </si>
  <si>
    <t>AR CONDICIONADO SPLIT ON/OFF, CASSETE (TETO), FRIO 4 VIAS 36000 BTU/H - FORNECIMENTO E INSTALAÇÃO. AF_11/2021_PE</t>
  </si>
  <si>
    <t>AR CONDICIONADO SPLIT ON/OFF, CASSETE (TETO), 36000 BTU/H, CICLO QUENTE/FRIO - FORNECIMENTO E INSTALAÇÃO. AF_11/2021_PE</t>
  </si>
  <si>
    <t>AR CONDICIONADO SPLIT ON/OFF, CASSETE (TETO), FRIO 4 VIAS 48000 BTU/H - FORNECIMENTO E INSTALAÇÃO. AF_11/2021_PE</t>
  </si>
  <si>
    <t>AR CONDICIONADO SPLIT ON/OFF, CASSETE (TETO), 48000 BTU/H, CICLO QUENTE/FRIO - FORNECIMENTO E INSTALAÇÃO. AF_11/2021_PE</t>
  </si>
  <si>
    <t>AR CONDICIONADO SPLIT ON/OFF, CASSETE (TETO), FRIO 4 VIAS 60000 BTU/H - FORNECIMENTO E INSTALAÇÃO. AF_11/2021_PE</t>
  </si>
  <si>
    <t>AR CONDICIONADO SPLIT ON/OFF, CASSETE (TETO), 60000 BTU/H, CICLO QUENTE/FRIO - FORNECIMENTO E INSTALAÇÃO. AF_11/2021_PE</t>
  </si>
  <si>
    <t>AR CONDICIONADO SPLITÃO 10 TR - FORNECIMENTO E INSTALAÇÃO. AF_11/2021_PE</t>
  </si>
  <si>
    <t>AR CONDICIONADO SPLITÃO 15 TR - FORNECIMENTO E INSTALAÇÃO. AF_11/2021_PE</t>
  </si>
  <si>
    <t>RASGO E CHUMBAMENTO EM ALVENARIA PARA TUBOS DE SPLIT PAREDE DE 9000 A 24000 BTUS/H. AF_11/2021</t>
  </si>
  <si>
    <t>TUBO PVC, SÉRIE R, ÁGUA PLUVIAL, DN 40 MM, FORNECIDO E INSTALADO EM RAMAL DE ENCAMINHAMENTO. AF_06/2022</t>
  </si>
  <si>
    <t>TUBO PVC, SÉRIE R, ÁGUA PLUVIAL, DN 50 MM, FORNECIDO E INSTALADO EM RAMAL DE ENCAMINHAMENTO. AF_06/2022</t>
  </si>
  <si>
    <t>TUBO PVC, SÉRIE R, ÁGUA PLUVIAL, DN 75 MM, FORNECIDO E INSTALADO EM RAMAL DE ENCAMINHAMENTO. AF_06/2022</t>
  </si>
  <si>
    <t>TUBO PVC, SÉRIE R, ÁGUA PLUVIAL, DN 100 MM, FORNECIDO E INSTALADO EM RAMAL DE ENCAMINHAMENTO. AF_06/2022</t>
  </si>
  <si>
    <t>TUBO PVC, SÉRIE R, ÁGUA PLUVIAL, DN 75 MM, FORNECIDO E INSTALADO EM CONDUTORES VERTICAIS DE ÁGUAS PLUVIAIS. AF_06/2022</t>
  </si>
  <si>
    <t>TUBO PVC, SÉRIE R, ÁGUA PLUVIAL, DN 100 MM, FORNECIDO E INSTALADO EM CONDUTORES VERTICAIS DE ÁGUAS PLUVIAIS. AF_06/2022</t>
  </si>
  <si>
    <t>TUBO PVC, SÉRIE R, ÁGUA PLUVIAL, DN 150 MM, FORNECIDO E INSTALADO EM CONDUTORES VERTICAIS DE ÁGUAS PLUVIAIS. AF_06/2022</t>
  </si>
  <si>
    <t>TUBO, CPVC, SOLDÁVEL, DN 15MM, INSTALADO EM RAMAL OU SUB-RAMAL DE ÁGUA - FORNECIMENTO E INSTALAÇÃO. AF_06/2022</t>
  </si>
  <si>
    <t>TUBO, CPVC, SOLDÁVEL, DN 22MM, INSTALADO EM RAMAL OU SUB-RAMAL DE ÁGUA - FORNECIMENTO E INSTALAÇÃO. AF_06/2022</t>
  </si>
  <si>
    <t>TUBO, CPVC, SOLDÁVEL, DN 28MM, INSTALADO EM RAMAL OU SUB-RAMAL DE ÁGUA - FORNECIMENTO E INSTALAÇÃO. AF_06/2022</t>
  </si>
  <si>
    <t>TUBO PVC, SERIE NORMAL, ESGOTO PREDIAL, DN 40 MM, FORNECIDO E INSTALADO EM RAMAL DE DESCARGA OU RAMAL DE ESGOTO SANITÁRIO. AF_08/2022</t>
  </si>
  <si>
    <t>TUBO PVC, SERIE NORMAL, ESGOTO PREDIAL, DN 50 MM, FORNECIDO E INSTALADO EM RAMAL DE DESCARGA OU RAMAL DE ESGOTO SANITÁRIO. AF_08/2022</t>
  </si>
  <si>
    <t>TUBO PVC, SERIE NORMAL, ESGOTO PREDIAL, DN 75 MM, FORNECIDO E INSTALADO EM RAMAL DE DESCARGA OU RAMAL DE ESGOTO SANITÁRIO. AF_08/2022</t>
  </si>
  <si>
    <t>TUBO PVC, SERIE NORMAL, ESGOTO PREDIAL, DN 100 MM, FORNECIDO E INSTALADO EM RAMAL DE DESCARGA OU RAMAL DE ESGOTO SANITÁRIO. AF_08/2022</t>
  </si>
  <si>
    <t>TUBO, CPVC, SOLDÁVEL, DN 22MM, INSTALADO EM RAMAL DE DISTRIBUIÇÃO DE ÁGUA - FORNECIMENTO E INSTALAÇÃO. AF_06/2022</t>
  </si>
  <si>
    <t>TUBO, CPVC, SOLDÁVEL, DN 28MM, INSTALADO EM RAMAL DE DISTRIBUIÇÃO DE ÁGUA - FORNECIMENTO E INSTALAÇÃO. AF_06/2022</t>
  </si>
  <si>
    <t>TUBO PVC, SERIE NORMAL, ESGOTO PREDIAL, DN 50 MM, FORNECIDO E INSTALADO EM PRUMADA DE ESGOTO SANITÁRIO OU VENTILAÇÃO. AF_08/2022</t>
  </si>
  <si>
    <t>TUBO PVC, SERIE NORMAL, ESGOTO PREDIAL, DN 75 MM, FORNECIDO E INSTALADO EM PRUMADA DE ESGOTO SANITÁRIO OU VENTILAÇÃO. AF_08/2022</t>
  </si>
  <si>
    <t>TUBO PVC, SERIE NORMAL, ESGOTO PREDIAL, DN 100 MM, FORNECIDO E INSTALADO EM PRUMADA DE ESGOTO SANITÁRIO OU VENTILAÇÃO. AF_08/2022</t>
  </si>
  <si>
    <t>TUBO PVC, SERIE NORMAL, ESGOTO PREDIAL, DN 100 MM, FORNECIDO E INSTALADO EM SUBCOLETOR AÉREO DE ESGOTO SANITÁRIO. AF_08/2022</t>
  </si>
  <si>
    <t>TUBO PVC, SERIE NORMAL, ESGOTO PREDIAL, DN 150 MM, FORNECIDO E INSTALADO EM SUBCOLETOR AÉREO DE ESGOTO SANITÁRIO. AF_08/2022</t>
  </si>
  <si>
    <t>TUBO EM COBRE RÍGIDO, DN 22 MM, CLASSE E, SEM ISOLAMENTO, INSTALADO EM PRUMADA DE HIDRÁULICA PREDIAL - FORNECIMENTO E INSTALAÇÃO. AF_04/2022</t>
  </si>
  <si>
    <t>TUBO EM COBRE RÍGIDO, DN 28 MM, CLASSE E, SEM ISOLAMENTO, INSTALADO EM PRUMADA DE HIDRÁULICA PREDIAL - FORNECIMENTO E INSTALAÇÃO. AF_04/2022</t>
  </si>
  <si>
    <t>TUBO EM COBRE RÍGIDO, DN 35 MM, CLASSE E, SEM ISOLAMENTO, INSTALADO EM PRUMADA DE HIDRÁULICA PREDIAL - FORNECIMENTO E INSTALAÇÃO. AF_04/2022</t>
  </si>
  <si>
    <t>TUBO EM COBRE RÍGIDO, DN 42 MM, CLASSE E, SEM ISOLAMENTO, INSTALADO EM PRUMADA DE HIDRÁULICA PREDIAL - FORNECIMENTO E INSTALAÇÃO. AF_04/2022</t>
  </si>
  <si>
    <t>TUBO EM COBRE RÍGIDO, DN 54 MM, CLASSE E, SEM ISOLAMENTO, INSTALADO EM PRUMADA DE HIDRÁULICA PREDIAL - FORNECIMENTO E INSTALAÇÃO. AF_04/2022</t>
  </si>
  <si>
    <t>TUBO EM COBRE RÍGIDO, DN 66 MM, CLASSE E, SEM ISOLAMENTO, INSTALADO EM PRUMADA DE HIDRÁULICA PREDIAL - FORNECIMENTO E INSTALAÇÃO. AF_04/2022</t>
  </si>
  <si>
    <t>TUBO EM COBRE RÍGIDO, DN 22 MM, CLASSE E, COM ISOLAMENTO, INSTALADO EM PRUMADA DE HIDRÁULICA PREDIAL - FORNECIMENTO E INSTALAÇÃO. AF_04/2022</t>
  </si>
  <si>
    <t>TUBO EM COBRE RÍGIDO, DN 28 MM, CLASSE E, COM ISOLAMENTO, INSTALADO EM PRUMADA DE HIDRÁULICA PREDIAL - FORNECIMENTO E INSTALAÇÃO. AF_04/2022</t>
  </si>
  <si>
    <t>TUBO EM COBRE RÍGIDO, DN 35 MM, CLASSE E, COM ISOLAMENTO, INSTALADO EM PRUMADA DE HIDRÁULICA PREDIAL - FORNECIMENTO E INSTALAÇÃO. AF_04/2022</t>
  </si>
  <si>
    <t>TUBO EM COBRE RÍGIDO, DN 42 MM, CLASSE E, COM ISOLAMENTO, INSTALADO EM PRUMADA DE HIDRÁULICA PREDIAL - FORNECIMENTO E INSTALAÇÃO. AF_04/2022</t>
  </si>
  <si>
    <t>TUBO EM COBRE RÍGIDO, DN 54 MM, CLASSE E, COM ISOLAMENTO, INSTALADO EM PRUMADA DE HIDRÁULICA PREDIAL - FORNECIMENTO E INSTALAÇÃO. AF_04/2022</t>
  </si>
  <si>
    <t>TUBO EM COBRE RÍGIDO, DN 66 MM, CLASSE E, COM ISOLAMENTO, INSTALADO EM PRUMADA DE HIDRÁULICA PREDIAL - FORNECIMENTO E INSTALAÇÃO. AF_04/2022</t>
  </si>
  <si>
    <t>TUBO EM COBRE RÍGIDO, DN 15 MM, CLASSE E, SEM ISOLAMENTO, INSTALADO EM RAMAL DE DISTRIBUIÇÃO DE HIDRÁULICA PREDIAL - FORNECIMENTO E INSTALAÇÃO. AF_04/2022</t>
  </si>
  <si>
    <t>TUBO EM COBRE RÍGIDO, DN 22 MM, CLASSE E, SEM ISOLAMENTO, INSTALADO EM RAMAL DE DISTRIBUIÇÃO DE HIDRÁULICA PREDIAL - FORNECIMENTO E INSTALAÇÃO. AF_04/2022</t>
  </si>
  <si>
    <t>TUBO EM COBRE RÍGIDO, DN 28 MM, CLASSE E, SEM ISOLAMENTO, INSTALADO EM RAMAL DE DISTRIBUIÇÃO DE HIDRÁULICA PREDIAL - FORNECIMENTO E INSTALAÇÃO. AF_04/2022</t>
  </si>
  <si>
    <t>TUBO EM COBRE RÍGIDO, DN 15 MM, CLASSE E, COM ISOLAMENTO, INSTALADO EM RAMAL DE DISTRIBUIÇÃO DE HIDRÁULICA PREDIAL - FORNECIMENTO E INSTALAÇÃO. AF_04/2022</t>
  </si>
  <si>
    <t>TUBO EM COBRE RÍGIDO, DN 22 MM, CLASSE E, COM ISOLAMENTO, INSTALADO EM RAMAL DE DISTRIBUIÇÃO DE HIDRÁULICA PREDIAL - FORNECIMENTO E INSTALAÇÃO. AF_04/2022</t>
  </si>
  <si>
    <t>TUBO EM COBRE RÍGIDO, DN 28 MM, CLASSE E, COM ISOLAMENTO, INSTALADO EM RAMAL DE DISTRIBUIÇÃO DE HIDRÁULICA PREDIAL - FORNECIMENTO E INSTALAÇÃO. AF_04/2022</t>
  </si>
  <si>
    <t>TUBO EM COBRE RÍGIDO, DN 15 MM, CLASSE E, SEM ISOLAMENTO, INSTALADO EM RAMAL E SUB-RAMAL DE HIDRÁULICA PREDIAL - FORNECIMENTO E INSTALAÇÃO. AF_04/2022</t>
  </si>
  <si>
    <t>TUBO EM COBRE RÍGIDO, DN 22 MM, CLASSE E, SEM ISOLAMENTO, INSTALADO EM RAMAL E SUB-RAMAL DE HIDRÁULICA PREDIAL - FORNECIMENTO E INSTALAÇÃO. AF_04/2022</t>
  </si>
  <si>
    <t>TUBO EM COBRE RÍGIDO, DN 28 MM, CLASSE E, SEM ISOLAMENTO, INSTALADO EM RAMAL E SUB-RAMAL DE HIDRÁULICA PREDIAL - FORNECIMENTO E INSTALAÇÃO. AF_04/2022</t>
  </si>
  <si>
    <t>TUBO EM COBRE RÍGIDO, DN 15 MM, CLASSE E, COM ISOLAMENTO, INSTALADO EM RAMAL E SUB-RAMAL DE HIDRÁULICA PREDIAL - FORNECIMENTO E INSTALAÇÃO. AF_04/2022</t>
  </si>
  <si>
    <t>TUBO EM COBRE RÍGIDO, DN 22 MM, CLASSE E, COM ISOLAMENTO, INSTALADO EM RAMAL E SUB-RAMAL DE HIDRÁULICA PREDIAL - FORNECIMENTO E INSTALAÇÃO. AF_04/2022</t>
  </si>
  <si>
    <t>TUBO EM COBRE RÍGIDO, DN 28 MM, CLASSE E, COM ISOLAMENTO, INSTALADO EM RAMAL E SUB-RAMAL DE HIDRÁULICA PREDIAL - FORNECIMENTO E INSTALAÇÃO. AF_04/2022</t>
  </si>
  <si>
    <t>TUBO, PEX, MONOCAMADA, DN 16, INSTALADO EM RAMAL/SUB-RAMAL OU DISTRIBUIÇÃO DE ÁGUA - FORNECIMENTO E INSTALAÇÃO. AF_02/2023</t>
  </si>
  <si>
    <t>TUBO, PEX, MONOCAMADA, DN 20, INSTALADO EM RAMAL/SUB-RAMAL OU DISTRIBUIÇÃO DE ÁGUA - FORNECIMENTO E INSTALAÇÃO. AF_02/2023</t>
  </si>
  <si>
    <t>TUBO, PEX, MONOCAMADA, DN 25, INSTALADO EM RAMAL/SUB-RAMAL OU DISTRIBUIÇÃO DE ÁGUA - FORNECIMENTO E INSTALAÇÃO. AF_02/2023</t>
  </si>
  <si>
    <t>TUBO, PEX, MONOCAMADA, DN 32, INSTALADO EM RAMAL/SUB-RAMAL OU DISTRIBUIÇÃO DE ÁGUA - FORNECIMENTO E INSTALAÇÃO. AF_02/2023</t>
  </si>
  <si>
    <t>TUBO EM COBRE RÍGIDO, DN 22 MM, CLASSE A, SEM ISOLAMENTO, INSTALADO EM PRUMADA DE GÁS COMBUSTÍVEL - FORNECIMENTO E INSTALAÇÃO. AF_04/2022</t>
  </si>
  <si>
    <t>TUBO EM COBRE RÍGIDO, DN 28 MM, CLASSE A, SEM ISOLAMENTO, INSTALADO EM PRUMADA DE GÁS COMBUSTÍVEL - FORNECIMENTO E INSTALAÇÃO. AF_04/2022</t>
  </si>
  <si>
    <t>TUBO EM COBRE RÍGIDO, DN 35 MM, CLASSE A, SEM ISOLAMENTO, INSTALADO EM PRUMADA DE GÁS COMBUSTÍVEL - FORNECIMENTO E INSTALAÇÃO. AF_04/2022</t>
  </si>
  <si>
    <t>TUBO EM COBRE RÍGIDO, DN 42 MM, CLASSE A, SEM ISOLAMENTO, INSTALADO EM PRUMADA DE GÁS COMBUSTÍVEL - FORNECIMENTO E INSTALAÇÃO. AF_04/2022</t>
  </si>
  <si>
    <t>TUBO EM COBRE RÍGIDO, DN 54 MM, CLASSE A, SEM ISOLAMENTO, INSTALADO EM PRUMADA DE GÁS COMBUSTÍVEL - FORNECIMENTO E INSTALAÇÃO. AF_04/2022</t>
  </si>
  <si>
    <t>TUBO EM COBRE RÍGIDO, DN 66 MM, CLASSE A, SEM ISOLAMENTO, INSTALADO EM PRUMADA DE GÁS COMBUSTÍVEL - FORNECIMENTO E INSTALAÇÃO. AF_04/2022</t>
  </si>
  <si>
    <t>KIT CAVALETE PARA GÁS - SEM MEDIDOR OU REGULADOR - ENTRADA INDIVIDUAL PRINCIPAL, EM AÇO GALVANIZADO DN 15 E 25 MM (1/2" E 1") - FORNECIMENTO E INSTALAÇÃO. AF_01/2020</t>
  </si>
  <si>
    <t>TUBO, PEX, MULTICAMADA, DN 16, INSTALADO EM IMPLANTAÇÃO DE INSTALAÇÕES DE GÁS - FORNECIMENTO E INSTALAÇÃO. AF_01/2020</t>
  </si>
  <si>
    <t>TUBO, PEX, MULTICAMADA, DN 20, INSTALADO EM IMPLANTAÇÃO DE INSTALAÇÕES DE GÁS - FORNECIMENTO E INSTALAÇÃO. AF_01/2020</t>
  </si>
  <si>
    <t>TUBO, PEX, MULTICAMADA, DN 26, INSTALADO EM IMPLANTAÇÃO DE INSTALAÇÕES DE GÁS - FORNECIMENTO E INSTALAÇÃO. AF_01/2020</t>
  </si>
  <si>
    <t>TUBO, PEX, MULTICAMADA, DN 32, INSTALADO EM IMPLANTAÇÃO DE INSTALAÇÕES DE GÁS - FORNECIMENTO E INSTALAÇÃO. AF_01/2020</t>
  </si>
  <si>
    <t>TUBO, PEX, MULTICAMADA, COM TUBO LUVA, DN 16, INSTALADO EM IMPLANTAÇÃO DE INSTALAÇÕES DE GÁS - FORNECIMENTO E INSTALAÇÃO. AF_01/2020</t>
  </si>
  <si>
    <t>TUBO, PEX, MULTICAMADA, COM TUBO LUVA, DN 20, INSTALADO EM IMPLANTAÇÃO DE INSTALAÇÕES DE GÁS - FORNECIMENTO E INSTALAÇÃO. AF_01/2020</t>
  </si>
  <si>
    <t>TUBO, PEX, MULTICAMADA, COM TUBO LUVA, DN 26, INSTALADO EM IMPLANTAÇÃO DE INSTALAÇÕES DE GÁS - FORNECIMENTO E INSTALAÇÃO. AF_01/2020</t>
  </si>
  <si>
    <t>TUBO, PEX, MULTICAMADA, COM TUBO LUVA, DN 32, INSTALADO EM IMPLANTAÇÃO DE INSTALAÇÕES DE GÁS - FORNECIMENTO E INSTALAÇÃO. AF_01/2020</t>
  </si>
  <si>
    <t>TUBO, PEX, MULTICAMADA, DN 16, INSTALADO EM RAMAL INTERNO DE INSTALAÇÕES DE GÁS - FORNECIMENTO E INSTALAÇÃO. AF_01/2020</t>
  </si>
  <si>
    <t>TUBO, PEX, MULTICAMADA, DN 20, INSTALADO EM RAMAL INTERNO DE INSTALAÇÕES DE GÁS - FORNECIMENTO E INSTALAÇÃO. AF_01/2020</t>
  </si>
  <si>
    <t>TUBO, PEX, MULTICAMADA, DN 26, INSTALADO EM RAMAL INTERNO DE INSTALAÇÕES DE GÁS - FORNECIMENTO E INSTALAÇÃO. AF_01/2020</t>
  </si>
  <si>
    <t>TUBO, PEX, MULTICAMADA, DN 32, INSTALADO EM RAMAL INTERNO DE INSTALAÇÕES DE GÁS - FORNECIMENTO E INSTALAÇÃO. AF_01/2020</t>
  </si>
  <si>
    <t>TUBO, PEX, MULTICAMADA, COM TUBO LUVA, DN 16, INSTALADO EM RAMAL INTERNO DE INSTALAÇÕES DE GÁS - FORNECIMENTO E INSTALAÇÃO. AF_01/2020</t>
  </si>
  <si>
    <t>TUBO, PEX, MULTICAMADA, COM TUBO LUVA, DN 20, INSTALADO EM RAMAL INTERNO DE INSTALAÇÕES DE GÁS - FORNECIMENTO E INSTALAÇÃO. AF_01/2020</t>
  </si>
  <si>
    <t>TUBO, PEX, MULTICAMADA, COM TUBO LUVA, DN 26, INSTALADO EM RAMAL INTERNO DE INSTALAÇÕES DE GÁS - FORNECIMENTO E INSTALAÇÃO. AF_01/2020</t>
  </si>
  <si>
    <t>TUBO, PEX, MULTICAMADA, COM TUBO LUVA, DN 32, INSTALADO EM RAMAL INTERNO DE INSTALAÇÕES DE GÁS - FORNECIMENTO E INSTALAÇÃO. AF_01/2020</t>
  </si>
  <si>
    <t>TUBO EM COBRE RÍGIDO, DN 15 MM, CLASSE E, SEM ISOLAMENTO, INSTALADO EM RAMAL E SUB-RAMAL DE GÁS COMBUSTÍVEL - FORNECIMENTO E INSTALAÇÃO. AF_04/2022</t>
  </si>
  <si>
    <t>TUBO EM COBRE RÍGIDO, DN 22 MM, CLASSE E, SEM ISOLAMENTO, INSTALADO EM RAMAL E SUB-RAMAL DE GÁS COMBUSTÍVEL - FORNECIMENTO E INSTALAÇÃO. AF_04/2022</t>
  </si>
  <si>
    <t>TUBO EM COBRE RÍGIDO, DN 28 MM, CLASSE E, SEM ISOLAMENTO, INSTALADO EM RAMAL E SUB-RAMAL DE GÁS COMBUSTÍVEL - FORNECIMENTO E INSTALAÇÃO. AF_04/2022</t>
  </si>
  <si>
    <t>TUBO EM COBRE RÍGIDO, DN 15 MM, CLASSE A, SEM ISOLAMENTO, INSTALADO EM RAMAL E SUB-RAMAL DE GÁS MEDICINAL - FORNECIMENTO E INSTALAÇÃO. AF_04/2022</t>
  </si>
  <si>
    <t>TUBO EM COBRE RÍGIDO, DN 22 MM, CLASSE A, SEM ISOLAMENTO, INSTALADO EM RAMAL E SUB-RAMAL DE GÁS MEDICINAL - FORNECIMENTO E INSTALAÇÃO. AF_04/2022</t>
  </si>
  <si>
    <t>TUBO EM COBRE RÍGIDO, DN 28 MM, CLASSE A, SEM ISOLAMENTO, INSTALADO EM RAMAL E SUB-RAMAL DE GÁS MEDICINAL - FORNECIMENTO E INSTALAÇÃO. AF_04/2022</t>
  </si>
  <si>
    <t>TUBO EM COBRE RÍGIDO, DN 15 MM, CLASSE E, SEM ISOLAMENTO, INSTALADO EM RAMAL E SUB-RAMAL DE AQUECIMENTO SOLAR - FORNECIMENTO E INSTALAÇÃO. AF_04/2022</t>
  </si>
  <si>
    <t>TUBO EM COBRE RÍGIDO, DN 22 MM, CLASSE E, SEM ISOLAMENTO, INSTALADO EM RAMAL E SUB-RAMAL DE AQUECIMENTO SOLAR - FORNECIMENTO E INSTALAÇÃO. AF_04/2022</t>
  </si>
  <si>
    <t>TUBO EM COBRE RÍGIDO, DN 28 MM, CLASSE E, SEM ISOLAMENTO, INSTALADO EM RAMAL E SUB-RAMAL DE AQUECIMENTO SOLAR - FORNECIMENTO E INSTALAÇÃO. AF_04/2022</t>
  </si>
  <si>
    <t>TUBO EM COBRE RÍGIDO, DN 15 MM, CLASSE E, COM ISOLAMENTO, INSTALADO EM RAMAL E SUB-RAMAL DE AQUECIMENTO SOLAR - FORNECIMENTO E INSTALAÇÃO. AF_04/2022</t>
  </si>
  <si>
    <t>TUBO EM COBRE RÍGIDO, DN 22 MM, CLASSE E, COM ISOLAMENTO, INSTALADO EM RAMAL E SUB-RAMAL DE AQUECIMENTO SOLAR - FORNECIMENTO E INSTALAÇÃO. AF_04/2022</t>
  </si>
  <si>
    <t>TUBO EM COBRE RÍGIDO, DN 28 MM, CLASSE E, COM ISOLAMENTO, INSTALADO EM RAMAL E SUB-RAMAL DE AQUECIMENTO SOLAR - FORNECIMENTO E INSTALAÇÃO. AF_04/2022</t>
  </si>
  <si>
    <t>TUBO, CPVC, SOLDÁVEL, DN 42MM, INSTALADO EM RAMAL DE DISTRIBUIÇÃO DE ÁGUA - FORNECIMENTO E INSTALAÇÃO. AF_06/2022</t>
  </si>
  <si>
    <t>TUBO PVC, SÉRIE R, ÁGUA PLUVIAL, DN 150 MM, FORNECIDO E INSTALADO EM RAMAL DE ENCAMINHAMENTO. AF_06/2022</t>
  </si>
  <si>
    <t>TUBO, PPR, DN 20, CLASSE PN20, INSTALADO EM RAMAL OU SUB-RAMAL DE ÁGUA - FORNECIMENTO E INSTALAÇÃO. AF_08/2022</t>
  </si>
  <si>
    <t>TUBO, PPR, DN 20, CLASSE PN25, INSTALADO EM RAMAL OU SUB-RAMAL DE ÁGUA - FORNECIMENTO E INSTALAÇÃO. AF_08/2022</t>
  </si>
  <si>
    <t>JOELHO 90 GRAUS, PVC, SOLDÁVEL, DN 20MM, INSTALADO EM RAMAL OU SUB-RAMAL DE ÁGUA - FORNECIMENTO E INSTALAÇÃO. AF_06/2022</t>
  </si>
  <si>
    <t>JOELHO 45 GRAUS, PVC, SOLDÁVEL, DN 20MM, INSTALADO EM RAMAL OU SUB-RAMAL DE ÁGUA - FORNECIMENTO E INSTALAÇÃO. AF_06/2022</t>
  </si>
  <si>
    <t>CURVA 90 GRAUS, PVC, SOLDÁVEL, DN 20MM, INSTALADO EM RAMAL OU SUB-RAMAL DE ÁGUA - FORNECIMENTO E INSTALAÇÃO. AF_06/2022</t>
  </si>
  <si>
    <t>CURVA 45 GRAUS, PVC, SOLDÁVEL, DN 20MM, INSTALADO EM RAMAL OU SUB-RAMAL DE ÁGUA - FORNECIMENTO E INSTALAÇÃO. AF_06/2022</t>
  </si>
  <si>
    <t>JOELHO 90 GRAUS, PVC, SOLDÁVEL, DN 25MM, INSTALADO EM RAMAL OU SUB-RAMAL DE ÁGUA - FORNECIMENTO E INSTALAÇÃO. AF_06/2022</t>
  </si>
  <si>
    <t>JOELHO 45 GRAUS, PVC, SOLDÁVEL, DN 25MM, INSTALADO EM RAMAL OU SUB-RAMAL DE ÁGUA - FORNECIMENTO E INSTALAÇÃO. AF_06/2022</t>
  </si>
  <si>
    <t>CURVA 90 GRAUS, PVC, SOLDÁVEL, DN 25MM, INSTALADO EM RAMAL OU SUB-RAMAL DE ÁGUA - FORNECIMENTO E INSTALAÇÃO. AF_06/2022</t>
  </si>
  <si>
    <t>CURVA 45 GRAUS, PVC, SOLDÁVEL, DN 25MM, INSTALADO EM RAMAL OU SUB-RAMAL DE ÁGUA - FORNECIMENTO E INSTALAÇÃO. AF_06/2022</t>
  </si>
  <si>
    <t>JOELHO 90 GRAUS, PVC, SOLDÁVEL, DN 32MM, INSTALADO EM RAMAL OU SUB-RAMAL DE ÁGUA - FORNECIMENTO E INSTALAÇÃO. AF_06/2022</t>
  </si>
  <si>
    <t>JOELHO 45 GRAUS, PVC, SOLDÁVEL, DN 32MM, INSTALADO EM RAMAL OU SUB-RAMAL DE ÁGUA - FORNECIMENTO E INSTALAÇÃO. AF_06/2022</t>
  </si>
  <si>
    <t>CURVA 90 GRAUS, PVC, SOLDÁVEL, DN 32MM, INSTALADO EM RAMAL OU SUB-RAMAL DE ÁGUA - FORNECIMENTO E INSTALAÇÃO. AF_06/2022</t>
  </si>
  <si>
    <t>CURVA 45 GRAUS, PVC, SOLDÁVEL, DN 32MM, INSTALADO EM RAMAL OU SUB-RAMAL DE ÁGUA - FORNECIMENTO E INSTALAÇÃO. AF_06/2022</t>
  </si>
  <si>
    <t>LUVA, PVC, SOLDÁVEL, DN 20MM, INSTALADO EM RAMAL OU SUB-RAMAL DE ÁGUA - FORNECIMENTO E INSTALAÇÃO. AF_06/2022</t>
  </si>
  <si>
    <t>LUVA DE CORRER, PVC, SOLDÁVEL, DN 20MM, INSTALADO EM RAMAL OU SUB-RAMAL DE ÁGUA - FORNECIMENTO E INSTALAÇÃO. AF_06/2022</t>
  </si>
  <si>
    <t>LUVA DE REDUÇÃO, PVC, SOLDÁVEL, DN 25MM X 20MM, INSTALADO EM RAMAL OU SUB-RAMAL DE ÁGUA - FORNECIMENTO E INSTALAÇÃO. AF_06/2022</t>
  </si>
  <si>
    <t>LUVA COM BUCHA DE LATÃO, PVC, SOLDÁVEL, DN 20MM X 1/2", INSTALADO EM RAMAL OU SUB-RAMAL DE ÁGUA - FORNECIMENTO E INSTALAÇÃO. AF_06/2022</t>
  </si>
  <si>
    <t>UNIÃO, PVC, SOLDÁVEL, DN 20MM, INSTALADO EM RAMAL OU SUB-RAMAL DE ÁGUA - FORNECIMENTO E INSTALAÇÃO. AF_06/2022</t>
  </si>
  <si>
    <t>CURVA DE TRANSPOSIÇÃO, PVC, SOLDÁVEL, DN 20MM, INSTALADO EM RAMAL OU SUB-RAMAL DE ÁGUA - FORNECIMENTO E INSTALAÇÃO. AF_06/2022</t>
  </si>
  <si>
    <t>LUVA, PVC, SOLDÁVEL, DN 25MM, INSTALADO EM RAMAL OU SUB-RAMAL DE ÁGUA - FORNECIMENTO E INSTALAÇÃO. AF_06/2022</t>
  </si>
  <si>
    <t>LUVA DE CORRER, PVC, SOLDÁVEL, DN 25MM, INSTALADO EM RAMAL OU SUB-RAMAL DE ÁGUA - FORNECIMENTO E INSTALAÇÃO. AF_12/2014</t>
  </si>
  <si>
    <t>LUVA DE REDUÇÃO, PVC, SOLDÁVEL, DN 32MM X 25MM, INSTALADO EM RAMAL OU SUB-RAMAL DE ÁGUA - FORNECIMENTO E INSTALAÇÃO. AF_06/2022</t>
  </si>
  <si>
    <t>UNIÃO, PVC, SOLDÁVEL, DN 25MM, INSTALADO EM RAMAL OU SUB-RAMAL DE ÁGUA - FORNECIMENTO E INSTALAÇÃO. AF_06/2022</t>
  </si>
  <si>
    <t>LUVA, PVC, SOLDÁVEL, DN 32MM, INSTALADO EM RAMAL OU SUB-RAMAL DE ÁGUA - FORNECIMENTO E INSTALAÇÃO. AF_06/2022</t>
  </si>
  <si>
    <t>UNIÃO, PVC, SOLDÁVEL, DN 32MM, INSTALADO EM RAMAL OU SUB-RAMAL DE ÁGUA - FORNECIMENTO E INSTALAÇÃO. AF_06/2022</t>
  </si>
  <si>
    <t>TE, PVC, SOLDÁVEL, DN 20MM, INSTALADO EM RAMAL OU SUB-RAMAL DE ÁGUA - FORNECIMENTO E INSTALAÇÃO. AF_06/2022</t>
  </si>
  <si>
    <t>TE, PVC, SOLDÁVEL, DN 25MM, INSTALADO EM RAMAL OU SUB-RAMAL DE ÁGUA - FORNECIMENTO E INSTALAÇÃO. AF_06/2022</t>
  </si>
  <si>
    <t>TÊ DE REDUÇÃO, PVC, SOLDÁVEL, DN 25MM X 20MM, INSTALADO EM RAMAL OU SUB-RAMAL DE ÁGUA - FORNECIMENTO E INSTALAÇÃO. AF_06/2022</t>
  </si>
  <si>
    <t>TE, PVC, SOLDÁVEL, DN 32MM, INSTALADO EM RAMAL OU SUB-RAMAL DE ÁGUA - FORNECIMENTO E INSTALAÇÃO. AF_06/2022</t>
  </si>
  <si>
    <t>TÊ DE REDUÇÃO, PVC, SOLDÁVEL, DN 32MM X 25MM, INSTALADO EM RAMAL OU SUB-RAMAL DE ÁGUA - FORNECIMENTO E INSTALAÇÃO. AF_06/2022</t>
  </si>
  <si>
    <t>JOELHO 90 GRAUS, PVC, SOLDÁVEL, DN 20MM, INSTALADO EM RAMAL DE DISTRIBUIÇÃO DE ÁGUA - FORNECIMENTO E INSTALAÇÃO. AF_06/2022</t>
  </si>
  <si>
    <t>JOELHO 45 GRAUS, PVC, SOLDÁVEL, DN 20MM, INSTALADO EM RAMAL DE DISTRIBUIÇÃO DE ÁGUA - FORNECIMENTO E INSTALAÇÃO. AF_06/2022</t>
  </si>
  <si>
    <t>CURVA 90 GRAUS, PVC, SOLDÁVEL, DN 20MM, INSTALADO EM RAMAL DE DISTRIBUIÇÃO DE ÁGUA - FORNECIMENTO E INSTALAÇÃO. AF_06/2022</t>
  </si>
  <si>
    <t>CURVA 45 GRAUS, PVC, SOLDÁVEL, DN 20MM, INSTALADO EM RAMAL DE DISTRIBUIÇÃO DE ÁGUA - FORNECIMENTO E INSTALAÇÃO. AF_06/2022</t>
  </si>
  <si>
    <t>JOELHO 90 GRAUS, PVC, SOLDÁVEL, DN 25MM, INSTALADO EM RAMAL DE DISTRIBUIÇÃO DE ÁGUA - FORNECIMENTO E INSTALAÇÃO. AF_06/2022</t>
  </si>
  <si>
    <t>JOELHO 45 GRAUS, PVC, SOLDÁVEL, DN 25MM, INSTALADO EM RAMAL DE DISTRIBUIÇÃO DE ÁGUA - FORNECIMENTO E INSTALAÇÃO. AF_06/2022</t>
  </si>
  <si>
    <t>CURVA 90 GRAUS, PVC, SOLDÁVEL, DN 25MM, INSTALADO EM RAMAL DE DISTRIBUIÇÃO DE ÁGUA - FORNECIMENTO E INSTALAÇÃO. AF_06/2022</t>
  </si>
  <si>
    <t>CURVA 45 GRAUS, PVC, SOLDÁVEL, DN 25MM, INSTALADO EM RAMAL DE DISTRIBUIÇÃO DE ÁGUA - FORNECIMENTO E INSTALAÇÃO. AF_06/2022</t>
  </si>
  <si>
    <t>JOELHO 90 GRAUS, PVC, SOLDÁVEL, DN 32MM, INSTALADO EM RAMAL DE DISTRIBUIÇÃO DE ÁGUA - FORNECIMENTO E INSTALAÇÃO. AF_06/2022</t>
  </si>
  <si>
    <t>JOELHO 45 GRAUS, PVC, SOLDÁVEL, DN 32MM, INSTALADO EM RAMAL DE DISTRIBUIÇÃO DE ÁGUA - FORNECIMENTO E INSTALAÇÃO. AF_06/2022</t>
  </si>
  <si>
    <t>CURVA 90 GRAUS, PVC, SOLDÁVEL, DN 32MM, INSTALADO EM RAMAL DE DISTRIBUIÇÃO DE ÁGUA - FORNECIMENTO E INSTALAÇÃO. AF_06/2022</t>
  </si>
  <si>
    <t>CURVA 45 GRAUS, PVC, SOLDÁVEL, DN 32MM, INSTALADO EM RAMAL DE DISTRIBUIÇÃO DE ÁGUA - FORNECIMENTO E INSTALAÇÃO. AF_06/2022</t>
  </si>
  <si>
    <t>LUVA, PVC, SOLDÁVEL, DN 20MM, INSTALADO EM RAMAL DE DISTRIBUIÇÃO DE ÁGUA - FORNECIMENTO E INSTALAÇÃO. AF_06/2022</t>
  </si>
  <si>
    <t>LUVA DE CORRER, PVC, SOLDÁVEL, DN 20MM, INSTALADO EM RAMAL DE DISTRIBUIÇÃO DE ÁGUA - FORNECIMENTO E INSTALAÇÃO. AF_06/2022</t>
  </si>
  <si>
    <t>LUVA DE REDUÇÃO, PVC, SOLDÁVEL, DN 25MM X 20MM, INSTALADO EM RAMAL DE DISTRIBUIÇÃO DE ÁGUA - FORNECIMENTO E INSTALAÇÃO. AF_06/2022</t>
  </si>
  <si>
    <t>UNIÃO, PVC, SOLDÁVEL, DN 20MM, INSTALADO EM RAMAL DE DISTRIBUIÇÃO DE ÁGUA - FORNECIMENTO E INSTALAÇÃO. AF_06/2022</t>
  </si>
  <si>
    <t>LUVA, PVC, SOLDÁVEL, DN 25MM, INSTALADO EM RAMAL DE DISTRIBUIÇÃO DE ÁGUA - FORNECIMENTO E INSTALAÇÃO. AF_06/2022</t>
  </si>
  <si>
    <t>LUVA DE CORRER, PVC, SOLDÁVEL, DN 25MM, INSTALADO EM RAMAL DE DISTRIBUIÇÃO DE ÁGUA - FORNECIMENTO E INSTALAÇÃO. AF_06/2022</t>
  </si>
  <si>
    <t>LUVA DE REDUÇÃO, PVC, SOLDÁVEL, DN 32MM X 25MM, INSTALADO EM RAMAL DE DISTRIBUIÇÃO DE ÁGUA - FORNECIMENTO E INSTALAÇÃO. AF_06/2022</t>
  </si>
  <si>
    <t>UNIÃO, PVC, SOLDÁVEL, DN 25MM, INSTALADO EM RAMAL DE DISTRIBUIÇÃO DE ÁGUA - FORNECIMENTO E INSTALAÇÃO. AF_06/2022</t>
  </si>
  <si>
    <t>LUVA, PVC, SOLDÁVEL, DN 32MM, INSTALADO EM RAMAL DE DISTRIBUIÇÃO DE ÁGUA - FORNECIMENTO E INSTALAÇÃO. AF_06/2022</t>
  </si>
  <si>
    <t>LUVA DE REDUÇÃO, PVC, SOLDÁVEL, DN 40MM X 32MM, INSTALADO EM RAMAL DE DISTRIBUIÇÃO DE ÁGUA - FORNECIMENTO E INSTALAÇÃO. AF_06/2022</t>
  </si>
  <si>
    <t>UNIÃO, PVC, SOLDÁVEL, DN 32MM, INSTALADO EM RAMAL DE DISTRIBUIÇÃO DE ÁGUA - FORNECIMENTO E INSTALAÇÃO. AF_06/2022</t>
  </si>
  <si>
    <t>TE, PVC, SOLDÁVEL, DN 20MM, INSTALADO EM RAMAL DE DISTRIBUIÇÃO DE ÁGUA - FORNECIMENTO E INSTALAÇÃO. AF_06/2022</t>
  </si>
  <si>
    <t>TE, PVC, SOLDÁVEL, DN 25MM, INSTALADO EM RAMAL DE DISTRIBUIÇÃO DE ÁGUA - FORNECIMENTO E INSTALAÇÃO. AF_06/2022</t>
  </si>
  <si>
    <t>TÊ DE REDUÇÃO, PVC, SOLDÁVEL, DN 25MM X 20MM, INSTALADO EM RAMAL DE DISTRIBUIÇÃO DE ÁGUA - FORNECIMENTO E INSTALAÇÃO. AF_06/2022</t>
  </si>
  <si>
    <t>TE, PVC, SOLDÁVEL, DN 32MM, INSTALADO EM RAMAL DE DISTRIBUIÇÃO DE ÁGUA - FORNECIMENTO E INSTALAÇÃO. AF_06/2022</t>
  </si>
  <si>
    <t>TÊ DE REDUÇÃO, PVC, SOLDÁVEL, DN 32MM X 25MM, INSTALADO EM RAMAL DE DISTRIBUIÇÃO DE ÁGUA - FORNECIMENTO E INSTALAÇÃO. AF_06/2022</t>
  </si>
  <si>
    <t>JOELHO 90 GRAUS, PVC, SOLDÁVEL, DN 25MM, INSTALADO EM PRUMADA DE ÁGUA - FORNECIMENTO E INSTALAÇÃO. AF_06/2022</t>
  </si>
  <si>
    <t>JOELHO 45 GRAUS, PVC, SOLDÁVEL, DN 25MM, INSTALADO EM PRUMADA DE ÁGUA - FORNECIMENTO E INSTALAÇÃO. AF_06/2022</t>
  </si>
  <si>
    <t>CURVA 90 GRAUS, PVC, SOLDÁVEL, DN 25MM, INSTALADO EM PRUMADA DE ÁGUA - FORNECIMENTO E INSTALAÇÃO. AF_06/2022</t>
  </si>
  <si>
    <t>CURVA 45 GRAUS, PVC, SOLDÁVEL, DN 25MM, INSTALADO EM PRUMADA DE ÁGUA - FORNECIMENTO E INSTALAÇÃO. AF_06/2022</t>
  </si>
  <si>
    <t>JOELHO 90 GRAUS, PVC, SOLDÁVEL, DN 32MM, INSTALADO EM PRUMADA DE ÁGUA - FORNECIMENTO E INSTALAÇÃO. AF_06/2022</t>
  </si>
  <si>
    <t>JOELHO 45 GRAUS, PVC, SOLDÁVEL, DN 32MM, INSTALADO EM PRUMADA DE ÁGUA - FORNECIMENTO E INSTALAÇÃO. AF_06/2022</t>
  </si>
  <si>
    <t>CURVA 90 GRAUS, PVC, SOLDÁVEL, DN 32MM, INSTALADO EM PRUMADA DE ÁGUA - FORNECIMENTO E INSTALAÇÃO. AF_06/2022</t>
  </si>
  <si>
    <t>CURVA 45 GRAUS, PVC, SOLDÁVEL, DN 32MM, INSTALADO EM PRUMADA DE ÁGUA - FORNECIMENTO E INSTALAÇÃO. AF_06/2022</t>
  </si>
  <si>
    <t>JOELHO 90 GRAUS, PVC, SOLDÁVEL, DN 40MM, INSTALADO EM PRUMADA DE ÁGUA - FORNECIMENTO E INSTALAÇÃO. AF_06/2022</t>
  </si>
  <si>
    <t>JOELHO 45 GRAUS, PVC, SOLDÁVEL, DN 40MM, INSTALADO EM PRUMADA DE ÁGUA - FORNECIMENTO E INSTALAÇÃO. AF_06/2022</t>
  </si>
  <si>
    <t>CURVA 90 GRAUS, PVC, SOLDÁVEL, DN 40MM, INSTALADO EM PRUMADA DE ÁGUA - FORNECIMENTO E INSTALAÇÃO. AF_06/2022</t>
  </si>
  <si>
    <t>CURVA 45 GRAUS, PVC, SOLDÁVEL, DN 40MM, INSTALADO EM PRUMADA DE ÁGUA - FORNECIMENTO E INSTALAÇÃO. AF_06/2022</t>
  </si>
  <si>
    <t>JOELHO 90 GRAUS, PVC, SOLDÁVEL, DN 50MM, INSTALADO EM PRUMADA DE ÁGUA - FORNECIMENTO E INSTALAÇÃO. AF_06/2022</t>
  </si>
  <si>
    <t>JOELHO 45 GRAUS, PVC, SOLDÁVEL, DN 50MM, INSTALADO EM PRUMADA DE ÁGUA - FORNECIMENTO E INSTALAÇÃO. AF_06/2022</t>
  </si>
  <si>
    <t>CURVA 90 GRAUS, PVC, SOLDÁVEL, DN 50MM, INSTALADO EM PRUMADA DE ÁGUA - FORNECIMENTO E INSTALAÇÃO. AF_06/2022</t>
  </si>
  <si>
    <t>CURVA 45 GRAUS, PVC, SOLDÁVEL, DN 50MM, INSTALADO EM PRUMADA DE ÁGUA - FORNECIMENTO E INSTALAÇÃO. AF_06/2022</t>
  </si>
  <si>
    <t>JOELHO 90 GRAUS, PVC, SOLDÁVEL, DN 60MM, INSTALADO EM PRUMADA DE ÁGUA - FORNECIMENTO E INSTALAÇÃO. AF_06/2022</t>
  </si>
  <si>
    <t>JOELHO 45 GRAUS, PVC, SOLDÁVEL, DN 60MM, INSTALADO EM PRUMADA DE ÁGUA - FORNECIMENTO E INSTALAÇÃO. AF_06/2022</t>
  </si>
  <si>
    <t>CURVA 90 GRAUS, PVC, SOLDÁVEL, DN 60MM, INSTALADO EM PRUMADA DE ÁGUA - FORNECIMENTO E INSTALAÇÃO. AF_06/2022</t>
  </si>
  <si>
    <t>CURVA 45 GRAUS, PVC, SOLDÁVEL, DN 60MM, INSTALADO EM PRUMADA DE ÁGUA - FORNECIMENTO E INSTALAÇÃO. AF_06/2022</t>
  </si>
  <si>
    <t>JOELHO 90 GRAUS, PVC, SOLDÁVEL, DN 75MM, INSTALADO EM PRUMADA DE ÁGUA - FORNECIMENTO E INSTALAÇÃO. AF_06/2022</t>
  </si>
  <si>
    <t>JOELHO 90 GRAUS, PVC, SERIE R, ÁGUA PLUVIAL, DN 40 MM, JUNTA SOLDÁVEL, FORNECIDO E INSTALADO EM RAMAL DE ENCAMINHAMENTO. AF_06/2022</t>
  </si>
  <si>
    <t>JOELHO 45 GRAUS, PVC, SOLDÁVEL, DN 75MM, INSTALADO EM PRUMADA DE ÁGUA - FORNECIMENTO E INSTALAÇÃO. AF_06/2022</t>
  </si>
  <si>
    <t>JOELHO 45 GRAUS, PVC, SERIE R, ÁGUA PLUVIAL, DN 40 MM, JUNTA SOLDÁVEL, FORNECIDO E INSTALADO EM RAMAL DE ENCAMINHAMENTO. AF_06/2022</t>
  </si>
  <si>
    <t>CURVA 90 GRAUS, PVC, SOLDÁVEL, DN 75MM, INSTALADO EM PRUMADA DE ÁGUA - FORNECIMENTO E INSTALAÇÃO. AF_06/2022</t>
  </si>
  <si>
    <t>JOELHO 90 GRAUS, PVC, SERIE R, ÁGUA PLUVIAL, DN 50 MM, JUNTA ELÁSTICA, FORNECIDO E INSTALADO EM RAMAL DE ENCAMINHAMENTO. AF_06/2022</t>
  </si>
  <si>
    <t>CURVA 45 GRAUS, PVC, SOLDÁVEL, DN 75MM, INSTALADO EM PRUMADA DE ÁGUA - FORNECIMENTO E INSTALAÇÃO. AF_06/2022</t>
  </si>
  <si>
    <t>JOELHO 45 GRAUS, PVC, SERIE R, ÁGUA PLUVIAL, DN 50 MM, JUNTA ELÁSTICA, FORNECIDO E INSTALADO EM RAMAL DE ENCAMINHAMENTO. AF_06/2022</t>
  </si>
  <si>
    <t>JOELHO 90 GRAUS, PVC, SOLDÁVEL, DN 85MM, INSTALADO EM PRUMADA DE ÁGUA - FORNECIMENTO E INSTALAÇÃO. AF_06/2022</t>
  </si>
  <si>
    <t>JOELHO 90 GRAUS, PVC, SERIE R, ÁGUA PLUVIAL, DN 75 MM, JUNTA ELÁSTICA, FORNECIDO E INSTALADO EM RAMAL DE ENCAMINHAMENTO. AF_06/2022</t>
  </si>
  <si>
    <t>JOELHO 45 GRAUS, PVC, SOLDÁVEL, DN 85MM, INSTALADO EM PRUMADA DE ÁGUA - FORNECIMENTO E INSTALAÇÃO. AF_06/2022</t>
  </si>
  <si>
    <t>JOELHO 45 GRAUS, PVC, SERIE R, ÁGUA PLUVIAL, DN 75 MM, JUNTA ELÁSTICA, FORNECIDO E INSTALADO EM RAMAL DE ENCAMINHAMENTO. AF_06/2022</t>
  </si>
  <si>
    <t>CURVA 90 GRAUS, PVC, SOLDÁVEL, DN 85MM, INSTALADO EM PRUMADA DE ÁGUA - FORNECIMENTO E INSTALAÇÃO. AF_06/2022</t>
  </si>
  <si>
    <t>CURVA 87 GRAUS E 30 MINUTOS, PVC, SERIE R, ÁGUA PLUVIAL, DN 75 MM, JUNTA ELÁSTICA, FORNECIDO E INSTALADO EM RAMAL DE ENCAMINHAMENTO. AF_06/2022</t>
  </si>
  <si>
    <t>CURVA 45 GRAUS, PVC, SOLDÁVEL, DN 85MM, INSTALADO EM PRUMADA DE ÁGUA - FORNECIMENTO E INSTALAÇÃO. AF_06/2022</t>
  </si>
  <si>
    <t>LUVA, PVC, SOLDÁVEL, DN 25MM, INSTALADO EM PRUMADA DE ÁGUA - FORNECIMENTO E INSTALAÇÃO. AF_06/2022</t>
  </si>
  <si>
    <t>JOELHO 90 GRAUS, PVC, SERIE R, ÁGUA PLUVIAL, DN 100 MM, JUNTA ELÁSTICA, FORNECIDO E INSTALADO EM RAMAL DE ENCAMINHAMENTO. AF_06/2022</t>
  </si>
  <si>
    <t>LUVA DE CORRER, PVC, SOLDÁVEL, DN 25MM, INSTALADO EM PRUMADA DE ÁGUA - FORNECIMENTO E INSTALAÇÃO. AF_06/2022</t>
  </si>
  <si>
    <t>JOELHO 45 GRAUS, PVC, SERIE R, ÁGUA PLUVIAL, DN 100 MM, JUNTA ELÁSTICA, FORNECIDO E INSTALADO EM RAMAL DE ENCAMINHAMENTO. AF_06/2022</t>
  </si>
  <si>
    <t>LUVA DE REDUÇÃO, PVC, SOLDÁVEL, DN 32MM X 25MM, INSTALADO EM PRUMADA DE ÁGUA - FORNECIMENTO E INSTALAÇÃO. AF_06/2022</t>
  </si>
  <si>
    <t>CURVA 87 GRAUS E 30 MINUTOS, PVC, SERIE R, ÁGUA PLUVIAL, DN 100 MM, JUNTA ELÁSTICA, FORNECIDO E INSTALADO EM RAMAL DE ENCAMINHAMENTO. AF_06/2022</t>
  </si>
  <si>
    <t>UNIÃO, PVC, SOLDÁVEL, DN 25MM, INSTALADO EM PRUMADA DE ÁGUA - FORNECIMENTO E INSTALAÇÃO. AF_06/2022</t>
  </si>
  <si>
    <t>LUVA, PVC, SOLDÁVEL, DN 32MM, INSTALADO EM PRUMADA DE ÁGUA - FORNECIMENTO E INSTALAÇÃO. AF_06/2022</t>
  </si>
  <si>
    <t>LUVA DE CORRER, PVC, SOLDÁVEL, DN 32MM, INSTALADO EM PRUMADA DE ÁGUA - FORNECIMENTO E INSTALAÇÃO. AF_06/2022</t>
  </si>
  <si>
    <t>LUVA SIMPLES, PVC, SERIE R, ÁGUA PLUVIAL, DN 40 MM, JUNTA SOLDÁVEL, FORNECIDO E INSTALADO EM RAMAL DE ENCAMINHAMENTO. AF_06/2022</t>
  </si>
  <si>
    <t>LUVA SIMPLES, PVC, SERIE R, ÁGUA PLUVIAL, DN 50 MM, JUNTA ELÁSTICA, FORNECIDO E INSTALADO EM RAMAL DE ENCAMINHAMENTO. AF_06/2022</t>
  </si>
  <si>
    <t>BUCHA DE REDUÇÃO LONGA, PVC, SERIE R, ÁGUA PLUVIAL, DN 50 X 40 MM, JUNTA ELÁSTICA, FORNECIDO E INSTALADO EM RAMAL DE ENCAMINHAMENTO. AF_06/2022</t>
  </si>
  <si>
    <t>LUVA SIMPLES, PVC, SERIE R, ÁGUA PLUVIAL, DN 75 MM, JUNTA ELÁSTICA, FORNECIDO E INSTALADO EM RAMAL DE ENCAMINHAMENTO. AF_06/2022</t>
  </si>
  <si>
    <t>LUVA DE CORRER, PVC, SERIE R, ÁGUA PLUVIAL, DN 75 MM, JUNTA ELÁSTICA, FORNECIDO E INSTALADO EM RAMAL DE ENCAMINHAMENTO. AF_06/2022</t>
  </si>
  <si>
    <t>REDUÇÃO EXCÊNTRICA, PVC, SERIE R, ÁGUA PLUVIAL, DN 75 X 50 MM, JUNTA ELÁSTICA, FORNECIDO E INSTALADO EM RAMAL DE ENCAMINHAMENTO. AF_06/2022</t>
  </si>
  <si>
    <t>TÊ DE INSPEÇÃO, PVC, SERIE R, ÁGUA PLUVIAL, DN 75 MM, JUNTA ELÁSTICA, FORNECIDO E INSTALADO EM RAMAL DE ENCAMINHAMENTO. AF_06/2022</t>
  </si>
  <si>
    <t>UNIÃO, PVC, SOLDÁVEL, DN 32MM, INSTALADO EM PRUMADA DE ÁGUA - FORNECIMENTO E INSTALAÇÃO. AF_06/2022</t>
  </si>
  <si>
    <t>LUVA SIMPLES, PVC, SERIE R, ÁGUA PLUVIAL, DN 100 MM, JUNTA ELÁSTICA, FORNECIDO E INSTALADO EM RAMAL DE ENCAMINHAMENTO. AF_06/2022</t>
  </si>
  <si>
    <t>LUVA DE CORRER, PVC, SERIE R, ÁGUA PLUVIAL, DN 100 MM, JUNTA ELÁSTICA, FORNECIDO E INSTALADO EM RAMAL DE ENCAMINHAMENTO. AF_06/2022</t>
  </si>
  <si>
    <t>REDUÇÃO EXCÊNTRICA, PVC, SERIE R, ÁGUA PLUVIAL, DN 100 X 75 MM, JUNTA ELÁSTICA, FORNECIDO E INSTALADO EM RAMAL DE ENCAMINHAMENTO. AF_06/2022</t>
  </si>
  <si>
    <t>LUVA, PVC, SOLDÁVEL, DN 40MM, INSTALADO EM PRUMADA DE ÁGUA - FORNECIMENTO E INSTALAÇÃO. AF_06/2022</t>
  </si>
  <si>
    <t>TÊ DE INSPEÇÃO, PVC, SERIE R, ÁGUA PLUVIAL, DN 100 MM, JUNTA ELÁSTICA, FORNECIDO E INSTALADO EM RAMAL DE ENCAMINHAMENTO. AF_06/2022</t>
  </si>
  <si>
    <t>JUNÇÃO SIMPLES, PVC, SERIE R, ÁGUA PLUVIAL, DN 40 MM, JUNTA SOLDÁVEL, FORNECIDO E INSTALADO EM RAMAL DE ENCAMINHAMENTO. AF_06/2022</t>
  </si>
  <si>
    <t>LUVA DE REDUÇÃO, PVC, SOLDÁVEL, DN 40MM X 32MM, INSTALADO EM PRUMADA DE ÁGUA - FORNECIMENTO E INSTALAÇÃO. AF_06/2022</t>
  </si>
  <si>
    <t>JUNÇÃO SIMPLES, PVC, SERIE R, ÁGUA PLUVIAL, DN 50 MM, JUNTA ELÁSTICA, FORNECIDO E INSTALADO EM RAMAL DE ENCAMINHAMENTO. AF_06/2022</t>
  </si>
  <si>
    <t>JUNÇÃO SIMPLES, PVC, SERIE R, ÁGUA PLUVIAL, DN 75 X 75 MM, JUNTA ELÁSTICA, FORNECIDO E INSTALADO EM RAMAL DE ENCAMINHAMENTO. AF_06/2022</t>
  </si>
  <si>
    <t>TÊ, PVC, SERIE R, ÁGUA PLUVIAL, DN 75 MM, JUNTA ELÁSTICA, FORNECIDO E INSTALADO EM RAMAL DE ENCAMINHAMENTO. AF_06/2022</t>
  </si>
  <si>
    <t>JUNÇÃO SIMPLES, PVC, SERIE R, ÁGUA PLUVIAL, DN 100 X 100 MM, JUNTA ELÁSTICA, FORNECIDO E INSTALADO EM RAMAL DE ENCAMINHAMENTO. AF_06/2022</t>
  </si>
  <si>
    <t>UNIÃO, PVC, SOLDÁVEL, DN 40MM, INSTALADO EM PRUMADA DE ÁGUA - FORNECIMENTO E INSTALAÇÃO. AF_06/2022</t>
  </si>
  <si>
    <t>JUNÇÃO SIMPLES, PVC, SERIE R, ÁGUA PLUVIAL, DN 100 X 75 MM, JUNTA ELÁSTICA, FORNECIDO E INSTALADO EM RAMAL DE ENCAMINHAMENTO. AF_06/2022</t>
  </si>
  <si>
    <t>TÊ, PVC, SERIE R, ÁGUA PLUVIAL, DN 100 X 100 MM, JUNTA ELÁSTICA, FORNECIDO E INSTALADO EM RAMAL DE ENCAMINHAMENTO. AF_06/2022</t>
  </si>
  <si>
    <t>TÊ, PVC, SERIE R, ÁGUA PLUVIAL, DN 100 X 75 MM, JUNTA ELÁSTICA, FORNECIDO E INSTALADO EM RAMAL DE ENCAMINHAMENTO. AF_06/2022</t>
  </si>
  <si>
    <t>JUNÇÃO DUPLA, PVC, SERIE R, ÁGUA PLUVIAL, DN 100 X 100 X 100 MM, JUNTA ELÁSTICA, FORNECIDO E INSTALADO EM RAMAL DE ENCAMINHAMENTO. AF_06/2022</t>
  </si>
  <si>
    <t>LUVA, PVC, SOLDÁVEL, DN 50MM, INSTALADO EM PRUMADA DE ÁGUA - FORNECIMENTO E INSTALAÇÃO. AF_06/2022</t>
  </si>
  <si>
    <t>LUVA DE CORRER, PVC, SOLDÁVEL, DN 50MM, INSTALADO EM PRUMADA DE ÁGUA - FORNECIMENTO E INSTALAÇÃO. AF_06/2022</t>
  </si>
  <si>
    <t>JOELHO 90 GRAUS, PVC, SERIE R, ÁGUA PLUVIAL, DN 75 MM, JUNTA ELÁSTICA, FORNECIDO E INSTALADO EM CONDUTORES VERTICAIS DE ÁGUAS PLUVIAIS. AF_06/2022</t>
  </si>
  <si>
    <t>JOELHO 45 GRAUS, PVC, SERIE R, ÁGUA PLUVIAL, DN 75 MM, JUNTA ELÁSTICA, FORNECIDO E INSTALADO EM CONDUTORES VERTICAIS DE ÁGUAS PLUVIAIS. AF_06/2022</t>
  </si>
  <si>
    <t>CURVA 87 GRAUS E 30 MINUTOS, PVC, SERIE R, ÁGUA PLUVIAL, DN 75 MM, JUNTA ELÁSTICA, FORNECIDO E INSTALADO EM CONDUTORES VERTICAIS DE ÁGUAS PLUVIAIS. AF_06/2022</t>
  </si>
  <si>
    <t>JOELHO 90 GRAUS, PVC, SERIE R, ÁGUA PLUVIAL, DN 100 MM, JUNTA ELÁSTICA, FORNECIDO E INSTALADO EM CONDUTORES VERTICAIS DE ÁGUAS PLUVIAIS. AF_06/2022</t>
  </si>
  <si>
    <t>JOELHO 45 GRAUS, PVC, SERIE R, ÁGUA PLUVIAL, DN 100 MM, JUNTA ELÁSTICA, FORNECIDO E INSTALADO EM CONDUTORES VERTICAIS DE ÁGUAS PLUVIAIS. AF_06/2022</t>
  </si>
  <si>
    <t>CURVA 87 GRAUS E 30 MINUTOS, PVC, SERIE R, ÁGUA PLUVIAL, DN 100 MM, JUNTA ELÁSTICA, FORNECIDO E INSTALADO EM CONDUTORES VERTICAIS DE ÁGUAS PLUVIAIS. AF_06/2022</t>
  </si>
  <si>
    <t>JOELHO 90 GRAUS, PVC, SERIE R, ÁGUA PLUVIAL, DN 150 MM, JUNTA ELÁSTICA, FORNECIDO E INSTALADO EM CONDUTORES VERTICAIS DE ÁGUAS PLUVIAIS. AF_06/2022</t>
  </si>
  <si>
    <t>JOELHO 45 GRAUS, PVC, SERIE R, ÁGUA PLUVIAL, DN 150 MM, JUNTA ELÁSTICA, FORNECIDO E INSTALADO EM CONDUTORES VERTICAIS DE ÁGUAS PLUVIAIS. AF_06/2022</t>
  </si>
  <si>
    <t>CURVA 87 GRAUS E 30 MINUTOS, PVC, SERIE R, ÁGUA PLUVIAL, DN 150 MM, JUNTA ELÁSTICA, FORNECIDO E INSTALADO EM CONDUTORES VERTICAIS DE ÁGUAS PLUVIAIS. AF_06/2022</t>
  </si>
  <si>
    <t>UNIÃO, PVC, SOLDÁVEL, DN 50MM, INSTALADO EM PRUMADA DE ÁGUA - FORNECIMENTO E INSTALAÇÃO. AF_06/2022</t>
  </si>
  <si>
    <t>LUVA, PVC, SOLDÁVEL, DN 60MM, INSTALADO EM PRUMADA DE ÁGUA - FORNECIMENTO E INSTALAÇÃO. AF_06/2022</t>
  </si>
  <si>
    <t>LUVA SIMPLES, PVC, SERIE R, ÁGUA PLUVIAL, DN 75 MM, JUNTA ELÁSTICA, FORNECIDO E INSTALADO EM CONDUTORES VERTICAIS DE ÁGUAS PLUVIAIS. AF_06/2022</t>
  </si>
  <si>
    <t>LUVA DE CORRER, PVC, SERIE R, ÁGUA PLUVIAL, DN 75 MM, JUNTA ELÁSTICA, FORNECIDO E INSTALADO EM CONDUTORES VERTICAIS DE ÁGUAS PLUVIAIS. AF_06/2022</t>
  </si>
  <si>
    <t>LUVA DE REDUÇÃO, PVC, SOLDÁVEL, DN 60MM X 50MM, INSTALADO EM PRUMADA DE ÁGUA - FORNECIMENTO E INSTALAÇÃO. AF_06/2022</t>
  </si>
  <si>
    <t>UNIÃO, PVC, SOLDÁVEL, DN 60MM, INSTALADO EM PRUMADA DE ÁGUA - FORNECIMENTO E INSTALAÇÃO. AF_06/2022</t>
  </si>
  <si>
    <t>LUVA, PVC, SOLDÁVEL, DN 75MM, INSTALADO EM PRUMADA DE ÁGUA - FORNECIMENTO E INSTALAÇÃO. AF_06/2022</t>
  </si>
  <si>
    <t>UNIÃO, PVC, SOLDÁVEL, DN 75MM, INSTALADO EM PRUMADA DE ÁGUA - FORNECIMENTO E INSTALAÇÃO. AF_06/2022</t>
  </si>
  <si>
    <t>LUVA, PVC, SOLDÁVEL, DN 85MM, INSTALADO EM PRUMADA DE ÁGUA - FORNECIMENTO E INSTALAÇÃO. AF_06/2022</t>
  </si>
  <si>
    <t>UNIÃO, PVC, SOLDÁVEL, DN 85MM, INSTALADO EM PRUMADA DE ÁGUA - FORNECIMENTO E INSTALAÇÃO. AF_06/2022</t>
  </si>
  <si>
    <t>TE, PVC, SOLDÁVEL, DN 25MM, INSTALADO EM PRUMADA DE ÁGUA - FORNECIMENTO E INSTALAÇÃO. AF_06/2022</t>
  </si>
  <si>
    <t>TE, PVC, SOLDÁVEL, DN 32MM, INSTALADO EM PRUMADA DE ÁGUA - FORNECIMENTO E INSTALAÇÃO. AF_06/2022</t>
  </si>
  <si>
    <t>TÊ DE REDUÇÃO, PVC, SOLDÁVEL, DN 32MM X 25MM, INSTALADO EM PRUMADA DE ÁGUA - FORNECIMENTO E INSTALAÇÃO. AF_06/2022</t>
  </si>
  <si>
    <t>TE, PVC, SOLDÁVEL, DN 40MM, INSTALADO EM PRUMADA DE ÁGUA - FORNECIMENTO E INSTALAÇÃO. AF_06/2022</t>
  </si>
  <si>
    <t>TÊ DE REDUÇÃO, PVC, SOLDÁVEL, DN 40MM X 32MM, INSTALADO EM PRUMADA DE ÁGUA - FORNECIMENTO E INSTALAÇÃO. AF_06/2022</t>
  </si>
  <si>
    <t>TE, PVC, SOLDÁVEL, DN 50MM, INSTALADO EM PRUMADA DE ÁGUA - FORNECIMENTO E INSTALAÇÃO. AF_06/2022</t>
  </si>
  <si>
    <t>TÊ DE REDUÇÃO, PVC, SOLDÁVEL, DN 50MM X 40MM, INSTALADO EM PRUMADA DE ÁGUA - FORNECIMENTO E INSTALAÇÃO. AF_06/2022</t>
  </si>
  <si>
    <t>TÊ DE REDUÇÃO, PVC, SOLDÁVEL, DN 50MM X 25MM, INSTALADO EM PRUMADA DE ÁGUA - FORNECIMENTO E INSTALAÇÃO. AF_06/2022</t>
  </si>
  <si>
    <t>TE, PVC, SOLDÁVEL, DN 60MM, INSTALADO EM PRUMADA DE ÁGUA - FORNECIMENTO E INSTALAÇÃO. AF_06/2022</t>
  </si>
  <si>
    <t>TE, PVC, SOLDÁVEL, DN 75MM, INSTALADO EM PRUMADA DE ÁGUA - FORNECIMENTO E INSTALAÇÃO. AF_06/2022</t>
  </si>
  <si>
    <t>TE DE REDUÇÃO, PVC, SOLDÁVEL, DN 75MM X 50MM, INSTALADO EM PRUMADA DE ÁGUA - FORNECIMENTO E INSTALAÇÃO. AF_06/2022</t>
  </si>
  <si>
    <t>TE, PVC, SOLDÁVEL, DN 85MM, INSTALADO EM PRUMADA DE ÁGUA - FORNECIMENTO E INSTALAÇÃO. AF_06/2022</t>
  </si>
  <si>
    <t>TE DE REDUÇÃO, PVC, SOLDÁVEL, DN 85MM X 60MM, INSTALADO EM PRUMADA DE ÁGUA - FORNECIMENTO E INSTALAÇÃO. AF_06/2022</t>
  </si>
  <si>
    <t>JOELHO 90 GRAUS, CPVC, SOLDÁVEL, DN 15MM, INSTALADO EM RAMAL OU SUB-RAMAL DE ÁGUA - FORNECIMENTO E INSTALAÇÃO. AF_06/2022</t>
  </si>
  <si>
    <t>JOELHO 45 GRAUS, CPVC, SOLDÁVEL, DN 15MM, INSTALADO EM RAMAL OU SUB-RAMAL DE ÁGUA - FORNECIMENTO E INSTALAÇÃO. AF_06/2022</t>
  </si>
  <si>
    <t>CURVA 90 GRAUS, CPVC, SOLDÁVEL, DN 15MM, INSTALADO EM RAMAL OU SUB-RAMAL DE ÁGUA - FORNECIMENTO E INSTALAÇÃO. AF_06/2022</t>
  </si>
  <si>
    <t>JOELHO 90 GRAUS, CPVC, SOLDÁVEL, DN 22MM, INSTALADO EM RAMAL OU SUB-RAMAL DE ÁGUA - FORNECIMENTO E INSTALAÇÃO. AF_06/2022</t>
  </si>
  <si>
    <t>JOELHO 45 GRAUS, CPVC, SOLDÁVEL, DN 22MM, INSTALADO EM RAMAL OU SUB-RAMAL DE ÁGUA - FORNECIMENTO E INSTALAÇÃO. AF_06/2022</t>
  </si>
  <si>
    <t>CURVA 90 GRAUS, CPVC, SOLDÁVEL, DN 22MM, INSTALADO EM RAMAL OU SUB-RAMAL DE ÁGUA - FORNECIMENTO E INSTALAÇÃO. AF_06/2022</t>
  </si>
  <si>
    <t>JOELHO 90 GRAUS, CPVC, SOLDÁVEL, DN 28MM, INSTALADO EM RAMAL OU SUB-RAMAL DE ÁGUA - FORNECIMENTO E INSTALAÇÃO. AF_06/2022</t>
  </si>
  <si>
    <t>LUVA, CPVC, SOLDÁVEL, DN 15MM, INSTALADO EM RAMAL OU SUB-RAMAL DE ÁGUA - FORNECIMENTO E INSTALAÇÃO. AF_06/2022</t>
  </si>
  <si>
    <t>LUVA DE TRANSIÇÃO, CPVC, SOLDÁVEL, DN22MM X 25MM, INSTALADO EM RAMAL OU SUB-RAMAL DE ÁGUA - FORNECIMENTO E INSTALAÇÃO. AF_06/2022</t>
  </si>
  <si>
    <t>TÊ DE INSPEÇÃO, PVC, SERIE R, ÁGUA PLUVIAL, DN 75 MM, JUNTA ELÁSTICA, FORNECIDO E INSTALADO EM CONDUTORES VERTICAIS DE ÁGUAS PLUVIAIS. AF_06/2022</t>
  </si>
  <si>
    <t>LUVA SIMPLES, PVC, SERIE R, ÁGUA PLUVIAL, DN 100 MM, JUNTA ELÁSTICA, FORNECIDO E INSTALADO EM CONDUTORES VERTICAIS DE ÁGUAS PLUVIAIS. AF_06/2022</t>
  </si>
  <si>
    <t>LUVA DE CORRER, PVC, SERIE R, ÁGUA PLUVIAL, DN 100 MM, JUNTA ELÁSTICA, FORNECIDO E INSTALADO EM CONDUTORES VERTICAIS DE ÁGUAS PLUVIAIS. AF_06/2022</t>
  </si>
  <si>
    <t>REDUÇÃO EXCÊNTRICA, PVC, SERIE R, ÁGUA PLUVIAL, DN 100 X 75 MM, JUNTA ELÁSTICA, FORNECIDO E INSTALADO EM CONDUTORES VERTICAIS DE ÁGUAS PLUVIAIS. AF_06/2022</t>
  </si>
  <si>
    <t>TÊ DE INSPEÇÃO, PVC, SERIE R, ÁGUA PLUVIAL, DN 100 MM, JUNTA ELÁSTICA, FORNECIDO E INSTALADO EM CONDUTORES VERTICAIS DE ÁGUAS PLUVIAIS. AF_06/2022</t>
  </si>
  <si>
    <t>LUVA SIMPLES, PVC, SERIE R, ÁGUA PLUVIAL, DN 150 MM, JUNTA ELÁSTICA, FORNECIDO E INSTALADO EM CONDUTORES VERTICAIS DE ÁGUAS PLUVIAIS. AF_06/2022</t>
  </si>
  <si>
    <t>LUVA DE CORRER, PVC, SERIE R, ÁGUA PLUVIAL, DN 150 MM, JUNTA ELÁSTICA, FORNECIDO E INSTALADO EM CONDUTORES VERTICAIS DE ÁGUAS PLUVIAIS. AF_06/2022</t>
  </si>
  <si>
    <t>REDUÇÃO EXCÊNTRICA, PVC, SERIE R, ÁGUA PLUVIAL, DN 150 X 100 MM, JUNTA ELÁSTICA, FORNECIDO E INSTALADO EM CONDUTORES VERTICAIS DE ÁGUAS PLUVIAIS. AF_06/2022</t>
  </si>
  <si>
    <t>TÊ DE INSPEÇÃO, PVC, SERIE R, ÁGUA PLUVIAL, DN 150 X 100 MM, JUNTA ELÁSTICA, FORNECIDO E INSTALADO EM CONDUTORES VERTICAIS DE ÁGUAS PLUVIAIS. AF_06/2022</t>
  </si>
  <si>
    <t>JUNÇÃO SIMPLES, PVC, SERIE R, ÁGUA PLUVIAL, DN 75 X 75 MM, JUNTA ELÁSTICA, FORNECIDO E INSTALADO EM CONDUTORES VERTICAIS DE ÁGUAS PLUVIAIS. AF_06/2022</t>
  </si>
  <si>
    <t>TÊ, PVC, SERIE R, ÁGUA PLUVIAL, DN 75 X 75 MM, JUNTA ELÁSTICA, FORNECIDO E INSTALADO EM CONDUTORES VERTICAIS DE ÁGUAS PLUVIAIS. AF_06/2022</t>
  </si>
  <si>
    <t>JUNÇÃO SIMPLES, PVC, SERIE R, ÁGUA PLUVIAL, DN 100 X 100 MM, JUNTA ELÁSTICA, FORNECIDO E INSTALADO EM CONDUTORES VERTICAIS DE ÁGUAS PLUVIAIS. AF_06/2022</t>
  </si>
  <si>
    <t>TE, CPVC, SOLDÁVEL, DN 15MM, INSTALADO EM RAMAL OU SUB-RAMAL DE ÁGUA - FORNECIMENTO E INSTALAÇÃO. AF_06/2022</t>
  </si>
  <si>
    <t>JUNÇÃO SIMPLES, PVC, SERIE R, ÁGUA PLUVIAL, DN 100 X 75 MM, JUNTA ELÁSTICA, FORNECIDO E INSTALADO EM CONDUTORES VERTICAIS DE ÁGUAS PLUVIAIS. AF_06/2022</t>
  </si>
  <si>
    <t>TÊ, PVC, SERIE R, ÁGUA PLUVIAL, DN 100 X 100 MM, JUNTA ELÁSTICA, FORNECIDO E INSTALADO EM CONDUTORES VERTICAIS DE ÁGUAS PLUVIAIS. AF_06/2022</t>
  </si>
  <si>
    <t>TÊ, PVC, SERIE R, ÁGUA PLUVIAL, DN 100 X 75 MM, JUNTA ELÁSTICA, FORNECIDO E INSTALADO EM CONDUTORES VERTICAIS DE ÁGUAS PLUVIAIS. AF_06/2022</t>
  </si>
  <si>
    <t>TE, CPVC, SOLDÁVEL, DN 22MM, INSTALADO EM RAMAL OU SUB-RAMAL DE ÁGUA - FORNECIMENTO E INSTALAÇÃO. AF_06/2022</t>
  </si>
  <si>
    <t>JUNÇÃO SIMPLES, PVC, SERIE R, ÁGUA PLUVIAL, DN 150 X 150 MM, JUNTA ELÁSTICA, FORNECIDO E INSTALADO EM CONDUTORES VERTICAIS DE ÁGUAS PLUVIAIS. AF_06/2022</t>
  </si>
  <si>
    <t>JUNÇÃO SIMPLES, PVC, SERIE R, ÁGUA PLUVIAL, DN 150 X 100 MM, JUNTA ELÁSTICA, FORNECIDO E INSTALADO EM CONDUTORES VERTICAIS DE ÁGUAS PLUVIAIS. AF_06/2022</t>
  </si>
  <si>
    <t>TÊ, PVC, SERIE R, ÁGUA PLUVIAL, DN 150 X 150 MM, JUNTA ELÁSTICA, FORNECIDO E INSTALADO EM CONDUTORES VERTICAIS DE ÁGUAS PLUVIAIS. AF_06/2022</t>
  </si>
  <si>
    <t>TÊ, PVC, SERIE R, ÁGUA PLUVIAL, DN 150 X 100 MM, JUNTA ELÁSTICA, FORNECIDO E INSTALADO EM CONDUTORES VERTICAIS DE ÁGUAS PLUVIAIS. AF_06/2022</t>
  </si>
  <si>
    <t>CURVA 90 GRAUS, CPVC, SOLDÁVEL, DN 22MM, INSTALADO EM RAMAL DE DISTRIBUIÇÃO DE ÁGUA - FORNECIMENTO E INSTALAÇÃO. AF_06/2022</t>
  </si>
  <si>
    <t>JOELHO 90 GRAUS, PVC, SERIE NORMAL, ESGOTO PREDIAL, DN 40 MM, JUNTA SOLDÁVEL, FORNECIDO E INSTALADO EM RAMAL DE DESCARGA OU RAMAL DE ESGOTO SANITÁRIO. AF_08/2022</t>
  </si>
  <si>
    <t>JOELHO 45 GRAUS, PVC, SERIE NORMAL, ESGOTO PREDIAL, DN 40 MM, JUNTA SOLDÁVEL, FORNECIDO E INSTALADO EM RAMAL DE DESCARGA OU RAMAL DE ESGOTO SANITÁRIO. AF_08/2022</t>
  </si>
  <si>
    <t>CURVA CURTA 90 GRAUS, PVC, SERIE NORMAL, ESGOTO PREDIAL, DN 40 MM, JUNTA SOLDÁVEL, FORNECIDO E INSTALADO EM RAMAL DE DESCARGA OU RAMAL DE ESGOTO SANITÁRIO. AF_08/2022</t>
  </si>
  <si>
    <t>CURVA LONGA 90 GRAUS, PVC, SERIE NORMAL, ESGOTO PREDIAL, DN 40 MM, JUNTA SOLDÁVEL, FORNECIDO E INSTALADO EM RAMAL DE DESCARGA OU RAMAL DE ESGOTO SANITÁRIO. AF_08/2022</t>
  </si>
  <si>
    <t>JOELHO 90 GRAUS, PVC, SERIE NORMAL, ESGOTO PREDIAL, DN 50 MM, JUNTA ELÁSTICA, FORNECIDO E INSTALADO EM RAMAL DE DESCARGA OU RAMAL DE ESGOTO SANITÁRIO. AF_08/2022</t>
  </si>
  <si>
    <t>JOELHO 45 GRAUS, PVC, SERIE NORMAL, ESGOTO PREDIAL, DN 50 MM, JUNTA ELÁSTICA, FORNECIDO E INSTALADO EM RAMAL DE DESCARGA OU RAMAL DE ESGOTO SANITÁRIO. AF_08/2022</t>
  </si>
  <si>
    <t>CURVA CURTA 90 GRAUS, PVC, SERIE NORMAL, ESGOTO PREDIAL, DN 50 MM, JUNTA ELÁSTICA, FORNECIDO E INSTALADO EM RAMAL DE DESCARGA OU RAMAL DE ESGOTO SANITÁRIO. AF_08/2022</t>
  </si>
  <si>
    <t>CURVA LONGA 90 GRAUS, PVC, SERIE NORMAL, ESGOTO PREDIAL, DN 50 MM, JUNTA ELÁSTICA, FORNECIDO E INSTALADO EM RAMAL DE DESCARGA OU RAMAL DE ESGOTO SANITÁRIO. AF_08/2022</t>
  </si>
  <si>
    <t>JOELHO 90 GRAUS, PVC, SERIE NORMAL, ESGOTO PREDIAL, DN 75 MM, JUNTA ELÁSTICA, FORNECIDO E INSTALADO EM RAMAL DE DESCARGA OU RAMAL DE ESGOTO SANITÁRIO. AF_08/2022</t>
  </si>
  <si>
    <t>JOELHO 45 GRAUS, PVC, SERIE NORMAL, ESGOTO PREDIAL, DN 75 MM, JUNTA ELÁSTICA, FORNECIDO E INSTALADO EM RAMAL DE DESCARGA OU RAMAL DE ESGOTO SANITÁRIO. AF_08/2022</t>
  </si>
  <si>
    <t>CURVA CURTA 90 GRAUS, PVC, SERIE NORMAL, ESGOTO PREDIAL, DN 75 MM, JUNTA ELÁSTICA, FORNECIDO E INSTALADO EM RAMAL DE DESCARGA OU RAMAL DE ESGOTO SANITÁRIO. AF_08/2022</t>
  </si>
  <si>
    <t>CURVA LONGA 90 GRAUS, PVC, SERIE NORMAL, ESGOTO PREDIAL, DN 75 MM, JUNTA ELÁSTICA, FORNECIDO E INSTALADO EM RAMAL DE DESCARGA OU RAMAL DE ESGOTO SANITÁRIO. AF_08/2022</t>
  </si>
  <si>
    <t>JOELHO 90 GRAUS, PVC, SERIE NORMAL, ESGOTO PREDIAL, DN 100 MM, JUNTA ELÁSTICA, FORNECIDO E INSTALADO EM RAMAL DE DESCARGA OU RAMAL DE ESGOTO SANITÁRIO. AF_08/2022</t>
  </si>
  <si>
    <t>JOELHO 45 GRAUS, PVC, SERIE NORMAL, ESGOTO PREDIAL, DN 100 MM, JUNTA ELÁSTICA, FORNECIDO E INSTALADO EM RAMAL DE DESCARGA OU RAMAL DE ESGOTO SANITÁRIO. AF_08/2022</t>
  </si>
  <si>
    <t>CURVA CURTA 90 GRAUS, PVC, SERIE NORMAL, ESGOTO PREDIAL, DN 100 MM, JUNTA ELÁSTICA, FORNECIDO E INSTALADO EM RAMAL DE DESCARGA OU RAMAL DE ESGOTO SANITÁRIO. AF_08/2022</t>
  </si>
  <si>
    <t>CURVA LONGA 90 GRAUS, PVC, SERIE NORMAL, ESGOTO PREDIAL, DN 100 MM, JUNTA ELÁSTICA, FORNECIDO E INSTALADO EM RAMAL DE DESCARGA OU RAMAL DE ESGOTO SANITÁRIO. AF_08/2022</t>
  </si>
  <si>
    <t>LUVA SIMPLES, PVC, SERIE NORMAL, ESGOTO PREDIAL, DN 40 MM, JUNTA SOLDÁVEL, FORNECIDO E INSTALADO EM RAMAL DE DESCARGA OU RAMAL DE ESGOTO SANITÁRIO. AF_08/2022</t>
  </si>
  <si>
    <t>LUVA SIMPLES, PVC, SERIE NORMAL, ESGOTO PREDIAL, DN 50 MM, JUNTA ELÁSTICA, FORNECIDO E INSTALADO EM RAMAL DE DESCARGA OU RAMAL DE ESGOTO SANITÁRIO. AF_08/2022</t>
  </si>
  <si>
    <t>LUVA DE CORRER, PVC, SERIE NORMAL, ESGOTO PREDIAL, DN 50 MM, JUNTA ELÁSTICA, FORNECIDO E INSTALADO EM RAMAL DE DESCARGA OU RAMAL DE ESGOTO SANITÁRIO. AF_08/2022</t>
  </si>
  <si>
    <t>BUCHA DE REDUÇÃO, CPVC, SOLDÁVEL, DN 28MM X 22MM, INSTALADO EM RAMAL DE DISTRIBUIÇÃO DE ÁGUA - FORNECIMENTO E INSTALAÇÃO. AF_06/2022</t>
  </si>
  <si>
    <t>LUVA, CPVC, SOLDÁVEL, DN 35MM, INSTALADO EM RAMAL DE DISTRIBUIÇÃO DE ÁGUA - FORNECIMENTO E INSTALAÇÃO. AF_06/2022</t>
  </si>
  <si>
    <t>LUVA DE CORRER, CPVC, SOLDÁVEL, DN 35MM, INSTALADO EM RAMAL DE DISTRIBUIÇÃO DE ÁGUA - FORNECIMENTO E INSTALAÇÃO. AF_06/2022</t>
  </si>
  <si>
    <t>UNIÃO, CPVC, SOLDÁVEL, DN35MM, INSTALADO EM RAMAL DE DISTRIBUIÇÃO DE ÁGUA - FORNECIMENTO E INSTALAÇÃO. AF_06/2022</t>
  </si>
  <si>
    <t>BUCHA DE REDUÇÃO, CPVC, SOLDÁVEL, DN35MM X 28MM, INSTALADO EM RAMAL DE DISTRIBUIÇÃO DE ÁGUA - FORNECIMENTO E INSTALAÇÃO. AF_06/2022</t>
  </si>
  <si>
    <t>TE, CPVC, SOLDÁVEL, DN 22MM, INSTALADO EM RAMAL DE DISTRIBUIÇÃO DE ÁGUA - FORNECIMENTO E INSTALAÇÃO. AF_06/2022</t>
  </si>
  <si>
    <t>TÊ MISTURADOR, CPVC, SOLDÁVEL, DN 22MM, INSTALADO EM RAMAL DE DISTRIBUIÇÃO DE ÁGUA - FORNECIMENTO E INSTALAÇÃO. AF_06/2022</t>
  </si>
  <si>
    <t>TÊ, CPVC, SOLDÁVEL, DN 28MM, INSTALADO EM RAMAL DE DISTRIBUIÇÃO DE ÁGUA - FORNECIMENTO E INSTALAÇÃO. AF_06/2022</t>
  </si>
  <si>
    <t>TÊ, CPVC, SOLDÁVEL, DN35MM, INSTALADO EM RAMAL DE DISTRIBUIÇÃO DE ÁGUA - FORNECIMENTO E INSTALAÇÃO. AF_06/2022</t>
  </si>
  <si>
    <t>LUVA SIMPLES, PVC, SERIE NORMAL, ESGOTO PREDIAL, DN 75 MM, JUNTA ELÁSTICA, FORNECIDO E INSTALADO EM RAMAL DE DESCARGA OU RAMAL DE ESGOTO SANITÁRIO. AF_08/2022</t>
  </si>
  <si>
    <t>LUVA DE CORRER, PVC, SERIE NORMAL, ESGOTO PREDIAL, DN 75 MM, JUNTA ELÁSTICA, FORNECIDO E INSTALADO EM RAMAL DE DESCARGA OU RAMAL DE ESGOTO SANITÁRIO. AF_08/2022</t>
  </si>
  <si>
    <t>LUVA SIMPLES, PVC, SERIE NORMAL, ESGOTO PREDIAL, DN 100 MM, JUNTA ELÁSTICA, FORNECIDO E INSTALADO EM RAMAL DE DESCARGA OU RAMAL DE ESGOTO SANITÁRIO. AF_08/2022</t>
  </si>
  <si>
    <t>LUVA DE CORRER, PVC, SERIE NORMAL, ESGOTO PREDIAL, DN 100 MM, JUNTA ELÁSTICA, FORNECIDO E INSTALADO EM RAMAL DE DESCARGA OU RAMAL DE ESGOTO SANITÁRIO. AF_08/2022</t>
  </si>
  <si>
    <t>JOELHO 45 GRAUS, CPVC, SOLDÁVEL, DN 35MM, INSTALADO EM PRUMADA DE ÁGUA - FORNECIMENTO E INSTALAÇÃO. AF_06/2022</t>
  </si>
  <si>
    <t>TE, PVC, SERIE NORMAL, ESGOTO PREDIAL, DN 40 X 40 MM, JUNTA SOLDÁVEL, FORNECIDO E INSTALADO EM RAMAL DE DESCARGA OU RAMAL DE ESGOTO SANITÁRIO. AF_08/2022</t>
  </si>
  <si>
    <t>JUNÇÃO SIMPLES, PVC, SERIE NORMAL, ESGOTO PREDIAL, DN 40 MM, JUNTA SOLDÁVEL, FORNECIDO E INSTALADO EM RAMAL DE DESCARGA OU RAMAL DE ESGOTO SANITÁRIO. AF_08/2022</t>
  </si>
  <si>
    <t>TE, PVC, SERIE NORMAL, ESGOTO PREDIAL, DN 50 X 50 MM, JUNTA ELÁSTICA, FORNECIDO E INSTALADO EM RAMAL DE DESCARGA OU RAMAL DE ESGOTO SANITÁRIO. AF_08/2022</t>
  </si>
  <si>
    <t>JUNÇÃO SIMPLES, PVC, SERIE NORMAL, ESGOTO PREDIAL, DN 50 X 50 MM, JUNTA ELÁSTICA, FORNECIDO E INSTALADO EM RAMAL DE DESCARGA OU RAMAL DE ESGOTO SANITÁRIO. AF_08/2022</t>
  </si>
  <si>
    <t>TE, PVC, SERIE NORMAL, ESGOTO PREDIAL, DN 75 X 75 MM, JUNTA ELÁSTICA, FORNECIDO E INSTALADO EM RAMAL DE DESCARGA OU RAMAL DE ESGOTO SANITÁRIO. AF_08/2022</t>
  </si>
  <si>
    <t>JUNÇÃO SIMPLES, PVC, SERIE NORMAL, ESGOTO PREDIAL, DN 75 X 75 MM, JUNTA ELÁSTICA, FORNECIDO E INSTALADO EM RAMAL DE DESCARGA OU RAMAL DE ESGOTO SANITÁRIO. AF_08/2022</t>
  </si>
  <si>
    <t>TE, PVC, SERIE NORMAL, ESGOTO PREDIAL, DN 100 X 100 MM, JUNTA ELÁSTICA, FORNECIDO E INSTALADO EM RAMAL DE DESCARGA OU RAMAL DE ESGOTO SANITÁRIO. AF_08/2022</t>
  </si>
  <si>
    <t>JUNÇÃO SIMPLES, PVC, SERIE NORMAL, ESGOTO PREDIAL, DN 100 X 100 MM, JUNTA ELÁSTICA, FORNECIDO E INSTALADO EM RAMAL DE DESCARGA OU RAMAL DE ESGOTO SANITÁRIO. AF_08/2022</t>
  </si>
  <si>
    <t>JOELHO 90 GRAUS, PVC, SERIE NORMAL, ESGOTO PREDIAL, DN 50 MM, JUNTA ELÁSTICA, FORNECIDO E INSTALADO EM PRUMADA DE ESGOTO SANITÁRIO OU VENTILAÇÃO. AF_08/2022</t>
  </si>
  <si>
    <t>JOELHO 45 GRAUS, PVC, SERIE NORMAL, ESGOTO PREDIAL, DN 50 MM, JUNTA ELÁSTICA, FORNECIDO E INSTALADO EM PRUMADA DE ESGOTO SANITÁRIO OU VENTILAÇÃO. AF_08/2022</t>
  </si>
  <si>
    <t>CURVA CURTA 90 GRAUS, PVC, SERIE NORMAL, ESGOTO PREDIAL, DN 50 MM, JUNTA ELÁSTICA, FORNECIDO E INSTALADO EM PRUMADA DE ESGOTO SANITÁRIO OU VENTILAÇÃO. AF_08/2022</t>
  </si>
  <si>
    <t>CURVA LONGA 90 GRAUS, PVC, SERIE NORMAL, ESGOTO PREDIAL, DN 50 MM, JUNTA ELÁSTICA, FORNECIDO E INSTALADO EM PRUMADA DE ESGOTO SANITÁRIO OU VENTILAÇÃO. AF_08/2022</t>
  </si>
  <si>
    <t>JOELHO 90 GRAUS, PVC, SERIE NORMAL, ESGOTO PREDIAL, DN 75 MM, JUNTA ELÁSTICA, FORNECIDO E INSTALADO EM PRUMADA DE ESGOTO SANITÁRIO OU VENTILAÇÃO. AF_08/2022</t>
  </si>
  <si>
    <t>JOELHO 45 GRAUS, PVC, SERIE NORMAL, ESGOTO PREDIAL, DN 75 MM, JUNTA ELÁSTICA, FORNECIDO E INSTALADO EM PRUMADA DE ESGOTO SANITÁRIO OU VENTILAÇÃO. AF_08/2022</t>
  </si>
  <si>
    <t>CURVA CURTA 90 GRAUS, PVC, SERIE NORMAL, ESGOTO PREDIAL, DN 75 MM, JUNTA ELÁSTICA, FORNECIDO E INSTALADO EM PRUMADA DE ESGOTO SANITÁRIO OU VENTILAÇÃO. AF_08/2022</t>
  </si>
  <si>
    <t>CURVA LONGA 90 GRAUS, PVC, SERIE NORMAL, ESGOTO PREDIAL, DN 75 MM, JUNTA ELÁSTICA, FORNECIDO E INSTALADO EM PRUMADA DE ESGOTO SANITÁRIO OU VENTILAÇÃO. AF_08/2022</t>
  </si>
  <si>
    <t>JOELHO 90 GRAUS, PVC, SERIE NORMAL, ESGOTO PREDIAL, DN 100 MM, JUNTA ELÁSTICA, FORNECIDO E INSTALADO EM PRUMADA DE ESGOTO SANITÁRIO OU VENTILAÇÃO. AF_08/2022</t>
  </si>
  <si>
    <t>JOELHO 45 GRAUS, PVC, SERIE NORMAL, ESGOTO PREDIAL, DN 100 MM, JUNTA ELÁSTICA, FORNECIDO E INSTALADO EM PRUMADA DE ESGOTO SANITÁRIO OU VENTILAÇÃO. AF_08/2022</t>
  </si>
  <si>
    <t>CURVA CURTA 90 GRAUS, PVC, SERIE NORMAL, ESGOTO PREDIAL, DN 100 MM, JUNTA ELÁSTICA, FORNECIDO E INSTALADO EM PRUMADA DE ESGOTO SANITÁRIO OU VENTILAÇÃO. AF_08/2022</t>
  </si>
  <si>
    <t>CURVA LONGA 90 GRAUS, PVC, SERIE NORMAL, ESGOTO PREDIAL, DN 100 MM, JUNTA ELÁSTICA, FORNECIDO E INSTALADO EM PRUMADA DE ESGOTO SANITÁRIO OU VENTILAÇÃO. AF_08/2022</t>
  </si>
  <si>
    <t>LUVA SIMPLES, PVC, SERIE NORMAL, ESGOTO PREDIAL, DN 50 MM, JUNTA ELÁSTICA, FORNECIDO E INSTALADO EM PRUMADA DE ESGOTO SANITÁRIO OU VENTILAÇÃO. AF_08/2022</t>
  </si>
  <si>
    <t>LUVA DE CORRER, PVC, SERIE NORMAL, ESGOTO PREDIAL, DN 50 MM, JUNTA ELÁSTICA, FORNECIDO E INSTALADO EM PRUMADA DE ESGOTO SANITÁRIO OU VENTILAÇÃO. AF_08/2022</t>
  </si>
  <si>
    <t>LUVA SIMPLES, PVC, SERIE NORMAL, ESGOTO PREDIAL, DN 75 MM, JUNTA ELÁSTICA, FORNECIDO E INSTALADO EM PRUMADA DE ESGOTO SANITÁRIO OU VENTILAÇÃO. AF_08/2022</t>
  </si>
  <si>
    <t>LUVA DE CORRER, PVC, SERIE NORMAL, ESGOTO PREDIAL, DN 75 MM, JUNTA ELÁSTICA, FORNECIDO E INSTALADO EM PRUMADA DE ESGOTO SANITÁRIO OU VENTILAÇÃO. AF_08/2022</t>
  </si>
  <si>
    <t>LUVA SIMPLES, PVC, SERIE NORMAL, ESGOTO PREDIAL, DN 100 MM, JUNTA ELÁSTICA, FORNECIDO E INSTALADO EM PRUMADA DE ESGOTO SANITÁRIO OU VENTILAÇÃO. AF_08/2022</t>
  </si>
  <si>
    <t>LUVA DE CORRER, PVC, SERIE NORMAL, ESGOTO PREDIAL, DN 100 MM, JUNTA ELÁSTICA, FORNECIDO E INSTALADO EM PRUMADA DE ESGOTO SANITÁRIO OU VENTILAÇÃO. AF_08/2022</t>
  </si>
  <si>
    <t>TE, PVC, SERIE NORMAL, ESGOTO PREDIAL, DN 50 X 50 MM, JUNTA ELÁSTICA, FORNECIDO E INSTALADO EM PRUMADA DE ESGOTO SANITÁRIO OU VENTILAÇÃO. AF_08/2022</t>
  </si>
  <si>
    <t>JUNÇÃO SIMPLES, PVC, SERIE NORMAL, ESGOTO PREDIAL, DN 50 X 50 MM, JUNTA ELÁSTICA, FORNECIDO E INSTALADO EM PRUMADA DE ESGOTO SANITÁRIO OU VENTILAÇÃO. AF_08/2022</t>
  </si>
  <si>
    <t>TE, PVC, SERIE NORMAL, ESGOTO PREDIAL, DN 75 X 75 MM, JUNTA ELÁSTICA, FORNECIDO E INSTALADO EM PRUMADA DE ESGOTO SANITÁRIO OU VENTILAÇÃO. AF_08/2022</t>
  </si>
  <si>
    <t>JUNÇÃO SIMPLES, PVC, SERIE NORMAL, ESGOTO PREDIAL, DN 75 X 75 MM, JUNTA ELÁSTICA, FORNECIDO E INSTALADO EM PRUMADA DE ESGOTO SANITÁRIO OU VENTILAÇÃO. AF_08/2022</t>
  </si>
  <si>
    <t>BUCHA DE REDUÇÃO, CPVC, SOLDÁVEL, DN 42MM X 22MM, INSTALADO EM RAMAL DE DISTRIBUIÇÃO DE ÁGUA - FORNECIMENTO E INSTALAÇÃO. AF_06/2022</t>
  </si>
  <si>
    <t>TE, PVC, SERIE NORMAL, ESGOTO PREDIAL, DN 100 X 100 MM, JUNTA ELÁSTICA, FORNECIDO E INSTALADO EM PRUMADA DE ESGOTO SANITÁRIO OU VENTILAÇÃO. AF_08/2022</t>
  </si>
  <si>
    <t>JUNÇÃO SIMPLES, PVC, SERIE NORMAL, ESGOTO PREDIAL, DN 100 X 100 MM, JUNTA ELÁSTICA, FORNECIDO E INSTALADO EM PRUMADA DE ESGOTO SANITÁRIO OU VENTILAÇÃO. AF_08/2022</t>
  </si>
  <si>
    <t>JOELHO 90 GRAUS, PVC, SERIE NORMAL, ESGOTO PREDIAL, DN 100 MM, JUNTA ELÁSTICA, FORNECIDO E INSTALADO EM SUBCOLETOR AÉREO DE ESGOTO SANITÁRIO. AF_08/2022</t>
  </si>
  <si>
    <t>JOELHO 45 GRAUS, PVC, SERIE NORMAL, ESGOTO PREDIAL, DN 100 MM, JUNTA ELÁSTICA, FORNECIDO E INSTALADO EM SUBCOLETOR AÉREO DE ESGOTO SANITÁRIO. AF_08/2022</t>
  </si>
  <si>
    <t>CURVA CURTA 90 GRAUS, PVC, SERIE NORMAL, ESGOTO PREDIAL, DN 100 MM, JUNTA ELÁSTICA, FORNECIDO E INSTALADO EM SUBCOLETOR AÉREO DE ESGOTO SANITÁRIO. AF_08/2022</t>
  </si>
  <si>
    <t>CURVA LONGA 90 GRAUS, PVC, SERIE NORMAL, ESGOTO PREDIAL, DN 100 MM, JUNTA ELÁSTICA, FORNECIDO E INSTALADO EM SUBCOLETOR AÉREO DE ESGOTO SANITÁRIO. AF_08/2022</t>
  </si>
  <si>
    <t>JOELHO 90 GRAUS, PVC, SERIE NORMAL, ESGOTO PREDIAL, DN 150 MM, JUNTA ELÁSTICA, FORNECIDO E INSTALADO EM SUBCOLETOR AÉREO DE ESGOTO SANITÁRIO. AF_08/2022</t>
  </si>
  <si>
    <t>JOELHO 45 GRAUS, PVC, SERIE NORMAL, ESGOTO PREDIAL, DN 150 MM, JUNTA ELÁSTICA, FORNECIDO E INSTALADO EM SUBCOLETOR AÉREO DE ESGOTO SANITÁRIO. AF_08/2022</t>
  </si>
  <si>
    <t>LUVA SIMPLES, PVC, SERIE NORMAL, ESGOTO PREDIAL, DN 100 MM, JUNTA ELÁSTICA, FORNECIDO E INSTALADO EM SUBCOLETOR AÉREO DE ESGOTO SANITÁRIO. AF_08/2022</t>
  </si>
  <si>
    <t>LUVA DE CORRER, PVC, SERIE NORMAL, ESGOTO PREDIAL, DN 100 MM, JUNTA ELÁSTICA, FORNECIDO E INSTALADO EM SUBCOLETOR AÉREO DE ESGOTO SANITÁRIO. AF_08/2022</t>
  </si>
  <si>
    <t>TE, PVC, SERIE NORMAL, ESGOTO PREDIAL, DN 100 X 100 MM, JUNTA ELÁSTICA, FORNECIDO E INSTALADO EM SUBCOLETOR AÉREO DE ESGOTO SANITÁRIO. AF_08/2022</t>
  </si>
  <si>
    <t>JUNÇÃO SIMPLES, PVC, SERIE NORMAL, ESGOTO PREDIAL, DN 100 X 100 MM, JUNTA ELÁSTICA, FORNECIDO E INSTALADO EM SUBCOLETOR AÉREO DE ESGOTO SANITÁRIO. AF_08/2022</t>
  </si>
  <si>
    <t>JOELHO 90 GRAUS, PVC, SOLDÁVEL, DN 25MM, INSTALADO EM DRENO DE AR-CONDICIONADO - FORNECIMENTO E INSTALAÇÃO. AF_08/2022</t>
  </si>
  <si>
    <t>JOELHO 45 GRAUS, PVC, SOLDÁVEL, DN 25MM, INSTALADO EM DRENO DE AR-CONDICIONADO - FORNECIMENTO E INSTALAÇÃO. AF_08/2022</t>
  </si>
  <si>
    <t>LUVA, PVC, SOLDÁVEL, DN 25MM, INSTALADO EM DRENO DE AR-CONDICIONADO - FORNECIMENTO E INSTALAÇÃO. AF_08/2022</t>
  </si>
  <si>
    <t>TE, PVC, SOLDÁVEL, DN 25MM, INSTALADO EM DRENO DE AR-CONDICIONADO - FORNECIMENTO E INSTALAÇÃO. AF_08/2022</t>
  </si>
  <si>
    <t>COTOVELO EM COBRE, DN 22 MM, 90 GRAUS, SEM ANEL DE SOLDA, INSTALADO EM PRUMADA DE HIDRÁULICA PREDIAL - FORNECIMENTO E INSTALAÇÃO. AF_04/2022</t>
  </si>
  <si>
    <t>COTOVELO EM COBRE, DN 28 MM, 90 GRAUS, SEM ANEL DE SOLDA, INSTALADO EM PRUMADA DE HIDRÁULICA PREDIAL - FORNECIMENTO E INSTALAÇÃO. AF_04/2022</t>
  </si>
  <si>
    <t>COTOVELO EM COBRE, DN 35 MM, 90 GRAUS, SEM ANEL DE SOLDA, INSTALADO EM PRUMADA DE HIDRÁULICA PREDIAL - FORNECIMENTO E INSTALAÇÃO. AF_04/2022</t>
  </si>
  <si>
    <t>COTOVELO EM COBRE, DN 42 MM, 90 GRAUS, SEM ANEL DE SOLDA, INSTALADO EM PRUMADA DE HIDRÁULICA PREDIAL - FORNECIMENTO E INSTALAÇÃO. AF_04/2022</t>
  </si>
  <si>
    <t>COTOVELO EM COBRE, DN 54 MM, 90 GRAUS, SEM ANEL DE SOLDA, INSTALADO EM PRUMADA DE HIDRÁULICA PREDIAL - FORNECIMENTO E INSTALAÇÃO. AF_04/2022</t>
  </si>
  <si>
    <t>COTOVELO EM COBRE, DN 66 MM, 90 GRAUS, SEM ANEL DE SOLDA, INSTALADO EM PRUMADA DE HIDRÁULICA PREDIAL - FORNECIMENTO E INSTALAÇÃO. AF_04/2022</t>
  </si>
  <si>
    <t>LUVA EM COBRE, DN 22 MM, SEM ANEL DE SOLDA, INSTALADO EM PRUMADA DE HIDRÁULICA PREDIAL - FORNECIMENTO E INSTALAÇÃO. AF_04/2022</t>
  </si>
  <si>
    <t>LUVA EM COBRE, DN 28 MM, SEM ANEL DE SOLDA, INSTALADO EM PRUMADA DE HIDRÁULICA PREDIAL - FORNECIMENTO E INSTALAÇÃO. AF_04/2022</t>
  </si>
  <si>
    <t>LUVA EM COBRE, DN 35 MM, SEM ANEL DE SOLDA, INSTALADO EM PRUMADA DE HIDRÁULICA PREDIAL - FORNECIMENTO E INSTALAÇÃO. AF_04/2022</t>
  </si>
  <si>
    <t>LUVA EM COBRE, DN 42 MM, SEM ANEL DE SOLDA, INSTALADO EM PRUMADA DE HIDRÁULICA PREDIAL - FORNECIMENTO E INSTALAÇÃO. AF_04/2022</t>
  </si>
  <si>
    <t>LUVA EM COBRE, DN 54 MM, SEM ANEL DE SOLDA, INSTALADO EM PRUMADA DE HIDRÁULICA PREDIAL - FORNECIMENTO E INSTALAÇÃO. AF_04/2022</t>
  </si>
  <si>
    <t>LUVA EM COBRE, DN 66 MM, SEM ANEL DE SOLDA, INSTALADO EM PRUMADA DE HIDRÁULICA PREDIAL - FORNECIMENTO E INSTALAÇÃO. AF_04/2022</t>
  </si>
  <si>
    <t>TE EM COBRE, DN 22 MM, SEM ANEL DE SOLDA, INSTALADO EM PRUMADA DE HIDRÁULICA PREDIAL - FORNECIMENTO E INSTALAÇÃO. AF_04/2022</t>
  </si>
  <si>
    <t>TE EM COBRE, DN 28 MM, SEM ANEL DE SOLDA, INSTALADO EM PRUMADA DE HIDRÁULICA PREDIAL - FORNECIMENTO E INSTALAÇÃO. AF_04/2022</t>
  </si>
  <si>
    <t>TE EM COBRE, DN 35 MM, SEM ANEL DE SOLDA, INSTALADO EM PRUMADA DE HIDRÁULICA PREDIAL - FORNECIMENTO E INSTALAÇÃO. AF_04/2022</t>
  </si>
  <si>
    <t>TE EM COBRE, DN 42 MM, SEM ANEL DE SOLDA, INSTALADO EM PRUMADA DE HIDRÁULICA PREDIAL - FORNECIMENTO E INSTALAÇÃO. AF_04/2022</t>
  </si>
  <si>
    <t>TE EM COBRE, DN 54 MM, SEM ANEL DE SOLDA, INSTALADO EM PRUMADA DE HIDRÁULICA PREDIAL - FORNECIMENTO E INSTALAÇÃO. AF_04/2022</t>
  </si>
  <si>
    <t>TE EM COBRE, DN 66 MM, SEM ANEL DE SOLDA, INSTALADO EM PRUMADA DE HIDRÁULICA PREDIAL - FORNECIMENTO E INSTALAÇÃO. AF_04/2022</t>
  </si>
  <si>
    <t>COTOVELO EM COBRE, DN 22 MM, 90 GRAUS, SEM ANEL DE SOLDA, INSTALADO EM RAMAL DE DISTRIBUIÇÃO DE HIDRÁULICA PREDIAL - FORNECIMENTO E INSTALAÇÃO. AF_04/2022</t>
  </si>
  <si>
    <t>COTOVELO EM COBRE, DN 28 MM, 90 GRAUS, SEM ANEL DE SOLDA, INSTALADO EM RAMAL DE DISTRIBUIÇÃO DE HIDRÁULICA PREDIAL - FORNECIMENTO E INSTALAÇÃO. AF_04/2022</t>
  </si>
  <si>
    <t>LUVA EM COBRE, DN 15 MM, SEM ANEL DE SOLDA, INSTALADO EM RAMAL DE DISTRIBUIÇÃO DE HIDRÁULICA PREDIAL - FORNECIMENTO E INSTALAÇÃO. AF_04/2022</t>
  </si>
  <si>
    <t>LUVA EM COBRE, DN 22 MM, SEM ANEL DE SOLDA, INSTALADO EM RAMAL DE DISTRIBUIÇÃO DE HIDRÁULICA PREDIAL - FORNECIMENTO E INSTALAÇÃO. AF_04/2022</t>
  </si>
  <si>
    <t>LUVA EM COBRE, DN 28 MM, SEM ANEL DE SOLDA, INSTALADO EM RAMAL DE DISTRIBUIÇÃO DE HIDRÁULICA PREDIAL - FORNECIMENTO E INSTALAÇÃO. AF_04/2022</t>
  </si>
  <si>
    <t>TE EM COBRE, DN 15 MM, SEM ANEL DE SOLDA, INSTALADO EM RAMAL DE DISTRIBUIÇÃO DE HIDRÁULICA PREDIAL - FORNECIMENTO E INSTALAÇÃO. AF_04/2022</t>
  </si>
  <si>
    <t>TE EM COBRE, DN 22 MM, SEM ANEL DE SOLDA, INSTALADO EM RAMAL DE DISTRIBUIÇÃO DE HIDRÁULICA PREDIAL - FORNECIMENTO E INSTALAÇÃO. AF_04/2022</t>
  </si>
  <si>
    <t>TE EM COBRE, DN 28 MM, SEM ANEL DE SOLDA, INSTALADO EM RAMAL DE DISTRIBUIÇÃO DE HIDRÁULICA PREDIAL - FORNECIMENTO E INSTALAÇÃO. AF_04/2022</t>
  </si>
  <si>
    <t>COTOVELO EM COBRE, DN 15 MM, 90 GRAUS, SEM ANEL DE SOLDA, INSTALADO EM RAMAL E SUB-RAMAL DE HIDRÁULICA PREDIAL - FORNECIMENTO E INSTALAÇÃO. AF_04/2022</t>
  </si>
  <si>
    <t>COTOVELO EM COBRE, DN 22 MM, 90 GRAUS, SEM ANEL DE SOLDA, INSTALADO EM RAMAL E SUB-RAMAL DE HIDRÁULICA PREDIAL - FORNECIMENTO E INSTALAÇÃO. AF_04/2022</t>
  </si>
  <si>
    <t>COTOVELO EM COBRE, DN 28 MM, 90 GRAUS, SEM ANEL DE SOLDA, INSTALADO EM RAMAL E SUB-RAMAL DE HIDRÁULICA PREDIAL - FORNECIMENTO E INSTALAÇÃO. AF_04/2022</t>
  </si>
  <si>
    <t>LUVA EM COBRE, DN 15 MM, SEM ANEL DE SOLDA, INSTALADO EM RAMAL E SUB-RAMAL DE HIDRÁULICA PREDIAL - FORNECIMENTO E INSTALAÇÃO. AF_04/2022</t>
  </si>
  <si>
    <t>LUVA EM COBRE, DN 22 MM, SEM ANEL DE SOLDA, INSTALADO EM RAMAL E SUB-RAMAL DE HIDRÁULICA PREDIAL - FORNECIMENTO E INSTALAÇÃO. AF_04/2022</t>
  </si>
  <si>
    <t>LUVA EM COBRE, DN 28 MM, SEM ANEL DE SOLDA, INSTALADO EM RAMAL E SUB-RAMAL DE HIDRÁULICA PREDIAL - FORNECIMENTO E INSTALAÇÃO. AF_04/2022</t>
  </si>
  <si>
    <t>TE EM COBRE, DN 15 MM, SEM ANEL DE SOLDA, INSTALADO EM RAMAL E SUB-RAMAL DE HIDRÁULICA PREDIAL - FORNECIMENTO E INSTALAÇÃO. AF_04/2022</t>
  </si>
  <si>
    <t>TE EM COBRE, DN 22 MM, SEM ANEL DE SOLDA, INSTALADO EM RAMAL E SUB-RAMAL DE HIDRÁULICA PREDIAL - FORNECIMENTO E INSTALAÇÃO. AF_04/2022</t>
  </si>
  <si>
    <t>TE EM COBRE, DN 28 MM, SEM ANEL DE SOLDA, INSTALADO EM RAMAL E SUB-RAMAL DE HIDRÁULICA PREDIAL - FORNECIMENTO E INSTALAÇÃO. AF_04/2022</t>
  </si>
  <si>
    <t>LUVA PASSANTE EM COBRE, DN 22 MM, SEM ANEL DE SOLDA, INSTALADO EM PRUMADA DE HIDRÁULICA PREDIAL - FORNECIMENTO E INSTALAÇÃO. AF_04/2022</t>
  </si>
  <si>
    <t>JUNTA DE EXPANSÃO EM COBRE, DN 22 MM, PONTA X PONTA, INSTALADO EM PRUMADA DE HIDRÁULICA PREDIAL - FORNECIMENTO E INSTALAÇÃO. AF_04/2022</t>
  </si>
  <si>
    <t>CONECTOR EM BRONZE/LATÃO, DN 22 MM X 3/4", SEM ANEL DE SOLDA, BOLSA X ROSCA F, INSTALADO EM PRUMADA DE HIDRÁULICA PREDIAL - FORNECIMENTO E INSTALAÇÃO. AF_04/2022</t>
  </si>
  <si>
    <t>CURVA DE TRANSPOSIÇÃO EM BRONZE/LATÃO, DN 22 MM, SEM ANEL DE SOLDA, BOLSA X BOLSA, INSTALADO EM PRUMADA DE HIDRÁULICA PREDIAL - FORNECIMENTO E INSTALAÇÃO. AF_04/2022</t>
  </si>
  <si>
    <t>LUVA PASSANTE EM COBRE, DN 28 MM, SEM ANEL DE SOLDA, INSTALADO EM PRUMADA DE HIDRÁULICA PREDIAL - FORNECIMENTO E INSTALAÇÃO. AF_04/2022</t>
  </si>
  <si>
    <t>BUCHA DE REDUÇÃO EM COBRE, DN 28 MM X 22 MM, SEM ANEL DE SOLDA, PONTA X BOLSA, INSTALADO EM PRUMADA DE HIDRÁULICA PREDIAL - FORNECIMENTO E INSTALAÇÃO. AF_04/2022</t>
  </si>
  <si>
    <t>JUNTA DE EXPANSÃO EM COBRE, DN 28 MM, PONTA X PONTA, INSTALADO EM PRUMADA DE HIDRÁULICA PREDIAL - FORNECIMENTO E INSTALAÇÃO. AF_04/2022</t>
  </si>
  <si>
    <t>CONECTOR EM BRONZE/LATÃO, DN 28 MM X 1/2", SEM ANEL DE SOLDA, BOLSA X ROSCA F, INSTALADO EM PRUMADA DE HIDRÁULICA PREDIAL - FORNECIMENTO E INSTALAÇÃO. AF_04/2022</t>
  </si>
  <si>
    <t>CURVA DE TRANSPOSIÇÃO EM BRONZE/LATÃO, DN 28 MM, SEM ANEL DE SOLDA, BOLSA X BOLSA, INSTALADO EM PRUMADA DE HIDRÁULICA PREDIAL - FORNECIMENTO E INSTALAÇÃO. AF_04/2022</t>
  </si>
  <si>
    <t>LUVA PASSANTE EM COBRE, DN 35 MM, SEM ANEL DE SOLDA, INSTALADO EM PRUMADA DE HIDRÁULICA PREDIAL - FORNECIMENTO E INSTALAÇÃO. AF_04/2022</t>
  </si>
  <si>
    <t>BUCHA DE REDUÇÃO EM COBRE, DN 35 MM X 28 MM, SEM ANEL DE SOLDA, PONTA X BOLSA, INSTALADO EM PRUMADA DE HIDRÁULICA PREDIAL - FORNECIMENTO E INSTALAÇÃO. AF_04/2022</t>
  </si>
  <si>
    <t>JUNTA DE EXPANSÃO EM BRONZE/LATÃO, DN 35 MM, PONTA X PONTA, INSTALADO EM PRUMADA DE HIDRÁULICA PREDIAL - FORNECIMENTO E INSTALAÇÃO. AF_04/2022</t>
  </si>
  <si>
    <t>LUVA PASSANTE EM COBRE, DN 42 MM, SEM ANEL DE SOLDA, INSTALADO EM PRUMADA DE HIDRÁULICA PREDIAL - FORNECIMENTO E INSTALAÇÃO. AF_04/2022</t>
  </si>
  <si>
    <t>BUCHA DE REDUÇÃO EM COBRE, DN 42 MM X 35 MM, SEM ANEL DE SOLDA, PONTA X BOLSA, INSTALADO EM PRUMADA DE HIDRÁULICA PREDIAL - FORNECIMENTO E INSTALAÇÃO. AF_04/2022</t>
  </si>
  <si>
    <t>JUNTA DE EXPANSÃO EM BRONZE/LATÃO, DN 42 MM, PONTA X PONTA, INSTALADO EM PRUMADA DE HIDRÁULICA PREDIAL - FORNECIMENTO E INSTALAÇÃO. AF_04/2022</t>
  </si>
  <si>
    <t>LUVA PASSANTE EM COBRE, DN 54 MM, SEM ANEL DE SOLDA, INSTALADO EM PRUMADA DE HIDRÁULICA PREDIAL - FORNECIMENTO E INSTALAÇÃO. AF_04/2022</t>
  </si>
  <si>
    <t>BUCHA DE REDUÇÃO EM COBRE, DN 54 MM X 42 MM, SEM ANEL DE SOLDA, PONTA X BOLSA, INSTALADO EM PRUMADA DE HIDRÁULICA PREDIAL - FORNECIMENTO E INSTALAÇÃO. AF_04/2022</t>
  </si>
  <si>
    <t>JUNTA DE EXPANSÃO EM BRONZE/LATÃO, DN 54 MM, PONTA X PONTA, INSTALADO EM PRUMADA DE HIDRÁULICA PREDIAL - FORNECIMENTO E INSTALAÇÃO. AF_04/2022</t>
  </si>
  <si>
    <t>LUVA PASSANTE EM COBRE, DN 66 MM, SEM ANEL DE SOLDA, INSTALADO EM PRUMADA DE HIDRÁULICA PREDIAL - FORNECIMENTO E INSTALAÇÃO. AF_04/2022</t>
  </si>
  <si>
    <t>BUCHA DE REDUÇÃO EM COBRE, DN 66 MM X 54 MM, SEM ANEL DE SOLDA, PONTA X BOLSA, INSTALADO EM PRUMADA DE HIDRÁULICA PREDIAL - FORNECIMENTO E INSTALAÇÃO. AF_04/2022</t>
  </si>
  <si>
    <t>JUNTA DE EXPANSÃO EM BRONZE/LATÃO, DN 66 MM, PONTA X PONTA, INSTALADO EM PRUMADA DE HIDRÁULICA PREDIAL - FORNECIMENTO E INSTALAÇÃO. AF_04/2022</t>
  </si>
  <si>
    <t>CURVA EM COBRE, DN 15 MM, 45 GRAUS, SEM ANEL DE SOLDA, BOLSA X BOLSA, INSTALADO EM RAMAL DE DISTRIBUIÇÃO DE HIDRÁULICA PREDIAL - FORNECIMENTO E INSTALAÇÃO. AF_04/2022</t>
  </si>
  <si>
    <t>COTOVELO EM BRONZE/LATÃO, DN 15 MM X 1/2", 90 GRAUS, SEM ANEL DE SOLDA, BOLSA X ROSCA F, INSTALADO EM RAMAL DE DISTRIBUIÇÃO DE HIDRÁULICA PREDIAL - FORNECIMENTO E INSTALAÇÃO. AF_04/2022</t>
  </si>
  <si>
    <t>CURVA EM COBRE, DN 22 MM, 45 GRAUS, SEM ANEL DE SOLDA, BOLSA X BOLSA, INSTALADO EM RAMAL DE DISTRIBUIÇÃO DE HIDRÁULICA PREDIAL - FORNECIMENTO E INSTALAÇÃO. AF_04/2022</t>
  </si>
  <si>
    <t>COTOVELO EM BRONZE/LATÃO, DN 22 MM X 1/2", 90 GRAUS, SEM ANEL DE SOLDA, BOLSA X ROSCA F, INSTALADO EM RAMAL DE DISTRIBUIÇÃO DE HIDRÁULICA PREDIAL - FORNECIMENTO E INSTALAÇÃO. AF_04/2022</t>
  </si>
  <si>
    <t>COTOVELO EM BRONZE/LATÃO, DN 22 MM X 3/4", 90 GRAUS, SEM ANEL DE SOLDA, BOLSA X ROSCA F, INSTALADO EM RAMAL DE DISTRIBUIÇÃO DE HIDRÁULICA PREDIAL - FORNECIMENTO E INSTALAÇÃO. AF_04/2022</t>
  </si>
  <si>
    <t>CURVA EM COBRE, DN 28 MM, 45 GRAUS, SEM ANEL DE SOLDA, BOLSA X BOLSA, INSTALADO EM RAMAL DE DISTRIBUIÇÃO DE HIDRÁULICA PREDIAL - FORNECIMENTO E INSTALAÇÃO. AF_04/2022</t>
  </si>
  <si>
    <t>LUVA PASSANTE EM COBRE, DN 15 MM, SEM ANEL DE SOLDA, INSTALADO EM RAMAL DE DISTRIBUIÇÃO DE HIDRÁULICA PREDIAL - FORNECIMENTO E INSTALAÇÃO. AF_04/2022</t>
  </si>
  <si>
    <t>CONECTOR EM BRONZE/LATÃO, DN 15 MM X 1/2", SEM ANEL DE SOLDA, BOLSA X ROSCA F, INSTALADO EM RAMAL DE DISTRIBUIÇÃO DE HIDRÁULICA PREDIAL - FORNECIMENTO E INSTALAÇÃO. AF_04/2022</t>
  </si>
  <si>
    <t>CURVA DE TRANSPOSIÇÃO EM BRONZE/LATÃO, DN 15 MM, SEM ANEL DE SOLDA, BOLSA X BOLSA, INSTALADO EM RAMAL DE DISTRIBUIÇÃO DE HIDRÁULICA PREDIAL - FORNECIMENTO E INSTALAÇÃO. AF_04/2022</t>
  </si>
  <si>
    <t>JUNTA DE EXPANSÃO EM COBRE, DN 15 MM, PONTA X PONTA, INSTALADO EM RAMAL DE DISTRIBUIÇÃO DE HIDRÁULICA PREDIAL - FORNECIMENTO E INSTALAÇÃO. AF_04/2022</t>
  </si>
  <si>
    <t>LUVA PASSANTE EM COBRE, DN 22 MM, SEM ANEL DE SOLDA, INSTALADO EM RAMAL DE DISTRIBUIÇÃO DE HIDRÁULICA PREDIAL - FORNECIMENTO E INSTALAÇÃO. AF_04/2022</t>
  </si>
  <si>
    <t>BUCHA DE REDUÇÃO EM COBRE, DN 22 MM X 15 MM, SEM ANEL DE SOLDA, PONTA X BOLSA, INSTALADO EM RAMAL DE DISTRIBUIÇÃO DE HIDRÁULICA PREDIAL - FORNECIMENTO E INSTALAÇÃO. AF_04/2022</t>
  </si>
  <si>
    <t>JUNTA DE EXPANSÃO EM COBRE, DN 22 MM, PONTA X PONTA, INSTALADO EM RAMAL DE DISTRIBUIÇÃO DE HIDRÁULICA PREDIAL - FORNECIMENTO E INSTALAÇÃO. AF_04/2022</t>
  </si>
  <si>
    <t>CONECTOR EM BRONZE/LATÃO, DN 22 MM X 1/2", SEM ANEL DE SOLDA, BOLSA X ROSCA F, INSTALADO EM RAMAL DE DISTRIBUIÇÃO DE HIDRÁULICA PREDIAL - FORNECIMENTO E INSTALAÇÃO. AF_04/2022</t>
  </si>
  <si>
    <t>CONECTOR EM BRONZE/LATÃO, DN 22 MM X 3/4", SEM ANEL DE SOLDA, BOLSA X ROSCA F, INSTALADO EM RAMAL DE DISTRIBUIÇÃO DE HIDRÁULICA PREDIAL - FORNECIMENTO E INSTALAÇÃO. AF_04/2022</t>
  </si>
  <si>
    <t>CURVA DE TRANSPOSIÇÃO EM BRONZE/LATÃO, DN 22 MM, SEM ANEL DE SOLDA, BOLSA X BOLSA, INSTALADO EM RAMAL DE DISTRIBUIÇÃO DE HIDRÁULICA PREDIAL - FORNECIMENTO E INSTALAÇÃO. AF_04/2022</t>
  </si>
  <si>
    <t>LUVA PASSANTE EM COBRE, DN 28 MM, SEM ANEL DE SOLDA, INSTALADO EM RAMAL DE DISTRIBUIÇÃO DE HIDRÁULICA PREDIAL - FORNECIMENTO E INSTALAÇÃO. AF_04/2022</t>
  </si>
  <si>
    <t>BUCHA DE REDUÇÃO EM COBRE, DN 28 MM X 22 MM, SEM ANEL DE SOLDA, INSTALADO EM RAMAL DE DISTRIBUIÇÃO DE HIDRÁULICA PREDIAL - FORNECIMENTO E INSTALAÇÃO. AF_04/2022</t>
  </si>
  <si>
    <t>JUNTA DE EXPANSÃO EM COBRE, DN 28 MM, PONTA X PONTA, INSTALADO EM RAMAL DE DISTRIBUIÇÃO DE HIDRÁULICA PREDIAL - FORNECIMENTO E INSTALAÇÃO. AF_04/2022</t>
  </si>
  <si>
    <t>CONECTOR EM BRONZE/LATÃO, DN 28 MM X 1/2", SEM ANEL DE SOLDA, BOLSA X ROSCA F, INSTALADO EM RAMAL DE DISTRIBUIÇÃO DE HIDRÁULICA PREDIAL - FORNECIMENTO E INSTALAÇÃO. AF_04/2022</t>
  </si>
  <si>
    <t>CURVA DE TRANSPOSIÇÃO EM BRONZE/LATÃO, DN 28 MM, SEM ANEL DE SOLDA, BOLSA X BOLSA, INSTALADO EM RAMAL DE DISTRIBUIÇÃO DE HIDRÁULICA PREDIAL - FORNECIMENTO E INSTALAÇÃO. AF_04/2022</t>
  </si>
  <si>
    <t>CURVA EM COBRE, DN 15 MM, 45 GRAUS, SEM ANEL DE SOLDA, BOLSA X BOLSA, INSTALADO EM RAMAL E SUB-RAMAL DE HIDRÁULICA PREDIAL - FORNECIMENTO E INSTALAÇÃO. AF_04/2022</t>
  </si>
  <si>
    <t>COTOVELO EM BRONZE/LATÃO, DN 15 MM X 1/2", 90 GRAUS, SEM ANEL DE SOLDA, BOLSA X ROSCA F, INSTALADO EM RAMAL E SUB-RAMAL DE HIDRÁULICA PREDIAL - FORNECIMENTO E INSTALAÇÃO. AF_04/2022</t>
  </si>
  <si>
    <t>CURVA EM COBRE, DN 22 MM, 45 GRAUS, SEM ANEL DE SOLDA, BOLSA X BOLSA, INSTALADO EM RAMAL E SUB-RAMAL DE HIDRÁULICA PREDIAL - FORNECIMENTO E INSTALAÇÃO. AF_04/2022</t>
  </si>
  <si>
    <t>COTOVELO EM BRONZE/LATÃO, DN 22 MM X 1/2", 90 GRAUS, SEM ANEL DE SOLDA, BOLSA X ROSCA F, INSTALADO EM RAMAL E SUB-RAMAL DE HIDRÁULICA PREDIAL - FORNECIMENTO E INSTALAÇÃO. AF_04/2022</t>
  </si>
  <si>
    <t>COTOVELO EM BRONZE/LATÃO, DN 22 MM X 3/4", 90 GRAUS, SEM ANEL DE SOLDA, BOLSA X ROSCA F, INSTALADO EM RAMAL E SUB-RAMAL DE HIDRÁULICA PREDIAL - FORNECIMENTO E INSTALAÇÃO. AF_04/2022</t>
  </si>
  <si>
    <t>CURVA EM COBRE, DN 28 MM, 45 GRAUS, SEM ANEL DE SOLDA, BOLSA X BOLSA, INSTALADO EM RAMAL E SUB-RAMAL DE HIDRÁULICA PREDIAL - FORNECIMENTO E INSTALAÇÃO. AF_04/2022</t>
  </si>
  <si>
    <t>LUVA PASSANTE EM COBRE, DN 15 MM, SEM ANEL DE SOLDA, INSTALADO EM RAMAL E SUB-RAMAL DE HIDRÁULICA PREDIAL - FORNECIMENTO E INSTALAÇÃO. AF_04/2022</t>
  </si>
  <si>
    <t>CONECTOR EM BRONZE/LATÃO, DN 15 MM X 1/2", SEM ANEL DE SOLDA, BOLSA X ROSCA F, INSTALADO EM RAMAL E SUB-RAMAL DE HIDRÁULICA PREDIAL - FORNECIMENTO E INSTALAÇÃO. AF_04/2022</t>
  </si>
  <si>
    <t>CURVA DE TRANSPOSIÇÃO EM BRONZE/LATÃO, DN 15 MM, SEM ANEL DE SOLDA, BOLSA X BOLSA, INSTALADO EM RAMAL E SUB-RAMAL DE HIDRÁULICA PREDIAL - FORNECIMENTO E INSTALAÇÃO. AF_04/2022</t>
  </si>
  <si>
    <t>JUNTA DE EXPANSÃO EM COBRE, DN 15 MM, PONTA X PONTA, INSTALADO EM RAMAL E SUB-RAMAL DE HIDRÁULICA PREDIAL - FORNECIMENTO E INSTALAÇÃO. AF_04/2022</t>
  </si>
  <si>
    <t>LUVA PASSANTE EM COBRE, DN 22 MM, SEM ANEL DE SOLDA, INSTALADO EM RAMAL E SUB-RAMAL DE HIDRÁULICA PREDIAL - FORNECIMENTO E INSTALAÇÃO. AF_04/2022</t>
  </si>
  <si>
    <t>BUCHA DE REDUÇÃO EM COBRE, DN 22 MM X 15 MM, SEM ANEL DE SOLDA, PONTA X BOLSA, INSTALADO EM RAMAL E SUB-RAMAL DE HIDRÁULICA PREDIAL - FORNECIMENTO E INSTALAÇÃO. AF_04/2022</t>
  </si>
  <si>
    <t>JUNTA DE EXPANSÃO EM COBRE, DN 22 MM, PONTA X PONTA, INSTALADO EM RAMAL E SUB-RAMAL DE HIDRÁULICA PREDIAL - FORNECIMENTO E INSTALAÇÃO. AF_04/2022</t>
  </si>
  <si>
    <t>CONECTOR EM BRONZE/LATÃO, DN 22 MM X 1/2", SEM ANEL DE SOLDA, BOLSA X ROSCA F, INSTALADO EM RAMAL E SUB-RAMAL DE HIDRÁULICA PREDIAL - FORNECIMENTO E INSTALAÇÃO. AF_04/2022</t>
  </si>
  <si>
    <t>CONECTOR EM BRONZE/LATÃO, DN 22 MM X 3/4", SEM ANEL DE SOLDA, BOLSA X ROSCA F, INSTALADO EM RAMAL E SUB-RAMAL DE HIDRÁULICA PREDIAL - FORNECIMENTO E INSTALAÇÃO. AF_04/2022</t>
  </si>
  <si>
    <t>CURVA DE TRANSPOSIÇÃO EM BRONZE/LATÃO, DN 22 MM, SEM ANEL DE SOLDA, BOLSA X BOLSA, INSTALADO EM RAMAL E SUB-RAMAL DE HIDRÁULICA PREDIAL - FORNECIMENTO E INSTALAÇÃO. AF_04/2022</t>
  </si>
  <si>
    <t>CONECTOR EM BRONZE/LATÃO, DN 28 MM X 1/2", SEM ANEL DE SOLDA, BOLSA X ROSCA F, INSTALADO EM RAMAL E SUB-RAMAL DE HIDRÁULICA PREDIAL - FORNECIMENTO E INSTALAÇÃO. AF_04/2022</t>
  </si>
  <si>
    <t>CURVA DE TRANSPOSIÇÃO EM BRONZE/LATÃO, DN 28 MM, SEM ANEL DE SOLDA, BOLSA X BOLSA, INSTALADO EM RAMAL E SUB-RAMAL DE HIDRÁULICA PREDIAL - FORNECIMENTO E INSTALAÇÃO. AF_04/2022</t>
  </si>
  <si>
    <t>JUNTA DE EXPANSÃO EM COBRE, DN 28 MM, PONTA X PONTA, INSTALADO EM RAMAL E SUB-RAMAL DE HIDRÁULICA PREDIAL - FORNECIMENTO E INSTALAÇÃO. AF_04/2022</t>
  </si>
  <si>
    <t>TE DUPLA CURVA EM BRONZE/LATÃO, DN 1/2" X 15 MM X 1/2", SEM ANEL DE SOLDA, ROSCA F X BOLSA X ROSCA F, INSTALADO EM RAMAL E SUB-RAMAL DE HIDRÁULICA PREDIAL - FORNECIMENTO E INSTALAÇÃO. AF_04/2022</t>
  </si>
  <si>
    <t>TE DUPLA CURVA EM BRONZE/LATÃO, DN 3/4" X 22 MM X 3/4", SEM ANEL DE SOLDA, ROSCA F X BOLSA X ROSCA F, INSTALADO EM RAMAL E SUB-RAMAL DE HIDRÁULICA PREDIAL - FORNECIMENTO E INSTALAÇÃO. AF_04/2022</t>
  </si>
  <si>
    <t>CURVA EM COBRE, DN 22 MM, 45 GRAUS, SEM ANEL DE SOLDA, BOLSA X BOLSA, INSTALADO EM PRUMADA DE HIDRÁULICA PREDIAL - FORNECIMENTO E INSTALAÇÃO. AF_04/2022</t>
  </si>
  <si>
    <t>COTOVELO EM BRONZE/LATÃO, DN 22 MM X 1/2", 90 GRAUS, SEM ANEL DE SOLDA, BOLSA X ROSCA F, INSTALADO EM PRUMADA DE HIDRÁULICA PREDIAL - FORNECIMENTO E INSTALAÇÃO. AF_04/2022</t>
  </si>
  <si>
    <t>COTOVELO EM BRONZE/LATÃO, DN 22 MM X 3/4", 90 GRAUS, SEM ANEL DE SOLDA, BOLSA X ROSCA F, INSTALADO EM PRUMADA DE HIDRÁULICA PREDIAL - FORNECIMENTO E INSTALAÇÃO. AF_04/2022</t>
  </si>
  <si>
    <t>CURVA EM COBRE, DN 28 MM, 45 GRAUS, SEM ANEL DE SOLDA, BOLSA X BOLSA, INSTALADO EM PRUMADA DE HIDRÁULICA PREDIAL - FORNECIMENTO E INSTALAÇÃO. AF_04/2022</t>
  </si>
  <si>
    <t>CURVA EM COBRE, DN 42 MM, 45 GRAUS, SEM ANEL DE SOLDA, BOLSA X BOLSA, INSTALADO EM PRUMADA DE HIDRÁULICA PREDIAL - FORNECIMENTO E INSTALAÇÃO. AF_04/2022</t>
  </si>
  <si>
    <t>CURVA EM COBRE, DN 54 MM, 45 GRAUS, SEM ANEL DE SOLDA, BOLSA X BOLSA, INSTALADO EM PRUMADA DE HIDRÁULICA PREDIAL - FORNECIMENTO E INSTALAÇÃO. AF_04/2022</t>
  </si>
  <si>
    <t>CURVA EM COBRE, DN 66 MM, 45 GRAUS, SEM ANEL DE SOLDA, BOLSA X BOLSA, INSTALADO EM PRUMADA DE HIDRÁULICA PREDIAL - FORNECIMENTO E INSTALAÇÃO. AF_04/2022</t>
  </si>
  <si>
    <t>BUCHA DE REDUÇÃO EM COBRE, DN 28 MM X 22 MM, SEM ANEL DE SOLDA, INSTALADO EM RAMAL E SUB-RAMAL DE HIDRÁULICA PREDIAL - FORNECIMENTO E INSTALAÇÃO. AF_04/2022</t>
  </si>
  <si>
    <t>LUVA SIMPLES, PVC, SÉRIE NORMAL, ESGOTO PREDIAL, DN 150 MM, JUNTA ELÁSTICA, FORNECIDO E INSTALADO EM SUBCOLETOR AÉREO DE ESGOTO SANITÁRIO. AF_08/2022</t>
  </si>
  <si>
    <t>CURVA 90 GRAUS, PVC, SERIE R, ÁGUA PLUVIAL, DN 100 MM, JUNTA ELÁSTICA, FORNECIDO E INSTALADO EM RAMAL DE ENCAMINHAMENTO. AF_06/2022</t>
  </si>
  <si>
    <t>CURVA 90 GRAUS, PVC, SERIE R, ÁGUA PLUVIAL, DN 100 MM, JUNTA ELÁSTICA, FORNECIDO E INSTALADO EM CONDUTORES VERTICAIS DE ÁGUAS PLUVIAIS. AF_06/2022</t>
  </si>
  <si>
    <t>JOELHO 90 GRAUS, PPR, DN 32 MM, CLASSE PN 25, INSTALADO EM RAMAL DE DISTRIBUIÇÃO - FORNECIMENTO E INSTALAÇÃO. AF_08/2022</t>
  </si>
  <si>
    <t>JOELHO 45 GRAUS, PPR, DN 32 MM, CLASSE PN 25, INSTALADO EM RAMAL DE DISTRIBUIÇÃO DE ÁGUA - FORNECIMENTO E INSTALAÇÃO. AF_08/2022</t>
  </si>
  <si>
    <t>JOELHO 90 GRAUS, PPR, DN 40 MM, CLASSE PN 25, INSTALADO EM RAMAL DE DISTRIBUIÇÃO - FORNECIMENTO E INSTALAÇÃO. AF_08/2022</t>
  </si>
  <si>
    <t>JOELHO 45 GRAUS, PPR, DN 40 MM, CLASSE PN 25, INSTALADO EM RAMAL DE DISTRIBUIÇÃO DE ÁGUA - FORNECIMENTO E INSTALAÇÃO. AF_08/2022</t>
  </si>
  <si>
    <t>KIT CHASSI PEX, PRÉ-FABRICADO, PARA CHUVEIRO, INCLUSO QUADRO METÁLICO, TUBOS, REGISTROS DE PRESSÃO E CONEXÕES POR CRIMPAGEM - FORNECIMENTO E INSTALAÇÃO. AF_02/2023</t>
  </si>
  <si>
    <t>KIT CHASSI PEX, PRÉ-FABRICADO, PARA COZINHA COM CUBA SIMPLES, INCLUSO QUADRO METÁLICO, TUBOS E CONEXÕES POR CRIMPAGEM - FORNECIMENTO E INSTALAÇÃO. AF_02/2023</t>
  </si>
  <si>
    <t>KIT CHASSI PEX, PRÉ-FABRICADO, PARA ÁREA DE SERVIÇO COM TANQUE E MÁQUINA DE LAVAR ROUPA, INCLUSO QUADRO METÁLICO, TUBOS E CONEXÕES POR CRIMPAGEM - FORNECIMENTO E INSTALAÇÃO. AF_02/2023</t>
  </si>
  <si>
    <t>KIT CHASSI PEX, PRÉ-FABRICADO, PARA CHUVEIRO, INCLUSO QUADRO METÁLICO, TUBOS, REGISTROS DE PRESSÃO E CONEXÕES POR ANEL DESLIZANTE - FORNECIMENTO E INSTALAÇÃO. AF_02/2023</t>
  </si>
  <si>
    <t>KIT CHASSI PEX, PRÉ-FABRICADO, PARA COZINHA COM CUBA SIMPLES, INCLUSO QUADRO METÁLICO, TUBOS E CONEXÕES POR ANEL DESLIZANTE - FORNECIMENTO E INSTALAÇÃO. AF_02/2023</t>
  </si>
  <si>
    <t>KIT CHASSI PEX, PRÉ-FABRICADO, PARA ÁREA DE SERVIÇO COM TANQUE E MÁQUINA DE LAVAR ROUPA, INCLUSO QUADRO METÁLICO, TUBOS E CONEXÕES POR ANEL DESLIZANTE - FORNECIMENTO E INSTALAÇÃO. AF_02/2023</t>
  </si>
  <si>
    <t>UNIÃO METÁLICA PARA INSTALAÇÕES EM PEX ÁGUA, DN 16 MM, COM ANEL DESLIZANTE - FORNECIMENTO E INSTALAÇÃO. AF_02/2023</t>
  </si>
  <si>
    <t>CONEXÃO FIXA, ROSCA FÊMEA, METÁLICA, PARA INSTALAÇÕES EM PEX ÁGUA, DN 16 MM X 1/2", COM ANEL DESLIZANTE. FORNECIMENTO E INSTALAÇÃO. AF_02/2023</t>
  </si>
  <si>
    <t>CONEXÃO MÓVEL, ROSCA FÊMEA, METÁLICA, PARA INSTALAÇÕES EM PEX ÁGUA, DN 16 MM X 3/4", COM ANEL DESLIZANTE. FORNECIMENTO E INSTALAÇÃO. AF_02/2023</t>
  </si>
  <si>
    <t>UNIÃO METÁLICA PARA INSTALAÇÕES EM PEX ÁGUA, DN 20 MM, COM ANEL DESLIZANTE - FORNECIMENTO E INSTALAÇÃO. AF_02/2023</t>
  </si>
  <si>
    <t>CONEXÃO FIXA, ROSCA FÊMEA, METÁLICA, PARA INSTALAÇÕES EM PEX ÁGUA, DN 20 MM X 1/2", COM ANEL DESLIZANTE. FORNECIMENTO E INSTALAÇÃO. AF_02/2023</t>
  </si>
  <si>
    <t>CONEXÃO FIXA, ROSCA FÊMEA, METÁLICA, PARA INSTALAÇÕES EM PEX ÁGUA, DN 20 MM X 3/4", COM ANEL DESLIZANTE. FORNECIMENTO E INSTALAÇÃO. AF_02/2023</t>
  </si>
  <si>
    <t>UNIÃO DE REDUÇÃO, METÁLICA, PARA INSTALAÇÕES EM PEX ÁGUA, DN 20 X 16 MM, CONEXÃO POR ANEL DESLIZANTE - FORNECIMENTO E INSTALAÇÃO. AF_02/2023</t>
  </si>
  <si>
    <t>UNIÃO METÁLICA PARA INSTALAÇÕES EM PEX ÁGUA, DN 25 MM, COM ANEL DESLIZANTE - FORNECIMENTO E INSTALAÇÃO. AF_02/2023</t>
  </si>
  <si>
    <t>CONEXÃO FIXA, ROSCA FÊMEA, METÁLICA, PARA INSTALAÇÕES EM PEX ÁGUA, DN 25 MM X 3/4", COM ANEL DESLIZANTE - FORNECIMENTO E INSTALAÇÃO. AF_02/2023</t>
  </si>
  <si>
    <t>CONEXÃO FIXA, ROSCA FÊMEA, METÁLICA, PARA INSTALAÇÕES EM PEX ÁGUA, DN 25 MM X 1", COM ANEL DESLIZANTE - FORNECIMENTO E INSTALAÇÃO. AF_02/2023</t>
  </si>
  <si>
    <t>UNIÃO DE REDUÇÃO, METÁLICA, PARA INSTALAÇÕES EM PEX ÁGUA, DN 25 X 16 MM, CONEXÃO POR ANEL DESLIZANTE - FORNECIMENTO E INSTALAÇÃO. AF_02/2023</t>
  </si>
  <si>
    <t>UNIÃO DE REDUÇÃO, METÁLICA, PARA INSTALAÇÕES EM PEX ÁGUA, DN 25 X 20 MM, CONEXÃO POR ANEL DESLIZANTE - FORNECIMENTO E INSTALAÇÃO. AF_02/2023</t>
  </si>
  <si>
    <t>UNIÃO METÁLICA PARA INSTALAÇÕES EM PEX ÁGUA, DN 32 MM, COM ANEL DESLIZANTE - FORNECIMENTO E INSTALAÇÃO. AF_02/2023</t>
  </si>
  <si>
    <t>CONEXÃO FIXA, ROSCA FÊMEA, METÁLICA, PARA INSTALAÇÕES EM PEX ÁGUA, DN 32 MM X 1", COM ANEL DESLIZANTE - FORNECIMENTO E INSTALAÇÃO. AF_02/2023</t>
  </si>
  <si>
    <t>UNIÃO DE REDUÇÃO, METÁLICA, PARA INSTALAÇÕES EM PEX ÁGUA, DN 32 X 25 MM, CONEXÃO POR ANEL DESLIZANTE - FORNECIMENTO E INSTALAÇÃO. AF_02/2023</t>
  </si>
  <si>
    <t>LUVA PARA INSTALAÇÕES EM PEX ÁGUA, DN 16 MM, CONEXÃO POR CRIMPAGEM - FORNECIMENTO E INSTALAÇÃO. AF_02/2023</t>
  </si>
  <si>
    <t>CONEXÃO FIXA, ROSCA FÊMEA, PARA INSTALAÇÕES EM PEX ÁGUA, DN 16MM X 1/2", CONEXÃO POR CRIMPAGEM - FORNECIMENTO E INSTALAÇÃO. AF_02/2023</t>
  </si>
  <si>
    <t>LUVA PARA INSTALAÇÕES EM PEX ÁGUA, DN 20 MM, CONEXÃO POR CRIMPAGEM - FORNECIMENTO E INSTALAÇÃO. AF_02/2023</t>
  </si>
  <si>
    <t>CONEXÃO FIXA, ROSCA FÊMEA, PARA INSTALAÇÕES EM PEX ÁGUA, DN 20MM X 1/2", CONEXÃO POR CRIMPAGEM - FORNECIMENTO E INSTALAÇÃO. AF_02/2023</t>
  </si>
  <si>
    <t>CONEXÃO FIXA, ROSCA FÊMEA, PARA INSTALAÇÕES EM PEX ÁGUA, DN 20MM X 3/4", CONEXÃO POR CRIMPAGEM - FORNECIMENTO E INSTALAÇÃO. AF_02/2023</t>
  </si>
  <si>
    <t>LUVA DE REDUÇÃO PARA INSTALAÇÕES EM PEX ÁGUA, DN 20 X 16 MM, CONEXÃO POR CRIMPAGEM - FORNECIMENTO E INSTALAÇÃO. AF_02/2023</t>
  </si>
  <si>
    <t>LUVA PARA INSTALAÇÕES EM PEX ÁGUA, DN 25 MM, CONEXÃO POR CRIMPAGEM - FORNECIMENTO E INSTALAÇÃO. AF_02/2023</t>
  </si>
  <si>
    <t>CONEXÃO FIXA, ROSCA FÊMEA, PARA INSTALAÇÕES EM PEX ÁGUA, DN 25MM X 3/4", CONEXÃO POR CRIMPAGEM - FORNECIMENTO E INSTALAÇÃO. AF_02/2023</t>
  </si>
  <si>
    <t>LUVA DE REDUÇÃO PARA INSTALAÇÕES EM PEX ÁGUA, DN 25 X 16 MM, CONEXÃO POR CRIMPAGEM - FORNECIMENTO E INSTALAÇÃO. AF_02/2023</t>
  </si>
  <si>
    <t>LUVA PARA INSTALAÇÕES EM PEX ÁGUA, DN 32 MM, CONEXÃO POR CRIMPAGEM - FORNECIMENTO E INSTALAÇÃO. AF_02/2023</t>
  </si>
  <si>
    <t>LUVA DE REDUÇÃO PARA INSTALAÇÕES EM PEX ÁGUA, DN 32 X 25 MM, CONEXÃO POR CRIMPAGEM - FORNECIMENTO E INSTALAÇÃO. AF_02/2023</t>
  </si>
  <si>
    <t>JOELHO 90 GRAUS, METÁLICO, PARA INSTALAÇÕES EM PEX ÁGUA, DN 16 MM, CONEXÃO POR ANEL DESLIZANTE - FORNECIMENTO E INSTALAÇÃO. AF_02/2023</t>
  </si>
  <si>
    <t>JOELHO 90 GRAUS, ROSCA FÊMEA TERMINAL, METÁLICO, PARA INSTALAÇÕES EM PEX ÁGUA, DN 16MM X 1/2", CONEXÃO POR ANEL DESLIZANTE - FORNECIMENTO E INSTALAÇÃO. AF_02/2023</t>
  </si>
  <si>
    <t>JOELHO, ROSCA FÊMEA, COM BASE FIXA, METÁLICO, PARA INSTALAÇÕES EM PEX ÁGUA, DN 16MM X 1/2", CONEXÃO POR ANEL DESLIZANTE - FORNECIMENTO E INSTALAÇÃO. AF_02/2023</t>
  </si>
  <si>
    <t>JOELHO 90 GRAUS, METÁLICO, PARA INSTALAÇÕES EM PEX ÁGUA, DN 20 MM, CONEXÃO POR ANEL DESLIZANTE - FORNECIMENTO E INSTALAÇÃO. AF_02/2023</t>
  </si>
  <si>
    <t>JOELHO 90 GRAUS, ROSCA FÊMEA TERMINAL, METÁLICO, PARA INSTALAÇÕES EM PEX ÁGUA, DN 20 MM X 1/2", CONEXÃO POR ANEL DESLIZANTE - FORNECIMENTO E INSTALAÇÃO. AF_02/2023</t>
  </si>
  <si>
    <t>JOELHO 90 GRAUS, ROSCA FÊMEA TERMINAL, METÁLICO, PARA INSTALAÇÕES EM PEX ÁGUA, DN 20 MM X 3/4", CONEXÃO POR ANEL DESLIZANTE - FORNECIMENTO E INSTALAÇÃO. AF_02/2023</t>
  </si>
  <si>
    <t>JOELHO ROSCA FÊMEA, COM BASE FIXA, METÁLICO, PARA INSTALAÇÕES EM PEX ÁGUA, DN 20MM X 1/2", CONEXÃO POR ANEL DESLIZANTE - FORNECIMENTO E INSTALAÇÃO. AF_02/2023</t>
  </si>
  <si>
    <t>JOELHO ROSCA FÊMEA, MÓVEL, METÁLICO, PARA INSTALAÇÕES EM PEX ÁGUA, DN 20MM X 3/4", CONEXÃO POR ANEL DESLIZANTE - FORNECIMENTO E INSTALAÇÃO. AF_02/2023</t>
  </si>
  <si>
    <t>JOELHO 90 GRAUS, METÁLICO, PARA INSTALAÇÕES EM PEX ÁGUA, DN 25 MM, CONEXÃO POR ANEL DESLIZANTE - FORNECIMENTO E INSTALAÇÃO. AF_02/2023</t>
  </si>
  <si>
    <t>JOELHO 90 GRAUS, ROSCA FÊMEA TERMINAL, METÁLICO, PARA INSTALAÇÕES EM PEX ÁGUA, DN 25 MM X 3/4", CONEXÃO POR ANEL DESLIZANTE - FORNECIMENTO E INSTALAÇÃO. AF_02/2023</t>
  </si>
  <si>
    <t>JOELHO ROSCA FÊMEA, COM BASE FIXA, METÁLICO, PARA INSTALAÇÕES EM PEX ÁGUA, DN 25MM X 3/4", CONEXÃO POR ANEL DESLIZANTE - FORNECIMENTO E INSTALAÇÃO. AF_02/2023</t>
  </si>
  <si>
    <t>JOELHO 90 GRAUS, METÁLICO, PARA INSTALAÇÕES EM PEX ÁGUA, DN 32 MM, CONEXÃO POR ANEL DESLIZANTE - FORNECIMENTO E INSTALAÇÃO. AF_02/2023</t>
  </si>
  <si>
    <t>JOELHO 90 GRAUS, PARA INSTALAÇÕES EM PEX ÁGUA, DN 16 MM, CONEXÃO POR CRIMPAGEM - FORNECIMENTO E INSTALAÇÃO. AF_02/2023</t>
  </si>
  <si>
    <t>JOELHO 90 GRAUS, ROSCA FÊMEA TERMINAL, PARA INSTALAÇÕES EM PEX ÁGUA, DN 16MM X 1/2", CONEXÃO POR CRIMPAGEM - FORNECIMENTO E INSTALAÇÃO. AF_02/2023</t>
  </si>
  <si>
    <t>JOELHO 90 GRAUS, PARA INSTALAÇÕES EM PEX ÁGUA, DN 20 MM, CONEXÃO POR CRIMPAGEM - FORNECIMENTO E INSTALAÇÃO. AF_02/2023</t>
  </si>
  <si>
    <t>JOELHO 90 GRAUS, ROSCA FÊMEA TERMINAL, PARA INSTALAÇÕES EM PEX ÁGUA, DN 20MM X 1/2", CONEXÃO POR CRIMPAGEM - FORNECIMENTO E INSTALAÇÃO. AF_02/2023</t>
  </si>
  <si>
    <t>JOELHO 90 GRAUS, ROSCA FÊMEA TERMINAL, PARA INSTALAÇÕES EM PEX ÁGUA, DN 20MM X 3/4", CONEXÃO POR CRIMPAGEM - FORNECIMENTO E INSTALAÇÃO. AF_02/2023</t>
  </si>
  <si>
    <t>JOELHO 90 GRAUS, PARA INSTALAÇÕES EM PEX ÁGUA, DN 25 MM, CONEXÃO POR CRIMPAGEM - FORNECIMENTO E INSTALAÇÃO. AF_02/2023</t>
  </si>
  <si>
    <t>JOELHO 90 GRAUS, ROSCA FÊMEA TERMINAL, PARA INSTALAÇÕES EM PEX ÁGUA, DN 25MM X 1/2", CONEXÃO POR CRIMPAGEM - FORNECIMENTO E INSTALAÇÃO. AF_02/2023</t>
  </si>
  <si>
    <t>TÊ, METÁLICO, PARA INSTALAÇÕES EM PEX ÁGUA, DN 16 MM, CONEXÃO POR ANEL DESLIZANTE - FORNECIMENTO E INSTALAÇÃO. AF_02/2023</t>
  </si>
  <si>
    <t>TÊ, METÁLICO, PARA INSTALAÇÕES EM PEX ÁGUA, DN 20 MM, CONEXÃO POR ANEL DESLIZANTE - FORNECIMENTO E INSTALAÇÃO. AF_02/2023</t>
  </si>
  <si>
    <t>TÊ, ROSCA FÊMEA, METÁLICO, PARA INSTALAÇÕES EM PEX ÁGUA, DN 20 MM X 1/2", CONEXÃO POR ANEL DESLIZANTE - FORNECIMENTO E INSTALAÇÃO. AF_02/2023</t>
  </si>
  <si>
    <t>TÊ, METÁLICO, PARA INSTALAÇÕES EM PEX ÁGUA, DN 25 MM, CONEXÃO POR ANEL DESLIZANTE - FORNECIMENTO E INSTALAÇÃO. AF_02/2023</t>
  </si>
  <si>
    <t>TÊ, ROSCA FÊMEA, METÁLICO, PARA INSTALAÇÕES EM PEX ÁGUA, DN 25 MM X 3/4", CONEXÃO POR ANEL DESLIZANTE - FORNECIMENTO E INSTALAÇÃO. AF_02/2023</t>
  </si>
  <si>
    <t>TÊ, METÁLICO, PARA INSTALAÇÕES EM PEX ÁGUA, DN 32 MM, CONEXÃO POR ANEL DESLIZANTE - FORNECIMENTO E INSTALAÇÃO. AF_02/2023</t>
  </si>
  <si>
    <t>TÊ, PARA INSTALAÇÕES EM PEX ÁGUA, DN 16 MM, CONEXÃO POR CRIMPAGEM - FORNECIMENTO E INSTALAÇÃO. AF_02/2023</t>
  </si>
  <si>
    <t>TÊ, PARA INSTALAÇÕES EM PEX ÁGUA, DN 20 MM, CONEXÃO POR CRIMPAGEM - FORNECIMENTO E INSTALAÇÃO. AF_02/2023</t>
  </si>
  <si>
    <t>TÊ, PARA INSTALAÇÕES EM PEX ÁGUA, DN 25 MM, CONEXÃO POR CRIMPAGEM - FORNECIMENTO E INSTALAÇÃO. AF_02/2023</t>
  </si>
  <si>
    <t>TÊ, PARA INSTALAÇÕES EM PEX ÁGUA, DN 32 MM, CONEXÃO POR CRIMPAGEM - FORNECIMENTO E INSTALAÇÃO. AF_02/2023</t>
  </si>
  <si>
    <t>DISTRIBUIDOR 2 SAÍDAS, METÁLICO, PARA INSTALAÇÕES EM PEX ÁGUA, ENTRADA DE 3/4" X 2 SAÍDAS DE 1/2", CONEXÃO POR ANEL DESLIZANTE - FORNECIMENTO E INSTALAÇÃO. AF_02/2023</t>
  </si>
  <si>
    <t>DISTRIBUIDOR 2 SAÍDAS, METÁLICO, PARA INSTALAÇÕES EM PEX ÁGUA, ENTRADA DE 1" X 2 SAÍDAS DE 1/2", CONEXÃO POR ANEL DESLIZANTE - FORNECIMENTO E INSTALAÇÃO. AF_02/2023</t>
  </si>
  <si>
    <t>DISTRIBUIDOR 3 SAÍDAS, METÁLICO, PARA INSTALAÇÕES EM PEX ÁGUA, ENTRADA DE 3/4" X 3 SAÍDAS DE 1/2", CONEXÃO POR ANEL DESLIZANTE - FORNECIMENTO E INSTALAÇÃO. AF_02/2023</t>
  </si>
  <si>
    <t>DISTRIBUIDOR 3 SAÍDAS, METÁLICO, PARA INSTALAÇÕES EM PEX ÁGUA, ENTRADA DE 1" X 3 SAÍDAS DE 1/2", CONEXÃO POR ANEL DESLIZANTE - FORNECIMENTO E INSTALAÇÃO. AF_02/2023</t>
  </si>
  <si>
    <t>DISTRIBUIDOR 2 SAÍDAS, PARA INSTALAÇÕES EM PEX ÁGUA, ENTRADA DE 32 MM X 2 SAÍDAS DE 16 MM, CONEXÃO POR CRIMPAGEM FORNECIMENTO E INSTALAÇÃO. AF_02/2023</t>
  </si>
  <si>
    <t>DISTRIBUIDOR 2 SAÍDAS, PARA INSTALAÇÕES EM PEX ÁGUA, ENTRADA DE 32 MM X 2 SAÍDAS DE 25 MM, CONEXÃO POR CRIMPAGEM - FORNECIMENTO E INSTALAÇÃO. AF_02/2023</t>
  </si>
  <si>
    <t>DISTRIBUIDOR 3 SAÍDAS, PARA INSTALAÇÕES EM PEX ÁGUA, ENTRADA DE 32 MM X 3 SAÍDAS DE 16 MM, CONEXÃO POR CRIMPAGEM - FORNECIMENTO E INSTALAÇÃO. AF_02/2023</t>
  </si>
  <si>
    <t>DISTRIBUIDOR 3 SAÍDAS, PARA INSTALAÇÕES EM PEX ÁGUA, ENTRADA DE 32 MM X 3 SAÍDAS DE 25 MM, CONEXÃO POR CRIMPAGEM - FORNECIMENTO E INSTALAÇÃO. AF_02/2023</t>
  </si>
  <si>
    <t>CONECTOR EM BRONZE/LATÃO, DN 22 MM X 1/2", SEM ANEL DE SOLDA, BOLSA X ROSCA F, INSTALADO EM PRUMADA DE HIDRÁULICA PREDIAL - FORNECIMENTO E INSTALAÇÃO. AF_04/2022</t>
  </si>
  <si>
    <t>COTOVELO EM COBRE, DN 15 MM, 90 GRAUS, SEM ANEL DE SOLDA, INSTALADO EM RAMAL E SUB-RAMAL DE GÁS COMBUSTÍVEL - FORNECIMENTO E INSTALAÇÃO. AF_04/2022</t>
  </si>
  <si>
    <t>CURVA EM COBRE, DN 15 MM, 45 GRAUS, SEM ANEL DE SOLDA, BOLSA X BOLSA, INSTALADO EM RAMAL E SUB-RAMAL DE GÁS COMBUSTÍVEL - FORNECIMENTO E INSTALAÇÃO. AF_04/2022</t>
  </si>
  <si>
    <t>COTOVELO EM COBRE, DN 22 MM, 90 GRAUS, SEM ANEL DE SOLDA, INSTALADO EM RAMAL E SUB-RAMAL DE GÁS COMBUSTÍVEL - FORNECIMENTO E INSTALAÇÃO. AF_04/2022</t>
  </si>
  <si>
    <t>CURVA EM COBRE, DN 22 MM, 45 GRAUS, SEM ANEL DE SOLDA, BOLSA X BOLSA, INSTALADO EM RAMAL E SUB-RAMAL DE GÁS COMBUSTÍVEL - FORNECIMENTO E INSTALAÇÃO. AF_04/2022</t>
  </si>
  <si>
    <t>COTOVELO EM COBRE, DN 28 MM, 90 GRAUS, SEM ANEL DE SOLDA, INSTALADO EM RAMAL E SUB-RAMAL DE GÁS COMBUSTÍVEL - FORNECIMENTO E INSTALAÇÃO. AF_04/2022</t>
  </si>
  <si>
    <t>CURVA EM COBRE, DN 28 MM, 45 GRAUS, SEM ANEL DE SOLDA, BOLSA X BOLSA, INSTALADO EM RAMAL E SUB-RAMAL DE GÁS COMBUSTÍVEL - FORNECIMENTO E INSTALAÇÃO. AF_04/2022</t>
  </si>
  <si>
    <t>LUVA EM COBRE, DN 15 MM, SEM ANEL DE SOLDA, INSTALADO EM RAMAL E SUB-RAMAL DE GÁS COMBUSTÍVEL - FORNECIMENTO E INSTALAÇÃO. AF_04/2022</t>
  </si>
  <si>
    <t>LUVA PASSANTE EM COBRE, DN 15 MM, SEM ANEL DE SOLDA, INSTALADO EM RAMAL E SUB-RAMAL DE GÁS COMBUSTÍVEL - FORNECIMENTO E INSTALAÇÃO. AF_04/2022</t>
  </si>
  <si>
    <t>CURVA DE TRANSPOSIÇÃO EM BRONZE/LATÃO, DN 15 MM, SEM ANEL DE SOLDA, BOLSA X BOLSA, INSTALADO EM RAMAL E SUB-RAMAL DE GÁS COMBUSTÍVEL - FORNECIMENTO E INSTALAÇÃO. AF_04/2022</t>
  </si>
  <si>
    <t>JUNTA DE EXPANSÃO EM COBRE, DN 15 MM, PONTA X PONTA, INSTALADO EM RAMAL E SUB-RAMAL DE GÁS COMBUSTÍVEL - FORNECIMENTO E INSTALAÇÃO. AF_04/2022</t>
  </si>
  <si>
    <t>LUVA EM COBRE, DN 22 MM, SEM ANEL DE SOLDA, INSTALADO EM RAMAL E SUB-RAMAL DE GÁS COMBUSTÍVEL - FORNECIMENTO E INSTALAÇÃO. AF_04/2022</t>
  </si>
  <si>
    <t>LUVA PASSANTE EM COBRE, DN 22 MM, SEM ANEL DE SOLDA, INSTALADO EM RAMAL E SUB-RAMAL DE GÁS COMBUSTÍVEL - FORNECIMENTO E INSTALAÇÃO. AF_04/2022</t>
  </si>
  <si>
    <t>JUNTA DE EXPANSÃO EM COBRE, DN 22 MM, PONTA X PONTA, INSTALADO EM RAMAL E SUB-RAMAL DE GÁS COMBUSTÍVEL - FORNECIMENTO E INSTALAÇÃO. AF_04/2022</t>
  </si>
  <si>
    <t>CURVA DE TRANSPOSIÇÃO EM BRONZE/LATÃO, DN 22 MM, SEM ANEL DE SOLDA, BOLSA X BOLSA, INSTALADO EM RAMAL E SUB-RAMAL DE GÁS COMBUSTÍVEL - FORNECIMENTO E INSTALAÇÃO. AF_04/2022</t>
  </si>
  <si>
    <t>BUCHA DE REDUÇÃO EM COBRE, DN 22 MM X 15 MM, SEM ANEL DE SOLDA, PONTA X BOLSA, INSTALADO EM RAMAL E SUB-RAMAL DE GÁS COMBUSTÍVEL - FORNECIMENTO E INSTALAÇÃO. AF_04/2022</t>
  </si>
  <si>
    <t>LUVA EM COBRE, DN 28 MM, SEM ANEL DE SOLDA, INSTALADO EM RAMAL E SUB-RAMAL DE GÁS COMBUSTÍVEL - FORNECIMENTO E INSTALAÇÃO. AF_04/2022</t>
  </si>
  <si>
    <t>LUVA PASSANTE EM COBRE, DN 28 MM, SEM ANEL DE SOLDA, INSTALADO EM RAMAL E SUB-RAMAL DE GÁS COMBUSTÍVEL - FORNECIMENTO E INSTALAÇÃO. AF_04/2022</t>
  </si>
  <si>
    <t>CURVA DE TRANSPOSIÇÃO EM BRONZE/LATÃO, DN 28 MM, SEM ANEL DE SOLDA, BOLSA X BOLSA, INSTALADO EM RAMAL E SUB-RAMAL DE GÁS COMBUSTÍVEL - FORNECIMENTO E INSTALAÇÃO. AF_04/2022</t>
  </si>
  <si>
    <t>JUNTA DE EXPANSÃO EM COBRE, DN 28 MM, PONTA X PONTA, INSTALADO EM RAMAL E SUB-RAMAL DE GÁS COMBUSTÍVEL - FORNECIMENTO E INSTALAÇÃO. AF_04/2022</t>
  </si>
  <si>
    <t>BUCHA DE REDUÇÃO EM COBRE, DN 28 MM X 22 MM, SEM ANEL DE SOLDA, INSTALADO EM RAMAL E SUB-RAMAL DE GÁS COMBUSTÍVEL - FORNECIMENTO E INSTALAÇÃO. AF_04/2022</t>
  </si>
  <si>
    <t>TÊ EM COBRE, DN 15 MM, SEM ANEL DE SOLDA, INSTALADO EM RAMAL E SUB-RAMAL DE GÁS COMBUSTÍVEL - FORNECIMENTO E INSTALAÇÃO. AF_04/2022</t>
  </si>
  <si>
    <t>TE EM COBRE, DN 22 MM, SEM ANEL DE SOLDA, INSTALADO EM RAMAL E SUB-RAMAL DE GÁS COMBUSTÍVEL - FORNECIMENTO E INSTALAÇÃO. AF_04/2022</t>
  </si>
  <si>
    <t>TÊ EM COBRE, DN 28 MM, SEM ANEL DE SOLDA, INSTALADO EM RAMAL E SUB-RAMAL DE GÁS COMBUSTÍVEL - FORNECIMENTO E INSTALAÇÃO. AF_04/2022</t>
  </si>
  <si>
    <t>COTOVELO EM COBRE, DN 15 MM, 90 GRAUS, SEM ANEL DE SOLDA, INSTALADO EM RAMAL E SUB-RAMAL DE GÁS MEDICINAL - FORNECIMENTO E INSTALAÇÃO. AF_04/2022</t>
  </si>
  <si>
    <t>CURVA EM COBRE, DN 15 MM, 45 GRAUS, SEM ANEL DE SOLDA, BOLSA X BOLSA, INSTALADO EM RAMAL E SUB-RAMAL DE GÁS MEDICINAL - FORNECIMENTO E INSTALAÇÃO. AF_04/2022</t>
  </si>
  <si>
    <t>COTOVELO EM COBRE, DN 22 MM, 90 GRAUS, SEM ANEL DE SOLDA, INSTALADO EM RAMAL E SUB-RAMAL DE GÁS MEDICINAL - FORNECIMENTO E INSTALAÇÃO. AF_04/2022</t>
  </si>
  <si>
    <t>CURVA EM COBRE, DN 22 MM, 45 GRAUS, SEM ANEL DE SOLDA, BOLSA X BOLSA, INSTALADO EM RAMAL E SUB-RAMAL DE GÁS MEDICINAL - FORNECIMENTO E INSTALAÇÃO. AF_04/2022</t>
  </si>
  <si>
    <t>COTOVELO EM COBRE, DN 28 MM, 90 GRAUS, SEM ANEL DE SOLDA, INSTALADO EM RAMAL E SUB-RAMAL DE GÁS MEDICINAL - FORNECIMENTO E INSTALAÇÃO. AF_04/2022</t>
  </si>
  <si>
    <t>CURVA EM COBRE, DN 28 MM, 45 GRAUS, SEM ANEL DE SOLDA, BOLSA X BOLSA, INSTALADO EM RAMAL E SUB-RAMAL DE GÁS MEDICINAL - FORNECIMENTO E INSTALAÇÃO. AF_04/2022</t>
  </si>
  <si>
    <t>LUVA EM COBRE, DN 15 MM, SEM ANEL DE SOLDA, INSTALADO EM RAMAL E SUB-RAMAL DE GÁS MEDICINAL - FORNECIMENTO E INSTALAÇÃO. AF_04/2022</t>
  </si>
  <si>
    <t>LUVA PASSANTE EM COBRE, DN 15 MM, SEM ANEL DE SOLDA, INSTALADO EM RAMAL E SUB-RAMAL DE GÁS MEDICINAL - FORNECIMENTO E INSTALAÇÃO. AF_04/2022</t>
  </si>
  <si>
    <t>CURVA DE TRANSPOSIÇÃO EM BRONZE/LATÃO, DN 15 MM, SEM ANEL DE SOLDA, BOLSA X BOLSA, INSTALADO EM RAMAL E SUB-RAMAL DE GÁS MEDICINAL - FORNECIMENTO E INSTALAÇÃO. AF_04/2022</t>
  </si>
  <si>
    <t>JUNTA DE EXPANSÃO EM COBRE, DN 15 MM, PONTA X PONTA, INSTALADO EM RAMAL E SUB-RAMAL DE GÁS MEDICINAL - FORNECIMENTO E INSTALAÇÃO. AF_04/2022</t>
  </si>
  <si>
    <t>LUVA EM COBRE, DN 22 MM, SEM ANEL DE SOLDA, INSTALADO EM RAMAL E SUB-RAMAL DE GÁS MEDICINAL - FORNECIMENTO E INSTALAÇÃO. AF_04/2022</t>
  </si>
  <si>
    <t>LUVA PASSANTE EM COBRE, DN 22 MM, SEM ANEL DE SOLDA, INSTALADO EM RAMAL E SUB-RAMAL DE GÁS MEDICINAL - FORNECIMENTO E INSTALAÇÃO. AF_04/2022</t>
  </si>
  <si>
    <t>JUNTA DE EXPANSÃO EM COBRE, DN 22 MM, PONTA X PONTA, INSTALADO EM RAMAL E SUB-RAMAL DE GÁS MEDICINAL - FORNECIMENTO E INSTALAÇÃO. AF_04/2022</t>
  </si>
  <si>
    <t>CURVA DE TRANSPOSIÇÃO EM BRONZE/LATÃO, DN 22 MM, SEM ANEL DE SOLDA, BOLSA X BOLSA, INSTALADO EM RAMAL E SUB-RAMAL DE GÁS MEDICINAL - FORNECIMENTO E INSTALAÇÃO. AF_04/2022</t>
  </si>
  <si>
    <t>BUCHA DE REDUÇÃO EM COBRE, DN 22 MM X 15 MM, SEM ANEL DE SOLDA, PONTA X BOLSA, INSTALADO EM RAMAL E SUB-RAMAL DE GÁS MEDICINAL - FORNECIMENTO E INSTALAÇÃO. AF_04/2022</t>
  </si>
  <si>
    <t>CONECTOR EM BRONZE/LATÃO, DN 22 MM X 1/2", SEM ANEL DE SOLDA, BOLSA X ROSCA F, INSTALADO EM RAMAL E SUB-RAMAL DE GÁS MEDICINAL - FORNECIMENTO E INSTALAÇÃO. AF_04/2022</t>
  </si>
  <si>
    <t>CONECTOR EM BRONZE/LATÃO, DN 22 MM X 3/4", SEM ANEL DE SOLDA, BOLSA X ROSCA F, INSTALADO EM RAMAL E SUB-RAMAL DE GÁS MEDICINAL - FORNECIMENTO E INSTALAÇÃO. AF_04/2022</t>
  </si>
  <si>
    <t>LUVA EM COBRE, DN 28 MM, SEM ANEL DE SOLDA, INSTALADO EM RAMAL E SUB-RAMAL DE GÁS MEDICINAL - FORNECIMENTO E INSTALAÇÃO. AF_04/2022</t>
  </si>
  <si>
    <t>LUVA PASSANTE EM COBRE, DN 28 MM, SEM ANEL DE SOLDA, INSTALADO EM RAMAL E SUB-RAMAL DE GÁS MEDICINAL - FORNECIMENTO E INSTALAÇÃO. AF_04/2022</t>
  </si>
  <si>
    <t>CURVA DE TRANSPOSIÇÃO EM BRONZE/LATÃO, DN 28 MM, SEM ANEL DE SOLDA, BOLSA X BOLSA, INSTALADO EM RAMAL E SUB-RAMAL DE GÁS MEDICINAL - FORNECIMENTO E INSTALAÇÃO. AF_04/2022</t>
  </si>
  <si>
    <t>JUNTA DE EXPANSÃO EM COBRE, DN 28 MM, PONTA X PONTA, INSTALADO EM RAMAL E SUB-RAMAL DE GÁS MEDICINAL - FORNECIMENTO E INSTALAÇÃO. AF_04/2022</t>
  </si>
  <si>
    <t>CONECTOR EM BRONZE/LATÃO, DN 28 MM X 1/2", SEM ANEL DE SOLDA, BOLSA X ROSCA F, INSTALADO EM RAMAL E SUB-RAMAL DE GÁS MEDICINAL - FORNECIMENTO E INSTALAÇÃO. AF_04/2022</t>
  </si>
  <si>
    <t>BUCHA DE REDUÇÃO EM COBRE, DN 28 MM X 22 MM, SEM ANEL DE SOLDA, INSTALADO EM RAMAL E SUB-RAMAL DE GÁS MEDICINAL - FORNECIMENTO E INSTALAÇÃO. AF_04/2022</t>
  </si>
  <si>
    <t>TÊ EM COBRE, DN 15 MM, SEM ANEL DE SOLDA, INSTALADO EM RAMAL E SUB-RAMAL DE GÁS MEDICINAL - FORNECIMENTO E INSTALAÇÃO. AF_04/2022</t>
  </si>
  <si>
    <t>TÊ EM COBRE, DN 22 MM, SEM ANEL DE SOLDA, INSTALADO EM RAMAL E SUB-RAMAL DE GÁS MEDICINAL - FORNECIMENTO E INSTALAÇÃO. AF_04/2022</t>
  </si>
  <si>
    <t>TÊ EM COBRE, DN 28 MM, SEM ANEL DE SOLDA, INSTALADO EM RAMAL E SUB-RAMAL DE GÁS MEDICINAL - FORNECIMENTO E INSTALAÇÃO. AF_04/2022</t>
  </si>
  <si>
    <t>COTOVELO EM COBRE, DN 15 MM, 90 GRAUS, SEM ANEL DE SOLDA, INSTALADO EM RAMAL E SUB-RAMAL DE AQUECIMENTO SOLAR - FORNECIMENTO E INSTALAÇÃO. AF_04/2022</t>
  </si>
  <si>
    <t>CURVA EM COBRE, DN 15 MM, 45 GRAUS, SEM ANEL DE SOLDA, BOLSA X BOLSA, INSTALADO EM RAMAL E SUB-RAMAL DE AQUECIMENTO SOLAR - FORNECIMENTO E INSTALAÇÃO. AF_04/2022</t>
  </si>
  <si>
    <t>COTOVELO EM BRONZE/LATÃO, DN 15 MM X 1/2", 90 GRAUS, SEM ANEL DE SOLDA, BOLSA X ROSCA F, INSTALADO EM RAMAL E SUB-RAMAL DE AQUECIMENTO SOLAR - FORNECIMENTO E INSTALAÇÃO. AF_04/2022</t>
  </si>
  <si>
    <t>COTOVELO EM COBRE, DN 22 MM, 90 GRAUS, SEM ANEL DE SOLDA, INSTALADO EM RAMAL E SUB-RAMAL DE AQUECIMENTO SOLAR - FORNECIMENTO E INSTALAÇÃO. AF_04/2022</t>
  </si>
  <si>
    <t>CURVA EM COBRE, DN 22 MM, 45 GRAUS, SEM ANEL DE SOLDA, BOLSA X BOLSA, INSTALADO EM RAMAL E SUB-RAMAL DE AQUECIMENTO SOLAR - FORNECIMENTO E INSTALAÇÃO. AF_04/2022</t>
  </si>
  <si>
    <t>COTOVELO EM BRONZE/LATÃO, DN 22 MM X 1/2", 90 GRAUS, SEM ANEL DE SOLDA, BOLSA X ROSCA F, INSTALADO EM RAMAL E SUB-RAMAL DE AQUECIMENTO SOLAR - FORNECIMENTO E INSTALAÇÃO. AF_04/2022</t>
  </si>
  <si>
    <t>COTOVELO EM BRONZE/LATÃO, DN 22 MM X 3/4", 90 GRAUS, SEM ANEL DE SOLDA, BOLSA X ROSCA F, INSTALADO EM RAMAL E SUB-RAMAL DE AQUECIMENTO SOLAR - FORNECIMENTO E INSTALAÇÃO. AF_04/2022</t>
  </si>
  <si>
    <t>COTOVELO EM COBRE, DN 28 MM, 90 GRAUS, SEM ANEL DE SOLDA, INSTALADO EM RAMAL E SUB-RAMAL DE AQUECIMENTO SOLAR - FORNECIMENTO E INSTALAÇÃO. AF_04/2022</t>
  </si>
  <si>
    <t>CURVA EM COBRE, DN 28 MM, 45 GRAUS, SEM ANEL DE SOLDA, BOLSA X BOLSA, INSTALADO EM RAMAL E SUB-RAMAL DE AQUECIMENTO SOLAR - FORNECIMENTO E INSTALAÇÃO. AF_04/2022</t>
  </si>
  <si>
    <t>LUVA EM COBRE, DN 15 MM, SEM ANEL DE SOLDA, INSTALADO EM RAMAL E SUB-RAMAL DE AQUECIMENTO SOLAR - FORNECIMENTO E INSTALAÇÃO. AF_04/2022</t>
  </si>
  <si>
    <t>LUVA PASSANTE EM COBRE, DN 15 MM, SEM ANEL DE SOLDA, INSTALADO EM RAMAL E SUB-RAMAL DE AQUECIMENTO SOLAR - FORNECIMENTO E INSTALAÇÃO. AF_04/2022</t>
  </si>
  <si>
    <t>CURVA DE TRANSPOSIÇÃO EM BRONZE/LATÃO, DN 15 MM, SEM ANEL DE SOLDA, BOLSA X BOLSA, INSTALADO EM RAMAL E SUB-RAMAL DE AQUECIMENTO SOLAR - FORNECIMENTO E INSTALAÇÃO. AF_04/2022</t>
  </si>
  <si>
    <t>JUNTA DE EXPANSÃO EM COBRE, DN 15 MM, PONTA X PONTA, INSTALADO EM RAMAL E SUB-RAMAL DE AQUECIMENTO SOLAR - FORNECIMENTO E INSTALAÇÃO. AF_04/2022</t>
  </si>
  <si>
    <t>CONECTOR EM BRONZE/LATÃO, DN 15 MM X 1/2", SEM ANEL DE SOLDA, BOLSA X ROSCA F, INSTALADO EM RAMAL E SUB-RAMAL DE AQUECIMENTO SOLAR - FORNECIMENTO E INSTALAÇÃO. AF_04/2022</t>
  </si>
  <si>
    <t>LUVA EM COBRE, DN 22 MM, SEM ANEL DE SOLDA, INSTALADO EM RAMAL E SUB-RAMAL DE AQUECIMENTO SOLAR - FORNECIMENTO E INSTALAÇÃO. AF_04/2022</t>
  </si>
  <si>
    <t>LUVA PASSANTE EM COBRE, DN 22 MM, SEM ANEL DE SOLDA, INSTALADO EM RAMAL E SUB-RAMAL DE AQUECIMENTO SOLAR - FORNECIMENTO E INSTALAÇÃO. AF_04/2022</t>
  </si>
  <si>
    <t>JUNTA DE EXPANSÃO EM COBRE, DN 22 MM, PONTA X PONTA, INSTALADO EM RAMAL E SUB-RAMAL DE AQUECIMENTO SOLAR - FORNECIMENTO E INSTALAÇÃO. AF_04/2022</t>
  </si>
  <si>
    <t>CURVA DE TRANSPOSIÇÃO EM BRONZE/LATÃO, DN 22 MM, SEM ANEL DE SOLDA, BOLSA X BOLSA, INSTALADO EM RAMAL E SUB-RAMAL DE AQUECIMENTO SOLAR - FORNECIMENTO E INSTALAÇÃO. AF_04/2022</t>
  </si>
  <si>
    <t>BUCHA DE REDUÇÃO EM COBRE, DN 22 MM X 15 MM, SEM ANEL DE SOLDA, PONTA X BOLSA, INSTALADO EM RAMAL E SUB-RAMAL DE AQUECIMENTO SOLAR - FORNECIMENTO E INSTALAÇÃO. AF_04/2022</t>
  </si>
  <si>
    <t>CONECTOR EM BRONZE/LATÃO, DN 22 MM X 1/2", SEM ANEL DE SOLDA, BOLSA X ROSCA F, INSTALADO EM RAMAL E SUB-RAMAL DE AQUECIMENTO SOLAR - FORNECIMENTO E INSTALAÇÃO. AF_04/2022</t>
  </si>
  <si>
    <t>CONECTOR EM BRONZE/LATÃO, DN 22 MM X 3/4", SEM ANEL DE SOLDA, BOLSA X ROSCA F, INSTALADO EM RAMAL E SUB-RAMAL DE AQUECIMENTO SOLAR - FORNECIMENTO E INSTALAÇÃO. AF_04/2022</t>
  </si>
  <si>
    <t>LUVA EM COBRE, DN 28 MM, SEM ANEL DE SOLDA, INSTALADO EM RAMAL E SUB-RAMAL DE AQUECIMENTO SOLAR - FORNECIMENTO E INSTALAÇÃO. AF_04/2022</t>
  </si>
  <si>
    <t>LUVA PASSANTE EM COBRE, DN 28 MM, SEM ANEL DE SOLDA, INSTALADO EM RAMAL E SUB-RAMAL DE AQUECIMENTO SOLAR - FORNECIMENTO E INSTALAÇÃO. AF_04/2022</t>
  </si>
  <si>
    <t>CURVA DE TRANSPOSIÇÃO EM BRONZE/LATÃO, DN 28 MM, SEM ANEL DE SOLDA, BOLSA X BOLSA, INSTALADO EM RAMAL E SUB-RAMAL DE AQUECIMENTO SOLAR - FORNECIMENTO E INSTALAÇÃO. AF_04/2022</t>
  </si>
  <si>
    <t>JUNTA DE EXPANSÃO EM COBRE, DN 28 MM, PONTA X PONTA, INSTALADO EM RAMAL E SUB-RAMAL DE AQUECIMENTO SOLAR - FORNECIMENTO E INSTALAÇÃO. AF_04/2022</t>
  </si>
  <si>
    <t>CONECTOR EM BRONZE/LATÃO, DN 28 MM X 1/2", SEM ANEL DE SOLDA, BOLSA X ROSCA F, INSTALADO EM RAMAL E SUB-RAMAL DE AQUECIMENTO SOLAR - FORNECIMENTO E INSTALAÇÃO. AF_04/2022</t>
  </si>
  <si>
    <t>BUCHA DE REDUÇÃO EM COBRE, DN 28 MM X 22 MM, SEM ANEL DE SOLDA, INSTALADO EM RAMAL E SUB-RAMAL DE AQUECIMENTO SOLAR - FORNECIMENTO E INSTALAÇÃO. AF_04/2022</t>
  </si>
  <si>
    <t>TÊ EM COBRE, DN 15 MM, SEM ANEL DE SOLDA, INSTALADO EM RAMAL E SUB-RAMAL DE AQUECIMENTO SOLAR - FORNECIMENTO E INSTALAÇÃO. AF_04/2022</t>
  </si>
  <si>
    <t>TÊ EM COBRE, DN 22 MM, SEM ANEL DE SOLDA, INSTALADO EM RAMAL E SUB-RAMAL DE AQUECIMENTO SOLAR - FORNECIMENTO E INSTALAÇÃO. AF_04/2022</t>
  </si>
  <si>
    <t>TÊ EM COBRE, DN 28 MM, SEM ANEL DE SOLDA, INSTALADO EM RAMAL E SUB-RAMAL DE AQUECIMENTO SOLAR - FORNECIMENTO E INSTALAÇÃO. AF_04/2022</t>
  </si>
  <si>
    <t>BUCHA DE REDUÇÃO, CURTA, PVC, SOLDÁVEL, DN 25 X 20 MM, INSTALADO EM RAMAL OU SUB-RAMAL DE ÁGUA - FORNECIMENTO E INSTALAÇÃO. AF_06/2022</t>
  </si>
  <si>
    <t>BUCHA DE REDUÇÃO, CURTA, PVC, SOLDÁVEL, DN 32 X 25 MM, INSTALADO EM RAMAL OU SUB-RAMAL DE ÁGUA - FORNECIMENTO E INSTALAÇÃO. AF_06/2022</t>
  </si>
  <si>
    <t>BUCHA DE REDUÇÃO, LONGA, PVC, SOLDÁVEL, DN 32 X 20 MM, INSTALADO EM RAMAL OU SUB-RAMAL DE ÁGUA - FORNECIMENTO E INSTALAÇÃO. AF_06/2022</t>
  </si>
  <si>
    <t>JOELHO DE REDUÇÃO, 90 GRAUS, PVC, SOLDÁVEL, DN 25 MM X 20 MM, INSTALADO EM RAMAL OU SUB-RAMAL DE ÁGUA - FORNECIMENTO E INSTALAÇÃO. AF_06/2022</t>
  </si>
  <si>
    <t>JOELHO DE REDUÇÃO, 90 GRAUS, PVC, SOLDÁVEL, DN 32 MM X 25 MM, INSTALADO EM RAMAL OU SUB-RAMAL DE ÁGUA - FORNECIMENTO E INSTALAÇÃO. AF_06/2022</t>
  </si>
  <si>
    <t>BUCHA DE REDUÇÃO, CURTA, PVC, SOLDÁVEL, DN 25 X 20 MM, INSTALADO EM RAMAL DE DISTRIBUIÇÃO DE ÁGUA - FORNECIMENTO E INSTALAÇÃO. AF_06/2022</t>
  </si>
  <si>
    <t>BUCHA DE REDUÇÃO, CURTA, PVC, SOLDÁVEL, DN 32 X 25 MM, INSTALADO EM RAMAL DE DISTRIBUIÇÃO DE ÁGUA - FORNECIMENTO E INSTALAÇÃO. AF_06/2022</t>
  </si>
  <si>
    <t>BUCHA DE REDUÇÃO, LONGA, PVC, SOLDÁVEL, DN 32 X 20 MM, INSTALADO EM RAMAL DE DISTRIBUIÇÃO DE ÁGUA - FORNECIMENTO E INSTALAÇÃO. AF_06/2022</t>
  </si>
  <si>
    <t>JOELHO DE REDUÇÃO, 90 GRAUS, PVC, SOLDÁVEL, DN 25 MM X 20 MM, INSTALADO EM RAMAL DE DISTRIBUIÇÃO DE ÁGUA - FORNECIMENTO E INSTALAÇÃO. AF_06/2022</t>
  </si>
  <si>
    <t>JOELHO DE REDUÇÃO, 90 GRAUS, PVC, SOLDÁVEL, DN 32 MM X 25 MM, INSTALADO EM RAMAL DE DISTRIBUIÇÃO DE ÁGUA - FORNECIMENTO E INSTALAÇÃO. AF_06/2022</t>
  </si>
  <si>
    <t>BUCHA DE REDUÇÃO, CURTA, PVC, SOLDÁVEL, DN 32 X 25 MM, INSTALADO EM PRUMADA DE ÁGUA - FORNECIMENTO E INSTALAÇÃO. AF_06/2022</t>
  </si>
  <si>
    <t>BUCHA DE REDUÇÃO, CURTA, PVC, SOLDÁVEL, DN 50 X 40 MM, INSTALADO EM PRUMADA DE ÁGUA - FORNECIMENTO E INSTALAÇÃO. AF_06/2022</t>
  </si>
  <si>
    <t>BUCHA DE REDUÇÃO, CURTA, PVC, SOLDÁVEL, DN 60 X 50 MM, INSTALADO EM PRUMADA DE ÁGUA - FORNECIMENTO E INSTALAÇÃO. AF_06/2022</t>
  </si>
  <si>
    <t>BUCHA DE REDUÇÃO, LONGA, PVC, SOLDÁVEL, DN 32 X 20 MM, INSTALADO EM PRUMADA DE ÁGUA - FORNECIMENTO E INSTALAÇÃO. AF_06/2022</t>
  </si>
  <si>
    <t>BUCHA DE REDUÇÃO, LONGA, PVC, SOLDÁVEL, DN 40 X 25 MM, INSTALADO EM PRUMADA DE ÁGUA - FORNECIMENTO E INSTALAÇÃO. AF_06/2022</t>
  </si>
  <si>
    <t>BUCHA DE REDUÇÃO, LONGA, PVC, SOLDÁVEL, DN 50 X 25 MM, INSTALADO EM PRUMADA DE ÁGUA - FORNECIMENTO E INSTALAÇÃO. AF_06/2022</t>
  </si>
  <si>
    <t>BUCHA DE REDUÇÃO, LONGA, PVC, SOLDÁVEL, DN 60 X 25 MM, INSTALADO EM PRUMADA DE ÁGUA - FORNECIMENTO E INSTALAÇÃO. AF_06/2022</t>
  </si>
  <si>
    <t>BUCHA DE REDUÇÃO, LONGA, PVC, SOLDÁVEL, DN 60 X 32 MM, INSTALADO EM PRUMADA DE ÁGUA - FORNECIMENTO E INSTALAÇÃO. AF_06/2022</t>
  </si>
  <si>
    <t>BUCHA DE REDUÇÃO, LONGA, PVC, SOLDÁVEL, DN 60 X 50 MM, INSTALADO EM PRUMADA DE ÁGUA - FORNECIMENTO E INSTALAÇÃO. AF_06/2022</t>
  </si>
  <si>
    <t>BUCHA DE REDUÇÃO, LONGA, PVC, SOLDÁVEL, DN 75 X 50 MM, INSTALADO EM PRUMADA DE ÁGUA - FORNECIMENTO E INSTALAÇÃO. AF_06/2022</t>
  </si>
  <si>
    <t>JOELHO DE REDUÇÃO, 90 GRAUS, PVC, SOLDÁVEL, DN 32 MM X 25 MM, INSTALADO EM PRUMADA DE ÁGUA - FORNECIMENTO E INSTALAÇÃO. AF_06/2022</t>
  </si>
  <si>
    <t>TE DE REDUÇÃO, 90 GRAUS, PVC, SOLDÁVEL, DN 50 MM X 20 MM, INSTALADO EM PRUMADA DE ÁGUA - FORNECIMENTO E INSTALAÇÃO. AF_06/2022</t>
  </si>
  <si>
    <t>TE DE REDUÇÃO, 90 GRAUS, PVC, SOLDÁVEL, DN 50 MM X 32 MM, INSTALADO EM PRUMADA DE ÁGUA - FORNECIMENTO E INSTALAÇÃO. AF_06/2022</t>
  </si>
  <si>
    <t>JOELHO 90 GRAUS, PVC, SOLDÁVEL, DN 40MM, INSTALADO EM RAMAL DE DISTRIBUIÇÃO DE ÁGUA - FORNECIMENTO E INSTALAÇÃO. AF_06/2022</t>
  </si>
  <si>
    <t>JOELHO 45 GRAUS, PVC, SOLDÁVEL, DN 40MM, INSTALADO EM RAMAL DE DISTRIBUIÇÃO DE ÁGUA - FORNECIMENTO E INSTALAÇÃO. AF_06/2022</t>
  </si>
  <si>
    <t>CURVA 90 GRAUS, PVC, SOLDÁVEL, DN 40MM, INSTALADO EM RAMAL DE DISTRIBUIÇÃO DE ÁGUA - FORNECIMENTO E INSTALAÇÃO. AF_06/2022</t>
  </si>
  <si>
    <t>CURVA 45 GRAUS, PVC, SOLDÁVEL, DN 40MM, INSTALADO EM RAMAL DE DISTRIBUIÇÃO DE ÁGUA - FORNECIMENTO E INSTALAÇÃO. AF_06/2022</t>
  </si>
  <si>
    <t>JOELHO 90 GRAUS, PVC, SOLDÁVEL, DN 50MM, INSTALADO EM RAMAL DE DISTRIBUIÇÃO DE ÁGUA - FORNECIMENTO E INSTALAÇÃO. AF_06/2022</t>
  </si>
  <si>
    <t>JOELHO 45 GRAUS, PVC, SOLDÁVEL, DN 50MM, INSTALADO EM RAMAL DE DISTRIBUIÇÃO DE ÁGUA - FORNECIMENTO E INSTALAÇÃO. AF_06/2022</t>
  </si>
  <si>
    <t>CURVA 90 GRAUS, PVC, SOLDÁVEL, DN 50MM, INSTALADO EM RAMAL DE DISTRIBUIÇÃO DE ÁGUA - FORNECIMENTO E INSTALAÇÃO. AF_06/2022</t>
  </si>
  <si>
    <t>CURVA 45 GRAUS, PVC, SOLDÁVEL, DN 50MM, INSTALADO EM RAMAL DE DISTRIBUIÇÃO DE ÁGUA - FORNECIMENTO E INSTALAÇÃO. AF_06/2022</t>
  </si>
  <si>
    <t>LUVA, PVC, SOLDÁVEL, DN 40MM, INSTALADO EM RAMAL DE DISTRIBUIÇÃO DE ÁGUA - FORNECIMENTO E INSTALAÇÃO. AF_06/2022</t>
  </si>
  <si>
    <t>UNIÃO, PVC, SOLDÁVEL, DN 40MM, INSTALADO EM RAMAL DE DISTRIBUIÇÃO DE ÁGUA - FORNECIMENTO E INSTALAÇÃO. AF_06/2022</t>
  </si>
  <si>
    <t>BUCHA DE REDUÇÃO, PVC, SOLDÁVEL, DN 40MM X 32MM, INSTALADO EM RAMAL DE DISTRIBUIÇÃO DE ÁGUA - FORNECIMENTO E INSTALAÇÃO. AF_06/2022</t>
  </si>
  <si>
    <t>LUVA, PVC, SOLDÁVEL, DN 50MM, INSTALADO EM RAMAL DE DISTRIBUIÇÃO DE ÁGUA - FORNECIMENTO E INSTALAÇÃO. AF_06/2022</t>
  </si>
  <si>
    <t>LUVA DE CORRER, PVC, SOLDÁVEL, DN 50MM, INSTALADO EM RAMAL DE DISTRIBUIÇÃO DE ÁGUA - FORNECIMENTO E INSTALAÇÃO. AF_06/2022</t>
  </si>
  <si>
    <t>UNIÃO, PVC, SOLDÁVEL, DN 50MM, INSTALADO EM RAMAL DE DISTRIBUIÇÃO DE ÁGUA - FORNECIMENTO E INSTALAÇÃO. AF_06/2022</t>
  </si>
  <si>
    <t>BUCHA DE REDUÇÃO, LONGA, PVC, SOLDÁVEL, DN 50 X 25 MM, INSTALADO EM RAMAL DE DISTRIBUIÇÃO DE ÁGUA - FORNECIMENTO E INSTALAÇÃO. AF_06/2022</t>
  </si>
  <si>
    <t>TE, PVC, SOLDÁVEL, DN 50MM, INSTALADO EM RAMAL DE DISTRIBUIÇÃO DE ÁGUA - FORNECIMENTO E INSTALAÇÃO. AF_06/2022</t>
  </si>
  <si>
    <t>TÊ DE REDUÇÃO, PVC, SOLDÁVEL, DN 50MM X 40MM, INSTALADO EM RAMAL DE DISTRIBUIÇÃO DE ÁGUA - FORNECIMENTO E INSTALAÇÃO. AF_06/2022</t>
  </si>
  <si>
    <t>TÊ DE REDUÇÃO, PVC, SOLDÁVEL, DN 50MM X 25MM, INSTALADO EM RAMAL DE DISTRIBUIÇÃO DE ÁGUA - FORNECIMENTO E INSTALAÇÃO. AF_06/2022</t>
  </si>
  <si>
    <t>TE DE REDUÇÃO, 90 GRAUS, PVC, SOLDÁVEL, DN 50 MM X 20 MM, INSTALADO EM RAMAL DE DISTRIBUIÇÃO DE ÁGUA - FORNECIMENTO E INSTALAÇÃO. AF_06/2022</t>
  </si>
  <si>
    <t>TE DE REDUÇÃO, 90 GRAUS, PVC, SOLDÁVEL, DN 50 MM X 32 MM, INSTALADO EM RAMAL DE DISTRIBUIÇÃO DE ÁGUA - FORNECIMENTO E INSTALAÇÃO. AF_06/2022</t>
  </si>
  <si>
    <t>BUCHA DE REDUÇÃO, CURTA, PVC, SOLDÁVEL, DN 50 X 40 MM, INSTALADO EM RAMAL DE DISTRIBUIÇÃO DE ÁGUA - FORNECIMENTO E INSTALAÇÃO. AF_06/2022</t>
  </si>
  <si>
    <t>TE, PVC, SOLDÁVEL, DN 40MM, INSTALADO EM RAMAL DE DISTRIBUIÇÃO DE ÁGUA - FORNECIMENTO E INSTALAÇÃO. AF_06/2022</t>
  </si>
  <si>
    <t>TÊ DE REDUÇÃO, PVC, SOLDÁVEL, DN 40MM X 32MM, INSTALADO EM RAMAL DE DISTRIBUIÇÃO DE ÁGUA - FORNECIMENTO E INSTALAÇÃO. AF_06/2022</t>
  </si>
  <si>
    <t>BUCHA DE REDUÇÃO, LONGA, PVC, SOLDÁVEL, DN 40 X 25 MM, INSTALADO EM RAMAL DE DISTRIBUIÇÃO DE ÁGUA - FORNECIMENTO E INSTALAÇÃO. AF_06/2022</t>
  </si>
  <si>
    <t>TE DE REDUÇÃO, CPVC, SOLDÁVEL, DN 22 X 15 MM, INSTALADO EM RAMAL OU SUB-RAMAL DE ÁGUA - FORNECIMENTO E INSTALAÇÃO. AF_06/2022</t>
  </si>
  <si>
    <t>TE DE REDUÇÃO, CPVC, SOLDÁVEL, DN 28 X 22 MM, INSTALADO EM RAMAL OU SUB-RAMAL DE ÁGUA - FORNECIMENTO E INSTALAÇÃO. AF_06/2022</t>
  </si>
  <si>
    <t>TE DE REDUÇÃO, CPVC, SOLDÁVEL, DN 35 X 28 MM, INSTALADO EM RAMAL OU SUB-RAMAL DE ÁGUA - FORNECIMENTO E INSTALAÇÃO. AF_06/2022</t>
  </si>
  <si>
    <t>TE DE REDUÇÃO, CPVC, SOLDÁVEL, DN 35 X 28 MM, INSTALADO EM RAMAL DE DISTRIBUIÇÃO DE ÁGUA - FORNECIMENTO E INSTALAÇÃO. AF_06/2022</t>
  </si>
  <si>
    <t>TE DE REDUÇÃO, CPVC, SOLDÁVEL, DN 42 X 35 MM, INSTALADO EM PRUMADA DE ÁGUA - FORNECIMENTO E INSTALAÇÃO. AF_06/2022</t>
  </si>
  <si>
    <t>TE DE REDUÇÃO, CPVC, SOLDÁVEL, DN 42 X 35 MM, INSTALADO EM RAMAL DE DISTRIBUIÇÃO DE ÁGUA - FORNECIMENTO E INSTALAÇÃO. AF_06/2022</t>
  </si>
  <si>
    <t>JOELHO 90 GRAUS, PVC, SERIE R, ÁGUA PLUVIAL, DN 150 MM, JUNTA ELÁSTICA, FORNECIDO E INSTALADO EM RAMAL DE ENCAMINHAMENTO. AF_06/2022</t>
  </si>
  <si>
    <t>JOELHO 45 GRAUS, PVC, SERIE R, ÁGUA PLUVIAL, DN 150 MM, JUNTA ELÁSTICA, FORNECIDO E INSTALADO EM RAMAL DE ENCAMINHAMENTO. AF_06/2022</t>
  </si>
  <si>
    <t>CURVA 87 GRAUS E 30 MINUTOS, PVC, SERIE R, ÁGUA PLUVIAL, DN 150 MM, JUNTA ELÁSTICA, FORNECIDO E INSTALADO EM RAMAL DE ENCAMINHAMENTO. AF_06/2022</t>
  </si>
  <si>
    <t>LUVA SIMPLES, PVC, SERIE R, ÁGUA PLUVIAL, DN 150 MM, JUNTA ELÁSTICA, FORNECIDO E INSTALADO EM RAMAL DE ENCAMINHAMENTO. AF_06/2022</t>
  </si>
  <si>
    <t>LUVA DE CORRER, PVC, SERIE R, ÁGUA PLUVIAL, DN 150 MM, JUNTA ELÁSTICA, FORNECIDO E INSTALADO EM RAMAL DE ENCAMINHAMENTO. AF_06/2022</t>
  </si>
  <si>
    <t>TÊ DE INSPEÇÃO, PVC, SERIE R, ÁGUA PLUVIAL, DN 150 MM, JUNTA ELÁSTICA, FORNECIDO E INSTALADO EM RAMAL DE ENCAMINHAMENTO. AF_06/2022</t>
  </si>
  <si>
    <t>REDUÇÃO EXCÊNTRICA, PVC, SERIE R, ÁGUA PLUVIAL, DN 150 X 100 MM, JUNTA ELÁSTICA, FORNECIDO E INSTALADO EM RAMAL DE ENCAMINHAMENTO. AF_06/2022</t>
  </si>
  <si>
    <t>JUNÇÃO SIMPLES, PVC, SERIE R, ÁGUA PLUVIAL, DN 150 X 100 MM, JUNTA ELÁSTICA, FORNECIDO E INSTALADO EM RAMAL DE ENCAMINHAMENTO. AF_06/2022</t>
  </si>
  <si>
    <t>TÊ, PVC, SERIE R, ÁGUA PLUVIAL, DN 150 X 100 MM, JUNTA ELÁSTICA, FORNECIDO E INSTALADO EM RAMAL DE ENCAMINHAMENTO. AF_06/2022</t>
  </si>
  <si>
    <t>JUNÇÃO SIMPLES, PVC, SERIE R, ÁGUA PLUVIAL, DN 150 X 150 MM, JUNTA ELÁSTICA, FORNECIDO E INSTALADO EM RAMAL DE ENCAMINHAMENTO. AF_06/2022</t>
  </si>
  <si>
    <t>TÊ, PVC, SERIE R, ÁGUA PLUVIAL, DN 150 X 150 MM, JUNTA ELÁSTICA, FORNECIDO E INSTALADO EM RAMAL DE ENCAMINHAMENTO. AF_06/2022</t>
  </si>
  <si>
    <t>CAP, PVC, SERIE R, ÁGUA PLUVIAL, DN 100 MM, JUNTA ELÁSTICA, FORNECIDO E INSTALADO EM RAMAL DE ENCAMINHAMENTO. AF_06/2022</t>
  </si>
  <si>
    <t>CAP, PVC, SERIE R, ÁGUA PLUVIAL, DN 150 MM, JUNTA ELÁSTICA, FORNECIDO E INSTALADO EM RAMAL DE ENCAMINHAMENTO. AF_06/2022</t>
  </si>
  <si>
    <t>BUCHA DE REDUÇÃO, PPR, DN 25 X 20 MM, INSTALADO EM RAMAL OU SUB-RAMAL DE ÁGUA - FORNECIMENTO E INSTALAÇÃO. AF_08/2022</t>
  </si>
  <si>
    <t>TÊ MISTURADOR, PPR, F M M, DN 25 X 25 MM, INSTALADO EM RAMAL OU SUB-RAMAL DE ÁGUA - FORNECIMENTO E INSTALAÇÃO. AF_08/2022</t>
  </si>
  <si>
    <t>JOELHO 45 GRAUS, PPR, F/ F, DN 90 MM, INSTALADO EM PRUMADA DE ÁGUA - FORNECIMENTO E INSTALAÇÃO. AF_08/2022</t>
  </si>
  <si>
    <t>CURVA 90 GRAUS, PPR, DN 20 MM, INSTALADO EM RAMAL OU SUB-RAMAL DE ÁGUA - FORNECIMENTO E INSTALAÇÃO. AF_08/2022</t>
  </si>
  <si>
    <t>CURVA 90 GRAUS, PPR, DN 25 MM, INSTALADO EM RAMAL OU SUB-RAMAL DE ÁGUA - FORNECIMENTO E INSTALAÇÃO. AF_08/2022</t>
  </si>
  <si>
    <t>JOELHO 45 GRAUS, PPR, DN 20 MM, INSTALADO EM RAMAL OU SUB-RAMAL DE ÁGUA - FORNECIMENTO E INSTALAÇÃO. AF_08/2022</t>
  </si>
  <si>
    <t>JOELHO 90 GRAUS, PPR, DN 20 MM, INSTALADO EM RAMAL OU SUB-RAMAL DE ÁGUA - FORNECIMENTO E INSTALAÇÃO. AF_08/2022</t>
  </si>
  <si>
    <t>LUVA, PPR, DN 20 MM, INSTALADO EM RAMAL OU SUB-RAMAL DE ÁGUA - FORNECIMENTO E INSTALAÇÃO. AF_08/2022</t>
  </si>
  <si>
    <t>TÊ MISTURADOR, PPR, F M M, DN 20 X 20 MM, INSTALADO EM RAMAL OU SUB-RAMAL DE ÁGUA - FORNECIMENTO E INSTALAÇÃO. AF_08/2022</t>
  </si>
  <si>
    <t>TÊ NORMAL, PPR, 90 GRAUS, DN 20 X 20 X 20 MM, INSTALADO EM RAMAL OU SUB-RAMAL DE ÁGUA - FORNECIMENTO E INSTALAÇÃO. AF_08/2022</t>
  </si>
  <si>
    <t>JOELHO 90 GRAUS, PVC, SOLDÁVEL, DN 20 MM, INSTALADO EM DRENO DE AR CONDICIONADO - FORNECIMENTO E INSTALAÇÃO. AF_08/2022</t>
  </si>
  <si>
    <t>JOELHO 45 GRAUS, PVC, SOLDÁVEL, DN 20 MM, INSTALADO EM DRENO DE AR CONDICIONADO - FORNECIMENTO E INSTALAÇÃO. AF_08/2022</t>
  </si>
  <si>
    <t>JOELHO 90 GRAUS, PVC, SOLDÁVEL, DN 32 MM, INSTALADO EM DRENO DE AR CONDICIONADO - FORNECIMENTO E INSTALAÇÃO. AF_08/2022</t>
  </si>
  <si>
    <t>JOELHO 45 GRAUS, PVC, SOLDÁVEL, DN 32 MM, INSTALADO EM DRENO DE AR CONDICIONADO - FORNECIMENTO E INSTALAÇÃO. AF_08/2022</t>
  </si>
  <si>
    <t>LUVA, PVC, SOLDÁVEL, DN 20 MM, INSTALADO EM DRENO DE AR CONDICIONADO - FORNECIMENTO E INSTALAÇÃO. AF_08/2022</t>
  </si>
  <si>
    <t>LUVA, PVC, SOLDÁVEL, DN 32 MM, INSTALADO EM DRENO DE AR CONDICIONADO - FORNECIMENTO E INSTALAÇÃO. AF_08/2022</t>
  </si>
  <si>
    <t>TE, PVC, SOLDÁVEL, DN 20 MM, INSTALADO EM DRENO DE AR CONDICIONADO - FORNECIMENTO E INSTALAÇÃO. AF_08/2022</t>
  </si>
  <si>
    <t>TE, PVC, SOLDÁVEL, DN 32 MM, INSTALADO EM DRENO DE AR CONDICIONADO - FORNECIMENTO E INSTALAÇÃO. AF_08/2022</t>
  </si>
  <si>
    <t>BUCHA DE REDUÇÃO LONGA, PVC, SÉRIE NORMAL, ESGOTO PREDIAL, DN 50 X 40 MM, JUNTA SOLDÁVEL E ELÁSTICA, FORNECIDO E INSTALADO EM RAMAL DE DESCARGA OU RAMAL DE ESGOTO SANITÁRIO. AF_08/2022</t>
  </si>
  <si>
    <t>JUNÇÃO DE REDUÇÃO INVERTIDA, PVC, SÉRIE NORMAL, ESGOTO PREDIAL, DN 75 X 50 MM, JUNTA ELÁSTICA, FORNECIDO E INSTALADO EM RAMAL DE DESCARGA OU RAMAL DE ESGOTO SANITÁRIO. AF_08/2022</t>
  </si>
  <si>
    <t>TE, PVC, SÉRIE NORMAL, ESGOTO PREDIAL, DN 100 X 50 MM, JUNTA ELÁSTICA, FORNECIDO E INSTALADO EM RAMAL DE DESCARGA OU RAMAL DE ESGOTO SANITÁRIO. AF_08/2022</t>
  </si>
  <si>
    <t>JUNÇÃO DE REDUÇÃO INVERTIDA, PVC, SÉRIE NORMAL, ESGOTO PREDIAL, DN 100 X 50 MM, JUNTA ELÁSTICA, FORNECIDO E INSTALADO EM RAMAL DE DESCARGA OU RAMAL DE ESGOTO SANITÁRIO. AF_08/2022</t>
  </si>
  <si>
    <t>TE, PVC, SÉRIE NORMAL, ESGOTO PREDIAL, DN 100 X 75 MM, JUNTA ELÁSTICA, FORNECIDO E INSTALADO EM RAMAL DE DESCARGA OU RAMAL DE ESGOTO SANITÁRIO. AF_08/2022</t>
  </si>
  <si>
    <t>JUNÇÃO DE REDUCAO INVERTIDA, PVC, SÉRIE NORMAL, ESGOTO PREDIAL, DN 100 X 75 MM, JUNTA ELÁSTICA, FORNECIDO E INSTALADO EM RAMAL DE DESCARGA OU RAMAL DE ESGOTO SANITÁRIO. AF_08/2022</t>
  </si>
  <si>
    <t>TERMINAL DE VENTILAÇÃO, PVC, SÉRIE NORMAL, ESGOTO PREDIAL, DN 50 MM, JUNTA SOLDÁVEL, FORNECIDO E INSTALADO EM PRUMADA DE ESGOTO SANITÁRIO OU VENTILAÇÃO. AF_08/2022</t>
  </si>
  <si>
    <t>JUNÇÃO DE REDUÇÃO INVERTIDA, PVC, SÉRIE NORMAL, ESGOTO PREDIAL, DN 75 X 50 MM, JUNTA ELÁSTICA, FORNECIDO E INSTALADO EM PRUMADA DE ESGOTO SANITÁRIO OU VENTILAÇÃO. AF_08/2022</t>
  </si>
  <si>
    <t>TERMINAL DE VENTILAÇÃO, PVC, SÉRIE NORMAL, ESGOTO PREDIAL, DN 75 MM, JUNTA SOLDÁVEL, FORNECIDO E INSTALADO EM PRUMADA DE ESGOTO SANITÁRIO OU VENTILAÇÃO. AF_08/2022</t>
  </si>
  <si>
    <t>TE, PVC, SÉRIE NORMAL, ESGOTO PREDIAL, DN 100 X 50 MM, JUNTA ELÁSTICA, FORNECIDO E INSTALADO EM PRUMADA DE ESGOTO SANITÁRIO OU VENTILAÇÃO. AF_08/2022</t>
  </si>
  <si>
    <t>JUNÇÃO DE REDUÇÃO INVERTIDA, PVC, SÉRIE NORMAL, ESGOTO PREDIAL, DN 100 X 50 MM, JUNTA ELÁSTICA, FORNECIDO E INSTALADO EM PRUMADA DE ESGOTO SANITÁRIO OU VENTILAÇÃO. AF_08/2022</t>
  </si>
  <si>
    <t>TE, PVC, SÉRIE NORMAL, ESGOTO PREDIAL, DN 100 X 75 MM, JUNTA ELÁSTICA, FORNECIDO E INSTALADO EM PRUMADA DE ESGOTO SANITÁRIO OU VENTILAÇÃO. AF_08/2022</t>
  </si>
  <si>
    <t>JUNÇÃO DE REDUCAO INVERTIDA, PVC, SÉRIE NORMAL, ESGOTO PREDIAL, DN 100 X 75 MM, JUNTA ELÁSTICA, FORNECIDO E INSTALADO EM PRUMADA DE ESGOTO SANITÁRIO OU VENTILAÇÃO. AF_08/2022</t>
  </si>
  <si>
    <t>TERMINAL DE VENTILAÇÃO, PVC, SÉRIE NORMAL, ESGOTO PREDIAL, DN 100 MM, JUNTA SOLDÁVEL, FORNECIDO E INSTALADO EM PRUMADA DE ESGOTO SANITÁRIO OU VENTILAÇÃO. AF_08/2022</t>
  </si>
  <si>
    <t>CAP, PVC, SÉRIE NORMAL, ESGOTO PREDIAL, DN 100 MM, JUNTA ELÁSTICA, FORNECIDO E INSTALADO EM SUBCOLETOR AÉREO DE ESGOTO SANITÁRIO. AF_08/2022</t>
  </si>
  <si>
    <t>CAIXA ENTERRADA HIDRÁULICA RETANGULAR, EM CONCRETO PRÉ-MOLDADO, DIMENSÕES INTERNAS: 0,3X0,3X0,3 M. AF_12/2020</t>
  </si>
  <si>
    <t>CAIXA ENTERRADA HIDRÁULICA RETANGULAR, EM CONCRETO PRÉ-MOLDADO, DIMENSÕES INTERNAS: 0,4X0,4X0,4 M. AF_12/2020</t>
  </si>
  <si>
    <t>CAIXA ENTERRADA HIDRÁULICA RETANGULAR, EM CONCRETO PRÉ-MOLDADO, DIMENSÕES INTERNAS: 0,6X0,6X0,5 M. AF_12/2020</t>
  </si>
  <si>
    <t>CAIXA ENTERRADA HIDRÁULICA RETANGULAR, EM CONCRETO PRÉ-MOLDADO, DIMENSÕES INTERNAS: 0,8X0,8X0,5 M. AF_12/2020</t>
  </si>
  <si>
    <t>CAIXA ENTERRADA HIDRÁULICA RETANGULAR EM ALVENARIA COM TIJOLOS CERÂMICOS MACIÇOS, DIMENSÕES INTERNAS: 0,3X0,3X0,3 M PARA REDE DE ESGOTO. AF_12/2020</t>
  </si>
  <si>
    <t>CAIXA ENTERRADA HIDRÁULICA RETANGULAR EM ALVENARIA COM TIJOLOS CERÂMICOS MACIÇOS, DIMENSÕES INTERNAS: 0,4X0,4X0,4 M PARA REDE DE ESGOTO. AF_12/2020</t>
  </si>
  <si>
    <t>CAIXA ENTERRADA HIDRÁULICA RETANGULAR EM ALVENARIA COM TIJOLOS CERÂMICOS MACIÇOS, DIMENSÕES INTERNAS: 0,6X0,6X0,6 M PARA REDE DE ESGOTO. AF_12/2020</t>
  </si>
  <si>
    <t>CAIXA ENTERRADA HIDRÁULICA RETANGULAR EM ALVENARIA COM TIJOLOS CERÂMICOS MACIÇOS, DIMENSÕES INTERNAS: 0,8X0,8X0,6 M PARA REDE DE ESGOTO. AF_12/2020</t>
  </si>
  <si>
    <t>CAIXA ENTERRADA HIDRÁULICA RETANGULAR EM ALVENARIA COM TIJOLOS CERÂMICOS MACIÇOS, DIMENSÕES INTERNAS: 1X1X0,6 M PARA REDE DE ESGOTO. AF_12/2020</t>
  </si>
  <si>
    <t>CAIXA ENTERRADA HIDRÁULICA RETANGULAR, EM ALVENARIA COM BLOCOS DE CONCRETO, DIMENSÕES INTERNAS: 0,4X0,4X0,4 M PARA REDE DE ESGOTO. AF_12/2020</t>
  </si>
  <si>
    <t>CAIXA ENTERRADA HIDRÁULICA RETANGULAR, EM ALVENARIA COM BLOCOS DE CONCRETO, DIMENSÕES INTERNAS: 0,6X0,6X0,6 M PARA REDE DE ESGOTO. AF_12/2020</t>
  </si>
  <si>
    <t>CAIXA ENTERRADA HIDRÁULICA RETANGULAR, EM ALVENARIA COM BLOCOS DE CONCRETO, DIMENSÕES INTERNAS: 0,8X0,8X0,6 M PARA REDE DE ESGOTO. AF_12/2020</t>
  </si>
  <si>
    <t>CAIXA ENTERRADA HIDRÁULICA RETANGULAR, EM ALVENARIA COM BLOCOS DE CONCRETO, DIMENSÕES INTERNAS: 1X1X0,6 M PARA REDE DE ESGOTO. AF_12/2020</t>
  </si>
  <si>
    <t>CAIXA DE GORDURA SIMPLES, CIRCULAR, EM CONCRETO PRÉ-MOLDADO, DIÂMETRO INTERNO = 0,4 M, ALTURA INTERNA = 0,4 M. AF_12/2020</t>
  </si>
  <si>
    <t>CAIXA DE GORDURA SIMPLES (CAPACIDADE: 36L), RETANGULAR, EM ALVENARIA COM TIJOLOS CERÂMICOS MACIÇOS, DIMENSÕES INTERNAS = 0,2X0,4 M, ALTURA INTERNA = 0,8 M. AF_12/2020</t>
  </si>
  <si>
    <t>CAIXA DE GORDURA DUPLA (CAPACIDADE: 126 L), RETANGULAR, EM ALVENARIA COM TIJOLOS CERÂMICOS MACIÇOS, DIMENSÕES INTERNAS = 0,4X0,7 M, ALTURA INTERNA = 0,8 M. AF_12/2020</t>
  </si>
  <si>
    <t>CAIXA DE GORDURA ESPECIAL (CAPACIDADE: 312 L - PARA ATÉ 146 PESSOAS SERVIDAS NO PICO), RETANGULAR, EM ALVENARIA COM TIJOLOS CERÂMICOS MACIÇOS, DIMENSÕES INTERNAS = 0,4X1,2 M, ALTURA INTERNA = 1 M. AF_12/2020</t>
  </si>
  <si>
    <t>CAIXA DE GORDURA SIMPLES (CAPACIDADE: 36 L), RETANGULAR, EM ALVENARIA COM BLOCOS DE CONCRETO, DIMENSÕES INTERNAS = 0,2X0,4 M, ALTURA INTERNA = 0,8 M. AF_12/2020</t>
  </si>
  <si>
    <t>CAIXA DE GORDURA DUPLA (CAPACIDADE: 126 L), RETANGULAR, EM ALVENARIA COM BLOCOS DE CONCRETO, DIMENSÕES INTERNAS = 0,4X0,7 M, ALTURA INTERNA = 0,8 M. AF_12/2020</t>
  </si>
  <si>
    <t>CAIXA ENTERRADA HIDRÁULICA RETANGULAR EM ALVENARIA COM TIJOLOS CERÂMICOS MACIÇOS, DIMENSÕES INTERNAS: 0,3X0,3X0,3 M PARA REDE DE DRENAGEM. AF_12/2020</t>
  </si>
  <si>
    <t>CAIXA ENTERRADA HIDRÁULICA RETANGULAR EM ALVENARIA COM TIJOLOS CERÂMICOS MACIÇOS, DIMENSÕES INTERNAS: 0,4X0,4X0,4 M PARA REDE DE DRENAGEM. AF_12/2020</t>
  </si>
  <si>
    <t>CAIXA ENTERRADA HIDRÁULICA RETANGULAR EM ALVENARIA COM TIJOLOS CERÂMICOS MACIÇOS, DIMENSÕES INTERNAS: 0,6X0,6X0,6 M PARA REDE DE DRENAGEM. AF_12/2020</t>
  </si>
  <si>
    <t>CAIXA ENTERRADA HIDRÁULICA RETANGULAR EM ALVENARIA COM TIJOLOS CERÂMICOS MACIÇOS, DIMENSÕES INTERNAS: 0,8X0,8X0,6 M PARA REDE DE DRENAGEM. AF_12/2020</t>
  </si>
  <si>
    <t>CAIXA ENTERRADA HIDRÁULICA RETANGULAR EM ALVENARIA COM TIJOLOS CERÂMICOS MACIÇOS, DIMENSÕES INTERNAS: 1X1X0,6 M PARA REDE DE DRENAGEM. AF_12/2020</t>
  </si>
  <si>
    <t>CAIXA ENTERRADA HIDRÁULICA RETANGULAR, EM ALVENARIA COM BLOCOS DE CONCRETO, DIMENSÕES INTERNAS: 0,4X0,4X0,4 M PARA REDE DE DRENAGEM. AF_12/2020</t>
  </si>
  <si>
    <t>CAIXA ENTERRADA HIDRÁULICA RETANGULAR, EM ALVENARIA COM BLOCOS DE CONCRETO, DIMENSÕES INTERNAS: 0,6X0,6X0,6 M PARA REDE DE DRENAGEM. AF_12/2020</t>
  </si>
  <si>
    <t>CAIXA ENTERRADA HIDRÁULICA RETANGULAR, EM ALVENARIA COM BLOCOS DE CONCRETO, DIMENSÕES INTERNAS: 0,8X0,8X0,6 M PARA REDE DE DRENAGEM. AF_12/2020</t>
  </si>
  <si>
    <t>CAIXA ENTERRADA HIDRÁULICA RETANGULAR, EM ALVENARIA COM BLOCOS DE CONCRETO, DIMENSÕES INTERNAS: 1X1X0,6 M PARA REDE DE DRENAGEM. AF_12/2020</t>
  </si>
  <si>
    <t>FURO EM CAIXA D'ÁGUA COM ESPESSURA DE 2 ATÉ 5 MM E DIÂMETRO DE 15 MM. AF_06/2021</t>
  </si>
  <si>
    <t>FURO EM CAIXA D'ÁGUA COM ESPESSURA DE 6 ATÉ 8 MM E DIÂMETRO DE 15 MM. AF_06/2021</t>
  </si>
  <si>
    <t>FURO EM CAIXA D'ÁGUA COM ESPESSURA DE 2 ATÉ 5 MM E DIÂMETRO DE 20 MM. AF_06/2021</t>
  </si>
  <si>
    <t>FURO EM CAIXA D'ÁGUA COM ESPESSURA DE 6 ATÉ 8 MM E DIÂMETRO DE 20 MM. AF_06/2021</t>
  </si>
  <si>
    <t>FURO EM CAIXA D'ÁGUA COM ESPESSURA DE 2 ATÉ 5 MM E DIÂMETRO DE 25 MM. AF_06/2021</t>
  </si>
  <si>
    <t>FURO EM CAIXA D'ÁGUA COM ESPESSURA DE 6 ATÉ 8 MM E DIÂMETRO DE 25 MM. AF_06/2021</t>
  </si>
  <si>
    <t>FURO EM CAIXA D'ÁGUA COM ESPESSURA DE 2 ATÉ 5 MM E DIÂMETRO DE 32 MM. AF_06/2021</t>
  </si>
  <si>
    <t>FURO EM CAIXA D'ÁGUA COM ESPESSURA DE 6 ATÉ 8 MM E DIÂMETRO DE 32 MM. AF_06/2021</t>
  </si>
  <si>
    <t>FURO EM CAIXA D'ÁGUA COM ESPESSURA DE 2 ATÉ 5 MM E DIÂMETRO DE 40 MM. AF_06/2021</t>
  </si>
  <si>
    <t>FURO EM CAIXA D'ÁGUA COM ESPESSURA DE 6 ATÉ 8 MM E DIÂMETRO DE 40 MM. AF_06/2021</t>
  </si>
  <si>
    <t>FURO EM CAIXA D'ÁGUA COM ESPESSURA DE 2 ATÉ 5 MM E DIÂMETRO DE 50 MM. AF_06/2021</t>
  </si>
  <si>
    <t>FURO EM CAIXA D'ÁGUA COM ESPESSURA DE 6 ATÉ 8 MM E DIÂMETRO DE 50 MM. AF_06/2021</t>
  </si>
  <si>
    <t>FURO EM CAIXA D'ÁGUA COM ESPESSURA DE 2 ATÉ 5 MM E DIÂMETRO DE 60 MM. AF_06/2021</t>
  </si>
  <si>
    <t>FURO EM CAIXA D'ÁGUA COM ESPESSURA DE 6 ATÉ 8 MM E DIÂMETRO DE 60 MM. AF_06/2021</t>
  </si>
  <si>
    <t>FURO EM CAIXA D'ÁGUA COM ESPESSURA DE 2 ATÉ 5 MM E DIÂMETRO DE 75 MM. AF_06/2021</t>
  </si>
  <si>
    <t>FURO EM CAIXA D'ÁGUA COM ESPESSURA DE 6 ATÉ 8 MM E DIÂMETRO DE 75 MM. AF_06/2021</t>
  </si>
  <si>
    <t>FURO EM CAIXA D'ÁGUA COM ESPESSURA DE 2 ATÉ 5 MM E DIÂMETRO DE 100 MM. AF_06/2021</t>
  </si>
  <si>
    <t>FURO EM CAIXA D'ÁGUA COM ESPESSURA DE 6 ATÉ 8 MM E DIÂMETRO DE 100 MM. AF_06/2021</t>
  </si>
  <si>
    <t>CAIXA D´ÁGUA EM POLIETILENO, 500 LITROS - FORNECIMENTO E INSTALAÇÃO. AF_06/2021</t>
  </si>
  <si>
    <t>CAIXA D´ÁGUA EM POLIETILENO, 750 LITROS - FORNECIMENTO E INSTALAÇÃO. AF_06/2021</t>
  </si>
  <si>
    <t>CAIXA D´ÁGUA EM POLIETILENO, 1000 LITROS - FORNECIMENTO E INSTALAÇÃO. AF_06/2021</t>
  </si>
  <si>
    <t>CAIXA D´ÁGUA EM POLIETILENO, 1500 LITROS - FORNECIMENTO E INSTALAÇÃO. AF_06/2021</t>
  </si>
  <si>
    <t>CAIXA D´ÁGUA EM POLIETILENO, 2000 LITROS - FORNECIMENTO E INSTALAÇÃO. AF_06/2021</t>
  </si>
  <si>
    <t>CAIXA D´ÁGUA EM POLIETILENO, 3000 LITROS - FORNECIMENTO E INSTALAÇÃO. AF_06/2021</t>
  </si>
  <si>
    <t>CAIXA D´ÁGUA EM POLIÉSTER REFORÇADO COM FIBRA DE VIDRO, 500 LITROS - FORNECIMENTO E INSTALAÇÃO. AF_06/2021</t>
  </si>
  <si>
    <t>CAIXA D´ÁGUA EM POLIÉSTER REFORÇADO COM FIBRA DE VIDRO, 750 LITROS - FORNECIMENTO E INSTALAÇÃO. AF_06/2021</t>
  </si>
  <si>
    <t>CAIXA D´ÁGUA EM POLIÉSTER REFORÇADO COM FIBRA DE VIDRO, 1000 LITROS - FORNECIMENTO E INSTALAÇÃO. AF_06/2021</t>
  </si>
  <si>
    <t>CAIXA D´ÁGUA EM POLIÉSTER REFORÇADO COM FIBRA DE VIDRO, 1500 LITROS - FORNECIMENTO E INSTALAÇÃO. AF_06/2021</t>
  </si>
  <si>
    <t>CAIXA D´ÁGUA EM POLIÉSTER REFORÇADO COM FIBRA DE VIDRO, 2000 LITROS - FORNECIMENTO E INSTALAÇÃO. AF_06/2021</t>
  </si>
  <si>
    <t>CAIXA D´ÁGUA EM POLIÉSTER REFORÇADO COM FIBRA DE VIDRO, 3000 LITROS - FORNECIMENTO E INSTALAÇÃO. AF_06/2021</t>
  </si>
  <si>
    <t>CAIXA D´ÁGUA EM POLIÉSTER REFORÇADO COM FIBRA DE VIDRO, 5000 LITROS - FORNECIMENTO E INSTALAÇÃO. AF_06/2021</t>
  </si>
  <si>
    <t>CAIXA D´ÁGUA EM POLIÉSTER REFORÇADO COM FIBRA DE VIDRO, 7000 LITROS - FORNECIMENTO E INSTALAÇÃO. AF_06/2021</t>
  </si>
  <si>
    <t>CAIXA D´ÁGUA EM POLIÉSTER REFORÇADO COM FIBRA DE VIDRO, 10000 LITROS - FORNECIMENTO E INSTALAÇÃO. AF_06/2021</t>
  </si>
  <si>
    <t>CAIXA D´ÁGUA EM POLIÉSTER REFORÇADO COM FIBRA DE VIDRO, 15000 LITROS - FORNECIMENTO E INSTALAÇÃO. AF_06/2021</t>
  </si>
  <si>
    <t>CAIXA D´ÁGUA EM POLIÉSTER REFORÇADO COM FIBRA DE VIDRO, 20000 LITROS - FORNECIMENTO E INSTALAÇÃO. AF_06/2021</t>
  </si>
  <si>
    <t>CAIXA D´ÁGUA EM POLIETILENO, 500 LITROS (INCLUSOS TUBOS, CONEXÕES E TORNEIRA DE BÓIA) - FORNECIMENTO E INSTALAÇÃO. AF_06/2021</t>
  </si>
  <si>
    <t>CAIXA D´ÁGUA EM POLIETILENO, 1000 LITROS (INCLUSOS TUBOS, CONEXÕES E TORNEIRA DE BÓIA) - FORNECIMENTO E INSTALAÇÃO. AF_06/2021</t>
  </si>
  <si>
    <t>CAIXA SIFONADA, PVC, DN 100 X 100 X 50 MM, FORNECIDA E INSTALADA EM RAMAIS DE ENCAMINHAMENTO DE ÁGUA PLUVIAL. AF_06/2022</t>
  </si>
  <si>
    <t>CAIXA SIFONADA, PVC, DN 150 X 185 X 75 MM, FORNECIDA E INSTALADA EM RAMAIS DE ENCAMINHAMENTO DE ÁGUA PLUVIAL. AF_06/2022</t>
  </si>
  <si>
    <t>RALO SIFONADO, PVC, DN 100 X 40 MM, JUNTA SOLDÁVEL, FORNECIDO E INSTALADO EM RAMAIS DE ENCAMINHAMENTO DE ÁGUA PLUVIAL. AF_06/2022</t>
  </si>
  <si>
    <t>CAIXA SIFONADA, PVC, DN 100 X 100 X 50 MM, JUNTA ELÁSTICA, FORNECIDA E INSTALADA EM RAMAL DE DESCARGA OU EM RAMAL DE ESGOTO SANITÁRIO. AF_08/2022</t>
  </si>
  <si>
    <t>CAIXA SIFONADA, PVC, DN 150 X 185 X 75 MM, JUNTA ELÁSTICA, FORNECIDA E INSTALADA EM RAMAL DE DESCARGA OU EM RAMAL DE ESGOTO SANITÁRIO. AF_08/2022</t>
  </si>
  <si>
    <t>RALO SIFONADO, PVC, DN 100 X 40 MM, JUNTA SOLDÁVEL, FORNECIDO E INSTALADO EM RAMAL DE DESCARGA OU EM RAMAL DE ESGOTO SANITÁRIO. AF_08/2022</t>
  </si>
  <si>
    <t>RALO SECO, PVC, DN 100 X 40 MM, JUNTA SOLDÁVEL, FORNECIDO E INSTALADO EM RAMAL DE DESCARGA OU EM RAMAL DE ESGOTO SANITÁRIO. AF_08/2022</t>
  </si>
  <si>
    <t>RALO SECO CÔNICO, PVC, DN 100 X 40 MM, JUNTA SOLDÁVEL, FORNECIDO E INSTALADO EM RAMAL DE DESCARGA OU EM RAMAL DE ESGOTO SANITÁRIO. AF_08/2022</t>
  </si>
  <si>
    <t>RALO SIFONADO REDONDO, PVC, DN 100 X 40 MM, JUNTA SOLDÁVEL, FORNECIDO E INSTALADO EM RAMAL DE DESCARGA OU EM RAMAL DE ESGOTO SANITÁRIO. AF_08/2022</t>
  </si>
  <si>
    <t>CAIXA SIFONADA, COM GRELHA QUADRADA, PVC, DN 150 X 150 X 50 MM, JUNTA SOLDÁVEL, FORNECIDA E INSTALADA EM RAMAL DE DESCARGA OU EM RAMAL DE ESGOTO SANITÁRIO. AF_08/2022</t>
  </si>
  <si>
    <t>CAIXA SIFONADA, COM GRELHA REDONDA, PVC, DN 150 X 150 X 50 MM, JUNTA SOLDÁVEL, FORNECIDA E INSTALADA EM RAMAL DE DESCARGA OU EM RAMAL DE ESGOTO SANITÁRIO. AF_08/2022</t>
  </si>
  <si>
    <t>TANQUE SÉPTICO RETANGULAR, EM ALVENARIA COM TIJOLOS CERÂMICOS MACIÇOS, DIMENSÕES INTERNAS: 1,0 X 2,0 X H=1,4 M, VOLUME ÚTIL: 2000 L (PARA 5 CONTRIBUINTES). AF_12/2020</t>
  </si>
  <si>
    <t>TANQUE SÉPTICO RETANGULAR, EM ALVENARIA COM TIJOLOS CERÂMICOS MACIÇOS, DIMENSÕES INTERNAS: 1,2 X 2,4 X H=1,6 M, VOLUME ÚTIL: 3456 L (PARA 13 CONTRIBUINTES). AF_12/2020</t>
  </si>
  <si>
    <t>TANQUE SÉPTICO RETANGULAR, EM ALVENARIA COM TIJOLOS CERÂMICOS MACIÇOS, DIMENSÕES INTERNAS: 1,4 X 3,2 X H=1,8 M, VOLUME ÚTIL: 6272 L (PARA 32 CONTRIBUINTES). AF_12/2020</t>
  </si>
  <si>
    <t>TANQUE SÉPTICO RETANGULAR, EM ALVENARIA COM TIJOLOS CERÂMICOS MACIÇOS, DIMENSÕES INTERNAS: 1,6 X 4,4 X H=1,8 M, VOLUME ÚTIL: 9856 L (PARA 68 CONTRIBUINTES). AF_12/2020</t>
  </si>
  <si>
    <t>TANQUE SÉPTICO RETANGULAR, EM ALVENARIA COM TIJOLOS CERÂMICOS MACIÇOS, DIMENSÕES INTERNAS: 1,6 X 4,8 X H=2,0 M, VOLUME ÚTIL: 12288 L (PARA 86 CONTRIBUINTES). AF_12/2020</t>
  </si>
  <si>
    <t>TANQUE SÉPTICO RETANGULAR, EM ALVENARIA COM TIJOLOS CERÂMICOS MACIÇOS, DIMENSÕES INTERNAS: 1,6 X 4,6 X H=2,4 M, VOLUME ÚTIL: 14720 L (PARA 105 CONTRIBUINTES). AF_12/2020</t>
  </si>
  <si>
    <t>FILTRO ANAERÓBIO RETANGULAR, EM ALVENARIA COM TIJOLOS CERÂMICOS MACIÇOS, DIMENSÕES INTERNAS: 0,8 X 1,2 X H=1,67 M, VOLUME ÚTIL: 1152 L (PARA 5 CONTRIBUINTES). AF_12/2020</t>
  </si>
  <si>
    <t>FILTRO ANAERÓBIO RETANGULAR, EM ALVENARIA COM TIJOLOS CERÂMICOS MACIÇOS, DIMENSÕES INTERNAS: 1,2 X 1,8 X H=1,67 M, VOLUME ÚTIL: 2592 L (PARA 13 CONTRIBUINTES). AF_12/2020</t>
  </si>
  <si>
    <t>FILTRO ANAERÓBIO RETANGULAR, EM ALVENARIA COM TIJOLOS CERÂMICOS MACIÇOS, DIMENSÕES INTERNAS: 1,4 X 3,0 X H=1,67 M, VOLUME ÚTIL: 5040 L (PARA 32 CONTRIBUINTES). AF_12/2020</t>
  </si>
  <si>
    <t>FILTRO ANAERÓBIO RETANGULAR, EM ALVENARIA COM TIJOLOS CERÂMICOS MACIÇOS, DIMENSÕES INTERNAS: 1,4 X 4,2 X H=1,67 M, VOLUME ÚTIL: 7056 L (PARA 67 CONTRIBUINTES). AF_12/2020</t>
  </si>
  <si>
    <t>FILTRO ANAERÓBIO RETANGULAR, EM ALVENARIA COM TIJOLOS CERÂMICOS MACIÇOS, DIMENSÕES INTERNAS: 1,6 X 4,6 X H=1,67 M, VOLUME ÚTIL: 8832 L (PARA 84 CONTRIBUINTES). AF_12/2020</t>
  </si>
  <si>
    <t>FILTRO ANAERÓBIO RETANGULAR, EM ALVENARIA COM TIJOLOS CERÂMICOS MACIÇOS, DIMENSÕES INTERNAS: 1,6 X 5,6 X H=1,67 M, VOLUME ÚTIL: 10752 L (PARA 103 CONTRIBUINTES). AF_12/2020</t>
  </si>
  <si>
    <t>SUMIDOURO RETANGULAR, EM ALVENARIA COM TIJOLOS CERÂMICOS MACIÇOS, DIMENSÕES INTERNAS: 0,8 X 1,4 X H=3,0 M, ÁREA DE INFILTRAÇÃO: 13,2 M² (PARA 5 CONTRIBUINTES). AF_12/2020</t>
  </si>
  <si>
    <t>SUMIDOURO RETANGULAR, EM ALVENARIA COM TIJOLOS CERÂMICOS MACIÇOS, DIMENSÕES INTERNAS: 1,0 X 3,0 X H=3,0 M, ÁREA DE INFILTRAÇÃO: 25 M² (PARA 10 CONTRIBUINTES). AF_12/2020</t>
  </si>
  <si>
    <t>SUMIDOURO RETANGULAR, EM ALVENARIA COM TIJOLOS CERÂMICOS MACIÇOS, DIMENSÕES INTERNAS: 1,6 X 3,4 X H=3,0 M, ÁREA DE INFILTRAÇÃO: 32,9 M² (PARA 13 CONTRIBUINTES). AF_12/2020</t>
  </si>
  <si>
    <t>SUMIDOURO RETANGULAR, EM ALVENARIA COM TIJOLOS CERÂMICOS MACIÇOS, DIMENSÕES INTERNAS: 1,6 X 5,8 X H=3,0 M, ÁREA DE INFILTRAÇÃO: 50 M² (PARA 20 CONTRIBUINTES). AF_12/2020</t>
  </si>
  <si>
    <t>TANQUE SÉPTICO RETANGULAR, EM ALVENARIA COM BLOCOS DE CONCRETO, DIMENSÕES INTERNAS: 1,0 X 2,0 X H=1,4 M, VOLUME ÚTIL: 2000 L (PARA 5 CONTRIBUINTES). AF_12/2020</t>
  </si>
  <si>
    <t>TANQUE SÉPTICO RETANGULAR, EM ALVENARIA COM BLOCOS DE CONCRETO, DIMENSÕES INTERNAS: 1,2 X 2,4 X H=1,6 M, VOLUME ÚTIL: 3456 L (PARA 13 CONTRIBUINTES). AF_12/2020</t>
  </si>
  <si>
    <t>TANQUE SÉPTICO RETANGULAR, EM ALVENARIA COM BLOCOS DE CONCRETO, DIMENSÕES INTERNAS: 1,4 X 3,2 X H=1,8 M, VOLUME ÚTIL: 6272 L (PARA 32 CONTRIBUINTES). AF_12/2020</t>
  </si>
  <si>
    <t>TANQUE SÉPTICO RETANGULAR, EM ALVENARIA COM BLOCOS DE CONCRETO, DIMENSÕES INTERNAS: 1,6 X 4,4 X H=1,8 M, VOLUME ÚTIL: 9856 L (PARA 68 CONTRIBUINTES). AF_12/2020</t>
  </si>
  <si>
    <t>TANQUE SÉPTICO RETANGULAR, EM ALVENARIA COM BLOCOS DE CONCRETO, DIMENSÕES INTERNAS: 1,6 X 4,8 X H=2,0 M, VOLUME ÚTIL: 12288 L (PARA 86 CONTRIBUINTES). AF_12/2020</t>
  </si>
  <si>
    <t>TANQUE SÉPTICO RETANGULAR, EM ALVENARIA COM BLOCOS DE CONCRETO, DIMENSÕES INTERNAS: 1,6 X 4,6 X H=2,4 M, VOLUME ÚTIL: 14720 L (PARA 105 CONTRIBUINTES). AF_12/2020</t>
  </si>
  <si>
    <t>FILTRO ANAERÓBIO RETANGULAR, EM ALVENARIA COM BLOCOS DE CONCRETO, DIMENSÕES INTERNAS: 0,8 X 1,2 X H=1,67 M, VOLUME ÚTIL: 1152 L (PARA 5 CONTRIBUINTES). AF_12/2020</t>
  </si>
  <si>
    <t>FILTRO ANAERÓBIO RETANGULAR, EM ALVENARIA COM BLOCOS DE CONCRETO, DIMENSÕES INTERNAS: 1,2 X 1,8 X H=1,67 M, VOLUME ÚTIL: 2592 L (PARA 13 CONTRIBUINTES). AF_12/2020</t>
  </si>
  <si>
    <t>FILTRO ANAERÓBIO RETANGULAR, EM ALVENARIA COM BLOCOS DE CONCRETO, DIMENSÕES INTERNAS: 1,4 X 3,0 X H=1,67 M, VOLUME ÚTIL: 5040 L (PARA 32 CONTRIBUINTES). AF_12/2020</t>
  </si>
  <si>
    <t>FILTRO ANAERÓBIO RETANGULAR, EM ALVENARIA COM BLOCOS DE CONCRETO, DIMENSÕES INTERNAS: 1,4 X 4,2 X H=1,67 M, VOLUME ÚTIL: 7056 L (PARA 67 CONTRIBUINTES). AF_12/2020</t>
  </si>
  <si>
    <t>FILTRO ANAERÓBIO RETANGULAR, EM ALVENARIA COM BLOCOS DE CONCRETO, DIMENSÕES INTERNAS: 1,6 X 4,6 X H=1,67 M, VOLUME ÚTIL: 8832 L (PARA 84 CONTRIBUINTES). AF_12/2020</t>
  </si>
  <si>
    <t>FILTRO ANAERÓBIO RETANGULAR, EM ALVENARIA COM BLOCOS DE CONCRETO, DIMENSÕES INTERNAS: 1,6 X 5,6 X H=1,67 M, VOLUME ÚTIL: 10752 L (PARA 103 CONTRIBUINTES). AF_12/2020</t>
  </si>
  <si>
    <t>SUMIDOURO RETANGULAR, EM ALVENARIA COM BLOCOS DE CONCRETO, DIMENSÕES INTERNAS: 0,8 X 1,4 X H=3,0 M, ÁREA DE INFILTRAÇÃO: 13,2 M² (PARA 5 CONTRIBUINTES). AF_12/2020</t>
  </si>
  <si>
    <t>SUMIDOURO RETANGULAR, EM ALVENARIA COM BLOCOS DE CONCRETO, DIMENSÕES INTERNAS: 1,0 X 3,0 X H=3,0 M, ÁREA DE INFILTRAÇÃO: 25 M² (PARA 10 CONTRIBUINTES). AF_12/2020</t>
  </si>
  <si>
    <t>SUMIDOURO RETANGULAR, EM ALVENARIA COM BLOCOS DE CONCRETO, DIMENSÕES INTERNAS: 1,6 X 3,4 X H=3,0 M, ÁREA DE INFILTRAÇÃO: 32,9 M² (PARA 13 CONTRIBUINTES). . AF_12/2020</t>
  </si>
  <si>
    <t>SUMIDOURO RETANGULAR, EM ALVENARIA COM BLOCOS DE CONCRETO, DIMENSÕES INTERNAS: 1,6 X 5,8 X H=3,0 M, ÁREA DE INFILTRAÇÃO: 50 M² (PARA 20 CONTRIBUINTES). . AF_12/2020</t>
  </si>
  <si>
    <t>CAIXA DE GORDURA ESPECIAL (CAPACIDADE: 312 L - PARA ATÉ 146 PESSOAS SERVIDAS NO PICO), RETANGULAR, EM ALVENARIA COM BLOCOS DE CONCRETO, DIMENSÕES INTERNAS = 0,4X1,2 M, ALTURA INTERNA = 1 M. AF_12/2020</t>
  </si>
  <si>
    <t>CAIXA DE GORDURA PEQUENA (CAPACIDADE: 19 L), CIRCULAR, EM PVC, DIÂMETRO INTERNO= 0,3 M. AF_12/2020</t>
  </si>
  <si>
    <t>CAIXA DE INSPEÇÃO PARA ATERRAMENTO, CIRCULAR, EM POLIETILENO, DIÂMETRO INTERNO = 0,3 M. AF_12/2020</t>
  </si>
  <si>
    <t>TIL (TUBO DE INSPEÇÃO E LIMPEZA) CONDOMINIAL PARA ESGOTO, EM PVC, DN 100 X 100 MM. AF_12/2020</t>
  </si>
  <si>
    <t>TAMPA CIRCULAR PARA ESGOTO E DRENAGEM, EM FERRO FUNDIDO, DIÂMETRO INTERNO = 0,6 M. AF_12/2020</t>
  </si>
  <si>
    <t>TAMPA CIRCULAR PARA ESGOTO E DRENAGEM, EM CONCRETO PRÉ-MOLDADO, DIÂMETRO INTERNO = 0,60 M E ALTURA = 0,10 M. AF_12/2020</t>
  </si>
  <si>
    <t>REGISTRO DE PRESSÃO BRUTO, LATÃO, ROSCÁVEL, 1/2" - FORNECIMENTO E INSTALAÇÃO. AF_08/2021</t>
  </si>
  <si>
    <t>REGISTRO DE GAVETA BRUTO, LATÃO, ROSCÁVEL, 1/2" - FORNECIMENTO E INSTALAÇÃO. AF_08/2021</t>
  </si>
  <si>
    <t>REGISTRO DE GAVETA BRUTO, LATÃO, ROSCÁVEL, 3/4" - FORNECIMENTO E INSTALAÇÃO. AF_08/2021</t>
  </si>
  <si>
    <t>MISTURADOR MONOCOMANDO PARA CHUVEIRO, BASE BRUTA E ACABAMENTO CROMADO - FORNECIMENTO E INSTALAÇÃO. AF_08/2021</t>
  </si>
  <si>
    <t>REGISTRO DE PRESSÃO BRUTO, LATÃO, ROSCÁVEL, 1/2", COM ACABAMENTO E CANOPLA CROMADOS - FORNECIMENTO E INSTALAÇÃO. AF_08/2021</t>
  </si>
  <si>
    <t>REGISTRO DE PRESSÃO BRUTO, LATÃO, ROSCÁVEL, 3/4", COM ACABAMENTO E CANOPLA CROMADOS - FORNECIMENTO E INSTALAÇÃO. AF_08/2021</t>
  </si>
  <si>
    <t>REGISTRO DE GAVETA BRUTO, LATÃO, ROSCÁVEL, 1/2", COM ACABAMENTO E CANOPLA CROMADOS - FORNECIMENTO E INSTALAÇÃO. AF_08/2021</t>
  </si>
  <si>
    <t>REGISTRO DE GAVETA BRUTO, LATÃO, ROSCÁVEL, 3/4", COM ACABAMENTO E CANOPLA CROMADOS - FORNECIMENTO E INSTALAÇÃO. AF_08/2021</t>
  </si>
  <si>
    <t>REGISTRO DE ESFERA, PVC, ROSCÁVEL, COM VOLANTE, 3/4" - FORNECIMENTO E INSTALAÇÃO. AF_08/2021</t>
  </si>
  <si>
    <t>REGISTRO DE GAVETA BRUTO, LATÃO, ROSCÁVEL, 1" - FORNECIMENTO E INSTALAÇÃO. AF_08/2021</t>
  </si>
  <si>
    <t>REGISTRO DE GAVETA BRUTO, LATÃO, ROSCÁVEL, 1 1/4" - FORNECIMENTO E INSTALAÇÃO. AF_08/2021</t>
  </si>
  <si>
    <t>REGISTRO DE GAVETA BRUTO, LATÃO, ROSCÁVEL, 1 1/2" - FORNECIMENTO E INSTALAÇÃO. AF_08/2021</t>
  </si>
  <si>
    <t>REGISTRO DE GAVETA BRUTO, LATÃO, ROSCÁVEL, 2" - FORNECIMENTO E INSTALAÇÃO. AF_08/2021</t>
  </si>
  <si>
    <t>REGISTRO DE GAVETA BRUTO, LATÃO, ROSCÁVEL, 2 1/2" - FORNECIMENTO E INSTALAÇÃO. AF_08/2021</t>
  </si>
  <si>
    <t>REGISTRO DE GAVETA BRUTO, LATÃO, ROSCÁVEL, 3" - FORNECIMENTO E INSTALAÇÃO. AF_08/2021</t>
  </si>
  <si>
    <t>REGISTRO DE GAVETA BRUTO, LATÃO, ROSCÁVEL, 4" - FORNECIMENTO E INSTALAÇÃO. AF_08/2021</t>
  </si>
  <si>
    <t>REGISTRO DE GAVETA BRUTO, LATÃO, ROSCÁVEL, 1", COM ACABAMENTO E CANOPLA CROMADOS - FORNECIMENTO E INSTALAÇÃO. AF_08/2021</t>
  </si>
  <si>
    <t>REGISTRO DE GAVETA BRUTO, LATÃO, ROSCÁVEL, 1 1/4", COM ACABAMENTO E CANOPLA CROMADOS - FORNECIMENTO E INSTALAÇÃO. AF_08/2021</t>
  </si>
  <si>
    <t>REGISTRO DE GAVETA BRUTO, LATÃO, ROSCÁVEL, 1 1/2", COM ACABAMENTO E CANOPLA CROMADOS - FORNECIMENTO E INSTALAÇÃO. AF_08/2021</t>
  </si>
  <si>
    <t>TORNEIRA DE BOIA PARA CAIXA D'ÁGUA, ROSCÁVEL, 1/2" - FORNECIMENTO E INSTALAÇÃO. AF_08/2021</t>
  </si>
  <si>
    <t>TORNEIRA DE BOIA PARA CAIXA D'ÁGUA, ROSCÁVEL, 3/4" - FORNECIMENTO E INSTALAÇÃO. AF_08/2021</t>
  </si>
  <si>
    <t>TORNEIRA DE BOIA PARA CAIXA D'ÁGUA, ROSCÁVEL, 1" - FORNECIMENTO E INSTALAÇÃO. AF_08/2021</t>
  </si>
  <si>
    <t>TORNEIRA DE BOIA PARA CAIXA D'ÁGUA, ROSCÁVEL, 1 1/4" - FORNECIMENTO E INSTALAÇÃO. AF_08/2021</t>
  </si>
  <si>
    <t>TORNEIRA DE BOIA PARA CAIXA D'ÁGUA, ROSCÁVEL, 1 1/2" - FORNECIMENTO E INSTALAÇÃO. AF_08/2021</t>
  </si>
  <si>
    <t>TORNEIRA DE BOIA PARA CAIXA D'ÁGUA, ROSCÁVEL, 2" - FORNECIMENTO E INSTALAÇÃO. AF_08/2021</t>
  </si>
  <si>
    <t>VÁLVULA DE ESFERA BRUTA, BRONZE, ROSCÁVEL, 1/2" - FORNECIMENTO E INSTALAÇÃO. AF_08/2021</t>
  </si>
  <si>
    <t>VÁLVULA DE ESFERA BRUTA, BRONZE, ROSCÁVEL, 3/4'' - FORNECIMENTO E INSTALAÇÃO. AF_08/2021</t>
  </si>
  <si>
    <t>VÁLVULA DE ESFERA BRUTA, BRONZE, ROSCÁVEL, 1'' - FORNECIMENTO E INSTALAÇÃO. AF_08/2021</t>
  </si>
  <si>
    <t>VÁLVULA DE ESFERA BRUTA, BRONZE, ROSCÁVEL, 1 1/4'' - FORNECIMENTO E INSTALAÇÃO. AF_08/2021</t>
  </si>
  <si>
    <t>VÁLVULA DE ESFERA BRUTA, BRONZE, ROSCÁVEL, 1 1/2'' - FORNECIMENTO E INSTALAÇÃO. AF_08/2021</t>
  </si>
  <si>
    <t>VÁLVULA DE ESFERA BRUTA, BRONZE, ROSCÁVEL, 2'' - FORNECIMENTO E INSTALAÇÃO. AF_08/2021</t>
  </si>
  <si>
    <t>VÁLVULA DE RETENÇÃO HORIZONTAL, DE BRONZE, ROSCÁVEL, 3/4" - FORNECIMENTO E INSTALAÇÃO. AF_08/2021</t>
  </si>
  <si>
    <t>VÁLVULA DE RETENÇÃO HORIZONTAL, DE BRONZE, ROSCÁVEL, 1" - FORNECIMENTO E INSTALAÇÃO. AF_08/2021</t>
  </si>
  <si>
    <t>VÁLVULA DE RETENÇÃO HORIZONTAL, DE BRONZE, ROSCÁVEL, 1 1/4" - FORNECIMENTO E INSTALAÇÃO. AF_08/2021</t>
  </si>
  <si>
    <t>VÁLVULA DE RETENÇÃO HORIZONTAL, DE BRONZE, ROSCÁVEL, 2 1/2" - FORNECIMENTO E INSTALAÇÃO. AF_08/2021</t>
  </si>
  <si>
    <t>VÁLVULA DE RETENÇÃO HORIZONTAL, DE BRONZE, ROSCÁVEL, 3" - FORNECIMENTO E INSTALAÇÃO. AF_08/2021</t>
  </si>
  <si>
    <t>VÁLVULA DE RETENÇÃO HORIZONTAL, DE BRONZE, ROSCÁVEL, 4" - FORNECIMENTO E INSTALAÇÃO. AF_08/2021</t>
  </si>
  <si>
    <t>VÁLVULA DE RETENÇÃO VERTICAL, DE BRONZE, ROSCÁVEL, 1/2" - FORNECIMENTO E INSTALAÇÃO. AF_08/2021</t>
  </si>
  <si>
    <t>VÁLVULA DE RETENÇÃO VERTICAL, DE BRONZE, ROSCÁVEL, 3/4" - FORNECIMENTO E INSTALAÇÃO. AF_08/2021</t>
  </si>
  <si>
    <t>VÁLVULA DE RETENÇÃO VERTICAL, DE BRONZE, ROSCÁVEL, 1" - FORNECIMENTO E INSTALAÇÃO. AF_08/2021</t>
  </si>
  <si>
    <t>VÁLVULA DE RETENÇÃO VERTICAL, DE BRONZE, ROSCÁVEL, 1 1/4" - FORNECIMENTO E INSTALAÇÃO. AF_08/2021</t>
  </si>
  <si>
    <t>VÁLVULA DE RETENÇÃO VERTICAL, DE BRONZE, ROSCÁVEL, 1 1/2" - FORNECIMENTO E INSTALAÇÃO. AF_08/2021</t>
  </si>
  <si>
    <t>VÁLVULA DE RETENÇÃO VERTICAL, DE BRONZE, ROSCÁVEL, 2" - FORNECIMENTO E INSTALAÇÃO. AF_08/2021</t>
  </si>
  <si>
    <t>VÁLVULA DE RETENÇÃO VERTICAL, DE BRONZE, ROSCÁVEL, 3" - FORNECIMENTO E INSTALAÇÃO. AF_08/2021</t>
  </si>
  <si>
    <t>VÁLVULA DE RETENÇÃO VERTICAL, DE BRONZE, ROSCÁVEL, 4" - FORNECIMENTO E INSTALAÇÃO. AF_08/2021</t>
  </si>
  <si>
    <t>VÁLVULA DE DESCARGA METÁLICA, BASE 1 1/2", ACABAMENTO METALICO CROMADO - FORNECIMENTO E INSTALAÇÃO. AF_08/2021</t>
  </si>
  <si>
    <t>VÁLVULA DE RETENÇÃO HORIZONTAL, DE BRONZE, ROSCÁVEL, 1/2" - FORNECIMENTO E INSTALAÇÃO. AF_08/2021</t>
  </si>
  <si>
    <t>VÁLVULA DE RETENÇÃO VERTICAL, DE BRONZE, ROSCÁVEL, 2 1/2" - FORNECIMENTO E INSTALAÇÃO. AF_08/2021</t>
  </si>
  <si>
    <t>VÁLVULA DE RETENÇÃO, DE BRONZE, PÉ COM CRIVOS, ROSCÁVEL, 3/4" - FORNECIMENTO E INSTALAÇÃO. AF_08/2021</t>
  </si>
  <si>
    <t>VÁLVULA DE RETENÇÃO, DE BRONZE, PÉ COM CRIVOS, ROSCÁVEL, 1" - FORNECIMENTO E INSTALAÇÃO. AF_08/2021</t>
  </si>
  <si>
    <t>VÁLVULA DE RETENÇÃO, DE BRONZE, PÉ COM CRIVOS, ROSCÁVEL, 1 1/4" - FORNECIMENTO E INSTALAÇÃO. AF_08/2021</t>
  </si>
  <si>
    <t>VÁLVULA DE RETENÇÃO, DE BRONZE, PÉ COM CRIVOS, ROSCÁVEL, 1 1/2" - FORNECIMENTO E INSTALAÇÃO. AF_08/2021</t>
  </si>
  <si>
    <t>VÁLVULA DE RETENÇÃO, DE BRONZE, PÉ COM CRIVOS, ROSCÁVEL, 2" - FORNECIMENTO E INSTALAÇÃO. AF_08/2021</t>
  </si>
  <si>
    <t>VÁLVULA DE RETENÇÃO, DE BRONZE, PÉ COM CRIVOS, ROSCÁVEL, 2 1/2" - FORNECIMENTO E INSTALAÇÃO. AF_08/2021</t>
  </si>
  <si>
    <t>VÁLVULA DE RETENÇÃO, DE BRONZE, PÉ COM CRIVOS, ROSCÁVEL, 3" - FORNECIMENTO E INSTALAÇÃO. AF_08/2021</t>
  </si>
  <si>
    <t>VÁLVULA DE RETENÇÃO, DE BRONZE, PÉ COM CRIVOS, ROSCÁVEL, 4" - FORNECIMENTO E INSTALAÇÃO. AF_08/2021</t>
  </si>
  <si>
    <t>VÁLVULA DE DESCARGA METÁLICA, BASE 1 1/4", ACABAMENTO METALICO CROMADO - FORNECIMENTO E INSTALAÇÃO. AF_08/2021</t>
  </si>
  <si>
    <t>REGISTRO OU VÁLVULA GLOBO ANGULAR EM LATÃO, PARA HIDRANTES EM INSTALAÇÃO PREDIAL DE INCÊNDIO, 45 GRAUS, 2 1/2" - FORNECIMENTO E INSTALAÇÃO. AF_08/2021</t>
  </si>
  <si>
    <t>REGISTRO OU REGULADOR DE GÁS DE COZINHA - FORNECIMENTO E INSTALAÇÃO. AF_08/2021</t>
  </si>
  <si>
    <t>REGISTRO DE ESFERA, PVC, ROSCÁVEL, COM VOLANTE, 1/2" - FORNECIMENTO E INSTALAÇÃO. AF_08/2021</t>
  </si>
  <si>
    <t>REGISTRO DE ESFERA, PVC, ROSCÁVEL, COM VOLANTE, 1" - FORNECIMENTO E INSTALAÇÃO. AF_08/2021</t>
  </si>
  <si>
    <t>REGISTRO DE ESFERA, PVC, ROSCÁVEL, COM VOLANTE, 1 1/4" - FORNECIMENTO E INSTALAÇÃO. AF_08/2021</t>
  </si>
  <si>
    <t>REGISTRO DE ESFERA, PVC, ROSCÁVEL, COM VOLANTE, 1 1/2" - FORNECIMENTO E INSTALAÇÃO. AF_08/2021</t>
  </si>
  <si>
    <t>REGISTRO DE ESFERA, PVC, ROSCÁVEL, COM VOLANTE, 2" - FORNECIMENTO E INSTALAÇÃO. AF_08/2021</t>
  </si>
  <si>
    <t>REGISTRO DE ESFERA, PVC, ROSCÁVEL, COM BORBOLETA, 1/2" - FORNECIMENTO E INSTALAÇÃO. AF_08/2021</t>
  </si>
  <si>
    <t>REGISTRO DE ESFERA, PVC, ROSCÁVEL, COM BORBOLETA, 3/4" - FORNECIMENTO E INSTALAÇÃO. AF_08/2021</t>
  </si>
  <si>
    <t>REGISTRO DE ESFERA, PVC, ROSCÁVEL, COM CABEÇA QUADRADA, 1/2" - FORNECIMENTO E INSTALAÇÃO. AF_08/2021</t>
  </si>
  <si>
    <t>REGISTRO DE ESFERA, PVC, ROSCÁVEL, COM CABEÇA QUADRADA, 3/4" - FORNECIMENTO E INSTALAÇÃO. AF_08/2021</t>
  </si>
  <si>
    <t>REGISTRO DE PRESSÃO, PVC, ROSCÁVEL, VOLANTE SIMPLES, 1/2" - FORNECIMENTO E INSTALAÇÃO. AF_08/2021</t>
  </si>
  <si>
    <t>REGISTRO DE PRESSÃO, PVC, ROSCÁVEL, VOLANTE SIMPLES, 3/4" - FORNECIMENTO E INSTALAÇÃO. AF_08/2021</t>
  </si>
  <si>
    <t>TIL (TUBO DE INSPEÇÃO E LIMPEZA) RADIAL PARA ESGOTO, EM PVC, DN 300X200 MM. AF_12/2020</t>
  </si>
  <si>
    <t>CAIXA ENTERRADA RETENTORA DE AREIA RETANGULAR, EM ALVENARIA COM BLOCOS DE CONCRETO, DIMENSÕES INTERNAS: 1,00 X 1,00 X 1,20 M, EXCLUINDO TAMPÃO. AF_12/2020</t>
  </si>
  <si>
    <t>CAIXA ENTERRADA SEPARADORA DE ÓLEO RETANGULAR, EM ALVENARIA COM BLOCOS DE CONCRETO, DIMENSÕES INTERNAS: 0,6 X 0,6 X 1,00 M, EXCLUINDO TAMPÃO. AF_12/2020</t>
  </si>
  <si>
    <t>CAIXA ENTERRADA SEPARADORA DE ÓLEO RETANGULAR, EM ALVENARIA COM BLOCOS DE CONCRETO, DIMENSÕES INTERNAS: 0,8 X 0,8 X 1,00 M, EXCLUINDO TAMPÃO. AF_12/2020</t>
  </si>
  <si>
    <t>CAIXA ENTERRADA SEPARADORA DE ÓLEO RETANGULAR, EM ALVENARIA COM BLOCOS DE CONCRETO, DIMENSÕES INTERNAS: 1,00 X 1,00 X 1,00 M, EXCLUINDO TAMPÃO. AF_12/2020</t>
  </si>
  <si>
    <t>COLAR DE TOMADA, PVC, COM TRAVAS, DE 60 MM X 1/2" OU 60 MM X 3/4", PARA LIGAÇÃO PREDIAL DE ÁGUA. AF_06/2022</t>
  </si>
  <si>
    <t>COLAR DE TOMADA, PVC, COM TRAVAS, DE 75 MM X 1/2" OU 75 MM X 3/4", PARA LIGAÇÃO PREDIAL DE ÁGUA. AF_06/2022</t>
  </si>
  <si>
    <t>COLAR DE TOMADA, PVC, COM TRAVAS, DE 85 MM X 1/2" OU 85 MM X 3/4", PARA LIGAÇÃO PREDIAL DE ÁGUA. AF_06/2022</t>
  </si>
  <si>
    <t>COLAR DE TOMADA, PVC, COM TRAVAS, DE 110 MM X 1/2" OU 110 MM X 3/4", PARA LIGAÇÃO PREDIAL DE ÁGUA. AF_06/2022</t>
  </si>
  <si>
    <t>COLAR DE TOMADA, POLIPROPILENO, COM PARAFUSOS, 63 MM X 1/2", PARA LIGAÇÃO PREDIAL DE ÁGUA. AF_06/2022</t>
  </si>
  <si>
    <t>COLAR DE TOMADA, POLIPROPILENO, COM PARAFUSOS, 63 MM X 3/4", PARA LIGAÇÃO PREDIAL DE ÁGUA. AF_06/2022</t>
  </si>
  <si>
    <t>TÊ DE SERVIÇO INTEGRADO, POLIPROPILENO, PARA TUBOS EM PEAD, 63 MM X 20 MM, PARA LIGAÇÃO PREDIAL DE ÁGUA. AF_06/2022</t>
  </si>
  <si>
    <t>ADAPTADOR, POLIPROPILENO, PARA TUBOS EM PEAD, 20 MM X 1/2", PARA LIGAÇÃO PREDIAL DE ÁGUA. AF_06/2022</t>
  </si>
  <si>
    <t>ADAPTADOR, POLIPROPILENO, PARA TUBOS EM PEAD, 20 MM X 3/4", PARA LIGAÇÃO PREDIAL DE ÁGUA. AF_06/2022</t>
  </si>
  <si>
    <t>ADAPTADOR, POLIPROPILENO, PARA TUBOS EM PEAD, 32 MM X 1", PARA LIGAÇÃO PREDIAL DE ÁGUA. AF_06/2022</t>
  </si>
  <si>
    <t>COTOVELO/JOELHO COM ADAPTADOR, POLIPROPILENO, PARA TUBOS EM PEAD, 20 MM X 1/2", PARA LIGAÇÃO PREDIAL DE ÁGUA. AF_06/2022</t>
  </si>
  <si>
    <t>COTOVELO/JOELHO COM ADAPTADOR, POLIPROPILENO, PARA TUBOS EM PEAD, 20 MM X 3/4", PARA LIGAÇÃO PREDIAL DE ÁGUA. AF_06/2022</t>
  </si>
  <si>
    <t>COTOVELO/JOELHO COM ADAPTADOR, POLIPROPILENO, PARA TUBOS EM PEAD, 32 MM X 1", PARA LIGAÇÃO PREDIAL DE ÁGUA. AF_06/2022</t>
  </si>
  <si>
    <t>ADAPTADOR, PVC, CURTO COM BOLSA E ROSCA, 20 MM X 1/2", PARA LIGAÇÃO PREDIAL DE ÁGUA. AF_06/2022</t>
  </si>
  <si>
    <t>ADAPTADOR, PVC, CURTO COM BOLSA E ROSCA, 32 MM X 1", PARA LIGAÇÃO PREDIAL DE ÁGUA. AF_06/2022</t>
  </si>
  <si>
    <t>COTOVELO/JOELHO 90°, POLIPROPILENO, PARA TUBOS EM PEAD, 20 X 20 MM, PARA LIGAÇÃO PREDIAL DE ÁGUA. AF_06/2022</t>
  </si>
  <si>
    <t>COTOVELO/JOELHO 90°, POLIPROPILENO, PARA TUBOS EM PEAD, 32 X 32 MM, PARA LIGAÇÃO PREDIAL DE ÁGUA. AF_06/2022</t>
  </si>
  <si>
    <t>UNIÃO, POLIPROPILENO, PARA TUBOS EM PEAD, 20 MM, PARA LIGAÇÃO PREDIAL DE ÁGUA. AF_06/2022</t>
  </si>
  <si>
    <t>UNIÃO, POLIPROPILENO, PARA TUBOS EM PEAD, 32 MM, PARA LIGAÇÃO PREDIAL DE ÁGUA. AF_06/2022</t>
  </si>
  <si>
    <t>REGISTRO ESFERA, PVC, DE PASSEIO, PARA POLIETILENO, 20 MM, PARA LIGAÇÃO PREDIAL DE ÁGUA. AF_06/2022</t>
  </si>
  <si>
    <t>REGISTRO ESFERA, PVC, COM ROSCA, 1/2", PARA LIGAÇÃO PREDIAL DE ÁGUA. AF_06/2022</t>
  </si>
  <si>
    <t>LUVA, PVC, ROSCÁVEL, 1/2", PARA LIGAÇÃO PREDIAL DE ÁGUA. AF_06/2022</t>
  </si>
  <si>
    <t>LUVA, PVC, ROSCÁVEL, 1", PARA LIGAÇÃO PREDIAL DE ÁGUA. AF_06/2022</t>
  </si>
  <si>
    <t>TUBO, PEAD, PE-80, DE = 20 MM X 2,3 MM, PARA LIGAÇÃO PREDIAL DE ÁGUA. AF_06/2022</t>
  </si>
  <si>
    <t>TUBO, PEAD, PE-80, DE = 32 MM X 3,0 MM, PARA LIGAÇÃO PREDIAL DE ÁGUA. AF_06/2022</t>
  </si>
  <si>
    <t>CURVA LONGA, 90 GRAUS, PVC OCRE, JUNTA ELÁSTICA, DN 100 MM, PARA COLETOR PREDIAL DE ESGOTO. AF_06/2022</t>
  </si>
  <si>
    <t>CURVA LONGA, 45 GRAUS, PVC OCRE, JUNTA ELÁSTICA, DN 100 MM, PARA COLETOR PREDIAL DE ESGOTO. AF_06/2022</t>
  </si>
  <si>
    <t>CURVA LONGA, 90 GRAUS, PVC OCRE, JUNTA ELÁSTICA, DN 150 MM, PARA COLETOR PREDIAL DE ESGOTO. AF_06/2022</t>
  </si>
  <si>
    <t>CURVA LONGA, 45 GRAUS, PVC OCRE, JUNTA ELÁSTICA, DN 150 MM, PARA COLETOR PREDIAL DE ESGOTO. AF_06/2022</t>
  </si>
  <si>
    <t>TÊ, PVC OCRE, JUNTA ELÁSTICA, DN 200 MM, PARA COLETOR PREDIAL DE ESGOTO. AF_06/2022</t>
  </si>
  <si>
    <t>SELIM, PVC OCRE, COM TRAVA, DN 125 X 100 MM OU 150 X 100 MM, PARA COLETOR PREDIAL DE ESGOTO. AF_06/2022</t>
  </si>
  <si>
    <t>PLUG, PVC OCRE, JUNTA ELÁSTICA, DN 100 MM, PARA COLETOR PREDIAL DE ESGOTO. AF_06/2022</t>
  </si>
  <si>
    <t>PLUG, PVC OCRE, JUNTA ELÁSTICA, DN 150 MM, PARA COLETOR PREDIAL DE ESGOTO. AF_06/2022</t>
  </si>
  <si>
    <t>CAP, PVC OCRE, JUNTA ELÁSTICA, DN 150 MM, PARA COLETOR PREDIAL DE ESGOTO. AF_06/2022</t>
  </si>
  <si>
    <t>TUBO, PVC OCRE, JUNTA ELÁSTICA, DN 100 MM, PARA COLETOR PREDIAL DE ESGOTO. AF_06/2022</t>
  </si>
  <si>
    <t>TUBO, PVC OCRE, JUNTA ELÁSTICA, DN 150 MM, PARA COLETOR PREDIAL DE ESGOTO. AF_06/2022</t>
  </si>
  <si>
    <t>ESCAVAÇÃO HORIZONTAL EM SOLO DE 1A CATEGORIA COM TRATOR DE ESTEIRAS (100HP/LÂMINA: 2,19M3). AF_07/2020</t>
  </si>
  <si>
    <t>ESCAVAÇÃO HORIZONTAL EM SOLO DE 1A CATEGORIA COM TRATOR DE ESTEIRAS (150HP/LÂMINA: 3,18M3). AF_07/2020</t>
  </si>
  <si>
    <t>ESCAVAÇÃO HORIZONTAL EM SOLO DE 1A CATEGORIA COM TRATOR DE ESTEIRAS (170HP/LÂMINA: 5,20M3). AF_07/2020</t>
  </si>
  <si>
    <t>ESCAVAÇÃO HORIZONTAL EM SOLO DE 1A CATEGORIA COM TRATOR DE ESTEIRAS (347HP/LÂMINA: 8,70M3). AF_07/2020</t>
  </si>
  <si>
    <t>ESCAVAÇÃO HORIZONTAL EM SOLO DE 1A CATEGORIA COM TRATOR DE ESTEIRAS (125HP/LÂMINA: 2,70M3). AF_07/2020</t>
  </si>
  <si>
    <t>ESCAVAÇÃO HORIZONTAL, INCLUINDO ESCARIFICAÇÃO EM SOLO DE 2A CATEGORIA COM TRATOR DE ESTEIRAS (100HP/LÂMINA: 2,19M3). AF_07/2020</t>
  </si>
  <si>
    <t>ESCAVAÇÃO HORIZONTAL, INCLUINDO ESCARIFICAÇÃO EM SOLO DE 2A CATEGORIA COM TRATOR DE ESTEIRAS (150HP/LÂMINA: 3,18M3). AF_07/2020</t>
  </si>
  <si>
    <t>ESCAVAÇÃO HORIZONTAL, INCLUINDO ESCARIFICAÇÃO EM SOLO DE 2A CATEGORIA COM TRATOR DE ESTEIRAS (170HP/LÂMINA: 5,20M3). AF_07/2020</t>
  </si>
  <si>
    <t>ESCAVAÇÃO HORIZONTAL, INCLUINDO ESCARIFICAÇÃO EM SOLO DE 2A CATEGORIA COM TRATOR DE ESTEIRAS (347HP/LÂMINA: 8,70M3). AF_07/2020</t>
  </si>
  <si>
    <t>ESCAVAÇÃO HORIZONTAL, INCLUINDO ESCARIFICAÇÃO EM SOLO DE 2A CATEGORIA COM TRATOR DE ESTEIRAS (125HP/LÂMINA: 2,70M3). AF_07/2020</t>
  </si>
  <si>
    <t>ESCAVAÇÃO HORIZONTAL, INCLUINDO CARGA E DESCARGA EM SOLO DE 1A CATEGORIA COM TRATOR DE ESTEIRAS (100HP/LÂMINA: 2,19M3). AF_07/2020</t>
  </si>
  <si>
    <t>ESCAVAÇÃO HORIZONTAL, INCLUINDO CARGA E DESCARGA EM SOLO DE 1A CATEGORIA COM TRATOR DE ESTEIRAS (150HP/LÂMINA: 3,18M3). AF_07/2020</t>
  </si>
  <si>
    <t>ESCAVAÇÃO HORIZONTAL, INCLUINDO CARGA E DESCARGA EM SOLO DE 1A CATEGORIA COM TRATOR DE ESTEIRAS (170HP/LÂMINA: 5,20M3). AF_07/2020</t>
  </si>
  <si>
    <t>ESCAVAÇÃO HORIZONTAL, INCLUINDO CARGA E DESCARGA EM SOLO DE 1A CATEGORIA COM TRATOR DE ESTEIRAS (347HP/LÂMINA: 8,70M3). AF_07/2020</t>
  </si>
  <si>
    <t>ESCAVAÇÃO HORIZONTAL, INCLUINDO CARGA E DESCARGA EM SOLO DE 1A CATEGORIA COM TRATOR DE ESTEIRAS (125HP/LÂMINA: 2,70M3). AF_07/2020</t>
  </si>
  <si>
    <t>ESCAVAÇÃO HORIZONTAL, INCLUINDO ESCARIFICAÇÃO, CARGA E DESCARGA EM SOLO DE 2A CATEGORIA COM TRATOR DE ESTEIRAS (100HP/LÂMINA: 2,19M3). AF_07/2020</t>
  </si>
  <si>
    <t>ESCAVAÇÃO HORIZONTAL, INCLUINDO ESCARIFICAÇÃO, CARGA E DESCARGA EM SOLO DE 2A CATEGORIA COM TRATOR DE ESTEIRAS (150HP/LÂMINA: 3,18M3). AF_07/2020</t>
  </si>
  <si>
    <t>ESCAVAÇÃO HORIZONTAL, INCLUINDO ESCARIFICAÇÃO, CARGA E DESCARGA EM SOLO DE 2A CATEGORIA COM TRATOR DE ESTEIRAS (170HP/LÂMINA: 5,20M3). AF_07/2020</t>
  </si>
  <si>
    <t>ESCAVAÇÃO HORIZONTAL, INCLUINDO ESCARIFICAÇÃO, CARGA E DESCARGA EM SOLO DE 2A CATEGORIA COM TRATOR DE ESTEIRAS (347HP/LÂMINA: 8,70M3). AF_07/2020</t>
  </si>
  <si>
    <t>ESCAVAÇÃO HORIZONTAL, INCLUINDO ESCARIFICAÇÃO, CARGA E DESCARGA EM SOLO DE 2A CATEGORIA COM TRATOR DE ESTEIRAS (125HP/LÂMINA: 2,70M3). AF_07/2020</t>
  </si>
  <si>
    <t>ESCAVAÇÃO HORIZONTAL, INCLUINDO CARGA, DESCARGA E TRANSPORTE EM SOLO DE 1A CATEGORIA COM TRATOR DE ESTEIRAS (100HP/LÂMINA: 2,19M3) E CAMINHÃO BASCULANTE DE 10M3, DMT ATÉ 200M. AF_07/2020</t>
  </si>
  <si>
    <t>ESCAVAÇÃO HORIZONTAL, INCLUINDO CARGA, DESCARGA E TRANSPORTE EM SOLO DE 1A CATEGORIA COM TRATOR DE ESTEIRAS (150HP/LÂMINA: 3,18M3) E CAMINHÃO BASCULANTE DE 10M3, DMT ATÉ 200M AF_07/2020</t>
  </si>
  <si>
    <t>ESCAVAÇÃO HORIZONTAL, INCLUINDO CARGA, DESCARGA E TRANSPORTE EM SOLO DE 1A CATEGORIA COM TRATOR DE ESTEIRAS (170HP/LÂMINA: 5,20M3) E CAMINHÃO BASCULANTE DE 10M3, DMT ATÉ 200M. AF_07/2020</t>
  </si>
  <si>
    <t>ESCAVAÇÃO HORIZONTAL, INCLUINDO CARGA, DESCARGA E TRANSPORTE EM SOLO DE 1A CATEGORIA COM TRATOR DE ESTEIRAS (347HP/LÂMINA: 8,70M3) E CAMINHÃO BASCULANTE DE 10M3, DMT ATÉ 200M. AF_07/2020</t>
  </si>
  <si>
    <t>ESCAVAÇÃO HORIZONTAL, INCLUINDO CARGA, DESCARGA E TRANSPORTE EM SOLO DE 1A CATEGORIA COM TRATOR DE ESTEIRAS (125HP/LÂMINA: 2,70M3) E CAMINHÃO BASCULANTE DE 10M3, DMT ATÉ 200M. AF_07/2020</t>
  </si>
  <si>
    <t>ESCAVAÇÃO HORIZONTAL, INCLUINDO ESCARIFICAÇÃO, CARGA, DESCARGA E TRANSPORTE EM SOLO DE 2A CATEGORIA COM TRATOR DE ESTEIRAS (150HP/LÂMINA: 3,18M3) E CAMINHÃO BASCULANTE DE 10M3, DMT ATÉ 200M. AF_07/2020</t>
  </si>
  <si>
    <t>ESCAVAÇÃO HORIZONTAL, INCLUINDO ESCARIFICAÇÃO, CARGA, DESCARGA E TRANSPORTE EM SOLO DE 2A CATEGORIA COM TRATOR DE ESTEIRAS (170HP/LÂMINA: 5,20M3) E CAMINHÃO BASCULANTE DE 10M3, DMT ATÉ 200M. AF_07/2020</t>
  </si>
  <si>
    <t>ESCAVAÇÃO HORIZONTAL, INCLUINDO ESCARIFICAÇÃO, CARGA, DESCARGA E TRANSPORTE EM SOLO DE 2A CATEGORIA COM TRATOR DE ESTEIRAS (347HP/LÂMINA: 8,70M3) E CAMINHÃO BASCULANTE DE 10M3, DMT ATÉ 200M. AF_07/2020</t>
  </si>
  <si>
    <t>ESCAVAÇÃO HORIZONTAL, INCLUINDO ESCARIFICAÇÃO, CARGA, DESCARGA E TRANSPORTE EM SOLO DE 2A CATEGORIA COM TRATOR DE ESTEIRAS (125HP/LÂMINA: 2,70M3) E CAMINHÃO BASCULANTE DE 10M3, DMT ATÉ 200M. AF_07/2020</t>
  </si>
  <si>
    <t>ESCAVAÇÃO HORIZONTAL, INCLUINDO CARGA, DESCARGA E TRANSPORTE EM SOLO DE 1A CATEGORIA COM TRATOR DE ESTEIRAS (100HP/LÂMINA: 2,19M3) E CAMINHÃO BASCULANTE DE 14M3, DMT ATÉ 200M. AF_07/2020</t>
  </si>
  <si>
    <t>ESCAVAÇÃO HORIZONTAL, INCLUINDO CARGA, DESCARGA E TRANSPORTE EM SOLO DE 1A CATEGORIA COM TRATOR DE ESTEIRAS (150HP/LÂMINA: 3,18M3) E CAMINHÃO BASCULANTE DE 14M3, DMT ATÉ 200M. AF_07/2020</t>
  </si>
  <si>
    <t>ESCAVAÇÃO HORIZONTAL, INCLUINDO CARGA, DESCARGA E TRANSPORTE EM SOLO DE 1A CATEGORIA COM TRATOR DE ESTEIRAS (170HP/LÂMINA: 5,20M3) E CAMINHÃO BASCULANTE DE 14M3, DMT ATÉ 200M. AF_07/2020</t>
  </si>
  <si>
    <t>ESCAVAÇÃO HORIZONTAL, INCLUINDO CARGA, DESCARGA E TRANSPORTE EM SOLO DE 1A CATEGORIA COM TRATOR DE ESTEIRAS (347HP/LÂMINA: 8,70M3) E CAMINHÃO BASCULANTE DE 14M3, DMT ATÉ 200M. AF_07/2020</t>
  </si>
  <si>
    <t>ESCAVAÇÃO HORIZONTAL, INCLUINDO CARGA, DESCARGA E TRANSPORTE EM SOLO DE 1A CATEGORIA COM TRATOR DE ESTEIRAS (125HP/LÂMINA: 2,70M3) E CAMINHÃO BASCULANTE DE 14M3, DMT ATÉ 200M. AF_07/2020</t>
  </si>
  <si>
    <t>ESCAVAÇÃO HORIZONTAL, INCLUINDO ESCARIFICAÇÃO, CARGA, DESCARGA E TRANSPORTE EM SOLO DE 2A CATEGORIA COM TRATOR DE ESTEIRAS (100HP/LÂMINA: 2,19M3) E CAMINHÃO BASCULANTE DE 14M3, DMT ATÉ 200M. AF_07/2020</t>
  </si>
  <si>
    <t>ESCAVAÇÃO HORIZONTAL, INCLUINDO ESCARIFICAÇÃO, CARGA, DESCARGA E TRANSPORTE EM SOLO DE 2A CATEGORIA COM TRATOR DE ESTEIRAS (150HP/LÂMINA: 3,18M3) E CAMINHÃO BASCULANTE DE 14M3, DMT ATÉ 200M. AF_07/2020</t>
  </si>
  <si>
    <t>ESCAVAÇÃO HORIZONTAL, INCLUINDO ESCARIFICAÇÃO, CARGA, DESCARGA E TRANSPORTE EM SOLO DE 2A CATEGORIA COM TRATOR DE ESTEIRAS (170HP/LÂMINA: 5,20M3) E CAMINHÃO BASCULANTE DE 14M3, DMT ATÉ 200M. AF_07/2020</t>
  </si>
  <si>
    <t>ESCAVAÇÃO HORIZONTAL, INCLUINDO ESCARIFICAÇÃO, CARGA, DESCARGA E TRANSPORTE EM SOLO DE 2A CATEGORIA COM TRATOR DE ESTEIRAS (347HP/LÂMINA: 8,70M3) E CAMINHÃO BASCULANTE DE 14M3, DMT ATÉ 200M. AF_07/2020</t>
  </si>
  <si>
    <t>ESCAVAÇÃO HORIZONTAL, INCLUINDO ESCARIFICAÇÃO, CARGA, DESCARGA E TRANSPORTE EM SOLO DE 2A CATEGORIA COM TRATOR DE ESTEIRAS (125HP/LÂMINA: 2,70M3) E CAMINHÃO BASCULANTE DE 14M3, DMT ATÉ 200M. AF_07/2020</t>
  </si>
  <si>
    <t>ESCAVAÇÃO VERTICAL PARA EDIFICAÇÃO, COM CARGA, DESCARGA E TRANSPORTE DE SOLO DE 1ª CATEGORIA, COM ESCAVADEIRA HIDRÁULICA (CAÇAMBA: 0,8 M³ / 111 HP), FROTA DE 2 CAMINHÕES BASCULANTES DE 18 M³, DMT ATÉ 1 KM E VELOCIDADE MÉDIA 14 KM/H. AF_05/2020</t>
  </si>
  <si>
    <t>ESCAVAÇÃO VERTICAL PARA INFRAESTRUTURA, COM CARGA, DESCARGA E TRANSPORTE DE SOLO DE 1ª CATEGORIA, COM ESCAVADEIRA HIDRÁULICA (CAÇAMBA: 0,8 M³ / 111 HP), FROTA DE 3 CAMINHÕES BASCULANTES DE 14 M³, DMT ATÉ 1 KM E VELOCIDADE MÉDIA14 KM/H. AF_05/2020</t>
  </si>
  <si>
    <t>ESCAVAÇÃO VERTICAL PARA INFRAESTRUTURA, COM CARGA, DESCARGA E TRANSPORTE DE SOLO DE 1ª CATEGORIA, COM ESCAVADEIRA HIDRÁULICA (CAÇAMBA: 0,8 M³ / 111 HP), FROTA DE 3 CAMINHÕES BASCULANTES DE 18 M³, DMT ATÉ 1 KM E VELOCIDADE MÉDIA14 KM/H. AF_05/2020</t>
  </si>
  <si>
    <t>ESCAVAÇÃO VERTICAL PARA INFRAESTRUTURA, COM CARGA, DESCARGA E TRANSPORTE DE SOLO DE 1ª CATEGORIA, COM ESCAVADEIRA HIDRÁULICA (CAÇAMBA: 1,2 M³ / 155 HP), FROTA DE 3 CAMINHÕES BASCULANTES DE 14 M³, DMT ATÉ 1 KM E VELOCIDADE MÉDIA14 KM/H. AF_05/2020</t>
  </si>
  <si>
    <t>ESCAVAÇÃO VERTICAL PARA INFRAESTRUTURA, COM CARGA, DESCARGA E TRANSPORTE DE SOLO DE 1ª CATEGORIA, COM ESCAVADEIRA HIDRÁULICA (CAÇAMBA: 1,2 M³ / 155 HP), FROTA DE 3 CAMINHÕES BASCULANTES DE 18 M³, DMT ATÉ 1 KM E VELOCIDADE MÉDIA14 KM/H. AF_05/2020</t>
  </si>
  <si>
    <t>ESCAVAÇÃO VERTICAL PARA INFRAESTRUTURA, COM CARGA, DESCARGA E TRANSPORTE DE SOLO DE 1ª CATEGORIA, COM ESCAVADEIRA HIDRÁULICA (CAÇAMBA: 0,8 M³ / 111HP), FROTA DE 5 CAMINHÕES BASCULANTES DE 14 M³, DMT DE 1,5 KM E VELOCIDADE MÉDIA18 KM/H. AF_05/2020</t>
  </si>
  <si>
    <t>ESCAVAÇÃO VERTICAL PARA INFRAESTRUTURA, COM CARGA, DESCARGA E TRANSPORTE DE SOLO DE 1ª CATEGORIA, COM ESCAVADEIRA HIDRÁULICA (CAÇAMBA: 0,8 M³ / 111HP), FROTA DE 5 CAMINHÕES BASCULANTES DE 14 M³, DMT DE 2 KM E VELOCIDADE MÉDIA 19 KM/H. AF_05/2020</t>
  </si>
  <si>
    <t>ESCAVAÇÃO VERTICAL PARA INFRAESTRUTURA, COM CARGA, DESCARGA E TRANSPORTE DE SOLO DE 1ª CATEGORIA, COM ESCAVADEIRA HIDRÁULICA (CAÇAMBA: 0,8 M³ / 111HP), FROTA DE 6 CAMINHÕES BASCULANTES DE 14 M³, DMT DE 3 KM E VELOCIDADE MÉDIA 20 KM/H. AF_05/2020</t>
  </si>
  <si>
    <t>ESCAVAÇÃO VERTICAL PARA INFRAESTRUTURA, COM CARGA, DESCARGA E TRANSPORTE DE SOLO DE 1ª CATEGORIA, COM ESCAVADEIRA HIDRÁULICA (CAÇAMBA: 0,8 M³ / 111HP), FROTA DE 6 CAMINHÕES BASCULANTES DE 14 M³, DMT DE 4 KM E VELOCIDADE MÉDIA 22 KM/H. AF_05/2020</t>
  </si>
  <si>
    <t>ESCAVAÇÃO VERTICAL PARA INFRAESTRUTURA, COM CARGA, DESCARGA E TRANSPORTE DE SOLO DE 1ª CATEGORIA, COM ESCAVADEIRA HIDRÁULICA (CAÇAMBA: 0,8 M³ / 111HP), FROTA DE 8 CAMINHÕES BASCULANTES DE 14 M³, DMT DE 6 KM E VELOCIDADE MÉDIA 22 KM/H. AF_05/2020</t>
  </si>
  <si>
    <t>ESCAVAÇÃO VERTICAL PARA INFRAESTRUTURA, COM CARGA, DESCARGA E TRANSPORTE DE SOLO DE 1ª CATEGORIA, COM ESCAVADEIRA HIDRÁULICA (CAÇAMBA: 0,8 M³ / 111HP), FROTA DE 4 CAMINHÕES BASCULANTES DE 18 M³, DMT DE 1,5 KM E VELOCIDADE MÉDIA18 KM/H. AF_05/2020</t>
  </si>
  <si>
    <t>ESCAVAÇÃO VERTICAL PARA INFRAESTRUTURA, COM CARGA, DESCARGA E TRANSPORTE DE SOLO DE 1ª CATEGORIA, COM ESCAVADEIRA HIDRÁULICA (CAÇAMBA: 0,8 M³ / 111HP), FROTA DE 4 CAMINHÕES BASCULANTES DE 18 M³, DMT DE 2 KM E VELOCIDADE MÉDIA 19 KM/H. AF_05/2020</t>
  </si>
  <si>
    <t>ESCAVAÇÃO VERTICAL PARA INFRAESTRUTURA, COM CARGA, DESCARGA E TRANSPORTE DE SOLO DE 1ª CATEGORIA, COM ESCAVADEIRA HIDRÁULICA (CAÇAMBA: 0,8 M³ / 111HP), FROTA DE 5 CAMINHÕES BASCULANTES DE 18 M³, DMT DE 3 KM E VELOCIDADE MÉDIA 20 KM/H. AF_05/2020</t>
  </si>
  <si>
    <t>ESCAVAÇÃO VERTICAL PARA INFRAESTRUTURA, COM CARGA, DESCARGA E TRANSPORTE DE SOLO DE 1ª CATEGORIA, COM ESCAVADEIRA HIDRÁULICA (CAÇAMBA: 0,8 M³ / 111HP), FROTA DE 6 CAMINHÕES BASCULANTES DE 18 M³, DMT DE 4 KM E VELOCIDADE MÉDIA 22 KM/H. AF_05/2020</t>
  </si>
  <si>
    <t>ESCAVAÇÃO VERTICAL PARA INFRAESTRUTURA, COM CARGA, DESCARGA E TRANSPORTE DE SOLO DE 1ª CATEGORIA, COM ESCAVADEIRA HIDRÁULICA (CAÇAMBA: 0,8 M³ / 111HP), FROTA DE 7 CAMINHÕES BASCULANTES DE 18 M³, DMT DE 6 KM E VELOCIDADE MÉDIA 22 KM/H. AF_05/2020</t>
  </si>
  <si>
    <t>ESCAVAÇÃO VERTICAL PARA INFRAESTRUTURA, COM CARGA, DESCARGA E TRANSPORTE DE SOLO DE 1ª CATEGORIA, COM ESCAVADEIRA HIDRÁULICA (CAÇAMBA: 1,2M³ / 155HP), FROTA DE 6 CAMINHÕES BASCULANTES DE 14 M³, DMT DE 1,5 KM E VELOCIDADE MÉDIA18 KM/H. AF_05/2020</t>
  </si>
  <si>
    <t>ESCAVAÇÃO VERTICAL PARA INFRAESTRUTURA, COM CARGA, DESCARGA E TRANSPORTE DE SOLO DE 1ª CATEGORIA, COM ESCAVADEIRA HIDRÁULICA (CAÇAMBA: 1,2 M³ / 155HP), FROTA DE 6 CAMINHÕES BASCULANTES DE 14 M³, DMT DE 2 KM E VELOCIDADE MÉDIA 19 KM/H. AF_05/2020</t>
  </si>
  <si>
    <t>ESCAVAÇÃO VERTICAL PARA INFRAESTRUTURA, COM CARGA, DESCARGA E TRANSPORTE DE SOLO DE 1ª CATEGORIA, COM ESCAVADEIRA HIDRÁULICA (CAÇAMBA: 1,2 M³ / 155HP), FROTA DE 7 CAMINHÕES BASCULANTES DE 14 M³, DMT DE 3 KM E VELOCIDADE MÉDIA 20 KM/H. AF_05/2020</t>
  </si>
  <si>
    <t>ESCAVAÇÃO VERTICAL PARA INFRAESTRUTURA, COM CARGA, DESCARGA E TRANSPORTE DE SOLO DE 1ª CATEGORIA, COM ESCAVADEIRA HIDRÁULICA (CAÇAMBA: 1,2 M³ / 155HP), FROTA DE 8 CAMINHÕES BASCULANTES DE 14 M³, DMT DE 4 KM E VELOCIDADE MÉDIA 22 KM/H. AF_05/2020</t>
  </si>
  <si>
    <t>ESCAVAÇÃO VERTICAL PARA INFRAESTRUTURA, COM CARGA, DESCARGA E TRANSPORTE DE SOLO DE 1ª CATEGORIA, COM ESCAVADEIRA HIDRÁULICA (CAÇAMBA: 1,2 M³ / 155HP), FROTA DE 10 CAMINHÕES BASCULANTES DE 14 M³, DMT DE 6 KM E VELOCIDADE MÉDIA22 KM/H. AF_05/2020</t>
  </si>
  <si>
    <t>ESCAVAÇÃO VERTICAL PARA INFRAESTRUTURA, COM CARGA, DESCARGA E TRANSPORTE DE SOLO DE 1ª CATEGORIA, COM ESCAVADEIRA HIDRÁULICA (CAÇAMBA: 1,2 M³ / 155HP), FROTA DE 5 CAMINHÕES BASCULANTES DE 18 M³, DMT DE 1,5 KM E VELOCIDADE MÉDIA18 KM/H. AF_05/2020</t>
  </si>
  <si>
    <t>ESCAVAÇÃO VERTICAL PARA INFRAESTRUTURA, COM CARGA, DESCARGA E TRANSPORTE DE SOLO DE 1ª CATEGORIA, COM ESCAVADEIRA HIDRÁULICA (CAÇAMBA: 1,2 M³ / 155HP), FROTA DE 6 CAMINHÕES BASCULANTES DE 18 M³, DMT DE 2 KM E VELOCIDADE MÉDIA 19 KM/H. AF_05/2020</t>
  </si>
  <si>
    <t>ESCAVAÇÃO VERTICAL PARA INFRAESTRUTURA, COM CARGA, DESCARGA E TRANSPORTE DE SOLO DE 1ª CATEGORIA, COM ESCAVADEIRA HIDRÁULICA (CAÇAMBA: 1,2 M³ / 155HP), FROTA DE 6 CAMINHÕES BASCULANTES DE 18 M³, DMT DE 3 KM E VELOCIDADE MÉDIA 20 KM/H. AF_05/2020</t>
  </si>
  <si>
    <t>ESCAVAÇÃO VERTICAL PARA INFRAESTRUTURA, COM CARGA, DESCARGA E TRANSPORTE DE SOLO DE 1ª CATEGORIA, COM ESCAVADEIRA HIDRÁULICA (CAÇAMBA: 1,2 M³ / 155HP), FROTA DE 7 CAMINHÕES BASCULANTES DE 18 M³, DMT DE 4 KM E VELOCIDADE MÉDIA 22 KM/H. AF_05/2020</t>
  </si>
  <si>
    <t>ESCAVAÇÃO VERTICAL PARA INFRAESTRUTURA, COM CARGA, DESCARGA E TRANSPORTE DE SOLO DE 1ª CATEGORIA, COM ESCAVADEIRA HIDRÁULICA (CAÇAMBA: 1,2 M³ / 155HP), FROTA DE 9 CAMINHÕES BASCULANTES DE 18 M³, DMT DE 6 KM E VELOCIDADE MÉDIA 22 KM/H. AF_05/2020</t>
  </si>
  <si>
    <t>ESCAVAÇÃO VERTICAL PARA INFRAESTRUTURA, COM CARGA, DESCARGA E TRANSPORTE DE SOLO DE 1ª CATEGORIA, COM ESCAVADEIRA HIDRÁULICA (CAÇAMBA: 0,8 M³ / 111HP), FROTA DE 3 CAMINHÕES BASCULANTES DE 10 M³, DMT ATÉ 1 KM E VELOCIDADE MÉDIA14 KM/H. AF_05/2020</t>
  </si>
  <si>
    <t>ESCAVAÇÃO VERTICAL PARA INFRAESTRUTURA, COM CARGA, DESCARGA E TRANSPORTE DE SOLO DE 1ª CATEGORIA, COM ESCAVADEIRA HIDRÁULICA (CAÇAMBA: 1,2 M³ / 155HP), FROTA DE 4 CAMINHÕES BASCULANTES DE 10 M³, DMT ATÉ 1 KM E VELOCIDADE MÉDIA14 KM/H. AF_05/2020</t>
  </si>
  <si>
    <t>ESCAVAÇÃO VERTICAL PARA INFRAESTRUTURA, COM CARGA, DESCARGA E TRANSPORTE DE SOLO DE 1ª CATEGORIA, COM ESCAVADEIRA HIDRÁULICA (CAÇAMBA: 0,8 M³ / 111HP), FROTA DE 5 CAMINHÕES BASCULANTES DE 10 M³, DMT DE 1,5 KM E VELOCIDADE MÉDIA18 KM/H. AF_05/2020</t>
  </si>
  <si>
    <t>ESCAVAÇÃO VERTICAL PARA INFRAESTRUTURA, COM CARGA, DESCARGA E TRANSPORTE DE SOLO DE 1ª CATEGORIA, COM ESCAVADEIRA HIDRÁULICA (CAÇAMBA: 0,8 M³ / 111HP), FROTA DE 6 CAMINHÕES BASCULANTES DE 10 M³, DMT DE 2 KM E VELOCIDADE MÉDIA 19 KM/H. AF_05/2020</t>
  </si>
  <si>
    <t>ESCAVAÇÃO VERTICAL PARA INFRAESTRUTURA, COM CARGA, DESCARGA E TRANSPORTE DE SOLO DE 1ª CATEGORIA, COM ESCAVADEIRA HIDRÁULICA (CAÇAMBA: 0,8 M³ / 111HP), FROTA DE 7 CAMINHÕES BASCULANTES DE 10 M³, DMT DE 3 KM E VELOCIDADE MÉDIA 20 KM/H. AF_05/2020</t>
  </si>
  <si>
    <t>ESCAVAÇÃO VERTICAL PARA INFRAESTRUTURA, COM CARGA, DESCARGA E TRANSPORTE DE SOLO DE 1ª CATEGORIA, COM ESCAVADEIRA HIDRÁULICA (CAÇAMBA: 0,8 M³ / 111HP), FROTA DE 8 CAMINHÕES BASCULANTES DE 10 M³, DMT DE 4 KM E VELOCIDADE MÉDIA 22 KM/H. AF_05/2020</t>
  </si>
  <si>
    <t>ESCAVAÇÃO VERTICAL PARA INFRAESTRUTURA, COM CARGA, DESCARGA E TRANSPORTE DE SOLO DE 1ª CATEGORIA, COM ESCAVADEIRA HIDRÁULICA (CAÇAMBA: 0,8 M³ / 111HP), FROTA DE 10 CAMINHÕES BASCULANTES DE 10 M³, DMT DE 6 KM E VELOCIDADE MÉDIA22 KM/H. AF_05/2020</t>
  </si>
  <si>
    <t>ESCAVAÇÃO VERTICAL PARA INFRAESTRUTURA, COM CARGA, DESCARGA E TRANSPORTE DE SOLO DE 1ª CATEGORIA, COM ESCAVADEIRA HIDRÁULICA (CAÇAMBA: 1,2 M³ / 155HP), FROTA DE 6 CAMINHÕES BASCULANTES DE 10 M³, DMT DE 1,5 KM E VELOCIDADE MÉDIA18 KM/H. AF_05/2020</t>
  </si>
  <si>
    <t>ESCAVAÇÃO VERTICAL PARA INFRAESTRUTURA, COM CARGA, DESCARGA E TRANSPORTE DE SOLO DE 1ª CATEGORIA, COM ESCAVADEIRA HIDRÁULICA (CAÇAMBA: 1,2 M³ / 155HP), FROTA DE 7 CAMINHÕES BASCULANTES DE 10 M³, DMT DE 2 KM E VELOCIDADE MÉDIA 19 KM/H. AF_05/2020</t>
  </si>
  <si>
    <t>ESCAVAÇÃO VERTICAL PARA INFRAESTRUTURA, COM CARGA, DESCARGA E TRANSPORTE DE SOLO DE 1ª CATEGORIA, COM ESCAVADEIRA HIDRÁULICA (CAÇAMBA: 1,2 M³ / 155HP), FROTA DE 8 CAMINHÕES BASCULANTES DE 10 M³, DMT DE 3 KM E VELOCIDADE MÉDIA 20 KM/H. AF_05/2020</t>
  </si>
  <si>
    <t>ESCAVAÇÃO VERTICAL PARA INFRAESTRUTURA, COM CARGA, DESCARGA E TRANSPORTE DE SOLO DE 1ª CATEGORIA, COM ESCAVADEIRA HIDRÁULICA (CAÇAMBA: 1,2 M³ / 155HP), FROTA DE 9 CAMINHÕES BASCULANTES DE 10 M³, DMT DE 4 KM E VELOCIDADE MÉDIA 22 KM/H. AF_05/2020</t>
  </si>
  <si>
    <t>ESCAVAÇÃO VERTICAL PARA INFRAESTRUTURA, COM CARGA, DESCARGA E TRANSPORTE DE SOLO DE 1ª CATEGORIA, COM ESCAVADEIRA HIDRÁULICA (CAÇAMBA: 1,2 M³ / 155HP), FROTA DE 12 CAMINHÕES BASCULANTES DE 10 M³, DMT DE 6 KM E VELOCIDADE MÉDIA22 KM/H. AF_05/2020</t>
  </si>
  <si>
    <t>RETIRADA DE MATERIAL DE 3ª CATEGORIA (APÓS ESCAVAÇÃO/DESMONTE) EM VALAS, COM ESCAVADEIRA HIDRÁULICA - EXCLUSIVE CARGA E TRANSPORTE. AF_03/2021</t>
  </si>
  <si>
    <t>RETIRADA DE MATERIAL DE 3ª CATEGORIA (APÓS ESCAVAÇÃO/DESMONTE) EM VALAS, COM RETROESCAVADEIRA - EXCLUSIVE CARGA E TRANSPORTE. AF_03/2021</t>
  </si>
  <si>
    <t>TXKM</t>
  </si>
  <si>
    <t>ALVENARIA DE VEDAÇÃO DE BLOCOS CERÂMICOS MACIÇOS DE 5X10X20CM (ESPESSURA 10CM) E ARGAMASSA DE ASSENTAMENTO COM PREPARO EM BETONEIRA. AF_05/2020</t>
  </si>
  <si>
    <t>ALVENARIA DE VEDAÇÃO DE BLOCOS CERÂMICOS FURADOS NA VERTICAL DE 9X19X39 CM (ESPESSURA 9 CM) E ARGAMASSA DE ASSENTAMENTO COM PREPARO EM BETONEIRA. AF_12/2021</t>
  </si>
  <si>
    <t>ALVENARIA DE VEDAÇÃO DE BLOCOS CERÂMICOS FURADOS NA VERTICAL DE 9X19X39 CM (ESPESSURA 9 CM) E ARGAMASSA DE ASSENTAMENTO COM PREPARO MANUAL. AF_12/2021</t>
  </si>
  <si>
    <t>ALVENARIA DE VEDAÇÃO DE BLOCOS CERÂMICOS FURADOS NA VERTICAL DE 14X19X39 CM (ESPESSURA 14 CM) E ARGAMASSA DE ASSENTAMENTO COM PREPARO EM BETONEIRA. AF_12/2021</t>
  </si>
  <si>
    <t>ALVENARIA DE VEDAÇÃO DE BLOCOS CERÂMICOS FURADOS NA VERTICAL DE 14X19X39 CM (ESPESSURA 14 CM) E ARGAMASSA DE ASSENTAMENTO COM PREPARO MANUAL. AF_12/2021</t>
  </si>
  <si>
    <t>ALVENARIA DE VEDAÇÃO DE BLOCOS CERÂMICOS FURADOS NA VERTICAL DE 19X19X39 CM (ESPESSURA 19 CM) E ARGAMASSA DE ASSENTAMENTO COM PREPARO EM BETONEIRA. AF_12/2021</t>
  </si>
  <si>
    <t>ALVENARIA DE VEDAÇÃO DE BLOCOS CERÂMICOS FURADOS NA VERTICAL DE 19X19X39 CM (ESPESSURA 19 CM) E ARGAMASSA DE ASSENTAMENTO COM PREPARO MANUAL. AF_12/2021</t>
  </si>
  <si>
    <t>ALVENARIA DE VEDAÇÃO DE BLOCOS CERÂMICOS FURADOS NA HORIZONTAL DE 9X19X19 CM (ESPESSURA 9 CM) E ARGAMASSA DE ASSENTAMENTO COM PREPARO EM BETONEIRA. AF_12/2021</t>
  </si>
  <si>
    <t>ALVENARIA DE VEDAÇÃO DE BLOCOS CERÂMICOS FURADOS NA HORIZONTAL DE 9X19X19 CM (ESPESSURA 9 CM) E ARGAMASSA DE ASSENTAMENTO COM PREPARO MANUAL. AF_12/2021</t>
  </si>
  <si>
    <t>ALVENARIA DE VEDAÇÃO DE BLOCOS CERÂMICOS FURADOS NA HORIZONTAL DE 11,5X19X19 CM (ESPESSURA 11,5 CM) E ARGAMASSA DE ASSENTAMENTO COM PREPARO EM BETONEIRA. AF_12/2021</t>
  </si>
  <si>
    <t>ALVENARIA DE VEDAÇÃO DE BLOCOS CERÂMICOS FURADOS NA HORIZONTAL DE 11,5X19X19 CM (ESPESSURA 11,5 CM) E ARGAMASSA DE ASSENTAMENTO COM PREPARO MANUAL. AF_12/2021</t>
  </si>
  <si>
    <t>ALVENARIA DE VEDAÇÃO DE BLOCOS CERÂMICOS FURADOS NA HORIZONTAL DE 9X14X19 CM (ESPESSURA 9 CM) E ARGAMASSA DE ASSENTAMENTO COM PREPARO EM BETONEIRA. AF_12/2021</t>
  </si>
  <si>
    <t>ALVENARIA DE VEDAÇÃO DE BLOCOS CERÂMICOS FURADOS NA HORIZONTAL DE 9X14X19 CM (ESPESSURA 9 CM) E ARGAMASSA DE ASSENTAMENTO COM PREPARO MANUAL. AF_12/2021</t>
  </si>
  <si>
    <t>ALVENARIA DE VEDAÇÃO DE BLOCOS CERÂMICOS FURADOS NA HORIZONTAL DE 14X9X19 CM (ESPESSURA 14 CM, BLOCO DEITADO) E ARGAMASSA DE ASSENTAMENTO COM PREPARO EM BETONEIRA. AF_12/2021</t>
  </si>
  <si>
    <t>ALVENARIA DE VEDAÇÃO DE BLOCOS CERÂMICOS FURADOS NA HORIZONTAL DE 14X9X19 CM (ESPESSURA 14 CM, BLOCO DEITADO) E ARGAMASSA DE ASSENTAMENTO COM PREPARO MANUAL. AF_12/2021</t>
  </si>
  <si>
    <t>ALVENARIA DE VEDAÇÃO DE BLOCOS CERÂMICOS FURADOS NA HORIZONTAL DE 9X9X19 CM (ESPESSURA 9 CM) E ARGAMASSA DE ASSENTAMENTO COM PREPARO EM BETONEIRA. AF_12/2021</t>
  </si>
  <si>
    <t>ALVENARIA DE VEDAÇÃO DE BLOCOS CERÂMICOS FURADOS NA HORIZONTAL DE 9X9X19 CM (ESPESSURA 9 CM) E ARGAMASSA DE ASSENTAMENTO COM PREPARO MANUAL. AF_12/2021</t>
  </si>
  <si>
    <t>ALVENARIA DE VEDAÇÃO DE BLOCOS CERÂMICOS FURADOS NA HORIZONTAL DE 9X19X29 CM (ESPESSURA 9 CM) E ARGAMASSA DE ASSENTAMENTO COM PREPARO EM BETONEIRA. AF_12/2021</t>
  </si>
  <si>
    <t>ALVENARIA DE VEDAÇÃO DE BLOCOS CERÂMICOS FURADOS NA HORIZONTAL DE 9X19X29 CM (ESPESSURA 9 CM) E ARGAMASSA DE ASSENTAMENTO COM PREPARO MANUAL. AF_12/2021</t>
  </si>
  <si>
    <t>ALVENARIA ESTRUTURAL DE BLOCOS CERÂMICOS 14X19X39, (ESPESSURA DE 14 CM), UTILIZANDO PALHETA E ARGAMASSA DE ASSENTAMENTO COM PREPARO EM BETONEIRA. AF_03/2023</t>
  </si>
  <si>
    <t>ALVENARIA ESTRUTURAL DE BLOCOS CERÂMICOS 14X19X39, (ESPESSURA DE 14 CM), UTILIZANDO PALHETA E ARGAMASSA DE ASSENTAMENTO COM PREPARO MANUAL. AF_03/2023</t>
  </si>
  <si>
    <t>ALVENARIA ESTRUTURAL DE BLOCOS CERÂMICOS 14X19X29, (ESPESSURA DE 14 CM), UTILIZANDO PALHETA E ARGAMASSA DE ASSENTAMENTO COM PREPARO EM BETONEIRA. AF_03/2023</t>
  </si>
  <si>
    <t>ALVENARIA ESTRUTURAL DE BLOCOS CERÂMICOS 14X19X29, (ESPESSURA DE 14 CM), UTILIZANDO PALHETA E ARGAMASSA DE ASSENTAMENTO COM PREPARO MANUAL. AF_03/2023</t>
  </si>
  <si>
    <t>ALVENARIA ESTRUTURAL DE BLOCOS CERÂMICOS 14X19X39, (ESPESSURA DE 14 CM), UTILIZANDO COLHER DE PEDREIRO E ARGAMASSA DE ASSENTAMENTO COM PREPARO EM BETONEIRA. AF_03/2023</t>
  </si>
  <si>
    <t>ALVENARIA ESTRUTURAL DE BLOCOS CERÂMICOS 14X19X39, (ESPESSURA DE 14 CM), UTILIZANDO COLHER DE PEDREIRO E ARGAMASSA DE ASSENTAMENTO COM PREPARO MANUAL. AF_03/2023</t>
  </si>
  <si>
    <t>ALVENARIA ESTRUTURAL DE BLOCOS CERÂMICOS 14X19X29, (ESPESSURA DE 14 CM), UTILIZANDO COLHER DE PEDREIRO E ARGAMASSA DE ASSENTAMENTO COM PREPARO EM BETONEIRA. AF_03/2023</t>
  </si>
  <si>
    <t>ALVENARIA ESTRUTURAL DE BLOCOS CERÂMICOS 14X19X29, (ESPESSURA DE 14 CM), UTILIZANDO COLHER DE PEDREIRO E ARGAMASSA DE ASSENTAMENTO COM PREPARO MANUAL. AF_03/2023</t>
  </si>
  <si>
    <t>ALVENARIA DE VEDAÇÃO DE BLOCOS DE GESSO DE 7X50X66CM (ESPESSURA 7CM). AF_05/2020</t>
  </si>
  <si>
    <t>ALVENARIA DE VEDAÇÃO DE BLOCOS DE GESSO DE 10X50X66CM (ESPESSURA 10CM). AF_05/2020</t>
  </si>
  <si>
    <t>ALVENARIA DE VEDAÇÃO COM ELEMENTO VAZADO DE CERÂMICA (COBOGÓ) DE 7X20X20CM E ARGAMASSA DE ASSENTAMENTO COM PREPARO EM BETONEIRA. AF_05/2020</t>
  </si>
  <si>
    <t>ALVENARIA DE VEDAÇÃO DE BLOCOS VAZADOS DE CONCRETO DE 9X19X39 CM (ESPESSURA 9 CM) E ARGAMASSA DE ASSENTAMENTO COM PREPARO EM BETONEIRA. AF_12/2021</t>
  </si>
  <si>
    <t>ALVENARIA DE VEDAÇÃO DE BLOCOS VAZADOS DE CONCRETO DE 9X19X39 CM (ESPESSURA 9 CM) E ARGAMASSA DE ASSENTAMENTO COM PREPARO MANUAL. AF_12/2021</t>
  </si>
  <si>
    <t>ALVENARIA DE VEDAÇÃO DE BLOCOS VAZADOS DE CONCRETO DE 14X19X39 CM (ESPESSURA 14 CM) E ARGAMASSA DE ASSENTAMENTO COM PREPARO MANUAL. AF_12/2021</t>
  </si>
  <si>
    <t>ALVENARIA DE VEDAÇÃO DE BLOCOS VAZADOS DE CONCRETO DE 19X19X39 CM (ESPESSURA 19 CM) E ARGAMASSA DE ASSENTAMENTO COM PREPARO EM BETONEIRA. AF_12/2021</t>
  </si>
  <si>
    <t>ALVENARIA DE VEDAÇÃO DE BLOCOS VAZADOS DE CONCRETO DE 19X19X39 CM (ESPESSURA 19 CM) E ARGAMASSA DE ASSENTAMENTO COM PREPARO MANUAL. AF_12/2021</t>
  </si>
  <si>
    <t>ALVENARIA DE BLOCOS DE CONCRETO ESTRUTURAL 14X19X39 CM (ESPESSURA 14 CM), FBK = 4,5 MPA, UTILIZANDO PALHETA. AF_10/2022</t>
  </si>
  <si>
    <t>ALVENARIA DE BLOCOS DE CONCRETO ESTRUTURAL 14X19X39 CM (ESPESSURA 14 CM), FBK = 14 MPA, UTILIZANDO PALHETA. AF_10/2022</t>
  </si>
  <si>
    <t>ALVENARIA DE BLOCOS DE CONCRETO ESTRUTURAL 14X19X29 CM (ESPESSURA 14 CM), FBK = 4,5 MPA, UTILIZANDO PALHETA. AF_10/2022</t>
  </si>
  <si>
    <t>ALVENARIA DE BLOCOS DE CONCRETO ESTRUTURAL 14X19X29 CM (ESPESSURA 14 CM), FBK = 14,0 MPA, UTILIZANDO PALHETA. AF_10/2022</t>
  </si>
  <si>
    <t>ALVENARIA DE BLOCOS DE CONCRETO ESTRUTURAL 14X19X39 CM (ESPESSURA 14 CM), FBK = 4,5 MPA, UTILIZANDO COLHER DE PEDREIRO. AF_10/2022</t>
  </si>
  <si>
    <t>ALVENARIA DE BLOCOS DE CONCRETO ESTRUTURAL 14X19X39 CM (ESPESSURA 14 CM), FBK = 14 MPA, UTILIZANDO COLHER DE PEDREIRO. AF_10/2022</t>
  </si>
  <si>
    <t>ALVENARIA DE BLOCOS DE CONCRETO ESTRUTURAL 14X19X29 CM (ESPESSURA 14 CM), FBK = 4,5 MPA, UTILIZANDO COLHER DE PEDREIRO. AF_10/2022</t>
  </si>
  <si>
    <t>ALVENARIA DE BLOCOS DE CONCRETO ESTRUTURAL 14X19X29 CM (ESPESSURA 14 CM), FBK = 14 MPA, UTILIZANDO COLHER DE PEDREIRO. AF_10/2022</t>
  </si>
  <si>
    <t>ALVENARIA DE VEDAÇÃO COM ELEMENTO VAZADO DE CONCRETO (COBOGÓ) DE 7X50X50CM E ARGAMASSA DE ASSENTAMENTO COM PREPARO EM BETONEIRA. AF_05/2020</t>
  </si>
  <si>
    <t>ALVENARIA DE VEDAÇÃO COM BLOCO DE VIDRO VAZADO, TIPO VENEZIANA, DE 6X20X20CM E ARGAMASSA DE ASSENTAMENTO COM PREPARO EM BETONEIRA. AF_05/2020</t>
  </si>
  <si>
    <t>ALVENARIA DE VEDAÇÃO COM BLOCO DE VIDRO, TIPO CANELADO, DE 8X19X19CM E ARGAMASSA DE ASSENTAMENTO COM PREPARO EM BETONEIRA. AF_05/2020</t>
  </si>
  <si>
    <t>ALVENARIA DE VEDAÇÃO DE BLOCOS DE CONCRETO CELULAR DE 10X30X60CM (ESPESSURA 10CM) E ARGAMASSA DE ASSENTAMENTO COM PREPARO EM BETONEIRA. AF_05/2020</t>
  </si>
  <si>
    <t>ALVENARIA DE VEDAÇÃO DE BLOCOS DE CONCRETO CELULAR DE 15X30X60CM (ESPESSURA 15CM) E ARGAMASSA DE ASSENTAMENTO COM PREPARO EM BETONEIRA. AF_05/2020</t>
  </si>
  <si>
    <t>ALVENARIA DE VEDAÇÃO DE BLOCOS DE CONCRETO CELULAR DE 20X30X60CM (ESPESSURA 20CM) E ARGAMASSA DE ASSENTAMENTO COM PREPARO EM BETONEIRA. AF_05/2020</t>
  </si>
  <si>
    <t>RECOMPOSIÇÃO DE PAVIMENTOS EM PEDRA POLIÉDRICA, REJUNTAMENTO COM PÓ DE PEDRA, COM REAPROVEITAMENTO DAS PEDRAS POLIÉDRICAS PARA O FECHAMENTO DE VALAS - INCLUSO RETIRADA E COLOCAÇÃO DO MATERIAL. AF_12/2020</t>
  </si>
  <si>
    <t>RECOMPOSIÇÃO DE PAVIMENTO EM PEDRAS POLIÉDRICAS, REJUNTAMENTO COM ARGAMASSA, COM REAPROVEITAMENTO DAS PEDRAS POLIÉDRICAS, PARA O FECHAMENTO DE VALAS - INCLUSO RETIRADA E COLOCAÇÃO DO MATERIAL. AF_12/2020</t>
  </si>
  <si>
    <t>RECOMPOSIÇÃO DE PAVIMENTO EM PARALELEPÍPEDOS, REJUNTAMENTO COM PÓ DE PEDRA, COM REAPROVEITAMENTO DOS PARALELEPÍPEDOS, PARA O FECHAMENTO DE VALAS - INCLUSO RETIRADA E COLOCAÇÃO DO MATERIAL. AF_12/2020</t>
  </si>
  <si>
    <t>RECOMPOSIÇÃO DE PAVIMENTO EM PARALELEPÍPEDOS, REJUNTAMENTO COM ARGAMASSA, COM REAPROVEITAMENTO DOS PARALELEPÍPEDOS, PARA O FECHAMENTO DE VALAS - INCLUSO RETIRADA E COLOCAÇÃO DO MATERIAL. AF_12/2020</t>
  </si>
  <si>
    <t>RECOMPOSIÇÃO DE PAVIMENTO EM PISO INTERTRAVADO SEXTAVADO, COM REAPROVEITAMENTO DOS BLOCOS SEXTAVADO, PARA O FECHAMENTO DE VALAS - INCLUSO RETIRADA E COLOCAÇÃO DO MATERIAL. AF_12/2020</t>
  </si>
  <si>
    <t>RECOMPOSIÇÃO DE BASE E OU SUB-BASE PARA REMENDO PROFUNDO DE SOLOS DE COMPORTAMENTO LATERÍTICO (ARENOSO) - INCLUSO RETIRADA E COLOCAÇÃO DO MATERIAL. AF_12/2020</t>
  </si>
  <si>
    <t>RECOMPOSIÇÃO DE BASE E OU SUB-BASE PARA REMENDO PROFUNDO DE SOLO MELHORADO COM CIMENTO (TEOR DE 2%) - INCLUSO RETIRADA E COLOCAÇÃO DO MATERIAL. AF_12/2020</t>
  </si>
  <si>
    <t>RECOMPOSIÇÃO DE BASE E OU SUB-BASE PARA REMENDO PROFUNDO DE SOLO MELHORADO COM CIMENTO (TEOR DE 4%) - INCLUSO RETIRADA E COLOCAÇÃO DO MATERIAL. AF_12/2020</t>
  </si>
  <si>
    <t>RECOMPOSIÇÃO DE BASE E OU SUB-BASE PARA REMENDO PROFUNDO DE SOLO COM CIMENTO (TEOR DE 6%) - INCLUSO RETIRADA E COLOCAÇÃO DO MATERIAL. AF_12/2020</t>
  </si>
  <si>
    <t>RECOMPOSIÇÃO DE BASE E OU SUB-BASE PARA REMENDO PROFUNDO DE SOLO COM CIMENTO (TEOR DE 8%) - INCLUSO RETIRADA E COLOCAÇÃO DO MATERIAL. AF_12/2020</t>
  </si>
  <si>
    <t>RECOMPOSIÇÃO DE BASE E OU SUB-BASE PARA REMENDO PROFUNDO DE SOLO BRITA (40/60) - INCLUSO RETIRADA E COLOCAÇÃO DO MATERIAL. AF_12/2020</t>
  </si>
  <si>
    <t>RECOMPOSIÇÃO DE BASE E OU SUB-BASE PARA REMENDO PROFUNDO DE SOLO BRITA (50/50) - INCLUSO RETIRADA E COLOCAÇÃO DO MATERIAL. AF_12/2020</t>
  </si>
  <si>
    <t>RECOMPOSIÇÃO DE BASE E OU SUB-BASE PARA REMENDO PROFUNDO DE SOLO BRITA (40/60) COM CIMENTO (TEOR DE 4%) - INCLUSO RETIRADA E COLOCAÇÃO DO MATERIAL. AF_12/2020</t>
  </si>
  <si>
    <t>RECOMPOSIÇÃO DE BASE E OU SUB-BASE PARA REMENDO PROFUNDO DE SOLO BRITA (40/60) COM CIMENTO (TEOR DE 6%) - INCLUSO RETIRADA E COLOCAÇÃO DO MATERIAL. AF_12/2020</t>
  </si>
  <si>
    <t>RECOMPOSIÇÃO DE BASE E OU SUB-BASE PARA REMENDO PROFUNDO DE SOLO BRITA (40/60) COM CIMENTO (TEOR DE 8%) - INCLUSO RETIRADA E COLOCAÇÃO DO MATERIAL. AF_12/2020</t>
  </si>
  <si>
    <t>RECOMPOSIÇÃO DE BASE E OU SUB-BASE PARA REMENDO PROFUNDO DE SOLO BRITA (50/50) COM CIMENTO (TEOR DE 4%) - INCLUSO RETIRADA E COLOCAÇÃO DO MATERIAL. AF_12/2020</t>
  </si>
  <si>
    <t>RECOMPOSIÇÃO DE BASE E OU SUB-BASE PARA REMENDO PROFUNDO DE SOLO BRITA (50/50) COM CIMENTO (TEOR DE 6%) - INCLUSO RETIRADA E COLOCAÇÃO DO MATERIAL. AF_12/2020</t>
  </si>
  <si>
    <t>RECOMPOSIÇÃO DE BASE E OU SUB-BASE PARA REMENDO PROFUNDO DE SOLO BRITA (50/50) COM CIMENTO (TEOR DE 8%) - INCLUSO RETIRADA E COLOCAÇÃO DO MATERIAL. AF_12/2020</t>
  </si>
  <si>
    <t>RECOMPOSIÇÃO DE BASE E OU SUB-BASE PARA REMENDO PROFUNDO DE BRITA GRADUADA SIMPLES - INCLUSO RETIRADA E COLOCAÇÃO DO MATERIAL. AF_12/2020</t>
  </si>
  <si>
    <t>RECOMPOSIÇÃO DE BASE E OU SUB-BASE PARA FECHAMENTO DE VALAS DE SOLOS DE COMPORTAMENTO LATERÍTICO (ARENOSO) - INCLUSO RETIRADA E COLOCAÇÃO DO MATERIAL. AF_12/2020</t>
  </si>
  <si>
    <t>RECOMPOSIÇÃO DE BASE E OU SUB-BASE PARA FECHAMENTO DE VALAS DE SOLO MELHORADO COM CIMENTO (TEOR DE 2%) - INCLUSO RETIRADA E COLOCAÇÃO DO MATERIAL. AF_12/2020</t>
  </si>
  <si>
    <t>RECOMPOSIÇÃO DE BASE E OU SUB-BASE PARA FECHAMENTO DE VALAS DE SOLO MELHORADO COM CIMENTO (TEOR DE 4%) - INCLUSO RETIRADA E COLOCAÇÃO DO MATERIAL. AF_12/2020</t>
  </si>
  <si>
    <t>RECOMPOSIÇÃO DE BASE E OU SUB-BASE PARA FECHAMENTO DE VALAS DE SOLO COM CIMENTO (TEOR DE 6%) - INCLUSO RETIRADA E COLOCAÇÃO DO MATERIAL. AF_12/2020</t>
  </si>
  <si>
    <t>RECOMPOSIÇÃO DE BASE E OU SUB-BASE PARA FECHAMENTO DE VALAS DE SOLO COM CIMENTO (TEOR DE 8%) - INCLUSO RETIRADA E COLOCAÇÃO DO MATERIAL. AF_12/2020</t>
  </si>
  <si>
    <t>RECOMPOSIÇÃO DE BASE E OU SUB-BASE PARA FECHAMENTO DE VALAS DE SOLO BRITA (40/60) - INCLUSO RETIRADA E COLOCAÇÃO DO MATERIAL. AF_12/2020</t>
  </si>
  <si>
    <t>RECOMPOSIÇÃO DE BASE E OU SUB-BASE PARA FECHAMENTO DE VALAS DE SOLO BRITA (50/50) - INCLUSO RETIRADA E COLOCAÇÃO DO MATERIAL. AF_12/2020</t>
  </si>
  <si>
    <t>RECOMPOSIÇÃO DE BASE E OU SUB-BASE PARA FECHAMENTO DE VALAS DE SOLO BRITA (40/60) COM CIMENTO (TEOR DE 4%) - INCLUSO RETIRADA E COLOCAÇÃO DO MATERIAL. AF_12/2020</t>
  </si>
  <si>
    <t>RECOMPOSIÇÃO DE BASE E OU SUB-BASE PARA FECHAMENTO DE VALAS DE SOLO BRITA (40/60) COM CIMENTO (TEOR DE 6%) - INCLUSO RETIRADA E COLOCAÇÃO DO MATERIAL. AF_12/2020</t>
  </si>
  <si>
    <t>RECOMPOSIÇÃO DE BASE E OU SUB-BASE PARA FECHAMENTO DE VALAS DE SOLO BRITA (40/60) COM CIMENTO (TEOR DE 8%) - INCLUSO RETIRADA E COLOCAÇÃO DO MATERIAL. AF_12/2020</t>
  </si>
  <si>
    <t>RECOMPOSIÇÃO DE BASE E OU SUB-BASE PARA FECHAMENTO DE VALAS DE SOLO BRITA (50/50) COM CIMENTO (TEOR DE 4%) - INCLUSO RETIRADA E COLOCAÇÃO DO MATERIAL. AF_12/2020</t>
  </si>
  <si>
    <t>RECOMPOSIÇÃO DE BASE E OU SUB-BASE PARA FECHAMENTO DE VALAS DE SOLO BRITA (50/50) COM CIMENTO (TEOR DE 6%) - INCLUSO RETIRADA E COLOCAÇÃO DO MATERIAL. AF_12/2020</t>
  </si>
  <si>
    <t>RECOMPOSIÇÃO DE BASE E OU SUB-BASE PARA FECHAMENTO DE VALAS DE SOLO BRITA (50/50) COM CIMENTO (TEOR DE 8%) - INCLUSO RETIRADA E COLOCAÇÃO DO MATERIAL. AF_12/2020</t>
  </si>
  <si>
    <t>RECOMPOSIÇÃO DE BASE E OU SUB-BASE PARA FECHAMENTO DE VALAS DE BRITA GRADUADA SIMPLES - INCLUSO RETIRADA E COLOCAÇÃO DO MATERIAL. AF_12/2020</t>
  </si>
  <si>
    <t>REASSENTAMENTO DE PARALELEPÍPEDOS, REJUNTAMENTO COM PÓ DE PEDRA, COM REAPROVEITAMENTO DOS PARALELEPÍPEDOS - INCLUSO RETIRADA E COLOCAÇÃO DO MATERIAL. AF_12/2020</t>
  </si>
  <si>
    <t>REASSENTAMENTO DE PARALELEPÍPEDOS, REJUNTAMENTO COM ARGAMASSA, COM REAPROVEITAMENTO DOS PARALELEPÍPEDOS - INCLUSO RETIRADA E COLOCAÇÃO DO MATERIAL. AF_12/2020</t>
  </si>
  <si>
    <t>REASSENTAMENTO DE PEDRAS POLIÉDRICAS, REJUNTAMENTO COM ARGAMASSA, COM REAPROVEITAMENTO DAS PEDRAS POLIÉDRICAS - INCLUSO RETIRADA E COLOCAÇÃO DO MATERIAL. AF_12/2020</t>
  </si>
  <si>
    <t>REASSENTAMENTO DE BLOCOS PISOGRAMA PARA PISO INTERTRAVADO, COM REAPROVEITAMENTO DOS BLOCOS PISOGRAMA - INCLUSO RETIRADA E COLOCAÇÃO DO MATERIAL. AF_12/2020</t>
  </si>
  <si>
    <t>REASSENTAMENTO DE BLOCOS SEXTAVADO PARA PISO INTERTRAVADO, ESPESSURA DE 6 CM, EM CALÇADA, COM REAPROVEITAMENTO DOS BLOCOS SEXTAVADOS - INCLUSO RETIRADA E COLOCAÇÃO DO MATERIAL. AF_12/2020</t>
  </si>
  <si>
    <t>REASSENTAMENTO DE BLOCOS SEXTAVADO PARA PISO INTERTRAVADO, ESPESSURA DE 6 CM, EM VIA/ESTACIONAMENTO, COM REAPROVEITAMENTO DOS BLOCOS SEXTAVADO - INCLUSO RETIRADA E COLOCAÇÃO DO MATERIAL. AF_12/2020</t>
  </si>
  <si>
    <t>REASSENTAMENTO DE BLOCOS SEXTAVADO PARA PISO INTERTRAVADO, ESPESSURA DE 8 CM, EM VIA/ESTACIONAMENTO, COM REAPROVEITAMENTO DOS BLOCOS SEXTAVADO - INCLUSO RETIRADA E COLOCAÇÃO DO MATERIAL. AF_12/2020</t>
  </si>
  <si>
    <t>REASSENTAMENTO DE BLOCOS SEXTAVADO PARA PISO INTERTRAVADO, ESPESSURA DE 10 CM, EM VIA/ESTACIONAMENTO, COM REAPROVEITAMENTO DOS BLOCOS SEXTAVADO - INCLUSO RETIRADA E COLOCAÇÃO DO MATERIAL. AF_12/2020</t>
  </si>
  <si>
    <t>REASSENTAMENTO DE BLOCOS RETANGULAR PARA PISO INTERTRAVADO, ESPESSURA DE 6 CM, EM CALÇADA, COM REAPROVEITAMENTO DOS BLOCOS RETANGULAR - INCLUSO RETIRADA E COLOCAÇÃO DO MATERIAL. AF_12/2020</t>
  </si>
  <si>
    <t>REASSENTAMENTO DE BLOCOS RETANGULAR PARA PISO INTERTRAVADO, ESPESSURA DE 6 CM, EM VIA/ESTACIONAMENTO, COM REAPROVEITAMENTO DOS BLOCOS RETANGULAR - INCLUSO RETIRADA E COLOCAÇÃO DO MATERIAL. AF_12/2020</t>
  </si>
  <si>
    <t>REASSENTAMENTO DE BLOCOS RETANGULAR PARA PISO INTERTRAVADO, ESPESSURA DE 8 CM, EM VIA/ESTACIONAMENTO, COM REAPROVEITAMENTO DOS BLOCOS RETANGULAR - INCLUSO RETIRADA E COLOCAÇÃO DO MATERIAL. AF_12/2020</t>
  </si>
  <si>
    <t>REASSENTAMENTO DE BLOCOS RETANGULAR PARA PISO INTERTRAVADO, ESPESSURA DE 10 CM, EM VIA/ESTACIONAMENTO, COM REAPROVEITAMENTO DOS BLOCOS RETANGULAR - INCLUSO RETIRADA E COLOCAÇÃO DO MATERIAL. AF_12/2020</t>
  </si>
  <si>
    <t>REASSENTAMENTO DE BLOCOS 16 FACES PARA PISO INTERTRAVADO, ESPESSURA DE 6 CM, EM CALÇADA, COM REAPROVEITAMENTO DOS BLOCOS 16 FACES - INCLUSO RETIRADA E COLOCAÇÃO DO MATERIAL. AF_12/2020</t>
  </si>
  <si>
    <t>REASSENTAMENTO DE BLOCOS 16 FACES PARA PISO INTERTRAVADO, ESPESSURA DE 6 CM, EM VIA/ESTACIONAMENTO, COM REAPROVEITAMENTO DOS BLOCOS 16 FACES - INCLUSO RETIRADA E COLOCAÇÃO DO MATERIAL. AF_12/2020</t>
  </si>
  <si>
    <t>REASSENTAMENTO DE BLOCOS 16 FACES PARA PISO INTERTRAVADO, ESPESSURA DE 8 CM, EM VIA/ESTACIONAMENTO, COM REAPROVEITAMENTO DOS BLOCOS 16 FACES - INCLUSO RETIRADA E COLOCAÇÃO DO MATERIAL. AF_12/2020</t>
  </si>
  <si>
    <t>REASSENTAMENTO DE BLOCOS 16 FACES PARA PISO INTERTRAVADO, ESPESSURA DE 10 CM, EM VIA/ESTACIONAMENTO, COM REAPROVEITAMENTO DOS BLOCOS 16 FACES - INCLUSO RETIRADA E COLOCAÇÃO DO MATERIAL. AF_12/2020</t>
  </si>
  <si>
    <t>RECOMPOSIÇÃO DE REVESTIMENTO EM CONCRETO ASFÁLTICO (AQUISIÇÃO EM USINA), PARA O FECHAMENTO DE VALAS - INCLUSO DEMOLIÇÃO DO PAVIMENTO. AF_12/2020</t>
  </si>
  <si>
    <t>RECOMPOSIÇÃO DE PAVIMENTO EM PISO INTERTRAVADO, COM REAPROVEITAMENTO DOS BLOCOS INTERTRAVADOS, PARA FECHAMENTO DE VALAS - INCLUSO RETIRADA E COLOCAÇÃO DO MATERIAL. AF_12/2020</t>
  </si>
  <si>
    <t>EXECUÇÃO DE PAVIMENTO EM PISO INTERTRAVADO, COM BLOCO PISOGRAMA DE 35 X 15 CM, ESPESSURA 6 CM. AF_10/2022</t>
  </si>
  <si>
    <t>EXECUÇÃO DE PAVIMENTO EM PISO INTERTRAVADO, COM BLOCO PISOGRAMA DE 35 X 15 CM, ESPESSURA 8 CM. AF_10/2022</t>
  </si>
  <si>
    <t>EXECUÇÃO DE PAVIMENTO EM PISO INTERTRAVADO, COM BLOCO SEXTAVADO DE 25 X 25 CM, ESPESSURA 6 CM. AF_10/2022</t>
  </si>
  <si>
    <t>EXECUÇÃO DE PAVIMENTO EM PISO INTERTRAVADO, COM BLOCO SEXTAVADO DE 25 X 25 CM, ESPESSURA 8 CM. AF_10/2022</t>
  </si>
  <si>
    <t>EXECUÇÃO DE PAVIMENTO EM PISO INTERTRAVADO, COM BLOCO SEXTAVADO DE 25 X 25 CM, ESPESSURA 10 CM. AF_10/2022</t>
  </si>
  <si>
    <t>EXECUÇÃO DE PASSEIO EM PISO INTERTRAVADO, COM BLOCO RETANGULAR COR NATURAL DE 20 X 10 CM, ESPESSURA 6 CM. AF_10/2022</t>
  </si>
  <si>
    <t>EXECUÇÃO DE PAVIMENTO EM PISO INTERTRAVADO, COM BLOCO RETANGULAR COR NATURAL DE 20 X 10 CM, ESPESSURA 6 CM. AF_10/2022</t>
  </si>
  <si>
    <t>EXECUÇÃO DE PAVIMENTO EM PISO INTERTRAVADO, COM BLOCO RETANGULAR COR NATURAL DE 20 X 10 CM, ESPESSURA 8 CM. AF_10/2022</t>
  </si>
  <si>
    <t>EXECUÇÃO DE PAVIMENTO EM PISO INTERTRAVADO, COM BLOCO RETANGULAR DE 20 X 10 CM, ESPESSURA 10 CM. AF_10/2022</t>
  </si>
  <si>
    <t>EXECUÇÃO DE PASSEIO EM PISO INTERTRAVADO, COM BLOCO 16 FACES DE 22 X 11 CM, ESPESSURA 6 CM. AF_10/2022</t>
  </si>
  <si>
    <t>EXECUÇÃO DE PAVIMENTO EM PISO INTERTRAVADO, COM BLOCO 16 FACES DE 22 X 11 CM, ESPESSURA 6 CM. AF_10/2022</t>
  </si>
  <si>
    <t>EXECUÇÃO DE PAVIMENTO EM PISO INTERTRAVADO, COM BLOCO 16 FACES DE 22 X 11 CM, ESPESSURA 8 CM. AF_10/2022</t>
  </si>
  <si>
    <t>EXECUÇÃO DE PAVIMENTO EM PISO INTERTRAVADO, COM BLOCO 16 FACES DE 22 X 11 CM, ESPESSURA 10 CM. AF_10/2022</t>
  </si>
  <si>
    <t>EXECUÇÃO DE PASSEIO EM PISO INTERTRAVADO, COM BLOCO RETANGULAR COLORIDO DE 20 X 10 CM, ESPESSURA 6 CM. AF_10/2022</t>
  </si>
  <si>
    <t>EXECUÇÃO DE PAVIMENTO EM PISO INTERTRAVADO, COM BLOCO RETANGULAR COLORIDO DE 20 X 10 CM, ESPESSURA 6 CM. AF_10/2022</t>
  </si>
  <si>
    <t>EXECUÇÃO DE PAVIMENTO EM PISO INTERTRAVADO, COM BLOCO RETANGULAR COLORIDO DE 20 X 10 CM, ESPESSURA 8 CM. AF_10/2022</t>
  </si>
  <si>
    <t>EXECUÇÃO DE PAVIMENTO DE CONCRETO SIMPLES (PCS), FCK = 40 MPA, ESPESSURA DE 15,0 CM. AF_04/2022</t>
  </si>
  <si>
    <t>EXECUÇÃO DE PAVIMENTO DE CONCRETO SIMPLES (PCS), FCK = 40 MPA, ESPESSURA DE 17,5 CM. AF_04/2022</t>
  </si>
  <si>
    <t>EXECUÇÃO DE PAVIMENTO DE CONCRETO SIMPLES (PCS), FCK = 40 MPA, ESPESSURA DE 20,0 CM. AF_04/2022</t>
  </si>
  <si>
    <t>EXECUÇÃO DE PAVIMENTO DE CONCRETO SIMPLES (PCS), FCK = 40 MPA, ESPESSURA DE 22,5 CM. AF_04/2022</t>
  </si>
  <si>
    <t>EXECUÇÃO DE PAVIMENTO DE CONCRETO SIMPLES (PCS), FCK = 40 MPA, ESPESSURA DE 25,0 CM. AF_04/2022</t>
  </si>
  <si>
    <t>EXECUÇÃO DE PAVIMENTO DE CONCRETO SIMPLES (PCS), FCK = 40 MPA, ESPESSURA DE 27,5 CM. AF_04/2022</t>
  </si>
  <si>
    <t>EXECUÇÃO DE PAVIMENTO DE CONCRETO ARMADO (PCA), FCK = 30 MPA, ESPESSURA DE 15,0 CM. AF_04/2022</t>
  </si>
  <si>
    <t>EXECUÇÃO DE PAVIMENTO DE CONCRETO ARMADO (PCA), FCK = 30 MPA, ESPESSURA DE 17,5 CM. AF_04/2022</t>
  </si>
  <si>
    <t>APLICAÇÃO DE LONA PLÁSTICA PARA EXECUÇÃO DE PAVIMENTOS DE CONCRETO. AF_04/2022</t>
  </si>
  <si>
    <t>EXECUÇÃO DE JUNTAS DE CONTRAÇÃO PARA PAVIMENTOS DE CONCRETO. AF_04/2022</t>
  </si>
  <si>
    <t>APLICAÇÃO DE GRAXA EM BARRAS DE TRANSFERÊNCIA PARA EXECUÇÃO DE PAVIMENTO DE CONCRETO. AF_04/2022</t>
  </si>
  <si>
    <t>EXECUÇÃO DE PAVIMENTO EM PARALELEPÍPEDOS, REJUNTAMENTO COM PÓ DE PEDRA. AF_05/2020</t>
  </si>
  <si>
    <t>EXECUÇÃO DE PAVIMENTO EM PARALELEPÍPEDOS, REJUNTAMENTO COM ARGAMASSA TRAÇO 1:3 (CIMENTO E AREIA). AF_05/2020</t>
  </si>
  <si>
    <t>EXECUÇÃO DE PAVIMENTO EM PEDRAS POLIÉDRICAS, REJUNTAMENTO COM PÓ DE PEDRA. AF_05/2020</t>
  </si>
  <si>
    <t>EXECUÇÃO DE PAVIMENTO EM PEDRAS POLIÉDRICAS, REJUNTAMENTO COM ARGAMASSA TRAÇO 1:3 (CIMENTO E AREIA). AF_05/2020</t>
  </si>
  <si>
    <t>EXECUÇÃO DE PAVIMENTO DE CONCRETO SIMPLES (PCS), FCK = 35 MPA, ESPESSURA DE 15,0 CM. AF_04/2022</t>
  </si>
  <si>
    <t>EXECUÇÃO DE PAVIMENTO DE CONCRETO SIMPLES (PCS), FCK = 35 MPA, ESPESSURA DE 16,0 CM. AF_04/2022</t>
  </si>
  <si>
    <t>EXECUÇÃO DE PAVIMENTO DE CONCRETO SIMPLES (PCS), FCK = 40 MPA, ESPESSURA DE 16,0 CM. AF_04/2022</t>
  </si>
  <si>
    <t>EXECUÇÃO DE PAVIMENTO DE CONCRETO SIMPLES (PCS), FCK = 35 MPA, ESPESSURA DE 17,5 CM. AF_04/2022</t>
  </si>
  <si>
    <t>EXECUÇÃO PAVIMENTO DE CONCRETO SIMPLES (PCS), FCK = 35 MPA, ESPESSURA DE 20,0 CM. AF_04/2022</t>
  </si>
  <si>
    <t>EXECUÇÃO PAVIMENTO DE CONCRETO SIMPLES (PCS), FCK = 35 MPA, ESPESSURA DE 22,5 CM. AF_04/2022</t>
  </si>
  <si>
    <t>EXECUÇÃO DE PAVIMENTO DE CONCRETO SIMPLES (PCS), FCK = 35 MPA, ESPESSURA DE 25,0 CM. AF_04/2022</t>
  </si>
  <si>
    <t>EXECUÇÃO PAVIMENTO DE CONCRETO SIMPLES (PCS), FCK = 35 MPA, ESPESSURA DE 27,5 CM. AF_04/2022</t>
  </si>
  <si>
    <t>EXECUÇÃO DE PISO INDUSTRIAL DE CONCRETO ARMADO, FCK = 20 MPA, ESPESSURA DE 12,0 CM. AF_04/2022</t>
  </si>
  <si>
    <t>EXECUÇÃO DE PISO INDUSTRIAL DE CONCRETO ARMADO, FCK = 20 MPA, ESPESSURA DE 14,0 CM. AF_04/2022</t>
  </si>
  <si>
    <t>EXECUÇÃO DE PISO INDUSTRIAL DE CONCRETO ARMADO, FCK = 20 MPA, ESPESSURA DE 15,0 CM. AF_04/2022</t>
  </si>
  <si>
    <t>EXECUÇÃO DE PISO INDUSTRIAL DE CONCRETO ARMADO, FCK = 20 MPA, ESPESSURA DE 18,0 CM. AF_04/2022</t>
  </si>
  <si>
    <t>EXECUÇÃO DE PISO INDUSTRIAL DE CONCRETO ARMADO, FCK = 20 MPA, ESPESSURA DE 20,0 CM. AF_04/2022</t>
  </si>
  <si>
    <t>EXECUÇÃO DE PISO INDUSTRIAL DE CONCRETO ARMADO, FCK = 20 MPA, ESPESSURA DE 22,0 CM. AF_04/2022</t>
  </si>
  <si>
    <t>FORNECIMENTO E INSTALAÇÃO DE PLACA DE OBRA COM CHAPA GALVANIZADA E ESTRUTURA DE MADEIRA. AF_03/2022_PS</t>
  </si>
  <si>
    <t>FORNECIMENTO E INSTALAÇÃO DE SUPORTE DE MADEIRA PARA PLACAS DE SINALIZAÇÃO, EM SOLO, COM H= DE 2,0 M E SEÇÃO DE 7,5 X 7,5 CM. AF_03/2022</t>
  </si>
  <si>
    <t>FORNECIMENTO E INSTALAÇÃO DE SUPORTE DE MADEIRA PARA PLACAS DE SINALIZAÇÃO EM CONCRETO, COM H= DE 2,5 M E SEÇÃO DE 7,5 X 7,5 CM. AF_03/2022</t>
  </si>
  <si>
    <t>FORNECIMENTO E INSTALAÇÃO DE SUPORTE DE MADEIRA PARA PLACAS DE SINALIZAÇÃO, EM BASE DE CONCRETO, COM H= DE 2,0 M E SEÇÃO DE 7,5 X 7,5 CM. AF_03/2022</t>
  </si>
  <si>
    <t>FUNDO SELADOR ACRÍLICO, APLICAÇÃO MANUAL EM TETO, UMA DEMÃO. AF_04/2023</t>
  </si>
  <si>
    <t>FUNDO SELADOR ACRÍLICO, APLICAÇÃO MANUAL EM PAREDE, UMA DEMÃO. AF_04/2023</t>
  </si>
  <si>
    <t>PINTURA LÁTEX ACRÍLICA PREMIUM, APLICAÇÃO MANUAL EM TETO, DUAS DEMÃOS. AF_04/2023</t>
  </si>
  <si>
    <t>PINTURA LÁTEX ACRÍLICA PREMIUM, APLICAÇÃO MANUAL EM PAREDES, DUAS DEMÃOS. AF_04/2023</t>
  </si>
  <si>
    <t>EMASSAMENTO COM MASSA LÁTEX, APLICAÇÃO EM TETO, UMA DEMÃO, LIXAMENTO MANUAL. AF_04/2023</t>
  </si>
  <si>
    <t>EMASSAMENTO COM MASSA LÁTEX, APLICAÇÃO EM PAREDE, UMA DEMÃO, LIXAMENTO MANUAL. AF_04/2023</t>
  </si>
  <si>
    <t>EMASSAMENTO COM MASSA LÁTEX, APLICAÇÃO EM TETO, DUAS DEMÃOS, LIXAMENTO MANUAL. AF_04/2023</t>
  </si>
  <si>
    <t>EMASSAMENTO COM MASSA LÁTEX, APLICAÇÃO EM PAREDE, DUAS DEMÃOS, LIXAMENTO MANUAL. AF_04/2023</t>
  </si>
  <si>
    <t>TEXTURA ACRÍLICA, APLICAÇÃO MANUAL EM PAREDE, UMA DEMÃO. AF_04/2023</t>
  </si>
  <si>
    <t>TEXTURA ACRÍLICA, APLICAÇÃO MANUAL EM TETO, UMA DEMÃO. AF_04/2023</t>
  </si>
  <si>
    <t>PINTURA LÁTEX ACRÍLICA ECONÔMICA, APLICAÇÃO MANUAL EM TETO, DUAS DEMÃOS. AF_04/2023</t>
  </si>
  <si>
    <t>PINTURA LÁTEX ACRÍLICA STANDARD, APLICAÇÃO MANUAL EM TETO, DUAS DEMÃOS. AF_04/2023</t>
  </si>
  <si>
    <t>PINTURA LÁTEX ACRÍLICA ECONÔMICA, APLICAÇÃO MANUAL EM PAREDES, DUAS DEMÃOS. AF_04/2023</t>
  </si>
  <si>
    <t>PINTURA LÁTEX ACRÍLICA STANDARD, APLICAÇÃO MANUAL EM PAREDES, DUAS DEMÃOS. AF_04/2023</t>
  </si>
  <si>
    <t>LIXAMENTO DE MADEIRA PARA APLICAÇÃO DE FUNDO OU PINTURA. AF_01/2021</t>
  </si>
  <si>
    <t>LIXAMENTO DE MASSA PARA MADEIRA. AF_01/2021</t>
  </si>
  <si>
    <t>PINTURA FUNDO NIVELADOR ALQUÍDICO BRANCO EM MADEIRA. AF_01/2021</t>
  </si>
  <si>
    <t>APLICAÇÃO MASSA ALQUÍDICA PARA MADEIRA, PARA PINTURA COM TINTA DE ACABAMENTO (PIGMENTADA). AF_01/2021</t>
  </si>
  <si>
    <t>APLICAÇÃO MASSA ACRÍLICA PARA MADEIRA, PARA PINTURA COM TINTA DE ACABAMENTO (PIGMENTADA). AF_01/2021</t>
  </si>
  <si>
    <t>APLICAÇÃO MASSA EPÓXI PARA MADEIRA, PARA PINTURA COM TINTA PU DE ACABAMENTO (PIGMENTADA). AF_01/2021</t>
  </si>
  <si>
    <t>PINTURA VERNIZ (INCOLOR) ALQUÍDICO EM MADEIRA, USO INTERNO E EXTERNO, 1 DEMÃO. AF_01/2021</t>
  </si>
  <si>
    <t>PINTURA VERNIZ (INCOLOR) ALQUÍDICO EM MADEIRA, USO INTERNO, 1 DEMÃO. AF_01/2021</t>
  </si>
  <si>
    <t>PINTURA VERNIZ (INCOLOR) POLIURETÂNICO (RESINA ALQUÍDICA MODIFICADA) EM MADEIRA, 1 DEMÃO. AF_01/2021</t>
  </si>
  <si>
    <t>PINTURA TINTA DE ACABAMENTO (PIGMENTADA) A ÓLEO EM MADEIRA, 1 DEMÃO. AF_01/2021</t>
  </si>
  <si>
    <t>PINTURA TINTA DE ACABAMENTO (PIGMENTADA) ESMALTE SINTÉTICO FOSCO EM MADEIRA, 1 DEMÃO. AF_01/2021</t>
  </si>
  <si>
    <t>PINTURA TINTA DE ACABAMENTO (PIGMENTADA) ESMALTE SINTÉTICO ACETINADO EM MADEIRA, 1 DEMÃO. AF_01/2021</t>
  </si>
  <si>
    <t>PINTURA TINTA DE ACABAMENTO (PIGMENTADA) ESMALTE SINTÉTICO BRILHANTE EM MADEIRA, 1 DEMÃO. AF_01/2021</t>
  </si>
  <si>
    <t>PINTURA VERNIZ (INCOLOR) ALQUÍDICO EM MADEIRA, USO INTERNO E EXTERNO, 2 DEMÃOS. AF_01/2021</t>
  </si>
  <si>
    <t>PINTURA VERNIZ (INCOLOR) ALQUÍDICO EM MADEIRA, USO INTERNO, 2 DEMÃOS. AF_01/2021</t>
  </si>
  <si>
    <t>PINTURA VERNIZ (INCOLOR) POLIURETÂNICO (RESINA ALQUÍDICA MODIFICADA) EM MADEIRA, 2 DEMÃOS. AF_01/2021</t>
  </si>
  <si>
    <t>PINTURA TINTA DE ACABAMENTO (PIGMENTADA) A ÓLEO EM MADEIRA, 2 DEMÃOS. AF_01/2021</t>
  </si>
  <si>
    <t>PINTURA TINTA DE ACABAMENTO (PIGMENTADA) ESMALTE SINTÉTICO FOSCO EM MADEIRA, 2 DEMÃOS. AF_01/2021</t>
  </si>
  <si>
    <t>PINTURA TINTA DE ACABAMENTO (PIGMENTADA) ESMALTE SINTÉTICO ACETINADO EM MADEIRA, 2 DEMÃOS. AF_01/2021</t>
  </si>
  <si>
    <t>PINTURA TINTA DE ACABAMENTO (PIGMENTADA) ESMALTE SINTÉTICO BRILHANTE EM MADEIRA, 2 DEMÃOS. AF_01/2021</t>
  </si>
  <si>
    <t>PINTURA VERNIZ (INCOLOR) ALQUÍDICO EM MADEIRA, USO INTERNO E EXTERNO, 3 DEMÃOS. AF_01/2021</t>
  </si>
  <si>
    <t>PINTURA VERNIZ (INCOLOR) ALQUÍDICO EM MADEIRA, USO INTERNO, 3 DEMÃOS. AF_01/2021</t>
  </si>
  <si>
    <t>PINTURA VERNIZ (INCOLOR) POLIURETÂNICO (RESINA ALQUÍDICA MODIFICADA) EM MADEIRA, 3 DEMÃOS. AF_01/2021</t>
  </si>
  <si>
    <t>PINTURA TINTA DE ACABAMENTO (PIGMENTADA) A ÓLEO EM MADEIRA, 3 DEMÃOS. AF_01/2021</t>
  </si>
  <si>
    <t>PINTURA TINTA DE ACABAMENTO (PIGMENTADA) ESMALTE SINTÉTICO FOSCO EM MADEIRA, 3 DEMÃOS. AF_01/2021</t>
  </si>
  <si>
    <t>PINTURA TINTA DE ACABAMENTO (PIGMENTADA) ESMALTE SINTÉTICO ACETINADO EM MADEIRA, 3 DEMÃOS. AF_01/2021</t>
  </si>
  <si>
    <t>PINTURA TINTA DE ACABAMENTO (PIGMENTADA) ESMALTE SINTÉTICO BRILHANTE EM MADEIRA, 3 DEMÃOS. AF_01/2021</t>
  </si>
  <si>
    <t>PINTURA IMUNIZANTE PARA MADEIRA, 1 DEMÃO. AF_01/2021</t>
  </si>
  <si>
    <t>PINTURA IMUNIZANTE PARA MADEIRA, 2 DEMÃOS. AF_01/2021</t>
  </si>
  <si>
    <t>JATEAMENTO ABRASIVO COM GRANALHA DE AÇO EM PERFIL METÁLICO EM FÁBRICA. AF_01/2020</t>
  </si>
  <si>
    <t>LIXAMENTO MANUAL EM SUPERFÍCIES METÁLICAS EM OBRA. AF_01/2020</t>
  </si>
  <si>
    <t>COLOCAÇÃO DE FITA PROTETORA PARA PINTURA. AF_01/2020</t>
  </si>
  <si>
    <t>PINTURA COM TINTA ALQUÍDICA DE FUNDO (TIPO ZARCÃO) PULVERIZADA SOBRE PERFIL METÁLICO EXECUTADO EM FÁBRICA (POR DEMÃO). AF_01/2020_PE</t>
  </si>
  <si>
    <t>PINTURA COM TINTA ALQUÍDICA DE FUNDO (TIPO ZARCÃO) APLICADA A ROLO OU PINCEL SOBRE PERFIL METÁLICO EXECUTADO EM FÁBRICA (POR DEMÃO). AF_01/2020</t>
  </si>
  <si>
    <t>PINTURA COM TINTA ALQUÍDICA DE FUNDO (TIPO ZARCÃO) PULVERIZADA SOBRE SUPERFÍCIES METÁLICAS (EXCETO PERFIL) EXECUTADO EM OBRA (POR DEMÃO). AF_01/2020_PE</t>
  </si>
  <si>
    <t>PINTURA COM TINTA ALQUÍDICA DE FUNDO (TIPO ZARCÃO) APLICADA A ROLO OU PINCEL SOBRE SUPERFÍCIES METÁLICAS (EXCETO PERFIL) EXECUTADO EM OBRA (POR DEMÃO). AF_01/2020</t>
  </si>
  <si>
    <t>PINTURA COM TINTA ALQUÍDICA DE FUNDO E ACABAMENTO (ESMALTE SINTÉTICO GRAFITE) PULVERIZADA SOBRE PERFIL METÁLICO EXECUTADO EM FÁBRICA (POR DEMÃO). AF_01/2020_PE</t>
  </si>
  <si>
    <t>PINTURA COM TINTA ALQUÍDICA DE FUNDO E ACABAMENTO (ESMALTE SINTÉTICO GRAFITE) APLICADA A ROLO OU PINCEL SOBRE PERFIL METÁLICO EXECUTADO EM FÁBRICA (POR DEMÃO). AF_01/2020</t>
  </si>
  <si>
    <t>PINTURA COM TINTA ALQUÍDICA DE FUNDO E ACABAMENTO (ESMALTE SINTÉTICO GRAFITE) PULVERIZADA SOBRE SUPERFÍCIES METÁLICAS (EXCETO PERFIL) EXECUTADO EM OBRA (POR DEMÃO). AF_01/2020_PE</t>
  </si>
  <si>
    <t>PINTURA COM TINTA ALQUÍDICA DE FUNDO E ACABAMENTO (ESMALTE SINTÉTICO GRAFITE) APLICADA A ROLO OU PINCEL SOBRE SUPERFÍCIES METÁLICAS (EXCETO PERFIL) EXECUTADO EM OBRA (POR DEMÃO). AF_01/2020</t>
  </si>
  <si>
    <t>PINTURA COM TINTA EPOXÍDICA DE FUNDO PULVERIZADA SOBRE PERFIL METÁLICO EXECUTADO EM FÁBRICA (POR DEMÃO). AF_01/2020_PE</t>
  </si>
  <si>
    <t>PINTURA COM TINTA EPOXÍDICA DE FUNDO APLICADA A ROLO OU PINCEL SOBRE PERFIL METÁLICO EXECUTADO EM FÁBRICA (POR DEMÃO). AF_01/2020</t>
  </si>
  <si>
    <t>PINTURA COM TINTA EPOXÍDICA DE ACABAMENTO PULVERIZADA SOBRE PERFIL METÁLICO EXECUTADO EM FÁBRICA (POR DEMÃO). AF_01/2020_PE</t>
  </si>
  <si>
    <t>PINTURA COM TINTA EPOXÍDICA DE ACABAMENTO APLICADA A ROLO OU PINCEL SOBRE PERFIL METÁLICO EXECUTADO EM FÁBRICA (POR DEMÃO). AF_01/2020</t>
  </si>
  <si>
    <t>PINTURA COM TINTA ACRÍLICA DE FUNDO PULVERIZADA SOBRE SUPERFÍCIES METÁLICAS (EXCETO PERFIL) EXECUTADO EM OBRA (POR DEMÃO). AF_01/2020_PE</t>
  </si>
  <si>
    <t>PINTURA COM TINTA ACRÍLICA DE FUNDO APLICADA A ROLO OU PINCEL SOBRE SUPERFÍCIES METÁLICAS (EXCETO PERFIL) EXECUTADO EM OBRA (POR DEMÃO). AF_01/2020</t>
  </si>
  <si>
    <t>PINTURA COM TINTA ACRÍLICA DE ACABAMENTO PULVERIZADA SOBRE SUPERFÍCIES METÁLICAS (EXCETO PERFIL) EXECUTADO EM OBRA (POR DEMÃO). AF_01/2020_PE</t>
  </si>
  <si>
    <t>PINTURA COM TINTA ACRÍLICA DE ACABAMENTO APLICADA A ROLO OU PINCEL SOBRE SUPERFÍCIES METÁLICAS (EXCETO PERFIL) EXECUTADO EM OBRA (POR DEMÃO). AF_01/2020</t>
  </si>
  <si>
    <t>PINTURA COM TINTA ALQUÍDICA DE ACABAMENTO (ESMALTE SINTÉTICO ACETINADO) PULVERIZADA SOBRE PERFIL METÁLICO EXECUTADO EM FÁBRICA (POR DEMÃO). AF_01/2020_PE</t>
  </si>
  <si>
    <t>PINTURA COM TINTA ALQUÍDICA DE ACABAMENTO (ESMALTE SINTÉTICO ACETINADO) APLICADA A ROLO OU PINCEL SOBRE PERFIL METÁLICO EXECUTADO EM FÁBRICA (POR DEMÃO). AF_01/2020</t>
  </si>
  <si>
    <t>PINTURA COM TINTA ALQUÍDICA DE ACABAMENTO (ESMALTE SINTÉTICO ACETINADO) PULVERIZADA SOBRE SUPERFÍCIES METÁLICAS (EXCETO PERFIL) EXECUTADO EM OBRA (POR DEMÃO). AF_01/2020_PE</t>
  </si>
  <si>
    <t>PINTURA COM TINTA ALQUÍDICA DE ACABAMENTO (ESMALTE SINTÉTICO ACETINADO) APLICADA A ROLO OU PINCEL SOBRE SUPERFÍCIES METÁLICAS (EXCETO PERFIL) EXECUTADO EM OBRA (POR DEMÃO). AF_01/2020</t>
  </si>
  <si>
    <t>PINTURA COM TINTA ALQUÍDICA DE ACABAMENTO (ESMALTE SINTÉTICO BRILHANTE) APLICADA A ROLO OU PINCEL SOBRE PERFIL METÁLICO EXECUTADO EM FÁBRICA (POR DEMÃO). AF_01/2020</t>
  </si>
  <si>
    <t>PINTURA COM TINTA ALQUÍDICA DE ACABAMENTO (ESMALTE SINTÉTICO BRILHANTE) APLICADA A ROLO OU PINCEL SOBRE SUPERFÍCIES METÁLICAS (EXCETO PERFIL) EXECUTADO EM OBRA (POR DEMÃO). AF_01/2020</t>
  </si>
  <si>
    <t>PINTURA COM TINTA ALQUÍDICA DE ACABAMENTO (ESMALTE SINTÉTICO FOSCO) PULVERIZADA SOBRE PERFIL METÁLICO EXECUTADO EM FÁBRICA (POR DEMÃO). AF_01/2020_PE</t>
  </si>
  <si>
    <t>PINTURA COM TINTA ALQUÍDICA DE ACABAMENTO (ESMALTE SINTÉTICO FOSCO) APLICADA A ROLO OU PINCEL SOBRE PERFIL METÁLICO EXECUTADO EM FÁBRICA (POR DEMÃO). AF_01/2020</t>
  </si>
  <si>
    <t>PINTURA COM TINTA ALQUÍDICA DE ACABAMENTO (ESMALTE SINTÉTICO FOSCO) PULVERIZADA SOBRE SUPERFÍCIES METÁLICAS (EXCETO PERFIL) EXECUTADO EM OBRA (POR DEMÃO). AF_01/2020_PE</t>
  </si>
  <si>
    <t>PINTURA COM TINTA ALQUÍDICA DE ACABAMENTO (ESMALTE SINTÉTICO FOSCO) APLICADA A ROLO OU PINCEL SOBRE SUPERFÍCIES METÁLICAS (EXCETO PERFIL) EXECUTADO EM OBRA (POR DEMÃO). AF_01/2020</t>
  </si>
  <si>
    <t>PINTURA COM TINTA EPOXÍDICA DE ACABAMENTO PULVERIZADA SOBRE PERFIL METÁLICO EXECUTADO EM FÁBRICA (02 DEMÃOS). AF_01/2020_PE</t>
  </si>
  <si>
    <t>PINTURA COM TINTA EPOXÍDICA DE ACABAMENTO APLICADA A ROLO OU PINCEL SOBRE PERFIL METÁLICO EXECUTADO EM FÁBRICA (02 DEMÃOS). AF_01/2020</t>
  </si>
  <si>
    <t>PINTURA COM TINTA ACRÍLICA DE ACABAMENTO PULVERIZADA SOBRE SUPERFÍCIES METÁLICAS (EXCETO PERFIL) EXECUTADO EM OBRA (02 DEMÃOS). AF_01/2020_PE</t>
  </si>
  <si>
    <t>PINTURA COM TINTA ACRÍLICA DE ACABAMENTO APLICADA A ROLO OU PINCEL SOBRE SUPERFÍCIES METÁLICAS (EXCETO PERFIL) EXECUTADO EM OBRA (02 DEMÃOS). AF_01/2020</t>
  </si>
  <si>
    <t>PINTURA COM TINTA ALQUÍDICA DE ACABAMENTO (ESMALTE SINTÉTICO ACETINADO) PULVERIZADA SOBRE SUPERFÍCIES METÁLICAS (EXCETO PERFIL) EXECUTADO EM OBRA (02 DEMÃOS). AF_01/2020_PE</t>
  </si>
  <si>
    <t>PINTURA COM TINTA ALQUÍDICA DE ACABAMENTO (ESMALTE SINTÉTICO ACETINADO) APLICADA A ROLO OU PINCEL SOBRE SUPERFÍCIES METÁLICAS (EXCETO PERFIL) EXECUTADO EM OBRA (02 DEMÃOS). AF_01/2020</t>
  </si>
  <si>
    <t>PINTURA COM TINTA ALQUÍDICA DE ACABAMENTO (ESMALTE SINTÉTICO BRILHANTE) PULVERIZADA SOBRE SUPERFÍCIES METÁLICAS (EXCETO PERFIL) EXECUTADO EM OBRA (02 DEMÃOS). AF_01/2020_PE</t>
  </si>
  <si>
    <t>PINTURA COM TINTA ALQUÍDICA DE ACABAMENTO (ESMALTE SINTÉTICO BRILHANTE) APLICADA A ROLO OU PINCEL SOBRE SUPERFÍCIES METÁLICAS (EXCETO PERFIL) EXECUTADO EM OBRA (02 DEMÃOS). AF_01/2020</t>
  </si>
  <si>
    <t>PINTURA COM TINTA ALQUÍDICA DE ACABAMENTO (ESMALTE SINTÉTICO FOSCO) PULVERIZADA SOBRE SUPERFÍCIES METÁLICAS (EXCETO PERFIL) EXECUTADO EM OBRA (02 DEMÃOS). AF_01/2020_PE</t>
  </si>
  <si>
    <t>PINTURA COM TINTA ALQUÍDICA DE ACABAMENTO (ESMALTE SINTÉTICO FOSCO) APLICADA A ROLO OU PINCEL SOBRE SUPERFÍCIES METÁLICAS (EXCETO PERFIL) EXECUTADO EM OBRA (02 DEMÃOS). AF_01/2020</t>
  </si>
  <si>
    <t>PREPARO DO PISO CIMENTADO PARA PINTURA - LIXAMENTO E LIMPEZA. AF_05/2021</t>
  </si>
  <si>
    <t>PINTURA HIDROFUGANTE COM SILICONE, APLICAÇÃO MANUAL, 2 DEMÃOS. AF_05/2021</t>
  </si>
  <si>
    <t>PINTURA DE PISO COM TINTA ACRÍLICA, APLICAÇÃO MANUAL, 2 DEMÃOS, INCLUSO FUNDO PREPARADOR. AF_05/2021</t>
  </si>
  <si>
    <t>PINTURA DE PISO COM TINTA ACRÍLICA, APLICAÇÃO MANUAL, 3 DEMÃOS, INCLUSO FUNDO PREPARADOR. AF_05/2021</t>
  </si>
  <si>
    <t>PINTURA DE PISO COM TINTA EPÓXI, APLICAÇÃO MANUAL, 2 DEMÃOS, INCLUSO PRIMER EPÓXI. AF_05/2021</t>
  </si>
  <si>
    <t>PINTURA DE RODAPÉ COM TINTA EPÓXI, APLICAÇÃO MANUAL, 2 DEMÃOS, INCLUSÃO PRIMER EPÓXI. AF_05/2021</t>
  </si>
  <si>
    <t>PINTURA DE RODAPÉ EM PEDRA DECORATIVA COM VERNIZ DE POLIURETANO, APLICAÇÃO MANUAL, 3 DEMÃOS. AF_05/2021</t>
  </si>
  <si>
    <t>PINTURA DE MEIO-FIO COM TINTA BRANCA A BASE DE CAL (CAIAÇÃO). AF_05/2021</t>
  </si>
  <si>
    <t>ENCERAMENTO DE PISO EM MADEIRA. AF_05/2021</t>
  </si>
  <si>
    <t>PINTURA DE DEMARCAÇÃO DE VAGA COM TINTA ACRÍLICA, E = 10 CM, APLICAÇÃO MANUAL. AF_05/2021</t>
  </si>
  <si>
    <t>PINTURA DE DEMARCAÇÃO DE QUADRA POLIESPORTIVA COM TINTA ACRÍLICA, E = 5 CM, APLICAÇÃO MANUAL. AF_05/2021</t>
  </si>
  <si>
    <t>PINTURA DE DEMARCAÇÃO DE QUADRA POLIESPORTIVA COM BORRACHA CLORADA, E = 5 CM, APLICAÇÃO MANUAL. AF_05/2021</t>
  </si>
  <si>
    <t>PINTURA DE DEMARCAÇÃO DE QUADRA POLIESPORTIVA COM TINTA EPÓXI, E = 5 CM, APLICAÇÃO MANUAL. AF_05/2021</t>
  </si>
  <si>
    <t>PINTURA DE DEMARCAÇÃO DE VAGA COM TINTA EPÓXI, E = 10 CM, APLICAÇÃO MANUAL. AF_05/2021</t>
  </si>
  <si>
    <t>PINTURA DE FAIXA DE PEDESTRE OU ZEBRADA TINTA RETRORREFLETIVA A BASE DE RESINA ACRÍLICA COM MICROESFERAS DE VIDRO, E = 30 CM, APLICAÇÃO MANUAL. AF_05/2021</t>
  </si>
  <si>
    <t>PINTURA DE SÍMBOLOS E TEXTOS COM TINTA ACRÍLICA, DEMARCAÇÃO COM FITA ADESIVA E APLICAÇÃO COM ROLO. AF_05/2021</t>
  </si>
  <si>
    <t>PINTURA DE SINALIZAÇÃO VERTICAL DE SEGURANÇA, FAIXAS AMARELA E PRETA, APLICAÇÃO MANUAL, 2 DEMÃOS. AF_05/2021</t>
  </si>
  <si>
    <t>REVESTIMENTO CERÂMICO PARA PISO COM PLACAS TIPO PORCELANATO DE DIMENSÕES 60X60 CM APLICADA EM AMBIENTES DE ÁREA MENOR QUE 5 M². AF_02/2023_PE</t>
  </si>
  <si>
    <t>REVESTIMENTO CERÂMICO PARA PISO COM PLACAS TIPO PORCELANATO DE DIMENSÕES 60X60 CM APLICADA EM AMBIENTES DE ÁREA ENTRE 5 M² E 10 M². AF_02/2023_PE</t>
  </si>
  <si>
    <t>REVESTIMENTO CERÂMICO PARA PISO COM PLACAS TIPO PORCELANATO DE DIMENSÕES 60X60 CM APLICADA EM AMBIENTES DE ÁREA MAIOR QUE 10 M². AF_02/2023_PE</t>
  </si>
  <si>
    <t>REVESTIMENTO CERÂMICO PARA PISO COM PLACAS TIPO PORCELANATO DE DIMENSÕES 80X80 CM APLICADA EM AMBIENTES DE ÁREA MENOR QUE 5 M². AF_02/2023_PE</t>
  </si>
  <si>
    <t>REVESTIMENTO CERÂMICO PARA PISO COM PLACAS TIPO PORCELANATO DE DIMENSÕES 80X80 CM APLICADA EM AMBIENTES DE ÁREA ENTRE 5 M² E 10 M². AF_02/2023_PE</t>
  </si>
  <si>
    <t>REVESTIMENTO CERÂMICO PARA PISO COM PLACAS TIPO PORCELANATO DE DIMENSÕES 80X80 CM APLICADA EM AMBIENTES DE ÁREA MAIOR QUE 10 M². AF_02/2023_PE</t>
  </si>
  <si>
    <t>EXECUÇÃO DE PASSEIO (CALÇADA) OU PISO DE CONCRETO COM CONCRETO MOLDADO IN LOCO, FEITO EM OBRA, ACABAMENTO CONVENCIONAL, NÃO ARMADO. AF_08/2022</t>
  </si>
  <si>
    <t>EXECUÇÃO DE PASSEIO (CALÇADA) OU PISO DE CONCRETO COM CONCRETO MOLDADO IN LOCO, USINADO C20, ACABAMENTO CONVENCIONAL, NÃO ARMADO. AF_08/2022</t>
  </si>
  <si>
    <t>EXECUÇÃO DE PASSEIO (CALÇADA) OU PISO DE CONCRETO COM CONCRETO MOLDADO IN LOCO, FEITO EM OBRA, ACABAMENTO CONVENCIONAL, ESPESSURA 6 CM, ARMADO. AF_08/2022</t>
  </si>
  <si>
    <t>EXECUÇÃO DE PASSEIO (CALÇADA) OU PISO DE CONCRETO COM CONCRETO MOLDADO IN LOCO, USINADO, ACABAMENTO CONVENCIONAL, ESPESSURA 6 CM, ARMADO. AF_08/2022</t>
  </si>
  <si>
    <t>EXECUÇÃO DE PASSEIO (CALÇADA) OU PISO DE CONCRETO COM CONCRETO MOLDADO IN LOCO, FEITO EM OBRA, ACABAMENTO CONVENCIONAL, ESPESSURA 8 CM, ARMADO. AF_08/2022</t>
  </si>
  <si>
    <t>EXECUÇÃO DE PASSEIO (CALÇADA) OU PISO DE CONCRETO COM CONCRETO MOLDADO IN LOCO, USINADO, ACABAMENTO CONVENCIONAL, ESPESSURA 8 CM, ARMADO. AF_08/2022</t>
  </si>
  <si>
    <t>EXECUÇÃO DE PASSEIO (CALÇADA) OU PISO DE CONCRETO COM CONCRETO MOLDADO IN LOCO, USINADO C25, ACABAMENTO CONVENCIONAL, NÃO ARMADO. AF_03/2023</t>
  </si>
  <si>
    <t>CONTRAPISO EM ARGAMASSA TRAÇO 1:4 (CIMENTO E AREIA), PREPARO MECÂNICO COM BETONEIRA 400 L, APLICADO EM ÁREAS SECAS SOBRE LAJE, ADERIDO, ACABAMENTO NÃO REFORÇADO, ESPESSURA 2CM. AF_07/2021</t>
  </si>
  <si>
    <t>CONTRAPISO EM ARGAMASSA TRAÇO 1:4 (CIMENTO E AREIA), PREPARO MANUAL, APLICADO EM ÁREAS SECAS SOBRE LAJE, ADERIDO, ACABAMENTO NÃO REFORÇADO, ESPESSURA 2CM. AF_07/2021</t>
  </si>
  <si>
    <t>CONTRAPISO EM ARGAMASSA PRONTA, PREPARO MECÂNICO COM MISTURADOR 300 KG, APLICADO EM ÁREAS SECAS SOBRE LAJE, ADERIDO, ACABAMENTO NÃO REFORÇADO, ESPESSURA 2CM. AF_07/2021</t>
  </si>
  <si>
    <t>CONTRAPISO EM ARGAMASSA TRAÇO 1:4 (CIMENTO E AREIA), PREPARO MECÂNICO COM BETONEIRA 400 L, APLICADO EM ÁREAS SECAS SOBRE LAJE, ADERIDO, ACABAMENTO NÃO REFORÇADO, ESPESSURA 3CM. AF_07/2021</t>
  </si>
  <si>
    <t>CONTRAPISO EM ARGAMASSA TRAÇO 1:4 (CIMENTO E AREIA), PREPARO MANUAL, APLICADO EM ÁREAS SECAS SOBRE LAJE, ADERIDO, ACABAMENTO NÃO REFORÇADO, ESPESSURA 3CM. AF_07/2021</t>
  </si>
  <si>
    <t>CONTRAPISO EM ARGAMASSA PRONTA, PREPARO MECÂNICO COM MISTURADOR 300 KG, APLICADO EM ÁREAS SECAS SOBRE LAJE, ADERIDO, ACABAMENTO NÃO REFORÇADO, ESPESSURA 3CM. AF_07/2021</t>
  </si>
  <si>
    <t>CONTRAPISO EM ARGAMASSA PRONTA, PREPARO MANUAL, APLICADO EM ÁREAS SECAS SOBRE LAJE, ADERIDO, ACABAMENTO NÃO REFORÇADO, ESPESSURA 3CM. AF_07/2021</t>
  </si>
  <si>
    <t>CONTRAPISO EM ARGAMASSA TRAÇO 1:4 (CIMENTO E AREIA), PREPARO MECÂNICO COM BETONEIRA 400 L, APLICADO EM ÁREAS SECAS SOBRE LAJE, ADERIDO, ACABAMENTO NÃO REFORÇADO, ESPESSURA 4CM. AF_07/2021</t>
  </si>
  <si>
    <t>CONTRAPISO EM ARGAMASSA TRAÇO 1:4 (CIMENTO E AREIA), PREPARO MANUAL, APLICADO EM ÁREAS SECAS SOBRE LAJE, ADERIDO, ACABAMENTO NÃO REFORÇADO, ESPESSURA 4CM. AF_07/2021</t>
  </si>
  <si>
    <t>CONTRAPISO EM ARGAMASSA PRONTA, PREPARO MECÂNICO COM MISTURADOR 300 KG, APLICADO EM ÁREAS SECAS SOBRE LAJE, ADERIDO, ACABAMENTO NÃO REFORÇADO, ESPESSURA 4CM. AF_07/2021</t>
  </si>
  <si>
    <t>CONTRAPISO EM ARGAMASSA PRONTA, PREPARO MANUAL, APLICADO EM ÁREAS SECAS SOBRE LAJE, ADERIDO, ACABAMENTO NÃO REFORÇADO, ESPESSURA 4CM. AF_07/2021</t>
  </si>
  <si>
    <t>CONTRAPISO EM ARGAMASSA TRAÇO 1:4 (CIMENTO E AREIA), PREPARO MECÂNICO COM BETONEIRA 400 L, APLICADO EM ÁREAS SECAS SOBRE LAJE, NÃO ADERIDO, ACABAMENTO NÃO REFORÇADO, ESPESSURA 4CM. AF_07/2021</t>
  </si>
  <si>
    <t>CONTRAPISO EM ARGAMASSA TRAÇO 1:4 (CIMENTO E AREIA), PREPARO MANUAL, APLICADO EM ÁREAS SECAS SOBRE LAJE, NÃO ADERIDO, ACABAMENTO NÃO REFORÇADO, ESPESSURA 4CM. AF_07/2021</t>
  </si>
  <si>
    <t>CONTRAPISO EM ARGAMASSA PRONTA, PREPARO MECÂNICO COM MISTURADOR 300 KG, APLICADO EM ÁREAS SECAS SOBRE LAJE, NÃO ADERIDO, ACABAMENTO NÃO REFORÇADO, ESPESSURA 4CM. AF_07/2021</t>
  </si>
  <si>
    <t>CONTRAPISO EM ARGAMASSA PRONTA, PREPARO MANUAL, APLICADO EM ÁREAS SECAS SOBRE LAJE, NÃO ADERIDO, ACABAMENTO NÃO REFORÇADO, ESPESSURA 4CM. AF_07/2021</t>
  </si>
  <si>
    <t>CONTRAPISO EM ARGAMASSA TRAÇO 1:4 (CIMENTO E AREIA), PREPARO MECÂNICO COM BETONEIRA 400 L, APLICADO EM ÁREAS SECAS SOBRE LAJE, NÃO ADERIDO, ACABAMENTO NÃO REFORÇADO, ESPESSURA 5CM. AF_07/2021</t>
  </si>
  <si>
    <t>CONTRAPISO EM ARGAMASSA TRAÇO 1:4 (CIMENTO E AREIA), PREPARO MANUAL, APLICADO EM ÁREAS SECAS SOBRE LAJE, NÃO ADERIDO, ACABAMENTO NÃO REFORÇADO, ESPESSURA 5CM. AF_07/2021</t>
  </si>
  <si>
    <t>CONTRAPISO EM ARGAMASSA PRONTA, PREPARO MECÂNICO COM MISTURADOR 300 KG, APLICADO EM ÁREAS SECAS SOBRE LAJE, NÃO ADERIDO, ESPESSURA 5CM. AF_07/2021</t>
  </si>
  <si>
    <t>CONTRAPISO EM ARGAMASSA PRONTA, PREPARO MANUAL, APLICADO EM ÁREAS SECAS SOBRE LAJE, NÃO ADERIDO, ACABAMENTO NÃO REFORÇADO, ESPESSURA 5CM. AF_07/2021</t>
  </si>
  <si>
    <t>CONTRAPISO EM ARGAMASSA TRAÇO 1:4 (CIMENTO E AREIA), PREPARO MECÂNICO COM BETONEIRA 400 L, APLICADO EM ÁREAS SECAS SOBRE LAJE, NÃO ADERIDO, ACABAMENTO NÃO REFORÇADO, ESPESSURA 6CM. AF_07/2021</t>
  </si>
  <si>
    <t>CONTRAPISO EM ARGAMASSA TRAÇO 1:4 (CIMENTO E AREIA), PREPARO MANUAL, APLICADO EM ÁREAS SECAS SOBRE LAJE, NÃO ADERIDO, ACABAMENTO NÃO REFORÇADO, ESPESSURA 6CM. AF_07/2021</t>
  </si>
  <si>
    <t>CONTRAPISO EM ARGAMASSA PRONTA, PREPARO MECÂNICO COM MISTURADOR 300 KG, APLICADO EM ÁREAS SECAS SOBRE LAJE, NÃO ADERIDO, ACABAMENTO NÃO REFORÇADO, ESPESSURA 6CM. AF_07/2021</t>
  </si>
  <si>
    <t>CONTRAPISO EM ARGAMASSA PRONTA, PREPARO MANUAL, APLICADO EM ÁREAS SECAS SOBRE LAJE, NÃO ADERIDO, ACABAMENTO NÃO REFORÇADO, ESPESSURA 6CM. AF_07/2021</t>
  </si>
  <si>
    <t>CONTRAPISO EM ARGAMASSA TRAÇO 1:4 (CIMENTO E AREIA), PREPARO MECÂNICO COM BETONEIRA 400 L, APLICADO EM ÁREAS MOLHADAS SOBRE LAJE, ADERIDO, ACABAMENTO NÃO REFORÇADO, ESPESSURA 2CM. AF_07/2021</t>
  </si>
  <si>
    <t>CONTRAPISO EM ARGAMASSA TRAÇO 1:4 (CIMENTO E AREIA), PREPARO MANUAL, APLICADO EM ÁREAS MOLHADAS SOBRE LAJE, ADERIDO, ACABAMENTO NÃO REFORÇADO, ESPESSURA 2CM. AF_07/2021</t>
  </si>
  <si>
    <t>CONTRAPISO EM ARGAMASSA PRONTA, PREPARO MECÂNICO COM MISTURADOR 300 KG, APLICADO EM ÁREAS MOLHADAS SOBRE LAJE, ADERIDO, ACABAMENTO NÃO REFORÇADO, ESPESSURA 2CM. AF_07/2021</t>
  </si>
  <si>
    <t>CONTRAPISO EM ARGAMASSA PRONTA, PREPARO MANUAL, APLICADO EM ÁREAS MOLHADAS SOBRE LAJE, ADERIDO, ACABAMENTO NÃO REFORÇADO, ESPESSURA 2CM. AF_07/2021</t>
  </si>
  <si>
    <t>CONTRAPISO EM ARGAMASSA TRAÇO 1:4 (CIMENTO E AREIA), PREPARO MECÂNICO COM BETONEIRA 400 L, APLICADO EM ÁREAS MOLHADAS SOBRE LAJE, ADERIDO, ACABAMENTO NÃO REFORÇADO, ESPESSURA 3CM. AF_07/2021</t>
  </si>
  <si>
    <t>CONTRAPISO EM ARGAMASSA TRAÇO 1:4 (CIMENTO E AREIA), PREPARO MANUAL, APLICADO EM ÁREAS MOLHADAS SOBRE LAJE, ADERIDO, ACABAMENTO NÃO REFORÇADO, ESPESSURA 3CM. AF_07/2021</t>
  </si>
  <si>
    <t>CONTRAPISO EM ARGAMASSA PRONTA, PREPARO MECÂNICO COM MISTURADOR 300 KG, APLICADO EM ÁREAS MOLHADAS SOBRE LAJE, ADERIDO, ACABAMENTO NÃO REFORÇADO, ESPESSURA 3CM. AF_07/2021</t>
  </si>
  <si>
    <t>CONTRAPISO EM ARGAMASSA PRONTA, PREPARO MANUAL, APLICADO EM ÁREAS MOLHADAS SOBRE LAJE, ADERIDO, ACABAMENTO NÃO REFORÇADO, ESPESSURA 3CM. AF_07/2021</t>
  </si>
  <si>
    <t>CONTRAPISO EM ARGAMASSA TRAÇO 1:4 (CIMENTO E AREIA), PREPARO MECÂNICO COM BETONEIRA 400 L, APLICADO EM ÁREAS MOLHADAS SOBRE IMPERMEABILIZAÇÃO, ACABAMENTO NÃO REFORÇADO, ESPESSURA 3CM. AF_07/2021</t>
  </si>
  <si>
    <t>CONTRAPISO EM ARGAMASSA TRAÇO 1:4 (CIMENTO E AREIA), PREPARO MANUAL, APLICADO EM ÁREAS MOLHADAS SOBRE IMPERMEABILIZAÇÃO, ACABAMENTO NÃO REFORÇADO, ESPESSURA 3CM. AF_07/2021</t>
  </si>
  <si>
    <t>CONTRAPISO EM ARGAMASSA PRONTA, PREPARO MECÂNICO COM MISTURADOR 300 KG, APLICADO EM ÁREAS MOLHADAS SOBRE IMPERMEABILIZAÇÃO, ACABAMENTO NÃO REFORÇADO, ESPESSURA 3CM. AF_07/2021</t>
  </si>
  <si>
    <t>CONTRAPISO EM ARGAMASSA PRONTA, PREPARO MANUAL, APLICADO EM ÁREAS MOLHADAS SOBRE IMPERMEABILIZAÇÃO, ACABAMENTO NÃO REFORÇADO, ESPESSURA 3CM. AF_07/2021</t>
  </si>
  <si>
    <t>CONTRAPISO EM ARGAMASSA TRAÇO 1:4 (CIMENTO E AREIA), PREPARO MECÂNICO COM BETONEIRA 400 L, APLICADO EM ÁREAS MOLHADAS SOBRE IMPERMEABILIZAÇÃO, ACABAMENTO NÃO REFORÇADO, ESPESSURA 4CM. AF_07/2021</t>
  </si>
  <si>
    <t>CONTRAPISO EM ARGAMASSA TRAÇO 1:4 (CIMENTO E AREIA), PREPARO MANUAL, APLICADO EM ÁREAS MOLHADAS SOBRE IMPERMEABILIZAÇÃO, ACABAMENTO NÃO REFORÇADO, ESPESSURA 4CM. AF_07/2021</t>
  </si>
  <si>
    <t>CONTRAPISO EM ARGAMASSA PRONTA, PREPARO MECÂNICO COM MISTURADOR 300 KG, APLICADO EM ÁREAS MOLHADAS SOBRE IMPERMEABILIZAÇÃO, ACABAMENTO NÃO REFORÇADO, ESPESSURA 4CM. AF_07/2021</t>
  </si>
  <si>
    <t>CONTRAPISO EM ARGAMASSA PRONTA, PREPARO MANUAL, APLICADO EM ÁREAS MOLHADAS SOBRE IMPERMEABILIZAÇÃO, ACABAMENTO NÃO REFORÇADO, ESPESSURA 4CM. AF_07/2021</t>
  </si>
  <si>
    <t>CONTRAPISO COM ARGAMASSA AUTONIVELANTE, APLICADO SOBRE LAJE, NÃO ADERIDO, ESPESSURA 3CM. AF_07/2021</t>
  </si>
  <si>
    <t>CONTRAPISO COM ARGAMASSA AUTONIVELANTE, APLICADO SOBRE LAJE, NÃO ADERIDO, ESPESSURA 4CM. AF_07/2021</t>
  </si>
  <si>
    <t>CONTRAPISO COM ARGAMASSA AUTONIVELANTE, APLICADO SOBRE LAJE, NÃO ADERIDO, ESPESSURA 5CM. AF_07/2021</t>
  </si>
  <si>
    <t>CONTRAPISO COM ARGAMASSA AUTONIVELANTE, APLICADO SOBRE LAJE, ADERIDO, ESPESSURA 2CM. AF_07/2021</t>
  </si>
  <si>
    <t>CONTRAPISO COM ARGAMASSA AUTONIVELANTE, APLICADO SOBRE LAJE, ADERIDO, ESPESSURA 3CM. AF_07/2021</t>
  </si>
  <si>
    <t>CONTRAPISO COM ARGAMASSA AUTONIVELANTE, APLICADO SOBRE LAJE, ADERIDO, ESPESSURA 4CM. AF_07/2021</t>
  </si>
  <si>
    <t>CONTRAPISO ACÚSTICO EM ARGAMASSA TRAÇO 1:4 (CIMENTO E AREIA), PREPARO MECÂNICO COM BETONEIRA 400L, APLICADO EM ÁREAS SECAS, ACABAMENTO NÃO REFORÇADO, ESPESSURA 5CM. AF_07/2021</t>
  </si>
  <si>
    <t>CONTRAPISO ACÚSTICO EM ARGAMASSA TRAÇO 1:4 (CIMENTO E AREIA), PREPARO MANUAL, APLICADO EM ÁREAS SECAS, ACABAMENTO NÃO REFORÇADO, ESPESSURA 5CM. AF_07/2021</t>
  </si>
  <si>
    <t>CONTRAPISO ACÚSTICO EM ARGAMASSA PRONTA, PREPARO MECÂNICO COM MISTURADOR 300 KG, APLICADO EM ÁREAS SECAS, ACABAMENTO NÃO REFORÇADO, ESPESSURA 5CM. AF_07/2021</t>
  </si>
  <si>
    <t>CONTRAPISO ACÚSTICO EM ARGAMASSA PRONTA, PREPARO MANUAL, APLICADO EM ÁREAS SECAS, ACABAMENTO NÃO REFORÇADO, ESPESSURA 5CM. AF_07/2021</t>
  </si>
  <si>
    <t>CONTRAPISO ACÚSTICO EM ARGAMASSA TRAÇO 1:4 (CIMENTO E AREIA), PREPARO MECÂNICO COM BETONEIRA 400L, APLICADO EM ÁREAS SECAS, ACABAMENTO NÃO REFORÇADO, ESPESSURA 6CM. AF_07/2021</t>
  </si>
  <si>
    <t>CONTRAPISO ACÚSTICO EM ARGAMASSA TRAÇO 1:4 (CIMENTO E AREIA), PREPARO MANUAL, APLICADO EM ÁREAS SECAS, ACABAMENTO NÃO REFORÇADO, ESPESSURA 6CM. AF_07/2021</t>
  </si>
  <si>
    <t>CONTRAPISO ACÚSTICO EM ARGAMASSA PRONTA, PREPARO MECÂNICO COM MISTURADOR 300 KG, APLICADO EM ÁREAS SECAS, ACABAMENTO NÃO REFORÇADO, ESPESSURA 6CM. AF_07/2021</t>
  </si>
  <si>
    <t>CONTRAPISO ACÚSTICO EM ARGAMASSA PRONTA, PREPARO MANUAL, APLICADO EM ÁREAS SECA, ACABAMENTO NÃO REFORÇADO, ESPESSURA 6CM. AF_07/2021</t>
  </si>
  <si>
    <t>CONTRAPISO ACÚSTICO EM ARGAMASSA TRAÇO 1:4 (CIMENTO E AREIA), PREPARO MECÂNICO COM BETONEIRA 400L, APLICADO EM ÁREAS SECAS, ACABAMENTO NÃO REFORÇADO, ESPESSURA 7CM. AF_07/2021</t>
  </si>
  <si>
    <t>CONTRAPISO ACÚSTICO EM ARGAMASSA TRAÇO 1:4 (CIMENTO E AREIA), PREPARO MANUAL, APLICADO EM ÁREAS SECAS, ACABAMENTO NÃO REFORÇADO, ESPESSURA 7CM. AF_07/2021</t>
  </si>
  <si>
    <t>CONTRAPISO ACÚSTICO EM ARGAMASSA PRONTA, PREPARO MECÂNICO COM MISTURADOR 300 KG, APLICADO EM ÁREAS SECAS, ACABAMENTO NÃO REFORÇADO, ESPESSURA 7CM. AF_07/2021</t>
  </si>
  <si>
    <t>CONTRAPISO ACÚSTICO EM ARGAMASSA PRONTA, PREPARO MANUAL, APLICADO EM ÁREAS SECAS, ACABAMENTO NÃO REFORÇADO, ESPESSURA 7CM. AF_07/2021</t>
  </si>
  <si>
    <t>REFORÇO SUPERFICIAL PARA CONTRAPISOS DE ARGAMASSA SEMI-SECA. AF_07/2021</t>
  </si>
  <si>
    <t>CHAPISCO APLICADO NO TETO OU EM ALVENARIA E ESTRUTURA, COM ROLO PARA TEXTURA ACRÍLICA. ARGAMASSA TRAÇO 1:4 E EMULSÃO POLIMÉRICA (ADESIVO) COM PREPARO MANUAL. AF_10/2022</t>
  </si>
  <si>
    <t>CHAPISCO APLICADO NO TETO OU EM ALVENARIA E ESTRUTURA, COM ROLO PARA TEXTURA ACRÍLICA. ARGAMASSA TRAÇO 1:4 E EMULSÃO POLIMÉRICA (ADESIVO) COM PREPARO EM BETONEIRA 400L. AF_10/2022</t>
  </si>
  <si>
    <t>CHAPISCO APLICADO NO TETO OU EM ALVENARIA E ESTRUTURA, COM ROLO PARA TEXTURA ACRÍLICA. ARGAMASSA INDUSTRIALIZADA COM PREPARO MANUAL. AF_10/2022</t>
  </si>
  <si>
    <t>CHAPISCO APLICADO NO TETO OU EM ALVENARIA E ESTRUTURA, COM ROLO PARA TEXTURA ACRÍLICA. ARGAMASSA INDUSTRIALIZADA COM PREPARO EM MISTURADOR 300 KG. AF_10/2022</t>
  </si>
  <si>
    <t>CHAPISCO APLICADO NO TETO OU EM ESTRUTURA, COM DESEMPENADEIRA DENTADA. ARGAMASSA INDUSTRIALIZADA COM PREPARO MANUAL. AF_10/2022</t>
  </si>
  <si>
    <t>CHAPISCO APLICADO NO TETO OU EM ESTRUTURA, COM DESEMPENADEIRA DENTADA. ARGAMASSA INDUSTRIALIZADA COM PREPARO EM MISTURADOR 300 KG. AF_10/2022</t>
  </si>
  <si>
    <t>CHAPISCO APLICADO EM ALVENARIA (SEM PRESENÇA DE VÃOS) E ESTRUTURAS DE CONCRETO DE FACHADA, COM ROLO PARA TEXTURA ACRÍLICA. ARGAMASSA INDUSTRIALIZADA COM PREPARO MANUAL. AF_10/2022</t>
  </si>
  <si>
    <t>CHAPISCO APLICADO EM ALVENARIA (SEM PRESENÇA DE VÃOS) E ESTRUTURAS DE CONCRETO DE FACHADA, COM EQUIPAMENTO DE PROJEÇÃO. ARGAMASSA TRAÇO 1:3 COM PREPARO MANUAL. AF_10/2022</t>
  </si>
  <si>
    <t>CHAPISCO APLICADO SOMENTE NA ESTRUTURA DE CONCRETO DA FACHADA, COM DESEMPENADEIRA DENTADA. ARGAMASSA INDUSTRIALIZADA COM PREPARO MANUAL. AF_10/2022</t>
  </si>
  <si>
    <t>CHAPISCO APLICADO SOMENTE NA ESTRUTURA DE CONCRETO DA FACHADA, COM DESEMPENADEIRA DENTADA. ARGAMASSA INDUSTRIALIZADA COM PREPARO EM MISTURADOR 300 KG. AF_10/2022</t>
  </si>
  <si>
    <t>APLICAÇÃO MANUAL DE GESSO DESEMPENADO (SEM TALISCAS) EM TETO DE AMBIENTES DE ÁREA MAIOR QUE 10M², ESPESSURA DE 0,5CM. AF_03/2023</t>
  </si>
  <si>
    <t>APLICAÇÃO MANUAL DE GESSO DESEMPENADO (SEM TALISCAS) EM TETO DE AMBIENTES DE ÁREA ENTRE 5M² E 10M², ESPESSURA DE 0,5CM. AF_03/2023</t>
  </si>
  <si>
    <t>APLICAÇÃO MANUAL DE GESSO DESEMPENADO (SEM TALISCAS) EM TETO DE AMBIENTES DE ÁREA MENOR QUE 5M², ESPESSURA DE 0,5CM. AF_03/2023</t>
  </si>
  <si>
    <t>APLICAÇÃO MANUAL DE GESSO DESEMPENADO (SEM TALISCAS) EM TETO DE AMBIENTES DE ÁREA MAIOR QUE 10M², ESPESSURA DE 1,0CM. AF_03/2023</t>
  </si>
  <si>
    <t>APLICAÇÃO MANUAL DE GESSO DESEMPENADO (SEM TALISCAS) EM TETO DE AMBIENTES DE ÁREA ENTRE 5M² E 10M², ESPESSURA DE 1,0CM. AF_03/2023</t>
  </si>
  <si>
    <t>APLICAÇÃO MANUAL DE GESSO DESEMPENADO (SEM TALISCAS) EM TETO DE AMBIENTES DE ÁREA MENOR QUE 5M², ESPESSURA DE 1,0CM. AF_03/2023</t>
  </si>
  <si>
    <t>APLICAÇÃO MANUAL DE GESSO DESEMPENADO (SEM TALISCAS) EM PAREDES, ESPESSURA DE 0,5CM. AF_03/2023</t>
  </si>
  <si>
    <t>APLICAÇÃO MANUAL DE GESSO DESEMPENADO (SEM TALISCAS) EM PAREDES, ESPESSURA DE 1,0CM. AF_03/2023</t>
  </si>
  <si>
    <t>APLICAÇÃO MANUAL DE GESSO SARRAFEADO (COM TALISCAS) EM PAREDES, ESPESSURA DE 1,0CM. AF_03/2023</t>
  </si>
  <si>
    <t>APLICAÇÃO MANUAL DE GESSO SARRAFEADO (COM TALISCAS) EM PAREDES, ESPESSURA DE 1,5CM. AF_03/2023</t>
  </si>
  <si>
    <t>APLICAÇÃO DE GESSO PROJETADO COM EQUIPAMENTO DE PROJEÇÃO EM PAREDES, DESEMPENADO (SEM TALISCAS), ESPESSURA DE 0,5CM. AF_03/2023</t>
  </si>
  <si>
    <t>APLICAÇÃO DE GESSO PROJETADO COM EQUIPAMENTO DE PROJEÇÃO EM PAREDES, DESEMPENADO (SEM TALISCAS), ESPESSURA DE 1,0CM. AF_03/2023</t>
  </si>
  <si>
    <t>APLICAÇÃO DE GESSO PROJETADO COM EQUIPAMENTO DE PROJEÇÃO EM PAREDES, SARRAFEADO (COM TALISCAS), ESPESSURA DE 1,0CM. AF_03/2023</t>
  </si>
  <si>
    <t>APLICAÇÃO DE GESSO PROJETADO COM EQUIPAMENTO DE PROJEÇÃO EM PAREDES, SARRAFEADO (COM TALISCAS), ESPESSURA DE 1,5CM. AF_03/2023</t>
  </si>
  <si>
    <t>EMBOÇO OU MASSA ÚNICA EM ARGAMASSA TRAÇO 1:2:8, PREPARO MECÂNICO COM BETONEIRA 400 L, APLICADA MANUALMENTE EM PANOS DE FACHADA COM PRESENÇA DE VÃOS, ESPESSURA DE 25 MM. AF_08/2022</t>
  </si>
  <si>
    <t>EMBOÇO OU MASSA ÚNICA EM ARGAMASSA TRAÇO 1:2:8, PREPARO MANUAL, APLICADA MANUALMENTE EM PANOS DE FACHADA COM PRESENÇA DE VÃOS, ESPESSURA DE 25 MM. AF_08/2022</t>
  </si>
  <si>
    <t>EMBOÇO OU MASSA ÚNICA EM ARGAMASSA INDUSTRIALIZADA, PREPARO MECÂNICO E APLICAÇÃO COM EQUIPAMENTO DE MISTURA E PROJEÇÃO DE 1,5 M3/H DE ARGAMASSA EM PANOS DE FACHADA COM PRESENÇA DE VÃOS, ESPESSURA DE 25 MM. AF_08/2022</t>
  </si>
  <si>
    <t>EMBOÇO OU MASSA ÚNICA EM ARGAMASSA TRAÇO 1:2:8, PREPARO MECÂNICO COM BETONEIRA 400 L, APLICADA MANUALMENTE EM PANOS DE FACHADA COM PRESENÇA DE VÃOS, ESPESSURA DE 35 MM. AF_08/2022</t>
  </si>
  <si>
    <t>EMBOÇO OU MASSA ÚNICA EM ARGAMASSA TRAÇO 1:2:8, PREPARO MANUAL, APLICADA MANUALMENTE EM PANOS DE FACHADA COM PRESENÇA DE VÃOS, ESPESSURA DE 35 MM. AF_08/2022</t>
  </si>
  <si>
    <t>EMBOÇO OU MASSA ÚNICA EM ARGAMASSA INDUSTRIALIZADA, PREPARO MECÂNICO E APLICAÇÃO COM EQUIPAMENTO DE MISTURA E PROJEÇÃO DE 1,5 M3/H DE ARGAMASSA EM PANOS DE FACHADA COM PRESENÇA DE VÃOS, ESPESSURA DE 35 MM. AF_08/2022</t>
  </si>
  <si>
    <t>EMBOÇO OU MASSA ÚNICA EM ARGAMASSA TRAÇO 1:2:8, PREPARO MECÂNICO COM BETONEIRA 400 L, APLICADA MANUALMENTE EM PANOS DE FACHADA COM PRESENÇA DE VÃOS, ESPESSURA DE 45 MM. AF_08/2022</t>
  </si>
  <si>
    <t>EMBOÇO OU MASSA ÚNICA EM ARGAMASSA TRAÇO 1:2:8, PREPARO MANUAL, APLICADA MANUALMENTE EM PANOS DE FACHADA COM PRESENÇA DE VÃOS, ESPESSURA DE 45 MM. AF_08/2022</t>
  </si>
  <si>
    <t>EMBOÇO OU MASSA ÚNICA EM ARGAMASSA INDUSTRIALIZADA, PREPARO MECÂNICO E APLICAÇÃO COM EQUIPAMENTO DE MISTURA E PROJEÇÃO DE 1,5 M3/H DE ARGAMASSA EM PANOS DE FACHADA COM PRESENÇA DE VÃOS, ESPESSURA DE 45 MM. AF_08/2022</t>
  </si>
  <si>
    <t>EMBOÇO OU MASSA ÚNICA EM ARGAMASSA TRAÇO 1:2:8, PREPARO MECÂNICO COM BETONEIRA 400 L, APLICADA MANUALMENTE EM PANOS DE FACHADA COM PRESENÇA DE VÃOS, ESPESSURA MAIOR OU IGUAL A 50 MM. AF_08/2022</t>
  </si>
  <si>
    <t>EMBOÇO OU MASSA ÚNICA EM ARGAMASSA INDUSTRIALIZADA, PREPARO MECÂNICO E APLICAÇÃO COM EQUIPAMENTO DE MISTURA E PROJEÇÃO DE 1,5 M3/H DE ARGAMASSA EM PANOS DE FACHADA COM PRESENÇA DE VÃOS, ESPESSURA MAIOR OU IGUAL A 50 MM. AF_08/2022</t>
  </si>
  <si>
    <t>EMBOÇO OU MASSA ÚNICA EM ARGAMASSA TRAÇO 1:2:8, PREPARO MECÂNICO COM BETONEIRA 400 L, APLICADA MANUALMENTE EM PANOS CEGOS DE FACHADA (SEM PRESENÇA DE VÃOS), ESPESSURA DE 25 MM. AF_08/2022</t>
  </si>
  <si>
    <t>EMBOÇO OU MASSA ÚNICA EM ARGAMASSA TRAÇO 1:2:8, PREPARO MANUAL, APLICADA MANUALMENTE EM PANOS CEGOS DE FACHADA (SEM PRESENÇA DE VÃOS), ESPESSURA DE 25 MM. AF_09/2022</t>
  </si>
  <si>
    <t>EMBOÇO OU MASSA ÚNICA EM ARGAMASSA INDUSTRIALIZADA, PREPARO MECÂNICO E APLICAÇÃO COM EQUIPAMENTO DE MISTURA E PROJEÇÃO DE 1,5 M3/H DE ARGAMASSA EM PANOS CEGOS DE FACHADA (SEM PRESENÇA DE VÃOS), ESPESSURA DE 25 MM. AF_08/2022</t>
  </si>
  <si>
    <t>EMBOÇO OU MASSA ÚNICA EM ARGAMASSA TRAÇO 1:2:8, PREPARO MECÂNICO COM BETONEIRA 400 L, APLICADA MANUALMENTE EM PANOS CEGOS DE FACHADA (SEM PRESENÇA DE VÃOS), ESPESSURA DE 35 MM. AF_08/2022</t>
  </si>
  <si>
    <t>EMBOÇO OU MASSA ÚNICA EM ARGAMASSA TRAÇO 1:2:8, PREPARO MANUAL, APLICADA MANUALMENTE EM PANOS CEGOS DE FACHADA (SEM PRESENÇA DE VÃOS), ESPESSURA DE 35 MM. AF_08/2022</t>
  </si>
  <si>
    <t>EMBOÇO OU MASSA ÚNICA EM ARGAMASSA INDUSTRIALIZADA, PREPARO MECÂNICO E APLICAÇÃO COM EQUIPAMENTO DE MISTURA E PROJEÇÃO DE 1,5 M3/H DE ARGAMASSA EM PANOS CEGOS DE FACHADA (SEM PRESENÇA DE VÃOS), ESPESSURA DE 35 MM. AF_08/2022</t>
  </si>
  <si>
    <t>EMBOÇO OU MASSA ÚNICA EM ARGAMASSA TRAÇO 1:2:8, PREPARO MECÂNICO COM BETONEIRA 400 L, APLICADA MANUALMENTE EM PANOS CEGOS DE FACHADA (SEM PRESENÇA DE VÃOS), ESPESSURA DE 45 MM. AF_08/2022</t>
  </si>
  <si>
    <t>EMBOÇO OU MASSA ÚNICA EM ARGAMASSA TRAÇO 1:2:8, PREPARO MANUAL, APLICADA MANUALMENTE EM PANOS CEGOS DE FACHADA (SEM PRESENÇA DE VÃOS), ESPESSURA DE 45 MM. AF_08/2022</t>
  </si>
  <si>
    <t>EMBOÇO OU MASSA ÚNICA EM ARGAMASSA INDUSTRIALIZADA, PREPARO MECÂNICO E APLICAÇÃO COM EQUIPAMENTO DE MISTURA E PROJEÇÃO DE 1,5 M3/H DE ARGAMASSA EM PANOS CEGOS DE FACHADA (SEM PRESENÇA DE VÃOS), ESPESSURA DE 45 MM. AF_08/2022</t>
  </si>
  <si>
    <t>EMBOÇO OU MASSA ÚNICA EM ARGAMASSA TRAÇO 1:2:8, PREPARO MECÂNICO COM BETONEIRA 400 L, APLICADA MANUALMENTE EM PANOS CEGOS DE FACHADA (SEM PRESENÇA DE VÃOS), ESPESSURA MAIOR OU IGUAL A 50 MM. AF_08/2022</t>
  </si>
  <si>
    <t>EMBOÇO OU MASSA ÚNICA EM ARGAMASSA TRAÇO 1:2:8, PREPARO MANUAL, APLICADA MANUALMENTE EM PANOS CEGOS DE FACHADA (SEM PRESENÇA DE VÃOS), ESPESSURA MAIOR OU IGUAL A 50 MM. AF_08/2022</t>
  </si>
  <si>
    <t>EMBOÇO OU MASSA ÚNICA EM ARGAMASSA INDUSTRIALIZADA, PREPARO MECÂNICO E APLICAÇÃO COM EQUIPAMENTO DE MISTURA E PROJEÇÃO DE 1,5 M3/H DE ARGAMASSA EM PANOS CEGOS DE FACHADA (SEM PRESENÇA DE VÃOS), ESPESSURA MAIOR OU IGUAL A 50 MM. AF_08/2022</t>
  </si>
  <si>
    <t>EMBOÇO OU MASSA ÚNICA EM ARGAMASSA TRAÇO 1:2:8, PREPARO MECÂNICO COM BETONEIRA 400 L, APLICADA MANUALMENTE EM SUPERFÍCIES EXTERNAS DA SACADA, ESPESSURA DE 25 MM, SEM USO DE TELA METÁLICA DE REFORÇO CONTRA FISSURAÇÃO. AF_08/2022</t>
  </si>
  <si>
    <t>EMBOÇO OU MASSA ÚNICA EM ARGAMASSA TRAÇO 1:2:8, PREPARO MANUAL, APLICADA MANUALMENTE EM SUPERFÍCIES EXTERNAS DA SACADA, ESPESSURA DE 25 MM, SEM USO DE TELA METÁLICA DE REFORÇO CONTRA FISSURAÇÃO. AF_08/2022</t>
  </si>
  <si>
    <t>EMBOÇO OU MASSA ÚNICA EM ARGAMASSA INDUSTRIALIZADA, PREPARO MECÂNICO E APLICAÇÃO COM EQUIPAMENTO DE MISTURA E PROJEÇÃO DE 1,5 M3/H EM SUPERFÍCIES EXTERNAS DA SACADA, ESPESSURA 25 MM, SEM USO DE TELA METÁLICA. AF_08/2022</t>
  </si>
  <si>
    <t>EMBOÇO OU MASSA ÚNICA EM ARGAMASSA TRAÇO 1:2:8, PREPARO MECÂNICO COM BETONEIRA 400 L, APLICADA MANUALMENTE EM SUPERFÍCIES EXTERNAS DA SACADA, ESPESSURA DE 35 MM, SEM USO DE TELA METÁLICA DE REFORÇO CONTRA FISSURAÇÃO. AF_08/2022</t>
  </si>
  <si>
    <t>EMBOÇO OU MASSA ÚNICA EM ARGAMASSA TRAÇO 1:2:8, PREPARO MANUAL, APLICADA MANUALMENTE EM SUPERFÍCIES EXTERNAS DA SACADA, ESPESSURA DE 35 MM, SEM USO DE TELA METÁLICA DE REFORÇO CONTRA FISSURAÇÃO. AF_08/2022</t>
  </si>
  <si>
    <t>EMBOÇO OU MASSA ÚNICA EM ARGAMASSA INDUSTRIALIZADA, PREPARO MECÂNICO E APLICAÇÃO COM EQUIPAMENTO DE MISTURA E PROJEÇÃO DE 1,5 M3/H EM SUPERFÍCIES EXTERNAS DA SACADA, ESPESSURA 35 MM, SEM USO DE TELA METÁLICA. AF_08/2022</t>
  </si>
  <si>
    <t>EMBOÇO OU MASSA ÚNICA EM ARGAMASSA TRAÇO 1:2:8, PREPARO MECÂNICO COM BETONEIRA 400 L, APLICADA MANUALMENTE EM SUPERFÍCIES EXTERNAS DA SACADA, ESPESSURA DE 45 MM, SEM USO DE TELA METÁLICA DE REFORÇO CONTRA FISSURAÇÃO. AF_08/2022</t>
  </si>
  <si>
    <t>EMBOÇO OU MASSA ÚNICA EM ARGAMASSA TRAÇO 1:2:8, PREPARO MANUAL, APLICADA MANUALMENTE EM SUPERFÍCIES EXTERNAS DA SACADA, ESPESSURA DE 45 MM, SEM USO DE TELA METÁLICA DE REFORÇO CONTRA FISSURAÇÃO. AF_08/2022</t>
  </si>
  <si>
    <t>EMBOÇO OU MASSA ÚNICA EM ARGAMASSA INDUSTRIALIZADA, PREPARO MECÂNICO E APLICAÇÃO COM EQUIPAMENTO DE MISTURA E PROJEÇÃO DE 1,5 M3/H EM SUPERFÍCIES EXTERNAS DA SACADA, ESPESSURA 45 MM, SEM USO DE TELA METÁLICA. AF_08/2022</t>
  </si>
  <si>
    <t>EMBOÇO OU MASSA ÚNICA EM ARGAMASSA TRAÇO 1:2:8, PREPARO MECÂNICO COM BETONEIRA 400 L, APLICADA MANUALMENTE EM SUPERFÍCIES EXTERNAS DA SACADA, ESPESSURA MAIOR OU IGUAL A 50 MM, SEM USO DE TELA METÁLICA DE REFORÇO CONTRA FISSURAÇÃO. AF_08/2022</t>
  </si>
  <si>
    <t>EMBOÇO OU MASSA ÚNICA EM ARGAMASSA INDUSTRIALIZADA, PREPARO MECÂNICO E APLICAÇÃO COM EQUIPAMENTO DE MISTURA E PROJEÇÃO DE 1,5 M3/H EM SUPERFÍCIES EXTERNAS DA SACADA, ESPESSURA MAIOR OU IGUAL A 50 MM, SEM USO DE TELA METÁLICA. AF_08/2022</t>
  </si>
  <si>
    <t>EMBOÇO OU MASSA ÚNICA EM ARGAMASSA TRAÇO 1:2:8, PREPARO MECÂNICO COM BETONEIRA 400 L, APLICADA MANUALMENTE NAS PAREDES INTERNAS DA SACADA, ESPESSURA DE 25 MM, SEM USO DE TELA METÁLICA DE REFORÇO CONTRA FISSURAÇÃO. AF_08/2022</t>
  </si>
  <si>
    <t>EMBOÇO OU MASSA ÚNICA EM ARGAMASSA TRAÇO 1:2:8, PREPARO MANUAL, APLICADA MANUALMENTE NAS PAREDES INTERNAS DA SACADA, ESPESSURA DE 25 MM, SEM USO DE TELA METÁLICA DE REFORÇO CONTRA FISSURAÇÃO. AF_08/2022</t>
  </si>
  <si>
    <t>EMBOÇO OU MASSA ÚNICA EM ARGAMASSA INDUSTRIALIZADA, PREPARO MECÂNICO E APLICAÇÃO COM EQUIPAMENTO DE MISTURA E PROJEÇÃO DE 1,5 M3/H NAS PAREDES INTERNAS DA SACADA, ESPESSURA 25 MM, SEM USO DE TELA METÁLICA. AF_08/2022</t>
  </si>
  <si>
    <t>EMBOÇO OU MASSA ÚNICA EM ARGAMASSA TRAÇO 1:2:8, PREPARO MECÂNICO COM BETONEIRA 400 L, APLICADA MANUALMENTE NAS PAREDES INTERNAS DA SACADA, ESPESSURA DE 35 MM, SEM USO DE TELA METÁLICA DE REFORÇO CONTRA FISSURAÇÃO. AF_08/2022</t>
  </si>
  <si>
    <t>EMBOÇO OU MASSA ÚNICA EM ARGAMASSA TRAÇO 1:2:8, PREPARO MANUAL, APLICADA MANUALMENTE NAS PAREDES INTERNAS DA SACADA, ESPESSURA DE 35 MM, SEM USO DE TELA METÁLICA DE REFORÇO CONTRA FISSURAÇÃO. AF_08/2022</t>
  </si>
  <si>
    <t>EMBOÇO OU MASSA ÚNICA EM ARGAMASSA INDUSTRIALIZADA, PREPARO MECÂNICO E APLICAÇÃO COM EQUIPAMENTO DE MISTURA E PROJEÇÃO DE 1,5 M3/H DE ARGAMASSA NAS PAREDES INTERNAS DA SACADA, ESPESSURA 35 MM, SEM USO DE TELA METÁLICA. AF_08/2022</t>
  </si>
  <si>
    <t>EMBOÇO OU MASSA ÚNICA EM ARGAMASSA TRAÇO 1:2:8, PREPARO MECÂNICA COM BETONEIRA 400 L, APLICADA COM PROJETOR TIPO CANEQUINHA EM PANOS DE FACHADA COM PRESENÇA DE VÃOS, ESPESSURA DE 25 MM, ACESSO POR BALANCIM MANUAL. AF_08/2022</t>
  </si>
  <si>
    <t>EMBOÇO OU MASSA ÚNICA EM ARGAMASSA TRAÇO 1:2:8, PREPARO MECÂNICA COM BETONEIRA 400 L, APLICADA COM PROJETOR TIPO CANEQUINHA EM PANOS DE FACHADA COM PRESENÇA DE VÃOS, ESPESSURA DE 35 MM, ACESSO POR BALANCIM MANUAL. AF_08/2022</t>
  </si>
  <si>
    <t>EMBOÇO OU MASSA ÚNICA EM ARGAMASSA TRAÇO 1:2:8, PREPARO MECÂNICA COM BETONEIRA 400 L, APLICADA COM PROJETOR TIPO CANEQUINHA EM PANOS DE FACHADA COM PRESENÇA DE VÃOS, ESPESSURA DE 45 MM, ACESSO POR BALANCIM MANUAL. AF_08/2022</t>
  </si>
  <si>
    <t>EMBOÇO OU MASSA ÚNICA EM ARGAMASSA TRAÇO 1:2:8, PREPARO MECÂNICA COM BETONEIRA 400 L, APLICADA COM PROJETOR TIPO CANEQUINHA EM PANOS DE FACHADA COM PRESENÇA DE VÃOS, ESPESSURA DE 50 MM, ACESSO POR BALANCIM MANUAL. AF_08/2022</t>
  </si>
  <si>
    <t>EMBOÇO OU MASSA ÚNICA EM ARGAMASSA TRAÇO 1:2:8, PREPARO MECÂNICA COM BETONEIRA 400 L, APLICADA COM PROJETOR TIPO CANEQUINHA EM PANOS DE FACHADA SEM PRESENÇA DE VÃOS, ESPESSURA DE 25 MM, ACESSO POR BALANCIM MANUAL. AF_08/2022</t>
  </si>
  <si>
    <t>EMBOÇO OU MASSA ÚNICA EM ARGAMASSA TRAÇO 1:2:8, PREPARO MECÂNICA COM BETONEIRA 400 L, APLICADA COM PROJETOR TIPO CANEQUINHA EM PANOS DE FACHADA SEM PRESENÇA DE VÃOS, ESPESSURA DE 35 MM, ACESSO POR BALANCIM MANUAL. AF_08/2022</t>
  </si>
  <si>
    <t>EMBOÇO OU MASSA ÚNICA EM ARGAMASSA TRAÇO 1:2:8, PREPARO MECÂNICA COM BETONEIRA 400 L, APLICADA COM PROJETOR TIPO CANEQUINHA EM PANOS DE FACHADA SEM PRESENÇA DE VÃOS, ESPESSURA DE 45 MM, ACESSO POR BALANCIM MANUAL. AF_08/2022</t>
  </si>
  <si>
    <t>EMBOÇO OU MASSA ÚNICA EM ARGAMASSA TRAÇO 1:2:8, PREPARO MECÂNICA COM BETONEIRA 400 L, APLICADA COM PROJETOR TIPO CANEQUINHA EM PANOS DE FACHADA SEM PRESENÇA DE VÃOS, ESPESSURA DE 50 MM, ACESSO POR BALANCIM MANUAL. AF_08/2022</t>
  </si>
  <si>
    <t>EMBOÇO OU MASSA ÚNICA EM ARGAMASSA TRAÇO 1:2:8, PREPARO MECÂNICA COM BETONEIRA 400 L, APLICADA COM PROJETOR TIPO CANEQUINHA EM SUPERFÍCIES EXTERNAS DA SACADA, ESPESSURA DE 25 MM, ACESSO POR BALANCIM MANUAL, SEM USO DE TELA METÁLICA. AF_08/2022</t>
  </si>
  <si>
    <t>EMBOÇO OU MASSA ÚNICA EM ARGAMASSA TRAÇO 1:2:8, PREPARO MECÂNICA COM BETONEIRA 400 L, APLICADA COM PROJETOR TIPO CANEQUINHA EM SUPERFÍCIES EXTERNAS DA SACADA, ESPESSURA DE 35 MM, ACESSO POR BALANCIM MANUAL, SEM USO DE TELA METÁLICA. AF_08/2022</t>
  </si>
  <si>
    <t>EMBOÇO OU MASSA ÚNICA EM ARGAMASSA TRAÇO 1:2:8, PREPARO MECÂNICA COM BETONEIRA 400 L, APLICADA COM PROJETOR TIPO CANEQUINHA EM SUPERFÍCIES EXTERNAS DA SACADA, ESPESSURA DE 45 MM, ACESSO POR BALANCIM MANUAL, SEM USO DE TELA METÁLICA. AF_08/2022</t>
  </si>
  <si>
    <t>EMBOÇO OU MASSA ÚNICA EM ARGAMASSA TRAÇO 1:2:8, PREPARO MECÂNICA COM BETONEIRA 400 L, APLICADA COM PROJETOR TIPO CANEQUINHA EM SUPERFÍCIES EXTERNAS DA SACADA, ESPESSURA DE 50 MM, ACESSO POR BALANCIM MANUAL, SEM USO DE TELA METÁLICA. AF_08/2022</t>
  </si>
  <si>
    <t>EMBOÇO OU MASSA ÚNICA EM ARGAMASSA TRAÇO 1:2:8, PREPARO MECÂNICA COM BETONEIRA 400 L, APLICADA COM PROJETOR TIPO CANEQUINHA EM SUPERFÍCIES INTERNAS DA SACADA, ESPESSURA DE 35 MM, SEM USO DE TELA METÁLICA. AF_08/2022</t>
  </si>
  <si>
    <t>EMBOÇO OU MASSA ÚNICA EM ARGAMASSA TRAÇO 1:2:8, PREPARO MECÂNICA COM BETONEIRA 400 L, APLICADA MANUALMENTE EM PANOS DE FACHADA COM PRESENÇA DE VÃOS, ESPESSURA DE 25 MM, ACESSO POR ANDAIME. AF_08/2022</t>
  </si>
  <si>
    <t>EMBOÇO OU MASSA ÚNICA EM ARGAMASSA TRAÇO 1:2:8, PREPARO MANUAL, APLICADA MANUALMENTE EM PANOS DE FACHADA COM PRESENÇA DE VÃOS, ESPESSURA DE 25 MM, ACESSO POR ANDAIME. AF_08/2022</t>
  </si>
  <si>
    <t>EMBOÇO OU MASSA ÚNICA EM ARGAMASSA INDUSTRIALIZADA, PREPARO MECÂNICA E APLICAÇÃO COM EQUIPAMENTO DE MISTURA E PROJEÇÃO DE 1,5 M3/H DE ARGAMASSA EM PANOS DE FACHADA COM PRESENÇA DE VÃOS, ESPESSURA DE 25 MM, ACESSO POR ANDAIME. AF_08/2022</t>
  </si>
  <si>
    <t>EMBOÇO OU MASSA ÚNICA EM ARGAMASSA TRAÇO 1:2:8, PREPARO MECÂNICA COM BETONEIRA 400 L, APLICADA COM PROJETOR TIPO CANEQUINHA EM PANOS DE FACHADA COM PRESENÇA DE VÃOS, ESPESSURA DE 25 MM, ACESSO POR ANDAIME. AF_08/2022</t>
  </si>
  <si>
    <t>EMBOÇO OU MASSA ÚNICA EM ARGAMASSA TRAÇO 1:2:8, PREPARO MECÂNICA COM BETONEIRA 400 L, APLICADA MANUALMENTE EM PANOS DE FACHADA COM PRESENÇA DE VÃOS, ESPESSURA DE 35 MM, ACESSO POR ANDAIME. AF_08/2022</t>
  </si>
  <si>
    <t>EMBOÇO OU MASSA ÚNICA EM ARGAMASSA TRAÇO 1:2:8, PREPARO MANUAL, APLICADA MANUALMENTE EM PANOS DE FACHADA COM PRESENÇA DE VÃOS, ESPESSURA DE 35 MM, ACESSO POR ANDAIME. AF_08/2022</t>
  </si>
  <si>
    <t>EMBOÇO OU MASSA ÚNICA EM ARGAMASSA INDUSTRIALIZADA, PREPARO MECÂNICA E APLICAÇÃO COM EQUIPAMENTO DE MISTURA E PROJEÇÃO DE 1,5 M3/H DE ARGAMASSA EM PANOS DE FACHADA COM PRESENÇA DE VÃOS, ESPESSURA DE 35 MM, ACESSO POR ANDAIME. AF_08/2022</t>
  </si>
  <si>
    <t>EMBOÇO OU MASSA ÚNICA EM ARGAMASSA TRAÇO 1:2:8, PREPARO MECÂNICA COM BETONEIRA 400 L, APLICADA COM PROJETOR TIPO CANEQUINHA EM PANOS DE FACHADA COM PRESENÇA DE VÃOS, ESPESSURA DE 35 MM, ACESSO POR ANDAIME. AF_08/2022</t>
  </si>
  <si>
    <t>EMBOÇO OU MASSA ÚNICA EM ARGAMASSA TRAÇO 1:2:8, PREPARO MECÂNICA COM BETONEIRA 400 L, APLICADA MANUALMENTE EM PANOS DE FACHADA COM PRESENÇA DE VÃOS, ESPESSURA DE 45 MM, ACESSO POR ANDAIME. AF_08/2022</t>
  </si>
  <si>
    <t>EMBOÇO OU MASSA ÚNICA EM ARGAMASSA TRAÇO 1:2:8, PREPARO MANUAL, APLICADA MANUALMENTE EM PANOS DE FACHADA COM PRESENÇA DE VÃOS, ESPESSURA DE 45 MM, ACESSO POR ANDAIME. AF_08/2022</t>
  </si>
  <si>
    <t>EMBOÇO OU MASSA ÚNICA EM ARGAMASSA INDUSTRIALIZADA, PREPARO MECÂNICA E APLICAÇÃO COM EQUIPAMENTO DE MISTURA E PROJEÇÃO DE 1,5 M3/H DE ARGAMASSA EM PANOS DE FACHADA COM PRESENÇA DE VÃOS, ESPESSURA DE 45 MM, ACESSO POR ANDAIME. AF_08/2022</t>
  </si>
  <si>
    <t>EMBOÇO OU MASSA ÚNICA EM ARGAMASSA TRAÇO 1:2:8, PREPARO MECÂNICA COM BETONEIRA 400 L, APLICADA COM PROJETOR TIPO CANEQUINHA EM PANOS DE FACHADA COM PRESENÇA DE VÃOS, ESPESSURA DE 45 MM, ACESSO POR ANDAIME. AF_08/2022</t>
  </si>
  <si>
    <t>EMBOÇO OU MASSA ÚNICA EM ARGAMASSA TRAÇO 1:2:8, PREPARO MECÂNICA COM BETONEIRA 400 L, APLICADA MANUALMENTE EM PANOS DE FACHADA COM PRESENÇA DE VÃOS, ESPESSURA DE 50 MM, ACESSO POR ANDAIME. AF_08/2022</t>
  </si>
  <si>
    <t>EMBOÇO OU MASSA ÚNICA EM ARGAMASSA TRAÇO 1:2:8, PREPARO MANUAL, APLICADA MANUALMENTE EM PANOS DE FACHADA COM PRESENÇA DE VÃOS, ESPESSURA DE 50 MM, ACESSO POR ANDAIME. AF_08/2022</t>
  </si>
  <si>
    <t>EMBOÇO OU MASSA ÚNICA EM ARGAMASSA INDUSTRIALIZADA, PREPARO MECÂNICA E APLICAÇÃO COM EQUIPAMENTO DE MISTURA E PROJEÇÃO DE 1,5 M3/H DE ARGAMASSA EM PANOS DE FACHADA COM PRESENÇA DE VÃOS, ESPESSURA DE 50 MM, ACESSO POR ANDAIME. AF_08/2022</t>
  </si>
  <si>
    <t>EMBOÇO OU MASSA ÚNICA EM ARGAMASSA TRAÇO 1:2:8, PREPARO MECÂNICA COM BETONEIRA 400 L, APLICADA COM PROJETOR TIPO CANEQUINHA EM PANOS DE FACHADA COM PRESENÇA DE VÃOS, ESPESSURA DE 50 MM, ACESSO POR ANDAIME. AF_08/2022</t>
  </si>
  <si>
    <t>EMBOÇO OU MASSA ÚNICA EM ARGAMASSA TRAÇO 1:2:8, PREPARO MECÂNICA COM BETONEIRA 400 L, APLICADA MANUALMENTE EM PANOS DE FACHADA SEM PRESENÇA DE VÃOS, ESPESSURA DE 25 MM, ACESSO POR ANDAIME. AF_08/2022</t>
  </si>
  <si>
    <t>EMBOÇO OU MASSA ÚNICA EM ARGAMASSA TRAÇO 1:2:8, PREPARO MANUAL, APLICADA MANUALMENTE EM PANOS DE FACHADA SEM PRESENÇA DE VÃOS, ESPESSURA DE 25 MM, ACESSO POR ANDAIME. AF_08/2022</t>
  </si>
  <si>
    <t>EMBOÇO OU MASSA ÚNICA EM ARGAMASSA INDUSTRIALIZADA, PREPARO MECÂNICA E APLICAÇÃO COM EQUIPAMENTO DE MISTURA E PROJEÇÃO DE 1,5 M3/H DE ARGAMASSA EM PANOS DE FACHADA SEM PRESENÇA DE VÃOS, ESPESSURA DE 25 MM, ACESSO POR ANDAIME. AF_08/2022</t>
  </si>
  <si>
    <t>EMBOÇO OU MASSA ÚNICA EM ARGAMASSA TRAÇO 1:2:8, PREPARO MECÂNICA COM BETONEIRA 400 L, APLICADA COM PROJETOR TIPO CANEQUINHA EM PANOS DE FACHADA SEM PRESENÇA DE VÃOS, ESPESSURA DE 25 MM, ACESSO POR ANDAIME. AF_08/2022</t>
  </si>
  <si>
    <t>EMBOÇO OU MASSA ÚNICA EM ARGAMASSA TRAÇO 1:2:8, PREPARO MECÂNICA COM BETONEIRA 400 L, APLICADA MANUALMENTE EM PANOS DE FACHADA SEM PRESENÇA DE VÃOS, ESPESSURA DE 35 MM, ACESSO POR ANDAIME. AF_08/2022</t>
  </si>
  <si>
    <t>EMBOÇO OU MASSA ÚNICA EM ARGAMASSA TRAÇO 1:2:8, PREPARO MANUAL, APLICADA MANUALMENTE EM PANOS DE FACHADA SEM PRESENÇA DE VÃOS, ESPESSURA DE 35 MM, ACESSO POR ANDAIME. AF_08/2022</t>
  </si>
  <si>
    <t>EMBOÇO OU MASSA ÚNICA EM ARGAMASSA INDUSTRIALIZADA, PREPARO MECÂNICA E APLICAÇÃO COM EQUIPAMENTO DE MISTURA E PROJEÇÃO DE 1,5 M3/H DE ARGAMASSA EM PANOS DE FACHADA SEM PRESENÇA DE VÃOS, ESPESSURA DE 35 MM, ACESSO POR ANDAIME. AF_08/2022</t>
  </si>
  <si>
    <t>EMBOÇO OU MASSA ÚNICA EM ARGAMASSA TRAÇO 1:2:8, PREPARO MECÂNICA COM BETONEIRA 400 L, APLICADA COM PROJETOR TIPO CANEQUINHA EM PANOS DE FACHADA SEM PRESENÇA DE VÃOS, ESPESSURA DE 35 MM, ACESSO POR ANDAIME. AF_08/2022</t>
  </si>
  <si>
    <t>EMBOÇO OU MASSA ÚNICA EM ARGAMASSA TRAÇO 1:2:8, PREPARO MECÂNICA COM BETONEIRA 400 L, APLICADA MANUALMENTE EM PANOS DE FACHADA SEM PRESENÇA DE VÃOS, ESPESSURA DE 45 MM, ACESSO POR ANDAIME. AF_08/2022</t>
  </si>
  <si>
    <t>EMBOÇO OU MASSA ÚNICA EM ARGAMASSA TRAÇO 1:2:8, PREPARO MANUAL, APLICADA MANUALMENTE EM PANOS DE FACHADA SEM PRESENÇA DE VÃOS, ESPESSURA DE 45 MM, ACESSO POR ANDAIME. AF_08/2022</t>
  </si>
  <si>
    <t>EMBOÇO OU MASSA ÚNICA EM ARGAMASSA INDUSTRIALIZADA, PREPARO MECÂNICA E APLICAÇÃO COM EQUIPAMENTO DE MISTURA E PROJEÇÃO DE 1,5 M3/H DE ARGAMASSA EM PANOS DE FACHADA SEM PRESENÇA DE VÃOS, ESPESSURA DE 45 MM, ACESSO POR ANDAIME. AF_08/2022</t>
  </si>
  <si>
    <t>EMBOÇO OU MASSA ÚNICA EM ARGAMASSA TRAÇO 1:2:8, PREPARO MECÂNICA COM BETONEIRA 400 L, APLICADA COM PROJETOR TIPO CANEQUINHA EM PANOS DE FACHADA SEM PRESENÇA DE VÃOS, ESPESSURA DE 45 MM, ACESSO POR ANDAIME. AF_08/2022</t>
  </si>
  <si>
    <t>EMBOÇO OU MASSA ÚNICA EM ARGAMASSA TRAÇO 1:2:8, PREPARO MECÂNICA COM BETONEIRA 400 L, APLICADA MANUALMENTE EM PANOS DE FACHADA SEM PRESENÇA DE VÃOS, ESPESSURA DE 50 MM, ACESSO POR ANDAIME. AF_08/2022</t>
  </si>
  <si>
    <t>EMBOÇO OU MASSA ÚNICA EM ARGAMASSA TRAÇO 1:2:8, PREPARO MANUAL, APLICADA MANUALMENTE EM PANOS DE FACHADA SEM PRESENÇA DE VÃOS, ESPESSURA DE 50 MM, ACESSO POR ANDAIME. AF_08/2022</t>
  </si>
  <si>
    <t>EMBOÇO OU MASSA ÚNICA EM ARGAMASSA INDUSTRIALIZADA, PREPARO MECÂNICA E APLICAÇÃO COM EQUIPAMENTO DE MISTURA E PROJEÇÃO DE 1,5 M3/H DE ARGAMASSA EM PANOS DE FACHADA SEM PRESENÇA DE VÃOS, ESPESSURA DE 50 MM, ACESSO POR ANDAIME. AF_08/2022</t>
  </si>
  <si>
    <t>EMBOÇO OU MASSA ÚNICA EM ARGAMASSA TRAÇO 1:2:8, PREPARO MECÂNICA COM BETONEIRA 400 L, APLICADA COM PROJETOR TIPO CANEQUINHA EM PANOS DE FACHADA SEM PRESENÇA DE VÃOS, ESPESSURA DE 50 MM, ACESSO POR ANDAIME. AF_08/2022</t>
  </si>
  <si>
    <t>EMBOÇO OU MASSA ÚNICA EM ARGAMASSA TRAÇO 1:2:8, PREPARO MECÂNICA COM BETONEIRA 400 L, APLICADA MANUALMENTE EM SUPERFÍCIES EXTERNAS DA SACADA, ESPESSURA DE 25 MM, ACESSO POR ANDAIME, SEM USO DE TELA METÁLICA. AF_08/2022</t>
  </si>
  <si>
    <t>EMBOÇO OU MASSA ÚNICA EM ARGAMASSA TRAÇO 1:2:8, PREPARO MANUAL, APLICADA MANUALMENTE EM SUPERFÍCIES EXTERNAS DA SACADA, ESPESSURA DE 25 MM, ACESSO POR ANDAIME, SEM USO DE TELA METÁLICA. AF_08/2022</t>
  </si>
  <si>
    <t>EMBOÇO OU MASSA ÚNICA EM ARGAMASSA TRAÇO 1:2:8, PREPARO MECÂNICA COM BETONEIRA 400 L, APLICADA COM PROJETOR TIPO CANEQUINHA EM SUPERFÍCIES EXTERNAS DA SACADA, ESPESSURA DE 25 MM, ACESSO POR ANDAIME, SEM USO DE TELA METÁLICA. AF_08/2022</t>
  </si>
  <si>
    <t>EMBOÇO OU MASSA ÚNICA EM ARGAMASSA TRAÇO 1:2:8, PREPARO MECÂNICA COM BETONEIRA 400 L, APLICADA MANUALMENTE EM SUPERFÍCIES EXTERNAS DA SACADA, ESPESSURA DE 35 MM, ACESSO POR ANDAIME, SEM USO DE TELA METÁLICA. AF_08/2022</t>
  </si>
  <si>
    <t>EMBOÇO OU MASSA ÚNICA EM ARGAMASSA TRAÇO 1:2:8, PREPARO MANUAL, APLICADA MANUALMENTE EM SUPERFÍCIES EXTERNAS DA SACADA, ESPESSURA DE 35 MM, ACESSO POR ANDAIME, SEM USO DE TELA METÁLICA. AF_08/2022</t>
  </si>
  <si>
    <t>EMBOÇO OU MASSA ÚNICA EM ARGAMASSA TRAÇO 1:2:8, PREPARO MECÂNICO COM BETONEIRA 400 L, APLICADA COM PROJETOR TIPO CANEQUINHA EM SUPERFÍCIES EXTERNAS DA SACADA, ESPESSURA DE 35 MM, ACESSO POR ANDAIME, SEM USO DE TELA METÁLICA. AF_08/2022</t>
  </si>
  <si>
    <t>EMBOÇO OU MASSA ÚNICA EM ARGAMASSA TRAÇO 1:2:8, PREPARO MECÂNICO COM BETONEIRA 400 L, APLICADA MANUALMENTE EM SUPERFÍCIES EXTERNAS DA SACADA, ESPESSURA DE 45 MM, ACESSO POR ANDAIME, SEM USO DE TELA METÁLICA. AF_08/2022</t>
  </si>
  <si>
    <t>EMBOÇO OU MASSA ÚNICA EM ARGAMASSA TRAÇO 1:2:8, PREPARO MANUAL, APLICADA MANUALMENTE EM SUPERFÍCIES EXTERNAS DA SACADA, ESPESSURA DE 45 MM, ACESSO POR ANDAIME, SEM USO DE TELA METÁLICA. AF_08/2022</t>
  </si>
  <si>
    <t>EMBOÇO OU MASSA ÚNICA EM ARGAMASSA TRAÇO 1:2:8, PREPARO MECÂNICO COM BETONEIRA 400 L, APLICADA COM PROJETOR TIPO CANEQUINHA EM SUPERFÍCIES EXTERNAS DA SACADA, ESPESSURA DE 45 MM, ACESSO POR ANDAIME, SEM USO DE TELA METÁLICA. AF_08/2022</t>
  </si>
  <si>
    <t>EMBOÇO OU MASSA ÚNICA EM ARGAMASSA TRAÇO 1:2:8, PREPARO MECÂNICO COM BETONEIRA 400 L, APLICADA MANUALMENTE EM SUPERFÍCIES EXTERNAS DA SACADA, ESPESSURA DE 50 MM, ACESSO POR ANDAIME, SEM USO DE TELA METÁLICA. AF_08/2022</t>
  </si>
  <si>
    <t>EMBOÇO OU MASSA ÚNICA EM ARGAMASSA TRAÇO 1:2:8, PREPARO MANUAL, APLICADA MANUALMENTE EM SUPERFÍCIES EXTERNAS DA SACADA, ESPESSURA DE 50 MM, ACESSO POR ANDAIME, SEM USO DE TELA METÁLICA. AF_08/2022</t>
  </si>
  <si>
    <t>EMBOÇO OU MASSA ÚNICA EM ARGAMASSA TRAÇO 1:2:8, PREPARO MECÂNICO COM BETONEIRA 400 L, APLICADA COM PROJETOR TIPO CANEQUINHA EM SUPERFÍCIES EXTERNAS DA SACADA, ESPESSURA DE 50 MM, ACESSO POR ANDAIME, SEM USO DE TELA METÁLICA. AF_08/2022</t>
  </si>
  <si>
    <t>APLICAÇÃO MANUAL DE GESSO DESEMPENADO (SEM TALISCAS) EM TETO DE AMBIENTES COM PAREDES EM PÉ DIREITO DUPLO E ÁREA MAIOR QUE 10M², ESPESSURA DE 0,5CM. AF_03/2023</t>
  </si>
  <si>
    <t>APLICAÇÃO MANUAL DE GESSO DESEMPENADO (SEM TALISCAS) EM TETO DE AMBIENTES COM PAREDES EM PÉ DIREITO DUPLO E ÁREA ENTRE 5M² E 10M², ESPESSURA DE 0,5CM. AF_03/2023</t>
  </si>
  <si>
    <t>APLICAÇÃO MANUAL DE GESSO DESEMPENADO (SEM TALISCAS) EM TETO DE AMBIENTES COM PAREDES EM PÉ DIREITO DUPLO E ÁREA MENOR QUE 5M², ESPESSURA DE 0,5CM. AF_03/2023</t>
  </si>
  <si>
    <t>APLICAÇÃO MANUAL DE GESSO DESEMPENADO (SEM TALISCAS) EM TETO DE AMBIENTES COM PAREDES EM PÉ DIREITO DUPLO E ÁREA MAIOR QUE 10M², ESPESSURA DE 1,0CM. AF_03/2023</t>
  </si>
  <si>
    <t>APLICAÇÃO MANUAL DE GESSO DESEMPENADO (SEM TALISCAS) EM TETO DE AMBIENTES COM PAREDES EM PÉ DIREITO DUPLO E ÁREA ENTRE 5M² E 10M², ESPESSURA DE 1,0CM. AF_03/2023</t>
  </si>
  <si>
    <t>APLICAÇÃO MANUAL DE GESSO DESEMPENADO (SEM TALISCAS) EM TETO DE AMBIENTES COM PAREDES EM PÉ DIREITO DUPLO E ÁREA MENOR QUE 5M², ESPESSURA DE 1,0CM. AF_03/2023</t>
  </si>
  <si>
    <t>APLICAÇÃO MANUAL DE GESSO DESEMPENADO (SEM TALISCAS) EM PAREDES COM PÉ DIREITO DUPLO, ESPESSURA DE 0,5CM. AF_03/2023</t>
  </si>
  <si>
    <t>APLICAÇÃO MANUAL DE GESSO DESEMPENADO (SEM TALISCAS) EM PAREDES COM PÉ DIREITO DUPLO, ESPESSURA DE 1,0CM. AF_03/2023</t>
  </si>
  <si>
    <t>APLICAÇÃO MANUAL DE GESSO SARRAFEADO (COM TALISCAS) EM PAREDES COM PÉ DIREITO DUPLO, ESPESSURA DE 1,0CM. AF_03/2023</t>
  </si>
  <si>
    <t>APLICAÇÃO MANUAL DE GESSO SARRAFEADO (COM TALISCAS) EM PAREDES COM PÉ DIREITO DUPLO, ESPESSURA DE 1,5CM. AF_03/2023</t>
  </si>
  <si>
    <t>REVESTIMENTO CERÂMICO PARA PAREDES EXTERNAS EM PASTILHAS DE PORCELANA 5 X 5 CM (PLACAS DE 30 X 30 CM), ALINHADAS A PRUMO. AF_02/2023</t>
  </si>
  <si>
    <t>REVESTIMENTO CERÂMICO PARA PAREDES EXTERNAS EM PASTILHAS DE PORCELANA 5 X 5 CM (PLACAS DE 30 X 30 CM), ALINHADAS A PRUMO, APLICADO EM SUPERFÍCIES INTERNAS DE SACADA. AF_02/2023</t>
  </si>
  <si>
    <t>REVESTIMENTO CERÂMICO PARA PAREDES EXTERNAS EM PASTILHAS DE PORCELANA 2,5 X 2,5 CM (PLACAS DE 30 X 30 CM), ALINHADAS A PRUMO. AF_02/2023</t>
  </si>
  <si>
    <t>REVESTIMENTO CERÂMICO PARA PAREDES EXTERNAS EM PASTILHAS DE PORCELANA 2,5 X 2,5 CM (PLACAS DE 30 X 30 CM), ALINHADAS A PRUMO, APLICADO EM SUPERFÍCIES INTERNAS DE SACADA. AF_02/2023</t>
  </si>
  <si>
    <t>REVESTIMENTO CERÂMICO PARA PAREDES INTERNAS COM PLACAS TIPO PASTILHA DE DIMENSÕES 5 X 5 CM (PLACAS DE 30 X 30 CM) CM APLICADAS NA ALTURA INTEIRA DAS PAREDES. AF_02/2023</t>
  </si>
  <si>
    <t>REVESTIMENTO CERÂMICO PARA PAREDES INTERNAS COM PLACAS TIPO PASTILHA DE DIMENSÕES 2,5 X 2,5 CM (PLACAS DE 30 X 30 CM) CM APLICADAS NA ALTURA INTEIRA DAS PAREDES. AF_02/2023</t>
  </si>
  <si>
    <t>REVESTIMENTO CERÂMICO PARA PAREDES INTERNAS COM PLACAS TIPO PASTILHA DE DIMENSÕES 5 X 5 CM (PLACAS DE 30 X 30 CM) CM APLICADAS A MEIA ALTURA DAS PAREDES. AF_02/2023</t>
  </si>
  <si>
    <t>REVESTIMENTO CERÂMICO PARA PAREDES INTERNAS COM PLACAS TIPO PASTILHA DE DIMENSÕES 2,5 X 2,5 CM (PLACAS DE 30 X 30 CM) CM APLICADAS A MEIA ALTURA DAS PAREDES. AF_02/2023</t>
  </si>
  <si>
    <t>CHAPIM SOBRE MUROS LINEARES, EM GRANITO OU MÁRMORE, L = 25 CM, ASSENTADO COM ARGAMASSA 1:6 COM ADITIVO. AF_11/2020</t>
  </si>
  <si>
    <t>CHAPIM (RUFO CAPA) EM AÇO GALVANIZADO, CORTE 33. AF_11/2020</t>
  </si>
  <si>
    <t>ARGAMASSA TRAÇO 1:7 (EM VOLUME DE CIMENTO E AREIA MÉDIA ÚMIDA) COM ADIÇÃO DE PLASTIFICANTE PARA EMBOÇO/MASSA ÚNICA/ASSENTAMENTO DE ALVENARIA DE VEDAÇÃO, PREPARO MECÂNICO COM BETONEIRA 400 L. AF_08/2019</t>
  </si>
  <si>
    <t>ARGAMASSA TRAÇO 1:7 (EM VOLUME DE CIMENTO E AREIA MÉDIA ÚMIDA) COM ADIÇÃO DE PLASTIFICANTE PARA EMBOÇO/MASSA ÚNICA/ASSENTAMENTO DE ALVENARIA DE VEDAÇÃO, PREPARO MECÂNICO COM BETONEIRA 600 L. AF_08/2019</t>
  </si>
  <si>
    <t>ARGAMASSA TRAÇO 1:6 (EM VOLUME DE CIMENTO E AREIA MÉDIA ÚMIDA) COM ADIÇÃO DE PLASTIFICANTE PARA EMBOÇO/MASSA ÚNICA/ASSENTAMENTO DE ALVENARIA DE VEDAÇÃO, PREPARO MECÂNICO COM BETONEIRA 400 L. AF_08/2019</t>
  </si>
  <si>
    <t>ARGAMASSA TRAÇO 1:6 (EM VOLUME DE CIMENTO E AREIA MÉDIA ÚMIDA) COM ADIÇÃO DE PLASTIFICANTE PARA EMBOÇO/MASSA ÚNICA/ASSENTAMENTO DE ALVENARIA DE VEDAÇÃO, PREPARO MECÂNICO COM BETONEIRA 600 L. AF_08/2019</t>
  </si>
  <si>
    <t>ARGAMASSA TRAÇO 1:1:6 (EM VOLUME DE CIMENTO, CAL E AREIA MÉDIA ÚMIDA) PARA EMBOÇO/MASSA ÚNICA/ASSENTAMENTO DE ALVENARIA DE VEDAÇÃO, PREPARO MECÂNICO COM BETONEIRA 400 L. AF_08/2019</t>
  </si>
  <si>
    <t>ARGAMASSA TRAÇO 1:1:6 (EM VOLUME DE CIMENTO, CAL E AREIA MÉDIA ÚMIDA) PARA EMBOÇO/MASSA ÚNICA/ASSENTAMENTO DE ALVENARIA DE VEDAÇÃO, PREPARO MECÂNICO COM BETONEIRA 600 L. AF_08/2019</t>
  </si>
  <si>
    <t>ARGAMASSA TRAÇO 1:1,5:7,5 (EM VOLUME DE CIMENTO, CAL E AREIA MÉDIA ÚMIDA) PARA EMBOÇO/MASSA ÚNICA/ASSENTAMENTO DE ALVENARIA DE VEDAÇÃO, PREPARO MECÂNICO COM BETONEIRA 400 L. AF_08/2019</t>
  </si>
  <si>
    <t>ARGAMASSA TRAÇO 1:1,5:7,5 (EM VOLUME DE CIMENTO, CAL E AREIA MÉDIA ÚMIDA) PARA EMBOÇO/MASSA ÚNICA/ASSENTAMENTO DE ALVENARIA DE VEDAÇÃO, PREPARO MECÂNICO COM BETONEIRA 600 L. AF_08/2019</t>
  </si>
  <si>
    <t>ARGAMASSA TRAÇO 1:2:8 (EM VOLUME DE CIMENTO, CAL E AREIA MÉDIA ÚMIDA) PARA EMBOÇO/MASSA ÚNICA/ASSENTAMENTO DE ALVENARIA DE VEDAÇÃO, PREPARO MECÂNICO COM BETONEIRA 400 L. AF_08/2019</t>
  </si>
  <si>
    <t>ARGAMASSA TRAÇO 1:2:9 (EM VOLUME DE CIMENTO, CAL E AREIA MÉDIA ÚMIDA) PARA EMBOÇO/MASSA ÚNICA/ASSENTAMENTO DE ALVENARIA DE VEDAÇÃO, PREPARO MECÂNICO COM BETONEIRA 600 L. AF_08/2019</t>
  </si>
  <si>
    <t>ARGAMASSA TRAÇO 1:3:12 (EM VOLUME DE CIMENTO, CAL E AREIA MÉDIA ÚMIDA) PARA EMBOÇO/MASSA ÚNICA/ASSENTAMENTO DE ALVENARIA DE VEDAÇÃO, PREPARO MECÂNICO COM BETONEIRA 400 L. AF_08/2019</t>
  </si>
  <si>
    <t>ARGAMASSA TRAÇO 1:3:12 (EM VOLUME DE CIMENTO, CAL E AREIA MÉDIA ÚMIDA) PARA EMBOÇO/MASSA ÚNICA/ASSENTAMENTO DE ALVENARIA DE VEDAÇÃO, PREPARO MECÂNICO COM BETONEIRA 600 L. AF_08/2019</t>
  </si>
  <si>
    <t>ARGAMASSA TRAÇO 1:3 (EM VOLUME DE CIMENTO E AREIA MÉDIA ÚMIDA) PARA CONTRAPISO, PREPARO MECÂNICO COM BETONEIRA 400 L. AF_08/2019</t>
  </si>
  <si>
    <t>ARGAMASSA TRAÇO 1:3 (EM VOLUME DE CIMENTO E AREIA MÉDIA ÚMIDA) PARA CONTRAPISO, PREPARO MECÂNICO COM BETONEIRA 600 L. AF_08/2019</t>
  </si>
  <si>
    <t>ARGAMASSA TRAÇO 1:4 (EM VOLUME DE CIMENTO E AREIA MÉDIA ÚMIDA) PARA CONTRAPISO, PREPARO MECÂNICO COM BETONEIRA 400 L. AF_08/2019</t>
  </si>
  <si>
    <t>ARGAMASSA TRAÇO 1:4 (EM VOLUME DE CIMENTO E AREIA MÉDIA ÚMIDA) PARA CONTRAPISO, PREPARO MECÂNICO COM BETONEIRA 600 L. AF_08/2019</t>
  </si>
  <si>
    <t>ARGAMASSA TRAÇO 1:5 (EM VOLUME DE CIMENTO E AREIA MÉDIA ÚMIDA) PARA CONTRAPISO, PREPARO MECÂNICO COM BETONEIRA 400 L. AF_08/2019</t>
  </si>
  <si>
    <t>ARGAMASSA TRAÇO 1:5 (EM VOLUME DE CIMENTO E AREIA MÉDIA ÚMIDA) PARA CONTRAPISO, PREPARO MECÂNICO COM BETONEIRA 600 L. AF_08/2019</t>
  </si>
  <si>
    <t>ARGAMASSA TRAÇO 1:6 (EM VOLUME DE CIMENTO E AREIA MÉDIA ÚMIDA) PARA CONTRAPISO, PREPARO MECÂNICO COM BETONEIRA 400 L. AF_08/2019</t>
  </si>
  <si>
    <t>ARGAMASSA TRAÇO 1:6 (EM VOLUME DE CIMENTO E AREIA MÉDIA ÚMIDA) PARA CONTRAPISO, PREPARO MECÂNICO COM BETONEIRA 600 L. AF_08/2019</t>
  </si>
  <si>
    <t>ARGAMASSA TRAÇO 1:5 (EM VOLUME DE CIMENTO E AREIA GROSSA ÚMIDA) PARA CHAPISCO CONVENCIONAL, PREPARO MECÂNICO COM BETONEIRA 400 L. AF_08/2019</t>
  </si>
  <si>
    <t>ARGAMASSA TRAÇO 1:5 (EM VOLUME DE CIMENTO E AREIA GROSSA ÚMIDA) PARA CHAPISCO CONVENCIONAL, PREPARO MECÂNICO COM BETONEIRA 600 L. AF_08/2019</t>
  </si>
  <si>
    <t>ARGAMASSA TRAÇO 1:3 (EM VOLUME DE CIMENTO E AREIA GROSSA ÚMIDA) PARA CHAPISCO CONVENCIONAL, PREPARO MECÂNICO COM BETONEIRA 400 L. AF_08/2019</t>
  </si>
  <si>
    <t>ARGAMASSA TRAÇO 1:3 (EM VOLUME DE CIMENTO E AREIA GROSSA ÚMIDA) PARA CHAPISCO CONVENCIONAL, PREPARO MECÂNICO COM BETONEIRA 600 L. AF_08/2019</t>
  </si>
  <si>
    <t>ARGAMASSA TRAÇO 1:4 (EM VOLUME DE CIMENTO E AREIA GROSSA ÚMIDA) PARA CHAPISCO CONVENCIONAL, PREPARO MECÂNICO COM BETONEIRA 400 L. AF_08/2019</t>
  </si>
  <si>
    <t>ARGAMASSA TRAÇO 1:4 (EM VOLUME DE CIMENTO E AREIA GROSSA ÚMIDA) PARA CHAPISCO CONVENCIONAL, PREPARO MECÂNICO COM BETONEIRA 600 L. AF_08/2019</t>
  </si>
  <si>
    <t>ARGAMASSA TRAÇO 1:5 (EM VOLUME DE CIMENTO E AREIA GROSSA ÚMIDA) COM ADIÇÃO DE EMULSÃO POLIMÉRICA PARA CHAPISCO ROLADO, PREPARO MECÂNICO COM BETONEIRA 400 L. AF_08/2019</t>
  </si>
  <si>
    <t>ARGAMASSA TRAÇO 1:5 (EM VOLUME DE CIMENTO E AREIA GROSSA ÚMIDA) COM ADIÇÃO DE EMULSÃO POLIMÉRICA PARA CHAPISCO ROLADO, PREPARO MECÂNICO COM BETONEIRA 600 L. AF_08/2019</t>
  </si>
  <si>
    <t>ARGAMASSA TRAÇO 1:3 (EM VOLUME DE CIMENTO E AREIA GROSSA ÚMIDA) COM ADIÇÃO DE EMULSÃO POLIMÉRICA PARA CHAPISCO ROLADO, PREPARO MECÂNICO COM BETONEIRA 400 L. AF_08/2019</t>
  </si>
  <si>
    <t>ARGAMASSA TRAÇO 1:3 (EM VOLUME DE CIMENTO E AREIA GROSSA ÚMIDA) COM ADIÇÃO DE EMULSÃO POLIMÉRICA PARA CHAPISCO ROLADO, PREPARO MECÂNICO COM BETONEIRA 600 L. AF_08/2019</t>
  </si>
  <si>
    <t>ARGAMASSA TRAÇO 1:4 (EM VOLUME DE CIMENTO E AREIA GROSSA ÚMIDA) COM ADIÇÃO DE EMULSÃO POLIMÉRICA PARA CHAPISCO ROLADO, PREPARO MECÂNICO COM BETONEIRA 400 L. AF_08/2019</t>
  </si>
  <si>
    <t>ARGAMASSA TRAÇO 1:4 (EM VOLUME DE CIMENTO E AREIA GROSSA ÚMIDA) COM ADIÇÃO DE EMULSÃO POLIMÉRICA PARA CHAPISCO ROLADO, PREPARO MECÂNICO COM BETONEIRA 600 L. AF_08/2019</t>
  </si>
  <si>
    <t>ARGAMASSA TRAÇO 1:7 (EM VOLUME DE CIMENTO E AREIA MÉDIA ÚMIDA) COM ADIÇÃO DE PLASTIFICANTE PARA EMBOÇO/MASSA ÚNICA/ASSENTAMENTO DE ALVENARIA DE VEDAÇÃO, PREPARO MECÂNICO COM MISTURADOR DE EIXO HORIZONTAL DE 300 KG. AF_08/2019</t>
  </si>
  <si>
    <t>ARGAMASSA TRAÇO 1:7 (EM VOLUME DE CIMENTO E AREIA MÉDIA ÚMIDA) COM ADIÇÃO DE PLASTIFICANTE PARA EMBOÇO/MASSA ÚNICA/ASSENTAMENTO DE ALVENARIA DE VEDAÇÃO, PREPARO MECÂNICO COM MISTURADOR DE EIXO HORIZONTAL DE 600 KG. AF_08/2019</t>
  </si>
  <si>
    <t>ARGAMASSA TRAÇO 1:6 (EM VOLUME DE CIMENTO E AREIA MÉDIA ÚMIDA) COM ADIÇÃO DE PLASTIFICANTE PARA EMBOÇO/MASSA ÚNICA/ASSENTAMENTO DE ALVENARIA DE VEDAÇÃO, PREPARO MECÂNICO COM MISTURADOR DE EIXO HORIZONTAL DE 300 KG. AF_08/2019</t>
  </si>
  <si>
    <t>ARGAMASSA TRAÇO 1:6 (EM VOLUME DE CIMENTO E AREIA MÉDIA ÚMIDA) COM ADIÇÃO DE PLASTIFICANTE PARA EMBOÇO/MASSA ÚNICA/ASSENTAMENTO DE ALVENARIA DE VEDAÇÃO, PREPARO MECÂNICO COM MISTURADOR DE EIXO HORIZONTAL DE 600 KG. AF_08/2019</t>
  </si>
  <si>
    <t>ARGAMASSA TRAÇO 1:1:6 (EM VOLUME DE CIMENTO, CAL E AREIA MÉDIA ÚMIDA) PARA EMBOÇO/MASSA ÚNICA/ASSENTAMENTO DE ALVENARIA DE VEDAÇÃO, PREPARO MECÂNICO COM MISTURADOR DE EIXO HORIZONTAL DE 300 KG. AF_08/2019</t>
  </si>
  <si>
    <t>ARGAMASSA TRAÇO 1:1:6 (EM VOLUME DE CIMENTO, CAL E AREIA MÉDIA ÚMIDA) PARA EMBOÇO/MASSA ÚNICA/ASSENTAMENTO DE ALVENARIA DE VEDAÇÃO, PREPARO MECÂNICO COM MISTURADOR DE EIXO HORIZONTAL DE 600 KG. AF_08/2019</t>
  </si>
  <si>
    <t>ARGAMASSA TRAÇO 1:1,5:7,5 (EM VOLUME DE CIMENTO, CAL E AREIA MÉDIA ÚMIDA) PARA EMBOÇO/MASSA ÚNICA/ASSENTAMENTO DE ALVENARIA DE VEDAÇÃO, PREPARO MECÂNICO COM MISTURADOR DE EIXO HORIZONTAL DE 300 KG. AF_08/2019</t>
  </si>
  <si>
    <t>ARGAMASSA TRAÇO 1:1,5:7,5 (EM VOLUME DE CIMENTO, CAL E AREIA MÉDIA ÚMIDA) PARA EMBOÇO/MASSA ÚNICA/ASSENTAMENTO DE ALVENARIA DE VEDAÇÃO, PREPARO MECÂNICO COM MISTURADOR DE EIXO HORIZONTAL DE 600 KG. AF_08/2019</t>
  </si>
  <si>
    <t>ARGAMASSA TRAÇO 1:2:8 (EM VOLUME DE CIMENTO, CAL E AREIA MÉDIA ÚMIDA) PARA EMBOÇO/MASSA ÚNICA/ASSENTAMENTO DE ALVENARIA DE VEDAÇÃO, PREPARO MECÂNICO COM MISTURADOR DE EIXO HORIZONTAL DE 300 KG. AF_08/2019</t>
  </si>
  <si>
    <t>ARGAMASSA TRAÇO 1:2:8 (EM VOLUME DE CIMENTO, CAL E AREIA MÉDIA ÚMIDA) PARA EMBOÇO/MASSA ÚNICA/ASSENTAMENTO DE ALVENARIA DE VEDAÇÃO, PREPARO MECÂNICO COM MISTURADOR DE EIXO HORIZONTAL DE 600 KG. AF_08/2019</t>
  </si>
  <si>
    <t>ARGAMASSA TRAÇO 1:2:9 (EM VOLUME DE CIMENTO, CAL E AREIA MÉDIA ÚMIDA) PARA EMBOÇO/MASSA ÚNICA/ASSENTAMENTO DE ALVENARIA DE VEDAÇÃO, PREPARO MECÂNICO COM MISTURADOR DE EIXO HORIZONTAL DE 300 KG. AF_08/2019</t>
  </si>
  <si>
    <t>ARGAMASSA TRAÇO 1:3:12 (EM VOLUME DE CIMENTO, CAL E AREIA MÉDIA ÚMIDA) PARA EMBOÇO/MASSA ÚNICA/ASSENTAMENTO DE ALVENARIA DE VEDAÇÃO, PREPARO MECÂNICO COM MISTURADOR DE EIXO HORIZONTAL DE 600 KG. AF_08/2019</t>
  </si>
  <si>
    <t>ARGAMASSA TRAÇO 1:3 (EM VOLUME DE CIMENTO E AREIA MÉDIA ÚMIDA) PARA CONTRAPISO, PREPARO MECÂNICO COM MISTURADOR DE EIXO HORIZONTAL DE 160 KG. AF_08/2019</t>
  </si>
  <si>
    <t>ARGAMASSA TRAÇO 1:3 (EM VOLUME DE CIMENTO E AREIA MÉDIA ÚMIDA) PARA CONTRAPISO, PREPARO MECÂNICO COM MISTURADOR DE EIXO HORIZONTAL DE 300 KG. AF_08/2019</t>
  </si>
  <si>
    <t>ARGAMASSA TRAÇO 1:3 (EM VOLUME DE CIMENTO E AREIA MÉDIA ÚMIDA) PARA CONTRAPISO, PREPARO MECÂNICO COM MISTURADOR DE EIXO HORIZONTAL DE 600 KG. AF_08/2019</t>
  </si>
  <si>
    <t>ARGAMASSA TRAÇO 1:4 (EM VOLUME DE CIMENTO E AREIA MÉDIA ÚMIDA) PARA CONTRAPISO, PREPARO MECÂNICO COM MISTURADOR DE EIXO HORIZONTAL DE 160 KG. AF_08/2019</t>
  </si>
  <si>
    <t>ARGAMASSA TRAÇO 1:4 (EM VOLUME DE CIMENTO E AREIA MÉDIA ÚMIDA) PARA CONTRAPISO, PREPARO MECÂNICO COM MISTURADOR DE EIXO HORIZONTAL DE 300 KG. AF_08/2019</t>
  </si>
  <si>
    <t>ARGAMASSA TRAÇO 1:4 (EM VOLUME DE CIMENTO E AREIA MÉDIA ÚMIDA) PARA CONTRAPISO, PREPARO MECÂNICO COM MISTURADOR DE EIXO HORIZONTAL DE 600 KG. AF_08/2019</t>
  </si>
  <si>
    <t>ARGAMASSA TRAÇO 1:5 (EM VOLUME DE CIMENTO E AREIA MÉDIA ÚMIDA) PARA CONTRAPISO, PREPARO MECÂNICO COM MISTURADOR DE EIXO HORIZONTAL DE 160 KG. AF_08/2019</t>
  </si>
  <si>
    <t>ARGAMASSA TRAÇO 1:5 (EM VOLUME DE CIMENTO E AREIA MÉDIA ÚMIDA) PARA CONTRAPISO, PREPARO MECÂNICO COM MISTURADOR DE EIXO HORIZONTAL DE 300 KG. AF_08/2019</t>
  </si>
  <si>
    <t>ARGAMASSA TRAÇO 1:5 (EM VOLUME DE CIMENTO E AREIA MÉDIA ÚMIDA) PARA CONTRAPISO, PREPARO MECÂNICO COM MISTURADOR DE EIXO HORIZONTAL DE 600 KG. AF_08/2019</t>
  </si>
  <si>
    <t>ARGAMASSA TRAÇO 1:6 (EM VOLUME DE CIMENTO E AREIA MÉDIA ÚMIDA) PARA CONTRAPISO, PREPARO MECÂNICO COM MISTURADOR DE EIXO HORIZONTAL DE 160 KG. AF_08/2019</t>
  </si>
  <si>
    <t>ARGAMASSA TRAÇO 1:6 (EM VOLUME DE CIMENTO E AREIA MÉDIA ÚMIDA) PARA CONTRAPISO, PREPARO MECÂNICO COM MISTURADOR DE EIXO HORIZONTAL DE 600 KG. AF_08/2019</t>
  </si>
  <si>
    <t>ARGAMASSA TRAÇO 1:5 (EM VOLUME DE CIMENTO E AREIA GROSSA ÚMIDA) PARA CHAPISCO CONVENCIONAL, PREPARO MECÂNICO COM MISTURADOR DE EIXO HORIZONTAL DE 300 KG. AF_08/2019</t>
  </si>
  <si>
    <t>ARGAMASSA TRAÇO 1:5 (EM VOLUME DE CIMENTO E AREIA GROSSA ÚMIDA) PARA CHAPISCO CONVENCIONAL, PREPARO MECÂNICO COM MISTURADOR DE EIXO HORIZONTAL DE 600 KG. AF_08/2019</t>
  </si>
  <si>
    <t>ARGAMASSA TRAÇO 1:3 (EM VOLUME DE CIMENTO E AREIA GROSSA ÚMIDA) PARA CHAPISCO CONVENCIONAL, PREPARO MECÂNICO COM MISTURADOR DE EIXO HORIZONTAL DE 160 KG. AF_08/2019</t>
  </si>
  <si>
    <t>ARGAMASSA TRAÇO 1:3 (EM VOLUME DE CIMENTO E AREIA GROSSA ÚMIDA) PARA CHAPISCO CONVENCIONAL, PREPARO MECÂNICO COM MISTURADOR DE EIXO HORIZONTAL DE 300 KG. AF_08/2019</t>
  </si>
  <si>
    <t>ARGAMASSA TRAÇO 1:3 (EM VOLUME DE CIMENTO E AREIA GROSSA ÚMIDA) PARA CHAPISCO CONVENCIONAL, PREPARO MECÂNICO COM MISTURADOR DE EIXO HORIZONTAL DE 600 KG. AF_08/2019</t>
  </si>
  <si>
    <t>ARGAMASSA TRAÇO 1:4 (EM VOLUME DE CIMENTO E AREIA GROSSA ÚMIDA) PARA CHAPISCO CONVENCIONAL, PREPARO MECÂNICO COM MISTURADOR DE EIXO HORIZONTAL DE 160 KG. AF_08/2019</t>
  </si>
  <si>
    <t>ARGAMASSA TRAÇO 1:4 (EM VOLUME DE CIMENTO E AREIA GROSSA ÚMIDA) PARA CHAPISCO CONVENCIONAL, PREPARO MECÂNICO COM MISTURADOR DE EIXO HORIZONTAL DE 300 KG. AF_08/2019</t>
  </si>
  <si>
    <t>ARGAMASSA TRAÇO 1:4 (EM VOLUME DE CIMENTO E AREIA GROSSA ÚMIDA) PARA CHAPISCO CONVENCIONAL, PREPARO MECÂNICO COM MISTURADOR DE EIXO HORIZONTAL DE 600 KG. AF_08/2019</t>
  </si>
  <si>
    <t>ARGAMASSA TRAÇO 1:5 (EM VOLUME DE CIMENTO E AREIA GROSSA ÚMIDA) COM ADIÇÃO DE EMULSÃO POLIMÉRICA PARA CHAPISCO ROLADO, PREPARO MECÂNICO COM MISTURADOR DE EIXO HORIZONTAL DE 300 KG. AF_08/2019</t>
  </si>
  <si>
    <t>ARGAMASSA TRAÇO 1:5 (EM VOLUME DE CIMENTO E AREIA GROSSA ÚMIDA) COM ADIÇÃO DE EMULSÃO POLIMÉRICA PARA CHAPISCO ROLADO, PREPARO MECÂNICO COM MISTURADOR DE EIXO HORIZONTAL DE 600 KG. AF_08/2019</t>
  </si>
  <si>
    <t>ARGAMASSA TRAÇO 1:3 (EM VOLUME DE CIMENTO E AREIA GROSSA ÚMIDA) COM ADIÇÃO DE EMULSÃO POLIMÉRICA PARA CHAPISCO ROLADO, PREPARO MECÂNICO COM MISTURADOR DE EIXO HORIZONTAL DE 160 KG. AF_08/2019</t>
  </si>
  <si>
    <t>ARGAMASSA TRAÇO 1:3 (EM VOLUME DE CIMENTO E AREIA GROSSA ÚMIDA) COM ADIÇÃO DE EMULSÃO POLIMÉRICA PARA CHAPISCO ROLADO, PREPARO MECÂNICO COM MISTURADOR DE EIXO HORIZONTAL DE 300 KG. AF_08/2019</t>
  </si>
  <si>
    <t>ARGAMASSA TRAÇO 1:3 (EM VOLUME DE CIMENTO E AREIA GROSSA ÚMIDA) COM ADIÇÃO DE EMULSÃO POLIMÉRICA PARA CHAPISCO ROLADO, PREPARO MECÂNICO COM MISTURADOR DE EIXO HORIZONTAL DE 600 KG. AF_08/2019</t>
  </si>
  <si>
    <t>ARGAMASSA TRAÇO 1:4 (EM VOLUME DE CIMENTO E AREIA GROSSA ÚMIDA) COM ADIÇÃO DE EMULSÃO POLIMÉRICA PARA CHAPISCO ROLADO, PREPARO MECÂNICO COM MISTURADOR DE EIXO HORIZONTAL DE 300 KG. AF_08/2019</t>
  </si>
  <si>
    <t>ARGAMASSA TRAÇO 1:4 (EM VOLUME DE CIMENTO E AREIA GROSSA ÚMIDA) COM ADIÇÃO DE EMULSÃO POLIMÉRICA PARA CHAPISCO ROLADO, PREPARO MECÂNICO COM MISTURADOR DE EIXO HORIZONTAL DE 600 KG. AF_08/2019</t>
  </si>
  <si>
    <t>ARGAMASSA TRAÇO 1:7 (EM VOLUME DE CIMENTO E AREIA MÉDIA ÚMIDA) COM ADIÇÃO DE PLASTIFICANTE PARA EMBOÇO/MASSA ÚNICA/ASSENTAMENTO DE ALVENARIA DE VEDAÇÃO, PREPARO MANUAL. AF_08/2019</t>
  </si>
  <si>
    <t>ARGAMASSA TRAÇO 1:6 (EM VOLUME DE CIMENTO E AREIA MÉDIA ÚMIDA) COM ADIÇÃO DE PLASTIFICANTE PARA EMBOÇO/MASSA ÚNICA/ASSENTAMENTO DE ALVENARIA DE VEDAÇÃO, PREPARO MANUAL. AF_08/2019</t>
  </si>
  <si>
    <t>ARGAMASSA TRAÇO 1:1:6 (EM VOLUME DE CIMENTO, CAL E AREIA MÉDIA ÚMIDA) PARA EMBOÇO/MASSA ÚNICA/ASSENTAMENTO DE ALVENARIA DE VEDAÇÃO, PREPARO MANUAL. AF_08/2019</t>
  </si>
  <si>
    <t>ARGAMASSA TRAÇO 1:1,5:7,5 (EM VOLUME DE CIMENTO, CAL E AREIA MÉDIA ÚMIDA) PARA EMBOÇO/MASSA ÚNICA/ASSENTAMENTO DE ALVENARIA DE VEDAÇÃO, PREPARO MANUAL. AF_08/2019</t>
  </si>
  <si>
    <t>ARGAMASSA TRAÇO 1:2:8 (EM VOLUME DE CIMENTO, CAL E AREIA MÉDIA ÚMIDA) PARA EMBOÇO/MASSA ÚNICA/ASSENTAMENTO DE ALVENARIA DE VEDAÇÃO, PREPARO MANUAL. AF_08/2019</t>
  </si>
  <si>
    <t>ARGAMASSA TRAÇO 1:2:9 (EM VOLUME DE CIMENTO, CAL E AREIA MÉDIA ÚMIDA) PARA EMBOÇO/MASSA ÚNICA/ASSENTAMENTO DE ALVENARIA DE VEDAÇÃO, PREPARO MANUAL. AF_08/2019</t>
  </si>
  <si>
    <t>ARGAMASSA TRAÇO 1:3:12 (EM VOLUME DE CIMENTO, CAL E AREIA MÉDIA ÚMIDA) PARA EMBOÇO/MASSA ÚNICA/ASSENTAMENTO DE ALVENARIA DE VEDAÇÃO, PREPARO MANUAL. AF_08/2019</t>
  </si>
  <si>
    <t>ARGAMASSA TRAÇO 1:3 (EM VOLUME DE CIMENTO E AREIA MÉDIA ÚMIDA) PARA CONTRAPISO, PREPARO MANUAL. AF_08/2019</t>
  </si>
  <si>
    <t>ARGAMASSA TRAÇO 1:4 (EM VOLUME DE CIMENTO E AREIA MÉDIA ÚMIDA) PARA CONTRAPISO, PREPARO MANUAL. AF_08/2019</t>
  </si>
  <si>
    <t>ARGAMASSA TRAÇO 1:5 (EM VOLUME DE CIMENTO E AREIA MÉDIA ÚMIDA) PARA CONTRAPISO, PREPARO MANUAL. AF_08/2019</t>
  </si>
  <si>
    <t>ARGAMASSA TRAÇO 1:6 (EM VOLUME DE CIMENTO E AREIA MÉDIA ÚMIDA) PARA CONTRAPISO, PREPARO MANUAL. AF_08/2019</t>
  </si>
  <si>
    <t>ARGAMASSA TRAÇO 1:5 (EM VOLUME DE CIMENTO E AREIA GROSSA ÚMIDA) PARA CHAPISCO CONVENCIONAL, PREPARO MANUAL. AF_08/2019</t>
  </si>
  <si>
    <t>ARGAMASSA TRAÇO 1:3 (EM VOLUME DE CIMENTO E AREIA GROSSA ÚMIDA) PARA CHAPISCO CONVENCIONAL, PREPARO MANUAL. AF_08/2019</t>
  </si>
  <si>
    <t>ARGAMASSA TRAÇO 1:4 (EM VOLUME DE CIMENTO E AREIA GROSSA ÚMIDA) PARA CHAPISCO CONVENCIONAL, PREPARO MANUAL. AF_08/2019</t>
  </si>
  <si>
    <t>ARGAMASSA TRAÇO 1:5 (EM VOLUME DE CIMENTO E AREIA GROSSA ÚMIDA) COM ADIÇÃO DE EMULSÃO POLIMÉRICA PARA CHAPISCO ROLADO, PREPARO MANUAL. AF_08/2019</t>
  </si>
  <si>
    <t>ARGAMASSA TRAÇO 1:3 (EM VOLUME DE CIMENTO E AREIA GROSSA ÚMIDA) COM ADIÇÃO DE EMULSÃO POLIMÉRICA PARA CHAPISCO ROLADO, PREPARO MANUAL. AF_08/2019</t>
  </si>
  <si>
    <t>ARGAMASSA TRAÇO 1:4 (EM VOLUME DE CIMENTO E AREIA GROSSA ÚMIDA) COM ADIÇÃO DE EMULSÃO POLIMÉRICA PARA CHAPISCO ROLADO, PREPARO MANUAL. AF_08/2019</t>
  </si>
  <si>
    <t>ARGAMASSA INDUSTRIALIZADA MULTIUSO PARA REVESTIMENTOS E ASSENTAMENTO DA ALVENARIA, PREPARO COM MISTURADOR DE EIXO HORIZONTAL DE 160 KG. AF_08/2019</t>
  </si>
  <si>
    <t>ARGAMASSA INDUSTRIALIZADA MULTIUSO PARA REVESTIMENTOS E ASSENTAMENTO DA ALVENARIA, PREPARO COM MISTURADOR DE EIXO HORIZONTAL DE 300 KG. AF_08/2019</t>
  </si>
  <si>
    <t>ARGAMASSA INDUSTRIALIZADA MULTIUSO PARA REVESTIMENTOS E ASSENTAMENTO DA ALVENARIA, PREPARO COM MISTURADOR DE EIXO HORIZONTAL DE 600 KG. AF_08/2019</t>
  </si>
  <si>
    <t>ARGAMASSA PRONTA PARA CONTRAPISO, PREPARO COM MISTURADOR DE EIXO HORIZONTAL DE 160 KG. AF_08/2019</t>
  </si>
  <si>
    <t>ARGAMASSA PRONTA PARA CONTRAPISO, PREPARO COM MISTURADOR DE EIXO HORIZONTAL DE 300 KG. AF_08/2019</t>
  </si>
  <si>
    <t>ARGAMASSA PRONTA PARA CONTRAPISO, PREPARO COM MISTURADOR DE EIXO HORIZONTAL DE 600 KG. AF_08/2019</t>
  </si>
  <si>
    <t>ARGAMASSA PARA REVESTIMENTO DECORATIVO MONOCAMADA (MONOCAPA), PREPARO COM MISTURADOR DE EIXO HORIZONTAL DE 160 KG. AF_08/2019</t>
  </si>
  <si>
    <t>ARGAMASSA PARA REVESTIMENTO DECORATIVO MONOCAMADA (MONOCAPA), PREPARO COM MISTURADOR DE EIXO HORIZONTAL DE 300 KG. AF_08/2019</t>
  </si>
  <si>
    <t>ARGAMASSA PARA REVESTIMENTO DECORATIVO MONOCAMADA (MONOCAPA), PREPARO COM MISTURADOR DE EIXO HORIZONTAL DE 600 KG. AF_08/2019</t>
  </si>
  <si>
    <t>ARGAMASSA INDUSTRIALIZADA PARA CHAPISCO ROLADO, PREPARO COM MISTURADOR DE EIXO HORIZONTAL DE 160 KG. AF_08/2019</t>
  </si>
  <si>
    <t>ARGAMASSA INDUSTRIALIZADA PARA CHAPISCO ROLADO, PREPARO COM MISTURADOR DE EIXO HORIZONTAL DE 300 KG. AF_08/2019</t>
  </si>
  <si>
    <t>ARGAMASSA INDUSTRIALIZADA PARA CHAPISCO ROLADO, PREPARO COM MISTURADOR DE EIXO HORIZONTAL DE 600 KG. AF_08/2019</t>
  </si>
  <si>
    <t>ARGAMASSA INDUSTRIALIZADA PARA CHAPISCO COLANTE, PREPARO COM MISTURADOR DE EIXO HORIZONTAL DE 160 KG. AF_08/2019</t>
  </si>
  <si>
    <t>ARGAMASSA INDUSTRIALIZADA PARA CHAPISCO COLANTE, PREPARO COM MISTURADOR DE EIXO HORIZONTAL DE 300 KG. AF_08/2019</t>
  </si>
  <si>
    <t>ARGAMASSA INDUSTRIALIZADA PARA CHAPISCO COLANTE, PREPARO COM MISTURADOR DE EIXO HORIZONTAL DE 600 KG. AF_08/2019</t>
  </si>
  <si>
    <t>ARGAMASSA INDUSTRIALIZADA MULTIUSO PARA REVESTIMENTOS E ASSENTAMENTO DA ALVENARIA, PREPARO MANUAL. AF_08/2019</t>
  </si>
  <si>
    <t>ARGAMASSA PRONTA PARA CONTRAPISO, PREPARO MANUAL. AF_08/2019</t>
  </si>
  <si>
    <t>ARGAMASSA INDUSTRIALIZADA PARA CHAPISCO ROLADO, PREPARO MANUAL. AF_08/2019</t>
  </si>
  <si>
    <t>ARGAMASSA INDUSTRIALIZADA PARA CHAPISCO COLANTE, PREPARO MANUAL. AF_08/2019</t>
  </si>
  <si>
    <t>ARGAMASSA PARA REVESTIMENTO DECORATIVO MONOCAMADA (MONOCAPA), MISTURA E PROJEÇÃO DE 1,5 M3/H DE ARGAMASSA. AF_08/2019</t>
  </si>
  <si>
    <t>ARGAMASSA INDUSTRIALIZADA PARA REVESTIMENTOS, MISTURA E PROJEÇÃO DE 1,5 M³/H DE ARGAMASSA. AF_08/2019</t>
  </si>
  <si>
    <t>ARGAMASSA À BASE DE GESSO, MISTURA E PROJEÇÃO DE 1,5 M³/H DE ARGAMASSA. AF_08/2019</t>
  </si>
  <si>
    <t>ARGAMASSA TRAÇO 1:0,5:4,5 (EM VOLUME DE CIMENTO, CAL E AREIA MÉDIA ÚMIDA), PREPARO MECÂNICO COM BETONEIRA 400 L. AF_08/2019</t>
  </si>
  <si>
    <t>ARGAMASSA TRAÇO 1:0,5:4,5 (EM VOLUME DE CIMENTO, CAL E AREIA MÉDIA ÚMIDA) PARA ASSENTAMENTO DE ALVENARIA, PREPARO MANUAL. AF_08/2019</t>
  </si>
  <si>
    <t>ARGAMASSA TRAÇO 1:3 (EM VOLUME DE CIMENTO E AREIA MÉDIA ÚMIDA), PREPARO MECÂNICO COM BETONEIRA 400 L. AF_08/2019</t>
  </si>
  <si>
    <t>ARGAMASSA TRAÇO 1:3 (EM VOLUME DE CIMENTO E AREIA MÉDIA ÚMIDA), PREPARO MANUAL. AF_08/2019</t>
  </si>
  <si>
    <t>ARGAMASSA TRAÇO 1:4 (EM VOLUME DE CIMENTO E AREIA MÉDIA ÚMIDA), PREPARO MANUAL. AF_08/2019</t>
  </si>
  <si>
    <t>ARGAMASSA TRAÇO 1:2:9 (EM VOLUME DE CIMENTO, CAL E AREIA MÉDIA ÚMIDA) PARA EMBOÇO/MASSA ÚNICA/ASSENTAMENTO DE ALVENARIA DE VEDAÇÃO, PREPARO MECÂNICO COM BETONEIRA 400 L. AF_08/2019</t>
  </si>
  <si>
    <t>ARGAMASSA TRAÇO 1:3 (EM VOLUME DE CIMENTO E AREIA MÉDIA ÚMIDA), PREPARO MECÂNICO COM MISTURADOR DE EIXO HORIZONTAL DE 160 KG. AF_08/2019</t>
  </si>
  <si>
    <t>ARGAMASSA TRAÇO 1:3 (EM VOLUME DE CIMENTO E AREIA MÉDIA ÚMIDA), PREPARO MECÂNICO COM MISTURADOR DE EIXO HORIZONTAL DE 300 KG. AF_08/2019</t>
  </si>
  <si>
    <t>ARGAMASSA TRAÇO 1:3 (EM VOLUME DE CIMENTO E AREIA MÉDIA ÚMIDA), PREPARO MECÂNICO COM MISTURADOR DE EIXO HORIZONTAL DE 600 KG. AF_08/2019</t>
  </si>
  <si>
    <t>ARGAMASSA TRAÇO 1:4 (EM VOLUME DE CIMENTO E AREIA MÉDIA ÚMIDA), PREPARO MECÂNICO COM MISTURADOR DE EIXO HORIZONTAL DE 160 KG. AF_08/2019</t>
  </si>
  <si>
    <t>ARGAMASSA TRAÇO 1:4 (EM VOLUME DE CIMENTO E AREIA MÉDIA ÚMIDA), PREPARO MECÂNICO COM MISTURADOR DE EIXO HORIZONTAL DE 300 KG. AF_08/2019</t>
  </si>
  <si>
    <t>ARGAMASSA TRAÇO 1:4 (EM VOLUME DE CIMENTO E AREIA MÉDIA ÚMIDA), PREPARO MECÂNICO COM MISTURADOR DE EIXO HORIZONTAL DE 600 KG. AF_08/2019</t>
  </si>
  <si>
    <t>ARGAMASSA TRAÇO 1:3 (EM VOLUME DE CIMENTO E AREIA MÉDIA ÚMIDA) COM ADIÇÃO DE IMPERMEABILIZANTE, PREPARO MECÂNICO COM BETONEIRA 400 L. AF_08/2019</t>
  </si>
  <si>
    <t>ARGAMASSA TRAÇO 1:3 (EM VOLUME DE CIMENTO E AREIA MÉDIA ÚMIDA) COM ADIÇÃO DE IMPERMEABILIZANTE, PREPARO MECÂNICO COM MISTURADOR DE EIXO HORIZONTAL DE 160 KG. AF_08/2019</t>
  </si>
  <si>
    <t>ARGAMASSA TRAÇO 1:3 (EM VOLUME DE CIMENTO E AREIA MÉDIA ÚMIDA) COM ADIÇÃO DE IMPERMEABILIZANTE, PREPARO MECÂNICO COM MISTURADOR DE EIXO HORIZONTAL DE 300 KG. AF_08/2019</t>
  </si>
  <si>
    <t>ARGAMASSA TRAÇO 1:3 (EM VOLUME DE CIMENTO E AREIA MÉDIA ÚMIDA) COM ADIÇÃO DE IMPERMEABILIZANTE, PREPARO MECÂNICO COM MISTURADOR DE EIXO HORIZONTAL DE 600 KG. AF_08/2019</t>
  </si>
  <si>
    <t>ARGAMASSA TRAÇO 1:3 (EM VOLUME DE CIMENTO E AREIA MÉDIA ÚMIDA) COM ADIÇÃO DE IMPERMEABILIZANTE, PREPARO MANUAL. AF_08/2019</t>
  </si>
  <si>
    <t>ARGAMASSA TRAÇO 1:4 (EM VOLUME DE CIMENTO E AREIA MÉDIA ÚMIDA) COM ADIÇÃO DE IMPERMEABILIZANTE, PREPARO MECÂNICO COM BETONEIRA 400 L. AF_08/2019</t>
  </si>
  <si>
    <t>ARGAMASSA TRAÇO 1:4 (EM VOLUME DE CIMENTO E AREIA MÉDIA ÚMIDA) COM ADIÇÃO DE IMPERMEABILIZANTE, PREPARO MECÂNICO COM MISTURADOR DE EIXO HORIZONTAL DE 160 KG. AF_08/2019</t>
  </si>
  <si>
    <t>ARGAMASSA TRAÇO 1:4 (EM VOLUME DE CIMENTO E AREIA MÉDIA ÚMIDA) COM ADIÇÃO DE IMPERMEABILIZANTE, PREPARO MECÂNICO COM MISTURADOR DE EIXO HORIZONTAL DE 300 KG. AF_08/2019</t>
  </si>
  <si>
    <t>ARGAMASSA TRAÇO 1:4 (EM VOLUME DE CIMENTO E AREIA MÉDIA ÚMIDA) COM ADIÇÃO DE IMPERMEABILIZANTE, PREPARO MECÂNICO COM MISTURADOR DE EIXO HORIZONTAL DE 600 KG. AF_08/2019</t>
  </si>
  <si>
    <t>ARGAMASSA TRAÇO 1:4 (EM VOLUME DE CIMENTO E AREIA MÉDIA ÚMIDA) COM ADIÇÃO DE IMPERMEABILIZANTE, PREPARO MANUAL. AF_08/2019</t>
  </si>
  <si>
    <t>ARGAMASSA TRAÇO 1:2:9 (EM VOLUME DE CIMENTO, CAL E AREIA MÉDIA ÚMIDA) PARA EMBOÇO/MASSA ÚNICA/ASSENTAMENTO DE ALVENARIA DE VEDAÇÃO, PREPARO MECÂNICO COM MISTURADOR DE EIXO HORIZONTAL DE 600 KG. AF_08/2019</t>
  </si>
  <si>
    <t>ARGAMASSA TRAÇO 1:0,5:4,5 (EM VOLUME DE CIMENTO, CAL E AREIA MÉDIA ÚMIDA), PREPARO MECÂNICO COM BETONEIRA 600 L. AF_08/2019</t>
  </si>
  <si>
    <t>ARGAMASSA TRAÇO 1:3 (EM VOLUME DE CIMENTO E AREIA MÉDIA ÚMIDA), PREPARO MECÂNICO COM BETONEIRA 600 L. AF_08/2019</t>
  </si>
  <si>
    <t>ARGAMASSA TRAÇO 1:4 (EM VOLUME DE CIMENTO E AREIA MÉDIA ÚMIDA), PREPARO MECÂNICO COM BETONEIRA 600 L. AF_08/2019</t>
  </si>
  <si>
    <t>ARGAMASSA TRAÇO 1:3 (EM VOLUME DE CIMENTO E AREIA MÉDIA ÚMIDA) COM ADIÇÃO DE IMPERMEABILIZANTE, PREPARO MECÂNICO COM BETONEIRA 600 L. AF_08/2019</t>
  </si>
  <si>
    <t>ARGAMASSA TRAÇO 1:4 (EM VOLUME DE CIMENTO E AREIA MÉDIA ÚMIDA) COM ADIÇÃO DE IMPERMEABILIZANTE, PREPARO MECÂNICO COM BETONEIRA 600 L. AF_08/2019</t>
  </si>
  <si>
    <t>KGXKM</t>
  </si>
  <si>
    <t>UNXKM</t>
  </si>
  <si>
    <t>M2XKM</t>
  </si>
  <si>
    <t>LXKM</t>
  </si>
  <si>
    <t>MXKM</t>
  </si>
  <si>
    <t>INSTALAÇÃO DE ESQUI TRIPLO, EM TUBO DE AÇO CARBONO - EQUIPAMENTO DE GINÁSTICA PARA ACADEMIA AO AR LIVRE / ACADEMIA DA TERCEIRA IDADE - ATI, INSTALADO SOBRE PISO DE CONCRETO EXISTENTE. AF_10/2021</t>
  </si>
  <si>
    <t>INSTALAÇÃO DE MULTIEXERCITADOR COM SEIS FUNÇÕES, EM TUBO DE AÇO CARBONO - EQUIPAMENTO DE GINÁSTICA PARA ACADEMIA AO AR LIVRE / ACADEMIA DA TERCEIRA IDADE - ATI, INSTALADO SOBRE PISO DE CONCRETO EXISTENTE. AF_10/2021</t>
  </si>
  <si>
    <t>INSTALAÇÃO DE SIMULADOR DE CAMINHADA TRIPLO, EM TUBO DE AÇO CARBONO - EQUIPAMENTO DE GINÁSTICA PARA ACADEMIA AO AR LIVRE / ACADEMIA DA TERCEIRA IDADE - ATI, INSTALADO SOBRE PISO DE CONCRETO EXISTENTE. AF_10/2021</t>
  </si>
  <si>
    <t>INSTALAÇÃO DE SIMULADOR DE CAVALGADA TRIPLO, EM TUBO DE AÇO CARBONO - EQUIPAMENTO DE GINÁSTICA PARA ACADEMIA AO AR LIVRE / ACADEMIA DA TERCEIRA IDADE - ATI, INSTALADO SOBRE PISO DE CONCRETO EXISTENTE. AF_10/2021</t>
  </si>
  <si>
    <t>INSTALAÇÃO DE SIMULADOR DE REMO INDIVIDUAL, EM TUBO DE AÇO CARBONO - EQUIPAMENTO DE GINÁSTICA PARA ACADEMIA AO AR LIVRE / ACADEMIA DA TERCEIRA IDADE - ATI, INSTALADO SOBRE PISO DE CONCRETO EXISTENTE. AF_10/2021</t>
  </si>
  <si>
    <t>INSTALAÇÃO DE PRESSÃO DE PERNAS TRIPLO, EM TUBO DE AÇO CARBONO - EQUIPAMENTO DE GINÁSTICA PARA ACADEMIA AO AR LIVRE / ACADEMIA DA TERCEIRA IDADE - ATI, INSTALADO SOBRE SOLO. AF_10/2021</t>
  </si>
  <si>
    <t>INSTALAÇÃO DE ALONGADOR COM TRÊS ALTURAS, EM TUBO DE AÇO CARBONO - EQUIPAMENTO DE GINASTICA PARA ACADEMIA AO AR LIVRE / ACADEMIA DA TERCEIRA IDADE - ATI, INSTALADO SOBRE SOLO. AF_10/2021</t>
  </si>
  <si>
    <t>INSTALAÇÃO DE ROTAÇÃO DIAGONAL DUPLA, APARELHO TRIPLO, EM TUBO DE AÇO CARBONO - EQUIPAMENTO DE GINÁSTICA PARA ACADEMIA AO AR LIVRE / ACADEMIA DA TERCEIRA IDADE - ATI, INSTALADO SOBRE SOLO. AF_10/2021</t>
  </si>
  <si>
    <t>INSTALAÇÃO DE ROTAÇÃO VERTICAL DUPLO, EM TUBO DE AÇO CARBONO - EQUIPAMENTO DE GINÁSTICA PARA ACADEMIA AO AR LIVRE / ACADEMIA DA TERCEIRA IDADE - ATI, INSTALADO SOBRE SOLO. AF_10/2021</t>
  </si>
  <si>
    <t>INSTALAÇÃO DE SURF DUPLO, EM TUBO DE AÇO CARBONO - EQUIPAMENTO DE GINÁSTICA PARA ACADEMIA AO AR LIVRE / ACADEMIA DA TERCEIRA IDADE - ATI, INSTALADO SOBRE SOLO. AF_10/2021</t>
  </si>
  <si>
    <t>INSTALAÇÃO DE PLACA ORIENTATIVA SOBRE EXERCÍCIOS, 2,00M X 1,00M, EM TUBO DE AÇO CARBONO - PARA ACADEMIA AO AR LIVRE / ACADEMIA DA TERCEIRA IDADE - ATI, INSTALADO SOBRE SOLO. AF_10/2021</t>
  </si>
  <si>
    <t>INSTALAÇÃO DE PRESSÃO DE PERNAS TRIPLO, EM TUBO DE AÇO CARBONO - EQUIPAMENTO DE GINÁSTICA PARA ACADEMIA AO AR LIVRE / ACADEMIA DA TERCEIRA IDADE - ATI, INSTALADO SOBRE PISO DE CONCRETO EXISTENTE. AF_10/2021</t>
  </si>
  <si>
    <t>INSTALAÇÃO DE ALONGADOR COM TRÊS ALTURAS, EM TUBO DE AÇO CARBONO - EQUIPAMENTO DE GINÁSTICA PARA ACADEMIA AO AR LIVRE / ACADEMIA DA TERCEIRA IDADE - ATI, INSTALADO SOBRE PISO DE CONCRETO EXISTENTE. AF_10/2021</t>
  </si>
  <si>
    <t>INSTALAÇÃO DE ROTAÇÃO DIAGONAL DUPLA, APARELHO TRIPLO, EM TUBO DE AÇO CARBONO - EQUIPAMENTO DE GINÁSTICA PARA ACADEMIA AO AR LIVRE / ACADEMIA DA TERCEIRA IDADE - ATI, INSTALADO SOBRE PISO DE CONCRETO EXISTENTE. AF_10/2021</t>
  </si>
  <si>
    <t>INSTALAÇÃO DE ROTAÇÃO VERTICAL DUPLO, EM TUBO DE ACO CARBONO - EQUIPAMENTO DE GINASTICA PARA ACADEMIA AO AR LIVRE / ACADEMIA DA TERCEIRA IDADE - ATI, INSTALADO SOBRE PISO DE CONCRETO EXISTENTE. AF_10/2021</t>
  </si>
  <si>
    <t>INSTALAÇÃO DE SURF DUPLO, EM TUBO DE AÇO CARBONO - EQUIPAMENTO DE GINÁSTICA PARA ACADEMIA AO AR LIVRE / ACADEMIA DA TERCEIRA IDADE - ATI, INSTALADO SOBRE PISO DE CONCRETO EXISTENTE. AF_10/2021</t>
  </si>
  <si>
    <t>INSTALAÇÃO DE PLACA ORIENTATIVA SOBRE EXERCÍCIOS, 2,00M X 1,00M, EM TUBO DE AÇO CARBONO - PARA ACADEMIA AO AR LIVRE / ACADEMIA DA TERCEIRA IDADE - ATI, INSTALADO SOBRE PISO DE CONCRETO EXISTENTE. AF_10/2021</t>
  </si>
  <si>
    <t>INSTALAÇÃO DE BANCO METÁLICO COM ENCOSTO, 1,60 M DE COMPRIMENTO, EM TUBO DE AÇO CARBONO COM PINTURA ELETROSTÁTICA, SOBRE PISO DE CONCRETO EXISTENTE. AF_11/2021</t>
  </si>
  <si>
    <t>INSTALAÇÃO DE LIXEIRA METÁLICA DUPLA, CAPACIDADE DE 60 L, EM TUBO DE AÇO CARBONO E CESTOS EM CHAPA DE AÇO COM PINTURA ELETROSTÁTICA, SOBRE PISO DE CONCRETO EXISTENTE. AF_11/2021</t>
  </si>
  <si>
    <t>INSTALAÇÃO DE LIXEIRA METÁLICA DUPLA, CAPACIDADE DE 60 L, EM TUBO DE AÇO CARBONO E CESTOS EM CHAPA DE AÇO COM PINTURA ELETROSTÁTICA, SOBRE SOLO. AF_11/2021</t>
  </si>
  <si>
    <t>INSTALAÇÃO DE PERGOLADO DE MADEIRA, EM MAÇARANDUBA, ANGELIM OU EQUIVALENTE DA REGIÃO, FIXADO COM CONCRETO SOBRE PISO DE CONCRETO EXISTENTE. AF_11/2021</t>
  </si>
  <si>
    <t>INSTALAÇÃO DE PERGOLADO DE MADEIRA, EM MAÇARANDUBA, ANGELIM OU EQUIVALENTE DA REGIÃO, FIXADO COM CONCRETO SOBRE SOLO. AF_11/2021</t>
  </si>
  <si>
    <t>PAR DE TABELAS DE BASQUETE DE COMPENSADO NAVAL, COM AROS E REDES - FORNECIMENTO E INSTALAÇÃO. AF_03/2022</t>
  </si>
  <si>
    <t>AJUDANTE DE ARMADOR COM ENCARGOS COMPLEMENTARES</t>
  </si>
  <si>
    <t>AJUDANTE DE CARPINTEIRO COM ENCARGOS COMPLEMENTARES</t>
  </si>
  <si>
    <t>AJUDANTE DE ESTRUTURA METÁLICA COM ENCARGOS COMPLEMENTARES</t>
  </si>
  <si>
    <t>AJUDANTE DE OPERAÇÃO EM GERAL COM ENCARGOS COMPLEMENTARES</t>
  </si>
  <si>
    <t>AJUDANTE DE PEDREIRO COM ENCARGOS COMPLEMENTARES</t>
  </si>
  <si>
    <t>AJUDANTE ESPECIALIZADO COM ENCARGOS COMPLEMENTARES</t>
  </si>
  <si>
    <t>ARMADOR COM ENCARGOS COMPLEMENTARES</t>
  </si>
  <si>
    <t>ASSENTADOR DE TUBOS COM ENCARGOS COMPLEMENTARES</t>
  </si>
  <si>
    <t>AUXILIAR DE ELETRICISTA COM ENCARGOS COMPLEMENTARES</t>
  </si>
  <si>
    <t>AUXILIAR DE ENCANADOR OU BOMBEIRO HIDRÁULICO COM ENCARGOS COMPLEMENTARES</t>
  </si>
  <si>
    <t>AUXILIAR DE LABORATÓRIO COM ENCARGOS COMPLEMENTARES</t>
  </si>
  <si>
    <t>AUXILIAR DE MECÂNICO COM ENCARGOS COMPLEMENTARES</t>
  </si>
  <si>
    <t>AUXILIAR DE SERRALHEIRO COM ENCARGOS COMPLEMENTARES</t>
  </si>
  <si>
    <t>AUXILIAR DE SERVIÇOS GERAIS COM ENCARGOS COMPLEMENTARES</t>
  </si>
  <si>
    <t>AUXILIAR DE TOPÓGRAFO COM ENCARGOS COMPLEMENTARES</t>
  </si>
  <si>
    <t>AUXILIAR TÉCNICO DE ENGENHARIA COM ENCARGOS COMPLEMENTARES</t>
  </si>
  <si>
    <t>BLASTER, DINAMITADOR OU CABO DE FOGO COM ENCARGOS COMPLEMENTARES</t>
  </si>
  <si>
    <t>CALCETEIRO COM ENCARGOS COMPLEMENTARES</t>
  </si>
  <si>
    <t>CARPINTEIRO DE FORMAS COM ENCARGOS COMPLEMENTARES</t>
  </si>
  <si>
    <t>CAVOUQUEIRO OU OPERADOR PERFURATRIZ/ROMPEDOR COM ENCARGOS COMPLEMENTARES</t>
  </si>
  <si>
    <t>ELETRICISTA COM ENCARGOS COMPLEMENTARES</t>
  </si>
  <si>
    <t>ELETROTÉCNICO COM ENCARGOS COMPLEMENTARES</t>
  </si>
  <si>
    <t>ENCANADOR OU BOMBEIRO HIDRÁULICO COM ENCARGOS COMPLEMENTARES</t>
  </si>
  <si>
    <t>GESSEIRO COM ENCARGOS COMPLEMENTARES</t>
  </si>
  <si>
    <t>IMPERMEABILIZADOR COM ENCARGOS COMPLEMENTARES</t>
  </si>
  <si>
    <t>MACARIQUEIRO COM ENCARGOS COMPLEMENTARES</t>
  </si>
  <si>
    <t>MARCENEIRO COM ENCARGOS COMPLEMENTARES</t>
  </si>
  <si>
    <t>MARMORISTA/GRANITEIRO COM ENCARGOS COMPLEMENTARES</t>
  </si>
  <si>
    <t>MECÃNICO DE EQUIPAMENTOS PESADOS COM ENCARGOS COMPLEMENTARES</t>
  </si>
  <si>
    <t>MONTADOR (TUBO AÇO/EQUIPAMENTOS) COM ENCARGOS COMPLEMENTARES</t>
  </si>
  <si>
    <t>MOTORISTA DE BASCULANTE COM ENCARGOS COMPLEMENTARES</t>
  </si>
  <si>
    <t>MOTORISTA DE CAMINHÃO COM ENCARGOS COMPLEMENTARES</t>
  </si>
  <si>
    <t>MOTORISTA DE CAMINHÃO E CARRETA COM ENCARGOS COMPLEMENTARES</t>
  </si>
  <si>
    <t>MOTORISTA OPERADOR DE MUNCK COM ENCARGOS COMPLEMENTARES</t>
  </si>
  <si>
    <t>NIVELADOR COM ENCARGOS COMPLEMENTARES</t>
  </si>
  <si>
    <t>OPERADOR DE BETONEIRA (CAMINHÃO) COM ENCARGOS COMPLEMENTARES</t>
  </si>
  <si>
    <t>OPERADOR DE COMPRESSOR OU COMPRESSORISTA COM ENCARGOS COMPLEMENTARES</t>
  </si>
  <si>
    <t>OPERADOR DE DEMARCADORA DE FAIXAS COM ENCARGOS COMPLEMENTARES</t>
  </si>
  <si>
    <t>OPERADOR DE ESCAVADEIRA COM ENCARGOS COMPLEMENTARES</t>
  </si>
  <si>
    <t>OPERADOR DE GUINCHO COM ENCARGOS COMPLEMENTARES</t>
  </si>
  <si>
    <t>OPERADOR DE GUINDASTE COM ENCARGOS COMPLEMENTARES</t>
  </si>
  <si>
    <t>OPERADOR DE MÁQUINAS E EQUIPAMENTOS COM ENCARGOS COMPLEMENTARES</t>
  </si>
  <si>
    <t>OPERADOR DE MARTELETE OU MARTELETEIRO COM ENCARGOS COMPLEMENTARES</t>
  </si>
  <si>
    <t>OPERADOR DE MOTO-ESCREIPER COM ENCARGOS COMPLEMENTARES</t>
  </si>
  <si>
    <t>OPERADOR DE MOTONIVELADORA COM ENCARGOS COMPLEMENTARES</t>
  </si>
  <si>
    <t>OPERADOR DE PÁ CARREGADEIRA COM ENCARGOS COMPLEMENTARES</t>
  </si>
  <si>
    <t>OPERADOR DE PAVIMENTADORA COM ENCARGOS COMPLEMENTARES</t>
  </si>
  <si>
    <t>OPERADOR DE ROLO COMPACTADOR COM ENCARGOS COMPLEMENTARES</t>
  </si>
  <si>
    <t>OPERADOR DE USINA DE ASFALTO, DE SOLOS OU DE CONCRETO COM ENCARGOS COMPLEMENTARES</t>
  </si>
  <si>
    <t>OPERADOR JATO DE AREIA OU JATISTA COM ENCARGOS COMPLEMENTARES</t>
  </si>
  <si>
    <t>OPERADOR PARA BATE ESTACAS COM ENCARGOS COMPLEMENTARES</t>
  </si>
  <si>
    <t>PASTILHEIRO COM ENCARGOS COMPLEMENTARES</t>
  </si>
  <si>
    <t>PEDREIRO COM ENCARGOS COMPLEMENTARES</t>
  </si>
  <si>
    <t>PINTOR COM ENCARGOS COMPLEMENTARES</t>
  </si>
  <si>
    <t>PINTOR DE LETREIROS COM ENCARGOS COMPLEMENTARES</t>
  </si>
  <si>
    <t>PINTOR PARA TINTA EPÓXI COM ENCARGOS COMPLEMENTARES</t>
  </si>
  <si>
    <t>POCEIRO COM ENCARGOS COMPLEMENTARES</t>
  </si>
  <si>
    <t>RASTELEIRO COM ENCARGOS COMPLEMENTARES</t>
  </si>
  <si>
    <t>SERRALHEIRO COM ENCARGOS COMPLEMENTARES</t>
  </si>
  <si>
    <t>SERVENTE COM ENCARGOS COMPLEMENTARES</t>
  </si>
  <si>
    <t>SOLDADOR COM ENCARGOS COMPLEMENTARES</t>
  </si>
  <si>
    <t>SOLDADOR A (PARA SOLDA A SER TESTADA COM RAIOS "X") COM ENCARGOS COMPLEMENTARES</t>
  </si>
  <si>
    <t>TÉCNICO DE LABORATÓRIO COM ENCARGOS COMPLEMENTARES</t>
  </si>
  <si>
    <t>TELHADISTA COM ENCARGOS COMPLEMENTARES</t>
  </si>
  <si>
    <t>TRATORISTA COM ENCARGOS COMPLEMENTARES</t>
  </si>
  <si>
    <t>VIDRACEIRO COM ENCARGOS COMPLEMENTARES</t>
  </si>
  <si>
    <t>OPERADOR DE BETONEIRA ESTACIONÁRIA/MISTURADOR COM ENCARGOS COMPLEMENTARES</t>
  </si>
  <si>
    <t>JARDINEIRO COM ENCARGOS COMPLEMENTARES</t>
  </si>
  <si>
    <t>ALMOXARIFE COM ENCARGOS COMPLEMENTARES</t>
  </si>
  <si>
    <t>APONTADOR OU APROPRIADOR COM ENCARGOS COMPLEMENTARES</t>
  </si>
  <si>
    <t>ARQUITETO DE OBRA JUNIOR COM ENCARGOS COMPLEMENTARES</t>
  </si>
  <si>
    <t>ARQUITETO DE OBRA PLENO COM ENCARGOS COMPLEMENTARES</t>
  </si>
  <si>
    <t>ARQUITETO DE OBRA SENIOR COM ENCARGOS COMPLEMENTARES</t>
  </si>
  <si>
    <t>AUXILIAR DE ESCRITORIO COM ENCARGOS COMPLEMENTARES</t>
  </si>
  <si>
    <t>DESENHISTA PROJETISTA COM ENCARGOS COMPLEMENTARES</t>
  </si>
  <si>
    <t>ENCARREGADO GERAL COM ENCARGOS COMPLEMENTARES</t>
  </si>
  <si>
    <t>ENGENHEIRO CIVIL DE OBRA JUNIOR COM ENCARGOS COMPLEMENTARES</t>
  </si>
  <si>
    <t>ENGENHEIRO CIVIL DE OBRA PLENO COM ENCARGOS COMPLEMENTARES</t>
  </si>
  <si>
    <t>ENGENHEIRO CIVIL DE OBRA SENIOR COM ENCARGOS COMPLEMENTARES</t>
  </si>
  <si>
    <t>MESTRE DE OBRAS COM ENCARGOS COMPLEMENTARES</t>
  </si>
  <si>
    <t>TOPOGRAFO COM ENCARGOS COMPLEMENTARES</t>
  </si>
  <si>
    <t>MOTORISTA DE CAMINHAO COM ENCARGOS COMPLEMENTARES</t>
  </si>
  <si>
    <t>MES</t>
  </si>
  <si>
    <t>ARQUITETO JUNIOR COM ENCARGOS COMPLEMENTARES</t>
  </si>
  <si>
    <t>ARQUITETO PLENO COM ENCARGOS COMPLEMENTARES</t>
  </si>
  <si>
    <t>ARQUITETO SENIOR COM ENCARGOS COMPLEMENTARES</t>
  </si>
  <si>
    <t>ENCARREGADO GERAL DE OBRAS COM ENCARGOS COMPLEMENTARES</t>
  </si>
  <si>
    <t>CURSO DE CAPACITAÇÃO PARA AJUDANTE DE ARMADOR (ENCARGOS COMPLEMENTARES) - HORISTA</t>
  </si>
  <si>
    <t>CURSO DE CAPACITAÇÃO PARA AJUDANTE DE CARPINTEIRO (ENCARGOS COMPLEMENTARES) - HORISTA</t>
  </si>
  <si>
    <t>CURSO DE CAPACITAÇÃO PARA AJUDANTE DE ESTRUTURA METÁLICA (ENCARGOS COMPLEMENTARES) - HORISTA</t>
  </si>
  <si>
    <t>CURSO DE CAPACITAÇÃO PARA AJUDANTE DE OPERAÇÃO EM GERAL (ENCARGOS COMPLEMENTARES) - HORISTA</t>
  </si>
  <si>
    <t>CURSO DE CAPACITAÇÃO PARA AJUDANTE DE PEDREIRO (ENCARGOS COMPLEMENTARES) - HORISTA</t>
  </si>
  <si>
    <t>CURSO DE CAPACITAÇÃO PARA AJUDANTE ESPECIALIZADO (ENCARGOS COMPLEMENTARES) - HORISTA</t>
  </si>
  <si>
    <t>CURSO DE CAPACITAÇÃO PARA ARMADOR (ENCARGOS COMPLEMENTARES) - HORISTA</t>
  </si>
  <si>
    <t>CURSO DE CAPACITAÇÃO PARA ASSENTADOR DE TUBOS (ENCARGOS COMPLEMENTARES) - HORISTA</t>
  </si>
  <si>
    <t>CURSO DE CAPACITAÇÃO PARA AUXILIAR DE ELETRICISTA (ENCARGOS COMPLEMENTARES) - HORISTA</t>
  </si>
  <si>
    <t>CURSO DE CAPACITAÇÃO PARA AUXILIAR DE ENCANADOR OU BOMBEIRO HIDRÁULICO (ENCARGOS COMPLEMENTARES) - HORISTA</t>
  </si>
  <si>
    <t>CURSO DE CAPACITAÇÃO PARA AUXILIAR DE LABORATÓRIO (ENCARGOS COMPLEMENTARES) - HORISTA</t>
  </si>
  <si>
    <t>CURSO DE CAPACITAÇÃO PARA AUXILIAR DE MECÂNICO (ENCARGOS COMPLEMENTARES) - HORISTA</t>
  </si>
  <si>
    <t>CURSO DE CAPACITAÇÃO PARA AUXILIAR DE SERRALHEIRO (ENCARGOS COMPLEMENTARES) - HORISTA</t>
  </si>
  <si>
    <t>CURSO DE CAPACITAÇÃO PARA AUXILIAR DE SERVIÇOS GERAIS (ENCARGOS COMPLEMENTARES) - HORISTA</t>
  </si>
  <si>
    <t>CURSO DE CAPACITAÇÃO PARA AUXILIAR DE TOPÓGRAFO (ENCARGOS COMPLEMENTARES) - HORISTA</t>
  </si>
  <si>
    <t>CURSO DE CAPACITAÇÃO PARA AUXILIAR TÉCNICO DE ENGENHARIA (ENCARGOS COMPLEMENTARES) - HORISTA</t>
  </si>
  <si>
    <t>CURSO DE CAPACITAÇÃO PARA BLASTER, DINAMITADOR OU CABO DE FOGO (ENCARGOS COMPLEMENTARES) - HORISTA</t>
  </si>
  <si>
    <t>CURSO DE CAPACITAÇÃO PARA CALCETEIRO (ENCARGOS COMPLEMENTARES) - HORISTA</t>
  </si>
  <si>
    <t>CURSO DE CAPACITAÇÃO PARA CARPINTEIRO DE ESQUADRIA (ENCARGOS COMPLEMENTARES) - HORISTA</t>
  </si>
  <si>
    <t>CURSO DE CAPACITAÇÃO PARA CARPINTEIRO DE FÔRMAS (ENCARGOS COMPLEMENTARES) - HORISTA</t>
  </si>
  <si>
    <t>CURSO DE CAPACITAÇÃO PARA CAVOUQUEIRO OU OPERADOR PERFURATRIZ/ROMPEDOR (ENCARGOS COMPLEMENTARES) - HORISTA</t>
  </si>
  <si>
    <t>CURSO DE CAPACITAÇÃO PARA ELETRICISTA (ENCARGOS COMPLEMENTARES) - HORISTA</t>
  </si>
  <si>
    <t>CURSO DE CAPACITAÇÃO PARA ELETROTÉCNICO (ENCARGOS COMPLEMENTARES) - HORISTA</t>
  </si>
  <si>
    <t>CURSO DE CAPACITAÇÃO PARA ENCANADOR OU BOMBEIRO HIDRÁULICO (ENCARGOS COMPLEMENTARES) - HORISTA</t>
  </si>
  <si>
    <t>CURSO DE CAPACITAÇÃO PARA GESSEIRO (ENCARGOS COMPLEMENTARES) - HORISTA</t>
  </si>
  <si>
    <t>CURSO DE CAPACITAÇÃO PARA IMPERMEABILIZADOR (ENCARGOS COMPLEMENTARES) - HORISTA</t>
  </si>
  <si>
    <t>CURSO DE CAPACITAÇÃO PARA MAÇARIQUEIRO (ENCARGOS COMPLEMENTARES) - HORISTA</t>
  </si>
  <si>
    <t>CURSO DE CAPACITAÇÃO PARA MARCENEIRO (ENCARGOS COMPLEMENTARES) - HORISTA</t>
  </si>
  <si>
    <t>CURSO DE CAPACITAÇÃO PARA MARMORISTA/GRANITEIRO (ENCARGOS COMPLEMENTARES) - HORISTA</t>
  </si>
  <si>
    <t>CURSO DE CAPACITAÇÃO PARA MECÂNICO DE EQUIPAMENTOS PESADOS (ENCARGOS COMPLEMENTARES) - HORISTA</t>
  </si>
  <si>
    <t>CURSO DE CAPACITAÇÃO PARA MONTADOR DE ESTRUTURA METÁLICA (ENCARGOS COMPLEMENTARES) - HORISTA</t>
  </si>
  <si>
    <t>CURSO DE CAPACITAÇÃO PARA MONTADOR ELETROMECÂNICO (ENCARGOS COMPLEMENTARES) - HORISTA</t>
  </si>
  <si>
    <t>CURSO DE CAPACITAÇÃO PARA MOTORISTA DE BASCULANTE (ENCARGOS COMPLEMENTARES) - HORISTA</t>
  </si>
  <si>
    <t>CURSO DE CAPACITAÇÃO PARA MOTORISTA DE CAMINHÃO (ENCARGOS COMPLEMENTARES) - HORISTA</t>
  </si>
  <si>
    <t>CURSO DE CAPACITAÇÃO PARA MOTORISTA DE CAMINHÃO E CARRETA (ENCARGOS COMPLEMENTARES) - HORISTA</t>
  </si>
  <si>
    <t>CURSO DE CAPACITAÇÃO PARA MOTORISTA DE VEÍCULO LEVE (ENCARGOS COMPLEMENTARES) - HORISTA</t>
  </si>
  <si>
    <t>CURSO DE CAPACITAÇÃO PARA MOTORISTA OPERADOR DE MUNCK (ENCARGOS COMPLEMENTARES) - HORISTA</t>
  </si>
  <si>
    <t>CURSO DE CAPACITAÇÃO PARA NIVELADOR (ENCARGOS COMPLEMENTARES) - HORISTA</t>
  </si>
  <si>
    <t>CURSO DE CAPACITAÇÃO PARA OPERADOR DE BETONEIRA (CAMINHÃO) (ENCARGOS COMPLEMENTARES) - HORISTA</t>
  </si>
  <si>
    <t>CURSO DE CAPACITAÇÃO PARA OPERADOR DE COMPRESSOR OU COMPRESSORISTA (ENCARGOS COMPLEMENTARES) - HORISTA</t>
  </si>
  <si>
    <t>CURSO DE CAPACITAÇÃO PARA OPERADOR DE DEMARCADORA DE FAIXAS (ENCARGOS COMPLEMENTARES) - HORISTA</t>
  </si>
  <si>
    <t>CURSO DE CAPACITAÇÃO PARA OPERADOR DE ESCAVADEIRA (ENCARGOS COMPLEMENTARES) - HORISTA</t>
  </si>
  <si>
    <t>CURSO DE CAPACITAÇÃO PARA OPERADOR DE GUINCHO (ENCARGOS COMPLEMENTARES) - HORISTA</t>
  </si>
  <si>
    <t>CURSO DE CAPACITAÇÃO PARA OPERADOR DE GUINDASTE (ENCARGOS COMPLEMENTARES) - HORISTA</t>
  </si>
  <si>
    <t>CURSO DE CAPACITAÇÃO PARA OPERADOR DE MÁQUINAS E EQUIPAMENTOS (ENCARGOS COMPLEMENTARES) - HORISTA</t>
  </si>
  <si>
    <t>CURSO DE CAPACITAÇÃO PARA OPERADOR DE MARTELETE OU MARTELETEIRO (ENCARGOS COMPLEMENTARES) - HORISTA</t>
  </si>
  <si>
    <t>CURSO DE CAPACITAÇÃO PARA OPERADOR DE MOTO-ESCREIPER (ENCARGOS COMPLEMENTARES) - HORISTA</t>
  </si>
  <si>
    <t>CURSO DE CAPACITAÇÃO PARA OPERADOR DE MOTONIVELADORA (ENCARGOS COMPLEMENTARES) - HORISTA</t>
  </si>
  <si>
    <t>CURSO DE CAPACITAÇÃO PARA OPERADOR DE PÁ CARREGADEIRA (ENCARGOS COMPLEMENTARES) - HORISTA</t>
  </si>
  <si>
    <t>CURSO DE CAPACITAÇÃO PARA OPERADOR DE PAVIMENTADORA (ENCARGOS COMPLEMENTARES) - HORISTA</t>
  </si>
  <si>
    <t>CURSO DE CAPACITAÇÃO PARA OPERADOR DE ROLO COMPACTADOR (ENCARGOS COMPLEMENTARES) - HORISTA</t>
  </si>
  <si>
    <t>CURSO DE CAPACITAÇÃO PARA OPERADOR DE USINA DE ASFALTO, DE SOLOS OU DE CONCRETO (ENCARGOS COMPLEMENTARES) - HORISTA</t>
  </si>
  <si>
    <t>CURSO DE CAPACITAÇÃO PARA OPERADOR JATO DE AREIA OU JATISTA (ENCARGOS COMPLEMENTARES) - HORISTA</t>
  </si>
  <si>
    <t>CURSO DE CAPACITAÇÃO PARA OPERADOR PARA BATE ESTACAS (ENCARGOS COMPLEMENTARES) - HORISTA</t>
  </si>
  <si>
    <t>CURSO DE CAPACITAÇÃO PARA PASTILHEIRO (ENCARGOS COMPLEMENTARES) - HORISTA</t>
  </si>
  <si>
    <t>CURSO DE CAPACITAÇÃO PARA PEDREIRO (ENCARGOS COMPLEMENTARES) - HORISTA</t>
  </si>
  <si>
    <t>CURSO DE CAPACITAÇÃO PARA PINTOR (ENCARGOS COMPLEMENTARES) - HORISTA</t>
  </si>
  <si>
    <t>CURSO DE CAPACITAÇÃO PARA PINTOR DE LETREIROS (ENCARGOS COMPLEMENTARES) - HORISTA</t>
  </si>
  <si>
    <t>CURSO DE CAPACITAÇÃO PARA PINTOR PARA TINTA EPÓXI (ENCARGOS COMPLEMENTARES) - HORISTA</t>
  </si>
  <si>
    <t>CURSO DE CAPACITAÇÃO PARA POCEIRO (ENCARGOS COMPLEMENTARES) - HORISTA</t>
  </si>
  <si>
    <t>CURSO DE CAPACITAÇÃO PARA RASTELEIRO (ENCARGOS COMPLEMENTARES) - HORISTA</t>
  </si>
  <si>
    <t>CURSO DE CAPACITAÇÃO PARA SERRALHEIRO (ENCARGOS COMPLEMENTARES) - HORISTA</t>
  </si>
  <si>
    <t>CURSO DE CAPACITAÇÃO PARA SERVENTE (ENCARGOS COMPLEMENTARES) - HORISTA</t>
  </si>
  <si>
    <t>CURSO DE CAPACITAÇÃO PARA SOLDADOR (ENCARGOS COMPLEMENTARES) - HORISTA</t>
  </si>
  <si>
    <t>CURSO DE CAPACITAÇÃO PARA TÉCNICO DE LABORATÓRIO (ENCARGOS COMPLEMENTARES) - HORISTA</t>
  </si>
  <si>
    <t>CURSO DE CAPACITAÇÃO PARA TÉCNICO DE SONDAGEM (ENCARGOS COMPLEMENTARES) - HORISTA</t>
  </si>
  <si>
    <t>CURSO DE CAPACITAÇÃO PARA TELHADISTA (ENCARGOS COMPLEMENTARES) - HORISTA</t>
  </si>
  <si>
    <t>CURSO DE CAPACITAÇÃO PARA TRATORISTA (ENCARGOS COMPLEMENTARES) - HORISTA</t>
  </si>
  <si>
    <t>CURSO DE CAPACITAÇÃO PARA VIDRACEIRO (ENCARGOS COMPLEMENTARES) - HORISTA</t>
  </si>
  <si>
    <t>CURSO DE CAPACITAÇÃO PARA OPERADOR DE BETONEIRA ESTACIONÁRIA/MISTURADOR (ENCARGOS COMPLEMENTARES) - HORISTA</t>
  </si>
  <si>
    <t>CURSO DE CAPACITAÇÃO PARA JARDINEIRO (ENCARGOS COMPLEMENTARES) - HORISTA</t>
  </si>
  <si>
    <t>CURSO DE CAPACITAÇÃO PARA ALMOXARIFE (ENCARGOS COMPLEMENTARES) - HORISTA</t>
  </si>
  <si>
    <t>CURSO DE CAPACITAÇÃO PARA APONTADOR OU APROPRIADOR (ENCARGOS COMPLEMENTARES) - HORISTA</t>
  </si>
  <si>
    <t>CURSO DE CAPACITAÇÃO PARA ARQUITETO DE OBRA JÚNIOR (ENCARGOS COMPLEMENTARES) - HORISTA</t>
  </si>
  <si>
    <t>CURSO DE CAPACITAÇÃO PARA ARQUITETO DE OBRA PLENO (ENCARGOS COMPLEMENTARES) - HORISTA</t>
  </si>
  <si>
    <t>CURSO DE CAPACITAÇÃO PARA ARQUITETO DE OBRA SÊNIOR (ENCARGOS COMPLEMENTARES) - HORISTA</t>
  </si>
  <si>
    <t>CURSO DE CAPACITAÇÃO PARA AUXILIAR DE ESCRITÓRIO (ENCARGOS COMPLEMENTARES) - HORISTA</t>
  </si>
  <si>
    <t>CURSO DE CAPACITAÇÃO PARA DESENHISTA PROJETISTA (ENCARGOS COMPLEMENTARES) - HORISTA</t>
  </si>
  <si>
    <t>CURSO DE CAPACITAÇÃO PARA ENCARREGADO GERAL (ENCARGOS COMPLEMENTARES) - HORISTA</t>
  </si>
  <si>
    <t>CURSO DE CAPACITAÇÃO PARA ENGENHEIRO CIVIL DE OBRA JÚNIOR (ENCARGOS COMPLEMENTARES) - HORISTA</t>
  </si>
  <si>
    <t>CURSO DE CAPACITAÇÃO PARA ENGENHEIRO CIVIL DE OBRA PLENO (ENCARGOS COMPLEMENTARES) - HORISTA</t>
  </si>
  <si>
    <t>CURSO DE CAPACITAÇÃO PARA ENGENHEIRO CIVIL DE OBRA SÊNIOR (ENCARGOS COMPLEMENTARES) - HORISTA</t>
  </si>
  <si>
    <t>CURSO DE CAPACITAÇÃO PARA MESTRE DE OBRAS (ENCARGOS COMPLEMENTARES) - HORISTA</t>
  </si>
  <si>
    <t>CURSO DE CAPACITAÇÃO PARA TOPÓGRAFO (ENCARGOS COMPLEMENTARES) - HORISTA</t>
  </si>
  <si>
    <t>CURSO DE CAPACITAÇÃO PARA DESENHISTA PROJETISTA (ENCARGOS COMPLEMENTARES) - MENSALISTA</t>
  </si>
  <si>
    <t>CURSO DE CAPACITAÇÃO PARA ALMOXARIFE (ENCARGOS COMPLEMENTARES) - MENSALISTA</t>
  </si>
  <si>
    <t>CURSO DE CAPACITAÇÃO PARA APONTADOR OU APROPRIADOR (ENCARGOS COMPLEMENTARES) - MENSALISTA</t>
  </si>
  <si>
    <t>CURSO DE CAPACITAÇÃO PARA ENGENHEIRO CIVIL DE OBRA JÚNIOR (ENCARGOS COMPLEMENTARES) - MENSALISTA</t>
  </si>
  <si>
    <t>CURSO DE CAPACITAÇÃO PARA AUXILIAR DE ESCRITÓRIO (ENCARGOS COMPLEMENTARES) - MENSALISTA</t>
  </si>
  <si>
    <t>CURSO DE CAPACITAÇÃO PARA ENGENHEIRO CIVIL DE OBRA PLENO (ENCARGOS COMPLEMENTARES) - MENSALISTA</t>
  </si>
  <si>
    <t>CURSO DE CAPACITAÇÃO PARA ENGENHEIRO CIVIL DE OBRA SÊNIOR (ENCARGOS COMPLEMENTARES) - MENSALISTA</t>
  </si>
  <si>
    <t>CURSO DE CAPACITAÇÃO PARA ARQUITETO JÚNIOR (ENCARGOS COMPLEMENTARES) - MENSALISTA</t>
  </si>
  <si>
    <t>CURSO DE CAPACITAÇÃO PARA ARQUITETO PLENO (ENCARGOS COMPLEMENTARES) - MENSALISTA</t>
  </si>
  <si>
    <t>CURSO DE CAPACITAÇÃO PARA ARQUITETO SÊNIOR (ENCARGOS COMPLEMENTARES) - MENSALISTA</t>
  </si>
  <si>
    <t>CURSO DE CAPACITAÇÃO PARA ENCARREGADO GERAL DE OBRAS (ENCARGOS COMPLEMENTARES) - MENSALISTA</t>
  </si>
  <si>
    <t>CURSO DE CAPACITAÇÃO PARA MESTRE DE OBRAS (ENCARGOS COMPLEMENTARES) - MENSALISTA</t>
  </si>
  <si>
    <t>CURSO DE CAPACITAÇÃO PARA TOPÓGRAFO (ENCARGOS COMPLEMENTARES) - MENSALISTA</t>
  </si>
  <si>
    <t>CURSO DE CAPACITAÇÃO PARA VIGIA DIURNO (ENCARGOS COMPLEMENTARES) - HORISTA</t>
  </si>
  <si>
    <t>VIGIA DIURNO COM ENCARGOS COMPLEMENTARES</t>
  </si>
  <si>
    <t>CURSO DE CAPACITAÇÃO PARA AJUDANTE DE PINTOR (ENCARGOS COMPLEMENTARES) - HORISTA</t>
  </si>
  <si>
    <t>CURSO DE CAPACITAÇÃO PARA AUXILIAR DE AZULEJISTA (ENCARGOS COMPLEMENTARES) - HORISTA</t>
  </si>
  <si>
    <t>CURSO DE CAPACITAÇÃO PARA MONTADOR DE ELETROELETRONICOS (ENCARGOS COMPLEMENTARES) - HORISTA</t>
  </si>
  <si>
    <t>CURSO DE CAPACITAÇÃO PARA MECÂNICO DE REFRIGERAÇÃO (ENCARGOS COMPLEMENTARES) - HORISTA</t>
  </si>
  <si>
    <t>CURSO DE CAPACITAÇÃO PARA TÉCNICO EM SEGURANÇA DO TRABALHO (ENCARGOS COMPLEMENTARES) - HORISTA</t>
  </si>
  <si>
    <t>AJUDANTE DE PINTOR COM ENCARGOS COMPLEMENTARES</t>
  </si>
  <si>
    <t>AUXILIAR DE AZULEJISTA COM ENCARGOS COMPLEMENTARES</t>
  </si>
  <si>
    <t>MONTADOR DE ELETROELETRÔNICOS COM ENCARGOS COMPLEMENTARES</t>
  </si>
  <si>
    <t>MECÂNICO DE REFRIGERAÇÃO COM ENCARGOS COMPLEMENTARES</t>
  </si>
  <si>
    <t>TÉCNICO EM SEGURANÇA DO TRABALHO COM ENCARGOS COMPLEMENTARES</t>
  </si>
  <si>
    <t>CURSO DE CAPACITAÇÃO PARA TÉCNICO EM SEGURANÇA DO TRABALHO (ENCARGOS COMPLEMENTARES) - MENSALISTA</t>
  </si>
  <si>
    <t>TECNICO DE EDIFICACOES COM ENCARGOS COMPLEMENTARES</t>
  </si>
  <si>
    <t>CURSO DE CAPACITAÇÃO PARA TECNICO DE EDIFICACOES (ENCARGOS COMPLEMENTARES) - HORISTA</t>
  </si>
  <si>
    <t>CURSO DE CAPACITAÇÃO PARA TECNICO DE EDIFICACOES (ENCARGOS COMPLEMENTARES) - MENSALISTA</t>
  </si>
  <si>
    <t>CURSO DE CAPACITAÇÃO PARA AJUDANTE DE ARMADOR (ENCARGOS COMPLEMENTARES) - MENSALISTA</t>
  </si>
  <si>
    <t>CURSO DE CAPACITAÇÃO PARA AJUDANTE DE ELETRICISTA (ENCARGOS COMPLEMENTARES) - MENSALISTA</t>
  </si>
  <si>
    <t>CURSO DE CAPACITAÇÃO PARA AJUDANTE DE ESTRUTURAS METÁLICAS(ENCARGOS COMPLEMENTARES) - MENSALISTA</t>
  </si>
  <si>
    <t>CURSO DE CAPACITAÇÃO PARA AJUDANTE DE OPERAÇÃO EM GERAL (ENCARGOS COMPLEMENTARES) - MENSALISTA</t>
  </si>
  <si>
    <t>CURSO DE CAPACITAÇÃO PARA AJUDANTE DE PINTOR (ENCARGOS COMPLEMENTARES) - MENSALISTA</t>
  </si>
  <si>
    <t>CURSO DE CAPACITAÇÃO PARA AJUDANTE DE SERRALHEIRO (ENCARGOS COMPLEMENTARES) - MENSALISTA</t>
  </si>
  <si>
    <t>CURSO DE CAPACITAÇÃO PARA AJUDANTE ESPECIALIZADO (ENCARGOS COMPLEMENTARES) - MENSALISTA</t>
  </si>
  <si>
    <t>CURSO DE CAPACITAÇÃO PARA ARMADOR (ENCARGOS COMPLEMENTARES) - MENSALISTA</t>
  </si>
  <si>
    <t>CURSO DE CAPACITAÇÃO PARA ASSENTADOR DE MANILHA (ENCARGOS COMPLEMENTARES) - MENSALISTA</t>
  </si>
  <si>
    <t>CURSO DE CAPACITAÇÃO PARA AUXILIAR DE AZULEJISTA (ENCARGOS COMPLEMENTARES) - MENSALISTA</t>
  </si>
  <si>
    <t>CURSO DE CAPACITAÇÃO PARA AUXILIAR DE ENCANADOR OU BOMBEIRO HIDRÁULICO (ENCARGOS COMPLEMENTARES) - MENSALISTA</t>
  </si>
  <si>
    <t>CURSO DE CAPACITAÇÃO PARA AUXILIAR DE MECANICO (ENCARGOS COMPLEMENTARES) - MENSALISTA</t>
  </si>
  <si>
    <t>CURSO DE CAPACITAÇÃO PARA AUXILIAR DE PEDREIRO (ENCARGOS COMPLEMENTARES) - MENSALISTA</t>
  </si>
  <si>
    <t>CURSO DE CAPACITAÇÃO PARA AUXILIAR DE SERVIÇOS GERAIS (ENCARGOS COMPLEMENTARES) - MENSALISTA</t>
  </si>
  <si>
    <t>CURSO DE CAPACITAÇÃO PARA AUXILIAR DE TOPÓGRAFO (ENCARGOS COMPLEMENTARES) - MENSALISTA</t>
  </si>
  <si>
    <t>CURSO DE CAPACITAÇÃO PARA AUXILIAR TÉCNICO DE ENGENHARIA (ENCARGOS COMPLEMENTARES) - MENSALISTA</t>
  </si>
  <si>
    <t>CURSO DE CAPACITAÇÃO PARA MONTADOR DE ELETROELETRONICOS(ENCARGOS COMPLEMENTARES) - MENSALISTA</t>
  </si>
  <si>
    <t>CURSO DE CAPACITAÇÃO PARA BLASTER, DINAMITADOR OU CABO DE FORÇA (ENCARGOS COMPLEMENTARES) - MENSALISTA</t>
  </si>
  <si>
    <t>CURSO DE CAPACITAÇÃO PARA CALCETEIRO (ENCARGOS COMPLEMENTARES) - MENSALISTA</t>
  </si>
  <si>
    <t>CURSO DE CAPACITAÇÃO PARA MONTADOR DE ESTRUTURAS METALICAS (ENCARGOS COMPLEMENTARES) - MENSALISTA</t>
  </si>
  <si>
    <t>CURSO DE CAPACITAÇÃO PARA CARPINTEIRO AUXILIAR (ENCARGOS COMPLEMENTARES) - MENSALISTA</t>
  </si>
  <si>
    <t>CURSO DE CAPACITAÇÃO PARA CARPINTEIRO DE ESQUADRIAS (ENCARGOS COMPLEMENTARES) - MENSALISTA</t>
  </si>
  <si>
    <t>CURSO DE CAPACITAÇÃO PARA CARPINTEIRO DE FORMAS (ENCARGOS COMPLEMENTARES) - MENSALISTA</t>
  </si>
  <si>
    <t>CURSO DE CAPACITAÇÃO PARA CAVOUQUEIRO OU OPERADOR DE PERFURATRIZ (ENCARGOS COMPLEMENTARES) - MENSALISTA</t>
  </si>
  <si>
    <t>CURSO DE CAPACITAÇÃO PARA ELETRICISTA (ENCARGOS COMPLEMENTARES) - MENSALISTA</t>
  </si>
  <si>
    <t>CURSO DE CAPACITAÇÃO PARA ELETROTÉCNICO (ENCARGOS COMPLEMENTARES) - MENSALISTA</t>
  </si>
  <si>
    <t>CURSO DE CAPACITAÇÃO PARA ENCANADOR OU BOMBEIRO HIDRÁULICO (ENCARGOS COMPLEMENTARES) - MENSALISTA</t>
  </si>
  <si>
    <t>CURSO DE CAPACITAÇÃO PARA MONTADOR DE MAQUINAS (ENCARGOS COMPLEMENTARES) - MENSALISTA</t>
  </si>
  <si>
    <t>CURSO DE CAPACITAÇÃO PARA GESSEIRO (ENCARGOS COMPLEMENTARES) - MENSALISTA</t>
  </si>
  <si>
    <t>CURSO DE CAPACITAÇÃO PARA IMPERMEABILIZADOR (ENCARGOS COMPLEMENTARES) - MENSALISTA</t>
  </si>
  <si>
    <t>CURSO DE CAPACITAÇÃO PARA MOTORISTA DE CAMINHAO-BASCULANTE (ENCARGOS COMPLEMENTARES) - MENSALISTA</t>
  </si>
  <si>
    <t>CURSO DE CAPACITAÇÃO PARA INSTALADOR DE TUBULAÇÕES (ENCARGOS COMPLEMENTARES) - MENSALISTA</t>
  </si>
  <si>
    <t>CURSO DE CAPACITAÇÃO PARA JARDINEIRO (ENCARGOS COMPLEMENTARES) - MENSALISTA</t>
  </si>
  <si>
    <t>CURSO DE CAPACITAÇÃO PARA MOTORISTA DE CAMINHAO-CARRETA (ENCARGOS COMPLEMENTARES) - MENSALISTA</t>
  </si>
  <si>
    <t>CURSO DE CAPACITAÇÃO PARA MAÇARIQUEIRO (ENCARGOS COMPLEMENTARES) - MENSALISTA</t>
  </si>
  <si>
    <t>CURSO DE CAPACITAÇÃO PARA MARCENEIRO (ENCARGOS COMPLEMENTARES) - MENSALISTA</t>
  </si>
  <si>
    <t>CURSO DE CAPACITAÇÃO PARA MARMORISTA / GRANITEIRO (ENCARGOS COMPLEMENTARES) - MENSALISTA</t>
  </si>
  <si>
    <t>CURSO DE CAPACITAÇÃO PARA MOTORISTA DE CARRO DE PASSEIO (ENCARGOS COMPLEMENTARES) - MENSALISTA</t>
  </si>
  <si>
    <t>CURSO DE CAPACITAÇÃO PARA MECÂNICO DE EQUIPAMENTOS PESADOS (ENCARGOS COMPLEMENTARES) - MENSALISTA</t>
  </si>
  <si>
    <t>CURSO DE CAPACITAÇÃO PARA MECÂNICO DE REFRIGERAÇÃO (ENCARGOS COMPLEMENTARES) - MENSALISTA</t>
  </si>
  <si>
    <t>CURSO DE CAPACITAÇÃO PARA MOTORISTA OPERADOR DE CAMINHAO COM MUNCK (ENCARGOS COMPLEMENTARES) - MENSALISTA</t>
  </si>
  <si>
    <t>CURSO DE CAPACITAÇÃO PARA NIVELADOR (ENCARGOS COMPLEMENTARES) - MENSALISTA</t>
  </si>
  <si>
    <t>CURSO DE CAPACITAÇÃO PARA OPERADOR DE BATE-ESTACAS (ENCARGOS COMPLEMENTARES) - MENSALISTA</t>
  </si>
  <si>
    <t>CURSO DE CAPACITAÇÃO PARA OPERADOR DE BETONEIRA (ENCARGOS COMPLEMENTARES) - MENSALISTA</t>
  </si>
  <si>
    <t>CURSO DE CAPACITAÇÃO PARA OPERADOR DE BETONEIRA ESTACIONARIA / MISTURADOR (ENCARGOS COMPLEMENTARES) - MENSALISTA</t>
  </si>
  <si>
    <t>CURSO DE CAPACITAÇÃO PARA OPERADOR DE COMPRESSOR DE AR OU COMPRESSORISTA (ENCARGOS COMPLEMENTARES) - MENSALISTA</t>
  </si>
  <si>
    <t>CURSO DE CAPACITAÇÃO PARA OPERADOR DE DEMARCADORA DE FAIXAS DE TRAFEGO (ENCARGOS COMPLEMENTARES) - MENSALISTA</t>
  </si>
  <si>
    <t>CURSO DE CAPACITAÇÃO PARA OPERADOR DE ESCAVADEIRA (ENCARGOS COMPLEMENTARES) - MENSALISTA</t>
  </si>
  <si>
    <t>CURSO DE CAPACITAÇÃO PARA OPERADOR DE GUINCHO OU GUINCHEIRO (ENCARGOS COMPLEMENTARES) - MENSALISTA</t>
  </si>
  <si>
    <t>CURSO DE CAPACITAÇÃO PARA OPERADOR DE GUINDASTE (ENCARGOS COMPLEMENTARES) - MENSALISTA</t>
  </si>
  <si>
    <t>CURSO DE CAPACITAÇÃO PARA OPERADOR DE JATO ABRASIVO OU JATISTA (ENCARGOS COMPLEMENTARES) - MENSALISTA</t>
  </si>
  <si>
    <t>CURSO DE CAPACITAÇÃO PARA OPERADOR DE MAQUINAS E TRATORES DIVERSOS (ENCARGOS COMPLEMENTARES) - MENSALISTA</t>
  </si>
  <si>
    <t>CURSO DE CAPACITAÇÃO PARA OPERADOR DE MARTELETE OU MARTELETEIRO (ENCARGOS COMPLEMENTARES) - MENSALISTA</t>
  </si>
  <si>
    <t>CURSO DE CAPACITAÇÃO PARA OPERADOR DE MOTO SCRAPER (ENCARGOS COMPLEMENTARES) - MENSALISTA</t>
  </si>
  <si>
    <t>CURSO DE CAPACITAÇÃO PARA OPERADOR DE MOTONIVELADORA (ENCARGOS COMPLEMENTARES) - MENSALISTA</t>
  </si>
  <si>
    <t>CURSO DE CAPACITAÇÃO PARA OPERADOR DE PA CARREGADEIRA (ENCARGOS COMPLEMENTARES) - MENSALISTA</t>
  </si>
  <si>
    <t>CURSO DE CAPACITAÇÃO PARA OPERADOR DE PAVIMENTADORA / MESA VIBROACABADORA (ENCARGOS COMPLEMENTARES) - MENSALISTA</t>
  </si>
  <si>
    <t>CURSO DE CAPACITAÇÃO PARA OPERADOR DE ROLO COMPACTADOR (ENCARGOS COMPLEMENTARES) - MENSALISTA</t>
  </si>
  <si>
    <t>CURSO DE CAPACITAÇÃO PARA OPERADOR DE USINA DE ASFALTO, DE SOLOS OU DE CONCRETO (ENCARGOS COMPLEMENTARES) - MENSALISTA</t>
  </si>
  <si>
    <t>CURSO DE CAPACITAÇÃO PARA PASTILHEIRO (ENCARGOS COMPLEMENTARES) - MENSALISTA</t>
  </si>
  <si>
    <t>CURSO DE CAPACITAÇÃO PARA PEDREIRO (ENCARGOS COMPLEMENTARES) - MENSALISTA</t>
  </si>
  <si>
    <t>CURSO DE CAPACITAÇÃO PARA PINTOR (ENCARGOS COMPLEMENTARES) - MENSALISTA</t>
  </si>
  <si>
    <t>CURSO DE CAPACITAÇÃO PARA PINTOR DE LETREIROS (ENCARGOS COMPLEMENTARES) - MENSALISTA</t>
  </si>
  <si>
    <t>CURSO DE CAPACITAÇÃO PARA PINTOR PARA TINTA EPOXI (ENCARGOS COMPLEMENTARES) - MENSALISTA</t>
  </si>
  <si>
    <t>CURSO DE CAPACITAÇÃO PARA POCEIRO / ESCAVADOR DE VALAS E TUBULOES (ENCARGOS COMPLEMENTARES) - MENSALISTA</t>
  </si>
  <si>
    <t>CURSO DE CAPACITAÇÃO PARA SERRALHEIRO (ENCARGOS COMPLEMENTARES) - MENSALISTA</t>
  </si>
  <si>
    <t>CURSO DE CAPACITAÇÃO PARA SERVENTE DE OBRAS (ENCARGOS COMPLEMENTARES) - MENSALISTA</t>
  </si>
  <si>
    <t>CURSO DE CAPACITAÇÃO PARA SOLDADOR (ENCARGOS COMPLEMENTARES) - MENSALISTA</t>
  </si>
  <si>
    <t>CURSO DE CAPACITAÇÃO PARA SOLDADOR ELETRICO (ENCARGOS COMPLEMENTARES) - MENSALISTA</t>
  </si>
  <si>
    <t>CURSO DE CAPACITAÇÃO PARA TECNICO EM LABORATORIO E CAMPO DE CONSTRUCAO CIVIL (ENCARGOS COMPLEMENTARES) - MENSALISTA</t>
  </si>
  <si>
    <t>CURSO DE CAPACITAÇÃO PARA TECNICO EM SONDAGEM (ENCARGOS COMPLEMENTARES) - MENSALISTA</t>
  </si>
  <si>
    <t>CURSO DE CAPACITAÇÃO PARA TELHADOR (ENCARGOS COMPLEMENTARES) - MENSALISTA</t>
  </si>
  <si>
    <t>CURSO DE CAPACITAÇÃO PARA VIDRACEIRO (ENCARGOS COMPLEMENTARES) - MENSALISTA</t>
  </si>
  <si>
    <t>CURSO DE CAPACITAÇÃO PARA VIGIA DIURNO (ENCARGOS COMPLEMENTARES) - MENSALISTA</t>
  </si>
  <si>
    <t>AJUDANTE DE ELETRICISTA COM ENCARGOS COMPLEMENTARES</t>
  </si>
  <si>
    <t>AJUDANTE DE ESTRUTURAS METÁLICAS COM ENCARGOS COMPLEMENTARES</t>
  </si>
  <si>
    <t>AJUDANTE DE SERRALHEIRO COM ENCARGOS COMPLEMENTARES</t>
  </si>
  <si>
    <t>ASSENTADOR DE MANILHAS COM ENCARGOS COMPLEMENTARES</t>
  </si>
  <si>
    <t>AUXILIAR DE LABORATORISTA DE SOLOS E DE CONCRETO COM ENCARGOS COMPLEMENTARES</t>
  </si>
  <si>
    <t>AUXILIAR DE PEDREIRO COM ENCARGOS COMPLEMENTARES</t>
  </si>
  <si>
    <t>AUXILIAR TÉCNICO / ASSISTENTE DE ENGENHARIA COM ENCARGOS COMPLEMENTARES</t>
  </si>
  <si>
    <t>AZULEJISTA OU LADRILHEIRO COM ENCARGOS COMPLEMENTARES</t>
  </si>
  <si>
    <t>BLASTER, DINAMITADOR OU CABO DE FORÇA COM ENCARGOS COMPLEMENTARES</t>
  </si>
  <si>
    <t>CARPINTEIRO AUXILIAR COM ENCARGOS COMPLEMENTARES</t>
  </si>
  <si>
    <t>CARPINTEIRO DE ESQUADRIAS COM ENCARGOS COMPLEMENTARES</t>
  </si>
  <si>
    <t>CAVOUQUEIRO OU OPERADOR DE PERFURATRIZ COM ENCARGOS COMPLEMENTARES</t>
  </si>
  <si>
    <t>INSTALADOR DE TUBULAÇÕES COM ENCARGOS COMPLEMENTARES</t>
  </si>
  <si>
    <t>MAÇARIQUEIRO COM ENCARGOS COMPLEMENTARES</t>
  </si>
  <si>
    <t>MARMORISTA / GRANITEIRO COM ENCARGOS COMPLEMENTARES</t>
  </si>
  <si>
    <t>MECÂNICO DE EQUIPAMENTOS PESADOS COM ENCARGOS COMPLEMENTARES</t>
  </si>
  <si>
    <t>MONTADOR DE ESTRUTURAS METÁLICAS COM ENCARGOS COMPLEMENTARES</t>
  </si>
  <si>
    <t>MONTADOR DE MÁQUINAS COM ENCARGOS COMPLEMENTARES</t>
  </si>
  <si>
    <t>MOTORISTA DE CAMINHÃO BASCULANTE COM ENCARGOS COMPLEMENTARES</t>
  </si>
  <si>
    <t>MOTORISTA DE CAMINHÃO CARRETA COM ENCARGOS COMPLEMENTARES</t>
  </si>
  <si>
    <t>MOTORISTA DE CARRO DE PASSEIO COM ENCARGOS COMPLEMENTARES</t>
  </si>
  <si>
    <t>MOTORISTA OPERADOR DE CAMINHÃO COM MUNCK COM ENCARGOS COMPLEMENTARES</t>
  </si>
  <si>
    <t>OPERADOR DE BATE-ESTACA COM ENCARGOS COMPLEMENTARES</t>
  </si>
  <si>
    <t>OPERADOR DE BETONEIRA ESTACIONÁRIA COM ENCARGOS COMPLEMENTARES</t>
  </si>
  <si>
    <t>OPERADOR DE COMPRESSOR DE AR OU COMPRESSORISTA COM ENCARGOS COMPLEMENTARES</t>
  </si>
  <si>
    <t>OPERADOR DE DEMARCADORA DE FAIXAS DE TRÁFEGO COM ENCARGOS COMPLEMENTARES</t>
  </si>
  <si>
    <t>OPERADOR DE GUINCHO OU GUINCHEIRO COM ENCARGOS COMPLEMENTARES</t>
  </si>
  <si>
    <t>OPERADOR DE JATO ABRASIVO OU JATISTA COM ENCARGOS COMPLEMENTARES</t>
  </si>
  <si>
    <t>OPERADOR DE MÁQUINAS E TRATORES DIVERSOS COM ENCARGOS COMPLEMENTARES</t>
  </si>
  <si>
    <t>OPERADOR DE MOTO SCRAPER COM ENCARGOS COMPLEMENTARES</t>
  </si>
  <si>
    <t>OPERADOR DE PAVIMENTADORA / MESA VIBROACABADORA COM ENCARGOS COMPLEMENTARES</t>
  </si>
  <si>
    <t>POCEIRO / ESCAVADOR DE VALAS COM ENCARGOS COMPLEMENTARES</t>
  </si>
  <si>
    <t>SERVENTE DE OBRAS COM ENCARGOS COMPLEMENTARES</t>
  </si>
  <si>
    <t>SOLDADOR ELÉTRICO COM ENCARGOS COMPLEMENTARES</t>
  </si>
  <si>
    <t>TÉCNICO DE LABORATÓRIO E CAMPO DE CONSTRUÇÃO COM ENCARGOS COMPLEMENTARES</t>
  </si>
  <si>
    <t>TÉCNICO EM SONDAGEM COM ENCARGOS COMPLEMENTARES</t>
  </si>
  <si>
    <t>TELHADOR COM ENCARGOS COMPLEMENTARES</t>
  </si>
  <si>
    <t>PLANILHA ORÇAMENTÁRIA COMPLETA</t>
  </si>
  <si>
    <t>NÍVEL 1</t>
  </si>
  <si>
    <t xml:space="preserve">PLANILHA ORÇAMENTÁRIA </t>
  </si>
  <si>
    <t>NÍVEL 2</t>
  </si>
  <si>
    <t>NÍVEL 3</t>
  </si>
  <si>
    <t xml:space="preserve">Contratante: </t>
  </si>
  <si>
    <t>NÍVEL 4</t>
  </si>
  <si>
    <t xml:space="preserve">Objeto: </t>
  </si>
  <si>
    <t>NÍVEL 5</t>
  </si>
  <si>
    <r>
      <t>Endereço:</t>
    </r>
    <r>
      <rPr>
        <sz val="12"/>
        <rFont val="Arial Narrow"/>
        <family val="2"/>
      </rPr>
      <t xml:space="preserve"> </t>
    </r>
  </si>
  <si>
    <t>SERVIÇO</t>
  </si>
  <si>
    <t>Leis Sociais:</t>
  </si>
  <si>
    <t>NÍVEL</t>
  </si>
  <si>
    <t>Nível geral</t>
  </si>
  <si>
    <t>Nível Resumido</t>
  </si>
  <si>
    <t>N1</t>
  </si>
  <si>
    <t>N2</t>
  </si>
  <si>
    <t>N3</t>
  </si>
  <si>
    <t>N4</t>
  </si>
  <si>
    <t>N5</t>
  </si>
  <si>
    <t>N6</t>
  </si>
  <si>
    <t>S</t>
  </si>
  <si>
    <t>TÍTULO</t>
  </si>
  <si>
    <t>FORMATAÇÃO</t>
  </si>
  <si>
    <t>Selecionar o tipo de nível</t>
  </si>
  <si>
    <t>ITEM</t>
  </si>
  <si>
    <t>BASE</t>
  </si>
  <si>
    <t>DESCRIÇÃO DOS SERVIÇOS</t>
  </si>
  <si>
    <t>Unid.</t>
  </si>
  <si>
    <t>Qtd</t>
  </si>
  <si>
    <t>SINAPI</t>
  </si>
  <si>
    <t>TOTAL</t>
  </si>
  <si>
    <t>__________________________________________________</t>
  </si>
  <si>
    <t>DIAS E CARDOZO LTDA - EPP</t>
  </si>
  <si>
    <t>QUEM ASSINA</t>
  </si>
  <si>
    <t>JOEL RODRIGO CARDOZO</t>
  </si>
  <si>
    <t>CREA 506.404.151-8</t>
  </si>
  <si>
    <t>CRONOGRAMA FÍSICO-FINANCEIRO</t>
  </si>
  <si>
    <t>Contratante:</t>
  </si>
  <si>
    <t>R$</t>
  </si>
  <si>
    <t>THAIS HERNANDES DO NASCIMENTO DIAS - ME</t>
  </si>
  <si>
    <t>LS CPOS</t>
  </si>
  <si>
    <t>Quadro de Composição</t>
  </si>
  <si>
    <t>MATERIAL</t>
  </si>
  <si>
    <t>Referência</t>
  </si>
  <si>
    <t>Código</t>
  </si>
  <si>
    <t>Coef.</t>
  </si>
  <si>
    <t>Valor Unit.</t>
  </si>
  <si>
    <t>Valor Total</t>
  </si>
  <si>
    <t>Valor Total Unitário</t>
  </si>
  <si>
    <t>Justificativa técnica:</t>
  </si>
  <si>
    <t>________________________________________________</t>
  </si>
  <si>
    <t>CERTIDÃO DE CONSULTA DE PREÇOS</t>
  </si>
  <si>
    <t>UNIDADE</t>
  </si>
  <si>
    <t>QUADRO DE ANÁLISE DE CUSTOS - PESQUISA DE MERCADO</t>
  </si>
  <si>
    <t>EMPRESA (A):</t>
  </si>
  <si>
    <t>CNPJ:</t>
  </si>
  <si>
    <t>CONTATO:</t>
  </si>
  <si>
    <t>TELEFONE:</t>
  </si>
  <si>
    <t>DATA:</t>
  </si>
  <si>
    <t>VALOR:</t>
  </si>
  <si>
    <t>EMPRESA (B):</t>
  </si>
  <si>
    <t>EMPRESA (C):</t>
  </si>
  <si>
    <t>PREÇO MÉDIO DO INSUMO E/OU SERVIÇO PARA FINS DE COMPOSIÇÃO</t>
  </si>
  <si>
    <t>Quadro de Composição do BDI</t>
  </si>
  <si>
    <t>Obra:</t>
  </si>
  <si>
    <t>Endereço:</t>
  </si>
  <si>
    <t>Tipo de Obra:</t>
  </si>
  <si>
    <t>Construção e Reforma de Edifícios</t>
  </si>
  <si>
    <t>Conforme legislação tributária municipal, definir estimativa de percentual da base de cálculo para o ISS:</t>
  </si>
  <si>
    <t>Sobre a base de cálculo, definir a respectiva alíquota do ISS (entre 2% e 5%):</t>
  </si>
  <si>
    <t>Itens</t>
  </si>
  <si>
    <t>Siglas</t>
  </si>
  <si>
    <t>Preencher percentuais das parcelas do BDI</t>
  </si>
  <si>
    <t>Situação intervalo admissível</t>
  </si>
  <si>
    <t>1º Quartil</t>
  </si>
  <si>
    <t>Médio</t>
  </si>
  <si>
    <t>3º Quartil</t>
  </si>
  <si>
    <t>Administração Central</t>
  </si>
  <si>
    <t>AC</t>
  </si>
  <si>
    <t>-</t>
  </si>
  <si>
    <t>Seguro e Garantia</t>
  </si>
  <si>
    <t>SG</t>
  </si>
  <si>
    <t>Risco</t>
  </si>
  <si>
    <t>R</t>
  </si>
  <si>
    <t>Despesas Financeiras</t>
  </si>
  <si>
    <t>DF</t>
  </si>
  <si>
    <t>Lucro</t>
  </si>
  <si>
    <t>Tributos (impostos COFINS 3%, e  PIS 0,65%)</t>
  </si>
  <si>
    <t>CP</t>
  </si>
  <si>
    <t>Tributos (ISS, variável de acordo com o município)</t>
  </si>
  <si>
    <t>ISS</t>
  </si>
  <si>
    <t>Tributos (Contribuição Previdenciária - 0% ou 4,5%, conforme Lei 12.844/2013 - Desoneração)</t>
  </si>
  <si>
    <t>CPRB</t>
  </si>
  <si>
    <t>Fórmula de BDI adotado conforme Acórdão TCU</t>
  </si>
  <si>
    <t>BDI PAD</t>
  </si>
  <si>
    <t>BDI DES</t>
  </si>
  <si>
    <t>Os valores de BDI foram calculados com o emprego da fórmula abaixo:</t>
  </si>
  <si>
    <t>MIN</t>
  </si>
  <si>
    <t>MED</t>
  </si>
  <si>
    <t>MAX</t>
  </si>
  <si>
    <t>Construção de Praças Urbanas, Rodovias, Ferrovias e recapeamento e pavimentação de vias urbanas</t>
  </si>
  <si>
    <t>Construção de Redes de Abastecimento de Água, Coleta de Esgoto</t>
  </si>
  <si>
    <t>Construção e Manutenção de Estações e Redes de Distribuição de Energia Elétrica</t>
  </si>
  <si>
    <t>Obras Portuárias, Marítimas e Fluviais</t>
  </si>
  <si>
    <t>Fornecimento de Materiais e Equipamentos</t>
  </si>
  <si>
    <t>Estudos e Projetos, Planos e Gerenciamento e outros correlatos</t>
  </si>
  <si>
    <t>Local e data</t>
  </si>
  <si>
    <t>Horistas</t>
  </si>
  <si>
    <t>A1</t>
  </si>
  <si>
    <t>INSS</t>
  </si>
  <si>
    <t>A2</t>
  </si>
  <si>
    <t>SESI</t>
  </si>
  <si>
    <t>A3</t>
  </si>
  <si>
    <t>SENAI</t>
  </si>
  <si>
    <t>A4</t>
  </si>
  <si>
    <t>INCRA</t>
  </si>
  <si>
    <t>A5</t>
  </si>
  <si>
    <t>SEBRAE</t>
  </si>
  <si>
    <t>A6</t>
  </si>
  <si>
    <t>SALÁRIO EDUCAÇÃO</t>
  </si>
  <si>
    <t>A7</t>
  </si>
  <si>
    <t>Seguro contra os acidentes de trabalho (INSS)</t>
  </si>
  <si>
    <t>A8</t>
  </si>
  <si>
    <t>FGTS</t>
  </si>
  <si>
    <t>A9</t>
  </si>
  <si>
    <t>SECONCI</t>
  </si>
  <si>
    <t>A</t>
  </si>
  <si>
    <t>Total dos Encargos Sociais Básicos</t>
  </si>
  <si>
    <t>B1</t>
  </si>
  <si>
    <r>
      <rPr>
        <sz val="9"/>
        <rFont val="Times New Roman"/>
        <family val="1"/>
      </rPr>
      <t>Repouso semanal remunerado</t>
    </r>
  </si>
  <si>
    <t>B2</t>
  </si>
  <si>
    <t>Feriados</t>
  </si>
  <si>
    <t>B3</t>
  </si>
  <si>
    <t>Auxílio-enfermidade</t>
  </si>
  <si>
    <t>B4</t>
  </si>
  <si>
    <t>13° Salário</t>
  </si>
  <si>
    <t>B5</t>
  </si>
  <si>
    <t>Licença-paternidade</t>
  </si>
  <si>
    <t>B6</t>
  </si>
  <si>
    <t>Faltas Justificadas</t>
  </si>
  <si>
    <t>B7</t>
  </si>
  <si>
    <t>Dias de Chuvas</t>
  </si>
  <si>
    <t>B8</t>
  </si>
  <si>
    <t>Auxílio Acidente de Trabalho</t>
  </si>
  <si>
    <t>B9</t>
  </si>
  <si>
    <t>Férias Gozadas</t>
  </si>
  <si>
    <t>B10</t>
  </si>
  <si>
    <t>Salário Maternidade</t>
  </si>
  <si>
    <t>B</t>
  </si>
  <si>
    <t>Total dos Encargos Sociais que recebem as incidências de A</t>
  </si>
  <si>
    <t>C1</t>
  </si>
  <si>
    <t>Aviso-prévio (indenizado)</t>
  </si>
  <si>
    <t>C2</t>
  </si>
  <si>
    <t>Aviso-prévio (trabalhado)</t>
  </si>
  <si>
    <t>Férias indenizadas</t>
  </si>
  <si>
    <t>C4</t>
  </si>
  <si>
    <t>Depósito Rescisão Sem Justa Causa</t>
  </si>
  <si>
    <t>C5</t>
  </si>
  <si>
    <t>Indenização Adicional</t>
  </si>
  <si>
    <t>C</t>
  </si>
  <si>
    <t>Total dos Encargos Sociais que não recebem as incidências globais de A</t>
  </si>
  <si>
    <t>D1</t>
  </si>
  <si>
    <t>Reincidência de A sobre B</t>
  </si>
  <si>
    <t>D2</t>
  </si>
  <si>
    <t>Reincidência Do Grupo A sobre Aviso Prévio Trabalhado e Reincidência do FGTS sobre Aviso Prévio Indenizado</t>
  </si>
  <si>
    <t>D</t>
  </si>
  <si>
    <t>Total das Taxas das reincidências</t>
  </si>
  <si>
    <t>Percentagem total</t>
  </si>
  <si>
    <t>OBJETO:</t>
  </si>
  <si>
    <t>CÓD. SERVIÇO</t>
  </si>
  <si>
    <t>DESCRIÇÃO DO SERVIÇO</t>
  </si>
  <si>
    <t>UNIDADE DE MEDIÇAO</t>
  </si>
  <si>
    <t>TOTAL=</t>
  </si>
  <si>
    <t>OBSERVAÇÃO:</t>
  </si>
  <si>
    <t>QUANT. TOTAL</t>
  </si>
  <si>
    <t>CAMINHÃO TANQUE PARA HIDROSSEMEADURA, COM CAPACIDADE DE 8.000 LITROS, INCLUINDO BOMBA PARA LANÇAMENTO COM MOTOR DIESEL COM POTÊNCIA DE 105 CV - MATERIAIS NA OPERAÇÃO. AF_06/2023</t>
  </si>
  <si>
    <t>GUINDASTE HIDRÁULICO AUTOPROPELIDO, COM LANÇA TRELICADA 41 M, CAPACIDADE MÁXIMA DE ELEVAÇÃO 43 T, POTÊNCIA 230 KW, EQUIPADO COM CAÇAMBA DE ARRASTO (DRAGLINE) DE 0,76 M3 - MATERIAIS NA OPERAÇÃO. AF_06/2023</t>
  </si>
  <si>
    <t>BDI</t>
  </si>
  <si>
    <t>Preço Total C/BDI</t>
  </si>
  <si>
    <t>Custo unitário</t>
  </si>
  <si>
    <t>Custo Total</t>
  </si>
  <si>
    <t>Valor Unit. C/ BDI</t>
  </si>
  <si>
    <t>QTD</t>
  </si>
  <si>
    <t>Quadro de Composição do BDI Diferenciado</t>
  </si>
  <si>
    <t>SLECIONE O BDI</t>
  </si>
  <si>
    <t>N</t>
  </si>
  <si>
    <t>SERVIÇOS INICIAIS</t>
  </si>
  <si>
    <t>DIAS</t>
  </si>
  <si>
    <r>
      <t xml:space="preserve">Digite a taxa do BDI digitando o valor </t>
    </r>
    <r>
      <rPr>
        <sz val="8"/>
        <color rgb="FFFF0000"/>
        <rFont val="Arial"/>
        <family val="2"/>
      </rPr>
      <t>numérico</t>
    </r>
    <r>
      <rPr>
        <sz val="8"/>
        <rFont val="Arial"/>
        <family val="2"/>
      </rPr>
      <t xml:space="preserve"> na célula </t>
    </r>
    <r>
      <rPr>
        <b/>
        <sz val="8"/>
        <rFont val="Arial"/>
        <family val="2"/>
      </rPr>
      <t>H2</t>
    </r>
    <r>
      <rPr>
        <sz val="8"/>
        <rFont val="Arial"/>
        <family val="2"/>
      </rPr>
      <t xml:space="preserve"> (exemplo 30,50)</t>
    </r>
  </si>
  <si>
    <r>
      <t xml:space="preserve">Digite na </t>
    </r>
    <r>
      <rPr>
        <sz val="8"/>
        <color rgb="FFFF0000"/>
        <rFont val="Arial"/>
        <family val="2"/>
      </rPr>
      <t xml:space="preserve">célula </t>
    </r>
    <r>
      <rPr>
        <b/>
        <sz val="8"/>
        <color rgb="FFFF0000"/>
        <rFont val="Arial"/>
        <family val="2"/>
      </rPr>
      <t>H3</t>
    </r>
    <r>
      <rPr>
        <sz val="8"/>
        <rFont val="Arial"/>
        <family val="2"/>
      </rPr>
      <t xml:space="preserve"> a taxa de Encargos Sociais (valor numérico)</t>
    </r>
  </si>
  <si>
    <t>05.07.100</t>
  </si>
  <si>
    <t>Transporte de resíduo sólido em aterro - telhas cimento amianto Classe D</t>
  </si>
  <si>
    <t>Taxa de destinação de resíduo sólido em aterro - telhas cimento amianto</t>
  </si>
  <si>
    <t>Alvenaria de bloco cerâmico de vedação de 9 cm</t>
  </si>
  <si>
    <t>Alvenaria de bloco cerâmico de vedação de 14 cm</t>
  </si>
  <si>
    <t>Alvenaria de bloco cerâmico de vedação de 19 cm</t>
  </si>
  <si>
    <t>Alvenaria de bloco cerâmico estrutural de 14 cm</t>
  </si>
  <si>
    <t>Alvenaria de bloco cerâmico estrutural de 19 cm</t>
  </si>
  <si>
    <t>Revestimento sintético de borracha ou PVC colorido, para sinalização tátil de alerta / direcional - assentamento argamassado</t>
  </si>
  <si>
    <t>Revestimento sintético de borracha ou PVC colorido, para sinalização tátil de alerta / direcional - colado</t>
  </si>
  <si>
    <t>30.04.034</t>
  </si>
  <si>
    <t>Piso em ladrilho hidráulico podotátil várias cores, assentado com argamassa mista</t>
  </si>
  <si>
    <t>Piso tátil de concreto intertravado alerta / direcional, espessura de 6 cm, com rejunte em areia</t>
  </si>
  <si>
    <t>Película de controle solar refletiva na cor prata, aplicado em vidros</t>
  </si>
  <si>
    <t>Árvore ornamental tipo Quaresmeira - h= 1,50 / 2,00 m</t>
  </si>
  <si>
    <t>34.05.322</t>
  </si>
  <si>
    <t>Gradil rígido modular em aço 2" - H=1,10m, C=1,65m, padrão CET SP</t>
  </si>
  <si>
    <t>Caixa de ferro octogonal fundo móvel 4´ x 4´</t>
  </si>
  <si>
    <t>Piso em ladrilho hidráulico preto, branco e cinza, assentado com argamassa colante industrializada</t>
  </si>
  <si>
    <r>
      <t>* Nas colunas</t>
    </r>
    <r>
      <rPr>
        <b/>
        <sz val="8"/>
        <color rgb="FFFF0000"/>
        <rFont val="Arial"/>
        <family val="2"/>
      </rPr>
      <t xml:space="preserve"> B ou C</t>
    </r>
    <r>
      <rPr>
        <sz val="8"/>
        <color indexed="8"/>
        <rFont val="Arial"/>
        <family val="2"/>
      </rPr>
      <t xml:space="preserve"> altere os textos descrição de Insumos e Unidade respectivamente</t>
    </r>
  </si>
  <si>
    <t>A.05.000.020307</t>
  </si>
  <si>
    <t>Transporte de resíduo sólido em aterro, tipo telhas cimento amianto classe D</t>
  </si>
  <si>
    <t>Adesivo estrutural à base de resina epoxi de alta viscosidade; ref. Tecbond TIX da Quartzolit ou equivalente</t>
  </si>
  <si>
    <t>Adesivo de alto desempenho (embalagem em balde de 18 kg); ref. Bianco Vedacit da Otto Baumgart, Biancola PVA da Ciplak ou equivalente</t>
  </si>
  <si>
    <t>Resina epóxi de baixa viscosidade para injeção de fissuras; ref. Techbond Injeção WT da Quartzolit ou equivalente</t>
  </si>
  <si>
    <t>Cura química para superfície de concreto, membrana líquida branca; ref. Sika AntiSol Pav, Adi-Cura Pav10 da Aditibras, Pro Agente de Cura Pav da Vedacit, Emcoril Traffic da MC ou equivalente</t>
  </si>
  <si>
    <t>Aditivo hidrófugo de pega normal; ref. Vedacit, Sika 1 / Sika ou equivalente</t>
  </si>
  <si>
    <t>B.09.000.039074</t>
  </si>
  <si>
    <t>Cola de poliuretano PU</t>
  </si>
  <si>
    <t>Cola branca para piso, tacos madeira</t>
  </si>
  <si>
    <t>Piso em placa de concreto permeável drenante, cinza natural, de acordo com a norma NBR 16416:2015; ref. Presto, Oterprem, Megadreno ou equivalente</t>
  </si>
  <si>
    <t>Concreto usinado fck= 15 MPa, slump 5 ± 1cm</t>
  </si>
  <si>
    <t>Concreto usinado fck= 20 MPa, slump 5 ± 1cm</t>
  </si>
  <si>
    <t>Concreto usinado fck= 25 MPa, slump 5 ± 1cm</t>
  </si>
  <si>
    <t>Concreto usinado fck= 35 MPa, slump 5 ± 1cm</t>
  </si>
  <si>
    <t>Concreto usinado fck= 30 MPa, slump 5 ± 1cm</t>
  </si>
  <si>
    <t>Concreto usinado bombeado fck= 40 MPa, slump 8 ± 1cm</t>
  </si>
  <si>
    <t>Concreto usinado fck= 40 MPa, slump 5 ± 1cm</t>
  </si>
  <si>
    <t>Concreto usinado bombeado fck= 20 MPa, slump 8 ± 1cm</t>
  </si>
  <si>
    <t>Concreto usinado bombeado fck= 25 MPa, slump 8 ± 1cm</t>
  </si>
  <si>
    <t>Concreto usinado bombeado fck= 35 MPa, slump 8 ± 1cm</t>
  </si>
  <si>
    <t>Concreto usinado bombeado fck= 30 MPa, slump 8 ± 1cm</t>
  </si>
  <si>
    <t>Bloco de concreto estrutural 14 x 19 x 39 cm, classe B (resistência &gt; ou = 4 Mpa)</t>
  </si>
  <si>
    <t>Bloco de concreto estrutural 19 x 19 x 39 cm, classe B (resistência &gt; ou = 4 Mpa)</t>
  </si>
  <si>
    <t>Bloco de concreto estrutural 14 x 19 x 39 cm, classe A (resistência &gt; ou = 8 Mpa)</t>
  </si>
  <si>
    <t>Bloco de concreto estrutural 19 x 19 x 39 cm, classe A (resistência &gt; ou = 8 Mpa)</t>
  </si>
  <si>
    <t>Mourão de concreto 10x10x220cm, reto com furos a cada 20cm</t>
  </si>
  <si>
    <t>C.07.000.035587</t>
  </si>
  <si>
    <t>Piso podotátil colorido intertravado, tipo alerta ou direcional, espessura de 6 cm; ref. Blocasa, Presto, Tatu ou equivalente</t>
  </si>
  <si>
    <t>Ladrilho hidráulico nas cores: branco, preto e cinza, espessura média 1,8cm; ref. fabricação Fulget ou equivalente</t>
  </si>
  <si>
    <t>Folha de porta lisa em madeira para pintura de 110x210cm</t>
  </si>
  <si>
    <t>Cordão meia cana de madeira aparelhada 1 x 1cm, em cumaru, ipê, jatobá, tauari, garapa, angelim-pedra</t>
  </si>
  <si>
    <t>Divisória para sanitários, painéis em laminado melamínico estrutural, perfis em alumínio, inclusive ferragem - instalado</t>
  </si>
  <si>
    <t>Divisória cega tipo piso/teto em laminado melamínico de baixa pressão, com coluna estrutural em alumínio extrudado - instalado</t>
  </si>
  <si>
    <t>Divisória tipo piso/teto em vidro temperado simples de 6mm, com coluna estrutural em alumínio extrudado - instalado</t>
  </si>
  <si>
    <t>Divisória tipo piso/teto em vidro temperado duplo de 6mm e micro persianas, com coluna estrutural em alumínio extrudado - instalado</t>
  </si>
  <si>
    <t>Cantoneira em alumínio ´Y´ para massa, espessura de 1,5mm, ref. R-78 da Pin-Can, M-1 da Canto Metal ou equivalente</t>
  </si>
  <si>
    <t>Forro modular metálico em aluzink, placas de 625x625mm, Tile Tegular perfurado - instalado</t>
  </si>
  <si>
    <t>Placa de alumínio composto "ACM", espessura de 4 mm, acabamento em PVDF, uso externo/interno</t>
  </si>
  <si>
    <t>Placa de alumínio composto "ACM", espessura de 3 mm, acabamento em polieter (interno)</t>
  </si>
  <si>
    <t>Caixa de derivação, embutida ou externa, de 2x30x60mm, para rodapé duplo</t>
  </si>
  <si>
    <t>Mastique silicone Silix 567; referência comercial Rhodia / Dow Corning 791 ou equivalente</t>
  </si>
  <si>
    <t>Bloco cerâmico para vedação 9 x 19 x 39 cm</t>
  </si>
  <si>
    <t>Bloco cerâmico para vedação 19 x 19 x 39 cm</t>
  </si>
  <si>
    <t>Bloco cerâmico estrutural 14 x 19 x 39 cm</t>
  </si>
  <si>
    <t>Bloco cerâmico estrutural 19 x 19 x 39 cm</t>
  </si>
  <si>
    <t>G.02.000.032004</t>
  </si>
  <si>
    <t>Ladrilho hidráulico para portadores de deficiência física/visual, várias cores; ref. Mosaicos Amazonas, Pisos Paulista, Mosaicos Bernardi ou equivalente</t>
  </si>
  <si>
    <t>H.04.000.031134</t>
  </si>
  <si>
    <t>Gradil rígido modular em aço 2" - H=1,10m, C=1,65m, padrão ET-SV-14 da CET-SP</t>
  </si>
  <si>
    <t>Batente reto de chapa #16 dobrada em aço galvanizado</t>
  </si>
  <si>
    <t>Porta tipo veneziana de abrir em alumínio, linha comercial</t>
  </si>
  <si>
    <t>Porta de correr em alumínio tipo veneziana e vidro liso, linha 25, branca, folhas móveis, vidro liso; ref. Magnum da Atlântica Esquadrias, Premium da Lux Esquadrias, AJ Esquadrias ou equivalente - linha comercial</t>
  </si>
  <si>
    <t>Porta tipo veneziana de abrir em alumínio, cor branca, com pintura eletrostática a pó; ref. Sasazaki, Ebel, Brimak ou equivalente, linha comercial</t>
  </si>
  <si>
    <t>Vidro temperado serigrafado de 8 mm incolor - material</t>
  </si>
  <si>
    <t>Fechadura tipo alavanca com chave para porta corta-fogo, cilindro para acionamento com chave; ref. PHT05 da Dorma, 5124 Sobrano, 09.164-065-PPT La Fonte ou equivalente</t>
  </si>
  <si>
    <t>Dobradiça vai-vem de 3" em aço com mola, acabamento cromado; ref. 255/3 da Page, 403  da Arouca ou equivalente</t>
  </si>
  <si>
    <t>Dobradiça tipo gonzo em aço SAE 1045, diâmetro de 1 1/2´ com abas de 2´ x 3/8´</t>
  </si>
  <si>
    <t>Divisória em granilite maciça ou revestida, e= 3,0cm - instalado</t>
  </si>
  <si>
    <t>Forro em fibra mineral em placas acústicas removíveis, NRC 0.70 / SRA 0.65-0.80 / CAC 30a 31dB; ref. Brillianto ou New Sandila da Owa ou equivalente - instalado</t>
  </si>
  <si>
    <t>Divisória em placas de gesso acartonado, resistência ao fogo 30 minutos, espessura 73/48mm - 1ST 12,5 + 1ST 12,5 - instalado</t>
  </si>
  <si>
    <t>Divisória em placas de gesso acartonado, resistência ao fogo 30 minutos, espessura 73/48mm - 1ST 12,5 + 1ST 12,5 - com lã mineral - instalado</t>
  </si>
  <si>
    <t>Divisória em placas de gesso acartonado, resistência ao fogo 30 minutos, espessura 100/70mm - 1ST 15 + 1ST 15 - com lã mineral - instalado</t>
  </si>
  <si>
    <t>Divisória em placas de gesso acartonado, resistência ao fogo 30 minutos, espessura 100/70mm - 1ST 15 + 1ST 15 - instalado</t>
  </si>
  <si>
    <t>Divisória em placas de gesso acartonado, resistência ao fogo 30 minutos, espessura 100/70mm - 1RU 15 + 1RU 15 - instalado</t>
  </si>
  <si>
    <t>Divisória em placas duplas de gesso acartonado, resistência ao fogo 60 minutos, espessura 120/70mm - 2ST 12,5 + 2ST 12,5 - com lã mineral - instalado</t>
  </si>
  <si>
    <t>Divisória em placas de gesso acartonado, resistência ao fogo 60 minutos, espessura 120/90mm - 1RF 15 + 1RF 15 - com lã mineral - instalado</t>
  </si>
  <si>
    <t>Forro em painéis de gesso acartonado removível, acabamento liso com película rígida de PVC, placas 625x625mm/625x1250mm, espessura de 9,5mm; ref. Gyprex liso Placo ou equivalente - instalado</t>
  </si>
  <si>
    <t>Divisória em placas duplas de gesso acartonado, resistência ao fogo 120 minutos, espessura 130/70mm - 2RF 15 + 2RF 15 - instalado</t>
  </si>
  <si>
    <t>Divisória em placas duplas de gesso acartonado, resistência ao fogo 60 minutos, espessura 120/70mm - 2ST 12,5 + 2RU 12,5 - instalado</t>
  </si>
  <si>
    <t>Divisória em placas duplas de gesso acartonado, resistência ao fogo 60 minutos, espessura 120/70mm - 2RU 12,5 + 2RU 12,5 - instalado</t>
  </si>
  <si>
    <t>Divisória em placas duplas de gesso acartonado, resistência ao fogo 60 minutos, espessura 98/48mm - 2ST 12,5 + 2ST 12,5 - com lã mineral - instalado</t>
  </si>
  <si>
    <t>Divisória em placas duplas de gesso acartonado, resistência ao fogo 60 minutos, espessura 98/48mm - 2RU 12,5 + 2RU 12,5 - com lã mineral - instalado</t>
  </si>
  <si>
    <t>Divisória em placas duplas de gesso acartonado, resistência ao fogo 60 minutos, espessura 98/48mm - 2ST 12,5 + 2RU 12,5 - com lã mineral - instalado</t>
  </si>
  <si>
    <t>Forro em painel de gesso acartonado, tipo standard, espessura 12,5mm, estrutura em aço galvanizado; ref. Gypsum FGE, Placostil F530 ou equivalente - instalado</t>
  </si>
  <si>
    <t>Piso sintético de borracha ou PVC colorido, podotátil alerta/direcional, em placas 25x25cm, espessura total 7 a 12mm; ref. Daud, Andaluz ou equivalente</t>
  </si>
  <si>
    <t>Forro metálico removível tipo colmeia, paineis de 625 x 625 mm, modulação das células de 125 x 125 mm, ref. CELL T15 da Hunter Douglas ou equivalente - instalado</t>
  </si>
  <si>
    <t>Bate-maca ou protetor curvo de parede em PVC, com altura de 198mm, nas cores branco, bege azul escuro, barra de 4m, ref. TEC 198 N da Tecnoperfil ou equivalente</t>
  </si>
  <si>
    <t>Forro modular removível em PVC, em placas de 618 x 1243mm, espessura 10 mm, montado com estrutura de sustentação; ref. Vipal, Plasbil, Precon ou equivalente - instalado</t>
  </si>
  <si>
    <t>Forro em lâmina PVC, frisada, largura 100/200mm (média); com estrutura de sustentação colocado; ref. Tigre, Multiplast, Petrol, Medabil, Anflo ou equivalente - instalado</t>
  </si>
  <si>
    <t>Forro em painel de fibra mineral NRC 0.50 - CAC 35, acabamento em pintura vinílica, 625x1250mm, com estrutura de sustentação; ref. Armstrong Ceilings Encore ou equivalmente - instalado</t>
  </si>
  <si>
    <t>Piso sintético de borracha ou PVC colorido, podotátil alerta/direcional, em placas 25x25cm, espessura total 5mm; ref. Daud, Andaluz ou equivalente</t>
  </si>
  <si>
    <t>Película de controle solar refletiva para vidros, na cor prata; referência Window Film Silver 35 da 3M ou equivalente - instalado</t>
  </si>
  <si>
    <t>Segregador refletivo em resina sintética (bate rodas) de 48x17x9cm; ref. comercial ICD vias, LMC tintas, Sinalmax ou equivalente</t>
  </si>
  <si>
    <t>Tubo de PVC rígido DEFoFo, DN= 150mm (DE= 170mm); ref. Vinilfer ou equivalente</t>
  </si>
  <si>
    <t>Tubo de PVC rígido DEFoFo, DN= 100mm (DE= 118mm); ref. Vinilfer ou equivalente</t>
  </si>
  <si>
    <t>Caixa sifonada em PVC rígido de 150 x 185 x 75 mm; ref. Tigre ou equivalente</t>
  </si>
  <si>
    <t>Válvula de esfera em aço carbono fundido, esfera em aço inoxidável, passagem plena, extremidades rosqueáveis, classe 300lbs para vapor, 600lbs para água, óleo e gás, DN= 1.1/4"</t>
  </si>
  <si>
    <t>Válvula de esfera em aço carbono fundido, esfera em aço inoxidável, passagem plena, extremidades rosqueáveis, classe 300lbs para vapor, 600lbs para água, óleo e gás, DN= 1/2"</t>
  </si>
  <si>
    <t>Válvula de esfera em aço carbono fundido, esfera em aço inoxidável, passagem plena, extremidades rosqueáveis, classe 300lbs para vapor, 600lbs para água, óleo e gás, DN= 3/4"</t>
  </si>
  <si>
    <t>Válvula de esfera em aço carbono fundido, esfera em aço inoxidável, passagem plena, extremidades rosqueáveis, classe 300lbs para vapor, 600lbs para água, óleo e gás, DN= 1"</t>
  </si>
  <si>
    <t>Tampão em ferro dúctil de Ø 600mm, classe 300 (ruptura &gt;300 kN), conforme NBR 10160/2005</t>
  </si>
  <si>
    <t>Válvula de esfera em aço carbono fundido, passagem plena, extremidades rosqueáveis, classe 300lbs para vapor saturado, DN 2"; ref. VMR Spirax Sarc ou equivalente</t>
  </si>
  <si>
    <t>Grelha com malha quadriculada e requadro, em ferro fundido nodular classe 250/300, de 50x100x5cm; ref. Fuminas, Afer Industrial ou equivalente</t>
  </si>
  <si>
    <t>Registro automático de entrada (RAU) em ferro dúctil com flange tipo ABNT ou ISO, classe PN-10, DN= 3", haste em aço inoxidável AISI410</t>
  </si>
  <si>
    <t>Torneira de boia liga de cobre (bronze e latão), plástico de engenharia, elastômeros, de 3/4"</t>
  </si>
  <si>
    <t>Torneira de boia liga de cobre (bronze e latão), plástico de engenharia, elastômeros, de 1"</t>
  </si>
  <si>
    <t>Torneira de boia liga de cobre (bronze e latão), plástico de engenharia, elastômeros, de 1 1/2"</t>
  </si>
  <si>
    <t>Torneira de boia liga de cobre (bronze e latão), plástico de engenharia, elastômeros, de 2"</t>
  </si>
  <si>
    <t>Torneira de boia liga de cobre (bronze e latão), plástico de engenharia, elastômeros, de 1 1/4"</t>
  </si>
  <si>
    <t>Torneira de boia liga de cobre (bronze e latão), plástico de engenharia, elastômeros, de 2 1/2"</t>
  </si>
  <si>
    <t>Torneira curta cromada de 1/2" para tanque; ref. 1126 da Forusi ou equivalente</t>
  </si>
  <si>
    <t>Torneira curta cromada de 3/4" para tanque; ref. 1126 da Forusi ou equivalente</t>
  </si>
  <si>
    <t>Torneira longa de 1/2" ou 3/4" para pia com arejador; ref. Spagna, 2159 C24 da Metais Poly, linha C23 da Forusi ou equivalente</t>
  </si>
  <si>
    <t>Torneira de mesa (de metal) com bica móvel e arejador, de 1/2" ou 3/4"; ref. 1168 C34 Lorenzetti, B Epoque 3159 Forusi, VTM 076-1167 C64 Esteves ou equivalente</t>
  </si>
  <si>
    <t>Anel de borracha para tubo PVC 50mm (2´)</t>
  </si>
  <si>
    <t>Anel de borracha para tubo PVC 75mm (3´)</t>
  </si>
  <si>
    <t>Anel de borracha para tubo PVC 100mm (4´)</t>
  </si>
  <si>
    <t>Anel de borracha para tubo PVC 150mm (6´)</t>
  </si>
  <si>
    <t>Anel de borracha expansão para ligação em bacia sifonada, 100 mm (4´)</t>
  </si>
  <si>
    <t>Grelha com calha e cesto coletor para piso, em aço inoxidável AISI 304, largura de 15cm</t>
  </si>
  <si>
    <t>Grelha com calha e cesto coletor para piso, em aço inoxidável AISI 304, com 20cm de largura</t>
  </si>
  <si>
    <t>Termômetro bimetálico mostrador tipo relógio circular, com diâmetro de 4´, escala de 0°C até 100°C; referência 11/700 Salvi, 100.394 Prostec, Woler ou equivalente</t>
  </si>
  <si>
    <t>Controlador diferencial de temperatura digital, para sistema de aquecimento solar, versão 4; ref. 115/230 da Anasol ou equivalente</t>
  </si>
  <si>
    <t>Reservatório em polietileno com tampa, capacidade de 1.000 litros; ref. Acqualimp, Fortlev, Tigre, Amanco ou equivalente</t>
  </si>
  <si>
    <t>Reservatório em polietileno, com tampa de rosca, capacidade de 500 litros; ref. Acqualimp, Fortlev, Tigre ou equivalente</t>
  </si>
  <si>
    <t>Eletroduto com costura galvanizado eletroliticamente, DN = 1 1/2´ - NBR13057</t>
  </si>
  <si>
    <t>Cruzeta reforçada em ferro galvanizado para fixação de 4 projetores, externa; ref. YT-10/4 da Yluminart, SBC-704/S-R 4 da Shomei ou equivalente</t>
  </si>
  <si>
    <t>Caixa em alumínio fundido a prova de tempo, umidade, gases, vapores e pó, tampa plana, de 200x200x200mm; ref. TCXPTP/6 Telbra, ER12 P/15 Naville, LR12P15 Lumel ou equivalente</t>
  </si>
  <si>
    <t>Caixa em alumínio fundido à prova de tempo, umidade, gases, vapores e pó, tampa plana, de 445 x 350 x 220 mm, ref. TMR/45GR da Telbra ou equivalente</t>
  </si>
  <si>
    <t>Caixa em alumínio fundido à prova de tempo, umidade, gases, vapores e pó, tampa plana, de 240x240x150mm; ref. ER12 P/22 Naville, TCXPTP/11 Telbra ou equivalente</t>
  </si>
  <si>
    <t>Placa em poliestireno de 4 x 4, termoplástico de alto impacto; ref. modelo Silentoque fabricação Pial, ou equivalente.</t>
  </si>
  <si>
    <t>Botoeira comando liga-desliga sem sinalizador; ref. 3SB7130-3AA24-1MK0 (botão duplo)+ 3SB7811-0AA10-0BA0 (botoeira); ref. Siemens ou equivalente</t>
  </si>
  <si>
    <t>Placa suporte (tampa) 4´x 2´ para áreas úmidas, grau de proteção IP55; ref. Orion da Schneider, linha Sigma da Kalop, Nereya da Pial Legrand ou equivalente</t>
  </si>
  <si>
    <t>Caixa de ferro chapa 20, esmaltada octogonal FMS com fundo móvel, de 4´ x 4´</t>
  </si>
  <si>
    <t>Lâmpada fluorescente tubular comum 16W, base bipino, bilateral; ref. TLDRS16W-CO-25 da Philips ou equivalente</t>
  </si>
  <si>
    <t>Lâmpada fluorescente compacta sem reator integrado, base G24d-2 18W-2U duplo; ref. D18W/21-840 / D18W/827 da Osram ou equivalente</t>
  </si>
  <si>
    <t>Lâmpada fluorescente tubular comum 20W, base Bipino bilateral; ref. T10 PLUS 20W/750 1SL/25 da Philips ou equivalente</t>
  </si>
  <si>
    <t>Lâmpada fluorescente compacta sem reator integrado, base G-23 9W-1U simples, ref. Sylvania, Kian ou equivalente</t>
  </si>
  <si>
    <t>Lâmpada fluorescente compacta eletrônica com reator integrado, base E27; 20W-3U triplo 110/220V; ref. SKU FK da Taschibra, 04030 da Ourolux, Elgin ou equivalente</t>
  </si>
  <si>
    <t>Projetor LED, potência 30W, IP65, 6500K, 2250 a 2400 lúmens, bivolt; ref. RSPM-30WBF da Iluminim, 9381 da Gaya, 438718 / 306530 da Brilia ou equivalente</t>
  </si>
  <si>
    <t>Luminária hermética sobrepor para lâmpada LED ou Fluorescente de 2x28W/32W/54W, bivolt, corpo em ABS e difusor em policarbonato, IP65; ref. Osram, Philips, BLight, B.Bauer ou equivalente</t>
  </si>
  <si>
    <t>Luminária LED retangular, sobrepor, de 35 a 41W, 3690 a 4800 lm, 220V, temper. cor 4000K, difusor translúcido; ref. AL0756D.L102 da Ajalumi, SM-755/2 LED LC da ARM, LHT42-S4000840 da Lumicenter ou equivalente</t>
  </si>
  <si>
    <t>Luminária LED redonda, embutir, 9 a 12W, fluxo luminoso 800 a 1060 lm, 220V, temperatura cor 4000K, difusor translúcido, ref. AL 0185 da Ajalumi, ARM-702/1 LED da ARM, EF70-E0850840 da Lumicenter, PL 616/LED15W TL da Prolumi ou equivalente</t>
  </si>
  <si>
    <t>Luminária para travessia de pedestres leds, com relés e braço articulado, ref. DI-955/01.034.CET25, relê MP-3263, braço DTVS-BA-TB-3212.1 da Repume ou equivalente</t>
  </si>
  <si>
    <t>Luminária LED retangular para parede/piso de 11.838 a 12.150lm, IRC&gt;=70, temperatura cor 5000/6000 K, IP&gt;=66, eficiência 135lm/W, potência 86W/120W; ref. FLED 100-RR25 da Fortlight, CLF-MP100 da Conexled ou equivalente</t>
  </si>
  <si>
    <t>Projetor LED modular de 150 a 200W, eficiência minima de 125 l/W, fluxo luminoso mínimo de 26294lm, ref. CLF-MP200C da Conexled, HRS-200 da H2xtech, RFL180-B502-002 da LED ou equivalente</t>
  </si>
  <si>
    <t>Rack fechado de piso padrão metálico, 19 x 44 Us x 770 mm, porta com visor em acrílico/vidro; ref. Bihouse Racks, APL Racks, Pier Telecom ou equivalente</t>
  </si>
  <si>
    <t>Rack fechado padrão metálico, 19 x 20 Us x 470 mm, porta com visor em acrílico/vidro; ref. Bihouse Racks, APL Racks, Pier Telecom ou equivalente</t>
  </si>
  <si>
    <t>Rack fechado padrão metálico, 19 x 12 Us x 470 mm, porta com visor em acrílico/vidro; ref. Bihouse Racks, APL Racks, Pier Telecom ou equivalente</t>
  </si>
  <si>
    <t>Chave de fluxo para ar, temperatura de trabalho max. 60°C, ajuste vazão min. 10m/s, micro chave reversível (SPDT-COM-NO-NC), capacidade 10A - 1/2HP - 125/250VAC</t>
  </si>
  <si>
    <t>Amplificador de potência, 50 dB, para VHF e CATV, frequência 40 a 550 MHz; ref. PQAP-7500 da Pró Eletronic ou equivalente</t>
  </si>
  <si>
    <t>Rack fechado de piso padrão metálico, 19 x 24 Us x 570 mm, porta com visor em acrílico/vidro; ref. Bihouse Racks, APL Racks, Pier Telecom ou equivalente</t>
  </si>
  <si>
    <t>Placa de montagem para quadros em geral, em chapa de aço carbono, espessura 2,25mm, acabamento pintura eletrostática; ref. Phaynell, Press Mat, Painel.ind.br ou equivalente</t>
  </si>
  <si>
    <t>Haste de aterramento de 5/8"x2,4 m, em aço SAE1010/1020, trefilado e revestido de cobre eletrolítico; ref. PK0065 da Paraklin, TEL5814 da Termotécnica ou equivalente</t>
  </si>
  <si>
    <t>Bloco terminal conector (12 polos) até 65A/600V, faixa de aplicação até 16mm²; ref. BPS-12PA da Building, B100W-B100GE da Eletrokit ou equivalente</t>
  </si>
  <si>
    <t>Dispositivo diferencial residual de 80 A x 30 mA, 4 polos, ref. PBA 480/030 da GE, 5SV5-347-0 da Siemens ou equivalente</t>
  </si>
  <si>
    <t>Dispositivo referencial residual de 25A x 30mA - 4 polos; ref. WRx12530mA da Cutler Hammer, 5SV5 342-0MB da Siemens, SDR 425-30 da Steck ou equivalente</t>
  </si>
  <si>
    <t>Fusível Diazed retardado 2A a 25A, referência modelo 2A 500V 5SB2 11 da Siemens ou equivalente</t>
  </si>
  <si>
    <t>Veículo com capacidade para 4 pessoas, pot. 1.000CC - Cond. D</t>
  </si>
  <si>
    <t>Forro em fibra mineral com placas acústicas removíveis de 625 x 625mm; ref. linha Sahara NRC0.60, borda T24 da OWA do Brasil ou equivalente - instalado</t>
  </si>
  <si>
    <t>Fibra de polipropileno corrugada, monofilamento 600g/m³, para concreto; ref. Degussa (Masterfiber), Fitesa (Polycret MF) ou equivalente</t>
  </si>
  <si>
    <t>Porta/balcão tipo basculante em chapa de aço galvanizado n° 16 (MSG), com acionamento manual</t>
  </si>
  <si>
    <t>Forro fibra mineral acústico, borda Square Lay-in, placas de 1250x625x16mm ou 625x625x16mm, pintura base poliester, estrutura de sustentação perfil ´T´; ref. Giorgian ou equivalente - instalado</t>
  </si>
  <si>
    <t>Anel de borracha para tubo PVC 40mm (1 1/2´)</t>
  </si>
  <si>
    <t>Silicone para envidraçamento estrutural, 280g</t>
  </si>
  <si>
    <t>Perfil de borracha EPDM maciço de 12x15mm, para esquadrias</t>
  </si>
  <si>
    <t>Cravação de estaca pré-moldada protendida para 20t</t>
  </si>
  <si>
    <t>Cravação de estaca pré-moldada protendida para 30t</t>
  </si>
  <si>
    <t>Cravação de estaca pré-moldada protendida para 40t</t>
  </si>
  <si>
    <t>Cravação de estaca pré-moldada protendida para 50t</t>
  </si>
  <si>
    <t>Cravação de estaca pré-moldada protendida para 60t</t>
  </si>
  <si>
    <t>TRATAMENTO DE JUNTA DE DILATAÇÃO, COM TARUGO DE POLIETILENO E SELANTE PU, INCLUSO PREENCHIMENTO COM ESPUMA EXPANSIVA PU. AF_09/2023</t>
  </si>
  <si>
    <t>TRATAMENTO DE JUNTA DE DILATAÇÃO COM MANTA ASFÁLTICA ADERIDA COM MAÇARICO. AF_09/2023</t>
  </si>
  <si>
    <t>TRATAMENTO DE JUNTA SERRADA, COM TARUGO DE POLIETILENO E SELANTE À BASE DE SILICONE. AF_09/2023</t>
  </si>
  <si>
    <t>IMPERMEABILIZAÇÃO DE SUPERFÍCIE COM ARGAMASSA DE CIMENTO E AREIA, COM ADITIVO IMPERMEABILIZANTE, E = 1,5CM. AF_09/2023</t>
  </si>
  <si>
    <t>IMPERMEABILIZAÇÃO DE SUPERFÍCIE COM ARGAMASSA POLIMÉRICA / MEMBRANA ACRÍLICA, 3 DEMÃOS. AF_09/2023</t>
  </si>
  <si>
    <t>IMPERMEABILIZAÇÃO DE SUPERFÍCIE COM MANTA ASFÁLTICA, UMA CAMADA, INCLUSIVE APLICAÇÃO DE PRIMER ASFÁLTICO, E=4MM. AF_09/2023</t>
  </si>
  <si>
    <t>IMPERMEABILIZAÇÃO DE SUPERFÍCIE COM MANTA ASFÁLTICA, DUAS CAMADAS, INCLUSIVE APLICAÇÃO DE PRIMER ASFÁLTICO, E=3MM E E=4MM. AF_09/2023</t>
  </si>
  <si>
    <t>IMPERMEABILIZAÇÃO DE SUPERFÍCIE COM MEMBRANA À BASE DE POLIURETANO, 2 DEMÃOS. AF_09/2023</t>
  </si>
  <si>
    <t>IMPERMEABILIZAÇÃO DE SUPERFÍCIE COM MEMBRANA À BASE DE RESINA ACRÍLICA, 3 DEMÃOS. AF_09/2023</t>
  </si>
  <si>
    <t>IMPERMEABILIZAÇÃO DE SUPERFÍCIE COM EMULSÃO ASFÁLTICA, 2 DEMÃOS. AF_09/2023</t>
  </si>
  <si>
    <t>PROTEÇÃO MECÂNICA DE SUPERFÍCIE HORIZONTAL COM ARGAMASSA DE CIMENTO E AREIA, TRAÇO 1:3, E=2CM. AF_09/2023</t>
  </si>
  <si>
    <t>PROTEÇÃO MECÂNICA DE SUPERFÍCIE VERTICAL COM ARGAMASSA DE CIMENTO E AREIA, TRAÇO 1:3, E=2CM. AF_09/2023</t>
  </si>
  <si>
    <t>PROTEÇÃO MECÂNICA DE SUPERFICIE HORIZONTAL COM ARGAMASSA DE CIMENTO E AREIA, TRAÇO 1:3, E=3CM. AF_09/2023</t>
  </si>
  <si>
    <t>PROTEÇÃO MECÂNICA DE SUPERFÍCIE VERTICAL COM ARGAMASSA DE CIMENTO E AREIA, TRAÇO 1:3, E=3CM. AF_09/2023</t>
  </si>
  <si>
    <t>PROTEÇÃO MECÂNICA DE SUPERFICIE HORIZONTAL COM ARGAMASSA DE CIMENTO E AREIA, TRAÇO 1:3, E=4CM. AF_09/2023</t>
  </si>
  <si>
    <t>PROTEÇÃO MECÂNICA DE SUPERFÍCIE VERTICAL COM ARGAMASSA DE CIMENTO E AREIA, TRAÇO 1:3, E=4CM. AF_09/2023</t>
  </si>
  <si>
    <t>PROTEÇÃO MECÂNICA DE SUPERFICIE HORIZONTAL COM ARGAMASSA DE CIMENTO E AREIA, TRAÇO 1:3, E=5CM. AF_09/2023</t>
  </si>
  <si>
    <t>PROTEÇÃO MECÂNICA DE SUPERFÍCIE VERTICAL COM ARGAMASSA DE CIMENTO E AREIA, TRAÇO 1:3, E=5CM. AF_09/2023</t>
  </si>
  <si>
    <t>PROTEÇÃO MECÂNICA DE SUPERFICIE HORIZONTAL COM CONCRETO 15 MPA, E=4CM. AF_09/2023</t>
  </si>
  <si>
    <t>PROTEÇÃO MECÂNICA DE SUPERFICIE HORIZONTAL COM CONCRETO 15 MPA, E=5CM. AF_09/2023</t>
  </si>
  <si>
    <t>PROTEÇÃO MECÂNICA DE SUPERFÍCIE VERTICAL COM CONCRETO 15 MPA, E=5CM. AF_09/2023</t>
  </si>
  <si>
    <t>CORDOALHA DE COBRE NU 35 MM², NÃO ENTERRADA, COM ISOLADOR - FORNECIMENTO E INSTALAÇÃO. AF_08/2023</t>
  </si>
  <si>
    <t>CORDOALHA DE COBRE NU 50 MM², NÃO ENTERRADA, COM ISOLADOR - FORNECIMENTO E INSTALAÇÃO. AF_08/2023</t>
  </si>
  <si>
    <t>CORDOALHA DE COBRE NU 70 MM², NÃO ENTERRADA, COM ISOLADOR - FORNECIMENTO E INSTALAÇÃO. AF_08/2023</t>
  </si>
  <si>
    <t>CORDOALHA DE COBRE NU 95 MM², NÃO ENTERRADA, COM ISOLADOR - FORNECIMENTO E INSTALAÇÃO. AF_08/2023</t>
  </si>
  <si>
    <t>CORDOALHA DE COBRE NU 50 MM², ENTERRADA - FORNECIMENTO E INSTALAÇÃO. AF_08/2023</t>
  </si>
  <si>
    <t>CORDOALHA DE COBRE NU 70 MM², ENTERRADA - FORNECIMENTO E INSTALAÇÃO. AF_08/2023</t>
  </si>
  <si>
    <t>CORDOALHA DE COBRE NU 95 MM², ENTERRADA - FORNECIMENTO E INSTALAÇÃO. AF_08/2023</t>
  </si>
  <si>
    <t>ELETRODUTO PVC RÍGIDO, DIÂMETRO 40MM, COM 3 METROS, PARA SPDA - FORNECIMENTO E INSTALAÇÃO. AF_08/2023</t>
  </si>
  <si>
    <t>HASTE DE ATERRAMENTO, DIÂMETRO 5/8", COM 3 METROS - FORNECIMENTO E INSTALAÇÃO. AF_08/2023</t>
  </si>
  <si>
    <t>HASTE DE ATERRAMENTO, DIÂMETRO 3/4", COM 3 METROS - FORNECIMENTO E INSTALAÇÃO. AF_08/2023</t>
  </si>
  <si>
    <t>MASTRO 1 ½", COM 3 METROS, PARA SPDA - FORNECIMENTO E INSTALAÇÃO. AF_08/2023</t>
  </si>
  <si>
    <t>CAPTOR TIPO FRANKLIN PARA SPDA - FORNECIMENTO E INSTALAÇÃO. AF_08/2023</t>
  </si>
  <si>
    <t>SUPORTE ISOLADOR PARA FIXAÇÃO DA CORDOALHA DE COBRE EM ALVENARIA OU CONCRETO - FORNECIMENTO E INSTALAÇÃO. AF_08/2023</t>
  </si>
  <si>
    <t>MINI CAPTOR PARA SPDA - FORNECIMENTO E INSTALAÇÃO. AF_08/2023</t>
  </si>
  <si>
    <t>CONECTOR GRAMPO METÁLICO TIPO OLHAL, PARA SPDA, PARA HASTE DE ATERRAMENTO DE 3/4'' E CABOS DE 10 A 50 MM2 - FORNECIMENTO E INSTALAÇÃO. AF_08/2023</t>
  </si>
  <si>
    <t>CONECTOR GRAMPO METÁLICO TIPO OLHAL, PARA SPDA, PARA HASTE DE ATERRAMENTO DE 5/8'' E CABOS DE 10 A 50 MM2 - FORNECIMENTO E INSTALAÇÃO. AF_08/2023</t>
  </si>
  <si>
    <t>CONECTOR GRAMPO PARALELO METÁLICO, PARA SPDA, PARA CABOS DE 6 A 50 MM2 - FORNECIMENTO E INSTALAÇÃO. AF_08/2023</t>
  </si>
  <si>
    <t>CONECTOR SPLIT-BOLT, PARA SPDA, PARA CABOS ATÉ 35 MM2 - FORNECIMENTO E INSTALAÇÃO. AF_08/2023</t>
  </si>
  <si>
    <t>CONECTOR SPLIT-BOLT, PARA SPDA, PARA CABOS ATÉ 50 MM2 - FORNECIMENTO E INSTALAÇÃO. AF_08/2023</t>
  </si>
  <si>
    <t>CONECTOR SPLIT-BOLT, PARA SPDA, PARA CABOS ATÉ 70 MM2 - FORNECIMENTO E INSTALAÇÃO. AF_08/2023</t>
  </si>
  <si>
    <t>CONECTOR SPLIT-BOLT, PARA SPDA, PARA CABOS ATÉ 95 MM2 - FORNECIMENTO E INSTALAÇÃO. AF_08/2023</t>
  </si>
  <si>
    <t>FURO MANUAL EM ALVENARIA, PARA INSTALAÇÕES ELÉTRICAS, DIÂMETROS MENORES OU IGUAIS A 40 MM. AF_09/2023</t>
  </si>
  <si>
    <t>FURO MANUAL EM ALVENARIA, PARA INSTALAÇÕES ELÉTRICAS, DIÂMETROS MAIORES QUE 40 MM E MENORES OU IGUAIS A 75 MM. AF_09/2023</t>
  </si>
  <si>
    <t>FURO MANUAL EM ALVENARIA, PARA INSTALAÇÕES ELÉTRICAS, DIÂMETROS MAIORES QUE 75 MM E MENORES OU IGUAIS A 100 MM. AF_09/2023</t>
  </si>
  <si>
    <t>FURO MECANIZADO EM CONCRETO, COM MARTELO DEMOLIDOR, PARA INSTALAÇÕES ELÉTRICAS, DIÂMETROS MENORES OU IGUAIS A 40 MM. AF_09/2023</t>
  </si>
  <si>
    <t>FURO MECANIZADO EM CONCRETO, COM MARTELO DEMOLIDOR, PARA INSTALAÇÕES ELÉTRICAS, DIÂMETROS MAIORES QUE 40 MM E MENORES OU IGUAIS A 75 MM. AF_09/2023</t>
  </si>
  <si>
    <t>FURO MECANIZADO EM CONCRETO, COM MARTELO DEMOLIDOR, PARA INSTALAÇÕES ELÉTRICAS, DIÂMETROS MAIORES QUE 75 MM E MENORES OU IGUAIS A 150 MM. AF_09/2023</t>
  </si>
  <si>
    <t>SUPORTE PARA 2 ELETRODUTOS, ESPAÇADO A CADA 80 CM, EM PERFILADO COM COMPRIMENTO DE 25 CM FIXADO EM LAJE, POR METRO DE ELETRODUTO FIXADO. AF_09/2023</t>
  </si>
  <si>
    <t>SUPORTE PARA 4 ELETRODUTOS, ESPAÇADO A CADA 80 CM, EM PERFILADO COM COMPRIMENTO DE 42 CM FIXADO EM LAJE, POR METRO DE ELETRODUTO FIXADO. AF_09/2023</t>
  </si>
  <si>
    <t>CHUMBAMENTO LINEAR EM ALVENARIA PARA ELETRODUTOS COM DIÂMETROS MENORES OU IGUAIS A 40 MM. AF_09/2023</t>
  </si>
  <si>
    <t>FURO MECANIZADO EM ALVENARIA, PARA INSTALAÇÕES ELÉTRICAS, DIÂMETROS MENORES OU IGUAIS A 40 MM. AF_09/2023</t>
  </si>
  <si>
    <t>FURO MECANIZADO EM ALVENARIA, PARA INSTALAÇÕES ELÉTRICAS, DIÂMETROS MAIORES QUE 40 MM E MENORES OU IGUAIS A 75 MM. AF_09/2023</t>
  </si>
  <si>
    <t>FURO MECANIZADO EM ALVENARIA, PARA INSTALAÇÕES ELÉTRICAS, DIÂMETROS MAIORES QUE 75 MM E MENORES OU IGUAIS A 100 MM. AF_09/2023</t>
  </si>
  <si>
    <t>FURO MECANIZADO EM CONCRETO, COM PERFURATRIZ, PARA INSTALAÇÕES ELÉTRICAS, DIÂMETROS MENORES OU IGUAIS A 40 MM. AF_09/2023</t>
  </si>
  <si>
    <t>FURO MECANIZADO EM CONCRETO, COM PERFURATRIZ, PARA INSTALAÇÕES ELÉTRICAS, DIÂMETROS MAIORES QUE 40 MM E MENORES OU IGUAIS A 75 MM. AF_09/2023</t>
  </si>
  <si>
    <t>FURO MECANIZADO EM CONCRETO, COM PERFURATRIZ, PARA INSTALAÇÕES ELÉTRICAS, DIÂMETROS MAIORES QUE 75 MM E MENORES OU IGUAIS A 150 MM. AF_09/2023</t>
  </si>
  <si>
    <t>RASGO LINEAR MECANIZADO EM ALVENARIA, PARA ELETRODUTOS, DIÂMETROS MENORES OU IGUAIS A 40 MM. AF_09/2023</t>
  </si>
  <si>
    <t>FIXAÇÃO DE ELETRODUTOS, DIÂMETROS MENORES OU IGUAIS A 40 MM, COM ABRAÇADEIRA METÁLICA RÍGIDA TIPO D COM PARAFUSO DE FIXAÇÃO 1 1/4", FIXADA DIRETAMENTE NA LAJE OU PAREDE. AF_09/2023</t>
  </si>
  <si>
    <t>LUVA DE REDUÇÃO, PARA INSTALAÇÕES EM PEX ÁGUA, DN 20 X 16 MM, COM ANEL DESLIZANTE - FORNECIMENTO E INSTALAÇÃO. AF_02/2023</t>
  </si>
  <si>
    <t>LUVA DE REDUÇÃO, PARA INSTALAÇÕES EM PEX ÁGUA, DN 25 X 16 MM, COM ANEL DESLIZANTE - FORNECIMENTO E INSTALAÇÃO. AF_02/2023</t>
  </si>
  <si>
    <t>LUVA DE REDUÇÃO, PARA INSTALAÇÕES EM PEX ÁGUA, DN 25 X 20 MM, COM ANEL DESLIZANTE - FORNECIMENTO E INSTALAÇÃO. AF_02/2023</t>
  </si>
  <si>
    <t>LUVA DE REDUÇÃO, PARA INSTALAÇÕES EM PEX ÁGUA, DN 32 X 25 MM, COM ANEL DESLIZANTE - FORNECIMENTO E INSTALAÇÃO. AF_02/2023</t>
  </si>
  <si>
    <t>FURO MANUAL EM ALVENARIA, PARA INSTALAÇÕES HIDRÁULICAS, DIÂMETROS MENORES OU IGUAIS A 40 MM. AF_09/2023</t>
  </si>
  <si>
    <t>FURO MANUAL EM ALVENARIA, PARA INSTALAÇÕES HIDRÁULICAS, DIÂMETROS MAIORES QUE 40 MM E MENORES OU IGUAIS A 75 MM. AF_09/2023</t>
  </si>
  <si>
    <t>FURO MANUAL EM ALVENARIA, PARA INSTALAÇÕES HIDRÁULICAS, DIÂMETROS MAIORES QUE 75 MM E MENORES OU IGUAIS A 100 MM. AF_09/2023</t>
  </si>
  <si>
    <t>FURO MECANIZADO EM CONCRETO, COM MARTELO DEMOLIDOR, PARA INSTALAÇÕES HIDRÁULICAS, DIÂMETROS MENORES OU IGUAIS A 40 MM. AF_09/2023</t>
  </si>
  <si>
    <t>FURO MECANIZADO EM CONCRETO, COM MARTELO DEMOLIDOR, PARA INSTALAÇÕES HIDRÁULICAS, DIÂMETROS MAIORES QUE 40 MM E MENORES OU IGUAIS A 75 MM. AF_09/2023</t>
  </si>
  <si>
    <t>FURO MECANIZADO EM CONCRETO, COM MARTELO DEMOLIDOR, PARA INSTALAÇÕES HIDRÁULICAS, DIÂMETROS MAIORES QUE 75 MM E MENORES OU IGUAIS A 150 MM. AF_09/2023</t>
  </si>
  <si>
    <t>RASGO LINEAR MANUAL EM ALVENARIA, PARA RAMAIS/ DISTRIBUIÇÃO DE INSTALAÇÕES HIDRÁULICAS, DIÂMETROS MENORES OU IGUAIS A 40 MM. AF_09/2023</t>
  </si>
  <si>
    <t>RASGO LINEAR MECANIZADO EM CONTRAPISO, PARA RAMAIS/ DISTRIBUIÇÃO DE INSTALAÇÕES HIDRÁULICAS, DIÂMETROS MENORES OU IGUAIS A 40 MM. AF_09/2023_PS</t>
  </si>
  <si>
    <t>RASGO LINEAR MECANIZADO EM CONTRAPISO, PARA RAMAIS/ DISTRIBUIÇÃO DE INSTALAÇÕES HIDRÁULICAS, DIÂMETROS MAIORES QUE 40 MM E MENORES OU IGUAIS A 75 MM. AF_09/2023_PS</t>
  </si>
  <si>
    <t>RASGO LINEAR MECANIZADO EM CONTRAPISO, PARA RAMAIS/ DISTRIBUIÇÃO DE INSTALAÇÕES HIDRÁULICAS, DIÂMETROS MAIORES QUE 75 MM E MENORES OU IGUAIS A 100 MM. AF_09/2023_PS</t>
  </si>
  <si>
    <t>RASGO LINEAR MANUAL EM ALVENARIA, PARA ELETRODUTOS, DIÂMETROS MENORES OU IGUAIS A 40 MM. AF_09/2023</t>
  </si>
  <si>
    <t>PASSANTE TIPO PEÇA EM POLIESTIRENO (ISOPOR), FIXADO EM LAJE, PARA ABERTURA PARA PASSAGEM DE 1 TUBO DE ATÉ 50 MM DE DIÂMETRO. AF_09/2023</t>
  </si>
  <si>
    <t>PASSANTE TIPO PEÇA EM POLIESTIRENO (ISOPOR), FIXADO EM LAJE, PARA PASSAGEM DE NO MÁXIMO 5 TUBOS DE 50 MM DE DIÂMETRO. AF_09/2023</t>
  </si>
  <si>
    <t>PASSANTE TIPO TUBO COM DIÂMETRO DE 40 MM, FIXADO EM LAJE, PARA PASSAGEM DE TUBULAÇÕES COM NO MÁXIMO 32 MM DE DIÂMETRO. AF_09/2023</t>
  </si>
  <si>
    <t>PASSANTE TIPO TUBO COM DIÂMETRO DE 75 MM, FIXADO EM LAJE, PARA PASSAGEM DE TUBULAÇÕES COM NO MÁXIMO 50 MM DE DIÂMETRO. AF_09/2023</t>
  </si>
  <si>
    <t>PASSANTE TIPO TUBO COM DIÂMETRO DE 100 MM, FIXADO EM LAJE, PARA PASSAGEM DE TUBULAÇÕES COM NO MÁXIMO 75 MM DE DIÂMETRO. AF_09/2023</t>
  </si>
  <si>
    <t>QUEBRA EM ALVENARIA PARA INSTALAÇÃO DE CAIXA DE TOMADA (4X4 OU 4X2). AF_09/2023</t>
  </si>
  <si>
    <t>QUEBRA EM ALVENARIA PARA INSTALAÇÃO DE QUADRO DISTRIBUIÇÃO PEQUENO (19X25 CM). AF_09/2023</t>
  </si>
  <si>
    <t>QUEBRA EM ALVENARIA PARA INSTALAÇÃO DE QUADRO DISTRIBUIÇÃO GRANDE (76X40 CM). AF_09/2023</t>
  </si>
  <si>
    <t>QUEBRA EM ALVENARIA PARA INSTALAÇÃO DE ABRIGO PARA MANGUEIRAS (90X60 CM). AF_09/2023</t>
  </si>
  <si>
    <t>SUPORTE PARA 2 TUBOS HORIZONTAIS, ESPAÇADO A CADA 56 CM, EM PERFILADO COM COMPRIMENTO DE 25 CM FIXADO EM LAJE, POR METRO DE TUBULAÇÃO FIXADA. AF_09/2023</t>
  </si>
  <si>
    <t>SUPORTE PARA 4 TUBOS HORIZONTAIS, ESPAÇADO A CADA 56 CM, EM PERFILADO COM COMPRIMENTO DE 42 CM FIXADO EM LAJE, POR METRO DE TUBULAÇÃO FIXADA. AF_09/2023</t>
  </si>
  <si>
    <t>SUPORTE PARA 2 TUBOS VERTICAIS, ESPAÇADO A CADA 150 CM, EM PERFILADO COM COMPRIMENTO DE 25 CM FIXADO EM PAREDE, POR METRO DE TUBULAÇÃO FIXADA. AF_09/2023</t>
  </si>
  <si>
    <t>SUPORTE PARA 4 TUBOS VERTICAIS, ESPAÇADO A CADA 150 CM, EM PERFILADO COM COMPRIMENTO DE 42 CM FIXADO EM PAREDE, POR METRO DE TUBULAÇÃO FIXADA. AF_09/2023</t>
  </si>
  <si>
    <t>CHUMBAMENTO LINEAR EM ALVENARIA PARA RAMAIS/DISTRIBUIÇÃO DE INSTALAÇÕES HIDRÁULICAS COM DIÂMETROS MENORES OU IGUAIS A 40 MM. AF_09/2023</t>
  </si>
  <si>
    <t>CHUMBAMENTO LINEAR EM ALVENARIA PARA RAMAIS/DISTRIBUIÇÃO DE INSTALAÇÕES HIDRÁULICAS COM DIÂMETROS MAIORES QUE 40 MM E MENORES OU IGUAIS A 75 MM. AF_09/2023</t>
  </si>
  <si>
    <t>CHUMBAMENTO LINEAR EM CONTRAPISO PARA RAMAIS/DISTRIBUIÇÃO DE INSTALAÇÕES HIDRÁULICAS COM DIÂMETROS MENORES OU IGUAIS A 40 MM. AF_09/2023</t>
  </si>
  <si>
    <t>CHUMBAMENTO LINEAR EM CONTRAPISO PARA RAMAIS/DISTRIBUIÇÃO DE INSTALAÇÕES HIDRÁULICAS COM DIÂMETROS MAIORES QUE 40 MM E MENORES OU IGUAIS A 75 MM. AF_09/2023</t>
  </si>
  <si>
    <t>CHUMBAMENTO LINEAR EM CONTRAPISO PARA RAMAIS/DISTRIBUIÇÃO DE INSTALAÇÕES HIDRÁULICAS COM DIÂMETROS MAIORES QUE 75 MM E MENORES OU IGUAIS A 100 MM. AF_09/2023</t>
  </si>
  <si>
    <t>FIXAÇÃO DE TUBOS HORIZONTAIS DE PEX OU MULTICAMADAS, DIÂMETROS IGUAIS OU INFERIORES A 40 MM, COM ABRAÇADEIRA PLÁSTICA FIXADA EM LAJE. AF_09/2023_PE</t>
  </si>
  <si>
    <t>FIXAÇÃO DE TUBOS HORIZONTAIS DE PPR, DIÂMETROS MENORES OU IGUAIS A 40 MM, COM ABRAÇADEIRA METÁLICA FLEXÍVEL 18 MM, FIXADA DIRETAMENTE NA LAJE. AF_09/2023</t>
  </si>
  <si>
    <t>FIXAÇÃO DE TUBOS HORIZONTAIS DE PVC ÁGUA, PVC ESGOTO, PVC ÁGUA PLUVIAL, CPVC, PPR, COBRE OU AÇO, DIÂMETROS MENORES OU IGUAIS A 40 MM, COM ABRAÇADEIRA METÁLICA FLEXÍVEL 18 MM, FIXADA DIRETAMENTE NA LAJE. AF_09/2023</t>
  </si>
  <si>
    <t>FIXAÇÃO DE TUBOS HORIZONTAIS DE PVC ÁGUA, PVC ESGOTO, PVC ÁGUA PLUVIAL, CPVC, PPR, COBRE OU AÇO, DIÂMETROS MAIORES QUE 40 MM E MENORES OU IGUAIS A 75 MM, COM ABRAÇADEIRA METÁLICA FLEXÍVEL 18 MM, FIXADA DIRETAMENTE NA LAJE. AF_09/2023</t>
  </si>
  <si>
    <t>FIXAÇÃO DE TUBOS HORIZONTAIS DE PVC ÁGUA, PVC ESGOTO, PVC ÁGUA PLUVIAL, CPVC, PPR, COBRE OU AÇO, DIÂMETROS MAIORES QUE 75 MM E MENORES OU IGUAIS A 100 MM, COM ABRAÇADEIRA METÁLICA FLEXÍVEL 18 MM, FIXADA DIRETAMENTE NA LAJE. AF_09/2023</t>
  </si>
  <si>
    <t>CHUMBAMENTO PONTUAL EM PASSAGEM DE TUBO COM DIÂMETRO MENOR OU IGUAL A 40 MM. AF_09/2023</t>
  </si>
  <si>
    <t>CHUMBAMENTO PONTUAL EM PASSAGEM DE TUBO COM DIÂMETROS ENTRE 40 MM E 75 MM. AF_09/2023</t>
  </si>
  <si>
    <t>CHUMBAMENTO PONTUAL EM PASSAGEM DE TUBO COM DIÂMETRO MAIOR QUE 75 MM E MENORES OU IGUAIS A 150 MM. AF_09/2023</t>
  </si>
  <si>
    <t>RASGO LINEAR MANUAL EM ALVENARIA, PARA RAMAIS/ DISTRIBUIÇÃO DE INSTALAÇÕES HIDRÁULICAS, DIÂMETROS MAIORES QUE 40 MM E MENORES OU IGUAIS A 75 MM. AF_09/2023</t>
  </si>
  <si>
    <t>SUPORTE PARA DUTO EM CHAPA GALVANIZADA BITOLA 26, EM PERFILADO COM COMPRIMENTO DE 35 CM FIXADO EM LAJE, POR METRO DE DUTO FIXADO. AF_09/2023</t>
  </si>
  <si>
    <t>SUPORTE PARA DUTO EM CHAPA GALVANIZADA BITOLA 24, EM PERFILADO COM COMPRIMENTO DE 55 CM FIXADO EM LAJE, POR METRO DE DUTO FIXADO. AF_09/2023</t>
  </si>
  <si>
    <t>SUPORTE PARA ELETROCALHA LISA OU PERFURADA EM AÇO GALVANIZADO, LARGURA 400 MM, EM PERFILADO COM COMPRIMENTO DE 45 CM FIXADO EM LAJE, POR METRO DE ELETROCALHA FIXADA. AF_09/2023</t>
  </si>
  <si>
    <t>SUPORTE PARA ELETROCALHA LISA OU PERFURADA EM AÇO GALVANIZADO, LARGURA 800 MM, EM PERFILADO COM COMPRIMENTO DE 85 CM FIXADO EM LAJE, POR METRO DE ELETROCALHA FIXADA. AF_09/2023</t>
  </si>
  <si>
    <t>FURO MECANIZADO EM ALVENARIA, PARA INSTALAÇÕES HIDRÁULICAS, DIÂMETROS MENORES OU IGUAIS A 40 MM. AF_09/2023</t>
  </si>
  <si>
    <t>FURO MECANIZADO EM ALVENARIA, PARA INSTALAÇÕES HIDRÁULICAS, DIÂMETROS MAIORES QUE 40 MM E MENORES OU IGUAIS A 75 MM. AF_09/2023</t>
  </si>
  <si>
    <t>FURO MECANIZADO EM ALVENARIA, PARA INSTALAÇÕES HIDRÁULICAS, DIÂMETROS MAIORES QUE 75 MM E MENORES OU IGUAIS A 100 MM. AF_09/2023</t>
  </si>
  <si>
    <t>FURO MECANIZADO EM CONCRETO, COM PERFURATRIZ, PARA INSTALAÇÕES HIDRÁULICAS, DIÂMETROS MENORES OU IGUAIS A 40 MM. AF_09/2023</t>
  </si>
  <si>
    <t>FURO MECANIZADO EM CONCRETO, COM PERFURATRIZ, PARA INSTALAÇÕES HIDRÁULICAS, DIÂMETROS MAIORES QUE 40 MM E MENORES OU IGUAIS A 75 MM. AF_09/2023</t>
  </si>
  <si>
    <t>FURO MECANIZADO EM CONCRETO, COM PERFURATRIZ, PARA INSTALAÇÕES HIDRÁULICAS, DIÂMETROS MAIORES QUE 75 MM E MENORES OU IGUAIS A 150 MM. AF_09/2023</t>
  </si>
  <si>
    <t>RASGO LINEAR MECANIZADO EM ALVENARIA, PARA RAMAIS/ DISTRIBUIÇÃO DE INSTALAÇÕES HIDRÁULICAS, DIÂMETROS MENORES OU IGUAIS A 40 MM. AF_09/2023</t>
  </si>
  <si>
    <t>RASGO LINEAR MECANIZADO EM ALVENARIA, PARA RAMAIS/ DISTRIBUIÇÃO DE INSTALAÇÕES HIDRÁULICAS, DIÂMETROS MAIORES QUE 40 MM E MENORES OU IGUAIS A 75 MM. AF_09/2023</t>
  </si>
  <si>
    <t>PASSANTE TIPO PEÇA EM FÔRMA DE MADEIRA, FIXADO EM LAJE, PARA PASSAGEM DE NO MÁXIMO 5 TUBOS DE 50 MM DE DIÂMETRO. AF_09/2023</t>
  </si>
  <si>
    <t>PASSANTE TIPO TUBO COM DIÂMETRO DE 50 MM, FIXADO EM LAJE, PARA PASSAGEM DE TUBULAÇÕES COM NO MÁXIMO 40 MM DE DIÂMETRO. AF_09/2023</t>
  </si>
  <si>
    <t>PASSANTE TIPO TUBO COM DIÂMETRO DE 150 MM, FIXADO EM LAJE, PARA PASSAGEM DE TUBULAÇÕES COM NO MÁXIMO 100 MM DE DIÂMETRO. AF_09/2023</t>
  </si>
  <si>
    <t>RASGO LINEAR MECANIZADO EM CONCRETO, PARA RAMAIS/ DISTRIBUIÇÃO DE INSTALAÇÕES HIDRÁULICAS, DIÂMETROS MENORES OU IGUAIS A 40 MM. AF_09/2023</t>
  </si>
  <si>
    <t>RASGO LINEAR MECANIZADO EM CONCRETO, PARA RAMAIS/ DISTRIBUIÇÃO DE INSTALAÇÕES HIDRÁULICAS, DIÂMETROS MAIORES QUE 40 MM E MENORES OU IGUAIS A 75 MM. AF_09/2023</t>
  </si>
  <si>
    <t>RASGO LINEAR MECANIZADO EM CONCRETO, PARA RAMAIS/ DISTRIBUIÇÃO DE INSTALAÇÕES HIDRÁULICAS, DIÂMETROS MAIORES QUE 75 MM E MENORES OU IGUAIS A 100 MM. AF_09/2023</t>
  </si>
  <si>
    <t>ATERRO MECANIZADO DE VALA COM ESCAVADEIRA HIDRÁULICA (CAPACIDADE DA CAÇAMBA: 0,8 M³ / POTÊNCIA: 111 HP), LARGURA ATÉ 2,5 M, PROFUNDIDADE ATÉ 1,5 M, COM SOLO ARGILO-ARENOSO. AF_08/2023</t>
  </si>
  <si>
    <t>ATERRO MECANIZADO DE VALA COM ESCAVADEIRA HIDRÁULICA (CAPACIDADE DA CAÇAMBA: 0,8 M³ / POTÊNCIA: 111 HP), LARGURA ATÉ 2,5 M, PROFUNDIDADE DE 1,5 A 3,0 M, COM SOLO ARGILO-ARENOSO. AF_08/2023</t>
  </si>
  <si>
    <t>ATERRO MECANIZADO DE VALA COM ESCAVADEIRA HIDRÁULICA (CAPACIDADE DA CAÇAMBA: 0,8 M³/POTÊNCIA: 111 HP), LARGURA ATÉ 2,5 M, PROFUNDIDADE DE 3,0 A 6,0 M, COM SOLO ARGILO-ARENOSO. AF_08/2023</t>
  </si>
  <si>
    <t>ATERRO MECANIZADO DE VALA COM RETROESCAVADEIRA (CAPACIDADE DA CAÇAMBA DA RETRO: 0,26 M³ / POTÊNCIA: 88 HP), LARGURA ATÉ 1,5 M, PROFUNDIDADE ATÉ 1,5 M, COM SOLO ARGILO-ARENOSO. AF_08/2023</t>
  </si>
  <si>
    <t>ATERRO MECANIZADO DE VALA COM RETROESCAVADEIRA (CAPACIDADE DA CAÇAMBA DA RETRO: 0,26 M³ / POTÊNCIA: 88 HP), LARGURA ATÉ 1,5 M, PROFUNDIDADE DE 1,5 A 3,0 M, COM SOLO ARGILO-ARENOSO. AF_08/2023</t>
  </si>
  <si>
    <t>ATERRO MANUAL DE VALAS COM SOLO ARGILO-ARENOSO. AF_08/2023</t>
  </si>
  <si>
    <t>ATERRO MECANIZADO DE VALA COM ESCAVADEIRA HIDRÁULICA (CAPACIDADE DA CAÇAMBA: 0,8 M³/POTÊNCIA: 111 HP), LARGURA ATÉ 2,5 M, PROFUNDIDADE ATÉ 1,5 M, COM AREIA PARA ATERRO. AF_08/2023</t>
  </si>
  <si>
    <t>ATERRO MECANIZADO DE VALA COM ESCAVADEIRA HIDRÁULICA (CAPACIDADE DA CAÇAMBA: 0,8 M³/POTÊNCIA: 111 HP), LARGURA ATÉ 2,5 M, PROFUNDIDADE DE 1,5 A 3,0 M, COM AREIA PARA ATERRO. AF_08/2023</t>
  </si>
  <si>
    <t>ATERRO MECANIZADO DE VALA COM ESCAVADEIRA HIDRÁULICA (CAPACIDADE DA CAÇAMBA: 0,8 M³/POTÊNCIA: 111 HP), LARGURA ATÉ 2,5 M, PROFUNDIDADE DE 3,0 A 6,0 M, COM AREIA PARA ATERRO. AF_08/2023</t>
  </si>
  <si>
    <t>ATERRO MECANIZADO DE VALA COM RETROESCAVADEIRA (CAPACIDADE DA CAÇAMBA DA RETRO: 0,26 M³/POTÊNCIA: 88 HP), LARGURA ATÉ 1,5 M, PROFUNDIDADE ATÉ 1,5 M, COM AREIA PARA ATERRO. AF_08/2023</t>
  </si>
  <si>
    <t>ATERRO MECANIZADO DE VALA COM RETROESCAVADEIRA (CAPACIDADE DA CAÇAMBA DA RETRO: 0,26 M³/POTÊNCIA: 88 HP), LARGURA ATÉ 1,5 M, PROFUNDIDADE DE 1,5 A 3,0 M, COM AREIA PARA ATERRO. AF_08/2023</t>
  </si>
  <si>
    <t>ATERRO MANUAL DE VALAS COM AREIA PARA ATERRO. AF_08/2023</t>
  </si>
  <si>
    <t>REATERRO MECANIZADO DE VALA COM ESCAVADEIRA HIDRÁULICA (CAPACIDADE DA CAÇAMBA: 0,8 M³/POTÊNCIA: 111 HP), LARGURA DE 1,5 A 2,5 M, PROFUNDIDADE ATÉ 1,5 M, COM SOLO (SEM SUBSTITUIÇÃO) DE 1ª CATEGORIA, COM COMPACTADOR DE SOLOS DE PERCUSSÃO. AF_08/2023</t>
  </si>
  <si>
    <t>REATERRO MECANIZADO DE VALA COM ESCAVADEIRA HIDRÁULICA (CAPACIDADE DA CAÇAMBA: 0,8 M³/POTÊNCIA: 111 HP), LARGURA ATÉ 1,5 M, PROFUNDIDADE DE 1,5 A 3,0 M, COM SOLO (SEM SUBSTITUIÇÃO) DE 1ª CATEGORIA, COM COMPACTADOR DE SOLOS DE PERCUSSÃO. AF_08/2023</t>
  </si>
  <si>
    <t>REATERRO MECANIZADO DE VALA COM ESCAVADEIRA HIDRÁULICA (CAPACIDADE DA CAÇAMBA: 0,8 M³/POTÊNCIA: 111 HP), LARGURA ATÉ 1,5 M, PROFUNDIDADE DE 3,0 A 6,0 M, COM SOLO (SEM SUBSTITUIÇÃO) DE 1ª CATEGORIA, COM COMPACTADOR DE SOLOS DE PERCUSSÃO. AF_08/2023</t>
  </si>
  <si>
    <t>REATERRO MANUAL DE VALAS, COM COMPACTADOR DE SOLOS DE PERCUSSÃO. AF_08/2023</t>
  </si>
  <si>
    <t>REATERRO MECANIZADO DE VALA COM ESCAVADEIRA HIDRÁULICA (CAPACIDADE DA CAÇAMBA: 0,8 M³/POTÊNCIA: 111 HP), LARGURA DE 1,5 A 2,5 M, PROFUNDIDADE ATÉ 1,5 M, COM SOLO (SEM SUBSTITUIÇÃO) DE 1ª CATEGORIA, COM PLACA VIBRATÓRIA. AF_08/2023</t>
  </si>
  <si>
    <t>REATERRO MECANIZADO DE VALA COM ESCAVADEIRA HIDRÁULICA (CAPACIDADE DA CAÇAMBA: 0,8 M³/POTÊNCIA: 111 HP), LARGURA ATÉ 1,5 M, PROFUNDIDADE DE 1,5 A 3,0 M, COM SOLO (SEM SUBSTITUIÇÃO) DE 1ª CATEGORIA, COM PLACA VIBRATÓRIA. AF_08/2023</t>
  </si>
  <si>
    <t>REATERRO MECANIZADO DE VALA COM ESCAVADEIRA HIDRÁULICA (CAPACIDADE DA CAÇAMBA: 0,8 M³/POTÊNCIA: 111 HP), LARGURA DE 1,5 A 2,5 M, PROFUNDIDADE DE 1,5 A 3,0 M, COM SOLO (SEM SUBSTITUIÇÃO) DE 1ª CATEGORIA, COM PLACA VIBRATÓRIA. AF_08/2023</t>
  </si>
  <si>
    <t>REATERRO MECANIZADO DE VALA COM ESCAVADEIRA HIDRÁULICA (CAPACIDADE DA CAÇAMBA: 0,8 M³/POTÊNCIA: 111 HP), LARGURA ATÉ 1,5 M, PROFUNDIDADE DE 3,0 A 6,0 M, COM SOLO (SEM SUBSTITUIÇÃO) DE 1ª CATEGORIA, COM PLACA VIBRATÓRIA. AF_08/2023</t>
  </si>
  <si>
    <t>REATERRO MECANIZADO DE VALA COM ESCAVADEIRA HIDRÁULICA (CAPACIDADE DA CAÇAMBA: 0,8 M³/POTÊNCIA: 111 HP), LARGURA DE 1,5 A 2,5 M, PROFUNDIDADE DE 3,0 A 6,0 M, COM SOLO (SEM SUBSTITUIÇÃO) DE 1ª CATEGORIA, COM PLACA VIBRATÓRIA. AF_08/2023</t>
  </si>
  <si>
    <t>REATERRO MANUAL DE VALAS, COM PLACA VIBRATÓRIA. AF_08/2023</t>
  </si>
  <si>
    <t>ATERRO MECANIZADO DE VALA COM MINICARREGADEIRA, COM SOLO ARGILO-ARENOSO. AF_08/2023</t>
  </si>
  <si>
    <t>ATERRO MECANIZADO DE VALA COM MINICARREGADEIRA, COM AREIA PARA ATERRO. AF_08/2023</t>
  </si>
  <si>
    <t>REATERRO MECANIZADO DE VALA COM MINICARREGADEIRA, COM COMPACTADOR DE SOLOS DE PERCUSSÃO. AF_08/2023</t>
  </si>
  <si>
    <t>REATERRO MECANIZADO DE VALA COM MINICARREGADEIRA, COM PLACA VIBRATÓRIA. AF_08/2023</t>
  </si>
  <si>
    <t>COMPACTAÇÃO DE VALAS COM ROLO COMPRESSOR. AF_08/2023</t>
  </si>
  <si>
    <t>PAREDE COM SISTEMA EM CHAPAS DE GESSO PARA DRYWALL, USO INTERNO, COM DUAS FACES SIMPLES E ESTRUTURA METÁLICA COM GUIAS SIMPLES, SEM VÃOS. AF_07/2023_PS</t>
  </si>
  <si>
    <t>PAREDE COM SISTEMA EM CHAPAS DE GESSO PARA DRYWALL, USO INTERNO, COM DUAS FACES SIMPLES E ESTRUTURA METÁLICA COM GUIAS SIMPLES PARA PAREDES COM ÁREA LÍQUIDA MAIOR OU IGUAL A 6 M2, COM VÃOS. AF_07/2023_PS</t>
  </si>
  <si>
    <t>PAREDE COM SISTEMA EM CHAPAS DE GESSO PARA DRYWALL, USO INTERNO, COM DUAS FACES SIMPLES E ESTRUTURA METÁLICA COM GUIAS DUPLAS, SEM VÃOS. AF_07/2023_PS</t>
  </si>
  <si>
    <t>PAREDE COM SISTEMA EM CHAPAS DE GESSO PARA DRYWALL, USO INTERNO, COM DUAS FACES SIMPLES E ESTRUTURA METÁLICA COM GUIAS DUPLAS PARA PAREDES COM ÁREA LÍQUIDA MAIOR OU IGUAL A 6 M2, COM VÃOS. AF_07/2023_PS</t>
  </si>
  <si>
    <t>PAREDE COM SISTEMA EM CHAPAS DE GESSO PARA DRYWALL, USO INTERNO, COM UMA FACE SIMPLES E OUTRA FACE DUPLA E ESTRUTURA METÁLICA COM GUIAS SIMPLES, SEM VÃOS. AF_07/2023_PS</t>
  </si>
  <si>
    <t>PAREDE COM SISTEMA EM CHAPAS DE GESSO PARA DRYWALL, USO INTERNO, COM UMA FACE SIMPLES E OUTRA FACE DUPLA E ESTRUTURA METÁLICA COM GUIAS SIMPLES PARA PAREDES COM ÁREA LÍQUIDA MAIOR OU IGUAL A 6 M2, COM VÃOS. AF_07/2023_PS</t>
  </si>
  <si>
    <t>PAREDE COM SISTEMA EM CHAPAS DE GESSO PARA DRYWALL, USO INTERNO COM UMA FACE SIMPLES E OUTRA FACE DUPLA E ESTRUTURA METÁLICA COM GUIAS DUPLAS, SEM VÃOS. AF_07/2023_PS</t>
  </si>
  <si>
    <t>PAREDE COM SISTEMA EM CHAPAS DE GESSO PARA DRYWALL, USO INTERNO, COM DUAS FACES DUPLAS E ESTRUTURA METÁLICA COM GUIAS SIMPLES, SEM VÃOS. AF_07/2023_PS</t>
  </si>
  <si>
    <t>PAREDE COM SISTEMA EM CHAPAS DE GESSO PARA DRYWALL, USO INTERNO, COM DUAS FACES DUPLAS E ESTRUTURA METÁLICA COM GUIAS SIMPLES PARA PAREDES COM ÁREA LÍQUIDA MAIOR OU IGUAL A 6 M2, COM VÃOS. AF_07/2023_PS</t>
  </si>
  <si>
    <t>PAREDE COM SISTEMA EM CHAPAS DE GESSO PARA DRYWALL, USO INTERNO COM DUAS FACES DUPLAS E ESTRUTURA METÁLICA COM GUIAS DUPLAS, SEM VÃOS. AF_07/2023_PS</t>
  </si>
  <si>
    <t>PAREDE COM SISTEMA EM CHAPAS DE GESSO PARA DRYWALL, USO INTERNO, COM DUAS FACES DUPLAS E ESTRUTURA METÁLICA COM GUIAS DUPLAS PARA PAREDES COM ÁREA LÍQUIDA MAIOR OU IGUAL A 6 M2, COM VÃOS. AF_07/2023_PS</t>
  </si>
  <si>
    <t>PAREDE COM SISTEMA EM CHAPAS DE GESSO PARA DRYWALL, USO INTERNO, COM UMA FACE SIMPLES E ESTRUTURA METÁLICA COM GUIAS SIMPLES, SEM VÃOS. AF_07/2023_PS</t>
  </si>
  <si>
    <t>PAREDE COM SISTEMA EM CHAPAS DE GESSO PARA DRYWALL, USO INTERNO, COM UMA FACE SIMPLES E ESTRUTURA METÁLICA COM GUIAS SIMPLES PARA PAREDES COM ÁREA LÍQUIDA MAIOR OU IGUAL A 6 M2, COM VÃOS. AF_07/2023_PS</t>
  </si>
  <si>
    <t>INSTALAÇÃO DE REFORÇO METÁLICO EM PAREDE DRYWALL. AF_07/2023</t>
  </si>
  <si>
    <t>INSTALAÇÃO DE REFORÇO DE MADEIRA EM PAREDE DRYWALL. AF_07/2023</t>
  </si>
  <si>
    <t>PAREDE COM SISTEMA EM CHAPAS DE GESSO PARA DRYWALL, USO INTERNO, COM DUAS FACES SIMPLES E ESTRUTURA METÁLICA COM GUIAS SIMPLES PARA PAREDES COM ÁREA LÍQUIDA MENOR QUE 6 M2, COM VÃOS. AF_07/2023_PS</t>
  </si>
  <si>
    <t>PAREDE COM SISTEMA EM CHAPAS DE GESSO PARA DRYWALL, USO INTERNO, COM DUAS FACES SIMPLES E ESTRUTURA METÁLICA COM GUIAS DUPLAS PARA PAREDES COM ÁREA LÍQUIDA MENOR QUE 6 M2, COM VÃOS. AF_07/2023_PS</t>
  </si>
  <si>
    <t>PAREDE COM SISTEMA EM CHAPAS DE GESSO PARA DRYWALL, USO INTERNO, COM UMA FACE SIMPLES E OUTRA FACE DUPLA E ESTRUTURA METÁLICA COM GUIAS SIMPLES PARA PAREDES COM ÁREA LÍQUIDA MENOR QUE 6 M2, COM VÃOS. AF_07/2023_PS</t>
  </si>
  <si>
    <t>PAREDE COM SISTEMA EM CHAPAS DE GESSO PARA DRYWALL, USO INTERNO, COM UMA FACE SIMPLES E OUTRA FACE DUPLA E ESTRUTURA METÁLICA COM GUIAS DUPLAS PARA PAREDES COM ÁREA LÍQUIDA MENOR QUE 6 M2, COM VÃOS. AF_07/2023_PS</t>
  </si>
  <si>
    <t>PAREDE COM SISTEMA EM CHAPAS DE GESSO PARA DRYWALL, USO INTERNO, COM DUAS FACES DUPLAS E ESTRUTURA METÁLICA COM GUIAS SIMPLES PARA PAREDES COM ÁREA LÍQUIDA MENOR QUE 6 M2, COM VÃOS. AF_07/2023_PS</t>
  </si>
  <si>
    <t>PAREDE COM SISTEMA EM CHAPAS DE GESSO PARA DRYWALL, USO INTERNO, COM DUAS FACES DUPLAS E ESTRUTURA METÁLICA COM GUIAS DUPLAS PARA PAREDES COM ÁREA LÍQUIDA MENOR QUE 6 M2, COM VÃOS. AF_07/2023_PS</t>
  </si>
  <si>
    <t>PAREDE COM SISTEMA EM CHAPAS DE GESSO PARA DRYWALL, USO INTERNO, COM UMA FACE SIMPLES E ESTRUTURA METÁLICA COM GUIAS SIMPLES PARA PAREDES COM ÁREA LÍQUIDA MENOR QUE 6 M2, COM VÃOS. AF_07/2023_PS</t>
  </si>
  <si>
    <t>EMBOÇO OU MASSA ÚNICA EM ARGAMASSA TRAÇO 1:2:8, PREPARO MANUAL, APLICADA MANUALMENTE EM SUPERFÍCIES EXTERNAS DA SACADA, ESPESSURA MAIOR OU IGUAL A 50 MM, SEM USO DE TELA METÁLICA DE REFORÇO CONTRA FISSURAÇÃO. AF_08/2022</t>
  </si>
  <si>
    <t>FORRO EM MADEIRA PINUS, PARA AMBIENTES RESIDENCIAIS, INCLUSIVE ESTRUTURA UNIDIRECIONAL DE FIXAÇÃO. AF_08/2023</t>
  </si>
  <si>
    <t>ACABAMENTOS PARA FORRO (RODA-FORRO EM MADEIRA PINUS). AF_08/2023</t>
  </si>
  <si>
    <t>FORRO EM MADEIRA PINUS, PARA AMBIENTES RESIDENCIAIS E COMERCIAIS, INCLUSIVE ESTRUTURA BIDIRECIONAL DE FIXAÇÃO. AF_08/2023</t>
  </si>
  <si>
    <t>FORRO EM PLACAS DE GESSO, PARA AMBIENTES RESIDENCIAIS. AF_08/2023_PS</t>
  </si>
  <si>
    <t>FORRO EM DRYWALL PARA AMBIENTES RESIDENCIAIS, INCLUSIVE ESTRUTURA UNIDIRECIONAL DE FIXAÇÃO. AF_08/2023_PS</t>
  </si>
  <si>
    <t>FORRO EM PLACAS DE GESSO, PARA AMBIENTES COMERCIAIS. AF_08/2023_PS</t>
  </si>
  <si>
    <t>FORRO EM DRYWALL, PARA AMBIENTES COMERCIAIS, INCLUSIVE ESTRUTURA BIRECIONAL DE FIXAÇÃO. AF_08/2023_PS</t>
  </si>
  <si>
    <t>ACABAMENTOS PARA FORRO (MOLDURA DE GESSO). AF_08/2023</t>
  </si>
  <si>
    <t>ACABAMENTOS PARA FORRO (MOLDURA EM DRYWALL, COM LARGURA DE 15 CM). AF_08/2023_PS</t>
  </si>
  <si>
    <t>ACABAMENTOS PARA FORRO (SANCA DE GESSO, MONTADA NA OBRA). AF_08/2023_PS</t>
  </si>
  <si>
    <t>FORRO EM RÉGUAS DE PVC, FRISADO, PARA AMBIENTES RESIDENCIAIS, INCLUSIVE ESTRUTURA UNIDIRECIONAL DE FIXAÇÃO. AF_08/2023_PS</t>
  </si>
  <si>
    <t>FORRO EM RÉGUAS DE PVC, FRISADO, PARA AMBIENTES COMERCIAIS, INCLUSIVE ESTRUTURA BIDIRECIONAL DE FIXAÇÃO. AF_08/2023_PS</t>
  </si>
  <si>
    <t>ACABAMENTOS PARA FORRO (RODA-FORRO EM PERFIL METÁLICO E PLÁSTICO). AF_08/2023</t>
  </si>
  <si>
    <t>FORRO EM RÉGUAS DE PVC, LISO, PARA AMBIENTES RESIDENCIAIS, INCLUSIVE ESTRUTURA UNIDIRECIONAL DE FIXAÇÃO. AF_08/2023_PS</t>
  </si>
  <si>
    <t>FORRO EM RÉGUAS DE PVC, LISO, PARA AMBIENTES COMERCIAIS, INCLUSIVE ESTRUTURA BIDIRECIONAL DE FIXAÇÃO. AF_08/2023_PS</t>
  </si>
  <si>
    <t>DEMOLIÇÃO DE ALVENARIA DE BLOCO FURADO, DE FORMA MANUAL, COM REAPROVEITAMENTO. AF_09/2023</t>
  </si>
  <si>
    <t>DEMOLIÇÃO DE ALVENARIA DE BLOCO FURADO, DE FORMA MANUAL, SEM REAPROVEITAMENTO. AF_09/2023</t>
  </si>
  <si>
    <t>DEMOLIÇÃO DE ALVENARIA DE TIJOLO MACIÇO, DE FORMA MANUAL, COM REAPROVEITAMENTO. AF_09/2023</t>
  </si>
  <si>
    <t>DEMOLIÇÃO DE ALVENARIA DE TIJOLO MACIÇO, DE FORMA MANUAL, SEM REAPROVEITAMENTO. AF_09/2023</t>
  </si>
  <si>
    <t>DEMOLIÇÃO DE ALVENARIA PARA QUALQUER TIPO DE BLOCO, DE FORMA MECANIZADA, SEM REAPROVEITAMENTO. AF_09/2023</t>
  </si>
  <si>
    <t>DEMOLIÇÃO DE PILARES E VIGAS EM CONCRETO ARMADO, DE FORMA MANUAL, SEM REAPROVEITAMENTO. AF_09/2023</t>
  </si>
  <si>
    <t>DEMOLIÇÃO DE PILARES E VIGAS EM CONCRETO ARMADO, DE FORMA MECANIZADA COM MARTELETE, SEM REAPROVEITAMENTO. AF_09/2023</t>
  </si>
  <si>
    <t>DEMOLIÇÃO DE LAJES, EM CONCRETO ARMADO, DE FORMA MANUAL, SEM REAPROVEITAMENTO. AF_09/2023</t>
  </si>
  <si>
    <t>DEMOLIÇÃO DE LAJES, EM CONCRETO ARMADO, DE FORMA MECANIZADA COM MARTELETE, SEM REAPROVEITAMENTO. AF_09/2023</t>
  </si>
  <si>
    <t>DEMOLIÇÃO DE ARGAMASSAS, DE FORMA MANUAL, SEM REAPROVEITAMENTO. AF_09/2023</t>
  </si>
  <si>
    <t>DEMOLIÇÃO DE RODAPÉ CERÂMICO, DE FORMA MANUAL, SEM REAPROVEITAMENTO. AF_09/2023</t>
  </si>
  <si>
    <t>DEMOLIÇÃO DE REVESTIMENTO CERÂMICO, DE FORMA MANUAL, SEM REAPROVEITAMENTO. AF_09/2023</t>
  </si>
  <si>
    <t>DEMOLIÇÃO DE REVESTIMENTO CERÂMICO, DE FORMA MECANIZADA COM MARTELETE, SEM REAPROVEITAMENTO. AF_09/2023</t>
  </si>
  <si>
    <t>REMOÇÃO DE PISO DE BLOCO INTERTRAVADO OU DE PEDRA PORTUGUESA, DE FORMA MANUAL, COM REAPROVEITAMENTO. AF_09/2023</t>
  </si>
  <si>
    <t>DEMOLIÇÃO PARCIAL DE PAVIMENTO ASFÁLTICO, DE FORMA MECANIZADA, SEM REAPROVEITAMENTO. AF_09/2023</t>
  </si>
  <si>
    <t>REMOÇÃO DE TAPUME/ CHAPAS METÁLICAS E DE MADEIRA, DE FORMA MANUAL, SEM REAPROVEITAMENTO. AF_09/2023</t>
  </si>
  <si>
    <t>REMOÇÃO DE CHAPAS E PERFIS DE DRYWALL, DE FORMA MANUAL, SEM REAPROVEITAMENTO. AF_09/2023</t>
  </si>
  <si>
    <t>REMOÇÃO DE PLACAS E PILARETES DE CONCRETO, DE FORMA MANUAL, SEM REAPROVEITAMENTO. AF_09/2023</t>
  </si>
  <si>
    <t>REMOÇÃO DE FORROS DE DRYWALL, PVC E FIBROMINERAL, DE FORMA MANUAL, SEM REAPROVEITAMENTO. AF_09/2023</t>
  </si>
  <si>
    <t>REMOÇÃO DE FORRO DE GESSO, DE FORMA MANUAL, SEM REAPROVEITAMENTO. AF_09/2023</t>
  </si>
  <si>
    <t>REMOÇÃO DE TRAMA METÁLICA OU DE MADEIRA PARA FORRO, DE FORMA MANUAL, SEM REAPROVEITAMENTO. AF_09/2023</t>
  </si>
  <si>
    <t>REMOÇÃO DE PISO DE MADEIRA (ASSOALHO E BARROTE), DE FORMA MANUAL, SEM REAPROVEITAMENTO. AF_09/2023</t>
  </si>
  <si>
    <t>REMOÇÃO DE PORTAS, DE FORMA MANUAL, SEM REAPROVEITAMENTO. AF_09/2023</t>
  </si>
  <si>
    <t>REMOÇÃO DE JANELAS, DE FORMA MANUAL, SEM REAPROVEITAMENTO. AF_09/2023</t>
  </si>
  <si>
    <t>REMOÇÃO DE TELHAS DE FIBROCIMENTO METÁLICA E CERÂMICA, DE FORMA MANUAL, SEM REAPROVEITAMENTO. AF_09/2023</t>
  </si>
  <si>
    <t>REMOÇÃO DE PROTEÇÃO TÉRMICA PARA COBERTURA EM EPS, DE FORMA MANUAL, SEM REAPROVEITAMENTO. AF_09/2023</t>
  </si>
  <si>
    <t>REMOÇÃO DE TELHAS DE FIBROCIMENTO, METÁLICA E CERÂMICA, DE FORMA MECANIZADA, COM USO DE GUINDASTE, SEM REAPROVEITAMENTO. AF_09/2023</t>
  </si>
  <si>
    <t>REMOÇÃO DE TRAMA DE MADEIRA PARA COBERTURA, DE FORMA MANUAL, SEM REAPROVEITAMENTO. AF_09/2023</t>
  </si>
  <si>
    <t>REMOÇÃO DE TESOURAS DE MADEIRA, COM VÃO MENOR QUE 8M, DE FORMA MANUAL, SEM REAPROVEITAMENTO. AF_09/2023</t>
  </si>
  <si>
    <t>REMOÇÃO DE TESOURAS DE MADEIRA, COM VÃO MAIOR OU IGUAL A 8M, DE FORMA MANUAL, SEM REAPROVEITAMENTO. AF_09/2023</t>
  </si>
  <si>
    <t>REMOÇÃO DE TESOURAS DE MADEIRA, COM VÃO MENOR QUE 8M, DE FORMA MECANIZADA, COM REAPROVEITAMENTO. AF_09/2023</t>
  </si>
  <si>
    <t>REMOÇÃO DE TESOURAS DE MADEIRA, COM VÃO MAIOR OU IGUAL A 8M, DE FORMA MECANIZADA, COM REAPROVEITAMENTO. AF_09/2023</t>
  </si>
  <si>
    <t>REMOÇÃO DE TRAMA METÁLICA PARA COBERTURA, DE FORMA MANUAL, SEM REAPROVEITAMENTO. AF_09/2023</t>
  </si>
  <si>
    <t>REMOÇÃO DE TESOURAS METÁLICAS, COM VÃO MENOR QUE 8M, DE FORMA MANUAL, SEM REAPROVEITAMENTO. AF_09/2023</t>
  </si>
  <si>
    <t>REMOÇÃO DE TESOURAS METÁLICAS, COM VÃO MAIOR OU IGUAL A 8M, DE FORMA MANUAL, SEM REAPROVEITAMENTO. AF_09/2023</t>
  </si>
  <si>
    <t>REMOÇÃO DE TESOURAS METÁLICAS, COM VÃO MENOR QUE 8M, DE FORMA MECANIZADA, COM REAPROVEITAMENTO. AF_09/2023</t>
  </si>
  <si>
    <t>REMOÇÃO DE TESOURAS METÁLICAS, COM VÃO MAIOR OU IGUAL A 8M, DE FORMA MECANIZADA, COM REAPROVEITAMENTO. AF_09/2023</t>
  </si>
  <si>
    <t>REMOÇÃO DE INTERRUPTORES/TOMADAS ELÉTRICAS, DE FORMA MANUAL, SEM REAPROVEITAMENTO. AF_09/2023</t>
  </si>
  <si>
    <t>REMOÇÃO DE CABOS ELÉTRICOS, COM SEÇÃO DE 10 MM², FORMA MANUAL, SEM REAPROVEITAMENTO. AF_09/2023</t>
  </si>
  <si>
    <t>REMOÇÃO DE TUBULAÇÕES (TUBOS E CONEXÕES) DE ÁGUA FRIA, DE FORMA MANUAL, SEM REAPROVEITAMENTO. AF_09/2023</t>
  </si>
  <si>
    <t>REMOÇÃO DE LOUÇAS, DE FORMA MANUAL, SEM REAPROVEITAMENTO. AF_09/2023</t>
  </si>
  <si>
    <t>REMOÇÃO DE ACESSÓRIOS, DE FORMA MANUAL, SEM REAPROVEITAMENTO. AF_09/2023</t>
  </si>
  <si>
    <t>REMOÇÃO DE LUMINÁRIAS, DE FORMA MANUAL, SEM REAPROVEITAMENTO. AF_09/2023</t>
  </si>
  <si>
    <t>REMOÇÃO DE METAIS SANITÁRIOS, DE FORMA MANUAL, SEM REAPROVEITAMENTO. AF_09/2023</t>
  </si>
  <si>
    <t>DEMOLIÇÃO DE PISO DE CONCRETO SIMPLES, DE FORMA MANUAL, SEM REAPROVEITAMENTO. AF_09/2023</t>
  </si>
  <si>
    <t>DEMOLIÇÃO DE PISO DE CONCRETO SIMPLES, DE FORMA MECANIZADA COM MARTELETE, SEM REAPROVEITAMENTO. AF_09/2023</t>
  </si>
  <si>
    <t>DEMOLIÇÃO DE ARGAMASSAS, DE FORMA DE FORMA MECANIZADA COM MARTELETE, SEM REAPROVEITAMENTO. AF_09/2023</t>
  </si>
  <si>
    <t>REMOÇÃO DE CABOS ELÉTRICOS, COM SEÇÃO DE ATÉ 2,5 MM², DE FORMA MANUAL, SEM REAPROVEITAMENTO. AF_09/2023</t>
  </si>
  <si>
    <t>REMOÇÃO DE CABOS ELÉTRICOS, COM SEÇÃO MAIOR QUE 2,5 MM² E MENOR QUE 10 MM², DE FORMA MANUAL, SEM REAPROVEITAMENTO. AF_09/2023</t>
  </si>
  <si>
    <t>REMOÇÃO DE CABOS ELÉTRICOS, COM SEÇÃO DE 16 MM², FORMA MANUAL, SEM REAPROVEITAMENTO. AF_09/2023</t>
  </si>
  <si>
    <t>REMOÇÃO DE CABOS ELÉTRICOS, COM SEÇÃO DE 25 MM², FORMA MANUAL, SEM REAPROVEITAMENTO. AF_09/2023</t>
  </si>
  <si>
    <t>DEMOLIÇÃO DE GUIAS, SARJETAS OU SARJETÕES, DE FORMA MECANIZADA, SEM REAPROVEITAMENTO. AF_09/2023</t>
  </si>
  <si>
    <t>REMOÇAO DE GUIAS PRÉ-FABRICADAS DE CONCRETO, DE FORMA MECANIZADA, COM REAPROVEITAMENTO. AF_09/2023</t>
  </si>
  <si>
    <t>REMOÇÃO DE SUPORTE METÁLICO OU DE MADEIRA PARA PLACAS DE SINALIZAÇÃO VIÁRIA, DE FORMA MANUAL, SEM REAPROVEITAMENTO. AF_09/2023</t>
  </si>
  <si>
    <t>REMOÇÃO DE PLACAS DE SINALIZAÇÃO VIÁRIA, DE FORMA MANUAL, SEM REAPROVEITAMENTO. AF_09/2023</t>
  </si>
  <si>
    <t>REMOÇÃO DE CERCAS E MOURÕES, DE FORMA MANUAL, SEM REAPROVEITAMENTO. AF_09/2023</t>
  </si>
  <si>
    <t>REMOÇÃO DE ALAMBRADOS PARA QUADRAS POLIESPORTIVAS, ESTRUTURADO POR TUBOS DE AÇO GALVANIZADO, COM TELA DE ARAME GALVANIZADO, DE FORMA MANUAL, SEM REAPROVEITAMENTO. AF_09/2023</t>
  </si>
  <si>
    <t>REMOÇÃO DE TELA DE ARAME GALVANIZADO DE ALAMBRADOS PARA QUADRAS POLIESPORTIVAS, DE FORMA MANUAL, SEM REMOÇÃO DA ESTRUTURA DE SUSTENTAÇÃO, SEM REAPROVEITAMENTO. AF_09/2023</t>
  </si>
  <si>
    <t>REMOÇÃO CALHAS E RUFOS, DE FORMA MANUAL, SEM REAPROVEITAMENTO. AF_09/2023</t>
  </si>
  <si>
    <t>MOTORISTA DE VEÍCULO LEVE COM ENCARGOS COMPLEMENTARES</t>
  </si>
  <si>
    <t>Custo Unitário FDE SP</t>
  </si>
  <si>
    <t>ARAME DE COBRE NU DIAMETRO 1,25MM</t>
  </si>
  <si>
    <t>GANCHO OLHAL FURO M16 (5/8) ACO GALV FOGO</t>
  </si>
  <si>
    <t>IL-05 ARANDELA BLINDADA ALUMINIO P/LAMPADA LED BULBO ROSCA E27</t>
  </si>
  <si>
    <t>ALTURA</t>
  </si>
  <si>
    <t>SITE</t>
  </si>
  <si>
    <t>LARGURA</t>
  </si>
  <si>
    <t>PREFEITURA MUNICIPAL DE INDAIATUBA</t>
  </si>
  <si>
    <t>DISJUNTORES</t>
  </si>
  <si>
    <t>FIOS E CABOS</t>
  </si>
  <si>
    <t>A.14.000.038042</t>
  </si>
  <si>
    <t>Saco em polipropileno para resíduos perigosos Classe D, tipo big bag capacidade 1.000kg</t>
  </si>
  <si>
    <t>F.08.000.024104</t>
  </si>
  <si>
    <t>Película adesiva jateada liso fosco ou listra branca para vidros - uso interno</t>
  </si>
  <si>
    <t>DRENO ESPINHA DE PEIXE (SEÇÃO 0,40 X 0,40 M), COM TUBO DE PEAD CORRUGADO PERFURADO, DN 100 MM, ENCHIMENTO COM AREIA, INCLUSIVE CONEXÕES. AF_07/2021</t>
  </si>
  <si>
    <t>DRENO ESPINHA DE PEIXE (SEÇÃO 0,40 X 0,40 M), COM TUBO DE PVC CORRUGADO RÍGIDO PERFURADO, DN 100 MM, ENCHIMENTO COM AREIA, INCLUSIVE CONEXÕES. AF_07/2021</t>
  </si>
  <si>
    <t>DRENO ESPINHA DE PEIXE (SEÇÃO 0,40 X 0,40 M), COM TUBO DE PVC CORRUGADO RÍGIDO PERFURADO, DN 100 MM, ENCHIMENTO COM BRITA, ENVOLVIDO COM MANTA GEOTÊXTIL, INCLUSIVE CONEXÕES. AF_07/2021</t>
  </si>
  <si>
    <t>DRENO ESPINHA DE PEIXE (SEÇÃO 0,50 X 0,80 M), COM TUBO DE PEAD CORRUGADO PERFURADO, DN 100 MM, ENCHIMENTO COM AREIA, INCLUSIVE CONEXÕES. AF_07/2021</t>
  </si>
  <si>
    <t>DRENO ESPINHA DE PEIXE (SEÇÃO 0,50 X 0,80 M), COM TUBO DE PVC CORRUGADO RÍGIDO PERFURADO, DN 100 MM, ENCHIMENTO COM AREIA, INCLUSIVE CONEXÕES. AF_07/2021</t>
  </si>
  <si>
    <t>DRENO ESPINHA DE PEIXE (SEÇÃO 0,50 X 0,80 M), COM TUBO DE PEAD CORRUGADO PERFURADO, DN 100 MM, ENCHIMENTO COM BRITA, ENVOLVIDO COM MANTA GEOTÊXTIL, INCLUSIVE CONEXÕES. AF_07/2021</t>
  </si>
  <si>
    <t>DRENO ESPINHA DE PEIXE (SEÇÃO 0,50 X 0,80 M), COM TUBO DE PVC CORRUGADO RÍGIDO PERFURADO, DN 100 MM, ENCHIMENTO COM BRITA, ENVOLVIDO COM MANTA GEOTÊXTIL, INCLUSIVE CONEXÕES. AF_07/2021</t>
  </si>
  <si>
    <t>DRENO EM MURO DE CONTENÇÃO, EXECUTADO NO PÉ DO MURO, COM TUBO DE PVC CORRUGADO RÍGIDO PERFURADO, ENCHIMENTO COM BRITA, ENVOLVIDO COM MANTA GEOTÊXTIL. AF_07/2021</t>
  </si>
  <si>
    <t>EXECUÇÃO DE PROTEÇÃO DA CABEÇA DO TIRANTE COM USO DE FÔRMAS METÁLICAS, 50 UTILIZAÇÕES, E CONCRETO FCK =15 MPA. AF_11/2023</t>
  </si>
  <si>
    <t>EXECUÇÃO DE PERFURAÇÃO PARA TIRANTE, COMPRIMENTO MAIOR OU IGUAL A 14 M E MENOR QUE 22 M, COM DIÂMETRO DE FURO DE 100 MM EXECUTADO COM HASTE E TUBOS DE REVESTIMENTO UTILIZANDO PERFURATRIZ SOBRE ESTEIRA. AF_11/2023</t>
  </si>
  <si>
    <t>EXECUÇÃO DE PERFURAÇÃO PARA TIRANTE, COMPRIMENTO MAIOR OU IGUAL A 22 M E MENOR QUE 30 M, COM DIÂMETRO DE FURO DE 100 MM EXECUTADO COM HASTE E TUBOS DE REVESTIMENTO UTILIZANDO PERFURATRIZ SOBRE ESTEIRA. AF_11/2023</t>
  </si>
  <si>
    <t>EXECUÇÃO DE PERFURAÇÃO PARA TIRANTE, COMPRIMENTO MAIOR OU IGUAL A 6 M E MENOR QUE 14 M, COM DIÂMETRO DE FURO DE 150 MM EXECUTADO COM HASTE E TUBOS DE REVESTIMENTO UTILIZANDO PERFURATRIZ SOBRE ESTEIRA. AF_11/2023</t>
  </si>
  <si>
    <t>EXECUÇÃO DE PERFURAÇÃO PARA TIRANTE, COMPRIMENTO MAIOR OU IGUAL A 14 M E MENOR QUE 22 M, COM DIÂMETRO DE FURO DE 150 MM EXECUTADO COM HASTE E TUBOS DE REVESTIMENTO UTILIZANDO PERFURATRIZ SOBRE ESTEIRA. AF_11/2023</t>
  </si>
  <si>
    <t>EXECUÇÃO DE PERFURAÇÃO PARA TIRANTE, COMPRIMENTO MAIOR OU IGUAL A 6 M E MENOR QUE 14 M, COM DIÂMETRO DE FURO DE 200 MM EXECUTADO COM HASTE E TUBOS DE REVESTIMENTO UTILIZANDO PERFURATRIZ SOBRE ESTEIRA. AF_11/2023</t>
  </si>
  <si>
    <t>EXECUÇÃO DE PERFURAÇÃO PARA TIRANTE, COMPRIMENTO MAIOR OU IGUAL A 14 M E MENOR QUE 22 M, COM DIÂMETRO DE FURO DE 200 MM EXECUTADO COM HASTE E TUBOS DE REVESTIMENTO UTILIZANDO PERFURATRIZ SOBRE ESTEIRA. AF_11/2023</t>
  </si>
  <si>
    <t>EXECUÇÃO DE PERFURAÇÃO PARA TIRANTE, COMPRIMENTO MAIOR OU IGUAL A 22 M E MENOR QUE 30 M, COM DIÂMETRO DE FURO DE 200 MM EXECUTADO COM HASTE E TUBOS DE REVESTIMENTO UTILIZANDO PERFURATRIZ SOBRE ESTEIRA. AF_11/2023</t>
  </si>
  <si>
    <t>EXECUÇÃO DE PERFURAÇÃO PARA TIRANTE, COMPRIMENTO MAIOR OU IGUAL A 6 M E MENOR QUE 14 M, COM DIÂMETRO DE FURO DE 100 MM EXECUTADO COM HASTE UTILIZANDO PERFURATRIZ MANUAL SOBRE BASE DE MONTAGEM. AF_11/2023</t>
  </si>
  <si>
    <t>EXECUÇÃO DE PERFURAÇÃO PARA TIRANTE, COMPRIMENTO MAIOR OU IGUAL A 14 M E MENOR QUE 22 M, COM DIÂMETRO DE FURO DE 100 MM EXECUTADO COM HASTE UTILIZANDO PERFURATRIZ MANUAL SOBRE BASE DE MONTAGEM. AF_11/2023</t>
  </si>
  <si>
    <t>EXECUÇÃO DE PERFURAÇÃO PARA TIRANTE, COMPRIMENTO MAIOR OU IGUAL A 22 M E MENOR QUE 30 M, COM DIÂMETRO DE FURO DE 100 MM EXECUTADO COM HASTE UTILIZANDO PERFURATRIZ MANUAL SOBRE BASE DE MONTAGEM. AF_11/2023</t>
  </si>
  <si>
    <t>EXECUÇÃO DE PERFURAÇÃO PARA TIRANTE, COMPRIMENTO MAIOR OU IGUAL A 6 M E MENOR QUE 14 M, COM DIÂMETRO DE FURO DE 150 MM EXECUTADO COM HASTE UTILIZANDO PERFURATRIZ MANUAL SOBRE BASE DE MONTAGEM. AF_11/2023</t>
  </si>
  <si>
    <t>EXECUÇÃO DE PERFURAÇÃO PARA TIRANTE, COMPRIMENTO MAIOR OU IGUAL A 14 M E MENOR QUE 22 M, COM DIÂMETRO DE FURO DE 150 MM EXECUTADO COM HASTE UTILIZANDO PERFURATRIZ MANUAL SOBRE BASE DE MONTAGEM. AF_11/2023</t>
  </si>
  <si>
    <t>EXECUÇÃO DE PERFURAÇÃO PARA TIRANTE, COMPRIMENTO MAIOR OU IGUAL A 22 M E MENOR QUE 30 M, COM DIÂMETRO DE FURO DE 150 MM EXECUTADO COM HASTE UTILIZANDO PERFURATRIZ MANUAL SOBRE BASE DE MONTAGEM. AF_11/2023</t>
  </si>
  <si>
    <t>EXECUÇÃO DE PERFURAÇÃO PARA TIRANTE, COMPRIMENTO MAIOR OU IGUAL A 14 M E MENOR QUE 22 M, COM DIÂMETRO DE FURO DE 200 MM EXECUTADO COM HASTE UTILIZANDO PERFURATRIZ MANUAL SOBRE BASE DE MONTAGEM. AF_11/2023</t>
  </si>
  <si>
    <t>EXECUÇÃO DE PERFURAÇÃO PARA TIRANTE, COMPRIMENTO MAIOR OU IGUAL A 22 M E MENOR QUE 30 M, COM DIÂMETRO DE FURO DE 200 MM EXECUTADO COM HASTE UTILIZANDO PERFURATRIZ MANUAL SOBRE BASE DE MONTAGEM. AF_11/2023</t>
  </si>
  <si>
    <t>PERFURAÇÃO DE CORTINA PRÉ-MOLDADA COM MARTELETE ROMPEDOR. AF_11/2023</t>
  </si>
  <si>
    <t>EXECUÇÃO DE LONGARINA, PARA TIRANTES PROVISÓRIOS, COM PERFIL METÁLICO, INCLUINDO CUNHA E SOLIDARIZAÇÃO. AF_11/2023</t>
  </si>
  <si>
    <t>EXECUÇÃO DE LONGARINA, PARA TIRANTES PERMANENTES, COM PERFIL METÁLICO, INCLUINDO CUNHA E SOLIDARIZAÇÃO. AF_11/2023</t>
  </si>
  <si>
    <t>EXECUÇÃO DE PERFURAÇÃO PARA TIRANTE, COMPRIMENTO MAIOR OU IGUAL A 22 M E MENOR QUE 30 M, COM DIÂMETRO DE FURO DE 150 MM EXECUTADO COM HASTE E TUBOS DE REVESTIMENTO UTILIZANDO PERFURATRIZ SOBRE ESTEIRA. AF_11/2023</t>
  </si>
  <si>
    <t>EXECUÇÃO DE PERFURAÇÃO PARA TIRANTE, COMPRIMENTO MAIOR OU IGUAL A 6 M E MENOR QUE 14 M, COM DIÂMETRO DE FURO DE 200 MM EXECUTADO COM HASTE UTILIZANDO PERFURATRIZ MANUAL SOBRE BASE DE MONTAGEM. AF_11/2023</t>
  </si>
  <si>
    <t>EXECUÇÃO DE PERFURAÇÃO PARA TIRANTE, COMPRIMENTO MAIOR OU IGUAL A 6 M E MENOR QUE 14 M, COM DIÂMETRO DE FURO DE 100 MM EXECUTADO COM HASTE UTILIZANDO PERFURATRIZ SOBRE ESTEIRA. AF_11/2023</t>
  </si>
  <si>
    <t>EXECUÇÃO DE PERFURAÇÃO PARA TIRANTE, COMPRIMENTO MAIOR OU IGUAL A 14 M E MENOR QUE 22 M, COM DIÂMETRO DE FURO DE 100 MM EXECUTADO COM HASTE UTILIZANDO PERFURATRIZ SOBRE ESTEIRA. AF_11/2023</t>
  </si>
  <si>
    <t>EXECUÇÃO DE PERFURAÇÃO PARA TIRANTE, COMPRIMENTO MAIOR OU IGUAL A 22 M E MENOR QUE 30 M, COM DIÂMETRO DE FURO DE 100 MM EXECUTADO COM HASTE UTILIZANDO PERFURATRIZ SOBRE ESTEIRA. AF_11/2023</t>
  </si>
  <si>
    <t>EXECUÇÃO DE PERFURAÇÃO PARA TIRANTE, COMPRIMENTO MAIOR OU IGUAL A 6 M E MENOR QUE 14 M, COM DIÂMETRO DE FURO DE 200 MM EXECUTADO COM HASTE UTILIZANDO PERFURATRIZ SOBRE ESTEIRA. AF_11/2023</t>
  </si>
  <si>
    <t>EXECUÇÃO DE PERFURAÇÃO PARA TIRANTE, COMPRIMENTO MAIOR OU IGUAL A 14 M E MENOR QUE 22 M, COM DIÂMETRO DE FURO DE 200 MM EXECUTADO COM HASTE UTILIZANDO PERFURATRIZ SOBRE ESTEIRA. AF_11/2023</t>
  </si>
  <si>
    <t>EXECUÇÃO DE PERFURAÇÃO PARA TIRANTE, COMPRIMENTO MAIOR OU IGUAL A 22 M E MENOR QUE 30 M, COM DIÂMETRO DE FURO DE 200 MM EXECUTADO COM HASTE UTILIZANDO PERFURATRIZ SOBRE ESTEIRA. AF_11/2023</t>
  </si>
  <si>
    <t>EXECUÇÃO DE PERFURAÇÃO PARA TIRANTE, COMPRIMENTO MAIOR OU IGUAL A 6 M E MENOR QUE 14 M, COM DIÂMETRO DE FURO DE 100 MM EXECUTADO COM HASTE E TUBOS DE REVESTIMENTO UTILIZANDO PERFURATRIZ SOBRE ESTEIRA. AF_11/2023</t>
  </si>
  <si>
    <t>TE DE REDUÇÃO, CPVC, SOLDÁVEL, DN 28 X 22 MM, INSTALADO EM RAMAL DE DISTRIBUIÇÃO DE ÁGUA - FORNECIMENTO E INSTALAÇÃO. AF_06/2022</t>
  </si>
  <si>
    <t>CONTRAPISO EM ARGAMASSA PRONTA, PREPARO MANUAL, APLICADO EM ÁREAS SECAS SOBRE LAJE, ADERIDO, ACABAMENTO NÃO REFORÇADO, ESPESSURA 2CM. AF_07/2021</t>
  </si>
  <si>
    <t>CERTIFICAÇÃO DE REDE LÓGICA - ATÉ 50 PONTOS</t>
  </si>
  <si>
    <t>2.55.25</t>
  </si>
  <si>
    <t>TELHA GALVALUME / ACO GALV PINT 1 FACE PO/COIL-COATING TRAPEZ H=40MM E=0,80MM</t>
  </si>
  <si>
    <t>07.03.140</t>
  </si>
  <si>
    <t>ASSENTAMENTO DE TUBO DE FERRO FUNDIDO PARA REDE DE ÁGUA, DN 80 MM, JUNTA ELÁSTICA, INSTALADO EM LOCAL COM NÍVEL ALTO DE INTERFERÊNCIAS (NÃO INCLUI FORNECIMENTO). AF_05/2024</t>
  </si>
  <si>
    <t>ASSENTAMENTO DE TUBO DE FERRO FUNDIDO PARA REDE DE ÁGUA, DN 100 MM, JUNTA ELÁSTICA, INSTALADO EM LOCAL COM NÍVEL ALTO DE INTERFERÊNCIAS (NÃO INCLUI FORNECIMENTO). AF_05/2024</t>
  </si>
  <si>
    <t>ASSENTAMENTO DE TUBO DE FERRO FUNDIDO PARA REDE DE ÁGUA, DN 150 MM, JUNTA ELÁSTICA, INSTALADO EM LOCAL COM NÍVEL ALTO DE INTERFERÊNCIAS (NÃO INCLUI FORNECIMENTO). AF_05/2024</t>
  </si>
  <si>
    <t>ASSENTAMENTO DE TUBO DE FERRO FUNDIDO PARA REDE DE ÁGUA, DN 200 MM, JUNTA ELÁSTICA, INSTALADO EM LOCAL COM NÍVEL ALTO DE INTERFERÊNCIAS (NÃO INCLUI FORNECIMENTO). AF_05/2024</t>
  </si>
  <si>
    <t>ASSENTAMENTO DE TUBO DE FERRO FUNDIDO PARA REDE DE ÁGUA, DN 250 MM, JUNTA ELÁSTICA, INSTALADO EM LOCAL COM NÍVEL ALTO DE INTERFERÊNCIAS (NÃO INCLUI FORNECIMENTO). AF_05/2024</t>
  </si>
  <si>
    <t>ASSENTAMENTO DE TUBO DE FERRO FUNDIDO PARA REDE DE ÁGUA, DN 300 MM, JUNTA ELÁSTICA, INSTALADO EM LOCAL COM NÍVEL ALTO DE INTERFERÊNCIAS (NÃO INCLUI FORNECIMENTO). AF_05/2024</t>
  </si>
  <si>
    <t>ASSENTAMENTO DE TUBO DE FERRO FUNDIDO PARA REDE DE ÁGUA, DN 350 MM, JUNTA ELÁSTICA, INSTALADO EM LOCAL COM NÍVEL ALTO DE INTERFERÊNCIAS (NÃO INCLUI FORNECIMENTO). AF_05/2024</t>
  </si>
  <si>
    <t>ASSENTAMENTO DE TUBO DE FERRO FUNDIDO PARA REDE DE ÁGUA, DN 400 MM, JUNTA ELÁSTICA, INSTALADO EM LOCAL COM NÍVEL ALTO DE INTERFERÊNCIAS (NÃO INCLUI FORNECIMENTO). AF_05/2024</t>
  </si>
  <si>
    <t>ASSENTAMENTO DE TUBO DE FERRO FUNDIDO PARA REDE DE ÁGUA, DN 450 MM, JUNTA ELÁSTICA, INSTALADO EM LOCAL COM NÍVEL ALTO DE INTERFERÊNCIAS (NÃO INCLUI FORNECIMENTO). AF_05/2024</t>
  </si>
  <si>
    <t>ASSENTAMENTO DE TUBO DE FERRO FUNDIDO PARA REDE DE ÁGUA, DN 500 MM, JUNTA ELÁSTICA, INSTALADO EM LOCAL COM NÍVEL ALTO DE INTERFERÊNCIAS (NÃO INCLUI FORNECIMENTO). AF_05/2024</t>
  </si>
  <si>
    <t>ASSENTAMENTO DE TUBO DE FERRO FUNDIDO PARA REDE DE ÁGUA, DN 600 MM, JUNTA ELÁSTICA, INSTALADO EM LOCAL COM NÍVEL ALTO DE INTERFERÊNCIAS (NÃO INCLUI FORNECIMENTO). AF_05/2024</t>
  </si>
  <si>
    <t>ASSENTAMENTO DE TUBO DE FERRO FUNDIDO PARA REDE DE ÁGUA, DN 700 MM, JUNTA ELÁSTICA, INSTALADO EM LOCAL COM NÍVEL ALTO DE INTERFERÊNCIAS (NÃO INCLUI FORNECIMENTO). AF_05/2024</t>
  </si>
  <si>
    <t>ASSENTAMENTO DE TUBO DE FERRO FUNDIDO PARA REDE DE ÁGUA, DN 800 MM, JUNTA ELÁSTICA, INSTALADO EM LOCAL COM NÍVEL ALTO DE INTERFERÊNCIAS (NÃO INCLUI FORNECIMENTO). AF_05/2024</t>
  </si>
  <si>
    <t>ASSENTAMENTO DE TUBO DE FERRO FUNDIDO PARA REDE DE ÁGUA, DN 900 MM, JUNTA ELÁSTICA, INSTALADO EM LOCAL COM NÍVEL ALTO DE INTERFERÊNCIAS (NÃO INCLUI FORNECIMENTO). AF_05/2024</t>
  </si>
  <si>
    <t>ASSENTAMENTO DE TUBO DE FERRO FUNDIDO PARA REDE DE ÁGUA, DN 1000 MM, JUNTA ELÁSTICA, INSTALADO EM LOCAL COM NÍVEL ALTO DE INTERFERÊNCIAS (NÃO INCLUI FORNECIMENTO). AF_05/2024</t>
  </si>
  <si>
    <t>ASSENTAMENTO DE TUBO DE FERRO FUNDIDO PARA REDE DE ÁGUA, DN 1200 MM, JUNTA ELÁSTICA, INSTALADO EM LOCAL COM NÍVEL ALTO DE INTERFERÊNCIAS (NÃO INCLUI FORNECIMENTO). AF_05/2024</t>
  </si>
  <si>
    <t>ASSENTAMENTO DE TUBO DE FERRO FUNDIDO PARA REDE DE ÁGUA, DN 80 MM, JUNTA ELÁSTICA, INSTALADO EM LOCAL COM NÍVEL BAIXO DE INTERFERÊNCIAS (NÃO INCLUI FORNECIMENTO). AF_05/2024</t>
  </si>
  <si>
    <t>ASSENTAMENTO DE TUBO DE FERRO FUNDIDO PARA REDE DE ÁGUA, DN 100 MM, JUNTA ELÁSTICA, INSTALADO EM LOCAL COM NÍVEL BAIXO DE INTERFERÊNCIAS (NÃO INCLUI FORNECIMENTO). AF_05/2024</t>
  </si>
  <si>
    <t>ASSENTAMENTO DE TUBO DE FERRO FUNDIDO PARA REDE DE ÁGUA, DN 150 MM, JUNTA ELÁSTICA, INSTALADO EM LOCAL COM NÍVEL BAIXO DE INTERFERÊNCIAS (NÃO INCLUI FORNECIMENTO). AF_05/2024</t>
  </si>
  <si>
    <t>ASSENTAMENTO DE TUBO DE FERRO FUNDIDO PARA REDE DE ÁGUA, DN 200 MM, JUNTA ELÁSTICA, INSTALADO EM LOCAL COM NÍVEL BAIXO DE INTERFERÊNCIAS (NÃO INCLUI FORNECIMENTO). AF_05/2024</t>
  </si>
  <si>
    <t>ASSENTAMENTO DE TUBO DE FERRO FUNDIDO PARA REDE DE ÁGUA, DN 250 MM, JUNTA ELÁSTICA, INSTALADO EM LOCAL COM NÍVEL BAIXO DE INTERFERÊNCIAS (NÃO INCLUI FORNECIMENTO). AF_05/2024</t>
  </si>
  <si>
    <t>ASSENTAMENTO DE TUBO DE FERRO FUNDIDO PARA REDE DE ÁGUA, DN 300 MM, JUNTA ELÁSTICA, INSTALADO EM LOCAL COM NÍVEL BAIXO DE INTERFERÊNCIAS (NÃO INCLUI FORNECIMENTO). AF_05/2024</t>
  </si>
  <si>
    <t>ASSENTAMENTO DE TUBO DE FERRO FUNDIDO PARA REDE DE ÁGUA, DN 350 MM, JUNTA ELÁSTICA, INSTALADO EM LOCAL COM NÍVEL BAIXO DE INTERFERÊNCIAS (NÃO INCLUI FORNECIMENTO). AF_05/2024</t>
  </si>
  <si>
    <t>ASSENTAMENTO DE TUBO DE FERRO FUNDIDO PARA REDE DE ÁGUA, DN 400 MM, JUNTA ELÁSTICA, INSTALADO EM LOCAL COM NÍVEL BAIXO DE INTERFERÊNCIAS (NÃO INCLUI FORNECIMENTO). AF_05/2024</t>
  </si>
  <si>
    <t>ASSENTAMENTO DE TUBO DE FERRO FUNDIDO PARA REDE DE ÁGUA, DN 450 MM, JUNTA ELÁSTICA, INSTALADO EM LOCAL COM NÍVEL BAIXO DE INTERFERÊNCIAS (NÃO INCLUI FORNECIMENTO). AF_05/2024</t>
  </si>
  <si>
    <t>ASSENTAMENTO DE TUBO DE FERRO FUNDIDO PARA REDE DE ÁGUA, DN 500 MM, JUNTA ELÁSTICA, INSTALADO EM LOCAL COM NÍVEL BAIXO DE INTERFERÊNCIAS (NÃO INCLUI FORNECIMENTO). AF_05/2024</t>
  </si>
  <si>
    <t>ASSENTAMENTO DE TUBO DE FERRO FUNDIDO PARA REDE DE ÁGUA, DN 600 MM, JUNTA ELÁSTICA, INSTALADO EM LOCAL COM NÍVEL BAIXO DE INTERFERÊNCIAS (NÃO INCLUI FORNECIMENTO). AF_05/2024</t>
  </si>
  <si>
    <t>ASSENTAMENTO DE TUBO DE FERRO FUNDIDO PARA REDE DE ÁGUA, DN 700 MM, JUNTA ELÁSTICA, INSTALADO EM LOCAL COM NÍVEL BAIXO DE INTERFERÊNCIAS (NÃO INCLUI FORNECIMENTO). AF_05/2024</t>
  </si>
  <si>
    <t>ASSENTAMENTO DE TUBO DE FERRO FUNDIDO PARA REDE DE ÁGUA, DN 800 MM, JUNTA ELÁSTICA, INSTALADO EM LOCAL COM NÍVEL BAIXO DE INTERFERÊNCIAS (NÃO INCLUI FORNECIMENTO). AF_05/2024</t>
  </si>
  <si>
    <t>ASSENTAMENTO DE TUBO DE FERRO FUNDIDO PARA REDE DE ÁGUA, DN 900 MM, JUNTA ELÁSTICA, INSTALADO EM LOCAL COM NÍVEL BAIXO DE INTERFERÊNCIAS (NÃO INCLUI FORNECIMENTO). AF_05/2024</t>
  </si>
  <si>
    <t>ASSENTAMENTO DE TUBO DE FERRO FUNDIDO PARA REDE DE ÁGUA, DN 1000 MM, JUNTA ELÁSTICA, INSTALADO EM LOCAL COM NÍVEL BAIXO DE INTERFERÊNCIAS (NÃO INCLUI FORNECIMENTO). AF_05/2024</t>
  </si>
  <si>
    <t>ASSENTAMENTO DE TUBO DE FERRO FUNDIDO PARA REDE DE ÁGUA, DN 1200 MM, JUNTA ELÁSTICA, INSTALADO EM LOCAL COM NÍVEL BAIXO DE INTERFERÊNCIAS (NÃO INCLUI FORNECIMENTO). AF_05/2024</t>
  </si>
  <si>
    <t>ASSENTAMENTO DE CONEXÃO 2 ACESSOS ALINHADOS DE FERRO FUNDIDO PARA REDE DE ÁGUA, DN 1200, JUNTA ELÁSTICA, INSTALADO EM LOCAL COM NÍVEL ALTO DE INTERFERÊNCIAS (NÃO INCLUI FORNECIMENTO). AF_05/2024</t>
  </si>
  <si>
    <t>ASSENTAMENTO DE CONEXÃO 2 ACESSOS INCLINADOS DE FERRO FUNDIDO PARA REDE DE ÁGUA, DN 80, JUNTA ELÁSTICA, INSTALADO EM LOCAL COM NÍVEL ALTO DE INTERFERÊNCIAS (NÃO INCLUI FORNECIMENTO). AF_05/2024</t>
  </si>
  <si>
    <t>ASSENTAMENTO DE CONEXÃO 2 ACESSOS INCLINADOS DE FERRO FUNDIDO PARA REDE DE ÁGUA, DN 100, JUNTA ELÁSTICA, INSTALADO EM LOCAL COM NÍVEL ALTO DE INTERFERÊNCIAS (NÃO INCLUI FORNECIMENTO). AF_05/2024</t>
  </si>
  <si>
    <t>ASSENTAMENTO DE CONEXÃO 2 ACESSOS INCLINADOS DE FERRO FUNDIDO PARA REDE DE ÁGUA, DN 150, JUNTA ELÁSTICA, INSTALADO EM LOCAL COM NÍVEL ALTO DE INTERFERÊNCIAS (NÃO INCLUI FORNECIMENTO). AF_05/2024</t>
  </si>
  <si>
    <t>ASSENTAMENTO DE CONEXÃO 2 ACESSOS INCLINADOS DE FERRO FUNDIDO PARA REDE DE ÁGUA, DN 200, JUNTA ELÁSTICA, INSTALADO EM LOCAL COM NÍVEL ALTO DE INTERFERÊNCIAS (NÃO INCLUI FORNECIMENTO). AF_05/2024</t>
  </si>
  <si>
    <t>ASSENTAMENTO DE CONEXÃO 2 ACESSOS INCLINADOS DE FERRO FUNDIDO PARA REDE DE ÁGUA, DN 250, JUNTA ELÁSTICA, INSTALADO EM LOCAL COM NÍVEL ALTO DE INTERFERÊNCIAS (NÃO INCLUI FORNECIMENTO). AF_05/2024</t>
  </si>
  <si>
    <t>ASSENTAMENTO DE CONEXÃO 2 ACESSOS INCLINADOS DE FERRO FUNDIDO PARA REDE DE ÁGUA, DN 300, JUNTA ELÁSTICA, INSTALADO EM LOCAL COM NÍVEL ALTO DE INTERFERÊNCIAS (NÃO INCLUI FORNECIMENTO). AF_05/2024</t>
  </si>
  <si>
    <t>ASSENTAMENTO DE CONEXÃO 2 ACESSOS INCLINADOS DE FERRO FUNDIDO PARA REDE DE ÁGUA, DN 350, JUNTA ELÁSTICA, INSTALADO EM LOCAL COM NÍVEL ALTO DE INTERFERÊNCIAS (NÃO INCLUI FORNECIMENTO). AF_05/2024</t>
  </si>
  <si>
    <t>ASSENTAMENTO DE CONEXÃO 2 ACESSOS INCLINADOS DE FERRO FUNDIDO PARA REDE DE ÁGUA, DN 400, JUNTA ELÁSTICA, INSTALADO EM LOCAL COM NÍVEL ALTO DE INTERFERÊNCIAS (NÃO INCLUI FORNECIMENTO). AF_05/2024</t>
  </si>
  <si>
    <t>ASSENTAMENTO DE CONEXÃO 2 ACESSOS ALINHADOS DE FERRO FUNDIDO PARA REDE DE ÁGUA, DN 400, JUNTA ELÁSTICA, INSTALADO EM LOCAL COM NÍVEL BAIXO DE INTERFERÊNCIAS (NÃO INCLUI FORNECIMENTO). AF_05/2024</t>
  </si>
  <si>
    <t>ASSENTAMENTO DE CONEXÃO 3 ACESSOS DE FERRO FUNDIDO PARA REDE DE ÁGUA, DN 100, JUNTA ELÁSTICA, INSTALADO EM LOCAL COM NÍVEL BAIXO DE INTERFERÊNCIAS (NÃO INCLUI FORNECIMENTO). AF_05/2024</t>
  </si>
  <si>
    <t>ASSENTAMENTO DE CONEXÃO 2 ACESSOS ALINHADOS DE FERRO FUNDIDO PARA REDE DE ÁGUA, DN 450, JUNTA ELÁSTICA, INSTALADO EM LOCAL COM NÍVEL BAIXO DE INTERFERÊNCIAS (NÃO INCLUI FORNECIMENTO). AF_05/2024</t>
  </si>
  <si>
    <t>ASSENTAMENTO DE CONEXÃO 2 ACESSOS ALINHADOS DE FERRO FUNDIDO PARA REDE DE ÁGUA, DN 500, JUNTA ELÁSTICA, INSTALADO EM LOCAL COM NÍVEL BAIXO DE INTERFERÊNCIAS (NÃO INCLUI FORNECIMENTO). AF_05/2024</t>
  </si>
  <si>
    <t>ASSENTAMENTO DE CONEXÃO 2 ACESSOS ALINHADOS DE FERRO FUNDIDO PARA REDE DE ÁGUA, DN 600, JUNTA ELÁSTICA, INSTALADO EM LOCAL COM NÍVEL BAIXO DE INTERFERÊNCIAS (NÃO INCLUI FORNECIMENTO). AF_05/2024</t>
  </si>
  <si>
    <t>ASSENTAMENTO DE CONEXÃO 2 ACESSOS ALINHADOS DE FERRO FUNDIDO PARA REDE DE ÁGUA, DN 700, JUNTA ELÁSTICA, INSTALADO EM LOCAL COM NÍVEL BAIXO DE INTERFERÊNCIAS (NÃO INCLUI FORNECIMENTO). AF_05/2024</t>
  </si>
  <si>
    <t>ASSENTAMENTO DE CONEXÃO 2 ACESSOS ALINHADOS DE FERRO FUNDIDO PARA REDE DE ÁGUA, DN 800, JUNTA ELÁSTICA, INSTALADO EM LOCAL COM NÍVEL BAIXO DE INTERFERÊNCIAS (NÃO INCLUI FORNECIMENTO). AF_05/2024</t>
  </si>
  <si>
    <t>ASSENTAMENTO DE CONEXÃO 2 ACESSOS ALINHADOS DE FERRO FUNDIDO PARA REDE DE ÁGUA, DN 900, JUNTA ELÁSTICA, INSTALADO EM LOCAL COM NÍVEL BAIXO DE INTERFERÊNCIAS (NÃO INCLUI FORNECIMENTO). AF_05/2024</t>
  </si>
  <si>
    <t>ASSENTAMENTO DE CONEXÃO 2 ACESSOS ALINHADOS DE FERRO FUNDIDO PARA REDE DE ÁGUA, DN 1000, JUNTA ELÁSTICA, INSTALADO EM LOCAL COM NÍVEL BAIXO DE INTERFERÊNCIAS (NÃO INCLUI FORNECIMENTO). AF_05/2024</t>
  </si>
  <si>
    <t>ASSENTAMENTO DE CONEXÃO 2 ACESSOS ALINHADOS DE FERRO FUNDIDO PARA REDE DE ÁGUA, DN 1200, JUNTA ELÁSTICA, INSTALADO EM LOCAL COM NÍVEL BAIXO DE INTERFERÊNCIAS (NÃO INCLUI FORNECIMENTO). AF_05/2024</t>
  </si>
  <si>
    <t>ASSENTAMENTO DE CONEXÃO 2 ACESSOS INCLINADOS DE FERRO FUNDIDO PARA REDE DE ÁGUA, DN 80, JUNTA ELÁSTICA, INSTALADO EM LOCAL COM NÍVEL BAIXO DE INTERFERÊNCIAS (NÃO INCLUI FORNECIMENTO). AF_05/2024</t>
  </si>
  <si>
    <t>ASSENTAMENTO DE CONEXÃO 2 ACESSOS INCLINADOS DE FERRO FUNDIDO PARA REDE DE ÁGUA, DN 450, JUNTA ELÁSTICA, INSTALADO EM LOCAL COM NÍVEL ALTO DE INTERFERÊNCIAS (NÃO INCLUI FORNECIMENTO). AF_05/2024</t>
  </si>
  <si>
    <t>ASSENTAMENTO DE CONEXÃO 2 ACESSOS INCLINADOS DE FERRO FUNDIDO PARA REDE DE ÁGUA, DN 500, JUNTA ELÁSTICA, INSTALADO EM LOCAL COM NÍVEL ALTO DE INTERFERÊNCIAS (NÃO INCLUI FORNECIMENTO). AF_05/2024</t>
  </si>
  <si>
    <t>ASSENTAMENTO DE CONEXÃO 2 ACESSOS INCLINADOS DE FERRO FUNDIDO PARA REDE DE ÁGUA, DN 600, JUNTA ELÁSTICA, INSTALADO EM LOCAL COM NÍVEL ALTO DE INTERFERÊNCIAS (NÃO INCLUI FORNECIMENTO). AF_05/2024</t>
  </si>
  <si>
    <t>ASSENTAMENTO DE CONEXÃO 2 ACESSOS INCLINADOS DE FERRO FUNDIDO PARA REDE DE ÁGUA, DN 700, JUNTA ELÁSTICA, INSTALADO EM LOCAL COM NÍVEL ALTO DE INTERFERÊNCIAS (NÃO INCLUI FORNECIMENTO). AF_05/2024</t>
  </si>
  <si>
    <t>ASSENTAMENTO DE CONEXÃO 2 ACESSOS INCLINADOS DE FERRO FUNDIDO PARA REDE DE ÁGUA, DN 800, JUNTA ELÁSTICA, INSTALADO EM LOCAL COM NÍVEL ALTO DE INTERFERÊNCIAS (NÃO INCLUI FORNECIMENTO). AF_05/2024</t>
  </si>
  <si>
    <t>ASSENTAMENTO DE CONEXÃO 2 ACESSOS INCLINADOS DE FERRO FUNDIDO PARA REDE DE ÁGUA, DN 900, JUNTA ELÁSTICA, INSTALADO EM LOCAL COM NÍVEL ALTO DE INTERFERÊNCIAS (NÃO INCLUI FORNECIMENTO). AF_05/2024</t>
  </si>
  <si>
    <t>ASSENTAMENTO DE CONEXÃO 2 ACESSOS INCLINADOS DE FERRO FUNDIDO PARA REDE DE ÁGUA, DN 1000, JUNTA ELÁSTICA, INSTALADO EM LOCAL COM NÍVEL ALTO DE INTERFERÊNCIAS (NÃO INCLUI FORNECIMENTO). AF_05/2024</t>
  </si>
  <si>
    <t>ASSENTAMENTO DE CONEXÃO 2 ACESSOS INCLINADOS DE FERRO FUNDIDO PARA REDE DE ÁGUA, DN 1200, JUNTA ELÁSTICA, INSTALADO EM LOCAL COM NÍVEL ALTO DE INTERFERÊNCIAS (NÃO INCLUI FORNECIMENTO). AF_05/2024</t>
  </si>
  <si>
    <t>ASSENTAMENTO DE CONEXÃO 3 ACESSOS DE FERRO FUNDIDO PARA REDE DE ÁGUA, DN 80, JUNTA ELÁSTICA, INSTALADO EM LOCAL COM NÍVEL ALTO DE INTERFERÊNCIAS (NÃO INCLUI FORNECIMENTO). AF_05/2024</t>
  </si>
  <si>
    <t>ASSENTAMENTO DE CONEXÃO 3 ACESSOS DE FERRO FUNDIDO PARA REDE DE ÁGUA, DN 100, JUNTA ELÁSTICA, INSTALADO EM LOCAL COM NÍVEL ALTO DE INTERFERÊNCIAS (NÃO INCLUI FORNECIMENTO). AF_05/2024</t>
  </si>
  <si>
    <t>ASSENTAMENTO DE CONEXÃO 3 ACESSOS DE FERRO FUNDIDO PARA REDE DE ÁGUA, DN 150, JUNTA ELÁSTICA, INSTALADO EM LOCAL COM NÍVEL ALTO DE INTERFERÊNCIAS (NÃO INCLUI FORNECIMENTO). AF_05/2024</t>
  </si>
  <si>
    <t>ASSENTAMENTO DE CONEXÃO 3 ACESSOS DE FERRO FUNDIDO PARA REDE DE ÁGUA, DN 200, JUNTA ELÁSTICA, INSTALADO EM LOCAL COM NÍVEL ALTO DE INTERFERÊNCIAS (NÃO INCLUI FORNECIMENTO). AF_05/2024</t>
  </si>
  <si>
    <t>ASSENTAMENTO DE CONEXÃO 2 ACESSOS INCLINADOS DE FERRO FUNDIDO PARA REDE DE ÁGUA, DN 100, JUNTA ELÁSTICA, INSTALADO EM LOCAL COM NÍVEL BAIXO DE INTERFERÊNCIAS (NÃO INCLUI FORNECIMENTO). AF_05/2024</t>
  </si>
  <si>
    <t>ASSENTAMENTO DE CONEXÃO 3 ACESSOS DE FERRO FUNDIDO PARA REDE DE ÁGUA, DN 150, JUNTA ELÁSTICA, INSTALADO EM LOCAL COM NÍVEL BAIXO DE INTERFERÊNCIAS (NÃO INCLUI FORNECIMENTO). AF_05/2024</t>
  </si>
  <si>
    <t>ASSENTAMENTO DE CONEXÃO 3 ACESSOS DE FERRO FUNDIDO PARA REDE DE ÁGUA, DN 250, JUNTA ELÁSTICA, INSTALADO EM LOCAL COM NÍVEL ALTO DE INTERFERÊNCIAS (NÃO INCLUI FORNECIMENTO). AF_05/2024</t>
  </si>
  <si>
    <t>ASSENTAMENTO DE CONEXÃO 2 ACESSOS ALINHADOS DE FERRO FUNDIDO PARA REDE DE ÁGUA, DN 80, JUNTA ELÁSTICA, INSTALADO EM LOCAL COM NÍVEL ALTO DE INTERFERÊNCIAS (NÃO INCLUI FORNECIMENTO). AF_05/2024</t>
  </si>
  <si>
    <t>ASSENTAMENTO DE CONEXÃO 2 ACESSOS INCLINADOS DE FERRO FUNDIDO PARA REDE DE ÁGUA, DN 150, JUNTA ELÁSTICA, INSTALADO EM LOCAL COM NÍVEL BAIXO DE INTERFERÊNCIAS (NÃO INCLUI FORNECIMENTO). AF_05/2024</t>
  </si>
  <si>
    <t>ASSENTAMENTO DE CONEXÃO 2 ACESSOS INCLINADOS DE FERRO FUNDIDO PARA REDE DE ÁGUA, DN 200, JUNTA ELÁSTICA, INSTALADO EM LOCAL COM NÍVEL BAIXO DE INTERFERÊNCIAS (NÃO INCLUI FORNECIMENTO). AF_05/2024</t>
  </si>
  <si>
    <t>ASSENTAMENTO DE CONEXÃO 2 ACESSOS INCLINADOS DE FERRO FUNDIDO PARA REDE DE ÁGUA, DN 250, JUNTA ELÁSTICA, INSTALADO EM LOCAL COM NÍVEL BAIXO DE INTERFERÊNCIAS (NÃO INCLUI FORNECIMENTO). AF_05/2024</t>
  </si>
  <si>
    <t>ASSENTAMENTO DE CONEXÃO 2 ACESSOS INCLINADOS DE FERRO FUNDIDO PARA REDE DE ÁGUA, DN 300, JUNTA ELÁSTICA, INSTALADO EM LOCAL COM NÍVEL BAIXO DE INTERFERÊNCIAS (NÃO INCLUI FORNECIMENTO). AF_05/2024</t>
  </si>
  <si>
    <t>ASSENTAMENTO DE CONEXÃO 2 ACESSOS INCLINADOS DE FERRO FUNDIDO PARA REDE DE ÁGUA, DN 350, JUNTA ELÁSTICA, INSTALADO EM LOCAL COM NÍVEL BAIXO DE INTERFERÊNCIAS (NÃO INCLUI FORNECIMENTO). AF_05/2024</t>
  </si>
  <si>
    <t>ASSENTAMENTO DE CONEXÃO 2 ACESSOS INCLINADOS DE FERRO FUNDIDO PARA REDE DE ÁGUA, DN 400, JUNTA ELÁSTICA, INSTALADO EM LOCAL COM NÍVEL BAIXO DE INTERFERÊNCIAS (NÃO INCLUI FORNECIMENTO). AF_05/2024</t>
  </si>
  <si>
    <t>ASSENTAMENTO DE CONEXÃO 2 ACESSOS INCLINADOS DE FERRO FUNDIDO PARA REDE DE ÁGUA, DN 450, JUNTA ELÁSTICA, INSTALADO EM LOCAL COM NÍVEL BAIXO DE INTERFERÊNCIAS (NÃO INCLUI FORNECIMENTO). AF_05/2024</t>
  </si>
  <si>
    <t>ASSENTAMENTO DE CONEXÃO 2 ACESSOS INCLINADOS DE FERRO FUNDIDO PARA REDE DE ÁGUA, DN 500, JUNTA ELÁSTICA, INSTALADO EM LOCAL COM NÍVEL BAIXO DE INTERFERÊNCIAS (NÃO INCLUI FORNECIMENTO). AF_05/2024</t>
  </si>
  <si>
    <t>ASSENTAMENTO DE CONEXÃO 2 ACESSOS INCLINADOS DE FERRO FUNDIDO PARA REDE DE ÁGUA, DN 600, JUNTA ELÁSTICA, INSTALADO EM LOCAL COM NÍVEL BAIXO DE INTERFERÊNCIAS (NÃO INCLUI FORNECIMENTO). AF_05/2024</t>
  </si>
  <si>
    <t>ASSENTAMENTO DE CONEXÃO 2 ACESSOS INCLINADOS DE FERRO FUNDIDO PARA REDE DE ÁGUA, DN 700, JUNTA ELÁSTICA, INSTALADO EM LOCAL COM NÍVEL BAIXO DE INTERFERÊNCIAS (NÃO INCLUI FORNECIMENTO). AF_05/2024</t>
  </si>
  <si>
    <t>ASSENTAMENTO DE CONEXÃO 2 ACESSOS ALINHADOS DE FERRO FUNDIDO PARA REDE DE ÁGUA, DN 300, JUNTA ELÁSTICA, INSTALADO EM LOCAL COM NÍVEL BAIXO DE INTERFERÊNCIAS (NÃO INCLUI FORNECIMENTO). AF_05/2024</t>
  </si>
  <si>
    <t>ASSENTAMENTO DE CONEXÃO 2 ACESSOS ALINHADOS DE FERRO FUNDIDO PARA REDE DE ÁGUA, DN 350, JUNTA ELÁSTICA, INSTALADO EM LOCAL COM NÍVEL BAIXO DE INTERFERÊNCIAS (NÃO INCLUI FORNECIMENTO). AF_05/2024</t>
  </si>
  <si>
    <t>ASSENTAMENTO DE CONEXÃO 3 ACESSOS DE FERRO FUNDIDO PARA REDE DE ÁGUA, DN 200, JUNTA ELÁSTICA, INSTALADO EM LOCAL COM NÍVEL BAIXO DE INTERFERÊNCIAS (NÃO INCLUI FORNECIMENTO). AF_05/2024</t>
  </si>
  <si>
    <t>ASSENTAMENTO DE CONEXÃO 3 ACESSOS DE FERRO FUNDIDO PARA REDE DE ÁGUA, DN 250, JUNTA ELÁSTICA, INSTALADO EM LOCAL COM NÍVEL BAIXO DE INTERFERÊNCIAS (NÃO INCLUI FORNECIMENTO). AF_05/2024</t>
  </si>
  <si>
    <t>ASSENTAMENTO DE CONEXÃO 3 ACESSOS DE FERRO FUNDIDO PARA REDE DE ÁGUA, DN 300, JUNTA ELÁSTICA, INSTALADO EM LOCAL COM NÍVEL BAIXO DE INTERFERÊNCIAS (NÃO INCLUI FORNECIMENTO). AF_05/2024</t>
  </si>
  <si>
    <t>ASSENTAMENTO DE CONEXÃO 3 ACESSOS DE FERRO FUNDIDO PARA REDE DE ÁGUA, DN 350, JUNTA ELÁSTICA, INSTALADO EM LOCAL COM NÍVEL BAIXO DE INTERFERÊNCIAS (NÃO INCLUI FORNECIMENTO). AF_05/2024</t>
  </si>
  <si>
    <t>ASSENTAMENTO DE CONEXÃO 3 ACESSOS DE FERRO FUNDIDO PARA REDE DE ÁGUA, DN 400, JUNTA ELÁSTICA, INSTALADO EM LOCAL COM NÍVEL BAIXO DE INTERFERÊNCIAS (NÃO INCLUI FORNECIMENTO). AF_05/2024</t>
  </si>
  <si>
    <t>ASSENTAMENTO DE CONEXÃO 3 ACESSOS DE FERRO FUNDIDO PARA REDE DE ÁGUA, DN 450, JUNTA ELÁSTICA, INSTALADO EM LOCAL COM NÍVEL BAIXO DE INTERFERÊNCIAS (NÃO INCLUI FORNECIMENTO). AF_05/2024</t>
  </si>
  <si>
    <t>ASSENTAMENTO DE CONEXÃO 3 ACESSOS DE FERRO FUNDIDO PARA REDE DE ÁGUA, DN 500, JUNTA ELÁSTICA, INSTALADO EM LOCAL COM NÍVEL BAIXO DE INTERFERÊNCIAS (NÃO INCLUI FORNECIMENTO). AF_05/2024</t>
  </si>
  <si>
    <t>ASSENTAMENTO DE CONEXÃO 3 ACESSOS DE FERRO FUNDIDO PARA REDE DE ÁGUA, DN 600, JUNTA ELÁSTICA, INSTALADO EM LOCAL COM NÍVEL BAIXO DE INTERFERÊNCIAS (NÃO INCLUI FORNECIMENTO). AF_05/2024</t>
  </si>
  <si>
    <t>ASSENTAMENTO DE CONEXÃO 2 ACESSOS INCLINADOS DE FERRO FUNDIDO PARA REDE DE ÁGUA, DN 800, JUNTA ELÁSTICA, INSTALADO EM LOCAL COM NÍVEL BAIXO DE INTERFERÊNCIAS (NÃO INCLUI FORNECIMENTO). AF_05/2024</t>
  </si>
  <si>
    <t>ASSENTAMENTO DE CONEXÃO 2 ACESSOS INCLINADOS DE FERRO FUNDIDO PARA REDE DE ÁGUA, DN 1000, JUNTA ELÁSTICA, INSTALADO EM LOCAL COM NÍVEL BAIXO DE INTERFERÊNCIAS (NÃO INCLUI FORNECIMENTO). AF_05/2024</t>
  </si>
  <si>
    <t>ASSENTAMENTO DE CONEXÃO 2 ACESSOS INCLINADOS DE FERRO FUNDIDO PARA REDE DE ÁGUA, DN 1200, JUNTA ELÁSTICA, INSTALADO EM LOCAL COM NÍVEL BAIXO DE INTERFERÊNCIAS (NÃO INCLUI FORNECIMENTO). AF_05/2024</t>
  </si>
  <si>
    <t>ASSENTAMENTO DE CONEXÃO 3 ACESSOS DE FERRO FUNDIDO PARA REDE DE ÁGUA, DN 80, JUNTA ELÁSTICA, INSTALADO EM LOCAL COM NÍVEL BAIXO DE INTERFERÊNCIAS (NÃO INCLUI FORNECIMENTO). AF_05/2024</t>
  </si>
  <si>
    <t>ASSENTAMENTO DE CONEXÃO 3 ACESSOS DE FERRO FUNDIDO PARA REDE DE ÁGUA, DN 700, JUNTA ELÁSTICA, INSTALADO EM LOCAL COM NÍVEL BAIXO DE INTERFERÊNCIAS (NÃO INCLUI FORNECIMENTO). AF_05/2024</t>
  </si>
  <si>
    <t>ASSENTAMENTO DE CONEXÃO 3 ACESSOS DE FERRO FUNDIDO PARA REDE DE ÁGUA, DN 900, JUNTA ELÁSTICA, INSTALADO EM LOCAL COM NÍVEL BAIXO DE INTERFERÊNCIAS (NÃO INCLUI FORNECIMENTO). AF_05/2024</t>
  </si>
  <si>
    <t>ASSENTAMENTO DE CONEXÃO 3 ACESSOS DE FERRO FUNDIDO PARA REDE DE ÁGUA, DN 1000, JUNTA ELÁSTICA, INSTALADO EM LOCAL COM NÍVEL BAIXO DE INTERFERÊNCIAS (NÃO INCLUI FORNECIMENTO). AF_05/2024</t>
  </si>
  <si>
    <t>ASSENTAMENTO DE CONEXÃO 3 ACESSOS DE FERRO FUNDIDO PARA REDE DE ÁGUA, DN 1200, JUNTA ELÁSTICA, INSTALADO EM LOCAL COM NÍVEL BAIXO DE INTERFERÊNCIAS (NÃO INCLUI FORNECIMENTO). AF_05/2024</t>
  </si>
  <si>
    <t>ASSENTAMENTO DE CONEXÃO 3 ACESSOS DE FERRO FUNDIDO PARA REDE DE ÁGUA, DN 300, JUNTA ELÁSTICA, INSTALADO EM LOCAL COM NÍVEL ALTO DE INTERFERÊNCIAS (NÃO INCLUI FORNECIMENTO). AF_05/2024</t>
  </si>
  <si>
    <t>ASSENTAMENTO DE CONEXÃO 3 ACESSOS DE FERRO FUNDIDO PARA REDE DE ÁGUA, DN 350, JUNTA ELÁSTICA, INSTALADO EM LOCAL COM NÍVEL ALTO DE INTERFERÊNCIAS (NÃO INCLUI FORNECIMENTO). AF_05/2024</t>
  </si>
  <si>
    <t>ASSENTAMENTO DE CONEXÃO 3 ACESSOS DE FERRO FUNDIDO PARA REDE DE ÁGUA, DN 400, JUNTA ELÁSTICA, INSTALADO EM LOCAL COM NÍVEL ALTO DE INTERFERÊNCIAS (NÃO INCLUI FORNECIMENTO). AF_05/2024</t>
  </si>
  <si>
    <t>ASSENTAMENTO DE CONEXÃO 3 ACESSOS DE FERRO FUNDIDO PARA REDE DE ÁGUA, DN 450, JUNTA ELÁSTICA, INSTALADO EM LOCAL COM NÍVEL ALTO DE INTERFERÊNCIAS (NÃO INCLUI FORNECIMENTO). AF_05/2024</t>
  </si>
  <si>
    <t>ASSENTAMENTO DE CONEXÃO 3 ACESSOS DE FERRO FUNDIDO PARA REDE DE ÁGUA, DN 500, JUNTA ELÁSTICA, INSTALADO EM LOCAL COM NÍVEL ALTO DE INTERFERÊNCIAS (NÃO INCLUI FORNECIMENTO). AF_05/2024</t>
  </si>
  <si>
    <t>ASSENTAMENTO DE CONEXÃO 3 ACESSOS DE FERRO FUNDIDO PARA REDE DE ÁGUA, DN 600, JUNTA ELÁSTICA, INSTALADO EM LOCAL COM NÍVEL ALTO DE INTERFERÊNCIAS (NÃO INCLUI FORNECIMENTO). AF_05/2024</t>
  </si>
  <si>
    <t>ASSENTAMENTO DE CONEXÃO 3 ACESSOS DE FERRO FUNDIDO PARA REDE DE ÁGUA, DN 700, JUNTA ELÁSTICA, INSTALADO EM LOCAL COM NÍVEL ALTO DE INTERFERÊNCIAS (NÃO INCLUI FORNECIMENTO). AF_05/2024</t>
  </si>
  <si>
    <t>ASSENTAMENTO DE CONEXÃO 3 ACESSOS DE FERRO FUNDIDO PARA REDE DE ÁGUA, DN 800, JUNTA ELÁSTICA, INSTALADO EM LOCAL COM NÍVEL ALTO DE INTERFERÊNCIAS (NÃO INCLUI FORNECIMENTO). AF_05/2024</t>
  </si>
  <si>
    <t>ASSENTAMENTO DE CONEXÃO 3 ACESSOS DE FERRO FUNDIDO PARA REDE DE ÁGUA, DN 900, JUNTA ELÁSTICA, INSTALADO EM LOCAL COM NÍVEL ALTO DE INTERFERÊNCIAS (NÃO INCLUI FORNECIMENTO). AF_05/2024</t>
  </si>
  <si>
    <t>ASSENTAMENTO DE CONEXÃO 3 ACESSOS DE FERRO FUNDIDO PARA REDE DE ÁGUA, DN 1000, JUNTA ELÁSTICA, INSTALADO EM LOCAL COM NÍVEL ALTO DE INTERFERÊNCIAS (NÃO INCLUI FORNECIMENTO). AF_05/2024</t>
  </si>
  <si>
    <t>ASSENTAMENTO DE CONEXÃO 3 ACESSOS DE FERRO FUNDIDO PARA REDE DE ÁGUA, DN 1200, JUNTA ELÁSTICA, INSTALADO EM LOCAL COM NÍVEL ALTO DE INTERFERÊNCIAS (NÃO INCLUI FORNECIMENTO). AF_05/2024</t>
  </si>
  <si>
    <t>FORNECIMENTO E ASSENTAMENTO DE TE RANHURADO EM FERRO FUNDIDO, DN 80 (3") PARA REDE DE ÁGUA, INSTALADO EM LOCAL COM NÍVEL ALTO DE INTERFERÊNCIAS (INCLUI FORNECIMENTO). AF_05/2024</t>
  </si>
  <si>
    <t>FORNECIMENTO E ASSENTAMENTO DE CURVA 45 GRAUS RANHURADA EM FERRO FUNDIDO, DN 80 MM (3") PARA REDE DE ÁGUA, INSTALADO EM LOCAL COM NÍVEL ALTO DE INTERFERÊNCIAS (INCLUI FORNECIMENTO). AF_05/2024</t>
  </si>
  <si>
    <t>ASSENTAMENTO DE CONEXÃO 2 ACESSOS ALINHADOS DE FERRO FUNDIDO PARA REDE DE ÁGUA, DN 100, JUNTA ELÁSTICA, INSTALADO EM LOCAL COM NÍVEL ALTO DE INTERFERÊNCIAS (NÃO INCLUI FORNECIMENTO). AF_05/2024</t>
  </si>
  <si>
    <t>ASSENTAMENTO DE CONEXÃO 2 ACESSOS ALINHADOS DE FERRO FUNDIDO PARA REDE DE ÁGUA, DN 150, JUNTA ELÁSTICA, INSTALADO EM LOCAL COM NÍVEL ALTO DE INTERFERÊNCIAS (NÃO INCLUI FORNECIMENTO). AF_05/2024</t>
  </si>
  <si>
    <t>ASSENTAMENTO DE CONEXÃO 2 ACESSOS ALINHADOS DE FERRO FUNDIDO PARA REDE DE ÁGUA, DN 1000, JUNTA ELÁSTICA, INSTALADO EM LOCAL COM NÍVEL ALTO DE INTERFERÊNCIAS (NÃO INCLUI FORNECIMENTO). AF_05/2024</t>
  </si>
  <si>
    <t>ASSENTAMENTO DE CONEXÃO 2 ACESSOS ALINHADOS DE FERRO FUNDIDO PARA REDE DE ÁGUA, DN 150, JUNTA ELÁSTICA, INSTALADO EM LOCAL COM NÍVEL BAIXO DE INTERFERÊNCIAS (NÃO INCLUI FORNECIMENTO). AF_05/2024</t>
  </si>
  <si>
    <t>ASSENTAMENTO DE CONEXÃO 2 ACESSOS ALINHADOS DE FERRO FUNDIDO PARA REDE DE ÁGUA, DN 200, JUNTA ELÁSTICA, INSTALADO EM LOCAL COM NÍVEL BAIXO DE INTERFERÊNCIAS (NÃO INCLUI FORNECIMENTO). AF_05/2024</t>
  </si>
  <si>
    <t>ASSENTAMENTO DE CONEXÃO 2 ACESSOS INCLINADOS DE FERRO FUNDIDO PARA REDE DE ÁGUA, DN 900, JUNTA ELÁSTICA, INSTALADO EM LOCAL COM NÍVEL BAIXO DE INTERFERÊNCIAS (NÃO INCLUI FORNECIMENTO). AF_05/2024</t>
  </si>
  <si>
    <t>ASSENTAMENTO DE CONEXÃO 3 ACESSOS DE FERRO FUNDIDO PARA REDE DE ÁGUA, DN 800, JUNTA ELÁSTICA, INSTALADO EM LOCAL COM NÍVEL BAIXO DE INTERFERÊNCIAS (NÃO INCLUI FORNECIMENTO). AF_05/2024</t>
  </si>
  <si>
    <t>ASSENTAMENTO DE CONEXÃO 2 ACESSOS ALINHADOS DE FERRO FUNDIDO PARA REDE DE ÁGUA, DN 200, JUNTA ELÁSTICA, INSTALADO EM LOCAL COM NÍVEL ALTO DE INTERFERÊNCIAS (NÃO INCLUI FORNECIMENTO). AF_05/2024</t>
  </si>
  <si>
    <t>ASSENTAMENTO DE CONEXÃO 2 ACESSOS ALINHADOS DE FERRO FUNDIDO PARA REDE DE ÁGUA, DN 250, JUNTA ELÁSTICA, INSTALADO EM LOCAL COM NÍVEL ALTO DE INTERFERÊNCIAS (NÃO INCLUI FORNECIMENTO). AF_05/2024</t>
  </si>
  <si>
    <t>ASSENTAMENTO DE CONEXÃO 2 ACESSOS ALINHADOS DE FERRO FUNDIDO PARA REDE DE ÁGUA, DN 300, JUNTA ELÁSTICA, INSTALADO EM LOCAL COM NÍVEL ALTO DE INTERFERÊNCIAS (NÃO INCLUI FORNECIMENTO). AF_05/2024</t>
  </si>
  <si>
    <t>ASSENTAMENTO DE CONEXÃO 2 ACESSOS ALINHADOS DE FERRO FUNDIDO PARA REDE DE ÁGUA, DN 350, JUNTA ELÁSTICA, INSTALADO EM LOCAL COM NÍVEL ALTO DE INTERFERÊNCIAS (NÃO INCLUI FORNECIMENTO). AF_05/2024</t>
  </si>
  <si>
    <t>ASSENTAMENTO DE CONEXÃO 2 ACESSOS ALINHADOS DE FERRO FUNDIDO PARA REDE DE ÁGUA, DN 400, JUNTA ELÁSTICA, INSTALADO EM LOCAL COM NÍVEL ALTO DE INTERFERÊNCIAS (NÃO INCLUI FORNECIMENTO). AF_05/2024</t>
  </si>
  <si>
    <t>ASSENTAMENTO DE CONEXÃO 2 ACESSOS ALINHADOS DE FERRO FUNDIDO PARA REDE DE ÁGUA, DN 450, JUNTA ELÁSTICA, INSTALADO EM LOCAL COM NÍVEL ALTO DE INTERFERÊNCIAS (NÃO INCLUI FORNECIMENTO). AF_05/2024</t>
  </si>
  <si>
    <t>ASSENTAMENTO DE CONEXÃO 2 ACESSOS ALINHADOS DE FERRO FUNDIDO PARA REDE DE ÁGUA, DN 500, JUNTA ELÁSTICA, INSTALADO EM LOCAL COM NÍVEL ALTO DE INTERFERÊNCIAS (NÃO INCLUI FORNECIMENTO). AF_05/2024</t>
  </si>
  <si>
    <t>ASSENTAMENTO DE CONEXÃO 2 ACESSOS ALINHADOS DE FERRO FUNDIDO PARA REDE DE ÁGUA, DN 600, JUNTA ELÁSTICA, INSTALADO EM LOCAL COM NÍVEL ALTO DE INTERFERÊNCIAS (NÃO INCLUI FORNECIMENTO). AF_05/2024</t>
  </si>
  <si>
    <t>ASSENTAMENTO DE CONEXÃO 2 ACESSOS ALINHADOS DE FERRO FUNDIDO PARA REDE DE ÁGUA, DN 700, JUNTA ELÁSTICA, INSTALADO EM LOCAL COM NÍVEL ALTO DE INTERFERÊNCIAS (NÃO INCLUI FORNECIMENTO). AF_05/2024</t>
  </si>
  <si>
    <t>ASSENTAMENTO DE CONEXÃO 2 ACESSOS ALINHADOS DE FERRO FUNDIDO PARA REDE DE ÁGUA, DN 800, JUNTA ELÁSTICA, INSTALADO EM LOCAL COM NÍVEL ALTO DE INTERFERÊNCIAS (NÃO INCLUI FORNECIMENTO). AF_05/2024</t>
  </si>
  <si>
    <t>ASSENTAMENTO DE CONEXÃO 2 ACESSOS ALINHADOS DE FERRO FUNDIDO PARA REDE DE ÁGUA, DN 900, JUNTA ELÁSTICA, INSTALADO EM LOCAL COM NÍVEL ALTO DE INTERFERÊNCIAS (NÃO INCLUI FORNECIMENTO). AF_05/2024</t>
  </si>
  <si>
    <t>ASSENTAMENTO DE TUBO DE AÇO CARBONO PARA REDE DE ÁGUA, DN 600 MM (24"), JUNTA SOLDADA, INSTALADO EM LOCAL COM NÍVEL ALTO DE INTERFERÊNCIAS (NÃO INCLUI FORNECIMENTO). AF_05/2024</t>
  </si>
  <si>
    <t>ASSENTAMENTO DE TUBO DE AÇO CARBONO PARA REDE DE ÁGUA, DN 700 MM (28"), JUNTA SOLDADA, INSTALADO EM LOCAL COM NÍVEL ALTO DE INTERFERÊNCIAS (NÃO INCLUI FORNECIMENTO). AF_05/2024</t>
  </si>
  <si>
    <t>ASSENTAMENTO DE TUBO DE AÇO CARBONO PARA REDE DE ÁGUA, DN 800 MM (32"), JUNTA SOLDADA, INSTALADO EM LOCAL COM NÍVEL ALTO DE INTERFERÊNCIAS (NÃO INCLUI FORNECIMENTO). AF_05/2024</t>
  </si>
  <si>
    <t>ASSENTAMENTO DE TUBO DE AÇO CARBONO PARA REDE DE ÁGUA, DN 900 MM (36"), JUNTA SOLDADA, INSTALADO EM LOCAL COM NÍVEL ALTO DE INTERFERÊNCIAS (NÃO INCLUI FORNECIMENTO). AF_05/2024</t>
  </si>
  <si>
    <t>ASSENTAMENTO DE TUBO DE AÇO CARBONO PARA REDE DE ÁGUA, DN 1000 MM (40") OU DN 1100 MM (44"), JUNTA SOLDADA, INSTALADO EM LOCAL COM NÍVEL ALTO DE INTERFERÊNCIAS (NÃO INCLUI FORNECIMENTO). AF_05/2024</t>
  </si>
  <si>
    <t>ASSENTAMENTO DE TUBO DE AÇO CARBONO PARA REDE DE ÁGUA, DN 1200 MM (48") OU DN 1300 MM (52"), JUNTA SOLDADA, INSTALADO EM LOCAL COM NÍVEL ALTO DE INTERFERÊNCIAS (NÃO INCLUI FORNECIMENTO). AF_05/2024</t>
  </si>
  <si>
    <t>ASSENTAMENTO DE TUBO DE AÇO CARBONO PARA REDE DE ÁGUA, DN 1400 MM (56'') OU DN 1500 MM (60"), JUNTA SOLDADA, INSTALADO EM LOCAL COM NÍVEL ALTO DE INTERFERÊNCIAS (NÃO INCLUI FORNECIMENTO). AF_05/2024</t>
  </si>
  <si>
    <t>ASSENTAMENTO DE TUBO DE AÇO CARBONO PARA REDE DE ÁGUA, DN 1600 MM (64") OU DN 1700 MM (68"), JUNTA SOLDADA, INSTALADO EM LOCAL COM NÍVEL ALTO DE INTERFERÊNCIAS (NÃO INCLUI FORNECIMENTO). AF_05/2024</t>
  </si>
  <si>
    <t>ASSENTAMENTO DE TUBO DE AÇO CARBONO PARA REDE DE ÁGUA, DN 1800 MM (72") OU DN 1900 MM (76"), JUNTA SOLDADA, INSTALADO EM LOCAL COM NÍVEL ALTO DE INTERFERÊNCIAS (NÃO INCLUI FORNECIMENTO). AF_05/2024</t>
  </si>
  <si>
    <t>ASSENTAMENTO DE TUBO DE AÇO CARBONO PARA REDE DE ÁGUA, DN 2000 MM (80") OU DN 2100 MM (84"), JUNTA SOLDADA, INSTALADO EM LOCAL COM NÍVEL ALTO DE INTERFERÊNCIAS (NÃO INCLUI FORNECIMENTO). AF_05/2024</t>
  </si>
  <si>
    <t>ASSENTAMENTO DE TUBO DE AÇO CARBONO PARA REDE DE ÁGUA, DN 600 MM (24"), JUNTA SOLDADA, INSTALADO EM LOCAL COM NÍVEL BAIXO DE INTERFERÊNCIAS (NÃO INCLUI FORNECIMENTO). AF_05/2024</t>
  </si>
  <si>
    <t>ASSENTAMENTO DE TUBO DE AÇO CARBONO PARA REDE DE ÁGUA, DN 700 MM (28"), JUNTA SOLDADA, INSTALADO EM LOCAL COM NÍVEL BAIXO DE INTERFERÊNCIAS (NÃO INCLUI FORNECIMENTO). AF_05/2024</t>
  </si>
  <si>
    <t>ASSENTAMENTO DE TUBO DE AÇO CARBONO PARA REDE DE ÁGUA, DN 800 MM (32"), JUNTA SOLDADA, INSTALADO EM LOCAL COM NÍVEL BAIXO DE INTERFERÊNCIAS (NÃO INCLUI FORNECIMENTO). AF_05/2024</t>
  </si>
  <si>
    <t>ASSENTAMENTO DE TUBO DE AÇO CARBONO PARA REDE DE ÁGUA, DN 900 MM (36"), JUNTA SOLDADA, INSTALADO EM LOCAL COM NÍVEL BAIXO DE INTERFERÊNCIAS (NÃO INCLUI FORNECIMENTO). AF_05/2024</t>
  </si>
  <si>
    <t>ASSENTAMENTO DE TUBO DE AÇO CARBONO PARA REDE DE ÁGUA, DN 1000 MM (40") OU DN 1100 MM (44"), JUNTA SOLDADA, INSTALADO EM LOCAL COM NÍVEL BAIXO DE INTERFERÊNCIAS (NÃO INCLUI FORNECIMENTO). AF_05/2024</t>
  </si>
  <si>
    <t>ASSENTAMENTO DE TUBO DE AÇO CARBONO PARA REDE DE ÁGUA, DN 1200 MM (48") OU DN 1300 MM (52"), JUNTA SOLDADA, INSTALADO EM LOCAL COM NÍVEL BAIXO DE INTERFERÊNCIAS (NÃO INCLUI FORNECIMENTO). AF_05/2024</t>
  </si>
  <si>
    <t>ASSENTAMENTO DE TUBO DE AÇO CARBONO PARA REDE DE ÁGUA, DN 1400 MM (56'') OU DN 1500 MM (60"), JUNTA SOLDADA, INSTALADO EM LOCAL COM NÍVEL BAIXO DE INTERFERÊNCIAS (NÃO INCLUI FORNECIMENTO). AF_05/2024</t>
  </si>
  <si>
    <t>ASSENTAMENTO DE TUBO DE AÇO CARBONO PARA REDE DE ÁGUA, DN 1600 MM (64") OU DN 1700 MM (68"), JUNTA SOLDADA, INSTALADO EM LOCAL COM NÍVEL BAIXO DE INTERFERÊNCIAS (NÃO INCLUI FORNECIMENTO). AF_05/2024</t>
  </si>
  <si>
    <t>ASSENTAMENTO DE TUBO DE AÇO CARBONO PARA REDE DE ÁGUA, DN 1800 MM (72") OU DN 1900 MM (76"), JUNTA SOLDADA, INSTALADO EM LOCAL COM NÍVEL BAIXO DE INTERFERÊNCIAS (NÃO INCLUI FORNECIMENTO). AF_05/2024</t>
  </si>
  <si>
    <t>ASSENTAMENTO DE TUBO DE AÇO CARBONO PARA REDE DE ÁGUA, DN 2000 MM (80") OU DN 2100 MM (84"), JUNTA SOLDADA, INSTALADO EM LOCAL COM NÍVEL BAIXO DE INTERFERÊNCIAS (NÃO INCLUI FORNECIMENTO). AF_05/2024</t>
  </si>
  <si>
    <t>ASSENTAMENTO DE TUBO DE PVC PBA PARA REDE DE ÁGUA, DN 50 MM, JUNTA ELÁSTICA INTEGRADA, INSTALADO EM LOCAL COM NÍVEL ALTO DE INTERFERÊNCIAS (NÃO INCLUI FORNECIMENTO). AF_05/2024</t>
  </si>
  <si>
    <t>ASSENTAMENTO DE TUBO DE PVC PBA PARA REDE DE ÁGUA, DN 75 MM, JUNTA ELÁSTICA INTEGRADA, INSTALADO EM LOCAL COM NÍVEL ALTO DE INTERFERÊNCIAS (NÃO INCLUI FORNECIMENTO). AF_05/2024</t>
  </si>
  <si>
    <t>ASSENTAMENTO DE TUBO DE PVC PBA PARA REDE DE ÁGUA, DN 100 MM, JUNTA ELÁSTICA INTEGRADA, INSTALADO EM LOCAL COM NÍVEL ALTO DE INTERFERÊNCIAS (NÃO INCLUI FORNECIMENTO). AF_05/2024</t>
  </si>
  <si>
    <t>ASSENTAMENTO DE TUBO DE PVC PBA PARA REDE DE ÁGUA, DN 50 MM, JUNTA ELÁSTICA INTEGRADA, INSTALADO EM LOCAL COM NÍVEL BAIXO DE INTERFERÊNCIAS (NÃO INCLUI FORNECIMENTO). AF_05/2024</t>
  </si>
  <si>
    <t>ASSENTAMENTO DE TUBO DE PVC PBA PARA REDE DE ÁGUA, DN 75 MM, JUNTA ELÁSTICA INTEGRADA, INSTALADO EM LOCAL COM NÍVEL BAIXO DE INTERFERÊNCIAS (NÃO INCLUI FORNECIMENTO). AF_05/2024</t>
  </si>
  <si>
    <t>ASSENTAMENTO DE TUBO DE PVC PBA PARA REDE DE ÁGUA, DN 100 MM, JUNTA ELÁSTICA INTEGRADA, INSTALADO EM LOCAL COM NÍVEL BAIXO DE INTERFERÊNCIAS (NÃO INCLUI FORNECIMENTO). AF_05/2024</t>
  </si>
  <si>
    <t>ASSENTAMENTO E FORNECIMENTO DE TUBO DE PVC PBA PARA REDE DE ÁGUA, DN 50, JUNTA ELÁSTICA INTEGRADA, INSTALADO EM LOCAL COM NÍVEL ALTO DE INTERFERÊNCIAS (INCLUI FORNECIMENTO). AF_05/2024</t>
  </si>
  <si>
    <t>ASSENTAMENTO E FORNECIMENTO DE TUBO DE PVC PBA PARA REDE DE ÁGUA, DN 50, JUNTA ELÁSTICA INTEGRADA, INSTALADO EM LOCAL COM NÍVEL BAIXO DE INTERFERÊNCIAS (INCLUI FORNECIMENTO). AF_05/2024</t>
  </si>
  <si>
    <t>ASSENTAMENTO E FORNECIMENTO DE LUVA SIMPLES, PVC PBA, JE, DN 50 / DE 60 MM, PARA REDE AGUA, JUNTA ELÁSTICA INTEGRADA, INSTALADO EM LOCAL COM NÍVEL ALTO DE INTERFERÊNCIAS (INCLUI FORNECIMENTO). AF_05/2024</t>
  </si>
  <si>
    <t>ASSENTAMENTO E FORNECIMENTO DE LUVA SIMPLES, PVC PBA, JE, DN 50 / DE 60 MM, PARA REDE AGUA, JUNTA ELÁSTICA INTEGRADA, INSTALADO EM LOCAL COM NÍVEL BAIXO DE INTERFERÊNCIAS (INCLUI FORNECIMENTO). AF_05/2024</t>
  </si>
  <si>
    <t>ASSENTAMENTO E FORNECIMENTO DE LUVA SIMPLES, PVC PBA, JE, DN 75 / DE 85 MM, PARA REDE AGUA, JUNTA ELÁSTICA INTEGRADA, INSTALADO EM LOCAL COM NÍVEL ALTO DE INTERFERÊNCIAS (INCLUI FORNECIMENTO). AF_05/2024</t>
  </si>
  <si>
    <t>ASSENTAMENTO E FORNECIMENTO DE LUVA SIMPLES, PVC PBA, JE, DN 75 / DE 85 MM, PARA REDE AGUA, JUNTA ELÁSTICA INTEGRADA, INSTALADO EM LOCAL COM NÍVEL BAIXO DE INTERFERÊNCIAS (INCLUI FORNECIMENTO). AF_05/2024</t>
  </si>
  <si>
    <t>ASSENTAMENTO E FORNECIMENTO DE LUVA SIMPLES, PVC PBA, JE, DN 100 / DE 110 MM, PARA REDE AGUA, JUNTA ELÁSTICA INTEGRADA, INSTALADO EM LOCAL COM NÍVEL ALTO DE INTERFERÊNCIAS (INCLUI FORNECIMENTO). AF_05/2024</t>
  </si>
  <si>
    <t>ASSENTAMENTO E FORNECIMENTO DE LUVA SIMPLES, PVC PBA, JE, DN 100 / DE 110 MM, PARA REDE AGUA, JUNTA ELÁSTICA INTEGRADA, INSTALADO EM LOCAL COM NÍVEL BAIXO DE INTERFERÊNCIAS (INCLUI FORNECIMENTO). AF_05/2024</t>
  </si>
  <si>
    <t>ASSENTAMENTO E FORNECIMENTO DE CURVA PVC PBA, JE, PB, 45 GRAUS, DN 50 / DE 60 MM, PARA REDE AGUA, JUNTA ELÁSTICA INTEGRADA, INSTALADO EM LOCAL COM NÍVEL ALTO DE INTERFERÊNCIAS (INCLUI FORNECIMENTO). AF_05/2024</t>
  </si>
  <si>
    <t>ASSENTAMENTO E FORNECIMENTO DE CURVA PVC PBA, JE, PB, 45 GRAUS, DN 50 / DE 60 MM, PARA REDE AGUA, JUNTA ELÁSTICA INTEGRADA, INSTALADO EM LOCAL COM NÍVEL BAIXO DE INTERFERÊNCIAS (INCLUI FORNECIMENTO). AF_05/2024</t>
  </si>
  <si>
    <t>ASSENTAMENTO E FORNECIMENTO DE CURVA PVC PBA, JE, PB, 45 GRAUS, DN 75 / DE 85 MM, PARA REDE AGUA, JUNTA ELÁSTICA INTEGRADA, INSTALADO EM LOCAL COM NÍVEL ALTO DE INTERFERÊNCIAS (INCLUI FORNECIMENTO). AF_05/2024</t>
  </si>
  <si>
    <t>ASSENTAMENTO E FORNECIMENTO DE CURVA PVC PBA, JE, PB, 45 GRAUS, DN 75 / DE 85 MM, PARA REDE AGUA, JUNTA ELÁSTICA INTEGRADA, INSTALADO EM LOCAL COM NÍVEL BAIXO DE INTERFERÊNCIAS (INCLUI FORNECIMENTO). AF_05/2024</t>
  </si>
  <si>
    <t>ASSENTAMENTO E FORNECIMENTO DE CURVA PVC PBA, JE, PB, 45 GRAUS, DN 100 / DE 110 MM, PARA REDE AGUA, JUNTA ELÁSTICA INTEGRADA, INSTALADO EM LOCAL COM NÍVEL ALTO DE INTERFERÊNCIAS (INCLUI FORNECIMENTO). AF_05/2024</t>
  </si>
  <si>
    <t>ASSENTAMENTO DE TUBO DE PVC PBA PARA REDE DE ÁGUA, DN 125, JUNTA ELÁSTICA INTEGRADA, INSTALADO EM LOCAL COM NÍVEL ALTO DE INTERFERÊNCIAS (NÃO INCLUI FORNECIMENTO). AF_05/2024</t>
  </si>
  <si>
    <t>ASSENTAMENTO DE TUBO DE PVC PBA PARA REDE DE ÁGUA, DN 140, JUNTA ELÁSTICA INTEGRADA, INSTALADO EM LOCAL COM NÍVEL ALTO DE INTERFERÊNCIAS (NÃO INCLUI FORNECIMENTO). AF_05/2024</t>
  </si>
  <si>
    <t>ASSENTAMENTO DE TUBO DE PVC PBA PARA REDE DE ÁGUA, DN 180, JUNTA ELÁSTICA INTEGRADA, INSTALADO EM LOCAL COM NÍVEL ALTO DE INTERFERÊNCIAS (NÃO INCLUI FORNECIMENTO). AF_05/2024</t>
  </si>
  <si>
    <t>ASSENTAMENTO DE TUBO DE PVC DEFOFO OU PRFV OU RPVC PARA REDE DE ÁGUA, DN 100, JUNTA ELÁSTICA INTEGRADA, INSTALADO EM LOCAL COM NÍVEL ALTO DE INTERFERÊNCIAS (NÃO INCLUI FORNECIMENTO). AF_05/2024</t>
  </si>
  <si>
    <t>ASSENTAMENTO DE TUBO DE PVC PBA PARA REDE DE ÁGUA, DN 125, JUNTA ELÁSTICA INTEGRADA, INSTALADO EM LOCAL COM NÍVEL BAIXO DE INTERFERÊNCIAS (NÃO INCLUI FORNECIMENTO). AF_05/2024</t>
  </si>
  <si>
    <t>ASSENTAMENTO DE TUBO DE PVC PBA PARA REDE DE ÁGUA, DN 140, JUNTA ELÁSTICA INTEGRADA, INSTALADO EM LOCAL COM NÍVEL BAIXO DE INTERFERÊNCIAS (NÃO INCLUI FORNECIMENTO). AF_05/2024</t>
  </si>
  <si>
    <t>ASSENTAMENTO DE TUBO DE PVC PBA PARA REDE DE ÁGUA, DN 180, JUNTA ELÁSTICA INTEGRADA, INSTALADO EM LOCAL COM NÍVEL BAIXO DE INTERFERÊNCIAS (NÃO INCLUI FORNECIMENTO). AF_05/2024</t>
  </si>
  <si>
    <t>ASSENTAMENTO DE CONEXÃO 2 ACESSOS ALINHADOS DE PVC PBA PARA REDE DE ÁGUA, DN 50, JUNTA ELÁSTICA INTEGRADA, INSTALADO EM LOCAL COM NÍVEL BAIXO DE INTERFERÊNCIAS (NÃO INCLUI FORNECIMENTO). AF_05/2024</t>
  </si>
  <si>
    <t>ASSENTAMENTO DE CONEXÃO 2 ACESSOS ALINHADOS DE FERRO FUNDIDO PARA REDE DE ÁGUA, DN 250, JUNTA ELÁSTICA, INSTALADO EM LOCAL COM NÍVEL BAIXO DE INTERFERÊNCIAS (NÃO INCLUI FORNECIMENTO). AF_05/2024</t>
  </si>
  <si>
    <t>ASSENTAMENTO E FORNECIMENTO DE TUBO DE PVC PBA PARA REDE DE ÁGUA, DN 75, JUNTA ELÁSTICA INTEGRADA, INSTALADO EM LOCAL COM NÍVEL ALTO DE INTERFERÊNCIAS (INCLUI FORNECIMENTO). AF_05/2024</t>
  </si>
  <si>
    <t>ASSENTAMENTO E FORNECIMENTO DE TUBO DE PVC PBA PARA REDE DE ÁGUA, DN 75, JUNTA ELÁSTICA INTEGRADA, INSTALADO EM LOCAL COM NÍVEL BAIXO DE INTERFERÊNCIAS (INCLUI FORNECIMENTO). AF_05/2024</t>
  </si>
  <si>
    <t>ASSENTAMENTO E FORNECIMENTO DE TUBO DE PVC PBA PARA REDE DE ÁGUA, DN 100, JUNTA ELÁSTICA INTEGRADA, INSTALADO EM LOCAL COM NÍVEL ALTO DE INTERFERÊNCIAS (INCLUI FORNECIMENTO). AF_05/2024</t>
  </si>
  <si>
    <t>ASSENTAMENTO E FORNECIMENTO DE TUBO DE PVC PBA PARA REDE DE ÁGUA, DN 100, JUNTA ELÁSTICA INTEGRADA, INSTALADO EM LOCAL COM NÍVEL BAIXO DE INTERFERÊNCIAS (INCLUI FORNECIMENTO). AF_05/2024</t>
  </si>
  <si>
    <t>ASSENTAMENTO E FORNECIMENTO DE TUBO DE PVC DEFOFO OU PRFV OU RPVC PARA REDE DE ÁGUA, DN 100, JUNTA ELÁSTICA INTEGRADA, INSTALADO EM LOCAL COM NÍVEL ALTO DE INTERFERÊNCIAS (INCLUI FORNECIMENTO). AF_05/2024</t>
  </si>
  <si>
    <t>ASSENTAMENTO E FORNECIMENTO DE TUBO DE PVC DEFOFO OU PRFV OU RPVC PARA REDE DE ÁGUA, DN 100, JUNTA ELÁSTICA INTEGRADA, INSTALADO EM LOCAL COM NÍVEL BAIXO DE INTERFERÊNCIAS (INCLUI FORNECIMENTO). AF_05/2024</t>
  </si>
  <si>
    <t>ASSENTAMENTO E FORNECIMENTO DE TUBO DE PVC DEFOFO PARA REDE DE ÁGUA, DN 200, JUNTA ELÁSTICA INTEGRADA, INSTALADO EM LOCAL COM NÍVEL ALTO DE INTERFERÊNCIAS (INCLUI FORNECIMENTO). AF_05/2024</t>
  </si>
  <si>
    <t>ASSENTAMENTO E FORNECIMENTO DE TUBO DE PVC DEFOFO PARA REDE DE ÁGUA, DN 200, JUNTA ELÁSTICA INTEGRADA, INSTALADO EM LOCAL COM NÍVEL BAIXO DE INTERFERÊNCIAS (INCLUI FORNECIMENTO). AF_05/2024</t>
  </si>
  <si>
    <t>ASSENTAMENTO E FORNECIMENTO DE TUBO DE PVC DEFOFO PARA REDE DE ÁGUA, DN 250, JUNTA ELÁSTICA INTEGRADA, INSTALADO EM LOCAL COM NÍVEL ALTO DE INTERFERÊNCIAS (INCLUI FORNECIMENTO). AF_05/2024</t>
  </si>
  <si>
    <t>ASSENTAMENTO E FORNECIMENTO DE TUBO DE PVC DEFOFO PARA REDE DE ÁGUA, DN 250, JUNTA ELÁSTICA INTEGRADA, INSTALADO EM LOCAL COM NÍVEL BAIXO DE INTERFERÊNCIAS (INCLUI FORNECIMENTO). AF_05/2024</t>
  </si>
  <si>
    <t>ASSENTAMENTO E FORNECIMENTO DE TUBO DE PVC DEFOFO PARA REDE DE ÁGUA, DN 300, JUNTA ELÁSTICA INTEGRADA, INSTALADO EM LOCAL COM NÍVEL ALTO DE INTERFERÊNCIAS (INCLUI FORNECIMENTO). AF_05/2024</t>
  </si>
  <si>
    <t>ASSENTAMENTO E FORNECIMENTO DE TUBO DE PVC DEFOFO PARA REDE DE ÁGUA, DN 300, JUNTA ELÁSTICA INTEGRADA, INSTALADO EM LOCAL COM NÍVEL BAIXO DE INTERFERÊNCIAS (INCLUI FORNECIMENTO). AF_05/2024</t>
  </si>
  <si>
    <t>ASSENTAMENTO DE TUBO DE PVC DEFOFO OU PRFV OU RPVC PARA REDE DE ÁGUA, DN 100, JUNTA ELÁSTICA INTEGRADA, INSTALADO EM LOCAL COM NÍVEL BAIXO DE INTERFERÊNCIAS (NÃO INCLUI FORNECIMENTO). AF_05/2024</t>
  </si>
  <si>
    <t>ASSENTAMENTO DE CONEXÃO 2 ACESSOS ALINHADOS DE PVC PBA PARA REDE DE ÁGUA, DN 50, JUNTA ELÁSTICA INTEGRADA, INSTALADO EM LOCAL COM NÍVEL ALTO DE INTERFERÊNCIAS (NÃO INCLUI FORNECIMENTO). AF_05/2024</t>
  </si>
  <si>
    <t>ASSENTAMENTO DE CONEXÃO 2 ACESSOS ALINHADOS DE PVC PBA PARA REDE DE ÁGUA, DN 75, JUNTA ELÁSTICA INTEGRADA, INSTALADO EM LOCAL COM NÍVEL ALTO DE INTERFERÊNCIAS (NÃO INCLUI FORNECIMENTO). AF_05/2024</t>
  </si>
  <si>
    <t>ASSENTAMENTO DE CONEXÃO 2 ACESSOS ALINHADOS DE PVC PBA PARA REDE DE ÁGUA, DN 100, JUNTA ELÁSTICA INTEGRADA, INSTALADO EM LOCAL COM NÍVEL ALTO DE INTERFERÊNCIAS (NÃO INCLUI FORNECIMENTO). AF_05/2024</t>
  </si>
  <si>
    <t>ASSENTAMENTO DE CONEXÃO 2 ACESSOS INCLINADOS DE PVC PBA PARA REDE DE ÁGUA, DN 50, JUNTA ELÁSTICA INTEGRADA, INSTALADO EM LOCAL COM NÍVEL ALTO DE INTERFERÊNCIAS (NÃO INCLUI FORNECIMENTO). AF_05/2024</t>
  </si>
  <si>
    <t>ASSENTAMENTO DE CONEXÃO 2 ACESSOS INCLINADOS DE PVC PBA PARA REDE DE ÁGUA, DN 75, JUNTA ELÁSTICA INTEGRADA, INSTALADO EM LOCAL COM NÍVEL ALTO DE INTERFERÊNCIAS (NÃO INCLUI FORNECIMENTO). AF_05/2024</t>
  </si>
  <si>
    <t>ASSENTAMENTO DE CONEXÃO 2 ACESSOS INCLINADOS DE PVC PBA PARA REDE DE ÁGUA, DN 100, JUNTA ELÁSTICA INTEGRADA, INSTALADO EM LOCAL COM NÍVEL ALTO DE INTERFERÊNCIAS (NÃO INCLUI FORNECIMENTO). AF_05/2024</t>
  </si>
  <si>
    <t>ASSENTAMENTO DE CONEXÃO 3 ACESSOS DE PVC PBA PARA REDE DE ÁGUA, DN 50, JUNTA ELÁSTICA INTEGRADA, INSTALADO EM LOCAL COM NÍVEL ALTO DE INTERFERÊNCIAS (NÃO INCLUI FORNECIMENTO). AF_05/2024</t>
  </si>
  <si>
    <t>ASSENTAMENTO DE CONEXÃO 3 ACESSOS DE PVC PBA PARA REDE DE ÁGUA, DN 75, JUNTA ELÁSTICA INTEGRADA, INSTALADO EM LOCAL COM NÍVEL ALTO DE INTERFERÊNCIAS (NÃO INCLUI FORNECIMENTO). AF_05/2024</t>
  </si>
  <si>
    <t>ASSENTAMENTO DE CONEXÃO 3 ACESSOS DE PVC PBA PARA REDE DE ÁGUA, DN 100, JUNTA ELÁSTICA INTEGRADA, INSTALADO EM LOCAL COM NÍVEL ALTO DE INTERFERÊNCIAS (NÃO INCLUI FORNECIMENTO). AF_05/2024</t>
  </si>
  <si>
    <t>FORNECIMENTO E ASSENTAMENTO DE CURVA 45 GRAUS RANHURADA EM FERRO FUNDIDO, DN 80 MM (3") PARA REDE DE ÁGUA, INSTALADO EM LOCAL COM NÍVEL BAIXO DE INTERFERÊNCIAS (INCLUI FORNECIMENTO). AF_05/2024</t>
  </si>
  <si>
    <t>FORNECIMENTO E ASSENTAMENTO DE TE RANHURADO EM FERRO FUNDIDO, DN 80 (3") PARA REDE DE ÁGUA, INSTALADO EM LOCAL COM NÍVEL BAIXO DE INTERFERÊNCIAS (INCLUI FORNECIMENTO). AF_05/2024</t>
  </si>
  <si>
    <t>ASSENTAMENTO DE CONEXÃO 3 ACESSOS DE PVC PBA PARA REDE DE ÁGUA, DN 100, JUNTA ELÁSTICA INTEGRADA, INSTALADO EM LOCAL COM NÍVEL BAIXO DE INTERFERÊNCIAS (NÃO INCLUI FORNECIMENTO). AF_05/2024</t>
  </si>
  <si>
    <t>ASSENTAMENTO DE CONEXÃO 2 ACESSOS ALINHADOS DE FERRO FUNDIDO PARA REDE DE ÁGUA, DN 80, JUNTA ELÁSTICA, INSTALADO EM LOCAL COM NÍVEL BAIXO DE INTERFERÊNCIAS (NÃO INCLUI FORNECIMENTO). AF_05/2024</t>
  </si>
  <si>
    <t>ASSENTAMENTO DE CONEXÃO 2 ACESSOS ALINHADOS DE FERRO FUNDIDO PARA REDE DE ÁGUA, DN 100, JUNTA ELÁSTICA, INSTALADO EM LOCAL COM NÍVEL BAIXO DE INTERFERÊNCIAS (NÃO INCLUI FORNECIMENTO). AF_05/2024</t>
  </si>
  <si>
    <t>ASSENTAMENTO E FORNECIMENTO DE CURVA PVC PBA, JE, PB, 45 GRAUS, DN 100 / DE 110 MM, PARA REDE AGUA, JUNTA ELÁSTICA INTEGRADA, INSTALADO EM LOCAL COM NÍVEL BAIXO DE INTERFERÊNCIAS (INCLUI FORNECIMENTO). AF_05/2024</t>
  </si>
  <si>
    <t>ASSENTAMENTO E FORNECIMENTO DE TE DE REDUCAO, PVC PBA, BBB, JE, DN 100 X 50 / DE 110 X 60 MM, PARA REDE AGUA, JUNTA ELÁSTICA INTEGRADA, INSTALADO EM LOCAL COM NÍVEL ALTO DE INTERFERÊNCIAS (INCLUI FORNECIMENTO). AF_05/2024</t>
  </si>
  <si>
    <t>ASSENTAMENTO E FORNECIMENTO DE TE DE REDUCAO, PVC PBA, BBB, JE, DN 100 X 50 / DE 110 X 60 MM, PARA REDE AGUA, JUNTA ELÁSTICA INTEGRADA, INSTALADO EM LOCAL COM NÍVEL BAIXO DE INTERFERÊNCIAS (INCLUI FORNECIMENTO). AF_05/2024</t>
  </si>
  <si>
    <t>ASSENTAMENTO DE CONEXÃO 2 ACESSOS ALINHADOS DE PVC PBA PARA REDE DE ÁGUA, DN 75, JUNTA ELÁSTICA INTEGRADA, INSTALADO EM LOCAL COM NÍVEL BAIXO DE INTERFERÊNCIAS (NÃO INCLUI FORNECIMENTO). AF_05/2024</t>
  </si>
  <si>
    <t>ASSENTAMENTO DE CONEXÃO 2 ACESSOS ALINHADOS DE PVC PBA PARA REDE DE ÁGUA, DN 100, JUNTA ELÁSTICA INTEGRADA, INSTALADO EM LOCAL COM NÍVEL BAIXO DE INTERFERÊNCIAS (NÃO INCLUI FORNECIMENTO). AF_05/2024</t>
  </si>
  <si>
    <t>ASSENTAMENTO DE CONEXÃO 2 ACESSOS INCLINADOS DE PVC PBA PARA REDE DE ÁGUA, DN 50, JUNTA ELÁSTICA INTEGRADA, INSTALADO EM LOCAL COM NÍVEL BAIXO DE INTERFERÊNCIAS (NÃO INCLUI FORNECIMENTO). AF_05/2024</t>
  </si>
  <si>
    <t>ASSENTAMENTO DE CONEXÃO 2 ACESSOS INCLINADOS DE PVC PBA PARA REDE DE ÁGUA, DN 75, JUNTA ELÁSTICA INTEGRADA, INSTALADO EM LOCAL COM NÍVEL BAIXO DE INTERFERÊNCIAS (NÃO INCLUI FORNECIMENTO). AF_05/2024</t>
  </si>
  <si>
    <t>ASSENTAMENTO DE CONEXÃO 2 ACESSOS INCLINADOS DE PVC PBA PARA REDE DE ÁGUA, DN 100, JUNTA ELÁSTICA INTEGRADA, INSTALADO EM LOCAL COM NÍVEL BAIXO DE INTERFERÊNCIAS (NÃO INCLUI FORNECIMENTO). AF_05/2024</t>
  </si>
  <si>
    <t>ASSENTAMENTO DE CONEXÃO 3 ACESSOS DE PVC PBA PARA REDE DE ÁGUA, DN 50, JUNTA ELÁSTICA INTEGRADA, INSTALADO EM LOCAL COM NÍVEL BAIXO DE INTERFERÊNCIAS (NÃO INCLUI FORNECIMENTO). AF_05/2024</t>
  </si>
  <si>
    <t>ASSENTAMENTO DE CONEXÃO 3 ACESSOS DE PVC PBA PARA REDE DE ÁGUA, DN 75, JUNTA ELÁSTICA INTEGRADA, INSTALADO EM LOCAL COM NÍVEL BAIXO DE INTERFERÊNCIAS (NÃO INCLUI FORNECIMENTO). AF_05/2024</t>
  </si>
  <si>
    <t>TUBO DE CONCRETO PARA REDES COLETORAS DE ESGOTO SANITÁRIO, DIÂMETRO DE 300 MM, JUNTA ELÁSTICA, INSTALADO EM LOCAL COM BAIXO NÍVEL DE INTERFERÊNCIAS - FORNECIMENTO E ASSENTAMENTO. AF_03/2024</t>
  </si>
  <si>
    <t>ASSENTAMENTO DE TUBO DE CONCRETO PARA REDES COLETORAS DE ESGOTO SANITÁRIO, DIÂMETRO DE 300 MM, JUNTA ELÁSTICA, INSTALADO EM LOCAL COM BAIXO NÍVEL DE INTERFERÊNCIAS (NÃO INCLUI FORNECIMENTO). AF_03/2024</t>
  </si>
  <si>
    <t>TUBO DE CONCRETO PARA REDES COLETORAS DE ESGOTO SANITÁRIO, DIÂMETRO DE 400 MM, JUNTA ELÁSTICA, INSTALADO EM LOCAL COM BAIXO NÍVEL DE INTERFERÊNCIAS - FORNECIMENTO E ASSENTAMENTO. AF_03/2024</t>
  </si>
  <si>
    <t>ASSENTAMENTO DE TUBO DE CONCRETO PARA REDES COLETORAS DE ESGOTO SANITÁRIO, DIÂMETRO DE 400 MM, JUNTA ELÁSTICA, INSTALADO EM LOCAL COM BAIXO NÍVEL DE INTERFERÊNCIAS (NÃO INCLUI FORNECIMENTO). AF_03/2024</t>
  </si>
  <si>
    <t>TUBO DE CONCRETO PARA REDES COLETORAS DE ESGOTO SANITÁRIO, DIÂMETRO DE 500 MM, JUNTA ELÁSTICA, INSTALADO EM LOCAL COM BAIXO NÍVEL DE INTERFERÊNCIAS - FORNECIMENTO E ASSENTAMENTO. AF_03/2024</t>
  </si>
  <si>
    <t>ASSENTAMENTO DE TUBO DE CONCRETO PARA REDES COLETORAS DE ESGOTO SANITÁRIO, DIÂMETRO DE 500 MM, JUNTA ELÁSTICA, INSTALADO EM LOCAL COM BAIXO NÍVEL DE INTERFERÊNCIAS (NÃO INCLUI FORNECIMENTO). AF_03/2024</t>
  </si>
  <si>
    <t>TUBO DE CONCRETO PARA REDES COLETORAS DE ESGOTO SANITÁRIO, DIÂMETRO DE 600 MM, JUNTA ELÁSTICA, INSTALADO EM LOCAL COM BAIXO NÍVEL DE INTERFERÊNCIAS - FORNECIMENTO E ASSENTAMENTO. AF_03/2024</t>
  </si>
  <si>
    <t>ASSENTAMENTO DE TUBO DE CONCRETO PARA REDES COLETORAS DE ESGOTO SANITÁRIO, DIÂMETRO DE 600 MM, JUNTA ELÁSTICA, INSTALADO EM LOCAL COM BAIXO NÍVEL DE INTERFERÊNCIAS (NÃO INCLUI FORNECIMENTO). AF_03/2024</t>
  </si>
  <si>
    <t>TUBO DE CONCRETO PARA REDES COLETORAS DE ESGOTO SANITÁRIO, DIÂMETRO DE 700 MM, JUNTA ELÁSTICA, INSTALADO EM LOCAL COM BAIXO NÍVEL DE INTERFERÊNCIAS - FORNECIMENTO E ASSENTAMENTO. AF_03/2024</t>
  </si>
  <si>
    <t>ASSENTAMENTO DE TUBO DE CONCRETO PARA REDES COLETORAS DE ESGOTO SANITÁRIO, DIÂMETRO DE 700 MM, JUNTA ELÁSTICA, INSTALADO EM LOCAL COM BAIXO NÍVEL DE INTERFERÊNCIAS (NÃO INCLUI FORNECIMENTO). AF_03/2024</t>
  </si>
  <si>
    <t>TUBO DE CONCRETO PARA REDES COLETORAS DE ESGOTO SANITÁRIO, DIÂMETRO DE 800 MM, JUNTA ELÁSTICA, INSTALADO EM LOCAL COM BAIXO NÍVEL DE INTERFERÊNCIAS - FORNECIMENTO E ASSENTAMENTO. AF_03/2024</t>
  </si>
  <si>
    <t>ASSENTAMENTO DE TUBO DE CONCRETO PARA REDES COLETORAS DE ESGOTO SANITÁRIO, DIÂMETRO DE 800 MM, JUNTA ELÁSTICA, INSTALADO EM LOCAL COM BAIXO NÍVEL DE INTERFERÊNCIAS (NÃO INCLUI FORNECIMENTO). AF_03/2024</t>
  </si>
  <si>
    <t>TUBO DE CONCRETO PARA REDES COLETORAS DE ESGOTO SANITÁRIO, DIÂMETRO DE 900 MM, JUNTA ELÁSTICA, INSTALADO EM LOCAL COM BAIXO NÍVEL DE INTERFERÊNCIAS - FORNECIMENTO E ASSENTAMENTO. AF_03/2024</t>
  </si>
  <si>
    <t>ASSENTAMENTO DE TUBO DE CONCRETO PARA REDES COLETORAS DE ESGOTO SANITÁRIO, DIÂMETRO DE 900 MM, JUNTA ELÁSTICA, INSTALADO EM LOCAL COM BAIXO NÍVEL DE INTERFERÊNCIAS (NÃO INCLUI FORNECIMENTO). AF_03/2024</t>
  </si>
  <si>
    <t>TUBO DE CONCRETO PARA REDES COLETORAS DE ESGOTO SANITÁRIO, DIÂMETRO DE 1000 MM, JUNTA ELÁSTICA, INSTALADO EM LOCAL COM BAIXO NÍVEL DE INTERFERÊNCIAS - FORNECIMENTO E ASSENTAMENTO. AF_03/2024</t>
  </si>
  <si>
    <t>ASSENTAMENTO DE TUBO DE CONCRETO PARA REDES COLETORAS DE ESGOTO SANITÁRIO, DIÂMETRO DE 1000 MM, JUNTA ELÁSTICA, INSTALADO EM LOCAL COM BAIXO NÍVEL DE INTERFERÊNCIAS (NÃO INCLUI FORNECIMENTO). AF_03/2024</t>
  </si>
  <si>
    <t>TUBO DE CONCRETO PARA REDES COLETORAS DE ESGOTO SANITÁRIO, DIÂMETRO DE 300 MM, JUNTA ELÁSTICA, INSTALADO EM LOCAL COM ALTO NÍVEL DE INTERFERÊNCIAS - FORNECIMENTO E ASSENTAMENTO. AF_03/2024</t>
  </si>
  <si>
    <t>ASSENTAMENTO DE TUBO DE CONCRETO PARA REDES COLETORAS DE ESGOTO SANITÁRIO, DIÂMETRO DE 300 MM, JUNTA ELÁSTICA, INSTALADO EM LOCAL COM ALTO NÍVEL DE INTERFERÊNCIAS (NÃO INCLUI FORNECIMENTO). AF_03/2024</t>
  </si>
  <si>
    <t>TUBO DE CONCRETO PARA REDES COLETORAS DE ESGOTO SANITÁRIO, DIÂMETRO DE 400 MM, JUNTA ELÁSTICA, INSTALADO EM LOCAL COM ALTO NÍVEL DE INTERFERÊNCIAS - FORNECIMENTO E ASSENTAMENTO. AF_03/2024</t>
  </si>
  <si>
    <t>ASSENTAMENTO DE TUBO DE CONCRETO PARA REDES COLETORAS DE ESGOTO SANITÁRIO, DIÂMETRO DE 400 MM, JUNTA ELÁSTICA, INSTALADO EM LOCAL COM ALTO NÍVEL DE INTERFERÊNCIAS (NÃO INCLUI FORNECIMENTO). AF_03/2024</t>
  </si>
  <si>
    <t>TUBO DE CONCRETO PARA REDES COLETORAS DE ESGOTO SANITÁRIO, DIÂMETRO DE 500 MM, JUNTA ELÁSTICA, INSTALADO EM LOCAL COM ALTO NÍVEL DE INTERFERÊNCIAS - FORNECIMENTO E ASSENTAMENTO. AF_03/2024</t>
  </si>
  <si>
    <t>ASSENTAMENTO DE TUBO DE CONCRETO PARA REDES COLETORAS DE ESGOTO SANITÁRIO, DIÂMETRO DE 500 MM, JUNTA ELÁSTICA, INSTALADO EM LOCAL COM ALTO NÍVEL DE INTERFERÊNCIAS (NÃO INCLUI FORNECIMENTO). AF_03/2024</t>
  </si>
  <si>
    <t>TUBO DE CONCRETO PARA REDES COLETORAS DE ESGOTO SANITÁRIO, DIÂMETRO DE 600 MM, JUNTA ELÁSTICA, INSTALADO EM LOCAL COM ALTO NÍVEL DE INTERFERÊNCIAS - FORNECIMENTO E ASSENTAMENTO. AF_03/2024</t>
  </si>
  <si>
    <t>ASSENTAMENTO DE TUBO DE CONCRETO PARA REDES COLETORAS DE ESGOTO SANITÁRIO, DIÂMETRO DE 600 MM, JUNTA ELÁSTICA, INSTALADO EM LOCAL COM ALTO NÍVEL DE INTERFERÊNCIAS (NÃO INCLUI FORNECIMENTO). AF_03/2024</t>
  </si>
  <si>
    <t>TUBO DE CONCRETO PARA REDES COLETORAS DE ESGOTO SANITÁRIO, DIÂMETRO DE 700 MM, JUNTA ELÁSTICA, INSTALADO EM LOCAL COM ALTO NÍVEL DE INTERFERÊNCIAS - FORNECIMENTO E ASSENTAMENTO. AF_03/2024</t>
  </si>
  <si>
    <t>ASSENTAMENTO DE TUBO DE CONCRETO PARA REDES COLETORAS DE ESGOTO SANITÁRIO, DIÂMETRO DE 700 MM, JUNTA ELÁSTICA, INSTALADO EM LOCAL COM ALTO NÍVEL DE INTERFERÊNCIAS (NÃO INCLUI FORNECIMENTO). AF_03/2024</t>
  </si>
  <si>
    <t>TUBO DE CONCRETO PARA REDES COLETORAS DE ESGOTO SANITÁRIO, DIÂMETRO DE 800 MM, JUNTA ELÁSTICA, INSTALADO EM LOCAL COM ALTO NÍVEL DE INTERFERÊNCIAS - FORNECIMENTO E ASSENTAMENTO. AF_03/2024</t>
  </si>
  <si>
    <t>ASSENTAMENTO DE TUBO DE CONCRETO PARA REDES COLETORAS DE ESGOTO SANITÁRIO, DIÂMETRO DE 800 MM, JUNTA ELÁSTICA, INSTALADO EM LOCAL COM ALTO NÍVEL DE INTERFERÊNCIAS (NÃO INCLUI FORNECIMENTO). AF_03/2024</t>
  </si>
  <si>
    <t>TUBO DE CONCRETO PARA REDES COLETORAS DE ESGOTO SANITÁRIO, DIÂMETRO DE 900 MM, JUNTA ELÁSTICA, INSTALADO EM LOCAL COM ALTO NÍVEL DE INTERFERÊNCIAS - FORNECIMENTO E ASSENTAMENTO. AF_03/2024</t>
  </si>
  <si>
    <t>ASSENTAMENTO DE TUBO DE CONCRETO PARA REDES COLETORAS DE ESGOTO SANITÁRIO, DIÂMETRO DE 900 MM, JUNTA ELÁSTICA, INSTALADO EM LOCAL COM ALTO NÍVEL DE INTERFERÊNCIAS (NÃO INCLUI FORNECIMENTO). AF_03/2024</t>
  </si>
  <si>
    <t>TUBO DE CONCRETO PARA REDES COLETORAS DE ESGOTO SANITÁRIO, DIÂMETRO DE 1000 MM, JUNTA ELÁSTICA, INSTALADO EM LOCAL COM ALTO NÍVEL DE INTERFERÊNCIAS - FORNECIMENTO E ASSENTAMENTO. AF_03/2024</t>
  </si>
  <si>
    <t>ASSENTAMENTO DE TUBO DE CONCRETO PARA REDES COLETORAS DE ESGOTO SANITÁRIO, DIÂMETRO DE 1000 MM, JUNTA ELÁSTICA, INSTALADO EM LOCAL COM ALTO NÍVEL DE INTERFERÊNCIAS (NÃO INCLUI FORNECIMENTO). AF_03/2024</t>
  </si>
  <si>
    <t>TUBO DE CONCRETO PARA REDES COLETORAS DE ÁGUAS PLUVIAIS, DIÂMETRO DE 400 MM, JUNTA RÍGIDA, INSTALADO EM LOCAL COM BAIXO NÍVEL DE INTERFERÊNCIAS - FORNECIMENTO E ASSENTAMENTO. AF_03/2024</t>
  </si>
  <si>
    <t>TUBO DE CONCRETO PARA REDES COLETORAS DE ÁGUAS PLUVIAIS, DIÂMETRO DE 500 MM, JUNTA RÍGIDA, INSTALADO EM LOCAL COM BAIXO NÍVEL DE INTERFERÊNCIAS - FORNECIMENTO E ASSENTAMENTO. AF_03/2024</t>
  </si>
  <si>
    <t>TUBO DE CONCRETO PARA REDES COLETORAS DE ÁGUAS PLUVIAIS, DIÂMETRO DE 600 MM, JUNTA RÍGIDA, INSTALADO EM LOCAL COM BAIXO NÍVEL DE INTERFERÊNCIAS - FORNECIMENTO E ASSENTAMENTO. AF_03/2024</t>
  </si>
  <si>
    <t>TUBO DE CONCRETO PARA REDES COLETORAS DE ÁGUAS PLUVIAIS, DIÂMETRO DE 700 MM, JUNTA RÍGIDA, INSTALADO EM LOCAL COM BAIXO NÍVEL DE INTERFERÊNCIAS - FORNECIMENTO E ASSENTAMENTO. AF_03/2024</t>
  </si>
  <si>
    <t>TUBO DE CONCRETO PARA REDES COLETORAS DE ÁGUAS PLUVIAIS, DIÂMETRO DE 800 MM, JUNTA RÍGIDA, INSTALADO EM LOCAL COM BAIXO NÍVEL DE INTERFERÊNCIAS - FORNECIMENTO E ASSENTAMENTO. AF_03/2024</t>
  </si>
  <si>
    <t>TUBO DE CONCRETO PARA REDES COLETORAS DE ÁGUAS PLUVIAIS, DIÂMETRO DE 900 MM, JUNTA RÍGIDA, INSTALADO EM LOCAL COM BAIXO NÍVEL DE INTERFERÊNCIAS - FORNECIMENTO E ASSENTAMENTO. AF_03/2024</t>
  </si>
  <si>
    <t>TUBO DE CONCRETO PARA REDES COLETORAS DE ÁGUAS PLUVIAIS, DIÂMETRO DE 1000 MM, JUNTA RÍGIDA, INSTALADO EM LOCAL COM BAIXO NÍVEL DE INTERFERÊNCIAS - FORNECIMENTO E ASSENTAMENTO. AF_03/2024</t>
  </si>
  <si>
    <t>TUBO DE CONCRETO PARA REDES COLETORAS DE ÁGUAS PLUVIAIS, DIÂMETRO DE 400 MM, JUNTA RÍGIDA, INSTALADO EM LOCAL COM ALTO NÍVEL DE INTERFERÊNCIAS - FORNECIMENTO E ASSENTAMENTO. AF_03/2024</t>
  </si>
  <si>
    <t>TUBO DE CONCRETO PARA REDES COLETORAS DE ÁGUAS PLUVIAIS, DIÂMETRO DE 500 MM, JUNTA RÍGIDA, INSTALADO EM LOCAL COM ALTO NÍVEL DE INTERFERÊNCIAS - FORNECIMENTO E ASSENTAMENTO. AF_03/2024</t>
  </si>
  <si>
    <t>TUBO DE CONCRETO PARA REDES COLETORAS DE ÁGUAS PLUVIAIS, DIÂMETRO DE 600 MM, JUNTA RÍGIDA, INSTALADO EM LOCAL COM ALTO NÍVEL DE INTERFERÊNCIAS - FORNECIMENTO E ASSENTAMENTO. AF_03/2024</t>
  </si>
  <si>
    <t>TUBO DE CONCRETO PARA REDES COLETORAS DE ÁGUAS PLUVIAIS, DIÂMETRO DE 700 MM, JUNTA RÍGIDA, INSTALADO EM LOCAL COM ALTO NÍVEL DE INTERFERÊNCIAS - FORNECIMENTO E ASSENTAMENTO. AF_03/2024</t>
  </si>
  <si>
    <t>TUBO DE CONCRETO PARA REDES COLETORAS DE ÁGUAS PLUVIAIS, DIÂMETRO DE 800 MM, JUNTA RÍGIDA, INSTALADO EM LOCAL COM ALTO NÍVEL DE INTERFERÊNCIAS - FORNECIMENTO E ASSENTAMENTO. AF_03/2024</t>
  </si>
  <si>
    <t>TUBO DE CONCRETO PARA REDES COLETORAS DE ÁGUAS PLUVIAIS, DIÂMETRO DE 900 MM, JUNTA RÍGIDA, INSTALADO EM LOCAL COM ALTO NÍVEL DE INTERFERÊNCIAS - FORNECIMENTO E ASSENTAMENTO. AF_03/2024</t>
  </si>
  <si>
    <t>TUBO DE CONCRETO PARA REDES COLETORAS DE ÁGUAS PLUVIAIS, DIÂMETRO DE 1000 MM, JUNTA RÍGIDA, INSTALADO EM LOCAL COM ALTO NÍVEL DE INTERFERÊNCIAS - FORNECIMENTO E ASSENTAMENTO. AF_03/2024</t>
  </si>
  <si>
    <t>ASSENTAMENTO DE TUBO DE CONCRETO PARA REDES COLETORAS DE ÁGUAS PLUVIAIS, DIÂMETRO DE 300 MM, JUNTA RÍGIDA, INSTALADO EM LOCAL COM BAIXO NÍVEL DE INTERFERÊNCIAS (NÃO INCLUI FORNECIMENTO). AF_03/2024</t>
  </si>
  <si>
    <t>ASSENTAMENTO DE TUBO DE CONCRETO PARA REDES COLETORAS DE ÁGUAS PLUVIAIS, DIÂMETRO DE 400 MM, JUNTA RÍGIDA, INSTALADO EM LOCAL COM BAIXO NÍVEL DE INTERFERÊNCIAS (NÃO INCLUI FORNECIMENTO). AF_03/2024</t>
  </si>
  <si>
    <t>ASSENTAMENTO DE TUBO DE CONCRETO PARA REDES COLETORAS DE ÁGUAS PLUVIAIS, DIÂMETRO DE 500 MM, JUNTA RÍGIDA, INSTALADO EM LOCAL COM BAIXO NÍVEL DE INTERFERÊNCIAS (NÃO INCLUI FORNECIMENTO). AF_03/2024</t>
  </si>
  <si>
    <t>ASSENTAMENTO DE TUBO DE CONCRETO PARA REDES COLETORAS DE ÁGUAS PLUVIAIS, DIÂMETRO DE 600 MM, JUNTA RÍGIDA, INSTALADO EM LOCAL COM BAIXO NÍVEL DE INTERFERÊNCIAS (NÃO INCLUI FORNECIMENTO). AF_03/2024</t>
  </si>
  <si>
    <t>ASSENTAMENTO DE TUBO DE CONCRETO PARA REDES COLETORAS DE ÁGUAS PLUVIAIS, DIÂMETRO DE 700 MM, JUNTA RÍGIDA, INSTALADO EM LOCAL COM BAIXO NÍVEL DE INTERFERÊNCIAS (NÃO INCLUI FORNECIMENTO). AF_03/2024</t>
  </si>
  <si>
    <t>ASSENTAMENTO DE TUBO DE CONCRETO PARA REDES COLETORAS DE ÁGUAS PLUVIAIS, DIÂMETRO DE 800 MM, JUNTA RÍGIDA, INSTALADO EM LOCAL COM BAIXO NÍVEL DE INTERFERÊNCIAS (NÃO INCLUI FORNECIMENTO). AF_03/2024</t>
  </si>
  <si>
    <t>ASSENTAMENTO DE TUBO DE CONCRETO PARA REDES COLETORAS DE ÁGUAS PLUVIAIS, DIÂMETRO DE 900 MM, JUNTA RÍGIDA, INSTALADO EM LOCAL COM BAIXO NÍVEL DE INTERFERÊNCIAS (NÃO INCLUI FORNECIMENTO). AF_03/2024</t>
  </si>
  <si>
    <t>ASSENTAMENTO DE TUBO DE CONCRETO PARA REDES COLETORAS DE ÁGUAS PLUVIAIS, DIÂMETRO DE 1000 MM, JUNTA RÍGIDA, INSTALADO EM LOCAL COM BAIXO NÍVEL DE INTERFERÊNCIAS (NÃO INCLUI FORNECIMENTO). AF_03/2024</t>
  </si>
  <si>
    <t>TUBO DE CONCRETO PARA REDES COLETORAS DE ÁGUAS PLUVIAIS, DIÂMETRO DE 1200 MM, JUNTA RÍGIDA, INSTALADO EM LOCAL COM BAIXO NÍVEL DE INTERFERÊNCIAS - FORNECIMENTO E ASSENTAMENTO. AF_03/2024</t>
  </si>
  <si>
    <t>ASSENTAMENTO DE TUBO DE CONCRETO PARA REDES COLETORAS DE ÁGUAS PLUVIAIS, DIÂMETRO DE 1200 MM, JUNTA RÍGIDA, INSTALADO EM LOCAL COM BAIXO NÍVEL DE INTERFERÊNCIAS (NÃO INCLUI FORNECIMENTO). AF_03/2024</t>
  </si>
  <si>
    <t>TUBO DE CONCRETO PARA REDES COLETORAS DE ÁGUAS PLUVIAIS, DIÂMETRO DE 1500 MM, JUNTA RÍGIDA, INSTALADO EM LOCAL COM BAIXO NÍVEL DE INTERFERÊNCIAS - FORNECIMENTO E ASSENTAMENTO. AF_03/2024</t>
  </si>
  <si>
    <t>ASSENTAMENTO DE TUBO DE CONCRETO PARA REDES COLETORAS DE ÁGUAS PLUVIAIS, DIÂMETRO DE 1500 MM, JUNTA RÍGIDA, INSTALADO EM LOCAL COM BAIXO NÍVEL DE INTERFERÊNCIAS (NÃO INCLUI FORNECIMENTO). AF_03/2024</t>
  </si>
  <si>
    <t>ASSENTAMENTO DE TUBO DE CONCRETO PARA REDES COLETORAS DE ÁGUAS PLUVIAIS, DIÂMETRO DE 300 MM, JUNTA RÍGIDA, INSTALADO EM LOCAL COM ALTO NÍVEL DE INTERFERÊNCIAS (NÃO INCLUI FORNECIMENTO). AF_03/2024</t>
  </si>
  <si>
    <t>ASSENTAMENTO DE TUBO DE CONCRETO PARA REDES COLETORAS DE ÁGUAS PLUVIAIS, DIÂMETRO DE 400 MM, JUNTA RÍGIDA, INSTALADO EM LOCAL COM ALTO NÍVEL DE INTERFERÊNCIAS (NÃO INCLUI FORNECIMENTO). AF_03/2024</t>
  </si>
  <si>
    <t>ASSENTAMENTO DE TUBO DE CONCRETO PARA REDES COLETORAS DE ÁGUAS PLUVIAIS, DIÂMETRO DE 500 MM, JUNTA RÍGIDA, INSTALADO EM LOCAL COM ALTO NÍVEL DE INTERFERÊNCIAS (NÃO INCLUI FORNECIMENTO). AF_03/2024</t>
  </si>
  <si>
    <t>ASSENTAMENTO DE TUBO DE CONCRETO PARA REDES COLETORAS DE ÁGUAS PLUVIAIS, DIÂMETRO DE 600 MM, JUNTA RÍGIDA, INSTALADO EM LOCAL COM ALTO NÍVEL DE INTERFERÊNCIAS (NÃO INCLUI FORNECIMENTO). AF_03/2024</t>
  </si>
  <si>
    <t>ASSENTAMENTO DE TUBO DE CONCRETO PARA REDES COLETORAS DE ÁGUAS PLUVIAIS, DIÂMETRO DE 700 MM, JUNTA RÍGIDA, INSTALADO EM LOCAL COM ALTO NÍVEL DE INTERFERÊNCIAS (NÃO INCLUI FORNECIMENTO). AF_03/2024</t>
  </si>
  <si>
    <t>ASSENTAMENTO DE TUBO DE CONCRETO PARA REDES COLETORAS DE ÁGUAS PLUVIAIS, DIÂMETRO DE 800 MM, JUNTA RÍGIDA, INSTALADO EM LOCAL COM ALTO NÍVEL DE INTERFERÊNCIAS (NÃO INCLUI FORNECIMENTO). AF_03/2024</t>
  </si>
  <si>
    <t>ASSENTAMENTO DE TUBO DE CONCRETO PARA REDES COLETORAS DE ÁGUAS PLUVIAIS, DIÂMETRO DE 900 MM, JUNTA RÍGIDA, INSTALADO EM LOCAL COM ALTO NÍVEL DE INTERFERÊNCIAS (NÃO INCLUI FORNECIMENTO). AF_03/2024</t>
  </si>
  <si>
    <t>ASSENTAMENTO DE TUBO DE CONCRETO PARA REDES COLETORAS DE ÁGUAS PLUVIAIS, DIÂMETRO DE 1000 MM, JUNTA RÍGIDA, INSTALADO EM LOCAL COM ALTO NÍVEL DE INTERFERÊNCIAS (NÃO INCLUI FORNECIMENTO). AF_03/2024</t>
  </si>
  <si>
    <t>TUBO DE CONCRETO PARA REDES COLETORAS DE ÁGUAS PLUVIAIS, DIÂMETRO DE 1200 MM, JUNTA RÍGIDA, INSTALADO EM LOCAL COM ALTO NÍVEL DE INTERFERÊNCIAS - FORNECIMENTO E ASSENTAMENTO. AF_03/2024</t>
  </si>
  <si>
    <t>ASSENTAMENTO DE TUBO DE CONCRETO PARA REDES COLETORAS DE ÁGUAS PLUVIAIS, DIÂMETRO DE 1200 MM, JUNTA RÍGIDA, INSTALADO EM LOCAL COM ALTO NÍVEL DE INTERFERÊNCIAS (NÃO INCLUI FORNECIMENTO). AF_03/2024</t>
  </si>
  <si>
    <t>TUBO DE CONCRETO PARA REDES COLETORAS DE ÁGUAS PLUVIAIS, DIÂMETRO DE 1500 MM, JUNTA RÍGIDA, INSTALADO EM LOCAL COM ALTO NÍVEL DE INTERFERÊNCIAS - FORNECIMENTO E ASSENTAMENTO. AF_03/2024</t>
  </si>
  <si>
    <t>ASSENTAMENTO DE TUBO DE CONCRETO PARA REDES COLETORAS DE ÁGUAS PLUVIAIS, DIÂMETRO DE 1500 MM, JUNTA RÍGIDA, INSTALADO EM LOCAL COM ALTO NÍVEL DE INTERFERÊNCIAS (NÃO INCLUI FORNECIMENTO). AF_03/2024</t>
  </si>
  <si>
    <t>TUBO DE CONCRETO PARA REDES COLETORAS DE ÁGUAS PLUVIAIS, DIÂMETRO DE 300MM, JUNTA RÍGIDA, INSTALADO EM LOCAL COM BAIXO NÍVEL DE INTERFERÊNCIAS - FORNECIMENTO E ASSENTAMENTO. AF_03/2024</t>
  </si>
  <si>
    <t>TUBO DE CONCRETO PARA REDES COLETORAS DE ÁGUAS PLUVIAIS, DIÂMETRO DE 300MM, JUNTA RÍGIDA, INSTALADO EM LOCAL COM ALTO NÍVEL DE INTERFERÊNCIAS - FORNECIMENTO E ASSENTAMENTO. AF_03/2024</t>
  </si>
  <si>
    <t>TUBO DE CONCRETO (SIMPLES) PARA REDES COLETORAS DE ÁGUAS PLUVIAIS, DIÂMETRO DE 300 MM, JUNTA RÍGIDA, INSTALADO EM LOCAL COM BAIXO NÍVEL DE INTERFERÊNCIAS - FORNECIMENTO E ASSENTAMENTO. AF_03/2024</t>
  </si>
  <si>
    <t>TUBO DE CONCRETO (SIMPLES) PARA REDES COLETORAS DE ÁGUAS PLUVIAIS, DIÂMETRO DE 400 MM, JUNTA RÍGIDA, INSTALADO EM LOCAL COM BAIXO NÍVEL DE INTERFERÊNCIAS - FORNECIMENTO E ASSENTAMENTO. AF_03/2024</t>
  </si>
  <si>
    <t>TUBO DE CONCRETO (SIMPLES) PARA REDES COLETORAS DE ÁGUAS PLUVIAIS, DIÂMETRO DE 500 MM, JUNTA RÍGIDA, INSTALADO EM LOCAL COM BAIXO NÍVEL DE INTERFERÊNCIAS - FORNECIMENTO E ASSENTAMENTO. AF_03/2024</t>
  </si>
  <si>
    <t>TUBO DE CONCRETO (SIMPLES) PARA REDES COLETORAS DE ÁGUAS PLUVIAIS, DIÂMETRO DE 300 MM, JUNTA RÍGIDA, INSTALADO EM LOCAL COM ALTO NÍVEL DE INTERFERÊNCIAS - FORNECIMENTO E ASSENTAMENTO. AF_03/2024</t>
  </si>
  <si>
    <t>TUBO DE CONCRETO (SIMPLES) PARA REDES COLETORAS DE ÁGUAS PLUVIAIS, DIÂMETRO DE 400 MM, JUNTA RÍGIDA, INSTALADO EM LOCAL COM ALTO NÍVEL DE INTERFERÊNCIAS - FORNECIMENTO E ASSENTAMENTO. AF_03/2024</t>
  </si>
  <si>
    <t>TUBO DE CONCRETO (SIMPLES) PARA REDES COLETORAS DE ÁGUAS PLUVIAIS, DIÂMETRO DE 500 MM, JUNTA RÍGIDA, INSTALADO EM LOCAL COM ALTO NÍVEL DE INTERFERÊNCIAS - FORNECIMENTO E ASSENTAMENTO. AF_03/2024</t>
  </si>
  <si>
    <t>ASSENTAMENTO DE TUBO DE PVC DEFOFO OU PRFV OU RPVC PARA REDE DE ÁGUA, DN 150 MM, JUNTA ELÁSTICA INTEGRADA, INSTALADO EM LOCAL COM NÍVEL ALTO DE INTERFERÊNCIAS (NÃO INCLUI FORNECIMENTO). AF_05/2024</t>
  </si>
  <si>
    <t>ASSENTAMENTO DE TUBO DE PVC DEFOFO OU PRFV OU RPVC PARA REDE DE ÁGUA, DN 200 MM, JUNTA ELÁSTICA INTEGRADA, INSTALADO EM LOCAL COM NÍVEL ALTO DE INTERFERÊNCIAS (NÃO INCLUI FORNECIMENTO). AF_05/2024</t>
  </si>
  <si>
    <t>ASSENTAMENTO DE TUBO DE PVC DEFOFO OU PRFV OU RPVC PARA REDE DE ÁGUA, DN 250 MM, JUNTA ELÁSTICA INTEGRADA, INSTALADO EM LOCAL COM NÍVEL ALTO DE INTERFERÊNCIAS (NÃO INCLUI FORNECIMENTO). AF_05/2024</t>
  </si>
  <si>
    <t>ASSENTAMENTO DE TUBO DE PVC DEFOFO OU PRFV OU RPVC PARA REDE DE ÁGUA, DN 300 MM, JUNTA ELÁSTICA INTEGRADA, INSTALADO EM LOCAL COM NÍVEL ALTO DE INTERFERÊNCIAS (NÃO INCLUI FORNECIMENTO). AF_05/2024</t>
  </si>
  <si>
    <t>ASSENTAMENTO DE TUBO DE PVC DEFOFO OU PRFV OU RPVC PARA REDE DE ÁGUA, DN 350 MM, JUNTA ELÁSTICA INTEGRADA, INSTALADO EM LOCAL COM NÍVEL ALTO DE INTERFERÊNCIAS (NÃO INCLUI FORNECIMENTO). AF_05/2024</t>
  </si>
  <si>
    <t>ASSENTAMENTO DE TUBO DE PVC DEFOFO OU PRFV OU RPVC PARA REDE DE ÁGUA, DN 400 MM, JUNTA ELÁSTICA INTEGRADA, INSTALADO EM LOCAL COM NÍVEL ALTO DE INTERFERÊNCIAS (NÃO INCLUI FORNECIMENTO). AF_05/2024</t>
  </si>
  <si>
    <t>ASSENTAMENTO DE TUBO DE PVC DEFOFO OU PRFV OU RPVC PARA REDE DE ÁGUA, DN 500 MM, JUNTA ELÁSTICA INTEGRADA, INSTALADO EM LOCAL COM NÍVEL ALTO DE INTERFERÊNCIAS (NÃO INCLUI FORNECIMENTO). AF_05/2024</t>
  </si>
  <si>
    <t>ASSENTAMENTO DE TUBO DE PVC DEFOFO OU PRFV OU RPVC PARA REDE DE ÁGUA, DN 150 MM, JUNTA ELÁSTICA INTEGRADA, INSTALADO EM LOCAL COM NÍVEL BAIXO DE INTERFERÊNCIAS (NÃO INCLUI FORNECIMENTO). AF_05/2024</t>
  </si>
  <si>
    <t>ASSENTAMENTO DE TUBO DE PVC DEFOFO OU PRFV OU RPVC PARA REDE DE ÁGUA, DN 200 MM, JUNTA ELÁSTICA INTEGRADA, INSTALADO EM LOCAL COM NÍVEL BAIXO DE INTERFERÊNCIAS (NÃO INCLUI FORNECIMENTO). AF_05/2024</t>
  </si>
  <si>
    <t>ASSENTAMENTO DE TUBO DE PVC DEFOFO OU PRFV OU RPVC PARA REDE DE ÁGUA, DN 250 MM, JUNTA ELÁSTICA INTEGRADA, INSTALADO EM LOCAL COM NÍVEL BAIXO DE INTERFERÊNCIAS (NÃO INCLUI FORNECIMENTO). AF_05/2024</t>
  </si>
  <si>
    <t>ASSENTAMENTO DE TUBO DE PVC DEFOFO OU PRFV OU RPVC PARA REDE DE ÁGUA, DN 300 MM, JUNTA ELÁSTICA INTEGRADA, INSTALADO EM LOCAL COM NÍVEL BAIXO DE INTERFERÊNCIAS (NÃO INCLUI FORNECIMENTO). AF_05/2024</t>
  </si>
  <si>
    <t>ASSENTAMENTO DE TUBO DE PVC DEFOFO OU PRFV OU RPVC PARA REDE DE ÁGUA, DN 350 MM, JUNTA ELÁSTICA INTEGRADA, INSTALADO EM LOCAL COM NÍVEL BAIXO DE INTERFERÊNCIAS (NÃO INCLUI FORNECIMENTO). AF_05/2024</t>
  </si>
  <si>
    <t>ASSENTAMENTO DE TUBO DE PVC DEFOFO OU PRFV OU RPVC PARA REDE DE ÁGUA, DN 400 MM, JUNTA ELÁSTICA INTEGRADA, INSTALADO EM LOCAL COM NÍVEL BAIXO DE INTERFERÊNCIAS (NÃO INCLUI FORNECIMENTO). AF_05/2024</t>
  </si>
  <si>
    <t>ASSENTAMENTO DE TUBO DE PVC DEFOFO OU PRFV OU RPVC PARA REDE DE ÁGUA, DN 500 MM, JUNTA ELÁSTICA INTEGRADA, INSTALADO EM LOCAL COM NÍVEL BAIXO DE INTERFERÊNCIAS (NÃO INCLUI FORNECIMENTO). AF_05/2024</t>
  </si>
  <si>
    <t>PAREDE DE MADEIRA COMPENSADA PARA CONSTRUÇÃO TEMPORÁRIA EM CHAPA SIMPLES, EXTERNA, SEM VÃO. AF_03/2024</t>
  </si>
  <si>
    <t>PAREDE DE MADEIRA COMPENSADA PARA CONSTRUÇÃO TEMPORÁRIA EM CHAPA SIMPLES, INTERNA, SEM VÃO. AF_03/2024</t>
  </si>
  <si>
    <t>PAREDE DE MADEIRA COMPENSADA PARA CONSTRUÇÃO TEMPORÁRIA EM CHAPA SIMPLES, EXTERNA, COM ÁREA LÍQUIDA MAIOR OU IGUAL A 6 M², COM VÃO. AF_03/2024</t>
  </si>
  <si>
    <t>PAREDE DE MADEIRA COMPENSADA PARA CONSTRUÇÃO TEMPORÁRIA EM CHAPA SIMPLES, EXTERNA, COM ÁREA LÍQUIDA MENOR QUE 6 M², COM VÃO. AF_03/2024</t>
  </si>
  <si>
    <t>PAREDE DE MADEIRA COMPENSADA PARA CONSTRUÇÃO TEMPORÁRIA EM CHAPA SIMPLES, INTERNA, COM ÁREA LÍQUIDA MAIOR OU IGUAL A 6 M², COM VÃO. AF_03/2024</t>
  </si>
  <si>
    <t>PAREDE DE MADEIRA COMPENSADA PARA CONSTRUÇÃO TEMPORÁRIA EM CHAPA SIMPLES, INTERNA, COM ÁREA LÍQUIDA MENOR QUE 6 M², COM VÃO. AF_03/2024</t>
  </si>
  <si>
    <t>PAREDE DE MADEIRA COMPENSADA PARA CONSTRUÇÃO TEMPORÁRIA EM CHAPA DUPLA, EXTERNA, SEM VÃO. AF_03/2024</t>
  </si>
  <si>
    <t>PAREDE DE MADEIRA COMPENSADA PARA CONSTRUÇÃO TEMPORÁRIA EM CHAPA DUPLA, INTERNA, SEM VÃO. AF_03/2024</t>
  </si>
  <si>
    <t>PAREDE DE MADEIRA COMPENSADA PARA CONSTRUÇÃO TEMPORÁRIA EM CHAPA DUPLA, EXTERNA, COM ÁREA LÍQUIDA MAIOR OU IGUAL A QUE 6 M², COM VÃO. AF_03/2024</t>
  </si>
  <si>
    <t>PAREDE DE MADEIRA COMPENSADA PARA CONSTRUÇÃO TEMPORÁRIA EM CHAPA DUPLA, EXTERNA, COM ÁREA LÍQUIDA MENOR QUE 6 M², COM VÃO. AF_03/2024</t>
  </si>
  <si>
    <t>PAREDE DE MADEIRA COMPENSADA PARA CONSTRUÇÃO TEMPORÁRIA EM CHAPA DUPLA, INTERNA, COM ÁREA LÍQUIDA MAIOR OU IGUAL A 6 M², COM VÃO. AF_03/2024</t>
  </si>
  <si>
    <t>PAREDE DE MADEIRA COMPENSADA PARA CONSTRUÇÃO TEMPORÁRIA EM CHAPA DUPLA, INTERNA, COM ÁREA LÍQUIDA MENOR QUE 6 M², COM VÃO. AF_03/2024</t>
  </si>
  <si>
    <t>TAPUME COM COMPENSADO DE MADEIRA. AF_03/2024</t>
  </si>
  <si>
    <t>TAPUME COM TELHA METÁLICA. AF_03/2024</t>
  </si>
  <si>
    <t>PISO PARA CONSTRUÇÃO TEMPORÁRIA EM MADEIRA, SEM REAPROVEITAMENTO. AF_03/2024</t>
  </si>
  <si>
    <t>ESTRUTURA DE MADEIRA PROVISÓRIA PARA SUPORTE DE CAIXA D'ÁGUA ELEVADA DE 2000 LITROS. AF_03/2024</t>
  </si>
  <si>
    <t>EXECUÇÃO DOS APOIOS PARA CONTÊINER OU MÓDULO HABITÁVEL. AF_03/2024</t>
  </si>
  <si>
    <t>INSTALAÇÃO E DESINSTALAÇÃO MECANIZADA DE CONTÊINER OU MÓDULO HABITÁVEL DE USOS DIVERSOS. AF_03/2024</t>
  </si>
  <si>
    <t>INSTALAÇÃO E DESINSTALAÇÃO MANUAL DE CONTÊINER OU MÓDULO HABITÁVEL PEQUENO. AF_03/2024</t>
  </si>
  <si>
    <t>INSTALAÇÃO DE CONCERTINA SIMPLES, ESPIRAL DE 300 MM. AF_03/2024</t>
  </si>
  <si>
    <t>INSTALAÇÃO DE CONCERTINA DUPLA CLIPADA, ESPIRAL DE 300 MM. AF_03/2024</t>
  </si>
  <si>
    <t>INSTALAÇÃO DE CONCERTINA FLAT, ESPIRAL DE 300 MM. AF_03/2024</t>
  </si>
  <si>
    <t>EXECUÇÃO DE PILARETES PARA TAPUMES E CONSTRUÇÕES TEMPORÁRIAS. AF_03/2024</t>
  </si>
  <si>
    <t>BOMBA SUBMERSÍVEL ELÉTRICA TRIFÁSICA, POTÊNCIA 2,96 HP, Ø ROTOR 144 MM SEMI-ABERTO, BOCAL DE SAÍDA Ø 2", HM/Q = 2 MCA / 38,8 M3/H A 28 MCA / 5 M3/H - CHP DIURNO. AF_06/2014</t>
  </si>
  <si>
    <t>PERFURATRIZ SOBRE ESTEIRA, TORQUE MÁXIMO 600 KGF, POTÊNCIA ENTRE 50 E 60 HP, DIÂMETRO MÁXIMO 10" - CHP DIURNO. AF_11/2016</t>
  </si>
  <si>
    <t>GRADE DE DISCO CONTROLE REMOTO REBOCÁVEL, COM 24 DISCOS 24" X 6 MM COM PNEUS PARA TRANSPORTE - CHI DIURNO. AF_06/2014</t>
  </si>
  <si>
    <t>BOMBA SUBMERSÍVEL ELÉTRICA TRIFÁSICA, POTÊNCIA 2,96 HP, Ø ROTOR 144 MM SEMI-ABERTO, BOCAL DE SAÍDA Ø 2", HM/Q = 2 MCA / 38,8 M3/H A 28 MCA / 5 M3/H - CHI DIURNO. AF_06/2014</t>
  </si>
  <si>
    <t>PERFURATRIZ SOBRE ESTEIRA, TORQUE MÁXIMO 600 KGF, POTÊNCIA ENTRE 50 E 60 HP, DIÂMETRO MÁXIMO 10" - CHI DIURNO. AF_11/2016</t>
  </si>
  <si>
    <t>GRADE DE DISCO CONTROLE REMOTO REBOCÁVEL, COM 24 DISCOS 24" X 6 MM COM PNEUS PARA TRANSPORTE - MANUTENÇÃO. AF_06/2014</t>
  </si>
  <si>
    <t>BOMBA SUBMERSÍVEL ELÉTRICA TRIFÁSICA, POTÊNCIA 2,96 HP, Ø ROTOR 144 MM SEMI-ABERTO, BOCAL DE SAÍDA Ø 2", HM/Q = 2 MCA / 38,8 M3/H A 28 MCA / 5 M3/H - MANUTENÇÃO. AF_06/2014</t>
  </si>
  <si>
    <t>BOMBA SUBMERSÍVEL ELÉTRICA TRIFÁSICA, POTÊNCIA 2,96 HP, Ø ROTOR 144 MM SEMI-ABERTO, BOCAL DE SAÍDA Ø 2", HM/Q = 2 MCA / 38,8 M3/H A 28 MCA / 5 M3/H - MATERIAIS NA OPERAÇÃO. AF_06/2014</t>
  </si>
  <si>
    <t>GRADE DE DISCO CONTROLE REMOTO REBOCÁVEL, COM 24 DISCOS 24" X 6 MM COM PNEUS PARA TRANSPORTE - DEPRECIAÇÃO. AF_06/2014</t>
  </si>
  <si>
    <t>GRADE DE DISCO CONTROLE REMOTO REBOCÁVEL, COM 24 DISCOS 24" X 6 MM COM PNEUS PARA TRANSPORTE - JUROS. AF_06/2014</t>
  </si>
  <si>
    <t>BOMBA SUBMERSÍVEL ELÉTRICA TRIFÁSICA, POTÊNCIA 2,96 HP, Ø ROTOR 144 MM SEMI-ABERTO, BOCAL DE SAÍDA Ø 2", HM/Q = 2 MCA / 38,8 M3/H A 28 MCA / 5 M3/H - DEPRECIAÇÃO. AF_06/2014</t>
  </si>
  <si>
    <t>BOMBA SUBMERSÍVEL ELÉTRICA TRIFÁSICA, POTÊNCIA 2,96 HP, Ø ROTOR 144 MM SEMI-ABERTO, BOCAL DE SAÍDA Ø 2", HM/Q = 2 MCA / 38,8 M3/H A 28 MCA / 5 M3/H - JUROS. AF_06/2014</t>
  </si>
  <si>
    <t>PERFURATRIZ COM TORRE METÁLICA PARA EXECUÇÃO DE ESTACA HÉLICE CONTÍNUA, PROFUNDIDADE MÁXIMA DE 32 M, DIÂMETRO MÁXIMO DE 1000 MM, POTÊNCIA INSTALADA DE 350 HP, MESA ROTATIVA COM TORQUE MÁXIMO DE 263 KNM - MATERIAIS NA OPERAÇÃO. AF_01/2016</t>
  </si>
  <si>
    <t>GUINDAUTO HIDRÁULICO, CAPACIDADE MÁXIMA DE CARGA 3300 KG, MOMENTO MÁXIMO DE CARGA 5,8 TM, ALCANCE MÁXIMO HORIZONTAL 7,60 M, INCLUSIVE CAMINHÃO TOCO PBT 16.000 KG, POTÊNCIA DE 189 CV - IMPOSTOS E SEGUROS. AF_03/2016</t>
  </si>
  <si>
    <t>DISTRIBUIDOR DE AGREGADOS AUTOPROPELIDO, CAP 3 M3, A DIESEL, POTÊNCIA 176CV - MATERIAIS NA OPERAÇÃO. AF_07/2016</t>
  </si>
  <si>
    <t>RÉGUA VIBRATÓRIA DUPLA PARA CONCRETO, PESO DE 60KG, COMPRIMENTO 4 M, COM MOTOR A GASOLINA, POTÊNCIA 5,5 HP - MATERIAIS NA OPERAÇÃO. AF_09/2016</t>
  </si>
  <si>
    <t>PERFURATRIZ SOBRE ESTEIRA, TORQUE MÁXIMO 600 KGF, POTÊNCIA ENTRE 50 E 60 HP, DIÂMETRO MÁXIMO 10" - DEPRECIAÇÃO. AF_11/2016</t>
  </si>
  <si>
    <t>PERFURATRIZ SOBRE ESTEIRA, TORQUE MÁXIMO 600 KGF, POTÊNCIA ENTRE 50 E 60 HP, DIÂMETRO MÁXIMO 10" - JUROS. AF_11/2016</t>
  </si>
  <si>
    <t>PERFURATRIZ SOBRE ESTEIRA, TORQUE MÁXIMO 600 KGF, POTÊNCIA ENTRE 50 E 60 HP, DIÂMETRO MÁXIMO 10" - MANUTENÇÃO. AF_11/2016</t>
  </si>
  <si>
    <t>PERFURATRIZ SOBRE ESTEIRA, TORQUE MÁXIMO 600 KGF, POTÊNCIA ENTRE 50 E 60 HP, DIÂMETRO MÁXIMO 10" - MATERIAIS NA OPERAÇÃO. AF_11/2016</t>
  </si>
  <si>
    <t>MINI GUINDASTE ARANHA SOBRE ESTEIRAS E LANCA TELESCÓPICA, CAPACIDADE MÁXIMA DE CARGA 3,0 TON, RAIO MÁXIMO DE TRABALHO 8,25 M, ALTURA DE LANÇA DO SOLO 9,2 M, 55 M DE CABO DE AÇO 8 MM, MOTOR ELÉTRICO 220/380 VOLTS - MATERIAIS NA OPERAÇÃO. AF_03/2022</t>
  </si>
  <si>
    <t>GUINDASTE HIDRÁULICO RODOVIÁRIO, LANCA TELESCÓPICA DE *50+20* M, CAPACIDADE MÁXIMA DE 90T, 4 EIXOS, POTÊNCIA 330 KW, MOTOR DIESEL - MATERIAIS NA OPERAÇÃO. AF_01/2024</t>
  </si>
  <si>
    <t>GUINDASTE DERRICK, LANÇA DE *20* M, CARGA MÁXIMA 10T, POTÊNCIA 45 KW - MATERIAIS NA OPERAÇÃO. AF_01/2024</t>
  </si>
  <si>
    <t>MURO DE GABIÃO, ENCHIMENTO COM PEDRA DE MÃO TIPO RACHÃO, DE GRAVIDADE, COM GAIOLAS DE COMPRIMENTO IGUAL A 2 M, PARA MUROS COM ALTURA MENOR OU IGUAL A 4 M - FORNECIMENTO E EXECUÇÃO. AF_03/2024</t>
  </si>
  <si>
    <t>MURO DE GABIÃO, ENCHIMENTO COM PEDRA DE MÃO TIPO RACHÃO, DE GRAVIDADE, COM GAIOLAS DE COMPRIMENTO IGUAL A 5 M, PARA MUROS COM ALTURA MENOR OU IGUAL A 4 M - FORNECIMENTO E EXECUÇÃO. AF_03/2024</t>
  </si>
  <si>
    <t>MURO DE GABIÃO, ENCHIMENTO COM PEDRA DE MÃO TIPO RACHÃO, DE GRAVIDADE, COM GAIOLAS DE COMPRIMENTO IGUAL A 2 M, PARA MUROS COM ALTURA MAIOR QUE 4 M E MENOR OU IGUAL A 6 M - FORNECIMENTO E EXECUÇÃO. AF_03/2024</t>
  </si>
  <si>
    <t>MURO DE GABIÃO, ENCHIMENTO COM PEDRA DE MÃO TIPO RACHÃO, DE GRAVIDADE, COM GAIOLAS DE COMPRIMENTO IGUAL A 5 M, PARA MUROS COM ALTURA MAIOR QUE 4 M E MENOR OU IGUAL A 6 M - FORNECIMENTO E EXECUÇÃO. AF_03/2024</t>
  </si>
  <si>
    <t>MURO DE GABIÃO, ENCHIMENTO COM PEDRA DE MÃO TIPO RACHÃO, DE GRAVIDADE, COM GAIOLAS DE COMPRIMENTO IGUAL A 2 M, PARA MUROS COM ALTURA MAIOR QUE 6 M E MENOR OU IGUAL A 10 M - FORNECIMENTO E EXECUÇÃO. AF_03/2024</t>
  </si>
  <si>
    <t>MURO DE GABIÃO, ENCHIMENTO COM PEDRA DE MÃO TIPO RACHÃO, DE GRAVIDADE, COM GAIOLAS DE COMPRIMENTO IGUAL A 5 M, PARA MUROS COM ALTURA MAIOR QUE 6 M E MENOR OU IGUAL A 10 M- FORNECIMENTO E EXECUÇÃO. AF_03/2024</t>
  </si>
  <si>
    <t>MURO DE GABIÃO, ENCHIMENTO COM PEDRA DE MÃO TIPO RACHÃO, COM SOLO REFORÇADO, PARA MUROS COM ALTURA MENOR OU IGUAL A 4 M - FORNECIMENTO E EXECUÇÃO. AF_03/2024</t>
  </si>
  <si>
    <t>MURO DE GABIÃO, ENCHIMENTO COM PEDRA DE MÃO TIPO RACHÃO, COM SOLO REFORÇADO, PARA MUROS COM ALTURA MAIOR QUE 4 M E MENOR OU IGUAL A 12 M - FORNECIMENTO E EXECUÇÃO. AF_03/2024</t>
  </si>
  <si>
    <t>MURO DE GABIÃO, ENCHIMENTO COM PEDRA DE MÃO TIPO RACHÃO, COM SOLO REFORÇADO, PARA MUROS COM ALTURA MAIOR QUE 12 M E MENOR OU IGUAL A 20 M - FORNECIMENTO E EXECUÇÃO. AF_03/2024</t>
  </si>
  <si>
    <t>MURO DE GABIÃO, ENCHIMENTO COM PEDRA DE MÃO TIPO RACHÃO, COM SOLO REFORÇADO, PARA MUROS COM ALTURA MAIOR QUE 20 M E MENOR OU IGUAL A 28 M - FORNECIMENTO E EXECUÇÃO. AF_03/2024</t>
  </si>
  <si>
    <t>MURO DE GABIÃO, ENCHIMENTO COM RESÍDUO DE CONSTRUÇÃO E DEMOLIÇÃO, DE GRAVIDADE, COM GAIOLA TRAPEZOIDAL DE COMPRIMENTO IGUAL A 2 M, PARA MUROS COM ALTURA MENOR OU IGUAL A 2 M - FORNECIMENTO E EXECUÇÃO. AF_03/2024</t>
  </si>
  <si>
    <t>MURO DE GABIÃO, ENCHIMENTO COM RESÍDUO DE CONSTRUÇÃO E DEMOLIÇÃO, DE GRAVIDADE, COM GAIOLA TRAPEZOIDAL DE COMPRIMENTO IGUAL A 2 M, PARA MUROS COM ALTURA MAIOR QUE 2 M E MENOR OU IGUAL A 4 M - FORNECIMENTO E EXECUÇÃO. AF_03/2024</t>
  </si>
  <si>
    <t>PROTEÇÃO SUPERFICIAL DE CANAL EM GABIÃO TIPO COLCHÃO, ALTURA DE 17 CENTÍMETROS, ENCHIMENTO COM PEDRA DE MÃO TIPO RACHÃO - FORNECIMENTO E EXECUÇÃO. AF_03/2024</t>
  </si>
  <si>
    <t>PROTEÇÃO SUPERFICIAL DE CANAL EM GABIÃO TIPO COLCHÃO, ALTURA DE 23 CENTÍMETROS, ENCHIMENTO COM PEDRA DE MÃO TIPO RACHÃO - FORNECIMENTO E EXECUÇÃO. AF_03/2024</t>
  </si>
  <si>
    <t>PROTEÇÃO SUPERFICIAL DE CANAL EM GABIÃO TIPO COLCHÃO, ALTURA DE 30 CENTÍMETROS, ENCHIMENTO COM PEDRA DE MÃO TIPO RACHÃO - FORNECIMENTO E EXECUÇÃO. AF_03/2024</t>
  </si>
  <si>
    <t>PROTEÇÃO SUPERFICIAL DE CANAL EM GABIÃO TIPO SACO, DIÂMETRO DE 65 CENTÍMETROS, ENCHIMENTO MANUAL COM PEDRA DE MÃO TIPO RACHÃO - FORNECIMENTO E EXECUÇÃO. AF_03/2024</t>
  </si>
  <si>
    <t>ASSENTAMENTO DE GUIA (MEIO-FIO) EM TRECHO RETO, CONFECCIONADA EM CONCRETO PRÉ-FABRICADO, DIMENSÕES 100X15X13X30 CM (COMPRIMENTO X BASE INFERIOR X BASE SUPERIOR X ALTURA). AF_01/2024</t>
  </si>
  <si>
    <t>ASSENTAMENTO DE GUIA (MEIO-FIO) EM TRECHO CURVO, CONFECCIONADA EM CONCRETO PRÉ-FABRICADO, DIMENSÕES 100X15X13X30 CM (COMPRIMENTO X BASE INFERIOR X BASE SUPERIOR X ALTURA). AF_01/2024</t>
  </si>
  <si>
    <t>ASSENTAMENTO DE GUIA (MEIO-FIO) EM TRECHO RETO, CONFECCIONADA EM CONCRETO PRÉ-FABRICADO, DIMENSÕES 100X15X13X20 CM (COMPRIMENTO X BASE INFERIOR X BASE SUPERIOR X ALTURA). AF_01/2024</t>
  </si>
  <si>
    <t>ASSENTAMENTO DE GUIA (MEIO-FIO) EM TRECHO CURVO, CONFECCIONADA EM CONCRETO PRÉ-FABRICADO, DIMENSÕES 100X15X13X20 CM (COMPRIMENTO X BASE INFERIOR X BASE SUPERIOR X ALTURA). AF_01/2024</t>
  </si>
  <si>
    <t>ASSENTAMENTO DE GUIA (MEIO-FIO) EM TRECHO RETO, CONFECCIONADA EM CONCRETO PRÉ-FABRICADO, DIMENSÕES 80X08X08X25 CM (COMPRIMENTO X BASE INFERIOR X BASE SUPERIOR X ALTURA). AF_01/2024</t>
  </si>
  <si>
    <t>ASSENTAMENTO DE GUIA (MEIO-FIO) EM TRECHO CURVO, CONFECCIONADA EM CONCRETO PRÉ-FABRICADO, DIMENSÕES 80X08X08X25 CM (COMPRIMENTO X BASE INFERIOR X BASE SUPERIOR X ALTURA). AF_01/2024</t>
  </si>
  <si>
    <t>ASSENTAMENTO DE GUIA (MEIO-FIO) EM TRECHO RETO, CONFECCIONADA EM CONCRETO PRÉ-FABRICADO, DIMENSÕES 39X6,5X6,5X19 CM (COMPRIMENTO X BASE INFERIOR X BASE SUPERIOR X ALTURA), PARA DELIMITAÇÃO DE JARDINS, PRAÇAS OU PASSEIOS. AF_01/2024</t>
  </si>
  <si>
    <t>ASSENTAMENTO DE GUIA (MEIO-FIO) EM TRECHO CURVO, CONFECCIONADA EM CONCRETO PRÉ-FABRICADO, DIMENSÕES 39X6,5X6,5X19 CM (COMPRIMENTO X BASE INFERIOR X BASE SUPERIOR X ALTURA), PARA DELIMITAÇÃO DE JARDINS, PRAÇAS OU PASSEIOS. AF_01/2024</t>
  </si>
  <si>
    <t>EXECUÇÃO DE ESCORAS DE CONCRETO PARA CONTENÇÃO DE GUIAS PRÉ-FABRICADAS. AF_01/2024</t>
  </si>
  <si>
    <t>LASTRO DE CONCRETO MAGRO, APLICADO EM PISOS, LAJES SOBRE SOLO OU RADIERS, ESPESSURA DE 3 CM. AF_01/2024</t>
  </si>
  <si>
    <t>LASTRO DE CONCRETO MAGRO, APLICADO EM PISOS, LAJES SOBRE SOLO OU RADIERS, ESPESSURA DE 5 CM. AF_01/2024</t>
  </si>
  <si>
    <t>LASTRO DE CONCRETO MAGRO, APLICADO EM BLOCOS DE COROAMENTO OU SAPATAS. AF_01/2024</t>
  </si>
  <si>
    <t>LASTRO DE CONCRETO MAGRO, APLICADO EM BLOCOS DE COROAMENTO OU SAPATAS, ESPESSURA DE 3 CM. AF_01/2024</t>
  </si>
  <si>
    <t>LASTRO DE CONCRETO MAGRO, APLICADO EM BLOCOS DE COROAMENTO OU SAPATAS, ESPESSURA DE 5 CM. AF_01/2024</t>
  </si>
  <si>
    <t>LASTRO DE CONCRETO MAGRO, APLICADO EM PISOS, LAJES SOBRE SOLO OU RADIERS. AF_01/2024</t>
  </si>
  <si>
    <t>LASTRO COM MATERIAL GRANULAR, APLICAÇÃO EM BLOCOS DE COROAMENTO, ESPESSURA DE *5 CM*. AF_01/2024</t>
  </si>
  <si>
    <t>LASTRO COM MATERIAL GRANULAR, APLICADO EM PISOS OU LAJES SOBRE SOLO, ESPESSURA DE *5 CM*. AF_01/2024</t>
  </si>
  <si>
    <t>LASTRO COM MATERIAL GRANULAR, APLICADO EM BLOCOS DE COROAMENTO, ESPESSURA DE *10 CM*. AF_01/2024</t>
  </si>
  <si>
    <t>LASTRO COM MATERIAL GRANULAR (PEDRA BRITADA N.2), APLICADO EM PISOS OU LAJES SOBRE SOLO, ESPESSURA DE *10 CM*. AF_01/2024</t>
  </si>
  <si>
    <t>LASTRO COM MATERIAL GRANULAR (PEDRA BRITADA N.3), APLICADO EM PISOS OU LAJES SOBRE SOLO, ESPESSURA DE *10 CM*. AF_01/2024</t>
  </si>
  <si>
    <t>LASTRO COM MATERIAL GRANULAR (AREIA MÉDIA), APLICADO EM PISOS OU LAJES SOBRE SOLO, ESPESSURA DE *10 CM*. AF_01/2024</t>
  </si>
  <si>
    <t>LASTRO COM MATERIAL GRANULAR (PEDRA BRITADA N.1 E PEDRA BRITADA N.2), APLICADO EM PISOS OU LAJES SOBRE SOLO, ESPESSURA DE *10 CM*. AF_01/2024</t>
  </si>
  <si>
    <t>MONTAGEM E DESMONTAGEM DE FÔRMA DE VIGA, ESCORAMENTO METÁLICO, PÉ-DIREITO DUPLO, EM CHAPA DE MADEIRA RESINADA, 6 UTILIZAÇÕES. AF_09/2020</t>
  </si>
  <si>
    <t>FABRICAÇÃO DE FÔRMA PARA PILARES CIRCULARES, EM CHAPA DE MADEIRA COMPENSADA RESINADA, PÉ-DIREITO SIMPLES. AF_05/2024</t>
  </si>
  <si>
    <t>MONTAGEM E DESMONTAGEM DE FÔRMA DE PILARES CIRCULARES, PÉ-DIREITO SIMPLES, EM MADEIRA, 2 UTILIZAÇÕES. AF_05/2024</t>
  </si>
  <si>
    <t>FABRICAÇÃO, MONTAGEM E DESMONTAGEM DE FÔRMA PARA SAPATA, EM MADEIRA SERRADA, E=25 MM, 1 UTILIZAÇÃO. AF_01/2024</t>
  </si>
  <si>
    <t>FABRICAÇÃO, MONTAGEM E DESMONTAGEM DE FÔRMA PARA VIGA BALDRAME, EM MADEIRA SERRADA, E=25 MM, 1 UTILIZAÇÃO. AF_01/2024</t>
  </si>
  <si>
    <t>FABRICAÇÃO, MONTAGEM E DESMONTAGEM DE FÔRMA PARA BLOCO DE COROAMENTO, EM MADEIRA SERRADA, E=25 MM, 2 UTILIZAÇÕES. AF_01/2024</t>
  </si>
  <si>
    <t>FABRICAÇÃO, MONTAGEM E DESMONTAGEM DE FÔRMA PARA SAPATA, EM MADEIRA SERRADA, E=25 MM, 2 UTILIZAÇÕES. AF_01/2024</t>
  </si>
  <si>
    <t>FABRICAÇÃO, MONTAGEM E DESMONTAGEM DE FÔRMA PARA VIGA BALDRAME, EM MADEIRA SERRADA, E=25 MM, 2 UTILIZAÇÕES. AF_01/2024</t>
  </si>
  <si>
    <t>FABRICAÇÃO, MONTAGEM E DESMONTAGEM DE FÔRMA PARA BLOCO DE COROAMENTO, EM MADEIRA SERRADA, E=25 MM, 4 UTILIZAÇÕES. AF_01/2024</t>
  </si>
  <si>
    <t>FABRICAÇÃO, MONTAGEM E DESMONTAGEM DE FÔRMA PARA SAPATA, EM MADEIRA SERRADA, E=25 MM, 4 UTILIZAÇÕES. AF_01/2024</t>
  </si>
  <si>
    <t>FABRICAÇÃO, MONTAGEM E DESMONTAGEM DE FÔRMA PARA VIGA BALDRAME, EM MADEIRA SERRADA, E=25 MM, 4 UTILIZAÇÕES. AF_01/2024</t>
  </si>
  <si>
    <t>FABRICAÇÃO, MONTAGEM E DESMONTAGEM DE FÔRMA PARA BLOCO DE COROAMENTO, EM CHAPA DE MADEIRA COMPENSADA RESINADA, E=17 MM, 2 UTILIZAÇÕES. AF_01/2024</t>
  </si>
  <si>
    <t>FABRICAÇÃO, MONTAGEM E DESMONTAGEM DE FÔRMA PARA SAPATA, EM CHAPA DE MADEIRA COMPENSADA RESINADA, E=17 MM, 2 UTILIZAÇÕES. AF_01/2024</t>
  </si>
  <si>
    <t>FABRICAÇÃO, MONTAGEM E DESMONTAGEM DE FÔRMA PARA VIGA BALDRAME, EM CHAPA DE MADEIRA COMPENSADA RESINADA, E=17 MM, 2 UTILIZAÇÕES. AF_01/2024</t>
  </si>
  <si>
    <t>FABRICAÇÃO, MONTAGEM E DESMONTAGEM DE FÔRMA PARA BLOCO DE COROAMENTO, EM CHAPA DE MADEIRA COMPENSADA RESINADA, E=17 MM, 4 UTILIZAÇÕES. AF_01/2024</t>
  </si>
  <si>
    <t>FABRICAÇÃO, MONTAGEM E DESMONTAGEM DE FÔRMA PARA SAPATA, EM CHAPA DE MADEIRA COMPENSADA RESINADA, E=17 MM, 4 UTILIZAÇÕES. AF_01/2024</t>
  </si>
  <si>
    <t>FABRICAÇÃO, MONTAGEM E DESMONTAGEM DE FÔRMA PARA VIGA BALDRAME, EM CHAPA DE MADEIRA COMPENSADA RESINADA, E=17 MM, 4 UTILIZAÇÕES. AF_01/2024</t>
  </si>
  <si>
    <t>ARMAÇÃO DE BLOCO UTILIZANDO AÇO CA-60 DE 5 MM - MONTAGEM. AF_01/2024</t>
  </si>
  <si>
    <t>FABRICAÇÃO DE FÔRMA PARA ESCADA DUPLA COM 2 LANCES EM X E LAJE PLANA, EM MADEIRA SERRADA, E=25 MM. AF_11/2020</t>
  </si>
  <si>
    <t>FABRICAÇÃO DE FÔRMA PARA ESCADA DUPLA COM 2 LANCES EM X E LAJE CASCATA, EM MADEIRA SERRADA, E=25 MM. AF_11/2020</t>
  </si>
  <si>
    <t>FABRICAÇÃO, MONTAGEM E DESMONTAGEM DE FÔRMA PARA SAPATA CORRIDA, EM MADEIRA SERRADA, E=25 MM, 1 UTILIZAÇÃO. AF_01/2024</t>
  </si>
  <si>
    <t>FABRICAÇÃO, MONTAGEM E DESMONTAGEM DE FÔRMA PARA SAPATA CORRIDA, EM MADEIRA SERRADA, E=25 MM, 2 UTILIZAÇÕES. AF_01/2024</t>
  </si>
  <si>
    <t>FABRICAÇÃO, MONTAGEM E DESMONTAGEM DE FÔRMA PARA SAPATA CORRIDA, EM MADEIRA SERRADA, E=25 MM, 4 UTILIZAÇÕES. AF_01/2024</t>
  </si>
  <si>
    <t>FABRICAÇÃO, MONTAGEM E DESMONTAGEM DE FÔRMA PARA SAPATA CORRIDA, EM CHAPA DE MADEIRA COMPENSADA RESINADA, E=17 MM, 2 UTILIZAÇÕES. AF_01/2024</t>
  </si>
  <si>
    <t>FABRICAÇÃO, MONTAGEM E DESMONTAGEM DE FÔRMA PARA SAPATA CORRIDA, EM CHAPA DE MADEIRA COMPENSADA RESINADA, E=17 MM, 4 UTILIZAÇÕES. AF_01/2024</t>
  </si>
  <si>
    <t>FABRICAÇÃO DE FÔRMA PARA PILARES CIRCULARES, EM CHAPA DE MADEIRA COMPENSADA RESINADA, PÉ-DIREITO DUPLO. AF_05/2024</t>
  </si>
  <si>
    <t>MONTAGEM E DESMONTAGEM DE FÔRMA DE PILARES CIRCULARES, PÉ-DIREITO DUPLO, EM MADEIRA, 2 UTILIZAÇÕES. AF_05/2024</t>
  </si>
  <si>
    <t>ARMAÇÃO DE BLOCO UTILIZANDO AÇO CA-50 DE 6,3 MM - MONTAGEM. AF_01/2024</t>
  </si>
  <si>
    <t>ARMAÇÃO DE BLOCO UTILIZANDO AÇO CA-50 DE 8 MM - MONTAGEM. AF_01/2024</t>
  </si>
  <si>
    <t>ARMAÇÃO DE BLOCO UTILIZANDO AÇO CA-50 DE 10 MM - MONTAGEM. AF_01/2024</t>
  </si>
  <si>
    <t>ARMAÇÃO DE BLOCO E SAPATA UTILIZANDO AÇO CA-50 DE 25 MM - MONTAGEM. AF_01/2024</t>
  </si>
  <si>
    <t>ARMAÇÃO DE SAPATA ISOLADA, VIGA BALDRAME E SAPATA CORRIDA UTILIZANDO AÇO CA-50 DE 6,3 MM - MONTAGEM. AF_01/2024</t>
  </si>
  <si>
    <t>ARMAÇÃO DE SAPATA ISOLADA, VIGA BALDRAME E SAPATA CORRIDA UTILIZANDO AÇO CA-50 DE 8 MM - MONTAGEM. AF_01/2024</t>
  </si>
  <si>
    <t>ARMAÇÃO DE SAPATA ISOLADA, VIGA BALDRAME E SAPATA CORRIDA UTILIZANDO AÇO CA-50 DE 10 MM - MONTAGEM. AF_01/2024</t>
  </si>
  <si>
    <t>ARMAÇÃO DE BLOCO, SAPATA ISOLADA, VIGA BALDRAME E SAPATA CORRIDA UTILIZANDO AÇO CA-50 DE 12,5 MM - MONTAGEM. AF_01/2024</t>
  </si>
  <si>
    <t>ARMAÇÃO DE BLOCO, SAPATA ISOLADA, VIGA BALDRAME E SAPATA CORRIDA UTILIZANDO AÇO CA-50 DE 16 MM - MONTAGEM. AF_01/2024</t>
  </si>
  <si>
    <t>ARMAÇÃO DE BLOCO, SAPATA ISOLADA E SAPATA CORRIDA UTILIZANDO AÇO CA-50 DE 20 MM - MONTAGEM. AF_01/2024</t>
  </si>
  <si>
    <t>CONCRETAGEM DE BLOCO DE COROAMENTO OU VIGA BALDRAME, FCK 30 MPA, COM USO DE JERICA - LANÇAMENTO, ADENSAMENTO E ACABAMENTO. AF_01/2024</t>
  </si>
  <si>
    <t>CONCRETAGEM DE SAPATA, FCK 30 MPA, COM USO DE JERICA - LANÇAMENTO, ADENSAMENTO E ACABAMENTO. AF_01/2024</t>
  </si>
  <si>
    <t>CONCRETAGEM DE BLOCO DE COROAMENTO OU VIGA BALDRAME, FCK 30 MPA, COM USO DE BOMBA - LANÇAMENTO, ADENSAMENTO E ACABAMENTO. AF_01/2024</t>
  </si>
  <si>
    <t>CONCRETAGEM DE SAPATA, FCK 30 MPA, COM USO DE BOMBA - LANÇAMENTO, ADENSAMENTO E ACABAMENTO. AF_01/2024</t>
  </si>
  <si>
    <t>ARMAÇÃO DE SAPATA ISOLADA, VIGA BALDRAME E SAPATA CORRIDA UTILIZANDO AÇO CA-60 DE 5 MM - MONTAGEM. AF_01/2024</t>
  </si>
  <si>
    <t>CONCRETAGEM DE SAPATA CORRIDA, FCK 30 MPA, COM USO DE JERICA - LANÇAMENTO, ADENSAMENTO E ACABAMENTO. AF_01/2024</t>
  </si>
  <si>
    <t>CONCRETAGEM DE SAPATA CORRIDA, FCK 30 MPA, COM USO DE BOMBA - LANÇAMENTO, ADENSAMENTO E ACABAMENTO. AF_01/2024</t>
  </si>
  <si>
    <t>VERGA PRÉ-MOLDADA COM ATÉ 1,5 M DE VÃO, ESPESSURA DE *20* CM. AF_03/2024</t>
  </si>
  <si>
    <t>VERGA MOLDADA IN LOCO EM CONCRETO, ESPESSURA DE *20* CM. AF_03/2024</t>
  </si>
  <si>
    <t>VERGA MOLDADA IN LOCO COM UTILIZAÇÃO DE BLOCOS CANALETA, ESPESSURA DE *20* CM. AF_03/2024</t>
  </si>
  <si>
    <t>CONTRAVERGA PRÉ-MOLDADA, ESPESSURA DE *20* CM. AF_03/2024</t>
  </si>
  <si>
    <t>CONTRAVERGA MOLDADA IN LOCO EM CONCRETO, ESPESSURA DE *20* CM. AF_03/2024</t>
  </si>
  <si>
    <t>CONTRAVERGA MOLDADA IN LOCO COM UTILIZAÇÃO DE BLOCOS CANALETA, ESPESSURA DE *20* CM. AF_03/2024</t>
  </si>
  <si>
    <t>FIXAÇÃO (ENCUNHAMENTO) DE ALVENARIA DE VEDAÇÃO COM ARGAMASSA APLICADA COM BISNAGA. AF_03/2024</t>
  </si>
  <si>
    <t>FIXAÇÃO (ENCUNHAMENTO) DE ALVENARIA DE VEDAÇÃO COM TIJOLO MACIÇO. AF_03/2024</t>
  </si>
  <si>
    <t>FIXAÇÃO (ENCUNHAMENTO) DE ALVENARIA DE VEDAÇÃO COM ESPUMA DE POLIURETANO EXPANSIVA. AF_03/2024</t>
  </si>
  <si>
    <t>CINTA DE AMARRAÇÃO DE ALVENARIA MOLDADA IN LOCO COM UTILIZAÇÃO DE BLOCOS CANALETA, ESPESSURA DE *20* CM. AF_03/2024</t>
  </si>
  <si>
    <t>VERGA PRÉ-MOLDADA COM ATÉ 1,5 M DE VÃO, ESPESSURA DE *15* CM. AF_03/2024</t>
  </si>
  <si>
    <t>VERGA PRÉ-MOLDADA COM ATÉ 1,5 M DE VÃO, ESPESSURA DE *10* CM. AF_03/2024</t>
  </si>
  <si>
    <t>VERGA MOLDADA IN LOCO EM CONCRETO, ESPESSURA DE *15* CM. AF_03/2024</t>
  </si>
  <si>
    <t>VERGA MOLDADA IN LOCO EM CONCRETO, ESPESSURA DE *10* CM. AF_03/2024</t>
  </si>
  <si>
    <t>VERGA MOLDADA IN LOCO COM UTILIZAÇÃO DE BLOCOS CANALETA, ESPESSURA DE *15* CM. AF_03/2024</t>
  </si>
  <si>
    <t>VERGA MOLDADA IN LOCO COM UTILIZAÇÃO DE BLOCOS CANALETA, ESPESSURA DE *10* CM. AF_03/2024</t>
  </si>
  <si>
    <t>CONTRAVERGA PRÉ-MOLDADA, ESPESSURA DE *15* CM. AF_03/2024</t>
  </si>
  <si>
    <t>CONTRAVERGA PRÉ-MOLDADA, ESPESSURA DE *10* CM. AF_03/2024</t>
  </si>
  <si>
    <t>CONTRAVERGA MOLDADA IN LOCO EM CONCRETO, ESPESSURA DE *15* CM. AF_03/2024</t>
  </si>
  <si>
    <t>CONTRAVERGA MOLDADA IN LOCO EM CONCRETO, ESPESSURA DE *10* CM. AF_03/2024</t>
  </si>
  <si>
    <t>CONTRAVERGA MOLDADA IN LOCO COM UTILIZAÇÃO DE BLOCOS CANALETA, ESPESSURA DE *15* CM. AF_03/2024</t>
  </si>
  <si>
    <t>CONTRAVERGA MOLDADA IN LOCO COM UTILIZAÇÃO DE BLOCOS CANALETA, ESPESSURA DE *10* CM. AF_03/2024</t>
  </si>
  <si>
    <t>CINTA DE AMARRAÇÃO DE ALVENARIA MOLDADA IN LOCO COM UTILIZAÇÃO DE BLOCOS CANALETA, ESPESSURA DE *15* CM. AF_03/2024</t>
  </si>
  <si>
    <t>CINTA DE AMARRAÇÃO DE ALVENARIA MOLDADA IN LOCO COM UTILIZAÇÃO DE BLOCOS CANALETA, ESPESSURA DE *10* CM. AF_03/2024</t>
  </si>
  <si>
    <t>VERGA PRÉ-FABRICADA COM ATÉ 1,5 M DE VÃO, ESPESSURA DE *20* CM. AF_03/2024</t>
  </si>
  <si>
    <t>VERGA PRÉ-FABRICADA COM ATÉ 1,5 M DE VÃO, ESPESSURA DE *15* CM. AF_03/2024</t>
  </si>
  <si>
    <t>VERGA PRÉ-FABRICADA COM ATÉ 1,5 M DE VÃO, ESPESSURA DE *10* CM. AF_03/2024</t>
  </si>
  <si>
    <t>CONTRAVERGA PRÉ-FABRICADA, ESPESSURA DE *20* CM. AF_03/2024</t>
  </si>
  <si>
    <t>CONTRAVERGA PRÉ-FABRICADA, ESPESSURA DE *15* CM. AF_03/2024</t>
  </si>
  <si>
    <t>CONTRAVERGA PRÉ-FABRICADA, ESPESSURA DE *10* CM. AF_03/2024</t>
  </si>
  <si>
    <t>PEÇA RETANGULAR PRÉ-MOLDADA, VOLUME DE CONCRETO DE ATÉ 10 LITROS, TAXA DE AÇO APROXIMADA DE 30KG/M³. AF_03/2024</t>
  </si>
  <si>
    <t>PEÇA RETANGULAR PRÉ-MOLDADA, VOLUME DE CONCRETO DE 10 A 30 LITROS, TAXA DE AÇO APROXIMADA DE 30KG/M³. AF_03/2024</t>
  </si>
  <si>
    <t>PEÇA RETANGULAR PRÉ-MOLDADA, VOLUME DE CONCRETO DE 30 A 100 LITROS, TAXA DE AÇO APROXIMADA DE 30KG/M³. AF_03/2024</t>
  </si>
  <si>
    <t>PEÇA RETANGULAR PRÉ-MOLDADA, VOLUME DE CONCRETO ACIMA DE 100 LITROS, TAXA DE AÇO APROXIMADA DE 30KG/M³. AF_03/2024</t>
  </si>
  <si>
    <t>PEÇA CIRCULAR PRÉ-MOLDADA, VOLUME DE CONCRETO DE 10 A 30 LITROS, TAXA DE FIBRA DE POLIPROPILENO APROXIMADA DE 6 KG/M³. AF_03/2024_PS</t>
  </si>
  <si>
    <t>PEÇA CIRCULAR PRÉ-MOLDADA, VOLUME DE CONCRETO DE 30 A 100 LITROS, TAXA DE AÇO APROXIMADA DE 30KG/M³. AF_03/2024</t>
  </si>
  <si>
    <t>PEÇA CIRCULAR PRÉ-MOLDADA, VOLUME DE CONCRETO ACIMA DE 100 LITROS, TAXA DE AÇO APROXIMADA DE 30KG/M³. AF_03/2024</t>
  </si>
  <si>
    <t>ARMAÇÃO DE DESCIDA D'ÁGUA UTILIZANDO AÇO CA-60 DE 5 MM - MONTAGEM. AF_08/2022</t>
  </si>
  <si>
    <t>ESCADA HIDRÁULICA, LARGURA ATÉ 1M, TIPO DESCIDA D'ÁGUA DE CORTE OU ATERRO EM DEGRAUS (DCD 02, 04 E DAD 02), EM CONCRETO USINADO, FCK = 20 MPA, LANÇADO COM BOMBA, INCLUINDO ARMAÇÃO, MATERIAIS E FÔRMAS (3 UTILIZAÇÕES). AF_08/2022</t>
  </si>
  <si>
    <t>ESCADA HIDRÁULICA, LARGURA DE 1 A 4,1 M, TIPO DESCIDA D'ÁGUA DE ATERRO EM DEGRAUS (DAD 04, 06, 08, 10, 12, 14, 16, 18), EM CONCRETO USINADO, FCK = 20 MPA, LANÇADO COM BOMBA, INCLUINDO ARMAÇÃO, MATERIAIS E FÔRMAS (3 UTILIZAÇÕES). AF_08/2022</t>
  </si>
  <si>
    <t>VIGA DE MADEIRA SERRADA, PINUS OU EQUIVALENTE DA REGIÃO, SEÇÃO RETANGULAR 7,5 X 10 CM. AF_03/2024</t>
  </si>
  <si>
    <t>PILAR DE MADEIRA ROLIÇA, EUCALIPTO OU EQUIVALENTE DA REGIÃO, FIXADO COM VERGALHÃO, DIÂMETRO DE 12 A 15 CM, APOIO ARTICULADO, COMPRIMENTO DE 3 M. AF_03/2024</t>
  </si>
  <si>
    <t>VIGA DE MADEIRA SERRADA, PINUS OU EQUIVALENTE DA REGIÃO, SEÇÃO RETANGULAR 7,5 X 15 CM. AF_03/2024</t>
  </si>
  <si>
    <t>PILAR DE MADEIRA ROLIÇA, EUCALIPTO OU EQUIVALENTE DA REGIÃO, FIXADO COM VERGALHÃO, DIÂMETRO DE 12 A 15 CM, APOIO ARTICULADO, COMPRIMENTO DE 6 M. AF_03/2024</t>
  </si>
  <si>
    <t>PILAR DE MADEIRA ROLIÇA, EUCALIPTO OU EQUIVALENTE DA REGIÃO, FIXADO COM VERGALHÃO, DIÂMETRO DE 21 A 29 CM, APOIO ARTICULADO, COMPRIMENTO DE 3 M. AF_03/2024</t>
  </si>
  <si>
    <t>PILAR DE MADEIRA ROLIÇA, EUCALIPTO OU EQUIVALENTE DA REGIÃO, FIXADO COM VERGALHÃO, DIÂMETRO DE 21 A 29 CM, APOIO ARTICULADO, COMPRIMENTO DE 6 M. AF_03/2024</t>
  </si>
  <si>
    <t>PILAR DE MADEIRA ROLIÇA, EUCALIPTO OU EQUIVALENTE DA REGIÃO, FIXADO COM VERGALHÃO, DIÂMETRO DE 30 A 34 CM, APOIO ARTICULADO, COMPRIMENTO DE 3 M. AF_03/2024</t>
  </si>
  <si>
    <t>PILAR DE MADEIRA ROLIÇA, EUCALIPTO OU EQUIVALENTE DA REGIÃO, FIXADO COM VERGALHÃO, DIÂMETRO DE 30 A 34 CM, APOIO ARTICULADO, COMPRIMENTO DE 6 M. AF_03/2024</t>
  </si>
  <si>
    <t>PILAR DE MADEIRA SERRADA, MAÇARANDUBA OU EQUIVALENTE DA REGIÃO, NÃO APARELHADO, FIXADO COM VERGALHÃO, SEÇÃO QUADRADA 10 X 10 CM, APOIO ARTICULADO, COMPRIMENTO DE 3 M. AF_03/2024</t>
  </si>
  <si>
    <t>PILAR DE MADEIRA SERRADA, MAÇARANDUBA OU EQUIVALENTE DA REGIÃO, NÃO APARELHADO, FIXADO COM VERGALHÃO, SEÇÃO QUADRADA 10 X 10 CM, APOIO ARTICULADO, COMPRIMENTO DE 6 M. AF_03/2024</t>
  </si>
  <si>
    <t>PILAR DE MADEIRA SERRADA, MAÇARANDUBA OU EQUIVALENTE DA REGIÃO, NÃO APARELHADO, FIXADO COM VERGALHÃO, SEÇÃO QUADRADA 15 X 15 CM, APOIO ARTICULADO, COMPRIMENTO DE 3 M. AF_03/2024</t>
  </si>
  <si>
    <t>PILAR DE MADEIRA SERRADA, MAÇARANDUBA OU EQUIVALENTE DA REGIÃO, NÃO APARELHADO, FIXADO COM VERGALHÃO, SEÇÃO QUADRADA 15 X 15 CM, APOIO ARTICULADO, COMPRIMENTO DE 6 M. AF_03/2024</t>
  </si>
  <si>
    <t>PILAR DE MADEIRA SERRADA, MAÇARANDUBA OU EQUIVALENTE DA REGIÃO, NÃO APARELHADO, FIXADO COM VERGALHÃO, SEÇÃO QUADRADA 20 X 20 CM, APOIO ARTICULADO, COMPRIMENTO DE 3 M. AF_03/2024</t>
  </si>
  <si>
    <t>PILAR DE MADEIRA SERRADA, MAÇARANDUBA OU EQUIVALENTE DA REGIÃO, NÃO APARELHADO, FIXADO COM VERGALHÃO, SEÇÃO QUADRADA 20 X 20 CM, APOIO ARTICULADO, COMPRIMENTO DE 6 M. AF_03/2024</t>
  </si>
  <si>
    <t>VIGA DE MADEIRA SERRADA, MAÇARANDUBA OU EQUIVALENTE DA REGIÃO, APARELHADA, SEÇÃO RETANGULAR 6 X 12 CM. AF_03/2024</t>
  </si>
  <si>
    <t>VIGA DE MADEIRA SERRADA, MAÇARANDUBA OU EQUIVALENTE DA REGIÃO, APARELHADA, SEÇÃO RETANGULAR 6 X 16 CM. AF_03/2024</t>
  </si>
  <si>
    <t>VIGA DE MADEIRA SERRADA, MAÇARANDUBA OU EQUIVALENTE DA REGIÃO, NÃO APARELHADA, SEÇÃO RETANGULAR 6 X 12 CM. AF_03/2024</t>
  </si>
  <si>
    <t>VIGA DE MADEIRA SERRADA, MAÇARANDUBA OU EQUIVALENTE DA REGIÃO, NÃO APARELHADA, SEÇÃO RETANGULAR 6 X 16 CM. AF_03/2024</t>
  </si>
  <si>
    <t>VIGA DE MADEIRA SERRADA, MAÇARANDUBA OU EQUIVALENTE DA REGIÃO, NÃO APARELHADA, SEÇÃO RETANGULAR 6 X 20 CM. AF_03/2024</t>
  </si>
  <si>
    <t>VIGA DE MADEIRA SERRADA, MAÇARANDUBA OU EQUIVALENTE DA REGIÃO, NÃO APARELHADA, SEÇÃO RETANGULAR 8 X 16 CM. AF_03/2024</t>
  </si>
  <si>
    <t>VIGA DE MADEIRA SERRADA, MAÇARANDUBA OU EQUIVALENTE DA REGIÃO, NÃO APARELHADA, SEÇÃO RETANGULAR 6 X 25 CM. AF_03/2024</t>
  </si>
  <si>
    <t>VIGA DE MADEIRA SERRADA, MAÇARANDUBA OU EQUIVALENTE DA REGIÃO, NÃO APARELHADA, SEÇÃO RETANGULAR 6 X 30 CM. AF_03/2024</t>
  </si>
  <si>
    <t>VIGA DE MADEIRA SERRADA, MAÇARANDUBA OU EQUIVALENTE DA REGIÃO, NÃO APARELHADA, SEÇÃO RETANGULAR 6 X 40 CM. AF_03/2024</t>
  </si>
  <si>
    <t>VIGA DE MADEIRA SERRADA, MAÇARANDUBA OU EQUIVALENTE DA REGIÃO, APARELHADA, SEÇÃO RETANGULAR 8 X 30 CM. AF_03/2024</t>
  </si>
  <si>
    <t>PISO DE MADEIRA, SOBRE VIGOTAS DE MADEIRA SEÇÃO 7,5 X 15 CM. AF_03/2024</t>
  </si>
  <si>
    <t>VIGA DE MADEIRA SERRADA, MAÇARANDUBA OU EQUIVALENTE DA REGIÃO, APARELHADA, SEÇÃO RETANGULAR 7,5 X 23 CM. AF_03/2024</t>
  </si>
  <si>
    <t>VIGA DE MADEIRA SERRADA, MAÇARANDUBA OU EQUIVALENTE DA REGIÃO, NÃO APARELHADA, SEÇÃO RETANGULAR 7,5 X 23 CM. AF_03/2024</t>
  </si>
  <si>
    <t>VIGA DE MADEIRA SERRADA, MAÇARANDUBA OU EQUIVALENTE DA REGIÃO, NÃO APARELHADA, SEÇÃO RETANGULAR 8 X 30 CM. AF_03/2024</t>
  </si>
  <si>
    <t>PILAR DE MADEIRA ROLIÇA, EUCALIPTO OU EQUIVALENTE DA REGIÃO, FIXADO COM VERGALHÃO, DIÂMETRO DE 16 A 20 CM, APOIO ARTICULADO, COMPRIMENTO DE 3 M. AF_03/2024</t>
  </si>
  <si>
    <t>PILAR DE MADEIRA ROLIÇA, EUCALIPTO OU EQUIVALENTE DA REGIÃO, FIXADO COM VERGALHÃO, DIÂMETRO DE 16 A 20 CM, APOIO ARTICULADO, COMPRIMENTO DE 6 M. AF_03/2024</t>
  </si>
  <si>
    <t>VIGA DE MADEIRA ROLIÇA, EUCALIPTO OU EQUIVALENTE DA REGIÃO, DIÂMETRO DE 12 A 15 CM. AF_03/2024</t>
  </si>
  <si>
    <t>VIGA DE MADEIRA ROLIÇA, EUCALIPTO OU EQUIVALENTE DA REGIÃO, DIÂMETRO DE 16 A 20 CM. AF_03/2024</t>
  </si>
  <si>
    <t>VIGA DE MADEIRA ROLIÇA, EUCALIPTO OU EQUIVALENTE DA REGIÃO, DIÂMETRO DE 21 A 29 CM. AF_03/2024</t>
  </si>
  <si>
    <t>VIGA DE MADEIRA ROLIÇA, EUCALIPTO OU EQUIVALENTE DA REGIÃO, DIÂMETRO DE 30 A 34 CM. AF_03/2024</t>
  </si>
  <si>
    <t>PINTURA ANTICORROSIVA DE DUTO METÁLICO. AF_03/2024</t>
  </si>
  <si>
    <t>AR CONDICIONADO SPLIT INVERTER, PISO TETO, 18000 BTU/H, CICLO FRIO - FORNECIMENTO E INSTALAÇÃO. AF_11/2021_PSE</t>
  </si>
  <si>
    <t>AR CONDICIONADO SPLIT ON/OFF, PISO TETO, 18.000 BTU/H, CICLO FRIO - FORNECIMENTO E INSTALAÇÃO. AF_11/2021_PSE</t>
  </si>
  <si>
    <t>AR CONDICIONADO SPLIT INVERTER, PISO TETO, 24000 BTU/H, CICLO FRIO - FORNECIMENTO E INSTALAÇÃO. AF_11/2021_PSE</t>
  </si>
  <si>
    <t>AR CONDICIONADO SPLIT ON/OFF, PISO TETO, 24.000 BTU/H, CICLO FRIO - FORNECIMENTO E INSTALAÇÃO. AF_11/2021_PSE</t>
  </si>
  <si>
    <t>AR CONDICIONADO SPLIT INVERTER, PISO TETO, 24000 BTU/H, QUENTE/FRIO - FORNECIMENTO E INSTALAÇÃO. AF_11/2021_PSE</t>
  </si>
  <si>
    <t>AR CONDICIONADO SPLIT INVERTER, PISO TETO, 36000 BTU/H, CICLO FRIO - FORNECIMENTO E INSTALAÇÃO. AF_11/2021_PSE</t>
  </si>
  <si>
    <t>AR CONDICIONADO SPLIT ON/OFF, PISO TETO, 36.000 BTU/H, CICLO FRIO - FORNECIMENTO E INSTALAÇÃO. AF_11/2021_PSE</t>
  </si>
  <si>
    <t>TUBO DE AÇO GALVANIZADO COM COSTURA, CLASSE MÉDIA, DN 50 MM (2"), CONEXÃO ROSQUEADA, INSTALADO EM RESERVAÇÃO PREDIAL DE ÁGUA - FORNECIMENTO E INSTALAÇÃO. AF_04/2024</t>
  </si>
  <si>
    <t>TUBO DE AÇO GALVANIZADO COM COSTURA, CLASSE MÉDIA, DN 65 MM (2 1/2"), CONEXÃO ROSQUEADA, INSTALADO EM RESERVAÇÃO PREDIAL DE ÁGUA - FORNECIMENTO E INSTALAÇÃO. AF_04/2024</t>
  </si>
  <si>
    <t>TUBO DE AÇO GALVANIZADO COM COSTURA, CLASSE MÉDIA, DN 80 MM (3"), CONEXÃO ROSQUEADA, INSTALADO EM RESERVAÇÃO PREDIAL DE ÁGUA - FORNECIMENTO E INSTALAÇÃO. AF_04/2024</t>
  </si>
  <si>
    <t>TUBO EM COBRE RÍGIDO, DN 54 MM, CLASSE E, SEM ISOLAMENTO, INSTALADO EM RESERVAÇÃO PREDIAL DE ÁGUA - FORNECIMENTO E INSTALAÇÃO. AF_04/2024</t>
  </si>
  <si>
    <t>TUBO EM COBRE RÍGIDO, DN 66 MM, CLASSE E, SEM ISOLAMENTO, INSTALADO EM RESERVAÇÃO PREDIAL DE ÁGUA - FORNECIMENTO E INSTALAÇÃO. AF_04/2024</t>
  </si>
  <si>
    <t>TUBO EM COBRE RÍGIDO, DN 79 MM, CLASSE E, SEM ISOLAMENTO, INSTALADO EM RESERVAÇÃO PREDIAL DE ÁGUA - FORNECIMENTO E INSTALAÇÃO. AF_04/2024</t>
  </si>
  <si>
    <t>TUBO EM COBRE RÍGIDO, DN 104 MM, CLASSE E, SEM ISOLAMENTO, INSTALADO EM RESERVAÇÃO PREDIAL DE ÁGUA - FORNECIMENTO E INSTALAÇÃO. AF_04/2024</t>
  </si>
  <si>
    <t>TUBO, CPVC, SOLDÁVEL, DN 22 MM, INSTALADO EM RESERVAÇÃO PREDIAL DE ÁGUA - FORNECIMENTO E INSTALAÇÃO. AF_04/2024</t>
  </si>
  <si>
    <t>TUBO, CPVC, SOLDÁVEL, DN 28 MM, INSTALADO EM RESERVAÇÃO PREDIAL DE ÁGUA - FORNECIMENTO E INSTALAÇÃO. AF_04/2024</t>
  </si>
  <si>
    <t>TUBO, CPVC, SOLDÁVEL, DN 35 MM, INSTALADO EM RESERVAÇÃO PREDIAL DE ÁGUA - FORNECIMENTO E INSTALAÇÃO. AF_04/2024</t>
  </si>
  <si>
    <t>TUBO, CPVC, SOLDÁVEL, DN 42 MM, INSTALADO EM RESERVAÇÃO PREDIAL DE ÁGUA - FORNECIMENTO E INSTALAÇÃO. AF_04/2024</t>
  </si>
  <si>
    <t>TUBO, CPVC, SOLDÁVEL, DN 54 MM, INSTALADO EM RESERVAÇÃO PREDIAL DE ÁGUA - FORNECIMENTO E INSTALAÇÃO. AF_04/2024</t>
  </si>
  <si>
    <t>TUBO, CPVC, SOLDÁVEL, DN 73 MM, INSTALADO EM RESERVAÇÃO PREDIAL DE ÁGUA - FORNECIMENTO E INSTALAÇÃO. AF_04/2024</t>
  </si>
  <si>
    <t>TUBO, CPVC, SOLDÁVEL, DN 89 MM, INSTALADO EM RESERVAÇÃO PREDIAL DE ÁGUA - FORNECIMENTO E INSTALAÇÃO. AF_04/2024</t>
  </si>
  <si>
    <t>TUBO, CPVC, SOLDÁVEL, DN 114 MM, INSTALADO EM RESERVAÇÃO PREDIAL DE ÁGUA - FORNECIMENTO E INSTALAÇÃO. AF_04/2024</t>
  </si>
  <si>
    <t>BUCHA DE REDUÇÃO PVC, SOLDÁVEL, LONGA, DN 60 X 25 MM, INSTALADO EM RESERVAÇÃO PREDIAL DE ÁGUA - FORNECIMENTO E INSTALAÇÃO. AF_04/2024</t>
  </si>
  <si>
    <t>BUCHA DE REDUÇÃO PVC, SOLDÁVEL, LONGA, DN 60 X 32 MM, INSTALADO EM RESERVAÇÃO PREDIAL DE ÁGUA - FORNECIMENTO E INSTALAÇÃO. AF_04/2024</t>
  </si>
  <si>
    <t>BUCHA DE REDUÇÃO PVC, SOLDÁVEL, LONGA, DN 60 X 50 MM, INSTALADO EM RESERVAÇÃO PREDIAL DE ÁGUA - FORNECIMENTO E INSTALAÇÃO. AF_04/2024</t>
  </si>
  <si>
    <t>BUCHA DE REDUÇÃO PVC, SOLDÁVEL, LONGA, DN 75 X 50 MM, INSTALADO EM RESERVAÇÃO PREDIAL DE ÁGUA - FORNECIMENTO E INSTALAÇÃO. AF_04/2024</t>
  </si>
  <si>
    <t>LUVA DE REDUÇÃO SOLDÁVEL, PVC, DN 32 MM X 25 MM, INSTALADO EM RESERVAÇÃO PREDIAL DE ÁGUA - FORNECIMENTO E INSTALAÇÃO. AF_04/2024</t>
  </si>
  <si>
    <t>LUVA DE REDUÇÃO SOLDÁVEL, PVC, DN 40 MM X 32 MM, INSTALADO EM RESERVAÇÃO PREDIAL DE ÁGUA - FORNECIMENTO E INSTALAÇÃO. AF_04/2024</t>
  </si>
  <si>
    <t>LUVA DE REDUÇÃO SOLDÁVEL, PVC, DN 60 MM X 50 MM, INSTALADO EM RESERVAÇÃO PREDIAL DE ÁGUA - FORNECIMENTO E INSTALAÇÃO. AF_04/2024</t>
  </si>
  <si>
    <t>LUVA DE REDUÇÃO, SOLDÁVEL, PVC, DN 50 X 25 MM, INSTALADO EM RESERVAÇÃO PREDIAL DE ÁGUA - FORNECIMENTO E INSTALAÇÃO. AF_04/2024</t>
  </si>
  <si>
    <t>JOELHO PPR 45 GRAUS, SOLDÁVEL, DN 63 MM, INSTALADO EM RESERVAÇÃO PREDIAL DE ÁGUA - FORNECIMENTO E INSTALAÇÃO. AF_04/2024</t>
  </si>
  <si>
    <t>ADAPTADOR CURTO COM BOLSA E ROSCA PARA REGISTRO, PVC, SOLDÁVEL, DN 75MM X 2.1/2", INSTALADO EM PRUMADA DE ÁGUA - FORNECIMENTO E INSTALAÇÃO. AF_12/2014</t>
  </si>
  <si>
    <t>JOELHO DE TRANSIÇÃO, 90 GRAUS, CPVC, SOLDÁVEL, DN 15MM X 1/2", INSTALADO EM RAMAL OU SUB-RAMAL DE ÁGUA - FORNECIMENTO E INSTALAÇÃO. AF_06/2022</t>
  </si>
  <si>
    <t>JOELHO DE TRANSIÇÃO, 90 GRAUS, CPVC, SOLDÁVEL, DN 22MM X 1/2", INSTALADO EM RAMAL OU SUB-RAMAL DE ÁGUA - FORNECIMENTO E INSTALAÇÃO. AF_06/2022</t>
  </si>
  <si>
    <t>JOELHO DE TRANSIÇÃO, 90 GRAUS, CPVC, SOLDÁVEL, DN 22MM X 3/4", INSTALADO EM RAMAL OU SUB-RAMAL DE ÁGUA - FORNECIMENTO E INSTALAÇÃO. AF_06/2022</t>
  </si>
  <si>
    <t>LUVA DE TRANSIÇÃO, CPVC, SOLDÁVEL, DN15MM X 1/2", INSTALADO EM RAMAL OU SUB-RAMAL DE ÁGUA - FORNECIMENTO E INSTALAÇÃO. AF_06/2022</t>
  </si>
  <si>
    <t>CONECTOR, CPVC, SOLDÁVEL, DN22MM X 3/4", INSTALADO EM RAMAL OU SUB-RAMAL DE ÁGUA - FORNECIMENTO E INSTALAÇÃO. AF_06/2022</t>
  </si>
  <si>
    <t>TE MISTURADOR DE TRANSIÇÃO, CPVC, SOLDÁVEL, DN 22MM X 3/4", INSTALADO EM RAMAL OU SUB-RAMAL DE ÁGUA - FORNECIMENTO E INSTALAÇÃO. AF_06/2022</t>
  </si>
  <si>
    <t>LUVA, EM FERRO GALVANIZADO, CONEXÃO ROSQUEADA, DN 50 MM (2"), INSTALADO EM RESERVAÇÃO PREDIAL DE ÁGUA - FORNECIMENTO E INSTALAÇÃO. AF_04/2024</t>
  </si>
  <si>
    <t>NIPLE, EM FERRO GALVANIZADO, CONEXÃO ROSQUEADA, DN 50 MM (2"), INSTALADO EM RESERVAÇÃO PREDIAL DE ÁGUA - FORNECIMENTO E INSTALAÇÃO. AF_04/2024</t>
  </si>
  <si>
    <t>LUVA, EM FERRO GALVANIZADO, CONEXÃO ROSQUEADA, DN 65 MM (2 1/2"), INSTALADO EM RESERVAÇÃO PREDIAL DE ÁGUA - FORNECIMENTO E INSTALAÇÃO. AF_04/2024</t>
  </si>
  <si>
    <t>NIPLE, EM FERRO GALVANIZADO, CONEXÃO ROSQUEADA, DN 65 MM (2 1/2"), INSTALADO EM RESERVAÇÃO PREDIAL DE ÁGUA - FORNECIMENTO E INSTALAÇÃO. AF_04/2024</t>
  </si>
  <si>
    <t>LUVA, EM FERRO GALVANIZADO, CONEXÃO ROSQUEADA, DN 80 MM (3"), INSTALADO EM RESERVAÇÃO PREDIAL DE ÁGUA - FORNECIMENTO E INSTALAÇÃO. AF_04/2024</t>
  </si>
  <si>
    <t>NIPLE, EM FERRO GALVANIZADO, CONEXÃO ROSQUEADA, DN 80 MM (3"), INSTALADO EM RESERVAÇÃO PREDIAL DE ÁGUA - FORNECIMENTO E INSTALAÇÃO. AF_04/2024</t>
  </si>
  <si>
    <t>COTOVELO 90 GRAUS, EM FERRO GALVANIZADO, CONEXÃO ROSQUEADA, DN 50 MM (2"), INSTALADO EM RESERVAÇÃO PREDIAL DE ÁGUA - FORNECIMENTO E INSTALAÇÃO. AF_04/2024</t>
  </si>
  <si>
    <t>COTOVELO 45 GRAUS, EM FERRO GALVANIZADO, CONEXÃO ROSQUEADA, DN 50 MM (2"), INSTALADO EM RESERVAÇÃO PREDIAL DE ÁGUA - FORNECIMENTO E INSTALAÇÃO. AF_04/2024</t>
  </si>
  <si>
    <t>COTOVELO 90 GRAUS, EM FERRO GALVANIZADO, CONEXÃO ROSQUEADA, DN 65 MM (2 1/2"), INSTALADO EM RESERVAÇÃO PREDIAL DE ÁGUA - FORNECIMENTO E INSTALAÇÃO. AF_04/2024</t>
  </si>
  <si>
    <t>COTOVELO 45 GRAUS, EM FERRO GALVANIZADO, CONEXÃO ROSQUEADA, DN 65 MM (2 1/2"), INSTALADO EM RESERVAÇÃO PREDIAL DE ÁGUA - FORNECIMENTO E INSTALAÇÃO. AF_04/2024</t>
  </si>
  <si>
    <t>COTOVELO 90 GRAUS, EM FERRO GALVANIZADO, CONEXÃO ROSQUEADA, DN 80 MM (3"), INSTALADO EM RESERVAÇÃO PREDIAL DE ÁGUA - FORNECIMENTO E INSTALAÇÃO. AF_04/2024</t>
  </si>
  <si>
    <t>COTOVELO 45 GRAUS, EM FERRO GALVANIZADO, CONEXÃO ROSQUEADA, DN 80 MM (3"), INSTALADO EM RESERVAÇÃO PREDIAL DE ÁGUA - FORNECIMENTO E INSTALAÇÃO. AF_04/2024</t>
  </si>
  <si>
    <t>TÊ, EM FERRO GALVANIZADO, CONEXÃO ROSQUEADA, DN 50 MM (2"), INSTALADO EM RESERVAÇÃO PREDIAL DE ÁGUA - FORNECIMENTO E INSTALAÇÃO. AF_04/2024</t>
  </si>
  <si>
    <t>TÊ, EM FERRO GALVANIZADO, CONEXÃO ROSQUEADA, DN 65 MM (2 1/2"), INSTALADO EM RESERVAÇÃO PREDIAL DE ÁGUA - FORNECIMENTO E INSTALAÇÃO. AF_04/2024</t>
  </si>
  <si>
    <t>TÊ, EM FERRO GALVANIZADO, CONEXÃO ROSQUEADA, DN 80 MM (3"), INSTALADO EM RESERVAÇÃO PREDIAL DE ÁGUA - FORNECIMENTO E INSTALAÇÃO. AF_04/2024</t>
  </si>
  <si>
    <t>LUVA EM COBRE, DN 54 MM, SEM ANEL DE SOLDA, INSTALADO EM RESERVAÇÃO PREDIAL DE ÁGUA - FORNECIMENTO E INSTALAÇÃO. AF_04/2024</t>
  </si>
  <si>
    <t>LUVA EM COBRE, DN 66 MM, SEM ANEL DE SOLDA, INSTALADO EM RESERVAÇÃO PREDIAL DE ÁGUA - FORNECIMENTO E INSTALAÇÃO. AF_04/2024</t>
  </si>
  <si>
    <t>LUVA EM COBRE, DN 79 MM, SEM ANEL DE SOLDA, INSTALADO EM RESERVAÇÃO PREDIAL DE ÁGUA - FORNECIMENTO E INSTALAÇÃO. AF_04/2024</t>
  </si>
  <si>
    <t>LUVA DE COBRE, DN 104 MM, SEM ANEL DE SOLDA, INSTALADO EM RESERVAÇÃO PREDIAL DE ÁGUA - FORNECIMENTO E INSTALAÇÃO. AF_04/2024</t>
  </si>
  <si>
    <t>COTOVELO EM COBRE, DN 54 MM, 90 GRAUS, SEM ANEL DE SOLDA, INSTALADO EM RESERVAÇÃO PREDIAL DE ÁGUA - FORNECIMENTO E INSTALAÇÃO. AF_04/2024</t>
  </si>
  <si>
    <t>CURVA EM COBRE, DN 54 MM, 45 GRAUS, SEM ANEL DE SOLDA, BOLSA X BOLSA, INSTALADO EM RESERVAÇÃO PREDIAL DE ÁGUA - FORNECIMENTO E INSTALAÇÃO. AF_04/2024</t>
  </si>
  <si>
    <t>COTOVELO EM COBRE, DN 66 MM, 90 GRAUS, SEM ANEL DE SOLDA, INSTALADO EM RESERVAÇÃO PREDIAL DE ÁGUA - FORNECIMENTO E INSTALAÇÃO. AF_04/2024</t>
  </si>
  <si>
    <t>CURVA EM COBRE, DN 66 MM, 45 GRAUS, SEM ANEL DE SOLDA, BOLSA X BOLSA, INSTALADO EM RESERVAÇÃO PREDIAL DE ÁGUA - FORNECIMENTO E INSTALAÇÃO. AF_04/2024</t>
  </si>
  <si>
    <t>COTOVELO EM COBRE, DN 79 MM, 90 GRAUS, SEM ANEL DE SOLDA, INSTALADO EM RESERVAÇÃO PREDIAL DE ÁGUA - FORNECIMENTO E INSTALAÇÃO. AF_04/2024</t>
  </si>
  <si>
    <t>COTOVELO EM COBRE, DN 104 MM, 90 GRAUS, SEM ANEL DE SOLDA, INSTALADO EM RESERVAÇÃO PREDIAL DE ÁGUA - FORNECIMENTO E INSTALAÇÃO. AF_04/2024</t>
  </si>
  <si>
    <t>TE EM COBRE, DN 54 MM, SEM ANEL DE SOLDA, INSTALADO EM RESERVAÇÃO PREDIAL DE ÁGUA - FORNECIMENTO E INSTALAÇÃO. AF_04/2024</t>
  </si>
  <si>
    <t>TE EM COBRE, DN 66 MM, SEM ANEL DE SOLDA, INSTALADO EM RESERVAÇÃO PREDIAL DE ÁGUA - FORNECIMENTO E INSTALAÇÃO. AF_04/2024</t>
  </si>
  <si>
    <t>TE EM COBRE, DN 79 MM, SEM ANEL DE SOLDA, INSTALADO EM RESERVAÇÃO PREDIAL DE ÁGUA - FORNECIMENTO E INSTALAÇÃO. AF_04/2024</t>
  </si>
  <si>
    <t>TE EM COBRE, DN 104 MM, SEM ANEL DE SOLDA, INSTALADO EM RESERVAÇÃO PREDIAL DE ÁGUA - FORNECIMENTO E INSTALAÇÃO. AF_04/2024</t>
  </si>
  <si>
    <t>ADAPTADOR CURTO COM BOLSA E ROSCA PARA REGISTRO, PVC, SOLDÁVEL, DN 32 MM X 1", INSTALADO EM RESERVAÇÃO PREDIAL DE ÁGUA - FORNECIMENTO E INSTALAÇÃO. AF_04/2024</t>
  </si>
  <si>
    <t>LUVA PVC, SOLDÁVEL, DN 32 MM, INSTALADO EM RESERVAÇÃO PREDIAL DE ÁGUA - FORNECIMENTO E INSTALAÇÃO. AF_04/2024</t>
  </si>
  <si>
    <t>ADAPTADOR CURTO COM BOLSA E ROSCA PARA REGISTRO, PVC, SOLDÁVEL, DN 40 MM X 1 1/4", INSTALADO EM RESERVAÇÃO PREDIAL DE ÁGUA - FORNECIMENTO E INSTALAÇÃO. AF_04/2024</t>
  </si>
  <si>
    <t>LUVA, PVC, SOLDÁVEL, DN 40 MM, INSTALADO EM RESERVAÇÃO PREDIAL DE ÁGUA - FORNECIMENTO E INSTALAÇÃO. AF_04/2024</t>
  </si>
  <si>
    <t>ADAPTADOR CURTO COM BOLSA E ROSCA PARA REGISTRO, PVC, SOLDÁVEL, DN 50 MM X 1 1/2", INSTALADO EM RESERVAÇÃO PREDIAL DE ÁGUA - FORNECIMENTO E INSTALAÇÃO. AF_04/2024</t>
  </si>
  <si>
    <t>LUVA, PVC, SOLDÁVEL, DN 50 MM, INSTALADO EM RESERVAÇÃO PREDIAL DE ÁGUA - FORNECIMENTO E INSTALAÇÃO. AF_04/2024</t>
  </si>
  <si>
    <t>ADAPTADOR CURTO COM BOLSA E ROSCA PARA REGISTRO, PVC, SOLDÁVEL, DN 60 MM X 2", INSTALADO EM RESERVAÇÃO PREDIAL DE ÁGUA - FORNECIMENTO E INSTALAÇÃO. AF_04/2024</t>
  </si>
  <si>
    <t>LUVA, PVC, SOLDÁVEL, DN 60 MM, INSTALADO EM RESERVAÇÃO PREDIAL DE ÁGUA - FORNECIMENTO E INSTALAÇÃO. AF_04/2024</t>
  </si>
  <si>
    <t>ADAPTADOR CURTO COM BOLSA E ROSCA PARA REGISTRO, PVC, SOLDÁVEL, DN 75 MM X 2 1/2", INSTALADO EM RESERVAÇÃO PREDIAL DE ÁGUA - FORNECIMENTO E INSTALAÇÃO. AF_04/2024</t>
  </si>
  <si>
    <t>LUVA, PVC, SOLDÁVEL, DN 75 MM, INSTALADO EM RESERVAÇÃO PREDIAL DE ÁGUA - FORNECIMENTO E INSTALAÇÃO. AF_04/2024</t>
  </si>
  <si>
    <t>ADAPTADOR CURTO COM BOLSA E ROSCA PARA REGISTRO, PVC, SOLDÁVEL, DN 85 MM X 3", INSTALADO EM RESERVAÇÃO PREDIAL DE ÁGUA - FORNECIMENTO E INSTALAÇÃO. AF_04/2024</t>
  </si>
  <si>
    <t>LUVA, PVC, SOLDÁVEL, DN 85 MM, INSTALADO EM RESERVAÇÃO PREDIAL DE ÁGUA - FORNECIMENTO E INSTALAÇÃO. AF_04/2024</t>
  </si>
  <si>
    <t>ADAPTADOR CURTO COM BOLSA E ROSCA PARA REGISTRO, PVC, SOLDÁVEL, DN 110 MM X 4", INSTALADO EM RESERVAÇÃO PREDIAL DE ÁGUA - FORNECIMENTO E INSTALAÇÃO. AF_04/2024</t>
  </si>
  <si>
    <t>LUVA, PVC, SOLDÁVEL, DN 110 MM, INSTALADO EM RESERVAÇÃO PREDIAL DE ÁGUA - FORNECIMENTO E INSTALAÇÃO. AF_04/2024</t>
  </si>
  <si>
    <t>JOELHO 90 GRAUS, PVC, SOLDÁVEL, DN 32 MM INSTALADO EM RESERVAÇÃO PREDIAL DE ÁGUA - FORNECIMENTO E INSTALAÇÃO. AF_04/2024</t>
  </si>
  <si>
    <t>CURVA 90 GRAUS, PVC, SOLDÁVEL, DN 32 MM, INSTALADO EM RESERVAÇÃO PREDIAL DE ÁGUA - FORNECIMENTO E INSTALAÇÃO. AF_04/2024</t>
  </si>
  <si>
    <t>JOELHO 90 GRAUS, PVC, SOLDÁVEL, DN 40 MM INSTALADO EM RESERVAÇÃO PREDIAL DE ÁGUA - FORNECIMENTO E INSTALAÇÃO. AF_04/2024</t>
  </si>
  <si>
    <t>CURVA 90 GRAUS, PVC, SOLDÁVEL, DN 40 MM, INSTALADO EM RESERVAÇÃO PREDIAL DE ÁGUA - FORNECIMENTO E INSTALAÇÃO. AF_04/2024</t>
  </si>
  <si>
    <t>JOELHO 90 GRAUS, PVC, SOLDÁVEL, DN 50 MM INSTALADO EM RESERVAÇÃO PREDIAL DE ÁGUA - FORNECIMENTO E INSTALAÇÃO. AF_04/2024</t>
  </si>
  <si>
    <t>CURVA 90 GRAUS, PVC, SOLDÁVEL, DN 50 MM, INSTALADO EM RESERVAÇÃO PREDIAL DE ÁGUA - FORNECIMENTO E INSTALAÇÃO. AF_04/2024</t>
  </si>
  <si>
    <t>JOELHO 90 GRAUS, PVC, SOLDÁVEL, DN 60 MM INSTALADO EM RESERVAÇÃO PREDIAL DE ÁGUA - FORNECIMENTO E INSTALAÇÃO. AF_04/2024</t>
  </si>
  <si>
    <t>CURVA 90 GRAUS, PVC, SOLDÁVEL, DN 60 MM, INSTALADO EM RESERVAÇÃO PREDIAL DE ÁGUA - FORNECIMENTO E INSTALAÇÃO. AF_04/2024</t>
  </si>
  <si>
    <t>JOELHO 90 GRAUS, PVC, SOLDÁVEL, DN 75 MM INSTALADO EM RESERVAÇÃO PREDIAL DE ÁGUA - FORNECIMENTO E INSTALAÇÃO. AF_04/2024</t>
  </si>
  <si>
    <t>CURVA 90 GRAUS, PVC, SOLDÁVEL, DN 75 MM, INSTALADO EM RESERVAÇÃO PREDIAL DE ÁGUA - FORNECIMENTO E INSTALAÇÃO. AF_04/2024</t>
  </si>
  <si>
    <t>JOELHO 90 GRAUS, PVC, SOLDÁVEL, DN 85 MM INSTALADO EM RESERVAÇÃO PREDIAL DE ÁGUA - FORNECIMENTO E INSTALAÇÃO. AF_04/2024</t>
  </si>
  <si>
    <t>CURVA 90 GRAUS, PVC, SOLDÁVEL, DN 85 MM, INSTALADO EM RESERVAÇÃO PREDIAL DE ÁGUA - FORNECIMENTO E INSTALAÇÃO. AF_04/2024</t>
  </si>
  <si>
    <t>JOELHO 90 GRAUS, PVC, SOLDÁVEL, DN 110 MM INSTALADO EM RESERVAÇÃO PREDIAL DE ÁGUA - FORNECIMENTO E INSTALAÇÃO. AF_04/2024</t>
  </si>
  <si>
    <t>CURVA 90 GRAUS, PVC, SOLDÁVEL, DN 110 MM, INSTALADO EM RESERVAÇÃO PREDIAL DE ÁGUA - FORNECIMENTO E INSTALAÇÃO. AF_04/2024</t>
  </si>
  <si>
    <t>TÊ, PVC, SOLDÁVEL, DN 32 MM INSTALADO EM RESERVAÇÃO PREDIAL DE ÁGUA - FORNECIMENTO E INSTALAÇÃO. AF_04/2024</t>
  </si>
  <si>
    <t>TÊ, PVC, SOLDÁVEL, DN 40 MM INSTALADO EM RESERVAÇÃO PREDIAL DE ÁGUA - FORNECIMENTO E INSTALAÇÃO. AF_04/2024</t>
  </si>
  <si>
    <t>TÊ DE REDUÇÃO, PVC, SOLDÁVEL, DN 40 MM X 32 MM, INSTALADO EM RESERVAÇÃO PREDIAL DE ÁGUA - FORNECIMENTO E INSTALAÇÃO. AF_04/2024</t>
  </si>
  <si>
    <t>TÊ, PVC, SOLDÁVEL, DN 50 MM INSTALADO EM RESERVAÇÃO PREDIAL DE ÁGUA - FORNECIMENTO E INSTALAÇÃO. AF_04/2024</t>
  </si>
  <si>
    <t>TÊ DE REDUÇÃO, PVC, SOLDÁVEL, DN 50 MM X 40 MM, INSTALADO EM RESERVAÇÃO PREDIAL DE ÁGUA - FORNECIMENTO E INSTALAÇÃO. AF_04/2024</t>
  </si>
  <si>
    <t>TÊ, PVC, SOLDÁVEL, DN 60 MM INSTALADO EM RESERVAÇÃO PREDIAL DE ÁGUA - FORNECIMENTO E INSTALAÇÃO. AF_04/2024</t>
  </si>
  <si>
    <t>TÊ, PVC, SOLDÁVEL, DN 75 MM INSTALADO EM RESERVAÇÃO PREDIAL DE ÁGUA - FORNECIMENTO E INSTALAÇÃO. AF_04/2024</t>
  </si>
  <si>
    <t>TÊ DE REDUÇÃO, PVC, SOLDÁVEL, DN 75 MM X 50 MM, INSTALADO EM RESERVAÇÃO PREDIAL DE ÁGUA - FORNECIMENTO E INSTALAÇÃO. AF_04/2024</t>
  </si>
  <si>
    <t>TÊ, PVC, SOLDÁVEL, DN 85 MM INSTALADO EM RESERVAÇÃO PREDIAL DE ÁGUA - FORNECIMENTO E INSTALAÇÃO. AF_04/2024</t>
  </si>
  <si>
    <t>TÊ DE REDUÇÃO, PVC, SOLDÁVEL, DN 85 MM X 60 MM, INSTALADO EM RESERVAÇÃO PREDIAL DE ÁGUA - FORNECIMENTO E INSTALAÇÃO. AF_04/2024</t>
  </si>
  <si>
    <t>TÊ, PVC, SOLDÁVEL, DN 110 MM INSTALADO EM RESERVAÇÃO PREDIAL DE ÁGUA - FORNECIMENTO E INSTALAÇÃO. AF_04/2024</t>
  </si>
  <si>
    <t>TÊ DE REDUÇÃO, PVC, SOLDÁVEL, DN 110 MM X 60 MM, INSTALADO EM RESERVAÇÃO PREDIAL DE ÁGUA - FORNECIMENTO E INSTALAÇÃO. AF_04/2024</t>
  </si>
  <si>
    <t>ADAPTADOR COM FLANGE E ANEL DE VEDAÇÃO, PVC, SOLDÁVEL, DN 32 MM X 1", INSTALADO EM RESERVAÇÃO PREDIAL DE ÁGUA - FORNECIMENTO E INSTALAÇÃO. AF_04/2024</t>
  </si>
  <si>
    <t>ADAPTADOR COM FLANGE E ANEL DE VEDAÇÃO, PVC, SOLDÁVEL, DN 40 MM X 1 1/4", INSTALADO EM RESERVAÇÃO PREDIAL DE ÁGUA - FORNECIMENTO E INSTALAÇÃO. AF_04/2024</t>
  </si>
  <si>
    <t>ADAPTADOR COM FLANGE E ANEL DE VEDAÇÃO, PVC, SOLDÁVEL, DN 50 MM X 1 1/2", INSTALADO EM RESERVAÇÃO PREDIAL DE ÁGUA - FORNECIMENTO E INSTALAÇÃO. AF_04/2024</t>
  </si>
  <si>
    <t>ADAPTADOR COM FLANGE E ANEL DE VEDAÇÃO, PVC, SOLDÁVEL, DN 60 MM X 2", INSTALADO EM RESERVAÇÃO PREDIAL DE ÁGUA - FORNECIMENTO E INSTALAÇÃO. AF_04/2024</t>
  </si>
  <si>
    <t>ADAPTADOR COM FLANGES LIVRES, PVC, SOLDÁVEL, DN 75 MM X 2 1/2", INSTALADO EM RESERVAÇÃO PREDIAL DE ÁGUA - FORNECIMENTO E INSTALAÇÃO. AF_04/2024</t>
  </si>
  <si>
    <t>ADAPTADOR COM FLANGES LIVRES, PVC, SOLDÁVEL, DN 85 MM X 3", INSTALADO EM RESERVAÇÃO PREDIAL DE ÁGUA - FORNECIMENTO E INSTALAÇÃO. AF_04/2024</t>
  </si>
  <si>
    <t>ADAPTADOR COM FLANGES LIVRES, PVC, SOLDÁVEL, DN 110 MM X 4", INSTALADO EM RESERVAÇÃO PREDIAL DE ÁGUA - FORNECIMENTO E INSTALAÇÃO. AF_04/2024</t>
  </si>
  <si>
    <t>CONECTOR, CPVC, SOLDÁVEL, DN 22 MM X 3/4", INSTALADO EM RESERVAÇÃO PREDIAL DE ÁGUA - FORNECIMENTO E INSTALAÇÃO. AF_04/2024</t>
  </si>
  <si>
    <t>LUVA, CPVC, SOLDÁVEL, DN 22 MM, INSTALADO EM RESERVAÇÃO PREDIAL DE ÁGUA - FORNECIMENTO E INSTALAÇÃO. AF_04/2024</t>
  </si>
  <si>
    <t>CONECTOR, CPVC, SOLDÁVEL, DN 28 MM X 1", INSTALADO EM RESERVAÇÃO PREDIAL DE ÁGUA - FORNECIMENTO E INSTALAÇÃO. AF_04/2024</t>
  </si>
  <si>
    <t>LUVA, CPVC, SOLDÁVEL, DN 28 MM, INSTALADO EM RESERVAÇÃO PREDIAL DE ÁGUA - FORNECIMENTO E INSTALAÇÃO. AF_04/2024</t>
  </si>
  <si>
    <t>CONECTOR, CPVC, SOLDÁVEL, DN 35 MM X 1 1/4", INSTALADO EM RESERVAÇÃO PREDIAL DE ÁGUA - FORNECIMENTO E INSTALAÇÃO. AF_04/2024</t>
  </si>
  <si>
    <t>LUVA, CPVC, SOLDÁVEL, DN 35 MM, INSTALADO EM RESERVAÇÃO PREDIAL DE ÁGUA - FORNECIMENTO E INSTALAÇÃO. AF_04/2024</t>
  </si>
  <si>
    <t>CONECTOR, CPVC, SOLDÁVEL, DN 42 MM X 1 1/2", INSTALADO EM RESERVAÇÃO PREDIAL DE ÁGUA - FORNECIMENTO E INSTALAÇÃO. AF_04/2024</t>
  </si>
  <si>
    <t>LUVA, CPVC, SOLDÁVEL, DN 42 MM, INSTALADO EM RESERVAÇÃO PREDIAL DE ÁGUA - FORNECIMENTO E INSTALAÇÃO. AF_04/2024</t>
  </si>
  <si>
    <t>CONECTOR, CPVC, SOLDÁVEL, DN 54 MM X 2", INSTALADO EM RESERVAÇÃO PREDIAL DE ÁGUA - FORNECIMENTO E INSTALAÇÃO. AF_04/2024</t>
  </si>
  <si>
    <t>LUVA, CPVC, SOLDÁVEL, DN 54 MM, INSTALADO EM RESERVAÇÃO PREDIAL DE ÁGUA - FORNECIMENTO E INSTALAÇÃO. AF_04/2024</t>
  </si>
  <si>
    <t>CONECTOR, CPVC, SOLDÁVEL, DN 73 MM X 2 1/2", INSTALADO EM RESERVAÇÃO PREDIAL DE ÁGUA - FORNECIMENTO E INSTALAÇÃO. AF_04/2024</t>
  </si>
  <si>
    <t>CONECTOR, CPVC, SOLDÁVEL, DN 89 MM X 3", INSTALADO EM RESERVAÇÃO PREDIAL DE ÁGUA - FORNECIMENTO E INSTALAÇÃO. AF_04/2024</t>
  </si>
  <si>
    <t>LUVA, CPVC, SOLDÁVEL, DN 89 MM, INSTALADO EM RESERVAÇÃO PREDIAL DE ÁGUA - FORNECIMENTO E INSTALAÇÃO. AF_04/2024</t>
  </si>
  <si>
    <t>CONECTOR, CPVC, SOLDÁVEL, DN 114 MM X 4", INSTALADO EM RESERVAÇÃO PREDIAL DE ÁGUA - FORNECIMENTO E INSTALAÇÃO. AF_04/2024</t>
  </si>
  <si>
    <t>LUVA, CPVC, SOLDÁVEL, DN 114 MM, INSTALADO EM RESERVAÇÃO PREDIAL DE ÁGUA - FORNECIMENTO E INSTALAÇÃO. AF_04/2024</t>
  </si>
  <si>
    <t>JOELHO 90 GRAUS, CPVC, SOLDÁVEL, DN 22 MM, INSTALADO EM RESERVAÇÃO PREDIAL DE ÁGUA - FORNECIMENTO E INSTALAÇÃO. AF_04/2024</t>
  </si>
  <si>
    <t>CURVA 90 GRAUS, CPVC, SOLDÁVEL, DN 22 MM, INSTALADO EM RESERVAÇÃO PREDIAL DE ÁGUA - FORNECIMENTO E INSTALAÇÃO. AF_04/2024</t>
  </si>
  <si>
    <t>JOELHO 90 GRAUS, CPVC, SOLDÁVEL, DN 28 MM, INSTALADO EM RESERVAÇÃO PREDIAL DE ÁGUA - FORNECIMENTO E INSTALAÇÃO. AF_04/2024</t>
  </si>
  <si>
    <t>CURVA 90 GRAUS, CPVC, SOLDÁVEL, DN 28 MM, INSTALADO EM RESERVAÇÃO PREDIAL DE ÁGUA - FORNECIMENTO E INSTALAÇÃO. AF_04/2024</t>
  </si>
  <si>
    <t>JOELHO 90 GRAUS, CPVC, SOLDÁVEL, DN 35 MM, INSTALADO EM RESERVAÇÃO PREDIAL DE ÁGUA - FORNECIMENTO E INSTALAÇÃO. AF_04/2024</t>
  </si>
  <si>
    <t>JOELHO 90 GRAUS, CPVC, SOLDÁVEL, DN 42 MM, INSTALADO EM RESERVAÇÃO PREDIAL DE ÁGUA - FORNECIMENTO E INSTALAÇÃO. AF_04/2024</t>
  </si>
  <si>
    <t>JOELHO 90 GRAUS, CPVC, SOLDÁVEL, DN 54 MM, INSTALADO EM RESERVAÇÃO PREDIAL DE ÁGUA - FORNECIMENTO E INSTALAÇÃO. AF_04/2024</t>
  </si>
  <si>
    <t>JOELHO 90 GRAUS, CPVC, SOLDÁVEL, DN 73 MM, INSTALADO EM RESERVAÇÃO PREDIAL DE ÁGUA - FORNECIMENTO E INSTALAÇÃO. AF_04/2024</t>
  </si>
  <si>
    <t>JOELHO 90 GRAUS, CPVC, SOLDÁVEL, DN 89 MM, INSTALADO EM RESERVAÇÃO PREDIAL DE ÁGUA - FORNECIMENTO E INSTALAÇÃO. AF_04/2024</t>
  </si>
  <si>
    <t>JOELHO 90 GRAUS, CPVC, SOLDÁVEL, DN 114 MM, INSTALADO EM RESERVAÇÃO PREDIAL DE ÁGUA - FORNECIMENTO E INSTALAÇÃO. AF_04/2024</t>
  </si>
  <si>
    <t>TE, CPVC, SOLDÁVEL, DN 22 MM, INSTALADO EM RESERVAÇÃO PREDIAL DE ÁGUA - FORNECIMENTO E INSTALAÇÃO. AF_04/2024</t>
  </si>
  <si>
    <t>TE, CPVC, SOLDÁVEL, DN 28 MM, INSTALADO EM RESERVAÇÃO PREDIAL DE ÁGUA - FORNECIMENTO E INSTALAÇÃO. AF_04/2024</t>
  </si>
  <si>
    <t>TE, CPVC, SOLDÁVEL, DN 35 MM, INSTALADO EM RESERVAÇÃO PREDIAL DE ÁGUA - FORNECIMENTO E INSTALAÇÃO. AF_04/2024</t>
  </si>
  <si>
    <t>TE, CPVC, SOLDÁVEL, DN 42 MM, INSTALADO EM RESERVAÇÃO PREDIAL DE ÁGUA - FORNECIMENTO E INSTALAÇÃO. AF_04/2024</t>
  </si>
  <si>
    <t>TE, CPVC, SOLDÁVEL, DN 54 MM, INSTALADO EM RESERVAÇÃO PREDIAL DE ÁGUA - FORNECIMENTO E INSTALAÇÃO. AF_04/2024</t>
  </si>
  <si>
    <t>TE, CPVC, SOLDÁVEL, DN 73 MM, INSTALADO EM RESERVAÇÃO PREDIAL DE ÁGUA - FORNECIMENTO E INSTALAÇÃO. AF_04/2024</t>
  </si>
  <si>
    <t>TE, CPVC, SOLDÁVEL, DN 89 MM, INSTALADO EM RESERVAÇÃO PREDIAL DE ÁGUA - FORNECIMENTO E INSTALAÇÃO. AF_04/2024</t>
  </si>
  <si>
    <t>TE, CPVC, SOLDÁVEL, DN 114 MM, INSTALADO EM RESERVAÇÃO PREDIAL DE ÁGUA - FORNECIMENTO E INSTALAÇÃO. AF_04/2024</t>
  </si>
  <si>
    <t>ADAPTADOR COM FLANGE E ANEL DE VEDAÇÃO, CPVC, ROSCÁVEL, DN 15 MM, INSTALADO EM RESERVAÇÃO PREDIAL DE ÁGUA - FORNECIMENTO E INSTALAÇÃO. AF_04/2024</t>
  </si>
  <si>
    <t>ADAPTADOR COM FLANGE E ANEL DE VEDAÇÃO, CPVC, ROSCÁVEL, DN 22 MM, INSTALADO EM RESERVAÇÃO PREDIAL DE ÁGUA - FORNECIMENTO E INSTALAÇÃO. AF_04/2024</t>
  </si>
  <si>
    <t>ADAPTADOR COM FLANGE E ANEL DE VEDAÇÃO, CPVC, ROSCÁVEL, DN 28 MM, INSTALADO EM RESERVAÇÃO PREDIAL DE ÁGUA - FORNECIMENTO E INSTALAÇÃO. AF_04/2024</t>
  </si>
  <si>
    <t>ADAPTADOR COM FLANGE E ANEL DE VEDAÇÃO, CPVC, ROSCÁVEL, DN 35 MM, INSTALADO EM RESERVAÇÃO PREDIAL DE ÁGUA - FORNECIMENTO E INSTALAÇÃO. AF_04/2024</t>
  </si>
  <si>
    <t>ADAPTADOR COM FLANGE E ANEL DE VEDAÇÃO, CPVC, ROSCÁVEL, DN 42 MM, INSTALADO EM RESERVAÇÃO PREDIAL DE ÁGUA - FORNECIMENTO E INSTALAÇÃO. AF_04/2024</t>
  </si>
  <si>
    <t>ADAPTADOR COM FLANGE E ANEL DE VEDAÇÃO, CPVC, ROSCÁVEL, DN 54 MM, INSTALADO EM RESERVAÇÃO PREDIAL DE ÁGUA - FORNECIMENTO E INSTALAÇÃO. AF_04/2024</t>
  </si>
  <si>
    <t>LUVA, CPVC, SOLDÁVEL, DN 73 MM, INSTALADO EM RESERVAÇÃO PREDIAL DE ÁGUA - FORNECIMENTO E INSTALAÇÃO. AF_04/2024</t>
  </si>
  <si>
    <t>LUVA, PPR, DN 20 MM, INSTALADO EM RESERVAÇÃO PREDIAL DE ÁGUA - FORNECIMENTO E INSTALAÇÃO. AF_04/2024</t>
  </si>
  <si>
    <t>LUVA, PPR, DN 25 MM, INSTALADO EM RESERVAÇÃO PREDIAL DE ÁGUA - FORNECIMENTO E INSTALAÇÃO. AF_04/2024</t>
  </si>
  <si>
    <t>CONECTOR MACHO, PPR, 25 MM X 1/2'', INSTALADO EM RESERVAÇÃO PREDIAL DE ÁGUA - FORNECIMENTO E INSTALAÇÃO. AF_04/2024</t>
  </si>
  <si>
    <t>LUVA, PPR, DN 32 MM, CLASSE PN 25, INSTALADO EM RESERVAÇÃO PREDIAL DE ÁGUA - FORNECIMENTO E INSTALAÇÃO. AF_04/2024</t>
  </si>
  <si>
    <t>CONECTOR MACHO, PPR, 32 MM X 3/4'', INSTALADO EM RESERVAÇÃO PREDIAL DE ÁGUA - FORNECIMENTO E INSTALAÇÃO. AF_04/2024</t>
  </si>
  <si>
    <t>LUVA, PPR, DN 40 MM, CLASSE PN 25, INSTALADO EM RESERVAÇÃO PREDIAL DE ÁGUA - FORNECIMENTO E INSTALAÇÃO. AF_04/2024</t>
  </si>
  <si>
    <t>LUVA, PPR, DN 50 MM, CLASSE PN 25, INSTALADO EM RESERVAÇÃO PREDIAL DE ÁGUA - FORNECIMENTO E INSTALAÇÃO. AF_04/2024</t>
  </si>
  <si>
    <t>LUVA, PPR, DN 63 MM, CLASSE PN 25, INSTALADO EM RESERVAÇÃO PREDIAL DE ÁGUA - FORNECIMENTO E INSTALAÇÃO. AF_04/2024</t>
  </si>
  <si>
    <t>LUVA, PPR, DN 75 MM, CLASSE PN 25, INSTALADO EM RESERVAÇÃO PREDIAL DE ÁGUA - FORNECIMENTO E INSTALAÇÃO. AF_04/2024</t>
  </si>
  <si>
    <t>LUVA, PPR, DN 90 MM, CLASSE PN 25, INSTALADO EM RESERVAÇÃO PREDIAL DE ÁGUA - FORNECIMENTO E INSTALAÇÃO. AF_04/2024</t>
  </si>
  <si>
    <t>LUVA, PPR, DN 110 MM, CLASSE PN 25, INSTALADO EM RESERVAÇÃO PREDIAL DE ÁGUA - FORNECIMENTO E INSTALAÇÃO. AF_04/2024</t>
  </si>
  <si>
    <t>JOELHO 90 GRAUS, PPR, DN 20 MM, INSTALADO EM RESERVAÇÃO PREDIAL DE ÁGUA - FORNECIMENTO E INSTALAÇÃO. AF_04/2024</t>
  </si>
  <si>
    <t>JOELHO 90 GRAUS, PPR, DN 25 MM, INSTALADO EM RESERVAÇÃO PREDIAL DE ÁGUA - FORNECIMENTO E INSTALAÇÃO. AF_04/2024</t>
  </si>
  <si>
    <t>JOELHO 90 GRAUS, PPR, DN 32 MM, INSTALADO EM RESERVAÇÃO PREDIAL DE ÁGUA - FORNECIMENTO E INSTALAÇÃO. AF_04/2024</t>
  </si>
  <si>
    <t>JOELHO 90 GRAUS, PPR, DN 40 MM, INSTALADO EM RESERVAÇÃO PREDIAL DE ÁGUA - FORNECIMENTO E INSTALAÇÃO. AF_04/2024</t>
  </si>
  <si>
    <t>JOELHO 90 GRAUS, PPR, DN 50 MM, INSTALADO EM RESERVAÇÃO PREDIAL DE ÁGUA - FORNECIMENTO E INSTALAÇÃO. AF_04/2024</t>
  </si>
  <si>
    <t>JOELHO 90 GRAUS, PPR, DN 63 MM, INSTALADO EM RESERVAÇÃO PREDIAL DE ÁGUA - FORNECIMENTO E INSTALAÇÃO. AF_04/2024</t>
  </si>
  <si>
    <t>JOELHO 90 GRAUS, PPR, DN 75 MM, INSTALADO EM RESERVAÇÃO PREDIAL DE ÁGUA - FORNECIMENTO E INSTALAÇÃO. AF_04/2024</t>
  </si>
  <si>
    <t>JOELHO 90 GRAUS, PPR, DN 90 MM, INSTALADO EM RESERVAÇÃO PREDIAL DE ÁGUA - FORNECIMENTO E INSTALAÇÃO. AF_04/2024</t>
  </si>
  <si>
    <t>JOELHO 90 GRAUS, PPR, DN 110 MM, INSTALADO EM RESERVAÇÃO PREDIAL DE ÁGUA - FORNECIMENTO E INSTALAÇÃO. AF_04/2024</t>
  </si>
  <si>
    <t>TÊ, PPR, DN 32 MM, INSTALADO EM RESERVAÇÃO PREDIAL DE ÁGUA - FORNECIMENTO E INSTALAÇÃO. AF_04/2024</t>
  </si>
  <si>
    <t>TÊ, PPR, DN 40 MM, INSTALADO EM RESERVAÇÃO PREDIAL DE ÁGUA - FORNECIMENTO E INSTALAÇÃO. AF_04/2024</t>
  </si>
  <si>
    <t>TÊ, PPR, DN 50 MM, INSTALADO EM RESERVAÇÃO PREDIAL DE ÁGUA - FORNECIMENTO E INSTALAÇÃO. AF_04/2024</t>
  </si>
  <si>
    <t>TÊ, PPR, DN 63 MM, INSTALADO EM RESERVAÇÃO PREDIAL DE ÁGUA - FORNECIMENTO E INSTALAÇÃO. AF_04/2024</t>
  </si>
  <si>
    <t>TÊ, PPR, DN 75 MM, INSTALADO EM RESERVAÇÃO PREDIAL DE ÁGUA - FORNECIMENTO E INSTALAÇÃO. AF_04/2024</t>
  </si>
  <si>
    <t>TÊ, PPR, DN 90 MM, INSTALADO EM RESERVAÇÃO PREDIAL DE ÁGUA - FORNECIMENTO E INSTALAÇÃO. AF_04/2024</t>
  </si>
  <si>
    <t>TÊ, PPR, DN 110 MM, INSTALADO EM RESERVAÇÃO PREDIAL DE ÁGUA - FORNECIMENTO E INSTALAÇÃO. AF_04/2024</t>
  </si>
  <si>
    <t>TÊ, ROSCA FÊMEA, METÁLICO, PARA INSTALAÇÕES EM PEX ÁGUA, DN 16 MM X ½", CONEXÃO POR ANEL DESLIZANTE - FORNECIMENTO E INSTALAÇÃO. AF_02/2023</t>
  </si>
  <si>
    <t>COTOVELO EM BRONZE/LATÃO, DN 15 MM X 1/2", 90 GRAUS, SEM ANEL DE SOLDA, BOLSA X ROSCA F, INSTALADO EM RAMAL E SUB-RAMAL DE GÁS COMBUSTÍVEL - FORNECIMENTO E INSTALAÇÃO. AF_04/2022</t>
  </si>
  <si>
    <t>COTOVELO EM BRONZE/LATÃO, DN 22 MM X 1/2", 90 GRAUS, SEM ANEL DE SOLDA, BOLSA X ROSCA F, INSTALADO EM RAMAL E SUB-RAMAL DE GÁS COMBUSTÍVEL - FORNECIMENTO E INSTALAÇÃO. AF_04/2022</t>
  </si>
  <si>
    <t>COTOVELO EM BRONZE/LATÃO, DN 22 MM X 3/4", 90 GRAUS, SEM ANEL DE SOLDA, BOLSA X ROSCA F, INSTALADO EM RAMAL E SUB-RAMAL DE GÁS COMBUSTÍVEL - FORNECIMENTO E INSTALAÇÃO. AF_04/2022</t>
  </si>
  <si>
    <t>CONECTOR EM BRONZE/LATÃO, DN 15 MM X 1/2", SEM ANEL DE SOLDA, BOLSA X ROSCA F, INSTALADO EM RAMAL E SUB-RAMAL DE GÁS COMBUSTÍVEL - FORNECIMENTO E INSTALAÇÃO. AF_04/2022</t>
  </si>
  <si>
    <t>CONECTOR EM BRONZE/LATÃO, DN 22 MM X 1/2", SEM ANEL DE SOLDA, BOLSA X ROSCA F, INSTALADO EM RAMAL E SUB-RAMAL DE GÁS COMBUSTÍVEL - FORNECIMENTO E INSTALAÇÃO. AF_04/2022</t>
  </si>
  <si>
    <t>CONECTOR EM BRONZE/LATÃO, DN 22 MM X 3/4", SEM ANEL DE SOLDA, BOLSA X ROSCA F, INSTALADO EM RAMAL E SUB-RAMAL DE GÁS COMBUSTÍVEL - FORNECIMENTO E INSTALAÇÃO. AF_04/2022</t>
  </si>
  <si>
    <t>CONECTOR EM BRONZE/LATÃO, DN 28 MM X 1/2", SEM ANEL DE SOLDA, BOLSA X ROSCA F, INSTALADO EM RAMAL E SUB-RAMAL DE GÁS COMBUSTÍVEL - FORNECIMENTO E INSTALAÇÃO. AF_04/2022</t>
  </si>
  <si>
    <t>COTOVELO EM BRONZE/LATÃO, DN 15 MM X 1/2", 90 GRAUS, SEM ANEL DE SOLDA, BOLSA X ROSCA F, INSTALADO EM RAMAL E SUB-RAMAL DE GÁS MEDICINAL - FORNECIMENTO E INSTALAÇÃO. AF_04/2022</t>
  </si>
  <si>
    <t>COTOVELO EM BRONZE/LATÃO, DN 22 MM X 1/2", 90 GRAUS, SEM ANEL DE SOLDA, BOLSA X ROSCA F, INSTALADO EM RAMAL E SUB-RAMAL DE GÁS MEDICINAL - FORNECIMENTO E INSTALAÇÃO. AF_04/2022</t>
  </si>
  <si>
    <t>COTOVELO EM BRONZE/LATÃO, DN 22 MM X 3/4", 90 GRAUS, SEM ANEL DE SOLDA, BOLSA X ROSCA F, INSTALADO EM RAMAL E SUB-RAMAL DE GÁS MEDICINAL - FORNECIMENTO E INSTALAÇÃO. AF_04/2022</t>
  </si>
  <si>
    <t>CONECTOR EM BRONZE/LATÃO, DN 15 MM X 1/2", SEM ANEL DE SOLDA, BOLSA X ROSCA F, INSTALADO EM RAMAL E SUB-RAMAL DE GÁS MEDICINAL - FORNECIMENTO E INSTALAÇÃO. AF_04/2022</t>
  </si>
  <si>
    <t>LUVA COM ROSCA, PVC, SOLDÁVEL, DN 40MM X 1.1/4", INSTALADO EM RAMAL DE DISTRIBUIÇÃO DE ÁGUA - FORNECIMENTO E INSTALAÇÃO. AF_06/2022</t>
  </si>
  <si>
    <t>ADAPTADOR CURTO COM BOLSA E ROSCA PARA REGISTRO, PVC, SOLDÁVEL, DN 40MM X 1.1/4", INSTALADO EM RAMAL DE DISTRIBUIÇÃO DE ÁGUA - FORNECIMENTO E INSTALAÇÃO. AF_06/2022</t>
  </si>
  <si>
    <t>ADAPTADOR CURTO COM BOLSA E ROSCA PARA REGISTRO, PVC, SOLDÁVEL, DN 40MM X 1.1/2", INSTALADO EM RAMAL DE DISTRIBUIÇÃO DE ÁGUA - FORNECIMENTO E INSTALAÇÃO. AF_06/2022</t>
  </si>
  <si>
    <t>LUVA COM ROSCA, PVC, SOLDÁVEL, DN 50MM X 1.1/2", INSTALADO EM RAMAL DE DISTRIBUIÇÃO DE ÁGUA - FORNECIMENTO E INSTALAÇÃO. AF_06/2022</t>
  </si>
  <si>
    <t>ADAPTADOR CURTO COM BOLSA E ROSCA PARA REGISTRO, PVC, SOLDÁVEL, DN 50MM X 1.1/2", INSTALADO EM RAMAL DE DISTRIBUIÇÃO DE ÁGUA - FORNECIMENTO E INSTALAÇÃO. AF_06/2022</t>
  </si>
  <si>
    <t>ADAPTADOR CURTO COM BOLSA E ROSCA PARA REGISTRO, PVC, SOLDÁVEL, DN 50MM X 1.1/4", INSTALADO EM RAMAL DE DISTRIBUIÇÃO DE ÁGUA - FORNECIMENTO E INSTALAÇÃO. AF_06/2022</t>
  </si>
  <si>
    <t>JOELHO 90 GRAUS, CPVC, SOLDÁVEL, DN 42MM, INSTALADO EM RAMAL DE DISTRIBUIÇÃO DE ÁGUA - FORNECIMENTO E INSTALAÇÃO. AF_06/2022</t>
  </si>
  <si>
    <t>JOELHO 45 GRAUS, CPVC, SOLDÁVEL, DN 42MM, INSTALADO EM RAMAL DE DISTRIBUIÇÃO DE ÁGUA - FORNECIMENTO E INSTALAÇÃO. AF_06/2022</t>
  </si>
  <si>
    <t>LUVA, CPVC, SOLDÁVEL, DN 42MM, INSTALADO EM RAMAL DE DISTRIBUIÇÃO DE ÁGUA - FORNECIMENTO E INSTALAÇÃO. AF_06/2022</t>
  </si>
  <si>
    <t>LUVA DE CORRER, CPVC, SOLDÁVEL, DN 42MM, INSTALADO EM RAMAL DE DISTRIBUIÇÃO DE ÁGUA - FORNECIMENTO E INSTALAÇÃO. AF_06/2022</t>
  </si>
  <si>
    <t>LUVA DE TRANSIÇÃO, CPVC, SOLDÁVEL, DN42MM X 1.1/2", INSTALADO EM RAMAL DE DISTRIBUIÇÃO DE ÁGUA - FORNECIMENTO E INSTALAÇÃO. AF_06/2022</t>
  </si>
  <si>
    <t>CONECTOR, CPVC, SOLDÁVEL, DN 42MM X 1.1/2", INSTALADO EM RAMAL DE DISTRIBUIÇÃO DE ÁGUA - FORNECIMENTO E INSTALAÇÃO. AF_06/2022</t>
  </si>
  <si>
    <t>LUVA DE CORRER, PVC, SOLDÁVEL, DN 40MM, INSTALADO EM RAMAL DE DISTRIBUIÇÃO DE ÁGUA - FORNECIMENTO E INSTALAÇÃO. AF_06/2022</t>
  </si>
  <si>
    <t>BUCHA DE REDUÇÃO, PPR, DN 50 X 32 MM, INSTALADO EM RESERVAÇÃO PREDIAL DE ÁGUA - FORNECIMENTO E INSTALAÇÃO. AF_04/2024</t>
  </si>
  <si>
    <t>CURVA PPR 90 GRAUS, DN 20 MM, INSTALADO EM RESERVAÇÃO PREDIAL DE ÁGUA - FORNECIMENTO E INSTALAÇÃO. AF_04/2024</t>
  </si>
  <si>
    <t>CURVA PPR 90 GRAUS, DN 25 MM, INSTALADO EM RESERVAÇÃO PREDIAL DE ÁGUA - FORNECIMENTO E INSTALAÇÃO. AF_04/2024</t>
  </si>
  <si>
    <t>JOELHO PPR 45 GRAUS, SOLDÁVEL, DN 20 MM, INSTALADO EM RESERVAÇÃO PREDIAL DE ÁGUA - FORNECIMENTO E INSTALAÇÃO. AF_04/2024</t>
  </si>
  <si>
    <t>JOELHO PPR 45 GRAUS, SOLDÁVEL, DN 25 MM, INSTALADO EM RESERVAÇÃO PREDIAL DE ÁGUA - FORNECIMENTO E INSTALAÇÃO. AF_04/2024</t>
  </si>
  <si>
    <t>JOELHO PPR 45 GRAUS, SOLDÁVEL, DN 40 MM, INSTALADO EM RESERVAÇÃO PREDIAL DE ÁGUA - FORNECIMENTO E INSTALAÇÃO. AF_04/2024</t>
  </si>
  <si>
    <t>JOELHO PPR 45 GRAUS, SOLDÁVEL, DN 50 MM, INSTALADO EM RESERVAÇÃO PREDIAL DE ÁGUA - FORNECIMENTO E INSTALAÇÃO. AF_04/2024</t>
  </si>
  <si>
    <t>CURVA PVC 45 GRAUS, SOLDÁVEL, DN 25 MM, INSTALADO EM RESERVAÇÃO PREDIAL DE ÁGUA - FORNECIMENTO E INSTALAÇÃO. AF_04/2024</t>
  </si>
  <si>
    <t>CURVA PVC 45 GRAUS, SOLDÁVEL, DN 32 MM, INSTALADO EM RESERVAÇÃO PREDIAL DE ÁGUA - FORNECIMENTO E INSTALAÇÃO. AF_04/2024</t>
  </si>
  <si>
    <t>CURVA PVC 45 GRAUS, SOLDÁVEL, DN 40 MM, INSTALADO EM RESERVAÇÃO PREDIAL DE ÁGUA - FORNECIMENTO E INSTALAÇÃO. AF_04/2024</t>
  </si>
  <si>
    <t>CURVA PVC 45 GRAUS, SOLDÁVEL, DN 50 MM, INSTALADO EM RESERVAÇÃO PREDIAL DE ÁGUA - FORNECIMENTO E INSTALAÇÃO. AF_04/2024</t>
  </si>
  <si>
    <t>CURVA PVC 45 GRAUS, SOLDÁVEL, DN 60 MM, INSTALADO EM RESERVAÇÃO PREDIAL DE ÁGUA - FORNECIMENTO E INSTALAÇÃO. AF_04/2024</t>
  </si>
  <si>
    <t>CURVA PVC 45 GRAUS, SOLDÁVEL, DN 75 MM, INSTALADO EM RESERVAÇÃO PREDIAL DE ÁGUA - FORNECIMENTO E INSTALAÇÃO. AF_04/2024</t>
  </si>
  <si>
    <t>CURVA PVC 45 GRAUS, SOLDÁVEL, DN 85 MM, INSTALADO EM RESERVAÇÃO PREDIAL DE ÁGUA - FORNECIMENTO E INSTALAÇÃO. AF_04/2024</t>
  </si>
  <si>
    <t>JOELHO PPR 45 GRAUS, SOLDÁVEL, DN 75 MM, INSTALADO EM RESERVAÇÃO PREDIAL DE ÁGUA - FORNECIMENTO E INSTALAÇÃO. AF_04/2024</t>
  </si>
  <si>
    <t>JOELHO PPR 45 GRAUS, SOLDÁVEL, DN 90 MM, INSTALADO EM RESERVAÇÃO PREDIAL DE ÁGUA - FORNECIMENTO E INSTALAÇÃO. AF_04/2024</t>
  </si>
  <si>
    <t>JOELHO PPR, 45 GRAUS, SOLDÁVEL, DN 32 MM, INSTALADO EM RESERVAÇÃO PREDIAL DE ÁGUA - FORNECIMENTO E INSTALAÇÃO. AF_04/2024</t>
  </si>
  <si>
    <t>TÊ, PPR, DN 20 MM, INSTALADO EM RESERVAÇÃO PREDIAL DE ÁGUA - FORNECIMENTO E INSTALAÇÃO. AF_04/2024</t>
  </si>
  <si>
    <t>TÊ, PPR, DN 25 MM, INSTALADO EM RESERVAÇÃO PREDIAL DE ÁGUA - FORNECIMENTO E INSTALAÇÃO. AF_04/2024</t>
  </si>
  <si>
    <t>JOELHO CPVC, SOLDÁVEL, 45 GRAUS, DN 42 MM, INSTALADO EM RESERVAÇÃO PREDIAL DE ÁGUA - FORNECIMENTO E INSTALAÇÃO. AF_04/2024</t>
  </si>
  <si>
    <t>UNIÃO FLANGE, PPR, COM PARAFUSOS, DN 40 MM, INSTALADO EM RESERVAÇÃO PREDIAL DE ÁGUA - FORNECIMENTO E INSTALAÇÃO. AF_04/2024</t>
  </si>
  <si>
    <t>BUCHA DE REDUÇÃO, EM FERRO GALVANIZADO, CONEXÃO ROSQUEADA, DN 80 MM X 65 MM (3" X 2 1/2"), INSTALADO EM RESERVAÇÃO PREDIAL DE ÁGUA - FORNECIMENTO E INSTALAÇÃO. AF_04/2024</t>
  </si>
  <si>
    <t>JOELHO PVC, SOLDÁVEL, 45 GRAUS, DN 25 MM, INSTALADO EM RESERVAÇÃO PREDIAL DE ÁGUA - FORNECIMENTO E INSTALAÇÃO. AF_04/2024</t>
  </si>
  <si>
    <t>BUCHA DE REDUÇÃO, EM FERRO GALVANIZADO, CONEXÃO ROSQUEADA, DN 80 MM X 50 MM (3" X 2"), INSTALADO EM RESERVAÇÃO PREDIAL DE ÁGUA - FORNECIMENTO E INSTALAÇÃO. AF_04/2024</t>
  </si>
  <si>
    <t>LUVA DE REDUÇÃO, EM FERRO GALVANIZADO, CONEXÃO ROSQUEADA, DN 65 MM X 50 MM (2 1/2" X 2"), INSTALADO EM RESERVAÇÃO PREDIAL DE ÁGUA - FORNECIMENTO E INSTALAÇÃO. AF_04/2024</t>
  </si>
  <si>
    <t>LUVA DE REDUÇÃO, EM FERRO GALVANIZADO, CONEXÃO ROSQUEADA, DN 80 MM X 65 MM (3" X 2 1/2"), INSTALADO EM RESERVAÇÃO PREDIAL DE ÁGUA - FORNECIMENTO E INSTALAÇÃO. AF_04/2024</t>
  </si>
  <si>
    <t>LUVA DE REDUÇÃO, EM FERRO GALVANIZADO, CONEXÃO ROSQUEADA, DN 80 MM X 50 MM (3" X 2"), INSTALADO EM RESERVAÇÃO PREDIAL DE ÁGUA - FORNECIMENTO E INSTALAÇÃO. AF_04/2024</t>
  </si>
  <si>
    <t>NIPLE DE REDUÇÃO, EM FERRO GALVANIZADO, CONEXÃO ROSQUEADA, DN 80 MM X 65 MM (3" X 2 1/2"), INSTALADO EM RESERVAÇÃO PREDIAL DE ÁGUA - FORNECIMENTO E INSTALAÇÃO. AF_04/2024</t>
  </si>
  <si>
    <t>NIPLE DE REDUÇÃO, EM FERRO GALVANIZADO, CONEXÃO ROSQUEADA, DN 80 MM X 50 MM (3" X 2"), INSTALADO EM RESERVAÇÃO PREDIAL DE ÁGUA - FORNECIMENTO E INSTALAÇÃO. AF_04/2024</t>
  </si>
  <si>
    <t>COTOVELO DE REDUÇÃO, 90 GRAUS, EM FERRO GALVANIZADO, CONEXÃO ROSQUEADA, DN 65 MM X 50 MM (2 1/2" X 2"), INSTALADO EM RESERVAÇÃO PREDIAL DE ÁGUA - FORNECIMENTO E INSTALAÇÃO. AF_04/2024</t>
  </si>
  <si>
    <t>JOELHO PVC, SOLDÁVEL, 45 GRAUS, DN 32 MM, INSTALADO EM RESERVAÇÃO PREDIAL DE ÁGUA - FORNECIMENTO E INSTALAÇÃO. AF_04/2024</t>
  </si>
  <si>
    <t>JOELHO PVC, SOLDÁVEL, 45 GRAUS, DN 40 MM, INSTALADO EM RESERVAÇÃO PREDIAL DE ÁGUA - FORNECIMENTO E INSTALAÇÃO. AF_04/2024</t>
  </si>
  <si>
    <t>JOELHO PVC, SOLDÁVEL, 45 GRAUS, DN 50 MM, INSTALADO EM RESERVAÇÃO PREDIAL DE ÁGUA - FORNECIMENTO E INSTALAÇÃO. AF_04/2024</t>
  </si>
  <si>
    <t>JOELHO PVC, SOLDÁVEL, 45 GRAUS, DN 60 MM, INSTALADO EM RESERVAÇÃO PREDIAL DE ÁGUA - FORNECIMENTO E INSTALAÇÃO. AF_04/2024</t>
  </si>
  <si>
    <t>JOELHO PVC, SOLDÁVEL, 45 GRAUS, DN 75 MM, INSTALADO EM RESERVAÇÃO PREDIAL DE ÁGUA - FORNECIMENTO E INSTALAÇÃO. AF_04/2024</t>
  </si>
  <si>
    <t>JOELHO PVC, SOLDÁVEL, 45 GRAUS, DN 85 MM, INSTALADO EM RESERVAÇÃO PREDIAL DE ÁGUA - FORNECIMENTO E INSTALAÇÃO. AF_04/2024</t>
  </si>
  <si>
    <t>TE DE REDUÇÃO, PVC, SOLDÁVEL, 90 GRAUS, DN 50 MM X 25 MM, INSTALADO EM RESERVAÇÃO PREDIAL DE ÁGUA - FORNECIMENTO E INSTALAÇÃO. AF_04/2024</t>
  </si>
  <si>
    <t>TE DE REDUÇÃO, PVC, SOLDÁVEL, 90 GRAUS, DN 50 MM X 32 MM, INSTALADO EM RESERVAÇÃO PREDIAL DE ÁGUA - FORNECIMENTO E INSTALAÇÃO. AF_04/2024</t>
  </si>
  <si>
    <t>COTOVELO, 90 GRAUS, EM FERRO GALVANIZADO, MACHO/FÊMEA, CONEXÃO ROSQUEADA, DN 65 MM (2 1/2"), INSTALADO EM RESERVAÇÃO PREDIAL DE ÁGUA - FORNECIMENTO E INSTALAÇÃO. AF_04/2024</t>
  </si>
  <si>
    <t>COTOVELO 90 GRAUS, EM FERRO GALVANIZADO, MACHO/FÊMEA, CONEXÃO ROSQUEADA, DN 50 MM (2"), INSTALADO EM RESERVAÇÃO PREDIAL DE ÁGUA - FORNECIMENTO E INSTALAÇÃO. AF_04/2024</t>
  </si>
  <si>
    <t>COTOVELO 90 GRAUS, EM FERRO GALVANIZADO, MACHO/FÊMEA, CONEXÃO ROSQUEADA, DN 80 MM (3"), INSTALADO EM RESERVAÇÃO PREDIAL DE ÁGUA - FORNECIMENTO E INSTALAÇÃO. AF_04/2024</t>
  </si>
  <si>
    <t>CURVA 45 GRAUS, EM FERRO GALVANIZADO, FÊMEA, CONEXÃO ROSQUEADA, DN 65 MM (2 1/2"), INSTALADO EM RESERVAÇÃO PREDIAL DE ÁGUA - FORNECIMENTO E INSTALAÇÃO. AF_04/2024</t>
  </si>
  <si>
    <t>CURVA 45 GRAUS, EM FERRO GALVANIZADO, FÊMEA, CONEXÃO ROSQUEADA, DN 50 MM (2"), INSTALADO EM RESERVAÇÃO PREDIAL DE ÁGUA - FORNECIMENTO E INSTALAÇÃO. AF_04/2024</t>
  </si>
  <si>
    <t>CURVA 45 GRAUS, EM FERRO GALVANIZADO, FÊMEA, CONEXÃO ROSQUEADA, DN 80 MM (3"), INSTALADO EM RESERVAÇÃO PREDIAL DE ÁGUA - FORNECIMENTO E INSTALAÇÃO. AF_04/2024</t>
  </si>
  <si>
    <t>CURVA 45 GRAUS, EM FERRO GALVANIZADO, MACHO/FÊMEA, CONEXÃO ROSQUEADA, DN 65 MM (2 1/2"), INSTALADO EM RESERVAÇÃO PREDIAL DE ÁGUA - FORNECIMENTO E INSTALAÇÃO. AF_04/2024</t>
  </si>
  <si>
    <t>CURVA 45 GRAUS, EM FERRO GALVANIZADO, MACHO/FÊMEA, CONEXÃO ROSQUEADA, DN 50 MM (2"), INSTALADO EM RESERVAÇÃO PREDIAL DE ÁGUA - FORNECIMENTO E INSTALAÇÃO. AF_04/2024</t>
  </si>
  <si>
    <t>CURVA 45 GRAUS, EM FERRO GALVANIZADO, MACHO/FÊMEA, CONEXÃO ROSQUEADA, DN 80 MM (3"), INSTALADO EM RESERVAÇÃO PREDIAL DE ÁGUA - FORNECIMENTO E INSTALAÇÃO. AF_04/2024</t>
  </si>
  <si>
    <t>CURVA 90 GRAUS, EM FERRO GALVANIZADO, FÊMEA, CONEXÃO ROSQUEADA, DN 65 MM (2 1/2"), INSTALADO EM RESERVAÇÃO PREDIAL DE ÁGUA - FORNECIMENTO E INSTALAÇÃO. AF_04/2024</t>
  </si>
  <si>
    <t>CURVA 90 GRAUS, EM FERRO GALVANIZADO, FÊMEA, CONEXÃO ROSQUEADA, DN 50 MM (2"), INSTALADO EM RESERVAÇÃO PREDIAL DE ÁGUA - FORNECIMENTO E INSTALAÇÃO. AF_04/2024</t>
  </si>
  <si>
    <t>CURVA 90 GRAUS, EM FERRO GALVANIZADO, FÊMEA, CONEXÃO ROSQUEADA, DN 80 (3"), INSTALADO EM RESERVAÇÃO PREDIAL DE ÁGUA - FORNECIMENTO E INSTALAÇÃO. AF_04/2024</t>
  </si>
  <si>
    <t>CURVA 90 GRAUS, EM FERRO GALVANIZADO, MACHO/FÊMEA, CONEXÃO ROSQUEADA, DN 65 MM (2 1/2"), INSTALADO EM RESERVAÇÃO PREDIAL DE ÁGUA - FORNECIMENTO E INSTALAÇÃO. AF_04/2024</t>
  </si>
  <si>
    <t>CURVA 90 GRAUS, EM FERRO GALVANIZADO, MACHO/FÊMEA, CONEXÃO ROSQUEADA, DN 50 MM (2"), INSTALADO EM RESERVAÇÃO PREDIAL DE ÁGUA - FORNECIMENTO E INSTALAÇÃO. AF_04/2024</t>
  </si>
  <si>
    <t>CURVA 90 GRAUS, EM FERRO GALVANIZADO, MACHO/FÊMEA, CONEXÃO ROSQUEADA, DN 80 MM (3"), INSTALADO EM RESERVAÇÃO PREDIAL DE ÁGUA - FORNECIMENTO E INSTALAÇÃO. AF_04/2024</t>
  </si>
  <si>
    <t>CURVA 90 GRAUS, EM FERRO GALVANIZADO, CONEXÃO ROSQUEADA, DN 65 MM (2 1/2"), INSTALADO EM RESERVAÇÃO PREDIAL DE ÁGUA - FORNECIMENTO E INSTALAÇÃO. AF_04/2024</t>
  </si>
  <si>
    <t>CURVA 90 GRAUS, EM FERRO GALVANIZADO, CONEXÃO ROSQUEADA, DN 50 MM (2"), INSTALADO EM RESERVAÇÃO PREDIAL DE ÁGUA - FORNECIMENTO E INSTALAÇÃO. AF_04/2024</t>
  </si>
  <si>
    <t>CURVA 90 GRAUS, EM FERRO GALVANIZADO, CONEXÃO ROSQUEADA, DN 80 MM (3"), INSTALADO EM RESERVAÇÃO PREDIAL DE ÁGUA - FORNECIMENTO E INSTALAÇÃO. AF_04/2024</t>
  </si>
  <si>
    <t>TE DE REDUÇÃO, EM FERRO GALVANIZADO, CONEXÃO ROSQUEADA, DN 80 MM X 65 MM (3" X 2 1/2"), INSTALADO EM RESERVAÇÃO PREDIAL DE ÁGUA - FORNECIMENTO E INSTALAÇÃO. AF_04/2024</t>
  </si>
  <si>
    <t>TE DE REDUÇÃO, EM FERRO GALVANIZADO, CONEXÃO ROSQUEADA, DN 80 MM X 50 MM (3" X 2"), INSTALADO EM RESERVAÇÃO PREDIAL DE ÁGUA - FORNECIMENTO E INSTALAÇÃO. AF_04/2024</t>
  </si>
  <si>
    <t>BUCHA DE REDUÇÃO EM COBRE, PONTA X BOLSA, 66 X 54 MM, INSTALADO EM RESERVAÇÃO PREDIAL DE ÁGUA - FORNECIMENTO E INSTALAÇÃO. AF_04/2024</t>
  </si>
  <si>
    <t>BUCHA DE REDUÇÃO CPVC, SOLDÁVEL, DN 54 X 28 MM, INSTALADO EM RESERVAÇÃO PREDIAL DE ÁGUA - FORNECIMENTO E INSTALAÇÃO. AF_04/2024</t>
  </si>
  <si>
    <t>BUCHA DE REDUÇÃO CPVC, SOLDÁVEL, DN 28 X 22 MM, INSTALADO EM RESERVAÇÃO PREDIAL DE ÁGUA - FORNECIMENTO E INSTALAÇÃO. AF_04/2024</t>
  </si>
  <si>
    <t>BUCHA DE REDUÇÃO CPVC, SOLDÁVEL, DN 35 X 28 MM, INSTALADO EM RESERVAÇÃO PREDIAL DE ÁGUA - FORNECIMENTO E INSTALAÇÃO. AF_04/2024</t>
  </si>
  <si>
    <t>BUCHA DE REDUÇÃO CPVC, SOLDÁVEL, DN 42 X 22 MM, INSTALADO EM RESERVAÇÃO PREDIAL DE ÁGUA - FORNECIMENTO E INSTALAÇÃO. AF_04/2024</t>
  </si>
  <si>
    <t>BUCHA DE REDUÇÃO CPVC, SOLDÁVEL, DN 54 X 35 MM, INSTALADO EM RESERVAÇÃO PREDIAL DE ÁGUA - FORNECIMENTO E INSTALAÇÃO. AF_04/2024</t>
  </si>
  <si>
    <t>JOELHO CPVC, SOLDÁVEL, 45 GRAUS, DN 22 MM, INSTALADO EM RESERVAÇÃO PREDIAL DE ÁGUA - FORNECIMENTO E INSTALAÇÃO. AF_04/2024</t>
  </si>
  <si>
    <t>JOELHO CPVC, SOLDÁVEL, 45 GRAUS, DN 28 MM, INSTALADO EM RESERVAÇÃO PREDIAL DE ÁGUA - FORNECIMENTO E INSTALAÇÃO. AF_04/2024</t>
  </si>
  <si>
    <t>JOELHO CPVC, SOLDÁVEL, 45 GRAUS, DN 35 MM, INSTALADO EM RESERVAÇÃO PREDIAL DE ÁGUA - FORNECIMENTO E INSTALAÇÃO. AF_04/2024</t>
  </si>
  <si>
    <t>JOELHO CPVC, SOLDÁVEL, 45 GRAUS, DN 54 MM, INSTALADO EM RESERVAÇÃO PREDIAL DE ÁGUA - FORNECIMENTO E INSTALAÇÃO. AF_04/2024</t>
  </si>
  <si>
    <t>JOELHO CPVC, SOLDÁVEL, 45 GRAUS, DN 73 MM, INSTALADO EM RESERVAÇÃO PREDIAL DE ÁGUA - FORNECIMENTO E INSTALAÇÃO. AF_04/2024</t>
  </si>
  <si>
    <t>JOELHO CPVC, SOLDÁVEL, 45 GRAUS, DN 89 MM, INSTALADO EM RESERVAÇÃO PREDIAL DE ÁGUA - FORNECIMENTO E INSTALAÇÃO. AF_04/2024</t>
  </si>
  <si>
    <t>TE DE REDUÇÃO, CPVC, DN 28 X 22 MM, INSTALADO EM RESERVAÇÃO PREDIAL DE ÁGUA - FORNECIMENTO E INSTALAÇÃO. AF_04/2024</t>
  </si>
  <si>
    <t>TE DE REDUÇÃO, CPVC, DN 35 X 28 MM, INSTALADO EM RESERVAÇÃO PREDIAL DE ÁGUA - FORNECIMENTO E INSTALAÇÃO. AF_04/2024</t>
  </si>
  <si>
    <t>TE DE REDUÇÃO, CPVC, DN 42 X 35 MM, INSTALADO EM RESERVAÇÃO PREDIAL DE ÁGUA - FORNECIMENTO E INSTALAÇÃO. AF_04/2024</t>
  </si>
  <si>
    <t>BUCHA DE REDUÇÃO PVC, SOLDÁVEL, LONGA, DN 50 X 32 MM, INSTALADO EM RESERVAÇÃO PREDIAL DE ÁGUA - FORNECIMENTO E INSTALAÇÃO. AF_04/2024</t>
  </si>
  <si>
    <t>BUCHA DE REDUÇÃO, PPR, DN 50 X 25 MM, INSTALADO EM RESERVAÇÃO PREDIAL DE ÁGUA - FORNECIMENTO E INSTALAÇÃO. AF_04/2024</t>
  </si>
  <si>
    <t>BUCHA DE REDUÇÃO, PPR, DN 25 X 20 MM, INSTALADO EM RESERVAÇÃO PREDIAL DE ÁGUA - FORNECIMENTO E INSTALAÇÃO. AF_04/2024</t>
  </si>
  <si>
    <t>BUCHA DE REDUÇÃO, PPR, DN 32 X 25 MM, INSTALADO EM RESERVAÇÃO PREDIAL DE ÁGUA - FORNECIMENTO E INSTALAÇÃO. AF_04/2024</t>
  </si>
  <si>
    <t>BUCHA DE REDUÇÃO, PPR, DN 40 X 25 MM, INSTALADO EM RESERVAÇÃO PREDIAL DE ÁGUA - FORNECIMENTO E INSTALAÇÃO. AF_04/2024</t>
  </si>
  <si>
    <t>BUCHA DE REDUÇÃO PVC, SOLDÁVEL, LONGA, DN 40 X 25 MM, INSTALADO EM RESERVAÇÃO PREDIAL DE ÁGUA - FORNECIMENTO E INSTALAÇÃO. AF_04/2024</t>
  </si>
  <si>
    <t>BUCHA DE REDUÇÃO PVC, SOLDÁVEL, LONGA, DN 50 X 25 MM, INSTALADO EM RESERVAÇÃO PREDIAL DE ÁGUA - FORNECIMENTO E INSTALAÇÃO. AF_04/2024</t>
  </si>
  <si>
    <t>KIT CAVALETE PARA MEDIÇÃO DE ÁGUA - ENTRADA PRINCIPAL, EM AÇO GALVANIZADO DN 25 MM (1") - FORNECIMENTO E INSTALAÇÃO (EXCLUSIVE HIDRÔMETRO). AF_03/2024</t>
  </si>
  <si>
    <t>KIT CAVALETE PARA MEDIÇÃO DE ÁGUA - ENTRADA PRINCIPAL, EM AÇO GALVANIZADO DN 32 MM (1 1/4") - FORNECIMENTO E INSTALAÇÃO (EXCLUSIVE HIDRÔMETRO). AF_03/2024</t>
  </si>
  <si>
    <t>KIT CAVALETE PARA MEDIÇÃO DE ÁGUA - ENTRADA PRINCIPAL, EM AÇO GALVANIZADO DN 40 MM (1 1/2") - FORNECIMENTO E INSTALAÇÃO (EXCLUSIVE HIDRÔMETRO). AF_03/2024</t>
  </si>
  <si>
    <t>KIT CAVALETE PARA MEDIÇÃO DE ÁGUA - ENTRADA PRINCIPAL, EM AÇO GALVANIZADO DN 50 MM (2") - FORNECIMENTO E INSTALAÇÃO (EXCLUSIVE HIDRÔMETRO). AF_03/2024</t>
  </si>
  <si>
    <t>KIT CAVALETE PARA MEDIÇÃO DE ÁGUA - ENTRADA INDIVIDUALIZADA, EM CPVC DN 28 MM (1"), PARA 1 MEDIDOR - FORNECIMENTO E INSTALAÇÃO (EXCLUSIVE HIDRÔMETRO). AF_03/2024</t>
  </si>
  <si>
    <t>KIT CAVALETE PARA MEDIÇÃO DE ÁGUA - ENTRADA INDIVIDUALIZADA, EM CPVC DN 28 MM (1"), PARA 2 MEDIDORES - FORNECIMENTO E INSTALAÇÃO (EXCLUSIVE HIDRÔMETRO). AF_03/2024</t>
  </si>
  <si>
    <t>KIT CAVALETE PARA MEDIÇÃO DE ÁGUA - ENTRADA INDIVIDUALIZADA, EM CPVC DN 28 MM (1"), PARA 3 MEDIDORES - FORNECIMENTO E INSTALAÇÃO (EXCLUSIVE HIDRÔMETRO). AF_03/2024</t>
  </si>
  <si>
    <t>KIT CAVALETE PARA MEDIÇÃO DE ÁGUA - ENTRADA INDIVIDUALIZADA, EM CPVC DN 28 MM (1"), PARA 4 MEDIDORES - FORNECIMENTO E INSTALAÇÃO (EXCLUSIVE HIDRÔMETRO). AF_03/2024</t>
  </si>
  <si>
    <t>KIT CAVALETE PARA MEDIÇÃO DE ÁGUA - ENTRADA INDIVIDUALIZADA, EM CPVC DN 35 MM (1 1/4"), PARA 1 MEDIDOR - FORNECIMENTO E INSTALAÇÃO (EXCLUSIVE HIDRÔMETRO). AF_03/2024</t>
  </si>
  <si>
    <t>KIT CAVALETE PARA MEDIÇÃO DE ÁGUA - ENTRADA INDIVIDUALIZADA, EM CPVC DN 35 MM (1 1/4"), PARA 2 MEDIDORES - FORNECIMENTO E INSTALAÇÃO (EXCLUSIVE HIDRÔMETRO). AF_03/2024</t>
  </si>
  <si>
    <t>KIT CAVALETE PARA MEDIÇÃO DE ÁGUA - ENTRADA INDIVIDUALIZADA, EM CPVC DN 35 MM (1 1/4"), PARA 3 MEDIDORES - FORNECIMENTO E INSTALAÇÃO (EXCLUSIVE HIDRÔMETRO). AF_03/2024</t>
  </si>
  <si>
    <t>KIT CAVALETE PARA MEDIÇÃO DE ÁGUA - ENTRADA INDIVIDUALIZADA, EM CPVC DN 35 MM (1 1/4"), PARA 4 MEDIDORES - FORNECIMENTO E INSTALAÇÃO (EXCLUSIVE HIDRÔMETRO). AF_03/2024</t>
  </si>
  <si>
    <t>KIT CAVALETE PARA MEDIÇÃO DE ÁGUA - ENTRADA INDIVIDUALIZADA, EM PPR PN20 DN 25 MM (3/4") PARA 1 MEDIDOR - FORNECIMENTO E INSTALAÇÃO (EXCLUSIVE HIDRÔMETRO). AF_03/2024</t>
  </si>
  <si>
    <t>KIT CAVALETE PARA MEDIÇÃO DE ÁGUA - ENTRADA INDIVIDUALIZADA, EM PPR PN20 DN 25 MM (3/4") PARA 2 MEDIDORES - FORNECIMENTO E INSTALAÇÃO (EXCLUSIVE HIDRÔMETRO). AF_03/2024</t>
  </si>
  <si>
    <t>KIT CAVALETE PARA MEDIÇÃO DE ÁGUA - ENTRADA INDIVIDUALIZADA, EM PPR PN20 DN 25 MM (3/4") PARA 3 MEDIDORES - FORNECIMENTO E INSTALAÇÃO (EXCLUSIVE HIDRÔMETRO). AF_03/2024</t>
  </si>
  <si>
    <t>KIT CAVALETE PARA MEDIÇÃO DE ÁGUA - ENTRADA INDIVIDUALIZADA, EM PPR PN20 DN 25 MM (3/4") PARA 4 MEDIDORES - FORNECIMENTO E INSTALAÇÃO (EXCLUSIVE HIDRÔMETRO). AF_03/2024</t>
  </si>
  <si>
    <t>KIT CAVALETE PARA MEDIÇÃO DE ÁGUA - ENTRADA INDIVIDUALIZADA, EM PPR PN20 DN 32 MM (1") PARA 1 MEDIDOR - FORNECIMENTO E INSTALAÇÃO (EXCLUSIVE HIDRÔMETRO). AF_03/2024</t>
  </si>
  <si>
    <t>KIT CAVALETE PARA MEDIÇÃO DE ÁGUA - ENTRADA INDIVIDUALIZADA, EM PPR PN20 DN 32 MM (1") PARA 2 MEDIDORES - FORNECIMENTO E INSTALAÇÃO (EXCLUSIVE HIDRÔMETRO). AF_03/2024</t>
  </si>
  <si>
    <t>KIT CAVALETE PARA MEDIÇÃO DE ÁGUA - ENTRADA INDIVIDUALIZADA, EM PPR PN20 DN 32 MM (1") PARA 3 MEDIDORES - FORNECIMENTO E INSTALAÇÃO (EXCLUSIVE HIDRÔMETRO). AF_03/2024</t>
  </si>
  <si>
    <t>KIT CAVALETE PARA MEDIÇÃO DE ÁGUA - ENTRADA INDIVIDUALIZADA, EM PPR PN20 DN 32 MM (1") PARA 4 MEDIDORES - FORNECIMENTO E INSTALAÇÃO (EXCLUSIVE HIDRÔMETRO). AF_03/2024</t>
  </si>
  <si>
    <t>KIT CAVALETE PARA MEDIÇÃO DE ÁGUA - ENTRADA INDIVIDUALIZADA, EM PPR PN25 DN 25 MM (3/4") PARA 1 MEDIDOR - FORNECIMENTO E INSTALAÇÃO (EXCLUSIVE HIDRÔMETRO). AF_03/2024</t>
  </si>
  <si>
    <t>KIT CAVALETE PARA MEDIÇÃO DE ÁGUA - ENTRADA INDIVIDUALIZADA, EM PPR PN25 DN 25 MM (3/4") PARA 2 MEDIDORES - FORNECIMENTO E INSTALAÇÃO (EXCLUSIVE HIDRÔMETRO). AF_03/2024</t>
  </si>
  <si>
    <t>KIT CAVALETE PARA MEDIÇÃO DE ÁGUA - ENTRADA INDIVIDUALIZADA, EM PPR PN25 DN 25 MM (3/4") PARA 3 MEDIDORES - FORNECIMENTO E INSTALAÇÃO (EXCLUSIVE HIDRÔMETRO). AF_03/2024</t>
  </si>
  <si>
    <t>KIT CAVALETE PARA MEDIÇÃO DE ÁGUA - ENTRADA INDIVIDUALIZADA, EM PPR PN25 DN 25 MM (3/4") PARA 4 MEDIDORES - FORNECIMENTO E INSTALAÇÃO (EXCLUSIVE HIDRÔMETRO). AF_03/2024</t>
  </si>
  <si>
    <t>KIT CAVALETE PARA MEDIÇÃO DE ÁGUA - ENTRADA INDIVIDUALIZADA, EM PPR PN25 DN 32 MM (1") PARA 1 MEDIDOR - FORNECIMENTO E INSTALAÇÃO (EXCLUSIVE HIDRÔMETRO). AF_03/2024</t>
  </si>
  <si>
    <t>KIT CAVALETE PARA MEDIÇÃO DE ÁGUA - ENTRADA INDIVIDUALIZADA, EM PPR PN25 DN 32 MM (1") PARA 2 MEDIDORES - FORNECIMENTO E INSTALAÇÃO (EXCLUSIVE HIDRÔMETRO). AF_03/2024</t>
  </si>
  <si>
    <t>KIT CAVALETE PARA MEDIÇÃO DE ÁGUA - ENTRADA INDIVIDUALIZADA, EM PPR PN25 DN 32 MM (1") PARA 3 MEDIDORES - FORNECIMENTO E INSTALAÇÃO (EXCLUSIVE HIDRÔMETRO). AF_03/2024</t>
  </si>
  <si>
    <t>KIT CAVALETE PARA MEDIÇÃO DE ÁGUA - ENTRADA INDIVIDUALIZADA, EM PPR PN25 DN 32 MM (1") PARA 4 MEDIDORES - FORNECIMENTO E INSTALAÇÃO (EXCLUSIVE HIDRÔMETRO). AF_03/2024</t>
  </si>
  <si>
    <t>HIDRÔMETRO DN 1/2", 1,5 M3/H - FORNECIMENTO E INSTALAÇÃO. AF_03/2024</t>
  </si>
  <si>
    <t>HIDRÔMETRO DN 1/2", 3,0 M3/H - FORNECIMENTO E INSTALAÇÃO. AF_03/2024</t>
  </si>
  <si>
    <t>HIDRÔMETRO DN 3/4", 5,0 M3/H - FORNECIMENTO E INSTALAÇÃO. AF_03/2024</t>
  </si>
  <si>
    <t>CAIXA EM CONCRETO PRÉ-MOLDADO PARA ABRIGO DE HIDRÔMETRO COM DN 20 MM - FORNECIMENTO E INSTALAÇÃO. AF_03/2024</t>
  </si>
  <si>
    <t>HIDRÔMETRO DN 1", 7 M³/H - FORNECIMENTO E INSTALAÇÃO. AF_03/2024</t>
  </si>
  <si>
    <t>HIDRÔMETRO DN 1", 10 M³/H - FORNECIMENTO E INSTALAÇÃO. AF_03/2024</t>
  </si>
  <si>
    <t>HIDRÔMETRO DN 1 1/2", 20 M³/H - FORNECIMENTO E INSTALAÇÃO. AF_03/2024</t>
  </si>
  <si>
    <t>FIXAÇÃO DE TUBOS HORIZONTAIS DE PPR DIÂMETROS MENORES OU IGUAIS A 40 MM COM ABRAÇADEIRA METÁLICA RÍGIDA TIPO U PERFIL 1 1/4", FIXADA EM PERFILADO EM LAJE. AF_09/2023_PS</t>
  </si>
  <si>
    <t>FIXAÇÃO DE TUBOS HORIZONTAIS DE PVC ÁGUA, PVC ESGOTO, PVC ÁGUA PLUVIAL, CPVC, PPR, COBRE OU AÇO, DIÂMETROS MENORES OU IGUAIS A 40 MM, COM ABRAÇADEIRA METÁLICA RÍGIDA TIPO U PERFIL 1 1/4", FIXADA EM PERFILADO EM LAJE. AF_09/2023_PS</t>
  </si>
  <si>
    <t>FIXAÇÃO DE TUBOS HORIZONTAIS DE PVC ÁGUA, PVC ESGOTO, PVC ÁGUA PLUVIAL, CPVC, PPR, COBRE OU AÇO, DIÂMETROS MAIORES QUE 40 MM E MENORES OU IGUAIS A 75 MM, COM ABRAÇADEIRA METÁLICA RÍGIDA TIPO U PERFIL 2 1/2", FIXADA EM PERFILADO EM LAJE. AF_09/2023_PS</t>
  </si>
  <si>
    <t>FIXAÇÃO DE TUBOS HORIZONTAIS DE PVC ÁGUA, PVC ESGOTO, PVC ÁGUA PLUVIAL, CPVC, PPR, COBRE OU AÇO, DIÂMETROS MAIORES QUE 75 MM E MENORES OU IGUAIS A 100 MM, COM ABRAÇADEIRA METÁLICA RÍGIDA TIPO U PERFIL 4", FIXADA EM PERFILADO EM LAJE. AF_09/2023_PS</t>
  </si>
  <si>
    <t>FIXAÇÃO DE TUBOS VERTICAIS DE PVC ÁGUA, PVC ESGOTO, PVC ÁGUA PLUVIAL, CPVC, PPR, COBRE OU AÇO, DIÂMETROS MENORES OU IGUAIS A 40 MM, COM ABRAÇADEIRA METÁLICA RÍGIDA TIPO U PERFIL 1 1/4", FIXADA EM PERFILADO EM PAREDE. AF_09/2023_PS</t>
  </si>
  <si>
    <t>FIXAÇÃO DE TUBOS VERTICAIS DE PVC ÁGUA, PVC ESGOTO, PVC ÁGUA PLUVIAL, CPVC, PPR, COBRE OU AÇO, DIÂMETROS MAIORES QUE 40 MM E MENORES OU IGUAIS A 75 MM, COM ABRAÇADEIRA METÁLICA RÍGIDA TIPO U PERFIL 2 1/2", FIXADA EM PERFILADO EM PAREDE. AF_09/2023_PS</t>
  </si>
  <si>
    <t>FIXAÇÃO DE TUBOS VERTICAIS DE PVC ÁGUA, PVC ESGOTO, PVC ÁGUA PLUVIAL, CPVC, PPR, COBRE OU AÇO, DIÂMETROS MAIORES QUE 75 MM E MENORES OU IGUAIS A 100 MM, COM ABRAÇADEIRA METÁLICA RÍGIDA TIPO U PERFIL 4", FIXADA EM PERFILADO EM PAREDE. AF_09/2023_PS</t>
  </si>
  <si>
    <t>CONJUNTO HIDRÁULICO EM AÇO ROSCÁVEL PARA INSTALAÇÃO DE BOMBA, DN SUCÇÃO 65 MM (2½") E DN RECALQUE 50 MM (2"), PARA EDIFICAÇÃO COM 18 PAVIMENTOS - FORNECIMENTO E INSTALAÇÃO. AF_04/2024</t>
  </si>
  <si>
    <t>CONJUNTO HIDRÁULICO EM AÇO ROSCÁVEL PARA INSTALAÇÃO DE BOMBA, DN SUCÇÃO 50 MM (2") E DN RECALQUE 40 MM (1 1/2"), PARA EDIFICAÇÃO COM 12 PAVIMENTOS - FORNECIMENTO E INSTALAÇÃO. AF_04/2024</t>
  </si>
  <si>
    <t>CONJUNTO HIDRÁULICO EM AÇO ROSCÁVEL PARA INSTALAÇÃO DE BOMBA, DN SUCÇÃO 40 MM (1 1/2") E DN RECALQUE 32 MM (1 1/4"), PARA EDIFICAÇÃO COM 8 PAVIMENTOS - FORNECIMENTO E INSTALAÇÃO. AF_04/2024</t>
  </si>
  <si>
    <t>CONJUNTO HIDRÁULICO EM AÇO ROSCÁVEL PARA INSTALAÇÃO DE BOMBA, DN SUCÇÃO 32 MM (1 1/4") E DN RECALQUE 25 MM (1"), PARA EDIFICAÇÃO COM 4 PAVIMENTOS - FORNECIMENTO E INSTALAÇÃO. AF_04/2024</t>
  </si>
  <si>
    <t>DRAGAGEM DE MATERIAIS DE 1A CATEGORIA E COMPOSTOS ORGÂNICOS E INORGÂNICOS COM RETROESCAVADEIRA (CAÇAMBA: 0,26 M3/88 HP). AF_03/2024</t>
  </si>
  <si>
    <t>DRAGAGEM DE MATERIAIS DE 1A CATEGORIA E COMPOSTOS ORGÂNICOS E INORGÂNICOS COM ESCAVADEIRA HIDRÁULICA (CAÇAMBA: 0,80 M3/111 HP). AF_03/2024</t>
  </si>
  <si>
    <t>ESCAVAÇÃO MECANIZADA PARA BLOCO DE COROAMENTO OU SAPATA COM RETROESCAVADEIRA (SEM ESCAVAÇÃO PARA COLOCAÇÃO DE FÔRMAS). AF_01/2024</t>
  </si>
  <si>
    <t>ESCAVAÇÃO MECANIZADA PARA BLOCO DE COROAMENTO OU SAPATA COM RETROESCAVADEIRA (INCLUINDO ESCAVAÇÃO PARA COLOCAÇÃO DE FÔRMAS). AF_01/2024</t>
  </si>
  <si>
    <t>ESCAVAÇÃO MANUAL PARA BLOCO DE COROAMENTO OU SAPATA (SEM ESCAVAÇÃO PARA COLOCAÇÃO DE FÔRMAS). AF_01/2024</t>
  </si>
  <si>
    <t>ESCAVAÇÃO MANUAL PARA BLOCO DE COROAMENTO OU SAPATA (INCLUINDO ESCAVAÇÃO PARA COLOCAÇÃO DE FÔRMAS). AF_01/2024</t>
  </si>
  <si>
    <t>ESCAVAÇÃO MECANIZADA PARA VIGA BALDRAME OU SAPATA CORRIDA COM MINI-ESCAVADEIRA (SEM ESCAVAÇÃO PARA COLOCAÇÃO DE FÔRMAS). AF_01/2024</t>
  </si>
  <si>
    <t>ESCAVAÇÃO MECANIZADA PARA VIGA BALDRAME OU SAPATA CORRIDA COM MINI-ESCAVADEIRA (INCLUINDO ESCAVAÇÃO PARA COLOCAÇÃO DE FÔRMAS). AF_01/2024</t>
  </si>
  <si>
    <t>ESCAVAÇÃO MANUAL PARA VIGA BALDRAME OU SAPATA CORRIDA (SEM ESCAVAÇÃO PARA COLOCAÇÃO DE FÔRMAS). AF_01/2024</t>
  </si>
  <si>
    <t>ESCAVAÇÃO MANUAL PARA VIGA BALDRAME OU SAPATA CORRIDA (INCLUINDO ESCAVAÇÃO PARA COLOCAÇÃO DE FÔRMAS). AF_01/2024</t>
  </si>
  <si>
    <t>FABRICAÇÃO, MONTAGEM E DESMONTAGEM DE FÔRMA PARA BLOCO DE COROAMENTO, EM MADEIRA SERRADA, E=25 MM, 1 UTILIZAÇÃO. AF_01/2024</t>
  </si>
  <si>
    <t>DESMONTE DE MATERIAL DE 3ª CATEGORIA (BLOCOS DE ROCHAS OU MATACOS), COM MARTELETE PNEUMÁTICO MANUAL - EXCLUSIVE CARGA E TRANSPORTE. AF_03/2021</t>
  </si>
  <si>
    <t>REATERRO MECANIZADO DE VALA COM ESCAVADEIRA HIDRÁULICA (CAPACIDADE DA CAÇAMBA: 0,8 M³/POTÊNCIA: 111 HP), LARGURA 1,5 A 2,5 M, PROFUNDIDADE 1,5 A 3,0 M, COM SOLO (SEM SUBSTITUIÇÃO) DE 1ª CATEGORIA, COM COMPACTADOR DE SOLOS DE PERCUSSÃO. AF_08/2023</t>
  </si>
  <si>
    <t>REATERRO MECANIZADO DE VALA COM ESCAVADEIRA HIDRÁULICA (CAPACIDADE DA CAÇAMBA: 0,8 M³/POTÊNCIA: 111 HP), LARGURA 1,5 A 2,5 M, PROFUNDIDADE 3,0 A 6,0 M, COM SOLO (SEM SUBSTITUIÇÃO) DE 1ª CATEGORIA, COM COMPACTADOR DE SOLOS DE PERCUSSÃO. AF_08/2023</t>
  </si>
  <si>
    <t>BARRAS DE TRANSFERÊNCIA, AÇO CA-25 DE 16,0 MM, PARA EXECUÇÃO DE PAVIMENTO DE CONCRETO - FORNECIMENTO E INSTALAÇÃO. AF_04/2022</t>
  </si>
  <si>
    <t>BARRAS DE TRANSFERÊNCIA, AÇO CA-25 DE 20,0 MM, PARA EXECUÇÃO DE PAVIMENTO DE CONCRETO - FORNECIMENTO E INSTALAÇÃO. AF_04/2022</t>
  </si>
  <si>
    <t>BARRAS DE TRANSFERÊNCIA, AÇO CA-25 DE 25,0 MM, PARA EXECUÇÃO DE PAVIMENTO DE CONCRETO - FORNECIMENTO E INSTALAÇÃO. AF_04/2022</t>
  </si>
  <si>
    <t>BARRAS DE TRANSFERÊNCIA, AÇO CA-25 DE 32,0 MM, PARA EXECUÇÃO DE PAVIMENTO DE CONCRETO - FORNECIMENTO E INSTALAÇÃO. AF_04/2022</t>
  </si>
  <si>
    <t>BARRAS DE LIGAÇÃO, AÇO CA-50 DE 10 MM, PARA EXECUÇÃO DE PAVIMENTO DE CONCRETO - FORNECIMENTO E INSTALAÇÃO. AF_04/2022</t>
  </si>
  <si>
    <t>APLICAÇÃO MANUAL DE FUNDO SELADOR ACRÍLICO EM PANOS COM PRESENÇA DE VÃOS DE EDIFÍCIOS DE MÚLTIPLOS PAVIMENTOS. AF_03/2024</t>
  </si>
  <si>
    <t>APLICAÇÃO MANUAL DE FUNDO SELADOR ACRÍLICO EM PANOS CEGOS DE FACHADA (SEM PRESENÇA DE VÃOS) DE EDIFÍCIOS DE MÚLTIPLOS PAVIMENTOS. AF_03/2024</t>
  </si>
  <si>
    <t>APLICAÇÃO MANUAL DE FUNDO SELADOR ACRÍLICO EM SUPERFÍCIES EXTERNAS DE SACADA DE EDIFÍCIOS DE MÚLTIPLOS PAVIMENTOS. AF_03/2024</t>
  </si>
  <si>
    <t>APLICAÇÃO MANUAL DE FUNDO SELADOR ACRÍLICO EM SUPERFÍCIES INTERNAS DA SACADA DE EDIFÍCIOS DE MÚLTIPLOS PAVIMENTOS. AF_03/2024</t>
  </si>
  <si>
    <t>APLICAÇÃO MANUAL DE FUNDO SELADOR ACRÍLICO EM PAREDES EXTERNAS DE CASAS. AF_03/2024</t>
  </si>
  <si>
    <t>APLICAÇÃO MANUAL DE PINTURA COM TINTA TEXTURIZADA ACRÍLICA EM PANOS COM PRESENÇA DE VÃOS DE EDIFÍCIOS DE MÚLTIPLOS PAVIMENTOS, UMA COR. AF_03/2024</t>
  </si>
  <si>
    <t>APLICAÇÃO MANUAL DE PINTURA COM TINTA TEXTURIZADA ACRÍLICA EM PANOS CEGOS DE FACHADA (SEM PRESENÇA DE VÃOS) DE EDIFÍCIOS DE MÚLTIPLOS PAVIMENTOS, UMA COR. AF_03/2024</t>
  </si>
  <si>
    <t>APLICAÇÃO MANUAL DE PINTURA COM TINTA TEXTURIZADA ACRÍLICA EM SUPERFÍCIES EXTERNAS DE SACADA DE EDIFÍCIOS DE MÚLTIPLOS PAVIMENTOS, UMA COR. AF_03/2024</t>
  </si>
  <si>
    <t>APLICAÇÃO MANUAL DE PINTURA COM TINTA TEXTURIZADA ACRÍLICA EM SUPERFÍCIES INTERNAS DA SACADA DE EDIFÍCIOS DE MÚLTIPLOS PAVIMENTOS, UMA COR. AF_03/2024</t>
  </si>
  <si>
    <t>APLICAÇÃO MANUAL DE PINTURA COM TINTA TEXTURIZADA ACRÍLICA EM PAREDES EXTERNAS DE CASAS, UMA COR. AF_03/2024</t>
  </si>
  <si>
    <t>APLICAÇÃO MANUAL DE PINTURA COM TINTA TEXTURIZADA ACRÍLICA EM PANOS COM PRESENÇA DE VÃOS DE EDIFÍCIOS DE MÚLTIPLOS PAVIMENTOS, DUAS CORES. AF_03/2024</t>
  </si>
  <si>
    <t>APLICAÇÃO MANUAL DE PINTURA COM TINTA TEXTURIZADA ACRÍLICA EM PANOS CEGOS DE FACHADA (SEM PRESENÇA DE VÃOS) DE EDIFÍCIOS DE MÚLTIPLOS PAVIMENTOS, DUAS CORES. AF_03/2024</t>
  </si>
  <si>
    <t>APLICAÇÃO MANUAL DE PINTURA COM TINTA TEXTURIZADA ACRÍLICA EM SUPERFÍCIES EXTERNAS DE SACADA DE EDIFÍCIOS DE MÚLTIPLOS PAVIMENTOS, DUAS CORES. AF_03/2024</t>
  </si>
  <si>
    <t>APLICAÇÃO MANUAL DE PINTURA COM TINTA TEXTURIZADA ACRÍLICA EM SUPERFÍCIES INTERNAS DA SACADA DE EDIFÍCIOS DE MÚLTIPLOS PAVIMENTOS, DUAS CORES. AF_03/2024</t>
  </si>
  <si>
    <t>APLICAÇÃO MANUAL DE PINTURA COM TINTA TEXTURIZADA ACRÍLICA EM PAREDES EXTERNAS DE CASAS, DUAS CORES. AF_03/2024</t>
  </si>
  <si>
    <t>APLICAÇÃO MANUAL DE PINTURA COM TINTA TEXTURIZADA ACRÍLICA EM MOLDURAS DE EPS. AF_03/2024</t>
  </si>
  <si>
    <t>APLICAÇÃO MANUAL DE TINTA LÁTEX ACRÍLICA EM PANOS COM PRESENÇA DE VÃOS DE EDIFÍCIOS DE MÚLTIPLOS PAVIMENTOS, DUAS DEMÃOS. AF_03/2024</t>
  </si>
  <si>
    <t>APLICAÇÃO MANUAL DE TINTA LÁTEX ACRÍLICA EM PANOS SEM PRESENÇA DE VÃOS DE EDIFÍCIOS DE MÚLTIPLOS PAVIMENTOS, DUAS DEMÃOS. AF_03/2024</t>
  </si>
  <si>
    <t>APLICAÇÃO MANUAL DE TINTA LÁTEX ACRÍLICA EM SUPERFÍCIES EXTERNAS DE SACADA DE EDIFÍCIOS DE MÚLTIPLOS PAVIMENTOS, DUAS DEMÃOS. AF_03/2024</t>
  </si>
  <si>
    <t>APLICAÇÃO MANUAL DE TINTA LÁTEX ACRÍLICA EM SUPERFÍCIES INTERNAS DE SACADA DE EDIFÍCIOS DE MÚLTIPLOS PAVIMENTOS, DUAS DEMÃOS. AF_03/2024</t>
  </si>
  <si>
    <t>APLICAÇÃO MANUAL DE TINTA LÁTEX ACRÍLICA EM PAREDE EXTERNAS DE CASAS, DUAS DEMÃOS. AF_03/2024</t>
  </si>
  <si>
    <t>APLICAÇÃO MANUAL DE MASSA ACRÍLICA EM PANOS DE FACHADA COM PRESENÇA DE VÃOS, DE EDIFÍCIOS DE MÚLTIPLOS PAVIMENTOS, UMA DEMÃO. AF_03/2024</t>
  </si>
  <si>
    <t>APLICAÇÃO MANUAL DE MASSA ACRÍLICA EM PANOS DE FACHADA SEM PRESENÇA DE VÃOS, DE EDIFÍCIOS DE MÚLTIPLOS PAVIMENTOS, UMA DEMÃO. AF_03/2024</t>
  </si>
  <si>
    <t>APLICAÇÃO MANUAL DE MASSA ACRÍLICA EM SUPERFÍCIES EXTERNAS DE SACADA DE EDIFÍCIOS DE MÚLTIPLOS PAVIMENTOS, UMA DEMÃO. AF_03/2024</t>
  </si>
  <si>
    <t>APLICAÇÃO MANUAL DE MASSA ACRÍLICA EM SUPERFÍCIES INTERNAS DE SACADA DE EDIFÍCIOS DE MÚLTIPLOS PAVIMENTOS, UMA DEMÃO. AF_03/2024</t>
  </si>
  <si>
    <t>APLICAÇÃO MANUAL DE MASSA ACRÍLICA EM PAREDES EXTERNAS DE CASAS, UMA DEMÃO. AF_03/2024</t>
  </si>
  <si>
    <t>APLICAÇÃO MANUAL DE MASSA ACRÍLICA EM PANOS DE FACHADA COM PRESENÇA DE VÃOS, DE EDIFÍCIOS DE MÚLTIPLOS PAVIMENTOS, DUAS DEMÃOS. AF_03/2024</t>
  </si>
  <si>
    <t>APLICAÇÃO MANUAL DE MASSA ACRÍLICA EM PANOS DE FACHADA SEM PRESENÇA DE VÃOS, DE EDIFÍCIOS DE MÚLTIPLOS PAVIMENTOS, DUAS DEMÃOS. AF_03/2024</t>
  </si>
  <si>
    <t>APLICAÇÃO MANUAL DE MASSA ACRÍLICA EM SUPERFÍCIES EXTERNAS DE SACADA DE EDIFÍCIOS DE MÚLTIPLOS PAVIMENTOS, DUAS DEMÃOS. AF_03/2024</t>
  </si>
  <si>
    <t>APLICAÇÃO MANUAL DE MASSA ACRÍLICA EM SUPERFÍCIES INTERNAS DE SACADA DE EDIFÍCIOS DE MÚLTIPLOS PAVIMENTOS, DUAS DEMÃOS. AF_03/2024</t>
  </si>
  <si>
    <t>APLICAÇÃO MANUAL DE MASSA ACRÍLICA EM PAREDES EXTERNAS DE CASAS, DUAS DEMÃOS. AF_03/2024</t>
  </si>
  <si>
    <t>PISO PODOTÁTIL DE ALERTA OU DIRECIONAL, DE CONCRETO, ASSENTADO SOBRE ARGAMASSA. AF_03/2024</t>
  </si>
  <si>
    <t>EMBOÇO, EM ARGAMASSA TRAÇO 1:2:8, PREPARO MECÂNICO, APLICADO MANUALMENTE EM PAREDES INTERNAS DE AMBIENTES COM ÁREA MENOR QUE 5M², E =17,5MM, COM TALISCAS. AF_03/2024</t>
  </si>
  <si>
    <t>EMBOÇO, EM ARGAMASSA TRAÇO 1:2:8, PREPARO MANUAL, APLICADO MANUALMENTE EM PAREDES INTERNAS DE AMBIENTES COM ÁREA MENOR QUE 5M², E = 17,5MM, COM TALISCAS. AF_03/2024</t>
  </si>
  <si>
    <t>MASSA ÚNICA, EM ARGAMASSA TRAÇO 1:2:8, PREPARO MECÂNICO, APLICADA MANUALMENTE EM PAREDES INTERNAS DE AMBIENTES COM ÁREA ENTRE 5M² E 10M², E = 17,5MM, COM TALISCAS. AF_03/2024</t>
  </si>
  <si>
    <t>MASSA ÚNICA, EM ARGAMASSA TRAÇO 1:2:8, PREPARO MANUAL, APLICADA MANUALMENTE EM PAREDES INTERNAS DE AMBIENTES COM ÁREA ENTRE 5M² E 10M², E = 17,5MM, COM TALISCAS. AF_03/2024</t>
  </si>
  <si>
    <t>EMBOÇO, EM ARGAMASSA TRAÇO 1:2:8, PREPARO MECÂNICO, APLICADO MANUALMENTE EM PAREDES INTERNAS DE AMBIENTES COM ÁREA ENTRE 5M² E 10M², E = 17,5MM, COM TALISCAS. AF_03/2024</t>
  </si>
  <si>
    <t>EMBOÇO, EM ARGAMASSA TRAÇO 1:2:8, PREPARO MANUAL, APLICADO MANUALMENTE EM PAREDES INTERNAS DE AMBIENTES COM ÁREA ENTRE 5M² E 10M², E = 17,5MM, COM TALISCAS. AF_03/2024</t>
  </si>
  <si>
    <t>EMBOÇO, EM ARGAMASSA TRAÇO 1:2:8, PREPARO MECÂNICO, APLICADO MANUALMENTE EM PAREDES INTERNAS DE AMBIENTES COM ÁREA MAIOR QUE 10M², E = 17,5MM, COM TALISCAS. AF_03/2024</t>
  </si>
  <si>
    <t>EMBOÇO, EM ARGAMASSA TRAÇO 1:2:8, PREPARO MANUAL, APLICADO MANUALMENTE EM PAREDES INTERNAS DE AMBIENTES COM ÁREA MAIOR QUE 10M², E = 17,5MM, COM TALISCAS. AF_03/2024</t>
  </si>
  <si>
    <t>EMBOÇO, EM ARGAMASSA INDUSTRIALIZADA, PREPARO MECÂNICO, APLICADO COM EQUIPAMENTO DE MISTURA E PROJEÇÃO DE ARGAMASSA EM PAREDES INTERNAS, E = 17,5MM, COM TALISCAS. AF_03/2024</t>
  </si>
  <si>
    <t>MASSA ÚNICA, EM ARGAMASSA INDUSTRIALIZADA, PREPARO MECÂNICO, APLICADA COM EQUIPAMENTO DE MISTURA E PROJEÇÃO DE ARGAMASSA EM PAREDES INTERNAS, E = 5MM, SEM TALISCAS. AF_03/2024</t>
  </si>
  <si>
    <t>EMBOÇO, EM ARGAMASSA TRAÇO 1:2:8, PREPARO MECÂNICO, APLICADO MANUALMENTE EM PAREDES INTERNAS, PARA AMBIENTES COM ÁREA MENOR QUE 5M², E = 10MM, COM TALISCAS. AF_03/2024</t>
  </si>
  <si>
    <t>EMBOÇO, EM ARGAMASSA TRAÇO 1:2:8, PREPARO MANUAL, APLICADO MANUALMENTE EM PAREDES INTERNAS, PARA AMBIENTES COM ÁREA MENOR QUE 5M², E = 10MM, COM TALISCAS. AF_03/2024</t>
  </si>
  <si>
    <t>MASSA ÚNICA, EM ARGAMASSA TRAÇO 1:2:8, PREPARO MECÂNICO, APLICADA MANUALMENTE EM PAREDES INTERNAS DE AMBIENTES COM ÁREA ENTRE 5M² E 10M², E = 10MM, COM TALISCAS. AF_03/2024</t>
  </si>
  <si>
    <t>MASSA ÚNICA, EM ARGAMASSA TRAÇO 1:2:8, PREPARO MANUAL, APLICADA MANUALMENTE EM PAREDES INTERNAS DE AMBIENTES COM ÁREA ENTRE 5M² E 10M², E = 10MM, COM TALISCAS. AF_03/2024</t>
  </si>
  <si>
    <t>EMBOÇO, EM ARGAMASSA TRAÇO 1:2:8, PREPARO MECÂNICO, APLICADO MANUALMENTE EM PAREDES INTERNAS DE AMBIENTES COM ÁREA ENTRE 5M² E 10M², E = 10MM, COM TALISCAS. AF_03/2024</t>
  </si>
  <si>
    <t>EMBOÇO, EM ARGAMASSA TRAÇO 1:2:8, PREPARO MANUAL, APLICADO MANUALMENTE EM PAREDES INTERNAS DE AMBIENTES COM ÁREA ENTRE 5M² E 10M², E = 10MM, COM TALISCAS. AF_03/2024</t>
  </si>
  <si>
    <t>EMBOÇO, EM ARGAMASSA TRAÇO 1:2:8, PREPARO MECÂNICO, APLICADO MANUALMENTE EM PAREDES INTERNAS DE AMBIENTES COM ÁREA MAIOR QUE 10M², E = 10MM, COM TALISCAS. AF_03/2024</t>
  </si>
  <si>
    <t>EMBOÇO, EM ARGAMASSA TRAÇO 1:2:8, PREPARO MANUAL, APLICADO MANUALMENTE EM PAREDES INTERNAS DE AMBIENTES COM ÁREA MAIOR QUE 10M², E = 10MM, COM TALISCAS. AF_03/2024</t>
  </si>
  <si>
    <t>EMBOÇO, EM ARGAMASSA INDUSTRIALIZADA, PREPARO MECÂNICO, APLICADO COM EQUIPAMENTO DE MISTURA E PROJEÇÃO DE ARGAMASSA EM PAREDES INTERNAS, E = 10MM, COM TALISCAS. AF_03/2024</t>
  </si>
  <si>
    <t>MASSA ÚNICA, EM ARGAMASSA INDUSTRIALIZADA, PREPARO MECÂNICO, APLICADA COM EQUIPAMENTO DE MISTURA E PROJEÇÃO DE ARGAMASSA EM PAREDES INTERNAS, E = 10MM, SEM TALISCAS. AF_03/2024</t>
  </si>
  <si>
    <t>REVESTIMENTO DECORATIVO MONOCAMADA EXECUTADO MANUALMENTE EM FACHADA DE UM EDIFÍCIO DE ESTRUTURA CONVENCIONAL E ACABAMENTO RASPADO. AF_03/2024</t>
  </si>
  <si>
    <t>REVESTIMENTO DECORATIVO MONOCAMADA EXECUTADO MANUALMENTE EM FACHADA DE UM EDIFÍCIO DE ALVENARIA ESTRUTURAL E ACABAMENTO RASPADO. AF_03/2024</t>
  </si>
  <si>
    <t>REVESTIMENTO DECORATIVO MONOCAMADA EXECUTADO COM EQUIPAMENTO DE PROJEÇÃO EM FACHADA DE UM EDIFÍCIO DE ESTRUTURA CONVENCIONAL E ACABAMENTO RASPADO. AF_03/2024</t>
  </si>
  <si>
    <t>REVESTIMENTO DECORATIVO MONOCAMADA EXECUTADO COM EQUIPAMENTO DE PROJEÇÃO EM FACHADA DE UM EDIFÍCIO DE ALVENARIA ESTRUTURAL E ACABAMENTO RASPADO. AF_03/2024</t>
  </si>
  <si>
    <t>REVESTIMENTO DECORATIVO MONOCAMADA EXECUTADO MANUALMENTE EM FACHADA DE UM EDIFÍCIO DE ESTRUTURA CONVENCIONAL E ACABAMENTO TRAVERTINO. AF_03/2024</t>
  </si>
  <si>
    <t>REVESTIMENTO DECORATIVO MONOCAMADA EXECUTADO MANUALMENTE EM FACHADA DE UM EDIFÍCIO DE ALVENARIA ESTRUTURAL E ACABAMENTO TRAVERTINO. AF_03/2024</t>
  </si>
  <si>
    <t>REVESTIMENTO DECORATIVO MONOCAMADA EXECUTADO COM EQUIPAMENTO DE PROJEÇÃO EM FACHADA DE UM EDIFÍCIO DE ESTRUTURA CONVENCIONAL E ACABAMENTO TRAVERTINO. AF_03/2024</t>
  </si>
  <si>
    <t>REVESTIMENTO DECORATIVO MONOCAMADA EXECUTADO COM EQUIPAMENTO DE PROJEÇÃO EM FACHADA DE UM EDIFÍCIO DE ALVENARIA ESTRUTURAL E ACABAMENTO TRAVERTINO. AF_03/2024</t>
  </si>
  <si>
    <t>MASSA ÚNICA, EM ARGAMASSA TRAÇO 1:2:8, PREPARO MECÂNICO, APLICADA MANUALMENTE EM TETO, E = 17,5MM, COM TALISCAS. AF_03/2024</t>
  </si>
  <si>
    <t>MASSA ÚNICA, EM ARGAMASSA TRAÇO 1:2:8, PREPARO MECÂNICO, APLICADA MANUALMENTE EM TETO, E = 10MM, COM TALISCAS. AF_03/2024</t>
  </si>
  <si>
    <t>EMBOÇO OU MASSA ÚNICA EM ARGAMASSA INDUSTRIALIZADA, PREPARO MECÂNICO E APLICAÇÃO COM EQUIPAMENTO DE MISTURA E PROJEÇÃO DE 1,5 M3/H, NAS SUPERFÍCIES EXTERNAS DA SACADA, ESPESSURA DE 25 MM, ACESSO POR ANDAIME, SEM USO DE TELA METÁLICA. AF_08/2022</t>
  </si>
  <si>
    <t>EMBOÇO OU MASSA ÚNICA EM ARGAMASSA INDUSTRIALIZADA, PREPARO MECÂNICO E APLICAÇÃO COM EQUIPAMENTO DE MISTURA E PROJEÇÃO DE 1,5 M3/H, NAS SUPERFÍCIES EXTERNAS DA SACADA, ESPESSURA DE 35 MM, ACESSO POR ANDAIME, SEM USO DE TELA METÁLICA. AF_08/2022</t>
  </si>
  <si>
    <t>EMBOÇO OU MASSA ÚNICA EM ARGAMASSA INDUSTRIALIZADA, PREPARO MECÂNICO E APLICAÇÃO COM EQUIPAMENTO DE MISTURA E PROJEÇÃO DE 1,5 M3/H, NAS SUPERFÍCIES EXTERNAS DA SACADA, ESPESSURA DE 45 MM, ACESSO POR ANDAIME, SEM USO DE TELA METÁLICA. AF_08/2022</t>
  </si>
  <si>
    <t>EMBOÇO OU MASSA ÚNICA EM ARGAMASSA INDUSTRIALIZADA, PREPARO MECÂNICO E APLICAÇÃO COM EQUIPAMENTO DE MISTURA E PROJEÇÃO DE 1,5 M3/H, NAS SUPERFÍCIES EXTERNAS DA SACADA, ESPESSURA DE 50 MM, ACESSO POR ANDAIME, SEM USO DE TELA METÁLICA. AF_08/2022</t>
  </si>
  <si>
    <t>MASSA ÚNICA, EM ARGAMASSA TRAÇO 1:2:8, PREPARO MECÂNICO, APLICADA MANUALMENTE EM PAREDES INTERNAS DE AMBIENTES COM ÁREA MAIOR QUE 10M², E = 17,5MM, COM TALISCAS. AF_03/2024</t>
  </si>
  <si>
    <t>MASSA ÚNICA, EM ARGAMASSA TRAÇO 1:2:8, PREPARO MANUAL, APLICADA MANUALMENTE EM PAREDES INTERNAS DE AMBIENTES COM ÁREA MAIOR QUE 10M², E = 17,5MM, COM TALISCAS. AF_03/2024</t>
  </si>
  <si>
    <t>MASSA ÚNICA, EM ARGAMASSA INDUSTRIALIZADA, PREPARO MECÂNICO, APLICADA COM EQUIPAMENTO DE MISTURA E PROJEÇÃO DE ARGAMASSA EM PAREDES INTERNAS, E = 17,5MM, COM TALISCAS. AF_03/2024</t>
  </si>
  <si>
    <t>EMBOÇO, EM ARGAMASSA TRAÇO 1:2:8, PREPARO MANUAL, APLICADO MANUALMENTE EM PAREDES INTERNAS DE AMBIENTES COM PÉ-DIREITO DUPLO E ÁREA ENTRE 5M² E 10M², E = 17,5MM, COM TALISCAS. AF_03/2024</t>
  </si>
  <si>
    <t>MASSA ÚNICA, EM ARGAMASSA TRAÇO 1:2:8, PREPARO MECÂNICO, APLICADA MANUALMENTE EM PAREDES INTERNAS DE AMBIENTES COM PÉ-DIREITO DUPLO E ÁREA MAIOR QUE 10M², E = 17,5MM, COM TALISCAS. AF_03/2024</t>
  </si>
  <si>
    <t>MASSA ÚNICA, EM ARGAMASSA TRAÇO 1:2:8, PREPARO MANUAL, APLICADA MANUALMENTE EM PAREDES INTERNAS DE AMBIENTES COM PÉ-DIREITO DUPLO E ÁREA MAIOR QUE 10M², E = 17,5MM, COM TALISCAS. AF_03/2024</t>
  </si>
  <si>
    <t>EMBOÇO, EM ARGAMASSA TRAÇO 1:2:8, PREPARO MECÂNICO, APLICADO MANUALMENTE EM PAREDES INTERNAS DE AMBIENTES COM PÉ-DIREITO DUPLO E ÁREA MAIOR QUE 10M², E = 17,5MM, COM TALISCAS. AF_03/2024</t>
  </si>
  <si>
    <t>MASSA ÚNICA, EM ARGAMASSA TRAÇO 1:2:8 PREPARO MECÂNICO, APLICADA MANUALMENTE EM PAREDES INTERNAS DE AMBIENTES COM ÁREA MAIOR QUE 10M², E = 10MM, COM TALISCAS. AF_03/2024</t>
  </si>
  <si>
    <t>MASSA ÚNICA, EM ARGAMASSA TRAÇO 1:2:8 PREPARO MANUAL, APLICADA MANUALMENTE EM PAREDES INTERNAS DE AMBIENTES COM ÁREA MAIOR QUE 10M², E = 10MM, COM TALISCAS. AF_03/2024</t>
  </si>
  <si>
    <t>MASSA ÚNICA, EM ARGAMASSA INDUSTRIALIZADA, PREPARO MECÂNICO, APLICADA COM EQUIPAMENTO DE MISTURA E PROJEÇÃO DE ARGAMASSA EM PAREDES INTERNAS, E = 10MM, COM TALISCAS. AF_03/2024</t>
  </si>
  <si>
    <t>EMBOÇO, EM ARGAMASSA TRAÇO 1:2:8, PREPARO MECÂNICO, APLICADO MANUALMENTE EM PAREDES INTERNAS DE AMBIENTES COM PÉ-DIREITO DUPLO E ÁREA MENOR QUE 5M², E = 17,5MM, COM TALISCAS. AF_03/2024</t>
  </si>
  <si>
    <t>EMBOÇO, EM ARGAMASSA TRAÇO 1:2:8, PREPARO MANUAL, APLICADO MANUALMENTE EM PAREDES INTERNAS DE AMBIENTES COM PÉ-DIREITO DUPLO E ÁREA MENOR QUE 5M², E = 17,5MM, COM TALISCAS. AF_03/2024</t>
  </si>
  <si>
    <t>MASSA ÚNICA, EM ARGAMASSA TRAÇO 1:2:8, PREPARO MECÂNICO, APLICADA MANUALMENTE EM PAREDES INTERNAS DE AMBIENTES COM PÉ-DIREITO DUPLO E ÁREA ENTRE 5M² E 10M², E = 17,5MM, COM TALISCAS. AF_03/2024</t>
  </si>
  <si>
    <t>MASSA ÚNICA, EM ARGAMASSA TRAÇO 1:2:8, PREPARO MANUAL, APLICADA MANUALMENTE EM PAREDES INTERNAS DE AMBIENTES COM PÉ-DIREITO DUPLO E ÁREA ENTRE 5M² E 10M², E = 17,5MM, COM TALISCAS. AF_03/2024</t>
  </si>
  <si>
    <t>EMBOÇO, EM ARGAMASSA TRAÇO 1:2:8, PREPARO MECÂNICO, APLICADO MANUALMENTE EM PAREDES INTERNAS DE AMBIENTES COM PÉ-DIREITO DUPLO E ÁREA ENTRE 5M² E 10M², E = 17,5MM, COM TALISCAS. AF_03/2024</t>
  </si>
  <si>
    <t>EMBOÇO, EM ARGAMASSA TRAÇO 1:2:8, PREPARO MANUAL, APLICADO MANUALMENTE EM PAREDES INTERNAS DE AMBIENTES COM PÉ-DIREITO DUPLO E ÁREA MAIOR QUE 10M², E = 17,5MM, COM TALISCAS. AF_03/2024</t>
  </si>
  <si>
    <t>EMBOÇO, EM ARGAMASSA TRAÇO 1:2:8, PREPARO MECÂNICO, APLICADO MANUALMENTE EM PAREDES INTERNAS DE AMBIENTES COM PÉ-DIREITO DUPLO E ÁREA MENOR QUE 5M², E = 10MM, COM TALISCAS. AF_03/2024</t>
  </si>
  <si>
    <t>EMBOÇO, EM ARGAMASSA TRAÇO 1:2:8, PREPARO MANUAL, APLICADO MANUALMENTE EM PAREDES INTERNAS DE AMBIENTES COM PÉ-DIREITO DUPLO E ÁREA MENOR QUE 5M², E = 10MM, COM TALISCAS. AF_03/2024</t>
  </si>
  <si>
    <t>MASSA ÚNICA, EM ARGAMASSA TRAÇO 1:2:8, PREPARO MECÂNICO, APLICADA MANUALMENTE EM PAREDES INTERNAS DE AMBIENTES COM PÉ-DIREITO DUPLO E ÁREA ENTRE 5M² E 10M², E = 10MM, COM TALISCAS. AF_03/2024</t>
  </si>
  <si>
    <t>MASSA ÚNICA, EM ARGAMASSA TRAÇO 1:2:8, PREPARO MANUAL, APLICADA MANUALMENTE EM PAREDES INTERNAS DE AMBIENTES COM PÉ-DIREITO DUPLO E ÁREA ENTRE 5M² E 10M², E = 10MM, COM TALISCAS. AF_03/2024</t>
  </si>
  <si>
    <t>EMBOÇO, EM ARGAMASSA TRAÇO 1:2:8, PREPARO MECÂNICO, APLICADO MANUALMENTE EM PAREDES INTERNAS DE AMBIENTES COM PÉ-DIREITO DUPLO E ÁREA ENTRE 5M² E 10M², E = 10MM, COM TALISCAS. AF_03/2024</t>
  </si>
  <si>
    <t>EMBOÇO, EM ARGAMASSA TRAÇO 1:2:8, PREPARO MANUAL, APLICADO MANUALMENTE EM PAREDES INTERNAS DE AMBIENTES COM PÉ-DIREITO DUPLO E ÁREA ENTRE 5M² E 10M², E = 10MM, COM TALISCAS. AF_03/2024</t>
  </si>
  <si>
    <t>MASSA ÚNICA, EM ARGAMASSA TRAÇO 1:2:8, PREPARO MECÂNICO, APLICADA MANUALMENTE EM PAREDES INTERNAS DE AMBIENTES COM PÉ-DIREITO DUPLO ÁREA MAIOR QUE 10M², E = 10MM, COM TALISCAS. AF_03/2024</t>
  </si>
  <si>
    <t>MASSA ÚNICA, EM ARGAMASSA TRAÇO 1:2:8, PREPARO MANUAL, APLICADA MANUALMENTE EM PAREDES INTERNAS DE AMBIENTES COM PÉ-DIREITO DUPLO ÁREA MAIOR QUE 10M², E = 10MM, COM TALISCAS. AF_03/2024</t>
  </si>
  <si>
    <t>EMBOÇO, EM ARGAMASSA TRAÇO 1:2:8, PREPARO MECÂNICO, APLICADO MANUALMENTE EM PAREDES INTERNAS DE AMBIENTES COM PÉ-DIREITO DUPLO E ÁREA MAIOR QUE 10M², E = 10MM, COM TALISCAS. AF_03/2024</t>
  </si>
  <si>
    <t>EMBOÇO, EM ARGAMASSA TRAÇO 1:2:8, PREPARO MANUAL, APLICADO MANUALMENTE EM PAREDES INTERNAS DE AMBIENTES COM PÉ-DIREITO DUPLO E ÁREA MAIOR QUE 10M², E = 10MM, COM TALISCAS. AF_03/2024</t>
  </si>
  <si>
    <t>MASSA ÚNICA, EM ARGAMASSA TRAÇO 1:2:8, PREPARO MECÂNICO, APLICADA MANUALMENTE EM TETO DE AMBIENTES COM PAREDES EM PÉ-DIREITO DUPLO, E = 17,5MM, COM TALISCAS. AF_03/2024</t>
  </si>
  <si>
    <t>MASSA ÚNICA, EM ARGAMASSA TRAÇO 1:2:8, PREPARO MECÂNICO, APLICADA MANUALMENTE EM TETO DE AMBIENTES COM PAREDES EM PÉ-DIREITO DUPLO, E = 10MM, COM TALISCAS. AF_03/2024</t>
  </si>
  <si>
    <t>REVESTIMENTO DECORATIVO MONOCAMADA EXECUTADO MANUALMENTE EM FACHADA DE UM EDIFÍCIO DE ESTRUTURA CONVENCIONAL E ACABAMENTO CHAPISCADO/FLOCADO. AF_03/2024</t>
  </si>
  <si>
    <t>REVESTIMENTO DECORATIVO MONOCAMADA EXECUTADO MANUALMENTE EM FACHADA DE UM EDIFÍCIO DE ALVENARIA ESTRUTURAL E ACABAMENTO CHAPISCADO/FLOCADO. AF_03/2024</t>
  </si>
  <si>
    <t>REVESTIMENTO DECORATIVO MONOCAMADA EXECUTADO COM EQUIPAMENTO DE PROJEÇÃO EM FACHADA DE UM EDIFÍCIO DE ESTRUTURA CONVENCIONAL E ACABAMENTO CHAPISCADO/FLOCADO. AF_03/2024</t>
  </si>
  <si>
    <t>REVESTIMENTO DECORATIVO MONOCAMADA EXECUTADO COM EQUIPAMENTO DE PROJEÇÃO EM FACHADA DE UM EDIFÍCIO DE ALVENARIA ESTRUTURAL E ACABAMENTO CHAPISCADO/FLOCADO. AF_03/2024</t>
  </si>
  <si>
    <t>ARGAMASSA PARA REVESTIMENTO DECORATIVO MONOCAMADA (MONOCAPA), MISTURA E PROJEÇÃO DE 2 M3/H DE ARGAMASSA. AF_08/2019</t>
  </si>
  <si>
    <t>ARGAMASSA INDUSTRIALIZADA PARA REVESTIMENTOS, MISTURA E PROJEÇÃO DE 2 M³/H DE ARGAMASSA. AF_08/2019</t>
  </si>
  <si>
    <t>ARGAMASSA TRAÇO 1:4 (CIMENTO E AREIA MÉDIA), PREPARO MECÂNICO COM BETONEIRA 400 L. AF_08/2019</t>
  </si>
  <si>
    <t>GUARDA-CORPO FIXADO EM FÔRMA DE MADEIRA COM MONTANTES E TRAVESSÕES EM MADEIRA E FECHAMENTO EM PLACA COMPENSADO PARA EDIFÍCIOS COM ATÉ 2 PAVIMENTOS. AF_03/2024</t>
  </si>
  <si>
    <t>GUARDA-CORPO FIXADO EM FÔRMA DE MADEIRA COM MONTANTES E TRAVESSÕES EM MADEIRA E FECHAMENTO EM PLACA COMPENSADO PARA EDIFÍCIOS COM 3 PAVIMENTOS. AF_03/2024</t>
  </si>
  <si>
    <t>GUARDA-CORPO FIXADO EM FÔRMA DE MADEIRA COM MONTANTES E TRAVESSÕES EM MADEIRA E FECHAMENTO EM PLACA COMPENSADO PARA EDIFÍCIOS COM ALTURA IGUAL OU SUPERIOR A 4 PAVIMENTOS. AF_03/2024</t>
  </si>
  <si>
    <t>GUARDA-CORPO FIXADO EM FÔRMA DE MADEIRA COM MONTANTES E TRAVESSÕES EM MADEIRA PRÉ-MONTADOS PARA EDIFÍCIOS COM ATÉ 2 PAVIMENTOS. AF_03/2024</t>
  </si>
  <si>
    <t>GUARDA-CORPO FIXADO EM FÔRMA DE MADEIRA COM MONTANTES E TRAVESSÕES EM MADEIRA PRÉ-MONTADOS PARA EDIFÍCIOS COM 3 PAVIMENTOS. AF_03/2024</t>
  </si>
  <si>
    <t>GUARDA-CORPO FIXADO EM FÔRMA DE MADEIRA COM MONTANTES E TRAVESSÕES EM MADEIRA PRÉ-MONTADOS PARA EDIFÍCIOS COM ALTURA IGUAL OU SUPERIOR A 4 PAVIMENTOS. AF_03/2024</t>
  </si>
  <si>
    <t>GUARDA-CORPO EM LAJE PÓS-DESFÔRMA COM ESCORAS DE MADEIRA ESTRONCADAS NA ESTRUTURA, TRAVESSÕES DE MADEIRA E FECHAMENTO EM TELA DE POLIPROPILENO PARA EDIFÍCIOS COM ATÉ 4 PAVIMENTOS (1 MONTAGEM). AF_03/2024</t>
  </si>
  <si>
    <t>GUARDA-CORPO EM LAJE PÓS-DESFÔRMA COM ESCORAS DE MADEIRA ESTRONCADAS NA ESTRUTURA, TRAVESSÕES DE MADEIRA E FECHAMENTO EM TELA DE POLIPROPILENO PARA EDIFÍCIOS ACIMA DE 4 PAVIMENTOS (2 MONTAGENS). AF_03/2024</t>
  </si>
  <si>
    <t>GUARDA-CORPO EM LAJE PÓS-DESFÔRMA COM ESCORAS METÁLICAS ESTRONCADAS NA ESTRUTURA, TRAVESSÕES DE MADEIRA E FECHAMENTO EM TELA DE POLIPROPILENO PARA EDIFÍCIOS COM ATÉ 4 PAVIMENTOS (1 MONTAGEM). AF_03/2024_PS</t>
  </si>
  <si>
    <t>GUARDA-CORPO EM LAJE PÓS-DESFÔRMA COM ESCORAS METÁLICAS ESTRONCADAS NA ESTRUTURA, TRAVESSÕES DE MADEIRA E FECHAMENTO EM TELA DE POLIPROPILENO PARA EDIFÍCIOS ACIMA DE 4 PAVIMENTOS (2 MONTAGENS). AF_03/2024_PS</t>
  </si>
  <si>
    <t>FECHAMENTO REMOVÍVEL DE VÃO DE PORTAS EM MADEIRA (VÃO DO ELEVADOR) - 1 MONTAGEM EM OBRA. AF_03/2024</t>
  </si>
  <si>
    <t>FECHAMENTO REMOVÍVEL DE ABERTURA DE CAIXILHO EM MADEIRA - 4 MONTAGENS EM OBRA. AF_03/2024</t>
  </si>
  <si>
    <t>FECHAMENTO REMOVÍVEL DE ABERTURA NO PISO EM MADEIRA - 1 MONTAGEM EM OBRA. AF_03/2024</t>
  </si>
  <si>
    <t>PONTEIRAS DE PROTEÇÃO DE PONTAS E VERGALHÕES EXPOSTOS EM ESTRUTURAS DE CONCRETO ARMADO CONVENCIONAL. AF_03/2024</t>
  </si>
  <si>
    <t>PONTEIRAS DE PROTEÇÃO DE PONTAS E VERGALHÕES EXPOSTOS EM ALVENARIA ESTRUTURAL. AF_03/2024</t>
  </si>
  <si>
    <t>INSTALAÇÃO DE SINALIZADOR NOTURNO LED. AF_03/2024</t>
  </si>
  <si>
    <t>COLOCAÇÃO DE TELA EM ANDAIME FACHADEIRO. AF_03/2024</t>
  </si>
  <si>
    <t>MONTAGEM E DESMONTAGEM DE ANDAIME MODULAR FACHADEIRO, COM PISO METÁLICO, PARA EDIFÍCIOS COM MULTIPLOS PAVIMENTOS (EXCLUSIVE ANDAIME E LIMPEZA). AF_03/2024</t>
  </si>
  <si>
    <t>MONTAGEM E DESMONTAGEM DE ANDAIME TUBULAR TIPO "TORRE" (EXCLUSIVE ANDAIME E LIMPEZA). AF_03/2024</t>
  </si>
  <si>
    <t>MONTAGEM E DESMONTAGEM DE ANDAIME MULTIDIRECIONAL (EXCLUSIVE ANDAIME E LIMPEZA). AF_03/2024</t>
  </si>
  <si>
    <t>PROTEÇÃO DE PEDESTRES, INCLUSIVE MONTAGEM E DESMONTAGEM. AF_03/2024_PS</t>
  </si>
  <si>
    <t>PLATAFORMA DE PROTEÇÃO PRINCIPAL PARA ALVENARIA ESTRUTURAL PARA SER APOIADA EM ANDAIME, INCLUSIVE MONTAGEM E DESMONTAGEM. AF_03/2024</t>
  </si>
  <si>
    <t>ASCENSÃO E DESCIDA DE ELEVADOR DE CREMALHEIRA. AF_03/2024</t>
  </si>
  <si>
    <t>MONTAGEM E DESMONTAGEM DE MINI GRUA. AF_03/2024</t>
  </si>
  <si>
    <t>ASCENSÃO DE MINI GRUA. AF_03/2024</t>
  </si>
  <si>
    <t>MONTAGEM E DESMONTAGEM DE TRECHO INICIAL DE ELEVADOR DE CREMALHEIRA, CABINE SIMPLES - EXCLUSO FUNDAÇÕES. AF_03/2024</t>
  </si>
  <si>
    <t>MONTAGEM E DESMONTAGEM DE TRECHO INICIAL DE ELEVADOR DE CREMALHEIRA, CABINE DUPLA - EXCLUSO FUNDAÇÕES. AF_03/2024</t>
  </si>
  <si>
    <t>ASCENSÃO DE GRUA ASCENSIONAL. AF_03/2024</t>
  </si>
  <si>
    <t>MONTAGEM E DESMONTAGEM DO TRECHO INICIAL DE GRUA FIXA (ALTURA LIVRE) - EXCLUSO FUNDAÇÕES. AF_03/2024</t>
  </si>
  <si>
    <t>ASCENSÃO E DESCIDA DE GRUA FIXA. AF_03/2024</t>
  </si>
  <si>
    <t>LOCAÇÃO COM CAVALETE COM ALTURA DE 1,00 M - 2 UTILIZAÇÕES. AF_03/2024</t>
  </si>
  <si>
    <t>LOCAÇÃO COM CAVALETE COM ALTURA DE 0,50 M - 2 UTILIZAÇÕES. AF_03/2024</t>
  </si>
  <si>
    <t>MARCAÇÃO DE PONTOS EM GABARITO OU CAVALETE. AF_03/2024</t>
  </si>
  <si>
    <t>LOCAÇÃO DE REDE DE ÁGUA OU ESGOTO. AF_03/2024</t>
  </si>
  <si>
    <t>LOCAÇÃO DE PRAÇAS EM PONTALETEAMENTO. AF_03/2024</t>
  </si>
  <si>
    <t>EXECUÇÃO DE LINHAS DE REFERÊNCIA EM GABARITO OU CAVALETE. AF_03/2024</t>
  </si>
  <si>
    <t>LIMPEZA MANUAL DE VEGETAÇÃO EM TERRENO COM ENXADA. AF_03/2024</t>
  </si>
  <si>
    <t>RAMPA DE ACESSIBILIDADE EM CONCRETO MOLDADO IN LOCO, EM CALÇADA NOVA COM LARGURA MAIOR OU IGUAL À 3,00 M, FCK 25MPA, COM PISO PODOTÁTIL. AF_03/2024</t>
  </si>
  <si>
    <t>RAMPA DE ACESSIBILIDADE EM CONCRETO MOLDADO IN LOCO, EM CALÇADA PRÉ EXISTENTE COM LARGURA MAIOR OU IGUAL À 3,00 M, FCK 25MPA, COM PISO PODOTÁTIL. AF_03/2024</t>
  </si>
  <si>
    <t>RAMPA DE ACESSIBILIDADE EM CONCRETO MOLDADO IN LOCO, EM CALÇADA NOVA COM LARGURA MENOR À 3,00 M, FCK 25MPA, COM PISO PODOTÁTIL. AF_03/2024</t>
  </si>
  <si>
    <t>RAMPA DE ACESSIBILIDADE EM CONCRETO MOLDADO IN LOCO, EM CALÇADA PRÉ EXISTENTE COM LARGURA MENOR À 3,00 M, FCK 25MPA, COM PISO PODOTÁTIL. AF_03/2024</t>
  </si>
  <si>
    <t>LIMPEZA MECANIZADA DE CAMADA VEGETAL, VEGETAÇÃO E PEQUENAS ÁRVORES (DIÂMETRO DE TRONCO MENOR QUE 0,20 M), COM TRATOR DE ESTEIRAS. AF_03/2024</t>
  </si>
  <si>
    <t>REMOÇÃO DE RAÍZES REMANESCENTES DE TRONCO DE ÁRVORE COM DIÂMETRO MAIOR OU IGUAL A 0,20 M E MENOR QUE 0,40 M. AF_03/2024</t>
  </si>
  <si>
    <t>REMOÇÃO DE RAÍZES REMANESCENTES DE TRONCO DE ÁRVORE COM DIÂMETRO MAIOR OU IGUAL A 0,40 M E MENOR QUE 0,60 M. AF_03/2024</t>
  </si>
  <si>
    <t>REMOÇÃO DE RAÍZES REMANESCENTES DE TRONCO DE ÁRVORE COM DIÂMETRO MAIOR OU IGUAL A 0,60 M. AF_03/2024</t>
  </si>
  <si>
    <t>CORTE RASO E RECORTE DE ÁRVORE COM DIÂMETRO DE TRONCO MAIOR OU IGUAL A 0,20 M E MENOR QUE 0,40 M. AF_03/2024</t>
  </si>
  <si>
    <t>CORTE RASO E RECORTE DE ÁRVORE COM DIÂMETRO DE TRONCO MAIOR OU IGUAL A 0,40 M E MENOR QUE 0,60 M. AF_03/2024</t>
  </si>
  <si>
    <t>CORTE RASO E RECORTE DE ÁRVORE COM DIÂMETRO DE TRONCO MAIOR OU IGUAL A 0,60 M. AF_03/2024</t>
  </si>
  <si>
    <t>PODA EM ALTURA DE ÁRVORE COM DIÂMETRO DE TRONCO MENOR QUE 0,20 M. AF_03/2024</t>
  </si>
  <si>
    <t>PODA EM ALTURA DE ÁRVORE COM DIÂMETRO DE TRONCO MAIOR OU IGUAL A 0,20 M E MENOR QUE 0,40 M. AF_03/2024</t>
  </si>
  <si>
    <t>PODA EM ALTURA DE ÁRVORE COM DIÂMETRO DE TRONCO MAIOR OU IGUAL A 0,40 M E MENOR QUE 0,60 M. AF_03/2024</t>
  </si>
  <si>
    <t>PODA EM ALTURA DE ÁRVORE COM DIÂMETRO DE TRONCO MAIOR OU IGUAL A 0,60 M. AF_03/2024</t>
  </si>
  <si>
    <t>Mensalista</t>
  </si>
  <si>
    <t>02.04.004</t>
  </si>
  <si>
    <t>ARMAÇAO BARRA DE POLIESTER REFORÇADA COM FIBRA DE VIDRO (PRFV) INCLUSIVE ESPAÇADOR E AMARRAÇAO</t>
  </si>
  <si>
    <t>02.04.006</t>
  </si>
  <si>
    <t>02.04.007</t>
  </si>
  <si>
    <t>02.04.008</t>
  </si>
  <si>
    <t>02.04.009</t>
  </si>
  <si>
    <t>03.02.006</t>
  </si>
  <si>
    <t>ARMAÇAO BARRA DE POLIESTER REFORÇADA COM FIBRA DE VIDRO (PRFV ) INCLUSIVE ESPAÇADOR E AMARRAÇAO</t>
  </si>
  <si>
    <t>03.02.007</t>
  </si>
  <si>
    <t>03.02.008</t>
  </si>
  <si>
    <t>03.02.009</t>
  </si>
  <si>
    <t>03.02.011</t>
  </si>
  <si>
    <t>03.02.014</t>
  </si>
  <si>
    <t>ANCORAGEM DE BARRAS DE ACO COM ADESIVO ESTRUTURAL RESINA BASE EPOXI</t>
  </si>
  <si>
    <t>ALVENARIA AUTO-PORTANTE: BLOCO CONCRETO ESTRUTURAL DE 14X19X39CM CLASSE B</t>
  </si>
  <si>
    <t>ALVENARIA AUTO-PORTANTE: BLOCO CONCRETO ESTRUTURAL DE 19X19X39CM CLASSE B</t>
  </si>
  <si>
    <t>PM-84 PORTA SARRAFEADO MACIÇO P/BOXES L=82CM-COMPLETA</t>
  </si>
  <si>
    <t>CC-07 CUBA INOX (60X50X30CM) TORNEIRA DE PAREDE COM MISTURADOR INCLUSIVE VÁLVULA AMERICANA-GRANITO</t>
  </si>
  <si>
    <t>RETIRADA DE CREMONA FECHO DE ALAVANCA DE EMBUTIR,TARJETAS E FECHAD SOBREPOR</t>
  </si>
  <si>
    <t>07.03.144</t>
  </si>
  <si>
    <t>07.03.145</t>
  </si>
  <si>
    <t>TELHA GALVALUME / ACO GALV PINT 1 FACE PO/COIL-COATING TRAPEZ H=100MM E=0,80MM</t>
  </si>
  <si>
    <t>07.03.146</t>
  </si>
  <si>
    <t>TELHA GALVALUME / ACO GALV ACABAMENTO NATURAL ONDULADA CRFS E=0,80MM</t>
  </si>
  <si>
    <t>07.03.147</t>
  </si>
  <si>
    <t>07.03.148</t>
  </si>
  <si>
    <t>07.04.103</t>
  </si>
  <si>
    <t>RUFO LISO DE ACO GALV NATURAL E=0,65MM CORTE ACIMA DE 600MM</t>
  </si>
  <si>
    <t>07.04.115</t>
  </si>
  <si>
    <t>RUFO DENTADO ACO GALV NATURAL E=0,65MM CORTE ACIMA DE 600MM</t>
  </si>
  <si>
    <t>07.04.135</t>
  </si>
  <si>
    <t>RUFO LISO ACO GALV PINT PO/COIL-COATING E=0,65MM CORTE ACIMA 600MM</t>
  </si>
  <si>
    <t>07.04.136</t>
  </si>
  <si>
    <t>RUFO DENTADO ACO GALV PINT PO/COIL-COATING E=0,65MM CORTE ACIMA 600MM</t>
  </si>
  <si>
    <t>07.04.146</t>
  </si>
  <si>
    <t>07.04.148</t>
  </si>
  <si>
    <t>CUMEEIRA DE ACO GALV ACABAMENTO NATURAL PERFIL ONDUL OU TRAP E=0,80MM H ATE 40MM</t>
  </si>
  <si>
    <t>07.04.150</t>
  </si>
  <si>
    <t>RUFO LISO DE ACO GALV ACABAMENTO NATURAL E=0,80MM CORTE ATE 300MM</t>
  </si>
  <si>
    <t>07.04.151</t>
  </si>
  <si>
    <t>RUFO LISO DE ACO GALV ACABAMENTO NATURAL E=0,80MM CORTE ATE 400MM</t>
  </si>
  <si>
    <t>07.04.152</t>
  </si>
  <si>
    <t>RUFO LISO DE ACO GALV ACABAMENTO NATURAL E=0,80MM CORTE ATE 600MM</t>
  </si>
  <si>
    <t>07.04.153</t>
  </si>
  <si>
    <t>07.04.154</t>
  </si>
  <si>
    <t>RUFO DENTADO ACO GALV ACABAMENTO NATURAL E=0,80MM CORTE ATE 300MM</t>
  </si>
  <si>
    <t>07.04.155</t>
  </si>
  <si>
    <t>RUFO DENTADO ACO GALV ACABAMENTO NATURAL E=0,80MM CORTE ATE 400MM</t>
  </si>
  <si>
    <t>07.04.156</t>
  </si>
  <si>
    <t>RUFO DENTADO ACO GALV ACABAMENTO NATURAL E=0,80MM CORTE ATE 600MM</t>
  </si>
  <si>
    <t>07.04.157</t>
  </si>
  <si>
    <t>07.04.158</t>
  </si>
  <si>
    <t>RUFO DENTADO ACO GALV PINT PO/COIL-COATING E=0,80MM CORTE ATE 300MM</t>
  </si>
  <si>
    <t>07.04.159</t>
  </si>
  <si>
    <t>RUFO DENTADO ACO GALV PINT PO/COIL-COATING E=0,80MM CORTE ATE 400MM</t>
  </si>
  <si>
    <t>07.04.160</t>
  </si>
  <si>
    <t>RUFO DENTADO ACO GALV PINT PO/COIL-COATING E=0,80MM CORTE ATE 600MM</t>
  </si>
  <si>
    <t>07.04.161</t>
  </si>
  <si>
    <t>RUFO DENTADO ACO GALV PINT PO/COIL-COATING E=0,80MM CORTE ACIMA 600MM</t>
  </si>
  <si>
    <t>07.04.162</t>
  </si>
  <si>
    <t>RUFO LISO ACO GALV PINT PO OU COIL-COATING E=0,80MM CORTE ATE 300MM</t>
  </si>
  <si>
    <t>07.04.163</t>
  </si>
  <si>
    <t>RUFO LISO ACO GALV PINT PO/COIL-COATING E=0,80MM CORTE ATE 400MM</t>
  </si>
  <si>
    <t>07.04.164</t>
  </si>
  <si>
    <t>RUFO LISO ACO GALV PINT PO/COIL-COATING E=0,80MM CORTE ATE 600MM</t>
  </si>
  <si>
    <t>07.04.165</t>
  </si>
  <si>
    <t>RUFO LISO ACO GALV PINT PO/COIL-COATING E=0,80MM CORTE ACIMA 600MM</t>
  </si>
  <si>
    <t>CABO DE 16 MM2 750V (ISOLAÇAO NAO HALOGENADO)</t>
  </si>
  <si>
    <t>CABO DE 25 MM2 750V (ISOLAÇAO NAO HALOGENADO)</t>
  </si>
  <si>
    <t>CABO DE 35 MM2 750V (ISOLAÇAO NAO HALOGENADO)</t>
  </si>
  <si>
    <t>CABO DE 50 MM2 750V (ISOLAÇAO NAO HALOGENADO)</t>
  </si>
  <si>
    <t>CABO DE 70 MM2 750V (ISOLAÇAO NAO HALOGENADO)</t>
  </si>
  <si>
    <t>CABO DE 95 MM2 750V (ISOLAÇAO NAO HALOGENADO)</t>
  </si>
  <si>
    <t>CABO DE 120 MM2 750V (ISOLAÇAO NAO HALOGENADO)</t>
  </si>
  <si>
    <t>CABO DE 150 MM2 750V (ISOLAÇAO NAO HALOGENADO)</t>
  </si>
  <si>
    <t>CABO DE 185 MM2 750V (ISOLAÇAO NAO HALOGENADO)</t>
  </si>
  <si>
    <t>CABO DE 240 MM2 750V (ISOLAÇAO NAO HALOGENADO)</t>
  </si>
  <si>
    <t>CABO DE 300 MM2 750V (ISOLAÇAO NAO HALOGENADO)</t>
  </si>
  <si>
    <t>CABO DE 10 MM2 750V (ISOLAÇAO NAO HALOGENADO)</t>
  </si>
  <si>
    <t>CABO FLEXIVEL DE COBRE 1,0 KV SECAO 4 MM2 (ISOLAÇAO NAO HALOGENADO)</t>
  </si>
  <si>
    <t>CABO FLEXIVEL DE COBRE 1,0 KV SECAO 6 MM2 (ISOLAÇAO NAO HALOGENADO)</t>
  </si>
  <si>
    <t>CABO FLEXIVEL DE COBRE 1,0 KV SECAO 10 MM2 (ISOLAÇAO NAO HALOGENADO)</t>
  </si>
  <si>
    <t>CABO FLEXIVEL DE COBRE 1,0 KV SECAO 16 MM2 (ISOLAÇAO NAO HALOGENADO)</t>
  </si>
  <si>
    <t>CABO FLEXIVEL DE COBRE 1,0 KV SECAO 25 MM2 (ISOLAÇAO NAO HALOGENADO)</t>
  </si>
  <si>
    <t>CABO FLEXIVEL DE COBRE 1,0 KV SECAO 35 MM2 (ISOLAÇAO NAO HALOGENADO)</t>
  </si>
  <si>
    <t>CABO FLEXIVEL DE COBRE 1,0 KV SECAO 50 MM2 (ISOLAÇAO NAO HALOGENADO)</t>
  </si>
  <si>
    <t>CABO FLEXIVEL DE COBRE 1,0 KV SECAO 70 MM2 (ISOLAÇAO NAO HALOGENADO)</t>
  </si>
  <si>
    <t>CABO FLEXIVEL DE COBRE 1,0 KV SECAO 95 MM2 (ISOLAÇAO NAO HALOGENADO)</t>
  </si>
  <si>
    <t>CABO FLEXIVEL DE COBRE 1,0 KV SECAO 120 MM2 (ISOLAÇAO NAO HALOGENADO)</t>
  </si>
  <si>
    <t>CABO FLEXIVEL DE COBRE 1,0 KV SECAO 150 MM2 (ISOLAÇAO NAO HALOGENADO)</t>
  </si>
  <si>
    <t>CABO FLEXIVEL DE COBRE 1,0 KV SECAO 185 MM2 (ISOLAÇAO NAO HALOGENADO)</t>
  </si>
  <si>
    <t>CABO FLEXIVEL DE COBRE 1,0 KV SECAO 240 MM2 (ISOLAÇAO NAO HALOGENADO)</t>
  </si>
  <si>
    <t>CABO FLEXIVEL DE COBRE 1,0 KV SECAO 300 MM2 (ISOLAÇAO NAO HALOGENADO)</t>
  </si>
  <si>
    <t>FIO DE 1,50 MM2 750V ( ISOLAÇAO NAO HALOGENADO)</t>
  </si>
  <si>
    <t>FIO DE 2,50 MM2 750V (ISOLAÇAO NAO HALOGENADO)</t>
  </si>
  <si>
    <t>FIO DE 4,00 MM2 750V (ISOLAÇAO NAO HALOGENADO)</t>
  </si>
  <si>
    <t>FIO DE 6,00 MM2 750V (ISOLAÇAO NAO HALOGENADO)</t>
  </si>
  <si>
    <t>CABO DE 1,5MM2 750V (ISOLAÇAO NAO HALOGENADO)</t>
  </si>
  <si>
    <t>CABO DE 2,5MM2 750V (ISOLAÇAO NAO HALOGENADO)</t>
  </si>
  <si>
    <t>CABO DE 4MM2 750V (ISOLAÇAO NAO HALOGENADO)</t>
  </si>
  <si>
    <t>CABO DE 6MM2 750V (ISOLAÇAO NAO HALOGENADO)</t>
  </si>
  <si>
    <t>PONTO SECO P/ INSTALACAO DE SOM/TV/ALARME - ELETROD PVC Ø 25MM FLEXIVEL NBR 15465</t>
  </si>
  <si>
    <t>REMOCAO DE SOQUETES P/ LAMPADAS INCANDES OU DE CORRENTES P/ PENDENTES</t>
  </si>
  <si>
    <t>RETIRADA DE ISOLADOR TIPO DISCO COMPL INCL GANCHO DE SUSPENSAO TIPO OLHAL</t>
  </si>
  <si>
    <t>RETIRADA DE BUCHA DE PASS.INT/EXT, OU DE CHAPA ACO P/ BUCHA PASSAGEM A.T.</t>
  </si>
  <si>
    <t>RECOLOCAÇÃO DE CONDULETES OU DE CX.FUSIV. OU DE TOMADA INSTAL. EM PERFILADOS</t>
  </si>
  <si>
    <t>09.84.032</t>
  </si>
  <si>
    <t>09.84.033</t>
  </si>
  <si>
    <t>09.84.034</t>
  </si>
  <si>
    <t>09.84.056</t>
  </si>
  <si>
    <t>09.84.057</t>
  </si>
  <si>
    <t>09.84.059</t>
  </si>
  <si>
    <t>09.84.069</t>
  </si>
  <si>
    <t>CALHA P/ LUMINARIA SOBREPOR C/ DIFUSOR TRANSLUCIDO (IL-69 ) COM SOQUETES P/ DUAS LAMPADAS LED TUBULAR 120 CM</t>
  </si>
  <si>
    <t>ARANDELA ALUMÍNIO INCLINADA 45° BLINDADA LÂMPADA BULBO LED ROSCA E27</t>
  </si>
  <si>
    <t>13.02.090</t>
  </si>
  <si>
    <t>13.02.091</t>
  </si>
  <si>
    <t>13.02.096</t>
  </si>
  <si>
    <t>13.02.097</t>
  </si>
  <si>
    <t>13.02.101</t>
  </si>
  <si>
    <t>13.02.104</t>
  </si>
  <si>
    <t>13.02.106</t>
  </si>
  <si>
    <t>DEMOLIÇAO PISO GRANILITE, LADRILHO HIDRAULICO, CERAMICO, CACOS, INCLUSIV BASE</t>
  </si>
  <si>
    <t>13.80.017</t>
  </si>
  <si>
    <t>13.80.029</t>
  </si>
  <si>
    <t>13.80.036</t>
  </si>
  <si>
    <t>13.80.039</t>
  </si>
  <si>
    <t>15.02.007</t>
  </si>
  <si>
    <t>FUNDO SELADOR ACRILICO (UMA DEMAO)</t>
  </si>
  <si>
    <t>15.02.008</t>
  </si>
  <si>
    <t>15.02.028</t>
  </si>
  <si>
    <t>PINTURA DUAS DEMÃOS ESMALTE FACE APARENTE DE TUBULAÇÃO Ø 6</t>
  </si>
  <si>
    <t>TUBO ACO GALVANIZ NBR5580-CL MEDIA, DN80MM (3") INCL CONEXOES RESERVATORIO RETENÇÃO AGUA PLUVIAL</t>
  </si>
  <si>
    <t>LOCAÇÃO MENSAL SANITÁRIO QUÍMICO COM DUAS HIGIENIZAÇÕES NA SEMANA, INCLUSO COLETA DE EFLUENTES</t>
  </si>
  <si>
    <t>SERVIÇO DE HIGIENIZAÇÃO EXTRA PARA SANITÁRIO QUÍMICO, INCLUSO COLETA DE EFLUENTES</t>
  </si>
  <si>
    <t>16.20.060</t>
  </si>
  <si>
    <t>16.20.063</t>
  </si>
  <si>
    <t>16.20.066</t>
  </si>
  <si>
    <t>16.20.068</t>
  </si>
  <si>
    <t>16.20.070</t>
  </si>
  <si>
    <t>16.20.073</t>
  </si>
  <si>
    <t>16.80.027</t>
  </si>
  <si>
    <t>16.80.029</t>
  </si>
  <si>
    <t>CONCRETO ESTRUTURAL Fck 20Mpa PREPARADO NO LOCAL, LANÇADO E ADENSADO</t>
  </si>
  <si>
    <t>16.80.032</t>
  </si>
  <si>
    <t>16.80.035</t>
  </si>
  <si>
    <t>16.80.110</t>
  </si>
  <si>
    <t>LIMPEZA DE PISO CERAMICO / PORCELANATO COM VASSOURA A SECO.</t>
  </si>
  <si>
    <t>16.80.111</t>
  </si>
  <si>
    <t>LIMPEZA DE PISO CERAMICO / PORCELANATO COM PANO UMIDO.</t>
  </si>
  <si>
    <t>16.80.112</t>
  </si>
  <si>
    <t>16.80.113</t>
  </si>
  <si>
    <t>LIMPEZA DE PISO CERAMICO / PEDRAS RUSTICAS COM ACIDO MURIATICO.</t>
  </si>
  <si>
    <t>16.80.114</t>
  </si>
  <si>
    <t>LIMPEZA DE REVESTIMENTO CERAMICO EM PAREDE COM PANO UMIDO</t>
  </si>
  <si>
    <t>16.80.115</t>
  </si>
  <si>
    <t>LIMPEZA DE REVESTIMENTO CERAMICO EM PAREDE COM DETERGENTE NEUTRO E ESCOVAÇAO MANUAL.</t>
  </si>
  <si>
    <t>16.80.116</t>
  </si>
  <si>
    <t>LIMPEZA DE REVESTIMENTO CERAMICO EM PAREDE COM ACIDO MURIATICO.</t>
  </si>
  <si>
    <t>16.80.117</t>
  </si>
  <si>
    <t>LIMPEZA DE PISO DE LADRILHO HIDRAULICO COM PANO UMIDO.</t>
  </si>
  <si>
    <t>16.80.118</t>
  </si>
  <si>
    <t>16.80.119</t>
  </si>
  <si>
    <t>LIMPEZA DE CONTRAPISO COM VASSOURA A SECO.</t>
  </si>
  <si>
    <t>16.80.120</t>
  </si>
  <si>
    <t>LIMPEZA DE LADRILHO HIDRAULICO EM PAREDE COM PANO UMIDO.</t>
  </si>
  <si>
    <t>16.80.121</t>
  </si>
  <si>
    <t>LIMPEZA DE MARMORE / GRANITO EM PAREDE COM DETERGENTE NEUTRO E ESCOVAÇAO MANUAL.</t>
  </si>
  <si>
    <t>16.80.122</t>
  </si>
  <si>
    <t>16.80.123</t>
  </si>
  <si>
    <t>LIMPEZA DE PIA INOX COM BANCADA DE PEDRA MARMORE / GRANITO INCLUSIVE METAIS .</t>
  </si>
  <si>
    <t>16.80.124</t>
  </si>
  <si>
    <t>16.80.125</t>
  </si>
  <si>
    <t>LIMPEZA DE LAVATORIO DE LOUÇA COM BANCADA DE PEDRA MARMORE / GRANITO INCLUSIVE METAIS</t>
  </si>
  <si>
    <t>16.80.126</t>
  </si>
  <si>
    <t>16.80.127</t>
  </si>
  <si>
    <t>LIMPEZA DE BANCADA DE PEDRA MARMORE / GRANITO.</t>
  </si>
  <si>
    <t>16.80.128</t>
  </si>
  <si>
    <t>16.80.129</t>
  </si>
  <si>
    <t>LIMPEZA DE JANELA DE VIDRO COM CAIXILHO EM AÇO/ALUMINIO/PVC.</t>
  </si>
  <si>
    <t>16.80.130</t>
  </si>
  <si>
    <t>LIMPEZA DE PORTA DE MADEIRA COM PANO UMIDO INCLUSIVE METAIS E GUARNIÇOES</t>
  </si>
  <si>
    <t>16.80.131</t>
  </si>
  <si>
    <t>LIMPEZA DE PORTA INTEIRAMENTE LAMINA DE VIDRO.</t>
  </si>
  <si>
    <t>16.80.132</t>
  </si>
  <si>
    <t>LIMPEZA DE PORTA EM AÇO / ALUMINIO.</t>
  </si>
  <si>
    <t>16.80.133</t>
  </si>
  <si>
    <t>LIMPEZA DE PORTA DE VIDRO COM CAIXILHO EM AÇO / ALUMINIO / PVC.</t>
  </si>
  <si>
    <t>16.80.134</t>
  </si>
  <si>
    <t>16.80.135</t>
  </si>
  <si>
    <t>16.80.136</t>
  </si>
  <si>
    <t>LIMPEZA E MANUTENÇAO DE AREA DE JARDINAGEM COM REPOSIÇAO TERRA VEGETAL CAMADA DE 5CM.</t>
  </si>
  <si>
    <t>16.80.137</t>
  </si>
  <si>
    <t>DESOBSTRUÇAO COM LIMPEZA MANUAL DE TUBULAÇAO ENTRE CAIXAS DE PASSAGEM</t>
  </si>
  <si>
    <t>16.80.138</t>
  </si>
  <si>
    <t>16.80.139</t>
  </si>
  <si>
    <t>CABO FLEXIVEL DE COBRE MULTIPOLAR PP 3x16 MM2 0,6/1KV (ISOLAÇAO NAO HALOGENADO)</t>
  </si>
  <si>
    <t>CABO FLEXIVEL DE COBRE MULTIPOLAR PP 3x10 MM2 0,6/1KV (ISOLAÇAO NAO HALOGENADO)</t>
  </si>
  <si>
    <t>CABO FLEXIVEL DE COBRE MULTIPOLAR PP 3x6 MM2 0,6/1KV (ISOLAÇAO NAO HALOGENADO)</t>
  </si>
  <si>
    <t>CABO FLEXIVEL DE COBRE MULTIPOLAR PP 3x4 MM2 0,6/1KV (ISOLAÇAO NAO HALOGENADO)</t>
  </si>
  <si>
    <t>Locação máquinas de solda MIG/MAC, modelo TRR 3410 marca Bambozzi ou equivalente, (100% ciclo), para arame sólido/tubular 0,8 até 1,6mm, trifásicos, 220/380/440 V</t>
  </si>
  <si>
    <t>Adesivo estrutural bicomponente, à base de epóxi, ref. Cola Compound- Otto Baumgart ou equivalente</t>
  </si>
  <si>
    <t>Bloco de concreto para piso drenante tipo pisograma, espessura de 10 cm; ref. Neo-Rex / Facital ou equivalente</t>
  </si>
  <si>
    <t>Banco em concreto pré-moldado, reto, sem encosto, com 3 pés, medindo aproximadamente 300 x 45 x 45 cm; ref. B-14 Lufran, B-5G Titan, B2-300 VGR ou equivalente</t>
  </si>
  <si>
    <t>Ladrilho hidráulico várias cores, exceto branco, cinza e preto, de 20x20x1,8cm, ref. fabricação Fulget, Artefatos cimentos Maria Estela Ltda ou Pisos Paulista ou equivalente</t>
  </si>
  <si>
    <t>Chapa OSB (Oriented Strand Board) de 10mm (2,20 x 1,22)m</t>
  </si>
  <si>
    <t>Chapa OSB (Oriented Strand Board) de 12mm (2,20x1,22)m</t>
  </si>
  <si>
    <t>Divisória cega tipo naval; ref. Divilux 35 Fibraroc Formidur BPplus ou equivalente - instalado</t>
  </si>
  <si>
    <t>Divisória painel/vidro/vidro, tipo naval; ref. Divilux 35 MSO, Eucaplac UV ou equivalente - instalado</t>
  </si>
  <si>
    <t>Divisória cega; ref. Divilux 35 MSO Eucaplac UV cega ou equivalente - instalado</t>
  </si>
  <si>
    <t>Cantoneira sextavada em alumínio para placa cerâmica, acabamento natural; ref. Canto metal A3 ou equivalente</t>
  </si>
  <si>
    <t>Brise metálico curvo e móvel termoacustico, em chapa lisa de alumínio pré-pintada, preenchido com poliuretano expandido injetado, largura 335 mm, ref. Asa de avião da Refax, BSM335 da Sul Metal ou equivalente - instalado</t>
  </si>
  <si>
    <t>Brise metálico curvo e móvel em chapa microperfurada de alumínio pré-pintada; ref. AS288 Retrátil da Refax, SM A300 da Sul Metais ou equivalente - instalado</t>
  </si>
  <si>
    <t>Tela ondulada de arame galvanizado, fio 10 BWG, malha 1´ artística</t>
  </si>
  <si>
    <t>Tela de alambrado em arame galvanizado, fio 16 BWG, malha 1´</t>
  </si>
  <si>
    <t>Revestimento em aço inoxidável AISI304, liga18,8 em chapa 20 com espessura de 1mm, acabamento escovado - instalado</t>
  </si>
  <si>
    <t>Brise metálico fixo em chapa lisa de Aluzinc pré-pintada, espessura de 0,6 mm, seção "U" dimensão 200x75mm; ref. Aerobrise 200 da Hunter Douglas, AB 200 da Refax, BSM-A200 da Sul Metais ou equivalente - instalado</t>
  </si>
  <si>
    <t>Pintura impermeabilizante com asfalto oxidado e solventes orgânicos, ref. Viabit/Viapol, Neutrol/Otto Baumgart/IGOL55 Sika ou equivalente</t>
  </si>
  <si>
    <t>Perfilado termoplast em PVC; ref. Vedacit O-12/Sika O-12 ou equivalente</t>
  </si>
  <si>
    <t>Perfilado termoplast em PVC; ref. Vedacit O-22/Sika O-22 ou equivalente</t>
  </si>
  <si>
    <t>Forro termoacústico em lã de vidro com acabamento plástico; e= 20 mm, densidade 60 kg/m³, com estrutura de sustentação; ref. Forrovid K-60 ou equivalente - instalado</t>
  </si>
  <si>
    <t>Porcelanato esmaltado tipo antiderrapante, indicado para áreas externas, grupo de absorção BIa; referência comercial Eliane, Itagres, Elizabeth, Cecrisa ou equivalente</t>
  </si>
  <si>
    <t>Placa cerâmica esmaltada tipo rústica para área interna com saída para o exterior, grupo de absorção BIIb, classe de abrasão PEI-5, resistência química B; ref. Enduro/HD/Tróia da Fornigres ou equivalente</t>
  </si>
  <si>
    <t>Instalação de visor (vidro branco de 3mm) de 20x30cm, em porta de madeira</t>
  </si>
  <si>
    <t>H.03.000.090911</t>
  </si>
  <si>
    <t>Tela em aço galvanizado, malha ondulada artística de 1´, fio 12 com requadro de perfil de ferro em ´L´ de 1´ x 1´ x 1/8´ - (3,40 x 1,30 m)</t>
  </si>
  <si>
    <t>Alambrado em tela de aço galvanizado malha 2´, montantes metálicos extremo superior duplo e arame farpado, acima de 4m de altura; ref. São Luiz ou Alambre ou equivalente - instalado</t>
  </si>
  <si>
    <t>Porta/portão correr tela ondulada em aço galvanizado, sobmedida</t>
  </si>
  <si>
    <t>Porta em ferro galvanizado de correr, para vidro 2 folhas, completa, sob medida</t>
  </si>
  <si>
    <t>Porta de abrir em alumínio com pintura eletrostática branca, sob medida, instalada - sem vidro</t>
  </si>
  <si>
    <t>Portinhola em alumínio anodizado, tipo veneziana de abrir e batente, inclusive ferragens, linha comercial</t>
  </si>
  <si>
    <t>Canaleta com grelha removível em alumínio, saída central ou vertical, de 46 x 52 mm, grelha abre e fecha de 46 x 1000 mm; ref. SP46 linha Abreseka da Sekapiso ou equivalente</t>
  </si>
  <si>
    <t>Portinhola em alumínio anodizado fosco L16, tipo veneziana de abrir para abrigo, completa, com batente e ferragens, sob medida</t>
  </si>
  <si>
    <t>Ferragem adicional para porta de divisória, vão simples - instalado</t>
  </si>
  <si>
    <t>Ferragem adicional para porta de divisória, vão duplo - instalado</t>
  </si>
  <si>
    <t>Fechadura elétrica de sobrepor e fonte, para portas ou portões de metal ou madeira, ref. C-90 dupla da HDL; fonte com botão, ref. TRA-400 da HDL ou equivalente</t>
  </si>
  <si>
    <t>Solda eletrolítica tipo Smaw-AWS 6013 eletrodos esp. 2,5/3,25/4,0mm; ref. ESAB, LINCOLN, WELD ou equivalente</t>
  </si>
  <si>
    <t>Líquido imunizante para madeira pentox (Montana); ref. Penetrol Cupim (Otto Baungart) ou equivalente</t>
  </si>
  <si>
    <t>Divisória placa granito cinza andorinha; dimensões 1,0x2,0 m, com espessura de 3 cm; (fixada piso e parede) - instalado</t>
  </si>
  <si>
    <t>Divisória em mármore branco, dimensões 1,0x2,0 m, com espessura de 3 cm; (fixada piso e parede) - instalado</t>
  </si>
  <si>
    <t>Peitoril e/ou soleira em granito boleado, com espessura de 2 cm e largura de 20 cm, nas cores cinza Andorinha, cinza Corumbá, Santa Cecília, verde Ubatuba ou branco Dallas, acabamento polido - material</t>
  </si>
  <si>
    <t>Peitoril e/ou soleira em granito boleado, com espessura de 2 cm e largura de 21 até 30 cm, nas cores cinza Andorinha, cinza Corumbá, Santa Cecília, verde Ubatuba ou branco Dallas, acabamento polido - material</t>
  </si>
  <si>
    <t>Tampo (com frontão) para pia em mármore Espírito Santo; com espessura de 3 cm; dimensão de 0,60x1,50m; furo para 1 cuba simples - instalado</t>
  </si>
  <si>
    <t>Pedra em mosaico português 2 cores - instalado</t>
  </si>
  <si>
    <t>Moldura gesso simples, espessura até 6,0cm - instalada</t>
  </si>
  <si>
    <t>Piso epóxi multilayer 4mm, acabamento semi brilhante com característica antiderrapante, em áreas internas; ref. Miaki, Ecosytem Multilayer, Concrecor E250 ou equivalente</t>
  </si>
  <si>
    <t>Isolamento térmico em polietileno expandido para tubulação água quente e refrigeração, espessura de 5mm, diâmetro de 15mm; ref. Elumaflex, Polipex ou equivalente</t>
  </si>
  <si>
    <t>Isolamento térmico em polietileno expandido para tubulação água quente e refrigeração, espessura de 5mm, diâmetro de 22mm; ref. Elumaflex, Polipex ou equivalente</t>
  </si>
  <si>
    <t>Isolamento térmico em polietileno expandido para tubulação água quente e refrigeração, espessura de 5mm, diâmetro de 28mm; ref. Elumaflex, Polipex ou equivalente</t>
  </si>
  <si>
    <t>Isolamento térmico em polietileno expandido para tubulação água quente e refrigeração, espessura de 10mm, diâmetro de 35mm; ref. Elumaflex, Polipex ou equivalente</t>
  </si>
  <si>
    <t>Isolamento térmico em polietileno expandido para tubulação água quente e refrigeração, espessura de 10mm, diâmetro de 42mm; ref. Elumaflex, Polipex ou equivalente</t>
  </si>
  <si>
    <t>Isolamento térmico em polietileno expandido para tubulação água quente e refrigeração, espessura de 10mm, diâmetro de 54mm; ref. Elumaflex, Polipex ou equivalente</t>
  </si>
  <si>
    <t>Cantoneira de sobrepor em PVC, dimensões (40x40x2,8)mm - 90º; referência comercial TEC-029 da Tecnoperfil ou equivalente</t>
  </si>
  <si>
    <t>Corrimão, bate-maca ou protetor de parede em PVC, com altura de 140mm, barras de 4,0m, nas azul ou marfim, ref. TEC 026N da Tecnoperfil ou equivalente</t>
  </si>
  <si>
    <t>Piso de borracha sintética preta, ref. Daud ou equivalente - colado</t>
  </si>
  <si>
    <t>Rodapé de borracha sintética preta, altura até 7 cm, ref. Le Corp, Daud ou equivalente - colado</t>
  </si>
  <si>
    <t>Revestimento vinílico em placas de 305x305mm, classe II A, com e= 2,0 mm; ref. Paviflex Natural da Tarkett ou equivalente</t>
  </si>
  <si>
    <t>Carpete tráfego intenso, comercial, bouclê, filamento nylon, altura de 6,0mm; ref. Astral Beaulieu, Chronos 22 oz Shaw ou equivalente - instalado</t>
  </si>
  <si>
    <t>Carpete tráfego moderado, comercial, bouclê, filamento polipropileno, com altura de 5,4 a 8mm; ref. Essex Beauliex, Champion Inybra, Project  Meller ou equivalente - instalado</t>
  </si>
  <si>
    <t>Revestimento vinílico, espessura total 2mm, em manta 2m, uso comercial pesado 23/34/43, reação ao fogo II-A,  antiderrapante, resistência à abrasão EM ISO 10581 - tipo I, tratamento anti-bacteriano incorporado, tratamento PUR da Beaulieu ou equivalente</t>
  </si>
  <si>
    <t>Rodapé de cordão em poliamida (nylon) ou em polipropileno - instalado</t>
  </si>
  <si>
    <t>Revestimento laminado melamínico dissipativo texturizado ou liso, e=2mm, placa 60x60cm, várias cores, ref. Formipiso ou equivalente - instalado</t>
  </si>
  <si>
    <t>Tanque simples em granito sintético; ref. T60 Marsinty ou equivalente</t>
  </si>
  <si>
    <t>Placa de regulamentação, advertência, educativa, de orientação turística e serviços, ch. aço tipo NB 1010/1020, e=1,25mm, bitola 18, ou e=1,50mm, bitola 16 - ABNT NBR 11904, área até 2,0 m², refletiva com película III/III - ABNT NBR 14644</t>
  </si>
  <si>
    <t>Calha em PVC (policloreto de vinila) de 125mm; ref. Aquapluv AP da Tigre ou equivalente</t>
  </si>
  <si>
    <t>Bacia sifonada de louça branca 6 litros; ref. linha Sabará ou Diamantina da Icasa, linha Ravena da Deca ou equivalente</t>
  </si>
  <si>
    <t>Lavatório de louça, branco, com coluna de 55,5X48cm; referência comercial linha Luna lL-9 + lC9 da Icasa ou equivalente</t>
  </si>
  <si>
    <t>Lavatório de louça, sem coluna de 46 x 36 cm; ref. Icasa, Sabará, Deca Ravena ou equivalente</t>
  </si>
  <si>
    <t>Torneira de mesa para lavatório, acionamento hidromecânico com alavanca, registro integrado regulador de vazão, latão cromado, ref. linha DocolMatc 185106 da Docol ou equivalente</t>
  </si>
  <si>
    <t>Regulador de pressão, estágio único 12 kg/h; ref. 76511 fabricação Aliança ou equivalente</t>
  </si>
  <si>
    <t>Regulador de alta pressão, vazão 9 kg; ref. 76510/3 fabricação Aliança ou equivalente</t>
  </si>
  <si>
    <t>Regulador para gás, industrial vazão 12 kg/h, 2º estágio; ref. 76511/1 fabricação Aliança ou equivalente</t>
  </si>
  <si>
    <t>Anel de borracha EPDM de 50 mm (2´), para tubulação em ferro fundido, ref. AFLEX Saint Gobain ou equivalente</t>
  </si>
  <si>
    <t>Anel de borracha EPDM de 75 mm (3´), para tubulação em ferro fundido, ref. AFLEX Saint Gobain ou equivalente</t>
  </si>
  <si>
    <t>Anel de borracha EPDM de 100 mm (4´), para tubulação em ferro fundido, ref. AFLEX Saint Gobain ou equivalente</t>
  </si>
  <si>
    <t>Filtro de pressão em ABS para 360 l/h; ref. Cuno / Aqualar APL230 AP200LE ou equivalente</t>
  </si>
  <si>
    <t>Sifão sanfonado universal de 1´ x 40mm e 50mm; ref. SSU e SSU40 da Astra ou equivalente</t>
  </si>
  <si>
    <t>Tubo de ligação em cobre acabamento cromado para mictório DN= 1/2´, comprimento 20 ou 30cm; ref. VLC 454 ou VLC 456 Esteves ou equivalente</t>
  </si>
  <si>
    <t>Chapa em poliester reforçado com fibra de vidro PRFV (stop log) de 450x500mm, com espessura de 10mm; ref. Sigma, Inccer, Sanecomfibra ou equivalente</t>
  </si>
  <si>
    <t>Eletroduto metálico flexível de 3/4´; ref. Sealtubo da SPTF ou equivalente</t>
  </si>
  <si>
    <t>Eletroduto metálico flexível de 1´; ref. Sealtubo da SPTF ou equivalente</t>
  </si>
  <si>
    <t>Eletroduto metálico flexível de 2´; ref. Sealtubo da SPTF ou equivalente</t>
  </si>
  <si>
    <t>Caixa tomada em poliamida para piso elevado com 4 alojamentos elétricos, até 8 alojamentos para telefonia e dados; ref. SPE-2702R/SPE-2702Q da Sperone ou equivalente</t>
  </si>
  <si>
    <t>Trilho eletrificado com 1 circuito alimentação em alumínio, para instalação spots, pintura na cor branco; ref. TRA Altrac mono da Altena ou equivalente</t>
  </si>
  <si>
    <t>Cabo telefônico CTP-APL-G-50, com 10 pares de 0,50mm, em cobre nu, isolação em polietileno ou polipropileno, capa externa tipo APL, de acordo com especificação TELEBRÁS</t>
  </si>
  <si>
    <t>Cabo telefônico CTP-APL-G-50, com 20 pares de 0,50mm, em cobre nu, isolação em polietileno ou polipropileno, capa externa tipo APL, de acordo com especificação TELEBRÁS</t>
  </si>
  <si>
    <t>Cabo telefônico CTP-APL-G-50, com 50 pares de 0,50mm, em cobre nu,  isolação em polietileno ou polipropileno, capa externa tipo APL, de acordo com especificação TELEBRÁS</t>
  </si>
  <si>
    <t>Cabo telefônico CTP-APL, com 10 pares de 0,65mm, em cobre nu, isolação em polietileno ou polipropileno, capa externa tipo APL, de acordo com especificação TELEBRÁS</t>
  </si>
  <si>
    <t>Cabo telefônico CTP-APL, com 20 pares de 0,65mm, em cobre nu, isolação em polietileno ou polipropileno, capa externa tipo APL, de acordo com especificação TELEBRÁS</t>
  </si>
  <si>
    <t>Cabo telefônico tipo CTP-APL-SN, com 10 pares de 0,50mm, em cobre estanhado, isolação em polietileno ou polipropileno, capa externa tipo APL, de acordo com especificação TELEBRÁS</t>
  </si>
  <si>
    <t>Cabo telefônico tipo CI, com 10 pares de 0,50mm, em cobre eletrolítico estanhado, isolação em poliolefina não propagante à chama, capa externa em cloreto de polivinila PVC, de acordo com especificação TELEBRÁS</t>
  </si>
  <si>
    <t>Cabo telefônico tipo CI, com 20 pares de 0,50mm, em cobre eletrolítico estanhado, isolação em poliolefina não propagante à chama, capa externa em cloreto de polivinila PVC, de acordo com especificação TELEBRÁS</t>
  </si>
  <si>
    <t>Cabo telefônico tipo CI, com 50 pares de 0,50mm, em cobre eletrolítico estanhado, isolação em poliolefina não propagante à chama, capa externa em cloreto de polivinila PVC, de acordo com especificação TELEBRÁS</t>
  </si>
  <si>
    <t>P.10.000.050010</t>
  </si>
  <si>
    <t>Cabo telefônico tipo CCI 50, 1 par de 0,50mm, uso interno, em cobre estanhado, isolação em polietileno, anti chama; ref. Megatron, GP Cabos ou equivalente</t>
  </si>
  <si>
    <t>Cabo telefônico CTP-APL, com 20 pares de 0,50mm, isolação em polietileno ou polipropileno, capa externa tipo APL, de acordo com especificação TELEBRÁS</t>
  </si>
  <si>
    <t>Cabo telefônico CTP-APL, com 50 pares de 0,50mm, em cobre nu, isolação em polietileno ou polipropileno, capa externa tipo APL, de acordo com especificação TELEBRÁS</t>
  </si>
  <si>
    <t>Cabo telefônico CTP-APL, com 100 pares de 0,50mm, em cobre nu, isolação em polietileno ou polipropileno, capa externa tipo APL, de acordo com especificação TELEBRÁS</t>
  </si>
  <si>
    <t>Cabo telefônico CTP-APL, com 50 pares de 0,65mm, em cobre nu, isolação em polietileno ou polipropileno, capa externa tipo APL, de acordo com especificação TELEBRÁS</t>
  </si>
  <si>
    <t>Dispositivo proteção contra surto, classe 2, tipo cartuchos substituíveis (plug in), nível proteção &gt; que 2,5 kV, 4 polos; 3F+N, 240V/415V, configuração aterramento: TN-S, curva ensaio: 8/20µs, In/Imax: 20kA/40kA; ref. 5SD7 464-1 Siemens ou equivalente</t>
  </si>
  <si>
    <t>Cigarra de embutir 50/60HZ até 127V; ref. PIAL 1140 ou equivalente</t>
  </si>
  <si>
    <t>Tomada para telefone, tipo RJ11(2 fios); ref.09996 Pial ou equivalente</t>
  </si>
  <si>
    <t>Tomada 2P+T, 16A de sobrepor, 380/440V, ref. SN-3009 IP 44 da Steck + plugue; ref. SN-3079 IP 44 da Steck ou equivalente</t>
  </si>
  <si>
    <t>Lâmpada fluorescente tubular comum 32W, base Bipino bilateral; ref.TLDRS32W-CO25 Philips ou equivalente</t>
  </si>
  <si>
    <t>Luminária industrial pendente tipo calha aberta instalação em perfilado com gancho I-45 para 1/2 lâmpadas fluorescentes 14W, ref. 681214 BC da ARM, PL 204/214 da Prolumi, AL7974.2FT14 Ajalumi ou equivalente</t>
  </si>
  <si>
    <t>Luminária retangular de sobrepor tipo calha aberta com refletor e aletas parabólicas para 2 lâmpadas fluorescentes tubulares 28/54W; ref. DBL 3391 2x28W da Light Tool, LS 503 da Intral, 720228BC da ARM ou equivalente</t>
  </si>
  <si>
    <t>Luminária triangular de sobrepor tipo arandela para 1 lâmpada fluorescente compacta de 15/20/23W, ref. AI-03 da Lumalux, ARM99-510 C da ARM, PL 727/126 da Prolumi, AL 2001 da Ajalumi ou equivalente</t>
  </si>
  <si>
    <t>Luminária LED redonta de embutir tipo balizador, para piso, potência 6W, 300lm / 360 lm, temperatura de cor 2700K/3000K, bivolt; ref. comercial: LM615 da Luminatti ou equivalente</t>
  </si>
  <si>
    <t>Luminária pública LED retangular para poste, 14.200 a 18.000 lm, IRC&gt;=70, temperatura cor 5000K/6500K, eficiência mínima 120lm/W, IP&gt;=66; ref. P-702-SPXL2508100 SpledLux, LPMI-120W Mepó Ilumina, 7017570 Ledvance, FLEDSS21-5K Fortlight ou equivalente</t>
  </si>
  <si>
    <t>Luminária pública LED retangular para poste, 6250lm a 6674lm, eficiência mín.113 lm/W, IRC&gt;=70, temperatura cor 5000/6500 K, IP&gt;=54, ref. CLP-U60 da Conexled, TK SL-50 Ledstar, GL216 50 3C Glight, FLEDSS21-5K-50W Fortlight ou equivalente</t>
  </si>
  <si>
    <t>Luminária quadrada de embutir tipo calha aberta com aletas planas para 2 lâmpadas fluorescentes compactas de 18/26W, ref. EDQ-46 da Lumalux, 1202E27 BC da ARM, PL 688/226 da Prolumi ou equivalente</t>
  </si>
  <si>
    <t>Braço em tubo de ferro galvanizado a fogo, de 1´ x 1,00m, para fixação de uma luminária externa; ref. ILB-68L/100 Ilumatic, YL-203 Yluminart, Shomei, FBL 10100 Fortiligth, RPF-203 Danta Luz ou equivalente</t>
  </si>
  <si>
    <t>Luminária retangular de sobrepor tipo calha aberta para 2 lâmpadas fluorescentes tubulares de 32W; ref. AL7951.2FT32 da Ajalumi ou equivalente</t>
  </si>
  <si>
    <t>Luminária decorativa tipo poste balizador, com altura aproximada de 500mm a 600mm; ref. 532 FM Lustres, ST222V da Starlumen, Ecoforce ou equivalente</t>
  </si>
  <si>
    <t>Luminária fechada retangular tipo pétala grande, com alojamento para reator; ref. DP-2305-01 da Projeto ou equivalente</t>
  </si>
  <si>
    <t>Plafon de plástico e/ou PVC, para acabamento de ponto de luz, com soquete E-27; ref. PF1 ou PF2 da Wetzel ou equivalente</t>
  </si>
  <si>
    <t>Luminária quadrada de embutir tipo calha aberta refletor e aleta parabólicas em alumínio para 4 lâmpadas fluorescentes 14/16/18W, ref. 101416 BC da ARM, CAA1-E416 da Lumicenter, PL 375/42 da Prolumi ou equivalente</t>
  </si>
  <si>
    <t>Luminária redonda de embutir com refletor em alumínio para 2 lâmpadas fluorescentes compactas duplas de 18/26W, ref. EDR-30 da Lumalux, ARM99-702 C da ARM , PL 613/226 da Prolumi, AL 1501 da Ajalumi ou equivalente</t>
  </si>
  <si>
    <t>Luminária retangular de embutir assimétrica para 1 lâmpada fluorescente tubular de 14W; ref. 130114 BC da ARM ou equivalente</t>
  </si>
  <si>
    <t>Luminária retangular de embutir tipo calha aberta com refletor assimétrico em alumínio para 2 lâmpadas fluorescentes tubulares 28/54W, ref. 136228 BC da ARM, PL 381/228 ASS da Prolumi ou equivalente</t>
  </si>
  <si>
    <t>Luminária redonda de sobrepor com difusor em vidro temperado jateado para 1 ou 2 lâmpadas fluorescentes compactas de 18/26W; ref. PFD-03 da Lumalux, ARM99-2018 C da ARM, AL 3001/G da Ajalumi ou equivalente</t>
  </si>
  <si>
    <t>Luminária retangular de embutir tipo calha fechada com difusor plano em acrílico para 2 lâmpadas fluorescentes tubulares de 28/32/36/54W; ref. 152228 LC da ARM, AL7051.2FT28 da Ajalumi ou equivalente</t>
  </si>
  <si>
    <t>Luminária retangular de sobrepor tipo calha fechada difusor em acrílico translúcido p/2 lâmpadas fluorescentes 28/32/36/54W, ref. AL7551.2FT28 e AL7551.2FT32 da Ajalumi, 750228 LC ARM, PL289/24 TL Prolumi ou equivalente</t>
  </si>
  <si>
    <t>Luminária pública fechada pétala pequena em alumínio fundido, refrator lente em vidro temperado, ref. LX-17/3 da Lumel ou equivalente</t>
  </si>
  <si>
    <t>Central de iluminação de emergência com autonomia de 1 hora até 240W, ref. ILU300CS/12V da Gevi Gamma, NL 240W 12V da Nova Luz, BF/42 da Unitron ou equivalente</t>
  </si>
  <si>
    <t>Porteiro eletrônico com 1 interfone; ref. Amelco AM-M100 ou equivalente</t>
  </si>
  <si>
    <t>Caixa de entrada tipo ´E´ de (560x350x210)mm, ref. BN, Olipe ou equivalente - padrão Eletropaulo</t>
  </si>
  <si>
    <t>Sinalizador visual de advertência LED, bivolt, entrada/saída de garagem sequencial duplo, com base fixação, placa de sinalização; referência comercial: Giroled, Iluctron, TKN, Starlumen ou equivalente</t>
  </si>
  <si>
    <t>Sinalizador audiovisual de advertência LED, bivolt, entrada/saída de garagem sequencial duplo, com base fixação, placa de sinalização; referência comercial: Giroled, Iluctron, TKN, Starlumen ou equivalente</t>
  </si>
  <si>
    <t>Chave fusível base ´C´ para 25kV/100A, com capacidade de ruptura até 6,3kA, com fusível e ferragem de fixação</t>
  </si>
  <si>
    <t>Chave fusível base ´C´ para 15kV/100A, com capacidade de ruptura até 10kA, com fusível e ferragem de fixação</t>
  </si>
  <si>
    <t>Chave fusível base ´C´ para 15kV/200A, com capacidade de ruptura até 10kA, com fusível e ferragem de fixação</t>
  </si>
  <si>
    <t>Chave comutadora tetrapolar, reversão sob carga, sem porta-fusível, 630, A 690V, tensão de isolamento 1000V; ref. BB32-630/4 (back to back) da Holec ou equivalente</t>
  </si>
  <si>
    <t>Cabo coaxial tipo RG 6, blindagem em fita aluminizada e trança de alumínio, isolação em polietileno antichama preto/branco; ref. Eldtec, Cableteck, Commscope ou equivalente</t>
  </si>
  <si>
    <t>Tratamento ar compacta fancolete hidrônico tipo cassette, com ventiladores centrífugos dupla aspiração, kit grelha e motor elétrico, estrutura e painéis de plástico alta resistência, refrigeração 32.000 Btu/h - 2,6 TR, ref. 40HK-32 Carrier ou equivalente</t>
  </si>
  <si>
    <t>Unidades de Tratamento de ar (fan-coil) - 4.000 m³/h - 6TR, pressão estática externa 50mmCA; ref. Carrier, Constarco ou equivalente</t>
  </si>
  <si>
    <t>Tela em poliéster, malha 2x2mm, gramatura mínima de 31g/m², estruturante para impermeabilização a frio; ref. Ernetex, Vedacit ou equivalente</t>
  </si>
  <si>
    <t>Rolo compactador vibratório com pé de carneiro em aço, potência 121 a 127HP (90 a 93 kW), ref. CA25PD DYNAPAC ou equivalente</t>
  </si>
  <si>
    <t>Motoniveladora com escarificador potência 140HP (104kW), ref. CAT 120H da CATERPILLAR ou equivalente</t>
  </si>
  <si>
    <t>Rolo compactador autopropelido, vibratório em aço, cilindros lisos em tandem, potência 80 HP (59 kW); ref. CC21 Dynapac 6 toneladas ou equivalente</t>
  </si>
  <si>
    <t>Trator sobre esteiras potência 76 a 88HP (56 a 64,9kW), ref. D4 da Komatsu ou equivalente</t>
  </si>
  <si>
    <t>S.04.000.026621</t>
  </si>
  <si>
    <t>Ferro chato galvanizado 3/1" x 1/8"</t>
  </si>
  <si>
    <t>S.04.000.026818</t>
  </si>
  <si>
    <t>Perfil tubular galvanizado 30x30mm, espessura 3mm</t>
  </si>
  <si>
    <t>Elevador para passageiros, uso interno com capacidade mínima de 600kg, velocidade de 1 m/s, para duas paradas, portas unilaterais, em conformidade com as normas técnicas ABNT NBR 16858-2:2020, 16858-1:2021, NM 313:2007 e EN 13501-1</t>
  </si>
  <si>
    <t>Elevador para passageiros, uso interno com capacidade mínima de 600kg, velocidade de 1 m/s, para três paradas, portas unilaterais, em conformidade com as normas técnicas ABNT NBR 16858-2:2020, 16858-1:2021, NM 313:2007 e EN 13501-1</t>
  </si>
  <si>
    <t>Elevador para passageiros, uso interno com capacidade mínima de 600kg, velocidade de 1 m/s, para três paradas, portas bilaterais, em conformidade com as normas técnicas ABNT NBR 16858-2:2020, 16858-1:2021, NM 313:2007 e EN 13501-1</t>
  </si>
  <si>
    <t>Elevador para passageiros, uso interno com capacidade mínima de 600kg, velocidade de 1 m/s, para quatro paradas, portas bilaterais, em conformidade com as normas técnicas ABNT NBR 16858-2:2020, 16858-1:2021, NM 313:2007 e EN 13501-1</t>
  </si>
  <si>
    <t>Elevador para passageiros, uso interno com capacidade mínima de 600kg, velocidade de 1 m/s, para quatro paradas, portas unilaterais, em conformidade com as normas técnicas ABNT NBR 16858-2:2020, 16858-1:2021, NM 313:2007 e EN 13501-1</t>
  </si>
  <si>
    <t>Junta elástica estrutural neoprene aplicada; ref. JJ2020F da Juntas Jeene ou equivalente</t>
  </si>
  <si>
    <t>Pá-carregadeira sobre pneus, potência 120 a 122HP (88,5 a 119 kW) capacidade da caçamba de 1,7 a 5,0m³, ref. CAT924G da CATERPILLAR ou equivalente</t>
  </si>
  <si>
    <t>S.04.000.067512</t>
  </si>
  <si>
    <t>Grelha em aço inoxidável com fecho rotativo, DN= 100mm</t>
  </si>
  <si>
    <t>S.04.000.067513</t>
  </si>
  <si>
    <t>Grelha em aço inoxidável com fecho rotativo, DN= 150mm</t>
  </si>
  <si>
    <t>ÁREA</t>
  </si>
  <si>
    <t>DIVISÓRIAS</t>
  </si>
  <si>
    <t>CDHU</t>
  </si>
  <si>
    <t>CASA MIMOSA</t>
  </si>
  <si>
    <t>LEROY MERLIN</t>
  </si>
  <si>
    <t>AVENIDA CONCEIÇÃO, 1.885 CIDADE NOVA II, INDAIATUBA-SP</t>
  </si>
  <si>
    <t>REFORMA E AMPLIAÇÃO DO CENTRO ESPORTIVO DO TRABALHADOR - GINÁSTICA E ACADEMIA</t>
  </si>
  <si>
    <t>ESTRUTURA DE MADEIRA PROVISÓRIA PARA SUPORTE DE CAIXA DÁGUA ELEVADA DE 1000 LITROS. AF_03/2024</t>
  </si>
  <si>
    <t>ESTRUTURA DE MADEIRA PROVISÓRIA PARA SUPORTE DE CAIXA DÁGUA ELEVADA DE 3000 LITROS. AF_03/2024</t>
  </si>
  <si>
    <t>EXECUÇÃO DE GRAMPO PARA SOLO GRAMPEADO COM COMPRIMENTO MENOR OU IGUAL A 6 M, DIÂMETRO DE 10 CM, PERFURAÇÃO COM EQUIPAMENTO MANUAL E ARMADURA COM DIÂMETRO DE 20 MM. AF_07/2024</t>
  </si>
  <si>
    <t>EXECUÇÃO DE GRAMPO PARA SOLO GRAMPEADO COM COMPRIMENTO MAIOR QUE 6 M E MENOR OU IGUAL A 10 M, DIÂMETRO DE 10 CM, PERFURAÇÃO COM EQUIPAMENTO MANUAL E ARMADURA COM DIÂMETRO DE 20 MM. AF_07/2024</t>
  </si>
  <si>
    <t>EXECUÇÃO DE GRAMPO PARA SOLO GRAMPEADO COM COMPRIMENTO MAIOR QUE 10 M, DIÂMETRO DE 10 CM, PERFURAÇÃO COM EQUIPAMENTO MANUAL E ARMADURA COM DIÂMETRO DE 20 MM. AF_07/2024</t>
  </si>
  <si>
    <t>EXECUÇÃO DE GRAMPO PARA SOLO GRAMPEADO COM COMPRIMENTO MENOR OU IGUAL A 6 M, DIÂMETRO DE 7 CM, PERFURAÇÃO COM EQUIPAMENTO MANUAL E ARMADURA COM DIÂMETRO DE 20 MM. AF_07/2024</t>
  </si>
  <si>
    <t>EXECUÇÃO DE GRAMPO PARA SOLO GRAMPEADO COM COMPRIMENTO MAIOR QUE 6 M E MENOR OU IGUAL A 10 M, DIÂMETRO DE 7 CM, PERFURAÇÃO COM EQUIPAMENTO MANUAL E ARMADURA COM DIÂMETRO DE 20 MM. AF_07/2024</t>
  </si>
  <si>
    <t>TUBO, PVC, SOLDÁVEL, DE 20MM, INSTALADO EM RAMAL OU SUB-RAMAL DE ÁGUA - FORNECIMENTO E INSTALAÇÃO. AF_06/2022</t>
  </si>
  <si>
    <t>TUBO, PVC, SOLDÁVEL, DE 25MM, INSTALADO EM RAMAL OU SUB-RAMAL DE ÁGUA - FORNECIMENTO E INSTALAÇÃO. AF_06/2022</t>
  </si>
  <si>
    <t>TUBO, PVC, SOLDÁVEL, DE 32MM, INSTALADO EM RAMAL OU SUB-RAMAL DE ÁGUA - FORNECIMENTO E INSTALAÇÃO. AF_06/2022</t>
  </si>
  <si>
    <t>TUBO, PVC, SOLDÁVEL, DE 20MM, INSTALADO EM RAMAL DE DISTRIBUIÇÃO DE ÁGUA - FORNECIMENTO E INSTALAÇÃO. AF_06/2022</t>
  </si>
  <si>
    <t>TUBO, PVC, SOLDÁVEL, DE 25MM, INSTALADO EM RAMAL DE DISTRIBUIÇÃO DE ÁGUA - FORNECIMENTO E INSTALAÇÃO. AF_06/2022</t>
  </si>
  <si>
    <t>TUBO, PVC, SOLDÁVEL, DE 32MM, INSTALADO EM RAMAL DE DISTRIBUIÇÃO DE ÁGUA - FORNECIMENTO E INSTALAÇÃO. AF_06/2022</t>
  </si>
  <si>
    <t>TUBO, PVC, SOLDÁVEL, DE 25MM, INSTALADO EM PRUMADA DE ÁGUA - FORNECIMENTO E INSTALAÇÃO. AF_06/2022</t>
  </si>
  <si>
    <t>TUBO, PVC, SOLDÁVEL, DE 32MM, INSTALADO EM PRUMADA DE ÁGUA - FORNECIMENTO E INSTALAÇÃO. AF_06/2022</t>
  </si>
  <si>
    <t>TUBO, PVC, SOLDÁVEL, DE 40MM, INSTALADO EM PRUMADA DE ÁGUA - FORNECIMENTO E INSTALAÇÃO. AF_06/2022</t>
  </si>
  <si>
    <t>TUBO, PVC, SOLDÁVEL, DE 50MM, INSTALADO EM PRUMADA DE ÁGUA - FORNECIMENTO E INSTALAÇÃO. AF_06/2022</t>
  </si>
  <si>
    <t>TUBO, PVC, SOLDÁVEL, DE 60MM, INSTALADO EM PRUMADA DE ÁGUA - FORNECIMENTO E INSTALAÇÃO. AF_06/2022</t>
  </si>
  <si>
    <t>TUBO, PVC, SOLDÁVEL, DE 75MM, INSTALADO EM PRUMADA DE ÁGUA - FORNECIMENTO E INSTALAÇÃO. AF_06/2022</t>
  </si>
  <si>
    <t>TUBO, PVC, SOLDÁVEL, DE 85MM, INSTALADO EM PRUMADA DE ÁGUA - FORNECIMENTO E INSTALAÇÃO. AF_06/2022</t>
  </si>
  <si>
    <t>TUBO, PVC, SOLDÁVEL, DE 25MM, INSTALADO EM DRENO DE AR-CONDICIONADO - FORNECIMENTO E INSTALAÇÃO. AF_08/2022</t>
  </si>
  <si>
    <t>TUBO, PVC, SOLDÁVEL, DE 32MM, INSTALADO EM RESERVAÇÃO PREDIAL DE ÁGUA - FORNECIMENTO E INSTALAÇÃO. AF_04/2024</t>
  </si>
  <si>
    <t>TUBO, PVC, SOLDÁVEL, DE 40MM, INSTALADO EM RESERVAÇÃO PREDIAL DE ÁGUA - FORNECIMENTO E INSTALAÇÃO. AF_04/2024</t>
  </si>
  <si>
    <t>TUBO, PVC, SOLDÁVEL, DE 50MM, INSTALADO EM RESERVAÇÃO PREDIAL DE ÁGUA - FORNECIMENTO E INSTALAÇÃO. AF_04/2024</t>
  </si>
  <si>
    <t>TUBO, PVC, SOLDÁVEL, DE 60MM, INSTALADO EM RESERVAÇÃO PREDIAL DE ÁGUA - FORNECIMENTO E INSTALAÇÃO. AF_04/2024</t>
  </si>
  <si>
    <t>TUBO, PVC, SOLDÁVEL, DE 75MM, INSTALADO EM RESERVAÇÃO PREDIAL DE ÁGUA - FORNECIMENTO E INSTALAÇÃO. AF_04/2024</t>
  </si>
  <si>
    <t>TUBO, PVC, SOLDÁVEL, DE 85MM, INSTALADO EM RESERVAÇÃO PREDIAL DE ÁGUA - FORNECIMENTO E INSTALAÇÃO. AF_04/2024</t>
  </si>
  <si>
    <t>TUBO, PVC, SOLDÁVEL, DE 110MM, INSTALADO EM RESERVAÇÃO PREDIAL DE ÁGUA - FORNECIMENTO E INSTALAÇÃO. AF_04/2024</t>
  </si>
  <si>
    <t>TUBO, PVC, SOLDÁVEL, DE 40MM, INSTALADO EM RAMAL DE DISTRIBUIÇÃO DE ÁGUA - FORNECIMENTO E INSTALAÇÃO. AF_06/2022</t>
  </si>
  <si>
    <t>TUBO, PVC, SOLDÁVEL, DE 50MM, INSTALADO EM RAMAL DE DISTRIBUIÇÃO DE ÁGUA - FORNECIMENTO E INSTALAÇÃO. AF_06/2022</t>
  </si>
  <si>
    <t>TUBO, PVC, SOLDÁVEL, DE 20MM, INSTALADO EM DRENO DE AR CONDICIONADO - FORNECIMENTO E INSTALAÇÃO. AF_08/2022</t>
  </si>
  <si>
    <t>TUBO, PVC, SOLDÁVEL, DE 32MM, INSTALADO EM DRENO DE AR CONDICIONADO - FORNECIMENTO E INSTALAÇÃO. AF_08/2022</t>
  </si>
  <si>
    <t>KIT CAVALETE PARA MEDIÇÃO DE ÁGUA - ENTRADA PRINCIPAL, EM PVC 20 MM (1/2") - FORNECIMENTO E INSTALAÇÃO (EXCLUSIVE HIDRÔMETRO). AF_03/2024</t>
  </si>
  <si>
    <t>KIT CAVALETE PARA MEDIÇÃO DE ÁGUA - ENTRADA PRINCIPAL, EM PVC 25 MM (3/4") - FORNECIMENTO E INSTALAÇÃO (EXCLUSIVE HIDRÔMETRO). AF_03/2024</t>
  </si>
  <si>
    <t>KIT CAVALETE PARA MEDIÇÃO DE ÁGUA - ENTRADA INDIVIDUALIZADA, EM PVC 25 MM (3/4"), PARA 2 MEDIDORES - FORNECIMENTO E INSTALAÇÃO (EXCLUSIVE HIDRÔMETRO). AF_03/2024</t>
  </si>
  <si>
    <t>KIT CAVALETE PARA MEDIÇÃO DE ÁGUA - ENTRADA INDIVIDUALIZADA, EM PVC 25 MM (3/4"), PARA 3 MEDIDORES - FORNECIMENTO E INSTALAÇÃO (EXCLUSIVE HIDRÔMETRO). AF_03/2024</t>
  </si>
  <si>
    <t>KIT CAVALETE PARA MEDIÇÃO DE ÁGUA - ENTRADA INDIVIDUALIZADA, EM PVC 25 MM (3/4"), PARA 4 MEDIDORES - FORNECIMENTO E INSTALAÇÃO (EXCLUSIVE HIDRÔMETRO). AF_03/2024</t>
  </si>
  <si>
    <t>KIT CAVALETE PARA MEDIÇÃO DE ÁGUA - ENTRADA INDIVIDUALIZADA, EM PVC 32 MM (1"), PARA 1 MEDIDOR - FORNECIMENTO E INSTALAÇÃO (EXCLUSIVE HIDRÔMETRO). AF_03/2024</t>
  </si>
  <si>
    <t>KIT CAVALETE PARA MEDIÇÃO DE ÁGUA - ENTRADA INDIVIDUALIZADA, EM PVC 32 MM (1"), PARA 2 MEDIDORES - FORNECIMENTO E INSTALAÇÃO (EXCLUSIVE HIDRÔMETRO). AF_03/2024</t>
  </si>
  <si>
    <t>KIT CAVALETE PARA MEDIÇÃO DE ÁGUA - ENTRADA INDIVIDUALIZADA, EM PVC 32 MM (1"), PARA 3 MEDIDORES - FORNECIMENTO E INSTALAÇÃO (EXCLUSIVE HIDRÔMETRO). AF_03/2024</t>
  </si>
  <si>
    <t>KIT CAVALETE PARA MEDIÇÃO DE ÁGUA - ENTRADA INDIVIDUALIZADA, EM PVC 32 MM (1"), PARA 4 MEDIDORES - FORNECIMENTO E INSTALAÇÃO (EXCLUSIVE HIDRÔMETRO). AF_03/2024</t>
  </si>
  <si>
    <t>KIT CAVALETE PARA MEDIÇÃO DE ÁGUA - ENTRADA INDIVIDUALIZADA, EM PVC 25 MM (3/4"), PARA 1 MEDIDOR - FORNECIMENTO E INSTALAÇÃO (EXCLUSIVE HIDRÔMETRO). AF_03/2024</t>
  </si>
  <si>
    <t>REVESTIMENTO CERÂMICO PARA PISO COM PLACAS TIPO ESMALTADA DE DIMENSÕES 35X35 CM APLICADA EM AMBIENTES DE ÁREA MENOR QUE 5 M2. AF_02/2023_PE</t>
  </si>
  <si>
    <t>REVESTIMENTO CERÂMICO PARA PISO COM PLACAS TIPO ESMALTADA DE DIMENSÕES 35X35 CM APLICADA EM AMBIENTES DE ÁREA ENTRE 5 M2 E 10 M2. AF_02/2023_PE</t>
  </si>
  <si>
    <t>REVESTIMENTO CERÂMICO PARA PISO COM PLACAS TIPO ESMALTADA DE DIMENSÕES 35X35 CM APLICADA EM AMBIENTES DE ÁREA MAIOR QUE 10 M2. AF_02/2023_PE</t>
  </si>
  <si>
    <t>REVESTIMENTO CERÂMICO PARA PISO COM PLACAS TIPO ESMALTADA DE DIMENSÕES 45X45 CM APLICADA EM AMBIENTES DE ÁREA MENOR QUE 5 M2. AF_02/2023_PE</t>
  </si>
  <si>
    <t>REVESTIMENTO CERÂMICO PARA PISO COM PLACAS TIPO ESMALTADA DE DIMENSÕES 45X45 CM APLICADA EM AMBIENTES DE ÁREA ENTRE 5 M2 E 10 M2. AF_02/2023_PE</t>
  </si>
  <si>
    <t>REVESTIMENTO CERÂMICO PARA PISO COM PLACAS TIPO ESMALTADA DE DIMENSÕES 45X45 CM APLICADA EM AMBIENTES DE ÁREA MAIOR QUE 10 M2. AF_02/2023_PE</t>
  </si>
  <si>
    <t>REVESTIMENTO CERÂMICO PARA PISO COM PLACAS TIPO ESMALTADA DE DIMENSÕES 60X60 CM APLICADA EM AMBIENTES DE ÁREA MENOR QUE 5 M2. AF_02/2023_PE</t>
  </si>
  <si>
    <t>REVESTIMENTO CERÂMICO PARA PISO COM PLACAS TIPO ESMALTADA DE DIMENSÕES 60X60 CM APLICADA EM AMBIENTES DE ÁREA ENTRE 5 M2 E 10 M2. AF_02/2023_PE</t>
  </si>
  <si>
    <t>REVESTIMENTO CERÂMICO PARA PISO COM PLACAS TIPO ESMALTADA DE DIMENSÕES 60X60 CM APLICADA EM AMBIENTES DE ÁREA MAIOR QUE 10 M2. AF_02/2023_PE</t>
  </si>
  <si>
    <t>REVESTIMENTO CERÂMICO PARA PISO COM PLACAS TIPO ESMALTADA DE DIMENSÕES 80X80 CM APLICADA EM AMBIENTES DE ÁREA MENOR QUE 5 M². AF_02/2023_PE</t>
  </si>
  <si>
    <t>REVESTIMENTO CERÂMICO PARA PISO COM PLACAS TIPO ESMALTADA DE DIMENSÕES 80X80 CM APLICADA EM AMBIENTES DE ÁREA ENTRE 5 M² E 10 M². AF_02/2023_PE</t>
  </si>
  <si>
    <t>REVESTIMENTO CERÂMICO PARA PISO COM PLACAS TIPO ESMALTADA DE DIMENSÕES 80X80 CM APLICADA EM AMBIENTES DE ÁREA MAIOR QUE 10 M². AF_02/2023_PE</t>
  </si>
  <si>
    <t>REVESTIMENTO CERÂMICO PARA PISO COM PLACAS TIPO ESMALTADA DE DIMENSÕES 35X35 CM APLICADA EM DIAGONAL EM AMBIENTES DE ÁREA MENOR QUE 5 M². AF_02/2023_PE</t>
  </si>
  <si>
    <t>REVESTIMENTO CERÂMICO PARA PISO COM PLACAS TIPO ESMALTADA DE DIMENSÕES 35X35 CM APLICADA EM DIAGONAL EM AMBIENTES DE ÁREA ENTRE 5 M² E 10 M². AF_02/2023_PE</t>
  </si>
  <si>
    <t>REVESTIMENTO CERÂMICO PARA PISO COM PLACAS TIPO ESMALTADA DE DIMENSÕES 35X35 CM APLICADA EM DIAGONAL EM AMBIENTES DE ÁREA MAIOR QUE 10 M². AF_02/2023_PE</t>
  </si>
  <si>
    <t>REVESTIMENTO CERÂMICO PARA PISO COM PLACAS TIPO ESMALTADA DE DIMENSÕES 45X45 CM APLICADA EM DIAGONAL EM AMBIENTES DE ÁREA MENOR QUE 5 M². AF_02/2023_PE</t>
  </si>
  <si>
    <t>REVESTIMENTO CERÂMICO PARA PISO COM PLACAS TIPO ESMALTADA DE DIMENSÕES 45X45 CM APLICADA EM DIAGONAL EM AMBIENTES DE ÁREA ENTRE 5 M² E 10 M². AF_02/2023_PE</t>
  </si>
  <si>
    <t>REVESTIMENTO CERÂMICO PARA PISO COM PLACAS TIPO ESMALTADA DE DIMENSÕES 45X45 CM APLICADA EM DIAGONAL EM AMBIENTES DE ÁREA MAIOR QUE 10 M². AF_02/2023_PE</t>
  </si>
  <si>
    <t>RODAPÉ CERÂMICO DE 7CM DE ALTURA COM PLACAS TIPO ESMALTADA DE DIMENSÕES 35X35CM. AF_02/2023</t>
  </si>
  <si>
    <t>RODAPÉ CERÂMICO DE 7CM DE ALTURA COM PLACAS TIPO ESMALTADA DE DIMENSÕES 45X45CM. AF_02/2023</t>
  </si>
  <si>
    <t>RODAPÉ CERÂMICO DE 7CM DE ALTURA COM PLACAS TIPO ESMALTADA DE DIMENSÕES 60X60CM. AF_02/2023</t>
  </si>
  <si>
    <t>REVESTIMENTO CERÂMICO PARA PAREDES INTERNAS COM PLACAS TIPO ESMALTADA DE DIMENSÕES 20X20 CM APLICADAS A MEIA ALTURA DAS PAREDES. AF_02/2023_PE</t>
  </si>
  <si>
    <t>REVESTIMENTO CERÂMICO PARA PAREDES INTERNAS COM PLACAS TIPO ESMALTADA DE DIMENSÕES 25X35 CM APLICADAS NA ALTURA INTEIRA DAS PAREDES. AF_02/2023_PE</t>
  </si>
  <si>
    <t>REVESTIMENTO CERÂMICO PARA PAREDES INTERNAS COM PLACAS TIPO ESMALTADA DE DIMENSÕES 25X35 CM APLICADAS A MEIA ALTURA DAS PAREDES. AF_02/2023_PE</t>
  </si>
  <si>
    <t>REVESTIMENTO CERÂMICO PARA PAREDES INTERNAS COM PLACAS TIPO ESMALTADA DE DIMENSÕES 33X45 CM APLICADAS NA ALTURA INTEIRA DAS PAREDES. AF_02/2023_PE</t>
  </si>
  <si>
    <t>REVESTIMENTO CERÂMICO PARA PAREDES INTERNAS COM PLACAS TIPO ESMALTADA DE DIMENSÕES 33X45 CM APLICADAS A MEIA ALTURA DAS PAREDES. AF_02/2023_PE</t>
  </si>
  <si>
    <t>REVESTIMENTO CERÂMICO PARA PAREDES INTERNAS COM PLACAS TIPO ESMALTADA DE DIMENSÕES 60X60 CM APLICADAS NA ALTURA INTEIRA DAS PAREDES. AF_02/2023_PE</t>
  </si>
  <si>
    <t>REVESTIMENTO CERÂMICO PARA PAREDES INTERNAS COM PLACAS TIPO ESMALTADA DE DIMENSÕES 60X60 CM APLICADAS A MEIA ALTURA DAS PAREDES. AF_02/2023_PE</t>
  </si>
  <si>
    <t>REVESTIMENTO CERÂMICO PARA PAREDES INTERNAS COM PLACAS TIPO ESMALTADA DE DIMENSÕES 20X20 CM APLICADAS EM DIAGONAL, NA ALTURA INTEIRA DAS PAREDES. AF_02/2023_PE</t>
  </si>
  <si>
    <t>REVESTIMENTO CERÂMICO PARA PAREDES INTERNAS COM PLACAS TIPO ESMALTADA DE DIMENSÕES 20X20 CM APLICADAS EM DIAGONAL, A MEIA ALTURA DAS PAREDES. AF_02/2023_PE</t>
  </si>
  <si>
    <t>RODAPÉ CERÂMICO DE 7CM DE ALTURA COM PLACAS TIPO ESMALTADA DE DIMENSÕES 80X80CM. AF_02/2023</t>
  </si>
  <si>
    <t>ARGAMASSA TRAÇO 1:1,93 (EM VOLUME DE CIMENTO E AREIA MÉDIA ÚMIDA), FCK 20MPA, PREPARO MECÂNICO COM MISTURADOR DUPLO HORIZONTAL DE ALTA TURBULÊNCIA. AF_03/2020</t>
  </si>
  <si>
    <t>PROTEÇÃO DE ACESSO A CREMALHEIRA, COM CANCELA FIXADA EM LAJE - 1 MONTAGEM (EXCLUSO CANCELA). AF_03/2024</t>
  </si>
  <si>
    <t>GUARDA-CORPO PARA POÇO DE CREMALHEIRA, COM MONTANTE METÁLICO FIXADO EM LAJE COM CHUMBADOR PARABOLT E FECHAMENTO EM PAINEL DE TELA METÁLICA (EXCLUSO PROTEÇÃO). AF_03/2024</t>
  </si>
  <si>
    <t>PLANTIO DE ÁRVORE ORNAMENTAL COM ALTURA DE MUDA MENOR OU IGUAL A 2,00 M . AF_07/2024</t>
  </si>
  <si>
    <t>PLANTIO DE ÁRVORE ORNAMENTAL COM ALTURA DE MUDA MAIOR QUE 2,00 M E MENOR OU IGUAL A 4,00 M . AF_07/2024</t>
  </si>
  <si>
    <t>PLANTIO DE PALMEIRA COM ALTURA DE MUDA MENOR OU IGUAL A 2,00 M . AF_07/2024</t>
  </si>
  <si>
    <t>REVOLVIMENTO E LIMPEZA MANUAL DE SOLO. AF_07/2024</t>
  </si>
  <si>
    <t>APLICAÇÃO DE ADUBO EM SOLO. AF_07/2024</t>
  </si>
  <si>
    <t>APLICAÇÃO DE CALCÁRIO PARA CORREÇÃO DO PH DO SOLO. AF_07/2024</t>
  </si>
  <si>
    <t>ESPALHAMENTO DE TERRA VEGETAL PARA O PLANTIO. AF_07/2024</t>
  </si>
  <si>
    <t>PLANTIO DE GRAMA EM PAVIMENTO CONCREGRAMA. AF_07/2024</t>
  </si>
  <si>
    <t>PLANTIO DE GRAMA BATATAIS EM PLACAS. AF_07/2024</t>
  </si>
  <si>
    <t>PLANTIO DE FORRAÇÃO. AF_07/2024</t>
  </si>
  <si>
    <t>PLANTIO DE GRAMA ESMERALDA OU SÃO CARLOS OU CURITIBANA, EM PLACAS. AF_07/2024</t>
  </si>
  <si>
    <t>CENTRO DE LUZ CAIXA DE PASSAGEM PLASTICA SEXTAVADA COM TAMPA LAJE DE CONCRETO</t>
  </si>
  <si>
    <t>CENTRO DE LUZ CAIXA DE PASSAGEM PLASTICA OCTAGONAL COM TAMPA LAJE DE CONCRETO</t>
  </si>
  <si>
    <t>BANCO DE RESERVAS PARA QUADRA DE ESPORTES, ESTRUTURA TUBULAR EM AÇO GALVANIZADO E ASSENTOS EM POLIPROPILENO</t>
  </si>
  <si>
    <t>D.04.000.030209</t>
  </si>
  <si>
    <t>Folha de madeira sarrafeada, revestida nas 2 faces com laminado melamínico</t>
  </si>
  <si>
    <t>F.12.000.024027</t>
  </si>
  <si>
    <t>Controlador de retração de concreto; ref. Redutrac da Concrefiber, Eucon Conex CR da Viapol, Dry D1 N.G. da Chimica Edile ou equivalente</t>
  </si>
  <si>
    <t>Lona plástica preta, espessura 150 micras, rolo de 4x100m, peso mínimo 36 kg</t>
  </si>
  <si>
    <t>Cortadora de pavimento concreto/asfalto, motor a gasolina, potência 13HP, com disco de corte adiamantado segmentado para concreto, Ø 350mm - CHP diurno</t>
  </si>
  <si>
    <t>ESCADAS</t>
  </si>
  <si>
    <t>CONTENÇÕES</t>
  </si>
  <si>
    <t>JUNTAS DE DILATAÇÃO</t>
  </si>
  <si>
    <t>Objeto:</t>
  </si>
  <si>
    <t>DADOS ORÇAMENTO</t>
  </si>
  <si>
    <t>PREÇO TOTAL DA OBRA COM BDI:</t>
  </si>
  <si>
    <t>PRAZO PARA EXECUÇÃO:</t>
  </si>
  <si>
    <t>DIAS CORRIDOS</t>
  </si>
  <si>
    <t>BDI:</t>
  </si>
  <si>
    <t>GERAL</t>
  </si>
  <si>
    <t>DIFERENCIADO</t>
  </si>
  <si>
    <t>DESONERAÇÃO DE FOLHA:</t>
  </si>
  <si>
    <t>DADOS DO PROJETO</t>
  </si>
  <si>
    <t>TIPO DE OBRA:</t>
  </si>
  <si>
    <t>REFORMA</t>
  </si>
  <si>
    <t>ÁREA DO TERRENO:</t>
  </si>
  <si>
    <t>m²</t>
  </si>
  <si>
    <t>CONSTRUÇÃO</t>
  </si>
  <si>
    <t>ÁREA A DEMOLIR:</t>
  </si>
  <si>
    <t>REFORMA / AMPLIAÇÃO</t>
  </si>
  <si>
    <t>ÁREA A REFORMAR:</t>
  </si>
  <si>
    <t>ÁREA A AMPLIAR:</t>
  </si>
  <si>
    <t>ÁREA A CONSTRUIR:</t>
  </si>
  <si>
    <t>______________________________________________</t>
  </si>
  <si>
    <t>MINIESCAVADEIRA SOBRE ESTEIRAS, POTÊNCIA LÍQUIDA DE *30* HP, PESO OPERACIONAL DE *3.500* KG - CHP DIURNO. AF_04/2017</t>
  </si>
  <si>
    <t>ROLO COMPACTADOR DE PNEUS, ESTÁTICO, PRESSÃO VARIÁVEL, POTÊNCIA 110 HP, PESO SEM/COM LASTRO 10,8/27 T, LARGURA DE ROLAGEM 2,30 M - CHP DIURNO. AF_06/2017</t>
  </si>
  <si>
    <t>PERFURATRIZ HIDRÁULICA SOBRE ESTEIRA, TORQUE MÁXIMO 161 KNM, PROFUNDIDADE MÁXIMA 54 M, DIÂMETRO MÁXIMO 1500 MM, POTÊNCIA MOTOR 268 HP - CHP DIURNO. AF_04/2019</t>
  </si>
  <si>
    <t>PERFURATRIZ PARA EXECUÇÃO DE ESTACAS SECANTES, TIPO HÉLICE CONTÍNUA COM CABEÇOTE DUPLO E TUBO METÁLICO - CHP DIURNO. AF_04/2019</t>
  </si>
  <si>
    <t>PERFURATRIZ HIDRÁULICA SOBRE ESTEIRA, TORQUE MÁXIMO 98 KNM, PROFUNDIDADE MÁXIMA 25 M, DIÂMETRO MÁXIMO 115 MM, POTÊNCIA MOTOR 190 HP - CHP DIURNO. AF_02/2021</t>
  </si>
  <si>
    <t>PERFURATRIZ ROTATIVA SOBRE ESTEIRA, TORQUE MAXIMO 2500 KGM, POTENCIA 110 HP, MOTOR DIESEL- CHP DIURNO. AF_05/2017</t>
  </si>
  <si>
    <t>PERFURATRIZ PARA FURO DIRECIONAL HORIZONTAL (HDD) COM CAPACIDADE ATÉ 89 KN, POTÊNCIA 24,8 HP A 80 HP (INCLUSO FERRAMENTAS E LOCALIZADOR) - CHP DIURNO. AF_05/2023</t>
  </si>
  <si>
    <t>PERFURATRIZ PARA FURO DIRECIONAL HORIZONTAL (HDD) COM CAPACIDADE DE 90 KN A 200 KN, POTÊNCIA 100 HP A 160 HP (INCLUSO FERRAMENTAS E LOCALIZADOR) - CHP DIURNO. AF_05/2023</t>
  </si>
  <si>
    <t>PERFURATRIZ PARA FURO DIRECIONAL HORIZONTAL (HDD) COM CAPACIDADE DE 201 KN A 560 KN, POTÊNCIA 200 HP A 260 HP (INCLUSO FERRAMENTAS E LOCALIZADOR) - CHP DIURNO. AF_05/2023</t>
  </si>
  <si>
    <t>PERFURATRIZ DE COROA DIAMANTADA PARA CONCRETO, DIÂMETRO ATÉ 250 MM, MOTOR ELÉTRICO 220 V, POTÊNCIA 2.500 W - CHP DIURNO. AF_05/2023</t>
  </si>
  <si>
    <t>MINIESCAVADEIRA SOBRE ESTEIRAS, POTÊNCIA LÍQUIDA DE *30* HP, PESO OPERACIONAL DE *3.500* KG - CHI DIURNO. AF_04/2017</t>
  </si>
  <si>
    <t>ROLO COMPACTADOR DE PNEUS, ESTÁTICO, PRESSÃO VARIÁVEL, POTÊNCIA 110 HP, PESO SEM/COM LASTRO 10,8/27 T, LARGURA DE ROLAGEM 2,30 M - CHI DIURNO. AF_06/2017</t>
  </si>
  <si>
    <t>PERFURATRIZ HIDRÁULICA SOBRE ESTEIRA, TORQUE MÁXIMO 161 KNM, PROFUNDIDADE MÁXIMA 54 M, DIÂMETRO MÁXIMO 1500 MM, POTÊNCIA MOTOR 268 HP - CHI DIURNO. AF_04/2019</t>
  </si>
  <si>
    <t>PERFURATRIZ PARA EXECUÇÃO DE ESTACAS SECANTES, TIPO HÉLICE CONTÍNUA COM CABEÇOTE DUPLO E TUBO METÁLICO - CHI DIURNO. AF_04/2019</t>
  </si>
  <si>
    <t>PERFURATRIZ HIDRÁULICA SOBRE ESTEIRA, TORQUE MÁXIMO 98 KNM, PROFUNDIDADE MÁXIMA 25 M, DIÂMETRO MÁXIMO 115 MM, POTÊNCIA MOTOR 190 HP - CHI DIURNO. AF_02/2021</t>
  </si>
  <si>
    <t>PERFURATRIZ ROTATIVA SOBRE ESTEIRA, TORQUE MAXIMO 2500 KGM, POTENCIA 110 HP, MOTOR DIESEL - CHI DIURNO. AF_05/2017</t>
  </si>
  <si>
    <t>PERFURATRIZ PARA FURO DIRECIONAL HORIZONTAL (HDD) COM CAPACIDADE ATÉ 89 KN, POTÊNCIA 24,8 HP A 80 HP (INCLUSO FERRAMENTAS E LOCALIZADOR) - CHI DIURNO. AF_05/2023</t>
  </si>
  <si>
    <t>PERFURATRIZ PARA FURO DIRECIONAL HORIZONTAL (HDD) COM CAPACIDADE DE 90 KN A 200 KN, POTÊNCIA 100 HP A 160 HP (INCLUSO FERRAMENTAS E LOCALIZADOR) - CHI DIURNO. AF_05/2023</t>
  </si>
  <si>
    <t>PERFURATRIZ PARA FURO DIRECIONAL HORIZONTAL (HDD) COM CAPACIDADE DE 201 KN A 560 KN, POTÊNCIA 200 HP A 260 HP (INCLUSO FERRAMENTAS E LOCALIZADOR) - CHI DIURNO. AF_05/2023</t>
  </si>
  <si>
    <t>PERFURATRIZ DE COROA DIAMANTADA PARA CONCRETO, DIÂMETRO ATÉ 250 MM, MOTOR ELÉTRICO 220 V, POTÊNCIA 2.500 W - CHI DIURNO. AF_05/2023</t>
  </si>
  <si>
    <t>ESCAVADEIRA HIDRÁULICA DE BRAÇO LONGO (LONGO ALCANCE) SOBRE ESTEIRAS, CAÇAMBA 0,52 M3, PESO OPERACIONAL 24 T, POTÊNCIA LÍQUIDA 155 HP - CHI DIURNO. AF_06/2023</t>
  </si>
  <si>
    <t>MINIESCAVADEIRA SOBRE ESTEIRAS, POTÊNCIA LÍQUIDA DE *30* HP, PESO OPERACIONAL DE *3.500* KG - DEPRECIAÇÃO. AF_04/2017</t>
  </si>
  <si>
    <t>MINIESCAVADEIRA SOBRE ESTEIRAS, POTÊNCIA LÍQUIDA DE *30* HP, PESO OPERACIONAL DE *3.500* KG - JUROS. AF_04/2017</t>
  </si>
  <si>
    <t>MINIESCAVADEIRA SOBRE ESTEIRAS, POTÊNCIA LÍQUIDA DE *30* HP, PESO OPERACIONAL DE *3.500* KG - MANUTENÇÃO. AF_04/2017</t>
  </si>
  <si>
    <t>MINIESCAVADEIRA SOBRE ESTEIRAS, POTÊNCIA LÍQUIDA DE *30* HP, PESO OPERACIONAL DE *3.500* KG - MATERIAIS NA OPERAÇÃO. AF_04/2017</t>
  </si>
  <si>
    <t>ROLO COMPACTADOR DE PNEUS, ESTÁTICO, PRESSÃO VARIÁVEL, POTÊNCIA 110 HP, PESO SEM/COM LASTRO 10,8/27 T, LARGURA DE ROLAGEM 2,30 M - MATERIAIS NA OPERAÇÃO. AF_06/2017</t>
  </si>
  <si>
    <t>ROLO COMPACTADOR DE PNEUS, ESTÁTICO, PRESSÃO VARIÁVEL, POTÊNCIA 110 HP, PESO SEM/COM LASTRO 10,8/27 T, LARGURA DE ROLAGEM 2,30 M - MANUTENÇÃO. AF_06/2017</t>
  </si>
  <si>
    <t>ROLO COMPACTADOR DE PNEUS, ESTÁTICO, PRESSÃO VARIÁVEL, POTÊNCIA 110 HP, PESO SEM/COM LASTRO 10,8/27 T, LARGURA DE ROLAGEM 2,30 M - JUROS. AF_06/2017</t>
  </si>
  <si>
    <t>ROLO COMPACTADOR DE PNEUS, ESTÁTICO, PRESSÃO VARIÁVEL, POTÊNCIA 110 HP, PESO SEM/COM LASTRO 10,8/27 T, LARGURA DE ROLAGEM 2,30 M - DEPRECIAÇÃO. AF_06/2017</t>
  </si>
  <si>
    <t>PERFURATRIZ HIDRÁULICA SOBRE ESTEIRA, TORQUE MÁXIMO 161 KNM, PROFUNDIDADE MÁXIMA 54 M, DIÂMETRO MÁXIMO 1500 MM, POTÊNCIA MOTOR 268 HP - DEPRECIAÇÃO. AF_04/2019</t>
  </si>
  <si>
    <t>PERFURATRIZ HIDRÁULICA SOBRE ESTEIRA, TORQUE MÁXIMO 161 KNM, PROFUNDIDADE MÁXIMA 54 M, DIÂMETRO MÁXIMO 1500 MM, POTÊNCIA MOTOR 268 HP - JUROS. AF_04/2019</t>
  </si>
  <si>
    <t>PERFURATRIZ HIDRÁULICA SOBRE ESTEIRA, TORQUE MÁXIMO 161 KNM, PROFUNDIDADE MÁXIMA 54 M, DIÂMETRO MÁXIMO 1500 MM, POTÊNCIA MOTOR 268 HP - MANUTENÇÃO. AF_04/2019</t>
  </si>
  <si>
    <t>PERFURATRIZ PARA EXECUÇÃO DE ESTACAS SECANTES, TIPO HÉLICE CONTÍNUA COM CABEÇOTE DUPLO E TUBO METÁLICO - DEPRECIAÇÃO. AF_04/2019</t>
  </si>
  <si>
    <t>PERFURATRIZ PARA EXECUÇÃO DE ESTACAS SECANTES, TIPO HÉLICE CONTÍNUA COM CABEÇOTE DUPLO E TUBO METÁLICO - JUROS. AF_04/2019</t>
  </si>
  <si>
    <t>PERFURATRIZ PARA EXECUÇÃO DE ESTACAS SECANTES, TIPO HÉLICE CONTÍNUA COM CABEÇOTE DUPLO E TUBO METÁLICO - MANUTENÇÃO. AF_04/2019</t>
  </si>
  <si>
    <t>PERFURATRIZ HIDRÁULICA SOBRE ESTEIRA, TORQUE MÁXIMO 98 KNM, PROFUNDIDADE MÁXIMA 25 M, DIÂMETRO MÁXIMO 115 MM, POTÊNCIA MOTOR 190 HP - DEPRECIAÇÃO. AF_02/2021</t>
  </si>
  <si>
    <t>PERFURATRIZ HIDRÁULICA SOBRE ESTEIRA, TORQUE MÁXIMO 98 KNM, PROFUNDIDADE MÁXIMA 25 M, DIÂMETRO MÁXIMO 115 MM, POTÊNCIA MOTOR 190 HP - JUROS. AF_02/2021</t>
  </si>
  <si>
    <t>PERFURATRIZ HIDRÁULICA SOBRE ESTEIRA, TORQUE MÁXIMO 98 KNM, PROFUNDIDADE MÁXIMA 25 M, DIÂMETRO MÁXIMO 115 MM, POTÊNCIA MOTOR 190 HP - MANUTENÇÃO. AF_02/2021</t>
  </si>
  <si>
    <t>PERFURATRIZ ROTATIVA SOBRE ESTEIRA, TORQUE MAXIMO 2500 KGM, POTENCIA 110 HP, MOTOR DIESEL - DEPRECIAÇÃO. AF_05/2017</t>
  </si>
  <si>
    <t>PERFURATRIZ ROTATIVA SOBRE ESTEIRA, TORQUE MAXIMO 2500 KGM, POTENCIA 110 HP, MOTOR DIESEL - JUROS. AF_05/2017</t>
  </si>
  <si>
    <t>PERFURATRIZ ROTATIVA SOBRE ESTEIRA, TORQUE MAXIMO 2500 KGM, POTENCIA 110 HP, MOTOR DIESEL - MANUTENÇÃO. AF_05/2017</t>
  </si>
  <si>
    <t>PERFURATRIZ PARA FURO DIRECIONAL HORIZONTAL (HDD) COM CAPACIDADE ATÉ 89 KN, POTÊNCIA 24,8 HP A 80 HP (INCLUSO FERRAMENTAS E LOCALIZADOR) - DEPRECIAÇÃO. AF_05/2023</t>
  </si>
  <si>
    <t>PERFURATRIZ PARA FURO DIRECIONAL HORIZONTAL (HDD) COM CAPACIDADE ATÉ 89 KN, POTÊNCIA 24,8 HP A 80 HP (INCLUSO FERRAMENTAS E LOCALIZADOR) - JUROS. AF_05/2023</t>
  </si>
  <si>
    <t>PERFURATRIZ PARA FURO DIRECIONAL HORIZONTAL (HDD) COM CAPACIDADE ATÉ 89 KN, POTÊNCIA 24,8 HP A 80 HP (INCLUSO FERRAMENTAS E LOCALIZADOR) - MANUTENÇÃO. AF_05/2023</t>
  </si>
  <si>
    <t>PERFURATRIZ PARA FURO DIRECIONAL HORIZONTAL (HDD) COM CAPACIDADE DE 90 KN A 200 KN, POTÊNCIA 100 HP A 160 HP (INCLUSO FERRAMENTAS E LOCALIZADOR) - DEPRECIAÇÃO. AF_05/2023</t>
  </si>
  <si>
    <t>PERFURATRIZ PARA FURO DIRECIONAL HORIZONTAL (HDD) COM CAPACIDADE DE 90 KN A 200 KN, POTÊNCIA 100 HP A 160 HP (INCLUSO FERRAMENTAS E LOCALIZADOR) - JUROS. AF_05/2023</t>
  </si>
  <si>
    <t>PERFURATRIZ PARA FURO DIRECIONAL HORIZONTAL (HDD) COM CAPACIDADE DE 90 KN A 200 KN, POTÊNCIA 100 HP A 160 HP (INCLUSO FERRAMENTAS E LOCALIZADOR - MANUTENÇÃO. AF_05/2023</t>
  </si>
  <si>
    <t>PERFURATRIZ PARA FURO DIRECIONAL HORIZONTAL (HDD) COM CAPACIDADE DE 201 KN A 560 KN, POTÊNCIA 200 HP A 260 HP (INCLUSO FERRAMENTAS E LOCALIZADOR) - DEPRECIAÇÃO. AF_05/2023</t>
  </si>
  <si>
    <t>PERFURATRIZ PARA FURO DIRECIONAL HORIZONTAL (HDD) COM CAPACIDADE DE 201 KN A 560 KN, POTÊNCIA 200 HP A 260 HP (INCLUSO FERRAMENTAS E LOCALIZADOR) - JUROS. AF_05/2023</t>
  </si>
  <si>
    <t>PERFURATRIZ PARA FURO DIRECIONAL HORIZONTAL (HDD) COM CAPACIDADE DE 201 KN A 560 KN, POTÊNCIA 200 HP A 260 HP (INCLUSO FERRAMENTAS E LOCALIZADOR) - MANUTENÇÃO. AF_05/2023</t>
  </si>
  <si>
    <t>PERFURATRIZ DE COROA DIAMANTADA PARA CONCRETO, DIÂMETRO ATÉ 250 MM, MOTOR ELÉTRICO 220 V, POTÊNCIA 2.500 W - DEPRECIAÇÃO. AF_05/2023</t>
  </si>
  <si>
    <t>PERFURATRIZ DE COROA DIAMANTADA PARA CONCRETO, DIÂMETRO ATÉ 250 MM, MOTOR ELÉTRICO 220 V, POTÊNCIA 2.500 W - JUROS. AF_05/2023</t>
  </si>
  <si>
    <t>PERFURATRIZ DE COROA DIAMANTADA PARA CONCRETO, DIÂMETRO ATÉ 250 MM, MOTOR ELÉTRICO 220 V, POTÊNCIA 2.500 W - MANUTENÇÃO. AF_05/2023</t>
  </si>
  <si>
    <t>ESCAVADEIRA HIDRÁULICA DE BRAÇO LONGO (LONGO ALCANCE) SOBRE ESTEIRAS, CAÇAMBA 0,52 M3, PESO OPERACIONAL 24 T, POTÊNCIA LÍQUIDA 155 HP - DEPRECIAÇÃO. AF_06/2023</t>
  </si>
  <si>
    <t>ESCAVADEIRA HIDRÁULICA DE BRAÇO LONGO (LONGO ALCANCE) SOBRE ESTEIRAS, CAÇAMBA 0,52 M3, PESO OPERACIONAL 24 T, POTÊNCIA LÍQUIDA 155 HP - JUROS. AF_06/2023</t>
  </si>
  <si>
    <t>ESCAVADEIRA HIDRÁULICA DE BRAÇO LONGO (LONGO ALCANCE) SOBRE ESTEIRAS, CAÇAMBA 0,52 M3, PESO OPERACIONAL 24 T, POTÊNCIA LÍQUIDA 155 HP - MANUTENÇÃO. AF_06/2023</t>
  </si>
  <si>
    <t>PERFURAÇÃO DE SOLO PARA SISTEMA DE REBAIXAMENTO DE LENÇOL FREÁTICO POR POÇOS PROFUNDOS, DIÂMETRO DO POÇO DE 400 MM. AF_12/2022</t>
  </si>
  <si>
    <t>INSTALAÇÃO E RETIRADA DE REVESTIMENTO METÁLICO PARA PERFURAÇÃO DE SOLO PARA SISTEMA DE REBAIXAMENTO DE LENÇOL FREÁTICO POR PORÇOS PROFUNDOS, DIÂMETRO DO POÇO DE 400 MM. AF_12/2022</t>
  </si>
  <si>
    <t>EXECUÇÃO DE GRAMPO PARA SOLO GRAMPEADO COM COMPRIMENTO MAIOR QUE 10 M, DIÂMETRO DE 7 CM, PERFURAÇÃO COM EQUIPAMENTO MANUAL E ARMADURA COM DIÂMETRO DE 20 MM. AF_07/2024</t>
  </si>
  <si>
    <t>FABRICAÇÃO, MONTAGEM E DESMONTAGEM DE FÔRMA PARA CORTINA DE CONTENÇÃO, EM CHAPA DE MADEIRA COMPENSADA PLASTIFICADA, E = 18 MM, 10 UTILIZAÇÕES. AF_11/2024</t>
  </si>
  <si>
    <t>ARMAÇÃO DE CORTINA DE CONTENÇÃO EM CONCRETO ARMADO, COM AÇO CA-50 DE 6,3 MM - MONTAGEM. AF_11/2024</t>
  </si>
  <si>
    <t>ARMAÇÃO DE CORTINA DE CONTENÇÃO EM CONCRETO ARMADO, COM AÇO CA-50 DE 8 MM - MONTAGEM. AF_11/2024</t>
  </si>
  <si>
    <t>ARMAÇÃO DE CORTINA DE CONTENÇÃO EM CONCRETO ARMADO, COM AÇO CA-50 DE 10 MM - MONTAGEM. AF_11/2024</t>
  </si>
  <si>
    <t>ARMAÇÃO DE CORTINA DE CONTENÇÃO EM CONCRETO ARMADO, COM AÇO CA-50 DE 12,5 MM - MONTAGEM. AF_11/2024</t>
  </si>
  <si>
    <t>ARMAÇÃO DE CORTINA DE CONTENÇÃO EM CONCRETO ARMADO, COM AÇO CA-50 DE 16 MM - MONTAGEM. AF_11/2024</t>
  </si>
  <si>
    <t>ARMAÇÃO DE CORTINA DE CONTENÇÃO EM CONCRETO ARMADO, COM AÇO CA-50 DE 20 MM - MONTAGEM. AF_11/2024</t>
  </si>
  <si>
    <t>ARMAÇÃO DE CORTINA DE CONTENÇÃO EM CONCRETO ARMADO, COM AÇO CA-50 DE 25 MM - MONTAGEM. AF_11/2024</t>
  </si>
  <si>
    <t>CONCRETAGEM DE CORTINA DE CONTENÇÃO, ATRAVÉS DE BOMBA - LANÇAMENTO, ADENSAMENTO E ACABAMENTO. AF_11/2024</t>
  </si>
  <si>
    <t>PERFURAÇÃO DE PAREDE DIAFRAGMA COM COROA DIAMANTADA DE DIÂMETRO DE 102 MM. AF_11/2023</t>
  </si>
  <si>
    <t>CONTRAMARCO DE AÇO, FIXAÇÃO COM ARGAMASSA - FORNECIMENTO E INSTALAÇÃO. AF_11/2024</t>
  </si>
  <si>
    <t>CONTRAMARCO DE AÇO, FIXAÇÃO COM PARAFUSO - FORNECIMENTO E INSTALAÇÃO. AF_11/2024</t>
  </si>
  <si>
    <t>CONTRAMARCO DE ALUMÍNIO, FIXAÇÃO COM ARGAMASSA - FORNECIMENTO E INSTALAÇÃO. AF_11/2024</t>
  </si>
  <si>
    <t>CONTRAMARCO DE ALUMÍNIO, FIXAÇÃO COM PARAFUSO - FORNECIMENTO E INSTALAÇÃO. AF_11/2024</t>
  </si>
  <si>
    <t>ARMAÇÃO DO SISTEMA DE PAREDES DE CONCRETO, EXECUTADA EM PAREDES DE EDIFICAÇÕES MULTIFAMILIARES, TELA Q-138. AF_12/2024_PS</t>
  </si>
  <si>
    <t>ARMAÇÃO DO SISTEMA DE PAREDES DE CONCRETO, EXECUTADA EM PAREDES DE EDIFICAÇÕES UNIFAMILIARES OU MULTIFAMILIARES, TELA Q-92. AF_12/2024_PS</t>
  </si>
  <si>
    <t>ARMAÇÃO DO SISTEMA DE PAREDES DE CONCRETO, EXECUTADA EM PAREDES DE EDIFICAÇÕES UNIFAMILIARES, TELA Q-61. AF_12/2024_PS</t>
  </si>
  <si>
    <t>ARMAÇÃO DO SISTEMA DE PAREDES DE CONCRETO, EXECUTADA COMO ARMADURA POSITIVA DE LAJES, TELA Q-138. AF_12/2024</t>
  </si>
  <si>
    <t>ARMAÇÃO DO SISTEMA DE PAREDES DE CONCRETO, EXECUTADA COMO ARMADURA NEGATIVA DE LAJES, TELA T-196. AF_12/2024</t>
  </si>
  <si>
    <t>ARMAÇÃO DO SISTEMA DE PAREDES DE CONCRETO, EXECUTADA COMO ARMADURA POSITIVA DE LAJES, TELA Q-113. AF_12/2024</t>
  </si>
  <si>
    <t>ARMAÇÃO DO SISTEMA DE PAREDES DE CONCRETO, EXECUTADA COMO ARMADURA NEGATIVA DE LAJES, TELA L-159. AF_12/2024</t>
  </si>
  <si>
    <t>ARMAÇÃO DO SISTEMA DE PAREDES DE CONCRETO, EXECUTADA EM PLATIBANDAS, TELA Q-92. AF_12/2024_PS</t>
  </si>
  <si>
    <t>ARMAÇÃO DO SISTEMA DE PAREDES DE CONCRETO, EXECUTADA COMO REFORÇO, VERGALHÃO DE 6,3 MM DE DIÂMETRO. AF_12/2024</t>
  </si>
  <si>
    <t>ARMAÇÃO DO SISTEMA DE PAREDES DE CONCRETO, EXECUTADA COMO REFORÇO, VERGALHÃO DE 8,0 MM DE DIÂMETRO. AF_12/2024</t>
  </si>
  <si>
    <t>ARMAÇÃO DO SISTEMA DE PAREDES DE CONCRETO, EXECUTADA COMO REFORÇO, VERGALHÃO DE 10,0 MM DE DIÂMETRO. AF_12/2024</t>
  </si>
  <si>
    <t>CORTE E DOBRA DE AÇO CA-50, DIÂMETRO DE 32 MM. AF_06/2022</t>
  </si>
  <si>
    <t>ARMAÇÃO DO SISTEMA DE PAREDES DE CONCRETO, EXECUTADA COMO ARMADURA POSITIVA DE LAJES, TELA Q-159. AF_12/2024</t>
  </si>
  <si>
    <t>ARMAÇÃO DO SISTEMA DE PAREDES DE CONCRETO, EXECUTADA COMO ARMADURA POSITIVA DE LAJES, TELA Q-196. AF_12/2024</t>
  </si>
  <si>
    <t>ARMAÇÃO DO SISTEMA DE PAREDES DE CONCRETO, EXECUTADA COMO REFORÇO, VERGALHÃO DE 5,0 MM DE DIÂMETRO. AF_12/2024</t>
  </si>
  <si>
    <t>ARMAÇÃO DO SISTEMA DE PAREDES DE CONCRETO, EXECUTADA COMO REFORÇO, VERGALHÃO DE 12,5 MM DE DIÂMETRO. AF_12/2024</t>
  </si>
  <si>
    <t>ARMAÇÃO DO SISTEMA DE PAREDES DE CONCRETO, EXECUTADA EM PAREDES DE EDIFICAÇÕES MULTIFAMILIARES, TELA Q-283. AF_12/2024_PS</t>
  </si>
  <si>
    <t>CONCRETAGEM DE EDIFICAÇÕES (PAREDES E LAJES) FEITAS COM SISTEMA DE FÔRMAS MANUSEÁVEIS, COM CONCRETO USINADO AUTOADENSÁVEL FCK 25 MPA - LANÇAMENTO E ACABAMENTO. AF_09/2024</t>
  </si>
  <si>
    <t>CONCRETAGEM DE LAJES EM EDIFICAÇÕES UNIFAMILIARES FEITAS COM SISTEMA DE FÔRMAS MANUSEÁVEIS, COM CONCRETO USINADO BOMBEÁVEL FCK 25 MPA - LANÇAMENTO, ADENSAMENTO E ACABAMENTO. AF_09/2024</t>
  </si>
  <si>
    <t>CONCRETAGEM DE PAREDES EM EDIFICAÇÕES UNIFAMILIARES FEITAS COM SISTEMA DE FÔRMAS MANUSEÁVEIS, COM CONCRETO USINADO BOMBEÁVEL FCK 25 MPA - LANÇAMENTO, ADENSAMENTO E ACABAMENTO. AF_09/2024</t>
  </si>
  <si>
    <t>CONCRETAGEM DE PLATIBANDA EM EDIFICAÇÕES UNIFAMILIARES FEITAS COM SISTEMA DE FÔRMAS MANUSEÁVEIS, COM CONCRETO USINADO BOMBEÁVEL FCK 25 MPA - LANÇAMENTO, ADENSAMENTO E ACABAMENTO. AF_09/2024</t>
  </si>
  <si>
    <t>CONCRETAGEM DE LAJES EM EDIFICAÇÕES MULTIFAMILIARES FEITAS COM SISTEMA DE FÔRMAS MANUSEÁVEIS, COM CONCRETO USINADO BOMBEÁVEL FCK 25 MPA - LANÇAMENTO, ADENSAMENTO E ACABAMENTO. AF_09/2024</t>
  </si>
  <si>
    <t>CONCRETAGEM DE PAREDES EM EDIFICAÇÕES MULTIFAMILIARES FEITAS COM SISTEMA DE FÔRMAS MANUSEÁVEIS, COM CONCRETO USINADO BOMBEÁVEL FCK 25 MPA - LANÇAMENTO, ADENSAMENTO E ACABAMENTO. AF_09/2024</t>
  </si>
  <si>
    <t>CONCRETAGEM DE PLATIBANDA EM EDIFICAÇÕES MULTIFAMILIARES FEITAS COM SISTEMA DE FÔRMAS MANUSEÁVEIS, COM CONCRETO USINADO BOMBEÁVEL FCK 25 MPA - LANÇAMENTO, ADENSAMENTO E ACABAMENTO. AF_09/2024</t>
  </si>
  <si>
    <t>CONCRETAGEM DE PLATIBANDA EM EDIFICAÇÕES UNIFAMILIARES FEITAS COM SISTEMA DE FÔRMAS MANUSEÁVEIS, COM CONCRETO USINADO AUTOADENSÁVEL FCK 25 MPA - LANÇAMENTO E ACABAMENTO. AF_09/2024</t>
  </si>
  <si>
    <t>CONCRETAGEM DE PLATIBANDA EM EDIFICAÇÕES MULTIFAMILIARES FEITAS COM SISTEMA DE FÔRMAS MANUSEÁVEIS, COM CONCRETO USINADO AUTOADENSÁVEL FCK 25 MPA - LANÇAMENTO E ACABAMENTO. AF_09/2024</t>
  </si>
  <si>
    <t>CONCRETAGEM DE EDIFICAÇÕES (PAREDES E LAJES) FEITAS COM SISTEMA DE FÔRMAS MANUSEÁVEIS, COM CONCRETO USINADO BOMBEÁVEL FCK 25 MPA - LANÇAMENTO, ADENSAMENTO E ACABAMENTO. AF_09/2024</t>
  </si>
  <si>
    <t>CONCRETAGEM DE ESCADAS EM EDIFICAÇÕES MULTIFAMILIARES FEITAS COM SISTEMA DE FÔRMAS MANUSEÁVEIS COM CONCRETO USINADO BOMBEÁVEL, FCK 25 MPA - LANÇAMENTO, ADENSAMENTO E ACABAMENTO. AF_09/2024</t>
  </si>
  <si>
    <t>CONCRETAGEM DE ESCADAS EM EDIFICAÇÕES MULTIFAMILIARES FEITAS COM SISTEMA DE FÔRMAS MANUSEÁVEIS COM CONCRETO USINADO AUTOADENSÁVEL, FCK 25 MPA - LANÇAMENTO E ACABAMENTO. AF_09/2024</t>
  </si>
  <si>
    <t>PEÇA RETANGULAR PRÉ-MOLDADA, VOLUME DE CONCRETO DE 30 A 70 LITROS, TAXA DE AÇO APROXIMADA DE 70KG/M³. AF_03/2024</t>
  </si>
  <si>
    <t>SENSOR DE PRESENÇA COM FOTOCÉLULA, FIXAÇÃO EM PAREDE - FORNECIMENTO E INSTALAÇÃO. AF_09/2024</t>
  </si>
  <si>
    <t>SENSOR DE PRESENÇA SEM FOTOCÉLULA, FIXAÇÃO EM PAREDE - FORNECIMENTO E INSTALAÇÃO. AF_09/2024</t>
  </si>
  <si>
    <t>SENSOR DE PRESENÇA COM FOTOCÉLULA, FIXAÇÃO EM TETO - FORNECIMENTO E INSTALAÇÃO. AF_09/2024</t>
  </si>
  <si>
    <t>SENSOR DE PRESENÇA SEM FOTOCÉLULA, FIXAÇÃO EM TETO - FORNECIMENTO E INSTALAÇÃO. AF_09/2024</t>
  </si>
  <si>
    <t>LUMINÁRIA DE EMERGÊNCIA, COM 30 LÂMPADAS LED DE 2 W, SEM REATOR - FORNECIMENTO E INSTALAÇÃO. AF_09/2024</t>
  </si>
  <si>
    <t>LÂMPADA COMPACTA DE LED 6 W, BASE E27 - FORNECIMENTO E INSTALAÇÃO. AF_09/2024</t>
  </si>
  <si>
    <t>LÂMPADA COMPACTA DE LED 10 W, BASE E27 - FORNECIMENTO E INSTALAÇÃO. AF_09/2024</t>
  </si>
  <si>
    <t>LÂMPADA TUBULAR LED DE 9/10 W, COM SOQUETE, BASE G13 - FORNECIMENTO E INSTALAÇÃO. AF_09/2024_PS</t>
  </si>
  <si>
    <t>LÂMPADA TUBULAR LED DE 18/20 W, COM SOQUETE, BASE G13 - FORNECIMENTO E INSTALAÇÃO. AF_09/2024_PS</t>
  </si>
  <si>
    <t>LUMINÁRIA TIPO PLAFON CIRCULAR, DE SOBREPOR, COM LED DE 12/13 W - FORNECIMENTO E INSTALAÇÃO. AF_09/2024</t>
  </si>
  <si>
    <t>LÂMPADA TUBULAR LED 9/10W SEM SOQUETE - FORNECIMENTO E INSTALAÇÃO. AF_09/2024</t>
  </si>
  <si>
    <t>LUMINÁRIA ARANDELA TIPO MEIA LUA, DE SOBREPOR, COM 1 LÂMPADA LED DE 6 W, SEM REATOR - FORNECIMENTO E INSTALAÇÃO. AF_09/2024</t>
  </si>
  <si>
    <t>LUMINÁRIA ARANDELA TIPO TARTARUGA, DE SOBREPOR, COM 1 LÂMPADA LED DE 6 W, SEM REATOR - FORNECIMENTO E INSTALAÇÃO. AF_09/2024</t>
  </si>
  <si>
    <t>DRAGAGEM DE MATERIAIS DE 1A CATEGORIA E COMPOSTOS ORGÂNICOS E INORGÂNICOS COM ESCAVADEIRA HIDRÁULICA DE LONGO ALCANCE (CAÇAMBA: 0,52 M3/155 HP). AF_03/2024</t>
  </si>
  <si>
    <t>ESCAVAÇÃO MECANIZADA DE VALA COM PROF. ATÉ 1,5 M (MÉDIA MONTANTE E JUSANTE/UMA COMPOSIÇÃO POR TRECHO), ESCAVADEIRA (0,8 M3), LARG. DE 1,5 M A 2,5 M, EM SOLO DE 1A CATEGORIA, EM LOCAIS COM ALTO NÍVEL DE INTERFERÊNCIA. AF_09/2024</t>
  </si>
  <si>
    <t>ESCAVAÇÃO MECANIZADA DE VALA COM PROF. MAIOR QUE 1,5 M ATÉ 3,0 M (MÉDIA MONTANTE E JUSANTE/UMA COMPOSIÇÃO POR TRECHO), ESCAVADEIRA (0,8 M3), LARGURA ATÉ 1,5 M, EM SOLO DE 1A CATEGORIA, EM LOCAIS COM ALTO NÍVEL DE INTERFERÊNCIA. AF_09/2024</t>
  </si>
  <si>
    <t>ESCAVAÇÃO MECANIZADA DE VALA COM PROF. MAIOR QUE 3,0 M ATÉ 4,5 M(MÉDIA MONTANTE E JUSANTE/UMA COMPOSIÇÃO POR TRECHO), ESCAVADEIRA (0,8 M3), LARG. MENOR QUE 1,5 M, EM SOLO DE 1A CATEGORIA, EM LOCAIS COM ALTO NÍVEL DE INTERFERÊNCIA. AF_09/2024</t>
  </si>
  <si>
    <t>ESCAVAÇÃO MECANIZADA DE VALA COM PROF. DE 3,0 M ATÉ 4,5 M(MÉDIA MONTANTE E JUSANTE/UMA COMPOSIÇÃO POR TRECHO), ESCAVADEIRA (1,2 M3), LARG. DE 1,5 M A 2,5 M, EM SOLO DE 1A CATEGORIA, EM LOCAIS COM ALTO NÍVEL DE INTERFERÊNCIA. AF_09/2024</t>
  </si>
  <si>
    <t>ESCAVAÇÃO MECANIZADA DE VALA COM PROF. MAIOR QUE 4,5 M ATÉ 6,0 M(MÉDIA MONTANTE E JUSANTE/UMA COMPOSIÇÃO POR TRECHO), ESCAVADEIRA (1,2 M3), LARG. DE 1,5 M A 2,5 M, EM SOLO DE 1A CATEGORIA, EM LOCAIS COM ALTO NÍVEL DE INTERFERÊNCIA. AF_09/2024</t>
  </si>
  <si>
    <t>ESCAVAÇÃO MECANIZADA DE VALA COM PROF. ATÉ 1,5 M (MÉDIA MONTANTE E JUSANTE/UMA COMPOSIÇÃO POR TRECHO), ESCAVADEIRA (0,8 M3), LARG. DE 1,5 M A 2,5 M, EM SOLO DE 1A CATEGORIA, LOCAIS COM BAIXO NÍVEL DE INTERFERÊNCIA. AF_09/2024</t>
  </si>
  <si>
    <t>ESCAVAÇÃO MECANIZADA DE VALA COM PROF. MAIOR QUE 1,5 M E ATÉ 3,0 M(MÉDIA MONTANTE E JUSANTE/UMA COMPOSIÇÃO POR TRECHO), ESCAVADEIRA (0,8 M3), LARG. MENOR QUE 1,5 M, EM SOLO DE 1A CATEGORIA, LOCAIS COM BAIXO NÍVEL DE INTERFERÊNCIA. AF_09/2024</t>
  </si>
  <si>
    <t>ESCAVAÇÃO MECANIZADA DE VALA COM PROF. MAIOR QUE 3,0 M ATÉ 4,5 M (MÉDIA MONTANTE E JUSANTE/UMA COMPOSIÇÃO POR TRECHO), ESCAVADEIRA (0,8 M3), LARG. MENOR QUE 1,5 M, EM SOLO DE 1A CATEGORIA, LOCAIS COM BAIXO NÍVEL DE INTERFERÊNCIA. AF_09/2024</t>
  </si>
  <si>
    <t>ESCAVAÇÃO MECANIZADA DE VALA COM PROF. MAIOR QUE 3,0 M ATÉ 4,5 M (MÉDIA MONTANTE E JUSANTE/UMA COMPOSIÇÃO POR TRECHO), ESCAVADEIRA (1,2 M3), LARG. DE 1,5 M A 2,5 M, EM SOLO DE 1A CATEGORIA, LOCAIS COM BAIXO NÍVEL DE INTERFERÊNCIA. AF_09/2024</t>
  </si>
  <si>
    <t>ESCAVAÇÃO MECANIZADA DE VALA COM PROF. MAIOR QUE 4,5 M ATÉ 6,0 M (MÉDIA MONTANTE E JUSANTE/UMA COMPOSIÇÃO POR TRECHO), ESCAVADEIRA (1,2 M3), LARG. DE 1,5 M A 2,5 M, EM SOLO DE 1A CATEGORIA, LOCAIS COM BAIXO NÍVEL DE INTERFERÊNCIA. AF_09/2024</t>
  </si>
  <si>
    <t>ESCAVAÇÃO MECANIZADA DE VALA COM PROF. ATÉ 1,5 M (MÉDIA MONTANTE E JUSANTE/UMA COMPOSIÇÃO POR TRECHO), RETROESCAV. (0,26 M3), LARG. MENOR QUE 0,8 M, EM SOLO DE 1A CATEGORIA, EM LOCAIS COM ALTO NÍVEL DE INTERFERÊNCIA. AF_09/2024</t>
  </si>
  <si>
    <t>ESCAVAÇÃO MECANIZADA DE VALA COM PROF. ATÉ 1,5 M (MÉDIA MONTANTE E JUSANTE/UMA COMPOSIÇÃO POR TRECHO), RETROESCAV. (0,26 M3), LARG. DE 0,8 M A 1,5 M, EM SOLO DE 1A CATEGORIA, EM LOCAIS COM ALTO NÍVEL DE INTERFERÊNCIA. AF_09/2024</t>
  </si>
  <si>
    <t>ESCAVAÇÃO MECANIZADA DE VALA COM PROF. MAIOR QUE 1,5 M ATÉ 3,0 M (MÉDIA MONTANTE E JUSANTE/UMA COMPOSIÇÃO POR TRECHO), RETROESCAV. (0,26 M3), LARG. MENOR QUE 0,8 M, EM SOLO DE 1A CATEGORIA, EM LOCAIS COM ALTO NÍVEL DE INTERFERÊNCIA. AF_09/2024</t>
  </si>
  <si>
    <t>ESCAVAÇÃO MECANIZADA DE VALA COM PROF. MAIOR QUE 1,5 M ATÉ 3,0 M (MÉDIA MONTANTE E JUSANTE/UMA COMPOSIÇÃO POR TRECHO), RETROESCAV. (0,26 M3), LARGURA DE 0,8 M A 1,5 M, EM SOLO DE 1A CATEGORIA, EM LOCAIS COM ALTO NÍVEL DE INTERFERÊNCIA. AF_09/2024</t>
  </si>
  <si>
    <t>ESCAVAÇÃO MECANIZADA DE VALA COM PROFUNDIDADE ATÉ 1,5 M (MÉDIA MONTANTE E JUSANTE/UMA COMPOSIÇÃO POR TRECHO), RETROESCAV. (0,26 M3), LARGURA MENOR QUE 0,8 M, EM SOLO DE 1A CATEGORIA, LOCAIS COM BAIXO NÍVEL DE INTERFERÊNCIA. AF_09/2024</t>
  </si>
  <si>
    <t>ESCAVAÇÃO MECANIZADA DE VALA COM PROFUNDIDADE ATÉ 1,5 M (MÉDIA MONTANTE E JUSANTE/UMA COMPOSIÇÃO POR TRECHO), RETROESCAV. (0,26 M3), LARGURA DE 0,8 M A 1,5 M, EM SOLO DE 1A CATEGORIA, LOCAIS COM BAIXO NÍVEL DE INTERFERÊNCIA. AF_09/2024</t>
  </si>
  <si>
    <t>ESCAVAÇÃO MECANIZADA DE VALA COM PROFUNDIDADE MAIOR QUE 1,5 M ATÉ 3,0 M (MÉDIA MONTANTE E JUSANTE/UMA COMPOSIÇÃO POR TRECHO), RETROESCAV. (0,26 M3), LARGURA MENOR QUE 0,8 M, EM SOLO DE 1A CATEGORIA, LOCAIS COM BAIXO NÍVEL DE INTERFERÊNCIA. AF_09/2024</t>
  </si>
  <si>
    <t>ESCAVAÇÃO MECANIZADA DE VALA COM PROFUNDIDADE MAIOR QUE 1,5 M ATÉ 3,0 M (MÉDIA MONTANTE E JUSANTE/UMA COMPOSIÇÃO POR TRECHO), RETROESCAV (0,26 M3), LARGURA DE 0,8 M A 1,5 M, EM SOLO DE 1A CATEGORIA, LOCAIS COM BAIXO NÍVEL DE INTERFERÊNCIA. AF_09/2024</t>
  </si>
  <si>
    <t>ESCAVAÇÃO MANUAL DE VALA. AF_09/2024</t>
  </si>
  <si>
    <t>ESCAVAÇÃO MECANIZADA DE VALA COM PROF. ATÉ 1,5 M (MÉDIA MONTANTE E JUSANTE/UMA COMPOSIÇÃO POR TRECHO), ESCAVADEIRA (0,8 M3), LARG. MENOR QUE 1,5 M, EM SOLO DE 1A CATEGORIA, EM LOCAIS COM ALTO NÍVEL DE INTERFERÊNCIA. AF_09/2024</t>
  </si>
  <si>
    <t>ESCAVAÇÃO MECANIZADA DE VALA COM PROF. MAIOR QUE 4,5 M ATÉ 6,0 M (MÉDIA MONTANTE E JUSANTE/UMA COMPOSIÇÃO POR TRECHO), ESCAVADEIRA (0,8 M3), LARG. MENOR QUE 1,5 M, EM SOLO DE 1A CATEGORIA, EM LOCAIS COM ALTO NÍVEL DE INTERFERÊNCIA. AF_09/2024</t>
  </si>
  <si>
    <t>ESCAVAÇÃO MECANIZADA DE VALA COM PROF. MAIOR QUE 1,50 M ATÉ 3,0 M (MÉDIA MONTANTE E JUSANTE/UMA COMPOSIÇÃO POR TRECHO), ESCAVADEIRA (1,2 M3), LARG. DE 1,5 M A 2,5 M, EM SOLO DE 1A CATEGORIA, EM LOCAIS COM ALTO NÍVEL DE INTERFERÊNCIA. AF_09/2024</t>
  </si>
  <si>
    <t>ESCAVAÇÃO MECANIZADA DE VALA COM PROF. ATÉ 1,5 M (MÉDIA MONTANTE E JUSANTE/UMA COMPOSIÇÃO POR TRECHO), ESCAVADEIRA (0,8 M3),LARG. MENOR QUE 1,5 M, EM SOLO DE 1A CATEGORIA, LOCAIS COM BAIXO NÍVEL DE INTERFERÊNCIA. AF_09/2024</t>
  </si>
  <si>
    <t>ESCAVAÇÃO MECANIZADA DE VALA COM PROF. MAIOR QUE 4,5 M ATÉ 6,0 M (MÉDIA MONTANTE E JUSANTE/UMA COMPOSIÇÃO POR TRECHO),COM ESCAVADEIRA (0,8 M3), LARG. MENOR QUE 1,5 M, EM SOLO DE 1A CATEGORIA, LOCAIS COM BAIXO NÍVEL DE INTERFERÊNCIA. AF_09/2024</t>
  </si>
  <si>
    <t>ESCAVAÇÃO MECANIZADA DE VALA COM PROF. MAIOR QUE 1,5 M ATÉ 3,0 M (MÉDIA MONTANTE E JUSANTE/UMA COMPOSIÇÃO POR TRECHO),COM ESCAVADEIRA (1,2 M3),LARG. DE 1,5 M A 2,5 M, EM SOLO DE 1A CATEGORIA, LOCAIS COM BAIXO NÍVEL DE INTERFERÊNCIA. AF_09/2024</t>
  </si>
  <si>
    <t>ESCAVAÇÃO MECANIZADA DE VALA COM PROF. ATÉ 1,5 M (MÉDIA MONTANTE E JUSANTE/UMA COMPOSIÇÃO POR TRECHO), ESCAVADEIRA (0,8 M3),LARG. MENOR QUE 1,5 M, EM SOLO DE MOLE, EM LOCAIS COM ALTO NÍVEL DE INTERFERÊNCIA. AF_09/2024</t>
  </si>
  <si>
    <t>ESCAVAÇÃO MECANIZADA DE VALA COM PROF. ATÉ 1,5 M (MÉDIA MONTANTE E JUSANTE/UMA COMPOSIÇÃO POR TRECHO), ESCAVADEIRA (0,8 M3), LARG. DE 1,5 M A 2,5 M, EM SOLO MOLE, EM LOCAIS COM ALTO NÍVEL DE INTERFERÊNCIA. AF_09/2024</t>
  </si>
  <si>
    <t>ESCAVAÇÃO MECANIZADA DE VALA COM PROF. MAIOR QUE 1,5 M ATÉ 3,0 M (MÉDIA MONTANTE E JUSANTE/UMA COMPOSIÇÃO POR TRECHO), ESCAVADEIRA (0,8 M3), LARGURA ATÉ 1,5 M, EM SOLO MOLE, EM LOCAIS COM ALTO NÍVEL DE INTERFERÊNCIA. AF_09/2024</t>
  </si>
  <si>
    <t>ESCAVAÇÃO MECANIZADA DE VALA COM PROF. MAIOR QUE 3,0 M ATÉ 4,5 M (MÉDIA MONTANTE E JUSANTE/UMA COMPOSIÇÃO POR TRECHO), ESCAVADEIRA (0,8 M3), LARG. MENOR QUE 1,5 M, EM SOLO MOLE, EM LOCAIS COM ALTO NÍVEL DE INTERFERÊNCIA. AF_09/2024</t>
  </si>
  <si>
    <t>ESCAVAÇÃO MECANIZADA DE VALA COM PROF. MAIOR QUE 4,5 M ATÉ 6,0 M (MÉDIA MONTANTE E JUSANTE/UMA COMPOSIÇÃO POR TRECHO), ESCAVADEIRA (0,8 M3),LARG. MENOR QUE 1,5 M, EM SOLO DE MOLE, EM LOCAIS COM ALTO NÍVEL DE INTERFERÊNCIA. AF_09/2024</t>
  </si>
  <si>
    <t>ESCAVAÇÃO MECANIZADA DE VALA COM PROF. MAIOR QUE 1,5 M ATÉ 3,0 M (MÉDIA MONTANTE E JUSANTE/UMA COMPOSIÇÃO POR TRECHO),COM ESCAVADEIRA (1,2 M3),LARG. DE 1,5 M A 2,5 M, EM SOLO MOLE, EM LOCAIS COM ALTO NÍVEL DE INTERFERÊNCIA. AF_09/2024</t>
  </si>
  <si>
    <t>ESCAVAÇÃO MECANIZADA DE VALA COM PROF. DE 3,0 M ATÉ 4,5 M (MÉDIA MONTANTE E JUSANTE/UMA COMPOSIÇÃO POR TRECHO), ESCAVADEIRA (1,2 M3), LARG. DE 1,5 M A 2,5 M, EM SOLO MOLE, EM LOCAIS COM ALTO NÍVEL DE INTERFERÊNCIA. AF_09/2024</t>
  </si>
  <si>
    <t>ESCAVAÇÃO MECANIZADA DE VALA COM PROF. MAIOR QUE 4,5 M ATÉ 6,0 M (MÉDIA MONTANTE E JUSANTE/UMA COMPOSIÇÃO POR TRECHO), ESCAVADEIRA (1,2 M3), LARG. DE 1,5 M A 2,5 M, EM SOLO MOLE, EM LOCAIS COM ALTO NÍVEL DE INTERFERÊNCIA. AF_09/2024</t>
  </si>
  <si>
    <t>ESCAVAÇÃO MECANIZADA DE VALA COM PROF. ATÉ 1,5 M (MÉDIA MONTANTE E JUSANTE/UMA COMPOSIÇÃO POR TRECHO), ESCAVADEIRA (0,8 M3),LARG. MENOR QUE 1,5 M, EM SOLO MOLE, LOCAIS COM BAIXO NÍVEL DE INTERFERÊNCIA. AF_09/2024</t>
  </si>
  <si>
    <t>ESCAVAÇÃO MECANIZADA DE VALA COM PROF. ATÉ 1,5 M (MÉDIA MONTANTE E JUSANTE/UMA COMPOSIÇÃO POR TRECHO), ESCAVADEIRA (0,8 M3), LARG. DE 1,5 M A 2,5 M, EM SOLO MOLE, LOCAIS COM BAIXO NÍVEL DE INTERFERÊNCIA. AF_09/2024</t>
  </si>
  <si>
    <t>ESCAVAÇÃO MECANIZADA DE VALA COM PROF. MAIOR QUE 1,5 M E ATÉ 3,0 M (MÉDIA MONTANTE E JUSANTE/UMA COMPOSIÇÃO POR TRECHO), ESCAVADEIRA (0,8 M3), LARG. MENOR QUE 1,5 M, EM SOLO MOLE, LOCAIS COM BAIXO NÍVEL DE INTERFERÊNCIA. AF_09/2024</t>
  </si>
  <si>
    <t>ESCAVAÇÃO MECANIZADA DE VALA COM PROF.MAIOR QUE 3,0 M ATÉ 4,5 M (MÉDIA MONTANTE E JUSANTE/UMA COMPOSIÇÃO POR TRECHO), ESCAVADEIRA (0,8 M3), LARG. MENOR QUE 1,5 M, EM SOLO MOLE, LOCAIS COM BAIXO NÍVEL DE INTERFERÊNCIA. AF_09/2024</t>
  </si>
  <si>
    <t>ESCAVAÇÃO MECANIZADA DE VALA COM PROF. MAIOR QUE 4,5 M ATÉ 6,0 M (MÉDIA MONTANTE E JUSANTE/UMA COMPOSIÇÃO POR TRECHO),COM ESCAVADEIRA (0,8 M3), LARG. MENOR QUE 1,5 M, EM SOLO MOLE, LOCAIS COM BAIXO NÍVEL DE INTERFERÊNCIA. AF_09/2024</t>
  </si>
  <si>
    <t>ESCAVAÇÃO MECANIZADA DE VALA COM PROF. MAIOR QUE 1,5 M ATÉ 3,0 M (MÉDIA MONTANTE E JUSANTE/UMA COMPOSIÇÃO POR TRECHO),COM ESCAVADEIRA (1,2 M3), LARG. DE 1,5 M A 2,5 M, EM SOLO MOLE, LOCAIS COM BAIXO NÍVEL DE INTERFERÊNCIA. AF_09/2024</t>
  </si>
  <si>
    <t>ESCAVAÇÃO MECANIZADA DE VALA COM PROF. MAIOR QUE 3,0 M ATÉ 4,5 M (MÉDIA MONTANTE E JUSANTE/UMA COMPOSIÇÃO POR TRECHO), ESCAVADEIRA (1,2 M3), LARG. DE 1,5 M A 2,5 M, EM SOLO MOLE, LOCAIS COM BAIXO NÍVEL DE INTERFERÊNCIA. AF_09/2024</t>
  </si>
  <si>
    <t>ESCAVAÇÃO MECANIZADA DE VALA COM PROF. MAIOR QUE 4,5 M ATÉ 6,0 M (MÉDIA MONTANTE E JUSANTE/UMA COMPOSIÇÃO POR TRECHO), ESCAVADEIRA (1,2 M3), LARG. DE 1,5 M A 2,5 M, EM SOLO MOLE, LOCAIS COM BAIXO NÍVEL DE INTERFERÊNCIA. AF_09/2024</t>
  </si>
  <si>
    <t>ESCAVAÇÃO MECANIZADA DE VALA COM PROF. ATÉ 1,5 M (MÉDIA MONTANTE E JUSANTE/UMA COMPOSIÇÃO POR TRECHO), RETROESCAV. (0,26 M3), LARG. MENOR QUE 0,8 M, EM SOLO MOLE, EM LOCAIS COM ALTO NÍVEL DE INTERFERÊNCIA. AF_09/2024</t>
  </si>
  <si>
    <t>ESCAVAÇÃO MECANIZADA DE VALA COM PROF. ATÉ 1,5 M (MÉDIA MONTANTE E JUSANTE/UMA COMPOSIÇÃO POR TRECHO), RETROESCAV. (0,26 M3), LARG. DE 0,8 M A 1,5 M, EM SOLO MOLE, EM LOCAIS COM ALTO NÍVEL DE INTERFERÊNCIA. AF_09/2024</t>
  </si>
  <si>
    <t>ESCAVAÇÃO MECANIZADA DE VALA COM PROF. MAIOR QUE 1,5 M ATÉ 3,0 M (MÉDIA MONTANTE E JUSANTE/UMA COMPOSIÇÃO POR TRECHO), RETROESCAV. (0,26 M3), LARG. MENOR QUE 0,8 M, EM SOLO MOLE, EM LOCAIS COM ALTO NÍVEL DE INTERFERÊNCIA. AF_09/2024</t>
  </si>
  <si>
    <t>ESCAVAÇÃO MECANIZADA DE VALA COM PROF. MAIOR QUE 1,5 M ATÉ 3,0 M (MÉDIA MONTANTE E JUSANTE/UMA COMPOSIÇÃO POR TRECHO), RETROESCAV. (0,26 M3), LARG. DE 0,8 M A 1,5 M, EM SOLO MOLE, EM LOCAIS COM ALTO NÍVEL DE INTERFERÊNCIA. AF_09/2024</t>
  </si>
  <si>
    <t>ESCAVAÇÃO MECANIZADA DE VALA COM PROF. ATÉ 1,5 M (MÉDIA MONTANTE E JUSANTE/UMA COMPOSIÇÃO POR TRECHO), RETROESCAV. (0,26 M3), LARG. MENOR QUE 0,8 M, EM SOLO MOLE, LOCAIS COM BAIXO NÍVEL DE INTERFERÊNCIA. AF_09/2024</t>
  </si>
  <si>
    <t>ESCAVAÇÃO MECANIZADA DE VALA COM PROF. ATÉ 1,5 M (MÉDIA MONTANTE E JUSANTE/UMA COMPOSIÇÃO POR TRECHO), RETROESCAV. (0,26 M3), LARG. DE 0,8 M A 1,5 M, EM SOLO MOLE, LOCAIS COM BAIXO NÍVEL DE INTERFERÊNCIA. AF_09/2024</t>
  </si>
  <si>
    <t>ESCAVAÇÃO MECANIZADA DE VALA COM PROF. MAIOR QUE 1,5 M ATÉ 3,0 M (MÉDIA MONTANTE E JUSANTE/UMA COMPOSIÇÃO POR TRECHO), RETROESCAV. (0,26 M3),LARG. MENOR QUE 0,8 M, EM SOLO MOLE, LOCAIS COM BAIXO NÍVEL DE INTERFERÊNCIA. AF_09/2024</t>
  </si>
  <si>
    <t>ESCAVAÇÃO MECANIZADA DE VALA COM PROF. MAIOR QUE 1,5 M ATÉ 3,0 M (MÉDIA MONTANTE E JUSANTE/UMA COMPOSIÇÃO POR TRECHO), RETROESCAV. (0,26 M3), LARG. DE 0,8 M A 1,5 M, EM SOLO MOLE, LOCAIS COM BAIXO NÍVEL DE INTERFERÊNCIA. AF_09/2024</t>
  </si>
  <si>
    <t>ESCAVAÇÃO MECANIZADA DE VALA COM PROF. ATÉ 1,5 M (MÉDIA MONTANTE E JUSANTE/UMA COMPOSIÇÃO POR TRECHO), ESCAVADEIRA (0,8 M3),LARG. ATÉ 1,5 M, EM SOLO DE 2A CATEGORIA, EM LOCAIS COM ALTO NÍVEL DE INTERFERÊNCIA. AF_09/2024</t>
  </si>
  <si>
    <t>ESCAVAÇÃO MECANIZADA DE VALA COM PROF. ATÉ 1,5 M (MÉDIA MONTANTE E JUSANTE/UMA COMPOSIÇÃO POR TRECHO), ESCAVADEIRA (0,8 M3), LARG. DE 1,5 M A 2,5 M, EM SOLO DE 2A CATEGORIA, EM LOCAIS COM ALTO NÍVEL DE INTERFERÊNCIA. AF_09/2024</t>
  </si>
  <si>
    <t>ESCAVAÇÃO MECANIZADA DE VALA COM PROF. MAIOR QUE 1,5 M ATÉ 3,0 M (MÉDIA MONTANTE E JUSANTE/UMA COMPOSIÇÃO POR TRECHO), ESCAVADEIRA (0,8 M3), LARG. ATÉ 1,5 M, EM SOLO DE 2A CATEGORIA, EM LOCAIS COM ALTO NÍVEL DE INTERFERÊNCIA. AF_09/2024</t>
  </si>
  <si>
    <t>ESCAVAÇÃO MECANIZADA DE VALA COM PROF. MAIOR QUE 3,0 M ATÉ 4,5 M (MÉDIA MONTANTE E JUSANTE/UMA COMPOSIÇÃO POR TRECHO), ESCAVADEIRA (0,8 M3), LARG. MENOR QUE 1,5 M, EM SOLO DE 2A CATEGORIA, EM LOCAIS COM ALTO NÍVEL DE INTERFERÊNCIA. AF_09/2024</t>
  </si>
  <si>
    <t>ESCAVAÇÃO MECANIZADA DE VALA COM PROF.MAIOR QUE 4,5 M ATÉ 6,0 M (MÉDIA MONTANTE E JUSANTE/UMA COMPOSIÇÃO POR TRECHO),COM ESCAVADEIRA (0,8 M3), LARG. MENOR QUE 1,5 M, EM SOLO DE 2A CATEGORIA, EM LOCAIS COM ALTO NÍVEL DE INTERFERÊNCIA. AF_09/2024</t>
  </si>
  <si>
    <t>ESCAVAÇÃO MECANIZADA DE VALA COM PROF. MAIOR QUE 1,5 M ATÉ 3,0 M (MÉDIA MONTANTE E JUSANTE/UMA COMPOSIÇÃO POR TRECHO),COM ESCAVADEIRA (1,2 M3),LARG. DE 1,5 M A 2,5 M, EM SOLO DE 2A CATEGORIA, EM LOCAIS COM ALTO NÍVEL DE INTERFERÊNCIA. AF_09/2024</t>
  </si>
  <si>
    <t>ESCAVAÇÃO MECANIZADA DE VALA COM PROF. DE 3,0 M ATÉ 4,5 M (MÉDIA MONTANTE E JUSANTE/UMA COMPOSIÇÃO POR TRECHO), ESCAVADEIRA (1,2 M3), LARG. DE 1,5 M A 2,5 M, EM SOLO DE 2A CATEGORIA, EM LOCAIS COM ALTO NÍVEL DE INTERFERÊNCIA. AF_09/2024</t>
  </si>
  <si>
    <t>ESCAVAÇÃO MECANIZADA DE VALA COM PROF. MAIOR QUE 4,5 M ATÉ 6,0 M (MÉDIA MONTANTE E JUSANTE/UMA COMPOSIÇÃO POR TRECHO), ESCAVADEIRA (1,2 M3), LARG. DE 1,5 M A 2,5 M, EM SOLO DE 2A CATEGORIA, EM LOCAIS COM ALTO NÍVEL DE INTERFERÊNCIA. AF_09/2024</t>
  </si>
  <si>
    <t>ESCAVAÇÃO MECANIZADA DE VALA COM PROF. ATÉ 1,5 M (MÉDIA MONTANTE E JUSANTE/UMA COMPOSIÇÃO POR TRECHO),COM ESCAVADEIRA (0,8 M3), LARG. MENOR QUE 1,5 M, EM SOLO DE 2A CATEGORIA, LOCAIS COM BAIXO NÍVEL DE INTERFERÊNCIA. AF_09/2024</t>
  </si>
  <si>
    <t>ESCAVAÇÃO MECANIZADA DE VALA COM PROF. ATÉ 1,5 M (MÉDIA MONTANTE E JUSANTE/UMA COMPOSIÇÃO POR TRECHO), ESCAVADEIRA (0,8 M3), LARG. DE 1,5 M A 2,5 M, EM SOLO DE 2A CATEGORIA, LOCAIS COM BAIXO NÍVEL DE INTERFERÊNCIA. AF_09/2024</t>
  </si>
  <si>
    <t>ESCAVAÇÃO MECANIZADA DE VALA COM PROF. MAIOR QUE 1,5 M E ATÉ 3,0 M (MÉDIA MONTANTE E JUSANTE/UMA COMPOSIÇÃO POR TRECHO), ESCAVADEIRA (0,8 M3), LARG. MENOR QUE 1,5 M, EM SOLO DE 2A CATEGORIA, LOCAIS COM BAIXO NÍVEL DE INTERFERÊNCIA. AF_09/2024</t>
  </si>
  <si>
    <t>ESCAVAÇÃO MECANIZADA DE VALA COM PROF.MAIOR QUE 3,0 M ATÉ 4,5 M (MÉDIA MONTANTE E JUSANTE/UMA COMPOSIÇÃO POR TRECHO), ESCAVADEIRA (0,8 M3), LARG. MENOR QUE 1,5 M, EM SOLO DE 2A CATEGORIA, LOCAIS COM BAIXO NÍVEL DE INTERFERÊNCIA. AF_09/2024</t>
  </si>
  <si>
    <t>ESCAVAÇÃO MECANIZADA DE VALA COM PROF.MAIOR QUE 4,5 M ATÉ 6,0 M (MÉDIA MONTANTE E JUSANTE/UMA COMPOSIÇÃO POR TRECHO),COM ESCAVADEIRA (0,8 M3), LARG. MENOR QUE 1,5 M, EM SOLO DE 2A CATEGORIA, EM LOCAIS COM BAIXO NÍVEL DE INTERFERÊNCIA. AF_09/2024</t>
  </si>
  <si>
    <t>ESCAVAÇÃO MECANIZADA DE VALA COM PROF. MAIOR QUE 1,5 M ATÉ 3,0 M (MÉDIA MONTANTE E JUSANTE/UMA COMPOSIÇÃO POR TRECHO),COM ESCAVADEIRA (1,2 M3),LARG. DE 1,5 M A 2,5 M, EM SOLO DE 2A CATEGORIA, LOCAIS COM BAIXO NÍVEL DE INTERFERÊNCIA. AF_09/2024</t>
  </si>
  <si>
    <t>ESCAVAÇÃO MECANIZADA DE VALA COM PROF. MAIOR QUE 3,0 M ATÉ 4,5 M (MÉDIA MONTANTE E JUSANTE/UMA COMPOSIÇÃO POR TRECHO), ESCAVADEIRA (1,2 M3), LARG. DE 1,5 M A 2,5 M, EM SOLO DE 2A CATEGORIA, LOCAIS COM BAIXO NÍVEL DE INTERFERÊNCIA. AF_09/2024</t>
  </si>
  <si>
    <t>ESCAVAÇÃO MECANIZADA DE VALA COM PROF. MAIOR QUE 4,5 M ATÉ 6,0 M (MÉDIA MONTANTE E JUSANTE/UMA COMPOSIÇÃO POR TRECHO), ESCAVADEIRA (1,2 M3), LARG. DE 1,5 M A 2,5 M, EM SOLO DE 2A CATEGORIA, LOCAIS COM BAIXO NÍVEL DE INTERFERÊNCIA. AF_09/2024</t>
  </si>
  <si>
    <t>ESCAVAÇÃO MECANIZADA DE VALA COM PROF. ATÉ 1,5 M (MÉDIA MONTANTE E JUSANTE/UMA COMPOSIÇÃO POR TRECHO), RETROESCAV. (0,26 M3), LARG. MENOR QUE 0,8 M, EM SOLO DE 2A CATEGORIA, EM LOCAIS COM ALTO NÍVEL DE INTERFERÊNCIA. AF_09/2024</t>
  </si>
  <si>
    <t>ESCAVAÇÃO MECANIZADA DE VALA COM PROF. ATÉ 1,5 M (MÉDIA MONTANTE E JUSANTE/UMA COMPOSIÇÃO POR TRECHO), RETROESCAV. (0,26 M3), LARG. DE 0,8 M A 1,5 M, EM SOLO DE 2A CATEGORIA, EM LOCAIS COM ALTO NÍVEL DE INTERFERÊNCIA. AF_09/2024</t>
  </si>
  <si>
    <t>ESCAVAÇÃO MECANIZADA DE VALA COM PROF. MAIOR QUE 1,5 M ATÉ 3,0 M (MÉDIA MONTANTE E JUSANTE/UMA COMPOSIÇÃO POR TRECHO), RETROESCAV. (0,26 M3), LARG. MENOR QUE 0,8 M, EM SOLO DE 2A CATEGORIA, EM LOCAIS COM ALTO NÍVEL DE INTERFERÊNCIA. AF_09/2024</t>
  </si>
  <si>
    <t>ESCAVAÇÃO MECANIZADA DE VALA COM PROF. MAIOR QUE 1,5 M ATÉ 3,0 M (MÉDIA MONTANTE E JUSANTE/UMA COMPOSIÇÃO POR TRECHO), RETROESCAV. (0,26 M3), LARG. DE 0,8 M A 1,5 M, EM SOLO DE 2A CATEGORIA, EM LOCAIS COM ALTO NÍVEL DE INTERFERÊNCIA. AF_09/2024</t>
  </si>
  <si>
    <t>ESCAVAÇÃO MECANIZADA DE VALA COM PROF. ATÉ 1,5 M (MÉDIA MONTANTE E JUSANTE/UMA COMPOSIÇÃO POR TRECHO), RETROESCAV. (0,26 M3), LARGURA MENOR QUE 0,8 M, EM SOLO DE 2A CATEGORIA, EM LOCAIS COM BAIXO NÍVEL DE INTERFERÊNCIA. AF_09/2024</t>
  </si>
  <si>
    <t>ESCAVAÇÃO MECANIZADA DE VALA COM PROF. ATÉ 1,5 M (MÉDIA MONTANTE E JUSANTE/UMA COMPOSIÇÃO POR TRECHO), RETROESCAV. (0,26 M3), LARG. DE 0,8 M A 1,5 M, EM SOLO DE 2A CATEGORIA, EM LOCAIS COM BAIXO NÍVEL DE INTERFERÊNCIA. AF_09/2024</t>
  </si>
  <si>
    <t>ESCAVAÇÃO MECANIZADA DE VALA COM PROF. MAIOR QUE 1,5 M ATÉ 3,0 M (MÉDIA MONTANTE E JUSANTE/UMA COMPOSIÇÃO POR TRECHO), RETROESCAV. (0,26 M3),LARG. MENOR QUE 0,8 M, EM SOLO DE 2A CATEGORIA, EM LOCAIS COM BAIXO NÍVEL DE INTERFERÊNCIA. AF_09/2024</t>
  </si>
  <si>
    <t>ESCAVAÇÃO MECANIZADA DE VALA COM PROF. MAIOR QUE 1,5 M ATÉ 3,0 M (MÉDIA MONTANTE E JUSANTE/UMA COMPOSIÇÃO POR TRECHO), RETROESCAV. (0,26 M3), LARG. DE 0,8 M A 1,5 M, EM SOLO DE 2A CATEGORIA, EM LOCAIS COM BAIXO NÍVEL DE INTERFERÊNCIA. AF_09/2024</t>
  </si>
  <si>
    <t>EXECUÇÃO E COMPACTAÇÃO DE CORPO DE ATERRO DE ATERRO (95% DE ENERGIA DO PROCTOR NORMAL) COM SOLO PREDOMINANTEMENTE ARGILOSO ESPESSURA 15 CM - EXCLUSIVE MATERIAL, ESCAVAÇÃO, CARGA E TRANSPORTE. AF_09/2024</t>
  </si>
  <si>
    <t>EXECUÇÃO E COMPACTAÇÃO DE CORPO DE ATERRO (95% DE ENERGIA DO PROCTOR NORMAL) COM SOLO PREDOMINANTEMENTE ARENOSO ESPESSURA 15CM - EXCLUSIVE MATERIAL, ESCAVAÇÃO, CARGA E TRANSPORTE. AF_09/2024</t>
  </si>
  <si>
    <t>EXECUÇÃO E COMPACTAÇÃO DE CORPO DE ATERRO DE ATERRO (95% DE ENERGIA DO PROCTOR NORMAL) COM SOLO PREDOMINANTEMENTE ARGILOSO, EM CAMADAS COM ESPESSURA DE 10 CM - EXCLUSIVE ESCAVAÇÃO, CARGA E TRANSPORTE E SOLO. AF_09/2024</t>
  </si>
  <si>
    <t>EXECUÇÃO E COMPACTAÇÃO DE CAMADA FINAL DE ATERRO (100% DE ENERGIA DO PROCTOR NORMAL) COM SOLO PREDOMINANTEMENTE ARGILOSO, EM CAMADAS COM ESPESSURA DE 10 CM - EXCLUSIVE ESCAVAÇÃO, CARGA E TRANSPORTE E SOLO. AF_09/2024</t>
  </si>
  <si>
    <t>EXECUÇÃO E COMPACTAÇÃO DE CAMADA FINAL DE ATERRO (100% DE ENERGIA DO PROCTOR NORMAL) COM SOLO PREDOMINANTEMENTE ARGILOSO, EM CAMADAS COM ESPESSURA DE 15 CM - EXCLUSIVE ESCAVAÇÃO, CARGA E TRANSPORTE E SOLO. AF_09/2024</t>
  </si>
  <si>
    <t>EXECUÇÃO E COMPACTAÇÃO DE CORPO DE ATERRO DE ATERRO (95% DE ENERGIA DO PROCTOR NORMAL) COM SOLO PREDOMINANTEMENTE ARGILOSO, EM CAMADAS COM ESPESSURA DE 20 CM - EXCLUSIVE ESCAVAÇÃO, CARGA E TRANSPORTE E SOLO. AF_09/2024</t>
  </si>
  <si>
    <t>EXECUÇÃO E COMPACTAÇÃO DE CAMADA FINAL DE ATERRO (100% DE ENERGIA DO PROCTOR NORMAL) COM SOLO PREDOMINANTEMENTE ARGILOSO, EM CAMADAS COM ESPESSURA DE 20 CM - EXCLUSIVE ESCAVAÇÃO, CARGA E TRANSPORTE E SOLO. AF_09/2024</t>
  </si>
  <si>
    <t>EXECUÇÃO E COMPACTAÇÃO DE CORPO DE ATERRO DE ATERRO (95% DE ENERGIA DO PROCTOR NORMAL) COM SOLO PREDOMINANTEMENTE ARENOSO, EM CAMADAS COM ESPESSURA DE 10 CM - EXCLUSIVE ESCAVAÇÃO, CARGA E TRANSPORTE E SOLO. AF_09/2024</t>
  </si>
  <si>
    <t>EXECUÇÃO E COMPACTAÇÃO DE CAMADA FINAL DE ATERRO (100% DE ENERGIA DO PROCTOR NORMAL) COM SOLO PREDOMINANTEMENTE ARENOSO, EM CAMADAS COM ESPESSURA DE 10 CM - EXCLUSIVE ESCAVAÇÃO, CARGA E TRANSPORTE E SOLO. AF_09/2024</t>
  </si>
  <si>
    <t>EXECUÇÃO E COMPACTAÇÃO DE CAMADA FINAL DE ATERRO (100% DE ENERGIA DO PROCTOR NORMAL) COM SOLO PREDOMINANTEMENTE ARENOSO, EM CAMADAS COM ESPESSURA DE 15 CM - EXCLUSIVE ESCAVAÇÃO, CARGA E TRANSPORTE E SOLO. AF_09/2024</t>
  </si>
  <si>
    <t>EXECUÇÃO E COMPACTAÇÃO DE CORPO DE ATERRO (95% DE ENERGIA DO PROCTOR NORMAL) COM SOLO PREDOMINANTEMENTE ARENOSO, EM CAMADAS COM ESPESSURA DE 20 CM - EXCLUSIVE ESCAVAÇÃO, CARGA E TRANSPORTE E SOLO. AF_09/2024</t>
  </si>
  <si>
    <t>EXECUÇÃO E COMPACTAÇÃO DE CAMADA FINAL DE ATERRO (100% DE ENERGIA DO PROCTOR NORMAL) COM SOLO PREDOMINANTEMENTE ARENOSO, EM CAMADAS COM ESPESSURA DE 20 CM - EXCLUSIVE ESCAVAÇÃO, CARGA E TRANSPORTE E SOLO. AF_09/2024</t>
  </si>
  <si>
    <t>ALVENARIA DE VEDAÇÃO DE BLOCOS CERÂMICOS FURADOS NA VERTICAL DE 11,5X19X29 CM (ESPESSURA 11,5 CM) E ARGAMASSA DE ASSENTAMENTO COM PREPARO EM BETONEIRA. AF_12/2021</t>
  </si>
  <si>
    <t>ALVENARIA DE VEDAÇÃO DE BLOCOS CERÂMICOS FURADOS NA VERTICAL DE 11,5X19X29 CM (ESPESSURA 11,5 CM) E ARGAMASSA DE ASSENTAMENTO COM PREPARO MANUAL. AF_12/2021</t>
  </si>
  <si>
    <t>ALVENARIA DE VEDAÇÃO DE BLOCOS CERÂMICOS FURADOS NA VERTICAL DE 14X19X29 CM (ESPESSURA 14 CM) E ARGAMASSA DE ASSENTAMENTO COM PREPARO EM BETONEIRA. AF_12/2021</t>
  </si>
  <si>
    <t>ALVENARIA DE VEDAÇÃO DE BLOCOS CERÂMICOS FURADOS NA VERTICAL DE 14X19X29 CM (ESPESSURA 14 CM) E ARGAMASSA DE ASSENTAMENTO COM PREPARO MANUAL. AF_12/2021</t>
  </si>
  <si>
    <t>ALVENARIA DE VEDAÇÃO DE BLOCOS CERÂMICOS FURADOS NA VERTICAL DE 11,5X19X39 CM (ESPESSURA 11,5 CM) E ARGAMASSA DE ASSENTAMENTO COM PREPARO EM BETONEIRA. AF_12/2021</t>
  </si>
  <si>
    <t>ALVENARIA DE VEDAÇÃO DE BLOCOS CERÂMICOS FURADOS NA VERTICAL DE 11,5X19X39 CM (ESPESSURA 11,5 CM) E ARGAMASSA DE ASSENTAMENTO COM PREPARO MANUAL. AF_12/2021</t>
  </si>
  <si>
    <t>ALVENARIA DE VEDAÇÃO DE BLOCOS CERÂMICOS FURADOS NA HORIZONTAL DE 9X14X24 CM (ESPESSURA 9 CM) E ARGAMASSA DE ASSENTAMENTO COM PREPARO EM BETONEIRA. AF_12/2021</t>
  </si>
  <si>
    <t>ALVENARIA DE VEDAÇÃO DE BLOCOS CERÂMICOS FURADOS NA HORIZONTAL DE 9X14X24 CM (ESPESSURA 9 CM) E ARGAMASSA DE ASSENTAMENTO COM PREPARO MANUAL. AF_12/2021</t>
  </si>
  <si>
    <t>ALVENARIA DE VEDAÇÃO DE BLOCOS CERÂMICOS FURADOS NA HORIZONTAL DE 11,5X14X24 CM (ESPESSURA 11,5 CM) E ARGAMASSA DE ASSENTAMENTO COM PREPARO EM BETONEIRA. AF_12/2021</t>
  </si>
  <si>
    <t>ALVENARIA DE VEDAÇÃO DE BLOCOS CERÂMICOS FURADOS NA HORIZONTAL DE 11,5X14X24 CM (ESPESSURA 11,5 CM) E ARGAMASSA DE ASSENTAMENTO COM PREPARO MANUAL. AF_12/2021</t>
  </si>
  <si>
    <t>ALVENARIA DE VEDAÇÃO DE BLOCOS CERÂMICOS FURADOS NA HORIZONTAL DE 11,5X19X29 CM (ESPESSURA 11,5 CM) E ARGAMASSA DE ASSENTAMENTO COM PREPARO EM BETONEIRA. AF_12/2021</t>
  </si>
  <si>
    <t>ALVENARIA DE VEDAÇÃO DE BLOCOS CERÂMICOS FURADOS NA HORIZONTAL DE 11,5X19X29 CM (ESPESSURA 11,5 CM) E ARGAMASSA DE ASSENTAMENTO COM PREPARO MANUAL. AF_12/2021</t>
  </si>
  <si>
    <t>ALVENARIA DE VEDAÇÃO DE BLOCOS CERÂMICOS FURADOS NA HORIZONTAL DE 14X19X29 CM (ESPESSURA 14 CM) E ARGAMASSA DE ASSENTAMENTO COM PREPARO EM BETONEIRA. AF_12/2021</t>
  </si>
  <si>
    <t>ALVENARIA DE VEDAÇÃO DE BLOCOS CERÂMICOS FURADOS NA HORIZONTAL DE 14X19X29 CM (ESPESSURA 14 CM) E ARGAMASSA DE ASSENTAMENTO COM PREPARO MANUAL. AF_12/2021</t>
  </si>
  <si>
    <t>ALVENARIA DE VEDAÇÃO DE BLOCOS CERÂMICOS FURADOS NA HORIZONTAL DE 19X19X29 CM (ESPESSURA 19 CM) E ARGAMASSA DE ASSENTAMENTO COM PREPARO EM BETONEIRA. AF_12/2021</t>
  </si>
  <si>
    <t>ALVENARIA DE VEDAÇÃO DE BLOCOS CERÂMICOS FURADOS NA HORIZONTAL DE 19X19X29 CM (ESPESSURA 19 CM) E ARGAMASSA DE ASSENTAMENTO COM PREPARO MANUAL. AF_12/2021</t>
  </si>
  <si>
    <t>ALVENARIA DE VEDAÇÃO DE BLOCOS CERÂMICOS FURADOS NA HORIZONTAL DE 9X19X39 CM (ESPESSURA 9 CM) E ARGAMASSA DE ASSENTAMENTO COM PREPARO EM BETONEIRA. AF_12/2021</t>
  </si>
  <si>
    <t>ALVENARIA DE VEDAÇÃO DE BLOCOS CERÂMICOS FURADOS NA HORIZONTAL DE 9X19X39 CM (ESPESSURA 9 CM) E ARGAMASSA DE ASSENTAMENTO COM PREPARO MANUAL. AF_12/2021</t>
  </si>
  <si>
    <t>ALVENARIA DE VEDAÇÃO DE BLOCOS CERÂMICOS FURADOS NA HORIZONTAL DE 11,5X19X39 CM (ESPESSURA 11,5 CM) E ARGAMASSA DE ASSENTAMENTO COM PREPARO EM BETONEIRA. AF_12/2021</t>
  </si>
  <si>
    <t>ALVENARIA DE VEDAÇÃO DE BLOCOS CERÂMICOS FURADOS NA HORIZONTAL DE 11,5X19X39 CM (ESPESSURA 11,5 CM) E ARGAMASSA DE ASSENTAMENTO COM PREPARO MANUAL. AF_12/2021</t>
  </si>
  <si>
    <t>ALVENARIA DE VEDAÇÃO DE BLOCOS CERÂMICOS FURADOS NA HORIZONTAL DE 14X19X39 CM (ESPESSURA 14 CM) E ARGAMASSA DE ASSENTAMENTO COM PREPARO EM BETONEIRA. AF_12/2021</t>
  </si>
  <si>
    <t>ALVENARIA DE VEDAÇÃO DE BLOCOS CERÂMICOS FURADOS NA HORIZONTAL DE 14X19X39 CM (ESPESSURA 14 CM) E ARGAMASSA DE ASSENTAMENTO COM PREPARO MANUAL. AF_12/2021</t>
  </si>
  <si>
    <t>ALVENARIA DE VEDAÇÃO DE BLOCOS CERÂMICOS FURADOS NA HORIZONTAL DE 19X19X39 CM (ESPESSURA 19 CM) E ARGAMASSA DE ASSENTAMENTO COM PREPARO EM BETONEIRA. AF_12/2021</t>
  </si>
  <si>
    <t>ALVENARIA DE VEDAÇÃO DE BLOCOS CERÂMICOS FURADOS NA HORIZONTAL DE 19X19X39 CM (ESPESSURA 19 CM) E ARGAMASSA DE ASSENTAMENTO COM PREPARO MANUAL. AF_12/2021</t>
  </si>
  <si>
    <t>REGULARIZAÇÃO E COMPACTAÇÃO DE SUBLEITO DE SOLO PREDOMINANTEMENTE ARGILOSO, PARA OBRAS DE CONSTRUÇÃO DE PAVIMENTOS. AF_09/2024</t>
  </si>
  <si>
    <t>REGULARIZAÇÃO E COMPACTAÇÃO DE SUBLEITO DE SOLO PREDOMINANTEMENTE ARENOSO, PARA OBRAS DE CONSTRUÇÃO DE PAVIMENTOS. AF_09/2024</t>
  </si>
  <si>
    <t>REGULARIZAÇÃO E COMPACTAÇÃO DE SUBLEITO DE SOLO PREDOMINANTEMENTE ARGILOSO, PARA OBRAS DE RECONSTRUÇÃO DE PAVIMENTOS. AF_09/2024</t>
  </si>
  <si>
    <t>REGULARIZAÇÃO E COMPACTAÇÃO DE SUBLEITO DE SOLO PREDOMINANTEMENTE ARENOSO, PARA OBRAS DE RECONSTRUÇÃO DE PAVIMENTOS. AF_09/2024</t>
  </si>
  <si>
    <t>CONSTRUÇÃO DE BASE E SUB-BASE PARA PAVIMENTAÇÃO DE SOLO DE COMPORTAMENTO LATERÍTICO (ARENOSO), COM ESPESSURA DE 15 CM - EXCLUSIVE ESCAVAÇÃO, CARGA E TRANSPORTE E SOLO. AF_09/2024</t>
  </si>
  <si>
    <t>CONSTRUÇÃO DE BASE E SUB-BASE PARA PAVIMENTAÇÃO DE SOLO (PREDOMINANTEMENTE ARENOSO) MELHORADO COM CIMENTO - 2%, MISTURA EM PISTA, COM ESPESSURA DE 15 CM - EXCLUSIVE ESCAVAÇÃO, CARGA E TRANSPORTE E SOLO. AF_09/2024</t>
  </si>
  <si>
    <t>CONSTRUÇÃO DE BASE E SUB-BASE PARA PAVIMENTAÇÃO DE SOLO (PREDOMINANTEMENTE ARENOSO) MELHORADO COM CIMENTO - 4%, MISTURA EM PISTA, COM ESPESSURA DE 15 CM - EXCLUSIVE ESCAVAÇÃO, CARGA E TRANSPORTE E SOLO. AF_09/2024</t>
  </si>
  <si>
    <t>CONSTRUÇÃO DE BASE E SUB-BASE PARA PAVIMENTAÇÃO DE SOLO (PREDOMINANTEMENTE ARENOSO) COM CIMENTO - 6%, MISTURA EM PISTA, COM ESPESSURA DE 15 CM - EXCLUSIVE ESCAVAÇÃO, CARGA E TRANSPORTE E SOLO. AF_09/2024</t>
  </si>
  <si>
    <t>CONSTRUÇÃO DE BASE E SUB-BASE PARA PAVIMENTAÇÃO DE SOLO (PREDOMINANTEMENTE ARENOSO) COM CIMENTO - 8%, MISTURA EM PISTA, COM ESPESSURA DE 15 CM - EXCLUSIVE ESCAVAÇÃO, CARGA E TRANSPORTE E SOLO. AF_09/2024</t>
  </si>
  <si>
    <t>CONSTRUÇÃO DE BASE E SUB-BASE PARA PAVIMENTAÇÃO DE BRITA GRADUADA SIMPLES, COM ESPESSURA DE 15 CM - EXCLUSIVE CARGA E TRANSPORTE. AF_09/2024</t>
  </si>
  <si>
    <t>CONSTRUÇÃO DE BASE E SUB-BASE PARA PAVIMENTAÇÃO DE BRITA GRADUADA SIMPLES TRATADA COM CIMENTO, COM ESPESSURA DE 15 CM - EXCLUSIVE CARGA E TRANSPORTE. AF_09/2024</t>
  </si>
  <si>
    <t>CONSTRUÇÃO DE BASE E SUB-BASE PARA PAVIMENTAÇÃO DE CONCRETO COMPACTADO COM ROLO, COM ESPESSURA DE 15 CM - EXCLUSIVE CARGA E TRANSPORTE. AF_09/2024</t>
  </si>
  <si>
    <t>CONSTRUÇÃO DE BASE E SUB-BASE PARA PAVIMENTAÇÃO DE RACHÃO, COM ESPESSURA DE 40 CM - EXCLUSIVE CARGA E TRANSPORTE. AF_09/2024</t>
  </si>
  <si>
    <t>CONSTRUÇÃO DE BASE E SUB-BASE PARA PAVIMENTAÇÃO DE MACADAME SECO, COM ESPESSURA DE 15 CM - EXCLUSIVE CARGA E TRANSPORTE. AF_09/2024</t>
  </si>
  <si>
    <t>CONSTRUÇÃO DE BASE E SUB-BASE PARA PAVIMENTAÇÃO DE SOLO (PREDOMINANTEMENTE ARENOSO) BRITA - 40%-60%, MISTURA EM PISTA, COM ESPESSURA DE 15 CM - EXCLUSIVE ESCAVAÇÃO, CARGA E TRANSPORTE E SOLO. AF_09/2024</t>
  </si>
  <si>
    <t>CONSTRUÇÃO DE BASE E SUB-BASE PARA PAVIMENTAÇÃO DE SOLO (PREDOMINANTEMENTE ARENOSO) BRITA - 50%-50%, MISTURA EM PISTA, COM ESPESSURA DE 15 CM - EXCLUSIVE ESCAVAÇÃO, CARGA E TRANSPORTE E SOLO. AF_09/2024</t>
  </si>
  <si>
    <t>CONSTRUÇÃO DE BASE E SUB-BASE PARA PAVIMENTAÇÃO DE SOLO (PREDOMINANTEMENTE ARENOSO) BRITA - 40%-60% COM CIMENTO - 4%, MISTURA EM PISTA, COM ESPESSURA DE 15 CM - EXCLUSIVE ESCAVAÇÃO, CARGA E TRANSPORTE E SOLO. AF_09/2024</t>
  </si>
  <si>
    <t>CONSTRUÇÃO DE BASE E SUB-BASE PARA PAVIMENTAÇÃO DE SOLO (PREDOMINANTEMENTE ARENOSO) BRITA - 40%-60% COM CIMENTO - 6%, MISTURA EM PISTA, COM ESPESSURA DE 15 CM - EXCLUSIVE ESCAVAÇÃO, CARGA E TRANSPORTE E SOLO. AF_09/2024</t>
  </si>
  <si>
    <t>CONSTRUÇÃO DE BASE E SUB-BASE PARA PAVIMENTAÇÃO DE SOLO (PREDOMINANTEMENTE ARENOSO) BRITA - 40%-60% COM CIMENTO - 8%, MISTURA EM PISTA, COM ESPESSURA DE 15 CM - EXCLUSIVE ESCAVAÇÃO, CARGA E TRANSPORTE E SOLO. AF_09/2024</t>
  </si>
  <si>
    <t>CONSTRUÇÃO DE BASE E SUB-BASE PARA PAVIMENTAÇÃO DE SOLO (PREDOMINANTEMENTE ARENOSO) BRITA - 50%-50% COM CIMENTO - 4%, MISTURA EM PISTA, COM ESPESSURA DE 15 CM - EXCLUSIVE ESCAVAÇÃO, CARGA E TRANSPORTE E SOLO. AF_09/2024</t>
  </si>
  <si>
    <t>CONSTRUÇÃO DE BASE E SUB-BASE PARA PAVIMENTAÇÃO DE SOLO (PREDOMINANTEMENTE ARENOSO) BRITA - 50%-50% COM CIMENTO - 6%, MISTURA EM PISTA, COM ESPESSURA DE 15 CM - EXCLUSIVE ESCAVAÇÃO, CARGA E TRANSPORTE E SOLO. AF_09/2024</t>
  </si>
  <si>
    <t>CONSTRUÇÃO DE BASE E SUB-BASE PARA PAVIMENTAÇÃO DE SOLO (PREDOMINANTEMENTE ARENOSO) BRITA - 50%-50% COM CIMENTO - 8%, MISTURA EM PISTA, COM ESPESSURA DE 15 CM - EXCLUSIVE ESCAVAÇÃO, CARGA E TRANSPORTE E SOLO. AF_09/2024</t>
  </si>
  <si>
    <t>CONSTRUÇÃO DE BASE E SUB-BASE PARA PAVIMENTAÇÃO DE SOLO (PREDOMINANTEMENTE ARGILOSO) BRITA - 40%-60%, MISTURA EM PISTA, COM ESPESSURA DE 15 CM - EXCLUSIVE ESCAVAÇÃO, CARGA E TRANSPORTE E SOLO. AF_09/2024</t>
  </si>
  <si>
    <t>CONSTRUÇÃO DE BASE E SUB-BASE PARA PAVIMENTAÇÃO DE SOLO (PREDOMINANTEMENTE ARGILOSO) BRITA - 50%-50%, MISTURA EM PISTA, COM ESPESSURA DE 15 CM - EXCLUSIVE ESCAVAÇÃO, CARGA E TRANSPORTE E SOLO. AF_09/2024</t>
  </si>
  <si>
    <t>ESPALHAMENTO DE MATERIAL COM TRATOR DE ESTEIRAS. AF_09/2024</t>
  </si>
  <si>
    <t>REGULARIZAÇÃO DE SUPERFÍCIES COM MOTONIVELADORA. AF_09/2024</t>
  </si>
  <si>
    <t>CONSTRUÇÃO DE BASE E SUB-BASE PARA PAVIMENTAÇÃO DE SOLO ESTABILIZADO GRANULOMETRICAMENTE COM MISTURA DE SOLOS EM PISTA - EXCLUSIVE SOLO, ESCAVAÇÃO, CARGA E TRANSPORTE. AF_09/2024</t>
  </si>
  <si>
    <t>CONSTRUÇÃO DE BASE E SUB-BASE PARA PAVIMENTAÇÃO DE SOLO ESTABILIZADO GRANULOMETRICAMENTE SEM MISTURA DE SOLOS - EXCLUSIVE SOLO, ESCAVAÇÃO, CARGA E TRANSPORTE. AF_09/2024</t>
  </si>
  <si>
    <t>CONSTRUÇÃO DE BASE E SUB-BASE PARA PAVIMENTAÇÃO DE SOLO DE COMPORTAMENTO LATERÍTICO (ARENOSO), COM ESPESSURA DE 10 CM - EXCLUSIVE ESCAVAÇÃO, CARGA E TRANSPORTE E SOLO. AF_09/2024</t>
  </si>
  <si>
    <t>RECONSTRUÇÃO DE BASE E SUB-BASE PARA PAVIMENTAÇÃO DE SOLO DE COMPORTAMENTO LATERÍTICO (ARENOSO), COM ESPESSURA DE 10 CM - EXCLUSIVE ESCAVAÇÃO, CARGA E TRANSPORTE E SOLO. AF_09/2024</t>
  </si>
  <si>
    <t>RECONSTRUÇÃO DE BASE E SUB-BASE PARA PAVIMENTAÇÃO DE SOLO DE COMPORTAMENTO LATERÍTICO (ARENOSO), COM ESPESSURA DE 15 CM - EXCLUSIVE ESCAVAÇÃO, CARGA E TRANSPORTE E SOLO. AF_09/2024</t>
  </si>
  <si>
    <t>CONSTRUÇÃO DE BASE E SUB-BASE PARA PAVIMENTAÇÃO DE SOLO DE COMPORTAMENTO LATERÍTICO (ARENOSO), COM ESPESSURA DE 20 CM - EXCLUSIVE ESCAVAÇÃO, CARGA E TRANSPORTE E SOLO. AF_09/2024</t>
  </si>
  <si>
    <t>RECONSTRUÇÃO DE BASE E SUB-BASE PARA PAVIMENTAÇÃO DE SOLO DE COMPORTAMENTO LATERÍTICO (ARENOSO), COM ESPESSURA DE 20 CM - EXCLUSIVE ESCAVAÇÃO, CARGA E TRANSPORTE E SOLO. AF_09/2024</t>
  </si>
  <si>
    <t>CONSTRUÇÃO DE BASE E SUB-BASE PARA PAVIMENTAÇÃO DE SOLO (PREDOMINANTEMENTE ARENOSO) MELHORADO COM CIMENTO - 2%, MISTURA EM PISTA, COM ESPESSURA DE 10 CM - EXCLUSIVE ESCAVAÇÃO, CARGA E TRANSPORTE E SOLO. AF_09/2024</t>
  </si>
  <si>
    <t>RECONSTRUÇÃO DE BASE E SUB-BASE PARA PAVIMENTAÇÃO DE SOLO (PREDOMINANTEMENTE ARENOSO) MELHORADO COM CIMENTO - 2%, MISTURA EM PISTA, COM ESPESSURA DE 10 CM - EXCLUSIVE ESCAVAÇÃO, CARGA E TRANSPORTE E SOLO. AF_09/2024</t>
  </si>
  <si>
    <t>RECONSTRUÇÃO DE BASE E SUB-BASE PARA PAVIMENTAÇÃO DE SOLO (PREDOMINANTEMENTE ARENOSO) MELHORADO COM CIMENTO - 4%, MISTURA EM PISTA, COM ESPESSURA DE 10 CM - EXCLUSIVE ESCAVAÇÃO, CARGA E TRANSPORTE E SOLO. AF_09/2024</t>
  </si>
  <si>
    <t>RECONSTRUÇÃO DE BASE E SUB-BASE PARA PAVIMENTAÇÃO DE SOLO (PREDOMINANTEMENTE ARENOSO) MELHORADO COM CIMENTO - 2%, MISTURA EM PISTA, COM ESPESSURA DE 15 CM - EXCLUSIVE ESCAVAÇÃO, CARGA E TRANSPORTE E SOLO. AF_09/2024</t>
  </si>
  <si>
    <t>CONSTRUÇÃO DE BASE E SUB-BASE PARA PAVIMENTAÇÃO DE SOLO (PREDOMINANTEMENTE ARENOSO) MELHORADO COM CIMENTO - 2%, MISTURA EM PISTA, COM ESPESSURA DE 20 CM - EXCLUSIVE ESCAVAÇÃO, CARGA E TRANSPORTE E SOLO. AF_09/2024</t>
  </si>
  <si>
    <t>RECONSTRUÇÃO DE BASE E SUB-BASE PARA PAVIMENTAÇÃO DE SOLO (PREDOMINANTEMENTE ARENOSO) MELHORADO COM CIMENTO - 2%, MISTURA EM PISTA, COM ESPESSURA DE 20 CM - EXCLUSIVE ESCAVAÇÃO, CARGA E TRANSPORTE E SOLO. AF_09/2024</t>
  </si>
  <si>
    <t>RECONSTRUÇÃO DE BASE E SUB-BASE PARA PAVIMENTAÇÃO DE SOLO (PREDOMINANTEMENTE ARENOSO) BRITA - 40%-60%, MISTURA EM PISTA, COM ESPESSURA DE 10 CM - EXCLUSIVE ESCAVAÇÃO, CARGA E TRANSPORTE E SOLO. AF_09/2024</t>
  </si>
  <si>
    <t>RECONSTRUÇÃO DE BASE E SUB-BASE PARA PAVIMENTAÇÃO DE SOLO (PREDOMINANTEMENTE ARENOSO) BRITA - 40%-60%, MISTURA EM PISTA, COM ESPESSURA DE 15 CM - EXCLUSIVE ESCAVAÇÃO, CARGA E TRANSPORTE E SOLO. AF_09/2024</t>
  </si>
  <si>
    <t>RECONSTRUÇÃO DE BASE E SUB-BASE PARA PAVIMENTAÇÃO DE SOLO (PREDOMINANTEMENTE ARENOSO) BRITA - 50%-50%, MISTURA EM PISTA, COM ESPESSURA DE 10 CM - EXCLUSIVE ESCAVAÇÃO, CARGA E TRANSPORTE E SOLO. AF_09/2024</t>
  </si>
  <si>
    <t>RECONSTRUÇÃO DE BASE E SUB-BASE PARA PAVIMENTAÇÃO DE SOLO (PREDOMINANTEMENTE ARENOSO) BRITA - 50%-50%, MISTURA EM PISTA, COM ESPESSURA DE 15 CM - EXCLUSIVE ESCAVAÇÃO, CARGA E TRANSPORTE E SOLO. AF_09/2024</t>
  </si>
  <si>
    <t>CONSTRUÇÃO DE BASE E SUB-BASE PARA PAVIMENTAÇÃO DE SOLO (PREDOMINANTEMENTE ARENOSO) BRITA - 50%-50%, MISTURA EM PISTA, COM ESPESSURA DE 20 CM - EXCLUSIVE ESCAVAÇÃO, CARGA E TRANSPORTE E SOLO. AF_09/2024</t>
  </si>
  <si>
    <t>RECONSTRUÇÃO DE BASE E SUB-BASE PARA PAVIMENTAÇÃO DE SOLO (PREDOMINANTEMENTE ARENOSO) BRITA - 50%-50%, MISTURA EM PISTA, COM ESPESSURA DE 20 CM - EXCLUSIVE ESCAVAÇÃO, CARGA E TRANSPORTE E SOLO. AF_09/2024</t>
  </si>
  <si>
    <t>CONSTRUÇÃO DE BASE E SUB-BASE PARA PAVIMENTAÇÃO DE SOLO (PREDOMINANTEMENTE ARGILOSO) BRITA - 40%-60%, MISTURA EM PISTA, COM ESPESSURA DE 10 CM - EXCLUSIVE ESCAVAÇÃO, CARGA E TRANSPORTE E SOLO. AF_09/2024</t>
  </si>
  <si>
    <t>RECONSTRUÇÃO DE BASE E SUB-BASE PARA PAVIMENTAÇÃO DE SOLO (PREDOMINANTEMENTE ARGILOSO) BRITA - 40%-60%, MISTURA EM PISTA, COM ESPESSURA DE 10 CM - EXCLUSIVE ESCAVAÇÃO, CARGA E TRANSPORTE E SOLO. AF_09/2024</t>
  </si>
  <si>
    <t>RECONSTRUÇÃO DE BASE E SUB-BASE PARA PAVIMENTAÇÃO DE SOLO (PREDOMINANTEMENTE ARGILOSO) BRITA - 40%-60%, MISTURA EM PISTA, COM ESPESSURA DE 15 CM - EXCLUSIVE ESCAVAÇÃO, CARGA E TRANSPORTE E SOLO. AF_09/2024</t>
  </si>
  <si>
    <t>CONSTRUÇÃO DE BASE E SUB-BASE PARA PAVIMENTAÇÃO DE SOLO (PREDOMINANTEMENTE ARGILOSO) BRITA - 40%-60%, MISTURA EM PISTA, COM ESPESSURA DE 20 CM - EXCLUSIVE ESCAVAÇÃO, CARGA E TRANSPORTE E SOLO. AF_09/2024</t>
  </si>
  <si>
    <t>RECONSTRUÇÃO DE BASE E SUB-BASE PARA PAVIMENTAÇÃO DE SOLO (PREDOMINANTEMENTE ARGILOSO) BRITA - 40%-60%, MISTURA EM PISTA, COM ESPESSURA DE 20 CM - EXCLUSIVE ESCAVAÇÃO, CARGA E TRANSPORTE E SOLO. AF_09/2024</t>
  </si>
  <si>
    <t>CONSTRUÇÃO DE BASE E SUB-BASE PARA PAVIMENTAÇÃO DE SOLO (PREDOMINANTEMENTE ARGILOSO) BRITA - 50%-50%, MISTURA EM PISTA, COM ESPESSURA DE 10 CM - EXCLUSIVE ESCAVAÇÃO, CARGA E TRANSPORTE E SOLO. AF_09/2024</t>
  </si>
  <si>
    <t>RECONSTRUÇÃO DE BASE E SUB-BASE PARA PAVIMENTAÇÃO DE SOLO (PREDOMINANTEMENTE ARGILOSO) BRITA - 50%-50%, MISTURA EM PISTA, COM ESPESSURA DE 10 CM - EXCLUSIVE ESCAVAÇÃO, CARGA E TRANSPORTE E SOLO. AF_09/2024</t>
  </si>
  <si>
    <t>RECONSTRUÇÃO DE BASE E SUB-BASE PARA PAVIMENTAÇÃO DE SOLO (PREDOMINANTEMENTE ARGILOSO) BRITA - 50%-50%, MISTURA EM PISTA, COM ESPESSURA DE 15 CM - EXCLUSIVE ESCAVAÇÃO, CARGA E TRANSPORTE E SOLO. AF_09/2024</t>
  </si>
  <si>
    <t>CONSTRUÇÃO DE BASE E SUB-BASE PARA PAVIMENTAÇÃO DE SOLO (PREDOMINANTEMENTE ARGILOSO) BRITA - 50%-50%, MISTURA EM PISTA, COM ESPESSURA DE 20 CM - EXCLUSIVE ESCAVAÇÃO, CARGA E TRANSPORTE E SOLO. AF_09/2024</t>
  </si>
  <si>
    <t>RECONSTRUÇÃO DE BASE E SUB-BASE PARA PAVIMENTAÇÃO DE SOLO (PREDOMINANTEMENTE ARGILOSO) BRITA - 50%-50%, MISTURA EM PISTA, COM ESPESSURA DE 20 CM - EXCLUSIVE ESCAVAÇÃO, CARGA E TRANSPORTE E SOLO. AF_09/2024</t>
  </si>
  <si>
    <t>CONSTRUÇÃO DE BASE E SUB-BASE PARA PAVIMENTAÇÃO DE SOLO (PREDOMINANTEMENTE ARENOSO) MELHORADO COM CIMENTO - 4%, MISTURA EM PISTA, COM ESPESSURA DE 10 CM - EXCLUSIVE ESCAVAÇÃO, CARGA E TRANSPORTE E SOLO. AF_09/2024</t>
  </si>
  <si>
    <t>CONSTRUÇÃO DE BASE E SUB-BASE PARA PAVIMENTAÇÃO DE SOLO (PREDOMINANTEMENTE ARENOSO) COM CIMENTO - 6%, MISTURA EM PISTA, COM ESPESSURA DE 10 CM - EXCLUSIVE ESCAVAÇÃO, CARGA E TRANSPORTE E SOLO. AF_09/2024</t>
  </si>
  <si>
    <t>CONSTRUÇÃO DE BASE E SUB-BASE PARA PAVIMENTAÇÃO DE SOLO (PREDOMINANTEMENTE ARENOSO) COM CIMENTO - 8%, MISTURA EM PISTA, COM ESPESSURA DE 10 CM - EXCLUSIVE ESCAVAÇÃO, CARGA E TRANSPORTE E SOLO. AF_09/2024</t>
  </si>
  <si>
    <t>RECONSTRUÇÃO DE BASE E SUB-BASE PARA PAVIMENTAÇÃO DE SOLO (PREDOMINANTEMENTE ARENOSO) COM CIMENTO - 6%, MISTURA EM PISTA, COM ESPESSURA DE 10 CM - EXCLUSIVE ESCAVAÇÃO, CARGA E TRANSPORTE E SOLO. AF_09/2024</t>
  </si>
  <si>
    <t>RECONSTRUÇÃO DE BASE E SUB-BASE PARA PAVIMENTAÇÃO DE SOLO (PREDOMINANTEMENTE ARENOSO) COM CIMENTO - 8%, MISTURA EM PISTA, COM ESPESSURA DE 10 CM - EXCLUSIVE ESCAVAÇÃO, CARGA E TRANSPORTE E SOLO. AF_09/2024</t>
  </si>
  <si>
    <t>RECONSTRUÇÃO DE BASE E SUB-BASE PARA PAVIMENTAÇÃO DE SOLO (PREDOMINANTEMENTE ARENOSO) MELHORADO COM CIMENTO - 4%, MISTURA EM PISTA, COM ESPESSURA DE 15 CM - EXCLUSIVE ESCAVAÇÃO, CARGA E TRANSPORTE E SOLO. AF_09/2024</t>
  </si>
  <si>
    <t>RECONSTRUÇÃO DE BASE E SUB-BASE PARA PAVIMENTAÇÃO DE SOLO (PREDOMINANTEMENTE ARENOSO) COM CIMENTO - 6%, MISTURA EM PISTA, COM ESPESSURA DE 15 CM - EXCLUSIVE ESCAVAÇÃO, CARGA E TRANSPORTE E SOLO. AF_09/2024</t>
  </si>
  <si>
    <t>RECONSTRUÇÃO DE BASE E SUB-BASE PARA PAVIMENTAÇÃO DE SOLO (PREDOMINANTEMENTE ARENOSO) COM CIMENTO - 8%, MISTURA EM PISTA, COM ESPESSURA DE 15 CM - EXCLUSIVE ESCAVAÇÃO, CARGA E TRANSPORTE E SOLO. AF_09/2024</t>
  </si>
  <si>
    <t>CONSTRUÇÃO DE BASE E SUB-BASE PARA PAVIMENTAÇÃO DE SOLO (PREDOMINANTEMENTE ARENOSO) MELHORADO COM CIMENTO - 4%, MISTURA EM PISTA, COM ESPESSURA DE 20 CM - EXCLUSIVE ESCAVAÇÃO, CARGA E TRANSPORTE E SOLO. AF_09/2024</t>
  </si>
  <si>
    <t>CONSTRUÇÃO DE BASE E SUB-BASE PARA PAVIMENTAÇÃO DE SOLO (PREDOMINANTEMENTE ARENOSO) COM CIMENTO - 6%, MISTURA EM PISTA, COM ESPESSURA DE 20 CM - EXCLUSIVE ESCAVAÇÃO, CARGA E TRANSPORTE E SOLO. AF_09/2024</t>
  </si>
  <si>
    <t>CONSTRUÇÃO DE BASE E SUB-BASE PARA PAVIMENTAÇÃO DE SOLO (PREDOMINANTEMENTE ARENOSO) COM CIMENTO - 8%, MISTURA EM PISTA, COM ESPESSURA DE 20 CM - EXCLUSIVE ESCAVAÇÃO, CARGA E TRANSPORTE E SOLO. AF_09/2024</t>
  </si>
  <si>
    <t>RECONSTRUÇÃO DE BASE E SUB-BASE PARA PAVIMENTAÇÃO DE SOLO (PREDOMINANTEMENTE ARENOSO) MELHORADO COM CIMENTO - 4%, MISTURA EM PISTA, COM ESPESSURA DE 20 CM - EXCLUSIVE ESCAVAÇÃO, CARGA E TRANSPORTE E SOLO. AF_09/2024</t>
  </si>
  <si>
    <t>RECONSTRUÇÃO DE BASE E SUB-BASE PARA PAVIMENTAÇÃO DE SOLO (PREDOMINANTEMENTE ARENOSO) COM CIMENTO - 6%, MISTURA EM PISTA, COM ESPESSURA DE 20 CM - EXCLUSIVE ESCAVAÇÃO, CARGA E TRANSPORTE E SOLO. AF_09/2024</t>
  </si>
  <si>
    <t>RECONSTRUÇÃO DE BASE E SUB-BASE PARA PAVIMENTAÇÃO DE SOLO (PREDOMINANTEMENTE ARENOSO) COM CIMENTO - 8%, MISTURA EM PISTA, COM ESPESSURA DE 20 CM - EXCLUSIVE ESCAVAÇÃO, CARGA E TRANSPORTE E SOLO. AF_09/2024</t>
  </si>
  <si>
    <t>CONSTRUÇÃO DE BASE E SUB-BASE PARA PAVIMENTAÇÃO DE SOLO (PREDOMINANTEMENTE ARENOSO) BRITA - 40%-60% COM CIMENTO - 4%, MISTURA EM PISTA, COM ESPESSURA DE 10 CM - EXCLUSIVE ESCAVAÇÃO, CARGA E TRANSPORTE E SOLO. AF_09/2024</t>
  </si>
  <si>
    <t>CONSTRUÇÃO DE BASE E SUB-BASE PARA PAVIMENTAÇÃO DE SOLO (PREDOMINANTEMENTE ARENOSO) BRITA - 40%-60% COM CIMENTO - 6%, MISTURA EM PISTA, COM ESPESSURA DE 10 CM - EXCLUSIVE ESCAVAÇÃO, CARGA E TRANSPORTE E SOLO. AF_09/2024</t>
  </si>
  <si>
    <t>CONSTRUÇÃO DE BASE E SUB-BASE PARA PAVIMENTAÇÃO DE SOLO (PREDOMINANTEMENTE ARENOSO) BRITA - 40%-60% COM CIMENTO - 8%, MISTURA EM PISTA, COM ESPESSURA DE 10 CM - EXCLUSIVE ESCAVAÇÃO, CARGA E TRANSPORTE E SOLO. AF_09/2024</t>
  </si>
  <si>
    <t>RECONSTRUÇÃO DE BASE E SUB-BASE PARA PAVIMENTAÇÃO DE SOLO (PREDOMINANTEMENTE ARENOSO) BRITA - 40%-60% COM CIMENTO - 4%, MISTURA EM PISTA, COM ESPESSURA DE 10 CM - EXCLUSIVE ESCAVAÇÃO, CARGA E TRANSPORTE E SOLO. AF_09/2024</t>
  </si>
  <si>
    <t>RECONSTRUÇÃO DE BASE E SUB-BASE PARA PAVIMENTAÇÃO DE SOLO (PREDOMINANTEMENTE ARENOSO) BRITA - 40%-60% COM CIMENTO - 6%, MISTURA EM PISTA, COM ESPESSURA DE 10 CM - EXCLUSIVE ESCAVAÇÃO, CARGA E TRANSPORTE E SOLO. AF_09/2024</t>
  </si>
  <si>
    <t>RECONSTRUÇÃO DE BASE E SUB-BASE PARA PAVIMENTAÇÃO DE SOLO (PREDOMINANTEMENTE ARENOSO) BRITA - 40%-60% COM CIMENTO - 8%, MISTURA EM PISTA, COM ESPESSURA DE 10 CM - EXCLUSIVE ESCAVAÇÃO, CARGA E TRANSPORTE E SOLO. AF_09/2024</t>
  </si>
  <si>
    <t>RECONSTRUÇÃO DE BASE E SUB-BASE PARA PAVIMENTAÇÃO DE SOLO (PREDOMINANTEMENTE ARENOSO) BRITA - 40%-60% COM CIMENTO - 4%, MISTURA EM PISTA, COM ESPESSURA DE 15 CM - EXCLUSIVE ESCAVAÇÃO, CARGA E TRANSPORTE E SOLO. AF_09/2024</t>
  </si>
  <si>
    <t>RECONSTRUÇÃO DE BASE E SUB-BASE PARA PAVIMENTAÇÃO DE SOLO (PREDOMINANTEMENTE ARENOSO) BRITA - 40%-60% COM CIMENTO - 6%, MISTURA EM PISTA, COM ESPESSURA DE 15 CM - EXCLUSIVE ESCAVAÇÃO, CARGA E TRANSPORTE E SOLO. AF_09/2024</t>
  </si>
  <si>
    <t>RECONSTRUÇÃO DE BASE E SUB-BASE PARA PAVIMENTAÇÃO DE SOLO (PREDOMINANTEMENTE ARENOSO) BRITA - 40%-60% COM CIMENTO - 8%, MISTURA EM PISTA, COM ESPESSURA DE 15 CM - EXCLUSIVE ESCAVAÇÃO, CARGA E TRANSPORTE E SOLO. AF_09/2024</t>
  </si>
  <si>
    <t>CONSTRUÇÃO DE BASE E SUB-BASE PARA PAVIMENTAÇÃO DE SOLO (PREDOMINANTEMENTE ARENOSO) BRITA - 40%-60% COM CIMENTO - 4%, MISTURA EM PISTA, COM ESPESSURA DE 20 CM - EXCLUSIVE ESCAVAÇÃO, CARGA E TRANSPORTE E SOLO. AF_09/2024</t>
  </si>
  <si>
    <t>CONSTRUÇÃO DE BASE E SUB-BASE PARA PAVIMENTAÇÃO DE SOLO (PREDOMINANTEMENTE ARENOSO) BRITA - 40%-60% COM CIMENTO - 6%, MISTURA EM PISTA, COM ESPESSURA DE 20 CM - EXCLUSIVE ESCAVAÇÃO, CARGA E TRANSPORTE E SOLO. AF_09/2024</t>
  </si>
  <si>
    <t>CONSTRUÇÃO DE BASE E SUB-BASE PARA PAVIMENTAÇÃO DE SOLO (PREDOMINANTEMENTE ARENOSO) BRITA - 40%-60% COM CIMENTO - 8%, MISTURA EM PISTA, COM ESPESSURA DE 20 CM - EXCLUSIVE ESCAVAÇÃO, CARGA E TRANSPORTE E SOLO. AF_09/2024</t>
  </si>
  <si>
    <t>RECONSTRUÇÃO DE BASE E SUB-BASE PARA PAVIMENTAÇÃO DE SOLO (PREDOMINANTEMENTE ARENOSO) BRITA - 40%-60% COM CIMENTO - 4%, MISTURA EM PISTA, COM ESPESSURA DE 20 CM - EXCLUSIVE ESCAVAÇÃO, CARGA E TRANSPORTE E SOLO. AF_09/2024</t>
  </si>
  <si>
    <t>RECONSTRUÇÃO DE BASE E SUB-BASE PARA PAVIMENTAÇÃO DE SOLO (PREDOMINANTEMENTE ARENOSO) BRITA - 40%-60% COM CIMENTO - 6%, MISTURA EM PISTA, COM ESPESSURA DE 20 CM - EXCLUSIVE ESCAVAÇÃO, CARGA E TRANSPORTE E SOLO. AF_09/2024</t>
  </si>
  <si>
    <t>RECONSTRUÇÃO DE BASE E SUB-BASE PARA PAVIMENTAÇÃO DE SOLO (PREDOMINANTEMENTE ARENOSO) BRITA - 40%-60% COM CIMENTO - 8%, MISTURA EM PISTA, COM ESPESSURA DE 20 CM - EXCLUSIVE ESCAVAÇÃO, CARGA E TRANSPORTE E SOLO. AF_09/2024</t>
  </si>
  <si>
    <t>CONSTRUÇÃO DE BASE E SUB-BASE PARA PAVIMENTAÇÃO DE SOLO (PREDOMINANTEMENTE ARENOSO) BRITA - 50%-50% COM CIMENTO - 4%, MISTURA EM PISTA, COM ESPESSURA DE 10 CM - EXCLUSIVE ESCAVAÇÃO, CARGA E TRANSPORTE E SOLO. AF_09/2024</t>
  </si>
  <si>
    <t>CONSTRUÇÃO DE BASE E SUB-BASE PARA PAVIMENTAÇÃO DE SOLO (PREDOMINANTEMENTE ARENOSO) BRITA - 50%-50% COM CIMENTO - 6%, MISTURA EM PISTA, COM ESPESSURA DE 10 CM - EXCLUSIVE ESCAVAÇÃO, CARGA E TRANSPORTE E SOLO. AF_09/2024</t>
  </si>
  <si>
    <t>CONSTRUÇÃO DE BASE E SUB-BASE PARA PAVIMENTAÇÃO DE SOLO (PREDOMINANTEMENTE ARENOSO) BRITA - 50%-50% COM CIMENTO - 8%, MISTURA EM PISTA, COM ESPESSURA DE 10 CM - EXCLUSIVE ESCAVAÇÃO, CARGA E TRANSPORTE E SOLO. AF_09/2024</t>
  </si>
  <si>
    <t>RECONSTRUÇÃO DE BASE E SUB-BASE PARA PAVIMENTAÇÃO DE SOLO (PREDOMINANTEMENTE ARENOSO) BRITA - 50%-50% COM CIMENTO - 4%, MISTURA EM PISTA, COM ESPESSURA DE 10 CM - EXCLUSIVE ESCAVAÇÃO, CARGA E TRANSPORTE E SOLO. AF_09/2024</t>
  </si>
  <si>
    <t>RECONSTRUÇÃO DE BASE E SUB-BASE PARA PAVIMENTAÇÃO DE SOLO (PREDOMINANTEMENTE ARENOSO) BRITA - 50%-50% COM CIMENTO - 6%, MISTURA EM PISTA, COM ESPESSURA DE 10 CM - EXCLUSIVE ESCAVAÇÃO, CARGA E TRANSPORTE E SOLO. AF_09/2024</t>
  </si>
  <si>
    <t>RECONSTRUÇÃO DE BASE E SUB-BASE PARA PAVIMENTAÇÃO DE SOLO (PREDOMINANTEMENTE ARENOSO) BRITA - 50%-50% COM CIMENTO - 8%, MISTURA EM PISTA, COM ESPESSURA DE 10 CM - EXCLUSIVE ESCAVAÇÃO, CARGA E TRANSPORTE E SOLO. AF_09/2024</t>
  </si>
  <si>
    <t>RECONSTRUÇÃO DE BASE E SUB-BASE PARA PAVIMENTAÇÃO DE SOLO (PREDOMINANTEMENTE ARENOSO) BRITA - 50%-50% COM CIMENTO - 4%, MISTURA EM PISTA, COM ESPESSURA DE 15 CM - EXCLUSIVE ESCAVAÇÃO, CARGA E TRANSPORTE E SOLO. AF_09/2024</t>
  </si>
  <si>
    <t>RECONSTRUÇÃO DE BASE E SUB-BASE PARA PAVIMENTAÇÃO DE SOLO (PREDOMINANTEMENTE ARENOSO) BRITA - 50%-50% COM CIMENTO - 6%, MISTURA EM PISTA, COM ESPESSURA DE 15 CM - EXCLUSIVE ESCAVAÇÃO, CARGA E TRANSPORTE E SOLO. AF_09/2024</t>
  </si>
  <si>
    <t>RECONSTRUÇÃO DE BASE E SUB-BASE PARA PAVIMENTAÇÃO DE SOLO (PREDOMINANTEMENTE ARENOSO) BRITA - 50%-50% COM CIMENTO - 8%, MISTURA EM PISTA, COM ESPESSURA DE 15 CM - EXCLUSIVE ESCAVAÇÃO, CARGA E TRANSPORTE E SOLO. AF_09/2024</t>
  </si>
  <si>
    <t>CONSTRUÇÃO DE BASE E SUB-BASE PARA PAVIMENTAÇÃO DE SOLO (PREDOMINANTEMENTE ARENOSO) BRITA - 50%-50% COM CIMENTO - 4%, MISTURA EM PISTA, COM ESPESSURA DE 20 CM - EXCLUSIVE ESCAVAÇÃO, CARGA E TRANSPORTE E SOLO. AF_09/2024</t>
  </si>
  <si>
    <t>CONSTRUÇÃO DE BASE E SUB-BASE PARA PAVIMENTAÇÃO DE SOLO (PREDOMINANTEMENTE ARENOSO) BRITA - 50%-50% COM CIMENTO - 6%, MISTURA EM PISTA, COM ESPESSURA DE 20 CM - EXCLUSIVE ESCAVAÇÃO, CARGA E TRANSPORTE E SOLO. AF_09/2024</t>
  </si>
  <si>
    <t>CONSTRUÇÃO DE BASE E SUB-BASE PARA PAVIMENTAÇÃO DE SOLO (PREDOMINANTEMENTE ARENOSO) BRITA - 50%-50% COM CIMENTO - 8%, MISTURA EM PISTA, COM ESPESSURA DE 20 CM - EXCLUSIVE ESCAVAÇÃO, CARGA E TRANSPORTE E SOLO. AF_09/2024</t>
  </si>
  <si>
    <t>RECONSTRUÇÃO DE BASE E SUB-BASE PARA PAVIMENTAÇÃO DE SOLO (PREDOMINANTEMENTE ARENOSO) BRITA - 50%-50% COM CIMENTO - 4%, MISTURA EM PISTA, COM ESPESSURA DE 20 CM - EXCLUSIVE ESCAVAÇÃO, CARGA E TRANSPORTE E SOLO. AF_09/2024</t>
  </si>
  <si>
    <t>RECONSTRUÇÃO DE BASE E SUB-BASE PARA PAVIMENTAÇÃO DE SOLO (PREDOMINANTEMENTE ARENOSO) BRITA - 50%-50% COM CIMENTO - 6%, MISTURA EM PISTA, COM ESPESSURA DE 20 CM - EXCLUSIVE ESCAVAÇÃO, CARGA E TRANSPORTE E SOLO. AF_09/2024</t>
  </si>
  <si>
    <t>RECONSTRUÇÃO DE BASE E SUB-BASE PARA PAVIMENTAÇÃO DE SOLO (PREDOMINANTEMENTE ARENOSO) BRITA - 50%-50% COM CIMENTO - 8%, MISTURA EM PISTA, COM ESPESSURA DE 20 CM - EXCLUSIVE ESCAVAÇÃO, CARGA E TRANSPORTE E SOLO. AF_09/2024</t>
  </si>
  <si>
    <t>CONSTRUÇÃO DE BASE E SUB-BASE PARA PAVIMENTAÇÃO DE SOLO (PREDOMINANTEMENTE ARENOSO) BRITA - 40%-60%, MISTURA EM PISTA, COM ESPESSURA DE 10 CM - EXCLUSIVE ESCAVAÇÃO, CARGA E TRANSPORTE E SOLO. AF_09/2024</t>
  </si>
  <si>
    <t>CONSTRUÇÃO DE BASE E SUB-BASE PARA PAVIMENTAÇÃO DE SOLO (PREDOMINANTEMENTE ARENOSO) BRITA - 40%-60%, MISTURA EM PISTA, COM ESPESSURA DE 20 CM - EXCLUSIVE ESCAVAÇÃO, CARGA E TRANSPORTE E SOLO. AF_09/2024</t>
  </si>
  <si>
    <t>RECONSTRUÇÃO DE BASE E SUB-BASE PARA PAVIMENTAÇÃO DE SOLO (PREDOMINANTEMENTE ARENOSO) BRITA - 40%-60%, MISTURA EM PISTA, COM ESPESSURA DE 20 CM - EXCLUSIVE ESCAVAÇÃO, CARGA E TRANSPORTE E SOLO. AF_09/2024</t>
  </si>
  <si>
    <t>CONSTRUÇÃO DE BASE E SUB-BASE PARA PAVIMENTAÇÃO DE SOLO (PREDOMINANTEMENTE ARENOSO) BRITA - 50%-50%, MISTURA EM PISTA, COM ESPESSURA DE 10 CM - EXCLUSIVE ESCAVAÇÃO, CARGA E TRANSPORTE E SOLO. AF_09/2024</t>
  </si>
  <si>
    <t>CONSTRUÇÃO DE BASE E SUB-BASE PARA PAVIMENTAÇÃO DE BRITA GRADUADA SIMPLES, COM ESPESSURA DE 10 CM - EXCLUSIVE CARGA E TRANSPORTE. AF_09/2024</t>
  </si>
  <si>
    <t>RECONSTRUÇÃO DE BASE E SUB-BASE PARA PAVIMENTAÇÃO DE BRITA GRADUADA SIMPLES, COM ESPESSURA DE 10 CM - EXCLUSIVE CARGA E TRANSPORTE. AF_09/2024</t>
  </si>
  <si>
    <t>RECONSTRUÇÃO DE BASE E SUB-BASE PARA PAVIMENTAÇÃO DE BRITA GRADUADA SIMPLES, COM ESPESSURA DE 15 CM - EXCLUSIVE CARGA E TRANSPORTE. AF_09/2024</t>
  </si>
  <si>
    <t>CONSTRUÇÃO DE BASE E SUB-BASE PARA PAVIMENTAÇÃO DE BRITA GRADUADA SIMPLES, COM ESPESSURA DE 20 CM - EXCLUSIVE CARGA E TRANSPORTE. AF_09/2024</t>
  </si>
  <si>
    <t>RECONSTRUÇÃO DE BASE E SUB-BASE PARA PAVIMENTAÇÃO DE BRITA GRADUADA SIMPLES, COM ESPESSURA DE 20 CM - EXCLUSIVE CARGA E TRANSPORTE. AF_09/2024</t>
  </si>
  <si>
    <t>CONSTRUÇÃO DE BASE E SUB-BASE PARA PAVIMENTAÇÃO DE BRITA GRADUADA SIMPLES TRATADA COM CIMENTO, COM ESPESSURA DE 10 CM - EXCLUSIVE CARGA E TRANSPORTE. AF_09/2024</t>
  </si>
  <si>
    <t>RECONSTRUÇÃO DE BASE E SUB-BASE PARA PAVIMENTAÇÃO DE BRITA GRADUADA SIMPLES TRATADA COM CIMENTO, COM ESPESSURA DE 10 CM - EXCLUSIVE CARGA E TRANSPORTE. AF_09/2024</t>
  </si>
  <si>
    <t>RECONSTRUÇÃO DE BASE E SUB-BASE PARA PAVIMENTAÇÃO DE BRITA GRADUADA SIMPLES TRATADA COM CIMENTO, COM ESPESSURA DE 15 CM - EXCLUSIVE CARGA E TRANSPORTE. AF_09/2024</t>
  </si>
  <si>
    <t>CONSTRUÇÃO DE BASE E SUB-BASE PARA PAVIMENTAÇÃO DE BRITA GRADUADA SIMPLES TRATADA COM CIMENTO, COM ESPESSURA DE 20 CM - EXCLUSIVE CARGA E TRANSPORTE. AF_09/2024</t>
  </si>
  <si>
    <t>RECONSTRUÇÃO DE BASE E SUB-BASE PARA PAVIMENTAÇÃO DE BRITA GRADUADA SIMPLES TRATADA COM CIMENTO, COM ESPESSURA DE 20 CM - EXCLUSIVE CARGA E TRANSPORTE. AF_09/2024</t>
  </si>
  <si>
    <t>CONSTRUÇÃO DE BASE E SUB-BASE PARA PAVIMENTAÇÃO DE CONCRETO COMPACTADO COM ROLO, COM ESPESSURA DE 10 CM - EXCLUSIVE CARGA E TRANSPORTE. AF_09/2024</t>
  </si>
  <si>
    <t>RECONSTRUÇÃO DE BASE E SUB-BASE PARA PAVIMENTAÇÃO DE CONCRETO COMPACTADO COM ROLO, COM ESPESSURA DE 10 CM - EXCLUSIVE CARGA E TRANSPORTE. AF_09/2024</t>
  </si>
  <si>
    <t>RECONSTRUÇÃO DE BASE E SUB-BASE PARA PAVIMENTAÇÃO DE CONCRETO COMPACTADO COM ROLO, COM ESPESSURA DE 15 CM - EXCLUSIVE CARGA E TRANSPORTE. AF_09/2024</t>
  </si>
  <si>
    <t>CONSTRUÇÃO DE BASE E SUB-BASE PARA PAVIMENTAÇÃO DE CONCRETO COMPACTADO COM ROLO, COM ESPESSURA DE 20 CM - EXCLUSIVE CARGA E TRANSPORTE. AF_09/2024</t>
  </si>
  <si>
    <t>RECONSTRUÇÃO DE BASE E SUB-BASE PARA PAVIMENTAÇÃO DE CONCRETO COMPACTADO COM ROLO, COM ESPESSURA DE 20 CM - EXCLUSIVE CARGA E TRANSPORTE. AF_09/2024</t>
  </si>
  <si>
    <t>CONSTRUÇÃO DE BASE E SUB-BASE PARA PAVIMENTAÇÃO DE RACHÃO, COM ESPESSURA DE 30 CM - EXCLUSIVE CARGA E TRANSPORTE. AF_09/2024</t>
  </si>
  <si>
    <t>RECONSTRUÇÃO DE BASE E SUB-BASE PARA PAVIMENTAÇÃO DE RACHÃO, COM ESPESSURA DE 30 CM - EXCLUSIVE CARGA E TRANSPORTE. AF_09/2024</t>
  </si>
  <si>
    <t>RECONSTRUÇÃO DE BASE E SUB-BASE PARA PAVIMENTAÇÃO DE RACHÃO, COM ESPESSURA DE 40 CM - EXCLUSIVE CARGA E TRANSPORTE. AF_09/2024</t>
  </si>
  <si>
    <t>CONSTRUÇÃO DE BASE E SUB-BASE PARA PAVIMENTAÇÃO DE RACHÃO, COM ESPESSURA DE 50 CM - EXCLUSIVE CARGA E TRANSPORTE. AF_09/2024</t>
  </si>
  <si>
    <t>RECONSTRUÇÃO DE BASE E SUB-BASE PARA PAVIMENTAÇÃO DE RACHÃO, COM ESPESSURA DE 50 CM - EXCLUSIVE CARGA E TRANSPORTE. AF_09/2024</t>
  </si>
  <si>
    <t>CONSTRUÇÃO DE BASE E SUB-BASE PARA PAVIMENTAÇÃO DE RACHÃO, COM ESPESSURA DE 60 CM - EXCLUSIVE CARGA E TRANSPORTE. AF_09/2024</t>
  </si>
  <si>
    <t>RECONSTRUÇÃO DE BASE E SUB-BASE PARA PAVIMENTAÇÃO DE RACHÃO, COM ESPESSURA DE 60 CM - EXCLUSIVE CARGA E TRANSPORTE. AF_09/2024</t>
  </si>
  <si>
    <t>CONSTRUÇÃO DE BASE E SUB-BASE PARA PAVIMENTAÇÃO DE MACADAME SECO, COM ESPESSURA DE 10 CM - EXCLUSIVE CARGA E TRANSPORTE. AF_09/2024</t>
  </si>
  <si>
    <t>RECONSTRUÇÃO DE BASE E SUB-BASE PARA PAVIMENTAÇÃO DE MACADAME SECO, COM ESPESSURA DE 10 CM - EXCLUSIVE CARGA E TRANSPORTE. AF_09/2024</t>
  </si>
  <si>
    <t>RECONSTRUÇÃO DE BASE E SUB-BASE PARA PAVIMENTAÇÃO DE MACADAME SECO, COM ESPESSURA DE 15 CM - EXCLUSIVE CARGA E TRANSPORTE. AF_09/2024</t>
  </si>
  <si>
    <t>CONSTRUÇÃO DE BASE E SUB-BASE PARA PAVIMENTAÇÃO DE MACADAME SECO, COM ESPESSURA DE 20 CM - EXCLUSIVE CARGA E TRANSPORTE. AF_09/2024</t>
  </si>
  <si>
    <t>RECONSTRUÇÃO DE BASE E SUB-BASE PARA PAVIMENTAÇÃO DE MACADAME SECO, COM ESPESSURA DE 20 CM - EXCLUSIVE CARGA E TRANSPORTE. AF_09/2024</t>
  </si>
  <si>
    <t>CONSTRUÇÃO DE BASE E SUB-BASE PARA PAVIMENTAÇÃO DE MACADAME SECO, COM ESPESSURA DE 25 CM - EXCLUSIVE CARGA E TRANSPORTE. AF_09/2024</t>
  </si>
  <si>
    <t>RECONSTRUÇÃO DE BASE E SUB-BASE PARA PAVIMENTAÇÃO DE MACADAME SECO, COM ESPESSURA DE 25 CM - EXCLUSIVE CARGA E TRANSPORTE. AF_09/2024</t>
  </si>
  <si>
    <t>REVESTIMENTO CERÂMICO PARA PAREDES EXTERNAS, COM PLACAS TIPO GRÊS OU SEMIGRÊS, FORMATO MENOR OU IGUAL A 200 CM2, ALINHADAS A PRUMO. AF_02/2023</t>
  </si>
  <si>
    <t>REVESTIMENTO CERÂMICO PARA PAREDES EXTERNAS, COM PLACAS TIPO GRÊS OU SEMIGRÊS, FORMATO MENOR OU IGUAL A 200 CM2, DISPOSTAS EM AMARRAÇÃO. AF_02/2023</t>
  </si>
  <si>
    <t>ESTUCAMENTO DE DENSIDADE BAIXA DE PANOS DE FACHADA DO SISTEMA DE PAREDES DE CONCRETO EM EDIFICAÇÕES DE MÚLTIPLOS PAVIMENTOS, PAVIMENTOS SUPERIORES, UTILIZAÇÃO DE ARGAMASSA COLANTE. AF_12/2024</t>
  </si>
  <si>
    <t>ESTUCAMENTO DE DENSIDADE BAIXA DE PANOS DE FACHADA DO SISTEMA DE PAREDES DE CONCRETO EM UNIDADES HABITACIONAIS DE PAVIMENTO ÚNICO, UTILIZAÇÃO DE ARGAMASSA COLANTE. AF_12/2024</t>
  </si>
  <si>
    <t>ESTUCAMENTO DE DENSIDADE BAIXA NAS FACES INTERNAS DE PAREDES DO SISTEMA DE PAREDES DE CONCRETO, EM AMBIENTES COM ÁREA ENTRE 5 M² E 10 M², UTILIZAÇÃO DE ARGAMASSA COLANTE. AF_12/2024</t>
  </si>
  <si>
    <t>ESTUCAMENTO PARA QUALQUER REVESTIMENTO, EM TETO DO SISTEMA DE PAREDES DE CONCRETO, EM AMBIENTES COM ÁREA ENTRE 5 M² E 10 M², UTILIZAÇÃO DE ARGAMASSA COLANTE. AF_12/2024</t>
  </si>
  <si>
    <t>ESTUCAMENTO DE DENSIDADE ALTA NAS FACES INTERNAS DE PAREDES DO SISTEMA DE PAREDES DE CONCRETO, EM AMBIENTES COM ÁREA ENTRE 5 M² E 10 M², UTILIZAÇÃO DE ARGAMASSA COLANTE. AF_12/2024</t>
  </si>
  <si>
    <t>ESTUCAMENTO PARA QUALQUER REVESTIMENTO, EM TETO DO SISTEMA DE PAREDES DE CONCRETO, EM AMBIENTES COM ÁREA MAIOR OU IGUAL A 10 M², UTILIZAÇÃO DE ARGAMASSA COLANTE. AF_12/2024</t>
  </si>
  <si>
    <t>ESTUCAMENTO PARA QUALQUER REVESTIMENTO, EM TETO DO SISTEMA DE PAREDES DE CONCRETO, EM AMBIENTES COM ÁREA MENOR OU IGUAL A 5 M², UTILIZAÇÃO DE ARGAMASSA COLANTE. AF_12/2024</t>
  </si>
  <si>
    <t>ESTUCAMENTO DE DENSIDADE ALTA NAS FACES INTERNAS DE PAREDES DO SISTEMA DE PAREDES DE CONCRETO, EM AMBIENTES COM ÁREA MAIOR OU IGUAL A 10 M², UTILIZAÇÃO DE ARGAMASSA COLANTE. AF_12/2024</t>
  </si>
  <si>
    <t>ESTUCAMENTO DE DENSIDADE ALTA NAS FACES INTERNAS DE PAREDES DO SISTEMA DE PAREDES DE CONCRETO, EM AMBIENTES COM ÁREA MENOR OU IGUAL A 5 M², UTILIZAÇÃO DE ARGAMASSA COLANTE. AF_12/2024</t>
  </si>
  <si>
    <t>ESTUCAMENTO DE DENSIDADE BAIXA NAS FACES INTERNAS DE PAREDES DO SISTEMA DE PAREDES DE CONCRETO, EM AMBIENTES COM ÁREA MAIOR OU IGUAL A 10 M², UTILIZAÇÃO DE ARGAMASSA COLANTE. AF_12/2024</t>
  </si>
  <si>
    <t>ESTUCAMENTO DE DENSIDADE BAIXA NAS FACES INTERNAS DE PAREDES DO SISTEMA DE PAREDES DE CONCRETO, EM AMBIENTES COM ÁREA MENOR OU IGUAL A 5 M², UTILIZAÇÃO DE ARGAMASSA COLANTE. AF_12/2024</t>
  </si>
  <si>
    <t>ESTUCAMENTO DE DENSIDADE BAIXA DE PANOS DE FACHADA DO SISTEMA DE PAREDES DE CONCRETO EM EDIFICAÇÕES DE MÚLTIPLOS PAVIMENTOS, PAVIMENTO TÉRREO, UTILIZAÇÃO DE ARGAMASSA COLANTE. AF_12/2024</t>
  </si>
  <si>
    <t>ESTUCAMENTO DE DENSIDADE BAIXA DE PANOS DE FACHADA DO SISTEMA DE PAREDES DE CONCRETO EM UNIDADES HABITACIONAIS DE DOIS PAVIMENTOS (SOBRADO), ACESSO COM ANDAIME FACHADEIRO, UTILIZAÇÃO DE ARGAMASSA COLANTE. AF_12/2024</t>
  </si>
  <si>
    <t>ESTUCAMENTO DE DENSIDADE ALTA DE PANOS DE FACHADA DO SISTEMA DE PAREDES DE CONCRETO EM EDIFICAÇÕES DE MÚLTIPLOS PAVIMENTOS, PAVIMENTOS SUPERIORES, UTILIZAÇÃO DE ARGAMASSA COLANTE. AF_12/2024</t>
  </si>
  <si>
    <t>ESTUCAMENTO DE DENSIDADE ALTA DE PANOS DE FACHADA DO SISTEMA DE PAREDES DE CONCRETO EM EDIFICAÇÕES DE MÚLTIPLOS PAVIMENTOS, PAVIMENTO TÉRREO, UTILIZAÇÃO DE ARGAMASSA COLANTE. AF_12/2024</t>
  </si>
  <si>
    <t>ESTUCAMENTO DE DENSIDADE ALTA DE PANOS DE FACHADA DO SISTEMA DE PAREDES DE CONCRETO EM UNIDADES HABITACIONAIS DE DOIS PAVIMENTOS (SOBRADO), ACESSO COM ANDAIME FACHADEIRO, UTILIZAÇÃO DE ARGAMASSA COLANTE. AF_12/2024</t>
  </si>
  <si>
    <t>ESTUCAMENTO DE DENSIDADE ALTA DE PANOS DE FACHADA DO SISTEMA DE PAREDES DE CONCRETO EM UNIDADES HABITACIONAIS DE PAVIMENTO ÚNICO, UTILIZAÇÃO DE ARGAMASSA COLANTE. AF_12/2024</t>
  </si>
  <si>
    <t>ESTUCAMENTO DE DENSIDADE ALTA NAS FACES INTERNAS DE PAREDES DO SISTEMA DE PAREDES DE CONCRETO, EM AMBIENTES COM ÁREA MAIOR OU IGUAL A 10 M², UTILIZAÇÃO DE ARGAMASSA POLIMÉRICA. AF_12/2024</t>
  </si>
  <si>
    <t>ESTUCAMENTO DE DENSIDADE ALTA NAS FACES INTERNAS DE PAREDES DO SISTEMA DE PAREDES DE CONCRETO, EM AMBIENTES COM ÁREA MAIOR OU IGUAL A 10 M², UTILIZAÇÃO DE ARGAMASSA TRAÇO 1:1:6 (CIM:CAL:AREIA). AF_12/2024</t>
  </si>
  <si>
    <t>ESTUCAMENTO DE DENSIDADE ALTA NAS FACES INTERNAS DE PAREDES DO SISTEMA DE PAREDES DE CONCRETO, EM AMBIENTES COM ÁREA ENTRE 5 M² E 10 M², UTILIZAÇÃO DE ARGAMASSA POLIMÉRICA. AF_12/2024</t>
  </si>
  <si>
    <t>ESTUCAMENTO DE DENSIDADE ALTA NAS FACES INTERNAS DE PAREDES DO SISTEMA DE PAREDES DE CONCRETO, EM AMBIENTES COM ÁREA ENTRE 5 M² E 10 M², UTILIZAÇÃO DE ARGAMASSA TRAÇO 1:1:6 (CIM:CAL:AREIA). AF_12/2024</t>
  </si>
  <si>
    <t>ESTUCAMENTO DE DENSIDADE ALTA NAS FACES INTERNAS DE PAREDES DO SISTEMA DE PAREDES DE CONCRETO, EM AMBIENTES COM ÁREA MENOR OU IGUAL A 5 M², UTILIZAÇÃO DE ARGAMASSA POLIMÉRICA. AF_12/2024</t>
  </si>
  <si>
    <t>ESTUCAMENTO DE DENSIDADE ALTA NAS FACES INTERNAS DE PAREDES DO SISTEMA DE PAREDES DE CONCRETO, EM AMBIENTES COM ÁREA MENOR OU IGUAL A 5 M², UTILIZAÇÃO DE ARGAMASSA TRAÇO 1:1:6 (CIM:CAL:AREIA). AF_12/2024</t>
  </si>
  <si>
    <t>ESTUCAMENTO DE DENSIDADE ALTA DE PANOS DE FACHADA DO SISTEMA DE PAREDES DE CONCRETO EM EDIFICAÇÕES DE MÚLTIPLOS PAVIMENTOS, PAVIMENTOS SUPERIORES, UTILIZAÇÃO DE ARGAMASSA POLIMÉRICA. AF_12/2024</t>
  </si>
  <si>
    <t>ESTUCAMENTO DE DENSIDADE ALTA DE PANOS DE FACHADA DO SISTEMA DE PAREDES DE CONCRETO EM EDIFICAÇÕES DE MÚLTIPLOS PAVIMENTOS, PAVIMENTOS SUPERIORES, UTILIZAÇÃO DE ARGAMASSA TRAÇO 1:0,5:4,5 (CIM:CAL:AREIA). AF_12/2024</t>
  </si>
  <si>
    <t>ESTUCAMENTO DE DENSIDADE ALTA DE PANOS DE FACHADA DO SISTEMA DE PAREDES DE CONCRETO EM EDIFICAÇÕES DE MÚLTIPLOS PAVIMENTOS, PAVIMENTO TÉRREO, UTILIZAÇÃO DE ARGAMASSA POLIMÉRICA. AF_12/2024</t>
  </si>
  <si>
    <t>ESTUCAMENTO DE DENSIDADE ALTA DE PANOS DE FACHADA DO SISTEMA DE PAREDES DE CONCRETO EM EDIFICAÇÕES DE MÚLTIPLOS PAVIMENTOS, PAVIMENTO TÉRREO, UTILIZAÇÃO DE ARGAMASSA TRAÇO 1:0,5:4,5 (CIM:CAL:AREIA). AF_12/2024</t>
  </si>
  <si>
    <t>ESTUCAMENTO DE DENSIDADE ALTA DE PANOS DE FACHADA DO SISTEMA DE PAREDES DE CONCRETO EM UNIDADES HABITACIONAIS DE DOIS PAVIMENTOS (SOBRADO), ACESSO COM ANDAIME FACHADEIRO, UTILIZAÇÃO DE ARGAMASSA POLIMÉRICA. AF_12/2024</t>
  </si>
  <si>
    <t>ESTUCAMENTO DE DENSIDADE ALTA DE PANOS DE FACHADA DO SISTEMA DE PAREDES DE CONCRETO EM UNIDADES HABITACIONAIS DE DOIS PAVIMENTOS (SOBRADO), ACESSO COM ANDAIME FACHADEIRO, UTILIZAÇÃO DE ARGAMASSA TRAÇO 1:0,5:4,5 (CIM:CAL:AREIA). AF_12/2024</t>
  </si>
  <si>
    <t>ESTUCAMENTO DE DENSIDADE ALTA DE PANOS DE FACHADA DO SISTEMA DE PAREDES DE CONCRETO EM UNIDADES HABITACIONAIS DE PAVIMENTO ÚNICO, UTILIZAÇÃO DE ARGAMASSA POLIMÉRICA. AF_12/2024</t>
  </si>
  <si>
    <t>ESTUCAMENTO DE DENSIDADE ALTA DE PANOS DE FACHADA DO SISTEMA DE PAREDES DE CONCRETO EM UNIDADES HABITACIONAIS DE PAVIMENTO ÚNICO, UTILIZAÇÃO DE ARGAMASSA TRAÇO 1:0,5:4,5 (CIM:CAL:AREIA). AF_12/2024</t>
  </si>
  <si>
    <t>PONTEIRAS DE PROTEÇÃO DE PONTAS E VERGALHÕES EXPOSTOS EM FUNDAÇÕES. AF_03/2024</t>
  </si>
  <si>
    <t>CERTIFICAÇÃO DE REDE LÓGICA - EXCEDENTE 50 PONTOS</t>
  </si>
  <si>
    <t>SEM DESONERAÇÃO</t>
  </si>
  <si>
    <t>VALOR</t>
  </si>
  <si>
    <t>2C 12 14 06 65 62</t>
  </si>
  <si>
    <t>Tê 90º PVC soldável de redução Ø 32 mm x Ø 25 mm</t>
  </si>
  <si>
    <t>un</t>
  </si>
  <si>
    <t>2C 10 18 00 63 12</t>
  </si>
  <si>
    <t>Curva 45º PVC PB soldável longa para esgoto Ø 40 mm</t>
  </si>
  <si>
    <t>2C 10 18 00 51 11</t>
  </si>
  <si>
    <t>Bucha PVC soldável de redução curta Ø de saída 60 mm, entrada Ø 75 mm</t>
  </si>
  <si>
    <t>2C 10 18 00 51 24</t>
  </si>
  <si>
    <t>Bucha PVC soldável de redução longa Ø 110 mm x Ø 60 mm</t>
  </si>
  <si>
    <t>Tê 90º PVC soldável de redução Ø 110 mm x Ø 60 mm</t>
  </si>
  <si>
    <t>2C 12 14 06 65 70</t>
  </si>
  <si>
    <t>CUSTO UNITÁRIO R$</t>
  </si>
  <si>
    <t>ELEMENTOS DE FUNDAÇÃO</t>
  </si>
  <si>
    <t>.</t>
  </si>
  <si>
    <t>ESCAVAÇÃO MECÂNICA D= 40 CM - P/ ESTACAS ESCAVADAS</t>
  </si>
  <si>
    <t>ESCAVAÇÃO MECÂNICA D= 80 CM - P/ ESTACAS ESCAVADAS</t>
  </si>
  <si>
    <t>CRAVAÇÃO DE ESTACAS MOLDADAS NO LOCAL TIPO STRAUSS D=25 CM (ATÉ 20 TON)</t>
  </si>
  <si>
    <t>CRAVAÇÃO DE ESTACAS MOLDADAS NO LOCAL TIPO STRAUSS D=32 CM (ATÉ 30 TON)</t>
  </si>
  <si>
    <t>CRAVAÇÃO DE ESTACAS MOLDADAS NO LOCAL TIPO STRAUSS D=38 CM (ATÉ 40 TON)</t>
  </si>
  <si>
    <t>CRAVAÇÃO DE ESTACAS MOLDADAS NO LOCAL TIPO STRAUSS D=45 CM (ATÉ 60 TON)</t>
  </si>
  <si>
    <t>ESCAVAÇÃO MECÂNICA D= 25 CM - P/ ESTACAS ESCAVADAS</t>
  </si>
  <si>
    <t>ESCAVAÇÃO MECÂNICA D= 30 CM - P/ ESTACAS ESCAVADAS</t>
  </si>
  <si>
    <t>ESCAVAÇÃO MECÂNICA D= 35 CM - P/ ESTACAS ESCAVADAS</t>
  </si>
  <si>
    <t>CORTE DE PERFIL DE AÇO I - 10"</t>
  </si>
  <si>
    <t>Un</t>
  </si>
  <si>
    <t>CORTE DE PERFIL DE ACO I - 12"</t>
  </si>
  <si>
    <t>CORTE DE PERFIL DE ACO I - 15"</t>
  </si>
  <si>
    <t>EMENDA DE TOPO DE PERFIL DE AÇO I - 10"</t>
  </si>
  <si>
    <t>EMENDA DE TOPO DE PERFIL DE AÇO I - 12"</t>
  </si>
  <si>
    <t>EMENDA DE TOPO DE PERFIL DE AÇO I - 15"</t>
  </si>
  <si>
    <t>EMENDA DE ESTACA DE CONCRETO PRÉ MOLDADA 17 CM - 20 T</t>
  </si>
  <si>
    <t>EMENDA DE ESTACA DE CONCRETO PRÉ MOLDADA 20 CM - 30 T</t>
  </si>
  <si>
    <t>EMENDA DE ESTACA DE CONCRETO PRÉ MOLDADA 23 CM - 40 T</t>
  </si>
  <si>
    <t>EMENDA DE ESTACA DE CONCRETO PRÉ MOLDADA 28 CM - 60 T</t>
  </si>
  <si>
    <t>EMENDA DE ESTACA DE CONCRETO PRÉ MOLDADA 33 CM - 70 T</t>
  </si>
  <si>
    <t>EXECUÇÃO DE ESTACA TIPO HÉLICE DN 25CM P/ ATÉ 25TF</t>
  </si>
  <si>
    <t>EXECUÇÃO DE ESTACA TIPO HÉLICE DN 30CM P/ ATÉ 35TF</t>
  </si>
  <si>
    <t>EXECUÇÃO DE ESTACA TIPO HÉLICE DN 35CM P/ ATÉ 50TF</t>
  </si>
  <si>
    <t>EXECUÇÃO DE ESTACA TIPO HÉLICE DN 40CM P/ ATÉ 60TF</t>
  </si>
  <si>
    <t>EXECUÇÃO DE ESTACA TIPO HÉLICE DN 50CM P/ ATÉ 100TF</t>
  </si>
  <si>
    <t>EXECUÇÃO DE ESTACA TIPO HÉLICE DN 60CM P/ ATÉ 150TF</t>
  </si>
  <si>
    <t>BENTONITA FF - ENSACADA</t>
  </si>
  <si>
    <t>Kg</t>
  </si>
  <si>
    <t>EXECUÇÃO DE ESTACAS RAIZ D=100MM PERFURADAS EM ROCHA - 10T (SEM FORNECIMENTO DE MATERIAIS) * VALOR P/ EXEC. EM CONDIÇÕES IDEAIS</t>
  </si>
  <si>
    <t>EXECUÇÃO DE ESTACAS RAIZ D=120MM PERFURADAS EM ROCHA - 15T (SEM FORNECIMENTO DE MATERIAIS) * VALOR P/ EXEC. EM CONDIÇÕES IDEAIS</t>
  </si>
  <si>
    <t>EXECUÇÃO DE ESTACAS RAIZ D=150MM PERFURADAS EM ROCHA - 25T (SEM FORNECIMENTO DE MATERIAIS) * VALOR P/ EXEC. EM CONDIÇÕES IDEAIS</t>
  </si>
  <si>
    <t>EXECUÇÃO DE ESTACAS RAIZ D=160MM PERFURADAS EM ROCHA - 35T (SEM FORNECIMENTO DE MATERIAIS) * VALOR P/ EXEC. EM CONDIÇÕES IDEAIS</t>
  </si>
  <si>
    <t>EXECUÇÃO DE ESTACAS RAIZ D=200MM PERFURADAS EM ROCHA - 50T (SEM FORNECIMENTO DE MATERIAIS) * VALOR P/ EXEC. EM CONDIÇÕES IDEAIS</t>
  </si>
  <si>
    <t>EXECUÇÃO DE ESTACAS RAIZ D=250MM PERFURADAS EM ROCHA - 80T (SEM FORNECIMENTO DE MATERIAIS) * VALOR P/ EXEC. EM CONDIÇÕES IDEAIS</t>
  </si>
  <si>
    <t>EXECUÇÃO DE ESTACAS RAIZ D=310MM PERFURADAS EM ROCHA - 100T (SEM FORNECIMENTO DE MATERIAIS) * VALOR P/ EXEC. EM CONDIÇÕES IDEAIS</t>
  </si>
  <si>
    <t>EXECUÇÃO DE ESTACAS RAIZ D=400MM PERFURADAS EM ROCHA - 130T (SEM FORNECIMENTO DE MATERIAIS) * VALOR P/ EXEC. EM CONDIÇÕES IDEAIS</t>
  </si>
  <si>
    <t>EXECUÇÃO DE ESTACAS RAIZ D=100MM PERFURADAS EM SOLO - 10T (SEM FORNECIMENTO DE MATERIAIS) * VALOR P/ EXEC. EM CONDIÇÕES IDEAIS</t>
  </si>
  <si>
    <t>EXECUÇÃO DE ESTACAS RAIZ D=120MM PERFURADAS EM SOLO - 15T (SEM FORNECIMENTO DE MATERIAIS) * VALOR P/ EXEC. EM CONDIÇÕES IDEAIS</t>
  </si>
  <si>
    <t>EXECUÇÃO DE ESTACAS RAIZ D=150MM PERFURADAS EM SOLO - 25T (SEM FORNECIMENTO DE MATERIAIS) * VALOR P/ EXEC. EM CONDIÇÕES IDEAIS</t>
  </si>
  <si>
    <t>EXECUÇÃO DE ESTACAS RAIZ D=160MM PERFURADAS EM SOLO - 35T (SEM FORNECIMENTO DE MATERIAIS) * VALOR P/ EXEC. EM CONDIÇÕES IDEAIS</t>
  </si>
  <si>
    <t>EXECUÇÃO DE ESTACAS RAIZ D=200MM PERFURADAS EM SOLO - 50T (SEM FORNECIMENTO DE MATERIAIS) * VALOR P/ EXEC. EM CONDIÇÕES IDEAIS</t>
  </si>
  <si>
    <t>EXECUÇÃO DE ESTACAS RAIZ D=250MM PERFURADAS EM SOLO - 80T (SEM FORNECIMENTO DE MATERIAIS) * VALOR P/ EXEC. EM CONDIÇÕES IDEAIS</t>
  </si>
  <si>
    <t>EXECUÇÃO DE ESTACAS RAIZ D=310MM PERFURADAS EM SOLO - 100T (SEM FORNECIMENTO DE MATERIAIS) * VALOR P/ EXEC. EM CONDIÇÕES IDEAIS</t>
  </si>
  <si>
    <t>EXECUÇÃO DE ESTACAS RAIZ D=400MM PERFURADAS EM SOLO - 130T (SEM FORNECIMENTO DE MATERIAIS) * VALOR P/ EXEC. EM CONDIÇÕES IDEAIS</t>
  </si>
  <si>
    <t>AGLOMERANTES, AGREGADOS E MISTURAS</t>
  </si>
  <si>
    <t>AREIA LAVADA</t>
  </si>
  <si>
    <t>AGREGADO RECICLADO (DIVERSAS GLANULOMETRIAS)</t>
  </si>
  <si>
    <t>AREIA LAVADA FINA</t>
  </si>
  <si>
    <t>AREIA LAVADA GROSSA</t>
  </si>
  <si>
    <t>ARGILA EXPANDIDA (A GRANEL)</t>
  </si>
  <si>
    <t>AREIA LAVADA MÉDIA</t>
  </si>
  <si>
    <t>CAL HIDRATADA - CH-III</t>
  </si>
  <si>
    <t>CAL HIDRATADA TIPO CH1 - A GRANEL (CARGA FECHADA)</t>
  </si>
  <si>
    <t>CAULIM COR BRANCA - PARA COLOCAÇÃO DE PASTILHA MALHA 325</t>
  </si>
  <si>
    <t>GESSO PARA REVESTIMENTO</t>
  </si>
  <si>
    <t>MATERIAL FRESADO</t>
  </si>
  <si>
    <t>CIMENTO BRANCO - ESTRUTURAL</t>
  </si>
  <si>
    <t>REJUNTE ANTI-ÁCIDO (ALUMINOSO)</t>
  </si>
  <si>
    <t>CIMENTO PORTLAND CPII-E/F-32</t>
  </si>
  <si>
    <t>CONCRETO USINADO, BRITA 1E2,SLUMP 5+OU-1cm / FCK= 10,0MPA</t>
  </si>
  <si>
    <t>CONCRETO USINADO, BRITA 1E2,SLUMP 8+OU-1cm / FCK= 10,0MPA - BOMBEÁVEL</t>
  </si>
  <si>
    <t>CONCRETO USINADO, BRITA 1E2,SLUMP 5+OU-1cm / FCK= 15,0MPA</t>
  </si>
  <si>
    <t>CONCRETO USINADO, BRITA 1E2,SLUMP 8+OU-1cm / FCK= 15,0MPA - BOMBEÁVEL</t>
  </si>
  <si>
    <t>CONCRETO USINADO, BRITA 1E2,SLUMP 5+OU-1cm / FCK= 20,0MPA</t>
  </si>
  <si>
    <t>CONCRETO USINADO, BRITA 1,SLUMP 8+OU-1cm / FCK= 20,0MPA - BOMBEÁVEL</t>
  </si>
  <si>
    <t>CONCRETO USINADO, BRITA 1E2,SLUMP 8+OU-1cm / FCK= 20,0MPA - BOMBEÁVEL</t>
  </si>
  <si>
    <t>CONCRETO USINADO, BRITA 1E2,SLUMP 5+OU-1cm / FCK= 25,0MPA</t>
  </si>
  <si>
    <t>CONCRETO USINADO, BRITA 1E2,SLUMP 8+OU-1cm / FCK= 25,0MPA - BOMBEÁVEL</t>
  </si>
  <si>
    <t>CONCRETO USINADO, BRITA 1E2,SLUMP 5+OU-1cm / FCK= 30,0MPA</t>
  </si>
  <si>
    <t>CONCRETO USINADO, BRITA 1E2,SLUMP 8+OU-1cm / FCK= 30,0MPA - BOMBEÁVEL</t>
  </si>
  <si>
    <t>CONCRETO USINADO, BRITA 1E2,SLUMP 5+OU-1cm / FCK= 35,0MPA</t>
  </si>
  <si>
    <t>CONCRETO USINADO, BRITA 1E2,SLUMP 8+OU-1cm / FCK= 35,0MPA - BOMBEÁVEL</t>
  </si>
  <si>
    <t>CONCRETO USINADO, BRITA 1E2,SLUMP 5+OU-1cm / FCK= 40,0MPA</t>
  </si>
  <si>
    <t>CONCRETO USINADO, BRITA 1E2,SLUMP 8+OU-1cm / FCK= 40,0MPA - BOMBEÁVEL</t>
  </si>
  <si>
    <t>CONCRETO USINADO, CONSUMO 120 KG CIMENTO/M3 - BRITA 1 E 2</t>
  </si>
  <si>
    <t>CONCRETO USINADO, CONSUMO 400 KG CIMENTO/M3 - BRITA 1 SLUMP 20 + OU- 2CM</t>
  </si>
  <si>
    <t>PEDRA BRITADA NÚMERO 1</t>
  </si>
  <si>
    <t>PEDRA BRITADA NÚMERO 2</t>
  </si>
  <si>
    <t>PEDRA BRITADA NÚMERO 3</t>
  </si>
  <si>
    <t>PEDRA BRITADA NÚMERO 4</t>
  </si>
  <si>
    <t>PEDRA RACHÃO D= 10 A 15 CM</t>
  </si>
  <si>
    <t>PEDRA BRITADA 1/2</t>
  </si>
  <si>
    <t>PEDRISCO LIMPO</t>
  </si>
  <si>
    <t>PÓ DE PEDRA</t>
  </si>
  <si>
    <t>PEDRA MARROADA</t>
  </si>
  <si>
    <t>PEDRA BICA CORRIDA</t>
  </si>
  <si>
    <t>PEDRA BRITADA NÚMERO 3 E 4</t>
  </si>
  <si>
    <t>BRITA GRADUADA TRATADA COM CIMENTO 4% EM PESO</t>
  </si>
  <si>
    <t>ARGAMASSA COLANTE - USO INTERNO - TIPO AC-I - COR CINZA</t>
  </si>
  <si>
    <t>ARGAMASSA PRÉ-FABRICADA PARA REBOCO</t>
  </si>
  <si>
    <t>ARGAMASSA EXPANSIVA P/ GRAUTEAMENTO</t>
  </si>
  <si>
    <t>FÍLER PARA CONCRETO ASFÁLTICO - MALHA 325 ENSACADO (MATERIAL DE ENCHIMENTO)</t>
  </si>
  <si>
    <t>ALVENARIA DE TIJOLOS COM ARGAMASSA DE CIMENTO E AREIA 1:3</t>
  </si>
  <si>
    <t>CONCRETO FCK=5MPA C/ AGREGADO RECICLADO</t>
  </si>
  <si>
    <t>CONCRETO FCK=5MPA C/ BRITA 2</t>
  </si>
  <si>
    <t>CONCRETO FCK=5MPA C/ BRITA 1 E 2</t>
  </si>
  <si>
    <t>CONCRETO FCK=10MPA C/ AGREGADO RECICLADO</t>
  </si>
  <si>
    <t>CONCRETO FCK=10MPA C/ BRITA 2</t>
  </si>
  <si>
    <t>CONCRETO FCK=10MPA C/ BRITA 1 E 2</t>
  </si>
  <si>
    <t>CONCRETO FCK=15MPA C/ AGREGADO RECICLADO</t>
  </si>
  <si>
    <t>CONCRETO FCK=15MPA C/ BRITA 1</t>
  </si>
  <si>
    <t>CONCRETO FCK=15MPA C/ BRITA 2</t>
  </si>
  <si>
    <t>CONCRETO FCK=15MPA C/ BRITA 1 E 2</t>
  </si>
  <si>
    <t>CONCRETO FCK=20MPA C/ AGREGADO RECICLADO</t>
  </si>
  <si>
    <t>CONCRETO FCK=20MPA C/ BRITA 1</t>
  </si>
  <si>
    <t>CONCRETO FCK=20MPA C/ BRITA 2</t>
  </si>
  <si>
    <t>CONCRETO FCK=20MPA C/ BRITA 1 E 2</t>
  </si>
  <si>
    <t>CONCRETO FCK=25MPA C/ AGREGADO RECICLADO</t>
  </si>
  <si>
    <t>CONCRETO FCK=25MPA C/ BRITA 1</t>
  </si>
  <si>
    <t>CONCRETO FCK=25MPA C/ BRITA 2</t>
  </si>
  <si>
    <t>CONCRETO FCK=25MPA C/ BRITA 1 E 2</t>
  </si>
  <si>
    <t>CONCRETO FCK=30MPA C/ BRITA 1</t>
  </si>
  <si>
    <t>CONCRETO FCK=30MPA C/ BRITA 2</t>
  </si>
  <si>
    <t>CONCRETO FCK=30MPA C/ BRITA 1 E 2</t>
  </si>
  <si>
    <t>CONCRETO FCK=35MPA C/ BRITA 1</t>
  </si>
  <si>
    <t>CONCRETO FCK=35MPA C/ BRITA 2</t>
  </si>
  <si>
    <t>CONCRETO FCK=35MPA C/ BRITA 1 E 2</t>
  </si>
  <si>
    <t>CONCRETO FCK=40MPA C/ BRITA 1</t>
  </si>
  <si>
    <t>CONCRETO FCK=40MPA C/ BRITA 2</t>
  </si>
  <si>
    <t>CONCRETO FCK=40MPA C/ BRITA 1 E 2</t>
  </si>
  <si>
    <t>CONCRETO "GROUT" C/ PEDRISCO</t>
  </si>
  <si>
    <t>ARGAMASSA DE CIMENTO COM AREIA MÉDIA 1:2</t>
  </si>
  <si>
    <t>ARGAMASSA DE CIMENTO COM AREIA MÉDIA 1:3</t>
  </si>
  <si>
    <t>ARGAMASSA DE CIMENTO COM AREIA GROSSA 1:3</t>
  </si>
  <si>
    <t>ARGAMASSA DE CIMENTO COM AREIA MÉDIA 1:4</t>
  </si>
  <si>
    <t>ARGAMASSA DE CIMENTO COM AREIA GROSSA 1:4</t>
  </si>
  <si>
    <t>ARGAMASSA DE CIMENTO COM AREIA MÉDIA 1:5</t>
  </si>
  <si>
    <t>ARGAMASSA DE CIMENTOCOM AREIA GROSSA 1:5</t>
  </si>
  <si>
    <t>ARGAMASSA DE CIMENTO COM AREIA MÉDIA 1:6</t>
  </si>
  <si>
    <t>ARGAMASSA DE CIMENTO COM AREIA GROSSA 1:6</t>
  </si>
  <si>
    <t>ARGAMASSA DE CIMENTO COM AREIA MÉDIA 1:7</t>
  </si>
  <si>
    <t>ARGAMASSA DE CIMENTO COM AREIA GROSSA 1:7</t>
  </si>
  <si>
    <t>ARGAMASSA DE CAL COM AREIA FINA 1:3</t>
  </si>
  <si>
    <t>ARGAMASSA DE CAL COM AREIA MÉDIA 1:3</t>
  </si>
  <si>
    <t>ARGAMASSA DE CAL COM AREIA FINA 1:4</t>
  </si>
  <si>
    <t>ARGAMASSA DE CAL COM AREIA MÉDIA 1:4</t>
  </si>
  <si>
    <t>ARGAMASSA MISTA COM AREIA GROSSA 1:0,25:3</t>
  </si>
  <si>
    <t>ARGAMASSA MISTA COM AREIA MÉDIA 1:0,5:5</t>
  </si>
  <si>
    <t>ARGAMASSA MISTA COM AREIA GROSSA 1:0,5:8</t>
  </si>
  <si>
    <t>ARGAMASSA MISTA COM AREIA GROSSA 1:1,5:6</t>
  </si>
  <si>
    <t>ARGAMASSA MISTA COM AREIA GROSSA 1:1:4</t>
  </si>
  <si>
    <t>ARGAMASSA MISTA COM AREIA GROSSA 1:2:8</t>
  </si>
  <si>
    <t>ARGAMASSA MISTA COM AREIA MÉDIA 1:2:9</t>
  </si>
  <si>
    <t>ADITIVOS</t>
  </si>
  <si>
    <t>AGENTE DE CURA PARA CONCRETO</t>
  </si>
  <si>
    <t>ADITIVO PARA ASFALTO TIPO BETUDOPE OU SIMILAR</t>
  </si>
  <si>
    <t>ADITIVO EXPANSOR PARA ENCUNHAMENTO E INJEÇÕES DE CIMENTO</t>
  </si>
  <si>
    <t>ADITIVO ACELERADOR DE PEGA PARA CONCRETO PROJETADO</t>
  </si>
  <si>
    <t>FIBRA DE POLIPROPILENO P/ CONCRETO DOSADO EM CENTRAL FILAMENTOS - TECNOLOGIA "CRACKSTOP"</t>
  </si>
  <si>
    <t>FIBRA DE CELULOSE PARA ASFALTO</t>
  </si>
  <si>
    <t>FORMAS/ESCORAMENTO/ANDAIMES (MADEIRA)</t>
  </si>
  <si>
    <t>DESMOLDANTE PARA FORMAS</t>
  </si>
  <si>
    <t>COMPENSADO PLASTIFICADO 10MM CHAPA DE 2,20 X 1,10 M</t>
  </si>
  <si>
    <t>COMPENSADO PLASTIFICADO 12MM CHAPA DE 2,20 X 1,10 M</t>
  </si>
  <si>
    <t>COMPENSADO PLASTIFICADO 14MM CHAPA DE 2,20 X 1,10 M</t>
  </si>
  <si>
    <t>COMPENSADO RESINADO  6 MM COLA BRANCA - CHAPA DE 2,20 X 1,10 M</t>
  </si>
  <si>
    <t>COMPENSADO RESINADO 10MM COLA BRANCA - CHAPA DE 2,20 X 1,10 M</t>
  </si>
  <si>
    <t>COMPENSADO RESINADO 12MM COLA BRANCA - CHAPA DE 2,20 X 1,10 M</t>
  </si>
  <si>
    <t>EUCALIPTO D=20 / 30 CM NA BASE - 6M - COM TRATAMENTO E SEM CASCA (CITRIODORA)</t>
  </si>
  <si>
    <t>PINUS - RIPA DE 1/2" X 3" - BRUTA</t>
  </si>
  <si>
    <t>PINUS - PONTALETE DE 3" X 3" - BRUTO</t>
  </si>
  <si>
    <t>TUBO CILÍNDRICO DE PAPELÃO C/ REV. EXT. IMPERMEAB. E INTERN. C/ PAPEL ESPECIAL NÃO ADERENTE AO CONCR.- DIÂM DE 350MM</t>
  </si>
  <si>
    <t>PEROBA DO NORTE (CUPIÚBA) - TÁBUA DE 3 X 16 CM - BRUTA</t>
  </si>
  <si>
    <t>PINUS - TÁBUA DE 1" X 6" - BRUTA</t>
  </si>
  <si>
    <t>PINUS - SARRAFO DE 1" X 2" - BRUTO</t>
  </si>
  <si>
    <t>PINUS - SARRAFO DE 1" X 4" - BRUTO</t>
  </si>
  <si>
    <t>PINUS - SARRAFO DE 1" X 3" - BRUTO</t>
  </si>
  <si>
    <t>PINUS - TÁBUA DE 1" X 12" - BRUTA</t>
  </si>
  <si>
    <t>ESCORAMENTO/ANDAIMES - ALUGUEL</t>
  </si>
  <si>
    <t>ESCORAMENTO CONTÍNUO</t>
  </si>
  <si>
    <t>LOCAÇÃO DE ANDAIME TUBULAR TIPO TORRE 1.50 X 1.50 M (ALTURA DE 1 METRO)</t>
  </si>
  <si>
    <t>M / Mês</t>
  </si>
  <si>
    <t>CHAPAS E ACESSÓRIOS PARA ESCORAMENTO (CHAPA GROSSA NAS ESPESSURAS 1/2", 1" E 1.1/2")</t>
  </si>
  <si>
    <t>TORRE METÁLICA ROHR ETEM T-28 (CIMBR.TUB.ENCAIX) PREÇO SEM FRETE</t>
  </si>
  <si>
    <t>Kg / Mês</t>
  </si>
  <si>
    <t>VIGA METÁLICA V-18 - LOCAÇÃO PREÇO SEM FRETE</t>
  </si>
  <si>
    <t>VIGA METALICA V-7,5 - LOCAÇÃO PREÇO SEM FRETE</t>
  </si>
  <si>
    <t>ARMADURAS PARA CONCRETO</t>
  </si>
  <si>
    <t>AÇO CA-25 - MÉDIA BITOLAS</t>
  </si>
  <si>
    <t>AÇO CA-25 -  6,3 MM - 1/4" - LISO</t>
  </si>
  <si>
    <t>AÇO CA-25 -  8,0 MM - 5/16" - LISO</t>
  </si>
  <si>
    <t>AÇO CA-25 - 10,0 MM - 3/8"- LISO</t>
  </si>
  <si>
    <t>AÇO CA-25 - 12,5 MM - 1/2" - LISO</t>
  </si>
  <si>
    <t>AÇO CA-25 - 16,0 MM - 5/8" - LISO</t>
  </si>
  <si>
    <t>AÇO CA-25 - 20,0 MM - 3/4" - LISO</t>
  </si>
  <si>
    <t>AÇO CA-25 - 25,0 MM - 1" - LISO</t>
  </si>
  <si>
    <t>AÇO CA-50A OU B - MÉDIA BITOLAS</t>
  </si>
  <si>
    <t>AÇO CA-50 -  6,3 MM - 1/4" - NERVURADO</t>
  </si>
  <si>
    <t>AÇO CA-50 -  8,0 MM - 5/16" - NERVURADO</t>
  </si>
  <si>
    <t>AÇO CA-50 - 10,0 MM - 3/8" - NERVURADO</t>
  </si>
  <si>
    <t>AÇO CA-50 - 12,5 MM - 1/2" - NERVURADO</t>
  </si>
  <si>
    <t>AÇO CA-50 - 16,0 MM - 5/8" - NERVURADO</t>
  </si>
  <si>
    <t>AÇO CA-50 - 20,0 MM - 3/4" - NERVURADO</t>
  </si>
  <si>
    <t>AÇO CA-50 - 25,0 MM - 1" - NERVURADO</t>
  </si>
  <si>
    <t>AÇO CA-60B - MÉDIA BITOLAS</t>
  </si>
  <si>
    <t>AÇO CA-60 - 4,2 MM</t>
  </si>
  <si>
    <t>AÇO CA-60 - 5,0 MM</t>
  </si>
  <si>
    <t>AÇO CA-60 - 6,0MM</t>
  </si>
  <si>
    <t>AÇO CA-60 - 8,0MM</t>
  </si>
  <si>
    <t>TELA SOLDADA NERVURADA Q- 61 (PAINEL - AÇO CA60 - MALHA 15 X 15 CM - FIO 3.4 MM)</t>
  </si>
  <si>
    <t>LAJES E PAINÉIS PRÉ-FABRICADOS</t>
  </si>
  <si>
    <t>LAJE MISTA TRELIÇADA PRÉ-FABRICADA H= 8CM - INTEREIXOS 45CM - 300KGF/CM2</t>
  </si>
  <si>
    <t>LAJE MISTA TRELIÇADA PRÉ-FABRICADA H=10CM - INTEREIXOS 45CM - 300KGF/CM2</t>
  </si>
  <si>
    <t>LAJE MISTA TRELIÇADA PRÉ-FABRICADA H=12CM - INTEREIXOS 45CM - 300KGF/CM2</t>
  </si>
  <si>
    <t>LAJE MISTA TRELIÇADA PRÉ-FABRICADA H=15CM - INTEREIXOS 45CM - 300KGF/CM2</t>
  </si>
  <si>
    <t>LAJE MISTA TRELIÇADA PRÉ-FABRICADA H=20CM - INTEREIXOS 45CM - 300KGF/CM2</t>
  </si>
  <si>
    <t>LAJE MISTA TRELIÇADA PRÉ-FABRICADA H=25CM - INTEREIXOS 45CM - 300KGF/CM2</t>
  </si>
  <si>
    <t>VEDOS (TIJOLOS E BLOCOS)</t>
  </si>
  <si>
    <t>BLOCO DE CONCRETO  CELULAR AUTOCLAVADO COM MEDIDAS DE 60X30X15 CM</t>
  </si>
  <si>
    <t>BLOCO DE CONCRETO  CELULAR AUTOCLAVADO COM MEDIDAS DE 60X30X20 CM</t>
  </si>
  <si>
    <t>BLOCO DE CONCRETO APARENTE - (09X19X39)CM</t>
  </si>
  <si>
    <t>BLOCO DE CONCRETO APARENTE - (14X19X39)CM</t>
  </si>
  <si>
    <t>BLOCO DE CONCRETO APARENTE - (19X19X39)CM</t>
  </si>
  <si>
    <t>BLOCO DE CONCRETO COMUM - (14X19X39)CM</t>
  </si>
  <si>
    <t>BLOCO DE CONCRETO COMUM - (19X19X39)CM</t>
  </si>
  <si>
    <t>BLOCO DE CONCRETO COMUM - (19X19X19)CM</t>
  </si>
  <si>
    <t>BLOCO VAZADO DE CONCRETO ESTRUTURAL 14CM (ATÉ 6 MPA)</t>
  </si>
  <si>
    <t>BLOCO VAZADO DE CONCRETO ESTRUTURAL 19CM (ATÉ 6 MPA)</t>
  </si>
  <si>
    <t>BLOCO CERÂMICO DE VEDAÇÃO - (14X19X39)CM</t>
  </si>
  <si>
    <t>BLOCO CERÂMICO DE VEDAÇÃO - (19X19X39)CM</t>
  </si>
  <si>
    <t>TIJOLO CERÂMICO FURADO - 9 FUROS - (11,5X14X24)CM</t>
  </si>
  <si>
    <t>TIJOLO CERÂMICO LAMINADO - (5,5X11X23)CM (MEDIDAS APROXIMADAS)</t>
  </si>
  <si>
    <t>TIJOLO DE VIDRO - CANELADO - 8X19X19CM</t>
  </si>
  <si>
    <t>TIJOLO DE VIDRO - VENTILAÇÃO - 20X10X10CM</t>
  </si>
  <si>
    <t>TIJOLO DE VIDRO - XADREZ - 19X19X8CM</t>
  </si>
  <si>
    <t>TIJOLO MAÇICO DE BARRO COMUM</t>
  </si>
  <si>
    <t>BLOCO DE CONCRETO ESTRUTURAL DE 14CM - RESISTÊNCIA  8MPA</t>
  </si>
  <si>
    <t>BLOCO DE CONCRETO ESTRUTURAL DE 14CM - RESISTÊNCIA 10MPA</t>
  </si>
  <si>
    <t>BLOCO DE CONCRETO ESTRUTURAL DE 14CM - RESISTÊNCIA 12MPA</t>
  </si>
  <si>
    <t>BLOCO DE CONCRETO ESTRUTURAL DE 14CM - RESISTÊNCIA 14MPA</t>
  </si>
  <si>
    <t>BLOCO DE CONCRETO ESTRUTURAL DE 19CM - RESISTÊNCIA  8MPA</t>
  </si>
  <si>
    <t>BLOCO DE CONCRETO ESTRUTURAL DE 19CM - RESISTÊNCIA 10MPA</t>
  </si>
  <si>
    <t>BLOCO DE CONCRETO ESTRUTURAL DE 19CM - RESISTÊNCIA 12MPA</t>
  </si>
  <si>
    <t>BLOCO DE CONCRETO ESTRUTURAL DE 19CM - RESISTÊNCIA 14MPA</t>
  </si>
  <si>
    <t>VEDOS (ELEMENTOS VAZADOS)</t>
  </si>
  <si>
    <t>VEDOS (DIVISÓRIAS EM PLACAS)</t>
  </si>
  <si>
    <t>PLACA DE GRANILITE 30MM - DIVISÓRIA</t>
  </si>
  <si>
    <t>PLACA DE GRANILITE 40MM - DIVISÓRIA</t>
  </si>
  <si>
    <t>PLACA DE GRANILITE 50MM - DIVISÓRIA</t>
  </si>
  <si>
    <t>ARDOSIA CINZA EM PLACA -POLIDA NOS 2 LADOS -ESPESSURA 30MM</t>
  </si>
  <si>
    <t>DIVISÓRIA NAVAL; MIOLO COLMÉIA - PAINEL/PAINEL - FORNECIMENTO E COLOCAÇÃO ALT. DE 3 METROS</t>
  </si>
  <si>
    <t>DIVISÓRIA NAVAL; MIOLO COLMÉIA - PAINEL CEGO - FORNECIMENTO E COLOCAÇÃO ALT. DE 3 METROS</t>
  </si>
  <si>
    <t>DIVISÓRIA NAVAL; MIOLO COLMÉIA - PORTA/BANDEIRA - FORNECIMENTO E COLOCAÇÃO ALT. DE 3 METROS (C/ FERRAGENS NECESS. P/COLOCAÇÃO)</t>
  </si>
  <si>
    <t>DIVISÓRIA NAVAL; MIOLO COLMÉIA - PAINEL/VIDRO - FORNECIMENTO E COLOCAÇÃO ALT. DE 3 METROS</t>
  </si>
  <si>
    <t>DIVISÓRIA NAVAL; MIOLO COLMÉIA - PORTA/VIDRO - FORNECIMENTO E COLOCAÇÃO ALT. DE 3 METROS (C/ FERRAGENS NECESS. P/COLOCAÇÃO)</t>
  </si>
  <si>
    <t>DIVISÓRIA NAVAL; MIOLO COLMÉIA - PAINEL/VIDRO/PAINEL - FORNECIMENTO E COLOCAÇÃO ALT. DE 3 METROS</t>
  </si>
  <si>
    <t>DIVISÓRIA NAVAL; MIOLO COLMÉIA - PAINEL/VIDRO/VIDRO - FORNECIMENTO E COLOCAÇÃO ALT. DE 3 METROS</t>
  </si>
  <si>
    <t>DIVISÓRIA NAVAL; MIOLO COLMÉIA - PORTA/BONECA/PAINEL - FORNECIMENTO E COLOCAÇÃO ALT. DE 3 METROS (C/ FERRAGENS NECESS. P/COLOCAÇÃO)</t>
  </si>
  <si>
    <t>DIVISÓRIA NAVAL; MIOLO COLMÉIA - PORTA/BONECA/VIDRO - FORNECIMENTO E COLOCAÇÃO ALT. DE 3 METROS (C/ FERRAGENS NECESS. P/COLOCAÇÃO)</t>
  </si>
  <si>
    <t>MATERIAIS PARA IMPERMEABILIZAÇÃO</t>
  </si>
  <si>
    <t>ASFALTO OXIDADO TIPO lll</t>
  </si>
  <si>
    <t>CIMENTO IMPERMEABILIZANTE DE CRISTALIZAÇÃO - ESTRUTURA ELEVADA - COM APLICAÇÃO</t>
  </si>
  <si>
    <t>CIMENTO IMPERMEABILIZANTE DE CRISTALIZAÇÃO - ESTRUTURA ENTERRADA - COM APLICAÇÃO</t>
  </si>
  <si>
    <t>EMULSÃO ASFÁLTICA MODIFICADA C/ELASTÔMEROS - ESTRUTURADA C/TECIDO POLIÉSTER-2 CAMADAS DE ESTRUT- (FORN E APLIC MAT)</t>
  </si>
  <si>
    <t>EMULSÃO ASFÁLTICA - ESTRUTURADA COM TECIDO DE POLIÉSTER - 2 CAMADAS DE ESTRUTURANTE (FORNEC. E APLICAÇÃO DO MATERIAL)</t>
  </si>
  <si>
    <t>EMULSÃO ASFÁLTICA - ESTRUTURADA COM TECIDO DE POLIÉSTER - 3 CAMADAS DE ESTRUTURANTE (FORNEC. E APLICAÇÃO DO MATERIAL)</t>
  </si>
  <si>
    <t>PRIMER HIDROFUGANTE A BASE DE SILANO SILOXANO P/ SUPERFÍCIES DE CONCRETO, ALVENARIA, ETC.</t>
  </si>
  <si>
    <t>PRIMER PARA TINTA ANTI-PICHAÇÃO</t>
  </si>
  <si>
    <t>PRIMER PARA VERNIZ ANTI-PICHAÇÃO</t>
  </si>
  <si>
    <t>MANTA ASFÁLTICA E=3MM C/ VÉU DE POLIÉSTER-COLADA A MAÇARICO (FORNECIMENTO DO MATERIAL E COLOCAÇÃO)</t>
  </si>
  <si>
    <t>MANTA ASFÁLTICA E=4MM C/ VÉU DE POLIÉSTER-COLADA A MAÇARICO (FORNECIMENTO DO MATERIAL E COLOCAÇÃO)</t>
  </si>
  <si>
    <t>MANTA ASFÁLTICA ESPESSURA 4 MM ANTIRAIZ C/ VÉU DE POLIÉSTER (FORNECIMENTO DO MATERIAL E COLOCAÇÃO)</t>
  </si>
  <si>
    <t>TINTA BETUMINOSA PARA CONCRETO E ALVENARIA</t>
  </si>
  <si>
    <t>IMPERMEABILIZANTE PARA CONCRETO E ARGAMASSA</t>
  </si>
  <si>
    <t>MATERIAIS PARA ISOTERMIA</t>
  </si>
  <si>
    <t>PLACA DE POLIESTIRENO EXPANDIDO ESP=50 MM - TIPO "P1"</t>
  </si>
  <si>
    <t>MASSA BETUMINOSA - ADESIVO P/ PLACAS TERMO-ACÚSTICAS FRIO ASFALTO</t>
  </si>
  <si>
    <t>MATA-JUNTA DE PVC - TIPO 012</t>
  </si>
  <si>
    <t>MATA-JUNTA DE PVC - TIPO 022</t>
  </si>
  <si>
    <t>MASTIQUE A BASE DE POLIURETANO - MC</t>
  </si>
  <si>
    <t>MASTIQUE A BASE DE SILICONE</t>
  </si>
  <si>
    <t>BARRA CHATA DE ALUMÍNIO TIPO FITA 1/8" X 7/8"</t>
  </si>
  <si>
    <t>BARRA DE ALUMÍNIO 1/4" X 3/4"</t>
  </si>
  <si>
    <t>MANGUEIRA PLÁSTICA FLEXÍVEL D = 3/4" - ESP = 2MM - CRISTAL</t>
  </si>
  <si>
    <t>FORNEC. E COLOC.- JUNTA DE DILATAÇÃO DE ELAST. DE NEOPRENE JEENE JJ0411M  (4X15MM)  MOV. MÁX. DE -2 A +2MM</t>
  </si>
  <si>
    <t>FORNEC. E COLOC.- JUNTA DE DILATAÇÃO DE ELAST. DE NEOPRENE JEENE JJ2027M (20X35MM)  MOV. MÁX. DE -10 A +10MM</t>
  </si>
  <si>
    <t>FORNEC. E COLOC.- JUNTA DE DILATAÇÃO DE ELAST. DE NEOPRENE JEENE JJ6080VV (60X90MM)  MOV. MÁX. DE -30 A +30MM</t>
  </si>
  <si>
    <t>FORNEC. E COLOC.- JUNTA DE DILATAÇÃO DE ELAST. DE NEOPRENE JEENE JJ99120VV  (100X140MM)  MOV. MÁX. DE -50 A +50MM</t>
  </si>
  <si>
    <t>FORNEC. E COLOC.- JUNTA DE DILATAÇÃO DE ELAST. DE NEOPRENE JEENE JJ5070VV (50X80MM)+LÁB.POL, MOV. MÁX. DE -20 A +30MM</t>
  </si>
  <si>
    <t>FORNEC. E COLOC.- JUNTA DE DILATAÇÃO DE ELAST. DE NEOPRENE JEENE JJ2540VV (25X50MM)+LÁB.POL, MOV. MÁX. DE -10 A +15MM</t>
  </si>
  <si>
    <t>FORNEC. E COLOC.- JUNTA DE DILATAÇÃO DE ELAST. DE NEOPRENE JEENE JJ3550VV (35X60MM)+LÁB.POL, MOV. MÁX. DE -15 A +20MM</t>
  </si>
  <si>
    <t>ESTRUTURAS PARA COBERTURA</t>
  </si>
  <si>
    <t>ESTRUTURA METÁLICA INCL. ANTIFERRUGINOSA</t>
  </si>
  <si>
    <t>RETIRADA DE ESTRUTURA METÁLICA INCLUSIVE PERFIS DE FIXAÇÃO</t>
  </si>
  <si>
    <t>MADEIRAMENTO DE PEROBA DO NORTE (CUPIÚBA) P/ TELHADO</t>
  </si>
  <si>
    <t>MONTAGEM DE ESTRUTURA METÁLICA</t>
  </si>
  <si>
    <t>PEROBA DO NORTE (CUPIÚBA) - VIGA DE  6 CM X 12 CM - BRUTA</t>
  </si>
  <si>
    <t>PEROBA DO NORTE (CUPIÚBA) - VIGA DE 6 X 16 CM - BRUTA</t>
  </si>
  <si>
    <t>CAIBRO DE PEROBA DO NORTE 5 X 6 CM - BRUTO (CUPIÚBA)</t>
  </si>
  <si>
    <t>RIPA DE PEROBA DO NORTE 1,5 CM X 5 CM - BRUTA (CUPIÚBA)</t>
  </si>
  <si>
    <t>TELHAS E DOMOS</t>
  </si>
  <si>
    <t>DOMO DE ACRÍLICO COM CAIXILHO DE ALUMÍNIO 1,05 X 1,05 M</t>
  </si>
  <si>
    <t>COBERTURA EM POLICARBONATO ALVEOLAR 6MM, ESTRUTURA METÁLICA GALVANIZADA, INSTALADA</t>
  </si>
  <si>
    <t>TELHAS DE BARRO COZIDO  - FRANCESA</t>
  </si>
  <si>
    <t>TELHAS DE BARRO COZIDO - PAULISTA</t>
  </si>
  <si>
    <t>TELHAS DE BARRO COZIDO - SUPER PAULISTA (PLAN)</t>
  </si>
  <si>
    <t>TELHA ESTRUTURAL TRAPEZOIDAL CRFS - E=8 MM LARG. ÚTIL 44 CM</t>
  </si>
  <si>
    <t>TELHA TECNOLOGIA CRFS TRAPEZOIDAL 90 CM E=8 MM</t>
  </si>
  <si>
    <t>TELHA DE AÇO GALV. ACAB. NATURAL TRAPEZOIDAL E=0.5 MM H= ATÉ 40 MM</t>
  </si>
  <si>
    <t>TELHA AÇO GALV. ONDULADA E= 0,5 MM - H= 17/18 MM REV. B</t>
  </si>
  <si>
    <t>TELHA AÇO GALV. TRAPEZOIDAL DUPLA E=0,5MM-H=40MM-MIOLO=30MM POLIURETANO -  REV.B</t>
  </si>
  <si>
    <t>TELHA AÇO GALV. TRAPEZOIDAL   E=0.5MM - H=40MM PINTURA ELETROSTÁTICA 2 FACES - REV. B</t>
  </si>
  <si>
    <t>TELHA AÇO GALV. ONDULADA E= 0,5 MM - H= 17/18 MM PINTURA ELETROST. 2 FACES - REV.B</t>
  </si>
  <si>
    <t>TELHA AÇO GALV. TRAPEZOIDAL DUPLA E=0,5MM-H=40MM-MIOLO=30MM POLIURETANO - PINTADA 1 FACE - REV.B</t>
  </si>
  <si>
    <t>TELHA AÇO GALV. TRAPEZOIDAL DUPLA E=0,8MM-H=40MM-MIOLO=30MM POLIURETANO - PINTADA 1 FACE - REV.B</t>
  </si>
  <si>
    <t>TAPUME METÁLICO COM TELHA METÁLICA, SEM PINTURA,TRAPEZOIDAL 40-ESP. 0,43MM, COLUNAS, BASES E PARAFUSOS</t>
  </si>
  <si>
    <t>CUMEEIRA AÇO GALV. TRAPEZOIDAL E=0,5MM - H=40MM - L=0,60M REV.B</t>
  </si>
  <si>
    <t>CUMEEIRA AÇO GALV. ONDULADA E= 0,5MM - H= 17/18MM - L=0.60M</t>
  </si>
  <si>
    <t>CUMEEIRA AÇO GALV. TRAPEZOIDAL E=0,5MM - H=40MM - L=0,60M REV.B - PINT.BR 2 FACES</t>
  </si>
  <si>
    <t>CUMEEIRA AÇO GALV. ONDULADA E= 0,5MM - H= 17/18MM - L=0.60M PINTURA ELETROSTÁTICA 2 FACES - REV. B</t>
  </si>
  <si>
    <t>TELHAS (ELEMENTOS DE ARREMATE)</t>
  </si>
  <si>
    <t>CUMEEIRA UNIVERSAL P/ TELHA TECNOLOGIA CRFS ONDULADA 1,10 X 0,60 M</t>
  </si>
  <si>
    <t>CUMEEIRA NORMAL P/ TELHA TECNOLOGIA CRFS TRAPEZ. 44CM</t>
  </si>
  <si>
    <t>CUMEEIRA NORMAL P/ TELHA TECNOLOGIA CRFS TRAPEZ. 90CM</t>
  </si>
  <si>
    <t>CUMEEIRA DE ALUMÍNIO NORMAL E=0.8MM - P/ TELHA ONDULADA  ACABAMENTO NATURAL - COMPRIMENTO = 1072 MM / 1345 MM</t>
  </si>
  <si>
    <t>CUMEEIRA DE ALUMÍNIO NORMAL E=0.8MM - P/ TELHA TRAPEZOIDAL ACABAMENTO NATURAL - COMPRIMENTO = 1056 MM / 1265 MM</t>
  </si>
  <si>
    <t>CUMEEIRA DE ALUMÍNIO SHED E=0.8MM - P/ TELHA ONDULADA ACABAMENTO NATURAL</t>
  </si>
  <si>
    <t>CUMEEIRA DE ALUMÍNIO SHED E=0.8MM - P/ TELHA TRAPEZOIDAL ACABAMENTO NATURAL</t>
  </si>
  <si>
    <t>CUMEEIRA DE BARRO TIPO UNIVERSAL</t>
  </si>
  <si>
    <t>PINGADEIRA PLÁST. P/ TELHA ESTR. TRAPEZ. CRFS L= 44/49 CM 230 MM</t>
  </si>
  <si>
    <t>PINGADEIRA PLÁST. P/ TELHA ESTRUT. TRAPEZOIDAL CRFS L=90CM 115 MM</t>
  </si>
  <si>
    <t>PLACA DE VENTILAÇÃO PARA TELHA ESTR. TRAPEZOIDAL CRFS 44 CM</t>
  </si>
  <si>
    <t>PLACA DE VENTILAÇÃO P/ TELHA DE FIBROC./CRFS CANALETE 90</t>
  </si>
  <si>
    <t>PLACA DE VEDAÇÃO NERVURA -  P/ TELHA DE FIBROCIMENTO/CRFS CANALETE 90</t>
  </si>
  <si>
    <t>SUBCOBERTURA COM FOLHA DE ALUMÍNIO</t>
  </si>
  <si>
    <t>ELEMENTOS DE FIXAÇÃO (PARAFUSOS E FERRAGENS)</t>
  </si>
  <si>
    <t>CONJUNTO DE VEDAÇÃO ELÁSTICA 5/16" - P/ FIXAÇÃO DE TELHA ONDULADA (1 ARRUELA DE PVC + 1 ARRUELA FERRO GALVANIZADA)</t>
  </si>
  <si>
    <t>FERRAGEM PARA MADEIRAMENTO DE TELHADO</t>
  </si>
  <si>
    <t>FIXADOR DE ABAS PARA TELHAS DE FIBROCIMENTO / CRFS TIPO SIMPLES</t>
  </si>
  <si>
    <t>PARAFUSO ZINCADO BRANCO - FENDA SIMPLES - CABEÇA CHATA P/ MADEIRA - DIÂMETRO 6,1 MM - COMPRIMENTO 90MM</t>
  </si>
  <si>
    <t>PARAFUSO AUTO-ATARRAXANTE - CABEÇA PANELA - COM BUCHA DE NYLON S- 8 DIÂMETRO 5,5MM - COMPRIMENTO 50MM - FENDA SIMPLES</t>
  </si>
  <si>
    <t>PARAFUSO AUTO PERFURANTE 12 4 X 3/4"  TIPO TRAXX COM CONJUNTO DE VEDAÇÃO</t>
  </si>
  <si>
    <t>CONJUNTO DE FIXAÇÃO NIQUELADO PARA BACIA DE LOUÇA (BUCHA 8 E ARRUELA PLÁSTICA)</t>
  </si>
  <si>
    <t>PARAFUSO C/ ROSCA SOBERBA DE FERRO GALVANIZADO P/ FIXAÇÃO DE TELHAS ONDULADAS EM CRFS/AMIANTO - S/ VEDAÇÃO  - 8 x 230MM</t>
  </si>
  <si>
    <t>SUPORTE DE ABAS PARA TELHA ESTRUTURAL 90 (APOIO EM MADEIRA) SEM BASE</t>
  </si>
  <si>
    <t>ELEMENTOS DE FIXAÇÃO (PREGO/GRAMPOS ETC)</t>
  </si>
  <si>
    <t>PREGO 18 X 27 COMUM - POLIDO</t>
  </si>
  <si>
    <t>PREGO 13 X 18 COMUM - POLIDO - SEM CABEÇA</t>
  </si>
  <si>
    <t>PREGO 12 X 12 E 12 X 15  COMUM - POLIDO</t>
  </si>
  <si>
    <t>PREGO 18 X 27 ZINCADO</t>
  </si>
  <si>
    <t>REBITE DE REPUXO EM ALUMÍNIO TIPO POP N. 415 ( DIÂMETRO 4 MM - COMPRIMENTO 15 MM)</t>
  </si>
  <si>
    <t>GANCHO 8 X 350MM "L" - COM ROSCA E PORCA - PARA TELHA (SEM VEDAÇÃO)</t>
  </si>
  <si>
    <t>GANCHO CHATO - 140 MM</t>
  </si>
  <si>
    <t>HASTE DE ALUMÍNIO - 250MM X 5/16" - C/ ACESSÓRIOS (PORCA + ARRUELA ALUM.+ ARRUELA PVC) P/ FIX. TELHA ALUM.</t>
  </si>
  <si>
    <t>TACO - CHUMBADOR DE PEROBA DO NORTE (CUPIÚBA) ESPESSURA 15 MM / LARGURA 50 MM / ALTURA 60 MM</t>
  </si>
  <si>
    <t>ARAMES</t>
  </si>
  <si>
    <t>ARAME GALVANIZADO N. 10</t>
  </si>
  <si>
    <t>ARAME GALVANIZADO N. 14</t>
  </si>
  <si>
    <t>ARAME GALVANIZADO N.18</t>
  </si>
  <si>
    <t>ARAME RECOZIDO N. 16 E N. 18</t>
  </si>
  <si>
    <t>ARAME GALVANIZADO N. 12</t>
  </si>
  <si>
    <t>ARAME GALVANIZADO N.  8</t>
  </si>
  <si>
    <t>BLOCO DE CONCRETO, DIMENSÃO 200X400X160MMCOR NATURAL</t>
  </si>
  <si>
    <t>BLOCO DE CONCRETO, DIMENSÃO 200X400X160MMCOR GRAFITE</t>
  </si>
  <si>
    <t>BLOCO DE CONCRETO, DIMENSÃO 200X400X160MMCOR CINZA</t>
  </si>
  <si>
    <t>ADITIVO POLÍMERO EM PÓ</t>
  </si>
  <si>
    <t>FECHAMENTOS EXTERNOS</t>
  </si>
  <si>
    <t>TELA ALAMBRADO MALHA 2" - FIO 10 - GALVANIZADA</t>
  </si>
  <si>
    <t>DIVERSOS</t>
  </si>
  <si>
    <t>BOMBEAMENTO E LANÇAMENTO DE CONCRETO P/ ESTRUTURAS DE OBRAS ATÉ 80M3</t>
  </si>
  <si>
    <t>COLA DE CONTATO</t>
  </si>
  <si>
    <t>COLA EM PU ( POLIURETANO) PARA TACO</t>
  </si>
  <si>
    <t>MASSA PARA VEDAÇÃO ( P/ USO EM TELHAS DE AMIANTO/CRFS )</t>
  </si>
  <si>
    <t>TELA TIPO DEPLOYER (UTILIZADA EM ALVENARIA / ESTUQUE)</t>
  </si>
  <si>
    <t>RIPA DE PEROBA DO NORTE(CUPIÚBA) APARELHADA - 1,5 X 5CM</t>
  </si>
  <si>
    <t>SARRAFO DE PINUS 1A. APARELHADA - 1 X 4(2,5 X 10CM)</t>
  </si>
  <si>
    <t>VIGOTA DE PEROBA DO NORTE 4 X 9,5 CM - APARELHADA (CUPIÚBA)</t>
  </si>
  <si>
    <t>COLA PARA TELHA DE FIBROCIMENTO</t>
  </si>
  <si>
    <t>ADESIVO PARA TRINCAS E FISSURAS ESTRUTURAIS</t>
  </si>
  <si>
    <t>RESINA EPÓXI DE BAIXA VISCOSIDADE, BICOMPONENTE, ISENTA DE SOLVENTES  PARA INJEÇÃO</t>
  </si>
  <si>
    <t>QUADRAS E ACESSÓRIOS</t>
  </si>
  <si>
    <t>DEMARCAÇÃO E PINTURA DE FAIXAS ATÉ 10CM - BORRACHA CLORADA</t>
  </si>
  <si>
    <t>DEMARCAÇÃO E PINTURA DE FAIXAS ATÉ 10CM - EPÓXI</t>
  </si>
  <si>
    <t>DEMARCAÇÃO E PINTURA DE SUPERFÍCIES - BORRACHA CLORADA</t>
  </si>
  <si>
    <t>DEMARCAÇÃO E PINTURA DE SUPERFÍCIES - EPÓXI</t>
  </si>
  <si>
    <t>PISO FLEXÍVEL ESPORTE TÊNIS PORTÁTIL, 304MM X 304MM, ESP=14MM, INJETADO EM PLACAS MODULARES INTERCAMBIÁVEIS DE POLIPROPILENO DE ALTO IMPACTO COM ADITIVOS ANTIOXIDANTE (AO) E ULTRAVIOLETA (UV) E SISTEMA DE AMORTECIMENTO ATRAVÉS DE PINO DE BORRACHA TPE</t>
  </si>
  <si>
    <t>PISO FLEXÍVEL ESPORTIVO PORTÁTIL EXTERNO, 304MM X 304 MM, ESP=14MM, INJETADO EM PLACAS MODULARES INTERCAMBIÁVEIS DE POLIPROPILENO DE ALTO IMPACTO COM ADITIVOS ANTIOXIDANTE (AO) E ULTRAVIOLETA (UV) E SISTEMA DE AMORTECIMENTO ATRAVÉS DE PINO DE BORRACHA TPE</t>
  </si>
  <si>
    <t>PISO FLEXÍVEL ESPORTIVO PORTÁTIL INTERNO, 304MM X 304MM, ESP=14MM, INJETADO EM PLACAS MODULARES INTERCAMBIÁVEIS DE POLIPROPILENO DE ALTO IMPACTO COM ADITIVOS ANTIOXIDANTE (AO) E ULTRAVIOLETA (UV) E SISTEMA DE AMORTECIMENTO ATRAVÉS DE PINO DE BORRACHA TPE</t>
  </si>
  <si>
    <t>MADEIRAS</t>
  </si>
  <si>
    <t>SARRAFO DE CEDRINHO 5X2.5CM - BRUTO</t>
  </si>
  <si>
    <t>RIPA DE IMBUIA 3,5 X 1,5 CM</t>
  </si>
  <si>
    <t>GUARNIÇÃO EM PADRÃO IMBUIA - TIPO MEIA MOLDURA - 3 CM (UTILIZADA COMO ACABAMENTO P/ VISOR DE VIDRO EM PORTA)</t>
  </si>
  <si>
    <t>CAIBRO DE PEROBA DO NORTE 3 X 5 CM - BRUTO - (CUPIÚBA)</t>
  </si>
  <si>
    <t>GABIÃO TIPO CAIXA, H=1,00M, MALHA 8X10, FIO 2,4MM - GALV. E  PVC (GAIOLA VAZIA)</t>
  </si>
  <si>
    <t>GABIÃO TIPO CAIXA, H=1,00M, MALHA 8X10, FIO 2,7MM - GALV. (GAIOLA VAZIA)</t>
  </si>
  <si>
    <t>GABIÃO TIPO CAIXA, H=0,50M, MALHA 8X10, FIO 2,7MM - GALV. (GAIOLA VAZIA)</t>
  </si>
  <si>
    <t>GABIÃO TIPO CAIXA, H=0,50M, MALHA 8X10, FIO 2,4MM - PVC (GAIOLA VAZIA)</t>
  </si>
  <si>
    <t>GABIÃO TIPO COLCHÃO RENO, H=0,17M, MALHA 6X8 , FIO 2,0MM PVC (GAIOLA VAZIA)</t>
  </si>
  <si>
    <t>GABIÃO TIPO COLCHÃO RENO, H=0,23M, MALHA 6X8, FIO 2,0MM PVC (GAIOLA VAZIA)</t>
  </si>
  <si>
    <t>GABIÃO TIPO SACO, D=0,65M -MALHA 8X10-FIO 2,4MM -REV. PVC (GAIOLA VAZIA)</t>
  </si>
  <si>
    <t>LAJE PRÉ-MOLD D=2,50M E=15CM P/ RESERV – FORN/MONT</t>
  </si>
  <si>
    <t>LAJE PRÉ-MOLD D=2,50M E=8CM P/ RESERV – FORN/MONT</t>
  </si>
  <si>
    <t>DRENAGEM</t>
  </si>
  <si>
    <t>MANTA GEOTÊXTIL C/ RESISTÊNCIA À TRAÇÃO LONG. DE  7 KN/M E TRAÇÃO TRANSV.  6 KN/M</t>
  </si>
  <si>
    <t>MANTA GEOTÊXTIL C/ RESISTÊNCIA À TRAÇÃO LONG. DE  8 KN/M E TRAÇÃO TRANSV.  7 KN/M</t>
  </si>
  <si>
    <t>MANTA GEOTÊXTIL C/ RESISTÊNCIA À TRAÇÃO LONG. DE  9 KN/M E TRAÇÃO TRANSV.  8 KN/M</t>
  </si>
  <si>
    <t>MANTA GEOTÊXTIL C/ RESISTÊNCIA À TRAÇÃO LONG. DE 10 KN/M E TRAÇÃO TRANSV.  9 KN/M</t>
  </si>
  <si>
    <t>MANTA GEOTÊXTIL C/ RESISTÊNCIA À TRAÇÃO LONG. DE 14 KN/M E TRAÇÃO TRANSV. 12 KN/M</t>
  </si>
  <si>
    <t>MANTA GEOTÊXTIL C/ RESISTÊNCIA À TRAÇÃO LONG. DE 16 KN/M E TRAÇÃO TRANSV. 14 KN/M</t>
  </si>
  <si>
    <t>MANTA GEOTÊXTIL C/ RESISTÊNCIA À TRAÇÃO LONG. DE 21 KN/M E TRAÇÃO TRANSV. 19 KN/M</t>
  </si>
  <si>
    <t>MANTA GEOTÊXTIL C/ RESISTÊNCIA À TRAÇÃO LONG. DE 26 KN/M E TRAÇÃO TRANSV. 23 KN/M</t>
  </si>
  <si>
    <t>MANTA GEOTÊXTIL C/ RESISTÊNCIA À TRAÇÃO LONG. DE 31 KN/M E TRAÇÃO TRANSV. 27 KN/M</t>
  </si>
  <si>
    <t>GEOMEMBRANA DE 1MM DE ESPESSURA DE PEAD</t>
  </si>
  <si>
    <t>MANTA FORMADA PELA ASSOC. DE TECIDO TÉCN. DE POLIÉSTER C/ FILME DE POLIETILENO DE BAIXA INTENS, DE ACORDO C/NBR 12824</t>
  </si>
  <si>
    <t>GEOCOMPOSTO FORMADO POR NÚCLEO TRIDIMENSIONAL FLEXÍVEL DE FILAM. POLIPROPILENO ASSOC. ÀS SUAS DS SUPERF.GEOT. NÃO TEC.</t>
  </si>
  <si>
    <t>TUBO DRENO DE CONCRETO FURADO D = 200 MM</t>
  </si>
  <si>
    <t>TÚNEIS</t>
  </si>
  <si>
    <t>CALANDRAGEM DAS CHAPAS,CORTE DOS FLANGES,PERFUR.EM KG DE CHAPA</t>
  </si>
  <si>
    <t>FORMA METÁLICA PARA CONCRETAGEM DO REVEST. INTER.DE TÚNEL</t>
  </si>
  <si>
    <t>TUNNEL LINER</t>
  </si>
  <si>
    <t>CHAPA CORRUGADA ARMCO (TUNNEL LINER) D=1.60M E=2.7MM CIRCULAR, GALVANIZADA</t>
  </si>
  <si>
    <t>CHAPA CORRUGADA ARMCO (TUNNEL LINER) D=1.80M E=2.7MM CIRCULAR, GALVANIZADA</t>
  </si>
  <si>
    <t>CHAPA CORRUGADA ARMCO (TUNNEL LINER) D=2.00M E=2.7MM CIRCULAR, GALVANIZADA</t>
  </si>
  <si>
    <t>CHAPA CORRUGADA ARMCO (TUNNEL LINER) D=2.20M E=2.7MM CIRCULAR, GALVANIZADA</t>
  </si>
  <si>
    <t>CHAPA CORRUGADA ARMCO (TUNNEL LINER) D=2.40M E=2.7MM CIRCULAR, GALVANIZADA</t>
  </si>
  <si>
    <t>CHAPA CORRUGADA ARMCO (TUNNEL LINER) D=2.60M E=2.7MM CIRCULAR, GALVANIZADA</t>
  </si>
  <si>
    <t>CHAPA CORRUGADA ARMCO (TUNNEL LINER) D=2.80M E=2.7MM CIRCULAR, GALVANIZADA</t>
  </si>
  <si>
    <t>CHAPA CORRUGADA ARMCO (TUNNEL LINER) D=3.00M E=2.7MM CIRCULAR, GALVANIZADA</t>
  </si>
  <si>
    <t>CHAPA CORRUGADA ARMCO (TUNNEL LINER) D=3.20M E=2.7MM CIRCULAR, GALVANIZADA</t>
  </si>
  <si>
    <t>CHAPA CORRUGADA ARMCO (TUNNEL LINER) D=2.00M E=3.4MM CIRCULAR, GALVANIZADA</t>
  </si>
  <si>
    <t>CHAPA CORRUGADA ARMCO (TUNNEL LINER) D=2.20M E=3.4MM CIRCULAR, GALVANIZADA</t>
  </si>
  <si>
    <t>CHAPA CORRUGADA ARMCO (TUNNEL LINER) D=2.40M E=3.4MM CIRCULAR, GALVANIZADA</t>
  </si>
  <si>
    <t>CHAPA CORRUGADA ARMCO (TUNNEL LINER) D=2.60M E=3.4MM CIRCULAR, GALVANIZADA</t>
  </si>
  <si>
    <t>CHAPA CORRUGADA ARMCO (TUNNEL LINER) D=2.80M E=3.4MM CIRCULAR, GALVANIZADA</t>
  </si>
  <si>
    <t>CHAPA CORRUGADA ARMCO (TUNNEL LINER) D=3.00M E=3.4MM CIRCULAR, GALVANIZADA</t>
  </si>
  <si>
    <t>CHAPA CORRUGADA ARMCO (TUNNEL LINER) D=3.20M E=3.4MM CIRCULAR, GALVANIZADA</t>
  </si>
  <si>
    <t>CHAPA DE AÇO, PRETA, CORRUGADA, P/ TÚNEL, D=1.60M E E=2.50M</t>
  </si>
  <si>
    <t>CHAPA DE AÇO, PRETA, CORRUGADA, P/ TÚNEL, D=1.80M E E=2.50M</t>
  </si>
  <si>
    <t>CHAPA DE AÇO, PRETA, CORRUGADA, P/ TÚNEL, D=2.00M E E=2.50M</t>
  </si>
  <si>
    <t>CHAPA DE AÇO, PRETA, CORRUGADA, P/ TÚNEL, D=2.20M E E=2.50M</t>
  </si>
  <si>
    <t>CHAPA DE AÇO, PRETA, CORRUGADA, P/ TÚNEL, D=2.40M E E=2.50M</t>
  </si>
  <si>
    <t>CHAPA DE AÇO, PRETA, CORRUGADA, P/ TÚNEL, D=2.60M E E=2.50M</t>
  </si>
  <si>
    <t>CHAPA DE AÇO, PRETA, CORRUGADA, P/ TÚNEL, D=2.80M E E=2.50M</t>
  </si>
  <si>
    <t>CHAPA DE AÇO, PRETA, CORRUGADA, P/ TÚNEL, D=3.00M E E=2.50M</t>
  </si>
  <si>
    <t>CHAPA DE AÇO, PRETA, CORRUGADA, P/ TÚNEL, D=3.20M E E=2.50M</t>
  </si>
  <si>
    <t>CHAPA DE AÇO, PRETA, CORRUGADA, P/ TÚNEL, D=2.00M E E=3.20M</t>
  </si>
  <si>
    <t>CHAPA DE AÇO, PRETA, CORRUGADA, P/ TÚNEL, D=2.20M E E=3.20M</t>
  </si>
  <si>
    <t>CHAPA DE AÇO, PRETA, CORRUGADA, P/ TÚNEL, D=2.40M E E=3.20M</t>
  </si>
  <si>
    <t>CHAPA DE AÇO, PRETA, CORRUGADA, P/ TÚNEL, D=2.60M E E=3.20M</t>
  </si>
  <si>
    <t>CHAPA DE AÇO, PRETA, CORRUGADA, P/ TÚNEL, D=2.80M E E=3.20M</t>
  </si>
  <si>
    <t>CHAPA DE AÇO, PRETA, CORRUGADA, P/ TÚNEL, D=3.00M E E=3.20M</t>
  </si>
  <si>
    <t>CHAPA DE AÇO, PRETA, CORRUGADA, P/ TÚNEL, D=3.20M E E=3.20M</t>
  </si>
  <si>
    <t>TIRANTES</t>
  </si>
  <si>
    <t>ANCORAGEM COMPLETA ATIVA 12 FUROS - D=12.7MM - 1/2" SOMENTE MATERIAL - SEM COLOCAÇÃO</t>
  </si>
  <si>
    <t>ANCORAGEM COMPLETA ATIVA  4 FUROS - D=12.7MM - 1/2" SOMENTE MATERIAL - SEM COLOCAÇÃO</t>
  </si>
  <si>
    <t>ANCORAGEM COMPLETA ATIVA  6 FUROS - D=12.7MM - 1/2" SOMENTE MATERIAL - SEM COLOCAÇÃO</t>
  </si>
  <si>
    <t>ANCORAGEM ATIVA 12 FIOS DE 5/8" SOMENTE MATERIAL - SEM COLOCAÇÃO</t>
  </si>
  <si>
    <t>BAINHA FLEXÍVEL METÁLICA GALVANIZADA - D. INTERNO 50MM</t>
  </si>
  <si>
    <t>BAINHA FLEXÍVEL METÁLICA GALVANIZADA - D. INTERNO 65MM</t>
  </si>
  <si>
    <t>BAINHA FLEXÍVEL METÁLICA GALVANIZADA - D. INTERNO 45MM</t>
  </si>
  <si>
    <t>BAINHA FLEXÍVEL METÁLICA GALVANIZADA - D. INTERNO 75MM</t>
  </si>
  <si>
    <t>AÇO DE PROTENSÃO CORDOALHA CP 190 RB 7 - D. NOM.=12,7 MM</t>
  </si>
  <si>
    <t>AÇO DE PROTENSÃO CORDOALHA CP 190 RB 7 - D. NOM.=15.2 MM</t>
  </si>
  <si>
    <t>SERVIÇO DE PROTENSÃO 20 PORC DO MAT.E MÃO DE OBRA (08.73)</t>
  </si>
  <si>
    <t>SERVIÇO DE PROTENSÃO 20 PORC DO MAT.E MÃO DE OBRA (08.62)</t>
  </si>
  <si>
    <t>SERVIÇO DE PROTENSÃO 20 PORC DO MAT.E MÃO DE OBRA (08.63)</t>
  </si>
  <si>
    <t>SERVIÇO DE PROTENSÃO 20 PORC DO MAT.E MÃO DE OBRA (08.64)</t>
  </si>
  <si>
    <t>FIXAÇÕES</t>
  </si>
  <si>
    <t>BRAÇADEIRA EM CHAPA DE AÇO DE 1 1/2" X 3/16"</t>
  </si>
  <si>
    <t>BARRA ROSCADA GALV. 1/4" (TIRANTE) C/ PORCA E CONTRA PORCA APLICAÇÃO: FIO DE SUSTENTAÇÃO P/ COIFA DE CHAPA AÇO GALV</t>
  </si>
  <si>
    <t>BARRA CHATA DE FERRO 1.1/2" X 3/16" - GALV. A FOGO</t>
  </si>
  <si>
    <t>TELA</t>
  </si>
  <si>
    <t>TELA DE AÇO INOX 430 - PERFURADA - ESPESSURA 1,6 MM DIÂMETRO DO FURO 17 MM</t>
  </si>
  <si>
    <t>TELA SOLDADA NERVURADA Q-196 PAINEL (AÇO CA60 - MALHA 10 X 10 CM - FIO 5,0 MM)</t>
  </si>
  <si>
    <t>COLA A BASE DE BORRACHA SINTÉTICA</t>
  </si>
  <si>
    <t>NATA DE CIMENTO, COLA PVA E ÁGUA - FORNECIMENTO E APLICAÇÃO (2 DEMÃOS)</t>
  </si>
  <si>
    <t>FELTRO  PARA QUADRO DE MADEIRA</t>
  </si>
  <si>
    <t>FITA ANTIDERRAPANTE; FAIXA C/L=5CM E=2MM</t>
  </si>
  <si>
    <t>SINALIZAÇÃO VISUAL DE DEGRAUS  (20X3CM) (FAIXA DE BORDA DE ESCADA) ADESIVADA</t>
  </si>
  <si>
    <t>ESQUADRIAS DE MADEIRA</t>
  </si>
  <si>
    <t>BATENTE DE PEROBA 14CM - APARELHADA - ESPES. DE 3,5 A 4,5CM P/ PORTA DE 1 FOLHA</t>
  </si>
  <si>
    <t>BATENTE DE PEROBA 14CM - APARELHADA - ESPES. DE 3,5 A 4,5CM P/ PORTA DE 2 FOLHAS</t>
  </si>
  <si>
    <t>BATENTE DE PEROBA 14CM - APARELHADA - ESPES. DE 3,5 A 4,5CM P/ PORTA COM BANDEIRA - ALTURA DOS UMBRAIS = 3 M CADA</t>
  </si>
  <si>
    <t>BATENTE DE MADEIRA - 25 CM - PORTA 1 FOLHA</t>
  </si>
  <si>
    <t>BATENTE DE MADEIRA - 25 CM - PORTA 2 FOLHAS</t>
  </si>
  <si>
    <t>BATENTE DE MADEIRA - 25 CM - P/ PORTA COM BANDEIRA ALTURA DOS UMBRAIS = 3 M CADA</t>
  </si>
  <si>
    <t>GUARNIÇÃO DE MADEIRA - 1,5 X 5,0 CM</t>
  </si>
  <si>
    <t>GUARNIÇÃO DE MADEIRA - 1,5 X 7,5 CM</t>
  </si>
  <si>
    <t>GUARNIÇÃO DE MADEIRA - 1,5 X 10 CM</t>
  </si>
  <si>
    <t>GUARNIÇÃO DE MADEIRA - 1,5 X 15 CM</t>
  </si>
  <si>
    <t>PORTA LISA 62 X 210 CM - ENCABEÇADA - COMPENSADA/SARRAFEADA PADRÃO IMBUIA E CEDRO P/ PINTURA A ÓLEO/VERNIZ - E=35MM</t>
  </si>
  <si>
    <t>PORTA LISA 72 X 210 CM - ENCABEÇADA - COMPENSADA/SARRAFEADA PADRÃO IMBUIA E CEDRO P/ PINTURA A ÓLEO/VERNIZ - E=35MM</t>
  </si>
  <si>
    <t>PORTA LISA 82 X 210 CM - ENCABEÇADA - COMPENSADA/SARRAFEADA PADRÃO IMBUIA E CEDRO P/ PINTURA A ÓLEO/VERNIZ - E=35MM</t>
  </si>
  <si>
    <t>PORTA LISA 92 X 210 CM - ENCABEÇADA - COMPENSADA/SARRAFEADA PADRÃO IMBUIA E CEDRO P/ PINTURA A ÓLEO/VERNIZ - E=35MM</t>
  </si>
  <si>
    <t>PORTA LISA 102 X 210 CM - ENCABEÇADA -COMPENSADA/SARRAFEADA PADRÃO IMBUIA E CEDRO P/ PINTURA A ÓLEO/VERNIZ - E=35MM</t>
  </si>
  <si>
    <t>PORTA LISA 62 X 210 CM - SÓLIDA PADRÃO IMBUIA E CEDRO P/ PINTURA A ÓLEO/VERNIZ - E=35MM</t>
  </si>
  <si>
    <t>PORTA LISA 82 X 210 CM - SÓLIDA PADRÃO IMBUIA E CEDRO P/ PINTURA A ÓLEO/VERNIZ - E=35MM</t>
  </si>
  <si>
    <t>PORTA LISA 92 X 210 CM - SÓLIDA PADRÃO IMBUIA E CEDRO P/ PINTURA A ÓLEO/VERNIZ - E=35MM</t>
  </si>
  <si>
    <t>PORTA LISA 102 X 210 CM - SÓLIDA PADRÃO IMBUIA E CEDRO P/ PINTURA A ÓLEO/VERNIZ - E=35MM</t>
  </si>
  <si>
    <t>PORTA VENEZIANA  92 X 210 CM CEDRO / IMBUIA / MOGNO</t>
  </si>
  <si>
    <t>PORTA VENEZIANA  82 X 210 CM CEDRO / IMBUIA / MOGNO</t>
  </si>
  <si>
    <t>MADEIRAS DIVERSAS</t>
  </si>
  <si>
    <t>CHAPA COMPENSADA DE VIROLINHA / SUMAÚMA E=10MM</t>
  </si>
  <si>
    <t>CHAPA COMPENSADA DE VIROLINHA / SUMAÚMA E=15MM</t>
  </si>
  <si>
    <t>ARMÁRIOS E COMPLEMENTOS</t>
  </si>
  <si>
    <t>ARMÁRIO PARA CUMBUCAS (MM-13)</t>
  </si>
  <si>
    <t>ARMÁRIO PARA CANECAS (MM-14)</t>
  </si>
  <si>
    <t>ARMÁRIO PARA PRATOS (MM-15)</t>
  </si>
  <si>
    <t>FAIXA DE ITAUBA 15 X 2CM - APARELHADA - CANTOS ARREDONDADOS</t>
  </si>
  <si>
    <t>ESQUADRIAS METÁLICAS</t>
  </si>
  <si>
    <t>BATENTE EM CHAPA 14 (E=1.9MM) GALVANIZADA A FOGO E DOBRADA 38 X 35 X 22 MM</t>
  </si>
  <si>
    <t>CAIXILHO EM ALUMÍNIO ANODIZ. COMUM- BASCUL- H=1,00M-C=1,20M PERFIL 25 -S/VIDROS -S/COLOC -COMPLETO -PRONTO P/ INSTAL.</t>
  </si>
  <si>
    <t>CAIXILHO EM ALUMÍNIO ANODIZ. COMUM- CORRER- H=1,20M-C=2,00M 2 FLS - PERFIL 25 - S/COLOC -COMPLETO -PRONTO P/ INSTAL.</t>
  </si>
  <si>
    <t>CAIXILHO EM ALUMÍNIO ANODIZ. COMUM - FIXO -S/ VENT. PERMAN. H=1,00M- L=1,20M-PERF.30 -S/VIDR-S/COLOC-COMPL.PRONT.P/INST.</t>
  </si>
  <si>
    <t>CAIXILHO ALUMÍNIO ANODIZADO-FIXO C/ VENTILAÇÃO PERMANENTE H=1,00 - L=1,10M</t>
  </si>
  <si>
    <t>CAIXILHO DE ALUMÍNIO ANODIZ. COMUM -MAXIMAR-H=0,90M-L=1,20M LINHA 30 - S/VIDRO - S/COLOC -COMPLETO -PRONTO P/ INSTAL.</t>
  </si>
  <si>
    <t>CAIXILHO ALUMÍNIO ANODIZADO - PIVOTANTE - H=0,80M L=3X0,30M = 0,90M</t>
  </si>
  <si>
    <t>CAIXILHO FE. PERF.FIXO- L=1,60M- H=0,75M- "T" E "L""X1/8" B.CH.1"X3/16"-C/VENT.PERM-COMP-PR.P/INST-S/VIDR-ACAB.ANTIOX.</t>
  </si>
  <si>
    <t>CAIXILHO FE. PERF.FIXO- L=1,60M- H=1,50M- "T" E "L""X1/8" B.CH.1"X3/16"-S/VENT.PERM-COMP-PR.P/INST-S/VIDR-ACAB.ANTIOX.</t>
  </si>
  <si>
    <t>CAIXILHO FE. PERF.BASC- L=1,10M- H=1,50M- "T" E "L""X1/8" B.CH.5/8"X3/16"- COMPL-PR.P/INST-S/VIDR-ACAB. FUNDO ANTIOX.</t>
  </si>
  <si>
    <t>CAIXILHO FERRO PERFILADO  DE CORRER H=5X0,25 (1,25M) L=4X0,80 = 3,20M</t>
  </si>
  <si>
    <t>CAIXILHO FERRO PERFILADO - MAXIMAR -H=0,90 - L=2X0,60=1,20M SEM BANDEIRA</t>
  </si>
  <si>
    <t>CAIXILHO FERRO PERFILADO-PIVOTANTE H=0,80 + 2 X 0,30 =1,40M L=6X0,30=1,80M - COM BANDEIRA</t>
  </si>
  <si>
    <t>CAIXILHO PERFIL CH 14 DOBRADA - BASC. L=0,8M - H=0,50M 2 BÁSC. - PRONTO P/INST- S/VIDRO- ACAB. FUND. ANTIOXID.</t>
  </si>
  <si>
    <t>CAIXILHO PERFIL CH 14 DOBRADA -H=1,00M-L=1,20M -TIPO VENEZ. FIXO-C/VENT.PERM -COMPL- PRONT.P/INST- ACAB. FUND.ANTIOXID.</t>
  </si>
  <si>
    <t>COLUNA MÓVEL / COLUNA DE CENTRO</t>
  </si>
  <si>
    <t>FERRO PERFILADO TRABALHADO</t>
  </si>
  <si>
    <t>ALUMÍNIO EXTRUDADO - TRABALHADO - ANODIZADO (P/UTILIZAÇÃO EM CAIXILHOS E PEQUENAS PEÇAS DE SERRALHERIA)</t>
  </si>
  <si>
    <t>CAVALETE CENTRAL (P/ COLUNA MÓVEL CENTRAL DE PORTA DE ENROLAR)</t>
  </si>
  <si>
    <t>GRADE DE PROTEÇÃO EM FERRO REDONDO</t>
  </si>
  <si>
    <t>GRADE DE PROTEÇÃO EM FERRO CHATO</t>
  </si>
  <si>
    <t>GRADE DE FERRO ELETROFUNDIDO GALV. A FOGO -S/ PINTURA 25X2MM MALHA 65X132MM P/PROT. DE ESQUADRIA 1,00X1,20M - COMPRA 10UN</t>
  </si>
  <si>
    <t>PORTA EM ALUMÍNIO ANODIZ. COMUM - 1 FOLHA DE ABRIR H=2,1M-L=1,0M-MET.VIDR/MET.ALUM.-LINH.30-S/VIDR-COMPL.C/BAT. PRON.P/ INST</t>
  </si>
  <si>
    <t>PORTA EM ALUMÍNIO ANODIZ. COMUM - 2 FOLHAS DE ABRIR H=2,1M-L=2,0M-MET.VIDR/MET.ALUM.-LINH.30-S/VIDR-COMPL.C/BAT. PRON.P/ INST</t>
  </si>
  <si>
    <t>PORTA EM ALUMÍNIO ANODIZ. COMUM - 2 FOLHAS DE CORRER H=2,1M-L=2,0M-MET.VIDR/MET.ALUM.-LINH.30-S/VIDR-COMPL.C/BAT. PRON.P/ INST</t>
  </si>
  <si>
    <t>PORTA EM ALUMÍNIO ANODIZ. COMUM - TIPO VENEZIANA H=2,1M-L=1,0M - LINHA 30-DE ABRIR-1 FOLHA -COMPL.-C/ BATENTE-PRONTA P/ INST.</t>
  </si>
  <si>
    <t>PORTA CHAPA DE AÇO N.16</t>
  </si>
  <si>
    <t>PORTA EM PERFIL DE CHAPA DOBRADA N.14 - METADE VIDRO - 1 FOLHA DE ABRIR H=2,10M - L=1,02M-COMPL.C/BAT-PR.P/INST-S/VIDR-ACAB. ANTIOX</t>
  </si>
  <si>
    <t>PORTA EM PERFIL DE CHAPA DOBRADA N.14 - TIPO VENEZIANA - 2 FOLHAS DE ABRIR H=2,10M - L=1,84M-COMPL-C/BAT-S/VIDR-PR.P/INST-ACAB.ANTIOX</t>
  </si>
  <si>
    <t>PORTA DE ENROLAR - CHAPA ONDULADA N. 22 3,20X3,20M - ACAB. FUNDO ANTIOXID-C/ MECANISMO-C/ BATENTE-PRONTA P/ INSTAL.</t>
  </si>
  <si>
    <t>PORTA DE ENROLAR-EM TIRAS ARTICULADAS E RAIADAS-CHAPA 22 3,20X3,20M-ACAB.FUND. ANTIOX-C/ MECAN.-C/BAT-PRONT.P/INSTAL.</t>
  </si>
  <si>
    <t>PORTA DE FE.PERFIL - CH.PRETA 14- 2 FOLHAS DE ABRIR - ALM. 1 LADO H=2,10M-L=2,04M - PRON.P/INST-C/BATENTE- S/VIDR-ACAB. C/ FUND.ANTIOX</t>
  </si>
  <si>
    <t>PORTA EM FE.PERFIL - CH 16 - 2 FOLHAS DE ABRIR - METADE VIDRO H=2,10M-L=2,04M - COMPL-C/BATENTE-S/VIDRO-PRONT.P/INST-ACAB.C/FUND.ANTIOXID.</t>
  </si>
  <si>
    <t>PORTA EM FE.PERFIL - CH 16 - 2 FOLHAS DE CORRER - METADE VIDRO H=2,10M-L=2,04M - COMPL-C/BATENTE-S/VIDRO-PRONT.P/INST-ACAB.C/FUND.ANTIOXID.</t>
  </si>
  <si>
    <t>PORTA EM FE.PERFIL - CH 16 - 1 FOLHA DE ABRIR - METADE VIDRO H=2,10M-L=1,02M - COMPL-C/BATENTE-S/VIDRO-PRONT.P/INST-ACAB.C/FUND.ANTIOXID.</t>
  </si>
  <si>
    <t>PORTA EM FE.PERFIL. CH. PRETA 16 - 1 FOLHA DE ABRIR - DUPLA ALMOF. H=2,10M-L=1,02M - COMPL-C/BAT-PR.P/INSTAL-ACAB.C/FUND.ANTIOX</t>
  </si>
  <si>
    <t>TELA PARA PROTEÇÃO - ARAME N. 12 - MALHA 1/2 - ONDULADA</t>
  </si>
  <si>
    <t>TELA TIPO MOSQUITEIRO GALVANIZADA - MALHA 14 - FIO 28</t>
  </si>
  <si>
    <t>TELA ONDULADA DE ARAME GALVANIZADA MALHA 1 - FIO 10</t>
  </si>
  <si>
    <t>ARMÁRIO DE AÇO C/2 PORTAS E FECH L320XP420XH1980</t>
  </si>
  <si>
    <t>CHAPA DE AÇO N. 14 - CHAPA FINA QUENTE - PRETA (15,25 KG/M2)</t>
  </si>
  <si>
    <t>PERFIS INDUSTRIALIZADOS</t>
  </si>
  <si>
    <t>BATENTE EM PERFIL DE CHAPA DOBRADA Nº20 - GALVANIZADO / TOTAL=5,0M A FRIO, P/ PORTA DE 1 FOLHA S/ BANDEIRA</t>
  </si>
  <si>
    <t>BATENTE EM PERFIL DE CHAPA DOBRADA Nº20 - GALVANIZADO / TOTAL=6,20M A FRIO, P/ PORTA DE 2 FOLHAS S/ BANDEIRA</t>
  </si>
  <si>
    <t>CHAPA DE AÇO E = 1/8" - SAE 1010/1020</t>
  </si>
  <si>
    <t>CHAPA DE AÇO E = 1/4" - SAE 1010/1020</t>
  </si>
  <si>
    <t>CHAPA GROSSA DE AÇO ASTM A-36 - 3/8"</t>
  </si>
  <si>
    <t>CHAPA DE AÇO GALVANIZADA N. 22</t>
  </si>
  <si>
    <t>FERRO CHATO 2" X 1/2"</t>
  </si>
  <si>
    <t>FERRO CHATO 3" X 3/4"</t>
  </si>
  <si>
    <t>FERRO CHATO 4" X 3/4"</t>
  </si>
  <si>
    <t>PERFIL DE AÇO ASTM-36</t>
  </si>
  <si>
    <t>CONJUNTO DE BATENTES DE ALUMÍNIO - TOTAL 3,30 METROS P/ PORTA FIXADA EM DIVISÓRIA DE GRANILITE DE BANHEIRO</t>
  </si>
  <si>
    <t>PORTA CORTA-FOGO 90CM X 2,10M -ISOLAÇÃO 90MIN -C/ BATENTE</t>
  </si>
  <si>
    <t>PERFIL "I" DE AÇO LAMINADO - W 250 X 32,7</t>
  </si>
  <si>
    <t>PERFIL "I" DE AÇO LAMINADO - W 310 X 52,0</t>
  </si>
  <si>
    <t>PERFIL DE AÇO I 15" - SOLDAD0</t>
  </si>
  <si>
    <t>FORNECIMENTO E MONTAGEM DE ESTRUTURA METÁLICA P/EDIFICAÇÕES ASTM OU ABNT -N.PAT, C/APLIC DE FUNDO ANTICOR-S/PINT. DE AC</t>
  </si>
  <si>
    <t>FORNECIMENTO E MONTAGEM DE ESTRUTURA METÁLICA P/EDIFICAÇÕES ASTM OU ABNT -PAT, C/APLIC DE FUNDO ANTICOR-S/PINT. DE ACAB</t>
  </si>
  <si>
    <t>PORTA CORTA-FOGO 105CM X 2,10M -ISOLAÇÃO 90MIN -C/ BATENTE</t>
  </si>
  <si>
    <t>GRADIS</t>
  </si>
  <si>
    <t>GRADIL DE FERRO 1718X1650MM -FIO DE 5MM -GALV. A FOGO S/ PINTURA MALHA DE 65X132MM - BARRA PORTANTE DE 25X2MM</t>
  </si>
  <si>
    <t>GRADIL DE FERRO 1718X1650MM -FIO DE 5MM -GALV.A FOGO, C/ACAB. EM PINT. ELETROST, MALHA DE 65X132MM,BARRA PORTANTE 25X2MM</t>
  </si>
  <si>
    <t>PORTÃO DE FE. ELETROF. GALV. A FOGO- C/ 1 FOLHA DE ABRIR - S/ PINTURA MALHA DE 65X132MM - BARRA PORTANTE DE 25X2MM</t>
  </si>
  <si>
    <t>PORTÃO DE FE. ELETROF. GALV. A FOGO- C/ 1 FOLHA DE ABRIR - C/ PINT. ELETROST, MALHA 65X132MM - BARRA PORTANTE 25X2MM</t>
  </si>
  <si>
    <t>PORTÃO DE FE. ELETROF. GALV. A FOGO- C/ 2 FOLHAS DE ABRIR S/ PINTURA - MALHA DE 65X132MM - BARRA PORTANTE DE 25X2MM</t>
  </si>
  <si>
    <t>PORTÃO DE FE. ELETROF. GALV. A FOGO- C/ 2 FOLHAS DE ABRIR C/ACAB.PINT.ELETROST, MALHA 65X132MM, BARRA PORTANTE 25X2MM</t>
  </si>
  <si>
    <t>PORTÃO DE FE. ELETROF. GALV. A FOGO- C/ 1 FOLHA DE CORRER SEM PINTURA - MALHA DE 65X132MM - BARRA PORTANTE DE 25X2MM</t>
  </si>
  <si>
    <t>PORTÃO DE FE. ELETROF. GALV. A FOGO- C/ 2 FOLHAS DE CORRER C/ACAB.PINT.ELETROST, MALHA 65X132MM, BARRA PORTANTE 25X2MM</t>
  </si>
  <si>
    <t>PORTÃO METÁLICO DE OBRA 5m, PIVOTANTE,2 FOLHAS, PARA TAPUME METÁLICO</t>
  </si>
  <si>
    <t>PORTÃO DE PEDESTRES - 1,15 M, PARA TABUME METÁLICO</t>
  </si>
  <si>
    <t>DESPESA C/SOLDA, ESMERIL, LIXA E PINT-8% DA M.OBRA E MATERIAL (08.48)</t>
  </si>
  <si>
    <t>FERRAGENS PARA ESQUADRIAS</t>
  </si>
  <si>
    <t>CADEADO DE LATÃO - 35MM - TRAVA DUPLA - PESO MÍNIMO 140 GR</t>
  </si>
  <si>
    <t>DOBRADIÇA 3.1/2" X 3" REFORÇADA DE AÇO CROMADO - COM ANÉIS E BOLAS</t>
  </si>
  <si>
    <t>DOBRADIÇA DE AÇO CROMADO - 3" X 3" TIPO MÉDIO - SEM ANEL</t>
  </si>
  <si>
    <t>ESPELHO RETANGULAR CROMADO -P/ FECHADURA CILINDRO</t>
  </si>
  <si>
    <t>Par</t>
  </si>
  <si>
    <t>FECHADURA CILÍNDRICA COMPLETA, 55MM, ACAB. CROM. C/ACES.E GUARN: ROSETA, TESTA, CONTRA TESTA - TRÁFEGO INTENSO</t>
  </si>
  <si>
    <t>FECHADURA CILINDRO - BICO DE PAPAGAIO - 22MM P/  PORTA DE CORRER</t>
  </si>
  <si>
    <t>FECHADURA CILINDRO-CAIXA RASA 22 MM P/ PORTAS DE MONTANTE ESTREITO - ZAMACK</t>
  </si>
  <si>
    <t>CONJUNTO EXTERNO CROMADO DE 55MM COM FECHADURA MAÇANETA, ALAVANCA E ROSETA - TRÁFEGO INTENSO</t>
  </si>
  <si>
    <t>FECHADURA TIPO GORGE - 55MM - USO INTERNO - ZAMACK - TRÁFEGO INTENSO</t>
  </si>
  <si>
    <t>FECHADURA TIPO TRANQUETA E TRINCO 55MM - COMPLETA P/PORTA DE SANITÁRIO - ACABAMENTO CROMADO - TRÁFEGO INTENSO</t>
  </si>
  <si>
    <t>FECHO DE EMBUTIR COM ALAVANCA , LATÃO LAMINADO CROMADO ALT. 200 MM</t>
  </si>
  <si>
    <t>FECHO DE EMBUTIR COM ALAVANCA - LATÃO LAMINADO CROMADO ALT. 400 MM</t>
  </si>
  <si>
    <t>RESPIRADOR DE LATÃO 10 CM</t>
  </si>
  <si>
    <t>MAÇANETA EM ZAMAC P/ CONJUNTO DE FECHADURA CILINDRO</t>
  </si>
  <si>
    <t>MOLA HIDRÁULICA AÉREA P/ FECHAMENTO DE PORTA - TIPO LEVE</t>
  </si>
  <si>
    <t>MOLA HIDRÁULICA AÉREA P/ FECHAMENTO DE PORTA - TIPO PESADO</t>
  </si>
  <si>
    <t>MOLA VAI-E-VEM DE TOPO</t>
  </si>
  <si>
    <t>PORTA CADEADO 63 MM - AÇO ZINCADO</t>
  </si>
  <si>
    <t>PORTA CADEADO 89 MM - AÇO ZINCADO</t>
  </si>
  <si>
    <t>PUXADOR TIPO CONCHA - EM LATÃO CROMADO COM FURO</t>
  </si>
  <si>
    <t>ROSETA ACABAMENTO CROMADO P/ FECHADURA CILINDRO</t>
  </si>
  <si>
    <t>TARGETA DE SOBREPOR "LIVRE-OCUPADO" - ZAMACK CROMADO</t>
  </si>
  <si>
    <t>ALAVANCA EM ZAMACK P/ CAIXILHO BASCULANTE - SEM CAVALETE</t>
  </si>
  <si>
    <t>BRAÇO DE ALAVANCA EM FERRO CHATO - 5/8" X 3/16"</t>
  </si>
  <si>
    <t>TRILHO DE ALUMÍNIO 55 X 60 MM</t>
  </si>
  <si>
    <t>ROLDANA DE NYLON - EIXO SIMPLES TIPO FERMAX - MODELO "RAN 02" OU SIMILAR - (P/ TRILHO DE ALUMÍNIO 55 X 60)</t>
  </si>
  <si>
    <t>PIVÔ GUIA RETO DE LATÃO DE 1/2"</t>
  </si>
  <si>
    <t>TRILHO GUIA CANALETA DE ALUMÍNIO "U" DE 1/2" ESPESSURA 1/16"</t>
  </si>
  <si>
    <t>BARRA ANTI PÂNICO PARA PORTA 1 FOLHA (COM ATÉ 1,00M) SEM CHAVE</t>
  </si>
  <si>
    <t>TRANCA TIPO TETRA SEM MAÇANETAS, SOMENTE COM ROSETA ACAB CROMADO</t>
  </si>
  <si>
    <t>ESCADA DE MARINHEIRO DE FERRO PERFILADO DP.01</t>
  </si>
  <si>
    <t>ESCADA DE MARINHEIRO DE FERRO PERFILADO COM GUARDA CORPO</t>
  </si>
  <si>
    <t>ESCADA COMPLEM. P/ ESCADA MARINHEIRO DE FERRO PERFILADO</t>
  </si>
  <si>
    <t>REVESTIMENTOS (CERÂMICA + SIMILARES)</t>
  </si>
  <si>
    <t>AZULEJO</t>
  </si>
  <si>
    <t>PASTILHA DE PORCELANA FOSCA</t>
  </si>
  <si>
    <t>REVESTIMENTO CERÂMICO ANTI-PICHAÇÃO 10 X 10 CM</t>
  </si>
  <si>
    <t>REVESTIMENTO CERÂMICO ESMALTADO 10 X 10 CM</t>
  </si>
  <si>
    <t>REVESTIMENTOS (PEDRAS NATURAIS)</t>
  </si>
  <si>
    <t>REVESTIMENTOS (MADEIRA; PLÁSTICOS; ETC)</t>
  </si>
  <si>
    <t>CHAPA DE LAMINADO MELAMÍNICO 1.3MM - ACABAMENTO TEXTURIZADO COR BRANCA (P/ REVESTIMENTO DE PORTAS COMPENSADAS)</t>
  </si>
  <si>
    <t>CHAPA DE LAMINADO MELAMÍNICO 1 MM - ACABAMENTO TEXTURIZADO COR BRANCA (P/ REVESTIMENTO DE PORTAS COMPENSADAS)</t>
  </si>
  <si>
    <t>CHAPA DE LAMINADO MELAMÍNICO 1,0 MM - ACABAMENTO LISO COR BRANCA - PARA CONFECÇÃO DE LOUSA</t>
  </si>
  <si>
    <t>REVESTIMENTOS (ELEMENTOS DE ARREMATE)</t>
  </si>
  <si>
    <t>CANTONEIRA DE ALUMÍNIO PARA AZULEJOS</t>
  </si>
  <si>
    <t>CANTONEIRA DE ALUMÍNIO - PERFIL Y</t>
  </si>
  <si>
    <t>PEITORIL DE MADEIRA ITAÚBA - APARELHADO - MED.(30X2)CM</t>
  </si>
  <si>
    <t>PEITORIL DE GRANILITE - 20X2CM</t>
  </si>
  <si>
    <t>PERFIL -L- DE ALUMÍNIO - (1X1X1/8)"</t>
  </si>
  <si>
    <t>PERFIL -L- DE FERRO - (1X1X1/8)"</t>
  </si>
  <si>
    <t>CANTONEIRA DE FERRO ABAS IGUAIS - (1.1/4X1.1/4X1/8)"</t>
  </si>
  <si>
    <t>FORRO DE GESSO COMUM - PLACA CONVENCIONAL - ESP. 1,25CM FORNECIMENTO E INSTALAÇÃO</t>
  </si>
  <si>
    <t>FORRO DE GESSO ACARTONADO TIPO FGA - ESP. 1,25CM FORNECIMENTO E INSTALAÇÃO</t>
  </si>
  <si>
    <t>FORRO GYPSUM ESTRUTURADO TIPO FGE - ESP. 12,5MM FORNECIMENTO E INSTALAÇÃO</t>
  </si>
  <si>
    <t>FORRO EM RÉGUA DE PVC DE 200MM - COLOCADO</t>
  </si>
  <si>
    <t>FORRO DE FIBRA MINERAL MODELADA ÚMIDA- ACABAMENTO DA SUPERF. C/TINTA VINÍLICA A BASE DE LÁTEX- ESP.13MM- COLOC.</t>
  </si>
  <si>
    <t>PISOS (CERÂMICA E SIMILARES)</t>
  </si>
  <si>
    <t>CERÂMICA ESMALTADA  PEI 5</t>
  </si>
  <si>
    <t>PISO CERÂMICO NÃO ESMALTADO ANTI-DERRAPANTE ANTI-ÁCIDO</t>
  </si>
  <si>
    <t>ADESIVO A BASE ACRÍLICA</t>
  </si>
  <si>
    <t>PISO REFERENCIAL PODOTÁTIL COLORIDO ALERTA OU DIRECIONAL VIBRO-PRENSADO - ESP.3CM</t>
  </si>
  <si>
    <t>PISO PODOTÁTIL COLORIDO DE LADRILHO HIDRÁULICO ALERTA OU DIRECIONAL - ESP. 2 A 3CM</t>
  </si>
  <si>
    <t>PISO PODOTÁTIL COLORIDO DE BORRACHA (5MM - COM COLA) ALERTA/DIRECIONAL</t>
  </si>
  <si>
    <t>PISO PODOTÁTIL COLORIDO DE BORRACHA (7MM - ARGAMASSADA) ALERTA/DIRECIONAL</t>
  </si>
  <si>
    <t>PISO PODOTÁTIL COLORIDO INTERTRAVADO - ALERTA OU DIRECIONAL ESP. 6CM</t>
  </si>
  <si>
    <t>PISOS (PEDRAS NATURAIS)</t>
  </si>
  <si>
    <t>PISO DE GRANITO POLIDO - CINZA MAUÁ - PLACAS 2CM</t>
  </si>
  <si>
    <t>PISO GRANITO POLIDO - VERDE UBATUBA - ESPESSURA 2CM</t>
  </si>
  <si>
    <t>PISO MÁRMORE POLIDO BRANCO ESPÍRITO SANTO - ESPESSURA 2CM</t>
  </si>
  <si>
    <t>PISOS (MADEIRA; PLÁSTICOS; ETC)</t>
  </si>
  <si>
    <t>DEGRAU DE BORRACHA SINTÉTICA EM PEÇA ÚNICA (PATAMAR E TESTEIRA) SUPERFÍCIES EM RELEVO C/ ESP.2,5MM A 3,5MM-COLADO</t>
  </si>
  <si>
    <t>TESTEIRA PADRÃO PARA PISO VINÍLICO - ESPESSURA 2MM</t>
  </si>
  <si>
    <t>PISO DE BORRACHA SINTÉTICA SBR- ARGAMASSADO- SUPERFÍCIE EM RELEVO</t>
  </si>
  <si>
    <t>PISO DE BORRACHA SINTÉTICA SBR- ARGAMASSADO- SUPERFÍCIE LISA</t>
  </si>
  <si>
    <t>PISO DE BORRACHA SINTÉTICA SBR- COLADO- SUPERFÍCIE LISA  - ESP. 4MM</t>
  </si>
  <si>
    <t>PISO DE BORRACHA SINTÉTICA SBR- COLADO- SUPERFÍCIE EM RELEVO - ESP. 4MM</t>
  </si>
  <si>
    <t>PISO ARGAMASSA DE ALTA RESISTÊNCIA - ESP: 8MM</t>
  </si>
  <si>
    <t>PISO ARGAMASSA DE ALTA RESISTÊNCIA - ESP: 12MM</t>
  </si>
  <si>
    <t>PISO DE GRANILITE - ESP= 8MM</t>
  </si>
  <si>
    <t>ASSOALHO EM CUMARU COM  ENCAIXE MACHO E FÊMEA MEDIDAS 15X2CM</t>
  </si>
  <si>
    <t>TACO EM CUMARU MEDIDAS - 10 X 40 X 2 CM</t>
  </si>
  <si>
    <t>PISOS (ELEMENTOS DE ARREMATE)</t>
  </si>
  <si>
    <t>JUNTA PLÁSTICA PARA PISO DE GRANILITE - (20X3)MM</t>
  </si>
  <si>
    <t>PISO VINÍLICO SEMIFLEXÍVEL, PADRÃO LISO, ESPESSURA DE 2MM</t>
  </si>
  <si>
    <t>PISO VINÍLICO SEMIFLEXÍVEL, PADRÃO LISO, ESPESSURA DE 3,2MM</t>
  </si>
  <si>
    <t>RODAPE DE ARGAMASSA ALTA RESISTÊNCIA MEIA CANA - 10CM</t>
  </si>
  <si>
    <t>RODAPÉ LISO DE BORRACHA SINTÉTICA DE 7CM - ESPESSURA DE 3MM - COLADO</t>
  </si>
  <si>
    <t>RODAPÉ DE PVC TIPO PLANO P/ PISO PAVIFLEX - ALT: 7,5 CM</t>
  </si>
  <si>
    <t>RODAPÉ DE GRANILITE - 10CM</t>
  </si>
  <si>
    <t>RODAPE DE GRANILITE - MEIA CANA 10 CM</t>
  </si>
  <si>
    <t>RODAPÉ DE 7 CM EM CUMARU ESPESSURA VARIÁVEL, POR VOLTA DE 1,5 CM</t>
  </si>
  <si>
    <t>RODAPÉ EM GRANITO CINZA MAUÁ - 7X2CM</t>
  </si>
  <si>
    <t>TESTEIRA DE BORRACHA SINTÉTICA - SUPERFÍCIES EM RELEVO MED. (50 OU 70 X 30)MM - ESPES. DE 3MM - P/ FIXAÇÃO C/ COLA</t>
  </si>
  <si>
    <t>SOLEIRA P/PORTAS EM GRANITO CINZA S/POLIM. (FOSCO) - 14X2CM</t>
  </si>
  <si>
    <t>PAVIMENTAÇÃO EXTERNA</t>
  </si>
  <si>
    <t>REVESTIMENTO COM 2 CM DE ARGAMASSA 1:3</t>
  </si>
  <si>
    <t>LADRILHO HIDRÁULICO P/ PASSEIO -  ESP = 2CM 20X20CM - (MAPA DE SÃO PAULO)</t>
  </si>
  <si>
    <t>MOSAICO PORTUGUÊS BRANCO (NÃO COLOCADO) BRUTO</t>
  </si>
  <si>
    <t>MOSAICO PORTUGUÊS PRETO (NÃO COLOCADO) BRUTO</t>
  </si>
  <si>
    <t>MOSAICO PORTUGUÊS - 1 OU 2 CORES</t>
  </si>
  <si>
    <t>PARALELEPÍPEDO CINZA (INTEIRO - NÃO COLOCADO)</t>
  </si>
  <si>
    <t>CONCRETO ASFALTICO</t>
  </si>
  <si>
    <t>TON</t>
  </si>
  <si>
    <t>ASFALTO DILUÍDO CM-30 - IMPERMEABILIZANTE</t>
  </si>
  <si>
    <t>ASFALTO DILUÍDO DE PETRÓLEO CR-250</t>
  </si>
  <si>
    <t>CIMENTO ASFÁLTICO DE PETRÓLEO - PENETRAÇÃO CAP 50/70</t>
  </si>
  <si>
    <t>CIMENTO ASFÁLTICO DE PETRÓLEO - PENETRAÇÃO CAP 30/45</t>
  </si>
  <si>
    <t>CONCRETO ASFÁLTICO TIPO CPA (CONCRETO POROSO ASFÁLTICO) COM POLÍMEROS E FIBRAS - PREÇO A RETIRAR</t>
  </si>
  <si>
    <t>Ton</t>
  </si>
  <si>
    <t>SELA TRINCA (CIMENTO ASFÁLTICO ELASTOMÉRICO PARA SELAGEM DE TRINCAS EM PAVIMENTOS ASFÁLTICOS)</t>
  </si>
  <si>
    <t>PEDRA MIRACEMA - ESP MD=1,2CM</t>
  </si>
  <si>
    <t>USINAGEM À QUENTE DE MISTURA ASFÁLTICA TIPO SMA COM CIMENTO ASFÁLTICO MODIFICADO COM POLÍMERO E FIBRA, PARA MICROREVESTIMENTO</t>
  </si>
  <si>
    <t>CIMENTO ASFÁLTICO MODIFICADO POR POLÍMERO</t>
  </si>
  <si>
    <t>CIMENTO ASFÁLTICO MODIFICADO POR BORRACHA</t>
  </si>
  <si>
    <t>PISO DE CONCRETO PRÉ-MOLDADO INTERTRAVADO E=6CM-COR NATURAL MODELO "RETANGULAR" - 10 X 20 CM</t>
  </si>
  <si>
    <t>PISO DE CONCRETO PRÉ-MOLDADO INTERTRAVADO E=8 CM-COR NATUR. MODELO "RETANGULAR" - 10 X 20 CM</t>
  </si>
  <si>
    <t>PISO DE CONCRETO PRÉ-MOLDADO INTERTRAVADO E=10CM-COR NATUR. MODELO "RETANGULAR" - 10 X 20 CM</t>
  </si>
  <si>
    <t>PISO DE CONCRETO PRÉMOLDADO INTERTRAVADO DRENANTE, ESPESSURA 6 CM, COR NATURAL</t>
  </si>
  <si>
    <t>PISO DE CONCRETO PRÉMOLDADO INTERTRAVADO DRENANTE, ESPESSURA 8 CM, COR NATURAL</t>
  </si>
  <si>
    <t>USINAGEM À QUENTE DE MISTURA ASFÁLTICA TIPO SMA COM CIMENTO ASFÁLTICO MODIFICADO COM POLÍMERO E FIBRA</t>
  </si>
  <si>
    <t>USINAGEM À QUENTE DE MISTURA ASFÁLTICA TIPO CPA (CAMADA POROSA DE ATRITO) COM CIMENTO ASFÁLTICO MODIFICADO COM POLÍMERO E FIBRA</t>
  </si>
  <si>
    <t>USINAGEM À QUENTE DE MISTURA ASFÁLTICA TIPO CPA (CAMADA POROSA DE ATRITO) COM CIMENTO ASFÁLTICO MODIFICADO COM BORRACHA</t>
  </si>
  <si>
    <t>USINAGEM À QUENTE DE MISTURA ASFÁLTICA TIPO "GAP GRADED" COM CIMENTO ASFÁLTICO MODIFICADO COM POLÍMERO</t>
  </si>
  <si>
    <t>USINAGEM À QUENTE DE MISTURA ASFÁLTICA TIPO "GAP GRADED" COM CIMENTO ASFÁLTICO MODIFICADO COM BORRACHA</t>
  </si>
  <si>
    <t>RECICLAGEM (USINAGEM) DE MATERIAL BETUMINOSO PROVENIENTES DA FRESAGEM DE PAVIMENTOS ASFÁLTICOS (RAP) RECICLADO EM USINA MÓVEL COM ATÉ 3% DE EMULSÃO MODIFICADA COM POLÍMERO</t>
  </si>
  <si>
    <t>RECICLAGEM (USINAGEM) DE MATERIAL BETUMINOSO PROVENIENTES DOS RESÍDUOS SÓLIDOS DA CONSTRUÇÃO CIVIL (RCC) E/OU FRESAGEM DE PAVIMENTOS ASFÁLTICOS (RAP) RECICLADO EM USINA MÓVEL COM ATÉ 3% DE CAP</t>
  </si>
  <si>
    <t>ESTABILIZANTE QUÍMICO DE SOLOS</t>
  </si>
  <si>
    <t>EMULSÃO ASFÁLTICA RL-1C</t>
  </si>
  <si>
    <t>EMULSÃO ASFÁLTICA (LIGANTE) - RR 1C</t>
  </si>
  <si>
    <t>EMULSÃO ASFÁLTICA (LIGANTE) - RR 2C</t>
  </si>
  <si>
    <t>EMULSÃO ASFÁLTICA MODIFICADA POR POLÍMERO</t>
  </si>
  <si>
    <t>PRÉ MISTURADO A QUENTE</t>
  </si>
  <si>
    <t>PRÉ MISTURADO A FRIO</t>
  </si>
  <si>
    <t>BINDER ABERTO</t>
  </si>
  <si>
    <t>BINDER FECHADO</t>
  </si>
  <si>
    <t>USINAGEM À QUENTE DE MISTURA ASFÁLTICA COM CIMENTO ASFÁLTICO MODIFICADO COM POLÍMERO (SEM DESONERAÇÃO)</t>
  </si>
  <si>
    <t>CONCRETO ASFÁLTICO USINADO MORNO COM ADITIVO SURFACTANTE</t>
  </si>
  <si>
    <t>GUIAS E BOCAS DE LOBO</t>
  </si>
  <si>
    <t>CHAPÉU DE BOCA DE LOBO</t>
  </si>
  <si>
    <t>GUIA DE CONCRETO TIPO PMSP "100" 20 MPA</t>
  </si>
  <si>
    <t>GUIA DE CONCRETO TIPO PMSP "100" 25 MPA</t>
  </si>
  <si>
    <t>GUIA DE CONCRETO PARA JARDIM</t>
  </si>
  <si>
    <t>TAMPA DE CONCRETO PARA BOCA DE LOBO -  TIPO PMSP - MEDIDA DE 1,10 X 0,70 X 0,08 M</t>
  </si>
  <si>
    <t>TAMPÃO DE FERRO FUNDIDO DÚCTIL CLASSE MÍNIMA 400 (40T) D=600 MM - NBR 10160 - ARTICULADO - P/ GAL. ÁGUAS PLUV.</t>
  </si>
  <si>
    <t>TAMPÃO-GRELHA DE FERRO FUNDIDO DÚCTIL CLASSE MÍNIMA 400 (40T) D=600MM - NBR 10160-ARTICULADO- P/ GAL. ÁGUAS PLUV.</t>
  </si>
  <si>
    <t>TAMPÃO MAIS ARO, AMBOS EM POLIETILENO CLASSE MÍNIMA 400 (40T) D=600MM - ABNT - P/ GAL. ÁGUAS PLUV.</t>
  </si>
  <si>
    <t>TAMPÃO DE FERRO FUNDIDO DÚCTIL CLASSE MÍNIMA 400 (40T) D=600 MM - NBR 10160 - NÃO ARTICULADO - P/ GAL. ÁGUAS PLUV.</t>
  </si>
  <si>
    <t>TAMPÃO-GRELHA DE FERRO FUNDIDO DÚCTIL CLASSE MÍNINIMA 400 (40T) D=600MM -NBR 10160-NÃO ARTICULADO-P/ GAL. ÁGUAS PLUV.</t>
  </si>
  <si>
    <t>GUIA DE CONCRETO TIPO PMSP "100" 30 MPA - 15 X 30CM 12CM TOPO</t>
  </si>
  <si>
    <t>GRELHA TIPO "BOCA DE LEÃO" DE FE. FUND. DUCTIL CL. MÍN. 250 25T- DIM.APR=810X270MM-NBR 10160 -T.ARTICU.- P/ GAL.ÁG.PLU</t>
  </si>
  <si>
    <t>GRELHA TIPO "BOCA DE LEÃO" DE FE. FUND. DUCTIL CL MÍN. D400 40T-DIM. APR= 810X270MM-NBR 10160-T.ARTICU.-P/ GAL. ÁG.PLU</t>
  </si>
  <si>
    <t>GRELHA TIPO "BOCA DE LEÃO" DE FE. FUND. DUCTIL CL MÍN. D400 40T-DIM. APR= 500X500MM-NBR 10160-T. ARTICU.-P/ GAL. ÁG.PLU</t>
  </si>
  <si>
    <t>GRELHA TIPO "BOCA DE LEÃO" DE POLIETILENO CL. MÍN. 250 - 25T- DIM. APR=810X270MM-ABNT-T. ARTICU.-P/ GAL. ÁG. PLU</t>
  </si>
  <si>
    <t>GRELHA TIPO "BOCA DE LEÃO" DE FE. FUND. DUCTIL CL. MÍN. 250 25T-DIM.APR=810X270MM-NBR 10160-T. NÃO ARTICUL-P/GAL.ÁG.PLU</t>
  </si>
  <si>
    <t>GRELHA TIPO "BOCA DE LEÃO" DE FE. FUND. DUCTIL CL. MÍN D400 40T-DIM.APR= 810X270MM-NBR 10160-T. NÃO ARTICU.P/GAL.ÁG.PLU</t>
  </si>
  <si>
    <t>CANALETA E GRELHA EMBUTIDA DE CONCRETO POLÍMERO 95MPA ANTIFURTO CLASSE D400 15X23X100CM , VAZÃO DECLIVIDADE 0% 6,6 L/S OU SIMILAR</t>
  </si>
  <si>
    <t>CANALETA E GRELHA EMBUTIDA DE CONCRETO POLÍMERO 95MPA ANTIFURTO CLASSE D400 25X32X100CM, VAZÃO DECLIVIDADE 0% 22,1 L/S OU SIMILAR</t>
  </si>
  <si>
    <t>CANALETA E GRELHA EMBUTIDA DE CONCRETO POLÍMERO 95MPA ANTIFURTO CLASSE D400 21X28X100CM , VAZÃO DECLIVIDADE 0% 9,13 L/S OU SIMILAR</t>
  </si>
  <si>
    <t>CANALETA E GRELHA EMBUTIDA DE CONCRETO POLÍMERO 95MPA ANTIFURTO CLASSE D400 21X38X100CM , VAZÃO DECLIVIDADE 0% 20,65 L/S OU SIMILAR</t>
  </si>
  <si>
    <t>CANALETA E GRELHA EMBUTIDA DE CONCRETO POLÍMERO 95MPA ANTIFURTO CLASSE D400 26X53X100CM, VAZÃO DECLIVIDADE 0% 57,25 L/S OU SIMILAR</t>
  </si>
  <si>
    <t>CANALETA E GRELHA EMBUTIDA DE CONCRETO POLÍMERO 95MPA ANTIFURTO CLASSE D400 40X59,5X200CM , VAZÃO DECLIVIDADE 0% 83,20 L/S OU SIMILAR</t>
  </si>
  <si>
    <t>VIDROS</t>
  </si>
  <si>
    <t>ESPELHO COMUM - 3MM</t>
  </si>
  <si>
    <t>ESPELHO COMUM C/ MOLD. ALUMÍNIO - 3MM</t>
  </si>
  <si>
    <t>VIDRO DE SEGURANÇA; TEMPERADO - 6MM</t>
  </si>
  <si>
    <t>VIDRO DE SEGURANÇA; TEMPERADO - 10MM</t>
  </si>
  <si>
    <t>VIDRO IMPRESSO; TIPO CANELADO - 4MM</t>
  </si>
  <si>
    <t>VIDRO LAMINADO INCOLOR - 6MM</t>
  </si>
  <si>
    <t>VIDRO LAMINADO LEITOSO - 6MM</t>
  </si>
  <si>
    <t>VIDRO LISO COMUM; TRANSPARENTE INCOLOR - 3MM</t>
  </si>
  <si>
    <t>VIDRO LISO COMUM; TRANSPARENTE INCOLOR - 4MM</t>
  </si>
  <si>
    <t>VIDRO LISO COMUM; TRANSPARENTE INCOLOR - 5MM</t>
  </si>
  <si>
    <t>VIDRO LISO COMUM; TRANSPARENTE INCOLOR - 6MM</t>
  </si>
  <si>
    <t>PLACA DE POLICARBONATO TIPO COMPACTA - PARA PROTEÇÃO DE BARRAMENTO DE QUADROS -  ESP. 4MM</t>
  </si>
  <si>
    <t>TINTAS</t>
  </si>
  <si>
    <t>TINTA ESMALTE BRILHANTE BRANCA</t>
  </si>
  <si>
    <t>TINTA A BASE DE BORRACHA CLORADA</t>
  </si>
  <si>
    <t>TINTA A ÓLEO BRILHANTE BRANCA</t>
  </si>
  <si>
    <t>TINTA LÁTEX - PVA (1a. LINHA / PREMIUM) BRANCA</t>
  </si>
  <si>
    <t>TINTA A BASE DE RESINA EPÓXI</t>
  </si>
  <si>
    <t>TINTA ACRÍLICA FOSCA BRANCA</t>
  </si>
  <si>
    <t>TEXTURA ACRÍLICA BRANCA</t>
  </si>
  <si>
    <t>TINTA ESMALTE SINTÉTICO VERDE P/ QUADRO ESCOLAR</t>
  </si>
  <si>
    <t>TINTA À BASE DE CIMENTO - MODIFICADA COM RESINA ACRÍLICA (UTILIZ. EM IMPERMEABILIZ. DE FACH. DE CONCRETO OU ALVEN.)</t>
  </si>
  <si>
    <t>TINTA ANTI-PICHAÇÃO - BASE SOLVENTE (SOLÚVEL EM SOLVENTE)</t>
  </si>
  <si>
    <t>VERNIZES E OUTROS MATERIAIS P/ PINTURA</t>
  </si>
  <si>
    <t>ÓXIDO DE ALUMÍNIO (JATO DE AREIA) P/ TRATAMENTO DE SUPERFÍCIE (RECUPERAÇÃO DE ESTRUTURA)</t>
  </si>
  <si>
    <t>HIDROJATEAMENTO PARA LIMPEZA DE SUPERFÍCIES</t>
  </si>
  <si>
    <t>JATEAMENTO PARA LIMPEZA DE FERRAGENS E SUPERFÍCIES DE CONCRETO</t>
  </si>
  <si>
    <t>LIXAMENTO MECÂNICO DE SUPERFÍCIES DE CONCRETO</t>
  </si>
  <si>
    <t>LIXAMENTO MANUAL DE SUPERFÍCIE DE CONCRETO</t>
  </si>
  <si>
    <t>LÍQUIDO IMUNIZANTE PARA MADEIRA, A BASE DE PIRETRÓIDE, DISSOLVIDO EM ISOPARAFINA - APLICADO</t>
  </si>
  <si>
    <t>FUNDO CROMATO DE ZINCO</t>
  </si>
  <si>
    <t>SELADOR P/ TINTA EPÓXI (P/FUNDO DE PAREDE,S/MASSA CORRIDA)</t>
  </si>
  <si>
    <t>SELADOR ACRÍLICO</t>
  </si>
  <si>
    <t>TRINCHA 2.1/2" (PARA LÁTEX)</t>
  </si>
  <si>
    <t>LIXA D'ÁGUA - N. 80  E  N. 320</t>
  </si>
  <si>
    <t>LIXA PARA FERRO - N. 150</t>
  </si>
  <si>
    <t>PEDRA ABRASIVA GRANA 220 (PARA UTILIZAÇÃO NA POLIDORA DE PISO)</t>
  </si>
  <si>
    <t>DISCO CERÂMICO DIAMANTADO - GRANA 200 (PARA UTILIZAÇÃO NA POLIDORA DE PISO)</t>
  </si>
  <si>
    <t>LIXA PARA MADEIRA - N.100</t>
  </si>
  <si>
    <t>LIXA CARBURETO DE SILÍCIO  7" - GRANA  60 - PARA CONCRETO</t>
  </si>
  <si>
    <t>ESCOVA RETANGULAR COM CERDAS DE AÇO:ALTURA DAS CERDAS 30 MM COMPRIMENTO: 192 MM; LARGURA 57 MM - SEM CABO</t>
  </si>
  <si>
    <t>ESCOVA CIRCULAR COM CERDAS DE AÇO - 6 X 3/4" - FURO 1/2"</t>
  </si>
  <si>
    <t>LIXA CARBURETO DE SILÍCIO  7" -  GRANA 120 - PARA CONCRETO</t>
  </si>
  <si>
    <t>MASSA BASE ÓLEO PARA MADEIRA</t>
  </si>
  <si>
    <t>MASSA CORRIDA - PVA</t>
  </si>
  <si>
    <t>MASSA BASE EPÓXI - BICOMPONENTE (MASSA E CATALIZADOR)</t>
  </si>
  <si>
    <t>MASSA ACRÍLICA (PARA PAREDE)</t>
  </si>
  <si>
    <t>ÓLEO DE LINHAÇA</t>
  </si>
  <si>
    <t>PIGMENTO PARA CIMENTADO LISO (PÓ XADREZ)</t>
  </si>
  <si>
    <t>REMOVEDOR</t>
  </si>
  <si>
    <t>GOMA LACA (IMPORTADA)</t>
  </si>
  <si>
    <t>ÁLCOOL ABSOLUTO 99 %</t>
  </si>
  <si>
    <t>VERNIZ A BASE DE GOMA LACA</t>
  </si>
  <si>
    <t>VERNIZ POLIURETANO BRILHANTE (VERNIZ MARÍTIMO)</t>
  </si>
  <si>
    <t>VERNIZ ANTI-PICHAÇÃO - BASE SOLVENTE INCOLOR (SOLÚVEL EM SOLVENTE)</t>
  </si>
  <si>
    <t>SOLUÇÃO CONCENTRADA DE SILICONE - IMPERMEABILIZANTE INCOLOR HIDROREPELENTE PARA FACHADA</t>
  </si>
  <si>
    <t>VERNIZ NITRO CELULOSE // VERNIZ SINTÉTICO BRILHANTE ( PARA USO EM MADEIRA )</t>
  </si>
  <si>
    <t>VERNIZ ACRÍLICO BRILHANTE BASE ÁGUA</t>
  </si>
  <si>
    <t>COMPLEMENTOS PAISAGISTICOS E ESPORTIVOS</t>
  </si>
  <si>
    <t>GRAMA ESMERALDA</t>
  </si>
  <si>
    <t>MASTRO P/ BANDEIRA COMPLETO ENGASTADO H LIVRE 7,0 M</t>
  </si>
  <si>
    <t>MASTRO P/ BANDEIRA COMPLETO ENGASTADO H LIVRE 9,0 M</t>
  </si>
  <si>
    <t>POSTE P/ REDE DE VOLEIBOL C/ ACESSÓRIOS</t>
  </si>
  <si>
    <t>REDE DE NÁILON PARA FUTEBOL DE SALÃO</t>
  </si>
  <si>
    <t>REDE DE NÁILON PARA VOLEIBOL</t>
  </si>
  <si>
    <t>COBERTURA DE QUADRA POLIESPORTIVA COM TELA DE NYLON FIO 3MM (FORNECIMENTO E COLOCAÇÃO)</t>
  </si>
  <si>
    <t>TELA POLIETILENO P/ PROTEÇÃO DE FACHADA-TRAMA 2,2MM</t>
  </si>
  <si>
    <t>TABELA PARA BASQUETE; INCLUSIVE ARO</t>
  </si>
  <si>
    <t>TAMPÃO DE AÇO GALVANIZADO - 3"</t>
  </si>
  <si>
    <t>BRINQUEDOS PARA PLAYGROUND</t>
  </si>
  <si>
    <t>CARROSSEL EM FERRO COM 20 LUGARES PARA PLAYGROUND/JARDIM DIÂMETRO DE 2,20M</t>
  </si>
  <si>
    <t>ESCADA HORIZONTAL EM FERRO PARA PLAYGROUND/JARDIM  - MED. (1,80X1,80)M</t>
  </si>
  <si>
    <t>ESCORREGADOR EM FERRO PARA PLAYGROUND/JARDIM (1,80X3,00)M</t>
  </si>
  <si>
    <t>BALANÇO TRIPLO EM FERRO COM PNEUS PARA PLAYGROUND/JARDIM  - MED. (2,50X2,50X4,50)M</t>
  </si>
  <si>
    <t>GANGORRA TRIPLA EM FERRO PARA PLAYGROUND/JARDIM  - MED. (0,70X3,00)M</t>
  </si>
  <si>
    <t>GAIOLA LABIRINTO EM FERRO PARA PLAYGROUND/JARDIM  - MED. (1,50X1,50X2,00)M</t>
  </si>
  <si>
    <t>BALANÇO FRONTAL DUPLO P/ CADEIRANTE</t>
  </si>
  <si>
    <t>PLACA DE E.V.A,  ESP 30 MM, PARA USO INTERNO, TIPO TATAMI PLACAS PRÉ CORTADAS, DENTADAS, LISAS, COLORIDAS, 1 X 1 M</t>
  </si>
  <si>
    <t>VEGETAÇÃO PARA PAISAGISMO</t>
  </si>
  <si>
    <t>ADUBO QUÍMICO NPK 10 - 10 - 10 - (PREÇO PARA NÃO PRODUTOR)</t>
  </si>
  <si>
    <t>CALCÁRIO DOLOMÍTICO - UTILIZADO EM PLANTIO</t>
  </si>
  <si>
    <t>LATÂNIA - H=0.50/1.00 M - (LATANIA SPP) PALMEIRA - MEDIDA: "PONTA FOLHA"</t>
  </si>
  <si>
    <t>SEAFORTIA - H=1.50/2.00 M - (ARCHONTOPHOENIX CUNNINGHAMIANA) PALMÁCEA - MEDIDA: "PONTA FOLHA"</t>
  </si>
  <si>
    <t>PALMEIRA IMPERIAL (ROYSTONEA OLERACEA) H=1,5 A 2,0 M - MEDIDA: "PONTA FOLHA"</t>
  </si>
  <si>
    <t>CINERÁRIA (SENECIO CINERARIA) FORRAÇÃO</t>
  </si>
  <si>
    <t>Dúzia</t>
  </si>
  <si>
    <t>HERA INGLESA (HEDERA HELIX) FORRAÇÃO</t>
  </si>
  <si>
    <t>LÍRIO AMARELO (HEMEROCALLIS FLAVA) FORRAÇÃO</t>
  </si>
  <si>
    <t>VEDÉLIA (WEDELIA PALUDOSA) FORRAÇÃO</t>
  </si>
  <si>
    <t>MONSTERA (MONSTERA DELICIOSA)</t>
  </si>
  <si>
    <t>IPOMEIA - H=1,00/1,50 M - (IPOMOEA LEARII) TREPADEIRA</t>
  </si>
  <si>
    <t>MARACUJÁ - H=0.50/0.70M - (PASSIFLORA COERULEA) TREPADEIRA</t>
  </si>
  <si>
    <t>TUMBERGIA - H=0,50/0,70 M - (THUNBERGIA GRANDIFLORA) TREPADEIRA</t>
  </si>
  <si>
    <t>ABUTILOM - H=0,50/0,70 M - ( ABUTILOM STRIATUM ) ARBUSTO - MEDIDA: "PONTA FOLHA"</t>
  </si>
  <si>
    <t>BELA-EMÍLIA - H=0.50/0.70 M - (PLUMBAGO CAPENSIS) ARBUSTO</t>
  </si>
  <si>
    <t>DRACENA - H=0.50/0.70 M  - (DRACAENA FRAGRANS) ARBUSTO</t>
  </si>
  <si>
    <t>MALVAVISCO H=0.50/0.70 M - (MALVAVISCUS MOLLIS) ARBUSTO</t>
  </si>
  <si>
    <t>BAMBUZINHO - H=1.00 A 2.00 M - (BAMBUZA GRACILIS) BAMBU</t>
  </si>
  <si>
    <t>ESPONJINHA - H=0,50/0,70 M - (CALLIANDRA TWEEDII) ARBUSTO</t>
  </si>
  <si>
    <t>CÁSSIA-ALELUIA (SENNA MULTIJUGA) H=1,50/2,00 M - ÁRVORE ORNAMENTAL</t>
  </si>
  <si>
    <t>ALECRIM CAMPINAS - (HOLOCALIX BALANSAE) H=1,50/2,00 M - ÁRVORE ORNAMENTAL</t>
  </si>
  <si>
    <t>IPÊ AMARELO - H=1,50/2,00 M - (TABEBUIA CHRYSOTRICHA)</t>
  </si>
  <si>
    <t>IPÊ ROSA - H=1,50/2,00 M - (TABEBUIA AVELLANEDAE)</t>
  </si>
  <si>
    <t>IPÊ ROXO - H=1,50/2,00 M - (TABEBUIA IMPETIGINOSA)</t>
  </si>
  <si>
    <t>PAU-BRASIL - H=1.50/2.00 M - (CAESALPINIA ECHINATA) ÁRVORE ORNAMENTAL</t>
  </si>
  <si>
    <t>GRAMA SINTÉTICA FIBRILADA DE POLIETILENO, ESPESSURA DOS FIOS 50 MICRAS, 3400 DETEX, COR VERDE</t>
  </si>
  <si>
    <t>GRAMA BATATAIS EM PLACAS (PASPALUM NOTATUM) (NÃO INSTALADA)</t>
  </si>
  <si>
    <t>GRAMA PRETA - 36 MUDAS POR M2 (OPHIOPOGUM JAPONICUS)</t>
  </si>
  <si>
    <t>GRAMA SÃO CARLOS - EM PLACAS (AXONOPUS OBTUSIFOLIUS) NÃO INSTALADA - FORNECIMENTO OBRA GRANDE SÃO PAULO</t>
  </si>
  <si>
    <t>ADUBO ORGÂNICO - ESTERCO</t>
  </si>
  <si>
    <t>TERRA VEGETAL MARROM</t>
  </si>
  <si>
    <t>TERRA VEGETAL PRETA</t>
  </si>
  <si>
    <t>ARECA-BAMBU -H=0.50/1.00 M- (CHRYSALIDO CARPUS LUTESCENS) PALMÁCEA - MEDIDA: "PONTA FOLHA"</t>
  </si>
  <si>
    <t>COQUEIRO - H=1,50/2,00 M - (COCOS NUCIFERA) PALMÁCEA - MEDIDA: "PONTA FOLHA"</t>
  </si>
  <si>
    <t>GUARIROBA - H=1,50/2.00M - (SYAGRUS OLERACEA) PALMÁCEA - MEDIDA: "PONTA FOLHA"</t>
  </si>
  <si>
    <t>JERIVÁ - (SYAGRUS  ROMANZOFFIANA) H=1,50 A 2,00 M - PALMÁCEA - MEDIDA: "PONTA FOLHA"</t>
  </si>
  <si>
    <t>BURITI - H=1,50/2,00 M  - (MAURITIA VINIFERA) PALMÁCEA - MEDIDA: "PONTA FOLHA"</t>
  </si>
  <si>
    <t>COLINIA - H=1,5/ 2,0M - (CHAMAEDOREA ELEGANS) PALMÁCEA - MEDIDA: "PONTA FOLHA"</t>
  </si>
  <si>
    <t>JASMIM ESTRELA - H=0,50/0,70 M - (TRACHELOSPERMOM JASMINDA) TREPADEIRA</t>
  </si>
  <si>
    <t>LÁGRIMA DE CRISTO - H=0,50/0,70 M -(CLERODENDRON THOMSONAE) TREPADEIRA</t>
  </si>
  <si>
    <t>PRIMAVERA - H=0.50/0.70 M - (BOUGAINVILLEA GLABRA) TREPADEIRA</t>
  </si>
  <si>
    <t>UNHA-DE-GATO H=0.10/0.15M - (FICUS PUMILA) TREPADEIRA</t>
  </si>
  <si>
    <t>CLOROFITO (CLOROPHYTUM CROMOSSUM) FORRAÇÃO</t>
  </si>
  <si>
    <t>MARIA-SEM-VERGONHA (IMPATIENS SPP) FORRAÇÃO</t>
  </si>
  <si>
    <t>PILÉA (PILEA CADIEREI) FORRAÇÃO</t>
  </si>
  <si>
    <t>FILODENDRO (PHILODENDRON BIPINNATIFIDUM) FORRAÇÃO</t>
  </si>
  <si>
    <t>ACALIFA - H=0.50/0.70M - (ACALYPHA WIKESIANA) FOLHAS VERMELHAS MESCLADAS C/ COBRE E ROSA - ARBUSTO</t>
  </si>
  <si>
    <t>ALAMANDA - H=0.50/0.70 M - (ALLAMANDA NERIIFOLIA) TREPADEIRA</t>
  </si>
  <si>
    <t>AZALÉIA - H= 0.50/0.70 M - (RHODODENDRON INDICUM) ARBUSTO</t>
  </si>
  <si>
    <t>CAMARÃO - H=0.50/0.70 M - (BELOPERONE GUTTATA) ARBUSTO</t>
  </si>
  <si>
    <t>COSMOS - (COSMOS BIPINNATUS) FORRAÇÃO</t>
  </si>
  <si>
    <t>HIBISCO - H=0.50/0.70M - (HIBISCUS ROSA SINENSIS) FLORES VERMELHAS, ROSAS OU BRANCAS - ARBUSTO</t>
  </si>
  <si>
    <t>PIRACANTA - H=0.50/0.70 M (PYRACANTHA COCCINEA) ARBUSTO</t>
  </si>
  <si>
    <t>PAINEIRA-ROSA - H=1.50/2.00 M - (CHORISIA SPECIOSA) ÁRVORE ORNAMENTAL</t>
  </si>
  <si>
    <t>PAU-FERRO - H=1.50/2.00M - (CAESALPINIA FERREA) ÁRVORE ORNAMENTAL</t>
  </si>
  <si>
    <t>CONCREGRAMA - E = 9,5 CM 60 X 45CM</t>
  </si>
  <si>
    <t>SIBIPIRUNA - H=1.50/2.00 M - (CAESALPINIA PELTOPHOROIDES) ÁRVORE ORNAMENTAL</t>
  </si>
  <si>
    <t>SUINÃ - H=0.50/0.70 M (ERYTHRINA SPECIOSA) ARBUSTO</t>
  </si>
  <si>
    <t>TIPUANA - H=1.50/2.00 M - (TIPUANA TIPO) ÁRVORE ORNAMENTAL</t>
  </si>
  <si>
    <t>ÁRVORE ORNAM. H=1.50/2.00 M - PATA-DE-VACA</t>
  </si>
  <si>
    <t>ÁRVORE ORNAM. H=1.50/2.00 M - QUARESMEIRA</t>
  </si>
  <si>
    <t>ÁRVORE ORNAM.  H=1.50/2.00 M - MANACÁ-DA-SERRA</t>
  </si>
  <si>
    <t>GOIABA DA SERRA - ACCA SELLOWIANA - DAP 3</t>
  </si>
  <si>
    <t>GUARITÁ - ASTRONIUM GRAVEOLENS - DAP 3</t>
  </si>
  <si>
    <t>PAU MARFIM - BALFOURODENDRON RIEDELLIANUM - DAP 3</t>
  </si>
  <si>
    <t>GUANANDI - CALOPHYLLUM BRASILIENSES - DAP 3</t>
  </si>
  <si>
    <t>CAMBUCI - CAMPOMANESIA PHAEA - DAP 3</t>
  </si>
  <si>
    <t>GABIROBA - CAMPOMANESIA XANTHOCARPA - DAP 3</t>
  </si>
  <si>
    <t>CÁSSIA FERRUGEM - CASSIA FERRUGINEA - DAP 3</t>
  </si>
  <si>
    <t>FALSO BARBATIMÃO - CASSIA LEPTOPHYLLA - DAP 3</t>
  </si>
  <si>
    <t>PAU VIOLA - CITHAREXYLUM MYRIANTHUM - DAP 3</t>
  </si>
  <si>
    <t>IPÊ VERDE - CYBYSTAX ANTISYPHILITICA - DAP 3</t>
  </si>
  <si>
    <t>SAGUARAGI - COLUBRINA GLANDULOSA - DAP 3</t>
  </si>
  <si>
    <t>MULUNGU - ERYTHRINA FALCATA - DAP 3</t>
  </si>
  <si>
    <t>UVAIA (EUGENIA PYRIFORMIS) - DAP 3</t>
  </si>
  <si>
    <t>PITANGUEIRA - EUGENIA UNIFLORA - DAP 3</t>
  </si>
  <si>
    <t>IPÊ BRANCO - HANDROANTHUS ROSEO ALBA - DAP 3</t>
  </si>
  <si>
    <t>IPÊ AMARELO DO BREJO - HANDROANTHUS UMBELLATUS - DAP 3</t>
  </si>
  <si>
    <t>IPÊ TABACO - HANDROANTHUS VELLOSOI - DAP 3</t>
  </si>
  <si>
    <t>INGÁ FEIJÃO - INGA MARGINATA - DAP 3</t>
  </si>
  <si>
    <t>JACARANDÁ DE MINAS - JACARANDA CUSPIDIFOLIA - DAP 3</t>
  </si>
  <si>
    <t>CAROBÃO - JACARANDA MICRANTHA - DAP 3</t>
  </si>
  <si>
    <t>CAROBINHA - JACARANDA PUBERULA - DAP 3</t>
  </si>
  <si>
    <t>EMBIRA DE SAPO - LONCHOCARPUS MUELBERGIANUS - DAP 3</t>
  </si>
  <si>
    <t>AÇOITA CAVALO - LUEHEA DIVARICATA - DAP 3</t>
  </si>
  <si>
    <t>JACARANDÁ DO CAMPO - MICHAERIUM ACUTIFOLIUM - DAP 3</t>
  </si>
  <si>
    <t>JACARANDÁ BRANCO - MICHAERIUM PARAGUAIENSIS - DAP 3</t>
  </si>
  <si>
    <t>CAMBOATÁ BRANCO - MATAYBA ELAEAGNOIDES - DAP 3</t>
  </si>
  <si>
    <t>AROEIRA PRETA - MYRACRODURON URUNDEUVA - DAP 3</t>
  </si>
  <si>
    <t>CAMBUÍ - MYRCIA SELLOI - DAP 3</t>
  </si>
  <si>
    <t>CABREÚVA PARDA - MYROCARPUS FRONDOSUS - DAP 3</t>
  </si>
  <si>
    <t>CABREÚVA - MIROXYLON PERUIFERUM - DAP 3</t>
  </si>
  <si>
    <t>BORDÃO DE VELHO - SAMANEA TUBULOSA - DAP 3</t>
  </si>
  <si>
    <t>PITOMBA - TALISIA ESCULENTA - DAP 3</t>
  </si>
  <si>
    <t>GOIABA DA SERRA - ACCA SELLOWIANA - DAP 5</t>
  </si>
  <si>
    <t>GOIABA DA SERRA - ACCA SELLOWIANA - DAP 7</t>
  </si>
  <si>
    <t>GUARITÁ - ASTRONIUM GRAVEOLENS - DAP 5</t>
  </si>
  <si>
    <t>GUARITÁ - ASTRONIUM GRAVEOLENS - DAP 7</t>
  </si>
  <si>
    <t>PAU MARFIM - BALFOURODENDRON RIEDELLIANUM - DAP 5</t>
  </si>
  <si>
    <t>PAU MARFIM - BALFOURODENDRON RIEDELLIANUM - DAP 7</t>
  </si>
  <si>
    <t>GUANANDI - CALOPHYLLUM BRASILIENSES - DAP 5</t>
  </si>
  <si>
    <t>GUANANDI - CALOPHYLLUM BRASILIENSES - DAP 7</t>
  </si>
  <si>
    <t>CAMBUCI - CAMPOMANESIA PHAEA - DAP 5</t>
  </si>
  <si>
    <t>CAMBUCI - CAMPOMANESIA PHAEA - DAP 7</t>
  </si>
  <si>
    <t>GABIROBA - CAMPOMANESIA XANTHOCARPA - DAP 5</t>
  </si>
  <si>
    <t>GABIROBA - CAMPOMANESIA XANTHOCARPA - DAP 7</t>
  </si>
  <si>
    <t>CÁSSIA FERRUGEM - CASSIA FERRUGINEA - DAP 5</t>
  </si>
  <si>
    <t>CÁSSIA FERRUGEM - CASSIA FERRUGINEA - DAP 7</t>
  </si>
  <si>
    <t>FALSO BARBATIMÃO - CASSIA LEPTOPHYLLA - DAP 5</t>
  </si>
  <si>
    <t>FALSO BARBATIMÃO - CASSIA LEPTOPHYLLA - DAP 7</t>
  </si>
  <si>
    <t>PAU VIOLA - CITHAREXYLUM MYRIANTHUM - DAP 5</t>
  </si>
  <si>
    <t>PAU VIOLA - CITHAREXYLUM MYRIANTHUM - DAP 7</t>
  </si>
  <si>
    <t>IPÊ VERDE - CYBYSTAX ANTISYPHILITICA - DAP 5</t>
  </si>
  <si>
    <t>IPÊ VERDE - CYBYSTAX ANTISYPHILITICA - DAP 7</t>
  </si>
  <si>
    <t>SAGUARAGI - COLUBRINA GLANDULOSA - DAP 5</t>
  </si>
  <si>
    <t>SAGUARAGI - COLUBRINA GLANDULOSA - DAP 7</t>
  </si>
  <si>
    <t>MULUNGU - ERYTHRINA FALCATA - DAP 5</t>
  </si>
  <si>
    <t>MULUNGU - ERYTHRINA FALCATA - DAP 7</t>
  </si>
  <si>
    <t>UVAIA (EUGENIA PYRIFORMIS) - DAP 5</t>
  </si>
  <si>
    <t>UVAIA (EUGENIA PYRIFORMIS) - DAP 7</t>
  </si>
  <si>
    <t>PITANGUEIRA - EUGENIA UNIFLORA - DAP 5</t>
  </si>
  <si>
    <t>PITANGUEIRA - EUGENIA UNIFLORA - DAP 7</t>
  </si>
  <si>
    <t>IPÊ BRANCO - HANDROANTHUS ROSEO ALBA - DAP 5</t>
  </si>
  <si>
    <t>IPÊ BRANCO - HANDROANTHUS ROSEO ALBA - DAP 7</t>
  </si>
  <si>
    <t>IPÊ AMARELO DO BREJO - HANDROANTHUS UMBELLATUS - DAP 5</t>
  </si>
  <si>
    <t>IPÊ AMARELO DO BREJO - HANDROANTHUS UMBELLATUS - DAP 7</t>
  </si>
  <si>
    <t>IPÊ TABACO - HANDROANTHUS VELLOSOI - DAP 5</t>
  </si>
  <si>
    <t>IPÊ TABACO - HANDROANTHUS VELLOSOI - DAP 7</t>
  </si>
  <si>
    <t>INGÁ FEIJÃO - INGA MARGINATA - DAP 5</t>
  </si>
  <si>
    <t>INGÁ FEIJÃO - INGA MARGINATA - DAP 7</t>
  </si>
  <si>
    <t>JACARANDÁ DE MINAS - JACARANDA CUSPIDIFOLIA - DAP 5</t>
  </si>
  <si>
    <t>JACARANDÁ DE MINAS - JACARANDA CUSPIDIFOLIA - DAP 7</t>
  </si>
  <si>
    <t>CAROBÃO - JACARANDA MICRANTHA - DAP 5</t>
  </si>
  <si>
    <t>CAROBÃO - JACARANDA MICRANTHA - DAP 7</t>
  </si>
  <si>
    <t>CAROBINHA - JACARANDA PUBERULA - DAP 5</t>
  </si>
  <si>
    <t>CAROBINHA - JACARANDA PUBERULA - DAP 7</t>
  </si>
  <si>
    <t>EMBIRA DE SAPO - LONCHOCARPUS MUELBERGIANUS - DAP 5</t>
  </si>
  <si>
    <t>EMBIRA DE SAPO - LONCHOCARPUS MUELBERGIANUS - DAP 7</t>
  </si>
  <si>
    <t>AÇOITA CAVALO - LUEHEA DIVARICATA - DAP 5</t>
  </si>
  <si>
    <t>AÇOITA CAVALO - LUEHEA DIVARICATA - DAP 7</t>
  </si>
  <si>
    <t>JACARANDÁ DO CAMPO - MICHAERIUM ACUTIFOLIUM - DAP 5</t>
  </si>
  <si>
    <t>JACARANDÁ DO CAMPO - MICHAERIUM ACUTIFOLIUM - DAP 7</t>
  </si>
  <si>
    <t>JACARANDÁ BRANCO - MICHAERIUM PARAGUAIENSIS - DAP 5</t>
  </si>
  <si>
    <t>JACARANDÁ BRANCO - MICHAERIUM PARAGUAIENSIS - DAP 7</t>
  </si>
  <si>
    <t>CAMBOATÁ BRANCO - MATAYBA ELAEAGNOIDES - DAP 5</t>
  </si>
  <si>
    <t>CAMBOATÁ BRANCO - MATAYBA ELAEAGNOIDES - DAP 7</t>
  </si>
  <si>
    <t>AROEIRA PRETA - MYRACRODURON URUNDEUVA - DAP 5</t>
  </si>
  <si>
    <t>AROEIRA PRETA - MYRACRODURON URUNDEUVA - DAP 7</t>
  </si>
  <si>
    <t>CAMBUÍ - MYRCIA SELLOI - DAP 5</t>
  </si>
  <si>
    <t>CAMBUÍ - MYRCIA SELLOI - DAP 7</t>
  </si>
  <si>
    <t>CABREÚVA PARDA - MYROCARPUS FRONDOSUS - DAP 5</t>
  </si>
  <si>
    <t>CABREÚVA PARDA - MYROCARPUS FRONDOSUS - DAP 7</t>
  </si>
  <si>
    <t>CABREÚVA - MIROXYLON PERUIFERUM - DAP 5</t>
  </si>
  <si>
    <t>CABREÚVA - MIROXYLON PERUIFERUM - DAP 7</t>
  </si>
  <si>
    <t>BORDÃO DE VELHO - SAMANEA TUBULOSA - DAP 5</t>
  </si>
  <si>
    <t>BORDÃO DE VELHO - SAMANEA TUBULOSA - DAP 7</t>
  </si>
  <si>
    <t>PITOMBA - TALISIA ESCULENTA - DAP 5</t>
  </si>
  <si>
    <t>PITOMBA - TALISIA ESCULENTA - DAP 7</t>
  </si>
  <si>
    <t>CERA INCOLOR PARA PISOS</t>
  </si>
  <si>
    <t>GALVANIZAÇÃO ELETROLÍTICA (ENTRE 8 E 10 MÍCRONS) EM PEÇAS DE FERRO ACAB. BRANCO</t>
  </si>
  <si>
    <t>POLIMENTO MECÂNICO EM SUPERFÍCIES DE CONCRETO</t>
  </si>
  <si>
    <t>POLIMENTO DE PISOS</t>
  </si>
  <si>
    <t>RESINA ACRÍLICA PARA PISO GRANILITE ALINKOL, REF. ALINCRIL AB</t>
  </si>
  <si>
    <t>RESINA POLIURETANO MONOCONPONENTE PARA PISO GRANILITE ALINKOL, REF. ALINFIX PU</t>
  </si>
  <si>
    <t>CAIXA DE CONCRETO (ITEM 07.14.00)</t>
  </si>
  <si>
    <t>MASSA DE VIDRACEIRO</t>
  </si>
  <si>
    <t>ADESIVO ESTRUTURAL, BI-COMPONENTE, A BASE DE RESINA EPOXI</t>
  </si>
  <si>
    <t>PRATELEIRA DE GRANILITE 30MM</t>
  </si>
  <si>
    <t>PRATELEIRA DE GRANILITE 40MM</t>
  </si>
  <si>
    <t>PRATELEIRA DE GRANILITE 50MM</t>
  </si>
  <si>
    <t>AQUECIMENTO SOLAR</t>
  </si>
  <si>
    <t>COLETOR SOLAR PLANO FECHADO (SELO "A" INMETRO)</t>
  </si>
  <si>
    <t>COLETOR SOLAR PLANO ABERTO (SELO "A" INMETRO)</t>
  </si>
  <si>
    <t>RESERV.TÉRMICO  500L, AÇO AISI 304, BAIXA PRES. C/ SIST. ELETR. P/ AQUEC. AUX. (3000W E 220V-APROX.) - APROV.INMETRO</t>
  </si>
  <si>
    <t>RESERV.TÉRMICO  500L, AÇO AISI 304, ALTA PRES. (VASO DE EXP. INCL) P/ AQUEC.AUX.(3000W E 220V-APROX) -APROV.INMETRO</t>
  </si>
  <si>
    <t>RESERV.TÉRMICO 2000L, AÇO AISI 304, BAIXA PRES. C/ SIST. ELÉTR. ENTRE 10 E 12KW, P/ AQUECIMENTO AUX. - APROV.INMETRO</t>
  </si>
  <si>
    <t>RESERV.TÉRMICO 2000L, AÇO AISI 304, ALTA PRES. (VASO DE EXP. INCL) C/SIST.ELÉT.ENTRE 10 E 12KW, P/AQU.AUX.-APROV.INMETRO</t>
  </si>
  <si>
    <t>BOMBA HIDRÁULICA DE CIRCULAÇÃO DE ÁGUAS NOS COLETORES SOLARES</t>
  </si>
  <si>
    <t>CONJ. DIGITAL ENGLOB. CONTROL. DIFER. DE TEMP. E TERMOST.C/ TIMER P/ACION.PROG,BOMB.HIDR, AQUEC.AUX,ANEL RECIRC.ÁGUA.QU</t>
  </si>
  <si>
    <t>CONJUNTO DE INSTALAÇÃO (MATS E MÃO DE OBRA) P/INSTALAÇÃO E INTERLIG. DOS COMPON. DO SIST. DE AQUECIM. SOLAR ATÉ 1000L</t>
  </si>
  <si>
    <t>POSTES</t>
  </si>
  <si>
    <t>POSTE DE AÇO GALVANIZADO - RETO - FLANGEADO - H= 7,00M</t>
  </si>
  <si>
    <t>POSTE DE AÇO GALVANIZADO - RETO - FLANGEADO - H= 5,00M</t>
  </si>
  <si>
    <t>POSTE DE AÇO GALVANIZADO - RETO - ENGASTADO - H= 6,00M LIVRES</t>
  </si>
  <si>
    <t>POSTE DE AÇO GALVANIZADO -CURVO SIMPLES -ENGASTADO -H=7,00M LIVRES</t>
  </si>
  <si>
    <t>POSTE DE AÇO GALVANIZADO - CURVO DUPLO - ENGASTADO -H=7,00M LIVRES</t>
  </si>
  <si>
    <t>POSTE DE AÇO GALVANIZADO - RETO - ENGASTADO - H= 9,00M LIVRES</t>
  </si>
  <si>
    <t>POSTE DE AÇO GALVANIZADO - RETO - ENGASTADO - H=10,00M LIVRES</t>
  </si>
  <si>
    <t>CAIXAS DE ENTRADA</t>
  </si>
  <si>
    <t>CAIXA PARA MEDIDOR TIPO M EXT - (120X90X25)CM</t>
  </si>
  <si>
    <t>CAIXA PARA MEDIDOR TIPO T - (90X60X25)CM</t>
  </si>
  <si>
    <t>CAIXA VENEZ. TP.-TELEBRÁS - 15X25X10CM</t>
  </si>
  <si>
    <t>QUADROS</t>
  </si>
  <si>
    <t>QUADRO DE DISTRIBUIÇÃO DE SOBREPOR C/ PORTA C/ BARRAMENTO CHAPA METÁLICA 100A - 16 DISJUNTORES</t>
  </si>
  <si>
    <t>QUADRO DE DISTRIBUIÇÃO DE SOBREPOR C/ PORTA C/ BARRAMENTO CHAPA METÁLICA 150A - 24 DISJUNTORES</t>
  </si>
  <si>
    <t>QUADRO DE DISTRIBUIÇÃO DE SOBREPOR C/ PORTA C/ BARRAMENTO CHAPA METÁLICA 100A - 28 DISJUNTORES</t>
  </si>
  <si>
    <t>QUADRO DE DISTRIBUIÇÃO DE SOBREPOR C/ PORTA C/ BARRAMENTO CHAPA METÁLICA 150A - 34 DISJUNTORES</t>
  </si>
  <si>
    <t>QUADRO DE DISTRIBUIÇÃO DE SOBREPOR COM PORTA COM BARRAMENTO CHAPA METÁLICA 150A - 44 DISJUNTORES</t>
  </si>
  <si>
    <t>QUADRO DE DISTRIBUIÇÃO DE SOBREPOR C/ PORTA C/ BARRAMENTO CHAPA METÁLICA 225A - 70 DISJUNTORES</t>
  </si>
  <si>
    <t>QUADRO COMANDO METÁLICO PINTADO COM MEDIDAS MÍNIMAS DE 95X60X22 CM</t>
  </si>
  <si>
    <t>CAIXA CHAPA 14 ESMALTADA TIPO "X" - MED. (140X145X25)CM</t>
  </si>
  <si>
    <t>CAIXA DE MEDIÇÃO TIPO "E" - PADRÃO ELETROPAULO</t>
  </si>
  <si>
    <t>CAIXA TELEFONE INTERNA PADRÃO TELEBRÁS N.2 - 20X20X13,5CM</t>
  </si>
  <si>
    <t>CAIXA TELEFONE INTERNA PADRÃO TELEBRÁS N.3 - 40X40X13,5CM</t>
  </si>
  <si>
    <t>CAIXA TELEFONE INTERNA PADRÃO TELEBRÁS N.4 - 60X60X13,5CM</t>
  </si>
  <si>
    <t>CAIXA TELEFONE INTERNA PADRÃO TELEBRÁS N.5 - 80X80X13,5CM</t>
  </si>
  <si>
    <t>CAIXA TELEFONE INTERNA PADRÃO TELEBRÁS N.6 - 120X120X13,5CM</t>
  </si>
  <si>
    <t>CAIXA TELEFONE INTERNA PADRÃO TELEBRÁS N.7 - 150X150X17 CM</t>
  </si>
  <si>
    <t>ELETRODUTOS (AÇO GALVANIZADO E CONEXÕES)</t>
  </si>
  <si>
    <t>CURVA 90 AÇO GALVANIZADO PARA ELETRODUTO - 3/4"</t>
  </si>
  <si>
    <t>CURVA 90 AÇO GALVANIZADO PARA ELETRODUTO - 1.1/2"</t>
  </si>
  <si>
    <t>CURVA 90 AÇO GALVANIZADO PARA ELETRODUTO - 2"</t>
  </si>
  <si>
    <t>CURVA 90 AÇO GALVANIZADO PARA ELETRODUTO - 2.1/2"</t>
  </si>
  <si>
    <t>CURVA 90 AÇO GALVANIZADO PARA ELETRODUTO - 3"</t>
  </si>
  <si>
    <t>CURVA 90 AÇO GALVANIZADO PARA ELETRODUTO - 4"</t>
  </si>
  <si>
    <t>ELETRODUTO DE AÇO GALVANIZADO ELETROLÍTICO TIPO LEVE - ROSCA NBR 8133 - ESP. 1,06MM - 3/4"</t>
  </si>
  <si>
    <t>ELETRODUTO DE AÇO GALVANIZADO ELETROLÍTICO TIPO LEVE - ROSCA NBR 8133 - ESP. 1,06MM - 1"</t>
  </si>
  <si>
    <t>ELETRODUTO DE AÇO GALVANIZADO ELETROLÍTICO TIPO LEVE - ROSCA NBR 8133 - ESP. 1,06MM - 1 1/4"</t>
  </si>
  <si>
    <t>ELETRODUTO DE AÇO GALVANIZADO ELETROLÍTICO TIPO LEVE - ROSCA NBR 8133 - ESP. 1,06MM - 1 1/2"</t>
  </si>
  <si>
    <t>ELETRODUTO DE AÇO GALVANIZADO ELETROLÍTICO TIPO LEVE - ROSCA NBR 8133 - ESP. 1,50MM - 2"</t>
  </si>
  <si>
    <t>ELETRODUTO DE AÇO GALVANIZADO ELETROLÍTICO TIPO LEVE - ROSCA NBR 8133 - ESP. 1,50MM - 2 1/2"</t>
  </si>
  <si>
    <t>ELETRODUTO DE AÇO GALVANIZADO ELETROLÍTICO TIPO LEVE - ROSCA NBR 8133 - ESP. 1,50MM - 3"</t>
  </si>
  <si>
    <t>ELETRODUTO DE AÇO GALVANIZADO ELETROLÍTICO TIPO LEVE - ROSCA NBR 8133 - ESP. 1,50MM - 4"</t>
  </si>
  <si>
    <t>ELETRODUTO DE AÇO GALVANIZADO A FOGO TIPO SEMI-PESADO/MÉDIO ROSCA NBR 8133 - ESP. 1,50MM - 1/2"</t>
  </si>
  <si>
    <t>ELETRODUTO DE AÇO GALVANIZADO A FOGO TIPO SEMI-PESADO/MÉDIO ROSCA NBR 8133 - ESP. 1,50MM - 3/4"</t>
  </si>
  <si>
    <t>ELETRODUTO DE AÇO GALVANIZADO A FOGO TIPO SEMI-PESADO/MÉDIO ROSCA NBR 8133 - ESP. 1,50MM - 1"</t>
  </si>
  <si>
    <t>ELETRODUTO DE AÇO GALVANIZADO A FOGO TIPO MÉDIO ROSCA NBR 8133 - ESP. 0,90MM - 1 1/4"</t>
  </si>
  <si>
    <t>ELETRODUTO DE AÇO GALVANIZADO A FOGO TIPO MÉDIO ROSCA NBR 8133 - ESP. 0,90MM - 1 1/2"</t>
  </si>
  <si>
    <t>ELETRODUTO DE AÇO GALVANIZADO A FOGO TIPO MÉDIO ROSCA NBR 8133 - ESP. 0,90MM - 2"</t>
  </si>
  <si>
    <t>ELETRODUTO DE AÇO GALVANIZADO A FOGO TIPO MÉDIO ROSCA NBR 8133 - ESP. 1,20MM - 2 1/2"</t>
  </si>
  <si>
    <t>ELETRODUTO DE AÇO GALVANIZADO A FOGO TIPO SEMI-PESADO/MÉDIO ROSCA NBR 8133 - ESP. 1,50MM - 3"</t>
  </si>
  <si>
    <t>ELETRODUTO DE AÇO GALVANIZADO A FOGO TIPO SEMI-PESADO/MÉDIO ROSCA NBR 8133 - ESP. 1,50MM - 4"</t>
  </si>
  <si>
    <t>LUVA AÇO GALVANIZADO - 3/4"</t>
  </si>
  <si>
    <t>LUVA AÇO GALVANIZADO - 1"</t>
  </si>
  <si>
    <t>LUVA AÇO GALVANIZADO - 1.1/2"</t>
  </si>
  <si>
    <t>LUVA DE AÇO GALVANIZADO - 2"</t>
  </si>
  <si>
    <t>LUVA DE AÇO GALVANIZADO - 2.1/2"</t>
  </si>
  <si>
    <t>LUVA DE AÇO GALVANIZADO -  4"</t>
  </si>
  <si>
    <t>CURVA 135 AÇO GALV. - 1.1/2"</t>
  </si>
  <si>
    <t>CURVA 135 AÇO GALV. - 2"</t>
  </si>
  <si>
    <t>CURVA 135 AÇO GALV. - 2.1/2"</t>
  </si>
  <si>
    <t>CURVA 135 AÇO GALV. - 3"</t>
  </si>
  <si>
    <t>CURVA 135 AÇO GALV. - 4"</t>
  </si>
  <si>
    <t>ELETRODUTO DE PVC CORRUGADO REFORÇADO, ANTICHAMA, 1/2"</t>
  </si>
  <si>
    <t>ELETRODUTO DE PVC CORRUGADO REFORÇADO, ANTICHAMA, 3/4"</t>
  </si>
  <si>
    <t>ELETRODUTOS (PVC E CONEXÕES)</t>
  </si>
  <si>
    <t>ELETRODUTO FLEXÍVEL DE PVC - 1/2"</t>
  </si>
  <si>
    <t>ELETRODUTO DE PVC ROSCÁVEL DN: 1/2"</t>
  </si>
  <si>
    <t>ELETRODUTO DE PVC ROSCÁVEL DN: 3/4"</t>
  </si>
  <si>
    <t>ELETRODUTO DE PVC ROSCÁVEL DN: 1"</t>
  </si>
  <si>
    <t>ELETRODUTO DE PVC ROSCÁVEL DN: 1.1/4"</t>
  </si>
  <si>
    <t>ELETRODUTO DE PVC ROSCÁVEL DN: 1.1/2"</t>
  </si>
  <si>
    <t>ELETRODUTO DE PVC ROSCÁVEL DN: 2"</t>
  </si>
  <si>
    <t>ELETRODUTO DE PVC ROSCÁVEL DN: 2.1/2"</t>
  </si>
  <si>
    <t>ELETRODUTO DE PVC ROSCÁVEL DN: 3"</t>
  </si>
  <si>
    <t>ELETRODUTO DE PVC ROSCÁVEL DN:4"</t>
  </si>
  <si>
    <t>DUTO POLIETILENO FLEXÍVEL ALTA RESIST. - 2"</t>
  </si>
  <si>
    <t>DUTO POLIETILENO FLEXÍVEL ALTA RESIST. - 3"</t>
  </si>
  <si>
    <t>DUTO POLIETILENO FLEXÍVEL ALTA RESIST. - 4"</t>
  </si>
  <si>
    <t>TUBO METÁLICO FLEXÍVEL REVEST. PVC - 3/4"</t>
  </si>
  <si>
    <t>TUBO METÁLICO FLEXÍVEL REVEST. PVC - 1"</t>
  </si>
  <si>
    <t>TUBO METÁLICO FLEXÍVEL REVEST. PVC -1.1/2"</t>
  </si>
  <si>
    <t>CURVA 90 PVC RÍGIDO P/ ELETR. ROSC. - 25MM (3/4)</t>
  </si>
  <si>
    <t>CABO 10;00 MM2 - ISOLAMENTO P/ 0;7 KV - FLEXÍVEL</t>
  </si>
  <si>
    <t>CABO 16;00 MM2 - ISOLAMENTO P/ 0;7 KV - FLEXÍVEL</t>
  </si>
  <si>
    <t>CABO 25;00 MM2 - ISOLAMENTO P/ 0;7 KV - FLEXÍVEL</t>
  </si>
  <si>
    <t>CABO 35;00 MM2 - ISOLAMENTO P/ 0;7 KV - FLEXÍVEL</t>
  </si>
  <si>
    <t>CABO 50;00 MM2 - ISOLAMENTO P/ 0;7 KV - FLEXÍVEL</t>
  </si>
  <si>
    <t>CABO 70;00 MM2 - ISOLAMENTO P/ 0;7 KV - FLEXÍVEL</t>
  </si>
  <si>
    <t>CABO 95;00 MM2 - ISOLAMENTO P/ 0;7 KV - FLEXÍVEL</t>
  </si>
  <si>
    <t>CABO 120;00 MM2 - ISOLAMENTO P/ 0;7 KV - FLEXÍVEL</t>
  </si>
  <si>
    <t>CABO 150;00 MM2 - ISOLAMENTO P/ 0;7 KV - FLEXÍVEL</t>
  </si>
  <si>
    <t>CABO 185;00 MM2 - ISOLAMENTO P/ 0;7 KV - FLEXÍVEL</t>
  </si>
  <si>
    <t>CABO 240;00 MM2 - ISOLAMENTO P/ 0;7 KV - FLEXÍVEL</t>
  </si>
  <si>
    <t>CABO 300;00 MM2 - ISOLAMENTO P/ 0;7 KV - FLEXÍVEL</t>
  </si>
  <si>
    <t>CABO 10;00 MM2 - ISOLAMENTO P/ 1;0 KV - FLEXÍVEL</t>
  </si>
  <si>
    <t>CABO 16;00 MM2 - ISOLAMENTO P/ 1;0 KV - FLEXÍVEL</t>
  </si>
  <si>
    <t>CABO 25;00 MM2 - ISOLAMENTO P/ 1;0 KV - FLEXÍVEL</t>
  </si>
  <si>
    <t>CABO 35;00 MM2 - ISOLAMENTO P/ 1;0 KV - FLEXÍVEL</t>
  </si>
  <si>
    <t>CABO 50;00 MM2 - ISOLAMENTO P/ 1;0 KV - FLEXÍVEL</t>
  </si>
  <si>
    <t>CABO 70;00 MM2 - ISOLAMENTO P/ 1;0 KV - FLEXÍVEL</t>
  </si>
  <si>
    <t>CABO 95;00 MM2 - ISOLAMENTO P/ 1;0 KV - FLEXÍVEL</t>
  </si>
  <si>
    <t>CABO 120;00 MM2 - ISOLAMENTO P/ 1;0 KV - FLEXÍVEL</t>
  </si>
  <si>
    <t>CABO 150;00 MM2 - ISOLAMENTO P/ 1;0 KV - FLEXÍVEL</t>
  </si>
  <si>
    <t>CABO 185;00 MM2 - ISOLAMENTO P/ 1;0 KV - FLEXÍVEL</t>
  </si>
  <si>
    <t>CABO 240;00 MM2 - ISOLAMENTO P/ 1;0 KV - FLEXÍVEL</t>
  </si>
  <si>
    <t>CABO 300;00 MM2 - ISOLAMENTO P/ 1;0 KV - FLEXÍVEL</t>
  </si>
  <si>
    <t>CABO DE COBRE NU -  6,00MM2</t>
  </si>
  <si>
    <t>CABO DE COBRE NU - 10,00MM2</t>
  </si>
  <si>
    <t>CABO DE COBRE NU - 16,00MM2</t>
  </si>
  <si>
    <t>CABO DE COBRE NU - 25,00MM2</t>
  </si>
  <si>
    <t>CABO DE COBRE NU - 35,00MM2</t>
  </si>
  <si>
    <t>CABO DE COBRE NU - 50,00MM2</t>
  </si>
  <si>
    <t>CABO DE COBRE NU - 70,00 MM2</t>
  </si>
  <si>
    <t>CABO DE COBRE NU - 95,00MM2</t>
  </si>
  <si>
    <t>CABO DE COBRE NU - 120,00MM2</t>
  </si>
  <si>
    <t>CABO 1;00 MM2 - ISOLAMENTO P/ 0;7 KV - FLEXÍVEL</t>
  </si>
  <si>
    <t>CABO 1,50 MM2 - ISOLAMENTO P/ 0,7 KV - FLEXÍVEL</t>
  </si>
  <si>
    <t>CABO 2;50 MM2 - ISOLAMENTO P/ 0;7 KV - FLEXÍVEL</t>
  </si>
  <si>
    <t>CABO 4;00 MM2 - ISOLAMENTO P/ 0;7 KV - FLEXÍVEL</t>
  </si>
  <si>
    <t>CABO 6;00 MM2 - ISOLAMENTO P/ 0;7 KV - FLEXÍVEL</t>
  </si>
  <si>
    <t>CABO DE COBRE FLEXÍVEL, ISOLAÇÃO 750 V NÃO HALOGENADO ANTICHAMA-CLASSE 70°C - 1,5MM2</t>
  </si>
  <si>
    <t>CABO DE COBRE FLEXÍVEL, ISOLAÇÃO 750 V NÃO HALOGENADO ANTICHAMA-CLASSE 70°C - 2,5MM2</t>
  </si>
  <si>
    <t>CABO DE COBRE FLEXÍVEL, ISOLAÇÃO 750 V NÃO HALOGENADO ANTICHAMA-CLASSE 70°C - 4,0MM2</t>
  </si>
  <si>
    <t>CABO DE COBRE FLEXÍVEL, ISOLAÇÃO 750 V NÃO HALOGENADO ANTICHAMA-CLASSE 70°C - 6,0MM2</t>
  </si>
  <si>
    <t>CABO 1;50 MM2 - ISOLAMENTO P/ 1;0 KV - FLEXÍVEL</t>
  </si>
  <si>
    <t>CABO 2;50 MM2 - ISOLAMENTO P/ 1;0 KV - FLEXÍVEL</t>
  </si>
  <si>
    <t>CABO 4;00 MM2 - ISOLAMENTO P/ 1;0 KV - FLEXÍVEL</t>
  </si>
  <si>
    <t>CABO 6;00 MM2 - ISOLAMENTO P/ 1;0 KV - FLEXÍVEL</t>
  </si>
  <si>
    <t>FIO TELEFÔNICO EXT. TIPO FE-100 PARALELO</t>
  </si>
  <si>
    <t>CABO MÉDIA TENSÃO 12/20KV - 1X35MM2</t>
  </si>
  <si>
    <t>CABO</t>
  </si>
  <si>
    <t>CABO FLEXÍVEL PVC 500V - 2 COND.  1,50MM2</t>
  </si>
  <si>
    <t>CABO FLEXÍVEL PVC 500V - 2 COND.  4,00MM2</t>
  </si>
  <si>
    <t>CABO FLEXÍVEL PVC 500V - 3 COND.  1,50MM2</t>
  </si>
  <si>
    <t>CABO FLEXÍVEL PVC 500V - 3 COND.  2,50MM2</t>
  </si>
  <si>
    <t>CABO FLEXÍVEL PVC 500V - 4 COND.  1,50MM2</t>
  </si>
  <si>
    <t>CHAVE</t>
  </si>
  <si>
    <t>CHAVE MAGNÉTICA TRIFÁSICA - 220V - 5 HP</t>
  </si>
  <si>
    <t>CHAVE NH COM BASE E FUSÍVEIS - 3X125A</t>
  </si>
  <si>
    <t>CHAVE NH COM BASE E FUSÍVEIS - 3X250A</t>
  </si>
  <si>
    <t>CHAVE NH COM BASE E FUSÍVEIS - 3X400A</t>
  </si>
  <si>
    <t>CHAVE NH COM BASE E FUSÍVEIS - 3X630A</t>
  </si>
  <si>
    <t>CHAVE SECCIONADORA ROTATIVA - 3X63A (PACCO)</t>
  </si>
  <si>
    <t>CHAVE SECCIONADORA ROTATIVA - 3X16A (PACCO)</t>
  </si>
  <si>
    <t>CHAVE SECCIONADORA ROTATIVA - 3X25A (PACCO)</t>
  </si>
  <si>
    <t>CHAVE SECCIONADORA TRIP. ABERTURA SOB CARGA - 125A/525V - SEM FUSÍVEIS</t>
  </si>
  <si>
    <t>CHAVE SECCIONADORA TRIP. ABERTURA SOB CARGA - 250A/500V - SEM FUSÍVEIS</t>
  </si>
  <si>
    <t>CHAVE SECCIONADORA TRIP. ABERTURA SOB CARGA - 400A/500V - SEM FUSÍVEIS</t>
  </si>
  <si>
    <t>CHAVE SECCIONADORA TRIP. ABERTURA SOB CARGA - 630A/600V - SEM FUSÍVEIS</t>
  </si>
  <si>
    <t>CHAVE SELETORA COM 3 POSIÇÕES - 10 A</t>
  </si>
  <si>
    <t>CHAVE SECCIONADORA TRIP. ABERTURA SOB CARGA-SECA-250A/600V</t>
  </si>
  <si>
    <t>CHAVE SECCIONADORA TRIP. ABERTURA SOB CARGA-SECA-400A/600V</t>
  </si>
  <si>
    <t>CHAVE SECCIONADORA TRIP. ABERTURA SOB CARGA-SECA-630A/600V</t>
  </si>
  <si>
    <t>BASES E FUSIVEIS</t>
  </si>
  <si>
    <t>FUSÍVEL TIPO NH00 - 125A</t>
  </si>
  <si>
    <t>FUSÍVEL TIPO NH1 - 250 A</t>
  </si>
  <si>
    <t>FUSÍVEL TIPO NH2 - 400A</t>
  </si>
  <si>
    <t>FUSÍVEL TIPO NH1 - 200A</t>
  </si>
  <si>
    <t>FUSÍVEL TIPO NH2 - 355A</t>
  </si>
  <si>
    <t>FUSÍVEL TIPO NH3 - 630A</t>
  </si>
  <si>
    <t>FUSÍVEL TIPO NH4 - 800/1250A</t>
  </si>
  <si>
    <t>FUSÍVEL TIPO DIAZED - RÁPIDO RETARDO - 2X25A</t>
  </si>
  <si>
    <t>FUSÍVEL 1000 VDC, 15 A</t>
  </si>
  <si>
    <t>BASE PARA FUSÍVEIS DIAZED - 2/25A</t>
  </si>
  <si>
    <t>BASE PARA FUSÍVEIS DIAZED - 35/63A</t>
  </si>
  <si>
    <t>BASE PARA FUSÍVEIS NH - 125A UNIPOLAR</t>
  </si>
  <si>
    <t>BASE PARA FUSÍVEIS NH - 250A UNIPOLAR</t>
  </si>
  <si>
    <t>BASE PARA FUSÍVEIS NH - 400A UNIPOLAR</t>
  </si>
  <si>
    <t>BASE PARA FUSÍVEIS NH TAM 03 - 425/630A UNIPOLAR</t>
  </si>
  <si>
    <t>BASE PARA FUSÍVEIS NH TAM 04 - 800/1250A UNIPOLAR</t>
  </si>
  <si>
    <t>ISOLADOR DE POLIÉSTER INTERNO BAIXA TENSÃO - (15X20)MM</t>
  </si>
  <si>
    <t>ISOLADOR DE POLIÉSTER INTERNO BAIXA TENSÃO - (40X50)MM</t>
  </si>
  <si>
    <t>ISOLADOR DE POLIÉSTER INTERNO BAIXA TENSÃO - (60X60)MM</t>
  </si>
  <si>
    <t>ISOLADOR DE POLIÉSTER INTERNO BAIXA TENSÃO - (60X75)MM</t>
  </si>
  <si>
    <t>BARRAMENTO</t>
  </si>
  <si>
    <t>BARRA DE COBRE ELETROLÍTICO CHATA MED. 1/4"X1/16" (6,35X1,58MM)</t>
  </si>
  <si>
    <t>BARRA DE COBRE ELETROLÍTICO CHATA MED. 3/8"X3/32" (9,52X2,38MM)</t>
  </si>
  <si>
    <t>BARRAMENTO DE COBRE PARA 100A - 15X3MM</t>
  </si>
  <si>
    <t>BARRAMENTO DE COBRE PARA 150A - 20X4MM</t>
  </si>
  <si>
    <t>BARRAMENTO DE COBRE PARA 200A - 25X4MM</t>
  </si>
  <si>
    <t>BARRAMENTO DE COBRE PARA 400A - 40X7MM</t>
  </si>
  <si>
    <t>BARRAMENTO DE COBRE PARA 600A - 7X60MM</t>
  </si>
  <si>
    <t>BARRAMENTO DE COBRE PARA 800A - 10X80MM</t>
  </si>
  <si>
    <t>BARRAMENTO DE COBRE PARA 1000A - 10X100MM</t>
  </si>
  <si>
    <t>BARRAMENTO DE COBRE PARA 1200A - 9,5X127MM</t>
  </si>
  <si>
    <t>BARRA DE COBRE ELETROLÍTICO CHATA MED. 6"X3/8" (152X9,52MM)</t>
  </si>
  <si>
    <t>INSUMOS BÁSICOS</t>
  </si>
  <si>
    <t>DISJUNTOR DE PROTEÇÃO DIFERENCIAL RESIDUAL - 30MA/230V - 2 PÓLOS - 16A</t>
  </si>
  <si>
    <t>DISJUNTOR DE PROTEÇÃO DIFERENCIAL RESIDUAL - 30MA/230V - 2 PÓLOS - 20A</t>
  </si>
  <si>
    <t>DISJUNTOR DE PROTEÇÃO DIFERENCIAL RESIDUAL - 30MA/240V - 2 PÓLOS  - 25A</t>
  </si>
  <si>
    <t>DISJUNTOR DE PROTEÇÃO DIFERENCIAL RESIDUAL - 30MA/230V - 2 PÓLOS - 32A</t>
  </si>
  <si>
    <t>DISJUNTOR DE PROTEÇÃO DIFERENCIAL RESIDUAL - 30MA/240V - 2 PÓLOS - 40A</t>
  </si>
  <si>
    <t>DISJUNTOR DE PROTEÇÃO DIFERENCIAL RESIDUAL - 30MA/240V - 2 PÓLOS - 63 A</t>
  </si>
  <si>
    <t>DISJUNTOR DE PROTEÇÃO DIFERENCIAL RESIDUAL - 30MA/240V - 3 PÓLOS - 63A</t>
  </si>
  <si>
    <t>INTERRUPTOR DIFERENCIAL 4P - 30MA/380V - 40A</t>
  </si>
  <si>
    <t>INTERRUPTOR DIFERENCIAL 2P - 30 MA / 220/240V - 63A</t>
  </si>
  <si>
    <t>INTERRUPTOR DIFERENCIAL 4P - 30MA/380V - 63A</t>
  </si>
  <si>
    <t>INTERRUPTOR DIFERENCIAL 4P - 30MA/380V - 80A</t>
  </si>
  <si>
    <t>INTERRUPTOR DIFERENCIAL 4P - 30MA/380V - 100A</t>
  </si>
  <si>
    <t>INTERRUPTOR DIFERENCIAL 4P - 30MA/380V - 125A</t>
  </si>
  <si>
    <t>INTERRUPTOR DIFERENCIAL 4P - 300MA/380V - 63A</t>
  </si>
  <si>
    <t>INTERRUPTOR DIFERENCIAL 4P - 300MA/380V - 80A</t>
  </si>
  <si>
    <t>INTERRUPTOR DIFERENCIAL 4P - 300MA/380V - 100A</t>
  </si>
  <si>
    <t>INTERRUPTOR DIFERENCIAL 4P - 300MA/380V - 125A</t>
  </si>
  <si>
    <t>DISJUNTOR TERMOMAGNÉTICO -INDUSTRIAL DE BAIXA TENSÃO (NEMA) BIPOLAR DE 15A</t>
  </si>
  <si>
    <t>MINI DISJUNTOR - TIPO EUROPEU (IEC) - UNIPOLAR DE 6/25A</t>
  </si>
  <si>
    <t>MINI DISJUNTOR - TIPO EUROPEU (IEC) - UNIPOLAR DE 32/50A</t>
  </si>
  <si>
    <t>MINI DISJUNTOR - TIPO EUROPEU (IEC) - BIPOLAR DE 6/25A</t>
  </si>
  <si>
    <t>MINI DISJUNTOR - TIPO EUROPEU (IEC) - BIPOLAR DE 32/50A</t>
  </si>
  <si>
    <t>MINI DISJUNTOR - TIPO EUROPEU (IEC) - TRIPOLAR DE 6/25A</t>
  </si>
  <si>
    <t>MINI DISJUNTOR - TIPO EUROPEU (IEC) - TRIPOLAR DE 32/50A</t>
  </si>
  <si>
    <t>DISJUNTOR DE POTÊNCIA BAIXA TENSÃO TRIP. A SECO 600V-1600A</t>
  </si>
  <si>
    <t>DISJUNTOR DE POTÊNCIA BAIXA TENSÃO TRIP. A SECO 600V-2500A</t>
  </si>
  <si>
    <t>DISJUNTOR DE POTÊNCIA BAIXA TENSÃO TRIP. A SECO 600V-1000A</t>
  </si>
  <si>
    <t>DISJUNTOR DE POTÊNCIA BAIXA TENSÃO TRIP. A SECO 600V-800A</t>
  </si>
  <si>
    <t>DISJUNTOR DE POTÊNCIA BAIXA TENSÃO TRIP. A SECO 600V-1250A</t>
  </si>
  <si>
    <t>DISJUNTOR DE POTÊNCIA BAIXA TENSÃO TRIP. A SECO 600V-2000A</t>
  </si>
  <si>
    <t>DISJUNTOR DE POTÊNCIA BAIXA TENSÃO TRIP. A SECO 600V-3200A</t>
  </si>
  <si>
    <t>DISJUNTOR CAIXA MOLDADA BIPOLAR 100A COM DISPARADOR TERMOMAGNÉTICO FIXO</t>
  </si>
  <si>
    <t>DISJUNTOR CX. MOLD. BIP. - DISP. TERMOMAG. AJUST. - 150A</t>
  </si>
  <si>
    <t>DISJUNTOR CX. MOLD. BIP. - DISP. TERMOMAG. AJUST. - 200A</t>
  </si>
  <si>
    <t>DISJUNTOR CX. MOLD. BIP. - DISP. TERMOMAG. AJUST. - 250A</t>
  </si>
  <si>
    <t>DISJUNTOR CX. MOLD. TRIP.  C/ DISPARADOR TÉRMICO AJUSTÁVEL E MAGNÉTICO FIXO - 100A</t>
  </si>
  <si>
    <t>DISJUNTOR CX. MOLD. TRIP.  C/ DISPARADOR TÉRMICO AJUSTÁVEL E MAGNÉTICO FIXO - 125A</t>
  </si>
  <si>
    <t>DISJUNTOR CX. MOLD. TRIP.  C/ DISPARADOR TÉRMICO AJUSTÁVEL E MAGNÉTICO FIXO - 150A</t>
  </si>
  <si>
    <t>DISJUNTOR CX. MOLD. TRIP. - DISP. TERMOMAG. AJUST. - 200A</t>
  </si>
  <si>
    <t>DISJUNTOR CX. MOLD. TRIP. - DISP. TERMOMAG. AJUST. - 250A</t>
  </si>
  <si>
    <t>DISJUNTOR CX. MOLD. TRIP. - DISP. TERMOMAG. AJUST. - 300A</t>
  </si>
  <si>
    <t>DISJUNTOR CX. MOLD. TRIP. - DISP. TERMOMAG. AJUST. - 400A</t>
  </si>
  <si>
    <t>DISJUNTOR CX. MOLD. TRIP. - DISP. TERMOMAG. AJUST. - 450A</t>
  </si>
  <si>
    <t>DISJUNTOR CX. MOLD. TRIP. - DISP. TERMOMAG. AJUST. - 630A</t>
  </si>
  <si>
    <t>COMPONENTES DE PAINEIS</t>
  </si>
  <si>
    <t>MINI DISJUNTOR - TIPO EUROPEU (IEC) - BIPOLAR DE 100A</t>
  </si>
  <si>
    <t>MINI DISJUNTOR - TIPO EUROPEU (IEC) - BIPOLAR DE 125A</t>
  </si>
  <si>
    <t>VOLTÍMETRO 250V - 96X96MM</t>
  </si>
  <si>
    <t>SINALIZADOR LUMINOSO COM LÂMPADA LED, 220V - 22MM</t>
  </si>
  <si>
    <t>SINALIZADOR LUMINOSO COM LÂMPADA LED, 220V - 30MM</t>
  </si>
  <si>
    <t>CONTATOR TRIPOLAR 220V - 12A - COM CONTATOS AUXILIARES DE DOIS PARES</t>
  </si>
  <si>
    <t>CONTATOR TRIPOLAR 220V - 25A - COM CONTATOS AUXILIARES DE DOIS PARES</t>
  </si>
  <si>
    <t>CONTATOR TRIPOLAR 220V - 40A - COM CONTATOS AUXILIARES DE DOIS PARES</t>
  </si>
  <si>
    <t>CONTATOR TRIPOLAR 220V - 65A - COM CONTATOS AUXILIARES DE DOIS PARES</t>
  </si>
  <si>
    <t>RELÉ BIMETÁLICO SOBRECARGA AJUSTE 06 - 12,50A</t>
  </si>
  <si>
    <t>RELÉ BIMETÁLICO SOBRECARGA AJUSTE 16 - 25A</t>
  </si>
  <si>
    <t>RELÉ BIMETÁLICO SOBRECARGA AJUSTE 25 - 40A</t>
  </si>
  <si>
    <t>RELÉ DE TEMPO ELETRÔNICO AJUSTE 6 - 60S</t>
  </si>
  <si>
    <t>SUPORTE DE FIXAÇÃO PARA 2 DISJUNTORES GERAL</t>
  </si>
  <si>
    <t>DISPOSITIVO DE PROTEÇÃO CONTRA SURTOS ELÉTRICOS-275V / 15A</t>
  </si>
  <si>
    <t>DPS - DISPOSITIVO DE PROTEÇÃO CONTRA SURTOS – 45KA – 500 VOLTS - CORRENTE CONTÍNUA - CLASSE II - P/ SISTEMA FOTOVOLTÁICO</t>
  </si>
  <si>
    <t>DPS - DISPOSITIVO DE PROTEÇÃO CONTRA SURTOS – 45KA – 1000 VOLTS - CORRENTE CONTÍNUA - CLASSE II - P/ SISTEMA FOTOVOLTÁICO</t>
  </si>
  <si>
    <t>DPS, 1000 VDC, 40 KA - CLASSE I</t>
  </si>
  <si>
    <t>CAIXAS DE PASSAGEM E CONDULETES</t>
  </si>
  <si>
    <t>CAIXA DE FERRO ESTAMPADO - 3"X3"</t>
  </si>
  <si>
    <t>CAIXA DE FERRO ESTAMPADO - 4"X4"</t>
  </si>
  <si>
    <t>CAIXA DE FERRO ESTAMPADO - 4"X2"</t>
  </si>
  <si>
    <t>CAIXA DE PASSAGEM EM CHAPA DE AÇO ESMALTADO N. 20 FUNDO MÓVEL - 2"</t>
  </si>
  <si>
    <t>CAIXA ALUMÍNIO 10X10CM - ALTA -  TAMPA LATÃO - P/ TOMADAS</t>
  </si>
  <si>
    <t>CAIXA DE PASSAGEM E LIGAÇÃO EM PVC 7,5 X 7,5 X 5,0CM (3"X3") SEM PLACA</t>
  </si>
  <si>
    <t>CAIXA DE PASSAGEM E LIGAÇÃO EM PVC OCTOGONAL FUNDO MÓVEL 10 X10CM</t>
  </si>
  <si>
    <t>CAIXA DE PVC 10 X10 X 5CM</t>
  </si>
  <si>
    <t>CAIXA DE PVC 10 X 5 X 5CM</t>
  </si>
  <si>
    <t>CAIXA DE PASSAGEM EM CHAPA METÁLICA DE SOBREPOR COM PORTA E FECHADURA -40X40X15CM- USO PARA TELEFONIA, PADRÃO TELEBRAS</t>
  </si>
  <si>
    <t>CAIXA DE PASSAGEM EM CHAPA METÁLICA DE SOBREPOR C/ PORTA E FECHADURA - 50X50X15CM - USO P/ TELEFONIA, PADRÃO TELEBRAS</t>
  </si>
  <si>
    <t>CAIXA DE PAS. TAMP. PARAF. - 20X20X10CM</t>
  </si>
  <si>
    <t>CAIXA DE PASSAGEM EM CHAPA DE AÇO DE SOBREPOR COM TAMPA APARAFUSADA - MED. (30X30X12)CM</t>
  </si>
  <si>
    <t>CAIXA DE PASSAGEM EM CHAPA DE AÇO DE SOBREPOR COM TAMPA APARAFUSADA - MED. (40X40X15)CM</t>
  </si>
  <si>
    <t>CAIXA DE PASSAGEM EM ALUMÍNIO COM TAMPA E VEDAÇÃO 20 X 20 CM</t>
  </si>
  <si>
    <t>CAIXA DE PASSAGEM EM ALUMÍNIO COM TAMPA E VEDAÇÃO 30 X 30 CM</t>
  </si>
  <si>
    <t>CAIXA DE PASSAGEM EM ALUMÍNIO COM TAMPA E VEDAÇÃO 40 X 40 CM</t>
  </si>
  <si>
    <t>CAIXA DE PASSAGEM E TAMPA PRÉ-MOLDADAS EM CONCRETO 20 X 20 CM</t>
  </si>
  <si>
    <t>CAIXA DE PASSAGEM E TAMPA PRÉ-MOLDADAS EM CONCRETO 30 X 30 CM</t>
  </si>
  <si>
    <t>CAIXA DE PASSAGEM E TAMPA PRÉ-MOLDADAS EM CONCRETO 40 X 40 CM</t>
  </si>
  <si>
    <t>CAIXA DE PASSAGEM E TAMPA PRÉ-MOLDADAS EM CONCRETO 50 X 50 CM</t>
  </si>
  <si>
    <t>CAIXA DE PASSAGEM E TAMPA PRÉ-MOLDADAS EM CONCRETO 60 X 60 CM</t>
  </si>
  <si>
    <t>CAIXA DE PASSAGEM E TAMPA PRÉ-MOLDADAS EM CONCRETO 100 X 100 CM</t>
  </si>
  <si>
    <t>CONDULETE CORPO DUPLO; INCLUSIVE TAMPA - 3/4"</t>
  </si>
  <si>
    <t>CONDULETE DE ALUMÍNIO TIPO C COM TAMPA - 1/2"</t>
  </si>
  <si>
    <t>CONDULETE DE ALUMÍNIO TIPO C COM TAMPA - 3/4"</t>
  </si>
  <si>
    <t>CONDULETE DE ALUMÍNIO TIPO C COM TAMPA - 1"</t>
  </si>
  <si>
    <t>CONDULETE DE ALUMÍNIO TIPO C COM TAMPA - 1 1/4"</t>
  </si>
  <si>
    <t>CONDULETE DE ALUMÍNIO TIPO C COM TAMPA - 1 1/2"</t>
  </si>
  <si>
    <t>CONDULETE DE ALUMÍNIO TIPO C COM TAMPA - 2"</t>
  </si>
  <si>
    <t>CONDULETE DE ALUMÍNIO TIPO C COM TAMPA - 2 1/2"</t>
  </si>
  <si>
    <t>CONDULETE DE ALUMÍNIO TIPO C COM TAMPA - 3"</t>
  </si>
  <si>
    <t>CONDULETE DE ALUMÍNIO TIPO C COM TAMPA - 4"</t>
  </si>
  <si>
    <t>ELETROFERRAGENS</t>
  </si>
  <si>
    <t>PERFILADO LISO CHAPA 14 - 19X38MM</t>
  </si>
  <si>
    <t>PERFILADO LISO CHAPA 14 - 38X38MM</t>
  </si>
  <si>
    <t>PERFILADO LISO CHAPA 14 - 38X76MM</t>
  </si>
  <si>
    <t>PERFILADO PERFURADO CHAPA 14 - 19X38MM</t>
  </si>
  <si>
    <t>PERFILADO PERFURADO CHAPA 14 - 38X38MM</t>
  </si>
  <si>
    <t>PERFILADO PERFURADO CHAPA 14 - 38X76MM</t>
  </si>
  <si>
    <t>TAMPA METÁLICA PARA PERFILADO 38MM</t>
  </si>
  <si>
    <t>TAMPA METÁLICA PARA PERFILADO 76MM</t>
  </si>
  <si>
    <t>SUPORTE PARA PERFILADO 100X300MM</t>
  </si>
  <si>
    <t>SUPORTE PARA LUMINÁRIA 100 X 38MM</t>
  </si>
  <si>
    <t>SUPORTE PARA LUMINÁRIA 150/165 MM X 38MM</t>
  </si>
  <si>
    <t>EMENDA INTERNA PARA PERFILADO 38X38 MM -I-</t>
  </si>
  <si>
    <t>EMENDA INTERNA PARA PERFILADO 38X38MM -T-</t>
  </si>
  <si>
    <t>CAIXA DERIVAÇÃO P/ PERFILADO TIPO C - 38X38MM</t>
  </si>
  <si>
    <t>CAIXA DERIVAÇÃO P/ PERFILADO TIPO L - 38X38MM</t>
  </si>
  <si>
    <t>CAIXA DERIVAÇÃO P/ PERFILADO TIPO X - 38X76MM</t>
  </si>
  <si>
    <t>CAIXA DERIVAÇÃO P/ PERFILADO TIPO C - 38X76MM</t>
  </si>
  <si>
    <t>CAIXA DERIVAÇÃO P/ PERFILADO TIPO L - 38X76MM</t>
  </si>
  <si>
    <t>CAIXA DERIVAÇÃO P/ PERFILADO TIPO T - 38X76MM</t>
  </si>
  <si>
    <t>CAIXA DE TOMADA EM PERFILADO - MED: (38X40X120)MM</t>
  </si>
  <si>
    <t>TIRANTE EM AÇO GALV. ROSQUEADO - 5/16". GALV. ELETROLÍTICA</t>
  </si>
  <si>
    <t>SAÍDA LATERAL P/ ELETRODUTO EM PERFILADO - 3/4"</t>
  </si>
  <si>
    <t>ELETROCALHA LISA PRÉ ZINCADA CH14 - 100 X 50MM</t>
  </si>
  <si>
    <t>ELETROCALHA LISA PRÉ ZINCADA CH14 - 125 X 50MM</t>
  </si>
  <si>
    <t>ELETROCALHA LISA PRÉ ZINCADA CH14 - 150 X 50MM</t>
  </si>
  <si>
    <t>ELETROCALHA LISA PRÉ ZINCADA CH14 - 175 X 50MM</t>
  </si>
  <si>
    <t>ELETROCALHA LISA PRÉ ZINCADA CH14 - 200 X 50MM</t>
  </si>
  <si>
    <t>ELETROCALHA LISA PRÉ ZINCADA CH14 - 250 X 50MM</t>
  </si>
  <si>
    <t>ELETROCALHA LISA PRÉ ZINCADA CH14 - 300 X 50MM</t>
  </si>
  <si>
    <t>ELETROCALHA LISA PRÉ ZINCADA CH14 - 150X100MM</t>
  </si>
  <si>
    <t>ELETROCALHA LISA PRÉ ZINCADA CH14 - 200X100MM</t>
  </si>
  <si>
    <t>ELETROCALHA LISA PRÉ ZINCADA CH14 - 250X100MM</t>
  </si>
  <si>
    <t>ELETROCALHA LISA PRÉ ZINCADA CH14 - 300X100MM</t>
  </si>
  <si>
    <t>ELETROCALHA LISA PRÉ ZINCADA CH14 - 400X100MM</t>
  </si>
  <si>
    <t>TAMPA P/ ELETROCALHA PRÉ ZINCADA - 100MM</t>
  </si>
  <si>
    <t>TAMPA P/ ELETROCALHA PRÉ ZINCADA - 125MM</t>
  </si>
  <si>
    <t>TAMPA P/ ELETROCALHA PRÉ ZINCADA  - 150MM</t>
  </si>
  <si>
    <t>TAMPA P/ ELETROCALHA PRÉ ZINCADA - 175MM</t>
  </si>
  <si>
    <t>TAMPA P/ ELETROCALHA PRÉ ZINCADA - 200MM</t>
  </si>
  <si>
    <t>TAMPA P/ ELETROCALHA PRÉ ZINCADA. - 250MM</t>
  </si>
  <si>
    <t>TAMPA P/ ELETROCALHA PRÉ ZINCADA - 300MM</t>
  </si>
  <si>
    <t>TAMPA P/ ELETROCALHA PRÉ ZINCADA - 400MM</t>
  </si>
  <si>
    <t>ELETROCALHA PERF. PRÉ ZINCADA CH14 - 100 X 50MM</t>
  </si>
  <si>
    <t>ELETROCALHA PERF. PRÉ ZINCADACH14 - 125 X 50MM</t>
  </si>
  <si>
    <t>ELETROCALHA PERF. PRÉ ZINCADACH14 - 150 X 50MM</t>
  </si>
  <si>
    <t>ELETROCALHA PERF. PRÉ ZINCADA CH14 - 175 X 50MM</t>
  </si>
  <si>
    <t>ELETROCALHA PERF. PRÉ ZINCADA CH14 - 200 X 50MM</t>
  </si>
  <si>
    <t>ELETROCALHA PERF. PRÉ ZINCADA CH14 - 250 X 50MM</t>
  </si>
  <si>
    <t>ELETROCALHA PERF. PRÉ ZINCADA CH14 - 300 X 50MM</t>
  </si>
  <si>
    <t>ELETROCALHA PERF. PRÉ ZINCADA CH14 - 150X100MM</t>
  </si>
  <si>
    <t>ELETROCALHA PERF.  PRÉ ZINCADA CH14 - 200X100MM</t>
  </si>
  <si>
    <t>ELETROCALHA PERF. PRÉ ZINCADA CH14 - 250X100MM</t>
  </si>
  <si>
    <t>ELETROCALHA PERF. PRÉ ZINCADA CH14 - 400X100MM</t>
  </si>
  <si>
    <t>INTERRUPTORES; TOMADAS; E ESPELHOS</t>
  </si>
  <si>
    <t>BOTÃO PARA CAMPAINHA, COMPLETO C/ ESPELHO</t>
  </si>
  <si>
    <t xml:space="preserve">ESPELHO PLÁSTICO - 4"X2"                               </t>
  </si>
  <si>
    <t>ESPELHO PLÁSTICO - 4"X4"</t>
  </si>
  <si>
    <t>ESPELHO PLÁSTICO - 3"X3"</t>
  </si>
  <si>
    <t>VARIADOR DE LUMINOSIDADE ROTATIVO - 127V/500W</t>
  </si>
  <si>
    <t>INTERRUPTOR PARALELO - 1 TECLA - SEM PLACA / ESPELHO</t>
  </si>
  <si>
    <t>INTERRUPTOR PARALELO BIPOLAR - 1 TECLA - SEM PLACA/ ESPELHO</t>
  </si>
  <si>
    <t>INTERRUPTOR SIMPLES - 1 TECLA - SEM PLACA / ESPELHO</t>
  </si>
  <si>
    <t>INTERRUPTOR SIMPLES - 2 TECLAS - SEM PLACA /  ESPELHO</t>
  </si>
  <si>
    <t>INTERRUPTOR SIMPLES - 3 TECLAS - SEM PLACA / ESPELHO</t>
  </si>
  <si>
    <t>INTERRUPTOR SIMPLES BIPOLAR - 1 TECLA - SEM PLACA /  ESPELHO</t>
  </si>
  <si>
    <t>TOMADA PARA PISO COMPLETA, DE 10A OU 20A,CONFORME NBR 14136</t>
  </si>
  <si>
    <t>TOMADA 3P+T 30A - 440V</t>
  </si>
  <si>
    <t>TOMADA 3P+T 32A -  600/690V - TIPO INDUSTRIAL</t>
  </si>
  <si>
    <t>TOMADA 3P+T 63A - 600/690V - TIPO INDUSTRIAL</t>
  </si>
  <si>
    <t>TOMADA ELÉTRICA SIMPLES DE EMBUTIR, DE 10A OU 20A, SEM PLACA - CONFORME NBR 14136</t>
  </si>
  <si>
    <t>TOMADA PARA TELEFONE RJ11 - COM PLACA / ESPELHO</t>
  </si>
  <si>
    <t>TOMADA RJ 45 PARA INFORMÁTICA COM PLACA</t>
  </si>
  <si>
    <t>PLUG 3P+T 30A - 440V</t>
  </si>
  <si>
    <t>PLUG 3P+T 32A -  600/690V - TIPO INDUSTRIAL</t>
  </si>
  <si>
    <t>PLUG 3P+T 63A -  600/690V - TIPO INDUSTRIAL</t>
  </si>
  <si>
    <t>PLUG PARA TOMADA 2P+T - 20A - 250V</t>
  </si>
  <si>
    <t>PLUG PARA TELEFONE RJ11</t>
  </si>
  <si>
    <t>LUMINÁRIAS</t>
  </si>
  <si>
    <t>LUMINÁRIA BLINDADA EM ALUMÍNIO FUNDIDO TARTARUGA ATÉ 200W</t>
  </si>
  <si>
    <t>LUMINÁRIA BLINDADA EM ALUMÍNIO FUNDIDO DE EMBUTIR ATÉ 200W</t>
  </si>
  <si>
    <t>LUMINÁRIA INDUSTRIAL CORPO EM CHAPA DE AÇO TRATADA, PINTADA E REFLETOR EM ALUM. ANODIZ. DE ALTO BRILHO -2XT26 16/18/20W</t>
  </si>
  <si>
    <t>LUMINÁRIA INDUSTRIAL CORPO EM CHAPA DE AÇO TRATADA, PINTADA E REFLETOR EM ALUM. ANODIZ. DE ALTO BRILHO -2XT26 32/36/40W</t>
  </si>
  <si>
    <t>LUMINÁRIA DECORATIVA EM VIDRO LEITOSO TIPO GLOBO COM DIAM. 300MM - ALT.310MM - BOCA DE 150MM</t>
  </si>
  <si>
    <t>LUMINÁRIA INDUSTRIAL, CORPO REFLETOR REPUXADO EM CHAPA DE ALUMÍNIO ANODIZADO E SELADO - FLANGE DE FIXAÇÃO EM LIGA DE ALUMÍNIO FUNDIDO  PARA LÂMPADA BULBO LED DE ATÉ 250W</t>
  </si>
  <si>
    <t>LUMINÁRIA PARA ILUMINAÇÃO PÚBLICA PARA LÂMPADA ATÉ 250 W, COM APROVAÇÃO DE ILUME/PMSP</t>
  </si>
  <si>
    <t>PROJETOR FECHADO REFLETOR REPUXADO EM ALUM. ANODIZ. C/LENTE PLANA DE CRISTAL TEMP. P/ LÂMPADA VAPOR DE MERCÚRIO DE 400W</t>
  </si>
  <si>
    <t>PROJETOR ALUMÍNIO FUNDIDO C/ VIDRO P/ LÂMPADA ATÉ 500W</t>
  </si>
  <si>
    <t>PROJETOR FECHADO EM ALUMÍNIO FUNDIDO COM LENTE PLANA DE CRISTAL TEMPERADO PARA LÂMPADA VAPOR METÁLICO DE 1000W</t>
  </si>
  <si>
    <t>PROJETOR PARA USO EXTERNO PARA LAMPADA DE LED DE 100 W COM LAMPADA - FORMATO RETANGULAR, CORPO DE ALUMINIO E DIFUSOR DE VIDRO- PROTOTIPO COMERCIAL  (INTRAL )</t>
  </si>
  <si>
    <t>PROJETOR PARA USO EXTERNO PARA LAMPADA DE LED DE 150 W COM LAMPADA - FORMATO RETANGULAR, CORPO DE ALUMINIO E DIFUSOR DE VIDRO- PROTOTIPO COMERCIAL  (INTRAL )</t>
  </si>
  <si>
    <t>LUMINÁRIA INDUSTRIAL CORPO EM CHAPA DE AÇO TRATADA, PINTADA E REFLETOR EM ALUMÍNIO ANODIZADO DE ALTO BRILHO - 1XT14/24W</t>
  </si>
  <si>
    <t>LUMINÁRIA INDUSTRIAL CORPO EM CHAPA DE AÇO TRATADA, PINTADA E REFLETOR EM ALUMÍNIO ANODIZADO DE ALTO BRILHO - 2XT14/24W</t>
  </si>
  <si>
    <t>LUMINÁRIA INDUSTRIAL DE SOBREPOR, CORPO EM CHAPA DE AÇO TRATADA, PINTADA E REFLETOR EM ALUMÍNIO ANODIZADO DE ALTO BRILHO - 2xT8/18W LED</t>
  </si>
  <si>
    <t>LUMINÁRIA INDUSTRIAL CORPO EM CHAPA DE AÇO TRATADA, PINTADA E REFLETOR EM ALUMÍNIO ANODIZADO DE ALTO BRILHO - 2XT28/54W</t>
  </si>
  <si>
    <t>LUMINÁRIA COML DE SOBREP,C/CORPO,ALETAS PLAN,PORT.LÂMP,CH. AÇO TR. PINT,REFL.C/ACAB.ESPEC. ALTO BRI, P/2LÂM.FLU.16/20W</t>
  </si>
  <si>
    <t>LUMINÁRIA COML DE SOBREP,C/CORPO,ALETAS PLAN,TAMP.PORT.LÂMP, CH.AÇO TR.PINT,REFL.C/ACAB.ESPEC.ALT.BRI, P/2LÂM.FLU.32/40W</t>
  </si>
  <si>
    <t>LUMINÁRIA COML DE SOBREP,C/CORPO,ALETAS PLAN,TAMP.PORT.LÂMP, CH.AÇO TR. PINT,REFL.C/ACAB.ESPEC. ALTO BRI, P/1LÂM.FLU.54W</t>
  </si>
  <si>
    <t>LUMINÁRIA COML DE SOBREP,C/CORPO,ALETAS PLAN,TAMP.PORT.LÂMP, CH.AÇO TR. PINT,REFL.C/ACAB.ESPEC. ALTO BRI, P/2LÂM.FLU.54W</t>
  </si>
  <si>
    <t>LUMINÁRIA COML DE SOBREP,C/CORPO,ALETAS PLAN,TAMP.PORT.LÂMP, CH.AÇO TR. PINT,REFL.C/ACAB.ESPEC. ALTO BRI, P/1LÂM.FLU.14W</t>
  </si>
  <si>
    <t>LUMINÁRIA COML DE SOBREP,C/CORPO,ALETAS PLAN,TAMP.PORT.LÂMP, CH.AÇO TR. PINT,REFL.C/ACAB.ESPEC. ALTO BRI, P/2LÂM.FLU.14W</t>
  </si>
  <si>
    <t>LUMINÁRIA TIPO PLAFONIER BRANCA P/ LÂMPADA FLUORESCENTE 2 X 32W C/ DIFUSOR EM POLIESTIRENO TRANSPARENTE E SOQUETES</t>
  </si>
  <si>
    <t>LUMINÁRIA COMERCIAL DE SOBREPOR COM DIFUSOR TRANSPARENTE OU FOSCO 2 LED TUBULAR 18/20 W</t>
  </si>
  <si>
    <t>LUMINÁRIA COMERCIAL DE SOBREPOR COM DIFUSOR TRANSPARENTE OU FOSCO 2 LED TUBULAR 9/10 W</t>
  </si>
  <si>
    <t>LUMINÁRIA COMERCIAL DE EMBUTIR COM CORPO, ALETAS PLANAS, TAMPA PORTA LAMPADAS, EM CHAPA DE AÇO TRATADA E PINTADA NA COR BRANCA, REFLETOR COM ACABAMENTO ESPECULAR DE ALTO BRILHO PARA 2 LAMPADAS FLUORESCENTES DE 16/20W</t>
  </si>
  <si>
    <t>LUMINÁRIA COMERCIAL DE EMBUTIR COM CORPO, ALETAS PLANAS, TAMPA PORTA LAMPADAS, EM CHAPA DE AÇO TRATADA E PINTADA NA COR BRANCA, REFLETOR COM ACABAMENTO ESPECULAR DE ALTO BRILHO PARA 2 LAMPADAS FLUORESCENTES DE 32/40W</t>
  </si>
  <si>
    <t>LÂMPADA LED TUBULAR T8 DE 10W - BASE G13 - IRC&gt;=80</t>
  </si>
  <si>
    <t>REATORES</t>
  </si>
  <si>
    <t>REATOR ELETRÔNICO AFP - COM PARTIDA INSTANTÂNEA BIVOLT - P/ LÂMPADA FLUORESCENTE TUBULAR 1X20W</t>
  </si>
  <si>
    <t>REATOR ELETRÔNICO AFP - COM PARTIDA INSTANTÂNEA BIVOLT - P/ LÂMPADA FLUORESCENTE TUBULAR 2X20W</t>
  </si>
  <si>
    <t>REATOR PARA LÂMPADA VAPOR DE SÓDIO - 70W / 220V</t>
  </si>
  <si>
    <t>REATOR PARA LÂMPADA VAPOR DE SÓDIO - 150W / 220V</t>
  </si>
  <si>
    <t>REATOR PARA LÂMPADA VAPOR DE SÓDIO - 250W / 220V</t>
  </si>
  <si>
    <t>REATOR PARA LÂMPADA VAPOR DE SÓDIO - 400W / 220V</t>
  </si>
  <si>
    <t>IGNITOR P/PARTIDA DE LÂMPADA DE SÓDIO - AP 70W ATÉ 400W - TENSÃO 220V</t>
  </si>
  <si>
    <t>REATOR PARA LÂMPADA VAPOR METÁLICO - 220V - 70W</t>
  </si>
  <si>
    <t>REATOR PARA LÂMPADA VAPOR METÁLICO - 220V - 150W</t>
  </si>
  <si>
    <t>REATOR PARA LÂMPADA VAPOR METÁLICO - 220V - 250W</t>
  </si>
  <si>
    <t>REATOR PARA LÂMPADA VAPOR METÁLICO - 220V - 400W</t>
  </si>
  <si>
    <t>REATOR ELETRÔNICO AFP PARA LÂMPADA FLUORESCENTE -2X16W - BIVOLT</t>
  </si>
  <si>
    <t>REATOR ELETRÔNICO AFP PARA LÂMPADA FLUORESCENTE -2X32W - BIVOLT</t>
  </si>
  <si>
    <t>REATOR ELETRÔNICO AFP PARA LÂMPADA FLUORESCENTE -1X54W - BIVOLT</t>
  </si>
  <si>
    <t>REATOR ELETRÔNICO AFP PARA LÂMPADA FLUORESCENTE -2X54W - BIVOLT</t>
  </si>
  <si>
    <t>REATOR ELETRÔNICO AFP PARA LÂMPADA FLUORESCENTE - 1X28W - BIVOLT</t>
  </si>
  <si>
    <t>REATOR ELETRÔNICO AFP PARA LÂMPADA FLUORESCENTE - 2X28W - BIVOLT</t>
  </si>
  <si>
    <t>ALTA TENSÃO</t>
  </si>
  <si>
    <t>ISOLADOR DE PORCELANA SUPORTE TIPO PEDESTAL - 15KV</t>
  </si>
  <si>
    <t>VERGALHÃO DE COBRE 3/8" (10MM)</t>
  </si>
  <si>
    <t>MUFLA UNIPOLAR INT. P/ CABO ATÉ 35MM2/15KV</t>
  </si>
  <si>
    <t>MUFLA UNIPOLAR EXT. P/ CABO ATÉ 35MM2/15KV</t>
  </si>
  <si>
    <t>MUFLA TRIPOLAR INT. P/ CABO ATÉ 35MM2/15KV</t>
  </si>
  <si>
    <t>MUFLA TRIPOLAR EXT. P/ CABO ATÉ 35MM2/15KV</t>
  </si>
  <si>
    <t>TRANSFORMADOR DE POTÊNCIA A ÓLEO MONOFÁSICO - 500VA 13,2KV / 220V</t>
  </si>
  <si>
    <t>LUVA DE BORRACHA ISOLAÇÃO 20KV</t>
  </si>
  <si>
    <t>CAIXA A3 - PADRÃO ELETROPAULO</t>
  </si>
  <si>
    <t>PLACA AVISO CABINE PRIM.FERRO ESMALT.30X40C</t>
  </si>
  <si>
    <t>PALLET DE MADEIRA COM 4 ENTRADAS - 1 FACE -MED:(120X100)CM</t>
  </si>
  <si>
    <t>PLAQUETA INDICATIVA DE PVC 8X12CM</t>
  </si>
  <si>
    <t>CHAVE SECCIONADORA TRIP. SECA - 400A/15KV</t>
  </si>
  <si>
    <t>CHAVE SECCIONADORA TRIP. COM BASE PARA FUSÍVEL HH-400A-15KV</t>
  </si>
  <si>
    <t>TRANSFORMADORES</t>
  </si>
  <si>
    <t>TRANSFORMADOR TRIFÁSICO 13,8 / 13,2 / 12,6 KV - 220/127V 500KVA - A SECO</t>
  </si>
  <si>
    <t>TRANSFORMADOR TRIFÁSICO 15KV - 13.2KV / 220/127V-300 KVA -SEM CAIXA DE PROTEÇÃO (IP-00)</t>
  </si>
  <si>
    <t>TRANSFORMADOR ISOLADOR TRIFÁSICO 10 KVA - TENSÃO PRIMÁRIA 220 V  TENSÃO SECUNDÁRIA 110/220 COM CAIXA IP-21</t>
  </si>
  <si>
    <t>BANCO AUTOMÁTICO DE CAPACITORES, 15 KVAR, 220 V, TRIF., EM PAINEL, P/ CORREÇÃO FATOR DE POTÊNCIA</t>
  </si>
  <si>
    <t>BANCO AUTOMÁTICO DE CAPACITORES, 30 KVAR, 220 V, TRIF., EM PAINEL, P/ CORREÇÃO FATOR DE POTÊNCIA</t>
  </si>
  <si>
    <t>BANCO AUTOMÁTICO DE CAPACITORES, 50 KVAR, 220 V, TRIF., EM PAINEL, P/ CORREÇÃO FATOR DE POTÊNCIA</t>
  </si>
  <si>
    <t>LÂMPADAS</t>
  </si>
  <si>
    <t>LÂMPADA FLUORESCENTE - 20 W</t>
  </si>
  <si>
    <t>LÂMPADA FLUORESCENTE - 14W</t>
  </si>
  <si>
    <t>LÂMPADA FLUORESCENTE - 28W</t>
  </si>
  <si>
    <t>LÂMPADA FLUORESCENTE - 54W</t>
  </si>
  <si>
    <t>LÂMPADA FLUORESCENTE TIPO HO - 110W</t>
  </si>
  <si>
    <t>LÂMPADA VAPOR DE SÓDIO - 70W</t>
  </si>
  <si>
    <t>LÂMPADA VAPOR DE SÓDIO - 150W</t>
  </si>
  <si>
    <t>LÂMPADA VAPOR DE SÓDIO - 250W</t>
  </si>
  <si>
    <t>LÂMPADA VAPOR DE SÓDIO - 400W</t>
  </si>
  <si>
    <t>LÂMPADA DE HALOGÊNIO 300W / 110V</t>
  </si>
  <si>
    <t>LÂMPADA DE HALOGÊNIO 1000W / 220V</t>
  </si>
  <si>
    <t>LÂMPADA FLUORESCENTE - 16W</t>
  </si>
  <si>
    <t>LÂMPADA FLUORESCENTE - 32W</t>
  </si>
  <si>
    <t>LÂMPADA COMPACTA MINI FLUORESCENTE COM REATOR E SOQUETE INCORPORADOS - 25W</t>
  </si>
  <si>
    <t>LÂMPADA MULTIVAPOR METÁLICO TUBULAR OU OVÓIDE, BASE E27 - 70W - 1ª LINHA</t>
  </si>
  <si>
    <t>LÂMPADA MULTIVAPOR METÁLICO TUBULAR OU OVÓIDE, BASE E27 - 150W - 1ª LINHA</t>
  </si>
  <si>
    <t>LÂMPADA MULTIVAPOR METÁLICO TUBULAR OU OVÓIDE, BASE E40 - 250W</t>
  </si>
  <si>
    <t>LÂMPADA MULTIVAPOR METÁLICO TUBULAR OU OVÓIDE, BASE E40 - 400W</t>
  </si>
  <si>
    <t>LAMPADA DE LED TUBULAR 18/20 W</t>
  </si>
  <si>
    <t>LÂMPADA DE LED BULBO 9W - SOQUETE E-27</t>
  </si>
  <si>
    <t>LÂMPADA DE LED (BULBO) SOQUETE E-27/E- 40 - 40 W</t>
  </si>
  <si>
    <t>LÂMPADA DE LED (BULBO) SOQUETE E-27/E- 40 - 70 W</t>
  </si>
  <si>
    <t>LÂMPADA DE LED (BULBO) SOQUETE E-27/E- 40 - 100 W</t>
  </si>
  <si>
    <t>LÂMPADA DE LED (BULBO) SOQUETE E-27/E- 40 - 150 W</t>
  </si>
  <si>
    <t>LUMINÁRIA HERMÉTICA TIPO LED DE 120 W - LUMINARIA TIPO PUBLICA,TIPO PETALA,MATERIAL ALUMINIO INJETADO A ALTA PRESSAO - TECNOWATT</t>
  </si>
  <si>
    <t xml:space="preserve">LUMINÁRIA HERMÉTICA TIPO LED DE 150 W - LUMINARIA TIPO PUBLICA,TIPO PETALA,MATERIAL ALUMINIO INJETADO A ALTA PRESSAO - TECNOWATT </t>
  </si>
  <si>
    <t>EQUIPAMENTOS DE EMERGÊNCIA</t>
  </si>
  <si>
    <t>LUMINÁRIA DE EMERGÊNCIA AUTÔNOMA COM 2 PROJETORES DE 55W / 12VC - COM BATERIA</t>
  </si>
  <si>
    <t>LUMINÁRIA DE EMERGÊNCIA AUTÔNOMA COM LÂMPADA FLUORESCENTE DE 9W</t>
  </si>
  <si>
    <t>LUMINÁRIA DE EMERGÊNCIA AUTÔNOMA COM 30 LEDS</t>
  </si>
  <si>
    <t>BATERIA AUTOMOTIVA SEM COMPLEMENTO DE NÍVEL 12V - 40A</t>
  </si>
  <si>
    <t>CENTRAL ALARME INCÊNDIO ATÉ 12 LAÇOS</t>
  </si>
  <si>
    <t>CENTRAL ALARME INCÊNDIO ATÉ 24 LAÇOS</t>
  </si>
  <si>
    <t>ALARME AUDIOVISUAL SEM FIO PARA 01 BANHEIRO PPDF</t>
  </si>
  <si>
    <t>ACIONADOR LIGA/DESLIGA P/ BOMBA - COM MARTELO QUEBRA VIDRO</t>
  </si>
  <si>
    <t>ACIONADOR MANUAL TIPO QUEBRE-O-VIDRO</t>
  </si>
  <si>
    <t>CAMPAINHA TIMBRE PARA INCÊNDIO 24V - 95DB</t>
  </si>
  <si>
    <t>SIRENE ELETRÔNICA C/ SOM AGUDO ONDULANTE, 24V, ENTRE 100 DB E 120DB - COM FLASH (GRUPO DE LEDS)</t>
  </si>
  <si>
    <t>SIRENE ELETRÔNICA BITONAL  24V, ENTRE 100 e 120 DB, COM FLASH (GRUPO DE LEDS)</t>
  </si>
  <si>
    <t>DETECTOR ÓPTICO DE FUMAÇA NÃO-ANALÓGICO PARA SISTEMAS ENDEREÇÁVEIS</t>
  </si>
  <si>
    <t>DETECTOR PRESENÇA TP INFRAVERM. PAS - 12VCC</t>
  </si>
  <si>
    <t>NO-BREAK TRIFÁSICO - 15 KVA - AUTONOMIA DE 15 MIN.</t>
  </si>
  <si>
    <t>ESTABILIZADOR ELETRÔNICO TRIFÁSICO - 15 KVA</t>
  </si>
  <si>
    <t>NO BREAK BIFÁSICO 10 KVA - AUTONOMIA 15 MIN - TENSAO DE ENTRADA 220 V/ TENSAO DE SAIDA 220 V</t>
  </si>
  <si>
    <t>GRUPO GERADOR 150 KVA ( + OU - 10 KVA) COM COMANDO AUTOMÁTICO, VERSÃO ABERTA</t>
  </si>
  <si>
    <t>GRUPO GERADOR 137 KVA ( + OU - 10 KVA) COM COMANDO AUTOMÁTICO, VERSÃO ABERTA</t>
  </si>
  <si>
    <t>GRUPO GERADOR 275 KVA ( + OU - 10 KVA) COM COMANDO AUTOMÁTICO, VERSÃO ABERTA</t>
  </si>
  <si>
    <t>INVERSOR FOTOVOLTÁICO SAÍDA TRIFÁSICA - 15 KW - ENTRADA ATÉ 1000 VCC - EFICIÊNCIA MÍNIMA 95 %</t>
  </si>
  <si>
    <t>INVERSOR FOTOVOLTÁICO SAÍDA TRIFÁSICA - 12,76 KW - ENTRADA ATÉ 1100 VCC - EFICIÊNCIA MÍNIMA 95 %</t>
  </si>
  <si>
    <t>MÓDULO FOTOVOLTÁICO (PAINEL) MONOCRISTALINO - 450W - TENSÃO MÁX. 1000VCC - EFICIÊNCIA MÍNIMA 20%</t>
  </si>
  <si>
    <t>APARELHOS ELÉTRICOS</t>
  </si>
  <si>
    <t>BEBEDOURO ELÉTRICO COM REFRIGERAÇÃO - 40L</t>
  </si>
  <si>
    <t>BEBEDOURO ELÉTRICO COM SISTEMA DE REFRIGERAÇÃO - ACESSÍVEL</t>
  </si>
  <si>
    <t>BEBEDOURO ELÉTRICO COM REFRIGERAÇÃO - 80L</t>
  </si>
  <si>
    <t>CHUVEIRO ELÉTRICO AUTOMÁTICO -220V- 5400W-CORPO PVC CROMADO</t>
  </si>
  <si>
    <t>DUCHA MODELO JET 04 - PLÁSTICA - BRANCA</t>
  </si>
  <si>
    <t>DUCHA HIG.FLEX SEM REG. DE PAREDE</t>
  </si>
  <si>
    <t>EXAUSTOR P/ COIFA - POT. 1HP</t>
  </si>
  <si>
    <t>VENTILADOR DE PAREDE C/ GRADE CROMADA, DIÂM. MÍN. DE 65 CM, BI-VOLT, POT. 150 W, VELOC. REGULÁVEL E MOVIMENTO OSCILANTE</t>
  </si>
  <si>
    <t>TORNEIRA ELÉTRICA DE PLÁSTICO BRANCA - 220V</t>
  </si>
  <si>
    <t>PÁRA-RAIOS E ACESSÓRIOS</t>
  </si>
  <si>
    <t>BASE E ESTAIS PARA MASTRO DE PÁRA-RAIOS</t>
  </si>
  <si>
    <t>TERMINAL AÉREO AÇO GALV. C/ BASE FIXA 30 CM</t>
  </si>
  <si>
    <t>SUPORTE P/FIXAÇÃO CABO EM TELHA ONDULADA</t>
  </si>
  <si>
    <t>CAIXA INSPEÇÃO ATERR.C/TAMPA E ALÇA</t>
  </si>
  <si>
    <t>CAIXA SUSPENSA P/ INSPEÇÃO DE TERRA - POLIPROPILENO OU PVC</t>
  </si>
  <si>
    <t>SINALEIRO SIMPLES C/FOTOCÉLULA SOLAR</t>
  </si>
  <si>
    <t>SINALEIRO DUPLO C/FOTOCÉLULA SOLAR</t>
  </si>
  <si>
    <t>CAPTOR TIPO FRANKLIN PARA DUAS DESCIDAS</t>
  </si>
  <si>
    <t>SUPORTE ISOLADOR SIMPLES COM ROLDANA - ROSCA SOBERBA E BUCHA - PARA DESCIDA DE PÁRA-RAIOS</t>
  </si>
  <si>
    <t>HASTES</t>
  </si>
  <si>
    <t>HASTE TIPO COPPERWELD ALTA CAMADA - 5/8"X3,00M</t>
  </si>
  <si>
    <t>HASTE TIPO COPPERWELD ALTA CAMADA - 3/4"X3,00M</t>
  </si>
  <si>
    <t>MASTRO DE AÇO GALVANIZADO - 2"X3,00M</t>
  </si>
  <si>
    <t>CAIXA DE PASSAGEM EM CHAPA METÁLICA COM TAMPA APARAFUSADA MED. (10X10X8)CM</t>
  </si>
  <si>
    <t>CONECTORES E TERMINAIS</t>
  </si>
  <si>
    <t>TERMINAL DE PRESSÃO PARA CABO   6MM2</t>
  </si>
  <si>
    <t>TERMINAL DE PRESSÃO PARA CABO  10MM2</t>
  </si>
  <si>
    <t>TERMINAL DE PRESSÃO PARA CABO  16MM2</t>
  </si>
  <si>
    <t>TERMINAL DE PRESSÃO PARA CABO  25MM2</t>
  </si>
  <si>
    <t>TERMINAL DE PRESSÃO PARA CABO  35MM2</t>
  </si>
  <si>
    <t>TERMINAL DE PRESSÃO PARA CABO  50MM2</t>
  </si>
  <si>
    <t>TERMINAL DE PRESSÃO PARA CABO  70MM2</t>
  </si>
  <si>
    <t>TERMINAL DE PRESSÃO PARA CABO  95MM2</t>
  </si>
  <si>
    <t>TERMINAL DE PRESSÃO PARA CABO 120MM2</t>
  </si>
  <si>
    <t>TERMINAL DE PRESSÃO PARA CABO 150MM2</t>
  </si>
  <si>
    <t>TERMINAL DE PRESSÃO PARA CABO 185MM2</t>
  </si>
  <si>
    <t>TERMINAL DE PRESSÃO PARA CABO 240MM2</t>
  </si>
  <si>
    <t>TERMINAL DE PRESSÃO PARA CABO 300MM2</t>
  </si>
  <si>
    <t>CONECTOR PARA HASTE TIPO COPPERWELD</t>
  </si>
  <si>
    <t>CONECTOR TIPO SPLIT-BOLT PARA CABO DE 16MM2</t>
  </si>
  <si>
    <t>CONECTOR TIPO SPLIT-BOLT PARA CABO DE 25MM2</t>
  </si>
  <si>
    <t>CONECTOR TIPO SPLIT-BOLT PARA CABO DE 35MM2</t>
  </si>
  <si>
    <t>CONECTOR TIPO SPLIT-BOLT PARA CABO DE 70MM2</t>
  </si>
  <si>
    <t>CONECTOR TIPO SPLIT-BOLT PARA CABO DE 95MM2</t>
  </si>
  <si>
    <t>CONECTOR TIPO SPLIT-BOLT PARA CABO DE 50MM2</t>
  </si>
  <si>
    <t>CONECTOR TIPO SPLIT-BOLT PARA CABO DE 120MM2</t>
  </si>
  <si>
    <t>CONECTOR TIPO SPLIT-BOLT PARA CABO DE 150MM2</t>
  </si>
  <si>
    <t>CONECTOR TIPO SPLIT-BOLT PARA CABO DE 185MM2</t>
  </si>
  <si>
    <t>CONECTOR TIPO SPLIT-BOLT PARA CABO DE 240MM2</t>
  </si>
  <si>
    <t>CONECTOR TIPO SPLIT-BOLT PARA CABO DE 300MM2</t>
  </si>
  <si>
    <t>CONECTOR EM ALUMÍNIO TIPO PRENSA-CABO - 3/8"</t>
  </si>
  <si>
    <t>CONECTOR EM ALUMÍNIO TIPO PRENSA-CABO - 1/2"</t>
  </si>
  <si>
    <t>CONECTOR EM ALUMÍNIO TIPO PRENSA-CABO - 3/4"</t>
  </si>
  <si>
    <t>CONECTOR EM ALUMÍNIO TIPO PRENSA-CABO - 1"</t>
  </si>
  <si>
    <t>BUCHAS; ARRUELAS E BRAÇADEIRAS</t>
  </si>
  <si>
    <t>BRAÇADEIRA DE AÇO GALVANIZADO TIPO U (OMEGA/SIMPLES) - 1"</t>
  </si>
  <si>
    <t>BRAÇADEIRA PARA TUBO DE 150MM</t>
  </si>
  <si>
    <t>BUCHA E ARRUELA DE ZAMACK -  1/2"</t>
  </si>
  <si>
    <t>BUCHA E ARRUELA DE ZAMACK -  3/4"</t>
  </si>
  <si>
    <t>BUCHA E ARRUELA DE ZAMACK - 1.1/2"</t>
  </si>
  <si>
    <t>BUCHA E ARRUELA DE ZAMACK - 2.1/2"</t>
  </si>
  <si>
    <t>BUCHA E ARRUELA DE ZAMACK - 3"</t>
  </si>
  <si>
    <t>BUCHA E ARRUELA DE ZAMACK - 4"</t>
  </si>
  <si>
    <t>BRAÇADEIRA DE AÇO GALVANIZADO TIPO U (OMEGA/SIMPLES) - 1/2"</t>
  </si>
  <si>
    <t>BRAÇADEIRA DE AÇO GALVANIZADO TIPO U (OMEGA/SIMPLES) - 3/4"</t>
  </si>
  <si>
    <t>BRAÇADEIRA DE AÇO GALVANIZADO TIPO U (OMEGA/SIMPLES) - 3"</t>
  </si>
  <si>
    <t>POSTE DE CONCRETO DUPLO T - H=7,50M - 90KG</t>
  </si>
  <si>
    <t>POSTE DE CONCRETO DUPLO T - H=7,50M - 200KG</t>
  </si>
  <si>
    <t>POSTE DE CONCRETO DUPLO T - H=7,50M - 300KG</t>
  </si>
  <si>
    <t>POSTE DE CONCRETO CIRCULAR RETO - H=12,00M/200DAM</t>
  </si>
  <si>
    <t>POSTE DE CONCRETO COM ALTURA LIVRE DE 18M - 1000 DAN - CIRCULAR / DUPLO T</t>
  </si>
  <si>
    <t>CRUZETA DE FERRO GALVANIZADO PARA 3 PROJETORES</t>
  </si>
  <si>
    <t>BRAÇO P/LUMIN. TUBO FERRO GALV. 1-X1;00M</t>
  </si>
  <si>
    <t>ALÇA COM ISOLADOR DE PORCELANA TIPO TELESP</t>
  </si>
  <si>
    <t>ARMAÇÃO SECUNDÁRIA (PRESBOW) - 3 ESTRIBOS</t>
  </si>
  <si>
    <t>BLOCO DE LIGAÇÃO EXT.BLE-2 (CAIXA) C/KIT DE INSTAL: C/ ISOL PORC.2RP, PARAF.PR60 C/ PORC.E SUPORTE TIPO DM-PADR.TELESP</t>
  </si>
  <si>
    <t>CINTA DE AÇO GALVANIZADO DIÂMETRO 170MM</t>
  </si>
  <si>
    <t>CIGARRA DE SOBREPOR; TIPO COLEGIAL</t>
  </si>
  <si>
    <t>FITA ISOLANTE ROLO DE 19MM X 20M - COR PRETA</t>
  </si>
  <si>
    <t>SOQUETE ANTIVIBRATÓRIO PARA LÂMPADA FLUORESCENTE SEM PORTA  - STA</t>
  </si>
  <si>
    <t>SOQUETE PARA LAMPADA TUBULAR</t>
  </si>
  <si>
    <t>TAMPA METÁLICA COM REQUADRO DE 30X30CM (FERRO FUNDIDO)</t>
  </si>
  <si>
    <t>RELÉ FOTOEL. FOTOCÉLULA SOLAR 1000W</t>
  </si>
  <si>
    <t>ANÉIS PRÉ-MOLD RES. CONCR ARM. 2,50X0,50M – FORN/MONT</t>
  </si>
  <si>
    <t>DISPOSITIVO DE PROTEÇÃO CONTRA SURTOS 275V - 40KA</t>
  </si>
  <si>
    <t>INTERRUPTOR DIFERENCIAL RESIDUAL (DR)2P - 25A/30MA-220/240V</t>
  </si>
  <si>
    <t>INTERRUPTOR DIFERENCIAL RESIDUAL (DR)2P - 40A/30MA-220/240V</t>
  </si>
  <si>
    <t>BARRAMENTO DE COBRE TIPO DIN BIPOLAR PARA 80A</t>
  </si>
  <si>
    <t>BARRAMENTO DE COBRE TIPO DIN TRIPOLAR PARA 80A</t>
  </si>
  <si>
    <t>MINI DISJUNTOR - TIPO EUROPEU (IEC) - TRIPOLAR DE 63A</t>
  </si>
  <si>
    <t>ÓLEO ISOLANTE P/ TRANSFORMADOR/DISJUNTOR 30KV/CM</t>
  </si>
  <si>
    <t>ISOLADOR SUPORTE TIPO PEDESTAL EM PORCELANA - 1KV</t>
  </si>
  <si>
    <t>ISOLADOR SUPORTE TIPO PEDESTAL EM EPOXI - 15KV</t>
  </si>
  <si>
    <t>ISOLADOR SUPORTE TIPO PEDESTAL EM EPOXI -  1KV</t>
  </si>
  <si>
    <t>JANELA P/ VENTILAÇÃO PERMANENTE TIPO CHICANA INCLUSIVE TELA</t>
  </si>
  <si>
    <t>TERMINAL OU CONECTOR P/ VERGALHÃO DE COBRE 3/8" (10MM)</t>
  </si>
  <si>
    <t>EMENDA PARA CABO DE MÉDIA TENSÃO 12/20KV - 1X25 / 1X35 MM2 UNIPOLAR</t>
  </si>
  <si>
    <t>TRANSFORMADOR DE POTENCIAL A SECO 13,2 / 0,11-0,22KV-1000VA</t>
  </si>
  <si>
    <t>BUCHA DE PASSAGEM INTERNA / EXTERNA - 15KV</t>
  </si>
  <si>
    <t>BUCHA PARA NEUTRO - EM PORCELANA</t>
  </si>
  <si>
    <t>BUCHA DE PASSAGEM PARA BARRAMENTO - EM EPÓXI</t>
  </si>
  <si>
    <t>CHAPA DE FERRO 1,50X0,50X1/4" PARA BUCHAS DE PASSAGEM PADRÃO ELETROPAULO</t>
  </si>
  <si>
    <t>BASE PARA FUSÍVEL DE TRANSFORMADOR DE POTENCIAL CLASSE 15KV - 0,5A - 160MM</t>
  </si>
  <si>
    <t>FUSÍVEL HH PARA 7,5A/15KV</t>
  </si>
  <si>
    <t>FUSÍVEL HH PARA 10A/15KV</t>
  </si>
  <si>
    <t>FUSÍVEL HH PARA 20A/15KV</t>
  </si>
  <si>
    <t>FUSÍVEL HH PARA 40A/15KV</t>
  </si>
  <si>
    <t>BASE TRIPOLAR PARA FUSÍVEL LIMITADOR HH - 15KV / 200A</t>
  </si>
  <si>
    <t>FUSÍVEL PARA TRANSFORMADOR DE POTENCIAL</t>
  </si>
  <si>
    <t>DISJUNTOR A VÁCUO 15KV/350 MVA -COMPLETO- CARREGAM. MANUAL</t>
  </si>
  <si>
    <t>DISJUNTOR PVO 15KV / 350MVA - COMPLETO</t>
  </si>
  <si>
    <t>DISJUNTOR A VÁCUO 15KV/350MVA - COMPLETO - CARREGAM. MOTORIZADO</t>
  </si>
  <si>
    <t>BOBINA DE MÍNIMA TENSÃO DO DISJUNTOR VOL NORMAL DE ÓLEO</t>
  </si>
  <si>
    <t>RELE DE FALTA DE FASE E MÍNIMA TENSÃO - TRIFÁSICO</t>
  </si>
  <si>
    <t>PARA-RAIO TIPO POLIMÉRICO CLASSE 15 KV</t>
  </si>
  <si>
    <t>ESTRADO DE BORRACHA ISOLANTE 100X100X2,5CM</t>
  </si>
  <si>
    <t>VARA DE MANOBRA DE FIBRA DE VIDRO 3,00 M / 15KV</t>
  </si>
  <si>
    <t>BRAÇADEIRA PARA ELETRODUTO EM POSTE</t>
  </si>
  <si>
    <t>LUVA DE SOBREPOSIÇÃO PARA LUVA ISOLANTE EM COURO DE VAQUETA</t>
  </si>
  <si>
    <t>BOLSA EM LONA PARA FERRAMENTAS - TIPO TIRACOLO</t>
  </si>
  <si>
    <t>CHAVE SECCIONADORA TRIP SECA INTERNA 200A/15KV</t>
  </si>
  <si>
    <t>CONJUNTO DE ACIONAMENTO PARA CHAVE SECCIONADORA CONTENDO: PUNHO DE ACIONAMENTO, SUPORTE DO PUNHO, ARTICULAÇÃO, TUBO DE DESCIDA E PROLONGADOR</t>
  </si>
  <si>
    <t>TRANSFORMADOR TRIFÁSICO 15KV - 13.2KV / 220/127V-112.5KVA</t>
  </si>
  <si>
    <t>TRANSFORMADOR TRIFÁSICO 15KV - 13.2KV / 220/127V-150KVA</t>
  </si>
  <si>
    <t>TRANSFORMADOR TRIFÁSICO 15KV - 13.2KV / 220/127V-225KVA</t>
  </si>
  <si>
    <t>TRANSFORMADOR TRIFÁSICO 15KV - 13,2KV / 220/127V-300KVA A ÓLEO</t>
  </si>
  <si>
    <t>TRANSFORMADOR TRIFÁSICO À SECO 150KVA 13,8/13,2/12,6/ KV - 220/127V</t>
  </si>
  <si>
    <t>TRANSFORMADOR TRIFÁSICO À SECO 225KVA 13,8/13,2/12,6/ KV - 220/127V</t>
  </si>
  <si>
    <t>TRANSFORMADOR DE CORRENTE - MEDIÇÃO - CLASSE 15KV CORRENTE PRIMÁRIA 800A - USO INTERNO (MÉDIA TENSÃO)</t>
  </si>
  <si>
    <t>RELE DE SOBRECORRENTE DE AÇÃO INDIRETA PARA MÉDIA TENSÃO</t>
  </si>
  <si>
    <t>CAPACITOR P/CORREÇÃO DO FATOR DE POTÊNCIA - 220V -  5,0KVAR</t>
  </si>
  <si>
    <t>CAPACITOR P/CORREÇÃO DO FATOR DE POTÊNCIA - 220V - 10,0KVAR</t>
  </si>
  <si>
    <t>CAPACITOR P/CORREÇÃO DO FATOR DE POTÊNCIA - 220V - 15,0KVAR</t>
  </si>
  <si>
    <t>CAPACITOR P/CORREÇÃO DO FATOR DE POTÊNCIA - 220V - 20,0KVAR</t>
  </si>
  <si>
    <t>CAPACITOR P/CORREÇÃO DO FATOR DE POTÊNCIA - 220V - 30,0KVAR</t>
  </si>
  <si>
    <t>CAPACITOR P/CORREÇÃO DO FATOR DE POTÊNCIA - 220V - 40,0KVAR</t>
  </si>
  <si>
    <t>CAPACITOR P/CORREÇÃO DO FATOR DE POTÊNCIA - 220V - 50,0KVAR</t>
  </si>
  <si>
    <t>CARTUCHO PARA CONEXÃO EXOTÉRMICA CABO/CABO</t>
  </si>
  <si>
    <t>CARTUCHO PARA CONEXÃO EXOTÉRMICA CABO/HASTE</t>
  </si>
  <si>
    <t>CARTUCHO PARA CONEXÃO EXOTÉRMICA - ESTRUTURA METÁLICA</t>
  </si>
  <si>
    <t>MOLDE CLASSE B PARA CONEXÃO EXOTÉRMICA</t>
  </si>
  <si>
    <t>MOLDE CLASSE C PARA CONEXÃO EXOTÉRMICA</t>
  </si>
  <si>
    <t>ALICATE PARA MOLDE CLASSE B (CONEXÃO EXOTÉRMICA)</t>
  </si>
  <si>
    <t>ALICATE PARA MOLDE CLASSE C (CONEXÃO EXOTÉRMICA)</t>
  </si>
  <si>
    <t>PLACA AVISO DE POLIESTIRENO - 30 X 40 CM - E= 2 MM</t>
  </si>
  <si>
    <t>DISJUNTOR (MINI) TRIPOLAR 100A - TIPO EUROPEU</t>
  </si>
  <si>
    <t>DISJUNTOR (MINI) BIPOLAR 63A TIPO EUROPEU</t>
  </si>
  <si>
    <t>DISJUNTOR (MINI) BIPOLAR 80A TIPO EUROPEU</t>
  </si>
  <si>
    <t>DISJUNTOR (MINI)TRIPOLAR 80A TIPO EUROPEU</t>
  </si>
  <si>
    <t>CAIXA DE MADEIRA PARA ARMAZENAMENTO DE LUVA ISOLANTE</t>
  </si>
  <si>
    <t>TRANSFORMADOR DE CORRENTE PARA PROTEÇÃO DE INSTALAÇÃO PRIMÁRIA RELAÇÃO 50:5 A</t>
  </si>
  <si>
    <t>TRANSFORMADOR DE CORRENTE PARA PROTEÇÃO DE INSTALAÇÃO PRIMÁRIA RELAÇÃO 75:5 A</t>
  </si>
  <si>
    <t>TRANSFORMADOR DE CORRENTE PARA PROTEÇÃO DE INSTALAÇÃO PRIMÁRIA RELAÇÃO 100:5 A</t>
  </si>
  <si>
    <t>TRANSFORMADOR DE POTENCIAL A SECO 15 KV - 220 V - 1000 VA</t>
  </si>
  <si>
    <t>REDE LÓGICA</t>
  </si>
  <si>
    <t>RACK COM PORTA 8U</t>
  </si>
  <si>
    <t>BANDEJA FIXA PARA RACK 8U</t>
  </si>
  <si>
    <t>RÉGUA COM 04 TOMADAS UNIVERSAIS (2P+T, 15A-250V) POLARIZAÇÃO NEMA 5/15</t>
  </si>
  <si>
    <t>KIT DE VENTILAÇÃO FORÇADA COM 02 VENTILADORES PARA RACK 8U</t>
  </si>
  <si>
    <t>PATCH PANEL - 24 PORTAS</t>
  </si>
  <si>
    <t>SWITCH PARA RACK - 24 PORTAS</t>
  </si>
  <si>
    <t>GUIA ORGANIZADORA DE CABOS - FECHADO - 1U</t>
  </si>
  <si>
    <t>PATCH CORD RJ-45 - 1,50M</t>
  </si>
  <si>
    <t>PATCH CORD RJ-45 - 2,50M</t>
  </si>
  <si>
    <t>CABO UTP CATEGORIA - CAT. 5E - 4 PARES</t>
  </si>
  <si>
    <t>Valor Global</t>
  </si>
  <si>
    <t>Ponto</t>
  </si>
  <si>
    <t>CURVA GALV. 35CM BITOLA 22 P/ EXAUSTOR AR RECRAV.</t>
  </si>
  <si>
    <t>CHAPÉU CHINÊS P/ DUTO GALV. 35CM BITOLA 22 P/ EXAUSTOR</t>
  </si>
  <si>
    <t>TUBOS (CONCRETO)</t>
  </si>
  <si>
    <t>TUBO DE CONCRETO SIMPLES PS -1 D = 300 MM</t>
  </si>
  <si>
    <t>TUBO DE CONCRETO SIMPLES PS -1 D = 400 MM</t>
  </si>
  <si>
    <t>TUBO DE CONCRETO SIMPLES PS -1 D = 500 MM</t>
  </si>
  <si>
    <t>TUBO DE CONCRETO SIMPLES PS -1 D = 600 MM</t>
  </si>
  <si>
    <t>TUBO DE CONCRETO - DIÂMETRO  70 CM - EA-2</t>
  </si>
  <si>
    <t>TUBO DE CONCRETO - DIÂMETRO 100 CM - EA-2</t>
  </si>
  <si>
    <t>TUBO DE CONCRETO ARMADO PA -2 D = 0,60M</t>
  </si>
  <si>
    <t>TUBO DE CONCRETO ARMADO PA -2 D = 0,70M</t>
  </si>
  <si>
    <t>TUBO DE CONCRETO ARMADO PA -2 D = 0,80M</t>
  </si>
  <si>
    <t>TUBO DE CONCRETO ARMADO PA -2 D = 0,90M</t>
  </si>
  <si>
    <t>TUBO DE CONCRETO ARMADO PA -2 D = 1,00M</t>
  </si>
  <si>
    <t>TUBO DE CONCRETO ARMADO PA -2 D = 1,20M</t>
  </si>
  <si>
    <t>TUBO DE CONCRETO ARMADO PA -2 D = 1,50M</t>
  </si>
  <si>
    <t>TUBO DE CONCRETO ARMADO PA -3 D =  700 MM</t>
  </si>
  <si>
    <t>TUBO DE CONCRETO ARMADO PA -3 D = 1000 MM</t>
  </si>
  <si>
    <t>TUBO DE CONCRETO ARMADO PA -3 D = 1200 MM</t>
  </si>
  <si>
    <t>TUBO DE CONCRETO ARMADO PA -3 D = 1500 MM</t>
  </si>
  <si>
    <t>TUBO DE CONCRETO ARMADO PA -3 D =  800 MM</t>
  </si>
  <si>
    <t>TUBO DE CONCRETO ARMADO PA -3 D =  600 MM</t>
  </si>
  <si>
    <t>TUBO DE CONCRETO ARMADO PA -3 D =  900 MM</t>
  </si>
  <si>
    <t>TUBO COM CORRUGAÇÃO ANELAR EXTERNA E PAREDE INTERNA LISA, SISTEMA PONTA /BOLSA, EM POLIETILENO DE ALTA RESISTÊNCIA (PEAD), COR PRETA, CONFORME NORMAS ABNT NBR ISO 21138-1 E 21138-3, CLASSE DE RIGIDEZ (SN4), COM DIÂMETRO NOMINAL DE 300 MM</t>
  </si>
  <si>
    <t>TUBO COM CORRUGAÇÃO ANELAR EXTERNA E PAREDE INTERNA LISA, SISTEMA PONTA /BOLSA, EM POLIETILENO DE ALTA RESISTÊNCIA (PEAD), COR PRETA, CONFORME NORMAS ABNT NBR ISO 21138-1 E 21138-3, CLASSE DE RIGIDEZ (SN4), COM DIÂMETRO NOMINAL DE 400 MM</t>
  </si>
  <si>
    <t>TUBO COM CORRUGAÇÃO ANELAR EXTERNA E PAREDE INTERNA LISA, SISTEMA PONTA /BOLSA, EM POLIETILENO DE ALTA RESISTÊNCIA (PEAD), COR PRETA, CONFORME NORMAS ABNT NBR ISO 21138-1 E 21138-3, CLASSE DE RIGIDEZ (SN4), COM DIÂMETRO NOMINAL DE 500 MM</t>
  </si>
  <si>
    <t>TUBO COM CORRUGAÇÃO ANELAR EXTERNA E PAREDE INTERNA LISA, SISTEMA PONTA /BOLSA, EM POLIETILENO DE ALTA RESISTÊNCIA (PEAD), COR PRETA, CONFORME NORMAS ABNT NBR ISO 21138-1 E 21138-3, CLASSE DE RIGIDEZ (SN4), COM DIÂMETRO NOMINAL DE 600 MM</t>
  </si>
  <si>
    <t>TUBO COM CORRUGAÇÃO ANELAR EXTERNA E PAREDE INTERNA LISA, SISTEMA PONTA /BOLSA, EM POLIETILENO DE ALTA RESISTÊNCIA (PEAD), COR PRETA, CONFORME NORMAS ABNT NBR ISO 21138-1 E 21138-3, CLASSE DE RIGIDEZ (SN4), COM DIÂMETRO NOMINAL DE 800 MM</t>
  </si>
  <si>
    <t>TUBO COM CORRUGAÇÃO ANELAR EXTERNA E PAREDE INTERNA LISA, SISTEMA PONTA /BOLSA, EM POLIETILENO DE ALTA RESISTÊNCIA (PEAD), COR PRETA, CONFORME NORMAS ABNT NBR ISO 21138-1 E 21138-3, CLASSE DE RIGIDEZ (SN4), COM DIÂMETRO NOMINAL DE 1000 MM</t>
  </si>
  <si>
    <t>TUBO COM CORRUGAÇÃO ANELAR EXTERNA E PAREDE INTERNA LISA, SISTEMA PONTA /BOLSA, EM POLIETILENO DE ALTA RESISTÊNCIA (PEAD), COR PRETA, CONFORME NORMAS ABNT NBR ISO 21138-1 E 21138-3, CLASSE DE RIGIDEZ (SN4), COM DIÂMETRO NOMINAL DE 1200 MM</t>
  </si>
  <si>
    <t>TUBOS (AÇO CARBONO GALV-2440 E CONEXÕES)</t>
  </si>
  <si>
    <t>TUBO DE AÇO GALVANIZADO PARA CONDUÇÃO COM COSTURA NBR 5580M (DIN 2440) - 1"</t>
  </si>
  <si>
    <t>TUBO DE AÇO GALVANIZADO PARA CONDUÇÃO COM COSTURA NBR 5580M (DIN 2440) - 1.1/2"</t>
  </si>
  <si>
    <t>TUBO DE AÇO GALVANIZADO PARA CONDUÇÃO COM COSTURA NBR 5580M (DIN 2440) - 2.1/2"</t>
  </si>
  <si>
    <t>TUBO DE AÇO GALVANIZADO PARA CONDUÇÃO COM COSTURA NBR 5580M (DIN 2440) - 3"</t>
  </si>
  <si>
    <t>TUBO DE AÇO GALVANIZADO PARA CONDUÇÃO COM COSTURA NBR 5580M (DIN 2440) - 4"</t>
  </si>
  <si>
    <t>TUBO DE AÇO GALVANIZADO PARA CONDUÇÃO COM COSTURA NBR 5580M (DIN 2440) - 6"</t>
  </si>
  <si>
    <t>TUBOS (AÇO GALVANIZADO E CONEXÕES)</t>
  </si>
  <si>
    <t>FLANGE DE PVC ROSCÁVEL PARA ÁGUA COM SEXTAVADO SEM FUROS - 3/4"</t>
  </si>
  <si>
    <t>FLANGE DE PVC ROSCÁVEL PARA ÁGUA COM SEXTAVADO SEM FUROS - 1"</t>
  </si>
  <si>
    <t>FLANGE DE PVC ROSCÁVEL PARA ÁGUA COM SEXTAVADO SEM FUROS - 2"</t>
  </si>
  <si>
    <t>TUBO DE AÇO GALVANIZADO PARA CONDUÇÃO COM COSTURA NBR 5580L (BS 1387L) - 3/4"</t>
  </si>
  <si>
    <t>TUBO DE AÇO GALVANIZADO PARA CONDUÇÃO COM COSTURA NBR 5580L (BS 1387L) - 1"</t>
  </si>
  <si>
    <t>TUBO DE AÇO GALVANIZADO PARA CONDUÇÃO COM COSTURA NBR 5580L (BS 1387L) - 1.1/ 4"</t>
  </si>
  <si>
    <t>TUBO DE AÇO GALVANIZADO PARA CONDUÇÃO COM COSTURA NBR 5580L (BS 1387L) - 1.1/2"</t>
  </si>
  <si>
    <t>TUBO DE AÇO GALVANIZADO PARA CONDUÇÃO COM COSTURA NBR 5580L (BS 1387L) - 2"</t>
  </si>
  <si>
    <t>TUBO DE AÇO GALVANIZADO PARA CONDUÇÃO COM COSTURA NBR 5580L (BS 1387L) - 2.1/2"</t>
  </si>
  <si>
    <t>TUBO DE AÇO GALVANIZADO PARA CONDUÇÃO COM COSTURA NBR 5580L (BS 1387L) - 3"</t>
  </si>
  <si>
    <t>TUBO DE AÇO GALVANIZADO PARA CONDUÇÃO COM COSTURA NBR 5580L (BS 1387L) - 4"</t>
  </si>
  <si>
    <t>TUBOS (FERRO FUNDIDO E CONEXÕES)</t>
  </si>
  <si>
    <t>ANEL DE BORRACHA PARA TUBO DE FERRO FUNDIDO LINHA SMU ESGOTO PREDIAL - 50MM</t>
  </si>
  <si>
    <t>ANEL DE BORRACHA PARA TUBO DE FERRO FUNDIDO LINHA SMU ESGOTO PREDIAL - 75MM</t>
  </si>
  <si>
    <t>ANEL DE BORRACHA PARA TUBO DE FERRO FUNDIDO LINHA SMU ESGOTO PREDIAL - 100MM</t>
  </si>
  <si>
    <t>ANEL DE BORRACHA PARA TUBO DE FERRO FUNDIDO LINHA SMU ESGOTO PREDIAL - 150MM</t>
  </si>
  <si>
    <t>JOELHO 88º DE FERRO FUNDIDO PARA ESGOTO PREDIAL (JJ88SMU) - 50MM</t>
  </si>
  <si>
    <t>JOELHO 88º DE FERRO FUNDIDO PARA ESGOTO PREDIAL (JJ88SMU) - 75MM</t>
  </si>
  <si>
    <t>JOELHO 88º DE FERRO FUNDIDO PARA ESGOTO PREDIAL (JJ88SMU) - 100MM</t>
  </si>
  <si>
    <t>JOELHO 88º DE FERRO FUNDIDO PARA ESGOTO PREDIAL (JJ88SMU) - 150MM</t>
  </si>
  <si>
    <t>TUBO FERRO FUNDIDO; LINHA SMU -  50MM</t>
  </si>
  <si>
    <t>TUBO FERRO FUNDIDO; LINHA SMU -  75MM</t>
  </si>
  <si>
    <t>TUBO FERRO FUNDIDO; LINHA SMU - 100MM</t>
  </si>
  <si>
    <t>TUBO FERRO FUNDIDO; LINHA SMU - 150MM</t>
  </si>
  <si>
    <t>TUBOS (CERÂMICA VIDRADA E CONEXÕES)</t>
  </si>
  <si>
    <t>MANILHA DE CERÂMICA VIDRADA - 12</t>
  </si>
  <si>
    <t>MANILHA DE BARRO VIDRADO  8" X 1,5M</t>
  </si>
  <si>
    <t>MANILHA DE BARRO VIDRADO  6" X 1,5M</t>
  </si>
  <si>
    <t>MANILHA DE BARRO VIDRADO  4" X 60CM</t>
  </si>
  <si>
    <t>CURVA DE BARRO VIDRADO 4" X 45 GRAUS</t>
  </si>
  <si>
    <t>TUBOS (PVC RÍGIDO E CONEXÕES)</t>
  </si>
  <si>
    <t>ANEL DE BORRACHA PARA TUBO DE PVC ESGOTO PREDIAL - 40MM</t>
  </si>
  <si>
    <t>ANEL DE BORRACHA PARA TUBO DE PVC ESGOTO PREDIAL - 50MM</t>
  </si>
  <si>
    <t>ANEL DE BORRACHA PARA TUBO DE PVC ESGOTO PREDIAL - 75MM</t>
  </si>
  <si>
    <t>ANEL DE BORRACHA PARA TUBO DE PVC ESGOTO PREDIAL - 100MM</t>
  </si>
  <si>
    <t>ANEL DE BORRACHA PARA TUBO DE PVC ESGOTO PREDIAL - 150MM</t>
  </si>
  <si>
    <t>ANEL DE BORRACHA PARA TUBO DE PVC PARA SANEAMENTO - 200MM</t>
  </si>
  <si>
    <t>TUBO PVC RÍGIDO SOLDÁVEL PARA ÁGUA - 25MM</t>
  </si>
  <si>
    <t>TUBO PVC RÍGIDO SOLDÁVEL PARA ÁGUA - 32MM</t>
  </si>
  <si>
    <t>TUBO PVC RÍGIDO SOLDÁVEL PARA ÁGUA - 40MM</t>
  </si>
  <si>
    <t>TUBO PVC RÍGIDO SOLDÁVEL PARA ÁGUA - 50MM</t>
  </si>
  <si>
    <t>TUBO PVC RÍGIDO SOLDÁVEL PARA ÁGUA - 60MM</t>
  </si>
  <si>
    <t>TUBO PVC RÍGIDO SOLDÁVEL PARA ÁGUA - 75MM</t>
  </si>
  <si>
    <t>TUBO PVC RÍGIDO SOLDÁVEL PARA ÁGUA - 85MM</t>
  </si>
  <si>
    <t>TUBO PVC RÍGIDO SOLDÁVEL PARA ÁGUA - 110MM</t>
  </si>
  <si>
    <t>TUBO DE PVC  40 MM - PARA ESGOTO - SÉRIE NORMAL</t>
  </si>
  <si>
    <t>TUBO DE PVC  50 MM - PARA ESGOTO - SÉRIE NORMAL</t>
  </si>
  <si>
    <t>TUBO DE PVC  75 MM - PARA ESGOTO - SÉRIE NORMAL</t>
  </si>
  <si>
    <t>TUBO DE PVC 100 MM - PARA ESGOTO - SÉRIE NORMAL</t>
  </si>
  <si>
    <t>TUBO DE PVC 150 MM - PARA ESGOTO - SÉRIE NORMAL</t>
  </si>
  <si>
    <t>TUBO DE PVC RÍGIDO 200 MM ( 8") - PARA ESGOTO</t>
  </si>
  <si>
    <t>TUBO DE PVC CORRUGADO E PERFURADO P/ DRENO 4"</t>
  </si>
  <si>
    <t>TUBO DE PVC CORRUGADO E PERFURADO P/ DRENO 6"</t>
  </si>
  <si>
    <t>TUBO DE PEAD CORRUG. E PERFUR. P/ DRENAG. DIÂM. 2,5" (EM ACORDO COM AS NORMAS DNIT 093/06 E NBR 15073)</t>
  </si>
  <si>
    <t>TUBO DE PEAD CORRUG. E PERFUR. P/ DRENAG. DIÂM. 3,0" (EM ACORDO COM AS NORMAS DNIT 093/06 E NBR 15073)</t>
  </si>
  <si>
    <t>TUBO DE PEAD CORRUG. E PERFUR. P/ DRENAG. DIÂM. 4,0" (EM ACORDO COM AS NORMAS DNIT 093/06 E NBR 15073)</t>
  </si>
  <si>
    <t>TUBO DE PEAD CORRUG. E PERFUR. P/ DRENAG. DIÂM. 6.0" (EM ACORDO COM AS NORMAS DNIT 093/06 E NBR 15073)</t>
  </si>
  <si>
    <t>TUBOS (COBRE E CONEXÕES)</t>
  </si>
  <si>
    <t>TUBO DE COBRE SEM COSTURA - CLASSE E - 1/2"</t>
  </si>
  <si>
    <t>TUBO DE COBRE SEM COSTURA - CLASSE E - 3/4"</t>
  </si>
  <si>
    <t>TUBO DE COBRE SEM COSTURA - CLASSE E - 1"</t>
  </si>
  <si>
    <t>TUBO DE COBRE SEM COSTURA - CLASSE E - 1.1/4"</t>
  </si>
  <si>
    <t>TUBO DE COBRE SEM COSTURA - CLASSE E - 1.1/2"</t>
  </si>
  <si>
    <t>TUBO DE COBRE SEM COSTURA CLASSE A - 1/2 " PARA GASES MEDICINAIS</t>
  </si>
  <si>
    <t>TUBO DE COBRE SEM COSTURA CLASSE A - 3/4 " PARA GASES MEDICINAIS</t>
  </si>
  <si>
    <t>TUBO DE COBRE SEM COSTURA CLASSE A - 1 " PARA GASES MEDICINAIS</t>
  </si>
  <si>
    <t>TUBO DE COBRE SEM COSTURA CLASSE A - 1 1/4 " PARA GASES MEDICINAIS</t>
  </si>
  <si>
    <t>TUBO DE COBRE SEM COSTURA CLASSE A - 1 1/2 " PARA GASES MEDICINAIS</t>
  </si>
  <si>
    <t>TUBOS (PRETOS AÇO CARBONO-SCH CONEXÕES)</t>
  </si>
  <si>
    <t>TUBO DE AÇO CARBONO PRETO COM COSTURA (SCH-40) - 3/4"</t>
  </si>
  <si>
    <t>TUBO DE AÇO CARBONO PRETO COM COSTURA (SCH-40) - 1"</t>
  </si>
  <si>
    <t>TUBO DE AÇO CARBONO PRETO COM COSTURA (SCH-40) - 1.1/4"</t>
  </si>
  <si>
    <t>TUBO DE AÇO CARBONO PRETO COM COSTURA (SCH-40) - 1.1/2"</t>
  </si>
  <si>
    <t>TUBO DE ALUMÍNIO D = 1/2" - E=1.58MM (PARA USO EM SERRALHERIA)</t>
  </si>
  <si>
    <t>TE DE AÇO CARBONO ROSCA NPT 300LBS - 1/2"</t>
  </si>
  <si>
    <t>LUVA DE REDUÇÃO DE AÇO CARBONO ROSCA NPT 300LBS - 3/4"X1/2"</t>
  </si>
  <si>
    <t>CAP DE AÇO CARBONO ROSCA NPT 300LBS - 3/4"</t>
  </si>
  <si>
    <t>TUBO DE AÇO GALVANIZADO COM COSTURA (SCH-80) - 1/2"</t>
  </si>
  <si>
    <t>TUBO DE AÇO GALVANIZADO COM COSTURA (SCH-80) - 3/4"</t>
  </si>
  <si>
    <t>TUBO DE AÇO CARBONO PRETO COM COSTURA (SCH-40) - 2.1/2"</t>
  </si>
  <si>
    <t>REGISTROS</t>
  </si>
  <si>
    <t>REGISTRO HIDRÁULICO DE BRONZE TIPO GAVETA BRUTO - 3/4"</t>
  </si>
  <si>
    <t>REGISTRO HIDRÁULICO DE BRONZE TIPO GAVETA BRUTO - 1 "</t>
  </si>
  <si>
    <t>REGISTRO HIDRÁULICO DE BRONZE TIPO GAVETA BRUTO - 1.1/4"</t>
  </si>
  <si>
    <t>REGISTRO HIDRÁULICO DE BRONZE TIPO GAVETA BRUTO - 1.1/2"</t>
  </si>
  <si>
    <t>REGISTRO HIDRÁULICO DE BRONZE TIPO GAVETA BRUTO - 2"</t>
  </si>
  <si>
    <t>REGISTRO HIDRÁULICO DE BRONZE TIPO GAVETA BRUTO - 2.1/2"</t>
  </si>
  <si>
    <t>REGISTRO HIDRÁULICO DE BRONZE TIPO GAVETA BRUTO - 3"</t>
  </si>
  <si>
    <t>REGISTRO HIDRÁULICO DE BRONZE TIPO GAVETA BRUTO - 4"</t>
  </si>
  <si>
    <t>REGISTRO HIDRÁULICO DE BRONZE TIPO GAVETA CROMADO COMPLETO - 3/4"</t>
  </si>
  <si>
    <t>REGISTRO HIDRÁULICO DE BRONZE TIPO GAVETA CROMADO COMPLETO - 1"</t>
  </si>
  <si>
    <t>REGISTRO HIDRÁULICO DE BRONZE TIPO GAVETA CROMADO COMPLETO - 1.1/4"</t>
  </si>
  <si>
    <t>REGISTRO HIDRÁULICO DE BRONZE TIPO GAVETA CROMADO COMPLETO - 1.1/2"</t>
  </si>
  <si>
    <t>REGISTRO HIDRÁULICO DE BRONZE TIPO PRESSÃO BRUTO - 1/2"</t>
  </si>
  <si>
    <t>REGISTRO HIDRÁULICO DE BRONZE TIPO PRESSÃO BRUTO - 3/4"</t>
  </si>
  <si>
    <t>REGISTRO DE PRESSÃO CROMADO - 3/4" - COM CANOPLA</t>
  </si>
  <si>
    <t>REGISTRO HIDRÁULICO DE BRONZE TIPO GLOBO ANGULAR 45º (2.1/2") COM ADAPTADOR E TAMPÃO DE 2.1/2"</t>
  </si>
  <si>
    <t>VÁLVULA ESFÉRICA MONOBLOCO EM LATÃO, 3/4" NPT</t>
  </si>
  <si>
    <t>REGISTRO REGULADOR DE VAZÃO, CROMADO, DE 1/2"</t>
  </si>
  <si>
    <t>VÁLVULAS</t>
  </si>
  <si>
    <t>VÁLVULA DE DESCARGA ELETRÔNICA P/ MICTÓRIO - DOCOL</t>
  </si>
  <si>
    <t>VÁLVULA FLEXÍVEL PARA MICTÓRIO, ACIONAMENTO MANUAL E FECHAMENTO AUTOMÁTICO</t>
  </si>
  <si>
    <t>VÁLVULA DE ESCOAMENTO P/ PIA DE COZINHA AMERICANA -  1.1/2" X 3.1/2"</t>
  </si>
  <si>
    <t>VÁLVULA DE METAL CROMADO C/ GRELHA - 1.1/2"</t>
  </si>
  <si>
    <t>VÁLVULA DE METAL CROMADO - 1"</t>
  </si>
  <si>
    <t>VÁLVULA DE DESCARGA COM DUPLO ACIONAMENTO</t>
  </si>
  <si>
    <t>VÁLVULA DE DESCARGA EXTERNA - 1.1/4"</t>
  </si>
  <si>
    <t>VÁLVULA RETENÇÃO HORIZONTAL - 1"</t>
  </si>
  <si>
    <t>VÁLVULA RETENÇÃO HORIZONTAL - 1.1/2"</t>
  </si>
  <si>
    <t>VÁLVULA RETENÇÃO HORIZONTAL - 2"</t>
  </si>
  <si>
    <t>VÁLVULA RETENÇÃO HORIZONTAL - 2.1/2"</t>
  </si>
  <si>
    <t>VÁLVULA RETENÇÃO HORIZONTAL - 3"</t>
  </si>
  <si>
    <t>VÁLVULA RETENÇÃO HORIZONTAL - 4"</t>
  </si>
  <si>
    <t>VÁLVULA RETENÇÃO VERTICAL - 1"</t>
  </si>
  <si>
    <t>VÁLVULA RETENÇÃO VERTICAL - 1.1/4"</t>
  </si>
  <si>
    <t>VÁLVULA RETENÇÃO VERTICAL - 1.1/2"</t>
  </si>
  <si>
    <t>VÁLVULA RETENÇÃO VERTICAL - 2"</t>
  </si>
  <si>
    <t>VÁLVULA RETENÇÃO VERTICAL - 2.1/2"</t>
  </si>
  <si>
    <t>VÁLVULA RETENÇÃO VERTICAL - 3"</t>
  </si>
  <si>
    <t>VÁLVULA RETENÇÃO VERTICAL - 4"</t>
  </si>
  <si>
    <t>PIGTAIL</t>
  </si>
  <si>
    <t>VÁLVULA DE RETENÇÃO PARA BOTIJÃO DE GLP DE 45KG- 1/2"X7/16"</t>
  </si>
  <si>
    <t>VÁLVULA ESFERICA / REGISTRO 1/2" NPT</t>
  </si>
  <si>
    <t>CAIXAS E RALOS</t>
  </si>
  <si>
    <t>CORPO DE CAIXA SIFONADA DE PVC P/ ESGOTO MED. 100X150X50 MM</t>
  </si>
  <si>
    <t>CORPO DE CAIXA SIFONADA DE PVC P/ ESGOTO MED. 150X150X50 MM</t>
  </si>
  <si>
    <t>CAIXA SIFONADA PVC RÍGIDO - MED. (250X230X75)MM</t>
  </si>
  <si>
    <t>RALO SECO DE FERRO FUNDIDO - DIÂM. 100MM</t>
  </si>
  <si>
    <t>RALO SECO DE PVC - DIÂM. 100MM - SAÍDA 40MM</t>
  </si>
  <si>
    <t>CAIXA DE GORDURA COM CESTO DE LIMPEZA EM PVC 100MM - TIGRE OU SIMILAR</t>
  </si>
  <si>
    <t>GRELHAS E SIFÕES</t>
  </si>
  <si>
    <t>GRELHA DE CONCRETO PRÉ MOLDADO P/ CANALETA DE ÁGUA PLUVIAL C/ LARG. 30CM, SEM PASSAGEM DE VEÍCULO</t>
  </si>
  <si>
    <t>GRELHA DE CONCRETO PRÉ MOLDADO P/ CANALETA DE ÁGUA PLUVIAL C/ LARG. 30CM, C/ RESIST. P/ SUPORTAR PASSAGEM DE VEÍCULO</t>
  </si>
  <si>
    <t>GRELHA DE FERRO FUNDIDO 30 X 100 CM - P/ CANALETA DE ÁGUA PLUVIAL</t>
  </si>
  <si>
    <t>GRELHA DE FERRO PERFILADO - (100X40)CM</t>
  </si>
  <si>
    <t>GRELHA DE FERRO PERFILADO - (100X50)CM</t>
  </si>
  <si>
    <t>GRELHA HEMISFÉRICO; FERRO FUNDIDO - 75MM</t>
  </si>
  <si>
    <t>GRELHA HEMISFÉRICO; FERRO FUNDIDO - 100MM</t>
  </si>
  <si>
    <t>GRELHA HEMISFÉRICO; FERRO FUNDIDO - 150MM</t>
  </si>
  <si>
    <t>TAMPA CEGA REDONDA DE ALUMÍNIO - 250MM</t>
  </si>
  <si>
    <t>GRELHA REDONDA EM AÇO INOX - 100MM</t>
  </si>
  <si>
    <t>GRELHA REDONDA EM AÇO INOX - 150MM</t>
  </si>
  <si>
    <t>SIFÃO DE METAL CROMADO - 1" X 1.1/2"</t>
  </si>
  <si>
    <t>SIFÃO DE METAL CROMADO - 1"X2"</t>
  </si>
  <si>
    <t>SIFÃO DE METAL CROMADO TIPO COPO - 1.1/2" X 2"</t>
  </si>
  <si>
    <t>SIFÃO COM COPO DE PVC RÍGIDO - 1.1/2" X 2"</t>
  </si>
  <si>
    <t>CONJUNTO ANTI-VANDALISMO P/ MICTÓRIO: VÁLVULA DE FECHAMENTO AUT. E RABICHO DE METAL-NÃO INCLUIR O MICTÓRIO DE PORCELANA</t>
  </si>
  <si>
    <t>CONJUNTO ANTI-VANDALISMO: CHUVEIRO E VÁLVULA DE FECHAMENTO AUTOMÁTICO</t>
  </si>
  <si>
    <t>VÁLVULA DE FECHAMENTO AUTOMÁTICO, CROMADA, PARA CHUVEIRO ELÉTRICO, DE 3/4"</t>
  </si>
  <si>
    <t>VÁLVULA DE FECHAMENTO AUTOMÁTICO, CROMADA, PARA DUCHA DE ÁGUA FRIA OU PRÉ-MISTURADA, DE 3/4"</t>
  </si>
  <si>
    <t>VÁLVULA DE FECHAMENTO AUTOMÁT, CROM, P/ CHUVEIRO DE AQUEC. DE ACUMUL, C/ VÁLV. RETENÇ. E MIST. DE CONTR. DE TEMP, 3/4"</t>
  </si>
  <si>
    <t>VÁLVULA DE ACIONAMENTO HIDROMECÂNICO POR PEDAL ANTIDERR. E DOBR, FIX. NA PAREDE/PISO, C/REG. REGU. DE VAZ.E FLEX. 1/2"</t>
  </si>
  <si>
    <t>ACABAMENTO ANTI-VANDALISMO PARA VÁVULA DE DESGARGA</t>
  </si>
  <si>
    <t>CAIXAS DE DESCARGA E RESERVATÓRIOS</t>
  </si>
  <si>
    <t>RESERVATÓRIO CAIXA D'ÁGUA DE FIBRA DE VIDRO - 1000L</t>
  </si>
  <si>
    <t>RESERVATÓRIO CAIXA D'ÁGUA DE FIBRA DE VIDRO - 1500L</t>
  </si>
  <si>
    <t>CAIXA D'ÁGUA DE POLIETILENO 5000 L</t>
  </si>
  <si>
    <t>CAIXA D'ÁGUA DE POLIETILENO 10000 L</t>
  </si>
  <si>
    <t>CAIXA D'ÁGUA DE POLIETILENO 15000 L</t>
  </si>
  <si>
    <t>APARELHOS SANITÁRIOS (LOUÇA)</t>
  </si>
  <si>
    <t>BACIA SANITÁRIA ALTEADA</t>
  </si>
  <si>
    <t>BACIA SANITÁRIA DE LOUÇA BRANCA</t>
  </si>
  <si>
    <t>BACIA SANITÁRIA DE LOUÇA BRANCA COM CAIXA ACOPLADA DE 6 LITROS POR DESCARGA</t>
  </si>
  <si>
    <t>LAVATÓRIO LOUÇA BRANCA C/ COLUNA SUSPENSA - 7 L</t>
  </si>
  <si>
    <t>LAVATÓRIO LOUÇA BRANCA S/ COLUNA - 5 L</t>
  </si>
  <si>
    <t>LAVATÓRIO OVAL DE EMBUTIR</t>
  </si>
  <si>
    <t>MICTORIO LOUÇA BRANCA - TIPO BACIA-CENTRO</t>
  </si>
  <si>
    <t>DISPENSER DE SABÃO, DE PAREDE , MANUAL,  PARA SANITÁRIOS - ABS-ALTO IMPACTO, COM RESERVATÓRIO (800/900 ML)</t>
  </si>
  <si>
    <t>TANQUE DE LOUÇA BRANCA SEM COLUNA - 30 L</t>
  </si>
  <si>
    <t>EQUIPAMENTOS DE INOX</t>
  </si>
  <si>
    <t>LAVATÓRIO/BEBEDOURO COLETIVO EM CHAPA DE AÇO INOXIDÁVEL MED. (200X80)CM</t>
  </si>
  <si>
    <t>APOIO EM AÇO INOX PARA DEFICIENTE FÍSICO L= 45CM Ø 1.1/4" - CONFORME NBR-9050</t>
  </si>
  <si>
    <t>APOIO EM AÇO INOX PARA DEFICIENTE FÍSICO L= 80CM Ø 1.1/4" - CONFORME NBR-9050</t>
  </si>
  <si>
    <t>APOIO EM AÇO INOX PARA DEFICIENTE FÍSICO L= 90CM Ø 1.1/4" - CONFORME NBR-9050</t>
  </si>
  <si>
    <t>APOIO EM AÇO INOX PARA DEFICIENTE FÍSICO L=170CM Ø 1.1/4" - CONFORME NBR-9050</t>
  </si>
  <si>
    <t>BARRA DE APOIO HORIZONTAL PARA LAVATÓRIO ACESSÍVEL (BARRAS COM DIÂMETRO ENTRE 3,0 E 4,5 CM)</t>
  </si>
  <si>
    <t>BARRA DE APOIO EM "L" PARA LAVATÓRIO DE CANTO (55 X 47 CM APROXIM) - PPDF (AÇO)</t>
  </si>
  <si>
    <t>ANEL DE TEXTURA PARA CORRIMÃOS (SILICONE / BORRACHA)</t>
  </si>
  <si>
    <t>APARELHOS SANITÁRIOS (OUTROS)</t>
  </si>
  <si>
    <t>CUBA DUPLA AÇO INOX 304 LIGA 18.8 - CHAPA N.20 (1MM) - MED. (700X400X150)MM</t>
  </si>
  <si>
    <t>CUBA DUPLA AÇO INOX 304 LIGA 18.8 - CHAPA N.20 (1MM) - MED. (1020X400X200)MM</t>
  </si>
  <si>
    <t>CUBA SIMPLES AÇO INOX 304 LIGA 18.8 - CHAPA N. 20 (1MM) - MED. (500X400X200)MM</t>
  </si>
  <si>
    <t>CUBA SIMPLES AÇO INOX 304 LIGA 18.8 - CHAPA N. 20 (1MM) - MED. (560X335X150)MM</t>
  </si>
  <si>
    <t>CUBA SIMPLES AÇO INOX 304 LIGA 18.8 - CHAPA N.18 (1,2MM) - PARA TANQUE PANELA - MED. (600X500X400)MM</t>
  </si>
  <si>
    <t>CUBA SIMPLES AÇO INOX 304 LIGA 18.8 - CHAPA N.18 (1,2MM) - PARA TANQUE PANELA - MED. (600X800X300)MM</t>
  </si>
  <si>
    <t>CUBA SIMPLES AÇO INOX 304 LIGA 18.8 - CHAPA N.18 (1,2MM) - PARA TANQUE PANELA - MED. (600X500X500)MM</t>
  </si>
  <si>
    <t>CUBA SIMPLES AÇO INOX 304 LIGA 18.8 - CHAPA N. 20 (1MM) - MED. (500X400X250)MM</t>
  </si>
  <si>
    <t>CUBA SIMPLES AÇO INOX 304 LIGA 18.8 - CHAPA N. 20 (1MM) - MED. (500X400X150)MM</t>
  </si>
  <si>
    <t>MICTÓRIO COLETIVO; AÇO INOX - 0/2000MM</t>
  </si>
  <si>
    <t>TOALHEIRO P/ PAPEL 2 OU 3 DOBRAS OU INTERFOLHAS</t>
  </si>
  <si>
    <t>SUPORTE EM ABS PARA PAPEL HIGIÊNICO BRANCO- ROLÃO DE 300 A 600 METROS</t>
  </si>
  <si>
    <t>SABONETEIRA DE SOBREPOR (FIXADA NA PAREDE) TIPO CONCHA EM AÇO INOXIDÁVEL</t>
  </si>
  <si>
    <t>SABONETEIRA EM ABS - TIPO DISPENSER - PARA REFIL DE 800ML DE SABÃO LÍQUIDO TIPO GEL</t>
  </si>
  <si>
    <t>DISPENSER DE PAPEL TOALHA, DE PAREDE, MANUAL, PARA SANITÁRIOS - ABS - ALTO IMPACTO AUTO-CORTE</t>
  </si>
  <si>
    <t>MATERIAIS DE FIBRA</t>
  </si>
  <si>
    <t>CUBA EM FIBRA DE VIDRO - MED. (600X500X200)MM</t>
  </si>
  <si>
    <t>METAIS SANITÁRIOS</t>
  </si>
  <si>
    <t>AREJADOR DE VAZÃO CONSTANTE ANTI-FURTO, DE 6 LITROS</t>
  </si>
  <si>
    <t>MISTURADOR DE MESA P/ LAVATÓRIO - 1/2"</t>
  </si>
  <si>
    <t>MISTURADOR DE PAREDE P/ PIA - 3/4"</t>
  </si>
  <si>
    <t>MISTURADOR PARA CHUVEIRO ENTRADA HORIZONTAL DE ¾” , SAÍDA ½” COM ACABAMENTO</t>
  </si>
  <si>
    <t>TORNEIRA DE PRESSÃO CROMADA LONGA 1/2" P/ PIA -SEM AREJADOR 18 A 20 CM - TIPO PAREDE - C/ BUCHA DE REDUÇÃO DE 3/4"</t>
  </si>
  <si>
    <t>TORNEIRA P/ USO GERAL; M. AMARELO - 3/4"</t>
  </si>
  <si>
    <t>TORNEIRA P/ USO GERAL; M. CROMADO - 1/2"</t>
  </si>
  <si>
    <t>TORNEIRA P/ USO GERAL; M. CROMADO - 3/4"</t>
  </si>
  <si>
    <t>TORNEIRA P/ LAVATÓRIO - 1/2"</t>
  </si>
  <si>
    <t>TORNEIRA C/ ACIONAMENTO POR ALAVANCA (CLÍNICA) 1/2"</t>
  </si>
  <si>
    <t>TORNEIRA DE BANCA, CROMADA, COM ACIONAMENTO MANUAL E FECHAMENTO AUTOMÁTICO</t>
  </si>
  <si>
    <t>TORNEIRA ELETRÔNICA DE BANCA, CROMADA, COM SENSOR DE MOVIMENTO E ACIONAMENTO ELÉTRICO DE 110V</t>
  </si>
  <si>
    <t>BICA ALTA ARTICULÁVEL DE MESA, CROMADA, DE 1/2"</t>
  </si>
  <si>
    <t>CONJUNTO ANTI-VANDALISMO: TORNEIRA DE PAREDE 80 OU 85 E VÁLVULA DE FECHAMENTO AUTOMÁTICO</t>
  </si>
  <si>
    <t>TORNEIRA DE ACIONAMENTO RESTRITO DE PAREDE</t>
  </si>
  <si>
    <t>TAMPOS</t>
  </si>
  <si>
    <t>TAMPO PARA BANCADA; AÇO INOX. N.18  - 0/2000MM. 18.8</t>
  </si>
  <si>
    <t>TAMPO P/ BANCADA - MÁRMORE ESPÍRITO SANTO  - ESPES. 2CM</t>
  </si>
  <si>
    <t>TAMPO PARA  BANCADA - GRANITO CINZA ANDORINHA - ESPESSURA 2CM</t>
  </si>
  <si>
    <t>TAMPO PARA BANCADA ÚMIDA - GRANITO CINZA MAUÁ POLIDO - ESPESSURA 2CM</t>
  </si>
  <si>
    <t>TAMPO PARA BANCADA ÚMIDA - GRANITO VERDE UBATUBA POLIDO - ESPESSURA 2CM</t>
  </si>
  <si>
    <t>TAMPO PARA BANCADA ÚMIDA - GRANITO PRETO SÃO GABRIEL - POLIDO - ESPESSURA 2CM</t>
  </si>
  <si>
    <t>FRONTÃO / TESTEIRA - MÁRMORE BRANCO ESPÍRITO SANTO ALTURA 10CM - ESPESSURA 2CM</t>
  </si>
  <si>
    <t>FRONTÃO / TESTEIRA - GRANITO CINZA MAUÁ ALTURA 10CM - ESPESSURA 2CM</t>
  </si>
  <si>
    <t>APARELHOS E EQUIPAMENTOS</t>
  </si>
  <si>
    <t>CHUVEIRO FIXO DE METAL CROMADO -  DIÂMETRO MÍNIMO 6 CM</t>
  </si>
  <si>
    <t>FILTRO TIPO CUNO C/ ELEM. FILTR. CARVÃO/POLIPROPILENO 180 L/H</t>
  </si>
  <si>
    <t>FILTRO TIPO CUNO C/ ELEM. FILTR. CARVÃO/POLIPROPILENO 360 L/H</t>
  </si>
  <si>
    <t>FOGÃO INDUSTRIAL COM FORNO - 4 BOCAS</t>
  </si>
  <si>
    <t>FOGÃO INDUSTRIAL COM FORNO - 6 BOCAS</t>
  </si>
  <si>
    <t>COIFA DE CHAPA GALVANIZADA Nº22 - (1,30X1,30)M</t>
  </si>
  <si>
    <t>COIFA DE CHAPA GALVANIZADA Nº22 - (2,20X1,30)M</t>
  </si>
  <si>
    <t>DUTO EM CHAPA GALVANIZADA Nº22 PARA COIFA - DIÂM. 35CM</t>
  </si>
  <si>
    <t>GLP 13 KG (CARGA+BOTIJÃO)</t>
  </si>
  <si>
    <t>GLP 45 KG (CARGA+CILINDRO)</t>
  </si>
  <si>
    <t>EQUIPAMENTOS DE PROTEÇÃO CONTRA INCÊNDIO</t>
  </si>
  <si>
    <t>ABRIGO PARA HIDRANTE EM CHAPA DE AÇO Nº 20</t>
  </si>
  <si>
    <t>SETA P/ EXTINTOR / HIDRANTE</t>
  </si>
  <si>
    <t>ESGUICHO COM ENGATE RÁPIDO - 1.1/2"X1/2"</t>
  </si>
  <si>
    <t>ESGUICHO COM ENGATE RÁPIDO - 2.1/2" X 5/8"</t>
  </si>
  <si>
    <t>EXTINTOR ÁGUA PRESSURIZADA - 10L</t>
  </si>
  <si>
    <t>EXTINTOR DE ESPUMA MECÂNICA - 9L</t>
  </si>
  <si>
    <t>EXTINTOR GÁS CARBÔNICO - 4KG</t>
  </si>
  <si>
    <t>EXTINTOR GÁS CARBÔNICO - 6 KG</t>
  </si>
  <si>
    <t>EXTINTOR GÁS CARBÔNICO - 10 KG</t>
  </si>
  <si>
    <t>EXTINTOR PÓ QUÍMICO - 4KG</t>
  </si>
  <si>
    <t>EXTINTOR PÓ QUÍMICO - 8 KG</t>
  </si>
  <si>
    <t>EXTINTOR PÓ QUÍMICO - 12KG</t>
  </si>
  <si>
    <t>REGISTRO HIDRÁULICO DE BRONZE TIPO GLOBO ANGULAR 45º (2.1/2") COM ADAPTADOR E TAMPÃO DE 1.1/2"</t>
  </si>
  <si>
    <t>MANGUEIRA DE INCÊNDIO; 15M - 1.1/2"</t>
  </si>
  <si>
    <t>MANGUEIRA DE INCÊNDIO; 30M - 1.1/2"</t>
  </si>
  <si>
    <t>MANGUEIRA DE INCÊNDIO; 30M - 2.1/2"</t>
  </si>
  <si>
    <t>CAPTAÇÃO DE ÁGUAS PLUVIAIS</t>
  </si>
  <si>
    <t>CALHA EM CHAPA DE AÇO GALVANIZADO N.24 - DESENVOLV. 33CM</t>
  </si>
  <si>
    <t>CALHA EM CHAPA DE AÇO GALVANIZADO N.24 - DESENVOLV. 50CM</t>
  </si>
  <si>
    <t>CALHA EM CHAPA DE AÇO GALVANIZADO N.24 - DESENVOLVIMENTO 100CM</t>
  </si>
  <si>
    <t>CALHA EM ALUMÍNIO - ESPESSURA 0,8MM - DESENVOLVIMENTO  50CM</t>
  </si>
  <si>
    <t>CALHA EM ALUMÍNIO - ESPESSURA 0,8MM - DESENVOLVIMENTO 100CM</t>
  </si>
  <si>
    <t>CALHA EM ALUMÍNIO - ESPESSURA 1,0MM - DESENVOLVIMENTO  50CM</t>
  </si>
  <si>
    <t>CALHA EM ALUMÍNIO - ESPESSURA 1,0MM - DESENVOLVIMENTO 100CM</t>
  </si>
  <si>
    <t>CALHA EM PVC - 125&lt;=DIAM&lt;=170 MM</t>
  </si>
  <si>
    <t>RUFO EM CHAPA DE AÇO GALVANIZADO N.24 - CORTE 16CM</t>
  </si>
  <si>
    <t>RUFO EM CHAPA DE AÇO GALVANIZADO N.24 - CORTE 25CM</t>
  </si>
  <si>
    <t>RUFO EM CHAPA DE AÇO GALVANIZADO N.24 - CORTE 33CM</t>
  </si>
  <si>
    <t>RUFO EM CHAPA DE AÇO GALVANIZADO N.24 - CORTE 50CM</t>
  </si>
  <si>
    <t>RUFO EM CHAPA DE AÇO GALVANIZADO N.24 - CORTE 100CM</t>
  </si>
  <si>
    <t>RUFO EM CHAPA DE AÇO GALVANIZADO N.24 - CORTE 130 CM</t>
  </si>
  <si>
    <t>RUFO EM CHAPA DE AÇO GALVANIZADO N.24 - CORTE 140CM</t>
  </si>
  <si>
    <t>FOSSAS SÉPTICAS</t>
  </si>
  <si>
    <t>ANEL DE CONCRETO P/ FOSSA SÉPTICA - 1,5 X 0,5 M</t>
  </si>
  <si>
    <t>ANEL DE CONCRETO P/ FOSSA SÉPTICA - 2,5 X 0,5 M</t>
  </si>
  <si>
    <t>ANEL DE CONCRETO DIÂM. EXT.= 2.12 M - H = 0.5M</t>
  </si>
  <si>
    <t>ANEL DE CONCRETO P/ FILTRO ANAERÓBICO 3,0 X 0,5 M</t>
  </si>
  <si>
    <t>LIMPEZA FOSSA SÉPTICA - VIAGEM DE 7 M3</t>
  </si>
  <si>
    <t>LIMPEZA SUMIDOURO - VIAGEM DE 7M3</t>
  </si>
  <si>
    <t>Viagem</t>
  </si>
  <si>
    <t>TAMPÃO COM 2 CHAMINÉS DE ACESSO - 2,5M</t>
  </si>
  <si>
    <t>TAMPÃO COM 1 CHAMINÉ DE ACESSO - 1,5M</t>
  </si>
  <si>
    <t>ANEL DE BORRACHA PARA BACIA SANITÁRIA</t>
  </si>
  <si>
    <t>BOLSA DE BORRACHA PARA BACIA SANITÁRIA</t>
  </si>
  <si>
    <t>AUTOMÁTICO DE NÍVEL REVERSÍVEL - 127/250V - DE 15A</t>
  </si>
  <si>
    <t>COLA PARA PVC</t>
  </si>
  <si>
    <t>ESTOPA DE JUTA CARDADA (ESTOPA DE SISAL)</t>
  </si>
  <si>
    <t>FITA DE TEFLON - 1/2"</t>
  </si>
  <si>
    <t>FITA DE TEFLON - 3/4"</t>
  </si>
  <si>
    <t>FITA DE TEFLON - 1"</t>
  </si>
  <si>
    <t>SOLDA PREPARADA 50% ESTANHO, 50% CHUMBO - EM BARRA</t>
  </si>
  <si>
    <t>SOLDA PREPARADA - 30/70</t>
  </si>
  <si>
    <t>SOLUÇÃO LIMPADORA PARA PVC</t>
  </si>
  <si>
    <t>SUPORTE PARA LAVATÓRIO SEM COLUNA</t>
  </si>
  <si>
    <t>CONJUNTO DE FIXAÇÃO PARA TANQUE</t>
  </si>
  <si>
    <t>TAMPO E ASSENTO DE PLÁSTICO FLEXÍVEL</t>
  </si>
  <si>
    <t>TAMPO E ASSENTO PLÁSTICO - INFANTIL</t>
  </si>
  <si>
    <t>TORNEIRA DE BÓIA; DE COBRE - 3/4"</t>
  </si>
  <si>
    <t>TORNEIRA DE BÓIA; DE COBRE -1"</t>
  </si>
  <si>
    <t>TORNEIRA DE BÓIA; DE COBRE - 1.1/2"</t>
  </si>
  <si>
    <t>TORNEIRA DE BÓIA; DE COBRE - 2"</t>
  </si>
  <si>
    <t>RABICHO DE METAL CROMADO FLEXÍVEL PARA LAVATÓRIO (1/2"X30)CM</t>
  </si>
  <si>
    <t>RABICHO DE PVC FLEXÍVEL PARA LAVATÓRIO - (1/2"X30)CM</t>
  </si>
  <si>
    <t>TUBO ABS CROMADA - LIGAÇÃO P/ BACIA</t>
  </si>
  <si>
    <t>TUBO DE ALUMÍNIO P/ LIGAÇÃO DE CHUVEIRO (C/ CANOPLA)</t>
  </si>
  <si>
    <t>INSUMOS DIVERSOS</t>
  </si>
  <si>
    <t>CANALETA MEIA CANA DE CONCRETO SIMPLES,CLASSE C1 - D=50CM COM PONTA E BOLSA</t>
  </si>
  <si>
    <t>CANALETA MEIA CANA DE CONCRETO SIMPLES,CLASSE C1 - D=40CM COM PONTA E BOLSA</t>
  </si>
  <si>
    <t>CANALETA MEIA CANA DE CONCRETO SIMPLES,CLASSE C1 - D=30CM COM PONTA E BOLSA</t>
  </si>
  <si>
    <t>BICO ESCALONADO PARA GÁS DE 3/8"</t>
  </si>
  <si>
    <t>REGULADOR PARA GÁS INDUSTRIAL DE BAIXA PRESSÃO - 50KG/H</t>
  </si>
  <si>
    <t>ALUGUEL DE CAÇAMBA METÁLICA - CAPACIDADE 4 M3 P/ ENTULHO DE ALVENARIA</t>
  </si>
  <si>
    <t>PLACA INAUGURAL INTERNA EM AÇO INOX - 600 X 500 X 3 MM BAIXO RELEVO - PADRÃO PMSP</t>
  </si>
  <si>
    <t>PEDESTAL SINALIZADOR PARA ESTACIONAMENTO, P/ DEFICIENTE (POSTE, PLACA E BASE PARA FIXAÇÃO)</t>
  </si>
  <si>
    <t>PLACA DE IDENTIFICAÇÃO NÚMERO DE PAVIMENTO EM BRAILE (10X10CM, EM ALUMÍNIO)</t>
  </si>
  <si>
    <t>PLACA DE IDENTIFICAÇÃO DE WC EM BRAILE FEMININO OU MASCULINO (21X10CM, EM ALUMÍNIO)</t>
  </si>
  <si>
    <t>PLACA DE IDENTIFICAÇÃO EM BRAILE "INÍCIO E FINAL" P/ CORRIMÃO (10X3CM, EM ALUMÍNIO)</t>
  </si>
  <si>
    <t>PLACA DE IDENTIFICAÇÃO EM BRAILE DE PAVIMENTO P/ CORRIMÃO (3X3CM, EM ALUMÍNIO)</t>
  </si>
  <si>
    <t>PLACA PARA PORTA WC C/ DESENHO UNIVERSAL ACESSIB. (20X15CM, EM ALUMÍNIO)</t>
  </si>
  <si>
    <t>PORTA DE VIDRO TEMPERADO 10MM OPACO COM FERRAGENS 82 X 210 CM - SEM MOLA</t>
  </si>
  <si>
    <t>PLAYGROUND-BRINQUEDOS DE MADEIRA-CASA TARZAN COM RAMPA ESCALADA, ESCORREGADOR, PONTE E ESCADA MARINHEIRO-COLOCADO</t>
  </si>
  <si>
    <t>PLAYGROUND-BRINQUEDOS DE MADEIRA-CASA TARZAN COM RAMPA ESCALADA, ESCORREGADOR E ESCADA MARINHEIRO - COLOCADO</t>
  </si>
  <si>
    <t>PLAYGROUND-BRINQUEDOS DE MADEIRA-CASA TARZAN COM ESCORREGADOR E ESCADA MARINHEIRO - COLOCADO</t>
  </si>
  <si>
    <t>PLAYGROUND-BRINQUEDOS DE MADEIRA-DOIS CAVALINHOS E DUAS GANGORRAS - COLOCADO, BASES LATERAIS EM "X"</t>
  </si>
  <si>
    <t>PLAYGROUND-BRINQUEDOS DE MADEIRA-ESCORREGADOR (COMPRIM DA PRANCHA ENTRE 2,5 E 3,00 M / ALT=1,8M) - COLOCADO</t>
  </si>
  <si>
    <t>PLAYGROUND-BRINQUEDOS DE MADEIRA-GANGORRA DUPLA - COLOCADO</t>
  </si>
  <si>
    <t>PLAYGROUND-BRINQUEDOS DE MADEIRA-ARGOLA E TRAPÉZIO - COLOCADO BASES LATERAIS EM "X"</t>
  </si>
  <si>
    <t>PLAYGROUND-BRINQUEDOS DE MADEIRA-BALANÇA DUPLA - COLOCADO BASES LATERAIS EM "X"</t>
  </si>
  <si>
    <t>PLAYGROUND-BRINQUEDOS DE MADEIRA-ESCADA HORIZONTAL - COLOCADO</t>
  </si>
  <si>
    <t>APARELHOS DE GINÁSTICA DE MADEIRA - BARRA DUPLA EM DOIS NÍVEIS - COLOCADO</t>
  </si>
  <si>
    <t>APARELHOS DE GINÁSTICA DE MADEIRA - BARRA SIMPLES COLOCADO</t>
  </si>
  <si>
    <t>APARELHOS DE GINÁSTICA DE MADEIRA - BARRAS PARALELAS COLOCADO</t>
  </si>
  <si>
    <t>SURF DUPLO CONJUGADO (EXERCITADOR P/ IDOSOS) MONTADO - SEM INSTALAÇÃO</t>
  </si>
  <si>
    <t>ROTAÇÃO DIAGONAL DUPLA- APARELHO DUPLO CONJUGADO ( EXERCITADOR P/ IDOSOS) MONTADO - SEM INSTALAÇÃO</t>
  </si>
  <si>
    <t>MULTI EXERCITADOR CONJUGADO COM 6 FUNÇÕES  (EXERCITADOR P/ IDOSOS) MONTADO - SEM INSTALAÇÃO</t>
  </si>
  <si>
    <t>SIMULADOR DE CAVALGADA DUPLO  (EXERCITADOR P/ IDOSOS) MONTADO - SEM INSTALAÇÃO</t>
  </si>
  <si>
    <t>SIMULADOR DE CAVALGADA TRIPLO  (EXERCITADOR P/ IDOSOS) MONTADO - SEM INSTALAÇÃO</t>
  </si>
  <si>
    <t>ALONGADOR COM 3 ALTURAS CONJUGADO  (EXERCITADOR P/ IDOSOS) MONTADO - SEM INSTALAÇÃO</t>
  </si>
  <si>
    <t>PRESSÃO DE PERNAS TRIPLO  CONJUGADO  (EXERCITADOR P/ IDOSOS) MONTADO - SEM INSTALAÇÃO</t>
  </si>
  <si>
    <t>REMADA SENTADA  (EXERCITADOR P/ IDOSOS) MONTADO - SEM INSTALAÇÃO</t>
  </si>
  <si>
    <t>SIMULADOR DE CAMINHADA DUPLO  CONJUGADO  (EXERCITADOR P/ IDOSOS) MONTADO - SEM INSTALAÇÃO</t>
  </si>
  <si>
    <t>SIMULADOR DE CAMINHADA TRIPLO CONJUGADO  (EXERCITADOR P/ IDOSOS) MONTADO - SEM INSTALAÇÃO</t>
  </si>
  <si>
    <t>ROTAÇÃO VERTICAL DUPLO  (EXERCITADOR P/ IDOSOS) MONTADO - SEM INSTALAÇÃO</t>
  </si>
  <si>
    <t>ROTAÇÃO VERTICAL TRIPLO CONJUGADO (EXERCITADOR P/ IDOSOS) MONTADO - SEM INSTALAÇÃO</t>
  </si>
  <si>
    <t>ESQUI DUPLO CONJUGADO (EXERCITADOR P/ IDOSOS) MONTADO - SEM INSTALAÇÃO</t>
  </si>
  <si>
    <t>ESQUI TRIPLO CONJUGADO (EXERCITADOR P/ IDOSOS) MONTADO - SEM INSTALAÇÃO</t>
  </si>
  <si>
    <t>BICICLETA DE CADEIRA INDIVIDUAL (EXERCITADOR P/ IDOSOS) MONTADO - SEM INSTALAÇÃO</t>
  </si>
  <si>
    <t>BICICLETA DE CADEIRA TRIPLA (EXERCITADOR P/ IDOSOS) MONTADO - SEM INSTALAÇÃO</t>
  </si>
  <si>
    <t>PUXADOR PEITORAL DUPLO STAR (EXERCITADOR P/ IDOSOS) MONTADO - SEM INSTALAÇÃO</t>
  </si>
  <si>
    <t>TWIST TRIPLO (EXERCITADOR P/ IDOSOS) MONTADO - SEM INSTALAÇÃO</t>
  </si>
  <si>
    <t>PLACA ORIENTADORA VERTICAL  (EXERCITADOR P/ IDOSOS) 2000X1000 MONTADO - SEM INSTALAÇÃO</t>
  </si>
  <si>
    <t>LIXEIRA DUPLA  (EXERCITADOR P/ IDOSOS) MONTADO - SEM INSTALAÇÃO</t>
  </si>
  <si>
    <t>M x Dia</t>
  </si>
  <si>
    <t>BALANCIM MANIVELA, ANDAIME SUSPENSO POR CABOS DE AÇO PASSANTE COM CAPACIDADE DE CARGA ATÉ 445 KG UTILIZADO PARA PINTURAS, REFORMAS E CONSTRUÇÕES - GUARDA-CORPO E RODAPÉ INCORPORADOS</t>
  </si>
  <si>
    <t>ENSAIO DE CARACTERIZAÇÃO DE RESÍDUOS SÓLIDOS CONFORME NBR 10.004</t>
  </si>
  <si>
    <t>ENSAIOS DE LABORATÓRIO - GRANULOMETRIA COM SEDIMENTAÇÃO</t>
  </si>
  <si>
    <t>CM</t>
  </si>
  <si>
    <t>GALVANIZAÇÃO A FOGO DE PEÇAS METÁLICAS</t>
  </si>
  <si>
    <t>DISPOSIÇÃO FINAL DE SOLOS E RESÍDUOS, CLASSE I - PERIGOSOS, EM ATERRO SANITÁRIO LICENCIADO</t>
  </si>
  <si>
    <t>DISPOSIÇÃO FINAL DE SOLOS E RESÍDUOS, CLASSE II A - NÃO INERTES, EM ATERRO SANITÁRIO LICENCIADO</t>
  </si>
  <si>
    <t>DISPOSIÇÃO FINAL DE SOLOS E RESÍDUOS, CLASSE II B - INERTES, EM ATERRO SANITÁRIO LICENCIADO</t>
  </si>
  <si>
    <t>FORNECIMENTO DE MATERIAL PARA ATERRO</t>
  </si>
  <si>
    <t>SONDAGENS</t>
  </si>
  <si>
    <t>MATERIAIS E EQUIPAMENTOS PARA SONDAGEM</t>
  </si>
  <si>
    <t>VB</t>
  </si>
  <si>
    <t>ÁGUA - FORNECIMENTO EM CARRO PIPA PARTICULAR DE 6000 L OBS.: ÁGUA POTÁVEL - PREÇO "A RETIRAR" NA SABESP</t>
  </si>
  <si>
    <t>ÁGUA DE REÚSO - SABESP (PREÇO PARA EMPRESAS PRIVADAS) OBS.: PREÇO "A RETIRAR" NA SABESP</t>
  </si>
  <si>
    <t>ÁGUA POTÁVEL - FORNECIMENTO EM CAMINHÃO TANQUE CAM. 10.000 L -EMPR. QUE FORN. NO MUNICÍPIO (P/CONSTRUTORA)</t>
  </si>
  <si>
    <t>APARELHO DE APOIO DE NEOPRENE FRETADO (NÃO INSTALADO)</t>
  </si>
  <si>
    <t>Dm3</t>
  </si>
  <si>
    <t>APARELHO DE APOIO DE NEOPRENE SIMPLES (NÃO INSTALADO)</t>
  </si>
  <si>
    <t>ELETRODO AWS E 6010 DE 4MM (5/32")</t>
  </si>
  <si>
    <t>FOTO COLORIDA 10 X15 CM - REVELAÇÃO DE FOTO DIGITAL</t>
  </si>
  <si>
    <t>CIMENTO ASFÁLTICO P/ REJUNTAMENTO DE MANILHAS (ASFALTO DESTILADO MODIFICADO COM ADITIVOS ESPECIAIS)</t>
  </si>
  <si>
    <t>MANGUEIRA PLÁSTICA FLEXÍVEL D = 1/2" - ESP = 2MM - CRISTAL</t>
  </si>
  <si>
    <t>MANGUEIRA FLEXÍVEL 3" - TRANSPARENTE COM ESPIRAL LARANJA -  PARA SUCÇÃO DE DESCARGA DE ÁGUA</t>
  </si>
  <si>
    <t>CÓPIA XEROX EM TAMANHO OFÍCIO UMA FACE (PRETO/BRANCO) (PREÇO UNITÁRIO P/ AQUISIÇÃO DE 10 CÓPIAS DO MESMO ORIGINAL)</t>
  </si>
  <si>
    <t>CÓPIA XEROX EM TAMANHO OFÍCIO UMA FACE - COLORIDA (PREÇO UNITÁRIO P/ AQUISIÇÃO DE 10 CÓPIAS DO MESMO ORIGINAL)</t>
  </si>
  <si>
    <t>CÓPIA XEROX EM TAMANHO A3 UMA FACE - PRETO E BRANCO (PREÇO UNITÁRIO P/ AQUISIÇÃO DE 10 CÓPIAS DO MESMO ORIGINAL)</t>
  </si>
  <si>
    <t>CÓPIA XEROX EM TAMANHO A3 UMA FACE - COLORIDA (PREÇO UNITÁRIO P/ AQUISIÇÃO DE 10 CÓPIAS DO MESMO ORIGINAL)</t>
  </si>
  <si>
    <t>CÓPIA XEROX PRETO / BRANCO</t>
  </si>
  <si>
    <t>PLOTAGEM EM PAPEL SULFITE - TAMANHO "A1" -  PRETO E BRANCO (594 x 841 MM) -  PLT</t>
  </si>
  <si>
    <t>PLOTAGEM EM PAPEL SULFITE - TAMANHO "A0" -  PRETO E BRANCO (841 X 1184 MM) - PLT</t>
  </si>
  <si>
    <t>PLOTAGEM EM PAPEL SULFITE - TAMANHO "A1" - COLORIDA (594 x 841 MM) - PLT</t>
  </si>
  <si>
    <t>PLOTAGEM EM PAPEL SULFITE - TAMANHO "A0" - COLORIDA (841 X 1184 MM) - PLT</t>
  </si>
  <si>
    <t>PASTA LUBRIFICANTE PARA TUBOS E CONEXÕES COM JUNTA ELÁSTICA (USO EM PVC, AÇO, POLIETILENO E OUTROS)</t>
  </si>
  <si>
    <t>EXPLOSIVO - 1" X 8" - TIPO EMULSÃO</t>
  </si>
  <si>
    <t>ESPOLETA COMUM - NÚMERO 08</t>
  </si>
  <si>
    <t>ESTOPIM SIMPLES</t>
  </si>
  <si>
    <t>MANCHETE DE BORRACHA (32X35X100)MM</t>
  </si>
  <si>
    <t>FURO EM CONCRETO DIÂMETRO 3/8" - PROFUNDIDADE 15CM (UTILIZANDO MARTELETE ELÉTRICO COM BROCA DE VÍDEA) SEM MOBILIZAÇÃO</t>
  </si>
  <si>
    <t>FURO EM CONCRETO DIÂMETRO 1/2" - PROFUNDIDADE 15CM (UTILIZANDO MARTELETE ELÉTRICO COM BROCA DE VÍDEA) SEM MOBILIZAÇÃO</t>
  </si>
  <si>
    <t>FURO EM CONCRETO DIÂMETRO 5/8" - PROFUNDIDADE 15CM (UTILIZANDO MARTELETE ELÉTRICO COM BROCA DE VÍDEA) SEM MOBILIZAÇÃO</t>
  </si>
  <si>
    <t>FURO EM CONCRETO DIÂMETRO 3/4" - PROFUNDIDADE 15CM (UTILIZANDO MARTELETE ELÉTRICO COM BROCA DE VÍDEA) SEM MOBILIZAÇÃO</t>
  </si>
  <si>
    <t>FURO EM CONCRETO DIÂMETRO 1" - PROFUNDIDADE 15CM (UTILIZANDO MARTELETE ELÉTRICO COM BROCA DE VÍDEA) SEM MOBILIZAÇÃO</t>
  </si>
  <si>
    <t>FURO EM CONCRETO DIÂMETRO 1.1/4" - PROFUNDIDADE 15CM (UTILIZANDO MARTELETE ELÉTRICO COM BROCA DE VÍDEA) SEM MOBILIZAÇÃO</t>
  </si>
  <si>
    <t>FURO EM CONCRETO ARMADO DIÂMETRO 1.1/2" - PROFUNDIDADE 15CM (UTILIZANDO PERFURATRIZ ELÉTRICA C/ COROA DIAMANTADA) SEM MOBILIZAÇÃO</t>
  </si>
  <si>
    <t>FURO EM CONCRETO ARMADO DIÂMETRO 2" - PROFUNDIDADE 15CM (UTILIZANDO PERFURATRIZ ELÉTRICA C/ COROA DIAMANTADA) SEM MOBILIZAÇÃO</t>
  </si>
  <si>
    <t>FURO EM CONCRETO ARMADO DIÂMETRO 3" - PROFUNDIDADE 15CM (UTILIZANDO PERFURATRIZ ELÉTRICA C/ COROA DIAMANTADA) SEM MOBILIZAÇÃO</t>
  </si>
  <si>
    <t>FURO EM CONCRETO ARMADO DIÂMETRO 4" - PROFUNDIDADE 15CM (UTILIZANDO PERFURATRIZ ELÉTRICA C/ COROA DIAMANTADA) SEM MOBILIZAÇÃO</t>
  </si>
  <si>
    <t>FURO EM CONCRETO ARMADO DIÂMETRO 5" - PROFUNDIDADE 15CM (UTILIZANDO PERFURATRIZ ELÉTRICA C/ COROA DIAMANTADA) SEM MOBILIZAÇÃO</t>
  </si>
  <si>
    <t>FURO EM CONCRETO ARMADO DIÂMETRO 6" - PROFUNDIDADE 15CM (UTILIZANDO PERFURATRIZ ELÉTRICA C/ COROA DIAMANTADA) SEM MOBILIZAÇÃO</t>
  </si>
  <si>
    <t>FURO EM CONCRETO ARMADO DIÂMETRO 8" - PROFUNDIDADE 15CM (UTILIZANDO PERFURATRIZ ELÉTRICA C/ COROA DIAMANTADA) SEM MOBILIZAÇÃO</t>
  </si>
  <si>
    <t>BALDE PARA SINALIZAÇÃO VERMELHO (SEM SOQUETE-SEM LÂMPADA)</t>
  </si>
  <si>
    <t>TELA TAPUME - EM POLIETILENO ESTIRADO P/ DEMARCAÇÃO DE OBRA COR LARANJA -  ROLO DE 1,20M LARG. X 50M COMPRIMENTO</t>
  </si>
  <si>
    <t>DEFENSA METÁLICA SEMI-MALEÁVEL SIMPLES</t>
  </si>
  <si>
    <t>POSTO DE CONSUMO DE O2 OU AR OU VÁCUO OU N2O SOMENTE O APARELHO, SEM INSTALAÇÃO</t>
  </si>
  <si>
    <t>ESTAÇÃO DE CHAMADA DE ENFERMEIRA. SOMENTE O APARELHO, SEM INSTALAÇÃO</t>
  </si>
  <si>
    <t>PAINEL DE ALARME PARA O2 OU AR OU VÁCUO OU N2O SOMENTE O APARELHO, SEM INSTALAÇÃO</t>
  </si>
  <si>
    <t>CONTROLE TECNOLÓGICO EM CONCRETO: VERIFICAÇÃO DA DOSAGEM (DOS.PRE.INF-REP.LAB-MED.AB.MOLD.CORP.PROV.ENS.ID=3,7,28DIA)</t>
  </si>
  <si>
    <t>CONTROLE TECNOLÓGICO EM CONCRETO - RUPTURA DE CORPOS DE PROVA - MOLDADOS PELO LABORATÓRIO</t>
  </si>
  <si>
    <t>CONTROLE TECNOLÓGICO EM AÇO - VERIFICAÇÃO DE BITOLAS</t>
  </si>
  <si>
    <t>CONTROLE TECNOLÓGICO EM AÇO - TRAÇÃO EM BARRAS</t>
  </si>
  <si>
    <t>CONTROLE TECNOLÓGICO EM AÇO - DOBRAMENTO EM BARRAS</t>
  </si>
  <si>
    <t>CONTROLE TECNOLÓGICO DE MATERIAIS: TRANSPORTE DE MOLDES DE CORPOS DE PROVA/OUTROS MATERIAIS (LAB P/OBRA E OBRA P/LAB)</t>
  </si>
  <si>
    <t>CONTROLE TECNOLÓGICO EM CONCRETO: ENSAIO DE ESCLEROMETRIA EM 10 PONT/REG. C/16 TIROS POR PT.(10 PTS) C/MAT,MO,MOB,REL</t>
  </si>
  <si>
    <t>Ensaio</t>
  </si>
  <si>
    <t>CONTROLE TECNOLÓGICO EM CONCRETO: MOLDADOR DOS CORPOS DE PROVA PARA PERÍODO DE 4 HORAS (PERÍODO)</t>
  </si>
  <si>
    <t>Período</t>
  </si>
  <si>
    <t>ENSAIO DE ISOLAÇÃO DE CABO DE MÉDIA TENSÃO</t>
  </si>
  <si>
    <t>ENSAIO DE ISOLAÇÃO DE TRANFORMADOR DE POTÊNCIA</t>
  </si>
  <si>
    <t>ENSAIO DE RELAÇÃO DE TRANSFORMAÇÃO EM TRANSFORMADOR DE POTÊNCIA</t>
  </si>
  <si>
    <t>ENSAIO DE RESISTÊNCIA DE ISOLAÇÃO DE CHAVE SECCIONADORA CLASSE 15KV</t>
  </si>
  <si>
    <t>PARAMETRIZAÇÃO DO RELÊ DE PROTEÇÃO INDIRETA DE DISJUNTOR EM MÉDIA TENSÃO</t>
  </si>
  <si>
    <t>SOLVENTES E PRODUTOS QUÍMICOS</t>
  </si>
  <si>
    <t>ACETILENO INCLUSIVE ACETONAGEM</t>
  </si>
  <si>
    <t>ÁCIDO MURIÁTICO (CLORÍDRICO) - SEM A BOMBONA</t>
  </si>
  <si>
    <t>AGUARRAZ - MINERAL</t>
  </si>
  <si>
    <t>OXIGÊNIO (SOMENTE A CARGA)</t>
  </si>
  <si>
    <t>SOLVENTE PARA MATERIAIS BASE EPÓXI</t>
  </si>
  <si>
    <t>PERCLOROETILENO (FLUIDO DE LIMPEZA A SECO E  DESENGRAXE DE METAIS)</t>
  </si>
  <si>
    <t>CORRIMÃO DUPLO DE AÇO GALVANIZADO</t>
  </si>
  <si>
    <t>ADESIVO À BASE DE PVA</t>
  </si>
  <si>
    <t>ADESIVO BASE POLIURETANO</t>
  </si>
  <si>
    <t>ADESIVO ESTRUTURAL FLUIDO À BASE DE RESINA EPÓXI</t>
  </si>
  <si>
    <t>AGREGADO RECICLADO, TIPO RACHÃO RECICLADO CINZA, CLASSE A</t>
  </si>
  <si>
    <t>FORNECIMENTO DE AR-CONDICIONADO A FRIO TIPO SPLIT CASSETE INVERTER, COM CAPACIDADE DE 36.000 BTUS/H</t>
  </si>
  <si>
    <t>FORNECIMENTO DE AR-CONDICIONADO A FRIO TIPO SPLIT PAREDE INVERTER, COM CAPACIDADE DE 12.000 BTUS/H</t>
  </si>
  <si>
    <t>FORNECIMENTO DE AR-CONDICIONADO A FRIO TIPO SPLIT PISO TETO, COM CAPACIDADE DE 24.000 BTUS/H</t>
  </si>
  <si>
    <t>FORNECIMENTO DE AR-CONDICIONADO A FRIO TIPO SPLIT PISO TETO, COM CAPACIDADE DE 36.000 BTUS/H</t>
  </si>
  <si>
    <t>FORNECIMENTO DE CORTINA DE AR DE SOBREPOR COM DUAS VELOCIDADES PARA VÃO DE 100 CM</t>
  </si>
  <si>
    <t>FORNECIMENTO DE CORTINA DE AR DE SOBREPOR COM DUAS VELOCIDADES PARA VÃO DE 120 CM</t>
  </si>
  <si>
    <t>FORNECIMENTO DE CORTINA DE AR DE SOBREPOR COM DUAS VELOCIDADES PARA VÃO DE 150 CM</t>
  </si>
  <si>
    <t>ARGAMASSA COLANTE - USO EXTERNO - TIPO AC-III - COR CINZA</t>
  </si>
  <si>
    <t>ARGAMASSA INDUSTRIALIZADA PARA CHAPISCO COLANTE</t>
  </si>
  <si>
    <t>ARGAMASSA INDUSTRIALIZADA POLIMÉRICA BICOMPONENTE</t>
  </si>
  <si>
    <t>ARGAMASSA POLIMÉRICA PARA ESTUCAMENTO RESISTENTE A SULFATOS</t>
  </si>
  <si>
    <t>ARGAMASSA POLIMÉRICA PARA REPAROS ESTRUTURAIS</t>
  </si>
  <si>
    <t>ARGAMASSA PRÉ-FABRICADA PARA ASSENTAMENTO DE VEDAÇÃO</t>
  </si>
  <si>
    <t>REJUNTE FLEXÍVEL TIPO II - NBR 14992</t>
  </si>
  <si>
    <t>CONCRETO FCK=15MPA COM AGREGADO LEVE PARA ENCHIMENTO</t>
  </si>
  <si>
    <t>CONCRETO PROJETADO SECO SLUMP 2+OU-1 CM, BRITA 0, FCK=30MPA COM FIBRA DE POLIPROPILENO DOSADO EM CENTRAL</t>
  </si>
  <si>
    <t>CONCRETO USINADO, BRITA 0E1, SLUMP 12+OU-2cm / FCK= 30,0MPA</t>
  </si>
  <si>
    <t>CONCRETO USINADO, BRITA 0E1, SLUMP 8+OU-1cm / FCK= 35,0MPA</t>
  </si>
  <si>
    <t>CONCRETO USINADO, BRITA 1 / FCTM,K= 4,2MPA</t>
  </si>
  <si>
    <t>AÇO DE PROTENSÃO CORDOALHA CP 190 RB 9,5 - DIÂMETRO NOMINAL = 9,50 MM</t>
  </si>
  <si>
    <t>ANCORAGEM COMPLETA ATIVA 10 FUROS - D = 12,7 MM - SOMENTE MATERIAL - SEM COLOCAÇÃO</t>
  </si>
  <si>
    <t>ANCORAGEM COMPLETA ATIVA 19 FUROS - D = 12,7 MM - SOMENTE MATERIAL - SEM COLOCAÇÃO</t>
  </si>
  <si>
    <t>ANCORAGEM COMPLETA ATIVA 19 FUROS - D = 15,2 MM - SOMENTE MATERIAL - SEM COLOCAÇÃO</t>
  </si>
  <si>
    <t>ANCORAGEM COMPLETA PASSIVA 19 CORDOALHAS - D = 12,7 MM</t>
  </si>
  <si>
    <t>ARAME GALVANIZADO 6 BWG, D = 5,16 MM (0,157 KG/M), OU 8 BWG, D = 4,19 MM (0,101 KG/M), OU 10 BWG, D = 3,40 MM (0,0713 KG/M)</t>
  </si>
  <si>
    <t>ANEL OU CALÇO DE COMPENSAÇÃO ANGULAR PARA TIRANTE DE 32 MM</t>
  </si>
  <si>
    <t>COBOGÓ DE CONCRETO 19X19X10 CM</t>
  </si>
  <si>
    <t>COBOGÓ DE CONCRETO 39X39X10 CM</t>
  </si>
  <si>
    <t>TIJOLO CERÂMICO FURADO - 6 FUROS - (11,5X14X24)CM</t>
  </si>
  <si>
    <t>CABO DE COBRE 1,50 MM2 - ISOLAMENTO 0,6/1KV - CLASSE 5 - FLEXÍVEL - ISOLAÇÃO EM EPR 90 C</t>
  </si>
  <si>
    <t>CABO DE COBRE 1,50 MM2 - ISOLAMENTO PARA 750V - AFUMEX - CLASSE 5 - FLEXÍVEL - ISOLAÇÃO EM HEPR 90 C</t>
  </si>
  <si>
    <t>CABO DE COBRE 2,50 MM2 - ISOLAMENTO 0,6/1KV - CLASSE 5 - FLEXÍVEL - ISOLAÇÃO EM EPR 90 C</t>
  </si>
  <si>
    <t>CABO DE COBRE 6,00 MM2 - ISOLAMENTO 0,6/1KV - CLASSE 5 - FLEXÍVEL - ISOLAÇÃO EM EPR 90 C</t>
  </si>
  <si>
    <t>CABO DE COBRE 6,00 MM2 - ISOLAMENTO PARA 750V - AFUMEX - CLASSE 5 - FLEXÍVEL - ISOLAÇÃO EM HEPR 90 C</t>
  </si>
  <si>
    <t>CABO DE COBRE 10 MM2 - ISOLAMENTO 0,6/1KV - CLASSE 5 - FLEXÍVEL - ISOLAÇÃO EM EPR 90 C</t>
  </si>
  <si>
    <t>CABO DE COBRE 16 MM2 - ISOLAMENTO 0,6/1KV - CLASSE 5 - FLEXÍVEL - ISOLAÇÃO EM EPR 90 C</t>
  </si>
  <si>
    <t>CABO DE COBRE 25 MM2 - ISOLAMENTO 0,6/1KV - CLASSE 5 - FLEXÍVEL - ISOLAÇÃO EM EPR 90 C</t>
  </si>
  <si>
    <t>CABO DE COBRE 35 MM2 - ISOLAMENTO 0,6/1KV - CLASSE 5 - FLEXÍVEL - ISOLAÇÃO EM EPR 90 C</t>
  </si>
  <si>
    <t>CABO DE COBRE 50 MM2 - ISOLAMENTO 0,6/1KV - CLASSE 5 - FLEXÍVEL - ISOLAÇÃO EM EPR 90 C</t>
  </si>
  <si>
    <t>CABO DE COBRE 70 MM2 - ISOLAMENTO 0,6/1KV - CLASSE 5 - FLEXÍVEL - ISOLAÇÃO EM EPR 90 C</t>
  </si>
  <si>
    <t>CABO DE COBRE 95 MM2 - ISOLAMENTO 0,6/1KV - CLASSE 5 - FLEXÍVEL - ISOLAÇÃO EM EPR 90 C</t>
  </si>
  <si>
    <t>CABO DE COBRE 120 MM2 - ISOLAMENTO 0,6/1KV - CLASSE 5 - FLEXÍVEL - ISOLAÇÃO EM EPR 90 C</t>
  </si>
  <si>
    <t>CABO DE COBRE 150 MM2 - ISOLAMENTO 0,6/1KV - CLASSE 5 - FLEXÍVEL - ISOLAÇÃO EM EPR 90 C</t>
  </si>
  <si>
    <t>CABO DE COBRE 185 MM2 - ISOLAMENTO 0,6/1KV - CLASSE 5 - FLEXÍVEL - ISOLAÇÃO EM EPR 90 C</t>
  </si>
  <si>
    <t>CABO DE COBRE 240 MM2 - ISOLAMENTO 0,6/1KV - CLASSE 5 - FLEXÍVEL - ISOLAÇÃO EM EPR 90 C</t>
  </si>
  <si>
    <t>CABO DE COBRE FLEXÍVEL NÃO BLINDADO DE 2 x 1,5 mm2, CLASSE 5, FLEXÍVEL, ISOLAMENTO 0,6kV EM PVC/E - 105ºC PARA DETECÇÃO DE INCÊNDIO</t>
  </si>
  <si>
    <t>CABO DE COBRE FLEXÍVEL NÃO BLINDADO DE 3 x 1,5 mm2, CLASSE 5, FLEXÍVEL, ISOLAMENTO 0,6kV EM PVC/E - 105ºC PARA DETECÇÃO DE INCÊNDIO</t>
  </si>
  <si>
    <t>CABO DE COBRE FLEXÍVEL NÃO BLINDADO DE 2 x 2,5 mm2, CLASSE 5, FLEXÍVEL, ISOLAMENTO 0,6kV EM PVC/E - 105ºC PARA DETECÇÃO DE INCÊNDIO</t>
  </si>
  <si>
    <t>CABO DE COBRE FLEXÍVEL BLINDADO DE 2 x 1,5 mm2, CLASSE 5, FLEXÍVEL, ISOLAMENTO 0,6kV EM PVC/E - 105ºC PARA DETECÇÃO DE INCÊNDIO</t>
  </si>
  <si>
    <t>CABO DE COBRE FLEXÍVEL BLINDADO DE 2 x 2,5 mm2, CLASSE 5, FLEXÍVEL, ISOLAMENTO 0,6kV EM PVC/E - 105ºC PARA DETECÇÃO DE INCÊNDIO</t>
  </si>
  <si>
    <t>CABO DE COBRE FLEXÍVEL BLINDADO DE 3 x 1,5 mm2, CLASSE 5, FLEXÍVEL, ISOLAMENTO 0,6kV EM PVC/E - 105ºC PARA DETECÇÃO DE INCÊNDIO</t>
  </si>
  <si>
    <t>CABO DE MÉDIA TENSÃO PARA 12/20 KV - 1 X 25 MM2 UNIPOLAR</t>
  </si>
  <si>
    <t>CABO DE MÉDIA TENSÃO PARA 12/20 KV - 1 X 50 MM2 UNIPOLAR</t>
  </si>
  <si>
    <t>CABO TELEFÔNICO PADRÃO TELEBRÁS TIPO CI-50 (50 PARES)</t>
  </si>
  <si>
    <t>CABO UTP - CAT 6 - 4 PARES</t>
  </si>
  <si>
    <t>CAIXA D'ÁGUA DE POLIETILENO COM TAMPA DE ENCAIXAR 1000 L</t>
  </si>
  <si>
    <t>CAIXA D'ÁGUA DE POLIETILENO COM TAMPA DE ENCAIXAR 310 L</t>
  </si>
  <si>
    <t>CAIXA D'ÁGUA DE POLIETILENO COM TAMPA DE ENCAIXAR 500 L</t>
  </si>
  <si>
    <t>CAIXA D'ÁGUA DE POLIETILENO COM TAMPA DE ROSCA 2000 L</t>
  </si>
  <si>
    <t>CAIXA D'ÁGUA DE POLIETILENO COM TAMPA DE ROSCA 2500 L</t>
  </si>
  <si>
    <t>Un x Mês</t>
  </si>
  <si>
    <t>LÃ DE ROCHA, ESPESSURA DE 51 MM</t>
  </si>
  <si>
    <t>LÃ DE VIDRO, ESPESSURA DE 50 MM</t>
  </si>
  <si>
    <t>PERFIL "U" DE AÇO LAMINADO - 200X50X3MM</t>
  </si>
  <si>
    <t>PLACA CIMENTÍCIA IMPERMEABILIZADA, E = 10MM, 1200 X 2400 MM, BRASILIT OU EQUIVALENTE</t>
  </si>
  <si>
    <t>PLACA DE GESSO ACARTONADO RF, E = 12,5 MM, 1200 X 2400 MM</t>
  </si>
  <si>
    <t>PLACA DE GESSO ACARTONADO ST, E = 12,5 MM, 1200 X 2400 MM</t>
  </si>
  <si>
    <t>CAIXA DE PASSAGEM E LIGAÇÃO EM PVC 6,5X10,5X5,0CM - (4X2"), SEM PLACA</t>
  </si>
  <si>
    <t>CAPTOR TIPO TERMINAL AÉREO, 5/16¨, H = 600mm, FIXAÇÃO HORIZONTAL, GALVANIZADO, INCLUSIVE PARAFUSOS E BUCHAS DE FIXAÇÃO</t>
  </si>
  <si>
    <t>CHAVE REVERSORA TRIFÁSICA 400A</t>
  </si>
  <si>
    <t>CHAVE SECCIONADORA TRIPOLAR COM CARGA INTERNA - 15KV/200A</t>
  </si>
  <si>
    <t>CONECTOR RJ-45</t>
  </si>
  <si>
    <t>ELETRODUTO DE PVC CORRUGADO FLEXÍVEL, ANTICHAMA - 20MM (1/2")</t>
  </si>
  <si>
    <t>ELETRODUTO DE PVC CORRUGADO FLEXÍVEL, ANTICHAMA - 25MM (3/4")</t>
  </si>
  <si>
    <t>ELETRODUTO DE PVC CORRUGADO FLEXÍVEL, ANTICHAMA - 32MM (1")</t>
  </si>
  <si>
    <t>ELETRODUTO PEAD CORRUGADO FLEXÍVEL - 1 1/4"</t>
  </si>
  <si>
    <t>ELETRODUTO PEAD CORRUGADO FLEXÍVEL - 1.1/2"</t>
  </si>
  <si>
    <t>MANOPLA ROTATIVA PARA DISJUNTOR PARA PORTA DE PAINEL</t>
  </si>
  <si>
    <t>PENDURAL OU PRESILHA REGULADORA, EM ACO GALVANIZADO, COM CORPO, MOLA E REBITE, PARA PERFIL TIPO CANALETA DE ESTRUTURA EM FORROS DRYWALL</t>
  </si>
  <si>
    <t>QUADRO DE DISTRIBUIÇÃO DE EMBUTIR EM PVC - 16 DISJUNTORES</t>
  </si>
  <si>
    <t>QUADRO DE DISTRIBUIÇÃO DE EMBUTIR EM PVC - 24 DISJUNTORES</t>
  </si>
  <si>
    <t>SENSOR DE PRESENÇA COM FOTOCÉLULA, TENSÃO 127/220 V (BIVOLT)</t>
  </si>
  <si>
    <t>TOMADA PADRÃO BRASILEIRO TRIPOLAR - 110V/220V</t>
  </si>
  <si>
    <t>FECHADURA TIPO ALAVANCA COM CHAVE PARA PORTA CORTA-FOGO, CILINDRO PARA ACIONAMENTO COM CHAVE</t>
  </si>
  <si>
    <t>FIBRA DE CARBONO PARA REFORÇO ESTRUTURAL DE ALTA RESISTÊNCIA, 300 G/M2</t>
  </si>
  <si>
    <t>FITA AUTO ADESIVA TELA DE FIBRA DE VIDRO</t>
  </si>
  <si>
    <t>FITA DE PAPEL PARA JUNTAS DRYWALL, E = 50 MM</t>
  </si>
  <si>
    <t>BASE TRIPOLAR PARA FUSÍVEL HH 15KV DE 400A</t>
  </si>
  <si>
    <t>FUSÍVEL HH PARA 5A/ 15KV</t>
  </si>
  <si>
    <t>FUSÍVEL HH PARA 16A/ 15KV</t>
  </si>
  <si>
    <t>FUSIVEL HH PARA 25A/ 15KV</t>
  </si>
  <si>
    <t>FUSIVEL HH PARA 50A/ 15KV</t>
  </si>
  <si>
    <t>FUSIVEL HH PARA 63A/ 15KV</t>
  </si>
  <si>
    <t>GABIÃO TIPO CAIXA COM ANCORAGEM, H = 0,50M, C = 4,00M, DE MALHA 8 X 10CM (G4R+P)</t>
  </si>
  <si>
    <t>Peça</t>
  </si>
  <si>
    <t>GABIÃO TIPO CAIXA COM ANCORAGEM, H = 1,00M, C = 4,00M, DE MALHA 8 X 10CM (G4R+P)</t>
  </si>
  <si>
    <t>GRUPO GERADOR 170 KVA (+ OU - 10 KVA) COM COMANDO AUTOMÁTICO, VERSÃO ABERTA</t>
  </si>
  <si>
    <t>GRUPO GERADOR 375 KVA (+ OU - 10 KVA) COM COMANDO AUTOMÁTICO, VERSÃO ABERTA</t>
  </si>
  <si>
    <t>GRUPO GERADOR 81 KVA (+ OU - 10 KVA) COM COMANDO</t>
  </si>
  <si>
    <t>GESSO COLA (EM PÓ)</t>
  </si>
  <si>
    <t>MASSA DE REJUNTE EM PÓ PARA DRYWALL</t>
  </si>
  <si>
    <t>MOLDURA DE GESSO PARA TETO, PEÇA DE 1 M</t>
  </si>
  <si>
    <t>MINI GUIA DE CONCRETO - 19 X 39 X 7 CM</t>
  </si>
  <si>
    <t>BANCO ARTICULADO PARA PCD EM AÇO INOX - 45X45CM</t>
  </si>
  <si>
    <t>DUCHA HIG.FLEX COM REG. DE PAREDE</t>
  </si>
  <si>
    <t>ENGATE FLEXÍVEL ÁGUA FRIA 1/2" 40 CM</t>
  </si>
  <si>
    <t>FLANGE DE PVC ROSCÁVEL PARA ÁGUA COM SEXTAVADO SEM FUROS - 1.1/2"</t>
  </si>
  <si>
    <t>HIDROMETRO MULTIJATO, DN 1 1/2", VAZAO MAXIMA DE 20 M3/H, RELOJOARIA INCLINADA E CLASSE B</t>
  </si>
  <si>
    <t>HIDROMETRO UNIJATO, DN 1/2", VAZAO MAXIMA DE 1,5 M3/H, RELOJOARIA INCLINADA E CLASSE B</t>
  </si>
  <si>
    <t>HIDROMETRO UNIJATO, DN 3/4", VAZAO MAXIMA DE 5 M3/H, RELOJOARIA INCLINADA E CLASSE B</t>
  </si>
  <si>
    <t>PLUG ROSCÁVEL 1/2"</t>
  </si>
  <si>
    <t>REGISTRO DE ESFERA SOLDÁVEL, PVC, COM VOLANTE - 1"</t>
  </si>
  <si>
    <t>SIFÃO AJUSTÁVEL MULTIUSO</t>
  </si>
  <si>
    <t>TERMINAL DE VENTILAÇÃO EM PVC - 100 MM</t>
  </si>
  <si>
    <t>TERMINAL DE VENTILAÇÃO EM PVC - 75 MM</t>
  </si>
  <si>
    <t>TUBO CPVC SOLDÁVEL PARA ÁGUA -22MM</t>
  </si>
  <si>
    <t>TUBO DE COBRE FLEXÍVEL - 1/2"</t>
  </si>
  <si>
    <t>TUBO DE COBRE FLEXÍVEL - 1/4"</t>
  </si>
  <si>
    <t>TUBO DE COBRE FLEXÍVEL - 3/4"</t>
  </si>
  <si>
    <t>TUBO DE COBRE FLEXÍVEL - 3/8"</t>
  </si>
  <si>
    <t>TUBO DE COBRE FLEXÍVEL - 5/8"</t>
  </si>
  <si>
    <t>TUBO DE COBRE SEM COSTURA - CLASSE A - 2"</t>
  </si>
  <si>
    <t>TUBO DE COBRE SEM COSTURA - CLASSE A - 2 1/2 "</t>
  </si>
  <si>
    <t>TUBO DE COBRE SEM COSTURA - CLASSE E - 2"</t>
  </si>
  <si>
    <t>TUBO DE COBRE SEM COSTURA - CLASSE E - 2 1/2"</t>
  </si>
  <si>
    <t>TUBO DE FERRO FUNDIDO DN 100 MM - CLASSE K9</t>
  </si>
  <si>
    <t>TUBO DE FERRO FUNDIDO DN 150 MM - CLASSE K7</t>
  </si>
  <si>
    <t>TUBO DE FERRO FUNDIDO DN 150 MM - CLASSE K9</t>
  </si>
  <si>
    <t>TUBO DE FERRO FUNDIDO DN 80 MM - CLASSE K9</t>
  </si>
  <si>
    <t>TUBO DE PVC CORRUGADO (LINHA ESGOTO) - 300MM (12")</t>
  </si>
  <si>
    <t>TUBO DE PVC RÍGIDO OCRE JEI 200 MM - PARA ESGOTO</t>
  </si>
  <si>
    <t>TUBO DE PVC RÍGIDO OCRE JEI 250 MM - PARA ESGOTO</t>
  </si>
  <si>
    <t>TUBO DE PVC RÍGIDO PBA, CLASSE 15, COM ANEL - 50MM</t>
  </si>
  <si>
    <t>TUBO DE PVC RÍGIDO PBA, CLASSE 15, COM ANEL - 75MM</t>
  </si>
  <si>
    <t>TUBO DE PVC RÍGIDO PBA, CLASSE 15, COM ANEL - 100MM</t>
  </si>
  <si>
    <t>TUBO DE PVC RÍGIDO PBA, CLASSE 20, COM ANEL - 50MM</t>
  </si>
  <si>
    <t>TUBO DE PVC RÍGIDO PBA, CLASSE 20, COM ANEL - 75MM</t>
  </si>
  <si>
    <t>TUBO DE PVC RÍGIDO PBA, CLASSE 20, COM ANEL - 100MM</t>
  </si>
  <si>
    <t>TUBO DE PVC RÍGIDO, OCRE JEI 100 MM - PARA ESGOTO</t>
  </si>
  <si>
    <t>TUBO DE PVC RÍGIDO, OCRE JEI 150 MM - PARA ESGOTO</t>
  </si>
  <si>
    <t>TUBO DE PVC RÍGIDO, OCRE JEI 300 MM - PARA ESGOTO</t>
  </si>
  <si>
    <t>TUBO PPR CLASSE PN 20 PARA ÁGUA QUENTE E FRIA - 50 MM</t>
  </si>
  <si>
    <t>TUBO PVC RÍGIDO JUNTA ELÁSTICA PARA ÁGUA - 150MM</t>
  </si>
  <si>
    <t>TUBO PVC RÍGIDO JUNTA ELÁSTICA PARA ÁGUA - 200 MM</t>
  </si>
  <si>
    <t>TUBO PVC RÍGIDO JUNTA ELÁSTICA PARA ÁGUA - 250MM</t>
  </si>
  <si>
    <t>TUBO PVC RÍGIDO JUNTA ELÁSTICA PARA ÁGUA - 300MM</t>
  </si>
  <si>
    <t>TUBO PVC RÍGIDO JUNTA ELÁSTICA PARA ÁGUA - 400MM</t>
  </si>
  <si>
    <t>VÁLVULA DE DESCARGA METÁLICA, BASE 1.1/2"</t>
  </si>
  <si>
    <t>VÁLVULA DE ESCOAMENTO PARA LAVATÓRIO/CUBA/PIA COM TAMPA PLASTICA-CROMADO</t>
  </si>
  <si>
    <t>VÉU DE POLIÉSTER PARA IMPERMEABILIZAÇÃO, MALHA 2X2 MM, DENSIDADE MÍNIMA DE 36G/M2</t>
  </si>
  <si>
    <t>DETECTOR DE TEMPERATURA TERMOVELOCIMÉTRICO ENDEREÇÁVEL</t>
  </si>
  <si>
    <t>SPRINKLER PARA CIMA 1/2" RESPOSTA PADRÃOE BULBO VERMELHO CROMADO 68°C</t>
  </si>
  <si>
    <t>PLACA EM EPS/ISOPOR - E = 30MM</t>
  </si>
  <si>
    <t>JANELA EM ALUMÍNIO ANODIZADO COMUM - CORRER - H = 1,00M - C=1,80 M 3 FOLHAS - PERFIL 25 - SEM COLOCAÇÃO - COMPLETO - PRONTO PARA INSTALAÇÃO</t>
  </si>
  <si>
    <t>JANELA EM ALUMÍNIO ANODIZADO COMUM - CORRER - H = 1,10M - C=1,80 M 3 FOLHAS - PERFIL 25 - SEM COLOCAÇÃO - COMPLETO - PRONTO PARA INSTALAÇÃO</t>
  </si>
  <si>
    <t>JUNTA DE DILATAÇÃO DE ELASTÔMERO DE NEOPRENE, TIPO JEENE JJ 2027 M OU SIMILAR</t>
  </si>
  <si>
    <t>JUNTA DE DILATAÇÃO DE ELASTÔMERO DE NEOPRENE, TIPO JEENE JJ 2540 VV OU SIMILAR</t>
  </si>
  <si>
    <t>JUNTA DE DILATAÇÃO DE ELASTÔMERO DE NEOPRENE, TIPO JEENE JJ 3010 VE OU SIMILAR</t>
  </si>
  <si>
    <t>JUNTA DE DILATAÇÃO DE ELASTÔMERO DE NEOPRENE, TIPO JEENE JJ 3550 VV OU SIMILAR</t>
  </si>
  <si>
    <t>JUNTA DE DILATAÇÃO DE ELASTÔMERO DE NEOPRENE, TIPO JEENE JJ 4060 OU SIMILAR</t>
  </si>
  <si>
    <t>JUNTA DE DILATAÇÃO DE ELASTÔMERO DE NEOPRENE, TIPO JEENE JJ 5070 OU SIMILAR</t>
  </si>
  <si>
    <t>JUNTA DE DILATAÇÃO DE ELASTÔMERO DE NEOPRENE, TIPO JEENE JJ 6080 VV OU SIMILAR</t>
  </si>
  <si>
    <t>JUNTA DE DILATAÇÃO DE ELASTÔMERO DE NEOPRENE, TIPO JEENE JJ 8097 OU SIMILAR</t>
  </si>
  <si>
    <t>JUNTA DE DILATAÇÃO DE ELASTÔMERO DE NEOPRENE, TIPO JEENE JJ 99120 VV OU SIMILAR</t>
  </si>
  <si>
    <t>JUNTA DE DILATAÇÃO DE ELASTÔMERO DE NEOPRENE, TIPO JEENE JJ2530M OU SIMILAR</t>
  </si>
  <si>
    <t>PINGADEIRA DE ELASTÔMERO COM ABA INCLINADA E PERFIL 40 X 40 MM</t>
  </si>
  <si>
    <t>LÂMPADA DE LED BULBO 15W - SOQUETE E27</t>
  </si>
  <si>
    <t>LUMINÁRIA DE EMERGÊNCIA AUTÔNOMA COM 30 LEDS E AUTONOMIA MIN DE 6H</t>
  </si>
  <si>
    <t>LUMINÁRIA COMERCIAL DE SOBREPOR COM CORPO, ALETAS PLANAS E TAMPA PORTA-LÂMPADAS EM CHAPA DE AÇO TRATADA E PINTADA NA COR BRANCA, REFLETOR COM ACABAMENTO ESPECULAR DE ALTO BRILHO - 2 LÂMPADAS LED T8 - 18W</t>
  </si>
  <si>
    <t>LUMINÁRIA LED DE SOBREPOR - 36W (BARRAMENTO), TIPO SLIM, EM POLICARBONATO  E LENTE LEITOSA, COM DRIVER" INCORPORADO</t>
  </si>
  <si>
    <t>LUMINÁRIA PENDENTE COM 01 LÂMPADA LED 150W- 6000K - COMPLETA</t>
  </si>
  <si>
    <t>COMPENSADO PLASTIFICADO 20 MM CHAPA DE 2,20 X 1,10 M</t>
  </si>
  <si>
    <t>LIXA 4 1/2" - GRANA 40 - PARA ACO</t>
  </si>
  <si>
    <t>PINO DE AÇO COM FURO, HASTE = 27 MM</t>
  </si>
  <si>
    <t>PASTILHA CERAMICA/PORCELANA - ACABAMENTO LISO 5 CM X 5 CM</t>
  </si>
  <si>
    <t>PEDRA ARDOSIA, CINZA, 30 X 30, E = 1 CM</t>
  </si>
  <si>
    <t>PEITORIL DE ARDÓSIA POLIDA - ESP=2CM, L=20CM</t>
  </si>
  <si>
    <t>PEITORIL DE MÁRMORE BRANCO PINZA CINZA - ESP=2CM, L=25CM</t>
  </si>
  <si>
    <t>SOLEIRA EM ARDÓSIA, E = 20 MM, L = 18 CM</t>
  </si>
  <si>
    <t>TARUCEL - DELIMITADOR DE PROFUNDIDADE 30 MM</t>
  </si>
  <si>
    <t>AGAPANTO AZUL (AGAPANTHUS AFRICANUS)</t>
  </si>
  <si>
    <t>ALISSO (LOBULARIA MARITIMA)</t>
  </si>
  <si>
    <t>ARAÇÁ (PSIDIUM CATTLEIANUM)</t>
  </si>
  <si>
    <t>BABOSA DE PAU (PHILODENDRON MARTIANUM)</t>
  </si>
  <si>
    <t>BEGÔNIA (BEGÔNIA ELATIOR)</t>
  </si>
  <si>
    <t>CRAVINA (DIANTHUS CHINENSIS)</t>
  </si>
  <si>
    <t>IPE ROXO SETE FOLHAS (HANDROANTHUS HEPTAPHYLLUS)</t>
  </si>
  <si>
    <t>JEQUITIBA BRANCO (CARINIANA ESTRELLENSIS)</t>
  </si>
  <si>
    <t>LAMBARI (TRADESCANTIA ZEBRINA)</t>
  </si>
  <si>
    <t>MIRINDIBA (LAFOENSIA GLYPTOCARPA)</t>
  </si>
  <si>
    <t>TRAPOERABA ROXA (TRADESCANTIA PALLIDA)</t>
  </si>
  <si>
    <t>TUMBERGIA AZUL (THUNBERGIA ERECTA)</t>
  </si>
  <si>
    <t>GRAMA SINTÉTICA DECORATIVA EM POLIETILENO ALTURA 10 A 32 MM - FORNECIMENTO E INSTALAÇÃO</t>
  </si>
  <si>
    <t>POSTE DE AÇO GALVANIZADO - RETO - FLANGEADO - H= 3,00M</t>
  </si>
  <si>
    <t>PROJETOR DE SOBREPOR LED - 200W - IP65 - 6000K</t>
  </si>
  <si>
    <t>ELETRODO AWS E 6013 DE 3,25MM (1 1/4")</t>
  </si>
  <si>
    <t>COLUNA SIMPLES PP</t>
  </si>
  <si>
    <t>PAINEL DE MENSAGEM VARIÁVEL MÓVEL 1800 x 2800 MM</t>
  </si>
  <si>
    <t>Un / Mês</t>
  </si>
  <si>
    <t>PAINEL DE MENSAGEM VARIÁVEL MÓVEL 900 x 1800 MM</t>
  </si>
  <si>
    <t>PAINEL REPETIDOR DE DETECÇÃO E ALARME DE INCÊNDIO TIPO ENDEREÇÁVEL</t>
  </si>
  <si>
    <t>SUPORTE P-57 COM ELEMENTOS DE FIXAÇÃO</t>
  </si>
  <si>
    <t>TELA DE ARAME GALVANIZADA, HEXAGONAL, FIO 0,56 MM (24 BWG), MALHA 1/2", H = 1 M</t>
  </si>
  <si>
    <t>ESMALTE BASE ÁGUA BRILHANTE</t>
  </si>
  <si>
    <t>TRANSFORMADOR TRIFÁSICO À ÓLEO MINERAL - 13,8/13,2/12,6 kV - 220/1270V - 1000 kVA</t>
  </si>
  <si>
    <t>TRANSFORMADOR TRIFÁSICO 13,8 / 13,2 / 12,6 KV - 220 / 127 V 1000 KVA - A SECO</t>
  </si>
  <si>
    <t>TRANSFORMADOR TRIFÁSICO 13,8 / 13,2 / 12,6 KV - 220/127V 500KVA - À ÓLEO</t>
  </si>
  <si>
    <t>TRANSFORMADOR TRIFÁSICO 13,8 / 13,2 / 12,6 KV - 220/127V 750KVA - À ÓLEO</t>
  </si>
  <si>
    <t>TRANSFORMADOR TRIFÁSICO 13,8 / 13,2 / 12,6 KV - 220/127V 750KVA - A SECO</t>
  </si>
  <si>
    <t>EQUIPAMENTOS</t>
  </si>
  <si>
    <t>CARRO POPULAR 50% EM OPERAÇÃO</t>
  </si>
  <si>
    <t>VAN, TETO ALTO 50% EM OPERAÇÃO</t>
  </si>
  <si>
    <t>CARRO POPULAR À DISPOSIÇÃO</t>
  </si>
  <si>
    <t>VAN LONGO, TETO ALTO À DISPOSIÇÃO</t>
  </si>
  <si>
    <t>CÂMARA NOVA DE PNEU R13 165 - PARA CARRO DE PASSEIO</t>
  </si>
  <si>
    <t>ELEVADOR DEFICIENTE FÍSICO - PERCURSO 3 M - 2 PARADAS 8 PASSAGEIROS - ACABAMENTO EM AÇO CARBONO - ELETROMECÂNICO</t>
  </si>
  <si>
    <t>ELEVADOR DEFICIENTE FÍSICO - PERCURSO 6 M  - 3 PARADAS 8 PASSAGEIROS - ACABAMENTO EM AÇO CARBONO - ELETROMECÂNICO</t>
  </si>
  <si>
    <t>ELEVADOR DEFICIENTE FÍSICO - PERCURSO 9 M - 4 PARADAS 8 PASSAGEIROS - ACABAMENTO EM AÇO CARBONO - ELETROMECÂNICO</t>
  </si>
  <si>
    <t>ELEVADOR DEFICIENTE FÍSICO - PERCURSO 12 M - 5 PARADAS 8 PASSAGEIROS - ACABAMENTO EM AÇO CARBONO - ELETROMECÂNICO</t>
  </si>
  <si>
    <t>BROCA DE WIDIA D=  1/2" - COMPRIMENTO ÚTIL= 10 CM C/ ENCAIXE SDS-PLUS ( DIÂMETRO 13 MM - COMPR. ÚTIL 100 MM)</t>
  </si>
  <si>
    <t>BROCA (COROA + CÁLICE) DENTADA DIAMANTADA - DIÂMETRO=20MM (3/4")</t>
  </si>
  <si>
    <t>CONJUNTO MOTOR BOMBA 1/2 HP OU CV-20MCA-VAZÃO 1M3/H-TRIF. P/ BOMBEAMENTO DE ÁGUA POTÁVEL - TIPO DARKA MOD. CA2</t>
  </si>
  <si>
    <t>CONJUNTO MOTOR BOMBA 3/4 HP OU CV-22,3MCA-VAZÃO 3M3/H-TRIF. P/ BOMBEAMENTO DE ÁGUA POTÁVEL - TIPO DARKA MOD. CA3</t>
  </si>
  <si>
    <t>CONJUNTO MOTOR BOMBA 1 HP OU CV- 25,3MCA-VAZÃO 3M3/H-TRIF. P/ BOMBEAMENTO DE ÁGUA POTÁVEL - TIPO DARKA MOD. CA4</t>
  </si>
  <si>
    <t>CONJUNTO MOTOR BOMBA 2 HP OU CV- 33MCA-VAZÃO 6M3/H-TRIF. P/ BOMBEAMENTO DE ÁGUA POTÁVEL - TIPO DARKA MOD. CH6</t>
  </si>
  <si>
    <t>CONJUNTO MOTOR BOMBA 3 HP OU CV- 36,5MCA-VAZÃO 6M3/H-TRIF. P/ BOMBEAMENTO DE ÁGUA POTÁVEL - TIPO DARKA MOD. CH7</t>
  </si>
  <si>
    <t>CONJUNTO MOTOR BOMBA 4 HP OU CV- 45MCA -VAZÃO 6M3/H-TRIF. P/ BOMBEAMENTO DE ÁGUA POTÁVEL - TIPO DARKA MOD. CH8</t>
  </si>
  <si>
    <t>CONJUNTO MOTOR BOMBA 5 HP OU CV- 53MCA -VAZÃO 6M3/H-TRIF. P/ BOMBEAMENTO DE ÁGUA POTÁVEL - TIPO DARKA MOD. CH9</t>
  </si>
  <si>
    <t>CONJUNTO MOTOR-BOMBA 80M3/H, 20MCA, 7,5CV, 3500 RPM, 220/380V, TRIFÁSICO</t>
  </si>
  <si>
    <t>CONJUNTO MOTOR BOMBA 112M3/H, 20MCA, 10CV, 3500 RPM, 220/380V, TRIFÁSICO</t>
  </si>
  <si>
    <t>CONJUNTO MOTOR BOMBA 160M3/H, 20MCA, 15CV, 1750 RPM, 220/380V, TRIFÁSICO</t>
  </si>
  <si>
    <t>CONJUNTO MOTOR BOMBA 240M3/H, 20MCA, 20CV, 1750 RPM, 220/380V, TRIFÁSICO</t>
  </si>
  <si>
    <t>CONJUNTO MOTOR BOMBA 270M3/H, 20MCA, 25CV, 1750 RPM, 220/380V, TRIFÁSICO</t>
  </si>
  <si>
    <t>AUTOCLAVE - CAPACIDADE 54 LITROS (SEM ACESSÓRIOS)</t>
  </si>
  <si>
    <t>SERRA DIAMANTADA P/ CONCRETO/PISO - 450MM - C/ FURO DE 25MM (P/ SER UTILIZADA EM SERRA CIRCULAR C/ 13 CM PROFUNDIDADE)</t>
  </si>
  <si>
    <t>BROCA OCA DE SONDAGEM COROA AWG DIAMANTADA IMPREGNADA</t>
  </si>
  <si>
    <t>BROCA OCA DE SONDAGEM COROA BWG DIAMANTADA IMPREGNADA</t>
  </si>
  <si>
    <t>BROCA OCA DE SONDAGEM COROA NWG DIAMANTADA IMPREGNADA</t>
  </si>
  <si>
    <t>BROCA OCA DE SONDAGEM COROA HWG DIAMANTADA IMPREGNADA</t>
  </si>
  <si>
    <t>FERRAMENTA DE CORTE - W.5/20X - WIRTGEN (CONJUNTO C/ 92 UN) (DENTE P/ FRESADORAS W100 / 1000L  / 1000C /  2000C)</t>
  </si>
  <si>
    <t>PORTA DENTES (BITS) HT 11 R - WIRTGEN (CONJUNTO C/ 80 UN) PARA FRESADORAS W100 / 1000L  / 1000C /  2000C</t>
  </si>
  <si>
    <t>ÁLCOOL COMBUSTÍVEL - PREÇO BOMBA</t>
  </si>
  <si>
    <t>GASOLINA COMUM - PREÇO BOMBA</t>
  </si>
  <si>
    <t>ÓLEO COMBUSTÍVEL BPF ( COM TAXA DE BOMBA )</t>
  </si>
  <si>
    <t>ÓLEO DIESEL - COMUM - PREÇO BOMBA</t>
  </si>
  <si>
    <t>ENERGIA ELÉTRICA</t>
  </si>
  <si>
    <t>KWH</t>
  </si>
  <si>
    <t>2C 10 18 00 51 25</t>
  </si>
  <si>
    <t>Bucha PVC soldável de redução longa Ø 110 mm x Ø 75 mm</t>
  </si>
  <si>
    <t>2C 10 18 00 51 20</t>
  </si>
  <si>
    <t>Bucha PVC soldável de redução longa Ø 60 mm x Ø 40 mm</t>
  </si>
  <si>
    <t>2C 10 18 00 63 14</t>
  </si>
  <si>
    <t>Curva 45º PVC PBV longa para esgoto Ø 75 mm</t>
  </si>
  <si>
    <t>2C 10 18 00 51 15</t>
  </si>
  <si>
    <t>Bucha PVC soldável de redução longa Ø 50 mm x Ø 20 mm</t>
  </si>
  <si>
    <t>2C 10 18 00 64 01</t>
  </si>
  <si>
    <t>Curva 45º PVC PBV longa para esgoto Ø 150 mm</t>
  </si>
  <si>
    <t>2C 10 18 00 63 25</t>
  </si>
  <si>
    <t>Curva 90º PVC PBV longa para esgoto Ø 150 mm</t>
  </si>
  <si>
    <t>2C 14 13 09 28 09</t>
  </si>
  <si>
    <t>Eletrocalha aço galvanizado # 22, lisa tipo "U", sem tampa 75 x 50 mm</t>
  </si>
  <si>
    <t>m</t>
  </si>
  <si>
    <t>2C 14 13 07 00 00 00 20 14</t>
  </si>
  <si>
    <t>Tampa de encaixe para eletrocalha aço galvanizado perfurada ou lisa, 75 mm</t>
  </si>
  <si>
    <t>Suporte suspensão vertical para eletrocalha 75 x 50 mm largura x aba</t>
  </si>
  <si>
    <t>2C 14 13 07 00 00 00 13 61</t>
  </si>
  <si>
    <t>RESUMO DOS ENCARGOS SOCIAIS SEM DESONERAÇÃO PARA O EMPREGADOR</t>
  </si>
  <si>
    <t>C.02.000.020910</t>
  </si>
  <si>
    <t>Marco de concreto tronco pirâmide de 60x08x12cm, padrão INCRA</t>
  </si>
  <si>
    <t>S.03.000.033070</t>
  </si>
  <si>
    <t xml:space="preserve">Agente de cura, retardador de evaporação da água e protetor de umidade do concreto </t>
  </si>
  <si>
    <t>S.03.000.049580</t>
  </si>
  <si>
    <t>S.07.000.091714</t>
  </si>
  <si>
    <t>2C 04 07 03 00 29</t>
  </si>
  <si>
    <t>Tinta a base de borracha clorada</t>
  </si>
  <si>
    <t>l</t>
  </si>
  <si>
    <t>4.75.73</t>
  </si>
  <si>
    <t>4.75.63</t>
  </si>
  <si>
    <t>APARELHO AR CONDICIONADO HI WALL MINI SPLIT 12.000 BTU/H CICLO FRIO INVERTER 220V COM CONTROLE REMOTO</t>
  </si>
  <si>
    <t>4.75.66</t>
  </si>
  <si>
    <t>APARELHO AR CONDICIONADO HI WALL MINI SPLIT 18.000 BTU/H CICLO FRIO INVERTER 220V COM CONTROLE REMOTO</t>
  </si>
  <si>
    <t>4.75.68</t>
  </si>
  <si>
    <t>APARELHO AR CONDICIONADO HI WALL MINI SPLIT 24.000 BTU/H CICLO FRIO INVERTER 220V COM CONTROLE REMOTO</t>
  </si>
  <si>
    <t>4.75.70</t>
  </si>
  <si>
    <t>APARELHO AR CONDICIONADO HI WALL MINI SPLIT 27.000 BTU/H CICLO FRIO INVERTER 220V COM CONTROLE REMOTO</t>
  </si>
  <si>
    <t>4.75.60</t>
  </si>
  <si>
    <t>APARELHO AR CONDICIONADO HI WALL MINI SPLIT 9.000 BTU/H CICLO FRIO INVERTER 220V COM CONTROLE REMOTO</t>
  </si>
  <si>
    <t>3.67.22</t>
  </si>
  <si>
    <t>2.15.40</t>
  </si>
  <si>
    <t>BARRA DE POLIESTER REFORÇADA COM FIBRA DE VIDRO (PRFV) MEDIA DAS BITOLAS</t>
  </si>
  <si>
    <t>4.96.83</t>
  </si>
  <si>
    <t xml:space="preserve">BARRAMENTO COBRE 100 AMPERES  5/8  x  1 /8  </t>
  </si>
  <si>
    <t>4.96.90</t>
  </si>
  <si>
    <t xml:space="preserve">BARRAMENTO COBRE 1000 AMPERES  1 3 /4 x 1/2  </t>
  </si>
  <si>
    <t>4.96.84</t>
  </si>
  <si>
    <t>4.96.85</t>
  </si>
  <si>
    <t xml:space="preserve">BARRAMENTO COBRE 200 AMPERES  3/4  x  3/16  </t>
  </si>
  <si>
    <t>4.96.81</t>
  </si>
  <si>
    <t xml:space="preserve">BARRAMENTO COBRE 30 AMPERES 1/4 x 3/32  </t>
  </si>
  <si>
    <t>4.96.82</t>
  </si>
  <si>
    <t xml:space="preserve">BARRAMENTO COBRE 60 AMPERES  3/8  x  1/8    </t>
  </si>
  <si>
    <t>CABO DE COBRE NU 50 MM2 CONFORME NBR 6524</t>
  </si>
  <si>
    <t>CABO DE COBRE NU DE 10 MM2 CONFORME NBR 6524</t>
  </si>
  <si>
    <t>CABO DE COBRE NU DE 120 MM2 CONFORME NBR 6524</t>
  </si>
  <si>
    <t>CABO DE COBRE NU DE 16 MM2 CONFORME NBR 6524</t>
  </si>
  <si>
    <t>CABO DE COBRE NU DE 25 MM2 CONFORME NBR 6524</t>
  </si>
  <si>
    <t>CABO DE COBRE NU DE 35 MM2 CONFORME NBR 6524</t>
  </si>
  <si>
    <t>CABO DE COBRE NU DE 6 MM2 CONFORME NBR 6524</t>
  </si>
  <si>
    <t>CABO DE COBRE NU DE 70 MM2 CONFORME NBR 6524</t>
  </si>
  <si>
    <t>CABO DE COBRE NU DE 95 MM2 CONFORME NBR 6524</t>
  </si>
  <si>
    <t>CABO DE COBRE SINGELO DE 35 MM2 TENSÃO NOMINAL 8,7/15 KV (ISOLAÇAO NAO HALOGENADO)</t>
  </si>
  <si>
    <t>CABO DE POT UNIPOLAR CLASSE 15KV 25MM2 (ISOLAÇAO NAO HALOGENADO)</t>
  </si>
  <si>
    <t>CABO DE POT UNIPOLAR CLASSE 15KV 35MM2 (ISOLAÇAO NAO HALOGENADO)</t>
  </si>
  <si>
    <t>CABO FLEXIVEL DE COBRE 1,5MM2 750V (ISOLAÇAO NAO HALOGENADO)</t>
  </si>
  <si>
    <t>CABO FLEXIVEL DE COBRE 10 MM2 750V (ISOLAÇAO NAO HALOGENADO)</t>
  </si>
  <si>
    <t>CABO FLEXIVEL DE COBRE 120 MM2 750V (ISOLAÇAO NAO HALOGENADO)</t>
  </si>
  <si>
    <t>CABO FLEXIVEL DE COBRE 150 MM2 750V (ISOLAÇAO NAO HALOGENADO)</t>
  </si>
  <si>
    <t>CABO FLEXIVEL DE COBRE 16 MM2 750V (ISOLAÇAO NAO HALOGENADO)</t>
  </si>
  <si>
    <t>CABO FLEXIVEL DE COBRE 185 MM2 750V (ISOLAÇAO NAO HALOGENADO)</t>
  </si>
  <si>
    <t>CABO FLEXIVEL DE COBRE 2,5MM2 750V (ISOLAÇAO NAO HALOGENADO)</t>
  </si>
  <si>
    <t>CABO FLEXIVEL DE COBRE 240 MM2 750V (ISOLAÇAO NAO HALOGENADO)</t>
  </si>
  <si>
    <t>CABO FLEXIVEL DE COBRE 25 MM2 750V (ISOLAÇAO NAO HALOGENADO)</t>
  </si>
  <si>
    <t>CABO FLEXIVEL DE COBRE 35 MM2 750V (ISOLAÇAO NAO HALOGENADO)</t>
  </si>
  <si>
    <t>CABO FLEXIVEL DE COBRE 4MM2 750V (ISOLAÇAO NAO HALOGENADO)</t>
  </si>
  <si>
    <t>CABO FLEXIVEL DE COBRE 50 MM2 750V (ISOLAÇAO NAO HALOGENADO)</t>
  </si>
  <si>
    <t>CABO FLEXIVEL DE COBRE 6 MM2 750V (ISOLAÇAO NAO HALOGENADO)</t>
  </si>
  <si>
    <t>CABO FLEXIVEL DE COBRE 70 MM2 750V (ISOLAÇAO NAO HALOGENADO)</t>
  </si>
  <si>
    <t>CABO FLEXIVEL DE COBRE 95 MM2 750V (ISOLAÇAO NAO HALOGENADO)</t>
  </si>
  <si>
    <t>CABO FLEXIVEL DE COBRE MULTIPOLAR PP 3x2,5 MM2 0,6/1KV (ISOLAÇAO NAO HALOGENADO)</t>
  </si>
  <si>
    <t>4.51.73</t>
  </si>
  <si>
    <t>CAIXA DE PASSAGEM PLASTICA DE 4X2 COM TAMPA REMOVIVEL E ESPAÇADOR DE 10CM</t>
  </si>
  <si>
    <t>4.51.74</t>
  </si>
  <si>
    <t>CAIXA DE PASSAGEM PLASTICA DE 4X2 COM TAMPA REMOVIVEL E ESPAÇADOR DE 12CM</t>
  </si>
  <si>
    <t>4.51.75</t>
  </si>
  <si>
    <t>CAIXA DE PASSAGEM PLASTICA DE 4X2 COM TAMPA REMOVIVEL E ESPAÇADOR DE 14CM</t>
  </si>
  <si>
    <t>4.51.76</t>
  </si>
  <si>
    <t>CAIXA DE PASSAGEM PLASTICA DE 4X2 COM TAMPA REMOVIVEL E ESPAÇADOR DE 16CM</t>
  </si>
  <si>
    <t>4.51.77</t>
  </si>
  <si>
    <t>CAIXA DE PASSAGEM PLASTICA DE 4X4 COM TAMPA REMOVIVEL E ESPAÇADOR DE 10CM</t>
  </si>
  <si>
    <t>4.51.78</t>
  </si>
  <si>
    <t>CAIXA DE PASSAGEM PLASTICA DE 4X4 COM TAMPA REMOVIVEL E ESPAÇADOR DE 12CM</t>
  </si>
  <si>
    <t>4.51.79</t>
  </si>
  <si>
    <t>CAIXA DE PASSAGEM PLASTICA DE 4X4 COM TAMPA REMOVIVEL E ESPAÇADOR DE 14CM</t>
  </si>
  <si>
    <t>4.51.80</t>
  </si>
  <si>
    <t>CAIXA DE PASSAGEM PLASTICA DE 4X4 COM TAMPA REMOVIVEL E ESPAÇADOR DE 16CM</t>
  </si>
  <si>
    <t>4.51.83</t>
  </si>
  <si>
    <t>CAIXA DE PASSAGEM PLASTICA DECAGONAL COM TAMPA</t>
  </si>
  <si>
    <t>4.51.82</t>
  </si>
  <si>
    <t>CAIXA DE PASSAGEM PLASTICA OCTAGONAL COM TAMPA</t>
  </si>
  <si>
    <t>4.51.81</t>
  </si>
  <si>
    <t>CAIXA DE PASSAGEM PLASTICA SEXTAVADA COM TAMPA</t>
  </si>
  <si>
    <t>CALHA P/LUMINARIA EMBUTIR C/DIFUSOR TRANSLUCIDO (IL-70) COM SOQUETES P/ DUAS LAMPADAS LED TUBULAR 60 CM</t>
  </si>
  <si>
    <t>CALHA P/LUMINARIA EMBUTIR C/DIFUSOR TRANSLUCIDO (IL-71) COM SOQUETES P/ DUAS LAMPADAS LED TUBULAR 120 CM</t>
  </si>
  <si>
    <t>CALHA P/LUMINARIA EMBUTIR C/REFLETOR E ALETAS (IL-61) COM SOQUETES P/ DUAS LAMPADAS LED TUBULAR 120 CM</t>
  </si>
  <si>
    <t>CALHA P/LUMINARIA EMBUTIR C/REFLETOR E ALETAS (IL-63) COM SOQUETES P/ QUATRO LAMPADAS LED TUBULAR 60 CM</t>
  </si>
  <si>
    <t>CALHA P/LUMINARIA EMBUTIR C/REFLETOR E ALETAS (IL-78) COM SOQUETES P/ DUAS LAMPADAS LED TUBULAR 120 CM</t>
  </si>
  <si>
    <t>CALHA P/LUMINARIA EMBUTIR C/REFLETOR SEM ALETAS (IL-66) COM SOQUETES P/ UMA LAMPADA LED TUBULAR 120 CM</t>
  </si>
  <si>
    <t>CALHA P/LUMINARIA EMBUTIR C/REFLETOR SEM ALETAS (IL-67) COM SOQUETES P/ DUAS LAMPADAS LED TUBULAR 120 CM</t>
  </si>
  <si>
    <t>CALHA P/LUMINARIA EMBUTIR C/REFLETOR SEM ALETAS (IL-80) COM SOQUETES P/ DUAS LAMPADAS LED TUBULAR 120 CM</t>
  </si>
  <si>
    <t>CALHA P/LUMINARIA FLUOR 1X32W C/REFL ALUM E SOQUETE</t>
  </si>
  <si>
    <t>CALHA P/LUMINARIA FLUOR 2X32W C/REFL ALUM E SOQUETE</t>
  </si>
  <si>
    <t>CALHA P/LUMINARIA SOBREPOR C/DIFUSOR TRANSLUCIDO (IL-68 ) COM SOQUETES P/ DUAS LAMPADAS LED TUBULAR 60 CM</t>
  </si>
  <si>
    <t>CALHA P/LUMINARIA SOBREPOR C/DIFUSOR TRANSLUCIDO (IL-69 ) COM SOQUETES P/ DUAS LAMPADAS LED TUBULAR 120 CM</t>
  </si>
  <si>
    <t>CALHA P/LUMINARIA SOBREPOR C/REFLETOR E ALETAS (IL-62) COM SOQUETES P/ QUATRO LAMPADAS LED TUBULAR 60 CM</t>
  </si>
  <si>
    <t>CALHA P/LUMINARIA SOBREPOR C/REFLETOR E ALETAS (IL-75) COM SOQUETES P/ DUAS LAMPADAS LED TUBULAR 120 CM</t>
  </si>
  <si>
    <t>CALHA P/LUMINARIA SOBREPOR C/REFLETOR EM ALUMINIO (IL-73 / (IL-81)) COM SOQUETES P/ UMA LAMPADA LED TUBULAR 120 CM</t>
  </si>
  <si>
    <t>CALHA P/LUMINARIA SOBREPOR C/REFLETOR EM ALUMINIO (IL-74 / (IL-82)) COM SOQUETES P/ DUAS LAMPADAS LED TUBULAR 120 CM</t>
  </si>
  <si>
    <t>CALHA PARA LUMINARIA SOBREPOR C/ DIFUSOR TRANSPARENTE (IL-42) COM SOQUETES P/ DUAS LAMPADAS LED TUBULAR 120 CM</t>
  </si>
  <si>
    <t>CALHA PARA LUMINARIA SOBREPOR C/ DIFUSOR TRANSPARENTE (IL-77) COM SOQUETES P/ DUAS LAMPADAS LED TUBULAR 120 CM</t>
  </si>
  <si>
    <t>2.05.40</t>
  </si>
  <si>
    <t>CONCRETO AUTOADENSAVEL DOSADO, BOMBEADO E LANCADO FCK=30MPA FCK30MPA SLUMP S220</t>
  </si>
  <si>
    <t>2.56.96</t>
  </si>
  <si>
    <t>CUMEEIRA ACO GALV. PINT PO/COIL-COATING PERFIL OND/TRAP E=0,80M H ATE 40MM</t>
  </si>
  <si>
    <t>2.56.98</t>
  </si>
  <si>
    <t>9.10.74</t>
  </si>
  <si>
    <t>DESINFETANTE LIQUIDO MULTIUSO</t>
  </si>
  <si>
    <t>2.12.20</t>
  </si>
  <si>
    <t>DESMOLDANTE DE FORMA MADEIRA RESINADA / PLASTIFICADA E FORMA METALICA</t>
  </si>
  <si>
    <t>9.10.31</t>
  </si>
  <si>
    <t>DETERGENTE NEUTRO USO GERAL, CONCENTRADO</t>
  </si>
  <si>
    <t>3.05.05</t>
  </si>
  <si>
    <t>FD-35 FECHAMENTO DE DIVISA GRADIL PLASTICO MODULO 600X400CM</t>
  </si>
  <si>
    <t>3.50.08</t>
  </si>
  <si>
    <t>FD-36 FECHAMENTO DE DIVISA GRADIL POLIESTER REFORÇADO COM FIBRA DE VIDRO</t>
  </si>
  <si>
    <t>2.12.14</t>
  </si>
  <si>
    <t>FORMAS ALUMINIO E ACESSORIOS PARA MOLDAGEM PAREDE DE CONCRETO INCLUSIVE MONTAGEM E DESMONTAGEM</t>
  </si>
  <si>
    <t>3.90.22</t>
  </si>
  <si>
    <t>FORNECIM.E MONTAGEM PAREDE STEEL FRAME INCLUSIVE PLACA CIMENTICIA GESSO ACARTONADO E ISOLANTE LÃ DE ROCHA</t>
  </si>
  <si>
    <t>3.90.80</t>
  </si>
  <si>
    <t>FORNECIMENTO E MONTAGEM DE ESTRUURA PRÉ-FABRICADA.DE MADEIRA LAMINADA</t>
  </si>
  <si>
    <t>9.10.75</t>
  </si>
  <si>
    <t>LIMPA VIDROS PULVERIZADOR SPRAY</t>
  </si>
  <si>
    <t>4.75.13</t>
  </si>
  <si>
    <t>LOCAÇAO MENSAL INCLUSIVE INSTALAÇAO SISTEMA PROTEÇAO ELETRONICA ANODICA ANTICORROSIVA</t>
  </si>
  <si>
    <t>2.40.26</t>
  </si>
  <si>
    <t>LONA TENSIONADA COM MEMBRANA ARMADA EM TELA DE POLIESTER</t>
  </si>
  <si>
    <t>3.67.21</t>
  </si>
  <si>
    <t>MANTA EM PVC FLEXÍVEL, E=1,2MM PARA PROTEÇÃO DE PISO DE QUADRA</t>
  </si>
  <si>
    <t>3.55.12</t>
  </si>
  <si>
    <t>MANTA VINILICA L= 2,00M E=2MM PUR INCLUSO RODAPE CURVO 10 CM FORNECIDO E INSTALADO</t>
  </si>
  <si>
    <t>3.75.31</t>
  </si>
  <si>
    <t>PINTURA DE LINHAS DEMARCATORIAS DE QUADRA DE ESPORTES ATÉ 10 CM BORRACHA CLORADA</t>
  </si>
  <si>
    <t>3.75.32</t>
  </si>
  <si>
    <t>PINTURA DE LINHAS DEMARCATORIAS DE QUADRA DE ESPORTES ATÉ 10 CM EPÓXI</t>
  </si>
  <si>
    <t>3.75.33</t>
  </si>
  <si>
    <t>PINTURA PISO DE QUADRA DE ESPORTES BORRACHA CLORADA</t>
  </si>
  <si>
    <t>3.75.34</t>
  </si>
  <si>
    <t>PINTURA PISO DE QUADRA DE ESPORTES EPÓXI</t>
  </si>
  <si>
    <t>3.55.07</t>
  </si>
  <si>
    <t>PISO ESPORTIVO DE BORRACHA NATURAL (100% LATEX) E REGULARIZAÇAO DO PISO DE CONCRETO</t>
  </si>
  <si>
    <t>3.55.66</t>
  </si>
  <si>
    <t>PISO ESPORTIVO FLEXÍVEL PLACAS MODULARES DE POLIPROPILENO ALTO-IMPACTO INCLUSO INSTALAÇÃO</t>
  </si>
  <si>
    <t>3.55.55</t>
  </si>
  <si>
    <t>PISO PARA ATLETISMO EM BORRACHA NATURAL, INCLUSO INSTALAÇÃO COM ADESIVO</t>
  </si>
  <si>
    <t>3.55.09</t>
  </si>
  <si>
    <t>PISO SINTETICO VINILICO ESPORTIVO EM PVC E REGULARIZAÇAO DO PISO DE CONCRETO</t>
  </si>
  <si>
    <t>3.55.22</t>
  </si>
  <si>
    <t>PISO VINILICO 60X60 CM ESPESSURA 3MM FORNECIDO E INSTALADO</t>
  </si>
  <si>
    <t>4.51.84</t>
  </si>
  <si>
    <t>PROLONGADOR CAIXA DE PASSAGEM PLASTICA</t>
  </si>
  <si>
    <t>3.67.07</t>
  </si>
  <si>
    <t>QUADRA PADRÃO PILARES PRÉ MOLDADO COBERT. ESTRUT.METÁLICA E TELHAS METÁL. SANDUÍCHE - EXCLUSOS PISO</t>
  </si>
  <si>
    <t>4.11.06</t>
  </si>
  <si>
    <t xml:space="preserve">QUADRO DISTR CAPAC P/ 12 POSIÇOES CAIXA PLASTICO NÃO PROPOGANTE DE CHAMA C/ BARRAMENTO       </t>
  </si>
  <si>
    <t>4.11.08</t>
  </si>
  <si>
    <t>QUADRO DISTR CAPAC P/ 24 POSIÇOES CAIXA PLASTICO NÃO PROPOGANTE DE CHAMA   C/ BARRAMENTO</t>
  </si>
  <si>
    <t>2.60.15</t>
  </si>
  <si>
    <t>RUFO DENTADO ACO GALV ACABAMENTO NATURAL E=0,65MM CORTE ACIMA DE 600MM</t>
  </si>
  <si>
    <t>2.55.38</t>
  </si>
  <si>
    <t>RUFO DENTADO ACO GALV ACABAMENTO NATURAL E=0,80MM CORTE ACIMA DE 600MM</t>
  </si>
  <si>
    <t>2.55.35</t>
  </si>
  <si>
    <t>2.55.36</t>
  </si>
  <si>
    <t>2.55.37</t>
  </si>
  <si>
    <t>2.60.09</t>
  </si>
  <si>
    <t>RUFO DENTADO ACO GALV PINT E=0,65MM CORTE ACIMA DE 600MM</t>
  </si>
  <si>
    <t>2.55.45</t>
  </si>
  <si>
    <t>2.55.39</t>
  </si>
  <si>
    <t>2.55.41</t>
  </si>
  <si>
    <t>2.55.42</t>
  </si>
  <si>
    <t>2.60.14</t>
  </si>
  <si>
    <t>RUFO LISO ACO GALV ACABAMENTO NATURAL E=0,65MM CORTE ACIMA DE 600MM</t>
  </si>
  <si>
    <t>2.60.11</t>
  </si>
  <si>
    <t>RUFO LISO ACO GALV PINT E=0,65MM CORTE ACIMA DE 600MM</t>
  </si>
  <si>
    <t>2.55.46</t>
  </si>
  <si>
    <t>2.55.52</t>
  </si>
  <si>
    <t>2.55.47</t>
  </si>
  <si>
    <t>2.55.48</t>
  </si>
  <si>
    <t>2.55.34</t>
  </si>
  <si>
    <t>RUFO LISO DE ACO GALV ACABAMENTO NATURAL E=0,80MM CORTE ACIMA DE 600MM</t>
  </si>
  <si>
    <t>2.55.31</t>
  </si>
  <si>
    <t>2.55.32</t>
  </si>
  <si>
    <t>2.55.33</t>
  </si>
  <si>
    <t>4.11.14</t>
  </si>
  <si>
    <t>TAMPA ACESSO E PLACA PROTEÇAO ATE 24 POSIÇOES</t>
  </si>
  <si>
    <t>4.11.13</t>
  </si>
  <si>
    <t>TAMPA DE ACESSO E PLACA PROTEÇAO ATE 12 POSIÇOES</t>
  </si>
  <si>
    <t>2.15.23</t>
  </si>
  <si>
    <t>TELA DE POLIESTER REFORÇADA COM FIBRA DE VIDRO (PRFV ) MALHA QUADRADA 10CM X  10CM DENSIDADE 0,58 KG/M2</t>
  </si>
  <si>
    <t>2.15.47</t>
  </si>
  <si>
    <t>TELA DE POLIESTER REFORÇADA COM FIBRA DE VIDRO (PRFV ) MALHA QUADRADA 10CM X 10CM DENSIDADE 0,37 KG/M2</t>
  </si>
  <si>
    <t>2.15.26</t>
  </si>
  <si>
    <t>TELA DE POLIESTER REFORÇADA COM FIBRA DE VIDRO (PRFV ) MALHA QUADRADA 10CM X 10CM DENSIDADE 2,05 KG/M2</t>
  </si>
  <si>
    <t>2.15.21</t>
  </si>
  <si>
    <t>TELA DE POLIESTER REFORÇADA COM FIBRA DE VIDRO (PRFV )MALHA QUADRADA 15CM X 15CM DENSIDADE 0,38 KG/M2</t>
  </si>
  <si>
    <t>2.56.92</t>
  </si>
  <si>
    <t>2.56.94</t>
  </si>
  <si>
    <t>TELHA GALVALUME / ACO GALV ACABAMENTO NATURAL TRAPEZ H=100MM .E=0,80MM</t>
  </si>
  <si>
    <t>2.56.93</t>
  </si>
  <si>
    <t>TELHA GALVALUME / ACO GALV ACABAMENTO.NATURAL TRAPEZ H=40MM .E=0,80MM</t>
  </si>
  <si>
    <t>2.56.90</t>
  </si>
  <si>
    <t>TELHA GALVALUME / ACO GALV PINT 1 FACE PO OU COIL-COATING ONDULADA CRFS E=0,80MM</t>
  </si>
  <si>
    <t>2.56.91</t>
  </si>
  <si>
    <t>4.94.44</t>
  </si>
  <si>
    <t xml:space="preserve">TERMINAL COMPRESSA CABO 70MM2  </t>
  </si>
  <si>
    <t>4.94.40</t>
  </si>
  <si>
    <t xml:space="preserve">TERMINAL COMPRESSAO CABO 10MM2  </t>
  </si>
  <si>
    <t>4.94.46</t>
  </si>
  <si>
    <t xml:space="preserve">TERMINAL COMPRESSAO CABO 120MM2  </t>
  </si>
  <si>
    <t>4.94.47</t>
  </si>
  <si>
    <t xml:space="preserve">TERMINAL COMPRESSAO CABO 150MM2  </t>
  </si>
  <si>
    <t>4.94.43</t>
  </si>
  <si>
    <t xml:space="preserve">TERMINAL COMPRESSAO CABO 50MM2  </t>
  </si>
  <si>
    <t>3.76.20</t>
  </si>
  <si>
    <t>TINTA COM PRINCIPIO ATIVO CONTROLE DE INSETOS A BASE AGUA</t>
  </si>
  <si>
    <t>RAMPA DE ACESSIBILIDADE EM CONCRETO PRÉ MOLDADO, EM CALÇADA NOVA COM LARGURA MAIOR OU IGUAL À 3,00 M, FCK 25MPA, COM PISO PODOTÁTIL. AF_03/2024</t>
  </si>
  <si>
    <t>RAMPA DE ACESSIBILIDADE EM CONCRETO PRÉ MOLDADO, EM CALÇADA PRÉ EXISTENTE COM LARGURA MAIOR OU IGUAL À 3,00 M, FCK 25MPA, COM PISO PODOTÁTIL. AF_03/2024</t>
  </si>
  <si>
    <t>RAMPA DE ACESSIBILIDADE PARA ACESSO A EDIFICAÇÕES COM INCLINAÇÃO DE 8,33% EM CONCRETO MOLDADO IN LOCO, COM LARGURA DE 1,20M, FCK 25MPA, NÃO ARMADA, COM JUNTA A CADA 2M COM CORTE À SECO. AF_03/2024</t>
  </si>
  <si>
    <t>RAMPA DE ACESSIBILIDADE PARA ACESSO A EDIFICAÇÕES COM INCLINAÇÃO DE 8,33% EM CONCRETO MOLDADO IN LOCO, COM LARGURA DE 1,50M, FCK 25MPA, NÃO ARMADA, COM JUNTA A CADA 2M COM CORTE À SECO. AF_03/2024</t>
  </si>
  <si>
    <t>ALVENARIA DE BLOCOS DE CONCRETO ESTRUTURAL 14X19X29 CM (ESPESSURA 14 CM), FBK = 8 MPA, UTILIZANDO COLHER DE PEDREIRO. AF_10/2022</t>
  </si>
  <si>
    <t>ALVENARIA DE BLOCOS DE CONCRETO ESTRUTURAL 14X19X29 CM (ESPESSURA 14 CM), FBK = 8 MPA, UTILIZANDO PALHETA. AF_10/2022</t>
  </si>
  <si>
    <t>ALVENARIA DE BLOCOS DE CONCRETO ESTRUTURAL 14X19X39 CM (ESPESSURA 14 CM), FBK = 8 MPA, UTILIZANDO COLHER DE PEDREIRO. AF_10/2022</t>
  </si>
  <si>
    <t>ALVENARIA DE BLOCOS DE CONCRETO ESTRUTURAL 14X19X39 CM (ESPESSURA 14 CM), FBK = 8 MPA, UTILIZANDO PALHETA. AF_10/2022</t>
  </si>
  <si>
    <t>ARGAMASSA TRAÇO 1:1,5:7,5 (EM VOLUME DE CIMENTO, CAL E AREIA MÉDIA ÚMIDA) PARA EMBOÇO/MASSA ÚNICA/ASSENTAMENTO DE ALVENARIA DE VEDAÇÃO, PREPARO MECÂNICO COM BETONEIRA 250 L. AF_08/2019</t>
  </si>
  <si>
    <t>ARGAMASSA TRAÇO 1:1:6 (EM VOLUME DE CIMENTO, CAL E AREIA MÉDIA ÚMIDA) PARA EMBOÇO/MASSA ÚNICA/ASSENTAMENTO DE ALVENARIA DE VEDAÇÃO, PREPARO MECÂNICO COM BETONEIRA 250 L. AF_08/2019</t>
  </si>
  <si>
    <t>ARGAMASSA TRAÇO 1:2:8 (EM VOLUME DE CIMENTO, CAL E AREIA MÉDIA ÚMIDA) PARA EMBOÇO/MASSA ÚNICA/ASSENTAMENTO DE ALVENARIA DE VEDAÇÃO, PREPARO MECÂNICO COM BETONEIRA 250 L. AF_08/2019</t>
  </si>
  <si>
    <t>ARGAMASSA TRAÇO 1:2:9 (EM VOLUME DE CIMENTO, CAL E AREIA MÉDIA ÚMIDA) PARA EMBOÇO/MASSA ÚNICA/ASSENTAMENTO DE ALVENARIA DE VEDAÇÃO, PREPARO MECÂNICO COM BETONEIRA 250 L. AF_08/2019</t>
  </si>
  <si>
    <t>ARGAMASSA TRAÇO 1:3 (EM VOLUME DE CIMENTO E AREIA GROSSA ÚMIDA) COM ADIÇÃO DE EMULSÃO POLIMÉRICA PARA CHAPISCO ROLADO, PREPARO MECÂNICO COM BETONEIRA 250 L. AF_08/2019</t>
  </si>
  <si>
    <t>ARGAMASSA TRAÇO 1:3 (EM VOLUME DE CIMENTO E AREIA GROSSA ÚMIDA) PARA CHAPISCO CONVENCIONAL, PREPARO MECÂNICO COM BETONEIRA 250 L. AF_08/2019</t>
  </si>
  <si>
    <t>ARGAMASSA TRAÇO 1:3 (EM VOLUME DE CIMENTO E AREIA MÉDIA ÚMIDA) COM ADIÇÃO DE IMPERMEABILIZANTE, PREPARO MECÂNICO COM BETONEIRA 250 L. AF_08/2019</t>
  </si>
  <si>
    <t>ARGAMASSA TRAÇO 1:3 (EM VOLUME DE CIMENTO E AREIA MÉDIA ÚMIDA) PARA CONTRAPISO, PREPARO MECÂNICO COM BETONEIRA 250 L. AF_08/2019</t>
  </si>
  <si>
    <t>ARGAMASSA TRAÇO 1:4 (EM VOLUME DE CIMENTO E AREIA GROSSA ÚMIDA) COM ADIÇÃO DE EMULSÃO POLIMÉRICA PARA CHAPISCO ROLADO, PREPARO MECÂNICO COM BETONEIRA 250 L. AF_08/2019</t>
  </si>
  <si>
    <t>ARGAMASSA TRAÇO 1:4 (EM VOLUME DE CIMENTO E AREIA GROSSA ÚMIDA) PARA CHAPISCO CONVENCIONAL, PREPARO MECÂNICO COM BETONEIRA 250 L. AF_08/2019</t>
  </si>
  <si>
    <t>ARGAMASSA TRAÇO 1:4 (EM VOLUME DE CIMENTO E AREIA MÉDIA ÚMIDA) COM ADIÇÃO DE IMPERMEABILIZANTE, PREPARO MECÂNICO COM BETONEIRA 250 L. AF_08/2019</t>
  </si>
  <si>
    <t>ARGAMASSA TRAÇO 1:4 (EM VOLUME DE CIMENTO E AREIA MÉDIA ÚMIDA) PARA CONTRAPISO, PREPARO MECÂNICO COM BETONEIRA 250 L. AF_08/2019</t>
  </si>
  <si>
    <t>ARGAMASSA TRAÇO 1:4 (EM VOLUME DE CIMENTO E AREIA MÉDIA ÚMIDA), PREPARO MECÂNICO COM BETONEIRA 250 L. AF_08/2019</t>
  </si>
  <si>
    <t>ARGAMASSA TRAÇO 1:5 (EM VOLUME DE CIMENTO E AREIA GROSSA ÚMIDA) COM ADIÇÃO DE EMULSÃO POLIMÉRICA PARA CHAPISCO ROLADO, PREPARO MECÂNICO COM BETONEIRA 250 L. AF_08/2019</t>
  </si>
  <si>
    <t>ARGAMASSA TRAÇO 1:5 (EM VOLUME DE CIMENTO E AREIA GROSSA ÚMIDA) PARA CHAPISCO CONVENCIONAL, PREPARO MECÂNICO COM BETONEIRA 250 L. AF_08/2019</t>
  </si>
  <si>
    <t>ARGAMASSA TRAÇO 1:5 (EM VOLUME DE CIMENTO E AREIA MÉDIA ÚMIDA) PARA CONTRAPISO, PREPARO MECÂNICO COM BETONEIRA 250 L. AF_08/2019</t>
  </si>
  <si>
    <t>ARGAMASSA TRAÇO 1:6 (EM VOLUME DE CIMENTO E AREIA MÉDIA ÚMIDA) COM ADIÇÃO DE PLASTIFICANTE PARA EMBOÇO/MASSA ÚNICA/ASSENTAMENTO DE ALVENARIA DE VEDAÇÃO, PREPARO MECÂNICO COM BETONEIRA 250 L. AF_08/2019</t>
  </si>
  <si>
    <t>ARGAMASSA TRAÇO 1:6 (EM VOLUME DE CIMENTO E AREIA MÉDIA ÚMIDA) PARA CONTRAPISO, PREPARO MECÂNICO COM BETONEIRA 250 L. AF_08/2019</t>
  </si>
  <si>
    <t>ARGAMASSA TRAÇO 1:7 (EM VOLUME DE CIMENTO E AREIA MÉDIA ÚMIDA) COM ADIÇÃO DE PLASTIFICANTE PARA EMBOÇO/MASSA ÚNICA/ASSENTAMENTO DE ALVENARIA DE VEDAÇÃO, PREPARO MECÂNICO COM BETONEIRA 250 L. AF_08/2019</t>
  </si>
  <si>
    <t>ASSENTAMENTO DE TUBO DE CONCRETO PARA REDES COLETORAS DE ESGOTO SANITÁRIO, DIÂMETRO DE 1200 MM, JUNTA ELÁSTICA, INSTALADO EM LOCAL COM ALTO NÍVEL DE INTERFERÊNCIAS (NÃO INCLUI FORNECIMENTO). AF_03/2024</t>
  </si>
  <si>
    <t>ASSENTAMENTO DE TUBO DE CONCRETO PARA REDES COLETORAS DE ESGOTO SANITÁRIO, DIÂMETRO DE 1200 MM, JUNTA ELÁSTICA, INSTALADO EM LOCAL COM BAIXO NÍVEL DE INTERFERÊNCIAS (NÃO INCLUI FORNECIMENTO). AF_03/2024</t>
  </si>
  <si>
    <t>ASSENTAMENTO DE TUBO DE CONCRETO PARA REDES COLETORAS DE ESGOTO SANITÁRIO, DIÂMETRO DE 1500 MM, JUNTA ELÁSTICA, INSTALADO EM LOCAL COM ALTO NÍVEL DE INTERFERÊNCIAS (NÃO INCLUI FORNECIMENTO). AF_03/2024</t>
  </si>
  <si>
    <t>ASSENTAMENTO DE TUBO DE CONCRETO PARA REDES COLETORAS DE ESGOTO SANITÁRIO, DIÂMETRO DE 1500 MM, JUNTA ELÁSTICA, INSTALADO EM LOCAL COM BAIXO NÍVEL DE INTERFERÊNCIAS (NÃO INCLUI FORNECIMENTO). AF_03/2024</t>
  </si>
  <si>
    <t>TUBO DE CONCRETO PARA REDES COLETORAS DE ESGOTO SANITÁRIO, DIÂMETRO DE 1200 MM, JUNTA ELÁSTICA, INSTALADO EM LOCAL COM ALTO NÍVEL DE INTERFERÊNCIAS - FORNECIMENTO E ASSENTAMENTO. AF_03/2024</t>
  </si>
  <si>
    <t>TUBO DE CONCRETO PARA REDES COLETORAS DE ESGOTO SANITÁRIO, DIÂMETRO DE 1200 MM, JUNTA ELÁSTICA, INSTALADO EM LOCAL COM BAIXO NÍVEL DE INTERFERÊNCIAS - FORNECIMENTO E ASSENTAMENTO. AF_03/2024</t>
  </si>
  <si>
    <t>TUBO DE CONCRETO PARA REDES COLETORAS DE ESGOTO SANITÁRIO, DIÂMETRO DE 1500 MM, JUNTA ELÁSTICA, INSTALADO EM LOCAL COM ALTO NÍVEL DE INTERFERÊNCIAS - FORNECIMENTO E ASSENTAMENTO. AF_03/2024</t>
  </si>
  <si>
    <t>TUBO DE CONCRETO PARA REDES COLETORAS DE ESGOTO SANITÁRIO, DIÂMETRO DE 1500 MM, JUNTA ELÁSTICA, INSTALADO EM LOCAL COM BAIXO NÍVEL DE INTERFERÊNCIAS - FORNECIMENTO E ASSENTAMENTO. AF_03/2024</t>
  </si>
  <si>
    <t>CONSTRUÇÃO DE BASE E SUB-BASE PARA PAVIMENTAÇÃO DE SOLO (PREDOMINANTEMENTE ARENOSO) BRITA - 40%-60% COM CIMENTO - 4%, MISTURA EM USINA, COM ESPESSURA DE 10 CM - EXCLUSIVE CARGA E TRANSPORTE. AF_09/2024</t>
  </si>
  <si>
    <t>CONSTRUÇÃO DE BASE E SUB-BASE PARA PAVIMENTAÇÃO DE SOLO (PREDOMINANTEMENTE ARENOSO) BRITA - 40%-60% COM CIMENTO - 4%, MISTURA EM USINA, COM ESPESSURA DE 15 CM - EXCLUSIVE CARGA E TRANSPORTE. AF_09/2024</t>
  </si>
  <si>
    <t>CONSTRUÇÃO DE BASE E SUB-BASE PARA PAVIMENTAÇÃO DE SOLO (PREDOMINANTEMENTE ARENOSO) BRITA - 40%-60% COM CIMENTO - 4%, MISTURA EM USINA, COM ESPESSURA DE 20 CM - EXCLUSIVE CARGA E TRANSPORTE. AF_09/2024</t>
  </si>
  <si>
    <t>CONSTRUÇÃO DE BASE E SUB-BASE PARA PAVIMENTAÇÃO DE SOLO (PREDOMINANTEMENTE ARENOSO) BRITA - 40%-60% COM CIMENTO - 6%, MISTURA EM USINA, COM ESPESSURA DE 10 CM - EXCLUSIVE CARGA E TRANSPORTE. AF_09/2024</t>
  </si>
  <si>
    <t>CONSTRUÇÃO DE BASE E SUB-BASE PARA PAVIMENTAÇÃO DE SOLO (PREDOMINANTEMENTE ARENOSO) BRITA - 40%-60% COM CIMENTO - 6%, MISTURA EM USINA, COM ESPESSURA DE 15 CM - EXCLUSIVE CARGA E TRANSPORTE. AF_09/2024</t>
  </si>
  <si>
    <t>CONSTRUÇÃO DE BASE E SUB-BASE PARA PAVIMENTAÇÃO DE SOLO (PREDOMINANTEMENTE ARENOSO) BRITA - 40%-60% COM CIMENTO - 6%, MISTURA EM USINA, COM ESPESSURA DE 20 CM - EXCLUSIVE CARGA E TRANSPORTE. AF_09/2024</t>
  </si>
  <si>
    <t>CONSTRUÇÃO DE BASE E SUB-BASE PARA PAVIMENTAÇÃO DE SOLO (PREDOMINANTEMENTE ARENOSO) BRITA - 40%-60% COM CIMENTO - 8%, MISTURA EM USINA, COM ESPESSURA DE 10 CM - EXCLUSIVE CARGA E TRANSPORTE. AF_09/2024</t>
  </si>
  <si>
    <t>CONSTRUÇÃO DE BASE E SUB-BASE PARA PAVIMENTAÇÃO DE SOLO (PREDOMINANTEMENTE ARENOSO) BRITA - 40%-60% COM CIMENTO - 8%, MISTURA EM USINA, COM ESPESSURA DE 15 CM - EXCLUSIVE CARGA E TRANSPORTE. AF_09/2024</t>
  </si>
  <si>
    <t>CONSTRUÇÃO DE BASE E SUB-BASE PARA PAVIMENTAÇÃO DE SOLO (PREDOMINANTEMENTE ARENOSO) BRITA - 40%-60% COM CIMENTO - 8%, MISTURA EM USINA, COM ESPESSURA DE 20 CM - EXCLUSIVE CARGA E TRANSPORTE. AF_09/2024</t>
  </si>
  <si>
    <t>CONSTRUÇÃO DE BASE E SUB-BASE PARA PAVIMENTAÇÃO DE SOLO (PREDOMINANTEMENTE ARENOSO) BRITA - 40%-60%, MISTURA EM USINA, COM ESPESSURA DE 10 CM - EXCLUSIVE CARGA E TRANSPORTE. AF_09/2024</t>
  </si>
  <si>
    <t>CONSTRUÇÃO DE BASE E SUB-BASE PARA PAVIMENTAÇÃO DE SOLO (PREDOMINANTEMENTE ARENOSO) BRITA - 40%-60%, MISTURA EM USINA, COM ESPESSURA DE 15 CM - EXCLUSIVE CARGA E TRANSPORTE. AF_09/2024</t>
  </si>
  <si>
    <t>CONSTRUÇÃO DE BASE E SUB-BASE PARA PAVIMENTAÇÃO DE SOLO (PREDOMINANTEMENTE ARENOSO) BRITA - 40%-60%, MISTURA EM USINA, COM ESPESSURA DE 20 CM - EXCLUSIVE CARGA E TRANSPORTE. AF_09/2024</t>
  </si>
  <si>
    <t>CONSTRUÇÃO DE BASE E SUB-BASE PARA PAVIMENTAÇÃO DE SOLO (PREDOMINANTEMENTE ARENOSO) BRITA - 50%-50% COM CIMENTO - 4%, MISTURA EM USINA, COM ESPESSURA DE 10 CM - EXCLUSIVE CARGA E TRANSPORTE. AF_09/2024</t>
  </si>
  <si>
    <t>CONSTRUÇÃO DE BASE E SUB-BASE PARA PAVIMENTAÇÃO DE SOLO (PREDOMINANTEMENTE ARENOSO) BRITA - 50%-50% COM CIMENTO - 4%, MISTURA EM USINA, COM ESPESSURA DE 15 CM - EXCLUSIVE CARGA E TRANSPORTE. AF_09/2024</t>
  </si>
  <si>
    <t>CONSTRUÇÃO DE BASE E SUB-BASE PARA PAVIMENTAÇÃO DE SOLO (PREDOMINANTEMENTE ARENOSO) BRITA - 50%-50% COM CIMENTO - 4%, MISTURA EM USINA, COM ESPESSURA DE 20 CM - EXCLUSIVE CARGA E TRANSPORTE. AF_09/2024</t>
  </si>
  <si>
    <t>CONSTRUÇÃO DE BASE E SUB-BASE PARA PAVIMENTAÇÃO DE SOLO (PREDOMINANTEMENTE ARENOSO) BRITA - 50%-50% COM CIMENTO - 6%, MISTURA EM USINA, COM ESPESSURA DE 10 CM - EXCLUSIVE CARGA E TRANSPORTE. AF_09/2024</t>
  </si>
  <si>
    <t>CONSTRUÇÃO DE BASE E SUB-BASE PARA PAVIMENTAÇÃO DE SOLO (PREDOMINANTEMENTE ARENOSO) BRITA - 50%-50% COM CIMENTO - 6%, MISTURA EM USINA, COM ESPESSURA DE 15 CM - EXCLUSIVE CARGA E TRANSPORTE. AF_09/2024</t>
  </si>
  <si>
    <t>CONSTRUÇÃO DE BASE E SUB-BASE PARA PAVIMENTAÇÃO DE SOLO (PREDOMINANTEMENTE ARENOSO) BRITA - 50%-50% COM CIMENTO - 6%, MISTURA EM USINA, COM ESPESSURA DE 20 CM - EXCLUSIVE CARGA E TRANSPORTE. AF_09/2024</t>
  </si>
  <si>
    <t>CONSTRUÇÃO DE BASE E SUB-BASE PARA PAVIMENTAÇÃO DE SOLO (PREDOMINANTEMENTE ARENOSO) BRITA - 50%-50% COM CIMENTO - 8%, MISTURA EM USINA, COM ESPESSURA DE 10 CM - EXCLUSIVE CARGA E TRANSPORTE. AF_09/2024</t>
  </si>
  <si>
    <t>CONSTRUÇÃO DE BASE E SUB-BASE PARA PAVIMENTAÇÃO DE SOLO (PREDOMINANTEMENTE ARENOSO) BRITA - 50%-50% COM CIMENTO - 8%, MISTURA EM USINA, COM ESPESSURA DE 15 CM - EXCLUSIVE CARGA E TRANSPORTE. AF_09/2024</t>
  </si>
  <si>
    <t>CONSTRUÇÃO DE BASE E SUB-BASE PARA PAVIMENTAÇÃO DE SOLO (PREDOMINANTEMENTE ARENOSO) BRITA - 50%-50% COM CIMENTO - 8%, MISTURA EM USINA, COM ESPESSURA DE 20 CM - EXCLUSIVE CARGA E TRANSPORTE. AF_09/2024</t>
  </si>
  <si>
    <t>CONSTRUÇÃO DE BASE E SUB-BASE PARA PAVIMENTAÇÃO DE SOLO (PREDOMINANTEMENTE ARENOSO) BRITA - 50%-50%, MISTURA EM USINA, COM ESPESSURA DE 10 CM - EXCLUSIVE CARGA E TRANSPORTE. AF_09/2024</t>
  </si>
  <si>
    <t>CONSTRUÇÃO DE BASE E SUB-BASE PARA PAVIMENTAÇÃO DE SOLO (PREDOMINANTEMENTE ARENOSO) BRITA - 50%-50%, MISTURA EM USINA, COM ESPESSURA DE 15 CM - EXCLUSIVE CARGA E TRANSPORTE. AF_09/2024</t>
  </si>
  <si>
    <t>CONSTRUÇÃO DE BASE E SUB-BASE PARA PAVIMENTAÇÃO DE SOLO (PREDOMINANTEMENTE ARENOSO) BRITA - 50%-50%, MISTURA EM USINA, COM ESPESSURA DE 20 CM - EXCLUSIVE CARGA E TRANSPORTE. AF_09/2024</t>
  </si>
  <si>
    <t>CONSTRUÇÃO DE BASE E SUB-BASE PARA PAVIMENTAÇÃO DE SOLO (PREDOMINANTEMENTE ARENOSO) COM CIMENTO - 6%, MISTURA EM USINA, COM ESPESSURA DE 10 CM - EXCLUSIVE CARGA E TRANSPORTE. AF_09/2024</t>
  </si>
  <si>
    <t>CONSTRUÇÃO DE BASE E SUB-BASE PARA PAVIMENTAÇÃO DE SOLO (PREDOMINANTEMENTE ARENOSO) COM CIMENTO - 6%, MISTURA EM USINA, COM ESPESSURA DE 15 CM - EXCLUSIVE CARGA E TRANSPORTE. AF_09/2024</t>
  </si>
  <si>
    <t>CONSTRUÇÃO DE BASE E SUB-BASE PARA PAVIMENTAÇÃO DE SOLO (PREDOMINANTEMENTE ARENOSO) COM CIMENTO - 6%, MISTURA EM USINA, COM ESPESSURA DE 20 CM - EXCLUSIVE CARGA E TRANSPORTE. AF_09/2024</t>
  </si>
  <si>
    <t>CONSTRUÇÃO DE BASE E SUB-BASE PARA PAVIMENTAÇÃO DE SOLO (PREDOMINANTEMENTE ARENOSO) COM CIMENTO - 8%, MISTURA EM USINA, COM ESPESSURA DE 10 CM - EXCLUSIVE CARGA E TRANSPORTE. AF_09/2024</t>
  </si>
  <si>
    <t>CONSTRUÇÃO DE BASE E SUB-BASE PARA PAVIMENTAÇÃO DE SOLO (PREDOMINANTEMENTE ARENOSO) COM CIMENTO - 8%, MISTURA EM USINA, COM ESPESSURA DE 15 CM - EXCLUSIVE CARGA E TRANSPORTE. AF_09/2024</t>
  </si>
  <si>
    <t>CONSTRUÇÃO DE BASE E SUB-BASE PARA PAVIMENTAÇÃO DE SOLO (PREDOMINANTEMENTE ARENOSO) COM CIMENTO - 8%, MISTURA EM USINA, COM ESPESSURA DE 20 CM - EXCLUSIVE CARGA E TRANSPORTE. AF_09/2024</t>
  </si>
  <si>
    <t>CONSTRUÇÃO DE BASE E SUB-BASE PARA PAVIMENTAÇÃO DE SOLO (PREDOMINANTEMENTE ARENOSO) MELHORADO COM CIMENTO - 2%, MISTURA EM USINA, COM ESPESSURA DE 10 CM - EXCLUSIVE CARGA E TRANSPORTE. AF_09/2024</t>
  </si>
  <si>
    <t>CONSTRUÇÃO DE BASE E SUB-BASE PARA PAVIMENTAÇÃO DE SOLO (PREDOMINANTEMENTE ARENOSO) MELHORADO COM CIMENTO - 2%, MISTURA EM USINA, COM ESPESSURA DE 15 CM - EXCLUSIVE CARGA E TRANSPORTE. AF_09/2024</t>
  </si>
  <si>
    <t>CONSTRUÇÃO DE BASE E SUB-BASE PARA PAVIMENTAÇÃO DE SOLO (PREDOMINANTEMENTE ARENOSO) MELHORADO COM CIMENTO - 2%, MISTURA EM USINA, COM ESPESSURA DE 20 CM - EXCLUSIVE CARGA E TRANSPORTE. AF_09/2024</t>
  </si>
  <si>
    <t>CONSTRUÇÃO DE BASE E SUB-BASE PARA PAVIMENTAÇÃO DE SOLO (PREDOMINANTEMENTE ARENOSO) MELHORADO COM CIMENTO - 4%, MISTURA EM USINA, COM ESPESSURA DE 10 CM - EXCLUSIVE CARGA E TRANSPORTE. AF_09/2024</t>
  </si>
  <si>
    <t>CONSTRUÇÃO DE BASE E SUB-BASE PARA PAVIMENTAÇÃO DE SOLO (PREDOMINANTEMENTE ARENOSO) MELHORADO COM CIMENTO - 4%, MISTURA EM USINA, COM ESPESSURA DE 15 CM - EXCLUSIVE CARGA E TRANSPORTE. AF_09/2024</t>
  </si>
  <si>
    <t>CONSTRUÇÃO DE BASE E SUB-BASE PARA PAVIMENTAÇÃO DE SOLO (PREDOMINANTEMENTE ARENOSO) MELHORADO COM CIMENTO - 4%, MISTURA EM USINA, COM ESPESSURA DE 20 CM - EXCLUSIVE CARGA E TRANSPORTE. AF_09/2024</t>
  </si>
  <si>
    <t>CONSTRUÇÃO DE BASE E SUB-BASE PARA PAVIMENTAÇÃO DE SOLO (PREDOMINANTEMENTE ARGILOSO) BRITA - 40%-60%, MISTURA EM USINA, COM ESPESSURA DE 10 CM - EXCLUSIVE CARGA E TRANSPORTE. AF_09/2024</t>
  </si>
  <si>
    <t>CONSTRUÇÃO DE BASE E SUB-BASE PARA PAVIMENTAÇÃO DE SOLO (PREDOMINANTEMENTE ARGILOSO) BRITA - 40%-60%, MISTURA EM USINA, COM ESPESSURA DE 15 CM - EXCLUSIVE CARGA E TRANSPORTE. AF_09/2024</t>
  </si>
  <si>
    <t>CONSTRUÇÃO DE BASE E SUB-BASE PARA PAVIMENTAÇÃO DE SOLO (PREDOMINANTEMENTE ARGILOSO) BRITA - 40%-60%, MISTURA EM USINA, COM ESPESSURA DE 20 CM - EXCLUSIVE CARGA E TRANSPORTE. AF_09/2024</t>
  </si>
  <si>
    <t>CONSTRUÇÃO DE BASE E SUB-BASE PARA PAVIMENTAÇÃO DE SOLO (PREDOMINANTEMENTE ARGILOSO) BRITA - 50%-50%, MISTURA EM USINA, COM ESPESSURA DE 10 CM - EXCLUSIVE CARGA E TRANSPORTE. AF_09/2024</t>
  </si>
  <si>
    <t>CONSTRUÇÃO DE BASE E SUB-BASE PARA PAVIMENTAÇÃO DE SOLO (PREDOMINANTEMENTE ARGILOSO) BRITA - 50%-50%, MISTURA EM USINA, COM ESPESSURA DE 15 CM - EXCLUSIVE CARGA E TRANSPORTE. AF_09/2024</t>
  </si>
  <si>
    <t>CONSTRUÇÃO DE BASE E SUB-BASE PARA PAVIMENTAÇÃO DE SOLO (PREDOMINANTEMENTE ARGILOSO) BRITA - 50%-50%, MISTURA EM USINA, COM ESPESSURA DE 20 CM - EXCLUSIVE CARGA E TRANSPORTE. AF_09/2024</t>
  </si>
  <si>
    <t>EXECUÇÃO DE IMPRIMAÇÃO COM ASFALTO DILUÍDO CM-30, PARA OBRAS DE CONSTRUÇÃO DE PAVIMENTOS. AF_09/2024</t>
  </si>
  <si>
    <t>EXECUÇÃO DE IMPRIMAÇÃO COM ASFALTO DILUÍDO CM-30, PARA OBRAS DE RECONSTRUÇÃO DE PAVIMENTOS. AF_09/2024</t>
  </si>
  <si>
    <t>EXECUÇÃO DE PINTURA DE LIGAÇÃO COM EMULSÃO ASFÁLTICA RR-2C, PARA OBRAS DE CONSTRUÇÃO DE PAVIMENTOS. AF_09/2024</t>
  </si>
  <si>
    <t>EXECUÇÃO DE PINTURA DE LIGAÇÃO COM EMULSÃO ASFÁLTICA RR-2C, PARA OBRAS DE RECONSTRUÇÃO DE PAVIMENTOS. AF_09/2024</t>
  </si>
  <si>
    <t>RECONSTRUÇÃO DE BASE E SUB-BASE PARA PAVIMENTAÇÃO DE SOLO (PREDOMINANTEMENTE ARENOSO) BRITA - 40%-60% COM CIMENTO - 4%, MISTURA EM USINA, COM ESPESSURA DE 10 CM - EXCLUSIVE CARGA E TRANSPORTE. AF_09/2024</t>
  </si>
  <si>
    <t>RECONSTRUÇÃO DE BASE E SUB-BASE PARA PAVIMENTAÇÃO DE SOLO (PREDOMINANTEMENTE ARENOSO) BRITA - 40%-60% COM CIMENTO - 4%, MISTURA EM USINA, COM ESPESSURA DE 15 CM - EXCLUSIVE CARGA E TRANSPORTE. AF_09/2024</t>
  </si>
  <si>
    <t>RECONSTRUÇÃO DE BASE E SUB-BASE PARA PAVIMENTAÇÃO DE SOLO (PREDOMINANTEMENTE ARENOSO) BRITA - 40%-60% COM CIMENTO - 4%, MISTURA EM USINA, COM ESPESSURA DE 20 CM - EXCLUSIVE CARGA E TRANSPORTE. AF_09/2024</t>
  </si>
  <si>
    <t>RECONSTRUÇÃO DE BASE E SUB-BASE PARA PAVIMENTAÇÃO DE SOLO (PREDOMINANTEMENTE ARENOSO) BRITA - 40%-60% COM CIMENTO - 6%, MISTURA EM USINA, COM ESPESSURA DE 10 CM - EXCLUSIVE CARGA E TRANSPORTE. AF_09/2024</t>
  </si>
  <si>
    <t>RECONSTRUÇÃO DE BASE E SUB-BASE PARA PAVIMENTAÇÃO DE SOLO (PREDOMINANTEMENTE ARENOSO) BRITA - 40%-60% COM CIMENTO - 6%, MISTURA EM USINA, COM ESPESSURA DE 15 CM - EXCLUSIVE CARGA E TRANSPORTE. AF_09/2024</t>
  </si>
  <si>
    <t>RECONSTRUÇÃO DE BASE E SUB-BASE PARA PAVIMENTAÇÃO DE SOLO (PREDOMINANTEMENTE ARENOSO) BRITA - 40%-60% COM CIMENTO - 6%, MISTURA EM USINA, COM ESPESSURA DE 20 CM - EXCLUSIVE CARGA E TRANSPORTE. AF_09/2024</t>
  </si>
  <si>
    <t>RECONSTRUÇÃO DE BASE E SUB-BASE PARA PAVIMENTAÇÃO DE SOLO (PREDOMINANTEMENTE ARENOSO) BRITA - 40%-60% COM CIMENTO - 8%, MISTURA EM USINA, COM ESPESSURA DE 10 CM - EXCLUSIVE CARGA E TRANSPORTE. AF_09/2024</t>
  </si>
  <si>
    <t>RECONSTRUÇÃO DE BASE E SUB-BASE PARA PAVIMENTAÇÃO DE SOLO (PREDOMINANTEMENTE ARENOSO) BRITA - 40%-60% COM CIMENTO - 8%, MISTURA EM USINA, COM ESPESSURA DE 15 CM - EXCLUSIVE CARGA E TRANSPORTE. AF_09/2024</t>
  </si>
  <si>
    <t>RECONSTRUÇÃO DE BASE E SUB-BASE PARA PAVIMENTAÇÃO DE SOLO (PREDOMINANTEMENTE ARENOSO) BRITA - 40%-60% COM CIMENTO - 8%, MISTURA EM USINA, COM ESPESSURA DE 20 CM - EXCLUSIVE CARGA E TRANSPORTE. AF_09/2024</t>
  </si>
  <si>
    <t>RECONSTRUÇÃO DE BASE E SUB-BASE PARA PAVIMENTAÇÃO DE SOLO (PREDOMINANTEMENTE ARENOSO) BRITA - 40%-60%, MISTURA EM USINA, COM ESPESSURA DE 10 CM - EXCLUSIVE CARGA E TRANSPORTE. AF_09/2024</t>
  </si>
  <si>
    <t>RECONSTRUÇÃO DE BASE E SUB-BASE PARA PAVIMENTAÇÃO DE SOLO (PREDOMINANTEMENTE ARENOSO) BRITA - 40%-60%, MISTURA EM USINA, COM ESPESSURA DE 15 CM - EXCLUSIVE CARGA E TRANSPORTE. AF_09/2024</t>
  </si>
  <si>
    <t>RECONSTRUÇÃO DE BASE E SUB-BASE PARA PAVIMENTAÇÃO DE SOLO (PREDOMINANTEMENTE ARENOSO) BRITA - 40%-60%, MISTURA EM USINA, COM ESPESSURA DE 20 CM - EXCLUSIVE CARGA E TRANSPORTE. AF_09/2024</t>
  </si>
  <si>
    <t>RECONSTRUÇÃO DE BASE E SUB-BASE PARA PAVIMENTAÇÃO DE SOLO (PREDOMINANTEMENTE ARENOSO) BRITA - 50%-50% COM CIMENTO - 4%, MISTURA EM USINA, COM ESPESSURA DE 10 CM - EXCLUSIVE CARGA E TRANSPORTE. AF_09/2024</t>
  </si>
  <si>
    <t>RECONSTRUÇÃO DE BASE E SUB-BASE PARA PAVIMENTAÇÃO DE SOLO (PREDOMINANTEMENTE ARENOSO) BRITA - 50%-50% COM CIMENTO - 4%, MISTURA EM USINA, COM ESPESSURA DE 15 CM - EXCLUSIVE CARGA E TRANSPORTE. AF_09/2024</t>
  </si>
  <si>
    <t>RECONSTRUÇÃO DE BASE E SUB-BASE PARA PAVIMENTAÇÃO DE SOLO (PREDOMINANTEMENTE ARENOSO) BRITA - 50%-50% COM CIMENTO - 4%, MISTURA EM USINA, COM ESPESSURA DE 20 CM - EXCLUSIVE CARGA E TRANSPORTE. AF_09/2024</t>
  </si>
  <si>
    <t>RECONSTRUÇÃO DE BASE E SUB-BASE PARA PAVIMENTAÇÃO DE SOLO (PREDOMINANTEMENTE ARENOSO) BRITA - 50%-50% COM CIMENTO - 6%, MISTURA EM USINA, COM ESPESSURA DE 10 CM - EXCLUSIVE CARGA E TRANSPORTE. AF_09/2024</t>
  </si>
  <si>
    <t>RECONSTRUÇÃO DE BASE E SUB-BASE PARA PAVIMENTAÇÃO DE SOLO (PREDOMINANTEMENTE ARENOSO) BRITA - 50%-50% COM CIMENTO - 6%, MISTURA EM USINA, COM ESPESSURA DE 15 CM - EXCLUSIVE CARGA E TRANSPORTE. AF_09/2024</t>
  </si>
  <si>
    <t>RECONSTRUÇÃO DE BASE E SUB-BASE PARA PAVIMENTAÇÃO DE SOLO (PREDOMINANTEMENTE ARENOSO) BRITA - 50%-50% COM CIMENTO - 6%, MISTURA EM USINA, COM ESPESSURA DE 20 CM - EXCLUSIVE CARGA E TRANSPORTE. AF_09/2024</t>
  </si>
  <si>
    <t>RECONSTRUÇÃO DE BASE E SUB-BASE PARA PAVIMENTAÇÃO DE SOLO (PREDOMINANTEMENTE ARENOSO) BRITA - 50%-50% COM CIMENTO - 8%, MISTURA EM USINA, COM ESPESSURA DE 10 CM - EXCLUSIVE CARGA E TRANSPORTE. AF_09/2024</t>
  </si>
  <si>
    <t>RECONSTRUÇÃO DE BASE E SUB-BASE PARA PAVIMENTAÇÃO DE SOLO (PREDOMINANTEMENTE ARENOSO) BRITA - 50%-50% COM CIMENTO - 8%, MISTURA EM USINA, COM ESPESSURA DE 15 CM - EXCLUSIVE CARGA E TRANSPORTE. AF_09/2024</t>
  </si>
  <si>
    <t>RECONSTRUÇÃO DE BASE E SUB-BASE PARA PAVIMENTAÇÃO DE SOLO (PREDOMINANTEMENTE ARENOSO) BRITA - 50%-50% COM CIMENTO - 8%, MISTURA EM USINA, COM ESPESSURA DE 20 CM - EXCLUSIVE CARGA E TRANSPORTE. AF_09/2024</t>
  </si>
  <si>
    <t>RECONSTRUÇÃO DE BASE E SUB-BASE PARA PAVIMENTAÇÃO DE SOLO (PREDOMINANTEMENTE ARENOSO) BRITA - 50%-50%, MISTURA EM USINA, COM ESPESSURA DE 10 CM - EXCLUSIVE CARGA E TRANSPORTE. AF_09/2024</t>
  </si>
  <si>
    <t>RECONSTRUÇÃO DE BASE E SUB-BASE PARA PAVIMENTAÇÃO DE SOLO (PREDOMINANTEMENTE ARENOSO) BRITA - 50%-50%, MISTURA EM USINA, COM ESPESSURA DE 15 CM - EXCLUSIVE CARGA E TRANSPORTE. AF_09/2024</t>
  </si>
  <si>
    <t>RECONSTRUÇÃO DE BASE E SUB-BASE PARA PAVIMENTAÇÃO DE SOLO (PREDOMINANTEMENTE ARENOSO) BRITA - 50%-50%, MISTURA EM USINA, COM ESPESSURA DE 20 CM - EXCLUSIVE CARGA E TRANSPORTE. AF_09/2024</t>
  </si>
  <si>
    <t>RECONSTRUÇÃO DE BASE E SUB-BASE PARA PAVIMENTAÇÃO DE SOLO (PREDOMINANTEMENTE ARENOSO) COM CIMENTO - 6%, MISTURA EM USINA, COM ESPESSURA DE 10 CM - EXCLUSIVE CARGA E TRANSPORTE. AF_09/2024</t>
  </si>
  <si>
    <t>RECONSTRUÇÃO DE BASE E SUB-BASE PARA PAVIMENTAÇÃO DE SOLO (PREDOMINANTEMENTE ARENOSO) COM CIMENTO - 6%, MISTURA EM USINA, COM ESPESSURA DE 15 CM - EXCLUSIVE CARGA E TRANSPORTE. AF_09/2024</t>
  </si>
  <si>
    <t>RECONSTRUÇÃO DE BASE E SUB-BASE PARA PAVIMENTAÇÃO DE SOLO (PREDOMINANTEMENTE ARENOSO) COM CIMENTO - 6%, MISTURA EM USINA, COM ESPESSURA DE 20 CM - EXCLUSIVE CARGA E TRANSPORTE. AF_09/2024</t>
  </si>
  <si>
    <t>RECONSTRUÇÃO DE BASE E SUB-BASE PARA PAVIMENTAÇÃO DE SOLO (PREDOMINANTEMENTE ARENOSO) COM CIMENTO - 8%, MISTURA EM USINA, COM ESPESSURA DE 10 CM - EXCLUSIVE CARGA E TRANSPORTE. AF_09/2024</t>
  </si>
  <si>
    <t>RECONSTRUÇÃO DE BASE E SUB-BASE PARA PAVIMENTAÇÃO DE SOLO (PREDOMINANTEMENTE ARENOSO) COM CIMENTO - 8%, MISTURA EM USINA, COM ESPESSURA DE 15 CM - EXCLUSIVE CARGA E TRANSPORTE. AF_09/2024</t>
  </si>
  <si>
    <t>RECONSTRUÇÃO DE BASE E SUB-BASE PARA PAVIMENTAÇÃO DE SOLO (PREDOMINANTEMENTE ARENOSO) COM CIMENTO - 8%, MISTURA EM USINA, COM ESPESSURA DE 20 CM - EXCLUSIVE CARGA E TRANSPORTE. AF_09/2024</t>
  </si>
  <si>
    <t>RECONSTRUÇÃO DE BASE E SUB-BASE PARA PAVIMENTAÇÃO DE SOLO (PREDOMINANTEMENTE ARENOSO) MELHORADO COM CIMENTO - 2%, MISTURA EM USINA, COM ESPESSURA DE 10 CM - EXCLUSIVE CARGA E TRANSPORTE. AF_09/2024</t>
  </si>
  <si>
    <t>RECONSTRUÇÃO DE BASE E SUB-BASE PARA PAVIMENTAÇÃO DE SOLO (PREDOMINANTEMENTE ARENOSO) MELHORADO COM CIMENTO - 2%, MISTURA EM USINA, COM ESPESSURA DE 15 CM - EXCLUSIVE CARGA E TRANSPORTE. AF_09/2024</t>
  </si>
  <si>
    <t>RECONSTRUÇÃO DE BASE E SUB-BASE PARA PAVIMENTAÇÃO DE SOLO (PREDOMINANTEMENTE ARENOSO) MELHORADO COM CIMENTO - 2%, MISTURA EM USINA, COM ESPESSURA DE 20 CM - EXCLUSIVE CARGA E TRANSPORTE. AF_09/2024</t>
  </si>
  <si>
    <t>RECONSTRUÇÃO DE BASE E SUB-BASE PARA PAVIMENTAÇÃO DE SOLO (PREDOMINANTEMENTE ARENOSO) MELHORADO COM CIMENTO - 4%, MISTURA EM USINA, COM ESPESSURA DE 10 CM - EXCLUSIVE CARGA E TRANSPORTE. AF_09/2024</t>
  </si>
  <si>
    <t>RECONSTRUÇÃO DE BASE E SUB-BASE PARA PAVIMENTAÇÃO DE SOLO (PREDOMINANTEMENTE ARENOSO) MELHORADO COM CIMENTO - 4%, MISTURA EM USINA, COM ESPESSURA DE 15 CM - EXCLUSIVE CARGA E TRANSPORTE. AF_09/2024</t>
  </si>
  <si>
    <t>RECONSTRUÇÃO DE BASE E SUB-BASE PARA PAVIMENTAÇÃO DE SOLO (PREDOMINANTEMENTE ARENOSO) MELHORADO COM CIMENTO - 4%, MISTURA EM USINA, COM ESPESSURA DE 20 CM - EXCLUSIVE CARGA E TRANSPORTE. AF_09/2024</t>
  </si>
  <si>
    <t>RECONSTRUÇÃO DE BASE E SUB-BASE PARA PAVIMENTAÇÃO DE SOLO (PREDOMINANTEMENTE ARGILOSO) BRITA - 40%-60%, MISTURA EM USINA, COM ESPESSURA DE 10 CM - EXCLUSIVE CARGA E TRANSPORTE. AF_09/2024</t>
  </si>
  <si>
    <t>RECONSTRUÇÃO DE BASE E SUB-BASE PARA PAVIMENTAÇÃO DE SOLO (PREDOMINANTEMENTE ARGILOSO) BRITA - 40%-60%, MISTURA EM USINA, COM ESPESSURA DE 15 CM - EXCLUSIVE CARGA E TRANSPORTE. AF_09/2024</t>
  </si>
  <si>
    <t>RECONSTRUÇÃO DE BASE E SUB-BASE PARA PAVIMENTAÇÃO DE SOLO (PREDOMINANTEMENTE ARGILOSO) BRITA - 40%-60%, MISTURA EM USINA, COM ESPESSURA DE 20 CM - EXCLUSIVE CARGA E TRANSPORTE. AF_09/2024</t>
  </si>
  <si>
    <t>RECONSTRUÇÃO DE BASE E SUB-BASE PARA PAVIMENTAÇÃO DE SOLO (PREDOMINANTEMENTE ARGILOSO) BRITA - 50%-50%, MISTURA EM USINA, COM ESPESSURA DE 10 CM - EXCLUSIVE CARGA E TRANSPORTE. AF_09/2024</t>
  </si>
  <si>
    <t>RECONSTRUÇÃO DE BASE E SUB-BASE PARA PAVIMENTAÇÃO DE SOLO (PREDOMINANTEMENTE ARGILOSO) BRITA - 50%-50%, MISTURA EM USINA, COM ESPESSURA DE 15 CM - EXCLUSIVE CARGA E TRANSPORTE. AF_09/2024</t>
  </si>
  <si>
    <t>RECONSTRUÇÃO DE BASE E SUB-BASE PARA PAVIMENTAÇÃO DE SOLO (PREDOMINANTEMENTE ARGILOSO) BRITA - 50%-50%, MISTURA EM USINA, COM ESPESSURA DE 20 CM - EXCLUSIVE CARGA E TRANSPORTE. AF_09/2024</t>
  </si>
  <si>
    <t>FORNECIMENTO E INSTALAÇÃO DE BRISE DE ALUMÍNIO B57, COM PINTURA ELETROSTÁTICA BRANCA, ACABAMENTO LISO, FIXADO EM PORTA-PAINEL RANHURADO. AF_03/2024</t>
  </si>
  <si>
    <t>FORNECIMENTO E INSTALAÇÃO DE BRISE DE ALUZINC SL4, COM PINTURA ELETROSTÁTICA BRANCA, INCLINAÇÃO DE 45°, ACABAMENTO LISO, FIXADO EM PORTA-PAINEL RANHURADO. AF_03/2024</t>
  </si>
  <si>
    <t>FORNECIMENTO E INSTALAÇÃO DE CAIXA DE ALUMÍNIO PROTETORA PARA CONDENSADORA DE AR-CONDICIONADO, PINTURA ELETROSTÁTICA BRANCA, DIMENSÕES 100 CM X 78 CM X 50 CM. AF_03/2024</t>
  </si>
  <si>
    <t>FORNECIMENTO E INSTALAÇÃO DE CONJUNTO DE BRISE EM REQUADRO DE ALUMÍNIO DESLIZANTE, COM PERFIS INTERNOS TUBULARES FIXOS, COM PINTURA ELETROSTÁTICA BRANCA, ACABAMENTO, 150 CM X 265 CM. AF_03/2024</t>
  </si>
  <si>
    <t>CAIXA ENTERRADA HIDRÁULICA RETANGULAR, EM CONCRETO PRÉ-MOLDADO, DIMENSÕES INTERNAS: 1X1X0,5 M. AF_12/2020</t>
  </si>
  <si>
    <t>CAIXA ENTERRADA PARA INSTALAÇÕES TELEFÔNICAS TIPO R2, EM ALVENARIA COM BLOCOS DE CONCRETO, DIMENSÕES INTERNAS: 0,52X1,07X0,60 M, EXCLUINDO TAMPÃO. AF_12/2020</t>
  </si>
  <si>
    <t>CAIXA ENTERRADA PARA INSTALAÇÕES TELEFÔNICAS TIPO R3, EM ALVENARIA COM BLOCOS DE CONCRETO, DIMENSÕES INTERNAS: 1,2X1,5X1,40 M, EXCLUINDO TAMPÃO. AF_12/2020</t>
  </si>
  <si>
    <t>REVESTIMENTO VEGETAL PARA SOLO GRAMPEADO VERDE, ATRAVÉS DE HIDROSSEMEADURA. AF_07/2024</t>
  </si>
  <si>
    <t>ANCORAGEM ATIVA PARA CABO COM 1 CORDOALHA DE DIÂMETRO NOMINAL DE 12,7 MM. AF_08/2022</t>
  </si>
  <si>
    <t>ANCORAGEM ATIVA PARA CABO COM 1 CORDOALHA DE DIÂMETRO NOMINAL DE 15,2 MM. AF_08/2022</t>
  </si>
  <si>
    <t>ANCORAGEM ATIVA PARA CABO COM 12 CORDOALHAS DE DIÂMETRO NOMINAL DE 12,7 MM. AF_08/2022</t>
  </si>
  <si>
    <t>ANCORAGEM ATIVA PARA CABO COM 12 CORDOALHAS DE DIÂMETRO NOMINAL DE 15,2 MM. AF_08/2022</t>
  </si>
  <si>
    <t>ANCORAGEM ATIVA PARA CABO COM 2 CORDOALHAS DE DIÂMETRO NOMINAL DE 12,7 MM. AF_08/2022</t>
  </si>
  <si>
    <t>ANCORAGEM ATIVA PARA CABO COM 2 CORDOALHAS DE DIÂMETRO NOMINAL DE 15,2 MM. AF_08/2022</t>
  </si>
  <si>
    <t>ANCORAGEM ATIVA PARA CABO COM 4 CORDOALHAS DE DIÂMETRO NOMINAL DE 12,7 MM. AF_08/2022</t>
  </si>
  <si>
    <t>ANCORAGEM ATIVA PARA CABO COM 4 CORDOALHAS DE DIÂMETRO NOMINAL DE 15,2 MM. AF_08/2022</t>
  </si>
  <si>
    <t>ANCORAGEM ATIVA PARA CABO COM 6 CORDOALHAS DE DIÂMETRO NOMINAL DE 12,7 MM. AF_08/2022</t>
  </si>
  <si>
    <t>ANCORAGEM ATIVA PARA CABO COM 6 CORDOALHAS DE DIÂMETRO NOMINAL DE 15,2 MM. AF_08/2022</t>
  </si>
  <si>
    <t>ANCORAGEM ATIVA PARA CABO COM 7 CORDOALHAS DE DIÂMETRO NOMINAL DE 12,7 MM. AF_08/2022</t>
  </si>
  <si>
    <t>ANCORAGEM ATIVA PARA CABO COM 7 CORDOALHAS DE DIÂMETRO NOMINAL DE 15,2 MM. AF_08/2022</t>
  </si>
  <si>
    <t>ANCORAGEM ATIVA PARA CORDOALHA COM 7 FIOS E DIÂMETRO NOMINAL DE 12,7 MM. AF_08/2022</t>
  </si>
  <si>
    <t>ANCORAGEM ATIVA PARA CORDOALHA COM 7 FIOS E DIÂMETRO NOMINAL DE 15,2 MM. AF_08/2022</t>
  </si>
  <si>
    <t>ANCORAGEM PASSIVA PARA CABO COM 1 CORDOALHA DE DIÂMETRO NOMINAL DE 12,7 MM. AF_08/2022</t>
  </si>
  <si>
    <t>ANCORAGEM PASSIVA PARA CABO COM 1 CORDOALHA DE DIÂMETRO NOMINAL DE 15,2 MM. AF_08/2022</t>
  </si>
  <si>
    <t>ANCORAGEM PASSIVA PARA CABO COM 12 CORDOALHAS DE DIÂMETRO NOMINAL DE 12,7 MM. AF_08/2022</t>
  </si>
  <si>
    <t>ANCORAGEM PASSIVA PARA CABO COM 12 CORDOALHAS DE DIÂMETRO NOMINAL DE 15,2 MM. AF_08/2022</t>
  </si>
  <si>
    <t>ANCORAGEM PASSIVA PARA CABO COM 2 CORDOALHAS DE DIÂMETRO NOMINAL DE 12,7 MM. AF_08/2022</t>
  </si>
  <si>
    <t>ANCORAGEM PASSIVA PARA CABO COM 2 CORDOALHAS DE DIÂMETRO NOMINAL DE 15,2 MM. AF_08/2022</t>
  </si>
  <si>
    <t>ANCORAGEM PASSIVA PARA CABO COM 4 CORDOALHAS DE DIÂMETRO NOMINAL DE 12,7 MM. AF_08/2022</t>
  </si>
  <si>
    <t>ANCORAGEM PASSIVA PARA CABO COM 4 CORDOALHAS DE DIÂMETRO NOMINAL DE 15,2 MM. AF_08/2022</t>
  </si>
  <si>
    <t>ANCORAGEM PASSIVA PARA CABO COM 6 CORDOALHAS DE DIÂMETRO NOMINAL DE 12,7 MM. AF_08/2022</t>
  </si>
  <si>
    <t>ANCORAGEM PASSIVA PARA CABO COM 6 CORDOALHAS DE DIÂMETRO NOMINAL DE 15,2 MM. AF_08/2022</t>
  </si>
  <si>
    <t>ANCORAGEM PASSIVA PARA CABO COM 7 CORDOALHAS DE DIÂMETRO NOMINAL DE 12,7 MM. AF_08/2022</t>
  </si>
  <si>
    <t>ANCORAGEM PASSIVA PARA CABO COM 7 CORDOALHAS DE DIÂMETRO NOMINAL DE 15,2 MM. AF_08/2022</t>
  </si>
  <si>
    <t>ANCORAGEM PASSIVA PARA CORDOALHA COM 7 FIOS E DIÂMETRO NOMINAL DE 12,7 MM. AF_08/2022</t>
  </si>
  <si>
    <t>ANCORAGEM PASSIVA PARA CORDOALHA COM 7 FIOS E DIÂMETRO NOMINAL DE 15,2 MM. AF_08/2022</t>
  </si>
  <si>
    <t>FORNECIMENTO E INSTALAÇÃO DE BAINHA CIRCULAR COM DIÂMETRO NOMINAL DE 35 MM, INCLUSIVE INJEÇÃO DE NATA DE CIMENTO. AF_08/2022</t>
  </si>
  <si>
    <t>FORNECIMENTO E INSTALAÇÃO DE BAINHA CIRCULAR COM DIÂMETRO NOMINAL DE 40 MM, INCLUSIVE INJEÇÃO DE NATA DE CIMENTO. AF_08/2022</t>
  </si>
  <si>
    <t>FORNECIMENTO E INSTALAÇÃO DE BAINHA CIRCULAR COM DIÂMETRO NOMINAL DE 50 MM, INCLUSIVE INJEÇÃO DE NATA DE CIMENTO. AF_08/2022</t>
  </si>
  <si>
    <t>FORNECIMENTO E INSTALAÇÃO DE BAINHA CIRCULAR COM DIÂMETRO NOMINAL DE 55 MM, INCLUSIVE INJEÇÃO DE NATA DE CIMENTO. AF_08/2022</t>
  </si>
  <si>
    <t>FORNECIMENTO E INSTALAÇÃO DE BAINHA CIRCULAR COM DIÂMETRO NOMINAL DE 60 MM, INCLUSIVE INJEÇÃO DE NATA DE CIMENTO. AF_08/2022</t>
  </si>
  <si>
    <t>FORNECIMENTO E INSTALAÇÃO DE BAINHA CIRCULAR COM DIÂMETRO NOMINAL DE 65 MM, INCLUSIVE INJEÇÃO DE NATA DE CIMENTO. AF_08/2022</t>
  </si>
  <si>
    <t>FORNECIMENTO E INSTALAÇÃO DE BAINHA CIRCULAR COM DIÂMETRO NOMINAL DE 80 MM, INCLUSIVE INJEÇÃO DE NATA DE CIMENTO. AF_08/2022</t>
  </si>
  <si>
    <t>FORNECIMENTO E INSTALAÇÃO DE CABO COM CORDOALHA NUA, RESISTÊNCIA À TRAÇÃO DE 190 KGF/MM² E DIÂMETRO NOMINAL DE 12,7 MM, EM VIGA. AF_08/2022</t>
  </si>
  <si>
    <t>FORNECIMENTO E INSTALAÇÃO DE CABO COM CORDOALHA NUA, RESISTÊNCIA À TRAÇÃO DE 190 KGF/MM² E DIÂMETRO NOMINAL DE 15,2 MM, EM VIGA. AF_08/2022</t>
  </si>
  <si>
    <t>FORNECIMENTO E INSTALAÇÃO DE CABO COM CORDOALHA NUA, RESISTÊNCIA À TRAÇÃO DE 210 KGF/MM² E DIÂMETRO NOMINAL DE 12,7 MM, EM VIGA. AF_08/2022</t>
  </si>
  <si>
    <t>FORNECIMENTO E INSTALAÇÃO DE CABO COM CORDOALHA NUA, RESISTÊNCIA À TRAÇÃO DE 210 KGF/MM² E DIÂMETRO NOMINAL DE 15,2 MM, EM VIGA. AF_08/2022</t>
  </si>
  <si>
    <t>FORNECIMENTO E INSTALAÇÃO DE CORDOALHA COM 7 FIOS, RESISTÊNCIA À TRAÇÃO DE 190 KGF/MM² E DIÂMETRO NOMINAL DE 12,7 MM, EM LAJE. AF_08/2022</t>
  </si>
  <si>
    <t>FORNECIMENTO E INSTALAÇÃO DE CORDOALHA COM 7 FIOS, RESISTÊNCIA À TRAÇÃO DE 190 KGF/MM² E DIÂMETRO NOMINAL DE 12,7 MM, EM VIGA. AF_08/2022</t>
  </si>
  <si>
    <t>FORNECIMENTO E INSTALAÇÃO DE CORDOALHA COM 7 FIOS, RESISTÊNCIA À TRAÇÃO DE 190 KGF/MM² E DIÂMETRO NOMINAL DE 15,2 MM, EM LAJE. AF_08/2022</t>
  </si>
  <si>
    <t>FORNECIMENTO E INSTALAÇÃO DE CORDOALHA COM 7 FIOS, RESISTÊNCIA À TRAÇÃO DE 190 KGF/MM² E DIÂMETRO NOMINAL DE 15,2 MM, EM VIGA. AF_08/2022</t>
  </si>
  <si>
    <t>FORNECIMENTO E INSTALAÇÃO DE CORDOALHA COM 7 FIOS, RESISTÊNCIA À TRAÇÃO DE 210 KGF/MM² E DIÂMETRO NOMINAL DE 12,7 MM, EM LAJE. AF_08/2022</t>
  </si>
  <si>
    <t>FORNECIMENTO E INSTALAÇÃO DE CORDOALHA COM 7 FIOS, RESISTÊNCIA À TRAÇÃO DE 210 KGF/MM² E DIÂMETRO NOMINAL DE 12,7 MM, EM VIGA. AF_08/2022</t>
  </si>
  <si>
    <t>FORNECIMENTO E INSTALAÇÃO DE CORDOALHA COM 7 FIOS, RESISTÊNCIA À TRAÇÃO DE 210 KGF/MM² E DIÂMETRO NOMINAL DE 15,2 MM, EM LAJE. AF_08/2022</t>
  </si>
  <si>
    <t>FORNECIMENTO E INSTALAÇÃO DE CORDOALHA COM 7 FIOS, RESISTÊNCIA À TRAÇÃO DE 210 KGF/MM² E DIÂMETRO NOMINAL DE 15,2 MM, EM VIGA. AF_08/2022</t>
  </si>
  <si>
    <t>BATE ESTACA PARA INSTALAÇÃO DE DEFENSAS METÁLICAS (GUARD RAIL) FIXO, INCLUSIVE CAMINHÃO TOCO PBT 9.700 KG, POTÊNCIA DE 160 CV - CHI DIURNO. AF_05/2023</t>
  </si>
  <si>
    <t>BATE ESTACA PARA INSTALAÇÃO DE DEFENSAS METÁLICAS (GUARD RAIL) FIXO, INCLUSIVE CAMINHÃO TOCO PBT 9.700 KG, POTÊNCIA DE 160 CV - CHP DIURNO. AF_05/2023</t>
  </si>
  <si>
    <t>BETONEIRA CAPACIDADE NOMINAL DE 250 L, CAPACIDADE DE MISTURA DE 175 L, MOTOR ELÉTRICO MONOFÁSICO POTÊNCIA 1CV - CHI DIURNO. AF_05/2023</t>
  </si>
  <si>
    <t>BETONEIRA CAPACIDADE NOMINAL DE 250 L, CAPACIDADE DE MISTURA DE 175 L, MOTOR ELÉTRICO MONOFÁSICO POTÊNCIA 1CV - CHP DIURNO. AF_05/2023</t>
  </si>
  <si>
    <t>CALDEIRA A GÁS COM TERMOSTATO, CAPACIDADE 100 LITROS - CHI DIURNO. AF_05/2023</t>
  </si>
  <si>
    <t>CALDEIRA A GÁS COM TERMOSTATO, CAPACIDADE 100 LITROS - CHP DIURNO. AF_05/2023</t>
  </si>
  <si>
    <t>CAMINHÃO TANQUE PARA HIDROSSEMEADURA, COM CAPACIDADE DE 8.000 LITROS, INCLUINDO BOMBA PARA LANÇAMENTO COM MOTOR DIESEL COM POTÊNCIA DE 105 CV - CHI DIURNO. AF_06/2023</t>
  </si>
  <si>
    <t>CAMINHÃO TANQUE PARA HIDROSSEMEADURA, COM CAPACIDADE DE 8.000 LITROS, INCLUINDO BOMBA PARA LANÇAMENTO COM MOTOR DIESEL COM POTÊNCIA DE 105 CV - CHP DIURNO. AF_06/2023</t>
  </si>
  <si>
    <t>CENTRAL DE LAMA BENTONÍTICA (DEPÓSITO DE BENTONITA, MISTURADOR DE ALTA TURBULÊNCIA, SILOS DE ARMAZENAMENTO DE LAMA E ÁGUA, LABORATÓRIO DE CONTROLE DE QUALIDADE DA LAMA) - CHI DIURNO. AF_04/2019</t>
  </si>
  <si>
    <t>CENTRAL DE LAMA BENTONÍTICA (DEPÓSITO DE BENTONITA, MISTURADOR DE ALTA TURBULÊNCIA, SILOS DE ARMAZENAMENTO DE LAMA E ÁGUA, LABORATÓRIO DE CONTROLE DE QUALIDADE DA LAMA) - CHP DIURNO. AF_04/2019</t>
  </si>
  <si>
    <t>COMPRESSOR DE AR, VAZAO DE 10 PCM, RESERVATORIO 100 L, PRESSAO DE TRABALHO ENTRE 6,9 E 9,7 BAR, POTENCIA 2 HP, TENSAO 110/220 V - CHP DIURNO. AF_05/2023</t>
  </si>
  <si>
    <t>CONJUNTO MACACO E BOMBA HIDRÁULICA PARA PROTENSAO DE CORDOALHAS, ESFORÇO MAXIMO DE 115 TONELADAS - CHI DIURNO. AF_05/2023</t>
  </si>
  <si>
    <t>CONJUNTO MACACO E BOMBA HIDRÁULICA PARA PROTENSAO DE CORDOALHAS, ESFORÇO MAXIMO DE 115 TONELADAS - CHP DIURNO. AF_05/2023</t>
  </si>
  <si>
    <t>DOBRADEIRA TDC, ESPESSURA 1,5MM - CHI DIURNO. AF_05/2023</t>
  </si>
  <si>
    <t>DOBRADEIRA TDC, ESPESSURA 1,5MM - CHP DIURNO. AF_05/2023</t>
  </si>
  <si>
    <t>ENCERADEIRA INDUSTRIAL, 400 MM, 220V, 1 HP - CHI DIURNO. AF_05/2023</t>
  </si>
  <si>
    <t>ENCERADEIRA INDUSTRIAL, 400 MM, 220V, 1 HP - CHP DIURNO. AF_05/2023</t>
  </si>
  <si>
    <t>ESCAVADEIRA HIDRÁULICA SOBRE ESTEIRA, PESO OPERACIONAL ENTRE 22,00 E 23,50 T, POTÊNCIA NOMINAL 139 HP, COM MARTELO ROMPEDOR HIDRÁULICO 1700 KG - CHI DIURNO. AF_04/2019</t>
  </si>
  <si>
    <t>ESCAVADEIRA HIDRÁULICA SOBRE ESTEIRA, PESO OPERACIONAL ENTRE 22,00 E 23,50 T, POTÊNCIA NOMINAL 139 HP, COM MARTELO ROMPEDOR HIDRÁULICO 1700 KG - CHP DIURNO. AF_04/2019</t>
  </si>
  <si>
    <t>FURADEIRA ELETROMAGNÉTICA, VELOCIDADE (SEM CARGA/ COM CARGA) 450/ 270 RPM, ESPESSURA MÁXIMA DA CHAPA A SER FURADA 50 MM, PORÇA DE ADESÃO MAGNÉTICA 17000 N, POTÊNCIA 1100 W, ALIMENTÇÃO 220 - 60 HZ, MONOFÁSICA - CHI DIURNO. AF_08/2019</t>
  </si>
  <si>
    <t>FURADEIRA ELETROMAGNÉTICA, VELOCIDADE (SEM CARGA/ COM CARGA) 450/ 270 RPM, ESPESSURA MÁXIMA DA CHAPA A SER FURADA 50 MM, PORÇA DE ADESÃO MAGNÉTICA 17000 N, POTÊNCIA 1100 W, ALIMENTÇÃO 220 - 60 HZ, MONOFÁSICA - CHP DIURNO. AF_08/2019</t>
  </si>
  <si>
    <t>GRUPO GERADOR DIESEL, COM CARENAGEM, POTÊNCIA STANDART ENTRE 400 E 460 KVA, VELOCIDADE DE 1800 RPM, FREQUÊNCIA DE 60 HZ - CHI DIURNO. AF_05/2023</t>
  </si>
  <si>
    <t>GRUPO GERADOR DIESEL, COM CARENAGEM, POTÊNCIA STANDART ENTRE 400 E 460 KVA, VELOCIDADE DE 1800 RPM, FREQUÊNCIA DE 60 HZ - CHP DIURNO. AF_05/2023</t>
  </si>
  <si>
    <t>GUINDASTE DERRICK, LANÇA DE *20* M, CARGA MÁXIMA 10T, POTÊNCIA 45 KW - CHI DIURNO. AF_01/2024</t>
  </si>
  <si>
    <t>GUINDASTE DERRICK, LANÇA DE *20* M, CARGA MÁXIMA 10T, POTÊNCIA 45 KW - CHP DIURNO. AF_01/2024</t>
  </si>
  <si>
    <t>GUINDASTE HIDRAULICO AUTOPROPELIDO, COM LANÇA TRELIÇADA 40 M, CAPACIDADE MÁXIMA 75 T, EQUIPADO COM CLAMSHELL - CHI DIURNO. AF_04/2019</t>
  </si>
  <si>
    <t>GUINDASTE HIDRAULICO AUTOPROPELIDO, COM LANÇA TRELIÇADA 40 M, CAPACIDADE MÁXIMA 75 T, EQUIPADO COM CLAMSHELL - CHP DIURNO. AF_04/2019</t>
  </si>
  <si>
    <t>GUINDASTE HIDRÁULICO AUTOPROPELIDO, COM LANÇA TRELICADA 41 M, CAPACIDADE MÁXIMA DE ELEVAÇÃO 43 T, POTÊNCIA 230 KW, EQUIPADO COM CAÇAMBA DE ARRASTO (DRAGLINE) DE 0,76 M3 - CHI DIURNO. AF_06/2023</t>
  </si>
  <si>
    <t>GUINDASTE HIDRÁULICO AUTOPROPELIDO, COM LANÇA TRELICADA 41 M, CAPACIDADE MÁXIMA DE ELEVAÇÃO 43 T, POTÊNCIA 230 KW, EQUIPADO COM CAÇAMBA DE ARRASTO (DRAGLINE) DE 0,76 M3 - CHP DIURNO. AF_06/2023</t>
  </si>
  <si>
    <t>GUINDASTE HIDRÁULICO RODOVIÁRIO, LANCA TELESCÓPICA DE *50+20* M, CAPACIDADE MÁXIMA DE 90T, 4 EIXOS, POTÊNCIA 330 KW, MOTOR DIESEL - CHI DIURNO. AF_01/2024</t>
  </si>
  <si>
    <t>GUINDASTE HIDRÁULICO RODOVIÁRIO, LANCA TELESCÓPICA DE *50+20* M, CAPACIDADE MÁXIMA DE 90T, 4 EIXOS, POTÊNCIA 330 KW, MOTOR DIESEL - CHP DIURNO. AF_01/2024</t>
  </si>
  <si>
    <t>GUINDASTE SOBRE ESTEIRAS, COM LANÇA TRELIÇADA 40 M, CAPACIDADE MÁXIMA 75 T - CHI DIURNO. AF_04/2019</t>
  </si>
  <si>
    <t>GUINDASTE SOBRE ESTEIRAS, COM LANÇA TRELIÇADA 40 M, CAPACIDADE MÁXIMA 75 T - CHP DIURNO. AF_04/2019</t>
  </si>
  <si>
    <t>GUINDASTE SOBRE ESTEIRAS, COM LANÇA TRELIÇADA 40 M, CAPACIDADE MÁXIMA 75 T, EQUIPADO COM CLAMSHELL - CHI DIURNO. AF_04/2019</t>
  </si>
  <si>
    <t>GUINDASTE SOBRE ESTEIRAS, COM LANÇA TRELIÇADA 40 M, CAPACIDADE MÁXIMA 75 T, EQUIPADO COM CLAMSHELL - CHP DIURNO. AF_04/2019</t>
  </si>
  <si>
    <t>GUINDAUTO HIDRÁULICO, CAPACIDADE MÁXIMA DE CARGA 6200 KG, MOMENTO MÁXIMO DE CARGA 11,7 TM, ALCANCE MÁXIMO HORIZONTAL 9,70 M, INCLUSIVE CAMINHÃO TOCO PBT 16.000 KG, POTÊNCIA DE 189 CV E CESTA AÉREA COM ISOLAMENTO CLASSE C - CHI DIURNO. AF_01/2025</t>
  </si>
  <si>
    <t>GUINDAUTO HIDRÁULICO, CAPACIDADE MÁXIMA DE CARGA 6200 KG, MOMENTO MÁXIMO DE CARGA 11,7 TM, ALCANCE MÁXIMO HORIZONTAL 9,70 M, INCLUSIVE CAMINHÃO TOCO PBT 16.000 KG, POTÊNCIA DE 189 CV E CESTA AÉREA COM ISOLAMENTO CLASSE C - CHP DIURNO. AF_01/2025</t>
  </si>
  <si>
    <t>LIXADEIRA DE PAREDE, COM LED, POTÊNCIA 750 W, FREQUÊNCIA 60 HZ, VELOCIDADE 1000 A 2100 RPM, DIÂMETRO DA LIXA 225 MM - CHI DIURNO AF_12/2022</t>
  </si>
  <si>
    <t>LIXADEIRA DE PAREDE, COM LED, POTÊNCIA 750 W, FREQUÊNCIA 60 HZ, VELOCIDADE 1000 A 2100 RPM, DIÂMETRO DA LIXA 225 MM - CHP DIURNO. AF_12/2022</t>
  </si>
  <si>
    <t>MARTELETE PERFURADOR/ ROMPEDOR ELÉTRICO, POTÊNCIA 800 W, 220 V - CHI DIURNO. AF_05/2023</t>
  </si>
  <si>
    <t>MARTELETE PERFURADOR/ ROMPEDOR ELÉTRICO, POTÊNCIA 800 W, 220 V - CHP DIURNO. AF_05/2023</t>
  </si>
  <si>
    <t>MARTELO PERFURADOR PNEUMÁTICO MANUAL, HASTE 19 X 108 MM, *11* KG - CHI DIURNO. AF_02/2025</t>
  </si>
  <si>
    <t>MARTELO PERFURADOR PNEUMÁTICO MANUAL, HASTE 19 X 108 MM, *11* KG - CHP DIURNO. AF_02/2025</t>
  </si>
  <si>
    <t>MINI GUINDASTE ARANHA SOBRE ESTEIRAS E LANCA TELESCÓPICA, CAPACIDADE MÁXIMA DE CARGA 3,0 TON, RAIO MÁXIMO DE TRABALHO 8,25 M, ALTURA DE LANÇA DO SOLO 9,2 M, 55 M DE CABO DE AÇO 8 MM, MOTOR ELÉTRICO 220/380 VOLTS TRIFÁSICO - CHI DIURNO. AF_03/2022</t>
  </si>
  <si>
    <t>MINI GUINDASTE ARANHA SOBRE ESTEIRAS E LANCA TELESCÓPICA, CAPACIDADE MÁXIMA DE CARGA 3,0 TON, RAIO MÁXIMO DE TRABALHO 8,25 M, ALTURA DE LANÇA DO SOLO 9,2 M, 55 M DE CABO DE AÇO 8 MM, MOTOR ELÉTRICO 220/380 VOLTS TRIFÁSICO - CHP DIURNO. AF_03/2022</t>
  </si>
  <si>
    <t>MISTURADOR PARA PREPARO DE LAMA ESTABILIZANTE COM CAPACIDADE DE *4000* L, COM BOMBA CENTRÍFUGA 5,5 HP A 23,07 HP, PARA SISTEMA DE FURO DIRECIONAL - CHI DIURNO. AF_05/2023</t>
  </si>
  <si>
    <t>MISTURADOR PARA PREPARO DE LAMA ESTABILIZANTE COM CAPACIDADE DE *4000* L, COM BOMBA CENTRÍFUGA 5,5 HP A 23,07 HP, PARA SISTEMA DE FURO DIRECIONAL - CHP DIURNO. AF_05/2023</t>
  </si>
  <si>
    <t>MÁQUINA FORMER DOBRAS DIVERSAS: 220V/380V TRIFÁSICO OU MONOFÁSICO, CAPACIDADE 0,5-1,27MM, MOTOR 2CV - CHI DIURNO. AF_05/2023</t>
  </si>
  <si>
    <t>MÁQUINA FORMER DOBRAS DIVERSAS: 220V/380V TRIFÁSICO OU MONOFÁSICO, CAPACIDADE 0,5-1,27MM, MOTOR 2CV - CHP DIURNO. AF_05/2023</t>
  </si>
  <si>
    <t>MÁQUINA METALEIRA UNIVERSAL MODELO IW 110/180 BTD - CHI DIURNO. AF_05/2023</t>
  </si>
  <si>
    <t>MÁQUINA METALEIRA UNIVERSAL MODELO IW 110/180 BTD - CHP DIURNO. AF_05/2023</t>
  </si>
  <si>
    <t>MÁQUINA PARA SOLDA POR ELETROFUSÃO PARA TUBOS DE POLIETILENO DE ALTA DENSIDADE (PEAD) COM DIÂMETRO EXTERNO DE 20 A 1600 MM, POTÊNCIA DE 3500 W - CHI DIURNO. AF_05/2023</t>
  </si>
  <si>
    <t>MÁQUINA PARA SOLDA POR ELETROFUSÃO PARA TUBOS DE POLIETILENO DE ALTA DENSIDADE (PEAD) COM DIÂMETRO EXTERNO DE 20 A 1600 MM, POTÊNCIA DE 3500 W - CHP DIURNO. AF_05/2023</t>
  </si>
  <si>
    <t>MÁQUINA PARA SOLDA POR ELETROFUSÃO PARA TUBOS DE POLIETILENO DE ALTA DENSIDADE (PEAD) COM DIÂMETRO EXTERNO DE 20 A 800 MM, POTÊNCIA ENTRE 2750 E 3000 W - CHI DIURNO. AF_05/2023</t>
  </si>
  <si>
    <t>MÁQUINA PARA SOLDA POR ELETROFUSÃO PARA TUBOS DE POLIETILENO DE ALTA DENSIDADE (PEAD) COM DIÂMETRO EXTERNO DE 20 A 800 MM, POTÊNCIA ENTRE 2750 E 3000 W - CHP DIURNO. AF_05/2023</t>
  </si>
  <si>
    <t>MÁQUINA PARA SOLDA POR TERMOFUSÃO PARA TUBOS DE POLIETILENO DE ALTA DENSIDADE (PEAD) COM DIÂMETRO EXTERNO DE 315 A 630 MM, POTÊNCIA ENTRE 8000 E 12350 W - CHI DIURNO. AF_05/2023</t>
  </si>
  <si>
    <t>MÁQUINA PARA SOLDA POR TERMOFUSÃO PARA TUBOS DE POLIETILENO DE ALTA DENSIDADE (PEAD) COM DIÂMETRO EXTERNO DE 315 A 630 MM, POTÊNCIA ENTRE 8000 E 12350 W - CHP DIURNO. AF_05/2023</t>
  </si>
  <si>
    <t>MÁQUINA PARA SOLDA POR TERMOFUSÃO PARA TUBOS DE POLIETILENO DE ALTA DENSIDADE (PEAD) COM DIÂMETRO EXTERNO DE 710 A 1200 MM, POTÊNCIA ENTRE 16000 E 29500 W - CHI DIURNO. AF_05/2023</t>
  </si>
  <si>
    <t>MÁQUINA PARA SOLDA POR TERMOFUSÃO PARA TUBOS DE POLIETILENO DE ALTA DENSIDADE (PEAD) COM DIÂMETRO EXTERNO DE 710 A 1200 MM, POTÊNCIA ENTRE 16000 E 29500 W - CHP DIURNO. AF_05/2023</t>
  </si>
  <si>
    <t>MÁQUINA PARA SOLDA POR TERMOFUSÃO PARA TUBOS DE POLIETILENO DE ALTA DENSIDADE (PEAD) COM DIÂMETRO EXTERNO DE 90 A 315 MM, POTÊNCIA ENTRE 2500 E 5350 W - CHI DIURNO. AF_05/2023</t>
  </si>
  <si>
    <t>MÁQUINA PARA SOLDA POR TERMOFUSÃO PARA TUBOS DE POLIETILENO DE ALTA DENSIDADE (PEAD) COM DIÂMETRO EXTERNO DE 90 A 315 MM, POTÊNCIA ENTRE 2500 E 5350 W - CHP DIURNO. AF_05/2023</t>
  </si>
  <si>
    <t>MÁQUINA SOLDA ARCO COM PISTOLA DE SOLDAGEM PARA STUD BOLT DE 5 MM A 22 MM - CHI DIURNO. AF_05/2023</t>
  </si>
  <si>
    <t>MÁQUINA SOLDA ARCO COM PISTOLA DE SOLDAGEM PARA STUD BOLT DE 5 MM A 22 MM - CHP DIURNO. AF_05/2023</t>
  </si>
  <si>
    <t>PLATAFORMA ELEVATÓRIA - CHI DIURNO. AF_04/2019</t>
  </si>
  <si>
    <t>PLATAFORMA ELEVATÓRIA - CHP DIURNO. AF_04/2019</t>
  </si>
  <si>
    <t>PULVERIZADOR DE TINTA ELÉTRICO/MÁQUINA DE PINTURA AIRLESS, VAZÃO 2 L/MIN - CHI DIURNO. AF_05/2023</t>
  </si>
  <si>
    <t>PULVERIZADOR DE TINTA ELÉTRICO/MÁQUINA DE PINTURA AIRLESS, VAZÃO 2 L/MIN - CHP DIURNO. AF_05/2023</t>
  </si>
  <si>
    <t>SERRA FITA HORIZONTAL, ELÉTRICA, COM CONTROLE HIDRÁULICO, PAINEL DE COMANDO EM 24 V, MOTOR ELÉTRICO 1,5 CV, DIMENSÕES DA FITA 3880 X 27 X 0,9 MM, TRIFÁSICA - CHI DIURNO. AF_05/2023</t>
  </si>
  <si>
    <t>SERRA FITA HORIZONTAL, ELÉTRICA, COM CONTROLE HIDRÁULICO, PAINEL DE COMANDO EM 24 V, MOTOR ELÉTRICO 1,5 CV, DIMENSÕES DA FITA 3880 X 27 X 0,9 MM, TRIFÁSICA - CHP DIURNO. AF_05/2023</t>
  </si>
  <si>
    <t>TARTARUGA DE OXICORTE CG1, MONOFÁSICA, 220 V, FREQUÊNCIA 50 HZ, VELOCIDADE DE CORTE (MM/MIN) 50 A 750, DIÂMETRO MÍNIMO DO COMPASSO MM 200 - CHI DIURNO. AF_05/2023</t>
  </si>
  <si>
    <t>TARTARUGA DE OXICORTE CG1, MONOFÁSICA, 220 V, FREQUÊNCIA 50 HZ, VELOCIDADE DE CORTE (MM/MIN) 50 A 750, DIÂMETRO MÍNIMO DO COMPASSO MM 200 - CHP DIURNO. AF_05/2023</t>
  </si>
  <si>
    <t>UNIDADE DOSADORA AIRLESS TIPO HOT SPRAY - CHI DIURNO. AF_05/2023</t>
  </si>
  <si>
    <t>UNIDADE DOSADORA AIRLESS TIPO HOT SPRAY - CHP DIURNO. AF_05/2023</t>
  </si>
  <si>
    <t>VARREDEIRA DE GRAMA SINTÉTICA A GASOLINA, 2,4 CV, 4 TEMPOS - CHI DIURNO. AF_05/2023</t>
  </si>
  <si>
    <t>VARREDEIRA DE GRAMA SINTÉTICA A GASOLINA, 2,4 CV, 4 TEMPOS - CHP DIURNO. AF_05/2023</t>
  </si>
  <si>
    <t>DEMOLIÇÃO DE ESTRUTURAS DE CONCRETO ARMADO EM GERAL, DE FORMA MECANIZADA COM ROMPEDOR ACOPLADO EM ESCAVADEIRA HIDRÁULICA, SEM REAPROVEITAMENTO. AF_09/2023</t>
  </si>
  <si>
    <t>REMOÇÃO DE VIDRO, EM FACHADAS DE VIDRO, DE FORMA MECANIZADA, COM USO DE PLATAFORMA ELEVATÓRIA, SEM REAPROVEITAMENTO. AF_09/2023</t>
  </si>
  <si>
    <t>BATE ESTACA PARA INSTALAÇÃO DE DEFENSAS METÁLICAS (GUARD RAIL) FIXO, INCLUSIVE CAMINHÃO TOCO PBT 9.700 KG, POTÊNCIA DE 160 CV - DEPRECIAÇÃO. AF_05/2023</t>
  </si>
  <si>
    <t>BATE ESTACA PARA INSTALAÇÃO DE DEFENSAS METÁLICAS (GUARD RAIL) FIXO, INCLUSIVE CAMINHÃO TOCO PBT 9.700 KG, POTÊNCIA DE 160 CV - IMPOSTOS E SEGUROS. AF_05/2023</t>
  </si>
  <si>
    <t>BATE ESTACA PARA INSTALAÇÃO DE DEFENSAS METÁLICAS (GUARD RAIL) FIXO, INCLUSIVE CAMINHÃO TOCO PBT 9.700 KG, POTÊNCIA DE 160 CV - JUROS. AF_05/2023</t>
  </si>
  <si>
    <t>BATE ESTACA PARA INSTALAÇÃO DE DEFENSAS METÁLICAS (GUARD RAIL) FIXO, INCLUSIVE CAMINHÃO TOCO PBT 9.700 KG, POTÊNCIA DE 160 CV - MANUTENÇÃO. AF_05/2023</t>
  </si>
  <si>
    <t>BETONEIRA CAPACIDADE NOMINAL DE 250 L, CAPACIDADE DE MISTURA DE 175 L, MOTOR ELÉTRICO MONOFÁSICO POTÊNCIA 1CV - DEPRECIAÇÃO. AF_05/2023</t>
  </si>
  <si>
    <t>BETONEIRA CAPACIDADE NOMINAL DE 250 L, CAPACIDADE DE MISTURA DE 175 L, MOTOR ELÉTRICO MONOFÁSICO POTÊNCIA 1CV - JUROS. AF_05/2023</t>
  </si>
  <si>
    <t>BETONEIRA CAPACIDADE NOMINAL DE 250 L, CAPACIDADE DE MISTURA DE 175 L, MOTOR ELÉTRICO MONOFÁSICO POTÊNCIA 1CV - MANUTENÇÃO. AF_05/2023</t>
  </si>
  <si>
    <t>CALDEIRA A GÁS COM TERMOSTATO, CAPACIDADE 100 LITROS - DEPRECIAÇÃO. AF_05/2023</t>
  </si>
  <si>
    <t>CALDEIRA A GÁS COM TERMOSTATO, CAPACIDADE 100 LITROS - JUROS. AF_05/2023</t>
  </si>
  <si>
    <t>CALDEIRA A GÁS COM TERMOSTATO, CAPACIDADE 100 LITROS - MANUTENÇÃO. AF_05/2023</t>
  </si>
  <si>
    <t>CAMINHÃO TANQUE PARA HIDROSSEMEADURA, COM CAPACIDADE DE 8.000 LITROS, INCLUINDO BOMBA PARA LANÇAMENTO COM MOTOR DIESEL COM POTÊNCIA DE 105 CV - DEPRECIAÇÃO. AF_06/2023</t>
  </si>
  <si>
    <t>CAMINHÃO TANQUE PARA HIDROSSEMEADURA, COM CAPACIDADE DE 8.000 LITROS, INCLUINDO BOMBA PARA LANÇAMENTO COM MOTOR DIESEL COM POTÊNCIA DE 105 CV - IMPOSTOS E SEGUROS. AF_06/2023</t>
  </si>
  <si>
    <t>CAMINHÃO TANQUE PARA HIDROSSEMEADURA, COM CAPACIDADE DE 8.000 LITROS, INCLUINDO BOMBA PARA LANÇAMENTO COM MOTOR DIESEL COM POTÊNCIA DE 105 CV - JUROS. AF_06/2023</t>
  </si>
  <si>
    <t>CAMINHÃO TANQUE PARA HIDROSSEMEADURA, COM CAPACIDADE DE 8.000 LITROS, INCLUINDO BOMBA PARA LANÇAMENTO COM MOTOR DIESEL COM POTÊNCIA DE 105 CV - MANUTENÇÃO. AF_06/2023</t>
  </si>
  <si>
    <t>CENTRAL DE LAMA BENTONÍTICA (DEPÓSITO DE BENTONITA, MISTURADOR DE ALTA TURBULÊNCIA, SILOS DE ARMAZENAMENTO DE LAMA E ÁGUA, LABORATÓRIO DE CONTROLE DE QUALIDADE DA LAMA) - DEPRECIAÇÃO. AF_04/2019</t>
  </si>
  <si>
    <t>CENTRAL DE LAMA BENTONÍTICA (DEPÓSITO DE BENTONITA, MISTURADOR DE ALTA TURBULÊNCIA, SILOS DE ARMAZENAMENTO DE LAMA E ÁGUA, LABORATÓRIO DE CONTROLE DE QUALIDADE DA LAMA) - JUROS. AF_04/2019</t>
  </si>
  <si>
    <t>CENTRAL DE LAMA BENTONÍTICA (DEPÓSITO DE BENTONITA, MISTURADOR DE ALTA TURBULÊNCIA, SILOS DE ARMAZENAMENTO DE LAMA E ÁGUA, LABORATÓRIO DE CONTROLE DE QUALIDADE DA LAMA) - MANUTENÇÃO. AF_04/2019</t>
  </si>
  <si>
    <t>CONJUNTO MACACO E BOMBA HIDRÁULICA PARA PROTENSAO DE CORDOALHAS, ESFORÇO MAXIMO DE 115 TONELADAS - DEPRECIAÇÃO. AF_05/2023</t>
  </si>
  <si>
    <t>CONJUNTO MACACO E BOMBA HIDRÁULICA PARA PROTENSAO DE CORDOALHAS, ESFORÇO MAXIMO DE 115 TONELADAS - JUROS. AF_05/2023</t>
  </si>
  <si>
    <t>CONJUNTO MACACO E BOMBA HIDRÁULICA PARA PROTENSAO DE CORDOALHAS, ESFORÇO MAXIMO DE 115 TONELADAS - MANUTENÇÃO. AF_05/2023</t>
  </si>
  <si>
    <t>DOBRADEIRA TDC, ESPESSURA 1,5MM - DEPRECIAÇÃO. AF_05/2023</t>
  </si>
  <si>
    <t>DOBRADEIRA TDC, ESPESSURA 1,5MM - JUROS. AF_05/2023</t>
  </si>
  <si>
    <t>DOBRADEIRA TDC, ESPESSURA 1,5MM - MANUTENÇÃO. AF_05/2023</t>
  </si>
  <si>
    <t>ENCERADEIRA INDUSTRIAL, 400 MM, 220V, 1 HP - DEPRECIAÇÃO. AF_05/2023</t>
  </si>
  <si>
    <t>ENCERADEIRA INDUSTRIAL, 400 MM, 220V, 1 HP - JUROS. AF_05/2023</t>
  </si>
  <si>
    <t>ENCERADEIRA INDUSTRIAL, 400 MM, 220V, 1 HP - MANUTENÇÃO. AF_05/2023</t>
  </si>
  <si>
    <t>ESCAVADEIRA HIDRÁULICA SOBRE ESTEIRA, PESO OPERACIONAL ENTRE 22,00 E 23,50 T, POTÊNCIA NOMINAL 139 HP, COM MARTELO ROMPEDOR HIDRÁULICO 1700 KG - DEPRECIAÇÃO. AF_04/2019</t>
  </si>
  <si>
    <t>ESCAVADEIRA HIDRÁULICA SOBRE ESTEIRA, PESO OPERACIONAL ENTRE 22,00 E 23,50 T, POTÊNCIA NOMINAL 139 HP, COM MARTELO ROMPEDOR HIDRÁULICO 1700 KG - JUROS. AF_04/2019</t>
  </si>
  <si>
    <t>ESCAVADEIRA HIDRÁULICA SOBRE ESTEIRA, PESO OPERACIONAL ENTRE 22,00 E 23,50 T, POTÊNCIA NOMINAL 139 HP, COM MARTELO ROMPEDOR HIDRÁULICO 1700 KG - MANUTENÇÃO. AF_04/2019</t>
  </si>
  <si>
    <t>FURADEIRA ELETROMAGNÉTICA, VELOCIDADE (SEM CARGA/ COM CARGA) 450/ 270 RPM, ESPESSURA MÁXIMA DA CHAPA A SER FURADA 50 MM, PORÇA DE ADESÃO MAGNÉTICA 17000 N, POTÊNCIA 1100 W, ALIMENTÇÃO 220 - 60 HZ, MONOFÁSICA - DEPRECIAÇÃO. AF_08/2019</t>
  </si>
  <si>
    <t>FURADEIRA ELETROMAGNÉTICA, VELOCIDADE (SEM CARGA/ COM CARGA) 450/ 270 RPM, ESPESSURA MÁXIMA DA CHAPA A SER FURADA 50 MM, PORÇA DE ADESÃO MAGNÉTICA 17000 N, POTÊNCIA 1100 W, ALIMENTÇÃO 220 - 60 HZ, MONOFÁSICA - JUROS. AF_08/2019</t>
  </si>
  <si>
    <t>FURADEIRA ELETROMAGNÉTICA, VELOCIDADE (SEM CARGA/ COM CARGA) 450/ 270 RPM, ESPESSURA MÁXIMA DA CHAPA A SER FURADA 50 MM, PORÇA DE ADESÃO MAGNÉTICA 17000 N, POTÊNCIA 1100 W, ALIMENTÇÃO 220 - 60 HZ, MONOFÁSICA - MANUTENÇÃO. AF_08/2019</t>
  </si>
  <si>
    <t>GRUPO GERADOR DIESEL, COM CARENAGEM, POTÊNCIA STANDART ENTRE 400 E 460 KVA, VELOCIDADE DE 1800 RPM, FREQUÊNCIA DE 60 HZ - DEPRECIAÇÃO. AF_05/2023</t>
  </si>
  <si>
    <t>GRUPO GERADOR DIESEL, COM CARENAGEM, POTÊNCIA STANDART ENTRE 400 E 460 KVA, VELOCIDADE DE 1800 RPM, FREQUÊNCIA DE 60 HZ - JUROS. AF_05/2023</t>
  </si>
  <si>
    <t>GRUPO GERADOR DIESEL, COM CARENAGEM, POTÊNCIA STANDART ENTRE 400 E 460 KVA, VELOCIDADE DE 1800 RPM, FREQUÊNCIA DE 60 HZ - MANUTENÇÃO. AF_05/2023</t>
  </si>
  <si>
    <t>GUINDASTE DERRICK, LANÇA DE *20* M, CARGA MÁXIMA 10T, POTÊNCIA 45 KW - DEPRECIAÇÃO. AF_01/2024</t>
  </si>
  <si>
    <t>GUINDASTE DERRICK, LANÇA DE *20* M, CARGA MÁXIMA 10T, POTÊNCIA 45 KW - JUROS. AF_01/2024</t>
  </si>
  <si>
    <t>GUINDASTE DERRICK, LANÇA DE *20* M, CARGA MÁXIMA 10T, POTÊNCIA 45 KW - MANUTENÇÃO. AF_01/2024</t>
  </si>
  <si>
    <t>GUINDASTE HIDRAULICO AUTOPROPELIDO, COM LANÇA TRELIÇADA 40 M, CAPACIDADE MÁXIMA 75 T, EQUIPADO COM CLAMSHELL - DEPRECIAÇÃO. AF_04/2019</t>
  </si>
  <si>
    <t>GUINDASTE HIDRAULICO AUTOPROPELIDO, COM LANÇA TRELIÇADA 40 M, CAPACIDADE MÁXIMA 75 T, EQUIPADO COM CLAMSHELL - JUROS. AF_04/2019</t>
  </si>
  <si>
    <t>GUINDASTE HIDRAULICO AUTOPROPELIDO, COM LANÇA TRELIÇADA 40 M, CAPACIDADE MÁXIMA 75 T, EQUIPADO COM CLAMSHELL - MANUTENÇÃO. AF_04/2019</t>
  </si>
  <si>
    <t>GUINDASTE HIDRÁULICO AUTOPROPELIDO, COM LANÇA TRELICADA 41 M, CAPACIDADE MÁXIMA DE ELEVAÇÃO 43 T, POTÊNCIA 230 KW, EQUIPADO COM CAÇAMBA DE ARRASTO (DRAGLINE) DE 0,76 M3 - DEPRECIAÇÃO. AF_06/2023</t>
  </si>
  <si>
    <t>GUINDASTE HIDRÁULICO AUTOPROPELIDO, COM LANÇA TRELICADA 41 M, CAPACIDADE MÁXIMA DE ELEVAÇÃO 43 T, POTÊNCIA 230 KW, EQUIPADO COM CAÇAMBA DE ARRASTO (DRAGLINE) DE 0,76 M3 - JUROS. AF_06/2023</t>
  </si>
  <si>
    <t>GUINDASTE HIDRÁULICO AUTOPROPELIDO, COM LANÇA TRELICADA 41 M, CAPACIDADE MÁXIMA DE ELEVAÇÃO 43 T, POTÊNCIA 230 KW, EQUIPADO COM CAÇAMBA DE ARRASTO (DRAGLINE) DE 0,76 M3 - MANUTENÇÃO. AF_06/2023</t>
  </si>
  <si>
    <t>GUINDASTE HIDRÁULICO RODOVIÁRIO, LANCA TELESCÓPICA DE *50+20* M, CAPACIDADE MÁXIMA DE 90T, 4 EIXOS, POTÊNCIA 330 KW, MOTOR DIESEL - DEPRECIAÇÃO. AF_01/2024</t>
  </si>
  <si>
    <t>GUINDASTE HIDRÁULICO RODOVIÁRIO, LANCA TELESCÓPICA DE *50+20* M, CAPACIDADE MÁXIMA DE 90T, 4 EIXOS, POTÊNCIA 330 KW, MOTOR DIESEL - JUROS. AF_01/2024</t>
  </si>
  <si>
    <t>GUINDASTE HIDRÁULICO RODOVIÁRIO, LANCA TELESCÓPICA DE *50+20* M, CAPACIDADE MÁXIMA DE 90T, 4 EIXOS, POTÊNCIA 330 KW, MOTOR DIESEL - MANUTENÇÃO. AF_01/2024</t>
  </si>
  <si>
    <t>GUINDASTE SOBRE ESTEIRAS, COM LANÇA TRELIÇADA 40 M, CAPACIDADE MÁXIMA 75 T - DEPRECIAÇÃO. AF_04/2019</t>
  </si>
  <si>
    <t>GUINDASTE SOBRE ESTEIRAS, COM LANÇA TRELIÇADA 40 M, CAPACIDADE MÁXIMA 75 T - JUROS. AF_04/2019</t>
  </si>
  <si>
    <t>GUINDASTE SOBRE ESTEIRAS, COM LANÇA TRELIÇADA 40 M, CAPACIDADE MÁXIMA 75 T - MANUTENÇÃO. AF_04/2019</t>
  </si>
  <si>
    <t>GUINDASTE SOBRE ESTEIRAS, COM LANÇA TRELIÇADA 40 M, CAPACIDADE MÁXIMA 75 T, EQUIPADO COM CLAMSHELL - DEPRECIAÇÃO. AF_04/2019</t>
  </si>
  <si>
    <t>GUINDASTE SOBRE ESTEIRAS, COM LANÇA TRELIÇADA 40 M, CAPACIDADE MÁXIMA 75 T, EQUIPADO COM CLAMSHELL - JUROS. AF_04/2019</t>
  </si>
  <si>
    <t>GUINDASTE SOBRE ESTEIRAS, COM LANÇA TRELIÇADA 40 M, CAPACIDADE MÁXIMA 75 T, EQUIPADO COM CLAMSHELL - MANUTENÇÃO. AF_04/2019</t>
  </si>
  <si>
    <t>GUINDAUTO HIDRÁULICO, CAPACIDADE MÁXIMA DE CARGA 6200 KG, MOMENTO MÁXIMO DE CARGA 11,7 TM, ALCANCE MÁXIMO HORIZONTAL 9,70 M, INCLUSIVE CAMINHÃO TOCO PBT 16.000 KG, POTÊNCIA DE 189 CV E CESTA AÉREA COM ISOLAMENTO CLASSE C - DEPRECIAÇÃO. AF_01/2025</t>
  </si>
  <si>
    <t>GUINDAUTO HIDRÁULICO, CAPACIDADE MÁXIMA DE CARGA 6200 KG, MOMENTO MÁXIMO DE CARGA 11,7 TM, ALCANCE MÁXIMO HORIZONTAL 9,70 M, INCLUSIVE CAMINHÃO TOCO PBT 16.000 KG, POTÊNCIA DE 189 CV E CESTA AÉREA COM ISOLAMENTO CLASSE C - IMPOSTOS E SEGUROS. AF_01/2025</t>
  </si>
  <si>
    <t>GUINDAUTO HIDRÁULICO, CAPACIDADE MÁXIMA DE CARGA 6200 KG, MOMENTO MÁXIMO DE CARGA 11,7 TM, ALCANCE MÁXIMO HORIZONTAL 9,70 M, INCLUSIVE CAMINHÃO TOCO PBT 16.000 KG, POTÊNCIA DE 189 CV E CESTA AÉREA COM ISOLAMENTO CLASSE C - JUROS. AF_01/2025</t>
  </si>
  <si>
    <t>GUINDAUTO HIDRÁULICO, CAPACIDADE MÁXIMA DE CARGA 6200 KG, MOMENTO MÁXIMO DE CARGA 11,7 TM, ALCANCE MÁXIMO HORIZONTAL 9,70 M, INCLUSIVE CAMINHÃO TOCO PBT 16.000 KG, POTÊNCIA DE 189 CV E CESTA AÉREA COM ISOLAMENTO CLASSE C - MANUTENÇÃO. AF_01/2025</t>
  </si>
  <si>
    <t>GUINDAUTO HIDRÁULICO, CAPACIDADE MÁXIMA DE CARGA 6200 KG, MOMENTO MÁXIMO DE CARGA 11,7 TM, ALCANCE MÁXIMO HORIZONTAL 9,70 M, INCLUSIVE CAMINHÃO TOCO PBT 16.000 KG, POTÊNCIA DE 189 CV E CESTA AÉREA COM ISOLAMENTO CLASSE C - MATERIAIS NA OPERAÇÃO. AF_01/2025</t>
  </si>
  <si>
    <t>LIXADEIRA DE PAREDE, COM LED, POTÊNCIA 750 W, FREQUÊNCIA 60 HZ, VELOCIDADE 1000 A 2100 RPM, DIÂMETRO DA LIXA 225 MM - DEPRECIAÇÃO. AF_12/2022</t>
  </si>
  <si>
    <t>LIXADEIRA DE PAREDE, COM LED, POTÊNCIA 750 W, FREQUÊNCIA 60 HZ, VELOCIDADE 1000 A 2100 RPM, DIÂMETRO DA LIXA 225 MM - JUROS. AF_12/2022</t>
  </si>
  <si>
    <t>LIXADEIRA DE PAREDE, COM LED, POTÊNCIA 750 W, FREQUÊNCIA 60 HZ, VELOCIDADE 1000 A 2100 RPM, DIÂMETRO DA LIXA 225 MM - MANUTENÇÃO. AF_12/2022</t>
  </si>
  <si>
    <t>MARTELETE PERFURADOR/ ROMPEDOR ELÉTRICO, POTÊNCIA 800 W, 220 V - DEPRECIAÇÃO. AF_05/2023</t>
  </si>
  <si>
    <t>MARTELETE PERFURADOR/ ROMPEDOR ELÉTRICO, POTÊNCIA 800 W, 220 V - JUROS. AF_05/2023</t>
  </si>
  <si>
    <t>MARTELETE PERFURADOR/ ROMPEDOR ELÉTRICO, POTÊNCIA 800 W, 220 V - MANUTENÇÃO. AF_05/2023</t>
  </si>
  <si>
    <t>MARTELO PERFURADOR PNEUMÁTICO MANUAL, HASTE 19 X 108 MM, *11* KG - DEPRECIAÇÃO. AF_02/2025</t>
  </si>
  <si>
    <t>MARTELO PERFURADOR PNEUMÁTICO MANUAL, HASTE 19 X 108 MM, *11* KG - JUROS. AF_02/2025</t>
  </si>
  <si>
    <t>MARTELO PERFURADOR PNEUMÁTICO MANUAL, HASTE 19 X 108 MM, *11* KG - MANUTENÇÃO. AF_02/2025</t>
  </si>
  <si>
    <t>MINI GUINDASTE ARANHA SOBRE ESTEIRAS E LANCA TELESCÓPICA, CAPACIDADE MÁXIMA DE CARGA 3,0 TON, RAIO MÁXIMO DE TRABALHO 8,25 M, ALTURA DE LANÇA DO SOLO 9,2 M, 55 M DE CABO DE AÇO 8 MM, MOTOR ELÉTRICO 220/380 VOLTS TRIFÁSICO - DEPRECIAÇÃO. AF_03/2022</t>
  </si>
  <si>
    <t>MINI GUINDASTE ARANHA SOBRE ESTEIRAS E LANCA TELESCÓPICA, CAPACIDADE MÁXIMA DE CARGA 3,0 TON, RAIO MÁXIMO DE TRABALHO 8,25 M, ALTURA DE LANÇA DO SOLO 9,2 M, 55 M DE CABO DE AÇO 8 MM, MOTOR ELÉTRICO 220/380 VOLTS TRIFÁSICO - JUROS. AF_03/2022</t>
  </si>
  <si>
    <t>MINI GUINDASTE ARANHA SOBRE ESTEIRAS E LANCA TELESCÓPICA, CAPACIDADE MÁXIMA DE CARGA 3,0 TON, RAIO MÁXIMO DE TRABALHO 8,25 M, ALTURA DE LANÇA DO SOLO 9,2 M, 55 M DE CABO DE AÇO 8 MM, MOTOR ELÉTRICO 220/380 VOLTS TRIFÁSICO - MANUTENÇÃO. AF_03/2022</t>
  </si>
  <si>
    <t>MISTURADOR PARA PREPARO DE LAMA ESTABILIZANTE COM CAPACIDADE DE *4000* L, COM BOMBA CENTRÍFUGA 5,5 HP A 23,07 HP, PARA SISTEMA DE FURO DIRECIONAL - DEPRECIAÇÃO. AF_05/2023</t>
  </si>
  <si>
    <t>MISTURADOR PARA PREPARO DE LAMA ESTABILIZANTE COM CAPACIDADE DE *4000* L, COM BOMBA CENTRÍFUGA 5,5 HP A 23,07 HP, PARA SISTEMA DE FURO DIRECIONAL - JUROS. AF_05/2023</t>
  </si>
  <si>
    <t>MISTURADOR PARA PREPARO DE LAMA ESTABILIZANTE COM CAPACIDADE DE *4000* L, COM BOMBA CENTRÍFUGA 5,5 HP A 23,07 HP, PARA SISTEMA DE FURO DIRECIONAL - MANUTENÇÃO. AF_05/2023</t>
  </si>
  <si>
    <t>MÁQUINA DEMARCADORA DE FAIXA DE TRÁFEGO À FRIO, TRAÇÃO MANUAL, 4 CV, PRESSÃO MAX 3300 PSI, TANQUE 20 L - DEPRECIAÇÃO. AF_06/2021</t>
  </si>
  <si>
    <t>MÁQUINA DEMARCADORA DE FAIXA DE TRÁFEGO À FRIO, TRAÇÃO MANUAL, 4 CV, PRESSÃO MAX 3300 PSI, TANQUE 20 L - JUROS. AF_06/2021</t>
  </si>
  <si>
    <t>MÁQUINA DEMARCADORA DE FAIXA DE TRÁFEGO À FRIO, TRAÇÃO MANUAL, 4 CV, PRESSÃO MAX 3300 PSI, TANQUE 20 L - MANUTENÇÃO. AF_06/2021</t>
  </si>
  <si>
    <t>MÁQUINA FORMER DOBRAS DIVERSAS: 220V/380V TRIFÁSICO OU MONOFÁSICO, CAPACIDADE 0,5-1,27MM, MOTOR 2CV - DEPRECIAÇÃO. AF_05/2023</t>
  </si>
  <si>
    <t>MÁQUINA FORMER DOBRAS DIVERSAS: 220V/380V TRIFÁSICO OU MONOFÁSICO, CAPACIDADE 0,5-1,27MM, MOTOR 2CV - JUROS. AF_05/2023</t>
  </si>
  <si>
    <t>MÁQUINA FORMER DOBRAS DIVERSAS: 220V/380V TRIFÁSICO OU MONOFÁSICO, CAPACIDADE 0,5-1,27MM, MOTOR 2CV - MANUTENÇÃO. AF_05/2023</t>
  </si>
  <si>
    <t>MÁQUINA METALEIRA UNIVERSAL MODELO IW 110/180 BTD - DEPRECIAÇÃO. AF_05/2023</t>
  </si>
  <si>
    <t>MÁQUINA METALEIRA UNIVERSAL MODELO IW 110/180 BTD - JUROS. AF_05/2023</t>
  </si>
  <si>
    <t>MÁQUINA METALEIRA UNIVERSAL MODELO IW 110/180 BTD - MANUTENÇÃO. AF_05/2023</t>
  </si>
  <si>
    <t>MÁQUINA PARA SOLDA POR ELETROFUSÃO PARA TUBOS DE POLIETILENO DE ALTA DENSIDADE (PEAD) COM DIÂMETRO EXTERNO DE 20 A 1600 MM, POTÊNCIA DE 3500 W - DEPRECIAÇÃO. AF_05/2023</t>
  </si>
  <si>
    <t>MÁQUINA PARA SOLDA POR ELETROFUSÃO PARA TUBOS DE POLIETILENO DE ALTA DENSIDADE (PEAD) COM DIÂMETRO EXTERNO DE 20 A 1600 MM, POTÊNCIA DE 3500 W - JUROS. AF_05/2023</t>
  </si>
  <si>
    <t>MÁQUINA PARA SOLDA POR ELETROFUSÃO PARA TUBOS DE POLIETILENO DE ALTA DENSIDADE (PEAD) COM DIÂMETRO EXTERNO DE 20 A 1600 MM, POTÊNCIA DE 3500 W - MANUTENÇÃO. AF_05/2023</t>
  </si>
  <si>
    <t>MÁQUINA PARA SOLDA POR ELETROFUSÃO PARA TUBOS DE POLIETILENO DE ALTA DENSIDADE (PEAD) COM DIÂMETRO EXTERNO DE 20 A 800 MM, POTÊNCIA ENTRE 2750 E 3000 W - DEPRECIAÇÃO. AF_05/2023</t>
  </si>
  <si>
    <t>MÁQUINA PARA SOLDA POR ELETROFUSÃO PARA TUBOS DE POLIETILENO DE ALTA DENSIDADE (PEAD) COM DIÂMETRO EXTERNO DE 20 A 800 MM, POTÊNCIA ENTRE 2750 E 3000 W - JUROS. AF_05/2023</t>
  </si>
  <si>
    <t>MÁQUINA PARA SOLDA POR ELETROFUSÃO PARA TUBOS DE POLIETILENO DE ALTA DENSIDADE (PEAD) COM DIÂMETRO EXTERNO DE 20 A 800 MM, POTÊNCIA ENTRE 2750 E 3000 W - MANUTENÇÃO. AF_05/2023</t>
  </si>
  <si>
    <t>MÁQUINA PARA SOLDA POR TERMOFUSÃO PARA TUBOS DE POLIETILENO DE ALTA DENSIDADE (PEAD) COM DIÂMETRO EXTERNO DE 315 A 630 MM, POTÊNCIA ENTRE 8000 E 12350 W - DEPRECIAÇÃO. AF_05/2023</t>
  </si>
  <si>
    <t>MÁQUINA PARA SOLDA POR TERMOFUSÃO PARA TUBOS DE POLIETILENO DE ALTA DENSIDADE (PEAD) COM DIÂMETRO EXTERNO DE 315 A 630 MM, POTÊNCIA ENTRE 8000 E 12350 W - JUROS. AF_05/2023</t>
  </si>
  <si>
    <t>MÁQUINA PARA SOLDA POR TERMOFUSÃO PARA TUBOS DE POLIETILENO DE ALTA DENSIDADE (PEAD) COM DIÂMETRO EXTERNO DE 315 A 630 MM, POTÊNCIA ENTRE 8000 E 12350 W - MANUTENÇÃO. AF_05/2023</t>
  </si>
  <si>
    <t>MÁQUINA PARA SOLDA POR TERMOFUSÃO PARA TUBOS DE POLIETILENO DE ALTA DENSIDADE (PEAD) COM DIÂMETRO EXTERNO DE 710 A 1200 MM, POTÊNCIA ENTRE 16000 E 29500 W - DEPRECIAÇÃO. AF_05/2023</t>
  </si>
  <si>
    <t>MÁQUINA PARA SOLDA POR TERMOFUSÃO PARA TUBOS DE POLIETILENO DE ALTA DENSIDADE (PEAD) COM DIÂMETRO EXTERNO DE 710 A 1200 MM, POTÊNCIA ENTRE 16000 E 29500 W - JUROS. AF_05/2023</t>
  </si>
  <si>
    <t>MÁQUINA PARA SOLDA POR TERMOFUSÃO PARA TUBOS DE POLIETILENO DE ALTA DENSIDADE (PEAD) COM DIÂMETRO EXTERNO DE 710 A 1200 MM, POTÊNCIA ENTRE 16000 E 29500 W - MANUTENÇÃO. AF_05/2023</t>
  </si>
  <si>
    <t>MÁQUINA PARA SOLDA POR TERMOFUSÃO PARA TUBOS DE POLIETILENO DE ALTA DENSIDADE (PEAD) COM DIÂMETRO EXTERNO DE 90 A 315 MM, POTÊNCIA ENTRE 2500 E 5350 W - DEPRECIAÇÃO. AF_05/2023</t>
  </si>
  <si>
    <t>MÁQUINA PARA SOLDA POR TERMOFUSÃO PARA TUBOS DE POLIETILENO DE ALTA DENSIDADE (PEAD) COM DIÂMETRO EXTERNO DE 90 A 315 MM, POTÊNCIA ENTRE 2500 E 5350 W - JUROS. AF_05/2023</t>
  </si>
  <si>
    <t>MÁQUINA PARA SOLDA POR TERMOFUSÃO PARA TUBOS DE POLIETILENO DE ALTA DENSIDADE (PEAD) COM DIÂMETRO EXTERNO DE 90 A 315 MM, POTÊNCIA ENTRE 2500 E 5350 W - MANUTENÇÃO. AF_05/2023</t>
  </si>
  <si>
    <t>MÁQUINA SOLDA ARCO COM PISTOLA DE SOLDAGEM PARA STUD BOLT DE 5 MM A 22 MM - DEPRECIAÇÃO. AF_05/2023</t>
  </si>
  <si>
    <t>MÁQUINA SOLDA ARCO COM PISTOLA DE SOLDAGEM PARA STUD BOLT DE 5 MM A 22 MM - JUROS. AF_05/2023</t>
  </si>
  <si>
    <t>MÁQUINA SOLDA ARCO COM PISTOLA DE SOLDAGEM PARA STUD BOLT DE 5 MM A 22 MM - MANUTENÇÃO. AF_05/2023</t>
  </si>
  <si>
    <t>PLATAFORMA ELEVATÓRIA - DEPRECIAÇÃO. AF_04/2019</t>
  </si>
  <si>
    <t>PLATAFORMA ELEVATÓRIA - JUROS. AF_04/2019</t>
  </si>
  <si>
    <t>PLATAFORMA ELEVATÓRIA - MANUTENÇÃO. AF_04/2019</t>
  </si>
  <si>
    <t>PULVERIZADOR DE TINTA ELÉTRICO/MÁQUINA DE PINTURA AIRLESS, VAZÃO 2 L/MIN - DEPRECIAÇÃO. AF_05/2023</t>
  </si>
  <si>
    <t>PULVERIZADOR DE TINTA ELÉTRICO/MÁQUINA DE PINTURA AIRLESS, VAZÃO 2 L/MIN - JUROS. AF_05/2023</t>
  </si>
  <si>
    <t>PULVERIZADOR DE TINTA ELÉTRICO/MÁQUINA DE PINTURA AIRLESS, VAZÃO 2 L/MIN - MANUTENÇÃO. AF_05/2023</t>
  </si>
  <si>
    <t>RETROESCAVADEIRA SOBRE RODAS COM CARREGADEIRA, PESO OPERACIONAL MÍN. 6,674, POTÊNCIA LÍQ 88 HP, COM MARTELO ROMPEDOR HIDRÁULICO ENTRE 275 A 362 KG - JUROS. AF_02/2021</t>
  </si>
  <si>
    <t>SERRA FITA HORIZONTAL, ELÉTRICA, COM CONTROLE HIDRÁULICO, PAINEL DE COMANDO EM 24 V, MOTOR ELÉTRICO 1,5 CV, DIMENSÕES DA FITA 3880 X 27 X 0,9 MM, TRIFÁSICA - DEPRECIAÇÃO. AF_05/2023</t>
  </si>
  <si>
    <t>SERRA FITA HORIZONTAL, ELÉTRICA, COM CONTROLE HIDRÁULICO, PAINEL DE COMANDO EM 24 V, MOTOR ELÉTRICO 1,5 CV, DIMENSÕES DA FITA 3880 X 27 X 0,9 MM, TRIFÁSICA - JUROS. AF_05/2023</t>
  </si>
  <si>
    <t>SERRA FITA HORIZONTAL, ELÉTRICA, COM CONTROLE HIDRÁULICO, PAINEL DE COMANDO EM 24 V, MOTOR ELÉTRICO 1,5 CV, DIMENSÕES DA FITA 3880 X 27 X 0,9 MM, TRIFÁSICA - MANUTENÇÃO. AF_05/2023</t>
  </si>
  <si>
    <t>TARTARUGA DE OXICORTE CG1, MONOFÁSICA, 220 V, FREQUÊNCIA 50 HZ, VELOCIDADE DE CORTE (MM/MIN) 50 A 750, DIÂMETRO MÍNIMO DO COMPASSO MM 200 - DEPRECIAÇÃO. AF_05/2023</t>
  </si>
  <si>
    <t>TARTARUGA DE OXICORTE CG1, MONOFÁSICA, 220 V, FREQUÊNCIA 50 HZ, VELOCIDADE DE CORTE (MM/MIN) 50 A 750, DIÂMETRO MÍNIMO DO COMPASSO MM 200 - JUROS. AF_05/2023</t>
  </si>
  <si>
    <t>TARTARUGA DE OXICORTE CG1, MONOFÁSICA, 220 V, FREQUÊNCIA 50 HZ, VELOCIDADE DE CORTE (MM/MIN) 50 A 750, DIÂMETRO MÍNIMO DO COMPASSO MM 200 - MANUTENÇÃO. AF_05/2023</t>
  </si>
  <si>
    <t>UNIDADE DOSADORA AIRLESS TIPO HOT SPRAY - DEPRECIAÇÃO. AF_05/2023</t>
  </si>
  <si>
    <t>UNIDADE DOSADORA AIRLESS TIPO HOT SPRAY - JUROS. AF_05/2023</t>
  </si>
  <si>
    <t>UNIDADE DOSADORA AIRLESS TIPO HOT SPRAY - MANUTENÇÃO. AF_05/2023</t>
  </si>
  <si>
    <t>VARREDEIRA DE GRAMA SINTÉTICA A GASOLINA, 2,4 CV, 4 TEMPOS - DEPRECIAÇÃO. AF_05/2023</t>
  </si>
  <si>
    <t>VARREDEIRA DE GRAMA SINTÉTICA A GASOLINA, 2,4 CV, 4 TEMPOS - JUROS. AF_05/2023</t>
  </si>
  <si>
    <t>VARREDEIRA DE GRAMA SINTÉTICA A GASOLINA, 2,4 CV, 4 TEMPOS - MANUTENÇÃO. AF_05/2023</t>
  </si>
  <si>
    <t>DRAGAGEM DE MATERIAIS DE 1A CATEGORIA E COMPOSTOS ORGÂNICOS E INORGÂNICOS COM DRAGLINE (CAÇAMBA: 0,76 M3/ 43 T). AF_03/2024</t>
  </si>
  <si>
    <t>CAIXA DE PASSAGEM PARA AR CONDICIONADO - FORNECIMENTO E INSTALAÇÃO. AF_08/2022</t>
  </si>
  <si>
    <t>DRENO EM MURO DE CONTENÇÃO, EXECUTADO NO PÉ DO MURO, COM TUBO DE PEAD CORRUGADO FLEXÍVEL PERFURADO, ENVOLVIDO COM GEOCOMPOSTO DRENANTE. AF_07/2021</t>
  </si>
  <si>
    <t>GEOCOMPOSTO DRENANTE, INSTALADO EM MURO DE CONTENÇÃO - EXCLUSIVE DRENO NO PÉ DO MURO. AF_07/2021</t>
  </si>
  <si>
    <t>FABRICAÇÃO DE CURVA, REDUÇÃO OU TÊ PARA DUTO PARA AR CONDICIONADO EM CHAPA GALVANIZADA BITOLA 22. AF_03/2024</t>
  </si>
  <si>
    <t>FABRICAÇÃO DE CURVA, REDUÇÃO OU TÊ PARA DUTO PARA AR CONDICIONADO EM CHAPA GALVANIZADA BITOLA 24. AF_03/2024</t>
  </si>
  <si>
    <t>FABRICAÇÃO DE CURVA, REDUÇÃO OU TÊ PARA DUTO PARA AR CONDICIONADO EM CHAPA GALVANIZADA BITOLA 26. AF_03/2024</t>
  </si>
  <si>
    <t>FABRICAÇÃO DE DUTO RETANGULAR PARA AR CONDICIONADO (TRECHO RETO) EM CHAPA GALVANIZADA BITOLA 22. AF_03/2024</t>
  </si>
  <si>
    <t>FABRICAÇÃO DE DUTO RETANGULAR PARA AR CONDICIONADO (TRECHO RETO) EM CHAPA GALVANIZADA BITOLA 24. AF_03/2024</t>
  </si>
  <si>
    <t>FABRICAÇÃO DE DUTO RETANGULAR PARA AR CONDICIONADO (TRECHO RETO) EM CHAPA GALVANIZADA BITOLA 26. AF_03/2024</t>
  </si>
  <si>
    <t>FABRICAÇÃO DE DUTO RETANGULAR PARA AR CONDICIONADO EM PAINEL PRÉ-ISOLADO. AF_03/2024</t>
  </si>
  <si>
    <t>INSTALAÇÃO DE COLARINHO DE AÇO GALVANIZADO DN 109 MM (4") PARA DUTO FLEXÍVEL CIRCULAR PARA AR CONDICIONADO. AF_03/2024</t>
  </si>
  <si>
    <t>INSTALAÇÃO DE COLARINHO DE AÇO GALVANIZADO DN 131 MM (5") PARA DUTO FLEXÍVEL CIRCULAR PARA AR CONDICIONADO. AF_03/2024</t>
  </si>
  <si>
    <t>INSTALAÇÃO DE COLARINHO DE AÇO GALVANIZADO DN 161 MM (6") PARA DUTO FLEXÍVEL CIRCULAR PARA AR CONDICIONADO. AF_03/2024</t>
  </si>
  <si>
    <t>INSTALAÇÃO DE COLARINHO DE AÇO GALVANIZADO DN 185 MM (7") PARA DUTO FLEXÍVEL CIRCULAR PARA AR CONDICIONADO. AF_03/2024</t>
  </si>
  <si>
    <t>INSTALAÇÃO DE COLARINHO DE AÇO GALVANIZADO DN 209 MM (8") PARA DUTO FLEXÍVEL CIRCULAR PARA AR CONDICIONADO. AF_03/2024</t>
  </si>
  <si>
    <t>INSTALAÇÃO DE COLARINHO DE AÇO GALVANIZADO DN 263 MM (10") PARA DUTO FLEXÍVEL CIRCULAR PARA AR CONDICIONADO. AF_03/2024</t>
  </si>
  <si>
    <t>INSTALAÇÃO DE COLARINHO DE AÇO GALVANIZADO DN 314 MM (12") PARA DUTO FLEXÍVEL CIRCULAR PARA AR CONDICIONADO. AF_03/2024</t>
  </si>
  <si>
    <t>INSTALAÇÃO DE COLARINHO DE AÇO GALVANIZADO DN 364 MM (14") PARA DUTO FLEXÍVEL CIRCULAR PARA AR CONDICIONADO. AF_03/2024</t>
  </si>
  <si>
    <t>INSTALAÇÃO DE CURVA, REDUÇÃO OU TÊ DE DUTO PARA AR CONDICIONADO EM CHAPA GALVANIZADA BITOLA 22 - COM ISOLAMENTO DE MANTA FIXADA NA CHAPA COM CLAVO, INCLUSO FABRICAÇÃO. AF_03/2024</t>
  </si>
  <si>
    <t>INSTALAÇÃO DE CURVA, REDUÇÃO OU TÊ DE DUTO PARA AR CONDICIONADO EM CHAPA GALVANIZADA BITOLA 22 - COM ISOLAMENTO DE MANTA FIXADA NA CHAPA COM FITA PLÁSTICA, INCLUSO FABRICAÇÃO. AF_03/2024</t>
  </si>
  <si>
    <t>INSTALAÇÃO DE CURVA, REDUÇÃO OU TÊ DE DUTO PARA AR CONDICIONADO EM CHAPA GALVANIZADA BITOLA 24 - COM ISOLAMENTO DE MANTA FIXADA NA CHAPA COM CLAVO, INCLUSO FABRICAÇÃO. AF_03/2024</t>
  </si>
  <si>
    <t>INSTALAÇÃO DE CURVA, REDUÇÃO OU TÊ DE DUTO PARA AR CONDICIONADO EM CHAPA GALVANIZADA BITOLA 24 - COM ISOLAMENTO DE MANTA FIXADA NA CHAPA COM FITA PLÁSTICA, INCLUSO FABRICAÇÃO. AF_03/2024</t>
  </si>
  <si>
    <t>INSTALAÇÃO DE CURVA, REDUÇÃO OU TÊ DE DUTO PARA AR CONDICIONADO EM CHAPA GALVANIZADA BITOLA 26 - COM ISOLAMENTO DE MANTA FIXADA NA CHAPA COM CLAVO, INCLUSO FABRICAÇÃO. AF_03/2024</t>
  </si>
  <si>
    <t>INSTALAÇÃO DE CURVA, REDUÇÃO OU TÊ DE DUTO PARA AR CONDICIONADO EM CHAPA GALVANIZADA BITOLA 26 - COM ISOLAMENTO DE MANTA FIXADA NA CHAPA COM FITA PLÁSTICA, INCLUSO FABRICAÇÃO. AF_03/2024</t>
  </si>
  <si>
    <t>INSTALAÇÃO DE CURVA, REDUÇÃO OU TÊ PARA DUTO PARA AR CONDICIONADO EM CHAPA GALVANIZADA BITOLA 22 - COM ISOLAMENTO DE MANTA COLADA NA CHAPA, INCLUSO FABRICAÇÃO. AF_03/2024</t>
  </si>
  <si>
    <t>INSTALAÇÃO DE CURVA, REDUÇÃO OU TÊ PARA DUTO PARA AR CONDICIONADO EM CHAPA GALVANIZADA BITOLA 22 - SEM ISOLAMENTO, INCLUSO FABRICAÇÃO. AF_03/2024</t>
  </si>
  <si>
    <t>INSTALAÇÃO DE CURVA, REDUÇÃO OU TÊ PARA DUTO PARA AR CONDICIONADO EM CHAPA GALVANIZADA BITOLA 24 - COM ISOLAMENTO DE MANTA COLADA NA CHAPA, INCLUSO FABRICAÇÃO. AF_03/2024</t>
  </si>
  <si>
    <t>INSTALAÇÃO DE CURVA, REDUÇÃO OU TÊ PARA DUTO PARA AR CONDICIONADO EM CHAPA GALVANIZADA BITOLA 24 - SEM ISOLAMENTO, INCLUSO FABRICAÇÃO. AF_03/2024</t>
  </si>
  <si>
    <t>INSTALAÇÃO DE CURVA, REDUÇÃO OU TÊ PARA DUTO PARA AR CONDICIONADO EM CHAPA GALVANIZADA BITOLA 26 - COM ISOLAMENTO DE MANTA COLADA NA CHAPA, INCLUSO FABRICAÇÃO. AF_03/2024</t>
  </si>
  <si>
    <t>INSTALAÇÃO DE CURVA, REDUÇÃO OU TÊ PARA DUTO PARA AR CONDICIONADO EM CHAPA GALVANIZADA BITOLA 26 - SEM ISOLAMENTO, INCLUSO FABRICAÇÃO. AF_03/2024</t>
  </si>
  <si>
    <t>INSTALAÇÃO DE DUTO FLEXÍVEL CIRCULAR PARA AR CONDICIONADO EM ALUMÍNIO ISOLADO - DN 109 MM (4"). AF_03/2024</t>
  </si>
  <si>
    <t>INSTALAÇÃO DE DUTO FLEXÍVEL CIRCULAR PARA AR CONDICIONADO EM ALUMÍNIO ISOLADO - DN 131 MM (5"). AF_03/2024</t>
  </si>
  <si>
    <t>INSTALAÇÃO DE DUTO FLEXÍVEL CIRCULAR PARA AR CONDICIONADO EM ALUMÍNIO ISOLADO - DN 161 MM (6"). AF_03/2024</t>
  </si>
  <si>
    <t>INSTALAÇÃO DE DUTO FLEXÍVEL CIRCULAR PARA AR CONDICIONADO EM ALUMÍNIO ISOLADO - DN 185 MM (7"). AF_03/2024</t>
  </si>
  <si>
    <t>INSTALAÇÃO DE DUTO FLEXÍVEL CIRCULAR PARA AR CONDICIONADO EM ALUMÍNIO ISOLADO - DN 209 MM (8"). AF_03/2024</t>
  </si>
  <si>
    <t>INSTALAÇÃO DE DUTO FLEXÍVEL CIRCULAR PARA AR CONDICIONADO EM ALUMÍNIO ISOLADO - DN 263 MM (10"). AF_03/2024</t>
  </si>
  <si>
    <t>INSTALAÇÃO DE DUTO FLEXÍVEL CIRCULAR PARA AR CONDICIONADO EM ALUMÍNIO ISOLADO - DN 314 MM (12"). AF_03/2024</t>
  </si>
  <si>
    <t>INSTALAÇÃO DE DUTO FLEXÍVEL CIRCULAR PARA AR CONDICIONADO EM ALUMÍNIO ISOLADO - DN 364 MM (14"). AF_03/2024</t>
  </si>
  <si>
    <t>INSTALAÇÃO DE DUTO RETANGULAR PARA AR CONDICIONADO (TRECHO RETO) EM CHAPA GALVANIZADA BITOLA 22 - COM ISOLAMENTO DE MANTA COLADA NA CHAPA, INCLUSO FABRICAÇÃO. AF_03/2024</t>
  </si>
  <si>
    <t>INSTALAÇÃO DE DUTO RETANGULAR PARA AR CONDICIONADO (TRECHO RETO) EM CHAPA GALVANIZADA BITOLA 22 - COM ISOLAMENTO DE MANTA FIXADA NA CHAPA COM CLAVO, INCLUSO FABRICAÇÃO. AF_03/2024</t>
  </si>
  <si>
    <t>INSTALAÇÃO DE DUTO RETANGULAR PARA AR CONDICIONADO (TRECHO RETO) EM CHAPA GALVANIZADA BITOLA 22 - COM ISOLAMENTO DE MANTA FIXADA NA CHAPA COM FITA PLÁSTICA, INCLUSO FABRICAÇÃO. AF_03/2024</t>
  </si>
  <si>
    <t>INSTALAÇÃO DE DUTO RETANGULAR PARA AR CONDICIONADO (TRECHO RETO) EM CHAPA GALVANIZADA BITOLA 22 - SEM ISOLAMENTO, INCLUSO FABRICAÇÃO. AF_03/2024</t>
  </si>
  <si>
    <t>INSTALAÇÃO DE DUTO RETANGULAR PARA AR CONDICIONADO (TRECHO RETO) EM CHAPA GALVANIZADA BITOLA 24 - COM ISOLAMENTO DE MANTA COLADA NA CHAPA, INCLUSO FABRICAÇÃO. AF_03/2024</t>
  </si>
  <si>
    <t>INSTALAÇÃO DE DUTO RETANGULAR PARA AR CONDICIONADO (TRECHO RETO) EM CHAPA GALVANIZADA BITOLA 24 - COM ISOLAMENTO DE MANTA FIXADA NA CHAPA COM CLAVO, INCLUSO FABRICAÇÃO. AF_03/2024</t>
  </si>
  <si>
    <t>INSTALAÇÃO DE DUTO RETANGULAR PARA AR CONDICIONADO (TRECHO RETO) EM CHAPA GALVANIZADA BITOLA 24 - COM ISOLAMENTO DE MANTA FIXADA NA CHAPA COM FITA PLÁSTICA, INCLUSO FABRICAÇÃO. AF_03/2024</t>
  </si>
  <si>
    <t>INSTALAÇÃO DE DUTO RETANGULAR PARA AR CONDICIONADO (TRECHO RETO) EM CHAPA GALVANIZADA BITOLA 24 - SEM ISOLAMENTO, INCLUSO FABRICAÇÃO. AF_03/2024</t>
  </si>
  <si>
    <t>INSTALAÇÃO DE DUTO RETANGULAR PARA AR CONDICIONADO (TRECHO RETO) EM CHAPA GALVANIZADA BITOLA 26 - COM ISOLAMENTO DE MANTA COLADA NA CHAPA, INCLUSO FABRICAÇÃO. AF_03/2024</t>
  </si>
  <si>
    <t>INSTALAÇÃO DE DUTO RETANGULAR PARA AR CONDICIONADO (TRECHO RETO) EM CHAPA GALVANIZADA BITOLA 26 - COM ISOLAMENTO DE MANTA FIXADA NA CHAPA COM CLAVO, INCLUSO FABRICAÇÃO. AF_03/2024</t>
  </si>
  <si>
    <t>INSTALAÇÃO DE DUTO RETANGULAR PARA AR CONDICIONADO (TRECHO RETO) EM CHAPA GALVANIZADA BITOLA 26 - COM ISOLAMENTO DE MANTA FIXADA NA CHAPA COM FITA PLÁSTICA, INCLUSO FABRICAÇÃO. AF_03/2024</t>
  </si>
  <si>
    <t>INSTALAÇÃO DE DUTO RETANGULAR PARA AR CONDICIONADO (TRECHO RETO) EM CHAPA GALVANIZADA BITOLA 26 - SEM ISOLAMENTO, INCLUSO FABRICAÇÃO. AF_03/2024</t>
  </si>
  <si>
    <t>INSTALAÇÃO DE DUTO RETANGULAR PARA AR CONDICIONADO EM PAINEL PRÉ-ISOLADO, INCLUSO FABRICAÇÃO. AF_03/2024</t>
  </si>
  <si>
    <t>COTOVELO HORIZONTAL 90º PARA ELETROCALHA, LISA OU PERFURADA EM AÇO GALVANIZADO, LARGURA DE 100MM E ALTURA DE 50MM - FORNECIMENTO E INSTALAÇÃO. AF_04/2023</t>
  </si>
  <si>
    <t>COTOVELO HORIZONTAL 90º PARA ELETROCALHA, LISA OU PERFURADA EM AÇO GALVANIZADO, LARGURA DE 50MM E ALTURA DE 50MM - FORNECIMENTO E INSTALAÇÃO. AF_04/2023</t>
  </si>
  <si>
    <t>COTOVELO HORIZONTAL 90º PARA ELETROCALHA, LISA OU PERFURADA EM AÇO GALVANIZADO, LARGURA DE 75MM E ALTURA DE 50MM - FORNECIMENTO E INSTALAÇÃO. AF_04/2023</t>
  </si>
  <si>
    <t>COTOVELO HORIZONTAL 90º, PARA ELETROCALHA, LISA OU PERFURADA EM AÇO GALVANIZADO, LARGURA DE 125MM E ALTURA DE 50MM - FORNECIMENTO E INSTALAÇÃO. AF_04/2023</t>
  </si>
  <si>
    <t>COTOVELO HORIZONTAL 90º, PARA ELETROCALHA, LISA OU PERFURADA EM AÇO GALVANIZADO, LARGURA DE 150MM E ALTURA DE 50MM - FORNECIMENTO E INSTALAÇÃO. AF_04/2023</t>
  </si>
  <si>
    <t>COTOVELO HORIZONTAL 90º, PARA ELETROCALHA, LISA OU PERFURADA EM AÇO GALVANIZADO, LARGURA DE 200MM E ALTURA DE 50MM - FORNECIMENTO E INSTALAÇÃO. AF_04/2023</t>
  </si>
  <si>
    <t>COTOVELO HORIZONTAL 90º, PARA ELETROCALHA, LISA OU PERFURADA EM AÇO GALVANIZADO, LARGURA DE 250MM E ALTURA DE 50MM - FORNECIMENTO E INSTALAÇÃO. AF_04/2023</t>
  </si>
  <si>
    <t>COTOVELO HORIZONTAL 90º, PARA ELETROCALHA, LISA OU PERFURADA EM AÇO GALVANIZADO, LARGURA DE 300MM E ALTURA DE 50MM - FORNECIMENTO E INSTALAÇÃO. AF_04/2023</t>
  </si>
  <si>
    <t>COTOVELO HORIZONTAL 90º, PARA ELETROCALHA, LISA OU PERFURADA EM AÇO GALVANIZADO, LARGURA DE 400MM E ALTURA DE 50MM - FORNECIMENTO E INSTALAÇÃO. AF_04/2023</t>
  </si>
  <si>
    <t>COTOVELO HORIZONTAL 90º, PARA ELETROCALHA, LISA OU PERFURADA EM AÇO GALVANIZADO, LARGURA DE 500MM E ALTURA DE 50MM - FORNECIMENTO E INSTALAÇÃO. AF_04/2023</t>
  </si>
  <si>
    <t>COTOVELO HORIZONTAL 90º, PARA ELETROCALHA, LISA OU PERFURADA EM AÇO GALVANIZADO, LARGURA DE 600MM E ALTURA DE 50MM - FORNECIMENTO E INSTALAÇÃO. AF_04/2023</t>
  </si>
  <si>
    <t>COTOVELO HORIZONTAL 90º, PARA ELETROCALHA, LISA OU PERFURADA EM AÇO GALVANIZADO, LARGURA DE 700MM E ALTURA DE 50MM - FORNECIMENTO E INSTALAÇÃO. AF_04/2023</t>
  </si>
  <si>
    <t>COTOVELO HORIZONTAL 90º, PARA ELETROCALHA, LISA OU PERFURADA EM AÇO GALVANIZADO, LARGURA DE 800MM E ALTURA DE 50MM - FORNECIMENTO E INSTALAÇÃO. AF_04/2023</t>
  </si>
  <si>
    <t>COTOVELO RETO 90º PARA ELETROCALHA, LISA OU PERFURADA EM AÇO GALVANIZADO, LARGURA DE 100MM E ALTURA DE 50MM - FORNECIMENTO E INSTALAÇÃO. AF_04/2023</t>
  </si>
  <si>
    <t>COTOVELO RETO 90º PARA ELETROCALHA, LISA OU PERFURADA EM AÇO GALVANIZADO, LARGURA DE 50MM E ALTURA DE 50MM - FORNECIMENTO E INSTALAÇÃO. AF_04/2023</t>
  </si>
  <si>
    <t>COTOVELO RETO 90º PARA ELETROCALHA, LISA OU PERFURADA EM AÇO GALVANIZADO, LARGURA DE 75MM E ALTURA DE 50MM - FORNECIMENTO E INSTALAÇÃO. AF_04/2023</t>
  </si>
  <si>
    <t>COTOVELO RETO 90º, PARA ELETROCALHA, LISA OU PERFURADA EM AÇO GALVANIZADO, LARGURA DE 125MM E ALTURA DE 50MM - FORNECIMENTO E INSTALAÇÃO. AF_04/2023</t>
  </si>
  <si>
    <t>COTOVELO RETO 90º, PARA ELETROCALHA, LISA OU PERFURADA EM AÇO GALVANIZADO, LARGURA DE 150MM E ALTURA DE 50MM - FORNECIMENTO E INSTALAÇÃO. AF_04/2023</t>
  </si>
  <si>
    <t>COTOVELO RETO 90º, PARA ELETROCALHA, LISA OU PERFURADA EM AÇO GALVANIZADO, LARGURA DE 200MM E ALTURA DE 50MM - FORNECIMENTO E INSTALAÇÃO. AF_04/2023</t>
  </si>
  <si>
    <t>COTOVELO RETO 90º, PARA ELETROCALHA, LISA OU PERFURADA EM AÇO GALVANIZADO, LARGURA DE 250MM E ALTURA DE 50MM - FORNECIMENTO E INSTALAÇÃO. AF_04/2023</t>
  </si>
  <si>
    <t>COTOVELO RETO 90º, PARA ELETROCALHA, LISA OU PERFURADA EM AÇO GALVANIZADO, LARGURA DE 300MM E ALTURA DE 50MM - FORNECIMENTO E INSTALAÇÃO. AF_04/2023</t>
  </si>
  <si>
    <t>COTOVELO RETO 90º, PARA ELETROCALHA, LISA OU PERFURADA EM AÇO GALVANIZADO, LARGURA DE 400MM E ALTURA DE 50MM - FORNECIMENTO E INSTALAÇÃO. AF_04/2023</t>
  </si>
  <si>
    <t>COTOVELO RETO 90º, PARA ELETROCALHA, LISA OU PERFURADA EM AÇO GALVANIZADO, LARGURA DE 500MM E ALTURA DE 50MM - FORNECIMENTO E INSTALAÇÃO. AF_04/2023</t>
  </si>
  <si>
    <t>COTOVELO RETO 90º, PARA ELETROCALHA, LISA OU PERFURADA EM AÇO GALVANIZADO, LARGURA DE 600MM E ALTURA DE 50MM - FORNECIMENTO E INSTALAÇÃO. AF_04/2023</t>
  </si>
  <si>
    <t>COTOVELO RETO 90º, PARA ELETROCALHA, LISA OU PERFURADA EM AÇO GALVANIZADO, LARGURA DE 700MM E ALTURA DE 50MM - FORNECIMENTO E INSTALAÇÃO. AF_04/2023</t>
  </si>
  <si>
    <t>COTOVELO RETO 90º, PARA ELETROCALHA, LISA OU PERFURADA EM AÇO GALVANIZADO, LARGURA DE 800MM E ALTURA DE 50MM - FORNECIMENTO E INSTALAÇÃO. AF_04/2023</t>
  </si>
  <si>
    <t>CURVA HORIZONTAL 90º PARA ELETROCALHA, LISA OU PERFURADA EM AÇO GALVANIZADO, LARGURA DE 100MM E ALTURA DE 50MM - FORNECIMENTO E INSTALAÇÃO. AF_04/2023</t>
  </si>
  <si>
    <t>CURVA HORIZONTAL 90º PARA ELETROCALHA, LISA OU PERFURADA EM AÇO GALVANIZADO, LARGURA DE 50MM E ALTURA DE 50MM - FORNECIMENTO E INSTALAÇÃO. AF_04/2023</t>
  </si>
  <si>
    <t>CURVA HORIZONTAL 90º, PARA ELETROCALHA, LISA OU PERFURADA EM AÇO GALVANIZADO, LARGURA DE 125MM E ALTURA DE 50MM - FORNECIMENTO E INSTALAÇÃO. AF_04/2023</t>
  </si>
  <si>
    <t>CURVA HORIZONTAL 90º, PARA ELETROCALHA, LISA OU PERFURADA EM AÇO GALVANIZADO, LARGURA DE 150MM E ALTURA DE 50MM - FORNECIMENTO E INSTALAÇÃO. AF_04/2023</t>
  </si>
  <si>
    <t>CURVA HORIZONTAL 90º, PARA ELETROCALHA, LISA OU PERFURADA EM AÇO GALVANIZADO, LARGURA DE 200MM E ALTURA DE 50MM - FORNECIMENTO E INSTALAÇÃO. AF_04/2023</t>
  </si>
  <si>
    <t>CURVA HORIZONTAL 90º, PARA ELETROCALHA, LISA OU PERFURADA EM AÇO GALVANIZADO, LARGURA DE 250MM E ALTURA DE 50MM - FORNECIMENTO E INSTALAÇÃO. AF_04/2023</t>
  </si>
  <si>
    <t>CURVA HORIZONTAL 90º, PARA ELETROCALHA, LISA OU PERFURADA EM AÇO GALVANIZADO, LARGURA DE 300MM E ALTURA DE 50MM - FORNECIMENTO E INSTALAÇÃO. AF_04/2023</t>
  </si>
  <si>
    <t>CURVA HORIZONTAL 90º, PARA ELETROCALHA, LISA OU PERFURADA EM AÇO GALVANIZADO, LARGURA DE 400MM E ALTURA DE 50MM - FORNECIMENTO E INSTALAÇÃO. AF_04/2023</t>
  </si>
  <si>
    <t>CURVA HORIZONTAL 90º, PARA ELETROCALHA, LISA OU PERFURADA EM AÇO GALVANIZADO, LARGURA DE 500MM E ALTURA DE 50MM - FORNECIMENTO E INSTALAÇÃO. AF_04/2023</t>
  </si>
  <si>
    <t>CURVA HORIZONTAL 90º, PARA ELETROCALHA, LISA OU PERFURADA EM AÇO GALVANIZADO, LARGURA DE 600MM E ALTURA DE 50MM - FORNECIMENTO E INSTALAÇÃO. AF_04/2023</t>
  </si>
  <si>
    <t>CURVA HORIZONTAL 90º, PARA ELETROCALHA, LISA OU PERFURADA EM AÇO GALVANIZADO, LARGURA DE 700MM E ALTURA DE 50MM - FORNECIMENTO E INSTALAÇÃO. AF_04/2023</t>
  </si>
  <si>
    <t>CURVA HORIZONTAL 90º, PARA ELETROCALHA, LISA OU PERFURADA EM AÇO GALVANIZADO, LARGURA DE 75MM E ALTURA DE 50MM - FORNECIMENTO E INSTALAÇÃO. AF_04/2023</t>
  </si>
  <si>
    <t>CURVA HORIZONTAL 90º, PARA ELETROCALHA, LISA OU PERFURADA EM AÇO GALVANIZADO, LARGURA DE 800MM E ALTURA DE 50MM - FORNECIMENTO E INSTALAÇÃO. AF_04/2023</t>
  </si>
  <si>
    <t>ELETROCALHA LISA OU PERFURADA EM AÇO GALVANIZADO, LARGURA 125MM E ALTURA 50MM, INCLUSIVE EMENDA E FIXAÇÃO - FORNECIMENTO E INSTALAÇÃO. AF_04/2023</t>
  </si>
  <si>
    <t>ELETROCALHA LISA OU PERFURADA EM AÇO GALVANIZADO, LARGURA 150MM E ALTURA 50MM, INCLUSIVE EMENDA E FIXAÇÃO - FORNECIMENTO E INSTALAÇÃO. AF_04/2023</t>
  </si>
  <si>
    <t>ELETROCALHA LISA OU PERFURADA EM AÇO GALVANIZADO, LARGURA 200MM E ALTURA 50MM, INCLUSIVE EMENDA E FIXAÇÃO - FORNECIMENTO E INSTALAÇÃO. AF_04/2023</t>
  </si>
  <si>
    <t>ELETROCALHA LISA OU PERFURADA EM AÇO GALVANIZADO, LARGURA 250MM E ALTURA 50MM, INCLUSIVE EMENDA E FIXAÇÃO - FORNECIMENTO E INSTALAÇÃO. AF_04/2023</t>
  </si>
  <si>
    <t>ELETROCALHA LISA OU PERFURADA EM AÇO GALVANIZADO, LARGURA 300MM E ALTURA 50MM, INCLUSIVE EMENDA E FIXAÇÃO - FORNECIMENTO E INSTALAÇÃO. AF_04/2023</t>
  </si>
  <si>
    <t>ELETROCALHA LISA OU PERFURADA EM AÇO GALVANIZADO, LARGURA 400MM E ALTURA 50MM, INCLUSIVE EMENDA E FIXAÇÃO - FORNECIMENTO E INSTALAÇÃO. AF_04/2023</t>
  </si>
  <si>
    <t>ELETROCALHA LISA OU PERFURADA EM AÇO GALVANIZADO, LARGURA 500MM E ALTURA 50MM, INCLUSIVE EMENDA E FIXAÇÃO - FORNECIMENTO E INSTALAÇÃO. AF_04/2023</t>
  </si>
  <si>
    <t>ELETROCALHA LISA OU PERFURADA EM AÇO GALVANIZADO, LARGURA 50MM E ALTURA 50MM, INCLUSIVE EMENDA E FIXAÇÃO - FORNECIMENTO E INSTALAÇÃO. AF_04/2023</t>
  </si>
  <si>
    <t>ELETROCALHA LISA OU PERFURADA EM AÇO GALVANIZADO, LARGURA 600MM E ALTURA 50MM, INCLUSIVE EMENDA E FIXAÇÃO - FORNECIMENTO E INSTALAÇÃO. AF_04/2023</t>
  </si>
  <si>
    <t>ELETROCALHA LISA OU PERFURADA EM AÇO GALVANIZADO, LARGURA 700MM E ALTURA 50MM, INCLUSIVE EMENDA E FIXAÇÃO - FORNECIMENTO E INSTALAÇÃO. AF_04/2023</t>
  </si>
  <si>
    <t>ELETROCALHA LISA OU PERFURADA EM AÇO GALVANIZADO, LARGURA 75MM E ALTURA 50MM, INCLUSIVE EMENDA E FIXAÇÃO - FORNECIMENTO E INSTALAÇÃO. AF_04/2023</t>
  </si>
  <si>
    <t>ELETROCALHA LISA OU PERFURADA EM AÇO GALVANIZADO, LARGURA 800MM E ALTURA 50MM, INCLUSIVE EMENDA E FIXAÇÃO - FORNECIMENTO E INSTALAÇÃO. AF_04/2023</t>
  </si>
  <si>
    <t>EMENDA PARA ELETROCALHA, LISA OU PERFURADA EM AÇO GALVANIZADO, LARGURA 100MM E ALTURA 50MM - FORNECIMENTO E INSTALAÇÃO. AF_04/2023</t>
  </si>
  <si>
    <t>EMENDA PARA ELETROCALHA, LISA OU PERFURADA EM AÇO GALVANIZADO, LARGURA 125MM E ALTURA 50MM - FORNECIMENTO E INSTALAÇÃO. AF_04/2023</t>
  </si>
  <si>
    <t>EMENDA PARA ELETROCALHA, LISA OU PERFURADA EM AÇO GALVANIZADO, LARGURA 150MM E ALTURA 50MM - FORNECIMENTO E INSTALAÇÃO. AF_04/2023</t>
  </si>
  <si>
    <t>EMENDA PARA ELETROCALHA, LISA OU PERFURADA EM AÇO GALVANIZADO, LARGURA 50MM E ALTURA 50MM - FORNECIMENTO E INSTALAÇÃO. AF_04/2023</t>
  </si>
  <si>
    <t>EMENDA PARA ELETROCALHA, LISA OU PERFURADA EM AÇO GALVANIZADO, LARGURA 75MM E ALTURA 50MM - FORNECIMENTO E INSTALAÇÃO. AF_04/2023</t>
  </si>
  <si>
    <t>EMENDA PARA ELETROCALHA, LISA OU PERFURADA EM AÇO GALVANIZADO, LARGURA DE 200MM E ALTURA DE 50MM - FORNECIMENTO E INSTALAÇÃO. AF_04/2023</t>
  </si>
  <si>
    <t>EMENDA PARA ELETROCALHA, LISA OU PERFURADA EM AÇO GALVANIZADO, LARGURA DE 250MM E ALTURA DE 50MM - FORNECIMENTO E INSTALAÇÃO. AF_04/2023</t>
  </si>
  <si>
    <t>EMENDA PARA ELETROCALHA, LISA OU PERFURADA EM AÇO GALVANIZADO, LARGURA DE 300MM E ALTURA DE 50MM - FORNECIMENTO E INSTALAÇÃO. AF_04/2023</t>
  </si>
  <si>
    <t>EMENDA PARA ELETROCALHA, LISA OU PERFURADA EM AÇO GALVANIZADO, LARGURA DE 400MM E ALTURA DE 50MM - FORNECIMENTO E INSTALAÇÃO. AF_04/2023</t>
  </si>
  <si>
    <t>EMENDA PARA ELETROCALHA, LISA OU PERFURADA EM AÇO GALVANIZADO, LARGURA DE 500MM E ALTURA DE 50MM - FORNECIMENTO E INSTALAÇÃO. AF_04/2023</t>
  </si>
  <si>
    <t>EMENDA PARA ELETROCALHA, LISA OU PERFURADA EM AÇO GALVANIZADO, LARGURA DE 600MM E ALTURA DE 50MM - FORNECIMENTO E INSTALAÇÃO. AF_04/2023</t>
  </si>
  <si>
    <t>EMENDA PARA ELETROCALHA, LISA OU PERFURADA EM AÇO GALVANIZADO, LARGURA DE 700MM E ALTURA DE 50MM - FORNECIMENTO E INSTALAÇÃO. AF_04/2023</t>
  </si>
  <si>
    <t>EMENDA PARA ELETROCALHA, LISA OU PERFURADA EM AÇO GALVANIZADO, LARGURA DE 800MM E ALTURA DE 50MM - FORNECIMENTO E INSTALAÇÃO. AF_04/2023</t>
  </si>
  <si>
    <t>REDUÇÃO PARA ELETROCALHA, LISA OU PERFURADA EM AÇO GALVANIZADO, 100X75MM E ALTURA 50MM - FORNECIMENTO E INSTALAÇÃO. AF_04/2023</t>
  </si>
  <si>
    <t>REDUÇÃO PARA ELETROCALHA, LISA OU PERFURADA EM AÇO GALVANIZADO, 125X100MM E ALTURA DE 50MM - FORNECIMENTO E INSTALAÇÃO. AF_04/2023</t>
  </si>
  <si>
    <t>REDUÇÃO PARA ELETROCALHA, LISA OU PERFURADA EM AÇO GALVANIZADO, 150X125MM E ALTURA DE 50MM - FORNECIMENTO E INSTALAÇÃO. AF_04/2023</t>
  </si>
  <si>
    <t>REDUÇÃO PARA ELETROCALHA, LISA OU PERFURADA EM AÇO GALVANIZADO, 75X50MM E ALTURA 50MM - FORNECIMENTO E INSTALAÇÃO. AF_04/2023</t>
  </si>
  <si>
    <t>REDUÇÃO PARA ELETROCALHA, LISA OU PERFURADA EM AÇO GALVANIZADO, LARGURA DE 200X150MM E ALTURA DE 50MM - FORNECIMENTO E INSTALAÇÃO. AF_04/2023</t>
  </si>
  <si>
    <t>REDUÇÃO PARA ELETROCALHA, LISA OU PERFURADA EM AÇO GALVANIZADO, LARGURA DE 250X200MM E ALTURA DE 50MM - FORNECIMENTO E INSTALAÇÃO. AF_04/2023</t>
  </si>
  <si>
    <t>REDUÇÃO PARA ELETROCALHA, LISA OU PERFURADA EM AÇO GALVANIZADO, LARGURA DE 300X250MM E ALTURA DE 50MM - FORNECIMENTO E INSTALAÇÃO. AF_04/2023</t>
  </si>
  <si>
    <t>REDUÇÃO PARA ELETROCALHA, LISA OU PERFURADA EM AÇO GALVANIZADO, LARGURA DE 400X300MM E ALTURA DE 50MM - FORNECIMENTO E INSTALAÇÃO. AF_04/2023</t>
  </si>
  <si>
    <t>REDUÇÃO PARA ELETROCALHA, LISA OU PERFURADA EM AÇO GALVANIZADO, LARGURA DE 500X400MM E ALTURA DE 50MM - FORNECIMENTO E INSTALAÇÃO. AF_04/2023</t>
  </si>
  <si>
    <t>REDUÇÃO PARA ELETROCALHA, LISA OU PERFURADA EM AÇO GALVANIZADO, LARGURA DE 600X500MM E ALTURA DE 50MM - FORNECIMENTO E INSTALAÇÃO. AF_04/2023</t>
  </si>
  <si>
    <t>REDUÇÃO PARA ELETROCALHA, LISA OU PERFURADA EM AÇO GALVANIZADO, LARGURA DE 700X600MM E ALTURA DE 50MM - FORNECIMENTO E INSTALAÇÃO. AF_04/2023</t>
  </si>
  <si>
    <t>REDUÇÃO PARA ELETROCALHA, LISA OU PERFURADA EM AÇO GALVANIZADO, LARGURA DE 800X700MM E ALTURA DE 50MM - FORNECIMENTO E INSTALAÇÃO. AF_04/2023</t>
  </si>
  <si>
    <t>TÊ HORIZONTAL 90º, PARA ELETROCALHA, LISA OU PERFURADA EM AÇO GALVANIZADO, LARGURA DE 100MM E ALTURA DE 50MM - FORNECIMENTO E INSTALAÇÃO. AF_04/2023</t>
  </si>
  <si>
    <t>TÊ HORIZONTAL 90º, PARA ELETROCALHA, LISA OU PERFURADA EM AÇO GALVANIZADO, LARGURA DE 125MM E ALTURA DE 50MM - FORNECIMENTO E INSTALAÇÃO. AF_04/2023</t>
  </si>
  <si>
    <t>TÊ HORIZONTAL 90º, PARA ELETROCALHA, LISA OU PERFURADA EM AÇO GALVANIZADO, LARGURA DE 150MM E ALTURA DE 50MM - FORNECIMENTO E INSTALAÇÃO. AF_04/2023</t>
  </si>
  <si>
    <t>TÊ HORIZONTAL 90º, PARA ELETROCALHA, LISA OU PERFURADA EM AÇO GALVANIZADO, LARGURA DE 200MM E ALTURA DE 50MM - FORNECIMENTO E INSTALAÇÃO. AF_04/2023</t>
  </si>
  <si>
    <t>TÊ HORIZONTAL 90º, PARA ELETROCALHA, LISA OU PERFURADA EM AÇO GALVANIZADO, LARGURA DE 250MM E ALTURA DE 50MM - FORNECIMENTO E INSTALAÇÃO. AF_04/2023</t>
  </si>
  <si>
    <t>TÊ HORIZONTAL 90º, PARA ELETROCALHA, LISA OU PERFURADA EM AÇO GALVANIZADO, LARGURA DE 300MM E ALTURA DE 50MM - FORNECIMENTO E INSTALAÇÃO. AF_04/2023</t>
  </si>
  <si>
    <t>TÊ HORIZONTAL 90º, PARA ELETROCALHA, LISA OU PERFURADA EM AÇO GALVANIZADO, LARGURA DE 400MM E ALTURA DE 50MM - FORNECIMENTO E INSTALAÇÃO. AF_04/2023</t>
  </si>
  <si>
    <t>TÊ HORIZONTAL 90º, PARA ELETROCALHA, LISA OU PERFURADA EM AÇO GALVANIZADO, LARGURA DE 500MM E ALTURA DE 50MM - FORNECIMENTO E INSTALAÇÃO. AF_04/2023</t>
  </si>
  <si>
    <t>TÊ HORIZONTAL 90º, PARA ELETROCALHA, LISA OU PERFURADA EM AÇO GALVANIZADO, LARGURA DE 50MM E ALTURA DE 50MM - FORNECIMENTO E INSTALAÇÃO. AF_04/2023</t>
  </si>
  <si>
    <t>TÊ HORIZONTAL 90º, PARA ELETROCALHA, LISA OU PERFURADA EM AÇO GALVANIZADO, LARGURA DE 600MM E ALTURA DE 50MM - FORNECIMENTO E INSTALAÇÃO. AF_04/2023</t>
  </si>
  <si>
    <t>TÊ HORIZONTAL 90º, PARA ELETROCALHA, LISA OU PERFURADA EM AÇO GALVANIZADO, LARGURA DE 700MM E ALTURA DE 50MM - FORNECIMENTO E INSTALAÇÃO. AF_04/2023</t>
  </si>
  <si>
    <t>TÊ HORIZONTAL 90º, PARA ELETROCALHA, LISA OU PERFURADA EM AÇO GALVANIZADO, LARGURA DE 75MM E ALTURA DE 50MM - FORNECIMENTO E INSTALAÇÃO. AF_04/2023</t>
  </si>
  <si>
    <t>TÊ HORIZONTAL 90º, PARA ELETROCALHA, LISA OU PERFURADA EM AÇO GALVANIZADO, LARGURA DE 800MM E ALTURA DE 50MM - FORNECIMENTO E INSTALAÇÃO. AF_04/2023</t>
  </si>
  <si>
    <t>COLOCAÇÃO DE TELA FACHADEIRA PERIMETRAL. AF_03/2024</t>
  </si>
  <si>
    <t>FECHAMENTO METÁLICO REMOVÍVEL DE ABERTURA DE CAIXILHO (PROTEÇÃO DE GESSEIRO) - 4 MONTAGENS EM OBRA. AF_03/2024</t>
  </si>
  <si>
    <t>FECHAMENTO METÁLICO REMOVÍVEL DE VÃO DE PORTAS (VÃO DO ELEVADOR) - 1 MONTAGEM EM OBRA. AF_03/2024</t>
  </si>
  <si>
    <t>FITA DE SINALIZAÇÃO FIXADA NA ESTRUTURA. AF_03/2024</t>
  </si>
  <si>
    <t>GUARDA-CORPO DE CONCRETAGEM COM MONTANTES METÁLICOS FIXADOS EM BARROTES (VIGAMENTO) DE FORMA DE MADEIRA COM FECHAMENTO EM PAINEL DE TELA METÁLICA. AF_03/2024</t>
  </si>
  <si>
    <t>GUARDA-CORPO DE CONCRETAGEM COM MONTANTES METÁLICOS FIXADOS NOS GARFOS DE FORMA DE MADEIRA COM FECHAMENTO EM PAINEL DE TELA METÁLICA. AF_03/2024</t>
  </si>
  <si>
    <t>GUARDA-CORPO EM LAJE PÓS DESFÔRMA COM MONTANTE METÁLICO FIXADO EM LAJE COM PARABOLT E FECHAMENTO EM PAINEL DE TELA METÁLICA. AF_03/2024</t>
  </si>
  <si>
    <t>GUARDA-CORPO EM LAJE PÓS DESFÔRMA COM MONTANTE METÁLICO FIXADO EM LAJE COM SARGENTO E FECHAMENTO EM PAINEL DE TELA METÁLICA. AF_03/2024</t>
  </si>
  <si>
    <t>GUARDA-CORPO EM LAJE PÓS-DESFÔRMA COM CABOS DE AÇO E FECHAMENTO EM TELA DE POLIPROPILENO (SISTEMA DE BARREIRA COM REDE) PARA EDIFÍCIOS ACIMA DE 4 PAVIMENTOS (2 MONTAGENS). AF_03/2024</t>
  </si>
  <si>
    <t>GUARDA-CORPO EM LAJE PÓS-DESFÔRMA COM CABOS DE AÇO E FECHAMENTO EM TELA DE POLIPROPILENO (SISTEMA DE BARREIRA COM REDE) PARA EDIFÍCIOS COM ATÉ 4 PAVIMENTOS (1 MONTAGEM). AF_03/2024</t>
  </si>
  <si>
    <t>GUARDA-CORPO EM LAJE PÓS-DESFÔRMA COM ESCORAS METÁLICAS ESTRONCADAS NA ESTRUTURA E FECHAMENTO EM PAINEL DE TELA METÁLICA PARA EDIFÍCIOS ACIMA DE 4 PAVIMENTOS (2 MONTAGENS). AF_03/2024</t>
  </si>
  <si>
    <t>GUARDA-CORPO EM LAJE PÓS-DESFÔRMA COM ESCORAS METÁLICAS ESTRONCADAS NA ESTRUTURA E FECHAMENTO EM PAINEL DE TELA METÁLICA PARA EDIFÍCIOS COM ATÉ 4 PAVIMENTOS (1 MONTAGEM). AF_03/2024</t>
  </si>
  <si>
    <t>GUARDA-CORPO EM LAJE PÓS-DESFÔRMA COM MONTANTE METÁLICO FIXADO COM BARRAS DE AÇO ENGASTADAS NA LAJE, CABOS DE AÇO E FECHAMENTO EM TELA DE POLIPROPILENO PARA EDIFÍCIOS ACIMA DE 4 PAVIMENTOS (2 MONTAGENS). AF_03/2024</t>
  </si>
  <si>
    <t>GUARDA-CORPO EM LAJE PÓS-DESFÔRMA COM MONTANTE METÁLICO FIXADO COM BARRAS DE AÇO ENGASTADAS NA LAJE, CABOS DE AÇO E FECHAMENTO EM TELA DE POLIPROPILENO PARA EDIFÍCIOS COM ATÉ 4 PAVIMENTOS (1 MONTAGEM). AF_03/2024</t>
  </si>
  <si>
    <t>GUARDA-CORPO EM LAJE PÓS-DESFÔRMA COM MONTANTE METÁLICO FIXADO COM BARRAS DE AÇO ENGASTADAS NA LAJE, TRAVESSÃO EM MADEIRA E FECHAMENTO EM TELA DE POLIPROPILENO PARA EDIFÍCIOS ACIMA DE 4 PAVIMENTOS (2 MONTAGENS). AF_03/2024</t>
  </si>
  <si>
    <t>GUARDA-CORPO EM LAJE PÓS-DESFÔRMA COM MONTANTE METÁLICO FIXADO COM BARRAS DE AÇO ENGASTADAS NA LAJE, TRAVESSÃO EM MADEIRA E FECHAMENTO EM TELA DE POLIPROPILENO PARA EDIFÍCIOS COM ATÉ 4 PAVIMENTOS (1 MONTAGEM). AF_03/2024</t>
  </si>
  <si>
    <t>GUARDA-CORPO EM LAJE PÓS-DESFÔRMA COM MONTANTE METÁLICO FIXADO EM VIGA DE BORDA E FECHAMENTO EM PAINEL DE TELA METÁLICA PARA EDIFÍCIOS ACIMA DE 4 PAVIMENTOS (2 MONTAGENS). AF_03/2024</t>
  </si>
  <si>
    <t>GUARDA-CORPO EM LAJE PÓS-DESFÔRMA, PARA ESTRUTURAS EM CONCRETO, COM MONTANTE METÁLICO FIXADO EM VIGA DE BORDA E FECHAMENTO EM PAINEL DE TELA METÁLICA PARA EDIFÍCIOS COM ATÉ 4 PAVIMENTOS (1 MONTAGEM). AF_03/2024</t>
  </si>
  <si>
    <t>GUARDA-CORPO PARA ALVENARIA ESTRUTURAL, COM MONTANTE METÁLICO PARA DOIS NÍVEIS DE PROTEÇÃO E FECHAMENTO EM PAINEL DE TELA METÁLICA PARA EDIFÍCIOS ACIMA DE 8 PAVIMENTOS. AF_03/2024</t>
  </si>
  <si>
    <t>GUARDA-CORPO PARA ALVENARIA ESTRUTURAL, COM MONTANTE METÁLICO PARA DOIS NÍVEIS DE PROTEÇÃO E FECHAMENTO EM PAINEL DE TELA METÁLICA PARA EDIFÍCIOS COM ALTURA DE 5 A 8 PAVIMENTOS. AF_03/2024</t>
  </si>
  <si>
    <t>GUARDA-CORPO PARA ALVENARIA ESTRUTURAL, COM MONTANTE METÁLICO PARA DOIS NÍVEIS DE PROTEÇÃO E FECHAMENTO EM PAINEL DE TELA METÁLICA PARA EDIFÍCIOS COM ATÉ 4 PAVIMENTOS. AF_03/2024</t>
  </si>
  <si>
    <t>INSTALAÇÃO DE GAMBIARRA PARA SINALIZAÇÃO, INCLUINDO LÂMPADA, E SINALIZADOR. AF_03/2024</t>
  </si>
  <si>
    <t>LINHA DE VIDA INSTALADA JUNTO AO PISO PARA EDIFÍCIOS ACIMA DE 8 PAVIMENTOS. AF_03/2024</t>
  </si>
  <si>
    <t>LINHA DE VIDA INSTALADA JUNTO AO PISO PARA EDIFÍCIOS DE 5 A 8 PAVIMENTOS. AF_03/2024</t>
  </si>
  <si>
    <t>LINHA DE VIDA INSTALADA JUNTO AO PISO PARA EDIFÍCIOS DE ATÉ 4 PAVIMENTOS. AF_03/2024</t>
  </si>
  <si>
    <t>LINHA DE VIDA TIPO VARAL DE SEGURANÇA COM CABO DE AÇO PARA PROTEÇÃO DE PERIFERIA PARA EDIFÍCIOS ACIMA DE 8 PAVIMENTOS. AF_03/2024</t>
  </si>
  <si>
    <t>LINHA DE VIDA TIPO VARAL DE SEGURANÇA COM CABO DE AÇO PARA PROTEÇÃO DE PERIFERIA PARA EDIFÍCIOS DE 5 A 8 PAVIMENTOS. AF_03/2024</t>
  </si>
  <si>
    <t>LINHA DE VIDA TIPO VARAL DE SEGURANÇA COM CABO DE AÇO PARA PROTEÇÃO DE PERIFERIA PARA EDIFÍCIOS DE ATÉ 4 PAVIMENTOS. AF_03/2024</t>
  </si>
  <si>
    <t>PLACA INDICATIVA FIXADA DIRETAMENTE NA ESTRUTURA ATRAVÉS DE PREGOS. AF_03/2024</t>
  </si>
  <si>
    <t>PLATAFORMA DE PROTEÇÃO PRINCIPAL (PRIMÁRIA) PARA COLETA DE RESÍDUOS COM ESTRUTURA METÁLICA E FORRAÇÃO EM TÁBUA DE MADEIRA SERRADA - 1 MONTAGEM POR OBRA. AF_03/2024</t>
  </si>
  <si>
    <t>PLATAFORMA DE PROTEÇÃO PRINCIPAL (PRIMÁRIA) PARA COLETA DE RESÍDUOS COM ESTRUTURA METÁLICA E FORRAÇÃO EM TÁBUA DE MADEIRA SERRADA - 2 MONTAGENS POR OBRA. AF_03/2024</t>
  </si>
  <si>
    <t>PLATAFORMA DE PROTEÇÃO PRINCIPAL (PRIMÁRIA) PARA COLETA DE RESÍDUOS COM ESTRUTURA METÁLICA E TRAMA DE MADEIRA FORRADA EM PAINEL COMPENSADO - 1 MONTAGEM POR OBRA. AF_03/2024</t>
  </si>
  <si>
    <t>PLATAFORMA DE PROTEÇÃO PRINCIPAL (PRIMÁRIA) PARA COLETA DE RESÍDUOS COM ESTRUTURA METÁLICA E TRAMA DE MADEIRA FORRADA EM PAINEL COMPENSADO - 2 MONTAGENS POR OBRA. AF_03/2024</t>
  </si>
  <si>
    <t>PLATAFORMA DE PROTEÇÃO SECUNDÁRIA PARA COLETA DE RESÍDUOS COM ESTRUTURA METÁLICA E FORRAÇÃO EM TÁBUA DE MADEIRA SERRADA - 1 MONTAGEM POR OBRA. AF_03/2024</t>
  </si>
  <si>
    <t>PLATAFORMA DE PROTEÇÃO SECUNDÁRIA PARA COLETA DE RESÍDUOS COM ESTRUTURA METÁLICA E FORRAÇÃO EM TÁBUA DE MADEIRA SERRADA - 2 MONTAGENS POR OBRA. AF_03/2024</t>
  </si>
  <si>
    <t>PLATAFORMA DE PROTEÇÃO SECUNDÁRIA PARA COLETA DE RESÍDUOS COM ESTRUTURA METÁLICA E FORRAÇÃO EM TÁBUA DE MADEIRA SERRADA - 3 MONTAGENS POR OBRA. AF_03/2024</t>
  </si>
  <si>
    <t>PLATAFORMA DE PROTEÇÃO SECUNDÁRIA PARA COLETA DE RESÍDUOS COM ESTRUTURA METÁLICA E TRAMA DE MADEIRA FORRADA EM PAINEL COMPENSADO - 1 MONTAGEM POR OBRA. AF_03/2024</t>
  </si>
  <si>
    <t>PLATAFORMA DE PROTEÇÃO SECUNDÁRIA PARA COLETA DE RESÍDUOS COM ESTRUTURA METÁLICA E TRAMA DE MADEIRA FORRADA EM PAINEL COMPENSADO - 2 MONTAGENS POR OBRA. AF_03/2024</t>
  </si>
  <si>
    <t>PLATAFORMA DE PROTEÇÃO SECUNDÁRIA PARA COLETA DE RESÍDUOS COM ESTRUTURA METÁLICA E TRAMA DE MADEIRA FORRADA EM PAINEL COMPENSADO - 3 MONTAGENS POR OBRA. AF_03/2024</t>
  </si>
  <si>
    <t>PLATAFORMA DE PROTEÇÃO TERCIÁRIA PARA COLETA DE RESÍDUOS COM ESTRUTURA METÁLICA E FORRAÇÃO EM TÁBUA DE MADEIRA SERRADA - 1 MONTAGEM POR OBRA. AF_03/2024</t>
  </si>
  <si>
    <t>PLATAFORMA DE PROTEÇÃO TERCIÁRIA PARA COLETA DE RESÍDUOS COM ESTRUTURA METÁLICA E FORRAÇÃO EM TÁBUA DE MADEIRA SERRADA - 2 MONTAGENS POR OBRA. AF_03/2024</t>
  </si>
  <si>
    <t>PLATAFORMA DE PROTEÇÃO TERCIÁRIA PARA COLETA DE RESÍDUOS COM ESTRUTURA METÁLICA E TRAMA DE MADEIRA FORRADA EM PAINEL COMPENSADO - 1 MONTAGEM POR OBRA. AF_03/2024</t>
  </si>
  <si>
    <t>PLATAFORMA DE PROTEÇÃO TERCIÁRIA PARA COLETA DE RESÍDUOS COM ESTRUTURA METÁLICA E TRAMA DE MADEIRA FORRADA EM PAINEL COMPENSADO - 2 MONTAGENS POR OBRA. AF_03/2024</t>
  </si>
  <si>
    <t>REDE DE PROTEÇÃO PISO A PISO (SISTEMA U). AF_03/2024</t>
  </si>
  <si>
    <t>REDE DE PROTEÇÃO TIPO SLQA INTERMEDIÁRIO PARA EDIFÍCIOS ACIMA DE 8 PAVIMENTOS. AF_03/2024</t>
  </si>
  <si>
    <t>REDE DE PROTEÇÃO TIPO SLQA INTERMEDIÁRIO PARA EDIFÍCIOS DE 5 A 8 PAVIMENTOS. AF_03/2024</t>
  </si>
  <si>
    <t>REDE DE PROTEÇÃO TIPO SLQA INTERMEDIÁRIO PARA EDIFÍCIOS DE ATÉ 4 PAVIMENTOS. AF_03/2024</t>
  </si>
  <si>
    <t>REDE DE PROTEÇÃO TIPO SLQA PESADO COM SUPORTES METÁLICOS TIPO FORCA PARA EDIFÍCIOS DE 5 A 8 PAVIMENTOS. AF_03/2024</t>
  </si>
  <si>
    <t>REDE DE PROTEÇÃO TIPO SLQA PESADO COM SUPORTES METÁLICOS TIPO FORCA PARA EDIFÍCIOS DE ACIMA DE 8 PAVIMENTOS. AF_03/2024</t>
  </si>
  <si>
    <t>REDE DE PROTEÇÃO TIPO SLQA PESADO COM SUPORTES METÁLICOS TIPO FORCA PARA EDIFÍCIOS DE ATÉ 4 PAVIMENTOS. AF_03/2024</t>
  </si>
  <si>
    <t>SINALIZAÇÃO COM FITA FIXADA EM CONE PLÁSTICO, INCLUINDO CONE. AF_03/2024</t>
  </si>
  <si>
    <t>SISTEMA DE PROTEÇÃO PARA PILARES DE PERIFERIA. AF_03/2024</t>
  </si>
  <si>
    <t>TOTEN EM MADEIRA COM PLACA INDICATIVA POSICIONADA NO TERRENO. AF_03/2024</t>
  </si>
  <si>
    <t>ESCADA EM CONCRETO ARMADO MOLDADO IN LOCO, FCK 25 MPA, COM 1 LANCE E LAJE CASCATA, FÔRMA EM CHAPA DE MADEIRA COMPENSADA RESINADA. AF_11/2020</t>
  </si>
  <si>
    <t>ESCADA EM CONCRETO ARMADO MOLDADO IN LOCO, FCK 25 MPA, COM 1 LANCE E LAJE PLANA, FÔRMA EM CHAPA DE MADEIRA COMPENSADA RESINADA. AF_11/2020</t>
  </si>
  <si>
    <t>ESCADA HELICOIDAL EM AÇO GALVANIZADO, DIAMETRO DE 1,2 M, DOTADA DE GUARDA-CORPO, FIXADA COM CHUMBADOR MECÂNICO. AF_11/2020</t>
  </si>
  <si>
    <t>ESCADA TIPO MARINHEIRO EM TUBO ACO GALVANIZADO 1 1/2", COM GUARDA-CORPO, PARA ALTURAS MAIORES QUE 3 M, FIXADA COM CHUMBADOR MECÂNICO. AF_11/2020</t>
  </si>
  <si>
    <t>ESCADA TIPO MARINHEIRO EM TUBO ACO GALVANIZADO 1 1/2", SEM GUARDA-CORPO, FIXADA COM CHUMBADOR MECÂNICO. AF_11/2020</t>
  </si>
  <si>
    <t>ESCADA TIPO MARINHEIRO EM TUBO AÇO GALVANIZADO 1 1/2", COM GUARDA-CORPO, PARA ALTURAS DE ATÉ 3 M, FIXADA COM CHUMBADOR MECÂNICO. AF_11/2020</t>
  </si>
  <si>
    <t>DESMONTE DE MATERIAL DE 3ª CATEGORIA, COM USO DE ARGAMASSA EXPANSIVA - EXCLUSIVE CARGA E TRANSPORTE. AF_03/2021</t>
  </si>
  <si>
    <t>DESMONTE DE MATERIAL DE 3ª CATEGORIA, COM USO DE ARGAMASSA EXPANSIVA, EM VALA - EXCLUSIVE RETIRADA, CARGA E TRANSPORTE. AF_03/2021</t>
  </si>
  <si>
    <t>DESMONTE DE MATERIAL DE 3ª CATEGORIA, COM USO DE EMULSÃO EXPLOSIVA ENCARTUCHADA - EXCLUSIVE CARGA E TRANSPORTE. AF_03/2021</t>
  </si>
  <si>
    <t>ESCAVAÇÃO DE VALA EM MATERIAL DE 3ª CATEGORIA, RESISTÊNCIA À COMPRESSÃO MAIOR OU IGUAL A 50 MPA, COM ROMPEDOR ACOPLADO EM ESCAVADEIRA HIDRÁULICA - EXCLUSIVE RETIRADA, CARGA E TRANSPORTE. AF_03/2021</t>
  </si>
  <si>
    <t>ESCAVAÇÃO DE VALA EM MATERIAL DE 3ª CATEGORIA, RESISTÊNCIA À COMPRESSÃO MENOR QUE 50 MPA, COM ROMPEDOR ACOPLADO EM ESCAVADEIRA HIDRÁULICA - EXCLUSIVE RETIRADA, CARGA E TRANSPORTE. AF_03/2021</t>
  </si>
  <si>
    <t>ESCAVAÇÃO DE VALA EM MATERIAL DE 3ª CATEGORIA, RESISTÊNCIA À COMPRESSÃO MENOR QUE 50 MPA, COM ROMPEDOR ACOPLADO EM RETROESCAVADEIRA - EXCLUSIVE RETIRADA CARGA E TRANSPORTE. AF_03/2021</t>
  </si>
  <si>
    <t>ESCAVAÇÃO EM MATERIAL DE 3ª CATEGORIA, RESISTÊNCIA À COMPRESSÃO MAIOR OU IGUAL A 50 MPA E MENOR QUE 70 MPA, COM ROMPEDOR ACOPLADO EM ESCAVADEIRA HIDRÁULICA - EXCLUSIVE CARGA E TRANSPORTE. AF_03/2021</t>
  </si>
  <si>
    <t>ESCAVAÇÃO EM MATERIAL DE 3ª CATEGORIA, RESISTÊNCIA À COMPRESSÃO MAIOR OU IGUAL A 70 MPA E MENOR QUE 90 MPA, COM ROMPEDOR ACOPLADO EM ESCAVADEIRA HIDRÁULICA - EXCLUSIVE CARGA E TRANSPORTE. AF_03/2021</t>
  </si>
  <si>
    <t>ESCAVAÇÃO EM MATERIAL DE 3ª CATEGORIA, RESISTÊNCIA À COMPRESSÃO MAIOR OU IGUAL A 90 MPA E MENOR QUE 110 MPA, COM ROMPEDOR ACOPLADO EM ESCAVADEIRA HIDRÁULICA - EXCLUSIVE CARGA E TRANSPORTE. AF_03/2021</t>
  </si>
  <si>
    <t>ESCAVAÇÃO EM MATERIAL DE 3ª CATEGORIA, RESISTÊNCIA À COMPRESSÃO MAIOR QUE 110 MPA, COM ROMPEDOR ACOPLADO EM ESCAVADEIRA HIDRÁULICA - EXCLUSIVE CARGA E TRANSPORTE. AF_03/2021</t>
  </si>
  <si>
    <t>ESCAVAÇÃO EM MATERIAL DE 3ª CATEGORIA, RESISTÊNCIA À COMPRESSÃO MENOR QUE 50 MPA, COM ROMPEDOR ACOPLADO EM ESCAVADEIRA HIDRÁULICA - EXCLUSIVE CARGA E TRANSPORTE. AF_03/2021</t>
  </si>
  <si>
    <t>INSTALAÇÃO DE SISTEMA DE REBAIXAMENTO DE LENÇOL FREÁTICO POR POÇOS PROFUNDOS, DIÂMETRO DO POÇO DE 400 MM (EXCLUI O FORNECIMENTO E FUNCIONAMENTO DE BOMBAS). AF_12/2022</t>
  </si>
  <si>
    <t>INSTALAÇÃO DE TUBULAÇÃO (GEOMECÂNICA E DE SUCÇÃO) PARA SISTEMA DE REBAIXAMENTO DE LENÇOL FREÁTICO POR POÇOS PROFUNDOS COM BOMBA SUBMERSA, DIÂMETRO DO POÇO DE 400 MM. AF_12/2022</t>
  </si>
  <si>
    <t>INSTALAÇÃO E DESINSTALAÇÃO DE MANGOTES PARA SISTEMA DE REBAIXAMENTO DE LENÇOL FREÁTICO POR PONTEIRAS FILTRANTES. AF_12/2022</t>
  </si>
  <si>
    <t>INSTALAÇÃO E DESINSTALAÇÃO DE SISTEMA DE REBAIXAMENTO DE LENÇOL FREÁTICO POR PONTEIRAS FILTRANTES PARA OBRAS ESTACIONÁRIAS (EXCLUI O FORNECIMENTO E FUNCIONAMENTO DE BOMBAS). AF_12/2022</t>
  </si>
  <si>
    <t>INSTALAÇÃO E DESINSTALAÇÃO DE SISTEMA DE REBAIXAMENTO DE LENÇOL FREÁTICO POR PONTEIRAS FILTRANTES PARA OBRAS ITINERANTES (EXCLUI O FORNECIMENTO E FUNCIONAMENTO DE BOMBAS). AF_12/2022</t>
  </si>
  <si>
    <t>INSTALAÇÃO E DESINSTALAÇÃO DE TUBO COLETOR DE PVC, DIÂMETRO DE 100 MM, PARA SISTEMA DE REBAIXAMENTO DE LENÇOL FREÁTICO POR PONTEIRAS FILTRANTES. AF_12/2022</t>
  </si>
  <si>
    <t>PERFURAÇÃO DE SOLO, INSTALAÇÃO E DESINSTALAÇÃO DE PONTEIRAS PARA SISTEMA DE REBAIXAMENTO DE LENÇOL FREÁTICO POR PONTEIRAS FILTRANTES EM OBRAS ESTACIONÁRIAS. AF_12/2022</t>
  </si>
  <si>
    <t>PERFURAÇÃO DE SOLO, INSTALAÇÃO E DESINSTALAÇÃO DE PONTEIRAS PARA SISTEMA DE REBAIXAMENTO DE LENÇOL FREÁTICO POR PONTEIRAS FILTRANTES EM OBRAS ITINERANTES. AF_12/2022</t>
  </si>
  <si>
    <t>CAIXILHO FIXO DE ALUMÍNIO PARA VIDRO (VIDRO INCLUSO), BATENTE/ REQUADRO DE 4 A 14 CM, SEM GUARNIÇÃO/ ALIZAR, FIXAÇÃO COM PARAFUSOS, VEDAÇÃO COM SILICONE, EXCLUSIVE CONTRAMARCO - FORNECIMENTO E INSTALAÇÃO. AF_11/2024</t>
  </si>
  <si>
    <t>CAIXILHO FIXO DE PVC BRANCO PARA VIDRO (VIDRO INCLUSO), BATENTE/ REQUADRO DE 4 A 14 CM, SEM GUARNIÇÃO/ ALIZAR, COM FERRAGENS, FIXAÇÃO COM PARAFUSOS, VEDAÇÃO COM SILICONE, EXCLUSIVE CONTRAMARCO - FORNECIMENTO E INSTALAÇÃO. AF_11/2024</t>
  </si>
  <si>
    <t>GUARNIÇÃO DE ALUMÍNIO. AF_11/2024</t>
  </si>
  <si>
    <t>JANELA DE ALUMÍNIO DE CORRER COM 2 FOLHAS PARA VIDROS (VIDROS INCLUSOS) E PERSIANA INTEGRADA, BATENTE/ REQUADRO 6 A 14 CM, ACABAMENTO COM ACETATO OU BRILHANTE, FIXAÇÃO COM PARAFUSO, SEM GUARNIÇÃO/ ALIZAR, DIMENSÕES 120X120 CM, VEDAÇÃO COM SILICONE, EXCLUSIVE CONTRAMARCO - FORNECIMENTO E INSTALAÇÃO. AF_11/2024</t>
  </si>
  <si>
    <t>JANELA DE ALUMÍNIO DE CORRER COM 2 FOLHAS PARA VIDROS (VIDROS INCLUSOS), BATENTE/ REQUADRO 6 A 14 CM, ACABAMENTO COM ACETATO OU BRILHANTE, FIXAÇÃO COM PARAFUSO, SEM GUARNIÇÃO/ ALIZAR, DIMENSÕES 100X120 CM, VEDAÇÃO COM SILICONE, EXCLUSIVE CONTRAMARCO - FORNECIMENTO E INSTALAÇÃO. AF_11/2024</t>
  </si>
  <si>
    <t>JANELA DE ALUMÍNIO DE CORRER COM 2 FOLHAS PARA VIDROS (VIDROS INCLUSOS), COM BANDEIRA, BATENTE/ REQUADRO 6 A 14 CM, ACABAMENTO COM ACETATO OU BRILHANTE, FIXAÇÃO COM PARAFUSO, SEM GUARNIÇÃO/ ALIZAR, DIMENSÕES 100X120 CM, VEDAÇÃO COM SILICONE, EXCLUSIVE CONTRAMARCO - FORNECIMENTO E INSTALAÇÃO. AF_11/2024</t>
  </si>
  <si>
    <t>JANELA DE ALUMÍNIO DE CORRER COM 3 FOLHAS (2 VENEZIANAS E 1 FOLHA PARA VIDRO,VIDRO INCLUSO), BATENTE/ REQUADRO 6 A 14 CM, SEM ACABAMENTO, FIXAÇÃO COM PARAFUSO, SEM GUARNIÇÃO/ ALIZAR, DIMENSÕES 100X120 CM, VEDAÇÃO COM SILICONE, EXCLUSIVE CONTRAMARCO - FORNECIMENTO E INSTALAÇÃO. AF_11/2024</t>
  </si>
  <si>
    <t>JANELA DE ALUMÍNIO DE CORRER COM 4 FOLHAS PARA VIDROS (VIDROS INCLUSOS), COM BANDEIRA, BATENTE/ REQUADRO 6 A 14 CM, ACABAMENTO COM ACETATO OU BRILHANTE, FIXAÇÃO COM PARAFUSO, SEM GUARNIÇÃO/ ALIZAR, DIMENSÕES 150X120 CM, VEDAÇÃO COM SILICONE, EXCLUSIVE CONTRAMARCO - FORNECIMENTO E INSTALAÇÃO. AF_11/2024</t>
  </si>
  <si>
    <t>JANELA DE ALUMÍNIO DE CORRER COM 4 FOLHAS PARA VIDROS (VIDROS INCLUSOS), SEM BANDEIRA, BATENTE/ REQUADRO 6 A 14 CM, ACABAMENTO COM ACETATO OU BRILHANTE, FIXAÇÃO COM PARAFUSO, SEM GUARNIÇÃO/ ALIZAR, DIMENSÕES 150X120 CM, VEDAÇÃO COM SILICONE, EXCLUSIVE CONTRAMARCO - FORNECIMENTO E INSTALAÇÃO. AF_11/2024</t>
  </si>
  <si>
    <t>JANELA DE ALUMÍNIO TIPO MAXIM-AR, BATENTE/ REQUADRO 3 A 14 CM, VIDRO INCLUSO, FIXAÇÃO COM PARAFUSO, SEM GUARNIÇÃO/ ALIZAR, DIMENSÕES 60X80 (A X L) CM, SEM ACABAMENTO, VEDAÇÃO COM SILICONE, EXCLUSIVE CONTRAMARCO - FORNECIMENTO E INSTALAÇÃO. AF_11/2024</t>
  </si>
  <si>
    <t>JANELA DE ALUMÍNIO TIPO MAXIM-AR, VIDRO INCLUSO, COM BANDEIRA, FIXAÇÃO COM PARAFUSO, SEM GUARNIÇÃO/ ALIZAR, DIMENSÕES 100X80 (A X L) CM, SEM ACABAMENTO, VEDAÇÃO COM SILICONE, EXCLUSIVE CONTRAMARCO - FORNECIMENTO E INSTALAÇÃO. AF_11/2024</t>
  </si>
  <si>
    <t>JANELA DE AÇO DE CORRER COM 3 FOLHAS (2 VENEZIANAS E 1 PARA VIDRO - VIDRO INCLUSO), BATENTE/ REQUADRO INCLUSO (6 A 14 CM), FIXAÇÃO COM ARGAMASSA, COM PINTURA ANTICORROSIVA E PINTURA DE ACABAMENTO, COM FERRAGENS, FIXAÇÃO COM ARGAMASSA, EXCLUSIVE CONTRAMARCO - FORNECIMENTO E INSTALAÇÃO. AF_11/2024</t>
  </si>
  <si>
    <t>JANELA DE AÇO DE CORRER COM 4 FOLHAS PARA VIDRO (VIDROS NÃO INCLUSOS), BATENTE/ REQUADRO INCLUSO (6 A 14 CM), FIXAÇÃO COM ARGAMASSA, COM PINTURA ANTICORROSIVA, COM FERRAGENS, FIXAÇÃO COM ARGAMASSA, EXCLUSIVE CONTRAMARCO - FORNECIMENTO E INSTALAÇÃO. AF_11/2024</t>
  </si>
  <si>
    <t>JANELA DE AÇO GALVANIZADO TIPO MAXIMO-AR, PINT. ANTICORROSIVA, COM BATENTE/REQUADRO DE 6 A 14 CM, SEM VIDRO, COM GRADE, 1 FL, 60 X 80 CM (A X L), FIXAÇÃO COM ARGAMASSA, EXCLUSIVE CONTRAMARCO - FORNECIMENTO E INSTALAÇÃO. AF_11/2024</t>
  </si>
  <si>
    <t>JANELA DE AÇO TIPO BASCULANTE, PARA VIDROS (VIDROS NÃO INCLUSOS), BATENTE/ REQUADRO INCLUSO (6,5 A 14 CM), DIMENSÕES 60X60 CM, COM COM PINTURA ANTICORROSIVA, SEM ACABAMENTO, COM FERRAGENS, FIXAÇÃO COM ARGAMASSA, EXCLUSIVE CONTRAMARCO - FORNECIMENTO E INSTALAÇÃO. AF_11/2024</t>
  </si>
  <si>
    <t>JANELA DE MADEIRA CEDRINHO/ ANGELIM COMERCIAL/ CURUPIXA/ CUMARU OU EQUIVALENTE DA REGIÃO, TIPO MAXIMA AR, PARA VIDRO (VIDRO NÃO INCLUSO), CAIXA DO BATENTE/ MARCO DE 10 CM, COM GUARNIÇÕES/ ALIZAR E FERRAGENS, SEM ACABAMENTO, FIXAÇÃO COM PARAFUSOS E ESPUMA EXPANSIVA, EXCLUSIVE CONTRAMARCO - FORNECIMENTO E INSTALAÇÃO. AF_11/2024</t>
  </si>
  <si>
    <t>JANELA DE MADEIRA CEDRINHO/ ANGELIM COMERCIAL/ CURUPIXA/ CUMARU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</si>
  <si>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CEDRINHO/ ANGELIM COMERCIAL/ CURUPIXA/ CUMARU OU EQUIVALENTE, VENEZIANAS PANTOGRÁFICAS DE CORRER E 2 FOLHAS PARA VIDROS DE CORRER (VIDROS NÃO INCLUSOS), GUARNIÇÕES/ MARCO INCLUSOS, FERRAGENS INCLUSAS, FIXAÇÃO COM PARAFUSOS E ESPUMA EXPANSIVA, EXCLUSIVE CONTRAMARCO - FORNECIMENTO E INSTALAÇÃO. AF_11/2024</t>
  </si>
  <si>
    <t>JANELA DE MADEIRA IMBUIA/CEDRO ARANA/CEDRO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</si>
  <si>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IMBUIA/CEDRO ARANA/CEDRO ROSAOU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</si>
  <si>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MADEIRA PINUS/ EUCALIPTO/ TAUARI/ VIROLA OU EQUIVALENTE DA REGIÃO, TIPO BASCULANTE, 2 FOLHAS PARA (VIDROS NÃO INCLUSOS), CAIXA DO BATENTE/ MARCO DE 10 CM, SEM GUARNIÇÕES/ ALIZAR, COM FERRAGENS, FIXAÇÃO COM PARAFUSOS E ESPUMA EXPANSIVA, EXCLUSIVE CONTRAMARCO - FORNECIMENTO E INSTALAÇÃO. AF_11/2024</t>
  </si>
  <si>
    <t>JANELA DE MADEIRA PINUS/ EUCALIPTO/ TAUARI/ VIROLA OU EQUIVALENTE, CAIXA DO BATENTE/ MARCO 10 CM, COM 6 FOLHAS (2 VENEZIANAS FIXAS, 2 VENEZIANAS DE CORRER E 2 FOLHAS DE CORRER PARA VIDRO, VIDROS NÃO INCLUSOS), SEM GUARNIÇÃO/ ALIZAR, COM FERRAGENS, FIXAÇÃO COM PARAFUSOS E ESPUMA EXPANSIVA, EXCLUSIVE CONTRAMARCO - FORNECIMENTO E INSTALAÇÃO. AF_11/2024</t>
  </si>
  <si>
    <t>JANELA DE MADEIRA PINUS/EUCALIPTO/ TAUARI/ VIROLA OU EQUIVALENTE, CAIXA DO BATENTE/ MARCO 10 CM, COM DUAS FOLHAS DE ABRIR TIPO VENEZIANAS E 2 FOLHAS GUILHOTINAS PARA VIDRO (VIDROS NÃO INCLUSOS), COM GUARNIÇÃO/ ALIZAR E FERRAGENS, FIXAÇÃO COM PARAFUSOS E ESPUMA EXPANSIVA, EXCLUSIVE CONTRAMARCO - FORNECIMENTO E INSTALAÇÃO. AF_11/2024</t>
  </si>
  <si>
    <t>JANELA DE PVC BRANCO DE CORRER COM 2 FOLHAS PARA VIDRO (VIDROS INCLUSOS) E PERSIANA INTEGRADA, BATENTE/ REQUADRO DE 4 A 14 CM, DIMENSÕES 120X120 CM, COM GUARNIÇÃO/ ALIZAR, COM FERRAGENS, FIXAÇÃO COM PARAFUSOS, VEDAÇÃO COM SILICONE, EXCLUSIVE CONTRAMARCO - FORNECIMENTO E INSTALAÇÃO. AF_11/2024</t>
  </si>
  <si>
    <t>JANELA DE PVC BRANCO DE CORRER COM 3 FOLHAS (2 VENEZIANAS E 1 PARA VIDRO, VIDRO INCLUSO), BATENTE/ REQUADRO DE 4 A 14 CM, DIMENSÕES 100X200 CM, COM GUARNIÇÃO/ ALIZAR, COM FERRAGENS, FIXAÇÃO COM PARAFUSOS, VEDAÇÃO COM SILICONE, EXCLUSIVE CONTRAMARCO - FORNECIMENTO E INSTALAÇÃO. AF_11/2024</t>
  </si>
  <si>
    <t>JANELA DE PVC BRANCO TIPO MAXIM-AR (VIDRO INCLUSO), BATENTE/ REQUADRO DE 4 A 14 CM, DIMENSÕES 60X60 CM, COM GUARNIÇÃO/ ALIZAR, COM FERRAGENS, FIXAÇÃO COM PARAFUSOS, VEDAÇÃO COM SILICONE, EXCLUSIVE CONTRAMARCO - FORNECIMENTO E INSTALAÇÃO. AF_11/2024</t>
  </si>
  <si>
    <t>ESTACA BROCA DE CONCRETO, DIÂMETRO DE 30CM, ESCAVAÇÃO MANUAL COM TRADO CONCHA, INTEIRAMENTE ARMADA. AF_05/2020</t>
  </si>
  <si>
    <t>ESTACA CIRCULAR ESCAVADA COM FLUIDO ESTABILIZANTE (ESTACÃO), DIÂMETRO DE 110CM (EXCLUSIVE MOBILIZAÇÃO E DESMOBILIZAÇÃO). AF_05/2020</t>
  </si>
  <si>
    <t>ESTACA CIRCULAR ESCAVADA COM FLUIDO ESTABILIZANTE (ESTACÃO), DIÂMETRO DE 140CM (EXCLUSIVE MOBILIZAÇÃO E DESMOBILIZAÇÃO). AF_05/2020</t>
  </si>
  <si>
    <t>ESTACA CIRCULAR ESCAVADA COM FLUIDO ESTABILIZANTE (ESTACÃO), DIÂMETRO DE 80CM (EXCLUSIVE MOBILIZAÇÃO E DESMOBILIZAÇÃO). AF_05/2020</t>
  </si>
  <si>
    <t>ESTACA RETANGULAR ESCAVADA COM FLUIDO ESTABILIZANTE (BARRETE), 40 X 250CM (EXCLUSIVE MOBILIZAÇÃO E DESMOBILIZAÇÃO). AF_05/2020</t>
  </si>
  <si>
    <t>ESTACA RETANGULAR ESCAVADA COM FLUIDO ESTABILIZANTE (BARRETE), 60 X 250CM (EXCLUSIVE MOBILIZAÇÃO E DESMOBILIZAÇÃO). AF_05/2020</t>
  </si>
  <si>
    <t>ESTACA RETANGULAR ESCAVADA COM FLUIDO ESTABILIZANTE (BARRETE), 80 X 250CM (EXCLUSIVE MOBILIZAÇÃO E DESMOBILIZAÇÃO). AF_05/2020</t>
  </si>
  <si>
    <t>ESTACA STRAUSS, DIÂMETRO DE 25CM, COM ARMADURA DE ARRANQUE (EXCLUSIVE MOBILIZAÇÃO E DESMOBILIZAÇÃO). AF_05/2020</t>
  </si>
  <si>
    <t>ESTACA STRAUSS, DIÂMETRO DE 32CM, COM ARMADURA DE ARRANQUE (EXCLUSIVE MOBILIZAÇÃO E DESMOBILIZAÇÃO). AF_05/2020</t>
  </si>
  <si>
    <t>ESTACA STRAUSS, DIÂMETRO DE 32CM, INTEIRAMENTE ARMADA (EXCLUSIVE MOBILIZAÇÃO E DESMOBILIZAÇÃO). AF_05/2020</t>
  </si>
  <si>
    <t>ESTACA STRAUSS, DIÂMETRO DE 38CM, COM ARMADURA DE ARRANQUE (EXCLUSIVE MOBILIZAÇÃO E DESMOBILIZAÇÃO). AF_05/2020</t>
  </si>
  <si>
    <t>ESTACA STRAUSS, DIÂMETRO DE 38CM, INTEIRAMENTE ARMADA (EXCLUSIVE MOBILIZAÇÃO E DESMOBILIZAÇÃO). AF_05/2020</t>
  </si>
  <si>
    <t>ESTACA ESCAVADA MECANICAMENTE, SEM FLUIDO ESTABILIZANTE, COM 25CM DE DIÂMETRO, CONCRETO LANÇADO MANUALMENTE (EXCLUSIVE MOBILIZAÇÃO E DESMOBILIZAÇÃO). AF_01/2020</t>
  </si>
  <si>
    <t>ESTACA ESCAVADA MECANICAMENTE, SEM FLUIDO ESTABILIZANTE, COM 25CM DE DIÂMETRO, CONCRETO LANÇADO POR CAMINHÃO BETONEIRA (EXCLUSIVE MOBILIZAÇÃO E DESMOBILIZAÇÃO). AF_01/2020</t>
  </si>
  <si>
    <t>ESTACA ESCAVADA MECANICAMENTE, SEM FLUIDO ESTABILIZANTE, COM 40CM DE DIÂMETRO, CONCRETO LANÇADO POR CAMINHÃO BETONEIRA (EXCLUSIVE MOBILIZAÇÃO E DESMOBILIZAÇÃO). AF_01/2020</t>
  </si>
  <si>
    <t>ESTACA ESCAVADA MECANICAMENTE, SEM FLUIDO ESTABILIZANTE, COM 60CM DE DIÂMETRO, CONCRETO LANÇADO POR BOMBA LANÇA (EXCLUSIVE BOMBEAMENTO, MOBILIZAÇÃO E DESMOBILIZAÇÃO). AF_01/2020</t>
  </si>
  <si>
    <t>ESTACA ESCAVADA MECANICAMENTE, SEM FLUIDO ESTABILIZANTE, COM 60CM DE DIÂMETRO, CONCRETO LANÇADO POR CAMINHÃO BETONEIRA (EXCLUSIVE MOBILIZAÇÃO E DESMOBILIZAÇÃO). AF_01/2020</t>
  </si>
  <si>
    <t>ESTACA METÁLICA PARA FUNDAÇÃO, UTILIZANDO PERFIL LAMINADO HP310X125 (EXCLUSIVE MOBILIZAÇÃO E DESMOBILIZAÇÃO). AF_01/2020</t>
  </si>
  <si>
    <t>ESTACA RAIZ, DIÂMETRO DE 20 CM, PERFURADA EM ROCHA (EXCLUSIVE MOBILIZAÇÃO E DESMOBILIZAÇÃO). AF_03/2020</t>
  </si>
  <si>
    <t>ESTACA RAIZ, DIÂMETRO DE 20 CM, SEM PRESENÇA DE ROCHA (EXCLUSIVE MOBILIZAÇÃO E DESMOBILIZAÇÃO). AF_03/2020</t>
  </si>
  <si>
    <t>ESTACA RAIZ, DIÂMETRO DE 31 CM, PERFURADA EM ROCHA (EXCLUSIVE MOBILIZAÇÃO E DESMOBILIZAÇÃO). AF_03/2020</t>
  </si>
  <si>
    <t>ESTACA RAIZ, DIÂMETRO DE 31 CM, SEM PRESENÇA DE ROCHA (EXCLUSIVE MOBILIZAÇÃO E DESMOBILIZAÇÃO). AF_03/2020</t>
  </si>
  <si>
    <t>ESTACA RAIZ, DIÂMETRO DE 40 CM, PERFURADA EM ROCHA (EXCLUSIVE MOBILIZAÇÃO E DESMOBILIZAÇÃO). AF_03/2020</t>
  </si>
  <si>
    <t>ESTACA RAIZ, DIÂMETRO DE 40 CM, SEM PRESENÇA DE ROCHA (EXCLUSIVE MOBILIZAÇÃO E DESMOBILIZAÇÃO). AF_03/2020</t>
  </si>
  <si>
    <t>ESTACA RAIZ, DIÂMETRO DE 45 CM, PERFURADA EM ROCHA (EXCLUSIVE MOBILIZAÇÃO E DESMOBILIZAÇÃO). AF_03/2020</t>
  </si>
  <si>
    <t>ESTACA RAIZ, DIÂMETRO DE 45 CM, SEM PRESENÇA DE ROCHA (EXCLUSIVE MOBILIZAÇÃO E DESMOBILIZAÇÃO). AF_03/2020</t>
  </si>
  <si>
    <t>FORNECIMENTO E MONTAGEM DE ESCADAS PRÉ-FABRICADAS, INCLUSO IÇAMENTO COM GUINDASTE. AF_03/2024</t>
  </si>
  <si>
    <t>FORNECIMENTO E MONTAGEM DE LAJES ALVEOLARES PRÉ-FABRICADAS, INCLUSO IÇAMENTO COM GUINDASTE. AF_03/2024</t>
  </si>
  <si>
    <t>FORNECIMENTO E MONTAGEM DE PAINÉIS ESTRUTURAIS PRÉ-FABRICADOS, INCLUSO IÇAMENTO COM GUINDASTE. AF_03/2024</t>
  </si>
  <si>
    <t>FORNECIMENTO E MONTAGEM DE PILARES PRÉ-FABRICADOS, INCLUSO IÇAMENTO COM GUINDASTE. AF_03/2024</t>
  </si>
  <si>
    <t>FORNECIMENTO E MONTAGEM DE PRÉ-LAJE TRELIÇADA PRÉ-FABRICADAS, INCLUSO IÇAMENTO COM GUINDASTE. AF_03/2024</t>
  </si>
  <si>
    <t>FORNECIMENTO E MONTAGEM DE TERÇAS PRÉ-FABRICADAS, INCLUSO IÇAMENTO COM GUINDASTE. AF_03/2024</t>
  </si>
  <si>
    <t>FORNECIMENTO E MONTAGEM DE TESOURAS PRÉ-FABRICADAS, INCLUSO IÇAMENTO COM GUINDASTE. AF_03/2024</t>
  </si>
  <si>
    <t>FORNECIMENTO E MONTAGEM DE VIGAS CALHA PRÉ-FABRICADAS, INCLUSO IÇAMENTO COM GUINDASTE. AF_03/2024</t>
  </si>
  <si>
    <t>FORNECIMENTO E MONTAGEM DE VIGAS PRÉ-FABRICADAS, INCLUSO IÇAMENTO COM GUINDASTE. AF_03/2024</t>
  </si>
  <si>
    <t>CONTENÇÃO EM CORTINA COM ESTACAS ESPAÇADAS COM 30 CM DE DIÂMETRO E PROFUNDIDADE ATÉ 20 METROS. AF_02/2025</t>
  </si>
  <si>
    <t>CONTENÇÃO EM CORTINA COM ESTACAS ESPAÇADAS COM 40 CM DE DIÂMETRO E PROFUNDIDADE ATÉ 20 METROS. AF_02/2025</t>
  </si>
  <si>
    <t>CONTENÇÃO EM CORTINA COM ESTACAS ESPAÇADAS COM 50 CM DE DIÂMETRO E PROFUNDIDADE ATÉ 20 METROS. AF_02/2025</t>
  </si>
  <si>
    <t>CONTENÇÃO EM CORTINA COM ESTACAS ESPAÇADAS COM 60 CM DE DIÂMETRO E PROFUNDIDADE ATÉ 20 METROS. AF_02/2025</t>
  </si>
  <si>
    <t>CONTENÇÃO EM CORTINA COM ESTACAS SECANTES COM 40 CM DE DIÂMETRO E PROFUNDIDADE ATÉ 20 METROS. AF_02/2025</t>
  </si>
  <si>
    <t>CONTENÇÃO EM CORTINA COM ESTACAS SECANTES COM 50 CM DE DIÂMETRO E PROFUNDIDADE ATÉ 20 METROS. AF_02/2025</t>
  </si>
  <si>
    <t>CONTENÇÃO EM PAREDE DIAFRAGMA COM 30 CM DE ESPESSURA E PROFUNDIDADE ATÉ 25 METROS. AF_02/2025</t>
  </si>
  <si>
    <t>CONTENÇÃO EM PAREDE DIAFRAGMA COM 40 CM DE ESPESSURA E PROFUNDIDADE ATÉ 25 METROS. AF_02/2025</t>
  </si>
  <si>
    <t>CONTENÇÃO EM PAREDE DIAFRAGMA COM 50 CM DE ESPESSURA E PROFUNDIDADE ATÉ 25 METROS. AF_02/2025</t>
  </si>
  <si>
    <t>CONTENÇÃO EM PAREDE DIAFRAGMA COM 60 CM DE ESPESSURA E PROFUNDIDADE ATÉ 25 METROS. AF_02/2025</t>
  </si>
  <si>
    <t>CONTENÇÃO EM PAREDE DIAFRAGMA COM 80 CM DE ESPESSURA E PROFUNDIDADE ATÉ 25 METROS. AF_02/2025</t>
  </si>
  <si>
    <t>EXECUÇÃO DE MURETA GUIA PARA CONTENÇÃO/FUNDAÇÃO, PARA LAMELAS ATÉ 0,80 M DE LARGURA. AF_02/2025</t>
  </si>
  <si>
    <t>CONTENÇÃO EM PERFIL PRANCHADO COM PAINEL TRELIÇADO DUPLA FACE DE CONCRETO PRÉ-FABRICADO, PERFIS ESPAÇADOS A 1,5 M PARA 1 SUBSOLO. AF_11/2024</t>
  </si>
  <si>
    <t>CONTENÇÃO EM PERFIL PRANCHADO COM PAINEL TRELIÇADO DUPLA FACE DE CONCRETO PRÉ-FABRICADO, PERFIS ESPAÇADOS A 1,5 M PARA 2 OU MAIS SUBSOLOS. AF_11/2024</t>
  </si>
  <si>
    <t>CONTENÇÃO EM PERFIL PRANCHADO COM PAINEL TRELIÇADO DUPLA FACE DE CONCRETO PRÉ-FABRICADO, PERFIS ESPAÇADOS A 2 M PARA 1 SUBSOLO. AF_11/2024</t>
  </si>
  <si>
    <t>CONTENÇÃO EM PERFIL PRANCHADO COM PAINEL TRELIÇADO DUPLA FACE DE CONCRETO PRÉ-FABRICADO, PERFIS ESPAÇADOS A 2 M PARA 2 OU MAIS SUBSOLOS. AF_11/2024</t>
  </si>
  <si>
    <t>CONTENÇÃO EM PERFIL PRANCHADO COM PRANCHÃO DE MADEIRA, PERFIS ESPAÇADOS A 1,5 M PARA 1 SUBSOLO. AF_11/2024</t>
  </si>
  <si>
    <t>CONTENÇÃO EM PERFIL PRANCHADO COM PRANCHÃO DE MADEIRA, PERFIS ESPAÇADOS A 1,5 M PARA 2 OU MAIS SUBSOLOS. AF_11/2024</t>
  </si>
  <si>
    <t>CONTENÇÃO EM PERFIL PRANCHADO COM PRANCHÃO DE MADEIRA, PERFIS ESPAÇADOS A 2 M PARA 1 SUBSOLO. AF_11/2024</t>
  </si>
  <si>
    <t>CONTENÇÃO EM PERFIL PRANCHADO COM PRANCHÃO DE MADEIRA, PERFIS ESPAÇADOS A 2 M PARA 2 OU MAIS SUBSOLOS. AF_11/2024</t>
  </si>
  <si>
    <t>MURO DE ARRIMO COM BLOCOS DE CONCRETO ESTRUTURAL E PILARES INTERMEDIÁRIOS, COM ALTURA MAIOR QUE 1,6 M E MENOR OU IGUAL A 2,8 M (EXCETO FUNDAÇÃO). AF_11/2024</t>
  </si>
  <si>
    <t>MURO DE ARRIMO COM BLOCOS DE CONCRETO ESTRUTURAL E PILARES INTERMEDIÁRIOS, COM ALTURA MAIOR QUE 2,8 M E MENOR OU IGUAL A 4,0 M (EXCETO FUNDAÇÃO). AF_11/2024</t>
  </si>
  <si>
    <t>MURO DE ARRIMO COM BLOCOS DE CONCRETO ESTRUTURAL, ATÉ 1,6 M DE ALTURA (EXCETO FUNDAÇÃO). AF_11/2024</t>
  </si>
  <si>
    <t>PILAR DE MADEIRA ROLIÇA, EUCALIPTO OU EQUIVALENTE DA REGIÃO, FIXADO COM PORTA PILAR METÁLICO, DIÂMETRO DE 12 A 15 CM, APOIO ARTICULADO, COMPRIMENTO DE 3 M. AF_03/2024</t>
  </si>
  <si>
    <t>PILAR DE MADEIRA ROLIÇA, EUCALIPTO OU EQUIVALENTE DA REGIÃO, FIXADO COM PORTA PILAR METÁLICO, DIÂMETRO DE 12 A 15 CM, APOIO ARTICULADO, COMPRIMENTO DE 6 M. AF_03/2024</t>
  </si>
  <si>
    <t>PILAR DE MADEIRA ROLIÇA, EUCALIPTO OU EQUIVALENTE DA REGIÃO, FIXADO COM PORTA PILAR METÁLICO, DIÂMETRO DE 12 A 15 CM, APOIO ENGASTADO, COMPRIMENTO DE 3 M. AF_03/2024</t>
  </si>
  <si>
    <t>PILAR DE MADEIRA ROLIÇA, EUCALIPTO OU EQUIVALENTE DA REGIÃO, FIXADO COM PORTA PILAR METÁLICO, DIÂMETRO DE 12 A 15 CM, APOIO ENGASTADO, COMPRIMENTO DE 6 M. AF_03/2024</t>
  </si>
  <si>
    <t>PILAR DE MADEIRA ROLIÇA, EUCALIPTO OU EQUIVALENTE DA REGIÃO, FIXADO COM PORTA PILAR METÁLICO, DIÂMETRO DE 16 A 20 CM, APOIO ARTICULADO, COMPRIMENTO DE 3 M. AF_03/2024</t>
  </si>
  <si>
    <t>PILAR DE MADEIRA ROLIÇA, EUCALIPTO OU EQUIVALENTE DA REGIÃO, FIXADO COM PORTA PILAR METÁLICO, DIÂMETRO DE 16 A 20 CM, APOIO ARTICULADO, COMPRIMENTO DE 6 M. AF_03/2024</t>
  </si>
  <si>
    <t>PILAR DE MADEIRA ROLIÇA, EUCALIPTO OU EQUIVALENTE DA REGIÃO, FIXADO COM PORTA PILAR METÁLICO, DIÂMETRO DE 16 A 20 CM, APOIO ENGASTADO, COMPRIMENTO DE 3 M. AF_03/2024</t>
  </si>
  <si>
    <t>PILAR DE MADEIRA ROLIÇA, EUCALIPTO OU EQUIVALENTE DA REGIÃO, FIXADO COM PORTA PILAR METÁLICO, DIÂMETRO DE 16 A 20 CM, APOIO ENGASTADO, COMPRIMENTO DE 6 M. AF_03/2024</t>
  </si>
  <si>
    <t>PILAR DE MADEIRA ROLIÇA, EUCALIPTO OU EQUIVALENTE DA REGIÃO, FIXADO COM PORTA PILAR METÁLICO, DIÂMETRO DE 21 A 29 CM, APOIO ARTICULADO, COMPRIMENTO DE 3 M. AF_03/2024</t>
  </si>
  <si>
    <t>PILAR DE MADEIRA ROLIÇA, EUCALIPTO OU EQUIVALENTE DA REGIÃO, FIXADO COM PORTA PILAR METÁLICO, DIÂMETRO DE 21 A 29 CM, APOIO ARTICULADO, COMPRIMENTO DE 6 M. AF_03/2024</t>
  </si>
  <si>
    <t>PILAR DE MADEIRA ROLIÇA, EUCALIPTO OU EQUIVALENTE DA REGIÃO, FIXADO COM PORTA PILAR METÁLICO, DIÂMETRO DE 21 A 29 CM, APOIO ENGASTADO, COMPRIMENTO DE 3 M. AF_03/2024</t>
  </si>
  <si>
    <t>PILAR DE MADEIRA ROLIÇA, EUCALIPTO OU EQUIVALENTE DA REGIÃO, FIXADO COM PORTA PILAR METÁLICO, DIÂMETRO DE 21 A 29 CM, APOIO ENGASTADO, COMPRIMENTO DE 6 M. AF_03/2024</t>
  </si>
  <si>
    <t>PILAR DE MADEIRA ROLIÇA, EUCALIPTO OU EQUIVALENTE DA REGIÃO, FIXADO COM PORTA PILAR METÁLICO, DIÂMETRO DE 30 A 34 CM, APOIO ARTICULADO, COMPRIMENTO DE 3 M. AF_03/2024</t>
  </si>
  <si>
    <t>PILAR DE MADEIRA ROLIÇA, EUCALIPTO OU EQUIVALENTE DA REGIÃO, FIXADO COM PORTA PILAR METÁLICO, DIÂMETRO DE 30 A 34 CM, APOIO ARTICULADO, COMPRIMENTO DE 6 M. AF_03/2024</t>
  </si>
  <si>
    <t>PILAR DE MADEIRA ROLIÇA, EUCALIPTO OU EQUIVALENTE DA REGIÃO, FIXADO COM PORTA PILAR METÁLICO, DIÂMETRO DE 30 A 34 CM, APOIO ENGASTADO, COMPRIMENTO DE 3 M. AF_03/2024</t>
  </si>
  <si>
    <t>PILAR DE MADEIRA ROLIÇA, EUCALIPTO OU EQUIVALENTE DA REGIÃO, FIXADO COM PORTA PILAR METÁLICO, DIÂMETRO DE 30 A 34 CM, APOIO ENGASTADO, COMPRIMENTO DE 6 M. AF_03/2024</t>
  </si>
  <si>
    <t>PILAR DE MADEIRA SERRADA, MAÇARANDUBA OU EQUIVALENTE DA REGIÃO, NÃO APARELHADO, FIXADO COM PORTA PILAR METÁLICO, SEÇÃO QUADRADA 10 X 10 CM, APOIO ARTICULADO, COMPRIMENTO DE 3 M. AF_03/2024</t>
  </si>
  <si>
    <t>PILAR DE MADEIRA SERRADA, MAÇARANDUBA OU EQUIVALENTE DA REGIÃO, NÃO APARELHADO, FIXADO COM PORTA PILAR METÁLICO, SEÇÃO QUADRADA 10 X 10 CM, APOIO ARTICULADO, COMPRIMENTO DE 6 M. AF_03/2024</t>
  </si>
  <si>
    <t>PILAR DE MADEIRA SERRADA, MAÇARANDUBA OU EQUIVALENTE DA REGIÃO, NÃO APARELHADO, FIXADO COM PORTA PILAR METÁLICO, SEÇÃO QUADRADA 10 X 10 CM, APOIO ENGASTADO, COMPRIMENTO DE 3 M. AF_03/2024</t>
  </si>
  <si>
    <t>PILAR DE MADEIRA SERRADA, MAÇARANDUBA OU EQUIVALENTE DA REGIÃO, NÃO APARELHADO, FIXADO COM PORTA PILAR METÁLICO, SEÇÃO QUADRADA 10 X 10 CM, APOIO ENGASTADO, COMPRIMENTO DE 6 M. AF_03/2024</t>
  </si>
  <si>
    <t>PILAR DE MADEIRA SERRADA, MAÇARANDUBA OU EQUIVALENTE DA REGIÃO, NÃO APARELHADO, FIXADO COM PORTA PILAR METÁLICO, SEÇÃO QUADRADA 15 X 15 CM, APOIO ARTICULADO, COMPRIMENTO DE 3 M. AF_03/2024</t>
  </si>
  <si>
    <t>PILAR DE MADEIRA SERRADA, MAÇARANDUBA OU EQUIVALENTE DA REGIÃO, NÃO APARELHADO, FIXADO COM PORTA PILAR METÁLICO, SEÇÃO QUADRADA 15 X 15 CM, APOIO ARTICULADO, COMPRIMENTO DE 6 M. AF_03/2024</t>
  </si>
  <si>
    <t>PILAR DE MADEIRA SERRADA, MAÇARANDUBA OU EQUIVALENTE DA REGIÃO, NÃO APARELHADO, FIXADO COM PORTA PILAR METÁLICO, SEÇÃO QUADRADA 15 X 15 CM, APOIO ENGASTADO, COMPRIMENTO DE 3 M. AF_03/2024</t>
  </si>
  <si>
    <t>PILAR DE MADEIRA SERRADA, MAÇARANDUBA OU EQUIVALENTE DA REGIÃO, NÃO APARELHADO, FIXADO COM PORTA PILAR METÁLICO, SEÇÃO QUADRADA 15 X 15 CM, APOIO ENGASTADO, COMPRIMENTO DE 6 M. AF_03/2024</t>
  </si>
  <si>
    <t>PILAR DE MADEIRA SERRADA, MAÇARANDUBA OU EQUIVALENTE DA REGIÃO, NÃO APARELHADO, FIXADO COM PORTA PILAR METÁLICO, SEÇÃO QUADRADA 20 X 20 CM, APOIO ARTICULADO, COMPRIMENTO DE 3 M. AF_03/2024</t>
  </si>
  <si>
    <t>PILAR DE MADEIRA SERRADA, MAÇARANDUBA OU EQUIVALENTE DA REGIÃO, NÃO APARELHADO, FIXADO COM PORTA PILAR METÁLICO, SEÇÃO QUADRADA 20 X 20 CM, APOIO ARTICULADO, COMPRIMENTO DE 6 M. AF_03/2024</t>
  </si>
  <si>
    <t>PILAR DE MADEIRA SERRADA, MAÇARANDUBA OU EQUIVALENTE DA REGIÃO, NÃO APARELHADO, FIXADO COM PORTA PILAR METÁLICO, SEÇÃO QUADRADA 20 X 20 CM, APOIO ENGASTADO, COMPRIMENTO DE 3 M. AF_03/2024</t>
  </si>
  <si>
    <t>PILAR DE MADEIRA SERRADA, MAÇARANDUBA OU EQUIVALENTE DA REGIÃO, NÃO APARELHADO, FIXADO COM PORTA PILAR METÁLICO, SEÇÃO QUADRADA 20 X 20 CM, APOIO ENGASTADO, COMPRIMENTO DE 6 M. AF_03/2024</t>
  </si>
  <si>
    <t>INJEÇÃO DE CALDA DE CIMENTO PARA CHUMBAMENTO DE TIRANTE COM 8 CORDOALHAS DE 12,7 MM, COMPRIMENTO MAIOR OU IGUAL A 22 M E MENOR QUE 30 M, DIÂMETRO DE 100 MM, INCLUSIVE PRODUÇÃO. AF_11/2023</t>
  </si>
  <si>
    <t>INJEÇÃO DE CALDA DE CIMENTO PARA CHUMBAMENTO DE TIRANTE COM 8 CORDOALHAS DE 12,7 MM, COMPRIMENTO MAIOR OU IGUAL A 22 M E MENOR QUE 30 M, DIÂMETRO DE 150 MM, INCLUSIVE PRODUÇÃO. AF_11/2023</t>
  </si>
  <si>
    <t>INJEÇÃO DE CALDA DE CIMENTO PARA CHUMBAMENTO DE TIRANTE COM 8 CORDOALHAS DE 12,7 MM, COMPRIMENTO MAIOR OU IGUAL A 22 M E MENOR QUE 30 M, DIÂMETRO DE 200 MM, INCLUSIVE PRODUÇÃO. AF_11/2023</t>
  </si>
  <si>
    <t>INJEÇÃO DE CALDA DE CIMENTO PARA CHUMBAMENTO DE TIRANTE MONOBARRA COM ARMADURA DE 36 MM, COMPRIMENTO MAIOR OU IGUAL A 22 M E MENOR QUE 30 M, DIÂMETRO DE 100 MM, INCLUSIVE PRODUÇÃO. AF_11/2023</t>
  </si>
  <si>
    <t>INJEÇÃO DE CALDA DE CIMENTO PARA CHUMBAMENTO DE TIRANTE MONOBARRA COM ARMADURA DE 36 MM, COMPRIMENTO MAIOR OU IGUAL A 22 M E MENOR QUE 30 M, DIÂMETRO DE 150 MM, INCLUSIVE PRODUÇÃO. AF_11/2023</t>
  </si>
  <si>
    <t>INJEÇÃO DE CALDA DE CIMENTO PARA CHUMBAMENTO DE TIRANTE MONOBARRA COM ARMADURA DE 36 MM, COMPRIMENTO MAIOR OU IGUAL A 22 M E MENOR QUE 30 M, DIÂMETRO DE 200 MM, INCLUSIVE PRODUÇÃO. AF_11/2023</t>
  </si>
  <si>
    <t>INSTALAÇÃO DE TIRANTE COM 4 CORDOALHAS DE 12,7 MM, COMPRIMENTO MAIOR OU IGUAL A 14 M E MENOR QUE 22 M, INCLUSIVE MONTAGEM, INSTALAÇÃO E PROTENSÃO. AF_11/2023</t>
  </si>
  <si>
    <t>INSTALAÇÃO DE TIRANTE COM 4 CORDOALHAS DE 12,7 MM, COMPRIMENTO MAIOR OU IGUAL A 22 M E MENOR QUE 30 M, INCLUSIVE MONTAGEM, INSTALAÇÃO E PROTENSÃO. AF_11/2023</t>
  </si>
  <si>
    <t>INSTALAÇÃO DE TIRANTE COM 4 CORDOALHAS DE 12,7 MM, COMPRIMENTO MAIOR OU IGUAL A 6 M E MENOR QUE 14 M, INCLUSIVE MONTAGEM, INSTALAÇÃO E PROTENSÃO. AF_11/2023</t>
  </si>
  <si>
    <t>INSTALAÇÃO DE TIRANTE COM 6 CORDOALHAS DE 12,7 MM, COMPRIMENTO MAIOR OU IGUAL A 14 M E MENOR QUE 22 M, INCLUSIVE MONTAGEM, INSTALAÇÃO E PROTENSÃO. AF_11/2023</t>
  </si>
  <si>
    <t>INSTALAÇÃO DE TIRANTE COM 6 CORDOALHAS DE 12,7 MM, COMPRIMENTO MAIOR OU IGUAL A 22 M E MENOR QUE 30 M, INCLUSIVE MONTAGEM, INSTALAÇÃO E PROTENSÃO. AF_11/2023</t>
  </si>
  <si>
    <t>INSTALAÇÃO DE TIRANTE COM 6 CORDOALHAS DE 12,7 MM, COMPRIMENTO MAIOR OU IGUAL A 6 M E MENOR QUE 14 M, INCLUSIVE MONTAGEM, INSTALAÇÃO E PROTENSÃO. AF_11/2023</t>
  </si>
  <si>
    <t>INSTALAÇÃO DE TIRANTE COM 8 CORDOALHAS DE 12,7 MM, COMPRIMENTO MAIOR OU IGUAL A 14 M E MENOR QUE 22 M, INCLUSIVE MONTAGEM, INSTALAÇÃO E PROTENSÃO. AF_11/2023</t>
  </si>
  <si>
    <t>INSTALAÇÃO DE TIRANTE COM 8 CORDOALHAS DE 12,7 MM, COMPRIMENTO MAIOR OU IGUAL A 22 M E MENOR QUE 30 M, INCLUSIVE MONTAGEM, INSTALAÇÃO E PROTENSÃO. AF_11/2023</t>
  </si>
  <si>
    <t>INSTALAÇÃO DE TIRANTE COM 8 CORDOALHAS DE 12,7 MM, COMPRIMENTO MAIOR OU IGUAL A 6 M E MENOR QUE 14 M, INCLUSIVE MONTAGEM, INSTALAÇÃO E PROTENSÃO. AF_11/2023</t>
  </si>
  <si>
    <t>INSTALAÇÃO DE TIRANTE MONOBARRA COM ARMADURA DE 25 MM, COMPRIMENTO MAIOR OU IGUAL A 14 M E MENOR QUE 22 M, INCLUSIVE MONTAGEM, INSTALAÇÃO E PROTENSÃO. AF_11/2023</t>
  </si>
  <si>
    <t>INSTALAÇÃO DE TIRANTE MONOBARRA COM ARMADURA DE 25 MM, COMPRIMENTO MAIOR OU IGUAL A 22 M E MENOR QUE 30 M, INCLUSIVE MONTAGEM, INSTALAÇÃO E PROTENSÃO. AF_11/2023</t>
  </si>
  <si>
    <t>INSTALAÇÃO DE TIRANTE MONOBARRA COM ARMADURA DE 25 MM, COMPRIMENTO MAIOR OU IGUAL A 6 M E MENOR QUE 14 M, INCLUSIVE MONTAGEM, INSTALAÇÃO E PROTENSÃO. AF_11/2023</t>
  </si>
  <si>
    <t>INSTALAÇÃO DE TIRANTE MONOBARRA COM ARMADURA DE 32 MM, COMPRIMENTO MAIOR OU IGUAL A 14 M E MENOR QUE 22 M, INCLUSIVE MONTAGEM, INSTALAÇÃO E PROTENSÃO. AF_11/2023</t>
  </si>
  <si>
    <t>INSTALAÇÃO DE TIRANTE MONOBARRA COM ARMADURA DE 32 MM, COMPRIMENTO MAIOR OU IGUAL A 22 M E MENOR QUE 30 M, INCLUSIVE MONTAGEM, INSTALAÇÃO E PROTENSÃO. AF_11/2023</t>
  </si>
  <si>
    <t>INSTALAÇÃO DE TIRANTE MONOBARRA COM ARMADURA DE 32 MM, COMPRIMENTO MAIOR OU IGUAL A 6 M E MENOR QUE 14 M, INCLUSIVE MONTAGEM, INSTALAÇÃO E PROTENSÃO. AF_11/2023</t>
  </si>
  <si>
    <t>INSTALAÇÃO DE TIRANTE MONOBARRA COM ARMADURA DE 36 MM, COMPRIMENTO MAIOR OU IGUAL A 14 M E MENOR QUE 22 M, INCLUSIVE MONTAGEM, INSTALAÇÃO E PROTENSÃO. AF_11/2023</t>
  </si>
  <si>
    <t>INSTALAÇÃO DE TIRANTE MONOBARRA COM ARMADURA DE 36 MM, COMPRIMENTO MAIOR OU IGUAL A 22 M E MENOR QUE 30 M, INCLUSIVE MONTAGEM, INSTALAÇÃO E PROTENSÃO. AF_11/2023</t>
  </si>
  <si>
    <t>INSTALAÇÃO DE TIRANTE MONOBARRA COM ARMADURA DE 36 MM, COMPRIMENTO MAIOR OU IGUAL A 6 M E MENOR QUE 14 M, INCLUSIVE MONTAGEM, INSTALAÇÃO E PROTENSÃO. AF_11/2023</t>
  </si>
  <si>
    <t>REQUADRO DE VÃOS COM PLACAS DE PORCELANATO ASSENTADAS COM ARGAMASSA COLANTE. AF_03/2025</t>
  </si>
  <si>
    <t>REQUADRO DE VÃOS PLACAS DE GRANITO FIXADAS COM INSERTE METÁLICO. AF_03/2025</t>
  </si>
  <si>
    <t>REVESTIMENTO NÃO ADERIDO DE PAREDES EXTERNAS COM PLACAS DE GRANITO DE ÁREA MAIOR QUE 10000 CM2, FIXADAS COM INSERTE METÁLICO. AF_03/2025</t>
  </si>
  <si>
    <t>REVESTIMENTO NÃO ADERIDO DE PAREDES EXTERNAS COM PLACAS DE GRANITO DE ÁREA MAIOR QUE 3025 CM2 E MENOR OU IGUAL A 10000 CM2, FIXADAS COM INSERTE METÁLICO. AF_03/2025</t>
  </si>
  <si>
    <t>REVESTIMENTO NÃO ADERIDO DE PAREDES EXTERNAS COM PLACAS DE PORCELANATO DE ÁREA MAIOR DO QUE 2500 CM2 E MENOR OU IGUAL A 6400 CM2, FIXADAS COM INSERTE METÁLICO. AF_03/2025</t>
  </si>
  <si>
    <t>REVESTIMENTO NÃO ADERIDO DE PAREDES EXTERNAS COM PLACAS DE PORCELANATO DE ÁREA MAIOR QUE 6400 CM2 E MENOR QUE 10000 CM2, FIXADAS COM INSERTE METÁLICO. AF_03/2025</t>
  </si>
  <si>
    <t>FORRO METÁLICO, PARA AMBIENTES COMERCIAIS, INCLUSIVE ESTRUTURA DE FIXAÇÃO. AF_08/2023</t>
  </si>
  <si>
    <t>FILTRO ANAERÓBIO CIRCULAR, EM CONCRETO PRÉ-MOLDADO, DIÂMETRO INTERNO = 1,10 M, ALTURA INTERNA = 1,50 M, VOLUME ÚTIL: 1140,4 L (PARA 5 CONTRIBUINTES). AF_12/2020</t>
  </si>
  <si>
    <t>FILTRO ANAERÓBIO CIRCULAR, EM CONCRETO PRÉ-MOLDADO, DIÂMETRO INTERNO = 1,88 M, ALTURA INTERNA = 1,50 M, VOLUME ÚTIL: 3331,1 L (PARA 19 CONTRIBUINTES). AF_12/2020</t>
  </si>
  <si>
    <t>FILTRO ANAERÓBIO CIRCULAR, EM CONCRETO PRÉ-MOLDADO, DIÂMETRO INTERNO = 2,38 M, ALTURA INTERNA = 1,50 M, VOLUME ÚTIL: 5338,6 L (PARA 34 CONTRIBUINTES). AF_12/2020</t>
  </si>
  <si>
    <t>FILTRO ANAERÓBIO CIRCULAR, EM CONCRETO PRÉ-MOLDADO, DIÂMETRO INTERNO = 2,88 M, ALTURA INTERNA = 1,50 M, VOLUME ÚTIL: 7817,3 L (PARA 75 CONTRIBUINTES). AF_12/2020</t>
  </si>
  <si>
    <t>SUMIDOURO CIRCULAR, EM CONCRETO PRÉ-MOLDADO, DIÂMETRO INTERNO = 1,88 M, ALTURA INTERNA = 2,00 M, ÁREA DE INFILTRAÇÃO: 13,1 M² (PARA 5 CONTRIBUINTES). AF_12/2020</t>
  </si>
  <si>
    <t>SUMIDOURO CIRCULAR, EM CONCRETO PRÉ-MOLDADO, DIÂMETRO INTERNO = 2,38 M, ALTURA INTERNA = 2,50 M, ÁREA DE INFILTRAÇÃO: 21,3 M² (PARA 8 CONTRIBUINTES). AF_12/2020</t>
  </si>
  <si>
    <t>SUMIDOURO CIRCULAR, EM CONCRETO PRÉ-MOLDADO, DIÂMETRO INTERNO = 2,38 M, ALTURA INTERNA = 3,0 M, ÁREA DE INFILTRAÇÃO: 25 M² (PARA 10 CONTRIBUINTES). AF_12/2020</t>
  </si>
  <si>
    <t>SUMIDOURO CIRCULAR, EM CONCRETO PRÉ-MOLDADO, DIÂMETRO INTERNO = 2,88 M, ALTURA INTERNA = 3,0 M, ÁREA DE INFILTRAÇÃO: 31,4 M² (PARA 12 CONTRIBUINTES). AF_12/2020</t>
  </si>
  <si>
    <t>TANQUE SÉPTICO CIRCULAR, EM CONCRETO PRÉ-MOLDADO, DIÂMETRO INTERNO = 1,10 M, ALTURA INTERNA = 2,50 M, VOLUME ÚTIL: 2138,2 L (PARA 5 CONTRIBUINTES). AF_12/2020</t>
  </si>
  <si>
    <t>TANQUE SÉPTICO CIRCULAR, EM CONCRETO PRÉ-MOLDADO, DIÂMETRO INTERNO = 1,40 M, ALTURA INTERNA = 2,50 M, VOLUME ÚTIL: 3463,6 L (PARA 13 CONTRIBUINTES). AF_12/2020</t>
  </si>
  <si>
    <t>TANQUE SÉPTICO CIRCULAR, EM CONCRETO PRÉ-MOLDADO, DIÂMETRO INTERNO = 1,88 M, ALTURA INTERNA = 2,50 M, VOLUME ÚTIL: 6245,8 L (PARA 32 CONTRIBUINTES). AF_12/2020</t>
  </si>
  <si>
    <t>TANQUE SÉPTICO CIRCULAR, EM CONCRETO PRÉ-MOLDADO, DIÂMETRO INTERNO = 2,38 M, ALTURA INTERNA = 2,50 M, VOLUME ÚTIL: 10009,8 L (PARA 69 CONTRIBUINTES). AF_12/2020</t>
  </si>
  <si>
    <t>TANQUE SÉPTICO CIRCULAR, EM CONCRETO PRÉ-MOLDADO, DIÂMETRO INTERNO = 2,38 M, ALTURA INTERNA = 3,0 M, VOLUME ÚTIL: 12234,2 L (PARA 86 CONTRIBUINTES). AF_12/2020</t>
  </si>
  <si>
    <t>TANQUE SÉPTICO CIRCULAR, EM CONCRETO PRÉ-MOLDADO, DIÂMETRO INTERNO = 2,88 M, ALTURA INTERNA = 2,50 M, VOLUME ÚTIL: 14657,4 L (PARA 105 CONTRIBUINTES). AF_12/2020</t>
  </si>
  <si>
    <t>MONTAGEM E DESMONTAGEM DE FÔRMA PARA ESTRUTURA CIRCULAR, COM INSTALAÇÃO EXCLUSIVAMENTE NA FACE INTERNA DA ESTRUTURA, COM AUXÍLIO DE GUINDASTE. AF_07/2024</t>
  </si>
  <si>
    <t>MONTAGEM E DESMONTAGEM DE FÔRMA PARA ESTRUTURA CIRCULAR, COM INSTALAÇÃO EXCLUSIVAMENTE NA FACE INTERNA DA ESTRUTURA, SEM AUXÍLIO DE GUINDASTE. AF_07/2024</t>
  </si>
  <si>
    <t>MONTAGEM E DESMONTAGEM DE FÔRMA PARA ESTRUTURA CIRCULAR, COM INSTALAÇÃO NA FACE INTERNA E EXTERNA DA EXTRUTURA, COM AUXÍLIO DE GUINDASTE. AF_07/2024</t>
  </si>
  <si>
    <t>MONTAGEM E DESMONTAGEM DE FÔRMA PARA ESTRUTURA CIRCULAR, COM INSTALAÇÃO NA FACE INTERNA E EXTERNA DA EXTRUTURA, SEM AUXÍLIO DE GUINDASTE. AF_07/2024</t>
  </si>
  <si>
    <t>MONTAGEM E DESMONTAGEM DE FÔRMA DE PILARES CIRCULARES, COM ÁREA MÉDIA DAS SEÇÕES MAIOR QUE 0,28 M², EM PAPELÃO. AF_05/2024</t>
  </si>
  <si>
    <t>MONTAGEM E DESMONTAGEM DE FÔRMA DE PILARES CIRCULARES, COM ÁREA MÉDIA DAS SEÇÕES MENOR OU IGUAL A 0,28 M², EM PAPELÃO. AF_05/2024</t>
  </si>
  <si>
    <t>MONTAGEM E DESMONTAGEM DE FÔRMA DE PILARES CIRCULARES, PÉ-DIREITO DUPLO, METÁLICA. AF_05/2024</t>
  </si>
  <si>
    <t>MONTAGEM E DESMONTAGEM DE FÔRMA DE PILARES CIRCULARES, PÉ-DIREITO DUPLO, PLÁSTICA. AF_05/2024</t>
  </si>
  <si>
    <t>MONTAGEM E DESMONTAGEM DE FÔRMA DE PILARES CIRCULARES, PÉ-DIREITO SIMPLES, METÁLICA. AF_05/2024</t>
  </si>
  <si>
    <t>MONTAGEM E DESMONTAGEM DE FÔRMA DE PILARES CIRCULARES, PÉ-DIREITO SIMPLES, PLÁSTICA. AF_05/2024</t>
  </si>
  <si>
    <t>ASSENTAMENTO DE GUIA (MEIO-FIO), TIPO PAVER (FINCADINHA) EM TRECHO RETO, EM CONCRETO PRÉ-FABRICADO, DIMENSÕES 45X08X608X19 CM (COMPRIMENTO X BASE INFERIOR X BASE SUPERIOR X ALTURA), PARA DELIMITAÇÃO DE JARDINS, PRAÇAS OU PASSEIOS. AF_01/2024</t>
  </si>
  <si>
    <t>ASSENTAMENTO DE GUIA (MEIO-FIO), TIPO PAVER, FINCADINHA, EM TRECHO CURVO, EM CONCRETO PRÉ-FABRICADO, DIMENSÕES 45X08X08X19 CM (COMPRIMENTO X BASE INFERIOR X BASE SUPERIOR X ALTURA), PARA DELIMITAÇÃO DE JARDINS, PRAÇAS OU PASSEIOS. AF_01/2024</t>
  </si>
  <si>
    <t>BLOCO AUTÔNOMO DE ILUMINAÇÃO DE EMERGÊNCIA COM DOIS REFLETORES - FORNECIMENTO E INSTALAÇÃO. AF_09/2024</t>
  </si>
  <si>
    <t>CÂMERA DE MONITORAMENTO COM ATÉ 25 METROS DE ALCANCE TIPO BULLET - FORNECIMENTO E INSTALAÇÃO. AF_09/2024</t>
  </si>
  <si>
    <t>CÂMERA DE MONITORAMENTO COM ATÉ 25 METROS DE ALCANCE TIPO DOME - FORNECIMENTO E INSTALAÇÃO. AF_09/2024</t>
  </si>
  <si>
    <t>CÂMERA DE MONITORAMENTO COM MAIS DE 25 METROS DE ALCANCE TIPO BULLET - FORNECIMENTO E INSTALAÇÃO. AF_09/2024</t>
  </si>
  <si>
    <t>CÂMERA IP BULLET - FORNECIMENTO E INSTALAÇÃO. AF_09/2024</t>
  </si>
  <si>
    <t>CÂMERA IP DOME RESOLUCAO 1MP - FORNECIMENTO E INSTALAÇÃO. AF_09/2024</t>
  </si>
  <si>
    <t>CÂMERA IP SPEED DOME - FORNECIMENTO E INSTALAÇÃO. AF_09/2024</t>
  </si>
  <si>
    <t>CÂMERA IP WIFI - FORNECIMENTO E INSTALAÇÃO. AF_09/2024</t>
  </si>
  <si>
    <t>DRIVER SLIM PARA FITA LED - FORNECIMENTO E INSTALAÇÃO. AF_09/2024</t>
  </si>
  <si>
    <t>FITA LED - FORNECIMENTO E INSTALAÇÃO. AF_09/2024</t>
  </si>
  <si>
    <t>LUMINÁRIA LED DE EMBUTIR - QUADRADA 60X60CM, INCLUSO DRIVER - FORNECIMENTO E INSTALAÇÃO. AF_09/2024</t>
  </si>
  <si>
    <t>LUMINÁRIA LED DE SOBREPOR - QUADRADA *60X60*CM, INCLUSO DRIVER - FORNECIMENTO E INSTALAÇÃO. AF_09/2024</t>
  </si>
  <si>
    <t>LUMINÁRIA LED DE SOBREPOR HERMÉTICA - *60X15CM*, INCLUSO DRIVER - FORNECIMENTO E INSTALAÇÃO. AF_09/2024</t>
  </si>
  <si>
    <t>LUMINÁRIA TIPO CALHA, DE EMBUTIR, COM 1 LÂMPADA TUBULAR LED DE 18 W, SEM REATOR - FORNECIMENTO E INSTALAÇÃO. AF_09/2024</t>
  </si>
  <si>
    <t>LUMINÁRIA TIPO CALHA, DE EMBUTIR, COM 2 LÂMPADAS TUBULARES LED DE 18 W, SEM REATOR - FORNECIMENTO E INSTALAÇÃO. AF_09/2024</t>
  </si>
  <si>
    <t>LUMINÁRIA TIPO CALHA, DE EMBUTIR, COM 2 LÂMPADAS TUBULARES LED DE 9 W, SEM REATOR - FORNECIMENTO E INSTALAÇÃO. AF_09/2024</t>
  </si>
  <si>
    <t>LUMINÁRIA TIPO CALHA, DE EMBUTIR, PARA 1 LÂMPADA TUBULAR LED DE 36 W, SEM LÂMPADA E SEM REATOR - FORNECIMENTO E INSTALAÇÃO. AF_09/2024</t>
  </si>
  <si>
    <t>LUMINÁRIA TIPO CALHA, DE EMBUTIR, PARA 2 LÂMPADAS TUBULARES LED DE 36 W, SEM LÂMPADA E SEM REATOR - FORNECIMENTO E INSTALAÇÃO. AF_09/2024</t>
  </si>
  <si>
    <t>LUMINÁRIA TIPO CALHA, DE SOBREPOR, COM 1 LÂMPADA TUBULAR LED DE 18 W, SEM REATOR - FORNECIMENTO E INSTALAÇÃO. AF_09/2024</t>
  </si>
  <si>
    <t>LUMINÁRIA TIPO CALHA, DE SOBREPOR, COM 1 LÂMPADA TUBULAR LED DE 9 W SEM REATOR - FORNECIMENTO E INSTALAÇÃO. AF_09/2024</t>
  </si>
  <si>
    <t>LUMINÁRIA TIPO CALHA, DE SOBREPOR, COM 2 LÂMPADAS TUBULARES LED DE 18 W, SEM REATOR - FORNECIMENTO E INSTALAÇÃO. AF_09/2024</t>
  </si>
  <si>
    <t>LUMINÁRIA TIPO CALHA, DE SOBREPOR, COM 2 LÂMPADAS TUBULARES LED DE 9 W SEM REATOR - FORNECIMENTO E INSTALAÇÃO. AF_09/2024</t>
  </si>
  <si>
    <t>LUMINÁRIA TIPO CALHA, DE SOBREPOR, PARA 1 LÂMPADA TUBULAR LED DE 36 W, SEM LÂMPADA E SEM REATOR - FORNECIMENTO E INSTALAÇÃO. AF_09/2024</t>
  </si>
  <si>
    <t>LUMINÁRIA TIPO CALHA, DE SOBREPOR, PARA 2 LÂMPADAS TUBULARES LED DE 36 W, SEM LÂMPADA E SEM REATOR - FORNECIMENTO E INSTALAÇÃO. AF_09/2024</t>
  </si>
  <si>
    <t>LUMINÁRIA TIPO PLAFON QUADRADA, DE EMBUTIR, COM LED DE 12 W - FORNECIMENTO E INSTALAÇÃO. AF_09/2024</t>
  </si>
  <si>
    <t>LUMINÁRIA TIPO PLAFON QUADRADA, DE EMBUTIR, COM LED DE 18 W - FORNECIMENTO E INSTALAÇÃO. AF_09/2024</t>
  </si>
  <si>
    <t>LUMINÁRIA TIPO PLAFON QUADRADA, DE EMBUTIR, COM LED DE 24 W - FORNECIMENTO E INSTALAÇÃO. AF_09/2024</t>
  </si>
  <si>
    <t>LUMINÁRIA TIPO PLAFON QUADRADA, DE SOBREPOR, COM LED DE 12 W - FORNECIMENTO E INSTALAÇÃO. AF_09/2024</t>
  </si>
  <si>
    <t>LUMINÁRIA TIPO PLAFON QUADRADA, DE SOBREPOR, COM LED DE 18 W - FORNECIMENTO E INSTALAÇÃO. AF_09/2024</t>
  </si>
  <si>
    <t>LUMINÁRIA TIPO PLAFON QUADRADA, DE SOBREPOR, COM LED DE 24 W - FORNECIMENTO E INSTALAÇÃO. AF_09/2024</t>
  </si>
  <si>
    <t>LUMINÁRIA TIPO SPOT, DE EMBUTIR, COM 1 LÂMPADA LED PAR20 - FORNECIMENTO E INSTALAÇÃO. AF_09/2024</t>
  </si>
  <si>
    <t>LUMINÁRIA TIPO SPOT, DE SOBREPOR, COM 1 LÂMPADA LED PAR20 - FORNECIMENTO E INSTALAÇÃO. AF_09/2024</t>
  </si>
  <si>
    <t>PERFIL COM FITA LED - FORNECIMENTO E INSTALAÇÃO. AF_09/2024</t>
  </si>
  <si>
    <t>IMPERMEABILIZAÇÃO COM MANTA ASFÁLTICA COLADA COM ASFALTO DERRETIDO, DUAS CAMADAS, E = 3MM E E=4MM. AF_09/2023</t>
  </si>
  <si>
    <t>IMPERMEABILIZAÇÃO DE SUPERFÍCIE COM MANTA ASFÁLTICA COLADA COM ASFALTO DERRETIDO, UMA CAMADA, E=4MM. AF_09/2023</t>
  </si>
  <si>
    <t>IMPERMEABILIZAÇÃO DE SUPERFÍCIE COM MEMBRANA A BASE DE POLIURÉIA, 2 DEMÃOS. AF_09/2023</t>
  </si>
  <si>
    <t>TRATAMENTO DE RALO OU PONTO EMERGENTE COM MANTA ASFÁLTICA COLADA COM ASFÁLTO DERRETIDO, E=4MM. AF_09/2023</t>
  </si>
  <si>
    <t>TRATAMENTO DE RODAPÉ COM MANTA ASFÁLTICA COLADA COM ASFALTO DERRETIDO, E=4MM. AF_09/2023</t>
  </si>
  <si>
    <t>CAIXA ELÉTRICA 4"X2" AUTOTRAVANTE PARA FURO CIRCULAR ALTA (2,00 M DO PISO), PVC, INSTALADA EM PAREDE - FORNECIMENTO E INSTALAÇÃO. AF_03/2023</t>
  </si>
  <si>
    <t>CAIXA ELÉTRICA 4"X2" AUTOTRAVANTE PARA FURO CIRCULAR BAIXA (0,30 M DO PISO), PVC, INSTALADA EM PAREDE - FORNECIMENTO E INSTALAÇÃO. AF_03/2023</t>
  </si>
  <si>
    <t>CAIXA ELÉTRICA 4"X2" AUTOTRAVANTE PARA FURO CIRCULAR MÉDIA (1,30 M DO PISO), PVC, INSTALADA EM PAREDE - FORNECIMENTO E INSTALAÇÃO. AF_03/2023</t>
  </si>
  <si>
    <t>CAIXA ELÉTRICA 4"X4" AUTOTRAVANTE PARA FURO CIRCULAR ALTA (2,00 M DO PISO), PVC, INSTALADA EM PAREDE - FORNECIMENTO E INSTALAÇÃO. AF_03/2023</t>
  </si>
  <si>
    <t>CAIXA ELÉTRICA 4"X4" AUTOTRAVANTE PARA FURO CIRCULAR BAIXA (0,30 M DO PISO), PVC, INSTALADA EM PAREDE - FORNECIMENTO E INSTALAÇÃO. AF_03/2023</t>
  </si>
  <si>
    <t>CAIXA ELÉTRICA 4"X4" AUTOTRAVANTE PARA FURO CIRCULAR MÉDIA (1,30 M DO PISO), PVC, INSTALADA EM PAREDE - FORNECIMENTO E INSTALAÇÃO. AF_03/2023</t>
  </si>
  <si>
    <t>ELETRODUTO FLEXÍVEL CORRUGADO REFORÇADO, PVC, DN 20 MM (1/2"), PARA CIRCUITOS TERMINAIS, INSTALADO EM FORRO - FORNECIMENTO E INSTALAÇÃO. AF_03/2023</t>
  </si>
  <si>
    <t>ELETRODUTO FLEXÍVEL CORRUGADO REFORÇADO, PVC, DN 25 MM (3/4"), PARA CIRCUITOS TERMINAIS, INSTALADO EM FORRO - FORNECIMENTO E INSTALAÇÃO. AF_03/2023</t>
  </si>
  <si>
    <t>ELETRODUTO FLEXÍVEL CORRUGADO REFORÇADO, PVC, DN 32 MM (1"), PARA CIRCUITOS TERMINAIS, INSTALADO EM FORRO - FORNECIMENTO E INSTALAÇÃO. AF_03/2023</t>
  </si>
  <si>
    <t>ELETRODUTO FLEXÍVEL CORRUGADO, PEAD, DN 32 MM (1"), PARA CIRCUITOS TERMINAIS, INSTALADO EM FORRO - FORNECIMENTO E INSTALAÇÃO. AF_03/2023</t>
  </si>
  <si>
    <t>ELETRODUTO FLEXÍVEL CORRUGADO, PEAD, DN 32 MM (1"), PARA CIRCUITOS TERMINAIS, INSTALADO EM LAJE - FORNECIMENTO E INSTALAÇÃO. AF_03/2023</t>
  </si>
  <si>
    <t>ELETRODUTO FLEXÍVEL CORRUGADO, PEAD, DN 32 MM (1"), PARA CIRCUITOS TERMINAIS, INSTALADO EM PAREDE - FORNECIMENTO E INSTALAÇÃO. AF_03/2023</t>
  </si>
  <si>
    <t>ELETRODUTO FLEXÍVEL CORRUGADO, PEAD, DN 40 MM (1 1/4"), PARA CIRCUITOS TERMINAIS, INSTALADO EM FORRO - FORNECIMENTO E INSTALAÇÃO. AF_03/2023</t>
  </si>
  <si>
    <t>ELETRODUTO FLEXÍVEL CORRUGADO, PVC, DN 20 MM (1/2"), PARA CIRCUITOS TERMINAIS, INSTALADO EM FORRO - FORNECIMENTO E INSTALAÇÃO. AF_03/2023</t>
  </si>
  <si>
    <t>ELETRODUTO FLEXÍVEL CORRUGADO, PVC, DN 25 MM (3/4"), PARA CIRCUITOS TERMINAIS, INSTALADO EM FORRO - FORNECIMENTO E INSTALAÇÃO. AF_03/2023</t>
  </si>
  <si>
    <t>ELETRODUTO FLEXÍVEL CORRUGADO, PVC, DN 32 MM (1"), PARA CIRCUITOS TERMINAIS, INSTALADO EM FORRO - FORNECIMENTO E INSTALAÇÃO. AF_03/2023</t>
  </si>
  <si>
    <t>ELETRODUTO FLEXÍVEL LISO, PEAD, DN 32 MM (1"), PARA CIRCUITOS TERMINAIS, INSTALADO EM FORRO - FORNECIMENTO E INSTALAÇÃO. AF_03/2023</t>
  </si>
  <si>
    <t>ELETRODUTO FLEXÍVEL LISO, PEAD, DN 40 MM (1 1/4"), PARA CIRCUITOS TERMINAIS, INSTALADO EM FORRO - FORNECIMENTO E INSTALAÇÃO. AF_03/2023</t>
  </si>
  <si>
    <t>CONECTOR EM BRONZE/LATÃO, DN 104 MM X 4", SEM ANEL DE SOLDA, BOLSA X ROSCA, INSTALADO EM RESERVAÇÃO PREDIAL DE ÁGUA - FORNECIMENTO E INSTALAÇÃO. AF_04/2024</t>
  </si>
  <si>
    <t>CONECTOR EM BRONZE/LATÃO, DN 54 MM X 2", SEM ANEL DE SOLDA, BOLSA X ROSCA, INSTALADO EM RESERVAÇÃO PREDIAL DE ÁGUA - FORNECIMENTO E INSTALAÇÃO. AF_04/2024</t>
  </si>
  <si>
    <t>CONECTOR EM BRONZE/LATÃO, DN 66 MM X 2 1/2", SEM ANEL DE SOLDA, BOLSA X ROSCA, INSTALADO EM RESERVAÇÃO PREDIAL DE ÁGUA - FORNECIMENTO E INSTALAÇÃO. AF_04/2024</t>
  </si>
  <si>
    <t>CONECTOR EM BRONZE/LATÃO, DN 79 MM X 3", SEM ANEL DE SOLDA, BOLSA X ROSCA, INSTALADO EM RESERVAÇÃO PREDIAL DE ÁGUA - FORNECIMENTO E INSTALAÇÃO. AF_04/2024</t>
  </si>
  <si>
    <t>CURVA 90 GRAUS, CPVC, SOLDÁVEL, DN 114 MM, INSTALADO EM RESERVAÇÃO PREDIAL DE ÁGUA - FORNECIMENTO E INSTALAÇÃO. AF_04/2024</t>
  </si>
  <si>
    <t>CURVA 90 GRAUS, CPVC, SOLDÁVEL, DN 35 MM, INSTALADO EM RESERVAÇÃO PREDIAL DE ÁGUA - FORNECIMENTO E INSTALAÇÃO. AF_04/2024</t>
  </si>
  <si>
    <t>CURVA 90 GRAUS, CPVC, SOLDÁVEL, DN 42 MM, INSTALADO EM RESERVAÇÃO PREDIAL DE ÁGUA - FORNECIMENTO E INSTALAÇÃO. AF_04/2024</t>
  </si>
  <si>
    <t>CURVA 90 GRAUS, CPVC, SOLDÁVEL, DN 54 MM, INSTALADO EM RESERVAÇÃO PREDIAL DE ÁGUA - FORNECIMENTO E INSTALAÇÃO. AF_04/2024</t>
  </si>
  <si>
    <t>CURVA 90 GRAUS, CPVC, SOLDÁVEL, DN 73 MM, INSTALADO EM RESERVAÇÃO PREDIAL DE ÁGUA - FORNECIMENTO E INSTALAÇÃO. AF_04/2024</t>
  </si>
  <si>
    <t>CURVA 90 GRAUS, CPVC, SOLDÁVEL, DN 89 MM, INSTALADO EM RESERVAÇÃO PREDIAL DE ÁGUA - FORNECIMENTO E INSTALAÇÃO. AF_04/2024</t>
  </si>
  <si>
    <t>CURVA EM COBRE, DN 104 MM, 45 GRAUS, SEM ANEL DE SOLDA, BOLSA X BOLSA, INSTALADO EM RESERVAÇÃO PREDIAL DE ÁGUA - FORNECIMENTO E INSTALAÇÃO. AF_04/2024</t>
  </si>
  <si>
    <t>CURVA EM COBRE, DN 79 MM, 45 GRAUS, SEM ANEL DE SOLDA, BOLSA X BOLSA, INSTALADO EM RESERVAÇÃO PREDIAL DE ÁGUA - FORNECIMENTO E INSTALAÇÃO. AF_04/2024</t>
  </si>
  <si>
    <t>FLANGE CURTA EM COBRE, DN 104 MM X 4", INSTALADO EM RESERVAÇÃO PREDIAL DE ÁGUA - FORNECIMENTO E INSTALAÇÃO. AF_04/2024</t>
  </si>
  <si>
    <t>FLANGE CURTA EM COBRE, DN 54 MM X 2", INSTALADO EM RESERVAÇÃO PREDIAL DE ÁGUA - FORNECIMENTO E INSTALAÇÃO. AF_04/2024</t>
  </si>
  <si>
    <t>FLANGE CURTA EM COBRE, DN 66 MM X 2 1/2", INSTALADO EM RESERVAÇÃO PREDIAL DE ÁGUA - FORNECIMENTO E INSTALAÇÃO. AF_04/2024</t>
  </si>
  <si>
    <t>FLANGE CURTA EM COBRE, DN 79 MM X 3", INSTALADO EM RESERVAÇÃO PREDIAL DE ÁGUA - FORNECIMENTO E INSTALAÇÃO. AF_04/2024</t>
  </si>
  <si>
    <t>UNIÃO FLANGE, PPR, COM PARAFUSOS, DN 50 MM, INSTALADO EM RESERVAÇÃO PREDIAL DE ÁGUA - FORNECIMENTO E INSTALAÇÃO. AF_04/2024</t>
  </si>
  <si>
    <t>UNIÃO FLANGE, PPR, COM PARAFUSOS, DN 63 MM, INSTALADO EM RESERVAÇÃO PREDIAL DE ÁGUA - FORNECIMENTO E INSTALAÇÃO. AF_04/2024</t>
  </si>
  <si>
    <t>UNIÃO FLANGE, PPR, COM PARAFUSOS, DN 75 MM, INSTALADO EM RESERVAÇÃO PREDIAL DE ÁGUA - FORNECIMENTO E INSTALAÇÃO. AF_04/2024</t>
  </si>
  <si>
    <t>UNIÃO FLANGE, PPR, COM PARAFUSOS, DN 90 MM, INSTALADO EM RESERVAÇÃO PREDIAL DE ÁGUA - FORNECIMENTO E INSTALAÇÃO. AF_04/2024</t>
  </si>
  <si>
    <t>CONEXÃO FIXA, ROSCA MACHO, PARA INSTALAÇÕES EM PEX ÁGUA, DN 16 MM X 1/2", COM ANEL DESLIZANTE - FORNECIMENTO E INSTALAÇÃO. AF_02/2023</t>
  </si>
  <si>
    <t>CONEXÃO FIXA, ROSCA MACHO, PARA INSTALAÇÕES EM PEX ÁGUA, DN 16 MM X 3/4", COM ANEL DESLIZANTE - FORNECIMENTO E INSTALAÇÃO. AF_02/2023</t>
  </si>
  <si>
    <t>CONEXÃO FIXA, ROSCA MACHO, PARA INSTALAÇÕES EM PEX ÁGUA, DN 20 MM X 1/2", COM ANEL DESLIZANTE - FORNECIMENTO E INSTALAÇÃO. AF_02/2023</t>
  </si>
  <si>
    <t>CONEXÃO FIXA, ROSCA MACHO, PARA INSTALAÇÕES EM PEX ÁGUA, DN 20 MM X 3/4", COM ANEL DESLIZANTE - FORNECIMENTO E INSTALAÇÃO. AF_02/2023</t>
  </si>
  <si>
    <t>CONEXÃO FIXA, ROSCA MACHO, PARA INSTALAÇÕES EM PEX ÁGUA, DN 25 MM X 1", COM ANEL DESLIZANTE - FORNECIMENTO E INSTALAÇÃO. AF_02/2023</t>
  </si>
  <si>
    <t>CONEXÃO FIXA, ROSCA MACHO, PARA INSTALAÇÕES EM PEX ÁGUA, DN 25 MM X 1/2", COM ANEL DESLIZANTE - FORNECIMENTO E INSTALAÇÃO. AF_02/2023</t>
  </si>
  <si>
    <t>CONEXÃO FIXA, ROSCA MACHO, PARA INSTALAÇÕES EM PEX ÁGUA, DN 25 MM X 3/4", COM ANEL DESLIZANTE - FORNECIMENTO E INSTALAÇÃO. AF_02/2023</t>
  </si>
  <si>
    <t>CONEXÃO FIXA, ROSCA MACHO, PARA INSTALAÇÕES EM PEX ÁGUA, DN 32 MM X 1", COM ANEL DESLIZANTE - FORNECIMENTO E INSTALAÇÃO. AF_02/2023</t>
  </si>
  <si>
    <t>CONEXÃO MÓVEL, ROSCA FÊMEA, PARA INSTALAÇÕES EM PEX ÁGUA, DN 16 MM X 1/2", COM ANEL DESLIZANTE - FORNECIMENTO E INSTALAÇÃO. AF_02/2023</t>
  </si>
  <si>
    <t>CONEXÃO MÓVEL, ROSCA FÊMEA, PARA INSTALAÇÕES EM PEX ÁGUA, DN 20 MM X 1/2", COM ANEL DESLIZANTE - FORNECIMENTO E INSTALAÇÃO. AF_02/2023</t>
  </si>
  <si>
    <t>CONEXÃO MÓVEL, ROSCA FÊMEA, PARA INSTALAÇÕES EM PEX ÁGUA, DN 20 MM X 3/4", COM ANEL DESLIZANTE - FORNECIMENTO E INSTALAÇÃO. AF_02/2023</t>
  </si>
  <si>
    <t>CONEXÃO MÓVEL, ROSCA FÊMEA, PARA INSTALAÇÕES EM PEX ÁGUA, DN 25 MM X 1", COM ANEL DESLIZANTE - FORNECIMENTO E INSTALAÇÃO. AF_02/2023</t>
  </si>
  <si>
    <t>CONEXÃO MÓVEL, ROSCA FÊMEA, PARA INSTALAÇÕES EM PEX ÁGUA, DN 25 MM X 3/4", COM ANEL DESLIZANTE - FORNECIMENTO E INSTALAÇÃO. AF_02/2023</t>
  </si>
  <si>
    <t>CONEXÃO MÓVEL, ROSCA FÊMEA, PARA INSTALAÇÕES EM PEX ÁGUA, DN 32 MM X 1", COM ANEL DESLIZANTE - FORNECIMENTO E INSTALAÇÃO. AF_02/2023</t>
  </si>
  <si>
    <t>JOELHO 90 GRAUS, ROSCA FÊMEA TERMINAL, PARA INSTALAÇÕES EM PEX ÁGUA, DN 25 MM X 3/4", FIXAÇÃO DAS CONEXÕES POR CRIMPAGEM - FORNECIMENTO E INSTALAÇÃO. AF_02/2023</t>
  </si>
  <si>
    <t>JOELHO 90 GRAUS, ROSCA MACHO TERMINAL, PARA INSTALAÇÕES EM PEX ÁGUA, DN 16 MM X 1/2", COM ANEL DESLIZANTE - FORNECIMENTO E INSTALAÇÃO. AF_02/2023</t>
  </si>
  <si>
    <t>JOELHO 90 GRAUS, ROSCA MACHO TERMINAL, PARA INSTALAÇÕES EM PEX ÁGUA, DN 20 MM X 1/2", FIXAÇÃO DAS CONEXÕES POR CRIMPAGEM - FORNECIMENTO E INSTALAÇÃO. AF_02/2023</t>
  </si>
  <si>
    <t>JOELHO 90 GRAUS, ROSCA MACHO TERMINAL, PARA INSTALAÇÕES EM PEX ÁGUA, DN 20 MM X 3/4", FIXAÇÃO DAS CONEXÕES POR CRIMPAGEM - FORNECIMENTO E INSTALAÇÃO. AF_02/2023</t>
  </si>
  <si>
    <t>JOELHO 90 GRAUS, ROSCA MACHO TERMINAL, PARA INSTALAÇÕES EM PEX ÁGUA, DN 25 MM X 1", COM ANEL DESLIZANTE - FORNECIMENTO E INSTALAÇÃO. AF_02/2023</t>
  </si>
  <si>
    <t>JOELHO 90 GRAUS, ROSCA MACHO TERMINAL, PARA INSTALAÇÕES EM PEX ÁGUA, DN 25 MM X 1/2", COM ANEL DESLIZANTE - FORNECIMENTO E INSTALAÇÃO. AF_02/2023</t>
  </si>
  <si>
    <t>JOELHO 90 GRAUS, ROSCA MACHO TERMINAL, PARA INSTALAÇÕES EM PEX ÁGUA, DN 25 MM X 3/4", FIXAÇÃO DAS CONEXÕES POR CRIMPAGEM - FORNECIMENTO E INSTALAÇÃO. AF_02/2023</t>
  </si>
  <si>
    <t>JOELHO 90 GRAUS, ROSCA MACHO TERMINAL, PARA INSTALAÇÕES EM PEX ÁGUA, DN 32 MM X 1", COM ANEL DESLIZANTE - FORNECIMENTO E INSTALAÇÃO. AF_02/2023</t>
  </si>
  <si>
    <t>JOELHO ROSCA FÊMEA MÓVEL, PARA INSTALAÇÕES EM PEX ÁGUA, DN 16 MM X 1/2", COM ANEL DESLIZANTE - FORNECIMENTO E INSTALAÇÃO. AF_02/2023</t>
  </si>
  <si>
    <t>JOELHO ROSCA FÊMEA MÓVEL, PARA INSTALAÇÕES EM PEX ÁGUA, DN 20 MM X 1/2", COM ANEL DESLIZANTE - FORNECIMENTO E INSTALAÇÃO. AF_02/2023</t>
  </si>
  <si>
    <t>JOELHO ROSCA FÊMEA MÓVEL, PARA INSTALAÇÕES EM PEX ÁGUA, DN 25 MM X 3/4", COM ANEL DESLIZANTE - FORNECIMENTO E INSTALAÇÃO. AF_02/2023</t>
  </si>
  <si>
    <t>JOELHO, ROSCA FÊMEA, COM BASE FIXA, PARA INSTALAÇÕES EM PEX ÁGUA, DN 16 MM X 3/4", FIXAÇÃO DAS CONEXÕES POR CRIMPAGEM - FORNECIMENTO E INSTALAÇÃO. AF_02/2023</t>
  </si>
  <si>
    <t>JOELHO, ROSCA FÊMEA, COM BASE FIXA, PARA INSTALAÇÕES EM PEX ÁGUA, DN 20 MM X 3/4", FIXAÇÃO DAS CONEXÕES POR CRIMPAGEM - FORNECIMENTO E INSTALAÇÃO. AF_02/2023</t>
  </si>
  <si>
    <t>JOELHO, ROSCA FÊMEA, COM BASE FIXA, PARA INSTALAÇÕES EM PEX ÁGUA, DN 25 MM X 1/2", FIXAÇÃO DAS CONEXÕES POR CRIMPAGEM - FORNECIMENTO E INSTALAÇÃO. AF_02/2023</t>
  </si>
  <si>
    <t>LUVA DE REDUÇÃO, PARA INSTALAÇÕES EM PEX ÁGUA, DN 32 X 20 MM, FIXAÇÃO DAS CONEXÕES POR CRIMPAGEM - FORNECIMENTO E INSTALAÇÃO. AF_02/2023</t>
  </si>
  <si>
    <t>TAMPÃO / CAP, ROSCA FÊMEA, PARA INSTALAÇÕES EM PEX ÁGUA, DN 1/2" - FORNECIMENTO E INSTALAÇÃO. AF_02/2023</t>
  </si>
  <si>
    <t>TAMPÃO / CAP, ROSCA FÊMEA, PARA INSTALAÇÕES EM PEX ÁGUA, DN 3/4" - FORNECIMENTO E INSTALAÇÃO. AF_02/2023</t>
  </si>
  <si>
    <t>TAMPÃO / CAP, ROSCA MACHO, PARA INSTALAÇÕES EM PEX ÁGUA, DN 1/2" - FORNECIMENTO E INSTALAÇÃO. AF_02/2023</t>
  </si>
  <si>
    <t>TÊ DE REDUÇÃO, PARA INSTALAÇÕES EM PEX ÁGUA, DN 16 X 20 X 16 MM, COM ANEL DESLIZANTE - FORNECIMENTO E INSTALAÇÃO. AF_02/2023</t>
  </si>
  <si>
    <t>TÊ DE REDUÇÃO, PARA INSTALAÇÕES EM PEX ÁGUA, DN 16 X 25 X 16 MM, COM ANEL DESLIZANTE - FORNECIMENTO E INSTALAÇÃO. AF_02/2023</t>
  </si>
  <si>
    <t>TÊ DE REDUÇÃO, PARA INSTALAÇÕES EM PEX ÁGUA, DN 20 X 16 X 16 MM, COM ANEL DESLIZANTE - FORNECIMENTO E INSTALAÇÃO. AF_02/2023</t>
  </si>
  <si>
    <t>TÊ DE REDUÇÃO, PARA INSTALAÇÕES EM PEX ÁGUA, DN 20 X 16 X 20 MM, COM ANEL DESLIZANTE - FORNECIMENTO E INSTALAÇÃO. AF_02/2023</t>
  </si>
  <si>
    <t>TÊ DE REDUÇÃO, PARA INSTALAÇÕES EM PEX ÁGUA, DN 20 X 20 X 16 MM, COM ANEL DESLIZANTE - FORNECIMENTO E INSTALAÇÃO. AF_02/2023</t>
  </si>
  <si>
    <t>TÊ DE REDUÇÃO, PARA INSTALAÇÕES EM PEX ÁGUA, DN 20 X 25 X 20 MM, COM ANEL DESLIZANTE - FORNECIMENTO E INSTALAÇÃO. AF_02/2023</t>
  </si>
  <si>
    <t>TÊ DE REDUÇÃO, PARA INSTALAÇÕES EM PEX ÁGUA, DN 25 X 16 X 16 MM, COM ANEL DESLIZANTE - FORNECIMENTO E INSTALAÇÃO. AF_02/2023</t>
  </si>
  <si>
    <t>TÊ DE REDUÇÃO, PARA INSTALAÇÕES EM PEX ÁGUA, DN 25 X 16 X 20 MM, COM ANEL DESLIZANTE - FORNECIMENTO E INSTALAÇÃO. AF_02/2023</t>
  </si>
  <si>
    <t>TÊ DE REDUÇÃO, PARA INSTALAÇÕES EM PEX ÁGUA, DN 25 X 16 X 25 MM, COM ANEL DESLIZANTE - FORNECIMENTO E INSTALAÇÃO. AF_02/2023</t>
  </si>
  <si>
    <t>TÊ DE REDUÇÃO, PARA INSTALAÇÕES EM PEX ÁGUA, DN 25 X 20 X 20 MM, COM ANEL DESLIZANTE - FORNECIMENTO E INSTALAÇÃO. AF_02/2023</t>
  </si>
  <si>
    <t>TÊ DE REDUÇÃO, PARA INSTALAÇÕES EM PEX ÁGUA, DN 25 X 20 X 25 MM, COM ANEL DESLIZANTE - FORNECIMENTO E INSTALAÇÃO. AF_02/2023</t>
  </si>
  <si>
    <t>TÊ DE REDUÇÃO, PARA INSTALAÇÕES EM PEX ÁGUA, DN 25 X 32 X 25 MM, COM ANEL DESLIZANTE - FORNECIMENTO E INSTALAÇÃO. AF_02/2023</t>
  </si>
  <si>
    <t>TÊ DE REDUÇÃO, PARA INSTALAÇÕES EM PEX ÁGUA, DN 32 X 20 X 32 MM, COM ANEL DESLIZANTE - FORNECIMENTO E INSTALAÇÃO. AF_02/2023</t>
  </si>
  <si>
    <t>TÊ DE REDUÇÃO, PARA INSTALAÇÕES EM PEX ÁGUA, DN 32 X 25 X 25 MM, COM ANEL DESLIZANTE - FORNECIMENTO E INSTALAÇÃO. AF_02/2023</t>
  </si>
  <si>
    <t>TÊ DE REDUÇÃO, PARA INSTALAÇÕES EM PEX ÁGUA, DN 32 X 25 X 32 MM, COM ANEL DESLIZANTE - FORNECIMENTO E INSTALAÇÃO. AF_02/2023</t>
  </si>
  <si>
    <t>TÊ MISTURADOR, PARA INSTALAÇÕES EM PEX ÁGUA, DN 16 MM X 1/2", COM ANEL DESLIZANTE - FORNECIMENTO E INSTALAÇÃO. AF_02/2023</t>
  </si>
  <si>
    <t>TÊ MISTURADOR, PARA INSTALAÇÕES EM PEX ÁGUA, DN 20 MM X 3/4", COM ANEL DESLIZANTE - FORNECIMENTO E INSTALAÇÃO. AF_02/2023</t>
  </si>
  <si>
    <t>TÊ ROSCA FÊMEA, PARA INSTALAÇÕES EM PEX ÁGUA, DN 20 MM X 3/4", COM ANEL DESLIZANTE - FORNECIMENTO E INSTALAÇÃO. AF_02/2023</t>
  </si>
  <si>
    <t>TÊ ROSCA FÊMEA, PARA INSTALAÇÕES EM PEX ÁGUA, DN 25 MM X 1/2", COM ANEL DESLIZANTE - FORNECIMENTO E INSTALAÇÃO. AF_02/2023</t>
  </si>
  <si>
    <t>TÊ ROSCA MACHO, PARA INSTALAÇÕES EM PEX ÁGUA, DN 16 MM X 1/2", COM ANEL DESLIZANTE - FORNECIMENTO E INSTALAÇÃO. AF_02/2023</t>
  </si>
  <si>
    <t>TÊ ROSCA MACHO, PARA INSTALAÇÕES EM PEX ÁGUA, DN 20 MM X 1/2", COM ANEL DESLIZANTE - FORNECIMENTO E INSTALAÇÃO. AF_02/2023</t>
  </si>
  <si>
    <t>TÊ ROSCA MACHO, PARA INSTALAÇÕES EM PEX ÁGUA, DN 20 MM X 3/4", COM ANEL DESLIZANTE - FORNECIMENTO E INSTALAÇÃO. AF_02/2023</t>
  </si>
  <si>
    <t>TÊ ROSCA MACHO, PARA INSTALAÇÕES EM PEX ÁGUA, DN 25 MM X 3/4", COM ANEL DESLIZANTE - FORNECIMENTO E INSTALAÇÃO. AF_02/2023</t>
  </si>
  <si>
    <t>TÊ ROSCA MACHO, PARA INSTALAÇÕES EM PEX ÁGUA, DN 32 MM X 3/4", COM ANEL DESLIZANTE - FORNECIMENTO E INSTALAÇÃO. AF_02/2023</t>
  </si>
  <si>
    <t>RALO LINEAR, EM PVC COM GRELHA INOX, JUNTA SOLDÁVEL, FORNECIDO E INSTALADO EM RAMAL DE DESCARGA OU EM RAMAL DE ESGOTO SANITÁRIO. AF_08/2022</t>
  </si>
  <si>
    <t>CONEXÃO FIXA, ROSCA MACHO, METÁLICA, PARA INSTALAÇÕES EM PEX MULTICAMADA, DN 16MM X 1/2", CONEXÃO POR CRIMPAGEM - FORNECIMENTO E INSTALAÇÃO. AF_01/2020</t>
  </si>
  <si>
    <t>FIXAÇÃO DE TUBOS VERTICAIS DE MULTICAMADA, DIÂMETROS MENORES OU IGUAIS A 32 MM, COM ABRAÇADEIRA TIPO SUPORTE MÚLTIPLO, FIXADA EM PAREDE EXTERNA - FORNECIMENTO E INSTALAÇÃO. AF_01/2020</t>
  </si>
  <si>
    <t>JOELHO 90 GRAUS, PARA INSTALAÇÕES EM PEX MULTICAMADA, DN 16 MM, CONEXÃO POR CRIMPAGEM - FORNECIMENTO E INSTALAÇÃO. AF_01/2020</t>
  </si>
  <si>
    <t>JOELHO 90 GRAUS, PARA INSTALAÇÕES EM PEX MULTICAMADA, DN 20 MM, CONEXÃO POR CRIMPAGEM - FORNECIMENTO E INSTALAÇÃO. AF_01/2020</t>
  </si>
  <si>
    <t>JOELHO 90 GRAUS, PARA INSTALAÇÕES EM PEX MULTICAMADA, DN 26 MM, CONEXÃO POR CRIMPAGEM - FORNECIMENTO E INSTALAÇÃO. AF_01/2020</t>
  </si>
  <si>
    <t>JOELHO 90 GRAUS, PARA INSTALAÇÕES EM PEX MULTICAMADA, DN 32 MM, CONEXÃO POR CRIMPAGEM - FORNECIMENTO E INSTALAÇÃO. AF_01/2020</t>
  </si>
  <si>
    <t>JOELHO 90 GRAUS, ROSCA FÊMEA, PARA INSTALAÇÕES EM PEX MULTICAMADA, DN 16 MM X 1/2'', CONEXÃO POR CRIMPAGEM - FORNECIMENTO E INSTALAÇÃO. AF_01/2020</t>
  </si>
  <si>
    <t>JOELHO 90 GRAUS, ROSCA FÊMEA, PARA INSTALAÇÕES EM PEX MULTICAMADA, DN 20 MM X 3/4", CONEXÃO POR CRIMPAGEM - FORNECIMENTO E INSTALAÇÃO. AF_01/2020</t>
  </si>
  <si>
    <t>JOELHO 90 GRAUS, ROSCA FÊMEA, PARA INSTALAÇÕES EM PEX MULTICAMADA, DN 25 MM X 1'', CONEXÃO POR CRIMPAGEM - FORNECIMENTO E INSTALAÇÃO. AF_01/2020</t>
  </si>
  <si>
    <t>JOELHO 90 GRAUS, ROSCA FÊMEA, PARA INSTALAÇÕES EM PEX MULTICAMADA, DN 32 MM X 1 1/4'', CONEXÃO POR CRIMPAGEM - FORNECIMENTO E INSTALAÇÃO. AF_01/2020</t>
  </si>
  <si>
    <t>JOELHO 90 GRAUS, ROSCA MACHO, PARA INSTALAÇÕES EM PEX MULTICAMADA, DN 16 MM X 1/2'', CONEXÃO POR CRIMPAGEM - FORNECIMENTO E INSTALAÇÃO. AF_01/2020</t>
  </si>
  <si>
    <t>JOELHO 90 GRAUS, ROSCA MACHO, PARA INSTALAÇÕES EM PEX MULTICAMADA, DN 20 MM X 3/4", CONEXÃO POR CRIMPAGEM - FORNECIMENTO E INSTALAÇÃO. AF_01/2020</t>
  </si>
  <si>
    <t>JOELHO 90 GRAUS, ROSCA MACHO, PARA INSTALAÇÕES EM PEX MULTICAMADA, DN 25 MM X 1'', CONEXÃO POR CRIMPAGEM - FORNECIMENTO E INSTALAÇÃO. AF_01/2020</t>
  </si>
  <si>
    <t>JOELHO 90 GRAUS, ROSCA MACHO, PARA INSTALAÇÕES EM PEX MULTICAMADA, DN 32 MM X 1 1/4'', CONEXÃO POR CRIMPAGEM - FORNECIMENTO E INSTALAÇÃO. AF_01/2020</t>
  </si>
  <si>
    <t>KIT CAVALETE PARA GÁS - COM MEDIDOR E REGULADOR - ENTRADA INDIVIDUAL PRINCIPAL, EM AÇO GALVANIZADO DN 15 E 25 MM (1/2" E 1") - FORNECIMENTO E INSTALAÇÃO. AF_01/2020</t>
  </si>
  <si>
    <t>KIT CAVALETE PARA GÁS - SEM MEDIDOR COM REGULADOR - ENTRADA INDIVIDUAL PRINCIPAL, EM AÇO GALVANIZADO DN 15 E 25 MM (1/2" E 1") - FORNECIMENTO E INSTALAÇÃO. AF_01/2020</t>
  </si>
  <si>
    <t>LUVA DE REDUÇÃO PARA INSTALAÇÕES EM PEX MULTICAMADA, DN 20 X 16 MM, CONEXÃO POR CRIMPAGEM - FORNECIMENTO E INSTALAÇÃO. AF_01/2020</t>
  </si>
  <si>
    <t>LUVA DE REDUÇÃO PARA INSTALAÇÕES EM PEX MULTICAMADA, DN 26 X 20 MM, CONEXÃO POR CRIMPAGEM - FORNECIMENTO E INSTALAÇÃO. AF_01/2020</t>
  </si>
  <si>
    <t>LUVA DE REDUÇÃO PARA INSTALAÇÕES EM PEX MULTICAMADA, DN 32 X 26 MM, CONEXÃO POR CRIMPAGEM - FORNECIMENTO E INSTALAÇÃO. AF_01/2020</t>
  </si>
  <si>
    <t>LUVA PARA INSTALAÇÕES EM PEX MULTICAMADA, DN 16 MM, CONEXÃO POR CRIMPAGEM - FORNECIMENTO E INSTALAÇÃO. AF_01/2020</t>
  </si>
  <si>
    <t>LUVA PARA INSTALAÇÕES EM PEX MULTICAMADA, DN 20 MM, CONEXÃO POR CRIMPAGEM - FORNECIMENTO E INSTALAÇÃO. AF_01/2020</t>
  </si>
  <si>
    <t>LUVA PARA INSTALAÇÕES EM PEX MULTICAMADA, DN 26 MM, CONEXÃO POR CRIMPAGEM - FORNECIMENTO E INSTALAÇÃO. AF_01/2020</t>
  </si>
  <si>
    <t>LUVA PARA INSTALAÇÕES EM PEX MULTICAMADA, DN 32 MM, CONEXÃO POR CRIMPAGEM - FORNECIMENTO E INSTALAÇÃO. AF_01/2020</t>
  </si>
  <si>
    <t>TUBO, PEX, MULTICAMADA, COM PROTEÇÃO UV, DN 16, INSTALADO EM IMPLANTAÇÃO DE INSTALAÇÕES DE GÁS - FORNECIMENTO E INSTALAÇÃO. AF_01/2020</t>
  </si>
  <si>
    <t>TUBO, PEX, MULTICAMADA, COM PROTEÇÃO UV, DN 16, INSTALADO EM PRUMADA DE INSTALAÇÕES DE GÁS - FORNECIMENTO E INSTALAÇÃO. AF_01/2020</t>
  </si>
  <si>
    <t>TUBO, PEX, MULTICAMADA, COM PROTEÇÃO UV, DN 20, INSTALADO EM IMPLANTAÇÃO DE INSTALAÇÕES DE GÁS - FORNECIMENTO E INSTALAÇÃO. AF_01/2020</t>
  </si>
  <si>
    <t>TUBO, PEX, MULTICAMADA, COM PROTEÇÃO UV, DN 20, INSTALADO EM PRUMADA DE INSTALAÇÕES DE GÁS - FORNECIMENTO E INSTALAÇÃO. AF_01/2020</t>
  </si>
  <si>
    <t>TUBO, PEX, MULTICAMADA, COM PROTEÇÃO UV, DN 25, INSTALADO EM PRUMADA DE INSTALAÇÕES DE GÁS - FORNECIMENTO E INSTALAÇÃO. AF_01/2020</t>
  </si>
  <si>
    <t>TUBO, PEX, MULTICAMADA, COM PROTEÇÃO UV, DN 26, INSTALADO EM IMPLANTAÇÃO DE INSTALAÇÕES DE GÁS - FORNECIMENTO E INSTALAÇÃO. AF_01/2020</t>
  </si>
  <si>
    <t>TUBO, PEX, MULTICAMADA, COM PROTEÇÃO UV, DN 32, INSTALADO EM IMPLANTAÇÃO DE INSTALAÇÕES DE GÁS - FORNECIMENTO E INSTALAÇÃO. AF_01/2020</t>
  </si>
  <si>
    <t>TUBO, PEX, MULTICAMADA, COM PROTEÇÃO UV, DN 32, INSTALADO EM PRUMADA DE INSTALAÇÕES DE GÁS - FORNECIMENTO E INSTALAÇÃO. AF_01/2020</t>
  </si>
  <si>
    <t>TÊ, PARA INSTALAÇÕES EM PEX MULTICAMADA, DN 16 MM, CONEXÃO POR CRIMPAGEM - FORNECIMENTO E INSTALAÇÃO. AF_01/2020</t>
  </si>
  <si>
    <t>TÊ, PARA INSTALAÇÕES EM PEX MULTICAMADA, DN 20 MM, CONEXÃO POR CRIMPAGEM - FORNECIMENTO E INSTALAÇÃO. AF_01/2020</t>
  </si>
  <si>
    <t>TÊ, PARA INSTALAÇÕES EM PEX MULTICAMADA, DN 26 MM, CONEXÃO POR CRIMPAGEM - FORNECIMENTO E INSTALAÇÃO. AF_01/2020</t>
  </si>
  <si>
    <t>TÊ, PARA INSTALAÇÕES EM PEX MULTICAMADA, DN 32 MM, CONEXÃO POR CRIMPAGEM - FORNECIMENTO E INSTALAÇÃO. AF_01/2020</t>
  </si>
  <si>
    <t>AR CONDICIONADO JANELA, 10000 BTU/H, CICLO FRIO - FORNECIMENTO E INSTALAÇÃO. AF_11/2021</t>
  </si>
  <si>
    <t>AR CONDICIONADO JANELA, 12000 BTU/H, CICLO FRIO - FORNECIMENTO E INSTALAÇÃO. AF_11/2021</t>
  </si>
  <si>
    <t>AR CONDICIONADO JANELA, 7500 BTU/H, CICLO FRIO - FORNECIMENTO E INSTALAÇÃO. AF_11/2021</t>
  </si>
  <si>
    <t>AR CONDICIONADO SPLIT DUTO, 18000 BTU/H, CICLO QUENTE/FRIO - FORNECIMENTO E INSTALAÇÃO. AF_11/2021</t>
  </si>
  <si>
    <t>AR CONDICIONADO SPLIT DUTO, 24000 BTU/H, CICLO QUENTE/FRIO - FORNECIMENTO E INSTALAÇÃO. AF_11/2021</t>
  </si>
  <si>
    <t>AR CONDICIONADO SPLIT DUTO, 36000 BTU/H, CICLO QUENTE/FRIO - FORNECIMENTO E INSTALAÇÃO. AF_11/2021</t>
  </si>
  <si>
    <t>DAMPER DE REGULAGEM PARA SISTEMA DE AR CONDICIONADO, 1000X500 MM - FORNECIMENTO E INSTALAÇÃO. AF_11/2021</t>
  </si>
  <si>
    <t>DIFUSOR PARA SISTEMA DE AR CONDICIONADO, 400X400 MM - FORNECIMENTO E INSTALAÇÃO. AF_11/2021</t>
  </si>
  <si>
    <t>GRELHA PARA SISTEMA DE AR CONDICIONADO, 400X400 MM - FORNECIMENTO E INSTALAÇÃO. AF_11/2021</t>
  </si>
  <si>
    <t>TUBO EM COBRE FLEXÍVEL, DN 1/2", COM ISOLAMENTO, INSTALADO EM FORRO, PARA RAMAL DE ALIMENTAÇÃO DE AR CONDICIONADO, INCLUSO FIXADOR. AF_11/2021</t>
  </si>
  <si>
    <t>TUBO EM COBRE FLEXÍVEL, DN 1/4", COM ISOLAMENTO, INSTALADO EM FORRO, PARA RAMAL DE ALIMENTAÇÃO DE AR CONDICIONADO, INCLUSO FIXADOR. AF_11/2021</t>
  </si>
  <si>
    <t>TUBO EM COBRE FLEXÍVEL, DN 3/8", COM ISOLAMENTO, INSTALADO EM FORRO, PARA RAMAL DE ALIMENTAÇÃO DE AR CONDICIONADO, INCLUSO FIXADOR. AF_11/2021</t>
  </si>
  <si>
    <t>TUBO EM COBRE FLEXÍVEL, DN 5/8", COM ISOLAMENTO, INSTALADO EM FORRO, PARA RAMAL DE ALIMENTAÇÃO DE AR CONDICIONADO, INCLUSO FIXADOR. AF_11/2021</t>
  </si>
  <si>
    <t>INSTALAÇÃO DE CATRACA ELETRÔNICA. AF_03/2024</t>
  </si>
  <si>
    <t>PAREDE DE MADEIRA OSB PARA CONSTRUÇÃO TEMPORÁRIA EM CHAPA DUPLA, EXTERNA, COM ÁREA LÍQUIDA MAIOR OU IGUAL A QUE 6 M², COM VÃO. AF_03/2024</t>
  </si>
  <si>
    <t>PAREDE DE MADEIRA OSB PARA CONSTRUÇÃO TEMPORÁRIA EM CHAPA DUPLA, EXTERNA, COM ÁREA LÍQUIDA MENOR QUE 6 M², COM VÃO. AF_03/2024</t>
  </si>
  <si>
    <t>PAREDE DE MADEIRA OSB PARA CONSTRUÇÃO TEMPORÁRIA EM CHAPA DUPLA, EXTERNA, SEM VÃO. AF_03/2024</t>
  </si>
  <si>
    <t>PAREDE DE MADEIRA OSB PARA CONSTRUÇÃO TEMPORÁRIA EM CHAPA DUPLA, INTERNA, COM ÁREA LÍQUIDA MAIOR OU IGUAL A 6 M², COM VÃO. AF_03/2024</t>
  </si>
  <si>
    <t>PAREDE DE MADEIRA OSB PARA CONSTRUÇÃO TEMPORÁRIA EM CHAPA DUPLA, INTERNA, COM ÁREA LÍQUIDA MENOR QUE 6 M², COM VÃO. AF_03/2024</t>
  </si>
  <si>
    <t>PAREDE DE MADEIRA OSB PARA CONSTRUÇÃO TEMPORÁRIA EM CHAPA DUPLA, INTERNA, SEM VÃO. AF_03/2024</t>
  </si>
  <si>
    <t>PAREDE DE MADEIRA OSB PARA CONSTRUÇÃO TEMPORÁRIA EM CHAPA SIMPLES, EXTERNA, COM ÁREA LÍQUIDA MAIOR OU IGUAL A 6 M², COM VÃO. AF_03/2024</t>
  </si>
  <si>
    <t>PAREDE DE MADEIRA OSB PARA CONSTRUÇÃO TEMPORÁRIA EM CHAPA SIMPLES, EXTERNA, COM ÁREA LÍQUIDA MENOR QUE 6 M², COM VÃO. AF_03/2024</t>
  </si>
  <si>
    <t>PAREDE DE MADEIRA OSB PARA CONSTRUÇÃO TEMPORÁRIA EM CHAPA SIMPLES, EXTERNA, SEM VÃO. AF_03/2024</t>
  </si>
  <si>
    <t>PAREDE DE MADEIRA OSB PARA CONSTRUÇÃO TEMPORÁRIA EM CHAPA SIMPLES, INTERNA, COM ÁREA LÍQUIDA MAIOR OU IGUAL A 6 M², COM VÃO. AF_03/2024</t>
  </si>
  <si>
    <t>PAREDE DE MADEIRA OSB PARA CONSTRUÇÃO TEMPORÁRIA EM CHAPA SIMPLES, INTERNA, COM ÁREA LÍQUIDA MENOR QUE 6 M², COM VÃO. AF_03/2024</t>
  </si>
  <si>
    <t>PAREDE DE MADEIRA OSB PARA CONSTRUÇÃO TEMPORÁRIA EM CHAPA SIMPLES, INTERNA, SEM VÃO. AF_03/2024</t>
  </si>
  <si>
    <t>TAPUME COM CHAPA METÁLICA. AF_03/2024</t>
  </si>
  <si>
    <t>TAPUME EM CHAPA DE MADEIRA OSB. AF_03/2024</t>
  </si>
  <si>
    <t>COLAR DE TOMADA, FERRO FUNDIDO, COM PARAFUSOS, DN 50 MM X 3/4", PARA LIGAÇÃO PREDIAL DE ÁGUA. AF_06/2022</t>
  </si>
  <si>
    <t>COLAR TOMADA EM FERRO FUNDIDO, COM PARAFUSOS, SAIDA COM ROSCA, DN 75 MM X 3/4", PARA LIGACAO PREDIAL DE AGUA. AF_06/2022</t>
  </si>
  <si>
    <t>REGISTRO ESFERA, LATÃO NIQUELADO, COM ROSCA, 3/4", PARA LIGAÇÃO PREDIAL DE ÁGUA. AF_06/2022</t>
  </si>
  <si>
    <t>TÊ DE REDUÇÃO, PVC OCRE, JUNTA ELÁSTICA, DN 150 X 100 MM, PARA COLETOR PREDIAL DE ESGOTO. AF_06/2022</t>
  </si>
  <si>
    <t>TÊ DE REDUÇÃO, PVC OCRE, JUNTA ELÁSTICA, DN 300 X 100 MM, PARA COLETOR PREDIAL DE ESGOTO. AF_06/2022</t>
  </si>
  <si>
    <t>TÊ DE REDUÇÃO, PVC OCRE, JUNTA ELÁSTICA, DN 300 X 150 MM, PARA COLETOR PREDIAL DE ESGOTO. AF_06/2022</t>
  </si>
  <si>
    <t>TÊ DE SERVIÇO INTEGRADO, POLIPROPILENO, PARA TUBOS EM PEAD, 63 MM X 32 MM, PARA LIGAÇÃO PREDIAL DE ÁGUA. AF_06/2022</t>
  </si>
  <si>
    <t>TÊ DE SERVIÇO INTEGRADO, POLIPROPILENO, PARA TUBOS EM PEAD, 90 MM X 20 MM, PARA LIGAÇÃO PREDIAL DE ÁGUA. AF_06/2022</t>
  </si>
  <si>
    <t>TÊ DE SERVIÇO INTEGRADO, POLIPROPILENO, PARA TUBOS EM PEAD, 90 MM X 32 MM, PARA LIGAÇÃO PREDIAL DE ÁGUA. AF_06/2022</t>
  </si>
  <si>
    <t>CURSO DE CAPACITAÇÃO PARA INSTALADOR DE PISO ELEVADO (ENCARGOS COMPLEMENTARES) - HORISTA</t>
  </si>
  <si>
    <t>CURSO DE CAPACITAÇÃO PARA MONTADOR DE FÔRMAS DO SISTEMA DE PAREDES DE CONCRETO (ENCARGOS COMPLEMENTARES) - HORISTA</t>
  </si>
  <si>
    <t>INSTALADOR DE PISO ELEVADO COM ENCARGOS COMPLEMENTARES</t>
  </si>
  <si>
    <t>MONTADOR DE FÔRMAS DO SISTEMA DE PAREDES DE CONCRETO COM ENCARGOS COMPLEMENTARES</t>
  </si>
  <si>
    <t>LOCAÇÃO COM USO EXCLUSIVO DE EQUIPAMENTO TOPOGRÁFICO. AF_03/2024</t>
  </si>
  <si>
    <t>LOCAÇÃO DE PAVIMENTAÇÃO. AF_03/2024</t>
  </si>
  <si>
    <t>LOCAÇÃO DE PONTO PARA REFERÊNCIA TOPOGRÁFICA. AF_03/2024</t>
  </si>
  <si>
    <t>MARCAÇÃO DE PONTOS EM GABARITO OU CAVALETE, COM USO DE ESTAÇÃO TOTAL. AF_03/2024</t>
  </si>
  <si>
    <t>ABRAÇADEIRA DE FIXAÇÃO DE BRAÇOS DE LUMINÁRIAS DE 2" - FORNECIMENTO E INSTALAÇÃO. AF_02/2025</t>
  </si>
  <si>
    <t>ABRAÇADEIRA DE FIXAÇÃO DE BRAÇOS DE LUMINÁRIAS DE 3" - FORNECIMENTO E INSTALAÇÃO. AF_02/2025</t>
  </si>
  <si>
    <t>ABRAÇADEIRA DE FIXAÇÃO DE BRAÇOS DE LUMINÁRIAS DE 4" - FORNECIMENTO E INSTALAÇÃO. AF_02/2025</t>
  </si>
  <si>
    <t>BRAÇO PARA ILUMINAÇÃO PÚBLICA, EM TUBO DE AÇO GALVANIZADO, COMPRIMENTO DE 1,20 M, PARA FIXAÇÃO EM POSTE DE CONCRETO - FORNECIMENTO E INSTALAÇÃO. AF_02/2025</t>
  </si>
  <si>
    <t>BRAÇO PARA ILUMINAÇÃO PÚBLICA, EM TUBO DE AÇO GALVANIZADO, COMPRIMENTO DE 1,20 M, PARA FIXAÇÃO EM POSTE METÁLICO - FORNECIMENTO E INSTALAÇÃO. AF_02/2025</t>
  </si>
  <si>
    <t>BRAÇO PARA ILUMINAÇÃO PÚBLICA, EM TUBO DE AÇO GALVANIZADO, COMPRIMENTO DE 1,50 M, PARA FIXAÇÃO EM POSTE DE CONCRETO - FORNECIMENTO E INSTALAÇÃO. AF_02/2025_PS</t>
  </si>
  <si>
    <t>BRAÇO PARA ILUMINAÇÃO PÚBLICA, EM TUBO DE AÇO GALVANIZADO, COMPRIMENTO DE 1,50 M, PARA FIXAÇÃO EM POSTE METÁLICO - FORNECIMENTO E INSTALAÇÃO. AF_02/2025_PS</t>
  </si>
  <si>
    <t>BRAÇO PARA ILUMINAÇÃO PÚBLICA, EM TUBO DE AÇO GALVANIZADO, COMPRIMENTO DE 3,50 M, PARA FIXAÇÃO EM POSTE DE CONCRETO - FORNECIMENTO E INSTALAÇÃO. AF_02/2025</t>
  </si>
  <si>
    <t>BRAÇO PARA ILUMINAÇÃO PÚBLICA, EM TUBO DE AÇO GALVANIZADO, COMPRIMENTO DE 3,50 M, PARA FIXAÇÃO EM POSTE METÁLICO - FORNECIMENTO E INSTALAÇÃO. AF_02/2025</t>
  </si>
  <si>
    <t>LUMINÁRIA DE LED PARA ILUMINAÇÃO PÚBLICA, 1000 W - FORNECIMENTO E INSTALAÇÃO. AF_02/2025</t>
  </si>
  <si>
    <t>LUMINÁRIA DE LED PARA ILUMINAÇÃO PÚBLICA, DE 138 W ATÉ 180 W - FORNECIMENTO E INSTALAÇÃO. AF_02/2025_PS</t>
  </si>
  <si>
    <t>LUMINÁRIA DE LED PARA ILUMINAÇÃO PÚBLICA, DE 181 W ATÉ 239 W - FORNECIMENTO E INSTALAÇÃO. AF_02/2025_PS</t>
  </si>
  <si>
    <t>LUMINÁRIA DE LED PARA ILUMINAÇÃO PÚBLICA, DE 240 W ATÉ 350 W - FORNECIMENTO E INSTALAÇÃO. AF_02/2025_PS</t>
  </si>
  <si>
    <t>LUMINÁRIA DE LED PARA ILUMINAÇÃO PÚBLICA, DE 33 W ATÉ 50 W - FORNECIMENTO E INSTALAÇÃO. AF_02/2025_PS</t>
  </si>
  <si>
    <t>LUMINÁRIA DE LED PARA ILUMINAÇÃO PÚBLICA, DE 51 W ATÉ 67 W - FORNECIMENTO E INSTALAÇÃO. AF_02/2025_PS</t>
  </si>
  <si>
    <t>LUMINÁRIA DE LED PARA ILUMINAÇÃO PÚBLICA, DE 68 W ATÉ 97 W - FORNECIMENTO E INSTALAÇÃO. AF_02/2025_PS</t>
  </si>
  <si>
    <t>LUMINÁRIA DE LED PARA ILUMINAÇÃO PÚBLICA, DE 98 W ATÉ 137 W - FORNECIMENTO E INSTALAÇÃO. AF_02/2025_PS</t>
  </si>
  <si>
    <t>LUMINÁRIA REFLETOR LED PARA ILUMINAÇÃO PÚBLICA, 1000 W - FORNECIMENTO E INSTALAÇÃO. AF_02/2025</t>
  </si>
  <si>
    <t>LUMINÁRIA REFLETOR LED PARA ILUMINAÇÃO PÚBLICA, 200 W - FORNECIMENTO E INSTALAÇÃO. AF_02/2025</t>
  </si>
  <si>
    <t>LUMINÁRIA REFLETOR LED PARA ILUMINAÇÃO PÚBLICA, 50 W - FORNECIMENTO E INSTALAÇÃO. AF_02/2025</t>
  </si>
  <si>
    <t>LUMINÁRIA REFLETOR LED PARA ILUMINAÇÃO PÚBLICA, 600 W - FORNECIMENTO E INSTALAÇÃO. AF_02/2025</t>
  </si>
  <si>
    <t>RELÉ FOTOELÉTRICO PARA COMANDO DE ILUMINAÇÃO EXTERNA 1000 W - FORNECIMENTO E INSTALAÇÃO. AF_02/2025</t>
  </si>
  <si>
    <t>SUBSTITUIÇÃO DE LUMINÁRIA DE VAPOR DE MERCÚRIO/VAPOR DE SÓDIO POR LUMINÁRIA DE LED PARA ILUMINAÇÃO PÚBLICA (NÃO INCLUI FORNECIMENTO). AF_02/2025_PS</t>
  </si>
  <si>
    <t>SUBSTITUIÇÃO DE LUMINÁRIA REFLETOR LED PARA ILUMINAÇÃO PÚBLICA (NÃO INCLUI FORNECIMENTO). AF_02/2025</t>
  </si>
  <si>
    <t>SUBSTITUIÇÃO DE LÂMPADA PARA ILUMINAÇÃO PÚBLICA (NÃO INCLUI FORNECIMENTO). AF_02/2025_PS</t>
  </si>
  <si>
    <t>SUBSTITUIÇÃO DE REATOR PARA ILUMINAÇÃO PÚBLICA (NÃO INCLUI FORNECIMENTO). AF_02/2025_PS</t>
  </si>
  <si>
    <t>SUBSTITUIÇÃO DE RELÉ FOTOELÉTRICO PARA COMANDO DE ILUMINAÇÃO EXTERNA 1000 W - FORNECIMENTO E INSTALAÇÃO. AF_02/2025_PS</t>
  </si>
  <si>
    <t>INSTALAÇÃO DE BALIZADOR METÁLICO COM LED, EM ALUMÍNIO COM DIFUSOR EM POLICARBONATO E DIMENSÕES 6,2 CM X30 CM, COM PINTURA ELETROSTÁTICA, SOBRE PISO DE CONCRETO EXISTENTE. AF_11/2021</t>
  </si>
  <si>
    <t>INSTALAÇÃO DE BALIZADOR METÁLICO, MODELO OLEGÁRIO, EM TUBO DE AÇO GALVANIZADO ESPESSURA 3" E DIMENSÕES 9 CM X 78,5 CM, COM PINTURA ELETROSTÁTICA, SOBRE PISO DE CONCRETO EXISTENTE. AF_11/2021</t>
  </si>
  <si>
    <t>INSTALAÇÃO DE BALIZADOR METÁLICO, MODELO OLEGÁRIO, EM TUBO DE AÇO GALVANIZADO ESPESSURA 3" E DIMENSÕES 9 CM X 78,5 CM, COM PINTURA ELETROSTÁTICA, SOBRE SOLO. AF_11/2021</t>
  </si>
  <si>
    <t>INSTALAÇÃO DE BALIZADOR PRÉ-FABRICADO DE CONCRETO, DIMENSÕES 30 CM X 60 CM, SOBRE PISO DE CONCRETO EXISTENTE. AF_11/2021</t>
  </si>
  <si>
    <t>INSTALAÇÃO DE BALIZADOR PRÉ-FABRICADO DE CONCRETO, DIMENSÕES 30 CM X 60 CM, SOBRE SOLO. AF_11/2021</t>
  </si>
  <si>
    <t>INSTALAÇÃO DE BANCO CIRCULAR PRÉ-FABRICADO DE CONCRETO, DIMENSÕES 60 CM X 40 CM. AF_11/2021</t>
  </si>
  <si>
    <t>INSTALAÇÃO DE BANCO METÁLICO SEM ENCOSTO, EM TUBOS E CHAPAS DE AÇO CARBONO, PINTURA POR PROCESSO ELETROSTÁTICO, DIMENSÕES 49 CM X 157 CM X 34 CM, SOBRE PISO DE CONCRETO EXISTENTE. AF_11/2021</t>
  </si>
  <si>
    <t>INSTALAÇÃO DE BANCO PRÉ-FABRICADO DE CONCRETO COM ENCOSTO, DIMENSÕES 180 CM X 64 CM X 89 CM, SOBRE PISO DE CONCRETO EXISTENTE. AF_11/2021</t>
  </si>
  <si>
    <t>INSTALAÇÃO DE BANCO PRÉ-FABRICADO DE CONCRETO COM ENCOSTO, DIMENSÕES 180 CM X 64 CM X 89 CM, SOBRE SOLO. AF_11/2021</t>
  </si>
  <si>
    <t>INSTALAÇÃO DE BANCO PRÉ-FABRICADO DE CONCRETO SEM ENCOSTO, DIMENSÕES 115 CM X 50 CM X 45 CM, SOBRE PISO DE CONCRETO EXISTENTE. AF_11/2021</t>
  </si>
  <si>
    <t>INSTALAÇÃO DE BANCO PRÉ-FABRICADO DE CONCRETO SEM ENCOSTO, DIMENSÕES 115 CM X 50 CM X 45 CM, SOBRE SOLO. AF_11/2021</t>
  </si>
  <si>
    <t>INSTALAÇÃO DE BICICLETÁRIO MODELO U INVERTIDO, DIMENSÕES 110 CM X 78 CM EM TUBO CIRCULAR DE AÇO Ø 2'' COM PINTURA ELETROSTÁTICA, FIXADO COM CONCRETO, SOBRE SOLO. AF_11/2021</t>
  </si>
  <si>
    <t>INSTALAÇÃO DE BICICLETÁRIO MODELO U INVERTIDO, DIMENSÕES 82 CM X 78 CM EM TUBO CIRCULAR DE AÇO Ø 2'' COM PINTURA ELETROSTÁTICA, FIXADO COM CHUMBADOR MECÂNICO, SOBRE PISO DE CONCRETO EXISTENTE. AF_11/2021</t>
  </si>
  <si>
    <t>INSTALAÇÃO DE BICICLETÁRIO MODELO U INVERTIDO, DIMENSÕES 82 CM X 78 CM EM TUBO CIRCULAR DE AÇO Ø 2'' COM PINTURA ELETROSTÁTICA, FIXADO COM CONCRETO, SOBRE PISO DE CONCRETO EXISTENTE. AF_11/2021</t>
  </si>
  <si>
    <t>INSTALAÇÃO DE CONJUNTO COM MESA E QUATRO BANCOS PRÉ-FABRICADO DE CONCRETO, DIMENSÕES 90 CM X 95 CM (MESA) E 20 CM X 60 CM (BANCO), SOBRE PISO DE CONCRETO EXISTENTE. AF_11/2021</t>
  </si>
  <si>
    <t>INSTALAÇÃO DE CONJUNTO COM MESA E QUATRO BANCOS PRÉ-FABRICADO DE CONCRETO, DIMENSÕES 90 CM X 95 CM (MESA) E 20 CM X 60 CM (BANCO), SOBRE SOLO. AF_11/2021</t>
  </si>
  <si>
    <t>INSTALAÇÃO DE FLOREIRA CIRCULAR PRÉ-FABRICADO DE CONCRETO, DIMENSÕES 60 CM X 40 CM. AF_11/2021</t>
  </si>
  <si>
    <t>INSTALAÇÃO DE LIXEIRA PRÉ-FABRICADA DE CONCRETO, VOLUME MÍNIMO DE 120 L. AF_11/2021</t>
  </si>
  <si>
    <t>MONTAGEM E DESMONTAGEM DE GRUA ASCENSIONAL, UTILIZAÇÃO DE GUINDASTE AUTOPROPELIDO 90T. AF_03/2024</t>
  </si>
  <si>
    <t>MONTAGEM E DESMONTAGEM DE GRUA ASCENSIONAL, UTILIZAÇÃO DE GUINDASTE DERRICK. AF_03/2024</t>
  </si>
  <si>
    <t>PLANTIO DE ESPÉCIE VEGETAL, TIPO COMIGO-NINGUÉM-PODE OU EQUIVALENTE, COM ALTURA DE MUDA MAIOR QUE 0,50 M E MENOR OU IGUAL A 1,00 M. AF_07/2024</t>
  </si>
  <si>
    <t>PLANTIO DE ESPÉCIE VEGETAL, TIPO COMIGO-NINGUÉM-PODE OU EQUIVALENTE, COM ALTURA DE MUDA MAIOR QUE 1,00 M. AF_07/2024</t>
  </si>
  <si>
    <t>PLANTIO DE ESPÉCIE VEGETAL, TIPO COMIGO-NINGUÉM-PODE OU EQUIVALENTE, COM ALTURA DE MUDA MENOR OU IGUAL A 0,50 M. AF_07/2024</t>
  </si>
  <si>
    <t>PLANTIO DE PALMEIRA COM ALTURA DE MUDA MAIOR QUE 2,00 M E MENOR OU IGUAL A 4,00 M. AF_07/2024</t>
  </si>
  <si>
    <t>PLANTIO DE PALMEIRA COM ALTURA DE MUDA MAIOR QUE 4,00 M . AF_07/2024</t>
  </si>
  <si>
    <t>PLANTIO DE ÁRVORE FRUTÍFERA COM ALTURA DE MUDA MAIOR QUE 2,00 M E MENOR OU IGUAL A 4,00 M. AF_07/2024</t>
  </si>
  <si>
    <t>PLANTIO DE ÁRVORE FRUTÍFERA COM ALTURA DE MUDA MAIOR QUE 4,00 M. AF_07/2024</t>
  </si>
  <si>
    <t>PLANTIO DE ÁRVORE FRUTÍFERA COM ALTURA DE MUDA MENOR OU IGUAL A 2,00 M. AF_07/2024</t>
  </si>
  <si>
    <t>PLANTIO DE ÁRVORE ORNAMENTAL COM ALTURA DE MUDA MAIOR QUE 4,00 M. AF_07/2024</t>
  </si>
  <si>
    <t>ARMAÇÃO DO SISTEMA DE PAREDES DE CONCRETO, EXECUTADA COMO ARMADURA NEGATIVA DE LAJES, TELA L-196. AF_12/2024</t>
  </si>
  <si>
    <t>ARMAÇÃO DO SISTEMA DE PAREDES DE CONCRETO, EXECUTADA COMO ARMADURA NEGATIVA DE LAJES, TELA T-138. AF_12/2024</t>
  </si>
  <si>
    <t>ARMAÇÃO DO SISTEMA DE PAREDES DE CONCRETO, EXECUTADA COMO ARMADURA NEGATIVA DE LAJES, TELA T-159. AF_12/2024</t>
  </si>
  <si>
    <t>ARMAÇÃO DO SISTEMA DE PAREDES DE CONCRETO, EXECUTADA EM PAREDES DE EDIFICAÇÕES UNIFAMILIARES, TELA Q-75. AF_12/2024</t>
  </si>
  <si>
    <t>CONCRETAGEM DE EDIFICAÇÕES (PAREDES E LAJES) FEITAS COM SISTEMA DE FÔRMAS MANUSEÁVEIS, COM CONCRETO USINADO AUTOADENSÁVEL REFORÇADO COM FIBRAS DE POLIPROPILENO, FCK 25 MPA - LANÇAMENTO E ACABAMENTO. AF_09/2024</t>
  </si>
  <si>
    <t>CONCRETAGEM DE ESCADAS EM EDIFICAÇÕES MULTIFAMILIARES FEITAS COM SISTEMA DE FÔRMAS MANUSEÁVEIS COM CONCRETO USINADO AUTOADENSÁVEL REFORÇADO COM FIBRAS DE POLIPROPILENO, FCK 25 MPA - LANÇAMENTO E ACABAMENTO. AF_09/2024</t>
  </si>
  <si>
    <t>CONCRETAGEM DE PLATIBANDA EM EDIFICAÇÕES MULTIFAMILIARES FEITAS COM SISTEMA DE FÔRMAS MANUSEÁVEIS, COM CONCRETO USINADO AUTOADENSÁVEL REFORÇADO COM FIBRAS DE POLIPROPILENO, FCK 25 MPA - LANÇAMENTO E ACABAMENTO. AF_09/2024</t>
  </si>
  <si>
    <t>CONCRETAGEM DE PLATIBANDA EM EDIFICAÇÕES UNIFAMILIARES FEITAS COM SISTEMA DE FÔRMAS MANUSEÁVEIS, COM CONCRETO USINADO AUTOADENSÁVEL REFORÇADO COM FIBRAS DE POLIPROPILENO, FCK 25 MPA - LANÇAMENTO E ACABAMENTO. AF_09/2024</t>
  </si>
  <si>
    <t>FÔRMAS MANUSEÁVEIS DA ALUMÍNIO PARA PAREDES DE CONCRETO MOLDADAS IN LOCO, EM PLATIBANDA. AF_11/2024</t>
  </si>
  <si>
    <t>FÔRMAS MANUSEÁVEIS DE ALUMÍNIO PARA PAREDES DE CONCRETO MOLDADAS IN LOCO, DE EDIFICAÇÕES DE MÚLTIPLOS PAVIMENTOS, EM LAJES. AF_11/2024</t>
  </si>
  <si>
    <t>FÔRMAS MANUSEÁVEIS DE ALUMÍNIO PARA PAREDES DE CONCRETO MOLDADAS IN LOCO, DE EDIFICAÇÕES DE MÚLTIPLOS PAVIMENTOS, EM PAREDES. AF_11/2024</t>
  </si>
  <si>
    <t>FÔRMAS MANUSEÁVEIS DE ALUMÍNIO PARA PAREDES DE CONCRETO MOLDADAS IN LOCO, DE EDIFICAÇÕES UNIFAMILIARES, EM LAJES. AF_11/2024</t>
  </si>
  <si>
    <t>FÔRMAS MANUSEÁVEIS DE ALUMÍNIO PARA PAREDES DE CONCRETO MOLDADAS IN LOCO, DE EDIFICAÇÕES UNIFAMILIARES, EM PAREDES. AF_11/2024</t>
  </si>
  <si>
    <t>FÔRMAS MANUSEÁVEIS DE PLÁSTICO ESTRUTURADO EM AÇO PARA PAREDES DE CONCRETO MOLDADAS IN LOCO, DE EDIFICAÇÕES DE MÚLTIPLOS PAVIMENTOS, EM LAJES. AF_11/2024</t>
  </si>
  <si>
    <t>FÔRMAS MANUSEÁVEIS DE PLÁSTICO ESTRUTURADO EM AÇO PARA PAREDES DE CONCRETO MOLDADAS IN LOCO, DE EDIFICAÇÕES DE MÚLTIPLOS PAVIMENTOS, EM PLATIBANDA. AF_11/2024</t>
  </si>
  <si>
    <t>FÔRMAS MANUSEÁVEIS DE PLÁSTICO ESTRUTURADO EM AÇO PARA PAREDES DE CONCRETO MOLDADAS IN LOCO, DE EDIFICAÇÕES MÚLTIPLOS PAVIMENTOS, EM PAREDES. AF_11/2024</t>
  </si>
  <si>
    <t>FÔRMAS MANUSEÁVEIS DE PLÁSTICO ESTRUTURADO EM AÇO PARA PAREDES DE CONCRETO MOLDADAS IN LOCO, DE EDIFICAÇÕES UNIFAMILIARES, EM LAJES. AF_11/2024</t>
  </si>
  <si>
    <t>FÔRMAS MANUSEÁVEIS DE PLÁSTICO ESTRUTURADO EM AÇO PARA PAREDES DE CONCRETO MOLDADAS IN LOCO, DE EDIFICAÇÕES UNIFAMILIARES, EM PAREDES. AF_11/2024</t>
  </si>
  <si>
    <t>INSTALAÇÃO DE ISOLAMENTO COM LÃ DE PET EM PAREDE DRYWALL. AF_07/2023</t>
  </si>
  <si>
    <t>INSTALAÇÃO DE ISOLAMENTO COM LÃ DE VIDRO EM PAREDE DRYWALL. AF_07/2023</t>
  </si>
  <si>
    <t>INSTALAÇÃO DE BALANÇO DE 2 LUGARES COM ESTRUTURA DE MADEIRA TRATADA, INSTALADO SOBRE PISO DE CONCRETO EXISTENTE. AF_10/2021</t>
  </si>
  <si>
    <t>INSTALAÇÃO DE BALANÇO DE 2 LUGARES COM ESTRUTURA DE MADEIRA TRATADA, INSTALADO SOBRE SOLO. AF_10/2021</t>
  </si>
  <si>
    <t>INSTALAÇÃO DE BALANÇO DE 2 LUGARES COM ESTRUTURA METÁLICA EM TUBOS DE AÇO CARBONO, INSTALADO SOBRE PISO DE CONCRETO EXISTENTE. AF_10/2021</t>
  </si>
  <si>
    <t>INSTALAÇÃO DE BALANÇO DE 2 LUGARES COM ESTRUTURA METÁLICA EM TUBOS DE AÇO CARBONO, INSTALADO SOBRE SOLO. AF_10/2021</t>
  </si>
  <si>
    <t>INSTALAÇÃO DE CASINHA DE MADEIRA TRATADA COM RAMPA ESCALADA, ESCORREGADOR E ESCADA MARINHEIRO, INSTALADO SOBRE PISO DE CONCRETO EXISTENTE. AF_10/2021</t>
  </si>
  <si>
    <t>INSTALAÇÃO DE CASINHA DE MADEIRA TRATADA COM RAMPA ESCALADA, ESCORREGADOR E ESCADA MARINHEIRO, INSTALADO SOBRE SOLO. AF_10/2021</t>
  </si>
  <si>
    <t>INSTALAÇÃO DE ESCORREGADOR DE MADEIRA TRATADA, INSTALADO SOBRE PISO DE CONCRETO EXISTENTE. AF_10/2021</t>
  </si>
  <si>
    <t>INSTALAÇÃO DE ESCORREGADOR DE MADEIRA TRATADA, INSTALADO SOBRE SOLO. AF_10/2021</t>
  </si>
  <si>
    <t>INSTALAÇÃO DE ESCORREGADOR METÁLICO EM TUBOS E CHAPAS DE AÇO CARBONO, INSTALADO SOBRE PISO DE CONCRETO EXISTENTE. AF_10/2021</t>
  </si>
  <si>
    <t>INSTALAÇÃO DE ESCORREGADOR METÁLICO EM TUBOS E CHAPAS DE AÇO CARBONO, INSTALADO SOBRE SOLO. AF_10/2021</t>
  </si>
  <si>
    <t>INSTALAÇÃO DE GAIOLA LABIRINTO METÁLICA EM TUBOS DE AÇO CARBONO, INSTALADA SOBRE PISO DE CONCRETO EXISTENTE. AF_10/2021</t>
  </si>
  <si>
    <t>INSTALAÇÃO DE GAIOLA LABIRINTO METÁLICA EM TUBOS DE AÇO CARBONO, INSTALADO SOBRE SOLO. AF_10/2021</t>
  </si>
  <si>
    <t>INSTALAÇÃO DE GANGORRA SIMPLES DE MADEIRA TRATADA, INSTALADA SOBRE PISO DE CONCRETO EXISTENTE. AF_10/2021</t>
  </si>
  <si>
    <t>INSTALAÇÃO DE GANGORRA SIMPLES DE MADEIRA TRATADA, INSTALADA SOBRE SOLO. AF_10/2021</t>
  </si>
  <si>
    <t>INSTALAÇÃO DE GANGORRA SIMPLES METÁLICA EM TUBOS DE AÇO CARBONO, INSTALADA SOBRE PISO DE CONCRETO EXISTENTE. AF_10/2021</t>
  </si>
  <si>
    <t>INSTALAÇÃO DE GANGORRA SIMPLES METÁLICA EM TUBOS DE AÇO CARBONO, INSTALADA SOBRE SOLO. AF_10/2021</t>
  </si>
  <si>
    <t>INSTALAÇÃO DE GIRA-GIRA METÁLICO EM TUBOS DE AÇO CARBONO, INSTALADO SOBRE PISO DE CONCRETO EXISTENTE. AF_10/2021</t>
  </si>
  <si>
    <t>INSTALAÇÃO DE GIRA-GIRA METÁLICO EM TUBOS DE AÇO CARBONO, INSTALADO SOBRE SOLO. AF_10/2021</t>
  </si>
  <si>
    <t>EXECUÇÃO DE PASSEIO (CALÇADA) COM CONCRETO MOLDADO IN LOCO, FEITO EM OBRA, ACABAMENTO ESTAMPADO, ESPESSURA 6 CM, ARMADO. AF_08/2022</t>
  </si>
  <si>
    <t>EXECUÇÃO DE PASSEIO (CALÇADA) COM CONCRETO MOLDADO IN LOCO, FEITO EM OBRA, ACABAMENTO ESTAMPADO, ESPESSURA 6 CM, NÃO ARMADO. AF_08/2022</t>
  </si>
  <si>
    <t>EXECUÇÃO DE PASSEIO (CALÇADA) COM CONCRETO MOLDADO IN LOCO, FEITO EM OBRA, ACABAMENTO ESTAMPADO, ESPESSURA 8 CM, ARMADO. AF_08/2022</t>
  </si>
  <si>
    <t>EXECUÇÃO DE PASSEIO (CALÇADA) COM CONCRETO MOLDADO IN LOCO, FEITO EM OBRA, ACABAMENTO ESTAMPADO, ESPESSURA 8 CM, NÃO ARMADO. AF_08/2022</t>
  </si>
  <si>
    <t>EXECUÇÃO DE PASSEIO (CALÇADA) COM CONCRETO MOLDADO IN LOCO, USINADO, ACABAMENTO ESTAMPADO, ESPESSURA 6 CM, ARMADO. AF_08/2022</t>
  </si>
  <si>
    <t>EXECUÇÃO DE PASSEIO (CALÇADA) COM CONCRETO MOLDADO IN LOCO, USINADO, ACABAMENTO ESTAMPADO, ESPESSURA 6 CM, NÃO ARMADO. AF_08/2022</t>
  </si>
  <si>
    <t>EXECUÇÃO DE PASSEIO (CALÇADA) COM CONCRETO MOLDADO IN LOCO, USINADO, ACABAMENTO ESTAMPADO, ESPESSURA 8 CM, ARMADO. AF_08/2022</t>
  </si>
  <si>
    <t>EXECUÇÃO DE PASSEIO (CALÇADA) COM CONCRETO MOLDADO IN LOCO, USINADO, ACABAMENTO ESTAMPADO, ESPESSURA 8 CM, NÃO ARMADO. AF_08/2022</t>
  </si>
  <si>
    <t>EXECUÇÃO DE PASSEIO (CALÇADA) COM PLACAS DE CONCRETO PRÉ-FABRICADAS, ASSENTADAS COM ARGAMASSA, PLACAS DE 100 X 100 CM, NÃO ARMADO. AF_08/2022</t>
  </si>
  <si>
    <t>EXECUÇÃO DE PASSEIO (CALÇADA) COM PLACAS DE CONCRETO PRÉ-FABRICADAS, ASSENTADAS COM ARGAMASSA, PLACAS DE 40 X 40 CM, NÃO ARMADO. AF_08/2022</t>
  </si>
  <si>
    <t>EXECUÇÃO DE PAVIMENTO EM PARALELEPÍPEDOS, REJUNTAMENTO COM PEDRISCO E EMULSÃO ASFÁLTICA. AF_05/2020</t>
  </si>
  <si>
    <t>EXECUÇÃO DE PAVIMENTO EM PEDRAS POLIÉDRICAS, REJUNTAMENTO COM PEDRISCO E EMULSÃO ASFÁLTICA. AF_05/2020</t>
  </si>
  <si>
    <t>EXECUÇÃO DE PASSEIO COM PLACAS DE CONCRETO PERMEÁVEL (DRENANTE), PRÉ-FABRICADAS, DE 40 X 40 CM, ESPESSURA 6 CM. AF_10/2022</t>
  </si>
  <si>
    <t>EXECUÇÃO DE PASSEIO EM PISO INTERTRAVADO, COM BLOCO DE CONCRETO PERMEÁVEL (DRENANTE) 16 FACES DE 22 X 11 CM, ESPESSURA 6 CM. AF_10/2022</t>
  </si>
  <si>
    <t>EXECUÇÃO DE PASSEIO EM PISO INTERTRAVADO, COM BLOCO DE CONCRETO PERMEÁVEL RETANGULAR DE 20 X 10 CM, ESPESSURA 6 CM. AF_10/2022</t>
  </si>
  <si>
    <t>EXECUÇÃO DE PASSEIO EM PISO INTERTRAVADO, COM BLOCO PODOTÁTIL (ALERTA OU DIRECIONAL) QUADRADO DE 20 X 20 CM, ESPESSURA 6 CM. AF_10/2022</t>
  </si>
  <si>
    <t>EXECUÇÃO DE PASSEIO EM PISO INTERTRAVADO, COM BLOCO PODOTÁTIL (ALERTA OU DIRECIONAL) RETANGULAR DE 20 X 10 CM, ESPESSURA 6 CM. AF_10/2022</t>
  </si>
  <si>
    <t>EXECUÇÃO DE PAVIMENTO COM PLACAS DE CONCRETO PERMEÁVEL (DRENANTE), PRÉ-FABRICADAS, DE 40 X 40 CM, ESPESSURA 6 CM. AF_10/2022</t>
  </si>
  <si>
    <t>EXECUÇÃO DE PAVIMENTO COM PLACAS DE CONCRETO PERMEÁVEL (DRENANTE), PRÉ-FABRICADAS, DE 40 X 40 CM, ESPESSURA 8 CM. AF_10/2022</t>
  </si>
  <si>
    <t>EXECUÇÃO DE PAVIMENTO EM PISO INTERTRAVADO, COM BLOCO DE CONCRETO PERMEÁVEL (DRENANTE) 16 FACES DE 22 X 11 CM, ESPESSURA 6 CM. AF_10/2022</t>
  </si>
  <si>
    <t>EXECUÇÃO DE PAVIMENTO EM PISO INTERTRAVADO, COM BLOCO DE CONCRETO PERMEÁVEL (DRENANTE) 16 FACES DE 22 X 11 CM, ESPESSURA 8 CM. AF_10/2022</t>
  </si>
  <si>
    <t>EXECUÇÃO DE PAVIMENTO EM PISO INTERTRAVADO, COM BLOCO DE CONCRETO PERMEÁVEL (DRENANTE) RETANGULAR DE 20 X 10 CM, ESPESSURA 6 CM. AF_10/2022</t>
  </si>
  <si>
    <t>EXECUÇÃO DE PAVIMENTO EM PISO INTERTRAVADO, COM BLOCO DE CONCRETO PERMEÁVEL (DRENANTE) RETANGULAR DE 20 X 10 CM, ESPESSURA 8 CM. AF_10/2022</t>
  </si>
  <si>
    <t>EXECUÇÃO DE PAVIMENTO EM PISO INTERTRAVADO, COM BLOCO PODOTÁTIL (ALERTA OU DIRECIONAL) QUADRADO DE 20 X 20 CM, ESPESSURA 6 CM. AF_10/2022</t>
  </si>
  <si>
    <t>EXECUÇÃO DE PAVIMENTO EM PISO INTERTRAVADO, COM BLOCO PODOTÁTIL (ALERTA OU DIRECIONAL) RETANGULAR DE 20 X 10 CM, ESPESSURA 6 CM. AF_10/2022</t>
  </si>
  <si>
    <t>EXECUÇÃO DE PISO INDUSTRIAL REFORÇADO COM FIBRAS, FCK = 30 MPA, ESPESSURA DE 12,0 CM. AF_04/2022</t>
  </si>
  <si>
    <t>EXECUÇÃO DE PISO INDUSTRIAL REFORÇADO COM FIBRAS, FCK = 30 MPA, ESPESSURA DE 14,0 CM. AF_04/2022</t>
  </si>
  <si>
    <t>EXECUÇÃO DE PISO INDUSTRIAL REFORÇADO COM FIBRAS, FCK = 30 MPA, ESPESSURA DE 16,0 CM. AF_04/2022</t>
  </si>
  <si>
    <t>EXECUÇÃO DE PISO INDUSTRIAL REFORÇADO COM FIBRAS, FCK = 30 MPA, ESPESSURA DE 18,0 CM. AF_04/2022</t>
  </si>
  <si>
    <t>EXECUÇÃO DE PISO INDUSTRIAL REFORÇADO COM FIBRAS, FCK = 30 MPA, ESPESSURA DE 20,0 CM. AF_04/2022</t>
  </si>
  <si>
    <t>CHAPIM SOBRE MUROS LINEARES, EM CONCRETO PRÉ-MOLDADO, COMPRIMENTO DE ATÉ 6 M, ASSENTADO COM ARGAMASSA 1:6 COM ADITIVO. AF_11/2020</t>
  </si>
  <si>
    <t>CHAPIM SOBRE MUROS LINEARES, EM CONCRETO PRÉ-MOLDADO, COMPRIMENTO MAIOR QUE 6 M, ASSENTADO COM ARGAMASSA 1:6 COM ADITIVO. AF_11/2020</t>
  </si>
  <si>
    <t>CHAPIM SOBRE MUROS NÃO LINEARES, EM CONCRETO PRÉ-MOLDADO, COMPRIMENTO DE ATÉ 6 M, ASSENTADO COM ARGAMASSA 1:6 COM ADITIVO. AF_11/2020</t>
  </si>
  <si>
    <t>CHAPIM SOBRE MUROS NÃO LINEARES, EM CONCRETO PRÉ-MOLDADO, COMPRIMENTO MAIOR QUE 6 M, ASSENTADO COM ARGAMASSA 1:6 COM ADITIVO. AF_11/2020</t>
  </si>
  <si>
    <t>PEITORIL LINEAR EM CONCRETO PRÉ-MOLDADO, COMPRIMENTO DE ATÉ 2 M, ASSENTADO COM ARGAMASSA 1:6 COM ADITIVO. AF_11/2020</t>
  </si>
  <si>
    <t>PEITORIL LINEAR EM CONCRETO PRÉ-MOLDADO, COMPRIMENTO MAIOR QUE 2 M, ASSENTADO COM ARGAMASSA 1:6 COM ADITIVO. AF_11/2020</t>
  </si>
  <si>
    <t>PEITORIL LINEAR EM GRANITO OU MÁRMORE, L = 15CM, ASSENTADO COM ARGAMASSA 1:6 COM ADITIVO. AF_11/2020</t>
  </si>
  <si>
    <t>FACHADA CORTINA EM VIDRO NO SISTEMA STICK, CONSIDERANDO MODULAÇÃO DE 1,25 X 3,20 M, COM ABERTURA, ACABAMENTO ANODIZADO OU PINTADO - FORNECIMENTO E INSTALAÇÃO. AF_06/2022</t>
  </si>
  <si>
    <t>FACHADA CORTINA EM VIDRO NO SISTEMA STICK, CONSIDERANDO MODULAÇÃO DE 1,25 X 3,20 M, SEM ABERTURA, ACABAMENTO ANODIZADO OU PINTADO - FORNECIMENTO E INSTALAÇÃO. AF_06/2022</t>
  </si>
  <si>
    <t>FACHADA CORTINA EM VIDRO NO SISTEMA UNITIZADO, CONSIDERANDO MODULAÇÃO DE 1,25 X 3,20 M, COM ABERTURA, ACABAMENTO ANODIZADO OU PINTADO - FORNECIMENTO E INSTALAÇÃO. AF_06/2022</t>
  </si>
  <si>
    <t>FACHADA CORTINA EM VIDRO NO SISTEMA UNITIZADO, CONSIDERANDO MODULAÇÃO DE 1,25 X 3,20 M, SEM ABERTURA, ACABAMENTO ANODIZADO OU PINTADO - FORNECIMENTO E INSTALAÇÃO. AF_06/2022</t>
  </si>
  <si>
    <t>PERFURAÇÃO HORIZONTAL DIRECIONAL E INSTALAÇÃO DE TUBULAÇÃO PEAD 110 MM, EM SOLO DE 1ª CATEGORIA. AF_01/2022</t>
  </si>
  <si>
    <t>PERFURAÇÃO HORIZONTAL DIRECIONAL E INSTALAÇÃO DE TUBULAÇÃO PEAD 110 MM, EM SOLO DE 2ª CATEGORIA. AF_01/2022</t>
  </si>
  <si>
    <t>PERFURAÇÃO HORIZONTAL DIRECIONAL E INSTALAÇÃO DE TUBULAÇÃO PEAD 110 MM, EM SOLO MOLE. AF_01/2022</t>
  </si>
  <si>
    <t>PERFURAÇÃO HORIZONTAL DIRECIONAL E INSTALAÇÃO DE TUBULAÇÃO PEAD 160 MM, EM SOLO DE 1ª CATEGORIA. AF_01/2022</t>
  </si>
  <si>
    <t>PERFURAÇÃO HORIZONTAL DIRECIONAL E INSTALAÇÃO DE TUBULAÇÃO PEAD 160 MM, EM SOLO DE 2ª CATEGORIA. AF_01/2022</t>
  </si>
  <si>
    <t>PERFURAÇÃO HORIZONTAL DIRECIONAL E INSTALAÇÃO DE TUBULAÇÃO PEAD 160 MM, EM SOLO MOLE. AF_01/2022</t>
  </si>
  <si>
    <t>PERFURAÇÃO HORIZONTAL DIRECIONAL E INSTALAÇÃO DE TUBULAÇÃO PEAD 180 MM, EM SOLO DE 1ª CATEGORIA. AF_01/2022</t>
  </si>
  <si>
    <t>PERFURAÇÃO HORIZONTAL DIRECIONAL E INSTALAÇÃO DE TUBULAÇÃO PEAD 180 MM, EM SOLO DE 2ª CATEGORIA. AF_01/2022</t>
  </si>
  <si>
    <t>PERFURAÇÃO HORIZONTAL DIRECIONAL E INSTALAÇÃO DE TUBULAÇÃO PEAD 180 MM, EM SOLO MOLE. AF_01/2022</t>
  </si>
  <si>
    <t>PERFURAÇÃO HORIZONTAL DIRECIONAL E INSTALAÇÃO DE TUBULAÇÃO PEAD 20 MM, EM SOLO DE 1ª CATEGORIA. AF_01/2022</t>
  </si>
  <si>
    <t>PERFURAÇÃO HORIZONTAL DIRECIONAL E INSTALAÇÃO DE TUBULAÇÃO PEAD 20 MM, EM SOLO DE 2ª CATEGORIA. AF_01/2022</t>
  </si>
  <si>
    <t>PERFURAÇÃO HORIZONTAL DIRECIONAL E INSTALAÇÃO DE TUBULAÇÃO PEAD 20 MM, EM SOLO MOLE. AF_01/2022</t>
  </si>
  <si>
    <t>PERFURAÇÃO HORIZONTAL DIRECIONAL E INSTALAÇÃO DE TUBULAÇÃO PEAD 200 MM, EM SOLO DE 1ª CATEGORIA. AF_01/2022</t>
  </si>
  <si>
    <t>PERFURAÇÃO HORIZONTAL DIRECIONAL E INSTALAÇÃO DE TUBULAÇÃO PEAD 200 MM, EM SOLO DE 2ª CATEGORIA. AF_01/2022</t>
  </si>
  <si>
    <t>PERFURAÇÃO HORIZONTAL DIRECIONAL E INSTALAÇÃO DE TUBULAÇÃO PEAD 200 MM, EM SOLO MOLE. AF_01/2022</t>
  </si>
  <si>
    <t>PERFURAÇÃO HORIZONTAL DIRECIONAL E INSTALAÇÃO DE TUBULAÇÃO PEAD 225 MM, EM SOLO DE 1ª CATEGORIA. AF_01/2022</t>
  </si>
  <si>
    <t>PERFURAÇÃO HORIZONTAL DIRECIONAL E INSTALAÇÃO DE TUBULAÇÃO PEAD 225 MM, EM SOLO DE 2ª CATEGORIA. AF_01/2022</t>
  </si>
  <si>
    <t>PERFURAÇÃO HORIZONTAL DIRECIONAL E INSTALAÇÃO DE TUBULAÇÃO PEAD 225 MM, EM SOLO MOLE. AF_01/2022</t>
  </si>
  <si>
    <t>PERFURAÇÃO HORIZONTAL DIRECIONAL E INSTALAÇÃO DE TUBULAÇÃO PEAD 250 MM, EM SOLO DE 1ª CATEGORIA. AF_01/2022</t>
  </si>
  <si>
    <t>PERFURAÇÃO HORIZONTAL DIRECIONAL E INSTALAÇÃO DE TUBULAÇÃO PEAD 250 MM, EM SOLO DE 2ª CATEGORIA. AF_01/2022</t>
  </si>
  <si>
    <t>PERFURAÇÃO HORIZONTAL DIRECIONAL E INSTALAÇÃO DE TUBULAÇÃO PEAD 250 MM, EM SOLO MOLE. AF_01/2022</t>
  </si>
  <si>
    <t>PERFURAÇÃO HORIZONTAL DIRECIONAL E INSTALAÇÃO DE TUBULAÇÃO PEAD 280 MM, EM SOLO DE 1ª CATEGORIA. AF_01/2022</t>
  </si>
  <si>
    <t>PERFURAÇÃO HORIZONTAL DIRECIONAL E INSTALAÇÃO DE TUBULAÇÃO PEAD 280 MM, EM SOLO DE 2ª CATEGORIA. AF_01/2022</t>
  </si>
  <si>
    <t>PERFURAÇÃO HORIZONTAL DIRECIONAL E INSTALAÇÃO DE TUBULAÇÃO PEAD 280 MM, EM SOLO MOLE. AF_01/2022</t>
  </si>
  <si>
    <t>PERFURAÇÃO HORIZONTAL DIRECIONAL E INSTALAÇÃO DE TUBULAÇÃO PEAD 315 MM, EM SOLO DE 1ª CATEGORIA. AF_01/2022</t>
  </si>
  <si>
    <t>PERFURAÇÃO HORIZONTAL DIRECIONAL E INSTALAÇÃO DE TUBULAÇÃO PEAD 315 MM, EM SOLO DE 2ª CATEGORIA. AF_01/2022</t>
  </si>
  <si>
    <t>PERFURAÇÃO HORIZONTAL DIRECIONAL E INSTALAÇÃO DE TUBULAÇÃO PEAD 315 MM, EM SOLO MOLE. AF_01/2022</t>
  </si>
  <si>
    <t>PERFURAÇÃO HORIZONTAL DIRECIONAL E INSTALAÇÃO DE TUBULAÇÃO PEAD 32 MM, EM SOLO DE 1ª CATEGORIA. AF_01/2022</t>
  </si>
  <si>
    <t>PERFURAÇÃO HORIZONTAL DIRECIONAL E INSTALAÇÃO DE TUBULAÇÃO PEAD 32 MM, EM SOLO DE 2ª CATEGORIA. AF_01/2022</t>
  </si>
  <si>
    <t>PERFURAÇÃO HORIZONTAL DIRECIONAL E INSTALAÇÃO DE TUBULAÇÃO PEAD 32 MM, EM SOLO MOLE. AF_01/2022</t>
  </si>
  <si>
    <t>PERFURAÇÃO HORIZONTAL DIRECIONAL E INSTALAÇÃO DE TUBULAÇÃO PEAD 355 MM, EM SOLO DE 1ª CATEGORIA. AF_01/2022</t>
  </si>
  <si>
    <t>PERFURAÇÃO HORIZONTAL DIRECIONAL E INSTALAÇÃO DE TUBULAÇÃO PEAD 355 MM, EM SOLO DE 2ª CATEGORIA. AF_01/2022</t>
  </si>
  <si>
    <t>PERFURAÇÃO HORIZONTAL DIRECIONAL E INSTALAÇÃO DE TUBULAÇÃO PEAD 355 MM, EM SOLO MOLE. AF_01/2022</t>
  </si>
  <si>
    <t>PERFURAÇÃO HORIZONTAL DIRECIONAL E INSTALAÇÃO DE TUBULAÇÃO PEAD 400 MM, EM SOLO DE 1ª CATEGORIA. AF_01/2022</t>
  </si>
  <si>
    <t>PERFURAÇÃO HORIZONTAL DIRECIONAL E INSTALAÇÃO DE TUBULAÇÃO PEAD 400 MM, EM SOLO DE 2ª CATEGORIA. AF_01/2022</t>
  </si>
  <si>
    <t>PERFURAÇÃO HORIZONTAL DIRECIONAL E INSTALAÇÃO DE TUBULAÇÃO PEAD 400 MM, EM SOLO MOLE. AF_01/2022</t>
  </si>
  <si>
    <t>PERFURAÇÃO HORIZONTAL DIRECIONAL E INSTALAÇÃO DE TUBULAÇÃO PEAD 450 MM, EM SOLO DE 1ª CATEGORIA. AF_01/2022</t>
  </si>
  <si>
    <t>PERFURAÇÃO HORIZONTAL DIRECIONAL E INSTALAÇÃO DE TUBULAÇÃO PEAD 450 MM, EM SOLO DE 2ª CATEGORIA. AF_01/2022</t>
  </si>
  <si>
    <t>PERFURAÇÃO HORIZONTAL DIRECIONAL E INSTALAÇÃO DE TUBULAÇÃO PEAD 450 MM, EM SOLO MOLE. AF_01/2022</t>
  </si>
  <si>
    <t>PERFURAÇÃO HORIZONTAL DIRECIONAL E INSTALAÇÃO DE TUBULAÇÃO PEAD 50 MM, EM SOLO DE 1ª CATEGORIA. AF_01/2022</t>
  </si>
  <si>
    <t>PERFURAÇÃO HORIZONTAL DIRECIONAL E INSTALAÇÃO DE TUBULAÇÃO PEAD 50 MM, EM SOLO DE 2ª CATEGORIA. AF_01/2022</t>
  </si>
  <si>
    <t>PERFURAÇÃO HORIZONTAL DIRECIONAL E INSTALAÇÃO DE TUBULAÇÃO PEAD 50 MM, EM SOLO MOLE. AF_01/2022</t>
  </si>
  <si>
    <t>PERFURAÇÃO HORIZONTAL DIRECIONAL E INSTALAÇÃO DE TUBULAÇÃO PEAD 500 MM, EM SOLO DE 1ª CATEGORIA. AF_01/2022</t>
  </si>
  <si>
    <t>PERFURAÇÃO HORIZONTAL DIRECIONAL E INSTALAÇÃO DE TUBULAÇÃO PEAD 500 MM, EM SOLO DE 2ª CATEGORIA. AF_01/2022</t>
  </si>
  <si>
    <t>PERFURAÇÃO HORIZONTAL DIRECIONAL E INSTALAÇÃO DE TUBULAÇÃO PEAD 500 MM, EM SOLO MOLE. AF_01/2022</t>
  </si>
  <si>
    <t>PERFURAÇÃO HORIZONTAL DIRECIONAL E INSTALAÇÃO DE TUBULAÇÃO PEAD 560 MM, EM SOLO DE 1ª CATEGORIA. AF_01/2022</t>
  </si>
  <si>
    <t>PERFURAÇÃO HORIZONTAL DIRECIONAL E INSTALAÇÃO DE TUBULAÇÃO PEAD 560 MM, EM SOLO DE 2ª CATEGORIA. AF_01/2022</t>
  </si>
  <si>
    <t>PERFURAÇÃO HORIZONTAL DIRECIONAL E INSTALAÇÃO DE TUBULAÇÃO PEAD 560 MM, EM SOLO MOLE. AF_01/2022</t>
  </si>
  <si>
    <t>PERFURAÇÃO HORIZONTAL DIRECIONAL E INSTALAÇÃO DE TUBULAÇÃO PEAD 63 MM, EM SOLO DE 1ª CATEGORIA. AF_01/2022</t>
  </si>
  <si>
    <t>PERFURAÇÃO HORIZONTAL DIRECIONAL E INSTALAÇÃO DE TUBULAÇÃO PEAD 63 MM, EM SOLO DE 2ª CATEGORIA. AF_01/2022</t>
  </si>
  <si>
    <t>PERFURAÇÃO HORIZONTAL DIRECIONAL E INSTALAÇÃO DE TUBULAÇÃO PEAD 63 MM, EM SOLO MOLE. AF_01/2022</t>
  </si>
  <si>
    <t>PERFURAÇÃO HORIZONTAL DIRECIONAL E INSTALAÇÃO DE TUBULAÇÃO PEAD 630 MM, EM SOLO DE 1ª CATEGORIA. AF_01/2022</t>
  </si>
  <si>
    <t>PERFURAÇÃO HORIZONTAL DIRECIONAL E INSTALAÇÃO DE TUBULAÇÃO PEAD 630 MM, EM SOLO DE 2ª CATEGORIA. AF_01/2022</t>
  </si>
  <si>
    <t>PERFURAÇÃO HORIZONTAL DIRECIONAL E INSTALAÇÃO DE TUBULAÇÃO PEAD 630 MM, EM SOLO MOLE. AF_01/2022</t>
  </si>
  <si>
    <t>PERFURAÇÃO HORIZONTAL DIRECIONAL E INSTALAÇÃO DE TUBULAÇÃO PEAD 710 MM, EM SOLO DE 1ª CATEGORIA. AF_01/2022</t>
  </si>
  <si>
    <t>PERFURAÇÃO HORIZONTAL DIRECIONAL E INSTALAÇÃO DE TUBULAÇÃO PEAD 710 MM, EM SOLO DE 2ª CATEGORIA. AF_01/2022</t>
  </si>
  <si>
    <t>PERFURAÇÃO HORIZONTAL DIRECIONAL E INSTALAÇÃO DE TUBULAÇÃO PEAD 710 MM, EM SOLO MOLE. AF_01/2022</t>
  </si>
  <si>
    <t>PERFURAÇÃO HORIZONTAL DIRECIONAL E INSTALAÇÃO DE TUBULAÇÃO PEAD 75 MM, EM SOLO DE 1ª CATEGORIA. AF_01/2022</t>
  </si>
  <si>
    <t>PERFURAÇÃO HORIZONTAL DIRECIONAL E INSTALAÇÃO DE TUBULAÇÃO PEAD 75 MM, EM SOLO DE 2ª CATEGORIA. AF_01/2022</t>
  </si>
  <si>
    <t>PERFURAÇÃO HORIZONTAL DIRECIONAL E INSTALAÇÃO DE TUBULAÇÃO PEAD 75 MM, EM SOLO MOLE. AF_01/2022</t>
  </si>
  <si>
    <t>PERFURAÇÃO HORIZONTAL DIRECIONAL E INSTALAÇÃO DE TUBULAÇÃO PEAD 800 MM, EM SOLO DE 1ª CATEGORIA. AF_01/2022</t>
  </si>
  <si>
    <t>PERFURAÇÃO HORIZONTAL DIRECIONAL E INSTALAÇÃO DE TUBULAÇÃO PEAD 800 MM, EM SOLO DE 2ª CATEGORIA. AF_01/2022</t>
  </si>
  <si>
    <t>PERFURAÇÃO HORIZONTAL DIRECIONAL E INSTALAÇÃO DE TUBULAÇÃO PEAD 800 MM, EM SOLO MOLE. AF_01/2022</t>
  </si>
  <si>
    <t>PERFURAÇÃO HORIZONTAL DIRECIONAL E INSTALAÇÃO DE TUBULAÇÃO PEAD 90 MM, EM SOLO DE 1ª CATEGORIA. AF_01/2022</t>
  </si>
  <si>
    <t>PERFURAÇÃO HORIZONTAL DIRECIONAL E INSTALAÇÃO DE TUBULAÇÃO PEAD 90 MM, EM SOLO DE 2ª CATEGORIA. AF_01/2022</t>
  </si>
  <si>
    <t>PERFURAÇÃO HORIZONTAL DIRECIONAL E INSTALAÇÃO DE TUBULAÇÃO PEAD 90 MM, EM SOLO MOLE. AF_01/2022</t>
  </si>
  <si>
    <t>EMASSAMENTO COM MASSA LÁTEX, APLICAÇÃO EM PAREDE, DUAS DEMÃOS, LIXAMENTO MECANIZADO. AF_04/2023</t>
  </si>
  <si>
    <t>EMASSAMENTO COM MASSA LÁTEX, APLICAÇÃO EM PAREDE, UMA DEMÃO, LIXAMENTO MECANIZADO. AF_04/2023</t>
  </si>
  <si>
    <t>EMASSAMENTO COM MASSA LÁTEX, APLICAÇÃO EM TETO, DUAS DEMÃOS, LIXAMENTO MECANIZADO. AF_04/2023</t>
  </si>
  <si>
    <t>EMASSAMENTO COM MASSA LÁTEX, APLICAÇÃO EM TETO, UMA DEMÃO, LIXAMENTO MECANIZADO. AF_04/2023</t>
  </si>
  <si>
    <t>FUNDO SELADOR ACRÍLICO, APLICAÇÃO MECÂNICA EM PAREDE, UMA DEMÃO. AF_04/2023</t>
  </si>
  <si>
    <t>FUNDO SELADOR ACRÍLICO, APLICAÇÃO MECÂNICA EM TETO, UMA DEMÃO. AF_04/2023</t>
  </si>
  <si>
    <t>PINTURA LÁTEX ACRÍLICA ECONÔMICA, APLICAÇÃO MECÂNICA EM PAREDES, DUAS DEMÃOS. AF_04/2023</t>
  </si>
  <si>
    <t>PINTURA LÁTEX ACRÍLICA ECONÔMICA, APLICAÇÃO MECÂNICA EM TETO, DUAS DEMÃOS. AF_04/2023</t>
  </si>
  <si>
    <t>PINTURA FUNDO NIVELADOR ACRÍLICO BRANCO EM MADEIRA. AF_01/2021</t>
  </si>
  <si>
    <t>PINTURA FUNDO NIVELADOR ALQUÍDICO INCOLOR EM MADEIRA. AF_01/2021</t>
  </si>
  <si>
    <t>PINTURA FUNDO NIVELADOR POLIURETÂNICO BRANCO EM MADEIRA. AF_01/2021</t>
  </si>
  <si>
    <t>PINTURA FUNDO NIVELADOR POLIURETÂNICO INCOLOR EM MADEIRA. AF_01/2021</t>
  </si>
  <si>
    <t>PINTURA TINTA DE ACABAMENTO (PIGMENTADA) ESMALTE BASE ÁGUA EM MADEIRA, 1 DEMÃO. AF_01/2021</t>
  </si>
  <si>
    <t>PINTURA TINTA DE ACABAMENTO (PIGMENTADA) ESMALTE BASE ÁGUA EM MADEIRA, 2 DEMÃOS. AF_01/2021</t>
  </si>
  <si>
    <t>PINTURA TINTA DE ACABAMENTO (PIGMENTADA) ESMALTE BASE ÁGUA EM MADEIRA, 3 DEMÃOS. AF_01/2021</t>
  </si>
  <si>
    <t>PINTURA TINTA DE ACABAMENTO (PIGMENTADA) POLIURETÂNICA EM MADEIRA, 1 DEMÃO. AF_01/2021</t>
  </si>
  <si>
    <t>PINTURA TINTA DE ACABAMENTO (PIGMENTADA) POLIURETÂNICA EM MADEIRA, 2 DEMÃOS. AF_01/2021</t>
  </si>
  <si>
    <t>PINTURA TINTA DE ACABAMENTO (PIGMENTADA) POLIURETÂNICA EM MADEIRA, 3 DEMÃOS. AF_01/2021</t>
  </si>
  <si>
    <t>PINTURA VERNIZ (INCOLOR) POLIURETÂNICO (RESINA POLIURETÂNICA) EM MADEIRA, 1 DEMÃO. AF_01/2021</t>
  </si>
  <si>
    <t>PINTURA VERNIZ (INCOLOR) POLIURETÂNICO (RESINA POLIURETÂNICA) EM MADEIRA, 2 DEMÃOS. AF_01/2021</t>
  </si>
  <si>
    <t>PINTURA VERNIZ (INCOLOR) POLIURETÂNICO (RESINA POLIURETÂNICA) EM MADEIRA, 3 DEMÃOS. AF_01/2021</t>
  </si>
  <si>
    <t>PINTURA COM TINTA EPOXÍDICA DE FUNDO E ACABAMENTO APLICADA A ROLO OU PINCEL SOBRE PERFIL METÁLICO EXECUTADO EM FÁBRICA (POR DEMÃO). AF_01/2020</t>
  </si>
  <si>
    <t>PINTURA COM TINTA EPOXÍDICA DE FUNDO E ACABAMENTO PULVERIZADA SOBRE PERFIL METÁLICO EXECUTADO EM FÁBRICA (POR DEMÃO). AF_01/2020</t>
  </si>
  <si>
    <t>PINTURA COM TINTA POLIURETÂNICA DE ACABAMENTO APLICADA A ROLO OU PINCEL SOBRE PERFIL METÁLICO EXECUTADO EM FÁBRICA (02 DEMÃOS). AF_01/2020</t>
  </si>
  <si>
    <t>PINTURA COM TINTA POLIURETÂNICA DE ACABAMENTO APLICADA A ROLO OU PINCEL SOBRE PERFIL METÁLICO EXECUTADO EM FÁBRICA (POR DEMÃO). AF_01/2020</t>
  </si>
  <si>
    <t>PINTURA COM TINTA POLIURETÂNICA DE ACABAMENTO PULVERIZADA SOBRE PERFIL METÁLICO EXECUTADO EM FÁBRICA (02 DEMÃOS). AF_01/2020</t>
  </si>
  <si>
    <t>PINTURA COM TINTA POLIURETÂNICA DE ACABAMENTO PULVERIZADA SOBRE PERFIL METÁLICO EXECUTADO EM FÁBRICA (POR DEMÃO). AF_01/2020</t>
  </si>
  <si>
    <t>PINTURA DE DEMARCAÇÃO DE VAGA COM TINTA ACRÍLICA, E = 10 CM, APLICAÇÃO MECÂNICA COM DEMARCADORA A TRAÇÃO MANUAL. AF_05/2021</t>
  </si>
  <si>
    <t>PINTURA DE FAIXA DE PEDESTRE OU ZEBRADA COM TINTA RETRORREFLETIVA A BASE DE RESINA ACRÍLICA COM MICROESFERAS DE VIDRO, E = 30 CM, APLICAÇÃO MECÂNICA COM DEMARCADORA A TRAÇÃO MANUAL. AF_05/2021</t>
  </si>
  <si>
    <t>PINTURA DE PISO COM TINTA ACRÍLICA, APLICAÇÃO MECÂNICA, 2 DEMÃOS, INCLUSO FUNDO PREPARADOR. AF_05/2021</t>
  </si>
  <si>
    <t>PINTURA DE PISO COM TINTA EPÓXI, APLICAÇÃO MECÂNICA, 2 DEMÃOS. AF_05/2021</t>
  </si>
  <si>
    <t>PINTURA DE PISO DE PEDRAS DECORATIVAS COM VERNIZ DE POLIURETANO FOSCO, APLICAÇÃO MANUAL, 3 DEMÃOS. AF_05/2021</t>
  </si>
  <si>
    <t>PINTURA DE SÍMBOLO "BICICLETA" COM TINTA ACRÍLICA, UTILIZAÇÃO DE MOLDE PLÁSTICO E APLICAÇÃO MECÂNICA, 150X60 CM. AF_05/2021</t>
  </si>
  <si>
    <t>PINTURA DE SÍMBOLO "DEFICIENTE FÍSICO" COM TINTA ACRÍLICA, UTILIZAÇÃO DE MOLDE PLÁSTICO E APLICAÇÃO MECÂNICA, 120X120 CM. AF_05/2021</t>
  </si>
  <si>
    <t>PINTURA DE SÍMBOLO "GESTANTE" COM TINTA ACRÍLICA, UTILIZAÇÃO DE MOLDE PLÁSTICO E APLICAÇÃO MECÂNICA, 120X120 CM. AF_05/2021</t>
  </si>
  <si>
    <t>PINTURA DE SÍMBOLO "IDOSO" COM TINTA ACRÍLICA, UTILIZAÇÃO DE MOLDE PLÁSTICO E APLICAÇÃO MECÂNICA, 120X120 CM. AF_05/2021</t>
  </si>
  <si>
    <t>PINTURA DE SÍMBOLO "PEDESTRE" COM TINTA ACRÍLICA, UTILIZAÇÃO DE MOLDE PLÁSTICO E APLICAÇÃO MECÂNICA, 130X90 CM. AF_05/2021</t>
  </si>
  <si>
    <t>BASE PARA POCO DE VISITA RETANGULAR PARA ESGOTO E DRENAGEM, EM CONCRETO ESTRUTURAL, DIMENSÕES INTERNAS DE 90X150 M, PROFUNDIDADE DE 1,25 M, EXCLUINDO TAMPÃO. AF_12/2020</t>
  </si>
  <si>
    <t>BASE PARA POÇO DE VISITA CIRCULAR PARA DRENAGEM, EM ALVENARIA COM TIJOLOS CERÂMICOS MACIÇOS, DIÂMETRO INTERNO = 0,80 M, PROFUNDIDADE = 1,40 M, EXCLUINDO TAMPÃO. AF_12/2020</t>
  </si>
  <si>
    <t>BASE PARA POÇO DE VISITA CIRCULAR PARA DRENAGEM, EM ALVENARIA COM TIJOLOS CERÂMICOS MACIÇOS, DIÂMETRO INTERNO = 1,0 M, PROFUNDIDADE = 1,40 M, EXCLUINDO TAMPÃO. AF_12/2020</t>
  </si>
  <si>
    <t>BASE PARA POÇO DE VISITA CIRCULAR PARA DRENAGEM, EM ALVENARIA COM TIJOLOS CERÂMICOS MACIÇOS, DIÂMETRO INTERNO = 1,2 M, PROFUNDIDADE = 1,40 M, EXCLUINDO TAMPÃO. AF_12/2020</t>
  </si>
  <si>
    <t>BASE PARA POÇO DE VISITA CIRCULAR PARA DRENAGEM, EM ALVENARIA COM TIJOLOS CERÂMICOS MACIÇOS, DIÂMETRO INTERNO = 1,50 M, PROFUNDIDADE = 1,40 M, EXCLUINDO TAMPÃO. AF_12/2020</t>
  </si>
  <si>
    <t>BASE PARA POÇO DE VISITA CIRCULAR PARA DRENAGEM, EM CONCRETO PRÉ-MOLDADO, DIÂMETRO INTERNO = 0,80 M, PROFUNDIDADE = 1,35 M, EXCLUINDO TAMPÃO. AF_12/2020</t>
  </si>
  <si>
    <t>BASE PARA POÇO DE VISITA CIRCULAR PARA DRENAGEM, EM CONCRETO PRÉ-MOLDADO, DIÂMETRO INTERNO = 1,0 M, PROFUNDIDADE = 1,35 M, EXCLUINDO TAMPÃO. AF_05/2018</t>
  </si>
  <si>
    <t>BASE PARA POÇO DE VISITA CIRCULAR PARA DRENAGEM, EM CONCRETO PRÉ-MOLDADO, DIÂMETRO INTERNO = 1,20 M, PROFUNDIDADE = 1,60 M, EXCLUINDO TAMPÃO. AF_05/2021</t>
  </si>
  <si>
    <t>BASE PARA POÇO DE VISITA CIRCULAR PARA DRENAGEM, EM CONCRETO PRÉ-MOLDADO, DIÂMETRO INTERNO = 1,50 M, PROFUNDIDADE = 1,35 M, EXCLUINDO TAMPÃO. AF_12/2020</t>
  </si>
  <si>
    <t>BASE PARA POÇO DE VISITA CIRCULAR PARA ESGOTO, EM ALVENARIA COM TIJOLOS CERÂMICOS MACIÇOS, DIÂMETRO INTERNO = 1,50 M, PROFUNDIDADE = 1,40 M, EXCLUINDO TAMPÃO. AF_12/2020</t>
  </si>
  <si>
    <t>BASE PARA POÇO DE VISITA CIRCULAR PARA ESGOTO, EM CONCRETO PRÉ-MOLDADO, DIÂMETRO INTERNO = 0,80 M, PROFUNDIDADE = 1,35 M, EXCLUINDO TAMPÃO. AF_12/2020</t>
  </si>
  <si>
    <t>BASE PARA POÇO DE VISITA CIRCULAR PARA ESGOTO, EM CONCRETO PRÉ-MOLDADO, DIÂMETRO INTERNO = 1,0 M, PROFUNDIDADE = 1,35 M, EXCLUINDO TAMPÃO. AF_12/2020</t>
  </si>
  <si>
    <t>BASE PARA POÇO DE VISITA RETANGULAR PARA DRENAGEM, EM ALVENARIA COM BLOCOS DE CONCRETO, DIMENSÕES INTERNAS = 1,5X1,5 M, PROFUNDIDADE = 1,40 M, EXCLUINDO TAMPÃO. AF_12/2020</t>
  </si>
  <si>
    <t>BASE PARA POÇO DE VISITA RETANGULAR PARA DRENAGEM, EM ALVENARIA COM BLOCOS DE CONCRETO, DIMENSÕES INTERNAS = 1,5X2 M, PROFUNDIDADE = 1,40 M, EXCLUINDO TAMPÃO. AF_12/2020</t>
  </si>
  <si>
    <t>BASE PARA POÇO DE VISITA RETANGULAR PARA DRENAGEM, EM ALVENARIA COM BLOCOS DE CONCRETO, DIMENSÕES INTERNAS = 1,5X2,5 M, PROFUNDIDADE = 1,40 M, EXCLUINDO TAMPÃO. AF_12/2020</t>
  </si>
  <si>
    <t>BASE PARA POÇO DE VISITA RETANGULAR PARA DRENAGEM, EM ALVENARIA COM BLOCOS DE CONCRETO, DIMENSÕES INTERNAS = 1,5X3 M, PROFUNDIDADE = 1,40 M, EXCLUINDO TAMPÃO. AF_12/2020</t>
  </si>
  <si>
    <t>BASE PARA POÇO DE VISITA RETANGULAR PARA DRENAGEM, EM ALVENARIA COM BLOCOS DE CONCRETO, DIMENSÕES INTERNAS = 1,5X3,5 M, PROFUNDIDADE = 1,40 M, EXCLUINDO TAMPÃO. AF_12/2020</t>
  </si>
  <si>
    <t>BASE PARA POÇO DE VISITA RETANGULAR PARA DRENAGEM, EM ALVENARIA COM BLOCOS DE CONCRETO, DIMENSÕES INTERNAS = 1,5X4 M, PROFUNDIDADE = 1,40 M, EXCLUINDO TAMPÃO. AF_12/2020</t>
  </si>
  <si>
    <t>BASE PARA POÇO DE VISITA RETANGULAR PARA DRENAGEM, EM ALVENARIA COM BLOCOS DE CONCRETO, DIMENSÕES INTERNAS = 1X1 M, PROFUNDIDADE = 1,40 M, EXCLUINDO TAMPÃO. AF_12/2020</t>
  </si>
  <si>
    <t>BASE PARA POÇO DE VISITA RETANGULAR PARA DRENAGEM, EM ALVENARIA COM BLOCOS DE CONCRETO, DIMENSÕES INTERNAS = 1X1,5 M, PROFUNDIDADE = 1,40 M, EXCLUINDO TAMPÃO. AF_12/2020</t>
  </si>
  <si>
    <t>BASE PARA POÇO DE VISITA RETANGULAR PARA DRENAGEM, EM ALVENARIA COM BLOCOS DE CONCRETO, DIMENSÕES INTERNAS = 1X2 M, PROFUNDIDADE = 1,40 M, EXCLUINDO TAMPÃO. AF_12/2020</t>
  </si>
  <si>
    <t>BASE PARA POÇO DE VISITA RETANGULAR PARA DRENAGEM, EM ALVENARIA COM BLOCOS DE CONCRETO, DIMENSÕES INTERNAS = 1X2,5 M, PROFUNDIDADE = 1,40 M, EXCLUINDO TAMPÃO. AF_12/2020</t>
  </si>
  <si>
    <t>BASE PARA POÇO DE VISITA RETANGULAR PARA DRENAGEM, EM ALVENARIA COM BLOCOS DE CONCRETO, DIMENSÕES INTERNAS = 1X3 M, PROFUNDIDADE = 1,40 M, EXCLUINDO TAMPÃO. AF_12/2020</t>
  </si>
  <si>
    <t>BASE PARA POÇO DE VISITA RETANGULAR PARA DRENAGEM, EM ALVENARIA COM BLOCOS DE CONCRETO, DIMENSÕES INTERNAS = 1X3,5 M, PROFUNDIDADE = 1,40 M, EXCLUINDO TAMPÃO. AF_12/2020</t>
  </si>
  <si>
    <t>BASE PARA POÇO DE VISITA RETANGULAR PARA DRENAGEM, EM ALVENARIA COM BLOCOS DE CONCRETO, DIMENSÕES INTERNAS = 1X4 M, PROFUNDIDADE = 1,40 M, EXCLUINDO TAMPÃO. AF_12/2020</t>
  </si>
  <si>
    <t>BASE PARA POÇO DE VISITA RETANGULAR PARA DRENAGEM, EM ALVENARIA COM BLOCOS DE CONCRETO, DIMENSÕES INTERNAS = 2,5X2,5 M, PROFUNDIDADE = 1,40 M, EXCLUINDO TAMPÃO. AF_12/2020</t>
  </si>
  <si>
    <t>BASE PARA POÇO DE VISITA RETANGULAR PARA DRENAGEM, EM ALVENARIA COM BLOCOS DE CONCRETO, DIMENSÕES INTERNAS = 2,5X3 M, PROFUNDIDADE = 1,40 M, EXCLUINDO TAMPÃO. AF_12/2020</t>
  </si>
  <si>
    <t>BASE PARA POÇO DE VISITA RETANGULAR PARA DRENAGEM, EM ALVENARIA COM BLOCOS DE CONCRETO, DIMENSÕES INTERNAS = 2,5X3,5 M, PROFUNDIDADE = 1,40 M, EXCLUINDO TAMPÃO. AF_12/2020</t>
  </si>
  <si>
    <t>BASE PARA POÇO DE VISITA RETANGULAR PARA DRENAGEM, EM ALVENARIA COM BLOCOS DE CONCRETO, DIMENSÕES INTERNAS = 2,5X4 M, PROFUNDIDADE = 1,40 M, EXCLUINDO TAMPÃO. AF_12/2020</t>
  </si>
  <si>
    <t>BASE PARA POÇO DE VISITA RETANGULAR PARA DRENAGEM, EM ALVENARIA COM BLOCOS DE CONCRETO, DIMENSÕES INTERNAS = 2X2 M, PROFUNDIDADE = 1,40 M, EXCLUINDO TAMPÃO. AF_12/2020</t>
  </si>
  <si>
    <t>BASE PARA POÇO DE VISITA RETANGULAR PARA DRENAGEM, EM ALVENARIA COM BLOCOS DE CONCRETO, DIMENSÕES INTERNAS = 2X2,5 M, PROFUNDIDADE = 1,40 M, EXCLUINDO TAMPÃO. AF_12/2020</t>
  </si>
  <si>
    <t>BASE PARA POÇO DE VISITA RETANGULAR PARA DRENAGEM, EM ALVENARIA COM BLOCOS DE CONCRETO, DIMENSÕES INTERNAS = 2X3 M, PROFUNDIDADE = 1,40 M, EXCLUINDO TAMPÃO. AF_12/2020</t>
  </si>
  <si>
    <t>BASE PARA POÇO DE VISITA RETANGULAR PARA DRENAGEM, EM ALVENARIA COM BLOCOS DE CONCRETO, DIMENSÕES INTERNAS = 2X3,5 M, PROFUNDIDADE = 1,40 M, EXCLUINDO TAMPÃO. AF_12/2020</t>
  </si>
  <si>
    <t>BASE PARA POÇO DE VISITA RETANGULAR PARA DRENAGEM, EM ALVENARIA COM BLOCOS DE CONCRETO, DIMENSÕES INTERNAS = 2X4 M, PROFUNDIDADE = 1,40 M, EXCLUINDO TAMPÃO. AF_12/2020</t>
  </si>
  <si>
    <t>BASE PARA POÇO DE VISITA RETANGULAR PARA DRENAGEM, EM ALVENARIA COM BLOCOS DE CONCRETO, DIMENSÕES INTERNAS = 3,5X3,5 M, PROFUNDIDADE = 1,40 M, EXCLUINDO TAMPÃO. AF_12/2020</t>
  </si>
  <si>
    <t>BASE PARA POÇO DE VISITA RETANGULAR PARA DRENAGEM, EM ALVENARIA COM BLOCOS DE CONCRETO, DIMENSÕES INTERNAS = 3,5X4 M, PROFUNDIDADE = 1,40 M, EXCLUINDO TAMPÃO. AF_12/2020</t>
  </si>
  <si>
    <t>BASE PARA POÇO DE VISITA RETANGULAR PARA DRENAGEM, EM ALVENARIA COM BLOCOS DE CONCRETO, DIMENSÕES INTERNAS = 3X3 M, PROFUNDIDADE = 1,40 M, EXCLUINDO TAMPÃO. AF_12/2020</t>
  </si>
  <si>
    <t>BASE PARA POÇO DE VISITA RETANGULAR PARA DRENAGEM, EM ALVENARIA COM BLOCOS DE CONCRETO, DIMENSÕES INTERNAS = 3X3,5 M, PROFUNDIDADE = 1,40 M, EXCLUINDO TAMPÃO. AF_12/2020</t>
  </si>
  <si>
    <t>BASE PARA POÇO DE VISITA RETANGULAR PARA DRENAGEM, EM ALVENARIA COM BLOCOS DE CONCRETO, DIMENSÕES INTERNAS = 3X4 M, PROFUNDIDADE = 1,40 M, EXCLUINDO TAMPÃO. AF_12/2020</t>
  </si>
  <si>
    <t>BASE PARA POÇO DE VISITA RETANGULAR PARA DRENAGEM, EM ALVENARIA COM BLOCOS DE CONCRETO, DIMENSÕES INTERNAS = 4X4 M, PROFUNDIDADE = 1,40 M, EXCLUINDO TAMPÃO. AF_12/2020</t>
  </si>
  <si>
    <t>BASE PARA POÇO DE VISITA RETANGULAR PARA ESGOTO, EM ALVENARIA COM BLOCOS DE CONCRETO, DIMENSÕES INTERNAS = 1,5X1,5 M, PROFUNDIDADE = 1,45 M, EXCLUINDO TAMPÃO . AF_12/2020</t>
  </si>
  <si>
    <t>BASE PARA POÇO DE VISITA RETANGULAR PARA ESGOTO, EM ALVENARIA COM BLOCOS DE CONCRETO, DIMENSÕES INTERNAS = 1,5X2 M, PROFUNDIDADE = 1,40 M, EXCLUINDO TAMPÃO. AF_12/2020</t>
  </si>
  <si>
    <t>BASE PARA POÇO DE VISITA RETANGULAR PARA ESGOTO, EM ALVENARIA COM BLOCOS DE CONCRETO, DIMENSÕES INTERNAS = 1,5X2,5 M, PROFUNDIDADE = 1,40 M, EXCLUINDO TAMPÃO. AF_12/2020</t>
  </si>
  <si>
    <t>BASE PARA POÇO DE VISITA RETANGULAR PARA ESGOTO, EM ALVENARIA COM BLOCOS DE CONCRETO, DIMENSÕES INTERNAS = 1,5X3 M, PROFUNDIDADE = 1,40 M, EXCLUINDO TAMPÃO. AF_12/2020</t>
  </si>
  <si>
    <t>BASE PARA POÇO DE VISITA RETANGULAR PARA ESGOTO, EM ALVENARIA COM BLOCOS DE CONCRETO, DIMENSÕES INTERNAS = 1,5X3,5 M, PROFUNDIDADE = 1,40 M, EXCLUINDO TAMPÃO. AF_12/2020</t>
  </si>
  <si>
    <t>BASE PARA POÇO DE VISITA RETANGULAR PARA ESGOTO, EM ALVENARIA COM BLOCOS DE CONCRETO, DIMENSÕES INTERNAS = 1,5X4 M, PROFUNDIDADE = 1,40 M, EXCLUINDO TAMPÃO. AF_12/2020</t>
  </si>
  <si>
    <t>BASE PARA POÇO DE VISITA RETANGULAR PARA ESGOTO, EM ALVENARIA COM BLOCOS DE CONCRETO, DIMENSÕES INTERNAS = 1X1,5 M, PROFUNDIDADE = 1,40 M, EXCLUINDO TAMPÃO. AF_12/2020</t>
  </si>
  <si>
    <t>BASE PARA POÇO DE VISITA RETANGULAR PARA ESGOTO, EM ALVENARIA COM BLOCOS DE CONCRETO, DIMENSÕES INTERNAS = 1X2 M, PROFUNDIDADE = 1,40 M, EXCLUINDO TAMPÃO. AF_12/2020</t>
  </si>
  <si>
    <t>BASE PARA POÇO DE VISITA RETANGULAR PARA ESGOTO, EM ALVENARIA COM BLOCOS DE CONCRETO, DIMENSÕES INTERNAS = 1X2,5 M, PROFUNDIDADE = 1,40 M, EXCLUINDO TAMPÃO. AF_12/2020</t>
  </si>
  <si>
    <t>BASE PARA POÇO DE VISITA RETANGULAR PARA ESGOTO, EM ALVENARIA COM BLOCOS DE CONCRETO, DIMENSÕES INTERNAS = 1X3 M, PROFUNDIDADE = 1,40 M, EXCLUINDO TAMPÃO. AF_12/2020</t>
  </si>
  <si>
    <t>BASE PARA POÇO DE VISITA RETANGULAR PARA ESGOTO, EM ALVENARIA COM BLOCOS DE CONCRETO, DIMENSÕES INTERNAS = 1X3,5 M, PROFUNDIDADE = 1,40 M, EXCLUINDO TAMPÃO. AF_12/2020</t>
  </si>
  <si>
    <t>BASE PARA POÇO DE VISITA RETANGULAR PARA ESGOTO, EM ALVENARIA COM BLOCOS DE CONCRETO, DIMENSÕES INTERNAS = 1X4 M, PROFUNDIDADE = 1,40 M, EXCLUINDO TAMPÃO. AF_12/2020</t>
  </si>
  <si>
    <t>BASE PARA POÇO DE VISITA RETANGULAR PARA ESGOTO, EM ALVENARIA COM BLOCOS DE CONCRETO, DIMENSÕES INTERNAS = 2,5X2,5 M, PROFUNDIDADE = 1,40 M, EXCLUINDO TAMPÃO. AF_12/2020</t>
  </si>
  <si>
    <t>BASE PARA POÇO DE VISITA RETANGULAR PARA ESGOTO, EM ALVENARIA COM BLOCOS DE CONCRETO, DIMENSÕES INTERNAS = 2,5X3 M, PROFUNDIDADE = 1,40 M, EXCLUINDO TAMPÃO. AF_12/2020</t>
  </si>
  <si>
    <t>BASE PARA POÇO DE VISITA RETANGULAR PARA ESGOTO, EM ALVENARIA COM BLOCOS DE CONCRETO, DIMENSÕES INTERNAS = 2,5X3,5 M, PROFUNDIDADE = 1,40 M, EXCLUINDO TAMPÃO. AF_12/2020</t>
  </si>
  <si>
    <t>BASE PARA POÇO DE VISITA RETANGULAR PARA ESGOTO, EM ALVENARIA COM BLOCOS DE CONCRETO, DIMENSÕES INTERNAS = 2,5X4 M, PROFUNDIDADE = 1,40 M, EXCLUINDO TAMPÃO. AF_12/2020</t>
  </si>
  <si>
    <t>BASE PARA POÇO DE VISITA RETANGULAR PARA ESGOTO, EM ALVENARIA COM BLOCOS DE CONCRETO, DIMENSÕES INTERNAS = 2X2 M, PROFUNDIDADE = 1,40 M, EXCLUINDO TAMPÃO. AF_12/2020</t>
  </si>
  <si>
    <t>BASE PARA POÇO DE VISITA RETANGULAR PARA ESGOTO, EM ALVENARIA COM BLOCOS DE CONCRETO, DIMENSÕES INTERNAS = 2X2,5 M, PROFUNDIDADE = 1,40 M, EXCLUINDO TAMPÃO. AF_12/2020</t>
  </si>
  <si>
    <t>BASE PARA POÇO DE VISITA RETANGULAR PARA ESGOTO, EM ALVENARIA COM BLOCOS DE CONCRETO, DIMENSÕES INTERNAS = 2X3 M, PROFUNDIDADE = 1,40 M, EXCLUINDO TAMPÃO. AF_12/2020</t>
  </si>
  <si>
    <t>BASE PARA POÇO DE VISITA RETANGULAR PARA ESGOTO, EM ALVENARIA COM BLOCOS DE CONCRETO, DIMENSÕES INTERNAS = 2X3,5 M, PROFUNDIDADE = 1,40 M, EXCLUINDO TAMPÃO. AF_12/2020</t>
  </si>
  <si>
    <t>BASE PARA POÇO DE VISITA RETANGULAR PARA ESGOTO, EM ALVENARIA COM BLOCOS DE CONCRETO, DIMENSÕES INTERNAS = 2X4 M, PROFUNDIDADE = 1,40 M, EXCLUINDO TAMPÃO. AF_12/2020</t>
  </si>
  <si>
    <t>BASE PARA POÇO DE VISITA RETANGULAR PARA ESGOTO, EM ALVENARIA COM BLOCOS DE CONCRETO, DIMENSÕES INTERNAS = 3,5X3,5 M, PROFUNDIDADE = 1,40 M, EXCLUINDO TAMPÃO. AF_12/2020</t>
  </si>
  <si>
    <t>BASE PARA POÇO DE VISITA RETANGULAR PARA ESGOTO, EM ALVENARIA COM BLOCOS DE CONCRETO, DIMENSÕES INTERNAS = 3,5X4 M, PROFUNDIDADE = 1,40 M, EXCLUINDO TAMPÃO. AF_12/2020</t>
  </si>
  <si>
    <t>BASE PARA POÇO DE VISITA RETANGULAR PARA ESGOTO, EM ALVENARIA COM BLOCOS DE CONCRETO, DIMENSÕES INTERNAS = 3X3 M, PROFUNDIDADE = 1,40 M, EXCLUINDO TAMPÃO. AF_12/2020</t>
  </si>
  <si>
    <t>BASE PARA POÇO DE VISITA RETANGULAR PARA ESGOTO, EM ALVENARIA COM BLOCOS DE CONCRETO, DIMENSÕES INTERNAS = 3X3,5 M, PROFUNDIDADE = 1,40 M, EXCLUINDO TAMPÃO. AF_12/2020</t>
  </si>
  <si>
    <t>BASE PARA POÇO DE VISITA RETANGULAR PARA ESGOTO, EM ALVENARIA COM BLOCOS DE CONCRETO, DIMENSÕES INTERNAS = 3X4 M, PROFUNDIDADE = 1,40 M, EXCLUINDO TAMPÃO. AF_12/2020</t>
  </si>
  <si>
    <t>BASE PARA POÇO DE VISITA RETANGULAR PARA ESGOTO, EM ALVENARIA COM BLOCOS DE CONCRETO, DIMENSÕES INTERNAS = 4X4 M, PROFUNDIDADE = 1,45 M, EXCLUINDO TAMPÃO. AF_12/2020</t>
  </si>
  <si>
    <t>POÇO DE INSPEÇÃO CIRCULAR PARA DRENAGEM, EM ALVENARIA COM TIJOLOS CERÂMICOS MACIÇOS, DIÂMETRO INTERNO = 0,60 M, PROFUNDIDADE = 0,95 M, EXCLUINDO TAMPÃO. AF_12/2020</t>
  </si>
  <si>
    <t>POÇO DE INSPEÇÃO CIRCULAR PARA DRENAGEM, EM ALVENARIA COM TIJOLOS CERÂMICOS MACIÇOS, DIÂMETRO INTERNO = 0,60 M, PROFUNDIDADE = 1,45 M, EXCLUINDO TAMPÃO. AF_12/2020</t>
  </si>
  <si>
    <t>POÇO DE INSPEÇÃO CIRCULAR PARA DRENAGEM, EM CONCRETO PRÉ-MOLDADO, DIÂMETRO INTERNO = 0,60 M, PROFUNDIDADE = 0,90 M, EXCLUINDO TAMPÃO. AF_12/2020</t>
  </si>
  <si>
    <t>POÇO DE INSPEÇÃO CIRCULAR PARA DRENAGEM, EM CONCRETO PRÉ-MOLDADO, DIÂMETRO INTERNO = 0,60 M, PROFUNDIDADE = 1,40 M, EXCLUINDO TAMPÃO. AF_12/2020</t>
  </si>
  <si>
    <t>POÇO DE INSPEÇÃO CIRCULAR PARA ESGOTO, EM ALVENARIA COM TIJOLOS CERÂMICOS MACIÇOS, DIÂMETRO INTERNO = 0,60 M, PROFUNDIDADE = 0,95 M, EXCLUINDO TAMPÃO. AF_12/2020</t>
  </si>
  <si>
    <t>POÇO DE INSPEÇÃO CIRCULAR PARA ESGOTO, EM ALVENARIA COM TIJOLOS CERÂMICOS MACIÇOS, DIÂMETRO INTERNO = 0,60 M, PROFUNDIDADE = 1,45 M, EXCLUINDO TAMPÃO. AF_12/2020</t>
  </si>
  <si>
    <t>POÇO DE INSPEÇÃO CIRCULAR PARA ESGOTO, EM CONCRETO PRÉ-MOLDADO, DIÂMETRO INTERNO = 0,60 M, PROFUNDIDADE = 0,90 M, EXCLUINDO TAMPÃO. AF_12/2020</t>
  </si>
  <si>
    <t>POÇO DE INSPEÇÃO CIRCULAR PARA ESGOTO, EM CONCRETO PRÉ-MOLDADO, DIÂMETRO INTERNO = 0,60 M, PROFUNDIDADE = 1,40 M, EXCLUINDO TAMPÃO. AF_12/2020</t>
  </si>
  <si>
    <t>ARGAMASSA DE ASSENTAMENTO DE ALVENARIA DE VEDAÇÃO E REVESTIMENTO INTERNO, TRAÇO EM VOLUME SECO 1:1:3:3,8 (CIMENTO:CAL:AREIA NATURAL MÉDIA:AREIA RECICLADA), COM USO DE AGREGADO RECICLADO MISTO (ARM) - PREPARO MANUAL. AF_11/2023</t>
  </si>
  <si>
    <t>ARGAMASSA DE ASSENTAMENTO DE ALVENARIA DE VEDAÇÃO E REVESTIMENTO INTERNO, TRAÇO EM VOLUME SECO 1:1:3:3,8 (CIMENTO:CAL:AREIAS NATURAL MÉDIA: RECICLADA), COM USO DE AGREGADO RECICLADO CIMENTÍCIO OU DE CONCRETO (ARCI/ARCO) - PREPARO MANUAL. AF_11/2023</t>
  </si>
  <si>
    <t>ARGAMASSA PARA ALVENARIA DE VEDAÇÃO E REVESTIMENTO INTERNO, TRAÇO EM VOLUME SECO 1:1:3:3,8 (CIMENTO:CAL:AREIA MÉDIA:AREIA RECICLADA), COM AGREGADO RECICLADO CIMENTÍCIO OU DE CONCRETO - PREPARO MECÂNICO COM MISTURADOR HORIZONTAL DE 600 KG. AF_11/2023</t>
  </si>
  <si>
    <t>ARGAMASSA PARA ALVENARIA DE VEDAÇÃO E REVESTIMENTO INTERNO, TRAÇO EM VOLUME SECO 1:1:3:3,8 (CIMENTO:CAL:AREIA MÉDIA:AREIA RECICLADA), COM USO DE AGREGADO RECICLADO MISTO - PREPARO MECÂNICO COM MISTURADOR HORIZONTAL DE 600 KG. AF_11/2023</t>
  </si>
  <si>
    <t>ARGAMASSA PARA CONTRAPISO, TRAÇO EM VOLUME SECO 1:2:2,5 (CIMENTO:AREIA NATURAL MÉDIA:AREIA RECICLADA), COM USO DE AGREGADO RECICLADO CIMENTÍCIO OU DE CONCRETO (ARCI/ARCO) - PREPARO MANUAL. AF_11/2023</t>
  </si>
  <si>
    <t>ARGAMASSA PARA CONTRAPISO, TRAÇO EM VOLUME SECO 1:2:2,5 (CIMENTO:AREIA NATURAL MÉDIA:AREIA RECICLADA), COM USO DE AGREGADO RECICLADO CIMENTÍCIO OU DE CONCRETO (ARCI/ARCO) - PREPARO MECÂNICO COM MISTURADOR DE EIXO HORIZONTAL DE 600 KG. AF_11/2023</t>
  </si>
  <si>
    <t>ARGAMASSA PARA CONTRAPISO, TRAÇO EM VOLUME SECO 1:2:2,5 (CIMENTO:AREIA NATURAL MÉDIA:AREIA RECICLADA), COM USO DE AGREGADO RECICLADO MISTO (ARM) - PREPARO MANUAL. AF_11/2023</t>
  </si>
  <si>
    <t>ARGAMASSA PARA CONTRAPISO, TRAÇO EM VOLUME SECO 1:2:2,5 (CIMENTO:AREIA NATURAL MÉDIA:AREIA RECICLADA), COM USO DE AGREGADO RECICLADO MISTO (ARM) - PREPARO MECÂNICO COM MISTURADOR DE EIXO HORIZONTAL DE 600 KG. AF_11/2023</t>
  </si>
  <si>
    <t>CONCRETO MAGRO PARA LASTRO, TRAÇO EM MASSA SECA 1:3,4:3,5 (CIMENTO:AREIA RECICLADA:BRITA 1 RECICLADA), COM USO DE AGREGADO RECICLADO CIMENTÍCIO OU DE CONCRETO (ARCI/ARCO) - PREPARO MANUAL. AF_11/2023</t>
  </si>
  <si>
    <t>CONCRETO MAGRO PARA LASTRO, TRAÇO EM MASSA SECA 1:3,4:3,5 (CIMENTO:AREIA RECICLADA:BRITA 1 RECICLADA), COM USO DE AGREGADO RECICLADO CIMENTÍCIO OU DE CONCRETO (ARCI/ARCO) - PREPARO MECÂNICO COM BETONEIRA 600 L. AF_11/2023</t>
  </si>
  <si>
    <t>CONCRETO MAGRO PARA LASTRO, TRAÇO EM MASSA SECA 1:3,4:3,5 (CIMENTO:AREIA RECICLADA:BRITA 1 RECICLADA), COM USO DE AGREGADO RECICLADO MISTO (ARM) - PREPARO MANUAL. AF_11/2023</t>
  </si>
  <si>
    <t>CONCRETO MAGRO PARA LASTRO, TRAÇO EM MASSA SECA 1:3,4:3,5 (CIMENTO:AREIA RECICLADA:BRITA 1 RECICLADA), COM USO DE AGREGADO RECICLADO MISTO (ARM) - PREPARO MECÂNICO COM BETONEIRA 600 L. AF_11/2023</t>
  </si>
  <si>
    <t>ASSENTO COM ENCOSTO PARA ARQUIBANCADA - FORNECIMENTO E INSTALAÇÃO. AF_03/2022</t>
  </si>
  <si>
    <t>ASSENTO SEM ENCOSTO PARA ARQUIBANCADA - FORNECIMENTO E INSTALAÇÃO. AF_03/2022</t>
  </si>
  <si>
    <t>PAR DE ESTRUTURAS PARA TABELA DE BASQUETE EM TRELIÇA METÁLICA AÉREA, EXCETO TABELA, ARO E REDE - FORNECIMENTO E INSTALAÇÃO. AF_03/2022</t>
  </si>
  <si>
    <t>PAR DE ESTRUTURAS PARA TABELA DE BASQUETE EM TRELIÇA METÁLICA FIXADA NO PISO, EXCETO TABELA, ARO E REDE - FORNECIMENTO E INSTALAÇÃO. AF_03/2022</t>
  </si>
  <si>
    <t>PAR DE ESTRUTURAS PARA TABELA DE BASQUETE METÁLICA TUBULAR CHUMBADA COM CONCRETO NO PISO, EXCETO TABELA, ARO E REDE - FORNECIMENTO E INSTALAÇÃO. AF_03/2022</t>
  </si>
  <si>
    <t>PAR DE POSTES E REDE DE VÔLEI - FORNECIMENTO E INSTALAÇÃO. AF_03/2022</t>
  </si>
  <si>
    <t>PAR DE TABELAS DE BASQUETE DE ACRÍLICO, COM AROS E REDES - FORNECIMENTO E INSTALAÇÃO. AF_03/2022</t>
  </si>
  <si>
    <t>PAR DE TABELAS DE BASQUETE DE VIDRO TEMPERADO, COM AROS E REDES - FORNECIMENTO E INSTALAÇÃO. AF_03/2022</t>
  </si>
  <si>
    <t>PAR DE TRAVES E REDES DE FUTSAL - FORNECIMENTO E INSTALAÇÃO. AF_03/2022</t>
  </si>
  <si>
    <t>PISO ASFÁLTICO PARA QUADRA POLIESPORTIVA - FORNECIMENTO E INSTALAÇÃO. AF_03/2022</t>
  </si>
  <si>
    <t>PISO DE GRAMA SINTÉTICA PARA QUADRA POLIESPORTIVA - FORNECIMENTO E INSTALAÇÃO. AF_03/2022</t>
  </si>
  <si>
    <t>PISO DE MADEIRA COM AMORTECEDORES DE BORRACHA PARA QUADRA POLIESPORTIVA - FORNECIMENTO E INSTALAÇÃO. AF_03/2022</t>
  </si>
  <si>
    <t>PISO DE POLIURETANO PARA QUADRA POLIESPORTIVA - FORNECIMENTO E INSTALAÇÃO. AF_03/2022</t>
  </si>
  <si>
    <t>PISO MODULAR DE POLIPROPILENO PARA QUADRA POLIESPORTIVA - FORNECIMENTO E INSTALAÇÃO. AF_03/2022</t>
  </si>
  <si>
    <t>PISO MODULAR INTERNO DE POLIPROPILENO PARA QUADRA POLIESPORTIVA - FORNECIMENTO E INSTALAÇÃO. AF_03/2022</t>
  </si>
  <si>
    <t>REDE DE PROTEÇÃO HORIZONTAL PARA QUADRA POLIESPORTIVA - FORNECIMENTO E INSTALAÇÃO. AF_03/2022</t>
  </si>
  <si>
    <t>REDE DE PROTEÇÃO VERTICAL PARA QUADRA POLIESPORTIVA - FORNECIMENTO E INSTALAÇÃO. AF_03/2022</t>
  </si>
  <si>
    <t>ARMAÇÃO PARA EXECUÇÃO DE RADIER, PISO DE CONCRETO OU LAJE SOBRE SOLO, COM USO DE TELA Q-246. AF_09/2021</t>
  </si>
  <si>
    <t>ARMAÇÃO PARA EXECUÇÃO DE RADIER, PISO DE CONCRETO OU LAJE SOBRE SOLO, COM USO DE TELA Q-396. AF_09/2021</t>
  </si>
  <si>
    <t>EXECUÇÃO DE LAJE SOBRE SOLO, ESPESSURA DE 10 CM, FCK = 30 MPA, COM USO DE FORMAS METÁLICAS. AF_09/2021</t>
  </si>
  <si>
    <t>EXECUÇÃO DE LAJE SOBRE SOLO, ESPESSURA DE 15 CM, FCK = 30 MPA, COM USO DE FORMAS METÁLICAS. AF_09/2021</t>
  </si>
  <si>
    <t>EXECUÇÃO DE LAJE SOBRE SOLO, ESPESSURA DE 20 CM, FCK = 30 MPA, COM USO DE FORMAS METÁLICAS. AF_09/2021</t>
  </si>
  <si>
    <t>EXECUÇÃO DE LAJE SOBRE SOLO, ESPESSURA DE 25 CM, FCK = 30 MPA, COM USO DE FORMAS METÁLICAS. AF_09/2021</t>
  </si>
  <si>
    <t>EXECUÇÃO DE LAJE SOBRE SOLO, ESPESSURA DE 30 CM, FCK = 30 MPA, COM USO DE FORMAS METÁLICAS. AF_09/2021</t>
  </si>
  <si>
    <t>EXECUÇÃO DE PISO DE CONCRETO, COM ACABAMENTO SUPERFICIAL, ESPESSURA DE 15 CM, FCK = 30 MPA, COM USO DE FORMAS METÁLICAS. AF_09/2021</t>
  </si>
  <si>
    <t>EXECUÇÃO DE PISO DE CONCRETO, COM ACABAMENTO SUPERFICIAL, ESPESSURA DE 20 CM, FCK = 30 MPA, COM USO DE FORMAS EM MADEIRA SERRADA. AF_09/2021</t>
  </si>
  <si>
    <t>EXECUÇÃO DE PISO DE CONCRETO, COM ACABAMENTO SUPERFICIAL, ESPESSURA DE 20 CM, FCK = 30 MPA, COM USO DE FORMAS METÁLICAS. AF_09/2021</t>
  </si>
  <si>
    <t>EXECUÇÃO DE PISO DE CONCRETO, COM ACABAMENTO SUPERFICIAL, ESPESSURA DE 25 CM, FCK = 30 MPA, COM USO DE FORMAS EM MADEIRA SERRADA. AF_09/2021</t>
  </si>
  <si>
    <t>EXECUÇÃO DE PISO DE CONCRETO, COM ACABAMENTO SUPERFICIAL, ESPESSURA DE 25 CM, FCK = 30 MPA, COM USO DE FORMAS METÁLICAS. AF_09/2021</t>
  </si>
  <si>
    <t>EXECUÇÃO DE PISO DE CONCRETO, SEM ACABAMENTO SUPERFICIAL, ESPESSURA DE 15 CM, FCK = 30 MPA, COM USO DE FORMAS METÁLICAS. AF_09/2021</t>
  </si>
  <si>
    <t>EXECUÇÃO DE PISO DE CONCRETO, SEM ACABAMENTO SUPERFICIAL, ESPESSURA DE 20 CM, FCK = 30 MPA, COM USO DE FORMAS EM MADEIRA SERRADA. AF_09/2021</t>
  </si>
  <si>
    <t>EXECUÇÃO DE PISO DE CONCRETO, SEM ACABAMENTO SUPERFICIAL, ESPESSURA DE 20 CM, FCK = 30 MPA, COM USO DE FORMAS METÁLICAS. AF_09/2021</t>
  </si>
  <si>
    <t>EXECUÇÃO DE PISO DE CONCRETO, SEM ACABAMENTO SUPERFICIAL, ESPESSURA DE 25 CM, FCK = 30 MPA, COM USO DE FORMAS EM MADEIRA SERRADA. AF_09/2021</t>
  </si>
  <si>
    <t>EXECUÇÃO DE PISO DE CONCRETO, SEM ACABAMENTO SUPERFICIAL, ESPESSURA DE 25 CM, FCK = 30 MPA, COM USO DE FORMAS METÁLICAS. AF_09/2021</t>
  </si>
  <si>
    <t>EXECUÇÃO DE RADIER, ESPESSURA DE 10 CM, FCK = 30 MPA, COM USO DE FORMAS METÁLICAS. AF_09/2021</t>
  </si>
  <si>
    <t>EXECUÇÃO DE RADIER, ESPESSURA DE 15 CM, FCK = 30 MPA, COM USO DE FORMAS METÁLICAS. AF_09/2021</t>
  </si>
  <si>
    <t>EXECUÇÃO DE RADIER, ESPESSURA DE 20 CM, FCK = 30 MPA, COM USO DE FORMAS METÁLICAS. AF_09/2021</t>
  </si>
  <si>
    <t>EXECUÇÃO DE RADIER, ESPESSURA DE 25 CM, FCK = 30 MPA, COM USO DE FORMAS METÁLICAS. AF_09/2021</t>
  </si>
  <si>
    <t>EXECUÇÃO DE RADIER, ESPESSURA DE 30 CM, FCK = 30 MPA, COM USO DE FORMAS METÁLICAS. AF_09/2021</t>
  </si>
  <si>
    <t>MONTAGEM E DESMONTAGEM DE FORMA PARA RADIER, PISO DE CONCRETO OU LAJE SOBRE SOLO, COM SISTEMA DE FORMAS MANUSEÁVEIS METÁLICAS. AF_09/2021</t>
  </si>
  <si>
    <t>EXECUÇÃO DE IMPRIMAÇÃO IMPERMEABILIZANTE COM ASFALTO DILUÍDO CM-30, PARA O FECHAMENTO DE VALAS. AF_05/2021</t>
  </si>
  <si>
    <t>EXECUÇÃO DE PINTURA DE LIGAÇÃO COM EMULSÃO ASFÁLTICA RR-2C, PARA O FECHAMENTO DE VALAS. AF_12/2020</t>
  </si>
  <si>
    <t>EXECUÇÃO DE TAPA BURACO COM APLICAÇÃO DE CONCRETO ASFÁLTICO (AQUISIÇÃO EM USINA) E PINTURA DE LIGAÇÃO. AF_12/2020</t>
  </si>
  <si>
    <t>EXECUÇÃO DE TAPA BURACO COM APLICAÇÃO DE CONCRETO ASFÁLTICO (USINAGEM PRÓPRIA) E PINTURA DE LIGAÇÃO. AF_12/2020</t>
  </si>
  <si>
    <t>EXECUÇÃO DE TAPA BURACO COM APLICAÇÃO DE PRÉ MISTURADO A FRIO (AQUISIÇÃO EM USINA) E PINTURA DE LIGAÇÃO. AF_12/2020</t>
  </si>
  <si>
    <t>EXECUÇÃO DE TAPA BURACO COM APLICAÇÃO DE PRÉ MISTURADO A FRIO (USINAGEM PRÓPRIA) E PINTURA DE LIGAÇÃO. AF_12/2020</t>
  </si>
  <si>
    <t>REASSENTAMENTO DE PARALELEPÍPEDOS, REJUNTAMENTO COM PEDRISCO E EMULSÃO ASFÁLTICA, COM REAPROVEITAMENTO DOS PARALELEPÍPEDOS - INCLUSO RETIRADA E COLOCAÇÃO DO MATERIAL. AF_12/2020</t>
  </si>
  <si>
    <t>REASSENTAMENTO DE PEDRAS POLIÉDRICAS, REJUNTAMENTO COM PEDRISCO E EMULSÃO ASFÁLTICA, COM REAPROVEITAMENTO DAS PEDRAS POLIÉDRICAS - INCLUSO RETIRADA E COLOCAÇÃO DO MATERIAL. AF_12/2020</t>
  </si>
  <si>
    <t>RECOMPOSIÇÃO DE PAVIMENTO EM PARALELEPÍPEDOS, REJUNTAMENTO COM PEDRISCO E EMULSÃO ASFÁLTICA, COM REAPROVEITAMENTO DOS PARALELEPÍPEDOS, PARA O FECHAMENTO DE VALAS - INCLUSO RETIRADA E COLOCAÇÃO DO MATERIAL. AF_12/2020</t>
  </si>
  <si>
    <t>RECOMPOSIÇÃO DE PAVIMENTO EM PEDRAS POLIÉDRICAS, REJUNTAMENTO COM PEDRISCO E EMULSÃO ASFÁLTICA COM REAPROVEITAMENTO DAS PEDRAS POLIÉDRICAS, PARA O FECHAMENTO DE VALAS - INCLUSO RETIRADA E COLOCAÇÃO DO MATERIAL. AF_12/2020</t>
  </si>
  <si>
    <t>RECOMPOSIÇÃO DE REVESTIMENTO EM CONCRETO ASFÁLTICO (USINAGEM PRÓPRIA), PARA O FECHAMENTO DE VALAS - INCLUSO DEMOLIÇÃO DO PAVIMENTO. AF_12/2020</t>
  </si>
  <si>
    <t>RECOMPOSIÇÃO DE REVESTIMENTO EM PRÉ MISTURADO A FRIO (AQUISIÇÃO EM USINA), PARA FECHAMENTO DE VALAS - INCLUSO DEMOLIÇÃO DO PAVIMENTO. AF_12/2020</t>
  </si>
  <si>
    <t>RECOMPOSIÇÃO DE REVESTIMENTO EM PRÉ MISTURADO A FRIO (USINAGEM PRÓPRIA), PARA FECHAMENTO DE VALAS - INCLUSO DEMOLIÇÃO DO PAVIMENTO. AF_12/2020</t>
  </si>
  <si>
    <t>ELETRODUTO FLEXÍVEL CORRUGADO, PEAD, DN 125 (5"), PARA REDE ENTERRADA DE DISTRIBUIÇÃO DE ENERGIA ELÉTRICA - FORNECIMENTO E INSTALAÇÃO. AF_12/2021</t>
  </si>
  <si>
    <t>ELETRODUTO FLEXÍVEL CORRUGADO, PEAD, DN 150 (6"), PARA REDE ENTERRADA DE DISTRIBUIÇÃO DE ENERGIA ELÉTRICA - FORNECIMENTO E INSTALAÇÃO. AF_12/2021</t>
  </si>
  <si>
    <t>ELETRODUTO FLEXÍVEL CORRUGADO, PEAD, DN 175 (7"), PARA REDE ENTERRADA DE DISTRIBUIÇÃO DE ENERGIA ELÉTRICA - FORNECIMENTO E INSTALAÇÃO. AF_12/2021</t>
  </si>
  <si>
    <t>ELETRODUTO FLEXÍVEL CORRUGADO, PEAD, DN 200 (8"), PARA REDE ENTERRADA DE DISTRIBUIÇÃO DE ENERGIA ELÉTRICA - FORNECIMENTO E INSTALAÇÃO. AF_12/2021</t>
  </si>
  <si>
    <t>FITA DE SINALIZAÇÃO SUBTERRÂNEA PARA REDE ENTERRADA DE DISTRIBUIÇÃO DE ENERGIA ELÉTRICA - FORNECIMENTO E INSTALAÇÃO. AF_12/2021</t>
  </si>
  <si>
    <t>EXECUÇÃO DE JUNTA SOLDADA POR ELETROFUSÃO, DE TUBO OU CONEXÃO EM PEAD LISO PARA REDE DE ÁGUA OU ESGOTO, DIÂMETRO DE 1000 MM (NÃO INCLUI O FORNECIMENTO DE TUBO E CONEXÃO). AF_12/2021</t>
  </si>
  <si>
    <t>EXECUÇÃO DE JUNTA SOLDADA POR ELETROFUSÃO, DE TUBO OU CONEXÃO EM PEAD LISO PARA REDE DE ÁGUA OU ESGOTO, DIÂMETRO DE 110 MM (NÃO INCLUI O FORNECIMENTO DE TUBO E CONEXÃO). AF_12/2021</t>
  </si>
  <si>
    <t>EXECUÇÃO DE JUNTA SOLDADA POR ELETROFUSÃO, DE TUBO OU CONEXÃO EM PEAD LISO PARA REDE DE ÁGUA OU ESGOTO, DIÂMETRO DE 1200 MM (NÃO INCLUI O FORNECIMENTO DE TUBO E CONEXÃO). AF_12/2021</t>
  </si>
  <si>
    <t>EXECUÇÃO DE JUNTA SOLDADA POR ELETROFUSÃO, DE TUBO OU CONEXÃO EM PEAD LISO PARA REDE DE ÁGUA OU ESGOTO, DIÂMETRO DE 1400 MM (NÃO INCLUI O FORNECIMENTO DE TUBO E CONEXÃO). AF_12/2021</t>
  </si>
  <si>
    <t>EXECUÇÃO DE JUNTA SOLDADA POR ELETROFUSÃO, DE TUBO OU CONEXÃO EM PEAD LISO PARA REDE DE ÁGUA OU ESGOTO, DIÂMETRO DE 160 MM (NÃO INCLUI O FORNECIMENTO DE TUBO E CONEXÃO). AF_12/2021</t>
  </si>
  <si>
    <t>EXECUÇÃO DE JUNTA SOLDADA POR ELETROFUSÃO, DE TUBO OU CONEXÃO EM PEAD LISO PARA REDE DE ÁGUA OU ESGOTO, DIÂMETRO DE 1600 MM (NÃO INCLUI O FORNECIMENTO DE TUBO E CONEXÃO). AF_12/2021</t>
  </si>
  <si>
    <t>EXECUÇÃO DE JUNTA SOLDADA POR ELETROFUSÃO, DE TUBO OU CONEXÃO EM PEAD LISO PARA REDE DE ÁGUA OU ESGOTO, DIÂMETRO DE 180 MM (NÃO INCLUI O FORNECIMENTO DE TUBO E CONEXÃO). AF_12/2021</t>
  </si>
  <si>
    <t>EXECUÇÃO DE JUNTA SOLDADA POR ELETROFUSÃO, DE TUBO OU CONEXÃO EM PEAD LISO PARA REDE DE ÁGUA OU ESGOTO, DIÂMETRO DE 20 MM (NÃO INCLUI O FORNECIMENTO DE TUBO E CONEXÃO). AF_12/2021</t>
  </si>
  <si>
    <t>EXECUÇÃO DE JUNTA SOLDADA POR ELETROFUSÃO, DE TUBO OU CONEXÃO EM PEAD LISO PARA REDE DE ÁGUA OU ESGOTO, DIÂMETRO DE 200 MM (NÃO INCLUI O FORNECIMENTO DE TUBO E CONEXÃO). AF_12/2021</t>
  </si>
  <si>
    <t>EXECUÇÃO DE JUNTA SOLDADA POR ELETROFUSÃO, DE TUBO OU CONEXÃO EM PEAD LISO PARA REDE DE ÁGUA OU ESGOTO, DIÂMETRO DE 225 MM (NÃO INCLUI O FORNECIMENTO DE TUBO E CONEXÃO). AF_12/2021</t>
  </si>
  <si>
    <t>EXECUÇÃO DE JUNTA SOLDADA POR ELETROFUSÃO, DE TUBO OU CONEXÃO EM PEAD LISO PARA REDE DE ÁGUA OU ESGOTO, DIÂMETRO DE 250 MM (NÃO INCLUI O FORNECIMENTO DE TUBO E CONEXÃO). AF_12/2021</t>
  </si>
  <si>
    <t>EXECUÇÃO DE JUNTA SOLDADA POR ELETROFUSÃO, DE TUBO OU CONEXÃO EM PEAD LISO PARA REDE DE ÁGUA OU ESGOTO, DIÂMETRO DE 280 MM (NÃO INCLUI O FORNECIMENTO DE TUBO E CONEXÃO). AF_12/2021</t>
  </si>
  <si>
    <t>EXECUÇÃO DE JUNTA SOLDADA POR ELETROFUSÃO, DE TUBO OU CONEXÃO EM PEAD LISO PARA REDE DE ÁGUA OU ESGOTO, DIÂMETRO DE 315 MM (NÃO INCLUI O FORNECIMENTO DE TUBO E CONEXÃO). AF_12/2021</t>
  </si>
  <si>
    <t>EXECUÇÃO DE JUNTA SOLDADA POR ELETROFUSÃO, DE TUBO OU CONEXÃO EM PEAD LISO PARA REDE DE ÁGUA OU ESGOTO, DIÂMETRO DE 32 MM (NÃO INCLUI O FORNECIMENTO DE TUBO E CONEXÃO). AF_12/2021</t>
  </si>
  <si>
    <t>EXECUÇÃO DE JUNTA SOLDADA POR ELETROFUSÃO, DE TUBO OU CONEXÃO EM PEAD LISO PARA REDE DE ÁGUA OU ESGOTO, DIÂMETRO DE 355 MM (NÃO INCLUI O FORNECIMENTO DE TUBO E CONEXÃO). AF_12/2021</t>
  </si>
  <si>
    <t>EXECUÇÃO DE JUNTA SOLDADA POR ELETROFUSÃO, DE TUBO OU CONEXÃO EM PEAD LISO PARA REDE DE ÁGUA OU ESGOTO, DIÂMETRO DE 400 MM (NÃO INCLUI O FORNECIMENTO DE TUBO E CONEXÃO). AF_12/2021</t>
  </si>
  <si>
    <t>EXECUÇÃO DE JUNTA SOLDADA POR ELETROFUSÃO, DE TUBO OU CONEXÃO EM PEAD LISO PARA REDE DE ÁGUA OU ESGOTO, DIÂMETRO DE 450 MM (NÃO INCLUI O FORNECIMENTO DE TUBO E CONEXÃO). AF_12/2021</t>
  </si>
  <si>
    <t>EXECUÇÃO DE JUNTA SOLDADA POR ELETROFUSÃO, DE TUBO OU CONEXÃO EM PEAD LISO PARA REDE DE ÁGUA OU ESGOTO, DIÂMETRO DE 500 MM (NÃO INCLUI O FORNECIMENTO DE TUBO E CONEXÃO). AF_12/2021</t>
  </si>
  <si>
    <t>EXECUÇÃO DE JUNTA SOLDADA POR ELETROFUSÃO, DE TUBO OU CONEXÃO EM PEAD LISO PARA REDE DE ÁGUA OU ESGOTO, DIÂMETRO DE 560 MM (NÃO INCLUI O FORNECIMENTO DE TUBO E CONEXÃO). AF_12/2021</t>
  </si>
  <si>
    <t>EXECUÇÃO DE JUNTA SOLDADA POR ELETROFUSÃO, DE TUBO OU CONEXÃO EM PEAD LISO PARA REDE DE ÁGUA OU ESGOTO, DIÂMETRO DE 63 MM (NÃO INCLUI O FORNECIMENTO DE TUBO E CONEXÃO). AF_12/2021</t>
  </si>
  <si>
    <t>EXECUÇÃO DE JUNTA SOLDADA POR ELETROFUSÃO, DE TUBO OU CONEXÃO EM PEAD LISO PARA REDE DE ÁGUA OU ESGOTO, DIÂMETRO DE 630 MM (NÃO INCLUI O FORNECIMENTO DE TUBO E CONEXÃO). AF_12/2021</t>
  </si>
  <si>
    <t>EXECUÇÃO DE JUNTA SOLDADA POR ELETROFUSÃO, DE TUBO OU CONEXÃO EM PEAD LISO PARA REDE DE ÁGUA OU ESGOTO, DIÂMETRO DE 710 MM (NÃO INCLUI O FORNECIMENTO DE TUBO E CONEXÃO). AF_12/2021</t>
  </si>
  <si>
    <t>EXECUÇÃO DE JUNTA SOLDADA POR ELETROFUSÃO, DE TUBO OU CONEXÃO EM PEAD LISO PARA REDE DE ÁGUA OU ESGOTO, DIÂMETRO DE 800 MM (NÃO INCLUI O FORNECIMENTO DE TUBO E CONEXÃO). AF_12/2021</t>
  </si>
  <si>
    <t>EXECUÇÃO DE JUNTA SOLDADA POR ELETROFUSÃO, DE TUBO OU CONEXÃO EM PEAD LISO PARA REDE DE ÁGUA OU ESGOTO, DIÂMETRO DE 90 MM (NÃO INCLUI O FORNECIMENTO DE TUBO E CONEXÃO). AF_12/2021</t>
  </si>
  <si>
    <t>EXECUÇÃO DE JUNTA SOLDADA POR ELETROFUSÃO, DE TUBO OU CONEXÃO EM PEAD LISO PARA REDE DE ÁGUA OU ESGOTO, DIÂMETRO DE 900 MM (NÃO INCLUI O FORNECIMENTO DE TUBO E CONEXÃO). AF_12/2021</t>
  </si>
  <si>
    <t>EXECUÇÃO DE JUNTA SOLDADA POR TERMOFUSÃO, DE TUBO OU CONEXÃO EM PEAD LISO PARA REDE DE ÁGUA OU ESGOTO, DIÂMETRO DE 1000 MM (NÃO INCLUI O FORNECIMENTO DE TUBO E CONEXÃO). AF_12/2021</t>
  </si>
  <si>
    <t>EXECUÇÃO DE JUNTA SOLDADA POR TERMOFUSÃO, DE TUBO OU CONEXÃO EM PEAD LISO PARA REDE DE ÁGUA OU ESGOTO, DIÂMETRO DE 1200 MM (NÃO INCLUI O FORNECIMENTO DE TUBO E CONEXÃO). AF_12/2021</t>
  </si>
  <si>
    <t>EXECUÇÃO DE JUNTA SOLDADA POR TERMOFUSÃO, DE TUBO OU CONEXÃO EM PEAD LISO PARA REDE DE ÁGUA OU ESGOTO, DIÂMETRO DE 160 MM (NÃO INCLUI O FORNECIMENTO DE TUBO E CONEXÃO). AF_12/2021</t>
  </si>
  <si>
    <t>EXECUÇÃO DE JUNTA SOLDADA POR TERMOFUSÃO, DE TUBO OU CONEXÃO EM PEAD LISO PARA REDE DE ÁGUA OU ESGOTO, DIÂMETRO DE 180 MM (NÃO INCLUI O FORNECIMENTO DE TUBO E CONEXÃO). AF_12/2021</t>
  </si>
  <si>
    <t>EXECUÇÃO DE JUNTA SOLDADA POR TERMOFUSÃO, DE TUBO OU CONEXÃO EM PEAD LISO PARA REDE DE ÁGUA OU ESGOTO, DIÂMETRO DE 200 MM (NÃO INCLUI O FORNECIMENTO DE TUBO E CONEXÃO). AF_12/2021</t>
  </si>
  <si>
    <t>EXECUÇÃO DE JUNTA SOLDADA POR TERMOFUSÃO, DE TUBO OU CONEXÃO EM PEAD LISO PARA REDE DE ÁGUA OU ESGOTO, DIÂMETRO DE 225 MM (NÃO INCLUI O FORNECIMENTO DE TUBO E CONEXÃO). AF_12/2021</t>
  </si>
  <si>
    <t>EXECUÇÃO DE JUNTA SOLDADA POR TERMOFUSÃO, DE TUBO OU CONEXÃO EM PEAD LISO PARA REDE DE ÁGUA OU ESGOTO, DIÂMETRO DE 250 MM (NÃO INCLUI O FORNECIMENTO DE TUBO E CONEXÃO). AF_12/2021</t>
  </si>
  <si>
    <t>EXECUÇÃO DE JUNTA SOLDADA POR TERMOFUSÃO, DE TUBO OU CONEXÃO EM PEAD LISO PARA REDE DE ÁGUA OU ESGOTO, DIÂMETRO DE 280 MM (NÃO INCLUI O FORNECIMENTO DE TUBO E CONEXÃO). AF_12/2021</t>
  </si>
  <si>
    <t>EXECUÇÃO DE JUNTA SOLDADA POR TERMOFUSÃO, DE TUBO OU CONEXÃO EM PEAD LISO PARA REDE DE ÁGUA OU ESGOTO, DIÂMETRO DE 315 MM (NÃO INCLUI O FORNECIMENTO DE TUBO E CONEXÃO). AF_12/2021</t>
  </si>
  <si>
    <t>EXECUÇÃO DE JUNTA SOLDADA POR TERMOFUSÃO, DE TUBO OU CONEXÃO EM PEAD LISO PARA REDE DE ÁGUA OU ESGOTO, DIÂMETRO DE 355 MM (NÃO INCLUI O FORNECIMENTO DE TUBO E CONEXÃO). AF_12/2021</t>
  </si>
  <si>
    <t>EXECUÇÃO DE JUNTA SOLDADA POR TERMOFUSÃO, DE TUBO OU CONEXÃO EM PEAD LISO PARA REDE DE ÁGUA OU ESGOTO, DIÂMETRO DE 400 MM (NÃO INCLUI O FORNECIMENTO DE TUBO E CONEXÃO). AF_12/2021</t>
  </si>
  <si>
    <t>EXECUÇÃO DE JUNTA SOLDADA POR TERMOFUSÃO, DE TUBO OU CONEXÃO EM PEAD LISO PARA REDE DE ÁGUA OU ESGOTO, DIÂMETRO DE 450 MM (NÃO INCLUI O FORNECIMENTO DE TUBO E CONEXÃO). AF_12/2021</t>
  </si>
  <si>
    <t>EXECUÇÃO DE JUNTA SOLDADA POR TERMOFUSÃO, DE TUBO OU CONEXÃO EM PEAD LISO PARA REDE DE ÁGUA OU ESGOTO, DIÂMETRO DE 500 MM (NÃO INCLUI O FORNECIMENTO DE TUBO E CONEXÃO). AF_12/2021</t>
  </si>
  <si>
    <t>EXECUÇÃO DE JUNTA SOLDADA POR TERMOFUSÃO, DE TUBO OU CONEXÃO EM PEAD LISO PARA REDE DE ÁGUA OU ESGOTO, DIÂMETRO DE 560 MM (NÃO INCLUI O FORNECIMENTO DE TUBO E CONEXÃO). AF_12/2021</t>
  </si>
  <si>
    <t>EXECUÇÃO DE JUNTA SOLDADA POR TERMOFUSÃO, DE TUBO OU CONEXÃO EM PEAD LISO PARA REDE DE ÁGUA OU ESGOTO, DIÂMETRO DE 630 MM (NÃO INCLUI O FORNECIMENTO DE TUBO E CONEXÃO). AF_12/2021</t>
  </si>
  <si>
    <t>EXECUÇÃO DE JUNTA SOLDADA POR TERMOFUSÃO, DE TUBO OU CONEXÃO EM PEAD LISO PARA REDE DE ÁGUA OU ESGOTO, DIÂMETRO DE 710 MM (NÃO INCLUI O FORNECIMENTO DE TUBO E CONEXÃO). AF_12/2021</t>
  </si>
  <si>
    <t>EXECUÇÃO DE JUNTA SOLDADA POR TERMOFUSÃO, DE TUBO OU CONEXÃO EM PEAD LISO PARA REDE DE ÁGUA OU ESGOTO, DIÂMETRO DE 800 MM (NÃO INCLUI O FORNECIMENTO DE TUBO E CONEXÃO). AF_12/2021</t>
  </si>
  <si>
    <t>EXECUÇÃO DE JUNTA SOLDADA POR TERMOFUSÃO, DE TUBO OU CONEXÃO EM PEAD LISO PARA REDE DE ÁGUA OU ESGOTO, DIÂMETRO DE 900 MM (NÃO INCLUI O FORNECIMENTO DE TUBO E CONEXÃO). AF_12/2021</t>
  </si>
  <si>
    <t>TUBO PEAD LISO PARA REDE DE ÁGUA OU ESGOTO, DIÂMETRO DE 1200 MM, JUNTA SOLDADA (NÃO INCLUI A EXECUÇÃO DE SOLDA) - FORNECIMENTO E ASSENTAMENTO. AF_12/2021</t>
  </si>
  <si>
    <t>TUBO PEAD LISO PARA REDE DE ÁGUA OU ESGOTO, DIÂMETRO DE 1400 MM, JUNTA SOLDADA (NÃO INCLUI A EXECUÇÃO DE SOLDA) - FORNECIMENTO E ASSENTAMENTO. AF_12/2021</t>
  </si>
  <si>
    <t>TUBO PEAD LISO PARA REDE DE ÁGUA OU ESGOTO, DIÂMETRO DE 1600 MM, JUNTA SOLDADA (NÃO INCLUI A EXECUÇÃO DE SOLDA) - FORNECIMENTO E ASSENTAMENTO. AF_12/2021</t>
  </si>
  <si>
    <t>TUBO PEAD LISO PARA REDE DE ÁGUA OU ESGOTO, DIÂMETRO DE 180 MM, JUNTA SOLDADA (NÃO INCLUI A EXECUÇÃO DE SOLDA) - FORNECIMENTO E ASSENTAMENTO. AF_12/2021</t>
  </si>
  <si>
    <t>TUBO PEAD LISO PARA REDE DE ÁGUA OU ESGOTO, DIÂMETRO DE 225 MM, JUNTA SOLDADA (NÃO INCLUI A EXECUÇÃO DE SOLDA) - FORNECIMENTO E ASSENTAMENTO. AF_12/2021</t>
  </si>
  <si>
    <t>TUBO PEAD LISO PARA REDE DE ÁGUA OU ESGOTO, DIÂMETRO DE 250 MM, JUNTA SOLDADA (NÃO INCLUI A EXECUÇÃO DE SOLDA) - FORNECIMENTO E ASSENTAMENTO. AF_12/2021</t>
  </si>
  <si>
    <t>TUBO PEAD LISO PARA REDE DE ÁGUA OU ESGOTO, DIÂMETRO DE 280 MM, JUNTA SOLDADA (NÃO INCLUI A EXECUÇÃO DE SOLDA) - FORNECIMENTO E ASSENTAMENTO. AF_12/2021</t>
  </si>
  <si>
    <t>TUBO PEAD LISO PARA REDE DE ÁGUA OU ESGOTO, DIÂMETRO DE 355 MM, JUNTA SOLDADA (NÃO INCLUI A EXECUÇÃO DE SOLDA) - FORNECIMENTO E ASSENTAMENTO. AF_12/2021</t>
  </si>
  <si>
    <t>TUBO PEAD LISO PARA REDE DE ÁGUA OU ESGOTO, DIÂMETRO DE 450 MM, JUNTA SOLDADA (NÃO INCLUI A EXECUÇÃO DE SOLDA) - FORNECIMENTO E ASSENTAMENTO. AF_12/2021</t>
  </si>
  <si>
    <t>TUBO PEAD LISO PARA REDE DE ÁGUA OU ESGOTO, DIÂMETRO DE 560 MM, JUNTA SOLDADA (NÃO INCLUI A EXECUÇÃO DE SOLDA) - FORNECIMENTO E ASSENTAMENTO. AF_12/2021</t>
  </si>
  <si>
    <t>TUBO PEAD LISO PARA REDE DE ÁGUA OU ESGOTO, DIÂMETRO DE 63 MM, JUNTA SOLDADA (NÃO INCLUI A EXECUÇÃO DE SOLDA) - FORNECIMENTO E ASSENTAMENTO. AF_12/2021</t>
  </si>
  <si>
    <t>TUBO PEAD LISO PARA REDE DE ÁGUA OU ESGOTO, DIÂMETRO DE 710 MM, JUNTA SOLDADA (NÃO INCLUI A EXECUÇÃO DE SOLDA) - FORNECIMENTO E ASSENTAMENTO. AF_12/2021</t>
  </si>
  <si>
    <t>TUBO PEAD LISO PARA REDE DE ÁGUA OU ESGOTO, DIÂMETRO DE 90 MM, JUNTA SOLDADA (NÃO INCLUI A EXECUÇÃO DE SOLDA) - FORNECIMENTO E ASSENTAMENTO. AF_12/2021</t>
  </si>
  <si>
    <t>FORNECIMENTO E INSTALAÇÃO DE BALIZADOR SOBRE ASFALTO. AF_03/2022</t>
  </si>
  <si>
    <t>FORNECIMENTO E INSTALAÇÃO DE BARREIRA DE CONCRETO PERFIL NEW JERSEY DUPLA - 1070 MM. AF_03/2022</t>
  </si>
  <si>
    <t>FORNECIMENTO E INSTALAÇÃO DE BARREIRA DE CONCRETO PERFIL NEW JERSEY DUPLA - 810 MM. AF_03/2022</t>
  </si>
  <si>
    <t>FORNECIMENTO E INSTALAÇÃO DE BARREIRA DE CONCRETO PERFIL NEW JERSEY SIMPLES - 1070 MM. AF_03/2022</t>
  </si>
  <si>
    <t>FORNECIMENTO E INSTALAÇÃO DE BARREIRA DE CONCRETO PERFIL NEW JERSEY SIMPLES - 810 MM. AF_03/2022</t>
  </si>
  <si>
    <t>FORNECIMENTO E INSTALAÇÃO DE BARREIRA DE CONCRETO PERFIL TIPO F DUPLA - 1070 MM. AF_03/2022</t>
  </si>
  <si>
    <t>FORNECIMENTO E INSTALAÇÃO DE BARREIRA DE CONCRETO PERFIL TIPO F DUPLA - 810 MM. AF_03/2022</t>
  </si>
  <si>
    <t>FORNECIMENTO E INSTALAÇÃO DE BARREIRA DE CONCRETO PERFIL TIPO F SIMPLES - 1070 MM. AF_03/2022</t>
  </si>
  <si>
    <t>FORNECIMENTO E INSTALAÇÃO DE BARREIRA DE CONCRETO PERFIL TIPO F SIMPLES - 810 MM. AF_03/2022</t>
  </si>
  <si>
    <t>FORNECIMENTO E INSTALAÇÃO DE BATE RODAS SOBRE ASFALTO. AF_03/2022</t>
  </si>
  <si>
    <t>FORNECIMENTO E INSTALAÇÃO DE CALOTA SOBRE ASFALTO. AF_03/2022</t>
  </si>
  <si>
    <t>FORNECIMENTO E INSTALAÇÃO DE DEFENSA METÁLICA MALEÁVEL DUPLA, SOBRE SOLO. AF_03/2022</t>
  </si>
  <si>
    <t>FORNECIMENTO E INSTALAÇÃO DE DEFENSA METÁLICA MALEÁVEL SIMPLES, SOBRE SOLO. AF_03/2022</t>
  </si>
  <si>
    <t>FORNECIMENTO E INSTALAÇÃO DE DEFENSA METÁLICA SEMI MALEÁVEL DUPLA, SOBRE SOLO. AF_03/2022</t>
  </si>
  <si>
    <t>FORNECIMENTO E INSTALAÇÃO DE DEFENSA METÁLICA SEMI MALEÁVEL SIMPLES (ANCORAGEM), SOBRE SOLO. AF_03/2022</t>
  </si>
  <si>
    <t>FORNECIMENTO E INSTALAÇÃO DE DEFENSA METÁLICA SEMI MALEÁVEL SIMPLES, SOBRE SOLO. AF_03/2022</t>
  </si>
  <si>
    <t>FORNECIMENTO E INSTALAÇÃO DE DEFENSA METÁLICA SEMI-MALEAVEL DUPLA (ANCORAGEM), SOBRE SOLO. AF_03/2022</t>
  </si>
  <si>
    <t>FORNECIMENTO E INSTALAÇÃO DE DEFENSA METÁLICA TRIPLA ONDA DUPLA, SOBRE SOLO. AF_03/2022</t>
  </si>
  <si>
    <t>FORNECIMENTO E INSTALAÇÃO DE DEFENSA METÁLICA TRIPLA ONDA SIMPLES, SOBRE SOLO. AF_03/2022</t>
  </si>
  <si>
    <t>FORNECIMENTO E INSTALAÇÃO DE LOMBADA SOBRE ASFALTO. AF_03/2022</t>
  </si>
  <si>
    <t>FORNECIMENTO E INSTALAÇÃO DE PRISMA SOBRE ASFALTO. AF_03/2022</t>
  </si>
  <si>
    <t>FORNECIMENTO E INSTALAÇÃO DE SEGREGADOR SOBRE ASFALTO. AF_03/2022</t>
  </si>
  <si>
    <t>FORNECIMENTO E INSTALAÇÃO DE TACHA SOBRE ASFALTO. AF_03/2022</t>
  </si>
  <si>
    <t>FORNECIMENTO E INSTALAÇÃO DE TACHÃO SOBRE ASFALTO. AF_03/2022</t>
  </si>
  <si>
    <t>FORNECIMENTO E INSTALAÇÃO DE TERMINAL DE ANCORAGEM DE DEFENSA METÁLICA, EM BARREIRA DE CONCRETO. AF_03/2022</t>
  </si>
  <si>
    <t>FORNECIMENTO E INSTALAÇÃO DE PLACA DE SINALIZAÇÃO EM CHAPA DE ALUMÍNIO EM SUPORTE DE CONCRETO. AF_03/2022</t>
  </si>
  <si>
    <t>FORNECIMENTO E INSTALAÇÃO DE PLACA DE SINALIZAÇÃO EM CHAPA DE ALUMÍNIO EM SUPORTE DE MADEIRA. AF_03/2022</t>
  </si>
  <si>
    <t>FORNECIMENTO E INSTALAÇÃO DE PLACA DE SINALIZAÇÃO EM CHAPA DE ALUMÍNIO EM SUPORTE METÁLICO. AF_03/2022</t>
  </si>
  <si>
    <t>FORNECIMENTO E INSTALAÇÃO DE PLACA DE SINALIZAÇÃO EM CHAPA DE AÇO EM SUPORTE DE CONCRETO. AF_03/2022</t>
  </si>
  <si>
    <t>FORNECIMENTO E INSTALAÇÃO DE PLACA DE SINALIZAÇÃO EM CHAPA DE AÇO EM SUPORTE DE MADEIRA. AF_03/2022</t>
  </si>
  <si>
    <t>FORNECIMENTO E INSTALAÇÃO DE PLACA DE SINALIZAÇÃO EM CHAPA DE AÇO EM SUPORTE METÁLICO. AF_03/2022</t>
  </si>
  <si>
    <t>FORNECIMENTO E INSTALAÇÃO DE PLACA DE SINALIZAÇÃO EM PÓRTICO E SEMI-PÓRTICO. AF_03/2022</t>
  </si>
  <si>
    <t>FORNECIMENTO E INSTALAÇÃO DE PÓRTICO METÁLICO COM VÃO DE 10,3 M. AF_03/2022</t>
  </si>
  <si>
    <t>FORNECIMENTO E INSTALAÇÃO DE PÓRTICO METÁLICO COM VÃO DE 11,4 M. AF_03/2022</t>
  </si>
  <si>
    <t>FORNECIMENTO E INSTALAÇÃO DE PÓRTICO METÁLICO COM VÃO DE 12,5 M. AF_03/2022</t>
  </si>
  <si>
    <t>FORNECIMENTO E INSTALAÇÃO DE PÓRTICO METÁLICO COM VÃO DE 13,6 M. AF_03/2022</t>
  </si>
  <si>
    <t>FORNECIMENTO E INSTALAÇÃO DE PÓRTICO METÁLICO COM VÃO DE 14,8 M. AF_03/2022</t>
  </si>
  <si>
    <t>FORNECIMENTO E INSTALAÇÃO DE PÓRTICO METÁLICO COM VÃO DE 15,9 M. AF_03/2022</t>
  </si>
  <si>
    <t>FORNECIMENTO E INSTALAÇÃO DE PÓRTICO METÁLICO COM VÃO DE 17 M. AF_03/2022</t>
  </si>
  <si>
    <t>FORNECIMENTO E INSTALAÇÃO DE PÓRTICO METÁLICO COM VÃO DE 18,1 M. AF_03/2022</t>
  </si>
  <si>
    <t>FORNECIMENTO E INSTALAÇÃO DE PÓRTICO METÁLICO COM VÃO DE 19,2 M. AF_03/2022</t>
  </si>
  <si>
    <t>FORNECIMENTO E INSTALAÇÃO DE PÓRTICO METÁLICO COM VÃO DE 20,3 M. AF_03/2022</t>
  </si>
  <si>
    <t>FORNECIMENTO E INSTALAÇÃO DE PÓRTICO METÁLICO COM VÃO DE 21,5 M. AF_03/2022</t>
  </si>
  <si>
    <t>FORNECIMENTO E INSTALAÇÃO DE PÓRTICO METÁLICO COM VÃO DE 22,6 M. AF_03/2022</t>
  </si>
  <si>
    <t>FORNECIMENTO E INSTALAÇÃO DE PÓRTICO METÁLICO COM VÃO DE 23,7 M. AF_03/2022</t>
  </si>
  <si>
    <t>FORNECIMENTO E INSTALAÇÃO DE PÓRTICO METÁLICO COM VÃO DE 24,8 M. AF_03/2022</t>
  </si>
  <si>
    <t>FORNECIMENTO E INSTALAÇÃO DE PÓRTICO METÁLICO COM VÃO DE 26 M. AF_03/2022</t>
  </si>
  <si>
    <t>FORNECIMENTO E INSTALAÇÃO DE PÓRTICO METÁLICO COM VÃO DE 27,1 M. AF_03/2022</t>
  </si>
  <si>
    <t>FORNECIMENTO E INSTALAÇÃO DE PÓRTICO METÁLICO COM VÃO DE 9,2 M. AF_03/2022</t>
  </si>
  <si>
    <t>FORNECIMENTO E INSTALAÇÃO DE SEMI PÓRTICO DUPLO METÁLICO COM VÃO DE 2,7 M. AF_03/2022</t>
  </si>
  <si>
    <t>FORNECIMENTO E INSTALAÇÃO DE SEMI PÓRTICO DUPLO METÁLICO COM VÃO DE 3,8 M. AF_03/2022</t>
  </si>
  <si>
    <t>FORNECIMENTO E INSTALAÇÃO DE SEMI PÓRTICO DUPLO METÁLICO COM VÃO DE 4,9 M. AF_03/2022</t>
  </si>
  <si>
    <t>FORNECIMENTO E INSTALAÇÃO DE SEMI PÓRTICO DUPLO METÁLICO COM VÃO DE 6 M. AF_03/2022</t>
  </si>
  <si>
    <t>FORNECIMENTO E INSTALAÇÃO DE SEMI PÓRTICO DUPLO METÁLICO COM VÃO DE 7,2 M. AF_03/2022</t>
  </si>
  <si>
    <t>FORNECIMENTO E INSTALAÇÃO DE SEMI PÓRTICO DUPLO METÁLICO COM VÃO DE 8,3 M. AF_03/2022</t>
  </si>
  <si>
    <t>FORNECIMENTO E INSTALAÇÃO DE SEMI PÓRTICO METÁLICO COM VÃO DE 2,7 M. AF_03/2022</t>
  </si>
  <si>
    <t>FORNECIMENTO E INSTALAÇÃO DE SEMI PÓRTICO METÁLICO COM VÃO DE 3,8 M. AF_03/2022</t>
  </si>
  <si>
    <t>FORNECIMENTO E INSTALAÇÃO DE SEMI PÓRTICO METÁLICO COM VÃO DE 4,9 M. AF_03/2022</t>
  </si>
  <si>
    <t>FORNECIMENTO E INSTALAÇÃO DE SEMI PÓRTICO METÁLICO COM VÃO DE 6 M. AF_03/2022</t>
  </si>
  <si>
    <t>FORNECIMENTO E INSTALAÇÃO DE SEMI PÓRTICO METÁLICO COM VÃO DE 7,2 M. AF_03/2022</t>
  </si>
  <si>
    <t>FORNECIMENTO E INSTALAÇÃO DE SEMI PÓRTICO METÁLICO COM VÃO DE 8,3 M. AF_03/2022</t>
  </si>
  <si>
    <t>FORNECIMENTO E INSTALAÇÃO DE SUPORTE METÁLICO GALVANIZADO PARA PLACAS DE SINALIZAÇÃO EM SOLO, COM H= DE 2,5 M E DIÂMETRO DE 2''. AF_03/2022</t>
  </si>
  <si>
    <t>FORNECIMENTO E INSTALAÇÃO DE SUPORTE METÁLICO GALVANIZADO PARA PLACAS DE SINALIZAÇÃO, EM BASE DE CONCRETO, COM H= DE 2,0 M E DIÂMETRO DE 2''. AF_03/2022</t>
  </si>
  <si>
    <t>FORNECIMENTO E INSTALAÇÃO DE SUPORTE METÁLICO GALVANIZADO PARA PLACAS DE SINALIZAÇÃO, EM BASE DE CONCRETO, COM H= DE 2,5 M E DIÂMETRO DE 2''. AF_03/2022</t>
  </si>
  <si>
    <t>FORNECIMENTO E INSTALAÇÃO DE SUPORTE METÁLICO GALVANIZADO PARA PLACAS DE SINALIZAÇÃO, EM SOLO, COM H= DE 2,0 M E DIÂMETRO DE 2''. AF_03/2022</t>
  </si>
  <si>
    <t>CONECTOR SPLIT-BOLT, PARA SPDA, PARA CABOS DE 16 A 70 MM2 - FORNECIMENTO E INSTALAÇÃO. AF_08/2023</t>
  </si>
  <si>
    <t>CONJUNTO DE ESTAIAMENTO PARA MASTRO DE SPDA (COMPRIMENTO DOS ESTAIS = 12 M) - FORNECIMENTO E INSTALAÇÃO. AF_08/2023</t>
  </si>
  <si>
    <t>CONJUNTO DE ESTAIAMENTO PARA MASTRO DE SPDA (COMPRIMENTO DOS ESTAIS = 2 M) - FORNECIMENTO E INSTALAÇÃO. AF_08/2023</t>
  </si>
  <si>
    <t>CONJUNTO DE ESTAIAMENTO PARA MASTRO DE SPDA (COMPRIMENTO DOS ESTAIS = 4 M) - FORNECIMENTO E INSTALAÇÃO. AF_08/2023</t>
  </si>
  <si>
    <t>CONJUNTO DE ESTAIAMENTO PARA MASTRO DE SPDA (COMPRIMENTO DOS ESTAIS = 8 M) - FORNECIMENTO E INSTALAÇÃO. AF_08/2023</t>
  </si>
  <si>
    <t>CONJUNTO PARA-RAIOS TIPO FRANKLIN PARA SPDA (INCLUSO BASE METÁLICA, MASTRO COM 6 M, CAPTOR FRANKLIN E CONJUNTO DE ESTAIAMENTO COM 3 ESTAIS FLEXÍVEIS DE 4 M) - FORNECIMENTO E INSTALAÇÃO. AF_08/2023</t>
  </si>
  <si>
    <t>CORDOALHA DE COBRE NU 35 MM², NÃO ENTERRADA, COM PRESILHA - FORNECIMENTO E INSTALAÇÃO. AF_08/2023</t>
  </si>
  <si>
    <t>CORDOALHA DE COBRE NU 50 MM², NÃO ENTERRADA, COM PRESILHA - FORNECIMENTO E INSTALAÇÃO. AF_08/2023</t>
  </si>
  <si>
    <t>CORDOALHA DE COBRE NU 70 MM², NÃO ENTERRADA, COM PRESILHA - FORNECIMENTO E INSTALAÇÃO. AF_08/2023</t>
  </si>
  <si>
    <t>FITA DE ALUMÍNIO 70 MM² PARA SPDA - FORNECIMENTO E INSTALAÇÃO. AF_08/2023</t>
  </si>
  <si>
    <t>PRESILHA PARA FIXAÇÃO DE CORDOALHA NÃO ENTERRADA PARA SPDA - FORNECIMENTO E INSTALAÇÃO. AF_08/2023</t>
  </si>
  <si>
    <t>SOLDA EXOTÉRMICA PARA SPDA - FORNECIMENTO E INSTALAÇÃO. AF_08/2023</t>
  </si>
  <si>
    <t>SUPORTE ISOLADOR 2 DESCIDAS PARA FIXAÇÃO DA CORDOALHA DE COBRE EM MASTRO 1 1/2" DE SPDA - FORNECIMENTO E INSTALAÇÃO. AF_08/2023</t>
  </si>
  <si>
    <t>INSTALAÇÃO E FORNECIMENTO DE PAINEL FIXO NA PAREDE COM TOMADAS E SAÍDAS PARA GASES MEDICINAIS. AF_11/2023</t>
  </si>
  <si>
    <t>INSTALAÇÃO E FORNECIMENTO DE PAINEL SUSPENSO COM TOMADAS E SAÍDAS PARA GASES MEDICINAIS. AF_11/2023</t>
  </si>
  <si>
    <t>INSTALAÇÃO E FORNECIMENTO DE POSTO PAREDE, INTERNO OU EXTERNO, PARA REDE DE GASES HOSPITALARES, COM VÁLVULA DE IMPACTO P/ESTANQUEIDADE, PRESSÃO MÁX. TRAB. 8,0 KGF/CM2, CONEXÕES, COM CANOPLA PLÁSTICA COM INDICAÇÃO DO TIPO DE GÁS, COMPLETO. AF_11/2023</t>
  </si>
  <si>
    <t>INSTALAÇÃO E FORNECIMENTO DE RÉGUA DE INALOTERAPIA DE PAREDE PARA REDE DE GÁS COMPRIMIDO, COM 3 PONTOS DE CONSUMO DE GASES IDENTIFICADOS, EM PERFIL DE ALUMÍNIO, APROX. 40 CM, INCLUI VÁLVULA DE IMPACTO E CONEXÕES EM LATÃO, COMPLETO. AF_11/2023</t>
  </si>
  <si>
    <t>INSTALAÇÃO E FORNECIMENTO DE RÉGUA DE INALOTERAPIA DE PAREDE PARA REDE DE GÁS OXIGÊNIO, COM 3 PONTOS DE CONSUMO DE GASES IDENTIFICADOS, EM PERFIL DE ALUMÍNIO ANODIZ., APROX. 40 CM, INCLUI VÁLVULA DE IMPACTO E CONEXÕES EM LATÃO, COMPLETO. AF_11/2023</t>
  </si>
  <si>
    <t>CAIXA DE EMBUTIR EM AÇO GALVANIZADO PARA ABRIGO DE HIDRÔMETRO - FORNECIMENTO E INSTALAÇÃO (EXCLUSIVE HIDRÔMETRO). AF_03/2024</t>
  </si>
  <si>
    <t>CAIXA DE EMBUTIR EM POLICARBONATO PARA ABRIGO DE HIDRÔMETRO - FORNECIMENTO E INSTALAÇÃO (EXCLUSIVE HIDRÔMETRO). AF_03/2024</t>
  </si>
  <si>
    <t>CAIXA DE EMBUTIR EM POLIPROPILENO PARA ABRIGO DE HIDRÔMETRO - FORNECIMENTO E INSTALAÇÃO (EXCLUSIVE HIDRÔMETRO). AF_03/2024</t>
  </si>
  <si>
    <t>CAIXA DE SOBREPOR EM AÇO GALVANIZADO PARA ABRIGO DE HIDRÔMETRO - FORNECIMENTO E INSTALAÇÃO (EXCLUSIVE HIDRÔMETRO). AF_03/2024</t>
  </si>
  <si>
    <t>CAIXA EM CONCRETO PRÉ-MOLDADO PARA ABRIGO DE HIDRÔMETRO COM DN 25 MM - FORNECIMENTO E INSTALAÇÃO (EXCLUSIVE HIDRÔMETRO). AF_03/2024</t>
  </si>
  <si>
    <t>CUMEEIRA NORMAL PARA TELHA TRAPEZOIDAL DE AÇO, E = 0,5 MM, INCLUSO ACESSÓRIOS DE FIXAÇÃO E IÇAMENTO. AF_07/2019</t>
  </si>
  <si>
    <t>ISOLAMENTO TERMOACÚSTICO COM LÃ MINERAL NA SUBCOBERTURA, INCLUSO TRANSPORTE VERTICAL. AF_07/2019</t>
  </si>
  <si>
    <t>CARGA E DESCARGA COM CARRINHO PLATAFORMA, DE BANCADA DE MÁRMORE OU GRANITO PARA COZINHA/LAVATÓRIO OU MÁRMORE SINTÉTICO COM CUBA INTEGRADA, EM BALSA DE 1000 TONELADAS. AF_05/2024</t>
  </si>
  <si>
    <t>CARGA E DESCARGA COM CARRINHO PLATAFORMA, DE BANCADA DE MÁRMORE OU GRANITO PARA COZINHA/LAVATÓRIO OU MÁRMORE SINTÉTICO COM CUBA INTEGRADA, EM BALSA DE 1500 TONELADAS. AF_05/2024</t>
  </si>
  <si>
    <t>CARGA E DESCARGA COM CARRINHO PLATAFORMA, DE BANCADA DE MÁRMORE OU GRANITO PARA COZINHA/LAVATÓRIO OU MÁRMORE SINTÉTICO COM CUBA INTEGRADA, EM BALSA DE 2000 TONELADAS. AF_05/2024</t>
  </si>
  <si>
    <t>CARGA E DESCARGA COM CARRINHO PLATAFORMA, DE BANCADA DE MÁRMORE OU GRANITO PARA COZINHA/LAVATÓRIO OU MÁRMORE SINTÉTICO COM CUBA INTEGRADA, EM BALSA DE 600 TONELADAS. AF_05/2024</t>
  </si>
  <si>
    <t>CARGA E DESCARGA COM MANIPULADOR TELESCÓPICO, DE PÁLETE DE BACIA SANITÁRIA, CAIXA ACOPLADA, TANQUE OU PIA, EM BALSA DE 1000 TONELADAS. AF_05/2024</t>
  </si>
  <si>
    <t>CARGA E DESCARGA COM MANIPULADOR TELESCÓPICO, DE PÁLETE DE BACIA SANITÁRIA, CAIXA ACOPLADA, TANQUE OU PIA, EM BALSA DE 1500 TONELADAS. AF_05/2024</t>
  </si>
  <si>
    <t>CARGA E DESCARGA COM MANIPULADOR TELESCÓPICO, DE PÁLETE DE BACIA SANITÁRIA, CAIXA ACOPLADA, TANQUE OU PIA, EM BALSA DE 2000 TONELADAS. AF_05/2024</t>
  </si>
  <si>
    <t>CARGA E DESCARGA COM MANIPULADOR TELESCÓPICO, DE PÁLETE DE BACIA SANITÁRIA, CAIXA ACOPLADA, TANQUE OU PIA, EM BALSA DE 600 TONELADAS. AF_05/2024</t>
  </si>
  <si>
    <t>CARGA E DESCARGA COM MANIPULADOR TELESCÓPICO, DE PÁLETE DE BLOCOS VAZADOS DE CONCRETO OU CERÂMICO, EM BALSA DE 1000 TONELADAS. AF_05/2024</t>
  </si>
  <si>
    <t>CARGA E DESCARGA COM MANIPULADOR TELESCÓPICO, DE PÁLETE DE BLOCOS VAZADOS DE CONCRETO OU CERÂMICO, EM BALSA DE 1500 TONELADAS. AF_05/2024</t>
  </si>
  <si>
    <t>CARGA E DESCARGA COM MANIPULADOR TELESCÓPICO, DE PÁLETE DE BLOCOS VAZADOS DE CONCRETO OU CERÂMICO, EM BALSA DE 2000 TONELADAS. AF_05/2024</t>
  </si>
  <si>
    <t>CARGA E DESCARGA COM MANIPULADOR TELESCÓPICO, DE PÁLETE DE BLOCOS VAZADOS DE CONCRETO OU CERÂMICO, EM BALSA DE 600 TONELADAS. AF_05/2024</t>
  </si>
  <si>
    <t>CARGA E DESCARGA COM MANIPULADOR TELESCÓPICO, DE PÁLETE DE CAIXAS COM REVESTIMENTO CERÂMICO, EM BALSA DE 1000 TONELADAS. AF_05/2024</t>
  </si>
  <si>
    <t>CARGA E DESCARGA COM MANIPULADOR TELESCÓPICO, DE PÁLETE DE CAIXAS COM REVESTIMENTO CERÂMICO, EM BALSA DE 1500 TONELADAS. AF_05/2024</t>
  </si>
  <si>
    <t>CARGA E DESCARGA COM MANIPULADOR TELESCÓPICO, DE PÁLETE DE CAIXAS COM REVESTIMENTO CERÂMICO, EM BALSA DE 2000 TONELADAS. AF_05/2024</t>
  </si>
  <si>
    <t>CARGA E DESCARGA COM MANIPULADOR TELESCÓPICO, DE PÁLETE DE CAIXAS COM REVESTIMENTO CERÂMICO, EM BALSA DE 600 TONELADAS. AF_05/2024</t>
  </si>
  <si>
    <t>CARGA E DESCARGA COM MANIPULADOR TELESCÓPICO, DE PÁLETE DE LATAS 18 LITROS, EM BALSA DE 1000 TONELADAS. AF_05/2024</t>
  </si>
  <si>
    <t>CARGA E DESCARGA COM MANIPULADOR TELESCÓPICO, DE PÁLETE DE LATAS 18 LITROS, EM BALSA DE 1500 TONELADAS. AF_05/2024</t>
  </si>
  <si>
    <t>CARGA E DESCARGA COM MANIPULADOR TELESCÓPICO, DE PÁLETE DE LATAS 18 LITROS, EM BALSA DE 2000 TONELADAS. AF_05/2024</t>
  </si>
  <si>
    <t>CARGA E DESCARGA COM MANIPULADOR TELESCÓPICO, DE PÁLETE DE LATAS 18 LITROS, EM BALSA DE 600 TONELADAS. AF_05/2024</t>
  </si>
  <si>
    <t>CARGA E DESCARGA COM MANIPULADOR TELESCÓPICO, DE PÁLETE DE SACOS, EM BALSA DE 1000 TONELADAS. AF_05/2024</t>
  </si>
  <si>
    <t>CARGA E DESCARGA COM MANIPULADOR TELESCÓPICO, DE PÁLETE DE SACOS, EM BALSA DE 1500 TONELADAS. AF_05/2024</t>
  </si>
  <si>
    <t>CARGA E DESCARGA COM MANIPULADOR TELESCÓPICO, DE PÁLETE DE SACOS, EM BALSA DE 2000 TONELADAS. AF_05/2024</t>
  </si>
  <si>
    <t>CARGA E DESCARGA COM MANIPULADOR TELESCÓPICO, DE PÁLETE DE SACOS, EM BALSA DE 600 TONELADAS. AF_05/2024</t>
  </si>
  <si>
    <t>CARGA E DESCARGA COM MANIPULADOR TELESCÓPICO, DE PÁLETE DE TELHA DE CONCRETO OU CERÂMICA, EM BALSA DE 1000 TONELADAS. AF_05/2024</t>
  </si>
  <si>
    <t>CARGA E DESCARGA COM MANIPULADOR TELESCÓPICO, DE PÁLETE DE TELHA DE CONCRETO OU CERÂMICA, EM BALSA DE 1500 TONELADAS. AF_05/2024</t>
  </si>
  <si>
    <t>CARGA E DESCARGA COM MANIPULADOR TELESCÓPICO, DE PÁLETE DE TELHA DE CONCRETO OU CERÂMICA, EM BALSA DE 2000 TONELADAS. AF_05/2024</t>
  </si>
  <si>
    <t>CARGA E DESCARGA COM MANIPULADOR TELESCÓPICO, DE PÁLETE DE TELHA DE CONCRETO OU CERÂMICA, EM BALSA DE 600 TONELADAS. AF_05/2024</t>
  </si>
  <si>
    <t>CARGA E DESCARGA COM MANIPULADOR TELESCÓPICO, DE TELHAS TERMOACÚSTICAS, FIBROCIMENTO, AÇO ZINCADO, FIBROCIMENTO ESTRUTURAL, CANALETE 90 OU KALHETÃO, EM BALSA DE 1000 TONELADAS. AF_05/2024</t>
  </si>
  <si>
    <t>CARGA E DESCARGA COM MANIPULADOR TELESCÓPICO, DE TELHAS TERMOACÚSTICAS, FIBROCIMENTO, AÇO ZINCADO, FIBROCIMENTO ESTRUTURAL, CANALETE 90 OU KALHETÃO, EM BALSA DE 1500 TONELADAS. AF_05/2024</t>
  </si>
  <si>
    <t>CARGA E DESCARGA COM MANIPULADOR TELESCÓPICO, DE TELHAS TERMOACÚSTICAS, FIBROCIMENTO, AÇO ZINCADO, FIBROCIMENTO ESTRUTURAL, CANALETE 90 OU KALHETÃO, EM BALSA DE 2000 TONELADAS. AF_05/2024</t>
  </si>
  <si>
    <t>CARGA E DESCARGA COM MANIPULADOR TELESCÓPICO, DE TELHAS TERMOACÚSTICAS, FIBROCIMENTO, AÇO ZINCADO, FIBROCIMENTO ESTRUTURAL, CANALETE 90 OU KALHETÃO, EM BALSA DE 600 TONELADAS. AF_05/2024</t>
  </si>
  <si>
    <t>CARGA E DESCARGA DE BETONEIRA, COM CAMINHÃO CARROCERIA COM GUINDAUTO (MUNCK) 11,7 TM, EM BALSA DE 1000 TONELADAS. AF_05/2024</t>
  </si>
  <si>
    <t>CARGA E DESCARGA DE BETONEIRA, COM CAMINHÃO CARROCERIA COM GUINDAUTO (MUNCK) 11,7 TM, EM BALSA DE 1500 TONELADAS. AF_05/2024</t>
  </si>
  <si>
    <t>CARGA E DESCARGA DE BETONEIRA, COM CAMINHÃO CARROCERIA COM GUINDAUTO (MUNCK) 11,7 TM, EM BALSA DE 2000 TONELADAS. AF_05/2024</t>
  </si>
  <si>
    <t>CARGA E DESCARGA DE BETONEIRA, COM CAMINHÃO CARROCERIA COM GUINDAUTO (MUNCK) 11,7 TM, EM BALSA DE 600 TONELADAS. AF_05/2024</t>
  </si>
  <si>
    <t>CARGA E DESCARGA DE CAMINHÃO DE 10 M³, EM BALSA DE 1000 TONELADAS. AF_05/2024</t>
  </si>
  <si>
    <t>CARGA E DESCARGA DE CAMINHÃO DE 10 M³, EM BALSA DE 1500 TONELADAS. AF_05/2024</t>
  </si>
  <si>
    <t>CARGA E DESCARGA DE CAMINHÃO DE 10 M³, EM BALSA DE 2000 TONELADAS. AF_05/2024</t>
  </si>
  <si>
    <t>CARGA E DESCARGA DE CAMINHÃO DE 10 M³, EM BALSA DE 600 TONELADAS. AF_05/2024</t>
  </si>
  <si>
    <t>CARGA E DESCARGA DE CAMINHÃO DE 14 M³, EM BALSA DE 1000 TONELADAS. AF_05/2024</t>
  </si>
  <si>
    <t>CARGA E DESCARGA DE CAMINHÃO DE 14 M³, EM BALSA DE 1500 TONELADAS. AF_05/2024</t>
  </si>
  <si>
    <t>CARGA E DESCARGA DE CAMINHÃO DE 14 M³, EM BALSA DE 2000 TONELADAS. AF_05/2024</t>
  </si>
  <si>
    <t>CARGA E DESCARGA DE CAMINHÃO DE 14 M³, EM BALSA DE 600 TONELADAS. AF_05/2024</t>
  </si>
  <si>
    <t>CARGA E DESCARGA DE CAMINHÃO DE 6 M³, EM BALSA DE 1000 TONELADAS. AF_05/2024</t>
  </si>
  <si>
    <t>CARGA E DESCARGA DE CAMINHÃO DE 6 M³, EM BALSA DE 1500 TONELADAS. AF_05/2024</t>
  </si>
  <si>
    <t>CARGA E DESCARGA DE CAMINHÃO DE 6 M³, EM BALSA DE 2000 TONELADAS. AF_05/2024</t>
  </si>
  <si>
    <t>CARGA E DESCARGA DE CAMINHÃO DE 6 M³, EM BALSA DE 600 TONELADAS. AF_05/2024</t>
  </si>
  <si>
    <t>CARGA E DESCARGA DE PERFIL METÁLICO E VERGALHÕES DE AÇO E VERGALHÕES DE AÇO, COM CAMINHÃO CARROCERIA COM GUINDAUTO (MUNCK) 11,7 TM, EM BALSA DE 1500 TONELADAS. AF_05/2024</t>
  </si>
  <si>
    <t>CARGA E DESCARGA DE PERFIL METÁLICO E VERGALHÕES DE AÇO, COM CAMINHÃO CARROCERIA COM GUINDAUTO (MUNCK) 11,7 TM, EM BALSA DE 1000 TONELADAS. AF_05/2024</t>
  </si>
  <si>
    <t>CARGA E DESCARGA DE PERFIL METÁLICO E VERGALHÕES DE AÇO, COM CAMINHÃO CARROCERIA COM GUINDAUTO (MUNCK) 11,7 TM, EM BALSA DE 2000 TONELADAS. AF_05/2024</t>
  </si>
  <si>
    <t>CARGA E DESCARGA DE PERFIL METÁLICO E VERGALHÕES DE AÇO, COM CAMINHÃO CARROCERIA COM GUINDAUTO (MUNCK) 11,7 TM, EM BALSA DE 600 TONELADAS. AF_05/2024</t>
  </si>
  <si>
    <t>CARGA E DESCARGA DE POSTES DE CONCRETO, COM CAMINHÃO CARROCERIA COM GUINDAUTO (MUNCK) 11,7 TM, EM BALSA DE 1000 TONELADAS. AF_05/2024</t>
  </si>
  <si>
    <t>CARGA E DESCARGA DE POSTES DE CONCRETO, COM CAMINHÃO CARROCERIA COM GUINDAUTO (MUNCK) 11,7 TM, EM BALSA DE 1500 TONELADAS. AF_05/2024</t>
  </si>
  <si>
    <t>CARGA E DESCARGA DE POSTES DE CONCRETO, COM CAMINHÃO CARROCERIA COM GUINDAUTO (MUNCK) 11,7 TM, EM BALSA DE 2000 TONELADAS. AF_05/2024</t>
  </si>
  <si>
    <t>CARGA E DESCARGA DE POSTES DE CONCRETO, COM CAMINHÃO CARROCERIA COM GUINDAUTO (MUNCK) 11,7 TM, EM BALSA DE 600 TONELADAS. AF_05/2024</t>
  </si>
  <si>
    <t>CARGA E DESCARGA DE RETROESCAVADEIRA, EM BALSA DE 1000 TONELADAS. AF_05/2024</t>
  </si>
  <si>
    <t>CARGA E DESCARGA DE RETROESCAVADEIRA, EM BALSA DE 1500 TONELADAS. AF_05/2024</t>
  </si>
  <si>
    <t>CARGA E DESCARGA DE RETROESCAVADEIRA, EM BALSA DE 2000 TONELADAS. AF_05/2024</t>
  </si>
  <si>
    <t>CARGA E DESCARGA DE RETROESCAVADEIRA, EM BALSA DE 600 TONELADAS. AF_05/2024</t>
  </si>
  <si>
    <t>CARGA E DESCARGA DE SOLOS E MATERIAIS GRANULARES, COM CAMINHÃO DE 10 M³ E ESCAVADEIRA HIDRÁULICA, EM BALSA DE 1000 TONELADAS. AF_05/2024</t>
  </si>
  <si>
    <t>CARGA E DESCARGA DE SOLOS E MATERIAIS GRANULARES, COM CAMINHÃO DE 10 M³ E ESCAVADEIRA HIDRÁULICA, EM BALSA DE 1500 TONELADAS. AF_05/2024</t>
  </si>
  <si>
    <t>CARGA E DESCARGA DE SOLOS E MATERIAIS GRANULARES, COM CAMINHÃO DE 10 M³ E ESCAVADEIRA HIDRÁULICA, EM BALSA DE 2000 TONELADAS. AF_05/2024</t>
  </si>
  <si>
    <t>CARGA E DESCARGA DE SOLOS E MATERIAIS GRANULARES, COM CAMINHÃO DE 10 M³ E ESCAVADEIRA HIDRÁULICA, EM BALSA DE 600 TONELADAS. AF_05/2024</t>
  </si>
  <si>
    <t>CARGA E DESCARGA DE SOLOS E MATERIAIS GRANULARES, COM CAMINHÃO DE 14 M³ E ESCAVADEIRA HIDRÁULICA, EM BALSA DE 1000 TONELADAS. AF_05/2024</t>
  </si>
  <si>
    <t>CARGA E DESCARGA DE SOLOS E MATERIAIS GRANULARES, COM CAMINHÃO DE 14 M³ E ESCAVADEIRA HIDRÁULICA, EM BALSA DE 1500 TONELADAS. AF_05/2024</t>
  </si>
  <si>
    <t>CARGA E DESCARGA DE SOLOS E MATERIAIS GRANULARES, COM CAMINHÃO DE 14 M³ E ESCAVADEIRA HIDRÁULICA, EM BALSA DE 2000 TONELADAS. AF_05/2024</t>
  </si>
  <si>
    <t>CARGA E DESCARGA DE SOLOS E MATERIAIS GRANULARES, COM CAMINHÃO DE 14 M³ E ESCAVADEIRA HIDRÁULICA, EM BALSA DE 600 TONELADAS. AF_05/2024</t>
  </si>
  <si>
    <t>CARGA E DESCARGA DE SOLOS E MATERIAIS GRANULARES, COM CAMINHÃO DE 6 M³ E ESCAVADEIRA HIDRÁULICA, EM BALSA DE 1000 TONELADAS. AF_05/2024</t>
  </si>
  <si>
    <t>CARGA E DESCARGA DE SOLOS E MATERIAIS GRANULARES, COM CAMINHÃO DE 6 M³ E ESCAVADEIRA HIDRÁULICA, EM BALSA DE 1500 TONELADAS. AF_05/2024</t>
  </si>
  <si>
    <t>CARGA E DESCARGA DE SOLOS E MATERIAIS GRANULARES, COM CAMINHÃO DE 6 M³ E ESCAVADEIRA HIDRÁULICA, EM BALSA DE 2000 TONELADAS. AF_05/2024</t>
  </si>
  <si>
    <t>CARGA E DESCARGA DE SOLOS E MATERIAIS GRANULARES, COM CAMINHÃO DE 6 M³ E ESCAVADEIRA HIDRÁULICA, EM BALSA DE 600 TONELADAS. AF_05/2024</t>
  </si>
  <si>
    <t>CARGA E DESCARGA DE TELA DE AÇO, COM CAMINHÃO CARROCERIA COM GUINDAUTO (MUNCK) 11,7 TM, EM BALSA DE 1000 TONELADAS. AF_05/2024</t>
  </si>
  <si>
    <t>CARGA E DESCARGA DE TELA DE AÇO, COM CAMINHÃO CARROCERIA COM GUINDAUTO (MUNCK) 11,7 TM, EM BALSA DE 1500 TONELADAS. AF_05/2024</t>
  </si>
  <si>
    <t>CARGA E DESCARGA DE TELA DE AÇO, COM CAMINHÃO CARROCERIA COM GUINDAUTO (MUNCK) 11,7 TM, EM BALSA DE 2000 TONELADAS. AF_05/2024</t>
  </si>
  <si>
    <t>CARGA E DESCARGA DE TELA DE AÇO, COM CAMINHÃO CARROCERIA COM GUINDAUTO (MUNCK) 11,7 TM, EM BALSA DE 600 TONELADAS. AF_05/2024</t>
  </si>
  <si>
    <t>CARGA E DESCARGA DE TUBOS DE CONCRETO, COM CAMINHÃO CARROCERIA COM GUINDAUTO (MUNCK) 11,7 TM, EM BALSA DE 1000 TONELADAS. AF_05/2024</t>
  </si>
  <si>
    <t>CARGA E DESCARGA DE TUBOS DE CONCRETO, COM CAMINHÃO CARROCERIA COM GUINDAUTO (MUNCK) 11,7 TM, EM BALSA DE 1500 TONELADAS. AF_05/2024</t>
  </si>
  <si>
    <t>CARGA E DESCARGA DE TUBOS DE CONCRETO, COM CAMINHÃO CARROCERIA COM GUINDAUTO (MUNCK) 11,7 TM, EM BALSA DE 2000 TONELADAS. AF_05/2024</t>
  </si>
  <si>
    <t>CARGA E DESCARGA DE TUBOS DE CONCRETO, COM CAMINHÃO CARROCERIA COM GUINDAUTO (MUNCK) 11,7 TM, EM BALSA DE 600 TONELADAS. AF_05/2024</t>
  </si>
  <si>
    <t>CARGA E DESCARGA DE TUBOS METÁLICOS, COM CAMINHÃO CARROCERIA COM GUINDAUTO (MUNCK) 11,7 TM, EM BALSA DE 1000 TONELADAS. AF_05/2024</t>
  </si>
  <si>
    <t>CARGA E DESCARGA DE TUBOS METÁLICOS, COM CAMINHÃO CARROCERIA COM GUINDAUTO (MUNCK) 11,7 TM, EM BALSA DE 1500 TONELADAS. AF_05/2024</t>
  </si>
  <si>
    <t>CARGA E DESCARGA DE TUBOS METÁLICOS, COM CAMINHÃO CARROCERIA COM GUINDAUTO (MUNCK) 11,7 TM, EM BALSA DE 2000 TONELADAS. AF_05/2024</t>
  </si>
  <si>
    <t>CARGA E DESCARGA DE TUBOS METÁLICOS, COM CAMINHÃO CARROCERIA COM GUINDAUTO (MUNCK) 11,7 TM, EM BALSA DE 600 TONELADAS. AF_05/2024</t>
  </si>
  <si>
    <t>CARGA E DESCARGA DE TUBOS PLÁSTICOS, COM CAMINHÃO CARROCERIA COM GUINDAUTO (MUNCK) 11,7 TM, EM BALSA DE 1000 TONELADAS. AF_05/2024</t>
  </si>
  <si>
    <t>CARGA E DESCARGA DE TUBOS PLÁSTICOS, COM CAMINHÃO CARROCERIA COM GUINDAUTO (MUNCK) 11,7 TM, EM BALSA DE 1500 TONELADAS. AF_05/2024</t>
  </si>
  <si>
    <t>CARGA E DESCARGA DE TUBOS PLÁSTICOS, COM CAMINHÃO CARROCERIA COM GUINDAUTO (MUNCK) 11,7 TM, EM BALSA DE 2000 TONELADAS. AF_05/2024</t>
  </si>
  <si>
    <t>CARGA E DESCARGA DE TUBOS PLÁSTICOS, COM CAMINHÃO CARROCERIA COM GUINDAUTO (MUNCK) 11,7 TM, EM BALSA DE 600 TONELADAS. AF_05/2024</t>
  </si>
  <si>
    <t>CARGA E DESCARGA MANUAL, DE JANELA, KIT PORTA-PRONTA OU PORTA DE MADEIRA, PORTA DE AÇO E PORTA DE ALUMÍNIO, EM BALSA DE 1000 TONELADAS. AF_05/2024</t>
  </si>
  <si>
    <t>CARGA E DESCARGA MANUAL, DE JANELA, KIT PORTA-PRONTA OU PORTA DE MADEIRA, PORTA DE AÇO E PORTA DE ALUMÍNIO, EM BALSA DE 1500 TONELADAS. AF_05/2024</t>
  </si>
  <si>
    <t>CARGA E DESCARGA MANUAL, DE JANELA, KIT PORTA-PRONTA OU PORTA DE MADEIRA, PORTA DE AÇO E PORTA DE ALUMÍNIO, EM BALSA DE 2000 TONELADAS. AF_05/2024</t>
  </si>
  <si>
    <t>CARGA E DESCARGA MANUAL, DE JANELA, KIT PORTA-PRONTA OU PORTA DE MADEIRA, PORTA DE AÇO E PORTA DE ALUMÍNIO, EM BALSA DE 600 TONELADAS. AF_05/2024</t>
  </si>
  <si>
    <t>CARGA E DESCARGA MANUAL, DE PEÇAS DE MADEIRA (CAIBROS, TÁBUAS, RIPAS, VIGAS E COMPENSADOS), EM BALSA DE 1000 TONELADAS. AF_05/2024</t>
  </si>
  <si>
    <t>CARGA E DESCARGA MANUAL, DE PEÇAS DE MADEIRA (CAIBROS, TÁBUAS, RIPAS, VIGAS E COMPENSADOS), EM BALSA DE 1500 TONELADAS. AF_05/2024</t>
  </si>
  <si>
    <t>CARGA E DESCARGA MANUAL, DE PEÇAS DE MADEIRA (CAIBROS, TÁBUAS, RIPAS, VIGAS E COMPENSADOS), EM BALSA DE 2000 TONELADAS. AF_05/2024</t>
  </si>
  <si>
    <t>CARGA E DESCARGA MANUAL, DE PEÇAS DE MADEIRA (CAIBROS, TÁBUAS, RIPAS, VIGAS E COMPENSADOS), EM BALSA DE 600 TONELADAS. AF_05/2024</t>
  </si>
  <si>
    <t>CARGA E DESCARGA MANUAL, DE VIDRO, EM BALSA DE 1000 TONELADAS. AF_05/2024</t>
  </si>
  <si>
    <t>CARGA E DESCARGA MANUAL, DE VIDRO, EM BALSA DE 1500 TONELADAS. AF_05/2024</t>
  </si>
  <si>
    <t>CARGA E DESCARGA MANUAL, DE VIDRO, EM BALSA DE 2000 TONELADAS. AF_05/2024</t>
  </si>
  <si>
    <t>CARGA E DESCARGA MANUAL, DE VIDRO, EM BALSA DE 600 TONELADAS. AF_05/2024</t>
  </si>
  <si>
    <t>TRANSPORTE FLUVIAL COM CONJUNTO EMPURRADOR DE 250 HP E BALSA DE 200 A 600 TONELADAS, EM VIA NAVEGÁVEL NO SENTIDO A JUSANTE (DESCENDO O RIO). AF_05/2024</t>
  </si>
  <si>
    <t>TRANSPORTE FLUVIAL COM CONJUNTO EMPURRADOR DE 250 HP E BALSA DE 200 A 600 TONELADAS, EM VIA NAVEGÁVEL NO SENTIDO A MONTANTE (SUBINDO O RIO). AF_05/2024</t>
  </si>
  <si>
    <t>TRANSPORTE FLUVIAL COM CONJUNTO EMPURRADOR DE 315 HP E BALSA 600 A 1000 TONELADAS, EM VIA NAVEGÁVEL NO SENTIDO A JUSANTE (DESCENDO O RIO). AF_05/2024</t>
  </si>
  <si>
    <t>TRANSPORTE FLUVIAL COM CONJUNTO EMPURRADOR DE 315 HP E BALSA 600 A 1000 TONELADAS, EM VIA NAVEGÁVEL NO SENTIDO A MONTANTE (SUBINDO O RIO). AF_05/2024</t>
  </si>
  <si>
    <t>TRANSPORTE FLUVIAL COM CONJUNTO EMPURRADOR DE 475 HP E BALSA DE 1.000 A 1.500 TONELADAS, EM VIA NAVEGÁVEL NO SENTIDO A JUSANTE (DESCENDO O RIO). AF_05/2024</t>
  </si>
  <si>
    <t>TRANSPORTE FLUVIAL COM CONJUNTO EMPURRADOR DE 475 HP E BALSA DE 1.000 A 1.500 TONELADAS, EM VIA NAVEGÁVEL NO SENTIDO A MONTANTE (SUBINDO O RIO). AF_05/2024</t>
  </si>
  <si>
    <t>TRANSPORTE FLUVIAL COM CONJUNTO EMPURRADOR DE 600 HP E BALSA DE 1.500 A 2.000 TONELADAS, EM VIA NAVEGÁVEL NO SENTIDO A JUSANTE (DESCENDO O RIO). AF_05/2024</t>
  </si>
  <si>
    <t>TRANSPORTE FLUVIAL COM CONJUNTO EMPURRADOR DE 600 HP E BALSA DE 1.500 A 2.000 TONELADAS, EM VIA NAVEGÁVEL NO SENTIDO A MONTANTE (SUBINDO O RIO). AF_05/2024</t>
  </si>
  <si>
    <t>TUBULÃO A CÉU ABERTO, DIÂMETRO DO FUSTE DE 100CM, ESCAVAÇÃO MANUAL, SEM ALARGAMENTO DE BASE, CONCRETO FEITO EM OBRA E LANÇADO COM JERICA. AF_05/2020</t>
  </si>
  <si>
    <t>TUBULÃO A CÉU ABERTO, DIÂMETRO DO FUSTE DE 100CM, ESCAVAÇÃO MANUAL, SEM ALARGAMENTO DE BASE, CONCRETO USINADO E LANÇADO COM BOMBA OU DIRETAMENTE DO CAMINHÃO (EXCLUSIVE BOMBEAMENTO). AF_05/2020</t>
  </si>
  <si>
    <t>TUBULÃO A CÉU ABERTO, DIÂMETRO DO FUSTE DE 100CM, ESCAVAÇÃO MECÂNICA, SEM ALARGAMENTO DE BASE, CONCRETO FEITO EM OBRA E LANÇADO COM JERICA (EXCLUSIVE MOBILIZAÇÃO E DESMOBILIZAÇÃO). AF_05/2020</t>
  </si>
  <si>
    <t>TUBULÃO A CÉU ABERTO, DIÂMETRO DO FUSTE DE 100CM, ESCAVAÇÃO MECÂNICA, SEM ALARGAMENTO DE BASE, CONCRETO USINADO E LANÇADO COM BOMBA OU DIRETAMENTE DO CAMINHÃO (EXCLUSIVE BOMBEAMENTO, MOBILIZAÇÃO E DESMOBILIZAÇÃO). AF_05/2020</t>
  </si>
  <si>
    <t>TUBULÃO A CÉU ABERTO, DIÂMETRO DO FUSTE DE 120CM, ESCAVAÇÃO MANUAL, SEM ALARGAMENTO DE BASE, CONCRETO FEITO EM OBRA E LANÇADO COM JERICA. AF_05/2020</t>
  </si>
  <si>
    <t>TUBULÃO A CÉU ABERTO, DIÂMETRO DO FUSTE DE 120CM, ESCAVAÇÃO MANUAL, SEM ALARGAMENTO DE BASE, CONCRETO USINADO E LANÇADO COM BOMBA OU DIRETAMENTE DO CAMINHÃO (EXCLUSIVE BOMBEAMENTO). AF_05/2020</t>
  </si>
  <si>
    <t>TUBULÃO A CÉU ABERTO, DIÂMETRO DO FUSTE DE 120CM, ESCAVAÇÃO MECÂNICA, SEM ALARGAMENTO DE BASE, CONCRETO FEITO EM OBRA E LANÇADO COM JERICA (EXCLUSIVE MOBILIZAÇÃO E DESMOBILIZAÇÃO). AF_05/2020</t>
  </si>
  <si>
    <t>TUBULÃO A CÉU ABERTO, DIÂMETRO DO FUSTE DE 120CM, ESCAVAÇÃO MECÂNICA, SEM ALARGAMENTO DE BASE, CONCRETO USINADO E LANÇADO COM BOMBA OU DIRETAMENTE DO CAMINHÃO (EXCLUSIVE BOMBEAMENTO, MOBILIZAÇÃO E DESMOBILIZAÇÃO). AF_05/2020</t>
  </si>
  <si>
    <t>TUBULÃO A CÉU ABERTO, DIÂMETRO DO FUSTE DE 70CM, ESCAVAÇÃO MANUAL, SEM ALARGAMENTO DE BASE, CONCRETO FEITO EM OBRA E LANÇADO COM JERICA. AF_05/2020</t>
  </si>
  <si>
    <t>TUBULÃO A CÉU ABERTO, DIÂMETRO DO FUSTE DE 70CM, ESCAVAÇÃO MANUAL, SEM ALARGAMENTO DE BASE, CONCRETO USINADO E LANÇADO COM BOMBA OU DIRETAMENTE DO CAMINHÃO (EXCLUSIVE BOMBEAMENTO). AF_05/2020</t>
  </si>
  <si>
    <t>TUBULÃO A CÉU ABERTO, DIÂMETRO DO FUSTE DE 70CM, ESCAVAÇÃO MECÂNICA, SEM ALARGAMENTO DE BASE, CONCRETO FEITO EM OBRA E LANÇADO COM JERICA. AF_05/2020</t>
  </si>
  <si>
    <t>TUBULÃO A CÉU ABERTO, DIÂMETRO DO FUSTE DE 70CM, ESCAVAÇÃO MECÂNICA, SEM ALARGAMENTO DE BASE, CONCRETO USINADO E LANÇADO COM BOMBA OU DIRETAMENTE DO CAMINHÃO (EXCLUSIVE BOMBEAMENTO, MOBILIZAÇÃO E DESMOBILIZAÇÃO). AF_05/2020</t>
  </si>
  <si>
    <t>TUBULÃO A CÉU ABERTO, DIÂMETRO DO FUSTE DE 80CM, ESCAVAÇÃO MANUAL, SEM ALARGAMENTO DE BASE, CONCRETO FEITO EM OBRA E LANÇADO COM JERICA. AF_05/2020</t>
  </si>
  <si>
    <t>TUBULÃO A CÉU ABERTO, DIÂMETRO DO FUSTE DE 80CM, ESCAVAÇÃO MANUAL, SEM ALARGAMENTO DE BASE, CONCRETO USINADO E LANÇADO COM BOMBA OU DIRETAMENTE DO CAMINHÃO (EXCLUSIVE BOMBEAMENTO). AF_05/2020</t>
  </si>
  <si>
    <t>TUBULÃO A CÉU ABERTO, DIÂMETRO DO FUSTE DE 80CM, ESCAVAÇÃO MECÂNICA, SEM ALARGAMENTO DE BASE, CONCRETO FEITO EM OBRA E LANÇADO COM JERICA (EXCLUSIVE MOBILIZAÇÃO E DESMOBILIZAÇÃO). AF_05/2020</t>
  </si>
  <si>
    <t>TUBULÃO A CÉU ABERTO, DIÂMETRO DO FUSTE DE 80CM, ESCAVAÇÃO MECÂNICA, SEM ALARGAMENTO DE BASE, CONCRETO USINADO E LANÇADO COM BOMBA OU DIRETAMENTE DO CAMINHÃO (EXCLUSIVE BOMBEAMENTO, MOBILIZAÇÃO E DESMOBILIZAÇÃO). AF_05/2020</t>
  </si>
  <si>
    <t>VÁLVULA DE SEGURANÇA À TEMPERATURA, 1/2" - FORNECIMENTO E INSTALAÇÃO. AF_08/2021</t>
  </si>
  <si>
    <t>VÁLVULA ESFERA PARA GÁS, 1" - FORNECIMENTO E INSTALAÇÃO. AF_08/2021</t>
  </si>
  <si>
    <t>VÁLVULA ESFERA PARA GÁS, 1/2" - FORNECIMENTO E INSTALAÇÃO. AF_08/2021</t>
  </si>
  <si>
    <t>VÁLVULA ESFERA PARA GÁS, 3/4" - FORNECIMENTO E INSTALAÇÃO. AF_08/2021</t>
  </si>
  <si>
    <t>VÁLVULA ESTABILIZADORA DE VAZÃO/ AUTOFLOW, 1" - FORNECIMENTO E INSTALAÇÃO. AF_08/2021</t>
  </si>
  <si>
    <t>VÁLVULA ESTABILIZADORA DE VAZÃO/ AUTOFLOW, 3/4" - FORNECIMENTO E INSTALAÇÃO. AF_08/2021</t>
  </si>
  <si>
    <t>VÁLVULA REDUTORA DE PRESSÃO PARA SISTEMAS PREDIAIS, 1 1/2" - FORNECIMENTO E INSTALAÇÃO. AF_08/2021</t>
  </si>
  <si>
    <t>VÁLVULA REDUTORA DE PRESSÃO PARA SISTEMAS PREDIAIS, 1 1/4" - FORNECIMENTO E INSTALAÇÃO. AF_08/2021</t>
  </si>
  <si>
    <t>VÁLVULA REDUTORA DE PRESSÃO PARA SISTEMAS PREDIAIS, 1" - FORNECIMENTO E INSTALAÇÃO. AF_08/2021</t>
  </si>
  <si>
    <t>VÁLVULA REDUTORA DE PRESSÃO PARA SISTEMAS PREDIAIS, 1/2" - FORNECIMENTO E INSTALAÇÃO. AF_08/2021</t>
  </si>
  <si>
    <t>VÁLVULA REDUTORA DE PRESSÃO PARA SISTEMAS PREDIAIS, 2 1/2" - FORNECIMENTO E INSTALAÇÃO. AF_08/2021</t>
  </si>
  <si>
    <t>VÁLVULA REDUTORA DE PRESSÃO PARA SISTEMAS PREDIAIS, 2" - FORNECIMENTO E INSTALAÇÃO. AF_08/2021</t>
  </si>
  <si>
    <t>VÁLVULA REDUTORA DE PRESSÃO PARA SISTEMAS PREDIAIS, 3/4" - FORNECIMENTO E INSTALAÇÃO. AF_08/2021</t>
  </si>
  <si>
    <t>VÁLVULA VENTOSA ELIMINADORA DE AR, PARA SISTEMAS PREDIAIS, 1/2" - FORNECIMENTO E INSTALAÇÃO. AF_08/2021</t>
  </si>
  <si>
    <t>VÁLVULA VENTOSA ELIMINADORA DE AR, PARA SISTEMAS PREDIAIS, 3/4" - FORNECIMENTO E INSTALAÇÃO. AF_08/2021</t>
  </si>
  <si>
    <t>JUNTA DE DESMONTAGEM TRAVADA AXIALMENTE DE FERRO FUNDIDO PARA REDE DE ÁGUA OU ESGOTO, DN 100 MM. AF_12/2021</t>
  </si>
  <si>
    <t>JUNTA DE DESMONTAGEM TRAVADA AXIALMENTE DE FERRO FUNDIDO PARA REDE DE ÁGUA OU ESGOTO, DN 150 MM. AF_12/2021</t>
  </si>
  <si>
    <t>JUNTA DE DESMONTAGEM TRAVADA AXIALMENTE DE FERRO FUNDIDO PARA REDE DE ÁGUA OU ESGOTO, DN 200 MM. AF_12/2021</t>
  </si>
  <si>
    <t>JUNTA DE DESMONTAGEM TRAVADA AXIALMENTE DE FERRO FUNDIDO PARA REDE DE ÁGUA OU ESGOTO, DN 250 MM. AF_12/2021</t>
  </si>
  <si>
    <t>JUNTA DE DESMONTAGEM TRAVADA AXIALMENTE DE FERRO FUNDIDO PARA REDE DE ÁGUA OU ESGOTO, DN 300 MM. AF_12/2021</t>
  </si>
  <si>
    <t>JUNTA DE DESMONTAGEM TRAVADA AXIALMENTE DE FERRO FUNDIDO PARA REDE DE ÁGUA OU ESGOTO, DN 350 MM. AF_12/2021</t>
  </si>
  <si>
    <t>JUNTA DE DESMONTAGEM TRAVADA AXIALMENTE DE FERRO FUNDIDO PARA REDE DE ÁGUA OU ESGOTO, DN 400 MM. AF_12/2021</t>
  </si>
  <si>
    <t>JUNTA DE DESMONTAGEM TRAVADA AXIALMENTE DE FERRO FUNDIDO PARA REDE DE ÁGUA OU ESGOTO, DN 500 MM. AF_12/2021</t>
  </si>
  <si>
    <t>JUNTA DE DESMONTAGEM TRAVADA AXIALMENTE DE FERRO FUNDIDO PARA REDE DE ÁGUA OU ESGOTO, DN 600 MM. AF_12/2021</t>
  </si>
  <si>
    <t>JUNTA DE DESMONTAGEM TRAVADA AXIALMENTE DE FERRO FUNDIDO PARA REDE DE ÁGUA OU ESGOTO, DN 80 MM. AF_12/2021</t>
  </si>
  <si>
    <t>JUNTA MECÂNICA (LUVA DE CORRER COM BOLSA JUNTA MECÂNICA) DE FERRO FUNDIDO PARA REDE DE ÁGUA OU ESGOTO, DN 100 MM. AF_12/2021</t>
  </si>
  <si>
    <t>JUNTA MECÂNICA (LUVA DE CORRER COM BOLSA JUNTA MECÂNICA) DE FERRO FUNDIDO PARA REDE DE ÁGUA OU ESGOTO, DN 1000 MM. AF_12/2021</t>
  </si>
  <si>
    <t>JUNTA MECÂNICA (LUVA DE CORRER COM BOLSA JUNTA MECÂNICA) DE FERRO FUNDIDO PARA REDE DE ÁGUA OU ESGOTO, DN 1200 MM. AF_12/2021</t>
  </si>
  <si>
    <t>JUNTA MECÂNICA (LUVA DE CORRER COM BOLSA JUNTA MECÂNICA) DE FERRO FUNDIDO PARA REDE DE ÁGUA OU ESGOTO, DN 150 MM. AF_12/2021</t>
  </si>
  <si>
    <t>JUNTA MECÂNICA (LUVA DE CORRER COM BOLSA JUNTA MECÂNICA) DE FERRO FUNDIDO PARA REDE DE ÁGUA OU ESGOTO, DN 200 MM. AF_12/2021</t>
  </si>
  <si>
    <t>JUNTA MECÂNICA (LUVA DE CORRER COM BOLSA JUNTA MECÂNICA) DE FERRO FUNDIDO PARA REDE DE ÁGUA OU ESGOTO, DN 250 MM. AF_12/2021</t>
  </si>
  <si>
    <t>JUNTA MECÂNICA (LUVA DE CORRER COM BOLSA JUNTA MECÂNICA) DE FERRO FUNDIDO PARA REDE DE ÁGUA OU ESGOTO, DN 300 MM. AF_12/2021</t>
  </si>
  <si>
    <t>JUNTA MECÂNICA (LUVA DE CORRER COM BOLSA JUNTA MECÂNICA) DE FERRO FUNDIDO PARA REDE DE ÁGUA OU ESGOTO, DN 350 MM. AF_12/2021</t>
  </si>
  <si>
    <t>JUNTA MECÂNICA (LUVA DE CORRER COM BOLSA JUNTA MECÂNICA) DE FERRO FUNDIDO PARA REDE DE ÁGUA OU ESGOTO, DN 400 MM. AF_12/2021</t>
  </si>
  <si>
    <t>JUNTA MECÂNICA (LUVA DE CORRER COM BOLSA JUNTA MECÂNICA) DE FERRO FUNDIDO PARA REDE DE ÁGUA OU ESGOTO, DN 500 MM. AF_12/2021</t>
  </si>
  <si>
    <t>JUNTA MECÂNICA (LUVA DE CORRER COM BOLSA JUNTA MECÂNICA) DE FERRO FUNDIDO PARA REDE DE ÁGUA OU ESGOTO, DN 600 MM. AF_12/2021</t>
  </si>
  <si>
    <t>JUNTA MECÂNICA (LUVA DE CORRER COM BOLSA JUNTA MECÂNICA) DE FERRO FUNDIDO PARA REDE DE ÁGUA OU ESGOTO, DN 700 MM. AF_12/2021</t>
  </si>
  <si>
    <t>JUNTA MECÂNICA (LUVA DE CORRER COM BOLSA JUNTA MECÂNICA) DE FERRO FUNDIDO PARA REDE DE ÁGUA OU ESGOTO, DN 80 MM. AF_12/2021</t>
  </si>
  <si>
    <t>JUNTA MECÂNICA (LUVA DE CORRER COM BOLSA JUNTA MECÂNICA) DE FERRO FUNDIDO PARA REDE DE ÁGUA OU ESGOTO, DN 800 MM. AF_12/2021</t>
  </si>
  <si>
    <t>JUNTA MECÂNICA (LUVA DE CORRER COM BOLSA JUNTA MECÂNICA) DE FERRO FUNDIDO PARA REDE DE ÁGUA OU ESGOTO, DN 900 MM. AF_12/2021</t>
  </si>
  <si>
    <t>MEDIDOR DE VAZÃO ELETROMAGNÉTICO DE AÇO CARBONO PARA REDE DE ÁGUA OU ESGOTO, DN 100 MM, JUNTA FLANGEADA. AF_12/2021</t>
  </si>
  <si>
    <t>MEDIDOR DE VAZÃO ELETROMAGNÉTICO DE AÇO CARBONO PARA REDE DE ÁGUA OU ESGOTO, DN 200 MM, JUNTA FLANGEADA. AF_12/2021</t>
  </si>
  <si>
    <t>MEDIDOR DE VAZÃO ELETROMAGNÉTICO DE AÇO CARBONO PARA REDE DE ÁGUA OU ESGOTO, DN 300 MM, JUNTA FLANGEADA. AF_12/2021</t>
  </si>
  <si>
    <t>MEDIDOR DE VAZÃO ELETROMAGNÉTICO DE AÇO CARBONO PARA REDE DE ÁGUA OU ESGOTO, DN 400 MM, JUNTA FLANGEADA. AF_12/2021</t>
  </si>
  <si>
    <t>MEDIDOR DE VAZÃO ELETROMAGNÉTICO DE AÇO CARBONO PARA REDE DE ÁGUA OU ESGOTO, DN 500 MM, JUNTA FLANGEADA. AF_12/2021</t>
  </si>
  <si>
    <t>REGISTRO DE GAVETA DE FERRO FUNDIDO PARA REDE DE ÁGUA OU ESGOTO, DN 100 MM, JUNTA FLANGEADA. AF_12/2021</t>
  </si>
  <si>
    <t>REGISTRO DE GAVETA DE FERRO FUNDIDO PARA REDE DE ÁGUA OU ESGOTO, DN 150 MM, JUNTA FLANGEADA. AF_01/2021</t>
  </si>
  <si>
    <t>REGISTRO DE GAVETA DE FERRO FUNDIDO PARA REDE DE ÁGUA OU ESGOTO, DN 200 MM, JUNTA FLANGEADA. AF_12/2021</t>
  </si>
  <si>
    <t>REGISTRO DE GAVETA DE FERRO FUNDIDO PARA REDE DE ÁGUA OU ESGOTO, DN 250 MM, JUNTA FLANGEADA. AF_12/2021</t>
  </si>
  <si>
    <t>REGISTRO DE GAVETA DE FERRO FUNDIDO PARA REDE DE ÁGUA OU ESGOTO, DN 300 MM, JUNTA FLANGEADA. AF_12/2021</t>
  </si>
  <si>
    <t>REGISTRO DE GAVETA DE FERRO FUNDIDO PARA REDE DE ÁGUA OU ESGOTO, DN 350 MM, JUNTA FLANGEADA. AF_12/2021</t>
  </si>
  <si>
    <t>REGISTRO DE GAVETA DE FERRO FUNDIDO PARA REDE DE ÁGUA OU ESGOTO, DN 400 MM, JUNTA FLANGEADA. AF_12/2021</t>
  </si>
  <si>
    <t>REGISTRO DE GAVETA DE FERRO FUNDIDO PARA REDE DE ÁGUA OU ESGOTO, DN 50 MM, JUNTA FLANGEADA. AF_12/2021</t>
  </si>
  <si>
    <t>REGISTRO DE GAVETA DE FERRO FUNDIDO PARA REDE DE ÁGUA OU ESGOTO, DN 500 MM, JUNTA FLANGEADA. AF_12/2021</t>
  </si>
  <si>
    <t>REGISTRO DE GAVETA DE FERRO FUNDIDO PARA REDE DE ÁGUA OU ESGOTO, DN 80 MM, JUNTA FLANGEADA. AF_12/2021</t>
  </si>
  <si>
    <t>VÁLVULA DE RETENÇÃO DE FERRO FUNDIDO PARA REDE DE ÁGUA OU ESGOTO, COM FLANGES, DN 200 MM, JUNTA FLANGEADA. AF_12/2021</t>
  </si>
  <si>
    <t>VÁLVULA DE RETENÇÃO DE FERRO FUNDIDO PARA REDE DE ÁGUA OU ESGOTO, DN 100 MM, JUNTA FLANGEADA. AF_12/2021</t>
  </si>
  <si>
    <t>VÁLVULA DE RETENÇÃO DE FERRO FUNDIDO PARA REDE DE ÁGUA OU ESGOTO, DN 150 MM, JUNTA FLANGEADA. AF_12/2021</t>
  </si>
  <si>
    <t>VÁLVULA DE RETENÇÃO DE FERRO FUNDIDO PARA REDE DE ÁGUA OU ESGOTO, DN 250 MM, JUNTA FLANGEADA. AF_12/2021</t>
  </si>
  <si>
    <t>VÁLVULA DE RETENÇÃO DE FERRO FUNDIDO PARA REDE DE ÁGUA OU ESGOTO, DN 300 MM, JUNTA FLANGEADA. AF_12/2021</t>
  </si>
  <si>
    <t>VÁLVULA DE RETENÇÃO DE FERRO FUNDIDO PARA REDE DE ÁGUA OU ESGOTO, DN 350 MM, JUNTA FLANGEADA. AF_12/2021</t>
  </si>
  <si>
    <t>VÁLVULA DE RETENÇÃO DE FERRO FUNDIDO PARA REDE DE ÁGUA OU ESGOTO, DN 400 MM, JUNTA FLANGEADA. AF_12/2021</t>
  </si>
  <si>
    <t>VÁLVULA DE RETENÇÃO DE FERRO FUNDIDO PARA REDE DE ÁGUA OU ESGOTO, DN 50 MM, JUNTA FLANGEADA. AF_12/2021</t>
  </si>
  <si>
    <t>VÁLVULA DE RETENÇÃO DE FERRO FUNDIDO PARA REDE DE ÁGUA OU ESGOTO, DN 500 MM, JUNTA FLANGEADA. AF_12/2021</t>
  </si>
  <si>
    <t>VÁLVULA DE RETENÇÃO DE FERRO FUNDIDO PARA REDE DE ÁGUA OU ESGOTO, DN 80 MM, JUNTA FLANGEADA. AF_12/2021</t>
  </si>
  <si>
    <t>VÁLVULA REDUTORA DE PRESSÃO DE FERRO FUNDIDO PARA REDE DE ÁGUA, DN 100 MM, JUNTA FLANGEADA. AF_12/2021</t>
  </si>
  <si>
    <t>VÁLVULA REDUTORA DE PRESSÃO DE FERRO FUNDIDO PARA REDE DE ÁGUA, DN 150 MM, JUNTA FLANGEADA. AF_12/2021</t>
  </si>
  <si>
    <t>VÁLVULA REDUTORA DE PRESSÃO DE FERRO FUNDIDO PARA REDE DE ÁGUA, DN 200 MM, JUNTA FLANGEADA. AF_12/2021</t>
  </si>
  <si>
    <t>VÁLVULA REDUTORA DE PRESSÃO DE FERRO FUNDIDO PARA REDE DE ÁGUA, DN 250 MM, JUNTA FLANGEADA. AF_12/2021</t>
  </si>
  <si>
    <t>VÁLVULA REDUTORA DE PRESSÃO DE FERRO FUNDIDO PARA REDE DE ÁGUA, DN 300 MM, JUNTA FLANGEADA. AF_12/2021</t>
  </si>
  <si>
    <t>VÁLVULA REDUTORA DE PRESSÃO DE FERRO FUNDIDO PARA REDE DE ÁGUA, DN 350 MM, JUNTA FLANGEADA. AF_12/2021</t>
  </si>
  <si>
    <t>VÁLVULA REDUTORA DE PRESSÃO DE FERRO FUNDIDO PARA REDE DE ÁGUA, DN 400 MM, JUNTA FLANGEADA. AF_12/2021</t>
  </si>
  <si>
    <t>VÁLVULA REDUTORA DE PRESSÃO DE FERRO FUNDIDO PARA REDE DE ÁGUA, DN 50 MM, JUNTA FLANGEADA. AF_12/2021</t>
  </si>
  <si>
    <t>VÁLVULA REDUTORA DE PRESSÃO DE FERRO FUNDIDO PARA REDE DE ÁGUA, DN 500 MM, JUNTA FLANGEADA. AF_12/2021</t>
  </si>
  <si>
    <t>VÁLVULA REDUTORA DE PRESSÃO DE FERRO FUNDIDO PARA REDE DE ÁGUA, DN 80 MM, JUNTA FLANGEADA. AF_12/2021</t>
  </si>
  <si>
    <t>ABERTURA PARA ENCAIXE DE CUBA OU LAVATORIO EM BANCADA DE MARMORE/ GRANITO OU OUTRO TIPO DE PEDRA NATURAL</t>
  </si>
  <si>
    <t>ABRACADEIRA DE LATAO PARA FIXACAO DE CABO PARA-RAIO, DIMENSOES 32 X 24 X 24 MM</t>
  </si>
  <si>
    <t>ABRACADEIRA DE NYLON PARA AMARRACAO DE CABOS, COMPRIMENTO DE *230* X *7,6* MM</t>
  </si>
  <si>
    <t>ABRACADEIRA DE NYLON PARA AMARRACAO DE CABOS, COMPRIMENTO DE 100 X 2,5 MM</t>
  </si>
  <si>
    <t>ABRACADEIRA DE NYLON PARA AMARRACAO DE CABOS, COMPRIMENTO DE 150 X *3,6* MM</t>
  </si>
  <si>
    <t>ABRACADEIRA DE NYLON PARA AMARRACAO DE CABOS, COMPRIMENTO DE 200 X *4,6* MM</t>
  </si>
  <si>
    <t>ABRACADEIRA DE NYLON PARA AMARRACAO DE CABOS, COMPRIMENTO DE 390 X *4,6* MM</t>
  </si>
  <si>
    <t>ABRACADEIRA EM ACO PARA AMARRACAO DE ELETRODUTOS, TIPO D, COM 1 1/2" E CUNHA DE FIXACAO</t>
  </si>
  <si>
    <t>ABRACADEIRA EM ACO PARA AMARRACAO DE ELETRODUTOS, TIPO D, COM 1 1/2" E PARAFUSO DE FIXACAO</t>
  </si>
  <si>
    <t>ABRACADEIRA EM ACO PARA AMARRACAO DE ELETRODUTOS, TIPO D, COM 1 1/4" E CUNHA DE FIXACAO</t>
  </si>
  <si>
    <t>ABRACADEIRA EM ACO PARA AMARRACAO DE ELETRODUTOS, TIPO D, COM 1 1/4" E PARAFUSO DE FIXACAO</t>
  </si>
  <si>
    <t>ABRACADEIRA EM ACO PARA AMARRACAO DE ELETRODUTOS, TIPO D, COM 1" E CUNHA DE FIXACAO</t>
  </si>
  <si>
    <t>ABRACADEIRA EM ACO PARA AMARRACAO DE ELETRODUTOS, TIPO D, COM 1" E PARAFUSO DE FIXACAO</t>
  </si>
  <si>
    <t>ABRACADEIRA EM ACO PARA AMARRACAO DE ELETRODUTOS, TIPO D, COM 1/2" E CUNHA DE FIXACAO</t>
  </si>
  <si>
    <t>ABRACADEIRA EM ACO PARA AMARRACAO DE ELETRODUTOS, TIPO D, COM 1/2" E PARAFUSO DE FIXACAO</t>
  </si>
  <si>
    <t>ABRACADEIRA EM ACO PARA AMARRACAO DE ELETRODUTOS, TIPO D, COM 2 1/2" E CUNHA DE FIXACAO</t>
  </si>
  <si>
    <t>ABRACADEIRA EM ACO PARA AMARRACAO DE ELETRODUTOS, TIPO D, COM 2 1/2" E PARAFUSO DE FIXACAO</t>
  </si>
  <si>
    <t>ABRACADEIRA EM ACO PARA AMARRACAO DE ELETRODUTOS, TIPO D, COM 2" E CUNHA DE FIXACAO</t>
  </si>
  <si>
    <t>ABRACADEIRA EM ACO PARA AMARRACAO DE ELETRODUTOS, TIPO D, COM 2" E PARAFUSO DE FIXACAO</t>
  </si>
  <si>
    <t>ABRACADEIRA EM ACO PARA AMARRACAO DE ELETRODUTOS, TIPO D, COM 3 1/2" E CUNHA DE FIXACAO</t>
  </si>
  <si>
    <t>ABRACADEIRA EM ACO PARA AMARRACAO DE ELETRODUTOS, TIPO D, COM 3" E CUNHA DE FIXACAO</t>
  </si>
  <si>
    <t>ABRACADEIRA EM ACO PARA AMARRACAO DE ELETRODUTOS, TIPO D, COM 3" E PARAFUSO DE FIXACAO</t>
  </si>
  <si>
    <t>ABRACADEIRA EM ACO PARA AMARRACAO DE ELETRODUTOS, TIPO D, COM 3/4" E CUNHA DE FIXACAO</t>
  </si>
  <si>
    <t>ABRACADEIRA EM ACO PARA AMARRACAO DE ELETRODUTOS, TIPO D, COM 3/4" E PARAFUSO DE FIXACAO</t>
  </si>
  <si>
    <t>ABRACADEIRA EM ACO PARA AMARRACAO DE ELETRODUTOS, TIPO D, COM 3/8" E PARAFUSO DE FIXACAO</t>
  </si>
  <si>
    <t>ABRACADEIRA EM ACO PARA AMARRACAO DE ELETRODUTOS, TIPO D, COM 4" E CUNHA DE FIXACAO</t>
  </si>
  <si>
    <t>ABRACADEIRA EM ACO PARA AMARRACAO DE ELETRODUTOS, TIPO D, COM 4" E PARAFUSO DE FIXACAO</t>
  </si>
  <si>
    <t>ABRACADEIRA EM ACO PARA AMARRACAO DE ELETRODUTOS, TIPO ECONOMICA (GOTA), COM 8"</t>
  </si>
  <si>
    <t>ABRACADEIRA EM ACO PARA AMARRACAO DE ELETRODUTOS, TIPO U SIMPLES, COM 1 1/2"</t>
  </si>
  <si>
    <t>ABRACADEIRA EM ACO PARA AMARRACAO DE ELETRODUTOS, TIPO U SIMPLES, COM 1 1/4"</t>
  </si>
  <si>
    <t>ABRACADEIRA EM ACO PARA AMARRACAO DE ELETRODUTOS, TIPO U SIMPLES, COM 1"</t>
  </si>
  <si>
    <t>ABRACADEIRA EM ACO PARA AMARRACAO DE ELETRODUTOS, TIPO U SIMPLES, COM 1/2"</t>
  </si>
  <si>
    <t>ABRACADEIRA EM ACO PARA AMARRACAO DE ELETRODUTOS, TIPO U SIMPLES, COM 2 1/2"</t>
  </si>
  <si>
    <t>ABRACADEIRA EM ACO PARA AMARRACAO DE ELETRODUTOS, TIPO U SIMPLES, COM 2"</t>
  </si>
  <si>
    <t>ABRACADEIRA EM ACO PARA AMARRACAO DE ELETRODUTOS, TIPO U SIMPLES, COM 3"</t>
  </si>
  <si>
    <t>ABRACADEIRA EM ACO PARA AMARRACAO DE ELETRODUTOS, TIPO U SIMPLES, COM 3/4"</t>
  </si>
  <si>
    <t>ABRACADEIRA EM ACO PARA AMARRACAO DE ELETRODUTOS, TIPO U SIMPLES, COM 3/8"</t>
  </si>
  <si>
    <t>ABRACADEIRA EM ACO PARA AMARRACAO DE ELETRODUTOS, TIPO U SIMPLES, COM 4"</t>
  </si>
  <si>
    <t>ABRACADEIRA PVC, PARA CALHA PLUVIAL, DIAMETRO ENTRE *80 E 100* MM, PARA DRENAGEM PLUVIAL PREDIAL</t>
  </si>
  <si>
    <t>ABRACADEIRA, GALVANIZADA/ZINCADA, ROSCA SEM FIM, PARAFUSO INOX, LARGURA FITA *12,6 A *14 MM, D = 2" A 2 1/2"</t>
  </si>
  <si>
    <t>ABRACADEIRA, GALVANIZADA/ZINCADA, ROSCA SEM FIM, PARAFUSO INOX, LARGURA FITA *12,6 A *14 MM, D = 3" A 3 3/4"</t>
  </si>
  <si>
    <t>ABRACADEIRA, GALVANIZADA/ZINCADA, ROSCA SEM FIM, PARAFUSO INOX, LARGURA FITA *12,6 A *14 MM, D = 4" A 4 3/4"</t>
  </si>
  <si>
    <t>ACABAMENTO DE METAL CROMADO PARA REGISTRO PEQUENO, DE PAREDE, 1/2" OU 3/4"</t>
  </si>
  <si>
    <t>ACABAMENTO SIMPLES/CONVENCIONAL PARA FORRO PVC, TIPO "U" OU "C", COR BRANCA, COMPRIMENTO 6 M</t>
  </si>
  <si>
    <t>ACESSORIO DE LIGACAO NAO ELETRICO PARA CARGAS EXPLOSIVAS, TUBO DE 6 M</t>
  </si>
  <si>
    <t>ACESSORIO INICIADOR NAO ELETRICO, TUBO DE 6 M, TEMPO DE RETARDO DE *160* MS</t>
  </si>
  <si>
    <t>ACETILENO - RECARGA DE GAS PARA CILINDRO (NAO INCLUI TROCA/MANUTENCAO DO CILINDRO)</t>
  </si>
  <si>
    <t>ACIDO CLORIDRICO / ACIDO MURIATICO, DILUICAO 10% A 12% PARA USO EM LIMPEZA</t>
  </si>
  <si>
    <t>ACO CA-25, 10,0 MM, OU 12,5 MM, OU 16,0 MM, OU 20,0 MM, OU 25,0 MM, VERGALHAO</t>
  </si>
  <si>
    <t>ACO CA-25, 16,0 MM, BARRA DE TRANSFERENCIA</t>
  </si>
  <si>
    <t>ACO CA-25, 20,0 MM, BARRA DE TRANSFERENCIA</t>
  </si>
  <si>
    <t>ACO CA-25, 25,0 MM, BARRA DE TRANSFERENCIA</t>
  </si>
  <si>
    <t>ACO CA-25, 32,0 MM, BARRA DE TRANSFERENCIA</t>
  </si>
  <si>
    <t>ACO CA-25, 32,0 MM, VERGALHAO</t>
  </si>
  <si>
    <t>ACO CA-25, 6,3 MM OU 8,0 MM, VERGALHAO</t>
  </si>
  <si>
    <t>ACO CA-50, 10,0 MM, OU 12,5 MM, OU 16,0 MM, OU 20,0 MM, DOBRADO E CORTADO</t>
  </si>
  <si>
    <t>ACO CA-50, 10,0 MM, VERGALHAO</t>
  </si>
  <si>
    <t>ACO CA-50, 12,5 MM OU 16,0 MM, VERGALHAO</t>
  </si>
  <si>
    <t>ACO CA-50, 20,0 MM OU 25,0 MM, VERGALHAO</t>
  </si>
  <si>
    <t>ACO CA-50, 32,0 MM, VERGALHAO</t>
  </si>
  <si>
    <t>ACO CA-50, 6,3 MM, DOBRADO E CORTADO</t>
  </si>
  <si>
    <t>ACO CA-50, 6,3 MM, VERGALHAO</t>
  </si>
  <si>
    <t>ACO CA-50, 8,0 MM, VERGALHAO</t>
  </si>
  <si>
    <t>ACO CA-60, 4,2 MM OU 5,0 MM, DOBRADO E CORTADO</t>
  </si>
  <si>
    <t>ACO CA-60, 4,2 MM, OU 5,0 MM, OU 6,0 MM, OU 7,0 MM, VERGALHAO</t>
  </si>
  <si>
    <t>ACO CA-60, 6,0 MM OU 7,0 MM, DOBRADO E CORTADO</t>
  </si>
  <si>
    <t>ACO CA-60, 8,0 MM OU 9,5 MM, VERGALHAO</t>
  </si>
  <si>
    <t>ACOPLAMENTO RIGIDO EM FERRO FUNDIDO PARA SISTEMA DE TUBULACAO RANHURADA, DN 50 MM (2")</t>
  </si>
  <si>
    <t>ACOPLAMENTO RIGIDO EM FERRO FUNDIDO PARA SISTEMA DE TUBULACAO RANHURADA, DN 65 MM (2 1/2")</t>
  </si>
  <si>
    <t>ACOPLAMENTO RIGIDO EM FERRO FUNDIDO PARA SISTEMA DE TUBULACAO RANHURADA, DN 80 MM (3")</t>
  </si>
  <si>
    <t>ADAPTADOR CPVC, ROSCAVEL, COM FLANGES E ANEL DE VEDACAO, 15 MM, CAIXA D'AGUA PARA AGUA QUENTE</t>
  </si>
  <si>
    <t>ADAPTADOR CPVC, ROSCAVEL, COM FLANGES E ANEL DE VEDACAO, 22 MM, CAIXA D'AGUA PARA AGUA QUENTE</t>
  </si>
  <si>
    <t>ADAPTADOR CPVC, ROSCAVEL, COM FLANGES E ANEL DE VEDACAO, 28 MM, CAIXA D'AGUA PARA AGUA QUENTE</t>
  </si>
  <si>
    <t>ADAPTADOR CPVC, ROSCAVEL, COM FLANGES E ANEL DE VEDACAO, 35 MM, CAIXA D'AGUA PARA AGUA QUENTE</t>
  </si>
  <si>
    <t>ADAPTADOR CPVC, ROSCAVEL, COM FLANGES E ANEL DE VEDACAO, 42 MM, CAIXA D'AGUA PARA AGUA QUENTE</t>
  </si>
  <si>
    <t>ADAPTADOR CPVC, ROSCAVEL, COM FLANGES E ANEL DE VEDACAO, 54 MM, CAIXA D'AGUA PARA AGUA QUENTE</t>
  </si>
  <si>
    <t>ADAPTADOR CPVC, SOLDAVEL, 15 MM, PARA AGUA QUENTE</t>
  </si>
  <si>
    <t>ADAPTADOR CPVC, SOLDAVEL, 22 MM, PARA AGUA QUENTE</t>
  </si>
  <si>
    <t>ADAPTADOR DE COMPRESSAO EM POLIPROPILENO (PP), PARA TUBO EM PEAD, 20 MM X 1/2", PARA LIGACAO PREDIAL DE AGUA (NTS 179)</t>
  </si>
  <si>
    <t>ADAPTADOR DE COMPRESSAO EM POLIPROPILENO (PP), PARA TUBO EM PEAD, 20 MM X 3/4", PARA LIGACAO PREDIAL DE AGUA (NTS 179)</t>
  </si>
  <si>
    <t>ADAPTADOR DE COMPRESSAO EM POLIPROPILENO (PP), PARA TUBO EM PEAD, 32 MM X 1", PARA LIGACAO PREDIAL DE AGUA (NTS 179)</t>
  </si>
  <si>
    <t>ADAPTADOR EM LATAO, ENGATE RAPIDO 2 1/2" X ROSCA INTERNA 5 FIOS 2 1/2", PARA INSTALACAO PREDIAL DE COMBATE A INCENDIO</t>
  </si>
  <si>
    <t>ADAPTADOR EM LATAO, ENGATE RAPIDO1 1/2" X ROSCA INTERNA 5 FIOS 2 1/2", PARA INSTALACAO PREDIAL DE COMBATE A INCENDIO</t>
  </si>
  <si>
    <t>ADAPTADOR PVC PBA, BOLSA/ROSCA, JE, DN 100 / DE 110 MM</t>
  </si>
  <si>
    <t>ADAPTADOR PVC PBA, BOLSA/ROSCA, JE, DN 50 / DE 60 MM</t>
  </si>
  <si>
    <t>ADAPTADOR PVC PBA, BOLSA/ROSCA, JE, DN 75 / DE 85 MM</t>
  </si>
  <si>
    <t>ADAPTADOR PVC PBA, PONTA/ROSCA, JE, DN 50 / DE 60 MM</t>
  </si>
  <si>
    <t>ADAPTADOR PVC PBA, PONTA/ROSCA, JE, DN 75 / DE 85 MM</t>
  </si>
  <si>
    <t>ADAPTADOR PVC SOLDAVEL CURTO COM BOLSA E ROSCA, 110 MM X 4", PARA AGUA FRIA</t>
  </si>
  <si>
    <t>ADAPTADOR PVC SOLDAVEL CURTO COM BOLSA E ROSCA, 20 MM X 1/2", PARA AGUA FRIA</t>
  </si>
  <si>
    <t>ADAPTADOR PVC SOLDAVEL CURTO COM BOLSA E ROSCA, 25 MM X 3/4", PARA AGUA FRIA</t>
  </si>
  <si>
    <t>ADAPTADOR PVC SOLDAVEL CURTO COM BOLSA E ROSCA, 32 MM X 1", PARA AGUA FRIA</t>
  </si>
  <si>
    <t>ADAPTADOR PVC SOLDAVEL CURTO COM BOLSA E ROSCA, 40 MM X 1 1/2", PARA AGUA FRIA</t>
  </si>
  <si>
    <t>ADAPTADOR PVC SOLDAVEL CURTO COM BOLSA E ROSCA, 40 MM X 1 1/4", PARA AGUA FRIA</t>
  </si>
  <si>
    <t>ADAPTADOR PVC SOLDAVEL CURTO COM BOLSA E ROSCA, 50 MM X 1 1/4", PARA AGUA FRIA</t>
  </si>
  <si>
    <t>ADAPTADOR PVC SOLDAVEL CURTO COM BOLSA E ROSCA, 50 MM X1 1/2", PARA AGUA FRIA</t>
  </si>
  <si>
    <t>ADAPTADOR PVC SOLDAVEL CURTO COM BOLSA E ROSCA, 60 MM X 2", PARA AGUA FRIA</t>
  </si>
  <si>
    <t>ADAPTADOR PVC SOLDAVEL CURTO COM BOLSA E ROSCA, 75 MM X 2 1/2", PARA AGUA FRIA</t>
  </si>
  <si>
    <t>ADAPTADOR PVC SOLDAVEL CURTO COM BOLSA E ROSCA, 85 MM X 3", PARA AGUA FRIA</t>
  </si>
  <si>
    <t>ADAPTADOR PVC SOLDAVEL, COM FLANGE E ANEL DE VEDACAO, 20 MM X 1/2", PARA CAIXA D'AGUA</t>
  </si>
  <si>
    <t>ADAPTADOR PVC SOLDAVEL, COM FLANGE E ANEL DE VEDACAO, 25 MM X 3/4", PARA CAIXA D'AGUA</t>
  </si>
  <si>
    <t>ADAPTADOR PVC SOLDAVEL, COM FLANGE E ANEL DE VEDACAO, 32 MM X 1", PARA CAIXA D'AGUA</t>
  </si>
  <si>
    <t>ADAPTADOR PVC SOLDAVEL, COM FLANGE E ANEL DE VEDACAO, 40 MM X 1 1/4", PARA CAIXA D'AGUA</t>
  </si>
  <si>
    <t>ADAPTADOR PVC SOLDAVEL, COM FLANGE E ANEL DE VEDACAO, 50 MM X 1 1/2", PARA CAIXA D'AGUA</t>
  </si>
  <si>
    <t>ADAPTADOR PVC, COM REGISTRO, PARA PEAD, 20 MM X 3/4", PARA LIGACAO PREDIAL DE AGUA</t>
  </si>
  <si>
    <t>ADAPTADOR PVC, ROSCAVEL, COM FLANGES E ANEL DE VEDACAO, 1 1/2", PARA CAIXA D'AGUA</t>
  </si>
  <si>
    <t>ADAPTADOR PVC, ROSCAVEL, COM FLANGES E ANEL DE VEDACAO, 1", PARA CAIXA D'AGUA</t>
  </si>
  <si>
    <t>ADAPTADOR PVC, ROSCAVEL, COM FLANGES E ANEL DE VEDACAO, 1/2", PARA CAIXA D'AGUA</t>
  </si>
  <si>
    <t>ADAPTADOR PVC, ROSCAVEL, COM FLANGES E ANEL DE VEDACAO, 3/4", PARA CAIXA D'AGUA</t>
  </si>
  <si>
    <t>ADAPTADOR PVC, SOLDAVEL, COM FLANGES E ANEL DE VEDACAO, 60 MM X 2", PARA CAIXA D'AGUA</t>
  </si>
  <si>
    <t>ADAPTADOR PVC, SOLDAVEL, COM FLANGES LIVRES, 110 MM X 4", PARA CAIXA D'AGUA</t>
  </si>
  <si>
    <t>ADAPTADOR PVC, SOLDAVEL, COM FLANGES LIVRES, 75 MM X 2 1/2", PARA CAIXA D'AGUA</t>
  </si>
  <si>
    <t>ADAPTADOR PVC, SOLDAVEL, COM FLANGES LIVRES, 85 MM X 3", PARA CAIXA D'AGUA</t>
  </si>
  <si>
    <t>ADAPTADOR PVC, SOLDAVEL, LONGO, COM FLANGE LIVRE, 110 MM X 4", PARA CAIXA D'AGUA</t>
  </si>
  <si>
    <t>ADAPTADOR PVC, SOLDAVEL, LONGO, COM FLANGE LIVRE, 32 MM X 1", PARA CAIXA D'AGUA</t>
  </si>
  <si>
    <t>ADAPTADOR PVC, SOLDAVEL, LONGO, COM FLANGE LIVRE, 75 MM X 2 1/2", PARA CAIXA D'AGUA</t>
  </si>
  <si>
    <t>ADAPTADOR PVC, SOLDAVEL, LONGO, COM FLANGE LIVRE, 85 MM X 3", PARA CAIXA D'AGUA</t>
  </si>
  <si>
    <t>ADESIVO / COLA DE CONTATO LIQUIDO, A BASE DE RESINAS, PARA COLAGEM DE ESPUMA PARA ISOLAMENTO TERMICO FLEXIVEL</t>
  </si>
  <si>
    <t>ADESIVO / COLA PARA EPS (ISOPOR) E OUTROS MATERIAIS</t>
  </si>
  <si>
    <t>ADESIVO ACRILICO DE BASE AQUOSA / COLA DE CONTATO</t>
  </si>
  <si>
    <t>ADESIVO ESTRUTURAL A BASE DE RESINA EPOXI PARA INJECAO EM TRINCAS, BICOMPONENTE, BAIXA VISCOSIDADE</t>
  </si>
  <si>
    <t>ADESIVO ESTRUTURAL A BASE DE RESINA EPOXI, BICOMPONENTE, FLUIDO</t>
  </si>
  <si>
    <t>ADESIVO ESTRUTURAL A BASE DE RESINA EPOXI, BICOMPONENTE, PASTOSO (TIXOTROPICO)</t>
  </si>
  <si>
    <t>ADESIVO PARA TUBOS CPVC, *75* G</t>
  </si>
  <si>
    <t>ADESIVO PLASTICO PARA PVC, BISNAGA COM 75 GR</t>
  </si>
  <si>
    <t>ADESIVO PLASTICO PARA PVC, FRASCO COM *850* GR</t>
  </si>
  <si>
    <t>ADESIVO PLASTICO PARA PVC, FRASCO COM 175 GR</t>
  </si>
  <si>
    <t>ADITIVO ACELERADOR DE PEGA E ENDURECIMENTO PARA ARGAMASSAS E CONCRETOS, LIQUIDO E ISENTO DE CLORETOS</t>
  </si>
  <si>
    <t>ADITIVO ADESIVO LIQUIDO PARA ARGAMASSAS DE REVESTIMENTOS CIMENTICIOS</t>
  </si>
  <si>
    <t>ADITIVO IMPERMEABILIZANTE CRISTALIZANTE PARA CONCRETO</t>
  </si>
  <si>
    <t>ADITIVO IMPERMEABILIZANTE DE PEGA NORMAL PARA ARGAMASSAS E CONCRETOS SEM ARMACAO, LIQUIDO E ISENTO DE CLORETOS</t>
  </si>
  <si>
    <t>ADITIVO IMPERMEABILIZANTE DE PEGA ULTRARRAPIDA, LIQUIDO E ISENTO DE CLORETOS</t>
  </si>
  <si>
    <t>ADITIVO LIQUIDO INCORPORADOR DE AR PARA CONCRETO E ARGAMASSA, LIQUIDO E ISENTO DE CLORETOS</t>
  </si>
  <si>
    <t>ADITIVO PLASTIFICANTE E ESTABILIZADOR PARA ARGAMASSAS DE ASSENTAMENTO E REBOCO, LIQUIDO E ISENTO DE CLORETOS</t>
  </si>
  <si>
    <t>ADITIVO PLASTIFICANTE RETARDADOR DE PEGA E REDUTOR DE AGUA PARA CONCRETO, LIQUIDO E ISENTO DE CLORETOS</t>
  </si>
  <si>
    <t>ADITIVO SUPERPLASTIFICANTE DE PEGA NORMAL PARA CONCRETO, LIQUIDO E ISENTO DE CLORETOS</t>
  </si>
  <si>
    <t>ADUELA/ GALERIA PRE-MOLDADA DE CONCRETO ARMADO, SECAO QUADRADA INTERNA DE 1,50 X 1,50 M (L X A), MISULA DE 20 X 20 CM, C = 1,00 M, ESPESSURA MIN = 15 CM, TB-45 E FCK DO CONCRETO = 30 MPA</t>
  </si>
  <si>
    <t>ADUELA/ GALERIA PRE-MOLDADA DE CONCRETO ARMADO, SECAO RETANGULAR INTERNA DE 2,00 X 2,00 M (L X A), MISULA DE 20 X 20 CM, C = 1,00 M, ESPESSURA MIN = 15 CM, TB-45 E FCK DO CONCRETO = 30 MPA</t>
  </si>
  <si>
    <t>ADUELA/ GALERIA PRE-MOLDADA DE CONCRETO ARMADO, SECAO RETANGULAR INTERNA DE 2,50 X 2,50 M (L X A), MISULA DE 20 X 20 CM, C = 1,00 M, ESPESSURA MIN = 15 CM, TB-45 E FCK DO CONCRETO = 30 MPA</t>
  </si>
  <si>
    <t>ADUELA/ GALERIA PRE-MOLDADA DE CONCRETO ARMADO, SECAO RETANGULAR INTERNA DE 3,00 X 3,00 M (L X A), MISULA DE 20 X 20 CM, C = 1.00 M, ESPESSURA MIN = 20 CM, TB-45 E FCK DO CONCRETO = 30 MPA</t>
  </si>
  <si>
    <t>AFASTADOR PARA TELHA DE FIBROCIMENTO CANALETE 90 OU KALHETAO</t>
  </si>
  <si>
    <t>AGENTE DE CURA, PROTETOR DA EVAPORACAO DA AGUA DE HIDRATACAO DO CONCRETO</t>
  </si>
  <si>
    <t>AGREGADO RECICLADO, TIPO RACHAO RECICLADO CINZA, CLASSE A</t>
  </si>
  <si>
    <t>AJUDANTE DE ARMADOR (HORISTA)</t>
  </si>
  <si>
    <t>AJUDANTE DE ARMADOR (MENSALISTA)</t>
  </si>
  <si>
    <t>AJUDANTE DE ELETRICISTA (HORISTA)</t>
  </si>
  <si>
    <t>AJUDANTE DE ELETRICISTA (MENSALISTA)</t>
  </si>
  <si>
    <t>AJUDANTE DE ESTRUTURAS METALICAS (HORISTA)</t>
  </si>
  <si>
    <t>AJUDANTE DE ESTRUTURAS METALICAS (MENSALISTA)</t>
  </si>
  <si>
    <t>AJUDANTE DE OPERACAO EM GERAL (HORISTA)</t>
  </si>
  <si>
    <t>AJUDANTE DE OPERACAO EM GERAL (MENSALISTA)</t>
  </si>
  <si>
    <t>AJUDANTE DE PINTOR (HORISTA)</t>
  </si>
  <si>
    <t>AJUDANTE DE PINTOR (MENSALISTA)</t>
  </si>
  <si>
    <t>AJUDANTE DE SERRALHEIRO (HORISTA)</t>
  </si>
  <si>
    <t>AJUDANTE DE SERRALHEIRO (MENSALISTA)</t>
  </si>
  <si>
    <t>AJUDANTE ESPECIALIZADO (HORISTA)</t>
  </si>
  <si>
    <t>AJUDANTE ESPECIALIZADO (MENSALISTA)</t>
  </si>
  <si>
    <t>ALCA PREFORMADA DE CONTRA POSTE, EM ACO GALVANIZADO, PARA CABO 3/16", COMPRIMENTO *860* MM</t>
  </si>
  <si>
    <t>ALCA PREFORMADA DE DISTRIBUICAO, EM ACO GALVANIZADO, PARA CABO DE ALUMINIO DIAMETRO 16 A 25 MM</t>
  </si>
  <si>
    <t>ALCA PREFORMADA DE DISTRIBUICAO, EM ACO GALVANIZADO, PARA CONDUTORES DE ALUMINIO AWG 1/0 (CAA 6/1 OU CA 7 FIOS)</t>
  </si>
  <si>
    <t>ALCA PREFORMADA DE DISTRIBUICAO, EM ACO GALVANIZADO, PARA CONDUTORES DE ALUMINIO AWG 2 (CAA 6/1 OU CA 7 FIOS)</t>
  </si>
  <si>
    <t>ALCA PREFORMADA DE SERVICO, EM ACO GALVANIZADO, PARA CONDUTORES DE ALUMINIO AWG 4 (CAA 6/1)</t>
  </si>
  <si>
    <t>ALCA PREFORMADA DE SERVICO, EM ACO GALVANIZADO, PARA CONDUTORES DE ALUMINIO AWG 6 (CAA 6/1)</t>
  </si>
  <si>
    <t>ALICATE DE CORTE DIAGONAL 6" COM ISOLAMENTO</t>
  </si>
  <si>
    <t>ALICATE DE CRIMPAR RJ11, RJ12 E RJ45, COM CATRACA</t>
  </si>
  <si>
    <t>ALICATE DE PRESSAO 11" PARA SOLDA, TIPO C</t>
  </si>
  <si>
    <t>ALICATE DE PRESSAO 11" PARA SOLDA, TIPO U</t>
  </si>
  <si>
    <t>ALICATE DE PRESSAO PARA SOLDA DE CHAPA 18"</t>
  </si>
  <si>
    <t>ALICATE PARA ANEIS DE PISTAO, CAPACIDADE *50* A 100 MM</t>
  </si>
  <si>
    <t>ALIMENTACAO - HORISTA (COLETADO CAIXA - ENCARGOS COMPLEMENTARES)</t>
  </si>
  <si>
    <t>ALIMENTACAO - MENSALISTA (COLETADO CAIXA - ENCARGOS COMPLEMENTARES)</t>
  </si>
  <si>
    <t>ALISADORA DE CONCRETO COM MOTOR A GASOLINA DE 5,5 HP, PESO COM MOTOR DE 78 KG, 4 PAS</t>
  </si>
  <si>
    <t>ALMOXARIFE (HORISTA)</t>
  </si>
  <si>
    <t>ALMOXARIFE (MENSALISTA)</t>
  </si>
  <si>
    <t>ALONGADOR COM TRES ALTURAS, EM TUBO DE ACO CARBONO, PINTURA NO PROCESSO ELETROSTATICO - EQUIPAMENTO DE GINASTICA PARA ACADEMIA AO AR LIVRE / ACADEMIA DA TERCEIRA IDADE - ATI</t>
  </si>
  <si>
    <t>ANEL BORRACHA PARA TUBO ESGOTO PREDIAL, DN 100 MM (NBR 5688)</t>
  </si>
  <si>
    <t>ANEL BORRACHA PARA TUBO ESGOTO PREDIAL, DN 50 MM (NBR 5688)</t>
  </si>
  <si>
    <t>ANEL BORRACHA PARA TUBO ESGOTO PREDIAL, DN 75 MM (NBR 5688)</t>
  </si>
  <si>
    <t>ANEL BORRACHA, DN 100 MM, PARA TUBO SERIE REFORCADA ESGOTO PREDIAL</t>
  </si>
  <si>
    <t>ANEL BORRACHA, DN 150 MM, PARA TUBO SERIE REFORCADA ESGOTO PREDIAL</t>
  </si>
  <si>
    <t>ANEL BORRACHA, DN 50 MM, PARA TUBO SERIE REFORCADA ESGOTO PREDIAL</t>
  </si>
  <si>
    <t>ANEL BORRACHA, DN 75 MM, PARA TUBO SERIE REFORCADA ESGOTO PREDIAL</t>
  </si>
  <si>
    <t>ANEL BORRACHA, PARA TUBO PVC DEFOFO, DN 100 MM (NBR 7665)</t>
  </si>
  <si>
    <t>ANEL BORRACHA, PARA TUBO PVC DEFOFO, DN 150 MM (NBR 7665)</t>
  </si>
  <si>
    <t>ANEL BORRACHA, PARA TUBO PVC DEFOFO, DN 200 MM (NBR 7665)</t>
  </si>
  <si>
    <t>ANEL BORRACHA, PARA TUBO PVC, REDE COLETOR ESGOTO, DN 100 MM (NBR 7362)</t>
  </si>
  <si>
    <t>ANEL BORRACHA, PARA TUBO PVC, REDE COLETOR ESGOTO, DN 150 MM (NBR 7362)</t>
  </si>
  <si>
    <t>ANEL BORRACHA, PARA TUBO PVC, REDE COLETOR ESGOTO, DN 200 MM (NBR 7362)</t>
  </si>
  <si>
    <t>ANEL BORRACHA, PARA TUBO PVC, REDE COLETOR ESGOTO, DN 250 MM (NBR 7362)</t>
  </si>
  <si>
    <t>ANEL BORRACHA, PARA TUBO PVC, REDE COLETOR ESGOTO, DN 350 MM (NBR 7362)</t>
  </si>
  <si>
    <t>ANEL BORRACHA, PARA TUBO PVC, REDE COLETOR ESGOTO, DN 400 MM (NBR 7362)</t>
  </si>
  <si>
    <t>ANEL BORRACHA, PARA TUBO, PVC REDE COLETOR ESGOTO, DN 300 MM (NBR 7362)</t>
  </si>
  <si>
    <t>ANEL BORRACHA, PARA TUBO/CONEXAO PVC PBA, DN 100 MM, PARA REDE AGUA</t>
  </si>
  <si>
    <t>ANEL BORRACHA, PARA TUBO/CONEXAO PVC PBA, DN 50 MM, PARA REDE AGUA</t>
  </si>
  <si>
    <t>ANEL BORRACHA, PARA TUBO/CONEXAO PVC PBA, DN 60 MM, PARA REDE AGUA</t>
  </si>
  <si>
    <t>ANEL BORRACHA, PARA TUBO/CONEXAO PVC PBA, DN 75 MM, PARA REDE AGUA</t>
  </si>
  <si>
    <t>ANEL DE BORRACHA PARA VEDACAO DE DUTO PEAD CORRUGADO PARA ELETRICA, DN 1 1/2" (NBR 15715)</t>
  </si>
  <si>
    <t>ANEL DE BORRACHA PARA VEDACAO DE DUTO PEAD CORRUGADO PARA ELETRICA, DN 1 1/4" (NBR 15715)</t>
  </si>
  <si>
    <t>ANEL DE BORRACHA PARA VEDACAO DE DUTO PEAD CORRUGADO PARA ELETRICA, DN 2" (NBR 15715)</t>
  </si>
  <si>
    <t>ANEL DE BORRACHA PARA VEDACAO DE DUTO PEAD CORRUGADO PARA ELETRICA, DN 3" (NBR 15715)</t>
  </si>
  <si>
    <t>ANEL DE BORRACHA PARA VEDACAO DE DUTO PEAD CORRUGADO PARA ELETRICA, DN 4" (NBR 15715)</t>
  </si>
  <si>
    <t>ANEL DE CONCRETO ARMADO COM FUNDO, PARA FOSSA E POCO 1,50 X *0,50* M</t>
  </si>
  <si>
    <t>ANEL DE CONCRETO ARMADO COM FUNDO, PARA FOSSA E POCO 2,00 X *0,50* M</t>
  </si>
  <si>
    <t>ANEL DE CONCRETO ARMADO COM FUNDO, PARA FOSSA E POCO 2,50 X *0,50* M</t>
  </si>
  <si>
    <t>ANEL DE CONCRETO ARMADO, COM FUROS/DRENO PARA SUMIDOURO, D = 0,80 M, H = 0,50 M</t>
  </si>
  <si>
    <t>ANEL DE CONCRETO ARMADO, COM FUROS/DRENO PARA SUMIDOURO, D = 1,00 M, H = 0,50M</t>
  </si>
  <si>
    <t>ANEL DE CONCRETO ARMADO, COM FUROS/DRENO PARA SUMIDOURO, D = 1,50 M, H = 0,50 M</t>
  </si>
  <si>
    <t>ANEL DE DISTRIBUICAO EM ACO GALVANIZADO PARA FIO FE-160</t>
  </si>
  <si>
    <t>ANEL DE EXPANSAO EM COBRE, ENGATE RAPIDO 1 1/2", PARA EMPATACAO MANGUEIRA DE COMBATE A INCENDIO PREDIAL</t>
  </si>
  <si>
    <t>ANEL DE EXPANSAO EM COBRE, ENGATE RAPIDO 2 1/2", PARA EMPATACAO MANGUEIRA DE COMBATE A INCENDIO PREDIAL</t>
  </si>
  <si>
    <t>ANEL DE VEDACAO, PVC FLEXIVEL, 100 MM, PARA SAIDA DE BACIA / VASO SANITARIO</t>
  </si>
  <si>
    <t>ANEL DE VEDACAO/JUNTA ELASTICA, H = *16* MM, PARA TUBO DE CONCRETO, DN 300 MM</t>
  </si>
  <si>
    <t>ANEL DE VEDACAO/JUNTA ELASTICA, H = *16* MM, PARA TUBO DE CONCRETO, DN 400 MM</t>
  </si>
  <si>
    <t>ANEL DE VEDACAO/JUNTA ELASTICA, H = *16* MM, PARA TUBO DE CONCRETO, DN 500 MM</t>
  </si>
  <si>
    <t>ANEL DE VEDACAO/JUNTA ELASTICA, H = *16* MM, PARA TUBO DE CONCRETO, DN 600 MM</t>
  </si>
  <si>
    <t>ANEL DE VEDACAO/JUNTA ELASTICA, H = *18* MM, PARA TUBO DE CONCRETO, DN 700 MM</t>
  </si>
  <si>
    <t>ANEL DE VEDACAO/JUNTA ELASTICA, H = *19* MM, PARA TUBO DE CONCRETO, DN 800 MM</t>
  </si>
  <si>
    <t>ANEL DE VEDACAO/JUNTA ELASTICA, H = *19* MM, PARA TUBO DE CONCRETO, DN 900 MM</t>
  </si>
  <si>
    <t>ANEL DE VEDACAO/JUNTA ELASTICA, H = *21* MM, PARA TUBO DE CONCRETO, DN 1000 MM</t>
  </si>
  <si>
    <t>ANEL EM CONCRETO ARMADO, LISO, PARA FOSSAS SEPTICAS E SUMIDOUROS, COM FUNDO, DIAMETRO INTERNO DE 1,20 M E ALTURA DE 0,50 M</t>
  </si>
  <si>
    <t>ANEL EM CONCRETO ARMADO, LISO, PARA FOSSAS SEPTICAS E SUMIDOUROS, COM FUNDO, DIAMETRO INTERNO DE 3,00 M E ALTURA DE 0,50 M</t>
  </si>
  <si>
    <t>ANEL EM CONCRETO ARMADO, LISO, PARA FOSSAS SEPTICAS E SUMIDOUROS, SEM FUNDO, DIAMETRO INTERNO DE 2,00 M E ALTURA DE 0,50 M</t>
  </si>
  <si>
    <t>ANEL EM CONCRETO ARMADO, LISO, PARA FOSSAS SEPTICAS E SUMIDOUROS, SEM FUNDO, DIAMETRO INTERNO DE 2,50 M E ALTURA DE 0,50 M</t>
  </si>
  <si>
    <t>ANEL EM CONCRETO ARMADO, LISO, PARA FOSSAS SEPTICAS E SUMIDOUROS, SEM FUNDO, DIAMETRO INTERNO DE 3,00 M E ALTURA DE 0,50 M</t>
  </si>
  <si>
    <t>ANEL EM CONCRETO ARMADO, LISO, PARA POCOS DE INSPECAO, COM FUNDO, DIAMETRO INTERNO DE 0,60 M E ALTURA DE 0,50 M</t>
  </si>
  <si>
    <t>ANEL EM CONCRETO ARMADO, LISO, PARA POCOS DE INSPECAO, SEM FUNDO, DIAMETRO INTERNO DE 0,60 M E ALTURA DE 0,20 M</t>
  </si>
  <si>
    <t>ANEL EM CONCRETO ARMADO, LISO, PARA POCOS DE INSPECAO, SEM FUNDO, DIAMETRO INTERNO DE 0,60 M E ALTURA DE 0,50 M</t>
  </si>
  <si>
    <t>ANEL EM CONCRETO ARMADO, LISO, PARA POCOS DE VISITA, POCOS DE INSPECAO, FOSSAS SEPTICAS E SUMIDOUROS, COM FUNDO, DIAMETRO INTERNO DE 1,20 M E ALTURA DE 0,75 M</t>
  </si>
  <si>
    <t>ANEL EM CONCRETO ARMADO, LISO, PARA POCOS DE VISITA, POCOS DE INSPECAO, FOSSAS SEPTICAS E SUMIDOUROS, SEM FUNDO, DIAMETRO INTERNO DE 1,20 M E ALTURA DE 0,50 M</t>
  </si>
  <si>
    <t>ANEL EM CONCRETO ARMADO, LISO, PARA POCOS DE VISITAS, POCOS DE INSPECAO, FOSSAS SEPTICAS E SUMIDOUROS, COM FUNDO, DIAMETRO INTERNO DE 0,80 M E ALTURA DE 0,50 M</t>
  </si>
  <si>
    <t>ANEL EM CONCRETO ARMADO, LISO, PARA POCOS DE VISITAS, POCOS DE INSPECAO, FOSSAS SEPTICAS E SUMIDOUROS, COM FUNDO, DIAMETRO INTERNO DE 1,00 M E ALTURA DE 0,50 M</t>
  </si>
  <si>
    <t>ANEL EM CONCRETO ARMADO, LISO, PARA POCOS DE VISITAS, POCOS DE INSPECAO, FOSSAS SEPTICAS E SUMIDOUROS, SEM FUNDO, DIAMETRO INTERNO DE 0,80 M E ALTURA DE 0,50 M</t>
  </si>
  <si>
    <t>ANEL EM CONCRETO ARMADO, LISO, PARA POCOS DE VISITAS, POCOS DE INSPECAO, FOSSAS SEPTICAS E SUMIDOUROS, SEM FUNDO, DIAMETRO INTERNO DE 1,00 M E ALTURA DE 0,50 M</t>
  </si>
  <si>
    <t>ANEL EM CONCRETO ARMADO, LISO, PARA, POCOS DE VISITA, POCOS DE INSPECAO, FOSSAS SEPTICAS E SUMIDOUROS, COM FUNDO, DIAMETRO INTERNO DE 1,50 M E ALTURA DE 1,00 M</t>
  </si>
  <si>
    <t>ANEL EM CONCRETO ARMADO, LISO, PARA, POCOS DE VISITA, POCOS DE INSPECAO, FOSSAS SEPTICAS E SUMIDOUROS, SEM FUNDO, DIAMETRO INTERNO DE 1,50 M E ALTURA DE 0,50 M</t>
  </si>
  <si>
    <t>ANEL EM CONCRETO ARMADO, PERFURADO, PARA FOSSAS SEPTICAS E SUMIDOUROS, SEM FUNDO, DIAMETRO INTERNO DE 1,20 M E ALTURA DE 0,50 M</t>
  </si>
  <si>
    <t>ANEL EM CONCRETO ARMADO, PERFURADO, PARA FOSSAS SEPTICAS E SUMIDOUROS, SEM FUNDO, DIAMETRO INTERNO DE 2,00 M E ALTURA DE 0,50 M</t>
  </si>
  <si>
    <t>ANEL EM CONCRETO ARMADO, PERFURADO, PARA FOSSAS SEPTICAS E SUMIDOUROS, SEM FUNDO, DIAMETRO INTERNO DE 2,50 M E ALTURA DE 0,50 M</t>
  </si>
  <si>
    <t>ANEL EM CONCRETO ARMADO, PERFURADO, PARA FOSSAS SEPTICAS E SUMIDOUROS, SEM FUNDO, DIAMETRO INTERNO DE 3,00 M E ALTURA DE 0,50 M</t>
  </si>
  <si>
    <t>APARELHO CORTE OXI-ACETILENO PARA SOLDA E CORTE CONTENDO MACARICO SOLDA, BICO DE CORTE, CILINDROS, REGULADORES, MANGUEIRAS E CARRINHO</t>
  </si>
  <si>
    <t>APARELHO SINALIZADOR LUMINOSO COM LED, PARA SAIDA GARAGEM, COM 2 LENTES EM POLICARBONATO, BIVOLT (INCLUI SUPORTE DE FIXACAO)</t>
  </si>
  <si>
    <t>APONTADOR OU APROPRIADOR DE MAO DE OBRA (HORISTA)</t>
  </si>
  <si>
    <t>APONTADOR OU APROPRIADOR DE MAO DE OBRA (MENSALISTA)</t>
  </si>
  <si>
    <t>AQUECEDOR SOLAR COM RESERVATORIO TERMICO DE 1000 L E *5* PLACAS COLETORAS DE *2,0* M2 (NAO INCLUI ACESSORIOS) (SEM INSTALACAO)</t>
  </si>
  <si>
    <t>AQUECEDOR SOLAR COM RESERVATORIO TERMICO DE 400 L E *2* PLACAS COLETORAS DE *2,0* M2 (NAO INCLUI ACESSORIOS) (SEM INSTALACAO)</t>
  </si>
  <si>
    <t>AQUECEDOR SOLAR COM RESERVATORIO TERMICO DE 600 L E *3* PLACAS COLETORAS DE *2,0* M2 (NAO INCLUI ACESSORIOS) (SEM INSTALACAO)</t>
  </si>
  <si>
    <t>AQUECEDOR SOLAR COM RESERVATORIO TERMICO DE 800 L E *4* PLACAS COLETORAS DE *2,0* M2 (NAO INCLUI ACESSORIOS) (SEM INSTALACAO)</t>
  </si>
  <si>
    <t>AQUECEDOR SOLAR DE INSTALACAO EXTERNA, KIT COMPACTO, CONJUNTO COM RESERVATORIO TERMICO DE 200 L, PLACA COLETORA DE *2,0* M2 E INCLUSO ACESSORIOS (RESIDENCIAS ATE 120,00 M2 E DE 4 A 5 BANHOS POR DIA) (SEM INSTALACAO)</t>
  </si>
  <si>
    <t>AR-CONDICIONADO FRIO SPLITAO MODULAR 10 TR</t>
  </si>
  <si>
    <t>AR-CONDICIONADO FRIO SPLITAO MODULAR 15 TR</t>
  </si>
  <si>
    <t>AR-CONDICIONADO FRIO SPLITAO MODULAR 20 TR</t>
  </si>
  <si>
    <t>AR-CONDICIONADO SPLIT INVERTER, PISO TETO, 24000 BTU/H, QUENTE/FRIO, 60HZ, CLASSIFICACAO ENERGETICA A - SELO PROCEL, GAS HFC, CONTROLE S/FIO</t>
  </si>
  <si>
    <t>ARAME DE ACO OVALADO 15 X 17 (45,7 KG, 700 KGF), ROLO 1000 M</t>
  </si>
  <si>
    <t>ARAME DE AMARRACAO PARA GABIAO GALVANIZADO, DIAMETRO 2,2 MM</t>
  </si>
  <si>
    <t>ARAME FARPADO GALVANIZADO, 14 BWG (2,11 MM), CLASSE 250</t>
  </si>
  <si>
    <t>ARAME FARPADO GALVANIZADO, 16 BWG (1,65 MM), CLASSE 250</t>
  </si>
  <si>
    <t>ARAME GALVANIZADO 12 BWG, D = 2,76 MM (0,048 KG/M) OU 14 BWG, D = 2,11 MM (0,026 KG/M)</t>
  </si>
  <si>
    <t>ARAME GALVANIZADO 16 BWG, D = 1,65MM (0,0166 KG/M)</t>
  </si>
  <si>
    <t>ARAME GALVANIZADO 18 BWG, D = 1,24MM (0,009 KG/M)</t>
  </si>
  <si>
    <t>ARAME PROTEGIDO COM POLIMERO PARA GABIAO, DIAMETRO 2,2 MM</t>
  </si>
  <si>
    <t>ARAME RECOZIDO 16 BWG, D = 1,65 MM (0,016 KG/M) OU 18 BWG, D = 1,25 MM (0,01 KG/M)</t>
  </si>
  <si>
    <t>AREIA FINA - POSTO JAZIDA/FORNECEDOR (RETIRADO NA JAZIDA, SEM TRANSPORTE)</t>
  </si>
  <si>
    <t>AREIA GROSSA - POSTO JAZIDA/FORNECEDOR (RETIRADO NA JAZIDA, SEM TRANSPORTE)</t>
  </si>
  <si>
    <t>AREIA MEDIA - POSTO JAZIDA/FORNECEDOR (RETIRADO NA JAZIDA, SEM TRANSPORTE)</t>
  </si>
  <si>
    <t>AREIA PARA ATERRO - POSTO JAZIDA/FORNECEDOR (RETIRADO NA JAZIDA, SEM TRANSPORTE)</t>
  </si>
  <si>
    <t>AREIA PARA LEITO FILTRANTE (0,42 A 1,68 MM) - POSTO JAZIDA/FORNECEDOR (RETIRADO NA JAZIDA, SEM TRANSPORTE)</t>
  </si>
  <si>
    <t>ARGAMASSA COLANTE AC I PARA CERAMICAS</t>
  </si>
  <si>
    <t>ARGAMASSA COLANTE AC II</t>
  </si>
  <si>
    <t>ARGAMASSA COLANTE TIPO AC III</t>
  </si>
  <si>
    <t>ARGAMASSA COLANTE TIPO AC III E</t>
  </si>
  <si>
    <t>ARGAMASSA INDUSTRIALIZADA MULTIUSO, PARA REVESTIMENTO INTERNO E EXTERNO E ASSENTAMENTO DE BLOCOS DIVERSOS</t>
  </si>
  <si>
    <t>ARGAMASSA INDUSTRIALIZADA PARA CHAPISCO ROLADO</t>
  </si>
  <si>
    <t>ARGAMASSA PARA REVESTIMENTO DECORATIVO MONOCAMADA</t>
  </si>
  <si>
    <t>ARGAMASSA PISO SOBRE PISO</t>
  </si>
  <si>
    <t>ARGAMASSA POLIMERICA DE REPARO ESTRUTURAL, BICOMPONENTE</t>
  </si>
  <si>
    <t>ARGAMASSA POLIMERICA IMPERMEABILIZANTE SEMIFLEXIVEL, BICOMPONENTE, A BASE DE CIMENTO E ADITIVOS</t>
  </si>
  <si>
    <t>ARGAMASSA PRONTA PARA CONTRAPISO</t>
  </si>
  <si>
    <t>ARGAMASSA USINADA AUTOADENSAVEL E AUTONIVELANTE PARA CONTRAPISO, COM BOMBEAMENTO (DISPONIBILIZACAO DE BOMBA), SEM O LANCAMENTO</t>
  </si>
  <si>
    <t>ARGILA EXPANDIDA, GRANULOMETRIA 2215</t>
  </si>
  <si>
    <t>ARGILA OU BARRO PARA ATERRO/REATERRO (COM TRANSPORTE ATE 10 KM)</t>
  </si>
  <si>
    <t>ARGILA OU BARRO PARA ATERRO/REATERRO (RETIRADO NA JAZIDA, SEM TRANSPORTE)</t>
  </si>
  <si>
    <t>ARGILA, ARGILA VERMELHA OU ARGILA ARENOSA (RETIRADA NA JAZIDA, SEM TRANSPORTE)</t>
  </si>
  <si>
    <t>ARMACAO VERTICAL COM HASTE E CONTRA-PINO, EM CHAPA DE ACO GALVANIZADO 3/16", COM 1 ESTRIBO E 1 ISOLADOR</t>
  </si>
  <si>
    <t>ARMACAO VERTICAL COM HASTE E CONTRA-PINO, EM CHAPA DE ACO GALVANIZADO 3/16", COM 1 ESTRIBO, SEM ISOLADOR</t>
  </si>
  <si>
    <t>ARMACAO VERTICAL COM HASTE E CONTRA-PINO, EM CHAPA DE ACO GALVANIZADO 3/16", COM 2 ESTRIBOS, E 2 ISOLADORES</t>
  </si>
  <si>
    <t>ARMACAO VERTICAL COM HASTE E CONTRA-PINO, EM CHAPA DE ACO GALVANIZADO 3/16", COM 2 ESTRIBOS, SEM ISOLADOR</t>
  </si>
  <si>
    <t>ARMACAO VERTICAL COM HASTE E CONTRA-PINO, EM CHAPA DE ACO GALVANIZADO 3/16", COM 3 ESTRIBOS E 3 ISOLADORES</t>
  </si>
  <si>
    <t>ARMACAO VERTICAL COM HASTE E CONTRA-PINO, EM CHAPA DE ACO GALVANIZADO 3/16", COM 3 ESTRIBOS, SEM ISOLADOR</t>
  </si>
  <si>
    <t>ARMACAO VERTICAL COM HASTE E CONTRA-PINO, EM CHAPA DE ACO GALVANIZADO 3/16", COM 4 ESTRIBOS E 4 ISOLADORES</t>
  </si>
  <si>
    <t>ARMACAO VERTICAL COM HASTE E CONTRA-PINO, EM CHAPA DE ACO GALVANIZADO 3/16", COM 4 ESTRIBOS, SEM ISOLADOR</t>
  </si>
  <si>
    <t>ARMADOR (HORISTA)</t>
  </si>
  <si>
    <t>ARMADOR (MENSALISTA)</t>
  </si>
  <si>
    <t>ARQUITETO JUNIOR (HORISTA)</t>
  </si>
  <si>
    <t>ARQUITETO JUNIOR (MENSALISTA)</t>
  </si>
  <si>
    <t>ARQUITETO PLENO (HORISTA)</t>
  </si>
  <si>
    <t>ARQUITETO PLENO (MENSALISTA)</t>
  </si>
  <si>
    <t>ARQUITETO SENIOR (HORISTA)</t>
  </si>
  <si>
    <t>ARQUITETO SENIOR (MENSALISTA)</t>
  </si>
  <si>
    <t>ARRUELA EM ALUMINIO, COM ROSCA, DE 1 1/2", PARA ELETRODUTO</t>
  </si>
  <si>
    <t>ARRUELA EM ALUMINIO, COM ROSCA, DE 1 1/4", PARA ELETRODUTO</t>
  </si>
  <si>
    <t>ARRUELA EM ALUMINIO, COM ROSCA, DE 1", PARA ELETRODUTO</t>
  </si>
  <si>
    <t>ARRUELA EM ALUMINIO, COM ROSCA, DE 1/2", PARA ELETRODUTO</t>
  </si>
  <si>
    <t>ARRUELA EM ALUMINIO, COM ROSCA, DE 2 1/2", PARA ELETRODUTO</t>
  </si>
  <si>
    <t>ARRUELA EM ALUMINIO, COM ROSCA, DE 2", PARA ELETRODUTO</t>
  </si>
  <si>
    <t>ARRUELA EM ALUMINIO, COM ROSCA, DE 3", PARA ELETRODUTO</t>
  </si>
  <si>
    <t>ARRUELA EM ALUMINIO, COM ROSCA, DE 3/4", PARA ELETRODUTO</t>
  </si>
  <si>
    <t>ARRUELA EM ALUMINIO, COM ROSCA, DE 3/8", PARA ELETRODUTO</t>
  </si>
  <si>
    <t>ARRUELA EM ALUMINIO, COM ROSCA, DE 4", PARA ELETRODUTO</t>
  </si>
  <si>
    <t>ARRUELA LISA, REDONDA, DE LATAO POLIDO, DIAMETRO NOMINAL 5/8", DIAMETRO EXTERNO = 34 MM, DIAMETRO DO FURO = 17 MM, ESPESSURA = *2,5* MM</t>
  </si>
  <si>
    <t>ASFALTO MODIFICADO TIPO I - NBR 9910 (ASFALTO OXIDADO PARA IMPERMEABILIZACAO, COEFICIENTE DE PENETRACAO 25-40)</t>
  </si>
  <si>
    <t>ASFALTO MODIFICADO TIPO II - NBR 9910 (ASFALTO OXIDADO PARA IMPERMEABILIZACAO, COEFICIENTE DE PENETRACAO 20-35)</t>
  </si>
  <si>
    <t>ASFALTO MODIFICADO TIPO III - NBR 9910 (ASFALTO OXIDADO PARA IMPERMEABILIZACAO, COEFICIENTE DE PENETRACAO 15-25)</t>
  </si>
  <si>
    <t>ASSENTADOR DE MANILHAS (HORISTA)</t>
  </si>
  <si>
    <t>ASSENTADOR DE MANILHAS (MENSALISTA)</t>
  </si>
  <si>
    <t>ASSENTO SANITARIO DE PLASTICO, TIPO CONVENCIONAL</t>
  </si>
  <si>
    <t>ASSENTO VASO SANITARIO INFANTIL EM PLASTICO BRANCO</t>
  </si>
  <si>
    <t>AUTOMATICO DE BOIA SUPERIOR / INFERIOR, *15* A / 250 V</t>
  </si>
  <si>
    <t>AUXILIAR DE AZULEJISTA (HORISTA)</t>
  </si>
  <si>
    <t>AUXILIAR DE AZULEJISTA (MENSALISTA)</t>
  </si>
  <si>
    <t>AUXILIAR DE ENCANADOR OU BOMBEIRO HIDRAULICO (HORISTA)</t>
  </si>
  <si>
    <t>AUXILIAR DE ENCANADOR OU BOMBEIRO HIDRAULICO (MENSALISTA)</t>
  </si>
  <si>
    <t>AUXILIAR DE ESCRITORIO (HORISTA)</t>
  </si>
  <si>
    <t>AUXILIAR DE ESCRITORIO (MENSALISTA)</t>
  </si>
  <si>
    <t>AUXILIAR DE LABORATORISTA DE SOLOS E DE CONCRETO (HORISTA)</t>
  </si>
  <si>
    <t>AUXILIAR DE LABORATORISTA DE SOLOS E DE CONCRETO (MENSALISTA)</t>
  </si>
  <si>
    <t>AUXILIAR DE MECANICO (HORISTA)</t>
  </si>
  <si>
    <t>AUXILIAR DE MECANICO (MENSALISTA)</t>
  </si>
  <si>
    <t>AUXILIAR DE PEDREIRO (HORISTA)</t>
  </si>
  <si>
    <t>AUXILIAR DE PEDREIRO (MENSALISTA)</t>
  </si>
  <si>
    <t>AUXILIAR DE SERVICOS GERAIS (HORISTA)</t>
  </si>
  <si>
    <t>AUXILIAR DE SERVICOS GERAIS (MENSALISTA)</t>
  </si>
  <si>
    <t>AUXILIAR DE TOPOGRAFO (HORISTA)</t>
  </si>
  <si>
    <t>AUXILIAR DE TOPOGRAFO (MENSALISTA)</t>
  </si>
  <si>
    <t>AUXILIAR TECNICO / ASSISTENTE DE ENGENHARIA (HORISTA)</t>
  </si>
  <si>
    <t>AUXILIAR TECNICO / ASSISTENTE DE ENGENHARIA (MENSALISTA)</t>
  </si>
  <si>
    <t>AVENTAL DE SEGURANCA DE RASPA DE COURO 1,00 X 0,60 M</t>
  </si>
  <si>
    <t>AZULEJISTA OU LADRILHEIRO (HORISTA)</t>
  </si>
  <si>
    <t>AZULEJISTA OU LADRILHEIRO (MENSALISTA)</t>
  </si>
  <si>
    <t>BACIA SANITARIA (VASO) COM CAIXA ACOPLADA, SIFAO APARENTE, DE LOUCA BRANCA (SEM ASSENTO)</t>
  </si>
  <si>
    <t>BACIA SANITARIA (VASO) COM CAIXA ACOPLADA, SIFAO OCULTO / CARENADO, DE LOUCA BRANCA (SEM ASSENTO) - PADRAO ALTO</t>
  </si>
  <si>
    <t>BACIA SANITARIA (VASO) CONVENCIONAL PARA PCD, SEM FURO FRONTAL, DE LOUCA BRANCA (SEM ASSENTO)</t>
  </si>
  <si>
    <t>BACIA SANITARIA (VASO) CONVENCIONAL PARA USO ESPECIFICO (HOSPITAIS, CLINICAS), COM FURO FRONTAL, DE LOUCA BRANCA, SEM ASSENTO</t>
  </si>
  <si>
    <t>BACIA SANITARIA (VASO) CONVENCIONAL, DE LOUCA BRANCA, SIFAO APARENTE, SAIDA VERTICAL (SEM ASSENTO)</t>
  </si>
  <si>
    <t>BACIA SANITARIA (VASO) CONVENCIONAL, DE LOUCA COLORIDA, SIFAO APARENTE, SAIDA VERTICAL (SEM ASSENTO)</t>
  </si>
  <si>
    <t>BACIA SANITARIA (VASO) INFANTIL, SIFONADO, DE LOUCA BRANCA, (SEM ASSENTO)</t>
  </si>
  <si>
    <t>BALDE VERMELHO PARA SINALIZACAO DE VIAS</t>
  </si>
  <si>
    <t>BANCADA DE MARMORE SINTETICO COM UMA CUBA, 120 X *60* CM</t>
  </si>
  <si>
    <t>BANCADA DE MARMORE SINTETICO COM UMA CUBA, 150 X *60* CM</t>
  </si>
  <si>
    <t>BANCADA DE MARMORE SINTETICO COM UMA CUBA, 200 X *60* CM</t>
  </si>
  <si>
    <t>BANCADA/ BANCA EM GRANITO, POLIDO, TIPO ANDORINHA/ QUARTZ/ CASTELO/ CORUMBA OU OUTROS EQUIVALENTES DA REGIAO, COM CUBA INOX, FORMATO *120 X 60* CM, E= *2* CM</t>
  </si>
  <si>
    <t>BANCADA/ BANCA/ BALCAO/ TAMPO EM MARMORE BRANCO COMUM, POLIDO, LISO, ACABAMENTO RETO, E= *3* CM (SEM FUROS)</t>
  </si>
  <si>
    <t>BANCADA/BANCA/PIA DE ACO INOXIDAVEL (AISI 430) COM 1 CUBA CENTRAL, COM VALVULA, ESCORREDOR DUPLO, DE *0,55 X 1,20* M</t>
  </si>
  <si>
    <t>BANCADA/BANCA/PIA DE ACO INOXIDAVEL (AISI 430) COM 1 CUBA CENTRAL, COM VALVULA, ESCORREDOR DUPLO, DE *0,55 X 1,40* M</t>
  </si>
  <si>
    <t>BANCADA/BANCA/PIA DE ACO INOXIDAVEL (AISI 430) COM 1 CUBA CENTRAL, COM VALVULA, ESCORREDOR DUPLO, DE *0,55 X 1,80* M</t>
  </si>
  <si>
    <t>BANCADA/BANCA/PIA DE ACO INOXIDAVEL (AISI 430) COM 1 CUBA CENTRAL, COM VALVULA, LISA (SEM ESCORREDOR), DE *0,55 X 1,20* M</t>
  </si>
  <si>
    <t>BANCADA/BANCA/PIA DE ACO INOXIDAVEL (AISI 430) COM 1 CUBA CENTRAL, SEM VALVULA, ESCORREDOR DUPLO, DE *0,55 X 1,60* M</t>
  </si>
  <si>
    <t>BANCADA/BANCA/PIA DE ACO INOXIDAVEL (AISI 430) COM 2 CUBAS, COM VALVULAS, ESCORREDOR DUPLO, DE *0,55 X 2,00* M</t>
  </si>
  <si>
    <t>BANCADA/TAMPO ACO INOX (AISI 304), LARGURA 60 CM, COM RODABANCA (NAO INCLUI PES DE APOIO)</t>
  </si>
  <si>
    <t>BANCADA/TAMPO ACO INOX (AISI 304), LARGURA 70 CM, COM RODABANCA (NAO INCLUI PES DE APOIO)</t>
  </si>
  <si>
    <t>BANCADA/TAMPO LISO (SEM CUBA) EM MARMORE SINTETICO</t>
  </si>
  <si>
    <t>BANCO ARTICULADO PARA BANHO, EM ACO INOX POLIDO, 70* CM X 45* CM</t>
  </si>
  <si>
    <t>BANCO COM ENCOSTO, 1,60M* DE COMPRIMENTO, EM TUBO DE ACO CARBONO E PINTURA NO PROCESSO ELETROSTATICO - PARA ACADEMIA AO AR LIVRE / ACADEMIA DA TERCEIRA IDADE - ATI</t>
  </si>
  <si>
    <t>BANDEJA DE PINTURA PARA ROLO 23 CM</t>
  </si>
  <si>
    <t>BARRA ANTIPANICO DUPLA, CEGA EM LADO OPOSTO, COR CINZA</t>
  </si>
  <si>
    <t>BARRA ANTIPANICO DUPLA, PARA PORTA DE VIDRO, COR CINZA</t>
  </si>
  <si>
    <t>BARRA ANTIPANICO SIMPLES, CEGA EM LADO OPOSTO, COR CINZA</t>
  </si>
  <si>
    <t>BARRA ANTIPANICO SIMPLES, COM FECHADURA LADO OPOSTO, COR CINZA</t>
  </si>
  <si>
    <t>BARRA ANTIPANICO SIMPLES, PARA PORTA DE VIDRO, COR CINZA</t>
  </si>
  <si>
    <t>BARRA DE ACO CHATA, RETANGULAR (QUALQUER BITOLA)</t>
  </si>
  <si>
    <t>BARRA DE ACO CHATO, RETANGULAR, 19,05 MM X 3,17 MM (L X E), 0,47 KG/M</t>
  </si>
  <si>
    <t>BARRA DE ACO CHATO, RETANGULAR, 25,4 MM X 4,76 MM (L X E), 0,94 KG/M</t>
  </si>
  <si>
    <t>BARRA DE ACO CHATO, RETANGULAR, 25,4 MM X 6,35 MM (L X E), 1,2265 KG/M</t>
  </si>
  <si>
    <t>BARRA DE ACO CHATO, RETANGULAR, 38,1 MM X 12,7 MM (L X E), 3,79 KG/M</t>
  </si>
  <si>
    <t>BARRA DE ACO CHATO, RETANGULAR, 38,1 MM X 6,35 MM (L X E), 1,89 KG/M</t>
  </si>
  <si>
    <t>BARRA DE ACO CHATO, RETANGULAR, 38,1 MM X 9,53 MM (L X E), 2,84 KG/M</t>
  </si>
  <si>
    <t>BARRA DE ACO CHATO, RETANGULAR, 50,8 MM X 12,7 MM (L X E), 5,06 KG/M</t>
  </si>
  <si>
    <t>BARRA DE ACO CHATO, RETANGULAR, 50,8 MM X 25,4 MM (L X E), 10,12 KG/M</t>
  </si>
  <si>
    <t>BARRA DE ACO CHATO, RETANGULAR, 50,8 MM X 6,35 MM (L X E), 2,53 KG/M</t>
  </si>
  <si>
    <t>BARRA DE ACO CHATO, RETANGULAR, 50,8 MM X 7,94 MM (L X E), 3,162 KG/M</t>
  </si>
  <si>
    <t>BARRA DE ACO CHATO, RETANGULAR, 50,8 MM X 9,53 MM (L X E), 3,79KG/M</t>
  </si>
  <si>
    <t>BARRA DE APOIO EM "L", EM ACO INOX POLIDO 70 X 70 CM, DIAMETRO MINIMO 3 CM</t>
  </si>
  <si>
    <t>BARRA DE APOIO EM "L", EM ACO INOX POLIDO 80 X 80 CM, DIAMETRO MINIMO 3 CM</t>
  </si>
  <si>
    <t>BARRA DE APOIO LATERAL ARTICULADA, COM TRAVA, EM ACO INOX POLIDO, 70 CM, DIAMETRO MINIMO 3 CM</t>
  </si>
  <si>
    <t>BARRA DE APOIO RETA, EM ACO INOX POLIDO, COMPRIMENTO 60CM, DIAMETRO MINIMO 3 CM</t>
  </si>
  <si>
    <t>BARRA DE APOIO RETA, EM ACO INOX POLIDO, COMPRIMENTO 70CM, DIAMETRO MINIMO 3 CM</t>
  </si>
  <si>
    <t>BARRA DE APOIO RETA, EM ACO INOX POLIDO, COMPRIMENTO 80CM, DIAMETRO MINIMO 3 CM</t>
  </si>
  <si>
    <t>BARRA DE APOIO RETA, EM ACO INOX POLIDO, COMPRIMENTO 90 CM, DIAMETRO MINIMO 3 CM</t>
  </si>
  <si>
    <t>BARRA DE APOIO RETA, EM ALUMINIO, COMPRIMENTO 60CM, DIAMETRO MINIMO 3 CM</t>
  </si>
  <si>
    <t>BARRA DE APOIO RETA, EM ALUMINIO, COMPRIMENTO 70CM, DIAMETRO MINIMO 3 CM</t>
  </si>
  <si>
    <t>BARRA DE APOIO RETA, EM ALUMINIO, COMPRIMENTO 80 CM, DIAMETRO MINIMO 3 CM</t>
  </si>
  <si>
    <t>BARRA DE APOIO RETA, EM ALUMINIO, COMPRIMENTO 90 CM, DIAMETRO MINIMO 3 CM</t>
  </si>
  <si>
    <t>BASE DE MISTURADOR MONOCOMANDO PARA CHUVEIRO, DE PAREDE (NAO INCLUI ACABAMENTOS)</t>
  </si>
  <si>
    <t>BASE PARA MASTRO DE PARA-RAIOS DIAMETRO NOMINAL 1 1/2"</t>
  </si>
  <si>
    <t>BASE PARA MASTRO DE PARA-RAIOS DIAMETRO NOMINAL 2"</t>
  </si>
  <si>
    <t>BASE PARA RELE COM SUPORTE METALICO</t>
  </si>
  <si>
    <t>BASTIDOR PARA BLOCO M10</t>
  </si>
  <si>
    <t>BATE-ESTACAS POR GRAVIDADE, POTENCIA160 HP, PESO DO MARTELO ATE 3 TONELADAS</t>
  </si>
  <si>
    <t>BATENTE / PORTAL / ADUELA / MARCO EM MADEIRA MACICA COM REBAIXO, E = *3* CM, L = *14* CM, PARA PORTAS DE GIRO DE *60 CM A 120* CM X *210* CM, CEDRINHO / ANGELIM COMERCIAL / TAURI / CURUPIXA / PEROBA / CUMARU OU EQUIVALENTE DA REGIAO (NAO INCLUI ALIZARES)</t>
  </si>
  <si>
    <t>BATENTE / PORTAL / ADUELA / MARCO EM MADEIRA MACICA COM REBAIXO, E = *3* CM, L = *14* CM, PARA PORTAS DE GIRO DE *60 CM A 120* CM X *210* CM, PINUS / EUCALIPTO / VIROLA OU EQUIVALENTE DA REGIAO (NAO INCLUI ALIZARES)</t>
  </si>
  <si>
    <t>BATENTE / PORTAL / ADUELA / MARCO EM MADEIRA MACICA COM REBAIXO, E = *3* CM, L = *16* CM, PARA PORTAS DE GIRO DE *60 CM A 120* CM X *210* CM, CEDRINHO / ANGELIM COMERCIAL / TAURI / CURUPIXA / PEROBA / CUMARU OU EQUIVALENTE DA REGIAO (NAO INCLUI ALIZARES)</t>
  </si>
  <si>
    <t>BATENTE / PORTAL / ADUELA / MARCO EM MADEIRA MACICA COM REBAIXO, E = *3* CM, L = *16* CM, PARA PORTAS DE GIRO DE *60 CM A 120* CM X *210* CM, PINUS / EUCALIPTO / VIROLA OU EQUIVALENTE DA REGIAO (NAO INCLUI ALIZARES)</t>
  </si>
  <si>
    <t>BATENTE/PORTAL/ADUELA/MARCO, EM MDF/PVC WOOD/POLIESTIRENO OU MADEIRA LAMINADA, L = *9,0* CM COM GUARNICAO REGULAVEL 2 FACES = *35* MM, PRIMER</t>
  </si>
  <si>
    <t>BLASTER, DINAMITADOR OU CABO DE FOGO (HORISTA)</t>
  </si>
  <si>
    <t>BLASTER, DINAMITADOR OU CABO DE FOGO (MENSALISTA)</t>
  </si>
  <si>
    <t>BLOCO / TIJOLO DE VIDRO INCOLOR, CANELADO / ONDULADO, *19 X 19 X 8* CM (A X L X E)</t>
  </si>
  <si>
    <t>BLOCO / TIJOLO DE VIDRO INCOLOR, XADREZ, *20 X 20 X 10* CM (A X L X E)</t>
  </si>
  <si>
    <t>BLOCO CERAMICO / TIJOLO VAZADO PARA ALVENARIA DE VEDACAO, 4 FUROS NA HORIZONTAL DE 9 X 9 X 19 CM (L X A X C)</t>
  </si>
  <si>
    <t>BLOCO CERAMICO / TIJOLO VAZADO PARA ALVENARIA DE VEDACAO, 6 FUROS NA HORIZONTAL DE 11,5 X 19 X 29 CM (L X A X C)</t>
  </si>
  <si>
    <t>BLOCO CERAMICO / TIJOLO VAZADO PARA ALVENARIA DE VEDACAO, 6 FUROS NA HORIZONTAL DE 11,5 X 19 X 39 CM (L X A X C)</t>
  </si>
  <si>
    <t>BLOCO CERAMICO / TIJOLO VAZADO PARA ALVENARIA DE VEDACAO, 6 FUROS NA HORIZONTAL DE 9 X 14 X 19 CM (L X A X C)</t>
  </si>
  <si>
    <t>BLOCO CERAMICO / TIJOLO VAZADO PARA ALVENARIA DE VEDACAO, 6 FUROS NA HORIZONTAL DE 9 X 14 X 24 CM (L X A X C)</t>
  </si>
  <si>
    <t>BLOCO CERAMICO / TIJOLO VAZADO PARA ALVENARIA DE VEDACAO, 6 FUROS NA HORIZONTAL DE 9 X 19 X 39 CM (L X A X C)</t>
  </si>
  <si>
    <t>BLOCO CERAMICO / TIJOLO VAZADO PARA ALVENARIA DE VEDACAO, 8 FUROS NA HORIZONTAL DE 9 X 19 X 19 CM (L X A X C)</t>
  </si>
  <si>
    <t>BLOCO CERAMICO / TIJOLO VAZADO PARA ALVENARIA DE VEDACAO, 8 FUROS NA HORIZONTAL DE 9 X 19 X 29 CM (L X A X C)</t>
  </si>
  <si>
    <t>BLOCO CERAMICO / TIJOLO VAZADO PARA ALVENARIA DE VEDACAO, 9 FUROS NA HORIZONTAL DE 11,5 X 14 X 24 CM (L X A X C)</t>
  </si>
  <si>
    <t>BLOCO CERAMICO / TIJOLO VAZADO PARA ALVENARIA DE VEDACAO, 9 FUROS NA HORIZONTAL DE 14 X 19 X 29 CM (L X A X C)</t>
  </si>
  <si>
    <t>BLOCO CERAMICO / TIJOLO VAZADO PARA ALVENARIA DE VEDACAO, 9 FUROS NA HORIZONTAL DE 14 X 19 X 39 CM (L X A X C)</t>
  </si>
  <si>
    <t>BLOCO CERAMICO / TIJOLO VAZADO PARA ALVENARIA DE VEDACAO, 9 FUROS NA HORIZONTAL DE 19 X 19 X 29 CM (L X A X C)</t>
  </si>
  <si>
    <t>BLOCO CERAMICO / TIJOLO VAZADO PARA ALVENARIA DE VEDACAO, 9 FUROS NA HORIZONTAL DE 19 X 19 X 39 CM (L X A X C)</t>
  </si>
  <si>
    <t>BLOCO CERAMICO / TIJOLO VAZADO PARA ALVENARIA DE VEDACAO, FUROS NA HORIZONTAL DE 11,5 X 19 X 19 CM (L X A X C)</t>
  </si>
  <si>
    <t>BLOCO CERAMICO / TIJOLO VAZADO PARA ALVENARIA DE VEDACAO, FUROS NA VERTICAL DE 11,5 X 19 X 29 CM (L X A X C)</t>
  </si>
  <si>
    <t>BLOCO CERAMICO / TIJOLO VAZADO PARA ALVENARIA DE VEDACAO, FUROS NA VERTICAL DE 11,5 X 19 X 39 CM (L X A X C)</t>
  </si>
  <si>
    <t>BLOCO CERAMICO / TIJOLO VAZADO PARA ALVENARIA DE VEDACAO, FUROS NA VERTICAL DE 14 X 19 X 29 CM (L X A X C)</t>
  </si>
  <si>
    <t>BLOCO CERAMICO / TIJOLO VAZADO PARA ALVENARIA DE VEDACAO, FUROS NA VERTICAL DE 14 X 19 X 39 CM (L X A X C)</t>
  </si>
  <si>
    <t>BLOCO CERAMICO / TIJOLO VAZADO PARA ALVENARIA DE VEDACAO, FUROS NA VERTICAL DE 19 X 19 X 39 CM (L X A X C)</t>
  </si>
  <si>
    <t>BLOCO CERAMICO / TIJOLO VAZADO PARA ALVENARIA DE VEDACAO, FUROS NA VERTICAL DE 9 X 19 X 39 CM (L X A X C)</t>
  </si>
  <si>
    <t>BLOCO CONCRETO CELULAR AUTOCLAVADO 12,5 X 30 X 60 CM (E X A X C)</t>
  </si>
  <si>
    <t>BLOCO CONCRETO CELULAR AUTOCLAVADO 7,5 X 30 X 60 CM (E X A X C)</t>
  </si>
  <si>
    <t>BLOCO DE CONCRETO ESTRUTURAL 14 X 19 X 29 CM, FBK 14 MPA (NBR 6136)</t>
  </si>
  <si>
    <t>BLOCO DE CONCRETO ESTRUTURAL 14 X 19 X 29 CM, FBK 4,5 MPA (NBR 6136)</t>
  </si>
  <si>
    <t>BLOCO DE CONCRETO ESTRUTURAL 14 X 19 X 29 CM, FBK 8 MPA (NBR 6136)</t>
  </si>
  <si>
    <t>BLOCO DE CONCRETO ESTRUTURAL 14 X 19 X 34 CM, FBK 4,5 MPA (NBR 6136)</t>
  </si>
  <si>
    <t>BLOCO DE CONCRETO ESTRUTURAL 14 X 19 X 39 CM, FBK 14 MPA (NBR 6136)</t>
  </si>
  <si>
    <t>BLOCO DE CONCRETO ESTRUTURAL 14 X 19 X 39 CM, FBK 4,5 MPA (NBR 6136)</t>
  </si>
  <si>
    <t>BLOCO DE CONCRETO ESTRUTURAL 14 X 19 X 39 CM, FBK 8 MPA (NBR 6136)</t>
  </si>
  <si>
    <t>BLOCO DE CONCRETO ESTRUTURAL 19 X 19 X 39 CM, FBK 10 MPA (NBR 6136)</t>
  </si>
  <si>
    <t>BLOCO DE CONCRETO ESTRUTURAL 19 X 19 X 39 CM, FBK 12 MPA (NBR 6136)</t>
  </si>
  <si>
    <t>BLOCO DE CONCRETO ESTRUTURAL 19 X 19 X 39 CM, FBK 14 MPA (NBR 6136)</t>
  </si>
  <si>
    <t>BLOCO DE CONCRETO ESTRUTURAL 19 X 19 X 39 CM, FBK 16 MPA (NBR 6136)</t>
  </si>
  <si>
    <t>BLOCO DE CONCRETO ESTRUTURAL 19 X 19 X 39 CM, FBK 4,5 MPA (NBR 6136)</t>
  </si>
  <si>
    <t>BLOCO DE CONCRETO ESTRUTURAL 19 X 19 X 39 CM, FBK 8 MPA (NBR 6136)</t>
  </si>
  <si>
    <t>BLOCO DE CONCRETO ESTRUTURAL 9 X 19 X 39 CM, FBK 4,5 MPA (NBR 6136)</t>
  </si>
  <si>
    <t>BLOCO DE ENGATE RAPIDO PARA BASTIDOR TIPO M10</t>
  </si>
  <si>
    <t>BLOCO DE ESPUMA MULTIUSO *23X 13 X 8* CM</t>
  </si>
  <si>
    <t>BLOCO DE GESSO COMPACTO / MACICO, BRANCO, E = 10 CM, DIMENSOES *67 X 50* CM</t>
  </si>
  <si>
    <t>BLOCO DE GESSO VAZADO, BRANCO, E = *7* CM, DIMENSOES *67 X 50* CM</t>
  </si>
  <si>
    <t>BLOCO DE POLIETILENO ALTA DENSIDADE, *27* X *30* X *100* CM, ACOMPANHADOS PLACAS TERMINAIS E LONGARINAS, PARA FUNDO DE FILTRO</t>
  </si>
  <si>
    <t>BLOCO DE VEDACAO CONCRETO 14 X 19 X 29 CM (CLASSE C - NBR 6136)</t>
  </si>
  <si>
    <t>BLOCO DE VEDACAO CONCRETO APARENTE 9 X 19 X 39 CM (CLASSE C - NBR 6136)</t>
  </si>
  <si>
    <t>BLOCO DE VEDACAO DE CONCRETO 14 X 19 X 39 CM (CLASSE C - NBR 6136)</t>
  </si>
  <si>
    <t>BLOCO DE VEDACAO DE CONCRETO 19 X 19 X 39 CM (CLASSE C - NBR 6136)</t>
  </si>
  <si>
    <t>BLOCO DE VEDACAO DE CONCRETO APARENTE 14 X 19 X 39 CM (CLASSE C - NBR 6136)</t>
  </si>
  <si>
    <t>BLOCO DE VEDACAO DE CONCRETO APARENTE 19 X 19 X 39 CM (CLASSE C - NBR 6136)</t>
  </si>
  <si>
    <t>BLOCO DE VEDACAO DE CONCRETO CELULAR AUTOCLAVADO 10 X 30 X 60 CM (E X A X C)</t>
  </si>
  <si>
    <t>BLOCO DE VEDACAO DE CONCRETO CELULAR AUTOCLAVADO 15 X 30 X 60 CM (E X A X C)</t>
  </si>
  <si>
    <t>BLOCO DE VEDACAO DE CONCRETO CELULAR AUTOCLAVADO 20 X 30 X 60 CM (E X A X C)</t>
  </si>
  <si>
    <t>BLOCO DE VEDACAO DE CONCRETO, 9 X 19 X 39 CM (CLASSE C - NBR 6136)</t>
  </si>
  <si>
    <t>BLOCO DE VIDRO / ELEMENTO VAZADO, INCOLOR, VENEZIANA, *20 X 20 X 6* CM (A X L X E)</t>
  </si>
  <si>
    <t>BLOCO DE VIDRO / ELEMENTO VAZADO, INCOLOR, VENEZIANA, DE *20 X 10 X 8* CM (A X L X E)</t>
  </si>
  <si>
    <t>BLOCO ESTRUTURAL CERAMICO DE 14 X 19 X 29 CM (L X A X C) E 6,0 MPA</t>
  </si>
  <si>
    <t>BLOCO ESTRUTURAL CERAMICO DE 14 X 19 X 34 CM (L X A X C) E 6,0 MPA</t>
  </si>
  <si>
    <t>BLOCO ESTRUTURAL CERAMICO DE 14 X 19 X 39 CM (L X A X C) E 6,0 MPA</t>
  </si>
  <si>
    <t>BLOCO ESTRUTURAL CERAMICO DE 19 X 19 X 29 CM (L X A X C) E 6,0 MPA</t>
  </si>
  <si>
    <t>BLOCO ESTRUTURAL CERAMICO DE 19 X 19 X 39 CM (L X A X C) E 6,0 MPA</t>
  </si>
  <si>
    <t>BLOQUETE/PISO DE CONCRETO - MODELO PISOGRAMA/CONCREGRAMA 2 FUROS, DIMENSOES APROX. DE *35 X 15* CM E ESPESSURA DE 7 CM (+/- 1 CM), COR NATURAL</t>
  </si>
  <si>
    <t>BLOQUETE/PISO DE CONCRETO - MODELO PISOGRAMA/CONCREGRAMA/PAVI-GRADE/GRAMEIRO, DIMENSOES APROXIMADAS DE *60 X 45* CM E ESPESSURA DE 8 CM (+/- 1 CM), COR NATURAL</t>
  </si>
  <si>
    <t>BLOQUETE/PISO INTERTRAVADO DE CONCRETO - MODELO ONDA/16 FACES/RETANGULAR/TIJOLINHO/PAVER/HOLANDES/PARALELEPIPEDO, *20 X 10* CM, E = 10 CM, RESISTENCIA DE 35 MPA, COR NATURAL</t>
  </si>
  <si>
    <t>BLOQUETE/PISO INTERTRAVADO DE CONCRETO - MODELO ONDA/16 FACES/RETANGULAR/TIJOLINHO/PAVER/HOLANDES/PARALELEPIPEDO, *20 X 10* CM, E = 10 CM, RESISTENCIA DE 50 MPA, COR NATURAL</t>
  </si>
  <si>
    <t>BLOQUETE/PISO INTERTRAVADO DE CONCRETO - MODELO ONDA/16 FACES/RETANGULAR/TIJOLINHO/PAVER/HOLANDES/PARALELEPIPEDO, *20 X 10* CM, E = 6 CM, RESISTENCIA DE 35 MPA, COLORIDO</t>
  </si>
  <si>
    <t>BLOQUETE/PISO INTERTRAVADO DE CONCRETO - MODELO ONDA/16 FACES/RETANGULAR/TIJOLINHO/PAVER/HOLANDES/PARALELEPIPEDO, *20 X 10* CM, E = 6 CM, RESISTENCIA DE 35 MPA, COR NATURAL</t>
  </si>
  <si>
    <t>BLOQUETE/PISO INTERTRAVADO DE CONCRETO - MODELO ONDA/16 FACES/RETANGULAR/TIJOLINHO/PAVER/HOLANDES/PARALELEPIPEDO, *20 X 10* CM, E = 8 CM, RESISTENCIA DE 35 MPA, COLORIDO</t>
  </si>
  <si>
    <t>BLOQUETE/PISO INTERTRAVADO DE CONCRETO - MODELO ONDA/16 FACES/RETANGULAR/TIJOLINHO/PAVER/HOLANDES/PARALELEPIPEDO, *20 X 10* CM, E = 8 CM, RESISTENCIA DE 35 MPA, COR NATURAL</t>
  </si>
  <si>
    <t>BLOQUETE/PISO INTERTRAVADO DE CONCRETO - MODELO RAQUETE, *22 X 13,5* CM, E = 6 CM, RESISTENCIA DE 35 MPA, COR NATURAL</t>
  </si>
  <si>
    <t>BLOQUETE/PISO INTERTRAVADO DE CONCRETO - MODELO SEXTAVADO / HEXAGONAL, *25 X 25* CM, E = 10 CM, RESISTENCIA DE 35 MPA, COR NATURAL</t>
  </si>
  <si>
    <t>BLOQUETE/PISO INTERTRAVADO DE CONCRETO - MODELO SEXTAVADO / HEXAGONAL, *25 X 25* CM, E = 6 CM, RESISTENCIA DE 35 MPA, COR NATURAL</t>
  </si>
  <si>
    <t>BLOQUETE/PISO INTERTRAVADO DE CONCRETO - MODELO SEXTAVADO / HEXAGONAL, *25 X 25* CM, E = 8 CM, RESISTENCIA DE 35 MPA, COR NATURAL</t>
  </si>
  <si>
    <t>BOCAL PVC, PARA CALHA PLUVIAL, DIAMETRO DA SAIDA ENTRE *75 E 120* MM, PARA DRENAGEM PLUVIAL PREDIAL</t>
  </si>
  <si>
    <t>BOLSA DE LIGACAO EM PVC FLEXIVEL PARA VASO SANITARIO 40 MM (1 1/2")</t>
  </si>
  <si>
    <t>BOLSA DE LONA PARA FERRAMENTAS *50 X 35 X 25* CM</t>
  </si>
  <si>
    <t>BOMBA CENTRIFUGA COM MOTOR ELETRICO MONOFASICO, POTENCIA 0,33 HP, BOCAIS 1" X 3/4", DIAMETRO DO ROTOR 99 MM, HM/Q = 4 MCA / 8,5 M3/H A 18 MCA / 0,90 M3/H</t>
  </si>
  <si>
    <t>BOMBA CENTRIFUGA MONOESTAGIO COM MOTOR ELETRICO MONOFASICO, POTENCIA 15 HP, DIAMETRO DO ROTOR *173* MM, HM/Q = *30* MCA / *90* M3/H A *45* MCA / *55* M3/H</t>
  </si>
  <si>
    <t>BOMBA CENTRIFUGA MOTOR ELETRICO MONOFASICO 0,49 HP BOCAIS 1" X 3/4", DIAMETRO DO ROTOR 110 MM, HM/Q: 6 M / 8,3 M3/H A 20 M / 1,2 M3/H</t>
  </si>
  <si>
    <t>BOMBA CENTRIFUGA MOTOR ELETRICO TRIFASICO 0,99HP DIAMETRO DE SUCCAO X ELEVACAO 1" X 1", DIAMETRO DO ROTOR 145 MM, HM/Q: 14 M / 8,4 M3/H A 40 M / 0,60 M3/H</t>
  </si>
  <si>
    <t>BOMBA CENTRIFUGA MOTOR ELETRICO TRIFASICO 1,48HP DIAMETRO DE SUCCAO X ELEVACAO 1" X 1", 4 ESTAGIOS, DIAMETRO DOS ROTORES 3 X 107 MM + 1 X 100 MM, HM/Q: 10 M / 5,3 M3/H A 70 M / 1,8 M3/H</t>
  </si>
  <si>
    <t>BOMBA CENTRIFUGA MOTOR ELETRICO TRIFASICO 2,96HP, DIAMETRO DE SUCCAO X ELEVACAO 1 1/2" X 1 1/4", DIAMETRO DO ROTOR 148 MM, HM/Q: 34 M / 14,80 M3/H A 40 M / 8,60 M3/H</t>
  </si>
  <si>
    <t>BOMBA CENTRIFUGA MOTOR ELETRICO TRIFASICO 9,86 DIAMETRO DE SUCCAO X ELEVACAO 1" X 1", 4 ESTAGIOS, DIAMETRO DOS ROTORES 4 X 146 MM, HM/Q: 85 M / 14,9 M3/H A 140 M / 4,2 M3/H</t>
  </si>
  <si>
    <t>BOMBA CENTRIFUGA, MOTOR ELETRICO TRIFASICO 1,48HP DIAMETRO DE SUCCAO X ELEVACAO 1 1/2" X 1", DIAMETRO DO ROTOR 117 MM, HM/Q: 10 M / 21,9 M3/H A 24 M / 6,1 M3/H</t>
  </si>
  <si>
    <t>BOMBA DE PROJECAO DE CONCRETO SECO, POTENCIA 10 CV, VAZAO 3 M3/H</t>
  </si>
  <si>
    <t>BOMBA DE PROJECAO DE CONCRETO SECO, POTENCIA 10 CV, VAZAO 6 M3/H</t>
  </si>
  <si>
    <t>BOMBA SUBMERSIVEL, ELETRICA, TRIFASICA, POTENCIA 0,99 HP, DIAMETRO ROTOR 98 MM SEMIABERTO, BOCAL DE SAIDA DIAMETRO 2 POLEGADAS, HM/Q = 2 M / 28,90 M3/H A 14 M / 7 M3/H</t>
  </si>
  <si>
    <t>BOMBA SUBMERSIVEL, ELETRICA, TRIFASICA, POTENCIA 2,96 HP, DIAMETRO DO ROTOR 144 MM SEMIABERTO, BOCAL DE SAIDA DIAMETRO DE DUAS POLEGADAS, HM/Q = 2 M / 38,8 M3/H A 28 M / 5 M3/H</t>
  </si>
  <si>
    <t>BOMBA SUBMERSIVEL, ELETRICA, TRIFASICA, POTENCIA 3,75 HP, DIAMETRO DO ROTOR 90 MM SEMIABERTO, BOCAL DE SAIDA DIAMETRO DE 2 POLEGADAS, HM/Q = 5 M / 61,2 M3/H A 25,5 M / 3,6 M3/H</t>
  </si>
  <si>
    <t>BOMBA TRIPLEX, PARA INJECAO DE CALDA DE CIMENTO, VAZAO MAXIMA DE *100* LITROS/MINUTO, PRESSAO MAXIMA DE *70* BAR, POTENCIA DE 15 CV</t>
  </si>
  <si>
    <t>BORBOLETA PARA JANELA TIPO GUILHOTINA, EM ZAMAC CROMADO</t>
  </si>
  <si>
    <t>BOTA DE PVC PRETA, CANO MEDIO, SEM FORRO</t>
  </si>
  <si>
    <t>BOTA DE SEGURANCA COM BIQUEIRA DE ACO E COLARINHO ACOLCHOADO</t>
  </si>
  <si>
    <t>BRACO / CANO PARA CHUVEIRO ELETRICO, EM ALUMINIO, 30 CM X 1/2"</t>
  </si>
  <si>
    <t>BRACO P/ LUMINARIA PUBLICA 1 X 1,50M ROMAGNOLE OU EQUIV</t>
  </si>
  <si>
    <t>BUCHA DE NYLON SEM ABA S10</t>
  </si>
  <si>
    <t>BUCHA DE NYLON SEM ABA S10, COM PARAFUSO DE 6,10 X 65 MM EM ACO ZINCADO COM ROSCA SOBERBA, CABECA CHATA E FENDA PHILLIPS</t>
  </si>
  <si>
    <t>BUCHA DE NYLON SEM ABA S12, COM PARAFUSO DE 5/16" X 80 MM EM ACO ZINCADO COM ROSCA SOBERBA E CABECA SEXTAVADA</t>
  </si>
  <si>
    <t>BUCHA DE NYLON SEM ABA S4</t>
  </si>
  <si>
    <t>BUCHA DE NYLON SEM ABA S5</t>
  </si>
  <si>
    <t>BUCHA DE NYLON SEM ABA S6</t>
  </si>
  <si>
    <t>BUCHA DE NYLON SEM ABA S6, COM PARAFUSO DE 4,20 X 40 MM EM ACO ZINCADO COM ROSCA SOBERBA, CABECA CHATA E FENDA PHILLIPS</t>
  </si>
  <si>
    <t>BUCHA DE NYLON SEM ABA S8</t>
  </si>
  <si>
    <t>BUCHA DE NYLON SEM ABA S8, COM PARAFUSO DE 4,80 X 50 MM EM ACO ZINCADO COM ROSCA SOBERBA, CABECA CHATA E FENDA PHILLIPS</t>
  </si>
  <si>
    <t>BUCHA DE NYLON, DIAMETRO DO FURO 8 MM, COMPRIMENTO 40 MM, COM PARAFUSO DE ROSCA SOBERBA, CABECA CHATA, FENDA SIMPLES, 4,8 X 50 MM</t>
  </si>
  <si>
    <t>BUCHA DE REDUCAO CPVC, SOLDAVEL, 54 X 28 MM, PARA AGUA QUENTE</t>
  </si>
  <si>
    <t>BUCHA DE REDUCAO DE COBRE SEM ANEL DE SOLDA, PONTA X BOLSA, 22 X 15 MM</t>
  </si>
  <si>
    <t>BUCHA DE REDUCAO DE COBRE SEM ANEL DE SOLDA, PONTA X BOLSA, 28 X 22 MM</t>
  </si>
  <si>
    <t>BUCHA DE REDUCAO DE COBRE SEM ANEL DE SOLDA, PONTA X BOLSA, 35 X 28 MM</t>
  </si>
  <si>
    <t>BUCHA DE REDUCAO DE COBRE SEM ANEL DE SOLDA, PONTA X BOLSA, 42 X 35 MM</t>
  </si>
  <si>
    <t>BUCHA DE REDUCAO DE COBRE SEM ANEL DE SOLDA, PONTA X BOLSA, 54 X 42 MM</t>
  </si>
  <si>
    <t>BUCHA DE REDUCAO DE COBRE SEM ANEL DE SOLDA, PONTA X BOLSA, 66 X 54 MM</t>
  </si>
  <si>
    <t>BUCHA DE REDUCAO DE FERRO GALVANIZADO, COM ROSCA BSP, DE 1 1/2" X 1 1/4"</t>
  </si>
  <si>
    <t>BUCHA DE REDUCAO DE FERRO GALVANIZADO, COM ROSCA BSP, DE 1 1/2" X 1"</t>
  </si>
  <si>
    <t>BUCHA DE REDUCAO DE FERRO GALVANIZADO, COM ROSCA BSP, DE 1 1/2" X 1/2"</t>
  </si>
  <si>
    <t>BUCHA DE REDUCAO DE FERRO GALVANIZADO, COM ROSCA BSP, DE 1 1/2" X 3/4"</t>
  </si>
  <si>
    <t>BUCHA DE REDUCAO DE FERRO GALVANIZADO, COM ROSCA BSP, DE 1 1/4" X 1"</t>
  </si>
  <si>
    <t>BUCHA DE REDUCAO DE FERRO GALVANIZADO, COM ROSCA BSP, DE 1 1/4" X 1/2"</t>
  </si>
  <si>
    <t>BUCHA DE REDUCAO DE FERRO GALVANIZADO, COM ROSCA BSP, DE 1 1/4" X 3/4"</t>
  </si>
  <si>
    <t>BUCHA DE REDUCAO DE FERRO GALVANIZADO, COM ROSCA BSP, DE 1" X 1/2"</t>
  </si>
  <si>
    <t>BUCHA DE REDUCAO DE FERRO GALVANIZADO, COM ROSCA BSP, DE 1" X 3/4"</t>
  </si>
  <si>
    <t>BUCHA DE REDUCAO DE FERRO GALVANIZADO, COM ROSCA BSP, DE 1/2" X 1/4"</t>
  </si>
  <si>
    <t>BUCHA DE REDUCAO DE FERRO GALVANIZADO, COM ROSCA BSP, DE 1/2" X 3/8"</t>
  </si>
  <si>
    <t>BUCHA DE REDUCAO DE FERRO GALVANIZADO, COM ROSCA BSP, DE 2 1/2" X 1 1/2"</t>
  </si>
  <si>
    <t>BUCHA DE REDUCAO DE FERRO GALVANIZADO, COM ROSCA BSP, DE 2 1/2" X 1 1/4"</t>
  </si>
  <si>
    <t>BUCHA DE REDUCAO DE FERRO GALVANIZADO, COM ROSCA BSP, DE 2 1/2" X 1"</t>
  </si>
  <si>
    <t>BUCHA DE REDUCAO DE FERRO GALVANIZADO, COM ROSCA BSP, DE 2 1/2" X 2"</t>
  </si>
  <si>
    <t>BUCHA DE REDUCAO DE FERRO GALVANIZADO, COM ROSCA BSP, DE 2" X 1 1/2"</t>
  </si>
  <si>
    <t>BUCHA DE REDUCAO DE FERRO GALVANIZADO, COM ROSCA BSP, DE 2" X 1 1/4"</t>
  </si>
  <si>
    <t>BUCHA DE REDUCAO DE FERRO GALVANIZADO, COM ROSCA BSP, DE 2" X 1"</t>
  </si>
  <si>
    <t>BUCHA DE REDUCAO DE FERRO GALVANIZADO, COM ROSCA BSP, DE 3" X 1 1/2"</t>
  </si>
  <si>
    <t>BUCHA DE REDUCAO DE FERRO GALVANIZADO, COM ROSCA BSP, DE 3" X 1 1/4"</t>
  </si>
  <si>
    <t>BUCHA DE REDUCAO DE FERRO GALVANIZADO, COM ROSCA BSP, DE 3" X 2 1/2"</t>
  </si>
  <si>
    <t>BUCHA DE REDUCAO DE FERRO GALVANIZADO, COM ROSCA BSP, DE 3" X 2"</t>
  </si>
  <si>
    <t>BUCHA DE REDUCAO DE FERRO GALVANIZADO, COM ROSCA BSP, DE 3/4" X 1/2"</t>
  </si>
  <si>
    <t>BUCHA DE REDUCAO DE FERRO GALVANIZADO, COM ROSCA BSP, DE 4" X 2 1/2"</t>
  </si>
  <si>
    <t>BUCHA DE REDUCAO DE FERRO GALVANIZADO, COM ROSCA BSP, DE 4" X 2"</t>
  </si>
  <si>
    <t>BUCHA DE REDUCAO DE FERRO GALVANIZADO, COM ROSCA BSP, DE 4" X 3"</t>
  </si>
  <si>
    <t>BUCHA DE REDUCAO DE FERRO GALVANIZADO, COM ROSCA BSP, DE 5" X 4"</t>
  </si>
  <si>
    <t>BUCHA DE REDUCAO DE FERRO GALVANIZADO, COM ROSCA BSP, DE 6" X 4"</t>
  </si>
  <si>
    <t>BUCHA DE REDUCAO DE FERRO GALVANIZADO, COM ROSCA BSP, DE 6" X 5"</t>
  </si>
  <si>
    <t>BUCHA DE REDUCAO DE PVC, SOLDAVEL, CURTA, COM 25 X 20 MM, PARA AGUA FRIA PREDIAL</t>
  </si>
  <si>
    <t>BUCHA DE REDUCAO DE PVC, SOLDAVEL, CURTA, COM 32 X 25 MM, PARA AGUA FRIA PREDIAL</t>
  </si>
  <si>
    <t>BUCHA DE REDUCAO DE PVC, SOLDAVEL, CURTA, COM 40 X 32 MM, PARA AGUA FRIA PREDIAL</t>
  </si>
  <si>
    <t>BUCHA DE REDUCAO DE PVC, SOLDAVEL, CURTA, COM 50 X 40 MM, PARA AGUA FRIA PREDIAL</t>
  </si>
  <si>
    <t>BUCHA DE REDUCAO DE PVC, SOLDAVEL, CURTA, COM 60 X 50 MM, PARA AGUA FRIA PREDIAL</t>
  </si>
  <si>
    <t>BUCHA DE REDUCAO DE PVC, SOLDAVEL, LONGA, 50 X 40 MM, PARA ESGOTO PREDIAL</t>
  </si>
  <si>
    <t>BUCHA DE REDUCAO DE PVC, SOLDAVEL, LONGA, COM 32 X 20 MM, PARA AGUA FRIA PREDIAL</t>
  </si>
  <si>
    <t>BUCHA DE REDUCAO DE PVC, SOLDAVEL, LONGA, COM 40 X 25 MM, PARA AGUA FRIA PREDIAL</t>
  </si>
  <si>
    <t>BUCHA DE REDUCAO DE PVC, SOLDAVEL, LONGA, COM 50 X 25 MM, PARA AGUA FRIA PREDIAL</t>
  </si>
  <si>
    <t>BUCHA DE REDUCAO DE PVC, SOLDAVEL, LONGA, COM 50 X 32 MM, PARA AGUA FRIA PREDIAL</t>
  </si>
  <si>
    <t>BUCHA DE REDUCAO DE PVC, SOLDAVEL, LONGA, COM 60 X 25 MM, PARA AGUA FRIA PREDIAL</t>
  </si>
  <si>
    <t>BUCHA DE REDUCAO DE PVC, SOLDAVEL, LONGA, COM 60 X 32 MM, PARA AGUA FRIA PREDIAL</t>
  </si>
  <si>
    <t>BUCHA DE REDUCAO DE PVC, SOLDAVEL, LONGA, COM 60 X 50 MM, PARA AGUA FRIA PREDIAL</t>
  </si>
  <si>
    <t>BUCHA DE REDUCAO DE PVC, SOLDAVEL, LONGA, COM 75 X 50 MM, PARA AGUA FRIA PREDIAL</t>
  </si>
  <si>
    <t>BUCHA DE REDUCAO EM ALUMINIO, COM ROSCA, DE 1 1/2" X 1 1/4", PARA ELETRODUTO</t>
  </si>
  <si>
    <t>BUCHA DE REDUCAO EM ALUMINIO, COM ROSCA, DE 1 1/2" X 1", PARA ELETRODUTO</t>
  </si>
  <si>
    <t>BUCHA DE REDUCAO EM ALUMINIO, COM ROSCA, DE 1 1/2" X 3/4", PARA ELETRODUTO</t>
  </si>
  <si>
    <t>BUCHA DE REDUCAO EM ALUMINIO, COM ROSCA, DE 1 1/4" X 1", PARA ELETRODUTO</t>
  </si>
  <si>
    <t>BUCHA DE REDUCAO EM ALUMINIO, COM ROSCA, DE 1 1/4" X 1/2", PARA ELETRODUTO</t>
  </si>
  <si>
    <t>BUCHA DE REDUCAO EM ALUMINIO, COM ROSCA, DE 1 1/4" X 3/4", PARA ELETRODUTO</t>
  </si>
  <si>
    <t>BUCHA DE REDUCAO EM ALUMINIO, COM ROSCA, DE 1" X 1/2", PARA ELETRODUTO</t>
  </si>
  <si>
    <t>BUCHA DE REDUCAO EM ALUMINIO, COM ROSCA, DE 1" X 3/4", PARA ELETRODUTO</t>
  </si>
  <si>
    <t>BUCHA DE REDUCAO EM ALUMINIO, COM ROSCA, DE 2 1/2" X 1 1/2", PARA ELETRODUTO</t>
  </si>
  <si>
    <t>BUCHA DE REDUCAO EM ALUMINIO, COM ROSCA, DE 2 1/2" X 1 1/4", PARA ELETRODUTO</t>
  </si>
  <si>
    <t>BUCHA DE REDUCAO EM ALUMINIO, COM ROSCA, DE 2 1/2" X 1", PARA ELETRODUTO</t>
  </si>
  <si>
    <t>BUCHA DE REDUCAO EM ALUMINIO, COM ROSCA, DE 2 1/2" X 2", PARA ELETRODUTO</t>
  </si>
  <si>
    <t>BUCHA DE REDUCAO EM ALUMINIO, COM ROSCA, DE 2" X 1 1/2", PARA ELETRODUTO</t>
  </si>
  <si>
    <t>BUCHA DE REDUCAO EM ALUMINIO, COM ROSCA, DE 2" X 1 1/4", PARA ELETRODUTO</t>
  </si>
  <si>
    <t>BUCHA DE REDUCAO EM ALUMINIO, COM ROSCA, DE 2" X 1", PARA ELETRODUTO</t>
  </si>
  <si>
    <t>BUCHA DE REDUCAO EM ALUMINIO, COM ROSCA, DE 2" X 3/4", PARA ELETRODUTO</t>
  </si>
  <si>
    <t>BUCHA DE REDUCAO EM ALUMINIO, COM ROSCA, DE 3" X 1 1/2", PARA ELETRODUTO</t>
  </si>
  <si>
    <t>BUCHA DE REDUCAO EM ALUMINIO, COM ROSCA, DE 3" X 1 1/4", PARA ELETRODUTO</t>
  </si>
  <si>
    <t>BUCHA DE REDUCAO EM ALUMINIO, COM ROSCA, DE 3" X 2 1/2", PARA ELETRODUTO</t>
  </si>
  <si>
    <t>BUCHA DE REDUCAO EM ALUMINIO, COM ROSCA, DE 3" X 2", PARA ELETRODUTO</t>
  </si>
  <si>
    <t>BUCHA DE REDUCAO EM ALUMINIO, COM ROSCA, DE 4" X 2 1/2", PARA ELETRODUTO</t>
  </si>
  <si>
    <t>BUCHA DE REDUCAO EM ALUMINIO, COM ROSCA, DE 4" X 2", PARA ELETRODUTO</t>
  </si>
  <si>
    <t>BUCHA DE REDUCAO EM ALUMINIO, COM ROSCA, DE 4" X 3", PARA ELETRODUTO</t>
  </si>
  <si>
    <t>BUCHA DE REDUCAO PVC ROSCAVEL 3/4" X 1/2"</t>
  </si>
  <si>
    <t>BUCHA DE REDUCAO PVC, ROSCAVEL 1 1/2" X 1"</t>
  </si>
  <si>
    <t>BUCHA DE REDUCAO PVC, ROSCAVEL, 1 1/2" X 3/4"</t>
  </si>
  <si>
    <t>BUCHA DE REDUCAO PVC, ROSCAVEL, 1" X 1/2"</t>
  </si>
  <si>
    <t>BUCHA DE REDUCAO PVC, ROSCAVEL, 1" X 3/4"</t>
  </si>
  <si>
    <t>BUCHA DE REDUCAO, CPVC, SOLDAVEL, 22 X 15 MM, PARA AGUA QUENTE</t>
  </si>
  <si>
    <t>BUCHA DE REDUCAO, CPVC, SOLDAVEL, 28 X 22 MM, PARA AGUA QUENTE</t>
  </si>
  <si>
    <t>BUCHA DE REDUCAO, CPVC, SOLDAVEL, 35 X 28 MM, PARA AGUA QUENTE</t>
  </si>
  <si>
    <t>BUCHA DE REDUCAO, CPVC, SOLDAVEL, 42 X 22 MM, PARA AGUA QUENTE</t>
  </si>
  <si>
    <t>BUCHA DE REDUCAO, CPVC, SOLDAVEL, 54 X 35 MM, PARA AGUA QUENTE</t>
  </si>
  <si>
    <t>BUCHA DE REDUCAO, PPR, DN 25 X 20 MM, PARA AGUA QUENTE PREDIAL</t>
  </si>
  <si>
    <t>BUCHA DE REDUCAO, PPR, DN 32 X 25 MM, PARA AGUA QUENTE E FRIA PREDIAL</t>
  </si>
  <si>
    <t>BUCHA DE REDUCAO, PPR, DN 40 X 25 MM, PARA AGUA QUENTE E FRIA PREDIAL</t>
  </si>
  <si>
    <t>BUCHA DE REDUCAO, PPR, DN 50 X 25 MM, PARA AGUA QUENTE E FRIA PREDIAL</t>
  </si>
  <si>
    <t>BUCHA DE REDUCAO, PPR, DN 50 X 32 MM, PARA AGUA QUENTE E FRIA PREDIAL</t>
  </si>
  <si>
    <t>BUCHA DE REDUCAO, PVC, LONGA, SERIE R, DN 50 X 40 MM, PARA ESGOTO PREDIAL</t>
  </si>
  <si>
    <t>BUCHA EM ALUMINIO, COM ROSCA, DE 1 1/2", PARA ELETRODUTO</t>
  </si>
  <si>
    <t>BUCHA EM ALUMINIO, COM ROSCA, DE 1 1/4", PARA ELETRODUTO</t>
  </si>
  <si>
    <t>BUCHA EM ALUMINIO, COM ROSCA, DE 1", PARA ELETRODUTO</t>
  </si>
  <si>
    <t>BUCHA EM ALUMINIO, COM ROSCA, DE 1/2", PARA ELETRODUTO</t>
  </si>
  <si>
    <t>BUCHA EM ALUMINIO, COM ROSCA, DE 2 1/2", PARA ELETRODUTO</t>
  </si>
  <si>
    <t>BUCHA EM ALUMINIO, COM ROSCA, DE 2", PARA ELETRODUTO</t>
  </si>
  <si>
    <t>BUCHA EM ALUMINIO, COM ROSCA, DE 3", PARA ELETRODUTO</t>
  </si>
  <si>
    <t>BUCHA EM ALUMINIO, COM ROSCA, DE 3/4", PARA ELETRODUTO</t>
  </si>
  <si>
    <t>BUCHA EM ALUMINIO, COM ROSCA, DE 3/8", PARA ELETRODUTO</t>
  </si>
  <si>
    <t>BUCHA EM ALUMINIO, COM ROSCA, DE 4", PARA ELETRODUTO</t>
  </si>
  <si>
    <t>CABECEIRA DIREITA OU ESQUERDA, PVC, PARA CALHA PLUVIAL, DIAMETRO ENTRE *119 E 170* MM, PARA DRENAGEM PLUVIAL PREDIAL</t>
  </si>
  <si>
    <t>CABECOTE PARA ENTRADA DE LINHA DE ALIMENTACAO PARA ELETRODUTO, EM LIGA DE ALUMINIO COM ACABAMENTO ANTI CORROSIVO, COM FIXACAO POR ENCAIXE LISO DE 360 GRAUS, DE 1 1/2"</t>
  </si>
  <si>
    <t>CABECOTE PARA ENTRADA DE LINHA DE ALIMENTACAO PARA ELETRODUTO, EM LIGA DE ALUMINIO COM ACABAMENTO ANTI CORROSIVO, COM FIXACAO POR ENCAIXE LISO DE 360 GRAUS, DE 1 1/4"</t>
  </si>
  <si>
    <t>CABECOTE PARA ENTRADA DE LINHA DE ALIMENTACAO PARA ELETRODUTO, EM LIGA DE ALUMINIO COM ACABAMENTO ANTI CORROSIVO, COM FIXACAO POR ENCAIXE LISO DE 360 GRAUS, DE 1"</t>
  </si>
  <si>
    <t>CABECOTE PARA ENTRADA DE LINHA DE ALIMENTACAO PARA ELETRODUTO, EM LIGA DE ALUMINIO COM ACABAMENTO ANTI CORROSIVO, COM FIXACAO POR ENCAIXE LISO DE 360 GRAUS, DE 1/2"</t>
  </si>
  <si>
    <t>CABECOTE PARA ENTRADA DE LINHA DE ALIMENTACAO PARA ELETRODUTO, EM LIGA DE ALUMINIO COM ACABAMENTO ANTI CORROSIVO, COM FIXACAO POR ENCAIXE LISO DE 360 GRAUS, DE 2 1/2"</t>
  </si>
  <si>
    <t>CABECOTE PARA ENTRADA DE LINHA DE ALIMENTACAO PARA ELETRODUTO, EM LIGA DE ALUMINIO COM ACABAMENTO ANTI CORROSIVO, COM FIXACAO POR ENCAIXE LISO DE 360 GRAUS, DE 2"</t>
  </si>
  <si>
    <t>CABECOTE PARA ENTRADA DE LINHA DE ALIMENTACAO PARA ELETRODUTO, EM LIGA DE ALUMINIO COM ACABAMENTO ANTI CORROSIVO, COM FIXACAO POR ENCAIXE LISO DE 360 GRAUS, DE 3 1/2"</t>
  </si>
  <si>
    <t>CABECOTE PARA ENTRADA DE LINHA DE ALIMENTACAO PARA ELETRODUTO, EM LIGA DE ALUMINIO COM ACABAMENTO ANTI CORROSIVO, COM FIXACAO POR ENCAIXE LISO DE 360 GRAUS, DE 3"</t>
  </si>
  <si>
    <t>CABECOTE PARA ENTRADA DE LINHA DE ALIMENTACAO PARA ELETRODUTO, EM LIGA DE ALUMINIO COM ACABAMENTO ANTI CORROSIVO, COM FIXACAO POR ENCAIXE LISO DE 360 GRAUS, DE 3/4"</t>
  </si>
  <si>
    <t>CABECOTE PARA ENTRADA DE LINHA DE ALIMENTACAO PARA ELETRODUTO, EM LIGA DE ALUMINIO COM ACABAMENTO ANTI CORROSIVO, COM FIXACAO POR ENCAIXE LISO DE 360 GRAUS, DE 4"</t>
  </si>
  <si>
    <t>CABIDE/GANCHO DE BANHEIRO SIMPLES EM METAL CROMADO</t>
  </si>
  <si>
    <t>CABO COAXIAL RG11 95% DE MALHA</t>
  </si>
  <si>
    <t>CABO COAXIAL RG59 95% DE MALHA</t>
  </si>
  <si>
    <t>CABO COAXIAL RG6 95% DE MALHA</t>
  </si>
  <si>
    <t>CABO DE ACO GALVANIZADO, DIAMETRO 12,7 MM (1/2"), COM ALMA DE ACO CABO INDEPENDENTE 6 X 25 F</t>
  </si>
  <si>
    <t>CABO DE ACO GALVANIZADO, DIAMETRO 12,7 MM (1/2"), COM ALMA DE FIBRA 6 X 25 F</t>
  </si>
  <si>
    <t>CABO DE ACO GALVANIZADO, DIAMETRO 9,53 MM (3/8"), COM ALMA DE FIBRA 6 X 25 F</t>
  </si>
  <si>
    <t>CABO DE ALUMINIO NU COM ALMA DE ACO, BITOLA 1/0 AWG</t>
  </si>
  <si>
    <t>CABO DE ALUMINIO NU COM ALMA DE ACO, BITOLA 2 AWG</t>
  </si>
  <si>
    <t>CABO DE ALUMINIO NU COM ALMA DE ACO, BITOLA 2/0 AWG</t>
  </si>
  <si>
    <t>CABO DE ALUMINIO NU COM ALMA DE ACO, BITOLA 4 AWG</t>
  </si>
  <si>
    <t>CABO DE ALUMINIO NU SEM ALMA DE ACO, BITOLA 1/0 AWG</t>
  </si>
  <si>
    <t>CABO DE ALUMINIO NU SEM ALMA DE ACO, BITOLA 2 AWG</t>
  </si>
  <si>
    <t>CABO DE ALUMINIO NU SEM ALMA DE ACO, BITOLA 2/0 AWG</t>
  </si>
  <si>
    <t>CABO DE ALUMINIO NU SEM ALMA DE ACO, BITOLA 4 AWG</t>
  </si>
  <si>
    <t>CABO DE COBRE FLEXIVEL NAO HALOGENADO, SEM EMISSAO DE FUMACA, 750V, SECAO NOMINAL 120 MM</t>
  </si>
  <si>
    <t>CABO DE COBRE FLEXIVEL NAO HALOGENADO, SEM EMISSAO DE FUMACA, 750V, SECAO NOMINAL 2,5 MM</t>
  </si>
  <si>
    <t>CABO DE COBRE FLEXIVEL NAO HALOGENADO, SEM EMISSAO DE FUMACA, 750V, SECAO NOMINAL 240 MM</t>
  </si>
  <si>
    <t>CABO DE COBRE FLEXIVEL NAO HALOGENADO, SEM EMISSAO DE FUMACA, 750V, SECAO NOMINAL 50 MM</t>
  </si>
  <si>
    <t>CABO DE COBRE FLEXIVEL NAO HALOGENADO, SEM EMISSAO DE FUMACA, 750V, SECAO NOMINAL 6,0 MM</t>
  </si>
  <si>
    <t>CABO DE COBRE NU 10 MM2 MEIO-DURO</t>
  </si>
  <si>
    <t>CABO DE COBRE NU 120 MM2 MEIO-DURO</t>
  </si>
  <si>
    <t>CABO DE COBRE NU 150 MM2 MEIO-DURO</t>
  </si>
  <si>
    <t>CABO DE COBRE NU 16 MM2 MEIO-DURO</t>
  </si>
  <si>
    <t>CABO DE COBRE NU 185 MM2 MEIO-DURO</t>
  </si>
  <si>
    <t>CABO DE COBRE NU 25 MM2 MEIO-DURO</t>
  </si>
  <si>
    <t>CABO DE COBRE NU 35 MM2 MEIO-DURO</t>
  </si>
  <si>
    <t>CABO DE COBRE NU 50 MM2 MEIO-DURO</t>
  </si>
  <si>
    <t>CABO DE COBRE NU 70 MM2 MEIO-DURO</t>
  </si>
  <si>
    <t>CABO DE COBRE NU 95 MM2 MEIO-DURO</t>
  </si>
  <si>
    <t>CABO DE COBRE, FLEXIVEL, CLASSE 4 OU 5, ISOLACAO EM PVC/A, ANTICHAMA BWF-B, 1 CONDUTOR, 450/750 V, SECAO NOMINAL 0,5 MM2</t>
  </si>
  <si>
    <t>CABO DE COBRE, FLEXIVEL, CLASSE 4 OU 5, ISOLACAO EM PVC/A, ANTICHAMA BWF-B, 1 CONDUTOR, 450/750 V, SECAO NOMINAL 0,75 MM2</t>
  </si>
  <si>
    <t>CABO DE COBRE, FLEXIVEL, CLASSE 4 OU 5, ISOLACAO EM PVC/A, ANTICHAMA BWF-B, 1 CONDUTOR, 450/750 V, SECAO NOMINAL 1,0 MM2</t>
  </si>
  <si>
    <t>CABO DE COBRE, FLEXIVEL, CLASSE 4 OU 5, ISOLACAO EM PVC/A, ANTICHAMA BWF-B, 1 CONDUTOR, 450/750 V, SECAO NOMINAL 1,5 MM2</t>
  </si>
  <si>
    <t>CABO DE COBRE, FLEXIVEL, CLASSE 4 OU 5, ISOLACAO EM PVC/A, ANTICHAMA BWF-B, 1 CONDUTOR, 450/750 V, SECAO NOMINAL 10 MM2</t>
  </si>
  <si>
    <t>CABO DE COBRE, FLEXIVEL, CLASSE 4 OU 5, ISOLACAO EM PVC/A, ANTICHAMA BWF-B, 1 CONDUTOR, 450/750 V, SECAO NOMINAL 120 MM2</t>
  </si>
  <si>
    <t>CABO DE COBRE, FLEXIVEL, CLASSE 4 OU 5, ISOLACAO EM PVC/A, ANTICHAMA BWF-B, 1 CONDUTOR, 450/750 V, SECAO NOMINAL 150 MM2</t>
  </si>
  <si>
    <t>CABO DE COBRE, FLEXIVEL, CLASSE 4 OU 5, ISOLACAO EM PVC/A, ANTICHAMA BWF-B, 1 CONDUTOR, 450/750 V, SECAO NOMINAL 16 MM2</t>
  </si>
  <si>
    <t>CABO DE COBRE, FLEXIVEL, CLASSE 4 OU 5, ISOLACAO EM PVC/A, ANTICHAMA BWF-B, 1 CONDUTOR, 450/750 V, SECAO NOMINAL 185 MM2</t>
  </si>
  <si>
    <t>CABO DE COBRE, FLEXIVEL, CLASSE 4 OU 5, ISOLACAO EM PVC/A, ANTICHAMA BWF-B, 1 CONDUTOR, 450/750 V, SECAO NOMINAL 2,5 MM2</t>
  </si>
  <si>
    <t>CABO DE COBRE, FLEXIVEL, CLASSE 4 OU 5, ISOLACAO EM PVC/A, ANTICHAMA BWF-B, 1 CONDUTOR, 450/750 V, SECAO NOMINAL 240 MM2</t>
  </si>
  <si>
    <t>CABO DE COBRE, FLEXIVEL, CLASSE 4 OU 5, ISOLACAO EM PVC/A, ANTICHAMA BWF-B, 1 CONDUTOR, 450/750 V, SECAO NOMINAL 25 MM2</t>
  </si>
  <si>
    <t>CABO DE COBRE, FLEXIVEL, CLASSE 4 OU 5, ISOLACAO EM PVC/A, ANTICHAMA BWF-B, 1 CONDUTOR, 450/750 V, SECAO NOMINAL 35 MM2</t>
  </si>
  <si>
    <t>CABO DE COBRE, FLEXIVEL, CLASSE 4 OU 5, ISOLACAO EM PVC/A, ANTICHAMA BWF-B, 1 CONDUTOR, 450/750 V, SECAO NOMINAL 4 MM2</t>
  </si>
  <si>
    <t>CABO DE COBRE, FLEXIVEL, CLASSE 4 OU 5, ISOLACAO EM PVC/A, ANTICHAMA BWF-B, 1 CONDUTOR, 450/750 V, SECAO NOMINAL 50 MM2</t>
  </si>
  <si>
    <t>CABO DE COBRE, FLEXIVEL, CLASSE 4 OU 5, ISOLACAO EM PVC/A, ANTICHAMA BWF-B, 1 CONDUTOR, 450/750 V, SECAO NOMINAL 6 MM2</t>
  </si>
  <si>
    <t>CABO DE COBRE, FLEXIVEL, CLASSE 4 OU 5, ISOLACAO EM PVC/A, ANTICHAMA BWF-B, 1 CONDUTOR, 450/750 V, SECAO NOMINAL 70 MM2</t>
  </si>
  <si>
    <t>CABO DE COBRE, FLEXIVEL, CLASSE 4 OU 5, ISOLACAO EM PVC/A, ANTICHAMA BWF-B, 1 CONDUTOR, 450/750 V, SECAO NOMINAL 95 MM2</t>
  </si>
  <si>
    <t>CABO DE COBRE, FLEXIVEL, CLASSE 4 OU 5, ISOLACAO EM PVC/A, ANTICHAMA BWF-B, COBERTURA PVC-ST1, ANTICHAMA BWF-B, 1 CONDUTOR, 0,6/1 KV, SECAO NOMINAL 1,5 MM2</t>
  </si>
  <si>
    <t>CABO DE COBRE, FLEXIVEL, CLASSE 4 OU 5, ISOLACAO EM PVC/A, ANTICHAMA BWF-B, COBERTURA PVC-ST1, ANTICHAMA BWF-B, 1 CONDUTOR, 0,6/1 KV, SECAO NOMINAL 10 MM2</t>
  </si>
  <si>
    <t>CABO DE COBRE, FLEXIVEL, CLASSE 4 OU 5, ISOLACAO EM PVC/A, ANTICHAMA BWF-B, COBERTURA PVC-ST1, ANTICHAMA BWF-B, 1 CONDUTOR, 0,6/1 KV, SECAO NOMINAL 120 MM2</t>
  </si>
  <si>
    <t>CABO DE COBRE, FLEXIVEL, CLASSE 4 OU 5, ISOLACAO EM PVC/A, ANTICHAMA BWF-B, COBERTURA PVC-ST1, ANTICHAMA BWF-B, 1 CONDUTOR, 0,6/1 KV, SECAO NOMINAL 150 MM2</t>
  </si>
  <si>
    <t>CABO DE COBRE, FLEXIVEL, CLASSE 4 OU 5, ISOLACAO EM PVC/A, ANTICHAMA BWF-B, COBERTURA PVC-ST1, ANTICHAMA BWF-B, 1 CONDUTOR, 0,6/1 KV, SECAO NOMINAL 16 MM2</t>
  </si>
  <si>
    <t>CABO DE COBRE, FLEXIVEL, CLASSE 4 OU 5, ISOLACAO EM PVC/A, ANTICHAMA BWF-B, COBERTURA PVC-ST1, ANTICHAMA BWF-B, 1 CONDUTOR, 0,6/1 KV, SECAO NOMINAL 185 MM2</t>
  </si>
  <si>
    <t>CABO DE COBRE, FLEXIVEL, CLASSE 4 OU 5, ISOLACAO EM PVC/A, ANTICHAMA BWF-B, COBERTURA PVC-ST1, ANTICHAMA BWF-B, 1 CONDUTOR, 0,6/1 KV, SECAO NOMINAL 2,5 MM2</t>
  </si>
  <si>
    <t>CABO DE COBRE, FLEXIVEL, CLASSE 4 OU 5, ISOLACAO EM PVC/A, ANTICHAMA BWF-B, COBERTURA PVC-ST1, ANTICHAMA BWF-B, 1 CONDUTOR, 0,6/1 KV, SECAO NOMINAL 240 MM2</t>
  </si>
  <si>
    <t>CABO DE COBRE, FLEXIVEL, CLASSE 4 OU 5, ISOLACAO EM PVC/A, ANTICHAMA BWF-B, COBERTURA PVC-ST1, ANTICHAMA BWF-B, 1 CONDUTOR, 0,6/1 KV, SECAO NOMINAL 25 MM2</t>
  </si>
  <si>
    <t>CABO DE COBRE, FLEXIVEL, CLASSE 4 OU 5, ISOLACAO EM PVC/A, ANTICHAMA BWF-B, COBERTURA PVC-ST1, ANTICHAMA BWF-B, 1 CONDUTOR, 0,6/1 KV, SECAO NOMINAL 300 MM2</t>
  </si>
  <si>
    <t>CABO DE COBRE, FLEXIVEL, CLASSE 4 OU 5, ISOLACAO EM PVC/A, ANTICHAMA BWF-B, COBERTURA PVC-ST1, ANTICHAMA BWF-B, 1 CONDUTOR, 0,6/1 KV, SECAO NOMINAL 35 MM2</t>
  </si>
  <si>
    <t>CABO DE COBRE, FLEXIVEL, CLASSE 4 OU 5, ISOLACAO EM PVC/A, ANTICHAMA BWF-B, COBERTURA PVC-ST1, ANTICHAMA BWF-B, 1 CONDUTOR, 0,6/1 KV, SECAO NOMINAL 4 MM2</t>
  </si>
  <si>
    <t>CABO DE COBRE, FLEXIVEL, CLASSE 4 OU 5, ISOLACAO EM PVC/A, ANTICHAMA BWF-B, COBERTURA PVC-ST1, ANTICHAMA BWF-B, 1 CONDUTOR, 0,6/1 KV, SECAO NOMINAL 400 MM2</t>
  </si>
  <si>
    <t>CABO DE COBRE, FLEXIVEL, CLASSE 4 OU 5, ISOLACAO EM PVC/A, ANTICHAMA BWF-B, COBERTURA PVC-ST1, ANTICHAMA BWF-B, 1 CONDUTOR, 0,6/1 KV, SECAO NOMINAL 50 MM2</t>
  </si>
  <si>
    <t>CABO DE COBRE, FLEXIVEL, CLASSE 4 OU 5, ISOLACAO EM PVC/A, ANTICHAMA BWF-B, COBERTURA PVC-ST1, ANTICHAMA BWF-B, 1 CONDUTOR, 0,6/1 KV, SECAO NOMINAL 500 MM2</t>
  </si>
  <si>
    <t>CABO DE COBRE, FLEXIVEL, CLASSE 4 OU 5, ISOLACAO EM PVC/A, ANTICHAMA BWF-B, COBERTURA PVC-ST1, ANTICHAMA BWF-B, 1 CONDUTOR, 0,6/1 KV, SECAO NOMINAL 6 MM2</t>
  </si>
  <si>
    <t>CABO DE COBRE, FLEXIVEL, CLASSE 4 OU 5, ISOLACAO EM PVC/A, ANTICHAMA BWF-B, COBERTURA PVC-ST1, ANTICHAMA BWF-B, 1 CONDUTOR, 0,6/1 KV, SECAO NOMINAL 70 MM2</t>
  </si>
  <si>
    <t>CABO DE COBRE, FLEXIVEL, CLASSE 4 OU 5, ISOLACAO EM PVC/A, ANTICHAMA BWF-B, COBERTURA PVC-ST1, ANTICHAMA BWF-B, 1 CONDUTOR, 0,6/1 KV, SECAO NOMINAL 95 MM2</t>
  </si>
  <si>
    <t>CABO DE COBRE, RIGIDO, CLASSE 2, ISOLACAO EM PVC, ANTI-CHAMA BWF-B, 1 CONDUTOR, 450/750 V, DIAMETRO 120 MM2</t>
  </si>
  <si>
    <t>CABO DE COBRE, RIGIDO, CLASSE 2, ISOLACAO EM PVC/A, ANTICHAMA BWF-B, 1 CONDUTOR, 450/750 V, SECAO NOMINAL 150 MM2</t>
  </si>
  <si>
    <t>CABO DE COBRE, RIGIDO, CLASSE 2, ISOLACAO EM PVC/A, ANTICHAMA BWF-B, 1 CONDUTOR, 450/750 V, SECAO NOMINAL 16 MM2</t>
  </si>
  <si>
    <t>CABO DE COBRE, RIGIDO, CLASSE 2, ISOLACAO EM PVC/A, ANTICHAMA BWF-B, 1 CONDUTOR, 450/750 V, SECAO NOMINAL 185 MM2</t>
  </si>
  <si>
    <t>CABO DE COBRE, RIGIDO, CLASSE 2, ISOLACAO EM PVC/A, ANTICHAMA BWF-B, 1 CONDUTOR, 450/750 V, SECAO NOMINAL 240 MM2</t>
  </si>
  <si>
    <t>CABO DE COBRE, RIGIDO, CLASSE 2, ISOLACAO EM PVC/A, ANTICHAMA BWF-B, 1 CONDUTOR, 450/750 V, SECAO NOMINAL 25 MM2</t>
  </si>
  <si>
    <t>CABO DE COBRE, RIGIDO, CLASSE 2, ISOLACAO EM PVC/A, ANTICHAMA BWF-B, 1 CONDUTOR, 450/750 V, SECAO NOMINAL 35 MM2</t>
  </si>
  <si>
    <t>CABO DE COBRE, RIGIDO, CLASSE 2, ISOLACAO EM PVC/A, ANTICHAMA BWF-B, 1 CONDUTOR, 450/750 V, SECAO NOMINAL 50 MM2</t>
  </si>
  <si>
    <t>CABO DE COBRE, RIGIDO, CLASSE 2, ISOLACAO EM PVC/A, ANTICHAMA BWF-B, 1 CONDUTOR, 450/750 V, SECAO NOMINAL 6 MM2</t>
  </si>
  <si>
    <t>CABO DE COBRE, RIGIDO, CLASSE 2, ISOLACAO EM PVC/A, ANTICHAMA BWF-B, 1 CONDUTOR, 450/750 V, SECAO NOMINAL 70 MM2</t>
  </si>
  <si>
    <t>CABO DE COBRE, RIGIDO, CLASSE 2, ISOLACAO EM PVC/A, ANTICHAMA BWF-B, 1 CONDUTOR, 450/750 V, SECAO NOMINAL 95 MM2</t>
  </si>
  <si>
    <t>CABO DE REDE, PAR TRANCADO U/UTP, 4 PARES, CATEGORIA 5E (CAT 5E), ISOLAMENTO PVC (CM)</t>
  </si>
  <si>
    <t>CABO DE REDE, PAR TRANCADO U/UTP, 4 PARES, CATEGORIA 5E (CAT 5E), ISOLAMENTO PVC (CMX)</t>
  </si>
  <si>
    <t>CABO DE REDE, PAR TRANCADO U/UTP, 4 PARES, CATEGORIA 5E (CAT 5E), ISOLAMENTO PVC (LSZH)</t>
  </si>
  <si>
    <t>CABO DE REDE, PAR TRANCADO U/UTP, 4 PARES, CATEGORIA 6 (CAT 6), ISOLAMENTO PVC (CM)</t>
  </si>
  <si>
    <t>CABO DE REDE, PAR TRANCADO UTP, 4 PARES, CATEGORIA 6 (CAT 6), ISOLAMENTO PVC (LSZH)</t>
  </si>
  <si>
    <t>CABO ELETRONICO CATEGORIA 6A U/UTP 23AWG X 4P</t>
  </si>
  <si>
    <t>CABO FLEXIVEL PVC 750 V, 2 CONDUTORES DE 1,5 MM2</t>
  </si>
  <si>
    <t>CABO FLEXIVEL PVC 750 V, 2 CONDUTORES DE 4,0 MM2</t>
  </si>
  <si>
    <t>CABO FLEXIVEL PVC 750 V, 2 CONDUTORES DE 6,0 MM2</t>
  </si>
  <si>
    <t>CABO FLEXIVEL PVC 750 V, 3 CONDUTORES DE 1,5 MM2</t>
  </si>
  <si>
    <t>CABO FLEXIVEL PVC 750 V, 3 CONDUTORES DE 4,0 MM2</t>
  </si>
  <si>
    <t>CABO FLEXIVEL PVC 750 V, 3 CONDUTORES DE 6,0 MM2</t>
  </si>
  <si>
    <t>CABO FLEXIVEL PVC 750 V, 4 CONDUTORES DE 1,5 MM2</t>
  </si>
  <si>
    <t>CABO FLEXIVEL PVC 750 V, 4 CONDUTORES DE 4,0 MM2</t>
  </si>
  <si>
    <t>CABO FLEXIVEL PVC 750 V, 4 CONDUTORES DE 6,0 MM2</t>
  </si>
  <si>
    <t>CABO MULTIPOLAR DE COBRE, FLEXIVEL, CLASSE 4 OU 5, ISOLACAO EM HEPR, COBERTURA EM PVC-ST2, ANTICHAMA BWF-B, 0,6/1 KV, 3 CONDUTORES DE 1,5 MM2</t>
  </si>
  <si>
    <t>CABO MULTIPOLAR DE COBRE, FLEXIVEL, CLASSE 4 OU 5, ISOLACAO EM HEPR, COBERTURA EM PVC-ST2, ANTICHAMA BWF-B, 0,6/1 KV, 3 CONDUTORES DE 10 MM2</t>
  </si>
  <si>
    <t>CABO MULTIPOLAR DE COBRE, FLEXIVEL, CLASSE 4 OU 5, ISOLACAO EM HEPR, COBERTURA EM PVC-ST2, ANTICHAMA BWF-B, 0,6/1 KV, 3 CONDUTORES DE 120 MM2</t>
  </si>
  <si>
    <t>CABO MULTIPOLAR DE COBRE, FLEXIVEL, CLASSE 4 OU 5, ISOLACAO EM HEPR, COBERTURA EM PVC-ST2, ANTICHAMA BWF-B, 0,6/1 KV, 3 CONDUTORES DE 16 MM2</t>
  </si>
  <si>
    <t>CABO MULTIPOLAR DE COBRE, FLEXIVEL, CLASSE 4 OU 5, ISOLACAO EM HEPR, COBERTURA EM PVC-ST2, ANTICHAMA BWF-B, 0,6/1 KV, 3 CONDUTORES DE 2,5 MM2</t>
  </si>
  <si>
    <t>CABO MULTIPOLAR DE COBRE, FLEXIVEL, CLASSE 4 OU 5, ISOLACAO EM HEPR, COBERTURA EM PVC-ST2, ANTICHAMA BWF-B, 0,6/1 KV, 3 CONDUTORES DE 25 MM2</t>
  </si>
  <si>
    <t>CABO MULTIPOLAR DE COBRE, FLEXIVEL, CLASSE 4 OU 5, ISOLACAO EM HEPR, COBERTURA EM PVC-ST2, ANTICHAMA BWF-B, 0,6/1 KV, 3 CONDUTORES DE 35 MM2</t>
  </si>
  <si>
    <t>CABO MULTIPOLAR DE COBRE, FLEXIVEL, CLASSE 4 OU 5, ISOLACAO EM HEPR, COBERTURA EM PVC-ST2, ANTICHAMA BWF-B, 0,6/1 KV, 3 CONDUTORES DE 4 MM2</t>
  </si>
  <si>
    <t>CABO MULTIPOLAR DE COBRE, FLEXIVEL, CLASSE 4 OU 5, ISOLACAO EM HEPR, COBERTURA EM PVC-ST2, ANTICHAMA BWF-B, 0,6/1 KV, 3 CONDUTORES DE 50 MM2</t>
  </si>
  <si>
    <t>CABO MULTIPOLAR DE COBRE, FLEXIVEL, CLASSE 4 OU 5, ISOLACAO EM HEPR, COBERTURA EM PVC-ST2, ANTICHAMA BWF-B, 0,6/1 KV, 3 CONDUTORES DE 6 MM2</t>
  </si>
  <si>
    <t>CABO MULTIPOLAR DE COBRE, FLEXIVEL, CLASSE 4 OU 5, ISOLACAO EM HEPR, COBERTURA EM PVC-ST2, ANTICHAMA BWF-B, 0,6/1 KV, 3 CONDUTORES DE 70 MM2</t>
  </si>
  <si>
    <t>CABO MULTIPOLAR DE COBRE, FLEXIVEL, CLASSE 4 OU 5, ISOLACAO EM HEPR, COBERTURA EM PVC-ST2, ANTICHAMA BWF-B, 0,6/1 KV, 3 CONDUTORES DE 95 MM2</t>
  </si>
  <si>
    <t>CABO TELEFONICO CCI 50, 1 PAR, USO INTERNO, SEM BLINDAGEM</t>
  </si>
  <si>
    <t>CABO TELEFONICO CCI 50, 2 PARES, USO INTERNO, SEM BLINDAGEM</t>
  </si>
  <si>
    <t>CABO TELEFONICO CCI 50, 3 PARES, USO INTERNO, SEM BLINDAGEM</t>
  </si>
  <si>
    <t>CABO TELEFONICO CCI 50, 4 PARES, USO INTERNO, SEM BLINDAGEM</t>
  </si>
  <si>
    <t>CABO TELEFONICO CCI 50, 5 PARES, USO INTERNO, SEM BLINDAGEM</t>
  </si>
  <si>
    <t>CABO TELEFONICO CCI 50, 6 PARES, USO INTERNO, SEM BLINDAGEM</t>
  </si>
  <si>
    <t>CABO TELEFONICO CI 50, 10 PARES, USO INTERNO</t>
  </si>
  <si>
    <t>CABO TELEFONICO CI 50, 20 PARES, USO INTERNO</t>
  </si>
  <si>
    <t>CABO TELEFONICO CI 50, 200 PARES, USO INTERNO</t>
  </si>
  <si>
    <t>CABO TELEFONICO CI 50, 30 PARES, USO INTERNO</t>
  </si>
  <si>
    <t>CABO TELEFONICO CI 50, 50 PARES, USO INTERNO</t>
  </si>
  <si>
    <t>CABO TELEFONICO CI 50, 75 PARES, USO INTERNO</t>
  </si>
  <si>
    <t>CABO TELEFONICO CTP - APL - 50, 10 PARES, USO EXTERNO</t>
  </si>
  <si>
    <t>CABO TELEFONICO CTP - APL - 50, 100 PARES, USO EXTERNO</t>
  </si>
  <si>
    <t>CABO TELEFONICO CTP - APL - 50, 20 PARES, USO EXTERNO</t>
  </si>
  <si>
    <t>CABO TELEFONICO CTP - APL - 50, 30 PARES, USO EXTERNO</t>
  </si>
  <si>
    <t>CACAMBA METALICA BASCULANTE COM CAPACIDADE DE 10 M3 (INCLUI MONTAGEM, NAO INCLUI CAMINHAO)</t>
  </si>
  <si>
    <t>CACAMBA METALICA BASCULANTE COM CAPACIDADE DE 6 M3 (INCLUI MONTAGEM, NAO INCLUI CAMINHAO)</t>
  </si>
  <si>
    <t>CADEADO SIMPLES, CORPO EM LATAO MACICO, COM LARGURA DE 25 MM E ALTURA DE APROX 25 MM, HASTE CEMENTADA (NAO LONGA), EM ACO TEMPERADO COM DIAMETRO DE APROX 5,0 MM, INCLUINDO 2 CHAVES</t>
  </si>
  <si>
    <t>CADEADO SIMPLES, CORPO EM LATAO MACICO, COM LARGURA DE 35 MM E ALTURA DE APROX 30 MM, HASTE CEMENTADA (NAO LONGA), EM ACO TEMPERADO COM DIAMETRO DE APROX 6,0 MM, INCLUINDO 2 CHAVES</t>
  </si>
  <si>
    <t>CADEADO SIMPLES, CORPO EM LATAO MACICO, COM LARGURA DE 50 MM E ALTURA DE APROX 40 MM, HASTE CEMENTADA EM ACO TEMPERADO COM DIAMETRO DE APROX 8,0 MM, INCLUINDO 2 CHAVES</t>
  </si>
  <si>
    <t>CADEIRA SUSPENSA MANUAL / BALANCIM INDIVIDUAL (NBR 14751)</t>
  </si>
  <si>
    <t>CAIBRO 5 X 5 CM EM PINUS, MISTA OU EQUIVALENTE DA REGIAO - BRUTA</t>
  </si>
  <si>
    <t>CAIBRO APARELHADO *6 X 8* CM, EM MACARANDUBA/MASSARANDUBA, ANGELIM OU EQUIVALENTE DA REGIAO</t>
  </si>
  <si>
    <t>CAIBRO APARELHADO *7,5 X 7,5* CM, EM MACARANDUBA/MASSARANDUBA, ANGELIM OU EQUIVALENTE DA REGIAO</t>
  </si>
  <si>
    <t>CAIBRO NAO APARELHADO *5 X 6* CM, EM MACARANDUBA/MASSARANDUBA, ANGELIM OU EQUIVALENTE DA REGIAO - BRUTA</t>
  </si>
  <si>
    <t>CAIBRO NAO APARELHADO *6 X 6* CM, EM MACARANDUBA/MASSARANDUBA, ANGELIM OU EQUIVALENTE DA REGIAO - BRUTA</t>
  </si>
  <si>
    <t>CAIBRO NAO APARELHADO, *6 X 8* CM, EM MACARANDUBA/MASSARANDUBA, ANGELIM OU EQUIVALENTE DA REGIAO - BRUTA</t>
  </si>
  <si>
    <t>CAIBRO ROLICO DE MADEIRA TRATADA, D = 4 A 7 CM, H = 3,00 M, EM EUCALIPTO OU EQUIVALENTE DA REGIAO</t>
  </si>
  <si>
    <t>CAIXA D'AGUA / RESERVATORIO EM POLIESTER REFORCADO COM FIBRA DE VIDRO, 10000 LITROS, COM TAMPA</t>
  </si>
  <si>
    <t>CAIXA D'AGUA / RESERVATORIO EM POLIESTER REFORCADO COM FIBRA DE VIDRO, 1500 LITROS, COM TAMPA</t>
  </si>
  <si>
    <t>CAIXA D'AGUA / RESERVATORIO EM POLIESTER REFORCADO COM FIBRA DE VIDRO, 15000 LITROS, COM TAMPA</t>
  </si>
  <si>
    <t>CAIXA D'AGUA / RESERVATORIO EM POLIESTER REFORCADO COM FIBRA DE VIDRO, 2000 LITROS, COM TAMPA</t>
  </si>
  <si>
    <t>CAIXA D'AGUA / RESERVATORIO EM POLIESTER REFORCADO COM FIBRA DE VIDRO, 20000 LITROS, COM TAMPA</t>
  </si>
  <si>
    <t>CAIXA D'AGUA / RESERVATORIO EM POLIESTER REFORCADO COM FIBRA DE VIDRO, 3000 LITROS, COM TAMPA</t>
  </si>
  <si>
    <t>CAIXA D'AGUA / RESERVATORIO EM POLIESTER REFORCADO COM FIBRA DE VIDRO, 500 LITROS, COM TAMPA</t>
  </si>
  <si>
    <t>CAIXA D'AGUA / RESERVATORIO EM POLIESTER REFORCADO COM FIBRA DE VIDRO, 5000 LITROS, COM TAMPA</t>
  </si>
  <si>
    <t>CAIXA D'AGUA / RESERVATORIO EM POLIESTER REFORCADO COM FIBRA DE VIDRO, 7000 LITROS, COM TAMPA</t>
  </si>
  <si>
    <t>CAIXA D'AGUA / RESERVATORIO EM POLIESTER REFORCADO COM FIBRA DE VIDRO, 750 LITROS, COM TAMPA</t>
  </si>
  <si>
    <t>CAIXA D'AGUA / RESERVATORIO EM POLIESTER REFORCADO COM FIBRA DE VIDRO,1000 LITROS, COM TAMPA</t>
  </si>
  <si>
    <t>CAIXA D'AGUA / RESERVATORIO EM POLIETILENO, 1000 LITROS, COM TAMPA</t>
  </si>
  <si>
    <t>CAIXA D'AGUA / RESERVATORIO EM POLIETILENO, 1500 LITROS, COM TAMPA</t>
  </si>
  <si>
    <t>CAIXA D'AGUA / RESERVATORIO EM POLIETILENO, 2000 LITROS, COM TAMPA</t>
  </si>
  <si>
    <t>CAIXA D'AGUA / RESERVATORIO EM POLIETILENO, 3000 LITROS, COM TAMPA</t>
  </si>
  <si>
    <t>CAIXA D'AGUA / RESERVATORIO EM POLIETILENO, 500 LITROS, COM TAMPA</t>
  </si>
  <si>
    <t>CAIXA D'AGUA / RESERVATORIO EM POLIETILENO, 750 LITROS, COM TAMPA</t>
  </si>
  <si>
    <t>CAIXA DE ATERRAMENTO EM CONCRETO PRE-MOLDADO, DIAMETRO DE 0,30 M E ALTURA DE 0,35 M, SEM FUNDO E COM TAMPA</t>
  </si>
  <si>
    <t>CAIXA DE CONCRETO ARMADO PRE-MOLDADO, COM FUNDO E SEM TAMPA, DIMENSOES DE 0,30 X 0,30 X 0,30 M</t>
  </si>
  <si>
    <t>CAIXA DE CONCRETO ARMADO PRE-MOLDADO, COM FUNDO E SEM TAMPA, DIMENSOES DE 0,40 X 0,40 X 0,40 M</t>
  </si>
  <si>
    <t>CAIXA DE CONCRETO ARMADO PRE-MOLDADO, COM FUNDO E SEM TAMPA, DIMENSOES DE 0,60 X 0,60 X 0,50 M</t>
  </si>
  <si>
    <t>CAIXA DE CONCRETO ARMADO PRE-MOLDADO, COM FUNDO E SEM TAMPA, DIMENSOES DE 0,80 X 0,80 X 0,50 M</t>
  </si>
  <si>
    <t>CAIXA DE CONCRETO ARMADO PRE-MOLDADO, COM FUNDO E SEM TAMPA, DIMENSOES DE 1,00 X 1,00 X 0,50 M</t>
  </si>
  <si>
    <t>CAIXA DE CONCRETO ARMADO PRE-MOLDADO, COM FUNDO E TAMPA, DIMENSOES DE 0,30 X 0,30 X 0,30 M</t>
  </si>
  <si>
    <t>CAIXA DE CONCRETO ARMADO PRE-MOLDADO, COM FUNDO E TAMPA, DIMENSOES DE 0,40 X 0,40 X 0,40 M</t>
  </si>
  <si>
    <t>CAIXA DE CONCRETO ARMADO PRE-MOLDADO, COM FUNDO E TAMPA, DIMENSOES DE 0,60 X 0,60 X 0,50 M</t>
  </si>
  <si>
    <t>CAIXA DE CONCRETO ARMADO PRE-MOLDADO, SEM FUNDO, QUADRADA, DIMENSOES DE 0,30 X 0,30 X 0,30 M</t>
  </si>
  <si>
    <t>CAIXA DE CONCRETO ARMADO PRE-MOLDADO, SEM FUNDO, QUADRADA, DIMENSOES DE 0,40 X 0,40 X 0,40 M</t>
  </si>
  <si>
    <t>CAIXA DE CONCRETO ARMADO PRE-MOLDADO, SEM FUNDO, QUADRADA, DIMENSOES DE 0,60 X 0,60 X 0,50 M</t>
  </si>
  <si>
    <t>CAIXA DE CONCRETO ARMADO PRE-MOLDADO, SEM FUNDO, QUADRADA, DIMENSOES DE 0,80 X 0,80 X 0,50 M</t>
  </si>
  <si>
    <t>CAIXA DE CONCRETO ARMADO PRE-MOLDADO, SEM FUNDO, QUADRADA, DIMENSOES DE 1,00 X 1,00 X 0,50 M</t>
  </si>
  <si>
    <t>CAIXA DE DERIVACAO PARA MEDIDOR DE ENERGIA, COM BARRAMENTO MONOFASICO, EM POLICARBONATO / TERMOPLASTICO - MODULO (PADRAO CONCESSIONARIA LOCAL)</t>
  </si>
  <si>
    <t>CAIXA DE DERIVACAO PARA MEDIDOR DE ENERGIA, COM BARRAMENTO POLIFASICO, EM POLICARBONATO / TERMOPLASTICO - MODULO (PADRAO CONCESSIONARIA LOCAL)</t>
  </si>
  <si>
    <t>CAIXA DE DESCARGA PLASTICA PARA BACIA / VASO SANITARIO DE EMBUTIR, COM ESPELHO ACIONADOR EM PLASTICO, CAPACIDADE 6 A 10 LITROS, (COMPLETA - ACESSORIOS INCLUSOS)</t>
  </si>
  <si>
    <t>CAIXA DE DESCARGA PLASTICA PARA BACIA / VASO SANITARIO, EXTERNA, CAPACIDADE 9 LITROS, PUXADOR FIO DE NYLON, NAO INCLUSO CANO, BOLSA, ENGATE</t>
  </si>
  <si>
    <t>CAIXA DE GORDURA CILINDRICA EM CONCRETO SIMPLES, PRE-MOLDADA, COM DIAMETRO DE 40 CM E ALTURA DE 45 CM, COM TAMPA</t>
  </si>
  <si>
    <t>CAIXA DE GORDURA EM PVC, DIAMETRO MINIMO 300 MM, DIAMETRO DE SAIDA 100 MM, CAPACIDADE APROXIMADA 18 LITROS, COM TAMPA E CESTO</t>
  </si>
  <si>
    <t>CAIXA DE INCENDIO/ABRIGO PARA MANGUEIRA, DE EMBUTIR/INTERNA, COM 75 X 45 X 17 CM, EM CHAPA DE ACO, PORTA COM VENTILACAO, VISOR COM A INSCRICAO "INCENDIO", SUPORTE/CESTA INTERNA PARA A MANGUEIRA, PINTURA ELETROSTATICA VERMELHA</t>
  </si>
  <si>
    <t>CAIXA DE INCENDIO/ABRIGO PARA MANGUEIRA, DE EMBUTIR/INTERNA, COM 90 X 60 X 17 CM, EM CHAPA DE ACO, PORTA COM VENTILACAO, VISOR COM A INSCRICAO "INCENDIO", SUPORTE/CESTA INTERNA PARA A MANGUEIRA, PINTURA ELETROSTATICA VERMELHA</t>
  </si>
  <si>
    <t>CAIXA DE INCENDIO/ABRIGO PARA MANGUEIRA, DE SOBREPOR/EXTERNA, COM 75 X 45 X 17 CM, EM CHAPA DE ACO, PORTA COM VENTILACAO, VISOR COM A INSCRICAO "INCENDIO", SUPORTE/CESTA INTERNA PARA A MANGUEIRA, PINTURA ELETROSTATICA VERMELHA</t>
  </si>
  <si>
    <t>CAIXA DE INCENDIO/ABRIGO PARA MANGUEIRA, DE SOBREPOR/EXTERNA, COM 90 X 60 X 17 CM, EM CHAPA DE ACO, PORTA COM VENTILACAO, VISOR COM A INSCRICAO "INCENDIO", SUPORTE/CESTA INTERNA PARA A MANGUEIRA, PINTURA ELETROSTATICA VERMELHA</t>
  </si>
  <si>
    <t>CAIXA DE LUZ "3 X 3" EM ACO ESMALTADA</t>
  </si>
  <si>
    <t>CAIXA DE LUZ "4 X 2" EM ACO ESMALTADA</t>
  </si>
  <si>
    <t>CAIXA DE LUZ "4 X 4" EM ACO ESMALTADA</t>
  </si>
  <si>
    <t>CAIXA DE PASSAGEM / DERIVACAO / LUZ, OCTOGONAL 4 X4, EM ACO ESMALTADA, COM FUNDO MOVEL SIMPLES (FMS)</t>
  </si>
  <si>
    <t>CAIXA DE PASSAGEM ELETRICA DE PAREDE, DE EMBUTIR, EM PVC, COM TAMPA APARAFUSADA, DIMENSOES 120 X 120 X *75* MM</t>
  </si>
  <si>
    <t>CAIXA DE PASSAGEM ELETRICA DE PAREDE, DE EMBUTIR, EM PVC, COM TAMPA APARAFUSADA, DIMENSOES 150 X 150 X *75* MM</t>
  </si>
  <si>
    <t>CAIXA DE PASSAGEM ELETRICA DE PAREDE, DE EMBUTIR, EM PVC, COM TAMPA APARAFUSADA, DIMENSOES 200 X 200 X *90* MM</t>
  </si>
  <si>
    <t>CAIXA DE PASSAGEM ELETRICA DE PAREDE, DE EMBUTIR, EM TERMOPLASTICO / PVC, COM TAMPA APARAFUSADA, DIMENSOES 400 X 400 X *120* MM</t>
  </si>
  <si>
    <t>CAIXA DE PASSAGEM ELETRICA DE PAREDE, DE SOBREPOR, EM PVC, COM TAMPA APARAFUSADA, DIMENSOES 300 X 300 X *100* MM</t>
  </si>
  <si>
    <t>CAIXA DE PASSAGEM ELETRICA DE PAREDE, DE SOBREPOR, EM PVC, COM TAMPA APARAFUSADA, DIMENSOES, 400 X 400 X *120* MM</t>
  </si>
  <si>
    <t>CAIXA DE PASSAGEM ELETRICA DE PAREDE, DE SOBREPOR, EM TERMOPLASTICO / PVC, COM TAMPA APARAFUSADA, DIMENSOES 200 X 200 X *100* MM</t>
  </si>
  <si>
    <t>CAIXA DE PASSAGEM ELETRICA DE PAREDE, DE SOBREPOR, EM TERMOPLASTICO / PVC, COM TAMPA APARAFUSADA, DIMENSOES, 150 X 150 X *100* MM</t>
  </si>
  <si>
    <t>CAIXA DE PASSAGEM ELETRICA, PARA PISO, EM PVC, DIMENSOES DE 3/4" A 4"</t>
  </si>
  <si>
    <t>CAIXA DE PASSAGEM METALICA DE SOBREPOR COM TAMPA PARAFUSADA, DIMENSOES 20 X 20 X 10 CM</t>
  </si>
  <si>
    <t>CAIXA DE PASSAGEM METALICA DE SOBREPOR COM TAMPA PARAFUSADA, DIMENSOES 30 X 30 X 10 CM</t>
  </si>
  <si>
    <t>CAIXA DE PASSAGEM METALICA DE SOBREPOR COM TAMPA PARAFUSADA, DIMENSOES 40 X 40 X 15 CM</t>
  </si>
  <si>
    <t>CAIXA DE PASSAGEM METALICA DE SOBREPOR COM TAMPA PARAFUSADA, DIMENSOES 50 X 50 X 15 CM</t>
  </si>
  <si>
    <t>CAIXA DE PASSAGEM METALICA DE SOBREPOR COM TAMPA PARAFUSADA, DIMENSOES 60 X 60 X 20 CM</t>
  </si>
  <si>
    <t>CAIXA DE PASSAGEM METALICA DE SOBREPOR COM TAMPA PARAFUSADA, DIMENSOES 70 X 70 X 20 CM</t>
  </si>
  <si>
    <t>CAIXA DE PASSAGEM METALICA DE SOBREPOR COM TAMPA PARAFUSADA, DIMENSOES 80 X 80 X 20 CM</t>
  </si>
  <si>
    <t>CAIXA DE PASSAGEM METALICA, DE SOBREPOR, COM TAMPA APARAFUSADA, DIMENSOES 15 X 15 X *10* CM</t>
  </si>
  <si>
    <t>CAIXA DE PASSAGEM METALICA, DE SOBREPOR, COM TAMPA APARAFUSADA, DIMENSOES 35 X 35 X *12* CM</t>
  </si>
  <si>
    <t>CAIXA DE PASSAGEM, EM PVC, DE 4" X 2", PARA ELETRODUTO FLEXIVEL CORRUGADO</t>
  </si>
  <si>
    <t>CAIXA DE PASSAGEM, EM PVC, DE 4" X 4", PARA ELETRODUTO FLEXIVEL CORRUGADO</t>
  </si>
  <si>
    <t>CAIXA DE PASSAGEM/ LUZ / TELEFONIA, DE EMBUTIR, EM CHAPA DE ACO GALVANIZADO, DIMENSOES 120 X 120 X *12* CM (PADRAO CONCESSIONARIA LOCAL)</t>
  </si>
  <si>
    <t>CAIXA DE PASSAGEM/ LUZ / TELEFONIA, DE EMBUTIR, EM CHAPA DE ACO GALVANIZADO, DIMENSOES 150 X 150 X 15 CM (PADRAO CONCESSIONARIA LOCAL)</t>
  </si>
  <si>
    <t>CAIXA DE PASSAGEM/ LUZ / TELEFONIA, DE EMBUTIR, EM CHAPA DE ACO GALVANIZADO, DIMENSOES 20 X 20 X *12* CM (PADRAO CONCESSIONARIA LOCAL)</t>
  </si>
  <si>
    <t>CAIXA DE PASSAGEM/ LUZ / TELEFONIA, DE EMBUTIR, EM CHAPA DE ACO GALVANIZADO, DIMENSOES 200 X 200 X 20 CM (PADRAO CONCESSIONARIA LOCAL)</t>
  </si>
  <si>
    <t>CAIXA DE PASSAGEM/ LUZ / TELEFONIA, DE EMBUTIR, EM CHAPA DE ACO GALVANIZADO, DIMENSOES 40 X 40 X *12* CM (PADRAO CONCESSIONARIA LOCAL)</t>
  </si>
  <si>
    <t>CAIXA DE PASSAGEM/ LUZ / TELEFONIA, DE EMBUTIR, EM CHAPA DE ACO GALVANIZADO, DIMENSOES 60 X 60 X *12* CM (PADRAO CONCESSIONARIA LOCAL)</t>
  </si>
  <si>
    <t>CAIXA DE PASSAGEM/ LUZ / TELEFONIA, DE EMBUTIR, EM CHAPA DE ACO GALVANIZADO, DIMENSOES 80 X 80 X *12* CM (PADRAO CONCESSIONARIA LOCAL)</t>
  </si>
  <si>
    <t>CAIXA DE PASSAGEM/ LUZ / TELEFONIA, DE SOBREPOR, EM CHAPA DE ACO GALVANIZADO, DIMENSOES 80 X 80 X *12* CM (PADRAO CONCESSIONARIA LOCAL)</t>
  </si>
  <si>
    <t>CAIXA DE PROTECAO EXTERNA PARA MEDIDOR HOROSAZONAL, DE BAIXA TENSAO, COM MODULO, EM CHAPA DE ACO (PADRAO DA CONCESSIONARIA LOCAL)</t>
  </si>
  <si>
    <t>CAIXA DE PROTECAO PARA TRANSFORMADOR CORRENTE, EM CHAPA DE ACO 18 USG (PADRAO DA CONCESSIONARIA LOCAL)</t>
  </si>
  <si>
    <t>CAIXA INTERNA/EXTERNA DE MEDICAO PARA 1 MEDIDOR TRIFASICO, COM VISOR, EM CHAPA DE ACO 18 USG (PADRAO DA CONCESSIONARIA LOCAL)</t>
  </si>
  <si>
    <t>CAIXA INTERNA/EXTERNA DE MEDICAO PARA 4 MEDIDORES MONOFASICOS, COM VISOR, EM CHAPA DE ACO 18 USG (PADRAO DA CONCESSIONARIA LOCAL)</t>
  </si>
  <si>
    <t>CAIXA MODULAR PARA MEDIDOR DE ENERGIA AGRUPADA, EM POLICARBONATO / TERMOPLASTICO, COM SUPORTE PARA DISJUNTOR (PADRAO DA CONCESSIONARIA LOCAL)</t>
  </si>
  <si>
    <t>CAIXA OCTOGONAL DE FUNDO MOVEL, EM PVC, DE 3" X 3", PARA ELETRODUTO FLEXIVEL CORRUGADO</t>
  </si>
  <si>
    <t>CAIXA OCTOGONAL DE FUNDO MOVEL, EM PVC, DE 4" X 4", PARA ELETRODUTO FLEXIVEL CORRUGADO</t>
  </si>
  <si>
    <t>CAIXA PARA HIDROMETRO CONCRETO PRE MOLDADO, *0,24 M X 0,45 M X 0,30* M (L X C X A)</t>
  </si>
  <si>
    <t>CAIXA PARA MEDICAO COLETIVA TIPO L, PADRAO BIFASICO OU TRIFASICO, PARA ATE 4 MEDIDORES, SEM BARRAMENTO E COM PORTAS INFERIOR E SUPERIOR</t>
  </si>
  <si>
    <t>CAIXA PARA MEDICAO COLETIVA TIPO M, PADRAO BIFASICO OU TRIFASICO, PARA ATE 8 MEDIDORES, SEM BARRAMENTO E COM PORTAS INFERIOR E SUPERIOR</t>
  </si>
  <si>
    <t>CAIXA PARA MEDICAO COLETIVA TIPO N, PADRAO BIFASICO OU TRIFASICO, PARA ATE 12 MEDIDORES, SEM BARRAMENTO E COM PORTAS INFERIOR E SUPERIOR</t>
  </si>
  <si>
    <t>CAIXA PARA MEDIDOR MONOFASICO, EM POLICARBONATO / TERMOPLASTICO, PARA ALOJAR 1 DISJUNTOR (PADRAO DA CONCESSIONARIA LOCAL)</t>
  </si>
  <si>
    <t>CAIXA PARA MEDIDOR POLIFASICO, EM POLICARBONATO / TERMOPLASTICO, PARA ALOJAR 1 DISJUNTOR (PADRAO DA CONCESSIONARIA LOCAL)</t>
  </si>
  <si>
    <t>CAIXA PRE-MOLDADA PARA BOCA DE LOBO, EM CONCRETO ARMADO, COM FCK DE 25 MPA, COM DIMENSOES 1,10 X 0,65 X 1,00 M (COMPRIMENTO X LARGURA X ALTURA)</t>
  </si>
  <si>
    <t>CAIXA SIFONADA PVC, 100 X 100 X 50 MM, COM GRELHA REDONDA, BRANCA</t>
  </si>
  <si>
    <t>CAIXA SIFONADA PVC, 250 X 230 X 75 MM, COM TAMPA CEGA QUADRADA, BRANCA</t>
  </si>
  <si>
    <t>CAIXA SIFONADA, PVC, 150 X *185* X 75 MM, COM GRELHA QUADRADA, BRANCA</t>
  </si>
  <si>
    <t>CAIXA SIFONADA, PVC, 150 X 150 X 50 MM, COM GRELHA QUADRADA, BRANCA (NBR 5688)</t>
  </si>
  <si>
    <t>CAIXA SIFONADA, PVC, 150 X 150 X 50 MM, COM GRELHA REDONDA, BRANCA</t>
  </si>
  <si>
    <t>CAL HIDRATADA CH-I PARA ARGAMASSAS</t>
  </si>
  <si>
    <t>CAL HIDRATADA PARA PINTURA</t>
  </si>
  <si>
    <t>CAL VIRGEM COMUM PARA ARGAMASSAS (NBR 6453)</t>
  </si>
  <si>
    <t>CALCETEIRO / RASTELEIRO (HORISTA)</t>
  </si>
  <si>
    <t>CALCETEIRO / RASTELEIRO (MENSALISTA)</t>
  </si>
  <si>
    <t>CALHA / PERFIL PLUVIAL DE PVC, DIAMETRO ENTRE *119 E 170* MM, COMPRIMENTO DE 3 M, PARA DRENAGEM PLUVIAL PREDIAL</t>
  </si>
  <si>
    <t>CALHA MOLDURA AMERICANA DE CHAPA DE ACO GALVANIZADA NUM 26, CORTE 33 CM</t>
  </si>
  <si>
    <t>CALHA PARA AGUA FURTADA DE CHAPA DE ACO GALVANIZADA NUM 26, CORTE 40 CM</t>
  </si>
  <si>
    <t>CALHA PARA AGUA FURTADA DE CHAPA DE ACO GALVANIZADA NUM 26, CORTE 50 CM</t>
  </si>
  <si>
    <t>CALHA PLATIBANDA DE CHAPA DE ACO GALVANIZADA NUM 26, CORTE 45 CM</t>
  </si>
  <si>
    <t>CALHA QUADRADA DE CHAPA DE ACO GALVANIZADA NUM 24, CORTE 100 CM</t>
  </si>
  <si>
    <t>CALHA QUADRADA DE CHAPA DE ACO GALVANIZADA NUM 24, CORTE 33 CM</t>
  </si>
  <si>
    <t>CALHA QUADRADA DE CHAPA DE ACO GALVANIZADA NUM 24, CORTE 50 CM</t>
  </si>
  <si>
    <t>CALHA QUADRADA DE CHAPA DE ACO GALVANIZADA NUM 26, CORTE 33 CM</t>
  </si>
  <si>
    <t>CALHA QUADRADA DE CHAPA DE ACO GALVANIZADA NUM 28, CORTE 25 CM</t>
  </si>
  <si>
    <t>CALHA/CANALETA DE CONCRETO SIMPLES, TIPO MEIA CANA, DIAMETRO DE 20 CM, PARA AGUA PLUVIAL</t>
  </si>
  <si>
    <t>CALHA/CANALETA DE CONCRETO SIMPLES, TIPO MEIA CANA, DIAMETRO DE 30 CM, PARA AGUA PLUVIAL</t>
  </si>
  <si>
    <t>CALHA/CANALETA DE CONCRETO SIMPLES, TIPO MEIA CANA, DIAMETRO DE 40 CM, PARA AGUA PLUVIAL</t>
  </si>
  <si>
    <t>CALHA/CANALETA DE CONCRETO SIMPLES, TIPO MEIA CANA, DIAMETRO DE 50 CM, PARA AGUA PLUVIAL</t>
  </si>
  <si>
    <t>CALHA/CANALETA DE CONCRETO SIMPLES, TIPO MEIA CANA, DIAMETRO DE 60 CM, PARA AGUA PLUVIAL</t>
  </si>
  <si>
    <t>CALHA/CANALETA DE CONCRETO SIMPLES, TIPO MEIA CANA, DIAMETRO DE 80 CM, PARA AGUA PLUVIAL</t>
  </si>
  <si>
    <t>CAMADA SEPARADORA DE FILME DE POLIETILENO 20 A 25 MICRA</t>
  </si>
  <si>
    <t>CAMINHAO TOCO, PESO BRUTO TOTAL 10700 KG, CARGA UTIL MAXIMA 7400 KG, DISTANCIA ENTRE EIXOS 4,00 M, POTENCIA 175 CV (INCLUI CABINE E CHASSI, NAO INCLUI CARROCERIA)</t>
  </si>
  <si>
    <t>CAMINHAO TOCO, PESO BRUTO TOTAL 13200 KG, CARGA UTIL MAXIMA 9200 KG, DISTANCIA ENTRE EIXOS 3,31 M, POTENCIA 175 CV (INCLUI CABINE E CHASSI, NAO INCLUI CARROCERIA)</t>
  </si>
  <si>
    <t>CAMINHAO TOCO, PESO BRUTO TOTAL 14300 KG, CARGA UTIL MAXIMA 9480 KG, DISTANCIA ENTRE EIXOS 4,80 M, POTENCIA 185 CV (INCLUI CABINE E CHASSI, NAO INCLUI CARROCERIA)</t>
  </si>
  <si>
    <t>CAMINHAO TOCO, PESO BRUTO TOTAL 16000 KG, CARGA UTIL MAXIMA 10830 KG, DISTANCIA ENTRE EIXOS 3,56 M, POTENCIA 226 CV (INCLUI CABINE E CHASSI, NAO INCLUI CARROCERIA)</t>
  </si>
  <si>
    <t>CAMINHAO TOCO, PESO BRUTO TOTAL 16000 KG, CARGA UTIL MAXIMA 11030 KG, DISTANCIA ENTRE EIXOS 5,41 M, POTENCIA 185 CV (INCLUI CABINE E CHASSI, NAO INCLUI CARROCERIA)</t>
  </si>
  <si>
    <t>CAMINHAO TRUCADO, PESO BRUTO TOTAL 23000 KG, CARGA UTIL MAXIMA 15285 KG, DISTANCIA ENTRE EIXOS 4,80 M, POTENCIA 326 CV (INCLUI CABINE E CHASSI, NAO INCLUI CARROCERIA)</t>
  </si>
  <si>
    <t>CAMINHAO TRUCADO, PESO BRUTO TOTAL 23000 KG, CARGA UTIL MAXIMA 15460 KG, DISTANCIA ENTRE EIXOS 4,80 M, POTENCIA 286 CV (INCLUI CABINE E CHASSI, NAO INCLUI CARROCERIA)</t>
  </si>
  <si>
    <t>CAMINHAO TRUCADO, PESO BRUTO TOTAL 23000 KG, CARGA UTIL MAXIMA 16540 KG, DISTANCIA ENTRE EIXOS 4,80 M, POTENCIA 256 CV (INCLUI CABINE E CHASSI, NAO INCLUI CARROCERIA)</t>
  </si>
  <si>
    <t>CAMINHONETE COM MOTOR A DIESEL, POTENCIA *160* CV, CABINE DUPLA, 4X4</t>
  </si>
  <si>
    <t>CAMPAINHA ALTA POTENCIA 110V / 220V, DIAMETRO 150 MM</t>
  </si>
  <si>
    <t>CAMPAINHA CIGARRA 127 V / 220 V (APENAS MODULO)</t>
  </si>
  <si>
    <t>CAMPAINHA CIGARRA 127 V / 220 V, CONJUNTO MONTADO PARA EMBUTIR 4" X 2" (PLACA + SUPORTE + MODULO)</t>
  </si>
  <si>
    <t>CANALETA DE CONCRETO 14 X 19 X 19 CM (CLASSE C - NBR 6136)</t>
  </si>
  <si>
    <t>CANALETA DE CONCRETO 19 X 19 X 19 CM (CLASSE C - NBR 6136)</t>
  </si>
  <si>
    <t>CANALETA DE CONCRETO 9 X 19 X 19 CM (CLASSE C - NBR 6136)</t>
  </si>
  <si>
    <t>CANALETA DE CONCRETO ESTRUTURAL 14 X 19 X 29 CM, FBK 14 MPA (NBR 6136)</t>
  </si>
  <si>
    <t>CANALETA DE CONCRETO ESTRUTURAL 14 X 19 X 29 CM, FBK 4,5 MPA (NBR 6136)</t>
  </si>
  <si>
    <t>CANALETA DE CONCRETO ESTRUTURAL 14 X 19 X 39 CM, FBK 14 MPA (NBR 6136)</t>
  </si>
  <si>
    <t>CANALETA DE CONCRETO ESTRUTURAL 14 X 19 X 39 CM, FBK 4,5 MPA (NBR 6136)</t>
  </si>
  <si>
    <t>CANALETA ESTRUTURAL CERAMICA DE 14 X 19 X 19 CM (L X A X C) E 6,0 MPA</t>
  </si>
  <si>
    <t>CANALETA ESTRUTURAL CERAMICA DE 14 X 19 X 29 CM (L X A X C) E 6,0 MPA</t>
  </si>
  <si>
    <t>CANALETA ESTRUTURAL CERAMICA DE 14 X 19 X 39 CM (L X A X C) E 6,0 MPA</t>
  </si>
  <si>
    <t>CANOPLA ACABAMENTO CROMADO PARA INSTALACAO DE SPRINKLER, SOB FORRO, 15 MM</t>
  </si>
  <si>
    <t>CANTONEIRA (ABAS IGUAIS) EM ACO CARBONO, 25,4 MM X 3,17 MM (L X E), 1,27KG/M</t>
  </si>
  <si>
    <t>CANTONEIRA (ABAS IGUAIS) EM ACO CARBONO, 38,1 MM X 3,17 MM (L X E), 3,48 KG/M</t>
  </si>
  <si>
    <t>CANTONEIRA (ABAS IGUAIS) EM ACO CARBONO, 50,8 MM X 9,53 MM (L X E), 6,99 KG/M</t>
  </si>
  <si>
    <t>CANTONEIRA ACO ABAS IGUAIS (QUALQUER BITOLA), ESPESSURA ENTRE 1/8" E 1/4"</t>
  </si>
  <si>
    <t>CANTONEIRA EM ALUMINIO, ABAS IGUAIS, LARGURA DE 25,40 MM (1"), ESPESSURA DE 3,17 MM (1/8") E PESO LINEAR DE APROXIMADAMENTE 0,408 KG/M</t>
  </si>
  <si>
    <t>CANTONEIRA EM ALUMINIO, ABAS IGUAIS, LARGURA DE 25,40 MM (1"), ESPESSURA DE 4,76 MM (3/16") E PESO LINEAR DE APROXIMADAMENTE 0,593 KG/M</t>
  </si>
  <si>
    <t>CANTONEIRA EM ALUMINIO, ABAS IGUAIS, LARGURA DE 31,75 MM (1 1/4"), ESPESSURA DE 4,76 MM (3/16") E PESO LINEAR DE APROXIMADAMENTE 0,755 KG/M</t>
  </si>
  <si>
    <t>CANTONEIRA EM ALUMINIO, ABAS IGUAIS, LARGURA DE 38,10 MM (1 1/2"), ESPESSURA DE 4,76 MM (3/16") E PESO LINEAR DE APROXIMADAMENTE 0,915 KG/M</t>
  </si>
  <si>
    <t>CANTONEIRA EM ALUMINIO, ABAS IGUAIS, LARGURA DE 50,80 MM (2"), ESPESSURA DE 3,17 MM (1/8") E PESO LINEAR DE APROXIMADAMENTE 0,842 KG/M</t>
  </si>
  <si>
    <t>CANTONEIRA EM ALUMINIO, ABAS IGUAIS, LARGURA DE 50,80 MM (2"), ESPESSURA DE 6,35 MM (1/4") E PESO LINEAR DE APROXIMADAMENTE 1,630 KG/M</t>
  </si>
  <si>
    <t>CAP OU TAMPAO DE FERRO GALVANIZADO, COM ROSCA BSP, DE 1 1/2"</t>
  </si>
  <si>
    <t>CAP OU TAMPAO DE FERRO GALVANIZADO, COM ROSCA BSP, DE 1 1/4"</t>
  </si>
  <si>
    <t>CAP OU TAMPAO DE FERRO GALVANIZADO, COM ROSCA BSP, DE 1"</t>
  </si>
  <si>
    <t>CAP OU TAMPAO DE FERRO GALVANIZADO, COM ROSCA BSP, DE 1/2"</t>
  </si>
  <si>
    <t>CAP OU TAMPAO DE FERRO GALVANIZADO, COM ROSCA BSP, DE 1/4"</t>
  </si>
  <si>
    <t>CAP OU TAMPAO DE FERRO GALVANIZADO, COM ROSCA BSP, DE 2 1/2"</t>
  </si>
  <si>
    <t>CAP OU TAMPAO DE FERRO GALVANIZADO, COM ROSCA BSP, DE 2"</t>
  </si>
  <si>
    <t>CAP OU TAMPAO DE FERRO GALVANIZADO, COM ROSCA BSP, DE 3"</t>
  </si>
  <si>
    <t>CAP OU TAMPAO DE FERRO GALVANIZADO, COM ROSCA BSP, DE 3/4"</t>
  </si>
  <si>
    <t>CAP OU TAMPAO DE FERRO GALVANIZADO, COM ROSCA BSP, DE 3/8"</t>
  </si>
  <si>
    <t>CAP OU TAMPAO DE FERRO GALVANIZADO, COM ROSCA BSP, DE 4"</t>
  </si>
  <si>
    <t>CAP PPR DN 20 MM, PARA AGUA QUENTE PREDIAL</t>
  </si>
  <si>
    <t>CAP PPR DN 25 MM, PARA AGUA QUENTE PREDIAL</t>
  </si>
  <si>
    <t>CAP PVC, ROSCAVEL, 1", PARA AGUA FRIA PREDIAL</t>
  </si>
  <si>
    <t>CAP PVC, ROSCAVEL, 1/2", PARA AGUA FRIA PREDIAL</t>
  </si>
  <si>
    <t>CAP PVC, ROSCAVEL, 3/4", PARA AGUA FRIA PREDIAL</t>
  </si>
  <si>
    <t>CAP PVC, SERIE R, DN 100 MM, PARA ESGOTO PREDIAL</t>
  </si>
  <si>
    <t>CAP PVC, SERIE R, DN 150 MM, PARA ESGOTO PREDIAL</t>
  </si>
  <si>
    <t>CAP PVC, SERIE R, DN 75 MM, PARA ESGOTO PREDIAL</t>
  </si>
  <si>
    <t>CAP PVC, SOLDAVEL, 20 MM, PARA AGUA FRIA PREDIAL</t>
  </si>
  <si>
    <t>CAP PVC, SOLDAVEL, 25 MM, PARA AGUA FRIA PREDIAL</t>
  </si>
  <si>
    <t>CAP PVC, SOLDAVEL, 32 MM, PARA AGUA FRIA PREDIAL</t>
  </si>
  <si>
    <t>CAP PVC, SOLDAVEL, 40 MM, PARA AGUA FRIA PREDIAL</t>
  </si>
  <si>
    <t>CAP PVC, SOLDAVEL, 50 MM, PARA AGUA FRIA PREDIAL</t>
  </si>
  <si>
    <t>CAP PVC, SOLDAVEL, 60 MM, PARA AGUA FRIA PREDIAL</t>
  </si>
  <si>
    <t>CAP PVC, SOLDAVEL, 75 MM, PARA AGUA FRIA PREDIAL</t>
  </si>
  <si>
    <t>CAP PVC, SOLDAVEL, DN 100 MM, SERIE NORMAL, PARA ESGOTO PREDIAL</t>
  </si>
  <si>
    <t>CAP PVC, SOLDAVEL, DN 50 MM, SERIE NORMAL, PARA ESGOTO PREDIAL</t>
  </si>
  <si>
    <t>CAP PVC, SOLDAVEL, DN 75 MM, SERIE NORMAL, PARA ESGOTO PREDIAL</t>
  </si>
  <si>
    <t>CAP, PVC PBA, JE, DN 100 / DE 110 MM, PARA REDE DE AGUA (NBR 10351)</t>
  </si>
  <si>
    <t>CAP, PVC PBA, JE, DN 50 / DE 60 MM, PARA REDE DE AGUA (NBR 10351)</t>
  </si>
  <si>
    <t>CAP, PVC PBA, JE, DN 75 / DE 85 MM, PARA REDE DE AGUA (NBR 10351)</t>
  </si>
  <si>
    <t>CAP, PVC, JE, OCRE, DN 150 MM (CONEXAO PARA TUBO COLETOR DE ESGOTO)</t>
  </si>
  <si>
    <t>CAP, PVC, JE, OCRE, DN 200 MM (CONEXAO PARA TUBO COLETOR DE ESGOTO)</t>
  </si>
  <si>
    <t>CAPA PARA CHUVA EM PVC COM FORRO DE POLIESTER, COM CAPUZ (AMARELA OU AZUL)</t>
  </si>
  <si>
    <t>CAPACETE DE SEGURANCA ABA FRONTAL COM SUSPENSAO DE POLIETILENO, SEM JUGULAR (CLASSE B)</t>
  </si>
  <si>
    <t>CAPACITOR TRIFASICO, POTENCIA 2,5 KVAR, TENSAO 220 V, FORNECIDO COM CAPA PROTETORA, RESISTOR INTERNO A UNIDADE CAPACITIVA</t>
  </si>
  <si>
    <t>CAPACITOR TRIFASICO, POTENCIA 5 KVAR, TENSAO 220 V, FORNECIDO COM CAPA PROTETORA, RESISTOR INTERNO A UNIDADE CAPACITIVA</t>
  </si>
  <si>
    <t>CAPIM BRAQUIARIA DECUMBENS/ BRAQUIARINHA, VC *70*% MINIMO</t>
  </si>
  <si>
    <t>CAPTOR FRANKLIN (4 PONTAS), EM LATAO CROMADO, H = 300 MM, DUAS DESCIDAS</t>
  </si>
  <si>
    <t>CAPTOR FRANKLIN (4 PONTAS), EM LATAO CROMADO, H = 300 MM, UMA DESCIDA</t>
  </si>
  <si>
    <t>CAPTOR FRANKLIN (4 PONTAS), EM LATAO CROMADO, H = 350 MM, DUAS DESCIDAS</t>
  </si>
  <si>
    <t>CAPTOR FRANKLIN (4 PONTAS), EM LATAO CROMADO, H=350 MM, UMA DESCIDA</t>
  </si>
  <si>
    <t>CARENAGEM /TAMPA, EM PLASTICO, COR BRANCA, UTILIZADO EM KIT CHASSI METALICO PARA INSTAL. HIDRAULICA DE CUBA SIMPLES SEM MAQUINA DE LAVAR ROUPA, *355* X *670* MM (L X H) (COM FUROS E DEMAIS ENCAIXES)</t>
  </si>
  <si>
    <t>CARENAGEM /TAMPA, EM PLASTICO, COR BRANCA, UTILIZADO EM KIT CHASSI METALICO PARA INSTAL. HIDRAULICA DE TANQUE COM MAQUINA DE LAVAR ROUPA, *360* X *470* MM (L X H) (COM FUROS E DEMAIS ENCAIXES)</t>
  </si>
  <si>
    <t>CARPETE DE NYLON EM MANTA PARA TRAFEGO COMERCIAL PESADO, E = 6 A 7 MM (INSTALADO)</t>
  </si>
  <si>
    <t>CARPETE DE NYLON EM MANTA PARA TRAFEGO COMERCIAL PESADO, E = 9 A 10 MM (INSTALADO)</t>
  </si>
  <si>
    <t>CARPETE DE NYLON EM PLACAS 50 X 50 CM PARA TRAFEGO COMERCIAL PESADO, E = 6,5 MM (INSTALADO)</t>
  </si>
  <si>
    <t>CARPETE DE POLIESTER EM MANTA PARA TRAFEGO COMERCIAL PESADO, E = 4 A 5 MM (INSTALADO)</t>
  </si>
  <si>
    <t>CARPETE DE POLIPROPILENO EM MANTA PARA TRAFEGO COMERCIAL MEDIO, E = 5 A 6 MM (INSTALADO)</t>
  </si>
  <si>
    <t>CARPINTEIRO AUXILIAR (HORISTA)</t>
  </si>
  <si>
    <t>CARPINTEIRO AUXILIAR (MENSALISTA)</t>
  </si>
  <si>
    <t>CARPINTEIRO DE ESQUADRIAS (HORISTA)</t>
  </si>
  <si>
    <t>CARPINTEIRO DE ESQUADRIAS (MENSALISTA)</t>
  </si>
  <si>
    <t>CARPINTEIRO DE FORMAS OU OFICIAL (MENSALISTA)</t>
  </si>
  <si>
    <t>CARPINTEIRO DE FORMAS PARA CONCRETO (HORISTA)</t>
  </si>
  <si>
    <t>CARRANCA PARA JANELA VENEZIANA DE ABRIR, EM LATAO CROMADO, SIMPLES, PARA APARAFUSAR NA PAREDE</t>
  </si>
  <si>
    <t>CARRINHO DE MAO, EM ACO, COM CAPACIDADE DE *45 A 65* L / *100* KG, PNEU COM CAMARA</t>
  </si>
  <si>
    <t>CARROCERIA FIXA ABERTA DE MADEIRA PARA TRANSPORTE GERAL DE CARGA SECA DIMENSOES APROXIMADAS 2,25 X 4,10 X 0,50 M (INCLUI MONTAGEM, NAO INCLUI CAMINHAO)</t>
  </si>
  <si>
    <t>CARROCERIA FIXA ABERTA DE MADEIRA PARA TRANSPORTE GERAL DE CARGA SECA DIMENSOES APROXIMADAS 2,5 X 6,5 X 0,50 M (INCLUI MONTAGEM, NAO INCLUI CAMINHAO)</t>
  </si>
  <si>
    <t>CARROCERIA FIXA ABERTA DE MADEIRA PARA TRANSPORTE GERAL DE CARGA SECA DIMENSOES APROXIMADAS 2,5 X 7,00 X 0,50 M (INCLUI MONTAGEM, NAO INCLUI CAMINHAO)</t>
  </si>
  <si>
    <t>CARROCERIA FIXA ABERTA DE MADEIRA PARA TRANSPORTE GERAL DE CARGA SECA DIMENSOES APROXIMADAS 2,5 X 7,5 X 0,50 M (INCLUI MONTAGEM, NAO INCLUI CAMINHAO)</t>
  </si>
  <si>
    <t>CAVALO MECANICO TRACAO 4X2, PESO BRUTO TOTAL 16000 KG, CAPACIDADE MAXIMA DE TRACAO *36000* KG, DISTANCIA ENTRE EIXOS *3,56* M, POTENCIA *286* CV (INCLUI CABINE E CHASSI, NAO INCLUI SEMIRREBOQUE)</t>
  </si>
  <si>
    <t>CAVALO MECANICO TRACAO 4X2, PESO BRUTO TOTAL 16000 KG, CAPACIDADE MAXIMA DE TRACAO *45000* KG, DISTANCIA ENTRE EIXOS *3,56* M, POTENCIA *330* CV (INCLUI CABINE E CHASSI, NAO INCLUI SEMIRREBOQUE)</t>
  </si>
  <si>
    <t>CAVALO MECANICO TRACAO 4X2, PESO BRUTO TOTAL 16000 KG, CAPACIDADE MAXIMA DE TRACAO *80000* KG, POTENCIA *380* CV (INCLUI CABINE E CHASSI, NAO INCLUI SEMIRREBOQUE)</t>
  </si>
  <si>
    <t>CAVALO MECANICO TRACAO 6X2, PESO BRUTO TOTAL COMBINADO 56000 KG, CAPACIDADE MAXIMA DE TRACAO *66000* KG, POTENCIA *360* CV (INCLUI CABINE E CHASSI, NAO INCLUI SEMIRREBOQUE)</t>
  </si>
  <si>
    <t>CAVOUQUEIRO OU OPERADOR DE PERFURATRIZ / ROMPEDOR (HORISTA)</t>
  </si>
  <si>
    <t>CAVOUQUEIRO OU OPERADOR DE PERFURATRIZ / ROMPEDOR (MENSALISTA)</t>
  </si>
  <si>
    <t>CENTRO DE MEDICAO AGRUPADA, EM POLICARBONATO / PVC, COM 12 MEDIDORES E PROTECAO GERAL (INCLUI BARRAMENTO, DISJUNTORES E ACESSORIOS DE FIXACAO) (PADRAO CONCESSIONARIA LOCAL)</t>
  </si>
  <si>
    <t>CENTRO DE MEDICAO AGRUPADA, EM POLICARBONATO / PVC, COM 16 MEDIDORES E PROTECAO GERAL (INCLUI BARRAMENTO, DISJUNTORES E ACESSORIOS DE FIXACAO) (PADRAO CONCESSIONARIA LOCAL)</t>
  </si>
  <si>
    <t>CENTRO DE MEDICAO AGRUPADA, EM POLICARBONATO / PVC, COM 4 MEDIDORES E PROTECAO GERAL (INCLUI BARRAMENTO, DISJUNTORES E ACESSORIOS DE FIXACAO) (PADRAO CONCESSIONARIA LOCAL)</t>
  </si>
  <si>
    <t>CENTRO DE MEDICAO AGRUPADA, EM POLICARBONATO / PVC, COM 8 MEDIDORES E PROTECAO GERAL (INCLUI BARRAMENTO, DISJUNTORES E ACESSORIOS DE FIXACAO) (PADRAO CONCESSIONARIA LOCAL)</t>
  </si>
  <si>
    <t>CERA LIQUIDA INCOLOR MULTIPISO</t>
  </si>
  <si>
    <t>CHAPA ACO INOX AISI 304 NUMERO 4 (E = 6 MM), ACABAMENTO NUMERO 1 (LAMINADO A QUENTE, FOSCO)</t>
  </si>
  <si>
    <t>CHAPA ACO INOX AISI 304 NUMERO 9 (E = 4 MM), ACABAMENTO NUMERO 1 (LAMINADO A QUENTE, FOSCO)</t>
  </si>
  <si>
    <t>CHAPA DE ACO CARBONO GALVANIZADA, PERFURADA (GRADE FUROS) E = 1,5 MM, DIAMETRO DO FURO = 9,52 MM (FUROS ALTERNADOS HORIZ.)</t>
  </si>
  <si>
    <t>CHAPA DE ACO CARBONO LAMINADO A QUENTE, QUALIDADE ESTRUTURAL, BITOLA 3/16", E =4,75 MM (37,29 KG/M2)</t>
  </si>
  <si>
    <t>CHAPA DE ACO FINA A FRIO BITOLA MSG 20, E = 0,90 MM (7,20 KG/M2)</t>
  </si>
  <si>
    <t>CHAPA DE ACO FINA A FRIO BITOLA MSG 24, E = 0,60 MM (4,80 KG/M2)</t>
  </si>
  <si>
    <t>CHAPA DE ACO FINA A FRIO BITOLA MSG 26, E = 0,45 MM (3,60 KG/M2)</t>
  </si>
  <si>
    <t>CHAPA DE ACO FINA A QUENTE BITOLA MSG 13, E = 2,25 MM (18,00 KG/M2)</t>
  </si>
  <si>
    <t>CHAPA DE ACO FINA A QUENTE BITOLA MSG 14, E = 2,00 MM (16,0 KG/M2)</t>
  </si>
  <si>
    <t>CHAPA DE ACO FINA A QUENTE BITOLA MSG 16, E = 1,50 MM (12,00 KG/M2)</t>
  </si>
  <si>
    <t>CHAPA DE ACO FINA A QUENTE BITOLA MSG 18, E = 1,20 MM (9,60 KG/M2)</t>
  </si>
  <si>
    <t>CHAPA DE ACO FINA A QUENTE BITOLA MSG 3/16", E = 4,75 MM (38,00 KG/M2)</t>
  </si>
  <si>
    <t>CHAPA DE ACO GALVANIZADA BITOLA GSG 14, E = 1,95 MM (15,60 KG/M2)</t>
  </si>
  <si>
    <t>CHAPA DE ACO GALVANIZADA BITOLA GSG 16, E = 1,55 MM (12,40 KG/M2)</t>
  </si>
  <si>
    <t>CHAPA DE ACO GALVANIZADA BITOLA GSG 18, E = 1,25 MM (10,00 KG/M2)</t>
  </si>
  <si>
    <t>CHAPA DE ACO GALVANIZADA BITOLA GSG 19, E = 1,11 MM (8,88 KG/M2)</t>
  </si>
  <si>
    <t>CHAPA DE ACO GALVANIZADA BITOLA GSG 20, E = 0,95 MM (7,60 KG/M2)</t>
  </si>
  <si>
    <t>CHAPA DE ACO GALVANIZADA BITOLA GSG 22, E = 0,80 MM (6,40 KG/M2)</t>
  </si>
  <si>
    <t>CHAPA DE ACO GALVANIZADA BITOLA GSG 24, E = 0,64 (5,12 KG/M2)</t>
  </si>
  <si>
    <t>CHAPA DE ACO GALVANIZADA BITOLA GSG 26, E = 0,50 MM (4,00 KG/M2)</t>
  </si>
  <si>
    <t>CHAPA DE ACO GALVANIZADA BITOLA GSG 30, E = 0,35 MM (2,80 KG/M2)</t>
  </si>
  <si>
    <t>CHAPA DE ACO GROSSA, ASTM A36, E = 1" (25,40 MM) 199,18 KG/M2</t>
  </si>
  <si>
    <t>CHAPA DE ACO GROSSA, ASTM A36, E = 1/2" (12,70 MM) 99,59 KG/M2</t>
  </si>
  <si>
    <t>CHAPA DE ACO GROSSA, ASTM A36, E = 1/4" (6,35 MM) 49,79 KG/M2</t>
  </si>
  <si>
    <t>CHAPA DE ACO GROSSA, ASTM A36, E = 3/4" (19,05 MM) 149,39 KG/M2</t>
  </si>
  <si>
    <t>CHAPA DE ACO GROSSA, ASTM A36, E = 3/8" (9,53 MM) 74,69 KG/M2</t>
  </si>
  <si>
    <t>CHAPA DE ACO GROSSA, ASTM A36, E = 5/8" (15,88 MM) 124,49 KG/M2</t>
  </si>
  <si>
    <t>CHAPA DE ACO GROSSA, ASTM A36, E = 7/8" (22,23 MM) 174,28 KG/M2</t>
  </si>
  <si>
    <t>CHAPA DE ACO GROSSA, SAE 1020, BITOLA 1/4", E = 6,35 MM (49,85 KG/M2)</t>
  </si>
  <si>
    <t>CHAPA DE ACO XADREZ PARA PISOS, E = 1/4" (6,30 MM) 54,53 KG/M2</t>
  </si>
  <si>
    <t>CHAPA DE MDF BRANCO LISO 1 FACE, E = 12 MM, DE *2,75 X 1,85* M</t>
  </si>
  <si>
    <t>CHAPA DE MDF BRANCO LISO 1 FACE, E = 15 MM, DE *2,75 X 1,85* M</t>
  </si>
  <si>
    <t>CHAPA DE MDF BRANCO LISO 1 FACE, E = 18 MM, DE *2,75 X 1,85* M</t>
  </si>
  <si>
    <t>CHAPA DE MDF BRANCO LISO 1 FACE, E = 25 MM, DE *2,75 X 1,85* M</t>
  </si>
  <si>
    <t>CHAPA DE MDF BRANCO LISO 1 FACE, E = 6 MM, DE *2,75 X 1,85* M</t>
  </si>
  <si>
    <t>CHAPA DE MDF BRANCO LISO 1 FACE, E = 9 MM, DE *2,75 X 1,85* M</t>
  </si>
  <si>
    <t>CHAPA DE MDF BRANCO LISO 2 FACES, E = 12 MM, DE *2,75 X 1,85* M</t>
  </si>
  <si>
    <t>CHAPA DE MDF BRANCO LISO 2 FACES, E = 15 MM, DE *2,75 X 1,85* M</t>
  </si>
  <si>
    <t>CHAPA DE MDF BRANCO LISO 2 FACES, E = 18 MM, DE *2,75 X 1,85* M</t>
  </si>
  <si>
    <t>CHAPA DE MDF BRANCO LISO 2 FACES, E = 25 MM, DE *2,75 X 1,85* M</t>
  </si>
  <si>
    <t>CHAPA DE MDF BRANCO LISO 2 FACES, E = 6 MM, DE *2,75 X 1,85* M</t>
  </si>
  <si>
    <t>CHAPA DE MDF BRANCO LISO 2 FACES, E = 9 MM, DE *2,75 X 1,85* M</t>
  </si>
  <si>
    <t>CHAPA DE MDF CRU, E = 12 MM, DE *2,75 X 1,85* M</t>
  </si>
  <si>
    <t>CHAPA DE MDF CRU, E = 15 MM, DE *2,75 X 1,85* M</t>
  </si>
  <si>
    <t>CHAPA DE MDF CRU, E = 18 MM, DE *2,75 X 1,85* M</t>
  </si>
  <si>
    <t>CHAPA DE MDF CRU, E = 20 MM, DE *2,75 X 1,85* M</t>
  </si>
  <si>
    <t>CHAPA DE MDF CRU, E = 25 MM, DE *2,75 X 1,85* M</t>
  </si>
  <si>
    <t>CHAPA DE MDF CRU, E = 6 MM, DE *2,75 X 1,85* M</t>
  </si>
  <si>
    <t>CHAPA DE MDF CRU, E = 9 MM, DE *2,75 X 1,85* M</t>
  </si>
  <si>
    <t>CHAPA EM ACO GALVANIZADO PARA STEEL DECK, COM NERVURAS TRAPEZOIDAIS, LARGURA UTIL DE 915 MM E ESPESSURA DE 0,80 MM</t>
  </si>
  <si>
    <t>CHAPA EM ACO GALVANIZADO PARA STEEL DECK, COM NERVURAS TRAPEZOIDAIS, LARGURA UTIL DE 915 MM E ESPESSURA DE 0,95 MM</t>
  </si>
  <si>
    <t>CHAPA EM ACO GALVANIZADO PARA STEEL DECK, COM NERVURAS TRAPEZOIDAIS, LARGURA UTIL DE 915 MM E ESPESSURA DE 1,25 MM</t>
  </si>
  <si>
    <t>CHAPA/PAINEL DE MADEIRA COMPENSADA PLASTIFICADA (MADEIRITE PLASTIFICADO) PARA FORMA DE CONCRETO, DE 2200 X 1100 MM, E = *17* MM</t>
  </si>
  <si>
    <t>CHAPA/PAINEL DE MADEIRA COMPENSADA PLASTIFICADA (MADEIRITE PLASTIFICADO) PARA FORMA DE CONCRETO, DE 2200 X 1100 MM, E = 10 MM</t>
  </si>
  <si>
    <t>CHAPA/PAINEL DE MADEIRA COMPENSADA PLASTIFICADA (MADEIRITE PLASTIFICADO) PARA FORMA DE CONCRETO, DE 2200 X 1100 MM, E = 12 MM</t>
  </si>
  <si>
    <t>CHAPA/PAINEL DE MADEIRA COMPENSADA PLASTIFICADA (MADEIRITE PLASTIFICADO) PARA FORMA DE CONCRETO, DE 2200 X 1100 MM, E = 14 MM</t>
  </si>
  <si>
    <t>CHAPA/PAINEL DE MADEIRA COMPENSADA PLASTIFICADA (MADEIRITE PLASTIFICADO) PARA FORMA DE CONCRETO, DE 2200 X 1100 MM, E = 20 MM</t>
  </si>
  <si>
    <t>CHAPA/PAINEL DE MADEIRA COMPENSADA PLASTIFICADA (MADEIRITE PLASTIFICADO) PARA FORMA DE CONCRETO, DE 2200 X 1100 MM, E = 6 MM</t>
  </si>
  <si>
    <t>CHAPA/PAINEL DE MADEIRA COMPENSADA RESINADA (MADEIRITE RESINADO ROSA) PARA FORMA DE CONCRETO, DE 2200 X 1100 MM, E = 14 MM</t>
  </si>
  <si>
    <t>CHAPA/PAINEL DE MADEIRA COMPENSADA RESINADA (MADEIRITE RESINADO ROSA) PARA FORMA DE CONCRETO, DE 2200 X 1100 MM, E = 17 MM</t>
  </si>
  <si>
    <t>CHAPA/PAINEL DE MADEIRA COMPENSADA RESINADA (MADEIRITE RESINADO ROSA) PARA FORMA DE CONCRETO, DE 2200 X 1100 MM, E = 20 MM</t>
  </si>
  <si>
    <t>CHAPA/PAINEL DE MADEIRA COMPENSADA RESINADA (MADEIRITE RESINADO ROSA) PARA FORMA DE CONCRETO, DE 2200 X 1100 MM, E = 6 MM</t>
  </si>
  <si>
    <t>CHAPA/PAINEL DE MADEIRA COMPENSADA RESINADA (MADEIRITE RESINADO ROSA) PARA FORMA DE CONCRETO, DE 2200 X 1100 MM, E = 8 A 12 MM</t>
  </si>
  <si>
    <t>CHAVE DUPLA PARA CONEXOES TIPO STORZ, ENGATE RAPIDO 1 1/2" X 2 1/2", EM LATAO, PARA INSTALACAO PREDIAL COMBATE A INCENDIO</t>
  </si>
  <si>
    <t>CHUMBADOR DE ACO GALVANIZADO, 1" X 600 MM, PARA POSTES DE ACO COM BASE, INCLUSO PORCA E ARRUELA</t>
  </si>
  <si>
    <t>CHUMBADOR DE ACO TIPO PARABOLT, * 5/8" X 200* MM, COM PORCA E ARRUELA</t>
  </si>
  <si>
    <t>CHUMBADOR DE ACO ZINCADO, DIAMETRO 1/2", COMPRIMENTO 75 MM</t>
  </si>
  <si>
    <t>CHUMBADOR DE ACO ZINCADO, DIAMETRO 1/4" COM PARAFUSO 1/4" X 40 MM</t>
  </si>
  <si>
    <t>CHUMBADOR DE ACO ZINCADO, DIAMETRO 5/8", COMPRIMENTO 6", COM PORCA</t>
  </si>
  <si>
    <t>CHUVEIRO COMUM EM PLASTICO BRANCO, COM CANO, 3 TEMPERATURAS, 5500 W (110/220 V)</t>
  </si>
  <si>
    <t>CHUVEIRO COMUM EM PLASTICO CROMADO, COM CANO, 4 TEMPERATURAS (110/220 V)</t>
  </si>
  <si>
    <t>CIMENTO BRANCO NAO ESTRUTURAL (CPB - NAO ESTRUTURAL)</t>
  </si>
  <si>
    <t>CIMENTO IMPERMEABILIZANTE DE PEGA ULTRARRAPIDA PARA TAMPONAMENTOS</t>
  </si>
  <si>
    <t>CIMENTO PORTLAND COMPOSTO CP II-32</t>
  </si>
  <si>
    <t>CIMENTO PORTLAND DE ALTO FORNO (AF) CP III-40</t>
  </si>
  <si>
    <t>CIMENTO PORTLAND ESTRUTURAL BRANCO CPB - 32 OU CPB - 40</t>
  </si>
  <si>
    <t>CIMENTO PORTLAND POZOLANICO CP IV-32</t>
  </si>
  <si>
    <t>CINTA CIRCULAR EM ACO GALVANIZADO DE 150 MM DE DIAMETRO PARA FIXACAO DE CAIXA MEDICAO, INCLUI PARAFUSOS E PORCAS</t>
  </si>
  <si>
    <t>CINTA CIRCULAR EM ACO GALVANIZADO DE 210 MM DE DIAMETRO PARA INSTALACAO DE TRANSFORMADOR EM POSTE DE CONCRETO</t>
  </si>
  <si>
    <t>CINTURAO DE SEGURANCA TIPO PARAQUEDISTA, FIVELA EM ACO, AJUSTE NO SUSPENSORIO, CINTURA E PERNAS</t>
  </si>
  <si>
    <t>COBRE ELETROLITICO EM BARRA OU CHAPA</t>
  </si>
  <si>
    <t>COLA BRANCA BASE PVA</t>
  </si>
  <si>
    <t>COLA PARA TUBOS E MANTAS ELASTOMERICAS, A BASE DE SOLVENTE</t>
  </si>
  <si>
    <t>COLAR DE TOMADA EM POLIPROPILENO, PP, COM PARAFUSOS, PARA PEAD, 63 X 1/2" - LIGACAO PREDIAL DE AGUA</t>
  </si>
  <si>
    <t>COLAR DE TOMADA EM POLIPROPILENO, PP, COM PARAFUSOS, PARA PEAD, 63 X 3/4" - LIGACAO PREDIAL DE AGUA</t>
  </si>
  <si>
    <t>COLAR TOMADA PVC, COM TRAVAS, SAIDA COM ROSCA, DE 110 MM X 1/2" OU 110 MM X 3/4", PARA LIGACAO PREDIAL DE AGUA</t>
  </si>
  <si>
    <t>COLAR TOMADA PVC, COM TRAVAS, SAIDA COM ROSCA, DE 32 MM X 1/2" OU 32 MM X 3/4", PARA LIGACAO PREDIAL DE AGUA</t>
  </si>
  <si>
    <t>COLAR TOMADA PVC, COM TRAVAS, SAIDA COM ROSCA, DE 40 MM X 1/2" OU 40 MM X 3/4", PARA LIGACAO PREDIAL DE AGUA</t>
  </si>
  <si>
    <t>COLAR TOMADA PVC, COM TRAVAS, SAIDA COM ROSCA, DE 50 MM X 1/2" OU 50 MM X 3/4", PARA LIGACAO PREDIAL DE AGUA</t>
  </si>
  <si>
    <t>COLAR TOMADA PVC, COM TRAVAS, SAIDA COM ROSCA, DE 60 MM X 1/2" OU 60 MM X 3/4", PARA LIGACAO PREDIAL DE AGUA</t>
  </si>
  <si>
    <t>COLAR TOMADA PVC, COM TRAVAS, SAIDA COM ROSCA, DE 75 MM X 1/2" OU 75 MM X 3/4", PARA LIGACAO PREDIAL DE AGUA</t>
  </si>
  <si>
    <t>COLAR TOMADA PVC, COM TRAVAS, SAIDA COM ROSCA, DE 85 MM X 1/2" OU 85 MM X 3/4", PARA LIGACAO PREDIAL DE AGUA</t>
  </si>
  <si>
    <t>COLAR TOMADA PVC, COM TRAVAS, SAIDA ROSCAVEL COM BUCHA DE LATAO, DE 60 MM X 1/2" OU 60 MM X 3/4", PARA LIGACAO PREDIAL DE AGUA</t>
  </si>
  <si>
    <t>COMPACTADOR DE SOLO A PERCUSSAO (SOQUETE), A GASOLINA 4 TEMPOS, PESO 55 A 65 KG, FORCA DE IMPACTO 1.000 A 1.500 KGF, FREQ. 600 A 700 GOLPES P/ MINUTO, VELOCIDADE TRABALHO DE 10 A 15 M/MIN, POT. DE 2,00 A 3,00 HP</t>
  </si>
  <si>
    <t>COMPACTADOR DE SOLO TIPO PLACA VIBRATORIA REVERSIVEL, A GASOLINA 4 TEMPOS, PESO 125 A 150 KG, FORCA CENTRIF. 2500 A 2800 KGF, LARG. TRABALHO 400 A 450 MM, FREQ. VIBRACAO 4300 A 4500 RPM, VELOC. TRABALHO 15 A 20 M/MIN, POT. 5,5 A 6,0 HP</t>
  </si>
  <si>
    <t>COMPACTADOR DE SOLOS DE PERCURSAO (SOQUETE) COM MOTOR A GASOLINA 4 TEMPOS DE 4 HP (4 CV)</t>
  </si>
  <si>
    <t>COMPENSADO NAVAL - CHAPA/PAINEL EM MADEIRA COMPENSADA PRENSADA, DE 2200 X 1600 MM, E = 10 MM</t>
  </si>
  <si>
    <t>COMPENSADO NAVAL - CHAPA/PAINEL EM MADEIRA COMPENSADA PRENSADA, DE 2200 X 1600 MM, E = 12 MM</t>
  </si>
  <si>
    <t>COMPENSADO NAVAL - CHAPA/PAINEL EM MADEIRA COMPENSADA PRENSADA, DE 2200 X 1600 MM, E = 15 MM</t>
  </si>
  <si>
    <t>COMPENSADO NAVAL - CHAPA/PAINEL EM MADEIRA COMPENSADA PRENSADA, DE 2200 X 1600 MM, E = 18 MM</t>
  </si>
  <si>
    <t>COMPENSADO NAVAL - CHAPA/PAINEL EM MADEIRA COMPENSADA PRENSADA, DE 2200 X 1600 MM, E = 20 MM</t>
  </si>
  <si>
    <t>COMPENSADO NAVAL - CHAPA/PAINEL EM MADEIRA COMPENSADA PRENSADA, DE 2200 X 1600 MM, E = 25 MM</t>
  </si>
  <si>
    <t>COMPENSADO NAVAL - CHAPA/PAINEL EM MADEIRA COMPENSADA PRENSADA, DE 2200 X 1600 MM, E = 4 MM</t>
  </si>
  <si>
    <t>COMPENSADO NAVAL - CHAPA/PAINEL EM MADEIRA COMPENSADA PRENSADA, DE 2200 X 1600 MM, E = 6 MM</t>
  </si>
  <si>
    <t>COMPRESSOR DE AR REBOCAVEL VAZAO 400 PCM, PRESSAO EFETIVA DE TRABALHO 102 PSI, MOTOR DIESEL, POTENCIA 110 CV</t>
  </si>
  <si>
    <t>COMPRESSOR DE AR REBOCAVEL VAZAO 748 PCM, PRESSAO EFETIVA DE TRABALHO 102 PSI, MOTOR DIESEL, POTENCIA 210 CV</t>
  </si>
  <si>
    <t>COMPRESSOR DE AR REBOCAVEL, VAZAO 189 PCM, PRESSAO EFETIVA DE TRABALHO 102 PSI, MOTOR DIESEL, POTENCIA 63 CV</t>
  </si>
  <si>
    <t>COMPRESSOR DE AR REBOCAVEL, VAZAO 250 PCM, PRESSAO EFETIVA DE TRABALHO 102 PSI, MOTOR DIESEL, POTENCIA 81 CV</t>
  </si>
  <si>
    <t>COMPRESSOR DE AR REBOCAVEL, VAZAO 89 PCM, PRESSAO EFETIVA DE TRABALHO *102* PSI, MOTOR DIESEL, POTENCIA *20* CV</t>
  </si>
  <si>
    <t>CONCERTINA CLIPADA (DUPLA) EM ACO GALVANIZADO DE ALTA RESISTENCIA, COM ESPIRAL DE 300 MM, D = 2,76 MM</t>
  </si>
  <si>
    <t>CONCERTINA SIMPLES EM ACO GALVANIZADO DE ALTA RESISTENCIA, COM ESPIRAL DE 300 MM, D = 2,76 MM</t>
  </si>
  <si>
    <t>CONCRETO AUTOADENSAVEL (CAA) CLASSE DE RESISTENCIA C15, ESPALHAMENTO SF2, COM BOMBEAMENTO (DISPONIBILIZACAO DE BOMBA), SEM O LANCAMENTO (NBR 15823)</t>
  </si>
  <si>
    <t>CONCRETO AUTOADENSAVEL (CAA) CLASSE DE RESISTENCIA C20, ESPALHAMENTO SF2, COM BOMBEAMENTO (DISPONIBILIZACAO DE BOMBA), SEM O LANCAMENTO (NBR 15823)</t>
  </si>
  <si>
    <t>CONCRETO AUTOADENSAVEL (CAA) CLASSE DE RESISTENCIA C25, ESPALHAMENTO SF2, COM BOMBEAMENTO (DISPONIBILIZACAO DE BOMBA), SEM O LANCAMENTO (NBR 15823)</t>
  </si>
  <si>
    <t>CONCRETO AUTOADENSAVEL (CAA) CLASSE DE RESISTENCIA C30, ESPALHAMENTO SF2, COM BOMBEAMENTO (DISPONIBILIZACAO DE BOMBA), SEM O LANCAMENTO (NBR 15823)</t>
  </si>
  <si>
    <t>CONCRETO BETUMINOSO USINADO A QUENTE (CBUQ) PARA PAVIMENTACAO ASFALTICA, PADRAO DNIT, FAIXA C, COM CAP 30/45 - AQUISICAO POSTO USINA</t>
  </si>
  <si>
    <t>CONCRETO BETUMINOSO USINADO A QUENTE (CBUQ) PARA PAVIMENTACAO ASFALTICA, PADRAO DNIT, FAIXA C, COM CAP 50/70 - AQUISICAO POSTO USINA</t>
  </si>
  <si>
    <t>CONCRETO BETUMINOSO USINADO A QUENTE (CBUQ) PARA PAVIMENTACAO ASFALTICA, PADRAO DNIT, PARA BINDER, COM CAP 50/70 - AQUISICAO POSTO USINA</t>
  </si>
  <si>
    <t>CONCRETO USINADO BOMBEAVEL, CLASSE DE RESISTENCIA C20, BRITA 0 E 1, SLUMP = 100 +/- 20 MM, COM BOMBEAMENTO (DISPONIBILIZACAO DE BOMBA), SEM O LANCAMENTO (NBR 8953)</t>
  </si>
  <si>
    <t>CONCRETO USINADO BOMBEAVEL, CLASSE DE RESISTENCIA C20, COM BRITA 0 E 1, SLUMP = 100 +/- 20 MM, EXCLUI SERVICO DE BOMBEAMENTO (NBR 8953)</t>
  </si>
  <si>
    <t>CONCRETO USINADO BOMBEAVEL, CLASSE DE RESISTENCIA C20, COM BRITA 0 E 1, SLUMP = 130 +/- 20 MM, EXCLUI SERVICO DE BOMBEAMENTO (NBR 8953)</t>
  </si>
  <si>
    <t>CONCRETO USINADO BOMBEAVEL, CLASSE DE RESISTENCIA C20, COM BRITA 0 E 1, SLUMP = 190 +/- 20 MM, COM BOMBEAMENTO (DISPONIBILIZACAO DE BOMBA), SEM O LANCAMENTO (NBR 8953)</t>
  </si>
  <si>
    <t>CONCRETO USINADO BOMBEAVEL, CLASSE DE RESISTENCIA C20, COM BRITA 0, SLUMP = 220 +/- 20 MM, COM BOMBEAMENTO (DISPONIBILIZACAO DE BOMBA), SEM O LANCAMENTO (NBR 8953)</t>
  </si>
  <si>
    <t>CONCRETO USINADO BOMBEAVEL, CLASSE DE RESISTENCIA C25, BRITA 0 E 1, SLUMP = 100 +/- 20 MM, COM BOMBEAMENTO (DISPONIBILIZACAO DE BOMBA), SEM O LANCAMENTO (NBR 8953)</t>
  </si>
  <si>
    <t>CONCRETO USINADO BOMBEAVEL, CLASSE DE RESISTENCIA C25, COM BRITA 0 E 1, SLUMP = 100 +/- 20 MM, EXCLUI SERVICO DE BOMBEAMENTO (NBR 8953)</t>
  </si>
  <si>
    <t>CONCRETO USINADO BOMBEAVEL, CLASSE DE RESISTENCIA C25, COM BRITA 0 E 1, SLUMP = 130 +/- 20 MM, EXCLUI SERVICO DE BOMBEAMENTO (NBR 8953)</t>
  </si>
  <si>
    <t>CONCRETO USINADO BOMBEAVEL, CLASSE DE RESISTENCIA C25, COM BRITA 0 E 1, SLUMP = 190 +/- 20 MM, EXCLUI SERVICO DE BOMBEAMENTO (NBR 8953)</t>
  </si>
  <si>
    <t>CONCRETO USINADO BOMBEAVEL, CLASSE DE RESISTENCIA C30, BRITA 0 E 1, SLUMP = 100 +/- 20 MM, COM BOMBEAMENTO (DISPONIBILIZACAO DE BOMBA), SEM O LANCAMENTO (NBR 8953)</t>
  </si>
  <si>
    <t>CONCRETO USINADO BOMBEAVEL, CLASSE DE RESISTENCIA C30, COM BRITA 0 E 1, SLUMP = 100 +/- 20 MM, EXCLUI SERVICO DE BOMBEAMENTO (NBR 8953)</t>
  </si>
  <si>
    <t>CONCRETO USINADO BOMBEAVEL, CLASSE DE RESISTENCIA C30, COM BRITA 0 E 1, SLUMP = 130 +/- 20 MM, EXCLUI SERVICO DE BOMBEAMENTO (NBR 8953)</t>
  </si>
  <si>
    <t>CONCRETO USINADO BOMBEAVEL, CLASSE DE RESISTENCIA C30, COM BRITA 0 E 1, SLUMP = 190 +/- 20 MM, EXCLUI SERVICO DE BOMBEAMENTO (NBR 8953)</t>
  </si>
  <si>
    <t>CONCRETO USINADO BOMBEAVEL, CLASSE DE RESISTENCIA C30, COM BRITA 0 E 1, SLUMP = 220 +/- 30 MM, EXCLUI SERVICO DE BOMBEAMENTO (NBR 8953)</t>
  </si>
  <si>
    <t>CONCRETO USINADO BOMBEAVEL, CLASSE DE RESISTENCIA C35, BRITA 0 E 1, SLUMP = 100 +/- 20 MM, COM BOMBEAMENTO (DISPONIBILIZACAO DE BOMBA), SEM O LANCAMENTO (NBR 8953)</t>
  </si>
  <si>
    <t>CONCRETO USINADO BOMBEAVEL, CLASSE DE RESISTENCIA C35, COM BRITA 0 E 1, SLUMP = 100 +/- 20 MM, EXCLUI SERVICO DE BOMBEAMENTO (NBR 8953)</t>
  </si>
  <si>
    <t>CONCRETO USINADO BOMBEAVEL, CLASSE DE RESISTENCIA C40, BRITA 0 E 1, SLUMP = 100 +/- 20 MM, COM BOMBEAMENTO (DISPONIBILIZACAO DE BOMBA), SEM O LANCAMENTO (NBR 8953)</t>
  </si>
  <si>
    <t>CONCRETO USINADO BOMBEAVEL, CLASSE DE RESISTENCIA C40, COM BRITA 0 E 1, SLUMP = 100 +/- 20 MM, EXCLUI SERVICO DE BOMBEAMENTO (NBR 8953)</t>
  </si>
  <si>
    <t>CONCRETO USINADO BOMBEAVEL, CLASSE DE RESISTENCIA C45, BRITA 0 E 1, SLUMP = 100 +/- 20 MM, COM BOMBEAMENTO (DISPONIBILIZACAO DE BOMBA), SEM O LANCAMENTO (NBR 8953)</t>
  </si>
  <si>
    <t>CONCRETO USINADO BOMBEAVEL, CLASSE DE RESISTENCIA C50, BRITA 0 E 1, SLUMP = 100 +/- 20 MM, COM BOMBEAMENTO (DISPONIBILIZACAO DE BOMBA), SEM O LANCAMENTO (NBR 8953)</t>
  </si>
  <si>
    <t>CONCRETO USINADO BOMBEAVEL, CLASSE DE RESISTENCIA C60, COM BRITA 0 E 1, SLUMP = 100 +/- 20 MM, COM BOMBEAMENTO (DISPONIBILIZACAO DE BOMBA), SEM O LANCAMENTO (NBR 8953)</t>
  </si>
  <si>
    <t>CONCRETO USINADO CONVENCIONAL (NAO BOMBEAVEL) CLASSE DE RESISTENCIA C10, COM BRITA 1 E 2, SLUMP = 80 MM +/- 10 MM (NBR 8953)</t>
  </si>
  <si>
    <t>CONCRETO USINADO CONVENCIONAL (NAO BOMBEAVEL) CLASSE DE RESISTENCIA C15, COM BRITA 1 E 2, SLUMP = 80 MM +/- 10 MM (NBR 8953)</t>
  </si>
  <si>
    <t>CONDULETE DE ALUMINIO TIPO B, PARA ELETRODUTO ROSCAVEL DE 1", COM TAMPA CEGA</t>
  </si>
  <si>
    <t>CONDULETE DE ALUMINIO TIPO B, PARA ELETRODUTO ROSCAVEL DE 1/2", COM TAMPA CEGA</t>
  </si>
  <si>
    <t>CONDULETE DE ALUMINIO TIPO B, PARA ELETRODUTO ROSCAVEL DE 3/4", COM TAMPA CEGA</t>
  </si>
  <si>
    <t>CONDULETE DE ALUMINIO TIPO C, PARA ELETRODUTO ROSCAVEL DE 1", COM TAMPA CEGA</t>
  </si>
  <si>
    <t>CONDULETE DE ALUMINIO TIPO C, PARA ELETRODUTO ROSCAVEL DE 1/2", COM TAMPA CEGA</t>
  </si>
  <si>
    <t>CONDULETE DE ALUMINIO TIPO C, PARA ELETRODUTO ROSCAVEL DE 3/4", COM TAMPA CEGA</t>
  </si>
  <si>
    <t>CONDULETE DE ALUMINIO TIPO C, PARA ELETRODUTO ROSCAVEL DE 4", COM TAMPA CEGA</t>
  </si>
  <si>
    <t>CONDULETE DE ALUMINIO TIPO E, PARA ELETRODUTO ROSCAVEL DE 1 1/2", COM TAMPA CEGA</t>
  </si>
  <si>
    <t>CONDULETE DE ALUMINIO TIPO E, PARA ELETRODUTO ROSCAVEL DE 1 1/4", COM TAMPA CEGA</t>
  </si>
  <si>
    <t>CONDULETE DE ALUMINIO TIPO E, PARA ELETRODUTO ROSCAVEL DE 1", COM TAMPA CEGA</t>
  </si>
  <si>
    <t>CONDULETE DE ALUMINIO TIPO E, PARA ELETRODUTO ROSCAVEL DE 1/2", COM TAMPA CEGA</t>
  </si>
  <si>
    <t>CONDULETE DE ALUMINIO TIPO E, PARA ELETRODUTO ROSCAVEL DE 2", COM TAMPA CEGA</t>
  </si>
  <si>
    <t>CONDULETE DE ALUMINIO TIPO E, PARA ELETRODUTO ROSCAVEL DE 3", COM TAMPA CEGA</t>
  </si>
  <si>
    <t>CONDULETE DE ALUMINIO TIPO E, PARA ELETRODUTO ROSCAVEL DE 3/4", COM TAMPA CEGA</t>
  </si>
  <si>
    <t>CONDULETE DE ALUMINIO TIPO E, PARA ELETRODUTO ROSCAVEL DE 4", COM TAMPA CEGA</t>
  </si>
  <si>
    <t>CONDULETE DE ALUMINIO TIPO LR, PARA ELETRODUTO ROSCAVEL DE 1 1/2", COM TAMPA CEGA</t>
  </si>
  <si>
    <t>CONDULETE DE ALUMINIO TIPO LR, PARA ELETRODUTO ROSCAVEL DE 1 1/4", COM TAMPA CEGA</t>
  </si>
  <si>
    <t>CONDULETE DE ALUMINIO TIPO LR, PARA ELETRODUTO ROSCAVEL DE 1", COM TAMPA CEGA</t>
  </si>
  <si>
    <t>CONDULETE DE ALUMINIO TIPO LR, PARA ELETRODUTO ROSCAVEL DE 1/2", COM TAMPA CEGA</t>
  </si>
  <si>
    <t>CONDULETE DE ALUMINIO TIPO LR, PARA ELETRODUTO ROSCAVEL DE 2", COM TAMPA CEGA</t>
  </si>
  <si>
    <t>CONDULETE DE ALUMINIO TIPO LR, PARA ELETRODUTO ROSCAVEL DE 3", COM TAMPA CEGA</t>
  </si>
  <si>
    <t>CONDULETE DE ALUMINIO TIPO LR, PARA ELETRODUTO ROSCAVEL DE 3/4", COM TAMPA CEGA</t>
  </si>
  <si>
    <t>CONDULETE DE ALUMINIO TIPO LR, PARA ELETRODUTO ROSCAVEL DE 4", COM TAMPA CEGA</t>
  </si>
  <si>
    <t>CONDULETE DE ALUMINIO TIPO T, PARA ELETRODUTO ROSCAVEL DE 1 1/2", COM TAMPA CEGA</t>
  </si>
  <si>
    <t>CONDULETE DE ALUMINIO TIPO T, PARA ELETRODUTO ROSCAVEL DE 1 1/4", COM TAMPA CEGA</t>
  </si>
  <si>
    <t>CONDULETE DE ALUMINIO TIPO T, PARA ELETRODUTO ROSCAVEL DE 1", COM TAMPA CEGA</t>
  </si>
  <si>
    <t>CONDULETE DE ALUMINIO TIPO T, PARA ELETRODUTO ROSCAVEL DE 1/2", COM TAMPA CEGA</t>
  </si>
  <si>
    <t>CONDULETE DE ALUMINIO TIPO T, PARA ELETRODUTO ROSCAVEL DE 2", COM TAMPA CEGA</t>
  </si>
  <si>
    <t>CONDULETE DE ALUMINIO TIPO T, PARA ELETRODUTO ROSCAVEL DE 3", COM TAMPA CEGA</t>
  </si>
  <si>
    <t>CONDULETE DE ALUMINIO TIPO T, PARA ELETRODUTO ROSCAVEL DE 3/4", COM TAMPA CEGA</t>
  </si>
  <si>
    <t>CONDULETE DE ALUMINIO TIPO T, PARA ELETRODUTO ROSCAVEL DE 4", COM TAMPA CEGA</t>
  </si>
  <si>
    <t>CONDULETE DE ALUMINIO TIPO TB, PARA ELETRODUTO ROSCAVEL DE 3", COM TAMPA CEGA</t>
  </si>
  <si>
    <t>CONDULETE DE ALUMINIO TIPO X, PARA ELETRODUTO ROSCAVEL DE 1 1/2", COM TAMPA CEGA</t>
  </si>
  <si>
    <t>CONDULETE DE ALUMINIO TIPO X, PARA ELETRODUTO ROSCAVEL DE 1 1/4", COM TAMPA CEGA</t>
  </si>
  <si>
    <t>CONDULETE DE ALUMINIO TIPO X, PARA ELETRODUTO ROSCAVEL DE 1", COM TAMPA CEGA</t>
  </si>
  <si>
    <t>CONDULETE DE ALUMINIO TIPO X, PARA ELETRODUTO ROSCAVEL DE 1/2", COM TAMPA CEGA</t>
  </si>
  <si>
    <t>CONDULETE DE ALUMINIO TIPO X, PARA ELETRODUTO ROSCAVEL DE 2", COM TAMPA CEGA</t>
  </si>
  <si>
    <t>CONDULETE DE ALUMINIO TIPO X, PARA ELETRODUTO ROSCAVEL DE 3", COM TAMPA CEGA</t>
  </si>
  <si>
    <t>CONDULETE DE ALUMINIO TIPO X, PARA ELETRODUTO ROSCAVEL DE 3/4", COM TAMPA CEGA</t>
  </si>
  <si>
    <t>CONDULETE DE ALUMINIO TIPO X, PARA ELETRODUTO ROSCAVEL DE 4", COM TAMPA CEGA</t>
  </si>
  <si>
    <t>CONDULETE EM PVC, TIPO "B", SEM TAMPA, DE 1"</t>
  </si>
  <si>
    <t>CONDULETE EM PVC, TIPO "B", SEM TAMPA, DE 1/2" OU 3/4"</t>
  </si>
  <si>
    <t>CONDULETE EM PVC, TIPO "C", SEM TAMPA, DE 1"</t>
  </si>
  <si>
    <t>CONDULETE EM PVC, TIPO "C", SEM TAMPA, DE 1/2"</t>
  </si>
  <si>
    <t>CONDULETE EM PVC, TIPO "C", SEM TAMPA, DE 3/4"</t>
  </si>
  <si>
    <t>CONDULETE EM PVC, TIPO "E", SEM TAMPA, DE 1"</t>
  </si>
  <si>
    <t>CONDULETE EM PVC, TIPO "E", SEM TAMPA, DE 1/2"</t>
  </si>
  <si>
    <t>CONDULETE EM PVC, TIPO "E", SEM TAMPA, DE 3/4"</t>
  </si>
  <si>
    <t>CONDULETE EM PVC, TIPO "LB", SEM TAMPA, DE 1"</t>
  </si>
  <si>
    <t>CONDULETE EM PVC, TIPO "LB", SEM TAMPA, DE 1/2" OU 3/4"</t>
  </si>
  <si>
    <t>CONDULETE EM PVC, TIPO "LL", SEM TAMPA, DE 1"</t>
  </si>
  <si>
    <t>CONDULETE EM PVC, TIPO "LL", SEM TAMPA, DE 1/2" OU 3/4"</t>
  </si>
  <si>
    <t>CONDULETE EM PVC, TIPO "LR", SEM TAMPA, DE 1"</t>
  </si>
  <si>
    <t>CONDULETE EM PVC, TIPO "LR", SEM TAMPA, DE 1/2"</t>
  </si>
  <si>
    <t>CONDULETE EM PVC, TIPO "LR", SEM TAMPA, DE 3/4"</t>
  </si>
  <si>
    <t>CONDULETE EM PVC, TIPO "T", SEM TAMPA, DE 1"</t>
  </si>
  <si>
    <t>CONDULETE EM PVC, TIPO "T", SEM TAMPA, DE 3/4"</t>
  </si>
  <si>
    <t>CONDULETE EM PVC, TIPO "TB", SEM TAMPA, DE 1"</t>
  </si>
  <si>
    <t>CONDULETE EM PVC, TIPO "TB", SEM TAMPA, DE 1/2" OU 3/4"</t>
  </si>
  <si>
    <t>CONDULETE EM PVC, TIPO "X", SEM TAMPA, DE 1"</t>
  </si>
  <si>
    <t>CONDULETE EM PVC, TIPO "X", SEM TAMPA, DE 1/2"</t>
  </si>
  <si>
    <t>CONDULETE EM PVC, TIPO "X", SEM TAMPA, DE 3/4"</t>
  </si>
  <si>
    <t>CONDUTOR PLUVIAL, PVC, CIRCULAR, DIAMETRO ENTRE 80 E 100 MM, PARA DRENAGEM PLUVIAL PREDIAL</t>
  </si>
  <si>
    <t>CONE DE SINALIZACAO EM PVC FLEXIVEL, H = 70 / 76 CM (NBR 15071)</t>
  </si>
  <si>
    <t>CONE DE SINALIZACAO EM PVC RIGIDO COM FAIXA REFLETIVA, H = 70 / 76 CM</t>
  </si>
  <si>
    <t>CONECTOR / ADAPTADOR F/F, COM INSERTO METALICO, PPR, DN 25 MM X 1/2", PARA AGUA QUENTE E FRIA PREDIAL</t>
  </si>
  <si>
    <t>CONECTOR / ADAPTADOR F/F, COM INSERTO METALICO, PPR, DN 32 MM X 3/4", PARA AGUA QUENTE E FRIA PREDIAL</t>
  </si>
  <si>
    <t>CONECTOR / ADAPTADOR F/M, COM INSERTO METALICO, PPR, DN 25 MM X 1/2", PARA AGUA QUENTE E FRIA PREDIAL</t>
  </si>
  <si>
    <t>CONECTOR / ADAPTADOR F/M, COM INSERTO METALICO, PPR, DN 25 MM X 3/4", PARA AGUA QUENTE E FRIA PREDIAL</t>
  </si>
  <si>
    <t>CONECTOR / ADAPTADOR F/M, COM INSERTO METALICO, PPR, DN 32 MM X 1", PARA AGUA QUENTE E FRIA PREDIAL</t>
  </si>
  <si>
    <t>CONECTOR / ADAPTADOR F/M, COM INSERTO METALICO, PPR, DN 32 MM X 3/4", PARA AGUA QUENTE E FRIA PREDIAL</t>
  </si>
  <si>
    <t>CONECTOR / TOMADA FEMEA RJ 45, CATEGORIA 5 E (CAT 5E) PARA CABOS</t>
  </si>
  <si>
    <t>CONECTOR / TOMADA FEMEA RJ 45, CATEGORIA 6 (CAT 6) PARA CABOS</t>
  </si>
  <si>
    <t>CONECTOR BRONZE/LATAO SEM ANEL DE SOLDA, BOLSA X ROSCA F, 15 MM X 1/2"</t>
  </si>
  <si>
    <t>CONECTOR BRONZE/LATAO SEM ANEL DE SOLDA, BOLSA X ROSCA F, 22 MM X 1/2"</t>
  </si>
  <si>
    <t>CONECTOR BRONZE/LATAO SEM ANEL DE SOLDA, BOLSA X ROSCA F, 22 MM X 3/4"</t>
  </si>
  <si>
    <t>CONECTOR BRONZE/LATAO SEM ANEL DE SOLDA, BOLSA X ROSCA F, 28 MM X 1/2"</t>
  </si>
  <si>
    <t>CONECTOR CURVO 90 GRAUS DE ALUMINIO, BITOLA 1 1/2", PARA ADAPTAR ENTRADA DE ELETRODUTO METALICO FLEXIVEL EM QUADROS</t>
  </si>
  <si>
    <t>CONECTOR CURVO 90 GRAUS DE ALUMINIO, BITOLA 1 1/4", PARA ADAPTAR ENTRADA DE ELETRODUTO METALICO FLEXIVEL EM QUADROS</t>
  </si>
  <si>
    <t>CONECTOR CURVO 90 GRAUS DE ALUMINIO, BITOLA 1", PARA ADAPTAR ENTRADA DE ELETRODUTO METALICO FLEXIVEL EM QUADROS</t>
  </si>
  <si>
    <t>CONECTOR CURVO 90 GRAUS DE ALUMINIO, BITOLA 1/2", PARA ADAPTAR ENTRADA DE ELETRODUTO METALICO FLEXIVEL EM QUADROS</t>
  </si>
  <si>
    <t>CONECTOR CURVO 90 GRAUS DE ALUMINIO, BITOLA 2 1/2", PARA ADAPTAR ENTRADA DE ELETRODUTO METALICO FLEXIVEL EM QUADROS</t>
  </si>
  <si>
    <t>CONECTOR CURVO 90 GRAUS DE ALUMINIO, BITOLA 2", PARA ADAPTAR ENTRADA DE ELETRODUTO METALICO FLEXIVEL EM QUADROS</t>
  </si>
  <si>
    <t>CONECTOR CURVO 90 GRAUS DE ALUMINIO, BITOLA 3", PARA ADAPTAR ENTRADA DE ELETRODUTO METALICO FLEXIVEL EM QUADROS</t>
  </si>
  <si>
    <t>CONECTOR CURVO 90 GRAUS DE ALUMINIO, BITOLA 3/4", PARA ADAPTAR ENTRADA DE ELETRODUTO METALICO FLEXIVEL EM QUADROS</t>
  </si>
  <si>
    <t>CONECTOR CURVO 90 GRAUS DE ALUMINIO, BITOLA 4", PARA ADAPTAR ENTRADA DE ELETRODUTO METALICO FLEXIVEL EM QUADROS</t>
  </si>
  <si>
    <t>CONECTOR DE ALUMINIO TIPO PRENSA CABO, BITOLA 1 1/2", PARA CABOS DE DIAMETRO DE 37 A 40 MM</t>
  </si>
  <si>
    <t>CONECTOR DE ALUMINIO TIPO PRENSA CABO, BITOLA 1 1/4", PARA CABOS DE DIAMETRO DE 31 A 34 MM</t>
  </si>
  <si>
    <t>CONECTOR DE ALUMINIO TIPO PRENSA CABO, BITOLA 1", PARA CABOS DE DIAMETRO DE 22,5 A 25 MM</t>
  </si>
  <si>
    <t>CONECTOR DE ALUMINIO TIPO PRENSA CABO, BITOLA 1/2", PARA CABOS DE DIAMETRO DE 12,5 A 15 MM</t>
  </si>
  <si>
    <t>CONECTOR DE ALUMINIO TIPO PRENSA CABO, BITOLA 2", PARA CABOS DE DIAMETRO DE 47,5 A 50 MM</t>
  </si>
  <si>
    <t>CONECTOR DE ALUMINIO TIPO PRENSA CABO, BITOLA 3/4", PARA CABOS DE DIAMETRO DE 17,5 A 20 MM</t>
  </si>
  <si>
    <t>CONECTOR DE ALUMINIO TIPO PRENSA CABO, BITOLA 3/8", PARA CABOS DE DIAMETRO DE 9 A 10 MM</t>
  </si>
  <si>
    <t>CONECTOR MACHO RJ 45, CATEGORIA 5 E (CAT 5E) PARA CABOS</t>
  </si>
  <si>
    <t>CONECTOR MACHO RJ 45, CATEGORIA 6 (CAT 6) PARA CABOS</t>
  </si>
  <si>
    <t>CONECTOR METALICO TIPO PARAFUSO FENDIDO (SPLIT BOLT), COM SEPARADOR DE CABOS BIMETALICOS, PARA CABOS ATE 25 MM2</t>
  </si>
  <si>
    <t>CONECTOR METALICO TIPO PARAFUSO FENDIDO (SPLIT BOLT), COM SEPARADOR DE CABOS BIMETALICOS, PARA CABOS ATE 50 MM2</t>
  </si>
  <si>
    <t>CONECTOR METALICO TIPO PARAFUSO FENDIDO (SPLIT BOLT), COM SEPARADOR DE CABOS BIMETALICOS, PARA CABOS ATE 70 MM2</t>
  </si>
  <si>
    <t>CONECTOR METALICO TIPO PARAFUSO FENDIDO (SPLIT BOLT), PARA CABOS ATE 10 MM2</t>
  </si>
  <si>
    <t>CONECTOR METALICO TIPO PARAFUSO FENDIDO (SPLIT BOLT), PARA CABOS ATE 120 MM2</t>
  </si>
  <si>
    <t>CONECTOR METALICO TIPO PARAFUSO FENDIDO (SPLIT BOLT), PARA CABOS ATE 150 MM2</t>
  </si>
  <si>
    <t>CONECTOR METALICO TIPO PARAFUSO FENDIDO (SPLIT BOLT), PARA CABOS ATE 16 MM2</t>
  </si>
  <si>
    <t>CONECTOR METALICO TIPO PARAFUSO FENDIDO (SPLIT BOLT), PARA CABOS ATE 185 MM2</t>
  </si>
  <si>
    <t>CONECTOR METALICO TIPO PARAFUSO FENDIDO (SPLIT BOLT), PARA CABOS ATE 25 MM2</t>
  </si>
  <si>
    <t>CONECTOR METALICO TIPO PARAFUSO FENDIDO (SPLIT BOLT), PARA CABOS ATE 35 MM2</t>
  </si>
  <si>
    <t>CONECTOR METALICO TIPO PARAFUSO FENDIDO (SPLIT BOLT), PARA CABOS ATE 50 MM2</t>
  </si>
  <si>
    <t>CONECTOR METALICO TIPO PARAFUSO FENDIDO (SPLIT BOLT), PARA CABOS ATE 6 MM2</t>
  </si>
  <si>
    <t>CONECTOR METALICO TIPO PARAFUSO FENDIDO (SPLIT BOLT), PARA CABOS ATE 70 MM2</t>
  </si>
  <si>
    <t>CONECTOR METALICO TIPO PARAFUSO FENDIDO (SPLIT BOLT), PARA CABOS ATE 95 MM2</t>
  </si>
  <si>
    <t>CONECTOR RETO DE ALUMINIO PARA ELETRODUTO DE 1 1/2", PARA ADAPTAR ENTRADA DE ELETRODUTO METALICO FLEXIVEL EM QUADROS</t>
  </si>
  <si>
    <t>CONECTOR RETO DE ALUMINIO PARA ELETRODUTO DE 1 1/4", PARA ADAPTAR ENTRADA DE ELETRODUTO METALICO FLEXIVEL EM QUADROS</t>
  </si>
  <si>
    <t>CONECTOR RETO DE ALUMINIO PARA ELETRODUTO DE 1", PARA ADAPTAR ENTRADA DE ELETRODUTO METALICO FLEXIVEL EM QUADROS</t>
  </si>
  <si>
    <t>CONECTOR RETO DE ALUMINIO PARA ELETRODUTO DE 1/2", PARA ADAPTAR ENTRADA DE ELETRODUTO METALICO FLEXIVEL EM QUADROS</t>
  </si>
  <si>
    <t>CONECTOR RETO DE ALUMINIO PARA ELETRODUTO DE 2 1/2", PARA ADAPTAR ENTRADA DE ELETRODUTO METALICO FLEXIVEL EM QUADROS</t>
  </si>
  <si>
    <t>CONECTOR RETO DE ALUMINIO PARA ELETRODUTO DE 2", PARA ADAPTAR ENTRADA DE ELETRODUTO METALICO FLEXIVEL EM QUADROS</t>
  </si>
  <si>
    <t>CONECTOR RETO DE ALUMINIO PARA ELETRODUTO DE 3", PARA ADAPTAR ENTRADA DE ELETRODUTO METALICO FLEXIVEL EM QUADROS</t>
  </si>
  <si>
    <t>CONECTOR RETO DE ALUMINIO PARA ELETRODUTO DE 3/4", PARA ADAPTAR ENTRADA DE ELETRODUTO METALICO FLEXIVEL EM QUADROS</t>
  </si>
  <si>
    <t>CONECTOR RETO DE ALUMINIO PARA ELETRODUTO DE 4", PARA ADAPTAR ENTRADA DE ELETRODUTO METALICO FLEXIVEL EM QUADROS</t>
  </si>
  <si>
    <t>CONECTOR, CPVC, SOLDAVEL, 114 MM X 4", PARA AGUA QUENTE</t>
  </si>
  <si>
    <t>CONECTOR, CPVC, SOLDAVEL, 15 MM X 1/2", PARA AGUA QUENTE</t>
  </si>
  <si>
    <t>CONECTOR, CPVC, SOLDAVEL, 22 MM X 1/2", PARA AGUA QUENTE</t>
  </si>
  <si>
    <t>CONECTOR, CPVC, SOLDAVEL, 22 MM X 3/4", PARA AGUA QUENTE</t>
  </si>
  <si>
    <t>CONECTOR, CPVC, SOLDAVEL, 28 MM X 1", PARA AGUA QUENTE</t>
  </si>
  <si>
    <t>CONECTOR, CPVC, SOLDAVEL, 35 MM X 1 1/4", PARA AGUA QUENTE</t>
  </si>
  <si>
    <t>CONECTOR, CPVC, SOLDAVEL, 42 MM X 1 1/2", PARA AGUA QUENTE</t>
  </si>
  <si>
    <t>CONECTOR, CPVC, SOLDAVEL, 54 MM X 2", PARA AGUA QUENTE</t>
  </si>
  <si>
    <t>CONECTOR, CPVC, SOLDAVEL, 73 MM X 2 1/2", PARA AGUA QUENTE</t>
  </si>
  <si>
    <t>CONECTOR, CPVC, SOLDAVEL, 89 MM X 3", PARA AGUA QUENTE</t>
  </si>
  <si>
    <t>CONECTOR/ADAPTADOR FIXO, ROSCA FEMEA, EM PLASTICO, DN 16 MM X 1/2", PARA CONEXAO COM CRIMPAGEM, EM TUBO PEX PARA INST. AGUA QUENTE/FRIA</t>
  </si>
  <si>
    <t>CONECTOR/ADAPTADOR FIXO, ROSCA FEMEA, EM PLASTICO, DN 20 MM X 1/2", PARA CONEXAO COM CRIMPAGEM, EM TUBO PEX PARA INST. AGUA QUENTE/FRIA</t>
  </si>
  <si>
    <t>CONECTOR/ADAPTADOR FIXO, ROSCA FEMEA, EM PLASTICO, DN 20 MM X 3/4", PARA CONEXAO COM CRIMPAGEM, EM TUBO PEX PARA INST. AGUA QUENTE/FRIA</t>
  </si>
  <si>
    <t>CONECTOR/ADAPTADOR FIXO, ROSCA FEMEA, EM PLASTICO, DN 25 MM X 3/4", PARA CONEXAO COM CRIMPAGEM, EM TUBO PEX PARA INST. AGUA QUENTE/FRIA</t>
  </si>
  <si>
    <t>CONECTOR/ADAPTADOR FIXO, ROSCA FEMEA, METALICA, COM ANEL DESLIZANTE, DN 16 MM X 1/2", PARA TUBO PEX PARA INST. AGUA QUENTE/FRIA</t>
  </si>
  <si>
    <t>CONECTOR/ADAPTADOR FIXO, ROSCA FEMEA, METALICA, COM ANEL DESLIZANTE, DN 20 MM X 1/2", PARA TUBO PEX PARA INST. AGUA QUENTE/FRIA</t>
  </si>
  <si>
    <t>CONECTOR/ADAPTADOR FIXO, ROSCA FEMEA, METALICA, COM ANEL DESLIZANTE, DN 20 MM X 3/4", PARA TUBO PEX PARA INST. AGUA QUENTE/FRIA</t>
  </si>
  <si>
    <t>CONECTOR/ADAPTADOR FIXO, ROSCA FEMEA, METALICA, COM ANEL DESLIZANTE, DN 25 MM X 1", PARA TUBO PEX PARA INST. AGUA QUENTE/FRIA</t>
  </si>
  <si>
    <t>CONECTOR/ADAPTADOR FIXO, ROSCA FEMEA, METALICA, COM ANEL DESLIZANTE, DN 25 MM X 3/4", PARA TUBO PEX PARA INST. AGUA QUENTE/FRIA</t>
  </si>
  <si>
    <t>CONECTOR/ADAPTADOR FIXO, ROSCA FEMEA, METALICA, COM ANEL DESLIZANTE, DN 32 MM X 1", PARA TUBO PEX PARA INST. AGUA QUENTE/FRIA</t>
  </si>
  <si>
    <t>CONECTOR/ADAPTADOR MOVEL, ROSCA FEMEA, METALICA, COM ANEL DESLIZANTE, DN 16 MM X 3/4", PARA TUBO PEX PARA INST. AGUA QUENTE/FRIA</t>
  </si>
  <si>
    <t>CONJ. DE FERRAGENS PARA PORTA DE VIDRO TEMPERADO, EM ZAMAC CROMADO, CONTEMPLANDO DOBRADICA INF., DOBRADICA SUP., PIVO PARA DOBRADICA INF., PIVO PARA DOBRADICA SUP., FECHADURA CENTRAL EM ZAMC. CROMADO, CONTRA FECHADURA DE PRESSAO</t>
  </si>
  <si>
    <t>CONJUNTO ARRUELAS DE VEDACAO 5/16" PARA TELHA FIBROCIMENTO (UMA ARRUELA METALICA E UMA ARRUELA PVC - CONICAS)</t>
  </si>
  <si>
    <t>CONJUNTO DE FERRAGENS PIVO, PARA PORTA PIVOTANTE DE ATE 100 KG, REGULAVEL COM ESFERA, CROMADO - SUPERIOR E INFERIOR - COMPLETO</t>
  </si>
  <si>
    <t>CONJUNTO DE LIGACAO AJUSTAVEL, PARA VASO / BACIA SANITARIA, EM PLASTICO BRANCO, COM TUBO, CANOPLA E ESPUDE</t>
  </si>
  <si>
    <t>CONJUNTO DE LIGACAO PARA VASO / BACIA SANITARIA, EM PLASTICO BRANCO, COM TUBO, CANOPLA E ANEL DE EXPANSAO (TUBO 1.1/2" X 20 CM)</t>
  </si>
  <si>
    <t>CONJUNTO MONTADO ESTOPIM COM ESPOLETA COMUM NUMERO 8, COM CABECA ACENDEDORA, 1,5 M</t>
  </si>
  <si>
    <t>CONJUNTO PARA FUTSAL COM PAR DE TRAVES OFICIAIS DE 3,00 X 2,00 M EM TUBO DE ACO GALVANIZADO 3" COM REQUADROS EM TUBO DE 1", PINTURA EM PRIMER COM TINTA ESMALTE SINTETICO E REDES DE POLIETILENO FIO 4 MM</t>
  </si>
  <si>
    <t>CONJUNTO PARA QUADRA DE VOLEI COM POSTES EM TUBO DE ACO GALVANIZADO 3", H = *255* CM, PINTURA EM TINTA ESMALTE SINTETICO, REDE DE NYLON COM 2 MM, MALHA 10 X 10 CM E ANTENAS OFICIAIS EM FIBRA DE VIDRO</t>
  </si>
  <si>
    <t>CONJUNTO PRE-MOLDADO COMPOSTO POR GRELHA (0,99 X 0,45 M), QUADRO (1,10 X 0,52 M) E CANTONEIRA (1,10 X 0,35 M), EM CONCRETO ARMADO, COM FCK DE 21 MPA</t>
  </si>
  <si>
    <t>CONTATOR TRIPOLAR, CORRENTE DE *110* A, TENSAO NOMINAL DE *500* V, CATEGORIA AC-2 E AC-3</t>
  </si>
  <si>
    <t>CONTATOR TRIPOLAR, CORRENTE DE *185* A, TENSAO NOMINAL DE *500* V, CATEGORIA AC-2 E AC-3</t>
  </si>
  <si>
    <t>CONTATOR TRIPOLAR, CORRENTE DE *22* A, TENSAO NOMINAL DE *500* V, CATEGORIA AC-2 E AC-3</t>
  </si>
  <si>
    <t>CONTATOR TRIPOLAR, CORRENTE DE *265* A, TENSAO NOMINAL DE *500* V, CATEGORIA AC-2 E AC-3</t>
  </si>
  <si>
    <t>CONTATOR TRIPOLAR, CORRENTE DE *38* A, TENSAO NOMINAL DE *500* V, CATEGORIA AC-2 E AC-3</t>
  </si>
  <si>
    <t>CONTATOR TRIPOLAR, CORRENTE DE *500* A, TENSAO NOMINAL DE *500* V, CATEGORIA AC-2 E AC-3</t>
  </si>
  <si>
    <t>CONTATOR TRIPOLAR, CORRENTE DE *65* A, TENSAO NOMINAL DE *500* V, CATEGORIA AC-2 E AC-3</t>
  </si>
  <si>
    <t>CONTATOR TRIPOLAR, CORRENTE DE 12 A, TENSAO NOMINAL DE *500* V, CATEGORIA AC-2 E AC-3</t>
  </si>
  <si>
    <t>CONTATOR TRIPOLAR, CORRENTE DE 25 A, TENSAO NOMINAL DE *500* V, CATEGORIA AC-2 E AC-3</t>
  </si>
  <si>
    <t>CONTATOR TRIPOLAR, CORRENTE DE 250 A, TENSAO NOMINAL DE *500* V, PARA ACIONAMENTO DE CAPACITORES</t>
  </si>
  <si>
    <t>CONTATOR TRIPOLAR, CORRENTE DE 300 A, TENSAO NOMINAL DE *500* V, CATEGORIA AC-2 E AC-3</t>
  </si>
  <si>
    <t>CONTATOR TRIPOLAR, CORRENTE DE 32 A, TENSAO NOMINAL DE *500* V, CATEGORIA AC-2 E AC-3</t>
  </si>
  <si>
    <t>CONTATOR TRIPOLAR, CORRENTE DE 400 A, TENSAO NOMINAL DE *500* V, CATEGORIA AC-2 E AC-3</t>
  </si>
  <si>
    <t>CONTATOR TRIPOLAR, CORRENTE DE 45 A, TENSAO NOMINAL DE *500* V, CATEGORIA AC-2 E AC-3</t>
  </si>
  <si>
    <t>CONTATOR TRIPOLAR, CORRENTE DE 630 A, TENSAO NOMINAL DE *500* V, CATEGORIA AC-2 E AC-3</t>
  </si>
  <si>
    <t>CONTATOR TRIPOLAR, CORRENTE DE 75 A, TENSAO NOMINAL DE *500* V, CATEGORIA AC-2 E AC-3</t>
  </si>
  <si>
    <t>CONTATOR TRIPOLAR, CORRENTE DE 9 A, TENSAO NOMINAL DE *500* V, CATEGORIA AC-2 E AC-3</t>
  </si>
  <si>
    <t>CONTATOR TRIPOLAR, CORRENTE DE 95 A, TENSAO NOMINAL DE *500* V, CATEGORIA AC-2 E AC-3</t>
  </si>
  <si>
    <t>CONTRA-PORCA SEXTAVADA, DIAMETRO NOMINAL 1 3/8", ALTURA 35 MM</t>
  </si>
  <si>
    <t>CONTRAMARCO DE ALUMINIO (PERFIL 25) PARA ESQUADRIAS, TIPO CONVENCIONAL / CADEIRINHA, 60 MM (CM-060), INCLUSO CONEXOES, GRAPAS E TRAVAMENTOS</t>
  </si>
  <si>
    <t>CORDA DE POLIAMIDA 12 MM TIPO BOMBEIRO, PARA TRABALHO EM ALTURA</t>
  </si>
  <si>
    <t>100M</t>
  </si>
  <si>
    <t>CORDAO DE COBRE, FLEXIVEL, TORCIDO, CLASSE 4 OU 5, ISOLACAO EM PVC/D, 300 V, 2 CONDUTORES DE 0,5 MM2</t>
  </si>
  <si>
    <t>CORDAO DE COBRE, FLEXIVEL, TORCIDO, CLASSE 4 OU 5, ISOLACAO EM PVC/D, 300 V, 2 CONDUTORES DE 0,75 MM2</t>
  </si>
  <si>
    <t>CORDAO DE COBRE, FLEXIVEL, TORCIDO, CLASSE 4 OU 5, ISOLACAO EM PVC/D, 300 V, 2 CONDUTORES DE 1,0 MM2</t>
  </si>
  <si>
    <t>CORDAO DE COBRE, FLEXIVEL, TORCIDO, CLASSE 4 OU 5, ISOLACAO EM PVC/D, 300 V, 2 CONDUTORES DE 1,5 MM2</t>
  </si>
  <si>
    <t>CORDAO DE COBRE, FLEXIVEL, TORCIDO, CLASSE 4 OU 5, ISOLACAO EM PVC/D, 300 V, 2 CONDUTORES DE 2,5 MM2</t>
  </si>
  <si>
    <t>CORDAO DE COBRE, FLEXIVEL, TORCIDO, CLASSE 4 OU 5, ISOLACAO EM PVC/D, 300 V, 2 CONDUTORES DE 4 MM2</t>
  </si>
  <si>
    <t>CORDEL DETONANTE, NP 05 G/M</t>
  </si>
  <si>
    <t>CORDEL DETONANTE, NP 10 G/M</t>
  </si>
  <si>
    <t>COROA PARA PERFURATRIZ T38, D = 2 1/2", 6 X 4 BOTOES BALISTICOS, FACE PLANA</t>
  </si>
  <si>
    <t>CORRENTE DE ELO CURTO COMUM, SOLDADA, GALVANIZADA, ESPESSURA DO ELO = 1/2" (12,5 MM)</t>
  </si>
  <si>
    <t>CORTADEIRA DE PISO DE CONCRETO E ASFALTO, PARA DISCO PADRAO DE DIAMETRO 350 MM (14") OU 450 MM (18"), MOTOR A GASOLINA, POTENCIA 13 HP, SEM DISCO</t>
  </si>
  <si>
    <t>CORTADEIRA HIDRAULICA DE VERGALHAO, PARA ACO DE DIAMETRO ATE 50 MM, MOTOR ELETRICO TRIFASICO, POTENCIA DE 5,5 HP A 7,5 HP</t>
  </si>
  <si>
    <t>COTOVELO 45 GRAUS DE FERRO GALVANIZADO, COM ROSCA BSP, DE 1 1/2"</t>
  </si>
  <si>
    <t>COTOVELO 45 GRAUS DE FERRO GALVANIZADO, COM ROSCA BSP, DE 1 1/4"</t>
  </si>
  <si>
    <t>COTOVELO 45 GRAUS DE FERRO GALVANIZADO, COM ROSCA BSP, DE 1"</t>
  </si>
  <si>
    <t>COTOVELO 45 GRAUS DE FERRO GALVANIZADO, COM ROSCA BSP, DE 1/2"</t>
  </si>
  <si>
    <t>COTOVELO 45 GRAUS DE FERRO GALVANIZADO, COM ROSCA BSP, DE 2 1/2"</t>
  </si>
  <si>
    <t>COTOVELO 45 GRAUS DE FERRO GALVANIZADO, COM ROSCA BSP, DE 2"</t>
  </si>
  <si>
    <t>COTOVELO 45 GRAUS DE FERRO GALVANIZADO, COM ROSCA BSP, DE 3"</t>
  </si>
  <si>
    <t>COTOVELO 45 GRAUS DE FERRO GALVANIZADO, COM ROSCA BSP, DE 3/4"</t>
  </si>
  <si>
    <t>COTOVELO 45 GRAUS DE FERRO GALVANIZADO, COM ROSCA BSP, DE 4"</t>
  </si>
  <si>
    <t>COTOVELO 45 GRAUS, PEAD PE 100, DE 125 MM, PARA ELETROFUSAO</t>
  </si>
  <si>
    <t>COTOVELO 45 GRAUS, PEAD PE 100, DE 200 MM, PARA ELETROFUSAO</t>
  </si>
  <si>
    <t>COTOVELO 45 GRAUS, PEAD PE 100, DE 32 MM, PARA ELETROFUSAO</t>
  </si>
  <si>
    <t>COTOVELO 45 GRAUS, PEAD PE 100, DE 40 MM, PARA ELETROFUSAO</t>
  </si>
  <si>
    <t>COTOVELO 45 GRAUS, PEAD PE 100, DE 63 MM, PARA ELETROFUSAO</t>
  </si>
  <si>
    <t>COTOVELO 90 GRAUS DE FERRO GALVANIZADO, COM ROSCA BSP MACHO/FEMEA, DE 1 1/2"</t>
  </si>
  <si>
    <t>COTOVELO 90 GRAUS DE FERRO GALVANIZADO, COM ROSCA BSP MACHO/FEMEA, DE 1 1/4"</t>
  </si>
  <si>
    <t>COTOVELO 90 GRAUS DE FERRO GALVANIZADO, COM ROSCA BSP MACHO/FEMEA, DE 1"</t>
  </si>
  <si>
    <t>COTOVELO 90 GRAUS DE FERRO GALVANIZADO, COM ROSCA BSP MACHO/FEMEA, DE 1/2"</t>
  </si>
  <si>
    <t>COTOVELO 90 GRAUS DE FERRO GALVANIZADO, COM ROSCA BSP MACHO/FEMEA, DE 2 1/2"</t>
  </si>
  <si>
    <t>COTOVELO 90 GRAUS DE FERRO GALVANIZADO, COM ROSCA BSP MACHO/FEMEA, DE 2"</t>
  </si>
  <si>
    <t>COTOVELO 90 GRAUS DE FERRO GALVANIZADO, COM ROSCA BSP MACHO/FEMEA, DE 3"</t>
  </si>
  <si>
    <t>COTOVELO 90 GRAUS DE FERRO GALVANIZADO, COM ROSCA BSP MACHO/FEMEA, DE 3/4"</t>
  </si>
  <si>
    <t>COTOVELO 90 GRAUS DE FERRO GALVANIZADO, COM ROSCA BSP, DE 1 1/2"</t>
  </si>
  <si>
    <t>COTOVELO 90 GRAUS DE FERRO GALVANIZADO, COM ROSCA BSP, DE 1 1/4"</t>
  </si>
  <si>
    <t>COTOVELO 90 GRAUS DE FERRO GALVANIZADO, COM ROSCA BSP, DE 1"</t>
  </si>
  <si>
    <t>COTOVELO 90 GRAUS DE FERRO GALVANIZADO, COM ROSCA BSP, DE 1/2"</t>
  </si>
  <si>
    <t>COTOVELO 90 GRAUS DE FERRO GALVANIZADO, COM ROSCA BSP, DE 2 1/2"</t>
  </si>
  <si>
    <t>COTOVELO 90 GRAUS DE FERRO GALVANIZADO, COM ROSCA BSP, DE 2"</t>
  </si>
  <si>
    <t>COTOVELO 90 GRAUS DE FERRO GALVANIZADO, COM ROSCA BSP, DE 3"</t>
  </si>
  <si>
    <t>COTOVELO 90 GRAUS DE FERRO GALVANIZADO, COM ROSCA BSP, DE 3/4"</t>
  </si>
  <si>
    <t>COTOVELO 90 GRAUS DE FERRO GALVANIZADO, COM ROSCA BSP, DE 4"</t>
  </si>
  <si>
    <t>COTOVELO 90 GRAUS DE FERRO GALVANIZADO, COM ROSCA BSP, DE 5"</t>
  </si>
  <si>
    <t>COTOVELO 90 GRAUS DE FERRO GALVANIZADO, COM ROSCA BSP, DE 6"</t>
  </si>
  <si>
    <t>COTOVELO 90 GRAUS, PEAD PE 100, DE 125 MM, PARA ELETROFUSAO</t>
  </si>
  <si>
    <t>COTOVELO 90 GRAUS, PEAD PE 100, DE 20 MM, PARA ELETROFUSAO</t>
  </si>
  <si>
    <t>COTOVELO 90 GRAUS, PEAD PE 100, DE 200 MM, PARA ELETROFUSAO</t>
  </si>
  <si>
    <t>COTOVELO 90 GRAUS, PEAD PE 100, DE 32 MM, PARA ELETROFUSAO</t>
  </si>
  <si>
    <t>COTOVELO 90 GRAUS, PEAD PE 100, DE 63 MM, PARA ELETROFUSAO</t>
  </si>
  <si>
    <t>COTOVELO BRONZE/LATAO SEM ANEL DE SOLDA, BOLSA X ROSCA F, 15MM X 1/2"</t>
  </si>
  <si>
    <t>COTOVELO BRONZE/LATAO SEM ANEL DE SOLDA, BOLSA X ROSCA F, 22MM X 1/2"</t>
  </si>
  <si>
    <t>COTOVELO BRONZE/LATAO SEM ANEL DE SOLDA, BOLSA X ROSCA F, 22MM X 3/4"</t>
  </si>
  <si>
    <t>COTOVELO DE COBRE 90 GRAUS SEM ANEL DE SOLDA, BOLSA X BOLSA, 104 MM</t>
  </si>
  <si>
    <t>COTOVELO DE COBRE 90 GRAUS SEM ANEL DE SOLDA, BOLSA X BOLSA, 15 MM</t>
  </si>
  <si>
    <t>COTOVELO DE COBRE 90 GRAUS SEM ANEL DE SOLDA, BOLSA X BOLSA, 22 MM</t>
  </si>
  <si>
    <t>COTOVELO DE COBRE 90 GRAUS SEM ANEL DE SOLDA, BOLSA X BOLSA, 28 MM</t>
  </si>
  <si>
    <t>COTOVELO DE COBRE 90 GRAUS SEM ANEL DE SOLDA, BOLSA X BOLSA, 35 MM</t>
  </si>
  <si>
    <t>COTOVELO DE COBRE 90 GRAUS SEM ANEL DE SOLDA, BOLSA X BOLSA, 42 MM</t>
  </si>
  <si>
    <t>COTOVELO DE COBRE 90 GRAUS SEM ANEL DE SOLDA, BOLSA X BOLSA, 54 MM</t>
  </si>
  <si>
    <t>COTOVELO DE COBRE 90 GRAUS SEM ANEL DE SOLDA, BOLSA X BOLSA, 66 MM</t>
  </si>
  <si>
    <t>COTOVELO DE COBRE 90 GRAUS SEM ANEL DE SOLDA, BOLSA X BOLSA, 79 MM</t>
  </si>
  <si>
    <t>COTOVELO DE REDUCAO 90 GRAUS DE FERRO GALVANIZADO, COM ROSCA BSP, DE 1 1/2" X 1"</t>
  </si>
  <si>
    <t>COTOVELO DE REDUCAO 90 GRAUS DE FERRO GALVANIZADO, COM ROSCA BSP, DE 1 1/2" X 3/4"</t>
  </si>
  <si>
    <t>COTOVELO DE REDUCAO 90 GRAUS DE FERRO GALVANIZADO, COM ROSCA BSP, DE 1 1/4" X 1"</t>
  </si>
  <si>
    <t>COTOVELO DE REDUCAO 90 GRAUS DE FERRO GALVANIZADO, COM ROSCA BSP, DE 1" X 1/2"</t>
  </si>
  <si>
    <t>COTOVELO DE REDUCAO 90 GRAUS DE FERRO GALVANIZADO, COM ROSCA BSP, DE 1" X 3/4"</t>
  </si>
  <si>
    <t>COTOVELO DE REDUCAO 90 GRAUS DE FERRO GALVANIZADO, COM ROSCA BSP, DE 2 1/2" X 2"</t>
  </si>
  <si>
    <t>COTOVELO DE REDUCAO 90 GRAUS DE FERRO GALVANIZADO, COM ROSCA BSP, DE 2" X 1 1/2"</t>
  </si>
  <si>
    <t>COTOVELO DE REDUCAO 90 GRAUS DE FERRO GALVANIZADO, COM ROSCA BSP, DE 3/4" X 1/2"</t>
  </si>
  <si>
    <t>COTOVELO/JOELHO 90 GRAUS, EM POLIPROPILENO, PN 16, PARA TUBOS PEAD, 20 X 20 MM - LIGACAO PREDIAL DE AGUA</t>
  </si>
  <si>
    <t>COTOVELO/JOELHO 90 GRAUS, EM POLIPROPILENO, PN 16, PARA TUBOS PEAD, 32 X 32 MM - LIGACAO PREDIAL DE AGUA</t>
  </si>
  <si>
    <t>COTOVELO/JOELHO COM ADAPTADOR, 90 GRAUS, EM POLIPROPILENO, PN 16, PARA TUBOS PEAD, 20 MM X 1/2" - LIGACAO PREDIAL DE AGUA</t>
  </si>
  <si>
    <t>COTOVELO/JOELHO COM ADAPTADOR, 90 GRAUS, EM POLIPROPILENO, PN 16, PARA TUBOS PEAD, 20 MM X 3/4" - LIGACAO PREDIAL DE AGUA</t>
  </si>
  <si>
    <t>COTOVELO/JOELHO COM ADAPTADOR, 90 GRAUS, EM POLIPROPILENO, PN 16, PARA TUBOS PEAD, 32 MM X 1" - LIGACAO PREDIAL DE AGUA</t>
  </si>
  <si>
    <t>CREMONA RETANGULAR INJETADA LISA COM CHAVE, COM CASTANHA / ALCA, EM LATAO, COM ACABAMENTO CROMADO, DE SOBREPOR / EMBUTIR</t>
  </si>
  <si>
    <t>CREMONA RETANGULAR INJETADA LISA, COM CASTANHA / ALCA, EM LATAO, COM ACABAMENTO CROMADO, DE SOBREPOR / EMBUTIR</t>
  </si>
  <si>
    <t>CRUZETA DE CONCRETO LEVE, COMP. 2000 MM SECAO, 90 X 90 MM</t>
  </si>
  <si>
    <t>CRUZETA DE FERRO GALVANIZADO, COM ROSCA BSP, DE 1 1/2"</t>
  </si>
  <si>
    <t>CRUZETA DE FERRO GALVANIZADO, COM ROSCA BSP, DE 1 1/4"</t>
  </si>
  <si>
    <t>CRUZETA DE FERRO GALVANIZADO, COM ROSCA BSP, DE 1"</t>
  </si>
  <si>
    <t>CRUZETA DE FERRO GALVANIZADO, COM ROSCA BSP, DE 1/2"</t>
  </si>
  <si>
    <t>CRUZETA DE FERRO GALVANIZADO, COM ROSCA BSP, DE 2 1/2"</t>
  </si>
  <si>
    <t>CRUZETA DE FERRO GALVANIZADO, COM ROSCA BSP, DE 2"</t>
  </si>
  <si>
    <t>CRUZETA DE FERRO GALVANIZADO, COM ROSCA BSP, DE 3"</t>
  </si>
  <si>
    <t>CRUZETA DE FERRO GALVANIZADO, COM ROSCA BSP, DE 3/4"</t>
  </si>
  <si>
    <t>CRUZETA DE MADEIRA TRATADA, *90 X 115 X 2400* MM, EM EUCALIPTO OU EQUIVALENTE DA REGIAO</t>
  </si>
  <si>
    <t>CUMEEIRA ARTICULADA (ABA INFERIOR) PARA TELHA ONDULADA DE FIBROCIMENTO E = 4 MM, ABA *330* MM, COMPRIMENTO 500 MM (SEM AMIANTO)</t>
  </si>
  <si>
    <t>CUMEEIRA NORMAL PARA TELHA ESTRUTURAL DE FIBROCIMENTO 2 ABAS, E = 6 MM, DE 1050 X 935 MM (SEM AMIANTO)</t>
  </si>
  <si>
    <t>CUMEEIRA NORMAL PARA TELHA ONDULADA DE FIBROCIMENTO, E = 6 MM, ABA 300 MM, COMPRIMENTO 1100 MM (SEM AMIANTO)</t>
  </si>
  <si>
    <t>CUMEEIRA PARA TELHA CERAMICA, COMPRIMENTO DE *41* CM, RENDIMENTO DE *3* TELHAS/M</t>
  </si>
  <si>
    <t>CUMEEIRA PARA TELHA DE CONCRETO, PARA 2 AGUAS DE TELHADO, COR CINZA, RENDIMENTO DE *3* TELHAS/M</t>
  </si>
  <si>
    <t>CUMEEIRA SHED PARA TELHA ONDULADA DE FIBROCIMENTO, E = 6 MM, ABA 280 MM, COMPRIMENTO 1100 MM (SEM AMIANTO)</t>
  </si>
  <si>
    <t>CUMEEIRA UNIVERSAL PARA TELHA ONDULADA DE FIBROCIMENTO, E = 6 MM, ABA 210 MM, COMPRIMENTO 1100 MM (SEM AMIANTO)</t>
  </si>
  <si>
    <t>CURVA 135 GRAUS PARA ELETRODUTO, EM ACO GALVANIZADO ELETROLITICO, COM ROSCA, DIAMETRO DE 100 MM (4")</t>
  </si>
  <si>
    <t>CURVA 135 GRAUS PARA ELETRODUTO, EM ACO GALVANIZADO ELETROLITICO, COM ROSCA, DIAMETRO DE 15 MM (1/2"), ESPESSURA DE 1,50 MM</t>
  </si>
  <si>
    <t>CURVA 135 GRAUS PARA ELETRODUTO, EM ACO GALVANIZADO ELETROLITICO, COM ROSCA, DIAMETRO DE 20 MM (3/4"), ESPESSURA DE 1,50 MM</t>
  </si>
  <si>
    <t>CURVA 135 GRAUS PARA ELETRODUTO, EM ACO GALVANIZADO ELETROLITICO, COM ROSCA, DIAMETRO DE 25 MM (1"), ESPESSURA DE 1,50 MM</t>
  </si>
  <si>
    <t>CURVA 135 GRAUS PARA ELETRODUTO, EM ACO GALVANIZADO ELETROLITICO, COM ROSCA, DIAMETRO DE 32 MM (1 1/4"), ESPESSURA DE 1,50 MM</t>
  </si>
  <si>
    <t>CURVA 135 GRAUS PARA ELETRODUTO, EM ACO GALVANIZADO ELETROLITICO, COM ROSCA, DIAMETRO DE 40 MM (1 1/2"), ESPESSURA DE 1,50 MM</t>
  </si>
  <si>
    <t>CURVA 135 GRAUS PARA ELETRODUTO, EM ACO GALVANIZADO ELETROLITICO, COM ROSCA, DIAMETRO DE 50 MM (2")</t>
  </si>
  <si>
    <t>CURVA 135 GRAUS PARA ELETRODUTO, EM ACO GALVANIZADO ELETROLITICO, COM ROSCA, DIAMETRO DE 65 MM (2 1/2")</t>
  </si>
  <si>
    <t>CURVA 135 GRAUS PARA ELETRODUTO, EM ACO GALVANIZADO ELETROLITICO, COM ROSCA, DIAMETRO DE 80 MM (3")</t>
  </si>
  <si>
    <t>CURVA 135 GRAUS, DE PVC RIGIDO ROSCAVEL, DE 1", PARA ELETRODUTO</t>
  </si>
  <si>
    <t>CURVA 135 GRAUS, DE PVC RIGIDO ROSCAVEL, DE 3/4", PARA ELETRODUTO</t>
  </si>
  <si>
    <t>CURVA 180 GRAUS, DE PVC RIGIDO ROSCAVEL, DE 1 1/2", PARA ELETRODUTO</t>
  </si>
  <si>
    <t>CURVA 180 GRAUS, DE PVC RIGIDO ROSCAVEL, DE 1 1/4", PARA ELETRODUTO</t>
  </si>
  <si>
    <t>CURVA 180 GRAUS, DE PVC RIGIDO ROSCAVEL, DE 1", PARA ELETRODUTO</t>
  </si>
  <si>
    <t>CURVA 180 GRAUS, DE PVC RIGIDO ROSCAVEL, DE 1/2", PARA ELETRODUTO</t>
  </si>
  <si>
    <t>CURVA 180 GRAUS, DE PVC RIGIDO ROSCAVEL, DE 2", PARA ELETRODUTO</t>
  </si>
  <si>
    <t>CURVA 180 GRAUS, DE PVC RIGIDO ROSCAVEL, DE 3/4", PARA ELETRODUTO</t>
  </si>
  <si>
    <t>CURVA 45 GRAUS DE COBRE SEM ANEL DE SOLDA, BOLSA X BOLSA, 15 MM</t>
  </si>
  <si>
    <t>CURVA 45 GRAUS DE COBRE SEM ANEL DE SOLDA, BOLSA X BOLSA, 22 MM</t>
  </si>
  <si>
    <t>CURVA 45 GRAUS DE COBRE SEM ANEL DE SOLDA, BOLSA X BOLSA, 28 MM</t>
  </si>
  <si>
    <t>CURVA 45 GRAUS DE COBRE SEM ANEL DE SOLDA, BOLSA X BOLSA, 35 MM</t>
  </si>
  <si>
    <t>CURVA 45 GRAUS DE COBRE SEM ANEL DE SOLDA, BOLSA X BOLSA, 42 MM</t>
  </si>
  <si>
    <t>CURVA 45 GRAUS DE COBRE SEM ANEL DE SOLDA, BOLSA X BOLSA, 54 MM</t>
  </si>
  <si>
    <t>CURVA 45 GRAUS DE COBRE SEM ANEL DE SOLDA, BOLSA X BOLSA, 66 MM</t>
  </si>
  <si>
    <t>CURVA 45 GRAUS DE FERRO GALVANIZADO, COM ROSCA BSP FEMEA, DE 1 1/2"</t>
  </si>
  <si>
    <t>CURVA 45 GRAUS DE FERRO GALVANIZADO, COM ROSCA BSP FEMEA, DE 1 1/4"</t>
  </si>
  <si>
    <t>CURVA 45 GRAUS DE FERRO GALVANIZADO, COM ROSCA BSP FEMEA, DE 1"</t>
  </si>
  <si>
    <t>CURVA 45 GRAUS DE FERRO GALVANIZADO, COM ROSCA BSP FEMEA, DE 1/2"</t>
  </si>
  <si>
    <t>CURVA 45 GRAUS DE FERRO GALVANIZADO, COM ROSCA BSP FEMEA, DE 2 1/2"</t>
  </si>
  <si>
    <t>CURVA 45 GRAUS DE FERRO GALVANIZADO, COM ROSCA BSP FEMEA, DE 2"</t>
  </si>
  <si>
    <t>CURVA 45 GRAUS DE FERRO GALVANIZADO, COM ROSCA BSP FEMEA, DE 3"</t>
  </si>
  <si>
    <t>CURVA 45 GRAUS DE FERRO GALVANIZADO, COM ROSCA BSP FEMEA, DE 3/4"</t>
  </si>
  <si>
    <t>CURVA 45 GRAUS DE FERRO GALVANIZADO, COM ROSCA BSP FEMEA, DE 4"</t>
  </si>
  <si>
    <t>CURVA 45 GRAUS DE FERRO GALVANIZADO, COM ROSCA BSP MACHO/FEMEA, DE 1 1/2"</t>
  </si>
  <si>
    <t>CURVA 45 GRAUS DE FERRO GALVANIZADO, COM ROSCA BSP MACHO/FEMEA, DE 1 1/4"</t>
  </si>
  <si>
    <t>CURVA 45 GRAUS DE FERRO GALVANIZADO, COM ROSCA BSP MACHO/FEMEA, DE 1"</t>
  </si>
  <si>
    <t>CURVA 45 GRAUS DE FERRO GALVANIZADO, COM ROSCA BSP MACHO/FEMEA, DE 1/2"</t>
  </si>
  <si>
    <t>CURVA 45 GRAUS DE FERRO GALVANIZADO, COM ROSCA BSP MACHO/FEMEA, DE 2 1/2"</t>
  </si>
  <si>
    <t>CURVA 45 GRAUS DE FERRO GALVANIZADO, COM ROSCA BSP MACHO/FEMEA, DE 2"</t>
  </si>
  <si>
    <t>CURVA 45 GRAUS DE FERRO GALVANIZADO, COM ROSCA BSP MACHO/FEMEA, DE 3"</t>
  </si>
  <si>
    <t>CURVA 45 GRAUS DE FERRO GALVANIZADO, COM ROSCA BSP MACHO/FEMEA, DE 3/4"</t>
  </si>
  <si>
    <t>CURVA 45 GRAUS EM ACO CARBONO, SOLDAVEL, PRESSAO 3.000 LBS, DN 1 1/2"</t>
  </si>
  <si>
    <t>CURVA 45 GRAUS EM ACO CARBONO, SOLDAVEL, PRESSAO 3.000 LBS, DN 1 1/4"</t>
  </si>
  <si>
    <t>CURVA 45 GRAUS EM ACO CARBONO, SOLDAVEL, PRESSAO 3.000 LBS, DN 1"</t>
  </si>
  <si>
    <t>CURVA 45 GRAUS EM ACO CARBONO, SOLDAVEL, PRESSAO 3.000 LBS, DN 1/2"</t>
  </si>
  <si>
    <t>CURVA 45 GRAUS EM ACO CARBONO, SOLDAVEL, PRESSAO 3.000 LBS, DN 2 1/2"</t>
  </si>
  <si>
    <t>CURVA 45 GRAUS EM ACO CARBONO, SOLDAVEL, PRESSAO 3.000 LBS, DN 2"</t>
  </si>
  <si>
    <t>CURVA 45 GRAUS EM ACO CARBONO, SOLDAVEL, PRESSAO 3.000 LBS, DN 3"</t>
  </si>
  <si>
    <t>CURVA 45 GRAUS EM ACO CARBONO, SOLDAVEL, PRESSAO 3.000 LBS, DN 3/4"</t>
  </si>
  <si>
    <t>CURVA 45 GRAUS PARA ELETRODUTO, EM ACO GALVANIZADO ELETROLITICO, COM ROSCA, DIAMETRO DE 20 MM (3/4"), ESPESSURA DE 1,50 MM</t>
  </si>
  <si>
    <t>CURVA 45 GRAUS PARA ELETRODUTO, EM ACO GALVANIZADO ELETROLITICO, COM ROSCA, DIAMETRO DE 25 MM (1"), ESPESSURA DE 1,50 MM</t>
  </si>
  <si>
    <t>CURVA 45 GRAUS PARA ELETRODUTO, EM ACO GALVANIZADO ELETROLITICO, COM ROSCA, DIAMETRO DE 40 MM (1 1/2"), ESPESSURA DE 1,50 MM</t>
  </si>
  <si>
    <t>CURVA 45 GRAUS RANHURADA EM FERRO FUNDIDO, DN 50 MM (2")</t>
  </si>
  <si>
    <t>CURVA 45 GRAUS RANHURADA EM FERRO FUNDIDO, DN 65 MM (2 1/2")</t>
  </si>
  <si>
    <t>CURVA 45 GRAUS RANHURADA EM FERRO FUNDIDO, DN 80 MM (3")</t>
  </si>
  <si>
    <t>CURVA 90 GRAUS DE BARRA CHATA EM ALUMINIO 3/4" X 1/4" X 300 MM</t>
  </si>
  <si>
    <t>CURVA 90 GRAUS DE FERRO GALVANIZADO, COM ROSCA BSP FEMEA, DE 1 1/2"</t>
  </si>
  <si>
    <t>CURVA 90 GRAUS DE FERRO GALVANIZADO, COM ROSCA BSP FEMEA, DE 1 1/4"</t>
  </si>
  <si>
    <t>CURVA 90 GRAUS DE FERRO GALVANIZADO, COM ROSCA BSP FEMEA, DE 1"</t>
  </si>
  <si>
    <t>CURVA 90 GRAUS DE FERRO GALVANIZADO, COM ROSCA BSP FEMEA, DE 1/2"</t>
  </si>
  <si>
    <t>CURVA 90 GRAUS DE FERRO GALVANIZADO, COM ROSCA BSP FEMEA, DE 2 1/2"</t>
  </si>
  <si>
    <t>CURVA 90 GRAUS DE FERRO GALVANIZADO, COM ROSCA BSP FEMEA, DE 2"</t>
  </si>
  <si>
    <t>CURVA 90 GRAUS DE FERRO GALVANIZADO, COM ROSCA BSP FEMEA, DE 3"</t>
  </si>
  <si>
    <t>CURVA 90 GRAUS DE FERRO GALVANIZADO, COM ROSCA BSP FEMEA, DE 3/4"</t>
  </si>
  <si>
    <t>CURVA 90 GRAUS DE FERRO GALVANIZADO, COM ROSCA BSP FEMEA, DE 4"</t>
  </si>
  <si>
    <t>CURVA 90 GRAUS DE FERRO GALVANIZADO, COM ROSCA BSP MACHO, DE 1 1/2"</t>
  </si>
  <si>
    <t>CURVA 90 GRAUS DE FERRO GALVANIZADO, COM ROSCA BSP MACHO, DE 1 1/4"</t>
  </si>
  <si>
    <t>CURVA 90 GRAUS DE FERRO GALVANIZADO, COM ROSCA BSP MACHO, DE 1"</t>
  </si>
  <si>
    <t>CURVA 90 GRAUS DE FERRO GALVANIZADO, COM ROSCA BSP MACHO, DE 1/2"</t>
  </si>
  <si>
    <t>CURVA 90 GRAUS DE FERRO GALVANIZADO, COM ROSCA BSP MACHO, DE 2 1/2"</t>
  </si>
  <si>
    <t>CURVA 90 GRAUS DE FERRO GALVANIZADO, COM ROSCA BSP MACHO, DE 2"</t>
  </si>
  <si>
    <t>CURVA 90 GRAUS DE FERRO GALVANIZADO, COM ROSCA BSP MACHO, DE 3"</t>
  </si>
  <si>
    <t>CURVA 90 GRAUS DE FERRO GALVANIZADO, COM ROSCA BSP MACHO, DE 3/4"</t>
  </si>
  <si>
    <t>CURVA 90 GRAUS DE FERRO GALVANIZADO, COM ROSCA BSP MACHO, DE 4"</t>
  </si>
  <si>
    <t>CURVA 90 GRAUS DE FERRO GALVANIZADO, COM ROSCA BSP MACHO, DE 6"</t>
  </si>
  <si>
    <t>CURVA 90 GRAUS DE FERRO GALVANIZADO, COM ROSCA BSP MACHO/FEMEA, DE 1 1/2"</t>
  </si>
  <si>
    <t>CURVA 90 GRAUS DE FERRO GALVANIZADO, COM ROSCA BSP MACHO/FEMEA, DE 1 1/4"</t>
  </si>
  <si>
    <t>CURVA 90 GRAUS DE FERRO GALVANIZADO, COM ROSCA BSP MACHO/FEMEA, DE 1"</t>
  </si>
  <si>
    <t>CURVA 90 GRAUS DE FERRO GALVANIZADO, COM ROSCA BSP MACHO/FEMEA, DE 1/2"</t>
  </si>
  <si>
    <t>CURVA 90 GRAUS DE FERRO GALVANIZADO, COM ROSCA BSP MACHO/FEMEA, DE 2 1/2"</t>
  </si>
  <si>
    <t>CURVA 90 GRAUS DE FERRO GALVANIZADO, COM ROSCA BSP MACHO/FEMEA, DE 2"</t>
  </si>
  <si>
    <t>CURVA 90 GRAUS DE FERRO GALVANIZADO, COM ROSCA BSP MACHO/FEMEA, DE 3"</t>
  </si>
  <si>
    <t>CURVA 90 GRAUS DE FERRO GALVANIZADO, COM ROSCA BSP MACHO/FEMEA, DE 3/4"</t>
  </si>
  <si>
    <t>CURVA 90 GRAUS DE FERRO GALVANIZADO, COM ROSCA BSP MACHO/FEMEA, DE 4"</t>
  </si>
  <si>
    <t>CURVA 90 GRAUS EM ACO CARBONO, RAIO CURTO, SOLDAVEL, PRESSAO 3.000 LBS, DN 1 1/2"</t>
  </si>
  <si>
    <t>CURVA 90 GRAUS EM ACO CARBONO, RAIO CURTO, SOLDAVEL, PRESSAO 3.000 LBS, DN 1 1/4"</t>
  </si>
  <si>
    <t>CURVA 90 GRAUS EM ACO CARBONO, RAIO CURTO, SOLDAVEL, PRESSAO 3.000 LBS, DN 1"</t>
  </si>
  <si>
    <t>CURVA 90 GRAUS EM ACO CARBONO, RAIO CURTO, SOLDAVEL, PRESSAO 3.000 LBS, DN 1/2"</t>
  </si>
  <si>
    <t>CURVA 90 GRAUS EM ACO CARBONO, RAIO CURTO, SOLDAVEL, PRESSAO 3.000 LBS, DN 2 1/2"</t>
  </si>
  <si>
    <t>CURVA 90 GRAUS EM ACO CARBONO, RAIO CURTO, SOLDAVEL, PRESSAO 3.000 LBS, DN 2"</t>
  </si>
  <si>
    <t>CURVA 90 GRAUS EM ACO CARBONO, RAIO CURTO, SOLDAVEL, PRESSAO 3.000 LBS, DN 3"</t>
  </si>
  <si>
    <t>CURVA 90 GRAUS EM ACO CARBONO, RAIO CURTO, SOLDAVEL, PRESSAO 3.000 LBS, DN 3/4"</t>
  </si>
  <si>
    <t>CURVA 90 GRAUS PARA ELETRODUTO, EM ACO GALVANIZADO ELETROLITICO, COM ROSCA, DIAMETRO DE 100 MM (4")</t>
  </si>
  <si>
    <t>CURVA 90 GRAUS PARA ELETRODUTO, EM ACO GALVANIZADO ELETROLITICO, COM ROSCA, DIAMETRO DE 15 MM (1/2"), ESPESSURA DE 1,50 MM</t>
  </si>
  <si>
    <t>CURVA 90 GRAUS PARA ELETRODUTO, EM ACO GALVANIZADO ELETROLITICO, COM ROSCA, DIAMETRO DE 20 MM (3/4"), ESPESSURA DE 1,50 MM</t>
  </si>
  <si>
    <t>CURVA 90 GRAUS PARA ELETRODUTO, EM ACO GALVANIZADO ELETROLITICO, COM ROSCA, DIAMETRO DE 25 MM (1"), ESPESSURA DE 1,50 MM</t>
  </si>
  <si>
    <t>CURVA 90 GRAUS PARA ELETRODUTO, EM ACO GALVANIZADO ELETROLITICO, COM ROSCA, DIAMETRO DE 32 MM (1 1/4"), ESPESSURA DE 1,50 MM</t>
  </si>
  <si>
    <t>CURVA 90 GRAUS PARA ELETRODUTO, EM ACO GALVANIZADO ELETROLITICO, COM ROSCA, DIAMETRO DE 40 MM (1 1/2"), ESPESSURA DE 1,50 MM</t>
  </si>
  <si>
    <t>CURVA 90 GRAUS PARA ELETRODUTO, EM ACO GALVANIZADO ELETROLITICO, COM ROSCA, DIAMETRO DE 50 MM (2")</t>
  </si>
  <si>
    <t>CURVA 90 GRAUS PARA ELETRODUTO, EM ACO GALVANIZADO ELETROLITICO, COM ROSCA, DIAMETRO DE 65 MM (2 1/2")</t>
  </si>
  <si>
    <t>CURVA 90 GRAUS PARA ELETRODUTO, EM ACO GALVANIZADO ELETROLITICO, COM ROSCA, DIAMETRO DE 80 MM (3")</t>
  </si>
  <si>
    <t>CURVA 90 GRAUS RANHURADA EM FERRO FUNDIDO, DN 50 MM (2")</t>
  </si>
  <si>
    <t>CURVA 90 GRAUS RANHURADA EM FERRO FUNDIDO, DN 65 MM (2 1/2")</t>
  </si>
  <si>
    <t>CURVA 90 GRAUS RANHURADA EM FERRO FUNDIDO, DN 80 MM (3")</t>
  </si>
  <si>
    <t>CURVA 90 GRAUS, CURTA, DE PVC RIGIDO ROSCAVEL, DE 1", PARA ELETRODUTO</t>
  </si>
  <si>
    <t>CURVA 90 GRAUS, CURTA, DE PVC RIGIDO ROSCAVEL, DE 1/2", PARA ELETRODUTO</t>
  </si>
  <si>
    <t>CURVA 90 GRAUS, CURTA, DE PVC RIGIDO ROSCAVEL, DE 3/4", PARA ELETRODUTO</t>
  </si>
  <si>
    <t>CURVA 90 GRAUS, LONGA, DE PVC RIGIDO ROSCAVEL, DE 1 1/2", PARA ELETRODUTO</t>
  </si>
  <si>
    <t>CURVA 90 GRAUS, LONGA, DE PVC RIGIDO ROSCAVEL, DE 1 1/4", PARA ELETRODUTO</t>
  </si>
  <si>
    <t>CURVA 90 GRAUS, LONGA, DE PVC RIGIDO ROSCAVEL, DE 1", PARA ELETRODUTO</t>
  </si>
  <si>
    <t>CURVA 90 GRAUS, LONGA, DE PVC RIGIDO ROSCAVEL, DE 1/2", PARA ELETRODUTO</t>
  </si>
  <si>
    <t>CURVA 90 GRAUS, LONGA, DE PVC RIGIDO ROSCAVEL, DE 2 1/2", PARA ELETRODUTO</t>
  </si>
  <si>
    <t>CURVA 90 GRAUS, LONGA, DE PVC RIGIDO ROSCAVEL, DE 2", PARA ELETRODUTO</t>
  </si>
  <si>
    <t>CURVA 90 GRAUS, LONGA, DE PVC RIGIDO ROSCAVEL, DE 3", PARA ELETRODUTO</t>
  </si>
  <si>
    <t>CURVA 90 GRAUS, LONGA, DE PVC RIGIDO ROSCAVEL, DE 3/4", PARA ELETRODUTO</t>
  </si>
  <si>
    <t>CURVA 90 GRAUS, LONGA, DE PVC RIGIDO ROSCAVEL, DE 4", PARA ELETRODUTO</t>
  </si>
  <si>
    <t>CURVA CPVC, 90 GRAUS, SOLDAVEL, 15 MM, PARA AGUA QUENTE</t>
  </si>
  <si>
    <t>CURVA CPVC, 90 GRAUS, SOLDAVEL, 22 MM, PARA AGUA QUENTE</t>
  </si>
  <si>
    <t>CURVA CPVC, 90 GRAUS, SOLDAVEL, 28 MM, PARA AGUA QUENTE</t>
  </si>
  <si>
    <t>CURVA DE PVC 45 GRAUS, SOLDAVEL, 20 MM, COR MARROM, PARA AGUA FRIA PREDIAL</t>
  </si>
  <si>
    <t>CURVA DE PVC 45 GRAUS, SOLDAVEL, 25 MM, COR MARROM, PARA AGUA FRIA PREDIAL</t>
  </si>
  <si>
    <t>CURVA DE PVC 45 GRAUS, SOLDAVEL, 32 MM, COR MARROM, PARA AGUA FRIA PREDIAL</t>
  </si>
  <si>
    <t>CURVA DE PVC 45 GRAUS, SOLDAVEL, 40 MM, COR MARROM, PARA AGUA FRIA PREDIAL</t>
  </si>
  <si>
    <t>CURVA DE PVC 45 GRAUS, SOLDAVEL, 50 MM, COR MARROM, PARA AGUA FRIA PREDIAL</t>
  </si>
  <si>
    <t>CURVA DE PVC 45 GRAUS, SOLDAVEL, 60 MM, COR MARROM, PARA AGUA FRIA PREDIAL</t>
  </si>
  <si>
    <t>CURVA DE PVC 45 GRAUS, SOLDAVEL, 75 MM, COR MARROM, PARA AGUA FRIA PREDIAL</t>
  </si>
  <si>
    <t>CURVA DE PVC 45 GRAUS, SOLDAVEL, 85 MM, COR MARROM, PARA AGUA FRIA PREDIAL</t>
  </si>
  <si>
    <t>CURVA DE PVC 90 GRAUS, SOLDAVEL, 110 MM, COR MARROM, PARA AGUA FRIA PREDIAL</t>
  </si>
  <si>
    <t>CURVA DE PVC 90 GRAUS, SOLDAVEL, 20 MM, COR MARROM, PARA AGUA FRIA PREDIAL</t>
  </si>
  <si>
    <t>CURVA DE PVC 90 GRAUS, SOLDAVEL, 25 MM, COR MARROM, PARA AGUA FRIA PREDIAL</t>
  </si>
  <si>
    <t>CURVA DE PVC 90 GRAUS, SOLDAVEL, 32 MM, COR MARROM, PARA AGUA FRIA PREDIAL</t>
  </si>
  <si>
    <t>CURVA DE PVC 90 GRAUS, SOLDAVEL, 40 MM, COR MARROM, PARA AGUA FRIA PREDIAL</t>
  </si>
  <si>
    <t>CURVA DE PVC 90 GRAUS, SOLDAVEL, 50 MM, COR MARROM, PARA AGUA FRIA PREDIAL</t>
  </si>
  <si>
    <t>CURVA DE PVC 90 GRAUS, SOLDAVEL, 60 MM, COR MARROM, PARA AGUA FRIA PREDIAL</t>
  </si>
  <si>
    <t>CURVA DE PVC 90 GRAUS, SOLDAVEL, 75 MM, COR MARROM, PARA AGUA FRIA PREDIAL</t>
  </si>
  <si>
    <t>CURVA DE PVC 90 GRAUS, SOLDAVEL, 85 MM, COR MARROM, PARA AGUA FRIA PREDIAL</t>
  </si>
  <si>
    <t>CURVA DE PVC, 90 GRAUS, SERIE R, DN 100 MM, PARA ESGOTO PREDIAL</t>
  </si>
  <si>
    <t>CURVA DE TRANSPOSICAO BRONZE/LATAO SEM ANEL DE SOLDA, BOLSA X BOLSA, 15 MM</t>
  </si>
  <si>
    <t>CURVA DE TRANSPOSICAO BRONZE/LATAO SEM ANEL DE SOLDA, BOLSA X BOLSA, 22 MM</t>
  </si>
  <si>
    <t>CURVA DE TRANSPOSICAO BRONZE/LATAO SEM ANEL DE SOLDA, BOLSA X BOLSA, 28 MM</t>
  </si>
  <si>
    <t>CURVA DE TRANSPOSICAO, CPVC, SOLDAVEL, 15 MM</t>
  </si>
  <si>
    <t>CURVA DE TRANSPOSICAO, CPVC, SOLDAVEL, 22 MM</t>
  </si>
  <si>
    <t>CURVA DE TRANSPOSICAO, PVC SOLDAVEL, 20 MM, COR MARROM, PARA AGUA FRIA PREDIAL</t>
  </si>
  <si>
    <t>CURVA DE TRANSPOSICAO, PVC, SOLDAVEL, 25 MM, COR MARROM, PARA AGUA FRIA PREDIAL</t>
  </si>
  <si>
    <t>CURVA DE TRANSPOSICAO, PVC, SOLDAVEL, 32 MM, COR MARROM, PARA AGUA FRIA PREDIAL</t>
  </si>
  <si>
    <t>CURVA LONGA PVC, PB, JE, 45 GRAUS, DN 100 MM, PARA REDE COLETORA ESGOTO</t>
  </si>
  <si>
    <t>CURVA LONGA PVC, PB, JE, 45 GRAUS, DN 150 MM, PARA REDE COLETORA ESGOTO</t>
  </si>
  <si>
    <t>CURVA LONGA PVC, PB, JE, 90 GRAUS, DN 100 MM, PARA REDE COLETORA ESGOTO</t>
  </si>
  <si>
    <t>CURVA LONGA PVC, PB, JE, 90 GRAUS, DN 150 MM, PARA REDE COLETORA ESGOTO</t>
  </si>
  <si>
    <t>CURVA PPR 90 GRAUS, F/F, DN 20 MM, PARA AGUA QUENTE PREDIAL</t>
  </si>
  <si>
    <t>CURVA PPR 90 GRAUS, F/F, DN 25 MM, PARA AGUA QUENTE PREDIAL</t>
  </si>
  <si>
    <t>CURVA PVC 90 GRAUS, ROSCAVEL, 1 1/4", COR BRANCA, AGUA FRIA PREDIAL</t>
  </si>
  <si>
    <t>CURVA PVC 90 GRAUS, ROSCAVEL, 1", COR BRANCA, AGUA FRIA PREDIAL</t>
  </si>
  <si>
    <t>CURVA PVC 90 GRAUS, ROSCAVEL, 1/2", COR BRANCA, AGUA FRIA PREDIAL</t>
  </si>
  <si>
    <t>CURVA PVC 90 GRAUS, ROSCAVEL, 3/4", COR BRANCA, AGUA FRIA PREDIAL</t>
  </si>
  <si>
    <t>CURVA PVC CURTA 90 GRAUS, DN 100 MM, PARA ESGOTO PREDIAL</t>
  </si>
  <si>
    <t>CURVA PVC CURTA 90 GRAUS, DN 40 MM, PARA ESGOTO PREDIAL</t>
  </si>
  <si>
    <t>CURVA PVC CURTA 90 GRAUS, DN 50 MM, PARA ESGOTO PREDIAL</t>
  </si>
  <si>
    <t>CURVA PVC CURTA 90 GRAUS, DN 75 MM, PARA ESGOTO PREDIAL</t>
  </si>
  <si>
    <t>CURVA PVC LONGA 90 GRAUS, DN 100 MM, PARA ESGOTO PREDIAL</t>
  </si>
  <si>
    <t>CURVA PVC LONGA 90 GRAUS, DN 40 MM, PARA ESGOTO PREDIAL</t>
  </si>
  <si>
    <t>CURVA PVC LONGA 90 GRAUS, DN 50 MM, PARA ESGOTO PREDIAL</t>
  </si>
  <si>
    <t>CURVA PVC LONGA 90 GRAUS, DN 75 MM, PARA ESGOTO PREDIAL</t>
  </si>
  <si>
    <t>CURVA PVC PBA, JE, PB, 45 GRAUS, DN 100 / DE 110 MM, PARA REDE DE AGUA</t>
  </si>
  <si>
    <t>CURVA PVC PBA, JE, PB, 45 GRAUS, DN 50 / DE 60 MM, PARA REDE DE AGUA</t>
  </si>
  <si>
    <t>CURVA PVC PBA, JE, PB, 45 GRAUS, DN 75 / DE 85 MM, PARA REDE DE AGUA</t>
  </si>
  <si>
    <t>CURVA PVC PBA, JE, PB, 90 GRAUS, DN 100 / DE 110 MM, PARA REDE DE AGUA</t>
  </si>
  <si>
    <t>CURVA PVC PBA, JE, PB, 90 GRAUS, DN 50 / DE 60 MM, PARA REDE DE AGUA</t>
  </si>
  <si>
    <t>CURVA PVC PBA, JE, PB, 90 GRAUS, DN 75 / DE 85 MM, PARA REDE DE AGUA</t>
  </si>
  <si>
    <t>CURVA PVC, BB, JE, 45 GRAUS, DN 250 MM, PARA TUBO CORRUGADO E/OU LISO, REDE COLETORA ESGOTO</t>
  </si>
  <si>
    <t>CURVA PVC, BB, JE, 90 GRAUS, DN 200 MM, PARA TUBO CORRUGADO E/OU LISO, REDE COLETORA ESGOTO</t>
  </si>
  <si>
    <t>CURVA PVC, BB, JE, 90 GRAUS, DN 250 MM, PARA TUBO CORRUGADO E/OU LISO, REDE COLETORA ESGOTO</t>
  </si>
  <si>
    <t>CURVA PVC, SERIE R, 87.30 GRAUS, CURTA, PARA PE-DE-COLUNA, DN 100 MM, PARA ESGOTO PREDIAL</t>
  </si>
  <si>
    <t>CURVA PVC, SERIE R, 87.30 GRAUS, CURTA, PARA PE-DE-COLUNA, DN 150 MM, PARA ESGOTO PREDIAL</t>
  </si>
  <si>
    <t>CURVA PVC, SERIE R, 87.30 GRAUS, CURTA, PARA PE-DE-COLUNA, DN 75 MM, PARA ESGOTO PREDIAL</t>
  </si>
  <si>
    <t>DESEMPENADEIRA DE ACO DENTADA 12 X *25* CM, DENTES 8 X 8 MM, CABO FECHADO DE MADEIRA</t>
  </si>
  <si>
    <t>DESEMPENADEIRA DE ACO LISA 12 X *25* CM COM CABO FECHADO DE MADEIRA</t>
  </si>
  <si>
    <t>DESEMPENADEIRA PLASTICA LISA *14 X 27* CM</t>
  </si>
  <si>
    <t>DESENHISTA PROJETISTA (HORISTA)</t>
  </si>
  <si>
    <t>DESENHISTA PROJETISTA (MENSALISTA)</t>
  </si>
  <si>
    <t>DESINFETANTE PRONTO USO</t>
  </si>
  <si>
    <t>DESMOLDANTE PARA CONCRETO ESTAMPADO</t>
  </si>
  <si>
    <t>DESMOLDANTE PARA FORMAS METALICAS A BASE DE OLEO VEGETAL</t>
  </si>
  <si>
    <t>DESMOLDANTE PROTETOR PARA FORMAS DE MADEIRA, DE BASE OLEOSA EMULSIONADA EM AGUA</t>
  </si>
  <si>
    <t>DILUENTE AGUARRAS</t>
  </si>
  <si>
    <t>DILUENTE EPOXI</t>
  </si>
  <si>
    <t>DISCO DE BORRACHA PARA LIXADEIRA RIGIDO 7" COM ARRUELA CENTRAL</t>
  </si>
  <si>
    <t>DISCO DE CORTE DIAMANTADO SEGMENTADO DIAMETRO DE 180 MM PARA ESMERILHADEIRA 7"</t>
  </si>
  <si>
    <t>DISCO DE CORTE DIAMANTADO SEGMENTADO PARA CONCRETO/ASFALTO, DIAMETRO DE *350* MM, FURO DE 25,40 MM</t>
  </si>
  <si>
    <t>DISCO DE CORTE DIAMANTADO SEGMENTADO, DIAMETRO DE *110* MM, FURO DE 20 MM</t>
  </si>
  <si>
    <t>DISCO DE CORTE PARA METAL COM DUAS TELAS 12 X 1/8 X 3/4" (300 X 3,2 X 19,05 MM)</t>
  </si>
  <si>
    <t>DISCO DE DESBASTE PARA METAL FERROSO EM GERAL, COM TRES TELAS, 9 X 1/4 X 7/8" (228,6 X 6,4 X 22,2 MM)</t>
  </si>
  <si>
    <t>DISJUNTOR TERMOMAGNETICO AJUSTAVEL, TRIPOLAR DE 100 ATE 250A, CAPACIDADE DE INTERRUPCAO DE 35KA</t>
  </si>
  <si>
    <t>DISJUNTOR TERMOMAGNETICO AJUSTAVEL, TRIPOLAR DE 300 ATE 400A, CAPACIDADE DE INTERRUPCAO DE 35KA</t>
  </si>
  <si>
    <t>DISJUNTOR TERMOMAGNETICO AJUSTAVEL, TRIPOLAR DE 450 ATE 600A, CAPACIDADE DE INTERRUPCAO DE 35KA</t>
  </si>
  <si>
    <t>DISJUNTOR TERMOMAGNETICO PARA TRILHO DIN (IEC), BIPOLAR, 40 - 50 A</t>
  </si>
  <si>
    <t>DISJUNTOR TERMOMAGNETICO PARA TRILHO DIN (IEC), BIPOLAR, 6 - 32 A</t>
  </si>
  <si>
    <t>DISJUNTOR TERMOMAGNETICO PARA TRILHO DIN (IEC), BIPOLAR, 63 A</t>
  </si>
  <si>
    <t>DISJUNTOR TERMOMAGNETICO PARA TRILHO DIN (IEC), MONOPOLAR, 40 - 50 A</t>
  </si>
  <si>
    <t>DISJUNTOR TERMOMAGNETICO PARA TRILHO DIN (IEC), MONOPOLAR, 6 - 32 A</t>
  </si>
  <si>
    <t>DISJUNTOR TERMOMAGNETICO PARA TRILHO DIN (IEC), MONOPOLAR, 63 A</t>
  </si>
  <si>
    <t>DISJUNTOR TERMOMAGNETICO PARA TRILHO DIN (IEC), TRIPOLAR, 10 - 50 A</t>
  </si>
  <si>
    <t>DISJUNTOR TERMOMAGNETICO PARA TRILHO DIN (IEC), TRIPOLAR, 63 A</t>
  </si>
  <si>
    <t>DISJUNTOR TERMOMAGNETICO TRIPOLAR 125 A / 425 V / ICC - 25 KA</t>
  </si>
  <si>
    <t>DISJUNTOR TERMOMAGNETICO TRIPOLAR 150 A / 600 V, TIPO FXD / ICC - 35 KA</t>
  </si>
  <si>
    <t>DISJUNTOR TERMOMAGNETICO TRIPOLAR 200 A / 600 V, TIPO FXD / ICC - 35 KA</t>
  </si>
  <si>
    <t>DISJUNTOR TERMOMAGNETICO TRIPOLAR 250 A / 600 V, TIPO FXD</t>
  </si>
  <si>
    <t>DISJUNTOR TERMOMAGNETICO TRIPOLAR 3 X 250 A/ICC - 25 KA</t>
  </si>
  <si>
    <t>DISJUNTOR TERMOMAGNETICO TRIPOLAR 3 X 350 A/ICC - 25 KA</t>
  </si>
  <si>
    <t>DISJUNTOR TERMOMAGNETICO TRIPOLAR 3 X 400 A / ICC - 25 KA</t>
  </si>
  <si>
    <t>DISJUNTOR TERMOMAGNETICO TRIPOLAR 300 A / 600 V, TIPO JXD / ICC - 40 KA</t>
  </si>
  <si>
    <t>DISJUNTOR TERMOMAGNETICO TRIPOLAR 400 A / 600 V, TIPO JXD / ICC - 40 KA</t>
  </si>
  <si>
    <t>DISJUNTOR TERMOMAGNETICO TRIPOLAR 600 A / 600 V, TIPO LXD / ICC - 40 KA</t>
  </si>
  <si>
    <t>DISJUNTOR TERMOMAGNETICO TRIPOLAR 800 A / 600 V, TIPO LMXD</t>
  </si>
  <si>
    <t>DISJUNTOR TIPO NEMA, BIPOLAR 10 ATE 50 A, TENSAO MAXIMA 415 V</t>
  </si>
  <si>
    <t>DISJUNTOR TIPO NEMA, BIPOLAR 60 ATE 100A, TENSAO MAXIMA 415 V</t>
  </si>
  <si>
    <t>DISJUNTOR TIPO NEMA, MONOPOLAR 10 ATE 30A, TENSAO MAXIMA DE 240 V</t>
  </si>
  <si>
    <t>DISJUNTOR TIPO NEMA, MONOPOLAR 35 ATE 50 A, TENSAO MAXIMA DE 240 V</t>
  </si>
  <si>
    <t>DISJUNTOR TIPO NEMA, MONOPOLAR DE 60 ATE 70A, TENSAO MAXIMA DE 240 V</t>
  </si>
  <si>
    <t>DISJUNTOR TIPO NEMA, TRIPOLAR 10 ATE 50A, TENSAO MAXIMA DE 415 V</t>
  </si>
  <si>
    <t>DISJUNTOR TIPO NEMA, TRIPOLAR 60 ATE 100 A, TENSAO MAXIMA DE 415 V</t>
  </si>
  <si>
    <t>DISPOSITIVO DPS CLASSE II, 1 POLO, TENSAO MAXIMA DE 175 V, CORRENTE MAXIMA DE *20* KA (TIPO AC)</t>
  </si>
  <si>
    <t>DISPOSITIVO DPS CLASSE II, 1 POLO, TENSAO MAXIMA DE 175 V, CORRENTE MAXIMA DE *30* KA (TIPO AC)</t>
  </si>
  <si>
    <t>DISPOSITIVO DPS CLASSE II, 1 POLO, TENSAO MAXIMA DE 175 V, CORRENTE MAXIMA DE *45* KA (TIPO AC)</t>
  </si>
  <si>
    <t>DISPOSITIVO DPS CLASSE II, 1 POLO, TENSAO MAXIMA DE 175 V, CORRENTE MAXIMA DE *90* KA (TIPO AC)</t>
  </si>
  <si>
    <t>DISPOSITIVO DPS CLASSE II, 1 POLO, TENSAO MAXIMA DE 275 V, CORRENTE MAXIMA DE *20* KA (TIPO AC)</t>
  </si>
  <si>
    <t>DISPOSITIVO DPS CLASSE II, 1 POLO, TENSAO MAXIMA DE 275 V, CORRENTE MAXIMA DE *30* KA (TIPO AC)</t>
  </si>
  <si>
    <t>DISPOSITIVO DPS CLASSE II, 1 POLO, TENSAO MAXIMA DE 275 V, CORRENTE MAXIMA DE *45* KA (TIPO AC)</t>
  </si>
  <si>
    <t>DISPOSITIVO DPS CLASSE II, 1 POLO, TENSAO MAXIMA DE 275 V, CORRENTE MAXIMA DE *90* KA (TIPO AC)</t>
  </si>
  <si>
    <t>DISPOSITIVO DPS CLASSE II, 1 POLO, TENSAO MAXIMA DE 385 V, CORRENTE MAXIMA DE *20* KA (TIPO AC)</t>
  </si>
  <si>
    <t>DISPOSITIVO DPS CLASSE II, 1 POLO, TENSAO MAXIMA DE 385 V, CORRENTE MAXIMA DE *30* KA (TIPO AC)</t>
  </si>
  <si>
    <t>DISPOSITIVO DPS CLASSE II, 1 POLO, TENSAO MAXIMA DE 385 V, CORRENTE MAXIMA DE *45* KA (TIPO AC)</t>
  </si>
  <si>
    <t>DISPOSITIVO DPS CLASSE II, 1 POLO, TENSAO MAXIMA DE 385 V, CORRENTE MAXIMA DE *90* KA (TIPO AC)</t>
  </si>
  <si>
    <t>DISPOSITIVO DPS CLASSE II, 1 POLO, TENSAO MAXIMA DE 460 V, CORRENTE MAXIMA DE *20* KA (TIPO AC)</t>
  </si>
  <si>
    <t>DISPOSITIVO DPS CLASSE II, 1 POLO, TENSAO MAXIMA DE 460 V, CORRENTE MAXIMA DE *30* KA (TIPO AC)</t>
  </si>
  <si>
    <t>DISPOSITIVO DPS CLASSE II, 1 POLO, TENSAO MAXIMA DE 460 V, CORRENTE MAXIMA DE *45* KA (TIPO AC)</t>
  </si>
  <si>
    <t>DISPOSITIVO DPS CLASSE II, 1 POLO, TENSAO MAXIMA DE 460 V, CORRENTE MAXIMA DE *90* KA (TIPO AC)</t>
  </si>
  <si>
    <t>DISPOSITIVO DR, 2 POLOS, SENSIBILIDADE DE 30 MA, CORRENTE DE 100 A, TIPO AC</t>
  </si>
  <si>
    <t>DISPOSITIVO DR, 2 POLOS, SENSIBILIDADE DE 30 MA, CORRENTE DE 25 A, TIPO AC</t>
  </si>
  <si>
    <t>DISPOSITIVO DR, 2 POLOS, SENSIBILIDADE DE 30 MA, CORRENTE DE 40 A, TIPO AC</t>
  </si>
  <si>
    <t>DISPOSITIVO DR, 2 POLOS, SENSIBILIDADE DE 30 MA, CORRENTE DE 63 A, TIPO AC</t>
  </si>
  <si>
    <t>DISPOSITIVO DR, 2 POLOS, SENSIBILIDADE DE 30 MA, CORRENTE DE 80 A, TIPO AC</t>
  </si>
  <si>
    <t>DISPOSITIVO DR, 2 POLOS, SENSIBILIDADE DE 300 MA, CORRENTE DE 25 A, TIPO AC</t>
  </si>
  <si>
    <t>DISPOSITIVO DR, 2 POLOS, SENSIBILIDADE DE 300 MA, CORRENTE DE 40 A, TIPO AC</t>
  </si>
  <si>
    <t>DISPOSITIVO DR, 2 POLOS, SENSIBILIDADE DE 300 MA, CORRENTE DE 63 A, TIPO AC</t>
  </si>
  <si>
    <t>DISPOSITIVO DR, 4 POLOS, SENSIBILIDADE DE 30 MA, CORRENTE DE 100 A, TIPO AC</t>
  </si>
  <si>
    <t>DISPOSITIVO DR, 4 POLOS, SENSIBILIDADE DE 30 MA, CORRENTE DE 25 A, TIPO AC</t>
  </si>
  <si>
    <t>DISPOSITIVO DR, 4 POLOS, SENSIBILIDADE DE 30 MA, CORRENTE DE 40 A, TIPO AC</t>
  </si>
  <si>
    <t>DISPOSITIVO DR, 4 POLOS, SENSIBILIDADE DE 30 MA, CORRENTE DE 63 A, TIPO AC</t>
  </si>
  <si>
    <t>DISPOSITIVO DR, 4 POLOS, SENSIBILIDADE DE 30 MA, CORRENTE DE 80 A, TIPO AC</t>
  </si>
  <si>
    <t>DISPOSITIVO DR, 4 POLOS, SENSIBILIDADE DE 300 MA, CORRENTE DE 100 A, TIPO AC</t>
  </si>
  <si>
    <t>DISPOSITIVO DR, 4 POLOS, SENSIBILIDADE DE 300 MA, CORRENTE DE 25 A, TIPO AC</t>
  </si>
  <si>
    <t>DISPOSITIVO DR, 4 POLOS, SENSIBILIDADE DE 300 MA, CORRENTE DE 40 A, TIPO AC</t>
  </si>
  <si>
    <t>DISPOSITIVO DR, 4 POLOS, SENSIBILIDADE DE 300 MA, CORRENTE DE 63 A, TIPO AC</t>
  </si>
  <si>
    <t>DISPOSITIVO DR, 4 POLOS, SENSIBILIDADE DE 300 MA, CORRENTE DE 80 A, TIPO AC</t>
  </si>
  <si>
    <t>DISTRIBUIDOR DE AGREGADOS AUTOPROPELIDO, CAP 3 M3, A DIESEL, 6 CC, 176 CV</t>
  </si>
  <si>
    <t>DISTRIBUIDOR DE AGREGADOS REBOCAVEL, CAPACIDADE 1,9 M3, LARGURA DE TRABALHO 3,66 M</t>
  </si>
  <si>
    <t>DISTRIBUIDOR METALICO, COM ROSCA, 2 SAIDAS, DN 1" X 1/2", PARA CONEXAO COM ANEL DESLIZANTE EM TUBO PEX PARA INST. AGUA QUENTE/FRIA</t>
  </si>
  <si>
    <t>DISTRIBUIDOR METALICO, COM ROSCA, 2 SAIDAS, DN 3/4" X 1/2", PARA CONEXAO COM ANEL DESLIZANTE EM TUBO PEX PARA INST. AGUA QUENTE/FRIA</t>
  </si>
  <si>
    <t>DISTRIBUIDOR METALICO, COM ROSCA, 3 SAIDAS, DN 1" X 1/2", PARA CONEXAO COM ANEL DESLIZANTE EM TUBO PEX PARA INST. AGUA QUENTE/FRIA</t>
  </si>
  <si>
    <t>DISTRIBUIDOR METALICO, COM ROSCA, 3 SAIDAS, DN 3/4" X 1/2", PARA CONEXAO COM ANEL DESLIZANTE EM TUBO PEX PARA INST. AGUA QUENTE/FRIA</t>
  </si>
  <si>
    <t>DISTRIBUIDOR, PLASTICO, 2 SAIDAS, DN 32 X 16 MM, PARA CONEXAO COM CRIMPAGEM, EM TUBO PEX PARA INST. AGUA QUENTE/FRIA</t>
  </si>
  <si>
    <t>DISTRIBUIDOR, PLASTICO, 2 SAIDAS, DN 32 X 25 MM, PARA CONEXAO COM CRIMPAGEM, EM TUBO PEX PARA INST. AGUA QUENTE/FRIA</t>
  </si>
  <si>
    <t>DISTRIBUIDOR, PLASTICO, 3 SAIDAS, DN 32 X 16 MM, PARA CONEXAO COM CRIMPAGEM, EM TUBO PEX PARA INST. AGUA QUENTE/FRIA</t>
  </si>
  <si>
    <t>DISTRIBUIDOR, PLASTICO, 3 SAIDAS, DN 32 X 25 MM, PARA CONEXAO COM CRIMPAGEM, EM TUBO PEX PARA INST. AGUA QUENTE/FRIA</t>
  </si>
  <si>
    <t>DIVISORIA EM GRANITO, COM DUAS FACES POLIDAS, TIPO ANDORINHA/ QUARTZ/ CASTELO/ CORUMBA OU OUTROS EQUIVALENTES DA REGIAO, E= *3,0* CM</t>
  </si>
  <si>
    <t>DIVISORIA EM MARMORE, COM DUAS FACES POLIDAS, BRANCO COMUM, E= *3,0* CM</t>
  </si>
  <si>
    <t>DIVISORIA, PLACA PRE-MOLDADA EM GRANILITE, MARMORITE OU GRANITINA, E = *3 CM</t>
  </si>
  <si>
    <t>DOBRADEIRA ELETROMECANICA DE VERGALHAO, PARA ACO DE DIAMETRO ATE 1 1/2", MOTOR ELETRICO TRIFASICO, POTENCIA DE 3 HP ATE 5 HP</t>
  </si>
  <si>
    <t>DOBRADICA EM ACO/FERRO, 3 1/2" X 3", E= 1,9 A 2 MM, COM ANEL, CROMADO OU ZINCADO, TAMPA BOLA, COM PARAFUSOS</t>
  </si>
  <si>
    <t>DOBRADICA EM ACO/FERRO, 3" X 2 1/2", E= 1,2 A 1,8 MM, SEM ANEL, CROMADO OU ZINCADO, TAMPA BOLA, COM PARAFUSOS</t>
  </si>
  <si>
    <t>DOBRADICA EM ACO/FERRO, 3" X 2 1/2", E= 1,2 A 1,8 MM, SEM ANEL, CROMADO OU ZINCADO, TAMPA CHATA, COM PARAFUSOS</t>
  </si>
  <si>
    <t>DOBRADICA EM ACO/FERRO, 3" X 2 1/2", E= 1,9 A 2 MM, SEM ANEL, CROMADO OU ZINCADO, TAMPA BOLA, COM PARAFUSOS</t>
  </si>
  <si>
    <t>DOBRADICA TIPO VAI-E-VEM EM ACO/FERRO, TAMANHO 3", GALVANIZADO, COM PARAFUSOS</t>
  </si>
  <si>
    <t>DOMOS / CLARABOIA INDIVIDUAL, EM ACRILICO BRANCO/LEITOSO, *95 X 95* CM, INCLUI ACESSORIOS DE FIXACAO, SEM INSTALACAO</t>
  </si>
  <si>
    <t>DOSADOR DE AREIA, CAPACIDADE DE *26* LITROS</t>
  </si>
  <si>
    <t>DUCHA / CHUVEIRO METALICO, DE PAREDE, ARTICULAVEL, COM BRACO/CANO, SEM DESVIADOR</t>
  </si>
  <si>
    <t>DUCHA / CHUVEIRO METALICO, DE PAREDE, ARTICULAVEL, COM DESVIADOR E DUCHA MANUAL</t>
  </si>
  <si>
    <t>DUCHA / CHUVEIRO PLASTICO SIMPLES, 5", BRANCO, PARA ACOPLAR EM HASTE 1/2", AGUA FRIA</t>
  </si>
  <si>
    <t>DUCHA HIGIENICA PLASTICA COM REGISTRO METALICO 1/2"</t>
  </si>
  <si>
    <t>ELEMENTO VAZADO CERAMICO DIAGONAL (TIPO FLOR/QUADRADO/XIS) DE *7 X 18 X 25* CM (L X A X C)</t>
  </si>
  <si>
    <t>ELEMENTO VAZADO CERAMICO QUADRADO (TIPO RETO OU REDONDO) DE *7 A 9 X 20 X 20* CM (L X A X C)</t>
  </si>
  <si>
    <t>ELEMENTO VAZADO DE CONCRETO, QUADRICULADO, 1 FURO *10 X 10 X 10* CM</t>
  </si>
  <si>
    <t>ELEMENTO VAZADO DE CONCRETO, QUADRICULADO, 1 FURO *20 X 10 X 7* CM</t>
  </si>
  <si>
    <t>ELEMENTO VAZADO DE CONCRETO, QUADRICULADO, 1 FURO *20 X 20 X 6,5* CM</t>
  </si>
  <si>
    <t>ELEMENTO VAZADO DE CONCRETO, QUADRICULADO, 16 FUROS *29 X 29 X 6* CM</t>
  </si>
  <si>
    <t>ELEMENTO VAZADO DE CONCRETO, QUADRICULADO, 16 FUROS *33 X 33 X 10* CM</t>
  </si>
  <si>
    <t>ELEMENTO VAZADO DE CONCRETO, QUADRICULADO, 16 FUROS *40 X 40 X 7* CM</t>
  </si>
  <si>
    <t>ELEMENTO VAZADO DE CONCRETO, QUADRICULADO, 16 FUROS *50 X 50 X 7* CM</t>
  </si>
  <si>
    <t>ELEMENTO VAZADO DE CONCRETO, QUADRICULADO, 25 FUROS *50 X 50 X 5* CM</t>
  </si>
  <si>
    <t>ELEMENTO VAZADO DE CONCRETO, VENEZIANA *39 X 22 X 15* CM</t>
  </si>
  <si>
    <t>ELEMENTO VAZADO DE CONCRETO, VENEZIANA *39 X 29 X 10* CM</t>
  </si>
  <si>
    <t>ELEMENTO VAZADO DE CONCRETO, VENEZIANA *40 X 10 X 10* CM</t>
  </si>
  <si>
    <t>ELETRICISTA (HORISTA)</t>
  </si>
  <si>
    <t>ELETRICISTA (MENSALISTA)</t>
  </si>
  <si>
    <t>ELETRODO REVESTIDO AWS - E-6010, DIAMETRO IGUAL A 4,00 MM</t>
  </si>
  <si>
    <t>ELETRODO REVESTIDO AWS - E6013, DIAMETRO IGUAL A 2,50 MM</t>
  </si>
  <si>
    <t>ELETRODO REVESTIDO AWS - E6013, DIAMETRO IGUAL A 4,00 MM</t>
  </si>
  <si>
    <t>ELETRODO REVESTIDO AWS - E7018, DIAMETRO IGUAL A 4,00 MM</t>
  </si>
  <si>
    <t>ELETRODUTO DE PVC RIGIDO SOLDAVEL, CLASSE B, DE 20 MM</t>
  </si>
  <si>
    <t>ELETRODUTO DE PVC RIGIDO SOLDAVEL, CLASSE B, DE 25 MM</t>
  </si>
  <si>
    <t>ELETRODUTO DE PVC RIGIDO SOLDAVEL, CLASSE B, DE 32 MM</t>
  </si>
  <si>
    <t>ELETRODUTO DE PVC RIGIDO SOLDAVEL, CLASSE B, DE 40 MM</t>
  </si>
  <si>
    <t>ELETRODUTO DE PVC RIGIDO SOLDAVEL, CLASSE B, DE 50 MM</t>
  </si>
  <si>
    <t>ELETRODUTO DE PVC RIGIDO SOLDAVEL, CLASSE B, DE 60 MM</t>
  </si>
  <si>
    <t>ELETRODUTO EM ACO GALVANIZADO ELETROLITICO, LEVE, DIAMETRO 3/4", PAREDE DE 0,90 MM</t>
  </si>
  <si>
    <t>ELETRODUTO FLEXIVEL PLANO EM PEAD, COR PRETA E LARANJA, DIAMETRO 25 MM</t>
  </si>
  <si>
    <t>ELETRODUTO FLEXIVEL PLANO EM PEAD, COR PRETA E LARANJA, DIAMETRO 32 MM</t>
  </si>
  <si>
    <t>ELETRODUTO FLEXIVEL PLANO EM PEAD, COR PRETA E LARANJA, DIAMETRO 40 MM</t>
  </si>
  <si>
    <t>ELETRODUTO FLEXIVEL, EM FITA DE ACO GALVANIZADO, REVESTIDO COM PVC PRETO, DIAMETRO EXTERNO DE 15 MM, DN = 3/8", TIPO SEALTUBO</t>
  </si>
  <si>
    <t>ELETRODUTO FLEXIVEL, EM FITA DE ACO GALVANIZADO, REVESTIDO COM PVC PRETO, DIAMETRO EXTERNO DE 25 MM, DN = 3/4", TIPO SEALTUBO</t>
  </si>
  <si>
    <t>ELETRODUTO FLEXIVEL, EM FITA DE ACO GALVANIZADO, REVESTIDO COM PVC PRETO, DIAMETRO EXTERNO DE 32 MM, DN = 1", TIPO SEALTUBO</t>
  </si>
  <si>
    <t>ELETRODUTO FLEXIVEL, EM FITA DE ACO GALVANIZADO, REVESTIDO COM PVC PRETO, DIAMETRO EXTERNO DE 40 MM, DN = 1 1/4", TIPO SEALTUBO</t>
  </si>
  <si>
    <t>ELETRODUTO FLEXIVEL, EM FITA DE ACO GALVANIZADO, REVESTIDO COM PVC PRETO, DIAMETRO EXTERNO DE 50 MM, DN = 1 1/2", TIPO SEALTUBO</t>
  </si>
  <si>
    <t>ELETRODUTO FLEXIVEL, EM FITA DE ACO GALVANIZADO, REVESTIDO COM PVC PRETO, DIAMETRO EXTERNO DE 60 MM, DN = 2", TIPO SEALTUBO</t>
  </si>
  <si>
    <t>ELETRODUTO FLEXIVEL, EM FITA DE ACO GALVANIZADO, REVESTIDO COM PVC PRETO, DIAMETRO EXTERNO DE 75 MM, DN = 2 1/2", TIPO SEALTUBO</t>
  </si>
  <si>
    <t>ELETRODUTO FLEXIVEL, EM FITA DE ACO GALVANIZADO, SEM REVESTIMENTO, DIAMETRO NOMINAL 1 1/2"</t>
  </si>
  <si>
    <t>ELETRODUTO FLEXIVEL, EM FITA DE ACO GALVANIZADO, SEM REVESTIMENTO, DIAMETRO NOMINAL 1 1/4"</t>
  </si>
  <si>
    <t>ELETRODUTO FLEXIVEL, EM FITA DE ACO GALVANIZADO, SEM REVESTIMENTO, DIAMETRO NOMINAL 1"</t>
  </si>
  <si>
    <t>ELETRODUTO FLEXIVEL, EM FITA DE ACO GALVANIZADO, SEM REVESTIMENTO, DIAMETRO NOMINAL 1/2"</t>
  </si>
  <si>
    <t>ELETRODUTO FLEXIVEL, EM FITA DE ACO GALVANIZADO, SEM REVESTIMENTO, DIAMETRO NOMINAL 2 1/2"</t>
  </si>
  <si>
    <t>ELETRODUTO FLEXIVEL, EM FITA DE ACO GALVANIZADO, SEM REVESTIMENTO, DIAMETRO NOMINAL 2"</t>
  </si>
  <si>
    <t>ELETRODUTO FLEXIVEL, EM FITA DE ACO GALVANIZADO, SEM REVESTIMENTO, DIAMETRO NOMINAL 3"</t>
  </si>
  <si>
    <t>ELETRODUTO PVC FLEXIVEL CORRUGADO, COR AMARELA, DE 16 MM</t>
  </si>
  <si>
    <t>ELETRODUTO PVC FLEXIVEL CORRUGADO, COR AMARELA, DE 20 MM</t>
  </si>
  <si>
    <t>ELETRODUTO PVC FLEXIVEL CORRUGADO, COR AMARELA, DE 25 MM</t>
  </si>
  <si>
    <t>ELETRODUTO PVC FLEXIVEL CORRUGADO, COR AMARELA, DE 32 MM</t>
  </si>
  <si>
    <t>ELETRODUTO PVC FLEXIVEL CORRUGADO, REFORCADO, COR LARANJA, DE 20 MM, PARA LAJES E PISOS</t>
  </si>
  <si>
    <t>ELETRODUTO PVC FLEXIVEL CORRUGADO, REFORCADO, COR LARANJA, DE 25 MM, PARA LAJES E PISOS</t>
  </si>
  <si>
    <t>ELETRODUTO PVC FLEXIVEL CORRUGADO, REFORCADO, COR LARANJA, DE 32 MM, PARA LAJES E PISOS</t>
  </si>
  <si>
    <t>ELETRODUTO/CONDULETE DE PVC RIGIDO, LISO, COR CINZA, DE 1", PARA INSTALACOES APARENTES (NBR 5410)</t>
  </si>
  <si>
    <t>ELETRODUTO/CONDULETE DE PVC RIGIDO, LISO, COR CINZA, DE 1/2", PARA INSTALACOES APARENTES (NBR 5410)</t>
  </si>
  <si>
    <t>ELETRODUTO/CONDULETE DE PVC RIGIDO, LISO, COR CINZA, DE 3/4", PARA INSTALACOES APARENTES (NBR 5410)</t>
  </si>
  <si>
    <t>ELETRODUTO/DUTO PEAD FLEXIVEL PAREDE SIMPLES, CORRUGACAO HELICOIDAL, COR PRETA, SEM ROSCA, DE 1 1/2", CRC 680 N, PARA CABEAMENTO SUBTERRANEO (NBR 15715)</t>
  </si>
  <si>
    <t>ELETRODUTO/DUTO PEAD FLEXIVEL PAREDE SIMPLES, CORRUGACAO HELICOIDAL, COR PRETA, SEM ROSCA, DE 1 1/4", CRC 680 N, PARA CABEAMENTO SUBTERRANEO (NBR 15715)</t>
  </si>
  <si>
    <t>ELETRODUTO/DUTO PEAD FLEXIVEL PAREDE SIMPLES, CORRUGACAO HELICOIDAL, COR PRETA, SEM ROSCA, DE 2", CRC 680 N, PARA CABEAMENTO SUBTERRANEO (NBR 15715)</t>
  </si>
  <si>
    <t>ELETRODUTO/DUTO PEAD FLEXIVEL PAREDE SIMPLES, CORRUGACAO HELICOIDAL, COR PRETA, SEM ROSCA, DE 3", CRC 680 N, PARA CABEAMENTO SUBTERRANEO (NBR 15715)</t>
  </si>
  <si>
    <t>ELETRODUTO/DUTO PEAD FLEXIVEL PAREDE SIMPLES, CORRUGACAO HELICOIDAL, COR PRETA, SEM ROSCA, DE 4", CRC 680 N, PARA CABEAMENTO SUBTERRANEO (NBR 15715)</t>
  </si>
  <si>
    <t>ELETROTECNICO (HORISTA)</t>
  </si>
  <si>
    <t>ELETROTECNICO (MENSALISTA)</t>
  </si>
  <si>
    <t>EMENDA PARA CALHA PLUVIAL, PVC, DIAMETRO ENTRE 119 E 170 MM, PARA DRENAGEM PLUVIAL PREDIAL</t>
  </si>
  <si>
    <t>EMULSAO ASFALTICA ANIONICA</t>
  </si>
  <si>
    <t>EMULSAO EXPLOSIVA EM CARTUCHOS DE 1" X 12", DENSIDADE 1.15 G/CM3, INICIACAO ESPOLETA N. 8 / CORDEL</t>
  </si>
  <si>
    <t>EMULSAO EXPLOSIVA EM CARTUCHOS DE 1" X 24", DENSIDADE 1.15 G/CM3, INICIACAO ESPOLETA N. 8 / CORDEL</t>
  </si>
  <si>
    <t>EMULSAO EXPLOSIVA EM CARTUCHOS DE 1" X 8", DENSIDADE 1.15 G/CM3, INICIACAO ESPOLETA N. 8 / CORDEL</t>
  </si>
  <si>
    <t>EMULSAO EXPLOSIVA EM CARTUCHOS DE 2 1/2" X 24", DENSIDADE 1.15 G/CM3, INICIACAO ESPOLETA N. 8 / CORDEL</t>
  </si>
  <si>
    <t>EMULSAO EXPLOSIVA EM CARTUCHOS DE 2 1/4" X 24", DENSIDADE 1.15 G/CM3, INICIACAO ESPOLETA N. 8 / CORDEL</t>
  </si>
  <si>
    <t>EMULSAO EXPLOSIVA EM CARTUCHOS DE 2" X 24", DENSIDADE 1.15 G/CM3, INICIACAO ESPOLETA N. 8 / CORDEL</t>
  </si>
  <si>
    <t>ENCANADOR OU BOMBEIRO HIDRAULICO (HORISTA)</t>
  </si>
  <si>
    <t>ENCANADOR OU BOMBEIRO HIDRAULICO (MENSALISTA)</t>
  </si>
  <si>
    <t>ENCARREGADO GERAL DE OBRAS (HORISTA)</t>
  </si>
  <si>
    <t>ENCARREGADO GERAL DE OBRAS (MENSALISTA)</t>
  </si>
  <si>
    <t>ENDURECEDOR MINERAL DE BASE CIMENTICIA PARA PISO DE CONCRETO</t>
  </si>
  <si>
    <t>ENERGIA ELETRICA ATE 2000 KWH INDUSTRIAL, SEM DEMANDA</t>
  </si>
  <si>
    <t>ENERGIA ELETRICA COMERCIAL, BAIXA TENSAO, RELATIVA AO CONSUMO DE ATE 100 KWH, INCLUINDO ICMS, PIS/PASEP E COFINS</t>
  </si>
  <si>
    <t>ENGATE / RABICHO FLEXIVEL INOX 1/2" X 30 CM</t>
  </si>
  <si>
    <t>ENGATE / RABICHO FLEXIVEL INOX 1/2" X 40 CM</t>
  </si>
  <si>
    <t>ENGATE/RABICHO FLEXIVEL PLASTICO (PVC OU ABS) BRANCO 1/2" X 30 CM</t>
  </si>
  <si>
    <t>ENGATE/RABICHO FLEXIVEL PLASTICO (PVC OU ABS) BRANCO 1/2" X 40 CM</t>
  </si>
  <si>
    <t>ENGENHEIRO CIVIL DE OBRA JUNIOR (HORISTA)</t>
  </si>
  <si>
    <t>ENGENHEIRO CIVIL DE OBRA JUNIOR (MENSALISTA)</t>
  </si>
  <si>
    <t>ENGENHEIRO CIVIL DE OBRA PLENO (HORISTA)</t>
  </si>
  <si>
    <t>ENGENHEIRO CIVIL DE OBRA PLENO (MENSALISTA)</t>
  </si>
  <si>
    <t>ENGENHEIRO CIVIL DE OBRA SENIOR (HORISTA)</t>
  </si>
  <si>
    <t>ENGENHEIRO CIVIL DE OBRA SENIOR (MENSALISTA)</t>
  </si>
  <si>
    <t>ENXADA ESTREITA, EM ACO, *25 X 23* CM, COM CABO DE MADEIRA DE *150* CM</t>
  </si>
  <si>
    <t>EPI - FAMILIA ALMOXARIFE - HORISTA (ENCARGOS COMPLEMENTARES - COLETADO CAIXA)</t>
  </si>
  <si>
    <t>EPI - FAMILIA ALMOXARIFE - MENSALISTA (ENCARGOS COMPLEMENTARES - COLETADO CAIXA)</t>
  </si>
  <si>
    <t>EPI - FAMILIA CARPINTEIRO DE FORMAS - HORISTA (ENCARGOS COMPLEMENTARES - COLETADO CAIXA)</t>
  </si>
  <si>
    <t>EPI - FAMILIA CARPINTEIRO DE FORMAS - MENSALISTA (ENCARGOS COMPLEMENTARES - COLETADO CAIXA)</t>
  </si>
  <si>
    <t>EPI - FAMILIA ELETRICISTA - HORISTA (ENCARGOS COMPLEMENTARES - COLETADO CAIXA)</t>
  </si>
  <si>
    <t>EPI - FAMILIA ELETRICISTA - MENSALISTA (ENCARGOS COMPLEMENTARES - COLETADO CAIXA)</t>
  </si>
  <si>
    <t>EPI - FAMILIA ENCANADOR - HORISTA (ENCARGOS COMPLEMENTARES - COLETADO CAIXA)</t>
  </si>
  <si>
    <t>EPI - FAMILIA ENCANADOR - MENSALISTA (ENCARGOS COMPLEMENTARES - COLETADO CAIXA)</t>
  </si>
  <si>
    <t>EPI - FAMILIA ENCARREGADO GERAL - HORISTA (ENCARGOS COMPLEMENTARES - COLETADO CAIXA)</t>
  </si>
  <si>
    <t>EPI - FAMILIA ENCARREGADO GERAL - MENSALISTA (ENCARGOS COMPLEMENTARES - COLETADO CAIXA)</t>
  </si>
  <si>
    <t>EPI - FAMILIA ENGENHEIRO CIVIL - HORISTA (ENCARGOS COMPLEMENTARES - COLETADO CAIXA)</t>
  </si>
  <si>
    <t>EPI - FAMILIA ENGENHEIRO CIVIL - MENSALISTA (ENCARGOS COMPLEMENTARES - COLETADO CAIXA)</t>
  </si>
  <si>
    <t>EPI - FAMILIA OPERADOR ESCAVADEIRA - HORISTA (ENCARGOS COMPLEMENTARES - COLETADO CAIXA)</t>
  </si>
  <si>
    <t>EPI - FAMILIA OPERADOR ESCAVADEIRA - MENSALISTA (ENCARGOS COMPLEMENTARES - COLETADO CAIXA)</t>
  </si>
  <si>
    <t>EPI - FAMILIA PEDREIRO - HORISTA (ENCARGOS COMPLEMENTARES - COLETADO CAIXA)</t>
  </si>
  <si>
    <t>EPI - FAMILIA PEDREIRO - MENSALISTA (ENCARGOS COMPLEMENTARES - COLETADO CAIXA)</t>
  </si>
  <si>
    <t>EPI - FAMILIA PINTOR - HORISTA (ENCARGOS COMPLEMENTARES - COLETADO CAIXA)</t>
  </si>
  <si>
    <t>EPI - FAMILIA PINTOR - MENSALISTA (ENCARGOS COMPLEMENTARES - COLETADO CAIXA)</t>
  </si>
  <si>
    <t>EPI - FAMILIA SERVENTE - HORISTA (ENCARGOS COMPLEMENTARES - COLETADO CAIXA)</t>
  </si>
  <si>
    <t>EPI - FAMILIA SERVENTE - MENSALISTA (ENCARGOS COMPLEMENTARES - COLETADO CAIXA)</t>
  </si>
  <si>
    <t>EPI - FAMILIA SOLDADOR - HORISTA (ENCARGOS COMPLEMENTARES - COLETADO CAIXA)</t>
  </si>
  <si>
    <t>EPI - FAMILIA SOLDADOR - MENSALISTA (ENCARGOS COMPLEMENTARES - COLETADO CAIXA)</t>
  </si>
  <si>
    <t>EPI - FAMILIA TOPOGRAFO - HORISTA (ENCARGOS COMPLEMENTARES - COLETADO CAIXA)</t>
  </si>
  <si>
    <t>EPI - FAMILIA TOPOGRAFO - MENSALISTA (ENCARGOS COMPLEMENTARES - COLETADO CAIXA)</t>
  </si>
  <si>
    <t>ESCADA DUPLA DE ABRIR EM ALUMINIO, COM SAPATAS DE BORRACHA, *2,30* X *0,57* M (ALTURA UTIL X LARGURA MINIMA), MODELO PINTOR, 8 DEGRAUS, CAPACIDADE *100* KG</t>
  </si>
  <si>
    <t>ESCADA EXTENSIVEL EM ALUMINIO, COM SAPATAS DE BORRACHA, ALTURA FECHADA 3,60 M, ALTURA ESTENDIDA DE 6,0 A 6,30 M, LARGURA MINIMA DE 35 CM, CACIDADE *120* KG</t>
  </si>
  <si>
    <t>ESCAVADEIRA HIDRAULICA DE BRACO LONGO (LONGO ALCANCE) SOBRE ESTEIRAS, CACAMBA 0,52 M3, PESO OPERACIONAL 24 T, POTENCIA LIQUIDA 155 HP</t>
  </si>
  <si>
    <t>ESCAVADEIRA HIDRAULICA SOBRE ESTEIRAS COM CACAMBA DE 1,20 M3, PESO OPERACIONAL 21 T, POTENCIA BRUTA 155 HP</t>
  </si>
  <si>
    <t>ESCAVADEIRA HIDRAULICA SOBRE ESTEIRAS, CACAMBA 0,80M3, PESO OPERACIONAL 17T, POTENCIA BRUTA 111HP</t>
  </si>
  <si>
    <t>ESCAVADEIRA HIDRAULICA SOBRE ESTEIRAS, CAPACIDADE DA CACAMBA ENTRE 1,20 E 1,50 M3, PESO OPERACIONAL ENTRE 20,00 E 22,00 TON, POTENCIA LIQUIDA ENTRE 150 E 155 HP, EQUIPADA COM CLAMSHELL</t>
  </si>
  <si>
    <t>ESCORA PRE-MOLDADA EM CONCRETO, *10 X 10* CM, H = 2,30M</t>
  </si>
  <si>
    <t>ESCOVA DE ACO, COM CABO, *4 X 15* FILEIRAS DE CERDAS</t>
  </si>
  <si>
    <t>ESGUICHO JATO REGULAVEL, TIPO ELKHART, ENGATE RAPIDO 1 1/2", PARA COMBATE A INCENDIO</t>
  </si>
  <si>
    <t>ESGUICHO JATO REGULAVEL, TIPO ELKHART, ENGATE RAPIDO 2 1/2", PARA COMBATE A INCENDIO</t>
  </si>
  <si>
    <t>ESGUICHO TIPO JATO SOLIDO, EM LATAO, ENGATE RAPIDO 1 1/2" X 13 MM, PARA MANGUEIRA EM INSTALACAO PREDIAL COMBATE A INCENDIO</t>
  </si>
  <si>
    <t>ESGUICHO TIPO JATO SOLIDO, EM LATAO, ENGATE RAPIDO 1 1/2" X 16 MM, PARA MANGUEIRA EM INSTALACAO PREDIAL COMBATE A INCENDIO</t>
  </si>
  <si>
    <t>ESGUICHO TIPO JATO SOLIDO, EM LATAO, ENGATE RAPIDO 1 1/2" X 19 MM, PARA MANGUEIRA EM INSTALACAO PREDIAL COMBATE A INCENDIO</t>
  </si>
  <si>
    <t>ESGUICHO TIPO JATO SOLIDO, EM LATAO, ENGATE RAPIDO 2 1/2" X 13 MM, PARA MANGUEIRA EM INSTALACAO PREDIAL COMBATE A INCENDIO</t>
  </si>
  <si>
    <t>ESGUICHO TIPO JATO SOLIDO, EM LATAO, ENGATE RAPIDO 2 1/2" X 16 MM, PARA MANGUEIRA EM INSTALACAO PREDIAL COMBATE A INCENDIO</t>
  </si>
  <si>
    <t>ESGUICHO TIPO JATO SOLIDO, EM LATAO, ENGATE RAPIDO 2 1/2" X 19 MM, PARA MANGUEIRA EM INSTALACAO PREDIAL COMBATE A INCENDIO</t>
  </si>
  <si>
    <t>ESPACADOR / DISTANCIADOR CIRCULAR COM ENTRADA LATERAL, EM PLASTICO, PARA VERGALHAO *4,2 A 12,5* MM, COBRIMENTO 20 MM</t>
  </si>
  <si>
    <t>ESPACADOR / DISTANCIADOR TIPO GARRA DUPLA, EM PLASTICO, COBRIMENTO *20* MM, PARA FERRAGENS DE LAJES E FUNDO DE VIGAS</t>
  </si>
  <si>
    <t>ESPACADOR / DISTANCIADOR TIPO PINO EM PLASTICO, PARA VERGALHAO ATE 10 MM, PARA APOIO DE ARMADURA</t>
  </si>
  <si>
    <t>ESPACADOR OU DISTANCIADOR, EM PLASTICO, TIPO APOIO DE CORDOALHA (CARANGUEJO), PARA ARMADURA NEGATIVA E PROTENSAO, COBRIMENTO 50 MM</t>
  </si>
  <si>
    <t>ESPACADOR/SEPARADOR /CENTRALIZADOR DE BARRA DE ACO, PLASTICO, (CHUMBADOR TIPO CARAMBOLA - CB), DIAMETRO INTERNO ATE 20 MM</t>
  </si>
  <si>
    <t>ESPACADOR/SEPARADOR /CENTRALIZADOR DE BARRA DE ACO, PLASTICO, (CHUMBADOR TIPO CARAMBOLA - CB), DIAMETRO INTERNO ENTRE 25 A 32 MM</t>
  </si>
  <si>
    <t>ESPACADOR/SEPARADOR DE CORDOALHA TIPO DISCO 12 FUROS DE 14 MM, PARA TIRANTES</t>
  </si>
  <si>
    <t>ESPARGIDOR DE ASFALTO PRESSURIZADO, REBOCAVEL, TANQUE DE 2500 L, PNEUMATICO, COM MOTOR A GASOLINA 3,4HP</t>
  </si>
  <si>
    <t>ESPARGIDOR DE ASFALTO PRESSURIZADO, TANQUE 6 M3 COM ISOLACAO TERMICA, AQUECIDO COM 2 MACARICOS, COM BARRA ESPARGIDORA 3,60 M, A SER MONTADO SOBRE CAMINHAO</t>
  </si>
  <si>
    <t>ESPATULA DE PLASTICO LISA, LARGURA *10* CM</t>
  </si>
  <si>
    <t>ESPATULA EM ACO INOX COM CABO DE MADEIRA E LARGURA DE *8* CM</t>
  </si>
  <si>
    <t>ESPELHO / PLACA CEGA 4" X 2", PARA INSTALACAO DE TOMADAS E INTERRUPTORES</t>
  </si>
  <si>
    <t>ESPELHO / PLACA CEGA 4" X 4", PARA INSTALACAO DE TOMADAS E INTERRUPTORES</t>
  </si>
  <si>
    <t>ESPELHO / PLACA DE 1 POSTO 4" X 2", PARA INSTALACAO DE TOMADAS E INTERRUPTORES</t>
  </si>
  <si>
    <t>ESPELHO / PLACA DE 2 POSTOS 4" X 2", PARA INSTALACAO DE TOMADAS E INTERRUPTORES</t>
  </si>
  <si>
    <t>ESPELHO / PLACA DE 2 POSTOS 4" X 4", PARA INSTALACAO DE TOMADAS E INTERRUPTORES</t>
  </si>
  <si>
    <t>ESPELHO / PLACA DE 3 POSTOS 4" X 2", PARA INSTALACAO DE TOMADAS E INTERRUPTORES</t>
  </si>
  <si>
    <t>ESPELHO / PLACA DE 4 POSTOS 4" X 4", PARA INSTALACAO DE TOMADAS E INTERRUPTORES</t>
  </si>
  <si>
    <t>ESPELHO / PLACA DE 6 POSTOS 4" X 4", PARA INSTALACAO DE TOMADAS E INTERRUPTORES</t>
  </si>
  <si>
    <t>ESPELHO CRISTAL E = 4 MM</t>
  </si>
  <si>
    <t>ESPELHO, RETO OU CURVO, EM LATAO CROMADO, ESPESSURA ATE 6 MM, LARGURA *40*MM, ALTURA *180*MM - PARA FECHADURA DE EMBUTIR</t>
  </si>
  <si>
    <t>ESPELHO, RETO OU CURVO, EM LATAO CROMADO, ESPESSURA MINIMA 6 MM, LARGURA *43*MM, ALTURA *230*MM - PARA FECHADURA DE EMBUTIR</t>
  </si>
  <si>
    <t>ESPOLETA SIMPLES N 8.</t>
  </si>
  <si>
    <t>ESPUMA EXPANSIVA DE POLIURETANO, APLICACAO MANUAL - 500 ML</t>
  </si>
  <si>
    <t>ESQUADRO DE ACO 12" (300 MM), CABO DE ALUMINIO</t>
  </si>
  <si>
    <t>ESQUI TRIPLO, EM TUBO DE ACO CARBONO, PINTURA NO PROCESSO ELETROSTATICO - EQUIPAMENTO DE GINASTICA PARA ACADEMIA AO AR LIVRE / ACADEMIA DA TERCEIRA IDADE - ATI</t>
  </si>
  <si>
    <t>ESTACA PRE-MOLDADA MACICA DE CONCRETO VIBRADO ARMADO, PARA CARGA DE 25 T, SECAO QUADRADA DE *16 X 16*, COM ANEL METALICO INCORPORADO A PECA (SOMENTE FORNECIMENTO)</t>
  </si>
  <si>
    <t>ESTACA PRE-MOLDADA MACICA DE CONCRETO VIBRADO ARMADO, PARA CARGA DE 50 T, SECAO QUADRADA, COM ANEL METALICO INCORPORADO A PECA (SOMENTE FORNECIMENTO)</t>
  </si>
  <si>
    <t>ESTACA PRE-MOLDADA VAZADA DE CONCRETO CENTRIFUGADO, PARA CARGA DE 100 T, SECAO CIRCULAR, COM ANEL METALICO INCORPORADO A PECA (SOMENTE FORNECIMENTO)</t>
  </si>
  <si>
    <t>ESTILETE DE METAL, LAMINA 18 MM</t>
  </si>
  <si>
    <t>ESTRIBO COM PARAFUSO EM CHAPA DE FERRO FUNDIDO DE 2" X 3/16" X 35 CM, SECAO "U", PARA MADEIRAMENTO DE TELHADO</t>
  </si>
  <si>
    <t>EXAMES - HORISTA (COLETADO CAIXA - ENCARGOS COMPLEMENTARES)</t>
  </si>
  <si>
    <t>EXAMES - MENSALISTA (COLETADO CAIXA - ENCARGOS COMPLEMENTARES)</t>
  </si>
  <si>
    <t>EXTINTOR DE INCENDIO PORTATIL COM CARGA DE AGUA PRESSURIZADA DE 10 L, CLASSE A</t>
  </si>
  <si>
    <t>EXTINTOR DE INCENDIO PORTATIL COM CARGA DE GAS CARBONICO CO2 DE 4 KG, CLASSE BC</t>
  </si>
  <si>
    <t>EXTINTOR DE INCENDIO PORTATIL COM CARGA DE GAS CARBONICO CO2 DE 6 KG, CLASSE BC</t>
  </si>
  <si>
    <t>EXTINTOR DE INCENDIO PORTATIL COM CARGA DE PO QUIMICO SECO (PQS) DE 12 KG, CLASSE BC</t>
  </si>
  <si>
    <t>EXTINTOR DE INCENDIO PORTATIL COM CARGA DE PO QUIMICO SECO (PQS) DE 4 KG, CLASSE BC</t>
  </si>
  <si>
    <t>EXTINTOR DE INCENDIO PORTATIL COM CARGA DE PO QUIMICO SECO (PQS) DE 6 KG, CLASSE BC</t>
  </si>
  <si>
    <t>EXTINTOR DE INCENDIO PORTATIL COM CARGA DE PO QUIMICO SECO (PQS) DE 8 KG, CLASSE BC</t>
  </si>
  <si>
    <t>EXTREMIDADE PVC PBA, BF, JE, DN 100/ DE 110 MM</t>
  </si>
  <si>
    <t>EXTREMIDADE PVC PBA, BF, JE, DN 75/ DE 85 MM</t>
  </si>
  <si>
    <t>EXTREMIDADE PVC PBA, PF, JE, DN 100 / DE 110 MM</t>
  </si>
  <si>
    <t>EXTREMIDADE PVC PBA, PF, JE, DN 75 / DE 85 MM</t>
  </si>
  <si>
    <t>EXTREMIDADE/TUBETE PARA HIDROMETRO PVC, COM ROSCA, CURTA, COM BUCHA LATAO, 3/4" OU 1/2"</t>
  </si>
  <si>
    <t>FECHADURA AUXILIAR DE SEGURANCA PARA PORTA EXTERNA, EM ACO INOX, BROCA DE 45 A 55 MM, LINGUETA COM 3 AVANCOS, INCLUINDO 2 CHAVES TIPO CILINDRO</t>
  </si>
  <si>
    <t>FECHADURA BICO DE PAPAGAIO PARA PORTA DE CORRER EXTERNA, EM ACO INOX COM ACABAMENTO CROMADO, MAQUINA COM 45 MM, INCLUINDO CHAVE TIPO CILINDRO</t>
  </si>
  <si>
    <t>FECHADURA BICO DE PAPAGAIO PARA PORTA DE CORRER INTERNA, EM ACO INOX COM ACABAMENTO CROMADO, MAQUINA COM 45 MM, INCLUINDO CHAVE TIPO BIPARTIDA</t>
  </si>
  <si>
    <t>FECHADURA DE EMBUTIR PARA GAVETA E MOVEIS DE MADEIRA, EM ACO INOX COM ACABAMENTO CROMADO, COM ABAS LATERAIS, CILINDRO COM 22 MM DE DIAMETRO, INCLUINDO CHAVE COM PERFIL METALICO E CAPA ESCAMOTEAVEL</t>
  </si>
  <si>
    <t>FECHADURA DE SOBREPOR PARA GAVETAS E ARMARIOS, EM ACO INOX COM ACABAMENTO CROMADO, COM CILINDRO DE APROX 20 MM</t>
  </si>
  <si>
    <t>FECHADURA DE SOBREPOR PARA PORTAO, EM ACO INOX COM ACABAMENTO CROMADO, CAIXA DE 100 MM, INCLUINDO CHAVE TIPO CILINDRO</t>
  </si>
  <si>
    <t>FECHADURA DE SOBREPOR PARA PORTAO, EM ACO INOX COM ACABAMENTO CROMADO, CAIXA DE 100 MM, INCLUINDO CHAVE TIPO TETRA</t>
  </si>
  <si>
    <t>FECHADURA DE SOBREPOR TIPO CAIXAO, EM FERRO COM ACABAMENTO RESINADO, SEM MACANETA, SEM CILINDRO, INCLUINDO CHAVE TIPO SIMPLES</t>
  </si>
  <si>
    <t>FECHADURA ESPELHO PARA PORTA DE BANHEIRO, EM ACO INOX (MAQUINA, TESTA E CONTRA-TESTA) E EM ZAMAC (MACANETA, LINGUETA E TRINCOS) COM ACABAMENTO CROMADO, MAQUINA DE 40 MM, INCLUINDO CHAVE TIPO TRANQUETA</t>
  </si>
  <si>
    <t>FECHADURA ESPELHO PARA PORTA DE BANHEIRO, EM ACO INOX (MAQUINA, TESTA E CONTRA-TESTA) E EM ZAMAC (MACANETA, LINGUETA E TRINCOS) COM ACABAMENTO CROMADO, MAQUINA DE 55 MM, INCLUINDO CHAVE TIPO TRANQUETA (CONJUNTO DE FECHADURAS)</t>
  </si>
  <si>
    <t>FECHADURA ESPELHO PARA PORTA EXTERNA, EM ACO INOX (MAQUINA, TESTA E CONTRA-TESTA) E EM ZAMAC (MACANETA, LINGUETA E TRINCOS) COM ACABAMENTO CROMADO, MAQUINA DE 40 MM, INCLUINDO CHAVE TIPO CILINDRO</t>
  </si>
  <si>
    <t>FECHADURA ESPELHO PARA PORTA EXTERNA, EM ACO INOX (MAQUINA, TESTA E CONTRA-TESTA) E EM ZAMAC (MACANETA, LINGUETA E TRINCOS) COM ACABAMENTO CROMADO, MAQUINA DE 55 MM, INCLUINDO CHAVE TIPO CILINDRO</t>
  </si>
  <si>
    <t>FECHADURA ESPELHO PARA PORTA INTERNA, EM ACO INOX (MAQUINA, TESTA E CONTRA-TESTA) E EM ZAMAC (MACANETA, LINGUETA E TRINCOS) COM ACABAMENTO CROMADO, MAQUINA DE 40 MM, INCLUINDO CHAVE TIPO INTERNA</t>
  </si>
  <si>
    <t>FECHADURA ESPELHO PARA PORTA INTERNA, EM ACO INOX (MAQUINA, TESTA E CONTRA-TESTA) E EM ZAMAC (MACANETA, LINGUETA E TRINCOS) COM ACABAMENTO CROMADO, MAQUINA DE 55 MM, INCLUINDO CHAVE TIPO INTERNA</t>
  </si>
  <si>
    <t>FECHADURA PARA PORTA PIVOTANTE DE VIDRO TEMPERADO, EM ACO INOX COM ACABAMENTO CROMADO, RECORTE PADRAO SANTA MARINA, COM CILINDRO EM LATAO, INCLUINDO CHAVE TIPO CILINDRO</t>
  </si>
  <si>
    <t>FECHADURA ROSETA REDONDA PARA PORTA DE BANHEIRO, EM ACO INOX (MAQUINA, TESTA E CONTRA-TESTA) E EM ZAMAC (MACANETA, LINGUETA E TRINCOS) COM ACABAMENTO CROMADO, MAQUINA DE 40 MM, INCLUINDO CHAVE TIPO TRANQUETA</t>
  </si>
  <si>
    <t>FECHADURA ROSETA REDONDA PARA PORTA DE BANHEIRO, EM ACO INOX (MAQUINA, TESTA E CONTRA-TESTA) E EM ZAMAC (MACANETA, LINGUETA E TRINCOS) COM ACABAMENTO CROMADO, MAQUINA DE 55 MM, INCLUINDO CHAVE TIPO TRANQUETA</t>
  </si>
  <si>
    <t>FECHADURA ROSETA REDONDA PARA PORTA EXTERNA, EM ACO INOX (MAQUINA, TESTA E CONTRA-TESTA) E EM ZAMAC (MACANETA, LINGUETA E TRINCOS) COM ACABAMENTO CROMADO, MAQUINA DE 40 MM, INCLUINDO CHAVE TIPO CILINDRO</t>
  </si>
  <si>
    <t>FECHADURA ROSETA REDONDA PARA PORTA EXTERNA, EM ACO INOX (MAQUINA, TESTA E CONTRA-TESTA) E EM ZAMAC (MACANETA, LINGUETA E TRINCOS) COM ACABAMENTO CROMADO, MAQUINA DE 55 MM, INCLUINDO CHAVE TIPO CILINDRO</t>
  </si>
  <si>
    <t>FECHADURA ROSETA REDONDA PARA PORTA INTERNA, EM ACO INOX (MAQUINA, TESTA E CONTRA-TESTA) E EM ZAMAC (MACANETA, LINGUETA E TRINCOS) COM ACABAMENTO CROMADO, MAQUINA DE 40 MM, INCLUINDO CHAVE TIPO INTERNA (CONJUNTO DE FECHADURAS)</t>
  </si>
  <si>
    <t>FECHADURA ROSETA REDONDA PARA PORTA INTERNA, EM ACO INOX (MAQUINA, TESTA E CONTRA-TESTA) E EM ZAMAC (MACANETA, LINGUETA E TRINCOS) COM ACABAMENTO CROMADO, MAQUINA DE 55 MM, INCLUINDO CHAVE TIPO INTERNA</t>
  </si>
  <si>
    <t>FECHO / FECHADURA COM PUXADOR CONCHA, COM TRANCA TIPO TRAVA, PARA JANELA / PORTA DE CORRER (INCLUI TESTA, FECHADURA, PUXADOR) - COMPLETA</t>
  </si>
  <si>
    <t>FECHO / TRINCO TIPO AVIAO, EM ZAMAC CROMADO, *60* MM, PARA JANELAS - INCLUI PARAFUSOS</t>
  </si>
  <si>
    <t>FECHO DE SEGURANCA, TIPO BATOM, EM LATAO / ZAMAC, CROMADO, PARA PORTAS E JANELAS - INCLUI PARAFUSOS</t>
  </si>
  <si>
    <t>FECHO QUEBRA UNHA, EM LATAO COM ACABAMENTO CROMADO, DE EMBUTIR, COM COMANDO ALAVANCA, ALTURA DE DE 22 CM, LARGURA MINIMA DE 1,90 CM E ESPESSURA MINIMA DE 1,90 MM, PARA PORTAS E JANELAS (INCLUI PARAFUSOS)</t>
  </si>
  <si>
    <t>FECHO QUEBRA UNHA, EM LATAO COM ACABAMENTO CROMADO, DE EMBUTIR, COM COMANDO ALAVANCA, ALTURA DE DE 40 CM, LARGURA MINIMA DE 1,90 CM E ESPESSURA MINIMA DE 1,90 MM, PARA PORTAS E JANELAS (INCLUI PARAFUSOS)</t>
  </si>
  <si>
    <t>FECHO QUEBRA UNHA, EM LATAO COM ACABAMENTO CROMADO, DE EMBUTIR, COM COMANDO DESLIZANTE, ALTURA DE 12 CM, LARGURA MINIMA DE 1,90 CM E ESPESSURA MINIMA DE 1,90 MM</t>
  </si>
  <si>
    <t>FECHO QUEBRA UNHA, EM LATAO COM ACABAMENTO CROMADO, DE EMBUTIR, COM COMANDO DESLIZANTE, ALTURA DE 22 CM, LARGURA MINIMA DE 1,90 CM E ESPESSURA MINIMA DE 1,90 MM</t>
  </si>
  <si>
    <t>FECHO QUEBRA UNHA, EM LATAO COM ACABAMENTO CROMADO, DE EMBUTIR, COM COMANDO DESLIZANTE, ALTURA DE 40 CM, LARGURA MINIMA DE 1,90 CM E ESPESSURA MINIMA DE 1,90 MM</t>
  </si>
  <si>
    <t>FERRAMENTAS - FAMILIA ALMOXARIFE - HORISTA (ENCARGOS COMPLEMENTARES - COLETADO CAIXA)</t>
  </si>
  <si>
    <t>FERRAMENTAS - FAMILIA ALMOXARIFE - MENSALISTA (ENCARGOS COMPLEMENTARES - COLETADO CAIXA)</t>
  </si>
  <si>
    <t>FERRAMENTAS - FAMILIA CARPINTEIRO DE FORMAS - HORISTA (ENCARGOS COMPLEMENTARES - COLETADO CAIXA)</t>
  </si>
  <si>
    <t>FERRAMENTAS - FAMILIA CARPINTEIRO DE FORMAS - MENSALISTA (ENCARGOS COMPLEMENTARES - COLETADO CAIXA)</t>
  </si>
  <si>
    <t>FERRAMENTAS - FAMILIA ELETRICISTA - HORISTA (ENCARGOS COMPLEMENTARES - COLETADO CAIXA)</t>
  </si>
  <si>
    <t>FERRAMENTAS - FAMILIA ELETRICISTA - MENSALISTA (ENCARGOS COMPLEMENTARES - COLETADO CAIXA)</t>
  </si>
  <si>
    <t>FERRAMENTAS - FAMILIA ENCANADOR - HORISTA (ENCARGOS COMPLEMENTARES - COLETADO CAIXA)</t>
  </si>
  <si>
    <t>FERRAMENTAS - FAMILIA ENCANADOR - MENSALISTA (ENCARGOS COMPLEMENTARES - COLETADO CAIXA)</t>
  </si>
  <si>
    <t>FERRAMENTAS - FAMILIA ENCARREGADO GERAL - HORISTA (ENCARGOS COMPLEMENTARES - COLETADO CAIXA)</t>
  </si>
  <si>
    <t>FERRAMENTAS - FAMILIA ENCARREGADO GERAL - MENSALISTA (ENCARGOS COMPLEMENTARES - COLETADO CAIXA)</t>
  </si>
  <si>
    <t>FERRAMENTAS - FAMILIA ENGENHEIRO CIVIL - HORISTA (ENCARGOS COMPLEMENTARES - COLETADO CAIXA)</t>
  </si>
  <si>
    <t>FERRAMENTAS - FAMILIA ENGENHEIRO CIVIL - MENSALISTA (ENCARGOS COMPLEMENTARES - COLETADO CAIXA)</t>
  </si>
  <si>
    <t>FERRAMENTAS - FAMILIA OPERADOR ESCAVADEIRA - HORISTA (ENCARGOS COMPLEMENTARES - COLETADO CAIXA)</t>
  </si>
  <si>
    <t>FERRAMENTAS - FAMILIA OPERADOR ESCAVADEIRA - MENSALISTA (ENCARGOS COMPLEMENTARES - COLETADO CAIXA)</t>
  </si>
  <si>
    <t>FERRAMENTAS - FAMILIA PEDREIRO - HORISTA (ENCARGOS COMPLEMENTARES - COLETADO CAIXA)</t>
  </si>
  <si>
    <t>FERRAMENTAS - FAMILIA PEDREIRO - MENSALISTA (ENCARGOS COMPLEMENTARES - COLETADO CAIXA)</t>
  </si>
  <si>
    <t>FERRAMENTAS - FAMILIA PINTOR - HORISTA (ENCARGOS COMPLEMENTARES - COLETADO CAIXA)</t>
  </si>
  <si>
    <t>FERRAMENTAS - FAMILIA PINTOR - MENSALISTA (ENCARGOS COMPLEMENTARES - COLETADO CAIXA)</t>
  </si>
  <si>
    <t>FERRAMENTAS - FAMILIA SERVENTE - HORISTA (ENCARGOS COMPLEMENTARES - COLETADO CAIXA)</t>
  </si>
  <si>
    <t>FERRAMENTAS - FAMILIA SERVENTE - MENSALISTA (ENCARGOS COMPLEMENTARES - COLETADO CAIXA)</t>
  </si>
  <si>
    <t>FERRAMENTAS - FAMILIA SOLDADOR - HORISTA (ENCARGOS COMPLEMENTARES - COLETADO CAIXA)</t>
  </si>
  <si>
    <t>FERRAMENTAS - FAMILIA SOLDADOR - MENSALISTA (ENCARGOS COMPLEMENTARES - COLETADO CAIXA)</t>
  </si>
  <si>
    <t>FERRAMENTAS - FAMILIA TOPOGRAFO - HORISTA (ENCARGOS COMPLEMENTARES - COLETADO CAIXA)</t>
  </si>
  <si>
    <t>FERRAMENTAS - FAMILIA TOPOGRAFO - MENSALISTA (ENCARGOS COMPLEMENTARES - COLETADO CAIXA)</t>
  </si>
  <si>
    <t>FERROLHO COM FECHO / TRINCO REDONDO, EM ACO GALVANIZADO / ZINCADO, DE SOBREPOR, COM COMPRIMENTO DE 2" E ESPESSURA MINIMA DA CHAPA DE 0,90 MM, PARA PORTAS E JANELAS</t>
  </si>
  <si>
    <t>FERROLHO COM FECHO / TRINCO REDONDO, EM ACO GALVANIZADO / ZINCADO, DE SOBREPOR, COM COMPRIMENTO DE 3" A 4" E ESPESSURA MINIMA DA CHAPA DE 0,90 MM</t>
  </si>
  <si>
    <t>FERROLHO COM FECHO / TRINCO REDONDO, EM ACO GALVANIZADO / ZINCADO, DE SOBREPOR, COM COMPRIMENTO DE 5" E ESPESSURA MINIMA DA CHAPA DE 0,90 MM</t>
  </si>
  <si>
    <t>FERROLHO COM FECHO / TRINCO REDONDO, EM ACO GALVANIZADO / ZINCADO, DE SOBREPOR, COM COMPRIMENTO DE 6" E ESPESSURA MINIMA DA CHAPA DE 1,50 MM</t>
  </si>
  <si>
    <t>FERROLHO COM FECHO / TRINCO REDONDO, EM ACO GALVANIZADO / ZINCADO, DE SOBREPOR, COM COMPRIMENTO DE 8" E ESPESSURA MINIMA DA CHAPA DE 1,50 MM</t>
  </si>
  <si>
    <t>FERROLHO COM FECHO /TRINCO REDONDO, EM ACO GALVANIZADO / ZINCADO, DE SOBREPOR, COM COMPRIMENTO DE 10" A 12" E ESPESSURA MINIMA DA CHAPA DE 1,50 MM</t>
  </si>
  <si>
    <t>FERROLHO COM FECHO CHATO E PORTA CADEADO, EM ACO GALVANIZADO / ZINCADO, DE SOBREPOR, COM COMPRIMENTO DE 3" A 4", CHAPA COM ESPESSURA MINIMA DE 0,90 MM E LARGURA MINIMA DE 3,20 CM (FECHO SIMPLES / LEVE) (INCLUI PARAFUSOS)</t>
  </si>
  <si>
    <t>FERROLHO COM FECHO CHATO E PORTA CADEADO, EM ACO GALVANIZADO / ZINCADO, DE SOBREPOR, COM COMPRIMENTO DE 3" A 4", CHAPA COM ESPESSURA MINIMA DE 1,70 MM E LARGURA MINIMA DE 5,00 CM (FECHO REFORCADO)</t>
  </si>
  <si>
    <t>FERROLHO COM FECHO CHATO E PORTA CADEADO, EM ACO GALVANIZADO / ZINCADO, DE SOBREPOR, COM COMPRIMENTO DE 5", CHAPA COM ESPESSURA MINIMA DE 0,90 MM E LARGURA MINIMA DE 3,20 CM (FECHO SIMPLES)</t>
  </si>
  <si>
    <t>FERROLHO COM FECHO CHATO E PORTA CADEADO, EM ACO GALVANIZADO / ZINCADO, DE SOBREPOR, COM COMPRIMENTO DE 5", CHAPA COM ESPESSURA MINIMA DE 1,70 MM E LARGURA MINIMA DE 5,00 CM (FECHO REFORCADO)</t>
  </si>
  <si>
    <t>FERROLHO COM FECHO CHATO E PORTA CADEADO, EM ACO GALVANIZADO / ZINCADO, DE SOBREPOR, COM COMPRIMENTO DE 6", CHAPA COM ESPESSURA MINIMA DE 0,90 MM E LARGURA MINIMA DE 3,80 CM (FECHO SIMPLES)</t>
  </si>
  <si>
    <t>FERROLHO COM FECHO CHATO E PORTA CADEADO, EM ACO GALVANIZADO / ZINCADO, DE SOBREPOR, COM COMPRIMENTO DE 6", CHAPA COM ESPESSURA MINIMA DE 1,70 MM E LARGURA /MINIMA DE 5,00 CM (FECHO REFORCADO) (INCLUI PARAFUSOS)</t>
  </si>
  <si>
    <t>FERTILIZANTE NPK - 4: 14: 8</t>
  </si>
  <si>
    <t>FERTILIZANTE ORGANICO COMPOSTO, CLASSE A</t>
  </si>
  <si>
    <t>FIBRA DE ACO PARA REFORCO DO CONCRETO, SOLTA, TIPO A-I, FATOR DE FORMA *50* L / D, COMPRIMENTO DE *30* MM E RESISTENCIA A TRACAO DO ACO MAIOR 1000 MPA</t>
  </si>
  <si>
    <t>FILTRO ANAEROBIO, EM POLIETILENO DE ALTA DENSIDADE (PEAD), CAPACIDADE *1100* LITROS (NBR 13969)</t>
  </si>
  <si>
    <t>FILTRO ANAEROBIO, EM POLIETILENO DE ALTA DENSIDADE (PEAD), CAPACIDADE *2800* LITROS (NBR 13969)</t>
  </si>
  <si>
    <t>FILTRO ANAEROBIO, EM POLIETILENO DE ALTA DENSIDADE (PEAD), CAPACIDADE *5000* LITROS (NBR 13969)</t>
  </si>
  <si>
    <t>FINCAPINO CURTO CALIBRE 22, CARGA MEDIA POTENCIA 5 (PARA FERRAMENTA DE ACAO DIRETA) COR VERMELHA</t>
  </si>
  <si>
    <t>CENTO</t>
  </si>
  <si>
    <t>FINCAPINO LONGO CALIBRE 22, CARGA FORTE POTENCIA 7 (PARA FERRAMENTA DE ACAO DIRETA), COR AMARELA</t>
  </si>
  <si>
    <t>FIO DE COBRE, SOLIDO, CLASSE 1, ISOLACAO EM PVC/A, ANTICHAMA BWF-B, 450/750V, SECAO NOMINAL 1,5 MM2</t>
  </si>
  <si>
    <t>FIO DE COBRE, SOLIDO, CLASSE 1, ISOLACAO EM PVC/A, ANTICHAMA BWF-B, 450/750V, SECAO NOMINAL 10 MM2</t>
  </si>
  <si>
    <t>FIO DE COBRE, SOLIDO, CLASSE 1, ISOLACAO EM PVC/A, ANTICHAMA BWF-B, 450/750V, SECAO NOMINAL 2,5 MM2</t>
  </si>
  <si>
    <t>FIO DE COBRE, SOLIDO, CLASSE 1, ISOLACAO EM PVC/A, ANTICHAMA BWF-B, 450/750V, SECAO NOMINAL 4 MM2</t>
  </si>
  <si>
    <t>FIO DE COBRE, SOLIDO, CLASSE 1, ISOLACAO EM PVC/A, ANTICHAMA BWF-B, 450/750V, SECAO NOMINAL 6 MM2</t>
  </si>
  <si>
    <t>FITA / CINTA AUTOADESIVA ELASTOMERICA PARA VEDACAO, L= 50 MM, E = 3 MM</t>
  </si>
  <si>
    <t>FITA ACO INOX PARA CINTAR POSTE, L = 19 MM, E = 0,5 MM (ROLO DE 30M)</t>
  </si>
  <si>
    <t>FITA ADESIVA ALUMINIZADA, PARA INSTALACAO DE MANTAS DE SUBCOBERTURA, L = *5* CM</t>
  </si>
  <si>
    <t>FITA ADESIVA ANTICORROSIVA DE PVC FLEXIVEL, COR PRETA, PARA PROTECAO TUBULACAO, 50 MM X 30 M (L X C), E= *0,25* MM</t>
  </si>
  <si>
    <t>FITA ADESIVA ASFALTICA ALUMINIZADA MULTIUSO, L = 10 CM, ROLO DE 10 M</t>
  </si>
  <si>
    <t>FITA CREPE ROLO DE *25* MM X 50 M</t>
  </si>
  <si>
    <t>FITA DE PAPEL MICROPERFURADO, 50 X 150 MM, PARA TRATAMENTO DE JUNTAS DE CHAPA DE GESSO PARA DRYWALL</t>
  </si>
  <si>
    <t>FITA DE PAPEL REFORCADA COM LAMINA DE METAL PARA REFORCO DE CANTOS DE CHAPA DE GESSO PARA DRYWALL</t>
  </si>
  <si>
    <t>FITA ISOLANTE ADESIVA ANTICHAMA, USO ATE 750 V, EM ROLO DE 19 MM X 20 M</t>
  </si>
  <si>
    <t>FITA ISOLANTE ADESIVA ANTICHAMA, USO ATE 750 V, EM ROLO DE 19 MM X 5 M</t>
  </si>
  <si>
    <t>FITA ISOLANTE DE BORRACHA AUTOFUSAO, USO ATE 69 KV (ALTA TENSAO), LARGURA DE 19 MM</t>
  </si>
  <si>
    <t>FITA METALICA GRAVADA, L = 17 MM, ROLO DE 25 M, CARGA RECOMENDADA = *120* KGF</t>
  </si>
  <si>
    <t>FITA METALICA PERFURADA, L = *18* MM, ROLO DE 30 M, CARGA RECOMENDADA = *30* KGF</t>
  </si>
  <si>
    <t>FITA METALICA PERFURADA, L = 17 MM, ROLO DE 30 M, CARGA RECOMENDADA = *19* KGF</t>
  </si>
  <si>
    <t>FITA METALICA PERFURADA, L = 25 MM, ROLO DE 30 M, CARGA RECOMENDADA = *222,5* KGF</t>
  </si>
  <si>
    <t>FITA VEDA ROSCA, EM PTFE, ROLO DE 18 MM X 10 M (L X C)</t>
  </si>
  <si>
    <t>FITA VEDA ROSCA, EM PTFE, ROLO DE 18 MM X 50 M (L X C)</t>
  </si>
  <si>
    <t>FIXADOR DE ABA AUTOTRAVANTE PARA TELHA DE FIBROCIMENTO, TIPO CANALETE 90 OU KALHETAO</t>
  </si>
  <si>
    <t>FIXADOR DE ABA SIMPLES PARA TELHA DE FIBROCIMENTO, TIPO CANALETA 49 OU KALHETA</t>
  </si>
  <si>
    <t>FIXADOR DE ABA SIMPLES PARA TELHA DE FIBROCIMENTO, TIPO CANALETA 90 OU KALHETAO</t>
  </si>
  <si>
    <t>FLANELA *30 X 40* CM</t>
  </si>
  <si>
    <t>FLANGE SEXTAVADO DE FERRO GALVANIZADO, COM ROSCA BSP, DE 1 1/2"</t>
  </si>
  <si>
    <t>FLANGE SEXTAVADO DE FERRO GALVANIZADO, COM ROSCA BSP, DE 1 1/4"</t>
  </si>
  <si>
    <t>FLANGE SEXTAVADO DE FERRO GALVANIZADO, COM ROSCA BSP, DE 1"</t>
  </si>
  <si>
    <t>FLANGE SEXTAVADO DE FERRO GALVANIZADO, COM ROSCA BSP, DE 1/2"</t>
  </si>
  <si>
    <t>FLANGE SEXTAVADO DE FERRO GALVANIZADO, COM ROSCA BSP, DE 2 1/2"</t>
  </si>
  <si>
    <t>FLANGE SEXTAVADO DE FERRO GALVANIZADO, COM ROSCA BSP, DE 2"</t>
  </si>
  <si>
    <t>FLANGE SEXTAVADO DE FERRO GALVANIZADO, COM ROSCA BSP, DE 3"</t>
  </si>
  <si>
    <t>FLANGE SEXTAVADO DE FERRO GALVANIZADO, COM ROSCA BSP, DE 3/4"</t>
  </si>
  <si>
    <t>FLANGE SEXTAVADO DE FERRO GALVANIZADO, COM ROSCA BSP, DE 4"</t>
  </si>
  <si>
    <t>FLANGE SEXTAVADO DE FERRO GALVANIZADO, COM ROSCA BSP, DE 6"</t>
  </si>
  <si>
    <t>FORRO COMPOSTO POR PAINEIS DE LA DE VIDRO, REVESTIDOS EM PVC MICROPERFURADO, DE *1250 X 625* MM, ESPESSURA 15 MM (COM COLOCACAO)</t>
  </si>
  <si>
    <t>FORRO DE FIBRA MINERAL EM PLACAS DE 1250 X 625 MM, E = 15 MM, BORDA RETA, COM PINTURA ANTIMOFO, APOIADO EM PERFIL DE ACO GALVANIZADO COM 24 MM DE BASE - INSTALADO</t>
  </si>
  <si>
    <t>FORRO DE FIBRA MINERAL EM PLACAS DE 625 X 625 MM, E = 15 MM, BORDA RETA, COM PINTURA ANTIMOFO, APOIADO EM PERFIL DE ACO GALVANIZADO COM 24 MM DE BASE - INSTALADO</t>
  </si>
  <si>
    <t>FORRO DE FIBRA MINERAL EM PLACAS DE 625 X 625 MM, E = 15/16 MM, BORDA REBAIXADA, COM PINTURA ANTIMOFO, APOIADO EM PERFIL DE ACO GALVANIZADO COM 24 MM DE BASE - INSTALADO</t>
  </si>
  <si>
    <t>FORRO DE MADEIRA CEDRINHO OU EQUIVALENTE DA REGIAO, ENCAIXE MACHO/FEMEA COM FRISO, *10 X 1* CM (SEM COLOCACAO)</t>
  </si>
  <si>
    <t>FORRO DE MADEIRA CUMARU/IPE CHAMPANHE OU EQUIVALENTE DA REGIAO, ENCAIXE MACHO/FEMEA COM FRISO, *10 X 1* CM (SEM COLOCACAO)</t>
  </si>
  <si>
    <t>FORRO DE MADEIRA PINUS OU EQUIVALENTE DA REGIAO, ENCAIXE MACHO/FEMEA COM FRISO, *10 X 1* CM (SEM COLOCACAO)</t>
  </si>
  <si>
    <t>FORRO DE PVC LISO, BRANCO, REGUA DE 10 CM, ESPESSURA APROXIMADA DE 8 MM (COM COLOCACAO / SEM ESTRUTURA METALICA)</t>
  </si>
  <si>
    <t>FORRO DE PVC LISO, BRANCO, REGUA DE 20 CM, ESPESSURA APROXIMADA DE 8 MM, COMPRIMENTO 6 M (SEM COLOCACAO)</t>
  </si>
  <si>
    <t>FORRO DE PVC, FRISADO, BRANCO, REGUA DE 10 CM, ESPESSURA APROXIMADA DE 8 MM E COMPRIMENTO 6 M (SEM COLOCACAO)</t>
  </si>
  <si>
    <t>FORRO DE PVC, FRISADO, BRANCO, REGUA DE 20 CM, ESPESSURA APROXIMADA DE 8 MM E COMPRIMENTO 6 M (SEM COLOCACAO)</t>
  </si>
  <si>
    <t>FOSSA SEPTICA, SEM FILTRO, EM POLIETILENO DE ALTA DENSIDADE (PEAD), PARA 15 A 30 CONTRIBUINTES, CILINDRICA, COM TAMPA, CAPACIDADE APROXIMADA DE *5500* LITROS (NBR 7229)</t>
  </si>
  <si>
    <t>FOSSA SEPTICA, SEM FILTRO, EM POLIETILENO DE ALTA DENSIDADE (PEAD), PARA 4 A 7 CONTRIBUINTES, CILINDRICA, COM TAMPA, CAPACIDADE APROXIMADA DE *1100* LITROS (NBR 7229)</t>
  </si>
  <si>
    <t>FOSSA SEPTICA, SEM FILTRO, EM POLIETILENO DE ALTA DENSIDADE (PEAD), PARA 8 A 14 CONTRIBUINTES, CILINDRICA, COM TAMPA, CAPACIDADE APROXIMADA DE *3000* LITROS (NBR 7229)</t>
  </si>
  <si>
    <t>FOSSA SEPTICA,SEM FILTRO, EM POLIETILENO DE ALTA DENSIDADE (PEAD), PARA 40 A 52 CONTRIBUINTES, CILINDRICA, COM TAMPA, CAPACIDADE APROXIMADA DE *10000* LITROS (NBR 7229)</t>
  </si>
  <si>
    <t>FRESADORA DE ASFALTO A FRIO SOBRE ESTEIRAS, LARG. FRESAGEM 2,00 M, POT. 410 KW/550 HP</t>
  </si>
  <si>
    <t>FRESADORA DE ASFALTO A FRIO SOBRE RODAS, LARG. FRESAGEM 1,00 M, POT. 155 KW/208 HP</t>
  </si>
  <si>
    <t>FUNDO ANTICORROSIVO PARA METAIS FERROSOS (ZARCAO)</t>
  </si>
  <si>
    <t>FUNDO PREPARADOR ACRILICO BASE AGUA</t>
  </si>
  <si>
    <t>FUNDO SINTETICO NIVELADOR BRANCO FOSCO PARA MADEIRA</t>
  </si>
  <si>
    <t>FURO PARA TORNEIRA OU OUTROS ACESSORIOS EM BANCADA DE MARMORE/ GRANITO OU OUTRO TIPO DE PEDRA NATURAL</t>
  </si>
  <si>
    <t>GABIAO MANTA (COLCHAO) MALHA HEXAGONAL 6 X 8 CM (ZN/AL REVESTIDO COM POLIMERO), DIMENSOES 4,0 X 2,0 X 0,17 M (C X L X A) FIO 2 MM</t>
  </si>
  <si>
    <t>GABIAO MANTA (COLCHAO) MALHA HEXAGONAL 6 X 8 CM (ZN/AL REVESTIDO COM POLIMERO), FIO 2 MM, DIMENSOES 4,0 X 2,0 X 0,23 M (C X L X A)</t>
  </si>
  <si>
    <t>GABIAO MANTA (COLCHAO) MALHA HEXAGONAL 6 X 8 CM (ZN/AL REVESTIDO COM POLIMERO), FIO 2 MM, DIMENSOES 4,0 X 2,0 X 0,3 M (C X L X A)</t>
  </si>
  <si>
    <t>GABIAO MANTA (COLCHAO) MALHA HEXAGONAL 6 X 8 CM (ZN/AL REVESTIDO COM POLIMERO), FIO 2,0 MM, DIMENSOES 5,0 X 2,0 X 0,17 M (C X L X A)</t>
  </si>
  <si>
    <t>GABIAO MANTA (COLCHAO) MALHA HEXAGONAL 6 X 8 CM (ZN/AL REVESTIDO COM POLIMERO), FIO 2,0 MM, DIMENSOES 5,0 X 2,0 X 0,23 M (C X L X A)</t>
  </si>
  <si>
    <t>GABIAO MANTA (COLCHAO) MALHA HEXAGONAL 6 X 8 CM (ZN/AL REVESTIDO COM POLIMERO), FIO 2,0 MM, DIMENSOES 5,0 X 2,0 X 0,30 M (C X L X A)</t>
  </si>
  <si>
    <t>GABIAO SACO MALHA HEXAGONAL 8 X 10 CM (ZN/AL REVESTIDO COM POLIMERO), FIO 2,4 MM, DIMENSOES 3,0 X 0,65 M</t>
  </si>
  <si>
    <t>GABIAO SACO MALHA HEXAGONAL 8 X 10 CM (ZN/AL REVESTIDO COM POLIMERO), FIO 2,4 MM, H = 0,65 M</t>
  </si>
  <si>
    <t>GABIAO SACO MALHA HEXAGONAL 8 X 10 CM (ZN/AL), FIO 2,7 MM, DIMENSOES 4,0 X 0,65 M</t>
  </si>
  <si>
    <t>GABIAO TIPO CAIXA MALHA HEXAGONAL 8 X 10 CM (ZN/AL REVESTIDO COM POLIMERO), FIO 2,4 MM, DIMENSOES 2,0 X 1,0 X 1,0 M (C X L X A)</t>
  </si>
  <si>
    <t>GABIAO TIPO CAIXA MALHA HEXAGONAL 8 X 10 CM (ZN/AL REVESTIDO COM POLIMERO), FIO 2,4 MM, H = 0,50 M</t>
  </si>
  <si>
    <t>GABIAO TIPO CAIXA MALHA HEXAGONAL 8 X 10 CM (ZN/AL), FIO 2,7 MM, DIMENSOES 2,0 X 1,0 X 1,0 M (C X L X A)</t>
  </si>
  <si>
    <t>GABIAO TIPO CAIXA MALHA HEXAGONAL 8 X 10 CM (ZN/AL), FIO 2,7 MM, H = 0,50 M</t>
  </si>
  <si>
    <t>GABIAO TIPO CAIXA PARA SOLO REFORCADO, MALHA HEXAGONAL 8 X 10 CM (ZN/AL REVESTIDO COM POLIMERO), FIO 2,7 MM, DIMENSOES 2,0 X 1,0 X 0,5 M, COM CAUDA DE 4,0 M</t>
  </si>
  <si>
    <t>GABIAO TIPO CAIXA PARA SOLO REFORCADO, MALHA HEXAGONAL 8 X 10 CM (ZN/AL REVESTIDO COM POLIMERO), FIO 2,7 MM, DIMENSOES 2,0 X 1,0 X 1,0 M, COM CAUDA DE 4,0 M</t>
  </si>
  <si>
    <t>GABIAO TIPO CAIXA PARA SOLO REFORCADO, MALHA HEXAGONAL DE DUPLA TORCAO 8 X 10 CM (ZN/AL REVESTIDO COM POLIMERO), FIO 2,7 MM, DIMENSOES 2,0 X 1,0 X 0,5 M, COM CAUDA DE 3,0 M</t>
  </si>
  <si>
    <t>GABIAO TIPO CAIXA PARA SOLO REFORCADO, MALHA HEXAGONAL DE DUPLA TORCAO 8 X 10 CM (ZN/AL REVESTIDO COM POLIMERO), FIO 2,7 MM, DIMENSOES 2,0 X 1,0 X 1,0 M, COM CAUDA DE 3,0 M</t>
  </si>
  <si>
    <t>GABIAO TIPO CAIXA PARA SOLO REFORCADO, MALHA HEXAGONAL DE DUPLA TORCAO 8 X 10 CM (ZN/AL REVESTIDO COM POLIMERO), FIO 2,7 MM, DIMENSOES 2,0 X 1,0 X 1,0 M, COM CAUDA DE 4,0 M</t>
  </si>
  <si>
    <t>GABIAO TIPO CAIXA TRAPEZOIDAL, MALHA HEXAGONAL 10 X 12 CM (ZN/AL REVESTIDO COM POLIMERO) FIO 2,7 MM, FACE COM 65 GRAUS, COM GEOSSINTETICO, DIMENSOES 2,0 X 1,5 X 1,0 M (C X L X A)</t>
  </si>
  <si>
    <t>GABIAO TIPO CAIXA, MALHA HEXAGONAL 8 X 10 CM (ZN/AL REVESTIDO COM POLIMERO), FIO 2,4 MM, DIMENSOES 2,0 X 1,0 X 0,5 M (C X L X A)</t>
  </si>
  <si>
    <t>GABIAO TIPO CAIXA, MALHA HEXAGONAL 8 X 10 CM (ZN/AL REVESTIDO COM POLIMERO), FIO DE 2,4 MM, DIMENSOES 2,0 X 1,0 X 1,0 M (C X L X A)</t>
  </si>
  <si>
    <t>GABIAO TIPO CAIXA, MALHA HEXAGONAL 8 X 10 CM (ZN/AL), FIO 2,7 MM, DIMENSOES 2,0 X 1,0 X 0,5 M (C X L X A)</t>
  </si>
  <si>
    <t>GABIAO TIPO CAIXA, MALHA HEXAGONAL 8 X 10 CM (ZN/AL), FIO DE 2,7 MM, DIMENSOES 2,0 X 1,0 X 1,0 M (C X L X A)</t>
  </si>
  <si>
    <t>GABIAO TIPO CAIXA, MALHA HEXAGONAL 8 X 10 CM (ZN/AL), FIO DE 2,7 MM, DIMENSOES 5,0 X 1,0 X 1,0 M (C X L X A)</t>
  </si>
  <si>
    <t>GANCHO CHATO EM ACO GALVANIZADO, L = 110 MM, RECOBRIMENTO = 100MM, SECAO 1/8 X 1/2" (3 MM X 12 MM), PARA FIXAR TELHA DE FIBROCIMENTO ONDULADA</t>
  </si>
  <si>
    <t>GANCHO OLHAL EM ACO GALVANIZADO, ESPESSURA 16MM, ABERTURA 21MM</t>
  </si>
  <si>
    <t>GAS DE COZINHA - GLP</t>
  </si>
  <si>
    <t>GASOLINA COMUM</t>
  </si>
  <si>
    <t>GEOGRELHA TECIDA COM FILAMENTOS DE POLIESTER + PVC, RESISTENCIA LONGITUDINAL: 90 KN/M, RESISTENCIA TRANSVERSAL: 30 KN/M, ALONGAMENTO = 12 POR CENTO</t>
  </si>
  <si>
    <t>GEOTEXTIL NAO TECIDO AGULHADO DE FILAMENTOS CONTINUOS 100% POLIESTER, RESITENCIA A TRACAO = 09 KN/M</t>
  </si>
  <si>
    <t>GEOTEXTIL NAO TECIDO AGULHADO DE FILAMENTOS CONTINUOS 100% POLIESTER, RESITENCIA A TRACAO = 10 KN/M</t>
  </si>
  <si>
    <t>GEOTEXTIL NAO TECIDO AGULHADO DE FILAMENTOS CONTINUOS 100% POLIESTER, RESITENCIA A TRACAO = 14 KN/M</t>
  </si>
  <si>
    <t>GEOTEXTIL NAO TECIDO AGULHADO DE FILAMENTOS CONTINUOS 100% POLIESTER, RESITENCIA A TRACAO = 16 KN/M</t>
  </si>
  <si>
    <t>GEOTEXTIL NAO TECIDO AGULHADO DE FILAMENTOS CONTINUOS 100% POLIESTER, RESITENCIA A TRACAO = 21 KN/M</t>
  </si>
  <si>
    <t>GEOTEXTIL NAO TECIDO AGULHADO DE FILAMENTOS CONTINUOS 100% POLIESTER, RESITENCIA A TRACAO = 26 KN/M</t>
  </si>
  <si>
    <t>GEOTEXTIL NAO TECIDO AGULHADO DE FILAMENTOS CONTINUOS 100% POLIESTER, RESITENCIA A TRACAO = 31 KN/M</t>
  </si>
  <si>
    <t>GERADOR PORTATIL MONOFASICO, POTENCIA 5500 VA, MOTOR A GASOLINA, POTENCIA DO MOTOR 13 CV</t>
  </si>
  <si>
    <t>GESSEIRO (HORISTA)</t>
  </si>
  <si>
    <t>GESSEIRO (MENSALISTA)</t>
  </si>
  <si>
    <t>GESSO COLA, EM PO, PARA FIXACAO DE MOLDURAS, SANCAS E BLOCOS DE GESSO</t>
  </si>
  <si>
    <t>GESSO EM PO PARA REVESTIMENTOS/MOLDURAS/SANCAS E USO GERAL</t>
  </si>
  <si>
    <t>GESSO PROJETADO</t>
  </si>
  <si>
    <t>GONZO DE EMBUTIR, EM LATAO / ZAMAC, *20 X 48* MM, PARA JANELA BASCULANTE / PIVOTANTE, JOGO COM 4 PECAS (PAR) - INCLUI PARAFUSOS</t>
  </si>
  <si>
    <t>GONZO DE SOBREPOR, EM LATAO / ZAMAC, PARA JANELA PIVOTANTE - INCLUI PARAFUSOS</t>
  </si>
  <si>
    <t>GRADE DE DISCOS COM CONTROLE REMOTO, REBOCAVEL, COM 24 DISCOS 24" X 6 MM, COM PNEUS PARA TRANSPORTE</t>
  </si>
  <si>
    <t>GRADE DE DISCOS MECANICA 20X24" COM 20 DISCOS 24" X 6MM COM PNEUS PARA TRANSPORTE</t>
  </si>
  <si>
    <t>GRAMA BATATAIS EM PLACAS, SEM PLANTIO</t>
  </si>
  <si>
    <t>GRAMA ESMERALDA OU SAO CARLOS OU CURITIBANA, EM PLACAS, SEM PLANTIO</t>
  </si>
  <si>
    <t>GRAMPO DE ACO POLIDO 1" X 9</t>
  </si>
  <si>
    <t>GRAMPO DE ACO POLIDO 7/8" X 9</t>
  </si>
  <si>
    <t>GRAMPO LINHA VIVA DE LATAO ESTANHADO, DIAMETRO DO CONDUTOR PRINCIPAL DE 10 A 120 MM2, DIAMETRO DA DERIVACAO DE 10 A 70 MM2</t>
  </si>
  <si>
    <t>GRAMPO METALICO TIPO OLHAL PARA HASTE DE ATERRAMENTO DE 1", CONDUTOR DE *10* A 50 MM2</t>
  </si>
  <si>
    <t>GRAMPO METALICO TIPO OLHAL PARA HASTE DE ATERRAMENTO DE 1/2", CONDUTOR DE *10* A 50 MM2</t>
  </si>
  <si>
    <t>GRAMPO METALICO TIPO OLHAL PARA HASTE DE ATERRAMENTO DE 3/4", CONDUTOR DE *10* A 50 MM2</t>
  </si>
  <si>
    <t>GRAMPO METALICO TIPO OLHAL PARA HASTE DE ATERRAMENTO DE 5/8", CONDUTOR DE *10* A 50 MM2</t>
  </si>
  <si>
    <t>GRAMPO METALICO TIPO U PARA HASTE DE ATERRAMENTO DE ATE 3/4", CONDUTOR DE 10 A 25 MM2</t>
  </si>
  <si>
    <t>GRAMPO METALICO TIPO U PARA HASTE DE ATERRAMENTO DE ATE 5/8", CONDUTOR DE 10 A 25 MM2</t>
  </si>
  <si>
    <t>GRAMPO PARALELO METALICO PARA CABO DE 6 A 50 MM2, COM 2 PARAFUSOS</t>
  </si>
  <si>
    <t>GRAMPO U DE 5/8" N8 EM ACO GALVANIZADO</t>
  </si>
  <si>
    <t>GRANALHA DE ACO, ANGULAR (GRIT), PARA JATEAMENTO, PENEIRA 0,117 A 1,00 MM, (SAE G-40 A G-80)</t>
  </si>
  <si>
    <t>GRANALHA DE ACO, ANGULAR (GRIT), PARA JATEAMENTO, PENEIRA 1,41 A 1,19 MM (SAE G16)</t>
  </si>
  <si>
    <t>GRANALHA DE ACO, ESFERICA (SHOT), PARA JATEAMENTO, PENEIRA 0,40 A 1,00 MM (SAE S-170 A S-280)</t>
  </si>
  <si>
    <t>GRANILHA/ GRANA/ PEDRISCO OU AGREGADO EM MARMORE/ GRANITO/ QUARTZO E CALCARIO, PRETO, CINZA, PALHA OU BRANCO</t>
  </si>
  <si>
    <t>GRANITO PARA BANCADA, POLIDO, TIPO ANDORINHA/ QUARTZ/ CASTELO/ CORUMBA OU OUTROS EQUIVALENTES DA REGIAO, E= *2,5* CM</t>
  </si>
  <si>
    <t>GRAUTE CIMENTICIO PARA USO GERAL</t>
  </si>
  <si>
    <t>GRAXA LUBRIFICANTE A BASE DE LITIO, DE MULTIPLAS APLICACOES E CONTENDO ADITIVOS DE EXTREMA PRESSAO (GRAU DE VISCOSIDADE NLGI 2)</t>
  </si>
  <si>
    <t>GRELHA FIXA, EM PVC BRANCA, QUADRADA, 150 X 150 MM, PARA RALOS E CAIXAS</t>
  </si>
  <si>
    <t>GRELHA FIXA, PVC CROMADA, REDONDA, 150 MM, PARA RALOS E CAIXAS</t>
  </si>
  <si>
    <t>GRELHA FOFO ARTICULADA, CARGA MAXIMA 1,5 T, *300 X 1000* MM, E= *15* MM</t>
  </si>
  <si>
    <t>GRELHA FOFO SIMPLES COM REQUADRO, CARGA MAXIMA 1,5 T, 150 X 1000 MM, E= *15* MM</t>
  </si>
  <si>
    <t>GRELHA FOFO SIMPLES COM REQUADRO, CARGA MAXIMA 1,5 T, 200 X 1000 MM, E= *15* MM</t>
  </si>
  <si>
    <t>GRELHA FOFO SIMPLES COM REQUADRO, CARGA MAXIMA 12,5 T, *300 X 1000* MM, E= *15* MM, AREA ESTACIONAMENTO CARRO PASSEIO</t>
  </si>
  <si>
    <t>GRUA ASCENCIONAL, LANCA DE 30 M, CAPACIDADE DE 1,0 T A 30 M, ALTURA ATE 39 M</t>
  </si>
  <si>
    <t>GRUA ASCENCIONAL, LANCA DE 42 M, CAPACIDADE DE 1,5 T A 30 M, ALTURA ATE 39 M</t>
  </si>
  <si>
    <t>GRUPO GERADOR DE SOLDA ELETRICA, COM MAQUINA DE SOLDA, ATE 400 AMPERES E GERADOR A DIESEL 60 CV, MOTOR 4 CILINDROS, TANQUE COMBUST., CARENAGEM DE PROTECAO SOBRE RODAS</t>
  </si>
  <si>
    <t>GRUPO GERADOR DIESEL, COM CARENAGEM, POTENCIA STANDART ENTRE 250 E 260 KVA, VELOCIDADE DE 1800 RPM, FREQUENCIA DE 60 HZ</t>
  </si>
  <si>
    <t>GRUPO GERADOR DIESEL, SEM CARENAGEM, POTENCIA STANDART ENTRE 80 E 90 KVA, VELOCIDADE DE 1800 RPM, FREQUENCIA DE 60 HZ</t>
  </si>
  <si>
    <t>GRUPO GERADOR ESTACIONARIO, MOTOR DIESEL POTENCIA 170 KVA</t>
  </si>
  <si>
    <t>GRUPO GERADOR ESTACIONARIO, POTENCIA 150 KVA, MOTOR DIESEL</t>
  </si>
  <si>
    <t>GRUPO GERADOR REBOCAVEL, POTENCIA *66* KVA, MOTOR A DIESEL</t>
  </si>
  <si>
    <t>GUARNICAO / ALIZAR / VISTA LISA EM MADEIRA MACICA, PARA PORTA, E = *1* CM, L = *5* CM, CEDRINHO / ANGELIM COMERCIAL / TAURI/ CURUPIXA / PEROBA / CUMARU OU EQUIVALENTE DA REGIAO</t>
  </si>
  <si>
    <t>GUARNICAO / ALIZAR / VISTA LISA EM MADEIRA MACICA, PARA PORTA, E = *1* CM, L = *5* CM, PINUS /EUCALIPTO / VIROLA OU EQUIVALENTE DA REGIAO</t>
  </si>
  <si>
    <t>GUARNICAO / ALIZAR / VISTA, E = *1,5* CM, L = *5,0* CM, EM POLIESTIRENO, BRANCO (JOGO PARA 1 FACE)</t>
  </si>
  <si>
    <t>GUARNICAO / MOLDURA / ARREMATE DE ACABAMENTO PARA ESQUADRIA, EM ALUMINIO PERFIL 25, ACABAMENTO ANODIZADO BRANCO OU BRILHANTE, PARA 1 FACE</t>
  </si>
  <si>
    <t>GUARNICAO/ALIZAR/VISTA, E = *1,3* CM, L = *5,0* CM HASTE REGULAVEL = *35* MM, EM MDF/PVC WOOD/ POLIESTIRENO OU MADEIRA LAMINADA, PRIMER BRANCO (JOGO PARA 1 FACE)</t>
  </si>
  <si>
    <t>GUARNICAO/ALIZAR/VISTA, E = *1,3* CM, L = *7,0* CM, EM POLIESTIRENO, BRANCO (JOGO PARA 1 FACE)</t>
  </si>
  <si>
    <t>GUINCHO ELETRICO DE COLUNA, CAPACIDADE 400 KG, COM MOTO FREIO, MOTOR TRIFASICO DE 1,25 CV</t>
  </si>
  <si>
    <t>GUINDAUTO HIDRAULICO, CAPACIDADE MAXIMA DE CARGA 14340 KG, MOMENTO MAXIMO DE CARGA 42,3 TM, ALCANCE MAXIMO HORIZONTAL 16,80 M, PARA MONTAGEM SOBRE CHASSI DE CAMINHAO PBT MINIMO 23000 KG (INCLUI MONTAGEM, NAO INCLUI CAMINHAO)</t>
  </si>
  <si>
    <t>GUINDAUTO HIDRAULICO, CAPACIDADE MAXIMA DE CARGA 3300 KG, MOMENTO MAXIMO DE CARGA 5,8 TM, ALCANCE MAXIMO HORIZONTAL 7,60 M, PARA MONTAGEM SOBRE CHASSI DE CAMINHAO PBT MINIMO 8000 KG (INCLUI MONTAGEM, NAO INCLUI CAMINHAO)</t>
  </si>
  <si>
    <t>GUINDAUTO HIDRAULICO, CAPACIDADE MAXIMA DE CARGA 6200 KG, MOMENTO MAXIMO DE CARGA 11,7 TM, ALCANCE MAXIMO HORIZONTAL 9,70 M, PARA MONTAGEM SOBRE CHASSI DE CAMINHAO PBT MINIMO 13000 KG (INCLUI MONTAGEM, NAO INCLUI CAMINHAO)</t>
  </si>
  <si>
    <t>GUINDAUTO HIDRAULICO, CAPACIDADE MAXIMA DE CARGA 8500 KG, MOMENTO MAXIMO DE CARGA 30,4 TM, ALCANCE MAXIMO HORIZONTAL 14,30 M, PARA MONTAGEM SOBRE CHASSI DE CAMINHAO PBT MINIMO 23000 KG (INCLUI MONTAGEM, NAO INCLUI CAMINHAO)</t>
  </si>
  <si>
    <t>HASTE ANCORA EM ACO GALVANIZADO, DIMENSOES 16 MM X 2000 MM</t>
  </si>
  <si>
    <t>HASTE DE ATERRAMENTO EM ACO COM 3,00 M DE COMPRIMENTO E DN = 3/4", REVESTIDA COM BAIXA CAMADA DE COBRE, SEM CONECTOR</t>
  </si>
  <si>
    <t>HASTE DE ATERRAMENTO EM ACO COM 3,00 M DE COMPRIMENTO E DN = 5/8", REVESTIDA COM BAIXA CAMADA DE COBRE, COM CONECTOR TIPO GRAMPO</t>
  </si>
  <si>
    <t>HASTE DE ATERRAMENTO EM ACO COM 3,00 M DE COMPRIMENTO E DN = 5/8", REVESTIDA COM BAIXA CAMADA DE COBRE, SEM CONECTOR</t>
  </si>
  <si>
    <t>HASTE DE ATERRAMENTO EM ACO GALVANIZADO TIPO CANTONEIRA COM 2,00 M DE COMPRIMENTO, 25 X 25 MM E CHAPA DE 3/16"</t>
  </si>
  <si>
    <t>HASTE PARA PERFURATRIZ DE ESTEIRA T38, D= 1 1/2" X *3 M*, PARA PROLONGAR BROCA</t>
  </si>
  <si>
    <t>HASTE RETA DE ACO GALVANIZADO, H = *30* CM, BASE RETANGULAR, PARA FIXACAO DE CONCERTINA SIMPLES DE 30 CM (NAO INCLUI OS FIXADORES)</t>
  </si>
  <si>
    <t>HASTE RETA PARA GANCHO DE FERRO GALVANIZADO, COM ROSCA 1/4" X 30 CM PARA FIXACAO DE TELHA METALICA, INCLUI PORCA E ARRUELAS DE VEDACAO</t>
  </si>
  <si>
    <t>HASTE RETA PARA GANCHO DE FERRO GALVANIZADO, COM ROSCA 1/4" X 40 CM PARA FIXACAO DE TELHA DE FIBROCIMENTO, INCLUI PORCA SEXTAVADA DE ZINCO</t>
  </si>
  <si>
    <t>HASTE RETA PARA GANCHO DE FERRO GALVANIZADO, COM ROSCA 5/16" X 35 CM PARA FIXACAO DE TELHA DE FIBROCIMENTO, INCLUI PORCA E ARRUELAS DE VEDACAO</t>
  </si>
  <si>
    <t>HASTE RETA PARA GANCHO DE FERRO GALVANIZADO, COM ROSCA 5/16" X 40 CM PARA FIXACAO DE TELHA DE FIBROCIMENTO, INCLUI PORCA SEXTAVADA DE ZINCO</t>
  </si>
  <si>
    <t>HASTE RETA PARA GANCHO DE FERRO GALVANIZADO, COM ROSCA 5/16" X 45 CM PARA FIXACAO DE TELHA DE FIBROCIMENTO, INCLUI PORCA E ARRUELAS DE VEDACAO</t>
  </si>
  <si>
    <t>HIDRANTE DE COLUNA COMPLETO, EM FERRO FUNDIDO, DN = 100 MM, COM REGISTRO, CUNHA DE BORRACHA, CURVA DESSIMETRICA, EXTREMIDADE E TAMPAS (INCLUI KIT FIXACAO)</t>
  </si>
  <si>
    <t>HIDRANTE DE COLUNA COMPLETO, EM FERRO FUNDIDO, DN = 75 MM, COM REGISTRO, CUNHA DE BORRACHA, CURVA DESSIMETRICA, EXTREMIDADE E TAMPAS (INCLUI KIT FIXACAO)</t>
  </si>
  <si>
    <t>HIDRANTE SUBTERRANEO, EM FERRO FUNDIDO, COM CURVA CURTA E CAIXA, DN 75 MM</t>
  </si>
  <si>
    <t>HIDRANTE SUBTERRANEO, EM FERRO FUNDIDO, COM CURVA LONGA E CAIXA, DN 75 MM</t>
  </si>
  <si>
    <t>HIDROMETRO MULTIJATO / MEDIDOR DE AGUA, DN 1 1/2", VAZAO MAXIMA DE 20 M3/H, PARA AGUA POTAVEL FRIA, RELOJOARIA PLANA, CLASSE B, HORIZONTAL (SEM CONEXOES)</t>
  </si>
  <si>
    <t>HIDROMETRO MULTIJATO / MEDIDOR DE AGUA, DN 1", VAZAO MAXIMA DE 10 M3/H, PARA AGUA POTAVEL FRIA, RELOJOARIA PLANA, CLASSE B, HORIZONTAL (SEM CONEXOES)</t>
  </si>
  <si>
    <t>HIDROMETRO MULTIJATO / MEDIDOR DE AGUA, DN 1", VAZAO MAXIMA DE 7 M3/H, PARA AGUA POTAVEL FRIA, RELOJOARIA PLANA, CLASSE B, HORIZONTAL (SEM CONEXOES)</t>
  </si>
  <si>
    <t>HIDROMETRO MULTIJATO / MEDIDOR DE AGUA, DN 2", VAZAO MAXIMA DE 30 M3/H, PARA AGUA POTAVEL FRIA, RELOJOARIA PLANA, CLASSE B, HORIZONTAL (SEM CONEXOES)</t>
  </si>
  <si>
    <t>HIDROMETRO UNIJATO / MEDIDOR DE AGUA, DN 1/2", VAZAO MAXIMA DE 1,5 M3/H, PARA AGUA POTAVEL FRIA, RELOJOARIA PLANA, CLASSE B, HORIZONTAL (SEM CONEXOES)</t>
  </si>
  <si>
    <t>HIDROMETRO UNIJATO / MEDIDOR DE AGUA, DN 1/2", VAZAO MAXIMA DE 3 M3/H, PARA AGUA POTAVEL FRIA, RELOJOARIA PLANA, CLASSE B, HORIZONTAL (SEM CONEXOES)</t>
  </si>
  <si>
    <t>HIDROMETRO UNIJATO / MEDIDOR DE AGUA, DN 3/4", VAZAO MAXIMA DE 5 M3/H, PARA AGUA POTAVEL FRIA, RELOJOARIA PLANA, CLASSE B, HORIZONTAL (SEM CONEXOES)0,</t>
  </si>
  <si>
    <t>HIDROMETRO WOLTMANN, DN 2", VAZAO MAXIMA DE 50 M3/H, PARA AGUA POTAVEL FRIA, RELOJOARIA PLANA, TURBINA HORIZONTAL, EQUIPADO COM TELEMETRIA (SEM CONEXOES)</t>
  </si>
  <si>
    <t>HIDROMETRO WOLTMANN, DN 3", VAZAO MAXIMA DE 80 M3/H, PARA AGUA POTAVEL FRIA, RELOJOARIA PLANA, TURBINA HORIZONTAL, EQUIPADO COM TELEMETRIA (SEM CONEXOES)</t>
  </si>
  <si>
    <t>IMPERMEABILIZADOR (HORISTA)</t>
  </si>
  <si>
    <t>IMPERMEABILIZADOR (MENSALISTA)</t>
  </si>
  <si>
    <t>IMPERMEABILIZANTE FLEXIVEL BRANCO DE BASE ACRILICA PARA COBERTURAS</t>
  </si>
  <si>
    <t>IMPERMEABILIZANTE INCOLOR, BASE SILICONE, PARA TRATAMENTO DE FACHADAS, TELHAS, PEDRAS E OUTRAS SUPERFICIES</t>
  </si>
  <si>
    <t>IMUNIZANTE PARA MADEIRA, INCOLOR</t>
  </si>
  <si>
    <t>INSTALADOR DE TUBULACOES (TUBOS/EQUIPAMENTOS) (MENSALISTA)</t>
  </si>
  <si>
    <t>INSTALADOR DE TUBULACOES - TUBOS/EQUIPAMENTOS (HORISTA)</t>
  </si>
  <si>
    <t>INTERRUPTOR BIPOLAR 10A, 250V, CONJUNTO MONTADO PARA EMBUTIR 4" X 2" (PLACA + SUPORTE + MODULO)</t>
  </si>
  <si>
    <t>INTERRUPTOR BIPOLAR SIMPLES 10 A, 250 V (APENAS MODULO)</t>
  </si>
  <si>
    <t>INTERRUPTOR INTERMEDIARIO 10 A, 250 V (APENAS MODULO)</t>
  </si>
  <si>
    <t>INTERRUPTOR INTERMEDIARIO 10A, 250V, CONJUNTO MONTADO PARA EMBUTIR 4" X 2" (PLACA + SUPORTE + MODULO)</t>
  </si>
  <si>
    <t>INTERRUPTOR PARALELO + TOMADA 2P+T 10A, 250V, CONJUNTO MONTADO PARA EMBUTIR 4" X 2" (PLACA + SUPORTE + MODULOS)</t>
  </si>
  <si>
    <t>INTERRUPTOR PARALELO 10A, 250V (APENAS MODULO)</t>
  </si>
  <si>
    <t>INTERRUPTOR PARALELO 10A, 250V, CONJUNTO MONTADO PARA EMBUTIR 4" X 2" (PLACA + SUPORTE + MODULO)</t>
  </si>
  <si>
    <t>INTERRUPTOR SIMPLES + 2 INTERRUPTORES PARALELOS 10A, 250V, CONJUNTO MONTADO PARA EMBUTIR 4" X 2" (PLACA + SUPORTE + MODULOS)</t>
  </si>
  <si>
    <t>INTERRUPTOR SIMPLES + INTERRUPTOR PARALELO + TOMADA 2P+T 10A, 250V, CONJUNTO MONTADO PARA EMBUTIR 4" X 2" (PLACA + SUPORTE + MODULOS)</t>
  </si>
  <si>
    <t>INTERRUPTOR SIMPLES + INTERRUPTOR PARALELO 10A, 250V, CONJUNTO MONTADO PARA EMBUTIR 4" X 2" (PLACA + SUPORTE + MODULOS)</t>
  </si>
  <si>
    <t>INTERRUPTOR SIMPLES + TOMADA 2P+T 10A, 250V, CONJUNTO MONTADO PARA EMBUTIR 4" X 2" (PLACA + SUPORTE + MODULOS)</t>
  </si>
  <si>
    <t>INTERRUPTOR SIMPLES 10A, 250V (APENAS MODULO)</t>
  </si>
  <si>
    <t>INTERRUPTOR SIMPLES 10A, 250V, CONJUNTO MONTADO PARA EMBUTIR 4" X 2" (PLACA + SUPORTE + MODULO)</t>
  </si>
  <si>
    <t>INTERRUPTOR SIMPLES 10A, 250V, CONJUNTO MONTADO PARA SOBREPOR 4" X 2" (CAIXA + 2 MODULOS)</t>
  </si>
  <si>
    <t>INTERRUPTOR SIMPLES 10A, 250V, CONJUNTO MONTADO PARA SOBREPOR 4" X 2" (CAIXA + MODULO)</t>
  </si>
  <si>
    <t>INTERRUPTORES PARALELOS (2 MODULOS) + TOMADA 2P+T 10A, 250V, CONJUNTO MONTADO PARA EMBUTIR 4" X 2" (PLACA + SUPORTE + MODULOS)</t>
  </si>
  <si>
    <t>INTERRUPTORES PARALELOS (2 MODULOS) 10A, 250V, CONJUNTO MONTADO PARA EMBUTIR 4" X 2" (PLACA + SUPORTE + MODULOS)</t>
  </si>
  <si>
    <t>INTERRUPTORES PARALELOS (3 MODULOS) 10A, 250V, CONJUNTO MONTADO PARA EMBUTIR 4" X 2" (PLACA + SUPORTE + MODULO)</t>
  </si>
  <si>
    <t>INTERRUPTORES SIMPLES (2 MODULOS) + 1 INTERRUPTOR PARALELO 10A, 250V, CONJUNTO MONTADO PARA EMBUTIR 4" X 2" (PLACA + SUPORTE + MODULOS)</t>
  </si>
  <si>
    <t>INTERRUPTORES SIMPLES (2 MODULOS) + TOMADA 2P+T 10A, 250V, CONJUNTO MONTADO PARA EMBUTIR 4" X 2" (PLACA + SUPORTE + MODULOS)</t>
  </si>
  <si>
    <t>INTERRUPTORES SIMPLES (2 MODULOS) 10A, 250V, CONJUNTO MONTADO PARA EMBUTIR 4" X 2" (PLACA + SUPORTE + MODULOS)</t>
  </si>
  <si>
    <t>INTERRUPTORES SIMPLES (3 MODULOS) 10A, 250V, CONJUNTO MONTADO PARA EMBUTIR 4" X 2" (PLACA + SUPORTE + MODULOS)</t>
  </si>
  <si>
    <t>ISOLADOR DE PORCELANA SUSPENSO, DISCO TIPO GARFO OLHAL, DIAMETRO DE 152 MM, PARA TENSAO DE *15* KV</t>
  </si>
  <si>
    <t>ISOLADOR DE PORCELANA, TIPO BUCHA, PARA TENSAO DE *15* KV</t>
  </si>
  <si>
    <t>ISOLADOR DE PORCELANA, TIPO BUCHA, PARA TENSAO DE *35* KV</t>
  </si>
  <si>
    <t>ISOLADOR DE PORCELANA, TIPO PINO MONOCORPO, PARA TENSAO DE *15* KV</t>
  </si>
  <si>
    <t>ISOLADOR DE PORCELANA, TIPO PINO MONOCORPO, PARA TENSAO DE *35* KV</t>
  </si>
  <si>
    <t>ISOLADOR DE PORCELANA, TIPO ROLDANA, DIMENSOES DE *72* X *72* MM, PARA USO EM BAIXA TENSAO</t>
  </si>
  <si>
    <t>JANELA BASCULANTE EM MADEIRA PINUS/ EUCALIPTO/ TAUARI/ VIROLA OU EQUIVALENTE DA REGIAO, *60 X 60*, CAIXA DO BATENTE/ MARCO E = *10* CM, 2 BASCULAS PARA VIDRO, COM FERRAGENS (SEM VIDRO, SEM GUARNICAO/ALIZAR E SEM ACABAMENTO)</t>
  </si>
  <si>
    <t>JANELA BASCULANTE EM MADEIRA PINUS/ EUCALIPTO/ TAUARI/ VIROLA OU EQUIVALENTE DA REGIAO, CAIXA DO BATENTE/ MARCO *10* CM, *2* FOLHAS BASCULANTES PARA VIDRO, COM FERRAGENS (SEM VIDRO, SEM GUARNICAO/ALIZAR E SEM ACABAMENTO)</t>
  </si>
  <si>
    <t>JANELA BASCULANTE, ACO, COM BATENTE/REQUADRO, 60 X 60 CM (SEM VIDROS)</t>
  </si>
  <si>
    <t>JANELA BASCULANTE, EM ALUMINIO PERFIL 20, 80 X 60 CM (A X L), 4 FLS (1 FIXA E 3 MOVEIS), ACABAMENTO BRANCO OU BRILHANTE, BATENTE DE 3 A 4 CM, COM VIDRO 4 MM, SEM GUARNICAO</t>
  </si>
  <si>
    <t>JANELA DE 6 FOLHAS DE CORRER EM MADEIRA CEDRINHO/ ANGELIM COMERCIAL/ CURUPIXA/ CUMARU OU EQUIVALENTE DA REGIAO, CAIXA DO BATENTE/MARCO *10* CM, 2 FOLHAS DE CORRER VENEZIANA, 2 FOLHAS FIXAS VENEZIANA E 2 FOLHAS DE CORRER PARA VIDRO, COM FERRAGENS (SEM VIDRO, SEM ACABAMENTO E SEM GUARNICAO/ALIZAR)</t>
  </si>
  <si>
    <t>JANELA DE 6 FOLHAS DE CORRER EM MADEIRA IMBUIA/CEDRO ARANA/CEDRO ROSA OU EQUIVALENTE DA REGIAO, CAIXA DO BATENTE/MARCO *10* CM, 2 FOLHAS DE CORRER VENEZIANA, 2 FOLHAS FIXAS VENEZIANA E 2 FOLHAS DE CORRER PARA VIDRO, COM FERRAGENS (SEM VIDRO, SEM ACABAMENTO E SEM GUARNICAO/ALIZAR)</t>
  </si>
  <si>
    <t>JANELA DE 6 FOLHAS DE CORRER EM MADEIRA PINUS/ EUCALIPTO/ TAUARI/ VIROLA OU EQUIVALENTE DA REGIAO, CAIXA DO BATENTE/MARCO *10* CM, 2 FOLHAS DE CORRER VENEZIANA, 2 FOLHAS FIXAS VENEZIANA E 2 FOLHAS DE CORRER PARA VIDRO, COM FERRAGENS (SEM VIDRO, SEM ACABAMENTO E SEM GUARNICAO/ALIZAR)</t>
  </si>
  <si>
    <t>JANELA DE ABRIR EM MADEIRA IMBUIA/CEDRO ARANA/CEDRO ROSA OU EQUIVALENTE DA REGIAO, CAIXA DO BATENTE/MARCO *10* CM, 2 FOLHAS DE ABRIR TIPO VENEZIANA E 2 FOLHAS DE ABRIR PARA VIDRO, COM GUARNICAO/ALIZAR, COM FERRAGENS, (SEM VIDRO E SEM ACABAMENTO)</t>
  </si>
  <si>
    <t>JANELA DE ABRIR EM MADEIRA PINUS/EUCALIPTO/TAUARI/VIROLA OU EQUIVALENTE DA REGIAO, CAIXA DO BATENTE/MARCO *10* CM, 2 FOLHAS DE ABRIR TIPO VENEZIANA E 2 FOLHAS GUILHOTINA PARA VIDRO, COM FERRAGENS (SEM VIDRO, SEM GUARNICAO/ALIZAR E SEM ACABAMENTO)</t>
  </si>
  <si>
    <t>JANELA DE CORRER, ACO, BATENTE/REQUADRO DE 6 A 14 CM, COM DIVISAO HORIZ, PINT ANTICORROSIVA, SEM VIDRO, BANDEIRA COM BASCULA, 4 FLS, 120 X 150 CM (A X L)</t>
  </si>
  <si>
    <t>JANELA DE CORRER, EM ALUMINIO PERFIL 25, 100 X 120 CM (A X L), 2 FLS MOVEIS, SEM BANDEIRA, ACABAMENTO BRANCO OU BRILHANTE, BATENTE DE 6 A 7 CM, COM VIDRO 4 MM, SEM GUARNICAO</t>
  </si>
  <si>
    <t>JANELA DE CORRER, EM ALUMINIO PERFIL 25, 100 X 150 CM (A X L), 2 FLS MOVEIS, SEM BANDEIRA, ACABAMENTO BRANCO OU BRILHANTE, BATENTE DE 6 A 7 CM, COM VIDRO 4 MM, SEM GUARNICAO</t>
  </si>
  <si>
    <t>JANELA DE CORRER, EM ALUMINIO PERFIL 25, 100 X 150 CM (A X L), 4 FLS MOVEIS, SEM BANDEIRA, ACABAMENTO BRANCO OU BRILHANTE, BATENTE DE 6 A 7 CM, COM VIDRO 4 MM, SEM GUARNICAO/ALIZAR</t>
  </si>
  <si>
    <t>JANELA DE CORRER, EM ALUMINIO PERFIL 25, 100 X 200 CM (A X L), 4 FLS, SEM BANDEIRA, ACABAMENTO BRANCO OU BRILHANTE, BATENTE DE 6 A 7 CM, COM VIDRO 4 MM, SEM GUARNICAO/ALIZAR</t>
  </si>
  <si>
    <t>JANELA DE CORRER, EM ALUMINIO PERFIL 25, 120 X 150 CM (A X L), 4 FLS, BANDEIRA COM BASCULA, ACABAMENTO BRANCO OU BRILHANTE, BATENTE/REQUADRO DE 6 A 14 CM, COM VIDRO 4 MM, SEM GUARNICAO/ALIZAR</t>
  </si>
  <si>
    <t>JANELA EM MADEIRA CEDRINHO/ ANGELIM COMERCIAL/ CURUPIXA/ CUMARU OU EQUIVALENTE DA REGIAO, CAIXA DO BATENTE/MARCO *10* CM, 2 FOLHAS DE ABRIR TIPO VENEZIANA E 2 FOLHAS GUILHOTINA PARA VIDRO, COM GUARNICAO/ALIZAR, COM FERRAGENS (SEM VIDRO E SEM ACABAMENTO)</t>
  </si>
  <si>
    <t>JANELA FIXA, EM ALUMINIO PERFIL 20, 60 X 80 CM (A X L), BATENTE/REQUADRO DE 3 A 14 CM, COM VIDRO 4 MM, SEM GUARNICAO/ALIZAR, ACABAMENTO ALUM BRANCO OU BRILHANTE</t>
  </si>
  <si>
    <t>JANELA INTEGRADA VENEZIANA EM ALUMINIO PERFIL 25, 120 X 120 CM (A X L), 2 FLS (2 VIDROS) E VENEZIANA COM ACIONAMENTO MANUAL, SEM BANDEIRA, ACABAMENTO BRILHANTE, BATENTE DE 11,50 A 12,50 CM, COM VIDRO 4 MM, INCLUSO GUARNICAO</t>
  </si>
  <si>
    <t>JANELA MAXIM-AR EM MADEIRA CEDRINHO/ ANGELIM COMERCIAL/ CURUPIXA/ CUMARU OU EQUIVALENTE DA REGIAO, CAIXA DO BATENTE/MARCO *10* CM, 1 FOLHA PARA VIDRO, COM GUARNICAO/ALIZAR, COM FERRAGENS, (SEM VIDRO E SEM ACABAMENTO)</t>
  </si>
  <si>
    <t>JANELA MAXIM-AR, ACO GALVANIZADO PINT. ANTICORROSIVA, COM BATENTE/REQUADRO DE 6 A 14 CM, SEM VIDRO, COM GRADE, 1 FL, 60 X 80 CM (A X L)</t>
  </si>
  <si>
    <t>JANELA MAXIM-AR, EM ALUMINIO PERFIL 25, 60 X 80 CM (A X L), ACABAMENTO BRANCO OU BRILHANTE, BATENTE DE 4 A 5 CM, COM VIDRO 4 MM, SEM GUARNICAO/ALIZAR</t>
  </si>
  <si>
    <t>JANELA VENEZIANA DE CORRER, EM ALUMINIO PERFIL 25, 100 X 120 CM (A X L), 3 FLS (2 VENEZIANAS E 1 VIDRO), SEM BANDEIRA, ACABAMENTO BRANCO OU BRILHANTE, BATENTE DE 8 A 9 CM, COM VIDRO 4 MM, SEM GUARNICAO/ALIZAR</t>
  </si>
  <si>
    <t>JANELA VENEZIANA DE CORRER, EM ALUMINIO PERFIL 25, 100 X 150 CM (A X L), 6 FLS (4 VENEZIANAS E 2 VIDROS), SEM BANDEIRA, ACABAMENTO BRANCO OU BRILHANTE, BATENTE DE 8 A 9 CM, COM VIDRO 4 MM, SEM GUARNICAO / ALIZAR</t>
  </si>
  <si>
    <t>JARDINEIRO (HORISTA)</t>
  </si>
  <si>
    <t>JARDINEIRO (MENSALISTA)</t>
  </si>
  <si>
    <t>JOELHO CPVC, SOLDAVEL, 45 GRAUS, 15 MM, PARA AGUA QUENTE</t>
  </si>
  <si>
    <t>JOELHO CPVC, SOLDAVEL, 45 GRAUS, 22 MM, PARA AGUA QUENTE</t>
  </si>
  <si>
    <t>JOELHO CPVC, SOLDAVEL, 45 GRAUS, 28 MM, PARA AGUA QUENTE</t>
  </si>
  <si>
    <t>JOELHO CPVC, SOLDAVEL, 45 GRAUS, 35 MM, PARA AGUA QUENTE</t>
  </si>
  <si>
    <t>JOELHO CPVC, SOLDAVEL, 45 GRAUS, 42 MM, PARA AGUA QUENTE</t>
  </si>
  <si>
    <t>JOELHO CPVC, SOLDAVEL, 45 GRAUS, 54 MM, PARA AGUA QUENTE</t>
  </si>
  <si>
    <t>JOELHO CPVC, SOLDAVEL, 45 GRAUS, 73 MM, PARA AGUA QUENTE</t>
  </si>
  <si>
    <t>JOELHO CPVC, SOLDAVEL, 45 GRAUS, 89 MM, PARA AGUA QUENTE</t>
  </si>
  <si>
    <t>JOELHO CPVC, SOLDAVEL, 90 GRAUS, 114 MM, PARA AGUA QUENTE</t>
  </si>
  <si>
    <t>JOELHO CPVC, SOLDAVEL, 90 GRAUS, 15 MM, PARA AGUA QUENTE</t>
  </si>
  <si>
    <t>JOELHO CPVC, SOLDAVEL, 90 GRAUS, 22 MM, PARA AGUA QUENTE</t>
  </si>
  <si>
    <t>JOELHO CPVC, SOLDAVEL, 90 GRAUS, 28 MM, PARA AGUA QUENTE</t>
  </si>
  <si>
    <t>JOELHO CPVC, SOLDAVEL, 90 GRAUS, 35 MM, PARA AGUA QUENTE</t>
  </si>
  <si>
    <t>JOELHO CPVC, SOLDAVEL, 90 GRAUS, 42 MM, PARA AGUA QUENTE</t>
  </si>
  <si>
    <t>JOELHO CPVC, SOLDAVEL, 90 GRAUS, 54 MM, PARA AGUA QUENTE</t>
  </si>
  <si>
    <t>JOELHO CPVC, SOLDAVEL, 90 GRAUS, 73 MM, PARA AGUA QUENTE</t>
  </si>
  <si>
    <t>JOELHO CPVC, SOLDAVEL, 90 GRAUS, 89 MM, PARA AGUA QUENTE</t>
  </si>
  <si>
    <t>JOELHO DE REDUCAO, PVC SOLDAVEL, 90 GRAUS, 25 MM X 20 MM, COR MARROM, PARA AGUA FRIA PREDIAL</t>
  </si>
  <si>
    <t>JOELHO DE REDUCAO, PVC SOLDAVEL, 90 GRAUS, 32 MM X 25 MM, COR MARROM, PARA AGUA FRIA PREDIAL</t>
  </si>
  <si>
    <t>JOELHO DE REDUCAO, PVC, ROSCAVEL, 90 GRAUS, 1" X 3/4", COR BRANCA, PARA AGUA FRIA PREDIAL</t>
  </si>
  <si>
    <t>JOELHO DE REDUCAO, PVC, ROSCAVEL, 90 GRAUS, 3/4" X 1/2", COR BRANCA, PARA AGUA FRIA PREDIAL</t>
  </si>
  <si>
    <t>JOELHO DE TRANSICAO, CPVC, SOLDAVEL, 90 GRAUS, 15 MM X 1/2", PARA AGUA QUENTE</t>
  </si>
  <si>
    <t>JOELHO DE TRANSICAO, CPVC, SOLDAVEL, 90 GRAUS, 22 MM X 1/2", PARA AGUA QUENTE</t>
  </si>
  <si>
    <t>JOELHO DE TRANSICAO, CPVC, SOLDAVEL, 90 GRAUS, 22 MM X 3/4", PARA AGUA QUENTE</t>
  </si>
  <si>
    <t>JOELHO PPR 45 GRAUS, SOLDAVEL, F/F, DN 20 MM, PARA AGUA QUENTE PREDIAL</t>
  </si>
  <si>
    <t>JOELHO PPR 45 GRAUS, SOLDAVEL, F/F, DN 25 MM, PARA AGUA QUENTE PREDIAL</t>
  </si>
  <si>
    <t>JOELHO PPR 45 GRAUS, SOLDAVEL, F/F, DN 40 MM, PARA AQUA QUENTE E FRIA PREDIAL</t>
  </si>
  <si>
    <t>JOELHO PPR 45 GRAUS, SOLDAVEL, F/F, DN 50 MM, PARA AQUA QUENTE E FRIA PREDIAL</t>
  </si>
  <si>
    <t>JOELHO PPR 45 GRAUS, SOLDAVEL, F/F, DN 63 MM, PARA AQUA QUENTE E FRIA PREDIAL</t>
  </si>
  <si>
    <t>JOELHO PPR 45 GRAUS, SOLDAVEL, F/F, DN 75 MM, PARA AQUA QUENTE E FRIA PREDIAL</t>
  </si>
  <si>
    <t>JOELHO PPR 45 GRAUS, SOLDAVEL, F/F, DN 90 MM, PARA AQUA QUENTE E FRIA PREDIAL</t>
  </si>
  <si>
    <t>JOELHO PPR, 45 GRAUS, SOLDAVEL, F/F, DN 32 MM, PARA AGUA QUENTE PREDIAL</t>
  </si>
  <si>
    <t>JOELHO PPR, 90 GRAUS, SOLDAVEL, F/F, DN 110 MM, PARA AGUA QUENTE PREDIAL</t>
  </si>
  <si>
    <t>JOELHO PPR, 90 GRAUS, SOLDAVEL, F/F, DN 20 MM, PARA AGUA QUENTE PREDIAL</t>
  </si>
  <si>
    <t>JOELHO PPR, 90 GRAUS, SOLDAVEL, F/F, DN 25 MM, PARA AGUA QUENTE PREDIAL</t>
  </si>
  <si>
    <t>JOELHO PPR, 90 GRAUS, SOLDAVEL, F/F, DN 32 MM, PARA AGUA QUENTE PREDIAL</t>
  </si>
  <si>
    <t>JOELHO PPR, 90 GRAUS, SOLDAVEL, F/F, DN 40 MM, PARA AGUA QUENTE PREDIAL</t>
  </si>
  <si>
    <t>JOELHO PPR, 90 GRAUS, SOLDAVEL, F/F, DN 50 MM, PARA AGUA QUENTE PREDIAL</t>
  </si>
  <si>
    <t>JOELHO PPR, 90 GRAUS, SOLDAVEL, F/F, DN 63 MM, PARA AGUA QUENTE PREDIAL</t>
  </si>
  <si>
    <t>JOELHO PPR, 90 GRAUS, SOLDAVEL, F/F, DN 75 MM, PARA AGUA QUENTE PREDIAL</t>
  </si>
  <si>
    <t>JOELHO PPR, 90 GRAUS, SOLDAVEL, F/F, DN 90 MM, PARA AGUA QUENTE PREDIAL</t>
  </si>
  <si>
    <t>JOELHO PVC COM VISITA, 90 GRAUS, DN 100 X 50 MM, SERIE NORMAL, PARA ESGOTO PREDIAL</t>
  </si>
  <si>
    <t>JOELHO PVC, 90 GRAUS, ROSCAVEL, 1 1/4", COR BRANCA, AGUA FRIA PREDIAL</t>
  </si>
  <si>
    <t>JOELHO PVC, COM BOLSA E ANEL, 90 GRAUS, DN 40 X *38* MM, SERIE NORMAL, PARA ESGOTO PREDIAL</t>
  </si>
  <si>
    <t>JOELHO PVC, ROSCAVEL, 45 GRAUS, 1", COR BRANCA, PARA AGUA FRIA PREDIAL</t>
  </si>
  <si>
    <t>JOELHO PVC, ROSCAVEL, 45 GRAUS, 1/2", COR BRANCA, PARA AGUA FRIA PREDIAL</t>
  </si>
  <si>
    <t>JOELHO PVC, ROSCAVEL, 45 GRAUS, 3/4", COR BRANCA, PARA AGUA FRIA PREDIAL</t>
  </si>
  <si>
    <t>JOELHO PVC, ROSCAVEL, 90 GRAUS, 1", COR BRANCA, PARA AGUA FRIA PREDIAL</t>
  </si>
  <si>
    <t>JOELHO PVC, ROSCAVEL, 90 GRAUS, 1/2", COR BRANCA, PARA AGUA FRIA PREDIAL</t>
  </si>
  <si>
    <t>JOELHO PVC, ROSCAVEL, 90 GRAUS, 3/4", COR BRANCA, PARA AGUA FRIA PREDIAL</t>
  </si>
  <si>
    <t>JOELHO PVC, SOLDAVEL COM ROSCA, 90 GRAUS, 20 MM X 1/2", COR MARROM, PARA AGUA FRIA PREDIAL</t>
  </si>
  <si>
    <t>JOELHO PVC, SOLDAVEL COM ROSCA, 90 GRAUS, 25 MM X 1/2", COR MARROM, PARA AGUA FRIA PREDIAL</t>
  </si>
  <si>
    <t>JOELHO PVC, SOLDAVEL COM ROSCA, 90 GRAUS, 25 MM X 3/4", COR MARROM, PARA AGUA FRIA PREDIAL</t>
  </si>
  <si>
    <t>JOELHO PVC, SOLDAVEL COM ROSCA, 90 GRAUS, 32 MM X 3/4", COR MARROM, PARA AGUA FRIA PREDIAL</t>
  </si>
  <si>
    <t>JOELHO PVC, SOLDAVEL, 90 GRAUS, 110 MM, COR MARROM, PARA AGUA FRIA PREDIAL</t>
  </si>
  <si>
    <t>JOELHO PVC, SOLDAVEL, 90 GRAUS, 20 MM, COR MARROM, PARA AGUA FRIA PREDIAL</t>
  </si>
  <si>
    <t>JOELHO PVC, SOLDAVEL, 90 GRAUS, 25 MM, COR MARROM, PARA AGUA FRIA PREDIAL</t>
  </si>
  <si>
    <t>JOELHO PVC, SOLDAVEL, 90 GRAUS, 32 MM, COR MARROM, PARA AGUA FRIA PREDIAL</t>
  </si>
  <si>
    <t>JOELHO PVC, SOLDAVEL, 90 GRAUS, 40 MM, COR MARROM, PARA AGUA FRIA PREDIAL</t>
  </si>
  <si>
    <t>JOELHO PVC, SOLDAVEL, 90 GRAUS, 50 MM, COR MARROM, PARA AGUA FRIA PREDIAL</t>
  </si>
  <si>
    <t>JOELHO PVC, SOLDAVEL, 90 GRAUS, 60 MM, COR MARROM, PARA AGUA FRIA PREDIAL</t>
  </si>
  <si>
    <t>JOELHO PVC, SOLDAVEL, 90 GRAUS, 85 MM, COR MARROM, PARA AGUA FRIA PREDIAL</t>
  </si>
  <si>
    <t>JOELHO PVC, SOLDAVEL, BB, 45 GRAUS, DN 40 MM, PARA ESGOTO PREDIAL</t>
  </si>
  <si>
    <t>JOELHO PVC, SOLDAVEL, BB, 90 GRAUS, SEM ANEL, DN 40 MM, PARA ESGOTO PREDIAL SECUNDARIO</t>
  </si>
  <si>
    <t>JOELHO PVC, SOLDAVEL, COM BUCHA DE LATAO, 90 GRAUS, 20 MM X 1/2", PARA AGUA FRIA PREDIAL</t>
  </si>
  <si>
    <t>JOELHO PVC, SOLDAVEL, COM BUCHA DE LATAO, 90 GRAUS, 25 MM X 1/2", PARA AGUA FRIA PREDIAL</t>
  </si>
  <si>
    <t>JOELHO PVC, SOLDAVEL, COM BUCHA DE LATAO, 90 GRAUS, 25 MM X 3/4", PARA AGUA FRIA PREDIAL</t>
  </si>
  <si>
    <t>JOELHO PVC, SOLDAVEL, COM BUCHA DE LATAO, 90 GRAUS, 32 MM X 3/4", PARA AGUA FRIA PREDIAL</t>
  </si>
  <si>
    <t>JOELHO PVC, SOLDAVEL, PB, 45 GRAUS, DN 100 MM, PARA ESGOTO PREDIAL</t>
  </si>
  <si>
    <t>JOELHO PVC, SOLDAVEL, PB, 45 GRAUS, DN 150 MM, PARA ESGOTO PREDIAL</t>
  </si>
  <si>
    <t>JOELHO PVC, SOLDAVEL, PB, 45 GRAUS, DN 40 MM, PARA ESGOTO PREDIAL</t>
  </si>
  <si>
    <t>JOELHO PVC, SOLDAVEL, PB, 45 GRAUS, DN 50 MM, PARA ESGOTO PREDIAL</t>
  </si>
  <si>
    <t>JOELHO PVC, SOLDAVEL, PB, 45 GRAUS, DN 75 MM, PARA ESGOTO PREDIAL</t>
  </si>
  <si>
    <t>JOELHO PVC, SOLDAVEL, PB, 90 GRAUS, DN 100 MM, PARA ESGOTO PREDIAL</t>
  </si>
  <si>
    <t>JOELHO PVC, SOLDAVEL, PB, 90 GRAUS, DN 150 MM, PARA ESGOTO PREDIAL</t>
  </si>
  <si>
    <t>JOELHO PVC, SOLDAVEL, PB, 90 GRAUS, DN 40 MM, PARA ESGOTO PREDIAL</t>
  </si>
  <si>
    <t>JOELHO PVC, SOLDAVEL, PB, 90 GRAUS, DN 50 MM, PARA ESGOTO PREDIAL</t>
  </si>
  <si>
    <t>JOELHO PVC, SOLDAVEL, PB, 90 GRAUS, DN 75 MM, PARA ESGOTO PREDIAL</t>
  </si>
  <si>
    <t>JOELHO, PVC SERIE R, 45 GRAUS, DN 100 MM, PARA ESGOTO PREDIAL</t>
  </si>
  <si>
    <t>JOELHO, PVC SERIE R, 45 GRAUS, DN 150 MM, PARA ESGOTO PREDIAL</t>
  </si>
  <si>
    <t>JOELHO, PVC SERIE R, 45 GRAUS, DN 40 MM, PARA ESGOTO PREDIAL</t>
  </si>
  <si>
    <t>JOELHO, PVC SERIE R, 45 GRAUS, DN 50 MM, PARA ESGOTO PREDIAL</t>
  </si>
  <si>
    <t>JOELHO, PVC SERIE R, 45 GRAUS, DN 75 MM, PARA ESGOTO PREDIAL</t>
  </si>
  <si>
    <t>JOELHO, PVC SERIE R, 90 GRAUS, DN 100 MM, PARA ESGOTO PREDIAL</t>
  </si>
  <si>
    <t>JOELHO, PVC SERIE R, 90 GRAUS, DN 150 MM, PARA ESGOTO PREDIAL</t>
  </si>
  <si>
    <t>JOELHO, PVC SERIE R, 90 GRAUS, DN 40 MM, PARA ESGOTO PREDIAL</t>
  </si>
  <si>
    <t>JOELHO, PVC SERIE R, 90 GRAUS, DN 50 MM, PARA ESGOTO PREDIAL</t>
  </si>
  <si>
    <t>JOELHO, PVC SERIE R, 90 GRAUS, DN 75 MM, PARA ESGOTO PREDIAL</t>
  </si>
  <si>
    <t>JOELHO, PVC SOLDAVEL, 45 GRAUS, 20 MM, COR MARROM, PARA AGUA FRIA PREDIAL</t>
  </si>
  <si>
    <t>JOELHO, PVC SOLDAVEL, 45 GRAUS, 25 MM, COR MARROM, PARA AGUA FRIA PREDIAL</t>
  </si>
  <si>
    <t>JOELHO, PVC SOLDAVEL, 45 GRAUS, 32 MM, COR MARROM, PARA AGUA FRIA PREDIAL</t>
  </si>
  <si>
    <t>JOELHO, PVC SOLDAVEL, 45 GRAUS, 40 MM, COR MARROM, PARA AGUA FRIA PREDIAL</t>
  </si>
  <si>
    <t>JOELHO, PVC SOLDAVEL, 45 GRAUS, 50 MM, COR MARROM, PARA AGUA FRIA PREDIAL</t>
  </si>
  <si>
    <t>JOELHO, PVC SOLDAVEL, 45 GRAUS, 60 MM, COR MARROM, PARA AGUA FRIA PREDIAL</t>
  </si>
  <si>
    <t>JOELHO, PVC SOLDAVEL, 45 GRAUS, 75 MM, COR MARROM, PARA AGUA FRIA PREDIAL</t>
  </si>
  <si>
    <t>JOELHO, PVC SOLDAVEL, 45 GRAUS, 85 MM, COR MARROM, PARA AGUA FRIA PREDIAL</t>
  </si>
  <si>
    <t>JOELHO, PVC SOLDAVEL, 90 GRAUS, 75 MM, COR MARROM, PARA AGUA FRIA PREDIAL</t>
  </si>
  <si>
    <t>JOELHO/COTOVELO 90 GRAUS, METALICO, PARA CONEXAO COM ANEL DESLIZANTE, DN 16 MM, EM TUBO PEX PARA INST. AGUA QUENTE/FRIA</t>
  </si>
  <si>
    <t>JOELHO/COTOVELO 90 GRAUS, METALICO, PARA CONEXAO COM ANEL DESLIZANTE, DN 20 MM, EM TUBO PEX PARA INST. AGUA QUENTE/FRIA</t>
  </si>
  <si>
    <t>JOELHO/COTOVELO 90 GRAUS, METALICO, PARA CONEXAO COM ANEL DESLIZANTE, DN 25 MM, EM TUBO PEX PARA INST. AGUA QUENTE/FRIA</t>
  </si>
  <si>
    <t>JOELHO/COTOVELO 90 GRAUS, METALICO, PARA CONEXAO COM ANEL DESLIZANTE, DN 32 MM, EM TUBO PEX PARA INST. AGUA QUENTE/FRIA</t>
  </si>
  <si>
    <t>JOELHO/COTOVELO 90 GRAUS, PLASTICO, PARA CONEXAO COM CRIMPAGEM, DN 16 MM, EM TUBO PEX PARA INST. AGUA QUENTE/FRIA</t>
  </si>
  <si>
    <t>JOELHO/COTOVELO 90 GRAUS, PLASTICO, PARA CONEXAO COM CRIMPAGEM, DN 20 MM, EM TUBO PEX PARA INST. AGUA QUENTE/FRIA</t>
  </si>
  <si>
    <t>JOELHO/COTOVELO 90 GRAUS, PLASTICO, PARA CONEXAO COM CRIMPAGEM, DN 25 MM, EM TUBO PEX PARA INST. AGUA QUENTE/FRIA</t>
  </si>
  <si>
    <t>JOELHO/COTOVELO 90 GRAUS, ROSCA FEMEA MOVEL, METALICO, PARA CONEXAO COM ANEL DESLIZANTE, DN 20 MM X 3/4", EM TUBO PEX PARA INST. AGUA QUENTE/FRIA</t>
  </si>
  <si>
    <t>JOELHO/COTOVELO 90 GRAUS, ROSCA FEMEA TERMINAL, METALICO, PARA CONEXAO COM ANEL DESLIZANTE, DN 16 MM X 1/2", EM TUBO PEX PARA INST. AGUA QUENTE/FRIA</t>
  </si>
  <si>
    <t>JOELHO/COTOVELO 90 GRAUS, ROSCA FEMEA TERMINAL, METALICO, PARA CONEXAO COM ANEL DESLIZANTE, DN 20 MM X 1/2", EM TUBO PEX PARA INST. AGUA QUENTE/FRIA</t>
  </si>
  <si>
    <t>JOELHO/COTOVELO 90 GRAUS, ROSCA FEMEA TERMINAL, METALICO, PARA CONEXAO COM ANEL DESLIZANTE, DN 20 MM X 3/4", EM TUBO PEX PARA INST. AGUA QUENTE/FRIA</t>
  </si>
  <si>
    <t>JOELHO/COTOVELO 90 GRAUS, ROSCA FEMEA TERMINAL, METALICO, PARA CONEXAO COM ANEL DESLIZANTE, DN 25 MM X 3/4", EM TUBO PEX PARA INST. AGUA QUENTE/FRIA</t>
  </si>
  <si>
    <t>JOELHO/COTOVELO 90 GRAUS, ROSCA FEMEA TERMINAL, PLASTICO, PARA CONEXAO COM CRIMPAGEM, DN 16 MM X 1/2", EM TUBO PEX PARA INST. AGUA QUENTE/FRIA</t>
  </si>
  <si>
    <t>JOELHO/COTOVELO 90 GRAUS, ROSCA FEMEA TERMINAL, PLASTICO, PARA CONEXAO COM CRIMPAGEM, DN 20 MM X 1/2", EM TUBO PEX PARA INST. AGUA QUENTE/FRIA</t>
  </si>
  <si>
    <t>JOELHO/COTOVELO 90 GRAUS, ROSCA FEMEA TERMINAL, PLASTICO, PARA CONEXAO COM CRIMPAGEM, DN 20 MM X 3/4", EM TUBO PEX PARA INST. AGUA QUENTE/FRIA</t>
  </si>
  <si>
    <t>JOELHO/COTOVELO 90 GRAUS, ROSCA FEMEA TERMINAL, PLASTICO, PARA CONEXAO COM CRIMPAGEM, DN 25 MM X 1/2", EM TUBO PEX PARA INST. AGUA QUENTE/FRIA</t>
  </si>
  <si>
    <t>JOELHO/COTOVELO 90 GRAUS, ROSCA FEMEA, COM BASE FIXA, METALICO, PARA CONEXAO COM ANEL DESLIZANTE, DN 16 MM X 1/2", EM TUBO PEX PARA INST. AGUA QUENTE/FRIA</t>
  </si>
  <si>
    <t>JOELHO/COTOVELO 90 GRAUS, ROSCA FEMEA, COM BASE FIXA, METALICO, PARA CONEXAO COM ANEL DESLIZANTE, DN 20 MM X 1/2", EM TUBO PEX PARA INST. AGUA QUENTE/FRIA</t>
  </si>
  <si>
    <t>JOELHO/COTOVELO 90 GRAUS, ROSCA FEMEA, COM BASE FIXA, METALICO, PARA CONEXAO COM ANEL DESLIZANTE, DN 25 MM X 3/4", EM TUBO PEX PARA INST. AGUA QUENTE/FRIA</t>
  </si>
  <si>
    <t>JOGO DE TRANQUETA E ROSETA QUADRADA DE SOBREPOR SEM FUROS, EM LATAO CROMADO, *50 X 50* MM, PARA FECHADURA DE PORTA DE BANHEIRO</t>
  </si>
  <si>
    <t>JOGO DE TRANQUETA E ROSETA REDONDA DE SOBREPOR SEM FUROS, EM LATAO CROMADO, DIAMETRO *50* MM, PARA FECHADURA DE PORTA DE BANHEIRO</t>
  </si>
  <si>
    <t>JUNCAO 2 GARRAS PARA FITA PERFURADA</t>
  </si>
  <si>
    <t>JUNCAO DE REDUCAO INVERTIDA, PVC SOLDAVEL, 100 X 50 MM, SERIE NORMAL PARA ESGOTO PREDIAL</t>
  </si>
  <si>
    <t>JUNCAO DE REDUCAO INVERTIDA, PVC SOLDAVEL, 100 X 75 MM, SERIE NORMAL PARA ESGOTO PREDIAL</t>
  </si>
  <si>
    <t>JUNCAO DE REDUCAO INVERTIDA, PVC SOLDAVEL, 75 X 50 MM, SERIE NORMAL PARA ESGOTO PREDIAL</t>
  </si>
  <si>
    <t>JUNCAO DUPLA, PVC SERIE R, DN 100 X 100 X 100 MM, PARA ESGOTO PREDIAL</t>
  </si>
  <si>
    <t>JUNCAO DUPLA, PVC SOLDAVEL, DN 100 X 100 X 100 MM, SERIE NORMAL PARA ESGOTO PREDIAL</t>
  </si>
  <si>
    <t>JUNCAO INVERTIDA, PVC SOLDAVEL, 75 X 75 MM, SERIE NORMAL PARA ESGOTO PREDIAL</t>
  </si>
  <si>
    <t>JUNCAO SIMPLES DE REDUCAO, PVC, DN 100 X 50 MM, SERIE NORMAL PARA ESGOTO PREDIAL</t>
  </si>
  <si>
    <t>JUNCAO SIMPLES DE REDUCAO, PVC, DN 100 X 75 MM, SERIE NORMAL PARA ESGOTO PREDIAL</t>
  </si>
  <si>
    <t>JUNCAO SIMPLES, PVC SERIE R, DN 100 X 100 MM, PARA ESGOTO PREDIAL</t>
  </si>
  <si>
    <t>JUNCAO SIMPLES, PVC SERIE R, DN 100 X 75 MM, PARA ESGOTO PREDIAL</t>
  </si>
  <si>
    <t>JUNCAO SIMPLES, PVC SERIE R, DN 150 X 100 MM, PARA ESGOTO PREDIAL</t>
  </si>
  <si>
    <t>JUNCAO SIMPLES, PVC SERIE R, DN 150 X 150 MM, PARA ESGOTO PREDIAL</t>
  </si>
  <si>
    <t>JUNCAO SIMPLES, PVC SERIE R, DN 40 X 40 MM, PARA ESGOTO PREDIAL</t>
  </si>
  <si>
    <t>JUNCAO SIMPLES, PVC SERIE R, DN 50 X 50 MM, PARA ESGOTO PREDIAL</t>
  </si>
  <si>
    <t>JUNCAO SIMPLES, PVC SERIE R, DN 75 X 75 MM, PARA ESGOTO PREDIAL</t>
  </si>
  <si>
    <t>JUNCAO SIMPLES, PVC, 45 GRAUS, DN 100 X 100 MM, SERIE NORMAL PARA ESGOTO PREDIAL</t>
  </si>
  <si>
    <t>JUNCAO SIMPLES, PVC, 45 GRAUS, DN 40 X 40 MM, SERIE NORMAL PARA ESGOTO PREDIAL</t>
  </si>
  <si>
    <t>JUNCAO SIMPLES, PVC, 45 GRAUS, DN 50 X 50 MM, SERIE NORMAL PARA ESGOTO PREDIAL</t>
  </si>
  <si>
    <t>JUNCAO SIMPLES, PVC, 45 GRAUS, DN 75 X 75 MM, SERIE NORMAL PARA ESGOTO PREDIAL</t>
  </si>
  <si>
    <t>JUNCAO, PVC, 45 GRAUS, JE, BBB, DN 150 MM, PARA TUBO CORRUGADO E/OU LISO, REDE COLETORA DE ESGOTO</t>
  </si>
  <si>
    <t>JUNTA DE EXPANSAO BRONZE/LATAO, PONTA X PONTA, 35 MM</t>
  </si>
  <si>
    <t>JUNTA DE EXPANSAO BRONZE/LATAO, PONTA X PONTA, 42 MM</t>
  </si>
  <si>
    <t>JUNTA DE EXPANSAO BRONZE/LATAO, PONTA X PONTA, 54 MM</t>
  </si>
  <si>
    <t>JUNTA DE EXPANSAO BRONZE/LATAO, PONTA X PONTA, 66 MM</t>
  </si>
  <si>
    <t>JUNTA DE EXPANSAO DE COBRE, PONTA X PONTA, 15 MM</t>
  </si>
  <si>
    <t>JUNTA DE EXPANSAO DE COBRE, PONTA X PONTA, 22 MM</t>
  </si>
  <si>
    <t>JUNTA DE EXPANSAO DE COBRE, PONTA X PONTA, 28 MM</t>
  </si>
  <si>
    <t>JUNTA DILATACAO ELASTICA PARA CONCRETO (FUGENBAND) O-12, ATE 5 MCA</t>
  </si>
  <si>
    <t>JUNTA DILATACAO ELASTICA PARA CONCRETO (FUGENBAND) O-22, ATE 30 MCA</t>
  </si>
  <si>
    <t>JUNTA DILATACAO ELASTICA PARA CONCRETO (FUGENBAND) O-35/10, ATE 100 MCA</t>
  </si>
  <si>
    <t>JUNTA DILATACAO ELASTICA PARA CONCRETO (FUGENBAND) O-35/6, ATE 100 MCA</t>
  </si>
  <si>
    <t>JUNTA PLASTICA DE DILATACAO PARA PISOS, COR CINZA, 10 X 4,5 MM (ALTURA X ESPESSURA)</t>
  </si>
  <si>
    <t>JUNTA PLASTICA DE DILATACAO PARA PISOS, COR CINZA, 17 X 3 MM (ALTURA X ESPESSURA)</t>
  </si>
  <si>
    <t>JUNTA PLASTICA DE DILATACAO PARA PISOS, COR CINZA, 27 X 3 MM (ALTURA X ESPESSURA)</t>
  </si>
  <si>
    <t>KIT ACESSORIOS PARA COMPRESSOR DE AR, 5 PECAS (PISTOLAS PINTURA, LIMPEZA E PULVERIZACAO, CALIBRADOR E MANGUEIRA)</t>
  </si>
  <si>
    <t>KIT CAVALETE, PVC, COM REGISTRO, PARA HIDROMETRO, BITOLAS 1/2" OU 3/4" - COMPLETO</t>
  </si>
  <si>
    <t>KIT CHASSI COZINHA, CUBA SIMPLES SEM MAQUINA LAVAR LOUCA, INSTAL. PEX, QUADRO METALICO C/ TRAVESSA C/ FURO P/ESGOTO DN 50 MM E FUROS SUPERIORES P/AGUA, *340* X *650* MM (L X H), P/ CONEXAO COM ANEL DESLIZANTE (CONJUNTO COMPLETO)</t>
  </si>
  <si>
    <t>KIT CHASSI COZINHA, CUBA SIMPLES SEM MAQUINA LAVAR LOUCA, INSTAL. PEX, QUADRO METALICO C/ TRAVESSA COM FURO P/ESGOTO DN 50 MM E FUROS SUPERIORES P/AGUA, *340* X *650* MM (L X H), P/ CONEXAO COM CRIMPAGEM (CONJUNTO COMPLETO)</t>
  </si>
  <si>
    <t>KIT CHASSI TANQUE E MAQUINA LAVAR ROUPA, INSTAL. PEX, QUADRO METALICO C/ TRAVESSA C/ FURO P/ ESGOTO DN 50 MM, FURO LATERAL P/ MAQUINA E FUROS SUPERIORES P/ AGUA, *344* X *442* MM (L X H), P/ CONEXAO COM ANEL DESLIZANTE (CONJUNTO COMPLETO)</t>
  </si>
  <si>
    <t>KIT CHASSI TANQUE E MAQUINA LAVAR ROUPA, INSTAL. PEX, QUADRO METALICO C/ TRAVESSA C/ FURO P/ ESGOTO DN 50 MM, FURO LATERAL P/MAQUINA E FUROS SUPERIORES P/AGUA, *344* X *442* MM (L X H), P/ CONEXAO COM CRIMPAGEM (CONJUNTO COMPLETO)</t>
  </si>
  <si>
    <t>KIT DE ACESSORIOS PARA BANHEIRO EM METAL CROMADO, 5 PECAS</t>
  </si>
  <si>
    <t>KIT DE MATERIAIS PARA BRACADEIRA PARA FIXACAO EM POSTE CIRCULAR, CONTEM TRES FIXADORES E UM ROLO DE FITA DE 3 M EM ACO CARBONO</t>
  </si>
  <si>
    <t>KIT DE PROTECAO ARSTOP PARA AR CONDICIONADO, TOMADA PADRAO 2P+T 20 A, COM DISJUNTOR UNIPOLAR DIN 20A</t>
  </si>
  <si>
    <t>KIT PORTA PRONTA DE MADEIRA, FOLHA LEVE (NBR 15930) DE 600 X 2100 MM OU 700 X 2100 MM, DE 35 MM A 40 MM DE ESPESSURA, COM MARCO EM ACO, NUCLEO COLMEIA, CAPA LISA EM HDF, ACABAMENTO MELAMINICO BRANCO (INCLUI MARCO, ALIZARES, DOBRADICAS E FECHADURA)</t>
  </si>
  <si>
    <t>KIT PORTA PRONTA DE MADEIRA, FOLHA LEVE (NBR 15930) DE 600 X 2100 MM OU 700 X 2100 MM, DE 35 MM A 40 MM DE ESPESSURA, NUCLEO COLMEIA, ESTRUTURA USINADA PARA FECHADURA, CAPA LISA EM HDF, ACABAMENTO EM PRIMER PARA PINTURA (INCLUI MARCO, ALIZARES E DOBRADICAS)</t>
  </si>
  <si>
    <t>KIT PORTA PRONTA DE MADEIRA, FOLHA LEVE (NBR 15930) DE 800 X 2100 MM, DE 35 MM A 40 MM DE ESPESSURA, COM MARCO EM ACO, NUCLEO COLMEIA, CAPA LISA EM HDF, ACABAMENTO MELAMINICO BRANCO (INCLUI MARCO, ALIZARES, DOBRADICAS E FECHADURA)</t>
  </si>
  <si>
    <t>KIT PORTA PRONTA DE MADEIRA, FOLHA LEVE (NBR 15930) DE 800 X 2100 MM, DE 35 MM A 40 MM DE ESPESSURA, NUCLEO COLMEIA, ESTRUTURA USINADA PARA FECHADURA, CAPA LISA EM HDF, ACABAMENTO EM PRIMER PARA PINTURA (INCLUI MARCO, ALIZARES E DOBRADICAS)</t>
  </si>
  <si>
    <t>KIT PORTA PRONTA DE MADEIRA, FOLHA LEVE (NBR 15930) DE 900 X 2100 MM, DE 35 MM A 40 MM DE ESPESSURA, COM MARCO EM ACO, NUCLEO COLMEIA, CAPA LISA EM HDF, ACABAMENTO MELAMINICO BRANCO (INCLUI MARCO, ALIZARES, DOBRADICAS E FECHADURA)</t>
  </si>
  <si>
    <t>KIT PORTA PRONTA DE MADEIRA, FOLHA LEVE (NBR 15930) DE 900 X 2100 MM, DE 35 MM A 40 MM DE ESPESSURA, NUCLEO COLMEIA, ESTRUTURA USINADA PARA FECHADURA, CAPA LISA EM HDF, ACABAMENTO EM PRIMER PARA PINTURA (INCLUI MARCO, ALIZARES E DOBRADICAS)</t>
  </si>
  <si>
    <t>KIT PORTA PRONTA DE MADEIRA, FOLHA MEDIA (NBR 15930) DE 600 X 2100 MM OU 700 X 2100 MM, DE 35 MM A 40 MM DE ESPESSURA, NUCLEO SEMI-SOLIDO (SARRAFEADO), ESTRUTURA USINADA PARA FECHADURA, CAPA LISA EM HDF, ACABAMENTO MELAMINICO BRANCO (INCLUI MARCO, ALIZARES E DOBRADICAS)</t>
  </si>
  <si>
    <t>KIT PORTA PRONTA DE MADEIRA, FOLHA MEDIA (NBR 15930) DE 600 X 2100 MM, DE 35 MM A 40 MM DE ESPESSURA, NUCLEO SEMI-SOLIDO (SARRAFEADO), ESTRUTURA USINADA PARA FECHADURA, CAPA LISA EM HDF, ACABAMENTO EM PRIMER PARA PINTURA (INCLUI MARCO, ALIZARES E DOBRADICAS)</t>
  </si>
  <si>
    <t>KIT PORTA PRONTA DE MADEIRA, FOLHA MEDIA (NBR 15930) DE 700 X 2100 MM, DE 35 MM A 40 MM DE ESPESSURA, NUCLEO SEMI-SOLIDO (SARRAFEADO), ESTRUTURA USINADA PARA FECHADURA, CAPA LISA EM HDF, ACABAMENTO EM PRIMER PARA PINTURA (INCLUI MARCO, ALIZARES E DOBRADICAS)</t>
  </si>
  <si>
    <t>KIT PORTA PRONTA DE MADEIRA, FOLHA MEDIA (NBR 15930) DE 800 X 2100 MM, DE 35 MM A 40 MM DE ESPESSURA, NUCLEO SEMI-SOLIDO (SARRAFEADO), ESTRUTURA USINADA PARA FECHADURA, CAPA LISA EM HDF, ACABAMENTO EM PRIMER PARA PINTURA (INCLUI MARCO, ALIZARES E DOBRADICAS)</t>
  </si>
  <si>
    <t>KIT PORTA PRONTA DE MADEIRA, FOLHA MEDIA (NBR 15930) DE 800 X 2100 MM, DE 35 MM A 40 MM DE ESPESSURA, NUCLEO SEMI-SOLIDO (SARRAFEADO), ESTRUTURA USINADA PARA FECHADURA, CAPA LISA EM HDF, ACABAMENTO MELAMINICO BRANCO (INCLUI MARCO, ALIZARES E DOBRADICAS)</t>
  </si>
  <si>
    <t>KIT PORTA PRONTA DE MADEIRA, FOLHA MEDIA (NBR 15930) DE 900 X 2100 MM, DE 35 MM A 40 MM DE ESPESSURA, NUCLEO SEMI-SOLIDO (SARRAFEADO), ESTRUTURA USINADA PARA FECHADURA, CAPA LISA EM HDF, ACABAMENTO EM PRIMER PARA PINTURA (INCLUI MARCO, ALIZARES E DOBRADICAS)</t>
  </si>
  <si>
    <t>KIT PORTA PRONTA DE MADEIRA, FOLHA MEDIA (NBR 15930) DE 900 X 2100 MM, DE 35 MM A 40 MM DE ESPESSURA, NUCLEO SEMI-SOLIDO (SARRAFEADO), ESTRUTURA USINADA PARA FECHADURA, CAPA LISA EM HDF, ACABAMENTO MELAMINICO BRANCO (INCLUI MARCO, ALIZARES E DOBRADICAS)</t>
  </si>
  <si>
    <t>KIT PORTA PRONTA DE MADEIRA, FOLHA PESADA (NBR 15930) DE 800 X 2100 MM, DE 40 MM A 45 MM DE ESPESSURA, COM MARCO EM ACO, NUCLEO SOLIDO, CAPA LISA EM HDF, ACABAMENTO MELAMINICO BRANCO (INCLUI MARCO, ALIZARES, DOBRADICAS E FECHADURA)</t>
  </si>
  <si>
    <t>KIT PORTA PRONTA DE MADEIRA, FOLHA PESADA (NBR 15930) DE 800 X 2100 MM, DE 40 MM A 45 MM DE ESPESSURA, NUCLEO SOLIDO, CAPA LISA EM HDF, ACABAMENTO MELAMINICO BRANCO (INCLUI MARCO, ALIZARES, DOBRADICAS E FECHADURA EXTERNA)</t>
  </si>
  <si>
    <t>KIT PORTA PRONTA DE MADEIRA, FOLHA PESADA (NBR 15930) DE 800 X 2100 MM, DE 40 MM A 45 MM DE ESPESSURA, NUCLEO SOLIDO, ESTRUTURA USINADA PARA FECHADURA, CAPA LISA EM HDF, ACABAMENTO EM LAMINADO NATURAL COM VERNIZ (INCLUI MARCO, ALIZARES E DOBRADICAS)</t>
  </si>
  <si>
    <t>KIT PORTA PRONTA DE MADEIRA, FOLHA PESADA (NBR 15930) DE 900 X 2100 MM, DE 40 MM A 45 MM DE ESPESSURA, COM MARCO EM ACO, NUCLEO SOLIDO, CAPA LISA EM HDF, ACABAMENTO MELAMINICO BRANCO (INCLUI MARCO, ALIZARES, DOBRADICAS E FECHADURA)</t>
  </si>
  <si>
    <t>KIT PORTA PRONTA DE MADEIRA, FOLHA PESADA (NBR 15930) DE 900 X 2100 MM, DE 40 MM A 45 MM DE ESPESSURA, NUCLEO SOLIDO, CAPA LISA EM HDF, ACABAMENTO MELAMINICO BRANCO (INCLUI MARCO, ALIZARES, DOBRADICAS E FECHADURA EXTERNA)</t>
  </si>
  <si>
    <t>KIT PORTA PRONTA DE MADEIRA, FOLHA PESADA (NBR 15930) DE 900 X 2100 MM, DE 40 MM A 45 MM DE ESPESSURA, NUCLEO SOLIDO, ESTRUTURA USINADA PARA FECHADURA, CAPA LISA EM HDF, ACABAMENTO EM LAMINADO NATURAL COM VERNIZ (INCLUI MARCO, ALIZARES E DOBRADICAS)</t>
  </si>
  <si>
    <t>LADRILHO HIDRAULICO, *20 X 20* CM, E= 2 CM, PADRAO COPACABANA, 2 CORES (PRETO E BRANCO)</t>
  </si>
  <si>
    <t>LADRILHO HIDRAULICO, *20 X 20* CM, E= 2 CM, PADRAO DADOS, COR NATURAL</t>
  </si>
  <si>
    <t>LADRILHO HIDRAULICO, *25 X 25* CM, E= 2 CM, PADRAO RAMPA, COR NATURAL</t>
  </si>
  <si>
    <t>LADRILHO HIDRAULICO, *30 X 30* CM, E= 2 CM, PADRAO MILANO, COR NATURAL</t>
  </si>
  <si>
    <t>LAJE PRE-MOLDADA TRELICADA (LAJOTAS + VIGOTAS) PARA FORRO, UNIDIRECIONAL, SOBRECARGA DE 100 KG/M2, VAO ATE 6,00 M (SEM COLOCACAO)</t>
  </si>
  <si>
    <t>LAMPADA LED 10 W BIVOLT BRANCA, FORMATO TRADICIONAL (BASE E27)</t>
  </si>
  <si>
    <t>LAMPADA LED 6 W BIVOLT BRANCA, FORMATO TRADICIONAL (BASE E27)</t>
  </si>
  <si>
    <t>LAMPADA LED TIPO DICROICA BIVOLT, LUZ BRANCA, 5 W (BASE GU10)</t>
  </si>
  <si>
    <t>LAMPADA LED TUBULAR BIVOLT 18/20 W, BASE G13</t>
  </si>
  <si>
    <t>LAMPADA LED TUBULAR BIVOLT 9/10 W, BASE G13</t>
  </si>
  <si>
    <t>LAVADORA DE ALTA PRESSAO (LAVA - JATO) PARA AGUA FRIA, PRESSAO DE OPERACAO ENTRE 1400 E 1900 LIB/POL2, VAZAO MAXIMA ENTRE 400 E 700 L/H, POTENCIA DE OPERACAO ENTRE 2,50 E 3,00 CV</t>
  </si>
  <si>
    <t>LAVATORIO / CUBA DE EMBUTIR, OVAL, DE LOUCA BRANCA, SEM LADRAO, DIMENSOES *50 X 35* CM (L X C)</t>
  </si>
  <si>
    <t>LAVATORIO / CUBA DE EMBUTIR, OVAL, DE LOUCA COLORIDA, SEM LADRAO, DIMENSOES *50 X 35* CM (L X C)</t>
  </si>
  <si>
    <t>LAVATORIO / CUBA DE SOBREPOR, OVAL PEQUENA, DE LOUCA BRANCA, SEM LADRAO, DIMENSOES *44 X 31* CM (L X C)</t>
  </si>
  <si>
    <t>LAVATORIO / CUBA DE SOBREPOR, RETANGULAR, DE LOUCA BRANCA, COM LADRAO, DIMENSOES *52 X 45* CM (L X C)</t>
  </si>
  <si>
    <t>LAVATORIO / CUBA DE SOBREPOR, RETANGULAR, DE LOUCA COLORIDA, COM LADRAO, DIMENSOES *52 X 45* CM (L X C)</t>
  </si>
  <si>
    <t>LAVATORIO DE CANTO DE LOUCA BRANCA, SUSPENSO (SEM COLUNA), DIMENSOES *40 X 30* CM (L X C)</t>
  </si>
  <si>
    <t>LAVATORIO DE LOUCA BRANCA, COM COLUNA, DIMENSOES *44 X 35* CM (L X C)</t>
  </si>
  <si>
    <t>LAVATORIO DE LOUCA BRANCA, COM COLUNA, DIMENSOES *54 X 44* CM (L X C)</t>
  </si>
  <si>
    <t>LAVATORIO DE LOUCA BRANCA, SUSPENSO (SEM COLUNA), DIMENSOES *40 X 30* CM</t>
  </si>
  <si>
    <t>LAVATORIO DE LOUCA COLORIDA, COM COLUNA, DIMENSOES *54 X 44* CM (L X C)</t>
  </si>
  <si>
    <t>LAVATORIO DE LOUCA COLORIDA, SUSPENSO (SEM COLUNA), DIMENSOES *40 X 30* CM (L X C)</t>
  </si>
  <si>
    <t>LETRA ACO INOX (AISI 304), CHAPA NUM. 22, RECORTADO, H= 20 CM (SEM RELEVO)</t>
  </si>
  <si>
    <t>LEVANTADOR DE JANELA GUILHOTINA, EM LATAO CROMADO</t>
  </si>
  <si>
    <t>LIMPA VIDROS COM PULVERIZADOR</t>
  </si>
  <si>
    <t>LIMPADORA A SUCCAO, TANQUE 12000 L, BASCULAMENTO HIDRAULICO, BOMBA 12 M3/MIN 95% VACUO (INCLUI MONTAGEM, NAO INCLUI CAMINHAO)</t>
  </si>
  <si>
    <t>LINHA PARA PEDREIRO LISA, 0,8 MM X 100 M</t>
  </si>
  <si>
    <t>LIXA D'AGUA EM FOLHA, COR PRETA, GRAO 100</t>
  </si>
  <si>
    <t>LIXA EM FOLHA PARA FERRO, NUMERO 150</t>
  </si>
  <si>
    <t>LIXA EM FOLHA PARA PAREDE OU MADEIRA, NUMERO 120, COR VERMELHA</t>
  </si>
  <si>
    <t>LIXEIRA DUPLA, COM CAPACIDADE VOLUMETRICA DE 60L*, FABRICADA EM TUBO DE ACO CARBONO, CESTOS EM CHAPA DE ACO E PINTURA NO PROCESSO ELETROSTATICO - PARA ACADEMIA AO AR LIVRE / ACADEMIA DA TERCEIRA IDADE - ATI</t>
  </si>
  <si>
    <t>LOCACAO DE ANDAIME METALICO TIPO FACHADEIRO, PECAS COM APROXIMADAMENTE 1,20 M DE LARGURA E 2,0 M DE ALTURA, INCLUINDO DIAGONAIS EM X, BARRAS DE LIGACAO, SAPATAS E DEMAIS ITENS NECESSARIOS A MONTAGEM (NAO INCLUI INSTALACAO)</t>
  </si>
  <si>
    <t>LOCACAO DE ANDAIME METALICO TUBULAR DE ENCAIXE, TIPO DE TORRE, CADA PAINEL COM LARGURA DE 1 ATE 1,5 M E ALTURA DE *1,00* M, INCLUINDO DIAGONAL, BARRAS DE LIGACAO, SAPATAS OU RODIZIOS E DEMAIS ITENS NECESSARIOS A MONTAGEM (NAO INCLUI INSTALACAO)</t>
  </si>
  <si>
    <t>LOCACAO DE ANDAIME SUSPENSO OU BALANCIM MANUAL, CAPACIDADE DE CARGA TOTAL DE APROXIMADAMENTE 250 KG/M2, PLATAFORMA DE 1,50 M X 0,80 M (C X L), CABO DE 45 M</t>
  </si>
  <si>
    <t>LOCACAO DE APRUMADOR METALICO DE PILAR, COM ALTURA E ANGULO REGULAVEIS, EXTENSAO DE *1,50* A *2,80* M</t>
  </si>
  <si>
    <t>LOCACAO DE BARRA DE ANCORAGEM DE 0,80 A 1,20 M DE EXTENSAO, COM ROSCA DE 5/8", INCLUINDO PORCA E FLANGE</t>
  </si>
  <si>
    <t>LOCACAO DE CONTAINER 2,30 X 4,30 M, ALT. 2,50 M, P/ SANITARIO, C/ 5 BACIAS, 1 LAVATORIO E 4 MICTORIOS (NAO INCLUI MOBILIZACAO/DESMOBILIZACAO)</t>
  </si>
  <si>
    <t>LOCACAO DE CONTAINER 2,30 X 4,30 M, ALT. 2,50 M, PARA SANITARIO, COM 3 BACIAS, 4 CHUVEIROS, 1 LAVATORIO E 1 MICTORIO (NAO INCLUI MOBILIZACAO/DESMOBILIZACAO)</t>
  </si>
  <si>
    <t>LOCACAO DE CONTAINER 2,30 X 6,00 M, ALT. 2,50 M, COM 1 SANITARIO, PARA ESCRITORIO, COMPLETO, SEM DIVISORIAS INTERNAS (NAO INCLUI MOBILIZACAO/DESMOBILIZACAO)</t>
  </si>
  <si>
    <t>LOCACAO DE CONTAINER 2,30 X 6,00 M, ALT. 2,50 M, PARA ESCRITORIO, SEM DIVISORIAS INTERNAS E SEM SANITARIO (NAO INCLUI MOBILIZACAO/DESMOBILIZACAO)</t>
  </si>
  <si>
    <t>LOCACAO DE CONTAINER 2,30 X 6,00 M, ALT. 2,50 M, PARA SANITARIO, COM 4 BACIAS, 8 CHUVEIROS,1 LAVATORIO E 1 MICTORIO (NAO INCLUI MOBILIZACAO/DESMOBILIZACAO)</t>
  </si>
  <si>
    <t>LOCACAO DE CRUZETA, SIMPLES, PARA ESCORA METALICA, COMPRIMENTO ENTRE 50 A 60 CM, PARA ESCORA DE 1,80 A 3,20 METROS E TUBO EXTERNO ATE 48 MM DE DIAMETRO</t>
  </si>
  <si>
    <t>LOCACAO DE ESCORA METALICA TELESCOPICA, COM ALTURA REGULAVEL DE *1,80* A *3,20* M, COM CAPACIDADE DE CARGA DE NO MINIMO 1000 KGF (10 KN), INCLUSO TRIPE E FORCADO</t>
  </si>
  <si>
    <t>LOCACAO DE FORMA PLASTICA PARA LAJE NERVURADA, DIMENSOES *60* X *60* X *16* CM</t>
  </si>
  <si>
    <t>LOCACAO DE GRUPO GERADOR *80 A 125* KVA, MOTOR DIESEL, REBOCAVEL, ACIONAMENTO MANUAL</t>
  </si>
  <si>
    <t>LOCACAO DE GRUPO GERADOR ACIMA DE * 125 ATE 180* KVA, MOTOR DIESEL, REBOCAVEL, ACIONAMENTO MANUAL</t>
  </si>
  <si>
    <t>LOCACAO DE GRUPO GERADOR DE *260* KVA, DIESEL REBOCAVEL, ACIONAMENTO MANUAL</t>
  </si>
  <si>
    <t>LOCACAO DE NIVEL OPTICO, COM PRECISAO DE 0,7 MM, AUMENTO DE 32X</t>
  </si>
  <si>
    <t>LOCACAO DE TEODOLITO ELETRONICO, PRECISAO ANGULAR DE 5 A 7 SEGUNDOS, INCLUINDO TRIPE</t>
  </si>
  <si>
    <t>LOCACAO DE TORRE METALICA COMPLETA PARA UMA CARGA DE 8 TF (80 KN) E PE DIREITO DE 6 M, INCLUINDO MODULOS, DIAGONAIS, SAPATAS E FORCADOS</t>
  </si>
  <si>
    <t>LOCACAO DE VIGA SANDUICHE METALICA VAZADA PARA TRAVAMENTO DE PILARES, ALTURA DE *8* CM, LARGURA DE *6* CM E EXTENSAO DE 2 M</t>
  </si>
  <si>
    <t>LONA PLASTICA EXTRA FORTE PRETA, E = 200 MICRA</t>
  </si>
  <si>
    <t>LONA PLASTICA PESADA PRETA, E = 150 MICRA</t>
  </si>
  <si>
    <t>LUBRIFICANTE REDUTOR DE TORQUE E ARRASTO DE ALTO DESEMPENHO, PARA PERFURACAO HORIZONTAL DIRECIONAL, HDD</t>
  </si>
  <si>
    <t>LUMINARIA ABERTA P/ ILUMINACAO PUBLICA, TIPO X-57 PETERCO OU EQUIV</t>
  </si>
  <si>
    <t>LUMINARIA ARANDELA TIPO MEIA-LUA COM VIDRO FOSCO *30 X 15* CM, PARA 1 LAMPADA, BASE E27, POTENCIA MAXIMA 40/60 W (NAO INCLUI LAMPADA)</t>
  </si>
  <si>
    <t>LUMINARIA DE EMERGENCIA 30 LEDS, POTENCIA 2 W, BATERIA DE LITIO, AUTONOMIA DE 6 HORAS</t>
  </si>
  <si>
    <t>LUMINARIA DE LED PARA ILUMINACAO PUBLICA, DE 138 W ATE 180 W, INVOLUCRO EM ALUMINIO OU ACO INOX</t>
  </si>
  <si>
    <t>LUMINARIA DE LED PARA ILUMINACAO PUBLICA, DE 181 W ATE 239 W, INVOLUCRO EM ALUMINIO OU ACO INOX</t>
  </si>
  <si>
    <t>LUMINARIA DE LED PARA ILUMINACAO PUBLICA, DE 240 W ATE 350 W, INVOLUCRO EM ALUMINIO OU ACO INOX</t>
  </si>
  <si>
    <t>LUMINARIA DE LED PARA ILUMINACAO PUBLICA, DE 33 W ATE 50 W, INVOLUCRO EM ALUMINIO OU ACO INOX</t>
  </si>
  <si>
    <t>LUMINARIA DE LED PARA ILUMINACAO PUBLICA, DE 51 W ATE 67 W, INVOLUCRO EM ALUMINIO OU ACO INOX</t>
  </si>
  <si>
    <t>LUMINARIA DE LED PARA ILUMINACAO PUBLICA, DE 68 W ATE 97 W, INVOLUCRO EM ALUMINIO OU ACO INOX</t>
  </si>
  <si>
    <t>LUMINARIA DE LED PARA ILUMINACAO PUBLICA, DE 98 W ATE 137 W, INVOLUCRO EM ALUMINIO OU ACO INOX</t>
  </si>
  <si>
    <t>LUMINARIA DE SOBREPOR EM CHAPA DE ACO COM ALETAS PLASTICAS, PARA 1 LAMPADA, BASE E27, POTENCIA MAXIMA 40/60 W (NAO INCLUI LAMPADA)</t>
  </si>
  <si>
    <t>LUMINARIA DE SOBREPOR EM CHAPA DE ACO COM ALETAS PLASTICAS, PARA 2 LAMPADAS, BASE E27, POTENCIA MAXIMA 40/60 W (NAO INCLUI LAMPADAS)</t>
  </si>
  <si>
    <t>LUMINARIA DE SOBREPOR EM CHAPA DE ACO PARA 1 LAMPADA FLUORESCENTE DE *36* W, ALETADA, COMPLETA (LAMPADA E REATOR INCLUSOS)</t>
  </si>
  <si>
    <t>LUMINARIA DE TETO PLAFON/PLAFONIER EM PLASTICO COM BASE E27, POTENCIA MAXIMA 60 W (NAO INCLUI LAMPADA)</t>
  </si>
  <si>
    <t>LUMINARIA DUPLA P/SINALIZACAO, TIPO WETZEL AS-2/110 OU EQUIV</t>
  </si>
  <si>
    <t>LUMINARIA LED PLAFON REDONDO DE SOBREPOR BIVOLT 12/13 W, D = *17* CM</t>
  </si>
  <si>
    <t>LUMINARIA LED REFLETOR RETANGULAR BIVOLT, LUZ BRANCA, 10 W</t>
  </si>
  <si>
    <t>LUMINARIA LED REFLETOR RETANGULAR BIVOLT, LUZ BRANCA, 30 W</t>
  </si>
  <si>
    <t>LUMINARIA LED REFLETOR RETANGULAR BIVOLT, LUZ BRANCA, 50 W</t>
  </si>
  <si>
    <t>LUMINARIA PLAFON REDONDO COM VIDRO FOSCO DIAMETRO *25* CM, PARA 1 LAMPADA, BASE E27, POTENCIA MAXIMA 40/60 W (NAO INCLUI LAMPADA)</t>
  </si>
  <si>
    <t>LUMINARIA PLAFON REDONDO COM VIDRO FOSCO DIAMETRO *30* CM, PARA 2 LAMPADAS, BASE E27, POTENCIA MAXIMA 40/60 W (NAO INCLUI LAMPADAS)</t>
  </si>
  <si>
    <t>LUMINARIA PROVA DE TEMPO PETERCO Y.31/1</t>
  </si>
  <si>
    <t>LUMINARIA SOLAR LED EXTERNA, TIPO ARANDELA DE PAREDE, EM ALUMINIO, 16 LEDS, LUZ BRANCA, *180* LUMENS, CAPACIDADE DE ILUMINACAO ATE 36 H, RETANGULAR, *13 X 9 X 7* (C X L X A), COM SENSOR DE MOVIMENTO / PRESENCA, BATERIA RECARREGAVEL COM LUZ SOLAR, RESISTENTE AO CALOR, A PROVA DE AGUA E POEIRA/ IMPERMEAVEL, IP65</t>
  </si>
  <si>
    <t>LUMINARIA SPOT DE SOBREPOR EM ALUMINIO COM ALETA PLASTICA PARA 1 LAMPADA, BASE E27, POTENCIA MAXIMA 40/60 W (NAO INCLUI LAMPADA)</t>
  </si>
  <si>
    <t>LUMINARIA SPOT DE SOBREPOR EM ALUMINIO COM ALETA PLASTICA PARA 2 LAMPADAS, BASE E27, POTENCIA MAXIMA 40/60 W (NAO INCLUI LAMPADA)</t>
  </si>
  <si>
    <t>LUMINARIA TIPO TARTARUGA A PROVA DE TEMPO, GASES, VAPOR E PO, EM ALUMINIO, COM GRADE, BASE E27, POTENCIA MAXIMA 100 W (NAO INCLUI LAMPADA)</t>
  </si>
  <si>
    <t>LUMINARIA TIPO TARTARUGA PARA AREA EXTERNA EM ALUMINIO, COM GRADE, PARA 1 LAMPADA, BASE E27, POTENCIA MAXIMA 40/60 W (NAO INCLUI LAMPADA)</t>
  </si>
  <si>
    <t>LUVA CPVC, SOLDAVEL, 114 MM, PARA AGUA QUENTE PREDIAL</t>
  </si>
  <si>
    <t>LUVA CPVC, SOLDAVEL, 15 MM, PARA AGUA QUENTE PREDIAL</t>
  </si>
  <si>
    <t>LUVA CPVC, SOLDAVEL, 22 MM, PARA AGUA QUENTE PREDIAL</t>
  </si>
  <si>
    <t>LUVA CPVC, SOLDAVEL, 28 MM, PARA AGUA QUENTE PREDIAL</t>
  </si>
  <si>
    <t>LUVA CPVC, SOLDAVEL, 35 MM, PARA AGUA QUENTE PREDIAL</t>
  </si>
  <si>
    <t>LUVA CPVC, SOLDAVEL, 42 MM, PARA AGUA QUENTE PREDIAL</t>
  </si>
  <si>
    <t>LUVA CPVC, SOLDAVEL, 54 MM, PARA AGUA QUENTE PREDIAL</t>
  </si>
  <si>
    <t>LUVA CPVC, SOLDAVEL, 73 MM, PARA AGUA QUENTE PREDIAL</t>
  </si>
  <si>
    <t>LUVA CPVC, SOLDAVEL, 89 MM, PARA AGUA QUENTE PREDIAL</t>
  </si>
  <si>
    <t>LUVA DE BORRACHA ISOLANTE PARA ALTA TENSAO, RESISTENTE A OZONIO, TENSAO DE ENSAIO 2,5 KV (PAR)</t>
  </si>
  <si>
    <t>LUVA DE COBRE SEM ANEL DE SOLDA, BOLSA X BOLSA, 104 MM</t>
  </si>
  <si>
    <t>LUVA DE COBRE SEM ANEL DE SOLDA, BOLSA X BOLSA, 15 MM</t>
  </si>
  <si>
    <t>LUVA DE COBRE SEM ANEL DE SOLDA, BOLSA X BOLSA, 22 MM</t>
  </si>
  <si>
    <t>LUVA DE COBRE SEM ANEL DE SOLDA, BOLSA X BOLSA, 28 MM</t>
  </si>
  <si>
    <t>LUVA DE COBRE SEM ANEL DE SOLDA, BOLSA X BOLSA, 35 MM</t>
  </si>
  <si>
    <t>LUVA DE COBRE SEM ANEL DE SOLDA, BOLSA X BOLSA, 42 MM</t>
  </si>
  <si>
    <t>LUVA DE COBRE SEM ANEL DE SOLDA, BOLSA X BOLSA, 54 MM</t>
  </si>
  <si>
    <t>LUVA DE COBRE SEM ANEL DE SOLDA, BOLSA X BOLSA, 66 MM</t>
  </si>
  <si>
    <t>LUVA DE COBRE SEM ANEL DE SOLDA, BOLSA X BOLSA, 79 MM</t>
  </si>
  <si>
    <t>LUVA DE CORRER COM TRAVAS DEFOFO, PVC, JE, DN 100 MM</t>
  </si>
  <si>
    <t>LUVA DE CORRER COM TRAVAS DEFOFO, PVC, JE, DN 150 MM</t>
  </si>
  <si>
    <t>LUVA DE CORRER COM TRAVAS DEFOFO, PVC, JE, DN 200 MM</t>
  </si>
  <si>
    <t>LUVA DE CORRER COM TRAVAS DEFOFO, PVC, JE, DN 250 MM</t>
  </si>
  <si>
    <t>LUVA DE CORRER COM TRAVAS DEFOFO, PVC, JE, DN 300 MM</t>
  </si>
  <si>
    <t>LUVA DE CORRER PARA TUBO ROSCAVEL, PVC, 1 1/2", PARA AGUA FRIA PREDIAL</t>
  </si>
  <si>
    <t>LUVA DE CORRER PARA TUBO ROSCAVEL, PVC, 1/2", PARA AGUA FRIA PREDIAL</t>
  </si>
  <si>
    <t>LUVA DE CORRER PARA TUBO ROSCAVEL, PVC, 3/4", PARA AGUA FRIA PREDIAL</t>
  </si>
  <si>
    <t>LUVA DE CORRER PARA TUBO SOLDAVEL, PVC, 20 MM, PARA AGUA FRIA PREDIAL</t>
  </si>
  <si>
    <t>LUVA DE CORRER PARA TUBO SOLDAVEL, PVC, 25 MM, PARA AGUA FRIA PREDIAL</t>
  </si>
  <si>
    <t>LUVA DE CORRER PARA TUBO SOLDAVEL, PVC, 32 MM, PARA AGUA FRIA PREDIAL</t>
  </si>
  <si>
    <t>LUVA DE CORRER PARA TUBO SOLDAVEL, PVC, 40 MM, PARA AGUA FRIA PREDIAL</t>
  </si>
  <si>
    <t>LUVA DE CORRER PARA TUBO SOLDAVEL, PVC, 50 MM, PARA AGUA FRIA PREDIAL</t>
  </si>
  <si>
    <t>LUVA DE CORRER PARA TUBO SOLDAVEL, PVC, 60 MM, PARA AGUA FRIA PREDIAL</t>
  </si>
  <si>
    <t>LUVA DE CORRER PVC PBA, JE, DN 100 / DE 110 MM, PARA REDE DE AGUA</t>
  </si>
  <si>
    <t>LUVA DE CORRER PVC PBA, JE, DN 50 / DE 60 MM, PARA REDE DE AGUA</t>
  </si>
  <si>
    <t>LUVA DE CORRER PVC PBA, JE, DN 75 / DE 85 MM, PARA REDE DE AGUA</t>
  </si>
  <si>
    <t>LUVA DE CORRER PVC, JE, DN 250 MM, PARA REDE COLETORA DE ESGOTO</t>
  </si>
  <si>
    <t>LUVA DE CORRER, CPVC, SOLDAVEL, 15 MM, PARA AGUA QUENTE PREDIAL</t>
  </si>
  <si>
    <t>LUVA DE CORRER, CPVC, SOLDAVEL, 22 MM, PARA AGUA QUENTE PREDIAL</t>
  </si>
  <si>
    <t>LUVA DE CORRER, CPVC, SOLDAVEL, 28 MM, PARA AGUA QUENTE PREDIAL</t>
  </si>
  <si>
    <t>LUVA DE CORRER, CPVC, SOLDAVEL, 35 MM, PARA AGUA QUENTE PREDIAL</t>
  </si>
  <si>
    <t>LUVA DE CORRER, CPVC, SOLDAVEL, 42 MM, PARA AGUA QUENTE PREDIAL</t>
  </si>
  <si>
    <t>LUVA DE CORRER, PVC SERIE R, 100 MM, PARA ESGOTO PREDIAL</t>
  </si>
  <si>
    <t>LUVA DE CORRER, PVC SERIE R, 150 MM, PARA ESGOTO PREDIAL</t>
  </si>
  <si>
    <t>LUVA DE CORRER, PVC SERIE R, 75 MM, PARA ESGOTO PREDIAL</t>
  </si>
  <si>
    <t>LUVA DE CORRER, PVC, DN 100 MM, PARA ESGOTO PREDIAL</t>
  </si>
  <si>
    <t>LUVA DE CORRER, PVC, DN 50 MM, PARA ESGOTO PREDIAL</t>
  </si>
  <si>
    <t>LUVA DE CORRER, PVC, DN 75 MM, PARA ESGOTO PREDIAL</t>
  </si>
  <si>
    <t>LUVA DE FERRO GALVANIZADO, COM ROSCA BSP MACHO/FEMEA, DE 3/4"</t>
  </si>
  <si>
    <t>LUVA DE FERRO GALVANIZADO, COM ROSCA BSP, DE 1 1/2"</t>
  </si>
  <si>
    <t>LUVA DE FERRO GALVANIZADO, COM ROSCA BSP, DE 1 1/4"</t>
  </si>
  <si>
    <t>LUVA DE FERRO GALVANIZADO, COM ROSCA BSP, DE 1"</t>
  </si>
  <si>
    <t>LUVA DE FERRO GALVANIZADO, COM ROSCA BSP, DE 1/2"</t>
  </si>
  <si>
    <t>LUVA DE FERRO GALVANIZADO, COM ROSCA BSP, DE 2 1/2"</t>
  </si>
  <si>
    <t>LUVA DE FERRO GALVANIZADO, COM ROSCA BSP, DE 2"</t>
  </si>
  <si>
    <t>LUVA DE FERRO GALVANIZADO, COM ROSCA BSP, DE 3"</t>
  </si>
  <si>
    <t>LUVA DE FERRO GALVANIZADO, COM ROSCA BSP, DE 3/4"</t>
  </si>
  <si>
    <t>LUVA DE FERRO GALVANIZADO, COM ROSCA BSP, DE 4"</t>
  </si>
  <si>
    <t>LUVA DE FERRO GALVANIZADO, COM ROSCA BSP, DE 5"</t>
  </si>
  <si>
    <t>LUVA DE FERRO GALVANIZADO, COM ROSCA BSP, DE 6"</t>
  </si>
  <si>
    <t>LUVA DE PRESSAO, EM PVC, DE 20 MM, PARA ELETRODUTO FLEXIVEL</t>
  </si>
  <si>
    <t>LUVA DE PRESSAO, EM PVC, DE 25 MM, PARA ELETRODUTO FLEXIVEL</t>
  </si>
  <si>
    <t>LUVA DE PRESSAO, EM PVC, DE 32 MM, PARA ELETRODUTO FLEXIVEL</t>
  </si>
  <si>
    <t>LUVA DE REDUCAO DE FERRO GALVANIZADO, COM ROSCA BSP MACHO/FEMEA, DE 1 1/2" X 1"</t>
  </si>
  <si>
    <t>LUVA DE REDUCAO DE FERRO GALVANIZADO, COM ROSCA BSP MACHO/FEMEA, DE 1" X 1/2"</t>
  </si>
  <si>
    <t>LUVA DE REDUCAO DE FERRO GALVANIZADO, COM ROSCA BSP MACHO/FEMEA, DE 1" X 3/4"</t>
  </si>
  <si>
    <t>LUVA DE REDUCAO DE FERRO GALVANIZADO, COM ROSCA BSP MACHO/FEMEA, DE 3/4" X 1/2"</t>
  </si>
  <si>
    <t>LUVA DE REDUCAO DE FERRO GALVANIZADO, COM ROSCA BSP, DE 1 1/2" X 1 1/4"</t>
  </si>
  <si>
    <t>LUVA DE REDUCAO DE FERRO GALVANIZADO, COM ROSCA BSP, DE 1 1/2" X 1"</t>
  </si>
  <si>
    <t>LUVA DE REDUCAO DE FERRO GALVANIZADO, COM ROSCA BSP, DE 1 1/2" X 1/2"</t>
  </si>
  <si>
    <t>LUVA DE REDUCAO DE FERRO GALVANIZADO, COM ROSCA BSP, DE 1 1/2" X 3/4"</t>
  </si>
  <si>
    <t>LUVA DE REDUCAO DE FERRO GALVANIZADO, COM ROSCA BSP, DE 1 1/4" X 1"</t>
  </si>
  <si>
    <t>LUVA DE REDUCAO DE FERRO GALVANIZADO, COM ROSCA BSP, DE 1 1/4" X 1/2"</t>
  </si>
  <si>
    <t>LUVA DE REDUCAO DE FERRO GALVANIZADO, COM ROSCA BSP, DE 1 1/4" X 3/4"</t>
  </si>
  <si>
    <t>LUVA DE REDUCAO DE FERRO GALVANIZADO, COM ROSCA BSP, DE 1" X 1/2"</t>
  </si>
  <si>
    <t>LUVA DE REDUCAO DE FERRO GALVANIZADO, COM ROSCA BSP, DE 1" X 3/4"</t>
  </si>
  <si>
    <t>LUVA DE REDUCAO DE FERRO GALVANIZADO, COM ROSCA BSP, DE 2 1/2" X 1 1/2"</t>
  </si>
  <si>
    <t>LUVA DE REDUCAO DE FERRO GALVANIZADO, COM ROSCA BSP, DE 2 1/2" X 2"</t>
  </si>
  <si>
    <t>LUVA DE REDUCAO DE FERRO GALVANIZADO, COM ROSCA BSP, DE 2" X 1 1/2"</t>
  </si>
  <si>
    <t>LUVA DE REDUCAO DE FERRO GALVANIZADO, COM ROSCA BSP, DE 2" X 1 1/4"</t>
  </si>
  <si>
    <t>LUVA DE REDUCAO DE FERRO GALVANIZADO, COM ROSCA BSP, DE 2" X 1"</t>
  </si>
  <si>
    <t>LUVA DE REDUCAO DE FERRO GALVANIZADO, COM ROSCA BSP, DE 3" X 1 1/2"</t>
  </si>
  <si>
    <t>LUVA DE REDUCAO DE FERRO GALVANIZADO, COM ROSCA BSP, DE 3" X 2 1/2"</t>
  </si>
  <si>
    <t>LUVA DE REDUCAO DE FERRO GALVANIZADO, COM ROSCA BSP, DE 3" X 2"</t>
  </si>
  <si>
    <t>LUVA DE REDUCAO DE FERRO GALVANIZADO, COM ROSCA BSP, DE 3/4" X 1/2"</t>
  </si>
  <si>
    <t>LUVA DE REDUCAO DE FERRO GALVANIZADO, COM ROSCA BSP, DE 4" X 2 1/2"</t>
  </si>
  <si>
    <t>LUVA DE REDUCAO DE FERRO GALVANIZADO, COM ROSCA BSP, DE 4" X 2"</t>
  </si>
  <si>
    <t>LUVA DE REDUCAO DE FERRO GALVANIZADO, COM ROSCA BSP, DE 4" X 3"</t>
  </si>
  <si>
    <t>LUVA DE REDUCAO EM ACO CARBONO, COM ENCAIXE PARA SOLDA DN SW, PRESSAO 3.000 LBS, 3/4" X 1/2"</t>
  </si>
  <si>
    <t>LUVA DE REDUCAO EM ACO CARBONO, COM ENCAIXE PARA SOLDA DN SW, PRESSAO 3.000 LBS, DN 1 1/2" X 1 1/4"</t>
  </si>
  <si>
    <t>LUVA DE REDUCAO EM ACO CARBONO, COM ENCAIXE PARA SOLDA DN SW, PRESSAO 3.000 LBS, DN 1 1/4" X 1"</t>
  </si>
  <si>
    <t>LUVA DE REDUCAO EM ACO CARBONO, COM ENCAIXE PARA SOLDA DN SW, PRESSAO 3.000 LBS, DN 1" X 3/4"</t>
  </si>
  <si>
    <t>LUVA DE REDUCAO EM ACO CARBONO, COM ENCAIXE PARA SOLDA DN SW, PRESSAO 3.000 LBS, DN 2 1/2" X 2"</t>
  </si>
  <si>
    <t>LUVA DE REDUCAO EM ACO CARBONO, COM ENCAIXE PARA SOLDA DN SW, PRESSAO 3.000 LBS, DN 2" X 1 1/2"</t>
  </si>
  <si>
    <t>LUVA DE REDUCAO EM ACO CARBONO, COM ENCAIXE PARA SOLDA DN SW, PRESSAO 3.000 LBS, DN 3" X 2 1/2"</t>
  </si>
  <si>
    <t>LUVA DE REDUCAO ROSCAVEL, PVC, 1" X 3/4", PARA AGUA FRIA PREDIAL</t>
  </si>
  <si>
    <t>LUVA DE REDUCAO ROSCAVEL, PVC, 3/4" X 1/2", PARA AGUA FRIA PREDIAL</t>
  </si>
  <si>
    <t>LUVA DE REDUCAO SOLDAVEL, PVC, 25 MM X 20 MM, PARA AGUA FRIA PREDIAL</t>
  </si>
  <si>
    <t>LUVA DE REDUCAO SOLDAVEL, PVC, 32 MM X 25 MM, PARA AGUA FRIA PREDIAL</t>
  </si>
  <si>
    <t>LUVA DE REDUCAO SOLDAVEL, PVC, 40 MM X 32 MM, PARA AGUA FRIA PREDIAL</t>
  </si>
  <si>
    <t>LUVA DE REDUCAO SOLDAVEL, PVC, 60 MM X 50 MM, PARA AGUA FRIA PREDIAL</t>
  </si>
  <si>
    <t>LUVA DE REDUCAO, SOLDAVEL, PVC, 50 X 25 MM, PARA AGUA FRIA PREDIAL</t>
  </si>
  <si>
    <t>LUVA DE TRANSICAO DE CPVC X PVC, SOLDAVEL, 22 X 25 MM, PARA AGUA QUENTE</t>
  </si>
  <si>
    <t>LUVA DE TRANSICAO, CPVC, 15 MM X 1/2", PARA AGUA QUENTE PREDIAL</t>
  </si>
  <si>
    <t>LUVA DE TRANSICAO, CPVC, 22 MM X 1/2", PARA AGUA QUENTE</t>
  </si>
  <si>
    <t>LUVA DE TRANSICAO, CPVC, SOLDAVEL, 42 MM X 1 1/2", PARA AGUA QUENTE</t>
  </si>
  <si>
    <t>LUVA DE TRANSICAO, CPVC, SOLDAVEL, 54 MM X 2", PARA AGUA QUENTE PREDIAL</t>
  </si>
  <si>
    <t>LUVA EM ACO CARBONO, SOLDAVEL, PRESSAO 3.000 LBS, DN 1 1/2"</t>
  </si>
  <si>
    <t>LUVA EM ACO CARBONO, SOLDAVEL, PRESSAO 3.000 LBS, DN 1 1/4"</t>
  </si>
  <si>
    <t>LUVA EM ACO CARBONO, SOLDAVEL, PRESSAO 3.000 LBS, DN 1"</t>
  </si>
  <si>
    <t>LUVA EM ACO CARBONO, SOLDAVEL, PRESSAO 3.000 LBS, DN 1/2"</t>
  </si>
  <si>
    <t>LUVA EM ACO CARBONO, SOLDAVEL, PRESSAO 3.000 LBS, DN 2 1/2"</t>
  </si>
  <si>
    <t>LUVA EM ACO CARBONO, SOLDAVEL, PRESSAO 3.000 LBS, DN 2"</t>
  </si>
  <si>
    <t>LUVA EM ACO CARBONO, SOLDAVEL, PRESSAO 3.000 LBS, DN 3"</t>
  </si>
  <si>
    <t>LUVA EM ACO CARBONO, SOLDAVEL, PRESSAO 3.000 LBS, DN 3/4"</t>
  </si>
  <si>
    <t>LUVA EM PVC RIGIDO ROSCAVEL, DE 1 1/2", PARA ELETRODUTO</t>
  </si>
  <si>
    <t>LUVA EM PVC RIGIDO ROSCAVEL, DE 1 1/4", PARA ELETRODUTO</t>
  </si>
  <si>
    <t>LUVA EM PVC RIGIDO ROSCAVEL, DE 1", PARA ELETRODUTO</t>
  </si>
  <si>
    <t>LUVA EM PVC RIGIDO ROSCAVEL, DE 1/2", PARA ELETRODUTO</t>
  </si>
  <si>
    <t>LUVA EM PVC RIGIDO ROSCAVEL, DE 2 1/2", PARA ELETRODUTO</t>
  </si>
  <si>
    <t>LUVA EM PVC RIGIDO ROSCAVEL, DE 2", PARA ELETRODUTO</t>
  </si>
  <si>
    <t>LUVA EM PVC RIGIDO ROSCAVEL, DE 3", PARA ELETRODUTO</t>
  </si>
  <si>
    <t>LUVA EM PVC RIGIDO ROSCAVEL, DE 3/4", PARA ELETRODUTO</t>
  </si>
  <si>
    <t>LUVA EM PVC RIGIDO ROSCAVEL, DE 4", PARA ELETRODUTO</t>
  </si>
  <si>
    <t>LUVA PARA ELETRODUTO, EM ACO GALVANIZADO ELETROLITICO, COM ROSCA, DIAMETRO DE 100 MM (4")</t>
  </si>
  <si>
    <t>LUVA PARA ELETRODUTO, EM ACO GALVANIZADO ELETROLITICO, COM ROSCA, DIAMETRO DE 15 MM (1/2")</t>
  </si>
  <si>
    <t>LUVA PARA ELETRODUTO, EM ACO GALVANIZADO ELETROLITICO, COM ROSCA, DIAMETRO DE 20 MM (3/4")</t>
  </si>
  <si>
    <t>LUVA PARA ELETRODUTO, EM ACO GALVANIZADO ELETROLITICO, COM ROSCA, DIAMETRO DE 25 MM (1")</t>
  </si>
  <si>
    <t>LUVA PARA ELETRODUTO, EM ACO GALVANIZADO ELETROLITICO, COM ROSCA, DIAMETRO DE 32 MM (1 1/4")</t>
  </si>
  <si>
    <t>LUVA PARA ELETRODUTO, EM ACO GALVANIZADO ELETROLITICO, COM ROSCA, DIAMETRO DE 40 MM (1 1/2")</t>
  </si>
  <si>
    <t>LUVA PARA ELETRODUTO, EM ACO GALVANIZADO ELETROLITICO, COM ROSCA, DIAMETRO DE 65 MM (2 1/2")</t>
  </si>
  <si>
    <t>LUVA PARA ELETRODUTO, EM ACO GALVANIZADO ELETROLITICO, COM ROSCA, DIAMETRO DE 80 MM (3")</t>
  </si>
  <si>
    <t>LUVA PARA ELETRODUTO, EM ACO GALVANIZADO ELETROLITICO, COM ROSCA,DIAMETRO DE 50 MM (2")</t>
  </si>
  <si>
    <t>LUVA PARA PERFURATRIZ DE ESTEIRA T38, D = 1 1/2"</t>
  </si>
  <si>
    <t>LUVA PASSANTE DE COBRE SEM ANEL DE SOLDA, BOLSA 15 MM</t>
  </si>
  <si>
    <t>LUVA PASSANTE DE COBRE SEM ANEL DE SOLDA, BOLSA 22 MM</t>
  </si>
  <si>
    <t>LUVA PASSANTE DE COBRE SEM ANEL DE SOLDA, BOLSA 28 MM</t>
  </si>
  <si>
    <t>LUVA PASSANTE DE COBRE SEM ANEL DE SOLDA, BOLSA 35 MM</t>
  </si>
  <si>
    <t>LUVA PASSANTE DE COBRE SEM ANEL DE SOLDA, BOLSA 42 MM</t>
  </si>
  <si>
    <t>LUVA PASSANTE DE COBRE SEM ANEL DE SOLDA, BOLSA 54 MM</t>
  </si>
  <si>
    <t>LUVA PASSANTE DE COBRE SEM ANEL DE SOLDA, BOLSA 66 MM</t>
  </si>
  <si>
    <t>LUVA PVC SOLDAVEL, 110 MM, PARA AGUA FRIA PREDIAL</t>
  </si>
  <si>
    <t>LUVA PVC SOLDAVEL, 20 MM, PARA AGUA FRIA PREDIAL</t>
  </si>
  <si>
    <t>LUVA PVC SOLDAVEL, 25 MM, PARA AGUA FRIA PREDIAL</t>
  </si>
  <si>
    <t>LUVA PVC SOLDAVEL, 32 MM, PARA AGUA FRIA PREDIAL</t>
  </si>
  <si>
    <t>LUVA PVC SOLDAVEL, 40 MM, PARA AGUA FRIA PREDIAL</t>
  </si>
  <si>
    <t>LUVA PVC SOLDAVEL, 50 MM, PARA AGUA FRIA PREDIAL</t>
  </si>
  <si>
    <t>LUVA PVC SOLDAVEL, 60 MM, PARA AGUA FRIA PREDIAL</t>
  </si>
  <si>
    <t>LUVA PVC SOLDAVEL, 75 MM, PARA AGUA FRIA PREDIAL</t>
  </si>
  <si>
    <t>LUVA PVC SOLDAVEL, 85 MM, PARA AGUA FRIA PREDIAL</t>
  </si>
  <si>
    <t>LUVA PVC, ROSCAVEL, 1 1/2", AGUA FRIA PREDIAL</t>
  </si>
  <si>
    <t>LUVA PVC, ROSCAVEL, 1", AGUA FRIA PREDIAL</t>
  </si>
  <si>
    <t>LUVA PVC, ROSCAVEL, 1/2", AGUA FRIA PREDIAL</t>
  </si>
  <si>
    <t>LUVA PVC, ROSCAVEL, 3/4", AGUA FRIA PREDIAL</t>
  </si>
  <si>
    <t>LUVA RASPA DE COURO, CANO CURTO (PUNHO *7* CM)</t>
  </si>
  <si>
    <t>LUVA SIMPLES PPR, F/F, SOLDAVEL, DN 110 MM, PARA AGUA QUENTE PREDIAL</t>
  </si>
  <si>
    <t>LUVA SIMPLES PPR, F/F, SOLDAVEL, DN 20 MM, PARA AGUA QUENTE PREDIAL</t>
  </si>
  <si>
    <t>LUVA SIMPLES PPR, F/F, SOLDAVEL, DN 25 MM, PARA AGUA QUENTE PREDIAL</t>
  </si>
  <si>
    <t>LUVA SIMPLES PPR, F/F, SOLDAVEL, DN 32 MM, PARA AGUA QUENTE PREDIAL</t>
  </si>
  <si>
    <t>LUVA SIMPLES PPR, F/F, SOLDAVEL, DN 40 MM, PARA AGUA QUENTE PREDIAL</t>
  </si>
  <si>
    <t>LUVA SIMPLES PPR, F/F, SOLDAVEL, DN 50 MM, PARA AGUA QUENTE PREDIAL</t>
  </si>
  <si>
    <t>LUVA SIMPLES PPR, F/F, SOLDAVEL, DN 63 MM, PARA AGUA QUENTE PREDIAL</t>
  </si>
  <si>
    <t>LUVA SIMPLES PPR, F/F, SOLDAVEL, DN 75 MM, PARA AGUA QUENTE PREDIAL</t>
  </si>
  <si>
    <t>LUVA SIMPLES PPR, F/F, SOLDAVEL, DN 90 MM, PARA AGUA QUENTE PREDIAL</t>
  </si>
  <si>
    <t>LUVA SIMPLES PVC PBA, JE, DN 100 / DE 110 MM, PARA REDE DE AGUA</t>
  </si>
  <si>
    <t>LUVA SIMPLES PVC PBA, JE, DN 50 / DE 60 MM, PARA REDE DE AGUA</t>
  </si>
  <si>
    <t>LUVA SIMPLES PVC PBA, JE, DN 75 / DE 85 MM, PARA REDE DE AGUA</t>
  </si>
  <si>
    <t>LUVA SIMPLES, PVC SERIE R, 100 MM, PARA ESGOTO PREDIAL</t>
  </si>
  <si>
    <t>LUVA SIMPLES, PVC SERIE R, 150 MM, PARA ESGOTO PREDIAL</t>
  </si>
  <si>
    <t>LUVA SIMPLES, PVC SERIE R, 40 MM, PARA ESGOTO PREDIAL</t>
  </si>
  <si>
    <t>LUVA SIMPLES, PVC SERIE R, 50 MM, PARA ESGOTO PREDIAL</t>
  </si>
  <si>
    <t>LUVA SIMPLES, PVC SERIE R, 75 MM, PARA ESGOTO PREDIAL</t>
  </si>
  <si>
    <t>LUVA SIMPLES, PVC, SOLDAVEL, DN 100 MM, SERIE NORMAL, PARA ESGOTO PREDIAL</t>
  </si>
  <si>
    <t>LUVA SIMPLES, PVC, SOLDAVEL, DN 150 MM, SERIE NORMAL, PARA ESGOTO PREDIAL</t>
  </si>
  <si>
    <t>LUVA SIMPLES, PVC, SOLDAVEL, DN 40 MM, SERIE NORMAL, PARA ESGOTO PREDIAL</t>
  </si>
  <si>
    <t>LUVA SIMPLES, PVC, SOLDAVEL, DN 50 MM, SERIE NORMAL, PARA ESGOTO PREDIAL</t>
  </si>
  <si>
    <t>LUVA SIMPLES, PVC, SOLDAVEL, DN 75 MM, SERIE NORMAL, PARA ESGOTO PREDIAL</t>
  </si>
  <si>
    <t>LUVA SOLDAVEL COM BUCHA DE LATAO, PVC, 20 MM X 1/2"</t>
  </si>
  <si>
    <t>LUVA SOLDAVEL COM BUCHA DE LATAO, PVC, 25 MM X 1/2"</t>
  </si>
  <si>
    <t>LUVA SOLDAVEL COM BUCHA DE LATAO, PVC, 25 MM X 3/4"</t>
  </si>
  <si>
    <t>LUVA SOLDAVEL COM BUCHA DE LATAO, PVC, 32 MM X 1"</t>
  </si>
  <si>
    <t>LUVA SOLDAVEL COM ROSCA, PVC, 20 MM X 1/2", PARA AGUA FRIA PREDIAL</t>
  </si>
  <si>
    <t>LUVA SOLDAVEL COM ROSCA, PVC, 25 MM X 1/2", PARA AGUA FRIA PREDIAL</t>
  </si>
  <si>
    <t>LUVA SOLDAVEL COM ROSCA, PVC, 25 MM X 3/4", PARA AGUA FRIA PREDIAL</t>
  </si>
  <si>
    <t>LUVA SOLDAVEL COM ROSCA, PVC, 32 MM X 1", PARA AGUA FRIA PREDIAL</t>
  </si>
  <si>
    <t>LUVA SOLDAVEL COM ROSCA, PVC, 40 MM X 1 1/4", PARA AGUA FRIA PREDIAL</t>
  </si>
  <si>
    <t>LUVA SOLDAVEL COM ROSCA, PVC, 50 MM X 1 1/2", PARA AGUA FRIA PREDIAL</t>
  </si>
  <si>
    <t>LUVA, PEAD PE 100, DE 125 MM, PARA ELETROFUSAO</t>
  </si>
  <si>
    <t>LUVA, PEAD PE 100, DE 20 MM, PARA ELETROFUSAO</t>
  </si>
  <si>
    <t>LUVA, PEAD PE 100, DE 200 MM, PARA ELETROFUSAO</t>
  </si>
  <si>
    <t>LUVA, PEAD PE 100, DE 32 MM, PARA ELETROFUSAO</t>
  </si>
  <si>
    <t>LUVA, PEAD PE 100, DE 400 MM, PARA ELETROFUSAO</t>
  </si>
  <si>
    <t>LUVA, PEAD PE 100, DE 63 MM, PARA ELETROFUSAO</t>
  </si>
  <si>
    <t>LUVA/UNIAO DE REDUCAO METALICA, PARA CONEXAO COM ANEL DESLIZANTE, DN 20 X 16 MM, EM TUBO PEX PARA INST. AGUA QUENTE/FRIA</t>
  </si>
  <si>
    <t>LUVA/UNIAO DE REDUCAO METALICA, PARA CONEXAO COM ANEL DESLIZANTE, DN 25 X 16 MM, EM TUBO PEX PARA INST. AGUA QUENTE/FRIA</t>
  </si>
  <si>
    <t>LUVA/UNIAO DE REDUCAO METALICA, PARA CONEXAO COM ANEL DESLIZANTE, DN 25 X 20 MM, EM TUBO PEX PARA INST. AGUA QUENTE/FRIA</t>
  </si>
  <si>
    <t>LUVA/UNIAO DE REDUCAO METALICA, PARA CONEXAO COM ANEL DESLIZANTE, DN 32 X 25 MM, EM TUBO PEX PARA INST. AGUA QUENTE/FRIA</t>
  </si>
  <si>
    <t>LUVA/UNIAO DE REDUCAO, PLASTICA, PARA CONEXAO COM CRIMPAGEM, DN 20 X 16 MM, EM TUBO PEX PARA INST. AGUA QUENTE/FRIA</t>
  </si>
  <si>
    <t>LUVA/UNIAO DE REDUCAO, PLASTICA, PARA CONEXAO COM CRIMPAGEM, DN 25 X 16 MM, EM TUBO PEX PARA INST. AGUA QUENTE/FRIA</t>
  </si>
  <si>
    <t>LUVA/UNIAO DE REDUCAO, PLASTICA, PARA CONEXAO COM CRIMPAGEM, DN 32 X 25 MM, EM TUBO PEX PARA INST. AGUA QUENTE/FRIA</t>
  </si>
  <si>
    <t>LUVA/UNIAO METALICA, PARA CONEXAO COM ANEL DESLIZANTE, DN 16 MM, EM TUBO PEX PARA INST. AGUA QUENTE/FRIA</t>
  </si>
  <si>
    <t>LUVA/UNIAO METALICA, PARA CONEXAO COM ANEL DESLIZANTE, DN 20 MM, EM TUBO PEX PARA INST. AGUA QUENTE/FRIA</t>
  </si>
  <si>
    <t>LUVA/UNIAO METALICA, PARA CONEXAO COM ANEL DESLIZANTE, DN 25 MM, EM TUBO PEX PARA INST. AGUA QUENTE/FRIA</t>
  </si>
  <si>
    <t>LUVA/UNIAO METALICA, PARA CONEXAO COM ANEL DESLIZANTE, DN 32 MM, EM TUBO PEX PARA INST. AGUA QUENTE/FRIA</t>
  </si>
  <si>
    <t>LUVA/UNIAO, PLASTICA, PARA CONEXAO COM CRIMPAGEM, DN 16 MM, EM TUBO PEX PARA INST. AGUA QUENTE/FRIA</t>
  </si>
  <si>
    <t>LUVA/UNIAO, PLASTICA, PARA CONEXAO COM CRIMPAGEM, DN 20 MM, EM TUBO PEX PARA INST. AGUA QUENTE/FRIA</t>
  </si>
  <si>
    <t>LUVA/UNIAO, PLASTICA, PARA CONEXAO COM CRIMPAGEM, DN 25 MM, EM TUBO PEX PARA INST. AGUA QUENTE/FRIA</t>
  </si>
  <si>
    <t>LUVA/UNIAO, PLASTICA, PARA CONEXAO COM CRIMPAGEM, DN 32 MM, EM TUBO PEX PARA INST. AGUA QUENTE/FRIA</t>
  </si>
  <si>
    <t>MACANETA ALAVANCA RETA OCA, EM ZAMAC COM ACABAMENTO CROMADO, COMPRIMENTO APROX DE 15 CM</t>
  </si>
  <si>
    <t>MACANETA ALAVANCA, RETA SIMPLES / OCA, CROMADA, COMPRIMENTO DE 10 A 16 CM, ACABAMENTO PADRAO POPULAR - SOMENTE MACANETAS</t>
  </si>
  <si>
    <t>MACANETA BOLA, EM ZAMAC COM ACABAMENTO CROMADO, DIAMETRO DE APROX 2 1/2"</t>
  </si>
  <si>
    <t>MACARICO DE SOLDA 201 PARA EXTENSAO GLP OU ACETILENO</t>
  </si>
  <si>
    <t>MACARIQUEIRO (HORISTA)</t>
  </si>
  <si>
    <t>MACARIQUEIRO (MENSALISTA)</t>
  </si>
  <si>
    <t>MADEIRA ROLICA TRATADA, D = 12 A 15 CM, H = 3,00 M, EM EUCALIPTO OU EQUIVALENTE DA REGIAO</t>
  </si>
  <si>
    <t>MADEIRA ROLICA TRATADA, D = 16 A 20 CM, H = 6,00 M, EM EUCALIPTO OU EQUIVALENTE DA REGIAO</t>
  </si>
  <si>
    <t>MADEIRA ROLICA TRATADA, D = 25 A 29 CM, H = 6,50 M, EM EUCALIPTO OU EQUIVALENTE DA REGIAO</t>
  </si>
  <si>
    <t>MADEIRA ROLICA TRATADA, D = 30 A 34 CM, H = 6,50 M, EM EUCALIPTO OU EQUIVALENTE DA REGIAO</t>
  </si>
  <si>
    <t>MADEIRA SERRADA EM PINUS, MISTA OU EQUIVALENTE DA REGIAO - BRUTA</t>
  </si>
  <si>
    <t>MANGOTE DE SEGURANCA EM RASPA DE COURO</t>
  </si>
  <si>
    <t>MANGUEIRA CRISTAL TRANCADA, PVC COM REFORCO, COM PRESSAO DE TRABALHO (PT) 250 LBS/POL2, DE 3/4" X *2,8* MM</t>
  </si>
  <si>
    <t>MANGUEIRA CRISTAL TRANCADA, PVC COM REFORCO, PRESSAO DE TRABALHO (PT) 250 LBS/POL2, DE 1" X *3,1* MM</t>
  </si>
  <si>
    <t>MANGUEIRA CRISTAL, LISA, PVC TRANSPARENTE, 1/2" X 2 MM</t>
  </si>
  <si>
    <t>MANGUEIRA CRISTAL, LISA, PVC TRANSPARENTE, 1/4" X1 MM</t>
  </si>
  <si>
    <t>MANGUEIRA CRISTAL, LISA, PVC TRANSPARENTE, 1/4" X1,5 MM</t>
  </si>
  <si>
    <t>MANGUEIRA CRISTAL, LISA, PVC TRANSPARENTE, 3/4" X 2 MM</t>
  </si>
  <si>
    <t>MANGUEIRA CRISTAL, LISA, PVC TRANSPARENTE, 3/8" X 1,5 MM</t>
  </si>
  <si>
    <t>MANGUEIRA CRISTAL, LISA, PVC TRANSPARENTE, 5/16" X 1 MM</t>
  </si>
  <si>
    <t>MANGUEIRA DE INCENDIO, TIPO 1, DE 1 1/2", COMPRIMENTO = 15 M, TECIDO EM FIO DE POLIESTER E TUBO INTERNO EM BORRACHA SINTETICA, COM UNIOES ENGATE RAPIDO</t>
  </si>
  <si>
    <t>MANGUEIRA DE INCENDIO, TIPO 1, DE 1 1/2", COMPRIMENTO = 20 M, TECIDO EM FIO DE POLIESTER E TUBO INTERNO EM BORRACHA SINTETICA, COM UNIOES ENGATE RAPIDO</t>
  </si>
  <si>
    <t>MANGUEIRA DE INCENDIO, TIPO 1, DE 1 1/2", COMPRIMENTO = 25 M, TECIDO EM FIO DE POLIESTER E TUBO INTERNO EM BORRACHA SINTETICA, COM UNIOES ENGATE RAPIDO</t>
  </si>
  <si>
    <t>MANGUEIRA DE INCENDIO, TIPO 1, DE 1 1/2", COMPRIMENTO = 30 M, TECIDO EM FIO DE POLIESTER E TUBO INTERNO EM BORRACHA SINTETICA, COM UNIOES ENGATE RAPIDO</t>
  </si>
  <si>
    <t>MANGUEIRA DE INCENDIO, TIPO 2, DE 1 1/2", COMPRIMENTO = 15 M, TECIDO EM FIO DE POLIESTER E TUBO INTERNO EM BORRACHA SINTETICA, COM UNIOES ENGATE RAPIDO</t>
  </si>
  <si>
    <t>MANGUEIRA DE INCENDIO, TIPO 2, DE 1 1/2", COMPRIMENTO = 20 M, TECIDO EM FIO DE POLIESTER E TUBO INTERNO EM BORRACHA SINTETICA, COM UNIOES</t>
  </si>
  <si>
    <t>MANGUEIRA DE INCENDIO, TIPO 2, DE 1 1/2", COMPRIMENTO = 25 M, TECIDO EM FIO DE POLIESTER E TUBO INTERNO EM BORRACHA SINTETICA, COM UNIOES</t>
  </si>
  <si>
    <t>MANGUEIRA DE INCENDIO, TIPO 2, DE 1 1/2", COMPRIMENTO = 30 M, TECIDO EM FIO DE POLIESTER E TUBO INTERNO EM BORRACHA SINTETICA, COM UNIOES</t>
  </si>
  <si>
    <t>MANGUEIRA DE INCENDIO, TIPO 2, DE 2 1/2", COMPRIMENTO = 15 M, TECIDO EM FIO DE POLIESTER E TUBO INTERNO EM BORRACHA SINTETICA, COM UNIOES ENGATE RAPIDO</t>
  </si>
  <si>
    <t>MANGUEIRA DE INCENDIO, TIPO 2, DE 2 1/2", COMPRIMENTO = 20 M, TECIDO EM FIO DE POLIESTER E TUBO INTERNO EM BORRACHA SINTETICA, COM UNIOES</t>
  </si>
  <si>
    <t>MANGUEIRA DE INCENDIO, TIPO 2, DE 2 1/2", COMPRIMENTO = 25 M, TECIDO EM FIO DE POLIESTER E TUBO INTERNO EM BORRACHA SINTETICA, COM UNIOES ENGATE RAPIDO</t>
  </si>
  <si>
    <t>MANGUEIRA DE INCENDIO, TIPO 2, DE 2 1/2", COMPRIMENTO = 30 M, TECIDO EM FIO DE POLIESTER E TUBO INTERNO EM BORRACHA SINTETICA, COM UNIOES ENGATE RAPIDO</t>
  </si>
  <si>
    <t>MANGUEIRA DE PVC FLEXIVEL, TIPO FLAT/ACHATADA, D = 1 1/2" (40 MM), PARA CONDUCAO DE AGUA, SERVICOS LEVES E MEDIOS</t>
  </si>
  <si>
    <t>MANGUEIRA PARA GAS - GLP, PVC, TRANCADA, DIAMETRO DE 3/8", COMPRIMENTO DE 1M (NORMATIZADA)</t>
  </si>
  <si>
    <t>MANIPULADOR TELESCOPICO, POTENCIA DE 85 HP, CAPACIDADE DE CARGA DE 3.500 KG, ALTURA MAXIMA DE ELEVACAO DE 12,3 M</t>
  </si>
  <si>
    <t>MANOMETRO COM CAIXA EM ACO PINTADO, ESCALA *10* KGF/CM2 (*10* BAR), DIAMETRO NOMINAL DE *63* MM, CONEXAO DE 1/4"</t>
  </si>
  <si>
    <t>MANOMETRO COM CAIXA EM ACO PINTADO, ESCALA *10* KGF/CM2 (*10* BAR), DIAMETRO NOMINAL DE 100 MM, CONEXAO DE 1/2"</t>
  </si>
  <si>
    <t>MANTA / LENCOL DE BORRACHA, SBR, ANTIRRUIDO, E = 5 MM</t>
  </si>
  <si>
    <t>MANTA ALUMINIZADA 1 FACE PARA SUBCOBERTURA, E = *1* MM</t>
  </si>
  <si>
    <t>MANTA ANTIRRUIDO DE POLIESTER (PET) PARA CONTRAPISO E = *8* MM</t>
  </si>
  <si>
    <t>MANTA ASFALTICA ELASTOMERICA EM POLIESTER 3 MM, TIPO III, CLASSE B, ACABAMENTO PP (NBR 9952)</t>
  </si>
  <si>
    <t>MANTA ASFALTICA ELASTOMERICA EM POLIESTER 4 MM, TIPO III, CLASSE B, ACABAMENTO PP (NBR 9952)</t>
  </si>
  <si>
    <t>MANTA ASFALTICA ELASTOMERICA EM POLIESTER 5 MM, TIPO III, CLASSE B, ACABAMENTO PP (NBR 9952)</t>
  </si>
  <si>
    <t>MANTA ASFALTICA ELASTOMERICA EM POLIESTER ALUMINIZADA 3 MM, TIPO III, CLASSE B (NBR 9952)</t>
  </si>
  <si>
    <t>MANTA ASFALTICA ELASTOMERICA TIPO GLASS 3 MM, TIPO II, CLASSE C, ACABAMENTO PP (NBR 9952)</t>
  </si>
  <si>
    <t>MANTA DE POLIETILENO EXPANDIDO (PEBD) ANTICHAMAS, E = 8 MM</t>
  </si>
  <si>
    <t>MANTA DE POLIETILENO EXPANDIDO (PEBD), E = 5 MM</t>
  </si>
  <si>
    <t>MANTA DE POLIETILENO EXPANDIDO, COM 1 FACE METALIZADA PARA SUBCOBERTURA, E = *5* MM</t>
  </si>
  <si>
    <t>MANTA GEOTEXTIL TECIDO DE LAMINETES DE POLIPROPILENO, RESISTENCIA A TRACAO = *25* KN/M</t>
  </si>
  <si>
    <t>MANTA LIQUIDA DE BASE ASFALTICA MODIFICADA COM A ADICAO DE ELASTOMEROS DILUIDOS EM SOLVENTE ORGANICO, APLICACAO A FRIO (MEMBRANA DE EMULSAO ASFALTICA PARA IMPERMEABILIZACAO FLEXIVEL)</t>
  </si>
  <si>
    <t>MANTA TERMOPLASTICA, PEAD, GEOMEMBRANA LISA, E = 0,50 MM (NBR 15352)</t>
  </si>
  <si>
    <t>MANTA TERMOPLASTICA, PEAD, GEOMEMBRANA LISA, E = 0,75 MM (NBR 15352)</t>
  </si>
  <si>
    <t>MANTA TERMOPLASTICA, PEAD, GEOMEMBRANA LISA, E = 0,80 MM (NBR 15352)</t>
  </si>
  <si>
    <t>MANTA TERMOPLASTICA, PEAD, GEOMEMBRANA LISA, E = 1,00 MM (NBR 15352)</t>
  </si>
  <si>
    <t>MANTA TERMOPLASTICA, PEAD, GEOMEMBRANA LISA, E = 1,50 MM (NBR 15352)</t>
  </si>
  <si>
    <t>MANTA TERMOPLASTICA, PEAD, GEOMEMBRANA LISA, E = 2,00 MM (NBR 15352)</t>
  </si>
  <si>
    <t>MANTA TERMOPLASTICA, PEAD, GEOMEMBRANA LISA, E = 2,50 MM (NBR 15352)</t>
  </si>
  <si>
    <t>MAQUINA DE 40 MM PARA FECHADURA DE EMBUTIR EXTERNA, EM ACO INOX</t>
  </si>
  <si>
    <t>MAQUINA DE 40 MM PARA FECHADURA, PARA PORTA DE BANHEIRO, EM ACO INOX</t>
  </si>
  <si>
    <t>MAQUINA DE 40 MM PARA FECHADURA, PARA PORTA INTERNA, EM ACO INOX</t>
  </si>
  <si>
    <t>MAQUINA DE 55 MM PARA FECHADURA DE EMBUTIR EXTERNA, EM ACO INOX</t>
  </si>
  <si>
    <t>MAQUINA DE 55 MM PARA FECHADURA, PARA PORTA DE BANHEIRO, EM ACO INOX</t>
  </si>
  <si>
    <t>MAQUINA DE 55 MM PARA FECHADURA, PARA PORTA INTERNA, EM ACO INOX</t>
  </si>
  <si>
    <t>MAQUINA DEMARCADORA DE FAIXA DE TRAFEGO A FRIO, AUTOPROPELIDA, MOTOR DIESEL 38 HP</t>
  </si>
  <si>
    <t>MAQUINA EXTRUSORA DE CONCRETO PARA GUIAS E SARJETAS, COM MOTOR A DIESEL E POTENCIA DE 14 CV</t>
  </si>
  <si>
    <t>MAQUINA TIPO VASO/TANQUE/JATO DE PRESSAO PORTATIL P/ JATEAMENTO, CONTROLE AUTOMATICO E REMOTO, CAMARA DE 1 SAIDA, 280 L, DIAM. *670* MM, BICO JATO CURTO VENTURI 5/16", MANGUEIRA 1" DE 10 M, COMPLETA (VALVULAS POP UP E DOSADORA, FUNDO CONICO ETC)</t>
  </si>
  <si>
    <t>MARCENEIRO (HORISTA)</t>
  </si>
  <si>
    <t>MARCENEIRO (MENSALISTA)</t>
  </si>
  <si>
    <t>MARMORISTA / GRANITEIRO (HORISTA)</t>
  </si>
  <si>
    <t>MARMORISTA / GRANITEIRO (MENSALISTA)</t>
  </si>
  <si>
    <t>MARTELO DE SOLDADOR/PICADOR DE SOLDA</t>
  </si>
  <si>
    <t>MARTELO DEMOLIDOR ELETRICO, COM POTENCIA DE 2.000 W, FREQUENCIA DE 1.000 IMPACTOS POR MINUTO, FORCA DE IMPACTO ENTRE 60 E 65 J, PESO DE 30 KG</t>
  </si>
  <si>
    <t>MARTELO DEMOLIDOR PNEUMATICO MANUAL, PADRAO, PESO DE 32 KG</t>
  </si>
  <si>
    <t>MARTELO DEMOLIDOR PNEUMATICO MANUAL, PESO DE 28 KG, COM SILENCIADOR</t>
  </si>
  <si>
    <t>MASCARA DE SEGURANCA PARA SOLDA COM ESCUDO DE CELERON E CARNEIRA DE PLASTICO COM REGULAGEM</t>
  </si>
  <si>
    <t>MASSA ACRILICA PARA SUPERFICIES INTERNAS E EXTERNAS</t>
  </si>
  <si>
    <t>MASSA CORRIDA PARA SUPERFICIES DE AMBIENTES INTERNOS</t>
  </si>
  <si>
    <t>MASSA DE REJUNTE EM PO PARA DRYWALL, A BASE DE GESSO, SECAGEM RAPIDA, PARA TRATAMENTO DE JUNTAS DE CHAPA DE GESSO (NECESSITA ADICAO DE AGUA)</t>
  </si>
  <si>
    <t>MASSA DE REJUNTE PRONTA PARA TRATAMENTO DE JUNTAS DE CHAPA DE GESSO PARA DRYWALL, SEM ADICAO DE AGUA</t>
  </si>
  <si>
    <t>MASSA EPOXI BICOMPONENTE (MASSA + CATALISADOR)</t>
  </si>
  <si>
    <t>MASSA EPOXI BICOMPONENTE PARA REPAROS</t>
  </si>
  <si>
    <t>MASSA PARA MADEIRA - INTERIOR E EXTERIOR</t>
  </si>
  <si>
    <t>MASSA PLASTICA PARA MARMORE/GRANITO</t>
  </si>
  <si>
    <t>MASSA PREMIUM PARA TEXTURA LISA DE BASE ACRILICA, USO INTERNO E EXTERNO</t>
  </si>
  <si>
    <t>MASSA PREMIUM PARA TEXTURA RUSTICA DE BASE ACRILICA, COR BRANCA, USO INTERNO E EXTERNO</t>
  </si>
  <si>
    <t>MASTRO SIMPLES GALVANIZADO DIAMETRO NOMINAL 1 1/2"</t>
  </si>
  <si>
    <t>MASTRO SIMPLES GALVANIZADO DIAMETRO NOMINAL 2"</t>
  </si>
  <si>
    <t>MASTRO TELESCOPICO DE 4 METROS (3 M X DN= 2" + 1 M X DN= 1 1/2")</t>
  </si>
  <si>
    <t>MASTRO TELESCOPICO GALVANIZADO 5 METROS (3 M X DN= 2" + 2 M X DN= 1 1/2")</t>
  </si>
  <si>
    <t>MASTRO TELESCOPICO GALVANIZADO 6 METROS (3 M X DN= 2" + 3 M X DN= 1 1/2")</t>
  </si>
  <si>
    <t>MASTRO TELESCOPICO GALVANIZADO 7 METROS (6 M X DN= 2" + 1 M X DN= 1 1/2")</t>
  </si>
  <si>
    <t>MASTRO TELESCOPICO GALVANIZADO 9 METROS (6 M X DN= 2" + 3 M X DN= 1 1/2")</t>
  </si>
  <si>
    <t>MECANICO DE EQUIPAMENTOS PESADOS (HORISTA)</t>
  </si>
  <si>
    <t>MECANICO DE EQUIPAMENTOS PESADOS (MENSALISTA)</t>
  </si>
  <si>
    <t>MECANICO DE REFRIGERACAO (HORISTA)</t>
  </si>
  <si>
    <t>MECANICO DE REFRIGERACAO (MENSALISTA)</t>
  </si>
  <si>
    <t>MEDIDOR DE NIVEL ESTATICO E DINAMICO PARA POCO, COMPRIMENTO DE 200 M</t>
  </si>
  <si>
    <t>MEIA CANA DE MADEIRA CEDRINHO OU EQUIVALENTE DA REGIAO, ACABAMENTO PARA FORRO PAULISTA, *2,5 X 2,5* CM</t>
  </si>
  <si>
    <t>MEIA CANA DE MADEIRA PINUS OU EQUIVALENTE DA REGIAO, ACABAMENTO PARA FORRO PAULISTA, *2,5 X 2,5* CM</t>
  </si>
  <si>
    <t>MEIA CANALETA DE CONCRETO ESTRUTURAL 14 X 19 X 19 CM, FBK 14 MPA (NBR 6136)</t>
  </si>
  <si>
    <t>MEIA CANALETA DE CONCRETO ESTRUTURAL 14 X 19 X 19 CM, FBK 4,5 MPA (NBR 6136)</t>
  </si>
  <si>
    <t>MEIO BLOCO DE CONCRETO ESTRUTURAL 14 X 19 X 14 CM, FBK 14 MPA (NBR 6136)</t>
  </si>
  <si>
    <t>MEIO BLOCO DE CONCRETO ESTRUTURAL 14 X 19 X 14 CM, FBK 4,5 MPA (NBR 6136)</t>
  </si>
  <si>
    <t>MEIO BLOCO DE CONCRETO ESTRUTURAL 14 X 19 X 19 CM, FBK 14 MPA (NBR 6136)</t>
  </si>
  <si>
    <t>MEIO BLOCO DE CONCRETO ESTRUTURAL 14 X 19 X 19 CM, FBK 4,5 MPA (NBR 6136)</t>
  </si>
  <si>
    <t>MEIO BLOCO DE CONCRETO ESTRUTURAL 14 X 19 X 34 CM, FBK 14 MPA (NBR 6136)</t>
  </si>
  <si>
    <t>MEIO BLOCO DE VEDACAO DE CONCRETO 14 X 19 X 19 CM (CLASSE C - NBR 6136)</t>
  </si>
  <si>
    <t>MEIO BLOCO DE VEDACAO DE CONCRETO 19 X 19 X 19 CM (CLASSE C - NBR 6136)</t>
  </si>
  <si>
    <t>MEIO BLOCO DE VEDACAO DE CONCRETO 9 X 19 X 19 CM (CLASSE C - NBR 6136)</t>
  </si>
  <si>
    <t>MEIO BLOCO DE VEDACAO DE CONCRETO APARENTE 14 X 19 X 19 CM (CLASSE C - NBR 6136)</t>
  </si>
  <si>
    <t>MEIO BLOCO DE VEDACAO DE CONCRETO APARENTE 19 X 19 X 19 CM (CLASSE C - NBR 6136)</t>
  </si>
  <si>
    <t>MEIO BLOCO DE VEDACAO DE CONCRETO APARENTE 9 X 19 X 19 CM (CLASSE C - NBR 6136)</t>
  </si>
  <si>
    <t>MEIO BLOCO ESTRUTURAL CERAMICO DE 14 X 19 X 14 CM (L X A X C) E 6,0 MPA</t>
  </si>
  <si>
    <t>MEIO BLOCO ESTRUTURAL CERAMICO DE 14 X 19 X 19 CM (L X A X C) E 6,0 MPA</t>
  </si>
  <si>
    <t>MEIO-FIO OU GUIA DE CONCRETO PRE MOLDADO, COMP 1 M, *30 X 10/12* CM (H X L1/L2)</t>
  </si>
  <si>
    <t>MEIO-FIO OU GUIA DE CONCRETO PRE MOLDADO, COMP 80 CM, *30 X 10/10* (H X L1/L2)</t>
  </si>
  <si>
    <t>MEIO-FIO OU GUIA DE CONCRETO PRE-MOLDADO, COMP *39* CM, *19 X 6,5/6,5* CM (H X L1/L2)</t>
  </si>
  <si>
    <t>MEIO-FIO OU GUIA DE CONCRETO PRE-MOLDADO, COMP 1 M, *20 X 12/15* CM (H X L1/L2)</t>
  </si>
  <si>
    <t>MEIO-FIO OU GUIA DE CONCRETO PRE-MOLDADO, COMP 80 CM, *25 X 08/08* CM (H X L1/L2)</t>
  </si>
  <si>
    <t>MEIO-FIO OU GUIA DE CONCRETO, PRE-MOLDADO, COMP 1 M, *30 X 12/15* CM (H X L1/L2)</t>
  </si>
  <si>
    <t>MEIO-FIO OU GUIA DE CONCRETO, PRE-MOLDADO, COMP 1 M, *30 X 15* CM (H X L)</t>
  </si>
  <si>
    <t>MEIO-FIO OU GUIA DE CONCRETO, PRE-MOLDADO, COMP 80 CM, *45 X 12/18* CM (H X L1/L2)</t>
  </si>
  <si>
    <t>MEMBRANA IMPERMEABILIZANTE A BASE DE POLIUREIA, BICOMPONENTE, APLICACAO A FRIO</t>
  </si>
  <si>
    <t>MEMBRANA IMPERMEABILIZANTE A BASE DE POLIURETANO</t>
  </si>
  <si>
    <t>MEMBRANA IMPERMEABILIZANTE ACRILICA MONOCOMPONENTE</t>
  </si>
  <si>
    <t>MESA VIBRATORIA COM DIMENSOES DE 2,0 X 1,0 M, COM MOTOR ELETRICO DE 2 POLOS E POTENCIA DE 3 CV</t>
  </si>
  <si>
    <t>MESTRE DE OBRAS (HORISTA)</t>
  </si>
  <si>
    <t>MESTRE DE OBRAS (MENSALISTA)</t>
  </si>
  <si>
    <t>METACAULIM DE ALTA REATIVIDADE/CAULIM CALCINADO</t>
  </si>
  <si>
    <t>MICTORIO COLETIVO ACO INOX (AISI 304), E = 0,8 MM, DE *100 X 40 X 30* CM (C X A X P)</t>
  </si>
  <si>
    <t>MICTORIO COLETIVO ACO INOX (AISI 304), E = 0,8 MM, DE *100 X 50 X 35* CM (C X A X P)</t>
  </si>
  <si>
    <t>MICTORIO INDIVIDUAL ACO INOX (AISI 304), E = 0,8 MM, DE *50 X 45 X 35* (C X A X P)</t>
  </si>
  <si>
    <t>MICTORIO INDIVIDUAL, SIFONADO, DE LOUCA BRANCA, SEM COMPLEMENTOS</t>
  </si>
  <si>
    <t>MICTORIO INDIVIDUAL, SIFONADO, VALVULA EMBUTIDA, DE LOUCA BRANCA, SEM COMPLEMENTOS - PADRAO ALTO</t>
  </si>
  <si>
    <t>MINICAPTOR, EM ACO GALVANIZADO A FOGO, FIXACAO COM ROSCA SOBERBA OU MECANICA, H=300 MM X DN=10 MM</t>
  </si>
  <si>
    <t>MINICAPTOR, EM ACO GALVANIZADO A FOGO, FIXACAO COM ROSCA SOBERBA OU MECANICA, H=600 MM X DN=10 MM</t>
  </si>
  <si>
    <t>MINICAPTOR, EM ACO GALVANIZADO A FOGO, FIXACAO HORIZONTAL COM BANDEIRA A 20 CM, H=300 MM E X DN=10 MM</t>
  </si>
  <si>
    <t>MINICAPTOR, EM ACO GALVANIZADO A FOGO, FIXACAO HORIZONTAL COM BANDEIRA A 20 CM, H=600 MM E X DN=10 MM</t>
  </si>
  <si>
    <t>MINICAPTOR, EM ACO GALVANIZADO A FOGO, FIXACAO HORIZONTAL DE 1 FUROS, SEM BANDEIRA, H=300 MM X DN=10 MM</t>
  </si>
  <si>
    <t>MINICAPTOR, EM ACO GALVANIZADO A FOGO, FIXACAO HORIZONTAL DE 2 FUROS, SEM BANDEIRA, H=600 MM X DN=10 MM</t>
  </si>
  <si>
    <t>MINICAPTORES DE INSERCAO, EM ACO GALVANIZADO A FOGO, H=300 MM X DN=10 MM</t>
  </si>
  <si>
    <t>MINICAPTORES DE INSERCAO, EM ACO GALVANIZADO A FOGO, H=600,MM X DN=10,MM</t>
  </si>
  <si>
    <t>MINICARREGADEIRA SOBRE RODAS, POTENCIA LIQUIDA DE *47* HP, CAPACIDADE NOMINAL DE OPERACAO DE *646* KG</t>
  </si>
  <si>
    <t>MINIESCAVADEIRA SOBRE ESTEIRAS, POTENCIA LIQUIDA DE *30* HP, PESO OPERACIONAL DE *3.500* KG</t>
  </si>
  <si>
    <t>MISTURADOR DE ARGAMASSA, EIXO HORIZONTAL, CAPACIDADE DE MISTURA 160 KG, MOTOR ELETRICO TRIFASICO 220/380 V, POTENCIA 3 CV</t>
  </si>
  <si>
    <t>MISTURADOR DE ARGAMASSA, EIXO HORIZONTAL, CAPACIDADE DE MISTURA 300 KG, MOTOR ELETRICO TRIFASICO 220/380 V, POTENCIA 5 CV</t>
  </si>
  <si>
    <t>MISTURADOR DE ARGAMASSA, EIXO HORIZONTAL, CAPACIDADE DE MISTURA 600 KG, MOTOR ELETRICO TRIFASICO 220/380 V, POTENCIA 7,5 CV</t>
  </si>
  <si>
    <t>MISTURADOR DE METAL CROMADO DE PAREDE PARA LAVATORIO</t>
  </si>
  <si>
    <t>MISTURADOR DE METAL CROMADO, DE MESA/BANCADA, COM BICA BAIXA, PARA LAVATORIO</t>
  </si>
  <si>
    <t>MISTURADOR DE PAREDE, DE METAL CROMADO, PARA COZINHA, BICA ALTA MOVEL, COM AREJADOR ARTICULADO</t>
  </si>
  <si>
    <t>MISTURADOR DUPLO HORIZONTAL DE ALTA TURBULENCIA, CAPACIDADE / VOLUME 2 X 500 LITROS, MOTORES ELETRICOS MINIMO 5 CV CADA, PARA NATA CIMENTO, ARGAMASSA E OUTROS</t>
  </si>
  <si>
    <t>MISTURADOR MANUAL DE TINTAS PARA FURADEIRA, HASTE METALICA *60* CM, COM HELICE (MEXEDOR DE TINTA)</t>
  </si>
  <si>
    <t>MISTURADOR MONOCOMANDO PARA CHUVEIRO, BASE BRUTA, METALICO COM ACABAMENTO CROMADO</t>
  </si>
  <si>
    <t>MOLA HIDRAULICA AEREA, PARA PORTAS DE ATE 1.100 MM E PESO DE ATE 85 KG, COM CORPO EM ALUMINIO E BRACO EM ACO, SEM BRACO DE PARADA</t>
  </si>
  <si>
    <t>MOLA HIDRAULICA AEREA, PARA PORTAS DE ATE 850 MM E PESO DE ATE 50 KG, COM CORPO EM ALUMINIO E BRACO EM ACO, SEM BRACO DE PARADA</t>
  </si>
  <si>
    <t>MOLA HIDRAULICA AEREA, PARA PORTAS DE ATE 950 MM E PESO DE ATE 65 KG, COM CORPO EM ALUMINIO E BRACO EM ACO, SEM BRACO DE PARADA</t>
  </si>
  <si>
    <t>MOLA HIDRAULICA DE PISO, PARA PORTAS DE ATE 1100 MM E PESO DE ATE 120 KG, COM CORPO EM ACO INOX</t>
  </si>
  <si>
    <t>MONTADOR DE ELETROELETRONICOS (HORISTA)</t>
  </si>
  <si>
    <t>MONTADOR DE ELETROELETRONICOS (MENSALISTA)</t>
  </si>
  <si>
    <t>MONTADOR DE ESTRUTURAS METALICAS (MENSALISTA)</t>
  </si>
  <si>
    <t>MONTADOR DE ESTRUTURAS METALICAS HORISTA</t>
  </si>
  <si>
    <t>MONTADOR DE MAQUINAS (HORISTA)</t>
  </si>
  <si>
    <t>MONTADOR DE MAQUINAS (MENSALISTA)</t>
  </si>
  <si>
    <t>MOTOBOMBA CENTRIFUGA, MOTOR A GASOLINA, POTENCIA 5,42 HP, BOCAIS 1 1/2" X 1", DIAMETRO ROTOR 143 MM HM/Q = 6 MCA / 16,8 M3/H A 38 MCA / 6,6 M3/H</t>
  </si>
  <si>
    <t>MOTOBOMBA TRASH (PARA AGUA SUJA) AUTO ESCORVANTE, MOTOR GASOLINA DE 6,41 HP, DIAMETROS DE SUCCAO X RECALQUE: 3" X 3", HM/Q: 10/60 A 23/0</t>
  </si>
  <si>
    <t>MOTONIVELADORA POTENCIA BASICA LIQUIDA (PRIMEIRA MARCHA) 125 HP, PESO BRUTO 13843 KG, LARGURA DA LAMINA DE 3,7 M</t>
  </si>
  <si>
    <t>MOTORISTA DE CAMINHAO (HORISTA)</t>
  </si>
  <si>
    <t>MOTORISTA DE CAMINHAO (MENSALISTA)</t>
  </si>
  <si>
    <t>MOTORISTA DE CAMINHAO BETONEIRA (HORISTA)</t>
  </si>
  <si>
    <t>MOTORISTA DE CAMINHAO-BASCULANTE (HORISTA)</t>
  </si>
  <si>
    <t>MOTORISTA DE CAMINHAO-BASCULANTE (MENSALISTA)</t>
  </si>
  <si>
    <t>MOTORISTA DE CAMINHAO-CARRETA (HORISTA)</t>
  </si>
  <si>
    <t>MOTORISTA DE CAMINHAO-CARRETA (MENSALISTA)</t>
  </si>
  <si>
    <t>MOTORISTA DE CARRO DE PASSEIO (HORISTA)</t>
  </si>
  <si>
    <t>MOTORISTA DE CARRO DE PASSEIO (MENSALISTA)</t>
  </si>
  <si>
    <t>MOTORISTA OPERADOR DE CAMINHAO COM MUNCK (HORISTA)</t>
  </si>
  <si>
    <t>MOTORISTA OPERADOR DE CAMINHAO COM MUNCK (MENSALISTA)</t>
  </si>
  <si>
    <t>MOURAO CONCRETO CURVO, SECAO "T", H = 2,80 M + CURVA COM 0,45 M, COM FUROS PARA FIOS</t>
  </si>
  <si>
    <t>MOURAO DE CONCRETO CURVO, *10 X 10* CM, H= *2,60* M + CURVA DE 0,40 M</t>
  </si>
  <si>
    <t>MOURAO DE CONCRETO RETO, SECAO QUADRADA *10 X 10* CM, H= *2,30* M</t>
  </si>
  <si>
    <t>MOURAO DE CONCRETO RETO, SECAO QUADRADA, *10 X 10* CM, H= 3,00 M</t>
  </si>
  <si>
    <t>MOURAO DE CONCRETO RETO, TIPO ESTICADOR, *10 X 10* CM, H= 2,50 M</t>
  </si>
  <si>
    <t>MOURAO ROLICO DE MADEIRA TRATADA, D = 16 A 20 CM, H = 2,20 M, EM EUCALIPTO OU EQUIVALENTE DA REGIAO (PARA CERCA)</t>
  </si>
  <si>
    <t>MOURAO ROLICO DE MADEIRA TRATADA, D = 8 A 11 CM, H = 2,20 M, EM EUCALIPTO OU EQUIVALENTE DA REGIAO (PARA CERCA)</t>
  </si>
  <si>
    <t>MUDA DE ARBUSTO FLORIFERO, CLUSIA/GARDENIA/MOREIA BRANCA/ AZALEIA OU EQUIVALENTE DA REGIAO, H= *50 A 70* CM</t>
  </si>
  <si>
    <t>MUDA DE ARBUSTO FOLHAGEM, SANSAO-DO-CAMPO OU EQUIVALENTE DA REGIAO, H= *50 A 70* CM</t>
  </si>
  <si>
    <t>MUDA DE ARBUSTO, BUXINHO, H= *50* CM</t>
  </si>
  <si>
    <t>MUDA DE ARBUSTO, PINGO DE OURO/ VIOLETEIRA, H = *10 A 20* CM</t>
  </si>
  <si>
    <t>MUDA DE ARVORE ORNAMENTAL, OITI/AROEIRA SALSA/ANGICO/IPE/JACARANDA OU EQUIVALENTE DA REGIAO, H= *1* M</t>
  </si>
  <si>
    <t>MUDA DE ARVORE ORNAMENTAL, OITI/AROEIRA SALSA/ANGICO/IPE/JACARANDA OU EQUIVALENTE DA REGIAO, H= *2* M</t>
  </si>
  <si>
    <t>MUDA DE PALMEIRA ARECA, H= *1,50* M</t>
  </si>
  <si>
    <t>MUDA DE RASTEIRA/FORRACAO, AMENDOIM RASTEIRO/ONZE HORAS/AZULZINHA/IMPATIENS OU EQUIVALENTE DA REGIAO</t>
  </si>
  <si>
    <t>MULTIEXERCITADOR COM SEIS FUNCOES, EM TUBO DE ACO CARBONO, PINTURA NO PROCESSO ELETROSTATICO - EQUIPAMENTO DE GINASTICA PARA ACADEMIA AO AR LIVRE / ACADEMIA DA TERCEIRA IDADE - ATI</t>
  </si>
  <si>
    <t>NIPLE DE FERRO GALVANIZADO, COM ROSCA BSP, DE 1 1/2"</t>
  </si>
  <si>
    <t>NIPLE DE FERRO GALVANIZADO, COM ROSCA BSP, DE 1 1/4"</t>
  </si>
  <si>
    <t>NIPLE DE FERRO GALVANIZADO, COM ROSCA BSP, DE 1"</t>
  </si>
  <si>
    <t>NIPLE DE FERRO GALVANIZADO, COM ROSCA BSP, DE 1/2"</t>
  </si>
  <si>
    <t>NIPLE DE FERRO GALVANIZADO, COM ROSCA BSP, DE 2 1/2"</t>
  </si>
  <si>
    <t>NIPLE DE FERRO GALVANIZADO, COM ROSCA BSP, DE 2"</t>
  </si>
  <si>
    <t>NIPLE DE FERRO GALVANIZADO, COM ROSCA BSP, DE 3"</t>
  </si>
  <si>
    <t>NIPLE DE FERRO GALVANIZADO, COM ROSCA BSP, DE 3/4"</t>
  </si>
  <si>
    <t>NIPLE DE FERRO GALVANIZADO, COM ROSCA BSP, DE 4"</t>
  </si>
  <si>
    <t>NIPLE DE FERRO GALVANIZADO, COM ROSCA BSP, DE 5"</t>
  </si>
  <si>
    <t>NIPLE DE FERRO GALVANIZADO, COM ROSCA BSP, DE 6"</t>
  </si>
  <si>
    <t>NIPLE DE REDUCAO DE FERRO GALVANIZADO, COM ROSCA BSP, DE 1 1/2" X 1 1/4"</t>
  </si>
  <si>
    <t>NIPLE DE REDUCAO DE FERRO GALVANIZADO, COM ROSCA BSP, DE 1 1/2" X 1"</t>
  </si>
  <si>
    <t>NIPLE DE REDUCAO DE FERRO GALVANIZADO, COM ROSCA BSP, DE 1 1/2" X 3/4"</t>
  </si>
  <si>
    <t>NIPLE DE REDUCAO DE FERRO GALVANIZADO, COM ROSCA BSP, DE 1 1/4" X 1"</t>
  </si>
  <si>
    <t>NIPLE DE REDUCAO DE FERRO GALVANIZADO, COM ROSCA BSP, DE 1 1/4" X 1/2"</t>
  </si>
  <si>
    <t>NIPLE DE REDUCAO DE FERRO GALVANIZADO, COM ROSCA BSP, DE 1 1/4" X 3/4"</t>
  </si>
  <si>
    <t>NIPLE DE REDUCAO DE FERRO GALVANIZADO, COM ROSCA BSP, DE 1" X 1/2"</t>
  </si>
  <si>
    <t>NIPLE DE REDUCAO DE FERRO GALVANIZADO, COM ROSCA BSP, DE 1" X 3/4"</t>
  </si>
  <si>
    <t>NIPLE DE REDUCAO DE FERRO GALVANIZADO, COM ROSCA BSP, DE 1/2" X 1/4"</t>
  </si>
  <si>
    <t>NIPLE DE REDUCAO DE FERRO GALVANIZADO, COM ROSCA BSP, DE 2 1/2" X 2"</t>
  </si>
  <si>
    <t>NIPLE DE REDUCAO DE FERRO GALVANIZADO, COM ROSCA BSP, DE 2" X 1 1/2"</t>
  </si>
  <si>
    <t>NIPLE DE REDUCAO DE FERRO GALVANIZADO, COM ROSCA BSP, DE 2" X 1 1/4"</t>
  </si>
  <si>
    <t>NIPLE DE REDUCAO DE FERRO GALVANIZADO, COM ROSCA BSP, DE 2" X 1"</t>
  </si>
  <si>
    <t>NIPLE DE REDUCAO DE FERRO GALVANIZADO, COM ROSCA BSP, DE 3" X 2 1/2"</t>
  </si>
  <si>
    <t>NIPLE DE REDUCAO DE FERRO GALVANIZADO, COM ROSCA BSP, DE 3" X 2"</t>
  </si>
  <si>
    <t>NIPLE DE REDUCAO DE FERRO GALVANIZADO, COM ROSCA BSP, DE 3/4" X 1/2"</t>
  </si>
  <si>
    <t>NIPLE SEXTAVADO EM ACO CARBONO, COM ROSCA BSP, PRESSAO 3.000 LBS, DN 1 1/2"</t>
  </si>
  <si>
    <t>NIPLE SEXTAVADO EM ACO CARBONO, COM ROSCA BSP, PRESSAO 3.000 LBS, DN 1 1/4"</t>
  </si>
  <si>
    <t>NIPLE SEXTAVADO EM ACO CARBONO, COM ROSCA BSP, PRESSAO 3.000 LBS, DN 1"</t>
  </si>
  <si>
    <t>NIPLE SEXTAVADO EM ACO CARBONO, COM ROSCA BSP, PRESSAO 3.000 LBS, DN 1/2"</t>
  </si>
  <si>
    <t>NIPLE SEXTAVADO EM ACO CARBONO, COM ROSCA BSP, PRESSAO 3.000 LBS, DN 2 1/2"</t>
  </si>
  <si>
    <t>NIPLE SEXTAVADO EM ACO CARBONO, COM ROSCA BSP, PRESSAO 3.000 LBS, DN 2"</t>
  </si>
  <si>
    <t>NIPLE SEXTAVADO EM ACO CARBONO, COM ROSCA BSP, PRESSAO 3.000 LBS, DN 3/4"</t>
  </si>
  <si>
    <t>NIVELADOR (HORISTA)</t>
  </si>
  <si>
    <t>NIVELADOR (MENSALISTA)</t>
  </si>
  <si>
    <t>NUMERO / ALGARISMO PARA RESIDENCIA (FACHADA), EM ZAMAC, COM ALTURA DE APROX *45* MM, INCLUSIVE PARAFUSOS</t>
  </si>
  <si>
    <t>NUMERO / ALGARISMO PARA RESIDENCIA (FACHADA), EM ZAMAC, COM ALTURA DE APROX 125 MM, INCLUSIVE PARAFUSOS</t>
  </si>
  <si>
    <t>OCULOS DE SEGURANCA CONTRA IMPACTOS COM LENTE INCOLOR, ARMACAO NYLON, COM PROTECAO UVA E UVB</t>
  </si>
  <si>
    <t>OLEO DIESEL COMBUSTIVEL COMUM METROPOLITANO S-10 OU S-500</t>
  </si>
  <si>
    <t>OLEO LUBRIFICANTE MINERAL MONOVISCOSO, SAE 40, PARA MOTORES DE EQUIPAMENTOS PESADOS (CAMINHOES, TRATORES, RETROS E ETC)</t>
  </si>
  <si>
    <t>OLHO MAGICO PARA PORTAS, EM LATAO, COM LENTE DE POLICARBONATO, ANGULO DE *200* GRAUS, ESPESSURA ENTRE *25 E 46* MM, INCLUINDO FECHO JANELA</t>
  </si>
  <si>
    <t>OPERADOR DE BATE-ESTACAS (HORISTA)</t>
  </si>
  <si>
    <t>OPERADOR DE BATE-ESTACAS (MENSALISTA)</t>
  </si>
  <si>
    <t>OPERADOR DE BETONEIRA (CAMINHAO) (MENSALISTA)</t>
  </si>
  <si>
    <t>OPERADOR DE BETONEIRA ESTACIONARIA / MISTURADOR (HORISTA)</t>
  </si>
  <si>
    <t>OPERADOR DE BETONEIRA ESTACIONARIA / MISTURADOR (MENSALISTA)</t>
  </si>
  <si>
    <t>OPERADOR DE COMPRESSOR DE AR OU COMPRESSORISTA (HORISTA)</t>
  </si>
  <si>
    <t>OPERADOR DE COMPRESSOR DE AR OU COMPRESSORISTA (MENSALISTA)</t>
  </si>
  <si>
    <t>OPERADOR DE DEMARCADORA DE FAIXAS DE TRAFEGO (HORISTA)</t>
  </si>
  <si>
    <t>OPERADOR DE DEMARCADORA DE FAIXAS DE TRAFEGO (MENSALISTA)</t>
  </si>
  <si>
    <t>OPERADOR DE ESCAVADEIRA (HORISTA)</t>
  </si>
  <si>
    <t>OPERADOR DE ESCAVADEIRA (MENSALISTA)</t>
  </si>
  <si>
    <t>OPERADOR DE GUINCHO OU GUINCHEIRO (HORISTA)</t>
  </si>
  <si>
    <t>OPERADOR DE GUINCHO OU GUINCHEIRO (MENSALISTA)</t>
  </si>
  <si>
    <t>OPERADOR DE GUINDASTE (HORISTA)</t>
  </si>
  <si>
    <t>OPERADOR DE GUINDASTE (MENSALISTA)</t>
  </si>
  <si>
    <t>OPERADOR DE JATO ABRASIVO OU JATISTA (HORISTA)</t>
  </si>
  <si>
    <t>OPERADOR DE JATO ABRASIVO OU JATISTA (MENSALISTA)</t>
  </si>
  <si>
    <t>OPERADOR DE MAQUINAS E TRATORES DIVERSOS - TERRAPLANAGEM (HORISTA)</t>
  </si>
  <si>
    <t>OPERADOR DE MAQUINAS E TRATORES DIVERSOS - TERRAPLANAGEM (MENSALISTA)</t>
  </si>
  <si>
    <t>OPERADOR DE MARTELETE OU MARTELETEIRO (HORISTA)</t>
  </si>
  <si>
    <t>OPERADOR DE MARTELETE OU MARTELETEIRO (MENSALISTA)</t>
  </si>
  <si>
    <t>OPERADOR DE MOTO SCRAPER (HORISTA)</t>
  </si>
  <si>
    <t>OPERADOR DE MOTO SCRAPER (MENSALISTA)</t>
  </si>
  <si>
    <t>OPERADOR DE MOTONIVELADORA (HORISTA)</t>
  </si>
  <si>
    <t>OPERADOR DE MOTONIVELADORA (MENSALISTA)</t>
  </si>
  <si>
    <t>OPERADOR DE PA CARREGADEIRA (HORISTA)</t>
  </si>
  <si>
    <t>OPERADOR DE PA CARREGADEIRA (MENSALISTA)</t>
  </si>
  <si>
    <t>OPERADOR DE PAVIMENTADORA / MESA VIBROACABADORA (HORISTA)</t>
  </si>
  <si>
    <t>OPERADOR DE PAVIMENTADORA / MESA VIBROACABADORA (MENSALISTA)</t>
  </si>
  <si>
    <t>OPERADOR DE ROLO COMPACTADOR (HORISTA)</t>
  </si>
  <si>
    <t>OPERADOR DE ROLO COMPACTADOR (MENSALISTA)</t>
  </si>
  <si>
    <t>OPERADOR DE USINA DE ASFALTO, DE SOLOS OU DE CONCRETO (HORISTA)</t>
  </si>
  <si>
    <t>OPERADOR DE USINA DE ASFALTO, DE SOLOS OU DE CONCRETO (MENSALISTA)</t>
  </si>
  <si>
    <t>OXIGENIO - RECARGA DE GAS PARA CILINDRO (NAO INCLUI TROCA/MANUTENCAO DO CILINDRO)</t>
  </si>
  <si>
    <t>PA CARREGADEIRA SOBRE RODAS, POTENCIA LIQUIDA 128 HP, CAPACIDADE DA CACAMBA DE 1,7 A 2,8 M3, PESO OPERACIONAL MAXIMO DE 11632 KG</t>
  </si>
  <si>
    <t>PA CARREGADEIRA SOBRE RODAS, POTENCIA LIQUIDA 197 HP, CAPACIDADE DA CACAMBA DE 2,5 A 3,5 M3, PESO OPERACIONAL MAXIMO DE 18338 KG</t>
  </si>
  <si>
    <t>PA DE LIXO PLASTICA, CABO LONGO</t>
  </si>
  <si>
    <t>PAINEL DE LA DE VIDRO SEM REVESTIMENTO PSI 20, E = 25 MM, DE 1200 X 600 MM</t>
  </si>
  <si>
    <t>PAINEL DE LA DE VIDRO SEM REVESTIMENTO PSI 20, E = 50 MM, DE 1200 X 600 MM</t>
  </si>
  <si>
    <t>PAINEL DE LA DE VIDRO SEM REVESTIMENTO PSI 40, E = 25 MM, DE 1200 X 600 MM</t>
  </si>
  <si>
    <t>PAINEL DE LA DE VIDRO SEM REVESTIMENTO PSI 40, E = 50 MM, DE 1200 X 600 MM</t>
  </si>
  <si>
    <t>PAINEL ESTRUTURAL PARA LAJE SECA REVESTIDO EM PLACA CIMENTICIA, DE 1,20 X 2,50 M, E = 23 MM</t>
  </si>
  <si>
    <t>PAINEL ESTRUTURAL PARA LAJE SECA REVESTIDO EM PLACA CIMENTICIA, DE 1,20 X 2,50 M, E = 40 MM</t>
  </si>
  <si>
    <t>PAINEL TERMOISOLANTE PARA FECHAMENTOS VERTICAIS (INCLUI PARAFUSOS DE FIXACAO) REVESTIDO EM ACO GALVALUME, LARGURA UTIL DE 1100 MM, REVESTIMENTO COM ESPESSURA DE 0,50 MM, COM PRE-PINTURA NAS DUAS FACES, NUCLEO EM POLIURETANO (PUR) COM ESPESSURA 40/50 MM</t>
  </si>
  <si>
    <t>PAINEL TERMOISOLANTE PARA FECHAMENTOS VERTICAIS (INCLUI PARAFUSOS DE FIXACAO) REVESTIDO EM ACO GALVALUME, LARGURA UTIL DE 1100 MM, REVESTIMENTO COM ESPESSURA DE 0,50 MM, COM PRE-PINTURA NAS DUAS FACES, NUCLEO EM POLIURETANO (PUR) COM ESPESSURA 70/80 MM</t>
  </si>
  <si>
    <t>PAPEL KRAFT BETUMADO</t>
  </si>
  <si>
    <t>PAPELEIRA DE PAREDE EM METAL CROMADO SEM TAMPA</t>
  </si>
  <si>
    <t>PAPELEIRA PLASTICA TIPO DISPENSER PARA PAPEL HIGIENICO ROLAO</t>
  </si>
  <si>
    <t>PAR DE TABELAS DE BASQUETE EM COMPENSADO NAVAL, OFICIAL, 1800 X 1200 MM, INCLUINDO ARO DE METAL E REDE EM POLIPROPILENO 100% (SEM SUPORTE DE FIXACAO)</t>
  </si>
  <si>
    <t>PARA-RAIOS DE DISTRIBUICAO, TENSAO NOMINAL 15 KV, CORRENTE NOMINAL DE DESCARGA 5 KA</t>
  </si>
  <si>
    <t>PARA-RAIOS DE DISTRIBUICAO, TENSAO NOMINAL 30 KV, CORRENTE NOMINAL DE DESCARGA 10 KA</t>
  </si>
  <si>
    <t>PARA-RAIOS TIPO FRANKLIN 350 MM, EM LATAO CROMADO, DUAS DESCIDAS, PARA PROTECAO DE EDIFICACOES CONTRA DESCARGAS ATMOSFERICAS</t>
  </si>
  <si>
    <t>PARAFUSO CABECA TROMBETA E PONTA AGULHA (GN55), COMPRIMENTO 55 MM, EM ACO FOSFATIZADO, PARA FIXAR CHAPA DE GESSO EM PERFIL DRYWALL METALICO MAXIMO 0,7 MM</t>
  </si>
  <si>
    <t>PARAFUSO DE ACO ZINCADO COM ROSCA SOBERBA, CABECA CHATA E FENDA SIMPLES, DIAMETRO 2,5 MM, COMPRIMENTO * 9,5 * MM</t>
  </si>
  <si>
    <t>PARAFUSO DE ACO ZINCADO COM ROSCA SOBERBA, CABECA CHATA E FENDA SIMPLES, DIAMETRO 4,2 MM, COMPRIMENTO * 32 * MM</t>
  </si>
  <si>
    <t>PARAFUSO DE ACO ZINCADO COM ROSCA SOBERBA, CABECA CHATA E FENDA SIMPLES, DIAMETRO 4,8 MM, COMPRIMENTO 45 MM</t>
  </si>
  <si>
    <t>PARAFUSO DE ACO ZINCADO, SEXTAVADO, COM ROSCA INTEIRA, DIAMETRO 5/16", COMPRIMENTO 3/4", COM PORCA E ARRUELA LISA LEVE</t>
  </si>
  <si>
    <t>PARAFUSO DE ACO ZINCADO, SEXTAVADO, COM ROSCA SOBERBA, DIAMETRO 3/8", COMPRIMENTO 80 MM</t>
  </si>
  <si>
    <t>PARAFUSO DE ACO ZINCADO, TIPO CHUMBADOR PARABOLT, DIAMETRO 1/2", COMPRIMENTO 75 MM</t>
  </si>
  <si>
    <t>PARAFUSO DE ACO ZINCADO, TIPO CHUMBADOR PARABOLT, DIAMETRO 3/8", COMPRIMENTO 75 MM</t>
  </si>
  <si>
    <t>PARAFUSO DE FERRO POLIDO, SEXTAVADO, COM ROSCA PARCIAL, DIAMETRO 5/8", COMPRIMENTO 6", COM PORCA E ARRUELA DE PRESSAO MEDIA</t>
  </si>
  <si>
    <t>PARAFUSO DE LATAO COM ACABAMENTO CROMADO PARA FIXAR PECA SANITARIA, INCLUI PORCA CEGA, ARRUELA E BUCHA DE NYLON TAMANHO S-10</t>
  </si>
  <si>
    <t>PARAFUSO DE LATAO COM ROSCA SOBERBA, CABECA CHATA E FENDA SIMPLES, DIAMETRO 2,5 MM, COMPRIMENTO 12 MM</t>
  </si>
  <si>
    <t>PARAFUSO DE LATAO COM ROSCA SOBERBA, CABECA CHATA E FENDA SIMPLES, DIAMETRO 3,2 MM, COMPRIMENTO 16 MM</t>
  </si>
  <si>
    <t>PARAFUSO DE LATAO COM ROSCA SOBERBA, CABECA CHATA E FENDA SIMPLES, DIAMETRO 4,8 MM, COMPRIMENTO 65 MM</t>
  </si>
  <si>
    <t>PARAFUSO DRY WALL, EM ACO FOSFATIZADO, CABECA TROMBETA E PONTA AGULHA (TA), COMPRIMENTO 25 MM</t>
  </si>
  <si>
    <t>PARAFUSO DRY WALL, EM ACO FOSFATIZADO, CABECA TROMBETA E PONTA AGULHA (TA), COMPRIMENTO 35 MM</t>
  </si>
  <si>
    <t>PARAFUSO DRY WALL, EM ACO FOSFATIZADO, CABECA TROMBETA E PONTA AGULHA (TA), COMPRIMENTO 45 MM</t>
  </si>
  <si>
    <t>PARAFUSO DRY WALL, EM ACO FOSFATIZADO, CABECA TROMBETA E PONTA BROCA (TB), COMPRIMENTO 25 MM</t>
  </si>
  <si>
    <t>PARAFUSO DRY WALL, EM ACO FOSFATIZADO, CABECA TROMBETA E PONTA BROCA (TB), COMPRIMENTO 35 MM</t>
  </si>
  <si>
    <t>PARAFUSO DRY WALL, EM ACO FOSFATIZADO, CABECA TROMBETA E PONTA BROCA (TB), COMPRIMENTO 45 MM</t>
  </si>
  <si>
    <t>PARAFUSO DRY WALL, EM ACO ZINCADO, CABECA LENTILHA E PONTA AGULHA (LA), LARGURA 4,2 MM, COMPRIMENTO 13 MM</t>
  </si>
  <si>
    <t>PARAFUSO DRY WALL, EM ACO ZINCADO, CABECA LENTILHA E PONTA BROCA (LB), LARGURA 4,2 MM, COMPRIMENTO 13 MM</t>
  </si>
  <si>
    <t>PARAFUSO EM ACO GALVANIZADO, TIPO MAQUINA, SEXTAVADO, SEM PORCA, DIAMETRO 1/2", COMPRIMENTO 2"</t>
  </si>
  <si>
    <t>PARAFUSO FRANCES M16 EM ACO GALVANIZADO, COMPRIMENTO = 150 MM, DIAMETRO = 16 MM, CABECA ABAULADA</t>
  </si>
  <si>
    <t>PARAFUSO FRANCES M16 EM ACO GALVANIZADO, COMPRIMENTO = 45 MM, DIAMETRO = 16 MM, CABECA ABAULADA</t>
  </si>
  <si>
    <t>PARAFUSO FRANCES METRICO ZINCADO, DIAMETRO 12 MM, COMPRIMENTO 140MM, COM PORCA SEXTAVADA E ARRUELA DE PRESSAO MEDIA</t>
  </si>
  <si>
    <t>PARAFUSO FRANCES METRICO ZINCADO, DIAMETRO 12 MM, COMPRIMENTO 150 MM, COM PORCA SEXTAVADA E ARRUELA DE PRESSAO MEDIA</t>
  </si>
  <si>
    <t>PARAFUSO FRANCES ZINCADO, DIAMETRO 1/2", COMPRIMENTO 12", COM PORCA E ARRUELA LISA MEDIA</t>
  </si>
  <si>
    <t>PARAFUSO FRANCES ZINCADO, DIAMETRO 1/2", COMPRIMENTO 15", COM PORCA E ARRUELA LISA MEDIA</t>
  </si>
  <si>
    <t>PARAFUSO FRANCES ZINCADO, DIAMETRO 1/2", COMPRIMENTO 2", COM PORCA E ARRUELA</t>
  </si>
  <si>
    <t>PARAFUSO FRANCES ZINCADO, DIAMETRO 1/2", COMPRIMENTO 4", COM PORCA E ARRUELA</t>
  </si>
  <si>
    <t>PARAFUSO M16 EM ACO GALVANIZADO, COMPRIMENTO = 125 MM, DIAMETRO = 16 MM, ROSCA MAQUINA, CABECA QUADRADA</t>
  </si>
  <si>
    <t>PARAFUSO M16 EM ACO GALVANIZADO, COMPRIMENTO = 150 MM, DIAMETRO = 16 MM, ROSCA MAQUINA, CABECA QUADRADA</t>
  </si>
  <si>
    <t>PARAFUSO M16 EM ACO GALVANIZADO, COMPRIMENTO = 200 MM, DIAMETRO = 16 MM, ROSCA MAQUINA, CABECA QUADRADA</t>
  </si>
  <si>
    <t>PARAFUSO M16 EM ACO GALVANIZADO, COMPRIMENTO = 250 MM, DIAMETRO = 16 MM, ROSCA MAQUINA, CABECA QUADRADA</t>
  </si>
  <si>
    <t>PARAFUSO M16 EM ACO GALVANIZADO, COMPRIMENTO = 300 MM, DIAMETRO = 16 MM, ROSCA DUPLA</t>
  </si>
  <si>
    <t>PARAFUSO M16 EM ACO GALVANIZADO, COMPRIMENTO = 300 MM, DIAMETRO = 16 MM, ROSCA MAQUINA, CABECA QUADRADA</t>
  </si>
  <si>
    <t>PARAFUSO M16 EM ACO GALVANIZADO, COMPRIMENTO = 350 MM, DIAMETRO = 16 MM, ROSCA MAQUINA, CABECA QUADRADA</t>
  </si>
  <si>
    <t>PARAFUSO M16 EM ACO GALVANIZADO, COMPRIMENTO = 400 MM, DIAMETRO = 16 MM, ROSCA DUPLA</t>
  </si>
  <si>
    <t>PARAFUSO M16 EM ACO GALVANIZADO, COMPRIMENTO = 450 MM, DIAMETRO = 16 MM, ROSCA MAQUINA, CABECA QUADRADA</t>
  </si>
  <si>
    <t>PARAFUSO M16 EM ACO GALVANIZADO, COMPRIMENTO = 500 MM, DIAMETRO = 16 MM, ROSCA MAQUINA, COM CABECA SEXTAVADA E PORCA</t>
  </si>
  <si>
    <t>PARAFUSO NIQUELADO 3 1/2" COM ACABAMENTO CROMADO PARA FIXAR PECA SANITARIA, INCLUI PORCA CEGA, ARRUELA E BUCHA DE NYLON TAMANHO S-8</t>
  </si>
  <si>
    <t>PARAFUSO NIQUELADO COM ACABAMENTO CROMADO PARA FIXAR PECA SANITARIA, INCLUI PORCA CEGA, ARRUELA E BUCHA DE NYLON TAMANHO S-10</t>
  </si>
  <si>
    <t>PARAFUSO ZINCADO 5/16" X 250 MM PARA FIXACAO DE TELHA DE FIBROCIMENTO CANALETE 49, INCLUI BUCHA NYLON S-10</t>
  </si>
  <si>
    <t>PARAFUSO ZINCADO 5/16" X 85 MM PARA FIXACAO DE TELHA DE FIBROCIMENTO CANALETE 90, INCLUI BUCHA NYLON S-10</t>
  </si>
  <si>
    <t>PARAFUSO ZINCADO ROSCA SOBERBA 5/16" X 120 MM PARA TELHA FIBROCIMENTO</t>
  </si>
  <si>
    <t>PARAFUSO ZINCADO ROSCA SOBERBA, CABECA SEXTAVADA, 5/16" X 110 MM, PARA FIXACAO DE TELHA EM MADEIRA</t>
  </si>
  <si>
    <t>PARAFUSO ZINCADO ROSCA SOBERBA, CABECA SEXTAVADA, 5/16" X 150 MM, PARA FIXACAO DE TELHA EM MADEIRA</t>
  </si>
  <si>
    <t>PARAFUSO ZINCADO ROSCA SOBERBA, CABECA SEXTAVADA, 5/16" X 180 MM, PARA FIXACAO DE TELHA EM MADEIRA</t>
  </si>
  <si>
    <t>PARAFUSO ZINCADO ROSCA SOBERBA, CABECA SEXTAVADA, 5/16" X 200 MM, PARA FIXACAO DE TELHA EM MADEIRA</t>
  </si>
  <si>
    <t>PARAFUSO ZINCADO ROSCA SOBERBA, CABECA SEXTAVADA, 5/16" X 230 MM, PARA FIXACAO DE TELHA EM MADEIRA</t>
  </si>
  <si>
    <t>PARAFUSO ZINCADO ROSCA SOBERBA, CABECA SEXTAVADA, 5/16" X 250 MM, PARA FIXACAO DE TELHA EM MADEIRA</t>
  </si>
  <si>
    <t>PARAFUSO ZINCADO ROSCA SOBERBA, CABECA SEXTAVADA, 5/16" X 50 MM, PARA FIXACAO DE TELHA EM MADEIRA</t>
  </si>
  <si>
    <t>PARAFUSO ZINCADO ROSCA SOBERBA, CABECA SEXTAVADA, 5/16" X 85 MM, PARA FIXACAO DE TELHA EM MADEIRA</t>
  </si>
  <si>
    <t>PARAFUSO ZINCADO, AUTOBROCANTE, FLANGEADO, 4,2 MM X 19 MM</t>
  </si>
  <si>
    <t>PARAFUSO ZINCADO, SEXTAVADO, COM ROSCA INTEIRA, DIAMETRO 1/4", COMPRIMENTO 1/2"</t>
  </si>
  <si>
    <t>PARAFUSO ZINCADO, SEXTAVADO, COM ROSCA INTEIRA, DIAMETRO 3/8", COMPRIMENTO 2"</t>
  </si>
  <si>
    <t>PARAFUSO ZINCADO, SEXTAVADO, COM ROSCA INTEIRA, DIAMETRO 5/8", COMPRIMENTO 2 1/4"</t>
  </si>
  <si>
    <t>PARAFUSO ZINCADO, SEXTAVADO, COM ROSCA INTEIRA, DIAMETRO 5/8", COMPRIMENTO 3", COM PORCA E ARRUELA DE PRESSAO MEDIA</t>
  </si>
  <si>
    <t>PARAFUSO ZINCADO, SEXTAVADO, COM ROSCA SOBERBA, DIAMETRO 5/16", COMPRIMENTO 40 MM</t>
  </si>
  <si>
    <t>PARAFUSO ZINCADO, SEXTAVADO, COM ROSCA SOBERBA, DIAMETRO 5/16", COMPRIMENTO 80 MM</t>
  </si>
  <si>
    <t>PARAFUSO ZINCADO, SEXTAVADO, GRAU 5, ROSCA INTEIRA, DIAMETRO 1 1/2", COMPRIMENTO 4"</t>
  </si>
  <si>
    <t>PARAFUSO, ASTM A307 - GRAU A, SEXTAVADO, ZINCADO, DIAMETRO 3/8" (9,52 MM), COMPRIMENTO 1" (25,4 MM)</t>
  </si>
  <si>
    <t>PARAFUSO, AUTOATARRAXANTE, CABECA CHATA, FENDA SIMPLES, EM ACO ZINCADO, 1/4" (6,35 MM) X 25 MM</t>
  </si>
  <si>
    <t>PARAFUSO, COMUM, ASTM A307, SEXTAVADO, DIAMETRO 1/2" (12,7 MM), COMPRIMENTO 1" (25,4 MM)</t>
  </si>
  <si>
    <t>PARALELEPIPEDO GRANITICO OU BASALTICO, PARA PAVIMENTACAO, SEM FRETE (VARIACAO REGIONAL DE PECAS POR M2)</t>
  </si>
  <si>
    <t>MIL</t>
  </si>
  <si>
    <t>PASTA LUBRIFICANTE PARA TUBOS E CONEXOES COM JUNTA ELASTICA, EMBALAGEM DE *400* GR (USO EM PVC, ACO, POLIETILENO E OUTROS)</t>
  </si>
  <si>
    <t>PASTA PARA SOLDA DE TUBOS E CONEXOES DE COBRE (EMBALAGEM COM 250 G)</t>
  </si>
  <si>
    <t>PASTA VEDA JUNTAS/ROSCA, EMBALAGEM DE *500* G, PARA INSTALACOES DE AGUA, GAS E OUTROS</t>
  </si>
  <si>
    <t>PASTILHA CERAMICA/PORCELANA, REVEST INT/EXT E PISCINA, CORES BRANCA OU FRIAS, SOLIDAS, SEM MESCLAGEM/MISTURA, ACABAMENTO LISO *2,5 X 2,5* CM</t>
  </si>
  <si>
    <t>PASTILHA CERAMICA/PORCELANA, REVEST INT/EXT E PISCINA, CORES BRANCA OU FRIAS, SOLIDAS, SEM MESCLAGEM/MISTURA, ACABAMENTO LISO *5 X 5* CM</t>
  </si>
  <si>
    <t>PASTILHA CERAMICA/PORCELANA, REVEST INT/EXT E PISCINA, CORES LISAS/SOLIDAS, QUENTES, SEM MESCLAGEM/MISTURA, *2,5 X 2,5* CM</t>
  </si>
  <si>
    <t>PASTILHA CERAMICA/PORCELANA, REVEST INT/EXT E PISCINA, CORES LISAS/SOLIDAS, QUENTES, SEM MESCLAGEM/MISTURA, *5 X 5* CM</t>
  </si>
  <si>
    <t>PASTILHEIRO (HORISTA)</t>
  </si>
  <si>
    <t>PASTILHEIRO (MENSALISTA)</t>
  </si>
  <si>
    <t>PATCH CORD (CABO DE REDE), CATEGORIA 5 E (CAT 5E) UTP, 24 AWG, 4 PARES, EXTENSAO DE 1,50 M</t>
  </si>
  <si>
    <t>PATCH CORD (CABO DE REDE), CATEGORIA 5 E (CAT 5E) UTP, 24 AWG, 4 PARES, EXTENSAO DE 2,50 M</t>
  </si>
  <si>
    <t>PATCH CORD (CABO DE REDE), CATEGORIA 6 (CAT 6) UTP, 23 AWG, 4 PARES, EXTENSAO DE 1,50 M</t>
  </si>
  <si>
    <t>PATCH CORD (CABO DE REDE), CATEGORIA 6 (CAT 6) UTP, 23 AWG, 4 PARES, EXTENSAO DE 2,50 M</t>
  </si>
  <si>
    <t>PATCH PANEL, 24 PORTAS, CATEGORIA 5E, COM RACKS DE 19" DE LARGURA E 1 U DE ALTURA</t>
  </si>
  <si>
    <t>PATCH PANEL, 24 PORTAS, CATEGORIA 6, COM RACKS DE 19" DE LARGURA E 1 U DE ALTURA</t>
  </si>
  <si>
    <t>PATCH PANEL, 48 PORTAS, CATEGORIA 5E, COM RACKS DE 19" DE LARGURA E 2 U DE ALTURA</t>
  </si>
  <si>
    <t>PATCH PANEL, 48 PORTAS, CATEGORIA 6, COM RACKS DE 19" DE LARGURA E 2 U DE ALTURA</t>
  </si>
  <si>
    <t>PEDRA ARDOSIA, CINZA, *40 X 40* CM, E= *1 CM</t>
  </si>
  <si>
    <t>PEDRA ARDOSIA, CINZA, 20 X 40 CM, E= *1 CM</t>
  </si>
  <si>
    <t>PEDRA ARDOSIA, CINZA, 30 X 30, E= *1 CM</t>
  </si>
  <si>
    <t>PEDRA BRITADA N. 0, OU PEDRISCO (4,8 A 9,5 MM) POSTO PEDREIRA/FORNECEDOR, SEM FRETE</t>
  </si>
  <si>
    <t>PEDRA BRITADA N. 1 (9,5 A 19 MM) POSTO PEDREIRA/FORNECEDOR, SEM FRETE</t>
  </si>
  <si>
    <t>PEDRA BRITADA N. 2 (19 A 38 MM) POSTO PEDREIRA/FORNECEDOR, SEM FRETE</t>
  </si>
  <si>
    <t>PEDRA BRITADA N. 3 (38 A 50 MM) POSTO PEDREIRA/FORNECEDOR, SEM FRETE</t>
  </si>
  <si>
    <t>PEDRA DE MAO OU PEDRA RACHAO PARA ARRIMO/FUNDACAO (POSTO PEDREIRA/FORNECEDOR, SEM FRETE)</t>
  </si>
  <si>
    <t>PEDRA GRANITICA OU BASALTICA IRREGULAR, FAIXA GRANULOMETRICA 100 A 150 MM PARA PAVIMENTACAO OU CALCAMENTO POLIEDRICO, POSTO PEDREIRA / FORNECEDOR (SEM FRETE)</t>
  </si>
  <si>
    <t>PEDRA GRANITICA OU BASALTO, CACO, RETALHO, CAVACO, TIPO MIRACEMA, MADEIRA, PADUANA, RACHINHA, SANTA ISABEL OU OUTRAS SIMILARES, E= *1,0 A *2,0 CM</t>
  </si>
  <si>
    <t>PEDRA GRANITICA, SERRADA, TIPO MIRACEMA, MADEIRA, PADUANA, RACHINHA, SANTA ISABEL OU OUTRAS SIMILARES, *11,5 X *23 CM, E= *1,0 A *2,0 CM</t>
  </si>
  <si>
    <t>PEDRA PORTUGUESA OU PETIT PAVE, BRANCA OU PRETA</t>
  </si>
  <si>
    <t>PEDRA QUARTZITO OU CALCARIO LAMINADO, CACO, TIPO CARIRI, ITACOLOMI, LAGOA SANTA, LUMINARIA, PIRENOPOLIS, SAO TOME OU OUTRAS SIMILARES DA REGIAO, E= *1,5 A *2,5 CM</t>
  </si>
  <si>
    <t>PEDRA QUARTZITO OU CALCARIO LAMINADO, SERRADA, TIPO CARIRI, ITACOLOMI, LAGOA SANTA, LUMINARIA, PIRENOPOLIS, SAO TOME OU OUTRAS SIMILARES DA REGIAO, *20 X *40 CM, E= *1,5 A *2,5 CM</t>
  </si>
  <si>
    <t>PEDREIRO (HORISTA)</t>
  </si>
  <si>
    <t>PEDREIRO (MENSALISTA)</t>
  </si>
  <si>
    <t>PEITORIL EM MARMORE, POLIDO, BRANCO COMUM, L= *15* CM, E= *2,0* CM, COM PINGADEIRA</t>
  </si>
  <si>
    <t>PEITORIL EM MARMORE, POLIDO, BRANCO COMUM, L= *15* CM, E= *3* CM, CORTE RETO</t>
  </si>
  <si>
    <t>PEITORIL PRE-MOLDADO EM GRANILITE, MARMORITE OU GRANITINA, L = *15* CM</t>
  </si>
  <si>
    <t>PEITORIL/ SOLEIRA EM MARMORE, POLIDO, BRANCO COMUM, L= *25* CM, E= *3* CM, CORTE RETO</t>
  </si>
  <si>
    <t>PELICULA REFLETIVA, GT 7 ANOS PARA SINALIZACAO VERTICAL</t>
  </si>
  <si>
    <t>PENDURAL OU REGULADOR, COM MOLA, EM ACO GALVANIZADO, PARA PERFIL TIPO T CLICADO DE FORROS REMOVIVEL</t>
  </si>
  <si>
    <t>PENEIRA ROTATIVA COM MOTOR ELETRICO TRIFASICO DE 2 CV, CILINDRO DE 1 M X 0,60 M, COM FUROS DE 3,17 MM</t>
  </si>
  <si>
    <t>PERFIL "I" OU "W" EM ACO LAMINADO, QUAISQUER DIMENSOES</t>
  </si>
  <si>
    <t>PERFIL "U" ENRIJECIDO, EM CHAPA DOBRADA DE ACO LAMINADO, E = 3,75 MM, H = 200 MM, L = 75 MM (9,94 KG/M)</t>
  </si>
  <si>
    <t>PERFIL "U" SIMPLES, EM CHAPA DOBRADA DE ACO LAMINADO, E = 2,65 MM, H = 75 MM, L = 40 MM (3,04 KG/M)</t>
  </si>
  <si>
    <t>PERFIL "U" SIMPLES, EM CHAPA DOBRADA DE ACO LAMINADO, E = 3 MM, H = 125 MM, L = 50 MM (5,07 KG/M)</t>
  </si>
  <si>
    <t>PERFIL "U" SIMPLES, EM CHAPA DOBRADA DE ACO LAMINADO, E = 3 MM, H = 200 MM, L = 50 MM (6,83 KG/M)</t>
  </si>
  <si>
    <t>PERFIL "U" SIMPLES, EM CHAPA DOBRADA DE ACO LAMINADO, E = 4,75 MM, H = 100 MM, L = 75 MM (8,74 KG/M)</t>
  </si>
  <si>
    <t>PERFIL "U" SIMPLES, EM CHAPA DOBRADA DE ACO LAMINADO, E = 8 MM, H = 150 MM, L = 75 MM (16,97 KG/M)</t>
  </si>
  <si>
    <t>PERFIL CANALETA, FORMATO C, EM ACO ZINCADO, PARA ESTRUTURA FORRO DRYWALL, E = 0,5 MM, *46 X 18* (L X H), COMPRIMENTO 3 M</t>
  </si>
  <si>
    <t>PERFIL CANTONEIRA L, LISA, EM ACO, 25 X 30 MM, E = 0,5 MM, PARA ESTRUTURA DRYWALL</t>
  </si>
  <si>
    <t>PERFIL CANTONEIRA L, PERFURADA, EM ACO, 23 X 23 MM, E = 0,5 MM, PARA ESTRUTURA DRYWALL</t>
  </si>
  <si>
    <t>PERFIL CARTOLA DE ACO GALVANIZADO, *20 X 30 X 10* MM, E = 0,8 MM</t>
  </si>
  <si>
    <t>PERFIL DE ALUMINIO ANODIZADO</t>
  </si>
  <si>
    <t>PERFIL DE BORRACHA EPDM MACICO *12 X 15* MM PARA ESQUADRIAS</t>
  </si>
  <si>
    <t>PERFIL ELASTOMERICO PRE-FORMADO EM EPMD, PARA JUNTA DE DILATACAO DE PISOS COM POUCA SOLICITACAO, 15 MM DE LARGURA, MOVIMENTACAO DE *11 A 19* MM</t>
  </si>
  <si>
    <t>PERFIL ELASTOMERICO PRE-FORMADO EM EPMD, PARA JUNTA DE DILATACAO DE USO GERAL EM MEDIAS SOLICITACOES, 8 MM DE LARGURA, MOVIMENTACAO DE *5 A 11* MM</t>
  </si>
  <si>
    <t>PERFIL EM ALUMINIO, FORMATO U, ABAS IGUAIS, LARGURA DE 12,70 MM (1/2 POL), ESPESSURA 1,58 MM (1/16 POL) E PESO LINEAR DE APROXIMADAMENTE 0,149 KG/M</t>
  </si>
  <si>
    <t>PERFIL EM ALUMINIO, FORMATO U, ABAS IGUAIS, LARGURA DE 25,4 MM (1"), ESPESSURA DE 2,38 MM (3/32") E PESO LINEAR DE APROXIMADAMENTE 0,460 KG/M</t>
  </si>
  <si>
    <t>PERFIL GUIA, FORMATO U, EM ACO ZINCADO, PARA ESTRUTURA PAREDE DRYWALL, E = 0,5 MM, 48 X 3000 MM (L X C)</t>
  </si>
  <si>
    <t>PERFIL GUIA, FORMATO U, EM ACO ZINCADO, PARA ESTRUTURA PAREDE DRYWALL, E = 0,5 MM, 70 X 3000 MM (L X C)</t>
  </si>
  <si>
    <t>PERFIL GUIA, FORMATO U, EM ACO ZINCADO, PARA ESTRUTURA PAREDE DRYWALL, E = 0,5 MM, 90 X 3000 MM (L X C)</t>
  </si>
  <si>
    <t>PERFIL LONGARINA (PRINCIPAL), T CLICADO, EM ACO, BRANCO NAS FACES APARENTES, PARA FORRO REMOVIVEL, 24 X 32 X 3750 MM (L X H X C</t>
  </si>
  <si>
    <t>PERFIL MONTANTE, FORMATO C, EM ACO ZINCADO, PARA ESTRUTURA PAREDE DRYWALL, E = 0,5 MM, 48 X 3000 MM (L X C)</t>
  </si>
  <si>
    <t>PERFIL MONTANTE, FORMATO C, EM ACO ZINCADO, PARA ESTRUTURA PAREDE DRYWALL, E = 0,5 MM, 70 X 3000 MM (L X C)</t>
  </si>
  <si>
    <t>PERFIL MONTANTE, FORMATO C, EM ACO ZINCADO, PARA ESTRUTURA PAREDE DRYWALL, E = 0,5 MM, 90 X 3000 MM (L X C)</t>
  </si>
  <si>
    <t>PERFIL RODAPE DE IMPERMEABILIZACAO, FORMATO L, EM ACO ZINCADO, PARA ESTRUTURA DRYWALL, E = 0,5 MM, 220 X 3000 MM (H X C)</t>
  </si>
  <si>
    <t>PERFIL TABICA ABERTA, PERFURADA, FORMATO Z, EM ACO GALVANIZADO NATURAL, LARGURA APROXIMADA 40 MM, PARA ESTRUTURA FORRO DRYWALL</t>
  </si>
  <si>
    <t>PERFIL TABICA FECHADA, LISA, FORMATO Z, EM ACO GALVANIZADO NATURAL, LARGURA TOTAL NA HORIZONTAL *40* MM, PARA ESTRUTURA FORRO DRYWALL</t>
  </si>
  <si>
    <t>PERFIL TIPO CANTONEIRA EM L, EM ACO GALVANIZADO, BRANCO, PARA FORRO REMOVIVEL, *23* X 3000 MM (L X C)</t>
  </si>
  <si>
    <t>PERFIL TRAVESSA (SECUNDARIO), T CLICADO, EM ACO GALVANIZADO, BRANCO, PARA FORRO REMOVIVEL, 24 X 1250 MM (L X C)</t>
  </si>
  <si>
    <t>PERFIL TRAVESSA (SECUNDARIO), T CLICADO, EM ACO GALVANIZADO, BRANCO, PARA FORRO REMOVIVEL, 24 X 625 MM (L X C)</t>
  </si>
  <si>
    <t>PERFILADO PERFURADO 19 X 38 MM, CHAPA 22</t>
  </si>
  <si>
    <t>PERFILADO PERFURADO DUPLO 38 X 76 MM, CHAPA 22</t>
  </si>
  <si>
    <t>PERFILADO PERFURADO SIMPLES 38 X 38 MM, CHAPA 22</t>
  </si>
  <si>
    <t>PERFURATRIZ COM TORRE METALICA PARA EXECUCAO DE ESTACA HELICE CONTINUA, PROFUNDIDADE MAXIMA DE 30 M, DIAMETRO MAXIMO DE 800 MM, POTENCIA INSTALADA DE 268 HP, MESA ROTATIVA COM TORQUE MAXIMO DE 170 KNM</t>
  </si>
  <si>
    <t>PERFURATRIZ COM TORRE METALICA PARA EXECUCAO DE ESTACA HELICE CONTINUA, PROFUNDIDADE MAXIMA DE 32 M, DIAMETRO MAXIMO DE 1000 MM, POTENCIA INSTALADA DE 350 HP, MESA ROTATIVA COM TORQUE MAXIMO DE 263 KNM</t>
  </si>
  <si>
    <t>PERFURATRIZ DE COROA DIAMANTADA PARA CONCRETO, DIAMETRO ATE 250 MM, MOTOR ELETRICO 220 V, POTENCIA 2.500W</t>
  </si>
  <si>
    <t>PERFURATRIZ HIDRAULICA COM TRADO CURTO ACOPLADO, PROFUNDIDADE MAXIMA DE 20 M, DIAMETRO MAXIMO DE 1500 MM, POTENCIA INSTALADA DE 137 HP, MESA ROTATIVA COM TORQUE MAXIMO DE 30 KNM (INCLUI MONTAGEM, NAO INCLUI CAMINHAO)</t>
  </si>
  <si>
    <t>PERFURATRIZ HIDRAULICA SOBRE ESTEIRA, TORQUE MAXIMO 161 KNM, PROFUNDIDADE MAXIMA 54 M, DIAMETRO MAXIMO 1500 MM, POTENCIA MOTOR 268 HP</t>
  </si>
  <si>
    <t>PERFURATRIZ HIDRAULICA SOBRE ESTEIRA, TORQUE MAXIMO 98 KNM, PROFUNDIDADE MAXIMA 25 M, DIAMETRO MAXIMO 115 MM, POTENCIA MOTOR 190 HP</t>
  </si>
  <si>
    <t>PERFURATRIZ MANUAL, TORQUE MAXIMO 83 N.M, POTENCIA 5 CV, COM DIAMETRO MAXIMO 4", PARA SOLO GRAMPEADO (INCLUI SUPORTE OU CHASSI TIPO MESA)</t>
  </si>
  <si>
    <t>PERFURATRIZ PARA EXECUCAO DE ESTACAS SECANTES, TIPO HELICE CONTINUA COM CABECOTE DUPLO E TUBO METALICO 300 KW</t>
  </si>
  <si>
    <t>PERFURATRIZ PARA FURO DIRECIONAL HORIZONTAL (HDD) COM CAPACIDADE ATE 89 KN, POTENCIA 24,8 HP A 80 HP (INCLUSO FERRAMENTAS E LOCALIZADOR), PARA REDE SUBTERRANEA</t>
  </si>
  <si>
    <t>PERFURATRIZ PARA FURO DIRECIONAL HORIZONTAL (HDD) COM CAPACIDADE DE 201 KN A 560 KN, POTENCIA 200 HP A 260 HP (INCLUSO FERRAMENTAS E LOCALIZADOR), PARA REDE SUBTERRANEA</t>
  </si>
  <si>
    <t>PERFURATRIZ PARA FURO DIRECIONAL HORIZONTAL (HDD) COM CAPACIDADE DE 90 KN A 200 KN, POTENCIA 100 HP A 160 HP (INCLUSO FERRAMENTAS E LOCALIZADOR), PARA REDE SUBTERRANEA</t>
  </si>
  <si>
    <t>PERFURATRIZ ROTATIVA SOBRE ESTEIRA, TORQUE MAXIMO 2500 KGM, POTENCIA 110 HP, MOTOR DIESEL</t>
  </si>
  <si>
    <t>PERFURATRIZ SOBRE ESTEIRA, TORQUE MAXIMO 600 KGF, PESO MEDIO 1000 KG, POTENCIA 20 HP, DIAMETRO MAXIMO 10"</t>
  </si>
  <si>
    <t>PERFURATRIZ SOBRE ESTEIRA, TORQUE MAXIMO DE 600 KGF, POTENCIA ENTRE 50 E 60 HP, DIAMETRO MAXIMO DE 10"</t>
  </si>
  <si>
    <t>PICAPE CABINE SIMPLES COM MOTOR 1.6 FLEX, CAMBIO MANUAL, POTENCIA 101/104 CV, 2 PORTAS</t>
  </si>
  <si>
    <t>PILAR QUADRADO NAO APARELHADO *10 X 10* CM, EM MACARANDUBA/MASSARANDUBA, ANGELIM OU EQUIVALENTE DA REGIAO - BRUTA</t>
  </si>
  <si>
    <t>PILAR QUADRADO NAO APARELHADO *15 X 15* CM, EM MACARANDUBA/MASSARANDUBA, ANGELIM OU EQUIVALENTE DA REGIAO - BRUTA</t>
  </si>
  <si>
    <t>PILAR QUADRADO NAO APARELHADO *20 X 20* CM, EM MACARANDUBA/MASSARANDUBA, ANGELIM OU EQUIVALENTE DA REGIAO - BRUTA</t>
  </si>
  <si>
    <t>PINGADEIRA PLASTICA PARA TELHA DE FIBROCIMENTO CANALETE 49/KALHETA OU CANALETE 90/KALHETAO</t>
  </si>
  <si>
    <t>PINO DE ACO COM ARRUELA CONICA, DIAMETRO ARRUELA = *23* MM E COMP HASTE = *27* MM (ACAO INDIRETA)</t>
  </si>
  <si>
    <t>PINO DE ACO COM FURO, HASTE = 27 MM (ACAO DIRETA)</t>
  </si>
  <si>
    <t>PINO GUIA RETO, EM LATAO, CHAPA COM 3 MM DE ESPESSURA E GUIA COM ROLETE DE 9 MM</t>
  </si>
  <si>
    <t>PINO ROSCA EXTERNA, EM ACO GALVANIZADO, PARA ISOLADOR DE 15KV, DIAMETRO 25 MM, COMPRIMENTO *290* MM</t>
  </si>
  <si>
    <t>PINO ROSCA EXTERNA, EM ACO GALVANIZADO, PARA ISOLADOR DE 25KV, DIAMETRO 35MM, COMPRIMENTO *320* MM</t>
  </si>
  <si>
    <t>PINTOR (HORISTA)</t>
  </si>
  <si>
    <t>PINTOR (MENSALISTA)</t>
  </si>
  <si>
    <t>PINTOR DE LETREIROS (HORISTA)</t>
  </si>
  <si>
    <t>PINTOR DE LETREIROS (MENSALISTA)</t>
  </si>
  <si>
    <t>PINTOR PARA TINTA EPOXI (HORISTA)</t>
  </si>
  <si>
    <t>PINTOR PARA TINTA EPOXI (MENSALISTA)</t>
  </si>
  <si>
    <t>PISO DE BORRACHA CANELADO EM PLACAS 50 X 50 CM, E = *3,5* MM, PARA COLA</t>
  </si>
  <si>
    <t>PISO DE BORRACHA ESPORTIVO EM PLACAS 50 X 50 CM, E = 15 MM, PARA ARGAMASSA, PRETO</t>
  </si>
  <si>
    <t>PISO DE BORRACHA FRISADO OU PASTILHADO, PRETO, EM PLACAS 50 X 50 CM, E = 7 MM, PARA ARGAMASSA</t>
  </si>
  <si>
    <t>PISO DE BORRACHA PASTILHADO EM PLACAS 50 X 50 CM, E = *3,5* MM, PARA COLA, PRETO</t>
  </si>
  <si>
    <t>PISO DE BORRACHA PASTILHADO EM PLACAS 50 X 50 CM, E = 15 MM, PARA ARGAMASSA, PRETO</t>
  </si>
  <si>
    <t>PISO EM CERAMICA ESMALTADA, COR LISA, PEI MAIOR OU IGUAL A 4, FORMATO MAIOR QUE 2025 CM2</t>
  </si>
  <si>
    <t>PISO EM CERAMICA ESMALTADA, COR LISA, PEI MAIOR OU IGUAL A 4, FORMATO MENOR OU IGUAL A 2025 CM2</t>
  </si>
  <si>
    <t>PISO EM GRANILITE, MARMORITE OU GRANITINA, AGREGADO COR PRETO, CINZA, PALHA OU BRANCO, E= *8* MM (INCLUSO EXECUCAO)</t>
  </si>
  <si>
    <t>PISO EM GRANITO, POLIDO, TIPO AMENDOA/ AMARELO CAPRI/ AMARELO DOURADO CARIOCA OU OUTROS EQUIVALENTES DA REGIAO, FORMATO MENOR OU IGUAL A 3025 CM2, E= *2* CM</t>
  </si>
  <si>
    <t>PISO EM GRANITO, POLIDO, TIPO ANDORINHA/ QUARTZ/ CASTELO/ CORUMBA OU OUTROS EQUIVALENTES DA REGIAO, FORMATO MENOR OU IGUAL A 3025 CM2, E= *2* CM</t>
  </si>
  <si>
    <t>PISO EM GRANITO, POLIDO, TIPO MARFIM, DALLAS, CARAVELAS OU OUTROS EQUIVALENTES DA REGIAO, FORMATO MENOR OU IGUAL A 3025 CM2, E= *2*CM</t>
  </si>
  <si>
    <t>PISO EM GRANITO, POLIDO, TIPO PRETO SAO GABRIEL/ TIJUCA OU OUTROS EQUIVALENTES DA REGIAO, FORMATO MENOR OU IGUAL A 3025 CM2, E= *2* CM</t>
  </si>
  <si>
    <t>PISO EM PORCELANATO, RETIFICADO, LISO, MONOCOLOR, ACETINADO OU POLIDO, FORMATO MAIOR QUE 2500 ATE 6400 CM2</t>
  </si>
  <si>
    <t>PISO EM PORCELANATO,RETIFICADO, LISO, MONOCOLOR, ACETINADO OU POLIDO, FORMATO MAIOR QUE 6400 CM2</t>
  </si>
  <si>
    <t>PISO EM REGUA VINILICA SEMIFLEXIVEL, ENCAIXE CLICADO, E = 4 MM (SEM COLOCACAO)</t>
  </si>
  <si>
    <t>PISO EPOXI AUTONIVELANTE, ESPESSURA *4* MM (INCLUSO EXECUCAO)</t>
  </si>
  <si>
    <t>PISO EPOXI MULTILAYER, ESPESSURA *2* MM (INCLUSO EXECUCAO)</t>
  </si>
  <si>
    <t>PISO FULGET (GRANITO LAVADO) EM PLACAS DE *40 X 40* CM, E = 2,0 CM (SEM COLOCACAO)</t>
  </si>
  <si>
    <t>PISO FULGET (GRANITO LAVADO) EM PLACAS DE *75 X 75* CM, E = 2,0 CM (SEM COLOCACAO)</t>
  </si>
  <si>
    <t>PISO FULGET (GRANITO LAVADO) MOLDADO IN LOCO (INCLUSO EXECUCAO)</t>
  </si>
  <si>
    <t>PISO INDUSTRIAL EM CONCRETO ARMADO DE ACABAMENTO POLIDO, ESPESSURA 12 CM (CIMENTO QUEIMADO) (INCLUSO EXECUCAO)</t>
  </si>
  <si>
    <t>PISO KORODUR (INCLUSO EXECUCAO)</t>
  </si>
  <si>
    <t>PISO TATIL / PODOTATIL, LADRILHO HIDRAULICO / CONCRETO, *25 X 25* CM, E= *2,5* CM, PADRAO TATIL ALERTA OU DIRECIONAL, COR AMARELA</t>
  </si>
  <si>
    <t>PISO TATIL / PODOTATIL, LADRILHO HIDRAULICO/CONCRETO, *40 X 40* CM, E= 2,5* CM, PADRAO TATIL ALERTA OU DIRECIONAL, COR NATURAL</t>
  </si>
  <si>
    <t>PISO TATIL ALERTA OU DIRECIONAL, DE BORRACHA, COLORIDO, 25 X 25 CM, E = 5 MM, PARA COLA</t>
  </si>
  <si>
    <t>PISO TATIL DE ALERTA OU DIRECIONAL DE BORRACHA, PRETO, 25 X 25 CM, E = 5 MM, PARA COLA</t>
  </si>
  <si>
    <t>PISO TATIL DE ALERTA OU DIRECIONAL, DE BORRACHA, COLORIDO, 25 X 25 CM, E = 12 MM, PARA ARGAMASSA</t>
  </si>
  <si>
    <t>PISO TATIL DE ALERTA OU DIRECIONAL, DE BORRACHA, PRETO, 25 X 25 CM, E = 12 MM, PARA ARGAMASSA</t>
  </si>
  <si>
    <t>PISO URETANO, VERSAO REVESTIMENTO AUTONIVELANTE, ESPESSURA VARIAVEL DE 3 A 4 MM (INCLUSO EXECUCAO)</t>
  </si>
  <si>
    <t>PISO/ REVESTIMENTO EM GRANITO, POLIDO, TIPO ANDORINHA/ QUARTZ/ CASTELO/ CORUMBA OU OUTROS EQUIVALENTES DA REGIAO, FORMATO MAIOR OU IGUAL A 3025 CM2, E = *2*CM</t>
  </si>
  <si>
    <t>PISO/ REVESTIMENTO EM MARMORE, POLIDO, BRANCO COMUM, FORMATO MAIOR OU IGUAL A 3025 CM2, E = *2* CM</t>
  </si>
  <si>
    <t>PISO/ REVESTIMENTO EM MARMORE, POLIDO, BRANCO COMUM, FORMATO MENOR OU IGUAL A 3025 CM2, E = *2* CM</t>
  </si>
  <si>
    <t>PLACA / CHAPA DE GESSO ACARTONADO, ACABAMENTO VINILICO LISO EM UMA DAS FACES, COR BRANCA, BORDA QUADRADA, E = 9,5 MM, *625 X 1250* MM (L X C), PARA FORRO REMOVIVEL</t>
  </si>
  <si>
    <t>PLACA / CHAPA DE GESSO ACARTONADO, ACABAMENTO VINILICO LISO EM UMA DAS FACES, COR BRANCA, BORDA QUADRADA, E = 9,5 MM, *625 X 625* MM (L X C), PARA FORRO REMOVIVEL</t>
  </si>
  <si>
    <t>PLACA / CHAPA DE GESSO ACARTONADO, RESISTENTE A UMIDADE (RU), COR VERDE, E = 12,5 MM, 1200 X 1800 MM (L X C)</t>
  </si>
  <si>
    <t>PLACA / CHAPA DE GESSO ACARTONADO, RESISTENTE A UMIDADE (RU), COR VERDE, E = 12,5 MM, 1200 X 2400 MM (L X C)</t>
  </si>
  <si>
    <t>PLACA / CHAPA DE GESSO ACARTONADO, RESISTENTE A UMIDADE (RU), COR VERDE, E = 15 MM, 1200 X 2400 MM (L X C)</t>
  </si>
  <si>
    <t>PLACA / CHAPA DE GESSO ACARTONADO, RESISTENTE AO FOGO (RF), COR ROSA, E = 12,5 MM, 1200 X 1800 MM (L X C)</t>
  </si>
  <si>
    <t>PLACA / CHAPA DE GESSO ACARTONADO, RESISTENTE AO FOGO (RF), COR ROSA, E = 12,5 MM, 1200 X 2400 MM (L X C)</t>
  </si>
  <si>
    <t>PLACA / CHAPA DE GESSO ACARTONADO, RESISTENTE AO FOGO (RF), COR ROSA, E = 15 MM, 1200 X 2400 MM (L X C)</t>
  </si>
  <si>
    <t>PLACA / CHAPA DE GESSO ACARTONADO, STANDARD (ST), COR BRANCA, E = 12,5 MM, 1200 X 1800 MM (L X C)</t>
  </si>
  <si>
    <t>PLACA / CHAPA DE GESSO ACARTONADO, STANDARD (ST), COR BRANCA, E = 12,5 MM, 1200 X 2400 MM (L X C)</t>
  </si>
  <si>
    <t>PLACA / CHAPA DE GESSO ACARTONADO, STANDARD (ST), COR BRANCA, E = 15 MM, 1200 X 2400 MM (L X C)</t>
  </si>
  <si>
    <t>PLACA CIMENTICIA LISA E = 10 MM, DE 1,20 X *2,50* M (SEM AMIANTO)</t>
  </si>
  <si>
    <t>PLACA CIMENTICIA LISA E = 6 MM, DE 1,20 X *2,50* M (SEM AMIANTO)</t>
  </si>
  <si>
    <t>PLACA DE ACO ESMALTADA PARA IDENTIFICACAO DE RUA, *45 CM X 20* CM</t>
  </si>
  <si>
    <t>PLACA DE ACRILICO TRANSPARENTE ADESIVADA PARA SINALIZACAO DE PORTAS, BORDA POLIDA, DE *25 X 8*, E = 6 MM (NAO INCLUI ACESSORIOS PARA FIXACAO)</t>
  </si>
  <si>
    <t>PLACA DE FIBRA MINERAL PARA FORRO, DE 1250 X 625 MM, E = 15 MM, BORDA RETA, COM PINTURA ANTIMOFO (NAO INCLUI PERFIS)</t>
  </si>
  <si>
    <t>PLACA DE FIBRA MINERAL PARA FORRO, DE 625 X 625 MM, E = 15 MM, BORDA REBAIXADA PARA PERFIL 24 MM, COM PINTURA ANTIMOFO (NAO INCLUI PERFIS)</t>
  </si>
  <si>
    <t>PLACA DE FIBRA MINERAL PARA FORRO, DE 625 X 625 MM, E = 15 MM, BORDA RETA, COM PINTURA ANTIMOFO (NAO INCLUI PERFIS)</t>
  </si>
  <si>
    <t>PLACA DE GESSO PARA FORRO, *60 X 60* CM, ESPESSURA DE 12 MM (SEM COLOCACAO)</t>
  </si>
  <si>
    <t>PLACA DE INAUGURACAO EM BRONZE *35X 50*CM</t>
  </si>
  <si>
    <t>PLACA DE INAUGURACAO METALICA, *40* CM X *60* CM</t>
  </si>
  <si>
    <t>PLACA DE OBRA (PARA CONSTRUCAO CIVIL) EM CHAPA GALVANIZADA *N. 22*, ADESIVADA, DE *2,4 X 1,2* M (SEM POSTES PARA FIXACAO)</t>
  </si>
  <si>
    <t>PLACA DE SINALIZACAO DE SEGURANCA CONTRA INCENDIO - ALERTA, TRIANGULAR, BASE DE *30* CM, EM PVC *2* MM ANTI-CHAMAS (SIMBOLOS, CORES E PICTOGRAMAS CONFORME NBR 16820)</t>
  </si>
  <si>
    <t>PLACA DE SINALIZACAO DE SEGURANCA CONTRA INCENDIO, FOTOLUMINESCENTE, QUADRADA, *14 X 14* CM, EM PVC *2* MM ANTI-CHAMAS (SIMBOLOS, CORES E PICTOGRAMAS CONFORME NBR 16820)</t>
  </si>
  <si>
    <t>PLACA DE SINALIZACAO DE SEGURANCA CONTRA INCENDIO, FOTOLUMINESCENTE, QUADRADA, *20 X 20* CM, EM PVC *2* MM ANTI-CHAMAS (SIMBOLOS, CORES E PICTOGRAMAS CONFORME NBR 16820)</t>
  </si>
  <si>
    <t>PLACA DE SINALIZACAO DE SEGURANCA CONTRA INCENDIO, FOTOLUMINESCENTE, RETANGULAR, *12 X 40* CM, EM PVC *2* MM ANTI-CHAMAS (SIMBOLOS, CORES E PICTOGRAMAS CONFORME NBR 16820)</t>
  </si>
  <si>
    <t>PLACA DE SINALIZACAO DE SEGURANCA CONTRA INCENDIO, FOTOLUMINESCENTE, RETANGULAR, *13 X 26* CM, EM PVC *2* MM ANTI-CHAMAS (SIMBOLOS, CORES E PICTOGRAMAS CONFORME NBR 16820)</t>
  </si>
  <si>
    <t>PLACA DE SINALIZACAO DE SEGURANCA CONTRA INCENDIO, FOTOLUMINESCENTE, RETANGULAR, *20 X 40* CM, EM PVC *2* MM ANTI-CHAMAS (SIMBOLOS, CORES E PICTOGRAMAS CONFORME NBR 16820)</t>
  </si>
  <si>
    <t>PLACA DE SINALIZACAO EM CHAPA DE ACO NUM 16 COM PINTURA REFLETIVA</t>
  </si>
  <si>
    <t>PLACA DE SINALIZACAO EM CHAPA DE ALUMINIO COM PINTURA REFLETIVA, E = 2 MM</t>
  </si>
  <si>
    <t>PLACA DE VENTILACAO PARA TELHA DE FIBROCIMENTO CANALETE 49 KALHETA</t>
  </si>
  <si>
    <t>PLACA DE VENTILACAO PARA TELHA DE FIBROCIMENTO, CANALETE 90 OU KALHETAO</t>
  </si>
  <si>
    <t>PLACA NUMERACAO RESIDENCIAL EM CHAPA GALVANIZADA ESMALTADA 12 X 18 CM</t>
  </si>
  <si>
    <t>PLACA ORIENTATIVA SOBRE EXERCICIOS, 2,00 M X 1,00 M (CHAPA GALVANIZADA #20), ESTRUTURA EM TUBOS REDONDOS DE ACO CARBONO, PINTURA NO PROCESSO ELETROSTATICO, ADESIVO FRENTE E VERSO - PARA ACADEMIA AO AR LIVRE / ACADEMIA DA TERCEIRA IDADE - ATI</t>
  </si>
  <si>
    <t>PLACA VINILICA SEMIFLEXIVEL PARA PISOS, E = 3,2 MM, 30 X 30 CM (SEM COLOCACAO)</t>
  </si>
  <si>
    <t>PLACA VINILICA SEMIFLEXIVEL PARA REVESTIMENTO DE PISOS E PAREDES, E = 2 MM (SEM COLOCACAO)</t>
  </si>
  <si>
    <t>PLACA/PISO DE CONCRETO POROSO/ PAVIMENTO PERMEAVEL/BLOCO DRENANTE DE CONCRETO, *40 X 40* CM, E = 6 CM, COR NATURAL</t>
  </si>
  <si>
    <t>PLACA/TAMPA CEGA EM LATAO ESCOVADO PARA CONDULETE EM LIGA DE ALUMINIO 4 X 4"</t>
  </si>
  <si>
    <t>PLUG OU BUJAO DE FERRO GALVANIZADO, DE 1 1/2"</t>
  </si>
  <si>
    <t>PLUG OU BUJAO DE FERRO GALVANIZADO, DE 1 1/4"</t>
  </si>
  <si>
    <t>PLUG OU BUJAO DE FERRO GALVANIZADO, DE 1"</t>
  </si>
  <si>
    <t>PLUG OU BUJAO DE FERRO GALVANIZADO, DE 1/2"</t>
  </si>
  <si>
    <t>PLUG OU BUJAO DE FERRO GALVANIZADO, DE 2 1/2"</t>
  </si>
  <si>
    <t>PLUG OU BUJAO DE FERRO GALVANIZADO, DE 2"</t>
  </si>
  <si>
    <t>PLUG OU BUJAO DE FERRO GALVANIZADO, DE 3"</t>
  </si>
  <si>
    <t>PLUG OU BUJAO DE FERRO GALVANIZADO, DE 3/4"</t>
  </si>
  <si>
    <t>PLUG OU BUJAO DE FERRO GALVANIZADO, DE 4"</t>
  </si>
  <si>
    <t>PLUG PVC, JE, DN 100 MM, PARA REDE COLETORA ESGOTO</t>
  </si>
  <si>
    <t>PLUG PVC, JE, DN 150 MM, PARA REDE COLETORA ESGOTO</t>
  </si>
  <si>
    <t>PO DE PEDRA (POSTO PEDREIRA/FORNECEDOR, SEM FRETE)</t>
  </si>
  <si>
    <t>POCEIRO / ESCAVADOR DE VALAS E TUBULOES (HORISTA)</t>
  </si>
  <si>
    <t>POCEIRO / ESCAVADOR DE VALAS E TUBULOES (MENSALISTA)</t>
  </si>
  <si>
    <t>POLIDORA DE PISO (POLITRIZ) ELETRICA, MOTOR MONOFASICO DE 4 HP, PESO DE 100 KG, DIAMETRO DO TRABALHO DE 450 MM</t>
  </si>
  <si>
    <t>POLIESTIRENO EXPANDIDO/EPS (ISOPOR), PEROLAS, PARA CONCRETO LEVE</t>
  </si>
  <si>
    <t>POLIESTIRENO EXPANDIDO/EPS (ISOPOR), TIPO 2F, BLOCO</t>
  </si>
  <si>
    <t>POLIESTIRENO EXPANDIDO/EPS (ISOPOR), TIPO 2F, PLACA, ISOLAMENTO TERMOACUSTICO, E = 10 MM, 1000 X 500 MM</t>
  </si>
  <si>
    <t>POLIESTIRENO EXPANDIDO/EPS (ISOPOR), TIPO 2F, PLACA, ISOLAMENTO TERMOACUSTICO, E = 20 MM, 1000 X 500 MM</t>
  </si>
  <si>
    <t>POLIESTIRENO EXPANDIDO/EPS (ISOPOR), TIPO 2F, PLACA, ISOLAMENTO TERMOACUSTICO, E = 50 MM, 1000 X 500 MM</t>
  </si>
  <si>
    <t>POLVORA NEGRA</t>
  </si>
  <si>
    <t>PONTALETE *7,5 X 7,5* CM EM PINUS, MISTA OU EQUIVALENTE DA REGIAO - BRUTA</t>
  </si>
  <si>
    <t>PONTALETE ROLICO SEM TRATAMENTO, D = 8 A 11 CM, H = 3 M, EM EUCALIPTO OU EQUIVALENTE DA REGIAO - BRUTA (PARA ESCORAMENTO)</t>
  </si>
  <si>
    <t>PONTALETE ROLICO SEM TRATAMENTO, D = 8 A 11 CM, H = 6 M, EM EUCALIPTO OU EQUIVALENTE DA REGIAO - BRUTA (PARA ESCORAMENTO)</t>
  </si>
  <si>
    <t>PORCA OLHAL EM ACO GALVANIZADO, ESPESSURA 16MM, ABERTURA 21MM</t>
  </si>
  <si>
    <t>PORCA OLHAL M 16, EM ACO GALVANIZADO, DIAMETRO = 16 MM</t>
  </si>
  <si>
    <t>PORCA ZINCADA, QUADRADA, DIAMETRO 3/8"</t>
  </si>
  <si>
    <t>PORCA ZINCADA, QUADRADA, DIAMETRO 5/8"</t>
  </si>
  <si>
    <t>PORCA ZINCADA, SEXTAVADA, DIAMETRO 1"</t>
  </si>
  <si>
    <t>PORCA ZINCADA, SEXTAVADA, DIAMETRO 1/2"</t>
  </si>
  <si>
    <t>PORCA ZINCADA, SEXTAVADA, DIAMETRO 1/4"</t>
  </si>
  <si>
    <t>PORCA ZINCADA, SEXTAVADA, DIAMETRO 3/8"</t>
  </si>
  <si>
    <t>PORCA ZINCADA, SEXTAVADA, DIAMETRO 5/16"</t>
  </si>
  <si>
    <t>PORCA ZINCADA, SEXTAVADA, DIAMETRO 5/8"</t>
  </si>
  <si>
    <t>PORTA CADEADO EM ACO GALVANIZADO, COMPRIMENTO DE 3 1/2"</t>
  </si>
  <si>
    <t>PORTA CORTA-FOGO SIMPLES PARA SAIDA DE EMERGENCIA, 1 FOLHA DE ABRIR, 5 CM, ACABAMENTO NATURAL / SEM PINTURA, COM FECHADURA TIPO TRINCO, DOBRADICAS E BATENTE, VAO LUZ DE 90 X 210 CM, CLASSE P-90 (NBR 11742)</t>
  </si>
  <si>
    <t>PORTA DE ABRIR / GIRO, DE MADEIRA FOLHA MEDIA (NBR 15930) DE 1000 X 2100 MM, DE 35 MM A 40 MM DE ESPESSURA, NUCLEO SEMI-SOLIDO (SARRAFEADO), CAPA LISA EM HDF, ACABAMENTO EM LAMINADO NATURAL PARA VERNIZ</t>
  </si>
  <si>
    <t>PORTA DE ABRIR / GIRO, DE MADEIRA FOLHA MEDIA (NBR 15930) DE 1000 X 2100 MM, DE 35 MM A 40 MM DE ESPESSURA, NUCLEO SEMI-SOLIDO (SARRAFEADO), CAPA LISA EM HDF, ACABAMENTO EM PRIMER PARA PINTURA</t>
  </si>
  <si>
    <t>PORTA DE ABRIR / GIRO, DE MADEIRA FOLHA MEDIA (NBR 15930) DE 700 X 2100 MM, DE 35 MM A 40 MM DE ESPESSURA, NUCLEO SEMI-SOLIDO (SARRAFEADO), CAPA FRISADA EM HDF, ACABAMENTO MELAMINICO EM PADRAO MADEIRA</t>
  </si>
  <si>
    <t>PORTA DE ABRIR / GIRO, DE MADEIRA FOLHA MEDIA (NBR 15930) DE 700 X 2100 MM, DE 35 MM A 40 MM DE ESPESSURA, NUCLEO SEMI-SOLIDO (SARRAFEADO), CAPA LISA EM HDF, ACABAMENTO EM LAMINADO NATURAL PARA VERNIZ</t>
  </si>
  <si>
    <t>PORTA DE ABRIR / GIRO, DE MADEIRA FOLHA MEDIA (NBR 15930) DE 800 X 2100 MM, DE 35 MM A 40 MM DE ESPESSURA, NUCLEO SEMI-SOLIDO (SARRAFEADO), CAPA FRISADA EM HDF, ACABAMENTO MELAMINICO EM PADRAO MADEIRA</t>
  </si>
  <si>
    <t>PORTA DE ABRIR / GIRO, DE MADEIRA FOLHA MEDIA (NBR 15930) DE 800 X 2100 MM, DE 35 MM A 40 MM DE ESPESSURA, NUCLEO SEMI-SOLIDO (SARRAFEADO), CAPA LISA EM HDF, ACABAMENTO EM LAMINADO NATURAL PARA VERNIZ</t>
  </si>
  <si>
    <t>PORTA DE ABRIR / GIRO, DE MADEIRA FOLHA MEDIA (NBR 15930) DE 900 X 2100 MM, DE 35 MM A 40 MM DE ESPESSURA, NUCLEO SEMI-SOLIDO (SARRAFEADO), CAPA LISA EM HDF, ACABAMENTO EM LAMINADO NATURAL PARA VERNIZ</t>
  </si>
  <si>
    <t>PORTA DE ABRIR / GIRO, EM GRADIL FERRO, COM BARRA CHATA 3 CM X 1/4", COM REQUADRO E GUARNICAO - COMPLETO - ACABAMENTO NATURAL</t>
  </si>
  <si>
    <t>PORTA DE ABRIR / GIRO, EM MADEIRA MACICA (ANGELIM OU EQUIVALENTE REGIONAL), QUALQUER DESENHO (VERTICAL/DIAGONAL/HORIZ.), E = *3,5* CM, DIMENSOES 2,10 X 0,70 (SOMENTE FOLHA DE PORTA, ACABAMENTO NATURAL)</t>
  </si>
  <si>
    <t>PORTA DE ABRIR EM ACO, COM DIVISAO HORIZONTAL PARA VIDROS, 90 X 210 CM, COM FUNDO ANTICORROSIVO/PRIMER DE PROTECAO, INCLUI FECHADURA, MACANETA E PARAFUSO, SEM GUARNICAO/ALIZAR/VISTA, VIDROS NAO INCLUSOS</t>
  </si>
  <si>
    <t>PORTA DE ABRIR EM ACO, TIPO VENEZIANA, 90 X 210 CM, COM FUNDO ANTICORROSIVO / PRIMER DE PROTECAO, INCLUI FECHADURA, MACANETA E PARAFUSOS, SEM GUARNICAO/ALIZAR/VISTA</t>
  </si>
  <si>
    <t>PORTA DE ABRIR EM ALUMINIO COM DIVISAO HORIZONTAL PARA VIDROS, ACABAMENTO ANODIZADO NATURAL, VIDROS INCLUSOS, SEM GUARNICAO/ALIZAR/VISTA, 87 CM X 210 CM</t>
  </si>
  <si>
    <t>PORTA DE ABRIR EM ALUMINIO COM LAMBRI HORIZONTAL/LAMINADA, ACABAMENTO ANODIZADO NATURAL, SEM GUARNICAO/ALIZAR/VISTA</t>
  </si>
  <si>
    <t>PORTA DE ABRIR EM ALUMINIO TIPO VENEZIANA, ACABAMENTO ANODIZADO NATURAL, SEM GUARNICAO/ALIZAR/VISTA</t>
  </si>
  <si>
    <t>PORTA DE ABRIR, TIPO VENEZIANA, EM ALUMINIO, ACABAMENTO ANODIZADO NATURAL, 90 CM X 210 CM (LARGURA X ALTURA), SEM GUARNICAO/ALIZAR/VISTA</t>
  </si>
  <si>
    <t>PORTA DE CORRER EM ALUMINIO, DUAS FOLHAS MOVEIS COM VIDRO, FECHADURA E PUXADOR EMBUTIDO, ACABAMENTO ANODIZADO NATURAL, SEM GUARNICAO/ALIZAR/VISTA</t>
  </si>
  <si>
    <t>PORTA DE ENROLAR MANUAL COMPLETA, ARTICULADA RAIADA LARGA, EM ACO GALVANIZADO NATURAL, CHAPA NUMERO 24 (SEM INSTALACAO)</t>
  </si>
  <si>
    <t>PORTA DE ENROLAR MANUAL COMPLETA, PERFIL MEIA CANA CEGA, EM ACO GALVANIZADO COM PINTURA ELETROSTATICA, CHAPA NUMERO 24" (SEM INSTALACAO)</t>
  </si>
  <si>
    <t>PORTA DE ENROLAR MANUAL COMPLETA, PERFIL MEIA CANA CEGA, EM ACO GALVANIZADO NATURAL, CHAPA NUMERO 24 (SEM INSTALACAO)</t>
  </si>
  <si>
    <t>PORTA DE ENROLAR MANUAL COMPLETA, PERFIL MEIA CANA VAZADA TIJOLINHO, EM ACO GALVANIZADO NATURAL, CHAPA NUMERO 24 (SEM INSTALACAO)</t>
  </si>
  <si>
    <t>PORTA DE MADEIRA QUADRICULADA PARA VIDRO, DE CORRER (EUCALIPTO OU EQUIVALENTE REGIONAL), E = *3,5* CM</t>
  </si>
  <si>
    <t>PORTA DE MADEIRA TIPO VENEZIANA (EUCALIPTO OU EQUIVALENTE REGIONAL), E = *3,5* CM</t>
  </si>
  <si>
    <t>PORTA DE MADEIRA, FOLHA LEVE (NBR 15930) DE 600 X 2100 MM, DE 35 MM A 40 MM DE ESPESSURA, NUCLEO COLMEIA, CAPA LISA EM HDF, ACABAMENTO EM PRIMER PARA PINTURA</t>
  </si>
  <si>
    <t>PORTA DE MADEIRA, FOLHA LEVE (NBR 15930) DE 700 X 2100 MM, DE 35 MM A 40 MM DE ESPESSURA, NUCLEO COLMEIA, CAPA LISA EM HDF, ACABAMENTO EM PRIMER PARA PINTURA</t>
  </si>
  <si>
    <t>PORTA DE MADEIRA, FOLHA LEVE (NBR 15930) DE 800 X 2100 MM, DE 35 MM A 40 MM DE ESPESSURA, NUCLEO COLMEIA, CAPA LISA EM HDF, ACABAMENTO EM PRIMER PARA PINTURA</t>
  </si>
  <si>
    <t>PORTA DE MADEIRA, FOLHA LEVE (NBR 15930), DE 600 X 2100 MM, E = 35 MM, NUCLEO COLMEIA, CAPA LISA EM HDF, ACABAMENTO MELAMINICO EM PADRAO MADEIRA</t>
  </si>
  <si>
    <t>PORTA DE MADEIRA, FOLHA MEDIA (NBR 15930) DE 600 X 2100 MM, DE 35 MM A 40 MM DE ESPESSURA, NUCLEO SEMI-SOLIDO (SARRAFEADO), CAPA FRISADA EM HDF, ACABAMENTO MELAMINICO EM PADRAO MADEIRA</t>
  </si>
  <si>
    <t>PORTA DE MADEIRA, FOLHA MEDIA (NBR 15930) DE 600 X 2100 MM, DE 35 MM A 40 MM DE ESPESSURA, NUCLEO SEMI-SOLIDO (SARRAFEADO), CAPA LISA EM HDF, ACABAMENTO EM PRIMER PARA PINTURA</t>
  </si>
  <si>
    <t>PORTA DE MADEIRA, FOLHA MEDIA (NBR 15930) DE 600 X 2100 MM, DE 35 MM A 40 MM DE ESPESSURA, NUCLEO SEMI-SOLIDO (SARRAFEADO), CAPA LISA EM HDF, ACABAMENTO LAMINADO NATURAL PARA VERNIZ</t>
  </si>
  <si>
    <t>PORTA DE MADEIRA, FOLHA MEDIA (NBR 15930) DE 700 X 2100 MM, DE 35 MM A 40 MM DE ESPESSURA, NUCLEO SEMI-SOLIDO (SARRAFEADO), CAPA LISA EM HDF, ACABAMENTO EM PRIMER PARA PINTURA</t>
  </si>
  <si>
    <t>PORTA DE MADEIRA, FOLHA MEDIA (NBR 15930) DE 800 X 2100 MM, DE 35 MM A 40 MM DE ESPESSURA, NUCLEO SEMI-SOLIDO (SARRAFEADO), CAPA LISA EM HDF, ACABAMENTO EM PRIMER PARA PINTURA</t>
  </si>
  <si>
    <t>PORTA DE MADEIRA, FOLHA MEDIA (NBR 15930) DE 900 X 2100 MM, DE 35 MM A 40 MM DE ESPESSURA, NUCLEO SEMI-SOLIDO (SARRAFEADO), CAPA LISA EM HDF, ACABAMENTO EM PRIMER PARA PINTURA</t>
  </si>
  <si>
    <t>PORTA DE MADEIRA, FOLHA PESADA (NBR 15930) DE 800 X 2100 MM, DE 40 MM A 45 MM DE ESPESSURA, NUCLEO SOLIDO, CAPA LISA EM HDF, ACABAMENTO EM LAMINADO NATURAL PARA VERNIZ</t>
  </si>
  <si>
    <t>PORTA DE MADEIRA, FOLHA PESADA (NBR 15930) DE 800 X 2100 MM, DE 40 MM A 45 MM DE ESPESSURA, NUCLEO SOLIDO, CAPA LISA EM HDF, ACABAMENTO EM PRIMER PARA PINTURA</t>
  </si>
  <si>
    <t>PORTA DE MADEIRA, FOLHA PESADA (NBR 15930) DE 900 X 2100 MM, DE 40 MM A 45 MM DE ESPESSURA, NUCLEO SOLIDO, CAPA LISA EM HDF, ACABAMENTO EM LAMINADO NATURAL PARA VERNIZ</t>
  </si>
  <si>
    <t>PORTA DE MADEIRA, FOLHA PESADA (NBR 15930) DE 900 X 2100 MM, DE 40 MM A 45 MM DE ESPESSURA, NUCLEO SOLIDO, CAPA LISA EM HDF, ACABAMENTO EM PRIMER PARA PINTURA</t>
  </si>
  <si>
    <t>PORTA DE MADEIRA-DE-LEI QUADRICULADA PARA VIDRO, DE CORRER (ANGELIM OU EQUIVALENTE REGIONAL), E = *3,5* CM</t>
  </si>
  <si>
    <t>PORTA DE MADEIRA-DE-LEI TIPO VENEZIANA (ANGELIM OU EQUIVALENTE REGIONAL), E = *3,5* CM</t>
  </si>
  <si>
    <t>PORTA TOALHA BANHO EM METAL CROMADO, TIPO BARRA</t>
  </si>
  <si>
    <t>PORTA TOALHA ROSTO EM METAL CROMADO, TIPO ARGOLA</t>
  </si>
  <si>
    <t>PORTA VIDRO TEMPERADO INCOLOR, 2 FOLHAS DE CORRER, E = 10 MM (SEM FERRAGENS E SEM COLOCACAO)</t>
  </si>
  <si>
    <t>PORTAO BASCULANTE, MANUAL, EM ACO GALVANIZADO, CHAPA 26, TIPO LAMBRIL, COM REQUADRO, ACABAMENTO NATURAL</t>
  </si>
  <si>
    <t>PORTAO DE ABRIR / GIRO, EM GRADIL DE METALON REDONDO DE 3/4" VERTICAL, COM REQUADRO, ACABAMENTO NATURAL - COMPLETO</t>
  </si>
  <si>
    <t>PORTAO DE CORRER EM CHAPA TIPO PAINEL LAMBRIL QUADRADO, COM PORTA SOCIAL COMPLETA INCLUIDA, COM REQUADRO, ACABAMENTO NATURAL, COM TRILHOS E ROLDANAS</t>
  </si>
  <si>
    <t>PORTAO DE CORRER EM GRADIL FIXO DE BARRA DE FERRO CHATA DE 3 X 1/4" NA VERTICAL, SEM REQUADRO, ACABAMENTO NATURAL, COM TRILHOS E ROLDANAS</t>
  </si>
  <si>
    <t>POSTE CONICO CONTINUO EM ACO GALVANIZADO, CURVO, BRACO DUPLO, ENGASTADO, H = 9 M, DIAMETRO INFERIOR/BASE = *135* MM</t>
  </si>
  <si>
    <t>POSTE CONICO CONTINUO EM ACO GALVANIZADO, CURVO, BRACO DUPLO, FLANGEADO, H = 9 M, DIAMETRO INFERIOR = *135* MM</t>
  </si>
  <si>
    <t>POSTE CONICO CONTINUO EM ACO GALVANIZADO, CURVO, BRACO SIMPLES, ENGASTADO, H = 9 M, DIAMETRO INFERIOR = *135* MM</t>
  </si>
  <si>
    <t>POSTE CONICO CONTINUO EM ACO GALVANIZADO, CURVO, BRACO SIMPLES, FLANGEADO, H = 7 M, DIAMETRO INFERIOR = *125* MM</t>
  </si>
  <si>
    <t>POSTE CONICO CONTINUO EM ACO GALVANIZADO, CURVO, BRACO SIMPLES, FLANGEADO, H = 9 M, DIAMETRO INFERIOR = *135* MM</t>
  </si>
  <si>
    <t>POSTE CONICO CONTINUO EM ACO GALVANIZADO, RETO, ENGASTADO, H = 7 M, DIAMETRO INFERIOR = *125* MM</t>
  </si>
  <si>
    <t>POSTE CONICO CONTINUO EM ACO GALVANIZADO, RETO, ENGASTADO, H = 9 M, DIAMETRO INFERIOR = *145* MM</t>
  </si>
  <si>
    <t>POSTE CONICO CONTINUO EM ACO GALVANIZADO, RETO, FLANGEADO, H = 3 M, DIAMETRO INFERIOR = *95* MM</t>
  </si>
  <si>
    <t>POSTE DE CONCRETO ARMADO DE SECAO CIRCULAR, EXTENSAO DE 10,00 M, RESISTENCIA DE 150 A 200 DAN, TIPO C-14</t>
  </si>
  <si>
    <t>POSTE DE CONCRETO ARMADO DE SECAO CIRCULAR, EXTENSAO DE 11,00 M, RESISTENCIA DE 200 A 300 DAN, TIPO C-14</t>
  </si>
  <si>
    <t>POSTE DE CONCRETO ARMADO DE SECAO CIRCULAR, EXTENSAO DE 11,00 M, RESISTENCIA DE 300 A 400 DAN, TIPO C-17</t>
  </si>
  <si>
    <t>POSTE DE CONCRETO ARMADO DE SECAO CIRCULAR, EXTENSAO DE 13,00 M, RESISTENCIA DE 1000 DAN, TIPO C-23</t>
  </si>
  <si>
    <t>POSTE DE CONCRETO ARMADO DE SECAO CIRCULAR, EXTENSAO DE 13,00 M, RESISTENCIA DE 1500 DAN, TIPO C-29</t>
  </si>
  <si>
    <t>POSTE DE CONCRETO ARMADO DE SECAO CIRCULAR, EXTENSAO DE 13,00 M, RESISTENCIA DE 2000 DAN, TIPO C-29</t>
  </si>
  <si>
    <t>POSTE DE CONCRETO ARMADO DE SECAO CIRCULAR, EXTENSAO DE 13,00 M, RESISTENCIA DE 2500 DAN, TIPO C-29</t>
  </si>
  <si>
    <t>POSTE DE CONCRETO ARMADO DE SECAO CIRCULAR, EXTENSAO DE 13,00 M, RESISTENCIA DE 3000 DAN, TIPO C-29</t>
  </si>
  <si>
    <t>POSTE DE CONCRETO ARMADO DE SECAO CIRCULAR, EXTENSAO DE 14,00 M, RESISTENCIA DE 1000 DAN, TIPO C-23</t>
  </si>
  <si>
    <t>POSTE DE CONCRETO ARMADO DE SECAO CIRCULAR, EXTENSAO DE 14,00 M, RESISTENCIA DE 1500 DAN, TIPO C-29</t>
  </si>
  <si>
    <t>POSTE DE CONCRETO ARMADO DE SECAO CIRCULAR, EXTENSAO DE 14,00 M, RESISTENCIA DE 2000 DAN, TIPO C-29</t>
  </si>
  <si>
    <t>POSTE DE CONCRETO ARMADO DE SECAO CIRCULAR, EXTENSAO DE 14,00 M, RESISTENCIA DE 2500 DAN, TIPO C-29</t>
  </si>
  <si>
    <t>POSTE DE CONCRETO ARMADO DE SECAO CIRCULAR, EXTENSAO DE 14,00 M, RESISTENCIA DE 300 A 400 DAN, TIPO C-17</t>
  </si>
  <si>
    <t>POSTE DE CONCRETO ARMADO DE SECAO CIRCULAR, EXTENSAO DE 14,00 M, RESISTENCIA DE 3000 DAN, TIPO C-29</t>
  </si>
  <si>
    <t>POSTE DE CONCRETO ARMADO DE SECAO CIRCULAR, EXTENSAO DE 15,00 M, RESISTENCIA DE 1000 DAN, TIPO C-23</t>
  </si>
  <si>
    <t>POSTE DE CONCRETO ARMADO DE SECAO CIRCULAR, EXTENSAO DE 15,00 M, RESISTENCIA DE 1500 DAN, TIPO C-29</t>
  </si>
  <si>
    <t>POSTE DE CONCRETO ARMADO DE SECAO CIRCULAR, EXTENSAO DE 15,00 M, RESISTENCIA DE 2000 DAN, TIPO C-29</t>
  </si>
  <si>
    <t>POSTE DE CONCRETO ARMADO DE SECAO CIRCULAR, EXTENSAO DE 15,00 M, RESISTENCIA DE 2500 DAN, TIPO C-29</t>
  </si>
  <si>
    <t>POSTE DE CONCRETO ARMADO DE SECAO CIRCULAR, EXTENSAO DE 15,00 M, RESISTENCIA DE 3000 DAN, TIPO C-29</t>
  </si>
  <si>
    <t>POSTE DE CONCRETO ARMADO DE SECAO CIRCULAR, EXTENSAO DE 9,00 M, RESISTENCIA DE 200 A 300 DAN, TIPO C-14</t>
  </si>
  <si>
    <t>POSTE DE CONCRETO ARMADO DE SECAO CIRCULAR, EXTENSAO DE 9,00 M, RESISTENCIA DE 300 A 400 DAN, TIPO C-17</t>
  </si>
  <si>
    <t>POSTE DE CONCRETO ARMADO DE SECAO DUPLO T, EXTENSAO DE 10,00 M, RESISTENCIA DE 1000 DAN, TIPO B-1,5</t>
  </si>
  <si>
    <t>POSTE DE CONCRETO ARMADO DE SECAO DUPLO T, EXTENSAO DE 10,00 M, RESISTENCIA DE 150 DAN, TIPO D</t>
  </si>
  <si>
    <t>POSTE DE CONCRETO ARMADO DE SECAO DUPLO T, EXTENSAO DE 10,00 M, RESISTENCIA DE 300 A 400 DAN, TIPO B OU D</t>
  </si>
  <si>
    <t>POSTE DE CONCRETO ARMADO DE SECAO DUPLO T, EXTENSAO DE 10,00 M, RESISTENCIA DE 600 DAN, TIPO B</t>
  </si>
  <si>
    <t>POSTE DE CONCRETO ARMADO DE SECAO DUPLO T, EXTENSAO DE 11,00 M, RESISTENCIA DE 1000 DAN, TIPO B-1,5</t>
  </si>
  <si>
    <t>POSTE DE CONCRETO ARMADO DE SECAO DUPLO T, EXTENSAO DE 11,00 M, RESISTENCIA DE 150 DAN, TIPO D</t>
  </si>
  <si>
    <t>POSTE DE CONCRETO ARMADO DE SECAO DUPLO T, EXTENSAO DE 11,00 M, RESISTENCIA DE 1500 DAN, TIPO B-3,0</t>
  </si>
  <si>
    <t>POSTE DE CONCRETO ARMADO DE SECAO DUPLO T, EXTENSAO DE 11,00 M, RESISTENCIA DE 200 DAN, TIPO D</t>
  </si>
  <si>
    <t>POSTE DE CONCRETO ARMADO DE SECAO DUPLO T, EXTENSAO DE 11,00 M, RESISTENCIA DE 2000 DAN, TIPO B-4,5</t>
  </si>
  <si>
    <t>POSTE DE CONCRETO ARMADO DE SECAO DUPLO T, EXTENSAO DE 11,00 M, RESISTENCIA DE 300 DAN, TIPO B</t>
  </si>
  <si>
    <t>POSTE DE CONCRETO ARMADO DE SECAO DUPLO T, EXTENSAO DE 11,00 M, RESISTENCIA DE 600 DAN, TIPO B</t>
  </si>
  <si>
    <t>POSTE DE CONCRETO ARMADO DE SECAO DUPLO T, EXTENSAO DE 12,00 M, RESISTENCIA DE 1000 DAN, TIPO B-1,5</t>
  </si>
  <si>
    <t>POSTE DE CONCRETO ARMADO DE SECAO DUPLO T, EXTENSAO DE 12,00 M, RESISTENCIA DE 150 DAN, TIPO D</t>
  </si>
  <si>
    <t>POSTE DE CONCRETO ARMADO DE SECAO DUPLO T, EXTENSAO DE 12,00 M, RESISTENCIA DE 1500 DAN, TIPO B-3,0</t>
  </si>
  <si>
    <t>POSTE DE CONCRETO ARMADO DE SECAO DUPLO T, EXTENSAO DE 12,00 M, RESISTENCIA DE 300 A 400 DAN, TIPO B OU D</t>
  </si>
  <si>
    <t>POSTE DE CONCRETO ARMADO DE SECAO DUPLO T, EXTENSAO DE 12,00 M, RESISTENCIA DE 3000 DAN, TIPO B-6,0</t>
  </si>
  <si>
    <t>POSTE DE CONCRETO ARMADO DE SECAO DUPLO T, EXTENSAO DE 12,00 M, RESISTENCIA DE 600 DAN, TIPO B</t>
  </si>
  <si>
    <t>POSTE DE CONCRETO ARMADO DE SECAO DUPLO T, EXTENSAO DE 13,00 M, RESISTENCIA DE 1000 DAN, TIPO B-1,5</t>
  </si>
  <si>
    <t>POSTE DE CONCRETO ARMADO DE SECAO DUPLO T, EXTENSAO DE 13,00 M, RESISTENCIA DE 1500 DAN, TIPO B-3,0</t>
  </si>
  <si>
    <t>POSTE DE CONCRETO ARMADO DE SECAO DUPLO T, EXTENSAO DE 13,00 M, RESISTENCIA DE 2000 DAN, TIPO B-4,5</t>
  </si>
  <si>
    <t>POSTE DE CONCRETO ARMADO DE SECAO DUPLO T, EXTENSAO DE 13,00 M, RESISTENCIA DE 300 DAN, TIPO B</t>
  </si>
  <si>
    <t>POSTE DE CONCRETO ARMADO DE SECAO DUPLO T, EXTENSAO DE 13,00 M, RESISTENCIA DE 600 DAN, TIPO B</t>
  </si>
  <si>
    <t>POSTE DE CONCRETO ARMADO DE SECAO DUPLO T, EXTENSAO DE 15,00 M, RESISTENCIA DE 1500 DAN, TIPO B-3,0</t>
  </si>
  <si>
    <t>POSTE DE CONCRETO ARMADO DE SECAO DUPLO T, EXTENSAO DE 15,00 M, RESISTENCIA DE 2000 DAN, TIPO B-4,5</t>
  </si>
  <si>
    <t>POSTE DE CONCRETO ARMADO DE SECAO DUPLO T, EXTENSAO DE 8,00 M, RESISTENCIA DE 150 DAN, TIPO D</t>
  </si>
  <si>
    <t>POSTE DE CONCRETO ARMADO DE SECAO DUPLO T, EXTENSAO DE 9,00 M, RESISTENCIA DE 1000 DAN, TIPO B-1,5</t>
  </si>
  <si>
    <t>POSTE DE CONCRETO ARMADO DE SECAO DUPLO T, EXTENSAO DE 9,00 M, RESISTENCIA DE 150 DAN, TIPO D</t>
  </si>
  <si>
    <t>POSTE DE CONCRETO ARMADO DE SECAO DUPLO T, EXTENSAO DE 9,00 M, RESISTENCIA DE 300 A 400 DAN, TIPO B OU D</t>
  </si>
  <si>
    <t>POSTE DE CONCRETO ARMADO DE SECAO DUPLO T, EXTENSAO DE 9,00 M, RESISTENCIA DE 600 DAN, TIPO B</t>
  </si>
  <si>
    <t>POSTE DECORATIVO PARA JARDIM EM ACO TUBULAR, SEM LUMINARIA, H = *2,5* M</t>
  </si>
  <si>
    <t>POSTE ROLICO DE MADEIRA TRATADA, D = 20 A 25 CM, H = 12,00 M, EM EUCALIPTO OU EQUIVALENTE DA REGIAO</t>
  </si>
  <si>
    <t>POSTES METALICOS AUTOPORTANTES, CONICO OU TELESCOPICO, PARA SPDA, ALTURA 10 METROS LIVRES</t>
  </si>
  <si>
    <t>POSTES METALICOS AUTOPORTANTES, CONICO OU TELESCOPICO, PARA SPDA, ALTURA 12 METROS LIVRES</t>
  </si>
  <si>
    <t>POSTES METALICOS AUTOPORTANTES, CONICO OU TELESCOPICO, PARA SPDA, ALTURA 15 METROS LIVRES</t>
  </si>
  <si>
    <t>POSTES METALICOS AUTOPORTANTES, CONICO OU TELESCOPICO, PARA SPDA, ALTURA 20 METROS LIVRES</t>
  </si>
  <si>
    <t>PRANCHA APARELHADA *4 X 30* CM, EM MACARANDUBA/MASSARANDUBA, ANGELIM OU EQUIVALENTE DA REGIAO</t>
  </si>
  <si>
    <t>PRANCHA NAO APARELHADA *6 X 25* CM, EM MACARANDUBA/MASSARANDUBA, ANGELIM OU EQUIVALENTE DA REGIAO - BRUTA</t>
  </si>
  <si>
    <t>PRANCHA NAO APARELHADA *6 X 30* CM, EM MACARANDUBA/MASSARANDUBA, ANGELIM OU EQUIVALENTE DA REGIAO - BRUTA</t>
  </si>
  <si>
    <t>PRANCHA NAO APARELHADA *6 X 40* CM, EM MACARANDUBA/MASSARANDUBA, ANGELIM OU EQUIVALENTE DA REGIAO - BRUTA</t>
  </si>
  <si>
    <t>PRANCHAO APARELHADO *7,5 X 23* CM, EM MACARANDUBA/MASSARANDUBA, ANGELIM OU EQUIVALENTE DA REGIAO</t>
  </si>
  <si>
    <t>PRANCHAO APARELHADO *8 X 30* CM, EM MACARANDUBA/MASSARANDUBA, ANGELIM OU EQUIVALENTE DA REGIAO</t>
  </si>
  <si>
    <t>PRANCHAO NAO APARELHADO *7,5 X 23* CM, EM MACARANDUBA/MASSARANDUBA, ANGELIM OU EQUIVALENTE DA REGIAO - BRUTA</t>
  </si>
  <si>
    <t>PRANCHAO NAO APARELHADO *8 X 30* CM, EM MACARANDUBA/MASSARANDUBA, ANGELIM OU EQUIVALENTE DA REGIAO - BRUTA</t>
  </si>
  <si>
    <t>PREGO DE ACO POLIDO COM CABECA 10 X 10 (7/8 X 17)</t>
  </si>
  <si>
    <t>PREGO DE ACO POLIDO COM CABECA 10 X 11 (1 X 17)</t>
  </si>
  <si>
    <t>PREGO DE ACO POLIDO COM CABECA 12 X 12</t>
  </si>
  <si>
    <t>PREGO DE ACO POLIDO COM CABECA 14 X 18 (1 1/2 X 14)</t>
  </si>
  <si>
    <t>PREGO DE ACO POLIDO COM CABECA 15 X 15 (1 1/4 X 13)</t>
  </si>
  <si>
    <t>PREGO DE ACO POLIDO COM CABECA 15 X 18 (1 1/2 X 13)</t>
  </si>
  <si>
    <t>PREGO DE ACO POLIDO COM CABECA 16 X 24 (2 1/4 X 12)</t>
  </si>
  <si>
    <t>PREGO DE ACO POLIDO COM CABECA 16 X 27 (2 1/2 X 12)</t>
  </si>
  <si>
    <t>PREGO DE ACO POLIDO COM CABECA 17 X 21 (2 X 11)</t>
  </si>
  <si>
    <t>PREGO DE ACO POLIDO COM CABECA 17 X 24 (2 1/4 X 11)</t>
  </si>
  <si>
    <t>PREGO DE ACO POLIDO COM CABECA 17 X 27 (2 1/2 X 11)</t>
  </si>
  <si>
    <t>PREGO DE ACO POLIDO COM CABECA 17 X 30 (2 3/4 X 11)</t>
  </si>
  <si>
    <t>PREGO DE ACO POLIDO COM CABECA 18 X 24 (2 1/4 X 10)</t>
  </si>
  <si>
    <t>PREGO DE ACO POLIDO COM CABECA 18 X 27 (2 1/2 X 10)</t>
  </si>
  <si>
    <t>PREGO DE ACO POLIDO COM CABECA 18 X 30 (2 3/4 X 10)</t>
  </si>
  <si>
    <t>PREGO DE ACO POLIDO COM CABECA 19 X 33 (3 X 9)</t>
  </si>
  <si>
    <t>PREGO DE ACO POLIDO COM CABECA 22 X 48 (4 1/4 X 5)</t>
  </si>
  <si>
    <t>PREGO DE ACO POLIDO COM CABECA DUPLA 17 X 27 (2 1/2 X 11)</t>
  </si>
  <si>
    <t>PREGO DE ACO POLIDO SEM CABECA 15 X 15 (1 1/4 X 13)</t>
  </si>
  <si>
    <t>PRESSAO DE PERNAS TRIPLO, EM TUBO DE ACO CARBONO, PINTURA NO PROCESSO ELETROSTATICO - EQUIPAMENTO DE GINASTICA PARA ACADEMIA AO AR LIVRE / ACADEMIA DA TERCEIRA IDADE - ATI</t>
  </si>
  <si>
    <t>PRIMER DE POLIURETANO</t>
  </si>
  <si>
    <t>PRIMER EPOXI / EPOXIDICO</t>
  </si>
  <si>
    <t>PRIMER PARA MANTA ASFALTICA A BASE DE ASFALTO MODIFICADO DILUIDO EM SOLVENTE, APLICACAO A FRIO</t>
  </si>
  <si>
    <t>PROJETOR DE ARGAMASSA, CAPACIDADE DE PROJECAO 1,5 M3/H, ALCANCE DA PROJECAO 30 ATE 60 M, MOTOR ELETRICO TRIFASICO</t>
  </si>
  <si>
    <t>PROJETOR DE ARGAMASSA, CAPACIDADE DE PROJECAO 2,0 M3/H, ALCANCE DA PROJECAO ATE 50 M, MOTOR ELETRICO TRIFASICO</t>
  </si>
  <si>
    <t>PROJETOR PNEUMATICO DE ARGAMASSA PARA CHAPISCO E REBOCO COM RECIPIENTE ACOPLADO, TIPO CANEQUINHA, COM VOLUME DE 1,50 L, SEM COMPRESSOR</t>
  </si>
  <si>
    <t>PROLONGADOR/ EXTENSOR TELESCOPICO, EM CHAPA METALICA, COM 3 METROS, PARA ROLO DE PINTURA</t>
  </si>
  <si>
    <t>PROLONGAMENTO / PROLONGADOR PARA CAIXA SIFONADA, PVC, 100 MM X 200 MM (NBR 5688)</t>
  </si>
  <si>
    <t>PROLONGAMENTO / PROLONGADOR PARA CAIXA SIFONADA, PVC, 150 MM X 150 MM (NBR 5688)</t>
  </si>
  <si>
    <t>PROLONGAMENTO / PROLONGADOR PARA CAIXA SIFONADA, PVC, 150 MM X 200 MM (NBR 5688)</t>
  </si>
  <si>
    <t>PROTETOR AUDITIVO TIPO CONCHA COM ABAFADOR DE RUIDOS, ATENUACAO ACIMA DE 22 DB</t>
  </si>
  <si>
    <t>PROTETOR AUDITIVO TIPO PLUG DE INSERCAO COM CORDAO, ATENUACAO SUPERIOR A 15 DB</t>
  </si>
  <si>
    <t>PROTETOR SOLAR FPS 30, EMBALAGEM 2 LITROS</t>
  </si>
  <si>
    <t>PROTETOR/PONTEIRA PLASTICA PARA PONTA DE VERGALHAO DE ATE 1", TIPO PROTETOR DE ESPERA</t>
  </si>
  <si>
    <t>PRUMO DE CENTRO EM ACO *400* G, COM CORDAO EM NYLON E CALCO GUIA EM ACO OU MADEIRA</t>
  </si>
  <si>
    <t>PRUMO DE PAREDE EM ACO 700 A 750 G, COM CORDAO EM NYLON E TACO</t>
  </si>
  <si>
    <t>PULSADOR CAMPAINHA 10A, 250V (APENAS MODULO)</t>
  </si>
  <si>
    <t>PULSADOR CAMPAINHA 10A, 250V, CONJUNTO MONTADO PARA EMBUTIR 4" X 2" (PLACA + SUPORTE + MODULO)</t>
  </si>
  <si>
    <t>PULSADOR MINUTERIA 10A, 250V (APENAS MODULO)</t>
  </si>
  <si>
    <t>PULSADOR MINUTERIA 10A, 250V, CONJUNTO MONTADO PARA EMBUTIR 4" X 2" (PLACA + SUPORTE + MODULO)</t>
  </si>
  <si>
    <t>PUNHO PARA PERFURATRIZ DE ESTEIRA T38, D = 1 1/2" (38 MM), C = 380 MM</t>
  </si>
  <si>
    <t>PUXADOR DE EMBUTIR TIPO CONCHA, COM FURO PARA CHAVE, EM LATAO CROMADO, COMPRIMENTO DE APROX *100* MM E LARGURA DE APROX *40* MM</t>
  </si>
  <si>
    <t>PUXADOR TIPO ALCA, EM ZAMAC CROMADO, COM COMPRIMENTO DE APROX 150 MM, COM ROSETA PARA PORTAS DE MADEIRAS, INCLUINDO PARAFUSOS</t>
  </si>
  <si>
    <t>PUXADOR TIPO ALCA, EM ZAMAC CROMADO, COM ROSETAS, COMPRIMENTO DE APROX *100* MM, PARA PORTAS E JANELAS DE MADEIRA, INCLUINDO PARAFUSOS</t>
  </si>
  <si>
    <t>PUXADOR TUBULAR RETO DUPLO, EM ALUMINIO CROMADO, COMPRIMENTO DE APROX 400 MM E DIAMETRO DE 25 MM (1")</t>
  </si>
  <si>
    <t>PUXADOR TUBULAR RETO SIMPLES, EM ALUMINIO CROMADO, COM COMPRIMENTO DE APROX 400 MM E DIAMETRO DE 25 MM</t>
  </si>
  <si>
    <t>QUADRO DE DISTRIBUICAO COM BARRAMENTO TRIFASICO, DE EMBUTIR, EM CHAPA DE ACO GALVANIZADO, PARA 12 DISJUNTORES DIN, 100 A</t>
  </si>
  <si>
    <t>QUADRO DE DISTRIBUICAO COM BARRAMENTO TRIFASICO, DE EMBUTIR, EM CHAPA DE ACO GALVANIZADO, PARA 18 DISJUNTORES DIN, 100 A</t>
  </si>
  <si>
    <t>QUADRO DE DISTRIBUICAO COM BARRAMENTO TRIFASICO, DE EMBUTIR, EM CHAPA DE ACO GALVANIZADO, PARA 24 DISJUNTORES DIN, 100 A</t>
  </si>
  <si>
    <t>QUADRO DE DISTRIBUICAO COM BARRAMENTO TRIFASICO, DE EMBUTIR, EM CHAPA DE ACO GALVANIZADO, PARA 28 DISJUNTORES DIN, 100 A</t>
  </si>
  <si>
    <t>QUADRO DE DISTRIBUICAO COM BARRAMENTO TRIFASICO, DE EMBUTIR, EM CHAPA DE ACO GALVANIZADO, PARA 30 DISJUNTORES DIN, 150 A</t>
  </si>
  <si>
    <t>QUADRO DE DISTRIBUICAO COM BARRAMENTO TRIFASICO, DE EMBUTIR, EM CHAPA DE ACO GALVANIZADO, PARA 30 DISJUNTORES DIN, 225 A</t>
  </si>
  <si>
    <t>QUADRO DE DISTRIBUICAO COM BARRAMENTO TRIFASICO, DE EMBUTIR, EM CHAPA DE ACO GALVANIZADO, PARA 36 DISJUNTORES DIN, 100 A</t>
  </si>
  <si>
    <t>QUADRO DE DISTRIBUICAO COM BARRAMENTO TRIFASICO, DE EMBUTIR, EM CHAPA DE ACO GALVANIZADO, PARA 40 DISJUNTORES DIN, 100 A</t>
  </si>
  <si>
    <t>QUADRO DE DISTRIBUICAO COM BARRAMENTO TRIFASICO, DE EMBUTIR, EM CHAPA DE ACO GALVANIZADO, PARA 48 DISJUNTORES DIN, 100 A</t>
  </si>
  <si>
    <t>QUADRO DE DISTRIBUICAO COM BARRAMENTO TRIFASICO, DE SOBREPOR, EM CHAPA DE ACO GALVANIZADO, PARA *42* DISJUNTORES DIN, 100 A</t>
  </si>
  <si>
    <t>QUADRO DE DISTRIBUICAO COM BARRAMENTO TRIFASICO, DE SOBREPOR, EM CHAPA DE ACO GALVANIZADO, PARA 12 DISJUNTORES DIN, 100 A</t>
  </si>
  <si>
    <t>QUADRO DE DISTRIBUICAO COM BARRAMENTO TRIFASICO, DE SOBREPOR, EM CHAPA DE ACO GALVANIZADO, PARA 18 DISJUNTORES DIN, 100 A</t>
  </si>
  <si>
    <t>QUADRO DE DISTRIBUICAO COM BARRAMENTO TRIFASICO, DE SOBREPOR, EM CHAPA DE ACO GALVANIZADO, PARA 28 DISJUNTORES DIN, 100 A</t>
  </si>
  <si>
    <t>QUADRO DE DISTRIBUICAO COM BARRAMENTO TRIFASICO, DE SOBREPOR, EM CHAPA DE ACO GALVANIZADO, PARA 30 DISJUNTORES DIN, 100 A</t>
  </si>
  <si>
    <t>QUADRO DE DISTRIBUICAO COM BARRAMENTO TRIFASICO, DE SOBREPOR, EM CHAPA DE ACO GALVANIZADO, PARA 36 DISJUNTORES DIN, 100 A</t>
  </si>
  <si>
    <t>QUADRO DE DISTRIBUICAO COM BARRAMENTO TRIFASICO, DE SOBREPOR, EM CHAPA DE ACO GALVANIZADO, PARA 48 DISJUNTORES DIN, 100 A</t>
  </si>
  <si>
    <t>QUADRO DE DISTRIBUICAO, EM PVC, DE EMBUTIR, COM BARRAMENTO TERRA / NEUTRO, PARA 12 DISJUNTORES NEMA OU 16 DISJUNTORES DIN</t>
  </si>
  <si>
    <t>QUADRO DE DISTRIBUICAO, EM PVC, DE EMBUTIR, COM BARRAMENTO TERRA / NEUTRO, PARA 18 DISJUNTORES NEMA OU 24 DISJUNTORES DIN</t>
  </si>
  <si>
    <t>QUADRO DE DISTRIBUICAO, EM PVC, DE EMBUTIR, COM BARRAMENTO TERRA / NEUTRO, PARA 27 DISJUNTORES NEMA OU 36 DISJUNTORES DIN</t>
  </si>
  <si>
    <t>QUADRO DE DISTRIBUICAO, EM PVC, DE EMBUTIR, COM BARRAMENTO TERRA / NEUTRO, PARA 48 DISJUNTORES DIN</t>
  </si>
  <si>
    <t>QUADRO DE DISTRIBUICAO, EM PVC, DE EMBUTIR, COM BARRAMENTO TERRA / NEUTRO, PARA 6 DISJUNTORES NEMA OU 8 DISJUNTORES DIN</t>
  </si>
  <si>
    <t>QUADRO DE DISTRIBUICAO, SEM BARRAMENTO, EM PVC, DE EMBUTIR, PARA 12 DISJUNTORES NEMA OU 16 DISJUNTORES DIN</t>
  </si>
  <si>
    <t>QUADRO DE DISTRIBUICAO, SEM BARRAMENTO, EM PVC, DE EMBUTIR, PARA 18 DISJUNTORES NEMA OU 24 DISJUNTORES DIN</t>
  </si>
  <si>
    <t>QUADRO DE DISTRIBUICAO, SEM BARRAMENTO, EM PVC, DE EMBUTIR, PARA 27 DISJUNTORES NEMA OU 36 DISJUNTORES DIN</t>
  </si>
  <si>
    <t>QUADRO DE DISTRIBUICAO, SEM BARRAMENTO, EM PVC, DE EMBUTIR, PARA 3 DISJUNTORES NEMA OU 4 DISJUNTORES DIN</t>
  </si>
  <si>
    <t>QUADRO DE DISTRIBUICAO, SEM BARRAMENTO, EM PVC, DE EMBUTIR, PARA 6 DISJUNTORES NEMA OU 8 DISJUNTORES DIN</t>
  </si>
  <si>
    <t>QUADRO DE DISTRIBUICAO, SEM BARRAMENTO, EM PVC, DE SOBREPOR, PARA 12 DISJUNTORES NEMA OU 16 DISJUNTORES DIN</t>
  </si>
  <si>
    <t>QUADRO DE DISTRIBUICAO, SEM BARRAMENTO, EM PVC, DE SOBREPOR, PARA 18 DISJUNTORES NEMA OU 24 DISJUNTORES DIN</t>
  </si>
  <si>
    <t>QUADRO DE DISTRIBUICAO, SEM BARRAMENTO, EM PVC, DE SOBREPOR, PARA 27 DISJUNTORES NEMA OU 36 DISJUNTORES DIN</t>
  </si>
  <si>
    <t>QUADRO DE DISTRIBUICAO, SEM BARRAMENTO, EM PVC, DE SOBREPOR, PARA 3 DISJUNTORES NEMA OU 4 DISJUNTORES DIN</t>
  </si>
  <si>
    <t>QUADRO DE DISTRIBUICAO, SEM BARRAMENTO, EM PVC, DE SOBREPOR, PARA 6 DISJUNTORES NEMA OU 8 DISJUNTORES DIN</t>
  </si>
  <si>
    <t>RACK DE PISO PARA SERVIDOR, ABERTO, EM COLUNA, 44U X *570* MM</t>
  </si>
  <si>
    <t>RACK DE PISO PARA SERVIDOR, FECHADO, 44U, COM PORTA, 44U X *570* MM</t>
  </si>
  <si>
    <t>RALO FOFO COM REQUADRO, QUADRADO 150 X 150 MM</t>
  </si>
  <si>
    <t>RALO FOFO COM REQUADRO, QUADRADO 200 X 200 MM</t>
  </si>
  <si>
    <t>RALO FOFO COM REQUADRO, QUADRADO 250 X 250 MM</t>
  </si>
  <si>
    <t>RALO FOFO COM REQUADRO, QUADRADO 300 X 300 MM</t>
  </si>
  <si>
    <t>RALO FOFO COM REQUADRO, QUADRADO 400 X 400 MM</t>
  </si>
  <si>
    <t>RALO FOFO SEMIESFERICO, 100 MM, PARA LAJES/ CALHAS</t>
  </si>
  <si>
    <t>RALO FOFO SEMIESFERICO, 150 MM, PARA LAJES/ CALHAS</t>
  </si>
  <si>
    <t>RALO FOFO SEMIESFERICO, 200 MM, PARA LAJES/ CALHAS</t>
  </si>
  <si>
    <t>RALO FOFO SEMIESFERICO, 75 MM, PARA LAJES/ CALHAS</t>
  </si>
  <si>
    <t>RALO SECO / RALO DE PASSAGEM EM PVC, QUADRADO, 100 X 100 X 53 MM, SAIDA 40 MM, COM GRELHA BRANCA</t>
  </si>
  <si>
    <t>RALO SECO CONICO, PVC, 100 X 40 MM, COM GRELHA QUADRADA BRANCA</t>
  </si>
  <si>
    <t>RALO SECO CONICO, PVC, 100 X 40 MM, COM GRELHA REDONDA BRANCA</t>
  </si>
  <si>
    <t>RALO SIFONADO CILINDRICO, PVC, 100 X 40 MM, COM GRELHA REDONDA BRANCA</t>
  </si>
  <si>
    <t>RALO SIFONADO QUADRADO, PVC, 100 X 53 MM, SAIDA 40 MM, COM GRELHA QUADRADA BRANCA</t>
  </si>
  <si>
    <t>RALO SIFONADO REDONDO CONICO, PVC, 100 X 40 MM, COM GRELHA REDONDA BRANCA</t>
  </si>
  <si>
    <t>REBITE DE REPUXO EM ALUMINIO VAZADO, DIAMETRO 3,2 X 8 MM DE COMPRIMENTO (1KG = 1025 UNIDADES)</t>
  </si>
  <si>
    <t>REBOLO ABRASIVO RETO DE USO GERAL GRAO 36, DE 6 X 1" (DIAMETRO X ESPESSURA)</t>
  </si>
  <si>
    <t>REBOLO ABRASIVO RETO DE USO GERAL GRAO 36, DE 6 X 3/4" (DIAMETRO X ESPESSURA)</t>
  </si>
  <si>
    <t>RECICLADORA DE ASFALTO A FRIO SOBRE RODAS, LARG. FRESAGEM 2,00 M, POT. 315 KW/422 HP</t>
  </si>
  <si>
    <t>REDUCAO EXCENTRICA PVC, DN 100 X 50 MM, PARA ESGOTO PREDIAL</t>
  </si>
  <si>
    <t>REDUCAO EXCENTRICA PVC, DN 100 X 75 MM, PARA ESGOTO PREDIAL</t>
  </si>
  <si>
    <t>REDUCAO EXCENTRICA PVC, DN 75 X 50 MM, PARA ESGOTO PREDIAL</t>
  </si>
  <si>
    <t>REDUCAO EXCENTRICA PVC, SERIE R, DN 100 X 75 MM, PARA ESGOTO PREDIAL</t>
  </si>
  <si>
    <t>REDUCAO EXCENTRICA PVC, SERIE R, DN 150 X 100 MM, PARA ESGOTO PREDIAL</t>
  </si>
  <si>
    <t>REDUCAO EXCENTRICA PVC, SERIE R, DN 75 X 50 MM, PARA ESGOTO PREDIAL</t>
  </si>
  <si>
    <t>REDUCAO FIXA TIPO STORZ, ENGATE RAPIDO 2.1/2" X 1.1/2", EM LATAO, PARA INSTALACAO PREDIAL COMBATE A INCENDIO PREDIAL</t>
  </si>
  <si>
    <t>REDUCAO PVC PBA, JE, PB, DN 100 X 50 / DE 110 X 60 MM, PARA REDE DE AGUA</t>
  </si>
  <si>
    <t>REDUCAO PVC PBA, JE, PB, DN 100 X 75 / DE 110 X 85 MM, PARA REDE DE AGUA</t>
  </si>
  <si>
    <t>REDUCAO PVC PBA, JE, PB, DN 75 X 50 / DE 85 X 60 MM, PARA REDE DE AGUA</t>
  </si>
  <si>
    <t>REGISTRO DE ESFERA DE PASSEIO, PVC PARA POLIETILENO, 20 MM</t>
  </si>
  <si>
    <t>REGISTRO DE ESFERA PVC, COM BORBOLETA, COM ROSCA EXTERNA, DE 1/2"</t>
  </si>
  <si>
    <t>REGISTRO DE ESFERA PVC, COM BORBOLETA, COM ROSCA EXTERNA, DE 3/4"</t>
  </si>
  <si>
    <t>REGISTRO DE ESFERA PVC, COM CABECA QUADRADA, COM ROSCA EXTERNA, 1/2"</t>
  </si>
  <si>
    <t>REGISTRO DE ESFERA PVC, COM CABECA QUADRADA, COM ROSCA EXTERNA, 3/4"</t>
  </si>
  <si>
    <t>REGISTRO DE ESFERA, PVC, COM VOLANTE, VS, ROSCAVEL, DN 1 1/2", COM CORPO DIVIDIDO</t>
  </si>
  <si>
    <t>REGISTRO DE ESFERA, PVC, COM VOLANTE, VS, ROSCAVEL, DN 1 1/4", COM CORPO DIVIDIDO</t>
  </si>
  <si>
    <t>REGISTRO DE ESFERA, PVC, COM VOLANTE, VS, ROSCAVEL, DN 1", COM CORPO DIVIDIDO</t>
  </si>
  <si>
    <t>REGISTRO DE ESFERA, PVC, COM VOLANTE, VS, ROSCAVEL, DN 1/2", COM CORPO DIVIDIDO</t>
  </si>
  <si>
    <t>REGISTRO DE ESFERA, PVC, COM VOLANTE, VS, ROSCAVEL, DN 2", COM CORPO DIVIDIDO</t>
  </si>
  <si>
    <t>REGISTRO DE ESFERA, PVC, COM VOLANTE, VS, ROSCAVEL, DN 3/4", COM CORPO DIVIDIDO</t>
  </si>
  <si>
    <t>REGISTRO DE ESFERA, PVC, COM VOLANTE, VS, SOLDAVEL, DN 20 MM, COM CORPO DIVIDIDO</t>
  </si>
  <si>
    <t>REGISTRO DE ESFERA, PVC, COM VOLANTE, VS, SOLDAVEL, DN 25 MM, COM CORPO DIVIDIDO</t>
  </si>
  <si>
    <t>REGISTRO DE ESFERA, PVC, COM VOLANTE, VS, SOLDAVEL, DN 32 MM, COM CORPO DIVIDIDO</t>
  </si>
  <si>
    <t>REGISTRO DE ESFERA, PVC, COM VOLANTE, VS, SOLDAVEL, DN 40 MM, COM CORPO DIVIDIDO</t>
  </si>
  <si>
    <t>REGISTRO DE ESFERA, PVC, COM VOLANTE, VS, SOLDAVEL, DN 50 MM, COM CORPO DIVIDIDO</t>
  </si>
  <si>
    <t>REGISTRO DE ESFERA, PVC, COM VOLANTE, VS, SOLDAVEL, DN 60 MM, COM CORPO DIVIDIDO</t>
  </si>
  <si>
    <t>REGISTRO DE PRESSAO PVC, ROSCAVEL, VOLANTE SIMPLES, DE 1/2"</t>
  </si>
  <si>
    <t>REGISTRO DE PRESSAO PVC, ROSCAVEL, VOLANTE SIMPLES, DE 3/4"</t>
  </si>
  <si>
    <t>REGISTRO DE PRESSAO PVC, SOLDAVEL, VOLANTE SIMPLES, DE 20 MM</t>
  </si>
  <si>
    <t>REGISTRO DE PRESSAO PVC, SOLDAVEL, VOLANTE SIMPLES, DE 25 MM</t>
  </si>
  <si>
    <t>REGISTRO GAVETA BRUTO EM LATAO FORJADO, BITOLA 1 1/2"</t>
  </si>
  <si>
    <t>REGISTRO GAVETA BRUTO EM LATAO FORJADO, BITOLA 1 1/4"</t>
  </si>
  <si>
    <t>REGISTRO GAVETA BRUTO EM LATAO FORJADO, BITOLA 1"</t>
  </si>
  <si>
    <t>REGISTRO GAVETA BRUTO EM LATAO FORJADO, BITOLA 1/2"</t>
  </si>
  <si>
    <t>REGISTRO GAVETA BRUTO EM LATAO FORJADO, BITOLA 2 1/2"</t>
  </si>
  <si>
    <t>REGISTRO GAVETA BRUTO EM LATAO FORJADO, BITOLA 2"</t>
  </si>
  <si>
    <t>REGISTRO GAVETA BRUTO EM LATAO FORJADO, BITOLA 3"</t>
  </si>
  <si>
    <t>REGISTRO GAVETA BRUTO EM LATAO FORJADO, BITOLA 3/4"</t>
  </si>
  <si>
    <t>REGISTRO GAVETA BRUTO EM LATAO FORJADO, BITOLA 4"</t>
  </si>
  <si>
    <t>REGISTRO GAVETA COM ACABAMENTO E CANOPLA CROMADOS, SIMPLES, BITOLA 1 1/2"</t>
  </si>
  <si>
    <t>REGISTRO GAVETA COM ACABAMENTO E CANOPLA CROMADOS, SIMPLES, BITOLA 1 1/4"</t>
  </si>
  <si>
    <t>REGISTRO GAVETA COM ACABAMENTO E CANOPLA CROMADOS, SIMPLES, BITOLA 1"</t>
  </si>
  <si>
    <t>REGISTRO GAVETA COM ACABAMENTO E CANOPLA CROMADOS, SIMPLES, BITOLA 1/2"</t>
  </si>
  <si>
    <t>REGISTRO GAVETA COM ACABAMENTO E CANOPLA CROMADOS, SIMPLES, BITOLA 3/4"</t>
  </si>
  <si>
    <t>REGISTRO OU REGULADOR DE GAS COZINHA, VAZAO DE 2 KG/H, 2,8 KPA</t>
  </si>
  <si>
    <t>REGISTRO OU VALVULA GLOBO ANGULAR EM LATAO, PARA HIDRANTES EM INSTALACAO PREDIAL DE INCENDIO, 45 GRAUS, DIAMETRO DE 2 1/2", COM VOLANTE, CLASSE DE PRESSAO DE ATE 200 PSI</t>
  </si>
  <si>
    <t>REGISTRO PRESSAO BRUTO EM LATAO FORJADO, BITOLA 1/2"</t>
  </si>
  <si>
    <t>REGISTRO PRESSAO BRUTO EM LATAO FORJADO, BITOLA 3/4"</t>
  </si>
  <si>
    <t>REGISTRO PRESSAO COM ACABAMENTO E CANOPLA CROMADA, SIMPLES, BITOLA 1/2"</t>
  </si>
  <si>
    <t>REGISTRO PRESSAO COM ACABAMENTO E CANOPLA CROMADA, SIMPLES, BITOLA 3/4"</t>
  </si>
  <si>
    <t>REGUA DE ALUMINIO PARA PEDREIRO 2 M X *25,5* MM</t>
  </si>
  <si>
    <t>REGUA VIBRADORA DUPLA PARA CONCRETO A GASOLINA 5,5 HP, PESO DE 60 KG, COMPRIMENTO 4 M</t>
  </si>
  <si>
    <t>REJUNTE CIMENTICIO, QUALQUER COR</t>
  </si>
  <si>
    <t>REJUNTE EPOXI, QUALQUER COR</t>
  </si>
  <si>
    <t>RELE FOTOELETRICO INTERNO E EXTERNO BIVOLT 1000 W, DE CONECTOR, SEM BASE</t>
  </si>
  <si>
    <t>RELE TERMICO BIMETAL PARA USO EM MOTORES TRIFASICOS, TENSAO 380 V, POTENCIA ATE 15 CV, CORRENTE NOMINAL MAXIMA 22 A</t>
  </si>
  <si>
    <t>RESINA ACRILICA PREMIUM BASE AGUA - COR BRANCA</t>
  </si>
  <si>
    <t>RESPIRADOR DESCARTAVEL SEM VALVULA DE EXALACAO, PFF 1</t>
  </si>
  <si>
    <t>RETARDO PARA CORDEL DETONANTE</t>
  </si>
  <si>
    <t>RETROESCAVADEIRA SOBRE RODAS COM CARREGADEIRA, TRACAO 4 X 2, POTENCIA LIQUIDA 79 HP, PESO OPERACIONAL MINIMO DE 6570 KG, CAPACIDADE DA CARREGADEIRA DE 1,00 M3 E DA RETROESCAVADEIRA MINIMA DE 0,20 M3, PROFUNDIDADE DE ESCAVACAO MAXIMA DE 4,37 M</t>
  </si>
  <si>
    <t>RETROESCAVADEIRA SOBRE RODAS COM CARREGADEIRA, TRACAO 4 X 4, POTENCIA LIQUIDA 72 HP, PESO OPERACIONAL MINIMO DE 7140 KG, CAPACIDADE MINIMA DA CARREGADEIRA DE 0,79 M3 E DA RETROESCAVADEIRA MINIMA DE 0,18 M3, PROFUNDIDADE DE ESCAVACAO MAXIMA DE 4,50 M</t>
  </si>
  <si>
    <t>RETROESCAVADEIRA SOBRE RODAS COM CARREGADEIRA, TRACAO 4 X 4, POTENCIA LIQUIDA 88 HP, PESO OPERACIONAL MINIMO DE 6674 KG, CAPACIDADE DA CARREGADEIRA DE 1,00 M3 E DA RETROESCAVADEIRA MINIMA DE 0,26 M3, PROFUNDIDADE DE ESCAVACAO MAXIMA DE 4,37 M</t>
  </si>
  <si>
    <t>REVESTIMENTO DE PAREDE EM GRANILITE, MARMORITE OU GRANITINA - ESP = 5 MM (INCLUSO EXECUCAO)</t>
  </si>
  <si>
    <t>REVESTIMENTO DE PAREDE EM GRANILITE, MARMORITE OU GRANITINA COLORIDO - ESP = 5 MM (INCLUSO EXECUCAO)</t>
  </si>
  <si>
    <t>REVESTIMENTO EM CERAMICA ESMALTADA PARA FACHADAS, PECAS NO FORMATO APROX. *5 X 15* CM, FORNECIDAS EM PLACAS COM PECAS UNIDAS EM PONTOS</t>
  </si>
  <si>
    <t>REVESTIMENTO EM CERAMICA ESMALTADA PARA FACHADAS, PECAS NO FORMATO APROX. *7 X 26* CM, FORNECIDAS EM PLACAS COM PECAS UNIDAS EM PONTOS</t>
  </si>
  <si>
    <t>REVESTIMENTO EM CERAMICA ESMALTADA, FORMATO MAIOR A 2025 CM2</t>
  </si>
  <si>
    <t>REVESTIMENTO EPOXI DE ALTA RESISTENCIA QUIMICA, ISENTO DE SOLVENTES, BICOMPONENTE</t>
  </si>
  <si>
    <t>REVESTIMENTO PARA ESCADA EM GRANILITE, MARMORITE OU GRANITINA ESP = 8 MM (INCLUSO EXECUCAO)</t>
  </si>
  <si>
    <t>REVESTIMENTO PARA PAREDE, EM CERAMICA ESMALTADA, FORMATO MENOR OU IGUAL A 2025 CM2</t>
  </si>
  <si>
    <t>RIPA APARELHADA *1,5 X 5* CM, EM MACARANDUBA/MASSARANDUBA, ANGELIM OU EQUIVALENTE DA REGIAO</t>
  </si>
  <si>
    <t>RIPA NAO APARELHADA *1 X 3* CM, EM MACARANDUBA/MASSARANDUBA, ANGELIM OU EQUIVALENTE DA REGIAO - BRUTA</t>
  </si>
  <si>
    <t>RIPA NAO APARELHADA, *1,5 X 5* CM, EM MACARANDUBA/MASSARANDUBA, ANGELIM OU EQUIVALENTE DA REGIAO - BRUTA</t>
  </si>
  <si>
    <t>RODAFORRO EM PVC, PARA FORRO DE PVC, COMPRIMENTO 6 M</t>
  </si>
  <si>
    <t>RODAPE ARDOSIA, CINZA, 10 CM, E= *1CM</t>
  </si>
  <si>
    <t>RODAPE DE MADEIRA MACICA CUMARU/IPE CHAMPANHE OU EQUIVALENTE DA REGIAO, *1,5 X 7 CM</t>
  </si>
  <si>
    <t>RODAPE EM MARMORE, POLIDO, BRANCO COMUM, L= *7* CM, E= *2* CM, CORTE RETO</t>
  </si>
  <si>
    <t>RODAPE EM POLIESTIRENO, BRANCO, H = *5* CM, E = *1,5* CM</t>
  </si>
  <si>
    <t>RODAPE OU RODABANCADA EM GRANITO, POLIDO, TIPO ANDORINHA/ QUARTZ/ CASTELO/ CORUMBA OU OUTROS EQUIVALENTES DA REGIAO, H= 10 CM, E= *2,0* CM</t>
  </si>
  <si>
    <t>RODAPE PLANO PARA PISO VINILICO, H = 5 CM</t>
  </si>
  <si>
    <t>RODAPE PRE-MOLDADO DE GRANILITE, MARMORITE OU GRANITINA L = 10 CM</t>
  </si>
  <si>
    <t>RODIZIO TIPO NAPOLEAO PARA JANELAS DE CORRER, EM ZAMAC, COMPRIMENTO DE APROX 60 CM, COM ROLAMENTO EM ACO</t>
  </si>
  <si>
    <t>RODO PARA CHAO 40 CM, COM BORRACHA DUPLA E CABO</t>
  </si>
  <si>
    <t>ROLDANA CONCAVA DUPLA, 4 RODAS, EM ZAMAC COM CHAPA DE LATAO, ROLAMENTOS EM ACO, PARA PORTAS E JANELAS DE CORRER</t>
  </si>
  <si>
    <t>ROLDANA CONCAVA DUPLA, 4 RODAS, PARA PORTA DE CORRER, EM ZAMAC COM CHAPA DE ACO, ROLAMENTO INTERNO BLINDADO DE ACO REVESTIDO EM NYLON</t>
  </si>
  <si>
    <t>ROLDANA PLASTICA COM PREGO, TAMANHO 30 X 30 MM, PARA INSTALACAO ELETRICA APARENTE</t>
  </si>
  <si>
    <t>ROLO COMPACTADOR DE PNEUS, ESTATICO, PRESSAO VARIAVEL, POTENCIA 110 HP, PESO SEM/COM LASTRO 10,8/27 T, LARGURA DE ROLAGEM 2,30 M</t>
  </si>
  <si>
    <t>ROLO COMPACTADOR DE PNEUS, ESTATICO, PRESSAO VARIAVEL, POTENCIA 111 HP, PESO SEM/COM LASTRO 9,5/26,0 T, LARGURA DE ROLAGEM 1,90 M</t>
  </si>
  <si>
    <t>ROLO COMPACTADOR PE DE CARNEIRO VIBRATORIO, POTENCIA 125 HP, PESO OPERACIONAL SEM/COM LASTRO 11,95/13,30 T, IMPACTO DINAMICO 38,5/22,5 T, LARGURA DE TRABALHO 2,15 M</t>
  </si>
  <si>
    <t>ROLO COMPACTADOR PE DE CARNEIRO VIBRATORIO, POTENCIA 80 HP, PESO OPERACIONAL SEM/COM LASTRO 7,4/8,8 T, LARGURA DE TRABALHO 1,68 M</t>
  </si>
  <si>
    <t>ROLO COMPACTADOR VIBRATORIO DE UM CILINDRO, ACO LISO, POTENCIA 80 HP, PESO OPERACIONAL MAXIMO 8,1 T, IMPACTO DINAMICO 16,15/9,5 T, LARGURA TRABALHO 1,68 M</t>
  </si>
  <si>
    <t>ROLO COMPACTADOR VIBRATORIO PE DE CARNEIRO, COM CONTROLE REMOTO POR RADIO, POTENCIA 12,5 KW, PESO OPERACIONAL DE 1,675 T, LARGURA DE TRABALHO 0,85 M</t>
  </si>
  <si>
    <t>ROLO COMPACTADOR VIBRATORIO REBOCAVEL, CILINDRO DE ACO LISO, POTENCIA DE TRACAO DE 65 CV, PESO DE 4,7 T, IMPACTO DINAMICO TOTAL DE 18,3 T, LARGURA DO ROLO 1,67 M</t>
  </si>
  <si>
    <t>ROLO COMPACTADOR VIBRATORIO TANDEM, ACO LISO, POTENCIA 125 HP, PESO SEM/COM LASTRO 10,20/11,65 T, LARGURA DE TRABALHO 1,73 M</t>
  </si>
  <si>
    <t>ROLO COMPACTADOR VIBRATORIO TANDEM, ACO LISO, POTENCIA 58 CV, PESO SEM/COM LASTRO 6,5/9,4 T, LARGURA DE TRABALHO 1,20 M</t>
  </si>
  <si>
    <t>ROLO DE ESPUMA POLIESTER, 23 CM X 68 MM (COMPRIMENTO X DIAMETRO), SEM CABO</t>
  </si>
  <si>
    <t>ROLO DE LA DE CARNEIRO 25 MM X 23 CM (ALTURA DA LA X COMPRIMENTO), SEM CABO</t>
  </si>
  <si>
    <t>ROSETA QUADRADA, SEM FUROS, EM ACO INOX POLIDO, LARGURA APROXIMADA DE 50 MM, PARA FECHADURA DE PORTA - PARAFUSOS INCLUIDOS</t>
  </si>
  <si>
    <t>ROSETA REDONDA DE SOBREPOR, SEM FUROS, EM ACO INOX POLIDO, DIAMETRO APROXIMADO DE 50 MM, PARA FECHADURA DE PORTA - PARAFUSOS INCLUIDOS</t>
  </si>
  <si>
    <t>ROTACAO DIAGONAL DUPLA, APARELHO TRIPLO, EM TUBO DE ACO CARBONO, PINTURA NO PROCESSO ELETROSTATICO - EQUIPAMENTO DE GINASTICA PARA ACADEMIA AO AR LIVRE / ACADEMIA DA TERCEIRA IDADE - ATI</t>
  </si>
  <si>
    <t>ROTACAO VERTICAL DUPLO, EM TUBO DE ACO CARBONO, PINTURA NO PROCESSO ELETROSTATICO - EQUIPAMENTO DE GINASTICA PARA ACADEMIA AO AR LIVRE / ACADEMIA DA TERCEIRA IDADE - ATI</t>
  </si>
  <si>
    <t>RUFO EXTERNO DE CHAPA DE ACO GALVANIZADA NUM 26, CORTE 25 CM</t>
  </si>
  <si>
    <t>RUFO EXTERNO DE CHAPA DE ACO GALVANIZADA NUM 26, CORTE 28 CM</t>
  </si>
  <si>
    <t>RUFO EXTERNO/INTERNO DE CHAPA DE ACO GALVANIZADA NUM 26, CORTE 33 CM</t>
  </si>
  <si>
    <t>RUFO INTERNO DE CHAPA DE ACO GALVANIZADA NUM 26, CORTE 50 CM</t>
  </si>
  <si>
    <t>RUFO INTERNO/EXTERNO DE CHAPA DE ACO GALVANIZADA NUM 24, CORTE 25 CM</t>
  </si>
  <si>
    <t>RUFO PARA TELHA ESTRUTURAL DE FIBROCIMENTO 1 ABA (SEM AMIANTO)</t>
  </si>
  <si>
    <t>RUFO PARA TELHA ONDULADA DE FIBROCIMENTO, E = 6 MM, ABA *260* MM, COMPRIMENTO 1100 MM (SEM AMIANTO)</t>
  </si>
  <si>
    <t>SABONETEIRA DE PAREDE EM METAL CROMADO</t>
  </si>
  <si>
    <t>SABONETEIRA PLASTICA TIPO DISPENSER PARA SABONETE LIQUIDO COM RESERVATORIO 800 A 1500 ML</t>
  </si>
  <si>
    <t>SACO DE RAFIA PARA ENTULHO, NOVO, LISO (SEM CLICHE), *60 X 90* CM</t>
  </si>
  <si>
    <t>SAIBRO PARA ARGAMASSA (COLETADO NO COMERCIO)</t>
  </si>
  <si>
    <t>SAPATA DE PVC ADITIVADO NERVURADO D = 6 POLEGADAS</t>
  </si>
  <si>
    <t>SAPATA DE PVC ADITIVADO NERVURADO D = 8 POLEGADAS</t>
  </si>
  <si>
    <t>SAPATILHA EM ACO GALVANIZADO PARA CABOS COM DIAMETRO NOMINAL ATE 5/8"</t>
  </si>
  <si>
    <t>SARRAFO *2,5 X 10* CM EM PINUS, MISTA OU EQUIVALENTE DA REGIAO - BRUTA</t>
  </si>
  <si>
    <t>SARRAFO *2,5 X 5* CM EM PINUS, MISTA OU EQUIVALENTE DA REGIAO - BRUTA</t>
  </si>
  <si>
    <t>SARRAFO *2,5 X 7,5* CM EM PINUS, MISTA OU EQUIVALENTE DA REGIAO - BRUTA</t>
  </si>
  <si>
    <t>SARRAFO APARELHADO *2 X 10* CM, EM MACARANDUBA/MASSARANDUBA, ANGELIM OU EQUIVALENTE DA REGIAO</t>
  </si>
  <si>
    <t>SARRAFO NAO APARELHADO *2,5 X 10* CM, EM MACARANDUBA/MASSARANDUBA, ANGELIM OU EQUIVALENTE DA REGIAO - BRUTA</t>
  </si>
  <si>
    <t>SARRAFO NAO APARELHADO *2,5 X 5* CM, EM MACARANDUBA/MASSARANDUBA, ANGELIM, PEROBA-ROSA OU EQUIVALENTE DA REGIAO - BRUTA</t>
  </si>
  <si>
    <t>SARRAFO NAO APARELHADO *2,5 X 7* CM, EM MACARANDUBA/MASSARANDUBA, ANGELIM, PEROBA-ROSA OU EQUIVALENTE DA REGIAO - BRUTA</t>
  </si>
  <si>
    <t>SEGURO - HORISTA (COLETADO CAIXA - ENCARGOS COMPLEMENTARES)</t>
  </si>
  <si>
    <t>SEGURO - MENSALISTA (COLETADO CAIXA - ENCARGOS COMPLEMENTARES)</t>
  </si>
  <si>
    <t>SEIXO ROLADO PARA APLICACAO EM CONCRETO (POSTO PEDREIRA/FORNECEDOR, SEM FRETE)</t>
  </si>
  <si>
    <t>SELADOR ACRILICO OPACO PREMIUM INTERIOR/EXTERIOR</t>
  </si>
  <si>
    <t>SELADOR HORIZONTAL PARA FITA DE ACO 1" (25 MM)</t>
  </si>
  <si>
    <t>SELANTE A BASE DE ALCATRAO E POLIURETANO PARA JUNTAS HORIZONTAIS</t>
  </si>
  <si>
    <t>SELANTE ACRILICO PARA TRATAMENTO / ACABAMENTO SUPERFICIAL DE CONCRETO ESTAMPADO, APARENTE, PEDRAS E OUTROS</t>
  </si>
  <si>
    <t>SELANTE DE BASE ASFALTICA PARA VEDACAO</t>
  </si>
  <si>
    <t>SELANTE ELASTICO MONOCOMPONENTE A BASE DE POLIURETANO (PU) PARA JUNTAS DIVERSAS</t>
  </si>
  <si>
    <t>310ML</t>
  </si>
  <si>
    <t>SELANTE MONOCOMPONENTE A BASE DE SILICONE DE BAIXO MODULO, PARA JUNTAS DE PAVIMENTACAO</t>
  </si>
  <si>
    <t>SELANTE TIPO VEDA CALHA PARA METAL E FIBROCIMENTO</t>
  </si>
  <si>
    <t>SELIM PVC, COM TRAVA, JE, 90 GRAUS, DN 125 X 100 MM OU 150 X 100 MM, PARA REDE COLETORA ESGOTO</t>
  </si>
  <si>
    <t>SEMIRREBOQUE COM DOIS EIXOS EM TANDEM TIPO BASCULANTE COM CACAMBA METALICA 14 M3 (INCLUI MONTAGEM, NAO INCLUI CAVALO MECANICO)</t>
  </si>
  <si>
    <t>SEMIRREBOQUE COM TRES EIXOS EM TANDEM TIPO BASCULANTE COM CACAMBA METALICA 18 M3 (INCLUI MONTAGEM, NAO INCLUI CAVALO MECANICO)</t>
  </si>
  <si>
    <t>SEMIRREBOQUE COM TRES EIXOS, PARA TRANSPORTE DE CARGA SECA, DIMENSOES APROXIMADAS 2,60 X 12,50 X 0,50 M (NAO INCLUI CAVALO MECANICO)</t>
  </si>
  <si>
    <t>SENSOR DE PRESENCA BIVOLT COM FOTOCELULA PARA QUALQUER TIPO DE LAMPADA, POTENCIA MAXIMA *1000* W, USO EXTERNO</t>
  </si>
  <si>
    <t>SENSOR DE PRESENCA BIVOLT DE PAREDE COM FOTOCELULA PARA QUALQUER TIPO DE LAMPADA POTENCIA MAXIMA *1000* W, USO INTERNO</t>
  </si>
  <si>
    <t>SENSOR DE PRESENCA BIVOLT DE PAREDE SEM FOTOCELULA PARA QUALQUER TIPO DE LAMPADA POTENCIA MAXIMA *1000* W, USO INTERNO</t>
  </si>
  <si>
    <t>SENSOR DE PRESENCA BIVOLT DE TETO COM FOTOCELULA PARA QUALQUER TIPO DE LAMPADA POTENCIA MAXIMA *1000* W, USO INTERNO</t>
  </si>
  <si>
    <t>SENSOR DE PRESENCA BIVOLT DE TETO SEM FOTOCELULA PARA QUALQUER TIPO DE LAMPADA POTENCIA MAXIMA *900* W, USO INTERNO</t>
  </si>
  <si>
    <t>SERRA CIRCULAR DE BANCADA COM MOTOR ELETRICO, POTENCIA DE *1600* W, PARA DISCO DE DIAMETRO DE 10" (250 MM)</t>
  </si>
  <si>
    <t>SERRALHEIRO (HORISTA)</t>
  </si>
  <si>
    <t>SERRALHEIRO (MENSALISTA)</t>
  </si>
  <si>
    <t>SERVENTE DE OBRAS (HORISTA)</t>
  </si>
  <si>
    <t>SERVENTE DE OBRAS (MENSALISTA)</t>
  </si>
  <si>
    <t>SERVICO DE BOMBEAMENTO DE CONCRETO COM CONSUMO MINIMO DE 40 M3, (DISPONIBILIZACAO DE BOMBA), SEM O LANCAMENTO</t>
  </si>
  <si>
    <t>SIFAO / TUBO SINFONADO EXTENSIVEL/SANFONADO, UNIVERSAL/ SIMPLES, ENTRE *50 A 70* CM, DE PLASTICO BRANCO</t>
  </si>
  <si>
    <t>SIFAO EM METAL CROMADO PARA PIA AMERICANA, 1.1/2 X 1.1/2"</t>
  </si>
  <si>
    <t>SIFAO EM METAL CROMADO PARA PIA AMERICANA, 1.1/2 X 2"</t>
  </si>
  <si>
    <t>SIFAO EM METAL CROMADO PARA PIA OU LAVATORIO, 1 X 1.1/2"</t>
  </si>
  <si>
    <t>SIFAO EM METAL CROMADO PARA TANQUE, 1.1/4 X 1.1/2"</t>
  </si>
  <si>
    <t>SIFAO PLASTICO EXTENSIVEL UNIVERSAL, TIPO COPO</t>
  </si>
  <si>
    <t>SIFAO PLASTICO TIPO COPO PARA PIA AMERICANA 1.1/2 X 1.1/2"</t>
  </si>
  <si>
    <t>SIFAO PLASTICO TIPO COPO PARA PIA OU LAVATORIO, 1 X 1.1/2"</t>
  </si>
  <si>
    <t>SIFAO PLASTICO TIPO COPO PARA TANQUE, 1.1/4 X 1.1/2"</t>
  </si>
  <si>
    <t>SILICONE ACETICO USO GERAL INCOLOR 280 G</t>
  </si>
  <si>
    <t>SIMULADOR DE CAMINHADA TRIPLO, EM TUBO DE ACO CARBONO, PINTURA NO PROCESSO ELETROSTATICO - EQUIPAMENTO DE GINASTICA PARA ACADEMIA AO AR LIVRE / ACADEMIA DA TERCEIRA IDADE - ATI</t>
  </si>
  <si>
    <t>SIMULADOR DE CAVALGADA TRIPLO, EM TUBO DE ACO CARBONO, PINTURA NO PROCESSO ELETROSTATICO - EQUIPAMENTO DE GINASTICA PARA ACADEMIA AO AR LIVRE / ACADEMIA DA TERCEIRA IDADE - ATI</t>
  </si>
  <si>
    <t>SIMULADOR DE REMO INDIVIDUAL, EM TUBO DE ACO CARBONO, PINTURA NO PROCESSO ELETROSTATICO - EQUIPAMENTO DE GINASTICA PARA ACADEMIA AO AR LIVRE / ACADEMIA DA TERCEIRA IDADE - ATI</t>
  </si>
  <si>
    <t>SINALIZADOR NOTURNO SIMPLES PARA PARA-RAIOS, SEM RELE FOTOELETRICO</t>
  </si>
  <si>
    <t>SISAL EM FIBRA / ESTOPA SISAL PARA GESSO</t>
  </si>
  <si>
    <t>SOLDA EM BARRA DE ESTANHO-CHUMBO 50/50</t>
  </si>
  <si>
    <t>SOLDA EM VARETA FOSCOPER, D = *2,5* MM X COMPRIMENTO 500 MM</t>
  </si>
  <si>
    <t>SOLDA ESTANHO/COBRE PARA CONEXOES DE COBRE, FIO 2,5 MM, CARRETEL 500 GR (SEM CHUMBO)</t>
  </si>
  <si>
    <t>SOLDADOR (HORISTA)</t>
  </si>
  <si>
    <t>SOLDADOR (MENSALISTA)</t>
  </si>
  <si>
    <t>SOLDADOR ELETRICO (PARA SOLDA A SER TESTADA COM RAIOS "X") (HORISTA)</t>
  </si>
  <si>
    <t>SOLDADOR ELETRICO (PARA SOLDA A SER TESTADA COM RAIOS "X") (MENSALISTA)</t>
  </si>
  <si>
    <t>SOLEIRA EM GRANITO, POLIDO, TIPO ANDORINHA/ QUARTZ/ CASTELO/ CORUMBA OU OUTROS EQUIVALENTES DA REGIAO, L= *15* CM, E= *2,0* CM</t>
  </si>
  <si>
    <t>SOLEIRA PRE-MOLDADA EM GRANILITE, MARMORITE OU GRANITINA, L = *15 CM</t>
  </si>
  <si>
    <t>SOLEIRA/ PEITORIL EM MARMORE, POLIDO, BRANCO COMUM, L= *15* CM, E= *2* CM, CORTE RETO</t>
  </si>
  <si>
    <t>SOLEIRA/ TABEIRA EM MARMORE, POLIDO, BRANCO COMUM, L= 5 CM, E= *2,0* CM</t>
  </si>
  <si>
    <t>SOLUCAO ASFALTICA ELASTOMERICA PARA IMPRIMACAO, APLICACAO A FRIO</t>
  </si>
  <si>
    <t>SOLUCAO PREPARADORA / LIMPADORA PARA PVC, FRASCO COM 1000 CM3</t>
  </si>
  <si>
    <t>SOQUETE DE BAQUELITE BASE E27, PARA LAMPADAS</t>
  </si>
  <si>
    <t>SOQUETE DE PORCELANA BASE E27, FIXO DE TETO, PARA LAMPADAS</t>
  </si>
  <si>
    <t>SOQUETE DE PORCELANA BASE E27, PARA USO AO TEMPO, PARA LAMPADAS</t>
  </si>
  <si>
    <t>SOQUETE DE PVC / TERMOPLASTICO BASE E27, COM CHAVE, PARA LAMPADAS</t>
  </si>
  <si>
    <t>SOQUETE DE PVC / TERMOPLASTICO BASE E27, COM RABICHO, PARA LAMPADAS</t>
  </si>
  <si>
    <t>SPRINKLER TIPO PENDENTE, BULBO AMARELO DE RESPOSTA RAPIDA, 79 GRAUS CELSIUS, ACABAMENTO CROMADO, D = 20 MM (3/4")</t>
  </si>
  <si>
    <t>SPRINKLER TIPO PENDENTE, BULBO AMARELO DE RESPOSTA RAPIDA, 79 GRAUS CELSIUS, ACABAMENTO NATURAL OU CROMADO, D = 15 MM (1/2")</t>
  </si>
  <si>
    <t>SPRINKLER TIPO PENDENTE, BULBO AMARELO DE RESPOSTA RAPIDA, 79 GRAUS CELSIUS, ACABAMENTO NATURAL, D = 20 MM (3/4")</t>
  </si>
  <si>
    <t>SPRINKLER TIPO PENDENTE, BULBO VERMELHO DE RESPOSTA RAPIDA, 68 GRAUS CELSIUS, ACABAMENTO CROMADO, D = 15 MM (1/2")</t>
  </si>
  <si>
    <t>SPRINKLER TIPO PENDENTE, BULBO VERMELHO DE RESPOSTA RAPIDA, 68 GRAUS CELSIUS, ACABAMENTO CROMADO, D = 20 MM (3/4")</t>
  </si>
  <si>
    <t>SPRINKLER TIPO PENDENTE, BULBO VERMELHO DE RESPOSTA RAPIDA, 68 GRAUS CELSIUS, ACABAMENTO NATURAL, D = 20 MM (3/4")</t>
  </si>
  <si>
    <t>SPRINKLER TIPO PENDENTE, BULBO VERMELHO RESPOSTA RAPIDA, 68 GRAUS CELSIUS, ACABAMENTO NATURAL, D = 15 MM (1/2")</t>
  </si>
  <si>
    <t>SUPORTE "Y" PARA FITA PERFURADA</t>
  </si>
  <si>
    <t>SUPORTE DE FIXACAO PARA ESPELHO / PLACA 4" X 2", PARA 3 MODULOS, PARA INSTALACAO DE TOMADAS E INTERRUPTORES (SOMENTE SUPORTE)</t>
  </si>
  <si>
    <t>SUPORTE DE FIXACAO PARA ESPELHO / PLACA 4" X 4", PARA 6 MODULOS, PARA INSTALACAO DE TOMADAS E INTERRUPTORES (SOMENTE SUPORTE)</t>
  </si>
  <si>
    <t>SUPORTE EM ACO GALVANIZADO PARA TRANSFORMADOR PARA POSTE DUPLO T 185 X 95 MM, CHAPA DE 5/16"</t>
  </si>
  <si>
    <t>SUPORTE GUIA SIMPLES COM ROLDANA EM POLIPROPILENO PARA CHUMBAR, H = 20 CM</t>
  </si>
  <si>
    <t>SUPORTE ISOLADOR REFORCADO DIAMETRO NOMINAL 5/16", COM ROSCA SOBERBA E BUCHA</t>
  </si>
  <si>
    <t>SUPORTE ISOLADOR SIMPLES DIAMETRO NOMINAL 5/16", COM ROSCA SOBERBA E BUCHA</t>
  </si>
  <si>
    <t>SUPORTE MAO-FRANCESA EM ACO, ABAS IGUAIS 30 CM, CAPACIDADE MINIMA 60 KG, BRANCO</t>
  </si>
  <si>
    <t>SUPORTE MAO-FRANCESA EM ACO, ABAS IGUAIS 40 CM, CAPACIDADE MINIMA 70 KG, BRANCO</t>
  </si>
  <si>
    <t>SUPORTE METALICO PARA CALHA PLUVIAL, ZINCADO, DOBRADO, DIAMETRO ENTRE 119 E 170 MM, PARA DRENAGEM PLUVIAL PREDIAL</t>
  </si>
  <si>
    <t>SUPORTE PARA CALHA DE 150 MM EM ACO GALVANIZADO</t>
  </si>
  <si>
    <t>SUPORTE PARA TUBO DIAMETRO NOMINAL 2", COM ROSCA MECANICA</t>
  </si>
  <si>
    <t>SURF DUPLO, EM TUBO DE ACO CARBONO, PINTURA NO PROCESSO ELETROSTATICO - EQUIPAMENTO DE GINASTICA PARA ACADEMIA AO AR LIVRE / ACADEMIA DA TERCEIRA IDADE - ATI</t>
  </si>
  <si>
    <t>TABUA *2,5 X 15 CM EM PINUS, MISTA OU EQUIVALENTE DA REGIAO - BRUTA</t>
  </si>
  <si>
    <t>TABUA *2,5 X 23* CM EM PINUS, MISTA OU EQUIVALENTE DA REGIAO - BRUTA</t>
  </si>
  <si>
    <t>TABUA *2,5 X 30 CM EM PINUS, MISTA OU EQUIVALENTE DA REGIAO - BRUTA</t>
  </si>
  <si>
    <t>TABUA APARELHADA *2,5 X 15* CM, EM MACARANDUBA/MASSARANDUBA, ANGELIM OU EQUIVALENTE DA REGIAO</t>
  </si>
  <si>
    <t>TABUA APARELHADA *2,5 X 25* CM, EM MACARANDUBA/MASSARANDUBA, ANGELIM OU EQUIVALENTE DA REGIAO</t>
  </si>
  <si>
    <t>TABUA APARELHADA *2,5 X 30* CM, EM MACARANDUBA/MASSARANDUBA, ANGELIM OU EQUIVALENTE DA REGIAO</t>
  </si>
  <si>
    <t>TABUA DE MADEIRA PARA PISO, CUMARU/IPE CHAMPANHE OU EQUIVALENTE DA REGIAO, ENCAIXE MACHO/FEMEA, *10 X 2* CM</t>
  </si>
  <si>
    <t>TABUA DE MADEIRA PARA PISO, CUMARU/IPE CHAMPANHE OU EQUIVALENTE DA REGIAO, ENCAIXE MACHO/FEMEA, *15 X 2* CM</t>
  </si>
  <si>
    <t>TABUA DE MADEIRA PARA PISO, IPE (CERNE) OU EQUIVALENTE DA REGIAO, ENCAIXE MACHO/FEMEA, *20 X 2* CM</t>
  </si>
  <si>
    <t>TABUA NAO APARELHADA *2,5 X 15* CM, EM MACARANDUBA/MASSARANDUBA, ANGELIM OU EQUIVALENTE DA REGIAO - BRUTA</t>
  </si>
  <si>
    <t>TABUA NAO APARELHADA *2,5 X 20* CM, EM MACARANDUBA/MASSARANDUBA, ANGELIM OU EQUIVALENTE DA REGIAO - BRUTA</t>
  </si>
  <si>
    <t>TABUA NAO APARELHADA *2,5 X 30* CM, EM MACARANDUBA/MASSARANDUBA, ANGELIM OU EQUIVALENTE DA REGIAO - BRUTA</t>
  </si>
  <si>
    <t>TACO DE MADEIRA PARA PISO, IPE (CERNE) OU EQUIVALENTE DA REGIAO, 7 X 42 CM, E = 2 CM</t>
  </si>
  <si>
    <t>TALABARTE DE SEGURANCA, 2 MOSQUETOES TRAVA DUPLA *53* MM DE ABERTURA, COM ABSORVEDOR DE ENERGIA</t>
  </si>
  <si>
    <t>TALHA MANUAL DE CORRENTE, CAPACIDADE DE 2 T COM ELEVACAO DE 3 M</t>
  </si>
  <si>
    <t>TALHADEIRA COM PUNHO DE PROTECAO *20 X 250* MM</t>
  </si>
  <si>
    <t>TAMPA CEGA EM PVC PARA CONDULETE 4 X 2"</t>
  </si>
  <si>
    <t>TAMPA DE CONCRETO ARMADO PARA FOSSA SEPTICA, DIAMETRO NOMINAL DE 3,00 M E ESPESSURA MINIMA DE 100 MM</t>
  </si>
  <si>
    <t>TAMPA DE CONCRETO ARMADO PARA FOSSA, D = *0,90* M, E = 0,05 M</t>
  </si>
  <si>
    <t>TAMPA DE CONCRETO ARMADO PARA FOSSA, D = *1,10* M, E = 0,05 M</t>
  </si>
  <si>
    <t>TAMPA DE CONCRETO ARMADO PARA FOSSA, D = *1,35* M, E = 0,05 M</t>
  </si>
  <si>
    <t>TAMPA DE CONCRETO ARMADO PARA FOSSA, D = 1,50 M, E = 0,05 M</t>
  </si>
  <si>
    <t>TAMPA DE CONCRETO ARMADO PARA FOSSA, D = 2,00 M, E = 0,05 M</t>
  </si>
  <si>
    <t>TAMPA DE CONCRETO ARMADO PARA FOSSA, D = 2,50 M, E = 0,05 M</t>
  </si>
  <si>
    <t>TAMPA DE CONCRETO ARMADO PARA POCO DE INSPECAO, COM FURO E TAMPINHA, DIAMETRO NOMINAL DE 3,00 M E ESPESSURA MINIMA DE 100 MM</t>
  </si>
  <si>
    <t>TAMPA DE CONCRETO ARMADO PARA POCO, COM FURO E TAMPINHA, D = *0,90* M, E = 0,05 M</t>
  </si>
  <si>
    <t>TAMPA DE CONCRETO ARMADO PARA POCO, COM FURO E TAMPINHA, D = *1,10* M, E = 0,05 M</t>
  </si>
  <si>
    <t>TAMPA DE CONCRETO ARMADO PARA POCO, COM FURO E TAMPINHA, D = *1,35* M, E = 0,05 M</t>
  </si>
  <si>
    <t>TAMPA DE CONCRETO ARMADO PARA POCO, COM FURO E TAMPINHA, D = 1,50 M, E = 0,05 M</t>
  </si>
  <si>
    <t>TAMPA DE CONCRETO ARMADO PARA POCO, COM FURO E TAMPINHA, D = 2,00 M, E = 0,05 M</t>
  </si>
  <si>
    <t>TAMPA DE CONCRETO ARMADO PARA POCO, COM FURO E TAMPINHA, D = 2,50 M, E = 0,05 M</t>
  </si>
  <si>
    <t>TAMPA PARA CONDULETE, EM PVC, PARA 1 INTERRUPTOR</t>
  </si>
  <si>
    <t>TAMPA PARA CONDULETE, EM PVC, PARA 1 MODULO RJ</t>
  </si>
  <si>
    <t>TAMPA PARA CONDULETE, EM PVC, PARA 2 MODULOS RJ</t>
  </si>
  <si>
    <t>TAMPA PARA CONDULETE, EM PVC, PARA TOMADA HEXAGONAL</t>
  </si>
  <si>
    <t>TAMPAO / CAP, ROSCA MACHO, DN 1", PARA TUBO PEX PARA INST. AGUA QUENTE/FRIA</t>
  </si>
  <si>
    <t>TAMPAO / CAP, ROSCA MACHO, DN 3/4", PARA TUBO PEX PARA INST. AGUA QUENTE/FRIA</t>
  </si>
  <si>
    <t>TAMPAO / TERMINAL / PLUG, D = 1 1/4", PARA DUTO CORRUGADO PEAD (CABEAMENTO SUBTERRANEO)</t>
  </si>
  <si>
    <t>TAMPAO / TERMINAL / PLUG, D = 2", PARA DUTO CORRUGADO PEAD (CABEAMENTO SUBTERRANEO)</t>
  </si>
  <si>
    <t>TAMPAO / TERMINAL / PLUG, D = 3", PARA DUTO CORRUGADO PEAD (CABEAMENTO SUBTERRANEO)</t>
  </si>
  <si>
    <t>TAMPAO / TERMINAL / PLUG, D = 4", PARA DUTO CORRUGADO PEAD (CABEAMENTO SUBTERRANEO)</t>
  </si>
  <si>
    <t>TAMPAO COM CORRENTE, EM LATAO, ENGATE RAPIDO 1 1/2", PARA INSTALACAO PREDIAL DE COMBATE A INCENDIO</t>
  </si>
  <si>
    <t>TAMPAO COM CORRENTE, EM LATAO, ENGATE RAPIDO 2 1/2", PARA INSTALACAO PREDIAL DE COMBATE A INCENDIO</t>
  </si>
  <si>
    <t>TAMPAO FOFO ARTICULADO P/ REGISTRO, COM BASE / REQUADRO, CLASSE A15 CARGA MAX 1,5 T, *200 X 200* MM (COM INSCRICAO EM RELEVO DO TIPO DE REDE)</t>
  </si>
  <si>
    <t>TAMPAO FOFO ARTICULADO P/ REGISTRO, COM BASE / REQUADRO, CLASSE A15 CARGA MAXIMA 1,5 T, *400 X 400* MM (COM INSCRICAO EM RELEVO DO TIPO DE REDE)</t>
  </si>
  <si>
    <t>TAMPAO FOFO ARTICULADO, COM BASE / REQUADRO, CLASSE B125 CARGA MAX 12,5 T, REDONDO, TAMPA 600 MM (COM INSCRICAO EM RELEVO DO TIPO DE REDE)</t>
  </si>
  <si>
    <t>TAMPAO FOFO ARTICULADO, COM BASE / REQUADRO, CLASSE D400 CARGA MAX 40 T, REDONDO, TAMPA 600 MM (COM INSCRICAO EM RELEVO DO TIPO DE REDE)</t>
  </si>
  <si>
    <t>TAMPAO FOFO SIMPLES COM BASE / REQUADRO, CLASSE A15 CARGA MAX. 1,5 T, 300 X 300 MM (COM INSCRICAO EM RELEVO DO TIPO DE REDE)</t>
  </si>
  <si>
    <t>TAMPAO FOFO SIMPLES COM BASE / REQUADRO, CLASSE A15 CARGA MAX. 1,5 T, 400 X 400 MM (COM INSCRICAO EM RELEVO DO TIPO DE REDE)</t>
  </si>
  <si>
    <t>TAMPAO FOFO SIMPLES COM BASE / REQUADRO, CLASSE A15 CARGA MAX. 1,5 T, 400 X 600 MM (COM INSCRICAO EM RELEVO DO TIPO DE REDE)</t>
  </si>
  <si>
    <t>TAMPAO FOFO SIMPLES COM BASE / REQUADRO, CLASSE B125 CARGA MAX. 12,5 T, REDONDO, TAMPA 500 MM (COM INSCRICAO EM RELEVO DO TIPO DE REDE)</t>
  </si>
  <si>
    <t>TAMPAO FOFO SIMPLES COM BASE / REQUADRO, CLASSE B125 CARGA MAX. 12,5 T, REDONDO, TAMPA 600 MM (COM INSCRICAO EM RELEVO DO TIPO DE REDE)</t>
  </si>
  <si>
    <t>TAMPAO FOFO SIMPLES COM BASE / REQUADRO, CLASSE D400 CARGA MAX. 40 T, REDONDO, TAMPA 600 MM (COM INSCRICAO EM RELEVO DO TIPO DE REDE)</t>
  </si>
  <si>
    <t>TAMPAO FOFO SIMPLES COM BASE / REQUADRO, CLASSE D400 CARGA MAX. 40 T, REDONDO, TAMPA 900 MM (COM INSCRICAO EM RELEVO DO TIPO DE REDE)</t>
  </si>
  <si>
    <t>TAMPAO FOFO SIMPLES COM BASE / REQUADRO, R-2, CLASSE A15 CARGA MAX. 1,5 T, 550 X 1100 MM (COM INSCRICAO EM RELEVO DO TIPO DE REDE)</t>
  </si>
  <si>
    <t>TANQUE ACO INOXIDAVEL (ACO 304) COM ESFREGADOR E VALVULA, DE *50 X 40 X 22* CM</t>
  </si>
  <si>
    <t>TANQUE DE ACO CARBONO NAO REVESTIDO, PARA TRANSPORTE DE AGUA COM CAPACIDADE DE 10 M3, COM BOMBA CENTRIFUGA POR TOMADA DE FORCA, VAZAO MAXIMA *75* M3/H (INCLUI MONTAGEM, NAO INCLUI CAMINHAO)</t>
  </si>
  <si>
    <t>TANQUE DE ACO PARA TRANSPORTE DE AGUA COM CAPACIDADE DE 14 M3 (INCLUI MONTAGEM, NAO INCLUI CAMINHAO)</t>
  </si>
  <si>
    <t>TANQUE DE ACO PARA TRANSPORTE DE AGUA COM CAPACIDADE DE 6 M3 (INCLUI MONTAGEM, NAO INCLUI CAMINHAO)</t>
  </si>
  <si>
    <t>TANQUE DE ASFALTO ESTACIONARIO COM MACARICO, CAPACIDADE 20.000 L</t>
  </si>
  <si>
    <t>TANQUE DE ASFALTO ESTACIONARIO COM SERPENTINA, CAPACIDADE 30.000 L</t>
  </si>
  <si>
    <t>TANQUE DE LOUCA BRANCA, COM COLUNA, *30* L</t>
  </si>
  <si>
    <t>TANQUE DE LOUCA BRANCA, SUSPENSO, *20* L</t>
  </si>
  <si>
    <t>TANQUE DUPLO EM MARMORE SINTETICO COM CUBA LISA E ESFREGADOR, *110 X 60* CM</t>
  </si>
  <si>
    <t>TANQUE SIMPLES EM MARMORE SINTETICO COM COLUNA, CAPACIDADE *22* L, *60 X 46* CM</t>
  </si>
  <si>
    <t>TANQUE SIMPLES EM MARMORE SINTETICO DE FIXAR NA PAREDE, CAPACIDADE *22* L, *60 X 46* CM</t>
  </si>
  <si>
    <t>TANQUE SIMPLES EM MARMORE SINTETICO SUSPENSO, CAPACIDADE *38* L, *60 X 60* CM</t>
  </si>
  <si>
    <t>TARIFA "A" ENTRE 0 E 20M3 FORNECIMENTO D'AGUA</t>
  </si>
  <si>
    <t>TARJETA LIVRE / OCUPADO PARA PORTA DE BANHEIRO, CORPO EM ZAMAC E ESPELHO EM LATAO</t>
  </si>
  <si>
    <t>TARUGO DELIMITADOR DE PROFUNDIDADE EM ESPUMA DE POLIETILENO DE BAIXA DENSIDADE 10 MM, CINZA</t>
  </si>
  <si>
    <t>TE 45 GRAUS DE FERRO GALVANIZADO, COM ROSCA BSP, DE 1 1/2"</t>
  </si>
  <si>
    <t>TE 45 GRAUS DE FERRO GALVANIZADO, COM ROSCA BSP, DE 1 1/4"</t>
  </si>
  <si>
    <t>TE 45 GRAUS DE FERRO GALVANIZADO, COM ROSCA BSP, DE 1"</t>
  </si>
  <si>
    <t>TE 45 GRAUS DE FERRO GALVANIZADO, COM ROSCA BSP, DE 1/2"</t>
  </si>
  <si>
    <t>TE 45 GRAUS DE FERRO GALVANIZADO, COM ROSCA BSP, DE 2 1/2"</t>
  </si>
  <si>
    <t>TE 45 GRAUS DE FERRO GALVANIZADO, COM ROSCA BSP, DE 2"</t>
  </si>
  <si>
    <t>TE 45 GRAUS DE FERRO GALVANIZADO, COM ROSCA BSP, DE 3"</t>
  </si>
  <si>
    <t>TE 45 GRAUS DE FERRO GALVANIZADO, COM ROSCA BSP, DE 3/4"</t>
  </si>
  <si>
    <t>TE 45 GRAUS DE FERRO GALVANIZADO, COM ROSCA BSP, DE 4"</t>
  </si>
  <si>
    <t>TE 90 GRAUS EM ACO CARBONO, SOLDAVEL, PRESSAO 3.000 LBS, DN 1 1/2"</t>
  </si>
  <si>
    <t>TE 90 GRAUS EM ACO CARBONO, SOLDAVEL, PRESSAO 3.000 LBS, DN 1 1/4"</t>
  </si>
  <si>
    <t>TE 90 GRAUS EM ACO CARBONO, SOLDAVEL, PRESSAO 3.000 LBS, DN 1"</t>
  </si>
  <si>
    <t>TE 90 GRAUS EM ACO CARBONO, SOLDAVEL, PRESSAO 3.000 LBS, DN 1/2"</t>
  </si>
  <si>
    <t>TE 90 GRAUS EM ACO CARBONO, SOLDAVEL, PRESSAO 3.000 LBS, DN 2 1/2"</t>
  </si>
  <si>
    <t>TE 90 GRAUS EM ACO CARBONO, SOLDAVEL, PRESSAO 3.000 LBS, DN 2"</t>
  </si>
  <si>
    <t>TE 90 GRAUS EM ACO CARBONO, SOLDAVEL, PRESSAO 3.000 LBS, DN 3"</t>
  </si>
  <si>
    <t>TE 90 GRAUS EM ACO CARBONO, SOLDAVEL, PRESSAO 3.000 LBS, DN 3/4"</t>
  </si>
  <si>
    <t>TE CPVC, SOLDAVEL, 90 GRAUS, 114 MM, PARA AGUA QUENTE PREDIAL</t>
  </si>
  <si>
    <t>TE CPVC, SOLDAVEL, 90 GRAUS, 15 MM, PARA AGUA QUENTE PREDIAL</t>
  </si>
  <si>
    <t>TE CPVC, SOLDAVEL, 90 GRAUS, 22 MM, PARA AGUA QUENTE PREDIAL</t>
  </si>
  <si>
    <t>TE CPVC, SOLDAVEL, 90 GRAUS, 28 MM, PARA AGUA QUENTE PREDIAL</t>
  </si>
  <si>
    <t>TE CPVC, SOLDAVEL, 90 GRAUS, 35 MM, PARA AGUA QUENTE PREDIAL</t>
  </si>
  <si>
    <t>TE CPVC, SOLDAVEL, 90 GRAUS, 42 MM, PARA AGUA QUENTE PREDIAL</t>
  </si>
  <si>
    <t>TE CPVC, SOLDAVEL, 90 GRAUS, 54 MM, PARA AGUA QUENTE PREDIAL</t>
  </si>
  <si>
    <t>TE CPVC, SOLDAVEL, 90 GRAUS, 73 MM, PARA AGUA QUENTE PREDIAL</t>
  </si>
  <si>
    <t>TE CPVC, SOLDAVEL, 90 GRAUS, 89 MM, PARA AGUA QUENTE PREDIAL</t>
  </si>
  <si>
    <t>TE DE COBRE SEM ANEL DE SOLDA, BOLSA X BOLSA X BOLSA, 104 MM</t>
  </si>
  <si>
    <t>TE DE COBRE SEM ANEL DE SOLDA, BOLSA X BOLSA X BOLSA, 15 MM</t>
  </si>
  <si>
    <t>TE DE COBRE SEM ANEL DE SOLDA, BOLSA X BOLSA X BOLSA, 22 MM</t>
  </si>
  <si>
    <t>TE DE COBRE SEM ANEL DE SOLDA, BOLSA X BOLSA X BOLSA, 28 MM</t>
  </si>
  <si>
    <t>TE DE COBRE SEM ANEL DE SOLDA, BOLSA X BOLSA X BOLSA, 35 MM</t>
  </si>
  <si>
    <t>TE DE COBRE SEM ANEL DE SOLDA, BOLSA X BOLSA X BOLSA, 42 MM</t>
  </si>
  <si>
    <t>TE DE COBRE SEM ANEL DE SOLDA, BOLSA X BOLSA X BOLSA, 54 MM</t>
  </si>
  <si>
    <t>TE DE COBRE SEM ANEL DE SOLDA, BOLSA X BOLSA X BOLSA, 66 MM</t>
  </si>
  <si>
    <t>TE DE COBRE SEM ANEL DE SOLDA, BOLSA X BOLSA X BOLSA, 79 MM</t>
  </si>
  <si>
    <t>TE DE FERRO GALVANIZADO, DE 1 1/2"</t>
  </si>
  <si>
    <t>TE DE FERRO GALVANIZADO, DE 1 1/4"</t>
  </si>
  <si>
    <t>TE DE FERRO GALVANIZADO, DE 1"</t>
  </si>
  <si>
    <t>TE DE FERRO GALVANIZADO, DE 1/2"</t>
  </si>
  <si>
    <t>TE DE FERRO GALVANIZADO, DE 2 1/2"</t>
  </si>
  <si>
    <t>TE DE FERRO GALVANIZADO, DE 2"</t>
  </si>
  <si>
    <t>TE DE FERRO GALVANIZADO, DE 3"</t>
  </si>
  <si>
    <t>TE DE FERRO GALVANIZADO, DE 3/4"</t>
  </si>
  <si>
    <t>TE DE FERRO GALVANIZADO, DE 4"</t>
  </si>
  <si>
    <t>TE DE FERRO GALVANIZADO, DE 5"</t>
  </si>
  <si>
    <t>TE DE FERRO GALVANIZADO, DE 6"</t>
  </si>
  <si>
    <t>TE DE INSPECAO, PVC, 100 X 75 MM, SERIE NORMAL PARA ESGOTO PREDIAL</t>
  </si>
  <si>
    <t>TE DE INSPECAO, PVC, SERIE R, 100 X 75 MM, PARA ESGOTO PREDIAL</t>
  </si>
  <si>
    <t>TE DE INSPECAO, PVC, SERIE R, 150 X 100 MM, PARA ESGOTO PREDIAL</t>
  </si>
  <si>
    <t>TE DE INSPECAO, PVC, SERIE R, 75 X 75 MM, PARA ESGOTO PREDIAL</t>
  </si>
  <si>
    <t>TE DE REDUCAO COM ROSCA, PVC, 90 GRAUS, 1 X 3/4", PARA AGUA FRIA PREDIAL</t>
  </si>
  <si>
    <t>TE DE REDUCAO COM ROSCA, PVC, 90 GRAUS, 1.1/2" X 3/4", AGUA FRIA PREDIAL</t>
  </si>
  <si>
    <t>TE DE REDUCAO COM ROSCA, PVC, 90 GRAUS, 3/4 X 1/2", PARA AGUA FRIA PREDIAL</t>
  </si>
  <si>
    <t>TE DE REDUCAO DE FERRO GALVANIZADO, COM ROSCA BSP, DE 1 1/2" X 1"</t>
  </si>
  <si>
    <t>TE DE REDUCAO DE FERRO GALVANIZADO, COM ROSCA BSP, DE 1 1/2" X 3/4"</t>
  </si>
  <si>
    <t>TE DE REDUCAO DE FERRO GALVANIZADO, COM ROSCA BSP, DE 1 1/4" X 3/4"</t>
  </si>
  <si>
    <t>TE DE REDUCAO DE FERRO GALVANIZADO, COM ROSCA BSP, DE 1" X 1/2"</t>
  </si>
  <si>
    <t>TE DE REDUCAO DE FERRO GALVANIZADO, COM ROSCA BSP, DE 1" X 3/4"</t>
  </si>
  <si>
    <t>TE DE REDUCAO DE FERRO GALVANIZADO, COM ROSCA BSP, DE 2 1/2" X 1 1/2"</t>
  </si>
  <si>
    <t>TE DE REDUCAO DE FERRO GALVANIZADO, COM ROSCA BSP, DE 2 1/2" X 1 1/4"</t>
  </si>
  <si>
    <t>TE DE REDUCAO DE FERRO GALVANIZADO, COM ROSCA BSP, DE 2 1/2" X 1"</t>
  </si>
  <si>
    <t>TE DE REDUCAO DE FERRO GALVANIZADO, COM ROSCA BSP, DE 2 1/2" X 2"</t>
  </si>
  <si>
    <t>TE DE REDUCAO DE FERRO GALVANIZADO, COM ROSCA BSP, DE 2" X 1 1/2"</t>
  </si>
  <si>
    <t>TE DE REDUCAO DE FERRO GALVANIZADO, COM ROSCA BSP, DE 2" X 1 1/4"</t>
  </si>
  <si>
    <t>TE DE REDUCAO DE FERRO GALVANIZADO, COM ROSCA BSP, DE 2" X 1"</t>
  </si>
  <si>
    <t>TE DE REDUCAO DE FERRO GALVANIZADO, COM ROSCA BSP, DE 3" X 1 1/2"</t>
  </si>
  <si>
    <t>TE DE REDUCAO DE FERRO GALVANIZADO, COM ROSCA BSP, DE 3" X 1 1/4"</t>
  </si>
  <si>
    <t>TE DE REDUCAO DE FERRO GALVANIZADO, COM ROSCA BSP, DE 3" X 1"</t>
  </si>
  <si>
    <t>TE DE REDUCAO DE FERRO GALVANIZADO, COM ROSCA BSP, DE 3" X 2 1/2"</t>
  </si>
  <si>
    <t>TE DE REDUCAO DE FERRO GALVANIZADO, COM ROSCA BSP, DE 3" X 2"</t>
  </si>
  <si>
    <t>TE DE REDUCAO DE FERRO GALVANIZADO, COM ROSCA BSP, DE 3/4" X 1/2"</t>
  </si>
  <si>
    <t>TE DE REDUCAO DE FERRO GALVANIZADO, COM ROSCA BSP, DE 4" X 2"</t>
  </si>
  <si>
    <t>TE DE REDUCAO DE FERRO GALVANIZADO, COM ROSCA BSP, DE 4" X 3"</t>
  </si>
  <si>
    <t>TE DE REDUCAO, CPVC, 22 X 15 MM, PARA AGUA QUENTE PREDIAL</t>
  </si>
  <si>
    <t>TE DE REDUCAO, CPVC, 28 X 22 MM, PARA AGUA QUENTE PREDIAL</t>
  </si>
  <si>
    <t>TE DE REDUCAO, CPVC, 35 X 28 MM, PARA AGUA QUENTE PREDIAL</t>
  </si>
  <si>
    <t>TE DE REDUCAO, CPVC, 42 X 35 MM, PARA AGUA QUENTE PREDIAL</t>
  </si>
  <si>
    <t>TE DE REDUCAO, PVC PBA, BBB, JE, DN 100 X 50 / DE 110 X 60 MM, PARA REDE DE AGUA</t>
  </si>
  <si>
    <t>TE DE REDUCAO, PVC PBA, BBB, JE, DN 100 X 75 / DE 110 X 85 MM, PARA REDE DE AGUA</t>
  </si>
  <si>
    <t>TE DE REDUCAO, PVC PBA, BBB, JE, DN 75 X 50 / DE 85 X 60 MM, PARA REDE DE AGUA</t>
  </si>
  <si>
    <t>TE DE REDUCAO, PVC, SOLDAVEL, 90 GRAUS, 110 MM X 60 MM, PARA AGUA FRIA PREDIAL</t>
  </si>
  <si>
    <t>TE DE REDUCAO, PVC, SOLDAVEL, 90 GRAUS, 25 MM X 20 MM, PARA AGUA FRIA PREDIAL</t>
  </si>
  <si>
    <t>TE DE REDUCAO, PVC, SOLDAVEL, 90 GRAUS, 32 MM X 25 MM, PARA AGUA FRIA PREDIAL</t>
  </si>
  <si>
    <t>TE DE REDUCAO, PVC, SOLDAVEL, 90 GRAUS, 40 MM X 32 MM, PARA AGUA FRIA PREDIAL</t>
  </si>
  <si>
    <t>TE DE REDUCAO, PVC, SOLDAVEL, 90 GRAUS, 50 MM X 20 MM, PARA AGUA FRIA PREDIAL</t>
  </si>
  <si>
    <t>TE DE REDUCAO, PVC, SOLDAVEL, 90 GRAUS, 50 MM X 25 MM, PARA AGUA FRIA PREDIAL</t>
  </si>
  <si>
    <t>TE DE REDUCAO, PVC, SOLDAVEL, 90 GRAUS, 50 MM X 32 MM, PARA AGUA FRIA PREDIAL</t>
  </si>
  <si>
    <t>TE DE REDUCAO, PVC, SOLDAVEL, 90 GRAUS, 50 MM X 40 MM, PARA AGUA FRIA PREDIAL</t>
  </si>
  <si>
    <t>TE DE REDUCAO, PVC, SOLDAVEL, 90 GRAUS, 75 MM X 50 MM, PARA AGUA FRIA PREDIAL</t>
  </si>
  <si>
    <t>TE DE REDUCAO, PVC, SOLDAVEL, 90 GRAUS, 85 MM X 60 MM, PARA AGUA FRIA PREDIAL</t>
  </si>
  <si>
    <t>TE DE SERVICO INTEGRADO, EM POLIPROPILENO (PP), PARA TUBOS EM PEAD, 63 X 20 MM - LIGACAO PREDIAL DE AGUA</t>
  </si>
  <si>
    <t>TE DE SERVICO INTEGRADO, EM POLIPROPILENO (PP), PARA TUBOS EM PEAD/PVC, 60 X 20 MM - LIGACAO PREDIAL DE AGUA</t>
  </si>
  <si>
    <t>TE DE SERVICO INTEGRADO, EM POLIPROPILENO (PP), PARA TUBOS EM PEAD/PVC, 60 X 32 MM - LIGACAO PREDIAL DE AGUA</t>
  </si>
  <si>
    <t>TE DE SERVICO, PEAD PE 100, DE 125 X 20 MM, PARA ELETROFUSAO</t>
  </si>
  <si>
    <t>TE DE SERVICO, PEAD PE 100, DE 125 X 32 MM, PARA ELETROFUSAO</t>
  </si>
  <si>
    <t>TE DE SERVICO, PEAD PE 100, DE 125 X 63 MM, PARA ELETROFUSAO</t>
  </si>
  <si>
    <t>TE DE SERVICO, PEAD PE 100, DE 200 X 20 MM, PARA ELETROFUSAO</t>
  </si>
  <si>
    <t>TE DE SERVICO, PEAD PE 100, DE 200 X 32 MM, PARA ELETROFUSAO</t>
  </si>
  <si>
    <t>TE DE SERVICO, PEAD PE 100, DE 200 X 63 MM, PARA ELETROFUSAO</t>
  </si>
  <si>
    <t>TE DE SERVICO, PEAD PE 100, DE 63 X 20 MM, PARA ELETROFUSAO</t>
  </si>
  <si>
    <t>TE DE SERVICO, PEAD PE 100, DE 63 X 32 MM, PARA ELETROFUSAO</t>
  </si>
  <si>
    <t>TE DE SERVICO, PEAD PE 100, DE 63 X 63 MM, PARA ELETROFUSAO</t>
  </si>
  <si>
    <t>TE DE TRANSICAO, CPVC, SOLDAVEL, 15 MM X 1/2", PARA AGUA QUENTE</t>
  </si>
  <si>
    <t>TE DE TRANSICAO, CPVC, SOLDAVEL, 22 MM X 1/2", PARA AGUA QUENTE</t>
  </si>
  <si>
    <t>TE DUPLA CURVA BRONZE/LATAO SEM ANEL DE SOLDA, ROSCA F X BOLSA X ROSCA F, 1/2" X 15 X 1/2"</t>
  </si>
  <si>
    <t>TE DUPLA CURVA BRONZE/LATAO SEM ANEL DE SOLDA, ROSCA F X BOLSA X ROSCA F, 3/4" X 22 X 3/4"</t>
  </si>
  <si>
    <t>TE METALICO, PARA CONEXAO COM ANEL DESLIZANTE, DN 16 MM, EM TUBO PEX PARA INST. AGUA QUENTE/FRIA</t>
  </si>
  <si>
    <t>TE METALICO, PARA CONEXAO COM ANEL DESLIZANTE, DN 20 MM, EM TUBO PEX PARA INST. AGUA QUENTE/FRIA</t>
  </si>
  <si>
    <t>TE METALICO, PARA CONEXAO COM ANEL DESLIZANTE, DN 25 MM, EM TUBO PEX PARA INST. AGUA QUENTE/FRIA</t>
  </si>
  <si>
    <t>TE METALICO, PARA CONEXAO COM ANEL DESLIZANTE, DN 32 MM, EM TUBO PEX PARA INST. AGUA QUENTE/FRIA</t>
  </si>
  <si>
    <t>TE MISTURADOR COM INSERTO METALICO, FEMEA, PPR, DN 25 MM X 3/4", PARA AGUA QUENTE E FRIA PREDIAL</t>
  </si>
  <si>
    <t>TE MISTURADOR DE TRANSICAO, CPVC, COM ROSCA, 22 MM X 3/4", PARA AGUA QUENTE</t>
  </si>
  <si>
    <t>TE MISTURADOR, CPVC, SOLDAVEL, 15 MM, PARA AGUA QUENTE</t>
  </si>
  <si>
    <t>TE MISTURADOR, CPVC, SOLDAVEL, 22 MM, PARA AGUA QUENTE</t>
  </si>
  <si>
    <t>TE MISTURADOR, PPR, F/M/M, DN 20 X 20 MM, PARA AGUA QUENTE PREDIAL</t>
  </si>
  <si>
    <t>TE MISTURADOR, PPR, F/M/M, DN 25 X 25 MM, PARA AGUA QUENTE PREDIAL</t>
  </si>
  <si>
    <t>TE NORMAL, PPR, F/F/F, SOLDAVEL, 90 GRAUS, DN 110 X 110 X 110 MM, PARA AGUA QUENTE PREDIAL</t>
  </si>
  <si>
    <t>TE NORMAL, PPR, F/F/F, SOLDAVEL, 90 GRAUS, DN 20 X 20 X 20 MM, PARA AGUA QUENTE PREDIAL</t>
  </si>
  <si>
    <t>TE NORMAL, PPR, F/F/F, SOLDAVEL, 90 GRAUS, DN 25 X 25 X 25 MM, PARA AGUA QUENTE PREDIAL</t>
  </si>
  <si>
    <t>TE NORMAL, PPR, F/F/F, SOLDAVEL, 90 GRAUS, DN 32 X 32 X 32 MM, PARA AGUA QUENTE PREDIAL</t>
  </si>
  <si>
    <t>TE NORMAL, PPR, F/F/F, SOLDAVEL, 90 GRAUS, DN 40 X 40 X 40 MM, PARA AGUA QUENTE PREDIAL</t>
  </si>
  <si>
    <t>TE NORMAL, PPR, F/F/F, SOLDAVEL, 90 GRAUS, DN 50 X 50 X 50 MM, PARA AGUA QUENTE PREDIAL</t>
  </si>
  <si>
    <t>TE NORMAL, PPR, F/F/F, SOLDAVEL, 90 GRAUS, DN 63 X 63 X 63 MM, PARA AGUA QUENTE PREDIAL</t>
  </si>
  <si>
    <t>TE NORMAL, PPR, F/F/F, SOLDAVEL, 90 GRAUS, DN 75 X 75 X 75 MM, PARA AGUA QUENTE PREDIAL</t>
  </si>
  <si>
    <t>TE NORMAL, PPR, F/F/F, SOLDAVEL, 90 GRAUS, DN 90 X 90 X 90 MM, PARA AGUA QUENTE PREDIAL</t>
  </si>
  <si>
    <t>TE PVC ROSCAVEL 90 GRAUS, 1", PARA AGUA FRIA PREDIAL</t>
  </si>
  <si>
    <t>TE PVC SOLDAVEL, BBB, 90 GRAUS, DN 40 MM, PARA ESGOTO SECUNDARIO PREDIAL</t>
  </si>
  <si>
    <t>TE PVC, ROSCAVEL, 90 GRAUS, 1 1/2", AGUA FRIA PREDIAL</t>
  </si>
  <si>
    <t>TE PVC, ROSCAVEL, 90 GRAUS, 1/2", AGUA FRIA PREDIAL</t>
  </si>
  <si>
    <t>TE PVC, ROSCAVEL, 90 GRAUS, 2", AGUA FRIA PREDIAL</t>
  </si>
  <si>
    <t>TE PVC, ROSCAVEL, 90 GRAUS, 3/4", AGUA FRIA PREDIAL</t>
  </si>
  <si>
    <t>TE PVC, SOLDAVEL, COM BUCHA DE LATAO NA BOLSA CENTRAL, 90 GRAUS, 20 MM X 1/2", PARA AGUA FRIA PREDIAL</t>
  </si>
  <si>
    <t>TE PVC, SOLDAVEL, COM BUCHA DE LATAO NA BOLSA CENTRAL, 90 GRAUS, 25 MM X 1/2", PARA AGUA FRIA PREDIAL</t>
  </si>
  <si>
    <t>TE PVC, SOLDAVEL, COM BUCHA DE LATAO NA BOLSA CENTRAL, 90 GRAUS, 25 MM X 3/4", PARA AGUA FRIA PREDIAL</t>
  </si>
  <si>
    <t>TE PVC, SOLDAVEL, COM BUCHA DE LATAO NA BOLSA CENTRAL, 90 GRAUS, 32 MM X 3/4", PARA AGUA FRIA PREDIAL</t>
  </si>
  <si>
    <t>TE PVC, SOLDAVEL, COM ROSCA NA BOLSA CENTRAL, 90 GRAUS, 20 MM X 1/2", PARA AGUA FRIA PREDIAL</t>
  </si>
  <si>
    <t>TE PVC, SOLDAVEL, COM ROSCA NA BOLSA CENTRAL, 90 GRAUS, 25 MM X 1/2", PARA AGUA FRIA PREDIAL</t>
  </si>
  <si>
    <t>TE PVC, SOLDAVEL, COM ROSCA NA BOLSA CENTRAL, 90 GRAUS, 25 MM X 3/4", PARA AGUA FRIA PREDIAL</t>
  </si>
  <si>
    <t>TE PVC, SOLDAVEL, COM ROSCA NA BOLSA CENTRAL, 90 GRAUS, 32 MM X 3/4", PARA AGUA FRIA PREDIAL</t>
  </si>
  <si>
    <t>TE RANHURADO EM FERRO FUNDIDO, DN 50 (2")</t>
  </si>
  <si>
    <t>TE RANHURADO EM FERRO FUNDIDO, DN 65 (2 1/2")</t>
  </si>
  <si>
    <t>TE RANHURADO EM FERRO FUNDIDO, DN 80 (3")</t>
  </si>
  <si>
    <t>TE ROSCA FEMEA, METALICO, PARA CONEXAO COM ANEL DESLIZANTE, DN 16 MM X 1/2", EM TUBO PEX PARA INST. AGUA QUENTE/FRIA</t>
  </si>
  <si>
    <t>TE ROSCA FEMEA, METALICO, PARA CONEXAO COM ANEL DESLIZANTE, DN 20 MM X 1/2", EM TUBO PEX PARA INST. AGUA QUENTE/FRIA</t>
  </si>
  <si>
    <t>TE ROSCA FEMEA, METALICO, PARA CONEXAO COM ANEL DESLIZANTE, DN 25 MM X 3/4", EM TUBO PEX PARA INST. AGUA QUENTE/FRIA</t>
  </si>
  <si>
    <t>TE SANITARIO DE REDUCAO, PVC, DN 100 X 50 MM, SERIE NORMAL, PARA ESGOTO PREDIAL</t>
  </si>
  <si>
    <t>TE SANITARIO DE REDUCAO, PVC, DN 100 X 75 MM, SERIE NORMAL PARA ESGOTO PREDIAL</t>
  </si>
  <si>
    <t>TE SANITARIO, PVC, DN 100 X 100 MM, SERIE NORMAL, PARA ESGOTO PREDIAL</t>
  </si>
  <si>
    <t>TE SANITARIO, PVC, DN 40 X 40 MM, SERIE NORMAL, PARA ESGOTO PREDIAL</t>
  </si>
  <si>
    <t>TE SANITARIO, PVC, DN 50 X 50 MM, SERIE NORMAL, PARA ESGOTO PREDIAL</t>
  </si>
  <si>
    <t>TE SANITARIO, PVC, DN 75 X 75 MM, SERIE NORMAL PARA ESGOTO PREDIAL</t>
  </si>
  <si>
    <t>TE SOLDAVEL, PVC, 90 GRAUS, 110 MM, PARA AGUA FRIA PREDIAL (NBR 5648)</t>
  </si>
  <si>
    <t>TE SOLDAVEL, PVC, 90 GRAUS, 20 MM, PARA AGUA FRIA PREDIAL (NBR 5648)</t>
  </si>
  <si>
    <t>TE SOLDAVEL, PVC, 90 GRAUS, 25 MM, PARA AGUA FRIA PREDIAL (NBR 5648)</t>
  </si>
  <si>
    <t>TE SOLDAVEL, PVC, 90 GRAUS, 32 MM, PARA AGUA FRIA PREDIAL (NBR 5648)</t>
  </si>
  <si>
    <t>TE SOLDAVEL, PVC, 90 GRAUS, 40 MM, PARA AGUA FRIA PREDIAL (NBR 5648)</t>
  </si>
  <si>
    <t>TE SOLDAVEL, PVC, 90 GRAUS, 60 MM, PARA AGUA FRIA PREDIAL (NBR 5648)</t>
  </si>
  <si>
    <t>TE SOLDAVEL, PVC, 90 GRAUS, 75 MM, PARA AGUA FRIA PREDIAL (NBR 5648)</t>
  </si>
  <si>
    <t>TE SOLDAVEL, PVC, 90 GRAUS, 85 MM, PARA AGUA FRIA PREDIAL (NBR 5648)</t>
  </si>
  <si>
    <t>TE SOLDAVEL, PVC, 90 GRAUS,50 MM, PARA AGUA FRIA PREDIAL (NBR 5648)</t>
  </si>
  <si>
    <t>TE, PLASTICO, DN 16 MM, PARA CONEXAO COM CRIMPAGEM, EM TUBO PEX PARA INST. AGUA QUENTE/FRIA</t>
  </si>
  <si>
    <t>TE, PLASTICO, DN 20 MM, PARA CONEXAO COM CRIMPAGEM, EM TUBO PEX PARA INST. AGUA QUENTE/FRIA</t>
  </si>
  <si>
    <t>TE, PLASTICO, DN 25 MM, PARA CONEXAO COM CRIMPAGEM, EM TUBO PEX PARA INST. AGUA QUENTE/FRIA</t>
  </si>
  <si>
    <t>TE, PLASTICO, DN 32 MM, PARA CONEXAO COM CRIMPAGEM, EM TUBO PEX PARA INST. AGUA QUENTE/FRIA</t>
  </si>
  <si>
    <t>TE, PVC PBA, BBB, 90 GRAUS, DN 100 / DE 110 MM, PARA REDE DE AGUA</t>
  </si>
  <si>
    <t>TE, PVC PBA, BBB, 90 GRAUS, DN 50 / DE 60 MM, PARA REDE DE AGUA</t>
  </si>
  <si>
    <t>TE, PVC PBA, BBB, 90 GRAUS, DN 75 / DE 85 MM, PARA REDE DE AGUA</t>
  </si>
  <si>
    <t>TE, PVC, 90 GRAUS, BBB, JE, DN 200 MM, PARA REDE COLETORA ESGOTO</t>
  </si>
  <si>
    <t>TE, PVC, SERIE R, 100 X 100 MM, PARA ESGOTO PREDIAL</t>
  </si>
  <si>
    <t>TE, PVC, SERIE R, 100 X 75 MM, PARA ESGOTO PREDIAL</t>
  </si>
  <si>
    <t>TE, PVC, SERIE R, 150 X 100 MM, PARA ESGOTO PREDIAL</t>
  </si>
  <si>
    <t>TE, PVC, SERIE R, 150 X 150 MM, PARA ESGOTO PREDIAL</t>
  </si>
  <si>
    <t>TE, PVC, SERIE R, 75 X 75 MM, PARA ESGOTO PREDIAL</t>
  </si>
  <si>
    <t>TECNICO DE EDIFICACOES (HORISTA)</t>
  </si>
  <si>
    <t>TECNICO DE EDIFICACOES (MENSALISTA)</t>
  </si>
  <si>
    <t>TECNICO EM LABORATORIO E CAMPO DE CONSTRUCAO CIVIL (HORISTA)</t>
  </si>
  <si>
    <t>TECNICO EM LABORATORIO E CAMPO DE CONSTRUCAO CIVIL (MENSALISTA)</t>
  </si>
  <si>
    <t>TECNICO EM SEGURANCA DO TRABALHO (HORISTA)</t>
  </si>
  <si>
    <t>TECNICO EM SEGURANCA DO TRABALHO (MENSALISTA)</t>
  </si>
  <si>
    <t>TECNICO EM SONDAGEM (HORISTA)</t>
  </si>
  <si>
    <t>TECNICO EM SONDAGEM (MENSALISTA)</t>
  </si>
  <si>
    <t>TELA ARAME GALVANIZADO REVESTIDO COM POLIMERO, MALHA HEXAGONAL DUPLA TORCAO, 8 X 10 CM (ZN/AL REVESTIDO COM POLIMERO), FIO *2,4* MM</t>
  </si>
  <si>
    <t>TELA DE ACO SOLDADA GALVANIZADA/ZINCADA PARA ALVENARIA, FIO D = *1,20 A 1,70* MM, MALHA 15 X 15 MM, (C X L) *50 X 10,5* CM</t>
  </si>
  <si>
    <t>TELA DE ACO SOLDADA GALVANIZADA/ZINCADA PARA ALVENARIA, FIO D = *1,20 A 1,70* MM, MALHA 15 X 15 MM, (C X L) *50 X 12* CM</t>
  </si>
  <si>
    <t>TELA DE ACO SOLDADA GALVANIZADA/ZINCADA PARA ALVENARIA, FIO D = *1,20 A 1,70* MM, MALHA 15 X 15 MM, (C X L) *50 X 17,5* CM</t>
  </si>
  <si>
    <t>TELA DE ACO SOLDADA GALVANIZADA/ZINCADA PARA ALVENARIA, FIO D = *1,20 A 1,70* MM, MALHA 15 X 15 MM, (C X L) *50 X 6* CM</t>
  </si>
  <si>
    <t>TELA DE ACO SOLDADA GALVANIZADA/ZINCADA PARA ALVENARIA, FIO D = *1,20 A 1,70* MM, MALHA 15 X 15 MM, (C X L) *50 X 7,5* CM</t>
  </si>
  <si>
    <t>TELA DE ACO SOLDADA GALVANIZADA/ZINCADA PARA ALVENARIA, FIO D = *1,24 MM, MALHA 25 X 25 MM</t>
  </si>
  <si>
    <t>TELA DE ACO SOLDADA NERVURADA, CA-60, L-159, (1,69 KG/M2), DIAMETRO DO FIO = 4,5 MM, LARGURA = 2,45 M, ESPACAMENTO DA MALHA = 30 X 10 CM</t>
  </si>
  <si>
    <t>TELA DE ACO SOLDADA NERVURADA, CA-60, Q-113, (1,8 KG/M2), DIAMETRO DO FIO = 3,8 MM, LARGURA = 2,45 M, ESPACAMENTO DA MALHA = 10 X 10 CM</t>
  </si>
  <si>
    <t>TELA DE ACO SOLDADA NERVURADA, CA-60, Q-138, (2,20 KG/M2), DIAMETRO DO FIO = 4,2 MM, LARGURA = 2,45 M, ESPACAMENTO DA MALHA = 10 X 10 CM</t>
  </si>
  <si>
    <t>TELA DE ACO SOLDADA NERVURADA, CA-60, Q-159, (2,52 KG/M2), DIAMETRO DO FIO = 4,5 MM, LARGURA = 2,45 M, ESPACAMENTO DA MALHA = 10 X 10 CM</t>
  </si>
  <si>
    <t>TELA DE ACO SOLDADA NERVURADA, CA-60, Q-196, (3,11 KG/M2), DIAMETRO DO FIO = 5,0 MM, LARGURA = 2,45 M, ESPACAMENTO DA MALHA = 10 X 10 CM</t>
  </si>
  <si>
    <t>TELA DE ACO SOLDADA NERVURADA, CA-60, Q-283 (4,48 KG/M2), DIAMETRO DO FIO = 6,0 MM, LARGURA = 2,45 X 6,00 M DE COMPRIMENTO, ESPACAMENTO DA MALHA = 10 X 10 CM</t>
  </si>
  <si>
    <t>TELA DE ACO SOLDADA NERVURADA, CA-60, Q-61, (0,97 KG/M2), DIAMETRO DO FIO = 3,4 MM, LARGURA = 2,45 M, ESPACAMENTO DA MALHA = 15 X 15 CM</t>
  </si>
  <si>
    <t>TELA DE ACO SOLDADA NERVURADA, CA-60, Q-92, (1,48 KG/M2), DIAMETRO DO FIO = 4,2 MM, LARGURA = 2,45 X 60 M DE COMPRIMENTO, ESPACAMENTO DA MALHA = 15 X 15 CM</t>
  </si>
  <si>
    <t>TELA DE ACO SOLDADA NERVURADA, CA-60, T-196, (2,11 KG/M2), DIAMETRO DO FIO = 5,0 MM, LARGURA = 2,45 M, ESPACAMENTO DA MALHA = 30 X 10 CM</t>
  </si>
  <si>
    <t>TELA DE ARAME GALVANIZADA QUADRANGULAR / LOSANGULAR, FIO 2,11 MM (14 BWG), MALHA 5 X 5 CM, H = 2 M</t>
  </si>
  <si>
    <t>TELA DE ARAME GALVANIZADA QUADRANGULAR / LOSANGULAR, FIO 2,11 MM (14 BWG), MALHA 8 X 8 CM, H = 2 M</t>
  </si>
  <si>
    <t>TELA DE ARAME GALVANIZADA QUADRANGULAR / LOSANGULAR, FIO 2,77 MM (12 BWG), MALHA 10 X 10 CM, H = 2 M</t>
  </si>
  <si>
    <t>TELA DE ARAME GALVANIZADA QUADRANGULAR / LOSANGULAR, FIO 2,77 MM (12 BWG), MALHA 5 X 5 CM, H = 2 M</t>
  </si>
  <si>
    <t>TELA DE ARAME GALVANIZADA QUADRANGULAR / LOSANGULAR, FIO 2,77 MM (12 BWG), MALHA 8 X 8 CM, H = 2 M</t>
  </si>
  <si>
    <t>TELA DE ARAME GALVANIZADA QUADRANGULAR / LOSANGULAR, FIO 3,4 MM (10 BWG), MALHA 5 X 5 CM, H = 2 M</t>
  </si>
  <si>
    <t>TELA DE ARAME GALVANIZADA QUADRANGULAR / LOSANGULAR, FIO 4,19 MM (8 BWG), MALHA 5 X 5 CM, H = 2 M</t>
  </si>
  <si>
    <t>TELA DE ARAME GALVANIZADA REVESTIDA EM PVC, QUADRANGULAR / LOSANGULAR, FIO 2,11 MM (14 BWG), BITOLA FINAL = *2,8* MM, MALHA *8 X 8* CM, H = 2 M</t>
  </si>
  <si>
    <t>TELA DE ARAME GALVANIZADA REVESTIDA EM PVC, QUADRANGULAR / LOSANGULAR, FIO 2,77 MM (12 BWG), BITOLA FINAL = *3,8* MM, MALHA 7,5 X 7,5 CM, H = 2 M</t>
  </si>
  <si>
    <t>TELA DE ARAME ONDULADA, FIO *2,77* MM (12 BWG), MALHA 5 X 5 CM, H = 2 M</t>
  </si>
  <si>
    <t>TELA DE FIBRA DE VIDRO, ACABAMENTO ANTI-ALCALINO, MALHA 10 X 10 MM</t>
  </si>
  <si>
    <t>TELA EM MALHA HEXAGONAL DE DUPLA TORCAO 8 X 10 CM (ZN/AL REVESTIDO COM POLIMERO), FIO 2,7 MM, COM GEOMANTA OU BIOMANTA, DIMENSOES 4,0 X 2,0 X 0,6 M, COM INCLINACAO DE 70 GRAUS, PARA SOLO REFORCADO</t>
  </si>
  <si>
    <t>TELA EM METAL PARA ESTUQUE (DEPLOYE)</t>
  </si>
  <si>
    <t>TELA FACHADEIRA EM POLIETILENO, ROLO DE 3 X 100 M (L X C), COR BRANCA, SEM LOGOMARCA - PARA PROTECAO DE OBRAS</t>
  </si>
  <si>
    <t>TELA PLASTICA LARANJA, TIPO TAPUME PARA SINALIZACAO, MALHA RETANGULAR, ROLO 1.20 X 50 M (L X C)</t>
  </si>
  <si>
    <t>TELA PLASTICA TECIDA LISTRADA BRANCA E LARANJA, TIPO GUARDA CORPO, EM POLIETILENO MONOFILADO, ROLO 1,20 X 50 M (L X C)</t>
  </si>
  <si>
    <t>TELHA CERAMICA TIPO AMERICANA, COMPRIMENTO DE *45* CM, RENDIMENTO DE *12* TELHAS/M2</t>
  </si>
  <si>
    <t>TELHA DE BARRO / CERAMICA, NAO ESMALTADA, TIPO COLONIAL, CANAL, PLAN, PAULISTA, COMPRIMENTO DE *44 A 50* CM, RENDIMENTO DE COBERTURA DE *26* TELHAS/M2</t>
  </si>
  <si>
    <t>TELHA DE BARRO / CERAMICA, NAO ESMALTADA, TIPO ROMANA, AMERICANA, PORTUGUESA, FRANCESA, COMPRIMENTO DE *41* CM, RENDIMENTO DE *16* TELHAS/M2</t>
  </si>
  <si>
    <t>TELHA DE CONCRETO TIPO CLASSICA, COR CINZA, COMPRIMENTO DE *42* CM, RENDIMENTO DE *10* TELHAS/M2</t>
  </si>
  <si>
    <t>TELHA DE FIBRA DE VIDRO ONDULADA, TRANSLUCIDA / INCOLOR, E = *0,6* MM, DE *0,50 X 2,44* M (L X C)</t>
  </si>
  <si>
    <t>TELHA DE FIBROCIMENTO E = 6 MM, DE 3,00 X 1,06 M (SEM AMIANTO)</t>
  </si>
  <si>
    <t>TELHA DE FIBROCIMENTO E = 6 MM, DE 4,10 X 1,06 M (SEM AMIANTO)</t>
  </si>
  <si>
    <t>TELHA DE FIBROCIMENTO E = 6 MM, DE 4,60 X 1,06 M (SEM AMIANTO)</t>
  </si>
  <si>
    <t>TELHA DE FIBROCIMENTO E = 8 MM, DE 3,00 X 1,06 M (SEM AMIANTO)</t>
  </si>
  <si>
    <t>TELHA DE FIBROCIMENTO E = 8 MM, DE 4,10 X 1,06 M (SEM AMIANTO)</t>
  </si>
  <si>
    <t>TELHA DE FIBROCIMENTO E = 8 MM, DE 4,60 X 1,06 M (SEM AMIANTO)</t>
  </si>
  <si>
    <t>TELHA DE FIBROCIMENTO ONDULADA E = 4 MM, DE 1,22 X 0,50 M (SEM AMIANTO)</t>
  </si>
  <si>
    <t>TELHA DE FIBROCIMENTO ONDULADA E = 4 MM, DE 2,13 X 0,50 M (SEM AMIANTO)</t>
  </si>
  <si>
    <t>TELHA DE FIBROCIMENTO ONDULADA E = 4 MM, DE 2,44 X 0,50 M (SEM AMIANTO)</t>
  </si>
  <si>
    <t>TELHA DE FIBROCIMENTO ONDULADA E = 6 MM, DE 1,53 X 1,10 M (SEM AMIANTO)</t>
  </si>
  <si>
    <t>TELHA DE FIBROCIMENTO ONDULADA E = 6 MM, DE 1,83 X 1,10 M (SEM AMIANTO)</t>
  </si>
  <si>
    <t>TELHA DE FIBROCIMENTO ONDULADA E = 6 MM, DE 2,44 X 1,10 M (SEM AMIANTO)</t>
  </si>
  <si>
    <t>TELHA DE FIBROCIMENTO ONDULADA E = 6 MM, DE 3,66 X 1,10 M (SEM AMIANTO)</t>
  </si>
  <si>
    <t>TELHA DE FIBROCIMENTO ONDULADA E = 8 MM, DE 1,53 X 1,10 M (SEM AMIANTO)</t>
  </si>
  <si>
    <t>TELHA DE FIBROCIMENTO ONDULADA E = 8 MM, DE 1,83 X 1,10 M (SEM AMIANTO)</t>
  </si>
  <si>
    <t>TELHA DE FIBROCIMENTO ONDULADA E = 8 MM, DE 2,44 X 1,10 M (SEM AMIANTO)</t>
  </si>
  <si>
    <t>TELHA DE FIBROCIMENTO ONDULADA E = 8 MM, DE 3,66 X 1,10 M (SEM AMIANTO)</t>
  </si>
  <si>
    <t>TELHA DE VIDRO TIPO FRANCESA, *39 X 23* CM</t>
  </si>
  <si>
    <t>TELHA ESTRUTURAL DE FIBROCIMENTO 1 ABA, DE 0,52 X 2,00 M (SEM AMIANTO)</t>
  </si>
  <si>
    <t>TELHA ESTRUTURAL DE FIBROCIMENTO 1 ABA, DE 0,52 X 2,50 M (SEM AMIANTO)</t>
  </si>
  <si>
    <t>TELHA ESTRUTURAL DE FIBROCIMENTO 1 ABA, DE 0,52 X 3,60 M (SEM AMIANTO)</t>
  </si>
  <si>
    <t>TELHA ESTRUTURAL DE FIBROCIMENTO 1 ABA, DE 0,52 X 4,00 M (SEM AMIANTO)</t>
  </si>
  <si>
    <t>TELHA ESTRUTURAL DE FIBROCIMENTO 1 ABA, DE 0,52 X 5,00 M (SEM AMIANTO)</t>
  </si>
  <si>
    <t>TELHA ESTRUTURAL DE FIBROCIMENTO 1 ABA, DE 0,52 X 5,50 M (SEM AMIANTO)</t>
  </si>
  <si>
    <t>TELHA ESTRUTURAL DE FIBROCIMENTO 1 ABA, DE 0,52 X 6,50 M (SEM AMIANTO)</t>
  </si>
  <si>
    <t>TELHA ESTRUTURAL DE FIBROCIMENTO 1 ABA, DE 0,52 X 7,20 M (SEM AMIANTO)</t>
  </si>
  <si>
    <t>TELHA ESTRUTURAL DE FIBROCIMENTO 2 ABAS, DE 1,00 X 3,00 M (SEM AMIANTO)</t>
  </si>
  <si>
    <t>TELHA ESTRUTURAL DE FIBROCIMENTO 2 ABAS, DE 1,00 X 4,60 M (SEM AMIANTO)</t>
  </si>
  <si>
    <t>TELHA ESTRUTURAL DE FIBROCIMENTO 2 ABAS, DE 1,00 X 6,00 M (SEM AMIANTO)</t>
  </si>
  <si>
    <t>TELHA ESTRUTURAL DE FIBROCIMENTO 2 ABAS, DE 1,00 X 7,40 M (SEM AMIANTO)</t>
  </si>
  <si>
    <t>TELHA ESTRUTURAL DE FIBROCIMENTO 2 ABAS, DE 1,00 X 8,20 M (SEM AMIANTO)</t>
  </si>
  <si>
    <t>TELHA ESTRUTURAL DE FIBROCIMENTO 2 ABAS, DE 1,00 X 9,20 M (SEM AMIANTO)</t>
  </si>
  <si>
    <t>TELHA GALVALUME COM ISOLAMENTO TERMOACUSTICO EM ESPUMA RIGIDA DE POLIURETANO (PU) INJETADO, ESPESSURA DE 30 MM, DENSIDADE DE 35 KG/M3, REVESTIMENTO EM TELHA TRAPEZOIDAL NAS DUAS FACES COM ESPESSURA DE 0,50 MM CADA, ACABAMENTO NATURAL (NAO INCLUI ACESSORIOS DE FIXACAO)</t>
  </si>
  <si>
    <t>TELHA ONDULADA EM ACO ZINCADO, ALTURA DE 17 MM, ESPESSURA DE 0,50 MM, LARGURA UTIL DE APROXIMADAMENTE 985 MM, SEM PINTURA</t>
  </si>
  <si>
    <t>TELHA TERMOISOLANTE REVESTIDA EM ACO GALVALUME, FACE SUPERIOR TRAPEZOIDAL E FACE INFERIOR PLANA (NAO INCLUI ACESSORIOS DE FIXACAO), REVEST COM ESPESSURA DE 0,50 MM, COM PRE-PINTURA DE COR BRANCA NAS DUAS FACES, NUCLEO EM POLIISOCIANURATO (PIR) COM ESPESSURA DE 50 MM</t>
  </si>
  <si>
    <t>TELHA TERMOISOLANTE REVESTIDA EM ACO GALVANIZADO, FACE SUPERIOR EM TELHA TRAPEZOIDAL E FACE INFERIOR EM CHAPA PLANA (SEM ACESSORIOS DE FIXACAO), REVESTIMENTO COM ESPESSURA DE 0,50 MM COM PRE-PINTURA NAS DUAS FACES, NUCLEO EM POLIESTIRENO (EPS) DE 30 MM</t>
  </si>
  <si>
    <t>TELHA TERMOISOLANTE REVESTIDA EM ACO GALVANIZADO, FACE SUPERIOR EM TELHA TRAPEZOIDAL E FACE INFERIOR EM CHAPA PLANA (SEM ACESSORIOS DE FIXACAO), REVESTIMENTO COM ESPESSURA DE 0,50 MM COM PRE-PINTURA NAS DUAS FACES, NUCLEO EM POLIESTIRENO (EPS) DE 50 MM</t>
  </si>
  <si>
    <t>TELHA TERMOISOLANTE REVESTIDA EM ACO GALVANIZADO, FACES SUPERIOR E INFERIOR EM TELHA TRAPEZOIDAL (SEM ACESSORIOS DE FIXACAO), REVESTIMENTO COM ESPESSURA DE 0,50 MM COM PRE-PINTURA NAS DUAS FACES, NUCLEO EM POLIESTIRENO (EPS) DE 50 MM</t>
  </si>
  <si>
    <t>TELHA TRAPEZOIDAL EM ACO ZINCADO, SEM PINTURA, ALTURA DE APROXIMADAMENTE 40 MM, ESPESSURA DE 0,50 MM E LARGURA UTIL DE 980 MM</t>
  </si>
  <si>
    <t>TELHA VIDRO TIPO CANAL OU COLONIAL, C = 46 A 50 CM</t>
  </si>
  <si>
    <t>TELHADOR / TELHADISTA (HORISTA)</t>
  </si>
  <si>
    <t>TELHADOR / TELHADISTA (MENSALISTA)</t>
  </si>
  <si>
    <t>TERMINAL A COMPRESSAO EM COBRE ESTANHADO PARA CABO 10 MM2, 1 FURO E 1 COMPRESSAO, PARA PARAFUSO DE FIXACAO M6</t>
  </si>
  <si>
    <t>TERMINAL A COMPRESSAO EM COBRE ESTANHADO PARA CABO 120 MM2, 1 FURO E 1 COMPRESSAO, PARA PARAFUSO DE FIXACAO M12</t>
  </si>
  <si>
    <t>TERMINAL A COMPRESSAO EM COBRE ESTANHADO PARA CABO 16 MM2, 1 FURO E 1 COMPRESSAO, PARA PARAFUSO DE FIXACAO M6</t>
  </si>
  <si>
    <t>TERMINAL A COMPRESSAO EM COBRE ESTANHADO PARA CABO 2,5 MM2, 1 FURO E 1 COMPRESSAO, PARA PARAFUSO DE FIXACAO M5</t>
  </si>
  <si>
    <t>TERMINAL A COMPRESSAO EM COBRE ESTANHADO PARA CABO 25 MM2, 1 FURO E 1 COMPRESSAO, PARA PARAFUSO DE FIXACAO M8</t>
  </si>
  <si>
    <t>TERMINAL A COMPRESSAO EM COBRE ESTANHADO PARA CABO 35 MM2, 1 FURO E 1 COMPRESSAO, PARA PARAFUSO DE FIXACAO M8</t>
  </si>
  <si>
    <t>TERMINAL A COMPRESSAO EM COBRE ESTANHADO PARA CABO 4 MM2, 1 FURO E 1 COMPRESSAO, PARA PARAFUSO DE FIXACAO M5</t>
  </si>
  <si>
    <t>TERMINAL A COMPRESSAO EM COBRE ESTANHADO PARA CABO 50 MM2, 1 FURO E 1 COMPRESSAO, PARA PARAFUSO DE FIXACAO M8</t>
  </si>
  <si>
    <t>TERMINAL A COMPRESSAO EM COBRE ESTANHADO PARA CABO 6 MM2, 1 FURO E 1 COMPRESSAO, PARA PARAFUSO DE FIXACAO M6</t>
  </si>
  <si>
    <t>TERMINAL A COMPRESSAO EM COBRE ESTANHADO PARA CABO 70 MM2, 1 FURO E 1 COMPRESSAO, PARA PARAFUSO DE FIXACAO M10</t>
  </si>
  <si>
    <t>TERMINAL A COMPRESSAO EM COBRE ESTANHADO PARA CABO 95 MM2, 1 FURO E 1 COMPRESSAO, PARA PARAFUSO DE FIXACAO M12</t>
  </si>
  <si>
    <t>TERMINAL DE VENTILACAO, 100 MM, SERIE NORMAL, ESGOTO PREDIAL</t>
  </si>
  <si>
    <t>TERMINAL DE VENTILACAO, 50 MM, SERIE NORMAL, ESGOTO PREDIAL</t>
  </si>
  <si>
    <t>TERMINAL DE VENTILACAO, 75 MM, SERIE NORMAL, ESGOTO PREDIAL</t>
  </si>
  <si>
    <t>TERMINAL METALICO A PRESSAO 1 CABO, PARA CABOS DE 4 A 10 MM2, COM 2 FUROS PARA FIXACAO</t>
  </si>
  <si>
    <t>TERMINAL METALICO A PRESSAO PARA 1 CABO DE 120 MM2, COM 1 FURO DE FIXACAO</t>
  </si>
  <si>
    <t>TERMINAL METALICO A PRESSAO PARA 1 CABO DE 150 A 185 MM2, COM 2 FUROS PARA FIXACAO</t>
  </si>
  <si>
    <t>TERMINAL METALICO A PRESSAO PARA 1 CABO DE 150 MM2, COM 1 FURO DE FIXACAO</t>
  </si>
  <si>
    <t>TERMINAL METALICO A PRESSAO PARA 1 CABO DE 16 A 25 MM2, COM 2 FUROS PARA FIXACAO</t>
  </si>
  <si>
    <t>TERMINAL METALICO A PRESSAO PARA 1 CABO DE 16 MM2, COM 1 FURO DE FIXACAO</t>
  </si>
  <si>
    <t>TERMINAL METALICO A PRESSAO PARA 1 CABO DE 185 MM2, COM 1 FURO DE FIXACAO</t>
  </si>
  <si>
    <t>TERMINAL METALICO A PRESSAO PARA 1 CABO DE 240 MM2, COM 1 FURO DE FIXACAO</t>
  </si>
  <si>
    <t>TERMINAL METALICO A PRESSAO PARA 1 CABO DE 25 A 35 MM2, COM 2 FUROS PARA FIXACAO</t>
  </si>
  <si>
    <t>TERMINAL METALICO A PRESSAO PARA 1 CABO DE 25 MM2, COM 1 FURO DE FIXACAO</t>
  </si>
  <si>
    <t>TERMINAL METALICO A PRESSAO PARA 1 CABO DE 300 MM2, COM 1 FURO DE FIXACAO</t>
  </si>
  <si>
    <t>TERMINAL METALICO A PRESSAO PARA 1 CABO DE 35 MM2, COM 1 FURO DE FIXACAO</t>
  </si>
  <si>
    <t>TERMINAL METALICO A PRESSAO PARA 1 CABO DE 50 A 70 MM2, COM 2 FUROS PARA FIXACAO</t>
  </si>
  <si>
    <t>TERMINAL METALICO A PRESSAO PARA 1 CABO DE 50 MM2, COM 1 FURO DE FIXACAO</t>
  </si>
  <si>
    <t>TERMINAL METALICO A PRESSAO PARA 1 CABO DE 6 A 10 MM2, COM 1 FURO DE FIXACAO</t>
  </si>
  <si>
    <t>TERMINAL METALICO A PRESSAO PARA 1 CABO DE 70 MM2, COM 1 FURO DE FIXACAO</t>
  </si>
  <si>
    <t>TERMINAL METALICO A PRESSAO PARA 1 CABO DE 95 A 120 MM2, COM 2 FUROS PARA FIXACAO</t>
  </si>
  <si>
    <t>TERMINAL METALICO A PRESSAO PARA 1 CABO DE 95 MM2, COM 1 FURO DE FIXACAO</t>
  </si>
  <si>
    <t>TERMOFUSORA PARA TUBOS E CONEXOES EM PPR COM DIAMETROS DE 20 A 63 MM, POTENCIA DE 800 W, TENSAO 220 V</t>
  </si>
  <si>
    <t>TERMOFUSORA PARA TUBOS E CONEXOES EM PPR COM DIAMETROS DE 75 A 110 MM, POTENCIA DE *1100* W, TENSAO 220 V</t>
  </si>
  <si>
    <t>TERRA VEGETAL (ENSACADA)</t>
  </si>
  <si>
    <t>TERRA VEGETAL (GRANEL)</t>
  </si>
  <si>
    <t>TESTEIRA ANTIDERRAPANTE PARA PISO VINILICO *5 X 2,5* CM, E = 2 MM</t>
  </si>
  <si>
    <t>TIJOLO CERAMICO LAMINADO DE *5,5 X 11 X 23* CM (L X A X C), COM 21 FUROS</t>
  </si>
  <si>
    <t>TIJOLO CERAMICO MACICO APARENTE 2 FUROS DE *6,5 X 10 X 20* CM (L X A X C)</t>
  </si>
  <si>
    <t>TIJOLO CERAMICO MACICO APARENTE DE *6 X 12 X 24* CM (L X A X C)</t>
  </si>
  <si>
    <t>TIJOLO CERAMICO MACICO COMUM DE *5 X 10 X 20* CM (L X A X C)</t>
  </si>
  <si>
    <t>TIJOLO CERAMICO REFRATARIO DE *2,5 X 11,4 X 22,9* CM (L X A X C)</t>
  </si>
  <si>
    <t>TIJOLO CERAMICO REFRATARIO DE *6,3 X 11,4 X 22,9* CM (L X A X C)</t>
  </si>
  <si>
    <t>TIL CONDOMINIAL, PVC, DN 100 X 100 MM, PARA REDE COLETORA DE ESGOTO</t>
  </si>
  <si>
    <t>TIL PARA LIGACAO PREDIAL, EM PVC, JE, BBB, DN 100 X 100 MM, PARA REDE COLETORA ESGOTO</t>
  </si>
  <si>
    <t>TIL RADIAL, PVC, JE, BBB, DN 300 X 200 MM, PARA REDE COLETORA DE ESGOTO (NBR 10.569)</t>
  </si>
  <si>
    <t>TINTA / REVESTIMENTO A BASE DE RESINA EPOXI COM ALCATRAO, BICOMPONENTE</t>
  </si>
  <si>
    <t>TINTA A BASE DE RESINA ACRILICA EMULSIONADA EM AGUA, PARA SINALIZACAO HORIZONTAL VIARIA (NBR 13699:2012)</t>
  </si>
  <si>
    <t>TINTA A OLEO BRILHANTE, PARA MADEIRAS E METAIS</t>
  </si>
  <si>
    <t>TINTA ACRILICA A BASE DE SOLVENTE, PARA SINALIZACAO HORIZONTAL VIARIA (NBR 11862)</t>
  </si>
  <si>
    <t>TINTA ACRILICA PREMIUM PARA PISO</t>
  </si>
  <si>
    <t>TINTA ASFALTICA IMPERMEABILIZANTE DILUIDA EM SOLVENTE, PARA MATERIAIS CIMENTICIOS, METAL E MADEIRA</t>
  </si>
  <si>
    <t>TINTA ASFALTICA IMPERMEABILIZANTE DISPERSA EM AGUA, PARA MATERIAIS CIMENTICIOS</t>
  </si>
  <si>
    <t>TINTA BORRACHA CLORADA, ACABAMENTO SEMIBRILHO, QUALQUER COR</t>
  </si>
  <si>
    <t>TINTA EPOXI BASE AGUA PREMIUM, BRANCA</t>
  </si>
  <si>
    <t>TINTA ESMALTE BASE AGUA PREMIUM ACETINADO</t>
  </si>
  <si>
    <t>TINTA ESMALTE BASE AGUA PREMIUM BRILHANTE</t>
  </si>
  <si>
    <t>TINTA ESMALTE SINTETICO PREMIUM ACETINADO</t>
  </si>
  <si>
    <t>TINTA ESMALTE SINTETICO PREMIUM BRILHANTE</t>
  </si>
  <si>
    <t>TINTA ESMALTE SINTETICO PREMIUM DE DUPLA ACAO GRAFITE FOSCO PARA SUPERFICIES METALICAS FERROSAS</t>
  </si>
  <si>
    <t>TINTA ESMALTE SINTETICO PREMIUM DE EFEITO PROTETOR DE SUPERFICIE METALICA ALUMINIO</t>
  </si>
  <si>
    <t>TINTA ESMALTE SINTETICO PREMIUM FOSCO</t>
  </si>
  <si>
    <t>TINTA ESMALTE SINTETICO STANDARD ACETINADO</t>
  </si>
  <si>
    <t>TINTA ESMALTE SINTETICO STANDARD BRILHANTE</t>
  </si>
  <si>
    <t>TINTA ESMALTE SINTETICO STANDARD FOSCO</t>
  </si>
  <si>
    <t>TINTA LATEX ACRILICA ECONOMICA, COR BRANCA</t>
  </si>
  <si>
    <t>TINTA LATEX ACRILICA PREMIUM, COR BRANCO FOSCO</t>
  </si>
  <si>
    <t>TINTA LATEX ACRILICA STANDARD, COR BRANCA</t>
  </si>
  <si>
    <t>TINTA LATEX ACRILICA SUPER PREMIUM, COR BRANCO FOSCO</t>
  </si>
  <si>
    <t>TINTA MINERAL IMPERMEAVEL EM PO, BRANCA</t>
  </si>
  <si>
    <t>TINTA/RESINA ACRILICA PREMIUM PARA CERAMICA, PEDRAS E OUTROS</t>
  </si>
  <si>
    <t>TIRANTE COM ELO, EM ARAME GALVANIZADO RIGIDO, NUMERO 10, COMPRIMENTO 2000 MM, PARA PENDURAL DE FORRO REMOVIVEL</t>
  </si>
  <si>
    <t>TIRANTE EM FERRO GALVANIZADO PARA CONTRAVENTAMENTO DE TELHA CANALETE 90, 1/4" X 400 MM</t>
  </si>
  <si>
    <t>TOALHEIRO PLASTICO TIPO DISPENSER PARA PAPEL TOALHA INTERFOLHADO</t>
  </si>
  <si>
    <t>TOMADA 2P+T 10A, 250V (APENAS MODULO)</t>
  </si>
  <si>
    <t>TOMADA 2P+T 10A, 250V, CONJUNTO MONTADO PARA EMBUTIR 4" X 2" (PLACA + SUPORTE + MODULO)</t>
  </si>
  <si>
    <t>TOMADA 2P+T 10A, 250V, CONJUNTO MONTADO PARA SOBREPOR 4" X 2" (CAIXA + MODULO)</t>
  </si>
  <si>
    <t>TOMADA 2P+T 20A 250V, CONJUNTO MONTADO PARA EMBUTIR 4" X 2" (PLACA + SUPORTE + MODULO)</t>
  </si>
  <si>
    <t>TOMADA 2P+T 20A, 250V (APENAS MODULO)</t>
  </si>
  <si>
    <t>TOMADA INDUSTRIAL DE EMBUTIR 3P+T 30 A, 440 V, COM TRAVA, COM PLACA</t>
  </si>
  <si>
    <t>TOMADA INDUSTRIAL DE EMBUTIR 3P+T 30 A, 440 V, COM TRAVA, SEM PLACA</t>
  </si>
  <si>
    <t>TOMADA PARA ANTENA DE TV, CABO COAXIAL DE 9 MM (APENAS MODULO)</t>
  </si>
  <si>
    <t>TOMADA PARA ANTENA DE TV, CABO COAXIAL DE 9 MM, CONJUNTO MONTADO PARA EMBUTIR 4" X 2" (PLACA + SUPORTE + MODULO)</t>
  </si>
  <si>
    <t>TOMADA RJ11, 2 FIOS (APENAS MODULO)</t>
  </si>
  <si>
    <t>TOMADA RJ11, 2 FIOS, CONJUNTO MONTADO PARA EMBUTIR 4" X 2" (PLACA + SUPORTE + MODULO)</t>
  </si>
  <si>
    <t>TOMADA RJ45, 8 FIOS, CAT 5E (APENAS MODULO)</t>
  </si>
  <si>
    <t>TOMADA RJ45, 8 FIOS, CAT 5E, CONJUNTO MONTADO PARA EMBUTIR 4" X 2" (PLACA + SUPORTE + MODULO)</t>
  </si>
  <si>
    <t>TOMADAS (2 MODULOS) 2P+T 10A, 250V, CONJUNTO MONTADO PARA EMBUTIR 4" X 2" (PLACA + SUPORTE + MODULOS)</t>
  </si>
  <si>
    <t>TOPOGRAFO (HORISTA)</t>
  </si>
  <si>
    <t>TOPOGRAFO (MENSALISTA)</t>
  </si>
  <si>
    <t>TORNEIRA DE BOIA CONVENCIONAL PARA CAIXA D'AGUA, 1", AGUA FRIA, COM HASTE E TORNEIRA METALICOS E BALAO PLASTICO</t>
  </si>
  <si>
    <t>TORNEIRA DE BOIA CONVENCIONAL PARA CAIXA D'AGUA, 2", AGUA FRIA, COM HASTE E TORNEIRA METALICOS E BALAO PLASTICO</t>
  </si>
  <si>
    <t>TORNEIRA DE BOIA CONVENCIONAL PARA CAIXA D'AGUA, AGUA FRIA, 1.1/2", COM HASTE E TORNEIRA METALICOS E BALAO PLASTICO</t>
  </si>
  <si>
    <t>TORNEIRA DE BOIA CONVENCIONAL PARA CAIXA D'AGUA, AGUA FRIA, 1.1/4", COM HASTE E TORNEIRA METALICOS E BALAO PLASTICO</t>
  </si>
  <si>
    <t>TORNEIRA DE BOIA CONVENCIONAL PARA CAIXA D'AGUA, AGUA FRIA, 1/2", COM HASTE E TORNEIRA METALICOS E BALAO PLASTICO</t>
  </si>
  <si>
    <t>TORNEIRA DE BOIA CONVENCIONAL PARA CAIXA D'AGUA, AGUA FRIA, 3/4", COM HASTE E TORNEIRA METALICOS E BALAO PLASTICO</t>
  </si>
  <si>
    <t>TORNEIRA DE BOIA VAZAO TOTAL PARA CAIXA D'AGUA, AGUA FRIA, BITOLA 1", COM HASTE E TORNEIRA METALICOS E BALAO PLASTICO</t>
  </si>
  <si>
    <t>TORNEIRA DE BOIA VAZAO TOTAL PARA CAIXA D'AGUA, AGUA FRIA, BITOLA 1/2", COM HASTE E TORNEIRA METALICOS E BALAO PLASTICO</t>
  </si>
  <si>
    <t>TORNEIRA DE BOIA VAZAO TOTAL PARA CAIXA D'AGUA, AGUA FRIA, BITOLA 3/4", COM HASTE E TORNEIRA METALICOS E BALAO PLASTICO</t>
  </si>
  <si>
    <t>TORNEIRA DE MESA PARA LAVATORIO, METALICA CROMADA, COM MISTURADOR MONOCOMANDO, BICA BAIXA</t>
  </si>
  <si>
    <t>TORNEIRA DE MESA PARA LAVATORIO, METALICA CROMADA, COM SENSOR DE APROXIMACAO ELETRICO, BIVOLT</t>
  </si>
  <si>
    <t>TORNEIRA DE MESA/BANCADA, PARA LAVATORIO, FIXA, METALICA CROMADA, PADRAO POPULAR, 1/2" OU 3/4"</t>
  </si>
  <si>
    <t>TORNEIRA DE METAL AMARELO, PARA TANQUE / JARDIM, DE PAREDE, COM BICO PLASTICO, CANO CURTO, AREA EXTERNA, PADRAO POPULAR / USO GERAL, 1/2" OU 3/4"</t>
  </si>
  <si>
    <t>TORNEIRA DE METAL AMARELO, PARA TANQUE / JARDIM, DE PAREDE, SEM BICO, CANO CURTO, PADRAO POPULAR / USO GERAL, 1/2" OU 3/4"</t>
  </si>
  <si>
    <t>TORNEIRA ELETRICA DE PAREDE, PLASTICA, BICA ALTA, PARA COZINHA, 5500 W (110/220 V)</t>
  </si>
  <si>
    <t>TORNEIRA METALICA CROMADA CANO CURTO, SEM BICO, SEM AREJADOR, DE PAREDE, PARA TANQUE E USO GERAL, 1/2" OU 3/4"</t>
  </si>
  <si>
    <t>TORNEIRA METALICA CROMADA DE MESA PARA LAVATORIO, BICA ALTA, COM AREJADOR</t>
  </si>
  <si>
    <t>TORNEIRA METALICA CROMADA DE MESA PARA LAVATORIO, COM SENSOR DE PRESENCA A PILHA, COM AREJADOR EMBUTIDO</t>
  </si>
  <si>
    <t>TORNEIRA METALICA CROMADA DE MESA, PARA LAVATORIO, TEMPORIZADA PRESSAO FECHAMENTO AUTOMATICO, BICA BAIXA</t>
  </si>
  <si>
    <t>TORNEIRA METALICA CROMADA DE PAREDE LONGA PARA LAVATORIO, COM AREJADOR, ACIONAMENTO ALAVANCA, 1/4 DE VOLTA</t>
  </si>
  <si>
    <t>TORNEIRA METALICA CROMADA DE PAREDE, PARA COZINHA, BICA MOVEL, COM AREJADOR, 1/2" OU 3/4"</t>
  </si>
  <si>
    <t>TORNEIRA METALICA CROMADA PARA JARDIM / TANQUE, COM BICO PLASTICO, CANO LONGO, DE PAREDE, PADRAO POPULAR / USO GERAL, 1/2" OU 3/4"</t>
  </si>
  <si>
    <t>TORNEIRA METALICA CROMADA PARA TANQUE / JARDIM, SEM BICO, CANO LONGO, DE PAREDE, PADRAO POPULAR / USO GERAL, 1/2" OU 3/4"</t>
  </si>
  <si>
    <t>TORNEIRA METALICA CROMADA, CANO CURTO, COM AREJADOR, SEM BICO PLASTICO, DE PAREDE, PARA USO GERAL, 1/2" OU 3/4"</t>
  </si>
  <si>
    <t>TORNEIRA METALICA CROMADA, DE MESA/BANCADA, PARA COZINHA, BICA MOVEL, COM AREJADOR, 1/2" OU 3/4"</t>
  </si>
  <si>
    <t>TORNEIRA METALICA CROMADA, RETA, DE PAREDE, PARA COZINHA, COM AREJADOR, PADRAO POPULAR, 1/2" OU 3/4"</t>
  </si>
  <si>
    <t>TORNEIRA METALICA CROMADA, RETA, DE PAREDE, PARA COZINHA, SEM BICO, SEM AREJADOR, PADRAO POPULAR, 1/2" OU 3/4"</t>
  </si>
  <si>
    <t>TORNEIRA PLASTICA DE BOIA PARA CAIXA DE DESCARGA, 1/2", BALAO E TORNEIRA PLASTICOS, COM HASTE METALICA</t>
  </si>
  <si>
    <t>TORNEIRA PLASTICA DE MESA, BICA MOVEL, PARA COZINHA 1/2"</t>
  </si>
  <si>
    <t>TORNEIRA PLASTICA PARA TANQUE 1/2" OU 3/4" COM BICO PARA MANGUEIRA</t>
  </si>
  <si>
    <t>TRANSFORMADOR TRIFASICO DE DISTRIBUICAO, POTENCIA DE 1000 KVA, TENSAO NOMINAL DE 15 KV, TENSAO SECUNDARIA DE 220/127V, EM OLEO ISOLANTE TIPO MINERAL</t>
  </si>
  <si>
    <t>TRANSFORMADOR TRIFASICO DE DISTRIBUICAO, POTENCIA DE 112,5 KVA, TENSAO NOMINAL DE 15 KV, TENSAO SECUNDARIA DE 220/127V, EM OLEO ISOLANTE TIPO MINERAL</t>
  </si>
  <si>
    <t>TRANSFORMADOR TRIFASICO DE DISTRIBUICAO, POTENCIA DE 15 KVA, TENSAO NOMINAL DE 15 KV, TENSAO SECUNDARIA DE 220/127V, EM OLEO ISOLANTE TIPO MINERAL</t>
  </si>
  <si>
    <t>TRANSFORMADOR TRIFASICO DE DISTRIBUICAO, POTENCIA DE 150 KVA, TENSAO NOMINAL DE 15 KV, TENSAO SECUNDARIA DE 220/127V, EM OLEO ISOLANTE TIPO MINERAL</t>
  </si>
  <si>
    <t>TRANSFORMADOR TRIFASICO DE DISTRIBUICAO, POTENCIA DE 1500 KVA, TENSAO NOMINAL DE 15 KV, TENSAO SECUNDARIA DE 220/127V, EM OLEO ISOLANTE TIPO MINERAL</t>
  </si>
  <si>
    <t>TRANSFORMADOR TRIFASICO DE DISTRIBUICAO, POTENCIA DE 225 KVA, TENSAO NOMINAL DE 15 KV, TENSAO SECUNDARIA DE 220/127V, EM OLEO ISOLANTE TIPO MINERAL</t>
  </si>
  <si>
    <t>TRANSFORMADOR TRIFASICO DE DISTRIBUICAO, POTENCIA DE 30 KVA, TENSAO NOMINAL DE 15 KV, TENSAO SECUNDARIA DE 220/127V, EM OLEO ISOLANTE TIPO MINERAL</t>
  </si>
  <si>
    <t>TRANSFORMADOR TRIFASICO DE DISTRIBUICAO, POTENCIA DE 300 KVA, TENSAO NOMINAL DE 15 KV, TENSAO SECUNDARIA DE 220/127V, EM OLEO ISOLANTE TIPO MINERAL</t>
  </si>
  <si>
    <t>TRANSFORMADOR TRIFASICO DE DISTRIBUICAO, POTENCIA DE 45 KVA, TENSAO NOMINAL DE 15 KV, TENSAO SECUNDARIA DE 220/127V, EM OLEO ISOLANTE TIPO MINERAL</t>
  </si>
  <si>
    <t>TRANSFORMADOR TRIFASICO DE DISTRIBUICAO, POTENCIA DE 500 KVA, TENSAO NOMINAL DE 15 KV, TENSAO SECUNDARIA DE 220/127V, EM OLEO ISOLANTE TIPO MINERAL</t>
  </si>
  <si>
    <t>TRANSFORMADOR TRIFASICO DE DISTRIBUICAO, POTENCIA DE 75 KVA, TENSAO NOMINAL DE 15 KV, TENSAO SECUNDARIA DE 220/127V, EM OLEO ISOLANTE TIPO MINERAL</t>
  </si>
  <si>
    <t>TRANSFORMADOR TRIFASICO DE DISTRIBUICAO, POTENCIA DE 750 KVA, TENSAO NOMINAL DE 15 KV, TENSAO SECUNDARIA DE 220/127V, EM OLEO ISOLANTE TIPO MINERAL</t>
  </si>
  <si>
    <t>TRANSPORTE - HORISTA (COLETADO CAIXA - ENCARGOS COMPLEMENTARES)</t>
  </si>
  <si>
    <t>TRANSPORTE - MENSALISTA (COLETADO CAIXA - ENCARGOS COMPLEMENTARES)</t>
  </si>
  <si>
    <t>TRATOR DE ESTEIRAS, POTENCIA 125 HP, PESO OPERACIONAL DE 12,9 T, COM LAMINA COM CAPACIDADE DE 2,7 M3</t>
  </si>
  <si>
    <t>TRATOR DE ESTEIRAS, POTENCIA DE 100 HP, PESO OPERACIONAL DE 9,4 T, COM LAMINA COM CAPACIDADE DE 2,19 M3</t>
  </si>
  <si>
    <t>TRATOR DE ESTEIRAS, POTENCIA DE 150 HP, PESO OPERACIONAL DE 16,7 T, COM RODA MOTRIZ ELEVADA E LAMINA COM CONTATO DE 3,18M3</t>
  </si>
  <si>
    <t>TRATOR DE ESTEIRAS, POTENCIA DE 170 HP, PESO OPERACIONAL DE 19 T, COM LAMINA COM CAPACIDADE DE 5,2 M3</t>
  </si>
  <si>
    <t>TRATOR DE ESTEIRAS, POTENCIA DE 347 HP, PESO OPERACIONAL DE 38,5 T, COM LAMINA COM CAPACIDADE DE 8,70M3</t>
  </si>
  <si>
    <t>TRATOR DE PNEUS COM POTENCIA DE 122 CV, TRACAO 4 X 4, PESO COM LASTRO DE 4510 KG</t>
  </si>
  <si>
    <t>TRATOR DE PNEUS COM POTENCIA DE 85 CV, TRACAO 4 X 4, PESO COM LASTRO DE 4675 KG</t>
  </si>
  <si>
    <t>TRAVA / PRENDEDOR DE PORTA, EM LATAO CROMADO, MONTADO EM PISO</t>
  </si>
  <si>
    <t>TRAVA-QUEDAS EM ACO PARA CORDA DE 12 MM, EXTENSOR DE 25 X 300 MM, COM MOSQUETAO TIPO GANCHO TRAVA DUPLA</t>
  </si>
  <si>
    <t>TRELICA NERVURADA (ESPACADOR), ALTURA = 120,0 MM, DIAMETRO DOS BANZOS INFERIORES E SUPERIOR = 6,0 MM, DIAMETRO DA DIAGONAL = 4,2 MM</t>
  </si>
  <si>
    <t>TRILHO PANTOGRAFICO CONCAVO, TIPO U, EM ALUMINIO, COM DIMENSOES DE APROX *35 X 35* MM, PARA ROLDANA DE PORTA DE CORRER</t>
  </si>
  <si>
    <t>TRILHO PANTOGRAFICO RETO, EM ALUMINIO, TIPO U, COM DIMENSOES DE *38 X 38* MM PARA PORTA DE CORRER</t>
  </si>
  <si>
    <t>TRILHO QUADRADO FRISADO PARA RODIZIO (VERGALHAO MACICO), EM ALUMINIO, COM DIMENSOES DE *6 X 6* MM</t>
  </si>
  <si>
    <t>TRINCHA CERDAS GRIS 1.1/2" (38 MM)</t>
  </si>
  <si>
    <t>TUBO / MANGUEIRA PRETA EM POLIETILENO, LINHA PESADA OU REFORCADA, TIPO ESPAGUETE, PARA INJECAO DE CALDA DE CIMENTO, D = 1/2", ESPESSURA 1,5 MM</t>
  </si>
  <si>
    <t>TUBO 26" EM CHAPA PRETA, E= 3/16", 147 KG/6 M</t>
  </si>
  <si>
    <t>TUBO 30" EM CHAPA PRETA, E= 1/4", 175 KG/6 M</t>
  </si>
  <si>
    <t>TUBO 30" EM CHAPA PRETA, E= 3/8", 177 KG/6 M</t>
  </si>
  <si>
    <t>TUBO ACO CARBONO COM COSTURA, NBR 5580, CLASSE L, DN = 15 MM, E = 2,25 MM, 1,06 KG/M</t>
  </si>
  <si>
    <t>TUBO ACO CARBONO COM COSTURA, NBR 5580, CLASSE L, DN = 25 MM, E = 2,65 MM, 2,02 KG/M</t>
  </si>
  <si>
    <t>TUBO ACO CARBONO COM COSTURA, NBR 5580, CLASSE L, DN = 40 MM, E = 3,0 MM, 3,34 KG/M</t>
  </si>
  <si>
    <t>TUBO ACO CARBONO COM COSTURA, NBR 5580, CLASSE L, DN = 80 MM, E = 3,35 MM, 7,07 KG/M</t>
  </si>
  <si>
    <t>TUBO ACO CARBONO COM COSTURA, NBR 5580, CLASSE M, DN = 25 MM, E = 3,35 MM, *2,50* KG//M</t>
  </si>
  <si>
    <t>TUBO ACO CARBONO COM COSTURA, NBR 5580, CLASSE M, DN = 40 MM, E = 3,35 MM, *3,71* KG//M</t>
  </si>
  <si>
    <t>TUBO ACO CARBONO COM COSTURA, NBR 5580, CLASSE M, DN = 80 MM, E = 4,05 MM, *8,47* KG/M</t>
  </si>
  <si>
    <t>TUBO ACO CARBONO SEM COSTURA 1 1/2", E= *3,68 MM, SCHEDULE 40, 4,05 KG/M</t>
  </si>
  <si>
    <t>TUBO ACO CARBONO SEM COSTURA 1 1/4", E= *3,56 MM, SCHEDULE 40, *3,38* KG/M</t>
  </si>
  <si>
    <t>TUBO ACO CARBONO SEM COSTURA 1", E= *3,38 MM, SCHEDULE 40, *2,50* KG/M</t>
  </si>
  <si>
    <t>TUBO ACO CARBONO SEM COSTURA 1/2", E= *2,77 MM, SCHEDULE 40, *1,27 KG/M</t>
  </si>
  <si>
    <t>TUBO ACO CARBONO SEM COSTURA 1/2", E= *3,73 MM, SCHEDULE 80, *1,62 KG/M</t>
  </si>
  <si>
    <t>TUBO ACO CARBONO SEM COSTURA 14", E= *11,13 MM, SCHEDULE 40, *94,55 KG/M</t>
  </si>
  <si>
    <t>TUBO ACO CARBONO SEM COSTURA 2 1/2", E = 5,16 MM, SCHEDULE 40 (8,62 KG/M)</t>
  </si>
  <si>
    <t>TUBO ACO CARBONO SEM COSTURA 2", E= *3,91* MM, SCHEDULE 40, *5,43* KG/M</t>
  </si>
  <si>
    <t>TUBO ACO CARBONO SEM COSTURA 20", E= *12,70 MM, SCHEDULE 30, *154,97 KG/M</t>
  </si>
  <si>
    <t>TUBO ACO CARBONO SEM COSTURA 20", E= *6,35 MM, SCHEDULE 10, *78,46 KG/M</t>
  </si>
  <si>
    <t>TUBO ACO CARBONO SEM COSTURA 3", E= *5,49 MM, SCHEDULE 40, *11,28* KG/M</t>
  </si>
  <si>
    <t>TUBO ACO CARBONO SEM COSTURA 3/4", E= *2,87 MM, SCHEDULE 40, *1,69 KG/M</t>
  </si>
  <si>
    <t>TUBO ACO CARBONO SEM COSTURA 3/4", E= *3,91 MM, SCHEDULE 80, *2,19 KG/M.</t>
  </si>
  <si>
    <t>TUBO ACO CARBONO SEM COSTURA 4", E= *6,02 MM, SCHEDULE 40, *16,06 KG/M</t>
  </si>
  <si>
    <t>TUBO ACO CARBONO SEM COSTURA 4", E= *8,56 MM, SCHEDULE 80, *22,31 KG/M</t>
  </si>
  <si>
    <t>TUBO ACO CARBONO SEM COSTURA 5", E= *6,55 MM, SCHEDULE 40, *21,75* KG/M</t>
  </si>
  <si>
    <t>TUBO ACO CARBONO SEM COSTURA 6", E= *10,97 MM, SCHEDULE 80, *42,56 KG/M</t>
  </si>
  <si>
    <t>TUBO ACO CARBONO SEM COSTURA 6", E= 7,11 MM, SCHEDULE 40, *28,26 KG/M</t>
  </si>
  <si>
    <t>TUBO ACO CARBONO SEM COSTURA 8", E= *12,70 MM, SCHEDULE 80, *64,64 KG/M</t>
  </si>
  <si>
    <t>TUBO ACO CARBONO SEM COSTURA 8", E= *6,35 MM, SCHEDULE 20, *33,27 KG/M</t>
  </si>
  <si>
    <t>TUBO ACO CARBONO SEM COSTURA 8", E= *7,04 MM, SCHEDULE 30, *36,75 KG/M</t>
  </si>
  <si>
    <t>TUBO ACO CARBONO SEM COSTURA 8", E= *8,18 MM, SCHEDULE 40, *42,55 KG/M</t>
  </si>
  <si>
    <t>TUBO ACO GALVANIZADO COM COSTURA, CLASSE LEVE, DN 100 MM (4"), E = 3,75 MM, *10,55* KG/M (NBR 5580)</t>
  </si>
  <si>
    <t>TUBO ACO GALVANIZADO COM COSTURA, CLASSE LEVE, DN 15 MM (1/2"), E = 2,25 MM, *1,2* KG/M (NBR 5580)</t>
  </si>
  <si>
    <t>TUBO ACO GALVANIZADO COM COSTURA, CLASSE LEVE, DN 20 MM (3/4"), E = 2,25 MM, *1,3* KG/M (NBR 5580)</t>
  </si>
  <si>
    <t>TUBO ACO GALVANIZADO COM COSTURA, CLASSE LEVE, DN 25 MM (1"), E = 2,65 MM, *2,11* KG/M (NBR 5580)</t>
  </si>
  <si>
    <t>TUBO ACO GALVANIZADO COM COSTURA, CLASSE LEVE, DN 32 MM (1 1/4"), E = 2,65 MM, *2,71* KG/M (NBR 5580)</t>
  </si>
  <si>
    <t>TUBO ACO GALVANIZADO COM COSTURA, CLASSE LEVE, DN 40 MM (1 1/2"), E = 3,00 MM, *3,48* KG/M (NBR 5580)</t>
  </si>
  <si>
    <t>TUBO ACO GALVANIZADO COM COSTURA, CLASSE LEVE, DN 50 MM (2"), E = 3,00 MM, *4,40* KG/M (NBR 5580)</t>
  </si>
  <si>
    <t>TUBO ACO GALVANIZADO COM COSTURA, CLASSE LEVE, DN 65 MM (2 1/2"), E = 3,35 MM, * 6,23* KG/M (NBR 5580)</t>
  </si>
  <si>
    <t>TUBO ACO GALVANIZADO COM COSTURA, CLASSE LEVE, DN 80 MM (3"), E = 3,35 MM, *7,32* KG/M (NBR 5580)</t>
  </si>
  <si>
    <t>TUBO ACO GALVANIZADO COM COSTURA, CLASSE MEDIA, DN 1", E = 3,38 MM, PESO 2,50 KG/M (NBR 5580)</t>
  </si>
  <si>
    <t>TUBO ACO GALVANIZADO COM COSTURA, CLASSE MEDIA, DN 1.1/2", E = *3,25* MM, PESO *3,61* KG/M (NBR 5580)</t>
  </si>
  <si>
    <t>TUBO ACO GALVANIZADO COM COSTURA, CLASSE MEDIA, DN 1.1/4", E = *3,25* MM, PESO *3,14* KG/M (NBR 5580)</t>
  </si>
  <si>
    <t>TUBO ACO GALVANIZADO COM COSTURA, CLASSE MEDIA, DN 1/2", E = *2,65* MM, PESO *1,22* KG/M (NBR 5580)</t>
  </si>
  <si>
    <t>TUBO ACO GALVANIZADO COM COSTURA, CLASSE MEDIA, DN 2", E = *3,65* MM, PESO *5,10* KG/M (NBR 5580)</t>
  </si>
  <si>
    <t>TUBO ACO GALVANIZADO COM COSTURA, CLASSE MEDIA, DN 2.1/2", E = *3,65* MM, PESO *6,51* KG/M (NBR 5580)</t>
  </si>
  <si>
    <t>TUBO ACO GALVANIZADO COM COSTURA, CLASSE MEDIA, DN 3", E = *4,05* MM, PESO *8,47* KG/M (NBR 5580)</t>
  </si>
  <si>
    <t>TUBO ACO GALVANIZADO COM COSTURA, CLASSE MEDIA, DN 3/4", E = *2,65* MM, PESO *1,58* KG/M (NBR 5580)</t>
  </si>
  <si>
    <t>TUBO ACO GALVANIZADO COM COSTURA, CLASSE MEDIA, DN 4", E = 4,50* MM, PESO 12,10* KG/M (NBR 5580)</t>
  </si>
  <si>
    <t>TUBO ACO GALVANIZADO COM COSTURA, CLASSE MEDIA, DN 5", E = *5,40* MM, PESO *17,80* KG/M (NBR 5580)</t>
  </si>
  <si>
    <t>TUBO ACO GALVANIZADO COM COSTURA, CLASSE MEDIA, DN 6", E = 4,85* MM, PESO 19,68* KG/M (NBR 5580)</t>
  </si>
  <si>
    <t>TUBO ACO INDUSTRIAL DN 2" (50,8 MM) E=1,50MM, PESO= 1,8237 KG/M</t>
  </si>
  <si>
    <t>TUBO COLETOR DE ESGOTO PVC, JEI, DN 200 MM (NBR 7362)</t>
  </si>
  <si>
    <t>TUBO COLETOR DE ESGOTO PVC, JEI, DN 250 MM (NBR 7362)</t>
  </si>
  <si>
    <t>TUBO COLETOR DE ESGOTO PVC, JEI, DN 300 MM (NBR 7362)</t>
  </si>
  <si>
    <t>TUBO COLETOR DE ESGOTO PVC, JEI, DN 350 MM (NBR 7362)</t>
  </si>
  <si>
    <t>TUBO COLETOR DE ESGOTO PVC, JEI, DN 400 MM (NBR 7362)</t>
  </si>
  <si>
    <t>TUBO COLETOR DE ESGOTO, PVC, JEI, DN 150 MM (NBR 7362)</t>
  </si>
  <si>
    <t>TUBO CORRUGADO PEAD, PAREDE DUPLA, INTERNA LISA, JEI DN/DI 500 MM (DRENAGEM/ESGOTO)</t>
  </si>
  <si>
    <t>TUBO CORRUGADO PEAD, PAREDE DUPLA, INTERNA LISA, JEI, DN/DI *1000* MM, PARA SANEAMENTO (DRENAGEM/ESGOTO)</t>
  </si>
  <si>
    <t>TUBO CORRUGADO PEAD, PAREDE DUPLA, INTERNA LISA, JEI, DN/DI *400* MM, PARA SANEAMENTO (DRENAGEM/ESGOTO)</t>
  </si>
  <si>
    <t>TUBO CORRUGADO PEAD, PAREDE DUPLA, INTERNA LISA, JEI, DN/DI *800* MM, PARA SANEAMENTO (DRENAGEM/ESGOTO)</t>
  </si>
  <si>
    <t>TUBO CORRUGADO PEAD, PAREDE DUPLA, INTERNA LISA, JEI, DN/DI 1200 MM, PARA SANEAMENTO (DRENAGEM/ESGOTO)</t>
  </si>
  <si>
    <t>TUBO CORRUGADO PEAD, PAREDE DUPLA, INTERNA LISA, JEI, DN/DI 250 MM, PARA SANEAMENTO (DRENAGEM/ESGOTO)</t>
  </si>
  <si>
    <t>TUBO CORRUGADO PEAD, PAREDE DUPLA, INTERNA LISA, JEI, DN/DI 300 MM, PARA SANEAMENTO (DRENAGEM/ESGOTO)</t>
  </si>
  <si>
    <t>TUBO CORRUGADO PEAD, PAREDE DUPLA, INTERNA LISA, JEI, DN/DI 600 MM, PARA SANEAMENTO (DRENAGEM/ESGOTO)</t>
  </si>
  <si>
    <t>TUBO CPVC SOLDAVEL, 35 MM, AGUA QUENTE PREDIAL (NBR 15884)</t>
  </si>
  <si>
    <t>TUBO CPVC, SOLDAVEL, 114 MM, AGUA QUENTE (NBR 15884)</t>
  </si>
  <si>
    <t>TUBO CPVC, SOLDAVEL, 15 MM, AGUA QUENTE PREDIAL (NBR 15884)</t>
  </si>
  <si>
    <t>TUBO CPVC, SOLDAVEL, 22 MM, AGUA QUENTE PREDIAL (NBR 15884)</t>
  </si>
  <si>
    <t>TUBO CPVC, SOLDAVEL, 28 MM, AGUA QUENTE PREDIAL (NBR 15884)</t>
  </si>
  <si>
    <t>TUBO CPVC, SOLDAVEL, 42 MM, AGUA QUENTE PREDIAL (NBR 15884)</t>
  </si>
  <si>
    <t>TUBO CPVC, SOLDAVEL, 54 MM, AGUA QUENTE PREDIAL (NBR 15884)</t>
  </si>
  <si>
    <t>TUBO CPVC, SOLDAVEL, 73 MM, AGUA QUENTE PREDIAL (NBR 15884)</t>
  </si>
  <si>
    <t>TUBO CPVC, SOLDAVEL, 89 MM, AGUA QUENTE PREDIAL (NBR 15884)</t>
  </si>
  <si>
    <t>TUBO DE BORRACHA ELASTOMERICA FLEXIVEL, PRETA, PARA ISOLAMENTO TERMICO DE TUBULACAO, DN 1 1/8" (28 MM), E= 32 MM, COEFICIENTE DE CONDUTIVIDADE TERMICA 0,036W/MK, VAPOR DE AGUA MAIOR OU IGUAL A 10.000</t>
  </si>
  <si>
    <t>TUBO DE BORRACHA ELASTOMERICA FLEXIVEL, PRETA, PARA ISOLAMENTO TERMICO DE TUBULACAO, DN 1 3/8" (35 MM), E= 32 MM, COEFICIENTE DE CONDUTIVIDADE TERMICA 0,036W/MK, VAPOR DE AGUA MAIOR OU IGUAL A 10.000</t>
  </si>
  <si>
    <t>TUBO DE BORRACHA ELASTOMERICA FLEXIVEL, PRETA, PARA ISOLAMENTO TERMICO DE TUBULACAO, DN 1 5/8" (42 MM), E= 32 MM, COEFICIENTE DE CONDUTIVIDADE TERMICA 0,036W/MK, VAPOR DE AGUA MAIOR OU IGUAL A 10.000</t>
  </si>
  <si>
    <t>TUBO DE BORRACHA ELASTOMERICA FLEXIVEL, PRETA, PARA ISOLAMENTO TERMICO DE TUBULACAO, DN 1" (25 MM), E= 32 MM, COEFICIENTE DE CONDUTIVIDADE TERMICA 0,036W/MK, VAPOR DE AGUA MAIOR OU IGUAL A 10.000</t>
  </si>
  <si>
    <t>TUBO DE BORRACHA ELASTOMERICA FLEXIVEL, PRETA, PARA ISOLAMENTO TERMICO DE TUBULACAO, DN 1/2" (12 MM), E= 19 MM, COEFICIENTE DE CONDUTIVIDADE TERMICA 0,036W/MK, VAPOR DE AGUA MAIOR OU IGUAL A 10.000</t>
  </si>
  <si>
    <t>TUBO DE BORRACHA ELASTOMERICA FLEXIVEL, PRETA, PARA ISOLAMENTO TERMICO DE TUBULACAO, DN 1/4" (6 MM), E= 9 MM, COEFICIENTE DE CONDUTIVIDADE TERMICA 0,036W/MK, VAPOR DE AGUA MAIOR OU IGUAL A 10.000</t>
  </si>
  <si>
    <t>TUBO DE BORRACHA ELASTOMERICA FLEXIVEL, PRETA, PARA ISOLAMENTO TERMICO DE TUBULACAO, DN 2 1/8" (54 MM), E= 32 MM, COEFICIENTE DE CONDUTIVIDADE TERMICA 0,036W/MK, VAPOR DE AGUA MAIOR OU IGUAL A 10.000</t>
  </si>
  <si>
    <t>TUBO DE BORRACHA ELASTOMERICA FLEXIVEL, PRETA, PARA ISOLAMENTO TERMICO DE TUBULACAO, DN 2 5/8" (*64* MM), E= *32* MM, COEFICIENTE DE CONDUTIVIDADE TERMICA 0,036W/MK, VAPOR DE AGUA MAIOR OU IGUAL A 10.000</t>
  </si>
  <si>
    <t>TUBO DE BORRACHA ELASTOMERICA FLEXIVEL, PRETA, PARA ISOLAMENTO TERMICO DE TUBULACAO, DN 3/4" (18 MM), E= 32 MM, COEFICIENTE DE CONDUTIVIDADE TERMICA 0,036W/MK, VAPOR DE AGUA MAIOR OU IGUAL A 10.000</t>
  </si>
  <si>
    <t>TUBO DE BORRACHA ELASTOMERICA FLEXIVEL, PRETA, PARA ISOLAMENTO TERMICO DE TUBULACAO, DN 3/8" (10 MM), E= 19 MM, COEFICIENTE DE CONDUTIVIDADE TERMICA 0,036W/MK, VAPOR DE AGUA MAIOR OU IGUAL A 10.000</t>
  </si>
  <si>
    <t>TUBO DE BORRACHA ELASTOMERICA FLEXIVEL, PRETA, PARA ISOLAMENTO TERMICO DE TUBULACAO, DN 5/8" (15 MM), E= 19 MM, COEFICIENTE DE CONDUTIVIDADE TERMICA 0,036W/MK, VAPOR DE AGUA MAIOR OU IGUAL A 10.000</t>
  </si>
  <si>
    <t>TUBO DE BORRACHA ELASTOMERICA FLEXIVEL, PRETA, PARA ISOLAMENTO TERMICO DE TUBULACAO, DN 7/8" (22 MM), E= 32 MM, COEFICIENTE DE CONDUTIVIDADE TERMICA 0,036W/MK, VAPOR DE AGUA MAIOR OU IGUAL A 10.000</t>
  </si>
  <si>
    <t>TUBO DE COBRE CLASSE "A", DN = 1 1/2" (42 MM), PARA INSTALACOES DE MEDIA PRESSAO PARA GASES COMBUSTIVEIS E MEDICINAIS</t>
  </si>
  <si>
    <t>TUBO DE COBRE CLASSE "A", DN = 1 1/4" (35 MM), PARA INSTALACOES DE MEDIA PRESSAO PARA GASES COMBUSTIVEIS E MEDICINAIS</t>
  </si>
  <si>
    <t>TUBO DE COBRE CLASSE "A", DN = 1" (28 MM), PARA INSTALACOES DE MEDIA PRESSAO PARA GASES COMBUSTIVEIS E MEDICINAIS</t>
  </si>
  <si>
    <t>TUBO DE COBRE CLASSE "A", DN = 1/2" (15 MM), PARA INSTALACOES DE MEDIA PRESSAO PARA GASES COMBUSTIVEIS E MEDICINAIS</t>
  </si>
  <si>
    <t>TUBO DE COBRE CLASSE "A", DN = 2 1/2" (66 MM), PARA INSTALACOES DE MEDIA PRESSAO PARA GASES COMBUSTIVEIS E MEDICINAIS</t>
  </si>
  <si>
    <t>TUBO DE COBRE CLASSE "A", DN = 2" (54 MM), PARA INSTALACOES DE MEDIA PRESSAO PARA GASES COMBUSTIVEIS E MEDICINAIS</t>
  </si>
  <si>
    <t>TUBO DE COBRE CLASSE "A", DN = 3" (79 MM), PARA INSTALACOES DE MEDIA PRESSAO PARA GASES COMBUSTIVEIS E MEDICINAIS</t>
  </si>
  <si>
    <t>TUBO DE COBRE CLASSE "A", DN = 3/4" (22 MM), PARA INSTALACOES DE MEDIA PRESSAO PARA GASES COMBUSTIVEIS E MEDICINAIS</t>
  </si>
  <si>
    <t>TUBO DE COBRE CLASSE "A", DN = 4" (104 MM), PARA INSTALACOES DE MEDIA PRESSAO PARA GASES COMBUSTIVEIS E MEDICINAIS</t>
  </si>
  <si>
    <t>TUBO DE COBRE CLASSE "E", DN = 104 MM, PARA INSTALACAO HIDRAULICA PREDIAL</t>
  </si>
  <si>
    <t>TUBO DE COBRE CLASSE "E", DN = 15 MM, PARA INSTALACAO HIDRAULICA PREDIAL</t>
  </si>
  <si>
    <t>TUBO DE COBRE CLASSE "E", DN = 22 MM, PARA INSTALACAO HIDRAULICA PREDIAL</t>
  </si>
  <si>
    <t>TUBO DE COBRE CLASSE "E", DN = 28 MM, PARA INSTALACAO HIDRAULICA PREDIAL</t>
  </si>
  <si>
    <t>TUBO DE COBRE CLASSE "E", DN = 35 MM, PARA INSTALACAO HIDRAULICA PREDIAL</t>
  </si>
  <si>
    <t>TUBO DE COBRE CLASSE "E", DN = 42 MM, PARA INSTALACAO HIDRAULICA PREDIAL</t>
  </si>
  <si>
    <t>TUBO DE COBRE CLASSE "E", DN = 54 MM, PARA INSTALACAO HIDRAULICA PREDIAL</t>
  </si>
  <si>
    <t>TUBO DE COBRE CLASSE "E", DN = 66 MM, PARA INSTALACAO HIDRAULICA PREDIAL</t>
  </si>
  <si>
    <t>TUBO DE COBRE CLASSE "E", DN = 79 MM, PARA INSTALACAO HIDRAULICA PREDIAL</t>
  </si>
  <si>
    <t>TUBO DE CONCRETO ARMADO PARA AGUAS PLUVIAIS, CLASSE PA-1, COM ENCAIXE PONTA E BOLSA, DIAMETRO NOMINAL DE 1000 MM</t>
  </si>
  <si>
    <t>TUBO DE CONCRETO ARMADO PARA AGUAS PLUVIAIS, CLASSE PA-1, COM ENCAIXE PONTA E BOLSA, DIAMETRO NOMINAL DE 1100 MM</t>
  </si>
  <si>
    <t>TUBO DE CONCRETO ARMADO PARA AGUAS PLUVIAIS, CLASSE PA-1, COM ENCAIXE PONTA E BOLSA, DIAMETRO NOMINAL DE 1200 MM</t>
  </si>
  <si>
    <t>TUBO DE CONCRETO ARMADO PARA AGUAS PLUVIAIS, CLASSE PA-1, COM ENCAIXE PONTA E BOLSA, DIAMETRO NOMINAL DE 1500 MM</t>
  </si>
  <si>
    <t>TUBO DE CONCRETO ARMADO PARA AGUAS PLUVIAIS, CLASSE PA-1, COM ENCAIXE PONTA E BOLSA, DIAMETRO NOMINAL DE 2000 MM</t>
  </si>
  <si>
    <t>TUBO DE CONCRETO ARMADO PARA AGUAS PLUVIAIS, CLASSE PA-1, COM ENCAIXE PONTA E BOLSA, DIAMETRO NOMINAL DE 300 MM</t>
  </si>
  <si>
    <t>TUBO DE CONCRETO ARMADO PARA AGUAS PLUVIAIS, CLASSE PA-1, COM ENCAIXE PONTA E BOLSA, DIAMETRO NOMINAL DE 400 MM</t>
  </si>
  <si>
    <t>TUBO DE CONCRETO ARMADO PARA AGUAS PLUVIAIS, CLASSE PA-1, COM ENCAIXE PONTA E BOLSA, DIAMETRO NOMINAL DE 700 MM</t>
  </si>
  <si>
    <t>TUBO DE CONCRETO ARMADO PARA AGUAS PLUVIAIS, CLASSE PA-1, COM ENCAIXE PONTA E BOLSA, DIAMETRO NOMINAL DE 800 MM</t>
  </si>
  <si>
    <t>TUBO DE CONCRETO ARMADO PARA AGUAS PLUVIAIS, CLASSE PA-1, COM ENCAIXE PONTA E BOLSA, DIAMETRO NOMINAL DE 900 MM</t>
  </si>
  <si>
    <t>TUBO DE CONCRETO ARMADO PARA AGUAS PLUVIAIS, CLASSE PA-1, COM ENCAIXE PONTA E BOLSA, DIAMETRO NOMINAL DE = 600 MM</t>
  </si>
  <si>
    <t>TUBO DE CONCRETO ARMADO PARA AGUAS PLUVIAIS, CLASSE PA-2, COM ENCAIXE PONTA E BOLSA, DIAMETRO NOMINAL DE 1000 MM</t>
  </si>
  <si>
    <t>TUBO DE CONCRETO ARMADO PARA AGUAS PLUVIAIS, CLASSE PA-2, COM ENCAIXE PONTA E BOLSA, DIAMETRO NOMINAL DE 1100 MM</t>
  </si>
  <si>
    <t>TUBO DE CONCRETO ARMADO PARA AGUAS PLUVIAIS, CLASSE PA-2, COM ENCAIXE PONTA E BOLSA, DIAMETRO NOMINAL DE 1200 MM</t>
  </si>
  <si>
    <t>TUBO DE CONCRETO ARMADO PARA AGUAS PLUVIAIS, CLASSE PA-2, COM ENCAIXE PONTA E BOLSA, DIAMETRO NOMINAL DE 1500 MM</t>
  </si>
  <si>
    <t>TUBO DE CONCRETO ARMADO PARA AGUAS PLUVIAIS, CLASSE PA-2, COM ENCAIXE PONTA E BOLSA, DIAMETRO NOMINAL DE 2000 MM</t>
  </si>
  <si>
    <t>TUBO DE CONCRETO ARMADO PARA AGUAS PLUVIAIS, CLASSE PA-2, COM ENCAIXE PONTA E BOLSA, DIAMETRO NOMINAL DE 300 MM</t>
  </si>
  <si>
    <t>TUBO DE CONCRETO ARMADO PARA AGUAS PLUVIAIS, CLASSE PA-2, COM ENCAIXE PONTA E BOLSA, DIAMETRO NOMINAL DE 400 MM</t>
  </si>
  <si>
    <t>TUBO DE CONCRETO ARMADO PARA AGUAS PLUVIAIS, CLASSE PA-2, COM ENCAIXE PONTA E BOLSA, DIAMETRO NOMINAL DE 500 MM</t>
  </si>
  <si>
    <t>TUBO DE CONCRETO ARMADO PARA AGUAS PLUVIAIS, CLASSE PA-2, COM ENCAIXE PONTA E BOLSA, DIAMETRO NOMINAL DE 600 MM</t>
  </si>
  <si>
    <t>TUBO DE CONCRETO ARMADO PARA AGUAS PLUVIAIS, CLASSE PA-2, COM ENCAIXE PONTA E BOLSA, DIAMETRO NOMINAL DE 700 MM</t>
  </si>
  <si>
    <t>TUBO DE CONCRETO ARMADO PARA AGUAS PLUVIAIS, CLASSE PA-2, COM ENCAIXE PONTA E BOLSA, DIAMETRO NOMINAL DE 800 MM</t>
  </si>
  <si>
    <t>TUBO DE CONCRETO ARMADO PARA AGUAS PLUVIAIS, CLASSE PA-2, COM ENCAIXE PONTA E BOLSA, DIAMETRO NOMINAL DE 900 MM</t>
  </si>
  <si>
    <t>TUBO DE CONCRETO ARMADO PARA AGUAS PLUVIAIS, CLASSE PA-3, COM ENCAIXE PONTA E BOLSA, DIAMETRO NOMINAL DE 1000 MM</t>
  </si>
  <si>
    <t>TUBO DE CONCRETO ARMADO PARA AGUAS PLUVIAIS, CLASSE PA-3, COM ENCAIXE PONTA E BOLSA, DIAMETRO NOMINAL DE 1100 MM</t>
  </si>
  <si>
    <t>TUBO DE CONCRETO ARMADO PARA AGUAS PLUVIAIS, CLASSE PA-3, COM ENCAIXE PONTA E BOLSA, DIAMETRO NOMINAL DE 1200 MM</t>
  </si>
  <si>
    <t>TUBO DE CONCRETO ARMADO PARA AGUAS PLUVIAIS, CLASSE PA-3, COM ENCAIXE PONTA E BOLSA, DIAMETRO NOMINAL DE 1500 MM</t>
  </si>
  <si>
    <t>TUBO DE CONCRETO ARMADO PARA AGUAS PLUVIAIS, CLASSE PA-3, COM ENCAIXE PONTA E BOLSA, DIAMETRO NOMINAL DE 400 MM</t>
  </si>
  <si>
    <t>TUBO DE CONCRETO ARMADO PARA AGUAS PLUVIAIS, CLASSE PA-3, COM ENCAIXE PONTA E BOLSA, DIAMETRO NOMINAL DE 500 MM</t>
  </si>
  <si>
    <t>TUBO DE CONCRETO ARMADO PARA AGUAS PLUVIAIS, CLASSE PA-3, COM ENCAIXE PONTA E BOLSA, DIAMETRO NOMINAL DE 600 MM</t>
  </si>
  <si>
    <t>TUBO DE CONCRETO ARMADO PARA AGUAS PLUVIAIS, CLASSE PA-3, COM ENCAIXE PONTA E BOLSA, DIAMETRO NOMINAL DE 700 MM</t>
  </si>
  <si>
    <t>TUBO DE CONCRETO ARMADO PARA AGUAS PLUVIAIS, CLASSE PA-3, COM ENCAIXE PONTA E BOLSA, DIAMETRO NOMINAL DE 800 MM</t>
  </si>
  <si>
    <t>TUBO DE CONCRETO ARMADO PARA AGUAS PLUVIAIS, CLASSE PA-3, COM ENCAIXE PONTA E BOLSA, DIAMETRO NOMINAL DE 900 MM</t>
  </si>
  <si>
    <t>TUBO DE CONCRETO ARMADO PARA ESGOTO SANITARIO, CLASSE EA-2, COM ENCAIXE PONTA E BOLSA, COM JUNTA ELASTICA, DIAMETRO NOMINAL DE 1000 MM</t>
  </si>
  <si>
    <t>TUBO DE CONCRETO ARMADO PARA ESGOTO SANITARIO, CLASSE EA-2, COM ENCAIXE PONTA E BOLSA, COM JUNTA ELASTICA, DIAMETRO NOMINAL DE 300 MM</t>
  </si>
  <si>
    <t>TUBO DE CONCRETO ARMADO PARA ESGOTO SANITARIO, CLASSE EA-2, COM ENCAIXE PONTA E BOLSA, COM JUNTA ELASTICA, DIAMETRO NOMINAL DE 400 MM</t>
  </si>
  <si>
    <t>TUBO DE CONCRETO ARMADO PARA ESGOTO SANITARIO, CLASSE EA-2, COM ENCAIXE PONTA E BOLSA, COM JUNTA ELASTICA, DIAMETRO NOMINAL DE 500 MM</t>
  </si>
  <si>
    <t>TUBO DE CONCRETO ARMADO PARA ESGOTO SANITARIO, CLASSE EA-2, COM ENCAIXE PONTA E BOLSA, COM JUNTA ELASTICA, DIAMETRO NOMINAL DE 600 MM</t>
  </si>
  <si>
    <t>TUBO DE CONCRETO ARMADO PARA ESGOTO SANITARIO, CLASSE EA-2, COM ENCAIXE PONTA E BOLSA, COM JUNTA ELASTICA, DIAMETRO NOMINAL DE 700 MM</t>
  </si>
  <si>
    <t>TUBO DE CONCRETO ARMADO PARA ESGOTO SANITARIO, CLASSE EA-2, COM ENCAIXE PONTA E BOLSA, COM JUNTA ELASTICA, DIAMETRO NOMINAL DE 800 MM</t>
  </si>
  <si>
    <t>TUBO DE CONCRETO ARMADO PARA ESGOTO SANITARIO, CLASSE EA-2, COM ENCAIXE PONTA E BOLSA, COM JUNTA ELASTICA, DIAMETRO NOMINAL DE 900 MM</t>
  </si>
  <si>
    <t>TUBO DE CONCRETO ARMADO PARA ESGOTO SANITARIO, CLASSE EA-3, COM ENCAIXE PONTA E BOLSA, COM JUNTA ELASTICA, DIAMETRO NOMINAL DE 1000 MM</t>
  </si>
  <si>
    <t>TUBO DE CONCRETO ARMADO PARA ESGOTO SANITARIO, CLASSE EA-3, COM ENCAIXE PONTA E BOLSA, COM JUNTA ELASTICA, DIAMETRO NOMINAL DE 400 MM</t>
  </si>
  <si>
    <t>TUBO DE CONCRETO ARMADO PARA ESGOTO SANITARIO, CLASSE EA-3, COM ENCAIXE PONTA E BOLSA, COM JUNTA ELASTICA, DIAMETRO NOMINAL DE 500 MM</t>
  </si>
  <si>
    <t>TUBO DE CONCRETO ARMADO PARA ESGOTO SANITARIO, CLASSE EA-3, COM ENCAIXE PONTA E BOLSA, COM JUNTA ELASTICA, DIAMETRO NOMINAL DE 600 MM</t>
  </si>
  <si>
    <t>TUBO DE CONCRETO ARMADO PARA ESGOTO SANITARIO, CLASSE EA-3, COM ENCAIXE PONTA E BOLSA, COM JUNTA ELASTICA, DIAMETRO NOMINAL DE 700 MM</t>
  </si>
  <si>
    <t>TUBO DE CONCRETO ARMADO PARA ESGOTO SANITARIO, CLASSE EA-3, COM ENCAIXE PONTA E BOLSA, COM JUNTA ELASTICA, DIAMETRO NOMINAL DE 800 MM</t>
  </si>
  <si>
    <t>TUBO DE CONCRETO ARMADO PARA ESGOTO SANITARIO, CLASSE EA-3, COM ENCAIXE PONTA E BOLSA, COM JUNTA ELASTICA, DIAMETRO NOMINAL DE 900 MM</t>
  </si>
  <si>
    <t>TUBO DE CONCRETO ARMADO, PRE MOLDADO PARA AGUAS PLUVIAIS, CLASSE PA-1, COM ENCAIXE PONTA E BOLSA, DIAMETRO NOMINAL DE 500 MM</t>
  </si>
  <si>
    <t>TUBO DE CONCRETO SIMPLES PARA AGUAS PLUVIAIS, CLASSE PS1, COM ENCAIXE MACHO E FEMEA, DIAMETRO NOMINAL DE 200 MM</t>
  </si>
  <si>
    <t>TUBO DE CONCRETO SIMPLES PARA AGUAS PLUVIAIS, CLASSE PS1, COM ENCAIXE MACHO E FEMEA, DIAMETRO NOMINAL DE 300 MM</t>
  </si>
  <si>
    <t>TUBO DE CONCRETO SIMPLES PARA AGUAS PLUVIAIS, CLASSE PS1, COM ENCAIXE MACHO E FEMEA, DIAMETRO NOMINAL DE 400 MM</t>
  </si>
  <si>
    <t>TUBO DE CONCRETO SIMPLES PARA AGUAS PLUVIAIS, CLASSE PS1, COM ENCAIXE MACHO E FEMEA, DIAMETRO NOMINAL DE 500 MM</t>
  </si>
  <si>
    <t>TUBO DE CONCRETO SIMPLES PARA AGUAS PLUVIAIS, CLASSE PS1, COM ENCAIXE MACHO E FEMEA, DIAMETRO NOMINAL DE 600 MM</t>
  </si>
  <si>
    <t>TUBO DE CONCRETO SIMPLES PARA AGUAS PLUVIAIS, CLASSE PS1, COM ENCAIXE PONTA E BOLSA, DIAMETRO NOMINAL DE 200 MM</t>
  </si>
  <si>
    <t>TUBO DE CONCRETO SIMPLES PARA AGUAS PLUVIAIS, CLASSE PS1, COM ENCAIXE PONTA E BOLSA, DIAMETRO NOMINAL DE 300 MM</t>
  </si>
  <si>
    <t>TUBO DE CONCRETO SIMPLES PARA AGUAS PLUVIAIS, CLASSE PS1, COM ENCAIXE PONTA E BOLSA, DIAMETRO NOMINAL DE 400 MM</t>
  </si>
  <si>
    <t>TUBO DE CONCRETO SIMPLES PARA AGUAS PLUVIAIS, CLASSE PS1, COM ENCAIXE PONTA E BOLSA, DIAMETRO NOMINAL DE 500 MM</t>
  </si>
  <si>
    <t>TUBO DE CONCRETO SIMPLES PARA AGUAS PLUVIAIS, CLASSE PS1, COM ENCAIXE PONTA E BOLSA, DIAMETRO NOMINAL DE 600 MM</t>
  </si>
  <si>
    <t>TUBO DE CONCRETO SIMPLES PARA AGUAS PLUVIAIS, CLASSE PS2, COM ENCAIXE PONTA E BOLSA, DIAMETRO NOMINAL DE 200 MM</t>
  </si>
  <si>
    <t>TUBO DE CONCRETO SIMPLES PARA AGUAS PLUVIAIS, CLASSE PS2, COM ENCAIXE PONTA E BOLSA, DIAMETRO NOMINAL DE 300 MM</t>
  </si>
  <si>
    <t>TUBO DE CONCRETO SIMPLES PARA AGUAS PLUVIAIS, CLASSE PS2, COM ENCAIXE PONTA E BOLSA, DIAMETRO NOMINAL DE 400 MM</t>
  </si>
  <si>
    <t>TUBO DE CONCRETO SIMPLES PARA AGUAS PLUVIAIS, CLASSE PS2, COM ENCAIXE PONTA E BOLSA, DIAMETRO NOMINAL DE 500 MM</t>
  </si>
  <si>
    <t>TUBO DE CONCRETO SIMPLES PARA AGUAS PLUVIAIS, CLASSE PS2, COM ENCAIXE PONTA E BOLSA, DIAMETRO NOMINAL DE 600 MM</t>
  </si>
  <si>
    <t>TUBO DE CONCRETO SIMPLES PARA ESGOTO SANITARIO, CLASSE ES, COM ENCAIXE PONTA E BOLSA, COM JUNTA ELASTICA, DIAMETRO NOMINAL DE 400 MM</t>
  </si>
  <si>
    <t>TUBO DE CONCRETO SIMPLES PARA ESGOTO SANITARIO, CLASSE ES, COM ENCAIXE PONTA E BOLSA, COM JUNTA ELASTICA, DIAMETRO NOMINAL DE 500 MM</t>
  </si>
  <si>
    <t>TUBO DE CONCRETO SIMPLES PARA ESGOTO SANITARIO, CLASSE ES, COM ENCAIXE PONTA E BOLSA, COM JUNTA ELASTICA, DIAMETRO NOMINAL DE 600 MM</t>
  </si>
  <si>
    <t>TUBO DE CONCRETO SIMPLES POROSO PARA DRENAGEM (DRENO POROSO), COM ENCAIXE MACHO E FEMEA, DIAMETRO NOMINAL DE 200 MM</t>
  </si>
  <si>
    <t>TUBO DE CONCRETO SIMPLES POROSO PARA DRENAGEM (DRENO POROSO), COM ENCAIXE MACHO E FEMEA, DIAMETRO NOMINAL DE 300 MM</t>
  </si>
  <si>
    <t>TUBO DE DESCARGA, TIPO BENGALA, PARA LIGACAO CAIXA DE DESCARGA - EMBUTIR, PVC, 40 MM X 150 CM</t>
  </si>
  <si>
    <t>TUBO DE DESCIDA EXTERNO, DE PVC, PARA CAIXA DE DESCARGA EXTERNA ALTA - DIAMETRO DE 40 MM E ALTURA DE APROXIMADAMENTE 1,55 M</t>
  </si>
  <si>
    <t>TUBO DE ESPUMA DE POLIETILENO EXPANDIDO FLEXIVEL PARA ISOLAMENTO TERMICO DE TUBULACAO DE AR CONDICIONADO, AGUA QUENTE, DN 1 1/2", E= 10 MM</t>
  </si>
  <si>
    <t>TUBO DE ESPUMA DE POLIETILENO EXPANDIDO FLEXIVEL PARA ISOLAMENTO TERMICO DE TUBULACAO DE AR CONDICIONADO, AGUA QUENTE, DN 1 1/4", E= 10 MM</t>
  </si>
  <si>
    <t>TUBO DE ESPUMA DE POLIETILENO EXPANDIDO FLEXIVEL PARA ISOLAMENTO TERMICO DE TUBULACAO DE AR CONDICIONADO, AGUA QUENTE, DN 1 1/8", E= 10 MM</t>
  </si>
  <si>
    <t>TUBO DE ESPUMA DE POLIETILENO EXPANDIDO FLEXIVEL PARA ISOLAMENTO TERMICO DE TUBULACAO DE AR CONDICIONADO, AGUA QUENTE, DN 1 3/8", E= 10 MM</t>
  </si>
  <si>
    <t>TUBO DE ESPUMA DE POLIETILENO EXPANDIDO FLEXIVEL PARA ISOLAMENTO TERMICO DE TUBULACAO DE AR CONDICIONADO, AGUA QUENTE, DN 1 5/8", E= 10 MM</t>
  </si>
  <si>
    <t>TUBO DE ESPUMA DE POLIETILENO EXPANDIDO FLEXIVEL PARA ISOLAMENTO TERMICO DE TUBULACAO DE AR CONDICIONADO, AGUA QUENTE, DN 1", E= 10 MM</t>
  </si>
  <si>
    <t>TUBO DE ESPUMA DE POLIETILENO EXPANDIDO FLEXIVEL PARA ISOLAMENTO TERMICO DE TUBULACAO DE AR CONDICIONADO, AGUA QUENTE, DN 1/2", E= 10 MM</t>
  </si>
  <si>
    <t>TUBO DE ESPUMA DE POLIETILENO EXPANDIDO FLEXIVEL PARA ISOLAMENTO TERMICO DE TUBULACAO DE AR CONDICIONADO, AGUA QUENTE, DN 1/4", E= 10 MM</t>
  </si>
  <si>
    <t>TUBO DE ESPUMA DE POLIETILENO EXPANDIDO FLEXIVEL PARA ISOLAMENTO TERMICO DE TUBULACAO DE AR CONDICIONADO, AGUA QUENTE, DN 3/4", E= 10 MM</t>
  </si>
  <si>
    <t>TUBO DE ESPUMA DE POLIETILENO EXPANDIDO FLEXIVEL PARA ISOLAMENTO TERMICO DE TUBULACAO DE AR CONDICIONADO, AGUA QUENTE, DN 3/8", E= 10 MM</t>
  </si>
  <si>
    <t>TUBO DE ESPUMA DE POLIETILENO EXPANDIDO FLEXIVEL PARA ISOLAMENTO TERMICO DE TUBULACAO DE AR CONDICIONADO, AGUA QUENTE, DN 7/8", E= 10 MM</t>
  </si>
  <si>
    <t>TUBO DE POLIETILENO DE ALTA DENSIDADE (PEAD), PE-80, DE = 20 MM X 2,3 MM DE PAREDE, PARA LIGACAO DE AGUA PREDIAL (NBR 15561)</t>
  </si>
  <si>
    <t>TUBO DE POLIETILENO DE ALTA DENSIDADE (PEAD), PE-80, DE = 32 MM X 3,0 MM DE PAREDE, PARA LIGACAO DE AGUA PREDIAL (NBR 15561)</t>
  </si>
  <si>
    <t>TUBO DE POLIETILENO DE ALTA DENSIDADE, PEAD, PE-80, DE = 1000 MM X 38,5 MM PAREDE, (SDR 26 - PN 05) PARA REDE DE AGUA OU ESGOTO (NBR 15561)</t>
  </si>
  <si>
    <t>TUBO DE POLIETILENO DE ALTA DENSIDADE, PEAD, PE-80, DE = 110 MM X 10,0 MM PAREDE, (SDR 11 - PN 12,5) PARA REDE DE AGUA OU ESGOTO (NBR 15561)</t>
  </si>
  <si>
    <t>TUBO DE POLIETILENO DE ALTA DENSIDADE, PEAD, PE-80, DE = 160 MM X 14,6 MM PAREDE, (SDR 11 - PN 12,5) PARA REDE DE AGUA OU ESGOTO (NBR 15561)</t>
  </si>
  <si>
    <t>TUBO DE POLIETILENO DE ALTA DENSIDADE, PEAD, PE-80, DE = 900 MM X 34,7 MM PAREDE, (SDR 26 - PN 05) PARA REDE DE AGUA OU ESGOTO (NBR 15561)</t>
  </si>
  <si>
    <t>TUBO DE POLIETILENO DE ALTA DENSIDADE, PEAD, PE-80, DE= 200 MM X 18,2 MM PAREDE, (SDR 11 - PN 12,5) PARA REDE DE AGUA OU ESGOTO (NBR 15561)</t>
  </si>
  <si>
    <t>TUBO DE POLIETILENO DE ALTA DENSIDADE, PEAD, PE-80, DE= 315 MM X 28,7 MM PAREDE, (SDR 11 - PN 12,5) PARA REDE DE AGUA OU ESGOTO (NBR 15561)</t>
  </si>
  <si>
    <t>TUBO DE POLIETILENO DE ALTA DENSIDADE, PEAD, PE-80, DE= 400 MM X 36,4 MM PAREDE, (SDR 11 - PN 12,5) PARA REDE DE AGUA OU ESGOTO (NBR 15561)</t>
  </si>
  <si>
    <t>TUBO DE POLIETILENO DE ALTA DENSIDADE, PEAD, PE-80, DE= 500 MM X 45,5 MM PAREDE, (SDR 11 - PN 12,5) PARA REDE DE AGUA OU ESGOTO (NBR 15561)</t>
  </si>
  <si>
    <t>TUBO DE POLIETILENO DE ALTA DENSIDADE, PEAD, PE-80, DE= 630 MM X 57,3 MM PAREDE (SDR 11 - PN 12,5) PARA REDE DE AGUA OU ESGOTO (NBR 15561)</t>
  </si>
  <si>
    <t>TUBO DE POLIETILENO DE ALTA DENSIDADE, PEAD, PE-80, DE= 730 MM X 34,1 MM PAREDE, (SDR 21 - PN 06) PARA REDE DE AGUA OU ESGOTO (NBR 15561)</t>
  </si>
  <si>
    <t>TUBO DE POLIETILENO DE ALTA DENSIDADE, PEAD, PE-80, DE= 75 MM X 6,9 MM PAREDE, (SRD 11 - PN 12,5) PARA REDE DE AGUA OU ESGOTO (NBR 15561)</t>
  </si>
  <si>
    <t>TUBO DE POLIETILENO DE ALTA DENSIDADE, PEAD, PE-80, DE= 800 MM X 30,8 MM PAREDE, (SDR 26 - PN 05) PARA REDE DE AGUA OU ESGOTO (NBR 15561)</t>
  </si>
  <si>
    <t>TUBO DE PVC, PBL, TIPO LEVE, DN = 250 MM, PARA VENTILACAO</t>
  </si>
  <si>
    <t>TUBO DE PVC, PBL, TIPO LEVE, DN = 300 MM, PARA VENTILACAO</t>
  </si>
  <si>
    <t>TUBO DE REVESTIMENTO, EM ACO, CORPO SCHEDULE 40, PONTEIRA SCHEDULE 80, ROSQUEAVEL E SEGMENTADO PARA PERFURACAO, DIAMETRO 10" (273 MM)</t>
  </si>
  <si>
    <t>TUBO DE REVESTIMENTO, EM ACO, CORPO SCHEDULE 40, PONTEIRA SCHEDULE 80, ROSQUEAVEL E SEGMENTADO PARA PERFURACAO, DIAMETRO 12" (320 MM)</t>
  </si>
  <si>
    <t>TUBO DE REVESTIMENTO, EM ACO, CORPO SCHEDULE 40, PONTEIRA SCHEDULE 80, ROSQUEAVEL E SEGMENTADO PARA PERFURACAO, DIAMETRO 14" (400 MM)</t>
  </si>
  <si>
    <t>TUBO DE REVESTIMENTO, EM ACO, CORPO SCHEDULE 40, PONTEIRA SCHEDULE 80, ROSQUEAVEL E SEGMENTADO PARA PERFURACAO, DIAMETRO 16" (450 MM)</t>
  </si>
  <si>
    <t>TUBO DE REVESTIMENTO, EM ACO, CORPO SCHEDULE 40, PONTEIRA SCHEDULE 80, ROSQUEAVEL E SEGMENTADO PARA PERFURACAO, DIAMETRO 4" (450 MM)</t>
  </si>
  <si>
    <t>TUBO DE REVESTIMENTO, EM ACO, CORPO SCHEDULE 40, PONTEIRA SCHEDULE 80, ROSQUEAVEL E SEGMENTADO PARA PERFURACAO, DIAMETRO 6" (200 MM)</t>
  </si>
  <si>
    <t>TUBO DE REVESTIMENTO, EM ACO, CORPO SCHEDULE 40, PONTEIRA SCHEDULE 80, ROSQUEAVEL E SEGMENTADO PARA PERFURACAO, DIAMETRO 8" (200 MM)</t>
  </si>
  <si>
    <t>TUBO DRENO, CORRUGADO, ESPIRALADO, FLEXIVEL, PERFURADO, EM POLIETILENO DE ALTA DENSIDADE (PEAD), DN *160* MM, (6") PARA DRENAGEM - EM BARRA (NORMA DNIT 093/2006 - EM)</t>
  </si>
  <si>
    <t>TUBO DRENO, CORRUGADO, ESPIRALADO, FLEXIVEL, PERFURADO, EM POLIETILENO DE ALTA DENSIDADE (PEAD), DN *200* MM, (8") PARA DRENAGEM - EM BARRA (NORMA DNIT 093/2006 - EM)</t>
  </si>
  <si>
    <t>TUBO DRENO, CORRUGADO, ESPIRALADO, FLEXIVEL, PERFURADO, EM POLIETILENO DE ALTA DENSIDADE (PEAD), DN 100 MM, (4") PARA DRENAGEM - EM ROLO (NORMA DNIT 093/2006 - E.M)</t>
  </si>
  <si>
    <t>TUBO DRENO, CORRUGADO, ESPIRALADO, FLEXIVEL, PERFURADO, EM POLIETILENO DE ALTA DENSIDADE (PEAD), DN 65 MM, (2 1/2") PARA DRENAGEM - EM ROLO (NORMA DNIT 093/2006 - EM)</t>
  </si>
  <si>
    <t>TUBO MONOCAMADA PEX, DN 16 MM, PARA AGUA QUENTE E FRIA</t>
  </si>
  <si>
    <t>TUBO MONOCAMADA PEX, DN 20 MM, PARA AGUA QUENTE E FRIA</t>
  </si>
  <si>
    <t>TUBO MONOCAMADA PEX, DN 25 MM, PARA AGUA QUENTE E FRIA</t>
  </si>
  <si>
    <t>TUBO MONOCAMADA PEX, DN 32 MM, PARA AGUA QUENTE E FRIA</t>
  </si>
  <si>
    <t>TUBO MULTICAMADA PEX GAS, DN *16* MM</t>
  </si>
  <si>
    <t>TUBO MULTICAMADA PEX GAS, DN *20* MM</t>
  </si>
  <si>
    <t>TUBO MULTICAMADA PEX GAS, DN *26* MM</t>
  </si>
  <si>
    <t>TUBO MULTICAMADA PEX GAS, DN *32* MM</t>
  </si>
  <si>
    <t>TUBO PPR PN 20, DN 20 MM, PARA AGUA QUENTE PREDIAL</t>
  </si>
  <si>
    <t>TUBO PPR PN 20, DN 25 MM, PARA AGUA QUENTE PREDIAL</t>
  </si>
  <si>
    <t>TUBO PPR, CLASSE PN 12, DN 110 MM</t>
  </si>
  <si>
    <t>TUBO PPR, CLASSE PN 12, DN 32 MM</t>
  </si>
  <si>
    <t>TUBO PPR, CLASSE PN 12, DN 40 MM</t>
  </si>
  <si>
    <t>TUBO PPR, CLASSE PN 12, DN 50 MM</t>
  </si>
  <si>
    <t>TUBO PPR, CLASSE PN 12, DN 63 MM</t>
  </si>
  <si>
    <t>TUBO PPR, CLASSE PN 12, DN 75 MM</t>
  </si>
  <si>
    <t>TUBO PPR, CLASSE PN 12, DN 90 MM</t>
  </si>
  <si>
    <t>TUBO PPR, CLASSE PN 20, SOLDAVEL, DN 32 MM PARA AGUA FRIA OU QUENTE PREDIAL</t>
  </si>
  <si>
    <t>TUBO PPR, CLASSE PN 25, DN 110 MM, PARA AGUA QUENTE E FRIA PREDIAL</t>
  </si>
  <si>
    <t>TUBO PPR, CLASSE PN 25, DN 20 MM, PARA AGUA QUENTE E FRIA PREDIAL</t>
  </si>
  <si>
    <t>TUBO PPR, CLASSE PN 25, DN 25 MM, PARA AGUA QUENTE E FRIA PREDIAL</t>
  </si>
  <si>
    <t>TUBO PPR, CLASSE PN 25, DN 32 MM, PARA AGUA QUENTE E FRIA PREDIAL</t>
  </si>
  <si>
    <t>TUBO PPR, CLASSE PN 25, DN 40 MM, PARA AGUA QUENTE E FRIA PREDIAL</t>
  </si>
  <si>
    <t>TUBO PPR, CLASSE PN 25, DN 50 MM, PARA AGUA QUENTE E FRIA PREDIAL</t>
  </si>
  <si>
    <t>TUBO PPR, CLASSE PN 25, DN 63 MM, PARA AGUA QUENTE E FRIA PREDIAL</t>
  </si>
  <si>
    <t>TUBO PPR, CLASSE PN 25, DN 75 MM, PARA AGUA QUENTE E FRIA PREDIAL</t>
  </si>
  <si>
    <t>TUBO PPR, CLASSE PN 25, DN 90 MM, PARA AGUA QUENTE E FRIA PREDIAL</t>
  </si>
  <si>
    <t>TUBO PVC CORRUGADO, PAREDE DUPLA, JE, DN 150 MM/ DE 160 MM, REDE COLETORA ESGOTO</t>
  </si>
  <si>
    <t>TUBO PVC CORRUGADO, PAREDE DUPLA, JE, DN 200 MM/ DE 200 MM, REDE COLETORA ESGOTO</t>
  </si>
  <si>
    <t>TUBO PVC CORRUGADO, PAREDE DUPLA, JE, DN 250 MM/ DE 250 MM, REDE COLETORA ESGOTO</t>
  </si>
  <si>
    <t>TUBO PVC CORRUGADO, PAREDE DUPLA, JE, DN 300 MM/ DE 315 MM, REDE COLETORA ESGOTO</t>
  </si>
  <si>
    <t>TUBO PVC CORRUGADO, PAREDE DUPLA, JE, DN 350 MM/ DE 355 MM, REDE COLETORA ESGOTO</t>
  </si>
  <si>
    <t>TUBO PVC CORRUGADO, PAREDE DUPLA, JE, DN 400 MM/ DE 400 MM, REDE COLETORA ESGOTO</t>
  </si>
  <si>
    <t>TUBO PVC DE REVESTIMENTO GEOMECANICO NERVURADO REFORCADO, DN = 150 MM, COMPRIMENTO = 2 M</t>
  </si>
  <si>
    <t>TUBO PVC DE REVESTIMENTO GEOMECANICO NERVURADO REFORCADO, DN = 200 MM, COMPRIMENTO = 2 M</t>
  </si>
  <si>
    <t>TUBO PVC DE REVESTIMENTO GEOMECANICO NERVURADO STANDARD, DN = 154 MM, COMPRIMENTO = 2 M</t>
  </si>
  <si>
    <t>TUBO PVC DE REVESTIMENTO GEOMECANICO NERVURADO STANDARD, DN = 206 MM, COMPRIMENTO = 2 M</t>
  </si>
  <si>
    <t>TUBO PVC DEFOFO, JEI, 1 MPA, DN 100 MM, PARA REDE DE AGUA (NBR 7665)</t>
  </si>
  <si>
    <t>TUBO PVC DEFOFO, JEI, 1 MPA, DN 150 MM, PARA REDE DE AGUA (NBR 7665)</t>
  </si>
  <si>
    <t>TUBO PVC DEFOFO, JEI, 1 MPA, DN 200 MM, PARA REDE DE AGUA (NBR 7665)</t>
  </si>
  <si>
    <t>TUBO PVC DEFOFO, JEI, 1 MPA, DN 250 MM, PARA REDE DE AGUA (NBR 7665)</t>
  </si>
  <si>
    <t>TUBO PVC DEFOFO, JEI, 1 MPA, DN 300 MM, PARA REDE DE AGUA (NBR 7665)</t>
  </si>
  <si>
    <t>TUBO PVC PBA JEI, CLASSE 12, DN 100 MM, PARA REDE DE AGUA (NBR 5647)</t>
  </si>
  <si>
    <t>TUBO PVC PBA JEI, CLASSE 12, DN 50 MM, PARA REDE DE AGUA (NBR 5647)</t>
  </si>
  <si>
    <t>TUBO PVC PBA JEI, CLASSE 12, DN 75 MM, PARA REDE DE AGUA (NBR 5647)</t>
  </si>
  <si>
    <t>TUBO PVC PBA JEI, CLASSE 15, DN 100 MM, PARA REDE DE AGUA (NBR 5647)</t>
  </si>
  <si>
    <t>TUBO PVC PBA JEI, CLASSE 15, DN 50 MM, PARA REDE DE AGUA (NBR 5647)</t>
  </si>
  <si>
    <t>TUBO PVC PBA JEI, CLASSE 15, DN 75 MM, PARA REDE DE AGUA (NBR 5647)</t>
  </si>
  <si>
    <t>TUBO PVC PBA JEI, CLASSE 20, DN 100 MM, PARA REDE DE AGUA (NBR 5647)</t>
  </si>
  <si>
    <t>TUBO PVC PBA JEI, CLASSE 20, DN 50 MM, PARA REDE DE AGUA (NBR 5647)</t>
  </si>
  <si>
    <t>TUBO PVC PBA JEI, CLASSE 20, DN 75 MM, PARA REDE DE AGUA (NBR 5647)</t>
  </si>
  <si>
    <t>TUBO PVC ROSCAVEL, 3/4", AGUA FRIA PREDIAL</t>
  </si>
  <si>
    <t>TUBO PVC SERIE NORMAL, DN 100 MM, PARA ESGOTO PREDIAL (NBR 5688)</t>
  </si>
  <si>
    <t>TUBO PVC SERIE NORMAL, DN 150 MM, PARA ESGOTO PREDIAL (NBR 5688)</t>
  </si>
  <si>
    <t>TUBO PVC SERIE NORMAL, DN 40 MM, PARA ESGOTO PREDIAL (NBR 5688)</t>
  </si>
  <si>
    <t>TUBO PVC SERIE NORMAL, DN 50 MM, PARA ESGOTO PREDIAL (NBR 5688)</t>
  </si>
  <si>
    <t>TUBO PVC SERIE NORMAL, DN 75 MM, PARA ESGOTO PREDIAL (NBR 5688)</t>
  </si>
  <si>
    <t>TUBO PVC, RIGIDO, CORRUGADO, PERFURADO DN 100 MM, PARA DRENAGEM, SISTEMA IRRIGACAO</t>
  </si>
  <si>
    <t>TUBO PVC, ROSCAVEL, 1 1/2", AGUA FRIA PREDIAL</t>
  </si>
  <si>
    <t>TUBO PVC, ROSCAVEL, 1 1/4", AGUA FRIA PREDIAL</t>
  </si>
  <si>
    <t>TUBO PVC, ROSCAVEL, 1", AGUA FRIA PREDIAL</t>
  </si>
  <si>
    <t>TUBO PVC, ROSCAVEL, 1/2", AGUA FRIA PREDIAL</t>
  </si>
  <si>
    <t>TUBO PVC, ROSCAVEL, 2 1/2", AGUA FRIA PREDIAL</t>
  </si>
  <si>
    <t>TUBO PVC, ROSCAVEL, 2", PARA AGUA FRIA PREDIAL</t>
  </si>
  <si>
    <t>TUBO PVC, SERIE R, DN 100 MM, PARA ESGOTO OU AGUAS PLUVIAIS PREDIAL (NBR 5688)</t>
  </si>
  <si>
    <t>TUBO PVC, SERIE R, DN 150 MM, PARA ESGOTO OU AGUAS PLUVIAIS PREDIAL (NBR 5688)</t>
  </si>
  <si>
    <t>TUBO PVC, SERIE R, DN 40 MM, PARA ESGOTO OU AGUAS PLUVIAIS PREDIAL (NBR 5688)</t>
  </si>
  <si>
    <t>TUBO PVC, SERIE R, DN 50 MM, PARA ESGOTO OU AGUAS PLUVIAIS PREDIAL (NBR 5688)</t>
  </si>
  <si>
    <t>TUBO PVC, SERIE R, DN 75 MM, PARA ESGOTO OU AGUAS PLUVIAIS PREDIAL (NBR 5688)</t>
  </si>
  <si>
    <t>TUBO PVC, SOLDAVEL, DE 110 MM, AGUA FRIA (NBR-5648)</t>
  </si>
  <si>
    <t>TUBO PVC, SOLDAVEL, DE 20 MM, AGUA FRIA (NBR-5648)</t>
  </si>
  <si>
    <t>TUBO PVC, SOLDAVEL, DE 25 MM, AGUA FRIA (NBR-5648)</t>
  </si>
  <si>
    <t>TUBO PVC, SOLDAVEL, DE 32 MM, AGUA FRIA (NBR-5648)</t>
  </si>
  <si>
    <t>TUBO PVC, SOLDAVEL, DE 40 MM, AGUA FRIA (NBR-5648)</t>
  </si>
  <si>
    <t>TUBO PVC, SOLDAVEL, DE 50 MM, AGUA FRIA (NBR-5648)</t>
  </si>
  <si>
    <t>TUBO PVC, SOLDAVEL, DE 60 MM, AGUA FRIA (NBR-5648)</t>
  </si>
  <si>
    <t>TUBO PVC, SOLDAVEL, DE 75 MM, AGUA FRIA (NBR-5648)</t>
  </si>
  <si>
    <t>TUBO PVC, SOLDAVEL, DE 85 MM, AGUA FRIA (NBR-5648)</t>
  </si>
  <si>
    <t>UNIAO COM ASSENTO CONICO DE BRONZE, DIAMETRO 1"</t>
  </si>
  <si>
    <t>UNIAO COM ASSENTO CONICO DE BRONZE, DIAMETRO 1/2"</t>
  </si>
  <si>
    <t>UNIAO COM ASSENTO CONICO DE BRONZE, DIAMETRO 2 1/2"</t>
  </si>
  <si>
    <t>UNIAO COM ASSENTO CONICO DE BRONZE, DIAMETRO 2"</t>
  </si>
  <si>
    <t>UNIAO COM ASSENTO CONICO DE BRONZE, DIAMETRO 3"</t>
  </si>
  <si>
    <t>UNIAO COM ASSENTO CONICO DE BRONZE, DIAMETRO 3/4"</t>
  </si>
  <si>
    <t>UNIAO COM ASSENTO CONICO DE BRONZE, DIAMETRO 4"</t>
  </si>
  <si>
    <t>UNIAO COM ASSENTO CONICO DE FERRO LONGO (MACHO-FEMEA), DIAMETRO 1 1/2"</t>
  </si>
  <si>
    <t>UNIAO COM ASSENTO CONICO DE FERRO LONGO (MACHO-FEMEA), DIAMETRO 1"</t>
  </si>
  <si>
    <t>UNIAO COM ASSENTO CONICO DE FERRO LONGO (MACHO-FEMEA), DIAMETRO 1/2"</t>
  </si>
  <si>
    <t>UNIAO COM ASSENTO CONICO DE FERRO LONGO (MACHO-FEMEA), DIAMETRO 2 1/2"</t>
  </si>
  <si>
    <t>UNIAO COM ASSENTO CONICO DE FERRO LONGO (MACHO-FEMEA), DIAMETRO 2"</t>
  </si>
  <si>
    <t>UNIAO COM ASSENTO CONICO DE FERRO LONGO (MACHO-FEMEA), DIAMETRO 3"</t>
  </si>
  <si>
    <t>UNIAO COM ASSENTO CONICO DE FERRO LONGO (MACHO-FEMEA), DIAMETRO 3/4"</t>
  </si>
  <si>
    <t>UNIAO COM ASSENTO CONICO DE FERRO LONGO (MACHO-FEMEA), DIAMETRO 4"</t>
  </si>
  <si>
    <t>UNIAO COM FLANGE PPR, COM PARAFUSOS, DN 40 MM, PARA AGUA QUENTE PREDIAL</t>
  </si>
  <si>
    <t>UNIAO DE FERRO GALVANIZADO, COM ASSENTO CONICO DE BRONZE, DE 1 1/2"</t>
  </si>
  <si>
    <t>UNIAO DE FERRO GALVANIZADO, COM ASSENTO CONICO DE BRONZE, DE 1 1/4"</t>
  </si>
  <si>
    <t>UNIAO DE FERRO GALVANIZADO, COM ROSCA BSP, COM ASSENTO PLANO, DE 1 1/2"</t>
  </si>
  <si>
    <t>UNIAO DE FERRO GALVANIZADO, COM ROSCA BSP, COM ASSENTO PLANO, DE 1 1/4"</t>
  </si>
  <si>
    <t>UNIAO DE FERRO GALVANIZADO, COM ROSCA BSP, COM ASSENTO PLANO, DE 1"</t>
  </si>
  <si>
    <t>UNIAO DE FERRO GALVANIZADO, COM ROSCA BSP, COM ASSENTO PLANO, DE 1/2"</t>
  </si>
  <si>
    <t>UNIAO DE FERRO GALVANIZADO, COM ROSCA BSP, COM ASSENTO PLANO, DE 2 1/2"</t>
  </si>
  <si>
    <t>UNIAO DE FERRO GALVANIZADO, COM ROSCA BSP, COM ASSENTO PLANO, DE 2"</t>
  </si>
  <si>
    <t>UNIAO DE FERRO GALVANIZADO, COM ROSCA BSP, COM ASSENTO PLANO, DE 3"</t>
  </si>
  <si>
    <t>UNIAO DE FERRO GALVANIZADO, COM ROSCA BSP, COM ASSENTO PLANO, DE 3/4"</t>
  </si>
  <si>
    <t>UNIAO DE FERRO GALVANIZADO, COM ROSCA BSP, COM ASSENTO PLANO, DE 4"</t>
  </si>
  <si>
    <t>UNIAO DUPLA PPR DN 25 MM, PARA AGUA QUENTE PREDIAL</t>
  </si>
  <si>
    <t>UNIAO DUPLA PPR, DN 20 MM, PARA AGUA QUENTE PREDIAL</t>
  </si>
  <si>
    <t>UNIAO EM POLIPROPILENO (PP), PARA TUBO EM PEAD, 20 MM - LIGACAO PREDIAL DE AGUA</t>
  </si>
  <si>
    <t>UNIAO EM POLIPROPILENO (PP), PARA TUBO EM PEAD, 32 MM - LIGACAO PREDIAL DE AGUA</t>
  </si>
  <si>
    <t>UNIAO PVC, ROSCAVEL 1/2", AGUA FRIA PREDIAL</t>
  </si>
  <si>
    <t>UNIAO PVC, ROSCAVEL, 1 1/2", AGUA FRIA PREDIAL</t>
  </si>
  <si>
    <t>UNIAO PVC, ROSCAVEL, 1", AGUA FRIA PREDIAL</t>
  </si>
  <si>
    <t>UNIAO PVC, ROSCAVEL, 3/4", AGUA FRIA PREDIAL</t>
  </si>
  <si>
    <t>UNIAO PVC, SOLDAVEL, 110 MM, PARA AGUA FRIA PREDIAL</t>
  </si>
  <si>
    <t>UNIAO PVC, SOLDAVEL, 20 MM, PARA AGUA FRIA PREDIAL</t>
  </si>
  <si>
    <t>UNIAO PVC, SOLDAVEL, 25 MM, PARA AGUA FRIA PREDIAL</t>
  </si>
  <si>
    <t>UNIAO PVC, SOLDAVEL, 32 MM, PARA AGUA FRIA PREDIAL</t>
  </si>
  <si>
    <t>UNIAO PVC, SOLDAVEL, 40 MM, PARA AGUA FRIA PREDIAL</t>
  </si>
  <si>
    <t>UNIAO PVC, SOLDAVEL, 50 MM, PARA AGUA FRIA PREDIAL</t>
  </si>
  <si>
    <t>UNIAO PVC, SOLDAVEL, 60 MM, PARA AGUA FRIA PREDIAL</t>
  </si>
  <si>
    <t>UNIAO PVC, SOLDAVEL, 75 MM, PARA AGUA FRIA PREDIAL</t>
  </si>
  <si>
    <t>UNIAO PVC, SOLDAVEL, 85 MM, PARA AGUA FRIA PREDIAL</t>
  </si>
  <si>
    <t>UNIAO TIPO STORZ, COM EMPATACAO INTERNA TIPO ANEL DE EXPANSAO, ENGATE RAPIDO 1 1/2", PARA MANGUEIRA DE COMBATE A INCENDIO PREDIAL</t>
  </si>
  <si>
    <t>UNIAO TIPO STORZ, COM EMPATACAO INTERNA TIPO ANEL DE EXPANSAO, ENGATE RAPIDO 2 1/2", PARA MANGUEIRA DE COMBATE A INCENDIO PREDIAL</t>
  </si>
  <si>
    <t>UNIAO, CPVC, SOLDAVEL, 15 MM, PARA AGUA QUENTE PREDIAL</t>
  </si>
  <si>
    <t>UNIAO, CPVC, SOLDAVEL, 22 MM, PARA AGUA QUENTE PREDIAL</t>
  </si>
  <si>
    <t>UNIAO, CPVC, SOLDAVEL, 28 MM, PARA AGUA QUENTE PREDIAL</t>
  </si>
  <si>
    <t>UNIAO, CPVC, SOLDAVEL, 35 MM, PARA AGUA QUENTE PREDIAL</t>
  </si>
  <si>
    <t>UNIAO, CPVC, SOLDAVEL, 42 MM, PARA AGUA QUENTE PREDIAL</t>
  </si>
  <si>
    <t>UNIAO, CPVC, SOLDAVEL, 54 MM, PARA AGUA QUENTE PREDIAL</t>
  </si>
  <si>
    <t>UNIAO, CPVC, SOLDAVEL, 73 MM, PARA AGUA QUENTE PREDIAL</t>
  </si>
  <si>
    <t>UNIAO, CPVC, SOLDAVEL, 89 MM, PARA AGUA QUENTE PREDIAL</t>
  </si>
  <si>
    <t>USINA DE ASFALTO A FRIO, CAPACIDADE DE 30 A 40 T/H, ELETRICA, POTENCIA DE 30 CV</t>
  </si>
  <si>
    <t>USINA DE ASFALTO A FRIO, CAPACIDADE DE 40 A 60 T/H, ELETRICA, POTENCIA DE 30 CV</t>
  </si>
  <si>
    <t>USINA DE ASFALTO A QUENTE, FIXA, TIPO CONTRA FLUXO, CAPACIDADE DE 100 A 140 T/H, POTENCIA DE 280 KW, COM MISTURADOR EXTERNO ROTATIVO</t>
  </si>
  <si>
    <t>USINA DE CONCRETO FIXA, CAPACIDADE NOMINAL DE 40 M3/H, SEM SILO</t>
  </si>
  <si>
    <t>USINA DE CONCRETO FIXA, CAPACIDADE NOMINAL DE 60 M3/H, SEM SILO</t>
  </si>
  <si>
    <t>USINA DE CONCRETO FIXA, CAPACIDADE NOMINAL DE 80 M3/H, SEM SILO</t>
  </si>
  <si>
    <t>USINA DE CONCRETO FIXA, CAPACIDADE NOMINAL DE 90 A 120 M3/H, SEM SILO</t>
  </si>
  <si>
    <t>USINA DE LAMA ASFALTICA, PROD 30 A 50 T/H, SILO DE AGREGADO 7 M3, RESERVATORIOS PARA EMULSAO E AGUA DE 2,3 M3 CADA, MISTURADOR TIPO PUGG-MILL A SER MONTADO SOBRE CAMINHAO</t>
  </si>
  <si>
    <t>USINA DE MISTURAS ASFALTICAS A QUENTE, MOVEL, TIPO CONTRA FLUXO, CAPACIDADE DE 40 A 80 T/H</t>
  </si>
  <si>
    <t>USINA MISTURADORA DE SOLOS, DOSADORES TRIPLOS, CALHA VIBRATORIA CAPACIDADE DE 200 A 500 T/H, POTENCIA DE 75 KW</t>
  </si>
  <si>
    <t>VALVULA DE DESCARGA EM METAL CROMADO PARA MICTORIO COM ACIONAMENTO POR PRESSAO E FECHAMENTO AUTOMATICO</t>
  </si>
  <si>
    <t>VALVULA DE DESCARGA METALICA, BASE 1 1/2" E ACABAMENTO METALICO CROMADO</t>
  </si>
  <si>
    <t>VALVULA DE DESCARGA METALICA, BASE 1 1/4" E ACABAMENTO METALICO CROMADO</t>
  </si>
  <si>
    <t>VALVULA DE ESFERA BRUTA EM BRONZE, BITOLA 1 1/2"</t>
  </si>
  <si>
    <t>VALVULA DE ESFERA BRUTA EM BRONZE, BITOLA 1 1/4"</t>
  </si>
  <si>
    <t>VALVULA DE ESFERA BRUTA EM BRONZE, BITOLA 1"</t>
  </si>
  <si>
    <t>VALVULA DE ESFERA BRUTA EM BRONZE, BITOLA 1/2"</t>
  </si>
  <si>
    <t>VALVULA DE ESFERA BRUTA EM BRONZE, BITOLA 2"</t>
  </si>
  <si>
    <t>VALVULA DE ESFERA BRUTA EM BRONZE, BITOLA 3/4"</t>
  </si>
  <si>
    <t>VALVULA DE RETENCAO DE BRONZE, PE COM CRIVOS, EXTREMIDADE COM ROSCA, DE 1 1/2", PARA FUNDO DE POCO</t>
  </si>
  <si>
    <t>VALVULA DE RETENCAO DE BRONZE, PE COM CRIVOS, EXTREMIDADE COM ROSCA, DE 1 1/4", PARA FUNDO DE POCO</t>
  </si>
  <si>
    <t>VALVULA DE RETENCAO DE BRONZE, PE COM CRIVOS, EXTREMIDADE COM ROSCA, DE 1", PARA FUNDO DE POCO</t>
  </si>
  <si>
    <t>VALVULA DE RETENCAO DE BRONZE, PE COM CRIVOS, EXTREMIDADE COM ROSCA, DE 2 1/2", PARA FUNDO DE POCO</t>
  </si>
  <si>
    <t>VALVULA DE RETENCAO DE BRONZE, PE COM CRIVOS, EXTREMIDADE COM ROSCA, DE 2", PARA FUNDO DE POCO</t>
  </si>
  <si>
    <t>VALVULA DE RETENCAO DE BRONZE, PE COM CRIVOS, EXTREMIDADE COM ROSCA, DE 3", PARA FUNDO DE POCO</t>
  </si>
  <si>
    <t>VALVULA DE RETENCAO DE BRONZE, PE COM CRIVOS, EXTREMIDADE COM ROSCA, DE 3/4", PARA FUNDO DE POCO</t>
  </si>
  <si>
    <t>VALVULA DE RETENCAO DE BRONZE, PE COM CRIVOS, EXTREMIDADE COM ROSCA, DE 4", PARA FUNDO DE POCO</t>
  </si>
  <si>
    <t>VALVULA DE RETENCAO HORIZONTAL, DE BRONZE (PN-25), 1 1/2", 400 PSI, TAMPA DE PORCA DE UNIAO, EXTREMIDADES COM ROSCA</t>
  </si>
  <si>
    <t>VALVULA DE RETENCAO HORIZONTAL, DE BRONZE (PN-25), 1 1/4", 400 PSI, TAMPA DE PORCA DE UNIAO, EXTREMIDADES COM ROSCA</t>
  </si>
  <si>
    <t>VALVULA DE RETENCAO HORIZONTAL, DE BRONZE (PN-25), 1", 400 PSI, TAMPA DE PORCA DE UNIAO, EXTREMIDADES COM ROSCA</t>
  </si>
  <si>
    <t>VALVULA DE RETENCAO HORIZONTAL, DE BRONZE (PN-25), 1/2", 400 PSI, TAMPA DE PORCA DE UNIAO, EXTREMIDADES COM ROSCA</t>
  </si>
  <si>
    <t>VALVULA DE RETENCAO HORIZONTAL, DE BRONZE (PN-25), 2 1/2", 400 PSI, TAMPA DE PORCA DE UNIAO, EXTREMIDADES COM ROSCA</t>
  </si>
  <si>
    <t>VALVULA DE RETENCAO HORIZONTAL, DE BRONZE (PN-25), 2", 400 PSI, TAMPA DE PORCA DE UNIAO, EXTREMIDADES COM ROSCA</t>
  </si>
  <si>
    <t>VALVULA DE RETENCAO HORIZONTAL, DE BRONZE (PN-25), 3", 400 PSI, TAMPA DE PORCA DE UNIAO, EXTREMIDADES COM ROSCA</t>
  </si>
  <si>
    <t>VALVULA DE RETENCAO HORIZONTAL, DE BRONZE (PN-25), 3/4", 400 PSI, TAMPA DE PORCA DE UNIAO, EXTREMIDADES COM ROSCA</t>
  </si>
  <si>
    <t>VALVULA DE RETENCAO HORIZONTAL, DE BRONZE (PN-25), 4", 400 PSI, TAMPA DE PORCA DE UNIAO, EXTREMIDADES COM ROSCA</t>
  </si>
  <si>
    <t>VALVULA DE RETENCAO VERTICAL, DE BRONZE (PN-16), 1 1/2", 200 PSI, EXTREMIDADES COM ROSCA</t>
  </si>
  <si>
    <t>VALVULA DE RETENCAO VERTICAL, DE BRONZE (PN-16), 1 1/4", 200 PSI, EXTREMIDADES COM ROSCA</t>
  </si>
  <si>
    <t>VALVULA DE RETENCAO VERTICAL, DE BRONZE (PN-16), 1", 200 PSI, EXTREMIDADES COM ROSCA</t>
  </si>
  <si>
    <t>VALVULA DE RETENCAO VERTICAL, DE BRONZE (PN-16), 1/2", 200 PSI, EXTREMIDADES COM ROSCA</t>
  </si>
  <si>
    <t>VALVULA DE RETENCAO VERTICAL, DE BRONZE (PN-16), 2 1/2", 200 PSI, EXTREMIDADES COM ROSCA</t>
  </si>
  <si>
    <t>VALVULA DE RETENCAO VERTICAL, DE BRONZE (PN-16), 2", 200 PSI, EXTREMIDADES COM ROSCA</t>
  </si>
  <si>
    <t>VALVULA DE RETENCAO VERTICAL, DE BRONZE (PN-16), 3", 200 PSI, EXTREMIDADES COM ROSCA</t>
  </si>
  <si>
    <t>VALVULA DE RETENCAO VERTICAL, DE BRONZE (PN-16), 3/4", 200 PSI, EXTREMIDADES COM ROSCA</t>
  </si>
  <si>
    <t>VALVULA DE RETENCAO VERTICAL, DE BRONZE (PN-16), 4", 200 PSI, EXTREMIDADES COM ROSCA</t>
  </si>
  <si>
    <t>VALVULA EM METAL CROMADO PARA LAVATORIO, 1" SEM LADRAO</t>
  </si>
  <si>
    <t>VALVULA EM METAL CROMADO PARA PIA AMERICANA 3.1/2 X 1.1/2"</t>
  </si>
  <si>
    <t>VARA FINA PARA CREMONA, EM FERRO ZINCADO BRANCO, COM DIAMETRO DE APROX 10 MM E COMPRIMENTO DE 1,20 M</t>
  </si>
  <si>
    <t>VARA FINA PARA CREMONA, EM FERRO ZINCADO BRANCO, COM DIAMETRO DE APROX 10 MM E COMPRIMENTO DE 1,50 M</t>
  </si>
  <si>
    <t>VARIADOR DE LUMINOSIDADE ROTATIVO (DIMMER) 127 V, 300 W (APENAS MODULO)</t>
  </si>
  <si>
    <t>VARIADOR DE LUMINOSIDADE ROTATIVO (DIMMER) 127V, 300W, CONJUNTO MONTADO PARA EMBUTIR 4" X 2" (PLACA + SUPORTE + MODULO)</t>
  </si>
  <si>
    <t>VARIADOR DE LUMINOSIDADE ROTATIVO (DIMMER) 220 V, 600 W (APENAS MODULO)</t>
  </si>
  <si>
    <t>VARIADOR DE LUMINOSIDADE ROTATIVO (DIMMER) 220V, 600W, CONJUNTO MONTADO PARA EMBUTIR 4" X 2" (PLACA + SUPORTE + MODULO)</t>
  </si>
  <si>
    <t>VARIADOR DE VELOCIDADE PARA VENTILADOR 127 V, 150 W (APENAS MODULO)</t>
  </si>
  <si>
    <t>VARIADOR DE VELOCIDADE PARA VENTILADOR 127V, 150W + 2 INTERRUPTORES PARALELOS, PARA REVERSAO E LAMPADA, CONJUNTO MONTADO PARA EMBUTIR 4" X 2" (PLACA + SUPORTE + MODULOS)</t>
  </si>
  <si>
    <t>VARIADOR DE VELOCIDADE PARA VENTILADOR 220 V, 250 W (APENAS MODULO)</t>
  </si>
  <si>
    <t>VARIADOR DE VELOCIDADE PARA VENTILADOR 220V, 250W + 2 INTERRUPTORES PARALELOS, PARA REVERSAO E LAMPADA, CONJUNTO MONTADO PARA EMBUTIR 4" X 2" (PLACA + SUPORTE + MODULOS)</t>
  </si>
  <si>
    <t>VASSOURA 40 CM COM CABO</t>
  </si>
  <si>
    <t>VASSOURA MECANICA REBOCAVEL COM ESCOVA CILINDRICA LARGURA UTIL DE VARRIMENTO = 2,44M</t>
  </si>
  <si>
    <t>VEDACAO DE CALHA, EM BORRACHA COR PRETA, MEDIDA ENTRE 119 E 170 MM, PARA DRENAGEM PLUVIAL PREDIAL</t>
  </si>
  <si>
    <t>VERGALHAO ZINCADO ROSCA TOTAL, 1/4" (6,3 MM)</t>
  </si>
  <si>
    <t>VERNIZ A BASE RESINA ALQUIDICA COM POLIURETANO PARA MADEIRA, COM FILTRO SOLAR, BRILHANTE, USO INTERNO E EXTERNO</t>
  </si>
  <si>
    <t>VERNIZ MARITIMO PREMIUM PARA MADEIRA, COM FILTRO SOLAR, BRILHANTE, USO INTERNO E EXTERNO</t>
  </si>
  <si>
    <t>VERNIZ TIPO COPAL PARA MADEIRA, BRILHANTE, USO INTERNO</t>
  </si>
  <si>
    <t>VEU DE POLIESTER PARA IMPERMEABILIZACAO</t>
  </si>
  <si>
    <t>VEU DE VIDRO/VEU DE SUPERFICIE 30 A 35 G/M2</t>
  </si>
  <si>
    <t>VIBRADOR DE IMERSAO, COM PONTEIRA DE *35* MM, MANGOTE DE 5 M, SEM MOTOR</t>
  </si>
  <si>
    <t>VIBRADOR DE IMERSAO, COM PONTEIRA DE *45* MM, MANGOTE DE 5 M, SEM MOTOR.</t>
  </si>
  <si>
    <t>VIBRADOR DE IMERSAO, COM PONTEIRA DE *60* MM, MANGOTE DE 5 M, SEM MOTOR.</t>
  </si>
  <si>
    <t>VIBRADOR DE IMERSAO, DIAMETRO DA PONTEIRA DE *35* MM, COM MOTOR 4 TEMPOS A GASOLINA DE 5,5 HP (5,5 CV)</t>
  </si>
  <si>
    <t>VIBRADOR DE IMERSAO, DIAMETRO DA PONTEIRA DE *45* MM, COM MOTOR 4 TEMPOS A GASOLINA DE 5,5 HP (5,5 CV)</t>
  </si>
  <si>
    <t>VIBRADOR DE IMERSAO, DIAMETRO DA PONTEIRA DE *45* MM, COM MOTOR ELETRICO TRIFASICO DE 2 HP (2 CV)</t>
  </si>
  <si>
    <t>VIBROACABADORA DE ASFALTO SOBRE ESTEIRAS, LARG. PAVIM. 2,60 M A 5,75 M, POT. 110 HP, CAP. 450 T/ H</t>
  </si>
  <si>
    <t>VIBROACABADORA DE ASFALTO SOBRE ESTEIRAS, LARG. PAVIMENT. 1,90 A 5,3 M, POT. 78 KW/105 HP, CAP. 450 T/H</t>
  </si>
  <si>
    <t>VIBROACABADORA DE ASFALTO SOBRE RODAS, LARGURA DE PAVIMENTACAO DE 1,70 A 4,20 M, POTENCIA 78 KW/105 HP, CAPACIDADE 300 T/H</t>
  </si>
  <si>
    <t>VIDRACEIRO (HORISTA)</t>
  </si>
  <si>
    <t>VIDRACEIRO (MENSALISTA)</t>
  </si>
  <si>
    <t>VIDRO COMUM LAMINADO LISO INCOLOR DUPLO, ESPESSURA TOTAL 8 MM (CADA CAMADA DE 4 MM) - COLOCADO</t>
  </si>
  <si>
    <t>VIDRO COMUM LAMINADO, LISO, INCOLOR, DUPLO, ESPESSURA TOTAL 6 MM (CADA CAMADA E= 3 MM) - COLOCADO</t>
  </si>
  <si>
    <t>VIDRO COMUM LAMINADO, LISO, INCOLOR, TRIPLO, ESPESSURA TOTAL 12 MM (CADA CAMADA E= 4 MM) - COLOCADO</t>
  </si>
  <si>
    <t>VIDRO COMUM LAMINADO, LISO, INCOLOR, TRIPLO, ESPESSURA TOTAL 15 MM (CADA CAMADA E = 5 MM) - COLOCADO</t>
  </si>
  <si>
    <t>VIDRO CRISTAL COLORIDO, 10 MM, PINTADO NA COR BRANCA</t>
  </si>
  <si>
    <t>VIDRO CRISTAL COLORIDO, 4 MM, PINTADO NA COR BRANCA</t>
  </si>
  <si>
    <t>VIDRO CRISTAL COLORIDO, 6 MM, PINTADO NA COR BRANCA</t>
  </si>
  <si>
    <t>VIDRO CRISTAL COLORIDO, 8 MM, PINTADO NA COR BRANCA</t>
  </si>
  <si>
    <t>VIDRO LISO FUME E = 4MM - SEM COLOCACAO</t>
  </si>
  <si>
    <t>VIDRO LISO FUME E = 6MM - SEM COLOCACAO</t>
  </si>
  <si>
    <t>VIDRO LISO FUME, E = 5 MM - SEM COLOCACAO</t>
  </si>
  <si>
    <t>VIDRO LISO INCOLOR 10 MM - SEM COLOCACAO</t>
  </si>
  <si>
    <t>VIDRO LISO INCOLOR 2 A 3 MM - SEM COLOCACAO</t>
  </si>
  <si>
    <t>VIDRO LISO INCOLOR 4MM - SEM COLOCACAO</t>
  </si>
  <si>
    <t>VIDRO LISO INCOLOR 5MM - SEM COLOCACAO</t>
  </si>
  <si>
    <t>VIDRO LISO INCOLOR 6 MM - SEM COLOCACAO</t>
  </si>
  <si>
    <t>VIDRO MARTELADO OU CANELADO, 4 MM - SEM COLOCACAO</t>
  </si>
  <si>
    <t>VIDRO PLANO ARAMADO E = 6 MM - SEM COLOCACAO</t>
  </si>
  <si>
    <t>VIDRO PLANO ARAMADO E = 7MM - SEM COLOCACAO</t>
  </si>
  <si>
    <t>VIDRO TEMPERADO INCOLOR E = 10 MM, SEM COLOCACAO</t>
  </si>
  <si>
    <t>VIDRO TEMPERADO INCOLOR E = 6 MM, SEM COLOCACAO</t>
  </si>
  <si>
    <t>VIDRO TEMPERADO INCOLOR E = 8 MM, SEM COLOCACAO</t>
  </si>
  <si>
    <t>VIDRO TEMPERADO INCOLOR PARA PORTA DE ABRIR, E = 10 MM (SEM FERRAGENS E SEM COLOCACAO)</t>
  </si>
  <si>
    <t>VIDRO TEMPERADO VERDE E = 10 MM, SEM COLOCACAO</t>
  </si>
  <si>
    <t>VIDRO TEMPERADO VERDE E = 6 MM, SEM COLOCACAO</t>
  </si>
  <si>
    <t>VIDRO TEMPERADO VERDE E = 8 MM, SEM COLOCACAO</t>
  </si>
  <si>
    <t>VIGA *7,5 X 10* CM EM PINUS, MISTA OU EQUIVALENTE DA REGIAO - BRUTA</t>
  </si>
  <si>
    <t>VIGA *7,5 X 15 CM EM PINUS, MISTA OU EQUIVALENTE DA REGIAO - BRUTA</t>
  </si>
  <si>
    <t>VIGA APARELHADA *6 X 12* CM, EM MACARANDUBA/MASSARANDUBA, ANGELIM OU EQUIVALENTE DA REGIAO</t>
  </si>
  <si>
    <t>VIGA APARELHADA *6 X 16* CM, EM MACARANDUBA/MASSARANDUBA, ANGELIM OU EQUIVALENTE DA REGIAO</t>
  </si>
  <si>
    <t>VIGA DE ESCORAMENTO H20, DE MADEIRA, PESO DE 5,00 A 5,20 KG/M, COM EXTREMIDADES PLASTICAS</t>
  </si>
  <si>
    <t>VIGA NAO APARELHADA *6 X 12* CM, EM MACARANDUBA/MASSARANDUBA, ANGELIM OU EQUIVALENTE DA REGIAO - BRUTA</t>
  </si>
  <si>
    <t>VIGA NAO APARELHADA *6 X 16* CM, EM MACARANDUBA/MASSARANDUBA, ANGELIM OU EQUIVALENTE DA REGIAO - BRUTA</t>
  </si>
  <si>
    <t>VIGA NAO APARELHADA *6 X 20* CM, EM MACARANDUBA/MASSARANDUBA, ANGELIM OU EQUIVALENTE DA REGIAO - BRUTA</t>
  </si>
  <si>
    <t>VIGA NAO APARELHADA *8 X 16* CM EM MACARANDUBA/MASSARANDUBA, ANGELIM OU EQUIVALENTE DA REGIAO - BRUTA</t>
  </si>
  <si>
    <t>VIGIA DIURNO (HORISTA)</t>
  </si>
  <si>
    <t>VIGIA DIURNO (MENSALISTA)</t>
  </si>
  <si>
    <t>Taxa para descarte em aterro legalizado - tipo telhas cimento amianto</t>
  </si>
  <si>
    <t>Botijão de aço para gás GLP de 13kg com carga</t>
  </si>
  <si>
    <t>Argamassa graute autonivelante, composto de cimento, areia de quartzo e aditivos especiais; ref. SikaGrout 250 da Sika, Pro Grauth V2 da Vedacit ou equivalente</t>
  </si>
  <si>
    <t>Içador, carga de trabalho 3.000 kg; ref. TI-24 fabricação Trejor ou equivalente</t>
  </si>
  <si>
    <t>Placa neoprene fretado para apoio, medidas aproximadas de 20x20x2cm chapa 4mm / 60x45x7cm chapa 6mm - Dm³</t>
  </si>
  <si>
    <t>Selante elástico de alto desempenho à base de poliuretano para uso geral; ref. Nitoseal PU30 da Fosroc, PU30 Construção da Quartzolit ou equivalente</t>
  </si>
  <si>
    <t>Pastilha de porcelana, esmaltada ou natural, para uso em paredes e fachadas internas/externas, formato 2,5x5 cm, diversas cores; referência M6249 Cerâmica Atlas ou equivalente</t>
  </si>
  <si>
    <t>Pastilha de porcelana, esmaltada ou natural, para uso em paredes e fachadas internas/externas, formato 5x5 cm, diversas cores, ref. comercial  linhas Metalo B2140 da Cerâmica Atlas ou equivalente</t>
  </si>
  <si>
    <t>Pastilha de porcelana, esmaltada ou natural, para uso em paredes e fachadas internas/externas, formato 2,5x2,5 cm, diversas cores, ref. M6249 / SR8306 / SG8424 / SG8443 da Cerâmica Atlas ou equivalente</t>
  </si>
  <si>
    <t>Placa cerâmica esmaltada PEI-4 para área interna com saída para o exterior, grupo de absorção BIIb; ref. Classic Avelã da Savane, Artens ou equivalente</t>
  </si>
  <si>
    <t>Caixilho em alumínio anodizado natural maxim-ar; ref. linha Cittá da Alcoa ou equivalente</t>
  </si>
  <si>
    <t>Caixilho em alumínio anodizado natural para pele de vidro; ref. linha Cittá da Alcoa ou equivalente</t>
  </si>
  <si>
    <t>Porta de abrir em alumínio tipo lambri branco, sob medida - sem vidro; ref. comercial project MGM ou equivalente</t>
  </si>
  <si>
    <t>Primer base resina sintética com cromato de zinco 2 demãos; referência comercial Maza alta performance, Vedacit Pro Anticorrosivo ZN ou equivalente</t>
  </si>
  <si>
    <t>Resina epóxi com alcatrão de hulha; ref. Denvercoat Epóxi Alcatrão da Denver, Compound Coal Tar Epóxi, Duropoxy alcatrão especial ou equivalente</t>
  </si>
  <si>
    <t>Tinta à base de resina epoxi; ref. Esmalte Wandepoxy Coral, Interseal 670 HS Internacional ou equivalente</t>
  </si>
  <si>
    <t>Peitoril e/ou soleira em pedra ardósia cinza, com espessura de 2 cm e largura até 20 cm - material</t>
  </si>
  <si>
    <t>Ardósia cinza de 40 x 40cm e espessura de 1 cm - material</t>
  </si>
  <si>
    <t>Rodapé em ardósia cinza com altura de 7 cm, espessura 1 cm - material</t>
  </si>
  <si>
    <t>Forro em placa de gesso liso(Standard), espessura 12,5mm, fixado e estruturado - instalado</t>
  </si>
  <si>
    <t>Ducha higiênica manual com acabamento cromado; referência comercial 1984 C.ACT.LNK.CR da Deca ou equivalente</t>
  </si>
  <si>
    <t>Assento sanitário tipo universal para bacia sifonada infantil; referência Tupan, Astra ou equivalente</t>
  </si>
  <si>
    <t>Assento de plástico tipo universal para bacia sanitária; ref. Astra, Tupan ou equivalente</t>
  </si>
  <si>
    <t>Lavatório coletivo de aço inoxidável AISI 304 chapa 20 (1,0mm) - (200 x 80) cm</t>
  </si>
  <si>
    <t>AH-02/03 abrigo hidrante 60x90x17cm, em chapa de ferro N° 20, com visor de vidro, inclusive ferragens e trinco</t>
  </si>
  <si>
    <t>Reservatório em polietileno com tampa de encaixar, capacidade de 10.000 litros; ref. Fortlev, Acqualimp ou equivalente</t>
  </si>
  <si>
    <t>Canaleta em PVC na cor branca, de 20x12mm, sistema X; referência 30802X fabricação Pial Legrand ou equivalente</t>
  </si>
  <si>
    <t xml:space="preserve">Caixa de inspeção suspensa em polipropileno ou PVC; ref. PK-0161 Paraklin, PRT-960 Paratec ou equivalente </t>
  </si>
  <si>
    <t>Dispositivo de proteção contra surto, classe 1, suportabilidade &lt;= 4 kV, 2 polos; F+N, F+T ou F/PEN, 240V/415V, TN-C, TN-S, TT e IT, curva de ensaio: 10/350µs; Iimp= 60 kA; ref. SCL 275 60 kA da Clamper, 810299SG da Embrastec ou equivalente</t>
  </si>
  <si>
    <t>Dispositivo de proteção contra surto, classe 3, suportabilidade &lt;= 1,4 kV, 2 polos; F+N / F+F, Un até 240V/264V; TN-S, curva de ensaio: 8/20µs, Imax: 5 kA; ref. 700.722.B.010 da Clamper, 5SD7 432-7 da Siemens ou equivalente</t>
  </si>
  <si>
    <t>Chave de nível tipo boia pendular (pera), com contato micro switch 10A / 250Vca, com cabo em PVC ou neoprene até 15 metros; ref. série 140-PP-15 da Nivetec, CNP15 da Contech ou equivalente</t>
  </si>
  <si>
    <t>Lâmpada fluorescente compacta eletrônica, reator integrado, base E-27, 25W-3U, triplo 110/220V; referência comercial 4040 da Ourolux ou equivalente</t>
  </si>
  <si>
    <t>Luminária LED redonda sobrepor, 17 a 19W, fluxo luminoso de 1900 a 2000 lm, temperatura cor 4000K, com difusor translucido, ref. EF72-S2000840 Lumicenter, PL 644/LED20W TL Prolumi ou equivalente</t>
  </si>
  <si>
    <t>Luminária industrial pendente tipo calha aberta instalação em perfilado com gancho I-45 para 1 ou 2 lâmpadas tubulares 28/54W, ref. 681228 BC  da ARM, FAN04-S228 da Lumicenter, PL 204/228 da Prolumi ou equivalente</t>
  </si>
  <si>
    <t>Luminária retangular de embutir tipo calha aberta com refletor em alumínio de alto brilho para 2 lâmpadas tubular 28/54W, ref. 130228 BC da ARM, FAN01-E228 da Lumicenter, PL 381/228 da Prolumi ou equivalente</t>
  </si>
  <si>
    <t>Luminária retangular de sobrepor tipo calha aberta com refletor em alumínio de alto brilho para 2 lâmpadas tubulares 32/36W, ref. CAN03-S2TLED1204 da Lumicenter, PL 228/24 da Prolumi ou equivalente</t>
  </si>
  <si>
    <t>Suporte tubular de fixação em poste para 1 luminária tipo pétala; ref. DTS-1-60 da Repume, RCA Lâmpadas, SB-1 Reto da Induspar ou equivalente</t>
  </si>
  <si>
    <t>Suporte tubular de fixação em poste para 2 luminárias tipo pétala; ref. DTS-2-60 da Repume, RCA lâmpadas, SB-2 Angular da Induspar ou equivalente</t>
  </si>
  <si>
    <t>Switch Gigabit para servidor central com 24 portas PoE frontais e 4 portas SFP, capacidade de 10 / 100 / 1000 MBPS; ref. série 2930F-JL261A - HP Aruba ou equivalente</t>
  </si>
  <si>
    <t>Sensor de temperatura ambiente PT100, 3 fios inox haste rosca 1/2" BSP</t>
  </si>
  <si>
    <t>Inversor de frequência para variação de velocidade, potência de 1,5 a 150 cv, 200 a 240V trifásico; referência comercial CFW900 da Weg ou equivalente</t>
  </si>
  <si>
    <t>Inversor de frequência para variação de velocidade em motores, potência de 0,25 a 175 cv; ref. CFW500D31P0T4DB20 da Weg ou equivalente</t>
  </si>
  <si>
    <t>Estabilizador eletrônico de tensão monofásico com potência, 5 kVA; ref. BYP11 5KVA da CS Eletro, Energie II Isolado 5kVA SI/TE220/TS220 da SMS, mod. Starvolt da Powereng ou equivalente</t>
  </si>
  <si>
    <t>Quadro Telebras de embutir em chapa de (200 x 200 x 120) mm, com fundo de madeira; ref. Lintermani ou equivalente</t>
  </si>
  <si>
    <t>Quadro Telebras de embutir em chapa de (400 x 400 x 120) mm, com fundo de madeira; ref. Lintermani ou equivalente</t>
  </si>
  <si>
    <t>Quadro Telebras de embutir em chapa de (600 x 600 x 120) mm, com fundo de madeira; ref. Lintermani ou equivalente</t>
  </si>
  <si>
    <t>Quadro Telebras de embutir em chapa de (800 x 800 x 120) mm, com fundo de madeira; ref. Lintermani ou equivalente</t>
  </si>
  <si>
    <t>Quadro Telebras de embutir em chapa de (1200 x 1200 x 120) mm, com fundo de madeira; ref. Lintermani ou equivalente</t>
  </si>
  <si>
    <t>Quadro Telebras de sobrepor em chapa de (200 x 200 x 120) mm, com fundo de madeira; ref. Lintermani ou equivalente</t>
  </si>
  <si>
    <t>Quadro Telebras de sobrepor em chapa de (400 x 400 x 120) mm, com fundo de madeira; ref. Lintermani ou equivalente</t>
  </si>
  <si>
    <t>Quadro Telebras de sobrepor ema chapa de (600 x 600 x 120) mm, com fundo de madeira; ref. Lintermani ou equivalente</t>
  </si>
  <si>
    <t>Quadro Telebras de sobrepor em chapa de (800 x 800 x 120) mm, com fundo de madeira; ref. Lintermani ou equivalente</t>
  </si>
  <si>
    <t>Fita anticorrosiva 50mm; ref. 50 Scotchrap, Torofita ou equivalente - (rolo de 30m)</t>
  </si>
  <si>
    <t>Disjuntor em caixa aberta trifásico E1.2B 800A, 600V de 800A, 3 polos, relé Ekip DIP LI, 50/60Hz, capacidade ruptura 42kA; ref. 1SDA070741R1BR da ABB ou equivalente</t>
  </si>
  <si>
    <t>Disjuntor fixo a vácuo tripolar de 15 a 17,5kV, equipado com motorização de fechamento, corrente nominal 630A, com rele de proteção URP 7104 T da Pextron ou equivalente</t>
  </si>
  <si>
    <t>Disjuntor em caixa aberta, termomagnético tripolar, 3 polos, E2.2N 2000A, rele Ekip DIP LI, 380Vca, 50/60 Hz, faixa de ajuste de 1600 até 2000 A; ref. 1SDA072384R1BR da ABB ou equivalente</t>
  </si>
  <si>
    <t>Disjuntor em caixa aberta, termomagnético tripolar, 3 polos, E2.2N 2000A, relé Ekip Touch LI, Vn= 1200 V, 50/60 Hz, faixa de ajuste de 2000 até 2500 A; ref. ISDA071064R1BR da ABB ou equivalente</t>
  </si>
  <si>
    <t>Disjuntor em caixa moldada bipolar, A1N 125 TMF 050 2P FF, 2 polos, instalação fixo, 10A até 50A - 480Vca, com rele térmico e magnético fixo TMF; ref. 1SDA066501R1 da ABB ou equivalente</t>
  </si>
  <si>
    <t>Disjuntor em caixa moldada bipolar A2N 250 TMF 150 2P FF, 2 polos, instalação fixo, rele termomagnético fixo TMF, 150A - 600Vca; referência 1SDA068778R1 da ABB ou equivalente</t>
  </si>
  <si>
    <t>Disjuntor termomagnético unipolar 127/220V, corrente 10 até 30A, conforme selo de conformidade do INMETRO; ref. DQE 1030 da Eletromar, ASM1 da Soprano, Fame, Cuttler Hammer ABB ou equivalente</t>
  </si>
  <si>
    <t>Disjuntor termomagnético, bipolar 220/380V, corrente de 60 até 100A, conforme selo de conformidade do INMETRO para os modelos de 60 A da Pial Legrand, Eletromar / Cuttler Hammer, Soprano, Lorenzetti, ABB ou equivalente</t>
  </si>
  <si>
    <t>Mini-disjuntor termomagnético, tripolar 415V, corrente de 80 até 125A; ref. 5SP4 392-7-125A - curva "C" da Siemens, linha SHB-H-125A da Soprano ou equivalente</t>
  </si>
  <si>
    <t>Caixa ventiladora com ventilador centrífugo 1.710 m³/h e motor 0,55 kW - tensão 220/380V/60Hz, pressão 35 mmCA; ref. Projelmec ou equivalente</t>
  </si>
  <si>
    <t>Tratamento de ar compacta fancolete hidrônico tp cassette, com ventiladores centrífugos dupla aspiração, kit grelha e motor elétrico, estrutura e painéis plástico alta resistência, refrigeração 20.000 Btu/h - 1,6 TR, ref. 40HK-20 Carrier ou equivalente</t>
  </si>
  <si>
    <t>Tratamento de ar compacta fancolete hidrônico tp cassette, com ventiladores centrífugos dupla aspiração, kit grelha e motor elétrico, estrutura e painéis plástico alta resistência, refrigeração 25.000 Btu/h - 2,1 TR, ref. 40HK-25 Carrier ou equivalente</t>
  </si>
  <si>
    <t>Macrofibra estrutural polipropileno, resistência à tração&gt;=500MPa, E&gt;=5 Gpa, título até 5dtex, tenacidade mín. 5cN/dtex, deformação até 5cN/dtex e até 40%, perda massa por alcalinidade&lt;5%; ref. Politex Neomatex, Duristeel FF54 Concrefibra ou equivalente</t>
  </si>
  <si>
    <t>Microfibra polimérica anticrack, resistência à tração &gt;= 500Mpa, E&gt;=5 Gpa, título até 5dtex, tenacidade mín. 5cN/dtex, deformação até 5cN/dtex e até 40%, perda massa por alcalinidade &lt; 5%; ref. Neofibra MF Neomatex, Fibralit-Co Concrefibra ou equivalente</t>
  </si>
  <si>
    <t>Veículo leve com capacidade 84cv</t>
  </si>
  <si>
    <t>E.14.000.036704</t>
  </si>
  <si>
    <t>P.17.000.042524</t>
  </si>
  <si>
    <t>S.05.000.038556</t>
  </si>
  <si>
    <t>S.06.000.070104</t>
  </si>
  <si>
    <t>ARGAMASSA QUÍMICA BICOMPONENTE, ALTA RESISTÊNCIA QUÍMICA, TÉRMICAS E VIBRAÇÕES, ARGAMASSA
AC-III-E DA GAIL</t>
  </si>
  <si>
    <t>RESINA EPÓXI PARA PISO GRANILITE BI-COMPONENTE</t>
  </si>
  <si>
    <t>LUMINÁRIA DE EMERGÊNCIA AUTÔNOMA COM LÂMPADAS LED TIPO 2 FARÓIS - 2200 lm - 110/220V</t>
  </si>
  <si>
    <t>BALANCIM ELÉTRICO TIPO PLATAFORMA DE 3M, PARA TRANSPORTE VERTICAL, COM CABO PASSANTE DE 60M,
COM GANCHO, CLIPS, SAPATILHAS, PONTA DE CABO, ETC</t>
  </si>
  <si>
    <t>ENSAIO DE CARACTERIZAÇÃO DE SOLO CONFORME PARECER TÉCNICO 004/11/T CETESB E DD 125/2021-CETESB</t>
  </si>
  <si>
    <t>ENSAIO TRIAXIAL ADENSADO DRENADO (CD) RSAT (S3 = 100 KPA, S3 = 300 KPA OU S3 = 800 KPA)</t>
  </si>
  <si>
    <t>ENSAIO TRIAXIAL ADENSADO NÃO DRENADO (CU) RSAT (S3 = 100 KPA, S3 = 300 KPA OU S3 = 800 KPA)</t>
  </si>
  <si>
    <t>ENSAIO TRIAXIAL NÃO ADENSADO NÃO DRENADO (UU) RSAT (S3 = 100 KPA, S3 = 300 KPA OU S3 = 800 KPA)</t>
  </si>
  <si>
    <t>FURO EM CONCRETO ARMADO DIÂMETRO 2 1/2" - (UTILIZANDO PERFURATRIZ ELÉTRICA C/ COROA
DIAMANTADA) SEM MOBILIZAÇÃO</t>
  </si>
  <si>
    <t>PLATAFORMA ELEVATÓRIA ARTICULADA COM ALCANCE HORIZONTAL DE 15 M</t>
  </si>
  <si>
    <t>PLATAFORMA ELEVATÓRIA ARTICULADA COM ALCANCE HORIZONTAL DE 7 M</t>
  </si>
  <si>
    <t>PLATAFORMA ELEVATÓRIA TESOURA ELÉTRICA COM ALTURA MÁXIMA DE TRABALHO ATÉ 10 M</t>
  </si>
  <si>
    <t>ADESIVO A BASE DE POLIESTER</t>
  </si>
  <si>
    <t>ADESIVO MONOCOMPONENTE Á BASE DE POLIURETANO MODIFICADO</t>
  </si>
  <si>
    <t>ADESIVO/SELADOR À BASE DE EMULSÃO ACRÍLICA, REF. NITOBOND AR DA ANCHORTEC OU RHEOMIX 104 DA
BASF OU EQUIVALENTE</t>
  </si>
  <si>
    <t>COLA EM PU (POLIURETANO)</t>
  </si>
  <si>
    <t>COLA PARA CPVC</t>
  </si>
  <si>
    <t>ADUELA PRÉ-FABRICADA EM CONCRETO ARMADO, SEÇÃO 1,50 X 1,50 X 0,15 – H ATERRO = 1,00 A 2,50 M – LINHA
SIMPLES (BSCC), DIMENSIONADA PARA SOBRECARGA DE TRABALHO TB 45</t>
  </si>
  <si>
    <t>ADUELA PRÉ-FABRICADA EM CONCRETO ARMADO, SEÇÃO 2,00 X 1,50 X 0,15 – H ATERRO = 1,00 A 2,50 M – LINHA
SIMPLES (BSCC), DIMENSIONADA PARA SOBRECARGA DE TRABALHO TB 45</t>
  </si>
  <si>
    <t>ADUELA PRÉ-FABRICADA EM CONCRETO ARMADO, SEÇÃO 2,00 X 2,00 X 0,15 – H ATERRO = 1,00 A 2,50 M – LINHA
SIMPLES (BSCC), DIMENSIONADA PARA SOBRECARGA DE TRABALHO TB 45</t>
  </si>
  <si>
    <t>ADUELA PRÉ-FABRICADA EM CONCRETO ARMADO, SEÇÃO 2,50 X 2,00 X 0,15 – H ATERRO = 1,00 A 2,50 M – LINHA
SIMPLES (BSCC), DIMENSIONADA PARA SOBRECARGA DE TRABALHO TB 45</t>
  </si>
  <si>
    <t>ADUELA PRÉ-FABRICADA EM CONCRETO ARMADO, SEÇÃO 2,50 X 2,50 X 0,15 – H ATERRO = 1,00 A 2,50 M – LINHA
SIMPLES (BSCC), DIMENSIONADA PARA SOBRECARGA DE TRABALHO TB 45</t>
  </si>
  <si>
    <t>ADUELA PRÉ-FABRICADA EM CONCRETO ARMADO, SEÇÃO 3,00 X 2,00 X 0,20 – H ATERRO = 1,00 A 2,50 M – LINHA
SIMPLES (BSCC), DIMENSIONADA PARA SOBRECARGA DE TRABALHO TB 45</t>
  </si>
  <si>
    <t>ADUELA PRÉ-FABRICADA EM CONCRETO ARMADO, SEÇÃO 3,00 X 2,50 X 0,20 – H ATERRO = 1,00 A 2,50 M – LINHA SIMPLES (BSCC), DIMENSIONADA PARA SOBRECARGA DE TRABALHO TB 45</t>
  </si>
  <si>
    <t>ADUELA PRÉ-FABRICADA EM CONCRETO ARMADO, SEÇÃO 3,00 X 3,00 X 0,20 – H ATERRO = 1,00 A 2,50 M – LINHA
SIMPLES (BSCC), DIMENSIONADA PARA SOBRECARGA DE TRABALHO TB 45</t>
  </si>
  <si>
    <t>ANEL DE CONCRETO PRÉ-MOLDADO - DIÂMETRO INTERNO = 0,60 M - ALTURA = 0,50 M</t>
  </si>
  <si>
    <t>CANAL U PRÉ-FABRICADO EM CONCRETO ARMADO 1,50 X 1,50 X 0,15 - TB 45</t>
  </si>
  <si>
    <t>CANAL U PRÉ-FABRICADO EM CONCRETO ARMADO 2,00 X 1,50 X 0,15 - TB 45</t>
  </si>
  <si>
    <t>CANAL U PRÉ-FABRICADO EM CONCRETO ARMADO 2,00 X 2,00 X 0,20 - TB 45</t>
  </si>
  <si>
    <t>CANAL U PRÉ-FABRICADO EM CONCRETO ARMADO 2,50 X 1,50 X 0,20 - TB 45</t>
  </si>
  <si>
    <t>CANAL U PRÉ-FABRICADO EM CONCRETO ARMADO 2,50 X 2,50 X 0,20 - TB 45</t>
  </si>
  <si>
    <t>CANAL U PRÉ-FABRICADO EM CONCRETO ARMADO 2,50 X 2,00 X 0,20 - TB 45</t>
  </si>
  <si>
    <t>CANAL U PRÉ-FABRICADO EM CONCRETO ARMADO 3,00 X 1,50 X 0,20 - TB 45</t>
  </si>
  <si>
    <t>CANAL U PRÉ-FABRICADO EM CONCRETO ARMADO 3,00 X 2,50 X 0,25 - TB 45</t>
  </si>
  <si>
    <t>CANAL U PRÉ-FABRICADO EM CONCRETO ARMADO 3,00 X 2,00 X 0,20 COM ARRANQUES - TB 45</t>
  </si>
  <si>
    <t>CANAL U PRÉ-FABRICADO EM CONCRETO ARMADO 4,00 X 2,50 X 0,25 COM ARRANQUES - TB 45</t>
  </si>
  <si>
    <t>CANAL U PRÉ-FABRICADO EM CONCRETO ARMADO 4,00 X 3,00 X 0,25 COM ARRANQUES - TB 45</t>
  </si>
  <si>
    <t>CANAL U PRÉ-FABRICADO EM CONCRETO ARMADO 5,00 X 1,00 X 0,25 COM ARRANQUES - TB 45</t>
  </si>
  <si>
    <t>CANAL U PRÉ-FABRICADO EM CONCRETO ARMADO 5,00 X 2,50 X 0,25 COM ARRANQUES - TB 45</t>
  </si>
  <si>
    <t>CANAL U PRÉ-FABRICADO EM CONCRETO ARMADO 5,00 X 3,00 X 0,25 COM ARRANQUES - TB 45</t>
  </si>
  <si>
    <t>CANAL U PRÉ-FABRICADO EM CONCRETO ARMADO 6,00 X 3,00 X 0,30 COM ARRANQUES - TB 45</t>
  </si>
  <si>
    <t>AREIA RECICLADA FINA</t>
  </si>
  <si>
    <t>AREIA RECICLADA MÉDIA</t>
  </si>
  <si>
    <t>FORNECIMENTO DE AR-CONDICIONADO A FRIO TIPO SPLIT CASSETE INVERTER, COM CAPACIDADE DE 18.000
BTUS/H</t>
  </si>
  <si>
    <t>FORNECIMENTO DE AR-CONDICIONADO A FRIO TIPO SPLIT CASSETE INVERTER, COM CAPACIDADE DE 48.000
BTUS/H</t>
  </si>
  <si>
    <t>FORNECIMENTO DE AR-CONDICIONADO A FRIO TIPO SPLIT PAREDE INVERTER, COM CAPACIDADE DE 9.000
BTUS/H</t>
  </si>
  <si>
    <t>FORNECIMENTO DE AR-CONDICIONADO A FRIO TIPO SPLIT PAREDE INVERTER, COM CAPACIDADE DE 18.000
BTUS/H</t>
  </si>
  <si>
    <t>FORNECIMENTO DE AR-CONDICIONADO A FRIO TIPO SPLIT PAREDE INVERTER, COM CAPACIDADE DE 24.000
BTUS/H</t>
  </si>
  <si>
    <t>FORNECIMENTO DE AR-CONDICIONADO A FRIO TIPO SPLIT PAREDE INVERTER, COM CAPACIDADE DE 36.000 BTUS/H</t>
  </si>
  <si>
    <t>ARGAMASSA POLIMÉRICA IMPERMEABILIZANTE SEMIFLEXÍVEL, BICOMPONENTE (MEMBRANA
IMPERMEABILIZANTE ACRÍLICA)</t>
  </si>
  <si>
    <t>ARGAMASSA USINADA AUTOADENSAVEL E AUTONIVELANTE PARA CONTRAPISO, INCLUI BOMBEAMENTO</t>
  </si>
  <si>
    <t>CONCRETO USINADO, BRITA 1 / FCTM,K= 4,5MPA</t>
  </si>
  <si>
    <t>HASTE DE ANCORAGEM ROSQUEADA COM DIÂMETRO DE 16MM E COMPRIMENTO DE 200 MM E PORCAS DE
FIXAÇÃO</t>
  </si>
  <si>
    <t>TACHA BIDIRECIONAL REFLETIVA EM RESINA TIPO 1, COM UM PINO</t>
  </si>
  <si>
    <t>TACHA MONODIRECIONAL REFLETIVA EM RESINA TIPO 1, COM UM PINO</t>
  </si>
  <si>
    <t>TACHÃO BIDIRECIONAL EM RESINA 240 MM x 150 MM, COM 2 PINOS</t>
  </si>
  <si>
    <t>TACHÃO MONODIRECIONAL EM RESINA 240 MM x 150 MM, COM 2 PINOS</t>
  </si>
  <si>
    <t>TAMPÃO DE FERRO FUNDIDO DÚCTIL CLASSE MÍNIMA 400 (40T) D = 900 MM - NBR 10160 - ARTICULADO - PARA
GALERIAS ÁGUAS PLUVIAIS</t>
  </si>
  <si>
    <t>BOTOEIRA DE COMANDO LIGA/DESLIGA TRIPOLAR 10A - 220/380V</t>
  </si>
  <si>
    <t>BOTOEIRA PARA PEDESTRE</t>
  </si>
  <si>
    <t>EQUIPAMENTO CONJUGADO TIPO 1 - TAMANHO GRANDE - PARA CRIANÇAS MAIORES QUE 5 ANOS DE IDADE</t>
  </si>
  <si>
    <t>EQUIPAMENTO CONJUGADO TIPO 2 - TAMANHO GRANDE - PARA CRIANÇAS ATÉ 5 ANOS DE IDADE</t>
  </si>
  <si>
    <t>EQUIPAMENTO CONJUGADO TIPO 4 - TAMANHO MÉDIO - PARA CRIANÇAS ATÉ DE 5 ANOS DE IDADE</t>
  </si>
  <si>
    <t>EQUIPAMENTO CONJUGADO TIPO 5 - TAMANHO PEQUENO - PARA CRIANÇAS MAIORES QUE 5 ANOS DE IDADE</t>
  </si>
  <si>
    <t>EQUIPAMENTO CONJUGADO TIPO 6 - TAMANHO PEQUENO - PARA CRIANÇAS ATÉ 5 ANOS DE IDADE</t>
  </si>
  <si>
    <t>EQUIPAMENTO CONJUGADO TIPO 7 - INCLUSIVO - PARA CRIANÇAS ENTRE 1 E 14 ANOS DE IDADE</t>
  </si>
  <si>
    <t>CABO DE COBRE 2,50 MM2 - ISOLAMENTO PARA 750V - AFUMEX - CLASSE 5 - FLEXÍVEL - ISOLAÇÃO EM HEPR 90
C</t>
  </si>
  <si>
    <t>CABO DE COBRE 4,00 MM2 - ISOLAMENTO PARA 750V - AFUMEX - CLASSE 5 - FLEXÍVEL - ISOLAÇÃO EM HEPR 90
C</t>
  </si>
  <si>
    <t>CABO DE COBRE FLEXÍVEL, ISOLAMENTO EM PVC PARA 0,75 KV, 3 CONDUTORES - 6 MM2</t>
  </si>
  <si>
    <t>CABO DE COBRE FLEXÍVEL, ISOLAMENTO EM PVC PARA 0,75 KV, 3 CONDUTORES - 10 MM2</t>
  </si>
  <si>
    <t>CONTAINER 2,30 X 6,00 M, ALT. 2,50 M, PARA ESCRITÓRIO, COM 1 SANITÁRIO, COMPLETO, SEM DIVISORIAS
INTERNAS</t>
  </si>
  <si>
    <t>PERFIL CANALETA, FORMATO C, EM ACO ZINCADO PARA ESTRUTURA FORRO DRYWALL, E = 0,5 MM, L = 46MM,
H = 18MM, C = 3 M</t>
  </si>
  <si>
    <t>DISJUNTOR CAIXA MOLDADA TRIPOLAR 20A ATÉ 32A COM DISPARADOR TÉRMICO AJUSTÁVEL E MAGNÉTICO FIXO</t>
  </si>
  <si>
    <t>DISJUNTOR CAIXA MOLDADA TRIPOLAR 40A ATÉ 63A COM DISPARADOR TÉRMICO AJUSTÁVEL E MAGNÉTICO FIXO</t>
  </si>
  <si>
    <t>ELETRODUTO POLIETILENO FLEXÍVEL ALTA RESISTÊNCIA - 1 1/4"</t>
  </si>
  <si>
    <t>ELETRODUTO POLIETILENO FLEXÍVEL ALTA RESISTÊNCIA - 1"</t>
  </si>
  <si>
    <t>ELETRODUTO POLIETILENO FLEXÍVEL ALTA RESISTÊNCIA - 3/4"</t>
  </si>
  <si>
    <t>ESPUMA CORTA-FOGO (FIRESTOP) PARA JUNTAS ESTRUTURAIS E SHAFTS DE PRUMADAS - PROTEÇÃO PASSIVA CONTRA INCÊNDIO - FORNECIMENTO DE MATERIAIS E EXECUÇÃO DE SERVIÇO ESPECIALIZADO</t>
  </si>
  <si>
    <t>ESPUMA EXPANSIVA DE POLIURETANO, APLICACAO MANUAL</t>
  </si>
  <si>
    <t>PENDURAL OU PRESILHA REGULADORA, EM ACO GALVANIZADO, COM CORPO, MOLA E REBITE, PARA PERFIL
TIPO CANALETA DE ESTRUTURA EM FORROS DRYWALL</t>
  </si>
  <si>
    <t>QUADRO DE DISTRIBUIÇÃO DE EMBUTIR EM PVC OU MATERIAL TERMOPLÁSTICO - 08 DISJUNTORES</t>
  </si>
  <si>
    <t>QUADRO DE DISTRIBUIÇÃO DE EMBUTIR EM PVC OU MATERIAL TERMOPLÁSTICO - 32 DISJUNTORES</t>
  </si>
  <si>
    <t>QUADRO DE DISTRIBUIÇÃO DE EMBUTIR EM PVC OU MATERIAL TERMOPLÁSTICO - 48 DISJUNTORES</t>
  </si>
  <si>
    <t>QUADRO DE DISTRIBUIÇÃO DE EMBUTIR EM PVC OU MATERIAL TERMOPLÁSTICO - 64 DISJUNTORES</t>
  </si>
  <si>
    <t>SELO CORTA-FOGO (FIRESTOP) PARA JUNTAS ESTRUTURAIS E SHAFTS DE PRUMADAS - PROTEÇÃO PASSIVA
CONTRA INCÊNDIO - FORNECIMENTO DE MATERIAIS E EXECUÇÃO</t>
  </si>
  <si>
    <t>LAJE EM PAINEL PROTENDIDO ALVEOLAR - ESPESSURA: 16 CM</t>
  </si>
  <si>
    <t>LAJE EM PAINEL PROTENDIDO ALVEOLAR - ESPESSURA: 20 CM</t>
  </si>
  <si>
    <t>LAJE EM PAINEL PROTENDIDO ALVEOLAR - ESPESSURA: 25 CM</t>
  </si>
  <si>
    <t>FITA INTUMESCENTE CORTA-FOGO (FIRESTOP) PARA JUNTAS ESTRUTURAIS E SHAFTS DE PRUMADAS - PROTEÇÃO PASSIVA CONTRA INCÊNDIO DE TUBOS E CANOS - FORNECIMENTO DE MATERIAIS E EXECUÇÃO DE
SERVIÇO ESPECIALIZADO</t>
  </si>
  <si>
    <t>GABIÃO TIPO CAIXA COM ANCORAGEM, H = 0,50M, C = 6,00M, DE MALHA 8 X 10CM (G4R+P)</t>
  </si>
  <si>
    <t>GABIÃO TIPO CAIXA COM ANCORAGEM, H = 1,00M, C = 6,00M, DE MALHA 8 X 10CM (G4R+P)</t>
  </si>
  <si>
    <t>GABIÃO TIPO CAIXA TRAPEZOIDAL, MALHA HEXAGONAL 10 X 12 CM (ZN/AL REVESTIDO COM POLÍMERO) FIO 2,7 MM, FACE COM 65 GRAUS, COM GEOSSINTÉTICO, DIMENSÕES 2,0 X 1,5 X 1,0 M (C X L X A)</t>
  </si>
  <si>
    <t>BANCO ARTICULADO PARA PCD EM AÇO INOX - 70X45CM</t>
  </si>
  <si>
    <t>SIFÃO EXTENSÍVEL DE POLIPROPILENO 150 CM</t>
  </si>
  <si>
    <t>SIFÃO EXTENSÍVEL UNIVERSAL METALIZADO (PORCA PLÁSTICA)</t>
  </si>
  <si>
    <t>TUBO DE COBRE SEM COSTURA - CLASSE A - 3"</t>
  </si>
  <si>
    <t>TUBO DE ESPUMA DE POLIETILENO PARA ISOLAMENTO TERMICO DE TUBULACAO DE AR CONDICIONADO - 1"</t>
  </si>
  <si>
    <t>ALARME DE EMERGÊNCIA PARA SANITÁRIO</t>
  </si>
  <si>
    <t>DEFENSA METÁLICA MALEÁVEL SIMPLES ENGASTADA</t>
  </si>
  <si>
    <t>DEFENSA METÁLICA MALEÁVEL DUPLA ENGASTADA</t>
  </si>
  <si>
    <t>DEFENSA METÁLICA MALEÁVEL REMOVÍVEL SIMPLES</t>
  </si>
  <si>
    <t>DEFENSA METÁLICA MALEÁVEL REMOVÍVEL DUPLA</t>
  </si>
  <si>
    <t>DEFENSA METÁLICA SEMI-MALEÁVEL REMOVÍVEL SIMPLES</t>
  </si>
  <si>
    <t>DEFENSA METÁLICA SEMI-MALEÁVEL REMOVÍVEL DUPLA</t>
  </si>
  <si>
    <t>DEFENSA METÁLICA SEMI-MALEÁVEL DUPLA ENGASTADA</t>
  </si>
  <si>
    <t>JANELA EM ALUMÍNIO ANODIZADO COMUM - BASCULANTE - H = 0,60M - C=0,80M PERFIL 25 - SEM VIDROS - SEM
COLOCAÇÃO - COMPLETO - PRONTO PARA INSTALAÇÃO</t>
  </si>
  <si>
    <t>JANELA EM ALUMÍNIO ANODIZADO COMUM - BASCULANTE - H = 0,60M - C=2,00M PERFIL 25 - SEM VIDROS - SEM
COLOCAÇÃO - COMPLETO - PRONTO PARA INSTALAÇÃO</t>
  </si>
  <si>
    <t>JANELA EM ALUMÍNIO ANODIZADO COMUM - CORRER - H = 1,00M - C=1,20 M 3 FOLHAS - PERFIL 25 - SEM
COLOCAÇÃO - COMPLETO - PRONTO PARA INSTALAÇÃO</t>
  </si>
  <si>
    <t>JANELA EM ALUMÍNIO ANODIZADO COMUM - CORRER - H = 1,10M - C=1,10 M 3 FOLHAS - PERFIL 25 - SEM
COLOCAÇÃO - COMPLETO - PRONTO PARA INSTALAÇÃO</t>
  </si>
  <si>
    <t>JANELA EM ALUMÍNIO ANODIZADO COMUM - CORRER - H = 1,10M - C=1,20 M 3 FOLHAS - PERFIL 25 - SEM
COLOCAÇÃO - COMPLETO - PRONTO PARA INSTALAÇÃO</t>
  </si>
  <si>
    <t>JANELA EM ALUMÍNIO ANODIZADO COMUM - CORRER - H = 1,50M - C=1,80 M 3 FOLHAS - PERFIL 25 - SEM
COLOCAÇÃO - COMPLETO - PRONTO PARA INSTALAÇÃO</t>
  </si>
  <si>
    <t>JANELA EM ALUMÍNIO ANODIZADO COMUM - VENEZIANA - H = 0,60 M - C = 2,00 M PERFIL 25 - SEM VIDROS - SEM
COLOCAÇÃO - COMPLETO -PRONTO PARA INSTALAÇÃO</t>
  </si>
  <si>
    <t>ARANDELA DE SOBREPOR, CORPO EM POLICARBONATO COM DIFUSOR TRANSLÚCIDO, PARA LÂMPADA LED 19/20W - COMPLETA</t>
  </si>
  <si>
    <t>ARANDELA PAINEL LED DE SOBREPOR CORPO EM POLICARBONATO TIPO TARTARUGA COM PROTEÇÃO IP65,
12W</t>
  </si>
  <si>
    <t>LÂMPADA DE LED BULBO 20W - SOQUETE E27</t>
  </si>
  <si>
    <t>LUMINÁRIA DE EMBUTIR RETANGULAR USO INTERNO/EXTERNO, TIPO BALIZADOR, EM ALUMÍNIO, PARA LÂMPADA TIPO HALOPIN 25W - SOQUETE G9</t>
  </si>
  <si>
    <t>LUMINÁRIA DE SOBREPOR HERMÉTICA, COM PROTEÇÃO A UMIDADE E GASES (IP65), PARA 02 LÂMPADAS  LED  T8 - 18W</t>
  </si>
  <si>
    <t>LUMINÁRIA HERMÉTICA COM DUAS LÂMPADAS TUBO LED DE 20W</t>
  </si>
  <si>
    <t>LUMINÁRIA QUADRADA DE EMBUTIR, TIPO CALHA FECHADA COM DIFUSOR TRANSPARENTE OU FOSCO PARA 4
LÂMPADAS TUBULARES DE LED 18/20W</t>
  </si>
  <si>
    <t>LUMINÁRIA QUADRADA DE EMBUTIR, TIPO CALHA FECHADA COM DIFUSOR TRANSPARENTE OU FOSCO PARA 4 LÂMPADAS TUBULARES DE LED 9/10W</t>
  </si>
  <si>
    <t>LUMINÁRIA QUADRADA DE SOBREPOR COM DIFUSOR ACRÍLICO OU LEITOSO PARA 2 LÂMPADAS TUBULARES
DE LED 18/20W</t>
  </si>
  <si>
    <t>LUMINÁRIA QUADRADA DE SOBREPOR COM DIFUSOR ACRÍLICO OU LEITOSO PARA 2 LÂMPADAS TUBULARES
DE LED 9/10W</t>
  </si>
  <si>
    <t>LUMINÁRIA RETANGULAR DE EMBUTIR COM ALETAS DE ALUMÍNIO PARA 2 LÂMPADAS TUBULARES DE LED 18/20W</t>
  </si>
  <si>
    <t>LUMINÁRIA RETANGULAR DE EMBUTIR COM ALETAS DE ALUMÍNIO PARA 2 LÂMPADAS TUBULARES DE LED
9/10W</t>
  </si>
  <si>
    <t>LUMINÁRIA RETANGULAR DE EMBUTIR COM ALETAS DE ALUMÍNIO PARA 4 LÂMPADAS TUBULARES DE LED
18/20W</t>
  </si>
  <si>
    <t>LUMINÁRIA RETANGULAR DE EMBUTIR COM ALETAS DE ALUMÍNIO PARA 4 LÂMPADAS TUBULARES DE LED 9/10W</t>
  </si>
  <si>
    <t>LUMINÁRIA RETANGULAR DE SOBREPOR COM ALETAS DE ALUMÍNIO PARA 2 LÂMPADAS TUBULARES DE LED
9/10W</t>
  </si>
  <si>
    <t>REFLETOR EM CHAPA DE ALUMÍNIO PARA LÂMPADA VAPOR METÁLICO 250W - SOQUETE E40 - COMPLETO</t>
  </si>
  <si>
    <t>PINUS - PONTALETE DE 5 X 5 CM - BRUTO</t>
  </si>
  <si>
    <t>PARAFUSO DRYWALL, EM ACO FOSFATIZADO, CABECA TROMBETA E PONTA AGULHA - ESPESSURA 3,5 MM E
COMPRIMENTO 25 MM</t>
  </si>
  <si>
    <t>PARAFUSO PARA LOUÇAS SANITÁRIAS 10MM - COMPRIMENTO 80MM</t>
  </si>
  <si>
    <t>PARAFUSO SEXTAVADO 10MM - COMPRIMENTO 80MM - COM BUCHA</t>
  </si>
  <si>
    <t>PARAFUSO ZINCADO, SEXTAVADO, COM ROSCA INTEIRA, DIAMETRO 1/4", COMPRIMENTO 1/2" INCLUSIVE
ARRUELA LISA 1/4" ZINCADA</t>
  </si>
  <si>
    <t>PISO EMBORRACHADO PARA AMORTECIMENTO DE IMPACTO, ESPESSURA 2,5 CM OU SIMILAR QUE ATENDA ABSORÇÃO DE IMPACTO A QUEDA DE ALTURA DE 1,20M CONFORME NBR 16071</t>
  </si>
  <si>
    <t>PISO EMBORRACHADO PARA AMORTECIMENTO DE IMPACTO, ESPESSURA 5,0 CM OU SIMILAR QUE ATENDA
ABSORÇÃO DE IMPACTO A QUEDA DE ALTURA DE 1,50M CONFORME NBR 16071</t>
  </si>
  <si>
    <t>ABACAXI ROXO (TRADESCANIA SPATHACEA)</t>
  </si>
  <si>
    <t>BEIJO PINTADO (IMPATIENS HAWKERI)</t>
  </si>
  <si>
    <t>BOCA DE LEÃO (ANTIRRHINUM MAJUS)</t>
  </si>
  <si>
    <t>CÓLEUS (COLEUS SCUTELLARIOIDES)</t>
  </si>
  <si>
    <t>GRAMA AMENDOIM (ARACHIS REPENS)</t>
  </si>
  <si>
    <t>MORÉIA (DIETES IRIDIOIDES)</t>
  </si>
  <si>
    <t>GRAMA SINTÉTICA ESPORTIVA, COM ALTURA DE 50 MM, FIOS EM POLIETILENO, 12.000 DETEX, ESPESSURA
MÍNIMA DE FIOS DE 300 MICRAS, PROTEÇÃO CONTRA RAIOS UV</t>
  </si>
  <si>
    <t>TAPE PARA JUNÇÃO DE TAPETES DE GRAMA SINTÉTICA</t>
  </si>
  <si>
    <t>PROJETOR PARA USO EXTERNO PARA LAMPADA DE LED DE 200 W COM LAMPADA - FORMATO RETANGULAR,
CORPO DE ALUMINIO E DIFUSOR DE VIDRO - PROTOTIPO COMERCIAL (INTRAL)</t>
  </si>
  <si>
    <t>PUXADOR ALAVANCA MAXIM-AR PARA JANELA</t>
  </si>
  <si>
    <t>BRAÇO PROJETADO PARA FIXAÇÃO EM POSTE</t>
  </si>
  <si>
    <t>Item</t>
  </si>
  <si>
    <t>Unidade</t>
  </si>
  <si>
    <t>Porta veneziana de abrir em alumínio, sob medida</t>
  </si>
  <si>
    <t>Porta em alumínio anodizado de correr, sob medida - bronze/preto</t>
  </si>
  <si>
    <t>Cuba em aço inoxidável dupla de 715x400x140mm</t>
  </si>
  <si>
    <t>RASPAGEM, ESTUCAMENTO E POLIMENTO DE GRANILITE</t>
  </si>
  <si>
    <t>3.70.79</t>
  </si>
  <si>
    <t>VIDRO LISO INCOLOR LAMINADO 4+4MM COM FILME PVB</t>
  </si>
  <si>
    <t>CORTE, RECORTE E REMOÇÃO DE ÁRVORES INCL.RAIZES 15CM&lt;DIAM&lt;30CM</t>
  </si>
  <si>
    <t>CORTE, RECORTE E REMOÇÃO DE ÁRVORES INCL.RAIZES 30CM&lt;DIAM&lt;45CM</t>
  </si>
  <si>
    <t>CORTE, RECORTE E REMOÇÃO DE ÁRVORES INCL.RAIZES 45CM&lt;DIAM&lt;60CM</t>
  </si>
  <si>
    <t>CORTE, RECORTE E REMOÇÃO DE ÁRVORES INCL.RAIZES 60CM&lt;DIAM&lt;100CM</t>
  </si>
  <si>
    <t>CORTE, RECORTE E REMOÇÃO DE ÁRVORES INCL.RAIZES DIAM &gt;100CM</t>
  </si>
  <si>
    <t>CORTE RASO, RECORTE E REMOÇÃO DE ÁRVORES 45CM&lt;DIAM&lt;60CM</t>
  </si>
  <si>
    <t>CORTE RASO, RECORTE E REMOÇÃO DE ÁRVORES 60CM&lt;DIAM&lt;100CM</t>
  </si>
  <si>
    <t>CORTE RASO, RECORTE E REMOÇÃO DE ÁRVORES 150CM&lt;DIAM&lt;250CM</t>
  </si>
  <si>
    <t>CORTE RASO, RECORTE E REMOÇÃO DE ÁRVORES 250CM&lt;DIAM&lt;350CM</t>
  </si>
  <si>
    <t>REMOÇAO DE RAIZES (DESTOCA) REMANESCENTE DE TRONCO DE ARVORE 60CM&lt;DIAM&lt;100CM.</t>
  </si>
  <si>
    <t>REMOÇAO DE RAIZES (DESTOCA) REMANESCENTE DE TRONCO DE ARVORE 100CM&lt;DIAM&lt;150CM.</t>
  </si>
  <si>
    <t>REMOÇAO DE RAIZES (DESTOCA) REMANESCENTE DE TRONCO DE ARVORE 150CM&lt;DIAM&lt;250CM</t>
  </si>
  <si>
    <t>REMOÇAO DE RAIZES (DESTOCA) REMANESCENTE DE TRONCO DE ARVORE 250CM&lt;DIAM&lt;350CM</t>
  </si>
  <si>
    <t xml:space="preserve">MOVIMENTO DE TERRA MANUAL </t>
  </si>
  <si>
    <t xml:space="preserve">TRANSPORTE POR CAMINHAO            </t>
  </si>
  <si>
    <t>01.03</t>
  </si>
  <si>
    <t xml:space="preserve">MOVIMENTO DE TERRA MECANIZADO </t>
  </si>
  <si>
    <t xml:space="preserve">TRANSPORTE POR CAMINHAO               </t>
  </si>
  <si>
    <t>01.04</t>
  </si>
  <si>
    <t>ESCORAMENTO DE TERRA</t>
  </si>
  <si>
    <t>01.05</t>
  </si>
  <si>
    <t xml:space="preserve">ESCAVAÇÃO MANUAL EM TERRA </t>
  </si>
  <si>
    <t xml:space="preserve">APILOAMENTO E ATERRO DE CAVAS </t>
  </si>
  <si>
    <t>01.07</t>
  </si>
  <si>
    <t>LASTRO DE PEDRA BRITADA OU DE CONCRETO SIMPLES</t>
  </si>
  <si>
    <t>01.08</t>
  </si>
  <si>
    <t xml:space="preserve">DRENAGEM DO TERRENO </t>
  </si>
  <si>
    <t>TUBO CONCRETO ARMADO (PA-1) COM PONTA E BOLSA Ø 80CM NBR 8890/2007</t>
  </si>
  <si>
    <t>TUBO CONCRETO ARMADO (PA-1) COM PONTA E BOLSA Ø 100CM NBR 8890/2007</t>
  </si>
  <si>
    <t>TUBO CONCRETO ARMADO (PA-1) COM PONTA E BOLSA Ø 120CM NBR 8890/2007</t>
  </si>
  <si>
    <t>01.50</t>
  </si>
  <si>
    <t>DEMOLIÇÕES</t>
  </si>
  <si>
    <t>01.60</t>
  </si>
  <si>
    <t xml:space="preserve">RETIRADAS </t>
  </si>
  <si>
    <t>01.70</t>
  </si>
  <si>
    <t>RECOLOCAÇÕES</t>
  </si>
  <si>
    <t>01.80</t>
  </si>
  <si>
    <t xml:space="preserve">CONSERVAÇÃO - SERVIÇOS PRELIMINARES </t>
  </si>
  <si>
    <t xml:space="preserve">02. </t>
  </si>
  <si>
    <t xml:space="preserve">ESCAVAÇÃO </t>
  </si>
  <si>
    <t xml:space="preserve">FUNDAÇÃO PROFUNDA </t>
  </si>
  <si>
    <t>TUBULÕES ESCAVAÇÃO MANUAL - DIÂMETRO MÍNIMO DE 100CM</t>
  </si>
  <si>
    <t>TUBULÕES ENCAMISAMENTO COM ANEL DE CONCRETO PREMOLDADO DIÂMETRO EXTERNO Ø 100CM H=50CM E=3,50 CM</t>
  </si>
  <si>
    <t>ESTACA PRE-MOLDADA CONCRETO SECÃO ATE 289 CM2 CRAVADA</t>
  </si>
  <si>
    <t>ESTACA PRE-MOLDADA CONCRETO SECÃO DE 290 A 429 CM2 CRAVADA</t>
  </si>
  <si>
    <t>ESTACA PRE-MOLDADA CONCRETO SECÃO DE 430 A 569 CM2 CRAVADA</t>
  </si>
  <si>
    <t>ESTACA PRE-MOLDADA CONCRETO SECÃO DE 570 A 714 CM2 CRAVADA</t>
  </si>
  <si>
    <t>ESTACA PRE-MOLDADA CONCRETO SECÃO DE 715 A 999 CM2 CRAVADA</t>
  </si>
  <si>
    <t xml:space="preserve">FORMA </t>
  </si>
  <si>
    <t>02.04</t>
  </si>
  <si>
    <t>ARMADURA</t>
  </si>
  <si>
    <t>ARMAÇAO TELA DE POLIESTER REFORÇADA COM FIBRA DE VIDRO (PRFV ) MALHA QUADRADA 15CM X 15CM DENSIDADE 0,38KG/M2 INCLUSIVE ESPAÇADOR E AMARRAÇAO</t>
  </si>
  <si>
    <t>ARMAÇAO TELA DE POLIESTER REFORÇADA COM FIBRA DE VIDRO (PRFV ) MALHA QUADRADA 10CM X 10CM DENSIDADE 0,37 KG/M2 INCLUSIVE ESPAÇADOR E AMARRAÇAO</t>
  </si>
  <si>
    <t>ARMAÇAO TELA DE POLIESTER REFORÇADA COM FIBRA DE VIDRO (PRFV ) MALHA QUADRADA 10CM X 10CM DENSIDADE 0,58KG/M2 INCLUSIVE ESPAÇADOR E AMARRAÇAO</t>
  </si>
  <si>
    <t>ARMAÇAO TELA DE POLIESTER REFORÇADA COM FIBRA DE VIDRO (PRFV ) MALHA QUADRADA 10CM X 10CM DENSIDADE 2,05KG/M2 INCLUSIVE ESPAÇADOR E AMARRAÇAO</t>
  </si>
  <si>
    <t>CONCRETO</t>
  </si>
  <si>
    <t xml:space="preserve">EMBASAMENTO </t>
  </si>
  <si>
    <t>02.07</t>
  </si>
  <si>
    <t>IMPERMEABILIZAÇÕES</t>
  </si>
  <si>
    <t>02.50</t>
  </si>
  <si>
    <t>02.60</t>
  </si>
  <si>
    <t>02.70</t>
  </si>
  <si>
    <t>02.80</t>
  </si>
  <si>
    <t>CONSERVAÇÃO - INFRAESTRUTURA</t>
  </si>
  <si>
    <t>SUPERESTRUTURA</t>
  </si>
  <si>
    <t>ESTRUTURA DE MADEIRA</t>
  </si>
  <si>
    <t>03.50</t>
  </si>
  <si>
    <t>03.60</t>
  </si>
  <si>
    <t>03.70</t>
  </si>
  <si>
    <t>03.80</t>
  </si>
  <si>
    <t>CONSERVAÇÃO - SUPERESTRUTURA</t>
  </si>
  <si>
    <t xml:space="preserve">04. </t>
  </si>
  <si>
    <t xml:space="preserve">ALVENARIA E OUTROS ELEMENTOS DIVISÓRIOS </t>
  </si>
  <si>
    <t xml:space="preserve">ALVENARIA </t>
  </si>
  <si>
    <t>FORMA PILAR QUADRA DE ESPORTES BLOCO DE CONCRETO 39x19x39CM 3 Mpa</t>
  </si>
  <si>
    <t xml:space="preserve">ELEMENTOS VAZADOS </t>
  </si>
  <si>
    <t>ELEMENTO VAZADO DE CONCRETO TIPO QUADRICULADO 25 FUROS 39X39X8CM NEOREX 19C</t>
  </si>
  <si>
    <t xml:space="preserve">PLACAS DIVISÓRIAS </t>
  </si>
  <si>
    <t>DIVISORIA DV-03 CR SANITARIO / VESTIARIO FUNCIONARIOS USO EXCLUSIVO PADRÃO CRECHE</t>
  </si>
  <si>
    <t>DIVISORIA DE PLACA DE GESSO ACARTONADO STANDARD 15MM ESPESSURA 100/70 COM LÃ MINERAL. FORNECIDA E INSTALADA</t>
  </si>
  <si>
    <t>DIVISORIA DE PLACA DE GESSO ACARTONADO STANDARD 15MM ESPESSURA 120/90 COM LÃ MINERAL. FORNECIDA E INSTALADA</t>
  </si>
  <si>
    <t>04.50</t>
  </si>
  <si>
    <t>04.60</t>
  </si>
  <si>
    <t>04.70</t>
  </si>
  <si>
    <t xml:space="preserve">RECOLOCAÇÃO - ALVENARIA E OUTROS ELEMENTOS DIVISÓRIOS </t>
  </si>
  <si>
    <t>04.80</t>
  </si>
  <si>
    <t xml:space="preserve">CONSERVAÇÃO - ALVENARIA E OUTROS ELEMENTOS DIVISÓRIOS </t>
  </si>
  <si>
    <t>DIVISORIA CHAPA COMPENSADO E=4MM G1-C8 AMBAS FACES INCL ENTARUGAMENTO</t>
  </si>
  <si>
    <t xml:space="preserve">05. </t>
  </si>
  <si>
    <t>ELEMENTOS DE MADEIRA/COMPONENTES ESPECIAIS</t>
  </si>
  <si>
    <t>PM-80 PORTA SARRAFEADA MACICA PARA HALL DO ELEVADOR BAT. MAD.</t>
  </si>
  <si>
    <t>05.02</t>
  </si>
  <si>
    <t xml:space="preserve">JANELAS </t>
  </si>
  <si>
    <t>05.03</t>
  </si>
  <si>
    <t xml:space="preserve">FERRAGENS </t>
  </si>
  <si>
    <t xml:space="preserve">QUADRO NEGRO / QUADROS DE AVISO </t>
  </si>
  <si>
    <t>05.05</t>
  </si>
  <si>
    <t xml:space="preserve">OUTROS COMPONENTES PADRONIZADOS </t>
  </si>
  <si>
    <t>PRATELEIRA DE GRANILITE POLIDO ESPESSURA 40MM COR CINZA APLICADA NA BIBLIOTECA    USO EXCLUSIVO PADRAO CRECHE</t>
  </si>
  <si>
    <t>05.06</t>
  </si>
  <si>
    <t xml:space="preserve">OUTOS COMPONENTES </t>
  </si>
  <si>
    <t>05.50</t>
  </si>
  <si>
    <t>05.60</t>
  </si>
  <si>
    <t>05.70</t>
  </si>
  <si>
    <t>RECOLOCAÇÃO - ELEMENTOS DE MADEIRA/COMPONENTES ESPECIAIS</t>
  </si>
  <si>
    <t>05.80</t>
  </si>
  <si>
    <t>CONSERVAÇÃO - ELEMENTOS DE MADEIRA/COMPONENTES ESPECIAIS - PARTE 1</t>
  </si>
  <si>
    <t>05.81</t>
  </si>
  <si>
    <t>CONSERVAÇÃO - ELEMENTOS DE MADEIRA/COMPONENTES ESPECIAIS - PARTE 2</t>
  </si>
  <si>
    <t>CONJUNTO FERRAGEM PORTAS INTERNAS E EXTERNAS 1 FOLHA - COM DOBRADIÇA DE FERRO POLIDO</t>
  </si>
  <si>
    <t>05.82</t>
  </si>
  <si>
    <t xml:space="preserve">CONSERVAÇÃO </t>
  </si>
  <si>
    <t xml:space="preserve">06. </t>
  </si>
  <si>
    <t xml:space="preserve">ELEMENTOS METÁLICOS / COMPONENTES ESPECIAIS </t>
  </si>
  <si>
    <t>CX-06 CAIXILHO FIXO PERFIL LAMINADO 2MM USO EXCLUSIVO PADRAO CRECHE</t>
  </si>
  <si>
    <t>EF-31 ESQUADRIA DE FERRO VENTILAÇÃO CRUZADA (90X65CM)</t>
  </si>
  <si>
    <t>EF-32 ESQUADRIA DE FERRO VENTILAÇÃO CRUZADA (90X75CM)</t>
  </si>
  <si>
    <t>PORTAS</t>
  </si>
  <si>
    <t>PF-20 PORTA DE FERRO COM BANDEIRA CHAPA PERFURADA L=180CM</t>
  </si>
  <si>
    <t>MONTANTE DA PORTA PF-A TUBO AÇO GALVANIZADO 100X100 MM ESPESSURA 3MM. USO EXCLUSIVO PADRAO CRECHE</t>
  </si>
  <si>
    <t>PF-D PORTA DE CORRER QUATRO FOLHAS ADAPTADA MODELO PF-11 USO EXCLUSIVO PADRAO CRECHE</t>
  </si>
  <si>
    <t>PF-C PORTA CAIXILHO 93X215 CM ADAPTADA MODELO PF-27 USO EXCLUSIVO PADRAO CRECHE</t>
  </si>
  <si>
    <t>06.03</t>
  </si>
  <si>
    <t>OUTROS ELEMENTOS METÁLICOS</t>
  </si>
  <si>
    <t>TP-03 TELA DE PROTEÇÃO ARAME GALVANIZADO ONDULADO - REQUADRO DE FERRO</t>
  </si>
  <si>
    <t>CHAPA PERFURADA GALV 14(FUROS REDONDOS E ALTERNADOS 3/8")AREA PERF 48%</t>
  </si>
  <si>
    <t>BANCO COM ASSENTO DE CONCRETO ARMADO LISO DESEMPENADO COM PINTURA VERNIZ ACRÍLICO ARMAÇAO ENGASTADA NA LAJE DE PISO E PILARETE BLOCO CONCRETO REVESTIDO</t>
  </si>
  <si>
    <t>BR-12 BARRA DE APOIO COM FIXAÇAO LATERAL MICTORIO INDIVIDUAL</t>
  </si>
  <si>
    <t>CO-41 GUARDA-CORPO COM CHAPA PERFURADA H=110CM AÇO GALVANIZADO COM PINTURA ESMALTE</t>
  </si>
  <si>
    <t>CO-43 GUARDA-CORPO COM GRADIL DE FECHAMENTO H=110CM AÇO GALVANIZADO COM PINTURA ESMALTE</t>
  </si>
  <si>
    <t>CO-44 GUARDA-CORPO COM GRADIL DE FECHAMENTO H=130CM AÇO GALVANIZADO COM PINTURA ESMALTE</t>
  </si>
  <si>
    <t>CO-45 GUARDA-CORPO TUBULAR COM GRADIL DE FECHAMENTO H=110CM AÇO GALVANIZADO COM PINTURA ESMALTE</t>
  </si>
  <si>
    <t>CO-46 GUARDA-CORPO TUBULAR COM GRADIL DE FECHAMENTO H=130CM AÇO GALVANIZADO COM PINTURA ESMALTE</t>
  </si>
  <si>
    <t>QE-38 TABELA DE BASQUETE INCLUSIVE GALVANIZAÇÃO A FOGO E PINTURA ESMALTE FUNDACAO BROCA Ø 25CM</t>
  </si>
  <si>
    <t>06.50</t>
  </si>
  <si>
    <t>06.60</t>
  </si>
  <si>
    <t>06.70</t>
  </si>
  <si>
    <t xml:space="preserve">RECOLOCAÇÃO - ELEMENTOS METÁLICOS / COMPONENTES ESPECIAIS </t>
  </si>
  <si>
    <t>06.80</t>
  </si>
  <si>
    <t xml:space="preserve">CONSERVAÇÃO - ELEMENTOS METÁLICOS / COMPONENTES ESPECIAIS </t>
  </si>
  <si>
    <t xml:space="preserve">07. </t>
  </si>
  <si>
    <t xml:space="preserve">COBERTURA </t>
  </si>
  <si>
    <t>ESTRUTURA DE COBERTURA EM MADEIRA DE LEI</t>
  </si>
  <si>
    <t>ESTRUTURA DE COBERTURA EM TERÇA 6X12CM PARA TELHA ONDULADA CRFS SOBRE BASE E PILARETE CONCRETO USO EXCLUSIVO PADRAO CRECHE</t>
  </si>
  <si>
    <t xml:space="preserve">ESTRUTURA DE COBERTURA METÁLICA </t>
  </si>
  <si>
    <t>07.03</t>
  </si>
  <si>
    <t>TELHA TECNOLOGIA CRFS MAXIPLAC H=125MM E=6MM</t>
  </si>
  <si>
    <t>TELHA TECNOLOGIA CRFS MAXIPLAC H=125MM E=8MM</t>
  </si>
  <si>
    <t>TELHA GALVALUME / ACO GALV ACAB. NATURAL ONDULADA CRFS E=0,65MM</t>
  </si>
  <si>
    <t>TELHA GALVALUME / ACO GALV ACABAMENTO.NATURAL TRAPEZ H=40MM .E=0,65MM</t>
  </si>
  <si>
    <t>TELHA GALVALUME / ACO GALV ACABAMENTO.NATURAL TRAPEZ H=100MM .E=0,65MM</t>
  </si>
  <si>
    <t>TELHA GALVALUME / ACO GALV SANDUICHE E=30MM (PIR) TRAPEZ H=40MM NAS DUAS FACES E= 0,50MM COM PINT FACES APARENTES</t>
  </si>
  <si>
    <t>TELHA GALVALUME / ACO GALV SANDUICHE E=50MM (PIR) TRAPEZ H=40MM NAS DUAS FACES E= 0,50MM COM PINT FACES APARENTES</t>
  </si>
  <si>
    <t>TELHA GALVALUME / ACO GALV SANDUICHE E=30MM (PIR) SUPERIOR TRAPEZ H=40MM / INFERIOR PLANO E= 0,50MM COM PINT FACES APARENTES</t>
  </si>
  <si>
    <t>TELHA GALVALUME / ACO GALV SANDUICHE E=50MM (PIR) SUPERIOR TRAPEZ H=40MM / INFERIOR PLANO E= 0,50MM COM PINT FACES APARENTES</t>
  </si>
  <si>
    <t>TELHA GALVALUME / ACO GALV ACABAMENTO.NATURAL TRAPEZ H=100MM .E=0,80MM</t>
  </si>
  <si>
    <t>07.04</t>
  </si>
  <si>
    <t>PEÇAS PARA COBERTURA</t>
  </si>
  <si>
    <t>CUMEEIRA DE ACO PINT PO OU COIL-COATING LISA OU LISA DENTADA E=0.5MM</t>
  </si>
  <si>
    <t>CUMEEIRA ACO GALV PINT PO/COIL-COATING PERFIL TRAPEZ H=100MM E=0,65MM</t>
  </si>
  <si>
    <t xml:space="preserve">FECHAMENTOS / VEDAÇÕES / PEÇAS PARA COBERTURA </t>
  </si>
  <si>
    <t>FECHAMENTO TELHA PERF GALVALUME / ACO GALV TRAPEZ H=40MM E=0,65MM PINT PO 2 FACES Ø FURO ATE 3,17MM AREA PERFURADA ATÉ 40%</t>
  </si>
  <si>
    <t>FECHAMENTO TELHA PERF GALVALUME / ACO GALV TRAPEZ H=35MM E=0,65MM PINT PO 2 FACES Ø FURO ATE 3,17MM AREA PERFURADA ATÉ 40%</t>
  </si>
  <si>
    <t>FECHAMENTO TELHA GALVALUME / AÇO GALV TRAP H=40MM E=0,80MM PINT PO 2 FACES USO EXCLUSIVO FUNDO Q. ESPORTES</t>
  </si>
  <si>
    <t>FECHAMENTO TELHA PERF GALVALUME / AÇO GALV TRAP H=40MM E=0,80MM PINT PO 2 FACES Ø FURO ATE 3,17MM AREA PERFURADA ATE 40% USO EXCLUSIVO LATERAL Q. ESPORTES</t>
  </si>
  <si>
    <t>07.50</t>
  </si>
  <si>
    <t>07.51</t>
  </si>
  <si>
    <t>RETIRADA DE TELHAS OND DE FIBRO-CIM/PLAST OU ALUM/PLANA PRE FAB -S/REAPROV</t>
  </si>
  <si>
    <t>07.70</t>
  </si>
  <si>
    <t xml:space="preserve">RECOLOCAÇÃO </t>
  </si>
  <si>
    <t>07.80</t>
  </si>
  <si>
    <t xml:space="preserve">CONSERVAÇÃO - COBERTURA </t>
  </si>
  <si>
    <t>TELHA GALVALUME / ACO GALV AUTOPORTANTE DOIS APOIOS VÃO MÁXIMO ATÉ 11METROS E=0,80MM H=260MM ACABAMENTO NATURAL</t>
  </si>
  <si>
    <t>TELHA GALVALUME / ACO GALV AUTOPORTANTE DOIS APOIOS VÃO MÁXIMO ATÉ 11 METROS E=0,80MM H=260MM ACABAMENTO NATURAL SANDUICHE DE LÃ DE ROCHA E=50 MM ENVELOPADA</t>
  </si>
  <si>
    <t>TELHA GALVALUME / ACO GALV AUTOPORTANTE DOIS APOIOS VÃO MÁXIMO ATÉ 11 METROS E=0,80MM H=260MM FACE INFERIOR PINTADA SANDUICHE DE LÃ DE ROCHA E=50 MM ENVELOPADA</t>
  </si>
  <si>
    <t xml:space="preserve">08. </t>
  </si>
  <si>
    <t xml:space="preserve">INSTALAÇÕES HIDRÁULICAS </t>
  </si>
  <si>
    <t xml:space="preserve">CAVALETE E ABRIGO </t>
  </si>
  <si>
    <t>ABRIGO E REDE DE GÁS</t>
  </si>
  <si>
    <t xml:space="preserve">REDE DE ÁGUA FRIA: TUBULAÇÕES </t>
  </si>
  <si>
    <t>08.04</t>
  </si>
  <si>
    <t>REDE DE ÁGUA FRIA: DEMAIS SERVIÇOS</t>
  </si>
  <si>
    <t>REDE DE ÁGUA QUENTE: DEMAIS SERVIÇOS</t>
  </si>
  <si>
    <t>PROTEÇAO EM ALUMINIO CORRUGADO E= 0,15MM PARA TUBO DE COBRE DN 15MM AGUA QUENTE INCL AMARRAÇAO</t>
  </si>
  <si>
    <t>PROTEÇAO EM ALUMINIO CORRUGADO E= 0,15MM PARA TUBO DE COBRE DN 22MM AGUA QUENTE INCL AMARRAÇAO</t>
  </si>
  <si>
    <t>PROTEÇAO EM ALUMINIO CORRUGADO E=0,15MM PARA TUBO DE COBRE DN 28MM AGUA QUENTE INCL AMARRAÇAO</t>
  </si>
  <si>
    <t>PROTEÇAO EM ALUMINIO CORRUGADO E= 0,15MM PARA TUBO DE COBRE DN 35MM AGUA QUENTE INCL AMARRAÇAO</t>
  </si>
  <si>
    <t>VALVULA DE DESCARGA C/ACIONAMENTO DUPLO FLUXO REGISTRO E ACABAM. DN 32MM 1 1/4"</t>
  </si>
  <si>
    <t>VALVULA DE DESCARGA C/ACIONAMENTO DUPLO FLUXO REGISTRO E ACABAM. DN 40MM 1 1/2"</t>
  </si>
  <si>
    <t>SISTEMA DE AQUECIMENTO SOLAR</t>
  </si>
  <si>
    <t>SISTEMA DE AQUECIMENTO SOLAR BOILER 1000 LITROS AÇO INOX ALTA PRESSAO COM 10 PLACAS COLETORAS 175x100x6,5 CM FORNECIDO E INSTALADO USO EXCLUSIVO PADRÃO CRECHE</t>
  </si>
  <si>
    <t>SISTEMA DE AQUECIMENTO SOLAR BOILER 1.500 LITROS AÇO INOX ALTA PRESSAO COM 18 PLACAS COLETORAS 185x85 CM FORNECIDO E INSTALADO USO EXCLUSIVO PADRÃO PEROBAL</t>
  </si>
  <si>
    <t>COMBATE A INCÊNDIO</t>
  </si>
  <si>
    <t>08.08</t>
  </si>
  <si>
    <t xml:space="preserve">COMBATE A INCÊNDIO: DEMAIS SERVIÇOS </t>
  </si>
  <si>
    <t>AH-04 ABRIGO PARA HIDRANTE COM MANGUEIRA 1 1/2" E ESGUICHO REGULAVEL</t>
  </si>
  <si>
    <t>REDE DE ESGOTO: TUBULAÇÕES</t>
  </si>
  <si>
    <t>TUBO DE FERRO FUNDIDO DN 50MM (2") - INCLUSIVE CONEXOES - DESC</t>
  </si>
  <si>
    <t>TUBO DE FERRO FUNDIDO DN 75MM (3") - INCLUSIVE CONEXOES - DESC</t>
  </si>
  <si>
    <t>TUBO DE FERRO FUNDIDO DN 100MM (4") - INCLUSIVE CONEXOES - DESC</t>
  </si>
  <si>
    <t xml:space="preserve">REDE DE ESGOTO: DEMAIS SERVIÇOS </t>
  </si>
  <si>
    <t>08.11</t>
  </si>
  <si>
    <t>REDE DE ÁGUAS PLUVIAIS: TUBULAÇÕES</t>
  </si>
  <si>
    <t>08.12</t>
  </si>
  <si>
    <t xml:space="preserve">REDE DE ÁGUAS PLUVIAIS: DEMAIS SERVIÇOS </t>
  </si>
  <si>
    <t>CALHA OU AGUA FURTADA EM CHAPA GALV N 26 E=0,50 MM DESENVOLVIMENTO CONSULTAR DETALHE NO PE-ARQ</t>
  </si>
  <si>
    <t>CALHA OU AGUA FURTADA EM CHAPA GALV N 24 E=0,65 MM DESENVOLVIMENTO CONSULTAR DETALHE NO PE-ARQ</t>
  </si>
  <si>
    <t>RUFO EM CHAPA GALV N 26 E=0,50 MM DESENVOLVIMENTO CONSULTAR DETALHE NO PE-ARQ</t>
  </si>
  <si>
    <t>RUFO EM CHAPA GALV N 24 E=0,65MM DESENVOLVIMENTO CONSULTAR DETALHE NO PE-ARQ</t>
  </si>
  <si>
    <t>08.13</t>
  </si>
  <si>
    <t>RESERVATÓRIO: INSTALAÇÕES - TUBULAÇÕES</t>
  </si>
  <si>
    <t>08.14</t>
  </si>
  <si>
    <t xml:space="preserve">RESERVATÓRIO: DEMAIS SERVIÇOS </t>
  </si>
  <si>
    <t>08.15</t>
  </si>
  <si>
    <t xml:space="preserve">BEBEDOUROS, LAVATÓRIOS E MICTÓRIOS PADRONIZADOS </t>
  </si>
  <si>
    <t>BB-02 BEBEDOURO ACESSÍVEL ÁGUA REFRIGERADA PRESSÃO MÍNIMA 8MCA -FORNECIDO E INSTALADO</t>
  </si>
  <si>
    <t>08.16</t>
  </si>
  <si>
    <t>LOUÇAS</t>
  </si>
  <si>
    <t>BR-02 LAVATORIO PARA SANITARIO ACESSIVEL</t>
  </si>
  <si>
    <t>BR-03 CONJUNTO LAVATORIO E BACIA ACESSIVEIS</t>
  </si>
  <si>
    <t>08.17</t>
  </si>
  <si>
    <t>08.50</t>
  </si>
  <si>
    <t>08.60</t>
  </si>
  <si>
    <t>08.70</t>
  </si>
  <si>
    <t xml:space="preserve">RECOLOCAÇÃO - INSTALAÇÕES HIDRÁULICAS </t>
  </si>
  <si>
    <t>08.80</t>
  </si>
  <si>
    <t xml:space="preserve">CONSERVAÇÃO - REDE DE GÁS E ÁGUA FRIA </t>
  </si>
  <si>
    <t>LAUDO COM TESTE DE ESTANQUEIDADE EM INSTAL.DE REDES DE DISTRIB.DE GÁS COMBUST.NBR 15526/07</t>
  </si>
  <si>
    <t>08.82</t>
  </si>
  <si>
    <t xml:space="preserve">CONSERVAÇÃO - REDE DE ESGOTO E ÁGUAS PLUVIAIS </t>
  </si>
  <si>
    <t>08.84</t>
  </si>
  <si>
    <t>COSERVAÇÃO DE APARELHOS E METAIS</t>
  </si>
  <si>
    <t>08.86</t>
  </si>
  <si>
    <t xml:space="preserve">CONSERVAÇÃO - TRATAMENTO DE DESPEJOS SANITÁRIOS </t>
  </si>
  <si>
    <t xml:space="preserve">09. </t>
  </si>
  <si>
    <t xml:space="preserve">INSTALAÇÕES ELÉTRICAS </t>
  </si>
  <si>
    <t xml:space="preserve">LIGAÇÕES EM TENSÃO PRIMÁRIA - POSTE / CABINE DE MEDIÇÃO E TRANSFORMAÇÃO </t>
  </si>
  <si>
    <t>TE-01 ENTRADA PRIMÁRIA SIMPLIF. POSTE UNICO - EDP - 112,5 KVA - 15KV- 220/127 V</t>
  </si>
  <si>
    <t>TE-05 ENTRADA PRIMÁRIA SIMPLIF. POSTE UNICO - CPFL - 112,5 KVA - 15KV-220/127 V</t>
  </si>
  <si>
    <t>TE-06 ENTRADA PRIMÁRIA SIMPLIF. POSTE UNICO - CPFL - 150,0 KVA - 15KV-220/127 V</t>
  </si>
  <si>
    <t>TE-07 ENTRADA PRIMÁRIA SIMPLIF. POSTE UNICO - CPFL - 225 KVA - 15KV- 220/127 V</t>
  </si>
  <si>
    <t>TE-08 ENTRADA PRIMÁRIA SIMPLIF. POSTE UNICO - CPFL - 300 KVA - 15KV- 220/127 V</t>
  </si>
  <si>
    <t>TE-09 ENTRADA PRIMÁRIA SIMPLIF. POSTE UNICO - NEOENERGIA - 112,5 KVA 15KV-220/127 V</t>
  </si>
  <si>
    <t>TE-10 ENTRADA PRIMÁRIA SIMPLIF. POSTE UNICO - NEOENERGIA - 150 KVA 15KV-220/127 V</t>
  </si>
  <si>
    <t>TE-11 ENTRADA PRIMÁRIA SIMPLIF. POSTE UNICO - NEOENERGIA - 225 KVA 15KV-220/127 V</t>
  </si>
  <si>
    <t>TE-12 ENTRADA PRIMÁRIA SIMPLIF. POSTE UNICO - NEOENERGIA - 300 KVA 15KV-220/127 V</t>
  </si>
  <si>
    <t>TRANSFORMADOR TRIFASICO A SECO 112,5KVA 13800V 220/127V ENCAPSULADO USO ABRIGADO</t>
  </si>
  <si>
    <t>TRANSFORMADOR TRIFASICO A SECO 225KVA 13800V 220/127V ENCAPSULADO USO ABRIGADO</t>
  </si>
  <si>
    <t>CABINE PRIMÁRIA BLINDADA SIMPLIFICADA CLASSE 17,5kV, COM MEDICAO EM MEDIA TENSAO ATE 300KVA PADRAO ENEL USO AO TEMPO COM PINTURA EPOXI ELETROSTÁTICA.</t>
  </si>
  <si>
    <t>TE-13 SUBESTAÇAO ENTRADA DE ENERGIA ATE 300KVA BLINDADA 15kV INCLUSO TRANSFORMADOR A SECO 112,50KVA PADRAO ENEL SP USO AO TEMPO COM PINTURA EPOXI ELETROSTÁTICA.</t>
  </si>
  <si>
    <t>TE-14 SUBESTAÇAO ENTRADA DE ENERGIA ATE 300KVA BLINDADA 15kV INCLUSO TRANSFORMADOR A SECO 150 KVA PADRAO ENEL SP USO AO TEMPO COM PINTURA EPOXI ELETROSTÁTICA.</t>
  </si>
  <si>
    <t>TE-15 SUBESTAÇAO ENTRADA DE ENERGIA ATE 300KVA BLINDADA 15kV INCLUSO TRANSFORMADOR A SECO 225 KVA PADRAO ENEL SP USO AO TEMPO COM PINTURA EPOXI ELETROSTÁTICA.</t>
  </si>
  <si>
    <t>TE-16 SUBESTAÇAO ENTRADA DE ENERGIA ATE 300KVA BLINDADA 15kV INCLUSO TRANSFORMADOR A SECO 300 KVA PADRAO ENEL SP USO AO TEMPO COM PINTURA EPOXI ELETROSTÁTICA.</t>
  </si>
  <si>
    <t xml:space="preserve">ENTRADA EM BAIXA TENSÃO </t>
  </si>
  <si>
    <t>AE-24 ABRIGO E ENTRADA DE ENERGIA (CAIXA M, T e E) COM LEITURA VOLTADA PARA CALÇADA AES ELETROPAULO</t>
  </si>
  <si>
    <t>AE-23 ABRIGO E ENTRADA DE ENERGIA (CAIXA M, T e IV) COM LEITURA VOLTADA PARA CALÇADA - CPFL, EDP BANDEIRANTE E ELEKTRO</t>
  </si>
  <si>
    <t>CONJUNTO PARA ENTRADA DE TELEFONE NA ENTRADA DE ENERGIA</t>
  </si>
  <si>
    <t>CONJUNTO PARA ENTRADA DE TEVE A CABO NA ENTRADA DE ENERGIA</t>
  </si>
  <si>
    <t>09.03</t>
  </si>
  <si>
    <t xml:space="preserve">ENTRADA: INTERLIGAÇÃO AO QUADRO GERAL </t>
  </si>
  <si>
    <t>QUADRO GERAL</t>
  </si>
  <si>
    <t>09.05</t>
  </si>
  <si>
    <t>REDE DE BAIXA TENSÃO: DUTO/QUADROS PARCIAIS LUZ/QUADROS TELEFONE</t>
  </si>
  <si>
    <t>ELETRODUTO GALV. ELETROLITICA / PRE ZINCADO Ø 3/4 (20MM) INCLUSIVE CONEXOES USO INTERNO APARENTE</t>
  </si>
  <si>
    <t>09.05.067</t>
  </si>
  <si>
    <t>QUADRO DISTRIBUICAO , DISJ. GERAL 100 A PARA 24 POSIÇOES DE DISJUNTORES. CAIXA E TAMPA PLASTICO NÃO PROPAGANTE DE CHAMA.</t>
  </si>
  <si>
    <t>09.05.068</t>
  </si>
  <si>
    <t>QUADRO DISTRIBUICAO , DISJ. GERAL 63 A PARA 12 POSIÇOES DE DISJUNTORES. CAIXA E TAMPA PLASTICO NÃO PROPAGANTE DE CHAMA.</t>
  </si>
  <si>
    <t>09.06</t>
  </si>
  <si>
    <t>REDE DE BAIXA TENSÃO: CAIXAS DE PASSAGEM</t>
  </si>
  <si>
    <t>CAIXA DE PASSAGEM PLASTICA DE 4X2 PAREDE DE CONCRETO COM TAMPA REMOVIVEL E ESPAÇADOR DE 10CM</t>
  </si>
  <si>
    <t>CAIXA DE PASSAGEM PLASTICA DE 4X2 PAREDE DE CONCRETO COM TAMPA REMOVIVEL E ESPAÇADOR DE 12CM</t>
  </si>
  <si>
    <t>CAIXA DE PASSAGEM PLASTICA DE 4X2 PAREDE DE CONCRETO COM TAMPA REMOVIVEL E ESPAÇADOR DE 14CM</t>
  </si>
  <si>
    <t>CAIXA DE PASSAGEM PLASTICA DE 4X2 PAREDE DE CONCRETO COM TAMPA REMOVIVEL E ESPAÇADOR DE 16CM</t>
  </si>
  <si>
    <t>CAIXA DE PASSAGEM PLASTICA DE 4X4 PAREDE DE CONCRETO COM TAMPA REMOVIVEL E ESPAÇADOR DE 10CM</t>
  </si>
  <si>
    <t>CAIXA DE PASSAGEM PLASTICA DE 4X4 PAREDE DE CONCRETO COM TAMPA REMOVIVEL E ESPAÇADOR DE 12CM</t>
  </si>
  <si>
    <t>CAIXA DE PASSAGEM PLASTICA DE 4X4 PAREDE DE CONCRETO COM TAMPA REMOVIVEL E ESPAÇADOR DE 14CM</t>
  </si>
  <si>
    <t>CAIXA DE PASSAGEM PLASTICA DE 4X4 PAREDE DE CONCRETO COM TAMPA REMOVIVEL E ESPAÇADOR DE 16CM</t>
  </si>
  <si>
    <t>REDE DE BAIXA TENSÃO: ENFIAÇÃO</t>
  </si>
  <si>
    <t>09.08</t>
  </si>
  <si>
    <t>PONTOS DE: INTERRUPTORES E TOMADAS</t>
  </si>
  <si>
    <t>INTERRUPTOR DE 1 TECLA BIPOLAR SIMPLES EM CX.4"X2"-ELETROD.DE AÇO GALV.A QUENTE</t>
  </si>
  <si>
    <t>TOMADA 2P+T PADRAO NBR 14136, CORRENTE 20A-250V-ELETR.AÇO GALV.A QUENTE</t>
  </si>
  <si>
    <t>2 INTERRUPTORES DE 1 TECLA EM CAIXA 4X4 - ELETROD PVC Ø 25MM FLEXIVEL NB 15465</t>
  </si>
  <si>
    <t>3 INTERRUPTORES DE 1 TECLA EM CAIXA 4X4 - ELETROD PVC Ø 25MM FLEXIVEL NB 15465</t>
  </si>
  <si>
    <t>INTERRUPTOR EM PARALELO EM CAIXA 4X2 - ELETROD PVC Ø 25MM FLEXIVEL NBR 15465</t>
  </si>
  <si>
    <t>TOMADA DE PISO 2P+T PADRAO NBR 14136 CORRENTE 10A-250V - ELETROD PVC Ø 25MM FLEXIVEL NBR 15465</t>
  </si>
  <si>
    <t>TOMADA INDUSTRIAL DE PAREDE 2P+T 32A 220/240V ESTANQUE IP65-ELETR PVC Ø 25MM FLEXIVEL NBR 15465</t>
  </si>
  <si>
    <t>TOMADA INDUSTRIAL DE PAREDE 2P+T 32 AMPERES 220/240V ESTANQUE IP65 ELETROD.PVC RÍGIDO</t>
  </si>
  <si>
    <t>PONTO SECO P/INSTALACAO DE SOM / TV /ALARME / LOGICA EM CONDULETE ALUMINIO 4X2 ELETRODUTO GALV.ELETROLITICA / PRE ZINCADO Ø 3/4 (20MM) USO INTERNO APARENTE</t>
  </si>
  <si>
    <t>09.09</t>
  </si>
  <si>
    <t xml:space="preserve">LUMINÁRIAS INTERNAS </t>
  </si>
  <si>
    <t>IL-103 ARANDELA PARA CIRCULAÇÕES COM LÂMPADA BULBO LED &lt;=13W.</t>
  </si>
  <si>
    <t>IL-104 ARANDELA ALUMÍNIO INCLINADA 45º BLINDADA LÂMPADA BULBO LED &lt;= 13W</t>
  </si>
  <si>
    <t>LUMINÁRIA SOBREPOR LED TUBULAR VIDRO 1X18W TEMPERATURA DE COR 4000ºK</t>
  </si>
  <si>
    <t>IL-89 LUMINÁRIA LED DE EMBUTIR COM DIFUSOR TRANSLÚCIDO &lt;= 24W</t>
  </si>
  <si>
    <t>LUMINARIA DE LED TUBULAR DRIVER INTEGRADO C=594MM H=72MM PARA FIXAÇAO NO PERFILADO COM DIFUSOR ACRILICO TRANSPARENTE - USO EXCLUSIV SALA DE INOVAÇÃO</t>
  </si>
  <si>
    <t>LUMINÁRIA SOBREPOR LED TUBULAR VIDRO 2X18W TEMPERATURA DE COR 4000ºK</t>
  </si>
  <si>
    <t>IL-99 LUMINÁRIA LED SUSPENSA &lt;= 150W Ø 270 MM INSTALAÇÃO ACIMA DE 5M</t>
  </si>
  <si>
    <t>IL-99 LUMINÁRIA LED SUSPENSA &lt;= 150W Ø 450 MM INSTALAÇÃO ACIMA DE 5M</t>
  </si>
  <si>
    <t>IL-98 LUMINÁRIA LED SUSPENSA &lt;= 68W Ø 385 MM . .</t>
  </si>
  <si>
    <t>09.10</t>
  </si>
  <si>
    <t xml:space="preserve">CENTRO DE LUZ </t>
  </si>
  <si>
    <t>PROLONGADOR CAIXA DE PASSAGEM PLASTICA LAJE DE CONCRETO</t>
  </si>
  <si>
    <t>CENTRO DE LUZ EM CONDULETE ALUMINIO 4X2 ELETRODUTO GALV.ELETROLITICA / PRE ZINCADO Ø 3/4 (20MM) USO INTERNO APARENTE</t>
  </si>
  <si>
    <t>CENTRO DE LUZ CAIXA DE PASSAGEM PLASTICA DECAGONAL COM TAMPA LAJE DE CONCRETO</t>
  </si>
  <si>
    <t>ILUMINAÇÃO EXTERNA</t>
  </si>
  <si>
    <t>IL-105 SINALIZADOR DE OBSTÁCULOS TOPO DE EDIFÍCIO / RESERVATÓRIO COM LÂMPADA BULBO LED &lt;= 11W.</t>
  </si>
  <si>
    <t>IL-107 LUMINÁRIA LED &lt;=50 W APLICADA EM JARDINS E CIRCULAÇÕES POSTE METÁLICO H=4 M</t>
  </si>
  <si>
    <t>IL-108 LUMINÁRIA LED &lt;= 70W BRAÇO COM SAPATA INCLINAÇÃO 5º AÇO GALVANIZADO Ø 60,30MM</t>
  </si>
  <si>
    <t>IL-109 LUMINÁRIA LED &lt;=200 W EM POSTE CIRCULAR DE CONCRETO H=11,00 M QUADRA ESPORTE DESCOBERTA</t>
  </si>
  <si>
    <t>IL-111 LUMINÁRIA LED &lt;= 70 W EM POSTE CIRCULAR DE CONCRETO H=7,00 M ÁREAS EXTERNAS</t>
  </si>
  <si>
    <t>IL-112 LUMINÁRIA LED &lt;= 70 W APLICADA ÁREAS EXTERNAS POSTE METÁLICO H=6 M</t>
  </si>
  <si>
    <t>IL-113 LUMINÁRIA LED &lt;=70 W (2X) APLICADA ÁREAS EXTERNAS EM POSTE METÁLICO H=6 M</t>
  </si>
  <si>
    <t>IL-101 PROJETOR LED &lt;=100W L240 x H175 MM C/DIFUSOR DE VIDRO TEMPERADO.</t>
  </si>
  <si>
    <t>IL-101 PROJETOR LED &lt;=100W L235 x H260 MM C/DIFUSOR DE VIDRO TEMPERADO.</t>
  </si>
  <si>
    <t>09.12</t>
  </si>
  <si>
    <t>APARELHOSELÉTRICOS</t>
  </si>
  <si>
    <t>EXAUSTOR DN 150MM VAZAO 280 M3HORA COM VENEZIANA AUTOFECHANTE INCLUSIVE DUTO EXAUSTAO USO EXCLUSIVO PADRAO CRECHE</t>
  </si>
  <si>
    <t>PP-03 PARA RAIOS FRANKLIN COM MASTRO AÇO GALVANIZADO 02" X 6,00M</t>
  </si>
  <si>
    <t>09.13</t>
  </si>
  <si>
    <t>PARA RAIOS</t>
  </si>
  <si>
    <t>TUBO DE PVC Ø 2'' X 3,00M PARA PROTEÇAO DESCIDA DE CORDOALHA</t>
  </si>
  <si>
    <t>09.50</t>
  </si>
  <si>
    <t>DEMOLIÇÕES - ALTA TENSÃO</t>
  </si>
  <si>
    <t>09.52</t>
  </si>
  <si>
    <t xml:space="preserve">DEMOLIÇÕES - BAIXA TENSÃO </t>
  </si>
  <si>
    <t>REMOCAO DE DISJUNTOR QUICK-LAG OU BASE P/ FUSIVEL DIAZED EM B.T</t>
  </si>
  <si>
    <t>09.54</t>
  </si>
  <si>
    <t xml:space="preserve">DEMOLIÇÕES - APARELHOS E EQUIPAMENTOS </t>
  </si>
  <si>
    <t>09.56</t>
  </si>
  <si>
    <t xml:space="preserve">DEMOLIÇÕES - PARA RAIOS E ATERRAMENTO </t>
  </si>
  <si>
    <t>09.60</t>
  </si>
  <si>
    <t xml:space="preserve">RETIRADAS - ALTA TENSÃO </t>
  </si>
  <si>
    <t>09.62</t>
  </si>
  <si>
    <t>RETIRADAS - BAIXA TENSÃO</t>
  </si>
  <si>
    <t>09.64</t>
  </si>
  <si>
    <t>RETIRADAS - APARELHOS E EQUIPAMENTOS</t>
  </si>
  <si>
    <t>09.66</t>
  </si>
  <si>
    <t>RETIRADOS - PARA RAIOS E ATERRAMENTO</t>
  </si>
  <si>
    <t>09.70</t>
  </si>
  <si>
    <t xml:space="preserve">RECOLOCAÇÃO - ALTA TENSÃO </t>
  </si>
  <si>
    <t>09.72</t>
  </si>
  <si>
    <t xml:space="preserve">RECOLOCAÇÕES - BAIXA TENSÃO </t>
  </si>
  <si>
    <t>09.74</t>
  </si>
  <si>
    <t xml:space="preserve">RECOLOCAÇÕES - APARELHOS E EQUIPAMENTOS </t>
  </si>
  <si>
    <t>09.76</t>
  </si>
  <si>
    <t>RECOLOCAÇÕES PRA-RAIOS E ATERRAMENTO</t>
  </si>
  <si>
    <t xml:space="preserve">CONSERVAÇÃO - ALTA TENSÃO </t>
  </si>
  <si>
    <t>DISJUNTOR VOL REDUZIDO OLEO 15KV/250 PL15B MVA 630 ACION. MANUAL -COMPLETO</t>
  </si>
  <si>
    <t>SUPORTE DE TRANSFORMADOR EM POSTE OU ESTALEIRO</t>
  </si>
  <si>
    <t>09.82</t>
  </si>
  <si>
    <t>CONSERVAÇÃO - BAIXA TENSÃO</t>
  </si>
  <si>
    <t>09.83</t>
  </si>
  <si>
    <t>09.84</t>
  </si>
  <si>
    <t>CONSERVAÇÃO - APARELHOS E EQUIPAMENTOS</t>
  </si>
  <si>
    <t>CALHA P/ LUMINARIA EMBUTIR C/ REFLETOR E ALETAS (IL-61) COM SOQUETES P/ DUAS LAMPADAS LED TUBULAR 120 CM</t>
  </si>
  <si>
    <t>CALHA P/LUMINARIA EMBUTIR C/ REFLETOR E ALETAS (IL-63) COM SOQUETES P/ QUATRO LAMPADAS LED TUBULAR 60 CM</t>
  </si>
  <si>
    <t>CALHA P/ LUMINARIA EMBUTIR C/ REFLETOR SEM ALETAS (IL-66) COM SOQUETES P UMA LAMPADA LED TUBULAR 120 CM</t>
  </si>
  <si>
    <t>CALHA PARA LUMINARIA SOBREPOR COM DIFUSOR TRANSPARENTE (IL-42) COM SOQUETES P/ DUAS LAMPADAS LED TUBULAR 120 CM</t>
  </si>
  <si>
    <t>CALHA PARA LUMINARIA SOBREPOR COM DIFUSOR TRANSLUCIDO (IL-68 ) COM SOQUETES PARA DUAS LAMPADAS LED TUBULAR 60 CM</t>
  </si>
  <si>
    <t>CALHA PARA LUMINARIA SOBREPOR COM REFLETOR E ALETAS (IL-62) COM SOQUETES PARA QUATRO LAMPADAS LED TUBULAR 60 CM</t>
  </si>
  <si>
    <t>ADEQUAÇÃO DE LUMINARIA FLUORESCENTE 1X32W PARA LED TUBULAR POLICARBONATO 18W TEMPERATURA DE COR 4000ºK</t>
  </si>
  <si>
    <t>ADEQUAÇÃO DE LUMINARIA FLUORESCENTE 2X32W PARA LED TUBULAR POLICARBONATO 18W TEMPERATURA DE COR 4000ºK</t>
  </si>
  <si>
    <t>RECEPTACULO PORCELANA PARA LAMPADA BULBO LED COMPACTA ROSCA E-27</t>
  </si>
  <si>
    <t>SOQUETE ANTIVIBRATORIO ENGATE RAPIDO P/LAMPADA LED TUBULAR</t>
  </si>
  <si>
    <t>CALHA P/ LUMINARIA EMBUTIR C/ REFLETOR SEM ALETAS (IL-67) COM SOQUETES P/ DUAS LAMPADAS LED TUBULAR 120 CM</t>
  </si>
  <si>
    <t>CALHA P/ LUMINARIA EMBUTIR C/ DIFUSOR TRANSLUCIDO (IL-70) COM SOQUETES P DUAS LAMPADAS LED TUBULAR 60 CM</t>
  </si>
  <si>
    <t>CALHA P/ LUMINARIA EMBUTIR C/ DIFUSOR TRANSLUCIDO (IL-71) COM SOQUETES P DUAS LAMPADAS LED TUBULAR 120 CM</t>
  </si>
  <si>
    <t>ADEQUAÇÃO DE LUMINARIA FLUORESCENTE 1X32W PARA LED TUBULAR VIDRO 18W TEMPERATURA DE COR 4000ºK</t>
  </si>
  <si>
    <t>ADEQUAÇÃO DE LUMINARIA FLUORESCENTE 2X32W PARA LED TUBULAR VIDRO 18W TEMPERATURA DE COR 4000ºK</t>
  </si>
  <si>
    <t>CALHA PARA LUMINARIA SOBREPOR COM REFLETOR EM ALUMINIO (IL-73 / (IL-81)) COM SOQUETES PARA UMA LAMPADA LED TUBULAR 120 CM</t>
  </si>
  <si>
    <t>CALHA PARA LUMINARIA SOBREPOR COM REFLETOR EM ALUMINIO (IL-74 / (IL-82)) COM SOQUETES PARA DUAS LAMPADAS LED TUBULAR 120 CM</t>
  </si>
  <si>
    <t>CALHA PARA LUMINARIA SOBREPOR COM REFLETOR E ALETAS (IL-75) COM SOQUETES PARA DUAS LAMPADAS LED TUBULAR 120 CM</t>
  </si>
  <si>
    <t>CALHA PARA LUMINARIA SOBREPOR COM DIFUSOR TRANSPARENTE (IL-77) COM SOQUETES P/ DUAS LAMPADAS LED TUBULAR 120 CM</t>
  </si>
  <si>
    <t>CALHA PARA LUMINARIA EMBUTIR COM REFLETOR E ALETAS (IL-78) COM SOQUETES PARA DUAS LAMPADAS LED TUBULAR 120 CM</t>
  </si>
  <si>
    <t>CALHA PARA LUMINARIA EMBUTIR COM REFLETOR SEM ALETAS (IL-79) COM SOQUETES PARA UMA LAMPADA LED TUBULAR 120 CM</t>
  </si>
  <si>
    <t>CALHA PARA LUMINARIA EMBUTIR COM REFLETOR SEM ALETAS (IL-80) COM SOQUETES PARA DUAS LAMPADAS LED TUBULAR 120 CM</t>
  </si>
  <si>
    <t>ADEQUAÇÃO DE LUMINARIA FLUORESCENTE 4X16W PARA LED TUBULAR VIDRO 10W TEMPERATURA DE COR 4000ºK</t>
  </si>
  <si>
    <t>ADEQUAÇÃO DE LUMINARIA FLUORESCENTE 2X16W PARA LED TUBULAR VIDRO 10W TEMPERATURA DE COR 4000ºK</t>
  </si>
  <si>
    <t>ADEQUAÇÃO DE LUMINARIA FLUORESCENTE 4X16W PARA LED TUBULAR POLICARBONATO 10W TEMPERATURA DE COR 4000ºK</t>
  </si>
  <si>
    <t>09.85</t>
  </si>
  <si>
    <t>LAMPADA BULBO LED &lt;= 13W ROSCA E 27 BIVOLT. TEMPERATURA COR 3000ºK.</t>
  </si>
  <si>
    <t>09.86</t>
  </si>
  <si>
    <t xml:space="preserve">CONSERVAÇÃO - PARA-RAIOS E ATERRAMENTOS </t>
  </si>
  <si>
    <t xml:space="preserve">FORRO </t>
  </si>
  <si>
    <t>FORRO DE TABUA APAR. 10X1CM MACHO-FEMEA G1-C4 SEMI ENTARUGADO</t>
  </si>
  <si>
    <t>10.50</t>
  </si>
  <si>
    <t>10.60</t>
  </si>
  <si>
    <t>10.70</t>
  </si>
  <si>
    <t>RECOLOCAÇÃO - FORROS</t>
  </si>
  <si>
    <t>10.80</t>
  </si>
  <si>
    <t>CONSERVAÇÃO - FORROS</t>
  </si>
  <si>
    <t xml:space="preserve">11. </t>
  </si>
  <si>
    <t>IMPERMEABILIZAÇÕES / JUNTAS DE DILATAÇÃO</t>
  </si>
  <si>
    <t>IMPERMEABILIZAÇÕES: SUBSOLOS E BALDRAMES</t>
  </si>
  <si>
    <t>IMPERMEABILIZACAO DE SUB-SOLOS C/ARG CIM-AREIA 1:3 HIDR TINTA BETUMINOSA</t>
  </si>
  <si>
    <t>IMPERMEABILIZAÇÕES: LAJES, CALHAS, MARQUISES</t>
  </si>
  <si>
    <t>ARGAMASSA PARA PROTEÇAO MECANICA SOBRE SUPERFICIE IMPERMEABILIZADA TRAÇO 1:4 ESPESSURA 3CM</t>
  </si>
  <si>
    <t>IMPERMEABILIZAÇÕES: RESERVATÓRIOS D´ÁGUA</t>
  </si>
  <si>
    <t>IMPERMEABILIZAÇAO RESERV.ELEV COM ARGAMASSA POLIMERICA APLICAÇAO 2 DEMÃOS SEMIFLEXIVEL + 4 DEMÃOS FLEXIVEL INCLUS.TELA ESTRUTURANTE</t>
  </si>
  <si>
    <t xml:space="preserve">JUNTAS DE DILATAÇÃO </t>
  </si>
  <si>
    <t>11.50</t>
  </si>
  <si>
    <t>DEMOLIÇÃO DE IMPERMEABILIZACOES COM MULTIMEMBRANAS ASFALT - ELEM SINT</t>
  </si>
  <si>
    <t>11.60</t>
  </si>
  <si>
    <t>11.70</t>
  </si>
  <si>
    <t>RECOLOCAÇÃO - IMPERMEABILIZAÇÕES / JUNTAS DE DILATAÇÃO</t>
  </si>
  <si>
    <t>11.80</t>
  </si>
  <si>
    <t>CONSERVAÇÃO - IMPERMEABILIZAÇÕES / JUNTAS DE DILATAÇÃO</t>
  </si>
  <si>
    <t xml:space="preserve">12. </t>
  </si>
  <si>
    <t>REVESTIMENTOS: TETO E PAREDE</t>
  </si>
  <si>
    <t>REVESTIMENTO DE TETO</t>
  </si>
  <si>
    <t>12.02</t>
  </si>
  <si>
    <t>PAREDES INTERNAS</t>
  </si>
  <si>
    <t>REVESTIMENTO COM AZULEJOS RETIFICADOS LISOS BRANCO BRILHANTE</t>
  </si>
  <si>
    <t>12.50</t>
  </si>
  <si>
    <t>12.60</t>
  </si>
  <si>
    <t>12.70</t>
  </si>
  <si>
    <t xml:space="preserve">RECOLOCAÇÃO - REVESTIMENTOS DE FORRO E PAREDE </t>
  </si>
  <si>
    <t>12.80</t>
  </si>
  <si>
    <t>CONSERVAÇÃO - REVESTIEMENTOS TETO E PAREDE</t>
  </si>
  <si>
    <t xml:space="preserve">13. </t>
  </si>
  <si>
    <t xml:space="preserve">PISOS INTERNOS / RODAPÉS / PEITORIS </t>
  </si>
  <si>
    <t xml:space="preserve">LASTRO PARA PISOS E ENCHIMENTO DE REBAIXOS DE LAJES </t>
  </si>
  <si>
    <t xml:space="preserve">REVESTIMENTO DE PISOS </t>
  </si>
  <si>
    <t>BORRACHA ASSENTADA C/ ARGAMASSA - PISO TATIL DE ALERTA</t>
  </si>
  <si>
    <t>SINALIZAÇÃO VISUAL DE DEGRAUS FITA ADESIVA COR AMARELA 25x200MM (2 FAIXAS)</t>
  </si>
  <si>
    <t>PISO VINIILICO EM MANTA LARG.DE 2,00M E=2MM INCLUSO RODAPÉ CURVO 10CM FORNEC E INSTAL.- USO EXCLUSIVO SALA DE INOVAÇÃO</t>
  </si>
  <si>
    <t>PISO VINIÍLICO EM MANTA COM TRATAMENTO SUPERFÍCIE COM PUR LARG.DE 2,00M E=2MM INCLUSO RODAPÉ CURVO H= 5CM FORNEC E INSTALADO.</t>
  </si>
  <si>
    <t>ARMAÇAO TELA DE POLIESTER REFORÇADA COM FIBRA DE VIDRO (PRFV ) MALHA QUADRADA 15CM X 15CM DENSIDADE 0,38KG/M2 INCLUSIVE ESPAÇADOR E AMARRAÇAO PARA PISO DE CONCRETO</t>
  </si>
  <si>
    <t>PISO VINILICO PLACA 60X60 CM E= 3MM FORNECIDO E INSTALADO (COR A ESPECIFICAR)</t>
  </si>
  <si>
    <t>PISO VINIILICO EM MANTA LARG.DE 2,00M E=2MM INCLUSO RODAPE CURVO 10CM FORNECIDO E INSTALADO.</t>
  </si>
  <si>
    <t>ARMAÇAO TELA DE POLIESTER REFORÇADA COM FIBRA DE VIDRO (PRFV ) MALHA QUADRADA 10CM X 10CM DENSIDADE 0,58KG/M2 INCLUSIVE ESPAÇADOR E AMARRAÇAO PARA PISO DE CONCRETO</t>
  </si>
  <si>
    <t>FAIXA ( FITA ADESIVA ) SEGURANÇA ANTIDERRAPANTE L=50MM COR PRETA</t>
  </si>
  <si>
    <t>PISO VINIILICO EM MANTA COM TRATAM. SUPERFICIE COM PUR LARG.DE 2,00M E=2MM INCLUSO RODAPE CURVO H= 10CM FORNECIDO E INSTALADO.</t>
  </si>
  <si>
    <t>ARMAÇAO TELA DE POLIESTER REFORÇADA COM FIBRA DE VIDRO (PRFV ) MALHA QUADRADA 10CM X 10CM DENSIDADE 2,05KG/M2 INCLUSIVE ESPAÇADOR E AMARRAÇAO PARA PISO DE CONCRETO</t>
  </si>
  <si>
    <t>13.03</t>
  </si>
  <si>
    <t xml:space="preserve">REVESTIMENTO DE PISOS / PEDRAS NATURAIS </t>
  </si>
  <si>
    <t>13.04</t>
  </si>
  <si>
    <t>REVESTIMENTO DE DREGRAUS</t>
  </si>
  <si>
    <t xml:space="preserve">REVESTIMENTO DE RODAPÉS </t>
  </si>
  <si>
    <t>RODAPÉ DE ARGAMASSA CIMENTO E AREIA 1:3 ESPESSURA 1,5CM X ALTURA DE 7CM</t>
  </si>
  <si>
    <t>RODAPE PORCELANATO TECNICO 7CM</t>
  </si>
  <si>
    <t>13.06</t>
  </si>
  <si>
    <t>REVESTIMENTO DE SOLEIRAS</t>
  </si>
  <si>
    <t>SO-24 - SOLEIRA DE GRANITO RAMPADA DESNIVEL ATE 2CM 2 PEÇAS (L=14 A 17CM)</t>
  </si>
  <si>
    <t>13.07</t>
  </si>
  <si>
    <t>REVESTIMENTO DE PEITORIS</t>
  </si>
  <si>
    <t>13.50</t>
  </si>
  <si>
    <t>13.60</t>
  </si>
  <si>
    <t>13.70</t>
  </si>
  <si>
    <t xml:space="preserve">RECOLOCAÇÃO - PISOS / RODAPÉ / PEITORIS </t>
  </si>
  <si>
    <t>13.80</t>
  </si>
  <si>
    <t xml:space="preserve">CONSERVAÇÃO - PISOS / RODAPÉ / PEITORIS </t>
  </si>
  <si>
    <t>SOALHO DE TABUA 20X2CM MACHO-FEMEA G1-C6 (SOMENTE TABUAS)</t>
  </si>
  <si>
    <t>SOALHO DE TABUA 10X2,0CM MACHO-FEMEA G1-C6 SOBRE VIGAMENTO 6X16CM</t>
  </si>
  <si>
    <t>SOALHO DE TABUA 20X2CM MACHO-FEMEA G1-C6 SOBRE VIGAMENTO 6X16CM</t>
  </si>
  <si>
    <t>SOALHO DE TABUA 20X2CM MACHO-FEMEA G1-C6 SOBRE VIGAMENTO 6X12CM</t>
  </si>
  <si>
    <t>SOALHO DE TABUA 10X2,0CM MACHO-FEMEA G1-C6 SOBRE VIGAMENTO 6X12CM</t>
  </si>
  <si>
    <t>SOALHO DE TABUA 10X2,0CM MACHO-FEMEA GI-C6 (SOMENTE TABUAS)</t>
  </si>
  <si>
    <t>ARMAÇAO TELA DE POLIESTER REFORÇADA COM FIBRA DE VIDRO (PRFV ) MALHA QUADRADA10CM X 10CM DENSIDADE 0,37 KG/M2 INCLUSIVE ESPAÇADOR E AMARRAÇAO</t>
  </si>
  <si>
    <t xml:space="preserve">14. </t>
  </si>
  <si>
    <t>VIDRO LISO INCOLOR LAMINADO 6MM (3+3MM) COM FILME PVB INCLUSIVE GUARNIÇAO NEOPRENE USO EXCLUSIVO PADRAO CRECHE</t>
  </si>
  <si>
    <t>VIDRO LISO INCOLOR 6MM INCLUSIVE GUARNIÇAO NEOPRENE USO EXCLUSIVO PADRAO CRECHE</t>
  </si>
  <si>
    <t>14.01.068</t>
  </si>
  <si>
    <t>VIDRO LISO INCOLOR LAMINADO 8 MM (4+4 MM) COM FILME PVB</t>
  </si>
  <si>
    <t>ESPELHOS</t>
  </si>
  <si>
    <t>14.60</t>
  </si>
  <si>
    <t>14.70</t>
  </si>
  <si>
    <t xml:space="preserve">RECOLACAÇÃO </t>
  </si>
  <si>
    <t>14.80</t>
  </si>
  <si>
    <t>CONSERVAÇÃO - VIDROS</t>
  </si>
  <si>
    <t>SERVICOS EM VIDROS - CONSERVACAO</t>
  </si>
  <si>
    <t xml:space="preserve">15. </t>
  </si>
  <si>
    <t xml:space="preserve">PINTURA </t>
  </si>
  <si>
    <t xml:space="preserve">ESTRUTURA </t>
  </si>
  <si>
    <t>TINTA A BASE AGUA COM PRINCIPIO ATIVO CONTROLE CONTRA INSETOS APLICADA EM PAREDE (DUAS DEMAOS)</t>
  </si>
  <si>
    <t>15.02</t>
  </si>
  <si>
    <t xml:space="preserve">FORROS / PAREDES INTERNAS </t>
  </si>
  <si>
    <t>TINTA A BASE AGUA COM PRINCIPIO ATIVO CONTROLE CONTRA INSETOS APLICADO EM FORRO (DUAS DEMAOS)</t>
  </si>
  <si>
    <t>SERVIÇO GALVANIZACAO A FOGO - ESQUADRIAS.</t>
  </si>
  <si>
    <t>PINTURA DUAS DEMÃOS ESMALTE FACE APARENTE DE TUBULAÇÃO PVC Ø 2"</t>
  </si>
  <si>
    <t>PINTURA DUAS DEMÃOS ESMALTE FACE APARENTE DE TUBULAÇÃO PVC Ø 3"</t>
  </si>
  <si>
    <t>15.04</t>
  </si>
  <si>
    <t xml:space="preserve">PINTURA EXTERNA </t>
  </si>
  <si>
    <t>PINTURA DE QUADRAS ESP-LINHAS DEMARCATORIAS (600M2)</t>
  </si>
  <si>
    <t>15.50</t>
  </si>
  <si>
    <t>REMOÇÕES</t>
  </si>
  <si>
    <t>15.80</t>
  </si>
  <si>
    <t xml:space="preserve">CONSERVAÇÃO - PINTURA </t>
  </si>
  <si>
    <t xml:space="preserve">16. </t>
  </si>
  <si>
    <t xml:space="preserve">SERVIÇOS COMPLEMENTARES </t>
  </si>
  <si>
    <t>16.01</t>
  </si>
  <si>
    <t xml:space="preserve">FECHO: MUROS / ALAMBRADOS / PORTÕES </t>
  </si>
  <si>
    <t>GRADIL ELETROFUNDIDO GALV. COM PINTURA ELETROSTATICA 62X132MM BARRA 25X2MM</t>
  </si>
  <si>
    <t>FE-01 FECHAMENTO PARA SETORIZAÇAO 120&lt;H&lt;200 CM (ALAMBRADO)</t>
  </si>
  <si>
    <t>FE-02 FECHAMENTO PARA SETORIZAÇAO (GRADIL ELETROFUNDIDO)</t>
  </si>
  <si>
    <t xml:space="preserve">PISOS </t>
  </si>
  <si>
    <t>PAVIMENTACAO ARTICULADA BLOCO CONCRETO INTERTRAVADO E=6CM 35 Mpa COR NATURAL SOBRE BASE AREIA GROSSA</t>
  </si>
  <si>
    <t>PAVIMENTACAO ARTICULADA BLOCO CONCRETO INTERTRAVADO E=6CM 35 Mpa COLORIDO SOBRE BASE AREIA GROSSA</t>
  </si>
  <si>
    <t>PAVIMENTACAO ARTICULADA BLOCO CONCRETO INTERTRAVADO E=8CM 50 Mpa COR NATURAL SOBRE BASE AREIA GROSSA</t>
  </si>
  <si>
    <t>PISO DE CONCRETO ARMADO Fck 25MPa DESEMPENAMENTO MECÂNICO E=10CM</t>
  </si>
  <si>
    <t>DEGRAU DE CONCRETO ARMADO Fck 25MPa DESEMPENADO E=6CM INCLUSIVE LASTRO DE BRITA</t>
  </si>
  <si>
    <t>LASTRO DE CONCRETO TRAÇO 1:4:8 E=5CM COM AGREGADO RECICLADO DA CONSTRUÇAO CIVIL.</t>
  </si>
  <si>
    <t>CIMENTADO DESEMPENADO E ALISADO COM CORANTE E = 5 CM COM AGREGADO RECICLADO DA CONSTRUÇAO CIVIL</t>
  </si>
  <si>
    <t xml:space="preserve">GRAMADOS / PAISAJISMO </t>
  </si>
  <si>
    <t>ARBUSTO COSTELA- DE -ADAO H=0.50 A 0.70 M</t>
  </si>
  <si>
    <t>ARBUSTO GUAIMBÊ H=0.50 A 0.70 M</t>
  </si>
  <si>
    <t>ARBUSTO PRIMAVERA H=0.50 A 0.70 M</t>
  </si>
  <si>
    <t>ARBUSTO SANQUÉSIA H=0.50 A 0.70 M</t>
  </si>
  <si>
    <t>ÁRVORE PEITO DE POMBA H=0,50 A 1,00M. (NATIVA PIONEIRA-SP)</t>
  </si>
  <si>
    <t>ÁRVORE TÁPIA H=0,50M A 1,00M. (NATIVA PIONEIRA-SP)</t>
  </si>
  <si>
    <t>FRUTÍFERA CEREJINHA (CEREJEIRA DO MATO) H=2,00M</t>
  </si>
  <si>
    <t>FRUTÍFERA GABIROBA H=2,00M</t>
  </si>
  <si>
    <t>TRANSPLANTE INTERNO DE ÁRVORE COM 15CM&lt;DAP&lt;30CM</t>
  </si>
  <si>
    <t>TRANSPLANTE INTERNO DE ÁRVORE COM 30CM&lt;DAP&lt;45CM</t>
  </si>
  <si>
    <t>TRANSPLANTE INTERNO DE ÁRVORE COM 45CM&lt;DAP&lt;60CM</t>
  </si>
  <si>
    <t>PODA DE CONSERVAÇAO / ADEQUAÇAO PARA ARVORES COM ALTURA ATE 10M TOPO DA COPA.</t>
  </si>
  <si>
    <t>TRANSPLANTE INTERNO DE ÁRVORE COM 15CM&lt;DAP&lt;30CM APLICAVEL EXCLUSIVAMENTE PELA GOE/DOEV UMA UNIDADE-DIA.</t>
  </si>
  <si>
    <t>ÁRVORE ORNAMENTAL FEDEGOSO (ALELUIA) H=2,00M</t>
  </si>
  <si>
    <t>ÁRVORE ORNAMENTAL IPÊ-ROXO DE BOLA H=2,00M</t>
  </si>
  <si>
    <t>ÁRVORE ORNAMENTAL MANACÁ-DA-SERRA H=2,00M</t>
  </si>
  <si>
    <t>ÁRVORE ORNAMENTAL PAU-BRASIL H=2,00M</t>
  </si>
  <si>
    <t>16.04</t>
  </si>
  <si>
    <t>QUADRA DE ESPORTES</t>
  </si>
  <si>
    <t>QE-12 QUADRA DE ESPORTES/PISO DE CONCRETO ARMADO/FUNDACAO DIRET-600 M2</t>
  </si>
  <si>
    <t>QE-37 TABELA DE BASQUETE INCLUSIVE GALVANIZAÇÃO A FOGO E PINTURA ESMALTE FUNDACAO BROCA Ø 25 CM</t>
  </si>
  <si>
    <t>16.05</t>
  </si>
  <si>
    <t>DRENAGEM DE ACABAMENTO</t>
  </si>
  <si>
    <t>CONCRETO CICLOPICO COM BRITA 4 COM 30% DE RACHAO FCK 15MPa</t>
  </si>
  <si>
    <t>TUBO PVC OCRE JUNTA ELASTICA DN 100 INCLUSIVE CONEXOES - ENTERRADO</t>
  </si>
  <si>
    <t>TUBO PVC OCRE JUNTA ELASTICA DN 150 INCLUSIVE CONEXOES - ENTERRADO</t>
  </si>
  <si>
    <t>TUBO PVC OCRE JUNTA ELASTICA DN 200 INCLUSIVE CONEXOES - ENTERRADO</t>
  </si>
  <si>
    <t>TUBO PVC OCRE JUNTA ELASTICA DN 250 INCLUSIVE CONEXOES - ENTERRADO</t>
  </si>
  <si>
    <t>TUBO PVC OCRE JUNTA ELASTICA DN 300 INCLUSIVE CONEXOES - ENTERRADO</t>
  </si>
  <si>
    <t>ESCAVAÇÃO POÇO DE RETENÇÃO DE ÁGUAS PLUVIAIS ATÉ 3,50 METROS DE PROFUNDIDADE COM RETROESCAVADEIRA COM CACAMBA FRONTRAL-85HP</t>
  </si>
  <si>
    <t>AUTOMÁTICO DE BÓIA, EM POLIPROPILENO, (ELETRICO 16A) CONTATO ISENTO DE MERCÚRIO RESERVATORIO RETENÇÃO AGUA PLUVIAL</t>
  </si>
  <si>
    <t>VALVULA DE RETENCAO VERTICAL DN80MM (3") RESERVATORIO RETENÇÃO AGUA PLUVIAL</t>
  </si>
  <si>
    <t>16.06</t>
  </si>
  <si>
    <t>COMPLEMENTOS EXTERNOS / CANTERIO DE OBRA / ALAMBRADO</t>
  </si>
  <si>
    <t>LOCAÇÃO MENSAL DE CONTAINER 4,00M COM 2 VASOS SANITARIOS, 1 LAVABO, 1 MICTÓRIO E 4 PONTOS CHUV.</t>
  </si>
  <si>
    <t>FORNECIMENTO E INSTALAÇAO DE PLACA DE IDENTIFICAÇAO DE OBRA INCLUSO SUPORTE ESTRUTURA DE MADEIRA.</t>
  </si>
  <si>
    <t>INSTALAÇÃO DO BALCAO TERMICO BT-02</t>
  </si>
  <si>
    <t>TRANSPORTE C/CAMINHAO ATE 6T. DIST. DE 101KM ATE 300KM C/MOTORISTA E 2 AJUDANTES.</t>
  </si>
  <si>
    <t>TRANSPORTE C/CAMINHAO ATE 6T. DIST. DE 301KM ATE 500KM C/MOTORISTA E 2 AJUDANTES.</t>
  </si>
  <si>
    <t>TRANSPORTE C/CAMINHAO ATE 6T. DIST. DE 501KM ATE 700KM C/MOTORISTA E 2 AJUDANTES.</t>
  </si>
  <si>
    <t>16.07</t>
  </si>
  <si>
    <t xml:space="preserve">ÁREA EXTERNA: RECREAÇÃO </t>
  </si>
  <si>
    <t>BANCO COM ASSENTO DE CONCRETO ARMADO LISO DESEMPENADO COM PINTURA VERNIZ ACRÍLICO FUNDAÇÃO SAPATA ISOLADA E PILARETE BLOCO CONCRETO REVESTIDO</t>
  </si>
  <si>
    <t>OC-01 OBSTACULO PRE FABRICADO DE CONCRETO TIPO FRADE Ø30 H=60CM BASE FIXADA COM ARGAMASSA TRAÇO 1:3 (30X30X10H)</t>
  </si>
  <si>
    <t>16.08</t>
  </si>
  <si>
    <t xml:space="preserve">FOSSA SÉPTICA </t>
  </si>
  <si>
    <t>16.09</t>
  </si>
  <si>
    <t xml:space="preserve">POÇO ABSORVENTE </t>
  </si>
  <si>
    <t>POÇO DE ÁGUA POTÁVEL</t>
  </si>
  <si>
    <t>16.11</t>
  </si>
  <si>
    <t xml:space="preserve">LIMPEZA FINAL </t>
  </si>
  <si>
    <t xml:space="preserve">MUROS DE ARRIMO - SERVIÇOS EM TERRA </t>
  </si>
  <si>
    <t>16.14</t>
  </si>
  <si>
    <t xml:space="preserve">MUROS DE ARRIMO - CONCRETO ARMADO </t>
  </si>
  <si>
    <t>16.15</t>
  </si>
  <si>
    <t xml:space="preserve">MUROS DE ARRIMO - OUTROS SERVIÇOS </t>
  </si>
  <si>
    <t>16.18</t>
  </si>
  <si>
    <t xml:space="preserve">SERVIÇOS COMPLEMENTARES - CIVIL </t>
  </si>
  <si>
    <t>ESPÍCULAS EM POLICARBONATO PEÇA 33x11,8 CM ARCO DE 100 GRAUS IMPEDIMENTO AO POUSO DE AVES FIXAÇÃO COM PARAFUSO</t>
  </si>
  <si>
    <t>ESPÍCULAS EM POLICARBONATO PEÇA 33x11,8 CM ARCO DE 100 GRAUS IMPEDIMENTO AO POUSO DE AVES FIXAÇÃO COM SILICONE</t>
  </si>
  <si>
    <t>FORNEC.E MONT.DO CONJ.DE ESTRUT.PRÉ-FABR.DE MADEIRA DESMONTÁVEL.-PROJ.REF.1201040-PD.ÍNDIO</t>
  </si>
  <si>
    <t>16.19</t>
  </si>
  <si>
    <t>SERVIÇOS COMPLEMENTARES - HIDRÁULICA</t>
  </si>
  <si>
    <t>SERVIÇOS COMPLEMENTARES - ELÉTRICA</t>
  </si>
  <si>
    <t>FORNECIMENTO E INSTALAÇAO DE APARELHO AR CONDICIONADO HI WALL CICLO FRIO MINI SPLIT 9.000 BTU/H INVERTER 220V COM CONTROLE REMOTO</t>
  </si>
  <si>
    <t>FORNECIMENTO E INSTALAÇAO DE APARELHO AR CONDICIONADO HI WALL CICLO FRIO MINI SPLIT 12.000 BTU/H INVERTER 220V COM CONTROLE REMOTO</t>
  </si>
  <si>
    <t>FORNECIMENTO E INSTALAÇAO DE APARELHO AR CONDICIONADO HI WALL CICLO FRIO MINI SPLIT 18.000 BTU/H INVERTER 220V COM CONTROLE REMOTO</t>
  </si>
  <si>
    <t>FORNECIMENTO E INSTALAÇAO DE APARELHO AR CONDICIONADO HI WALL CICLO FRIO MINI SPLIT 24.000 BTU/H INVERTER 220V COM CONTROLE REMOTO</t>
  </si>
  <si>
    <t>FORNECIMENTO E INSTALAÇAO DE APARELHO AR CONDICIONADO HI WALL CICLO FRIO MINI SPLIT 27.000 BTU/H INVERTER 220V COM CONTROLE REMOTO</t>
  </si>
  <si>
    <t>FORNECIMENTO E INSTALAÇAO DE APARELHO AR CONDICIONADO HI WALL CICLO FRIO MINI SPLIT 30.000 BTU/H INVERTER 220V COM CONTROLE REMOTO</t>
  </si>
  <si>
    <t>SERVIÇOS DE RECUPERAÇÃO ESTRUTURAL - SERVIÇOS PRELIMINARES</t>
  </si>
  <si>
    <t>16.31</t>
  </si>
  <si>
    <t xml:space="preserve">SERVIÇOS DE RECUPERAÇÃO ESTRUTURAL - REFORÇO DE FUNDAÇÕES </t>
  </si>
  <si>
    <t xml:space="preserve">SERVIÇOS DE RECUPEAÇÃO ESTRUTURAL </t>
  </si>
  <si>
    <t>SERVIÇOS DE TRATAMENTO PROTETOR DO CONCRETO APARENTE</t>
  </si>
  <si>
    <t>16.34</t>
  </si>
  <si>
    <t xml:space="preserve">SERVIÇOS PRELIMINARES </t>
  </si>
  <si>
    <t>16.35</t>
  </si>
  <si>
    <t>PROCEDIMENTOS PARA PREPRO E LIMPEZA DO SUBSTRATO</t>
  </si>
  <si>
    <t>16.36</t>
  </si>
  <si>
    <t>REPAROS SUPERFICIAIS LOCALIZADOS</t>
  </si>
  <si>
    <t>16.37</t>
  </si>
  <si>
    <t xml:space="preserve">REPAROS SUPERFICIAIS EM GRANDES ÁREAS </t>
  </si>
  <si>
    <t>REPAROS SUPERF ARGAM BICOMP CIMENTO C/POLÍMERO ACRILICO E FIBRA SINT (1,0&lt;ESP&lt;5,0CM)</t>
  </si>
  <si>
    <t>16.38</t>
  </si>
  <si>
    <t xml:space="preserve">REPAROS EM JUNTAS DE MOVIMENTAÇÃO </t>
  </si>
  <si>
    <t>16.39</t>
  </si>
  <si>
    <t xml:space="preserve">REPAROS PROFUNDOS EM ESTRUTURAS </t>
  </si>
  <si>
    <t>REPARO DE ARMADURAS CORROIDAS POR AÇÃO DE CLORETOS</t>
  </si>
  <si>
    <t>16.41</t>
  </si>
  <si>
    <t>REFORÇOS ESTRUTURAIS PARA RECONSTITUIÇÃO DA ARMADURA</t>
  </si>
  <si>
    <t>16.42</t>
  </si>
  <si>
    <t>REPAROS ESTRUTURAIS POR INJEÇÃO DE GAUTE BASE DE EPOXI</t>
  </si>
  <si>
    <t>REPARO ESTRUTURAL C/APLICACAO DE GRAUTE BASE EPOXI TRINCAS DE 10A40MM</t>
  </si>
  <si>
    <t>16.43</t>
  </si>
  <si>
    <t xml:space="preserve">FUROS EM CONCRETO </t>
  </si>
  <si>
    <t>16.44</t>
  </si>
  <si>
    <t>FORNECIMENTO E COLOCAÇÃO DE CHUMBADORES QUÍMICOS</t>
  </si>
  <si>
    <t>16.45</t>
  </si>
  <si>
    <t xml:space="preserve">FORNECIMENTO E COLOCAÇÃO DE CHUMBADORES EXPANSÍVEIS </t>
  </si>
  <si>
    <t>16.46</t>
  </si>
  <si>
    <t xml:space="preserve">ANCORAGEM DE BARRAS DE ESPERA </t>
  </si>
  <si>
    <t>16.47</t>
  </si>
  <si>
    <t xml:space="preserve">PREPARAÇÃO DE PONTES DE ADERÊNCIA </t>
  </si>
  <si>
    <t>16.48</t>
  </si>
  <si>
    <t xml:space="preserve">PREPARAÇÃO E CONSERVAÇÃO DE SUPERFÍCIES DE CONCRETO / AÇO </t>
  </si>
  <si>
    <t>APLICACAO PINTURA IMPERM DUAS DEMAOS VERNIZ POLIUR ALIF BICOMPONENTES</t>
  </si>
  <si>
    <t>16.49</t>
  </si>
  <si>
    <t xml:space="preserve">SERVIÇOS ESPECIAIS PARA ESTRUTURA PRÉ-MOLDADA </t>
  </si>
  <si>
    <t>16.50</t>
  </si>
  <si>
    <t xml:space="preserve">DEMOLIÇÃO - SERVIÇOS COMPLEMENTARES </t>
  </si>
  <si>
    <t>16.80</t>
  </si>
  <si>
    <t xml:space="preserve">CONSERVAÇÃO - SERVIÇOS COMPLEMENTARES </t>
  </si>
  <si>
    <t>LIMPEZA DE PISO CERAMICO / PORCELANATO COM DETERGENTE NEUTRO E ESCOVAÇAO MANUAL.</t>
  </si>
  <si>
    <t>LIMPEZA DE PISO DE MARMORE / GRANITO COM DETERGENTE NEUTRO E ESCOVAÇAO MANUAL.</t>
  </si>
  <si>
    <t>LIMPEZA DE SUPERFICIE DE PISO COM JATO AGUA FRIA DE ALTA PRESSAO.</t>
  </si>
  <si>
    <t>LIMPEZA DE TANQUE / LAVATORIO DE LOUÇA ISOLADO INCLUSIVE METAIS</t>
  </si>
  <si>
    <t>LIMPEZA DE BACIA SANITARIA / BIDE / MICTORIO LOUÇA / INOX INCLUSIVE METAIS</t>
  </si>
  <si>
    <t>LIMPEZA DE JANELA INTEIRAMENTE LAMINA DE VIDRO.</t>
  </si>
  <si>
    <t>LIMPEZA DE CAIXA DE GORDURA / PASSAGEM INCLUSIVE REASSENTAMENTO DE TAMPA COM ARGAMASSA</t>
  </si>
  <si>
    <t>LIMPEZA MANUAL DE SUPERFICIE DE PISO E PAREDE COM SUJIDADE DE TINTA / LUBRIFICANTE / GORDURA</t>
  </si>
  <si>
    <t>DESOBSTRUÇAO COM LIMPEZA MANUAL DE TUBULAÇAO REDE ESGOTO</t>
  </si>
  <si>
    <t>DESOBSTRUÇAO COM LIMPEZA MANUAL DE TUBULAÇAO REDE PLUVIAL</t>
  </si>
  <si>
    <t>16.85</t>
  </si>
  <si>
    <t>POÇO TUBULAR PROFUNDO: PERFUÇÃO E EQUIPAMENTOS</t>
  </si>
  <si>
    <t>CABO FLEXIVEL DE COBRE MULTIPOLAR PP 3x1,5 mm2 0,6/1KV (ISOLAÇAO NAO HALOGENADO)</t>
  </si>
  <si>
    <t>Exercício de janeiro 2025 até dezembro de 2025 - SINAPI</t>
  </si>
  <si>
    <t>PLANILHA CURVA ABC</t>
  </si>
  <si>
    <t>SINAPI - Sistema Nacional de Pesquisa de Custos e Índices da Construção Civil</t>
  </si>
  <si>
    <t>RELATÓRIO DE CUSTOS DE COMPOSIÇÕES - ENCARGOS SOCIAIS SEM DESONERAÇÃO</t>
  </si>
  <si>
    <t>Mês de Referência:</t>
  </si>
  <si>
    <t>Data de emissão:</t>
  </si>
  <si>
    <t>Código da
Composição</t>
  </si>
  <si>
    <t>ALVENARIA DE VEDAÇÃO DE BLOCOS VAZADOS DE CONCRETO APARENTE DE 14X19X39 CM (ESPESSURA 14 CM) E ARGAMASSA DE ASSENTAMENTO COM PREPARO EM BETONEIRA. AF_12/2021</t>
  </si>
  <si>
    <t>ALVENARIA DE VEDAÇÃO DE BLOCOS VAZADOS DE CONCRETO APARENTE DE 14X19X39 CM (ESPESSURA 14 CM) E ARGAMASSA DE ASSENTAMENTO COM PREPARO MANUAL. AF_12/2021</t>
  </si>
  <si>
    <t>ALVENARIA DE VEDAÇÃO DE BLOCOS VAZADOS DE CONCRETO APARENTE DE 19X19X39 CM (ESPESSURA 19 CM) E ARGAMASSA DE ASSENTAMENTO COM PREPARO EM BETONEIRA. AF_12/2021</t>
  </si>
  <si>
    <t>ALVENARIA DE VEDAÇÃO DE BLOCOS VAZADOS DE CONCRETO APARENTE DE 19X19X39 CM (ESPESSURA 19 CM) E ARGAMASSA DE ASSENTAMENTO COM PREPARO MANUAL. AF_12/2021</t>
  </si>
  <si>
    <t>ALVENARIA DE VEDAÇÃO DE BLOCOS VAZADOS DE CONCRETO APARENTE DE 9X19X39 CM (ESPESSURA 9 CM) E ARGAMASSA DE ASSENTAMENTO COM PREPARO EM BETONEIRA. AF_12/2021</t>
  </si>
  <si>
    <t>ALVENARIA DE VEDAÇÃO DE BLOCOS VAZADOS DE CONCRETO APARENTE DE 9X19X39 CM (ESPESSURA 9 CM) E ARGAMASSA DE ASSENTAMENTO COM PREPARO MANUAL. AF_12/2021</t>
  </si>
  <si>
    <t>ALVENARIA DE VEDAÇÃO DE BLOCOS VAZADOS DE CONCRETO DE 14X19X29 CM (ESPESSURA 14 CM) E ARGAMASSA DE ASSENTAMENTO COM PREPARO EM BETONEIRA. AF_12/2021</t>
  </si>
  <si>
    <t>ALVENARIA DE VEDAÇÃO DE BLOCOS VAZADOS DE CONCRETO DE 14X19X29 CM (ESPESSURA 14 CM) E ARGAMASSA DE ASSENTAMENTO COM PREPARO MANUAL. AF_12/2021</t>
  </si>
  <si>
    <t>ALVENARIA DE VEDAÇÃO DE BLOCOS VAZADOS DE CONCRETO DE 14X19X39 CM (ESPESSURA 14 CM) E ARGAMASSA DE ASSENTAMENTO COM PREPARO EM BETONEIRA. AF_12/2021</t>
  </si>
  <si>
    <t>ALVENARIA DE VEDAÇÃO DE BLOCO DE SOLO-CIMENTO (TIJOLO ECOLÓGICO) DE 7X15X30CM (ESPESSURA 15CM). AF_05/2020</t>
  </si>
  <si>
    <t>ARGAMASSA TRAÇO 1:0,5:4,5 (EM VOLUME DE CIMENTO, CAL E AREIA MÉDIA ÚMIDA), PREPARO MECÂNICO COM BETONEIRA 250 L. AF_08/2019</t>
  </si>
  <si>
    <t>ARGAMASSA TRAÇO 1:0,5:4,5 (EM VOLUME DE CIMENTO, CAL E AREIA MÉDIA ÚMIDA), PREPARO MECÂNICO COM MISTURADOR DE EIXO HORIZONTAL DE 160 KG. AF_08/2019</t>
  </si>
  <si>
    <t>ARGAMASSA TRAÇO 1:0,5:4,5 (EM VOLUME DE CIMENTO, CAL E AREIA MÉDIA ÚMIDA), PREPARO MECÂNICO COM MISTURADOR DE EIXO HORIZONTAL DE 300 KG. AF_08/2019</t>
  </si>
  <si>
    <t>ARGAMASSA TRAÇO 1:0,5:4,5 (EM VOLUME DE CIMENTO, CAL E AREIA MÉDIA ÚMIDA), PREPARO MECÂNICO COM MISTURADOR DE EIXO HORIZONTAL DE 600 KG. AF_08/2019</t>
  </si>
  <si>
    <t>ARGAMASSA TRAÇO 1:3 (EM VOLUME DE CIMENTO E AREIA MÉDIA ÚMIDA), PREPARO MECÂNICO COM BETONEIRA 250 L. AF_08/2019</t>
  </si>
  <si>
    <t>ARRASAMENTO MECÂNICO DE ESTACA METÁLICA, PERFIL LAMINADO TIPO H - FAMÍLIA 250. AF_05/2021</t>
  </si>
  <si>
    <t>ARRASAMENTO MECÂNICO DE ESTACA METÁLICA, PERFIL LAMINADO TIPO H - FAMÍLIA 310. AF_05/2021</t>
  </si>
  <si>
    <t>ARRASAMENTO MECÂNICO DE ESTACA METÁLICA, PERFIL LAMINADO TIPO I FAMÍLIA 250. AF_05/2021</t>
  </si>
  <si>
    <t>ASSENTAMENTO DE TUBO DE PEAD CORRUGADO DE DUPLA PAREDE PARA REDE COLETORA DE ESGOTO, DN 300 MM, JUNTA ELÁSTICA INTEGRADA (NÃO INCLUI FORNECIMENTO). AF_01/2021</t>
  </si>
  <si>
    <t>ASSENTAMENTO DE TUBO DE PEAD CORRUGADO DE DUPLA PAREDE PARA REDE COLETORA DE ESGOTO, DN 800 MM, JUNTA ELÁSTICA INTEGRADA (NÃO INCLUI FORNECIMENTO). AF_01/2021</t>
  </si>
  <si>
    <t>ASSENTAMENTO DE TUBO DE PVC CORRUGADO DE DUPLA PAREDE PARA REDE COLETORA DE ESGOTO, DN 400 MM, JUNTA ELÁSTICA (NÃO INCLUI FORNECIMENTO). AF_01/2021</t>
  </si>
  <si>
    <t>ASSENTAMENTO DE TUBO DE PVC PARA REDE COLETORA DE ESGOTO DE PAREDE MACIÇA, DN 150 MM, JUNTA ELÁSTICA, (NÃO INCLUI FORNECIMENTO). AF_01/2021</t>
  </si>
  <si>
    <t>ASSENTAMENTO DE TUBO DE PVC PARA REDE COLETORA DE ESGOTO DE PAREDE MACIÇA, DN 300 MM, JUNTA ELÁSTICA (NÃO INCLUI FORNECIMENTO). AF_01/2021</t>
  </si>
  <si>
    <t>TUBO DE PVC PARA REDE COLETORA DE ESGOTO DE PAREDE MACIÇA, DN 150 MM, JUNTA ELÁSTICA - FORNECIMENTO E ASSENTAMENTO. AF_01/2021</t>
  </si>
  <si>
    <t>TUBO DE PVC PARA REDE COLETORA DE ESGOTO DE PAREDE MACIÇA, DN 250 MM, JUNTA ELÁSTICA - FORNECIMENTO E ASSENTAMENTO. AF_01/2021</t>
  </si>
  <si>
    <t>TUBO DE PVC PARA REDE COLETORA DE ESGOTO DE PAREDE MACIÇA, DN 300 MM, JUNTA ELÁSTICA, FORNECIMENTO E ASSENTAMENTO. AF_01/2021</t>
  </si>
  <si>
    <t>TUBO DE PVC PARA REDE COLETORA DE ESGOTO DE PAREDE MACIÇA, DN 350 MM, JUNTA ELÁSTICA - FORNECIMENTO E ASSENTAMENTO. AF_01/2021</t>
  </si>
  <si>
    <t>TUBO DE PVC PARA REDE COLETORA DE ESGOTO DE PAREDE MACIÇA, DN 400 MM, JUNTA ELÁSTICA FORNECIMENTO E ASSENTAMENTO. AF_01/2021</t>
  </si>
  <si>
    <t>REATERRO MECANIZADO DE VALA COM RETROESCAVADEIRA (CAPACIDADE DA CAÇAMBA DA RETRO: 0,26 M³/POTÊNCIA: 88 HP), LARGURA 0,8 A 1,5 M, PROFUNDIDADE 1,5 A 3,0 M, COM SOLO (SEM SUBSTITUIÇÃO) DE 1ª CATEGORIA E COMPACTADOR DE SOLOS DE PERCUSSÃO. AF_08/2023</t>
  </si>
  <si>
    <t>REATERRO MECANIZADO DE VALA COM RETROESCAVADEIRA (CAPACIDADE DA CAÇAMBA DA RETRO: 0,26 M³/POTÊNCIA: 88 HP), LARGURA 0,8 A 1,5 M, PROFUNDIDADE ATÉ 1,5 M, COM SOLO (SEM SUBSTITUIÇÃO) DE 1ª CATEGORIA, COM COMPACTADOR DE SOLOS DE PERCUSSÃO AF_08/2023</t>
  </si>
  <si>
    <t>REATERRO MECANIZADO DE VALA COM RETROESCAVADEIRA (CAPACIDADE DA CAÇAMBA DA RETRO: 0,26 M³/POTÊNCIA: 88 HP), LARGURA ATÉ 0,8 M, PROFUNDIDADE 1,5 A 3,0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</si>
  <si>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COMPACTADOR DE SOLOS DE PERCUSSÃO. AF_08/2023</t>
  </si>
  <si>
    <t>REATERRO MECANIZADO DE VALA COM RETROESCAVADEIRA (CAPACIDADE DA CAÇAMBA DA RETRO: 0,26 M³/POTÊNCIA: 88 HP), LARGURA ATÉ 0,8 M, PROFUNDIDADE ATÉ 1,5 M, COM SOLO (SEM SUBSTITUIÇÃO) DE 1ª CATEGORIA, COM PLACA VIBRATÓRIA. AF_08/2023</t>
  </si>
  <si>
    <t>REATERRO MECANIZADO DE VALA COM RETROESCAVADEIRA (CAPACIDADE DA CAÇAMBA DA RETRO: 0,26 M³/POTÊNCIA: 88 HP), LARGURA ATÉ 0,8 M, PROFUNDIDADE DE 1,5 A 3,0 M, COM SOLO (SEM SUBSTITUIÇÃO) DE 1ª CATEGORIA, COM PLACA VIBRATÓRIA. AF_08/2023</t>
  </si>
  <si>
    <t>REATERRO MECANIZADO DE VALA COM RETROESCAVADEIRA (CAPACIDADE DA CAÇAMBA DA RETRO: 0,26 M³/POTÊNCIA: 88 HP), LARGURA DE 0,8 A 1,5 M, PROFUNDIDADE ATÉ 1,5 M, COM SOLO (SEM SUBSTITUIÇÃO) DE 1ª CATEGORIA, COM PLACA VIBRATÓRIA. AF_08/2023</t>
  </si>
  <si>
    <t>REATERRO MECANIZADO DE VALA COM RETROESCAVADEIRA (CAPACIDADE DA CAÇAMBA DA RETRO: 0,26 M³/POTÊNCIA: 88 HP), LARGURA DE 0,8 A 1,5 M, PROFUNDIDADE DE 1,5 A 3,0 M, COM SOLO (SEM SUBSTITUIÇÃO) DE 1ª CATEGORIA, COM PLACA VIBRATÓRIA. AF_08/2023</t>
  </si>
  <si>
    <t>CAIXA COM GRELHA RETANGULAR DE FERRO FUNDIDO, EM ALVENARIA COM TIJOLOS CERÂMICOS MACIÇOS, DIMENSÕES INTERNAS: 0,15 X 1,00 X 0,3 M. AF_05/2025</t>
  </si>
  <si>
    <t>CAIXA COM GRELHA RETANGULAR DE FERRO FUNDIDO, EM ALVENARIA COM TIJOLOS CERÂMICOS MACIÇOS, DIMENSÕES INTERNAS: 0,20 X 1,00 X 0,4 M. AF_05/2025</t>
  </si>
  <si>
    <t>CAIXA COM GRELHA RETANGULAR DE FERRO FUNDIDO, EM ALVENARIA COM TIJOLOS CERÂMICOS MACIÇOS, DIMENSÕES INTERNAS: 0,30 X 1,00 X 0,5 M. AF_05/2025</t>
  </si>
  <si>
    <t>CANALETA DE CONCRETO POLIMÉRICO COM GRELHA, LARGURA DE 13 CM - FORNECIMENTO E INSTALAÇÃO. AF_05/2025</t>
  </si>
  <si>
    <t>CANALETA MEIA CANA PRÉ-MOLDADA DE CONCRETO (D = 20 CM) - FORNECIMENTO E INSTALAÇÃO. AF_05/2025</t>
  </si>
  <si>
    <t>CANALETA MEIA CANA PRÉ-MOLDADA DE CONCRETO (D = 30 CM) - FORNECIMENTO E INSTALAÇÃO. AF_05/2025</t>
  </si>
  <si>
    <t>CANALETA MEIA CANA PRÉ-MOLDADA DE CONCRETO (D = 40 CM) - FORNECIMENTO E INSTALAÇÃO. AF_05/2025</t>
  </si>
  <si>
    <t>CANALETA MEIA CANA PRÉ-MOLDADA DE CONCRETO (D = 50 CM) - FORNECIMENTO E INSTALAÇÃO. AF_05/2025</t>
  </si>
  <si>
    <t>CANALETA MEIA CANA PRÉ-MOLDADA DE CONCRETO (D = 60 CM) - FORNECIMENTO E INSTALAÇÃO. AF_05/2025</t>
  </si>
  <si>
    <t>CANALETA MEIA CANA PRÉ-MOLDADA DE CONCRETO (D = 80 CM) - FORNECIMENTO E INSTALAÇÃO. AF_05/2025</t>
  </si>
  <si>
    <t>CANALETA PRÉ-MOLDADA DE CONCRETO, COM GRELHA PERFURADA DE CONCRETO, GEOMETRIA RETANGULAR, COM DIMENSÕES INTERNAS: L=0,20 M; H=0,20 M; C=*0,60* M - FORNECIMENTO E INSTALAÇÃO. AF_05/2025</t>
  </si>
  <si>
    <t>CONCRETAGEM DE VALETA/ CANALETA MOLDADA IN LOCO. AF_05/2025</t>
  </si>
  <si>
    <t>EXECUÇÃO DE CANALETA DE CONCRETO ARMADO MOLDADA IN LOCO, ESPESSURA DE 0,1 M, GEOMETRIA QUADRADA, COM DIMENSÕES INTERNAS: L=0,20 M; H=0,20 M. AF_05/2025</t>
  </si>
  <si>
    <t>EXECUÇÃO DE CANALETA DE CONCRETO ARMADO MOLDADA IN LOCO, ESPESSURA DE 0,1 M, GEOMETRIA QUADRADA, COM DIMENSÕES INTERNAS: L=0,25 M; H=0,25 M. AF_05/2025</t>
  </si>
  <si>
    <t>EXECUÇÃO DE CANALETA DE CONCRETO ARMADO MOLDADA IN LOCO, ESPESSURA DE 0,1 M, GEOMETRIA QUADRADA, COM DIMENSÕES INTERNAS: L=0,30 M; H=0,30 M. AF_05/2025</t>
  </si>
  <si>
    <t>EXECUÇÃO DE CANALETA DE CONCRETO ARMADO MOLDADA IN LOCO, ESPESSURA DE 0,1 M, GEOMETRIA QUADRADA, COM DIMENSÕES INTERNAS: L=0,35 M; H=0,35 M. AF_05/2025</t>
  </si>
  <si>
    <t>EXECUÇÃO DE CANALETA DE CONCRETO ARMADO MOLDADA IN LOCO, ESPESSURA DE 0,1 M, GEOMETRIA QUADRADA, COM DIMENSÕES INTERNAS: L=0,40 M; H=0,40 M. AF_05/2025</t>
  </si>
  <si>
    <t>EXECUÇÃO DE CANALETA DE CONCRETO ARMADO MOLDADA IN LOCO, ESPESSURA DE 0,1 M, GEOMETRIA QUADRADA, COM DIMENSÕES INTERNAS: L=0,50 M; H=0,50 M. AF_05/2025</t>
  </si>
  <si>
    <t>EXECUÇÃO DE CANALETA DE CONCRETO ARMADO MOLDADA IN LOCO, ESPESSURA DE 0,1 M, GEOMETRIA QUADRADA, COM DIMENSÕES INTERNAS: L=0,60 M; H=0,60 M. AF_05/2025</t>
  </si>
  <si>
    <t>EXECUÇÃO DE CANALETA DE CONCRETO MOLDADO IN LOCO, COM GRELHA DE CONCRETO; ESPESSURA DE 0,15 M, GEOMETRIA RETANGULAR, COM DIMENSÕES INTERNAS: L=0,4 M; H=*0,3*M. AF_05/2025</t>
  </si>
  <si>
    <t>EXECUÇÃO DE CANALETA DE CONCRETO MOLDADO IN LOCO, COM GRELHA DE CONCRETO; ESPESSURA DE 0,15 M, GEOMETRIA RETANGULAR, COM DIMENSÕES INTERNAS: L=0,60 M; H=0,50 M. AF_05/2025</t>
  </si>
  <si>
    <t>EXECUÇÃO DE CANALETA DE CONCRETO MOLDADO IN LOCO, COM GRELHA DE CONCRETO; ESPESSURA DE 0,15 M, GEOMETRIA RETANGULAR, COM DIMENSÕES INTERNAS:L=*0,6* M; H=* 0,3* M. AF_05/2025</t>
  </si>
  <si>
    <t>EXECUÇÃO DE CANALETA DE CONCRETO MOLDADO IN LOCO, COM GRELHA DE CONCRETO; ESPESSURA DE 0,20 M, GEOMETRIA RETANGULAR, COM DIMENSÕES INTERNAS: L=0,80 M; H=0,30 M. AF_05/2025</t>
  </si>
  <si>
    <t>EXECUÇÃO DE CANALETA DE CONCRETO MOLDADO IN LOCO, COM GRELHA DE CONCRETO; ESPESSURA DE 0,20 M, GEOMETRIA RETANGULAR, COM DIMENSÕES INTERNAS: L=0,80 M; H=0,60 M. AF_05/2025</t>
  </si>
  <si>
    <t>EXECUÇÃO DE CANALETA DE CONCRETO MOLDADO IN LOCO, COM GRELHA DE CONCRETO; ESPESSURA DE 0,20 M, GEOMETRIA RETANGULAR, COM DIMENSÕES INTERNAS: L=0,80 M; H=0,90 M. AF_05/2025</t>
  </si>
  <si>
    <t>GRELHA ARTICULADA PARA CALHA DE PISO 20X50 CM - FORNECIMENTO E INSTALAÇÃO. AF_05/2025</t>
  </si>
  <si>
    <t>GRELHA DE FERRO FUNDIDO SIMPLES COM REQUADRO, 150 X 1000 MM, ASSENTADA COM ARGAMASSA 1 : 3 CIMENTO: AREIA - FORNECIMENTO E INSTALAÇÃO. AF_05/2025</t>
  </si>
  <si>
    <t>GRELHA DE FERRO FUNDIDO SIMPLES COM REQUADRO, 200 X 1000 MM, ASSENTADA COM ARGAMASSA 1 : 3 CIMENTO: AREIA - FORNECIMENTO E INSTALAÇÃO. AF_05/2025</t>
  </si>
  <si>
    <t>GRELHA DE FERRO FUNDIDO SIMPLES COM REQUADRO, 300 X 1000 MM, ASSENTADA COM ARGAMASSA 1 : 3 CIMENTO: AREIA - FORNECIMENTO E INSTALAÇÃO. AF_05/2025</t>
  </si>
  <si>
    <t>GRELHA PARA CALHA DE PISO 20X50 CM - FORNECIMENTO E INSTALAÇÃO. AF_05/2025</t>
  </si>
  <si>
    <t>PREPARO DE SOLO E GABARITO DE MADEIRA PARA VALETA MOLDADA IN LOCO COM GEOMETRIA TRAPEZOIDAL. AF_05/2025</t>
  </si>
  <si>
    <t>CHAPISCO APLICADO EM ALVENARIA (COM PRESENÇA DE VÃOS) E ESTRUTURAS DE CONCRETO DE FACHADA, COM COLHER DE PEDREIRO. ARGAMASSA TRAÇO 1:3 COM PREPARO EM BETONEIRA 400L. AF_10/2022</t>
  </si>
  <si>
    <t>CHAPISCO APLICADO EM ALVENARIA (COM PRESENÇA DE VÃOS) E ESTRUTURAS DE CONCRETO DE FACHADA, COM COLHER DE PEDREIRO. ARGAMASSA TRAÇO 1:3 COM PREPARO MANUAL. AF_10/2022</t>
  </si>
  <si>
    <t>CHAPISCO APLICADO EM ALVENARIA (COM PRESENÇA DE VÃOS) E ESTRUTURAS DE CONCRETO DE FACHADA, COM EQUIPAMENTO DE PROJEÇÃO. ARGAMASSA TRAÇO 1:3 COM PREPARO EM BETONEIRA 400 L. AF_10/2022</t>
  </si>
  <si>
    <t>CHAPISCO APLICADO EM ALVENARIA (COM PRESENÇA DE VÃOS) E ESTRUTURAS DE CONCRETO DE FACHADA, COM EQUIPAMENTO DE PROJEÇÃO. ARGAMASSA TRAÇO 1:3 COM PREPARO MANUAL. AF_10/2022</t>
  </si>
  <si>
    <t>CHAPISCO APLICADO EM ALVENARIA (COM PRESENÇA DE VÃOS) E ESTRUTURAS DE CONCRETO DE FACHADA, COM ROLO PARA TEXTURA ACRÍLICA. ARGAMASSA INDUSTRIALIZADA COM PREPARO EM MISTURADOR 300 KG. AF_10/2022</t>
  </si>
  <si>
    <t>CHAPISCO APLICADO EM ALVENARIA (COM PRESENÇA DE VÃOS) E ESTRUTURAS DE CONCRETO DE FACHADA, COM ROLO PARA TEXTURA ACRÍLICA. ARGAMASSA INDUSTRIALIZADA COM PREPARO MANUAL. AF_10/2022</t>
  </si>
  <si>
    <t>CHAPISCO APLICADO EM ALVENARIA (COM PRESENÇA DE VÃOS) E ESTRUTURAS DE CONCRETO DE FACHADA, COM ROLO PARA TEXTURA ACRÍLICA. ARGAMASSA TRAÇO 1:4 E EMULSÃO POLIMÉRICA (ADESIVO) COM PREPARO EM BETONEIRA 400L. AF_10/2022</t>
  </si>
  <si>
    <t>CHAPISCO APLICADO EM ALVENARIA (COM PRESENÇA DE VÃOS) E ESTRUTURAS DE CONCRETO DE FACHADA, COM ROLO PARA TEXTURA ACRÍLICA. ARGAMASSA TRAÇO 1:4 E EMULSÃO POLIMÉRICA (ADESIVO) COM PREPARO MANUAL. AF_10/2022</t>
  </si>
  <si>
    <t>CHAPISCO APLICADO EM ALVENARIA (SEM PRESENÇA DE VÃOS) E ESTRUTURAS DE CONCRETO DE FACHADA, COM COLHER DE PEDREIRO. ARGAMASSA TRAÇO 1:3 COM PREPARO EM BETONEIRA 400L. AF_10/2022</t>
  </si>
  <si>
    <t>CHAPISCO APLICADO EM ALVENARIA (SEM PRESENÇA DE VÃOS) E ESTRUTURAS DE CONCRETO DE FACHADA, COM COLHER DE PEDREIRO. ARGAMASSA TRAÇO 1:3 COM PREPARO MANUAL. AF_10/2022</t>
  </si>
  <si>
    <t>CHAPISCO APLICADO EM ALVENARIA (SEM PRESENÇA DE VÃOS) E ESTRUTURAS DE CONCRETO DE FACHADA, COM EQUIPAMENTO DE PROJEÇÃO. ARGAMASSA TRAÇO 1:3 COM PREPARO EM BETONEIRA 400 L. AF_10/2022</t>
  </si>
  <si>
    <t>CHAPISCO APLICADO EM ALVENARIA (SEM PRESENÇA DE VÃOS) E ESTRUTURAS DE CONCRETO DE FACHADA, COM ROLO PARA TEXTURA ACRÍLICA. ARGAMASSA INDUSTRIALIZADA COM PREPARO EM MISTURADOR 300 KG. AF_10/2022</t>
  </si>
  <si>
    <t>CHAPISCO APLICADO EM ALVENARIA (SEM PRESENÇA DE VÃOS) E ESTRUTURAS DE CONCRETO DE FACHADA, COM ROLO PARA TEXTURA ACRÍLICA. ARGAMASSA TRAÇO 1:4 E EMULSÃO POLIMÉRICA (ADESIVO) COM PREPARO EM BETONEIRA 400L. AF_10/2022</t>
  </si>
  <si>
    <t>CHAPISCO APLICADO EM ALVENARIA (SEM PRESENÇA DE VÃOS) E ESTRUTURAS DE CONCRETO DE FACHADA, COM ROLO PARA TEXTURA ACRÍLICA. ARGAMASSA TRAÇO 1:4 E EMULSÃO POLIMÉRICA (ADESIVO) COM PREPARO MANUAL. AF_10/2022</t>
  </si>
  <si>
    <t>CHAPISCO APLICADO EM ALVENARIA E ESTRUTURAS DE CONCRETO INTERNAS, COM EQUIPAMENTO DE PROJEÇÃO. ARGAMASSA TRAÇO 1:3 COM PREPARO EM BETONEIRA 400 L. AF_10/2022</t>
  </si>
  <si>
    <t>CHAPISCO APLICADO EM ALVENARIA E ESTRUTURAS DE CONCRETO INTERNAS, COM EQUIPAMENTO DE PROJEÇÃO. ARGAMASSA TRAÇO 1:3 COM PREPARO MANUAL. AF_10/2022</t>
  </si>
  <si>
    <t>CHAPISCO APLICADO EM ALVENARIAS E ESTRUTURAS DE CONCRETO INTERNAS, COM COLHER DE PEDREIRO. ARGAMASSA TRAÇO 1:3 COM PREPARO EM BETONEIRA 400L. AF_10/2022</t>
  </si>
  <si>
    <t>CHAPISCO APLICADO EM ALVENARIAS E ESTRUTURAS DE CONCRETO INTERNAS, COM COLHER DE PEDREIRO. ARGAMASSA TRAÇO 1:3 COM PREPARO MANUAL. AF_10/2022</t>
  </si>
  <si>
    <t>CONCRETAGEM DE PILARES, FCK = 25 MPA, COM USO DE BALDES - LANÇAMENTO, ADENSAMENTO E ACABAMENTO. AF_02/2022</t>
  </si>
  <si>
    <t>CONCRETAGEM DE VIGAS E LAJES, FCK=25 MPA, PARA LAJES MACIÇAS OU NERVURADAS COM JERICAS EM ELEVADOR DE CABO EM EDIFICAÇÃO DE MULTIPAVIMENTOS ATÉ 16 ANDARES - LANÇAMENTO, ADENSAMENTO E ACABAMENTO. AF_02/2022</t>
  </si>
  <si>
    <t>CONCRETAGEM DE VIGAS E LAJES, FCK=25 MPA, PARA LAJES PREMOLDADAS COM JERICAS EM CREMALHEIRA EM EDIFICAÇÃO DE MULTIPAVIMENTOS ATÉ 16 ANDARES - LANÇAMENTO, ADENSAMENTO E ACABAMENTO. AF_02/2022</t>
  </si>
  <si>
    <t>COMPRESSOR DE AR, VAZAO DE 10 PCM, RESERVATORIO 100 L, PRESSAO DE TRABALHO ENTRE 6,9 E 9,7 BAR POTENCIA 2 HP, TENSAO 110/220 V - CHI DIURNO. AF_05/2023</t>
  </si>
  <si>
    <t>CONJUNTO CILINDRO E BOMBA HIDRÁULICA PARA PROTENSÃO DE MONOBARRAS PARA TIRANTES, ESFORÇO MÁXIMO DE 30 TONELADAS - CHI DIURNO. AF_05/2023</t>
  </si>
  <si>
    <t>CONJUNTO CILINDRO E BOMBA HIDRÁULICA PARA PROTENSÃO DE MONOBARRAS PARA TIRANTES, ESFORÇO MÁXIMO DE 30 TONELADAS - CHP DIURNO. AF_05/2023</t>
  </si>
  <si>
    <t>CONJUNTO MACACO HIDRÁULICO E CENTRAL DE BOMBEAMENTO MOTORIZADO 1,8 KW PARA PROTENSÃO DE MONOCABOS PARA CONCRETO PROTENDIDO, ESFORÇO MÁXIMO DE 20 TONELADAS - CHI DIURNO. AF_05/2022</t>
  </si>
  <si>
    <t>CONJUNTO MACACO HIDRÁULICO E CENTRAL DE BOMBEAMENTO MOTORIZADO 1,8 KW PARA PROTENSÃO DE MONOCABOS PARA CONCRETO PROTENDIDO, ESFORÇO MÁXIMO DE 20 TONELADAS - CHP DIURNO. AF_05/2022</t>
  </si>
  <si>
    <t>CONJUNTO MACACO HIDRÁULICO E CENTRAL DE BOMBEAMENTO MOTORIZADO 1,8 KW PARA PROTENSÃO DE MONOCABOS PARA CONCRETO PROTENDIDO, ESFORÇO MÁXIMO DE 30 TONELADAS - CHI DIURNO. AF_05/2022</t>
  </si>
  <si>
    <t>CONJUNTO MACACO HIDRÁULICO E CENTRAL DE BOMBEAMENTO MOTORIZADO 1,8 KW PARA PROTENSÃO DE MONOCABOS PARA CONCRETO PROTENDIDO, ESFORÇO MÁXIMO DE 30 TONELADAS - CHP DIURNO. AF_05/2022</t>
  </si>
  <si>
    <t>ESCAVADEIRA HIDRÁULICA DE BRAÇO LONGO (LONGO ALCANCE) SOBRE ESTEIRAS, CAÇAMBA 0,52 M3, PESO OPERACIONAL 24 T, POTÊNCIA LÍQUIDA 155 HP - CHP DIURNO. AF_06/2023</t>
  </si>
  <si>
    <t>ESPARGIDOR DE ASFALTO PRESSURIZADO, TANQUE 6 M3 COM ISOLAÇÃO TÉRMICA, AQUECIDO COM 2 MAÇARICOS, COM BARRA ESPARGIDORA 3,60 M, MONTADO SOBRE CAMINHÃO TOCO, PBT 14.300 KG, POTÊNCIA 185 CV - CHI DIURNO. AF_05/2023</t>
  </si>
  <si>
    <t>ESPARGIDOR DE ASFALTO PRESSURIZADO, TANQUE 6 M3 COM ISOLAÇÃO TÉRMICA, AQUECIDO COM 2 MAÇARICOS, COM BARRA ESPARGIDORA 3,60 M, MONTADO SOBRE CAMINHÃO TOCO, PBT 14.300 KG, POTÊNCIA 185 CV - CHP DIURNO. AF_05/2023</t>
  </si>
  <si>
    <t>ESTABILIZADOR DE LINHA E PRESSÃO, CAPACIDADE DE 120 BAR, COM MANÔMETRO DE LEITURA, REGISTRO DE 1 COM RETORNO E LINHA - CHI DIURNO. AF_05/2023</t>
  </si>
  <si>
    <t>ESTABILIZADOR DE LINHA E PRESSÃO, CAPACIDADE DE 120 BAR, COM MANÔMETRO DE LEITURA, REGISTRO DE 1 COM RETORNO E LINHA - CHP DIURNO. AF_05/2023</t>
  </si>
  <si>
    <t>GUINDAUTO HIDRÁULICO, CAPACIDADE MÁXIMA DE CARGA 8500 KG, MOMENTO MÁXIMO DE CARGA 30,4 TM, ALCANCE MÁXIMO HORIZONTAL 14,30 M, INCLUSIVE CAMINHÃO TRUCADO PBT 23.000 KG, POTÊNCIA DE 256 CV E CARROCERIA FIXA ABERTA DE MADEIRA - CHI DIURNO. AF_05/2025</t>
  </si>
  <si>
    <t>GUINDAUTO HIDRÁULICO, CAPACIDADE MÁXIMA DE CARGA 8500 KG, MOMENTO MÁXIMO DE CARGA 30,4 TM, ALCANCE MÁXIMO HORIZONTAL 14,30 M, INCLUSIVE CAMINHÃO TRUCADO PBT 23.000 KG, POTÊNCIA DE 256 CV E CARROCERIA FIXA ABERTA DE MADEIRA - CHP DIURNO. AF_05/2025</t>
  </si>
  <si>
    <t>MARTELO DEMOLIDOR ELÉTRICO, COM POTÊNCIA DE 2.000 W, 1.000 IMPACTOS POR MINUTO, PESO DE 30 KG - CHI DIURNO. AF_01/2021</t>
  </si>
  <si>
    <t>MÁQUINA DEMARCADORA DE FAIXA DE TRÁFEGO À FRIO, TRAÇÃO MANUAL, 4 CV, PRESSÃO MAX 3300 PSI, TANQUE 20 L - CHI DIURNO. AF_06/2021</t>
  </si>
  <si>
    <t>MÁQUINA DEMARCADORA DE FAIXA DE TRÁFEGO À FRIO, TRAÇÃO MANUAL, 4 CV, PRESSÃO MAX 3300 PSI, TANQUE 20 L - CHP DIURNO. AF_06/2021</t>
  </si>
  <si>
    <t>MÁQUINA JATO DE PRESSAO PORTÁTIL, CAMARA DE 1 SAIDA, CAPACIDADE 280 L, DIAMETRO 670 MM, BICO DE JATO CURTO VENTURI DE 5/16", MANGUEIRA DE 1" COM COMPRESSOR DE AR REBOCÁVEL 189 PCM E MOTOR DIESEL 63 CV - CHI DIURNO. AF_05/2023</t>
  </si>
  <si>
    <t>MÁQUINA JATO DE PRESSAO PORTÁTIL, CAMARA DE 1 SAIDA, CAPACIDADE 280 L, DIAMETRO 670 MM, BICO DE JATO CURTO VENTURI DE 5/16", MANGUEIRA DE 1" COM COMPRESSOR DE AR REBOCÁVEL 189 PCM E MOTOR DIESEL 63 CV - CHP DIURNO. AF_05/2023</t>
  </si>
  <si>
    <t>PÓRTICO ROLANTE MONOVIGA, PERFIL I, 4 PERNAS, CAPACIDADE 5 T - CHI DIURNO. AF_04/2019</t>
  </si>
  <si>
    <t>PÓRTICO ROLANTE MONOVIGA, PERFIL I, 4 PERNAS, CAPACIDADE 5 T - CHP DIURNO. AF_04/2019</t>
  </si>
  <si>
    <t>RETROESCAVADEIRA SOBRE RODAS COM CARREGADEIRA, PESO OPERACIONAL MÍN. 6,674, POTÊNCIA LÍQ 88 HP, COM MARTELO ROMPEDOR HIDRÁULICO ENTRE 275 A 362 KG - CHI DIURNO. AF_02/2021</t>
  </si>
  <si>
    <t>RETROESCAVADEIRA SOBRE RODAS COM CARREGADEIRA, PESO OPERACIONAL MÍN. 6,674, POTÊNCIA LÍQ 88 HP, COM MARTELO ROMPEDOR HIDRÁULICO ENTRE 275 A 362 KG - CHP DIURNO. AF_02/2021</t>
  </si>
  <si>
    <t>TORRE, COMPOSTA POR GUINCHO MECÂNICO, GUINCHO MANUAL, CABOS DE AÇO, PITEIRA E SOQUETE - CHI DIURNO. AF_05/2023</t>
  </si>
  <si>
    <t>TORRE, COMPOSTA POR GUINCHO MECÂNICO, GUINCHO MANUAL, CABOS DE AÇO, PITEIRA E SOQUETE - CHP DIURNO. AF_05/2023</t>
  </si>
  <si>
    <t>COMPRESSOR DE AR, VAZAO DE 10 PCM, RESERVATORIO 100 L, PRESSAO DE TRABALHO ENTRE 6,9 E 9,7 BAR, POTENCIA 2 HP, TENSAO 110/220 V - DEPRECIAÇÃO. AF_05/2023</t>
  </si>
  <si>
    <t>COMPRESSOR DE AR, VAZAO DE 10 PCM, RESERVATORIO 100 L, PRESSAO DE TRABALHO ENTRE 6,9 E 9,7 BAR, POTENCIA 2 HP, TENSAO 110/220 V - JUROS. AF_05/2023</t>
  </si>
  <si>
    <t>COMPRESSOR DE AR, VAZAO DE 10 PCM, RESERVATORIO 100 L, PRESSAO DE TRABALHO ENTRE 6,9 E 9,7 BAR, POTENCIA 2 HP, TENSAO 110/220 V - MANUTENÇÃO. AF_05/2023</t>
  </si>
  <si>
    <t>CONJUNTO CILINDRO E BOMBA HIDRÁULICA PARA PROTENSÃO DE MONOBARRAS PARA TIRANTES, ESFORÇO MÁXIMO DE 30 TONELADAS - DEPRECIAÇÃO. AF_05/2023</t>
  </si>
  <si>
    <t>CONJUNTO CILINDRO E BOMBA HIDRÁULICA PARA PROTENSÃO DE MONOBARRAS PARA TIRANTES, ESFORÇO MÁXIMO DE 30 TONELADAS - JUROS. AF_05/2023</t>
  </si>
  <si>
    <t>CONJUNTO CILINDRO E BOMBA HIDRÁULICA PARA PROTENSÃO DE MONOBARRAS PARA TIRANTES, ESFORÇO MÁXIMO DE 30 TONELADAS - MANUTENÇÃO. AF_05/2023</t>
  </si>
  <si>
    <t>CONJUNTO CILINDRO E BOMBA HIDRÁULICA PARA PROTENSÃO DE MONOBARRAS PARA TIRANTES, ESFORÇO MÁXIMO DE 30 TONELADAS - MATERIAIS NA OPERAÇÃO. AF_05/2023</t>
  </si>
  <si>
    <t>CONJUNTO MACACO HIDRÁULICO E CENTRAL DE BOMBEAMENTO MOTORIZADO 1,8 KW PARA PROTENSÃO DE MONOCABOS PARA CONCRETO PROTENDIDO, ESFORÇO MÁXIMO DE 20 TONELADAS - DEPRECIAÇÃO. AF_05/2022</t>
  </si>
  <si>
    <t>CONJUNTO MACACO HIDRÁULICO E CENTRAL DE BOMBEAMENTO MOTORIZADO 1,8 KW PARA PROTENSÃO DE MONOCABOS PARA CONCRETO PROTENDIDO, ESFORÇO MÁXIMO DE 20 TONELADAS - JUROS. AF_05/2022</t>
  </si>
  <si>
    <t>CONJUNTO MACACO HIDRÁULICO E CENTRAL DE BOMBEAMENTO MOTORIZADO 1,8 KW PARA PROTENSÃO DE MONOCABOS PARA CONCRETO PROTENDIDO, ESFORÇO MÁXIMO DE 20 TONELADAS - MANUTENÇÃO. AF_05/2022</t>
  </si>
  <si>
    <t>CONJUNTO MACACO HIDRÁULICO E CENTRAL DE BOMBEAMENTO MOTORIZADO 1,8 KW PARA PROTENSÃO DE MONOCABOS PARA CONCRETO PROTENDIDO, ESFORÇO MÁXIMO DE 20 TONELADAS - MATERIAIS NA OPERAÇÃO. AF_05/2022</t>
  </si>
  <si>
    <t>CONJUNTO MACACO HIDRÁULICO E CENTRAL DE BOMBEAMENTO MOTORIZADO 1,8 KW PARA PROTENSÃO DE MONOCABOS PARA CONCRETO PROTENDIDO, ESFORÇO MÁXIMO DE 30 TONELADAS - DEPRECIAÇÃO. AF_05/2022</t>
  </si>
  <si>
    <t>CONJUNTO MACACO HIDRÁULICO E CENTRAL DE BOMBEAMENTO MOTORIZADO 1,8 KW PARA PROTENSÃO DE MONOCABOS PARA CONCRETO PROTENDIDO, ESFORÇO MÁXIMO DE 30 TONELADAS - JUROS. AF_05/2022</t>
  </si>
  <si>
    <t>CONJUNTO MACACO HIDRÁULICO E CENTRAL DE BOMBEAMENTO MOTORIZADO 1,8 KW PARA PROTENSÃO DE MONOCABOS PARA CONCRETO PROTENDIDO, ESFORÇO MÁXIMO DE 30 TONELADAS - MANUTENÇÃO. AF_05/2022</t>
  </si>
  <si>
    <t>CONJUNTO MACACO HIDRÁULICO E CENTRAL DE BOMBEAMENTO MOTORIZADO 1,8 KW PARA PROTENSÃO DE MONOCABOS PARA CONCRETO PROTENDIDO, ESFORÇO MÁXIMO DE 30 TONELADAS - MATERIAIS NA OPERAÇÃO. AF_05/2022</t>
  </si>
  <si>
    <t>DESEMPENADEIRA DE CONCRETO, PESO DE 78 KG, 4 PÁS, MOTOR A GASOLINA, POTÊNCIA 5,5 HP MATERIAIS NA OPERAÇÃO. AF_05/2023</t>
  </si>
  <si>
    <t>ESCAVADEIRA HIDRÁULICA DE BRAÇO LONGO (LONGO ALCANCE) SOBRE ESTEIRAS, CAÇAMBA 0,52 M3, PESO OPERACIONAL 24 T, POTÊNCIA LÍQUIDA 155 HP - MATERIAIS NA OPERAÇÃO. AF_06/2023</t>
  </si>
  <si>
    <t>ESPARGIDOR DE ASFALTO PRESSURIZADO, TANQUE 6 M3 COM ISOLAÇÃO TÉRMICA, AQUECIDO COM 2 MAÇARICOS, COM BARRA ESPARGIDORA 3,60 M, MONTADO SOBRE CAMINHÃO TOCO, PBT 14.300 KG, POTÊNCIA 185 CV - DEPRECIAÇÃO. AF_05/2023</t>
  </si>
  <si>
    <t>ESPARGIDOR DE ASFALTO PRESSURIZADO, TANQUE 6 M3 COM ISOLAÇÃO TÉRMICA, AQUECIDO COM 2 MAÇARICOS, COM BARRA ESPARGIDORA 3,60 M, MONTADO SOBRE CAMINHÃO TOCO, PBT 14.300 KG, POTÊNCIA 185 CV - IMPOSTOS E SEGUROS. AF_05/2023</t>
  </si>
  <si>
    <t>ESPARGIDOR DE ASFALTO PRESSURIZADO, TANQUE 6 M3 COM ISOLAÇÃO TÉRMICA, AQUECIDO COM 2 MAÇARICOS, COM BARRA ESPARGIDORA 3,60 M, MONTADO SOBRE CAMINHÃO TOCO, PBT 14.300 KG, POTÊNCIA 185 CV - JUROS. AF_05/2023</t>
  </si>
  <si>
    <t>ESPARGIDOR DE ASFALTO PRESSURIZADO, TANQUE 6 M3 COM ISOLAÇÃO TÉRMICA, AQUECIDO COM 2 MAÇARICOS, COM BARRA ESPARGIDORA 3,60 M, MONTADO SOBRE CAMINHÃO TOCO, PBT 14.300 KG, POTÊNCIA 185 CV - MANUTENÇÃO. AF_08/2015</t>
  </si>
  <si>
    <t>ESPARGIDOR DE ASFALTO PRESSURIZADO, TANQUE 6 M3 COM ISOLAÇÃO TÉRMICA, AQUECIDO COM 2 MAÇARICOS, COM BARRA ESPARGIDORA 3,60 M, MONTADO SOBRE CAMINHÃO TOCO, PBT 14.300 KG, POTÊNCIA 185 CV - MATERIAIS NA OPERAÇÃO. AF_05/2023</t>
  </si>
  <si>
    <t>ESTABILIZADOR DE LINHA E PRESSÃO, CAPACIDADE DE 120 BAR, COM MANÔMETRO DE LEITURA, REGISTRO DE 1 COM RETORNO E LINHA - DEPRECIAÇÃO. AF_05/2023</t>
  </si>
  <si>
    <t>ESTABILIZADOR DE LINHA E PRESSÃO, CAPACIDADE DE 120 BAR, COM MANÔMETRO DE LEITURA, REGISTRO DE 1 COM RETORNO E LINHA - JUROS. AF_05/2023</t>
  </si>
  <si>
    <t>ESTABILIZADOR DE LINHA E PRESSÃO, CAPACIDADE DE 120 BAR, COM MANÔMETRO DE LEITURA, REGISTRO DE 1 COM RETORNO E LINHA - MANUTENÇÃO. AF_05/2023</t>
  </si>
  <si>
    <t>GRUA ASCENCIONAL, LANCA DE 42 M, CAPACIDADE DE 1,5 T A 30 M, ALTURA ATE 39 M JUROS. AF_05/2023</t>
  </si>
  <si>
    <t>GRUA ASCENCIONAL, LANCA DE 42 M, CAPACIDADE DE 1,5 T A 30 M, ALTURA ATE 39 M MANUTENÇÃO. AF_05/2023</t>
  </si>
  <si>
    <t>GRUA ASCENCIONAL, LANCA DE 42 M, CAPACIDADE DE 1,5 T A 30 M, ALTURA ATE 39 M MATERIAIS NA OPERAÇÃO. AF_05/2023</t>
  </si>
  <si>
    <t>GRUA ASCENCIONAL, LANÇA DE 30 M, CAPACIDADE DE 1,0 T A 30 M, ALTURA ATÉ 39 M DEPRECIAÇÃO. AF_05/2023</t>
  </si>
  <si>
    <t>GRUA ASCENCIONAL, LANÇA DE 30 M, CAPACIDADE DE 1,0 T A 30 M, ALTURA ATÉ 39 M JUROS. AF_05/2023</t>
  </si>
  <si>
    <t>GRUA ASCENCIONAL, LANÇA DE 30 M, CAPACIDADE DE 1,0 T A 30 M, ALTURA ATÉ 39 M MANUTENÇÃO. AF_05/2023</t>
  </si>
  <si>
    <t>GRUA ASCENCIONAL, LANÇA DE 30 M, CAPACIDADE DE 1,0 T A 30 M, ALTURA ATÉ 39 M MATERIAIS NA OPERAÇÃO. AF_05/2023</t>
  </si>
  <si>
    <t>GRUA ASCENCIONAL, LANÇA DE 42 M, CAPACIDADE DE 1,5 T A 30 M, ALTURA ATÉ 39 M DEPRECIAÇÃO. AF_05/2023</t>
  </si>
  <si>
    <t>GUINDAUTO HIDRÁULICO, CAPACIDADE MÁXIMA DE CARGA 8500 KG, MOMENTO MÁXIMO DE CARGA 30,4 TM, ALCANCE MÁXIMO HORIZONTAL 14,30 M, INCLUSIVE CAMINHÃO TRUCADO PBT 23.000 KG, POTÊNCIA DE 256 CV E CARROCERIA FIXA ABERTA DE MADEIRA - DEPRECIAÇÃO. AF_05/2025</t>
  </si>
  <si>
    <t>GUINDAUTO HIDRÁULICO, CAPACIDADE MÁXIMA DE CARGA 8500 KG, MOMENTO MÁXIMO DE CARGA 30,4 TM, ALCANCE MÁXIMO HORIZONTAL 14,30 M, INCLUSIVE CAMINHÃO TRUCADO PBT 23.000 KG, POTÊNCIA DE 256 CV E CARROCERIA FIXA ABERTA DE MADEIRA - IMPOSTOS E SEGUROS. AF_05/2025</t>
  </si>
  <si>
    <t>GUINDAUTO HIDRÁULICO, CAPACIDADE MÁXIMA DE CARGA 8500 KG, MOMENTO MÁXIMO DE CARGA 30,4 TM, ALCANCE MÁXIMO HORIZONTAL 14,30 M, INCLUSIVE CAMINHÃO TRUCADO PBT 23.000 KG, POTÊNCIA DE 256 CV E CARROCERIA FIXA ABERTA DE MADEIRA - JUROS. AF_05/2025</t>
  </si>
  <si>
    <t>GUINDAUTO HIDRÁULICO, CAPACIDADE MÁXIMA DE CARGA 8500 KG, MOMENTO MÁXIMO DE CARGA 30,4 TM, ALCANCE MÁXIMO HORIZONTAL 14,30 M, INCLUSIVE CAMINHÃO TRUCADO PBT 23.000 KG, POTÊNCIA DE 256 CV E CARROCERIA FIXA ABERTA DE MADEIRA - MANUTENÇÃO. AF_05/2025</t>
  </si>
  <si>
    <t>GUINDAUTO HIDRÁULICO, CAPACIDADE MÁXIMA DE CARGA 8500 KG, MOMENTO MÁXIMO DE CARGA 30,4 TM, ALCANCE MÁXIMO HORIZONTAL 14,30 M, INCLUSIVE CAMINHÃO TRUCADO PBT 23.000 KG, POTÊNCIA DE 256 CV E CARROCERIA FIXA ABERTA DE MADEIRA - MATERIAIS NA OPERAÇÃO. AF_05/2025</t>
  </si>
  <si>
    <t>MÁQUINA JATO DE PRESSAO PORTÁTIL, CAMARA DE 1 SAIDA, CAPACIDADE 280 L, DIAMETRO 670 MM, BICO DE JATO CURTO VENTURI DE 5/16", MANGUEIRA DE 1" COM COMPRESSOR DE AR REBOCÁVEL 189 PCM E MOTOR DIESEL 63 CV - DEPRECIAÇÃO. AF_05/2023</t>
  </si>
  <si>
    <t>MÁQUINA JATO DE PRESSAO PORTÁTIL, CAMARA DE 1 SAIDA, CAPACIDADE 280 L, DIAMETRO 670 MM, BICO DE JATO CURTO VENTURI DE 5/16", MANGUEIRA DE 1" COM COMPRESSOR DE AR REBOCÁVEL 189 PCM E MOTOR DIESEL 63 CV - JUROS. AF_05/2023</t>
  </si>
  <si>
    <t>MÁQUINA JATO DE PRESSAO PORTÁTIL, CAMARA DE 1 SAIDA, CAPACIDADE 280 L, DIAMETRO 670 MM, BICO DE JATO CURTO VENTURI DE 5/16", MANGUEIRA DE 1" COM COMPRESSOR DE AR REBOCÁVEL 189 PCM E MOTOR DIESEL 63 CV - MANUTENÇÃO. AF_05/2023</t>
  </si>
  <si>
    <t>MÁQUINA JATO DE PRESSAO PORTÁTIL, CAMARA DE 1 SAIDA, CAPACIDADE 280 L, DIAMETRO 670 MM, BICO DE JATO CURTO VENTURI DE 5/16", MANGUEIRA DE 1" COM COMPRESSOR DE AR REBOCÁVEL 189 PCM E MOTOR DIESEL 63 CV - MATERIAIS NA OPERAÇÃO. AF_05/2023</t>
  </si>
  <si>
    <t>PÓRTICO ROLANTE MONOVIGA, PERFIL I, 4 PERNAS, CAPACIDADE 5 T - DEPRECIAÇÃO. AF_04/2019</t>
  </si>
  <si>
    <t>PÓRTICO ROLANTE MONOVIGA, PERFIL I, 4 PERNAS, CAPACIDADE 5 T - JUROS. AF_04/2019</t>
  </si>
  <si>
    <t>PÓRTICO ROLANTE MONOVIGA, PERFIL I, 4 PERNAS, CAPACIDADE 5 T - MANUTENÇÃO. AF_04/2019</t>
  </si>
  <si>
    <t>PÓRTICO ROLANTE MONOVIGA, PERFIL I, 4 PERNAS, CAPACIDADE 5 T - MATERIAIS NA OPERAÇÃO. AF_04/2019</t>
  </si>
  <si>
    <t>RETROESCAVADEIRA SOBRE RODAS COM CARREGADEIRA, PESO OPERACIONAL MÍN. 6,674, POTÊNCIA LÍQ 88 HP, COM MARTELO ROMPEDOR HIDRÁULICO ENTRE 275 A 362 KG - DEPRECIAÇÃO. AF_02/2021</t>
  </si>
  <si>
    <t>RETROESCAVADEIRA SOBRE RODAS COM CARREGADEIRA, PESO OPERACIONAL MÍN. 6,674, POTÊNCIA LÍQ 88 HP, COM MARTELO ROMPEDOR HIDRÁULICO ENTRE 275 A 362 KG - MANUTENÇÃO. AF_02/2021</t>
  </si>
  <si>
    <t>RETROESCAVADEIRA SOBRE RODAS COM CARREGADEIRA, PESO OPERACIONAL MÍN. 6,674, POTÊNCIA LÍQ 88 HP, COM MARTELO ROMPEDOR HIDRÁULICO ENTRE 275 A 362 KG - MATERIAIS NA OPERAÇÃO. AF_02/2021</t>
  </si>
  <si>
    <t>TORRE, COMPOSTA POR GUINCHO MECÂNICO, GUINCHO MANUAL, CABOS DE AÇO, PITEIRA E SOQUETE - DEPRECIAÇÃO. AF_05/2023</t>
  </si>
  <si>
    <t>TORRE, COMPOSTA POR GUINCHO MECÂNICO, GUINCHO MANUAL, CABOS DE AÇO, PITEIRA E SOQUETE - JUROS. AF_05/2023</t>
  </si>
  <si>
    <t>TORRE, COMPOSTA POR GUINCHO MECÂNICO, GUINCHO MANUAL, CABOS DE AÇO, PITEIRA E SOQUETE - MANUTENÇÃO. AF_05/2023</t>
  </si>
  <si>
    <t>TORRE, COMPOSTA POR GUINCHO MECÂNICO, GUINCHO MANUAL, CABOS DE AÇO, PITEIRA E SOQUETE - MATERIAIS NA OPERAÇÃO. AF_05/2023</t>
  </si>
  <si>
    <t>JUNÇÃO DUPLA DE PVC, SÉRIE NORMAL, PARA ESGOTO PREDIAL, DN 100 X 100 X 100 MM, INSTALADA EM DRENO - FORNECIMENTO E INSTALAÇÃO. AF_07/2021</t>
  </si>
  <si>
    <t>LUVA DE PEAD, DN 100 MM, INSTALADA EM DRENO - FORNECIMENTO E INSTALAÇÃO. AF_07/2021</t>
  </si>
  <si>
    <t>LUVA DE PVC, SÉRIE NORMAL, PARA ESGOTO PREDIAL, DN 100 MM, INSTALADA EM DRENO - FORNECIMENTO E INSTALAÇÃO. AF_07/2021</t>
  </si>
  <si>
    <t>ELETROCALHA LISA OU PERFURADA EM AÇO GALVANIZADO, LARGURA 100MM E ALTURA 50MM, INCLUSIVE EMENDA E FIXAÇÃO - FORNECIMENTO E INSTALAÇÃO. AF_04/2023</t>
  </si>
  <si>
    <t>ESCADA EM CONCRETO ARMADO MOLDADO IN LOCO, FCK 25 MPA, COM 2 LANCES EM L E LAJE CASCATA, FÔRMA EM CHAPA DE MADEIRA COMPENSADA RESINADA. AF_11/2020</t>
  </si>
  <si>
    <t>ESCADA EM CONCRETO ARMADO MOLDADO IN LOCO, FCK 25 MPA, COM 2 LANCES EM L E LAJE PLANA, FÔRMA EM CHAPA DE MADEIRA COMPENSADA RESINADA. AF_11/2020</t>
  </si>
  <si>
    <t>ESCADA EM CONCRETO ARMADO MOLDADO IN LOCO, FCK 25 MPA, COM 2 LANCES EM U E LAJE CASCATA, FÔRMA EM CHAPA DE MADEIRA COMPENSADA RESINADA. AF_11/2020</t>
  </si>
  <si>
    <t>ESCADA EM CONCRETO ARMADO MOLDADO IN LOCO, FCK 25 MPA, COM 2 LANCES EM U E LAJE PLANA, FÔRMA EM CHAPA DE MADEIRA COMPENSADA RESINADA. AF_11/2020</t>
  </si>
  <si>
    <t>ESCADA EM CONCRETO ARMADO MOLDADO IN LOCO, FCK 25 MPA, COM 2 LANCES EM X E LAJE CASCATA, FÔRMA EM CHAPA DE MADEIRA COMPENSADA RESINADA. AF_11/2020</t>
  </si>
  <si>
    <t>ESCADA EM CONCRETO ARMADO MOLDADO IN LOCO, FCK 25 MPA, COM 2 LANCES EM X E LAJE PLANA, FÔRMA EM CHAPA DE MADEIRA COMPENSADA RESINADA. AF_11/2020</t>
  </si>
  <si>
    <t>MONTAGEM E DESMONTAGEM DE FÔRMA PARA ESCADAS, COM 2 LANCES EM "U" E LAJE PLANA, EM MADEIRA SERRADA, 2 UTILIZAÇÕES. AF_11/2020</t>
  </si>
  <si>
    <t>ESCAVAÇÃO HORIZONTAL, INCLUINDO ESCARIFICAÇÃO, CARGA, DESCARGA E TRANSPORTE EM SOLO DE 2A CATEGORIA COM TRATOR DE ESTEIRAS (100HP/LÂMINA: 2,19M3) E CAMINHÃO BASCULANTE DE 10M3, DMT ATÉ 200M. AF_07/2020</t>
  </si>
  <si>
    <t>ESCAVAÇÃO VERTICAL PARA EDIFICAÇÃO, COM CARGA, DESCARGA E TRANSPORTE DE SOLO DE 1ª CATEGORIA, COM ESCAVADEIRA HIDRÁULICA (CAÇAMBA: 0,8 M³ / 111 HP), FROTA DE 3 CAMINHÕES BASCULANTES DE 14 M³, DMT ATÉ 1 KM E VELOCIDADE MÉDIA 14 KM/H. AF_05/2020</t>
  </si>
  <si>
    <t>ESCAVAÇÃO VERTICAL PARA EDIFICAÇÃO, COM CARGA, DESCARGA E TRANSPORTE DE SOLO DE 1ª CATEGORIA, COM ESCAVADEIRA HIDRÁULICA (CAÇAMBA: 0,8 M³ / 111 HP), FROTA DE 4 CAMINHÕES BASCULANTES DE 14 M³, DMT DE 1,5 KM E VELOCIDADE MÉDIA 18 KM/H. AF_05/2020</t>
  </si>
  <si>
    <t>ESCAVAÇÃO VERTICAL PARA EDIFICAÇÃO, COM CARGA, DESCARGA E TRANSPORTE DE SOLO DE 1ª CATEGORIA, COM ESCAVADEIRA HIDRÁULICA (CAÇAMBA: 0,8 M³ / 111 HP), FROTA DE 4 CAMINHÕES BASCULANTES DE 14 M³, DMT DE 2 KM E VELOCIDADE MÉDIA 19 KM/H. AF_05/2020</t>
  </si>
  <si>
    <t>ESCAVAÇÃO VERTICAL PARA EDIFICAÇÃO, COM CARGA, DESCARGA E TRANSPORTE DE SOLO DE 1ª CATEGORIA, COM ESCAVADEIRA HIDRÁULICA (CAÇAMBA: 0,8 M³ / 111 HP), FROTA DE 4 CAMINHÕES BASCULANTES DE 18 M³, DMT DE 1,5 KM E VELOCIDADE MÉDIA 18 KM/H. AF_05/2020</t>
  </si>
  <si>
    <t>ESCAVAÇÃO VERTICAL PARA EDIFICAÇÃO, COM CARGA, DESCARGA E TRANSPORTE DE SOLO DE 1ª CATEGORIA, COM ESCAVADEIRA HIDRÁULICA (CAÇAMBA: 0,8 M³ / 111 HP), FROTA DE 4 CAMINHÕES BASCULANTES DE 18 M³, DMT DE 2 KM E VELOCIDADE MÉDIA 19 KM/H. AF_05/2020</t>
  </si>
  <si>
    <t>ESCAVAÇÃO VERTICAL PARA EDIFICAÇÃO, COM CARGA, DESCARGA E TRANSPORTE DE SOLO DE 1ª CATEGORIA, COM ESCAVADEIRA HIDRÁULICA (CAÇAMBA: 0,8 M³ / 111 HP), FROTA DE 5 CAMINHÕES BASCULANTES DE 14 M³, DMT DE 3 KM E VELOCIDADE MÉDIA 20 KM/H. AF_05/2020</t>
  </si>
  <si>
    <t>ESCAVAÇÃO VERTICAL PARA EDIFICAÇÃO, COM CARGA, DESCARGA E TRANSPORTE DE SOLO DE 1ª CATEGORIA, COM ESCAVADEIRA HIDRÁULICA (CAÇAMBA: 0,8 M³ / 111 HP), FROTA DE 5 CAMINHÕES BASCULANTES DE 18 M³, DMT DE 3 KM E VELOCIDADE MÉDIA 20 KM/H. AF_05/2020</t>
  </si>
  <si>
    <t>ESCAVAÇÃO VERTICAL PARA EDIFICAÇÃO, COM CARGA, DESCARGA E TRANSPORTE DE SOLO DE 1ª CATEGORIA, COM ESCAVADEIRA HIDRÁULICA (CAÇAMBA: 0,8 M³ / 111 HP), FROTA DE 5 CAMINHÕES BASCULANTES DE 18 M³, DMT DE 4 KM E VELOCIDADE MÉDIA 22 KM/H. AF_05/2020</t>
  </si>
  <si>
    <t>ESCAVAÇÃO VERTICAL PARA EDIFICAÇÃO, COM CARGA, DESCARGA E TRANSPORTE DE SOLO DE 1ª CATEGORIA, COM ESCAVADEIRA HIDRÁULICA (CAÇAMBA: 0,8 M³ / 111 HP), FROTA DE 6 CAMINHÕES BASCULANTES DE 14 M³, DMT DE 4 KM E VELOCIDADE MÉDIA 22 KM/H. AF_05/2020</t>
  </si>
  <si>
    <t>ESCAVAÇÃO VERTICAL PARA EDIFICAÇÃO, COM CARGA, DESCARGA E TRANSPORTE DE SOLO DE 1ª CATEGORIA, COM ESCAVADEIRA HIDRÁULICA (CAÇAMBA: 0,8 M³ / 111 HP), FROTA DE 6 CAMINHÕES BASCULANTES DE 18 M³, DMT DE 6 KM E VELOCIDADE MÉDIA 22 KM/H. AF_05/2020</t>
  </si>
  <si>
    <t>ESCAVAÇÃO VERTICAL PARA EDIFICAÇÃO, COM CARGA, DESCARGA E TRANSPORTE DE SOLO DE 1ª CATEGORIA, COM ESCAVADEIRA HIDRÁULICA (CAÇAMBA: 0,8 M³ / 111 HP), FROTA DE 7 CAMINHÕES BASCULANTES DE 14 M³, DMT DE 6 KM E VELOCIDADE MÉDIA 22 KM/H. AF_05/2020</t>
  </si>
  <si>
    <t>ESCAVAÇÃO VERTICAL PARA EDIFICAÇÃO, COM CARGA, DESCARGA E TRANSPORTE DE SOLO DE 1ª CATEGORIA, COM ESCAVADEIRA HIDRÁULICA (CAÇAMBA: 0,8 M³ / 111HP), FROTA DE 3 CAMINHÕES BASCULANTES DE 10 M³, DMT ATÉ 1 KM E VELOCIDADE MÉDIA 14 KM/H. AF_05/2020</t>
  </si>
  <si>
    <t>ESCAVAÇÃO VERTICAL PARA EDIFICAÇÃO, COM CARGA, DESCARGA E TRANSPORTE DE SOLO DE 1ª CATEGORIA, COM ESCAVADEIRA HIDRÁULICA (CAÇAMBA: 0,8 M³ / 111HP), FROTA DE 5 CAMINHÕES BASCULANTES DE 10 M³, DMT DE 1,5 KM E VELOCIDADE MÉDIA 18 KM/H. AF_05/2020</t>
  </si>
  <si>
    <t>ESCAVAÇÃO VERTICAL PARA EDIFICAÇÃO, COM CARGA, DESCARGA E TRANSPORTE DE SOLO DE 1ª CATEGORIA, COM ESCAVADEIRA HIDRÁULICA (CAÇAMBA: 0,8 M³ / 111HP), FROTA DE 5 CAMINHÕES BASCULANTES DE 10 M³, DMT DE 2 KM E VELOCIDADE MÉDIA 19 KM/H. AF_05/2020</t>
  </si>
  <si>
    <t>ESCAVAÇÃO VERTICAL PARA EDIFICAÇÃO, COM CARGA, DESCARGA E TRANSPORTE DE SOLO DE 1ª CATEGORIA, COM ESCAVADEIRA HIDRÁULICA (CAÇAMBA: 0,8 M³ / 111HP), FROTA DE 6 CAMINHÕES BASCULANTES DE 10 M³, DMT DE 3 KM E VELOCIDADE MÉDIA 20 KM/H. AF_05/2020</t>
  </si>
  <si>
    <t>ESCAVAÇÃO VERTICAL PARA EDIFICAÇÃO, COM CARGA, DESCARGA E TRANSPORTE DE SOLO DE 1ª CATEGORIA, COM ESCAVADEIRA HIDRÁULICA (CAÇAMBA: 0,8 M³ / 111HP), FROTA DE 7 CAMINHÕES BASCULANTES DE 10 M³, DMT DE 4 KM E VELOCIDADE MÉDIA 22 KM/H. AF_05/2020</t>
  </si>
  <si>
    <t>ESCAVAÇÃO VERTICAL PARA EDIFICAÇÃO, COM CARGA, DESCARGA E TRANSPORTE DE SOLO DE 1ª CATEGORIA, COM ESCAVADEIRA HIDRÁULICA (CAÇAMBA: 0,8 M³ / 111HP), FROTA DE 9 CAMINHÕES BASCULANTES DE 10 M³, DMT DE 6 KM E VELOCIDADE MÉDIA 22 KM/H. AF_05/2020</t>
  </si>
  <si>
    <t>ESCAVAÇÃO VERTICAL PARA EDIFICAÇÃO, COM CARGA, DESCARGA E TRANSPORTE DE SOLO DE 1ª CATEGORIA, COM ESCAVADEIRA HIDRÁULICA (CAÇAMBA: 1,2 M³ / 155 HP), FROTA DE 3 CAMINHÕES BASCULANTES DE 14 M³, DMT ATÉ 1 KM E VELOCIDADE MÉDIA 14 KM/H. AF_05/2020</t>
  </si>
  <si>
    <t>ESCAVAÇÃO VERTICAL PARA EDIFICAÇÃO, COM CARGA, DESCARGA E TRANSPORTE DE SOLO DE 1ª CATEGORIA, COM ESCAVADEIRA HIDRÁULICA (CAÇAMBA: 1,2 M³ / 155 HP), FROTA DE 3 CAMINHÕES BASCULANTES DE 18 M³, DMT ATÉ 1 KM E VELOCIDADE MÉDIA 14 KM/H. AF_05/2020</t>
  </si>
  <si>
    <t>ESCAVAÇÃO VERTICAL PARA EDIFICAÇÃO, COM CARGA, DESCARGA E TRANSPORTE DE SOLO DE 1ª CATEGORIA, COM ESCAVADEIRA HIDRÁULICA (CAÇAMBA: 1,2 M³ / 155 HP), FROTA DE 5 CAMINHÕES BASCULANTES DE 14 M³, DMT DE 1,5 KM E VELOCIDADE MÉDIA 18 KM/H. AF_05/2020</t>
  </si>
  <si>
    <t>ESCAVAÇÃO VERTICAL PARA EDIFICAÇÃO, COM CARGA, DESCARGA E TRANSPORTE DE SOLO DE 1ª CATEGORIA, COM ESCAVADEIRA HIDRÁULICA (CAÇAMBA: 1,2 M³ / 155 HP), FROTA DE 5 CAMINHÕES BASCULANTES DE 14 M³, DMT DE 2 KM E VELOCIDADE MÉDIA 19 KM/H. AF_05/2020</t>
  </si>
  <si>
    <t>ESCAVAÇÃO VERTICAL PARA EDIFICAÇÃO, COM CARGA, DESCARGA E TRANSPORTE DE SOLO DE 1ª CATEGORIA, COM ESCAVADEIRA HIDRÁULICA (CAÇAMBA: 1,2 M³ / 155 HP), FROTA DE 5 CAMINHÕES BASCULANTES DE 18 M³, DMT DE 1,5 KM E VELOCIDADE MÉDIA 18 KM/H. AF_05/2020</t>
  </si>
  <si>
    <t>ESCAVAÇÃO VERTICAL PARA EDIFICAÇÃO, COM CARGA, DESCARGA E TRANSPORTE DE SOLO DE 1ª CATEGORIA, COM ESCAVADEIRA HIDRÁULICA (CAÇAMBA: 1,2 M³ / 155 HP), FROTA DE 5 CAMINHÕES BASCULANTES DE 18 M³, DMT DE 2 KM E VELOCIDADE MÉDIA 19 KM/H. AF_05/2020</t>
  </si>
  <si>
    <t>ESCAVAÇÃO VERTICAL PARA EDIFICAÇÃO, COM CARGA, DESCARGA E TRANSPORTE DE SOLO DE 1ª CATEGORIA, COM ESCAVADEIRA HIDRÁULICA (CAÇAMBA: 1,2 M³ / 155 HP), FROTA DE 6 CAMINHÕES BASCULANTES DE 14 M³, DMT DE 3 KM E VELOCIDADE MÉDIA 20 KM/H. AF_05/2020</t>
  </si>
  <si>
    <t>ESCAVAÇÃO VERTICAL PARA EDIFICAÇÃO, COM CARGA, DESCARGA E TRANSPORTE DE SOLO DE 1ª CATEGORIA, COM ESCAVADEIRA HIDRÁULICA (CAÇAMBA: 1,2 M³ / 155 HP), FROTA DE 6 CAMINHÕES BASCULANTES DE 18 M³, DMT DE 3 KM E VELOCIDADE MÉDIA 20 KM/H. AF_05/2020</t>
  </si>
  <si>
    <t>ESCAVAÇÃO VERTICAL PARA EDIFICAÇÃO, COM CARGA, DESCARGA E TRANSPORTE DE SOLO DE 1ª CATEGORIA, COM ESCAVADEIRA HIDRÁULICA (CAÇAMBA: 1,2 M³ / 155 HP), FROTA DE 6 CAMINHÕES BASCULANTES DE 18 M³, DMT DE 4 KM E VELOCIDADE MÉDIA 22 KM/H. AF_05/2020</t>
  </si>
  <si>
    <t>ESCAVAÇÃO VERTICAL PARA EDIFICAÇÃO, COM CARGA, DESCARGA E TRANSPORTE DE SOLO DE 1ª CATEGORIA, COM ESCAVADEIRA HIDRÁULICA (CAÇAMBA: 1,2 M³ / 155 HP), FROTA DE 7 CAMINHÕES BASCULANTES DE 14 M³, DMT DE 4 KM E VELOCIDADE MÉDIA 22 KM/H. AF_05/2020</t>
  </si>
  <si>
    <t>ESCAVAÇÃO VERTICAL PARA EDIFICAÇÃO, COM CARGA, DESCARGA E TRANSPORTE DE SOLO DE 1ª CATEGORIA, COM ESCAVADEIRA HIDRÁULICA (CAÇAMBA: 1,2 M³ / 155 HP), FROTA DE 8 CAMINHÕES BASCULANTES DE 18 M³, DMT DE 6 KM E VELOCIDADE MÉDIA 22 KM/H. AF_05/2020</t>
  </si>
  <si>
    <t>ESCAVAÇÃO VERTICAL PARA EDIFICAÇÃO, COM CARGA, DESCARGA E TRANSPORTE DE SOLO DE 1ª CATEGORIA, COM ESCAVADEIRA HIDRÁULICA (CAÇAMBA: 1,2 M³ / 155 HP), FROTA DE 9 CAMINHÕES BASCULANTES DE 14 M³, DMT DE 6 KM E VELOCIDADE MÉDIA 22 KM/H. AF_05/2020</t>
  </si>
  <si>
    <t>ESCAVAÇÃO VERTICAL PARA EDIFICAÇÃO, COM CARGA, DESCARGA E TRANSPORTE DE SOLO DE 1ª CATEGORIA, COM ESCAVADEIRA HIDRÁULICA (CAÇAMBA: 1,2 M³ / 155HP), FROTA DE 10 CAMINHÕES BASCULANTES DE 10 M³, DMT DE 6 KM E VELOCIDADE MÉDIA 22 KM/H. AF_05/2020</t>
  </si>
  <si>
    <t>ESCAVAÇÃO VERTICAL PARA EDIFICAÇÃO, COM CARGA, DESCARGA E TRANSPORTE DE SOLO DE 1ª CATEGORIA, COM ESCAVADEIRA HIDRÁULICA (CAÇAMBA: 1,2 M³ / 155HP), FROTA DE 3 CAMINHÕES BASCULANTES DE 10 M³, DMT ATÉ 1 KM E VELOCIDADE MÉDIA 14 KM/H. AF_05/2020</t>
  </si>
  <si>
    <t>ESCAVAÇÃO VERTICAL PARA EDIFICAÇÃO, COM CARGA, DESCARGA E TRANSPORTE DE SOLO DE 1ª CATEGORIA, COM ESCAVADEIRA HIDRÁULICA (CAÇAMBA: 1,2 M³ / 155HP), FROTA DE 6 CAMINHÕES BASCULANTES DE 10 M³, DMT DE 1,5 KM E VELOCIDADE MÉDIA 18 KM/H. AF_05/2020</t>
  </si>
  <si>
    <t>ESCAVAÇÃO VERTICAL PARA EDIFICAÇÃO, COM CARGA, DESCARGA E TRANSPORTE DE SOLO DE 1ª CATEGORIA, COM ESCAVADEIRA HIDRÁULICA (CAÇAMBA: 1,2 M³ / 155HP), FROTA DE 6 CAMINHÕES BASCULANTES DE 10 M³, DMT DE 2 KM E VELOCIDADE MÉDIA 19 KM/H. AF_05/2020</t>
  </si>
  <si>
    <t>ESCAVAÇÃO VERTICAL PARA EDIFICAÇÃO, COM CARGA, DESCARGA E TRANSPORTE DE SOLO DE 1ª CATEGORIA, COM ESCAVADEIRA HIDRÁULICA (CAÇAMBA: 1,2 M³ / 155HP), FROTA DE 7 CAMINHÕES BASCULANTES DE 10 M³, DMT DE 3 KM E VELOCIDADE MÉDIA 20 KM/H. AF_05/2020</t>
  </si>
  <si>
    <t>ESCAVAÇÃO VERTICAL PARA EDIFICAÇÃO, COM CARGA, DESCARGA E TRANSPORTE DE SOLO DE 1ª CATEGORIA, COM ESCAVADEIRA HIDRÁULICA (CAÇAMBA: 1,2 M³ / 155HP), FROTA DE 8 CAMINHÕES BASCULANTES DE 10 M³, DMT DE 4 KM E VELOCIDADE MÉDIA 22 KM/H. AF_05/2020</t>
  </si>
  <si>
    <t>DESMONTE DE MATERIAL DE 3ª CATEGORIA (BLOCOS DE ROCHAS OU MATACOS), EM VALA, COM MARTELETE PNEUMÁTICO MANUAL - EXCLUSIVE RETIRADA, CARGA E TRANSPORTE. AF_03/2021</t>
  </si>
  <si>
    <t>DESMONTE DE MATERIAL DE 3ª CATEGORIA, EM VALA, COM USO DE EMULSÃO EXPLOSIVA ENCARTUCHADA - EXCLUSIVE RETIRADA, CARGA E TRANSPORTE. AF_03/2021</t>
  </si>
  <si>
    <t>ADUELA/ GALERIA ABERTA PRE-MOLDADA DE CONCRETO ARMADO, SECAO QUADRANGULAR INTERNA DE 1,50 X 1,50 M (L X A), MISULA DE 20 X 20 CM, C = 1,00 M, ESPESSURA MIN = 15 CM, TB-45 E FCK DO CONCRETO = 30 MPA FORNECIMENTO E ASSENTAMENTO. AF_01/2023</t>
  </si>
  <si>
    <t>ADUELA/ GALERIA ABERTA PRE-MOLDADA DE CONCRETO ARMADO, SECAO QUADRANGULAR INTERNA DE 2,00 X 2,00 M (L X A), MISULA DE 20 X 20 CM, C = 1,00 M, ESPESSURA MIN = 15 CM, TB-45 E FCK DO CONCRETO = 30 MPA FORNECIMENTO E ASSENTAMENTO. AF_01/2023</t>
  </si>
  <si>
    <t>ADUELA/ GALERIA ABERTA PRE-MOLDADA DE CONCRETO ARMADO, SECAO QUADRANGULAR INTERNA DE 2,00 X 2,00 M (L X A), MISULA DE 20 X 20 CM, C = 1,00 M, ESPESSURA MIN = 20 CM, TB-45 E FCK DO CONCRETO = 30 MPA FORNECIMENTO E ASSENTAMENTO. AF_01/2023</t>
  </si>
  <si>
    <t>ADUELA/ GALERIA ABERTA PRE-MOLDADA DE CONCRETO ARMADO, SECAO QUADRANGULAR INTERNA DE 2,50 X 2,50 M (L X A), MISULA DE 20 X 20 CM, C = 1,00 M, ESPESSURA MIN = 15 CM, TB-45 E FCK DO CONCRETO = 30 MPA FORNECIMENTO E ASSENTAMENTO. AF_01/2023</t>
  </si>
  <si>
    <t>ADUELA/ GALERIA ABERTA PRE-MOLDADA DE CONCRETO ARMADO, SECAO QUADRANGULAR INTERNA DE 2,50 X 2,50 M (L X A), MISULA DE 20 X 20 CM, C = 1,00 M, ESPESSURA MIN = 20 CM, TB-45 E FCK DO CONCRETO = 30 MPA FORNECIMENTO E ASSENTAMENTO. AF_01/2023</t>
  </si>
  <si>
    <t>ADUELA/ GALERIA ABERTA PRE-MOLDADA DE CONCRETO ARMADO, SECAO QUADRANGULAR INTERNA DE 2,50 X 2,50 M (L X A), MISULA DE 20 X 20 CM, C = 1,00 M, ESPESSURA MIN = 25 CM, TB-45 E FCK DO CONCRETO = 30 MPA FORNECIMENTO E ASSENTAMENTO. AF_01/2023</t>
  </si>
  <si>
    <t>ADUELA/ GALERIA ABERTA PRE-MOLDADA DE CONCRETO ARMADO, SECAO QUADRANGULAR INTERNA DE 3,00 X 3,00 M (L X A), MISULA DE 20 X 20 CM, C = 1,00 M, ESPESSURA MIN = 20 CM, TB-45 E FCK DO CONCRETO = 30 MPA FORNECIMENTO E ASSENTAMENTO. AF_01/2023</t>
  </si>
  <si>
    <t>ADUELA/ GALERIA ABERTA PRE-MOLDADA DE CONCRETO ARMADO, SECAO QUADRANGULAR INTERNA DE 3,00 X 3,00 M (L X A), MISULA DE 20 X 20 CM, C = 1,00 M, ESPESSURA MIN = 25 CM, TB-45 E FCK DO CONCRETO = 30 MPA FORNECIMENTO E ASSENTAMENTO. AF_01/2023</t>
  </si>
  <si>
    <t>ADUELA/ GALERIA ABERTA PRE-MOLDADA DE CONCRETO ARMADO, SECAO QUADRANGULAR INTERNA DE 3,00 X 3,00 M (L X A), MISULA DE 20 X 20 CM, C = 1,00 M, ESPESSURA MIN = 35 CM, TB-45 E FCK DO CONCRETO = 30 MPA FORNECIMENTO E ASSENTAMENTO. AF_01/2023</t>
  </si>
  <si>
    <t>ADUELA/ GALERIA ABERTA PRE-MOLDADA DE CONCRETO ARMADO, SECAO RETANGULAR INTERNA DE 2,00 X 1,50 M (L X A), MISULA DE 20 X 20 CM, C = 1,00 M, ESPESSURA MIN = 20 CM, TB-45 E FCK DO CONCRETO = 30 MPA FORNECIMENTO E ASSENTAMENTO. AF_01/2023</t>
  </si>
  <si>
    <t>ADUELA/ GALERIA ABERTA PRE-MOLDADA DE CONCRETO ARMADO, SECAO RETANGULAR INTERNA DE 2,50 X 1,50 M (L X A), MISULA DE 20 X 20 CM, C = 1,00 M, ESPESSURA MIN = 15 CM, TB-45 E FCK DO CONCRETO = 30 MPA FORNECIMENTO E ASSENTAMENTO. AF_01/2023</t>
  </si>
  <si>
    <t>ADUELA/ GALERIA ABERTA PRE-MOLDADA DE CONCRETO ARMADO, SECAO RETANGULAR INTERNA DE 2,50 X 2,00 M (L X A), MISULA DE 20 X 20 CM, C = 1,00 M, ESPESSURA MIN = 15 CM, TB-45 E FCK DO CONCRETO = 30 MPA FORNECIMENTO E ASSENTAMENTO. AF_01/2023</t>
  </si>
  <si>
    <t>ADUELA/ GALERIA ABERTA PRE-MOLDADA DE CONCRETO ARMADO, SECAO RETANGULAR INTERNA DE 2,50 X 2,00 M (L X A), MISULA DE 20 X 20 CM, C = 1,00 M, ESPESSURA MIN = 20 CM, TB-45 E FCK DO CONCRETO = 30 MPA FORNECIMENTO E ASSENTAMENTO. AF_01/2023</t>
  </si>
  <si>
    <t>ADUELA/ GALERIA ABERTA PRE-MOLDADA DE CONCRETO ARMADO, SECAO RETANGULAR INTERNA DE 3,00 X 2,00 M (L X A), MISULA DE 20 X 20 CM, C = 1,00 M, ESPESSURA MIN = 15 CM, TB-45 E FCK DO CONCRETO = 30 MPA FORNECIMENTO E ASSENTAMENTO. AF_01/2023</t>
  </si>
  <si>
    <t>ADUELA/ GALERIA ABERTA PRE-MOLDADA DE CONCRETO ARMADO, SECAO RETANGULAR INTERNA DE 3,00 X 2,00 M (L X A), MISULA DE 20 X 20 CM, C = 1,00 M, ESPESSURA MIN = 20 CM, TB-45 E FCK DO CONCRETO = 30 MPA FORNECIMENTO E ASSENTAMENTO. AF_01/2023</t>
  </si>
  <si>
    <t>ADUELA/ GALERIA FECHADA PRE-MOLDADA DE CONCRETO ARMADO, SECAO QUADRANGULAR INTERNA DE 1,50 X 1,50 M (L X A), MISULA DE 20 X 20 CM, C = 1,00 M, ESPESSURA MIN = 15 CM, TB-45 E FCK DO CONCRETO = 30 MPA FORNECIMENTO E ASSENTAMENTO. AF_01/2023</t>
  </si>
  <si>
    <t>ADUELA/ GALERIA FECHADA PRE-MOLDADA DE CONCRETO ARMADO, SECAO QUADRANGULAR INTERNA DE 2,00 X 2,00 M (L X A), MISULA DE 20 X 20 CM, C = 1,00 M, ESPESSURA MIN = 15 CM, TB-45 E FCK DO CONCRETO = 30 MPA FORNECIMENTO E ASSENTAMENTO. AF_01/2023</t>
  </si>
  <si>
    <t>ADUELA/ GALERIA FECHADA PRE-MOLDADA DE CONCRETO ARMADO, SECAO QUADRANGULAR INTERNA DE 2,00 X 2,00 M (L X A), MISULA DE 20 X 20 CM, C = 1,00 M, ESPESSURA MIN = 20 CM, TB-45 E FCK DO CONCRETO = 30 MPA FORNECIMENTO E ASSENTAMENTO. AF_01/2023</t>
  </si>
  <si>
    <t>ADUELA/ GALERIA FECHADA PRE-MOLDADA DE CONCRETO ARMADO, SECAO QUADRANGULAR INTERNA DE 2,50 X 2,50 M (L X A), MISULA DE 20 X 20 CM, C = 1,00 M, ESPESSURA MIN = 15 CM, TB-45 E FCK DO CONCRETO = 30 MPA FORNECIMENTO E ASSENTAMENTO. AF_01/2023</t>
  </si>
  <si>
    <t>ADUELA/ GALERIA FECHADA PRE-MOLDADA DE CONCRETO ARMADO, SECAO QUADRANGULAR INTERNA DE 2,50 X 2,50 M (L X A), MISULA DE 20 X 20 CM, C = 1,00 M, ESPESSURA MIN = 20 CM, TB-45 E FCK DO CONCRETO = 30 MPA FORNECIMENTO E ASSENTAMENTO. AF_01/2023</t>
  </si>
  <si>
    <t>ADUELA/ GALERIA FECHADA PRE-MOLDADA DE CONCRETO ARMADO, SECAO QUADRANGULAR INTERNA DE 2,50 X 2,50 M (L X A), MISULA DE 20 X 20 CM, C = 1,00 M, ESPESSURA MIN = 25 CM, TB-45 E FCK DO CONCRETO = 30 MPA FORNECIMENTO E ASSENTAMENTO. AF_01/2023</t>
  </si>
  <si>
    <t>ADUELA/ GALERIA FECHADA PRE-MOLDADA DE CONCRETO ARMADO, SECAO QUADRANGULAR INTERNA DE 3,00 X 3,00 M (L X A), MISULA DE 20 X 20 CM, C = 1,00 M, ESPESSURA MIN = 20 CM, TB-45 E FCK DO CONCRETO = 30 MPA FORNECIMENTO E ASSENTAMENTO. AF_01/2023</t>
  </si>
  <si>
    <t>ADUELA/ GALERIA FECHADA PRE-MOLDADA DE CONCRETO ARMADO, SECAO QUADRANGULAR INTERNA DE 3,00 X 3,00 M (L X A), MISULA DE 20 X 20 CM, C = 1,00 M, ESPESSURA MIN = 25 CM, TB-45 E FCK DO CONCRETO = 30 MPA FORNECIMENTO E ASSENTAMENTO. AF_01/2023</t>
  </si>
  <si>
    <t>ADUELA/ GALERIA FECHADA PRE-MOLDADA DE CONCRETO ARMADO, SECAO QUADRANGULAR INTERNA DE 3,00 X 3,00 M (L X A), MISULA DE 20 X 20 CM, C = 1,00 M, ESPESSURA MIN = 35 CM, TB-45 E FCK DO CONCRETO = 30 MPA FORNECIMENTO E ASSENTAMENTO. AF_01/2023</t>
  </si>
  <si>
    <t>EXECUÇÃO DE SARJETA DE CONCRETO USINADO, MOLDADA IN LOCO EM TRECHO CURVO, 30 CM BASE X 10 CM ALTURA. AF_01/2024</t>
  </si>
  <si>
    <t>EXECUÇÃO DE SARJETA DE CONCRETO USINADO, MOLDADA IN LOCO EM TRECHO CURVO, 30 CM BASE X 15 CM ALTURA. AF_01/2024</t>
  </si>
  <si>
    <t>EXECUÇÃO DE SARJETA DE CONCRETO USINADO, MOLDADA IN LOCO EM TRECHO CURVO, 45 CM BASE X 10 CM ALTURA. AF_01/2024</t>
  </si>
  <si>
    <t>EXECUÇÃO DE SARJETA DE CONCRETO USINADO, MOLDADA IN LOCO EM TRECHO CURVO, 45 CM BASE X 15 CM ALTURA. AF_01/2024</t>
  </si>
  <si>
    <t>EXECUÇÃO DE SARJETA DE CONCRETO USINADO, MOLDADA IN LOCO EM TRECHO CURVO, 60 CM BASE X 10 CM ALTURA. AF_01/2024</t>
  </si>
  <si>
    <t>EXECUÇÃO DE SARJETA DE CONCRETO USINADO, MOLDADA IN LOCO EM TRECHO CURVO, 60 CM BASE X 15 CM ALTURA. AF_01/2024</t>
  </si>
  <si>
    <t>EXECUÇÃO DE SARJETA DE CONCRETO USINADO, MOLDADA IN LOCO EM TRECHO RETO, 30 CM BASE X 10 CM ALTURA. AF_01/2024</t>
  </si>
  <si>
    <t>EXECUÇÃO DE SARJETA DE CONCRETO USINADO, MOLDADA IN LOCO EM TRECHO RETO, 30 CM BASE X 15 CM ALTURA. AF_01/2024</t>
  </si>
  <si>
    <t>EXECUÇÃO DE SARJETA DE CONCRETO USINADO, MOLDADA IN LOCO EM TRECHO RETO, 45 CM BASE X 10 CM ALTURA. AF_01/2024</t>
  </si>
  <si>
    <t>EXECUÇÃO DE SARJETA DE CONCRETO USINADO, MOLDADA IN LOCO EM TRECHO RETO, 45 CM BASE X 15 CM ALTURA. AF_01/2024</t>
  </si>
  <si>
    <t>EXECUÇÃO DE SARJETA DE CONCRETO USINADO, MOLDADA IN LOCO EM TRECHO RETO, 60 CM BASE X 10 CM ALTURA. AF_01/2024</t>
  </si>
  <si>
    <t>EXECUÇÃO DE SARJETA DE CONCRETO USINADO, MOLDADA IN LOCO EM TRECHO RETO, 60 CM BASE X 15 CM ALTURA. AF_01/2024</t>
  </si>
  <si>
    <t>EXECUÇÃO DE SARJETÃO DE CONCRETO USINADO, MOLDADA IN LOCO EM TRECHO RETO, 100 CM BASE X 20 CM ALTURA. AF_01/2024</t>
  </si>
  <si>
    <t>GUIA (MEIO-FIO) CONCRETO, MOLDADA IN LOCO EM TRECHO CURVO COM EXTRUSORA, 13 CM BASE X 22 CM ALTURA. AF_01/2024</t>
  </si>
  <si>
    <t>GUIA (MEIO-FIO) CONCRETO, MOLDADA IN LOCO EM TRECHO CURVO COM EXTRUSORA, 15 CM BASE X 30 CM ALTURA. AF_01/2024</t>
  </si>
  <si>
    <t>GUIA (MEIO-FIO) CONCRETO, MOLDADA IN LOCO EM TRECHO RETO COM EXTRUSORA, 13 CM BASE X 22 CM ALTURA. AF_01/2024</t>
  </si>
  <si>
    <t>GUIA (MEIO-FIO) CONCRETO, MOLDADA IN LOCO EM TRECHO RETO COM EXTRUSORA, 15 CM BASE X 30 CM ALTURA. AF_01/2024</t>
  </si>
  <si>
    <t>GUIA (MEIO-FIO) E SARJETA CONJUGADOS DE CONCRETO, MOLDADA IN LOCO EM TRECHO CURVO COM EXTRUSORA, 45 CM BASE (15 CM BASE DA GUIA + 30 CM BASE DA SARJETA) X 22 CM ALTURA. AF_01/2024</t>
  </si>
  <si>
    <t>GUIA (MEIO-FIO) E SARJETA CONJUGADOS DE CONCRETO, MOLDADA IN LOCO EM TRECHO CURVO COM EXTRUSORA, 60 CM BASE (15 CM BASE DA GUIA + 45 CM BASE DA SARJETA) X 26 CM ALTURA. AF_01/2024</t>
  </si>
  <si>
    <t>GUIA (MEIO-FIO) E SARJETA CONJUGADOS DE CONCRETO, MOLDADA IN LOCO EM TRECHO CURVO COM EXTRUSORA, 65 CM BASE (15 CM BASE DA GUIA + 50 CM BASE DA SARJETA) X 26 CM ALTURA. AF_01/2024</t>
  </si>
  <si>
    <t>GUIA (MEIO-FIO) E SARJETA CONJUGADOS DE CONCRETO, MOLDADA IN LOCO EM TRECHO RETO COM EXTRUSORA, 45 CM BASE (15 CM BASE DA GUIA + 30 CM BASE DA SARJETA) X 22 CM ALTURA. AF_01/2024</t>
  </si>
  <si>
    <t>GUIA (MEIO-FIO) E SARJETA CONJUGADOS DE CONCRETO, MOLDADA IN LOCO EM TRECHO RETO COM EXTRUSORA, 60 CM BASE (15 CM BASE DA GUIA + 45 CM BASE DA SARJETA) X 26 CM ALTURA. AF_01/2024</t>
  </si>
  <si>
    <t>GUIA (MEIO-FIO) E SARJETA CONJUGADOS DE CONCRETO, MOLDADA IN LOCO EM TRECHO RETO COM EXTRUSORA, 65 CM BASE (15 CM BASE DA GUIA + 50 CM BASE DA SARJETA) X 26 CM ALTURA. AF_01/2024</t>
  </si>
  <si>
    <t>ADAPTADOR COM FLANGE E ANEL DE VEDAÇÃO, PVC, SOLDÁVEL, DN 20 MM X 1/2", INSTALADO EM RESERVAÇÃO PREDIAL DE ÁGUA - FORNECIMENTO E INSTALAÇÃO. AF_04/2024</t>
  </si>
  <si>
    <t>ADAPTADOR COM FLANGE E ANEL DE VEDAÇÃO, PVC, SOLDÁVEL, DN 25 MM X 3/4", INSTALADO EM RESERVAÇÃO PREDIAL DE ÁGUA - FORNECIMENTO E INSTALAÇÃO. AF_04/2024</t>
  </si>
  <si>
    <t>ADAPTADOR CURTO COM BOLSA E ROSCA PARA REGISTRO, PVC, SOLDÁVEL, DN 25 MM X 3/4", INSTALADO EM RESERVAÇÃO PREDIAL DE ÁGUA - FORNECIMENTO E INSTALAÇÃO. AF_04/2024</t>
  </si>
  <si>
    <t>CURVA 90 GRAUS, PVC, SOLDÁVEL, DN 25 MM, INSTALADO EM RESERVAÇÃO PREDIAL DE ÁGUA - FORNECIMENTO E INSTALAÇÃO. AF_04/2024</t>
  </si>
  <si>
    <t>JOELHO 90 GRAUS COM BUCHA DE LATÃO, PVC, SOLDÁVEL, DN 25 MM X 3/4", INSTALADO EM RESERVAÇÃO PREDIAL DE ÁGUA - FORNECIMENTO E INSTALAÇÃO. AF_04/2024</t>
  </si>
  <si>
    <t>LUVA PVC, SOLDÁVEL, DN 25 MM, INSTALADO EM RESERVAÇÃO PREDIAL DE ÁGUA - FORNECIMENTO E INSTALAÇÃO. AF_04/2024</t>
  </si>
  <si>
    <t>TUBO, PPR, DN 110 MM, CLASSE PN 12, INSTALADO EM RESERVAÇÃO PREDIAL DE ÁGUA - FORNECIMENTO E INSTALAÇÃO. AF_04/2024</t>
  </si>
  <si>
    <t>TUBO, PPR, DN 110 MM, CLASSE PN 25, INSTALADO EM RESERVAÇÃO PREDIAL DE ÁGUA - FORNECIMENTO E INSTALAÇÃO. AF_04/2024</t>
  </si>
  <si>
    <t>TUBO, PPR, DN 20 MM, CLASSE PN 20, INSTALADO EM RESERVAÇÃO PREDIAL DE ÁGUA - FORNECIMENTO E INSTALAÇÃO. AF_04/2024</t>
  </si>
  <si>
    <t>TUBO, PPR, DN 20 MM, CLASSE PN 25, INSTALADO EM RESERVAÇÃO PREDIAL DE ÁGUA - FORNECIMENTO E INSTALAÇÃO. AF_04/2024</t>
  </si>
  <si>
    <t>TUBO, PPR, DN 25 MM, CLASSE PN 20, INSTALADO EM RESERVAÇÃO PREDIAL DE ÁGUA - FORNECIMENTO E INSTALAÇÃO. AF_04/2024</t>
  </si>
  <si>
    <t>TUBO, PPR, DN 25 MM, CLASSE PN 25, INSTALADO EM RESERVAÇÃO PREDIAL DE ÁGUA - FORNECIMENTO E INSTALAÇÃO. AF_04/2024</t>
  </si>
  <si>
    <t>TUBO, PPR, DN 32 MM, CLASSE PN 12, INSTALADO EM RESERVAÇÃO PREDIAL DE ÁGUA - FORNECIMENTO E INSTALAÇÃO. AF_04/2024</t>
  </si>
  <si>
    <t>TUBO, PPR, DN 32 MM, CLASSE PN 25, INSTALADO EM RESERVAÇÃO PREDIAL DE ÁGUA - FORNECIMENTO E INSTALAÇÃO. AF_04/2024</t>
  </si>
  <si>
    <t>TUBO, PPR, DN 40 MM, CLASSE PN 12, INSTALADO EM RESERVAÇÃO PREDIAL DE ÁGUA - FORNECIMENTO E INSTALAÇÃO. AF_04/2024</t>
  </si>
  <si>
    <t>TUBO, PPR, DN 40 MM, CLASSE PN 25, INSTALADO EM RESERVAÇÃO PREDIAL DE ÁGUA - FORNECIMENTO E INSTALAÇÃO. AF_04/2024</t>
  </si>
  <si>
    <t>TUBO, PPR, DN 50 MM, CLASSE PN 12, INSTALADO EM RESERVAÇÃO PREDIAL DE ÁGUA - FORNECIMENTO E INSTALAÇÃO. AF_04/2024</t>
  </si>
  <si>
    <t>TUBO, PPR, DN 50 MM, CLASSE PN 25, INSTALADO EM RESERVAÇÃO PREDIAL DE ÁGUA - FORNECIMENTO E INSTALAÇÃO. AF_04/2024</t>
  </si>
  <si>
    <t>TUBO, PPR, DN 63 MM, CLASSE PN 12, INSTALADO EM RESERVAÇÃO PREDIAL DE ÁGUA - FORNECIMENTO E INSTALAÇÃO. AF_04/2024</t>
  </si>
  <si>
    <t>TUBO, PPR, DN 63 MM, CLASSE PN 25, INSTALADO EM RESERVAÇÃO PREDIAL DE ÁGUA - FORNECIMENTO E INSTALAÇÃO. AF_04/2024</t>
  </si>
  <si>
    <t>TUBO, PPR, DN 75 MM, CLASSE PN 12, INSTALADO EM RESERVAÇÃO PREDIAL DE ÁGUA - FORNECIMENTO E INSTALAÇÃO. AF_04/2024</t>
  </si>
  <si>
    <t>TUBO, PPR, DN 75 MM, CLASSE PN 25, INSTALADO EM RESERVAÇÃO PREDIAL DE ÁGUA - FORNECIMENTO E INSTALAÇÃO. AF_04/2024</t>
  </si>
  <si>
    <t>TUBO, PPR, DN 90 MM, CLASSE PN 12, INSTALADO EM RESERVAÇÃO PREDIAL DE ÁGUA - FORNECIMENTO E INSTALAÇÃO. AF_04/2024</t>
  </si>
  <si>
    <t>TUBO, PPR, DN 90 MM, CLASSE PN 25, INSTALADO EM RESERVAÇÃO PREDIAL DE ÁGUA - FORNECIMENTO E INSTALAÇÃO. AF_04/2024</t>
  </si>
  <si>
    <t>TUBO, PVC, SOLDÁVEL, DE 25MM, INSTALADO EM RESERVAÇÃO PREDIAL DE ÁGUA - FORNECIMENTO E INSTALAÇÃO. AF_04/2024</t>
  </si>
  <si>
    <t>TÊ COM BUCHA DE LATÃO NA BOLSA CENTRAL, PVC, SOLDÁVEL, DN 25 MM X 3/4", INSTALADO EM RESERVAÇÃO PREDIAL DE ÁGUA - FORNECIMENTO E INSTALAÇÃO. AF_04/2024</t>
  </si>
  <si>
    <t>TÊ DE REDUÇÃO, PVC, SOLDÁVEL, DN 32 MM X 25 MM, INSTALADO EM RESERVAÇÃO PREDIAL DE ÁGUA - FORNECIMENTO E INSTALAÇÃO. AF_04/2024</t>
  </si>
  <si>
    <t>TÊ, PVC, SOLDÁVEL, DN 25 MM INSTALADO EM RESERVAÇÃO PREDIAL DE ÁGUA - FORNECIMENTO E INSTALAÇÃO. AF_04/2024</t>
  </si>
  <si>
    <t>LUVA, PARA INSTALAÇÕES EM PEX ÁGUA, DN 16 MM, COM ANEL DESLIZANTE - FORNECIMENTO E INSTALAÇÃO. AF_02/2023</t>
  </si>
  <si>
    <t>LUVA, PARA INSTALAÇÕES EM PEX ÁGUA, DN 20 MM, COM ANEL DESLIZANTE - FORNECIMENTO E INSTALAÇÃO. AF_02/2023</t>
  </si>
  <si>
    <t>LUVA, PARA INSTALAÇÕES EM PEX ÁGUA, DN 25 MM, COM ANEL DESLIZANTE - FORNECIMENTO E INSTALAÇÃO. AF_02/2023</t>
  </si>
  <si>
    <t>LUVA, PARA INSTALAÇÕES EM PEX ÁGUA, DN 32 MM, COM ANEL DESLIZANTE - FORNECIMENTO E INSTALAÇÃO. AF_02/2023</t>
  </si>
  <si>
    <t>BUCHA DE REDUÇÃO, PPR, 32 X 25, CLASSE PN 25, INSTALADO EM PRUMADA DE ÁGUA FORNECIMENTO E INSTALAÇÃO . AF_08/2022</t>
  </si>
  <si>
    <t>BUCHA DE REDUÇÃO, PPR, 32 X 25, CLASSE PN 25, INSTALADO EM RAMAL DE DISTRIBUIÇÃO DE ÁGUA FORNECIMENTO E INSTALAÇÃO. AF_08/2022</t>
  </si>
  <si>
    <t>BUCHA DE REDUÇÃO, PPR, 40 X 25, CLASSE PN 25, INSTALADO EM PRUMADA DE ÁGUA FORNECIMENTO E INSTALAÇÃO . AF_08/2022</t>
  </si>
  <si>
    <t>BUCHA DE REDUÇÃO, PPR, 40 X 25, CLASSE PN 25, INSTALADO EM RAMAL DE DISTRIBUIÇÃO DE ÁGUA FORNECIMENTO E INSTALAÇÃO. AF_08/2022</t>
  </si>
  <si>
    <t>CONECTOR FÊMEA, PPR, 25 X 1/2", CLASSE PN 25, INSTALADO EM PRUMADA DE ÁGUA FORNECIMENTO E INSTALAÇÃO . AF_08/2022</t>
  </si>
  <si>
    <t>CONECTOR FÊMEA, PPR, 25 X 1/2, CLASSE PN 25, INSTALADO EM RAMAL DE DISTRIBUIÇÃO DE ÁGUA FORNECIMENTO E INSTALAÇÃO. AF_08/2022</t>
  </si>
  <si>
    <t>CONECTOR FÊMEA, PPR, 25 X 1/2, CLASSE PN 25, INSTALADO EM RAMAL OU SUB-RAMAL DE ÁGUA FORNECIMENTO E INSTALAÇÃO. AF_08/2022</t>
  </si>
  <si>
    <t>CONECTOR FÊMEA, PPR, 32 X 3/4", CLASSE PN 25, INSTALADO EM RAMAL DE DISTRIBUIÇÃO DE ÁGUA FORNECIMENTO E INSTALAÇÃO. AF_08/2022</t>
  </si>
  <si>
    <t>CONECTOR MACHO, PPR, 25 X 1/2", CLASSE PN 25, INSTALADO EM PRUMADA DE ÁGUA FORNECIMENTO E INSTALAÇÃO . AF_08/2022</t>
  </si>
  <si>
    <t>CONECTOR MACHO, PPR, 25 X 1/2, CLASSE PN 25, INSTALADO EM RAMAL DE DISTRIBUIÇÃO DE ÁGUA FORNECIMENTO E INSTALAÇÃO. AF_08/2022</t>
  </si>
  <si>
    <t>CONECTOR MACHO, PPR, 25 X 1/2, CLASSE PN 25, INSTALADO EM RAMAL OU SUB-RAMAL DE ÁGUA FORNECIMENTO E INSTALAÇÃO. AF_08/2022</t>
  </si>
  <si>
    <t>CONECTOR MACHO, PPR, 32 X 3/4", CLASSE PN 25, INSTALADO EM RAMAL DE DISTRIBUIÇÃO DE ÁGUA FORNECIMENTO E INSTALAÇÃO. AF_08/2022</t>
  </si>
  <si>
    <t>JOELHO 45 GRAUS, PPR, DN 25 MM, CLASSE PN 25, INSTALADO EM PRUMADA DE ÁGUA FORNECIMENTO E INSTALAÇÃO . AF_08/2022</t>
  </si>
  <si>
    <t>JOELHO 45 GRAUS, PPR, DN 25 MM, CLASSE PN 25, INSTALADO EM RAMAL DE DISTRIBUIÇÃO DE ÁGUA FORNECIMENTO E INSTALAÇÃO. AF_08/2022</t>
  </si>
  <si>
    <t>JOELHO 45 GRAUS, PPR, DN 25 MM, CLASSE PN 25, INSTALADO EM RAMAL OU SUB-RAMAL DE ÁGUA FORNECIMENTO E INSTALAÇÃO. AF_08/2022</t>
  </si>
  <si>
    <t>JOELHO 45 GRAUS, PPR, DN 32 MM, CLASSE PN 25, INSTALADO EM PRUMADA DE ÁGUA FORNECIMENTO E INSTALAÇÃO . AF_08/2022</t>
  </si>
  <si>
    <t>JOELHO 45 GRAUS, PPR, DN 40 MM, CLASSE PN 25, INSTALADO EM PRUMADA DE ÁGUA FORNECIMENTO E INSTALAÇÃO . AF_08/2022</t>
  </si>
  <si>
    <t>JOELHO 45 GRAUS, PPR, DN 50 MM, CLASSE PN 25, INSTALADO EM PRUMADA DE ÁGUA FORNECIMENTO E INSTALAÇÃO . AF_08/2022</t>
  </si>
  <si>
    <t>JOELHO 45 GRAUS, PPR, DN 63 MM, CLASSE PN 25, INSTALADO EM PRUMADA DE ÁGUA FORNECIMENTO E INSTALAÇÃO . AF_08/2022</t>
  </si>
  <si>
    <t>JOELHO 45 GRAUS, PPR, DN 75 MM, CLASSE PN 25, INSTALADO EM PRUMADA DE ÁGUA FORNECIMENTO E INSTALAÇÃO . AF_08/2022</t>
  </si>
  <si>
    <t>JOELHO 90 GRAUS, PPR, DN 110 MM, CLASSE PN 25, INSTALADO EM PRUMADA DE ÁGUA FORNECIMENTO E INSTALAÇÃO . AF_08/2022</t>
  </si>
  <si>
    <t>JOELHO 90 GRAUS, PPR, DN 25 MM, CLASSE PN 25, INSTALADO EM PRUMADA DE ÁGUA FORNECIMENTO E INSTALAÇÃO . AF_08/2022</t>
  </si>
  <si>
    <t>JOELHO 90 GRAUS, PPR, DN 25 MM, CLASSE PN 25, INSTALADO EM RAMAL DE DISTRIBUIÇÃO FORNECIMENTO E INSTALAÇÃO. AF_08/2022</t>
  </si>
  <si>
    <t>JOELHO 90 GRAUS, PPR, DN 25 MM, CLASSE PN 25, INSTALADO EM RAMAL OU SUB-RAMAL DE ÁGUA FORNECIMENTO E INSTALAÇÃO. AF_08/2022</t>
  </si>
  <si>
    <t>JOELHO 90 GRAUS, PPR, DN 32 MM, CLASSE PN 25, INSTALADO EM PRUMADA DE ÁGUA FORNECIMENTO E INSTALAÇÃO . AF_08/2022</t>
  </si>
  <si>
    <t>JOELHO 90 GRAUS, PPR, DN 40 MM, CLASSE PN 25, INSTALADO EM PRUMADA DE ÁGUA FORNECIMENTO E INSTALAÇÃO . AF_08/2022</t>
  </si>
  <si>
    <t>JOELHO 90 GRAUS, PPR, DN 50 MM, CLASSE PN 25, INSTALADO EM PRUMADA DE ÁGUA FORNECIMENTO E INSTALAÇÃO . AF_08/2022</t>
  </si>
  <si>
    <t>JOELHO 90 GRAUS, PPR, DN 63 MM, CLASSE PN 25, INSTALADO EM PRUMADA DE ÁGUA FORNECIMENTO E INSTALAÇÃO . AF_08/2022</t>
  </si>
  <si>
    <t>JOELHO 90 GRAUS, PPR, DN 75 MM, CLASSE PN 25, INSTALADO EM PRUMADA DE ÁGUA FORNECIMENTO E INSTALAÇÃO . AF_08/2022</t>
  </si>
  <si>
    <t>JOELHO 90 GRAUS, PPR, DN 90 MM, CLASSE PN 25, INSTALADO EM PRUMADA DE ÁGUA FORNECIMENTO E INSTALAÇÃO . AF_08/2022</t>
  </si>
  <si>
    <t>LUVA, PPR, DN 110 MM, CLASSE PN 25, INSTALADO EM PRUMADA DE ÁGUA FORNECIMENTO E INSTALAÇÃO. AF_08/2022</t>
  </si>
  <si>
    <t>LUVA, PPR, DN 25 MM, CLASSE PN 25, INSTALADO EM PRUMADA DE ÁGUA FORNECIMENTO E INSTALAÇÃO . AF_08/2022</t>
  </si>
  <si>
    <t>LUVA, PPR, DN 25 MM, CLASSE PN 25, INSTALADO EM RAMAL DE DISTRIBUIÇÃO DE ÁGUA FORNECIMENTO E INSTALAÇÃO. AF_08/2022</t>
  </si>
  <si>
    <t>LUVA, PPR, DN 25 MM, CLASSE PN 25, INSTALADO EM RAMAL OU SUB-RAMAL DE ÁGUA FORNECIMENTO E INSTALAÇÃO. AF_08/2022</t>
  </si>
  <si>
    <t>LUVA, PPR, DN 32 MM, CLASSE PN 25, INSTALADO EM PRUMADA DE ÁGUA FORNECIMENTO E INSTALAÇÃO. AF_08/2022</t>
  </si>
  <si>
    <t>LUVA, PPR, DN 32 MM, CLASSE PN 25, INSTALADO EM RAMAL DE DISTRIBUIÇÃO DE ÁGUA FORNECIMENTO E INSTALAÇÃO. AF_08/2022</t>
  </si>
  <si>
    <t>LUVA, PPR, DN 40 MM, CLASSE PN 25, INSTALADO EM PRUMADA DE ÁGUA FORNECIMENTO E INSTALAÇÃO. AF_08/2022</t>
  </si>
  <si>
    <t>LUVA, PPR, DN 40 MM, CLASSE PN 25, INSTALADO EM RAMAL DE DISTRIBUIÇÃO DE ÁGUA FORNECIMENTO E INSTALAÇÃO. AF_08/2022</t>
  </si>
  <si>
    <t>LUVA, PPR, DN 50 MM, CLASSE PN 25, INSTALADO EM PRUMADA DE ÁGUA FORNECIMENTO E INSTALAÇÃO. AF_08/2022</t>
  </si>
  <si>
    <t>LUVA, PPR, DN 63 MM, CLASSE PN 25, INSTALADO EM PRUMADA DE ÁGUA FORNECIMENTO E INSTALAÇÃO. AF_08/2022</t>
  </si>
  <si>
    <t>LUVA, PPR, DN 75 MM, CLASSE PN 25, INSTALADO EM PRUMADA DE ÁGUA FORNECIMENTO E INSTALAÇÃO. AF_08/2022</t>
  </si>
  <si>
    <t>LUVA, PPR, DN 90 MM, CLASSE PN 25, INSTALADO EM PRUMADA DE ÁGUA FORNECIMENTO E INSTALAÇÃO. AF_08/2022</t>
  </si>
  <si>
    <t>TUBO, PPR, DN 110, CLASSE PN 12, INSTALADO EM PRUMADA DE ÁGUA FORNECIMENTO E INSTALAÇÃO. AF_08/2022</t>
  </si>
  <si>
    <t>TUBO, PPR, DN 110, CLASSE PN 25, INSTALADO EM PRUMADA DE ÁGUA FORNECIMENTO E INSTALAÇÃO. AF_08/2022</t>
  </si>
  <si>
    <t>TUBO, PPR, DN 25, CLASSE PN 20, INSTALADO EM PRUMADA DE ÁGUA FORNECIMENTO E INSTALAÇÃO. AF_08/2022</t>
  </si>
  <si>
    <t>TUBO, PPR, DN 25, CLASSE PN 20, INSTALADO EM RAMAL DE DISTRIBUIÇÃO DE ÁGUA FORNECIMENTO E INSTALAÇÃO. AF_08/2022</t>
  </si>
  <si>
    <t>TUBO, PPR, DN 25, CLASSE PN 20, INSTALADO EM RAMAL OU SUB-RAMAL DE ÁGUA FORNECIMENTO E INSTALAÇÃO. AF_08/2022</t>
  </si>
  <si>
    <t>TUBO, PPR, DN 25, CLASSE PN 25 INSTALADO EM RAMAL OU SUB-RAMAL DE ÁGUA FORNECIMENTO E INSTALAÇÃO. AF_08/2022</t>
  </si>
  <si>
    <t>TUBO, PPR, DN 25, CLASSE PN 25, INSTALADO EM PRUMADA DE ÁGUA FORNECIMENTO E INSTALAÇÃO. AF_08/2022</t>
  </si>
  <si>
    <t>TUBO, PPR, DN 25, CLASSE PN 25, INSTALADO EM RAMAL DE DISTRIBUIÇÃO DE ÁGUA FORNECIMENTO E INSTALAÇÃO. AF_08/2022</t>
  </si>
  <si>
    <t>TUBO, PPR, DN 32, CLASSE PN 12, INSTALADO EM PRUMADA DE ÁGUA FORNECIMENTO E INSTALAÇÃO. AF_08/2022</t>
  </si>
  <si>
    <t>TUBO, PPR, DN 32, CLASSE PN 12, INSTALADO EM RAMAL DE DISTRIBUIÇÃO DE ÁGUA FORNECIMENTO E INSTALAÇÃO. AF_08/2022</t>
  </si>
  <si>
    <t>TUBO, PPR, DN 32, CLASSE PN 25, INSTALADO EM PRUMADA DE ÁGUA FORNECIMENTO E INSTALAÇÃO. AF_08/2022</t>
  </si>
  <si>
    <t>TUBO, PPR, DN 32, CLASSE PN 25, INSTALADO EM RAMAL DE DISTRIBUIÇÃO DE ÁGUA FORNECIMENTO E INSTALAÇÃO. AF_08/2022</t>
  </si>
  <si>
    <t>TUBO, PPR, DN 40, CLASSE PN 12, INSTALADO EM PRUMADA DE ÁGUA FORNECIMENTO E INSTALAÇÃO. AF_08/2022</t>
  </si>
  <si>
    <t>TUBO, PPR, DN 40, CLASSE PN 12, INSTALADO EM RAMAL DE DISTRIBUIÇÃO DE ÁGUA FORNECIMENTO E INSTALAÇÃO. AF_08/2022</t>
  </si>
  <si>
    <t>TUBO, PPR, DN 40, CLASSE PN 25, INSTALADO EM PRUMADA DE ÁGUA FORNECIMENTO E INSTALAÇÃO. AF_08/2022</t>
  </si>
  <si>
    <t>TUBO, PPR, DN 40, CLASSE PN 25, INSTALADO EM RAMAL DE DISTRIBUIÇÃO DE ÁGUA FORNECIMENTO E INSTALAÇÃO. AF_08/2022</t>
  </si>
  <si>
    <t>TUBO, PPR, DN 50, CLASSE PN 12, INSTALADO EM PRUMADA DE ÁGUA FORNECIMENTO E INSTALAÇÃO. AF_08/2022</t>
  </si>
  <si>
    <t>TUBO, PPR, DN 50, CLASSE PN 25, INSTALADO EM PRUMADA DE ÁGUA FORNECIMENTO E INSTALAÇÃO. AF_08/2022</t>
  </si>
  <si>
    <t>TUBO, PPR, DN 63, CLASSE PN 12, INSTALADO EM PRUMADA DE ÁGUA FORNECIMENTO E INSTALAÇÃO. AF_08/2022</t>
  </si>
  <si>
    <t>TUBO, PPR, DN 63, CLASSE PN 25, INSTALADO EM PRUMADA DE ÁGUA FORNECIMENTO E INSTALAÇÃO. AF_08/2022</t>
  </si>
  <si>
    <t>TUBO, PPR, DN 75, CLASSE PN 12, INSTALADO EM PRUMADA DE ÁGUA FORNECIMENTO E INSTALAÇÃO. AF_08/2022</t>
  </si>
  <si>
    <t>TUBO, PPR, DN 75, CLASSE PN 25, INSTALADO EM PRUMADA DE ÁGUA FORNECIMENTO E INSTALAÇÃO. AF_08/2022</t>
  </si>
  <si>
    <t>TUBO, PPR, DN 90, CLASSE PN 12, INSTALADO EM PRUMADA DE ÁGUA FORNECIMENTO E INSTALAÇÃO. AF_08/2022</t>
  </si>
  <si>
    <t>TUBO, PPR, DN 90, CLASSE PN 25, INSTALADO EM PRUMADA DE ÁGUA FORNECIMENTO E INSTALAÇÃO. AF_08/2022</t>
  </si>
  <si>
    <t>TÊ MISTURADOR, PPR, 25 X 3/4, CLASSE PN 25, INSTALADO EM RAMAL OU SUB-RAMAL DE ÁGUA FORNECIMENTO E INSTALAÇÃO. AF_08/2022</t>
  </si>
  <si>
    <t>TÊ NORMAL, PPR, DN 110 MM, CLASSE PN 25, INSTALADO EM PRUMADA DE ÁGUA FORNECIMENTO E INSTALAÇÃO . AF_08/2022</t>
  </si>
  <si>
    <t>TÊ NORMAL, PPR, DN 25 MM, CLASSE PN 25, INSTALADO EM PRUMADA DE ÁGUA FORNECIMENTO E INSTALAÇÃO . AF_08/2022</t>
  </si>
  <si>
    <t>TÊ NORMAL, PPR, DN 25 MM, CLASSE PN 25, INSTALADO EM RAMAL DE DISTRIBUIÇÃO DE ÁGUA FORNECIMENTO E INSTALAÇÃO. AF_08/2022</t>
  </si>
  <si>
    <t>TÊ NORMAL, PPR, DN 25 MM, CLASSE PN 25, INSTALADO EM RAMAL OU SUB-RAMAL DE ÁGUA FORNECIMENTO E INSTALAÇÃO. AF_08/2022</t>
  </si>
  <si>
    <t>TÊ NORMAL, PPR, DN 32 MM, CLASSE PN 25, INSTALADO EM PRUMADA DE ÁGUA FORNECIMENTO E INSTALAÇÃO . AF_08/2022</t>
  </si>
  <si>
    <t>TÊ NORMAL, PPR, DN 32 MM, CLASSE PN 25, INSTALADO EM RAMAL DE DISTRIBUIÇÃO DE ÁGUA FORNECIMENTO E INSTALAÇÃO. AF_08/2022</t>
  </si>
  <si>
    <t>TÊ NORMAL, PPR, DN 40 MM, CLASSE PN 25, INSTALADO EM PRUMADA DE ÁGUA FORNECIMENTO E INSTALAÇÃO . AF_08/2022</t>
  </si>
  <si>
    <t>TÊ NORMAL, PPR, DN 40 MM, CLASSE PN 25, INSTALADO EM RAMAL DE DISTRIBUIÇÃO DE ÁGUA FORNECIMENTO E INSTALAÇÃO. AF_08/2022</t>
  </si>
  <si>
    <t>TÊ NORMAL, PPR, DN 50 MM, CLASSE PN 25, INSTALADO EM PRUMADA DE ÁGUA FORNECIMENTO E INSTALAÇÃO . AF_08/2022</t>
  </si>
  <si>
    <t>TÊ NORMAL, PPR, DN 63 MM, CLASSE PN 25, INSTALADO EM PRUMADA DE ÁGUA FORNECIMENTO E INSTALAÇÃO . AF_08/2022</t>
  </si>
  <si>
    <t>TÊ NORMAL, PPR, DN 75 MM, CLASSE PN 25, INSTALADO EM PRUMADA DE ÁGUA FORNECIMENTO E INSTALAÇÃO . AF_08/2022</t>
  </si>
  <si>
    <t>TÊ NORMAL, PPR, DN 90 MM, CLASSE PN 25, INSTALADO EM PRUMADA DE ÁGUA FORNECIMENTO E INSTALAÇÃO . AF_08/2022</t>
  </si>
  <si>
    <t>ADAPTADOR CURTO COM BOLSA E ROSCA PARA REGISTRO, PVC, SOLDÁVEL, DN 20MM X 1/2, INSTALADO EM RAMAL OU SUB-RAMAL DE ÁGUA - FORNECIMENTO E INSTALAÇÃO. AF_06/2022</t>
  </si>
  <si>
    <t>ADAPTADOR CURTO COM BOLSA E ROSCA PARA REGISTRO, PVC, SOLDÁVEL, DN 25MM X 3/4, INSTALADO EM RAMAL DE DISTRIBUIÇÃO DE ÁGUA - FORNECIMENTO E INSTALAÇÃO. AF_06/2022</t>
  </si>
  <si>
    <t>ADAPTADOR CURTO COM BOLSA E ROSCA PARA REGISTRO, PVC, SOLDÁVEL, DN 25MM X 3/4, INSTALADO EM RAMAL OU SUB-RAMAL DE ÁGUA - FORNECIMENTO E INSTALAÇÃO. AF_06/2022</t>
  </si>
  <si>
    <t>ADAPTADOR CURTO COM BOLSA E ROSCA PARA REGISTRO, PVC, SOLDÁVEL, DN 32MM X 1, INSTALADO EM PRUMADA DE ÁGUA - FORNECIMENTO E INSTALAÇÃO. AF_06/2022</t>
  </si>
  <si>
    <t>ADAPTADOR CURTO COM BOLSA E ROSCA PARA REGISTRO, PVC, SOLDÁVEL, DN 32MM X 1, INSTALADO EM RAMAL DE DISTRIBUIÇÃO DE ÁGUA - FORNECIMENTO E INSTALAÇÃO. AF_06/2022</t>
  </si>
  <si>
    <t>ADAPTADOR CURTO COM BOLSA E ROSCA PARA REGISTRO, PVC, SOLDÁVEL, DN 32MM X 1, INSTALADO EM RAMAL OU SUB-RAMAL DE ÁGUA - FORNECIMENTO E INSTALAÇÃO. AF_06/2022</t>
  </si>
  <si>
    <t>ADAPTADOR CURTO COM BOLSA E ROSCA PARA REGISTRO, PVC, SOLDÁVEL, DN 40MM X 1.1/2, INSTALADO EM PRUMADA DE ÁGUA - FORNECIMENTO E INSTALAÇÃO. AF_06/2022</t>
  </si>
  <si>
    <t>ADAPTADOR CURTO COM BOLSA E ROSCA PARA REGISTRO, PVC, SOLDÁVEL, DN 40MM X 1.1/4, INSTALADO EM PRUMADA DE ÁGUA - FORNECIMENTO E INSTALAÇÃO. AF_06/2022</t>
  </si>
  <si>
    <t>ADAPTADOR CURTO COM BOLSA E ROSCA PARA REGISTRO, PVC, SOLDÁVEL, DN 50MM X 1.1/2, INSTALADO EM PRUMADA DE ÁGUA - FORNECIMENTO E INSTALAÇÃO. AF_06/2022</t>
  </si>
  <si>
    <t>ADAPTADOR CURTO COM BOLSA E ROSCA PARA REGISTRO, PVC, SOLDÁVEL, DN 50MM X 1.1/4, INSTALADO EM PRUMADA DE ÁGUA - FORNECIMENTO E INSTALAÇÃO. AF_06/2022</t>
  </si>
  <si>
    <t>ADAPTADOR CURTO COM BOLSA E ROSCA PARA REGISTRO, PVC, SOLDÁVEL, DN 60MM X 2, INSTALADO EM PRUMADA DE ÁGUA - FORNECIMENTO E INSTALAÇÃO. AF_06/2022</t>
  </si>
  <si>
    <t>ADAPTADOR CURTO COM BOLSA E ROSCA PARA REGISTRO, PVC, SOLDÁVEL, DN 85MM X 3, INSTALADO EM PRUMADA DE ÁGUA - FORNECIMENTO E INSTALAÇÃO. AF_06/2022</t>
  </si>
  <si>
    <t>BUCHA DE REDUÇÃO, LONGA, PVC, SOLDÁVEL, DN 50 X 32 MM, INSTALADO EM PRUMADA DE ÁGUA - FORNECIMENTO E INSTALAÇÃO. AF_06/2022</t>
  </si>
  <si>
    <t>BUCHA DE REDUÇÃO, LONGA, PVC, SOLDÁVEL, DN 50 X 32 MM, INSTALADO EM RAMAL DE DISTRIBUIÇÃO DE ÁGUA - FORNECIMENTO E INSTALAÇÃO. AF_06/2022</t>
  </si>
  <si>
    <t>CURVA DE TRANSPOSIÇÃO, PVC, SOLDÁVEL, DN 20MM, INSTALADO EM RAMAL DE DISTRIBUIÇÃO DE ÁGUA FORNECIMENTO E INSTALAÇÃO. AF_06/2022</t>
  </si>
  <si>
    <t>CURVA DE TRANSPOSIÇÃO, PVC, SOLDÁVEL, DN 25MM, INSTALADO EM PRUMADA DE ÁGUA - FORNECIMENTO E INSTALAÇÃO. AF_06/2022</t>
  </si>
  <si>
    <t>CURVA DE TRANSPOSIÇÃO, PVC, SOLDÁVEL, DN 25MM, INSTALADO EM RAMAL DE DISTRIBUIÇÃO DE ÁGUA FORNECIMENTO E INSTALAÇÃO. AF_06/2022</t>
  </si>
  <si>
    <t>CURVA DE TRANSPOSIÇÃO, PVC, SOLDÁVEL, DN 25MM, INSTALADO EM RAMAL OU SUB-RAMAL DE ÁGUA FORNECIMENTO E INSTALAÇÃO. AF_06/2022</t>
  </si>
  <si>
    <t>CURVA DE TRANSPOSIÇÃO, PVC, SOLDÁVEL, DN 32MM, INSTALADO EM PRUMADA DE ÁGUA FORNECIMENTO E INSTALAÇÃO. AF_06/2022</t>
  </si>
  <si>
    <t>CURVA DE TRANSPOSIÇÃO, PVC, SOLDÁVEL, DN 32MM, INSTALADO EM RAMAL DE DISTRIBUIÇÃO DE ÁGUA FORNECIMENTO E INSTALAÇÃO. AF_06/2022</t>
  </si>
  <si>
    <t>CURVA DE TRANSPOSIÇÃO, PVC, SOLDÁVEL, DN 32MM, INSTALADO EM RAMAL OU SUB-RAMAL DE ÁGUA FORNECIMENTO E INSTALAÇÃO. AF_06/2022</t>
  </si>
  <si>
    <t>JOELHO 90 GRAUS COM BUCHA DE LATÃO, PVC, SOLDÁVEL, DN 25MM, X 1/2 INSTALADO EM RAMAL OU SUB-RAMAL DE ÁGUA - FORNECIMENTO E INSTALAÇÃO. AF_06/2022</t>
  </si>
  <si>
    <t>JOELHO 90 GRAUS COM BUCHA DE LATÃO, PVC, SOLDÁVEL, DN 25MM, X 3/4 INSTALADO EM RAMAL OU SUB-RAMAL DE ÁGUA - FORNECIMENTO E INSTALAÇÃO. AF_06/2022</t>
  </si>
  <si>
    <t>JOELHO 90 GRAUS, PVC, SOLDÁVEL, DN 25MM, X 3/4 INSTALADO EM RAMAL DE DISTRIBUIÇÃO DE ÁGUA - FORNECIMENTO E INSTALAÇÃO. AF_06/2022</t>
  </si>
  <si>
    <t>LUVA COM BUCHA DE LATÃO, PVC, SOLDÁVEL, DN 25MM X 3/4, INSTALADO EM RAMAL DE DISTRIBUIÇÃO DE ÁGUA - FORNECIMENTO E INSTALAÇÃO. AF_06/2022</t>
  </si>
  <si>
    <t>LUVA COM BUCHA DE LATÃO, PVC, SOLDÁVEL, DN 25MM X 3/4, INSTALADO EM RAMAL OU SUB-RAMAL DE ÁGUA - FORNECIMENTO E INSTALAÇÃO. AF_06/2022</t>
  </si>
  <si>
    <t>LUVA COM BUCHA DE LATÃO, PVC, SOLDÁVEL, DN 32MM X 1, INSTALADO EM RAMAL DE DISTRIBUIÇÃO DE ÁGUA FORNECIMENTO E INSTALAÇÃO. AF_06/2022</t>
  </si>
  <si>
    <t>LUVA COM BUCHA DE LATÃO, PVC, SOLDÁVEL, DN 32MM X 1, INSTALADO EM RAMAL OU SUB-RAMAL DE ÁGUA FORNECIMENTO E INSTALAÇÃO. AF_06/2022</t>
  </si>
  <si>
    <t>LUVA COM ROSCA, PVC, SOLDÁVEL, DN 40MM X 1.1/4, INSTALADO EM PRUMADA DE ÁGUA - FORNECIMENTO E INSTALAÇÃO. AF_06/2022</t>
  </si>
  <si>
    <t>LUVA COM ROSCA, PVC, SOLDÁVEL, DN 50MM X 1.1/2, INSTALADO EM PRUMADA DE ÁGUA - FORNECIMENTO E INSTALAÇÃO. AF_06/2022</t>
  </si>
  <si>
    <t>LUVA DE CORRER, PVC, SOLDÁVEL, DN 32MM, INSTALADO EM RAMAL DE DISTRIBUIÇÃO DE ÁGUA FORNECIMENTO E INSTALAÇÃO. AF_06/2022</t>
  </si>
  <si>
    <t>LUVA DE CORRER, PVC, SOLDÁVEL, DN 32MM, INSTALADO EM RAMAL OU SUB-RAMAL DE ÁGUA FORNECIMENTO E INSTALAÇÃO. AF_06/2022</t>
  </si>
  <si>
    <t>LUVA DE CORRER, PVC, SOLDÁVEL, DN 40MM, INSTALADO EM PRUMADA DE ÁGUA FORNECIMENTO E INSTALAÇÃO. AF_06/2022</t>
  </si>
  <si>
    <t>LUVA DE CORRER, PVC, SOLDÁVEL, DN 60MM, INSTALADO EM PRUMADA DE ÁGUA FORNECIMENTO E INSTALAÇÃO. AF_06/2022</t>
  </si>
  <si>
    <t>LUVA DE REDUÇÃO, PVC, SOLDÁVEL, DN 50MM X 25MM, INSTALADO EM PRUMADA DE ÁGUA FORNECIMENTO E INSTALAÇÃO. AF_06/2022</t>
  </si>
  <si>
    <t>LUVA DE REDUÇÃO, PVC, SOLDÁVEL, DN 50MM X 25MM, INSTALADO EM RAMAL DE DISTRIBUIÇÃO DE ÁGUA FORNECIMENTO E INSTALAÇÃO. AF_06/2022</t>
  </si>
  <si>
    <t>LUVA SOLDÁVEL E COM BUCHA DE LATÃO, PVC, SOLDÁVEL, DN 32MM X 1, INSTALADO EM PRUMADA DE ÁGUA FORNECIMENTO E INSTALAÇÃO. AF_06/2022</t>
  </si>
  <si>
    <t>LUVA SOLDÁVEL E COM ROSCA, PVC, SOLDÁVEL, DN 25MM X 3/4, INSTALADO EM RAMAL OU SUB-RAMAL DE ÁGUA - FORNECIMENTO E INSTALAÇÃO. AF_06/2022</t>
  </si>
  <si>
    <t>LUVA SOLDÁVEL E COM ROSCA, PVC, SOLDÁVEL, DN 32MM X 1, INSTALADO EM PRUMADA DE ÁGUA - FORNECIMENTO E INSTALAÇÃO. AF_06/2022</t>
  </si>
  <si>
    <t>LUVA SOLDÁVEL E COM ROSCA, PVC, SOLDÁVEL, DN 32MM X 1, INSTALADO EM RAMAL DE DISTRIBUIÇÃO DE ÁGUA - FORNECIMENTO E INSTALAÇÃO. AF_06/2022</t>
  </si>
  <si>
    <t>LUVA SOLDÁVEL E COM ROSCA, PVC, SOLDÁVEL, DN 32MM X 1, INSTALADO EM RAMAL OU SUB-RAMAL DE ÁGUA - FORNECIMENTO E INSTALAÇÃO. AF_06/2022</t>
  </si>
  <si>
    <t>TÊ COM BUCHA DE LATÃO NA BOLSA CENTRAL, PVC, SOLDÁVEL, DN 20MM X 1/2, INSTALADO EM RAMAL OU SUB-RAMAL DE ÁGUA - FORNECIMENTO E INSTALAÇÃO. AF_06/2022</t>
  </si>
  <si>
    <t>TÊ COM BUCHA DE LATÃO NA BOLSA CENTRAL, PVC, SOLDÁVEL, DN 25MM X 1/2, INSTALADO EM RAMAL OU SUB-RAMAL DE ÁGUA - FORNECIMENTO E INSTALAÇÃO. AF_06/2022</t>
  </si>
  <si>
    <t>TÊ COM BUCHA DE LATÃO NA BOLSA CENTRAL, PVC, SOLDÁVEL, DN 25MM X 3/4, INSTALADO EM RAMAL OU SUB-RAMAL DE ÁGUA - FORNECIMENTO E INSTALAÇÃO. AF_06/2022</t>
  </si>
  <si>
    <t>TÊ COM BUCHA DE LATÃO NA BOLSA CENTRAL, PVC, SOLDÁVEL, DN 32MM X 3/4, INSTALADO EM RAMAL DE DISTRIBUIÇÃO DE ÁGUA - FORNECIMENTO E INSTALAÇÃO. AF_06/2022</t>
  </si>
  <si>
    <t>TÊ COM BUCHA DE LATÃO NA BOLSA CENTRAL, PVC, SOLDÁVEL, DN 32MM X 3/4, INSTALADO EM RAMAL OU SUB-RAMAL DE ÁGUA - FORNECIMENTO E INSTALAÇÃO. AF_06/2022</t>
  </si>
  <si>
    <t>TÊ SOLDÁVEL E COM ROSCA NA BOLSA CENTRAL, PVC, SOLDÁVEL, DN 20MM X 1/2, INSTALADO EM RAMAL DE DISTRIBUIÇÃO DE ÁGUA - FORNECIMENTO E INSTALAÇÃO. AF_06/2022</t>
  </si>
  <si>
    <t>ADAPTADOR, CPVC, SOLDÁVEL, DN 22MM, INSTALADO EM RAMAL DE DISTRIBUIÇÃO DE ÁGUA FORNECIMENTO E INSTALAÇÃO. AF_06/2022</t>
  </si>
  <si>
    <t>ADAPTADOR, CPVC, SOLDÁVEL, DN15MM, INSTALADO EM RAMAL OU SUB-RAMAL DE ÁGUA FORNECIMENTO E INSTALAÇÃO. AF_06/2022</t>
  </si>
  <si>
    <t>ADAPTADOR, CPVC, SOLDÁVEL, DN22MM, INSTALADO EM RAMAL OU SUB-RAMAL DE ÁGUA FORNECIMENTO E INSTALAÇÃO. AF_06/2022</t>
  </si>
  <si>
    <t>BUCHA DE REDUÇÃO, CPVC, SOLDÁVEL, DN22MM X 15MM, INSTALADO EM RAMAL OU SUB-RAMAL DE ÁGUA FORNECIMENTO E INSTALAÇÃO. AF_06/2022</t>
  </si>
  <si>
    <t>BUCHA DE REDUÇÃO, CPVC, SOLDÁVEL, DN28MM X 22MM, INSTALADO EM RAMAL OU SUB-RAMAL DE ÁGUA FORNECIMENTO E INSTALAÇÃO. AF_06/2022</t>
  </si>
  <si>
    <t>BUCHA DE REDUÇÃO, CPVC, SOLDÁVEL, DN35MM X 28MM, INSTALADO EM RAMAL OU SUB-RAMAL DE ÁGUA FORNECIMENTO E INSTALAÇÃO. AF_06/2022</t>
  </si>
  <si>
    <t>CONECTOR, CPVC, SOLDÁVEL, DN 15MM X 1/2, INSTALADO EM RAMAL OU SUB-RAMAL DE ÁGUA FORNECIMENTO E INSTALAÇÃO. AF_06/2022</t>
  </si>
  <si>
    <t>CONECTOR, CPVC, SOLDÁVEL, DN 22MM X 1/2, INSTALADO EM RAMAL OU SUB-RAMAL DE ÁGUA FORNECIMENTO E INSTALAÇÃO. AF_06/2022</t>
  </si>
  <si>
    <t>CONECTOR, CPVC, SOLDÁVEL, DN 28MM X 1, INSTALADO EM RAMAL DE DISTRIBUIÇÃO DE ÁGUA FORNECIMENTO E INSTALAÇÃO. AF_06/2022</t>
  </si>
  <si>
    <t>CONECTOR, CPVC, SOLDÁVEL, DN 28MM X 1, INSTALADO EM RAMAL OU SUB-RAMAL DE ÁGUA FORNECIMENTO E INSTALAÇÃO. AF_06/2022</t>
  </si>
  <si>
    <t>CONECTOR, CPVC, SOLDÁVEL, DN 35MM X 1 1/4, INSTALADO EM PRUMADA DE ÁGUA FORNECIMENTO E INSTALAÇÃO. AF_06/2022</t>
  </si>
  <si>
    <t>CONECTOR, CPVC, SOLDÁVEL, DN 35MM X 1 1/4, INSTALADO EM RAMAL DE DISTRIBUIÇÃO DE ÁGUA - FORNECIMENTO E INSTALAÇÃO. AF_06/2022</t>
  </si>
  <si>
    <t>CONECTOR, CPVC, SOLDÁVEL, DN 35MM X 1 1/4, INSTALADO EM RAMAL OU SUB-RAMAL DE ÁGUA FORNECIMENTO E INSTALAÇÃO. AF_06/2022</t>
  </si>
  <si>
    <t>CONECTOR, CPVC, SOLDÁVEL, DN 42MM X 1.1/2, INSTALADO EM PRUMADA DE ÁGUA FORNECIMENTO E INSTALAÇÃO. AF_06/2022</t>
  </si>
  <si>
    <t>CURVA 90 GRAUS, CPVC, SOLDÁVEL, DN 28MM, INSTALADO EM RAMAL DE DISTRIBUIÇÃO DE ÁGUA FORNECIMENTO E INSTALAÇÃO. AF_06/2022</t>
  </si>
  <si>
    <t>CURVA 90 GRAUS, CPVC, SOLDÁVEL, DN 28MM, INSTALADO EM RAMAL OU SUB-RAMAL DE ÁGUA FORNECIMENTO E INSTALAÇÃO. AF_06/2022</t>
  </si>
  <si>
    <t>CURVA DE TRANSPOSIÇÃO, CPVC, SOLDÁVEL, DN 22MM, INSTALADO EM RAMAL DE DISTRIBUIÇÃO DE ÁGUA FORNECIMENTO E INSTALAÇÃO. AF_06/2022</t>
  </si>
  <si>
    <t>CURVA DE TRANSPOSIÇÃO, CPVC, SOLDÁVEL, DN15MM, INSTALADO EM RAMAL OU SUB-RAMAL DE ÁGUA FORNECIMENTO E INSTALAÇÃO. AF_06/2022</t>
  </si>
  <si>
    <t>CURVA DE TRANSPOSIÇÃO, CPVC, SOLDÁVEL, DN22MM, INSTALADO EM RAMAL OU SUB-RAMAL DE ÁGUA FORNECIMENTO E INSTALAÇÃO. AF_06/2022</t>
  </si>
  <si>
    <t>JOELHO 45 GRAUS, CPVC, SOLDÁVEL, DN 22MM, INSTALADO EM RAMAL DE DISTRIBUIÇÃO DE ÁGUA FORNECIMENTO E INSTALAÇÃO. AF_06/2022</t>
  </si>
  <si>
    <t>JOELHO 45 GRAUS, CPVC, SOLDÁVEL, DN 28MM, INSTALADO EM RAMAL DE DISTRIBUIÇÃO DE ÁGUA FORNECIMENTO E INSTALAÇÃO. AF_06/2022</t>
  </si>
  <si>
    <t>JOELHO 45 GRAUS, CPVC, SOLDÁVEL, DN 28MM, INSTALADO EM RAMAL OU SUB-RAMAL DE ÁGUA FORNECIMENTO E INSTALAÇÃO. AF_06/2022</t>
  </si>
  <si>
    <t>JOELHO 45 GRAUS, CPVC, SOLDÁVEL, DN 35MM, INSTALADO EM RAMAL DE DISTRIBUIÇÃO DE ÁGUA FORNECIMENTO E INSTALAÇÃO. AF_06/2022</t>
  </si>
  <si>
    <t>JOELHO 45 GRAUS, CPVC, SOLDÁVEL, DN 35MM, INSTALADO EM RAMAL OU SUB-RAMAL DE ÁGUA FORNECIMENTO E INSTALAÇÃO. AF_06/2022</t>
  </si>
  <si>
    <t>JOELHO 45 GRAUS, CPVC, SOLDÁVEL, DN 42MM, INSTALADO EM PRUMADA DE ÁGUA FORNECIMENTO E INSTALAÇÃO. AF_06/2022</t>
  </si>
  <si>
    <t>JOELHO 45 GRAUS, CPVC, SOLDÁVEL, DN 54MM, INSTALADO EM PRUMADA DE ÁGUA FORNECIMENTO E INSTALAÇÃO. AF_06/2022</t>
  </si>
  <si>
    <t>JOELHO 45 GRAUS, CPVC, SOLDÁVEL, DN 73MM, INSTALADO EM PRUMADA DE ÁGUA FORNECIMENTO E INSTALAÇÃO. AF_06/2022</t>
  </si>
  <si>
    <t>JOELHO 45 GRAUS, CPVC, SOLDÁVEL, DN 89MM, INSTALADO EM PRUMADA DE ÁGUA FORNECIMENTO E INSTALAÇÃO. AF_06/2022</t>
  </si>
  <si>
    <t>JOELHO 90 GRAUS, CPVC, SOLDÁVEL, DN 22MM, INSTALADO EM RAMAL DE DISTRIBUIÇÃO DE ÁGUA FORNECIMENTO E INSTALAÇÃO. AF_06/2022</t>
  </si>
  <si>
    <t>JOELHO 90 GRAUS, CPVC, SOLDÁVEL, DN 28MM, INSTALADO EM RAMAL DE DISTRIBUIÇÃO DE ÁGUA FORNECIMENTO E INSTALAÇÃO. AF_06/2022</t>
  </si>
  <si>
    <t>JOELHO 90 GRAUS, CPVC, SOLDÁVEL, DN 35MM, INSTALADO EM PRUMADA DE ÁGUA FORNECIMENTO E INSTALAÇÃO. AF_06/2022</t>
  </si>
  <si>
    <t>JOELHO 90 GRAUS, CPVC, SOLDÁVEL, DN 35MM, INSTALADO EM RAMAL DE DISTRIBUIÇÃO DE ÁGUA FORNECIMENTO E INSTALAÇÃO. AF_06/2022</t>
  </si>
  <si>
    <t>JOELHO 90 GRAUS, CPVC, SOLDÁVEL, DN 35MM, INSTALADO EM RAMAL OU SUB-RAMAL DE ÁGUA FORNECIMENTO E INSTALAÇÃO. AF_06/2022</t>
  </si>
  <si>
    <t>JOELHO 90 GRAUS, CPVC, SOLDÁVEL, DN 42MM, INSTALADO EM PRUMADA DE ÁGUA FORNECIMENTO E INSTALAÇÃO. AF_06/2022</t>
  </si>
  <si>
    <t>JOELHO 90 GRAUS, CPVC, SOLDÁVEL, DN 54MM, INSTALADO EM PRUMADA DE ÁGUA FORNECIMENTO E INSTALAÇÃO. AF_06/2022</t>
  </si>
  <si>
    <t>JOELHO 90 GRAUS, CPVC, SOLDÁVEL, DN 73MM, INSTALADO EM PRUMADA DE ÁGUA FORNECIMENTO E INSTALAÇÃO. AF_06/2022</t>
  </si>
  <si>
    <t>JOELHO 90 GRAUS, CPVC, SOLDÁVEL, DN 89MM, INSTALADO EM PRUMADA DE ÁGUA FORNECIMENTO E INSTALAÇÃO. AF_06/2022</t>
  </si>
  <si>
    <t>LUVA DE CORRER, CPVC, SOLDÁVEL, DN 15MM, INSTALADO EM RAMAL OU SUB-RAMAL DE ÁGUA FORNECIMENTO E INSTALAÇÃO. AF_06/2022</t>
  </si>
  <si>
    <t>LUVA DE CORRER, CPVC, SOLDÁVEL, DN 22MM, INSTALADO EM RAMAL DE DISTRIBUIÇÃO DE ÁGUA FORNECIMENTO E INSTALAÇÃO. AF_12/2014</t>
  </si>
  <si>
    <t>LUVA DE CORRER, CPVC, SOLDÁVEL, DN 22MM, INSTALADO EM RAMAL OU SUB-RAMAL DE ÁGUA FORNECIMENTO E INSTALAÇÃO. AF_06/2022</t>
  </si>
  <si>
    <t>LUVA DE CORRER, CPVC, SOLDÁVEL, DN 28MM, INSTALADO EM RAMAL DE DISTRIBUIÇÃO DE ÁGUA FORNECIMENTO E INSTALAÇÃO. AF_06/2022</t>
  </si>
  <si>
    <t>LUVA DE CORRER, CPVC, SOLDÁVEL, DN 28MM, INSTALADO EM RAMAL OU SUB-RAMAL DE ÁGUA FORNECIMENTO E INSTALAÇÃO. AF_06/2022</t>
  </si>
  <si>
    <t>LUVA DE CORRER, CPVC, SOLDÁVEL, DN 35MM, INSTALADO EM PRUMADA DE ÁGUA FORNECIMENTO E INSTALAÇÃO. AF_06/2022</t>
  </si>
  <si>
    <t>LUVA DE CORRER, CPVC, SOLDÁVEL, DN 35MM, INSTALADO EM RAMAL OU SUB-RAMAL DE ÁGUA FORNECIMENTO E INSTALAÇÃO. AF_06/2022</t>
  </si>
  <si>
    <t>LUVA DE CORRER, CPVC, SOLDÁVEL, DN 42MM, INSTALADO EM PRUMADA DE ÁGUA FORNECIMENTO E INSTALAÇÃO. AF_06/2022</t>
  </si>
  <si>
    <t>LUVA DE TRANSIÇÃO, CPVC, SOLDÁVEL, DN 22MM X 25MM, INSTALADO EM RAMAL DE DISTRIBUIÇÃO DE ÁGUA FORNECIMENTO E INSTALAÇÃO. AF_06/2022</t>
  </si>
  <si>
    <t>LUVA DE TRANSIÇÃO, CPVC, SOLDÁVEL, DN 54MM X 2, INSTALADO EM PRUMADA DE ÁGUA FORNECIMENTO E INSTALAÇÃO. AF_06/2022</t>
  </si>
  <si>
    <t>LUVA DE TRANSIÇÃO, CPVC, SOLDÁVEL, DN42MM X 1.1/2, INSTALADO EM PRUMADA DE ÁGUA FORNECIMENTO E INSTALAÇÃO. AF_06/2022</t>
  </si>
  <si>
    <t>LUVA, CPVC, SOLDÁVEL, DN 22MM, INSTALADO EM RAMAL DE DISTRIBUIÇÃO DE ÁGUA FORNECIMENTO E INSTALAÇÃO. AF_06/2022</t>
  </si>
  <si>
    <t>LUVA, CPVC, SOLDÁVEL, DN 22MM, INSTALADO EM RAMAL OU SUB-RAMAL DE ÁGUA FORNECIMENTO E INSTALAÇÃO. AF_06/2022</t>
  </si>
  <si>
    <t>LUVA, CPVC, SOLDÁVEL, DN 28MM, INSTALADO EM RAMAL DE DISTRIBUIÇÃO DE ÁGUA FORNECIMENTO E INSTALAÇÃO. AF_06/2022</t>
  </si>
  <si>
    <t>LUVA, CPVC, SOLDÁVEL, DN 28MM, INSTALADO EM RAMAL OU SUB-RAMAL DE ÁGUA FORNECIMENTO E INSTALAÇÃO. AF_06/2022</t>
  </si>
  <si>
    <t>LUVA, CPVC, SOLDÁVEL, DN 35MM, INSTALADO EM PRUMADA DE ÁGUA FORNECIMENTO E INSTALAÇÃO. AF_06/2022</t>
  </si>
  <si>
    <t>LUVA, CPVC, SOLDÁVEL, DN 35MM, INSTALADO EM RAMAL OU SUB-RAMAL DE ÁGUA FORNECIMENTO E INSTALAÇÃO. AF_06/2022</t>
  </si>
  <si>
    <t>LUVA, CPVC, SOLDÁVEL, DN 42MM, INSTALADO EM PRUMADA DE ÁGUA FORNECIMENTO E INSTALAÇÃO. AF_06/2022</t>
  </si>
  <si>
    <t>LUVA, CPVC, SOLDÁVEL, DN 54MM, INSTALADO EM PRUMADA DE ÁGUA FORNECIMENTO E INSTALAÇÃO. AF_06/2022</t>
  </si>
  <si>
    <t>LUVA, CPVC, SOLDÁVEL, DN 73MM, INSTALADO EM PRUMADA DE ÁGUA FORNECIMENTO E INSTALAÇÃO. AF_06/2022</t>
  </si>
  <si>
    <t>LUVA, CPVC, SOLDÁVEL, DN 89MM, INSTALADO EM PRUMADA DE ÁGUA FORNECIMENTO E INSTALAÇÃO. AF_06/2022</t>
  </si>
  <si>
    <t>TE DE TRANSIÇÃO, CPVC, SOLDÁVEL, DN 15MM X 1/2, INSTALADO EM RAMAL OU SUB-RAMAL DE ÁGUA FORNECIMENTO E INSTALAÇÃO. AF_06/2022</t>
  </si>
  <si>
    <t>TE DE TRANSIÇÃO, CPVC, SOLDÁVEL, DN 22MM X 1/2, INSTALADO EM RAMAL OU SUB-RAMAL DE ÁGUA FORNECIMENTO E INSTALAÇÃO. AF_06/2022</t>
  </si>
  <si>
    <t>TE, CPVC, SOLDÁVEL, DN 42MM, INSTALADO EM PRUMADA DE ÁGUA FORNECIMENTO E INSTALAÇÃO. AF_06/2022</t>
  </si>
  <si>
    <t>TE, CPVC, SOLDÁVEL, DN 42MM, INSTALADO EM RAMAL DE DISTRIBUIÇÃO DE ÁGUA - FORNECIMENTO E INSTALAÇÃO. AF_06/2022</t>
  </si>
  <si>
    <t>TUBO, CPVC, SOLDÁVEL, DN 35MM, INSTALADO EM PRUMADA DE ÁGUA FORNECIMENTO E INSTALAÇÃO. AF_06/2022</t>
  </si>
  <si>
    <t>TUBO, CPVC, SOLDÁVEL, DN 35MM, INSTALADO EM RAMAL DE DISTRIBUIÇÃO DE ÁGUA FORNECIMENTO E INSTALAÇÃO. AF_06/2022</t>
  </si>
  <si>
    <t>TUBO, CPVC, SOLDÁVEL, DN 35MM, INSTALADO EM RAMAL OU SUB-RAMAL DE ÁGUA FORNECIMENTO E INSTALAÇÃO. AF_06/2022</t>
  </si>
  <si>
    <t>TUBO, CPVC, SOLDÁVEL, DN 42MM, INSTALADO EM PRUMADA DE ÁGUA FORNECIMENTO E INSTALAÇÃO. AF_06/2022</t>
  </si>
  <si>
    <t>TUBO, CPVC, SOLDÁVEL, DN 54MM, INSTALADO EM PRUMADA DE ÁGUA FORNECIMENTO E INSTALAÇÃO. AF_06/2022</t>
  </si>
  <si>
    <t>TUBO, CPVC, SOLDÁVEL, DN 73MM, INSTALADO EM PRUMADA DE ÁGUA FORNECIMENTO E INSTALAÇÃO. AF_06/2022</t>
  </si>
  <si>
    <t>TUBO, CPVC, SOLDÁVEL, DN 89MM, INSTALADO EM PRUMADA DE ÁGUA FORNECIMENTO E INSTALAÇÃO. AF_06/2022</t>
  </si>
  <si>
    <t>TÊ MISTURADOR, CPVC, SOLDÁVEL, DN15MM, INSTALADO EM RAMAL OU SUB-RAMAL DE ÁGUA FORNECIMENTO E INSTALAÇÃO. AF_06/2022</t>
  </si>
  <si>
    <t>TÊ MISTURADOR, CPVC, SOLDÁVEL, DN22MM, INSTALADO EM RAMAL OU SUB-RAMAL DE ÁGUA FORNECIMENTO E INSTALAÇÃO. AF_06/2022</t>
  </si>
  <si>
    <t>TÊ, CPVC, SOLDÁVEL, DN 35MM, INSTALADO EM PRUMADA DE ÁGUA FORNECIMENTO E INSTALAÇÃO. AF_06/2022</t>
  </si>
  <si>
    <t>TÊ, CPVC, SOLDÁVEL, DN 54 MM, INSTALADO EM PRUMADA DE ÁGUA FORNECIMENTO E INSTALAÇÃO. AF_06/2022</t>
  </si>
  <si>
    <t>TÊ, CPVC, SOLDÁVEL, DN 73MM, INSTALADO EM PRUMADA DE ÁGUA FORNECIMENTO E INSTALAÇÃO. AF_06/2022</t>
  </si>
  <si>
    <t>TÊ, CPVC, SOLDÁVEL, DN 89MM, INSTALADO EM PRUMADA DE ÁGUA FORNECIMENTO E INSTALAÇÃO. AF_06/2022</t>
  </si>
  <si>
    <t>TÊ, CPVC, SOLDÁVEL, DN28MM, INSTALADO EM RAMAL OU SUB-RAMAL DE ÁGUA FORNECIMENTO E INSTALAÇÃO. AF_06/2022</t>
  </si>
  <si>
    <t>TÊ, CPVC, SOLDÁVEL, DN35MM, INSTALADO EM RAMAL OU SUB-RAMAL DE ÁGUA FORNECIMENTO E INSTALAÇÃO. AF_06/2022</t>
  </si>
  <si>
    <t>UNIÃO, CPVC, SOLDÁVEL, DN 22MM, INSTALADO EM RAMAL DE DISTRIBUIÇÃO DE ÁGUA FORNECIMENTO E INSTALAÇÃO. AF_06/2022</t>
  </si>
  <si>
    <t>UNIÃO, CPVC, SOLDÁVEL, DN 28MM, INSTALADO EM RAMAL DE DISTRIBUIÇÃO DE ÁGUA FORNECIMENTO E INSTALAÇÃO. AF_06/2022</t>
  </si>
  <si>
    <t>UNIÃO, CPVC, SOLDÁVEL, DN 42MM, INSTALADO EM RAMAL DE DISTRIBUIÇÃO DE ÁGUA FORNECIMENTO E INSTALAÇÃO. AF_06/2022</t>
  </si>
  <si>
    <t>UNIÃO, CPVC, SOLDÁVEL, DN 54MM, INSTALADO EM PRUMADA DE ÁGUA FORNECIMENTO E INSTALAÇÃO. AF_06/2022</t>
  </si>
  <si>
    <t>UNIÃO, CPVC, SOLDÁVEL, DN 73MM, INSTALADO EM PRUMADA DE ÁGUA FORNECIMENTO E INSTALAÇÃO. AF_06/2022</t>
  </si>
  <si>
    <t>UNIÃO, CPVC, SOLDÁVEL, DN 89MM, INSTALADO EM PRUMADA DE ÁGUA FORNECIMENTO E INSTALAÇÃO. AF_06/2022</t>
  </si>
  <si>
    <t>UNIÃO, CPVC, SOLDÁVEL, DN15MM, INSTALADO EM RAMAL OU SUB-RAMAL DE ÁGUA FORNECIMENTO E INSTALAÇÃO. AF_06/2022</t>
  </si>
  <si>
    <t>UNIÃO, CPVC, SOLDÁVEL, DN22MM, INSTALADO EM RAMAL OU SUB-RAMAL DE ÁGUA FORNECIMENTO E INSTALAÇÃO. AF_06/2022</t>
  </si>
  <si>
    <t>UNIÃO, CPVC, SOLDÁVEL, DN28MM, INSTALADO EM RAMAL OU SUB-RAMAL DE ÁGUA FORNECIMENTO E INSTALAÇÃO. AF_06/2022</t>
  </si>
  <si>
    <t>UNIÃO, CPVC, SOLDÁVEL, DN35MM, INSTALADO EM PRUMADA DE ÁGUA FORNECIMENTO E INSTALAÇÃO. AF_06/2022</t>
  </si>
  <si>
    <t>UNIÃO, CPVC, SOLDÁVEL, DN35MM, INSTALADO EM RAMAL OU SUB-RAMAL DE ÁGUA FORNECIMENTO E INSTALAÇÃO. AF_06/2022</t>
  </si>
  <si>
    <t>UNIÃO, CPVC, SOLDÁVEL, DN42MM, INSTALADO EM PRUMADA DE ÁGUA FORNECIMENTO E INSTALAÇÃO. AF_06/2022</t>
  </si>
  <si>
    <t>CONEXÃO FIXA, ROSCA FÊMEA, METÁLICA, PARA INSTALAÇÕES EM PEX MULTICAMADA, DN 16MM X 1/2", CONEXÃO POR CRIMPAGEM - FORNECIMENTO E INSTALAÇÃO. AF_01/2020</t>
  </si>
  <si>
    <t>CONEXÃO FIXA, ROSCA FÊMEA, METÁLICA, PARA INSTALAÇÕES EM PEX MULTICAMADA, DN 20MM X 3/4", CONEXÃO POR CRIMPAGEM - FORNECIMENTO E INSTALAÇÃO. AF_01/2020</t>
  </si>
  <si>
    <t>CONEXÃO FIXA, ROSCA FÊMEA, METÁLICA, PARA INSTALAÇÕES EM PEX MULTICAMADA, DN 26MM X 1", CONEXÃO POR CRIMPAGEM - FORNECIMENTO E INSTALAÇÃO. AF_01/2020</t>
  </si>
  <si>
    <t>CONEXÃO FIXA, ROSCA FÊMEA, METÁLICA, PARA INSTALAÇÕES EM PEX MULTICAMADA, DN 32MM X 1 1/4", CONEXÃO POR CRIMPAGEM - FORNECIMENTO E INSTALAÇÃO. AF_01/2020</t>
  </si>
  <si>
    <t>CONEXÃO FIXA, ROSCA MACHO, METÁLICA, PARA INSTALAÇÕES EM PEX MULTICAMADA, DN 20MM X 3/4", CONEXÃO POR CRIMPAGEM - FORNECIMENTO E INSTALAÇÃO. AF_01/2020</t>
  </si>
  <si>
    <t>CONEXÃO FIXA, ROSCA MACHO, METÁLICA, PARA INSTALAÇÕES EM PEX MULTICAMADA, DN 26MM X 1", CONEXÃO POR CRIMPAGEM - FORNECIMENTO E INSTALAÇÃO. AF_01/2020</t>
  </si>
  <si>
    <t>CONEXÃO FIXA, ROSCA MACHO, METÁLICA, PARA INSTALAÇÕES EM PEX MULTICAMADA, DN 32MM X 1 1/4", CONEXÃO POR CRIMPAGEM - FORNECIMENTO E INSTALAÇÃO. AF_01/2020</t>
  </si>
  <si>
    <t>COTOVELO EM COBRE, DN 15 MM, 90 GRAUS, SEM ANEL DE SOLDA, INSTALADO EM RAMAL DE DISTRIBUIÇÃO FORNECIMENTO E INSTALAÇÃO. AF_04/2022</t>
  </si>
  <si>
    <t>CURVA EM COBRE, DN 35 MM, 45 GRAUS, SEM ANEL DE SOLDA, BOLSA X BOLSA, INSTALADO EM PRUMADA DE HIDRÁULICA PREDIAL - FORNECIMENTO E INSTALAÇÃO. AF_04/2022</t>
  </si>
  <si>
    <t>LUVA PASSANTE EM COBRE, DN 28 MM, SEM ANEL DE SOLDA, INSTALADO EM RAMAL E SUB-RAMAL DE HIDRÁULICA PREDIAL - FORNECIMENTO E INSTALAÇÃO. AF_04/2022</t>
  </si>
  <si>
    <t>CURSO DE CAPACITAÇÃO PARA MONTADOR DE TUBO AÇO/EQUIPAMENTOS (ENCARGOS COMPLEMENTARES) - HORISTA</t>
  </si>
  <si>
    <t>CURSO DE CAPACITAÇÃO PARA MOTORISTA DE CAMINHÃO (ENCARGOS COMPLEMENTARES) - MENSALISTA</t>
  </si>
  <si>
    <t>CURSO DE CAPACITAÇÃO PARA SOLDADOR A (PARA SOLDA A SER TESTADA COM RAIOS X) (ENCARGOS COMPLEMENTARES) - HORISTA</t>
  </si>
  <si>
    <t>LOCAÇÃO CONVENCIONAL DE OBRA, UTILIZANDO GABARITO DE TÁBUAS CORRIDAS PONTALETADAS A CADA 1,50M - 2 UTILIZAÇÕES. AF_03/2024</t>
  </si>
  <si>
    <t>LOCAÇÃO CONVENCIONAL DE OBRA, UTILIZANDO GABARITO DE TÁBUAS CORRIDAS PONTALETADAS A CADA 2,00M - 2 UTILIZAÇÕES. AF_03/2024</t>
  </si>
  <si>
    <t>EMBOÇO OU MASSA ÚNICA EM ARGAMASSA TRAÇO 1:2:8, PREPARO MECÂNICA COM BETONEIRA 400 L, APLICADA COM PROJETOR TIPO CANEQUINHA EM SUPERFÍCIES INTERNAS DA SACADA, ESPESSURA DE 25 MM, SEM USO DE TELA METÁLICA. AF_08/2022</t>
  </si>
  <si>
    <t>PLANTIO DE ARBUSTO OU CERCA VIVA. AF_07/2024</t>
  </si>
  <si>
    <t>PAREDE COM SISTEMA EM CHAPAS DE GESSO PARA DRYWALL, USO INTERNO, COM UMA FACE SIMPLES E OUTRA FACE DUPLA E ESTRUTURA METÁLICA COM GUIAS DUPLAS PARA PAREDES COM ÁREA LÍQUIDA MAIOR OU IGUAL A 6 M2, COM VÃOS. AF_07/2023_PS</t>
  </si>
  <si>
    <t>EXECUÇÃO DE PASSEIO EM PISO INTERTRAVADO, COM BLOCO RAQUETE 22 X 13,5 CM, ESPESSURA 6 CM. AF_10/2022</t>
  </si>
  <si>
    <t>EXECUÇÃO DE PAVIMENTO EM PISO INTERTRAVADO, COM BLOCO RAQUETE 22 X 13,5 CM, ESPESSURA 6 CM. AF_10/2022</t>
  </si>
  <si>
    <t>FACHADA EM VIDRO NO SISTEMA SPIDER GLASS, CONSIDERANDO MÓDULOS DE 2,00 X 2,50 M, FIXADO EM ESTRUTURA METÁLICA FORNECIMENTO E INSTALAÇÃO. AF_06/2022</t>
  </si>
  <si>
    <t>PINTURA COM TINTA ALQUÍDICA DE ACABAMENTO (ESMALTE SINTÉTICO BRILHANTE) PULVERIZADA SOBRE PERFIL METÁLICO EXECUTADO EM FÁBRICA (POR DEMÃO). AF_01/2020_PE</t>
  </si>
  <si>
    <t>PINTURA COM TINTA ALQUÍDICA DE ACABAMENTO (ESMALTE SINTÉTICO BRILHANTE) PULVERIZADA SOBRE SUPERFÍCIES METÁLICAS (EXCETO PERFIL) EXECUTADO EM OBRA (POR DEMÃO). AF_01/2020_PE</t>
  </si>
  <si>
    <t>PINTURA DE EIXO VIÁRIO COM TINTA RETRORREFLETIVA A BASE DE RESINA ACRÍLICA COM MICROESFERAS DE VIDRO, E = 10 CM, APLICAÇÃO MECÂNICA COM DEMARCADORA A TRAÇÃO MANUAL. AF_05/2021</t>
  </si>
  <si>
    <t>PINTURA DE EIXO VIÁRIO SOBRE ASFALTO COM TINTA RETRORREFLETIVA A BASE DE RESINA ACRÍLICA COM MICROESFERAS DE VIDRO, E = 10 CM, APLICAÇÃO MECÂNICA COM DEMARCADORA AUTOPROPELIDA. AF_05/2021</t>
  </si>
  <si>
    <t>PINTURA DE FAIXA DE PEDESTRE OU ZEBRADA COM TINTA ACRÍLICA, E = 30 CM, APLICAÇÃO MANUAL. AF_05/2021</t>
  </si>
  <si>
    <t>PINTURA DE FAIXA DE PEDESTRE OU ZEBRADA COM TINTA ACRÍLICA, E = 30 CM, APLICAÇÃO MECÂNICA COM DEMARCADORA A TRAÇÃO MANUAL. AF_05/2021</t>
  </si>
  <si>
    <t>PINTURA DE FAIXA DE PEDESTRE OU ZEBRADA COM TINTA EPÓXI, E = 30 CM, APLICAÇÃO MANUAL. AF_05/2021</t>
  </si>
  <si>
    <t>PINTURA DE NÚMEROS E LETRAS PARA SINALIZAÇÃO HORIZONTAL, ALTURA 100 MM, APLICADOR SPRAY E MOLDE PLÁSTICO. AF_05/2021</t>
  </si>
  <si>
    <t>ASSENTAMENTO DE POSTE DE CONCRETO COM COMPRIMENTO NOMINAL DE 10 M, CARGA NOMINAL DE 1000 DAN, ENGASTAMENTO BASE CONCRETADA COM 1 M DE CONCRETO E 0,6 M DE SOLO (NÃO INCLUI FORNECIMENTO). AF_04/2025</t>
  </si>
  <si>
    <t>ASSENTAMENTO DE POSTE DE CONCRETO COM COMPRIMENTO NOMINAL DE 10 M, CARGA NOMINAL DE 300 DAN, ENGASTAMENTO BASE CONCRETADA COM 1 M DE CONCRETO E 0,6 M DE SOLO (NÃO INCLUI FORNECIMENTO). AF_04/2025</t>
  </si>
  <si>
    <t>ASSENTAMENTO DE POSTE DE CONCRETO COM COMPRIMENTO NOMINAL DE 10 M, CARGA NOMINAL DE 600 DAN, ENGASTAMENTO BASE CONCRETADA COM 1 M DE CONCRETO E 0,6 M DE SOLO (NÃO INCLUI FORNECIMENTO). AF_04/2025</t>
  </si>
  <si>
    <t>ASSENTAMENTO DE POSTE DE CONCRETO COM COMPRIMENTO NOMINAL DE 10 M, CARGA NOMINAL MAIOR QUE 1000 DAN, ENGASTAMENTO SIMPLES COM 1,6 M DE SOLO (NÃO INCLUI FORNECIMENTO). AF_04/2025</t>
  </si>
  <si>
    <t>ASSENTAMENTO DE POSTE DE CONCRETO COM COMPRIMENTO NOMINAL DE 10 M, CARGA NOMINAL MENOR OU IGUAL A 1000 DAN, ENGASTAMENTO SIMPLES COM 1,6 M DE SOLO (NÃO INCLUI FORNECIMENTO). AF_04/2025</t>
  </si>
  <si>
    <t>ASSENTAMENTO DE POSTE DE CONCRETO COM COMPRIMENTO NOMINAL DE 10,5 M, CARGA NOMINAL DE 1000 DAN, ENGASTAMENTO BASE CONCRETADA COM 1 M DE CONCRETO E 0,65 M DE SOLO (NÃO INCLUI FORNECIMENTO). AF_04/2025</t>
  </si>
  <si>
    <t>ASSENTAMENTO DE POSTE DE CONCRETO COM COMPRIMENTO NOMINAL DE 10,5 M, CARGA NOMINAL DE 300 DAN, ENGASTAMENTO BASE CONCRETADA COM 1 M DE CONCRETO E 0,65 M DE SOLO (NÃO INCLUI FORNECIMENTO). AF_04/2025</t>
  </si>
  <si>
    <t>ASSENTAMENTO DE POSTE DE CONCRETO COM COMPRIMENTO NOMINAL DE 10,5 M, CARGA NOMINAL DE 600 DAN, ENGASTAMENTO BASE CONCRETADA COM 1 M DE CONCRETO E 0,65 M DE SOLO (NÃO INCLUI FORNECIMENTO). AF_04/2025</t>
  </si>
  <si>
    <t>ASSENTAMENTO DE POSTE DE CONCRETO COM COMPRIMENTO NOMINAL DE 10,5 M, CARGA NOMINAL MAIOR QUE 1000 DAN, ENGASTAMENTO SIMPLES COM 1,65 M DE SOLO (NÃO INCLUI FORNECIMENTO). AF_04/2025</t>
  </si>
  <si>
    <t>ASSENTAMENTO DE POSTE DE CONCRETO COM COMPRIMENTO NOMINAL DE 10,5 M, CARGA NOMINAL MENOR OU IGUAL A 1000 DAN, ENGASTAMENTO SIMPLES COM 1,65 M DE SOLO (NÃO INCLUI FORNECIMENTO). AF_04/2025</t>
  </si>
  <si>
    <t>ASSENTAMENTO DE POSTE DE CONCRETO COM COMPRIMENTO NOMINAL DE 11 M, CARGA NOMINAL DE 1000 DAN, ENGASTAMENTO BASE CONCRETADA COM 1 M DE CONCRETO E 0,7 M DE SOLO (NÃO INCLUI FORNECIMENTO). AF_04/2025</t>
  </si>
  <si>
    <t>ASSENTAMENTO DE POSTE DE CONCRETO COM COMPRIMENTO NOMINAL DE 11 M, CARGA NOMINAL DE 300 DAN, ENGASTAMENTO BASE CONCRETADA COM 1 M DE CONCRETO E 0,7 M DE SOLO (NÃO INCLUI FORNECIMENTO). AF_04/2025</t>
  </si>
  <si>
    <t>ASSENTAMENTO DE POSTE DE CONCRETO COM COMPRIMENTO NOMINAL DE 11 M, CARGA NOMINAL DE 400 DAN, ENGASTAMENTO BASE CONCRETADA COM 1 M DE CONCRETO E 0,7 M DE SOLO (NÃO INCLUI FORNECIMENTO). AF_04/2025</t>
  </si>
  <si>
    <t>ASSENTAMENTO DE POSTE DE CONCRETO COM COMPRIMENTO NOMINAL DE 11 M, CARGA NOMINAL DE 600 DAN, ENGASTAMENTO BASE CONCRETADA COM 1 M DE CONCRETO E 0,7 M DE SOLO (NÃO INCLUI FORNECIMENTO). AF_04/2025</t>
  </si>
  <si>
    <t>ASSENTAMENTO DE POSTE DE CONCRETO COM COMPRIMENTO NOMINAL DE 11 M, CARGA NOMINAL MAIOR QUE 1000 DAN, ENGASTAMENTO SIMPLES COM 1,7 M DE SOLO (NÃO INCLUI FORNECIMENTO). AF_04/2025</t>
  </si>
  <si>
    <t>ASSENTAMENTO DE POSTE DE CONCRETO COM COMPRIMENTO NOMINAL DE 11 M, CARGA NOMINAL MENOR OU IGUAL A 1000 DAN, ENGASTAMENTO SIMPLES COM 1,7 M DE SOLO (NÃO INCLUI FORNECIMENTO). AF_04/2025</t>
  </si>
  <si>
    <t>ASSENTAMENTO DE POSTE DE CONCRETO COM COMPRIMENTO NOMINAL DE 12 M, CARGA NOMINAL DE 1000 DAN, ENGASTAMENTO BASE CONCRETADA COM 1 M DE CONCRETO E 0,8 M DE SOLO (NÃO INCLUI FORNECIMENTO). AF_04/2025</t>
  </si>
  <si>
    <t>ASSENTAMENTO DE POSTE DE CONCRETO COM COMPRIMENTO NOMINAL DE 12 M, CARGA NOMINAL DE 400 DAN, ENGASTAMENTO BASE CONCRETADA COM 1 M DE CONCRETO E 0,8 M DE SOLO (NÃO INCLUI FORNECIMENTO). AF_04/2025</t>
  </si>
  <si>
    <t>ASSENTAMENTO DE POSTE DE CONCRETO COM COMPRIMENTO NOMINAL DE 12 M, CARGA NOMINAL DE 600 DAN, ENGASTAMENTO BASE CONCRETADA COM 1 M DE CONCRETO E 0,8 M DE SOLO (NÃO INCLUI FORNECIMENTO). AF_04/2025</t>
  </si>
  <si>
    <t>ASSENTAMENTO DE POSTE DE CONCRETO COM COMPRIMENTO NOMINAL DE 12 M, CARGA NOMINAL MAIOR QUE 1000 DAN, ENGASTAMENTO SIMPLES COM 1,8 M DE SOLO (NÃO INCLUI FORNECIMENTO). AF_04/2025</t>
  </si>
  <si>
    <t>ASSENTAMENTO DE POSTE DE CONCRETO COM COMPRIMENTO NOMINAL DE 12 M, CARGA NOMINAL MENOR OU IGUAL A 1000 DAN, ENGASTAMENTO SIMPLES COM 1,8 M DE SOLO (NÃO INCLUI FORNECIMENTO). AF_04/2025</t>
  </si>
  <si>
    <t>ASSENTAMENTO DE POSTE DE CONCRETO COM COMPRIMENTO NOMINAL DE 13 M, CARGA NOMINAL DE 1000 DAN, ENGASTAMENTO BASE CONCRETADA COM 1 M DE CONCRETO E 0,9 M DE SOLO - SOMENTE INSTALAÇÃO, SEM FORNECIMENTO. AF_04/2025</t>
  </si>
  <si>
    <t>ASSENTAMENTO DE POSTE DE CONCRETO COM COMPRIMENTO NOMINAL DE 13 M, CARGA NOMINAL DE 600 DAN, ENGASTAMENTO BASE CONCRETADA COM 1 M DE CONCRETO E 0,9 M DE SOLO (NÃO INCLUI FORNECIMENTO). AF_04/2025</t>
  </si>
  <si>
    <t>ASSENTAMENTO DE POSTE DE CONCRETO COM COMPRIMENTO NOMINAL DE 13 M, CARGA NOMINAL MAIOR QUE 1000 DAN, ENGASTAMENTO SIMPLES COM 1,9 M DE SOLO (NÃO INCLUI FORNECIMENTO). AF_04/2025</t>
  </si>
  <si>
    <t>ASSENTAMENTO DE POSTE DE CONCRETO COM COMPRIMENTO NOMINAL DE 13 M, CARGA NOMINAL MENOR OU IGUAL A 1000 DAN, ENGASTAMENTO SIMPLES COM 1,9 M DE SOLO (NÃO INCLUI FORNECIMENTO). AF_04/2025</t>
  </si>
  <si>
    <t>ASSENTAMENTO DE POSTE DE CONCRETO COM COMPRIMENTO NOMINAL DE 13,5 M, CARGA NOMINAL MAIOR QUE 1000 DAN, ENGASTAMENTO SIMPLES COM 1,95 M DE SOLO (NÃO INCLUI FORNECIMENTO). AF_04/2025</t>
  </si>
  <si>
    <t>ASSENTAMENTO DE POSTE DE CONCRETO COM COMPRIMENTO NOMINAL DE 13,5 M, CARGA NOMINAL MENOR OU IGUAL A 1000 DAN, ENGASTAMENTO SIMPLES COM 1,95 M DE SOLO (NÃO INCLUI FORNECIMENTO). AF_04/2025</t>
  </si>
  <si>
    <t>ASSENTAMENTO DE POSTE DE CONCRETO COM COMPRIMENTO NOMINAL DE 14 M, CARGA NOMINAL MAIOR QUE 1000 DAN, ENGASTAMENTO SIMPLES COM 2 M DE SOLO (NÃO INCLUI FORNECIMENTO). AF_04/2025</t>
  </si>
  <si>
    <t>ASSENTAMENTO DE POSTE DE CONCRETO COM COMPRIMENTO NOMINAL DE 14 M, CARGA NOMINAL MENOR OU IGUAL A 1000 DAN, ENGASTAMENTO SIMPLES COM 2 M DE SOLO (NÃO INCLUI FORNECIMENTO). AF_04/2025</t>
  </si>
  <si>
    <t>ASSENTAMENTO DE POSTE DE CONCRETO COM COMPRIMENTO NOMINAL DE 15 M, CARGA NOMINAL MAIOR QUE 1000 DAN, ENGASTAMENTO SIMPLES COM 2,1 M DE SOLO (NÃO INCLUI FORNECIMENTO). AF_04/2025</t>
  </si>
  <si>
    <t>ASSENTAMENTO DE POSTE DE CONCRETO COM COMPRIMENTO NOMINAL DE 15 M, CARGA NOMINAL MENOR OU IGUAL A 1000 DAN, ENGASTAMENTO SIMPLES COM 2,1 M DE SOLO (NÃO INCLUI FORNECIMENTO). AF_04/2025</t>
  </si>
  <si>
    <t>ASSENTAMENTO DE POSTE DE CONCRETO COM COMPRIMENTO NOMINAL DE 18 M, CARGA NOMINAL MAIOR QUE 1000 DAN, ENGASTAMENTO SIMPLES COM 2,4 M DE SOLO (NÃO INCLUI FORNECIMENTO). AF_04/2025</t>
  </si>
  <si>
    <t>ASSENTAMENTO DE POSTE DE CONCRETO COM COMPRIMENTO NOMINAL DE 18 M, CARGA NOMINAL MENOR OU IGUAL A 1000 DAN, ENGASTAMENTO SIMPLES COM 2,4 M DE SOLO (NÃO INCLUI FORNECIMENTO). AF_04/2025</t>
  </si>
  <si>
    <t>ASSENTAMENTO DE POSTE DE CONCRETO COM COMPRIMENTO NOMINAL DE 20 M, CARGA NOMINAL MAIOR QUE 1000, ENGASTAMENTO SIMPLES COM 2,6 M DE SOLO (NÃO INCLUI FORNECIMENTO). AF_04/2025</t>
  </si>
  <si>
    <t>ASSENTAMENTO DE POSTE DE CONCRETO COM COMPRIMENTO NOMINAL DE 20 M, CARGA NOMINAL MENOR OU IGUAL A 1000 DAN, ENGASTAMENTO SIMPLES COM 2,6 M DE SOLO (NÃO INCLUI FORNECIMENTO). AF_04/2025</t>
  </si>
  <si>
    <t>ASSENTAMENTO DE POSTE DE CONCRETO COM COMPRIMENTO NOMINAL DE 9 M, CARGA NOMINAL DE 1000 DAN, ENGASTAMENTO BASE CONCRETADA COM 1 M DE CONCRETO E 0,5 M DE SOLO (NÃO INCLUI FORNECIMENTO). AF_04/2025</t>
  </si>
  <si>
    <t>ASSENTAMENTO DE POSTE DE CONCRETO COM COMPRIMENTO NOMINAL DE 9 M, CARGA NOMINAL DE 150 DAN, ENGASTAMENTO BASE CONCRETADA COM 1 M DE CONCRETO E 0,5 M DE SOLO (NÃO INCLUI FORNECIMENTO). AF_04/2025</t>
  </si>
  <si>
    <t>ASSENTAMENTO DE POSTE DE CONCRETO COM COMPRIMENTO NOMINAL DE 9 M, CARGA NOMINAL DE 300 DAN, ENGASTAMENTO BASE CONCRETADA COM 1 M DE CONCRETO E 0,5 M DE SOLO (NÃO INCLUI FORNECIMENTO). AF_04/2025</t>
  </si>
  <si>
    <t>ASSENTAMENTO DE POSTE DE CONCRETO COM COMPRIMENTO NOMINAL DE 9 M, CARGA NOMINAL DE 400 DAN, ENGASTAMENTO BASE CONCRETADA COM 1 M DE CONCRETO E 0,5 M DE SOLO (NÃO INCLUI FORNECIMENTO). AF_04/2025</t>
  </si>
  <si>
    <t>ASSENTAMENTO DE POSTE DE CONCRETO COM COMPRIMENTO NOMINAL DE 9 M, CARGA NOMINAL DE 600 DAN, ENGASTAMENTO BASE CONCRETADA COM 1 M DE CONCRETO E 0,5 M DE SOLO (NÃO INCLUI FORNECIMENTO). AF_04/2025</t>
  </si>
  <si>
    <t>ASSENTAMENTO DE POSTE DE CONCRETO COM COMPRIMENTO NOMINAL DE 9 M, CARGA NOMINAL MENOR OU IGUAL A 1000 DAN, ENGASTAMENTO SIMPLES COM 1,5 M DE SOLO (NÃO INCLUI FORNECIMENTO). AF_04/2025</t>
  </si>
  <si>
    <t>CORDOALHA DE ACO 7,9 (5/16) 7*2,64MM ZINCAGEM TIPO A E 13% DE IACS - FORNECIMENTO E INSTALAÇÃO. AF_04/2025</t>
  </si>
  <si>
    <t>CORDOALHA DE ACO 7,9 (5/16) 7*2,64MM ZINCAGEM TIPO B E 13% DE IACS - FORNECIMENTO E INSTALAÇÃO. AF_04/2025</t>
  </si>
  <si>
    <t>CORDOALHA DE ACO 9,5 (3/8) 7*3,05MM ZINCAGEM TIPO A E 13% DE IACS - FORNECIMENTO E INSTALAÇÃO. AF_04/2025</t>
  </si>
  <si>
    <t>CORDOALHA DE ACO 9,5(3/8) 7*3,05MM ZINCAGEM TIPO B E 13% DE IACS - FORNECIMENTO E INSTALAÇÃO. AF_04/2025</t>
  </si>
  <si>
    <t>ESTRUTURA DE ESTAIAMENTO PARA POSTES DE CONCRETO ANCORA CONCRETO - FORNECIMENTO E INSTALAÇÃO. AF_04/2025</t>
  </si>
  <si>
    <t>ESTRUTURA DE ESTAIAMENTO PARA POSTES DE CONCRETO CRUZETA A POSTE M3 E B3 - FORNECIMENTO E INSTALAÇÃO. AF_04/2025</t>
  </si>
  <si>
    <t>ESTRUTURA DE ESTAIAMENTO PARA POSTES DE CONCRETO CRUZETA A POSTE N3 - FORNECIMENTO E INSTALAÇÃO. AF_04/2025</t>
  </si>
  <si>
    <t>ESTRUTURA DE ESTAIAMENTO PARA POSTES DE CONCRETO HTE - FORNECIMENTO E INSTALAÇÃO. AF_04/2025</t>
  </si>
  <si>
    <t>ESTRUTURA DE ESTAIAMENTO PARA POSTES DE CONCRETO POSTE A POSTE - FORNECIMENTO E INSTALAÇÃO. AF_04/2025</t>
  </si>
  <si>
    <t>POSTE DE AÇO CÔNICO CONTÍNUO CURVO DUPLO, ENGASTAMENTO SIMPLES COM 1 M DE SOLO, H=6M - FORNECIMENTO E INSTALAÇÃO. AF_04/2025</t>
  </si>
  <si>
    <t>POSTE DE AÇO CÔNICO CONTÍNUO CURVO DUPLO, ENGASTAMENTO SIMPLES COM 1 M DE SOLO, H=7M - FORNECIMENTO E INSTALAÇÃO. AF_04/2025</t>
  </si>
  <si>
    <t>POSTE DE AÇO CÔNICO CONTÍNUO CURVO DUPLO, ENGASTAMENTO SIMPLES COM 1 M DE SOLO, H=8M - FORNECIMENTO E INSTALAÇÃO. AF_04/2025</t>
  </si>
  <si>
    <t>POSTE DE AÇO CÔNICO CONTÍNUO CURVO DUPLO, ENGASTAMENTO SIMPLES COM 1 M DE SOLO, H=9M - FORNECIMENTO E INSTALAÇÃO. AF_04/2025</t>
  </si>
  <si>
    <t>POSTE DE AÇO CÔNICO CONTÍNUO CURVO DUPLO, FLANGEADO, H=6M - FORNECIMENTO E INSTALAÇÃO. AF_04/2025</t>
  </si>
  <si>
    <t>POSTE DE AÇO CÔNICO CONTÍNUO CURVO DUPLO, FLANGEADO, H=7M - FORNECIMENTO E INSTALAÇÃO. AF_04/2025</t>
  </si>
  <si>
    <t>POSTE DE AÇO CÔNICO CONTÍNUO CURVO DUPLO, FLANGEADO, H=8M - FORNECIMENTO E INSTALAÇÃO. AF_04/2025</t>
  </si>
  <si>
    <t>POSTE DE AÇO CÔNICO CONTÍNUO CURVO DUPLO, FLANGEADO, H=9M - FORNECIMENTO E INSTALAÇÃO. AF_04/2025</t>
  </si>
  <si>
    <t>POSTE DE AÇO CÔNICO CONTÍNUO CURVO SIMPLES, ENGASTAMENTO SIMPLES COM 0,5 M DE SOLO, H=5M - FORNECIMENTO E INSTALAÇÃO. AF_04/2025</t>
  </si>
  <si>
    <t>POSTE DE AÇO CÔNICO CONTÍNUO CURVO SIMPLES, ENGASTAMENTO SIMPLES COM 1 M DE SOLO, H=6M - FORNECIMENTO E INSTALAÇÃO. AF_04/2025</t>
  </si>
  <si>
    <t>POSTE DE AÇO CÔNICO CONTÍNUO CURVO SIMPLES, ENGASTAMENTO SIMPLES COM 1 M DE SOLO, H=7M - FORNECIMENTO E INSTALAÇÃO. AF_04/2025</t>
  </si>
  <si>
    <t>POSTE DE AÇO CÔNICO CONTÍNUO CURVO SIMPLES, ENGASTAMENTO SIMPLES COM 1 M DE SOLO, H=8M - FORNECIMENTO E INSTALAÇÃO. AF_04/2025</t>
  </si>
  <si>
    <t>POSTE DE AÇO CÔNICO CONTÍNUO CURVO SIMPLES, ENGASTAMENTO SIMPLES COM 1 M DE SOLO, H=9M - FORNECIMENTO E INSTALAÇÃO. AF_04/2025</t>
  </si>
  <si>
    <t>POSTE DE AÇO CÔNICO CONTÍNUO CURVO SIMPLES, FLANGEADO, H=5M - FORNECIMENTO E INSTALAÇÃO. AF_04/2025</t>
  </si>
  <si>
    <t>POSTE DE AÇO CÔNICO CONTÍNUO CURVO SIMPLES, FLANGEADO, H=6M - FORNECIMENTO E INSTALAÇÃO. AF_04/2025</t>
  </si>
  <si>
    <t>POSTE DE AÇO CÔNICO CONTÍNUO CURVO SIMPLES, FLANGEADO, H=7M - FORNECIMENTO E INSTALAÇÃO. AF_04/2025</t>
  </si>
  <si>
    <t>POSTE DE AÇO CÔNICO CONTÍNUO CURVO SIMPLES, FLANGEADO, H=8M - FORNECIMENTO E INSTALAÇÃO. AF_04/2025</t>
  </si>
  <si>
    <t>POSTE DE AÇO CÔNICO CONTÍNUO CURVO SIMPLES, FLANGEADO, H=9M - FORNECIMENTO E INSTALAÇÃO. AF_04/2025</t>
  </si>
  <si>
    <t>POSTE DE AÇO CÔNICO CONTÍNUO RETO, ENGASTAMENTO SIMPLES COM 0,5 M DE SOLO, H=5M - FORNECIMENTO E INSTALAÇÃO. AF_04/2025</t>
  </si>
  <si>
    <t>POSTE DE AÇO CÔNICO CONTÍNUO RETO, ENGASTAMENTO SIMPLES COM 1 M DE SOLO, H=6M - FORNECIMENTO E INSTALAÇÃO. AF_04/2025</t>
  </si>
  <si>
    <t>POSTE DE AÇO CÔNICO CONTÍNUO RETO, ENGASTAMENTO SIMPLES COM 1 M DE SOLO, H=7M - FORNECIMENTO E INSTALAÇÃO. AF_04/2025</t>
  </si>
  <si>
    <t>POSTE DE AÇO CÔNICO CONTÍNUO RETO, ENGASTAMENTO SIMPLES COM 1 M DE SOLO, H=8M - FORNECIMENTO E INSTALAÇÃO. AF_04/2025</t>
  </si>
  <si>
    <t>POSTE DE AÇO CÔNICO CONTÍNUO RETO, ENGASTAMENTO SIMPLES COM 1 M DE SOLO, H=9M - FORNECIMENTO E INSTALAÇÃO. AF_04/2025</t>
  </si>
  <si>
    <t>POSTE DE AÇO CÔNICO CONTÍNUO RETO, FLANGEADO, H=5M - FORNECIMENTO E INSTALAÇÃO. AF_04/2025</t>
  </si>
  <si>
    <t>POSTE DE AÇO CÔNICO CONTÍNUO RETO, FLANGEADO, H=6M - FORNECIMENTO E INSTALAÇÃO. AF_04/2025</t>
  </si>
  <si>
    <t>POSTE DE AÇO CÔNICO CONTÍNUO RETO, FLANGEADO, H=7M - FORNECIMENTO E INSTALAÇÃO. AF_04/2025</t>
  </si>
  <si>
    <t>POSTE DE AÇO CÔNICO CONTÍNUO RETO, FLANGEADO, H=8M - FORNECIMENTO E INSTALAÇÃO. AF_04/2025</t>
  </si>
  <si>
    <t>POSTE DE AÇO CÔNICO CONTÍNUO RETO, FLANGEADO, H=9M - FORNECIMENTO E INSTALAÇÃO. AF_04/2025</t>
  </si>
  <si>
    <t>POSTE DECORATIVO PARA JARDIM EM AÇO TUBULAR, H = *2,5* M, SEM LUMINÁRIA - FORNECIMENTO E INSTALAÇÃO. AF_04/2025</t>
  </si>
  <si>
    <t>ACRÉSCIMO PARA POÇO DE VISITA CIRCULAR PARA ESGOTO, EM ALVENARIA COM TIJOLOS CERÂMICOS MACIÇOS, DIÂMETRO INTERNO = 1 M. AF_12/2020</t>
  </si>
  <si>
    <t>ACRÉSCIMO PARA POÇO DE VISITA CIRCULAR PARA ESGOTO, EM ALVENARIA COM TIJOLOS CERÂMICOS MACIÇOS, DIÂMETRO INTERNO = 1,5 M. AF_12/2020</t>
  </si>
  <si>
    <t>ACRÉSCIMO PARA POÇO DE VISITA CIRCULAR PARA ESGOTO, EM CONCRETO PRÉ-MOLDADO, DIÂMETRO INTERNO = 1,5 M. AF_12/2020</t>
  </si>
  <si>
    <t>BASE PARA POÇO DE VISITA CIRCULAR PARA ESGOTO, EM ALVENARIA COM TIJOLOS CERÂMICOS MACIÇOS, DIÂMETRO INTERNO = 0,80 M, PROFUNDIDADE = 1,40 M, EXCLUINDO TAMPÃO. AF_12/2020</t>
  </si>
  <si>
    <t>BASE PARA POÇO DE VISITA CIRCULAR PARA ESGOTO, EM ALVENARIA COM TIJOLOS CERÂMICOS MACIÇOS, DIÂMETRO INTERNO = 1,0 M, PROFUNDIDADE = 1,40 M, EXCLUINDO TAMPÃO. AF_12/2020</t>
  </si>
  <si>
    <t>BASE PARA POÇO DE VISITA CIRCULAR PARA ESGOTO, EM ALVENARIA COM TIJOLOS CERÂMICOS MACIÇOS, DIÂMETRO INTERNO = 1,20 M, PROFUNDIDADE = 1,40 M, EXCLUINDO TAMPÃO. AF_12/2020</t>
  </si>
  <si>
    <t>BASE PARA POÇO DE VISITA CIRCULAR PARA ESGOTO, EM CONCRETO PRÉ-MOLDADO, DIÂMETRO INTERNO = 1,20 M, PROFUNDIDADE = 1,60 M, EXCLUINDO TAMPÃO. AF_12/2020</t>
  </si>
  <si>
    <t>BASE PARA POÇO DE VISITA CIRCULAR PARA ESGOTO, EM CONCRETO PRÉ-MOLDADO, DIÂMETRO INTERNO = 1,50 M, PROFUNDIDADE = 1,35 M, EXCLUINDO TAMPÃO. AF_12/2020</t>
  </si>
  <si>
    <t>BASE PARA POÇO DE VISITA RETANGULAR PARA ESGOTO, EM ALVENARIA COM BLOCOS DE CONCRETO, DIMENSÕES INTERNAS = 1X1 M, PROFUNDIDADE = 1,40 M, EXCLUINDO TAMPÃO. AF_12/2020</t>
  </si>
  <si>
    <t>CHUMBAMENTO PONTUAL DE ABERTURA EM LAJE COM PASSAGEM DE 1 TUBO COM DIÂMETRO DE 50 MM. AF_09/2023</t>
  </si>
  <si>
    <t>CHUMBAMENTO PONTUAL DE ABERTURA EM LAJE COM PASSAGEM DE 5 TUBOS COM DIÂMETROS DE 50 MM. AF_09/2023</t>
  </si>
  <si>
    <t>FIXAÇÃO DE DUTOS FLEXÍVEIS CIRCULARES, DIÂMETRO 109 MM OU 4", COM ABRAÇADEIRA METÁLICA FLEXÍVEL FIXADA DIRETAMENTE NA LAJE, SOMENTE MÃO DE OBRA. AF_09/2023</t>
  </si>
  <si>
    <t>FIXAÇÃO DE DUTOS FLEXÍVEIS CIRCULARES, DIÂMETRO 109 MM OU 4", COM ABRAÇADEIRA METÁLICA FLEXÍVEL FIXADA DIRETAMENTE NA LAJE. AF_09/2023</t>
  </si>
  <si>
    <t>FIXAÇÃO DE TUBOS HORIZONTAIS DE PPR DIÂMETROS MENORES OU IGUAIS A 40 MM, COM ABRAÇADEIRA METÁLICA RÍGIDA TIPO D COM PARAFUSO DE FIXAÇÃO 1 1/4", FIXADA DIRETAMENTE NA LAJE OU PAREDE. AF_09/2023</t>
  </si>
  <si>
    <t>FIXAÇÃO DE TUBOS HORIZONTAIS DE PVC ÁGUA/PVC ESGOTO/PVC PLUVIAL/CPVC/PPR/COBRE OU AÇO, DIÂMETROS MAIORES QUE 40 MM E MENORES OU IGUAIS A 75 MM, COM ABRAÇADEIRA TIPO D COM PARAFUSO DE FIXAÇÃO 2 1/2", FIXADA DIRETAMENTE NA LAJE OU PAREDE. AF_09/2023</t>
  </si>
  <si>
    <t>FIXAÇÃO DE TUBOS HORIZONTAIS DE PVC ÁGUA/PVC ESGOTO/PVC PLUVIAL/CPVC/PPR/COBRE OU AÇO, DIÂMETROS MAIORES QUE 75 MM E MENORES OU IGUAIS A 100 MM, COM ABRAÇADEIRA TIPO D COM PARAFUSO DE FIXAÇÃO 4", FIXADA DIRETAMENTE NA LAJE OU PAREDE. AF_09/2023</t>
  </si>
  <si>
    <t>FIXAÇÃO DE TUBOS HORIZONTAIS DE PVC ÁGUA/PVC ESGOTO/PVC PLUVIAL/CPVC/PPR/COBRE OU AÇO, DIÂMETROS MENORES OU IGUAIS A 40 MM, COM ABRAÇADEIRA METÁLICA RÍGIDA TIPO D COM PARAFUSO DE FIXAÇÃO 1 1/4", FIXADA DIRETAMENTE NA LAJE OU PAREDE. AF_09/2023</t>
  </si>
  <si>
    <t>REASSENTAMENTO DE BLOCOS 16 FACES PARA PISO INTERTRAVADO, ESPESSURA DE 4 CM, EM CALÇADA, COM REAPROVEITAMENTO DOS BLOCOS 16 FACES - INCLUSO RETIRADA E COLOCAÇÃO DO MATERIAL. AF_12/2020</t>
  </si>
  <si>
    <t>REASSENTAMENTO DE BLOCOS RETANGULAR PARA PISO INTERTRAVADO, ESPESSURA DE 4 CM, EM CALÇADA, COM REAPROVEITAMENTO DOS BLOCOS RETANGULAR - INCLUSO RETIRADA E COLOCAÇÃO DO MATERIAL. AF_12/2020</t>
  </si>
  <si>
    <t>REASSENTAMENTO DE PEDRAS POLIÉDRICAS, REJUNTAMENTO COM PÓ DE PEDRA, COM REAPROVEITAMENTO DAS PEDRAS POLIÉDRICAS - INCLUSO RETIRADA E COLOCAÇÃO DO MATERIAL. AF_12/2020</t>
  </si>
  <si>
    <t>REVESTIMENTO CERÂMICO PARA PAREDES EXTERNAS, COM PLACAS TIPO GRÊS OU SEMIGRÊS, FORMATO MENOR OU IGUAL A 200 CM2, ALINHADAS A PRUMO, APLICADO EM SUPERFÍCIES INTERNAS DE SACADA. AF_02/2023</t>
  </si>
  <si>
    <t>REVESTIMENTO CERÂMICO PARA PAREDES EXTERNAS, COM PLACAS TIPO GRÊS OU SEMIGRÊS, FORMATO MENOR OU IGUAL A 200 CM2, DISPOSTAS EM AMARRAÇÃO, APLICADO EM SUPERFÍCIES INTERNAS DE SACADA. AF_02/2023</t>
  </si>
  <si>
    <t>REVESTIMENTO CERÂMICO PARA PAREDES INTERNAS COM PLACAS TIPO ESMALTADA DE DIMENSÕES 20X20 CM APLICADAS NA ALTURA INTEIRA DAS PAREDES. AF_02/2023_PE</t>
  </si>
  <si>
    <t>FORNECIMENTO E INSTALAÇÃO DE SUPORTE DE MADEIRA PARA PLACAS DE SINALIZAÇÃO, EM SOLO, COM H= DE 2,5 M E SEÇÃO DE 7,5 X 7,5 CM. AF_03/2022</t>
  </si>
  <si>
    <t>BASE METÁLICA PARA MASTRO 1 ½" PARA SPDA - FORNECIMENTO E INSTALAÇÃO. AF_08/2023</t>
  </si>
  <si>
    <t>HIDRÔMETRO DN 2", 30 M³/H - FORNECIMENTO E INSTALAÇÃO. AF_03/2024</t>
  </si>
  <si>
    <t>RETIRADA E RECOLOCAÇÃO DE TELHA CERÂMICA CAPA-CANAL, COM ATÉ DUAS ÁGUAS, INCLUSO IÇAMENTO. AF_07/2019</t>
  </si>
  <si>
    <t>RETIRADA E RECOLOCAÇÃO DE TELHA CERÂMICA CAPA-CANAL, COM MAIS DE DUAS ÁGUAS, INCLUSO IÇAMENTO. AF_07/2019</t>
  </si>
  <si>
    <t>RETIRADA E RECOLOCAÇÃO DE TELHA CERÂMICA DE ENCAIXE, COM ATÉ DUAS ÁGUAS, INCLUSO IÇAMENTO. AF_07/2019</t>
  </si>
  <si>
    <t>RETIRADA E RECOLOCAÇÃO DE TELHA CERÂMICA DE ENCAIXE, COM MAIS DE DUAS ÁGUAS, INCLUSO IÇAMENTO. AF_07/2019</t>
  </si>
  <si>
    <t>ASSENTAMENTO DE CONEXÃO COM 1 ACESSO, FERRO FUNDIDO PARA REDE DE ÁGUA, DN 100 MM, JUNTA FLANGEADA (NÃO INCLUI O FORNECIMENTO). AF_09/2021</t>
  </si>
  <si>
    <t>ASSENTAMENTO DE CONEXÃO COM 1 ACESSO, FERRO FUNDIDO PARA REDE DE ÁGUA, DN 1000 MM, JUNTA FLANGEADA (NÃO INCLUI O FORNECIMENTO). AF_09/2021</t>
  </si>
  <si>
    <t>ASSENTAMENTO DE CONEXÃO COM 1 ACESSO, FERRO FUNDIDO PARA REDE DE ÁGUA, DN 1200 MM, JUNTA FLANGEADA (NÃO INCLUI O FORNECIMENTO). AF_09/2021</t>
  </si>
  <si>
    <t>ASSENTAMENTO DE CONEXÃO COM 1 ACESSO, FERRO FUNDIDO PARA REDE DE ÁGUA, DN 150 MM, JUNTA FLANGEADA (NÃO INCLUI O FORNECIMENTO). AF_09/2021</t>
  </si>
  <si>
    <t>ASSENTAMENTO DE CONEXÃO COM 1 ACESSO, FERRO FUNDIDO PARA REDE DE ÁGUA, DN 200 MM, JUNTA FLANGEADA (NÃO INCLUI O FORNECIMENTO). AF_09/2021</t>
  </si>
  <si>
    <t>ASSENTAMENTO DE CONEXÃO COM 1 ACESSO, FERRO FUNDIDO PARA REDE DE ÁGUA, DN 250 MM, JUNTA FLANGEADA (NÃO INCLUI O FORNECIMENTO). AF_09/2021</t>
  </si>
  <si>
    <t>ASSENTAMENTO DE CONEXÃO COM 1 ACESSO, FERRO FUNDIDO PARA REDE DE ÁGUA, DN 300 MM, JUNTA FLANGEADA (NÃO INCLUI O FORNECIMENTO). AF_09/2021</t>
  </si>
  <si>
    <t>ASSENTAMENTO DE CONEXÃO COM 1 ACESSO, FERRO FUNDIDO PARA REDE DE ÁGUA, DN 350 MM, JUNTA FLANGEADA (NÃO INCLUI O FORNECIMENTO). AF_09/2021</t>
  </si>
  <si>
    <t>ASSENTAMENTO DE CONEXÃO COM 1 ACESSO, FERRO FUNDIDO PARA REDE DE ÁGUA, DN 400 MM, JUNTA FLANGEADA (NÃO INCLUI O FORNECIMENTO). AF_09/2021</t>
  </si>
  <si>
    <t>ASSENTAMENTO DE CONEXÃO COM 1 ACESSO, FERRO FUNDIDO PARA REDE DE ÁGUA, DN 450 MM, JUNTA FLANGEADA (NÃO INCLUI O FORNECIMENTO). AF_09/2021</t>
  </si>
  <si>
    <t>ASSENTAMENTO DE CONEXÃO COM 1 ACESSO, FERRO FUNDIDO PARA REDE DE ÁGUA, DN 500 MM, JUNTA FLANGEADA (NÃO INCLUI O FORNECIMENTO). AF_09/2021</t>
  </si>
  <si>
    <t>ASSENTAMENTO DE CONEXÃO COM 1 ACESSO, FERRO FUNDIDO PARA REDE DE ÁGUA, DN 600 MM, JUNTA FLANGEADA (NÃO INCLUI O FORNECIMENTO). AF_09/2021</t>
  </si>
  <si>
    <t>ASSENTAMENTO DE CONEXÃO COM 1 ACESSO, FERRO FUNDIDO PARA REDE DE ÁGUA, DN 700 MM, JUNTA FLANGEADA (NÃO INCLUI O FORNECIMENTO). AF_09/2021</t>
  </si>
  <si>
    <t>ASSENTAMENTO DE CONEXÃO COM 1 ACESSO, FERRO FUNDIDO PARA REDE DE ÁGUA, DN 80 MM, JUNTA FLANGEADA (NÃO INCLUI O FORNECIMENTO). AF_09/2021</t>
  </si>
  <si>
    <t>ASSENTAMENTO DE CONEXÃO COM 1 ACESSO, FERRO FUNDIDO PARA REDE DE ÁGUA, DN 800 MM, JUNTA FLANGEADA (NÃO INCLUI O FORNECIMENTO). AF_09/2021</t>
  </si>
  <si>
    <t>ASSENTAMENTO DE CONEXÃO COM 1 ACESSO, FERRO FUNDIDO PARA REDE DE ÁGUA, DN 900 MM, JUNTA FLANGEADA (NÃO INCLUI O FORNECIMENTO). AF_09/2021</t>
  </si>
  <si>
    <t>ASSENTAMENTO DE CONEXÃO COM 2 ACESSOS, FERRO FUNDIDO PARA REDE DE ÁGUA, DN 100 MM, JUNTA FLANGEADA (NÃO INCLUI O FORNECIMENTO). AF_09/2021</t>
  </si>
  <si>
    <t>ASSENTAMENTO DE CONEXÃO COM 2 ACESSOS, FERRO FUNDIDO PARA REDE DE ÁGUA, DN 1000 MM, JUNTA FLANGEADA (NÃO INCLUI O FORNECIMENTO). AF_09/2021</t>
  </si>
  <si>
    <t>ASSENTAMENTO DE CONEXÃO COM 2 ACESSOS, FERRO FUNDIDO PARA REDE DE ÁGUA, DN 1200 MM, JUNTA FLANGEADA (NÃO INCLUI O FORNECIMENTO). AF_09/2021</t>
  </si>
  <si>
    <t>ASSENTAMENTO DE CONEXÃO COM 2 ACESSOS, FERRO FUNDIDO PARA REDE DE ÁGUA, DN 150 MM, JUNTA FLANGEADA (NÃO INCLUI O FORNECIMENTO). AF_09/2021</t>
  </si>
  <si>
    <t>ASSENTAMENTO DE CONEXÃO COM 2 ACESSOS, FERRO FUNDIDO PARA REDE DE ÁGUA, DN 200 MM, JUNTA FLANGEADA (NÃO INCLUI O FORNECIMENTO). AF_09/2021</t>
  </si>
  <si>
    <t>ASSENTAMENTO DE CONEXÃO COM 2 ACESSOS, FERRO FUNDIDO PARA REDE DE ÁGUA, DN 250 MM, JUNTA FLANGEADA (NÃO INCLUI O FORNECIMENTO). AF_09/2021</t>
  </si>
  <si>
    <t>ASSENTAMENTO DE CONEXÃO COM 2 ACESSOS, FERRO FUNDIDO PARA REDE DE ÁGUA, DN 300 MM, JUNTA FLANGEADA (NÃO INCLUI O FORNECIMENTO). AF_09/2021</t>
  </si>
  <si>
    <t>ASSENTAMENTO DE CONEXÃO COM 2 ACESSOS, FERRO FUNDIDO PARA REDE DE ÁGUA, DN 350 MM, JUNTA FLANGEADA (NÃO INCLUI O FORNECIMENTO). AF_09/2021</t>
  </si>
  <si>
    <t>ASSENTAMENTO DE CONEXÃO COM 2 ACESSOS, FERRO FUNDIDO PARA REDE DE ÁGUA, DN 400 MM, JUNTA FLANGEADA (NÃO INCLUI O FORNECIMENTO). AF_09/2021</t>
  </si>
  <si>
    <t>ASSENTAMENTO DE CONEXÃO COM 2 ACESSOS, FERRO FUNDIDO PARA REDE DE ÁGUA, DN 450 MM, JUNTA FLANGEADA (NÃO INCLUI O FORNECIMENTO). AF_09/2021</t>
  </si>
  <si>
    <t>ASSENTAMENTO DE CONEXÃO COM 2 ACESSOS, FERRO FUNDIDO PARA REDE DE ÁGUA, DN 500 MM, JUNTA FLANGEADA (NÃO INCLUI O FORNECIMENTO). AF_09/2021</t>
  </si>
  <si>
    <t>ASSENTAMENTO DE CONEXÃO COM 2 ACESSOS, FERRO FUNDIDO PARA REDE DE ÁGUA, DN 600 MM, JUNTA FLANGEADA (NÃO INCLUI O FORNECIMENTO). AF_09/2021</t>
  </si>
  <si>
    <t>ASSENTAMENTO DE CONEXÃO COM 2 ACESSOS, FERRO FUNDIDO PARA REDE DE ÁGUA, DN 700 MM, JUNTA FLANGEADA (NÃO INCLUI O FORNECIMENTO). AF_09/2021</t>
  </si>
  <si>
    <t>ASSENTAMENTO DE CONEXÃO COM 2 ACESSOS, FERRO FUNDIDO PARA REDE DE ÁGUA, DN 80 MM, JUNTA FLANGEADA (NÃO INCLUI O FORNECIMENTO). AF_09/2021</t>
  </si>
  <si>
    <t>ASSENTAMENTO DE CONEXÃO COM 2 ACESSOS, FERRO FUNDIDO PARA REDE DE ÁGUA, DN 800 MM, JUNTA FLANGEADA (NÃO INCLUI O FORNECIMENTO). AF_09/2021</t>
  </si>
  <si>
    <t>ASSENTAMENTO DE CONEXÃO COM 2 ACESSOS, FERRO FUNDIDO PARA REDE DE ÁGUA, DN 900 MM, JUNTA FLANGEADA (NÃO INCLUI O FORNECIMENTO). AF_09/2021</t>
  </si>
  <si>
    <t>ASSENTAMENTO DE CONEXÃO COM 3 ACESSOS, FERRO FUNDIDO PARA REDE DE ÁGUA, DN 100 MM, JUNTA FLANGEADA (NÃO INCLUI O FORNECIMENTO). AF_09/2021</t>
  </si>
  <si>
    <t>ASSENTAMENTO DE CONEXÃO COM 3 ACESSOS, FERRO FUNDIDO PARA REDE DE ÁGUA, DN 1000 MM, JUNTA FLANGEADA (NÃO INCLUI O FORNECIMENTO). AF_09/2021</t>
  </si>
  <si>
    <t>ASSENTAMENTO DE CONEXÃO COM 3 ACESSOS, FERRO FUNDIDO PARA REDE DE ÁGUA, DN 1200 MM, JUNTA FLANGEADA (NÃO INCLUI O FORNECIMENTO). AF_09/2021</t>
  </si>
  <si>
    <t>ASSENTAMENTO DE CONEXÃO COM 3 ACESSOS, FERRO FUNDIDO PARA REDE DE ÁGUA, DN 150 MM, JUNTA FLANGEADA (NÃO INCLUI O FORNECIMENTO). AF_09/2021</t>
  </si>
  <si>
    <t>ASSENTAMENTO DE CONEXÃO COM 3 ACESSOS, FERRO FUNDIDO PARA REDE DE ÁGUA, DN 200 MM, JUNTA FLANGEADA (NÃO INCLUI O FORNECIMENTO). AF_09/2021</t>
  </si>
  <si>
    <t>ASSENTAMENTO DE CONEXÃO COM 3 ACESSOS, FERRO FUNDIDO PARA REDE DE ÁGUA, DN 250 MM, JUNTA FLANGEADA (NÃO INCLUI O FORNECIMENTO). AF_09/2021</t>
  </si>
  <si>
    <t>ASSENTAMENTO DE CONEXÃO COM 3 ACESSOS, FERRO FUNDIDO PARA REDE DE ÁGUA, DN 300 MM, JUNTA FLANGEADA (NÃO INCLUI O FORNECIMENTO). AF_09/2021</t>
  </si>
  <si>
    <t>ASSENTAMENTO DE CONEXÃO COM 3 ACESSOS, FERRO FUNDIDO PARA REDE DE ÁGUA, DN 350 MM, JUNTA FLANGEADA (NÃO INCLUI O FORNECIMENTO). AF_09/2021</t>
  </si>
  <si>
    <t>ASSENTAMENTO DE CONEXÃO COM 3 ACESSOS, FERRO FUNDIDO PARA REDE DE ÁGUA, DN 400 MM, JUNTA FLANGEADA (NÃO INCLUI O FORNECIMENTO). AF_09/2021</t>
  </si>
  <si>
    <t>ASSENTAMENTO DE CONEXÃO COM 3 ACESSOS, FERRO FUNDIDO PARA REDE DE ÁGUA, DN 450 MM, JUNTA FLANGEADA (NÃO INCLUI O FORNECIMENTO). AF_09/2021</t>
  </si>
  <si>
    <t>ASSENTAMENTO DE CONEXÃO COM 3 ACESSOS, FERRO FUNDIDO PARA REDE DE ÁGUA, DN 500 MM, JUNTA FLANGEADA (NÃO INCLUI O FORNECIMENTO). AF_09/2021</t>
  </si>
  <si>
    <t>ASSENTAMENTO DE CONEXÃO COM 3 ACESSOS, FERRO FUNDIDO PARA REDE DE ÁGUA, DN 600 MM, JUNTA FLANGEADA (NÃO INCLUI O FORNECIMENTO). AF_09/2021</t>
  </si>
  <si>
    <t>ASSENTAMENTO DE CONEXÃO COM 3 ACESSOS, FERRO FUNDIDO PARA REDE DE ÁGUA, DN 700 MM, JUNTA FLANGEADA (NÃO INCLUI O FORNECIMENTO). AF_09/2021</t>
  </si>
  <si>
    <t>ASSENTAMENTO DE CONEXÃO COM 3 ACESSOS, FERRO FUNDIDO PARA REDE DE ÁGUA, DN 80 MM, JUNTA FLANGEADA (NÃO INCLUI O FORNECIMENTO). AF_09/2021</t>
  </si>
  <si>
    <t>ASSENTAMENTO DE CONEXÃO COM 3 ACESSOS, FERRO FUNDIDO PARA REDE DE ÁGUA, DN 800 MM, JUNTA FLANGEADA (NÃO INCLUI O FORNECIMENTO). AF_09/2021</t>
  </si>
  <si>
    <t>ASSENTAMENTO DE CONEXÃO COM 3 ACESSOS, FERRO FUNDIDO PARA REDE DE ÁGUA, DN 900 MM, JUNTA FLANGEADA (NÃO INCLUI O FORNECIMENTO). AF_09/2021</t>
  </si>
  <si>
    <t>REGISTRO DE ESFERA, PVC, SOLDÁVEL, COM VOLANTE, DN 20 MM - FORNECIMENTO E INSTALAÇÃO. AF_08/2021</t>
  </si>
  <si>
    <t>REGISTRO DE ESFERA, PVC, SOLDÁVEL, COM VOLANTE, DN 25 MM - FORNECIMENTO E INSTALAÇÃO. AF_08/2021</t>
  </si>
  <si>
    <t>REGISTRO DE ESFERA, PVC, SOLDÁVEL, COM VOLANTE, DN 32 MM - FORNECIMENTO E INSTALAÇÃO. AF_08/2021</t>
  </si>
  <si>
    <t>REGISTRO DE ESFERA, PVC, SOLDÁVEL, COM VOLANTE, DN 40 MM - FORNECIMENTO E INSTALAÇÃO. AF_08/2021</t>
  </si>
  <si>
    <t>REGISTRO DE ESFERA, PVC, SOLDÁVEL, COM VOLANTE, DN 50 MM - FORNECIMENTO E INSTALAÇÃO. AF_08/2021</t>
  </si>
  <si>
    <t>REGISTRO DE ESFERA, PVC, SOLDÁVEL, COM VOLANTE, DN 60 MM - FORNECIMENTO E INSTALAÇÃO. AF_08/2021</t>
  </si>
  <si>
    <t>REGISTRO DE PRESSÃO BRUTO, LATÃO, ROSCÁVEL, 3/4'' - FORNECIMENTO E INSTALAÇÃO. AF_08/2021</t>
  </si>
  <si>
    <t>REGISTRO DE PRESSÃO, PVC, SOLDÁVEL, VOLANTE SIMPLES, DN 20 MM - FORNECIMENTO E INSTALAÇÃO. AF_08/2021</t>
  </si>
  <si>
    <t>REGISTRO DE PRESSÃO, PVC, SOLDÁVEL, VOLANTE SIMPLES, DN 25 MM - FORNECIMENTO E INSTALAÇÃO. AF_08/2021</t>
  </si>
  <si>
    <t>SUBSTITUIÇÃO DE REGISTRO OU VÁLVULA, ROSCÁVEL, DN 20 MM. AF_08/2021</t>
  </si>
  <si>
    <t>SUBSTITUIÇÃO DE REGISTRO OU VÁLVULA, ROSCÁVEL, DN 25 MM. AF_08/2021</t>
  </si>
  <si>
    <t>SUBSTITUIÇÃO DE REGISTRO OU VÁLVULA, ROSCÁVEL, DN 32 MM. AF_08/2021</t>
  </si>
  <si>
    <t>VÁLVULA DE RETENÇÃO HORIZONTAL, DE BRONZE, ROSCÁVEL, 1 1/2" - FORNECIMENTO E INSTALAÇÃO. AF_08/2021</t>
  </si>
  <si>
    <t>VÁLVULA DE RETENÇÃO HORIZONTAL, DE BRONZE, ROSCÁVEL, 2" - FORNECIMENTO E INSTALAÇÃO. AF_08/2021</t>
  </si>
  <si>
    <t>Código do
Insumo</t>
  </si>
  <si>
    <t>Descrição do Insumo</t>
  </si>
  <si>
    <t>Origem de
Preço</t>
  </si>
  <si>
    <t>SP</t>
  </si>
  <si>
    <t>CR</t>
  </si>
  <si>
    <t>ALICATE BICO LONGO (MEIA CANA) 6", COM ISOLAMENTO ATE 1000 V</t>
  </si>
  <si>
    <t>ALICATE DESENCAPADOR AUTOMATICO 8"</t>
  </si>
  <si>
    <t>ALICATE PROFISSIONAL 8", UNIVERSAL, COM ISOLAMENTO ATE 1000 V</t>
  </si>
  <si>
    <t>ARCO DE SERRA REGULAVEL PARA LAMINAS DE 8" A 12"</t>
  </si>
  <si>
    <t>AVENTAL EM PVC, FORRADO, *0,3* MM DE ESPESSURA, *1,15 X 0,70* M (COMPRIMENTO X LARGURA), 100% IMPERMEAVEL</t>
  </si>
  <si>
    <t>BALANCIM INDIVIDUAL, TIPO CADEIRA SUSPENSA SOBE E DESCE</t>
  </si>
  <si>
    <t>CAIXA DE INSPECAO PARA ATERRAMENTO E PARA RAIOS, EM POLIPROPILENO, DIAMETRO = 300 MM X ALTURA = 400 MM (INCLUIDA TAMPA SEM ESCOTILHA)</t>
  </si>
  <si>
    <t>CAIXA DE INSPECAO PARA ATERRAMENTO OU OUTRO USO, EM PVC, DN = 250 X 250 MM (INCLUIDA TAMPA EM FERRO FUNDIDO SEM ESCOTILHA)</t>
  </si>
  <si>
    <t>CAIXA DE INSPECAO PARA ATERRAMENTO OU OUTRO USO, EM PVC, DN = 300 X *300* MM (INCLUIDA TAMPA EM FERRO FUNDIDO SEM ESCOTILHA)</t>
  </si>
  <si>
    <t>CAIXA DE INSPECAO PARA ATERRAMENTO OU OUTRO USO, EM PVC, DN = 300 X 250 MM (INCLUIDA TAMPA EM FERRO FUNDIDO SEM ESCOTILHA)</t>
  </si>
  <si>
    <t>CAIXA DE INSPECAO PARA ATERRAMENTO OU OUTRO USO, EM PVC, DN = 300 X 600 MM (INCLUIDA TAMPA EM FERRO FUNDIDO SEM ESCOTILHA)</t>
  </si>
  <si>
    <t>CAVALETE DE FERRO DOBRAVEL, ALTURA 80 CM</t>
  </si>
  <si>
    <t>CHAVE AJUSTAVEL (INGLESA) 10"</t>
  </si>
  <si>
    <t>CHAVE AJUSTAVEL (INGLESA) 15"</t>
  </si>
  <si>
    <t>CHAVE AJUSTAVEL (INGLESA) 6"</t>
  </si>
  <si>
    <t>CHAVE DE GRIFO DE 24"</t>
  </si>
  <si>
    <t>CHAVE FIXA 19 X 22 MM</t>
  </si>
  <si>
    <t>COLHER DE PEDREIRO 9", EM ACO, COM CANTOS REDONDOS E CABO DE MADEIRA OU PLASTICO</t>
  </si>
  <si>
    <t>CORTA-TUBOS COM CAPACIDADE DE 6 A 42 MM</t>
  </si>
  <si>
    <t>FILTRO QUIMICO PARA RESPIRADOR SEMI FACIAL, PROTECAO CONTRA VAPORES ORGANICOS E GASES ACIDOS</t>
  </si>
  <si>
    <t>FORMAO CHANFRADO 1", CABO DE MADEIRA</t>
  </si>
  <si>
    <t>GRAMPO DE APERTO RAPIDO 18"</t>
  </si>
  <si>
    <t>JOGO SERRA COPO COM 6 SERRAS, DIAMETRO VARIANDO DE 15 MM A 60 MM</t>
  </si>
  <si>
    <t>LIMA QUADRADA BASTARDA 8", COM CABO</t>
  </si>
  <si>
    <t>LIMA REDONDA BASTARDA 8", COM CABO</t>
  </si>
  <si>
    <t>LUVAS DE PVC, COM COMPRIMENTO DE *35* CM, FORRADAS, ACABAMENTO ASPERO ANTIDERRAPANTE NA FACE PALMAR</t>
  </si>
  <si>
    <t>MARRETA DE ACO, OITAVADA, 500 G, COM CABO DE MADEIRA</t>
  </si>
  <si>
    <t>MARTELO DE PEDREIRO, 1 CORTE, EM ACO, *500* G, COMPRIMENTO TOTAL DE *28* CM, COM CABO DE MADEIRA</t>
  </si>
  <si>
    <t>OCULOS DE SOLDA COM ESCURECIMENTO AUTOMATICO</t>
  </si>
  <si>
    <t>PERNEIRA DE RASPA COM VELCRO</t>
  </si>
  <si>
    <t>PONTEIRO DE ACO, LISO, REDONDO, 3/4" X 10"</t>
  </si>
  <si>
    <t>PROTETOR FACIAL DE POLICARBONATO, 200 MM X *390* MM, COM COROA E CARNEIRA</t>
  </si>
  <si>
    <t>RESPIRADOR / MASCARA SEMI FACIAL COM UMA VALVULA DE INALACAO E DUAS DE EXALACAO, PROTECAO CONTRA VAPORES ORGANICOS E GASES ACIDOS (1 FILTRO INCLUIDO)</t>
  </si>
  <si>
    <t>RISCADOR DE FORMICA COM COMPRIMENTO *16* CM E ALTURA *5* CM</t>
  </si>
  <si>
    <t>SERROTE PROFISSIONAL EM ACO TEMPERADO 20", CABO DE MADEIRA</t>
  </si>
  <si>
    <t>TALHADEIRA CHATA, DE ACO, 10"</t>
  </si>
  <si>
    <t>TORNO/MORSA DE BANCADA NUMERO 4</t>
  </si>
  <si>
    <t>UNIFORME PROFISSIONAL DE BRIM, CALCA E CAMISA MANGA LONGA COM FAIXA REFLETIVA</t>
  </si>
  <si>
    <t>Custo Unit. Encargos da MO nas CPUs</t>
  </si>
  <si>
    <t>O.12.000.061040</t>
  </si>
  <si>
    <t>O.16.000.067008</t>
  </si>
  <si>
    <t>Abrigo para hidrante de recalque em chapa de aço 40x40x20cm, com pintura eletrostática, de embutir e fixação interno</t>
  </si>
  <si>
    <t>Q.01.000.029079</t>
  </si>
  <si>
    <t>Plataforma para elevação até 4,00m, nas dimensões 1100x1400mm, porta de 900mm, capacidade mínima 325kg</t>
  </si>
  <si>
    <t>PLANILHA SINTÉTICA DE SERVIÇOS</t>
  </si>
  <si>
    <r>
      <t xml:space="preserve">Altere a taxa de Encargos Socias na Célula </t>
    </r>
    <r>
      <rPr>
        <b/>
        <sz val="8"/>
        <color rgb="FFFF0000"/>
        <rFont val="Arial"/>
        <family val="2"/>
      </rPr>
      <t>J2</t>
    </r>
    <r>
      <rPr>
        <sz val="8"/>
        <color theme="1"/>
        <rFont val="Arial"/>
        <family val="2"/>
      </rPr>
      <t xml:space="preserve"> da pasta Composições</t>
    </r>
  </si>
  <si>
    <t xml:space="preserve">Total Planilha R$= </t>
  </si>
  <si>
    <t xml:space="preserve">Total Unit. CPUs R$= </t>
  </si>
  <si>
    <t xml:space="preserve">BASE - FDE SP ENC. SOC. % = </t>
  </si>
  <si>
    <t>PARCELAS DAS COMPOSIÇÕES</t>
  </si>
  <si>
    <t>Quant.</t>
  </si>
  <si>
    <t>Unit. CPUs</t>
  </si>
  <si>
    <t>Preço Total</t>
  </si>
  <si>
    <t>Custo Unit. Sem BDI</t>
  </si>
  <si>
    <t>Preço Unit. Com BDI</t>
  </si>
  <si>
    <t>Custo Unit. Mão de Obra</t>
  </si>
  <si>
    <t>Unit. Material / Equipamentos</t>
  </si>
  <si>
    <t>BDI R$</t>
  </si>
  <si>
    <t xml:space="preserve">01. </t>
  </si>
  <si>
    <t xml:space="preserve"> </t>
  </si>
  <si>
    <t>diferença</t>
  </si>
  <si>
    <t>01.01</t>
  </si>
  <si>
    <t>LIMPEZA DO TERRENO</t>
  </si>
  <si>
    <t>CPUs - FDE</t>
  </si>
  <si>
    <r>
      <rPr>
        <sz val="8"/>
        <color rgb="FF050505"/>
        <rFont val="Arial"/>
        <family val="2"/>
      </rPr>
      <t>04.02.011</t>
    </r>
  </si>
  <si>
    <r>
      <rPr>
        <sz val="8"/>
        <color rgb="FF050505"/>
        <rFont val="Arial"/>
        <family val="2"/>
      </rPr>
      <t>05.01.032</t>
    </r>
  </si>
  <si>
    <r>
      <rPr>
        <sz val="8"/>
        <color rgb="FF050505"/>
        <rFont val="Arial"/>
        <family val="2"/>
      </rPr>
      <t>05.05.106</t>
    </r>
  </si>
  <si>
    <t>PF-B PORTA 2 FOLHAS 300X215 CM INCLUSIVE VIDRO LAMINADO 6MM COM MONTANTES ME-02 E ME-03 USO EXCLUSIVO PADRAO CRECHE"</t>
  </si>
  <si>
    <r>
      <rPr>
        <sz val="8"/>
        <color rgb="FF050505"/>
        <rFont val="Arial"/>
        <family val="2"/>
      </rPr>
      <t>08.12.020</t>
    </r>
  </si>
  <si>
    <r>
      <rPr>
        <sz val="8"/>
        <color rgb="FF050505"/>
        <rFont val="Arial"/>
        <family val="2"/>
      </rPr>
      <t>08.12.025</t>
    </r>
  </si>
  <si>
    <r>
      <rPr>
        <sz val="8"/>
        <color rgb="FF050505"/>
        <rFont val="Arial"/>
        <family val="2"/>
      </rPr>
      <t>08.12.068</t>
    </r>
  </si>
  <si>
    <r>
      <rPr>
        <sz val="8"/>
        <color rgb="FF050505"/>
        <rFont val="Arial"/>
        <family val="2"/>
      </rPr>
      <t>08.12.080</t>
    </r>
  </si>
  <si>
    <r>
      <rPr>
        <sz val="8"/>
        <rFont val="Arial"/>
        <family val="2"/>
      </rPr>
      <t>09.06.050</t>
    </r>
  </si>
  <si>
    <r>
      <rPr>
        <sz val="8"/>
        <rFont val="Arial"/>
        <family val="2"/>
      </rPr>
      <t>09.06.051</t>
    </r>
  </si>
  <si>
    <r>
      <rPr>
        <sz val="8"/>
        <rFont val="Arial"/>
        <family val="2"/>
      </rPr>
      <t>09.06.052</t>
    </r>
  </si>
  <si>
    <r>
      <rPr>
        <sz val="8"/>
        <rFont val="Arial"/>
        <family val="2"/>
      </rPr>
      <t>09.06.053</t>
    </r>
  </si>
  <si>
    <r>
      <rPr>
        <sz val="8"/>
        <rFont val="Arial"/>
        <family val="2"/>
      </rPr>
      <t>09.06.054</t>
    </r>
  </si>
  <si>
    <r>
      <rPr>
        <sz val="8"/>
        <rFont val="Arial"/>
        <family val="2"/>
      </rPr>
      <t>09.06.055</t>
    </r>
  </si>
  <si>
    <r>
      <rPr>
        <sz val="8"/>
        <rFont val="Arial"/>
        <family val="2"/>
      </rPr>
      <t>09.06.056</t>
    </r>
  </si>
  <si>
    <r>
      <rPr>
        <sz val="8"/>
        <rFont val="Arial"/>
        <family val="2"/>
      </rPr>
      <t>09.06.057</t>
    </r>
  </si>
  <si>
    <r>
      <rPr>
        <sz val="8"/>
        <rFont val="Arial"/>
        <family val="2"/>
      </rPr>
      <t>09.09.040</t>
    </r>
  </si>
  <si>
    <r>
      <rPr>
        <sz val="8"/>
        <rFont val="Arial"/>
        <family val="2"/>
      </rPr>
      <t>09.09.043</t>
    </r>
  </si>
  <si>
    <r>
      <rPr>
        <sz val="8"/>
        <rFont val="Arial"/>
        <family val="2"/>
      </rPr>
      <t>09.09.047</t>
    </r>
  </si>
  <si>
    <r>
      <rPr>
        <sz val="8"/>
        <rFont val="Arial"/>
        <family val="2"/>
      </rPr>
      <t>09.09.048</t>
    </r>
  </si>
  <si>
    <r>
      <rPr>
        <sz val="8"/>
        <rFont val="Arial"/>
        <family val="2"/>
      </rPr>
      <t>09.09.049</t>
    </r>
  </si>
  <si>
    <r>
      <rPr>
        <sz val="8"/>
        <rFont val="Arial"/>
        <family val="2"/>
      </rPr>
      <t>09.09.076</t>
    </r>
  </si>
  <si>
    <r>
      <rPr>
        <sz val="8"/>
        <rFont val="Arial"/>
        <family val="2"/>
      </rPr>
      <t>09.09.084</t>
    </r>
  </si>
  <si>
    <r>
      <rPr>
        <sz val="8"/>
        <rFont val="Arial"/>
        <family val="2"/>
      </rPr>
      <t>09.09.085</t>
    </r>
  </si>
  <si>
    <r>
      <rPr>
        <sz val="8"/>
        <rFont val="Arial"/>
        <family val="2"/>
      </rPr>
      <t>09.09.086</t>
    </r>
  </si>
  <si>
    <r>
      <rPr>
        <sz val="8"/>
        <rFont val="Arial"/>
        <family val="2"/>
      </rPr>
      <t>09.10.020</t>
    </r>
  </si>
  <si>
    <r>
      <rPr>
        <sz val="8"/>
        <rFont val="Arial"/>
        <family val="2"/>
      </rPr>
      <t>09.10.027</t>
    </r>
  </si>
  <si>
    <r>
      <rPr>
        <sz val="8"/>
        <rFont val="Arial"/>
        <family val="2"/>
      </rPr>
      <t>09.10.028</t>
    </r>
  </si>
  <si>
    <r>
      <rPr>
        <sz val="8"/>
        <rFont val="Arial"/>
        <family val="2"/>
      </rPr>
      <t>09.10.029</t>
    </r>
  </si>
  <si>
    <r>
      <rPr>
        <sz val="8"/>
        <rFont val="Arial"/>
        <family val="2"/>
      </rPr>
      <t>09.11.041</t>
    </r>
  </si>
  <si>
    <r>
      <rPr>
        <sz val="8"/>
        <rFont val="Arial"/>
        <family val="2"/>
      </rPr>
      <t>09.11.043</t>
    </r>
  </si>
  <si>
    <r>
      <rPr>
        <sz val="8"/>
        <color rgb="FF050505"/>
        <rFont val="Arial"/>
        <family val="2"/>
      </rPr>
      <t>15.03.078</t>
    </r>
  </si>
  <si>
    <r>
      <rPr>
        <sz val="8"/>
        <color rgb="FF050505"/>
        <rFont val="Arial"/>
        <family val="2"/>
      </rPr>
      <t>16.18.055</t>
    </r>
  </si>
  <si>
    <t>P</t>
  </si>
  <si>
    <t>CALHA P/LUMINARIA EMBUTIR C/REFLETOR SEM ALETAS (IL-79) COM SOQUETES P/ UMA LAMPADA LED TUBULAR 120 CM</t>
  </si>
  <si>
    <r>
      <t xml:space="preserve">Taxa do BDI digite na célula H2 - </t>
    </r>
    <r>
      <rPr>
        <b/>
        <sz val="8"/>
        <color rgb="FFFF0000"/>
        <rFont val="Arial"/>
        <family val="2"/>
      </rPr>
      <t>Enc. Sociais 128,23% (CDHU)</t>
    </r>
    <r>
      <rPr>
        <b/>
        <sz val="8"/>
        <rFont val="Arial"/>
        <family val="2"/>
      </rPr>
      <t xml:space="preserve">  </t>
    </r>
  </si>
  <si>
    <t>11.20.140</t>
  </si>
  <si>
    <t>Controlador de retração de concreto, a base de óxido de cálcio</t>
  </si>
  <si>
    <t>Alvenaria de bloco de concreto de vedação de 9 cm - classe C</t>
  </si>
  <si>
    <t>Alvenaria de bloco de concreto de vedação de 14 cm - classe C</t>
  </si>
  <si>
    <t>Alvenaria de bloco de concreto de vedação de 19 cm - classe C</t>
  </si>
  <si>
    <t>Alvenaria de bloco de concreto estrutural 14 cm - classe B</t>
  </si>
  <si>
    <t>Alvenaria de bloco de concreto estrutural 19 cm - classe B</t>
  </si>
  <si>
    <t>Alvenaria de bloco de concreto estrutural 14 cm - classe A</t>
  </si>
  <si>
    <t>Alvenaria de bloco de concreto estrutural 19 cm - classe A</t>
  </si>
  <si>
    <t>23.20.560</t>
  </si>
  <si>
    <t>Porta/portão de abrir tipo veneziana de ferro, sob medida</t>
  </si>
  <si>
    <t>Tela de proteção em malha ondulada de 1´, fio 12 (BWG), com requadro</t>
  </si>
  <si>
    <t>Porta/portinhola tipo veneziana de abrir em alumínio, sob medida</t>
  </si>
  <si>
    <t>Portinhola tipo veneziana de abrir em alumínio, linha comercial</t>
  </si>
  <si>
    <t>30.14.060</t>
  </si>
  <si>
    <t>Plataforma para elevacao até 4,00m, nas dimensões de 1100x1400mm, capacidade de 325kg</t>
  </si>
  <si>
    <t>32.06.240</t>
  </si>
  <si>
    <t>Película adesiva jateada para vidros - uso interno</t>
  </si>
  <si>
    <t>32.07.226</t>
  </si>
  <si>
    <t>Selante elástico monocomponente a base de poliuretano (PU) para juntas de dilatação</t>
  </si>
  <si>
    <t>32.20.066</t>
  </si>
  <si>
    <t>Lona plástica em polietileno, 150 micras, para camada separadora de piso/pavimento</t>
  </si>
  <si>
    <t>34.20.384</t>
  </si>
  <si>
    <t>Bicicletário modelo U invertido em tubo circular de aço Ø 2", com acabamento em pintura eletrostática, para fixação chumbado/parafusado</t>
  </si>
  <si>
    <t>39.11.092</t>
  </si>
  <si>
    <t>Cabo telefônico CCI, com 1 par de 0,50 mm, para ligação de aparelhos telefônicos</t>
  </si>
  <si>
    <t>Luminária pública LED retangular para poste, fluxo luminoso de 14200 a 18000 lm, eficiência mínima de 120 lm/W - potência de 100 W/120 W</t>
  </si>
  <si>
    <t>Luminária pública LED retangular para poste, fluxo luminoso de 6250 a 6674 lm, eficiência mínima 113 lm/W - potência 40 W/59 W</t>
  </si>
  <si>
    <t>Luminária retangular de embutir tipo calha aberta com refletor assimétrico em alumínio de alto brilho para 2 lâmpadas tubulares de 28 W/54 W</t>
  </si>
  <si>
    <t>44.01.052</t>
  </si>
  <si>
    <t>Bacia sifonada de louça com tampa - 6 litros</t>
  </si>
  <si>
    <t>44.01.072</t>
  </si>
  <si>
    <t>Bacia sifonada de louça com tampa, com saída horizontal - 6 litros</t>
  </si>
  <si>
    <t>44.01.820</t>
  </si>
  <si>
    <t>Bacia sifonada com caixa de descarga acoplada com tampa - 6 litros</t>
  </si>
  <si>
    <t>49.06.194</t>
  </si>
  <si>
    <t>49.06.196</t>
  </si>
  <si>
    <t>50.01.062</t>
  </si>
  <si>
    <t>Abrigo para hidrante de recalque (embutir e interno)</t>
  </si>
  <si>
    <t>Bloco diagonal em concreto tipo piso drenante para plantio de grama - espessura de 10 cm</t>
  </si>
  <si>
    <t>54.08.005</t>
  </si>
  <si>
    <t>Agente de cura química, retardador de evaporação, em pavimento de concreto</t>
  </si>
  <si>
    <t>54.20.160</t>
  </si>
  <si>
    <t>Corte para junta de dilatação através de cortadora a gasolina, com serra de disco diamantado segmentado para pavimento de concreto e asfalto</t>
  </si>
  <si>
    <t>69.08.012</t>
  </si>
  <si>
    <t>Distribuidor interno óptico 1U de até 24 fibras - completo</t>
  </si>
  <si>
    <t xml:space="preserve">Fator desconto/acrécimo= </t>
  </si>
  <si>
    <r>
      <t xml:space="preserve">Aplique na célula </t>
    </r>
    <r>
      <rPr>
        <b/>
        <sz val="8"/>
        <color rgb="FFFF0000"/>
        <rFont val="Arial"/>
        <family val="2"/>
      </rPr>
      <t>F1</t>
    </r>
    <r>
      <rPr>
        <sz val="8"/>
        <color indexed="8"/>
        <rFont val="Arial"/>
        <family val="2"/>
      </rPr>
      <t xml:space="preserve"> um fator de desconto ou acréscimo para todos os insumos da coluna </t>
    </r>
    <r>
      <rPr>
        <b/>
        <sz val="8"/>
        <color rgb="FFFF0000"/>
        <rFont val="Arial"/>
        <family val="2"/>
      </rPr>
      <t>D</t>
    </r>
  </si>
  <si>
    <r>
      <t>* Altere custos unitários de insumos (individual) na coluna</t>
    </r>
    <r>
      <rPr>
        <b/>
        <sz val="8"/>
        <color rgb="FFFF0000"/>
        <rFont val="Arial"/>
        <family val="2"/>
      </rPr>
      <t xml:space="preserve"> F</t>
    </r>
  </si>
  <si>
    <t>APOIO DO PORTA DENTE PARA FRESADORA DE ASFALTO</t>
  </si>
  <si>
    <t>BALDE DE PLASTICO CAPACIDADE 12 L</t>
  </si>
  <si>
    <t>BENTONITA, ARGILA CONSTITUIDA POR MONTMORILONITA</t>
  </si>
  <si>
    <t>BRACO OU HASTE COM CANOPLA PLASTICA, 1/2", PARA CHUVEIRO SIMPLES</t>
  </si>
  <si>
    <t>BRACO OU HASTE RETA COM CANOPLA PLASTICA, 1/2", PARA CHUVEIRO ELETRICO</t>
  </si>
  <si>
    <t>BROCHA RETANGULAR, *15 X 5* CM</t>
  </si>
  <si>
    <t>BUCHA DE REDUCAO EM ALUMINIO, COM ROSCA, DE 3/4" X 1/2", PARA ELETRODUTO</t>
  </si>
  <si>
    <t>CALCARIO DOLOMITICO A (POSTO PEDREIRA/FORNECEDOR, SEM FRETE)</t>
  </si>
  <si>
    <t>CARRINHO PLATAFORMA EM MADEIRA COM ESTRUTURA EM ACO, 1500 X 800 MM, COM CAPACIDADE DE 600 KG, 4 RODAS/PNEUS/CAMARAS</t>
  </si>
  <si>
    <t>CHAPA PARA EMENDA DE VIGA, EM ACO GROSSO, QUALIDADE ESTRUTURAL, BITOLA 3/16", E= 4,75 MM, 4 FUROS, LARGURA 45 MM, COMPRIMENTO 500 MM</t>
  </si>
  <si>
    <t>CUBA ACO INOX (AISI 304) DE EMBUTIR COM VALVULA 3 1/2", DE *40 X 34 X 12* CM</t>
  </si>
  <si>
    <t>CUBA ACO INOX (AISI 304) DE EMBUTIR COM VALVULA 3 1/2", DE *46 X 30 X 12* CM</t>
  </si>
  <si>
    <t>CUBA ACO INOX (AISI 304) DE EMBUTIR COM VALVULA DE 3 1/2", DE *56 X 33 X 12* CM</t>
  </si>
  <si>
    <t>DENTE PARA FRESADORA</t>
  </si>
  <si>
    <t>DESEMPENADEIRA DE MADEIRA *16 X 27* CM</t>
  </si>
  <si>
    <t>DISCO DE LIXA PARA METAL, DIAMETRO = 180 MM, GRAO 120</t>
  </si>
  <si>
    <t>DISPOSITIVO DR, 2 POLOS, SENSIBILIDADE DE 300 MA, CORRENTE DE 80 A, TIPO AC</t>
  </si>
  <si>
    <t>DOBRADICA EM LATAO, 3" X 2 1/2", E= 1,9 A 2 MM, COM ANEL, CROMADO, TAMPA BOLA, COM PARAFUSOS</t>
  </si>
  <si>
    <t>ELETRODUTO DE PVC RIGIDO ROSCAVEL DE 1 1/2", SEM LUVA</t>
  </si>
  <si>
    <t>ELETRODUTO DE PVC RIGIDO ROSCAVEL DE 1 1/4", SEM LUVA</t>
  </si>
  <si>
    <t>ELETRODUTO DE PVC RIGIDO ROSCAVEL DE 1", SEM LUVA</t>
  </si>
  <si>
    <t>ELETRODUTO DE PVC RIGIDO ROSCAVEL DE 1/2", SEM LUVA</t>
  </si>
  <si>
    <t>ELETRODUTO DE PVC RIGIDO ROSCAVEL DE 2 1/2", SEM LUVA</t>
  </si>
  <si>
    <t>ELETRODUTO DE PVC RIGIDO ROSCAVEL DE 2", SEM LUVA</t>
  </si>
  <si>
    <t>ELETRODUTO DE PVC RIGIDO ROSCAVEL DE 3", SEM LUVA</t>
  </si>
  <si>
    <t>ELETRODUTO DE PVC RIGIDO ROSCAVEL DE 3/4", SEM LUVA</t>
  </si>
  <si>
    <t>ELETRODUTO DE PVC RIGIDO ROSCAVEL DE 4", SEM LUVA</t>
  </si>
  <si>
    <t>ESCOVA CIRCULAR EM ACO LATONADO, 6 X 1" (DIAMETRO X ESPESSURA), FURO DE 1 1/4", FIO ONDULADO *0,30* MM</t>
  </si>
  <si>
    <t>ESQUADRO PARA SOLDA, EM ALUMINIO, 65 MM, COM DUAS MORSAS (GRAMPO SARGENTO)</t>
  </si>
  <si>
    <t>EXTENSAO DE SOLDA 201 ACETILENO, E = *1,5 A 2,5* MM (N2)</t>
  </si>
  <si>
    <t>EXTENSAO DE SOLDA 201 GLP, E = *2,5 A 4,0* MM (N4)</t>
  </si>
  <si>
    <t>FERRO DE SOLDA, POTENCIA 40 W</t>
  </si>
  <si>
    <t>FERTILIZANTE NPK - 10:10:10</t>
  </si>
  <si>
    <t>FITA VEDA ROSCA, EM PTFE, ROLO DE 18 MM X 25 M (L X C)</t>
  </si>
  <si>
    <t>GRANALHA DE ACO, ESFERICA (SHOT), PARA JATEAMENTO, PENEIRA 1,19 A 1,00 MM (SAE S390)</t>
  </si>
  <si>
    <t>GUINDASTE HIDRAULICO AUTOPROPELIDO, COM LANCA TELESCOPICA 28,80 M, CAPACIDADE MAXIMA 30 T, POTENCIA 97 KW, TRACAO 4 X 4</t>
  </si>
  <si>
    <t>GUINDASTE HIDRAULICO AUTOPROPELIDO, COM LANCA TELESCOPICA 40 M, CAPACIDADE MAXIMA 60 T, POTENCIA 260 KW, TRACAO 6 X 6</t>
  </si>
  <si>
    <t>INVERSOR DE SOLDA MONOFASICO DE 160 A, POTENCIA DE *7000* W, TENSAO DE 220 V, TURBO VENTILADO, PROTECAO POR TERMOSTATO, PARA ELETRODOS DE *2,0 A 4,0* MM</t>
  </si>
  <si>
    <t>JOGO DE CHAVES ALLEN LONGAS HEXAGONAIS DE 1,5 MM A 10 MM - 9 PECAS</t>
  </si>
  <si>
    <t>JOGO DE CHAVES DE FENDA E PHILLIPS ISOLADAS, 1000 V - *6* PECAS</t>
  </si>
  <si>
    <t>KIT CHUVEIRO, INSTAL. PEX, QUADRO METALICO C/ 2 TRAVESSAS, SUPERIOR C/ ESPERA P/ CHUVEIRO, INFERIOR C/ 2 REGISTROS DE PRESSAO 1/2", *390* X *900* MM (L X H), CONEXAO COM ANEL DESLIZANTE (CONJUNTO COMPLETO)</t>
  </si>
  <si>
    <t>KIT CHUVEIRO, INSTAL. PEX, QUADRO METALICO C/2 TRAVESSAS, SUPERIOR C/ ESPERA P/ CHUVEIRO E INFERIOR C/2 REGISTROS DE PRESSAO 1/2", *390* X *900* MM (L X H), CONEXAO COM CRIMPAGEM (CONJUNTO COMPLETO)</t>
  </si>
  <si>
    <t>LAPIS PARA CARPINTEIRO</t>
  </si>
  <si>
    <t>LUVA DE LATEX MULTIUSO AMARELA FORRADA</t>
  </si>
  <si>
    <t>MANGUEIRA FLEXIVEL TRANSPARENTE COM ESPIRAL AZUL, EM PVC, DIAM. 1" (25 MM), PARA SERVICOS LEVES DE SUCCAO E DESCARGA</t>
  </si>
  <si>
    <t>MANGUEIRA FLEXIVEL TRANSPARENTE COM ESPIRAL AZUL, EM PVC, DIAM. 2" (50 MM), PARA SERVICOS LEVES DE SUCCAO E DESCARGA</t>
  </si>
  <si>
    <t>MANGUEIRA FLEXIVEL TRANSPARENTE COM ESPIRAL AZUL, EM PVC, DIAM. 4" (100 MM), PARA SERVICOS LEVES DE SUCCAO E DESCARGA</t>
  </si>
  <si>
    <t>MANGUEIRA PARA AR E AGUA DE PVC/BORRACHA, PRESSAO 300 PSI, DIAMETRO DE 1 POLEGADA</t>
  </si>
  <si>
    <t>MANTA ALUMINIZADA NAS DUAS FACES, PARA SUBCOBERTURA, E = *2* MM</t>
  </si>
  <si>
    <t>MANTA TERMOPLASTICA, PEAD, GEOMEMBRANA TEXTURIZADA EM AMBAS AS FACES, E = 0,50 MM (NBR 15352)</t>
  </si>
  <si>
    <t>MANTA TERMOPLASTICA, PEAD, GEOMEMBRANA TEXTURIZADA EM AMBAS AS FACES, E = 0,75 MM (NBR 15352)</t>
  </si>
  <si>
    <t>MANTA TERMOPLASTICA, PEAD, GEOMEMBRANA TEXTURIZADA EM AMBAS AS FACES, E = 0,80 MM (NBR 15352)</t>
  </si>
  <si>
    <t>MANTA TERMOPLASTICA, PEAD, GEOMEMBRANA TEXTURIZADA EM AMBAS AS FACES, E = 1,00 MM (NBR 15352)</t>
  </si>
  <si>
    <t>MANTA TERMOPLASTICA, PEAD, GEOMEMBRANA TEXTURIZADA EM AMBAS AS FACES, E = 1,50 MM (NBR 15352)</t>
  </si>
  <si>
    <t>MANTA TERMOPLASTICA, PEAD, GEOMEMBRANA TEXTURIZADA EM AMBAS AS FACES, E = 2,00 MM (NBR 15352)</t>
  </si>
  <si>
    <t>MANTA TERMOPLASTICA, PEAD, GEOMEMBRANA TEXTURIZADA EM AMBAS AS FACES, E = 2,50 MM (NBR 15352)</t>
  </si>
  <si>
    <t>MARTELO DE BORRACHA PRETO 450 G, CABO DE MADEIRA *60* MM DE DIAMETRO</t>
  </si>
  <si>
    <t>MASCARA DE SOLDA AUTOMATICA, COM GRAU DE ESCURECIMENTO DIN 9 A 13</t>
  </si>
  <si>
    <t>MEIO-FIO OU GUIA DE CONCRETO PRE-MOLDADO, TIPO CHAPEU PARA BOCA DE LOBO, DIMENSOES *1,20* X 0,15 X 0,30 M</t>
  </si>
  <si>
    <t>MICROESFERAS DE VIDRO PARA SINALIZACAO HORIZONTAL VIARIA, TIPO I-B (PREMIX) - NBR 16184</t>
  </si>
  <si>
    <t>MICROESFERAS DE VIDRO PARA SINALIZACAO HORIZONTAL VIARIA, TIPO II-A (DROP-ON) - NBR 16184</t>
  </si>
  <si>
    <t>MISTURADOR METALICO, BASE PARA CHUVEIRO/BANHEIRA, 1/2" OU 3/4", SOLDAVEL OU ROSCAVEL (NAO INCLUI ACABAMENTOS)</t>
  </si>
  <si>
    <t>NIVEL DE ALUMINIO 350 MM (14"), COM 3 BOLHAS</t>
  </si>
  <si>
    <t>PA QUADRADA COM CABO DE MADEIRA EM Y DE 71 CM</t>
  </si>
  <si>
    <t>PARAFUSO ROSCA SOBERBA ZINCADO CABECA CHATA FENDA SIMPLES 3,2 X 20 MM (3/4")</t>
  </si>
  <si>
    <t>PARAFUSO ROSCA SOBERBA ZINCADO CABECA CHATA FENDA SIMPLES 3,5 X 25 MM (1")</t>
  </si>
  <si>
    <t>PARAFUSO ROSCA SOBERBA ZINCADO CABECA CHATA FENDA SIMPLES 3,8 X 30 MM (1.1/4")</t>
  </si>
  <si>
    <t>PARAFUSO ROSCA SOBERBA ZINCADO CABECA CHATA FENDA SIMPLES 4,8 X 40 MM (1.1/2")</t>
  </si>
  <si>
    <t>PARAFUSO ROSCA SOBERBA ZINCADO CABECA CHATA FENDA SIMPLES 5,5 X 50 MM (2")</t>
  </si>
  <si>
    <t>PARAFUSO ROSCA SOBERBA ZINCADO CABECA CHATA FENDA SIMPLES 5,5 X 65 MM (2.1/2")</t>
  </si>
  <si>
    <t>PASTA ABRASIVA PARA LIMPEZA DE MAOS</t>
  </si>
  <si>
    <t>PINO DE ACO COM ROSCA 1/4", COMPRIMENTO DA HASTE = 30 MM E ROSCA = 20 MM (ACAO DIRETA)</t>
  </si>
  <si>
    <t>PINO DE ACO LISO 1/4", HASTE = *36,5* MM (ACAO DIRETA)</t>
  </si>
  <si>
    <t>PINO DE ACO LISO 1/4", HASTE = *53* MM (ACAO DIRETA)</t>
  </si>
  <si>
    <t>PONTEIRO PARA MARTELO ROMPEDOR, DIAMETRO = *28* MM, COMPRIMENTO = *520* MM, ENCAIXE SEXTAVADO</t>
  </si>
  <si>
    <t>PORCA UNIAO/JUNCAO ZINCADA SEXTAVADA 1/4", CHAVE 7/16", COMPRIMENTO = 25 MM</t>
  </si>
  <si>
    <t>PORTA DENTE PARA FRESADORA</t>
  </si>
  <si>
    <t>PORTA GRADE DE ENROLAR MANUAL COMPLETA, PERFIL TUBULAR TIJOLINHO 3/4", EM ACO GALVANIZADO NATURAL (SEM INSTALACAO)</t>
  </si>
  <si>
    <t>POZOLANA DE CLASSE C</t>
  </si>
  <si>
    <t>PREGO DE ACO POLIDO COM CABECA 19 X 36 (3 1/4 X 9)</t>
  </si>
  <si>
    <t>PROTETOR FACIAL ARCO ELETRICO, COM QUEIXEIRA E LENTE EM POLICARBONATO, CAPACETE INCLUIDO</t>
  </si>
  <si>
    <t>ROLO DE ESPUMA POLIESTER, 9 CM X 10 MM, COM CABO</t>
  </si>
  <si>
    <t>SILICA ATIVA PARA ADICAO EM CONCRETO E ARGAMASSA</t>
  </si>
  <si>
    <t>SUPORTE MANUAL PARA LIXA, PLASTICO, COM 230 X 80 MM (COMPRIMENTO X LARGURA)</t>
  </si>
  <si>
    <t>TELA DE ANIAGEM (JUTA)</t>
  </si>
  <si>
    <t>TORNEIRA DE BOIA BALAO METALICO, VAZAO TOTAL, PARA CAIXA D'AGUA, AGUA QUENTE, ROSCA 1/2", COM HASTE, TORNEIRA E BALAO METALICOS</t>
  </si>
  <si>
    <t>TORNEIRA DE BOIA BALAO METALICO, VAZAO TOTAL, PARA CAIXA D'AGUA, AGUA QUENTE, ROSCA 3/4", COM HASTE, TORNEIRA E BALAO METALICOS</t>
  </si>
  <si>
    <t>TORNEIRA PLASTICA DE BOIA CONVENCIONAL PARA CAIXA DE AGUA, AGUA FRIA, 3/4", COM HASTE METALICA E COM TORNEIRA E BALAO PLASTICOS (PADRAO POPULAR)</t>
  </si>
  <si>
    <t>TRENA COM FITA DE ACO DE 10 M X 25 MM (COMPRIMENTO X LARGURA)</t>
  </si>
  <si>
    <t>TRINCHA DE 1" COM CERDAS SINTETICAS</t>
  </si>
  <si>
    <t>TRINCHA DE 2" COM CERDAS SINTETICAS</t>
  </si>
  <si>
    <t>TUBO COLETOR DE ESGOTO PVC, JEI, DN 100 MM (NBR 7362)</t>
  </si>
  <si>
    <t>TUBO DE COBRE FLEXIVEL, D = 1/2", E = 0,79 MM, PARA AR-CONDICIONADO/ INSTALACOES GAS RESIDENCIAIS E COMERCIAIS</t>
  </si>
  <si>
    <t>TUBO DE COBRE FLEXIVEL, D = 1/4", E = 0,79 MM, PARA AR-CONDICIONADO/ INSTALACOES GAS RESIDENCIAIS E COMERCIAIS</t>
  </si>
  <si>
    <t>TUBO DE COBRE FLEXIVEL, D = 3/16", E = 0,79 MM, PARA AR-CONDICIONADO/ INSTALACOES GAS RESIDENCIAIS E COMERCIAIS</t>
  </si>
  <si>
    <t>TUBO DE COBRE FLEXIVEL, D = 3/4", E = 0,79 MM, PARA AR-CONDICIONADO/ INSTALACOES GAS RESIDENCIAIS E COMERCIAIS</t>
  </si>
  <si>
    <t>TUBO DE COBRE FLEXIVEL, D = 3/8", E = 0,79 MM, PARA AR-CONDICIONADO/ INSTALACOES GAS RESIDENCIAIS E COMERCIAIS</t>
  </si>
  <si>
    <t>TUBO DE COBRE FLEXIVEL, D = 5/16", E = 0,79 MM, PARA AR-CONDICIONADO/ INSTALACOES GAS RESIDENCIAIS E COMERCIAIS</t>
  </si>
  <si>
    <t>TUBO DE COBRE FLEXIVEL, D = 5/8", E = 0,79 MM, PARA AR-CONDICIONADO/ INSTALACOES GAS RESIDENCIAIS E COMERCIAIS</t>
  </si>
  <si>
    <t>TUBO DE POLIETILENO DE ALTA DENSIDADE, PEAD, PE-80, DE= 50 MM X 4,6 MM PAREDE, (SDR 11 - PN 12,5) PARA REDE DE AGUA OU ESGOTO (NBR 15561)</t>
  </si>
  <si>
    <t>USINA DE ASFALTO, GRAVIMETRICA, CAPACIDADE DE 150 T/H, POTENCIA DE 400 KW</t>
  </si>
  <si>
    <t>VALVULA DE ESCOAMENTO PARA TANQUE, EM METAL CROMADO, 1.1/2", SEM LADRAO, COM TAMPAO PLASTICO</t>
  </si>
  <si>
    <t>VALVULA EM PLASTICO BRANCO PARA LAVATORIO 1", SEM UNHO, COM LADRAO</t>
  </si>
  <si>
    <t>VALVULA EM PLASTICO BRANCO PARA TANQUE 1.1/4" X 1.1/2", SEM UNHO E SEM LADRAO</t>
  </si>
  <si>
    <t>VALVULA EM PLASTICO BRANCO PARA TANQUE OU LAVATORIO 1", SEM UNHO E SEM LADRAO</t>
  </si>
  <si>
    <t>VALVULA EM PLASTICO CROMADO PARA LAVATORIO 1", SEM UNHO, COM LADRAO</t>
  </si>
  <si>
    <t>VALVULA EM PLASTICO CROMADO TIPO AMERICANA PARA PIA DE COZINHA 3.1/2" X 1.1/2", SEM ADAPTADOR</t>
  </si>
  <si>
    <t>VIBROACABADORA DE ASFALTO SOBRE ESTEIRAS, LARG. PAVIM. 2,13 M A 4,55 M, POT. 74 KW/ 100 HP, CAP. 400 T/ H</t>
  </si>
  <si>
    <t>VIBROACABADORA DE ASFALTO SOBRE ESTEIRAS, LARG. PAVIM. MAX. 8,00 M, POT. 100 KW/ 134 HP, CAP. 600 T/ H</t>
  </si>
  <si>
    <t>VIDRO LISO INCOLOR 8MM - SEM COLOCACAO</t>
  </si>
  <si>
    <t>INVERSOR DE SOLDA MONOFÁSICO DE 160 A, POTÊNCIA DE 7000 W, TENSÃO DE 220 V, TURBO VENTILADO, PROTEÇÃO POR TERMOSTATO, PARA ELETRODOS DE 2,0 A 4,0 MM - CHI DIURNO. AF_06/2018</t>
  </si>
  <si>
    <t>INVERSOR DE SOLDA MONOFÁSICO DE 160 A, POTÊNCIA DE 7000 W, TENSÃO DE 220 V, TURBO VENTILADO, PROTEÇÃO POR TERMOSTATO, PARA ELETRODOS DE 2,0 A 4,0 MM - CHP DIURNO. AF_06/2018</t>
  </si>
  <si>
    <t>INVERSOR DE SOLDA MONOFÁSICO DE 160 A, POTÊNCIA DE 7000 W, TENSÃO DE 220 V, TURBO VENTILADO, PROTEÇÃO POR TERMOSTATO, PARA ELETRODOS DE 2,0 A 4,0 MM - DEPRECIAÇÃO. AF_06/2018</t>
  </si>
  <si>
    <t>INVERSOR DE SOLDA MONOFÁSICO DE 160 A, POTÊNCIA DE 7000 W, TENSÃO DE 220 V, TURBO VENTILADO, PROTEÇÃO POR TERMOSTATO, PARA ELETRODOS DE 2,0 A 4,0 MM - JUROS. AF_06/2018</t>
  </si>
  <si>
    <t>INVERSOR DE SOLDA MONOFÁSICO DE 160 A, POTÊNCIA DE 7000 W, TENSÃO DE 220 V, TURBO VENTILADO, PROTEÇÃO POR TERMOSTATO, PARA ELETRODOS DE 2,0 A 4,0 MM - MANUTENÇÃO. AF_06/2018</t>
  </si>
  <si>
    <t>INVERSOR DE SOLDA MONOFÁSICO DE 160 A, POTÊNCIA DE 7000 W, TENSÃO DE 220 V, TURBO VENTILADO, PROTEÇÃO POR TERMOSTATO, PARA ELETRODOS DE 2,0 A 4,0 MM - MATERIAIS NA OPERAÇÃO. AF_06/2018</t>
  </si>
  <si>
    <t>CABO DE COBRE ISOLADO, 10 MM², ANTI-CHAMA 450/750 V, INSTALADO EM ELETROCALHA OU PERFILADO - FORNECIMENTO E INSTALAÇÃO. AF_07/2025</t>
  </si>
  <si>
    <t>CABO DE COBRE ISOLADO, 16 MM², ANTI-CHAMA 450/750 V, INSTALADO EM ELETROCALHA OU PERFILADO - FORNECIMENTO E INSTALAÇÃO. AF_07/2025</t>
  </si>
  <si>
    <t>CABO DE COBRE ISOLADO, 25 MM², ANTI-CHAMA 450/750 V, INSTALADO EM ELETROCALHA OU PERFILADO - FORNECIMENTO E INSTALAÇÃO. AF_07/2025</t>
  </si>
  <si>
    <t>CAIXA DE PROTEÇÃO PARA MEDIDOR MONOFÁSICO DE EMBUTIR - FORNECIMENTO E INSTALAÇÃO. AF_07/2025</t>
  </si>
  <si>
    <t>CONTATOR TRIPOLAR I NOMIMAL 95A - FORNECIMENTO E INSTALAÇÃO. AF_07/2025</t>
  </si>
  <si>
    <t>CONTATOR TRIPOLAR I NOMINAL 12A - FORNECIMENTO E INSTALAÇÃO. AF_07/2025</t>
  </si>
  <si>
    <t>CONTATOR TRIPOLAR I NOMINAL 22A - FORNECIMENTO E INSTALAÇÃO. AF_07/2025</t>
  </si>
  <si>
    <t>CONTATOR TRIPOLAR I NOMINAL 38A - FORNECIMENTO E INSTALAÇÃO. AF_07/2025</t>
  </si>
  <si>
    <t>COTOVELO PARA BARRAMENTO BLINDADO, 1000A - FORNECIMENTO E INSTALAÇÃO. AF_07/2025</t>
  </si>
  <si>
    <t>COTOVELO PARA BARRAMENTO BLINDADO, 1250A - FORNECIMENTO E INSTALAÇÃO. AF_07/2025</t>
  </si>
  <si>
    <t>COTOVELO PARA BARRAMENTO BLINDADO, 1600A - FORNECIMENTO E INSTALAÇÃO. AF_07/2025</t>
  </si>
  <si>
    <t>COTOVELO PARA BARRAMENTO BLINDADO, 2000A - FORNECIMENTO E INSTALAÇÃO. AF_07/2025</t>
  </si>
  <si>
    <t>COTOVELO PARA BARRAMENTO BLINDADO, 2500A - FORNECIMENTO E INSTALAÇÃO. AF_07/2025</t>
  </si>
  <si>
    <t>COTOVELO PARA BARRAMENTO BLINDADO, 250A - FORNECIMENTO E INSTALAÇÃO. AF_07/2025</t>
  </si>
  <si>
    <t>COTOVELO PARA BARRAMENTO BLINDADO, 350A - FORNECIMENTO E INSTALAÇÃO. AF_07/2025</t>
  </si>
  <si>
    <t>COTOVELO PARA BARRAMENTO BLINDADO, 450A - FORNECIMENTO E INSTALAÇÃO. AF_07/2025</t>
  </si>
  <si>
    <t>COTOVELO PARA BARRAMENTO BLINDADO, 550A - FORNECIMENTO E INSTALAÇÃO. AF_07/2025</t>
  </si>
  <si>
    <t>COTOVELO PARA BARRAMENTO BLINDADO, 630A - FORNECIMENTO E INSTALAÇÃO. AF_07/2025</t>
  </si>
  <si>
    <t>DISJUNTOR BAIXA TENSÃO TRIPOLAR A SECO 800A/600V - FORNECIMENTO E INSTALAÇÃO. AF_07/2025</t>
  </si>
  <si>
    <t>DISJUNTOR BIPOLAR DR 63A - FORNECIMENTO E INSTALAÇÃO. AF_07/2025</t>
  </si>
  <si>
    <t>DISJUNTOR BIPOLAR TIPO DIN, CORRENTE NOMINAL DE 10A - FORNECIMENTO E INSTALAÇÃO. AF_07/2025</t>
  </si>
  <si>
    <t>DISJUNTOR BIPOLAR TIPO DIN, CORRENTE NOMINAL DE 16A - FORNECIMENTO E INSTALAÇÃO. AF_07/2025</t>
  </si>
  <si>
    <t>DISJUNTOR BIPOLAR TIPO DIN, CORRENTE NOMINAL DE 20A - FORNECIMENTO E INSTALAÇÃO. AF_07/2025</t>
  </si>
  <si>
    <t>DISJUNTOR BIPOLAR TIPO DIN, CORRENTE NOMINAL DE 25A - FORNECIMENTO E INSTALAÇÃO. AF_07/2025</t>
  </si>
  <si>
    <t>DISJUNTOR BIPOLAR TIPO DIN, CORRENTE NOMINAL DE 32A - FORNECIMENTO E INSTALAÇÃO. AF_07/2025</t>
  </si>
  <si>
    <t>DISJUNTOR BIPOLAR TIPO DIN, CORRENTE NOMINAL DE 40A - FORNECIMENTO E INSTALAÇÃO. AF_07/2025</t>
  </si>
  <si>
    <t>DISJUNTOR BIPOLAR TIPO DIN, CORRENTE NOMINAL DE 50A - FORNECIMENTO E INSTALAÇÃO. AF_07/2025</t>
  </si>
  <si>
    <t>DISJUNTOR BIPOLAR TIPO DR, CORRENTE NOMINAL DE 25A - FORNECIMENTO E INSTALAÇÃO. AF_07/2025</t>
  </si>
  <si>
    <t>DISJUNTOR BIPOLAR TIPO DR, CORRENTE NOMINAL DE 40A - FORNECIMENTO E INSTALAÇÃO. AF_07/2025</t>
  </si>
  <si>
    <t>DISJUNTOR BIPOLAR TIPO NEMA, CORRENTE NOMINAL DE 10 ATÉ 50A - FORNECIMENTO E INSTALAÇÃO. AF_07/2025</t>
  </si>
  <si>
    <t>DISJUNTOR MONOPOLAR TIPO DIN, CORRENTE NOMINAL DE 10A - FORNECIMENTO E INSTALAÇÃO. AF_07/2025</t>
  </si>
  <si>
    <t>DISJUNTOR MONOPOLAR TIPO DIN, CORRENTE NOMINAL DE 16A - FORNECIMENTO E INSTALAÇÃO. AF_07/2025</t>
  </si>
  <si>
    <t>DISJUNTOR MONOPOLAR TIPO DIN, CORRENTE NOMINAL DE 20A - FORNECIMENTO E INSTALAÇÃO. AF_07/2025</t>
  </si>
  <si>
    <t>DISJUNTOR MONOPOLAR TIPO DIN, CORRENTE NOMINAL DE 25A - FORNECIMENTO E INSTALAÇÃO. AF_07/2025</t>
  </si>
  <si>
    <t>DISJUNTOR MONOPOLAR TIPO DIN, CORRENTE NOMINAL DE 32A - FORNECIMENTO E INSTALAÇÃO. AF_07/2025</t>
  </si>
  <si>
    <t>DISJUNTOR MONOPOLAR TIPO DIN, CORRENTE NOMINAL DE 40A - FORNECIMENTO E INSTALAÇÃO. AF_07/2025</t>
  </si>
  <si>
    <t>DISJUNTOR MONOPOLAR TIPO DIN, CORRENTE NOMINAL DE 50A - FORNECIMENTO E INSTALAÇÃO. AF_07/2025</t>
  </si>
  <si>
    <t>DISJUNTOR MONOPOLAR TIPO NEMA, CORRENTE NOMINAL DE 10 ATÉ 30A - FORNECIMENTO E INSTALAÇÃO. AF_07/2025</t>
  </si>
  <si>
    <t>DISJUNTOR MONOPOLAR TIPO NEMA, CORRENTE NOMINAL DE 35 ATÉ 50A - FORNECIMENTO E INSTALAÇÃO. AF_07/2025</t>
  </si>
  <si>
    <t>DISJUNTOR TERMOMAGNÉTICO TRIPOLAR, CORRENTE NOMINAL DE 125A - FORNECIMENTO E INSTALAÇÃO. AF_07/2025</t>
  </si>
  <si>
    <t>DISJUNTOR TERMOMAGNÉTICO TRIPOLAR, CORRENTE NOMINAL DE 200A - FORNECIMENTO E INSTALAÇÃO. AF_07/2025</t>
  </si>
  <si>
    <t>DISJUNTOR TERMOMAGNÉTICO TRIPOLAR, CORRENTE NOMINAL DE 250A - FORNECIMENTO E INSTALAÇÃO. AF_07/2025</t>
  </si>
  <si>
    <t>DISJUNTOR TERMOMAGNÉTICO TRIPOLAR, CORRENTE NOMINAL DE 400A - FORNECIMENTO E INSTALAÇÃO. AF_07/2025</t>
  </si>
  <si>
    <t>DISJUNTOR TERMOMAGNÉTICO TRIPOLAR, CORRENTE NOMINAL DE 600A - FORNECIMENTO E INSTALAÇÃO. AF_07/2025</t>
  </si>
  <si>
    <t>DISJUNTOR TETRAPOLAR TIPO DR, CORRENTE NOMINAL DE 25A - FORNECIMENTO E INSTALAÇÃO. AF_07/2025</t>
  </si>
  <si>
    <t>DISJUNTOR TETRAPOLAR TIPO DR, CORRENTE NOMINAL DE 40A - FORNECIMENTO E INSTALAÇÃO. AF_07/2025</t>
  </si>
  <si>
    <t>DISJUNTOR TRIPOLAR DIN 63A - FORNECIMENTO E INSTALAÇÃO. AF_07/2025</t>
  </si>
  <si>
    <t>DISJUNTOR TRIPOLAR DIN 80A - FORNECIMENTO E INSTALAÇÃO. AF_07/2025</t>
  </si>
  <si>
    <t>DISJUNTOR TRIPOLAR TIPO DIN, CORRENTE NOMINAL DE 10A - FORNECIMENTO E INSTALAÇÃO. AF_07/2025</t>
  </si>
  <si>
    <t>DISJUNTOR TRIPOLAR TIPO DIN, CORRENTE NOMINAL DE 16A - FORNECIMENTO E INSTALAÇÃO. AF_07/2025</t>
  </si>
  <si>
    <t>DISJUNTOR TRIPOLAR TIPO DIN, CORRENTE NOMINAL DE 20A - FORNECIMENTO E INSTALAÇÃO. AF_07/2025</t>
  </si>
  <si>
    <t>DISJUNTOR TRIPOLAR TIPO DIN, CORRENTE NOMINAL DE 25A - FORNECIMENTO E INSTALAÇÃO. AF_07/2025</t>
  </si>
  <si>
    <t>DISJUNTOR TRIPOLAR TIPO DIN, CORRENTE NOMINAL DE 32A - FORNECIMENTO E INSTALAÇÃO. AF_07/2025</t>
  </si>
  <si>
    <t>DISJUNTOR TRIPOLAR TIPO DIN, CORRENTE NOMINAL DE 40A - FORNECIMENTO E INSTALAÇÃO. AF_07/2025</t>
  </si>
  <si>
    <t>DISJUNTOR TRIPOLAR TIPO DIN, CORRENTE NOMINAL DE 50A - FORNECIMENTO E INSTALAÇÃO. AF_07/2025</t>
  </si>
  <si>
    <t>DISJUNTOR TRIPOLAR TIPO NEMA, CORRENTE NOMINAL DE 10 ATÉ 50A - FORNECIMENTO E INSTALAÇÃO. AF_07/2025</t>
  </si>
  <si>
    <t>DISJUNTOR TRIPOLAR TIPO NEMA, CORRENTE NOMINAL DE 60 ATÉ 100A - FORNECIMENTO E INSTALAÇÃO. AF_07/2025</t>
  </si>
  <si>
    <t>DISPOSITIVO DPS 20KA-175V OU 275V - FORNECIMENTO E INSTALAÇÃO. AF_07/2025</t>
  </si>
  <si>
    <t>DISPOSITIVO DPS 40KA-175V OU 275V - FORNECIMENTO E INSTALAÇÃO. AF_07/2025</t>
  </si>
  <si>
    <t>DISPOSITIVO DPS 60KA-275V - FORNECIMENTO E INSTALAÇÃO. AF_07/2025</t>
  </si>
  <si>
    <t>GABARITO PARA BARRAMENTO BLINDADO - FORNECIMENTO E INSTALAÇÃO. AF_07/2025</t>
  </si>
  <si>
    <t>PEÇA RETA DE BARRAMENTO BLINDADO, 1000A - FORNECIMENTO E INSTALAÇÃO. AF_07/2025</t>
  </si>
  <si>
    <t>PEÇA RETA DE BARRAMENTO BLINDADO, 1250A - FORNECIMENTO E INSTALAÇÃO. AF_07/2025</t>
  </si>
  <si>
    <t>PEÇA RETA DE BARRAMENTO BLINDADO, 1600A - FORNECIMENTO E INSTALAÇÃO. AF_07/2025</t>
  </si>
  <si>
    <t>PEÇA RETA DE BARRAMENTO BLINDADO, 2000A - FORNECIMENTO E INSTALAÇÃO. AF_07/2025</t>
  </si>
  <si>
    <t>PEÇA RETA DE BARRAMENTO BLINDADO, 2500A - FORNECIMENTO E INSTALAÇÃO. AF_07/2025</t>
  </si>
  <si>
    <t>PEÇA RETA DE BARRAMENTO BLINDADO, 250A - FORNECIMENTO E INSTALAÇÃO. AF_07/2025</t>
  </si>
  <si>
    <t>PEÇA RETA DE BARRAMENTO BLINDADO, 350A - FORNECIMENTO E INSTALAÇÃO. AF_07/2025</t>
  </si>
  <si>
    <t>PEÇA RETA DE BARRAMENTO BLINDADO, 450A - FORNECIMENTO E INSTALAÇÃO. AF_07/2025</t>
  </si>
  <si>
    <t>PEÇA RETA DE BARRAMENTO BLINDADO, 550A - FORNECIMENTO E INSTALAÇÃO. AF_07/2025</t>
  </si>
  <si>
    <t>PEÇA RETA DE BARRAMENTO BLINDADO, 630A - FORNECIMENTO E INSTALAÇÃO. AF_07/2025</t>
  </si>
  <si>
    <t>QUADRO DE DISTRIBUIÇÃO DE ENERGIA EM CHAPA DE AÇO GALVANIZADO, DE EMBUTIR, COM BARRAMENTO TRIFÁSICO, PARA 12 DISJUNTORES DIN 100A - FORNECIMENTO E INSTALAÇÃO. AF_07/2025</t>
  </si>
  <si>
    <t>QUADRO DE DISTRIBUIÇÃO DE ENERGIA EM CHAPA DE AÇO GALVANIZADO, DE EMBUTIR, COM BARRAMENTO TRIFÁSICO, PARA 18 DISJUNTORES DIN 100A - FORNECIMENTO E INSTALAÇÃO. AF_07/2025</t>
  </si>
  <si>
    <t>QUADRO DE DISTRIBUIÇÃO DE ENERGIA EM CHAPA DE AÇO GALVANIZADO, DE EMBUTIR, COM BARRAMENTO TRIFÁSICO, PARA 24 DISJUNTORES DIN 100A - FORNECIMENTO E INSTALAÇÃO. AF_07/2025</t>
  </si>
  <si>
    <t>QUADRO DE DISTRIBUIÇÃO DE ENERGIA EM CHAPA DE AÇO GALVANIZADO, DE EMBUTIR, COM BARRAMENTO TRIFÁSICO, PARA 28 DISJUNTORES DIN 100A - FORNECIMENTO E INSTALAÇÃO. AF_07/2025</t>
  </si>
  <si>
    <t>QUADRO DE DISTRIBUIÇÃO DE ENERGIA EM CHAPA DE AÇO GALVANIZADO, DE EMBUTIR, COM BARRAMENTO TRIFÁSICO, PARA 30 DISJUNTORES DIN 150A - FORNECIMENTO E INSTALAÇÃO. AF_07/2025</t>
  </si>
  <si>
    <t>QUADRO DE DISTRIBUIÇÃO DE ENERGIA EM CHAPA DE AÇO GALVANIZADO, DE EMBUTIR, COM BARRAMENTO TRIFÁSICO, PARA 30 DISJUNTORES DIN 225A - FORNECIMENTO E INSTALAÇÃO. AF_07/2025</t>
  </si>
  <si>
    <t>QUADRO DE DISTRIBUIÇÃO DE ENERGIA EM CHAPA DE AÇO GALVANIZADO, DE EMBUTIR, COM BARRAMENTO TRIFÁSICO, PARA 36 DISJUNTORES DIN 100A - FORNECIMENTO E INSTALAÇÃO. AF_07/2025</t>
  </si>
  <si>
    <t>QUADRO DE DISTRIBUIÇÃO DE ENERGIA EM CHAPA DE AÇO GALVANIZADO, DE EMBUTIR, COM BARRAMENTO TRIFÁSICO, PARA 40 DISJUNTORES DIN 100A - FORNECIMENTO E INSTALAÇÃO. AF_07/2025</t>
  </si>
  <si>
    <t>QUADRO DE DISTRIBUIÇÃO DE ENERGIA EM CHAPA DE AÇO GALVANIZADO, DE EMBUTIR, COM BARRAMENTO TRIFÁSICO, PARA 48 DISJUNTORES DIN 100A - FORNECIMENTO E INSTALAÇÃO. AF_07/2025</t>
  </si>
  <si>
    <t>QUADRO DE DISTRIBUIÇÃO DE ENERGIA EM CHAPA DE AÇO GALVANIZADO, DE SOBREPOR, COM BARRAMENTO TRIFÁSICO, PARA 18 DISJUNTORES DIN 100A - FORNECIMENTO E INSTALAÇÃO. AF_07/2025</t>
  </si>
  <si>
    <t>QUADRO DE DISTRIBUIÇÃO DE ENERGIA EM CHAPA DE AÇO GALVANIZADO, DE SOBREPOR, COM BARRAMENTO TRIFÁSICO, PARA 28 DISJUNTORES DIN 100A - FORNECIMENTO E INSTALAÇÃO. AF_07/2025</t>
  </si>
  <si>
    <t>QUADRO DE DISTRIBUIÇÃO DE ENERGIA EM CHAPA DE AÇO GALVANIZADO, DE SOBREPOR, COM BARRAMENTO TRIFÁSICO, PARA 36 DISJUNTORES DIN 100A - FORNECIMENTO E INSTALAÇÃO. AF_07/2025</t>
  </si>
  <si>
    <t>QUADRO DE DISTRIBUIÇÃO DE ENERGIA EM CHAPA DE AÇO GALVANIZADO, DE SOBREPOR, COM BARRAMENTO TRIFÁSICO, PARA 48 DISJUNTORES DIN 100A - FORNECIMENTO E INSTALAÇÃO. AF_07/2025</t>
  </si>
  <si>
    <t>QUADRO DE DISTRIBUIÇÃO DE ENERGIA EM PVC, DE EMBUTIR, SEM BARRAMENTO, PARA 3 DISJUNTORES - FORNECIMENTO E INSTALAÇÃO. AF_07/2025</t>
  </si>
  <si>
    <t>QUADRO DE DISTRIBUIÇÃO DE ENERGIA EM PVC, DE EMBUTIR, SEM BARRAMENTO, PARA 6 DISJUNTORES - FORNECIMENTO E INSTALAÇÃO. AF_07/2025</t>
  </si>
  <si>
    <t>QUADRO DE DISTRIBUIÇÃO DE LUZ EM PVC PARA 12 DISJUNTORES - FORNECIMENTO E INSTALAÇÃO. AF_07/2025</t>
  </si>
  <si>
    <t>QUADRO DE DISTRIBUIÇÃO DE LUZ EM PVC PARA 24 DISJUNTORES - FORNECIMENTO E INSTALAÇÃO. AF_07/2025</t>
  </si>
  <si>
    <t>QUADRO DE DISTRIBUIÇÃO DE LUZ EM PVC PARA 4 DISJUNTORES - FORNECIMENTO E INSTALAÇÃO. AF_07/2025</t>
  </si>
  <si>
    <t>QUADRO DE DISTRIBUIÇÃO DE LUZ EM PVC PARA 8 DISJUNTORES - FORNECIMENTO E INSTALAÇÃO. AF_07/2025</t>
  </si>
  <si>
    <t>QUADRO DE MEDIÇÃO GERAL DE ENERGIA COM 12 MEDIDORES - FORNECIMENTO E INSTALAÇÃO. AF_07/2025</t>
  </si>
  <si>
    <t>QUADRO DE MEDIÇÃO GERAL DE ENERGIA COM 16 MEDIDORES - FORNECIMENTO E INSTALAÇÃO. AF_07/2025</t>
  </si>
  <si>
    <t>QUADRO DE MEDIÇÃO GERAL DE ENERGIA COM 8 MEDIDORES - FORNECIMENTO E INSTALAÇÃO. AF_07/2025</t>
  </si>
  <si>
    <t>QUADRO DE MEDIÇÃO GERAL DE ENERGIA PARA 1 MEDIDOR DE SOBREPOR - FORNECIMENTO E INSTALAÇÃO. AF_07/2025</t>
  </si>
  <si>
    <t>QUADRO DE MEDIÇÃO GERAL DE ENERGIA PARA BARRAMENTO BLINDADO COM 4 MEDIDORES - FORNECIMENTO E INSTALAÇÃO. AF_07/2025</t>
  </si>
  <si>
    <t>COTOVELO EM COBRE, 45 GRAUS, DN 1 1/8", INSTALADO EM RAMAL DE ALIMENTAÇÃO DE AR-CONDICIONADO COM CONDENSADORA CENTRAL - FORNECIMENTO E INSTALAÇÃO. AF_07/2025</t>
  </si>
  <si>
    <t>COTOVELO EM COBRE, 45 GRAUS, DN 1 5/8", INSTALADO EM RAMAL DE ALIMENTAÇÃO DE AR-CONDICIONADO COM CONDENSADORA CENTRAL - FORNECIMENTO E INSTALAÇÃO. AF_07/2025</t>
  </si>
  <si>
    <t>COTOVELO EM COBRE, 90 GRAUS, DN 1 1/8", INSTALADO EM RAMAL DE ALIMENTAÇÃO DE AR-CONDICIONADO COM CONDENSADORA CENTRAL - FORNECIMENTO E INSTALAÇÃO. AF_07/2025</t>
  </si>
  <si>
    <t>COTOVELO EM COBRE, 90 GRAUS, DN 1 5/8", INSTALADO EM RAMAL DE ALIMENTAÇÃO DE AR-CONDICIONADO COM CONDENSADORA CENTRAL - FORNECIMENTO E INSTALAÇÃO. AF_07/2025</t>
  </si>
  <si>
    <t>LUVA EM COBRE, DN 1 1/8", INSTALADO EM RAMAL DE ALIMENTAÇÃO DE AR-CONDICIONADO COM CONDENSADORA CENTRAL - FORNECIMENTO E INSTALAÇÃO. AF_07/2025</t>
  </si>
  <si>
    <t>LUVA EM COBRE, DN 1 5/8", INSTALADO EM RAMAL DE ALIMENTAÇÃO DE AR-CONDICIONADO COM CONDENSADORA CENTRAL - FORNECIMENTO E INSTALAÇÃO. AF_07/2025</t>
  </si>
  <si>
    <t>REFINETE EM COBRE, DN 1 1/8", INSTALADO EM RAMAL DE ALIMENTAÇÃO DE AR-CONDICIONADO COM CONDENSADORA CENTRAL - INSTALAÇÃO. AF_07/2025</t>
  </si>
  <si>
    <t>REFINETE EM COBRE, DN 1 5/8", INSTALADO EM RAMAL DE ALIMENTAÇÃO DE AR-CONDICIONADO COM CONDENSADORA CENTRAL - INSTALAÇÃO. AF_07/2025</t>
  </si>
  <si>
    <t>TE EM COBRE, DN 1 1/8", INSTALADO EM RAMAL DE ALIMENTAÇÃO DE AR-CONDICIONADO COM CONDENSADORA CENTRAL - FORNECIMENTO E INSTALAÇÃO. AF_07/2025</t>
  </si>
  <si>
    <t>TE EM COBRE, DN 1 5/8", INSTALADO EM RAMAL DE ALIMENTAÇÃO DE AR-CONDICIONADO COM CONDENSADORA CENTRAL - FORNECIMENTO E INSTALAÇÃO. AF_07/2025</t>
  </si>
  <si>
    <t>TUBO EM COBRE FLEXÍVEL, DN 1/2", COM ISOLAMENTO, INSTALADO EM RAMAL DE ALIMENTAÇÃO DE AR-CONDICIONADO - FORNECIMENTO E INSTALAÇÃO. AF_07/2025</t>
  </si>
  <si>
    <t>TUBO EM COBRE FLEXÍVEL, DN 1/4", COM ISOLAMENTO, INSTALADO EM RAMAL DE ALIMENTAÇÃO DE AR-CONDICIONADO - FORNECIMENTO E INSTALAÇÃO. AF_07/2025</t>
  </si>
  <si>
    <t>TUBO EM COBRE FLEXÍVEL, DN 3/4", COM ISOLAMENTO, INSTALADO EM RAMAL DE ALIMENTAÇÃO DE AR-CONDICIONADO - FORNECIMENTO E INSTALAÇÃO. AF_07/2025</t>
  </si>
  <si>
    <t>TUBO EM COBRE FLEXÍVEL, DN 3/8", COM ISOLAMENTO, INSTALADO EM RAMAL DE ALIMENTAÇÃO DE AR-CONDICIONADO - FORNECIMENTO E INSTALAÇÃO. AF_07/2025</t>
  </si>
  <si>
    <t>TUBO EM COBRE FLEXÍVEL, DN 5/8", COM ISOLAMENTO, INSTALADO EM RAMAL DE ALIMENTAÇÃO DE AR-CONDICIONADO - FORNECIMENTO E INSTALAÇÃO. AF_07/2025</t>
  </si>
  <si>
    <t>TUBO EM COBRE FLEXÍVEL, DN 7/8", COM ISOLAMENTO, INSTALADO EM RAMAL DE ALIMENTAÇÃO DE AR-CONDICIONADO - FORNECIMENTO E INSTALAÇÃO. AF_07/2025</t>
  </si>
  <si>
    <t>TUBO EM COBRE RÍGIDO, DN 1 1/8"", COM ISOLAMENTO, INSTALADO EM RAMAL DE ALIMENTAÇÃO DE AR-CONDICIONADO COM CONDENSADORA CENTRAL - FORNECIMENTO E INSTALAÇÃO. AF_07/2025</t>
  </si>
  <si>
    <t>TUBO EM COBRE RÍGIDO, DN 1 5/8"", COM ISOLAMENTO, INSTALADO EM RAMAL DE ALIMENTAÇÃO DE AR-CONDICIONADO COM CONDENSADORA CENTRAL - FORNECIMENTO E INSTALAÇÃO. AF_07/2025</t>
  </si>
  <si>
    <t>CURSO DE CAPACITAÇÃO PARA AUXILIAR DE LABORATORIO (ENCARGOS COMPLEMENTARES) - MENSALISTA</t>
  </si>
  <si>
    <t>CURSO DE CAPACITAÇÃO PARA AZULEJISTA OU LADRILHEIRO (ENCARGOS COMPLEMENTARES) - HORISTA</t>
  </si>
  <si>
    <t>CURSO DE CAPACITAÇÃO PARA AZULEJISTA OU LADRILHEIRO (ENCARGOS COMPLEMENTARES) - MENSALISTA</t>
  </si>
  <si>
    <t>MONTADOR ELETROMECÂNICO COM ENCARGOS COMPLEMENTARES</t>
  </si>
  <si>
    <t xml:space="preserve"> 1.1.1</t>
  </si>
  <si>
    <t>Valor Total C/BDI</t>
  </si>
  <si>
    <t>Significância</t>
  </si>
  <si>
    <t>Acumulado</t>
  </si>
  <si>
    <t>Classificação</t>
  </si>
  <si>
    <t>PRÓPRIA</t>
  </si>
  <si>
    <t>Material</t>
  </si>
  <si>
    <t>TOTAL Material:</t>
  </si>
  <si>
    <t>Mão de Obra com Encargos Complementares</t>
  </si>
  <si>
    <t>TOTAL Mão de Obra com Encargos Complementares:</t>
  </si>
  <si>
    <t>DIAS ÚTEIS</t>
  </si>
  <si>
    <t>PLANILHA DE CUSTOS</t>
  </si>
  <si>
    <t>TOTAL R$/M2</t>
  </si>
  <si>
    <t>Preço total com BDI</t>
  </si>
  <si>
    <t>NÍVEIS A EXIBIR NO CRONOGRAMA</t>
  </si>
  <si>
    <t>VALOR TOTAL
R$</t>
  </si>
  <si>
    <t>30dias</t>
  </si>
  <si>
    <t>60dias</t>
  </si>
  <si>
    <t>90dias</t>
  </si>
  <si>
    <t>120dias</t>
  </si>
  <si>
    <t>150dias</t>
  </si>
  <si>
    <t>180dias</t>
  </si>
  <si>
    <t>210dias</t>
  </si>
  <si>
    <t>240dias</t>
  </si>
  <si>
    <t>VERIFICAÇÃO DO % TOTAL</t>
  </si>
  <si>
    <t>TOTAL DO PERÍODO</t>
  </si>
  <si>
    <t>TOTAL ACUMULADO</t>
  </si>
  <si>
    <t>TOTAL DO ORÇAMENTO</t>
  </si>
  <si>
    <t>ENDEREÇO:</t>
  </si>
  <si>
    <t xml:space="preserve">CRONOGRAMA FÍSICO FINANCEIRO </t>
  </si>
  <si>
    <r>
      <t xml:space="preserve">PRAZO DE EXECUÇÃO
</t>
    </r>
    <r>
      <rPr>
        <sz val="11"/>
        <color theme="0"/>
        <rFont val="Arial Narrow"/>
        <family val="2"/>
      </rPr>
      <t>informe na aba "Folha Resumo"</t>
    </r>
  </si>
  <si>
    <t>OBRA:</t>
  </si>
  <si>
    <t>CANTEIRO DE OBRAS</t>
  </si>
  <si>
    <t>270dias</t>
  </si>
  <si>
    <t>300dias</t>
  </si>
  <si>
    <t>MEMORIA DE CÁLCULO - SERVIÇOS INICIAIS</t>
  </si>
  <si>
    <t>SUB TOTAL DE MÃO DE OBRA</t>
  </si>
  <si>
    <t>ENCARGOS SOCIAIS</t>
  </si>
  <si>
    <t>OBSERVAÇÕES</t>
  </si>
  <si>
    <t>FDE</t>
  </si>
  <si>
    <t>COT 06</t>
  </si>
  <si>
    <t>COT 07</t>
  </si>
  <si>
    <t>COT 10</t>
  </si>
  <si>
    <t>COT 09</t>
  </si>
  <si>
    <t>COT 08</t>
  </si>
  <si>
    <t>COT 11</t>
  </si>
  <si>
    <t>COT 12</t>
  </si>
  <si>
    <t>COT 13</t>
  </si>
  <si>
    <t>COT 14</t>
  </si>
  <si>
    <t>COT 15</t>
  </si>
  <si>
    <t>CUSTO TOTAL (S/BDI)</t>
  </si>
  <si>
    <t>CUSTO TOTAL (C/BDI)</t>
  </si>
  <si>
    <t>RESUMO GERAL DO ORÇAMENTO</t>
  </si>
  <si>
    <t>TUBO DE PVC RÍGIDO BRANCO PXB COM VIROLA E ANEL DE BORRACHA, LINHA ESGOTO SÉRIE NORMAL, DN= 75 MM, INCLUSIVE CONEXÕES</t>
  </si>
  <si>
    <t>ALICATE AMPERIMETRO, TENSAO AC/DC, CAPACIDADE MAXIMA 1000 A</t>
  </si>
  <si>
    <t>BETONEIRA, CAPACIDADE NOMINAL 400 L, CAPACIDADE DE MISTURA 280 L, MOTOR ELETRICO TRIFASICO 220/380 V, POTENCIA 2 CV, SEM CARREGADOR</t>
  </si>
  <si>
    <t>BETONEIRA, CAPACIDADE NOMINAL 400 L, CAPACIDADE DE MISTURA 310 L, MOTOR A DIESEL, POTENCIA 5 CV, SEM CARREGADOR</t>
  </si>
  <si>
    <t>BETONEIRA, CAPACIDADE NOMINAL 400 L, CAPACIDADE DE MISTURA 310 L, MOTOR A GASOLINA, POTENCIA 5,5 CV, SEM CARREGADOR</t>
  </si>
  <si>
    <t>BETONEIRA, CAPACIDADE NOMINAL 600 L, CAPACIDADE DE MISTURA 360 L, MOTOR ELETRICO TRIFASICO 220/380V, POTENCIA 4CV, SEM CARREGADOR</t>
  </si>
  <si>
    <t>BETONEIRA, CAPACIDADE NOMINAL 600 L, CAPACIDADE DE MISTURA 440 L, MOTOR A DIESEL, POTENCIA 10 CV, COM CARREGADOR</t>
  </si>
  <si>
    <t>COMPRESSOR DE AR PROFISSIONAL 10 PCM, *110* L, 140 PSI, 110/220 VOLTS, MONOFASICO</t>
  </si>
  <si>
    <t>COTOVELO HORIZONTAL RETO 90 GRAUS PARA ELETROCALHA, EM CHAPA PERFURADA DE ACO GALVANIZADO ESPESSURA #14, 700 X 50 MM (L X A), SEM VIROLA, SEM TAMPA</t>
  </si>
  <si>
    <t>COTOVELO HORIZONTAL RETO 90 GRAUS, PARA ELETROCALHA, EM CHAPA LISA DE ACO GALVANIZADO ESPESSURA # 22, 150 X 50 MM (L X A), SEM VIROLA, SEM TAMPA</t>
  </si>
  <si>
    <t>COTOVELO HORIZONTAL RETO 90 GRAUS, PARA ELETROCALHA, EM CHAPA LISA DE ACO GALVANIZADO ESPESSURA #14, 700 X 50 MM (L X A), SEM VIROLA, SEM TAMPA</t>
  </si>
  <si>
    <t>COTOVELO HORIZONTAL RETO 90 GRAUS, PARA ELETROCALHA, EM CHAPA LISA DE ACO GALVANIZADO ESPESSURA #14, 800 X 50 MM (L X A), SEM VIROLA, SEM TAMPA</t>
  </si>
  <si>
    <t>COTOVELO HORIZONTAL RETO 90 GRAUS, PARA ELETROCALHA, EM CHAPA LISA DE ACO GALVANIZADO ESPESSURA #16, 500 X 50 MM (L X A), SEM VIROLA, SEM TAMPA</t>
  </si>
  <si>
    <t>COTOVELO HORIZONTAL RETO 90 GRAUS, PARA ELETROCALHA, EM CHAPA LISA DE ACO GALVANIZADO ESPESSURA #16, 600 X 50 MM (L X A), SEM VIROLA, SEM TAMPA</t>
  </si>
  <si>
    <t>COTOVELO HORIZONTAL RETO 90 GRAUS, PARA ELETROCALHA, EM CHAPA LISA DE ACO GALVANIZADO ESPESSURA #18, 300 X 50 MM (L X A), SEM VIROLA, SEM TAMPA</t>
  </si>
  <si>
    <t>COTOVELO HORIZONTAL RETO 90 GRAUS, PARA ELETROCALHA, EM CHAPA LISA DE ACO GALVANIZADO ESPESSURA #18, 400 X 50 MM (L X A), SEM VIROLA, SEM TAMPA</t>
  </si>
  <si>
    <t>COTOVELO HORIZONTAL RETO 90 GRAUS, PARA ELETROCALHA, EM CHAPA LISA DE ACO GALVANIZADO ESPESSURA #22, 100 X 50 MM (L X A), SEM VIROLA, SEM TAMPA</t>
  </si>
  <si>
    <t>COTOVELO HORIZONTAL RETO 90 GRAUS, PARA ELETROCALHA, EM CHAPA LISA DE ACO GALVANIZADO ESPESSURA #22, 125 X 50 MM (L X A), SEM VIROLA, SEM TAMPA</t>
  </si>
  <si>
    <t>COTOVELO HORIZONTAL RETO 90 GRAUS, PARA ELETROCALHA, EM CHAPA LISA DE ACO GALVANIZADO ESPESSURA #22, 200 X 50 MM (L X A), SEM VIROLA, SEM TAMPA</t>
  </si>
  <si>
    <t>COTOVELO HORIZONTAL RETO 90 GRAUS, PARA ELETROCALHA, EM CHAPA LISA DE ACO GALVANIZADO ESPESSURA #22, 250 X 50 MM (L X A), SEM VIROLA, SEM TAMPA</t>
  </si>
  <si>
    <t>COTOVELO HORIZONTAL RETO 90 GRAUS, PARA ELETROCALHA, EM CHAPA LISA DE ACO GALVANIZADO ESPESSURA #22, 50 X 50 MM (L X A), SEM VIROLA, SEM TAMPA</t>
  </si>
  <si>
    <t>COTOVELO HORIZONTAL RETO 90 GRAUS, PARA ELETROCALHA, EM CHAPA LISA DE ACO GALVANIZADO ESPESSURA #22, 75 X 50 MM (L X A), SEM VIROLA, SEM TAMPA</t>
  </si>
  <si>
    <t>COTOVELO HORIZONTAL RETO 90 GRAUS, PARA ELETROCALHA, EM CHAPA PERFURADA DE ACO GALVANIZADO ESPESSURA #14, 800 X 50 MM (L X A), SEM VIROLA, SEM TAMPA</t>
  </si>
  <si>
    <t>COTOVELO HORIZONTAL RETO 90 GRAUS, PARA ELETROCALHA, EM CHAPA PERFURADA DE ACO GALVANIZADO ESPESSURA #16, 500 X 50 MM (L X A), SEM VIROLA, SEM TAMPA</t>
  </si>
  <si>
    <t>COTOVELO HORIZONTAL RETO 90 GRAUS, PARA ELETROCALHA, EM CHAPA PERFURADA DE ACO GALVANIZADO ESPESSURA #16, 600 X 50 MM (L X A), SEM VIROLA, SEM TAMPA</t>
  </si>
  <si>
    <t>COTOVELO HORIZONTAL RETO 90 GRAUS, PARA ELETROCALHA, EM CHAPA PERFURADA DE ACO GALVANIZADO ESPESSURA #18, 300 X 50 MM (L X A), SEM VIROLA, SEM TAMPA</t>
  </si>
  <si>
    <t>COTOVELO HORIZONTAL RETO 90 GRAUS, PARA ELETROCALHA, EM CHAPA PERFURADA DE ACO GALVANIZADO ESPESSURA #18, 400 X 50 MM (L X A), SEM VIROLA, SEM TAMPA</t>
  </si>
  <si>
    <t>COTOVELO HORIZONTAL RETO 90 GRAUS, PARA ELETROCALHA, EM CHAPA PERFURADA DE ACO GALVANIZADO ESPESSURA #22, 125 X 50 MM (L X A), SEM VIROLA, SEM TAMPA</t>
  </si>
  <si>
    <t>COTOVELO HORIZONTAL RETO 90 GRAUS, PARA ELETROCALHA, EM CHAPA PERFURADA DE ACO GALVANIZADO ESPESSURA #22, 150 X 50 MM (L X A), SEM VIROLA, SEM TAMPA</t>
  </si>
  <si>
    <t>COTOVELO HORIZONTAL RETO 90 GRAUS, PARA ELETROCALHA, EM CHAPA PERFURADA DE ACO GALVANIZADO ESPESSURA #22, 200 X 50 MM (L X A), SEM VIROLA, SEM TAMPA</t>
  </si>
  <si>
    <t>COTOVELO HORIZONTAL RETO 90 GRAUS, PARA ELETROCALHA, EM CHAPA PERFURADA DE ACO GALVANIZADO ESPESSURA #22, 250 X 50 MM (L X A), SEM VIROLA, SEM TAMPA</t>
  </si>
  <si>
    <t>COTOVELO HORIZONTAL RETO 90 GRAUS, PARA ELETROCALHA, EM CHAPA PERFURADA DE ACO GALVANIZADO ESPESSURA #22, 50 X 50 MM (L X A), SEM VIROLA, SEM TAMPA</t>
  </si>
  <si>
    <t>COTOVELO HORIZONTAL RETO 90 GRAUS, PARA ELETROCALHA, EM CHAPA PERFURADA DE ACO GALVANIZADO ESPESSURA #22, 75 X 50 MM (L X A), SEM VIROLA, SEM TAMPA</t>
  </si>
  <si>
    <t>COTOVELO HORIZONTAL RETO, 90 GRAUS, PARA ELETROCALHA, EM CHAPA PERFURADA DE ACO GALVANIZADO ESPESSURA #22, 100 X 50 MM (L X A), SEM VIROLA, SEM TAMPA</t>
  </si>
  <si>
    <t>CURVA HORIZONTAL 90 GRAUS PERFURADA, PARA ELETROCALHA, EM CHAPA DE ACO GALVANIZADO ESPESSURA #14, 700 X 50 MM (L X A), SEM VIROLA, SEM TAMPA</t>
  </si>
  <si>
    <t>CURVA HORIZONTAL 90 GRAUS PERFURADA, PARA ELETROCALHA, EM CHAPA DE ACO GALVANIZADO ESPESSURA #14, 800 X 50 MM (L X A), SEM VIROLA, SEM TAMPA</t>
  </si>
  <si>
    <t>CURVA HORIZONTAL 90 GRAUS PERFURADA, PARA ELETROCALHA, EM CHAPA DE ACO GALVANIZADO ESPESSURA #16, 500 X 50 MM (L X A), SEM VIROLA, SEM TAMPA</t>
  </si>
  <si>
    <t>CURVA HORIZONTAL 90 GRAUS PERFURADA, PARA ELETROCALHA, EM CHAPA DE ACO GALVANIZADO ESPESSURA #16, 600 X 50 MM (L X A), SEM VIROLA, SEM TAMPA</t>
  </si>
  <si>
    <t>CURVA HORIZONTAL 90 GRAUS PERFURADA, PARA ELETROCALHA, EM CHAPA DE ACO GALVANIZADO ESPESSURA #18, 300 X 50 MM (L X A), SEM VIROLA, SEM TAMPA</t>
  </si>
  <si>
    <t>CURVA HORIZONTAL 90 GRAUS PERFURADA, PARA ELETROCALHA, EM CHAPA DE ACO GALVANIZADO ESPESSURA #18, 400 X 50 MM (L X A), SEM VIROLA, SEM TAMPA</t>
  </si>
  <si>
    <t>CURVA HORIZONTAL 90 GRAUS PERFURADA, PARA ELETROCALHA, EM CHAPA DE ACO GALVANIZADO ESPESSURA #22, 100 X 50 MM (L X A), SEM VIROLA, SEM TAMPA</t>
  </si>
  <si>
    <t>CURVA HORIZONTAL 90 GRAUS PERFURADA, PARA ELETROCALHA, EM CHAPA DE ACO GALVANIZADO ESPESSURA #22, 125 X 50 MM (L X A), SEM VIROLA, SEM TAMPA</t>
  </si>
  <si>
    <t>CURVA HORIZONTAL 90 GRAUS PERFURADA, PARA ELETROCALHA, EM CHAPA DE ACO GALVANIZADO ESPESSURA #22, 150 X 50 MM (L X A), SEM VIROLA, SEM TAMPA</t>
  </si>
  <si>
    <t>CURVA HORIZONTAL 90 GRAUS PERFURADA, PARA ELETROCALHA, EM CHAPA DE ACO GALVANIZADO ESPESSURA #22, 200 X 50 MM (L X A), SEM VIROLA, SEM TAMPA</t>
  </si>
  <si>
    <t>CURVA HORIZONTAL 90 GRAUS PERFURADA, PARA ELETROCALHA, EM CHAPA DE ACO GALVANIZADO ESPESSURA #22, 250 X 50 MM (L X A), SEM VIROLA, SEM TAMPA</t>
  </si>
  <si>
    <t>CURVA HORIZONTAL 90 GRAUS PERFURADA, PARA ELETROCALHA, EM CHAPA DE ACO GALVANIZADO ESPESSURA #22, 50 X 50 MM (L X A), SEM VIROLA, SEM TAMPA</t>
  </si>
  <si>
    <t>CURVA HORIZONTAL 90 GRAUS PERFURADA, PARA ELETROCALHA, EM CHAPA DE ACO GALVANIZADO ESPESSURA #22, 75 X 50 MM (L X A), SEM VIROLA, SEM TAMPA</t>
  </si>
  <si>
    <t>DETECTOR DE TENSAO 90 V A 1000 V (CAT IV)</t>
  </si>
  <si>
    <t>ELEMENTO PRE-MOLDADO PARA TRANSICAO EXCENTRICA EM CONCRETO ARMADO, DN *1200* MM, FURO CIRCULAR DN 600 MM, ESPESSURA *12* CM</t>
  </si>
  <si>
    <t>ELEMENTO PRE-MOLDADO PARA TRANSICAO EXCENTRICA EM CONCRETO ARMADO, DN *1500* MM, FURO CIRCULAR DN 600 MM, ESPESSURA 15 CM</t>
  </si>
  <si>
    <t>ELETROCALHA LISA OU PERFURADA TIPO U, EM CHAPA DE ACO GALVANIZADO A FOGO, ESPESSURA # 14, DE 700 X 50 MM (L X A), SEM VIROLA, SEM TAMPA</t>
  </si>
  <si>
    <t>ELETROCALHA LISA OU PERFURADA TIPO U, EM CHAPA DE ACO GALVANIZADO A FOGO, ESPESSURA # 14, DE 800 X 50 MM (L X A), SEM VIROLA, SEM TAMPA</t>
  </si>
  <si>
    <t>ELETROCALHA LISA OU PERFURADA TIPO U, EM CHAPA DE ACO GALVANIZADO A FOGO, ESPESSURA # 16, DE 500 X 50 MM (L X A), SEM VIROLA, SEM TAMPA</t>
  </si>
  <si>
    <t>ELETROCALHA LISA OU PERFURADA TIPO U, EM CHAPA DE ACO GALVANIZADO A FOGO, ESPESSURA # 16, DE 600 X 50 MM (L X A), SEM VIROLA, SEM TAMPA</t>
  </si>
  <si>
    <t>ELETROCALHA LISA OU PERFURADA TIPO U, EM CHAPA DE ACO GALVANIZADO A FOGO, ESPESSURA # 18, DE 300 X 50 MM (L X A), SEM VIROLA, SEM TAMPA</t>
  </si>
  <si>
    <t>ELETROCALHA LISA OU PERFURADA TIPO U, EM CHAPA DE ACO GALVANIZADO A FOGO, ESPESSURA # 18, DE 400 X 50 MM (L X A), SEM VIROLA, SEM TAMPA</t>
  </si>
  <si>
    <t>ELETROCALHA LISA OU PERFURADA TIPO U, EM CHAPA DE ACO GALVANIZADO A FOGO, ESPESSURA # 22, DE 100 X 50 MM (L X A), SEM VIROLA, SEM TAMPA</t>
  </si>
  <si>
    <t>ELETROCALHA LISA OU PERFURADA TIPO U, EM CHAPA DE ACO GALVANIZADO A FOGO, ESPESSURA # 22, DE 125 X 50 MM (L X A), SEM VIROLA, SEM TAMPA</t>
  </si>
  <si>
    <t>ELETROCALHA LISA OU PERFURADA TIPO U, EM CHAPA DE ACO GALVANIZADO A FOGO, ESPESSURA # 22, DE 150 X 50 MM (L X A), SEM VIROLA, SEM TAMPA</t>
  </si>
  <si>
    <t>ELETROCALHA LISA OU PERFURADA TIPO U, EM CHAPA DE ACO GALVANIZADO A FOGO, ESPESSURA # 22, DE 250 X 50 MM (L X A), SEM VIROLA, SEM TAMPA</t>
  </si>
  <si>
    <t>ELETROCALHA LISA OU PERFURADA TIPO U, EM CHAPA DE ACO GALVANIZADO A FOGO, ESPESSURA # 22, DE 75 X 50 MM (L X A), SEM VIROLA, SEM TAMPA</t>
  </si>
  <si>
    <t>ELETROCALHA LISA OU PERFURADA, TIPO U, EM CHAPA DE ACO GALVANIZADO A FOGO, ESPESSURA # 22, DE 200 X 50 MM (L X A), SEM VIROLA, SEM TAMPA</t>
  </si>
  <si>
    <t>ELETROCALHA LISA OU PERFURADA, TIPO U, EM CHAPA DE ACO GALVANIZADO A FOGO, ESPESSURA #22, DE 50 X 50 MM (L X A), SEM VIROLA, SEM TAMPA</t>
  </si>
  <si>
    <t>EMENDA INTERNA, TIPO U, BASE LISA, PARA ELETROCALHA, EM CHAPA DE ACO GALVANIZADO ESPESSURA #14, 700 X 50 MM (L X A)</t>
  </si>
  <si>
    <t>EMENDA INTERNA, TIPO U, BASE LISA, PARA ELETROCALHA, EM CHAPA DE ACO GALVANIZADO ESPESSURA #14, 800 X 50 MM (L X A)</t>
  </si>
  <si>
    <t>EMENDA INTERNA, TIPO U, BASE LISA, PARA ELETROCALHA, EM CHAPA DE ACO GALVANIZADO ESPESSURA #16, 500 X 50 MM (L X A)</t>
  </si>
  <si>
    <t>EMENDA INTERNA, TIPO U, BASE LISA, PARA ELETROCALHA, EM CHAPA DE ACO GALVANIZADO ESPESSURA #16, 600 X 50 MM (L X A)</t>
  </si>
  <si>
    <t>EMENDA INTERNA, TIPO U, BASE LISA, PARA ELETROCALHA, EM CHAPA DE ACO GALVANIZADO ESPESSURA #18, 300 X 50 MM (L X A)</t>
  </si>
  <si>
    <t>EMENDA INTERNA, TIPO U, BASE LISA, PARA ELETROCALHA, EM CHAPA DE ACO GALVANIZADO ESPESSURA #18, 400 X 50 MM (L X A)</t>
  </si>
  <si>
    <t>EMENDA INTERNA, TIPO U, BASE LISA, PARA ELETROCALHA, EM CHAPA DE ACO GALVANIZADO ESPESSURA #22, 100 X 50 MM (L X A)</t>
  </si>
  <si>
    <t>EMENDA INTERNA, TIPO U, BASE LISA, PARA ELETROCALHA, EM CHAPA DE ACO GALVANIZADO ESPESSURA #22, 125 X 50 MM (L X A)</t>
  </si>
  <si>
    <t>EMENDA INTERNA, TIPO U, BASE LISA, PARA ELETROCALHA, EM CHAPA DE ACO GALVANIZADO ESPESSURA #22, 150 X 50 MM (L X A)</t>
  </si>
  <si>
    <t>EMENDA INTERNA, TIPO U, BASE LISA, PARA ELETROCALHA, EM CHAPA DE ACO GALVANIZADO ESPESSURA #22, 200 X 50 MM (L X A)</t>
  </si>
  <si>
    <t>EMENDA INTERNA, TIPO U, BASE LISA, PARA ELETROCALHA, EM CHAPA DE ACO GALVANIZADO ESPESSURA #22, 250 X 50 MM (L X A)</t>
  </si>
  <si>
    <t>EMENDA INTERNA, TIPO U, BASE LISA, PARA ELETROCALHA, EM CHAPA DE ACO GALVANIZADO ESPESSURA #22, 50 X 50 MM (L X A)</t>
  </si>
  <si>
    <t>EMENDA INTERNA, TIPO U, BASE LISA, PARA ELETROCALHA, EM CHAPA DE ACO GALVANIZADO ESPESSURA #22, 75 X 50 MM (L X A)</t>
  </si>
  <si>
    <t>FURADEIRA ELETRICA DE IMPACTO 1/2", 600 W</t>
  </si>
  <si>
    <t>LAJE PRE-MOLDADA CONVENCIONAL (LAJOTAS + VIGOTAS) PARA FORRO, UNIDIRECIONAL, SOBRECARGA DE 100 KG/M2, VAO ATE 4 M (SEM COLOCACAO)</t>
  </si>
  <si>
    <t>LAJE PRE-MOLDADA CONVENCIONAL (LAJOTAS + VIGOTAS) PARA FORRO, UNIDIRECIONAL, SOBRECARGA DE 100 KG/M2, VAO ATE 4,5 M (SEM COLOCACAO)</t>
  </si>
  <si>
    <t>LAJE PRE-MOLDADA CONVENCIONAL (LAJOTAS + VIGOTAS) PARA PISO, UNIDIRECIONAL, SOBRECARGA DE 350 KG/M2, VAO ATE 4,5 M (SEM COLOCACAO)</t>
  </si>
  <si>
    <t>MARTELO PERFURADOR PNEUMATICO MANUAL, HASTE 19 X 108 MM, *11* KG</t>
  </si>
  <si>
    <t>PAINEL ESTRUTURAL PARA LAJE SECA REVESTIDO EM PLACA CIMENTICIA, DE *1,20 X 2,50* M, E = 55 MM</t>
  </si>
  <si>
    <t>REDUCAO CONCENTRICA PARA ELETROCALHA, PERFURADA, EM CHAPA DE ACO GALVANIZADO ESPESSURA #14, (700 X 600 MM) X 50 MM, SEM VIROLA, SEM TAMPA</t>
  </si>
  <si>
    <t>REDUCAO CONCENTRICA PARA ELETROCALHA, PERFURADA, EM CHAPA DE ACO GALVANIZADO ESPESSURA #14, (800 X 700 MM) X 50 MM, SEM VIROLA, SEM TAMPA</t>
  </si>
  <si>
    <t>REDUCAO CONCENTRICA PARA ELETROCALHA, PERFURADA, EM CHAPA DE ACO GALVANIZADO ESPESSURA #16, (500 X 400 MM) X 50 MM (L X A), SEM VIROLA, SEM TAMPA</t>
  </si>
  <si>
    <t>REDUCAO CONCENTRICA PARA ELETROCALHA, PERFURADA, EM CHAPA DE ACO GALVANIZADO ESPESSURA #16, (600 X 500 MM) X 50 MM, SEM VIROLA, SEM TAMPA</t>
  </si>
  <si>
    <t>REDUCAO CONCENTRICA PARA ELETROCALHA, PERFURADA, EM CHAPA DE ACO GALVANIZADO ESPESSURA #18, (300 X 250 MM) X 50 MM (L X A), SEM VIROLA, SEM TAMPA</t>
  </si>
  <si>
    <t>REDUCAO CONCENTRICA PARA ELETROCALHA, PERFURADA, EM CHAPA DE ACO GALVANIZADO ESPESSURA #18, (400 X 300 MM) X 50 MM (L X A), SEM VIROLA, SEM TAMPA</t>
  </si>
  <si>
    <t>REDUCAO CONCENTRICA PARA ELETROCALHA, PERFURADA, EM CHAPA DE ACO GALVANIZADO ESPESSURA #22, (100 X 75 MM) X 50 MM (L X A), SEM VIROLA, SEM TAMPA</t>
  </si>
  <si>
    <t>REDUCAO CONCENTRICA PARA ELETROCALHA, PERFURADA, EM CHAPA DE ACO GALVANIZADO ESPESSURA #22, (125 X100 MM) X 50 MM (L X A), SEM VIROLA, SEM TAMPA</t>
  </si>
  <si>
    <t>REDUCAO CONCENTRICA PARA ELETROCALHA, PERFURADA, EM CHAPA DE ACO GALVANIZADO ESPESSURA #22, (150 X125 MM) X 50 MM (L X A), SEM VIROLA, SEM TAMPA</t>
  </si>
  <si>
    <t>REDUCAO CONCENTRICA PARA ELETROCALHA, PERFURADA, EM CHAPA DE ACO GALVANIZADO ESPESSURA #22, (200 X 150 MM) X 50 MM (L X A), SEM VIROLA, SEM TAMPA</t>
  </si>
  <si>
    <t>REDUCAO CONCENTRICA PARA ELETROCALHA, PERFURADA, EM CHAPA DE ACO GALVANIZADO ESPESSURA #22, (250 X 200 MM) X 50 MM (L X A), SEM VIROLA, SEM TAMPA</t>
  </si>
  <si>
    <t>REDUCAO CONCENTRICA PARA ELETROCALHA, PERFURADA, EM CHAPA DE ACO GALVANIZADO ESPESSURA #22, (75 X 50 MM) X 50 MM (L X A), SEM VIROLA, SEM TAMPA</t>
  </si>
  <si>
    <t>TALA PARA EMENDA DE ELETROCALHA, SIMPLES / RETA, LISA OU PERFURADA, EM CHAPA DE ACO GALVANIZADO #22, ALTURA 50 MM</t>
  </si>
  <si>
    <t>TE HORIZONTAL 90 GRAUS, PARA ELETROCALHA, EM CHAPA DE ACO GALVANIZADO, ESPESSURA #14, 700 X 50 MM (L X A), SEM VIROLA, SEM TAMPA</t>
  </si>
  <si>
    <t>TE HORIZONTAL 90 GRAUS, PARA ELETROCALHA, EM CHAPA DE ACO GALVANIZADO, ESPESSURA #14, 800 X 50 MM (L X A), SEM VIROLA, SEM TAMPA</t>
  </si>
  <si>
    <t>TE HORIZONTAL 90 GRAUS, PARA ELETROCALHA, EM CHAPA DE ACO GALVANIZADO, ESPESSURA #16, 500 X 50 MM (L X A), SEM VIROLA, SEM TAMPA</t>
  </si>
  <si>
    <t>TE HORIZONTAL 90 GRAUS, PARA ELETROCALHA, EM CHAPA DE ACO GALVANIZADO, ESPESSURA #16, 600 X 50 MM (L X A), SEM VIROLA, SEM TAMPA</t>
  </si>
  <si>
    <t>TE HORIZONTAL 90 GRAUS, PARA ELETROCALHA, EM CHAPA DE ACO GALVANIZADO, ESPESSURA #18, 300 X 50 MM (L X A), SEM VIROLA, SEM TAMPA</t>
  </si>
  <si>
    <t>TE HORIZONTAL 90 GRAUS, PARA ELETROCALHA, EM CHAPA DE ACO GALVANIZADO, ESPESSURA #18, 400 X 50 MM (L X A), SEM VIROLA, SEM TAMPA</t>
  </si>
  <si>
    <t>TE HORIZONTAL 90 GRAUS, PARA ELETROCALHA, EM CHAPA DE ACO GALVANIZADO, ESPESSURA #22, 100 X 50 MM (L X A), SEM VIROLA, SEM TAMPA</t>
  </si>
  <si>
    <t>TE HORIZONTAL 90 GRAUS, PARA ELETROCALHA, EM CHAPA DE ACO GALVANIZADO, ESPESSURA #22, 125 X 50 MM (L X A), SEM VIROLA, SEM TAMPA</t>
  </si>
  <si>
    <t>TE HORIZONTAL 90 GRAUS, PARA ELETROCALHA, EM CHAPA DE ACO GALVANIZADO, ESPESSURA #22, 150 X 50 MM (L X A), SEM VIROLA, SEM TAMPA</t>
  </si>
  <si>
    <t>TE HORIZONTAL 90 GRAUS, PARA ELETROCALHA, EM CHAPA DE ACO GALVANIZADO, ESPESSURA #22, 200 X 50 MM (L X A), SEM VIROLA, SEM TAMPA</t>
  </si>
  <si>
    <t>TE HORIZONTAL 90 GRAUS, PARA ELETROCALHA, EM CHAPA DE ACO GALVANIZADO, ESPESSURA #22, 250 X 50 MM (L X A), SEM VIROLA, SEM TAMPA</t>
  </si>
  <si>
    <t>TE HORIZONTAL 90 GRAUS, PARA ELETROCALHA, EM CHAPA DE ACO GALVANIZADO, ESPESSURA #22, 50 X 50 MM (L X A), SEM VIROLA, SEM TAMPA</t>
  </si>
  <si>
    <t>TE HORIZONTAL 90 GRAUS, PARA ELETROCALHA, EM CHAPA DE ACO GALVANIZADO, ESPESSURA #22, 75 X 50 MM (L X A), SEM VIROLA, SEM TAMPA</t>
  </si>
  <si>
    <t>EXECUÇÃO DE VALETA DE CONCRETO ARMADO MOLDADO IN LOCO, ESPESSURA DE 0,08 M, GEOMETRIA TRAPEIZOIDAL, COM DIMENSÕES INTERNAS: B1=*1,20* M; B2=*0,4* M; H=0,4 M. AF_05/2025</t>
  </si>
  <si>
    <t>EXECUÇÃO DE VALETA DE CONCRETO ARMADO MOLDADO IN LOCO, ESPESSURA DE 0,08 M, GEOMETRIA TRAPEIZOIDAL, COM DIMENSÕES INTERNAS: B1=0,6 M; B2=0,20 M; H=0,20 M. AF_05/2025</t>
  </si>
  <si>
    <t>EXECUÇÃO DE VALETA DE CONCRETO ARMADO MOLDADO IN LOCO, ESPESSURA DE 0,08 M, GEOMETRIA TRAPEIZOIDAL, COM DIMENSÕES INTERNAS: B1=0,7 M; B2=0,30 M; H=0,20 M. AF_05/2025</t>
  </si>
  <si>
    <t>EXECUÇÃO DE VALETA DE CONCRETO ARMADO MOLDADO IN LOCO, ESPESSURA DE 0,08 M, GEOMETRIA TRAPEIZOIDAL, COM DIMENSÕES INTERNAS: B1=0,8 M; B2=0,30 M; H=0,25 M. AF_05/2025</t>
  </si>
  <si>
    <t>EXECUÇÃO DE VALETA DE CONCRETO ARMADO MOLDADO IN LOCO, ESPESSURA DE 0,08 M, GEOMETRIA TRAPEIZOIDAL, COM DIMENSÕES INTERNAS: B1=0,9 M; B2=0,30 M; H=0,30 M. AF_05/2025</t>
  </si>
  <si>
    <t>EXECUÇÃO DE VALETA DE CONCRETO ARMADO MOLDADO IN LOCO, ESPESSURA DE 0,08 M, GEOMETRIA TRAPEIZOIDAL, COM DIMENSÕES INTERNAS: B1=1,0 M; B2=0,40 M; H=0,30 M. AF_05/2025</t>
  </si>
  <si>
    <t>EXECUÇÃO DE VALETA DE CONCRETO ARMADO MOLDADO IN LOCO, ESPESSURA DE 0,08 M, GEOMETRIA TRAPEIZOIDAL, COM DIMENSÕES INTERNAS: B1=1,1 M; B2=0,40 M; H=0,35 M. AF_05/2025</t>
  </si>
  <si>
    <t>EXECUÇÃO DE VALETA DE CONCRETO MOLDADO IN LOCO, ESPESSURA DE 0,08 M, GEOMETRIA TRAPEIZOIDAL, COM DIMENSÕES INTERNAS: B1=*1,0* M; B2=0,40 M; H=*0,30* M. AF_05/2025</t>
  </si>
  <si>
    <t>EXECUÇÃO DE VALETA DE CONCRETO MOLDADO IN LOCO, ESPESSURA DE 0,08 M, GEOMETRIA TRAPEIZOIDAL, COM DIMENSÕES INTERNAS: B1=*1,2* M; B2=*0,4* M; H= 0,4 M. AF_05/2025</t>
  </si>
  <si>
    <t>EXECUÇÃO DE VALETA DE CONCRETO MOLDADO IN LOCO, ESPESSURA DE 0,08 M, GEOMETRIA TRAPEIZOIDAL, COM DIMENSÕES INTERNAS: B1=*1,5* M; B2=*0,50* M; H=*0,50* M. AF_05/2025</t>
  </si>
  <si>
    <t>EXECUÇÃO DE VALETA DE CONCRETO MOLDADO IN LOCO, ESPESSURA DE 0,08 M, GEOMETRIA TRAPEIZOIDAL, COM DIMENSÕES INTERNAS: B1=*1,8* M; B2=*0,60* M; H=*0,6* M. AF_05/2025</t>
  </si>
  <si>
    <t>EXECUÇÃO DE VALETA DE CONCRETO MOLDADO IN LOCO, ESPESSURA DE 0,08 M, GEOMETRIA TRAPEIZOIDAL, COM DIMENSÕES INTERNAS: B1=*2,0* M; B2=*0,8* M; H=0,6 M. AF_05/2025</t>
  </si>
  <si>
    <t>EXECUÇÃO DE VALETA DE CONCRETO MOLDADO IN LOCO, ESPESSURA DE 0,08 M, GEOMETRIA TRAPEIZOIDAL, COM DIMENSÕES INTERNAS: B1=0,6M; B2=0,20 M; H=0,20 M. AF_05/2025</t>
  </si>
  <si>
    <t>EXECUÇÃO DE VALETA DE CONCRETO MOLDADO IN LOCO, ESPESSURA DE 0,08 M, GEOMETRIA TRAPEIZOIDAL, COM DIMENSÕES INTERNAS: B1=0,7 M; B2=0,30 M; H=0,20 M. AF_05/2025</t>
  </si>
  <si>
    <t>EXECUÇÃO DE VALETA DE CONCRETO MOLDADO IN LOCO, ESPESSURA DE 0,08 M, GEOMETRIA TRAPEIZOIDAL, COM DIMENSÕES INTERNAS: B1=0,8 M; B2=0,30 M; H=0,25 M. AF_05/2025</t>
  </si>
  <si>
    <t>EXECUÇÃO DE VALETA DE CONCRETO MOLDADO IN LOCO, ESPESSURA DE 0,08 M, GEOMETRIA TRAPEIZOIDAL, COM DIMENSÕES INTERNAS: B1=0,9 M; B2=0,30 M; H=0,30 M. AF_05/2025</t>
  </si>
  <si>
    <t>EXECUÇÃO DE VALETA DE CONCRETO MOLDADO IN LOCO, ESPESSURA DE 0,08 M, GEOMETRIA TRAPEIZOIDAL, COM DIMENSÕES INTERNAS: B1=1,2 M; B2=0,6 M; H=0,3 M. AF_05/2025</t>
  </si>
  <si>
    <t>EXECUÇÃO DE VALETA DE CONCRETO MOLDADO IN LOCO, ESPESSURA DE 0,08 M, GEOMETRIA TRAPEIZOIDAL, COM DIMENSÕES INTERNAS: B1=1,6 M; B2=1,0 M; H=0,3 M. AF_05/2025</t>
  </si>
  <si>
    <t>EXECUÇÃO DE REVESTIMENTO DE CONCRETO PROJETADO COM ESPESSURA DE 10 CM, ARMADO COM FIBRAS DE AÇO, INCLINAÇÃO DE 90°, APLICAÇÃO CONTÍNUA, UTILIZANDO EQUIPAMENTO DE PROJEÇÃO COM 3 M3/H DE CAPACIDADE. AF_07/2024</t>
  </si>
  <si>
    <t>EXECUÇÃO DE REVESTIMENTO DE CONCRETO PROJETADO COM ESPESSURA DE 10 CM, ARMADO COM FIBRAS DE AÇO, INCLINAÇÃO DE 90°, APLICAÇÃO CONTÍNUA, UTILIZANDO EQUIPAMENTO DE PROJEÇÃO COM 6 M3/H DE CAPACIDADE. AF_07/2024</t>
  </si>
  <si>
    <t>EXECUÇÃO DE REVESTIMENTO DE CONCRETO PROJETADO COM ESPESSURA DE 10 CM, ARMADO COM FIBRAS DE AÇO, INCLINAÇÃO DE 90°, APLICAÇÃO DESCONTÍNUA, UTILIZANDO EQUIPAMENTO DE PROJEÇÃO COM 3 M3/H DE CAPACIDADE. AF_07/2024</t>
  </si>
  <si>
    <t>EXECUÇÃO DE REVESTIMENTO DE CONCRETO PROJETADO COM ESPESSURA DE 10 CM, ARMADO COM FIBRAS DE AÇO, INCLINAÇÃO DE 90°, APLICAÇÃO DESCONTÍNUA, UTILIZANDO EQUIPAMENTO DE PROJEÇÃO COM 6 M3/H DE CAPACIDADE. AF_07/2024</t>
  </si>
  <si>
    <t>EXECUÇÃO DE REVESTIMENTO DE CONCRETO PROJETADO COM ESPESSURA DE 10 CM, ARMADO COM FIBRAS DE AÇO, INCLINAÇÃO MENOR QUE 90°, APLICAÇÃO CONTÍNUA, UTILIZANDO EQUIPAMENTO DE PROJEÇÃO COM 3 M3/H DE CAPACIDADE. AF_07/2024</t>
  </si>
  <si>
    <t>EXECUÇÃO DE REVESTIMENTO DE CONCRETO PROJETADO COM ESPESSURA DE 10 CM, ARMADO COM FIBRAS DE AÇO, INCLINAÇÃO MENOR QUE 90°, APLICAÇÃO CONTÍNUA, UTILIZANDO EQUIPAMENTO DE PROJEÇÃO COM 6 M3/H DE CAPACIDADE. AF_07/2024</t>
  </si>
  <si>
    <t>EXECUÇÃO DE REVESTIMENTO DE CONCRETO PROJETADO COM ESPESSURA DE 10 CM, ARMADO COM FIBRAS DE AÇO, INCLINAÇÃO MENOR QUE 90°, APLICAÇÃO DESCONTÍNUA, UTILIZANDO EQUIPAMENTO DE PROJEÇÃO COM 3 M3/H DE CAPACIDADE. AF_07/2024</t>
  </si>
  <si>
    <t>EXECUÇÃO DE REVESTIMENTO DE CONCRETO PROJETADO COM ESPESSURA DE 10 CM, ARMADO COM FIBRAS DE AÇO, INCLINAÇÃO MENOR QUE 90°, APLICAÇÃO DESCONTÍNUA, UTILIZANDO EQUIPAMENTO DE PROJEÇÃO COM 6 M3/H DE CAPACIDADE. AF_07/2024</t>
  </si>
  <si>
    <t>EXECUÇÃO DE REVESTIMENTO DE CONCRETO PROJETADO COM ESPESSURA DE 10 CM, ARMADO COM TELA, INCLINAÇÃO DE 90°, APLICAÇÃO CONTÍNUA, UTILIZANDO EQUIPAMENTO DE PROJEÇÃO COM 3 M3/H DE CAPACIDADE. AF_07/2024</t>
  </si>
  <si>
    <t>EXECUÇÃO DE REVESTIMENTO DE CONCRETO PROJETADO COM ESPESSURA DE 10 CM, ARMADO COM TELA, INCLINAÇÃO DE 90°, APLICAÇÃO CONTÍNUA, UTILIZANDO EQUIPAMENTO DE PROJEÇÃO COM 6 M3/H DE CAPACIDADE. AF_07/2024</t>
  </si>
  <si>
    <t>EXECUÇÃO DE REVESTIMENTO DE CONCRETO PROJETADO COM ESPESSURA DE 10 CM, ARMADO COM TELA, INCLINAÇÃO DE 90°, APLICAÇÃO DESCONTÍNUA, UTILIZANDO EQUIPAMENTO DE PROJEÇÃO COM 3 M3/H DE CAPACIDADE. AF_07/2024</t>
  </si>
  <si>
    <t>EXECUÇÃO DE REVESTIMENTO DE CONCRETO PROJETADO COM ESPESSURA DE 10 CM, ARMADO COM TELA, INCLINAÇÃO DE 90°, APLICAÇÃO DESCONTÍNUA, UTILIZANDO EQUIPAMENTO DE PROJEÇÃO COM 6 M3/H DE CAPACIDADE. AF_07/2024</t>
  </si>
  <si>
    <t>EXECUÇÃO DE REVESTIMENTO DE CONCRETO PROJETADO COM ESPESSURA DE 10 CM, ARMADO COM TELA, INCLINAÇÃO MENOR QUE 90°, APLICAÇÃO CONTÍNUA, UTILIZANDO EQUIPAMENTO DE PROJEÇÃO COM 3 M3/H DE CAPACIDADE. AF_07/2024</t>
  </si>
  <si>
    <t>EXECUÇÃO DE REVESTIMENTO DE CONCRETO PROJETADO COM ESPESSURA DE 10 CM, ARMADO COM TELA, INCLINAÇÃO MENOR QUE 90°, APLICAÇÃO CONTÍNUA, UTILIZANDO EQUIPAMENTO DE PROJEÇÃO COM 6 M3/H DE CAPACIDADE. AF_07/2024</t>
  </si>
  <si>
    <t>EXECUÇÃO DE REVESTIMENTO DE CONCRETO PROJETADO COM ESPESSURA DE 10 CM, ARMADO COM TELA, INCLINAÇÃO MENOR QUE 90°, APLICAÇÃO DESCONTÍNUA, UTILIZANDO EQUIPAMENTO DE PROJEÇÃO COM 3 M3/H DE CAPACIDADE. AF_07/2024</t>
  </si>
  <si>
    <t>EXECUÇÃO DE REVESTIMENTO DE CONCRETO PROJETADO COM ESPESSURA DE 10 CM, ARMADO COM TELA, INCLINAÇÃO MENOR QUE 90°, APLICAÇÃO DESCONTÍNUA, UTILIZANDO EQUIPAMENTO DE PROJEÇÃO COM 6 M3/H DE CAPACIDADE. AF_07/2024</t>
  </si>
  <si>
    <t>EXECUÇÃO DE REVESTIMENTO DE CONCRETO PROJETADO COM ESPESSURA DE 7 CM, ARMADO COM FIBRAS DE AÇO, INCLINAÇÃO DE 90°, APLICAÇÃO CONTÍNUA, UTILIZANDO EQUIPAMENTO DE PROJEÇÃO COM 3 M3/H DE CAPACIDADE. AF_07/2024</t>
  </si>
  <si>
    <t>EXECUÇÃO DE REVESTIMENTO DE CONCRETO PROJETADO COM ESPESSURA DE 7 CM, ARMADO COM FIBRAS DE AÇO, INCLINAÇÃO DE 90°, APLICAÇÃO CONTÍNUA, UTILIZANDO EQUIPAMENTO DE PROJEÇÃO COM 6 M3/H DE CAPACIDADE. AF_07/2024</t>
  </si>
  <si>
    <t>EXECUÇÃO DE REVESTIMENTO DE CONCRETO PROJETADO COM ESPESSURA DE 7 CM, ARMADO COM FIBRAS DE AÇO, INCLINAÇÃO DE 90°, APLICAÇÃO DESCONTÍNUA, UTILIZANDO EQUIPAMENTO DE PROJEÇÃO COM 3 M3/H DE CAPACIDADE. AF_07/2024</t>
  </si>
  <si>
    <t>EXECUÇÃO DE REVESTIMENTO DE CONCRETO PROJETADO COM ESPESSURA DE 7 CM, ARMADO COM FIBRAS DE AÇO, INCLINAÇÃO DE 90°, APLICAÇÃO DESCONTÍNUA, UTILIZANDO EQUIPAMENTO DE PROJEÇÃO COM 6 M3/H DE CAPACIDADE. AF_07/2024</t>
  </si>
  <si>
    <t>EXECUÇÃO DE REVESTIMENTO DE CONCRETO PROJETADO COM ESPESSURA DE 7 CM, ARMADO COM FIBRAS DE AÇO, INCLINAÇÃO MENOR QUE 90°, APLICAÇÃO CONTÍNUA, UTILIZANDO EQUIPAMENTO DE PROJEÇÃO COM 3 M3/H DE CAPACIDADE. AF_07/2024</t>
  </si>
  <si>
    <t>EXECUÇÃO DE REVESTIMENTO DE CONCRETO PROJETADO COM ESPESSURA DE 7 CM, ARMADO COM FIBRAS DE AÇO, INCLINAÇÃO MENOR QUE 90°, APLICAÇÃO CONTÍNUA, UTILIZANDO EQUIPAMENTO DE PROJEÇÃO COM 6 M3/H DE CAPACIDADE. AF_07/2024</t>
  </si>
  <si>
    <t>EXECUÇÃO DE REVESTIMENTO DE CONCRETO PROJETADO COM ESPESSURA DE 7 CM, ARMADO COM FIBRAS DE AÇO, INCLINAÇÃO MENOR QUE 90°, APLICAÇÃO DESCONTÍNUA, UTILIZANDO EQUIPAMENTO DE PROJEÇÃO COM 3 M3/H DE CAPACIDADE. AF_07/2024</t>
  </si>
  <si>
    <t>EXECUÇÃO DE REVESTIMENTO DE CONCRETO PROJETADO COM ESPESSURA DE 7 CM, ARMADO COM FIBRAS DE AÇO, INCLINAÇÃO MENOR QUE 90°, APLICAÇÃO DESCONTÍNUA, UTILIZANDO EQUIPAMENTO DE PROJEÇÃO COM 6 M3/H DE CAPACIDADE. AF_07/2024</t>
  </si>
  <si>
    <t>EXECUÇÃO DE REVESTIMENTO DE CONCRETO PROJETADO COM ESPESSURA DE 7 CM, ARMADO COM TELA, INCLINAÇÃO DE 90°, APLICAÇÃO CONTÍNUA, UTILIZANDO EQUIPAMENTO DE PROJEÇÃO COM 3 M3/H DE CAPACIDADE. AF_07/2024</t>
  </si>
  <si>
    <t>EXECUÇÃO DE REVESTIMENTO DE CONCRETO PROJETADO COM ESPESSURA DE 7 CM, ARMADO COM TELA, INCLINAÇÃO DE 90°, APLICAÇÃO CONTÍNUA, UTILIZANDO EQUIPAMENTO DE PROJEÇÃO COM 6 M3/H DE CAPACIDADE. AF_07/2024</t>
  </si>
  <si>
    <t>EXECUÇÃO DE REVESTIMENTO DE CONCRETO PROJETADO COM ESPESSURA DE 7 CM, ARMADO COM TELA, INCLINAÇÃO DE 90°, APLICAÇÃO DESCONTÍNUA, UTILIZANDO EQUIPAMENTO DE PROJEÇÃO COM 3 M3/H DE CAPACIDADE. AF_07/2024</t>
  </si>
  <si>
    <t>EXECUÇÃO DE REVESTIMENTO DE CONCRETO PROJETADO COM ESPESSURA DE 7 CM, ARMADO COM TELA, INCLINAÇÃO DE 90°, APLICAÇÃO DESCONTÍNUA, UTILIZANDO EQUIPAMENTO DE PROJEÇÃO COM 6 M3/H DE CAPACIDADE. AF_07/2024</t>
  </si>
  <si>
    <t>EXECUÇÃO DE REVESTIMENTO DE CONCRETO PROJETADO COM ESPESSURA DE 7 CM, ARMADO COM TELA, INCLINAÇÃO MENOR QUE 90°, APLICAÇÃO CONTÍNUA, UTILIZANDO EQUIPAMENTO DE PROJEÇÃO COM 3 M3/H DE CAPACIDADE. AF_07/2024</t>
  </si>
  <si>
    <t>EXECUÇÃO DE REVESTIMENTO DE CONCRETO PROJETADO COM ESPESSURA DE 7 CM, ARMADO COM TELA, INCLINAÇÃO MENOR QUE 90°, APLICAÇÃO CONTÍNUA, UTILIZANDO EQUIPAMENTO DE PROJEÇÃO COM 6 M3/H DE CAPACIDADE. AF_07/2024</t>
  </si>
  <si>
    <t>EXECUÇÃO DE REVESTIMENTO DE CONCRETO PROJETADO COM ESPESSURA DE 7 CM, ARMADO COM TELA, INCLINAÇÃO MENOR QUE 90°, APLICAÇÃO DESCONTÍNUA, UTILIZANDO EQUIPAMENTO DE PROJEÇÃO COM 3 M3/H DE CAPACIDADE. AF_07/2024</t>
  </si>
  <si>
    <t>EXECUÇÃO DE REVESTIMENTO DE CONCRETO PROJETADO COM ESPESSURA DE 7 CM, ARMADO COM TELA, INCLINAÇÃO MENOR QUE 90°, APLICAÇÃO DESCONTÍNUA, UTILIZANDO EQUIPAMENTO DE PROJEÇÃO COM 6 M3/H DE CAPACIDADE. AF_07/2024</t>
  </si>
  <si>
    <t>BOMBA DE INJEÇÃO, ELÉTRICA, TRIFÁSICA, POTÊNCIA 7,5 CV - CHI DIURNO. AF_08/2025</t>
  </si>
  <si>
    <t>BOMBA DE INJEÇÃO, ELÉTRICA, TRIFÁSICA, POTÊNCIA 7,5 CV- CHP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</si>
  <si>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CHI DIURNO.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</si>
  <si>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CHP DIURNO. AF_08/2025</t>
  </si>
  <si>
    <t>BOMBA DE INJEÇÃO, ELÉTRICA, TRIFÁSICA, POTÊNCIA 7,5 CV - DEPRECIAÇÃO. AF_08/2025</t>
  </si>
  <si>
    <t>BOMBA DE INJEÇÃO, ELÉTRICA, TRIFÁSICA, POTÊNCIA 7,5 CV - JUROS. AF_08/2025</t>
  </si>
  <si>
    <t>BOMBA DE INJEÇÃO, ELÉTRICA, TRIFÁSICA, POTÊNCIA 7,5 CV - MANUTENÇÃO. AF_08/2025</t>
  </si>
  <si>
    <t>BOMBA DE INJEÇÃO, ELÉTRICA, TRIFÁSICA, POTÊNCIA 7,5 CV - MATERIAIS NA OPERAÇÃO.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</si>
  <si>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DEPRECIAÇÃO.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</si>
  <si>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IMPOSTOS E SEGUROS.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</si>
  <si>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JUROS.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</si>
  <si>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MANUTENÇÃO. AF_08/2025</t>
  </si>
  <si>
    <t>USINA DE LAMA ASFÁLTICA, PROD 30 A 50 T/H, SILO DE AGREGADO 7 M3, RESERVATÓRIOS PARA EMULSÃO E ÁGUA DE 2,3 M3 CADA, MISTURADOR TIPO PUG MILL MONTADA SOBRE CAVALO MECÂNICO TRAÇÃO 4 X 2, PESO BRUTO 16000 KG, CAPACIDADE MÁXIMA DE TRAÇÃO DE 36000 KG, POTÊNCIA 286 CV, EXCLUSIVE SEMIREBOQUE - MATERIAIS NA OPERAÇÃO. AF_08/2025</t>
  </si>
  <si>
    <t>JANELA DE MADEIRA CEDRINHO/ ANGELIM COMERCIAL/ CURUPIXA/ CUMARU OU EQUIVALENTE, CAIXA DO BATENTE/ MARCO 10 CM, COM 6 FOLHAS (2 VENEZIANAS FIXAS, 2 VENEZIANAS DE CORRER E 2 FOLHAS DE CORRER PARA VIDRO, VIDROS NÃO INCLUSOS), COM GUARNIÇÃO/ ALIZAR, COM FERRAGENS, FIXAÇÃO COM PARAFUSOS E ESPUMA EXPANSIVA, EXCLUSIVE CONTRAMARCO - FORNECIMENTO E INSTALAÇÃO. AF_11/2024</t>
  </si>
  <si>
    <t>FORNECIMENTO E MONTAGEM DE LAJES DUPLO T (PI) PRÉ-FABRICADAS, INCLUSO IÇAMENTO COM GUINDASTE. AF_03/2024</t>
  </si>
  <si>
    <t>LAJE PRÉ-MOLDADA UNIDIRECIONAL COM VÃOS MAIORES QUE 3,0 M, BIAPOIADA, PARA PISO, ENCHIMENTO EM CERÂMICA, VIGOTA PROTENDIDA, ALTURA TOTAL DA LAJE "LT" = 12 CM (ENCHIMENTO+CAPA) = (8+4). AF_08/2025</t>
  </si>
  <si>
    <t>LAJE PRÉ-MOLDADA UNIDIRECIONAL COM VÃOS MAIORES QUE 3,0 M, BIAPOIADA, PARA PISO, ENCHIMENTO EM CERÂMICA, VIGOTA PROTENDIDA, ALTURA TOTAL DA LAJE "LT" = 16 CM (ENCHIMENTO+CAPA) = (12+4). AF_08/2025</t>
  </si>
  <si>
    <t>LAJE PRÉ-MOLDADA UNIDIRECIONAL COM VÃOS MAIORES QUE 3,0 M, BIAPOIADA, PARA PISO, ENCHIMENTO EM CERÂMICA, VIGOTA PROTENDIDA, ALTURA TOTAL DA LAJE "LT" = 20 CM (ENCHIMENTO+CAPA) = (16+4). AF_08/2025</t>
  </si>
  <si>
    <t>LAJE PRÉ-MOLDADA UNIDIRECIONAL COM VÃOS MAIORES QUE 3,0 M, BIAPOIADA, PARA PISO, ENCHIMENTO EM CERÂMICA, VIGOTA PROTENDIDA, ALTURA TOTAL DA LAJE "LT" = 25 CM (ENCHIMENTO+CAPA) = (20+5). AF_08/2025</t>
  </si>
  <si>
    <t>LAJE PRÉ-MOLDADA UNIDIRECIONAL COM VÃOS MAIORES QUE 3,0 M, BIAPOIADA, PARA PISO, ENCHIMENTO EM CERÂMICA, VIGOTA PROTENDIDA, ALTURA TOTAL DA LAJE "LT" = 30 CM (ENCHIMENTO+CAPA) = (25+5). AF_08/2025</t>
  </si>
  <si>
    <t>LAJE PRÉ-MOLDADA UNIDIRECIONAL COM VÃOS MAIORES QUE 3,0 M, BIAPOIADA, PARA PISO, ENCHIMENTO EM EPS, VIGOTA PROTENDIDA, ALTURA TOTAL DA LAJE "LT" = 12 CM (ENCHIMENTO+CAPA) = (8+4). AF_08/2025</t>
  </si>
  <si>
    <t>LAJE PRÉ-MOLDADA UNIDIRECIONAL COM VÃOS MAIORES QUE 3,0 M, BIAPOIADA, PARA PISO, ENCHIMENTO EM EPS, VIGOTA PROTENDIDA, ALTURA TOTAL DA LAJE "LT" = 16 CM (ENCHIMENTO+CAPA) = (12+4). AF_08/2025</t>
  </si>
  <si>
    <t>LAJE PRÉ-MOLDADA UNIDIRECIONAL COM VÃOS MAIORES QUE 3,0 M, BIAPOIADA, PARA PISO, ENCHIMENTO EM EPS, VIGOTA PROTENDIDA, ALTURA TOTAL DA LAJE "LT" = 20 CM (ENCHIMENTO+CAPA) = (16+4). AF_08/2025</t>
  </si>
  <si>
    <t>LAJE PRÉ-MOLDADA UNIDIRECIONAL COM VÃOS MAIORES QUE 3,0 M, BIAPOIADA, PARA PISO, ENCHIMENTO EM EPS, VIGOTA PROTENDIDA, ALTURA TOTAL DA LAJE "LT" = 25 CM (ENCHIMENTO+CAPA) = (20+5). AF_08/2025</t>
  </si>
  <si>
    <t>LAJE PRÉ-MOLDADA UNIDIRECIONAL COM VÃOS MAIORES QUE 3,0 M, BIAPOIADA, PARA PISO, ENCHIMENTO EM EPS, VIGOTA PROTENDIDA, ALTURA TOTAL DA LAJE "LT" = 30 CM (ENCHIMENTO+CAPA) = (25+5). AF_08/2025</t>
  </si>
  <si>
    <t>LAJE PRÉ-MOLDADA UNIDIRECIONAL COM VÃOS MENORES OU IGUAIS A 3,0 M, BIAPOIADA, PARA PISO, ENCHIMENTO EM CERÂMICA, VIGOTA PROTENDIDA, ALTURA TOTAL DA LAJE "LT" = 12 CM (ENCHIMENTO+CAPA) = (8+4). AF_08/2025</t>
  </si>
  <si>
    <t>LAJE PRÉ-MOLDADA UNIDIRECIONAL COM VÃOS MENORES OU IGUAIS A 3,0 M, BIAPOIADA, PARA PISO, ENCHIMENTO EM CERÂMICA, VIGOTA PROTENDIDA, ALTURA TOTAL DA LAJE "LT" = 16 CM (ENCHIMENTO+CAPA) = (12+4). AF_08/2025</t>
  </si>
  <si>
    <t>LAJE PRÉ-MOLDADA UNIDIRECIONAL COM VÃOS MENORES OU IGUAIS A 3,0 M, BIAPOIADA, PARA PISO, ENCHIMENTO EM CERÂMICA, VIGOTA PROTENDIDA, ALTURA TOTAL DA LAJE "LT" = 20 CM (ENCHIMENTO+CAPA) = (16+4). AF_08/2025</t>
  </si>
  <si>
    <t>LAJE PRÉ-MOLDADA UNIDIRECIONAL COM VÃOS MENORES OU IGUAIS A 3,0 M, BIAPOIADA, PARA PISO, ENCHIMENTO EM CERÂMICA, VIGOTA PROTENDIDA, ALTURA TOTAL DA LAJE "LT" = 25 CM (ENCHIMENTO+CAPA) = (20+5). AF_08/2025</t>
  </si>
  <si>
    <t>LAJE PRÉ-MOLDADA UNIDIRECIONAL COM VÃOS MENORES OU IGUAIS A 3,0 M, BIAPOIADA, PARA PISO, ENCHIMENTO EM CERÂMICA, VIGOTA PROTENDIDA, ALTURA TOTAL DA LAJE "LT" = 30 CM (ENCHIMENTO+CAPA) = (25+5). AF_08/2025</t>
  </si>
  <si>
    <t>LAJE PRÉ-MOLDADA UNIDIRECIONAL COM VÃOS MENORES OU IGUAIS A 3,0 M, BIAPOIADA, PARA PISO, ENCHIMENTO EM EPS, VIGOTA PROTENDIDA, ALTURA TOTAL DA LAJE "LT" = 12 CM (ENCHIMENTO+CAPA) = (8+4). AF_08/2025</t>
  </si>
  <si>
    <t>LAJE PRÉ-MOLDADA UNIDIRECIONAL COM VÃOS MENORES OU IGUAIS A 3,0 M, BIAPOIADA, PARA PISO, ENCHIMENTO EM EPS, VIGOTA PROTENDIDA, ALTURA TOTAL DA LAJE "LT" = 16 CM (ENCHIMENTO+CAPA) = (12+4). AF_08/2025</t>
  </si>
  <si>
    <t>LAJE PRÉ-MOLDADA UNIDIRECIONAL COM VÃOS MENORES OU IGUAIS A 3,0 M, BIAPOIADA, PARA PISO, ENCHIMENTO EM EPS, VIGOTA PROTENDIDA, ALTURA TOTAL DA LAJE "LT" = 20 CM (ENCHIMENTO+CAPA) = (16+4). AF_08/2025</t>
  </si>
  <si>
    <t>LAJE PRÉ-MOLDADA UNIDIRECIONAL COM VÃOS MENORES OU IGUAIS A 3,0 M, BIAPOIADA, PARA PISO, ENCHIMENTO EM EPS, VIGOTA PROTENDIDA, ALTURA TOTAL DA LAJE "LT" = 25 CM (ENCHIMENTO+CAPA) = (20+5). AF_08/2025</t>
  </si>
  <si>
    <t>LAJE PRÉ-MOLDADA UNIDIRECIONAL COM VÃOS MENORES OU IGUAIS A 3,0 M, BIAPOIADA, PARA PISO, ENCHIMENTO EM EPS, VIGOTA PROTENDIDA, ALTURA TOTAL DA LAJE "LT" = 30 CM (ENCHIMENTO+CAPA) = (25+5). AF_08/2025</t>
  </si>
  <si>
    <t>LAJE PRÉ-MOLDADA UNIDIRECIONAL, BIAPOIADA TIPO LAJE PAINEL TRELIÇADO MACIÇO (SEM ENCHIMENTO), PARA PISO, ALTURA TOTAL DA LAJE "LT" = 12 CM (PAINEL+CAPA) = (3+9). AF_08/2025</t>
  </si>
  <si>
    <t>LAJE PRÉ-MOLDADA UNIDIRECIONAL, BIAPOIADA TIPO LAJE PAINEL TRELIÇADO MACIÇO (SEM ENCHIMENTO), PARA PISO, ALTURA TOTAL DA LAJE "LT" = 16 CM (PAINEL+CAPA) = (3+13). AF_08/2025</t>
  </si>
  <si>
    <t>LAJE PRÉ-MOLDADA UNIDIRECIONAL, BIAPOIADA TIPO LAJE PAINEL TRELIÇADO MACIÇO (SEM ENCHIMENTO), PARA PISO, ALTURA TOTAL DA LAJE "LT" = 20 CM (PAINEL+CAPA) = (3+17). AF_08/2025</t>
  </si>
  <si>
    <t>LAJE PRÉ-MOLDADA UNIDIRECIONAL, BIAPOIADA TIPO LAJE PAINEL TRELIÇADO MACIÇO (SEM ENCHIMENTO), PARA PISO, ALTURA TOTAL DA LAJE "LT" = 25 CM (PAINEL+CAPA) = (3+22). AF_08/2025</t>
  </si>
  <si>
    <t>LAJE PRÉ-MOLDADA UNIDIRECIONAL, BIAPOIADA TIPO LAJE PAINEL TRELIÇADO MACIÇO (SEM ENCHIMENTO), PARA PISO, ALTURA TOTAL DA LAJE "LT" = 30 CM (PAINEL+CAPA) = (3+27). AF_08/2025</t>
  </si>
  <si>
    <t>LAJE PRÉ-MOLDADA UNIDIRECIONAL, BIAPOIADA TIPO LAJE PAINEL TRELIÇADO NERVURADO (COM ENCHIMENTO EM EPS), PARA PISO, ALTURA TOTAL DA LAJE "LT" = 12 CM (PAINEL+ENCHIMENTO+CAPA) = (3+5+4). AF_08/2025</t>
  </si>
  <si>
    <t>LAJE PRÉ-MOLDADA UNIDIRECIONAL, BIAPOIADA TIPO LAJE PAINEL TRELIÇADO NERVURADO (COM ENCHIMENTO EM EPS), PARA PISO, ALTURA TOTAL DA LAJE "LT" = 16 CM (PAINEL+ENCHIMENTO+CAPA) = (3+9+4). AF_08/2025</t>
  </si>
  <si>
    <t>LAJE PRÉ-MOLDADA UNIDIRECIONAL, BIAPOIADA TIPO LAJE PAINEL TRELIÇADO NERVURADO (COM ENCHIMENTO EM EPS), PARA PISO, ALTURA TOTAL DA LAJE "LT" = 20 CM (PAINEL+ENCHIMENTO+CAPA) = (3+13+4). AF_08/2025</t>
  </si>
  <si>
    <t>LAJE PRÉ-MOLDADA UNIDIRECIONAL, BIAPOIADA TIPO LAJE PAINEL TRELIÇADO NERVURADO (COM ENCHIMENTO EM EPS), PARA PISO, ALTURA TOTAL DA LAJE "LT" = 25 CM (PAINEL+ENCHIMENTO+CAPA) = (3+17+5). AF_08/2025</t>
  </si>
  <si>
    <t>LAJE PRÉ-MOLDADA UNIDIRECIONAL, BIAPOIADA TIPO LAJE PAINEL TRELIÇADO NERVURADO (COM ENCHIMENTO EM EPS), PARA PISO, ALTURA TOTAL DA LAJE "LT" = 30 CM (PAINEL+ENCHIMENTO+CAPA) = (3+22+5). AF_08/2025</t>
  </si>
  <si>
    <t>LAJE PRÉ-MOLDADA UNIDIRECIONAL, BIAPOIADA, PARA FORRO, ENCHIMENTO EM CERÂMICA, VIGOTA CONVENCIONAL, ALTURA TOTAL DA LAJE "LT" = 12 CM (ENCHIMENTO+CAPA) = (8+4). AF_08/2025</t>
  </si>
  <si>
    <t>LAJE PRÉ-MOLDADA UNIDIRECIONAL, BIAPOIADA, PARA FORRO, ENCHIMENTO EM CERÂMICA, VIGOTA TRELIÇADA, ALTURA TOTAL DA LAJE "LT" = 12 CM (ENCHIMENTO+CAPA) = (8+4). AF_08/2025</t>
  </si>
  <si>
    <t>LAJE PRÉ-MOLDADA UNIDIRECIONAL, BIAPOIADA, PARA PISO, ENCHIMENTO EM CERÂMICA, VIGOTA CONVENCIONAL, ALTURA TOTAL DA LAJE "LT" = 12 CM (ENCHIMENTO+CAPA) = (8+4). AF_08/2025</t>
  </si>
  <si>
    <t>LAJE PRÉ-MOLDADA UNIDIRECIONAL, BIAPOIADA, PARA PISO, ENCHIMENTO EM CERÂMICA, VIGOTA TRELIÇADA, ALTURA TOTAL DA LAJE "LT" = 12 CM (ENCHIMENTO+CAPA) = (8+4). AF_08/2025</t>
  </si>
  <si>
    <t>LAJE PRÉ-MOLDADA UNIDIRECIONAL, BIAPOIADA, PARA PISO, ENCHIMENTO EM CERÂMICA, VIGOTA TRELIÇADA, ALTURA TOTAL DA LAJE "LT" = 16 CM (ENCHIMENTO+CAPA) = (12+4). AF_08/2025</t>
  </si>
  <si>
    <t>LAJE PRÉ-MOLDADA UNIDIRECIONAL, BIAPOIADA, PARA PISO, ENCHIMENTO EM CERÂMICA, VIGOTA TRELIÇADA, ALTURA TOTAL DA LAJE "LT" = 20 CM (ENCHIMENTO+CAPA) = (16+4). AF_08/2025</t>
  </si>
  <si>
    <t>LAJE PRÉ-MOLDADA UNIDIRECIONAL, BIAPOIADA, PARA PISO, ENCHIMENTO EM CERÂMICA, VIGOTA TRELIÇADA, ALTURA TOTAL DA LAJE "LT" = 25 CM (ENCHIMENTO+CAPA) = (20+5). AF_08/2025</t>
  </si>
  <si>
    <t>LAJE PRÉ-MOLDADA UNIDIRECIONAL, BIAPOIADA, PARA PISO, ENCHIMENTO EM CERÂMICA, VIGOTA TRELIÇADA, ALTURA TOTAL DA LAJE "LT" = 30 CM (ENCHIMENTO+CAPA) = (25+5). AF_08/2025</t>
  </si>
  <si>
    <t>LAJE PRÉ-MOLDADA UNIDIRECIONAL, BIAPOIADA, PARA PISO, ENCHIMENTO EM EPS, VIGOTA TRELIÇADA, ALTURA TOTAL DA LAJE "LT" = 12 CM (ENCHIMENTO+CAPA) = (8+4). AF_08/2025</t>
  </si>
  <si>
    <t>LAJE PRÉ-MOLDADA UNIDIRECIONAL, BIAPOIADA, PARA PISO, ENCHIMENTO EM EPS, VIGOTA TRELIÇADA, ALTURA TOTAL DA LAJE "LT" = 16 CM (ENCHIMENTO+CAPA) = (12+4). AF_08/2025</t>
  </si>
  <si>
    <t>LAJE PRÉ-MOLDADA UNIDIRECIONAL, BIAPOIADA, PARA PISO, ENCHIMENTO EM EPS, VIGOTA TRELIÇADA, ALTURA TOTAL DA LAJE "LT" = 20 CM (ENCHIMENTO+CAPA) = (16+4). AF_08/2025</t>
  </si>
  <si>
    <t>LAJE PRÉ-MOLDADA UNIDIRECIONAL, BIAPOIADA, PARA PISO, ENCHIMENTO EM EPS, VIGOTA TRELIÇADA, ALTURA TOTAL DA LAJE "LT" = 25 CM (ENCHIMENTO+CAPA) = (20+5). AF_08/2025</t>
  </si>
  <si>
    <t>LAJE PRÉ-MOLDADA UNIDIRECIONAL, BIAPOIADA, PARA PISO, ENCHIMENTO EM EPS, VIGOTA TRELIÇADA, ALTURA TOTAL DA LAJE "LT" = 30 CM (ENCHIMENTO+CAPA) = (25+5). AF_08/2025</t>
  </si>
  <si>
    <t>BASTIDOR PARA BLOCO M10 - FORNECIMENTO E INSTALAÇÃO. AF_08/2025</t>
  </si>
  <si>
    <t>BLOCO DE ENGATE RÁPIDO PARA BASTIDOR TIPO M10 - FORNECIMENTO E INSTALAÇÃO. AF_08/2025</t>
  </si>
  <si>
    <t>CABO COAXIAL RG11 95% - FORNECIMENTO E INSTALAÇÃO. AF_08/2025</t>
  </si>
  <si>
    <t>CABO COAXIAL RG59 95% - FORNECIMENTO E INSTALAÇÃO. AF_08/2025</t>
  </si>
  <si>
    <t>CABO COAXIAL RG6 95% - FORNECIMENTO E INSTALAÇÃO. AF_08/2025</t>
  </si>
  <si>
    <t>CABO ELETRÔNICO CATEGORIA 5E, INSTALADO EM EDIFICAÇÃO INSTITUCIONAL - FORNECIMENTO E INSTALAÇÃO. AF_08/2025</t>
  </si>
  <si>
    <t>CABO ELETRÔNICO CATEGORIA 5E, INSTALADO EM EDIFICAÇÃO RESIDENCIAL - FORNECIMENTO E INSTALAÇÃO. AF_08/2025</t>
  </si>
  <si>
    <t>CABO ELETRÔNICO CATEGORIA 6, INSTALADO EM EDIFICAÇÃO INSTITUCIONAL - FORNECIMENTO E INSTALAÇÃO. AF_08/2025</t>
  </si>
  <si>
    <t>CABO ELETRÔNICO CATEGORIA 6, INSTALADO EM EDIFICAÇÃO RESIDENCIAL - FORNECIMENTO E INSTALAÇÃO. AF_08/2025</t>
  </si>
  <si>
    <t>CABO ELETRÔNICO CATEGORIA 6A, INSTALADO EM EDIFICAÇÃO INSTITUCIONAL - FORNECIMENTO E INSTALAÇÃO. AF_08/2025</t>
  </si>
  <si>
    <t>CABO ELETRÔNICO CATEGORIA 6A, INSTALADO EM EDIFICAÇÃO RESIDENCIAL - FORNECIMENTO E INSTALAÇÃO. AF_08/2025</t>
  </si>
  <si>
    <t>CABO TELEFÔNICO CCI-50 1 PAR, INSTALADO EM ENTRADA DE EDIFICAÇÃO - FORNECIMENTO E INSTALAÇÃO. AF_08/2025</t>
  </si>
  <si>
    <t>CABO TELEFÔNICO CCI-50 1 PAR, SEM BLINDAGEM, INSTALADO EM DISTRIBUIÇÃO DE EDIFICAÇÃO INSTITUCIONAL - FORNECIMENTO E INSTALAÇÃO. AF_08/2025</t>
  </si>
  <si>
    <t>CABO TELEFÔNICO CCI-50 1 PAR, SEM BLINDAGEM, INSTALADO EM DISTRIBUIÇÃO DE EDIFICAÇÃO RESIDENCIAL - FORNECIMENTO E INSTALAÇÃO. AF_08/2025</t>
  </si>
  <si>
    <t>CABO TELEFÔNICO CCI-50 2 PARES, SEM BLINDAGEM, INSTALADO EM DISTRIBUIÇÃO DE EDIFICAÇÃO INSTITUCIONAL - FORNECIMENTO E INSTALAÇÃO. AF_08/2025</t>
  </si>
  <si>
    <t>CABO TELEFÔNICO CCI-50 2 PARES, SEM BLINDAGEM, INSTALADO EM DISTRIBUIÇÃO DE EDIFICAÇÃO RESIDENCIAL - FORNECIMENTO E INSTALAÇÃO. AF_08/2025</t>
  </si>
  <si>
    <t>CABO TELEFÔNICO CCI-50 2 PARES, SEM BLINDAGEM, INSTALADO EM ENTRADA DE EDIFICAÇÃO - FORNECIMENTO E INSTALAÇÃO. AF_08/2025</t>
  </si>
  <si>
    <t>CABO TELEFÔNICO CCI-50 3 PARES, SEM BLINDAGEM, INSTALADO EM DISTRIBUIÇÃO DE EDIFICAÇÃO INSTITUCIONAL - FORNECIMENTO E INSTALAÇÃO. AF_08/2025</t>
  </si>
  <si>
    <t>CABO TELEFÔNICO CCI-50 3 PARES, SEM BLINDAGEM, INSTALADO EM DISTRIBUIÇÃO DE EDIFICAÇÃO RESIDENCIAL - FORNECIMENTO E INSTALAÇÃO. AF_08/2025</t>
  </si>
  <si>
    <t>CABO TELEFÔNICO CCI-50 3 PARES, SEM BLINDAGEM, INSTALADO EM ENTRADA DE EDIFICAÇÃO - FORNECIMENTO E INSTALAÇÃO. AF_08/2025</t>
  </si>
  <si>
    <t>CABO TELEFÔNICO CCI-50 4 PARES, SEM BLINDAGEM, INSTALADO EM DISTRIBUIÇÃO DE EDIFICAÇÃO INSTITUCIONAL - FORNECIMENTO E INSTALAÇÃO. AF_08/2025</t>
  </si>
  <si>
    <t>CABO TELEFÔNICO CCI-50 4 PARES, SEM BLINDAGEM, INSTALADO EM DISTRIBUIÇÃO DE EDIFICAÇÃO RESIDENCIAL - FORNECIMENTO E INSTALAÇÃO. AF_08/2025</t>
  </si>
  <si>
    <t>CABO TELEFÔNICO CCI-50 4 PARES, SEM BLINDAGEM, INSTALADO EM ENTRADA DE EDIFICAÇÃO - FORNECIMENTO E INSTALAÇÃO. AF_08/2025</t>
  </si>
  <si>
    <t>CABO TELEFÔNICO CCI-50 4 PARES, SEM BLINDAGEM, INSTALADO EM PRUMADA - FORNECIMENTO E INSTALAÇÃO. AF_08/2025</t>
  </si>
  <si>
    <t>CABO TELEFÔNICO CCI-50 5 PARES, SEM BLINDAGEM, INSTALADO EM DISTRIBUIÇÃO DE EDIFICAÇÃO INSTITUCIONAL - FORNECIMENTO E INSTALAÇÃO. AF_08/2025</t>
  </si>
  <si>
    <t>CABO TELEFÔNICO CCI-50 5 PARES, SEM BLINDAGEM, INSTALADO EM DISTRIBUIÇÃO DE EDIFICAÇÃO RESIDENCIAL - FORNECIMENTO E INSTALAÇÃO. AF_08/2025</t>
  </si>
  <si>
    <t>CABO TELEFÔNICO CCI-50 5 PARES, SEM BLINDAGEM, INSTALADO EM ENTRADA DE EDIFICAÇÃO - FORNECIMENTO E INSTALAÇÃO. AF_08/2025</t>
  </si>
  <si>
    <t>CABO TELEFÔNICO CCI-50 5 PARES, SEM BLINDAGEM, INSTALADO EM PRUMADA - FORNECIMENTO E INSTALAÇÃO. AF_08/2025</t>
  </si>
  <si>
    <t>CABO TELEFÔNICO CCI-50 6 PARES, SEM BLINDAGEM, INSTALADO EM DISTRIBUIÇÃO DE EDIFICAÇÃO INSTITUCIONAL - FORNECIMENTO E INSTALAÇÃO. AF_08/2025</t>
  </si>
  <si>
    <t>CABO TELEFÔNICO CCI-50 6 PARES, SEM BLINDAGEM, INSTALADO EM DISTRIBUIÇÃO DE EDIFICAÇÃO RESIDENCIAL - FORNECIMENTO E INSTALAÇÃO. AF_08/2025</t>
  </si>
  <si>
    <t>CABO TELEFÔNICO CCI-50 6 PARES, SEM BLINDAGEM, INSTALADO EM ENTRADA DE EDIFICAÇÃO - FORNECIMENTO E INSTALAÇÃO. AF_08/2025</t>
  </si>
  <si>
    <t>CABO TELEFÔNICO CCI-50 6 PARES, SEM BLINDAGEM, INSTALADO EM PRUMADA - FORNECIMENTO E INSTALAÇÃO. AF_08/2025</t>
  </si>
  <si>
    <t>CABO TELEFÔNICO CI-50 10 PARES INSTALADO EM DISTRIBUIÇÃO DE EDIFICAÇÃO INSTITUCIONAL - FORNECIMENTO E INSTALAÇÃO. AF_08/2025</t>
  </si>
  <si>
    <t>CABO TELEFÔNICO CI-50 10 PARES INSTALADO EM DISTRIBUIÇÃO DE EDIFICAÇÃO RESIDENCIAL - FORNECIMENTO E INSTALAÇÃO. AF_08/2025</t>
  </si>
  <si>
    <t>CABO TELEFÔNICO CI-50 10 PARES INSTALADO EM ENTRADA DE EDIFICAÇÃO - FORNECIMENTO E INSTALAÇÃO. AF_08/2025</t>
  </si>
  <si>
    <t>CABO TELEFÔNICO CI-50 10 PARES INSTALADO EM PRUMADA - FORNECIMENTO E INSTALAÇÃO. AF_08/2025</t>
  </si>
  <si>
    <t>CABO TELEFÔNICO CI-50 20 PARES INSTALADO EM ENTRADA DE EDIFICAÇÃO - FORNECIMENTO E INSTALAÇÃO. AF_08/2025</t>
  </si>
  <si>
    <t>CABO TELEFÔNICO CI-50 20 PARES INSTALADO EM PRUMADA - FORNECIMENTO E INSTALAÇÃO. AF_08/2025</t>
  </si>
  <si>
    <t>CABO TELEFÔNICO CI-50 200 PARES INSTALADO EM ENTRADA DE EDIFICAÇÃO - FORNECIMENTO E INSTALAÇÃO. AF_08/2025</t>
  </si>
  <si>
    <t>CABO TELEFÔNICO CI-50 30 PARES INSTALADO EM ENTRADA DE EDIFICAÇÃO - FORNECIMENTO E INSTALAÇÃO. AF_08/2025</t>
  </si>
  <si>
    <t>CABO TELEFÔNICO CI-50 30 PARES INSTALADO EM PRUMADA - FORNECIMENTO E INSTALAÇÃO. AF_08/2025</t>
  </si>
  <si>
    <t>CABO TELEFÔNICO CI-50 50 PARES INSTALADO EM ENTRADA DE EDIFICAÇÃO - FORNECIMENTO E INSTALAÇÃO. AF_08/2025</t>
  </si>
  <si>
    <t>CABO TELEFÔNICO CI-50 50 PARES INSTALADO EM PRUMADA - FORNECIMENTO E INSTALAÇÃO. AF_08/2025</t>
  </si>
  <si>
    <t>CABO TELEFÔNICO CI-50 75 PARES INSTALADO EM ENTRADA DE EDIFICAÇÃO - FORNECIMENTO E INSTALAÇÃO. AF_08/2025</t>
  </si>
  <si>
    <t>CABO TELEFÔNICO CTP-APL-50 10 PARES INSTALADO EM ENTRADA DE EDIFICAÇÃO - FORNECIMENTO E INSTALAÇÃO. AF_08/2025</t>
  </si>
  <si>
    <t>CABO TELEFÔNICO CTP-APL-50 20 PARES INSTALADO EM ENTRADA DE EDIFICAÇÃO - FORNECIMENTO E INSTALAÇÃO. AF_08/2025</t>
  </si>
  <si>
    <t>CABO TELEFÔNICO CTP-APL-50 30 PARES INSTALADO EM ENTRADA DE EDIFICAÇÃO - FORNECIMENTO E INSTALAÇÃO. AF_08/2025</t>
  </si>
  <si>
    <t>CAIXA DE PASSAGEM PARA TELEFONE 15X15X10CM (SOBREPOR) - FORNECIMENTO E INSTALAÇÃO. AF_08/2025</t>
  </si>
  <si>
    <t>CAIXA DE PASSAGEM PARA TELEFONE 20X20X10CM (SOBREPOR) - FORNECIMENTO E INSTALAÇÃO. AF_08/2025</t>
  </si>
  <si>
    <t>CAIXA DE PASSAGEM PARA TELEFONE 80X80X15CM (SOBREPOR) - FORNECIMENTO E INSTALAÇÃO. AF_08/2025</t>
  </si>
  <si>
    <t>CAIXA DE PISO DUPLA PARA 2 TOMADAS RJ45 E 2 TOMADAS ELÉTRICAS - FORNECIMENTO E INSTALAÇÃO. AF_08/2025</t>
  </si>
  <si>
    <t>INTERFONE COLETIVO COM 16 MONOFONES, BIVOLT(INCLUI TAG'S) - FORNECIMENTO E INSTALAÇÃO. AF_08/2025</t>
  </si>
  <si>
    <t>INTERFONE COLETIVO COM 16 MONOFONES, BIVOLT(NÃO INCLUI TAG'S) - FORNECIMENTO E INSTALAÇÃO. AF_08/2025</t>
  </si>
  <si>
    <t>PATCH PANEL 24 PORTAS, CATEGORIA 5E - FORNECIMENTO E INSTALAÇÃO. AF_08/2025</t>
  </si>
  <si>
    <t>PATCH PANEL 24 PORTAS, CATEGORIA 6 - FORNECIMENTO E INSTALAÇÃO. AF_08/2025</t>
  </si>
  <si>
    <t>PATCH PANEL 48 PORTAS, CATEGORIA 5E - FORNECIMENTO E INSTALAÇÃO. AF_08/2025</t>
  </si>
  <si>
    <t>PATCH PANEL 48 PORTAS, CATEGORIA 6 - FORNECIMENTO E INSTALAÇÃO. AF_08/2025</t>
  </si>
  <si>
    <t>PORTEIRO ELETRÔNICO/INTERFONE DE SOBREPOR, COM MONOFONE, BIVOLT - FORNECIMENTO E INSTALAÇÃO. AF_08/2025</t>
  </si>
  <si>
    <t>QUADRO DE DISTRIBUICÃO PARA TELEFONE N.3, 40X40X12CM EM CHAPA METÁLICA, DE EMBUTIR, SEM ACESSÓRIOS, PADRÃO TELEBRAS - FORNECIMENTO E INSTALAÇÃO. AF_08/2025</t>
  </si>
  <si>
    <t>QUADRO DE DISTRIBUICÃO PARA TELEFONE N.4, 60X60X12CM EM CHAPA METÁLICA, DE EMBUTIR, SEM ACESSÓRIOS, PADRÃO TELEBRAS - FORNECIMENTO E INSTALAÇÃO. AF_08/2025</t>
  </si>
  <si>
    <t>QUADRO DE DISTRIBUIÇÃO PARA TELEFONE N.2, 20X20X12CM EM CHAPA METÁLICA, DE EMBUTIR, SEM ACESSÓRIOS, PADRÃO TELEBRAS - FORNECIMENTO E INSTALAÇÃO. AF_08/2025</t>
  </si>
  <si>
    <t>QUADRO DE DISTRIBUIÇÃO PARA TELEFONE N.5, 80X80X12CM EM CHAPA METÁLICA, DE EMBUTIR, SEM ACESSÓRIOS, PADRÃO TELEBRAS - FORNECIMENTO E INSTALAÇÃO. AF_08/2025</t>
  </si>
  <si>
    <t>RACK ABERTO EM COLUNA 44U PARA SERVIDOR - FORNECIMENTO E INSTALAÇÃO. AF_08/2025</t>
  </si>
  <si>
    <t>RACK DE PAREDE FECHADO DE 12 U EM CHAPA DE AÇO, 19", *570*MM - FORNECIMENTO E INSTALAÇÃO. AF_08/2025</t>
  </si>
  <si>
    <t>RACK DE PISO FECHADO DE 20U EM CHAPA DE AÇO, 19", *670*MM - FORNECIMENTO E INSTALAÇÃO. AF_08/2025</t>
  </si>
  <si>
    <t>RACK DE PISO FECHADO DE 24 U EM CHAPA DE AÇO, 19", *570*MM - FORNECIMENTO E INSTALAÇÃO. AF_08/2025</t>
  </si>
  <si>
    <t>RACK DE PISO FECHADO DE 36 U EM CHAPA DE AÇO, 19", *570*MM - FORNECIMENTO E INSTALAÇÃO. AF_08/2025</t>
  </si>
  <si>
    <t>RACK FECHADO 44U PARA SERVIDOR - FORNECIMENTO E INSTALAÇÃO. AF_08/2025</t>
  </si>
  <si>
    <t>TOMADA DE REDE RJ45 - FORNECIMENTO E INSTALAÇÃO. AF_08/2025</t>
  </si>
  <si>
    <t>TOMADA PARA TELEFONE RJ11 - FORNECIMENTO E INSTALAÇÃO. AF_08/2025</t>
  </si>
  <si>
    <t>TOMADA RJ45 CAT 6E (COMPLETA) - FORNECIMENTO E INSTALAÇÃO. AF_08/2025</t>
  </si>
  <si>
    <t>TOMADA RJ45 CAT 6E (MÓDULO) - FORNECIMENTO E INSTALAÇÃO. AF_08/2025</t>
  </si>
  <si>
    <t>REMOÇÃO DE ENTULHO CLASSE A (ALVENARIA, CONCRETO, ARGAMASSAS E CERÂMICOS) POR DUTO DE ENTULHO E ACONDICIONAMENTO FINAL EM CAÇAMBA ESTACIONÁRIA. EXCLUSO FRETE. AF_09/2025</t>
  </si>
  <si>
    <t>REMOÇÃO DE ENTULHO CLASSE B (BALDES VAZIOS NÃO CONTAMINADOS DE 29 LITROS) TRANSPORTADAS POR CREMALHEIRA. ACONDICIONAMENTO FINAL EM BAIAS. EXCLUSO FRETE. AF_09/2025</t>
  </si>
  <si>
    <t>REMOÇÃO DE ENTULHO CLASSE B (FRAGMENTOS DE MADEIRA) TRANSPORTADOS POR CREMALHEIRA. ACONDICIONAMENTO FINAL CAÇAMBA ESTACIONÁRIA. EXCLUSO FRETE. AF_09/2025</t>
  </si>
  <si>
    <t>REMOÇÃO DE ENTULHO CLASSE B (FRAGMENTOS DE MADEIRA) TRANSPORTADOS POR GRUA. ACONDICIONAMENTO FINAL CAÇAMBA ESTACIONÁRIA. EXCLUSO FRETE. AF_09/2025</t>
  </si>
  <si>
    <t>REMOÇÃO DE ENTULHO CLASSE B (FRAGMENTOS E RESÍDUOS DE GESSO) TRANSPORTADOS POR CREMALHEIRA. ACONDICIONAMENTO FINAL CAÇAMBA ESTACIONÁRIA. EXCLUSO FRETE. AF_09/2025</t>
  </si>
  <si>
    <t>REMOÇÃO DE ENTULHO CLASSE B (LATAS OU BALDES VAZIOS NÃO CONTAMINADOS DE 18 LITROS) TRANSPORTADAS POR CREMALHEIRA. ACONDICIONAMENTO FINAL EM BAIAS. EXCLUSO FRETE. AF_09/2025</t>
  </si>
  <si>
    <t>REMOÇÃO DE ENTULHO CLASSE B (PEÇAS MAIORES DE GESSO ACARTONADO) TRANSPORTADOS POR CREMALHEIRA. ACONDICIONAMENTO FINAL CAÇAMBA ESTACIONÁRIA. EXCLUSO FRETE. AF_09/2025</t>
  </si>
  <si>
    <t>REMOÇÃO DE ENTULHO CLASSE B (PEÇAS MAIORES DE MADEIRA) TRANSPORTADOS POR CREMALHEIRA. ACONDICIONAMENTO FINAL EM CAIXA ROLL ON/ ROLL OFF. EXCLUSO FRETE. AF_09/2025</t>
  </si>
  <si>
    <t>REMOÇÃO DE ENTULHO CLASSE B (PEÇAS MAIORES DE MADEIRA) TRANSPORTADOS POR GRUA. ACONDICIONAMENTO FINAL EM CAIXA ROLL ON/ ROLL OFF. EXCLUSO FRETE. AF_09/2025</t>
  </si>
  <si>
    <t>REMOÇÃO DE ENTULHO CLASSE B (PLASTICO/ PAPEL/ METAL) ARMAZENADO INICIALMENTE EM BOMBONAS E ACONDICIONAMENTO FINAL EM ABRIGOS COBERTOS. EXCLUSO FRETE. AF_09/2025</t>
  </si>
  <si>
    <t>USINAGEM DE BRITA GRADUADA SIMPLES. AF_09/2025</t>
  </si>
  <si>
    <t>USINAGEM DE BRITA GRADUADA TRATADA COM CIMENTO. AF_09/2025</t>
  </si>
  <si>
    <t>USINAGEM DE CONCRETO ASFÁLTICO COM CAP 50/70 PARA CAMADA DE ROLAMENTO, PADRÃO DNIT FAIXA C, EM USINA DE ASFALTO GRAVIMÉTRICA DE 150 TON/H. AF_09/2025</t>
  </si>
  <si>
    <t>USINAGEM DE CONCRETO ASFÁLTICO COM CAP 50/70, PARA CAMADA DE BINDER, PADRÃO DNIT FAIXA B, EM USINA DE ASFALTO CONTÍNUA DE 140 TON/H. AF_09/2025</t>
  </si>
  <si>
    <t>USINAGEM DE CONCRETO ASFÁLTICO COM CAP 50/70, PARA CAMADA DE BINDER, PADRÃO DNIT FAIXA B, EM USINA DE ASFALTO CONTÍNUA DE 80 TON/H. AF_09/2025</t>
  </si>
  <si>
    <t>USINAGEM DE CONCRETO ASFÁLTICO COM CAP 50/70, PARA CAMADA DE BINDER, PADRÃO DNIT FAIXA B, EM USINA DE ASFALTO GRAVIMÉTRICA DE 150 TON/H. AF_09/2025</t>
  </si>
  <si>
    <t>USINAGEM DE CONCRETO ASFÁLTICO COM CAP 50/70, PARA CAMADA DE ROLAMENTO, PADRÃO DNIT FAIXA C, EM USINA DE ASFALTO CONTÍNUA DE 140 TON/H. AF_09/2025</t>
  </si>
  <si>
    <t>USINAGEM DE CONCRETO ASFÁLTICO COM CAP 50/70, PARA CAMADA DE ROLAMENTO, PADRÃO DNIT FAIXA C, EM USINA DE ASFALTO CONTÍNUA DE 80 TON/H. AF_09/2025</t>
  </si>
  <si>
    <t>USINAGEM DE CONCRETO PARA COMPACTAÇÃO COM ROLO. AF_09/2025</t>
  </si>
  <si>
    <t>USINAGEM DE MICRORREVESTIMENTO, PADRÃO DNIT FAIXA 2. AF_09/2025</t>
  </si>
  <si>
    <t>USINAGEM DE MICRORREVESTIMENTO, PADRÃO DNIT FAIXA 3. AF_09/2025</t>
  </si>
  <si>
    <t>USINAGEM DE PRÉ MISTURADO A FRIO, PARA CAMADA DE BINDER, PADRÃO DNIT FAIXA B. AF_09/2025</t>
  </si>
  <si>
    <t>USINAGEM DE PRÉ MISTURADO A FRIO, PARA CAMADA DE ROLAMENTO, PADRÃO DNIT FAIXA C. AF_09/2025</t>
  </si>
  <si>
    <t>USINAGEM DE SOLO BRITA 40%-60% COM 4% DE CIMENTO, UTILIZANDO BRITA COMERCIAL. AF_09/2025</t>
  </si>
  <si>
    <t>USINAGEM DE SOLO BRITA 40%-60% COM 6% DE CIMENTO, UTILIZANDO BRITA COMERCIAL. AF_09/2025</t>
  </si>
  <si>
    <t>USINAGEM DE SOLO BRITA 40%-60% COM 8% DE CIMENTO, UTILIZANDO BRITA COMERCIAL. AF_09/2025</t>
  </si>
  <si>
    <t>USINAGEM DE SOLO BRITA 40%-60%, UTILIZANDO BRITA COMERCIAL. AF_09/2025</t>
  </si>
  <si>
    <t>USINAGEM DE SOLO BRITA 50%-50% COM 4% DE CIMENTO, UTILIZANDO BRITA COMERCIAL. AF_09/2025</t>
  </si>
  <si>
    <t>USINAGEM DE SOLO BRITA 50%-50% COM 6% DE CIMENTO, UTILIZANDO BRITA COMERCIAL. AF_09/2025</t>
  </si>
  <si>
    <t>USINAGEM DE SOLO BRITA 50%-50% COM 8% DE CIMENTO, UTILIZANDO BRITA COMERCIAL. AF_09/2025</t>
  </si>
  <si>
    <t>USINAGEM DE SOLO BRITA 50%-50%, UTILIZANDO BRITA COMERCIAL. AF_09/2025</t>
  </si>
  <si>
    <t>USINAGEM DE SOLO JAZIDA MELHORADO COM CIMENTO 2%. AF_09/2025</t>
  </si>
  <si>
    <t>USINAGEM DE SOLO JAZIDA MELHORADO COM CIMENTO 3%. AF_09/2025</t>
  </si>
  <si>
    <t>USINAGEM DE SOLO JAZIDA MELHORADO COM CIMENTO 4%. AF_09/2025</t>
  </si>
  <si>
    <t>USINAGEM DE SOLO JAZIDA MELHORADO COM CIMENTO 6%. AF_09/2025</t>
  </si>
  <si>
    <t>USINAGEM DE SOLO  JAZIDA MELHORADO COM CIMENTO 8%. AF_09/2025</t>
  </si>
  <si>
    <t>Custo (R$)</t>
  </si>
  <si>
    <t>Data Base</t>
  </si>
  <si>
    <t>B.07.000.038098</t>
  </si>
  <si>
    <t>Perfil em alumínio anodizado tipo U, abas iguais, de 9,53x9,53x1,58mm</t>
  </si>
  <si>
    <t>Bicicletário modelo U invertido sem emendas nas curvas, em tubo circular de aço Ø 2", medidas de 82cm altura e 78cm largura, com acabamento em pintura eletrostática, fixação chumbado e/ou parafusado</t>
  </si>
  <si>
    <t>F.03.000.020570</t>
  </si>
  <si>
    <t>Massa asfáltica modificada por borracha de pneus reciclados, quente - SEM TRANSPORTE</t>
  </si>
  <si>
    <t>O.17.000.047589</t>
  </si>
  <si>
    <t>Conjunto misturador para até 4 duchas, com 1 aquecedor  de 35,5l/min., 1 válvula, 1 bomba e 1 quadro comando; ref. REU-2802 FEC da Rinnai, Komeco 46DI Primi ou equivalente - instalado</t>
  </si>
  <si>
    <t>Distribuidor interno óptico para 1U de até 24 fibras (DIO), adaptadores e Pigtails; para montagem em rack 19"/23"; ref. DIO 24FO D da Fibracem, Intelbras, 2 Flex Telecom ou equivalente - completo</t>
  </si>
  <si>
    <t>Árvore ornamental tipo Quaresmeira (Tibouchina Granulosa) - h= 1,50 / 2,00m</t>
  </si>
  <si>
    <t>S.06.000.067005</t>
  </si>
  <si>
    <t>Transporte de material escavado - rocha</t>
  </si>
  <si>
    <t>Microcomputador HD 1 TB + imperssora a laser + pacote Oficce</t>
  </si>
  <si>
    <t>S.06.000.080271</t>
  </si>
  <si>
    <t>Escavadeira hidráulica, capacidade operacional= 17T, potência 122 HP a diesel - sobre esteiras</t>
  </si>
  <si>
    <t>43.03.222</t>
  </si>
  <si>
    <t>Sistema de aquecimento de passagem a gás com sistema misturador para abastecimento de até 04 duchas</t>
  </si>
  <si>
    <t>54.09</t>
  </si>
  <si>
    <t>Pavimentação sustentável de vias, calçadas e passeios</t>
  </si>
  <si>
    <t>54.09.001</t>
  </si>
  <si>
    <t>Concreto asfáltico modificado por borracha AB8</t>
  </si>
  <si>
    <t>Exercício de janeiro 2025 até dezembro de 2025 - CDHU</t>
  </si>
  <si>
    <t>Previdência Social</t>
  </si>
  <si>
    <t>Fundo de Garantia por Tempo de Serviço</t>
  </si>
  <si>
    <t>Salário-Educação</t>
  </si>
  <si>
    <t>Serviços Social da Indústria (Sesi)</t>
  </si>
  <si>
    <t>Serviço Nacional de Aprendizagem Industrial (Senai)</t>
  </si>
  <si>
    <t>Serviços de Apoio a Pequena e Média Empresa (Sebrae)</t>
  </si>
  <si>
    <t>Instituto Nacional de Colonização e Reforma Agrária (Incra)</t>
  </si>
  <si>
    <t>Seconci Serviço Social da Indústria da Construção e do Mobiliário (aplicável a todas as empresas constantes do III grupo da CLT - art. 577)</t>
  </si>
  <si>
    <t>Repouso semanal remunerado</t>
  </si>
  <si>
    <t>Dias de chuva / faltas justificadas na obra / outras dificuldades / acidentes de trabalho / greves / falta ou atraso na entrega de materiais ou serviços</t>
  </si>
  <si>
    <t>Depósito por despedida injusta 40% sobre [A2 + (A2 x B)]</t>
  </si>
  <si>
    <t>Férias (indenizadas)</t>
  </si>
  <si>
    <t>Reincidência de (A - A9) sobre C3</t>
  </si>
  <si>
    <t>Exercício de janeiro 2025 até dezembro de 2025 - FDE</t>
  </si>
  <si>
    <t>INSS: Previdência Social</t>
  </si>
  <si>
    <t>FGTS: Fundo de Garantia por Tempo de Serviço</t>
  </si>
  <si>
    <t>SESI: Serviço Social da Indústria</t>
  </si>
  <si>
    <t xml:space="preserve">SENAI: Serviço Nacional de Aprendizagem Industrial </t>
  </si>
  <si>
    <t>SEBRAE: Serviço de Apoio à Pequena e Média Empresa</t>
  </si>
  <si>
    <t>INCRA: Instituto Nacional de Colonização e Reforma Agrária</t>
  </si>
  <si>
    <t>SECONCI: Serviço Social da Indústria da Construção e do Mobiliário (aplicável a todas as empresas constantes do III grupo da CLT-art.577)</t>
  </si>
  <si>
    <t>Repouso Semanal e feriados</t>
  </si>
  <si>
    <t>Auxílio-enfermidade (*)</t>
  </si>
  <si>
    <t>Licença-paternidade (*)</t>
  </si>
  <si>
    <t>Dias de chuva / faltas justificadas / acidenes de trabalho / greves / flata ou atraso na entrega de mateirais ou serviços na obra / outras dificudades</t>
  </si>
  <si>
    <t>Depósito por despedida injusta: 50% sobres (A2+(A2xB))</t>
  </si>
  <si>
    <t>Aviso-prévio indenizado (*)</t>
  </si>
  <si>
    <t>Férias indenizadas (*)</t>
  </si>
  <si>
    <t>Reincidência de A2 sobre C2</t>
  </si>
  <si>
    <t>2.60.20</t>
  </si>
  <si>
    <t>FECHAMENTO ONDA SUPERIOR TELHA AUTOPORTANTE E=0,80MM FACE APARENTE PINTADA H=260MM</t>
  </si>
  <si>
    <t>2.60.30</t>
  </si>
  <si>
    <t>FECHAMENTO ONDA INFERIOR  TELHA AUTOPORTANTE E=0,80MM FACE APARENTE PINTADA H=260MM</t>
  </si>
  <si>
    <t>2.60.35</t>
  </si>
  <si>
    <t>BARRA TRAVESSA DE CONTRAVENTAAMENTO DA TELHA AUTOPORTANTE E=0,80MM FACE APARENTE PINTADA</t>
  </si>
  <si>
    <t>4.94.49</t>
  </si>
  <si>
    <t>TERMINAL DE COMPRESSAO CABO 240MM2</t>
  </si>
  <si>
    <t>4.01.17</t>
  </si>
  <si>
    <t>POSTE DE CONCRETO CIRCULAR 12M/1500 DAN</t>
  </si>
  <si>
    <t>4.01.16</t>
  </si>
  <si>
    <t>POSTE DE CONCRETO CIRCULAR 12M/1000 DAN</t>
  </si>
  <si>
    <t>4.50.11</t>
  </si>
  <si>
    <t>CAIXA EMBUTIR CHAPA 16 DISJUNTOR, BOMBA INCENDIO COM TAMPA 20X20X20X12 CM</t>
  </si>
  <si>
    <t>4.51.41</t>
  </si>
  <si>
    <t>CAIXA ENTRADA MEDIÇÃO ENERGISA 53X62X25 CM</t>
  </si>
  <si>
    <t>4.51.42</t>
  </si>
  <si>
    <t>CAIXA ENTRADA TRANSF.CORRENTE ENERGISA 53X62X25 CM</t>
  </si>
  <si>
    <t>4.51.43</t>
  </si>
  <si>
    <t>CAIXA DISJUNTOR PROTEÇAO ENEREGISA 40X82X21 CM</t>
  </si>
  <si>
    <t>4.94.69</t>
  </si>
  <si>
    <t>CRUZETA POLIMÉRICA FIBRA DE VIDRO PRFV 90X112,5X2400 MM</t>
  </si>
  <si>
    <t>4.05.11</t>
  </si>
  <si>
    <t>ALÇA PREFORMATADA ESTAI PARA CABO ATE 10MM</t>
  </si>
  <si>
    <t>4.95.15</t>
  </si>
  <si>
    <t>SELA ACO GALV FORGO PARA CRUZZETA SECAO 90 X 112,5 MM</t>
  </si>
  <si>
    <t>4.95.31</t>
  </si>
  <si>
    <t>PLACA ALERTA DISJUNTOR BOMBA DE INCEDIO EM PVC AUTOADESIVO FOTOLUMINESCENTE</t>
  </si>
  <si>
    <t>4.96.10</t>
  </si>
  <si>
    <t>CONECTOR SPLIT-BOOLT P/CABO 50MM2</t>
  </si>
  <si>
    <t>4.96.11</t>
  </si>
  <si>
    <t>CONECTOR SPLIT-BOOLT P/CABO 70MM2</t>
  </si>
  <si>
    <t>4.96.12</t>
  </si>
  <si>
    <t>CONECTOR SPLIT-BOOLT P/CABO 185MM2</t>
  </si>
  <si>
    <t>4.96.14</t>
  </si>
  <si>
    <t>CONECTOR SPLIT-BOOLT P/CABO 240MM2</t>
  </si>
  <si>
    <t>MANILHA SAPATILHA 50kN ACO GALV FOGO</t>
  </si>
  <si>
    <t>4.35.14</t>
  </si>
  <si>
    <t>CHAVE SECCIONADORA TRIFASICA NH 02 FUSIVEL BARRA SOLIDA</t>
  </si>
  <si>
    <t>4.51.38</t>
  </si>
  <si>
    <t>CAIXA EM CHAPA TIPO H MEDIÇAO INDIRETRE 60X130X25 CM</t>
  </si>
  <si>
    <t>4.51.34</t>
  </si>
  <si>
    <t>CAIXA DE MEDIÇAO INDIRETA MODULO DE POLICARBONATO 54X54X17 CM</t>
  </si>
  <si>
    <t>4.51.31</t>
  </si>
  <si>
    <t>CAIXA DE MEDIÇAO E PROTEÇAO ENERGISA CMD-BT CHAPA 18 (1,20MM) COR CINZA 60X100X22CM</t>
  </si>
  <si>
    <t>4.51.24</t>
  </si>
  <si>
    <t>CAIXA DE MEDIÇAO E PROTEÇAO ENERGISA CMI-02 POLICARBONATO COM TAMPA TRANSLUCIDA 38X48X21CM</t>
  </si>
  <si>
    <t>4.51.39</t>
  </si>
  <si>
    <t>CAIXA DE MEDIÇAO E PROTEÇAO EDP CHAP 14 (1.90MM) COR CINZA 60X50X18CM</t>
  </si>
  <si>
    <t>4.41.26</t>
  </si>
  <si>
    <t>FUSÍVEL NH 02 400A BARRA CONDUTORA SOLIDA</t>
  </si>
  <si>
    <t>4.41.25</t>
  </si>
  <si>
    <t>FUSÍVEL NH 01 200A BARRA CONDUTORA SOLIDA</t>
  </si>
  <si>
    <t>BARRAMENTO COBRE 150 AMPERES 1/2 x 1/4</t>
  </si>
  <si>
    <t>BARRAMENTO COBRE 320 AMPERES 1 1/4 x 3/16</t>
  </si>
  <si>
    <t>4.30.30</t>
  </si>
  <si>
    <t>CABO DE ALUMINIO SINGELO DE 35 MM2 TENSÃO NOMINAL 8,7/15</t>
  </si>
  <si>
    <t>4.51.33</t>
  </si>
  <si>
    <t>SOBRE PORTA EXTERNA METÁLICA 100X100CM CHAPA 16 MSG C/VENEZIANAS</t>
  </si>
  <si>
    <t>APARELHO AR CONDICIONADO HI WALL MINI SPLIT 30.000 BTU/H CICLO FRIO INVERTER 220V COM CONTROLE REMOTO</t>
  </si>
  <si>
    <t>CAIXA DE INSPEÇÃO P/ATERRAMENTO EM PVC DE ALTA RESISTENCIA  DIAMETRO Ø 300 X H300 MM COM TAMPA DE ACO GALV FOGO</t>
  </si>
  <si>
    <t>3.85.10</t>
  </si>
  <si>
    <t>TOMOGRAFIA SONICA DO TRONO COM LAUDO TECNICO</t>
  </si>
  <si>
    <t>3.85.52</t>
  </si>
  <si>
    <t>TOMOGRAFIA SONICA DO TRONO E RAIZ ARBOREA COM LAUDO TECNICO</t>
  </si>
  <si>
    <r>
      <rPr>
        <sz val="8"/>
        <rFont val="Arial"/>
        <family val="2"/>
      </rPr>
      <t>07.04.116</t>
    </r>
  </si>
  <si>
    <r>
      <rPr>
        <sz val="8"/>
        <rFont val="Arial"/>
        <family val="2"/>
      </rPr>
      <t>PLACA FECHAMENTO DE ONDA SUPERIOR DE TELHA AUTOPORTANTE  E=0,80MM FACE APARENTE PINTADA H=260MM</t>
    </r>
  </si>
  <si>
    <r>
      <rPr>
        <sz val="8"/>
        <rFont val="Arial"/>
        <family val="2"/>
      </rPr>
      <t>UN</t>
    </r>
  </si>
  <si>
    <r>
      <rPr>
        <sz val="8"/>
        <rFont val="Arial"/>
        <family val="2"/>
      </rPr>
      <t>07.04.118</t>
    </r>
  </si>
  <si>
    <r>
      <rPr>
        <sz val="8"/>
        <rFont val="Arial"/>
        <family val="2"/>
      </rPr>
      <t>BARRA TRAVESSA  DE CONTRAVENTAMENTO DA TELHA AUTOPORTANTE E=0,80MM FACES APARENTES PINTADAS</t>
    </r>
  </si>
  <si>
    <r>
      <rPr>
        <sz val="8"/>
        <rFont val="Arial"/>
        <family val="2"/>
      </rPr>
      <t>07.04.141</t>
    </r>
  </si>
  <si>
    <r>
      <rPr>
        <sz val="8"/>
        <rFont val="Arial"/>
        <family val="2"/>
      </rPr>
      <t>PLACA FECHAMENTO DE ONDA INFERIOR DE TELHA AUTOPORTANTE  E=0,80MM FACE APARENTE PINTADA H=260MM</t>
    </r>
  </si>
  <si>
    <r>
      <rPr>
        <sz val="8"/>
        <rFont val="Arial"/>
        <family val="2"/>
      </rPr>
      <t>09.01.050</t>
    </r>
  </si>
  <si>
    <r>
      <rPr>
        <sz val="8"/>
        <rFont val="Arial"/>
        <family val="2"/>
      </rPr>
      <t xml:space="preserve">TE-17 ENTRADA PRIMÁRIA SIMPLIFICADA EM POSTE UNICO - ENERGISA - 112,5 KVA
</t>
    </r>
    <r>
      <rPr>
        <sz val="8"/>
        <rFont val="Arial"/>
        <family val="2"/>
      </rPr>
      <t>- 15 kV - 220/127 V</t>
    </r>
  </si>
  <si>
    <r>
      <rPr>
        <sz val="8"/>
        <rFont val="Arial"/>
        <family val="2"/>
      </rPr>
      <t>09.01.055</t>
    </r>
  </si>
  <si>
    <r>
      <rPr>
        <sz val="8"/>
        <rFont val="Arial"/>
        <family val="2"/>
      </rPr>
      <t>TE-18 ENTRADA PRIMÁRIA SIMPLIFICADA EM POSTE UNICO - ENERGISA - 150 KVA - 15 kV - 220/127 V</t>
    </r>
  </si>
  <si>
    <r>
      <rPr>
        <sz val="8"/>
        <rFont val="Arial"/>
        <family val="2"/>
      </rPr>
      <t>09.01.060</t>
    </r>
  </si>
  <si>
    <r>
      <rPr>
        <sz val="8"/>
        <rFont val="Arial"/>
        <family val="2"/>
      </rPr>
      <t>TE-19 ENTRADA PRIMÁRIA SIMPLIFICADA EM POSTE UNICO - ENERGISA - 225 KVA - 15 kV- 220/127 V</t>
    </r>
  </si>
  <si>
    <r>
      <rPr>
        <sz val="8"/>
        <rFont val="Arial"/>
        <family val="2"/>
      </rPr>
      <t>09.01.065</t>
    </r>
  </si>
  <si>
    <r>
      <rPr>
        <sz val="8"/>
        <rFont val="Arial"/>
        <family val="2"/>
      </rPr>
      <t xml:space="preserve">TE-20 ENTRADA PRIMÁRIA SIMPLIFICADA EM POSTE UNICO - ENERGISA - 300 KVA -
</t>
    </r>
    <r>
      <rPr>
        <sz val="8"/>
        <rFont val="Arial"/>
        <family val="2"/>
      </rPr>
      <t>15 kV - 220/127 V</t>
    </r>
  </si>
  <si>
    <r>
      <rPr>
        <sz val="8"/>
        <rFont val="Arial"/>
        <family val="2"/>
      </rPr>
      <t>09.01.152</t>
    </r>
  </si>
  <si>
    <r>
      <rPr>
        <sz val="8"/>
        <rFont val="Arial"/>
        <family val="2"/>
      </rPr>
      <t>TAMPA DE SOBREPOR  CHAPA 16 (1,50MM) APLICADA ABRIGO DE  ENTRADA ENERGIA.</t>
    </r>
  </si>
  <si>
    <r>
      <rPr>
        <sz val="8"/>
        <rFont val="Arial"/>
        <family val="2"/>
      </rPr>
      <t>M2</t>
    </r>
  </si>
  <si>
    <r>
      <rPr>
        <sz val="8"/>
        <rFont val="Arial"/>
        <family val="2"/>
      </rPr>
      <t>09.02.030</t>
    </r>
  </si>
  <si>
    <r>
      <rPr>
        <sz val="8"/>
        <rFont val="Arial"/>
        <family val="2"/>
      </rPr>
      <t>AE-32 - ABRIGO E ENTRADA DE ENERGIA PADRÃO EDP - T6 - 150 A</t>
    </r>
  </si>
  <si>
    <r>
      <rPr>
        <sz val="8"/>
        <rFont val="Arial"/>
        <family val="2"/>
      </rPr>
      <t>09.02.034</t>
    </r>
  </si>
  <si>
    <r>
      <rPr>
        <sz val="8"/>
        <rFont val="Arial"/>
        <family val="2"/>
      </rPr>
      <t>AE-33 - ABRIGO E ENTRADA DE ENERGIA PADRÃO EDP - T7 - 200 A</t>
    </r>
  </si>
  <si>
    <r>
      <rPr>
        <sz val="8"/>
        <rFont val="Arial"/>
        <family val="2"/>
      </rPr>
      <t>09.02.035</t>
    </r>
  </si>
  <si>
    <r>
      <rPr>
        <sz val="8"/>
        <rFont val="Arial"/>
        <family val="2"/>
      </rPr>
      <t>AE-34 - ABRIGO E ENTRADA DE ENERGIA PADRÃO EDP - T9 - 300 A</t>
    </r>
  </si>
  <si>
    <r>
      <rPr>
        <sz val="8"/>
        <rFont val="Arial"/>
        <family val="2"/>
      </rPr>
      <t>09.02.100</t>
    </r>
  </si>
  <si>
    <r>
      <rPr>
        <sz val="8"/>
        <rFont val="Arial"/>
        <family val="2"/>
      </rPr>
      <t>AE-26 - ABRIGO E ENTRADA DE ENERGIA - PADRÃO ENERGISA T4 - 100 A</t>
    </r>
  </si>
  <si>
    <r>
      <rPr>
        <sz val="8"/>
        <rFont val="Arial"/>
        <family val="2"/>
      </rPr>
      <t>09.02.104</t>
    </r>
  </si>
  <si>
    <r>
      <rPr>
        <sz val="8"/>
        <rFont val="Arial"/>
        <family val="2"/>
      </rPr>
      <t>AE-27 - ABRIGO E ENTRADA DE ENERGIA - PADRÃO ENERGISA T5 - 150 A</t>
    </r>
  </si>
  <si>
    <r>
      <rPr>
        <sz val="8"/>
        <rFont val="Arial"/>
        <family val="2"/>
      </rPr>
      <t>09.02.106</t>
    </r>
  </si>
  <si>
    <r>
      <rPr>
        <sz val="8"/>
        <rFont val="Arial"/>
        <family val="2"/>
      </rPr>
      <t>AE-28 - ABRIGO E ENTRADA DE ENERGIA - PADRÃO ENERGISA T6 - 200 A</t>
    </r>
  </si>
  <si>
    <r>
      <rPr>
        <sz val="8"/>
        <rFont val="Arial"/>
        <family val="2"/>
      </rPr>
      <t>09.02.107</t>
    </r>
  </si>
  <si>
    <r>
      <rPr>
        <sz val="8"/>
        <rFont val="Arial"/>
        <family val="2"/>
      </rPr>
      <t>AE-38 ABRIGO E ENTRADA DE ENERGIA - MULTI 200 PADRÃO CPFL  C-4 - 125 A</t>
    </r>
  </si>
  <si>
    <r>
      <rPr>
        <sz val="8"/>
        <rFont val="Arial"/>
        <family val="2"/>
      </rPr>
      <t>09.02.109</t>
    </r>
  </si>
  <si>
    <r>
      <rPr>
        <sz val="8"/>
        <rFont val="Arial"/>
        <family val="2"/>
      </rPr>
      <t>AE-39 ABRIGO E ENTRADA DE ENERGIA - MULTI 200 PADRÃO CPFL  C-5 - 150 A</t>
    </r>
  </si>
  <si>
    <r>
      <rPr>
        <sz val="8"/>
        <rFont val="Arial"/>
        <family val="2"/>
      </rPr>
      <t>09.02.111</t>
    </r>
  </si>
  <si>
    <r>
      <rPr>
        <sz val="8"/>
        <rFont val="Arial"/>
        <family val="2"/>
      </rPr>
      <t>AE-40 ABRIGO E ENTRADA DE ENERGIA - MULTI 200 PADRÃO CPFL  C-6 -200 A</t>
    </r>
  </si>
  <si>
    <r>
      <rPr>
        <sz val="8"/>
        <rFont val="Arial"/>
        <family val="2"/>
      </rPr>
      <t>09.02.113</t>
    </r>
  </si>
  <si>
    <r>
      <rPr>
        <sz val="8"/>
        <rFont val="Arial"/>
        <family val="2"/>
      </rPr>
      <t>AE-35 - ABRIGO E ENTRADA DE ENERGIA - PADRÃO NEOENERGIA T3 - 125 A</t>
    </r>
  </si>
  <si>
    <r>
      <rPr>
        <sz val="8"/>
        <rFont val="Arial"/>
        <family val="2"/>
      </rPr>
      <t>09.02.115</t>
    </r>
  </si>
  <si>
    <r>
      <rPr>
        <sz val="8"/>
        <rFont val="Arial"/>
        <family val="2"/>
      </rPr>
      <t>AE-36 - ABRIGO E ENTRADA DE ENERGIA - PADRÃO NEOENERGIA T4 - 150 A</t>
    </r>
  </si>
  <si>
    <r>
      <rPr>
        <sz val="8"/>
        <rFont val="Arial"/>
        <family val="2"/>
      </rPr>
      <t>09.02.116</t>
    </r>
  </si>
  <si>
    <r>
      <rPr>
        <sz val="8"/>
        <rFont val="Arial"/>
        <family val="2"/>
      </rPr>
      <t>AE-37 - ABRIGO E ENTRADA DE ENERGIA - PADRÃO NEOENERGIA T5 - 200 A</t>
    </r>
  </si>
  <si>
    <r>
      <rPr>
        <sz val="8"/>
        <rFont val="Arial"/>
        <family val="2"/>
      </rPr>
      <t>09.02.119</t>
    </r>
  </si>
  <si>
    <r>
      <rPr>
        <sz val="8"/>
        <rFont val="Arial"/>
        <family val="2"/>
      </rPr>
      <t>AE-29 - ABRIGO E ENTRADA DE ENERGIA - C6  C7  - 125 A -  PADRÃO ENEL</t>
    </r>
  </si>
  <si>
    <r>
      <rPr>
        <sz val="8"/>
        <rFont val="Arial"/>
        <family val="2"/>
      </rPr>
      <t>09.02.120</t>
    </r>
  </si>
  <si>
    <r>
      <rPr>
        <sz val="8"/>
        <rFont val="Arial"/>
        <family val="2"/>
      </rPr>
      <t>AE-29 - ABRIGO E ENTRADA DE ENERGIA - C4 - 125 A -  PADRÃO ENEL</t>
    </r>
  </si>
  <si>
    <r>
      <rPr>
        <sz val="8"/>
        <rFont val="Arial"/>
        <family val="2"/>
      </rPr>
      <t>09.02.123</t>
    </r>
  </si>
  <si>
    <r>
      <rPr>
        <sz val="8"/>
        <rFont val="Arial"/>
        <family val="2"/>
      </rPr>
      <t>AE-30 - ABRIGO E ENTRADA DE ENERGIA -  C7 - 150 A -  PADRÃO ENEL</t>
    </r>
  </si>
  <si>
    <r>
      <rPr>
        <sz val="8"/>
        <rFont val="Arial"/>
        <family val="2"/>
      </rPr>
      <t>09.02.124</t>
    </r>
  </si>
  <si>
    <r>
      <rPr>
        <sz val="8"/>
        <rFont val="Arial"/>
        <family val="2"/>
      </rPr>
      <t>AE-30 - ABRIGO E ENTRADA DE ENERGIA -  C8 - 160 A -  PADRÃO ENEL</t>
    </r>
  </si>
  <si>
    <r>
      <rPr>
        <sz val="8"/>
        <rFont val="Arial"/>
        <family val="2"/>
      </rPr>
      <t>09.02.125</t>
    </r>
  </si>
  <si>
    <r>
      <rPr>
        <sz val="8"/>
        <rFont val="Arial"/>
        <family val="2"/>
      </rPr>
      <t>AE-30 - ABRIGO E ENTRADA DE ENERGIA - C5 - 160 A -  PADRÃO ENEL</t>
    </r>
  </si>
  <si>
    <r>
      <rPr>
        <sz val="8"/>
        <rFont val="Arial"/>
        <family val="2"/>
      </rPr>
      <t>09.02.128</t>
    </r>
  </si>
  <si>
    <r>
      <rPr>
        <sz val="8"/>
        <rFont val="Arial"/>
        <family val="2"/>
      </rPr>
      <t>AE-31 - ABRIGO E ENTRADA DE ENERGIA -  C8  C9  200 A -  PADRÃO ENEL</t>
    </r>
  </si>
  <si>
    <r>
      <rPr>
        <sz val="8"/>
        <rFont val="Arial"/>
        <family val="2"/>
      </rPr>
      <t>09.02.129</t>
    </r>
  </si>
  <si>
    <r>
      <rPr>
        <sz val="8"/>
        <rFont val="Arial"/>
        <family val="2"/>
      </rPr>
      <t>AE-31 - ABRIGO E ENTRADA DE ENERGIA - C6 - 200 A -  PADRÃO ENEL</t>
    </r>
  </si>
  <si>
    <r>
      <rPr>
        <sz val="8"/>
        <rFont val="Arial"/>
        <family val="2"/>
      </rPr>
      <t>16.03.013</t>
    </r>
  </si>
  <si>
    <r>
      <rPr>
        <sz val="8"/>
        <rFont val="Arial"/>
        <family val="2"/>
      </rPr>
      <t>TOMOGRAFIA SONICA DO TRONCO ARBOREO INCLUSIVE  FORNECIMENTO RELATORIO DE  ANALISE E  LAUDO TECNICO INDIVIDUAL</t>
    </r>
  </si>
  <si>
    <t>falta</t>
  </si>
  <si>
    <r>
      <rPr>
        <sz val="8"/>
        <rFont val="Arial"/>
        <family val="2"/>
      </rPr>
      <t>16.03.042</t>
    </r>
  </si>
  <si>
    <r>
      <rPr>
        <sz val="8"/>
        <rFont val="Arial"/>
        <family val="2"/>
      </rPr>
      <t>TOMOGRAFIA SONICA DO TRONCO  E DA RAIZ ARBOREA INCLUSIVE FORNECIMENTO RELATORIO DE  ANALISE E  LAUDO TECNICO INDIVIDUAL</t>
    </r>
  </si>
  <si>
    <t>área</t>
  </si>
  <si>
    <t>INDICE CUB (R$/M2)</t>
  </si>
  <si>
    <t>BDI SEM DESONERAÇÃO (A ser aplicado na Planilha Orçamentária)</t>
  </si>
  <si>
    <t>TAPUME</t>
  </si>
  <si>
    <t>ESTRUTURA DE CONCRETO</t>
  </si>
  <si>
    <t>ESTACA</t>
  </si>
  <si>
    <t>BLOCOS DE FUNDAÇÃO</t>
  </si>
  <si>
    <t>COMPRIMENTO</t>
  </si>
  <si>
    <t>MEMORIA DE CÁLCULO - LIMPEZA DO TERRENO</t>
  </si>
  <si>
    <t>COMP</t>
  </si>
  <si>
    <t>ALT</t>
  </si>
  <si>
    <t>D&amp;C 41</t>
  </si>
  <si>
    <t>DEMOLIÇÃO DE CONSTRUÇÕES EM ALVENARIA</t>
  </si>
  <si>
    <t>O CDHU não apresenta composição para esta especificação de serviço, apenas os insumos e serviços. Portanto, utilizou-se como base de referência o código 02.102.000009.SER TCPO.</t>
  </si>
  <si>
    <t>ALVENARIA</t>
  </si>
  <si>
    <t>D&amp;C 42</t>
  </si>
  <si>
    <t>LAJE PRE-FABRICADA PAINEL ALVEOLAR CONCRETO PROTENDIDO H25-500KGF/M2</t>
  </si>
  <si>
    <t>SIURB INFRA</t>
  </si>
  <si>
    <t>88306 - 07/25</t>
  </si>
  <si>
    <t>LAJE EM PAINEL PROTENDIDO ALVEOLAR - ESPESSURA: 25 CM - 500KG/M2</t>
  </si>
  <si>
    <t>TOTAL GERAL</t>
  </si>
  <si>
    <t>LARG</t>
  </si>
  <si>
    <t>D&amp;C 43</t>
  </si>
  <si>
    <t>O CDHU não apresenta composição para esta especificação de serviço, apenas os insumos e serviços. Portanto, utilizou-se como base de referência o código 02.02.103 da FDE retirando o insumo de concreto.</t>
  </si>
  <si>
    <t>ESTACA ESCAVADA MECANICAMENTE DIAM 40CM - NÃO INCLUSO CONCRETO E ARMAÇÃO</t>
  </si>
  <si>
    <t>D&amp;C 44</t>
  </si>
  <si>
    <t>ESTACA ESCAVADA MECANICAMENTE DIAM 50CM - NÃO INCLUSO CONCRETO E ARMAÇÃO</t>
  </si>
  <si>
    <t>D&amp;C 45</t>
  </si>
  <si>
    <t>CONTROLE TECNOLOGICO DE CONCRETOS</t>
  </si>
  <si>
    <t>SBC</t>
  </si>
  <si>
    <t>ENSAIO - ENSAIO DE RESISTENCIA A COMPRESSAO SIMPLES - CONCRETO</t>
  </si>
  <si>
    <t>O CDHU não apresenta composição para esta especificação de serviço, apenas os insumos e serviços. Portanto, utilizou-se como base de referência o código 000128 da SBC e insumos da mesma.</t>
  </si>
  <si>
    <t>D&amp;C 46</t>
  </si>
  <si>
    <t>ENSAIOS DE LABORATÓRIO - PROCTOR SIMPLES</t>
  </si>
  <si>
    <t>O CDHU não apresenta composição para esta especificação de serviço, apenas os insumos e serviços. Portanto, utilizou-se como base de referência o código 2006006 da SIURB INFRA e insumos da mesma.</t>
  </si>
  <si>
    <t>PLACA EM LONA COM IMPRESSÃO DIGITAL E ESTRUTURA EM MADEIRA</t>
  </si>
  <si>
    <t>TAPUME FIXO PARA FECHAMENTO DE ÁREAS, COM PORTÃO</t>
  </si>
  <si>
    <t>LIMPEZA MECANIZADA DO TERRENO, INCLUSIVE TRONCOS COM DIÂMETRO ACIMA DE 15 CM ATÉ 50 CM, COM CAMINHÃO À DISPOSIÇÃO DENTRO DA OBRA, ATÉ O RAIO DE 1 KM</t>
  </si>
  <si>
    <t>COMPACTAÇÃO DE ATERRO MECANIZADO MÍNIMO DE 95% PN, SEM FORNECIMENTO DE SOLO EM ÁREAS FECHADAS</t>
  </si>
  <si>
    <t>LASTRO DE PEDRA BRITADA</t>
  </si>
  <si>
    <t>FORMA EM MADEIRA COMUM PARA FUNDAÇÃO</t>
  </si>
  <si>
    <t>ARMADURA EM TELA SOLDADA DE AÇO</t>
  </si>
  <si>
    <t>LANÇAMENTO, ESPALHAMENTO E ADENSAMENTO DE CONCRETO OU MASSA EM LASTRO E/OU ENCHIMENTO</t>
  </si>
  <si>
    <t>NIVELAMENTO DE PISO EM CONCRETO COM ACABADORA DE SUPERFÍCIE</t>
  </si>
  <si>
    <t>ESCAVAÇÃO MECANIZADA DE VALAS OU CAVAS COM PROFUNDIDADE DE ATÉ 2 M</t>
  </si>
  <si>
    <t>ARMADURA EM BARRA DE AÇO CA-50 (A OU B) FYK = 500 MPA</t>
  </si>
  <si>
    <t>LANÇAMENTO E ADENSAMENTO DE CONCRETO OU MASSA EM FUNDAÇÃO</t>
  </si>
  <si>
    <t>REATERRO COMPACTADO MECANIZADO DE VALA OU CAVA COM COMPACTADOR</t>
  </si>
  <si>
    <t>ALVENARIA DE BLOCO DE CONCRETO ESTRUTURAL 19 CM - CLASSE A</t>
  </si>
  <si>
    <t>ARMADURA EM BARRA DE AÇO CA-60 (A OU B) FYK = 600 MPA</t>
  </si>
  <si>
    <t>ARGAMASSA GRAUTE</t>
  </si>
  <si>
    <t xml:space="preserve"> 5.1.1</t>
  </si>
  <si>
    <t xml:space="preserve"> 5.1.2</t>
  </si>
  <si>
    <t>FORNECIMENTO E MONTAGEM DE ESTRUTURA EM AÇO ASTM-A36, SEM PINTURA</t>
  </si>
  <si>
    <t>CALHA, RUFO, AFINS EM CHAPA GALVANIZADA Nº 24 - CORTE 0,50 M</t>
  </si>
  <si>
    <t>DEPÓSITO</t>
  </si>
  <si>
    <t>CONFORME CROQUI DE CANTEIRO DE OBRAS</t>
  </si>
  <si>
    <t>LOCAÇÃO DE OBRAS</t>
  </si>
  <si>
    <t>PAREDES E PAINEIS</t>
  </si>
  <si>
    <t>ALVENARIA DE VEDAÇÃO</t>
  </si>
  <si>
    <t>DIVISÓRIAS EM GESSO</t>
  </si>
  <si>
    <t>JANELAS</t>
  </si>
  <si>
    <t>OUTROS ELEMENTOS</t>
  </si>
  <si>
    <t>REVESTIMENTOS DE PAREDES</t>
  </si>
  <si>
    <t>REVESTIMENTOS ARGAMASSADOS</t>
  </si>
  <si>
    <t>REVESTIMENTOS CERÂMICOS</t>
  </si>
  <si>
    <t>REVESTIMENTOS DE TETO</t>
  </si>
  <si>
    <t>ACABAMENTOS</t>
  </si>
  <si>
    <t>D&amp;C 47</t>
  </si>
  <si>
    <t>LAPIDAÇÃO DE CONCRETO COM POLITRIZ DE PISO, SEQUÊNCIA DE INSERTOS DIAMANTADO (G24 A G220) E LIXAS DIAMANTADAS (G50 A G3000), ACABAMENTO LISO POLIDO DE BRILHO CONTROLADO, SUPERFÍCIE DE BAIXO DESLIZAMENTO E ALTA RESISTÊNCIA À ABRASÃO, INCLUINDO A APLICAÇÃO DE ESTRUTURANTE E CRISTALIZADOR</t>
  </si>
  <si>
    <t>MERCADO</t>
  </si>
  <si>
    <t>SETOP 7/25</t>
  </si>
  <si>
    <t>MATED-20316</t>
  </si>
  <si>
    <t>MATED-20317</t>
  </si>
  <si>
    <t xml:space="preserve">SEINFRA </t>
  </si>
  <si>
    <t>I6802</t>
  </si>
  <si>
    <t>INSERTO DE DESBASTE DIAMANTADO (GRÃO: 36)</t>
  </si>
  <si>
    <t>INSERTO DE DESBASTE DIAMANTADO (GRÃO: 60)</t>
  </si>
  <si>
    <t>ADITIVO SUPERPLASTIFICANTE DENSIFICADOR E RETARDADOR DE PEGA</t>
  </si>
  <si>
    <t>Composição baseada nas composições SINAPI 104162, 104638 e CDHU 33.01.050</t>
  </si>
  <si>
    <t>D&amp;C 48</t>
  </si>
  <si>
    <t>LAPIDAÇÃO DE CONCRETO COM POLITRIZ DE PISO, SEQUÊNCIA DE INSERTOS DIAMANTADO (G24 A G220) E LIXAS DIAMANTADAS (G50 A G200), ACABAMENTO RÚSTICO E POUCO POROSO, INCLUINDO A APLICAÇÃO DE RESINA ACRÍLICA IMPERMEABILIZANTE</t>
  </si>
  <si>
    <t>Composição baseada nas composições SINAPI 104162, 104638, CDHU 33.01.050 e 17.40.160</t>
  </si>
  <si>
    <t>RODAPÉ</t>
  </si>
  <si>
    <t>INSTALAÇÕES HIDRÁULICAS</t>
  </si>
  <si>
    <t>REDE DE ÁGUA FRIA</t>
  </si>
  <si>
    <t>REDE DE ESGOTO</t>
  </si>
  <si>
    <t>REDE DE VENTILAÇÃO</t>
  </si>
  <si>
    <t>REDE DE ÁGUA PLUVIAL</t>
  </si>
  <si>
    <t>INSTALAÇÕES ELÉTRICA</t>
  </si>
  <si>
    <t>DUTOS / ELETRODUTOS</t>
  </si>
  <si>
    <t>QUADROS E CAIXAS</t>
  </si>
  <si>
    <t>INTERRUPTOR E TOMADAS</t>
  </si>
  <si>
    <t>SPDA</t>
  </si>
  <si>
    <t>SERVIÇOS COMPLEMENTARES</t>
  </si>
  <si>
    <t>LIMPEZA FINAL DE OBRA</t>
  </si>
  <si>
    <t>DIFERENÇA</t>
  </si>
  <si>
    <t>D&amp;C 49</t>
  </si>
  <si>
    <t>ESTACA ESCAVADA MECANICAMENTE DIAM 25CM - NÃO INCLUSO CONCRETO E ARMAÇÃO</t>
  </si>
  <si>
    <t>O CDHU não apresenta composição para esta especificação de serviço, apenas os insumos e serviços. Portanto, utilizou-se como base de referência o código 12.05.020 da CDHU, retirando os insumos referente a concreto e aço.</t>
  </si>
  <si>
    <t>LÓGICA / CABEAMENTO</t>
  </si>
  <si>
    <t>CLIMATIZAÇÃO E VENTILAÇÃO</t>
  </si>
  <si>
    <t>CLIMATIZAÇÃO</t>
  </si>
  <si>
    <t>VENTILAÇÃO</t>
  </si>
  <si>
    <t>D&amp;C 35</t>
  </si>
  <si>
    <t>PLACA TATIL BRAILLE/RELEVO ACRILICO 25X8CM</t>
  </si>
  <si>
    <t>SBC 10/25</t>
  </si>
  <si>
    <t>ACESSIBILIDADE - PLACA TATIL BRAILLE/RELEVO ACO INOX 20x8cm PARA PORTAS</t>
  </si>
  <si>
    <t>A CDHU não contempla composição para o serviço, portanto utilizou-se como base o item 202110 da SBC e insumos da mesma.</t>
  </si>
  <si>
    <t>CUB GERAL</t>
  </si>
  <si>
    <t>ALVENARIA DE BLOCO CERÂMICO DE VEDAÇÃO DE 19 CM</t>
  </si>
  <si>
    <t>VERGAS, CONTRAVERGAS E PILARETES DE CONCRETO ARMADO</t>
  </si>
  <si>
    <t xml:space="preserve"> 7.1.1</t>
  </si>
  <si>
    <t>CAIXILHO EM ALUMÍNIO MAXIM-AR, SOB MEDIDA</t>
  </si>
  <si>
    <t xml:space="preserve"> 7.2.1</t>
  </si>
  <si>
    <t>VIDRO TEMPERADO INCOLOR DE 6 MM</t>
  </si>
  <si>
    <t xml:space="preserve"> 7.2.2</t>
  </si>
  <si>
    <t>BARRA DE APOIO RETA, PARA PESSOAS COM MOBILIDADE REDUZIDA, EM TUBO DE AÇO INOXIDÁVEL DE 1 1/4´ X 400 MM</t>
  </si>
  <si>
    <t>REVESTIMENTO EM CHAPA DE AÇO INOXIDÁVEL PARA PROTEÇÃO DE PORTAS, ALTURA DE 40 CM</t>
  </si>
  <si>
    <t xml:space="preserve"> 8.1.1</t>
  </si>
  <si>
    <t>EMBOÇO COMUM</t>
  </si>
  <si>
    <t xml:space="preserve"> 8.1.2</t>
  </si>
  <si>
    <t>PLACA CERÂMICA ESMALTADA PEI-5 PARA ÁREA INTERNA, GRUPO DE ABSORÇÃO BIIB, RESISTÊNCIA QUÍMICA B, ASSENTADO COM ARGAMASSA COLANTE INDUSTRIALIZADA</t>
  </si>
  <si>
    <t xml:space="preserve"> 8.2.1</t>
  </si>
  <si>
    <t>REJUNTAMENTO EM PLACAS CERÂMICAS COM CIMENTO BRANCO, JUNTAS ACIMA DE 3 ATÉ 5 MM</t>
  </si>
  <si>
    <t xml:space="preserve"> 8.2.2</t>
  </si>
  <si>
    <t xml:space="preserve"> 9.1.1</t>
  </si>
  <si>
    <t xml:space="preserve"> 10.1.1</t>
  </si>
  <si>
    <t xml:space="preserve"> 10.2.1</t>
  </si>
  <si>
    <t xml:space="preserve"> 10.3.1</t>
  </si>
  <si>
    <t>REGULARIZAÇÃO E COMPACTAÇÃO MECANIZADA DE SUPERFÍCIE, SEM CONTROLE DO PROCTOR NORMAL</t>
  </si>
  <si>
    <t>CONCRETO USINADO, FCK = 20 MPA</t>
  </si>
  <si>
    <t>TUBO DE PVC RÍGIDO SOLDÁVEL MARROM, DN= 25 MM, (3/4´), INCLUSIVE CONEXÕES</t>
  </si>
  <si>
    <t>TUBO DE PVC RÍGIDO SOLDÁVEL MARROM, DN= 32 MM, (1´), INCLUSIVE CONEXÕES</t>
  </si>
  <si>
    <t>TUBO DE PVC RÍGIDO SOLDÁVEL MARROM, DN= 60 MM, (2´), INCLUSIVE CONEXÕES</t>
  </si>
  <si>
    <t>REGISTRO DE GAVETA EM LATÃO FUNDIDO CROMADO COM CANOPLA, DN= 3/4´ - LINHA ESPECIAL</t>
  </si>
  <si>
    <t xml:space="preserve"> 12.2.1</t>
  </si>
  <si>
    <t>REGISTRO DE GAVETA EM LATÃO FUNDIDO CROMADO COM CANOPLA, DN= 1 1/2´ - LINHA ESPECIAL</t>
  </si>
  <si>
    <t>VÁLVULA DE DESCARGA EXTERNA, TIPO ALAVANCA COM REGISTRO PRÓPRIO, DN= 1 1/4´ E DN= 1 1/2´</t>
  </si>
  <si>
    <t>VÁLVULA DE DESCARGA COM REGISTRO PRÓPRIO, DN= 1 1/2´</t>
  </si>
  <si>
    <t>TUBO DE PVC RÍGIDO SOLDÁVEL MARROM, DN= 40 MM, (1 1/4´), INCLUSIVE CONEXÕES</t>
  </si>
  <si>
    <t>TUBO DE PVC RÍGIDO SOLDÁVEL MARROM, DN= 50 MM, (1 1/2´), INCLUSIVE CONEXÕES</t>
  </si>
  <si>
    <t>TUBO DE PVC RÍGIDO BRANCO, PONTAS LISAS, SOLDÁVEL, LINHA ESGOTO SÉRIE NORMAL, DN= 40 MM, INCLUSIVE CONEXÕES</t>
  </si>
  <si>
    <t>TUBO DE PVC RÍGIDO BRANCO PXB COM VIROLA E ANEL DE BORRACHA, LINHA ESGOTO SÉRIE NORMAL, DN= 50 MM, INCLUSIVE CONEXÕES</t>
  </si>
  <si>
    <t>TUBO DE PVC RÍGIDO BRANCO PXB COM VIROLA E ANEL DE BORRACHA, LINHA ESGOTO SÉRIE NORMAL, DN= 100 MM, INCLUSIVE CONEXÕES</t>
  </si>
  <si>
    <t>BACIA SIFONADA DE LOUÇA SEM TAMPA - 6 LITROS</t>
  </si>
  <si>
    <t>BACIA SIFONADA DE LOUÇA PARA PESSOAS COM MOBILIDADE REDUZIDA - CAPACIDADE DE 6 LITROS</t>
  </si>
  <si>
    <t>TUBO DE LIGAÇÃO PARA SANITÁRIO</t>
  </si>
  <si>
    <t>TAMPA DE PLÁSTICO PARA BACIA SANITÁRIA</t>
  </si>
  <si>
    <t>BOLSA PARA BACIA SANITÁRIA</t>
  </si>
  <si>
    <t>TAMPO/BANCADA EM GRANITO, COM FRONTÃO, ESPESSURA DE 2 CM, ACABAMENTO POLIDO</t>
  </si>
  <si>
    <t>CUBA DE LOUÇA DE EMBUTIR OVAL</t>
  </si>
  <si>
    <t>DISPENSER TOALHEIRO EM ABS E POLICARBONATO PARA BOBINA DE 20 CM X 200 M, COM ALAVANCA</t>
  </si>
  <si>
    <t>SABONETEIRA TIPO DISPENSER, PARA REFIL DE 800 ML</t>
  </si>
  <si>
    <t>DISPENSER PAPEL HIGIÊNICO EM ABS PARA ROLÃO 300 / 600 M, COM VISOR</t>
  </si>
  <si>
    <t>TORNEIRA DE MESA AUTOMÁTICA, ACIONAMENTO HIDROMECÂNICO, EM LATÃO CROMADO, DN= 1/2´OU 3/4´</t>
  </si>
  <si>
    <t>TORNEIRA DE MESA PARA LAVATÓRIO, ACIONAMENTO HIDROMECÂNICO COM ALAVANCA, REGISTRO INTEGRADO REGULADOR DE VAZÃO, EM LATÃO CROMADO, DN= 1/2´</t>
  </si>
  <si>
    <t>TORNEIRA CURTA COM ROSCA PARA USO GERAL, EM LATÃO FUNDIDO SEM ACABAMENTO, DN= 3/4´</t>
  </si>
  <si>
    <t>SIFÃO PLÁSTICO COM COPO, RÍGIDO, DE 1´ X 1 1/2´</t>
  </si>
  <si>
    <t>VÁLVULA DE METAL CROMADO DE 1´</t>
  </si>
  <si>
    <t>ENGATE FLEXÍVEL DE PVC DN= 1/2´</t>
  </si>
  <si>
    <t>ESPELHO EM VIDRO CRISTAL LISO, ESPESSURA DE 4 MM</t>
  </si>
  <si>
    <t>BARRA DE APOIO RETA, PARA PESSOAS COM MOBILIDADE REDUZIDA, EM TUBO DE AÇO INOXIDÁVEL DE 1 1/2´ X 800 MM</t>
  </si>
  <si>
    <t>BARRA DE APOIO RETA, PARA PESSOAS COM MOBILIDADE REDUZIDA, EM TUBO DE AÇO INOXIDÁVEL DE 1 1/2´</t>
  </si>
  <si>
    <t xml:space="preserve"> 13.1.1</t>
  </si>
  <si>
    <t>ELETRODUTO GALVANIZADO CONFORME NBR13057 -  3/4´ COM ACESSÓRIOS</t>
  </si>
  <si>
    <t>PERFILADO PERFURADO 38 X 38 MM EM CHAPA 14 PRÉ-ZINCADA, COM ACESSÓRIOS</t>
  </si>
  <si>
    <t>ELETRODUTO DE PVC RÍGIDO ROSCÁVEL DE 4´ - COM ACESSÓRIOS</t>
  </si>
  <si>
    <t>VERGALHÃO COM ROSCA, PORCA E ARRUELA DE DIÂMETRO 3/8´ (TIRANTE)</t>
  </si>
  <si>
    <t>LUMINÁRIA RETANGULAR DE EMBUTIR TIPO CALHA FECHADA, COM DIFUSOR PLANO, PARA 2 LÂMPADAS FLUORESCENTES TUBULARES DE 28 W/32 W/36 W/54 W</t>
  </si>
  <si>
    <t xml:space="preserve"> 13.2.1</t>
  </si>
  <si>
    <t>LÂMPADA LED TUBULAR T8 COM BASE G13, DE 1850 ATÉ 2000 IM - 18 A 20 W</t>
  </si>
  <si>
    <t>CAIXA EM PVC DE 4´ X 2´</t>
  </si>
  <si>
    <t>CAIXA EM PVC OCTOGONAL DE 4´ X 4´</t>
  </si>
  <si>
    <t xml:space="preserve"> 13.3.2</t>
  </si>
  <si>
    <t xml:space="preserve"> 13.3.3</t>
  </si>
  <si>
    <t>BARRAMENTO DE COBRE NU</t>
  </si>
  <si>
    <t>MINI-DISJUNTOR TERMOMAGNÉTICO, UNIPOLAR 127/220 V, CORRENTE DE 10 A ATÉ 32 A</t>
  </si>
  <si>
    <t xml:space="preserve"> 13.4.1</t>
  </si>
  <si>
    <t>MINI-DISJUNTOR TERMOMAGNÉTICO, BIPOLAR 220/380 V, CORRENTE DE 10 A ATÉ 32 A</t>
  </si>
  <si>
    <t xml:space="preserve"> 13.4.2</t>
  </si>
  <si>
    <t>DISJUNTOR EM CAIXA MOLDADA TRIPOLAR, TÉRMICO E MAGNÉTICO FIXOS, TENSÃO DE ISOLAMENTO 415/690V, DE 175A A 250A</t>
  </si>
  <si>
    <t>CABO DE COBRE DE 2,5 MM², ISOLAMENTO 750 V - ISOLAÇÃO EM PVC 70°C</t>
  </si>
  <si>
    <t xml:space="preserve"> 13.5.1</t>
  </si>
  <si>
    <t>CABO DE COBRE DE 6 MM², ISOLAMENTO 750 V - ISOLAÇÃO EM PVC 70°C</t>
  </si>
  <si>
    <t xml:space="preserve"> 13.5.2</t>
  </si>
  <si>
    <t>CABO DE COBRE DE 10 MM², ISOLAMENTO 750 V - ISOLAÇÃO EM PVC 70°C</t>
  </si>
  <si>
    <t xml:space="preserve"> 13.5.3</t>
  </si>
  <si>
    <t>INTERRUPTOR COM 1 TECLA SIMPLES E PLACA</t>
  </si>
  <si>
    <t xml:space="preserve"> 13.6.1</t>
  </si>
  <si>
    <t>INTERRUPTOR BIPOLAR PARALELO, 1 TECLA DUPLA E PLACA</t>
  </si>
  <si>
    <t xml:space="preserve"> 13.6.2</t>
  </si>
  <si>
    <t>TOMADA 2P+T DE 10 A - 250 V, COMPLETA</t>
  </si>
  <si>
    <t>TOMADA 2P+T DE 20 A - 250 V, COMPLETA</t>
  </si>
  <si>
    <t>BARRA CONDUTORA CHATA EM ALUMÍNIO DE 7/8´ X 1/8´, INCLUSIVE ACESSÓRIOS DE FIXAÇÃO</t>
  </si>
  <si>
    <t>CABO DE COBRE NU, TÊMPERA MOLE, CLASSE 2, DE 50 MM²</t>
  </si>
  <si>
    <t>CAIXA DE EQUALIZAÇÃO, DE EMBUTIR, EM AÇO COM BARRAMENTO, DE 400 X 400 MM E TAMPA</t>
  </si>
  <si>
    <t>HASTE DE ATERRAMENTO DE 5/8´ X 3 M</t>
  </si>
  <si>
    <t>SOLDA EXOTÉRMICA CONEXÃO CABO-CABO HORIZONTAL EM X SOBREPOSTO, BITOLA DO CABO DE 35-35MM² A 50-35MM²</t>
  </si>
  <si>
    <t>CAPTOR TIPO TERMINAL AÉREO, H= 250 MM, DIÂMETRO DE 3/8´ GALVANIZADO A FOGO</t>
  </si>
  <si>
    <t>CONECTOR SPLIT-BOLT PARA CABO DE 50 MM², LATÃO, SIMPLES</t>
  </si>
  <si>
    <t>TERMINAL DE PRESSÃO/COMPRESSÃO PARA CABO DE 50 MM²</t>
  </si>
  <si>
    <t>CONECTOR OLHAL CABO/HASTE DE 5/8´</t>
  </si>
  <si>
    <t>CAIXA DE INSPEÇÃO DO TERRA CILÍNDRICA EM PVC RÍGIDO, DIÂMETRO DE 300 MM - H= 400 MM</t>
  </si>
  <si>
    <t>TAMPA PARA CAIXA DE INSPEÇÃO CILÍNDRICA, AÇO GALVANIZADO</t>
  </si>
  <si>
    <t>CONECTOR RJ-45 FÊMEA - CATEGORIA 6</t>
  </si>
  <si>
    <t>ELETRODUTO DE PVC RÍGIDO ROSCÁVEL DE 1´ - COM ACESSÓRIOS</t>
  </si>
  <si>
    <t>ELETRODUTO DE PVC RÍGIDO ROSCÁVEL DE 3/4´ - COM ACESSÓRIOS</t>
  </si>
  <si>
    <t>TOMADA RJ 45 PARA REDE DE DADOS, COM PLACA</t>
  </si>
  <si>
    <t>SWITCH GIGABIT 24 PORTAS COM CAPACIDADE DE 10/100/1000/MBPS</t>
  </si>
  <si>
    <t>BANDEJA FIXA PARA RACK, 19´ X 500 MM</t>
  </si>
  <si>
    <t>CALHA DE AÇO COM 12 TOMADAS 2P+T - 250 V, COM CABO</t>
  </si>
  <si>
    <t>DISTRIBUIDOR INTERNO ÓPTICO 1U DE ATÉ 24 FIBRAS - COMPLETO</t>
  </si>
  <si>
    <t>PATCH CORDS DE 2,00 OU 3,00 M - RJ-45 / RJ-45 - CATEGORIA 6A</t>
  </si>
  <si>
    <t>PATCH PANEL DE 24 PORTAS - CATEGORIA 6</t>
  </si>
  <si>
    <t>SISTEMA ININTERRUPTO DE ENERGIA, MONOFÁSICO, COM POTÊNCIA DE 2 KVA</t>
  </si>
  <si>
    <t xml:space="preserve"> 14.1.1</t>
  </si>
  <si>
    <t xml:space="preserve"> 14.1.2</t>
  </si>
  <si>
    <t xml:space="preserve"> 14.1.3</t>
  </si>
  <si>
    <t>TUBO DE COBRE FLEXÍVEL, ESPESSURA 1/32" - DIÂMETRO 3/8", INCLUSIVE CONEXÕES</t>
  </si>
  <si>
    <t xml:space="preserve"> 14.1.4</t>
  </si>
  <si>
    <t xml:space="preserve"> 14.1.5</t>
  </si>
  <si>
    <t>TUBO DE COBRE FLEXÍVEL, ESPESSURA 1/32" - DIÂMETRO 5/8", INCLUSIVE CONEXÕES</t>
  </si>
  <si>
    <t xml:space="preserve"> 14.1.6</t>
  </si>
  <si>
    <t xml:space="preserve"> 14.1.7</t>
  </si>
  <si>
    <t>TUBO DE COBRE SEM COSTURA, RÍGIDO, ESPESSURA 1/16" - DIÂMETRO 7/8", INCLUSIVE CONEXÕES</t>
  </si>
  <si>
    <t xml:space="preserve"> 14.1.8</t>
  </si>
  <si>
    <t>ISOLAMENTO TÉRMICO EM ESPUMA ELASTOMÉRICA, ESPESSURA DE 19 A 26 MM, PARA TUBULAÇÃO DE 3/8" (COBRE) OU 1/8" (FERRO)</t>
  </si>
  <si>
    <t xml:space="preserve"> 14.1.9</t>
  </si>
  <si>
    <t>ISOLAMENTO TÉRMICO EM ESPUMA ELASTOMÉRICA, ESPESSURA DE 9 A 12 MM, PARA TUBULAÇÃO DE 5/8´ (COBRE) OU 1/4´ (FERRO)</t>
  </si>
  <si>
    <t xml:space="preserve"> 14.1.11</t>
  </si>
  <si>
    <t xml:space="preserve"> 14.1.12</t>
  </si>
  <si>
    <t>ISOLAMENTO TÉRMICO EM ESPUMA ELASTOMÉRICA, ESPESSURA DE 19 A 26 MM, PARA TUBULAÇÃO DE 7/8´ (COBRE) OU 1/2´ (FERRO)</t>
  </si>
  <si>
    <t xml:space="preserve"> 14.1.13</t>
  </si>
  <si>
    <t xml:space="preserve"> 14.2.1</t>
  </si>
  <si>
    <t xml:space="preserve"> 14.2.2</t>
  </si>
  <si>
    <t xml:space="preserve"> 14.2.3</t>
  </si>
  <si>
    <t xml:space="preserve"> 14.2.4</t>
  </si>
  <si>
    <t>EXAUSTOR ELÉTRICO EM PLÁSTICO, VAZÃO DE 150 A 190M³/H</t>
  </si>
  <si>
    <t>MASSA CORRIDA À BASE DE RESINA ACRÍLICA</t>
  </si>
  <si>
    <t xml:space="preserve"> 15.1.1</t>
  </si>
  <si>
    <t>TINTA LÁTEX EM MASSA, INCLUSIVE PREPARO</t>
  </si>
  <si>
    <t xml:space="preserve"> 15.2.1</t>
  </si>
  <si>
    <t>PLACA DE IDENTIFICAÇÃO EM PVC COM TEXTO EM VINIL</t>
  </si>
  <si>
    <t>PLACA DE IDENTIFICAÇÃO EM ALUMÍNIO PARA WC, COM DESENHO UNIVERSAL DE ACESSIBILIDADE</t>
  </si>
  <si>
    <t>PLACA PARA SINALIZAÇÃO TÁTIL (INÍCIO OU FINAL) EM BRAILE PARA CORRIMÃO</t>
  </si>
  <si>
    <t>FAIXA EM POLICARBONATO PARA SINALIZAÇÃO VISUAL FOTOLUMINESCENTE, PARA DEGRAUS, COMPRIMENTO DE 20 CM</t>
  </si>
  <si>
    <t>LIMPEZA FINAL DA OBRA</t>
  </si>
  <si>
    <t xml:space="preserve"> 17.1.1</t>
  </si>
  <si>
    <t>PREVENÇÃO E COMBATE Â INCÊNDIO</t>
  </si>
  <si>
    <t>DELEGACIA SECCIONAL DE POLÍCIA DE JALES</t>
  </si>
  <si>
    <t>Versão 201 - base fevereiro 2026 (emitida em 06/04/2026)</t>
  </si>
  <si>
    <t>CUSTOS UNITÁRIOS DAS PARCELAS CDHU: BASE BOLETIM Nº 201</t>
  </si>
  <si>
    <t>BASE PLANILHA DOS SERVIÇOS SINTÉTICOS - BOLETIM nº 200</t>
  </si>
  <si>
    <t>02.03.280</t>
  </si>
  <si>
    <t>Tapume metálico com telha metálica tipo trapezoidal 40, sem pintura, espessura 0,43mm, colunas, bases e parafusos</t>
  </si>
  <si>
    <t>02.03.290</t>
  </si>
  <si>
    <t>Portão metálico com 2 folhas, pivotante, para tapume</t>
  </si>
  <si>
    <t xml:space="preserve">Caixilho em alumínio anodizado </t>
  </si>
  <si>
    <t>49.12.060</t>
  </si>
  <si>
    <t>Boca de leão dupla tipo PMSP com grelha</t>
  </si>
  <si>
    <t>Diferença</t>
  </si>
  <si>
    <t>Custo CDHU boletim 201</t>
  </si>
  <si>
    <t>Análise físico-química e bacteriológica da água para poço profundo, conforme portaria 888/2021, anexos I, IX e XII do Ministério da Saúde</t>
  </si>
  <si>
    <t>Concreto usinado fck= 30 MPa, fctm,k &gt; 4,2 MPa, slump 12 + 2 cm, A/C 0,50% + 2, cimento 320 kg/m³</t>
  </si>
  <si>
    <t>Conjunto de parafuso para fixação de tanque, cromado (quatro parafusos, quatro buchas e quatro arruelas); ref. FT 11.01 da Deca ou equivalente</t>
  </si>
  <si>
    <t>Poliestireno expandido P-III (isopor), densidade média de 14kg/m³, espessura de 10mm</t>
  </si>
  <si>
    <t>Poliestireno expandido P-III (isopor), densidade média de 14kg/m³, espessura de 20mm</t>
  </si>
  <si>
    <t>Telha em chapa de aço galvalume pré-pintada, perfil trapezoidal, espessura de 0,50mm; ref. LR-40 da Perfilor, RT-40 da Regional, MBP-40 da Grupo MBP, GA-40 da Galvisteel, Santo André Distribuidora ou equivalente</t>
  </si>
  <si>
    <t>Cumeeira em chapa de aço galvalume pré-pintada, perfil trapezoidal, espessura de 0,50mm; ref. LR-40 da Perfilor, RT-40 da Regional, MBP-40 do Grupo MBP ou equivalente</t>
  </si>
  <si>
    <t>Cumeeira em chapa de aço galvalume pré-pintada, perfil ondulado, espessura de 0,50mm; ref. LR-17 da Perfilor, RT-17 da Regional, MBP-17,5 do Grupo MBP, GA-17 da Galvisteel ou equivalente</t>
  </si>
  <si>
    <t>Telha em chapa de aço galvanizado, grau B, 260g/m², perfil trapezoidal, esp.0,80mm, h=120mm, autoportante; ref. A120 da Santo André Distribuidora ou equivalente</t>
  </si>
  <si>
    <t>Telha sanduíche chapa de aço galvalume, pré-pintada, perfil trapezoidal, esp. 0,50mm, miolo poliestireno expandido classe F2, espessura de 30mm; ref. Regional classe.F, Grupo MBP, Galvisteel, Santo André Distribuidora ou equivalente</t>
  </si>
  <si>
    <t>Telha em chapa de aço galvalume pré-pintada, perfil trapezoidal, espessura de 0,80mm; ref. LR-100N da Perfilor, RT-100 da Regional, MBP-100 da Grupo MBP, GA-100 da Galvisteel ou equivalente</t>
  </si>
  <si>
    <t>Telha em chapa de aço galvalume pré-pintada, perfil ondulado, espessura de 0,50mm; ref. LR-17 da Perfilor, RT-17 da Regional, MBP-17,5 da grupo MBP, GA-17 da Galvisteel, OND-17 da Santo André distribuidora ou equivalente</t>
  </si>
  <si>
    <t>Telha em chapa de aço galvalume pré-pintada, perfil ondulado, espessura de 0,80mm; ref. LR-17 Calandrada da Perfilor, RT 17 calandrada da Grupo MBP, OND-17 da Santo André Distribuidora ou equivalente</t>
  </si>
  <si>
    <t>Telha sanduíche chapa de aço galvalume pré-pintada, perfil trapezoidal, h= 25mm para face inferior e superior, esp. 0,50mm, miolo lã de rocha FRS 32 de 50mm, para montar; ref. Perfilor, Grupo MBP, Santo André Distribuidora ou equivalente</t>
  </si>
  <si>
    <t>Telha sanduíche chapa de aço galvalume pré pintada, perfil trapezoidal, h= 40mm para face inferior e superior, esp. 0,50mm, miolo poliisocianurato (PIR), densidade mín. 30kg/m³ de 30mm, montada; ref. Perfilor, Regional, GrupMBP, Galvisteel ou equivalente</t>
  </si>
  <si>
    <t>Grade para forro eletrofundida em aço carbono SAE 1010/1020, malha 25x100mm, barra 25x2mm, galvanizado à fogo; ref. Metalgrade, Gradesteel, Arol Metálica, Metálica Design ou equivalente</t>
  </si>
  <si>
    <t>Grade para piso eletrofundida em aço carbono SAE 1010/1020 antiderrapante, galvanizado à fogo, malha 30x100mm, barra chata 40x2mm e redonda, diâmetro 5mm; ref. Metalgrade, Gradesteel, Arol Metálica, Metálica Design ou equivalente</t>
  </si>
  <si>
    <t>Veda porta/veda fresta em alumínio branco para porta 90cm, com borracha vedante e parafuso de instalação; ref. comercial Reisam, Stamaco, Reall, Novo Horizonte ou equivalente</t>
  </si>
  <si>
    <t>Dobradiça em latão cromado de 3 1/2" x 3"; ref. Dob 90 3 1/2" x 3" LT S/P CR da La Fonte, 3500 da União Mundial ou equivalente</t>
  </si>
  <si>
    <t>Textura acrílica sem agregados minerais, cor branca; referência comercial Texturatto suave da Suvinil ou equivalente, para uso interno ou externo</t>
  </si>
  <si>
    <t>Tinta acrílica antimofo acetinado fosco; ref. Metalatex antimofo (Sherwin Williams) ou equivalente</t>
  </si>
  <si>
    <t>Protetor de parede ou bate-maca em PVC flexível, com altura de 150mm, nas cores amarelo, branco ou preto, rolo de 25m; ref. TEC 913N da Tecnoperfil ou equivalente</t>
  </si>
  <si>
    <t>Piso vinílico autoportante com espessura de 4 mm, com impermeabilização acrílica, em placas de 609,6 x 609,6mm; ref. linha Square, coleção Set da Tarkett ou equivalente</t>
  </si>
  <si>
    <t>Piso vinílico antiestático, espessura de 5 mm, classe II A; ref. linha Hercules Olimpo da Belgotex ou equivalente</t>
  </si>
  <si>
    <t>Placas em lã de vidro microperfurado, revestida em PVC tipo Forrovid, para reparos em forro existente</t>
  </si>
  <si>
    <t>Válvula automática em ferro dúctil/fundido nodular, controle de nível máxima, DN= 50 mm, classe PN 10; ref. VA-121-F da Bermad e flane da Valloy ou equivalente</t>
  </si>
  <si>
    <t>Válvula automática em ferro dúctil/fundido nodular, controle de nível máxima com solenoide, DN= 50mm, classe PN 10, ref. VA145 FE da Bermad, com flane da Vallay, ou equivalente</t>
  </si>
  <si>
    <t>Válvula automática em ferro dúctil/fundido nodular, controle de nível máxima com solenoide, DN= 100mm, classe PN 10, ref. VA145 FE da Bermad, com flante da Valloy ou equivalente</t>
  </si>
  <si>
    <t>Chuveiro elétrico eletrônico de 6.500W/220V com resistência blindada; referência comercial ducha ND blindada da Hydra ou equivalente</t>
  </si>
  <si>
    <t>Acabamento cromado para registro de pressão ou de gaveta, ref. linha Lorenluna da Lorenzetti, Aspen 4900 da Deca e linha Targa 4900.C40.PQ.CR da Deca ou equivalente</t>
  </si>
  <si>
    <t>Bico de sprinkler resposta rápida, posição para cima, fator K80(SI), diâmetro da rosca 1/2", temperatura nomial 68°C, acabamento cromado ou natural; certificações ABNT e ULBR</t>
  </si>
  <si>
    <t>Bico de sprinkler resposta rápida, posição pendente, fator K80(SI), diâmetro da rosca 1/2", temperatura nomial 68°C, acabamento cromado ou natural; certificações ABNT e ULBR</t>
  </si>
  <si>
    <t>O.17.000.047590</t>
  </si>
  <si>
    <t>Válvula acionamento diferencial de pressão vazão até 60l/min.; ref. Rinnai ou equivalente</t>
  </si>
  <si>
    <t>O.17.000.047591</t>
  </si>
  <si>
    <t>Válvula misturadora termostática vazão até 60l/min.; ref. AM101C-UT-1 da Rinnai ou equivalente</t>
  </si>
  <si>
    <t>O.17.000.047592</t>
  </si>
  <si>
    <t>Bomba de circulação de 245W; RLS 245W da Rinnai ou equivalente</t>
  </si>
  <si>
    <t>O.17.000.047593</t>
  </si>
  <si>
    <t>Quadro de comando de recirculação temporizado; RQC001 Temp. da Rinnai ou equivalente</t>
  </si>
  <si>
    <t>Bomba de remoção de condensados para condicionadores de ar, tipo Split, janela ou Hi Wall até 36.000 BTs; ref. DE05LC4400 da Siccom ou equivalente</t>
  </si>
  <si>
    <t>Suporte e variador de luminosidade rotativo até 600W / 220V, com placa, na cor branca ou marfim; ref. linha Miluz 600W PL/BR S3B65590 da Schneider Electric ou equivalente</t>
  </si>
  <si>
    <t>Caixa de tomada pré-zincado a fogo com suporte em chapa e tampa basculante, 2 x (25 x 70 mm); ref. 145-01R da Mopa ou equivalente</t>
  </si>
  <si>
    <t>Caixa de tomada pré-zincado a fogo com suporte em chapa e tampa basculante, 3 x (25 x 70 mm); ref. 145-02R da Mopa ou equivalente</t>
  </si>
  <si>
    <t>Caixa de tomada pré-zincado a fogo com suporte em chapa e tampa basculante, 4 x (25 x 70 mm); ref. VL 4.38.4 da Valeman ou equivalente</t>
  </si>
  <si>
    <t>Lâmpada halógena Palito, base R7s bilateral 300W 110/220V, comprimento de 118mm; ref. Kian, Ouro lux ou equivalente</t>
  </si>
  <si>
    <t>Luminária LED embutir tipo balizador 3W, para caixa de 4"x2", pintura eletrostática branco/preto, corpo em alumínio, difusor vidro jateado, lâmpada LED G9 de 3W, temperatura até 3000K; ref. St1314 Starlumen + St1716 Starlux ou equivalente</t>
  </si>
  <si>
    <t>Luminária LED retangular para poste, eficiência min. 18.000 lm, eficiência min.180 lm/W, IP67, temperatura cor 4.000 a 5000K, IP67, potência de 100W; ref. CLP-A100G linha Iporanga da Conexled ou equivalente</t>
  </si>
  <si>
    <t>Luminária LED retangular em alumínio para poste, tipo pública, IP67, fluxo luminoso de 5000 a 5500lm, temperatura da cor 6000-6500K, potência 50W - bivolt</t>
  </si>
  <si>
    <t>Luminária LED retangular para poste, eficiência min. 36.000 lm, eficiência min.180 lm/W, IP67, temperatura cor 4.000 a 5000K, IP67, potência de 200W; ref. CLP-A200G linha Iporanga da Conexled ou equivalente</t>
  </si>
  <si>
    <t>Central de pabx híbrida de telefonia para 8 linhas tronco+128 ramais (digital e analógico); ref. Impacta 300 Intelbras ou equivalente</t>
  </si>
  <si>
    <t>Bloco de distribuição para 10 pares; ref. modelo WT-1002A - sem Corte / conexão Permanente (Conect CP), contato em bronze com banho de estanho; ref. fabricação Seccon ou equivalente</t>
  </si>
  <si>
    <t>Abraçadeira de contraventagem para mastro de 2"</t>
  </si>
  <si>
    <t>Conector tipo olhal reforçado para cabo/haste de 5/8"; ref. PK-0104 Paraklin, PRT-908 Paratec, 662301 Magnet, DR-097 Raycon, PG-0104 Paragam, Th-58-R Intelli, TTC004-1 Conimel ou equivalente</t>
  </si>
  <si>
    <t>Tela equipotencial em aço inoxidável 430, largura 245mm, espessura 1,5mm, peso 0,730kg/m; ref. TEL-754 da Termotécnica ou equivalente</t>
  </si>
  <si>
    <t>Fita anticorrosiva 100mm; ref. 50 Scotchrap, Torofita ou equivalente - (rolo de 30m)</t>
  </si>
  <si>
    <t>Disjuntor em caixa moldada tripolar de 500V, de 10A até 63A, em conformidade com a NBR 60947-2, capacidade de ruptura de até 25kA; ref. 3VM11633EE320AA0 da Siemens, Steck ou equivalente</t>
  </si>
  <si>
    <t>Disjuntor em caixa moldada tripolar de 480 V, de 70A até 150A; ref. Det 134070/134080/134090/1340100/134125 e 134150 da GE ou equivalente</t>
  </si>
  <si>
    <t>Disjuntor série universal em caixa moldada, térmico e magnético fixos, bipolar 415VCA, capacidade 10kA até 25kA, corrente 60A até 100A, tensão máxima 415VCA; ref. 3VM11103ED220AA0 da Siemens, A1N125TMF102P da ABB ou equivalente</t>
  </si>
  <si>
    <t>Disjuntor série universal em caixa moldada, térmico e magnético fixos, bipolar 415VCA, capacidade 25kA, corrente 60A até 125A, tensão máxima 380VCA ou 600VCA; ref. 125A25KALV516302 da Schneider, A1B125TMF1253PFF da ABB ou equivalente</t>
  </si>
  <si>
    <t>Disjuntor série universal em caixa moldada, térmico fixo e magnético ajustável, tripolar 600VCA, capacidade 10kA até 42kA, corrente 300A até 400A, tensão máxima 600VCA; ref. DGW400NT tripolar da WEG, 300A AGW400N tripolar da WEG ou equivalente</t>
  </si>
  <si>
    <t>Disjuntor série universal em caixa moldada, térmico fixo e magnético ajustável, tripolar 600VCA, capacidade 10kA até 42kA, corrente 500A até 630A, tensão 600VCA; ref. NXM-630S/3300 500A tripolar da Chint, 630a3p35kaDWp6301-3 da WEG ou equivalente</t>
  </si>
  <si>
    <t>Disjuntor série universal em caixa moldada, térmico fixo e magnético ajustável, tripolar 600VCA, capacidade 10kA até 42kA, corrente 700A, tensão 600VCA; ref. DL800-X-700A-3P ou DL800 700A 690VCA3P da Soprano, DWP800L-800-3 da WEG ou equivalente</t>
  </si>
  <si>
    <t>Plataforma para elevação até 1,00m nas dimensões 900x1400mm - percurso até 1,00m de altura</t>
  </si>
  <si>
    <t>Plataforma para elevação até 2,00m nas dimensões 900x1400mm - percurso superior a 1,00m de altura</t>
  </si>
  <si>
    <t>Chapa em MDF cru, espessura de 2cm</t>
  </si>
  <si>
    <t>S.05.000.039045</t>
  </si>
  <si>
    <t>Concreto usinado, consumo 120 kg cimento/m³ - brita 1 e 2</t>
  </si>
  <si>
    <t>S.05.000.093276</t>
  </si>
  <si>
    <t>S.05.000.093277</t>
  </si>
  <si>
    <t>Portão metálico de obra 5m, pivotante, 2 folhas, para tapume metálico</t>
  </si>
  <si>
    <t>RELATÓRIO DE PREÇOS DE INSUMOS - ENCARGOS SOCIAIS SEM DESONERAÇÃO</t>
  </si>
  <si>
    <t>04/2026</t>
  </si>
  <si>
    <t>12/05/2026</t>
  </si>
  <si>
    <t>AR-CONDICIONADO SPLIT INVERTER, HI-WALL (PAREDE), 12000 BTU/H, CICLO FRIO, 60HZ, CLASSIFICACAO A (SELO PROCEL), GAS HFC, CONTROLE S/FIO</t>
  </si>
  <si>
    <t>AR-CONDICIONADO SPLIT INVERTER, HI-WALL (PAREDE), 18000 BTU/H, CICLO FRIO, 60HZ, CLASSIFICACAO A (SELO PROCEL), GAS HFC, CONTROLE S/FIO</t>
  </si>
  <si>
    <t>AR-CONDICIONADO SPLIT INVERTER, HI-WALL (PAREDE), 24000 BTU/H, CICLO FRIO, 60HZ, CLASSIFICACAO A (SELO PROCEL), GAS HFC, CONTROLE S/FIO</t>
  </si>
  <si>
    <t>AR-CONDICIONADO SPLIT INVERTER, HI-WALL (PAREDE), 9000 BTU/H, CICLO FRIO, 60HZ, CLASSIFICACAO A (SELO PROCEL), GAS HFC, CONTROLE S/FIO</t>
  </si>
  <si>
    <t>AR-CONDICIONADO SPLIT INVERTER, PISO TETO, 18000 BTU/H, CICLO FRIO, 60HZ, CLASSIFICACAO ENERGETICA A OU B (SELO PROCEL), GAS HFC, CONTROLE S/FIO</t>
  </si>
  <si>
    <t>AR-CONDICIONADO SPLIT INVERTER, PISO TETO, 24000 BTU/H, CICLO FRIO, 60HZ, CLASSIFICACAO ENERGETICA A OU B (SELO PROCEL), GAS HFC, CONTROLE S/FIO</t>
  </si>
  <si>
    <t>AR-CONDICIONADO SPLIT INVERTER, PISO TETO, 36000 BTU/H, CICLO FRIO, 60HZ, CLASSIFICACAO ENERGETICA A OU B (SELO PROCEL), GAS HFC, CONTROLE S/FIO</t>
  </si>
  <si>
    <t>AR-CONDICIONADO SPLIT INVERTER, PISO TETO, 48000 BTU/H, CICLO FRIO, 60HZ, CLASSIFICACAO ENERGETICA A OU B (SELO PROCEL), GAS HFC, CONTROLE S/FIO</t>
  </si>
  <si>
    <t>AR-CONDICIONADO SPLIT INVERTER, PISO TETO, APRESENTANDO ENTRE 54000 E 58000 BTU/H, CICLO FRIO, 60HZ, CLASSIFICACAO ENERGETICA A OU B (SELO PROCEL), GAS HFC, CONTROLE S/FIO</t>
  </si>
  <si>
    <t>AR-CONDICIONADO SPLIT ON/OFF, CASSETE (TETO), 18000 BTUS/H, CICLO QUENTE/FRIO, 60 HZ, CLASSIFICACAO ENERGETICA C - SELO PROCEL, GAS HFC, CONTROLE S/ FIO</t>
  </si>
  <si>
    <t>AR-CONDICIONADO SPLIT ON/OFF, CASSETE (TETO), 24000 BTUS/H, CICLO QUENTE/FRIO, 60 HZ, CLASSIFICACAO ENERGETICA C - SELO PROCEL, GAS HFC, CONTROLE S/ FIO</t>
  </si>
  <si>
    <t>AR-CONDICIONADO SPLIT ON/OFF, CASSETE (TETO), 36000 BTUS/H, CICLO QUENTE/FRIO, 60 HZ, CLASSIFICACAO ENERGETICA A - SELO PROCEL, GAS HFC, CONTROLE S/ FIO</t>
  </si>
  <si>
    <t>AR-CONDICIONADO SPLIT ON/OFF, CASSETE (TETO), 48000 BTUS/H, CICLO QUENTE/FRIO, 60 HZ, CLASSIFICACAO ENERGETICA A - SELO PROCEL, GAS HFC, CONTROLE S/ FIO</t>
  </si>
  <si>
    <t>AR-CONDICIONADO SPLIT ON/OFF, CASSETE (TETO), 60000 BTUS/H, CICLO QUENTE/FRIO, 60 HZ, CLASSIFICACAO ENERGETICA A - SELO PROCEL, GAS HFC, CONTROLE S/ FIO</t>
  </si>
  <si>
    <t>AR-CONDICIONADO SPLIT ON/OFF, CASSETE (TETO), FRIO 4 VIAS 18000 BTUS/H, CLASSIFICACAO ENERGETICA C - SELO PROCEL, GAS HFC, CONTROLE S/ FIO</t>
  </si>
  <si>
    <t>AR-CONDICIONADO SPLIT ON/OFF, CASSETE (TETO), FRIO 4 VIAS 24000 BTUS/H, CLASSIFICACAO ENERGETICA C - SELO PROCEL, GAS HFC, CONTROLE S/ FIO</t>
  </si>
  <si>
    <t>AR-CONDICIONADO SPLIT ON/OFF, CASSETE (TETO), FRIO 4 VIAS 36000 BTUS/H, CLASSIFICACAO ENERGETICA C - SELO PROCEL, GAS HFC, CONTROLE S/ FIO</t>
  </si>
  <si>
    <t>AR-CONDICIONADO SPLIT ON/OFF, CASSETE (TETO), FRIO 4 VIAS 48000 BTUS/H, CLASSIFICACAO ENERGETICA C - SELO PROCEL, GAS HFC, CONTROLE S/ FIO</t>
  </si>
  <si>
    <t>AR-CONDICIONADO SPLIT ON/OFF, CASSETE (TETO), FRIO 4 VIAS 60000 BTUS/H, CLASSIFICACAO ENERGETICA C - SELO PROCEL, GAS HFC, CONTROLE S/ FIO</t>
  </si>
  <si>
    <t>AR-CONDICIONADO SPLIT ON/OFF, HI-WALL (PAREDE), 12000 BTUS/H, CICLO FRIO, 60 HZ, CLASSIFICACAO ENERGETICA A - SELO PROCEL, GAS HFC, CONTROLE S/ FIO</t>
  </si>
  <si>
    <t>AR-CONDICIONADO SPLIT ON/OFF, HI-WALL (PAREDE), 12000 BTUS/H, CICLO QUENTE/FRIO, 60 HZ, CLASSIFICACAO ENERGETICA A - SELO PROCEL, GAS HFC, CONTROLE S/ FIO</t>
  </si>
  <si>
    <t>AR-CONDICIONADO SPLIT ON/OFF, HI-WALL (PAREDE), 18000 BTUS/H, CICLO FRIO, 60 HZ, CLASSIFICACAO ENERGETICA A - SELO PROCEL, GAS HFC, CONTROLE S/ FIO</t>
  </si>
  <si>
    <t>AR-CONDICIONADO SPLIT ON/OFF, HI-WALL (PAREDE), 18000 BTUS/H, CICLO QUENTE/FRIO, 60 HZ, CLASSIFICACAO ENERGETICA A - SELO PROCEL, GAS HFC, CONTROLE S/ FIO</t>
  </si>
  <si>
    <t>AR-CONDICIONADO SPLIT ON/OFF, HI-WALL (PAREDE), 24000 BTUS/H, CICLO FRIO, 60 HZ, CLASSIFICACAO ENERGETICA A - SELO PROCEL, GAS HFC, CONTROLE S/ FIO</t>
  </si>
  <si>
    <t>AR-CONDICIONADO SPLIT ON/OFF, HI-WALL (PAREDE), 24000 BTUS/H, CICLO QUENTE/FRIO, 60 HZ, CLASSIFICACAO ENERGETICA A - SELO PROCEL, GAS HFC, CONTROLE S/ FIO</t>
  </si>
  <si>
    <t>AR-CONDICIONADO SPLIT ON/OFF, HI-WALL (PAREDE), 9000 BTUS/H, CICLO FRIO, 60 HZ, CLASSIFICACAO ENERGETICA A - SELO PROCEL, GAS HFC, CONTROLE S/ FIO</t>
  </si>
  <si>
    <t>AR-CONDICIONADO SPLIT ON/OFF, HI-WALL (PAREDE), 9000 BTUS/H, CICLO QUENTE/FRIO, 60 HZ, CLASSIFICACAO ENERGETICA A - SELO PROCEL, GAS HFC, CONTROLE S/ FIO</t>
  </si>
  <si>
    <t>AR-CONDICIONADO SPLIT ON/OFF, PISO TETO, 18.000 BTU/H, CICLO FRIO, 60HZ, CLASSIFICACAO ENERGETICA C - SELO PROCEL, GAS HFC, CONTROLE S/FIO</t>
  </si>
  <si>
    <t>AR-CONDICIONADO SPLIT ON/OFF, PISO TETO, 24.000 BTU/H, CICLO FRIO, 60HZ, CLASSIFICACAO ENERGETICA C - SELO PROCEL, GAS HFC, CONTROLE S/FIO</t>
  </si>
  <si>
    <t>AR-CONDICIONADO SPLIT ON/OFF, PISO TETO, 36.000 BTU/H, CICLO FRIO, 60HZ, CLASSIFICACAO ENERGETICA C - SELO PROCEL, GAS HFC, CONTROLE S/FIO</t>
  </si>
  <si>
    <t>AR-CONDICIONADO SPLIT ON/OFF, PISO TETO, 48.000 BTU/H, CICLO FRIO, 60HZ, CLASSIFICACAO ENERGETICA C - SELO PROCEL, GAS HFC, CONTROLE S/FIO</t>
  </si>
  <si>
    <t>AR-CONDICIONADO SPLIT ON/OFF, PISO TETO, 60.000 BTU/H, CICLO FRIO, 60HZ, CLASSIFICACAO ENERGETICA C - SELO PROCEL, GAS HFC, CONTROLE S/FIO</t>
  </si>
  <si>
    <t>ARRUELA EM ACO CARBONO, GALVANIZADA A FOGO (IMERSAO A QUENTE), DIAMETRO EXTERNO = 35 MM, ESPESSURA = 3 MM, DIAMETRO DO FURO = 18 MM</t>
  </si>
  <si>
    <t>ARRUELA QUADRADA EM ACO CARBONO, GALVANIZADA A FOGO (IMERSAO A QUENTE), DIMENSAO = 38 MM, ESPESSURA = 3 MM, DIAMETRO DO FURO = 18 MM</t>
  </si>
  <si>
    <t>BLOCO DE CONCRETO ESTRUTURAL 14 X 19 X 29 CM (L X A X C) - FBK 10,0 MPA</t>
  </si>
  <si>
    <t>BLOCO DE CONCRETO ESTRUTURAL 14 X 19 X 29 CM (L X A X C) - FBK 12,0 MPA</t>
  </si>
  <si>
    <t>BLOCO DE CONCRETO ESTRUTURAL 14 X 19 X 29 CM (L X A X C) - FBK 16,0 MPA</t>
  </si>
  <si>
    <t>BLOCO DE CONCRETO ESTRUTURAL 14 X 19 X 29 CM (L X A X C) - FBK 6,0 MPA</t>
  </si>
  <si>
    <t>BLOCO DE CONCRETO ESTRUTURAL 14 X 19 X 39 CM (L X A X C) - FBK 10,0 MPA</t>
  </si>
  <si>
    <t>BLOCO DE CONCRETO ESTRUTURAL 14 X 19 X 39 CM (L X A X C) - FBK 12,0 MPA</t>
  </si>
  <si>
    <t>BLOCO DE CONCRETO ESTRUTURAL 14 X 19 X 39 CM (L X A X C) - FBK 16,0 MPA</t>
  </si>
  <si>
    <t>BLOCO DE CONCRETO ESTRUTURAL 14 X 19 X 39 CM (L X A X C) - FBK 6,0 MPA</t>
  </si>
  <si>
    <t>FITA ADESIVA ALUMINIZADA BOPP, L = 50 MM</t>
  </si>
  <si>
    <t>FITA DE VEDACAO ADESIVA, EM ESPUMA POLIETILENO, PRETA, L = 10 MM, E = 4 MM</t>
  </si>
  <si>
    <t>FITA PLASTICA DE ARQUEAR, EM POLIPROPILENO - PP, PRETA, L = 10 MM, E = 0,65 MM</t>
  </si>
  <si>
    <t>FITA PLASTICA ZEBRADA PARA DEMARCACAO DE AREAS, LARGURA = 7 CM, SEM ADESIVO</t>
  </si>
  <si>
    <t>LAJE EM PAINEL TRELICADO L=25, COM ENCHIMENTO EM POLIESTIRENO EXPANDIDO (EPS) H13, PTN-20, TRELICA DE 16 CM, PARA PISO, UNIDIRECIONAL, SOBRECARGA DE 350 KGF/M2, VAO ATE 7,0 M, EXCLUSO CONCRETO (SEM COLOCACAO)</t>
  </si>
  <si>
    <t>LAJE EM PAINEL TRELICADO L=25, COM ENCHIMENTO EM POLIESTIRENO EXPANDIDO (EPS) H17, PTN-25, TRELICA DE 20 CM, PARA PISO, UNIDIRECIONAL, SOBRECARGA DE 350 KGF/M2, VAO ATE 8,0 M, EXCLUSO CONCRETO (SEM COLOCACAO)</t>
  </si>
  <si>
    <t>LAJE EM PAINEL TRELICADO L=25, COM ENCHIMENTO EM POLIESTIRENO EXPANDIDO (EPS) H22, PTN-30, TRELICA DE 25 CM, PARA PISO, UNIDIRECIONAL, SOBRECARGA DE 350 KGF/M2, VAO ATE 9,0 M, EXCLUSO CONCRETO (SEM COLOCACAO)</t>
  </si>
  <si>
    <t>LAJE EM PAINEL TRELICADO L=25, COM ENCHIMENTO EM POLIESTIRENO EXPANDIDO (EPS) H5, PTN-12, TRELICA DE 8 CM, PARA FORRO, UNIDIRECIONAL, SOBRECARGA DE 100 KGF/M2, VAO ATE 5,0 M, EXCLUSO CONCRETO (SEM COLOCACAO)</t>
  </si>
  <si>
    <t>LAJE EM PAINEL TRELICADO L=25, COM ENCHIMENTO EM POLIESTIRENO EXPANDIDO (EPS) H5, PTN-12, TRELICA DE 8 CM, PARA PISO, UNIDIRECIONAL, SOBRECARGA DE 350 KGF/M2, VAO ATE 4,5 M, EXCLUSO CONCRETO (SEM COLOCACAO)</t>
  </si>
  <si>
    <t>LAJE EM PAINEL TRELICADO L=25, COM ENCHIMENTO EM POLIESTIRENO EXPANDIDO (EPS) H9, PTN-*16*, TRELICA DE 12 CM, PARA PISO, UNIDIRECIONAL, SOBRECARGA DE 350 KGF/M2, VAO ATE 6,0 M, EXCLUSO CONCRETO (SEM COLOCACAO)</t>
  </si>
  <si>
    <t>LAJE EM PAINEL TRELICADO MACICO L=25 CM, PTM-*25*, COM TRELICA DE 20 CM, PARA PISO, UNIDIRECIONAL, SOBRECARGA DE 350 KGF/M2, VAO ATE 9,0 M, EXCLUSO CONCRETO (SEM COLOCACAO)</t>
  </si>
  <si>
    <t>LAJE EM PAINEL TRELICADO MACICO L=25 CM, PTM-*30*, COM TRELICA DE 25 CM, PARA PISO, UNIDIRECIONAL, SOBRECARGA DE 350 KGF/M2, VAO ATE 10,0 M, EXCLUSO CONCRETO (SEM COLOCACAO)</t>
  </si>
  <si>
    <t>LAJE EM PAINEL TRELICADO MACICO L=25 CM, PTM-12, COM TRELICA DE 8 CM, PARA FORRO, UNIDIRECIONAL, SOBRECARGA DE 100 KGF/M2, VAO ATE 6,0 M, EXCLUSO CONCRETO (SEM COLOCACAO)</t>
  </si>
  <si>
    <t>LAJE EM PAINEL TRELICADO MACICO L=25 CM, PTM-12, COM TRELICA DE 8 CM, PARA PISO, UNIDIRECIONAL, SOBRECARGA DE 350 KGF/M2, VAO ATE 5,0 M, EXCLUSO CONCRETO (SEM COLOCACAO)</t>
  </si>
  <si>
    <t>LAJE EM PAINEL TRELICADO MACICO L=25 CM, PTM-16, COM TRELICA DE 12 CM, PARA PISO, UNIDIRECIONAL, SOBRECARGA DE 350 KGF/M2, VAO ATE 6,0 M, EXCLUSO CONCRETO (SEM COLOCACAO)</t>
  </si>
  <si>
    <t>LAJE EM PAINEL TRELICADO MACICO L=25 CM, PTM-20, COM TRELICA DE 16 CM, PARA PISO, UNIDIRECIONAL, SOBRECARGA DE 350 KGF/M2, VAO ATE 8,0 M, EXCLUSO CONCRETO (SEM COLOCACAO)</t>
  </si>
  <si>
    <t>LAJE PRE-MOLDADA COM VIGOTA PROTENDIDA (LAJOTAS + VIGOTAS) COM LAJOTA CERAMICA 30 X 20 X 12 CM (L X C X A) E VIGOTA VPT 10 X 9 CM (L X A), PARA PISO, UNIDIRECIONAL, SOBRECARGA DE 350 KGF/M2, VAO ATE 5,5 M (SEM COLOCACAO)</t>
  </si>
  <si>
    <t>LAJE PRE-MOLDADA COM VIGOTA PROTENDIDA (LAJOTAS + VIGOTAS) COM LAJOTA CERAMICA 30 X 20 X 16 CM (L X C X A) E VIGOTA VPT 10 X 9 CM (L X A), PARA PISO, UNIDIRECIONAL, SOBRECARGA DE 350 KGF/M2, VAO ATE 6 M (SEM COLOCACAO)</t>
  </si>
  <si>
    <t>LAJE PRE-MOLDADA COM VIGOTA PROTENDIDA (LAJOTAS + VIGOTAS) COM LAJOTA CERAMICA 30 X 20 X 20 CM (L X C X A) E VIGOTA VPT 10 X 9 CM (L X A), PARA PISO, UNIDIRECIONAL, SOBRECARGA DE 350 KGF/M2, VAO ATE 6,5 M (SEM COLOCACAO)</t>
  </si>
  <si>
    <t>LAJE PRE-MOLDADA COM VIGOTA PROTENDIDA (LAJOTAS + VIGOTAS) COM LAJOTA CERAMICA 30 X 20 X 24 CM (L X C X A) E VIGOTA VPT 10 X 9 CM (L X A), PARA PISO, UNIDIRECIONAL, SOBRECARGA DE 350 KGF/M2, VAO ATE 7 M (SEM COLOCACAO)</t>
  </si>
  <si>
    <t>LAJE PRE-MOLDADA COM VIGOTA PROTENDIDA (LAJOTAS + VIGOTAS) COM LAJOTA CERAMICA 30 X 20 X 8 CM (L X C X A) E VIGOTA VPT 10 X 9 CM (L X A), PARA PISO, UNIDIRECIONAL, SOBRECARGA DE 350 KGF/M2, VAO ATE 4,5 M (SEM COLOCACAO)</t>
  </si>
  <si>
    <t>LAJE PRE-MOLDADA COM VIGOTA PROTENDIDA (LAJOTAS + VIGOTAS) COM LAJOTA EM POLIESTIRENO EXPANDIDO (EPS), H12, *33* X 100 X 12 CM (L X C X A) E VIGOTA VPT 10 X 9 CM (L X A), PARA PISO, UNIDIRECIONAL, SOBRECARGA DE 350 KGF/M2, VAO ATE 5,5 M (SEM COLOCACAO)</t>
  </si>
  <si>
    <t>LAJE PRE-MOLDADA COM VIGOTA PROTENDIDA (LAJOTAS + VIGOTAS) COM LAJOTA EM POLIESTIRENO EXPANDIDO (EPS), H16, *33* X 100 X 16 CM (L X C X A) E VIGOTA VPT 10 X 9 CM (L X A), PARA PISO, UNIDIRECIONAL, SOBRECARGA DE 350 KGF/M2, VAO ATE 6,5 M (SEM COLOCACAO)</t>
  </si>
  <si>
    <t>LAJE PRE-MOLDADA COM VIGOTA PROTENDIDA (LAJOTAS + VIGOTAS) COM LAJOTA EM POLIESTIRENO EXPANDIDO (EPS), H20, *33* X 100 X 20 CM (L X C X A) E VIGOTA VPT 10 X 9 CM (L X A), PARA PISO, UNIDIRECIONAL, SOBRECARGA DE 350 KGF/M2, VAO ATE 7 M (SEM COLOCACAO)</t>
  </si>
  <si>
    <t>LAJE PRE-MOLDADA COM VIGOTA PROTENDIDA (LAJOTAS + VIGOTAS) COM LAJOTA EM POLIESTIRENO EXPANDIDO (EPS), H25, *33* X 100 X 25 CM (L X C X A) E VIGOTA VPT 10 X 9 CM (L X A), PARA PISO, UNIDIRECIONAL, SOBRECARGA DE 350 KGF/M2, VAO ATE 8 M (SEM COLOCACAO)</t>
  </si>
  <si>
    <t>LAJE PRE-MOLDADA COM VIGOTA PROTENDIDA (LAJOTAS + VIGOTAS) COM LAJOTA EM POLIESTIRENO EXPANDIDO (EPS), H8, *33* X 100 X 8 CM (L X C X A) E VIGOTA VPT 10 X 9 CM (L X A), PARA PISO, UNIDIRECIONAL, SOBRECARGA DE 350 KGF/M2, VAO ATE 4,5 M (SEM COLOCACAO)</t>
  </si>
  <si>
    <t>LAJE PRE-MOLDADA TRELICADA (LAJOTAS + VIGOTAS) COM LAJOTA CERAMICA *30* X 20 X *8* CM (L X C X A) E VIGOTA VTR *12* X 8 CM (L X A), PARA PISO, UNIDIRECIONAL, SOBRECARGA DE 350 KGF/M2, VAO ATE 4 M (SEM COLOCACAO)</t>
  </si>
  <si>
    <t>LAJE PRE-MOLDADA TRELICADA (LAJOTAS + VIGOTAS) COM LAJOTA CERAMICA *30* X 20 X 12 CM (L X C X A) E VIGOTA VTR *12* X 12 CM (L X A), PARA PISO, UNIDIRECIONAL, SOBRECARGA DE 350 KGF/M2, VAO ATE 5 M (SEM COLOCACAO)</t>
  </si>
  <si>
    <t>LAJE PRE-MOLDADA TRELICADA (LAJOTAS + VIGOTAS) COM LAJOTA CERAMICA *30* X 20 X 16 CM (L X C X A) E VIGOTA VTR *12* X 16 CM (L X A), PARA PISO, UNIDIRECIONAL, SOBRECARGA DE 350 KGF/M2, VAO ATE 6 M (SEM COLOCACAO)</t>
  </si>
  <si>
    <t>LAJE PRE-MOLDADA TRELICADA (LAJOTAS + VIGOTAS) COM LAJOTA CERAMICA *30* X 20 X 20 CM (L X C X A) E VIGOTA VTR *12* X 20 CM (L X A), PARA PISO, UNIDIRECIONAL, SOBRECARGA DE 350 KGF/M2, VAO ATE 7 M (SEM COLOCACAO)</t>
  </si>
  <si>
    <t>LAJE PRE-MOLDADA TRELICADA (LAJOTAS + VIGOTAS) COM LAJOTA CERAMICA *30* X 20 X 24 CM (L X C X A) E VIGOTA VTR *12* X 25 CM (L X A), PARA PISO, UNIDIRECIONAL, SOBRECARGA DE 350 KGF/M2, VAO ATE 8 M (SEM COLOCACAO)</t>
  </si>
  <si>
    <t>LAJE PRE-MOLDADA TRELICADA (LAJOTAS + VIGOTAS) COM LAJOTA EM POLIESTIRENO EXPANDIDO (EPS), H12, *33* X 100 X 12 CM (L X C X A) E VIGOTA VTR *12* X 12 CM (L X A), PARA PISO, UNIDIRECIONAL, SOBRECARGA DE 350 KGF/M2, VAO ATE 5,5 M (SEM COLOCACAO)</t>
  </si>
  <si>
    <t>LAJE PRE-MOLDADA TRELICADA (LAJOTAS + VIGOTAS) COM LAJOTA EM POLIESTIRENO EXPANDIDO (EPS), H16, *33* X 100 X 16 CM (L X C X A) E VIGOTA VTR *12* X 16 CM (L X A), PARA PISO, UNIDIRECIONAL, SOBRECARGA DE 350 KGF/M2, VAO ATE 6,5 M (SEM COLOCACAO)</t>
  </si>
  <si>
    <t>LAJE PRE-MOLDADA TRELICADA (LAJOTAS + VIGOTAS) COM LAJOTA EM POLIESTIRENO EXPANDIDO (EPS), H20, *33* X 100 X 20 CM (L X C X A) E VIGOTA VTR *12* X 20 CM (L X A), PARA PISO, UNIDIRECIONAL, SOBRECARGA DE 350 KGF/M2, VAO ATE 8 M (SEM COLOCACAO)</t>
  </si>
  <si>
    <t>LAJE PRE-MOLDADA TRELICADA (LAJOTAS + VIGOTAS) COM LAJOTA EM POLIESTIRENO EXPANDIDO (EPS), H25,*33* X 100 X 25 CM (L X C X A) E VIGOTA VTR *12* X 25 CM (L X A), PARA PISO, UNIDIRECIONAL, SOBRECARGA DE 350 KGF/M2, VAO ATE 9 M (SEM COLOCACAO)</t>
  </si>
  <si>
    <t>LAJE PRE-MOLDADA TRELICADA (LAJOTAS + VIGOTAS) COM LAJOTA EM POLIESTIRENO EXPANDIDO (EPS), *H8*, *33* X 100 X 8 CM (L X C X A) E VIGOTA VTR *12* X 8 CM (L X A), PARA PISO, UNIDIRECIONAL, SOBRECARGA DE 250 KGF/M2, VAO ATE 4 M (SEM COLOCACAO)</t>
  </si>
  <si>
    <t>PARAFUSO, EM ACO ZINCADO, CABECA LENTILHA AUTOTRAVANTE DIAMETRO 5/16" X 1"</t>
  </si>
  <si>
    <t>RODAPE DE BORRACHA LISO, H = *70* MM, E = *2* MM, PARA ARGAMASSA, PRETO</t>
  </si>
  <si>
    <t>EXECUÇÃO DE MICRORREVESTIMENTO FAIXA 2 DNIT. AF_10/2025</t>
  </si>
  <si>
    <t>EXECUÇÃO DE MICRORREVESTIMENTO FAIXA 3 DNIT. AF_10/2025</t>
  </si>
  <si>
    <t>EXECUÇÃO DE PAVIMENTO COM APLICAÇÃO DE CONCRETO ASFÁLTICO, CAMADA DE BINDER - EXCLUSIVE CARGA E TRANSPORTE. AF_10/2025</t>
  </si>
  <si>
    <t>EXECUÇÃO DE PAVIMENTO COM APLICAÇÃO DE CONCRETO ASFÁLTICO, CAMADA DE ROLAMENTO - EXCLUSIVE CARGA E TRANSPORTE. AF_10/2025</t>
  </si>
  <si>
    <t>EXECUÇÃO DE PAVIMENTO COM APLICAÇÃO DE PRÉ-MISTURADO A FRIO, CAMADA DE BINDER - EXCLUSIVE CARGA E TRANSPORTE. AF_10/2025</t>
  </si>
  <si>
    <t>EXECUÇÃO DE PAVIMENTO COM APLICAÇÃO DE PRÉ-MISTURADO A FRIO, CAMADA DE ROLAMENTO - EXCLUSIVE CARGA E TRANSPORTE. AF_10/2025</t>
  </si>
  <si>
    <t>FRESAGEM DE PAVIMENTO ASFÁLTICO, COM LARGURA DA VIA MAIOR QUE 10,00 M, EM LOCAIS COM NIVEL ALTO DE INTERFERÊNCIA. AF_10/2025</t>
  </si>
  <si>
    <t>FRESAGEM DE PAVIMENTO ASFÁLTICO, COM LARGURA DA VIA MAIOR QUE 10,00 M, EM LOCAIS COM NIVEL BAIXO DE INTERFERÊNCIA. AF_10/2025</t>
  </si>
  <si>
    <t>FRESAGEM DE PAVIMENTO ASFÁLTICO, COM LARGURA DA VIA MAIOR QUE 6,00 M E MENOR OU IGUAL 10,00 M, EM LOCAIS COM NIVEL ALTO DE INTERFERÊNCIA. AF_10/2025</t>
  </si>
  <si>
    <t>FRESAGEM DE PAVIMENTO ASFÁLTICO, COM LARGURA DA VIA MAIOR QUE 6,00 M E MENOR OU IGUAL 10,00 M, EM LOCAIS COM NIVEL BAIXO DE INTERFERÊNCIA. AF_10/2025</t>
  </si>
  <si>
    <t>FRESAGEM DE PAVIMENTO ASFÁLTICO, COM LARGURA DA VIA MENOR OU IGUAL 6,00 M, EM LOCAIS COM NIVEL ALTO DE INTERFERÊNCIA. AF_10/2025</t>
  </si>
  <si>
    <t>FRESAGEM DE PAVIMENTO ASFÁLTICO, COM LARGURA DA VIA MENOR OU IGUAL 6,00 M, EM LOCAIS COM NIVEL BAIXO DE INTERFERÊNCIA. AF_10/2025</t>
  </si>
  <si>
    <t>BOMBA CENTRÍFUGA, MONOFÁSICA, 0,5 CV OU 0,49 HP, HM 6 A 20 M, Q 1,2 A 8,3 M3/H - FORNECIMENTO E INSTALAÇÃO. AF_11/2025_PS</t>
  </si>
  <si>
    <t>BOMBA CENTRÍFUGA, TRIFÁSICA, 1,0 CV OU 0,99 HP, HM 14 A 40 M, Q 0,6 A 8,4 M3/H - FORNECIMENTO E INSTALAÇÃO. AF_11/2025_PS</t>
  </si>
  <si>
    <t>BOMBA CENTRÍFUGA, TRIFÁSICA, 1,5 CV OU 1,48 HP, HM 10 A 24 M, Q 6,1 A 21,9 M3/H - FORNECIMENTO E INSTALAÇÃO. AF_11/2025_PS</t>
  </si>
  <si>
    <t>BOMBA CENTRÍFUGA, TRIFÁSICA, 1,5 CV OU 1,48 HP, HM 10 A 24 M, Q 6,1 A 21,9 M3/H, 2 UNIDADES, INCLUSO QUADRO ELÉTRICO - FORNECIMENTO E INSTALAÇÃO. AF_11/2025</t>
  </si>
  <si>
    <t>BOMBA CENTRÍFUGA, TRIFÁSICA, 1,5 CV OU 1,48 HP, HM 10 A 70 M, Q 1,8 A 5,3 M3/H - FORNECIMENTO E INSTALAÇÃO. AF_11/2025_PS</t>
  </si>
  <si>
    <t>BOMBA CENTRÍFUGA, TRIFÁSICA, 10 CV OU 9,86 HP, HM 85 A 140 M, Q 4,2 A 14,9 M3/H - FORNECIMENTO E INSTALAÇÃO. AF_11/2025_PS</t>
  </si>
  <si>
    <t>BOMBA CENTRÍFUGA, TRIFÁSICA, 3 CV OU 2,96 HP, HM 34 A 40 M, Q 8,6 A 14,8 M3/H - FORNECIMENTO E INSTALAÇÃO. AF_11/2025_PS</t>
  </si>
  <si>
    <t>BOMBA CENTRÍFUGA, TRIFÁSICA, 3 CV OU 2,96 HP, HM 34 A 40 M, Q 8,6 A 14,8 M3/H, 2 UNIDADES, INCLUSO QUADRO ELÉTRICO - FORNECIMENTO E INSTALAÇÃO. AF_11/2025</t>
  </si>
  <si>
    <t>BOMBA SUBMERSÍVEL, TRIFÁSICA, 3,80 CV OU 3,75 HP, HM 5 A 25,5 M, Q 3,6 A 61,2 M3/H - FORNECIMENTO E INSTALAÇÃO. AF_11/2025</t>
  </si>
  <si>
    <t>CHAVE DE BOIA AUTOMÁTICA SUPERIOR/INFERIOR 15A/250V - FORNECIMENTO E INSTALAÇÃO. AF_11/2025</t>
  </si>
  <si>
    <t>CONJUNTO FLUTUANTE DE SUCÇÃO DE 1", TECHNIK OU EQUIVALENTE - FORNECIMENTO E INSTALAÇÃO. AF_11/2025</t>
  </si>
  <si>
    <t>INSTALAÇÃO DE BOMBA CENTRÍFUGA, MONOFÁSICA, 0,5 CV OU 0,49 HP, HM 6 A 20 M, Q 1,2 A 8,3 M3/H (SEM FORNECIMENTO). AF_11/2025_PS</t>
  </si>
  <si>
    <t>INSTALAÇÃO DE BOMBA CENTRÍFUGA, TRIFÁSICA, 1,0 CV OU 0,99 HP, HM 14 A 40 M, Q 0,6 A 8,4 M3/H (SEM FORNECIMENTO). AF_11/2025_PS</t>
  </si>
  <si>
    <t>INSTALAÇÃO DE BOMBA CENTRÍFUGA, TRIFÁSICA, 1,5 CV OU 1,48 HP (SEM FORNECIMENTO). AF_11/2025_PS</t>
  </si>
  <si>
    <t>INSTALAÇÃO DE BOMBA CENTRÍFUGA, TRIFÁSICA, 10 CV OU 9,86 HP, HM 85 A 140 M, Q 4,2 A 14,9 M3/H (SEM FORNECIMENTO). AF_11/2025_PS</t>
  </si>
  <si>
    <t>INSTALAÇÃO DE BOMBA CENTRÍFUGA, TRIFÁSICA, 3 CV OU 2,96 HP, HM 34 A 40 M, Q 8,6 A 14,8 M3/H (SEM FORNECIMENTO). AF_11/2025_PS</t>
  </si>
  <si>
    <t>INSTALAÇÃO DE BOMBA SUBMERSÍVEL, TRIFÁSICA, 3,80 CV OU 3,75 HP, HM 5 A 25,5 M, Q 3,6 A 61,2 M3/H (SEM FORNECIMENTO). AF_11/2025</t>
  </si>
  <si>
    <t>INSTALAÇÃO DE MOTO BOMBA HORIZONTAL ATÉ 10 CV, HM 75 A 80 M, Q 25,4 A 48 M3/H (SEM FORNECIMENTO). AF_11/2025_PS</t>
  </si>
  <si>
    <t>INSTALAÇÃO DE MOTO BOMBA HORIZONTAL DE 12,5 A 25 CV, HM 140 M (SEM FORNECIMENTO). AF_11/2025_PS</t>
  </si>
  <si>
    <t>INSTALAÇÃO DE MOTO BOMBA SUBMERSÍVEL ATÉ 10 CV, HM 21 M (SEM FORNECIMENTO). AF_11/2025</t>
  </si>
  <si>
    <t>INSTALAÇÃO DE MOTO BOMBA SUBMERSÍVEL DE 11 A 25 CV, HM 33 M (SEM FORNECIMENTO). AF_11/2025</t>
  </si>
  <si>
    <t>MOTO BOMBA HORIZONTAL ATÉ 10 CV, HM 75 A 80 M, Q 25,4 A 48 M3/H- FORNECIMENTO E INSTALAÇÃO. AF_11/2025</t>
  </si>
  <si>
    <t>MOTO BOMBA HORIZONTAL DE 12,5 A 25CV, HM 140 M - FORNECIMENTO E INSTALAÇÃO. AF_11/2025</t>
  </si>
  <si>
    <t>MOTO BOMBA SUBMERSÍVEL ATÉ 10 CV, HM 21 M - FORNECIMENTO E INSTALAÇÃO. AF_11/2025</t>
  </si>
  <si>
    <t>MOTO BOMBA SUBMERSÍVEL DE 11 A 25 CV, HM 33 M - FORNECIMENTO E INSTALAÇÃO. AF_11/2025</t>
  </si>
  <si>
    <t>ALAMBRADO EM MOURÕES DE CONCRETO, COM TELA DE ARAME GALVANIZADO (INCLUSIVE MURETA EM CONCRETO). AF_12/2025</t>
  </si>
  <si>
    <t>ALAMBRADO EM PERFIS METÁLICOS RETANGULARES COM GRADIL METÁLICO (EXCLUSIVE MURETA EM CONCRETO). AF_12/2025</t>
  </si>
  <si>
    <t>ALAMBRADO PARA QUADRA POLIESPORTIVA, ESTRUTURADO POR TUBOS DE AÇO GALVANIZADO, (MONTANTES COM DIÂMETRO 2", TRAVESSAS E ESCORAS COM DIÂMETRO 1 ¼"), COM TELA DE ARAME GALVANIZADO, FIO 10 BWG E MALHA QUADRADA 5X5CM (EXCETO MURETA). AF_12/2025</t>
  </si>
  <si>
    <t>ALAMBRADO PARA QUADRA POLIESPORTIVA, ESTRUTURADO POR TUBOS DE AÇO GALVANIZADO, (MONTANTES COM DIÂMETRO 2", TRAVESSAS E ESCORAS COM DIÂMETRO 1 ¼"), COM TELA DE ARAME GALVANIZADO, FIO 12 BWG E MALHA QUADRADA 5X5CM (EXCETO MURETA). AF_12/2025</t>
  </si>
  <si>
    <t>ALAMBRADO PARA QUADRA POLIESPORTIVA, ESTRUTURADO POR TUBOS DE AÇO GALVANIZADO, (MONTANTES COM DIÂMETRO 2", TRAVESSAS E ESCORAS COM DIÂMETRO 1 ¼"), COM TELA DE ARAME GALVANIZADO, FIO 14 BWG E MALHA QUADRADA 5X5CM (EXCETO MURETA). AF_12/2025</t>
  </si>
  <si>
    <t>CERCA COM MOURÕES DE CONCRETO, RETO, 15X15 CM, H= 2,30 M, ESPAÇAMENTO DE 2,5 M, CRAVADOS 0,5 M, ESCORAS DE 10X10 CM A CADA 50 M, COM 12 FIOS DE ARAME DE AÇO OVALADO 15X17 - FORNECIMENTO E INSTALAÇÃO. AF_12/2025</t>
  </si>
  <si>
    <t>CERCA COM MOURÕES DE CONCRETO, RETO, 15X15 CM,H= 2,30 M, ESPAÇAMENTO DE 2,5 M, CRAVADOS 0,5 M, ESCORAS DE 10X10 CM A CADA 50 M, COM 9 FIOS DE ARAME DE AÇO OVALADO 15X17 - FORNECIMENTO E INSTALAÇÃO. AF_12/2025</t>
  </si>
  <si>
    <t>CERCA COM MOURÕES DE CONCRETO, RETO, H=2,30 M, ESPAÇAMENTO DE 2,5 M, CRAVADOS 0,5 M, COM 4 FIOS DE ARAME DE AÇO OVALADO 15X17 - FORNECIMENTO E INSTALAÇÃO. AF_12/2025</t>
  </si>
  <si>
    <t>CERCA COM MOURÕES DE CONCRETO, RETO, H=2,30 M, ESPAÇAMENTO DE 2,5 M, CRAVADOS 0,5 M, COM 4 FIOS DE ARAME FARPADO Nº 14 OU 16 CLASSE 250 - FORNECIMENTO E INSTALAÇÃO. AF_12/2025</t>
  </si>
  <si>
    <t>CERCA COM MOURÕES DE CONCRETO, RETO, H=2,30 M, ESPAÇAMENTO DE 2,5 M, CRAVADOS 0,5 M, COM 4 FIOS DE ARAME MISTO - FORNECIMENTO E INSTALAÇÃO. AF_12/2025</t>
  </si>
  <si>
    <t>CERCA COM MOURÕES DE CONCRETO, RETO, H=3,00 M, ESPAÇAMENTO DE 2,5 M, CRAVADOS 0,5 M, COM 4 FIOS DE ARAME DE AÇO OVALADO 15X17 - FORNECIMENTO E INSTALAÇÃO. AF_12/2025</t>
  </si>
  <si>
    <t>CERCA COM MOURÕES DE CONCRETO, RETO, H=3,00 M, ESPAÇAMENTO DE 2,5 M, CRAVADOS 0,5 M, COM 4 FIOS DE ARAME FARPADO Nº 14 OU 16 CLASSE 250 - FORNECIMENTO E INSTALAÇÃO. AF_12/2025</t>
  </si>
  <si>
    <t>CERCA COM MOURÕES DE CONCRETO, RETO, H=3,00 M, ESPAÇAMENTO DE 2,5 M, CRAVADOS 0,5 M, COM 4 FIOS DE ARAME MISTO - FORNECIMENTO E INSTALAÇÃO. AF_12/2025</t>
  </si>
  <si>
    <t>CERCA COM MOURÕES DE CONCRETO, SEÇÃO "T" PONTA INCLINADA, 10X10 CM, ESPAÇAMENTO DE 2,5 M, CRAVADOS 0,5 M, COM 11 FIOS DE ARAME DE AÇO OVALADO 15X17 - FORNECIMENTO E INSTALAÇÃO. AF_12/2025</t>
  </si>
  <si>
    <t>CERCA COM MOURÕES DE CONCRETO, SEÇÃO "T" PONTA INCLINADA, 10X10CM, ESPAÇAMENTO DE 2,5M, CRAVADOS 0,5M, COM 11 FIOS DE ARAME FARPADO Nº 14 OU 16 - FORNECIMENTO E INSTALAÇÃO. AF_12/2025</t>
  </si>
  <si>
    <t>CERCA COM MOURÕES DE CONCRETO, SEÇÃO "T" PONTA INCLINADA, 10X10CM, ESPAÇAMENTO DE 2,5M, CRAVADOS 0,5M, COM 11 FIOS DE ARAME MISTO - FORNECIMENTO E INSTALAÇÃO. AF_12/2025</t>
  </si>
  <si>
    <t>CERCA COM MOURÕES DE MADEIRA ROLIÇA, DIÂMETRO 11 CM, ESPAÇAMENTO DE 2,5 M, ALTURA LIVRE DE 1,7 M, CRAVADOS 0,5 M, COM 5 FIOS DE ARAME DE AÇO OVALADO 15X17 - FORNECIMENTO E INSTALAÇÃO. AF_12/2025</t>
  </si>
  <si>
    <t>CERCA COM MOURÕES DE MADEIRA ROLIÇA, DIÂMETRO 11 CM, ESPAÇAMENTO DE 2,5 M, ALTURA LIVRE DE 1,7 M, CRAVADOS 0,5 M, COM 5 FIOS DE ARAME MISTO - FORNECIMENTO E INSTALAÇÃO. AF_12/2025</t>
  </si>
  <si>
    <t>CERCA COM MOURÕES DE MADEIRA ROLIÇA, DIÂMETRO 11CM, ESPAÇAMENTO DE 2,5M, ALTURA LIVRE DE 1,7M, CRAVADOS 0,5M, COM 5 FIOS DE ARAME FARPADO Nº 14 OU 16 CLASSE 250 - FORNECIMENTO E INSTALAÇÃO. AF_12/2025</t>
  </si>
  <si>
    <t>CERCA COM MOURÕES DE MADEIRA, 7,5X7,5 CM, ESPAÇAMENTO DE 2,5 M, ALTURA LIVRE DE 2 M, CRAVADOS 0,5 M, COM 4 FIOS DE ARAME FARPADO Nº 14 OU 16 CLASSE 250 - FORNECIMENTO E INSTALAÇÃO. AF_12/2025</t>
  </si>
  <si>
    <t>CERCA COM MOURÕES DE MADEIRA, 7,5X7,5CM, ESPAÇAMENTO DE 2,5M, ALTURA LIVRE DE 2M, CRAVADOS 0,5M, COM 8 FIOS DE ARAME FARPADO Nº 14 OU 16 CLASSE 250 - FORNECIMENTO E INSTALAÇÃO. AF_12/2025</t>
  </si>
  <si>
    <t>INSTALAÇÃO DE ESCORAS PARA ALAMBRADO EM TUBO AÇO GALVANIZADO COM COSTURA, CLASSE MÉDIA, DN 1.1/4", E = *3,25* MM, PESO *3,14* KG/M. AF_12/2025</t>
  </si>
  <si>
    <t>INSTALAÇÃO DE MOURÃO DE CONCRETO PONTA INCLINADA (CURVA), *10 X 10* CM, H= *2,60* M + CURVA DE 0,40 M. AF_12/2025</t>
  </si>
  <si>
    <t>INSTALAÇÃO DE MOURÃO DE CONCRETO PONTA INCLINADA (CURVA), SEÇÃO "T", H = 2,80 M + CURVA COM 0,45 M, COM FUROS PARA FIOS. AF_12/2025</t>
  </si>
  <si>
    <t>INSTALAÇÃO DE MOURÃO DE CONCRETO RETO, SEÇÃO QUADRADA *10 X 10* CM, H= 2,30 A 2,50 M. AF_12/2025</t>
  </si>
  <si>
    <t>INSTALAÇÃO DE MOURÃO DE CONCRETO RETO, SEÇÃO QUADRADA *15 X 15* CM, H= 2,30 M. AF_12/2025</t>
  </si>
  <si>
    <t>INSTALAÇÃO DE MOURÃO DE CONCRETO RETO, SEÇÃO QUADRADA, *10 X 10* CM, H= 3,00 M. AF_12/2025</t>
  </si>
  <si>
    <t>INSTALAÇÃO DE TELA DE ARAME GALVANIZADA REVESTIDA EM PVC, PARA ALAMBRADO COM TUBOS DE AÇO, QUADRANGULAR / LOSANGULAR, FIO 2,11 MM (14 BWG), MALHA 5 X 5 CM, H = 2 M. AF_12/2025</t>
  </si>
  <si>
    <t>INSTALAÇÃO DE TELA DE ARAME GALVANIZADA REVESTIDA EM PVC, PARA ALAMBRADO COM TUBOS DE AÇO, QUADRANGULAR / LOSANGULAR, FIO 2,77 MM (12 BWG), MALHA 5 X 5 CM, H = 2 M. AF_12/2025</t>
  </si>
  <si>
    <t>INSTALAÇÃO DE TELA DE ARAME GALVANIZADA, PARA ALAMBRADO COM MOURÕES DE CONCRETO, QUADRANGULAR / LOSANGULAR, FIO 2,11 MM (14 BWG), MALHA 8 X 8 CM, H = 2 M, COM REVESTIMENTO EM PVC. AF_12/2025</t>
  </si>
  <si>
    <t>INSTALAÇÃO DE TELA DE ARAME GALVANIZADA, PARA ALAMBRADO COM MOURÕES DE CONCRETO, QUADRANGULAR / LOSANGULAR, FIO 2,11 MM (14 BWG), MALHA 8 X 8 CM, H = 2 M. AF_12/2025</t>
  </si>
  <si>
    <t>INSTALAÇÃO DE TELA DE ARAME GALVANIZADA, PARA ALAMBRADO COM TUBOS DE AÇO, QUADRANGULAR / LOSANGULAR, FIO 2,11 MM (14 BWG), MALHA 5 X 5 CM, H = 2 M. AF_12/2025</t>
  </si>
  <si>
    <t>INSTALAÇÃO DE TELA DE ARAME GALVANIZADA, PARA ALAMBRADO COM TUBOS DE AÇO, QUADRANGULAR / LOSANGULAR, FIO 2,77 MM (12 BWG), MALHA 5 X 5 CM, H = 2 M. AF_12/2025</t>
  </si>
  <si>
    <t>INSTALAÇÃO DE TRAVESSA PARA ALAMBRADO EM TUBO AÇO GALVANIZADO COM COSTURA, CLASSE MÉDIA, DN 1 1/4", E = *3,25* MM, PESO *3,14* KG/M, COM ESPAÇAMENTO DE 2,0 A 2,5 M. AF_12/2025</t>
  </si>
  <si>
    <t>INSTALAÇÃO DE TRAVESSA PARA ALAMBRADO EM TUBO AÇO GALVANIZADO COM COSTURA, CLASSE MÉDIA, DN 1", E = *3,25* MM, PESO *3,14* KG/M, COM ESPAÇAMENTO DE 2,0 A 2,5 M. AF_12/2025</t>
  </si>
  <si>
    <t>INSTALAÇÃO DE TRAVESSA PARA ALAMBRADO EM TUBO AÇO GALVANIZADO COM COSTURA, CLASSE MÉDIA, DN 2 1/2", E = *3,65* MM, PESO *6,51* KG/M, COM ESPAÇAMENTO DE 2,0 A 2,5 M. AF_12/2025</t>
  </si>
  <si>
    <t>INSTALAÇÃO MONTANTE, PARA ALAMBRADO COM 1 M DE ALTURA, EM TUBO AÇO GALVANIZADO COM COSTURA, CLASSE MÉDIA, DN 2 1/2", E = *3,65* MM, PESO *6,51* KG/M. AF_12/2025</t>
  </si>
  <si>
    <t>INSTALAÇÃO MONTANTE, PARA ALAMBRADO COM 1 M DE ALTURA, EM TUBO AÇO GALVANIZADO COM COSTURA, CLASSE MÉDIA, DN 2", E = *3,65* MM, PESO *5,10* KG/M. AF_12/2025</t>
  </si>
  <si>
    <t>INSTALAÇÃO MONTANTE, PARA ALAMBRADO COM 1 M DE ALTURA, EM TUBO AÇO GALVANIZADO COM COSTURA, CLASSE MÉDIA, DN 3", E = *3,35* MM, PESO *7,32* KG/M. AF_12/2025</t>
  </si>
  <si>
    <t>INSTALAÇÃO MONTANTE, PARA ALAMBRADO COM 2,40 A 5,00 M DE ALTURA, EM TUBO AÇO GALVANIZADO COM COSTURA, CLASSE MÉDIA, DN 3", E = *3,35* MM, PESO *7,32* KG/M. AF_12/2025</t>
  </si>
  <si>
    <t>INSTALAÇÃO MONTANTE, PARA ALAMBRADO DE 2,40 A 5,00 M DE ALTURA, EM TUBO AÇO GALVANIZADO COM COSTURA, CLASSE MÉDIA, DN 2 1/2", E = *3,65* MM, PESO *6,51* KG/M. AF_12/2025</t>
  </si>
  <si>
    <t>INSTALAÇÃO MONTANTE, PARA ALAMBRADO DE 2,40 A 5,00 M DE ALTURA, EM TUBO AÇO GALVANIZADO COM COSTURA, CLASSE MÉDIA, DN 2", E = *3,65* MM, PESO *5,10* KG/M. AF_12/2025</t>
  </si>
  <si>
    <t>PORTÃO COM MOURÕES DE MADEIRA ROLIÇA, DIÂMETRO 11 CM, COM 5 FIOS DE ARAME FARPADO Nº 14 CLASSE 250, SEM DOBRADIÇAS - FORNECIMENTO E INSTALAÇÃO. AF_12/2025</t>
  </si>
  <si>
    <t>PORTÃO DE ABRIR/GIRO, ESTRUTURADO POR TUBOS DE AÇO GALVANIZADO, COM TELA DE ARAME, PARA PEDESTRE - COMPLETO. AF_12/2025</t>
  </si>
  <si>
    <t>RECOMPOSIÇÃO PARCIAL DE ARAME FARPADO Nº 14 OU 16 CLASSE 250, FIXADO EM CERCA COM MOURÕES DE CONCRETO - FORNECIMENTO E INSTALAÇÃO. AF_12/2025</t>
  </si>
  <si>
    <t>CAMINHÃO BITRUCK TRAÇÃO 8X2, PBT 29.000 KG, PESO BRUTO TOTAL COMBINADO (PBTC) *36.000* KG, POTÊNCIA 321 CV, INCLUSIVE PLATAFORMA GUINCHO-SOCORRO, COMPRIMENTO ÚTIL 10 M, LARGURA 2,60 M COM GUINCHO DE ARRASTE BASCULANTE - CHI DIURNO. AF_11/2025</t>
  </si>
  <si>
    <t>CAMINHÃO BITRUCK TRAÇÃO 8X2, PBT 29.000 KG, PESO BRUTO TOTAL COMBINADO (PBTC) *36.000* KG, POTÊNCIA 321 CV, INCLUSIVE PLATAFORMA GUINCHO-SOCORRO, COMPRIMENTO ÚTIL 10 M, LARGURA 2,60 M COM GUINCHO DE ARRASTE BASCULANTE - CHP DIURNO. AF_11/2025</t>
  </si>
  <si>
    <t>CAMINHÃO BITRUCK TRAÇÃO 8X2, PBT 29.000 KG, PESO BRUTO TOTAL COMBINADO (PBTC) *36.000* KG, POTÊNCIA 321 CV, INCLUSIVE PLATAFORMA SOBRE CHASSI, COMPRIMENTO ÚTIL 10 M, LARGURA 2,60 M COM GUINCHO DE ARRASTE E RAMPA COM ACIONAMENTO ELETRO-HIDRÁULICO - CHI DIURNO. AF_11/2025</t>
  </si>
  <si>
    <t>CAMINHÃO BITRUCK TRAÇÃO 8X2, PBT 29.000 KG, PESO BRUTO TOTAL COMBINADO (PBTC) *36.000* KG, POTÊNCIA 321 CV, INCLUSIVE PLATAFORMA SOBRE CHASSI, COMPRIMENTO ÚTIL 10 M, LARGURA 2,60 M COM GUINCHO DE ARRASTE E RAMPA COM ACIONAMENTO ELETRO-HIDRÁULICO - CHP DIURNO. AF_11/2025</t>
  </si>
  <si>
    <t>CAMINHÃO PIPA 14.000 L TRUCADO, PESO BRUTO TOTAL 23.000 KG, CARGA ÚTIL MÁXIMA 16.540 KG, DISTÂNCIA ENTRE EIXOS 4,8 M, POTÊNCIA 256 CV, INCLUSIVE TANQUE DE AÇO PARA TRANSPORTE DE ÁGUA - CHI DIURNO. AF_10/2025</t>
  </si>
  <si>
    <t>CAMINHÃO PIPA 14.000 L TRUCADO, PESO BRUTO TOTAL 23.000 KG, CARGA ÚTIL MÁXIMA 16.540 KG, DISTÂNCIA ENTRE EIXOS 4,8 M, POTÊNCIA 256 CV, INCLUSIVE TANQUE DE AÇO PARA TRANSPORTE DE ÁGUA - CHP DIURNO. AF_10/2025</t>
  </si>
  <si>
    <t>CAMINHÃO TOCO, PBT 16.000 KG, CARGA ÚTIL MÁX. 10.830 KG, DIST. ENTRE EIXOS 3,56 M, POTÊNCIA 226 CV, INCLUSIVE PLATAFORMA SOBRE CHASSI, COMPRIMENTO ÚTIL 10 M, LARGURA 2,60 M COM GUINCHO DE ARRASTE E RAMPA COM ACIONAMENTO ELETRO-HIDRÁULICO - CHI DIURNO. AF_11/2025</t>
  </si>
  <si>
    <t>CAMINHÃO TOCO, PBT 16.000 KG, CARGA ÚTIL MÁX. 10.830 KG, DIST. ENTRE EIXOS 3,56 M, POTÊNCIA 226 CV, INCLUSIVE PLATAFORMA SOBRE CHASSI, COMPRIMENTO ÚTIL 10 M, LARGURA 2,60 M COM GUINCHO DE ARRASTE E RAMPA COM ACIONAMENTO ELETRO-HIDRÁULICO - CHP DIURNO. AF_11/2025</t>
  </si>
  <si>
    <t>CAMINHÃO TOCO, PBT 23.000 KG, CARGA ÚTIL MÁX. 16.540 KG, DIST. ENTRE EIXOS 4,8 M, POTÊNCIA 256 CV, INCLUSIVE CARROCERIA FIXA ABERTA DE MADEIRA P/ TRANSPORTE GERAL DE CARGA SECA, DIMEN. APROX. 2,6 X 12,50 X 0,50 M - CHI DIURNO. AF_10/2025</t>
  </si>
  <si>
    <t>CAMINHÃO TOCO, PBT 23.000 KG, CARGA ÚTIL MÁX. 16.540 KG, DIST. ENTRE EIXOS 4,8 M, POTÊNCIA 256 CV, INCLUSIVE CARROCERIA FIXA ABERTA DE MADEIRA P/ TRANSPORTE GERAL DE CARGA SECA, DIMEN. APROX. 2,6 X 12,50 X 0,50 M - CHP DIURNO. AF_10/2025</t>
  </si>
  <si>
    <t>CAMINHÃO TOCO, PBT 23.000 KG, CARGA ÚTIL MÁX. 16.540 KG, DIST. ENTRE EIXOS 4,80 M, POTÊNCIA 256 CV, INCLUSIVE PLATAFORMA GUINCHO-SOCORRO, COMPRIMENTO ÚTIL 10 M, LARGURA 2,60 M COM GUINCHO DE ARRASTE BASCULANTE - CHI DIURNO. AF_11/2025</t>
  </si>
  <si>
    <t>CAMINHÃO TOCO, PBT 23.000 KG, CARGA ÚTIL MÁX. 16.540 KG, DIST. ENTRE EIXOS 4,80 M, POTÊNCIA 256 CV, INCLUSIVE PLATAFORMA GUINCHO-SOCORRO, COMPRIMENTO ÚTIL 10 M, LARGURA 2,60 M COM GUINCHO DE ARRASTE BASCULANTE - CHP DIURNO. AF_11/2025</t>
  </si>
  <si>
    <t>CAMINHÃO TOCO, PBT 23.000 KG, CARGA ÚTIL MÁX. 16.540 KG, DIST. ENTRE EIXOS 4,80 M, POTÊNCIA 256 CV, INCLUSIVE PLATAFORMA SOBRE CHASSI, COMPRIMENTO ÚTIL 10 M, LARGURA 2,60 M COM GUINCHO DE ARRASTE E RAMPA COM ACIONAMENTO ELETRO-HIDRÁULICO - CHI DIURNO. AF_11/2025</t>
  </si>
  <si>
    <t>CAMINHÃO TOCO, PBT 23.000 KG, CARGA ÚTIL MÁX. 16.540 KG, DIST. ENTRE EIXOS 4,80 M, POTÊNCIA 256 CV, INCLUSIVE PLATAFORMA SOBRE CHASSI, COMPRIMENTO ÚTIL 10 M, LARGURA 2,60 M COM GUINCHO DE ARRASTE E RAMPA COM ACIONAMENTO ELETRO-HIDRÁULICO - CHP DIURNO. AF_11/2025</t>
  </si>
  <si>
    <t>CAVALO MECÂNICO TRAÇÃO 6X2, PBT COMBINADO 56.000 KG, CAPACIDADE MÁX. TRAÇÃO 66.000 KG, POTÊNCIA 360 CV, INCLUSIVE CARROCERIA FIXA ABERTA DE MADEIRA P/ TRANSPORTE GERAL DE CARGA SECA, DIMEN. APROX. 2,6 X 14,50 X 0,50 M - CHI DIURNO. AF_10/2025</t>
  </si>
  <si>
    <t>CAVALO MECÂNICO TRAÇÃO 6X2, PBT COMBINADO 56.000 KG, CAPACIDADE MÁX. TRAÇÃO 66.000 KG, POTÊNCIA 360 CV, INCLUSIVE CARROCERIA FIXA ABERTA DE MADEIRA P/ TRANSPORTE GERAL DE CARGA SECA, DIMEN. APROX. 2,6 X 14,50 X 0,50 M - CHP DIURNO. AF_10/2025</t>
  </si>
  <si>
    <t>CAVALO MECÂNICO TRAÇÃO 6X2, PBT COMBINADO 56.000 KG, CAPACIDADE MÁX. TRAÇÃO 66.000 KG, POTÊNCIA 360 CV, INCLUSIVE PRANCHA REBAIXADA 3 EIXOS, DIMENSÕES *17,33 X 3,00* M, COM RAMPA DE ACIONAMENTO HIDRÁULICO - CHI DIURNO. AF_11/2025</t>
  </si>
  <si>
    <t>CAVALO MECÂNICO TRAÇÃO 6X2, PBT COMBINADO 56.000 KG, CAPACIDADE MÁX. TRAÇÃO 66.000 KG, POTÊNCIA 360 CV, INCLUSIVE PRANCHA REBAIXADA 3 EIXOS, DIMENSÕES *17,33 X 3,00* M, COM RAMPA DE ACIONAMENTO HIDRÁULICO - CHP DIURNO. AF_11/2025</t>
  </si>
  <si>
    <t>CAVALO MECÂNICO TRAÇÃO 6X2, PBT COMBINADO 56.000 KG, CAPACIDADE MÁX. TRAÇÃO 66.000 KG, POTÊNCIA 360 CV, INCLUSIVE PRANCHA RETA 3 EIXOS, COMPRIMENTO ÚTIL 11,3 M, PESCOÇO DE 3,5 M, LARGURA 3,00 M, COM RAMPA DE ACIONAMENTO HIDRÁULICO - CHI DIURNO. AF_11/2025</t>
  </si>
  <si>
    <t>CAVALO MECÂNICO TRAÇÃO 6X2, PBT COMBINADO 56.000 KG, CAPACIDADE MÁX. TRAÇÃO 66.000 KG, POTÊNCIA 360 CV, INCLUSIVE PRANCHA RETA 3 EIXOS, COMPRIMENTO ÚTIL 11,3 M, PESCOÇO DE 3,5 M, LARGURA 3,00 M, COM RAMPA DE ACIONAMENTO HIDRÁULICO - CHP DIURNO. AF_11/2025</t>
  </si>
  <si>
    <t>CORTADEIRA HIDRÁULICA DE VERGALHÃO, PARA AÇO DE DIÂMETRO ATÉ 50 MM, MOTOR ELÉTRICO TRIFÁSICO, POTÊNCIA DE 5,5 HP A 7,5 HP - CHI DIURNO. AF_12/2025</t>
  </si>
  <si>
    <t>CORTADEIRA HIDRÁULICA DE VERGALHÃO, PARA AÇO DE DIÂMETRO ATÉ 50 MM, MOTOR ELÉTRICO TRIFÁSICO, POTÊNCIA DE 5,5 HP A 7,5 HP - CHP DIURNO. AF_12/2025</t>
  </si>
  <si>
    <t>DOBRADEIRA ELETROMECÂNICA DE VERGALHÃO, PARA AÇO DE DIÂMETRO ATÉ 1 1/2", MOTOR ELÉTRICO TRIFÁSICO, POTÊNCIA DE 3 HP ATÉ 5 HP- CHI DIURNO. AF_12/2025</t>
  </si>
  <si>
    <t>DOBRADEIRA ELETROMECÂNICA DE VERGALHÃO, PARA AÇO DE DIÂMETRO ATÉ 1 1/2", MOTOR ELÉTRICO TRIFÁSICO, POTÊNCIA DE 3 HP ATÉ 5 HP- CHP DIURNO. AF_12/2025</t>
  </si>
  <si>
    <t>ESCAVADEIRA HIDRÁULICA SOBRE ESTEIRA, PESO OPERACIONAL 21,00 T, POTÊNCIA NOMINAL 155 HP, COM MARTELO VIBRATÓRIO HIDRÁULICO *1200 A 2200* KG - CHI DIURNO. AF_11/2025</t>
  </si>
  <si>
    <t>ESCAVADEIRA HIDRÁULICA SOBRE ESTEIRA, PESO OPERACIONAL 21,00 T, POTÊNCIA NOMINAL 155 HP, COM MARTELO VIBRATÓRIO HIDRÁULICO *1200 A 2200* KG - CHP DIURNO. AF_11/2025</t>
  </si>
  <si>
    <t>ESCAVADEIRA HIDRÁULICA SOBRE ESTEIRA, PESO OPERACIONAL 21,00 T, POTÊNCIA NOMINAL 155 HP, COM TORRE DE CRAVAÇÃO PARA EXECUÇÃO DE GEODRENO VERTICAL, LANÇA DE 32 M, PARA DRENO FIBROQUÍMICO DE LARGURA PADRÃO (100 MM) - CHI DIURNO. AF_12/2025</t>
  </si>
  <si>
    <t>ESCAVADEIRA HIDRÁULICA SOBRE ESTEIRA, PESO OPERACIONAL 21,00 T, POTÊNCIA NOMINAL 155 HP, COM TORRE DE CRAVAÇÃO PARA EXECUÇÃO DE GEODRENO VERTICAL, LANÇA DE 32 M, PARA DRENO FIBROQUÍMICO DE LARGURA PADRÃO (100 MM)- CHP DIURNO. AF_12/2025</t>
  </si>
  <si>
    <t>GUINDAUTO HIDRÁULICO, CAPACIDADE MÁXIMA DE CARGA 14340 KG, MOMENTO MÁXIMO DE CARGA 42,3 TM, ALCANCE MÁXIMO HORIZONTAL16,80 M, INCLUSIVE CAMINHÃO TOCO PBT 23.000 KG, POTÊNCIA DE 256 CV - CHI DIURNO. AF_10/2025</t>
  </si>
  <si>
    <t>GUINDAUTO HIDRÁULICO, CAPACIDADE MÁXIMA DE CARGA 14340 KG, MOMENTO MÁXIMO DE CARGA 42,3 TM, ALCANCE MÁXIMO HORIZONTAL16,80 M, INCLUSIVE CAMINHÃO TOCO PBT 23.000 KG, POTÊNCIA DE 256 CV - CHP DIURNO. AF_10/2025</t>
  </si>
  <si>
    <t>PENEIRA ROTATIVA COM MOTOR ELÉTRICO MONOFÁSICO DE *0,5 A 1,0* CV, CILINDRO COM DIÂMETRO DE *0,48 A 0,85* M E COMPRIMENTO DE *1,0 A 1,65* M - CHI DIURNO. AF_11/2025</t>
  </si>
  <si>
    <t>PENEIRA ROTATIVA COM MOTOR ELÉTRICO MONOFÁSICO DE *0,5 A 1,0* CV, CILINDRO COM DIÂMETRO DE *0,48 A 0,85* M E COMPRIMENTO DE *1,0 A 1,65* M - CHP DIURNO. AF_11/2025</t>
  </si>
  <si>
    <t>POLIGUINDASTE, CAPACIDADE MÁXIMA DE CARGA 8000 KG, PARA TRANSPORTE DE CAÇAMBAS ESTACIONÁRIAS, INCLUSIVE CAMINHÃO TOCO PBT 14.300 KG, POTÊNCIA DE 185 CV - CHI DIURNO. AF_10/2025</t>
  </si>
  <si>
    <t>POLIGUINDASTE, CAPACIDADE MÁXIMA DE CARGA 8000 KG, PARA TRANSPORTE DE CAÇAMBAS ESTACIONÁRIAS, INCLUSIVE CAMINHÃO TOCO PBT 14.300 KG, POTÊNCIA DE 185 CV - CHP DIURNO. AF_10/2025</t>
  </si>
  <si>
    <t>VIBROACABADORA DE ASFALTO SOBRE ESTEIRAS, LARG. PAVIM. 2,60 M A 5,75 M, POT. 110 HP, CAP. 450 T/ H - CHI DIURNO. AF_11/2025</t>
  </si>
  <si>
    <t>VIBROACABADORA DE ASFALTO SOBRE ESTEIRAS, LARG. PAVIM. 2,60 M A 5,75 M, POT. 110 HP, CAP. 450 T/ H - CHP DIURNO. AF_11/2025</t>
  </si>
  <si>
    <t>VIBROACABADORA DE ASFALTO SOBRE ESTEIRAS, LARG. PAVIM. MÁX. 8,00 M, POT. 100 KW/ 134 HP, CAP. 600 T/ H - CHI DIURNO. AF_11/2025</t>
  </si>
  <si>
    <t>VIBROACABADORA DE ASFALTO SOBRE ESTEIRAS, LARG. PAVIM. MÁX. 8,00 M, POT. 100 KW/ 134 HP, CAP. 600 T/ H - CHP DIURNO. AF_11/2025</t>
  </si>
  <si>
    <t>VIBROACABADORA DE ASFALTO SOBRE RODAS, LARGURA DE PAVIMENTAÇÃO DE 1,70 A 4,20 M, POTÊNCIA 78 KW/105 HP, CAPACIDADE 300 T/H - CHI DIURNO. AF_11/2025</t>
  </si>
  <si>
    <t>VIBROACABADORA DE ASFALTO SOBRE RODAS, LARGURA DE PAVIMENTAÇÃO DE 1,70 A 4,20 M, POTÊNCIA 78 KW/105 HP, CAPACIDADE 300 T/H - CHP DIURNO. AF_11/2025</t>
  </si>
  <si>
    <t>CAMINHÃO BITRUCK TRAÇÃO 8X2, PBT 29.000 KG, PESO BRUTO TOTAL COMBINADO (PBTC) *36.000* KG, POTÊNCIA 321 CV, INCLUSIVE PLATAFORMA GUINCHO-SOCORRO, COMPRIMENTO ÚTIL 10 M, LARGURA 2,60 M COM GUINCHO DE ARRASTE BASCULANTE - DEPRECIAÇÃO. AF_11/2025</t>
  </si>
  <si>
    <t>CAMINHÃO BITRUCK TRAÇÃO 8X2, PBT 29.000 KG, PESO BRUTO TOTAL COMBINADO (PBTC) *36.000* KG, POTÊNCIA 321 CV, INCLUSIVE PLATAFORMA GUINCHO-SOCORRO, COMPRIMENTO ÚTIL 10 M, LARGURA 2,60 M COM GUINCHO DE ARRASTE BASCULANTE - IMPOSTOS E SEGUROS. AF_11/2025</t>
  </si>
  <si>
    <t>CAMINHÃO BITRUCK TRAÇÃO 8X2, PBT 29.000 KG, PESO BRUTO TOTAL COMBINADO (PBTC) *36.000* KG, POTÊNCIA 321 CV, INCLUSIVE PLATAFORMA GUINCHO-SOCORRO, COMPRIMENTO ÚTIL 10 M, LARGURA 2,60 M COM GUINCHO DE ARRASTE BASCULANTE - JUROS. AF_11/2025</t>
  </si>
  <si>
    <t>CAMINHÃO BITRUCK TRAÇÃO 8X2, PBT 29.000 KG, PESO BRUTO TOTAL COMBINADO (PBTC) *36.000* KG, POTÊNCIA 321 CV, INCLUSIVE PLATAFORMA GUINCHO-SOCORRO, COMPRIMENTO ÚTIL 10 M, LARGURA 2,60 M COM GUINCHO DE ARRASTE BASCULANTE - MANUTENÇÃO. AF_11/2025</t>
  </si>
  <si>
    <t>CAMINHÃO BITRUCK TRAÇÃO 8X2, PBT 29.000 KG, PESO BRUTO TOTAL COMBINADO (PBTC) *36.000* KG, POTÊNCIA 321 CV, INCLUSIVE PLATAFORMA GUINCHO-SOCORRO, COMPRIMENTO ÚTIL 10 M, LARGURA 2,60 M COM GUINCHO DE ARRASTE BASCULANTE - MATERIAIS NA OPERAÇÃO. AF_11/2025</t>
  </si>
  <si>
    <t>CAMINHÃO BITRUCK TRAÇÃO 8X2, PBT 29.000 KG, PESO BRUTO TOTAL COMBINADO (PBTC) *36.000* KG, POTÊNCIA 321 CV, INCLUSIVE PLATAFORMA SOBRE CHASSI, COMPRIMENTO ÚTIL 10 M, LARGURA 2,60 M COM GUINCHO DE ARRASTE E RAMPA COM ACIONAMENTO ELETRO-HIDRÁULICO - DEPRECIAÇÃO. AF_11/2025</t>
  </si>
  <si>
    <t>CAMINHÃO BITRUCK TRAÇÃO 8X2, PBT 29.000 KG, PESO BRUTO TOTAL COMBINADO (PBTC) *36.000* KG, POTÊNCIA 321 CV, INCLUSIVE PLATAFORMA SOBRE CHASSI, COMPRIMENTO ÚTIL 10 M, LARGURA 2,60 M COM GUINCHO DE ARRASTE E RAMPA COM ACIONAMENTO ELETRO-HIDRÁULICO - IMPOSTOS E SEGUROS. AF_11/2025</t>
  </si>
  <si>
    <t>CAMINHÃO BITRUCK TRAÇÃO 8X2, PBT 29.000 KG, PESO BRUTO TOTAL COMBINADO (PBTC) *36.000* KG, POTÊNCIA 321 CV, INCLUSIVE PLATAFORMA SOBRE CHASSI, COMPRIMENTO ÚTIL 10 M, LARGURA 2,60 M COM GUINCHO DE ARRASTE E RAMPA COM ACIONAMENTO ELETRO-HIDRÁULICO - JUROS. AF_11/2025</t>
  </si>
  <si>
    <t>CAMINHÃO BITRUCK TRAÇÃO 8X2, PBT 29.000 KG, PESO BRUTO TOTAL COMBINADO (PBTC) *36.000* KG, POTÊNCIA 321 CV, INCLUSIVE PLATAFORMA SOBRE CHASSI, COMPRIMENTO ÚTIL 10 M, LARGURA 2,60 M COM GUINCHO DE ARRASTE E RAMPA COM ACIONAMENTO ELETRO-HIDRÁULICO - MANUTENÇÃO. AF_11/2025</t>
  </si>
  <si>
    <t>CAMINHÃO BITRUCK TRAÇÃO 8X2, PBT 29.000 KG, PESO BRUTO TOTAL COMBINADO (PBTC) *36.000* KG, POTÊNCIA 321 CV, INCLUSIVE PLATAFORMA SOBRE CHASSI, COMPRIMENTO ÚTIL 10 M, LARGURA 2,60 M COM GUINCHO DE ARRASTE E RAMPA COM ACIONAMENTO ELETRO-HIDRÁULICO - MATERIAIS NA OPERAÇÃO. AF_11/2025</t>
  </si>
  <si>
    <t>CAMINHÃO PIPA 14.000 L TRUCADO, PESO BRUTO TOTAL 23.000 KG, CARGA ÚTIL MÁXIMA 16.540 KG, DISTÂNCIA ENTRE EIXOS 4,8 M, POTÊNCIA 256 CV, INCLUSIVE TANQUE DE AÇO PARA TRANSPORTE DE ÁGUA - DEPRECIAÇÃO. AF_10/2025</t>
  </si>
  <si>
    <t>CAMINHÃO PIPA 14.000 L TRUCADO, PESO BRUTO TOTAL 23.000 KG, CARGA ÚTIL MÁXIMA 16.540 KG, DISTÂNCIA ENTRE EIXOS 4,8 M, POTÊNCIA 256 CV, INCLUSIVE TANQUE DE AÇO PARA TRANSPORTE DE ÁGUA - IMPOSTOS E SEGUROS. AF_10/2025</t>
  </si>
  <si>
    <t>CAMINHÃO PIPA 14.000 L TRUCADO, PESO BRUTO TOTAL 23.000 KG, CARGA ÚTIL MÁXIMA 16.540 KG, DISTÂNCIA ENTRE EIXOS 4,8 M, POTÊNCIA 256 CV, INCLUSIVE TANQUE DE AÇO PARA TRANSPORTE DE ÁGUA - JUROS. AF_10/2025</t>
  </si>
  <si>
    <t>CAMINHÃO PIPA 14.000 L TRUCADO, PESO BRUTO TOTAL 23.000 KG, CARGA ÚTIL MÁXIMA 16.540 KG, DISTÂNCIA ENTRE EIXOS 4,8 M, POTÊNCIA 256 CV, INCLUSIVE TANQUE DE AÇO PARA TRANSPORTE DE ÁGUA - MANUTENÇÃO. AF_10/2025</t>
  </si>
  <si>
    <t>CAMINHÃO PIPA 14.000 L TRUCADO, PESO BRUTO TOTAL 23.000 KG, CARGA ÚTIL MÁXIMA 16.540 KG, DISTÂNCIA ENTRE EIXOS 4,8 M, POTÊNCIA 256 CV, INCLUSIVE TANQUE DE AÇO PARA TRANSPORTE DE ÁGUA - MATERIAIS NA OPERAÇÃO. AF_10/2025</t>
  </si>
  <si>
    <t>CAMINHÃO TOCO, PBT 16.000 KG, CARGA ÚTIL MÁX. 10.830 KG, DIST. ENTRE EIXOS 3,56 M, POTÊNCIA 226 CV, INCLUSIVE PLATAFORMA SOBRE CHASSI, COMPRIMENTO ÚTIL 10 M, LARGURA 2,60 M COM GUINCHO DE ARRASTE E RAMPA COM ACIONAMENTO ELETRO-HIDRÁULICO - DEPRECIAÇÃO. AF_11/2025</t>
  </si>
  <si>
    <t>CAMINHÃO TOCO, PBT 16.000 KG, CARGA ÚTIL MÁX. 10.830 KG, DIST. ENTRE EIXOS 3,56 M, POTÊNCIA 226 CV, INCLUSIVE PLATAFORMA SOBRE CHASSI, COMPRIMENTO ÚTIL 10 M, LARGURA 2,60 M COM GUINCHO DE ARRASTE E RAMPA COM ACIONAMENTO ELETRO-HIDRÁULICO - IMPOSTOS E SEGUROS. AF_11/2025</t>
  </si>
  <si>
    <t>CAMINHÃO TOCO, PBT 16.000 KG, CARGA ÚTIL MÁX. 10.830 KG, DIST. ENTRE EIXOS 3,56 M, POTÊNCIA 226 CV, INCLUSIVE PLATAFORMA SOBRE CHASSI, COMPRIMENTO ÚTIL 10 M, LARGURA 2,60 M COM GUINCHO DE ARRASTE E RAMPA COM ACIONAMENTO ELETRO-HIDRÁULICO - JUROS. AF_11/2025</t>
  </si>
  <si>
    <t>CAMINHÃO TOCO, PBT 16.000 KG, CARGA ÚTIL MÁX. 10.830 KG, DIST. ENTRE EIXOS 3,56 M, POTÊNCIA 226 CV, INCLUSIVE PLATAFORMA SOBRE CHASSI, COMPRIMENTO ÚTIL 10 M, LARGURA 2,60 M COM GUINCHO DE ARRASTE E RAMPA COM ACIONAMENTO ELETRO-HIDRÁULICO - MANUTENÇÃO. AF_11/2025</t>
  </si>
  <si>
    <t>CAMINHÃO TOCO, PBT 16.000 KG, CARGA ÚTIL MÁX. 10.830 KG, DIST. ENTRE EIXOS 3,56 M, POTÊNCIA 226 CV, INCLUSIVE PLATAFORMA SOBRE CHASSI, COMPRIMENTO ÚTIL 10 M, LARGURA 2,60 M COM GUINCHO DE ARRASTE E RAMPA COM ACIONAMENTO ELETRO-HIDRÁULICO - MATERIAIS NA OPERAÇÃO. AF_11/2025</t>
  </si>
  <si>
    <t>CAMINHÃO TOCO, PBT 23.000 KG, CARGA ÚTIL MÁX. 16.540 KG, DIST. ENTRE EIXOS 4,8 M, POTÊNCIA 256 CV, INCLUSIVE CARROCERIA FIXA ABERTA DE MADEIRA P/ TRANSPORTE GERAL DE CARGA SECA, DIMEN. APROX. 2,6 X 12,50 X 0,50 M - DEPRECIAÇÃO. AF_10/2025</t>
  </si>
  <si>
    <t>CAMINHÃO TOCO, PBT 23.000 KG, CARGA ÚTIL MÁX. 16.540 KG, DIST. ENTRE EIXOS 4,8 M, POTÊNCIA 256 CV, INCLUSIVE CARROCERIA FIXA ABERTA DE MADEIRA P/ TRANSPORTE GERAL DE CARGA SECA, DIMEN. APROX. 2,6 X 12,50 X 0,50 M - IMPOSTOS E SEGUROS. AF_10/2025</t>
  </si>
  <si>
    <t>CAMINHÃO TOCO, PBT 23.000 KG, CARGA ÚTIL MÁX. 16.540 KG, DIST. ENTRE EIXOS 4,8 M, POTÊNCIA 256 CV, INCLUSIVE CARROCERIA FIXA ABERTA DE MADEIRA P/ TRANSPORTE GERAL DE CARGA SECA, DIMEN. APROX. 2,6 X 12,50 X 0,50 M - JUROS. AF_10/2025</t>
  </si>
  <si>
    <t>CAMINHÃO TOCO, PBT 23.000 KG, CARGA ÚTIL MÁX. 16.540 KG, DIST. ENTRE EIXOS 4,8 M, POTÊNCIA 256 CV, INCLUSIVE CARROCERIA FIXA ABERTA DE MADEIRA P/ TRANSPORTE GERAL DE CARGA SECA, DIMEN. APROX. 2,6 X 12,50 X 0,50 M - MANUTENÇÃO. AF_10/2025</t>
  </si>
  <si>
    <t>CAMINHÃO TOCO, PBT 23.000 KG, CARGA ÚTIL MÁX. 16.540 KG, DIST. ENTRE EIXOS 4,8 M, POTÊNCIA 256 CV, INCLUSIVE CARROCERIA FIXA ABERTA DE MADEIRA P/ TRANSPORTE GERAL DE CARGA SECA, DIMEN. APROX. 2,6 X 12,50 X 0,50 M - MATERIAIS NA OPERAÇÃO. AF_10/2025</t>
  </si>
  <si>
    <t>CAMINHÃO TOCO, PBT 23.000 KG, CARGA ÚTIL MÁX. 16.540 KG, DIST. ENTRE EIXOS 4,80 M, POTÊNCIA 256 CV, INCLUSIVE PLATAFORMA GUINCHO-SOCORRO, COMPRIMENTO ÚTIL 10 M, LARGURA 2,60 M COM GUINCHO DE ARRASTE BASCULANTE - DEPRECIAÇÃO. AF_11/2025</t>
  </si>
  <si>
    <t>CAMINHÃO TOCO, PBT 23.000 KG, CARGA ÚTIL MÁX. 16.540 KG, DIST. ENTRE EIXOS 4,80 M, POTÊNCIA 256 CV, INCLUSIVE PLATAFORMA GUINCHO-SOCORRO, COMPRIMENTO ÚTIL 10 M, LARGURA 2,60 M COM GUINCHO DE ARRASTE BASCULANTE - IMPOSTOS E SEGUROS. AF_11/2025</t>
  </si>
  <si>
    <t>CAMINHÃO TOCO, PBT 23.000 KG, CARGA ÚTIL MÁX. 16.540 KG, DIST. ENTRE EIXOS 4,80 M, POTÊNCIA 256 CV, INCLUSIVE PLATAFORMA GUINCHO-SOCORRO, COMPRIMENTO ÚTIL 10 M, LARGURA 2,60 M COM GUINCHO DE ARRASTE BASCULANTE - JUROS. AF_11/2025</t>
  </si>
  <si>
    <t>CAMINHÃO TOCO, PBT 23.000 KG, CARGA ÚTIL MÁX. 16.540 KG, DIST. ENTRE EIXOS 4,80 M, POTÊNCIA 256 CV, INCLUSIVE PLATAFORMA GUINCHO-SOCORRO, COMPRIMENTO ÚTIL 10 M, LARGURA 2,60 M COM GUINCHO DE ARRASTE BASCULANTE - MANUTENÇÃO. AF_11/2025</t>
  </si>
  <si>
    <t>CAMINHÃO TOCO, PBT 23.000 KG, CARGA ÚTIL MÁX. 16.540 KG, DIST. ENTRE EIXOS 4,80 M, POTÊNCIA 256 CV, INCLUSIVE PLATAFORMA GUINCHO-SOCORRO, COMPRIMENTO ÚTIL 10 M, LARGURA 2,60 M COM GUINCHO DE ARRASTE BASCULANTE - MATERIAIS NA OPERAÇÃO. AF_11/2025</t>
  </si>
  <si>
    <t>CAMINHÃO TOCO, PBT 23.000 KG, CARGA ÚTIL MÁX. 16.540 KG, DIST. ENTRE EIXOS 4,80 M, POTÊNCIA 256 CV, INCLUSIVE PLATAFORMA SOBRE CHASSI, COMPRIMENTO ÚTIL 10 M, LARGURA 2,60 M COM GUINCHO DE ARRASTE E RAMPA COM ACIONAMENTO ELETRO-HIDRÁULICO - DEPRECIAÇÃO. AF_11/2025</t>
  </si>
  <si>
    <t>CAMINHÃO TOCO, PBT 23.000 KG, CARGA ÚTIL MÁX. 16.540 KG, DIST. ENTRE EIXOS 4,80 M, POTÊNCIA 256 CV, INCLUSIVE PLATAFORMA SOBRE CHASSI, COMPRIMENTO ÚTIL 10 M, LARGURA 2,60 M COM GUINCHO DE ARRASTE E RAMPA COM ACIONAMENTO ELETRO-HIDRÁULICO - IMPOSTOS E SEGUROS. AF_11/2025</t>
  </si>
  <si>
    <t>CAMINHÃO TOCO, PBT 23.000 KG, CARGA ÚTIL MÁX. 16.540 KG, DIST. ENTRE EIXOS 4,80 M, POTÊNCIA 256 CV, INCLUSIVE PLATAFORMA SOBRE CHASSI, COMPRIMENTO ÚTIL 10 M, LARGURA 2,60 M COM GUINCHO DE ARRASTE E RAMPA COM ACIONAMENTO ELETRO-HIDRÁULICO - JUROS. AF_11/2025</t>
  </si>
  <si>
    <t>CAMINHÃO TOCO, PBT 23.000 KG, CARGA ÚTIL MÁX. 16.540 KG, DIST. ENTRE EIXOS 4,80 M, POTÊNCIA 256 CV, INCLUSIVE PLATAFORMA SOBRE CHASSI, COMPRIMENTO ÚTIL 10 M, LARGURA 2,60 M COM GUINCHO DE ARRASTE E RAMPA COM ACIONAMENTO ELETRO-HIDRÁULICO - MANUTENÇÃO. AF_11/2025</t>
  </si>
  <si>
    <t>CAMINHÃO TOCO, PBT 23.000 KG, CARGA ÚTIL MÁX. 16.540 KG, DIST. ENTRE EIXOS 4,80 M, POTÊNCIA 256 CV, INCLUSIVE PLATAFORMA SOBRE CHASSI, COMPRIMENTO ÚTIL 10 M, LARGURA 2,60 M COM GUINCHO DE ARRASTE E RAMPA COM ACIONAMENTO ELETRO-HIDRÁULICO - MATERIAIS NA OPERAÇÃO. AF_11/2025</t>
  </si>
  <si>
    <t>CAVALO MECÂNICO TRAÇÃO 6X2, PBT COMBINADO 56.000 KG, CAPACIDADE MÁX. TRAÇÃO 66.000 KG, POTÊNCIA 360 CV, INCLUSIVE CARROCERIA FIXA ABERTA DE MADEIRA P/ TRANSPORTE GERAL DE CARGA SECA, DIMEN. APROX. 2,6 X 14,50 X 0,50 M - DEPRECIAÇÃO. AF_10/2025</t>
  </si>
  <si>
    <t>CAVALO MECÂNICO TRAÇÃO 6X2, PBT COMBINADO 56.000 KG, CAPACIDADE MÁX. TRAÇÃO 66.000 KG, POTÊNCIA 360 CV, INCLUSIVE CARROCERIA FIXA ABERTA DE MADEIRA P/ TRANSPORTE GERAL DE CARGA SECA, DIMEN. APROX. 2,6 X 14,50 X 0,50 M - IMPOSTOS E SEGUROS. AF_10/2025</t>
  </si>
  <si>
    <t>CAVALO MECÂNICO TRAÇÃO 6X2, PBT COMBINADO 56.000 KG, CAPACIDADE MÁX. TRAÇÃO 66.000 KG, POTÊNCIA 360 CV, INCLUSIVE CARROCERIA FIXA ABERTA DE MADEIRA P/ TRANSPORTE GERAL DE CARGA SECA, DIMEN. APROX. 2,6 X 14,50 X 0,50 M - JUROS. AF_10/2025</t>
  </si>
  <si>
    <t>CAVALO MECÂNICO TRAÇÃO 6X2, PBT COMBINADO 56.000 KG, CAPACIDADE MÁX. TRAÇÃO 66.000 KG, POTÊNCIA 360 CV, INCLUSIVE CARROCERIA FIXA ABERTA DE MADEIRA P/ TRANSPORTE GERAL DE CARGA SECA, DIMEN. APROX. 2,6 X 14,50 X 0,50 M - MANUTENÇÃO. AF_10/2025</t>
  </si>
  <si>
    <t>CAVALO MECÂNICO TRAÇÃO 6X2, PBT COMBINADO 56.000 KG, CAPACIDADE MÁX. TRAÇÃO 66.000 KG, POTÊNCIA 360 CV, INCLUSIVE CARROCERIA FIXA ABERTA DE MADEIRA P/ TRANSPORTE GERAL DE CARGA SECA, DIMEN. APROX. 2,6 X 14,50 X 0,50 M - MATERIAIS NA OPERAÇÃO. AF_10/2025</t>
  </si>
  <si>
    <t>CAVALO MECÂNICO TRAÇÃO 6X2, PBT COMBINADO 56.000 KG, CAPACIDADE MÁX. TRAÇÃO 66.000 KG, POTÊNCIA 360 CV, INCLUSIVE PRANCHA REBAIXADA 3 EIXOS, DIMENSÕES *17,33 X 3,00* M, COM RAMPA DE ACIONAMENTO HIDRÁULICO - DEPRECIAÇÃO. AF_11/2025</t>
  </si>
  <si>
    <t>CAVALO MECÂNICO TRAÇÃO 6X2, PBT COMBINADO 56.000 KG, CAPACIDADE MÁX. TRAÇÃO 66.000 KG, POTÊNCIA 360 CV, INCLUSIVE PRANCHA REBAIXADA 3 EIXOS, DIMENSÕES *17,33 X 3,00* M, COM RAMPA DE ACIONAMENTO HIDRÁULICO - IMPOSTOS E SEGUROS. AF_11/2025</t>
  </si>
  <si>
    <t>CAVALO MECÂNICO TRAÇÃO 6X2, PBT COMBINADO 56.000 KG, CAPACIDADE MÁX. TRAÇÃO 66.000 KG, POTÊNCIA 360 CV, INCLUSIVE PRANCHA REBAIXADA 3 EIXOS, DIMENSÕES *17,33 X 3,00* M, COM RAMPA DE ACIONAMENTO HIDRÁULICO - JUROS. AF_11/2025</t>
  </si>
  <si>
    <t>CAVALO MECÂNICO TRAÇÃO 6X2, PBT COMBINADO 56.000 KG, CAPACIDADE MÁX. TRAÇÃO 66.000 KG, POTÊNCIA 360 CV, INCLUSIVE PRANCHA REBAIXADA 3 EIXOS, DIMENSÕES *17,33 X 3,00* M, COM RAMPA DE ACIONAMENTO HIDRÁULICO - MANUTENÇÃO. AF_11/2025</t>
  </si>
  <si>
    <t>CAVALO MECÂNICO TRAÇÃO 6X2, PBT COMBINADO 56.000 KG, CAPACIDADE MÁX. TRAÇÃO 66.000 KG, POTÊNCIA 360 CV, INCLUSIVE PRANCHA REBAIXADA 3 EIXOS, DIMENSÕES *17,33 X 3,00* M, COM RAMPA DE ACIONAMENTO HIDRÁULICO - MATERIAIS NA OPERAÇÃO. AF_11/2025</t>
  </si>
  <si>
    <t>CAVALO MECÂNICO TRAÇÃO 6X2, PBT COMBINADO 56.000 KG, CAPACIDADE MÁX. TRAÇÃO 66.000 KG, POTÊNCIA 360 CV, INCLUSIVE PRANCHA RETA 3 EIXOS, COMPRIMENTO ÚTIL 11,3 M, PESCOÇO DE 3,5 M, LARGURA 3,00 M, COM RAMPA DE ACIONAMENTO HIDRÁULICO - DEPRECIAÇÃO. AF_11/2025</t>
  </si>
  <si>
    <t>CAVALO MECÂNICO TRAÇÃO 6X2, PBT COMBINADO 56.000 KG, CAPACIDADE MÁX. TRAÇÃO 66.000 KG, POTÊNCIA 360 CV, INCLUSIVE PRANCHA RETA 3 EIXOS, COMPRIMENTO ÚTIL 11,3 M, PESCOÇO DE 3,5 M, LARGURA 3,00 M, COM RAMPA DE ACIONAMENTO HIDRÁULICO - IMPOSTOS E SEGUROS. AF_11/2025</t>
  </si>
  <si>
    <t>CAVALO MECÂNICO TRAÇÃO 6X2, PBT COMBINADO 56.000 KG, CAPACIDADE MÁX. TRAÇÃO 66.000 KG, POTÊNCIA 360 CV, INCLUSIVE PRANCHA RETA 3 EIXOS, COMPRIMENTO ÚTIL 11,3 M, PESCOÇO DE 3,5 M, LARGURA 3,00 M, COM RAMPA DE ACIONAMENTO HIDRÁULICO - JUROS. AF_11/2025</t>
  </si>
  <si>
    <t>CAVALO MECÂNICO TRAÇÃO 6X2, PBT COMBINADO 56.000 KG, CAPACIDADE MÁX. TRAÇÃO 66.000 KG, POTÊNCIA 360 CV, INCLUSIVE PRANCHA RETA 3 EIXOS, COMPRIMENTO ÚTIL 11,3 M, PESCOÇO DE 3,5 M, LARGURA 3,00 M, COM RAMPA DE ACIONAMENTO HIDRÁULICO - MANUTENÇÃO. AF_11/2025</t>
  </si>
  <si>
    <t>CAVALO MECÂNICO TRAÇÃO 6X2, PBT COMBINADO 56.000 KG, CAPACIDADE MÁX. TRAÇÃO 66.000 KG, POTÊNCIA 360 CV, INCLUSIVE PRANCHA RETA 3 EIXOS, COMPRIMENTO ÚTIL 11,3 M, PESCOÇO DE 3,5 M, LARGURA 3,00 M, COM RAMPA DE ACIONAMENTO HIDRÁULICO - MATERIAIS NA OPERAÇÃO. AF_11/2025</t>
  </si>
  <si>
    <t>CORTADEIRA HIDRÁULICA DE VERGALHÃO, PARA AÇO DE DIÂMETRO ATÉ 50 MM, MOTOR ELÉTRICO TRIFÁSICO, POTÊNCIA DE 5,5 HP A 7,5 HP - DEPRECIAÇÃO. AF_12/2025</t>
  </si>
  <si>
    <t>CORTADEIRA HIDRÁULICA DE VERGALHÃO, PARA AÇO DE DIÂMETRO ATÉ 50 MM, MOTOR ELÉTRICO TRIFÁSICO, POTÊNCIA DE 5,5 HP A 7,5 HP - JUROS. AF_12/2025</t>
  </si>
  <si>
    <t>CORTADEIRA HIDRÁULICA DE VERGALHÃO, PARA AÇO DE DIÂMETRO ATÉ 50 MM, MOTOR ELÉTRICO TRIFÁSICO, POTÊNCIA DE 5,5 HP A 7,5 HP - MANUTENÇÃO. AF_12/2025</t>
  </si>
  <si>
    <t>CORTADEIRA HIDRÁULICA DE VERGALHÃO, PARA AÇO DE DIÂMETRO ATÉ 50 MM, MOTOR ELÉTRICO TRIFÁSICO, POTÊNCIA DE 5,5 HP A 7,5 HP - MATERIAIS NA OPERAÇÃO. AF_12/2025</t>
  </si>
  <si>
    <t>DOBRADEIRA ELETROMECÂNICA DE VERGALHÃO, PARA AÇO DE DIÂMETRO ATÉ 1 1/2", MOTOR ELÉTRICO TRIFÁSICO, POTÊNCIA DE 3 HP ATÉ 5 HP - DEPRECIAÇÃO. AF_12/2025</t>
  </si>
  <si>
    <t>DOBRADEIRA ELETROMECÂNICA DE VERGALHÃO, PARA AÇO DE DIÂMETRO ATÉ 1 1/2", MOTOR ELÉTRICO TRIFÁSICO, POTÊNCIA DE 3 HP ATÉ 5 HP - JUROS. AF_12/2025</t>
  </si>
  <si>
    <t>DOBRADEIRA ELETROMECÂNICA DE VERGALHÃO, PARA AÇO DE DIÂMETRO ATÉ 1 1/2", MOTOR ELÉTRICO TRIFÁSICO, POTÊNCIA DE 3 HP ATÉ 5 HP - MANUTENÇÃO. AF_12/2025</t>
  </si>
  <si>
    <t>DOBRADEIRA ELETROMECÂNICA DE VERGALHÃO, PARA AÇO DE DIÂMETRO ATÉ 1 1/2", MOTOR ELÉTRICO TRIFÁSICO, POTÊNCIA DE 3 HP ATÉ 5 HP - MATERIAIS NA OPERAÇÃO. AF_12/2025</t>
  </si>
  <si>
    <t>ESCAVADEIRA HIDRÁULICA SOBRE ESTEIRA, PESO OPERACIONAL 21,00 T, POTÊNCIA NOMINAL 155 HP, COM MARTELO VIBRATÓRIO HIDRÁULICO *1200 A 2200* KG - DEPRECIAÇÃO. AF_11/2025</t>
  </si>
  <si>
    <t>ESCAVADEIRA HIDRÁULICA SOBRE ESTEIRA, PESO OPERACIONAL 21,00 T, POTÊNCIA NOMINAL 155 HP, COM MARTELO VIBRATÓRIO HIDRÁULICO *1200 A 2200* KG - JUROS. AF_11/2025</t>
  </si>
  <si>
    <t>ESCAVADEIRA HIDRÁULICA SOBRE ESTEIRA, PESO OPERACIONAL 21,00 T, POTÊNCIA NOMINAL 155 HP, COM MARTELO VIBRATÓRIO HIDRÁULICO *1200 A 2200* KG - MANUTENÇÃO. AF_11/2025</t>
  </si>
  <si>
    <t>ESCAVADEIRA HIDRÁULICA SOBRE ESTEIRA, PESO OPERACIONAL 21,00 T, POTÊNCIA NOMINAL 155 HP, COM MARTELO VIBRATÓRIO HIDRÁULICO *1200 A 2200* KG - MATERIAIS NA OPERAÇÃO. AF_11/2025</t>
  </si>
  <si>
    <t>ESCAVADEIRA HIDRÁULICA SOBRE ESTEIRA, PESO OPERACIONAL 21,00 T, POTÊNCIA NOMINAL 155 HP, COM TORRE DE CRAVAÇÃO PARA EXECUÇÃO DE GEODRENO VERTICAL, LANÇA DE 32 M, PARA DRENO FIBROQUÍMICO DE LARGURA PADRÃO (100 MM) - DEPRECIAÇÃO. AF_12/2025</t>
  </si>
  <si>
    <t>ESCAVADEIRA HIDRÁULICA SOBRE ESTEIRA, PESO OPERACIONAL 21,00 T, POTÊNCIA NOMINAL 155 HP, COM TORRE DE CRAVAÇÃO PARA EXECUÇÃO DE GEODRENO VERTICAL, LANÇA DE 32 M, PARA DRENO FIBROQUÍMICO DE LARGURA PADRÃO (100 MM) - JUROS. AF_12/2025</t>
  </si>
  <si>
    <t>ESCAVADEIRA HIDRÁULICA SOBRE ESTEIRA, PESO OPERACIONAL 21,00 T, POTÊNCIA NOMINAL 155 HP, COM TORRE DE CRAVAÇÃO PARA EXECUÇÃO DE GEODRENO VERTICAL, LANÇA DE 32 M, PARA DRENO FIBROQUÍMICO DE LARGURA PADRÃO (100 MM) - MANUTENÇÃO. AF_12/2025</t>
  </si>
  <si>
    <t>ESCAVADEIRA HIDRÁULICA SOBRE ESTEIRA, PESO OPERACIONAL 21,00 T, POTÊNCIA NOMINAL 155 HP, COM TORRE DE CRAVAÇÃO PARA EXECUÇÃO DE GEODRENO VERTICAL, LANÇA DE 32 M, PARA DRENO FIBROQUÍMICO DE LARGURA PADRÃO (100 MM) - MATERIAIS NA OPERAÇÃO. AF_12/2025</t>
  </si>
  <si>
    <t>GUINDAUTO HIDRÁULICO, CAPACIDADE MÁXIMA DE CARGA 14340 KG, MOMENTO MÁXIMO DE CARGA 42,3 TM, ALCANCE MÁXIMO HORIZONTAL16,80 M, INCLUSIVE CAMINHÃO TOCO PBT 23.000 KG, POTÊNCIA DE 256 CV - DEPRECIAÇÃO. AF_10/2025</t>
  </si>
  <si>
    <t>GUINDAUTO HIDRÁULICO, CAPACIDADE MÁXIMA DE CARGA 14340 KG, MOMENTO MÁXIMO DE CARGA 42,3 TM, ALCANCE MÁXIMO HORIZONTAL16,80 M, INCLUSIVE CAMINHÃO TOCO PBT 23.000 KG, POTÊNCIA DE 256 CV - IMPOSTOS E SEGUROS. AF_10/2025</t>
  </si>
  <si>
    <t>GUINDAUTO HIDRÁULICO, CAPACIDADE MÁXIMA DE CARGA 14340 KG, MOMENTO MÁXIMO DE CARGA 42,3 TM, ALCANCE MÁXIMO HORIZONTAL16,80 M, INCLUSIVE CAMINHÃO TOCO PBT 23.000 KG, POTÊNCIA DE 256 CV - JUROS. AF_10/2025</t>
  </si>
  <si>
    <t>GUINDAUTO HIDRÁULICO, CAPACIDADE MÁXIMA DE CARGA 14340 KG, MOMENTO MÁXIMO DE CARGA 42,3 TM, ALCANCE MÁXIMO HORIZONTAL16,80 M, INCLUSIVE CAMINHÃO TOCO PBT 23.000 KG, POTÊNCIA DE 256 CV - MANUTENÇÃO. AF_10/2025</t>
  </si>
  <si>
    <t>GUINDAUTO HIDRÁULICO, CAPACIDADE MÁXIMA DE CARGA 14340 KG, MOMENTO MÁXIMO DE CARGA 42,3 TM, ALCANCE MÁXIMO HORIZONTAL16,80 M, INCLUSIVE CAMINHÃO TOCO PBT 23.000 KG, POTÊNCIA DE 256 CV - MATERIAIS NA OPERAÇÃO. AF_10/2025</t>
  </si>
  <si>
    <t>PENEIRA ROTATIVA COM MOTOR ELÉTRICO MONOFÁSICO DE *0,5 A 1,0* CV, CILINDRO COM DIÂMETRO DE *0,48 A 0,85* M E COMPRIMENTO DE *1,0 A 1,65* M - DEPRECIAÇÃO. AF_11/2025</t>
  </si>
  <si>
    <t>PENEIRA ROTATIVA COM MOTOR ELÉTRICO MONOFÁSICO DE *0,5 A 1,0* CV, CILINDRO COM DIÂMETRO DE *0,48 A 0,85* M E COMPRIMENTO DE *1,0 A 1,65* M - JUROS. AF_11/2025</t>
  </si>
  <si>
    <t>PENEIRA ROTATIVA COM MOTOR ELÉTRICO MONOFÁSICO DE *0,5 A 1,0* CV, CILINDRO COM DIÂMETRO DE *0,48 A 0,85* M E COMPRIMENTO DE *1,0 A 1,65* M - MANUTENÇÃO. AF_11/2025</t>
  </si>
  <si>
    <t>PENEIRA ROTATIVA COM MOTOR ELÉTRICO MONOFÁSICO DE *0,5 A 1,0* CV, CILINDRO COM DIÂMETRO DE *0,48 A 0,85* M E COMPRIMENTO DE *1,0 A 1,65* M - MATERIAIS NA OPERAÇÃO. AF_11/2025</t>
  </si>
  <si>
    <t>POLIGUINDASTE, CAPACIDADE MÁXIMA DE CARGA 8000 KG, PARA TRANSPORTE DE CAÇAMBAS ESTACIONÁRIAS, INCLUSIVE CAMINHÃO TOCO PBT 14.300 KG, POTÊNCIA DE 185 CV - DEPRECIAÇÃO. AF_10/2025</t>
  </si>
  <si>
    <t>POLIGUINDASTE, CAPACIDADE MÁXIMA DE CARGA 8000 KG, PARA TRANSPORTE DE CAÇAMBAS ESTACIONÁRIAS, INCLUSIVE CAMINHÃO TOCO PBT 14.300 KG, POTÊNCIA DE 185 CV - IMPOSTOS E SEGUROS. AF_10/2025</t>
  </si>
  <si>
    <t>POLIGUINDASTE, CAPACIDADE MÁXIMA DE CARGA 8000 KG, PARA TRANSPORTE DE CAÇAMBAS ESTACIONÁRIAS, INCLUSIVE CAMINHÃO TOCO PBT 14.300 KG, POTÊNCIA DE 185 CV - JUROS. AF_10/2025</t>
  </si>
  <si>
    <t>POLIGUINDASTE, CAPACIDADE MÁXIMA DE CARGA 8000 KG, PARA TRANSPORTE DE CAÇAMBAS ESTACIONÁRIAS, INCLUSIVE CAMINHÃO TOCO PBT 14.300 KG, POTÊNCIA DE 185 CV - MANUTENÇÃO. AF_10/2025</t>
  </si>
  <si>
    <t>POLIGUINDASTE, CAPACIDADE MÁXIMA DE CARGA 8000 KG, PARA TRANSPORTE DE CAÇAMBAS ESTACIONÁRIAS, INCLUSIVE CAMINHÃO TOCO PBT 14.300 KG, POTÊNCIA DE 185 CV - MATERIAIS NA OPERAÇÃO. AF_10/2025</t>
  </si>
  <si>
    <t>VIBROACABADORA DE ASFALTO SOBRE ESTEIRAS, LARG. PAVIM. 2,60 M A 5,75 M, POT. 110 HP, CAP. 450 T/ H - DEPRECIAÇÃO. AF_11/2025</t>
  </si>
  <si>
    <t>VIBROACABADORA DE ASFALTO SOBRE ESTEIRAS, LARG. PAVIM. 2,60 M A 5,75 M, POT. 110 HP, CAP. 450 T/ H - JUROS. AF_11/2025</t>
  </si>
  <si>
    <t>VIBROACABADORA DE ASFALTO SOBRE ESTEIRAS, LARG. PAVIM. 2,60 M A 5,75 M, POT. 110 HP, CAP. 450 T/ H - MANUTENÇÃO. AF_11/2025</t>
  </si>
  <si>
    <t>VIBROACABADORA DE ASFALTO SOBRE ESTEIRAS, LARG. PAVIM. 2,60 M A 5,75 M, POT. 110 HP, CAP. 450 T/ H - MATERIAIS NA OPERAÇÃO. AF_11/2025</t>
  </si>
  <si>
    <t>VIBROACABADORA DE ASFALTO SOBRE ESTEIRAS, LARG. PAVIM. MÁX. 8,00 M, POT. 100 KW/ 134 HP, CAP. 600 T/ H - DEPRECIAÇÃO. AF_11/2025</t>
  </si>
  <si>
    <t>VIBROACABADORA DE ASFALTO SOBRE ESTEIRAS, LARG. PAVIM. MÁX. 8,00 M, POT. 100 KW/ 134 HP, CAP. 600 T/ H - JUROS. AF_11/2025</t>
  </si>
  <si>
    <t>VIBROACABADORA DE ASFALTO SOBRE ESTEIRAS, LARG. PAVIM. MÁX. 8,00 M, POT. 100 KW/ 134 HP, CAP. 600 T/ H - MANUTENÇÃO. AF_11/2025</t>
  </si>
  <si>
    <t>VIBROACABADORA DE ASFALTO SOBRE ESTEIRAS, LARG. PAVIM. MÁX. 8,00 M, POT. 100 KW/ 134 HP, CAP. 600 T/ H - MATERIAIS NA OPERAÇÃO. AF_11/2025</t>
  </si>
  <si>
    <t>VIBROACABADORA DE ASFALTO SOBRE RODAS, LARGURA DE PAVIMENTAÇÃO DE 1,70 A 4,20 M, POTÊNCIA 78 KW/105 HP, CAPACIDADE 300 T/H - DEPRECIAÇÃO. AF_11/2025</t>
  </si>
  <si>
    <t>VIBROACABADORA DE ASFALTO SOBRE RODAS, LARGURA DE PAVIMENTAÇÃO DE 1,70 A 4,20 M, POTÊNCIA 78 KW/105 HP, CAPACIDADE 300 T/H - JUROS. AF_11/2025</t>
  </si>
  <si>
    <t>VIBROACABADORA DE ASFALTO SOBRE RODAS, LARGURA DE PAVIMENTAÇÃO DE 1,70 A 4,20 M, POTÊNCIA 78 KW/105 HP, CAPACIDADE 300 T/H - MANUTENÇÃO. AF_11/2025</t>
  </si>
  <si>
    <t>VIBROACABADORA DE ASFALTO SOBRE RODAS, LARGURA DE PAVIMENTAÇÃO DE 1,70 A 4,20 M, POTÊNCIA 78 KW/105 HP, CAPACIDADE 300 T/H - MATERIAIS NA OPERAÇÃO. AF_11/2025</t>
  </si>
  <si>
    <t>ACIONADOR MANUAL, TIPO COM SIRENE, SISTEMA CONVENCIONAL, FORNECIMENTO E INSTALAÇÃO. AF_12/2025</t>
  </si>
  <si>
    <t>ACIONADOR MANUAL, TIPO QUEBRA VIDRO COM MARTELINHO, SISTEMA CONVENCIONAL, FORNECIMENTO E INSTALAÇÃO. AF_12/2025</t>
  </si>
  <si>
    <t>ACIONADOR MANUAL, TIPO QUEBRA VIDRO COM MARTELINHO, SISTEMA ENDEREÇÁVEL, FORNECIMENTO E INSTALAÇÃO. AF_12/2025</t>
  </si>
  <si>
    <t>ACIONADOR MANUAL, TIPO REARMÁVEL, SISTEMA CONVENCIONAL, FORNECIMENTO E INSTALAÇÃO. AF_12/2025</t>
  </si>
  <si>
    <t>ACIONADOR MANUAL, TIPO REARMÁVEL, SISTEMA ENDEREÇÁVEL, FORNECIMENTO E INSTALAÇÃO. AF_12/2025</t>
  </si>
  <si>
    <t>CENTRAL DE ALARME DE 12 LAÇOS, SISTEMA CONVENCIONAL, COM ATÉ 20 DISPOSITIVOS POR LAÇO, FORNECIMENTO E INSTALAÇÃO. AF_12/2025</t>
  </si>
  <si>
    <t>CENTRAL DE ALARME DE 24 LAÇOS, SISTEMA CONVENCIONAL, COM ATÉ 20 DISPOSITIVOS POR LAÇO, FORNECIMENTO E INSTALAÇÃO. AF_12/2025</t>
  </si>
  <si>
    <t>CENTRAL DE ALARME DE 6 LAÇOS, SISTEMA CONVENCIONAL, COM ATÉ 20 DISPOSITIVOS POR LAÇO, FORNECIMENTO E INSTALAÇÃO. AF_12/2025</t>
  </si>
  <si>
    <t>CENTRAL DE ALARME DE INCÊNDIO ENDEREÇÁVEL PARA ATÉ 500 PONTOS, FORNECIMENTO E INSTALAÇÃO. AF_12/2025</t>
  </si>
  <si>
    <t>DETECTOR DE GÁS NATURAL E GLP BIVOLT COM LED INDICADOR E SIRENE EMBUTIDA, FORNECIMENTO E INSTALAÇÃO. AF_12/2025</t>
  </si>
  <si>
    <t>DETECTOR ÓPTICO DE FUMAÇA CONVENCIONAL, FORNECIMENTO E INSTALAÇÃO. AF_12/2025</t>
  </si>
  <si>
    <t>DETECTOR ÓPTICO DE FUMAÇA ENDEREÇÁVEL, FORNECIMENTO E INSTALAÇÃO. AF_12/2025</t>
  </si>
  <si>
    <t>SIRENE AUDIOVISUAL, SISTEMA CONVENCIONAL, FORNECIMENTO E INSTALAÇÃO. AF_12/2025</t>
  </si>
  <si>
    <t>SIRENE AUDIOVISUAL, SISTEMA ENDEREÇÁVEL, FORNECIMENTO E INSTALAÇÃO. AF_12/2025</t>
  </si>
  <si>
    <t>ASSENTAMENTO DE TUBO DRENO DE PEAD CORRUGADO EM GEOCOMPOSTO, DN 100 MM - FORNECIMENTO E INSTALAÇÃO. AF_01/2026</t>
  </si>
  <si>
    <t>ASSENTAMENTO DE TUBO DRENO DE PEAD CORRUGADO EM GEOCOMPOSTO, DN 160 MM - FORNECIMENTO E INSTALAÇÃO. AF_01/2026</t>
  </si>
  <si>
    <t>ASSENTAMENTO DE TUBO DRENO DE PEAD CORRUGADO EM GEOCOMPOSTO, DN 200 MM - FORNECIMENTO E INSTALAÇÃO. AF_01/2026</t>
  </si>
  <si>
    <t>ASSENTAMENTO DE TUBO DRENO DE PEAD CORRUGADO EM GEOCOMPOSTO, DN 65 MM - FORNECIMENTO E INSTALAÇÃO. AF_01/2026</t>
  </si>
  <si>
    <t>CONEXÃO TUBO CORRUGADO PEAD EM TUBO PVC PARA DRENAGEM DE GEOCOMPOSTO APENAS INSTALAÇÃO. AF_01/2026</t>
  </si>
  <si>
    <t>GEOCOMPOSTO COM DUAS FACES DE GEOTÊXTIL E NÚCLEO EM PEAD COM BOLSA PARA TUBO CORRUGADO PEAD PARA TRINCHEIRA DRENANTE - FORNECIMENTO E INSTALAÇÃO. AF_01/2026</t>
  </si>
  <si>
    <t>GEOCOMPOSTO COM DUAS FACES DE GEOTÊXTIL E NÚCLEO EM PEAD HORIZONTAL - FORNECIMENTO E INSTALAÇÃO. AF_01/2026</t>
  </si>
  <si>
    <t>GEOCOMPOSTO COM DUAS FACES DE GEOTÊXTIL E NÚCLEO EM PEAD VERTICAL FIXADO POR ADESIVO CONTATO - FORNECIMENTO E INSTALAÇÃO. AF_01/2026</t>
  </si>
  <si>
    <t>GEOCOMPOSTO COM DUAS FACES DE GEOTÊXTIL E NÚCLEO EM PEAD VERTICAL FIXADO POR FINCAPINO - FORNECIMENTO E INSTALAÇÃO. AF_01/2026</t>
  </si>
  <si>
    <t>GEOCOMPOSTO COM DUAS FACES DE GEOTÊXTIL E NÚCLEO EM PEAD VERTICAL FIXADO POR MADEIRA - FORNECIMENTO E INSTALAÇÃO. AF_01/2026</t>
  </si>
  <si>
    <t>GEOCOMPOSTO COM UMA FACE DE GEOTÊXTIL E NÚCLEO EM PEAD HORIZONTAL - FORNECIMENTO E INSTALAÇÃO. AF_01/2026</t>
  </si>
  <si>
    <t>GEOCOMPOSTO COM UMA FACE DE GEOTÊXTIL E NÚCLEO EM PEAD VERTICAL FIXADO POR ADESIVO CONTATO - FORNECIMENTO E INSTALAÇÃO. AF_01/2026</t>
  </si>
  <si>
    <t>GEOCOMPOSTO COM UMA FACE DE GEOTÊXTIL E NÚCLEO EM PEAD VERTICAL FIXADO POR FINCAPINO - FORNECIMENTO E INSTALAÇÃO. AF_01/2026</t>
  </si>
  <si>
    <t>GEOCOMPOSTO COM UMA FACE DE GEOTÊXTIL E NÚCLEO EM PEAD VERTICAL FIXADO POR MADEIRA - FORNECIMENTO E INSTALAÇÃO. AF_01/2026</t>
  </si>
  <si>
    <t>GEOCOMPOSTO COM UMA FACE DE GEOTÊXTIL, NÚCLEO EM PEAD E LONA PLÁSTICA IMPERMEÁVEL HORIZONTAL - FORNECIMENTO E INSTALAÇÃO. AF_01/2026</t>
  </si>
  <si>
    <t>GEOCOMPOSTO COM UMA FACE DE GEOTÊXTIL, NÚCLEO EM PEAD E LONA PLÁSTICA IMPERMEÁVEL VERTICAL FIXADO POR ADESIVO CONTATO - FORNECIMENTO E INSTALAÇÃO. AF_01/2026</t>
  </si>
  <si>
    <t>GEOCOMPOSTO COM UMA FACE DE GEOTÊXTIL, NÚCLEO EM PEAD E LONA PLÁSTICA IMPERMEÁVEL VERTICAL FIXADO POR FINCAPINO - FORNECIMENTO E INSTALAÇÃO. AF_01/2026</t>
  </si>
  <si>
    <t>GEOCOMPOSTO COM UMA FACE DE GEOTÊXTIL, NÚCLEO EM PEAD E LONA PLÁSTICA IMPERMEÁVEL VERTICAL FIXADO POR MADEIRA - FORNECIMENTO E INSTALAÇÃO. AF_01/2026</t>
  </si>
  <si>
    <t>AQUECEDOR SOLAR COMPACTO, KIT PARA 1 COLETOR SOLAR A VÁCUO COM SUPORTE, RESERVATÓRIO, FIXAÇÕES E TUBOS - FORNECIMENTO E INSTALAÇÃO. AF_01/2026</t>
  </si>
  <si>
    <t>AQUECEDOR SOLAR COMPACTO, KIT PARA 1 COLETOR SOLAR EM VIDRO TEMPERADO E SERPENTINA EM TUBO DE COBRE SEM SUPORTE, RESERVATÓRIO, FIXAÇÕES E TUBOS - FORNECIMENTO E INSTALAÇÃO. AF_01/2026</t>
  </si>
  <si>
    <t>BLOCO CONCRETADO NO LOCAL, 20X20X15CM, PARA BASE DE FIXAÇÃO DA ESTRUTURA SOLAR PARA LAJE DE CONCRETO - FORNECIMENTO E INSTALAÇÃO. AF_01/2026</t>
  </si>
  <si>
    <t>BOMBA DE CIRCULACAO DE ÁGUA QUENTE, 93 ATÉ 150 W - FORNECIMENTO E INSTALAÇÃO. AF_01/2026</t>
  </si>
  <si>
    <t>CABO FOTOVOLTAICO 4 MM² FORNECIMENTO E INSTALAÇÃO. AF_01/2026</t>
  </si>
  <si>
    <t>CABO FOTOVOLTAICO 6 MM² - FORNECIMENTO E INSTALAÇÃO. AF_01/2026</t>
  </si>
  <si>
    <t>COLETOR PARA AQUECIMENTO SOLAR A VÁCUO, COM SUPORTE PARA LAJE DE CONCRETO - FORNECIMENTO E INSTALAÇÃO. AF_01/2026</t>
  </si>
  <si>
    <t>COLETOR PARA AQUECIMENTO SOLAR A VÁCUO, COM SUPORTE PARA TELHA CERÂMICA - FORNECIMENTO E INSTALAÇÃO. AF_01/2026</t>
  </si>
  <si>
    <t>COLETOR PARA AQUECIMENTO SOLAR A VÁCUO, COM SUPORTE PARA TELHA METÁLICA - FORNECIMENTO E INSTALAÇÃO. AF_01/2026</t>
  </si>
  <si>
    <t>COLETOR PARA AQUECIMENTO SOLAR DE POLIPROPILENO PARA PISCINA 1,5 M2, COM SUPORTE PARA LAJE DE CONCRETO - FORNECIMENTO E INSTALAÇÃO. AF_01/2026</t>
  </si>
  <si>
    <t>COLETOR PARA AQUECIMENTO SOLAR DE POLIPROPILENO PARA PISCINA 1,5 M2, COM SUPORTE PARA TELHA CERÂMICA - FORNECIMENTO E INSTALAÇÃO. AF_01/2026</t>
  </si>
  <si>
    <t>COLETOR PARA AQUECIMENTO SOLAR DE POLIPROPILENO PARA PISCINA 1,5 M2, COM SUPORTE PARA TELHA METÁLICA - FORNECIMENTO E INSTALAÇÃO. AF_01/2026</t>
  </si>
  <si>
    <t>COLETOR PARA AQUECIMENTO SOLAR, EM VIDRO TEMPERADO E SERPENTINA EM TUBO DE COBRE, COM SUPORTE PARA LAJE DE CONCRETO - FORNECIMENTO E INSTALAÇÃO. AF_01/2026</t>
  </si>
  <si>
    <t>COLETOR PARA AQUECIMENTO SOLAR, EM VIDRO TEMPERADO E SERPENTINA EM TUBO DE COBRE, COM SUPORTE PARA TELHA CERÂMICA - FORNECIMENTO E INSTALAÇÃO. AF_01/2026</t>
  </si>
  <si>
    <t>COLETOR PARA AQUECIMENTO SOLAR, EM VIDRO TEMPERADO E SERPENTINA EM TUBO DE COBRE, COM SUPORTE PARA TELHA METÁLICA - FORNECIMENTO E INSTALAÇÃO. AF_01/2026</t>
  </si>
  <si>
    <t>CONTROLADOR POR DIFERENCIAL DE TEMPERATURA COM 2 SENSORES - FORNECIMENTO E INSTALAÇÃO. AF_01/2026</t>
  </si>
  <si>
    <t>INVERSOR SOLAR FOTOVOLTAICO 1 MPPT - FORNECIMENTO E INSTALAÇÃO. AF_01/2026</t>
  </si>
  <si>
    <t>INVERSOR SOLAR FOTOVOLTAICO 2 MPPT - FORNECIMENTO E INSTALAÇÃO. AF_01/2026</t>
  </si>
  <si>
    <t>MICRO INVERSOR SOLAR FOTOVOLTAICO - FORNECIMENTO E INSTALAÇÃO. AF_01/2026</t>
  </si>
  <si>
    <t>PAINEL SOLAR FOTOVOLTAICO, 2 X 1 M, COM SUPORTE PARA LAJE DE CONCRETO - FORNECIMENTO E INSTALAÇÃO. AF_01/2026</t>
  </si>
  <si>
    <t>PAINEL SOLAR FOTOVOLTAICO, 2 X 1 M, COM SUPORTE PARA TELHA CERÂMICA - FORNECIMENTO E INSTALAÇÃO. AF_01/2026</t>
  </si>
  <si>
    <t>PAINEL SOLAR FOTOVOLTAICO, 2 X 1 M, COM SUPORTE PARA TELHA METÁLICA - FORNECIMENTO E INSTALAÇÃO. AF_01/2026</t>
  </si>
  <si>
    <t>RESERVATÓRIO TÉRMICO/BOILER SOLAR EM AÇO INOX 1000 L - FORNECIMENTO E INSTALAÇÃO. AF_01/2026</t>
  </si>
  <si>
    <t>RESERVATÓRIO TÉRMICO/BOILER SOLAR EM AÇO INOX 1000 L COM 5 PLACAS COLETORAS EM VIDRO TEMPERADO COM SERPENTINA EM TUBO DE COBRE 2 X 1 M - FORNECIMENTO E INSTALAÇÃO. AF_01/2026</t>
  </si>
  <si>
    <t>RESERVATÓRIO TÉRMICO/BOILER SOLAR EM AÇO INOX 200 L - FORNECIMENTO E INSTALAÇÃO. AF_01/2026</t>
  </si>
  <si>
    <t>RESERVATÓRIO TÉRMICO/BOILER SOLAR EM AÇO INOX 3000 L - FORNECIMENTO E INSTALAÇÃO. AF_01/2026</t>
  </si>
  <si>
    <t>RESERVATÓRIO TÉRMICO/BOILER SOLAR EM AÇO INOX 400 L - FORNECIMENTO E INSTALAÇÃO. AF_01/2026</t>
  </si>
  <si>
    <t>RESERVATÓRIO TÉRMICO/BOILER SOLAR EM AÇO INOX 400 L COM 2 PLACAS COLETORAS EM VIDRO TEMPERADO COM SERPENTINA EM TUBO DE COBRE 2 X 1 M - FORNECIMENTO E INSTALAÇÃO. AF_01/2026</t>
  </si>
  <si>
    <t>RESERVATÓRIO TÉRMICO/BOILER SOLAR EM AÇO INOX 600 L - FORNECIMENTO E INSTALAÇÃO. AF_01/2026</t>
  </si>
  <si>
    <t>RESERVATÓRIO TÉRMICO/BOILER SOLAR EM AÇO INOX 600 L COM 3 PLACAS COLETORAS EM VIDRO TEMPERADO COM SERPENTINA EM TUBO DE COBRE 2 X 1 M - FORNECIMENTO E INSTALAÇÃO. AF_01/2026</t>
  </si>
  <si>
    <t>RESERVATÓRIO TÉRMICO/BOILER SOLAR EM AÇO INOX 800 L - FORNECIMENTO E INSTALAÇÃO. AF_01/2026</t>
  </si>
  <si>
    <t>RESERVATÓRIO TÉRMICO/BOILER SOLAR EM AÇO INOX 800 L COM 4 PLACAS COLETORAS EM VIDRO TEMPERADO COM SERPENTINA EM TUBO DE COBRE 2 X 1 M - FORNECIMENTO E INSTALAÇÃO. AF_01/2026</t>
  </si>
  <si>
    <t>STRING BOX PARA SISTEMA FOTOVOLTAICO - FORNECIMENTO E INSTALAÇÃO. AF_01/2026</t>
  </si>
  <si>
    <t>SUPORTE DE 1 COLETOR SOLAR PARA LAJE DE CONCRETO - FORNECIMENTO E INSTALAÇÃO. AF_01/2026</t>
  </si>
  <si>
    <t>SUPORTE DE 1 COLETOR SOLAR PARA TELHA CERÂMICA - FORNECIMENTO E INSTALAÇÃO. AF_01/2026</t>
  </si>
  <si>
    <t>SUPORTE DE 1 COLETOR SOLAR PARA TELHA METÁLICA - FORNECIMENTO E INSTALAÇÃO. AF_01/2026</t>
  </si>
  <si>
    <t>ESCORAMENTO DE VALA, TIPO BLINDADEM, COM PROFUNDIDADE DE 0 A 1,5 M, LARGURA MAIOR OU IGUAL A 1,5 M E MENOR QUE 2,5 M - EXECUÇÃO E FORNECIMENTO, INCLUI MATERIAL. AF_01/2026</t>
  </si>
  <si>
    <t>ESCORAMENTO DE VALA, TIPO BLINDAGEM COM PROFUNDIDADE DE 0 A 1,5 M, LARGURA MAIOR OU IGUAL A 1,5 M E MENOR QUE 2,5 M - EXECUÇÃO, NÃO INCLUI MATERIAL. AF_01/2026</t>
  </si>
  <si>
    <t>ESCORAMENTO DE VALA, TIPO BLINDAGEM, COM PROFUNDIDADE DE 0 A 1,5 M, LARGURA MENOR QUE 1,5 M - EXECUÇÃO E FORNECIMENTO, INCLUI MATERIAL. AF_01/2026</t>
  </si>
  <si>
    <t>ESCORAMENTO DE VALA, TIPO BLINDAGEM, COM PROFUNDIDADE DE 0 A 1,5 M, LARGURA MENOR QUE 1,5 M - EXECUÇÃO, NÃO INCLUI MATERIAL. AF_01/2026</t>
  </si>
  <si>
    <t>ESCORAMENTO DE VALA, TIPO BLINDAGEM, COM PROFUNDIDADE DE 1,5 A 3,0 M, LARGURA MAIOR OU IGUAL A 1,5 M E MENOR QUE 2,5 M - EXECUÇÃO E FORNECIMENTO, INCLUI MATERIAL. AF_01/2026</t>
  </si>
  <si>
    <t>ESCORAMENTO DE VALA, TIPO BLINDAGEM, COM PROFUNDIDADE DE 1,5 A 3,0 M, LARGURA MAIOR OU IGUAL A 1,5 M E MENOR QUE 2,5 M - EXECUÇÃO, NÃO INCLUI MATERIAL. AF_01/2026</t>
  </si>
  <si>
    <t>ESCORAMENTO DE VALA, TIPO BLINDAGEM, COM PROFUNDIDADE DE 1,5 A 3,0 M, LARGURA MENOR QUE 1,5 M - EXECUÇÃO E FORNECIMENTO, INCLUI MATERIAL. AF_01/2026</t>
  </si>
  <si>
    <t>ESCORAMENTO DE VALA, TIPO BLINDAGEM, COM PROFUNDIDADE DE 1,5 A 3,0 M, LARGURA MENOR QUE 1,5 M - EXECUÇÃO, NÃO INCLUI MATERIAL. AF_01/2026</t>
  </si>
  <si>
    <t>ESCORAMENTO DE VALA, TIPO BLINDAGEM, COM PROFUNDIDADE DE 3,0 A 4,5 M, LARGURA MAIOR OU IGUAL A 1,5 M E MENOR QUE 2,5 M - EXECUÇÃO E FORNECIMENTO, INCLUI MATERIAL. AF_01/2026</t>
  </si>
  <si>
    <t>ESCORAMENTO DE VALA, TIPO BLINDAGEM, COM PROFUNDIDADE DE 3,0 A 4,5 M, LARGURA MAIOR OU IGUAL A 1,5 M E MENOR QUE 2,5 M - EXECUÇÃO, NÃO INCLUI MATERIAL. AF_01/2026</t>
  </si>
  <si>
    <t>ESCORAMENTO DE VALA, TIPO BLINDAGEM, COM PROFUNDIDADE DE 3,0 A 4,5 M, LARGURA MENOR QUE 1,5 M - EXECUÇÃO E FORNECIMENTO, INCLUI MATERIAL. AF_01/2026</t>
  </si>
  <si>
    <t>ESCORAMENTO DE VALA, TIPO BLINDAGEM, COM PROFUNDIDADE DE 3,0 A 4,5 M, LARGURA MENOR QUE 1,5 M - EXECUÇÃO, NÃO INCLUI MATERIAL. AF_01/2026</t>
  </si>
  <si>
    <t>ESCORAMENTO DE VALA, TIPO CONTÍNUO COM PERFIL METÁLICO "U", COM PROFUNDIDADE DE 0 A 1,5 M, LARGURA MENOR QUE 1,5 M. AF_01/2026</t>
  </si>
  <si>
    <t>ESCORAMENTO DE VALA, TIPO CONTÍNUO COM PERFIL METÁLICO "U", COM PROFUNDIDADE DE 1,5 A 3,0 M, LARGURA MAIOR OU IGUAL 1,5 M E MENOR QUE 2,5 M. AF_01/2026</t>
  </si>
  <si>
    <t>ESCORAMENTO DE VALA, TIPO CONTÍNUO COM PERFIL METÁLICO "U", COM PROFUNDIDADE DE 1,5 A 3,0 M, LARGURA MENOR QUE 1,5 M. AF_01/2026</t>
  </si>
  <si>
    <t>ESCORAMENTO DE VALA, TIPO CONTÍNUO COM PERFIL METÁLICO "U", COM PROFUNDIDADE DE 3,0 A 4,5 M, LARGURA MAIOR OU IGUAL A 1,5 M E MENOR QUE 2,5 M. AF_01/2026</t>
  </si>
  <si>
    <t>ESCORAMENTO DE VALA, TIPO CONTÍNUO COM PERFIL METÁLICO "U", COM PROFUNDIDADE DE 3,0 A 4,5 M, LARGURA MENOR QUE 1,5 M. AF_01/2026</t>
  </si>
  <si>
    <t>ESCORAMENTO DE VALA, TIPO CONTÍNUO, COM PROFUNDIDADE DE 0 A 1,5 M, LARGURA MAIOR OU IGUAL A 1,5 M E MENOR QUE 2,5 M. AF_01/2026</t>
  </si>
  <si>
    <t>ESCORAMENTO DE VALA, TIPO CONTÍNUO, COM PROFUNDIDADE DE 0 A 1,5 M, LARGURA MENOR QUE 1,5 M. AF_01/2026</t>
  </si>
  <si>
    <t>ESCORAMENTO DE VALA, TIPO CONTÍNUO, COM PROFUNDIDADE DE 1,5 A 3,0 M, LARGURA MAIOR OU IGUAL A 1,5 M E MENOR QUE 2,5 M. AF_01/2026</t>
  </si>
  <si>
    <t>ESCORAMENTO DE VALA, TIPO CONTÍNUO, COM PROFUNDIDADE DE 1,5 M A 3,0 M, LARGURA MENOR QUE 1,5 M. AF_01/2026</t>
  </si>
  <si>
    <t>ESCORAMENTO DE VALA, TIPO CONTÍNUO, COM PROFUNDIDADE DE 3,0 A 4,5 M, LARGURA MAIOR OU IGUAL A 1,5 E MENOR QUE 2,5 M. AF_01/2026</t>
  </si>
  <si>
    <t>ESCORAMENTO DE VALA, TIPO CONTÍNUO, COM PROFUNDIDADE DE 3,0 A 4,5 M, LARGURA MENOR QUE 1,5 M. AF_01/2026</t>
  </si>
  <si>
    <t>ESCORAMENTO DE VALA, TIPO DESCONTÍNUO, COM PROFUNDIDADE DE 0 A 1,5 M, LARGURA MAIOR OU IGUAL A 1,5 M E MENOR QUE 2,5 M. AF_01/2026</t>
  </si>
  <si>
    <t>ESCORAMENTO DE VALA, TIPO DESCONTÍNUO, COM PROFUNDIDADE DE 0 A 1,5 M, LARGURA MENOR QUE 1,5 M. AF_01/2026</t>
  </si>
  <si>
    <t>ESCORAMENTO DE VALA, TIPO DESCONTÍNUO, COM PROFUNDIDADE DE 1,5 A 3,0 M, LARGURA MAIOR OU IGUAL A 1,5 M E MENOR QUE 2,5 M. AF_01/2026</t>
  </si>
  <si>
    <t>ESCORAMENTO DE VALA, TIPO DESCONTÍNUO, COM PROFUNDIDADE DE 1,5 M A 3,0 M, LARGURA MENOR QUE 1,5 M. AF_01/2026</t>
  </si>
  <si>
    <t>ESCORAMENTO DE VALA, TIPO DESCONTÍNUO, COM PROFUNDIDADE DE 3,0 A 4,5 M, LARGURA MAIOR OU IGUAL A 1,5 E MENOR QUE 2,5 M. AF_01/2026</t>
  </si>
  <si>
    <t>ESCORAMENTO DE VALA, TIPO DESCONTÍNUO, COM PROFUNDIDADE DE 3,0 A 4,5 M, LARGURA MENOR QUE 1,5 M. AF_01/2026</t>
  </si>
  <si>
    <t>ESCORAMENTO DE VALA, TIPO ESTACA PRANCHA METÁLICA CRAVADA, COM PROFUNDIDADE DE 0 A 1,5 M. AF_01/2026</t>
  </si>
  <si>
    <t>ESCORAMENTO DE VALA, TIPO ESTACA PRANCHA METÁLICA CRAVADA, COM PROFUNDIDADE DE 1,5 A 3 M. AF_01/2026</t>
  </si>
  <si>
    <t>ESCORAMENTO DE VALA, TIPO ESTACA PRANCHA METÁLICA CRAVADA, COM PROFUNDIDADE DE 3 A 4,5 M. AF_01/2026</t>
  </si>
  <si>
    <t>ESCORAMENTO DE VALA, TIPO PONTALETEAMENTO, COM PROFUNDIDADE DE 0 A 1,5 M, LARGURA MAIOR OU IGUAL A 1,5 M E MENOR QUE 2,5 M. AF_01/2026</t>
  </si>
  <si>
    <t>ESCORAMENTO DE VALA, TIPO PONTALETEAMENTO, COM PROFUNDIDADE DE 0 A 1,5 M, LARGURA MENOR QUE 1,5 M. AF_01/2026</t>
  </si>
  <si>
    <t>ESCORAMENTO DE VALA, TIPO PONTALETEAMENTO, COM PROFUNDIDADE DE 1,5 A 3,0 M, LARGURA MAIOR OU IGUAL A 1,5 M E MENOR QUE 2,5 M. AF_01/2026</t>
  </si>
  <si>
    <t>ESCORAMENTO DE VALA, TIPO PONTALETEAMENTO, COM PROFUNDIDADE DE 1,5 A 3,0 M, LARGURA MENOR QUE 1,5 M. AF_01/2026</t>
  </si>
  <si>
    <t>ESCORAMENTO DE VALA, TIPO PONTALETEAMENTO, COM PROFUNDIDADE DE 3,0 A 4,5 M, LARGURA MAIOR OU IGUAL A 1,5 M E MENOR QUE 2,5 M. AF_01/2026</t>
  </si>
  <si>
    <t>ESCORAMENTO DE VALA, TIPO PONTALETEAMENTO, COM PROFUNDIDADE DE 3,0 A 4,5 M, LARGURA MENOR QUE 1,5 M. AF_01/2026</t>
  </si>
  <si>
    <t>ESCORAMENTO DE VALA,TIPO CONTÍNUO COM PERFIL METÁLICO "U", COM PROFUNDIDADE DE 0 A 1,5 M, LARGURA MAIOR OU IGUAL A 1,5 E MENOR QUE 2,5 M. AF_01/2026</t>
  </si>
  <si>
    <t>PREPARO DE FUNDO DE VALA COM LARGURA MAIOR OU IGUAL A 1,5 M E MENOR QUE 2,5 M (ACERTO DO SOLO NATURAL), EM LOCAL COM NÍVEL ALTO DE INTERFERÊNCIA. AF_01/2026</t>
  </si>
  <si>
    <t>PREPARO DE FUNDO DE VALA COM LARGURA MAIOR OU IGUAL A 1,5 M E MENOR QUE 2,5 M (ACERTO DO SOLO NATURAL), EM LOCAL COM NÍVEL BAIXO DE INTERFERÊNCIA. AF_01/2026</t>
  </si>
  <si>
    <t>PREPARO DE FUNDO DE VALA COM LARGURA MAIOR OU IGUAL A 1,5 M E MENOR QUE 2,5 M, COM CAMADA DE AREIA, LANÇAMENTO MANUAL. AF_01/2026</t>
  </si>
  <si>
    <t>PREPARO DE FUNDO DE VALA COM LARGURA MAIOR OU IGUAL A 1,5 M E MENOR QUE 2,5 M, COM CAMADA DE AREIA, LANÇAMENTO MECANIZADO. AF_01/2026</t>
  </si>
  <si>
    <t>PREPARO DE FUNDO DE VALA COM LARGURA MAIOR OU IGUAL A 1,5 M E MENOR QUE 2,5 M, COM CAMADA DE BRITA, LANÇAMENTO MANUAL. AF_01/2026</t>
  </si>
  <si>
    <t>PREPARO DE FUNDO DE VALA COM LARGURA MAIOR OU IGUAL A 1,5 M E MENOR QUE 2,5 M, COM CAMADA DE BRITA, LANÇAMENTO MECANIZADO. AF_01/2026</t>
  </si>
  <si>
    <t>PREPARO DE FUNDO DE VALA COM LARGURA MENOR QUE 1,5 M (ACERTO DO SOLO NATURAL), EM LOCAL COM NÍVEL ALTO DE INTERFERÊNCIA. AF_01/2026</t>
  </si>
  <si>
    <t>PREPARO DE FUNDO DE VALA COM LARGURA MENOR QUE 1,5 M (ACERTO DO SOLO NATURAL), EM LOCAL COM NÍVEL BAIXO DE INTERFERÊNCIA. AF_01/2026</t>
  </si>
  <si>
    <t>PREPARO DE FUNDO DE VALA COM LARGURA MENOR QUE 1,5 M, COM CAMADA DE AREIA, LANÇAMENTO MANUAL. AF_01/2026</t>
  </si>
  <si>
    <t>PREPARO DE FUNDO DE VALA COM LARGURA MENOR QUE 1,5 M, COM CAMADA DE AREIA, LANÇAMENTO MECANIZADO. AF_01/2026</t>
  </si>
  <si>
    <t>PREPARO DE FUNDO DE VALA COM LARGURA MENOR QUE 1,5 M, COM CAMADA DE BRITA, LANÇAMENTO MANUAL. AF_01/2026</t>
  </si>
  <si>
    <t>PREPARO DE FUNDO DE VALA COM LARGURA MENOR QUE 1,5 M, COM CAMADA DE BRITA, LANÇAMENTO MECANIZADO. AF_01/2026</t>
  </si>
  <si>
    <t>ALIZAR DE 5X1,5CM PARA PORTA FIXADO COM PREGOS - SOMENTE INSTALAÇÃO. AF_10/2025</t>
  </si>
  <si>
    <t>ALIZAR DE 5X1,5CM PARA PORTA FIXADO COM PREGOS, PADRÃO MÉDIO - FORNECIMENTO E INSTALAÇÃO. AF_10/2025</t>
  </si>
  <si>
    <t>ALIZAR DE 5X1,5CM PARA PORTA FIXADO COM PREGOS, PADRÃO POPULAR - FORNECIMENTO E INSTALAÇÃO. AF_10/2025</t>
  </si>
  <si>
    <t>BATENTE DE AÇO GALVANIZADO, COM PERFIL PRÉ-FABRICADO, FIXADO COM ARGAMASSA, COM SOLDA, GRAPAS E FUROS PARA FERRAGENS INCLUSOS. AF_10/2025</t>
  </si>
  <si>
    <t>BATENTE PARA PORTA COM BANDEIRA, FIXAÇÃO COM PARAFUSO E BUCHA. AF_10/2025</t>
  </si>
  <si>
    <t>BATENTE PARA PORTA DE MADEIRA, FIXAÇÃO COM ARGAMASSA, PADRÃO MÉDIO - FORNECIMENTO E INSTALAÇÃO. AF_10/2025</t>
  </si>
  <si>
    <t>BATENTE PARA PORTA DE MADEIRA, FIXAÇÃO COM ARGAMASSA, PADRÃO POPULAR FORNECIMENTO E INSTALAÇÃO. AF_10/2025</t>
  </si>
  <si>
    <t>BATENTE PARA PORTA DE MADEIRA, PADRÃO MÉDIO - FORNECIMENTO E MONTAGEM. AF_10/2025</t>
  </si>
  <si>
    <t>BATENTE PARA PORTA DE MADEIRA, PADRÃO POPULAR - FORNECIMENTO E MONTAGEM. AF_10/2025</t>
  </si>
  <si>
    <t>CREMONA EM LATÃO CROMADO OU POLIDO, COMPLETA. AF_10/2025</t>
  </si>
  <si>
    <t>DOBRADIÇA EM AÇO/FERRO, 3" X 2 1/2", E=1,9 A 2MM, SEN ANEL, CROMADO OU ZINCADO, TAMPA BOLA, COM PARAFUSOS. AF_10/2025</t>
  </si>
  <si>
    <t>DOBRADIÇA TIPO VAI E VEM EM LATÃO POLIDO 3". AF_10/2025</t>
  </si>
  <si>
    <t>FECHADURA DE EMBUTIR COM CILINDRO, EXTERNA, COMPLETA, ACABAMENTO PADRÃO MÉDIO, INCLUSO EXECUÇÃO DE FURO - FORNECIMENTO E INSTALAÇÃO. AF_10/2025</t>
  </si>
  <si>
    <t>FECHADURA DE EMBUTIR COM CILINDRO, EXTERNA, COMPLETA, ACABAMENTO PADRÃO POPULAR, INCLUSO EXECUÇÃO DE FURO - FORNECIMENTO E INSTALAÇÃO. AF_10/2025</t>
  </si>
  <si>
    <t>FECHADURA DE EMBUTIR PARA PORTA DE BANHEIRO, COMPLETA, ACABAMENTO PADRÃO MÉDIO, INCLUSO EXECUÇÃO DE FURO - FORNECIMENTO E INSTALAÇÃO. AF_10/2025</t>
  </si>
  <si>
    <t>FECHADURA DE EMBUTIR PARA PORTA DE BANHEIRO, COMPLETA, ACABAMENTO PADRÃO POPULAR, INCLUSO EXECUÇÃO DE FURO - FORNECIMENTO E INSTALAÇÃO. AF_10/2025</t>
  </si>
  <si>
    <t>FECHADURA DE EMBUTIR PARA PORTAS INTERNAS, COMPLETA, ACABAMENTO PADRÃO MÉDIO, COM EXECUÇÃO DE FURO - FORNECIMENTO E INSTALAÇÃO. AF_10/2025</t>
  </si>
  <si>
    <t>FECHADURA DE EMBUTIR PARA PORTAS INTERNAS, COMPLETA, ACABAMENTO PADRÃO POPULAR, COM EXECUÇÃO DE FURO - FORNECIMENTO E INSTALAÇÃO. AF_10/2025</t>
  </si>
  <si>
    <t>FECHO DE EMBUTIR TIPO UNHA 22CM. AF_10/2025</t>
  </si>
  <si>
    <t>FECHO DE EMBUTIR TIPO UNHA 40CM. AF_10/2025</t>
  </si>
  <si>
    <t>KIT DE PORTA DE MADEIRA FRISADA, SEMI-OCA (LEVE OU MÉDIA), PADRÃO MÉDIO 60X210CM, ESPESSURA DE 3CM, ITENS INCLUSOS: DOBRADIÇAS, MONTAGEM E INSTALAÇÃO DO BATENTE, SEM FECHADURA - FORNECIMENTO E INSTALAÇÃO. AF_10/2025</t>
  </si>
  <si>
    <t>KIT DE PORTA DE MADEIRA FRISADA, SEMI-OCA (LEVE OU MÉDIA), PADRÃO MÉDIO, 60X210CM, ESPESSURA DE 3CM, ITENS INCLUSOS: DOBRADIÇAS, MONTAGEM E INSTALAÇÃO DE BATENTE, FECHADURA COM EXECUÇÃO DO FURO - FORNECIMENTO E INSTALAÇÃO. AF_10/2025</t>
  </si>
  <si>
    <t>KIT DE PORTA DE MADEIRA FRISADA, SEMI-OCA (LEVE OU MÉDIA), PADRÃO MÉDIO, 70X210CM, ESPESSURA DE 3CM, ITENS INCLUSOS: DOBRADIÇAS, MONTAGEM E INSTALAÇÃO DE BATENTE, FECHADURA COM EXECUÇÃO DO FURO - FORNECIMENTO E INSTALAÇÃO. AF_10/2025</t>
  </si>
  <si>
    <t>KIT DE PORTA DE MADEIRA FRISADA, SEMI-OCA (LEVE OU MÉDIA), PADRÃO MÉDIO, 70X210CM, ESPESSURA DE 3CM, ITENS INCLUSOS: DOBRADIÇAS, MONTAGEM E INSTALAÇÃO DO BATENTE, SEM FECHADURA - FORNECIMENTO E INSTALAÇÃO. AF_10/2025</t>
  </si>
  <si>
    <t>KIT DE PORTA DE MADEIRA FRISADA, SEMI-OCA (LEVE OU MÉDIA), PADRÃO MÉDIO, 80X210CM, ESPESSURA DE 3,5CM, ITENS INCLUSOS: DOBRADIÇAS, MONTAGEM E INSTALAÇÃO DE BATENTE, FECHADURA COM EXECUÇÃO DO FURO - FORNECIMENTO E INSTALAÇÃO. AF_10/2025</t>
  </si>
  <si>
    <t>KIT DE PORTA DE MADEIRA FRISADA, SEMI-OCA (LEVE OU MÉDIA), PADRÃO MÉDIO, 80X210CM, ESPESSURA DE 3,5CM, ITENS INCLUSOS: DOBRADIÇAS, MONTAGEM E INSTALAÇÃO DO BATENTE, SEM FECHADURA - FORNECIMENTO E INSTALAÇÃO. AF_10/2025</t>
  </si>
  <si>
    <t>KIT DE PORTA DE MADEIRA FRISADA, SEMI-OCA (LEVE OU MÉDIA), PADRÃO POPULAR, 60X210CM, ESPESSURA DE 3CM, ITENS INCLUSOS: DOBRADIÇAS, MONTAGEM E INSTALAÇÃO DE BATENTE, FECHADURA COM EXECUÇÃO DO FURO - FORNECIMENTO E INSTALAÇÃO. AF_10/2025</t>
  </si>
  <si>
    <t>KIT DE PORTA DE MADEIRA FRISADA, SEMI-OCA (LEVE OU MÉDIA), PADRÃO POPULAR, 60X210CM, ESPESSURA DE 3CM, ITENS INCLUSOS: DOBRADIÇAS, MONTAGEM E INSTALAÇÃO DO BATENTE, SEM FECHADURA - FORNECIMENTO E INSTALAÇÃO. AF_10/2025</t>
  </si>
  <si>
    <t>KIT DE PORTA DE MADEIRA FRISADA, SEMI-OCA (LEVE OU MÉDIA), PADRÃO POPULAR, 70X210CM, ESPESSURA DE 3CM, ITENS INCLUSOS: DOBRADIÇAS, MONTAGEM E INSTALAÇÃO DE BATENTE, FECHADURA COM EXECUÇÃO DO FURO - FORNECIMENTO E INSTALAÇÃO. AF_10/2025</t>
  </si>
  <si>
    <t>KIT DE PORTA DE MADEIRA FRISADA, SEMI-OCA (LEVE OU MÉDIA), PADRÃO POPULAR, 70X210CM, ESPESSURA DE 3CM, ITENS INCLUSOS: DOBRADIÇAS, MONTAGEM E INSTALAÇÃO DO BATENTE, SEM FECHADURA - FORNECIMENTO E INSTALAÇÃO. AF_10/2025</t>
  </si>
  <si>
    <t>KIT DE PORTA DE MADEIRA FRISADA, SEMI-OCA (LEVE OU MÉDIA), PADRÃO POPULAR, 80X210CM, ESPESSURA DE 3,5CM, ITENS INCLUSOS: DOBRADIÇAS, MONTAGEM E INSTALAÇÃO DE BATENTE, FECHADURA COM EXECUÇÃO DO FURO - FORNECIMENTO E INSTALAÇÃO. AF_10/2025</t>
  </si>
  <si>
    <t>KIT DE PORTA DE MADEIRA FRISADA, SEMI-OCA (LEVE OU MÉDIA), PADRÃO POPULAR, 80X210CM, ESPESSURA DE 3,5CM, ITENS INCLUSOS: DOBRADIÇAS, MONTAGEM E INSTALAÇÃO DO BATENTE, SEM FECHADURA - FORNECIMENTO E INSTALAÇÃO. AF_10/2025</t>
  </si>
  <si>
    <t>KIT DE PORTA DE MADEIRA PARA PINTURA, MACIÇA (PESADA OU SUPERPESADA), PADRÃO MÉDIO, 80X210CM, ESPESSURA DE 3,5CM, ITENS INCLUSOS: DOBRADIÇAS, MONTAGEM E INSTALAÇÃO DO BATENTE, FECHADURA COM EXECUÇÃO DO FURO - FORNECIMENTO E INSTALAÇÃO. AF_10/2025</t>
  </si>
  <si>
    <t>KIT DE PORTA DE MADEIRA PARA PINTURA, MACIÇA (PESADA OU SUPERPESADA), PADRÃO MÉDIO, 90X210CM, ESPESSURA DE 3,5CM, ITENS INCLUSOS: DOBRADIÇAS, MONTAGEM E INSTALAÇÃO DO BATENTE, FECHADURA COM EXECUÇÃO DO FURO - FORNECIMENTO E INSTALAÇÃO. AF_10/2025</t>
  </si>
  <si>
    <t>KIT DE PORTA DE MADEIRA PARA PINTURA, MACIÇA (PESADA OU SUPERPESADA), PADRÃO POPULAR, 80X210CM, ESPESSURA DE 3,5CM, ITENS INCLUSOS: DOBRADIÇAS, MONTAGEM E INSTALAÇÃO DO BATENTE, FECHADURA COM EXECUÇÃO DO FURO - FORNECIMENTO E INSTALAÇÃO. AF_10/2025</t>
  </si>
  <si>
    <t>KIT DE PORTA DE MADEIRA PARA PINTURA, MACIÇA (PESADA OU SUPERPESADA), PADRÃO POPULAR, 90X210CM, ESPESSURA DE 3,5CM, ITENS INCLUSOS: DOBRADIÇAS, MONTAGEM E INSTALAÇÃO DO BATENTE, FECHADURA COM EXECUÇÃO DO FURO - FORNECIMENTO E INSTALAÇÃO. AF_10/2025</t>
  </si>
  <si>
    <t>KIT DE PORTA DE MADEIRA PARA PINTURA, SEMI-OCA (LEVE OU MÉDIA), PADRÃO MÉDIO, 60X210CM, ESPESSURA DE 3,5CM, ITENS INCLUSOS: DOBRADIÇAS, MONTAGEM E INSTALAÇÃO DO BATENTE, FECHADURA COM EXECUÇÃO DO FURO - FORNECIMENTO E INSTALAÇÃO. AF_10/2025</t>
  </si>
  <si>
    <t>KIT DE PORTA DE MADEIRA PARA PINTURA, SEMI-OCA (LEVE OU MÉDIA), PADRÃO MÉDIO, 60X210CM, ESPESSURA DE 3,5CM, ITENS INCLUSOS: DOBRADIÇAS, MONTAGEM E INSTALAÇÃO DO BATENTE, SEM FECHADURA - FORNECIMENTO E INSTALAÇÃO. AF_10/2025</t>
  </si>
  <si>
    <t>KIT DE PORTA DE MADEIRA PARA PINTURA, SEMI-OCA (LEVE OU MÉDIA), PADRÃO MÉDIO, 70X210CM, ESPESSURA DE 3,5CM, ITENS INCLUSOS: DOBRADIÇAS, MONTAGEM E INSTALAÇÃO DO BATENTE, FECHADURA COM EXECUÇÃO DO FURO - FORNECIMENTO E INSTALAÇÃO. AF_10/2025</t>
  </si>
  <si>
    <t>KIT DE PORTA DE MADEIRA PARA PINTURA, SEMI-OCA (LEVE OU MÉDIA), PADRÃO MÉDIO, 70X210CM, ESPESSURA DE 3,5CM, ITENS INCLUSOS: DOBRADIÇAS, MONTAGEM E INSTALAÇÃO DO BATENTE, SEM FECHADURA - FORNECIMENTO E INSTALAÇÃO. AF_10/2025</t>
  </si>
  <si>
    <t>KIT DE PORTA DE MADEIRA PARA PINTURA, SEMI-OCA (LEVE OU MÉDIA), PADRÃO MÉDIO, 80X210CM, ESPESSURA DE 3,5CM, ITENS INCLUSOS: DOBRADIÇAS, MONTAGEM E INSTALAÇÃO DO BATENTE, FECHADURA COM EXECUÇÃO DO FURO - FORNECIMENTO E INSTALAÇÃO. AF_10/2025</t>
  </si>
  <si>
    <t>KIT DE PORTA DE MADEIRA PARA PINTURA, SEMI-OCA (LEVE OU MÉDIA), PADRÃO MÉDIO, 80X210CM, ESPESSURA DE 3,5CM, ITENS INCLUSOS: DOBRADIÇAS, MONTAGEM E INSTALAÇÃO DO BATENTE, SEM FECHADURA - FORNECIMENTO E INSTALAÇÃO. AF_10/2025</t>
  </si>
  <si>
    <t>KIT DE PORTA DE MADEIRA PARA PINTURA, SEMI-OCA (LEVE OU MÉDIA), PADRÃO MÉDIO, 90X210CM, ESPESSURA DE 3,5CM, ITENS INCLUSOS: DOBRADIÇAS, MONTAGEM E INSTALAÇÃO DO BATENTE, FECHADURA COM EXECUÇÃO DO FURO - FORNECIMENTO E INSTALAÇÃO. AF_10/2025</t>
  </si>
  <si>
    <t>KIT DE PORTA DE MADEIRA PARA PINTURA, SEMI-OCA (LEVE OU MÉDIA), PADRÃO MÉDIO, 90X210CM, ESPESSURA DE 3,5CM, ITENS INCLUSOS: DOBRADIÇAS, MONTAGEM E INSTALAÇÃO DO BATENTE, SEM FECHADURA - FORNECIMENTO E INSTALAÇÃO. AF_10/2025</t>
  </si>
  <si>
    <t>KIT DE PORTA DE MADEIRA PARA PINTURA, SEMI-OCA (LEVE OU MÉDIA), PADRÃO POPULAR, 60X210CM, ESPESSURA DE 3,5CM, ITENS INCLUSOS: DOBRADIÇAS, MONTAGEM E INSTALAÇÃO DO BATENTE, FECHADURA COM EXECUÇÃO DO FURO - FORNECIMENTO E INSTALAÇÃO. AF_10/2025</t>
  </si>
  <si>
    <t>KIT DE PORTA DE MADEIRA PARA PINTURA, SEMI-OCA (LEVE OU MÉDIA), PADRÃO POPULAR, 60X210CM, ESPESSURA DE 3,5CM, ITENS INCLUSOS: DOBRADIÇAS, MONTAGEM E INSTALAÇÃO DO BATENTE, SEM FECHADURA - FORNECIMENTO E INSTALAÇÃO. AF_10/2025</t>
  </si>
  <si>
    <t>KIT DE PORTA DE MADEIRA PARA PINTURA, SEMI-OCA (LEVE OU MÉDIA), PADRÃO POPULAR, 70X210CM, ESPESSURA DE 3,5CM, ITENS INCLUSOS: DOBRADIÇAS, MONTAGEM E INSTALAÇÃO DO BATENTE, FECHADURA COM EXECUÇÃO DO FURO - FORNECIMENTO E INSTALAÇÃO. AF_10/2025</t>
  </si>
  <si>
    <t>KIT DE PORTA DE MADEIRA PARA PINTURA, SEMI-OCA (LEVE OU MÉDIA), PADRÃO POPULAR, 70X210CM, ESPESSURA DE 3,5CM, ITENS INCLUSOS: DOBRADIÇAS, MONTAGEM E INSTALAÇÃO DO BATENTE, SEM FECHADURA - FORNECIMENTO E INSTALAÇÃO. AF_10/2025</t>
  </si>
  <si>
    <t>KIT DE PORTA DE MADEIRA PARA PINTURA, SEMI-OCA (LEVE OU MÉDIA), PADRÃO POPULAR, 80X210CM, ESPESSURA DE 3,5CM, ITENS INCLUSOS: DOBRADIÇAS, MONTAGEM E INSTALAÇÃO DO BATENTE, FECHADURA COM EXECUÇÃO DO FURO - FORNECIMENTO E INSTALAÇÃO. AF_10/2025</t>
  </si>
  <si>
    <t>KIT DE PORTA DE MADEIRA PARA PINTURA, SEMI-OCA (LEVE OU MÉDIA), PADRÃO POPULAR, 80X210CM, ESPESSURA DE 3,5CM, ITENS INCLUSOS: DOBRADIÇAS, MONTAGEM E INSTALAÇÃO DO BATENTE, SEM FECHADURA - FORNECIMENTO E INSTALAÇÃO. AF_10/2025</t>
  </si>
  <si>
    <t>KIT DE PORTA DE MADEIRA PARA PINTURA, SEMI-OCA (LEVE OU MÉDIA), PADRÃO POPULAR, 90X210CM, ESPESSURA DE 3,5CM, ITENS INCLUSOS: DOBRADIÇAS, MONTAGEM E INSTALAÇÃO DO BATENTE, FECHADURA COM EXECUÇÃO DO FURO - FORNECIMENTO E INSTALAÇÃO. AF_10/2025</t>
  </si>
  <si>
    <t>KIT DE PORTA DE MADEIRA PARA PINTURA, SEMI-OCA (LEVE OU MÉDIA), PADRÃO POPULAR, 90X210CM, ESPESSURA DE 3,5CM, ITENS INCLUSOS: DOBRADIÇAS, MONTAGEM E INSTALAÇÃO DO BATENTE, SEM FECHADURA - FORNECIMENTO E INSTALAÇÃO. AF_10/2025</t>
  </si>
  <si>
    <t>KIT DE PORTA DE MADEIRA PARA PINTURA, SEMI-OCA (PESADA OU SUPERPESADA), PADRÃO MÉDIO, 80X210CM, ESPESSURA DE 3,5CM, ITENS INCLUSOS: DOBRADIÇAS, MONTAGEM E INSTALAÇÃO DO BATENTE, SEM FECHADURA - FORNECIMENTO E INSTALAÇÃO. AF_10/2025</t>
  </si>
  <si>
    <t>KIT DE PORTA DE MADEIRA PARA PINTURA, SEMI-OCA (PESADA OU SUPERPESADA), PADRÃO MÉDIO, 90X210CM, ESPESSURA DE 3,5CM, ITENS INCLUSOS: DOBRADIÇAS, MONTAGEM E INSTALAÇÃO DO BATENTE, SEM FECHADURA - FORNECIMENTO E INSTALAÇÃO. AF_10/2025</t>
  </si>
  <si>
    <t>KIT DE PORTA DE MADEIRA PARA PINTURA, SEMI-OCA (PESADA OU SUPERPESADA), PADRÃO POPULAR, 80X210CM, ESPESSURA DE 3,5CM, ITENS INCLUSOS: DOBRADIÇAS, MONTAGEM E INSTALAÇÃO DO BATENTE, SEM FECHADURA - FORNECIMENTO E INSTALAÇÃO. AF_10/2025</t>
  </si>
  <si>
    <t>KIT DE PORTA DE MADEIRA PARA PINTURA, SEMI-OCA (PESADA OU SUPERPESADA), PADRÃO POPULAR, 90X210CM, ESPESSURA DE 3,5CM, ITENS INCLUSOS: DOBRADIÇAS, MONTAGEM E INSTALAÇÃO DO BATENTE, SEM FECHADURA - FORNECIMENTO E INSTALAÇÃO. AF_10/2025</t>
  </si>
  <si>
    <t>KIT DE PORTA DE MADEIRA PARA VERNIZ, SEMI-OCA (LEVE OU MÉDIA), PADRÃO MÉDIO, 60X210CM, ESPESSURA DE 3,5CM, ITENS INCLUSOS: DOBRADIÇAS, MONTAGEM E INSTALAÇÃO DE BATENTE, FECHADURA COM EXECUÇÃO DO FURO - FORNECIMENTO E INSTALAÇÃO. AF_10/2025</t>
  </si>
  <si>
    <t>KIT DE PORTA DE MADEIRA PARA VERNIZ, SEMI-OCA (LEVE OU MÉDIA), PADRÃO MÉDIO, 60X210CM, ESPESSURA DE 3,5CM, ITENS INCLUSOS: DOBRADIÇAS, MONTAGEM E INSTALAÇÃO DO BATENTE, SEM FECHADURA - FORNECIMENTO E INSTALAÇÃO. AF_10/2025</t>
  </si>
  <si>
    <t>KIT DE PORTA DE MADEIRA PARA VERNIZ, SEMI-OCA (LEVE OU MÉDIA), PADRÃO MÉDIO, 70X210CM, ESPESSURA DE 3,5CM, ITENS INCLUSOS: DOBRADIÇAS, MONTAGEM E INSTALAÇÃO DE BATENTE, FECHADURA COM EXECUÇÃO DO FURO - FORNECIMENTO E INSTALAÇÃO. AF_10/2025</t>
  </si>
  <si>
    <t>KIT DE PORTA DE MADEIRA PARA VERNIZ, SEMI-OCA (LEVE OU MÉDIA), PADRÃO MÉDIO, 70X210CM, ESPESSURA DE 3,5CM, ITENS INCLUSOS: DOBRADIÇAS, MONTAGEM E INSTALAÇÃO DO BATENTE, SEM FECHADURA - FORNECIMENTO E INSTALAÇÃO. AF_10/2025</t>
  </si>
  <si>
    <t>KIT DE PORTA DE MADEIRA PARA VERNIZ, SEMI-OCA (LEVE OU MÉDIA), PADRÃO MÉDIO, 80X210CM, ESPESSURA DE 3,5CM, ITENS INCLUSOS: DOBRADIÇAS, MONTAGEM E INSTALAÇÃO DE BATENTE, FECHADURA COM EXECUÇÃO DO FURO - FORNECIMENTO E INSTALAÇÃO. AF_10/2025</t>
  </si>
  <si>
    <t>KIT DE PORTA DE MADEIRA PARA VERNIZ, SEMI-OCA (LEVE OU MÉDIA), PADRÃO MÉDIO, 80X210CM, ESPESSURA DE 3,5CM, ITENS INCLUSOS: DOBRADIÇAS, MONTAGEM E INSTALAÇÃO DO BATENTE, SEM FECHADURA - FORNECIMENTO E INSTALAÇÃO. AF_10/2025</t>
  </si>
  <si>
    <t>KIT DE PORTA DE MADEIRA PARA VERNIZ, SEMI-OCA (LEVE OU MÉDIA), PADRÃO MÉDIO, 90X210CM, ESPESSURA DE 3,5CM, ITENS INCLUSOS: DOBRADIÇAS, MONTAGEM E INSTALAÇÃO DE BATENTE, FECHADURA COM EXECUÇÃO DO FURO - FORNECIMENTO E INSTALAÇÃO. AF_10/2025</t>
  </si>
  <si>
    <t>KIT DE PORTA DE MADEIRA PARA VERNIZ, SEMI-OCA (LEVE OU MÉDIA), PADRÃO MÉDIO, 90X210CM, ESPESSURA DE 3,5CM, ITENS INCLUSOS: DOBRADIÇAS, MONTAGEM E INSTALAÇÃO DO BATENTE, SEM FECHADURA - FORNECIMENTO E INSTALAÇÃO. AF_10/2025</t>
  </si>
  <si>
    <t>KIT DE PORTA DE MADEIRA PARA VERNIZ, SEMI-OCA (LEVE OU MÉDIA), PADRÃO POPULAR, 60X210CM, ESPESSURA DE 3,5CM, ITENS INCLUSOS: DOBRADIÇAS, MONTAGEM E INSTALAÇÃO DE BATENTE, FECHADURA COM EXECUÇÃO DO FURO - FORNECIMENTO E INSTALAÇÃO. AF_10/2025</t>
  </si>
  <si>
    <t>KIT DE PORTA DE MADEIRA PARA VERNIZ, SEMI-OCA (LEVE OU MÉDIA), PADRÃO POPULAR, 60X210CM, ESPESSURA DE 3,5CM, ITENS INCLUSOS: DOBRADIÇAS, MONTAGEM E INSTALAÇÃO DO BATENTE, SEM FECHADURA - FORNECIMENTO E INSTALAÇÃO. AF_10/2025</t>
  </si>
  <si>
    <t>KIT DE PORTA DE MADEIRA PARA VERNIZ, SEMI-OCA (LEVE OU MÉDIA), PADRÃO POPULAR, 70X210CM, ESPESSURA DE 3,5CM, ITENS INCLUSOS: DOBRADIÇAS, MONTAGEM E INSTALAÇÃO DE BATENTE, FECHADURA COM EXECUÇÃO DO FURO - FORNECIMENTO E INSTALAÇÃO. AF_10/2025</t>
  </si>
  <si>
    <t>KIT DE PORTA DE MADEIRA PARA VERNIZ, SEMI-OCA (LEVE OU MÉDIA), PADRÃO POPULAR, 70X210CM, ESPESSURA DE 3,5CM, ITENS INCLUSOS: DOBRADIÇAS, MONTAGEM E INSTALAÇÃO DO BATENTE, SEM FECHADURA - FORNECIMENTO E INSTALAÇÃO. AF_10/2025</t>
  </si>
  <si>
    <t>KIT DE PORTA DE MADEIRA PARA VERNIZ, SEMI-OCA (LEVE OU MÉDIA), PADRÃO POPULAR, 80X210CM, ESPESSURA DE 3,5CM, ITENS INCLUSOS: DOBRADIÇAS, MONTAGEM E INSTALAÇÃO DE BATENTE, FECHADURA COM EXECUÇÃO DO FURO - FORNECIMENTO E INSTALAÇÃO. AF_10/2025</t>
  </si>
  <si>
    <t>KIT DE PORTA DE MADEIRA PARA VERNIZ, SEMI-OCA (LEVE OU MÉDIA), PADRÃO POPULAR, 80X210CM, ESPESSURA DE 3,5CM, ITENS INCLUSOS: DOBRADIÇAS, MONTAGEM E INSTALAÇÃO DO BATENTE, SEM FECHADURA - FORNECIMENTO E INSTALAÇÃO. AF_10/2025</t>
  </si>
  <si>
    <t>KIT DE PORTA DE MADEIRA PARA VERNIZ, SEMI-OCA (LEVE OU MÉDIA), PADRÃO POPULAR, 90X210CM, ESPESSURA DE 3,5CM, ITENS INCLUSOS: DOBRADIÇAS, MONTAGEM E INSTALAÇÃO DE BATENTE, FECHADURA COM EXECUÇÃO DO FURO - FORNECIMENTO E INSTALAÇÃO. AF_10/2025</t>
  </si>
  <si>
    <t>KIT DE PORTA DE MADEIRA PARA VERNIZ, SEMI-OCA (LEVE OU MÉDIA), PADRÃO POPULAR, 90X210CM, ESPESSURA DE 3,5CM, ITENS INCLUSOS: DOBRADIÇAS, MONTAGEM E INSTALAÇÃO DO BATENTE, SEM FECHADURA - FORNECIMENTO E INSTALAÇÃO. AF_10/2025</t>
  </si>
  <si>
    <t>KIT DE PORTA DE MADEIRA TIPO MEXICANA, MACIÇA (PESADA OU SUPERPESADA), PADRÃO MÉDIO, 80X210CM, ESPESSURA DE 3,5CM, ITENS INCLUSOS: DOBRADIÇAS, MONTAGEM E INSTALAÇÃO DE BATENTE, FECHADURA COM EXECUÇÃO DO FURO - FORNECIMENTO E INSTALAÇÃO. AF_10/2025</t>
  </si>
  <si>
    <t>KIT DE PORTA DE MADEIRA TIPO MEXICANA, MACIÇA (PESADA OU SUPERPESADA), PADRÃO MÉDIO, 80X210CM, ESPESSURA DE 3,5CM, ITENS INCLUSOS: DOBRADIÇAS, MONTAGEM E INSTALAÇÃO DO BATENTE, SEM FECHADURA - FORNECIMENTO E INSTALAÇÃO. AF_10/2025</t>
  </si>
  <si>
    <t>KIT DE PORTA DE MADEIRA TIPO MEXICANA, MACIÇA (PESADA OU SUPERPESADA), PADRÃO POPULAR, 80X210CM, ESPESSURA DE 3,5CM, ITENS INCLUSOS: DOBRADIÇAS, MONTAGEM E INSTALAÇÃO DE BATENTE, FECHADURA COM EXECUÇÃO DO FURO - FORNECIMENTO E INSTALAÇÃO. AF_10/2025</t>
  </si>
  <si>
    <t>KIT DE PORTA DE MADEIRA TIPO MEXICANA, MACIÇA (PESADA OU SUPERPESADA), PADRÃO POPULAR, 80X210CM, ESPESSURA DE 3,5CM, ITENS INCLUSOS: DOBRADIÇAS, MONTAGEM E INSTALAÇÃO DO BATENTE, SEM FECHADURA - FORNECIMENTO E INSTALAÇÃO. AF_10/2025</t>
  </si>
  <si>
    <t>KIT DE PORTA DE MADEIRA TIPO VENEZIANA, 80X210CM (ESPESSURA DE 3CM), PADRÃO MÉDIO, ITENS INCLUSOS: DOBRADIÇAS, MONTAGEM E INSTALAÇÃO DE BATENTE, FECHADURA COM EXECUÇÃO DO FURO - FORNECIMENTO E INSTALAÇÃO. AF_10/2025</t>
  </si>
  <si>
    <t>KIT DE PORTA DE MADEIRA TIPO VENEZIANA, 80X210CM (ESPESSURA DE 3CM), PADRÃO POPULAR, ITENS INCLUSOS: DOBRADIÇAS, MONTAGEM E INSTALAÇÃO DE BATENTE, FECHADURA COM EXECUÇÃO DO FURO - FORNECIMENTO E INSTALAÇÃO. AF_10/2025</t>
  </si>
  <si>
    <t>KIT DE PORTA DE MADEIRA TIPO VENEZIANA, PADRÃO MÉDIO, 80X210CM, ESPESSURA DE 3CM, ITENS INCLUSOS: DOBRADIÇAS, MONTAGEM E INSTALAÇÃO DO BATENTE, SEM FECHADURA - FORNECIMENTO E INSTALAÇÃO. AF_10/2025</t>
  </si>
  <si>
    <t>KIT DE PORTA DE MADEIRA TIPO VENEZIANA, PADRÃO POPULAR, 80X210CM, ESPESSURA DE 3CM, ITENS INCLUSOS: DOBRADIÇAS, MONTAGEM E INSTALAÇÃO DO BATENTE, SEM FECHADURA - FORNECIMENTO E INSTALAÇÃO. AF_10/2025</t>
  </si>
  <si>
    <t>KIT DE PORTA-PRONTA DE MADEIRA EM ACABAMENTO MELAMÍNICO BRANCO, FOLHA LEVE OU MÉDIA, 60X210CM, EXCLUSIVE FECHADURA, FIXAÇÃO COM PREENCHIMENTO PARCIAL DE ESPUMA EXPANSIVA - FORNECIMENTO E INSTALAÇÃO. AF_10/2025</t>
  </si>
  <si>
    <t>KIT DE PORTA-PRONTA DE MADEIRA EM ACABAMENTO MELAMÍNICO BRANCO, FOLHA LEVE OU MÉDIA, 70X210CM, EXCLUSIVE FECHADURA, FIXAÇÃO COM PREENCHIMENTO PARCIAL DE ESPUMA EXPANSIVA - FORNECIMENTO E INSTALAÇÃO. AF_10/2025</t>
  </si>
  <si>
    <t>KIT DE PORTA-PRONTA DE MADEIRA EM ACABAMENTO MELAMÍNICO BRANCO, FOLHA LEVE OU MÉDIA, 80X210CM, EXCLUSIVE FECHADURA, FIXAÇÃO COM PREENCHIMENTO PARCIAL DE ESPUMA EXPANSIVA - FORNECIMENTO E INSTALAÇÃO. AF_10/2025</t>
  </si>
  <si>
    <t>KIT DE PORTA-PRONTA DE MADEIRA EM ACABAMENTO MELAMÍNICO BRANCO, FOLHA LEVE OU MÉDIA, 90X210, EXCLUSIVE FECHADURA, FIXAÇÃO COM PREENCHIMENTO TOTAL DE ESPUMA EXPANSIVA - FORNECIMENTO E INSTALAÇÃO. AF_10/2025</t>
  </si>
  <si>
    <t>KIT DE PORTA-PRONTA DE MADEIRA EM ACABAMENTO MELAMÍNICO BRANCO, FOLHA LEVE OU MÉDIA, E BATENTE METÁLICO, 60X210CM, FIXAÇÃO COM ARGAMASSA - FORNECIMENTO E INSTALAÇÃO. AF_10/2025</t>
  </si>
  <si>
    <t>KIT DE PORTA-PRONTA DE MADEIRA EM ACABAMENTO MELAMÍNICO BRANCO, FOLHA LEVE OU MÉDIA, E BATENTE METÁLICO, 80X210CM, FIXAÇÃO COM ARGAMASSA - FORNECIMENTO E INSTALAÇÃO. AF_10/2025</t>
  </si>
  <si>
    <t>KIT DE PORTA-PRONTA DE MADEIRA EM ACABAMENTO MELAMÍNICO BRANCO, FOLHA LEVE OU MÉDIA, E BATENTE METÁLICO, 90X210CM, FIXAÇÃO COM ARGAMASSA - FORNECIMENTO E INSTALAÇÃO. AF_10/2025</t>
  </si>
  <si>
    <t>KIT DE PORTA-PRONTA DE MADEIRA EM ACABAMENTO MELAMÍNICO BRANCO, FOLHA PESADA OU SUPERPESADA, 80X210CM, FIXAÇÃO COM PREENCHIMENTO PARCIAL DE ESPUMA EXPANSIVA - FORNECIMENTO E INSTALAÇÃO. AF_10/2025</t>
  </si>
  <si>
    <t>KIT DE PORTA-PRONTA DE MADEIRA EM ACABAMENTO MELAMÍNICO BRANCO, FOLHA PESADA OU SUPERPESADA, 90X210CM, FIXAÇÃO COM PREENCHIMENTO TOTAL DE ESPUMA EXPANSIVA - FORNECIMENTO E INSTALAÇÃO. AF_10/2025</t>
  </si>
  <si>
    <t>KIT DE PORTA-PRONTA DE MADEIRA EM ACABAMENTO MELAMÍNICO BRANCO, FOLHA PESADA OU SUPERPESADA, E BATENTE METÁLICO, 80X210CM, FIXAÇÃO COM ARGAMASSA - FORNECIMENTO E INSTALAÇÃO. AF_10/2025</t>
  </si>
  <si>
    <t>KIT DE PORTA-PRONTA DE MADEIRA EM ACABAMENTO MELAMÍNICO BRANCO, FOLHA PESADA OU SUPERPESADA, E BATENTE METÁLICO, 90X210CM, FIXAÇÃO COM ARGAMASSA - FORNECIMENTO E INSTALAÇÃO. AF_10/2025</t>
  </si>
  <si>
    <t>PORTA CADEADO ZINCADO OXIDADO PRETO COM CADEADO DE AÇO INOX, LARGURA DE *50* MM. AF_10/2025</t>
  </si>
  <si>
    <t>PORTA CORTA-FOGO 160X210X5CM COM BARRA ANTI PÂNICO - FORNECIMENTO E INSTALAÇÃO. AF_10/2025</t>
  </si>
  <si>
    <t>PORTA CORTA-FOGO 80X210X5CM - FORNECIMENTO E INSTALAÇÃO. AF_10/2025</t>
  </si>
  <si>
    <t>PORTA CORTA-FOGO 80X210X5CM COM BARRA ANTI PÂNICO - FORNECIMENTO E INSTALAÇÃO. AF_10/2025</t>
  </si>
  <si>
    <t>PORTA CORTA-FOGO 90X210X5CM - FORNECIMENTO E INSTALAÇÃO. AF_10/2025</t>
  </si>
  <si>
    <t>PORTA DE ALUMÍNIO DE ABRIR PARA VIDRO SEM GUARNIÇÃO, 87X210CM, FIXAÇÃO COM PARAFUSOS, INCLUSIVE VIDROS - FORNECIMENTO E INSTALAÇÃO. AF_10/2025</t>
  </si>
  <si>
    <t>PORTA DE ALUMÍNIO DE ABRIR, P/ VIDRO, C/ GUARNIÇÃO, 87X210CM, FIXAÇÃO COM ARGAMASSA. AF_10/2025</t>
  </si>
  <si>
    <t>PORTA DE AÇO DE ABRIR, P/ VIDRO, C/ GUARNIÇÃO, 90X210CM, FIXAÇÃO COM ARGAMASSA. AF_10/2025</t>
  </si>
  <si>
    <t>PORTA DE CORRER DE ALUMÍNIO, COM DUAS FOLHAS PARA VIDRO, INCLUSO VIDRO LISO INCOLOR, FECHADURA E PUXADOR, SEM ALIZAR. AF_10/2025</t>
  </si>
  <si>
    <t>PORTA DE CORRER DE MADEIRA, FECHADURA E PUXADOR, COM ALIZAR. AF_10/2025</t>
  </si>
  <si>
    <t>PORTA DE FERRO, DE ABRIR, TIPO GRADE COM CHAPA, COM GUARNIÇÕES. AF_10/2025</t>
  </si>
  <si>
    <t>PORTA DE MADEIRA COMPENSADA LISA PARA PINTURA, 120X210X3,5CM, 2 FOLHAS, INCLUSO ADUELA 2A, ALIZAR 2A E DOBRADIÇAS. AF_10/2025</t>
  </si>
  <si>
    <t>PORTA DE MADEIRA FRISADA, SEMI-OCA (LEVE OU MÉDIA), 60X210CM, ESPESSURA DE 3,5CM, INCLUSO DOBRADIÇAS - FORNECIMENTO E INSTALAÇÃO. AF_10/2025</t>
  </si>
  <si>
    <t>PORTA DE MADEIRA FRISADA, SEMI-OCA (LEVE OU MÉDIA), 70X210CM, ESPESSURA DE 3,5CM, INCLUSO DOBRADIÇAS - FORNECIMENTO E INSTALAÇÃO. AF_10/2025</t>
  </si>
  <si>
    <t>PORTA DE MADEIRA FRISADA, SEMI-OCA (LEVE OU MÉDIA), 80X210CM, ESPESSURA DE 3,5CM, INCLUSO DOBRADIÇAS - FORNECIMENTO E INSTALAÇÃO. AF_10/2025</t>
  </si>
  <si>
    <t>PORTA DE MADEIRA PARA PINTURA, SEMI-OCA (LEVE OU MÉDIA), 60X210CM, ESPESSURA DE 3,5CM, INCLUSO DOBRADIÇAS - FORNECIMENTO E INSTALAÇÃO. AF_10/2025</t>
  </si>
  <si>
    <t>PORTA DE MADEIRA PARA PINTURA, SEMI-OCA (LEVE OU MÉDIA), 70X210CM, ESPESSURA DE 3,5CM, INCLUSO DOBRADIÇAS - FORNECIMENTO E INSTALAÇÃO. AF_10/2025</t>
  </si>
  <si>
    <t>PORTA DE MADEIRA PARA PINTURA, SEMI-OCA (LEVE OU MÉDIA), 80X210CM, ESPESSURA DE 3,5CM, INCLUSO DOBRADIÇAS - FORNECIMENTO E INSTALAÇÃO. AF_10/2025</t>
  </si>
  <si>
    <t>PORTA DE MADEIRA PARA PINTURA, SEMI-OCA (LEVE OU MÉDIA), 90X210CM, ESPESSURA DE 3,5CM, INCLUSO DOBRADIÇAS - FORNECIMENTO E INSTALAÇÃO. AF_10/2025</t>
  </si>
  <si>
    <t>PORTA DE MADEIRA PARA PINTURA, SEMI-OCA (PESADA OU SUPERPESADA), 80X210CM, ESPESSURA DE 4,0CM, INCLUSO DOBRADIÇAS - FORNECIMENTO E INSTALAÇÃO. AF_10/2025</t>
  </si>
  <si>
    <t>PORTA DE MADEIRA PARA VERNIZ, SEMI-OCA (LEVE OU MÉDIA), 60X210CM, ESPESSURA DE 3,5CM, INCLUSO DOBRADIÇAS - FORNECIMENTO E INSTALAÇÃO. AF_10/2025</t>
  </si>
  <si>
    <t>PORTA DE MADEIRA PARA VERNIZ, SEMI-OCA (LEVE OU MÉDIA), 70X210CM, ESPESSURA DE 3,5CM, INCLUSO DOBRADIÇAS - FORNECIMENTO E INSTALAÇÃO. AF_10/2025</t>
  </si>
  <si>
    <t>PORTA DE MADEIRA PARA VERNIZ, SEMI-OCA (LEVE OU MÉDIA), 80X210CM, ESPESSURA DE 3,5CM, INCLUSO DOBRADIÇAS - FORNECIMENTO E INSTALAÇÃO. AF_10/2025</t>
  </si>
  <si>
    <t>PORTA DE MADEIRA PARA VERNIZ, SEMI-OCA (LEVE OU MÉDIA), 90X210CM, ESPESSURA DE 3,5CM, INCLUSO DOBRADIÇAS - FORNECIMENTO E INSTALAÇÃO. AF_10/2025</t>
  </si>
  <si>
    <t>PORTA DE MADEIRA TIPO VENEZIANA, 80X210CM, ESPESSURA DE 3CM, INCLUSO DOBRADIÇAS - FORNECIMENTO E INSTALAÇÃO. AF_10/2025</t>
  </si>
  <si>
    <t>PORTA DE MADEIRA, MACIÇA (PESADA OU SUPERPESADA), 90X210CM, ESPESSURA DE 4,0CM, INCLUSO DOBRADIÇAS - FORNECIMENTO E INSTALAÇÃO. AF_10/2025</t>
  </si>
  <si>
    <t>PORTA DE MADEIRA, TIPO MEXICANA, MACIÇA (PESADA OU SUPERPESADA), 70X210CM, ESPESSURA DE 3,5CM, INCLUSO DOBRADIÇAS - FORNECIMENTO E INSTALAÇÃO. AF_10/2025</t>
  </si>
  <si>
    <t>PORTA EM ALUMÍNIO DE ABRIR TIPO VENEZIANA COM GUARNIÇÃO, FIXAÇÃO COM PARAFUSOS - FORNECIMENTO E INSTALAÇÃO. AF_10/2025</t>
  </si>
  <si>
    <t>PORTA EM AÇO DE ABRIR PARA VIDRO SEM GUARNIÇÃO, 90X210CM, FIXAÇÃO COM PARAFUSOS, EXCLUSIVE VIDROS - FORNECIMENTO E INSTALAÇÃO. AF_10/2025</t>
  </si>
  <si>
    <t>PORTA EM AÇO DE ABRIR TIPO VENEZIANA SEM GUARNIÇÃO, 90X210CM, FIXAÇÃO COM PARAFUSOS - FORNECIMENTO E INSTALAÇÃO. AF_10/2025</t>
  </si>
  <si>
    <t>PORTA-PRONTA DE MADEIRA, FOLHA LEVE OU MÉDIA, 70X210CM, FIXAÇÃO COM PREENCHIMENTO TOTAL DE ESPUMA EXPANSIVA - FORNECIMENTO E INSTALAÇÃO. AF_10/2025</t>
  </si>
  <si>
    <t>PORTA-PRONTA DE MADEIRA, FOLHA LEVE OU MÉDIA, 80X210CM, FIXAÇÃO COM PREENCHIMENTO TOTAL DE ESPUMA EXPANSIVA - FORNECIMENTO E INSTALAÇÃO. AF_10/2025</t>
  </si>
  <si>
    <t>PORTA-PRONTA DE MADEIRA, FOLHA PESADA OU SUPERPESADA, 80X210CM, FIXAÇÃO COM PREENCHIMENTO TOTAL DE ESPUMA EXPANSIVA - FORNECIMENTO E INSTALAÇÃO. AF_10/2025</t>
  </si>
  <si>
    <t>PUXADOR CENTRAL PARA ESQUADRIA DE MADEIRA. AF_10/2025</t>
  </si>
  <si>
    <t>RECOLOCACAO DE FOLHAS DE PORTA DE MADEIRA PESADA OU SUPER PESADA DE 90 CM DE LARGURA, CONSIDERANDO REAPROVEITAMENTO DO MATERIAL. AF_10/2025</t>
  </si>
  <si>
    <t>RECOLOCAÇÃO DE FOLHAS DE PORTA DE MADEIRA LEVE OU MÉDIA DE 60CM DE LARGURA, CONSIDERANDO REAPROVEITAMENTO DO MATERIAL. AF_10/2025</t>
  </si>
  <si>
    <t>RECOLOCAÇÃO DE FOLHAS DE PORTA DE MADEIRA LEVE OU MÉDIA DE 70CM DE LARGURA, CONSIDERANDO REAPROVEITAMENTO DO MATERIAL. AF_10/2025</t>
  </si>
  <si>
    <t>RECOLOCAÇÃO DE FOLHAS DE PORTA DE MADEIRA LEVE OU MÉDIA DE 80CM DE LARGURA, CONSIDERANDO REAPROVEITAMENTO DO MATERIAL. AF_10/2025</t>
  </si>
  <si>
    <t>RECOLOCAÇÃO DE FOLHAS DE PORTA DE MADEIRA LEVE OU MÉDIA DE 90CM DE LARGURA, CONSIDERANDO REAPROVEITAMENTO DO MATERIAL. AF_10/2025</t>
  </si>
  <si>
    <t>RECOLOCAÇÃO DE FOLHAS DE PORTA DE MADEIRA PESADA OU SUPERPESADA DE 80CM DE LARGURA, CONSIDERANDO REAPROVEITAMENTO DO MATERIAL. AF_10/2025</t>
  </si>
  <si>
    <t>TARJETA TIPO LIVRE/OCUPADO PARA PORTA DE BANHEIRO. AF_10/2025</t>
  </si>
  <si>
    <t>ESTACA HÉLICE CONTÍNUA, DIÂMETRO DE 30 CM, INCLUSO CONCRETO FCK=30MPA E BOMBEAMENTO (EXCLUSIVE ARMADURA, MOBILIZAÇÃO E DESMOBILIZAÇÃO). AF_03/2026</t>
  </si>
  <si>
    <t>ESTACA HÉLICE CONTÍNUA, DIÂMETRO DE 30 CM, INCLUSO CONCRETO FCK=30MPA, BOMBEAMENTO E ARMADURA MÍNIMA (EXCLUSIVE MOBILIZAÇÃO E DESMOBILIZAÇÃO). AF_03/2026</t>
  </si>
  <si>
    <t>ESTACA HÉLICE CONTÍNUA, DIÂMETRO DE 30 CM, INCLUSO CONCRETO FCK=40MPA E BOMBEAMENTO (EXCLUSIVE ARMADURA, MOBILIZAÇÃO E DESMOBILIZAÇÃO). AF_03/2026</t>
  </si>
  <si>
    <t>ESTACA HÉLICE CONTÍNUA, DIÂMETRO DE 30 CM, INCLUSO CONCRETO FCK=40MPA, BOMBEAMENTO E ARMADURA MÍNIMA (EXCLUSIVE MOBILIZAÇÃO E DESMOBILIZAÇÃO). AF_03/2026</t>
  </si>
  <si>
    <t>ESTACA HÉLICE CONTÍNUA, DIÂMETRO DE 50 CM, INCLUSO CONCRETO FCK=30MPA E BOMBEAMENTO (EXCLUSIVE ARMADURA, MOBILIZAÇÃO E DESMOBILIZAÇÃO). AF_03/2026</t>
  </si>
  <si>
    <t>ESTACA HÉLICE CONTÍNUA, DIÂMETRO DE 50 CM, INCLUSO CONCRETO FCK=30MPA, BOMBEAMENTO E ARMADURA MÍNIMA (EXCLUSIVE MOBILIZAÇÃO E DESMOBILIZAÇÃO). AF_03/2026</t>
  </si>
  <si>
    <t>ESTACA HÉLICE CONTÍNUA, DIÂMETRO DE 50 CM, INCLUSO CONCRETO FCK=40MPA E BOMBEAMENTO (EXCLUSIVE ARMADURA, MOBILIZAÇÃO E DESMOBILIZAÇÃO). AF_03/2026</t>
  </si>
  <si>
    <t>ESTACA HÉLICE CONTÍNUA, DIÂMETRO DE 50 CM, INCLUSO CONCRETO FCK=40MPA, BOMBEAMENTO E ARMADURA MÍNIMA (EXCLUSIVE MOBILIZAÇÃO E DESMOBILIZAÇÃO). AF_03/2026</t>
  </si>
  <si>
    <t>ESTACA HÉLICE CONTÍNUA, DIÂMETRO DE 70 CM, INCLUSO CONCRETO FCK=30MPA E BOMBEAMENTO (EXCLUSIVE ARMADURA, MOBILIZAÇÃO E DESMOBILIZAÇÃO). AF_03/2026</t>
  </si>
  <si>
    <t>ESTACA HÉLICE CONTÍNUA, DIÂMETRO DE 70 CM, INCLUSO CONCRETO FCK=30MPA, BOMBEAMENTO E ARMADURA MÍNIMA (EXCLUSIVE MOBILIZAÇÃO E DESMOBILIZAÇÃO). AF_03/2026</t>
  </si>
  <si>
    <t>ESTACA HÉLICE CONTÍNUA, DIÂMETRO DE 70 CM, INCLUSO CONCRETO FCK=40MPA E BOMBEAMENTO (EXCLUSIVE ARMADURA, MOBILIZAÇÃO E DESMOBILIZAÇÃO). AF_03/2026</t>
  </si>
  <si>
    <t>ESTACA HÉLICE CONTÍNUA, DIÂMETRO DE 70 CM, INCLUSO CONCRETO FCK=40MPA, BOMBEAMENTO E ARMADURA MÍNIMA (EXCLUSIVE MOBILIZAÇÃO E DESMOBILIZAÇÃO). AF_03/2026</t>
  </si>
  <si>
    <t>ESTACA HÉLICE CONTÍNUA, DIÂMETRO DE 80 CM, INCLUSO CONCRETO FCK=30MPA E BOMBEAMENTO (EXCLUSIVE ARMADURA, MOBILIZAÇÃO E DESMOBILIZAÇÃO). AF_03/2026</t>
  </si>
  <si>
    <t>ESTACA HÉLICE CONTÍNUA, DIÂMETRO DE 80 CM, INCLUSO CONCRETO FCK=30MPA, BOMBEAMENTO E ARMADURA MÍNIMA (EXCLUSIVE MOBILIZAÇÃO E DESMOBILIZAÇÃO). AF_03/2026</t>
  </si>
  <si>
    <t>ESTACA HÉLICE CONTÍNUA, DIÂMETRO DE 80 CM, INCLUSO CONCRETO FCK=40MPA E BOMBEAMENTO (EXCLUSIVE ARMADURA, MOBILIZAÇÃO E DESMOBILIZAÇÃO). AF_03/2026</t>
  </si>
  <si>
    <t>ESTACA HÉLICE CONTÍNUA, DIÂMETRO DE 80 CM, INCLUSO CONCRETO FCK=40MPA, BOMBEAMENTO E ARMADURA MÍNIMA (EXCLUSIVE MOBILIZAÇÃO E DESMOBILIZAÇÃO). AF_03/2026</t>
  </si>
  <si>
    <t>ESTACA HÉLICE CONTÍNUA, DIÂMETRO DE 90 CM, INCLUSO CONCRETO FCK=30MPA E BOMBEAMENTO (EXCLUSIVE ARMADURA, MOBILIZAÇÃO E DESMOBILIZAÇÃO). AF_03/2026</t>
  </si>
  <si>
    <t>ESTACA HÉLICE CONTÍNUA, DIÂMETRO DE 90 CM, INCLUSO CONCRETO FCK=30MPA, BOMBEAMENTO E ARMADURA MÍNIMA (EXCLUSIVE MOBILIZAÇÃO E DESMOBILIZAÇÃO). AF_03/2026</t>
  </si>
  <si>
    <t>ESTACA HÉLICE CONTÍNUA, DIÂMETRO DE 90 CM, INCLUSO CONCRETO FCK=40MPA E BOMBEAMENTO (EXCLUSIVE ARMADURA, MOBILIZAÇÃO E DESMOBILIZAÇÃO). AF_03/2026</t>
  </si>
  <si>
    <t>ESTACA HÉLICE CONTÍNUA, DIÂMETRO DE 90 CM, INCLUSO CONCRETO FCK=40MPA, BOMBEAMENTO E ARMADURA MÍNIMA (EXCLUSIVE MOBILIZAÇÃO E DESMOBILIZAÇÃO). AF_03/2026</t>
  </si>
  <si>
    <t>FABRICAÇÃO E INSTALAÇÃO DE MEIA TESOURA DE MADEIRA NÃO APARELHADA, COM VÃO DE 10 M, PARA TELHA CERÂMICA OU DE CONCRETO, INCLUSO IÇAMENTO. AF_10/2025</t>
  </si>
  <si>
    <t>FABRICAÇÃO E INSTALAÇÃO DE MEIA TESOURA DE MADEIRA NÃO APARELHADA, COM VÃO DE 10 M, PARA TELHA ONDULADA DE FIBROCIMENTO, ALUMÍNIO, PLÁSTICA OU TERMOACÚSTICA, INCLUSO IÇAMENTO. AF_10/2025</t>
  </si>
  <si>
    <t>FABRICAÇÃO E INSTALAÇÃO DE MEIA TESOURA DE MADEIRA NÃO APARELHADA, COM VÃO DE 11 M, PARA TELHA CERÂMICA OU DE CONCRETO, INCLUSO IÇAMENTO. AF_10/2025</t>
  </si>
  <si>
    <t>FABRICAÇÃO E INSTALAÇÃO DE MEIA TESOURA DE MADEIRA NÃO APARELHADA, COM VÃO DE 11 M, PARA TELHA ONDULADA DE FIBROCIMENTO, ALUMÍNIO, PLÁSTICA OU TERMOACÚSTICA, INCLUSO IÇAMENTO. AF_10/2025</t>
  </si>
  <si>
    <t>FABRICAÇÃO E INSTALAÇÃO DE MEIA TESOURA DE MADEIRA NÃO APARELHADA, COM VÃO DE 12 M, PARA TELHA CERÂMICA OU DE CONCRETO, INCLUSO IÇAMENTO. AF_10/2025</t>
  </si>
  <si>
    <t>FABRICAÇÃO E INSTALAÇÃO DE MEIA TESOURA DE MADEIRA NÃO APARELHADA, COM VÃO DE 12 M, PARA TELHA ONDULADA DE FIBROCIMENTO, ALUMÍNIO, PLÁSTICA OU TERMOACÚSTICA, INCLUSO IÇAMENTO. AF_10/2025</t>
  </si>
  <si>
    <t>FABRICAÇÃO E INSTALAÇÃO DE MEIA TESOURA DE MADEIRA NÃO APARELHADA, COM VÃO DE 3 M, PARA TELHA CERÂMICA OU DE CONCRETO, INCLUSO IÇAMENTO. AF_10/2025</t>
  </si>
  <si>
    <t>FABRICAÇÃO E INSTALAÇÃO DE MEIA TESOURA DE MADEIRA NÃO APARELHADA, COM VÃO DE 3 M, PARA TELHA ONDULADA DE FIBROCIMENTO, ALUMÍNIO, PLÁSTICA OU TERMOACÚSTICA, INCLUSO IÇAMENTO. AF_10/2025</t>
  </si>
  <si>
    <t>FABRICAÇÃO E INSTALAÇÃO DE MEIA TESOURA DE MADEIRA NÃO APARELHADA, COM VÃO DE 4 M, PARA TELHA CERÂMICA OU DE CONCRETO, INCLUSO IÇAMENTO. AF_10/2025</t>
  </si>
  <si>
    <t>FABRICAÇÃO E INSTALAÇÃO DE MEIA TESOURA DE MADEIRA NÃO APARELHADA, COM VÃO DE 4 M, PARA TELHA ONDULADA DE FIBROCIMENTO, ALUMÍNIO, PLÁSTICA OU TERMOACÚSTICA, INCLUSO IÇAMENTO. AF_10/2025</t>
  </si>
  <si>
    <t>FABRICAÇÃO E INSTALAÇÃO DE MEIA TESOURA DE MADEIRA NÃO APARELHADA, COM VÃO DE 5 M, PARA TELHA CERÂMICA OU DE CONCRETO, INCLUSO IÇAMENTO. AF_10/2025</t>
  </si>
  <si>
    <t>FABRICAÇÃO E INSTALAÇÃO DE MEIA TESOURA DE MADEIRA NÃO APARELHADA, COM VÃO DE 5 M, PARA TELHA ONDULADA DE FIBROCIMENTO, ALUMÍNIO, PLÁSTICA OU TERMOACÚSTICA, INCLUSO IÇAMENTO. AF_10/2025</t>
  </si>
  <si>
    <t>FABRICAÇÃO E INSTALAÇÃO DE MEIA TESOURA DE MADEIRA NÃO APARELHADA, COM VÃO DE 6 M, PARA TELHA CERÂMICA OU DE CONCRETO, INCLUSO IÇAMENTO. AF_10/2025</t>
  </si>
  <si>
    <t>FABRICAÇÃO E INSTALAÇÃO DE MEIA TESOURA DE MADEIRA NÃO APARELHADA, COM VÃO DE 6 M, PARA TELHA ONDULADA DE FIBROCIMENTO, ALUMÍNIO, PLÁSTICA OU TERMOACÚSTICA, INCLUSO IÇAMENTO. AF_10/2025</t>
  </si>
  <si>
    <t>FABRICAÇÃO E INSTALAÇÃO DE MEIA TESOURA DE MADEIRA NÃO APARELHADA, COM VÃO DE 7 M, PARA TELHA CERÂMICA OU DE CONCRETO, INCLUSO IÇAMENTO. AF_10/2025</t>
  </si>
  <si>
    <t>FABRICAÇÃO E INSTALAÇÃO DE MEIA TESOURA DE MADEIRA NÃO APARELHADA, COM VÃO DE 7 M, PARA TELHA ONDULADA DE FIBROCIMENTO, ALUMÍNIO, PLÁSTICA OU TERMOACÚSTICA, INCLUSO IÇAMENTO. AF_10/2025</t>
  </si>
  <si>
    <t>FABRICAÇÃO E INSTALAÇÃO DE MEIA TESOURA DE MADEIRA NÃO APARELHADA, COM VÃO DE 8 M, PARA TELHA CERÂMICA OU DE CONCRETO, INCLUSO IÇAMENTO. AF_10/2025</t>
  </si>
  <si>
    <t>FABRICAÇÃO E INSTALAÇÃO DE MEIA TESOURA DE MADEIRA NÃO APARELHADA, COM VÃO DE 8 M, PARA TELHA ONDULADA DE FIBROCIMENTO, ALUMÍNIO, PLÁSTICA OU TERMOACÚSTICA, INCLUSO IÇAMENTO. AF_10/2025</t>
  </si>
  <si>
    <t>FABRICAÇÃO E INSTALAÇÃO DE MEIA TESOURA DE MADEIRA NÃO APARELHADA, COM VÃO DE 9 M, PARA TELHA CERÂMICA OU DE CONCRETO, INCLUSO IÇAMENTO. AF_10/2025</t>
  </si>
  <si>
    <t>FABRICAÇÃO E INSTALAÇÃO DE MEIA TESOURA DE MADEIRA NÃO APARELHADA, COM VÃO DE 9 M, PARA TELHA ONDULADA DE FIBROCIMENTO, ALUMÍNIO, PLÁSTICA OU TERMOACÚSTICA, INCLUSO IÇAMENTO. AF_10/2025</t>
  </si>
  <si>
    <t>FABRICAÇÃO E INSTALAÇÃO DE PONTALETES DE AÇO PARA TELHADOS COM ATÉ 2 ÁGUAS E COM TELHA CERÂMICA (ENCAIXE/CAPA CANAL) OU DE CONCRETO EM EDIFÍCIO INSTITUCIONAL TÉRREO, INCLUSO TRANSPORTE VERTICAL, EXCLUSIVE PINTURA. AF_10/2025</t>
  </si>
  <si>
    <t>FABRICAÇÃO E INSTALAÇÃO DE PONTALETES DE AÇO PARA TELHADOS COM ATÉ 2 ÁGUAS E COM TELHA CERÂMICA (ENCAIXE/CAPA CANAL) OU DE CONCRETO EM EDIFÍCIO RESIDENCIAL MÚLTIPLOS PAVIMENTOS, INCLUSO TRANSPORTE VERTICAL, EXCLUSIVE PINTURA. AF_10/2025</t>
  </si>
  <si>
    <t>FABRICAÇÃO E INSTALAÇÃO DE PONTALETES DE AÇO PARA TELHADOS COM ATÉ 2 ÁGUAS E COM TELHA CERÂMICA (ENCAIXE/CAPA CANAL) OU DE CONCRETO EM EDIFÍCIO RESIDENCIAL TÉRREO/SOBRADO, INCLUSO TRANSPORTE VERTICAL, EXCLUSIVE PINTURA. AF_10/2025</t>
  </si>
  <si>
    <t>FABRICAÇÃO E INSTALAÇÃO DE PONTALETES DE AÇO PARA TELHADOS COM ATÉ 2 ÁGUAS E COM TELHA ONDULADA DE FIBROCIMENTO, ALUMÍNIO OU PLÁSTICA EM EDIFÍCIO INSTITUCIONAL TÉRREO, INCLUSO TRANSPORTE VERTICAL, EXCLUSIVE PINTURA. AF_10/2025</t>
  </si>
  <si>
    <t>FABRICAÇÃO E INSTALAÇÃO DE PONTALETES DE AÇO PARA TELHADOS COM ATÉ 2 ÁGUAS E COM TELHA ONDULADA DE FIBROCIMENTO, ALUMÍNIO OU PLÁSTICA EM EDIFÍCIO RESIDENCIAL MÚLTIPLOS PAVIMENTOS, INCLUSO TRANSPORTE VERTICAL, EXCLUSIVE PINTURA. AF_10/2025</t>
  </si>
  <si>
    <t>FABRICAÇÃO E INSTALAÇÃO DE PONTALETES DE AÇO PARA TELHADOS COM ATÉ 2 ÁGUAS E COM TELHA ONDULADA DE FIBROCIMENTO, ALUMÍNIO OU PLÁSTICA EM EDIFÍCIO RESIDENCIAL TÉRREO/SOBRADO, INCLUSO TRANSPORTE VERTICAL, EXCLUSIVE PINTURA. AF_10/2025</t>
  </si>
  <si>
    <t>FABRICAÇÃO E INSTALAÇÃO DE PONTALETES DE AÇO PARA TELHADOS COM MAIS QUE 2 ÁGUAS E COM TELHA CERÂMICA (ENCAIXE/CAPA CANAL) OU DE CONCRETO EM EDIFÍCIO INSTITUCIONAL TÉRREO, INCLUSO TRANSPORTE VERTICAL, EXCLUSIVE PINTURA. AF_10/2025</t>
  </si>
  <si>
    <t>FABRICAÇÃO E INSTALAÇÃO DE PONTALETES DE AÇO PARA TELHADOS COM MAIS QUE 2 ÁGUAS E COM TELHA CERÂMICA (ENCAIXE/CAPA CANAL) OU DE CONCRETO EM EDIFÍCIO RESIDENCIAL MÚLTIPLOS PAVIMENTOS, INCLUSO TRANSPORTE VERTICAL, EXCLUSIVE PINTURA. AF_10/2025</t>
  </si>
  <si>
    <t>FABRICAÇÃO E INSTALAÇÃO DE PONTALETES DE AÇO PARA TELHADOS COM MAIS QUE 2 ÁGUAS E COM TELHA CERÂMICA (ENCAIXE/CAPA CANAL) OU DE CONCRETO EM EDIFÍCIO RESIDENCIAL TÉRREO/SOBRADO, INCLUSO TRANSPORTE VERTICAL, EXCLUSIVE PINTURA. AF_10/2025</t>
  </si>
  <si>
    <t>FABRICAÇÃO E INSTALAÇÃO DE PONTALETES DE AÇO PARA TELHADOS COM MAIS QUE 2 ÁGUAS E COM TELHA ONDULADA DE FIBROCIMENTO, ALUMÍNIO OU PLÁSTICA EM EDIFÍCIO INSTITUCIONAL TÉRREO, INCLUSO TRANSPORTE VERTICAL, EXCLUSIVE PINTURA. AF_10/2025</t>
  </si>
  <si>
    <t>FABRICAÇÃO E INSTALAÇÃO DE PONTALETES DE AÇO PARA TELHADOS COM MAIS QUE 2 ÁGUAS E COM TELHA ONDULADA DE FIBROCIMENTO, ALUMÍNIO OU PLÁSTICA EM EDIFÍCIO RESIDENCIAL MÚLTIPLOS PAVIMENTOS, INCLUSO TRANSPORTE VERTICAL, EXCLUSIVE PINTURA. AF_10/2025</t>
  </si>
  <si>
    <t>FABRICAÇÃO E INSTALAÇÃO DE PONTALETES DE AÇO PARA TELHADOS COM MAIS QUE 2 ÁGUAS E COM TELHA ONDULADA DE FIBROCIMENTO, ALUMÍNIO OU PLÁSTICA EM EDIFÍCIO RESIDENCIAL TÉRREO/SOBRADO, INCLUSO TRANSPORTE VERTICAL, EXCLUSIVE PINTURA. AF_10/2025</t>
  </si>
  <si>
    <t>FABRICAÇÃO E INSTALAÇÃO DE PONTALETES DE MADEIRA NÃO APARELHADA PARA TELHADOS COM ATÉ 2 ÁGUAS E COM TELHA CERÂMICA (ENCAIXE/CAPA CANAL) OU DE CONCRETO EM EDIFÍCIO INSTITUCIONAL TÉRREO, INCLUSO TRANSPORTE VERTICAL. AF_10/2025</t>
  </si>
  <si>
    <t>FABRICAÇÃO E INSTALAÇÃO DE PONTALETES DE MADEIRA NÃO APARELHADA PARA TELHADOS COM ATÉ 2 ÁGUAS E COM TELHA CERÂMICA (ENCAIXE/CAPA CANAL) OU DE CONCRETO EM EDIFÍCIO RESIDENCIAL DE MÚLTIPLOS PAVIMENTOS, INCLUSO TRANSPORTE VERTICAL. AF_10/2025</t>
  </si>
  <si>
    <t>FABRICAÇÃO E INSTALAÇÃO DE PONTALETES DE MADEIRA NÃO APARELHADA PARA TELHADOS COM ATÉ 2 ÁGUAS E COM TELHA CERÂMICA (ENCAIXE/CAPA CANAL) OU DE CONCRETO EM EDIFÍCIO RESIDENCIAL TÉRREO/SOBRADO, INCLUSO TRANSPORTE VERTICAL. AF_10/2025</t>
  </si>
  <si>
    <t>FABRICAÇÃO E INSTALAÇÃO DE PONTALETES DE MADEIRA NÃO APARELHADA PARA TELHADOS COM ATÉ 2 ÁGUAS E COM TELHA ONDULADA DE FIBROCIMENTO, ALUMÍNIO OU PLÁSTICA EM EDIFÍCIO INSTITUCIONAL TÉRREO, INCLUSO TRANSPORTE VERTICAL. AF_10/2025</t>
  </si>
  <si>
    <t>FABRICAÇÃO E INSTALAÇÃO DE PONTALETES DE MADEIRA NÃO APARELHADA PARA TELHADOS COM ATÉ 2 ÁGUAS E COM TELHA ONDULADA DE FIBROCIMENTO, ALUMÍNIO OU PLÁSTICA EM EDIFÍCIO RESIDENCIAL DE MÚLTIPLOS PAVIMENTOS, INCLUSO TRANSPORTE VERTICAL. AF_10/2025</t>
  </si>
  <si>
    <t>FABRICAÇÃO E INSTALAÇÃO DE PONTALETES DE MADEIRA NÃO APARELHADA PARA TELHADOS COM ATÉ 2 ÁGUAS E COM TELHA ONDULADA DE FIBROCIMENTO, ALUMÍNIO OU PLÁSTICA EM EDIFÍCIO RESIDENCIAL TÉRREO/SOBRADO, INCLUSO TRANSPORTE VERTICAL. AF_10/2025</t>
  </si>
  <si>
    <t>FABRICAÇÃO E INSTALAÇÃO DE PONTALETES DE MADEIRA NÃO APARELHADA PARA TELHADOS COM MAIS QUE 2 ÁGUAS E COM TELHA CERÂMICA (ENCAIXE/CAPA CANAL) OU DE CONCRETO EM EDIFÍCIO INSTITUCIONAL TÉRREO, INCLUSO TRANSPORTE VERTICAL. AF_10/2025</t>
  </si>
  <si>
    <t>FABRICAÇÃO E INSTALAÇÃO DE PONTALETES DE MADEIRA NÃO APARELHADA PARA TELHADOS COM MAIS QUE 2 ÁGUAS E COM TELHA CERÂMICA (ENCAIXE/CAPA CANAL) OU DE CONCRETO EM EDIFÍCIO RESIDENCIAL DE MÚLTIPLOS PAVIMENTOS. AF_10/2025</t>
  </si>
  <si>
    <t>FABRICAÇÃO E INSTALAÇÃO DE PONTALETES DE MADEIRA NÃO APARELHADA PARA TELHADOS COM MAIS QUE 2 ÁGUAS E COM TELHA CERÂMICA (ENCAIXE/CAPA CANAL) OU DE CONCRETO EM EDIFÍCIO RESIDENCIAL TÉRREO/SOBRADO, INCLUSO TRANSPORTE VERTICAL. AF_10/2025</t>
  </si>
  <si>
    <t>FABRICAÇÃO E INSTALAÇÃO DE TESOURA (INTEIRA OU MEIA) EM AÇO, VÃOS MAIORES OU IGUAIS A 3,0 M E MENORES QUE 6,0 M, INCLUSO IÇAMENTO, EXCLUSIVE PINTURA. AF_10/2025</t>
  </si>
  <si>
    <t>FABRICAÇÃO E INSTALAÇÃO DE TESOURA (INTEIRA OU MEIA) EM AÇO, VÃOS MAIORES OU IGUAIS A 6,0 M E MENORES OU IGUAIS A 12,0 M, INCLUSO IÇAMENTO, EXCLUSIVE PINTURA. AF_10/2025</t>
  </si>
  <si>
    <t>FABRICAÇÃO E INSTALAÇÃO DE TESOURA INTEIRA EM AÇO, VÃO DE 10 M, PARA TELHA CERÂMICA OU DE CONCRETO, INCLUSO IÇAMENTO, EXCLUSIVE PINTURA. AF_10/2025</t>
  </si>
  <si>
    <t>FABRICAÇÃO E INSTALAÇÃO DE TESOURA INTEIRA EM AÇO, VÃO DE 10 M, PARA TELHA ONDULADA DE FIBROCIMENTO, METÁLICA, PLÁSTICA OU TERMOACÚSTICA, INCLUSO IÇAMENTO, EXCLUSIVE PINTURA. AF_10/2025</t>
  </si>
  <si>
    <t>FABRICAÇÃO E INSTALAÇÃO DE TESOURA INTEIRA EM AÇO, VÃO DE 11 M, PARA TELHA CERÂMICA OU DE CONCRETO, INCLUSO IÇAMENTO, EXCLUSIVE PINTURA. AF_10/2025</t>
  </si>
  <si>
    <t>FABRICAÇÃO E INSTALAÇÃO DE TESOURA INTEIRA EM AÇO, VÃO DE 11 M, PARA TELHA ONDULADA DE FIBROCIMENTO, METÁLICA, PLÁSTICA OU TERMOACÚSTICA, INCLUSO IÇAMENTO, EXCLUSIVE PINTURA. AF_10/2025</t>
  </si>
  <si>
    <t>FABRICAÇÃO E INSTALAÇÃO DE TESOURA INTEIRA EM AÇO, VÃO DE 12 M, PARA TELHA CERÂMICA OU DE CONCRETO, INCLUSO IÇAMENTO, EXCLUSIVE PINTURA. AF_10/2025</t>
  </si>
  <si>
    <t>FABRICAÇÃO E INSTALAÇÃO DE TESOURA INTEIRA EM AÇO, VÃO DE 12 M, PARA TELHA ONDULADA DE FIBROCIMENTO, METÁLICA, PLÁSTICA OU TERMOACÚSTICA, INCLUSO IÇAMENTO, EXCLUSIVE PINTURA. AF_10/2025</t>
  </si>
  <si>
    <t>FABRICAÇÃO E INSTALAÇÃO DE TESOURA INTEIRA EM AÇO, VÃO DE 3 M, PARA TELHA CERÂMICA OU DE CONCRETO, INCLUSO IÇAMENTO, EXCLUSIVE PINTURA. AF_10/2025</t>
  </si>
  <si>
    <t>FABRICAÇÃO E INSTALAÇÃO DE TESOURA INTEIRA EM AÇO, VÃO DE 3 M, PARA TELHA ONDULADA DE FIBROCIMENTO, METÁLICA, PLÁSTICA OU TERMOACÚSTICA, INCLUSO IÇAMENTO, EXCLUSIVE PINTURA. AF_10/2025</t>
  </si>
  <si>
    <t>FABRICAÇÃO E INSTALAÇÃO DE TESOURA INTEIRA EM AÇO, VÃO DE 4 M, PARA TELHA CERÂMICA OU DE CONCRETO, INCLUSO IÇAMENTO, EXCLUSIVE PINTURA. AF_10/2025</t>
  </si>
  <si>
    <t>FABRICAÇÃO E INSTALAÇÃO DE TESOURA INTEIRA EM AÇO, VÃO DE 4 M, PARA TELHA ONDULADA DE FIBROCIMENTO, METÁLICA, PLÁSTICA OU TERMOACÚSTICA, INCLUSO IÇAMENTO, EXCLUSIVE PINTURA. AF_10/2025</t>
  </si>
  <si>
    <t>FABRICAÇÃO E INSTALAÇÃO DE TESOURA INTEIRA EM AÇO, VÃO DE 5 M, PARA TELHA CERÂMICA OU DE CONCRETO, INCLUSO IÇAMENTO, EXCLUSIVE PINTURA. AF_10/2025</t>
  </si>
  <si>
    <t>FABRICAÇÃO E INSTALAÇÃO DE TESOURA INTEIRA EM AÇO, VÃO DE 5 M, PARA TELHA ONDULADA DE FIBROCIMENTO, METÁLICA, PLÁSTICA OU TERMOACÚSTICA, INCLUSO IÇAMENTO, EXCLUSIVE PINTURA. AF_10/2025</t>
  </si>
  <si>
    <t>FABRICAÇÃO E INSTALAÇÃO DE TESOURA INTEIRA EM AÇO, VÃO DE 6 M, PARA TELHA CERÂMICA OU DE CONCRETO, INCLUSO IÇAMENTO, EXCLUSIVE PINTURA. AF_10/2025</t>
  </si>
  <si>
    <t>FABRICAÇÃO E INSTALAÇÃO DE TESOURA INTEIRA EM AÇO, VÃO DE 6 M, PARA TELHA ONDULADA DE FIBROCIMENTO, METÁLICA, PLÁSTICA OU TERMOACÚSTICA, INCLUSO IÇAMENTO, EXCLUSIVE PINTURA. AF_10/2025</t>
  </si>
  <si>
    <t>FABRICAÇÃO E INSTALAÇÃO DE TESOURA INTEIRA EM AÇO, VÃO DE 7 M, PARA TELHA CERÂMICA OU DE CONCRETO, INCLUSO IÇAMENTO, EXCLUSIVE PINTURA. AF_10/2025</t>
  </si>
  <si>
    <t>FABRICAÇÃO E INSTALAÇÃO DE TESOURA INTEIRA EM AÇO, VÃO DE 7 M, PARA TELHA ONDULADA DE FIBROCIMENTO, METÁLICA, PLÁSTICA OU TERMOACÚSTICA, INCLUSO IÇAMENTO, EXCLUSIVE PINTURA. AF_10/2025</t>
  </si>
  <si>
    <t>FABRICAÇÃO E INSTALAÇÃO DE TESOURA INTEIRA EM AÇO, VÃO DE 8 M, PARA TELHA CERÂMICA OU DE CONCRETO, INCLUSO IÇAMENTO, EXCLUSIVE PINTURA. AF_10/2025</t>
  </si>
  <si>
    <t>FABRICAÇÃO E INSTALAÇÃO DE TESOURA INTEIRA EM AÇO, VÃO DE 8 M, PARA TELHA ONDULADA DE FIBROCIMENTO, METÁLICA, PLÁSTICA OU TERMOACÚSTICA, INCLUSO IÇAMENTO, EXCLUSIVE PINTURA. AF_10/2025</t>
  </si>
  <si>
    <t>FABRICAÇÃO E INSTALAÇÃO DE TESOURA INTEIRA EM AÇO, VÃO DE 9 M, PARA TELHA CERÂMICA OU DE CONCRETO, INCLUSO IÇAMENTO, EXCLUSIVE PINTURA. AF_10/2025</t>
  </si>
  <si>
    <t>FABRICAÇÃO E INSTALAÇÃO DE TESOURA INTEIRA EM AÇO, VÃO DE 9 M, PARA TELHA ONDULADA DE FIBROCIMENTO, METÁLICA, PLÁSTICA OU TERMOACÚSTICA, INCLUSO IÇAMENTO, EXCLUSIVE PINTURA. AF_10/2025</t>
  </si>
  <si>
    <t>FABRICAÇÃO E INSTALAÇÃO DE TESOURA INTEIRA EM MADEIRA NÃO APARELHADA, VÃO DE 10 M, PARA TELHA CERÂMICA OU DE CONCRETO, INCLUSO IÇAMENTO. AF_10/2025</t>
  </si>
  <si>
    <t>FABRICAÇÃO E INSTALAÇÃO DE TESOURA INTEIRA EM MADEIRA NÃO APARELHADA, VÃO DE 10 M, PARA TELHA ONDULADA DE FIBROCIMENTO, METÁLICA, PLÁSTICA OU TERMOACÚSTICA, INCLUSO IÇAMENTO. AF_10/2025</t>
  </si>
  <si>
    <t>FABRICAÇÃO E INSTALAÇÃO DE TESOURA INTEIRA EM MADEIRA NÃO APARELHADA, VÃO DE 11 M, PARA TELHA CERÂMICA OU DE CONCRETO, INCLUSO IÇAMENTO. AF_10/2025</t>
  </si>
  <si>
    <t>FABRICAÇÃO E INSTALAÇÃO DE TESOURA INTEIRA EM MADEIRA NÃO APARELHADA, VÃO DE 11 M, PARA TELHA ONDULADA DE FIBROCIMENTO, METÁLICA, PLÁSTICA OU TERMOACÚSTICA, INCLUSO IÇAMENTO. AF_10/2025</t>
  </si>
  <si>
    <t>FABRICAÇÃO E INSTALAÇÃO DE TESOURA INTEIRA EM MADEIRA NÃO APARELHADA, VÃO DE 12 M, PARA TELHA CERÂMICA OU DE CONCRETO, INCLUSO IÇAMENTO. AF_10/2025</t>
  </si>
  <si>
    <t>FABRICAÇÃO E INSTALAÇÃO DE TESOURA INTEIRA EM MADEIRA NÃO APARELHADA, VÃO DE 12 M, PARA TELHA ONDULADA DE FIBROCIMENTO, METÁLICA, PLÁSTICA OU TERMOACÚSTICA, INCLUSO IÇAMENTO. AF_10/2025</t>
  </si>
  <si>
    <t>FABRICAÇÃO E INSTALAÇÃO DE TESOURA INTEIRA EM MADEIRA NÃO APARELHADA, VÃO DE 3 M, PARA TELHA CERÂMICA OU DE CONCRETO, INCLUSO IÇAMENTO. AF_10/2025</t>
  </si>
  <si>
    <t>FABRICAÇÃO E INSTALAÇÃO DE TESOURA INTEIRA EM MADEIRA NÃO APARELHADA, VÃO DE 3 M, PARA TELHA ONDULADA DE FIBROCIMENTO, METÁLICA, PLÁSTICA OU TERMOACÚSTICA, INCLUSO IÇAMENTO. AF_10/2025</t>
  </si>
  <si>
    <t>FABRICAÇÃO E INSTALAÇÃO DE TESOURA INTEIRA EM MADEIRA NÃO APARELHADA, VÃO DE 4 M, PARA TELHA CERÂMICA OU DE CONCRETO, INCLUSO IÇAMENTO. AF_10/2025</t>
  </si>
  <si>
    <t>FABRICAÇÃO E INSTALAÇÃO DE TESOURA INTEIRA EM MADEIRA NÃO APARELHADA, VÃO DE 4 M, PARA TELHA ONDULADA DE FIBROCIMENTO, METÁLICA, PLÁSTICA OU TERMOACÚSTICA, INCLUSO IÇAMENTO. AF_10/2025</t>
  </si>
  <si>
    <t>FABRICAÇÃO E INSTALAÇÃO DE TESOURA INTEIRA EM MADEIRA NÃO APARELHADA, VÃO DE 5 M, PARA TELHA CERÂMICA OU DE CONCRETO, INCLUSO IÇAMENTO. AF_10/2025</t>
  </si>
  <si>
    <t>FABRICAÇÃO E INSTALAÇÃO DE TESOURA INTEIRA EM MADEIRA NÃO APARELHADA, VÃO DE 5 M, PARA TELHA ONDULADA DE FIBROCIMENTO, METÁLICA, PLÁSTICA OU TERMOACÚSTICA, INCLUSO IÇAMENTO. AF_10/2025</t>
  </si>
  <si>
    <t>FABRICAÇÃO E INSTALAÇÃO DE TESOURA INTEIRA EM MADEIRA NÃO APARELHADA, VÃO DE 6 M, PARA TELHA CERÂMICA OU DE CONCRETO, INCLUSO IÇAMENTO. AF_10/2025</t>
  </si>
  <si>
    <t>FABRICAÇÃO E INSTALAÇÃO DE TESOURA INTEIRA EM MADEIRA NÃO APARELHADA, VÃO DE 6 M, PARA TELHA ONDULADA DE FIBROCIMENTO, METÁLICA, PLÁSTICA OU TERMOACÚSTICA, INCLUSO IÇAMENTO. AF_10/2025</t>
  </si>
  <si>
    <t>FABRICAÇÃO E INSTALAÇÃO DE TESOURA INTEIRA EM MADEIRA NÃO APARELHADA, VÃO DE 7 M, PARA TELHA CERÂMICA OU DE CONCRETO, INCLUSO IÇAMENTO. AF_10/2025</t>
  </si>
  <si>
    <t>FABRICAÇÃO E INSTALAÇÃO DE TESOURA INTEIRA EM MADEIRA NÃO APARELHADA, VÃO DE 7 M, PARA TELHA ONDULADA DE FIBROCIMENTO, METÁLICA, PLÁSTICA OU TERMOACÚSTICA, INCLUSO IÇAMENTO. AF_10/2025</t>
  </si>
  <si>
    <t>FABRICAÇÃO E INSTALAÇÃO DE TESOURA INTEIRA EM MADEIRA NÃO APARELHADA, VÃO DE 8 M, PARA TELHA CERÂMICA OU DE CONCRETO, INCLUSO IÇAMENTO. AF_10/2025</t>
  </si>
  <si>
    <t>FABRICAÇÃO E INSTALAÇÃO DE TESOURA INTEIRA EM MADEIRA NÃO APARELHADA, VÃO DE 8 M, PARA TELHA ONDULADA DE FIBROCIMENTO, METÁLICA, PLÁSTICA OU TERMOACÚSTICA, INCLUSO IÇAMENTO. AF_10/2025</t>
  </si>
  <si>
    <t>FABRICAÇÃO E INSTALAÇÃO DE TESOURA INTEIRA EM MADEIRA NÃO APARELHADA, VÃO DE 9 M, PARA TELHA CERÂMICA OU DE CONCRETO, INCLUSO IÇAMENTO. AF_10/2025</t>
  </si>
  <si>
    <t>FABRICAÇÃO E INSTALAÇÃO DE TESOURA INTEIRA EM MADEIRA NÃO APARELHADA, VÃO DE 9 M, PARA TELHA ONDULADA DE FIBROCIMENTO, METÁLICA, PLÁSTICA OU TERMOACÚSTICA, INCLUSO IÇAMENTO. AF_10/2025</t>
  </si>
  <si>
    <t>INSTALAÇÃO DE TESOURA (INTEIRA OU MEIA), BIAPOIADA, EM MADEIRA NÃO APARELHADA, PARA VÃOS MAIORES OU IGUAIS A 10,0 M E MENORES QUE 12,0 M, INCLUSO IÇAMENTO. AF_10/2025</t>
  </si>
  <si>
    <t>INSTALAÇÃO DE TESOURA (INTEIRA OU MEIA), BIAPOIADA, EM MADEIRA NÃO APARELHADA, PARA VÃOS MAIORES OU IGUAIS A 12,0 M E MENORES QUE 14,0 M, INCLUSO IÇAMENTO. AF_10/2025</t>
  </si>
  <si>
    <t>INSTALAÇÃO DE TESOURA (INTEIRA OU MEIA), BIAPOIADA, EM MADEIRA NÃO APARELHADA, PARA VÃOS MAIORES OU IGUAIS A 14,0 M E MENORES QUE 16,0 M, INCLUSO IÇAMENTO. AF_10/2025</t>
  </si>
  <si>
    <t>INSTALAÇÃO DE TESOURA (INTEIRA OU MEIA), BIAPOIADA, EM MADEIRA NÃO APARELHADA, PARA VÃOS MAIORES OU IGUAIS A 16,0 M E MENORES QUE 18,0 M, INCLUSO IÇAMENTO. AF_10/2025</t>
  </si>
  <si>
    <t>INSTALAÇÃO DE TESOURA (INTEIRA OU MEIA), BIAPOIADA, EM MADEIRA NÃO APARELHADA, PARA VÃOS MAIORES OU IGUAIS A 3,0 M E MENORES QUE 6,0 M, INCLUSO IÇAMENTO. AF_10/2025</t>
  </si>
  <si>
    <t>INSTALAÇÃO DE TESOURA (INTEIRA OU MEIA), BIAPOIADA, EM MADEIRA NÃO APARELHADA, PARA VÃOS MAIORES OU IGUAIS A 6,0 M E MENORES QUE 8,0 M, INCLUSO IÇAMENTO. AF_10/2025</t>
  </si>
  <si>
    <t>INSTALAÇÃO DE TESOURA (INTEIRA OU MEIA), BIAPOIADA, EM MADEIRA NÃO APARELHADA, PARA VÃOS MAIORES OU IGUAIS A 8,0 M E MENORES QUE 10,0 M, INCLUSO IÇAMENTO. AF_10/2025</t>
  </si>
  <si>
    <t>INSTALAÇÃO DE TESOURA (INTEIRA OU MEIA), EM AÇO, PARA VÃOS MAIORES OU IGUAIS A 10,0 M E MENORES OU IGUAIS A 12,0 M, INCLUSO IÇAMENTO, EXCLUSIVE PINTURA. AF_10/2025_PE</t>
  </si>
  <si>
    <t>INSTALAÇÃO DE TESOURA (INTEIRA OU MEIA), EM AÇO, PARA VÃOS MAIORES OU IGUAIS A 3,0 M E MENORES QUE 6,0 M, INCLUSO IÇAMENTO, EXCLUSIVE PINTURA. AF_10/2025_PE</t>
  </si>
  <si>
    <t>INSTALAÇÃO DE TESOURA (INTEIRA OU MEIA), EM AÇO, PARA VÃOS MAIORES OU IGUAIS A 6,0 M E MENORES QUE 8,0 M, INCLUSO IÇAMENTO, EXCLUSIVE PINTURA. AF_10/2025_PE</t>
  </si>
  <si>
    <t>INSTALAÇÃO DE TESOURA (INTEIRA OU MEIA), EM AÇO, PARA VÃOS MAIORES OU IGUAIS A 8,0 M E MENORES QUE 10,0 M, INCLUSO IÇAMENTO, EXCLUSIVE PINTURA. AF_10/2025_PE</t>
  </si>
  <si>
    <t>RETIRADA E RECOLOCAÇÃO DE CAIBRO DE MADEIRA EM TELHADOS DE ATÉ 2 ÁGUAS COM TELHA CERÂMICA CAPA-CANAL, INCLUSO TRANSPORTE VERTICAL. AF_10/2025</t>
  </si>
  <si>
    <t>RETIRADA E RECOLOCAÇÃO DE CAIBRO DE MADEIRA EM TELHADOS DE ATÉ 2 ÁGUAS COM TELHA CERÂMICA OU DE CONCRETO DE ENCAIXE, INCLUSO TRANSPORTE VERTICAL. AF_10/2025</t>
  </si>
  <si>
    <t>RETIRADA E RECOLOCAÇÃO DE CAIBRO DE MADEIRA EM TELHADOS DE MAIS DE 2 ÁGUAS COM TELHA CERÂMICA CAPA-CANAL, INCLUSO TRANSPORTE VERTICAL. AF_10/2025</t>
  </si>
  <si>
    <t>RETIRADA E RECOLOCAÇÃO DE CAIBRO DE MADEIRA EM TELHADOS DE MAIS DE 2 ÁGUAS COM TELHA CERÂMICA OU DE CONCRETO DE ENCAIXE, INCLUSO TRANSPORTE VERTICAL. AF_10/2025</t>
  </si>
  <si>
    <t>RETIRADA E RECOLOCAÇÃO DE RIPA DE MADEIRA EM TELHADOS DE ATÉ 2 ÁGUAS COM TELHA CERÂMICA CAPA-CANAL, INCLUSO TRANSPORTE VERTICAL. AF_10/2025</t>
  </si>
  <si>
    <t>RETIRADA E RECOLOCAÇÃO DE RIPA DE MADEIRA EM TELHADOS DE ATÉ 2 ÁGUAS COM TELHA CERÂMICA OU DE CONCRETO DE ENCAIXE, INCLUSO TRANSPORTE VERTICAL. AF_10/2025</t>
  </si>
  <si>
    <t>RETIRADA E RECOLOCAÇÃO DE RIPA DE MADEIRA EM TELHADOS DE MAIS DE 2 ÁGUAS COM TELHA CERÂMICA CAPA-CANAL, INCLUSO TRANSPORTE VERTICAL. AF_10/2025</t>
  </si>
  <si>
    <t>RETIRADA E RECOLOCAÇÃO DE RIPA DE MADEIRA EM TELHADOS DE MAIS DE 2 ÁGUAS COM TELHA CERÂMICA OU DE CONCRETO DE ENCAIXE, INCLUSO TRANSPORTE VERTICAL. AF_10/2025</t>
  </si>
  <si>
    <t>TRAMA DE AÇO COMPOSTA POR RIPAS E CAIBROS PARA TELHADOS DE ATÉ 2 ÁGUAS PARA TELHA CERÂMICA CAPA-CANAL, INCLUSO TRANSPORTE VERTICAL, EXCLUSIVE PINTURA. AF_10/2025</t>
  </si>
  <si>
    <t>TRAMA DE AÇO COMPOSTA POR RIPAS E CAIBROS PARA TELHADOS DE ATÉ 2 ÁGUAS PARA TELHA DE ENCAIXE DE CERÂMICA OU DE CONCRETO, INCLUSO TRANSPORTE VERTICAL, EXCLUSIVE PINTURA. AF_10/2025</t>
  </si>
  <si>
    <t>TRAMA DE AÇO COMPOSTA POR RIPAS E CAIBROS PARA TELHADOS DE MAIS DE 2 ÁGUAS PARA TELHA CERÂMICA CAPA-CANAL, INCLUSO TRANSPORTE VERTICAL, EXCLUSIVE PINTURA. AF_10/2025</t>
  </si>
  <si>
    <t>TRAMA DE AÇO COMPOSTA POR RIPAS E CAIBROS PARA TELHADOS DE MAIS DE 2 ÁGUAS PARA TELHA DE ENCAIXE DE CERÂMICA OU DE CONCRETO, INCLUSO TRANSPORTE VERTICAL, EXCLUSIVE PINTURA. AF_10/2025</t>
  </si>
  <si>
    <t>TRAMA DE AÇO COMPOSTA POR RIPAS PARA TELHADOS DE ATÉ 2 ÁGUAS PARA TELHA CERÂMICA CAPA-CANAL, INCLUSO TRANSPORTE VERTICAL, EXCLUSIVE PINTURA. AF_10/2025</t>
  </si>
  <si>
    <t>TRAMA DE AÇO COMPOSTA POR RIPAS PARA TELHADOS DE ATÉ 2 ÁGUAS PARA TELHA DE ENCAIXE DE CERÂMICA OU DE CONCRETO, INCLUSO TRANSPORTE VERTICAL, EXCLUSIVE PINTURA. AF_10/2025</t>
  </si>
  <si>
    <t>TRAMA DE AÇO COMPOSTA POR RIPAS PARA TELHADOS DE MAIS DE 2 ÁGUAS PARA TELHA CERÂMICA CAPA-CANAL, INCLUSO TRANSPORTE VERTICAL, EXCLUSIVE PINTURA. AF_10/2025</t>
  </si>
  <si>
    <t>TRAMA DE AÇO COMPOSTA POR RIPAS PARA TELHADOS DE MAIS DE 2 ÁGUAS PARA TELHA DE ENCAIXE DE CERÂMICA OU DE CONCRETO, INCLUSO TRANSPORTE VERTICAL, EXCLUSIVE PINTURA. AF_10/2025</t>
  </si>
  <si>
    <t>TRAMA DE AÇO COMPOSTA POR RIPAS, CAIBROS E TERÇAS PARA TELHADOS DE ATÉ 2 ÁGUAS PARA TELHA CERÂMICA CAPA-CANAL, INCLUSO TRANSPORTE VERTICAL, EXCLUSIVE PINTURA. AF_10/2025</t>
  </si>
  <si>
    <t>TRAMA DE AÇO COMPOSTA POR RIPAS, CAIBROS E TERÇAS PARA TELHADOS DE ATÉ 2 ÁGUAS PARA TELHA DE ENCAIXE DE CERÂMICA OU DE CONCRETO, INCLUSO TRANSPORTE VERTICAL, EXCLUSIVE PINTURA. AF_10/2025</t>
  </si>
  <si>
    <t>TRAMA DE AÇO COMPOSTA POR RIPAS, CAIBROS E TERÇAS PARA TELHADOS DE MAIS DE 2 ÁGUAS PARA TELHA CERÂMICA CAPA-CANAL, INCLUSO TRANSPORTE VERTICAL, EXCLUSIVE PINTURA. AF_10/2025</t>
  </si>
  <si>
    <t>TRAMA DE AÇO COMPOSTA POR RIPAS, CAIBROS E TERÇAS PARA TELHADOS DE MAIS DE 2 ÁGUAS PARA TELHA DE ENCAIXE DE CERÂMICA OU DE CONCRETO, INCLUSO TRANSPORTE VERTICAL, EXCLUSIVE PINTURA. AF_10/2025</t>
  </si>
  <si>
    <t>TRAMA DE AÇO COMPOSTA POR TERÇAS PARA TELHADOS DE ATÉ 2 ÁGUAS PARA TELHA ESTRUTURAL DE FIBROCIMENTO, INCLUSO TRANSPORTE VERTICAL, EXCLUSIVE PINTURA. AF_10/2025</t>
  </si>
  <si>
    <t>TRAMA DE AÇO COMPOSTA POR TERÇAS PARA TELHADOS DE ATÉ 2 ÁGUAS PARA TELHA ONDULADA DE FIBROCIMENTO, METÁLICA, PLÁSTICA OU TERMOACÚSTICA, INCLUSO TRANSPORTE VERTICAL (EM KG). EXCLUSIVE PINTURA. AF_10/2025_PS</t>
  </si>
  <si>
    <t>TRAMA DE AÇO COMPOSTA POR TERÇAS PARA TELHADOS DE ATÉ 2 ÁGUAS PARA TELHA ONDULADA DE FIBROCIMENTO, METÁLICA, PLÁSTICA OU TERMOACÚSTICA, INCLUSO TRANSPORTE VERTICAL, EXCLUSIVE PINTURA. AF_10/2025_PS</t>
  </si>
  <si>
    <t>TRAMA DE MADEIRA COMPOSTA POR RIPAS, CAIBROS E TERÇAS PARA TELHADOS DE ATÉ 2 ÁGUAS PARA TELHA CERÂMICA OU DE CONCRETO, INCLUSO TRANSPORTE VERTICAL. AF_10/2025</t>
  </si>
  <si>
    <t>TRAMA DE MADEIRA COMPOSTA POR RIPAS, CAIBROS E TERÇAS PARA TELHADOS DE MAIS QUE 2 ÁGUAS PARA TELHA CERÂMICA OU DE CONCRETO, INCLUSO TRANSPORTE VERTICAL. AF_10/2025</t>
  </si>
  <si>
    <t>TRAMA DE MADEIRA COMPOSTA POR TERÇAS PARA TELHADOS DE ATÉ 2 ÁGUAS PARA TELHA ESTRUTURAL DE FIBROCIMENTO, INCLUSO TRANSPORTE VERTICAL. AF_10/2025</t>
  </si>
  <si>
    <t>TRAMA DE MADEIRA COMPOSTA POR TERÇAS PARA TELHADOS DE ATÉ 2 ÁGUAS PARA TELHA ONDULADA DE FIBROCIMENTO, METÁLICA, PLÁSTICA OU TERMOACÚSTICA, INCLUSO TRANSPORTE VERTICAL. AF_10/2025</t>
  </si>
  <si>
    <t>FORRO EM FIBRA MINERAL, PARA AMBIENTES COMERCIAIS, INCLUSIVE ESTRUTURA DE FIXAÇÃO. AF_08/2023_PS</t>
  </si>
  <si>
    <t>EXECUÇÃO DE GEODRENO VERTICAL, PROFUNDIDADE MAIOR QUE 10 M E MENOR OU IGUAL A 30 M. AF_01/2026</t>
  </si>
  <si>
    <t>EXECUÇÃO DE GEODRENO VERTICAL, PROFUNDIDADE MENOR OU IGUAL A 10 M. AF_01/2026</t>
  </si>
  <si>
    <t>EXECUÇÃO DE PRÉ-FURO PARA GEODRENO VERTICAL. AF_01/2026</t>
  </si>
  <si>
    <t>CORRIMÃO DUPLO CENTRAL FIXADO NO PISO EM AÇO GALVANIZADO DE 1.1/2", MONTANTES TUBULARES 1.1/2" ESPAÇADOS DE 1,00M, FIXADO COM CHUMBADOR MECÂNICO. AF_10/2025</t>
  </si>
  <si>
    <t>CORRIMÃO DUPLO CENTRAL FIXADO NO PISO EM AÇO INOX DE 1.1/2", MONTANTES TUBULARES 1.1/2" ESPAÇADOS DE 1,00M, FIXADO COM CHUMBADOR MECÂNICO. AF_10/2025</t>
  </si>
  <si>
    <t>CORRIMÃO DUPLO FIXADO EM PAREDE, DIÂMETRO EXTERNO = 1 1/2", EM ALUMÍNIO. AF_10/2025</t>
  </si>
  <si>
    <t>CORRIMÃO DUPLO FIXADO EM PAREDE, DIÂMETRO EXTERNO = 1 1/2", EM AÇO GALVANIZADO. AF_10/2025</t>
  </si>
  <si>
    <t>CORRIMÃO DUPLO FIXADO EM PAREDE, DIÂMETRO EXTERNO = 1 1/2", EM AÇO INOX. AF_10/2025</t>
  </si>
  <si>
    <t>CORRIMÃO DUPLO FIXADO NO PISO EM AÇO GALVANIZADO DE 1.1/2", MONTANTES TUBULARES 1.1/2" ESPAÇADOS DE 1,00M, FIXADO COM CHUMBADOR MECÂNICO. AF_10/2025</t>
  </si>
  <si>
    <t>CORRIMÃO DUPLO FIXADO NO PISO EM AÇO INOX DE 1.1/2", MONTANTES TUBULARES 1.1/2" ESPAÇADOS DE 1,00M, FIXADO COM CHUMBADOR MECÂNICO. AF_10/2025</t>
  </si>
  <si>
    <t>CORRIMÃO SIMPLES FIXADO EM PAREDE, DIÂMETRO EXTERNO = 1 1/2", EM ALUMÍNIO. AF_10/2025_PS</t>
  </si>
  <si>
    <t>CORRIMÃO SIMPLES FIXADO EM PAREDE, DIÂMETRO EXTERNO = 1 1/2", EM AÇO GALVANIZADO. AF_10/2025_PS</t>
  </si>
  <si>
    <t>CORRIMÃO SIMPLES FIXADO EM PAREDE, DIÂMETRO EXTERNO = 1 1/2", EM AÇO INOX. AF_10/2025</t>
  </si>
  <si>
    <t>CORRIMÃO SIMPLES FIXADO NO PISO EM AÇO GALVANIZADO DE 1.1/2", MONTANTES TUBULARES 1.1/2" ESPAÇADOS DE 1,00M, FIXADO COM CHUMBADOR MECÂNICO. AF_10/2025</t>
  </si>
  <si>
    <t>CORRIMÃO SIMPLES FIXADO NO PISO EM AÇO INOX DE 1.1/2", MONTANTES TUBULARES 1.1/2" ESPAÇADOS DE 1,00M, FIXADO COM CHUMBADOR MECÂNICO. AF_10/2025</t>
  </si>
  <si>
    <t>GRADIL EM ALUMÍNIO FIXADO EM VÃOS DE JANELAS, FORMADO POR TUBOS DE 3/4". AF_10/2025</t>
  </si>
  <si>
    <t>GRADIL EM AÇO FIXADO EM VÃOS DE JANELAS, FORMADO POR BARRAS CHATAS DE 25X4,8 MM. AF_10/2025</t>
  </si>
  <si>
    <t>GUARDA-CORPO DE AÇO GALVANIZADO 0,92 M, DUPLO CORRIMÃO, MONTANTES TUBULARES DE 1.1/4" ESPAÇADOS DE 1,20M, TRAVESSA SUPERIOR E CORRIMÃO DE 1.1/2", GRADIL FORMADO POR TUBOS HORIZONTAIS DE 3/4", FIXADO COM CHUMBADORES MECÂNICOS. AF_10/2025</t>
  </si>
  <si>
    <t>GUARDA-CORPO DE AÇO GALVANIZADO COMPLEMENTAR À ALVENARIA, 0,65 M DE ALTURA, MONTANTES TUBULARES DE 1 1/4" ESPAÇADOS DE 1,80 M, TRAVESSA SUPERIOR DE 1 1/2", GRADIL FORMADO POR TUBOS HORIZONTAIS DE 1" E VERTICAIS DE 3/4", FIXADO COM ADESIVO ESTRUTURAL EPÓXI. AF_10/2025</t>
  </si>
  <si>
    <t>GUARDA-CORPO DE AÇO GALVANIZADO COMPLEMENTAR À ALVENARIA, 0,65 M DE ALTURA, MONTANTES TUBULARES DE 1 1/4" ESPAÇADOS DE 1,80 M, TRAVESSA SUPERIOR DE 1 1/2", GRADIL FORMADO POR TUBOS HORIZONTAIS DE 3/4", FIXADO COM ADESIVO ESTRUTURAL EPÓXI. AF_10/2025</t>
  </si>
  <si>
    <t>GUARDA-CORPO DE AÇO GALVANIZADO DE 1,10M, DUPLO CORRIMÃO, MONTANTES TUBULARES DE 1.1/2" ESPAÇADOS DE 1,20M, TRAVESSA SUPERIOR DE 2", GRADIL DE BARRAS CHATAS DE 32X4,8MM, FIXADO COM ADESIVO ESTRUTURAL EPOXI. AF_10/2025</t>
  </si>
  <si>
    <t>GUARDA-CORPO DE AÇO GALVANIZADO DE 1,10M, DUPLO CORRIMÃO, MONTANTES TUBULARES DE 1.1/4" ESPAÇADOS DE 1,20M, TRAVESSA SUPERIOR DE 1.1/2", GRADIL EM TUBOS HORIZONTAIS DE 1" E VERTICAIS DE 3/4", FIXADO COM ADESIVO ESTRUTURAL EPOXI. AF_10/2025</t>
  </si>
  <si>
    <t>GUARDA-CORPO DE AÇO GALVANIZADO DE 1,10M, DUPLO CORRIMÃO, MONTANTES TUBULARES DE 100X50MM ESPAÇADOS DE 1,20M, TRAVESSA SUPERIOR DE 3", GRADIL EM CANTONEIRA 51X51X4,8 MM E BARRAS CHATAS NA VERTICAL DE 32X4,8 MM, FIXADO COM ADESIVO EPOXI. AF_10/2025</t>
  </si>
  <si>
    <t>GUARDA-CORPO DE AÇO GALVANIZADO DE 1,10M, DUPLO CORRIMÃO, MONTANTES TUBULARES DE 30X30 MM ESPAÇADOS DE 1,20M, TRAVESSA SUPERIOR DE 1.1/2", GRADIL EM TUBOS HORIZONTAIS DE 25X25MM E VERTICAIS DE 20X20MM, FIXADO COM ADESIVO ESTRUTURAL EPOXI. AF_10/2025</t>
  </si>
  <si>
    <t>GUARDA-CORPO DE AÇO GALVANIZADO DE 1,10M, MONTANTES TUBULARES DE 1.1/2" ESPAÇADOS 1,20M, TRAVESSA SUPERIOR DE 2", GRADIL FORMADO POR BARRAS CHATAS DE 32X4,8MM, FIXADO COM ADESIVO ESTRUTURAL EPOXI. AF_10/2025</t>
  </si>
  <si>
    <t>GUARDA-CORPO DE AÇO GALVANIZADO DE 1,10M, MONTANTES TUBULARES DE 1.1/4" ESPAÇADOS 1,20M, TRAVESSA SUPERIOR DE 1.1/2", GRADIL FORMADO POR TUBOS HORIZONTAIS DE 1" E VERTICAIS DE 3/4", FIXADO COM ADESIVO ESTRUTURAL EPOXI. AF_10/2025_PS</t>
  </si>
  <si>
    <t>GUARDA-CORPO DE AÇO GALVANIZADO DE 1,10M, MONTANTES TUBULARES DE 100X50MM ESPAÇADOS DE 1,20M, TRAVESSA SUPERIOR DE 3", GRADIL EM CANTONEIRA 51X51X4,8 MM E BARRAS CHATAS NA VERTICAL DE 32X4,8 MM, FIXADO COM ADESIVO ESTRUTURAL EPOXI. AF_10/2025</t>
  </si>
  <si>
    <t>GUARDA-CORPO DE AÇO GALVANIZADO DE 1,10M, MONTANTES TUBULARES DE 30X30 MM ESPAÇADOS 1,20M, TRAVESSA SUPERIOR DE 1.1/2", GRADIL DE TUBOS HORIZONTAIS DE 25X25MM E VERTICAIS DE 20X20MM, FIXADO COM ADESIVO ESTRUTURAL EPOXI. AF_10/2025</t>
  </si>
  <si>
    <t>GUARDA-CORPO DE AÇO INOX DE 0,92 M, DUPLO CORRIMÃO, MONTANTES TUBULARES DE 1.1/4" ESPAÇADOS DE 1,20M, TRAVESSA SUPERIOR E CORRIMÃO DE 1.1/2", GRADIL FORMADO POR TUBOS HORIZONTAIS DE 3/4", FIXADO COM CHUMBADORES MECÂNICOS. AF_10/2025</t>
  </si>
  <si>
    <t>GUARDA-CORPO DE VIDRO LAMINADO 8 MM PARA ESCADAS, FIXADO NA LATERAL DOS DEGRAUS COM CHUMBADOR MECÂNICO. AF_10/2025</t>
  </si>
  <si>
    <t>GUARDA-CORPO EM AÇO INOX DE 1,10 M, COM MONTANTES TUBULARES DE 1 1/4" ESPAÇADOS DE 1,20 M, TRAVESSA SUPERIOR DE 1 1/2", PREENCHIMENTO EM VIDRO LAMINADO DE 8 MM (4+4), FIXADO COM CHUMBADOR MECÂNICO. AF_10/2025</t>
  </si>
  <si>
    <t>GUARDA-CORPO PANORÂMICO DE 1,10M, MONTANTES EM ALUMÍNIO DE 90X45 MM ESPAÇADOS DE 1,20M, TRAVESSA SUPERIOR EM ALUMÍNIO DE 120X60 MM E VIDRO LAMINADO 8 MM, FIXADO COM ADESIVO ESTRUTURAL EPOXI. AF_10/2025</t>
  </si>
  <si>
    <t>IMPERMEABILIZAÇÃO DE SUPERFÍCIE COM ARGAMASSA POLIMÉRICA / MEMBRANA ACRÍLICA, 4 DEMÃOS, REFORÇADA COM VÉU DE POLIÉSTER. AF_09/2023</t>
  </si>
  <si>
    <t>TRATAMENTO DE RALO OU PONTO EMERGENTE COM ARGAMASSA POLIMÉRICA / MEMBRANA ACRÍLICA REFORÇADO COM VÉU DE POLIÉSTER. AF_09/2023</t>
  </si>
  <si>
    <t>TRATAMENTO DE RODAPÉ COM VÉU DE POLIÉSTER. AF_09/2023</t>
  </si>
  <si>
    <t>CONDULETE DE ALUMÍNIO, TIPO B, PARA ELETRODUTO DE AÇO GALVANIZADO DN 20 MM (3/4''), APARENTE - FORNECIMENTO E INSTALAÇÃO. AF_01/2026</t>
  </si>
  <si>
    <t>CONDULETE DE ALUMÍNIO, TIPO B, PARA ELETRODUTO DE AÇO GALVANIZADO DN 25 MM (1''), APARENTE - FORNECIMENTO E INSTALAÇÃO. AF_01/2026</t>
  </si>
  <si>
    <t>CONDULETE DE ALUMÍNIO, TIPO B, PARA ELETRODUTO DE AÇO GALVANIZADO DN 32 MM (1 1/4''), APARENTE - FORNECIMENTO E INSTALAÇÃO. AF_01/2026</t>
  </si>
  <si>
    <t>CONDULETE DE ALUMÍNIO, TIPO C, PARA ELETRODUTO DE AÇO GALVANIZADO DN 20 MM (3/4''), APARENTE - FORNECIMENTO E INSTALAÇÃO. AF_01/2026</t>
  </si>
  <si>
    <t>CONDULETE DE ALUMÍNIO, TIPO C, PARA ELETRODUTO DE AÇO GALVANIZADO DN 25 MM (1''), APARENTE - FORNECIMENTO E INSTALAÇÃO. AF_01/2026</t>
  </si>
  <si>
    <t>CONDULETE DE ALUMÍNIO, TIPO C, PARA ELETRODUTO DE AÇO GALVANIZADO DN 32 MM (1 1/4''), APARENTE - FORNECIMENTO E INSTALAÇÃO. AF_01/2026</t>
  </si>
  <si>
    <t>CONDULETE DE ALUMÍNIO, TIPO E, ELETRODUTO DE AÇO GALVANIZADO DN 25 MM (1''), APARENTE - FORNECIMENTO E INSTALAÇÃO. AF_01/2026</t>
  </si>
  <si>
    <t>CONDULETE DE ALUMÍNIO, TIPO E, PARA ELETRODUTO DE AÇO GALVANIZADO DN 20 MM (3/4''), APARENTE - FORNECIMENTO E INSTALAÇÃO. AF_01/2026</t>
  </si>
  <si>
    <t>CONDULETE DE ALUMÍNIO, TIPO E, PARA ELETRODUTO DE AÇO GALVANIZADO DN 32 MM (1 1/4''), APARENTE - FORNECIMENTO E INSTALAÇÃO. AF_01/2026</t>
  </si>
  <si>
    <t>CONDULETE DE ALUMÍNIO, TIPO LB, PARA ELETRODUTO DE AÇO GALVANIZADO DN 20 MM (3/4''), APARENTE - FORNECIMENTO E INSTALAÇÃO. AF_01/2026</t>
  </si>
  <si>
    <t>CONDULETE DE ALUMÍNIO, TIPO LB, PARA ELETRODUTO DE AÇO GALVANIZADO DN 25 MM (1''), APARENTE - FORNECIMENTO E INSTALAÇÃO. AF_01/2026</t>
  </si>
  <si>
    <t>CONDULETE DE ALUMÍNIO, TIPO LB, PARA ELETRODUTO DE AÇO GALVANIZADO DN 32 MM (1 1/4''), APARENTE - FORNECIMENTO E INSTALAÇÃO. AF_01/2026</t>
  </si>
  <si>
    <t>CONDULETE DE ALUMÍNIO, TIPO LL, PARA ELETRODUTO DE AÇO GALVANIZADO DN 20 MM (3/4''), APARENTE - FORNECIMENTO E INSTALAÇÃO. AF_01/2026</t>
  </si>
  <si>
    <t>CONDULETE DE ALUMÍNIO, TIPO LL, PARA ELETRODUTO DE AÇO GALVANIZADO DN 25 MM (1''), APARENTE - FORNECIMENTO E INSTALAÇÃO. AF_01/2026</t>
  </si>
  <si>
    <t>CONDULETE DE ALUMÍNIO, TIPO LL, PARA ELETRODUTO DE AÇO GALVANIZADO DN 32 MM (1 1/4''), APARENTE - FORNECIMENTO E INSTALAÇÃO. AF_01/2026</t>
  </si>
  <si>
    <t>CONDULETE DE ALUMÍNIO, TIPO LR, PARA ELETRODUTO DE AÇO GALVANIZADO DN 20 MM (3/4''), APARENTE - FORNECIMENTO E INSTALAÇÃO. AF_01/2026</t>
  </si>
  <si>
    <t>CONDULETE DE ALUMÍNIO, TIPO LR, PARA ELETRODUTO DE AÇO GALVANIZADO DN 25 MM (1''), APARENTE - FORNECIMENTO E INSTALAÇÃO. AF_01/2026</t>
  </si>
  <si>
    <t>CONDULETE DE ALUMÍNIO, TIPO LR, PARA ELETRODUTO DE AÇO GALVANIZADO DN 32 MM (1 1/4''), APARENTE - FORNECIMENTO E INSTALAÇÃO. AF_01/2026</t>
  </si>
  <si>
    <t>CONDULETE DE ALUMÍNIO, TIPO T, PARA ELETRODUTO DE AÇO GALVANIZADO DN 20 MM (3/4''), APARENTE - FORNECIMENTO E INSTALAÇÃO. AF_01/2026</t>
  </si>
  <si>
    <t>CONDULETE DE ALUMÍNIO, TIPO T, PARA ELETRODUTO DE AÇO GALVANIZADO DN 25 MM (1''), APARENTE - FORNECIMENTO E INSTALAÇÃO. AF_01/2026</t>
  </si>
  <si>
    <t>CONDULETE DE ALUMÍNIO, TIPO T, PARA ELETRODUTO DE AÇO GALVANIZADO DN 32 MM (1 1/4''), APARENTE - FORNECIMENTO E INSTALAÇÃO. AF_01/2026</t>
  </si>
  <si>
    <t>CONDULETE DE ALUMÍNIO, TIPO TB, PARA ELETRODUTO DE AÇO GALVANIZADO DN 20 MM (3/4''), APARENTE - FORNECIMENTO E INSTALAÇÃO. AF_01/2026</t>
  </si>
  <si>
    <t>CONDULETE DE ALUMÍNIO, TIPO TB, PARA ELETRODUTO DE AÇO GALVANIZADO DN 25 MM (1''), APARENTE - FORNECIMENTO E INSTALAÇÃO. AF_01/2026</t>
  </si>
  <si>
    <t>CONDULETE DE ALUMÍNIO, TIPO TB, PARA ELETRODUTO DE AÇO GALVANIZADO DN 32 MM (1 1/4''), APARENTE - FORNECIMENTO E INSTALAÇÃO. AF_01/2026</t>
  </si>
  <si>
    <t>CONDULETE DE ALUMÍNIO, TIPO X, PARA ELETRODUTO DE AÇO GALVANIZADO DN 20 MM (3/4''), APARENTE - FORNECIMENTO E INSTALAÇÃO. AF_01/2026</t>
  </si>
  <si>
    <t>CONDULETE DE ALUMÍNIO, TIPO X, PARA ELETRODUTO DE AÇO GALVANIZADO DN 25 MM (1''), APARENTE - FORNECIMENTO E INSTALAÇÃO. AF_01/2026</t>
  </si>
  <si>
    <t>CONDULETE DE ALUMÍNIO, TIPO X, PARA ELETRODUTO DE AÇO GALVANIZADO DN 32 MM (1 1/4''), APARENTE - FORNECIMENTO E INSTALAÇÃO. AF_01/2026</t>
  </si>
  <si>
    <t>CONDULETE DE PVC, TIPO B, PARA ELETRODUTO DE PVC SOLDÁVEL DN 20 MM (1/2''), APARENTE - FORNECIMENTO E INSTALAÇÃO. AF_01/2026</t>
  </si>
  <si>
    <t>CONDULETE DE PVC, TIPO B, PARA ELETRODUTO DE PVC SOLDÁVEL DN 25 MM (3/4''), APARENTE - FORNECIMENTO E INSTALAÇÃO. AF_01/2026</t>
  </si>
  <si>
    <t>CONDULETE DE PVC, TIPO B, PARA ELETRODUTO DE PVC SOLDÁVEL DN 32 MM (1''), APARENTE - FORNECIMENTO E INSTALAÇÃO. AF_01/2026</t>
  </si>
  <si>
    <t>CONDULETE DE PVC, TIPO C, PARA ELETRODUTO DE PVC SOLDÁVEL DN 20 MM (1/2''), APARENTE - FORNECIMENTO E INSTALAÇÃO. AF_01/2026</t>
  </si>
  <si>
    <t>CONDULETE DE PVC, TIPO C, PARA ELETRODUTO DE PVC SOLDÁVEL DN 25 MM (3/4''), APARENTE - FORNECIMENTO E INSTALAÇÃO. AF_01/2026</t>
  </si>
  <si>
    <t>CONDULETE DE PVC, TIPO C, PARA ELETRODUTO DE PVC SOLDÁVEL DN 32 MM (1''), APARENTE - FORNECIMENTO E INSTALAÇÃO. AF_01/2026</t>
  </si>
  <si>
    <t>CONDULETE DE PVC, TIPO E, PARA ELETRODUTO DE PVC SOLDÁVEL DN 20 MM (1/2''), APARENTE - FORNECIMENTO E INSTALAÇÃO. AF_01/2026</t>
  </si>
  <si>
    <t>CONDULETE DE PVC, TIPO E, PARA ELETRODUTO DE PVC SOLDÁVEL DN 25 MM (3/4''), APARENTE - FORNECIMENTO E INSTALAÇÃO. AF_01/2026</t>
  </si>
  <si>
    <t>CONDULETE DE PVC, TIPO E, PARA ELETRODUTO DE PVC SOLDÁVEL DN 32 MM (1''), APARENTE - FORNECIMENTO E INSTALAÇÃO. AF_01/2026</t>
  </si>
  <si>
    <t>CONDULETE DE PVC, TIPO LB, PARA ELETRODUTO DE PVC SOLDÁVEL DN 20 MM (1/2''), APARENTE - FORNECIMENTO E INSTALAÇÃO. AF_01/2026</t>
  </si>
  <si>
    <t>CONDULETE DE PVC, TIPO LB, PARA ELETRODUTO DE PVC SOLDÁVEL DN 25 MM (3/4''), APARENTE - FORNECIMENTO E INSTALAÇÃO. AF_01/2026</t>
  </si>
  <si>
    <t>CONDULETE DE PVC, TIPO LB, PARA ELETRODUTO DE PVC SOLDÁVEL DN 32 MM (1''), APARENTE - FORNECIMENTO E INSTALAÇÃO. AF_01/2026</t>
  </si>
  <si>
    <t>CONDULETE DE PVC, TIPO LL, PARA ELETRODUTO DE PVC SOLDÁVEL DN 20 MM (1/2''), APARENTE - FORNECIMENTO E INSTALAÇÃO. AF_01/2026</t>
  </si>
  <si>
    <t>CONDULETE DE PVC, TIPO LL, PARA ELETRODUTO DE PVC SOLDÁVEL DN 25 MM (3/4''), APARENTE - FORNECIMENTO E INSTALAÇÃO. AF_01/2026</t>
  </si>
  <si>
    <t>CONDULETE DE PVC, TIPO LL, PARA ELETRODUTO DE PVC SOLDÁVEL DN 32 MM (1''), APARENTE - FORNECIMENTO E INSTALAÇÃO. AF_01/2026</t>
  </si>
  <si>
    <t>CONDULETE DE PVC, TIPO LR, PARA ELETRODUTO DE PVC SOLDÁVEL DN 20 MM (1/2''), APARENTE - FORNECIMENTO E INSTALAÇÃO. AF_01/2026</t>
  </si>
  <si>
    <t>CONDULETE DE PVC, TIPO LR, PARA ELETRODUTO DE PVC SOLDÁVEL DN 25 MM (3/4''), APARENTE - FORNECIMENTO E INSTALAÇÃO. AF_01/2026</t>
  </si>
  <si>
    <t>CONDULETE DE PVC, TIPO LR, PARA ELETRODUTO DE PVC SOLDÁVEL DN 32 MM (1''), APARENTE - FORNECIMENTO E INSTALAÇÃO. AF_01/2026</t>
  </si>
  <si>
    <t>CONDULETE DE PVC, TIPO T, PARA ELETRODUTO DE PVC SOLDÁVEL DN 25 MM (3/4''), APARENTE - FORNECIMENTO E INSTALAÇÃO. AF_01/2026</t>
  </si>
  <si>
    <t>CONDULETE DE PVC, TIPO T, PARA ELETRODUTO DE PVC SOLDÁVEL DN 32 MM (1''), APARENTE - FORNECIMENTO E INSTALAÇÃO. AF_01/2026</t>
  </si>
  <si>
    <t>CONDULETE DE PVC, TIPO TB, PARA ELETRODUTO DE PVC SOLDÁVEL DN 20 MM (1/2''), APARENTE - FORNECIMENTO E INSTALAÇÃO. AF_01/2026</t>
  </si>
  <si>
    <t>CONDULETE DE PVC, TIPO TB, PARA ELETRODUTO DE PVC SOLDÁVEL DN 25 MM (3/4''), APARENTE - FORNECIMENTO E INSTALAÇÃO. AF_01/2026</t>
  </si>
  <si>
    <t>CONDULETE DE PVC, TIPO TB, PARA ELETRODUTO DE PVC SOLDÁVEL DN 32 MM (1''), APARENTE - FORNECIMENTO E INSTALAÇÃO. AF_01/2026</t>
  </si>
  <si>
    <t>CONDULETE DE PVC, TIPO X, PARA ELETRODUTO DE PVC SOLDÁVEL DN 20 MM (1/2''), APARENTE - FORNECIMENTO E INSTALAÇÃO. AF_01/2026</t>
  </si>
  <si>
    <t>CONDULETE DE PVC, TIPO X, PARA ELETRODUTO DE PVC SOLDÁVEL DN 25 MM (3/4"), APARENTE - FORNECIMENTO E INSTALAÇÃO. AF_01/2026</t>
  </si>
  <si>
    <t>CONDULETE DE PVC, TIPO X, PARA ELETRODUTO DE PVC SOLDÁVEL DN 32 MM (1''), APARENTE - FORNECIMENTO E INSTALAÇÃO. AF_01/2026</t>
  </si>
  <si>
    <t>CONEXÕES ROSQUEÁVEIS PARA ELETRODUTO METÁLICO FLEXÍVEL COM CAPA (SEALTUBO) TERMINAL MACHO GIRATÓRIO, DIÂMETRO 1 1/4" - FORNECIMENTO E INSTALAÇÃO. AF_01/2026</t>
  </si>
  <si>
    <t>CONEXÕES ROSQUEÁVEIS PARA ELETRODUTO METÁLICO FLEXÍVEL COM CAPA (SEALTUBO) TERMINAL MACHO GIRATÓRIO, DIÂMETRO 1" - FORNECIMENTO E INSTALAÇÃO. AF_01/2026</t>
  </si>
  <si>
    <t>CONEXÕES ROSQUEÁVEIS PARA ELETRODUTO METÁLICO FLEXÍVEL COM CAPA (SEALTUBO) TERMINAL MACHO GIRATÓRIO, DIÂMETRO 3/4"- FORNECIMENTO E INSTALAÇÃO. AF_01/2026</t>
  </si>
  <si>
    <t>CURVA 135 GRAUS PARA ELETRODUTO, AÇO GALVANIZADO, DN 20 MM (3/4''), APARENTE - FORNECIMENTO E INSTALAÇÃO. AF_01/2026</t>
  </si>
  <si>
    <t>CURVA 135 GRAUS PARA ELETRODUTO, AÇO GALVANIZADO, DN 25 MM (1''), APARENTE - FORNECIMENTO E INSTALAÇÃO. AF_01/2026</t>
  </si>
  <si>
    <t>CURVA 135 GRAUS PARA ELETRODUTO, AÇO GALVANIZADO, DN 32 MM (1 1/4''), APARENTE - FORNECIMENTO E INSTALAÇÃO. AF_01/2026</t>
  </si>
  <si>
    <t>CURVA 135 GRAUS PARA ELETRODUTO, AÇO GALVANIZADO, DN 40 MM (1 1/2''), APARENTE - FORNECIMENTO E INSTALAÇÃO. AF_01/2026</t>
  </si>
  <si>
    <t>CURVA 45 GRAUS PARA ELETRODUTO, AÇO GALVANIZADO, DN 20 MM (3/4''), APARENTE - FORNECIMENTO E INSTALAÇÃO. AF_01/2026</t>
  </si>
  <si>
    <t>CURVA 45 GRAUS PARA ELETRODUTO, AÇO GALVANIZADO, DN 25 MM (1''), APARENTE - FORNECIMENTO E INSTALAÇÃO. AF_01/2026</t>
  </si>
  <si>
    <t>CURVA 45 GRAUS PARA ELETRODUTO, AÇO GALVANIZADO, DN 32 MM (1 1/4''), APARENTE - FORNECIMENTO E INSTALAÇÃO. AF_01/2026</t>
  </si>
  <si>
    <t>CURVA 45 GRAUS PARA ELETRODUTO, AÇO GALVANIZADO, DN 40 MM (1 1/2''), APARENTE - FORNECIMENTO E INSTALAÇÃO. AF_01/2026</t>
  </si>
  <si>
    <t>CURVA 90 GRAUS PARA ELETRODUTO, AÇO GALVANIZADO, DN 20 MM (3/4''), APARENTE - FORNECIMENTO E INSTALAÇÃO. AF_01/2026</t>
  </si>
  <si>
    <t>CURVA 90 GRAUS PARA ELETRODUTO, AÇO GALVANIZADO, DN 25 MM (1"), APARENTE - FORNECIMENTO E INSTALAÇÃO. AF_01/2026</t>
  </si>
  <si>
    <t>CURVA 90 GRAUS PARA ELETRODUTO, AÇO GALVANIZADO, DN 32 MM (1 1/4''), APARENTE - FORNECIMENTO E INSTALAÇÃO. AF_01/2026</t>
  </si>
  <si>
    <t>CURVA 90 GRAUS PARA ELETRODUTO, AÇO GALVANIZADO, DN 40 MM (1 1/2''), APARENTE - FORNECIMENTO E INSTALAÇÃO. AF_01/2026</t>
  </si>
  <si>
    <t>CURVA 90 GRAUS PARA ELETRODUTO, PVC, SOLDÁVEL, DN 20 MM (1/2''), APARENTE - FORNECIMENTO E INSTALAÇÃO. AF_01/2026</t>
  </si>
  <si>
    <t>CURVA 90 GRAUS PARA ELETRODUTO, PVC, SOLDÁVEL, DN 25 MM (3/4''), APARENTE - FORNECIMENTO E INSTALAÇÃO. AF_01/2026</t>
  </si>
  <si>
    <t>CURVA 90 GRAUS PARA ELETRODUTO, PVC, SOLDÁVEL, DN 32 MM (1''), APARENTE - FORNECIMENTO E INSTALAÇÃO. AF_01/2026</t>
  </si>
  <si>
    <t>ELETRODUTO METÁLICO ZINCADO FLEXÍVEL COM CAPA (SEALTUBO), DIÂMETRO 1 1/4"- FORNECIMENTO E INSTALAÇÃO. AF_01/2026</t>
  </si>
  <si>
    <t>ELETRODUTO METÁLICO ZINCADO FLEXÍVEL COM CAPA (SEALTUBO), DIÂMETRO 1"- FORNECIMENTO E INSTALAÇÃO. AF_01/2026</t>
  </si>
  <si>
    <t>ELETRODUTO METÁLICO ZINCADO FLEXÍVEL COM CAPA (SEALTUBO),  DIÂMETRO 3/4"- FORNECIMENTO E INSTALAÇÃO. AF_01/2026</t>
  </si>
  <si>
    <t>ELETRODUTO RÍGIDO SOLDÁVEL, PVC, DN 20 MM (1/2"), APARENTE - FORNECIMENTO E INSTALAÇÃO. AF_01/2026</t>
  </si>
  <si>
    <t>ELETRODUTO RÍGIDO SOLDÁVEL, PVC, DN 25 MM (3/4"), APARENTE - FORNECIMENTO E INSTALAÇÃO. AF_01/2026</t>
  </si>
  <si>
    <t>ELETRODUTO RÍGIDO SOLDÁVEL, PVC, DN 32 MM (1"), APARENTE - FORNECIMENTO E INSTALAÇÃO. AF_01/2026</t>
  </si>
  <si>
    <t>ELETRODUTO RÍGIDO, EM AÇO ZINCADO OU GALVANIZADO, TIPO PESADO, DN=1 1/2", APARENTE - FORNECIMENTO E INSTALAÇÃO. AF_01/2026</t>
  </si>
  <si>
    <t>ELETRODUTO RÍGIDO, EM AÇO ZINCADO OU GALVANIZADO, TIPO PESADO, DN=1 1/4", APARENTE- FORNECIMENTO E INSTALAÇÃO. AF_01/2026</t>
  </si>
  <si>
    <t>ELETRODUTO RÍGIDO, EM AÇO ZINCADO OU GALVANIZADO, TIPO PESADO, DN=1", APARENTE - FORNECIMENTO E INSTALAÇÃO. AF_01/2026</t>
  </si>
  <si>
    <t>ELETRODUTO RÍGIDO, EM AÇO ZINCADO OU GALVANIZADO, TIPO PESADO, DN=3/4", APARENTE - FORNECIMENTO E INSTALAÇÃO. AF_01/2026</t>
  </si>
  <si>
    <t>LUVA DE EMENDA PARA ELETRODUTO, AÇO GALVANIZADO, DN 20 MM (3/4''), APARENTE - FORNECIMENTO E INSTALAÇÃO. AF_01/2026</t>
  </si>
  <si>
    <t>LUVA DE EMENDA PARA ELETRODUTO, AÇO GALVANIZADO, DN 25 MM (1''), APARENTE - FORNECIMENTO E INSTALAÇÃO. AF_01/2026</t>
  </si>
  <si>
    <t>LUVA DE EMENDA PARA ELETRODUTO, AÇO GALVANIZADO, DN 32 MM (1 1/4''), APARENTE - FORNECIMENTO E INSTALAÇÃO. AF_01/2026</t>
  </si>
  <si>
    <t>LUVA DE EMENDA PARA ELETRODUTO, AÇO GALVANIZADO, DN 40 MM (1 1/2''), APARENTE - FORNECIMENTO E INSTALAÇÃO. AF_01/2026</t>
  </si>
  <si>
    <t>LUVA PARA ELETRODUTO, PVC, SOLDÁVEL, DN 20 MM (1/2''), APARENTE - FORNECIMENTO E INSTALAÇÃO. AF_01/2026</t>
  </si>
  <si>
    <t>LUVA PARA ELETRODUTO, PVC, SOLDÁVEL, DN 25 MM (3/4''), APARENTE - FORNECIMENTO E INSTALAÇÃO. AF_01/2026</t>
  </si>
  <si>
    <t>LUVA PARA ELETRODUTO, PVC, SOLDÁVEL, DN 32 MM (1''), APARENTE - FORNECIMENTO E INSTALAÇÃO. AF_01/2026</t>
  </si>
  <si>
    <t>ALÇA PREFORMADA DE DISTRIBUIÇÃO, EM AÇO GALVANIZADO, AWG 1 - FORNECIMENTO E INSTALAÇÃO. AF_12/2025</t>
  </si>
  <si>
    <t>ALÇA PREFORMADA DE DISTRIBUIÇÃO, EM AÇO GALVANIZADO, AWG 2 - FORNECIMENTO E INSTALAÇÃO. AF_12/2025</t>
  </si>
  <si>
    <t>ALÇA PREFORMADA DE DISTRIBUIÇÃO, EM AÇO GALVANIZADO, AWG 4 - FORNECIMENTO E INSTALAÇÃO. AF_12/2025</t>
  </si>
  <si>
    <t>ALÇA PREFORMADA DE DISTRIBUIÇÃO, EM AÇO GALVANIZADO, AWG 6 - FORNECIMENTO E INSTALAÇÃO. AF_12/2025</t>
  </si>
  <si>
    <t>APARELHO SINALIZADOR DE SAÍDA DE GARAGEM, COM CÉLULA FOTOELÉTRICA - FORNECIMENTO E INSTALAÇÃO. AF_12/2025</t>
  </si>
  <si>
    <t>ARMAÇÃO SECUNDÁRIA, COM 1 ESTRIBO E 1 ISOLADOR - FORNECIMENTO E INSTALAÇÃO. AF_12/2025</t>
  </si>
  <si>
    <t>ARMAÇÃO SECUNDÁRIA, COM 1 ESTRIBO, SEM ISOLADOR - FORNECIMENTO E INSTALAÇÃO. AF_12/2025</t>
  </si>
  <si>
    <t>ARMAÇÃO SECUNDÁRIA, COM 2 ESTRIBOS E 2 ISOLADORES - FORNECIMENTO E INSTALAÇÃO. AF_12/2025</t>
  </si>
  <si>
    <t>ARMAÇÃO SECUNDÁRIA, COM 2 ESTRIBOS, SEM ISOLADOR - FORNECIMENTO E INSTALAÇÃO. AF_12/2025</t>
  </si>
  <si>
    <t>ARMAÇÃO SECUNDÁRIA, COM 3 ESTRIBOS E 3 ISOLADORES - FORNECIMENTO E INSTALAÇÃO. AF_12/2025</t>
  </si>
  <si>
    <t>ARMAÇÃO SECUNDÁRIA, COM 3 ESTRIBOS, SEM ISOLADOR - FORNECIMENTO E INSTALAÇÃO. AF_12/2025</t>
  </si>
  <si>
    <t>ARMAÇÃO SECUNDÁRIA, COM 4 ESTRIBOS E 4 ISOLADORES - FORNECIMENTO E INSTALAÇÃO. AF_12/2025</t>
  </si>
  <si>
    <t>ARMAÇÃO SECUNDÁRIA, COM 4 ESTRIBOS, SEM ISOLADOR - FORNECIMENTO E INSTALAÇÃO. AF_12/2025</t>
  </si>
  <si>
    <t>CABO DE ALUMÍNIO NÚ COM ALMA DE AÇO, BITOLA 1/0 AWG PARA REDE AÉREA DE DISTRIBUIÇÃO DE ENERGIA ELÉTRICA DE MÉDIA TENSÃO - FORNECIMENTO E INSTALAÇÃO. AF_12/2025</t>
  </si>
  <si>
    <t>CABO DE ALUMÍNIO NÚ COM ALMA DE AÇO, BITOLA 2 AWG PARA REDE AÉREA DE DISTRIBUIÇÃO DE ENERGIA ELÉTRICA DE MÉDIA TENSÃO - FORNECIMENTO E INSTALAÇÃO. AF_12/2025</t>
  </si>
  <si>
    <t>CABO DE ALUMÍNIO NÚ COM ALMA DE AÇO, BITOLA 2/0 AWG PARA REDE AÉREA DE DISTRIBUIÇÃO DE ENERGIA ELÉTRICA DE MÉDIA TENSÃO - FORNECIMENTO E INSTALAÇÃO. AF_12/2025</t>
  </si>
  <si>
    <t>CABO DE ALUMÍNIO NÚ COM ALMA DE AÇO, BITOLA 4 AWG PARA REDE AÉREA DE DISTRIBUIÇÃO DE ENERGIA ELÉTRICA DE MÉDIA TENSÃO - FORNECIMENTO E INSTALAÇÃO. AF_12/2025</t>
  </si>
  <si>
    <t>CABO DE ALUMÍNIO NÚ COM ALMA DE AÇO, BITOLA 4/0 AWG PARA REDE AÉREA DE DISTRIBUIÇÃO DE ENERGIA ELÉTRICA DE MÉDIA TENSÃO - FORNECIMENTO E INSTALAÇÃO. AF_12/2025</t>
  </si>
  <si>
    <t>CABO DE ALUMÍNIO NÚ SEM ALMA DE AÇO, BITOLA 1/0 AWG PARA REDE AÉREA DE DISTRIBUIÇÃO DE ENERGIA ELÉTRICA DE MÉDIA TENSÃO - FORNECIMENTO E INSTALAÇÃO. AF_12/2025</t>
  </si>
  <si>
    <t>CABO DE ALUMÍNIO NÚ SEM ALMA DE AÇO, BITOLA 2 AWG PARA REDE AÉREA DE DISTRIBUIÇÃO DE ENERGIA ELÉTRICA DE MÉDIA TENSÃO - FORNECIMENTO E INSTALAÇÃO. AF_12/2025</t>
  </si>
  <si>
    <t>CABO DE ALUMÍNIO NÚ SEM ALMA DE AÇO, BITOLA 2/0 AWG PARA REDE AÉREA DE DISTRIBUIÇÃO DE ENERGIA ELÉTRICA DE MÉDIA TENSÃO - FORNECIMENTO E INSTALAÇÃO. AF_12/2025</t>
  </si>
  <si>
    <t>CABO DE ALUMÍNIO NÚ SEM ALMA DE AÇO, BITOLA 4 AWG PARA REDE AÉREA DE DISTRIBUIÇÃO DE ENERGIA ELÉTRICA DE MÉDIA TENSÃO - FORNECIMENTO E INSTALAÇÃO. AF_12/2025</t>
  </si>
  <si>
    <t>CABO DE ALUMÍNIO NÚ SEM ALMA DE AÇO, BITOLA 4/0 AWG PARA REDE AÉREA DE DISTRIBUIÇÃO DE ENERGIA ELÉTRICA DE MÉDIA TENSÃO - FORNECIMENTO E INSTALAÇÃO. AF_12/2025</t>
  </si>
  <si>
    <t>CABO DE ALUMÍNIO PROTEGIDO XLPE 90°C 35MM² TR 15KV AÉREO PARA REDE AÉREA COMPACTA DE DISTRIBUIÇÃO DE ENERGIA ELÉTRICA DE MÉDIA TENSÃO - FORNECIMENTO E INSTALAÇÃO. AF_12/2025</t>
  </si>
  <si>
    <t>CABO DE ALUMÍNIO PROTEGIDO XLPE 90°C 50MM² TR 15KV AÉREO PARA REDE AÉREA COMPACTA DE DISTRIBUIÇÃO DE ENERGIA ELÉTRICA DE MÉDIA TENSÃO - FORNECIMENTO E INSTALAÇÃO. AF_12/2025</t>
  </si>
  <si>
    <t>CABO DE ALUMÍNIO PROTEGIDO XLPE 90°C 70MM² TR 15KV AÉREO PARA REDE AÉREA COMPACTA DE DISTRIBUIÇÃO DE ENERGIA ELÉTRICA DE MÉDIA TENSÃO - FORNECIMENTO E INSTALAÇÃO. AF_12/2025</t>
  </si>
  <si>
    <t>CABO DE COBRE FLEXÍVEL ISOLADO, 10 MM², 0,6/1,0 KV, PARA REDE AÉREA DE DISTRIBUIÇÃO DE ENERGIA ELÉTRICA DE BAIXA TENSÃO - FORNECIMENTO E INSTALAÇÃO. AF_12/2025</t>
  </si>
  <si>
    <t>CABO DE COBRE FLEXÍVEL ISOLADO, 120 MM², 0,6/1,0 KV, PARA REDE AÉREA DE DISTRIBUIÇÃO DE ENERGIA ELÉTRICA DE BAIXA TENSÃO - FORNECIMENTO E INSTALAÇÃO. AF_12/2025</t>
  </si>
  <si>
    <t>CABO DE COBRE FLEXÍVEL ISOLADO, 16 MM², 0,6/1,0 KV, PARA REDE AÉREA DE DISTRIBUIÇÃO DE ENERGIA ELÉTRICA DE BAIXA TENSÃO - FORNECIMENTO E INSTALAÇÃO. AF_12/2025</t>
  </si>
  <si>
    <t>CABO DE COBRE FLEXÍVEL ISOLADO, 25 MM², 0,6/1,0 KV, PARA REDE AÉREA DE DISTRIBUIÇÃO DE ENERGIA ELÉTRICA DE BAIXA TENSÃO - FORNECIMENTO E INSTALAÇÃO. AF_12/2025</t>
  </si>
  <si>
    <t>CABO DE COBRE FLEXÍVEL ISOLADO, 35 MM², 0,6/1,0 KV, PARA REDE AÉREA DE DISTRIBUIÇÃO DE ENERGIA ELÉTRICA DE BAIXA TENSÃO - FORNECIMENTO E INSTALAÇÃO. AF_12/2025</t>
  </si>
  <si>
    <t>CABO DE COBRE FLEXÍVEL ISOLADO, 50 MM², 0,6/1,0 KV, PARA REDE AÉREA DE DISTRIBUIÇÃO DE ENERGIA ELÉTRICA DE BAIXA TENSÃO - FORNECIMENTO E INSTALAÇÃO. AF_12/2025</t>
  </si>
  <si>
    <t>CABO DE COBRE FLEXÍVEL ISOLADO, 70 MM², 0,6/1,0 KV, PARA REDE AÉREA DE DISTRIBUIÇÃO DE ENERGIA ELÉTRICA DE BAIXA TENSÃO - FORNECIMENTO E INSTALAÇÃO. AF_12/2025</t>
  </si>
  <si>
    <t>CABO DE COBRE FLEXÍVEL ISOLADO, 95 MM², 0,6/1,0 KV, PARA REDE AÉREA DE DISTRIBUIÇÃO DE ENERGIA ELÉTRICA DE BAIXA TENSÃO - FORNECIMENTO E INSTALAÇÃO. AF_12/2025</t>
  </si>
  <si>
    <t>CABO MENSAGEIRO PARA REDES AÉREAS COMPACTAS. AF_12/2025</t>
  </si>
  <si>
    <t>CHAVE FUSÍVEL 15KV CPF XS 100A, PARA REDES AÉREAS DE DISTRIBUIÇÃO DE ENERGIA ELÉTRICA DE MÉDIA TENSÃO - FORNECIMENTO E INSTALAÇÃO. AF_12/2025</t>
  </si>
  <si>
    <t>CONECTOR CUNHA, PARA REDES AÉREAS DE DISTRIBUIÇÃO DE ENERGIA ELÉTRICA DE BAIXA TENSÃO - FORNECIMENTO E INSTALAÇÃO. AF_12/2025</t>
  </si>
  <si>
    <t>CONECTOR H, PARA REDES AÉREAS DE DISTRIBUIÇÃO DE ENERGIA ELÉTRICA DE BAIXA TENSÃO - FORNECIMENTO E INSTALAÇÃO. AF_12/2025</t>
  </si>
  <si>
    <t>CONECTOR PERFURANTE, PARA REDES AÉREAS DE DISTRIBUIÇÃO DE ENERGIA ELÉTRICA DE BAIXA TENSÃO - FORNECIMENTO E INSTALAÇÃO. AF_12/2025</t>
  </si>
  <si>
    <t>ENTRADA DE ENERGIA ELÉTRICA, AÉREA, BIFÁSICA, COM CAIXA DE EMBUTIR, CABO DE 10 MM2 E DISJUNTOR DIN 50A (NÃO INCLUSO O POSTE DE CONCRETO). AF_12/2025</t>
  </si>
  <si>
    <t>ENTRADA DE ENERGIA ELÉTRICA, AÉREA, BIFÁSICA, COM CAIXA DE EMBUTIR, CABO DE 16 MM2 E DISJUNTOR DIN 50A (NÃO INCLUSO O POSTE DE CONCRETO). AF_12/2025</t>
  </si>
  <si>
    <t>ENTRADA DE ENERGIA ELÉTRICA, AÉREA, BIFÁSICA, COM CAIXA DE EMBUTIR, CABO DE 25 MM2 E DISJUNTOR DIN 50A (NÃO INCLUSO O POSTE DE CONCRETO). AF_12/2025</t>
  </si>
  <si>
    <t>ENTRADA DE ENERGIA ELÉTRICA, AÉREA, BIFÁSICA, COM CAIXA DE EMBUTIR, CABO DE 35 MM2 E DISJUNTOR DIN 50A (NÃO INCLUSO O POSTE DE CONCRETO). AF_12/2025</t>
  </si>
  <si>
    <t>ENTRADA DE ENERGIA ELÉTRICA, AÉREA, BIFÁSICA, COM CAIXA DE SOBREPOR, CABO DE 10 MM2 E DISJUNTOR DIN 50A (NÃO INCLUSO O POSTE DE CONCRETO). AF_12/2025</t>
  </si>
  <si>
    <t>ENTRADA DE ENERGIA ELÉTRICA, AÉREA, BIFÁSICA, COM CAIXA DE SOBREPOR, CABO DE 16 MM2 E DISJUNTOR DIN 50A (NÃO INCLUSO O POSTE DE CONCRETO). AF_12/2025</t>
  </si>
  <si>
    <t>ENTRADA DE ENERGIA ELÉTRICA, AÉREA, BIFÁSICA, COM CAIXA DE SOBREPOR, CABO DE 25 MM2 E DISJUNTOR DIN 50A (NÃO INCLUSO O POSTE DE CONCRETO). AF_12/2025</t>
  </si>
  <si>
    <t>ENTRADA DE ENERGIA ELÉTRICA, AÉREA, BIFÁSICA, COM CAIXA DE SOBREPOR, CABO DE 35 MM2 E DISJUNTOR DIN 50A (NÃO INCLUSO O POSTE DE CONCRETO). AF_12/2025</t>
  </si>
  <si>
    <t>ENTRADA DE ENERGIA ELÉTRICA, AÉREA, MONOFÁSICA, COM CAIXA DE EMBUTIR, CABO DE 10 MM2 E DISJUNTOR DIN 50A (NÃO INCLUSO O POSTE DE CONCRETO). AF_12/2025</t>
  </si>
  <si>
    <t>ENTRADA DE ENERGIA ELÉTRICA, AÉREA, MONOFÁSICA, COM CAIXA DE EMBUTIR, CABO DE 16 MM2 E DISJUNTOR DIN 50A (NÃO INCLUSO O POSTE DE CONCRETO). AF_12/2025</t>
  </si>
  <si>
    <t>ENTRADA DE ENERGIA ELÉTRICA, AÉREA, MONOFÁSICA, COM CAIXA DE EMBUTIR, CABO DE 25 MM2 E DISJUNTOR DIN 50A (NÃO INCLUSO O POSTE DE CONCRETO). AF_12/2025</t>
  </si>
  <si>
    <t>ENTRADA DE ENERGIA ELÉTRICA, AÉREA, MONOFÁSICA, COM CAIXA DE EMBUTIR, CABO DE 35 MM2 E DISJUNTOR DIN 50A (NÃO INCLUSO O POSTE DE CONCRETO). AF_12/2025</t>
  </si>
  <si>
    <t>ENTRADA DE ENERGIA ELÉTRICA, AÉREA, MONOFÁSICA, COM CAIXA DE SOBREPOR, CABO DE 10 MM2 E DISJUNTOR DIN 50A (NÃO INCLUSO O POSTE DE CONCRETO). AF_12/2025</t>
  </si>
  <si>
    <t>ENTRADA DE ENERGIA ELÉTRICA, AÉREA, MONOFÁSICA, COM CAIXA DE SOBREPOR, CABO DE 16 MM2 E DISJUNTOR DIN 50A (NÃO INCLUSO O POSTE DE CONCRETO). AF_12/2025</t>
  </si>
  <si>
    <t>ENTRADA DE ENERGIA ELÉTRICA, AÉREA, MONOFÁSICA, COM CAIXA DE SOBREPOR, CABO DE 25 MM2 E DISJUNTOR DIN 50A (NÃO INCLUSO O POSTE DE CONCRETO). AF_12/2025</t>
  </si>
  <si>
    <t>ENTRADA DE ENERGIA ELÉTRICA, AÉREA, MONOFÁSICA, COM CAIXA DE SOBREPOR, CABO DE 35 MM2 E DISJUNTOR DIN 50A (NÃO INCLUSO O POSTE DE CONCRETO). AF_12/2025</t>
  </si>
  <si>
    <t>ENTRADA DE ENERGIA ELÉTRICA, AÉREA, TRIFÁSICA, COM CAIXA DE EMBUTIR, CABO DE 10 MM2 E DISJUNTOR DIN 50A (NÃO INCLUSO O POSTE DE CONCRETO). AF_12/2025</t>
  </si>
  <si>
    <t>ENTRADA DE ENERGIA ELÉTRICA, AÉREA, TRIFÁSICA, COM CAIXA DE EMBUTIR, CABO DE 16 MM2 E DISJUNTOR DIN 50A (NÃO INCLUSO O POSTE DE CONCRETO). AF_12/2025</t>
  </si>
  <si>
    <t>ENTRADA DE ENERGIA ELÉTRICA, AÉREA, TRIFÁSICA, COM CAIXA DE EMBUTIR, CABO DE 25 MM2 E DISJUNTOR DIN 50A (NÃO INCLUSO O POSTE DE CONCRETO). AF_12/2025</t>
  </si>
  <si>
    <t>ENTRADA DE ENERGIA ELÉTRICA, AÉREA, TRIFÁSICA, COM CAIXA DE EMBUTIR, CABO DE 35 MM2 E DISJUNTOR DIN 50A (NÃO INCLUSO O POSTE DE CONCRETO). AF_12/2025</t>
  </si>
  <si>
    <t>ENTRADA DE ENERGIA ELÉTRICA, AÉREA, TRIFÁSICA, COM CAIXA DE SOBREPOR, CABO DE 10 MM2 E DISJUNTOR DIN 50A (NÃO INCLUSO O POSTE DE CONCRETO). AF_12/2025</t>
  </si>
  <si>
    <t>ENTRADA DE ENERGIA ELÉTRICA, AÉREA, TRIFÁSICA, COM CAIXA DE SOBREPOR, CABO DE 16 MM2 E DISJUNTOR DIN 50A (NÃO INCLUSO O POSTE DE CONCRETO). AF_12/2025</t>
  </si>
  <si>
    <t>ENTRADA DE ENERGIA ELÉTRICA, AÉREA, TRIFÁSICA, COM CAIXA DE SOBREPOR, CABO DE 25 MM2 E DISJUNTOR DIN 50A (NÃO INCLUSO O POSTE DE CONCRETO). AF_12/2025</t>
  </si>
  <si>
    <t>ENTRADA DE ENERGIA ELÉTRICA, AÉREA, TRIFÁSICA, COM CAIXA DE SOBREPOR, CABO DE 35 MM2 E DISJUNTOR DIN 50A (NÃO INCLUSO O POSTE DE CONCRETO). AF_12/2025</t>
  </si>
  <si>
    <t>ENTRADA DE ENERGIA ELÉTRICA, SUBTERRÂNEA, BIFÁSICA, COM CAIXA DE EMBUTIR, CABO DE 10 MM2 E DISJUNTOR DIN 50A (NÃO INCLUSA MURETA DE ALVENARIA). AF_12/2025</t>
  </si>
  <si>
    <t>ENTRADA DE ENERGIA ELÉTRICA, SUBTERRÂNEA, BIFÁSICA, COM CAIXA DE EMBUTIR, CABO DE 16 MM2 E DISJUNTOR DIN 50A (NÃO INCLUSA MURETA DE ALVENARIA). AF_12/2025</t>
  </si>
  <si>
    <t>ENTRADA DE ENERGIA ELÉTRICA, SUBTERRÂNEA, BIFÁSICA, COM CAIXA DE EMBUTIR, CABO DE 25 MM2 E DISJUNTOR DIN 50A (NÃO INCLUSA MURETA DE ALVENARIA). AF_12/2025</t>
  </si>
  <si>
    <t>ENTRADA DE ENERGIA ELÉTRICA, SUBTERRÂNEA, BIFÁSICA, COM CAIXA DE EMBUTIR, CABO DE 35 MM2 E DISJUNTOR DIN 50A (NÃO INCLUSA MURETA DE ALVENARIA). AF_12/2025</t>
  </si>
  <si>
    <t>ENTRADA DE ENERGIA ELÉTRICA, SUBTERRÂNEA, BIFÁSICA, COM CAIXA DE SOBREPOR, CABO DE 10 MM2 E DISJUNTOR DIN 50A (NÃO INCLUSA MURETA DE ALVENARIA). AF_12/2025</t>
  </si>
  <si>
    <t>ENTRADA DE ENERGIA ELÉTRICA, SUBTERRÂNEA, BIFÁSICA, COM CAIXA DE SOBREPOR, CABO DE 16 MM2 E DISJUNTOR DIN 50A (NÃO INCLUSA MURETA DE ALVENARIA). AF_12/2025</t>
  </si>
  <si>
    <t>ENTRADA DE ENERGIA ELÉTRICA, SUBTERRÂNEA, BIFÁSICA, COM CAIXA DE SOBREPOR, CABO DE 25 MM2 E DISJUNTOR DIN 50A (NÃO INCLUSA MURETA DE ALVENARIA). AF_12/2025</t>
  </si>
  <si>
    <t>ENTRADA DE ENERGIA ELÉTRICA, SUBTERRÂNEA, BIFÁSICA, COM CAIXA DE SOBREPOR, CABO DE 35 MM2 E DISJUNTOR DIN 50A (NÃO INCLUSA MURETA DE ALVENARIA). AF_12/2025</t>
  </si>
  <si>
    <t>ENTRADA DE ENERGIA ELÉTRICA, SUBTERRÂNEA, MONOFÁSICA, COM CAIXA DE EMBUTIR, CABO DE 10 MM2 E DISJUNTOR DIN 50A (NÃO INCLUSA MURETA DE ALVENARIA). AF_12/2025</t>
  </si>
  <si>
    <t>ENTRADA DE ENERGIA ELÉTRICA, SUBTERRÂNEA, MONOFÁSICA, COM CAIXA DE EMBUTIR, CABO DE 16 MM2 E DISJUNTOR DIN 50A (NÃO INCLUSA MURETA DE ALVENARIA). AF_12/2025</t>
  </si>
  <si>
    <t>ENTRADA DE ENERGIA ELÉTRICA, SUBTERRÂNEA, MONOFÁSICA, COM CAIXA DE EMBUTIR, CABO DE 25 MM2 E DISJUNTOR DIN 50A (NÃO INCLUSA MURETA DE ALVENARIA). AF_12/2025</t>
  </si>
  <si>
    <t>ENTRADA DE ENERGIA ELÉTRICA, SUBTERRÂNEA, MONOFÁSICA, COM CAIXA DE EMBUTIR, CABO DE 35 MM2 E DISJUNTOR DIN 50A (NÃO INCLUSA MURETA DE ALVENARIA). AF_12/2025</t>
  </si>
  <si>
    <t>ENTRADA DE ENERGIA ELÉTRICA, SUBTERRÂNEA, MONOFÁSICA, COM CAIXA DE SOBREPOR, CABO DE 10 MM2 E DISJUNTOR DIN 50A (NÃO INCLUSA MURETA DE ALVENARIA). AF_12/2025</t>
  </si>
  <si>
    <t>ENTRADA DE ENERGIA ELÉTRICA, SUBTERRÂNEA, MONOFÁSICA, COM CAIXA DE SOBREPOR, CABO DE 16 MM2 E DISJUNTOR DIN 50A (NÃO INCLUSA MURETA DE ALVENARIA). AF_12/2025</t>
  </si>
  <si>
    <t>ENTRADA DE ENERGIA ELÉTRICA, SUBTERRÂNEA, MONOFÁSICA, COM CAIXA DE SOBREPOR, CABO DE 25 MM2 E DISJUNTOR DIN 50A (NÃO INCLUSA MURETA DE ALVENARIA). AF_12/2025</t>
  </si>
  <si>
    <t>ENTRADA DE ENERGIA ELÉTRICA, SUBTERRÂNEA, MONOFÁSICA, COM CAIXA DE SOBREPOR, CABO DE 35 MM2 E DISJUNTOR DIN 50A (NÃO INCLUSA MURETA DE ALVENARIA). AF_12/2025</t>
  </si>
  <si>
    <t>ENTRADA DE ENERGIA ELÉTRICA, SUBTERRÂNEA, TRIFÁSICA, COM CAIXA DE EMBUTIR, CABO DE 10 MM2 E DISJUNTOR DIN 50A (NÃO INCLUSA MURETA DE ALVENARIA). AF_12/2025</t>
  </si>
  <si>
    <t>ENTRADA DE ENERGIA ELÉTRICA, SUBTERRÂNEA, TRIFÁSICA, COM CAIXA DE EMBUTIR, CABO DE 16 MM2 E DISJUNTOR DIN 50A (NÃO INCLUSA MURETA DE ALVENARIA). AF_12/2025</t>
  </si>
  <si>
    <t>ENTRADA DE ENERGIA ELÉTRICA, SUBTERRÂNEA, TRIFÁSICA, COM CAIXA DE EMBUTIR, CABO DE 25 MM2 E DISJUNTOR DIN 50A (NÃO INCLUSA MURETA DE ALVENARIA). AF_12/2025</t>
  </si>
  <si>
    <t>ENTRADA DE ENERGIA ELÉTRICA, SUBTERRÂNEA, TRIFÁSICA, COM CAIXA DE EMBUTIR, CABO DE 35 MM2 E DISJUNTOR DIN 50A (NÃO INCLUSA MURETA DE ALVENARIA). AF_12/2025</t>
  </si>
  <si>
    <t>ENTRADA DE ENERGIA ELÉTRICA, SUBTERRÂNEA, TRIFÁSICA, COM CAIXA DE SOBREPOR, CABO DE 10 MM2 E DISJUNTOR DIN 50A (NÃO INCLUSA MURETA DE ALVENARIA). AF_12/2025</t>
  </si>
  <si>
    <t>ENTRADA DE ENERGIA ELÉTRICA, SUBTERRÂNEA, TRIFÁSICA, COM CAIXA DE SOBREPOR, CABO DE 16 MM2 E DISJUNTOR DIN 50A (NÃO INCLUSA MURETA DE ALVENARIA). AF_12/2025</t>
  </si>
  <si>
    <t>ENTRADA DE ENERGIA ELÉTRICA, SUBTERRÂNEA, TRIFÁSICA, COM CAIXA DE SOBREPOR, CABO DE 25 MM2 E DISJUNTOR DIN 50A (NÃO INCLUSA MURETA DE ALVENARIA). AF_12/2025</t>
  </si>
  <si>
    <t>ENTRADA DE ENERGIA ELÉTRICA, SUBTERRÂNEA, TRIFÁSICA, COM CAIXA DE SOBREPOR, CABO DE 35 MM2 E DISJUNTOR DIN 50A (NÃO INCLUSA MURETA DE ALVENARIA). AF_12/2025</t>
  </si>
  <si>
    <t>ESTRUTURA B1 DE ACONCORAGEM EM POSTE CIRCULAR. AF_12/2025</t>
  </si>
  <si>
    <t>ESTRUTURA B1 DE ACONCORAGEM EM POSTE DUPLO T. AF_12/2025</t>
  </si>
  <si>
    <t>ESTRUTURA B2 DE ACONCORAGEM EM POSTE CIRCULAR. AF_12/2025</t>
  </si>
  <si>
    <t>ESTRUTURA B2 DE ACONCORAGEM EM POSTE DUPLO T. AF_12/2025</t>
  </si>
  <si>
    <t>ESTRUTURA B3 DE ACONCORAGEM EM POSTE CIRCULAR. AF_12/2025</t>
  </si>
  <si>
    <t>ESTRUTURA B3 DE ACONCORAGEM EM POSTE DUPLO T. AF_12/2025</t>
  </si>
  <si>
    <t>ESTRUTURA B4 DE ACONCORAGEM EM POSTE CIRCULAR. AF_12/2025</t>
  </si>
  <si>
    <t>ESTRUTURA B4 DE ACONCORAGEM EM POSTE DUPLO T. AF_12/2025</t>
  </si>
  <si>
    <t>ESTRUTURA CE1 REDE DE DISTRIBUIÇÃO COMPACTA EM POSTE CIRCULAR. AF_12/2025</t>
  </si>
  <si>
    <t>ESTRUTURA CE1 REDE DE DISTRIBUIÇÃO COMPACTA EM POSTE DUPLO T. AF_12/2025</t>
  </si>
  <si>
    <t>ESTRUTURA CE1A REDE DE DISTRIBUIÇÃO COMPACTA EM POSTE CIRCULAR. AF_12/2025</t>
  </si>
  <si>
    <t>ESTRUTURA CE1A REDE DE DISTRIBUIÇÃO COMPACTA EM POSTE DUPLO T. AF_12/2025</t>
  </si>
  <si>
    <t>ESTRUTURA CE2 REDE DE DISTRIBUIÇÃO COMPACTA EM POSTE CIRCULAR. AF_12/2025</t>
  </si>
  <si>
    <t>ESTRUTURA CE2 REDE DE DISTRIBUIÇÃO COMPACTA EM POSTE DUPLO T. AF_12/2025</t>
  </si>
  <si>
    <t>GRAMPO PARALELO METÁLICO, PARA REDES AÉREAS DE DISTRIBUIÇÃO DE ENERGIA ELÉTRICA DE BAIXA TENSÃO - FORNECIMENTO E INSTALAÇÃO. AF_12/2025</t>
  </si>
  <si>
    <t>ISOLADOR, TIPO DISCO, PARA TENSÃO 15 KV - FORNECIMENTO E INSTALAÇÃO. AF_12/2025</t>
  </si>
  <si>
    <t>ISOLADOR, TIPO PINO, PARA TENSÃO 15 KV - FORNECIMENTO E INSTALAÇÃO. AF_12/2025</t>
  </si>
  <si>
    <t>ISOLADOR, TIPO ROLDANA, PARA BAIXA TENSÃO - FORNECIMENTO E INSTALAÇÃO. AF_12/2025</t>
  </si>
  <si>
    <t>TERMINAL MUFLA 15/25KV. AF_12/2025</t>
  </si>
  <si>
    <t>DIVISORIA (N2) - PAINEL/VIDRO - PAINEL C/ MSO/COMEIA E=35MM - PERFIS SIMPLES ACO GALVANIZADO PINTADO. AF_10/2025</t>
  </si>
  <si>
    <t>DIVISORIA (N2) - PAINEL/VIDRO - PAINEL DE PVC E=35MM - PERFIS SIMPLES ACO GALVANIZADO PINTADO. AF_10/2025</t>
  </si>
  <si>
    <t>DIVISORIA (N2) - PAINEL/VIDRO - PAINEL MDF/VIDRO 6 MM, LINHA 90 MM - PERFIS DE ALUMÍNIO EXTRUDADO. AF_10/2025</t>
  </si>
  <si>
    <t>DIVISORIA (N3) - PAINEL/VIDRO/PAINEL MSO/COMEIA E=35MM - PERFIS SIMPLES ACO GALVANIZADO PINTADO. AF_10/2025</t>
  </si>
  <si>
    <t>DIVISORIA (N3) - PAINEL/VIDRO/PAINEL PVC E=35MM - PERFIS SIMPLES ACO GALVANIZADO PINTADO. AF_10/2025</t>
  </si>
  <si>
    <t>DIVISORIA CEGA (N1) - PAINEL MDF, LINHA 90 MM - PERFIS DE ALUMÍNIO EXTRUDADO. AF_10/2025</t>
  </si>
  <si>
    <t>DIVISORIA CEGA (N1) - PAINEL MSO/COMEIA E=35MM - PERFIS SIMPLES ACO GALVANIZADO PINTADO. AF_10/2025</t>
  </si>
  <si>
    <t>DIVISORIA CEGA (N1) - PAINEL PVC E=35MM - PERFIS SIMPLES ACO GALVANIZADO PINTADO. AF_10/2025</t>
  </si>
  <si>
    <t>DIVISORIA SANITÁRIA, EM GRANITO CINZA POLIDO, ESP = 3CM, ASSENTADO COM ARGAMASSA COLANTE AC III-E. AF_10/2025</t>
  </si>
  <si>
    <t>DIVISORIA SANITÁRIA, EM MÁRMORE BRANCO POLIDO, ESP = 3CM, ASSENTADO COM ARGAMASSA COLANTE AC III-E. AF_10/2025</t>
  </si>
  <si>
    <t>DIVISORIA SANITÁRIA, EM PAINEL DE GRANILITE, ESP = 3CM, ASSENTADO COM ARGAMASSA COLANTE AC III-E. AF_10/2025</t>
  </si>
  <si>
    <t>DIVISÓRIA (N3) - PAINEL/VIDRO/PAINEL MDF, LINHA 90 MM - PERFIS DE ALUMINIO EXTRUDADO. AF_10/2025</t>
  </si>
  <si>
    <t>DIVISÓRIA EM VIDRO TEMPERADO 10 MM COM PORTA DE CORRER, INCLUSIVE FERRAGENS. AF_10/2025</t>
  </si>
  <si>
    <t>DIVISÓRIA FIXA EM VIDRO TEMPERADO 10 MM, SEM ABERTURA. AF_10/2025_PS</t>
  </si>
  <si>
    <t>DIVISÓRIA SALA LIMPA - PAINEL PIR 50 MM, PERFIS DE AÇO GALVANIZADO E ACABAMENTO COM PERFIS DE ALUMINIO CANTO ARREDONDADO PINTADO. AF_10/2025</t>
  </si>
  <si>
    <t>DIVISÓRIA SANITÁRIA, TIPO CABINE, EM PAINÉIS DE PVC, INCLUSIVE ESTRUTURA, PORTA E FERRAGENS. AF_10/2025</t>
  </si>
  <si>
    <t>DIVISÓRIA SANITÁRIA, TIPO CABINE, EM PAINÉIS ESTRUTURAIS TS, INCLUSIVE ESTRUTURA, PORTA E FERRAGENS. AF_10/2025</t>
  </si>
  <si>
    <t>PORTA DE CABINE SANITÁRIA EM VIDRO TEMPERADO 8MM, INCLUSIVE DOBRADIÇAS, BATENTE, TRINCO E CONTRA-TRINCO. AF_10/2025</t>
  </si>
  <si>
    <t>PORTA PARA DIVISÓRIA MDF/VIDRO 6 MM, LINHA 90 MM, 0,80 X 2,10 M - PERFIS DE ALUMINIO EXTRUDADO, INCLUSO PORTAL, BATENTES, DOBRADIÇAS E FECHADURA. AF_10/2025</t>
  </si>
  <si>
    <t>PORTA SALA LIMPA COM VISOR - PAINEL PIR 50 MM. AF_10/2025</t>
  </si>
  <si>
    <t>PORTA/PAINEL CEGO PARA DIVISÓRIA (N1) - PAINEL CEGO MSO/COMEIA E=35MM, S/ BONECA, INCLUSO BATENTE, TESTEIRO, DOBRADIÇAS E FECHADURA. AF_10/2025</t>
  </si>
  <si>
    <t>PORTA/VIDRO PARA DIVISÓRIA (N2) - PAINEL DE PVC E=35MM, S/ BONECA, INCLUSO BATENTE, TESTEIRO, DOBRADIÇAS E FECHADURA. AF_10/2025</t>
  </si>
  <si>
    <t>ABRIGO PARA HIDRANTE, 75X45X17CM, COM REGISTRO GLOBO ANGULAR 45 GRAUS 2 1/2", ADAPTADOR STORZ 2 1/2", MANGUEIRA DE INCÊNDIO 15M 2 1/2" E ESGUICHO EM LATÃO 2 1/2" - FORNECIMENTO E INSTALAÇÃO. AF_01/2026</t>
  </si>
  <si>
    <t>ABRIGO PARA HIDRANTE, 90X60X17CM, COM REGISTRO GLOBO ANGULAR 45 GRAUS 2 1/2", ADAPTADOR STORZ 2 1/2", MANGUEIRA DE INCÊNDIO 20M, REDUÇÃO 2 1/2" X 1 1/2" E ESGUICHO EM LATÃO 1 1/2" - FORNECIMENTO E INSTALAÇÃO. AF_01/2026</t>
  </si>
  <si>
    <t>ACOPLAMENTO RÍGIDO EM AÇO, CONEXÃO RANHURADA, DN 50 (2"), INSTALADO EM PRUMADAS - FORNECIMENTO E INSTALAÇÃO. AF_01/2026</t>
  </si>
  <si>
    <t>ACOPLAMENTO RÍGIDO EM AÇO, CONEXÃO RANHURADA, DN 65 (2 1/2"), INSTALADO EM PRUMADAS - FORNECIMENTO E INSTALAÇÃO. AF_01/2026</t>
  </si>
  <si>
    <t>ACOPLAMENTO RÍGIDO EM AÇO, CONEXÃO RANHURADA, DN 80 (3"), INSTALADO EM PRUMADAS - FORNECIMENTO E INSTALAÇÃO. AF_01/2026</t>
  </si>
  <si>
    <t>CAIXA DE INCÊNDIO 45X75X17CM - FORNECIMENTO E INSTALAÇÃO. AF_01/2026</t>
  </si>
  <si>
    <t>CAIXA DE INCÊNDIO 60X90X17CM - FORNECIMENTO E INSTALAÇÃO. AF_01/2026</t>
  </si>
  <si>
    <t>CONJUNTO DE MANGUEIRA PARA COMBATE A INCÊNDIO EM FIBRA DE POLIESTER PURA, COM 1.1/2", REVESTIDA INTERNAMENTE, COMPRIMENTO DE 15M - FORNECIMENTO E INSTALAÇÃO. AF_01/2026</t>
  </si>
  <si>
    <t>CURVA 45 GRAUS, EM AÇO, CONEXÃO RANHURADA, DN 50 (2"), INSTALADO EM PRUMADAS - FORNECIMENTO E INSTALAÇÃO. AF_01/2026</t>
  </si>
  <si>
    <t>CURVA 45 GRAUS, EM AÇO, CONEXÃO RANHURADA, DN 65 (2 1/2"), INSTALADO EM PRUMADAS - FORNECIMENTO E INSTALAÇÃO. AF_01/2026</t>
  </si>
  <si>
    <t>CURVA 45 GRAUS, EM AÇO, CONEXÃO RANHURADA, DN 80 (3"), INSTALADO EM PRUMADAS - FORNECIMENTO E INSTALAÇÃO. AF_01/2026</t>
  </si>
  <si>
    <t>CURVA 45 GRAUS, EM AÇO, CONEXÃO SOLDADA, DN 15 (1/2"), INSTALADO EM RAMAIS E SUB-RAMAIS DE GÁS - FORNECIMENTO E INSTALAÇÃO. AF_01/2026</t>
  </si>
  <si>
    <t>CURVA 45 GRAUS, EM AÇO, CONEXÃO SOLDADA, DN 20 (3/4"), INSTALADO EM RAMAIS E SUB-RAMAIS DE GÁS - FORNECIMENTO E INSTALAÇÃO. AF_01/2026</t>
  </si>
  <si>
    <t>CURVA 45 GRAUS, EM AÇO, CONEXÃO SOLDADA, DN 25 (1"), INSTALADO EM RAMAIS E SUB-RAMAIS DE GÁS - FORNECIMENTO E INSTALAÇÃO. AF_01/2026</t>
  </si>
  <si>
    <t>CURVA 45 GRAUS, EM AÇO, CONEXÃO SOLDADA, DN 25 (1"), INSTALADO EM REDE DE ALIMENTAÇÃO PARA HIDRANTE - FORNECIMENTO E INSTALAÇÃO. AF_01/2026</t>
  </si>
  <si>
    <t>CURVA 45 GRAUS, EM AÇO, CONEXÃO SOLDADA, DN 25 (1"), INSTALADO EM REDE DE ALIMENTAÇÃO PARA SPRINKLER - FORNECIMENTO E INSTALAÇÃO. AF_01/2026</t>
  </si>
  <si>
    <t>CURVA 45 GRAUS, EM AÇO, CONEXÃO SOLDADA, DN 32 (1 1/4"), INSTALADO EM REDE DE ALIMENTAÇÃO PARA HIDRANTE - FORNECIMENTO E INSTALAÇÃO. AF_01/2026</t>
  </si>
  <si>
    <t>CURVA 45 GRAUS, EM AÇO, CONEXÃO SOLDADA, DN 32 (1 1/4"), INSTALADO EM REDE DE ALIMENTAÇÃO PARA SPRINKLER - FORNECIMENTO E INSTALAÇÃO. AF_01/2026</t>
  </si>
  <si>
    <t>CURVA 45 GRAUS, EM AÇO, CONEXÃO SOLDADA, DN 40 (1 1/2"), INSTALADO EM REDE DE ALIMENTAÇÃO PARA HIDRANTE - FORNECIMENTO E INSTALAÇÃO. AF_01/2026</t>
  </si>
  <si>
    <t>CURVA 45 GRAUS, EM AÇO, CONEXÃO SOLDADA, DN 40 (1 1/2"), INSTALADO EM REDE DE ALIMENTAÇÃO PARA SPRINKLER - FORNECIMENTO E INSTALAÇÃO. AF_01/2026</t>
  </si>
  <si>
    <t>CURVA 45 GRAUS, EM AÇO, CONEXÃO SOLDADA, DN 50 (2"), INSTALADO EM PRUMADAS - FORNECIMENTO E INSTALAÇÃO. AF_01/2026</t>
  </si>
  <si>
    <t>CURVA 45 GRAUS, EM AÇO, CONEXÃO SOLDADA, DN 50 (2"), INSTALADO EM REDE DE ALIMENTAÇÃO PARA HIDRANTE - FORNECIMENTO E INSTALAÇÃO. AF_01/2026</t>
  </si>
  <si>
    <t>CURVA 45 GRAUS, EM AÇO, CONEXÃO SOLDADA, DN 50 (2"), INSTALADO EM REDE DE ALIMENTAÇÃO PARA SPRINKLER - FORNECIMENTO E INSTALAÇÃO. AF_01/2026</t>
  </si>
  <si>
    <t>CURVA 45 GRAUS, EM AÇO, CONEXÃO SOLDADA, DN 65 (2 1/2"), INSTALADO EM PRUMADAS - FORNECIMENTO E INSTALAÇÃO. AF_01/2026</t>
  </si>
  <si>
    <t>CURVA 45 GRAUS, EM AÇO, CONEXÃO SOLDADA, DN 65 (2 1/2"), INSTALADO EM REDE DE ALIMENTAÇÃO PARA HIDRANTE - FORNECIMENTO E INSTALAÇÃO. AF_01/2026</t>
  </si>
  <si>
    <t>CURVA 45 GRAUS, EM AÇO, CONEXÃO SOLDADA, DN 65 (2 1/2"), INSTALADO EM REDE DE ALIMENTAÇÃO PARA SPRINKLER - FORNECIMENTO E INSTALAÇÃO. AF_01/2026</t>
  </si>
  <si>
    <t>CURVA 45 GRAUS, EM AÇO, CONEXÃO SOLDADA, DN 80 (3"), INSTALADO EM PRUMADAS - FORNECIMENTO E INSTALAÇÃO. AF_01/2026</t>
  </si>
  <si>
    <t>CURVA 45 GRAUS, EM AÇO, CONEXÃO SOLDADA, DN 80 (3"), INSTALADO EM REDE DE ALIMENTAÇÃO PARA HIDRANTE - FORNECIMENTO E INSTALAÇÃO. AF_01/2026</t>
  </si>
  <si>
    <t>CURVA 45 GRAUS, EM AÇO, CONEXÃO SOLDADA, DN 80 (3"), INSTALADO EM REDE DE ALIMENTAÇÃO PARA SPRINKLER - FORNECIMENTO E INSTALAÇÃO. AF_01/2026</t>
  </si>
  <si>
    <t>CURVA 90 GRAUS, EM AÇO, CONEXÃO RANHURADA, DN 50 (2"), INSTALADO EM PRUMADAS - FORNECIMENTO E INSTALAÇÃO. AF_01/2026</t>
  </si>
  <si>
    <t>CURVA 90 GRAUS, EM AÇO, CONEXÃO RANHURADA, DN 65 (2 1/2"), INSTALADO EM PRUMADAS - FORNECIMENTO E INSTALAÇÃO. AF_01/2026</t>
  </si>
  <si>
    <t>CURVA 90 GRAUS, EM AÇO, CONEXÃO RANHURADA, DN 80 (3"), INSTALADO EM PRUMADAS - FORNECIMENTO E INSTALAÇÃO. AF_01/2026</t>
  </si>
  <si>
    <t>CURVA 90 GRAUS, EM AÇO, CONEXÃO SOLDADA, DN 15 (1/2"), INSTALADO EM RAMAIS E SUB-RAMAIS DE GÁS - FORNECIMENTO E INSTALAÇÃO. AF_01/2026</t>
  </si>
  <si>
    <t>CURVA 90 GRAUS, EM AÇO, CONEXÃO SOLDADA, DN 20 (3/4"), INSTALADO EM RAMAIS E SUB-RAMAIS DE GÁS - FORNECIMENTO E INSTALAÇÃO. AF_01/2026</t>
  </si>
  <si>
    <t>CURVA 90 GRAUS, EM AÇO, CONEXÃO SOLDADA, DN 25 (1"), INSTALADO EM RAMAIS E SUB-RAMAIS DE GÁS - FORNECIMENTO E INSTALAÇÃO. AF_01/2026</t>
  </si>
  <si>
    <t>CURVA 90 GRAUS, EM AÇO, CONEXÃO SOLDADA, DN 25 (1"), INSTALADO EM REDE DE ALIMENTAÇÃO PARA HIDRANTE - FORNECIMENTO E INSTALAÇÃO. AF_01/2026</t>
  </si>
  <si>
    <t>CURVA 90 GRAUS, EM AÇO, CONEXÃO SOLDADA, DN 25 (1"), INSTALADO EM REDE DE ALIMENTAÇÃO PARA SPRINKLER - FORNECIMENTO E INSTALAÇÃO. AF_01/2026</t>
  </si>
  <si>
    <t>CURVA 90 GRAUS, EM AÇO, CONEXÃO SOLDADA, DN 32 (1 1/4"), INSTALADO EM REDE DE ALIMENTAÇÃO PARA HIDRANTE - FORNECIMENTO E INSTALAÇÃO. AF_01/2026</t>
  </si>
  <si>
    <t>CURVA 90 GRAUS, EM AÇO, CONEXÃO SOLDADA, DN 32 (1 1/4"), INSTALADO EM REDE DE ALIMENTAÇÃO PARA SPRINKLER - FORNECIMENTO E INSTALAÇÃO. AF_01/2026</t>
  </si>
  <si>
    <t>CURVA 90 GRAUS, EM AÇO, CONEXÃO SOLDADA, DN 40 (1 1/2"), INSTALADO EM REDE DE ALIMENTAÇÃO PARA HIDRANTE - FORNECIMENTO E INSTALAÇÃO. AF_01/2026</t>
  </si>
  <si>
    <t>CURVA 90 GRAUS, EM AÇO, CONEXÃO SOLDADA, DN 40 (1 1/2"), INSTALADO EM REDE DE ALIMENTAÇÃO PARA SPRINKLER - FORNECIMENTO E INSTALAÇÃO. AF_01/2026</t>
  </si>
  <si>
    <t>CURVA 90 GRAUS, EM AÇO, CONEXÃO SOLDADA, DN 50 (2"), INSTALADO EM PRUMADAS - FORNECIMENTO E INSTALAÇÃO. AF_01/2026</t>
  </si>
  <si>
    <t>CURVA 90 GRAUS, EM AÇO, CONEXÃO SOLDADA, DN 50 (2"), INSTALADO EM REDE DE ALIMENTAÇÃO PARA HIDRANTE - FORNECIMENTO E INSTALAÇÃO. AF_01/2026</t>
  </si>
  <si>
    <t>CURVA 90 GRAUS, EM AÇO, CONEXÃO SOLDADA, DN 50 (2"), INSTALADO EM REDE DE ALIMENTAÇÃO PARA SPRINKLER - FORNECIMENTO E INSTALAÇÃO. AF_01/2026</t>
  </si>
  <si>
    <t>CURVA 90 GRAUS, EM AÇO, CONEXÃO SOLDADA, DN 65 (2 1/2"), INSTALADO EM PRUMADAS - FORNECIMENTO E INSTALAÇÃO. AF_01/2026</t>
  </si>
  <si>
    <t>CURVA 90 GRAUS, EM AÇO, CONEXÃO SOLDADA, DN 65 (2 1/2"), INSTALADO EM REDE DE ALIMENTAÇÃO PARA HIDRANTE - FORNECIMENTO E INSTALAÇÃO. AF_01/2026</t>
  </si>
  <si>
    <t>CURVA 90 GRAUS, EM AÇO, CONEXÃO SOLDADA, DN 65 (2 1/2"), INSTALADO EM REDE DE ALIMENTAÇÃO PARA SPRINKLER - FORNECIMENTO E INSTALAÇÃO. AF_01/2026</t>
  </si>
  <si>
    <t>CURVA 90 GRAUS, EM AÇO, CONEXÃO SOLDADA, DN 80 (3"), INSTALADO EM PRUMADAS - FORNECIMENTO E INSTALAÇÃO. AF_01/2026</t>
  </si>
  <si>
    <t>CURVA 90 GRAUS, EM AÇO, CONEXÃO SOLDADA, DN 80 (3"), INSTALADO EM REDE DE ALIMENTAÇÃO PARA HIDRANTE - FORNECIMENTO E INSTALAÇÃO. AF_01/2026</t>
  </si>
  <si>
    <t>CURVA 90 GRAUS, EM AÇO, CONEXÃO SOLDADA, DN 80 (3"), INSTALADO EM REDE DE ALIMENTAÇÃO PARA SPRINKLER - FORNECIMENTO E INSTALAÇÃO. AF_01/2026</t>
  </si>
  <si>
    <t>EXTINTOR DE INCÊNDIO PORTÁTIL COM CARGA DE CO2 DE 4 KG, CLASSE BC - FORNECIMENTO E INSTALAÇÃO. AF_01/2026_PE</t>
  </si>
  <si>
    <t>EXTINTOR DE INCÊNDIO PORTÁTIL COM CARGA DE CO2 DE 6 KG, CLASSE BC - FORNECIMENTO E INSTALAÇÃO. AF_01/2026_PE</t>
  </si>
  <si>
    <t>EXTINTOR DE INCÊNDIO PORTÁTIL COM CARGA DE PQS DE 12 KG, CLASSE BC - FORNECIMENTO E INSTALAÇÃO. AF_01/2026_PE</t>
  </si>
  <si>
    <t>EXTINTOR DE INCÊNDIO PORTÁTIL COM CARGA DE PQS DE 4 KG, CLASSE BC - FORNECIMENTO E INSTALAÇÃO. AF_01/2026_PE</t>
  </si>
  <si>
    <t>EXTINTOR DE INCÊNDIO PORTÁTIL COM CARGA DE PQS DE 6 KG, CLASSE BC - FORNECIMENTO E INSTALAÇÃO. AF_01/2026_PE</t>
  </si>
  <si>
    <t>EXTINTOR DE INCÊNDIO PORTÁTIL COM CARGA DE PQS DE 8 KG, CLASSE BC - FORNECIMENTO E INSTALAÇÃO. AF_01/2026_PE</t>
  </si>
  <si>
    <t>EXTINTOR DE INCÊNDIO PORTÁTIL COM CARGA DE ÁGUA PRESSURIZADA DE 10 L, CLASSE A - FORNECIMENTO E INSTALAÇÃO. AF_01/2026_PE</t>
  </si>
  <si>
    <t>JOELHO 45 GRAUS, EM FERRO GALVANIZADO, CONEXÃO ROSQUEADA, DN 15 (1/2"), INSTALADO EM RAMAIS E SUB-RAMAIS DE GÁS - FORNECIMENTO E INSTALAÇÃO. AF_01/2026</t>
  </si>
  <si>
    <t>JOELHO 45 GRAUS, EM FERRO GALVANIZADO, CONEXÃO ROSQUEADA, DN 20 (3/4"), INSTALADO EM RAMAIS E SUB-RAMAIS DE GÁS - FORNECIMENTO E INSTALAÇÃO. AF_01/2026</t>
  </si>
  <si>
    <t>JOELHO 45 GRAUS, EM FERRO GALVANIZADO, CONEXÃO ROSQUEADA, DN 25 (1"), INSTALADO EM RAMAIS E SUB-RAMAIS DE GÁS - FORNECIMENTO E INSTALAÇÃO. AF_01/2026</t>
  </si>
  <si>
    <t>JOELHO 45 GRAUS, EM FERRO GALVANIZADO, CONEXÃO ROSQUEADA, DN 25 (1"), INSTALADO EM REDE DE ALIMENTAÇÃO PARA SPRINKLER - FORNECIMENTO E INSTALAÇÃO. AF_01/2026</t>
  </si>
  <si>
    <t>JOELHO 45 GRAUS, EM FERRO GALVANIZADO, CONEXÃO ROSQUEADA, DN 32 (1 1/4"), INSTALADO EM REDE DE ALIMENTAÇÃO PARA SPRINKLER - FORNECIMENTO E INSTALAÇÃO. AF_01/2026</t>
  </si>
  <si>
    <t>JOELHO 45 GRAUS, EM FERRO GALVANIZADO, CONEXÃO ROSQUEADA, DN 40 (1 1/2"), INSTALADO EM REDE DE ALIMENTAÇÃO PARA SPRINKLER - FORNECIMENTO E INSTALAÇÃO. AF_01/2026</t>
  </si>
  <si>
    <t>JOELHO 45 GRAUS, EM FERRO GALVANIZADO, CONEXÃO ROSQUEADA, DN 50 (2"), INSTALADO EM REDE DE ALIMENTAÇÃO PARA SPRINKLER - FORNECIMENTO E INSTALAÇÃO. AF_01/2026</t>
  </si>
  <si>
    <t>JOELHO 45 GRAUS, EM FERRO GALVANIZADO, CONEXÃO ROSQUEADA, DN 65 (2 1/2"), INSTALADO EM REDE DE ALIMENTAÇÃO PARA SPRINKLER - FORNECIMENTO E INSTALAÇÃO. AF_01/2026</t>
  </si>
  <si>
    <t>JOELHO 45 GRAUS, EM FERRO GALVANIZADO, CONEXÃO ROSQUEADA, DN 80 (3"), INSTALADO EM REDE DE ALIMENTAÇÃO PARA HIDRANTE - FORNECIMENTO E INSTALAÇÃO. AF_01/2026</t>
  </si>
  <si>
    <t>JOELHO 45 GRAUS, EM FERRO GALVANIZADO, CONEXÃO ROSQUEADA, DN 80 (3"), INSTALADO EM REDE DE ALIMENTAÇÃO PARA SPRINKLER - FORNECIMENTO E INSTALAÇÃO. AF_01/2026</t>
  </si>
  <si>
    <t>JOELHO 45 GRAUS, EM FERRO GALVANIZADO, DN 25 (1"), CONEXÃO ROSQUEADA, INSTALADO EM REDE DE ALIMENTAÇÃO PARA HIDRANTE - FORNECIMENTO E INSTALAÇÃO. AF_01/2026</t>
  </si>
  <si>
    <t>JOELHO 45 GRAUS, EM FERRO GALVANIZADO, DN 32 (1 1/4"), CONEXÃO ROSQUEADA, INSTALADO EM REDE DE ALIMENTAÇÃO PARA HIDRANTE - FORNECIMENTO E INSTALAÇÃO. AF_01/2026</t>
  </si>
  <si>
    <t>JOELHO 45 GRAUS, EM FERRO GALVANIZADO, DN 40 (1 1/2"), CONEXÃO ROSQUEADA, INSTALADO EM REDE DE ALIMENTAÇÃO PARA HIDRANTE - FORNECIMENTO E INSTALAÇÃO. AF_01/2026</t>
  </si>
  <si>
    <t>JOELHO 45 GRAUS, EM FERRO GALVANIZADO, DN 50 (2"), CONEXÃO ROSQUEADA, INSTALADO EM PRUMADAS - FORNECIMENTO E INSTALAÇÃO. AF_01/2026</t>
  </si>
  <si>
    <t>JOELHO 45 GRAUS, EM FERRO GALVANIZADO, DN 50 (2"), CONEXÃO ROSQUEADA, INSTALADO EM REDE DE ALIMENTAÇÃO PARA HIDRANTE - FORNECIMENTO E INSTALAÇÃO. AF_01/2026</t>
  </si>
  <si>
    <t>JOELHO 45 GRAUS, EM FERRO GALVANIZADO, DN 65 (2 1/2"), CONEXÃO ROSQUEADA, INSTALADO EM PRUMADAS - FORNECIMENTO E INSTALAÇÃO. AF_01/2026</t>
  </si>
  <si>
    <t>JOELHO 45 GRAUS, EM FERRO GALVANIZADO, DN 65 (2 1/2"), CONEXÃO ROSQUEADA, INSTALADO EM REDE DE ALIMENTAÇÃO PARA HIDRANTE - FORNECIMENTO E INSTALAÇÃO. AF_01/2026</t>
  </si>
  <si>
    <t>JOELHO 45 GRAUS, EM FERRO GALVANIZADO, DN 80 (3"), CONEXÃO ROSQUEADA, INSTALADO EM PRUMADAS - FORNECIMENTO E INSTALAÇÃO. AF_01/2026</t>
  </si>
  <si>
    <t>JOELHO 90 GRAUS, EM FERRO GALVANIZADO, CONEXÃO ROSQUEADA, DN 15 (1/2"), INSTALADO EM RAMAIS E SUB-RAMAIS DE GÁS - FORNECIMENTO E INSTALAÇÃO. AF_01/2026</t>
  </si>
  <si>
    <t>JOELHO 90 GRAUS, EM FERRO GALVANIZADO, CONEXÃO ROSQUEADA, DN 20 (3/4"), INSTALADO EM RAMAIS E SUB-RAMAIS DE GÁS - FORNECIMENTO E INSTALAÇÃO. AF_01/2026</t>
  </si>
  <si>
    <t>JOELHO 90 GRAUS, EM FERRO GALVANIZADO, CONEXÃO ROSQUEADA, DN 25 (1"), INSTALADO EM RAMAIS E SUB-RAMAIS DE GÁS - FORNECIMENTO E INSTALAÇÃO. AF_01/2026</t>
  </si>
  <si>
    <t>JOELHO 90 GRAUS, EM FERRO GALVANIZADO, CONEXÃO ROSQUEADA, DN 25 (1"), INSTALADO EM REDE DE ALIMENTAÇÃO PARA SPRINKLER - FORNECIMENTO E INSTALAÇÃO. AF_01/2026</t>
  </si>
  <si>
    <t>JOELHO 90 GRAUS, EM FERRO GALVANIZADO, CONEXÃO ROSQUEADA, DN 32 (1 1/4"), INSTALADO EM REDE DE ALIMENTAÇÃO PARA SPRINKLER - FORNECIMENTO E INSTALAÇÃO. AF_01/2026</t>
  </si>
  <si>
    <t>JOELHO 90 GRAUS, EM FERRO GALVANIZADO, CONEXÃO ROSQUEADA, DN 40 (1 1/2"), INSTALADO EM REDE DE ALIMENTAÇÃO PARA SPRINKLER - FORNECIMENTO E INSTALAÇÃO. AF_01/2026</t>
  </si>
  <si>
    <t>JOELHO 90 GRAUS, EM FERRO GALVANIZADO, CONEXÃO ROSQUEADA, DN 50 (2"), INSTALADO EM REDE DE ALIMENTAÇÃO PARA SPRINKLER - FORNECIMENTO E INSTALAÇÃO. AF_01/2026</t>
  </si>
  <si>
    <t>JOELHO 90 GRAUS, EM FERRO GALVANIZADO, CONEXÃO ROSQUEADA, DN 65 (2 1/2"), INSTALADO EM REDE DE ALIMENTAÇÃO PARA SPRINKLER - FORNECIMENTO E INSTALAÇÃO. AF_01/2026</t>
  </si>
  <si>
    <t>JOELHO 90 GRAUS, EM FERRO GALVANIZADO, CONEXÃO ROSQUEADA, DN 80 (3"), INSTALADO EM REDE DE ALIMENTAÇÃO PARA HIDRANTE - FORNECIMENTO E INSTALAÇÃO. AF_01/2026</t>
  </si>
  <si>
    <t>JOELHO 90 GRAUS, EM FERRO GALVANIZADO, CONEXÃO ROSQUEADA, DN 80 (3"), INSTALADO EM REDE DE ALIMENTAÇÃO PARA SPRINKLER - FORNECIMENTO E INSTALAÇÃO. AF_01/2026</t>
  </si>
  <si>
    <t>JOELHO 90 GRAUS, EM FERRO GALVANIZADO, DN 25 (1"), CONEXÃO ROSQUEADA, INSTALADO EM REDE DE ALIMENTAÇÃO PARA HIDRANTE - FORNECIMENTO E INSTALAÇÃO. AF_01/2026</t>
  </si>
  <si>
    <t>JOELHO 90 GRAUS, EM FERRO GALVANIZADO, DN 32 (1 1/4"), CONEXÃO ROSQUEADA, INSTALADO EM REDE DE ALIMENTAÇÃO PARA HIDRANTE - FORNECIMENTO E INSTALAÇÃO. AF_01/2026</t>
  </si>
  <si>
    <t>JOELHO 90 GRAUS, EM FERRO GALVANIZADO, DN 40 (1 1/2"), CONEXÃO ROSQUEADA, INSTALADO EM REDE DE ALIMENTAÇÃO PARA HIDRANTE - FORNECIMENTO E INSTALAÇÃO. AF_01/2026</t>
  </si>
  <si>
    <t>JOELHO 90 GRAUS, EM FERRO GALVANIZADO, DN 50 (2"), CONEXÃO ROSQUEADA, INSTALADO EM PRUMADAS - FORNECIMENTO E INSTALAÇÃO. AF_01/2026</t>
  </si>
  <si>
    <t>JOELHO 90 GRAUS, EM FERRO GALVANIZADO, DN 50 (2"), CONEXÃO ROSQUEADA, INSTALADO EM REDE DE ALIMENTAÇÃO PARA HIDRANTE - FORNECIMENTO E INSTALAÇÃO. AF_01/2026</t>
  </si>
  <si>
    <t>JOELHO 90 GRAUS, EM FERRO GALVANIZADO, DN 65 (2 1/2"), CONEXÃO ROSQUEADA, INSTALADO EM PRUMADAS - FORNECIMENTO E INSTALAÇÃO. AF_01/2026</t>
  </si>
  <si>
    <t>JOELHO 90 GRAUS, EM FERRO GALVANIZADO, DN 65 (2 1/2"), CONEXÃO ROSQUEADA, INSTALADO EM REDE DE ALIMENTAÇÃO PARA HIDRANTE - FORNECIMENTO E INSTALAÇÃO. AF_01/2026</t>
  </si>
  <si>
    <t>JOELHO 90 GRAUS, EM FERRO GALVANIZADO, DN 80 (3"), CONEXÃO ROSQUEADA, INSTALADO EM PRUMADAS - FORNECIMENTO E INSTALAÇÃO. AF_01/2026</t>
  </si>
  <si>
    <t>JOELHO 90°, EM FERRO GALVANIZADO, 4", CONEXÃO ROSQUEADA, INSTALADO EM PRUMADAS - FORNECIMENTO E INSTALAÇÃO. AF_01/2026</t>
  </si>
  <si>
    <t>JOELHO 90°, EM FERRO GALVANIZADO, 4", CONEXÃO ROSQUEADA, INSTALADO EM REDE DE ALIMENTAÇÃO PARA HIDRANTE - FORNECIMENTO E INSTALAÇÃO. AF_01/2026</t>
  </si>
  <si>
    <t>LUVA COM REDUÇÃO, EM AÇO, CONEXÃO SOLDADA, DN 20 X 15 MM (3/4" X 1/2"), INSTALADO EM RAMAIS E SUB-RAMAIS DE GÁS - FORNECIMENTO E INSTALAÇÃO. AF_01/2026</t>
  </si>
  <si>
    <t>LUVA COM REDUÇÃO, EM AÇO, CONEXÃO SOLDADA, DN 25 X 20 MM (1 X 3/4"), INSTALADO EM REDE DE ALIMENTAÇÃO PARA HIDRANTE - FORNECIMENTO E INSTALAÇÃO. AF_01/2026</t>
  </si>
  <si>
    <t>LUVA COM REDUÇÃO, EM AÇO, CONEXÃO SOLDADA, DN 25 X 20 MM (1" X 3/4"), INSTALADO EM RAMAIS E SUB-RAMAIS DE GÁS - FORNECIMENTO E INSTALAÇÃO. AF_01/2026</t>
  </si>
  <si>
    <t>LUVA COM REDUÇÃO, EM AÇO, CONEXÃO SOLDADA, DN 25 X 20 MM (1" X 3/4"), INSTALADO EM REDE DE ALIMENTAÇÃO PARA SPRINKLER - FORNECIMENTO E INSTALAÇÃO. AF_01/2026</t>
  </si>
  <si>
    <t>LUVA COM REDUÇÃO, EM AÇO, CONEXÃO SOLDADA, DN 32 X 25 MM (1 1/4" X 1"), INSTALADO EM REDE DE ALIMENTAÇÃO PARA HIDRANTE - FORNECIMENTO E INSTALAÇÃO. AF_01/2026</t>
  </si>
  <si>
    <t>LUVA COM REDUÇÃO, EM AÇO, CONEXÃO SOLDADA, DN 32 X 25 MM (1 1/4" X 1"), INSTALADO EM REDE DE ALIMENTAÇÃO PARA SPRINKLER - FORNECIMENTO E INSTALAÇÃO. AF_01/2026</t>
  </si>
  <si>
    <t>LUVA COM REDUÇÃO, EM AÇO, CONEXÃO SOLDADA, DN 40 X 32 MM (1 1/2" X 1 1/4"), INSTALADO EM REDE DE ALIMENTAÇÃO PARA HIDRANTE - FORNECIMENTO E INSTALAÇÃO. AF_01/2026</t>
  </si>
  <si>
    <t>LUVA COM REDUÇÃO, EM AÇO, CONEXÃO SOLDADA, DN 40 X 32 MM (1 1/2" X 1 1/4"), INSTALADO EM REDE DE ALIMENTAÇÃO PARA SPRINKLER - FORNECIMENTO E INSTALAÇÃO. AF_01/2026</t>
  </si>
  <si>
    <t>LUVA COM REDUÇÃO, EM AÇO, CONEXÃO SOLDADA, DN 50 X 40 MM (2 X 1 1/2"), INSTALADO EM PRUMADAS - FORNECIMENTO E INSTALAÇÃO. AF_01/2026</t>
  </si>
  <si>
    <t>LUVA COM REDUÇÃO, EM AÇO, CONEXÃO SOLDADA, DN 50 X 40 MM (2" X 1 1/2"), INSTALADO EM REDE DE ALIMENTAÇÃO PARA HIDRANTE - FORNECIMENTO E INSTALAÇÃO. AF_01/2026</t>
  </si>
  <si>
    <t>LUVA COM REDUÇÃO, EM AÇO, CONEXÃO SOLDADA, DN 50 X 40 MM (2" X 1 1/2"), INSTALADO EM REDE DE ALIMENTAÇÃO PARA SPRINKLER - FORNECIMENTO E INSTALAÇÃO. AF_01/2026</t>
  </si>
  <si>
    <t>LUVA COM REDUÇÃO, EM AÇO, CONEXÃO SOLDADA, DN 65 X 50 MM (2 1/2" X 2"), INSTALADO EM PRUMADAS - FORNECIMENTO E INSTALAÇÃO. AF_01/2026</t>
  </si>
  <si>
    <t>LUVA COM REDUÇÃO, EM AÇO, CONEXÃO SOLDADA, DN 65 X 50 MM (2 1/2" X 2"), INSTALADO EM REDE DE ALIMENTAÇÃO PARA HIDRANTE - FORNECIMENTO E INSTALAÇÃO. AF_01/2026</t>
  </si>
  <si>
    <t>LUVA COM REDUÇÃO, EM AÇO, CONEXÃO SOLDADA, DN 65 X 50 MM (2 1/2" X 2"), INSTALADO EM REDE DE ALIMENTAÇÃO PARA SPRINKLER - FORNECIMENTO E INSTALAÇÃO. AF_01/2026</t>
  </si>
  <si>
    <t>LUVA COM REDUÇÃO, EM AÇO, CONEXÃO SOLDADA, DN 80 X 65 MM (3" X 2 1/2"), INSTALADO EM PRUMADAS - FORNECIMENTO E INSTALAÇÃO. AF_01/2026</t>
  </si>
  <si>
    <t>LUVA COM REDUÇÃO, EM AÇO, CONEXÃO SOLDADA, DN 80 X 65 MM (3" X 2 1/2"), INSTALADO EM REDE DE ALIMENTAÇÃO PARA HIDRANTE - FORNECIMENTO E INSTALAÇÃO. AF_01/2026</t>
  </si>
  <si>
    <t>LUVA COM REDUÇÃO, EM AÇO, CONEXÃO SOLDADA, DN 80 X 65 MM (3" X 2 1/2"), INSTALADO EM REDE DE ALIMENTAÇÃO PARA SPRINKLER - FORNECIMENTO E INSTALAÇÃO. AF_01/2026</t>
  </si>
  <si>
    <t>LUVA DE REDUÇÃO, EM FERRO GALVANIZADO, 1 1/2" X 1 1/4", CONEXÃO ROSQUEADA, INSTALADO EM REDE DE ALIMENTAÇÃO PARA HIDRANTE - FORNECIMENTO E INSTALAÇÃO. AF_01/2026</t>
  </si>
  <si>
    <t>LUVA DE REDUÇÃO, EM FERRO GALVANIZADO, 1 1/2" X 1 1/4", CONEXÃO ROSQUEADA, INSTALADO EM REDE DE ALIMENTAÇÃO PARA SPRINKLER - FORNECIMENTO E INSTALAÇÃO. AF_01/2026</t>
  </si>
  <si>
    <t>LUVA DE REDUÇÃO, EM FERRO GALVANIZADO, 1 1/2" X 1", CONEXÃO ROSQUEADA, INSTALADO EM REDE DE ALIMENTAÇÃO PARA HIDRANTE - FORNECIMENTO E INSTALAÇÃO. AF_01/2026</t>
  </si>
  <si>
    <t>LUVA DE REDUÇÃO, EM FERRO GALVANIZADO, 1 1/2" X 1", CONEXÃO ROSQUEADA, INSTALADO EM REDE DE ALIMENTAÇÃO PARA SPRINKLER - FORNECIMENTO E INSTALAÇÃO. AF_01/2026</t>
  </si>
  <si>
    <t>LUVA DE REDUÇÃO, EM FERRO GALVANIZADO, 1 1/2" X 3/4", CONEXÃO ROSQUEADA, INSTALADO EM REDE DE ALIMENTAÇÃO PARA HIDRANTE - FORNECIMENTO E INSTALAÇÃO. AF_01/2026</t>
  </si>
  <si>
    <t>LUVA DE REDUÇÃO, EM FERRO GALVANIZADO, 1 1/2" X 3/4", CONEXÃO ROSQUEADA, INSTALADO EM REDE DE ALIMENTAÇÃO PARA SPRINKLER - FORNECIMENTO E INSTALAÇÃO. AF_01/2026</t>
  </si>
  <si>
    <t>LUVA DE REDUÇÃO, EM FERRO GALVANIZADO, 1 1/4" X 1", CONEXÃO ROSQUEADA, INSTALADO EM REDE DE ALIMENTAÇÃO PARA HIDRANTE - FORNECIMENTO E INSTALAÇÃO. AF_01/2026</t>
  </si>
  <si>
    <t>LUVA DE REDUÇÃO, EM FERRO GALVANIZADO, 1 1/4" X 1", CONEXÃO ROSQUEADA, INSTALADO EM REDE DE ALIMENTAÇÃO PARA SPRINKLER - FORNECIMENTO E INSTALAÇÃO. AF_01/2026</t>
  </si>
  <si>
    <t>LUVA DE REDUÇÃO, EM FERRO GALVANIZADO, 1 1/4" X 1/2", CONEXÃO ROSQUEADA, INSTALADO EM REDE DE ALIMENTAÇÃO PARA HIDRANTE - FORNECIMENTO E INSTALAÇÃO. AF_01/2026</t>
  </si>
  <si>
    <t>LUVA DE REDUÇÃO, EM FERRO GALVANIZADO, 1 1/4" X 1/2", CONEXÃO ROSQUEADA, INSTALADO EM REDE DE ALIMENTAÇÃO PARA SPRINKLER - FORNECIMENTO E INSTALAÇÃO. AF_01/2026</t>
  </si>
  <si>
    <t>LUVA DE REDUÇÃO, EM FERRO GALVANIZADO, 1 1/4" X 3/4", CONEXÃO ROSQUEADA, INSTALADO EM REDE DE ALIMENTAÇÃO PARA HIDRANTE - FORNECIMENTO E INSTALAÇÃO. AF_01/2026</t>
  </si>
  <si>
    <t>LUVA DE REDUÇÃO, EM FERRO GALVANIZADO, 1 1/4" X 3/4", CONEXÃO ROSQUEADA, INSTALADO EM REDE DE ALIMENTAÇÃO PARA SPRINKLER - FORNECIMENTO E INSTALAÇÃO. AF_01/2026</t>
  </si>
  <si>
    <t>LUVA DE REDUÇÃO, EM FERRO GALVANIZADO, 1" X 1/2", CONEXÃO ROSQUEADA, INSTALADO EM REDE DE ALIMENTAÇÃO PARA HIDRANTE - FORNECIMENTO E INSTALAÇÃO. AF_01/2026</t>
  </si>
  <si>
    <t>LUVA DE REDUÇÃO, EM FERRO GALVANIZADO, 1" X 1/2", CONEXÃO ROSQUEADA, INSTALADO EM REDE DE ALIMENTAÇÃO PARA SPRINKLER - FORNECIMENTO E INSTALAÇÃO. AF_01/2026</t>
  </si>
  <si>
    <t>LUVA DE REDUÇÃO, EM FERRO GALVANIZADO, 1" X 3/4", CONEXÃO ROSQUEADA, INSTALADO EM REDE DE ALIMENTAÇÃO PARA HIDRANTE - FORNECIMENTO E INSTALAÇÃO. AF_01/2026</t>
  </si>
  <si>
    <t>LUVA DE REDUÇÃO, EM FERRO GALVANIZADO, 1" X 3/4", CONEXÃO ROSQUEADA, INSTALADO EM REDE DE ALIMENTAÇÃO PARA SPRINKLER - FORNECIMENTO E INSTALAÇÃO. AF_01/2026</t>
  </si>
  <si>
    <t>LUVA DE REDUÇÃO, EM FERRO GALVANIZADO, 2 1/2" X 1 1/2", CONEXÃO ROSQUEADA, INSTALADO EM PRUMADAS - FORNECIMENTO E INSTALAÇÃO. AF_01/2026</t>
  </si>
  <si>
    <t>LUVA DE REDUÇÃO, EM FERRO GALVANIZADO, 2 1/2" X 1 1/2", CONEXÃO ROSQUEADA, INSTALADO EM REDE DE ALIMENTAÇÃO PARA HIDRANTE - FORNECIMENTO E INSTALAÇÃO. AF_01/2026</t>
  </si>
  <si>
    <t>LUVA DE REDUÇÃO, EM FERRO GALVANIZADO, 2 1/2" X 1 1/2", CONEXÃO ROSQUEADA, INSTALADO EM REDE DE ALIMENTAÇÃO PARA SPRINKLER - FORNECIMENTO E INSTALAÇÃO. AF_01/2026</t>
  </si>
  <si>
    <t>LUVA DE REDUÇÃO, EM FERRO GALVANIZADO, 2 1/2" X 2", CONEXÃO ROSQUEADA, INSTALADO EM PRUMADAS - FORNECIMENTO E INSTALAÇÃO. AF_01/2026</t>
  </si>
  <si>
    <t>LUVA DE REDUÇÃO, EM FERRO GALVANIZADO, 2 1/2" X 2", CONEXÃO ROSQUEADA, INSTALADO EM REDE DE ALIMENTAÇÃO PARA HIDRANTE - FORNECIMENTO E INSTALAÇÃO. AF_01/2026</t>
  </si>
  <si>
    <t>LUVA DE REDUÇÃO, EM FERRO GALVANIZADO, 2 1/2" X 2", CONEXÃO ROSQUEADA, INSTALADO EM REDE DE ALIMENTAÇÃO PARA SPRINKLER - FORNECIMENTO E INSTALAÇÃO. AF_01/2026</t>
  </si>
  <si>
    <t>LUVA DE REDUÇÃO, EM FERRO GALVANIZADO, 2" X 1 1/2", CONEXÃO ROSQUEADA, INSTALADO EM PRUMADAS - FORNECIMENTO E INSTALAÇÃO. AF_01/2026</t>
  </si>
  <si>
    <t>LUVA DE REDUÇÃO, EM FERRO GALVANIZADO, 2" X 1 1/2", CONEXÃO ROSQUEADA, INSTALADO EM REDE DE ALIMENTAÇÃO PARA HIDRANTE - FORNECIMENTO E INSTALAÇÃO. AF_01/2026</t>
  </si>
  <si>
    <t>LUVA DE REDUÇÃO, EM FERRO GALVANIZADO, 2" X 1 1/2", CONEXÃO ROSQUEADA, INSTALADO EM REDE DE ALIMENTAÇÃO PARA SPRINKLER - FORNECIMENTO E INSTALAÇÃO. AF_01/2026</t>
  </si>
  <si>
    <t>LUVA DE REDUÇÃO, EM FERRO GALVANIZADO, 2" X 1 1/4", CONEXÃO ROSQUEADA, INSTALADO EM PRUMADAS - FORNECIMENTO E INSTALAÇÃO. AF_01/2026</t>
  </si>
  <si>
    <t>LUVA DE REDUÇÃO, EM FERRO GALVANIZADO, 2" X 1 1/4", CONEXÃO ROSQUEADA, INSTALADO EM REDE DE ALIMENTAÇÃO PARA HIDRANTE - FORNECIMENTO E INSTALAÇÃO. AF_01/2026</t>
  </si>
  <si>
    <t>LUVA DE REDUÇÃO, EM FERRO GALVANIZADO, 2" X 1 1/4", CONEXÃO ROSQUEADA, INSTALADO EM REDE DE ALIMENTAÇÃO PARA SPRINKLER - FORNECIMENTO E INSTALAÇÃO. AF_01/2026</t>
  </si>
  <si>
    <t>LUVA DE REDUÇÃO, EM FERRO GALVANIZADO, 2" X 1", CONEXÃO ROSQUEADA, INSTALADO EM PRUMADAS - FORNECIMENTO E INSTALAÇÃO. AF_01/2026</t>
  </si>
  <si>
    <t>LUVA DE REDUÇÃO, EM FERRO GALVANIZADO, 2" X 1", CONEXÃO ROSQUEADA, INSTALADO EM REDE DE ALIMENTAÇÃO PARA HIDRANTE - FORNECIMENTO E INSTALAÇÃO. AF_01/2026</t>
  </si>
  <si>
    <t>LUVA DE REDUÇÃO, EM FERRO GALVANIZADO, 2" X 1", CONEXÃO ROSQUEADA, INSTALADO EM REDE DE ALIMENTAÇÃO PARA SPRINKLER - FORNECIMENTO E INSTALAÇÃO. AF_01/2026</t>
  </si>
  <si>
    <t>LUVA DE REDUÇÃO, EM FERRO GALVANIZADO, 3" X 1 1/2", CONEXÃO ROSQUEADA, INSTALADO EM PRUMADAS - FORNECIMENTO E INSTALAÇÃO. AF_01/2026</t>
  </si>
  <si>
    <t>LUVA DE REDUÇÃO, EM FERRO GALVANIZADO, 3" X 2 1/2", CONEXÃO ROSQUEADA, INSTALADO EM PRUMADAS - FORNECIMENTO E INSTALAÇÃO. AF_01/2026</t>
  </si>
  <si>
    <t>LUVA DE REDUÇÃO, EM FERRO GALVANIZADO, 3" X 2 1/2", CONEXÃO ROSQUEADA, INSTALADO EM REDE DE ALIMENTAÇÃO PARA HIDRANTE - FORNECIMENTO E INSTALAÇÃO. AF_01/2026</t>
  </si>
  <si>
    <t>LUVA DE REDUÇÃO, EM FERRO GALVANIZADO, 3" X 2 1/2", CONEXÃO ROSQUEADA, INSTALADO EM REDE DE ALIMENTAÇÃO PARA SPRINKLER - FORNECIMENTO E INSTALAÇÃO. AF_01/2026</t>
  </si>
  <si>
    <t>LUVA DE REDUÇÃO, EM FERRO GALVANIZADO, 3" X 2", CONEXÃO ROSQUEADA, INSTALADO EM PRUMADAS - FORNECIMENTO E INSTALAÇÃO. AF_01/2026</t>
  </si>
  <si>
    <t>LUVA DE REDUÇÃO, EM FERRO GALVANIZADO, 3" X 2", CONEXÃO ROSQUEADA, INSTALADO EM REDE DE ALIMENTAÇÃO PARA HIDRANTE - FORNECIMENTO E INSTALAÇÃO. AF_01/2026</t>
  </si>
  <si>
    <t>LUVA DE REDUÇÃO, EM FERRO GALVANIZADO, 3" X 2", CONEXÃO ROSQUEADA, INSTALADO EM REDE DE ALIMENTAÇÃO PARA SPRINKLER - FORNECIMENTO E INSTALAÇÃO. AF_01/2026</t>
  </si>
  <si>
    <t>LUVA DE REDUÇÃO, EM FERRO GALVANIZADO, 3/4" X 1/2", CONEXÃO ROSQUEADA, INSTALADO EM RAMAIS E SUB-RAMAIS DE GÁS - FORNECIMENTO E INSTALAÇÃO. AF_01/2026</t>
  </si>
  <si>
    <t>LUVA DE REDUÇÃO, EM FERRO GALVANIZADO, 4" X 2 1/2", CONEXÃO ROSQUEADA, INSTALADO EM PRUMADAS - FORNECIMENTO E INSTALAÇÃO. AF_01/2026</t>
  </si>
  <si>
    <t>LUVA DE REDUÇÃO, EM FERRO GALVANIZADO, 4" X 2 1/2", CONEXÃO ROSQUEADA, INSTALADO EM REDE DE ALIMENTAÇÃO PARA HIDRANTE - FORNECIMENTO E INSTALAÇÃO. AF_01/2026</t>
  </si>
  <si>
    <t>LUVA DE REDUÇÃO, EM FERRO GALVANIZADO, 4" X 2", CONEXÃO ROSQUEADA, INSTALADO EM PRUMADAS - FORNECIMENTO E INSTALAÇÃO. AF_01/2026</t>
  </si>
  <si>
    <t>LUVA DE REDUÇÃO, EM FERRO GALVANIZADO, 4" X 2", CONEXÃO ROSQUEADA, INSTALADO EM REDE DE ALIMENTAÇÃO PARA HIDRANTE - FORNECIMENTO E INSTALAÇÃO. AF_01/2026</t>
  </si>
  <si>
    <t>LUVA DE REDUÇÃO, EM FERRO GALVANIZADO, 4" X 3", CONEXÃO ROSQUEADA, INSTALADO EM PRUMADAS - FORNECIMENTO E INSTALAÇÃO. AF_01/2026</t>
  </si>
  <si>
    <t>LUVA DE REDUÇÃO, EM FERRO GALVANIZADO, 4" X 3", CONEXÃO ROSQUEADA, INSTALADO EM REDE DE ALIMENTAÇÃO PARA HIDRANTE - FORNECIMENTO E INSTALAÇÃO. AF_01/2026</t>
  </si>
  <si>
    <t>LUVA, EM AÇO, CONEXÃO SOLDADA, DN 15 (1/2"), INSTALADO EM RAMAIS E SUB-RAMAIS DE GÁS - FORNECIMENTO E INSTALAÇÃO. AF_01/2026</t>
  </si>
  <si>
    <t>LUVA, EM AÇO, CONEXÃO SOLDADA, DN 20 (3/4"), INSTALADO EM RAMAIS E SUB-RAMAIS DE GÁS - FORNECIMENTO E INSTALAÇÃO. AF_01/2026</t>
  </si>
  <si>
    <t>LUVA, EM AÇO, CONEXÃO SOLDADA, DN 25 (1"), INSTALADO EM RAMAIS E SUB-RAMAIS DE GÁS - FORNECIMENTO E INSTALAÇÃO. AF_01/2026</t>
  </si>
  <si>
    <t>LUVA, EM AÇO, CONEXÃO SOLDADA, DN 25 (1"), INSTALADO EM REDE DE ALIMENTAÇÃO PARA HIDRANTE - FORNECIMENTO E INSTALAÇÃO. AF_01/2026</t>
  </si>
  <si>
    <t>LUVA, EM AÇO, CONEXÃO SOLDADA, DN 25 (1"), INSTALADO EM REDE DE ALIMENTAÇÃO PARA SPRINKLER - FORNECIMENTO E INSTALAÇÃO. AF_01/2026</t>
  </si>
  <si>
    <t>LUVA, EM AÇO, CONEXÃO SOLDADA, DN 32 (1 1/4"), INSTALADO EM REDE DE ALIMENTAÇÃO PARA HIDRANTE - FORNECIMENTO E INSTALAÇÃO. AF_01/2026</t>
  </si>
  <si>
    <t>LUVA, EM AÇO, CONEXÃO SOLDADA, DN 32 (1 1/4"), INSTALADO EM REDE DE ALIMENTAÇÃO PARA SPRINKLER - FORNECIMENTO E INSTALAÇÃO. AF_01/2026</t>
  </si>
  <si>
    <t>LUVA, EM AÇO, CONEXÃO SOLDADA, DN 40 (1 1/2"), INSTALADO EM REDE DE ALIMENTAÇÃO PARA HIDRANTE - FORNECIMENTO E INSTALAÇÃO. AF_01/2026</t>
  </si>
  <si>
    <t>LUVA, EM AÇO, CONEXÃO SOLDADA, DN 40 (1 1/2"), INSTALADO EM REDE DE ALIMENTAÇÃO PARA SPRINKLER - FORNECIMENTO E INSTALAÇÃO. AF_01/2026</t>
  </si>
  <si>
    <t>LUVA, EM AÇO, CONEXÃO SOLDADA, DN 50 (2"), INSTALADO EM PRUMADAS - FORNECIMENTO E INSTALAÇÃO. AF_01/2026</t>
  </si>
  <si>
    <t>LUVA, EM AÇO, CONEXÃO SOLDADA, DN 50 (2"), INSTALADO EM REDE DE ALIMENTAÇÃO PARA HIDRANTE - FORNECIMENTO E INSTALAÇÃO. AF_01/2026</t>
  </si>
  <si>
    <t>LUVA, EM AÇO, CONEXÃO SOLDADA, DN 50 (2"), INSTALADO EM REDE DE ALIMENTAÇÃO PARA SPRINKLER - FORNECIMENTO E INSTALAÇÃO. AF_01/2026</t>
  </si>
  <si>
    <t>LUVA, EM AÇO, CONEXÃO SOLDADA, DN 65 (2 1/2"), INSTALADO EM PRUMADAS - FORNECIMENTO E INSTALAÇÃO. AF_01/2026</t>
  </si>
  <si>
    <t>LUVA, EM AÇO, CONEXÃO SOLDADA, DN 65 (2 1/2"), INSTALADO EM REDE DE ALIMENTAÇÃO PARA HIDRANTE - FORNECIMENTO E INSTALAÇÃO. AF_01/2026</t>
  </si>
  <si>
    <t>LUVA, EM AÇO, CONEXÃO SOLDADA, DN 65 (2 1/2"), INSTALADO EM REDE DE ALIMENTAÇÃO PARA SPRINKLER - FORNECIMENTO E INSTALAÇÃO. AF_01/2026</t>
  </si>
  <si>
    <t>LUVA, EM AÇO, CONEXÃO SOLDADA, DN 80 (3"), INSTALADO EM PRUMADAS - FORNECIMENTO E INSTALAÇÃO. AF_01/2026</t>
  </si>
  <si>
    <t>LUVA, EM AÇO, CONEXÃO SOLDADA, DN 80 (3"), INSTALADO EM REDE DE ALIMENTAÇÃO PARA HIDRANTE - FORNECIMENTO E INSTALAÇÃO. AF_01/2026</t>
  </si>
  <si>
    <t>LUVA, EM AÇO, CONEXÃO SOLDADA, DN 80 (3"), INSTALADO EM REDE DE ALIMENTAÇÃO PARA SPRINKLER - FORNECIMENTO E INSTALAÇÃO. AF_01/2026</t>
  </si>
  <si>
    <t>LUVA, EM FERRO GALVANIZADO, 4", CONEXÃO ROSQUEADA, INSTALADO EM PRUMADAS - FORNECIMENTO E INSTALAÇÃO. AF_01/2026</t>
  </si>
  <si>
    <t>LUVA, EM FERRO GALVANIZADO, 4", CONEXÃO ROSQUEADA, INSTALADO EM REDE DE ALIMENTAÇÃO PARA HIDRANTE - FORNECIMENTO E INSTALAÇÃO. AF_01/2026</t>
  </si>
  <si>
    <t>LUVA, EM FERRO GALVANIZADO, CONEXÃO ROSQUEADA, DN 15 (1/2"), INSTALADO EM RAMAIS E SUB-RAMAIS DE GÁS - FORNECIMENTO E INSTALAÇÃO. AF_01/2026</t>
  </si>
  <si>
    <t>LUVA, EM FERRO GALVANIZADO, CONEXÃO ROSQUEADA, DN 20 (3/4"), INSTALADO EM RAMAIS E SUB-RAMAIS DE GÁS - FORNECIMENTO E INSTALAÇÃO. AF_01/2026</t>
  </si>
  <si>
    <t>LUVA, EM FERRO GALVANIZADO, CONEXÃO ROSQUEADA, DN 25 (1"), INSTALADO EM RAMAIS E SUB-RAMAIS DE GÁS - FORNECIMENTO E INSTALAÇÃO. AF_01/2026</t>
  </si>
  <si>
    <t>LUVA, EM FERRO GALVANIZADO, CONEXÃO ROSQUEADA, DN 25 (1"), INSTALADO EM REDE DE ALIMENTAÇÃO PARA SPRINKLER - FORNECIMENTO E INSTALAÇÃO. AF_01/2026</t>
  </si>
  <si>
    <t>LUVA, EM FERRO GALVANIZADO, CONEXÃO ROSQUEADA, DN 32 (1 1/4"), INSTALADO EM REDE DE ALIMENTAÇÃO PARA SPRINKLER - FORNECIMENTO E INSTALAÇÃO. AF_01/2026</t>
  </si>
  <si>
    <t>LUVA, EM FERRO GALVANIZADO, CONEXÃO ROSQUEADA, DN 40 (1 1/2"), INSTALADO EM REDE DE ALIMENTAÇÃO PARA SPRINKLER - FORNECIMENTO E INSTALAÇÃO. AF_01/2026</t>
  </si>
  <si>
    <t>LUVA, EM FERRO GALVANIZADO, CONEXÃO ROSQUEADA, DN 50 (2"), INSTALADO EM REDE DE ALIMENTAÇÃO PARA SPRINKLER - FORNECIMENTO E INSTALAÇÃO. AF_01/2026</t>
  </si>
  <si>
    <t>LUVA, EM FERRO GALVANIZADO, CONEXÃO ROSQUEADA, DN 65 (2 1/2"), INSTALADO EM REDE DE ALIMENTAÇÃO PARA SPRINKLER - FORNECIMENTO E INSTALAÇÃO. AF_01/2026</t>
  </si>
  <si>
    <t>LUVA, EM FERRO GALVANIZADO, CONEXÃO ROSQUEADA, DN 80 (3"), INSTALADO EM REDE DE ALIMENTAÇÃO PARA SPRINKLER - FORNECIMENTO E INSTALAÇÃO. AF_01/2026</t>
  </si>
  <si>
    <t>LUVA, EM FERRO GALVANIZADO, DN 25 (1"), CONEXÃO ROSQUEADA, INSTALADO EM REDE DE ALIMENTAÇÃO PARA HIDRANTE - FORNECIMENTO E INSTALAÇÃO. AF_01/2026</t>
  </si>
  <si>
    <t>LUVA, EM FERRO GALVANIZADO, DN 32 (1 1/4"), CONEXÃO ROSQUEADA, INSTALADO EM REDE DE ALIMENTAÇÃO PARA HIDRANTE - FORNECIMENTO E INSTALAÇÃO. AF_01/2026</t>
  </si>
  <si>
    <t>LUVA, EM FERRO GALVANIZADO, DN 40 (1 1/2"), CONEXÃO ROSQUEADA, INSTALADO EM REDE DE ALIMENTAÇÃO PARA HIDRANTE - FORNECIMENTO E INSTALAÇÃO. AF_01/2026</t>
  </si>
  <si>
    <t>LUVA, EM FERRO GALVANIZADO, DN 50 (2"), CONEXÃO ROSQUEADA, INSTALADO EM PRUMADAS - FORNECIMENTO E INSTALAÇÃO. AF_01/2026</t>
  </si>
  <si>
    <t>LUVA, EM FERRO GALVANIZADO, DN 50 (2"), CONEXÃO ROSQUEADA, INSTALADO EM REDE DE ALIMENTAÇÃO PARA HIDRANTE - FORNECIMENTO E INSTALAÇÃO. AF_01/2026</t>
  </si>
  <si>
    <t>LUVA, EM FERRO GALVANIZADO, DN 65 (2 1/2"), CONEXÃO ROSQUEADA, INSTALADO EM PRUMADAS - FORNECIMENTO E INSTALAÇÃO. AF_01/2026</t>
  </si>
  <si>
    <t>LUVA, EM FERRO GALVANIZADO, DN 65 (2 1/2"), CONEXÃO ROSQUEADA, INSTALADO EM REDE DE ALIMENTAÇÃO PARA HIDRANTE - FORNECIMENTO E INSTALAÇÃO. AF_01/2026</t>
  </si>
  <si>
    <t>LUVA, EM FERRO GALVANIZADO, DN 80 (3"), CONEXÃO ROSQUEADA, INSTALADO EM PRUMADAS - FORNECIMENTO E INSTALAÇÃO. AF_01/2026</t>
  </si>
  <si>
    <t>LUVA, EM FERRO GALVANIZADO, DN 80 (3"), CONEXÃO ROSQUEADA, INSTALADO EM REDE DE ALIMENTAÇÃO PARA HIDRANTE - FORNECIMENTO E INSTALAÇÃO. AF_01/2026</t>
  </si>
  <si>
    <t>MANÔMETRO 0 A 200 PSI (0 A 14 KGF/CM2), D = 50MM - FORNECIMENTO E INSTALAÇÃO. AF_01/2026</t>
  </si>
  <si>
    <t>NIPLE, EM FERRO GALVANIZADO, 4", CONEXÃO ROSQUEADA, INSTALADO EM PRUMADAS - FORNECIMENTO E INSTALAÇÃO. AF_01/2026</t>
  </si>
  <si>
    <t>NIPLE, EM FERRO GALVANIZADO, 4", CONEXÃO ROSQUEADA, INSTALADO EM REDE DE ALIMENTAÇÃO PARA HIDRANTE - FORNECIMENTO E INSTALAÇÃO. AF_01/2026</t>
  </si>
  <si>
    <t>NIPLE, EM FERRO GALVANIZADO, CONEXÃO ROSQUEADA, DN 15 (1/2"), INSTALADO EM RAMAIS E SUB-RAMAIS DE GÁS - FORNECIMENTO E INSTALAÇÃO. AF_01/2026</t>
  </si>
  <si>
    <t>NIPLE, EM FERRO GALVANIZADO, CONEXÃO ROSQUEADA, DN 20 (3/4"), INSTALADO EM RAMAIS E SUB-RAMAIS DE GÁS - FORNECIMENTO E INSTALAÇÃO. AF_01/2026</t>
  </si>
  <si>
    <t>NIPLE, EM FERRO GALVANIZADO, CONEXÃO ROSQUEADA, DN 25 (1"), INSTALADO EM RAMAIS E SUB-RAMAIS DE GÁS - FORNECIMENTO E INSTALAÇÃO. AF_01/2026</t>
  </si>
  <si>
    <t>NIPLE, EM FERRO GALVANIZADO, CONEXÃO ROSQUEADA, DN 25 (1"), INSTALADO EM REDE DE ALIMENTAÇÃO PARA SPRINKLER - FORNECIMENTO E INSTALAÇÃO. AF_01/2026</t>
  </si>
  <si>
    <t>NIPLE, EM FERRO GALVANIZADO, CONEXÃO ROSQUEADA, DN 32 (1 1/4"), INSTALADO EM REDE DE ALIMENTAÇÃO PARA SPRINKLER - FORNECIMENTO E INSTALAÇÃO. AF_01/2026</t>
  </si>
  <si>
    <t>NIPLE, EM FERRO GALVANIZADO, CONEXÃO ROSQUEADA, DN 40 (1 1/2"), INSTALADO EM REDE DE ALIMENTAÇÃO PARA SPRINKLER - FORNECIMENTO E INSTALAÇÃO. AF_01/2026</t>
  </si>
  <si>
    <t>NIPLE, EM FERRO GALVANIZADO, CONEXÃO ROSQUEADA, DN 50 (2"), INSTALADO EM REDE DE ALIMENTAÇÃO PARA SPRINKLER - FORNECIMENTO E INSTALAÇÃO. AF_01/2026</t>
  </si>
  <si>
    <t>NIPLE, EM FERRO GALVANIZADO, CONEXÃO ROSQUEADA, DN 65 (2 1/2"), INSTALADO EM REDE DE ALIMENTAÇÃO PARA SPRINKLER - FORNECIMENTO E INSTALAÇÃO. AF_01/2026</t>
  </si>
  <si>
    <t>NIPLE, EM FERRO GALVANIZADO, CONEXÃO ROSQUEADA, DN 80 (3"), INSTALADO EM REDE DE ALIMENTAÇÃO PARA SPRINKLER - FORNECIMENTO E INSTALAÇÃO. AF_01/2026</t>
  </si>
  <si>
    <t>NIPLE, EM FERRO GALVANIZADO, DN 25 (1"), CONEXÃO ROSQUEADA, INSTALADO EM REDE DE ALIMENTAÇÃO PARA HIDRANTE - FORNECIMENTO E INSTALAÇÃO. AF_01/2026</t>
  </si>
  <si>
    <t>NIPLE, EM FERRO GALVANIZADO, DN 32 (1 1/4"), CONEXÃO ROSQUEADA, INSTALADO EM REDE DE ALIMENTAÇÃO PARA HIDRANTE - FORNECIMENTO E INSTALAÇÃO. AF_01/2026</t>
  </si>
  <si>
    <t>NIPLE, EM FERRO GALVANIZADO, DN 40 (1 1/2"), CONEXÃO ROSQUEADA, INSTALADO EM REDE DE ALIMENTAÇÃO PARA HIDRANTE - FORNECIMENTO E INSTALAÇÃO. AF_01/2026</t>
  </si>
  <si>
    <t>NIPLE, EM FERRO GALVANIZADO, DN 50 (2"), CONEXÃO ROSQUEADA, INSTALADO EM PRUMADAS - FORNECIMENTO E INSTALAÇÃO. AF_01/2026</t>
  </si>
  <si>
    <t>NIPLE, EM FERRO GALVANIZADO, DN 50 (2"), CONEXÃO ROSQUEADA, INSTALADO EM REDE DE ALIMENTAÇÃO PARA HIDRANTE - FORNECIMENTO E INSTALAÇÃO. AF_01/2026</t>
  </si>
  <si>
    <t>NIPLE, EM FERRO GALVANIZADO, DN 65 (2 1/2"), CONEXÃO ROSQUEADA, INSTALADO EM PRUMADAS - FORNECIMENTO E INSTALAÇÃO. AF_01/2026</t>
  </si>
  <si>
    <t>NIPLE, EM FERRO GALVANIZADO, DN 65 (2 1/2"), CONEXÃO ROSQUEADA, INSTALADO EM REDE DE ALIMENTAÇÃO PARA HIDRANTE - FORNECIMENTO E INSTALAÇÃO. AF_01/2026</t>
  </si>
  <si>
    <t>NIPLE, EM FERRO GALVANIZADO, DN 80 (3"), CONEXÃO ROSQUEADA, INSTALADO EM PRUMADAS - FORNECIMENTO E INSTALAÇÃO. AF_01/2026</t>
  </si>
  <si>
    <t>NIPLE, EM FERRO GALVANIZADO, DN 80 (3"), CONEXÃO ROSQUEADA, INSTALADO EM REDE DE ALIMENTAÇÃO PARA HIDRANTE - FORNECIMENTO E INSTALAÇÃO. AF_01/2026</t>
  </si>
  <si>
    <t>REGISTRO DE RECALQUE, HIDRANTE SUBTERRÂNEO PREDIAL, 65 MM - FORNECIMENTO E INSTALAÇÃO. AF_01/2026</t>
  </si>
  <si>
    <t>SPRINKLER TIPO PENDENTE, 68 °C, UNIÃO POR ROSCA DN 15 (1/2") - FORNECIMENTO E INSTALAÇÃO. AF_01/2026</t>
  </si>
  <si>
    <t>TUBO DE AÇO GALVANIZADO COM COSTURA, CLASSE MÉDIA, CONEXÃO RANHURADA, DN 50 (2"), INSTALADO EM PRUMADAS - FORNECIMENTO E INSTALAÇÃO. AF_01/2026</t>
  </si>
  <si>
    <t>TUBO DE AÇO GALVANIZADO COM COSTURA, CLASSE MÉDIA, CONEXÃO RANHURADA, DN 65 (2 1/2"), INSTALADO EM PRUMADAS - FORNECIMENTO E INSTALAÇÃO. AF_01/2026</t>
  </si>
  <si>
    <t>TUBO DE AÇO GALVANIZADO COM COSTURA, CLASSE MÉDIA, CONEXÃO RANHURADA, DN 80 (3"), INSTALADO EM PRUMADAS - FORNECIMENTO E INSTALAÇÃO. AF_01/2026</t>
  </si>
  <si>
    <t>TUBO DE AÇO GALVANIZADO COM COSTURA, CLASSE MÉDIA, CONEXÃO ROSQUEADA, DN 15 (1/2"), INSTALADO EM RAMAIS E SUB-RAMAIS DE GÁS - FORNECIMENTO E INSTALAÇÃO. AF_01/2026</t>
  </si>
  <si>
    <t>TUBO DE AÇO GALVANIZADO COM COSTURA, CLASSE MÉDIA, CONEXÃO ROSQUEADA, DN 20 (3/4"), INSTALADO EM RAMAIS E SUB-RAMAIS DE GÁS - FORNECIMENTO E INSTALAÇÃO. AF_01/2026</t>
  </si>
  <si>
    <t>TUBO DE AÇO GALVANIZADO COM COSTURA, CLASSE MÉDIA, CONEXÃO ROSQUEADA, DN 25 (1"), INSTALADO EM RAMAIS E SUB-RAMAIS DE GÁS - FORNECIMENTO E INSTALAÇÃO. AF_01/2026</t>
  </si>
  <si>
    <t>TUBO DE AÇO GALVANIZADO COM COSTURA, CLASSE MÉDIA, CONEXÃO ROSQUEADA, DN 25 (1"), INSTALADO EM REDE DE ALIMENTAÇÃO PARA SPRINKLER - FORNECIMENTO E INSTALAÇÃO. AF_01/2026</t>
  </si>
  <si>
    <t>TUBO DE AÇO GALVANIZADO COM COSTURA, CLASSE MÉDIA, CONEXÃO ROSQUEADA, DN 32 (1 1/4"), INSTALADO EM REDE DE ALIMENTAÇÃO PARA SPRINKLER - FORNECIMENTO E INSTALAÇÃO. AF_01/2026</t>
  </si>
  <si>
    <t>TUBO DE AÇO GALVANIZADO COM COSTURA, CLASSE MÉDIA, CONEXÃO ROSQUEADA, DN 40 (1 1/2"), INSTALADO EM REDE DE ALIMENTAÇÃO PARA SPRINKLER - FORNECIMENTO E INSTALAÇÃO. AF_01/2026</t>
  </si>
  <si>
    <t>TUBO DE AÇO GALVANIZADO COM COSTURA, CLASSE MÉDIA, CONEXÃO ROSQUEADA, DN 50 (2"), INSTALADO EM REDE DE ALIMENTAÇÃO PARA SPRINKLER - FORNECIMENTO E INSTALAÇÃO. AF_01/2026</t>
  </si>
  <si>
    <t>TUBO DE AÇO GALVANIZADO COM COSTURA, CLASSE MÉDIA, CONEXÃO ROSQUEADA, DN 65 (2 1/2"), INSTALADO EM REDE DE ALIMENTAÇÃO PARA SPRINKLER - FORNECIMENTO E INSTALAÇÃO. AF_01/2026</t>
  </si>
  <si>
    <t>TUBO DE AÇO GALVANIZADO COM COSTURA, CLASSE MÉDIA, CONEXÃO ROSQUEADA, DN 80 (3"), INSTALADO EM REDE DE ALIMENTAÇÃO PARA SPRINKLER - FORNECIMENTO E INSTALAÇÃO. AF_01/2026</t>
  </si>
  <si>
    <t>TUBO DE AÇO GALVANIZADO COM COSTURA, CLASSE MÉDIA, DN 100 (4"), CONEXÃO ROSQUEADA, INSTALADO EM PRUMADAS - FORNECIMENTO E INSTALAÇÃO. AF_01/2026</t>
  </si>
  <si>
    <t>TUBO DE AÇO GALVANIZADO COM COSTURA, CLASSE MÉDIA, DN 100 (4"), CONEXÃO ROSQUEADA, INSTALADO EM REDE DE ALIMENTAÇÃO PARA HIDRANTE - FORNECIMENTO E INSTALAÇÃO. AF_01/2026</t>
  </si>
  <si>
    <t>TUBO DE AÇO GALVANIZADO COM COSTURA, CLASSE MÉDIA, DN 25 (1"), CONEXÃO ROSQUEADA, INSTALADO EM REDE DE ALIMENTAÇÃO PARA HIDRANTE - FORNECIMENTO E INSTALAÇÃO. AF_01/2026</t>
  </si>
  <si>
    <t>TUBO DE AÇO GALVANIZADO COM COSTURA, CLASSE MÉDIA, DN 32 (1 1/4"), CONEXÃO ROSQUEADA, INSTALADO EM REDE DE ALIMENTAÇÃO PARA HIDRANTE - FORNECIMENTO E INSTALAÇÃO. AF_01/2026</t>
  </si>
  <si>
    <t>TUBO DE AÇO GALVANIZADO COM COSTURA, CLASSE MÉDIA, DN 40 (1 1/2"), CONEXÃO ROSQUEADA, INSTALADO EM REDE DE ALIMENTAÇÃO PARA HIDRANTE - FORNECIMENTO E INSTALAÇÃO. AF_01/2026</t>
  </si>
  <si>
    <t>TUBO DE AÇO GALVANIZADO COM COSTURA, CLASSE MÉDIA, DN 50 (2"), CONEXÃO ROSQUEADA, INSTALADO EM PRUMADAS - FORNECIMENTO E INSTALAÇÃO. AF_01/2026</t>
  </si>
  <si>
    <t>TUBO DE AÇO GALVANIZADO COM COSTURA, CLASSE MÉDIA, DN 50 (2"), CONEXÃO ROSQUEADA, INSTALADO EM REDE DE ALIMENTAÇÃO PARA HIDRANTE - FORNECIMENTO E INSTALAÇÃO. AF_01/2026</t>
  </si>
  <si>
    <t>TUBO DE AÇO GALVANIZADO COM COSTURA, CLASSE MÉDIA, DN 65 (2 1/2"), CONEXÃO ROSQUEADA, INSTALADO EM PRUMADAS - FORNECIMENTO E INSTALAÇÃO. AF_01/2026</t>
  </si>
  <si>
    <t>TUBO DE AÇO GALVANIZADO COM COSTURA, CLASSE MÉDIA, DN 65 (2 1/2"), CONEXÃO ROSQUEADA, INSTALADO EM REDE DE ALIMENTAÇÃO PARA HIDRANTE - FORNECIMENTO E INSTALAÇÃO. AF_01/2026</t>
  </si>
  <si>
    <t>TUBO DE AÇO GALVANIZADO COM COSTURA, CLASSE MÉDIA, DN 80 (3"), CONEXÃO ROSQUEADA, INSTALADO EM PRUMADAS - FORNECIMENTO E INSTALAÇÃO. AF_01/2026</t>
  </si>
  <si>
    <t>TUBO DE AÇO GALVANIZADO COM COSTURA, CLASSE MÉDIA, DN 80 (3"), CONEXÃO ROSQUEADA, INSTALADO EM REDE DE ALIMENTAÇÃO PARA HIDRANTE - FORNECIMENTO E INSTALAÇÃO. AF_01/2026</t>
  </si>
  <si>
    <t>TUBO DE AÇO PRETO SEM COSTURA, CLASSE MÉDIA, CONEXÃO SOLDADA, DN 15 (1/2"), INSTALADO EM RAMAIS E SUB-RAMAIS DE GÁS - FORNECIMENTO E INSTALAÇÃO. AF_01/2026</t>
  </si>
  <si>
    <t>TUBO DE AÇO PRETO SEM COSTURA, CLASSE MÉDIA, CONEXÃO SOLDADA, DN 20 (3/4"), INSTALADO EM RAMAIS E SUB-RAMAIS DE GÁS - FORNECIMENTO E INSTALAÇÃO. AF_01/2026</t>
  </si>
  <si>
    <t>TUBO DE AÇO PRETO SEM COSTURA, CLASSE MÉDIA, CONEXÃO SOLDADA, DN 25 (1"), INSTALADO EM RAMAIS E SUB-RAMAIS DE GÁS - FORNECIMENTO E INSTALAÇÃO. AF_01/2026</t>
  </si>
  <si>
    <t>TUBO DE AÇO PRETO SEM COSTURA, CONEXÃO SOLDADA, DN 25 (1"), INSTALADO EM REDE DE ALIMENTAÇÃO PARA HIDRANTE - FORNECIMENTO E INSTALAÇÃO. AF_01/2026</t>
  </si>
  <si>
    <t>TUBO DE AÇO PRETO SEM COSTURA, CONEXÃO SOLDADA, DN 25 (1"), INSTALADO EM REDE DE ALIMENTAÇÃO PARA SPRINKLER - FORNECIMENTO E INSTALAÇÃO. AF_01/2026</t>
  </si>
  <si>
    <t>TUBO DE AÇO PRETO SEM COSTURA, CONEXÃO SOLDADA, DN 32 (1 1/4"), INSTALADO EM REDE DE ALIMENTAÇÃO PARA HIDRANTE - FORNECIMENTO E INSTALAÇÃO. AF_01/2026</t>
  </si>
  <si>
    <t>TUBO DE AÇO PRETO SEM COSTURA, CONEXÃO SOLDADA, DN 32 (1 1/4"), INSTALADO EM REDE DE ALIMENTAÇÃO PARA SPRINKLER - FORNECIMENTO E INSTALAÇÃO. AF_01/2026</t>
  </si>
  <si>
    <t>TUBO DE AÇO PRETO SEM COSTURA, CONEXÃO SOLDADA, DN 40 (1 1/2"), INSTALADO EM REDE DE ALIMENTAÇÃO PARA HIDRANTE - FORNECIMENTO E INSTALAÇÃO. AF_01/2026</t>
  </si>
  <si>
    <t>TUBO DE AÇO PRETO SEM COSTURA, CONEXÃO SOLDADA, DN 40 (1 1/2"), INSTALADO EM REDE DE ALIMENTAÇÃO PARA SPRINKLER - FORNECIMENTO E INSTALAÇÃO. AF_01/2026</t>
  </si>
  <si>
    <t>TUBO DE AÇO PRETO SEM COSTURA, CONEXÃO SOLDADA, DN 50 (2"), INSTALADO EM PRUMADAS - FORNECIMENTO E INSTALAÇÃO. AF_01/2026</t>
  </si>
  <si>
    <t>TUBO DE AÇO PRETO SEM COSTURA, CONEXÃO SOLDADA, DN 50 (2"), INSTALADO EM REDE DE ALIMENTAÇÃO PARA HIDRANTE - FORNECIMENTO E INSTALAÇÃO. AF_01/2026</t>
  </si>
  <si>
    <t>TUBO DE AÇO PRETO SEM COSTURA, CONEXÃO SOLDADA, DN 50 (2"), INSTALADO EM REDE DE ALIMENTAÇÃO PARA SPRINKLER - FORNECIMENTO E INSTALAÇÃO. AF_01/2026</t>
  </si>
  <si>
    <t>TUBO DE AÇO PRETO SEM COSTURA, CONEXÃO SOLDADA, DN 65 (2 1/2"), INSTALADO EM PRUMADAS - FORNECIMENTO E INSTALAÇÃO. AF_01/2026</t>
  </si>
  <si>
    <t>TUBO DE AÇO PRETO SEM COSTURA, CONEXÃO SOLDADA, DN 65 (2 1/2"), INSTALADO EM REDE DE ALIMENTAÇÃO PARA HIDRANTE - FORNECIMENTO E INSTALAÇÃO. AF_01/2026</t>
  </si>
  <si>
    <t>TUBO DE AÇO PRETO SEM COSTURA, CONEXÃO SOLDADA, DN 65 (2 1/2"), INSTALADO EM REDE DE ALIMENTAÇÃO PARA SPRINKLER - FORNECIMENTO E INSTALAÇÃO. AF_01/2026</t>
  </si>
  <si>
    <t>TUBO DE AÇO PRETO SEM COSTURA, CONEXÃO SOLDADA, DN 80 (3"), INSTALADO EM PRUMADAS - FORNECIMENTO E INSTALAÇÃO. AF_01/2026</t>
  </si>
  <si>
    <t>TUBO DE AÇO PRETO SEM COSTURA, CONEXÃO SOLDADA, DN 80 (3"), INSTALADO EM REDE DE ALIMENTAÇÃO PARA HIDRANTE - FORNECIMENTO E INSTALAÇÃO. AF_01/2026</t>
  </si>
  <si>
    <t>TUBO DE AÇO PRETO SEM COSTURA, CONEXÃO SOLDADA, DN 80 (3"), INSTALADO EM REDE DE ALIMENTAÇÃO PARA SPRINKLER - FORNECIMENTO E INSTALAÇÃO. AF_01/2026</t>
  </si>
  <si>
    <t>TÊ, EM AÇO, CONEXÃO RANHURADA, DN 50 (2"), INSTALADO EM PRUMADAS - FORNECIMENTO E INSTALAÇÃO. AF_01/2026</t>
  </si>
  <si>
    <t>TÊ, EM AÇO, CONEXÃO RANHURADA, DN 65 (2 1/2"), INSTALADO EM PRUMADAS - FORNECIMENTO E INSTALAÇÃO. AF_01/2026</t>
  </si>
  <si>
    <t>TÊ, EM AÇO, CONEXÃO RANHURADA, DN 80 (3"), INSTALADO EM PRUMADAS - FORNECIMENTO E INSTALAÇÃO. AF_01/2026</t>
  </si>
  <si>
    <t>TÊ, EM AÇO, CONEXÃO SOLDADA, DN 15 (1/2"), INSTALADO EM RAMAIS E SUB-RAMAIS DE GÁS - FORNECIMENTO E INSTALAÇÃO. AF_01/2026</t>
  </si>
  <si>
    <t>TÊ, EM AÇO, CONEXÃO SOLDADA, DN 20 (3/4"), INSTALADO EM RAMAIS E SUB-RAMAIS DE GÁS - FORNECIMENTO E INSTALAÇÃO. AF_01/2026</t>
  </si>
  <si>
    <t>TÊ, EM AÇO, CONEXÃO SOLDADA, DN 25 (1"), INSTALADO EM RAMAIS E SUB-RAMAIS DE GÁS - FORNECIMENTO E INSTALAÇÃO. AF_01/2026</t>
  </si>
  <si>
    <t>TÊ, EM AÇO, CONEXÃO SOLDADA, DN 25 (1"), INSTALADO EM REDE DE ALIMENTAÇÃO PARA HIDRANTE - FORNECIMENTO E INSTALAÇÃO. AF_01/2026</t>
  </si>
  <si>
    <t>TÊ, EM AÇO, CONEXÃO SOLDADA, DN 25 (1"), INSTALADO EM REDE DE ALIMENTAÇÃO PARA SPRINKLER - FORNECIMENTO E INSTALAÇÃO. AF_01/2026</t>
  </si>
  <si>
    <t>TÊ, EM AÇO, CONEXÃO SOLDADA, DN 32 (1 1/4"), INSTALADO EM REDE DE ALIMENTAÇÃO PARA HIDRANTE - FORNECIMENTO E INSTALAÇÃO. AF_01/2026</t>
  </si>
  <si>
    <t>TÊ, EM AÇO, CONEXÃO SOLDADA, DN 32 (1 1/4"), INSTALADO EM REDE DE ALIMENTAÇÃO PARA SPRINKLER - FORNECIMENTO E INSTALAÇÃO. AF_01/2026</t>
  </si>
  <si>
    <t>TÊ, EM AÇO, CONEXÃO SOLDADA, DN 40 (1 1/2"), INSTALADO EM REDE DE ALIMENTAÇÃO PARA HIDRANTE - FORNECIMENTO E INSTALAÇÃO. AF_01/2026</t>
  </si>
  <si>
    <t>TÊ, EM AÇO, CONEXÃO SOLDADA, DN 40 (1 1/2"), INSTALADO EM REDE DE ALIMENTAÇÃO PARA SPRINKLER - FORNECIMENTO E INSTALAÇÃO. AF_01/2026</t>
  </si>
  <si>
    <t>TÊ, EM AÇO, CONEXÃO SOLDADA, DN 50 (2"), INSTALADO EM PRUMADAS - FORNECIMENTO E INSTALAÇÃO. AF_01/2026</t>
  </si>
  <si>
    <t>TÊ, EM AÇO, CONEXÃO SOLDADA, DN 50 (2"), INSTALADO EM REDE DE ALIMENTAÇÃO PARA HIDRANTE - FORNECIMENTO E INSTALAÇÃO. AF_01/2026</t>
  </si>
  <si>
    <t>TÊ, EM AÇO, CONEXÃO SOLDADA, DN 50 (2"), INSTALADO EM REDE DE ALIMENTAÇÃO PARA SPRINKLER - FORNECIMENTO E INSTALAÇÃO. AF_01/2026</t>
  </si>
  <si>
    <t>TÊ, EM AÇO, CONEXÃO SOLDADA, DN 65 (2 1/2"), INSTALADO EM PRUMADAS - FORNECIMENTO E INSTALAÇÃO. AF_01/2026</t>
  </si>
  <si>
    <t>TÊ, EM AÇO, CONEXÃO SOLDADA, DN 65 (2 1/2"), INSTALADO EM REDE DE ALIMENTAÇÃO PARA HIDRANTE - FORNECIMENTO E INSTALAÇÃO. AF_01/2026</t>
  </si>
  <si>
    <t>TÊ, EM AÇO, CONEXÃO SOLDADA, DN 65 (2 1/2"), INSTALADO EM REDE DE ALIMENTAÇÃO PARA SPRINKLER - FORNECIMENTO E INSTALAÇÃO. AF_01/2026</t>
  </si>
  <si>
    <t>TÊ, EM AÇO, CONEXÃO SOLDADA, DN 80 (3"), INSTALADO EM PRUMADAS - FORNECIMENTO E INSTALAÇÃO. AF_01/2026</t>
  </si>
  <si>
    <t>TÊ, EM AÇO, CONEXÃO SOLDADA, DN 80 (3"), INSTALADO EM REDE DE ALIMENTAÇÃO PARA HIDRANTE - FORNECIMENTO E INSTALAÇÃO. AF_01/2026</t>
  </si>
  <si>
    <t>TÊ, EM AÇO, CONEXÃO SOLDADA, DN 80 (3"), INSTALADO EM REDE DE ALIMENTAÇÃO PARA SPRINKLER - FORNECIMENTO E INSTALAÇÃO. AF_01/2026</t>
  </si>
  <si>
    <t>TÊ, EM FERRO GALVANIZADO, 4", CONEXÃO ROSQUEADA, INSTALADO EM PRUMADAS - FORNECIMENTO E INSTALAÇÃO. AF_01/2026</t>
  </si>
  <si>
    <t>TÊ, EM FERRO GALVANIZADO, 4", CONEXÃO ROSQUEADA, INSTALADO EM REDE DE ALIMENTAÇÃO PARA HIDRANTE - FORNECIMENTO E INSTALAÇÃO. AF_01/2026</t>
  </si>
  <si>
    <t>TÊ, EM FERRO GALVANIZADO, CONEXÃO ROSQUEADA, DN 15 (1/2"), INSTALADO EM RAMAIS E SUB-RAMAIS DE GÁS - FORNECIMENTO E INSTALAÇÃO. AF_01/2026</t>
  </si>
  <si>
    <t>TÊ, EM FERRO GALVANIZADO, CONEXÃO ROSQUEADA, DN 20 (3/4"), INSTALADO EM RAMAIS E SUB-RAMAIS DE GÁS - FORNECIMENTO E INSTALAÇÃO. AF_01/2026</t>
  </si>
  <si>
    <t>TÊ, EM FERRO GALVANIZADO, CONEXÃO ROSQUEADA, DN 25 (1"), INSTALADO EM RAMAIS E SUB-RAMAIS DE GÁS - FORNECIMENTO E INSTALAÇÃO. AF_01/2026</t>
  </si>
  <si>
    <t>TÊ, EM FERRO GALVANIZADO, CONEXÃO ROSQUEADA, DN 25 (1"), INSTALADO EM REDE DE ALIMENTAÇÃO PARA HIDRANTE - FORNECIMENTO E INSTALAÇÃO. AF_01/2026</t>
  </si>
  <si>
    <t>TÊ, EM FERRO GALVANIZADO, CONEXÃO ROSQUEADA, DN 25 (1"), INSTALADO EM REDE DE ALIMENTAÇÃO PARA SPRINKLER - FORNECIMENTO E INSTALAÇÃO. AF_01/2026</t>
  </si>
  <si>
    <t>TÊ, EM FERRO GALVANIZADO, CONEXÃO ROSQUEADA, DN 32 (1 1/4"), INSTALADO EM REDE DE ALIMENTAÇÃO PARA HIDRANTE - FORNECIMENTO E INSTALAÇÃO. AF_01/2026</t>
  </si>
  <si>
    <t>TÊ, EM FERRO GALVANIZADO, CONEXÃO ROSQUEADA, DN 32 (1 1/4"), INSTALADO EM REDE DE ALIMENTAÇÃO PARA SPRINKLER - FORNECIMENTO E INSTALAÇÃO. AF_01/2026</t>
  </si>
  <si>
    <t>TÊ, EM FERRO GALVANIZADO, CONEXÃO ROSQUEADA, DN 40 (1 1/2"), INSTALADO EM REDE DE ALIMENTAÇÃO PARA HIDRANTE - FORNECIMENTO E INSTALAÇÃO. AF_01/2026</t>
  </si>
  <si>
    <t>TÊ, EM FERRO GALVANIZADO, CONEXÃO ROSQUEADA, DN 40 (1 1/2"), INSTALADO EM REDE DE ALIMENTAÇÃO PARA SPRINKLER - FORNECIMENTO E INSTALAÇÃO. AF_01/2026</t>
  </si>
  <si>
    <t>TÊ, EM FERRO GALVANIZADO, CONEXÃO ROSQUEADA, DN 50 (2"), INSTALADO EM REDE DE ALIMENTAÇÃO PARA HIDRANTE - FORNECIMENTO E INSTALAÇÃO- FORNECIMENTO E INSTALAÇÃO. AF_01/2026</t>
  </si>
  <si>
    <t>TÊ, EM FERRO GALVANIZADO, CONEXÃO ROSQUEADA, DN 50 (2"), INSTALADO EM REDE DE ALIMENTAÇÃO PARA SPRINKLER - FORNECIMENTO E INSTALAÇÃO. AF_01/2026</t>
  </si>
  <si>
    <t>TÊ, EM FERRO GALVANIZADO, CONEXÃO ROSQUEADA, DN 65 (2 1/2"), INSTALADO EM REDE DE ALIMENTAÇÃO PARA HIDRANTE - FORNECIMENTO E INSTALAÇÃO. AF_01/2026</t>
  </si>
  <si>
    <t>TÊ, EM FERRO GALVANIZADO, CONEXÃO ROSQUEADA, DN 65 (2 1/2"), INSTALADO EM REDE DE ALIMENTAÇÃO PARA SPRINKLER - FORNECIMENTO E INSTALAÇÃO. AF_01/2026</t>
  </si>
  <si>
    <t>TÊ, EM FERRO GALVANIZADO, CONEXÃO ROSQUEADA, DN 80 (3"), INSTALADO EM REDE DE ALIMENTAÇÃO PARA HIDRANTE - FORNECIMENTO E INSTALAÇÃO. AF_01/2026</t>
  </si>
  <si>
    <t>TÊ, EM FERRO GALVANIZADO, CONEXÃO ROSQUEADA, DN 80 (3"), INSTALADO EM REDE DE ALIMENTAÇÃO PARA SPRINKLER - FORNECIMENTO E INSTALAÇÃO. AF_01/2026</t>
  </si>
  <si>
    <t>TÊ, EM FERRO GALVANIZADO, DN 50 (2"), CONEXÃO ROSQUEADA, INSTALADO EM PRUMADAS - FORNECIMENTO E INSTALAÇÃO. AF_01/2026</t>
  </si>
  <si>
    <t>TÊ, EM FERRO GALVANIZADO, DN 65 (2 1/2"), CONEXÃO ROSQUEADA, INSTALADO EM PRUMADAS - FORNECIMENTO E INSTALAÇÃO. AF_01/2026</t>
  </si>
  <si>
    <t>TÊ, EM FERRO GALVANIZADO, DN 80 (3"), CONEXÃO ROSQUEADA, INSTALADO EM PRUMADAS - FORNECIMENTO E INSTALAÇÃO. AF_01/2026</t>
  </si>
  <si>
    <t>UNIÃO, EM FERRO GALVANIZADO, 4", CONEXÃO ROSQUEADA, INSTALADO EM PRUMADAS - FORNECIMENTO E INSTALAÇÃO. AF_01/2026</t>
  </si>
  <si>
    <t>UNIÃO, EM FERRO GALVANIZADO, 4", CONEXÃO ROSQUEADA, INSTALADO EM REDE DE ALIMENTAÇÃO PARA HIDRANTE - FORNECIMENTO E INSTALAÇÃO. AF_01/2026</t>
  </si>
  <si>
    <t>UNIÃO, EM FERRO GALVANIZADO, CONEXÃO ROSQUEADA, DN 15 (1/2"), INSTALADO EM RAMAIS E SUB-RAMAIS DE GÁS - FORNECIMENTO E INSTALAÇÃO. AF_01/2026</t>
  </si>
  <si>
    <t>UNIÃO, EM FERRO GALVANIZADO, CONEXÃO ROSQUEADA, DN 20 (3/4"), INSTALADO EM RAMAIS E SUB-RAMAIS DE GÁS - FORNECIMENTO E INSTALAÇÃO. AF_01/2026</t>
  </si>
  <si>
    <t>UNIÃO, EM FERRO GALVANIZADO, CONEXÃO ROSQUEADA, DN 25 (1"), INSTALADO EM RAMAIS E SUB-RAMAIS DE GÁS - FORNECIMENTO E INSTALAÇÃO. AF_01/2026</t>
  </si>
  <si>
    <t>UNIÃO, EM FERRO GALVANIZADO, CONEXÃO ROSQUEADA, DN 25 (1"), INSTALADO EM REDE DE ALIMENTAÇÃO PARA SPRINKLER - FORNECIMENTO E INSTALAÇÃO. AF_01/2026</t>
  </si>
  <si>
    <t>UNIÃO, EM FERRO GALVANIZADO, CONEXÃO ROSQUEADA, DN 32 (1 1/4"), INSTALADO EM REDE DE ALIMENTAÇÃO PARA SPRINKLER - FORNECIMENTO E INSTALAÇÃO. AF_01/2026</t>
  </si>
  <si>
    <t>UNIÃO, EM FERRO GALVANIZADO, CONEXÃO ROSQUEADA, DN 40 (1 1/2"), INSTALADO EM REDE DE ALIMENTAÇÃO PARA SPRINKLER - FORNECIMENTO E INSTALAÇÃO. AF_01/2026</t>
  </si>
  <si>
    <t>UNIÃO, EM FERRO GALVANIZADO, CONEXÃO ROSQUEADA, DN 50 (2"), INSTALADO EM REDE DE ALIMENTAÇÃO PARA SPRINKLER - FORNECIMENTO E INSTALAÇÃO. AF_01/2026</t>
  </si>
  <si>
    <t>UNIÃO, EM FERRO GALVANIZADO, CONEXÃO ROSQUEADA, DN 65 (2 1/2"), INSTALADO EM REDE DE ALIMENTAÇÃO PARA SPRINKLER - FORNECIMENTO E INSTALAÇÃO. AF_01/2026</t>
  </si>
  <si>
    <t>UNIÃO, EM FERRO GALVANIZADO, CONEXÃO ROSQUEADA, DN 80 (3"), INSTALADO EM REDE DE ALIMENTAÇÃO PARA SPRINKLER - FORNECIMENTO E INSTALAÇÃO. AF_01/2026</t>
  </si>
  <si>
    <t>UNIÃO, EM FERRO GALVANIZADO, DN 25 (1"), CONEXÃO ROSQUEADA, INSTALADO EM REDE DE ALIMENTAÇÃO PARA HIDRANTE - FORNECIMENTO E INSTALAÇÃO. AF_01/2026</t>
  </si>
  <si>
    <t>UNIÃO, EM FERRO GALVANIZADO, DN 32 (1 1/4"), CONEXÃO ROSQUEADA, INSTALADO EM REDE DE ALIMENTAÇÃO PARA HIDRANTE - FORNECIMENTO E INSTALAÇÃO. AF_01/2026</t>
  </si>
  <si>
    <t>UNIÃO, EM FERRO GALVANIZADO, DN 40 (1 1/2"), CONEXÃO ROSQUEADA, INSTALADO EM REDE DE ALIMENTAÇÃO PARA HIDRANTE - FORNECIMENTO E INSTALAÇÃO. AF_01/2026</t>
  </si>
  <si>
    <t>UNIÃO, EM FERRO GALVANIZADO, DN 50 (2"), CONEXÃO ROSQUEADA, INSTALADO EM PRUMADAS - FORNECIMENTO E INSTALAÇÃO. AF_01/2026</t>
  </si>
  <si>
    <t>UNIÃO, EM FERRO GALVANIZADO, DN 50 (2"), CONEXÃO ROSQUEADA, INSTALADO EM REDE DE ALIMENTAÇÃO PARA HIDRANTE - FORNECIMENTO E INSTALAÇÃO. AF_01/2026</t>
  </si>
  <si>
    <t>UNIÃO, EM FERRO GALVANIZADO, DN 65 (2 1/2"), CONEXÃO ROSQUEADA, INSTALADO EM PRUMADAS - FORNECIMENTO E INSTALAÇÃO. AF_01/2026</t>
  </si>
  <si>
    <t>UNIÃO, EM FERRO GALVANIZADO, DN 65 (2 1/2"), CONEXÃO ROSQUEADA, INSTALADO EM REDE DE ALIMENTAÇÃO PARA HIDRANTE - FORNECIMENTO E INSTALAÇÃO. AF_01/2026</t>
  </si>
  <si>
    <t>UNIÃO, EM FERRO GALVANIZADO, DN 80 (3"), CONEXÃO ROSQUEADA, INSTALADO EM PRUMADAS - FORNECIMENTO E INSTALAÇÃO. AF_01/2026</t>
  </si>
  <si>
    <t>UNIÃO, EM FERRO GALVANIZADO, DN 80 (3"), CONEXÃO ROSQUEADA, INSTALADO EM REDE DE ALIMENTAÇÃO PARA HIDRANTE - FORNECIMENTO E INSTALAÇÃO. AF_01/2026</t>
  </si>
  <si>
    <t>LIMPEZA DE BACIA SANITÁRIA, BIDÊ OU MICTÓRIO EM LOUÇA, INCLUSIVE METAIS CORRESPONDENTES. AF_10/2025_PS</t>
  </si>
  <si>
    <t>LIMPEZA DE BANCADA COM PLACA DE ROCHA (MÁRMORE OU GRANITO). AF_10/2025_PS</t>
  </si>
  <si>
    <t>LIMPEZA DE BANCADA COM PLACA DE ROCHA E CUBA DE LOUÇA, INCLUSIVE METAIS CORRESPONDENTES. AF_10/2025_PS</t>
  </si>
  <si>
    <t>LIMPEZA DE BANCADA DE PIA COM PLACA DE ROCHA E CUBA DE INOX, INCLUSIVE METAIS CORRESPONDENTES. AF_10/2025_PS</t>
  </si>
  <si>
    <t>LIMPEZA DE CONTRAPISO COM VASSOURA A SECO. AF_10/2025</t>
  </si>
  <si>
    <t>LIMPEZA DE FORRO REMOVÍVEL COM PANO ÚMIDO. AF_10/2025_PS</t>
  </si>
  <si>
    <t>LIMPEZA DE GRADIL. AF_10/2025_PS</t>
  </si>
  <si>
    <t>LIMPEZA DE JANELA DE VIDRO COM CAIXILHO EM AÇO/ALUMÍNIO/PVC. AF_10/2025_PS</t>
  </si>
  <si>
    <t>LIMPEZA DE JANELA INTEIRAMENTE DE VIDRO. AF_10/2025_PS</t>
  </si>
  <si>
    <t>LIMPEZA DE PISO CERÂMICO OU COM PEDRAS RÚSTICAS UTILIZANDO ÁCIDO MURIÁTICO. AF_10/2025_PS</t>
  </si>
  <si>
    <t>LIMPEZA DE PISO CERÂMICO OU PORCELANATO COM PANO ÚMIDO. AF_10/2025_PS</t>
  </si>
  <si>
    <t>LIMPEZA DE PISO CERÂMICO OU PORCELANATO COM VASSOURA A SECO. AF_10/2025</t>
  </si>
  <si>
    <t>LIMPEZA DE PISO CERÂMICO/ PORCELANATO/ MÁRMORE/ GRANITO UTILIZANDO DETERGENTE NEUTRO E ESCOVAÇÃO MANUAL. AF_10/2025_PS</t>
  </si>
  <si>
    <t>LIMPEZA DE PISO DE LADRILHO HIDRÁULICO COM PANO ÚMIDO. AF_10/2025_PS</t>
  </si>
  <si>
    <t>LIMPEZA DE PISO UTILIZANDO DETERGENTE NEUTRO E ESCOVAÇÃO MECÂNICA. AF_10/2025</t>
  </si>
  <si>
    <t>LIMPEZA DE PISO VINÍLICO COM VASSOURA E PANO ÚMIDO. AF_10/2025_PS</t>
  </si>
  <si>
    <t>LIMPEZA DE PORTA DE MADEIRA. AF_10/2025_PS</t>
  </si>
  <si>
    <t>LIMPEZA DE PORTA DE VIDRO COM CAIXILHO EM AÇO/ ALUMÍNIO/ PVC. AF_10/2025_PS</t>
  </si>
  <si>
    <t>LIMPEZA DE PORTA EM AÇO/ALUMÍNIO. AF_10/2025_PS</t>
  </si>
  <si>
    <t>LIMPEZA DE PORTA INTEIRAMENTE DE VIDRO. AF_10/2025_PS</t>
  </si>
  <si>
    <t>LIMPEZA DE REVESTIMENTO CERÂMICO EM PAREDE COM PANO ÚMIDO. AF_10/2025_PS</t>
  </si>
  <si>
    <t>LIMPEZA DE REVESTIMENTO CERÂMICO/ MÁRMORE/ GRANITO EM PAREDE UTILIZANDO DETERGENTE NEUTRO E ESCOVAÇÃO MANUAL. AF_10/2025_PS</t>
  </si>
  <si>
    <t>LIMPEZA DE RODAS DE CAMINHÕES COM JATO DE ALTA PRESSÃO, POR EIXO. AF_10/2025</t>
  </si>
  <si>
    <t>LIMPEZA DE RUA COM CAMINHÃO PIPA. AF_10/2025</t>
  </si>
  <si>
    <t>LIMPEZA DE RUA COM JATO DE ALTA PRESSÃO. AF_10/2025</t>
  </si>
  <si>
    <t>LIMPEZA DE SUPERFÍCIE PISO OU PAREDE COM JATO DE ALTA PRESSÃO. AF_10/2025</t>
  </si>
  <si>
    <t>LIMPEZA DE TANQUE OU LAVATÓRIO DE LOUÇA ISOLADO, INCLUSIVE METAIS CORRESPONDENTES. AF_10/2025_PS</t>
  </si>
  <si>
    <t>RETIRADA DE SALVA PISO DO CHÃO. AF_10/2025</t>
  </si>
  <si>
    <t>ACABAMENTO MONOCOMANDO PARA CHUVEIRO - FORNECIMENTO E INSTALAÇÃO. AF_02/2026</t>
  </si>
  <si>
    <t>APARELHO MISTURADOR DE MESA PARA LAVATÓRIO, PADRÃO MÉDIO - FORNECIMENTO E INSTALAÇÃO. AF_02/2026</t>
  </si>
  <si>
    <t>APARELHO MISTURADOR DE MESA PARA PIA DE COZINHA, PADRÃO MÉDIO - FORNECIMENTO E INSTALAÇÃO. AF_02/2026</t>
  </si>
  <si>
    <t>ASSENTO SANITÁRIO CONVENCIONAL - FORNECIMENTO E INSTALAÇÃO. AF_02/2026</t>
  </si>
  <si>
    <t>ASSENTO SANITÁRIO INFANTIL - FORNECIMENTO E INSTALAÇÃO. AF_02/2026</t>
  </si>
  <si>
    <t>ASSENTO SANITÁRIO PARA PCD - FORNECIMENTO E INSTALAÇÃO. AF_02/2026</t>
  </si>
  <si>
    <t>BACIA SANITÁRIA COM CAIXA ACOPLADA LOUÇA BRANCA - FORNECIMENTO E INSTALAÇÃO. AF_02/2026</t>
  </si>
  <si>
    <t>BACIA SANITÁRIA COM CAIXA ACOPLADA LOUÇA BRANCA - PADRÃO MÉDIO, INCLUSO ENGATE FLEXÍVEL EM METAL CROMADO, 1/2" X 40 CM - FORNECIMENTO E INSTALAÇÃO. AF_02/2026</t>
  </si>
  <si>
    <t>BACIA SANITÁRIA COM CAIXA ACOPLADA LOUÇA BRANCA, INCLUSO ENGATE FLEXÍVEL EM PLÁSTICO BRANCO, 1/2" X 40 CM - FORNECIMENTO E INSTALAÇÃO. AF_02/2026</t>
  </si>
  <si>
    <t>BACIA SANITÁRIA COM CAIXA ACOPLADA PARA PCD COM FURO FRONTAL EM LOUÇA BRANCA SEM ASSENTO - FORNECIMENTO E INSTALAÇÃO. AF_02/2026</t>
  </si>
  <si>
    <t>BACIA SANITÁRIA COM CAIXA ACOPLADA, LOUÇA BRANCA - PADRÃO ALTO - FORNECIMENTO E INSTALAÇÃO. AF_02/2026</t>
  </si>
  <si>
    <t>BACIA SANITÁRIA EM LOUÇA BRANCA PARA PCD SEM FURO FRONTAL, COM TUBO DE LIGAÇÃO CROMADO, SEM ASSENTO - FORNECIMENTO E INSTALAÇÃO. AF_02/2026_PS</t>
  </si>
  <si>
    <t>BACIA SANITÁRIA EM LOUÇA BRANCA, COM TUBO DE LIGAÇÃO CROMADO - FORNECIMENTO E INSTALAÇÃO. AF_02/2026_PS</t>
  </si>
  <si>
    <t>BACIA SANITÁRIA INFANTIL LOUÇA BRANCA, COM TUBO DE LIGAÇÃO CROMADO - FORNECIMENTO E INSTALAÇÃO. AF_02/2026_PS</t>
  </si>
  <si>
    <t>BANCADA DE GRANITO CINZA POLIDO, DE 0,50 X 0,60 M, PARA LAVATÓRIO - FORNECIMENTO E INSTALAÇÃO. AF_02/2026</t>
  </si>
  <si>
    <t>BANCADA DE GRANITO CINZA POLIDO, DE 1,50 X 0,60 M, PARA PIA DE COZINHA - FORNECIMENTO E INSTALAÇÃO. AF_02/2026</t>
  </si>
  <si>
    <t>BANCADA DE GRANITO CINZA POLIDO, DE 2,00 X 0,60 M, PARA LAVATÓRIO - FORNECIMENTO E INSTALAÇÃO. AF_02/2026</t>
  </si>
  <si>
    <t>BANCADA DE GRANITO CINZA POLIDO, DE 3,00 X 0,60 M, PARA LAVATÓRIO - FORNECIMENTO E INSTALAÇÃO. AF_02/2026</t>
  </si>
  <si>
    <t>BANCADA DE MÁRMORE BRANCO POLIDO, DE 0,50 X 0,60 M, PARA LAVATÓRIO - FORNECIMENTO E INSTALAÇÃO. AF_02/2026</t>
  </si>
  <si>
    <t>BANCADA DE MÁRMORE BRANCO POLIDO, DE 1,50 X 0,60 M, PARA PIA DE COZINHA - FORNECIMENTO E INSTALAÇÃO. AF_02/2026</t>
  </si>
  <si>
    <t>BANCADA DE MÁRMORE SINTÉTICO 120 X 60CM, COM CUBA INTEGRADA, INCLUSO SIFÃO TIPO FLEXÍVEL EM PVC, VÁLVULA EM PLÁSTICO CROMADO TIPO AMERICANA E TORNEIRA CROMADA LONGA, DE PAREDE, PADRÃO POPULAR - FORNECIMENTO E INSTALAÇÃO. AF_02/2026</t>
  </si>
  <si>
    <t>BANCADA DE MÁRMORE SINTÉTICO 120 X 60CM, COM CUBA INTEGRADA, INCLUSO SIFÃO TIPO GARRAFA EM PVC, VÁLVULA EM PLÁSTICO CROMADO TIPO AMERICANA E TORNEIRA CROMADA LONGA, DE PAREDE, PADRÃO POPULAR - FORNECIMENTO E INSTALAÇÃO. AF_02/2026</t>
  </si>
  <si>
    <t>BANCADA DE MÁRMORE SINTÉTICO, DE 120 X 60CM, COM CUBA INTEGRADA - FORNECIMENTO E INSTALAÇÃO. AF_02/2026</t>
  </si>
  <si>
    <t>BANCADA GRANITO CINZA 150 X 60 CM, COM CUBA DE EMBUTIR DE AÇO, VÁLVULA AMERICANA EM METAL, SIFÃO FLEXÍVEL EM PVC, ENGATE FLEXÍVEL 30 CM, TORNEIRA CROMADA LONGA, DE PAREDE, 1/2" OU 3/4", P/ COZINHA, PADRÃO POPULAR - FORNEC. E INSTALAÇÃO. AF_02/2026</t>
  </si>
  <si>
    <t>BANCADA GRANITO CINZA, 50 X 60 CM, INCL. CUBA DE EMBUTIR OVAL LOUÇA BRANCA 35 X 50 CM, VÁLVULA METAL CROMADO, SIFÃO FLEXÍVEL PVC, ENGATE 30 CM FLEXÍVEL PLÁSTICO E TORNEIRA CROMADA DE MESA, PADRÃO POPULAR - FORNEC. E INSTALAÇÃO. AF_02/2026</t>
  </si>
  <si>
    <t>BANCADA MÁRMORE BRANCO 150 X 60 CM, COM CUBA DE EMBUTIR DE AÇO, VÁLVULA AMERICANA E SIFÃO TIPO GARRAFA EM METAL, ENGATE FLEXÍVEL 30 CM, TORNEIRA CROMADA, DE MESA, 1/2" OU 3/4", PARA PIA COZINHA, PADRÃO ALTO - FORNEC. E INSTALAÇÃO. AF_02/2026</t>
  </si>
  <si>
    <t>BANCADA MÁRMORE BRANCO, 50 X 60 CM, INCLUSO CUBA DE EMBUTIR OVAL EM LOUÇA BRANCA 35 X 50 CM, VÁLVULA, SIFÃO TIPO GARRAFA E ENGATE FLEXÍVEL 40 CM EM METAL CROMADO E APARELHO MISTURADOR DE MESA, PADRÃO MÉDIO - FORNEC. E INSTALAÇÃO. AF_02/2026</t>
  </si>
  <si>
    <t>BANCO ARTICULADO, EM AÇO INOX, PARA PCD, FIXADO NA PAREDE - FORNECIMENTO E INSTALAÇÃO. AF_02/2026</t>
  </si>
  <si>
    <t>BARRA DE APOIO EM "L", EM AÇO INOX POLIDO 70 X 70 CM, FIXADA NA PAREDE - FORNECIMENTO E INSTALAÇÃO. AF_02/2026</t>
  </si>
  <si>
    <t>BARRA DE APOIO EM "L", EM AÇO INOX POLIDO 80 X 80 CM, FIXADA NA PAREDE - FORNECIMENTO E INSTALAÇÃO. AF_02/2026</t>
  </si>
  <si>
    <t>BARRA DE APOIO LATERAL ARTICULADA, COM TRAVA, EM AÇO INOX POLIDO, FIXADA NA PAREDE - FORNECIMENTO E INSTALAÇÃO. AF_02/2026</t>
  </si>
  <si>
    <t>BARRA DE APOIO RETA, EM ALUMÍNIO, COMPRIMENTO 60 CM, FIXADA NA PAREDE - FORNECIMENTO E INSTALAÇÃO. AF_02/2026</t>
  </si>
  <si>
    <t>BARRA DE APOIO RETA, EM ALUMÍNIO, COMPRIMENTO 70 CM, FIXADA NA PAREDE - FORNECIMENTO E INSTALAÇÃO. AF_02/2026</t>
  </si>
  <si>
    <t>BARRA DE APOIO RETA, EM ALUMÍNIO, COMPRIMENTO 80 CM, FIXADA NA PAREDE - FORNECIMENTO E INSTALAÇÃO. AF_02/2026</t>
  </si>
  <si>
    <t>BARRA DE APOIO RETA, EM ALUMÍNIO, COMPRIMENTO 90 CM, FIXADA NA PAREDE - FORNECIMENTO E INSTALAÇÃO. AF_02/2026</t>
  </si>
  <si>
    <t>BARRA DE APOIO RETA, EM AÇO INOX POLIDO, COMPRIMENTO 40 CM, FIXADA NA PAREDE - FORNECIMENTO E INSTALAÇÃO. AF_02/2026</t>
  </si>
  <si>
    <t>BARRA DE APOIO RETA, EM AÇO INOX POLIDO, COMPRIMENTO 60 CM, FIXADA NA PAREDE - FORNECIMENTO E INSTALAÇÃO. AF_02/2026</t>
  </si>
  <si>
    <t>BARRA DE APOIO RETA, EM AÇO INOX POLIDO, COMPRIMENTO 70 CM, FIXADA NA PAREDE - FORNECIMENTO E INSTALAÇÃO. AF_02/2026</t>
  </si>
  <si>
    <t>BARRA DE APOIO RETA, EM AÇO INOX POLIDO, COMPRIMENTO 80 CM, FIXADA NA PAREDE - FORNECIMENTO E INSTALAÇÃO. AF_02/2026</t>
  </si>
  <si>
    <t>BARRA DE APOIO RETA, EM AÇO INOX POLIDO, COMPRIMENTO 90 CM, FIXADA NA PAREDE - FORNECIMENTO E INSTALAÇÃO. AF_02/2026</t>
  </si>
  <si>
    <t>CABIDE METÁLICO TIPO GANCHO EM METAL CROMADO, INCLUSO FIXAÇÃO. AF_02/2026</t>
  </si>
  <si>
    <t>CHUVEIRO ELÉTRICO COMUM CORPO PLÁSTICO, TIPO DUCHA - FORNECIMENTO E INSTALAÇÃO. AF_02/2026</t>
  </si>
  <si>
    <t>CUBA DE EMBUTIR DE AÇO INOXIDÁVEL MÉDIA, INCLUSO VÁLVULA TIPO AMERICANA E SIFÃO TIPO GARRAFA EM METAL CROMADO - FORNECIMENTO E INSTALAÇÃO. AF_02/2026</t>
  </si>
  <si>
    <t>CUBA DE EMBUTIR DE AÇO INOXIDÁVEL MÉDIA, INCLUSO VÁLVULA TIPO AMERICANA EM METAL CROMADO E SIFÃO FLEXÍVEL EM PVC - FORNECIMENTO E INSTALAÇÃO. AF_02/2026</t>
  </si>
  <si>
    <t>CUBA DE EMBUTIR OVAL EM LOUÇA BRANCA, 35 X 50 CM OU EQUIVALENTE, INCLUSO VÁLVULA E SIFÃO TIPO GARRAFA EM METAL CROMADO - FORNECIMENTO E INSTALAÇÃO. AF_02/2026</t>
  </si>
  <si>
    <t>CUBA DE EMBUTIR OVAL EM LOUÇA BRANCA, 35 X 50 CM OU EQUIVALENTE, INCLUSO VÁLVULA EM METAL CROMADO E SIFÃO FLEXÍVEL EM PVC - FORNECIMENTO E INSTALAÇÃO. AF_02/2026</t>
  </si>
  <si>
    <t>CUBA DE EMBUTIR OVAL EM LOUÇA BRANCA, 35 X 50CM OU EQUIVALENTE - FORNECIMENTO E INSTALAÇÃO. AF_02/2026</t>
  </si>
  <si>
    <t>CUBA DE EMBUTIR REDONDA EM LOUÇA BRANCA, 36 CM OU EQUIVALENTE - FORNECIMENTO E INSTALAÇÃO. AF_02/2026</t>
  </si>
  <si>
    <t>CUBA DE EMBUTIR RETANGULAR DE AÇO INOXIDÁVEL, 46 X 30 X 12 CM - FORNECIMENTO E INSTALAÇÃO. AF_02/2026</t>
  </si>
  <si>
    <t>CUBA DE EMBUTIR RETANGULAR DE AÇO INOXIDÁVEL, 56 X 33 X 12 CM - FORNECIMENTO E INSTALAÇÃO. AF_02/2026</t>
  </si>
  <si>
    <t>DISPENSER DE MESA, PARA SABONETE LÍQUIDO ACABAMENTO METAL CROMADO, ACIONAMENTO HIDROMECÂNICO POR LEVE PRESSÃO MANUAL. AF_02/2026</t>
  </si>
  <si>
    <t>DISPENSER DE PLÁSTICO COM ALAVANCA PARA TOALHA DE PAPEL EM BOBINA, INCLUSO FIXAÇÃO. AF_02/2026</t>
  </si>
  <si>
    <t>DISPENSER DE PLÁSTICO PARA PAPEL HIGIÊNICO, INCLUSO FIXAÇÃO. AF_02/2026</t>
  </si>
  <si>
    <t>DISPENSER DE PLÁSTICO PARA TOALHA DE PAPEL INTERFOLHADA, INCLUSO FIXAÇÃO. AF_02/2026</t>
  </si>
  <si>
    <t>DUCHA HIGIÊNICA EM METAL CROMADO, COM GATILHO E REGISTRO - FORNECIMENTO E INSTALAÇÃO. AF_02/2026</t>
  </si>
  <si>
    <t>ENGATE FLEXÍVEL EM INOX, 1/2" X 30 CM - FORNECIMENTO E INSTALAÇÃO. AF_02/2026</t>
  </si>
  <si>
    <t>ENGATE FLEXÍVEL EM INOX, 1/2" X 40 CM - FORNECIMENTO E INSTALAÇÃO. AF_02/2026</t>
  </si>
  <si>
    <t>ENGATE FLEXÍVEL EM PLÁSTICO BRANCO, 1/2" X 30CM - FORNECIMENTO E INSTALAÇÃO. AF_02/2026</t>
  </si>
  <si>
    <t>ENGATE FLEXÍVEL EM PLÁSTICO BRANCO, 1/2" X 40CM - FORNECIMENTO E INSTALAÇÃO. AF_02/2026</t>
  </si>
  <si>
    <t>KIT DE ACESSÓRIOS PARA BANHEIRO EM METAL CROMADO, 5 PEÇAS, INCLUSO FIXAÇÃO. AF_02/2026</t>
  </si>
  <si>
    <t>LAVATÓRIO LOUÇA BRANCA COM COLUNA SUSPENSA, PCD, *43 X 53* CM - FORNECIMENTO E INSTALAÇÃO. AF_02/2026</t>
  </si>
  <si>
    <t>LAVATÓRIO LOUÇA BRANCA COM COLUNA, *44 X 35* CM, PADRÃO POPULAR - FORNECIMENTO E INSTALAÇÃO. AF_02/2026</t>
  </si>
  <si>
    <t>LAVATÓRIO LOUÇA BRANCA COM COLUNA, *44 X 35* CM, PADRÃO POPULAR, INCLUSO SIFÃO FLEXÍVEL EM PVC, VÁLVULA E ENGATE FLEXÍVEL 30 CM EM PLÁSTICO E COM TORNEIRA CROMADA PADRÃO POPULAR - FORNECIMENTO E INSTALAÇÃO. AF_02/2026</t>
  </si>
  <si>
    <t>LAVATÓRIO LOUÇA BRANCA COM COLUNA, *54 X 44* CM OU EQUIVALENTE, PADRÃO MÉDIO - FORNECIMENTO E INSTALAÇÃO. AF_02/2026</t>
  </si>
  <si>
    <t>LAVATÓRIO LOUÇA BRANCA COM COLUNA, 45 X 55 CM OU EQUIVALENTE, PADRÃO MÉDIO, INCLUSO SIFÃO TIPO GARRAFA, VÁLVULA E ENGATE FLEXÍVEL DE 40 CM EM METAL CROMADO, COM APARELHO MISTURADOR PADRÃO MÉDIO - FORNECIMENTO E INSTALAÇÃO. AF_02/2026</t>
  </si>
  <si>
    <t>LAVATÓRIO LOUÇA BRANCA COM COLUNA, 45 X 55 CM OU EQUIVALENTE, PADRÃO MÉDIO, INCLUSO SIFÃO TIPO GARRAFA, VÁLVULA E ENGATE FLEXÍVEL DE 40 CM EM METAL CROMADO, COM TORNEIRA CROMADA DE MESA, PADRÃO MÉDIO - FORNECIMENTO E INSTALAÇÃO. AF_02/2026</t>
  </si>
  <si>
    <t>LAVATÓRIO LOUÇA BRANCA SUSPENSO, *40 X 30* CM OU EQUIVALENTE, PADRÃO POPULAR - FORNECIMENTO E INSTALAÇÃO. AF_02/2026</t>
  </si>
  <si>
    <t>LAVATÓRIO LOUÇA BRANCA SUSPENSO, *40 X 30* CM OU EQUIVALENTE, PADRÃO POPULAR, INCLUSO SIFÃO FLEXÍVEL EM PVC, VÁLVULA E ENGATE FLEXÍVEL 30 CM EM PLÁSTICO E TORNEIRA CROMADA DE MESA, PADRÃO POPULAR - FORNECIMENTO E INSTALAÇÃO. AF_02/2026</t>
  </si>
  <si>
    <t>LAVATÓRIO LOUÇA BRANCA SUSPENSO, *40 X 30* CM OU EQUIVALENTE, PADRÃO POPULAR, INCLUSO SIFÃO TIPO GARRAFA EM PVC, VÁLVULA E ENGATE FLEXÍVEL 30 CM EM PLÁSTICO E TORNEIRA CROMADA DE MESA, PADRÃO POPULAR - FORNECIMENTO E INSTALAÇÃO. AF_02/2026</t>
  </si>
  <si>
    <t>MANOPLA E CANOPLA CROMADA - FORNECIMENTO E INSTALAÇÃO. AF_02/2026</t>
  </si>
  <si>
    <t>MICTÓRIO COLETIVO EM AÇO INOXIDÁVEL, 1,0 M - FORNECIMENTO E INSTALAÇÃO. AF_02/2026</t>
  </si>
  <si>
    <t>MICTÓRIO SIFONADO COM VÁLVULA DE DESCARGA EM LOUÇA BRANCA - PADRÃO MÉDIO - FORNECIMENTO E INSTALAÇÃO. AF_02/2026</t>
  </si>
  <si>
    <t>MICTÓRIO SIFONADO LOUÇA BRANCA PARA ENTRADA DE ÁGUA EMBUTIDA - PADRÃO ALTO - FORNECIMENTO E INSTALAÇÃO. AF_02/2026</t>
  </si>
  <si>
    <t>PAPELEIRA DE PAREDE EM METAL CROMADO SEM TAMPA, INCLUSO FIXAÇÃO. AF_02/2026</t>
  </si>
  <si>
    <t>PIA DE AÇO INOX, DE *0,55 X 1,20* M COM 1 CUBA - FORNECIMENTO E INSTALAÇÃO. AF_02/2026</t>
  </si>
  <si>
    <t>PORTA TOALHA BANHO EM METAL CROMADO, TIPO BARRA, INCLUSO FIXAÇÃO. AF_02/2026</t>
  </si>
  <si>
    <t>PORTA TOALHA ROSTO EM METAL CROMADO, TIPO ARGOLA, INCLUSO FIXAÇÃO. AF_02/2026</t>
  </si>
  <si>
    <t>PRATELEIRA DE VIDRO COM SUPORTE CROMADO, INCLUSO FIXAÇÃO. AF_02/2026</t>
  </si>
  <si>
    <t>PUXADOR PARA PCD, FIXADO NA PORTA - FORNECIMENTO E INSTALAÇÃO. AF_02/2026</t>
  </si>
  <si>
    <t>SABONETEIRA DE PAREDE EM METAL CROMADO, INCLUSO FIXAÇÃO. AF_02/2026</t>
  </si>
  <si>
    <t>SABONETEIRA PLÁSTICA TIPO DISPENSER PARA SABONETE LÍQUIDO COM RESERVATÓRIO 800 A 1500 ML, INCLUSO FIXAÇÃO. AF_02/2026</t>
  </si>
  <si>
    <t>SIFÃO DO TIPO FLEXÍVEL EM PVC 1" X 1.1/2" - FORNECIMENTO E INSTALAÇÃO. AF_02/2026</t>
  </si>
  <si>
    <t>SIFÃO DO TIPO GARRAFA EM METAL CROMADO 1" X 1.1/2" - FORNECIMENTO E INSTALAÇÃO. AF_02/2026</t>
  </si>
  <si>
    <t>SIFÃO DO TIPO GARRAFA/COPO EM PVC 1.1/4" X 1.1/2" - FORNECIMENTO E INSTALAÇÃO. AF_02/2026</t>
  </si>
  <si>
    <t>SUPORTE MÃO FRANCESA EM AÇO, ABAS IGUAIS 30 CM, CAPACIDADE MÍNIMA 60 KG, BRANCO - FORNECIMENTO E INSTALAÇÃO. AF_02/2026</t>
  </si>
  <si>
    <t>SUPORTE MÃO FRANCESA EM AÇO, ABAS IGUAIS 40 CM, CAPACIDADE MÍNIMA 70 KG, BRANCO - FORNECIMENTO E INSTALAÇÃO. AF_02/2026</t>
  </si>
  <si>
    <t>TANQUE DE LOUÇA BRANCA COM COLUNA, 30L OU EQUIVALENTE - FORNECIMENTO E INSTALAÇÃO. AF_02/2026</t>
  </si>
  <si>
    <t>TANQUE DE LOUÇA BRANCA COM COLUNA, 30L OU EQUIVALENTE, INCLUSO SIFÃO FLEXÍVEL EM PVC, VÁLVULA METÁLICA E TORNEIRA DE METAL CROMADO PADRÃO MÉDIO - FORNECIMENTO E INSTALAÇÃO. AF_02/2026</t>
  </si>
  <si>
    <t>TANQUE DE LOUÇA BRANCA COM COLUNA, 30L OU EQUIVALENTE, INCLUSO SIFÃO FLEXÍVEL EM PVC, VÁLVULA PLÁSTICA E TORNEIRA DE METAL CROMADO PADRÃO POPULAR - FORNECIMENTO E INSTALAÇÃO. AF_02/2026</t>
  </si>
  <si>
    <t>TANQUE DE LOUÇA BRANCA COM COLUNA, 30L OU EQUIVALENTE, INCLUSO SIFÃO FLEXÍVEL EM PVC, VÁLVULA PLÁSTICA E TORNEIRA DE PLÁSTICO - FORNECIMENTO E INSTALAÇÃO. AF_02/2026</t>
  </si>
  <si>
    <t>TANQUE DE LOUÇA BRANCA SUSPENSO, *20*L OU EQUIVALENTE - FORNECIMENTO E INSTALAÇÃO. AF_02/2026</t>
  </si>
  <si>
    <t>TANQUE DE LOUÇA BRANCA SUSPENSO, 20L OU EQUIVALENTE, INCLUSO SIFÃO TIPO GARRAFA EM METAL CROMADO, VÁLVULA METÁLICA E TORNEIRA DE METAL CROMADO PADRÃO MÉDIO - FORNECIMENTO E INSTALAÇÃO. AF_02/2026</t>
  </si>
  <si>
    <t>TANQUE DE LOUÇA BRANCA SUSPENSO, 20L OU EQUIVALENTE, INCLUSO SIFÃO TIPO GARRAFA EM PVC, VÁLVULA PLÁSTICA E TORNEIRA DE METAL CROMADO PADRÃO POPULAR - FORNECIMENTO E INSTALAÇÃO. AF_02/2026</t>
  </si>
  <si>
    <t>TANQUE DE LOUÇA BRANCA SUSPENSO, 20L OU EQUIVALENTE, INCLUSO SIFÃO TIPO GARRAFA EM PVC, VÁLVULA PLÁSTICA E TORNEIRA DE PLÁSTICO - FORNECIMENTO E INSTALAÇÃO. AF_02/2026</t>
  </si>
  <si>
    <t>TANQUE DE MÁRMORE SINTÉTICO COM COLUNA, 22L OU EQUIVALENTE FORNECIMENTO E INSTALAÇÃO. AF_02/2026</t>
  </si>
  <si>
    <t>TANQUE DE MÁRMORE SINTÉTICO COM COLUNA, 22L OU EQUIVALENTE, INCLUSO SIFÃO FLEXÍVEL EM PVC, VÁLVULA PLÁSTICA E TORNEIRA DE METAL CROMADO PADRÃO POPULAR - FORNECIMENTO E INSTALAÇÃO. AF_02/2026</t>
  </si>
  <si>
    <t>TANQUE DE MÁRMORE SINTÉTICO COM COLUNA, 22L OU EQUIVALENTE, INCLUSO SIFÃO FLEXÍVEL EM PVC, VÁLVULA PLÁSTICA E TORNEIRA DE PLÁSTICO - FORNECIMENTO E INSTALAÇÃO. AF_02/2026</t>
  </si>
  <si>
    <t>TANQUE DE MÁRMORE SINTÉTICO SUSPENSO, 22L OU EQUIVALENTE - FORNECIMENTO E INSTALAÇÃO. AF_02/2026</t>
  </si>
  <si>
    <t>TANQUE DE MÁRMORE SINTÉTICO SUSPENSO, 22L OU EQUIVALENTE, INCLUSO SIFÃO FLEXÍVEL EM PVC, VÁLVULA PLÁSTICA E TORNEIRA DE METAL CROMADO PADRÃO POPULAR - FORNECIMENTO E INSTALAÇÃO. AF_02/2026</t>
  </si>
  <si>
    <t>TANQUE DE MÁRMORE SINTÉTICO SUSPENSO, 22L OU EQUIVALENTE, INCLUSO SIFÃO FLEXÍVEL EM PVC, VÁLVULA PLÁSTICA E TORNEIRA DE PLÁSTICO - FORNECIMENTO E INSTALAÇÃO. AF_02/2026</t>
  </si>
  <si>
    <t>TANQUE DE MÁRMORE SINTÉTICO SUSPENSO, 22L OU EQUIVALENTE, INCLUSO SIFÃO TIPO GARRAFA EM PVC, VÁLVULA PLÁSTICA E TORNEIRA DE METAL CROMADO PADRÃO POPULAR - FORNEC. E INSTALAÇÃO. AF_02/2026</t>
  </si>
  <si>
    <t>TANQUE DE MÁRMORE SINTÉTICO SUSPENSO, 22L OU EQUIVALENTE, INCLUSO SIFÃO TIPO GARRAFA EM PVC, VÁLVULA PLÁSTICA E TORNEIRA DE PLÁSTICO - FORNECIMENTO E INSTALAÇÃO. AF_02/2026</t>
  </si>
  <si>
    <t>TANQUE EM AÇO INOXIDÁVEL SUSPENSO, 30L OU EQUIVALENTE - FORNECIMENTO E INSTALAÇÃO. AF_02/2026</t>
  </si>
  <si>
    <t>TORNEIRA CROMADA 1/2" OU 3/4" PARA TANQUE, PADRÃO MÉDIO - FORNECIMENTO E INSTALAÇÃO. AF_02/2026</t>
  </si>
  <si>
    <t>TORNEIRA CROMADA 1/2" OU 3/4" PARA TANQUE, PADRÃO POPULAR - FORNECIMENTO E INSTALAÇÃO. AF_02/2026</t>
  </si>
  <si>
    <t>TORNEIRA CROMADA DE MESA COM ALAVANCA, PARA LAVATÓRIO DE SANITÁRIO PCD - FORNECIMENTO E INSTALAÇÃO. AF_02/2026</t>
  </si>
  <si>
    <t>TORNEIRA CROMADA DE MESA COM FECHAMENTO AUTOMÁTICO, PARA LAVATÓRIO - FORNECIMENTO E INSTALAÇÃO. AF_02/2026</t>
  </si>
  <si>
    <t>TORNEIRA CROMADA DE MESA PARA LAVATÓRIO COM SENSOR DE PRESENÇA. AF_02/2026</t>
  </si>
  <si>
    <t>TORNEIRA CROMADA DE MESA PARA LAVATÓRIO, TIPO MONOCOMANDO. AF_02/2026</t>
  </si>
  <si>
    <t>TORNEIRA CROMADA DE MESA, 1/2" OU 3/4", PARA LAVATÓRIO, PADRÃO MÉDIO - FORNECIMENTO E INSTALAÇÃO. AF_02/2026</t>
  </si>
  <si>
    <t>TORNEIRA CROMADA DE MESA, 1/2" OU 3/4", PARA LAVATÓRIO, PADRÃO POPULAR - FORNECIMENTO E INSTALAÇÃO. AF_02/2026</t>
  </si>
  <si>
    <t>TORNEIRA CROMADA LONGA, DE PAREDE, 1/2" OU 3/4", PARA PIA DE COZINHA, PADRÃO POPULAR - FORNECIMENTO E INSTALAÇÃO. AF_02/2026</t>
  </si>
  <si>
    <t>TORNEIRA CROMADA TUBO MÓVEL, DE MESA, 1/2" OU 3/4", PARA PIA DE COZINHA, PADRÃO ALTO - FORNECIMENTO E INSTALAÇÃO. AF_02/2026</t>
  </si>
  <si>
    <t>TORNEIRA CROMADA TUBO MÓVEL, DE PAREDE, 1/2" OU 3/4", PARA PIA DE COZINHA, PADRÃO MÉDIO - FORNECIMENTO E INSTALAÇÃO. AF_02/2026</t>
  </si>
  <si>
    <t>TORNEIRA PLÁSTICA 3/4" PARA TANQUE - FORNECIMENTO E INSTALAÇÃO. AF_02/2026</t>
  </si>
  <si>
    <t>VÁLVULA EM METAL CROMADO 1.1/2" X 1.1/2" PARA TANQUE OU LAVATÓRIO, COM OU SEM LADRÃO - FORNECIMENTO E INSTALAÇÃO. AF_02/2026</t>
  </si>
  <si>
    <t>VÁLVULA EM METAL CROMADO TIPO AMERICANA 3.1/2" X 1.1/2" PARA PIA - FORNECIMENTO E INSTALAÇÃO. AF_02/2026</t>
  </si>
  <si>
    <t>VÁLVULA EM PLÁSTICO 1" PARA PIA, TANQUE OU LAVATÓRIO, COM OU SEM LADRÃO - FORNECIMENTO E INSTALAÇÃO. AF_02/2026</t>
  </si>
  <si>
    <t>VÁLVULA EM PLÁSTICO CROMADO TIPO AMERICANA 3.1/2" X 1.1/2" SEM ADAPTADOR PARA PIA - FORNECIMENTO E INSTALAÇÃO. AF_02/2026</t>
  </si>
  <si>
    <t>CARGA, MANOBRA E DESCARGA DE ESCAVADEIRA SOBRE ESTEIRAS, PESO OPERACIONAL DE 17 T, EM CAVALO MECÂNICO 6X2 COM PRANCHA RETA. AF_01/2026</t>
  </si>
  <si>
    <t>CARGA, MANOBRA E DESCARGA DE FRESADORA DE ASFALTO A FRIO SOBRE RODAS, LARGURA 1,0 M, PESO OPERACIONAL DE 14,7 T, EM CAVALO MECÂNICO 6X2 COM PRANCHA RETA. AF_01/2026</t>
  </si>
  <si>
    <t>CARGA, MANOBRA E DESCARGA DE FRESADORA DE ASFALTO A FRIO SOBRE RODAS, LARGURA 2,0 M, PESO OPERACIONAL DE 27,7 T, EM CAVALO MECÂNICO 6X2 COM PRANCHA REBAIXADA. AF_01/2026</t>
  </si>
  <si>
    <t>CARGA, MANOBRA E DESCARGA DE GUINDASTE HIDRÁULICO AUTOPROPELIDO, COM LANÇA TRELIÇADA 41 M, PESO OPERACIONAL DE 43 T, EM CAVALO MECÂNICO 6X2 COM PRANCHA REBAIXADA. AF_01/2026</t>
  </si>
  <si>
    <t>CARGA, MANOBRA E DESCARGA DE MINICARREGADEIRA SOBRE RODAS, PESO OPERACIONAL DE 2,58 T, EM CAMINHÃO GUINCHO-SOCORRO 23000 KG. AF_01/2026</t>
  </si>
  <si>
    <t>CARGA, MANOBRA E DESCARGA DE MINICARREGADEIRA SOBRE RODAS, PESO OPERACIONAL DE 2,58 T, EM CAMINHÃO PLATAFORMA 16000 KG. AF_01/2026</t>
  </si>
  <si>
    <t>CARGA, MANOBRA E DESCARGA DE MINIESCAVADEIRA SOBRE ESTEIRA, PESO OPERACIONAL DE 3,5 T, EM CAMINHÃO GUINCHO-SOCORRO 23000 KG. AF_01/2026</t>
  </si>
  <si>
    <t>CARGA, MANOBRA E DESCARGA DE MINIESCAVADEIRA SOBRE ESTEIRA, PESO OPERACIONAL DE 3,5 T, EM CAMINHÃO PLATAFORMA 16000 KG. AF_01/2026</t>
  </si>
  <si>
    <t>CARGA, MANOBRA E DESCARGA DE MOTONIVELADORA, PESO OPERACIONAL DE 13 T, EM CAMINHÃO PLATAFORMA 23000 KG. AF_01/2026</t>
  </si>
  <si>
    <t>CARGA, MANOBRA E DESCARGA DE PÁ CARREGADEIRA SOBRE RODAS, CAÇAMBA DE 1,7 A 2,8 M3, PESO OPERACIONAL DE 11,63 T, EM CAMINHÃO PLATAFORMA 23000 KG. AF_01/2026</t>
  </si>
  <si>
    <t>CARGA, MANOBRA E DESCARGA DE PÁ CARREGADEIRA SOBRE RODAS, CAÇAMBA DE 2,5 A 3,5 M3, PESO OPERACIONAL DE 18,34 T, EM CAVALO MECÂNICO 6X2 COM PRANCHA RETA. AF_01/2026</t>
  </si>
  <si>
    <t>CARGA, MANOBRA E DESCARGA DE RECICLADORA DE ASFALTO A FRIO SOBRE RODAS, LARGURA 2,0 M, PESO OPERACIONAL DE 24,2 T, EM CAVALO MECÂNICO 6X2 COM PRANCHA REBAIXADA. AF_01/2026</t>
  </si>
  <si>
    <t>CARGA, MANOBRA E DESCARGA DE RETROESCAVADEIRA SOBRE RODAS COM CARREGADEIRA E MARTELO ROMPEDOR HIDRÁULICO, PESO OPERACIONAL DE 6,67 T, EM CAMINHÃO GUINCHO-SOCORRO 23000 KG. AF_01/2026</t>
  </si>
  <si>
    <t>CARGA, MANOBRA E DESCARGA DE RETROESCAVADEIRA SOBRE RODAS COM CARREGADEIRA E MARTELO ROMPEDOR HIDRÁULICO, PESO OPERACIONAL DE 6,67 T, EM CAMINHÃO PLATAFORMA 16000 KG. AF_01/2026</t>
  </si>
  <si>
    <t>CARGA, MANOBRA E DESCARGA DE RETROESCAVADEIRA SOBRE RODAS COM CARREGADEIRA, PESO OPERACIONAL DE 7,14 T, EM CAMINHÃO GUINCHO-SOCORRO 23000 KG. AF_01/2026</t>
  </si>
  <si>
    <t>CARGA, MANOBRA E DESCARGA DE RETROESCAVADEIRA SOBRE RODAS COM CARREGADEIRA, PESO OPERACIONAL DE 7,14 T, EM CAMINHÃO PLATAFORMA 16000 KG. AF_01/2026</t>
  </si>
  <si>
    <t>CARGA, MANOBRA E DESCARGA DE ROLO COMPACTADOR DE CARNEIRO VIBRATORIO, PESO OPERACIONAL SEM LASTRO DE 11,95 T, EM CAMINHÃO PLATAFORMA 23000 KG. AF_01/2026</t>
  </si>
  <si>
    <t>CARGA, MANOBRA E DESCARGA DE ROLO COMPACTADOR DE CARNEIRO VIBRATORIO, PESO OPERACIONAL SEM LASTRO DE 7,4 T, EM CAMINHÃO GUINCHO-SOCORRO 23000 KG. AF_01/2026</t>
  </si>
  <si>
    <t>CARGA, MANOBRA E DESCARGA DE ROLO COMPACTADOR DE CARNEIRO VIBRATORIO, PESO OPERACIONAL SEM LASTRO DE 7,4 T, EM CAMINHÃO PLATAFORMA 16000 KG. AF_01/2026</t>
  </si>
  <si>
    <t>CARGA, MANOBRA E DESCARGA DE ROLO COMPACTADOR DE PNEUS, PESO OPERACIONAL SEM LASTRO DE 10,8 T, EM CAMINHÃO PLATAFORMA 23000 KG. AF_01/2026</t>
  </si>
  <si>
    <t>CARGA, MANOBRA E DESCARGA DE ROLO COMPACTADOR DE PNEUS, PESO OPERACIONAL SEM LASTRO DE 9,5 T, EM CAMINHÃO PLATAFORMA 16000 KG. AF_01/2026</t>
  </si>
  <si>
    <t>CARGA, MANOBRA E DESCARGA DE ROLO COMPACTADOR VIBRATORIO TAMDEM LISO, PESO OPERACIONAL SEM LASTRO DE 10,2 T, EM CAMINHÃO PLATAFORMA 23000 KG. AF_01/2026</t>
  </si>
  <si>
    <t>CARGA, MANOBRA E DESCARGA DE ROLO COMPACTADOR VIBRATORIO TAMDEM LISO, PESO OPERACIONAL SEM LASTRO DE 6,5 T, EM CAMINHÃO GUINCHO-SOCORRO 23000 KG. AF_01/2026</t>
  </si>
  <si>
    <t>CARGA, MANOBRA E DESCARGA DE ROLO COMPACTADOR VIBRATORIO TAMDEM LISO, PESO OPERACIONAL SEM LASTRO DE 6,5 T, EM CAMINHÃO PLATAFORMA 16000 KG. AF_01/2026</t>
  </si>
  <si>
    <t>CARGA, MANOBRA E DESCARGA DE TRATOR DE ESTEIRAS, PESO OPERACIONAL DE 12,9 T, EM CAMINHÃO PLATAFORMA 23000 KG. AF_01/2026</t>
  </si>
  <si>
    <t>CARGA, MANOBRA E DESCARGA DE TRATOR DE ESTEIRAS, PESO OPERACIONAL DE 16,7 T, EM CAVALO MECÂNICO 6X2 COM PRANCHA RETA. AF_01/2026</t>
  </si>
  <si>
    <t>CARGA, MANOBRA E DESCARGA DE TRATOR DE ESTEIRAS, PESO OPERACIONAL DE 38,5 T, EM CAVALO MECÂNICO 6X2 COM PRANCHA REBAIXADA. AF_01/2026</t>
  </si>
  <si>
    <t>CARGA, MANOBRA E DESCARGA DE TRATOR DE ESTEIRAS, PESO OPERACIONAL DE 9,4 T, EM CAMINHÃO GUINCHO-SOCORRO 23000 KG. AF_01/2026</t>
  </si>
  <si>
    <t>CARGA, MANOBRA E DESCARGA DE TRATOR DE ESTEIRAS, PESO OPERACIONAL DE 9,4 T, EM CAMINHÃO PLATAFORMA 16000 KG. AF_01/2026</t>
  </si>
  <si>
    <t>CARGA, MANOBRA E DESCARGA DE TRATOR DE PNEUS 85 CV COM GRADE DE DISCOS ACOPLADA, PESO OPERACIONAL DO CONJUNTO DE 7,018 T, EM CAVALO MECÂNICO 6X2 COM PRANCHA REBAIXADA. AF_01/2026</t>
  </si>
  <si>
    <t>CARGA, MANOBRA E DESCARGA DE TRATOR DE PNEUS 85 CV COM VASSOURA MECÂNICA ACOPLADA, PESO OPERACIONAL DO CONJUNTO DE 5,495 T, EM CAMINHÃO GUINCHO-SOCORRO 23000 KG. AF_01/2026</t>
  </si>
  <si>
    <t>CARGA, MANOBRA E DESCARGA DE TRATOR DE PNEUS 85 CV COM VASSOURA MECÂNICA ACOPLADA, PESO OPERACIONAL DO CONJUNTO DE 5,495 T, EM CAMINHÃO PLATAFORMA 16000 KG. AF_01/2026</t>
  </si>
  <si>
    <t>CARGA, MANOBRA E DESCARGA DE TRATOR DE PNEUS 85 CV, PESO COM LASTRO DE 4,675 T, EM CAMINHÃO GUINCHO-SOCORRO 23000 KG. AF_01/2026</t>
  </si>
  <si>
    <t>CARGA, MANOBRA E DESCARGA DE TRATOR DE PNEUS 85 CV, PESO COM LASTRO DE 4,675 T, EM CAMINHÃO PLATAFORMA 16000 KG. AF_01/2026</t>
  </si>
  <si>
    <t>CARGA, MANOBRA E DESCARGA DE TRATOR DE PNEUS COM ESPARGIDOR DE ASFALTO COM TANQUE 2500 L, PESO OPERACIONAL DE 9,51 T, EM CAMINHÃO GUINCHO-SOCORRO 23000 KG. AF_01/2026</t>
  </si>
  <si>
    <t>CARGA, MANOBRA E DESCARGA DE TRATOR DE PNEUS COM ESPARGIDOR DE ASFALTO COM TANQUE 2500 L, PESO OPERACIONAL DE 9,51 T, EM CAMINHÃO PLATAFORMA 16000 KG. AF_01/2026</t>
  </si>
  <si>
    <t>CARGA, MANOBRA E DESCARGA DE VIBROACABADORA DE ASFALTO SOBRE ESTEIRAS, LARGURA DE PAVIMENTAÇÃO 1,90 M A 5,30 M, PESO OPERACIONAL DE 13,575 T, EM CAMINHÃO PLATAFORMA 23000 KG. AF_01/2026</t>
  </si>
  <si>
    <t>CARGA, MANOBRA E DESCARGA DE VIBROACABADORA DE ASFALTO SOBRE ESTEIRAS, LARGURA DE PAVIMENTAÇÃO MÁXIMA 8,00 M, PESO OPERACIONAL DE 18,4 T, EM CAVALO MECÂNICO 6X2 COM PRANCHA RETA. AF_01/2026</t>
  </si>
  <si>
    <t>CARGA, MANOBRA E DESCARGA DE VIBROACABADORA DE ASFALTO SOBRE RODAS, LARGURA DE PAVIMENTAÇÃO 1,70 M A 4,20 M, PESO OPERACIONAL DE 12,5 T, EM CAMINHÃO PLATAFORMA 23000 KG. AF_01/2026</t>
  </si>
  <si>
    <t>TRANSPORTE DE EQUIPAMENTO PESADO COM CAMINHÃO GUINCHO-SOCORRO 23000 KG, EM VIA INTERNA (DENTRO DO CANTEIRO) EM LEITO NATURAL. AF_01/2026</t>
  </si>
  <si>
    <t>TRANSPORTE DE EQUIPAMENTO PESADO COM CAMINHÃO GUINCHO-SOCORRO 23000 KG, EM VIA INTERNA (DENTRO DO CANTEIRO) EM REVESTIMENTO PRIMÁRIO. AF_01/2026</t>
  </si>
  <si>
    <t>TRANSPORTE DE EQUIPAMENTO PESADO COM CAMINHÃO GUINCHO-SOCORRO 23000 KG, EM VIA INTERNA (DENTRO DO CANTEIRO) PAVIMENTADA. AF_01/2026</t>
  </si>
  <si>
    <t>TRANSPORTE DE EQUIPAMENTO PESADO COM CAMINHÃO GUINCHO-SOCORRO 23000 KG, EM VIA URBANA EM LEITO NATURAL. AF_01/2026</t>
  </si>
  <si>
    <t>TRANSPORTE DE EQUIPAMENTO PESADO COM CAMINHÃO GUINCHO-SOCORRO 23000 KG, EM VIA URBANA EM REVESTIMENTO PRIMÁRIO. AF_01/2026</t>
  </si>
  <si>
    <t>TRANSPORTE DE EQUIPAMENTO PESADO COM CAMINHÃO GUINCHO-SOCORRO 23000 KG, EM VIA URBANA PAVIMENTADA, ADICIONAL PARA DMT EXCEDENTE A 30 KM. AF_01/2026</t>
  </si>
  <si>
    <t>TRANSPORTE DE EQUIPAMENTO PESADO COM CAMINHÃO GUINCHO-SOCORRO 23000 KG, EM VIA URBANA PAVIMENTADA, DMT ATÉ 30 KM. AF_01/2026</t>
  </si>
  <si>
    <t>TRANSPORTE DE EQUIPAMENTO PESADO COM CAMINHÃO GUINCHO-SOCORRO 29000 KG, EM VIA INTERNA (DENTRO DO CANTEIRO) EM LEITO NATURAL. AF_01/2026</t>
  </si>
  <si>
    <t>TRANSPORTE DE EQUIPAMENTO PESADO COM CAMINHÃO GUINCHO-SOCORRO 29000 KG, EM VIA INTERNA (DENTRO DO CANTEIRO) EM REVESTIMENTO PRIMÁRIO. AF_01/2026</t>
  </si>
  <si>
    <t>TRANSPORTE DE EQUIPAMENTO PESADO COM CAMINHÃO GUINCHO-SOCORRO 29000 KG, EM VIA INTERNA (DENTRO DO CANTEIRO) PAVIMENTADA. AF_01/2026</t>
  </si>
  <si>
    <t>TRANSPORTE DE EQUIPAMENTO PESADO COM CAMINHÃO GUINCHO-SOCORRO 29000 KG, EM VIA URBANA EM LEITO NATURAL. AF_01/2026</t>
  </si>
  <si>
    <t>TRANSPORTE DE EQUIPAMENTO PESADO COM CAMINHÃO GUINCHO-SOCORRO 29000 KG, EM VIA URBANA EM REVESTIMENTO PRIMÁRIO. AF_01/2026</t>
  </si>
  <si>
    <t>TRANSPORTE DE EQUIPAMENTO PESADO COM CAMINHÃO GUINCHO-SOCORRO 29000 KG, EM VIA URBANA PAVIMENTADA, ADICIONAL PARA DMT EXCEDENTE A 30 KM. AF_01/2026</t>
  </si>
  <si>
    <t>TRANSPORTE DE EQUIPAMENTO PESADO COM CAMINHÃO GUINCHO-SOCORRO 29000 KG, EM VIA URBANA PAVIMENTADA, DMT ATÉ 30 KM. AF_01/2026</t>
  </si>
  <si>
    <t>TRANSPORTE DE EQUIPAMENTO PESADO COM CAMINHÃO PLATAFORMA 16000 KG, EM VIA INTERNA (DENTRO DO CANTEIRO) EM LEITO NATURAL. AF_01/2026</t>
  </si>
  <si>
    <t>TRANSPORTE DE EQUIPAMENTO PESADO COM CAMINHÃO PLATAFORMA 16000 KG, EM VIA INTERNA (DENTRO DO CANTEIRO) EM REVESTIMENTO PRIMÁRIO. AF_01/2026</t>
  </si>
  <si>
    <t>TRANSPORTE DE EQUIPAMENTO PESADO COM CAMINHÃO PLATAFORMA 16000 KG, EM VIA INTERNA (DENTRO DO CANTEIRO) PAVIMENTADA. AF_01/2026</t>
  </si>
  <si>
    <t>TRANSPORTE DE EQUIPAMENTO PESADO COM CAMINHÃO PLATAFORMA 16000 KG, EM VIA URBANA EM LEITO NATURAL. AF_01/2026</t>
  </si>
  <si>
    <t>TRANSPORTE DE EQUIPAMENTO PESADO COM CAMINHÃO PLATAFORMA 16000 KG, EM VIA URBANA EM REVESTIMENTO PRIMÁRIO. AF_01/2026</t>
  </si>
  <si>
    <t>TRANSPORTE DE EQUIPAMENTO PESADO COM CAMINHÃO PLATAFORMA 16000 KG, EM VIA URBANA PAVIMENTADA, ADICIONAL PARA DMT EXCEDENTE A 30 KM. AF_01/2026</t>
  </si>
  <si>
    <t>TRANSPORTE DE EQUIPAMENTO PESADO COM CAMINHÃO PLATAFORMA 16000 KG, EM VIA URBANA PAVIMENTADA, DMT ATÉ 30 KM. AF_01/2026</t>
  </si>
  <si>
    <t>TRANSPORTE DE EQUIPAMENTO PESADO COM CAMINHÃO PLATAFORMA 23000 KG, EM VIA INTERNA (DENTRO DO CANTEIRO) EM LEITO NATURAL. AF_01/2026</t>
  </si>
  <si>
    <t>TRANSPORTE DE EQUIPAMENTO PESADO COM CAMINHÃO PLATAFORMA 23000 KG, EM VIA INTERNA (DENTRO DO CANTEIRO) EM REVESTIMENTO PRIMÁRIO. AF_01/2026</t>
  </si>
  <si>
    <t>TRANSPORTE DE EQUIPAMENTO PESADO COM CAMINHÃO PLATAFORMA 23000 KG, EM VIA INTERNA (DENTRO DO CANTEIRO) PAVIMENTADA. AF_01/2026</t>
  </si>
  <si>
    <t>TRANSPORTE DE EQUIPAMENTO PESADO COM CAMINHÃO PLATAFORMA 23000 KG, EM VIA URBANA EM LEITO NATURAL. AF_01/2026</t>
  </si>
  <si>
    <t>TRANSPORTE DE EQUIPAMENTO PESADO COM CAMINHÃO PLATAFORMA 23000 KG, EM VIA URBANA EM REVESTIMENTO PRIMÁRIO. AF_01/2026</t>
  </si>
  <si>
    <t>TRANSPORTE DE EQUIPAMENTO PESADO COM CAMINHÃO PLATAFORMA 23000 KG, EM VIA URBANA PAVIMENTADA, ADICIONAL PARA DMT EXCEDENTE A 30 KM. AF_01/2026</t>
  </si>
  <si>
    <t>TRANSPORTE DE EQUIPAMENTO PESADO COM CAMINHÃO PLATAFORMA 23000 KG, EM VIA URBANA PAVIMENTADA, DMT ATÉ 30 KM. AF_01/2026</t>
  </si>
  <si>
    <t>TRANSPORTE DE EQUIPAMENTO PESADO COM CAMINHÃO PLATAFORMA 29000 KG, EM VIA INTERNA (DENTRO DO CANTEIRO) EM LEITO NATURAL. AF_01/2026</t>
  </si>
  <si>
    <t>TRANSPORTE DE EQUIPAMENTO PESADO COM CAMINHÃO PLATAFORMA 29000 KG, EM VIA INTERNA (DENTRO DO CANTEIRO) EM REVESTIMENTO PRIMÁRIO. AF_01/2026</t>
  </si>
  <si>
    <t>TRANSPORTE DE EQUIPAMENTO PESADO COM CAMINHÃO PLATAFORMA 29000 KG, EM VIA INTERNA (DENTRO DO CANTEIRO) PAVIMENTADA. AF_01/2026</t>
  </si>
  <si>
    <t>TRANSPORTE DE EQUIPAMENTO PESADO COM CAMINHÃO PLATAFORMA 29000 KG, EM VIA URBANA EM LEITO NATURAL. AF_01/2026</t>
  </si>
  <si>
    <t>TRANSPORTE DE EQUIPAMENTO PESADO COM CAMINHÃO PLATAFORMA 29000 KG, EM VIA URBANA EM REVESTIMENTO PRIMÁRIO. AF_01/2026</t>
  </si>
  <si>
    <t>TRANSPORTE DE EQUIPAMENTO PESADO COM CAMINHÃO PLATAFORMA 29000 KG, EM VIA URBANA PAVIMENTADA, ADICIONAL PARA DMT EXCEDENTE A 30 KM. AF_01/2026</t>
  </si>
  <si>
    <t>TRANSPORTE DE EQUIPAMENTO PESADO COM CAMINHÃO PLATAFORMA 29000 KG, EM VIA URBANA PAVIMENTADA, DMT ATÉ 30 KM. AF_01/2026</t>
  </si>
  <si>
    <t>TRANSPORTE DE EQUIPAMENTO PESADO COM CAVALO MECÂNICO 6X2 COM PRANCHA REBAIXADA KG, EM VIA INTERNA (DENTRO DO CANTEIRO) EM LEITO NATURAL. AF_01/2026</t>
  </si>
  <si>
    <t>TRANSPORTE DE EQUIPAMENTO PESADO COM CAVALO MECÂNICO 6X2 COM PRANCHA REBAIXADA KG, EM VIA INTERNA (DENTRO DO CANTEIRO) EM REVESTIMENTO PRIMÁRIO. AF_01/2026</t>
  </si>
  <si>
    <t>TRANSPORTE DE EQUIPAMENTO PESADO COM CAVALO MECÂNICO 6X2 COM PRANCHA REBAIXADA KG, EM VIA INTERNA (DENTRO DO CANTEIRO) PAVIMENTADA. AF_01/2026</t>
  </si>
  <si>
    <t>TRANSPORTE DE EQUIPAMENTO PESADO COM CAVALO MECÂNICO 6X2 COM PRANCHA REBAIXADA KG, EM VIA URBANA EM LEITO NATURAL. AF_01/2026</t>
  </si>
  <si>
    <t>TRANSPORTE DE EQUIPAMENTO PESADO COM CAVALO MECÂNICO 6X2 COM PRANCHA REBAIXADA KG, EM VIA URBANA EM REVESTIMENTO PRIMÁRIO. AF_01/2026</t>
  </si>
  <si>
    <t>TRANSPORTE DE EQUIPAMENTO PESADO COM CAVALO MECÂNICO 6X2 COM PRANCHA REBAIXADA KG, EM VIA URBANA PAVIMENTADA, ADICIONAL PARA DMT EXCEDENTE A 30 KM. AF_01/2026</t>
  </si>
  <si>
    <t>TRANSPORTE DE EQUIPAMENTO PESADO COM CAVALO MECÂNICO 6X2 COM PRANCHA REBAIXADA KG, EM VIA URBANA PAVIMENTADA, DMT ATÉ 30 KM. AF_01/2026</t>
  </si>
  <si>
    <t>TRANSPORTE DE EQUIPAMENTO PESADO COM CAVALO MECÂNICO 6X2 COM PRANCHA RETA KG, EM VIA INTERNA (DENTRO DO CANTEIRO) EM LEITO NATURAL. AF_01/2026</t>
  </si>
  <si>
    <t>TRANSPORTE DE EQUIPAMENTO PESADO COM CAVALO MECÂNICO 6X2 COM PRANCHA RETA KG, EM VIA INTERNA (DENTRO DO CANTEIRO) EM REVESTIMENTO PRIMÁRIO. AF_01/2026</t>
  </si>
  <si>
    <t>TRANSPORTE DE EQUIPAMENTO PESADO COM CAVALO MECÂNICO 6X2 COM PRANCHA RETA KG, EM VIA INTERNA (DENTRO DO CANTEIRO) PAVIMENTADA. AF_01/2026</t>
  </si>
  <si>
    <t>TRANSPORTE DE EQUIPAMENTO PESADO COM CAVALO MECÂNICO 6X2 COM PRANCHA RETA KG, EM VIA URBANA EM LEITO NATURAL. AF_01/2026</t>
  </si>
  <si>
    <t>TRANSPORTE DE EQUIPAMENTO PESADO COM CAVALO MECÂNICO 6X2 COM PRANCHA RETA KG, EM VIA URBANA EM REVESTIMENTO PRIMÁRIO. AF_01/2026</t>
  </si>
  <si>
    <t>TRANSPORTE DE EQUIPAMENTO PESADO COM CAVALO MECÂNICO 6X2 COM PRANCHA RETA KG, EM VIA URBANA PAVIMENTADA, ADICIONAL PARA DMT EXCEDENTE A 30 KM. AF_01/2026</t>
  </si>
  <si>
    <t>TRANSPORTE DE EQUIPAMENTO PESADO COM CAVALO MECÂNICO 6X2 COM PRANCHA RETA KG, EM VIA URBANA PAVIMENTADA, DMT ATÉ 30 KM. AF_01/2026</t>
  </si>
  <si>
    <t>ENSACAMENTO DE AREIA. AF_01/2026</t>
  </si>
  <si>
    <t>PENEIRAMENTO DE AREIA COM PENEIRA ELÉTRICA. AF_01/2026</t>
  </si>
  <si>
    <t>PENEIRAMENTO DE AREIA COM PENEIRA MANUAL. AF_01/2026</t>
  </si>
  <si>
    <t>ACABAMENTO PARA PISO EM TACO DE MADEIRA. AF_02/2026</t>
  </si>
  <si>
    <t>ASSOALHO DE MADEIRA. AF_02/2026_PS</t>
  </si>
  <si>
    <t>PISO CIMENTADO, TRAÇO 1:3 (CIMENTO E AREIA), ACABAMENTO LISO, ESPESSURA 1,5 CM, PREPARO MECÂNICO DA ARGAMASSA. AF_02/2026</t>
  </si>
  <si>
    <t>PISO CIMENTADO, TRAÇO 1:3 (CIMENTO E AREIA), ACABAMENTO RUGOSO, ESPESSURA 1,5 CM, PREPARO MECÂNICO DA ARGAMASSA. AF_02/2026</t>
  </si>
  <si>
    <t>PISO CIMENTADO, TRAÇO 1:5 (CIMENTO E AREIA), ACABAMENTO LISO, ESPESSURA 2,0 CM, PREPARO MECÂNICO DA ARGAMASSA. AF_02/2026</t>
  </si>
  <si>
    <t>PISO CIMENTADO, TRAÇO 1:5 (CIMENTO E AREIA), ACABAMENTO LISO, ESPESSURA 3,0 CM, PREPARO MECÂNICO DA ARGAMASSA. AF_02/2026</t>
  </si>
  <si>
    <t>PISO CIMENTADO, TRAÇO 1:5 (CIMENTO E AREIA), ACABAMENTO LISO, ESPESSURA 4,0 CM, PREPARO MECÂNICO DA ARGAMASSA. AF_02/2026</t>
  </si>
  <si>
    <t>PISO CIMENTADO, TRAÇO 1:5 (CIMENTO E AREIA), ACABAMENTO RUGOSO, ESPESSURA 2,0 CM, PREPARO MECÂNICO DA ARGAMASSA. AF_02/2026</t>
  </si>
  <si>
    <t>PISO CIMENTADO, TRAÇO 1:5 (CIMENTO E AREIA), ACABAMENTO RUGOSO, ESPESSURA 3,0 CM, PREPARO MECÂNICO DA ARGAMASSA. AF_02/2026</t>
  </si>
  <si>
    <t>PISO CIMENTADO, TRAÇO 1:5 (CIMENTO E AREIA), ACABAMENTO RUGOSO, ESPESSURA 4,0 CM, PREPARO MECÂNICO DA ARGAMASSA. AF_02/2026</t>
  </si>
  <si>
    <t>PISO DE ALTA RESISTÊNCIA TIPO "KORODUR" EM AMBIENTES INTERNOS, COM ESPESSURA DE 12 MM, INCLUSO MISTURA EM BETONEIRA, COLOCAÇÃO DAS JUNTAS, APLICAÇÃO DO PISO, 4 POLIMENTOS COM POLITRIZ, ESTUCAMENTO, SELADOR E CERA.. AF_02/2026</t>
  </si>
  <si>
    <t>PISO DE BORRACHA CANELADO, ESPESSURA 3,5MM, FIXADO COM ADESIVO ACRÍLICO. AF_02/2026</t>
  </si>
  <si>
    <t>PISO DE BORRACHA ESPORTIVO, ESPESSURA 15MM, ASSENTADO COM ARGAMASSA. AF_02/2026</t>
  </si>
  <si>
    <t>PISO DE BORRACHA PASTILHADO, ESPESSURA 15MM, ASSENTADO COM ARGAMASSA. AF_02/2026</t>
  </si>
  <si>
    <t>PISO DE BORRACHA PASTILHADO, ESPESSURA 3,5MM, FIXADO COM ADESIVO ACRÍLICO. AF_02/2026</t>
  </si>
  <si>
    <t>PISO DE BORRACHA PASTILHADO/FRISADO, ESPESSURA 7MM, ASSENTADO COM ARGAMASSA. AF_02/2026</t>
  </si>
  <si>
    <t>PISO ELEVADO COM ESTRUTURA EM AÇO, COMPOSTO POR PEDESTAIS E PLACAS SEM ACABAMENTO. AF_02/2026</t>
  </si>
  <si>
    <t>PISO ELEVADO COM ESTRUTURA EM AÇO, COMPOSTO POR PEDESTAIS, LONGARINAS E PLACAS SEM ACABAMENTO. AF_02/2026</t>
  </si>
  <si>
    <t>PISO ELEVADO COM ESTRUTURA EM PLÁSTICO, COMPOSTO POR PEDESTAIS E PLACAS COM REVESTIMENTO EM PORCELANATO. AF_02/2026</t>
  </si>
  <si>
    <t>PISO ELEVADO COM ESTRUTURA EM PLÁSTICO, COMPOSTO POR PEDESTAIS E PLACAS SEM ACABAMENTO. AF_02/2026</t>
  </si>
  <si>
    <t>PISO EM GRANILITE, MARMORITE OU GRANITINA EM AMBIENTES INTERNOS, COM ESPESSURA DE 8 MM, INCLUSO MISTURA EM BETONEIRA, COLOCAÇÃO DAS JUNTAS, APLICAÇÃO DO PISO, 4 POLIMENTOS COM POLITRIZ, ESTUCAMENTO, SELADOR E CERA. AF_02/2026_PE</t>
  </si>
  <si>
    <t>PISO EM GRANITO APLICADO EM AMBIENTES INTERNOS. AF_02/2026</t>
  </si>
  <si>
    <t>PISO EM LADRILHO HIDRÁULICO APLICADO EM AMBIENTES INTERNOS DE ÁREA ENTRE 5 E 15 M², INCLUSO APLICAÇÃO DE RESINA. AF_02/2026</t>
  </si>
  <si>
    <t>PISO EM LADRILHO HIDRÁULICO APLICADO EM AMBIENTES INTERNOS DE ÁREA MENOR QUE 5 M², INCLUSO APLICAÇÃO DE RESINA. AF_02/2026</t>
  </si>
  <si>
    <t>PISO EM MÁRMORE APLICADO EM AMBIENTES INTERNOS. AF_02/2026</t>
  </si>
  <si>
    <t>PISO EM PEDRA ARDÓSIA ASSENTADO SOBRE ARGAMASSA 1:3 (CIMENTO E AREIA). AF_02/2026</t>
  </si>
  <si>
    <t>PISO EM PEDRA BASALTO POLIDO EM AMBIENTES INTERNOS. AF_02/2026</t>
  </si>
  <si>
    <t>PISO EM PEDRA SÃO TOMÉ ASSENTADO SOBRE ARGAMASSA 1:3 (CIMENTO E AREIA). AF_02/2026</t>
  </si>
  <si>
    <t>PISO EM TACO DE MADEIRA 7X21CM, FIXADO COM COLA PU. AF_02/2026_PS</t>
  </si>
  <si>
    <t>PISO EM TACO DE MADEIRA 7X42CM, FIXADO COM COLA PU. AF_02/2026_PS</t>
  </si>
  <si>
    <t>PISO LAMINADO EM AMBIENTES INTERNOS. AF_02/2026</t>
  </si>
  <si>
    <t>PISO PODOTÁTIL DE ALERTA OU DIRECIONAL, DE BORRACHA, ASSENTADO COM COLA. AF_02/2026</t>
  </si>
  <si>
    <t>PISO PODOTÁTIL DE ALERTA OU DIRECIONAL, DE BORRACHA, ASSENTADO SOBRE ARGAMASSA. AF_02/2026</t>
  </si>
  <si>
    <t>PISO PODOTÁTIL, DIRECIONAL OU ALERTA, SOLIDARIZADO AO PISO EXISTENTE (ELEMENTOS DISCRETOS) COM COLA. AF_02/2026</t>
  </si>
  <si>
    <t>PISO PODOTÁTIL, DIRECIONAL OU ALERTA, SOLIDARIZADO AO PISO EXISTENTE (ELEMENTOS DISCRETOS) COM PARAFUSO. AF_02/2026</t>
  </si>
  <si>
    <t>PISO TÊXTIL (CARPETE) EM MANTA (ROLO) E = 6 A 7 MM. AF_02/2026</t>
  </si>
  <si>
    <t>PISO TÊXTIL (CARPETE) EM MANTA (ROLO) E = 9 A 10 MM. AF_02/2026</t>
  </si>
  <si>
    <t>PISO TÊXTIL (CARPETE) EM PLACA. AF_02/2026</t>
  </si>
  <si>
    <t>PISO VINÍLICO FLEXÍVEL EM MANTA, PADRÃO LISO, ESPESSURA 2 MM, FIXADO COM COLA. AF_02/2026</t>
  </si>
  <si>
    <t>PISO VINÍLICO SEMI-FLEXÍVEL EM PLACAS, PADRÃO LISO, ESPESSURA 3,2 MM, FIXADO COM COLA. AF_02/2026</t>
  </si>
  <si>
    <t>PISO VINÍLICO SEMI-FLEXÍVEL EM RÉGUAS, PADRÃO LISO, ESPESSURA 3,2 MM, FIXADO COM COLA. AF_02/2026</t>
  </si>
  <si>
    <t>PREPARO DE CONTRAPISO COM MEMBRANA CIMENTÍCIA. AF_02/2026</t>
  </si>
  <si>
    <t>PREPARO DE CONTRAPISO COM POLITRIZ. AF_02/2026_PE</t>
  </si>
  <si>
    <t>REVESTIMENTO DE DEGRAUS DE ESCADA EM GRANITO. AF_02/2026</t>
  </si>
  <si>
    <t>RODAPÉ BORRACHA LISO, ALTURA = 7CM, ESPESSURA = 2 MM, FIXADO COM COLA. AF_02/2026_PS</t>
  </si>
  <si>
    <t>RODAPÉ EM ARDÓSIA ALTURA 10CM. AF_02/2026</t>
  </si>
  <si>
    <t>RODAPÉ EM GRANITO, ALTURA 10 CM. AF_02/2026</t>
  </si>
  <si>
    <t>RODAPÉ EM LADRILHO HIDRÁULICO, ALTURA 7 CM. AF_02/2026</t>
  </si>
  <si>
    <t>RODAPÉ EM MADEIRA, ALTURA 7CM, FIXADO COM COLA BASE DE POLIURETANO. AF_02/2026_PS</t>
  </si>
  <si>
    <t>RODAPÉ EM MADEIRA, ALTURA 7CM, FIXADO COM COLA PVA E PREGOS. AF_02/2026</t>
  </si>
  <si>
    <t>RODAPÉ EM MARMORITE, ALTURA 10CM. AF_02/2026_PE</t>
  </si>
  <si>
    <t>RODAPÉ EM MÁRMORE, ALTURA 7 CM. AF_02/2026</t>
  </si>
  <si>
    <t>RODAPÉ EM POLIESTIRENO, ALTURA 5 CM. AF_02/2026</t>
  </si>
  <si>
    <t>RODAPÉ VINÍLICO FLEXÍVEL EM MANTA, ALTURA 10 CM. AF_02/2026</t>
  </si>
  <si>
    <t>SOLEIRA EM GRANITO, LARGURA 15 CM, ESPESSURA 2,0 CM. AF_02/2026</t>
  </si>
  <si>
    <t>SOLEIRA EM MÁRMORE, LARGURA 15 CM, ESPESSURA 2,0 CM. AF_02/2026</t>
  </si>
  <si>
    <t>BORNE CONECTOR PARA CABOS DE 1,5 MM2, PARA QUADRO DE BOMBA - FORNECIMENTO E INSTALAÇÃO. AF_11/2025</t>
  </si>
  <si>
    <t>BORNE CONECTOR PARA CABOS DE 10 MM2, PARA QUADRO DE BOMBA - FORNECIMENTO E INSTALAÇÃO. AF_11/2025</t>
  </si>
  <si>
    <t>BORNE CONECTOR PARA CABOS DE 16 MM2, PARA QUADRO DE BOMBA - FORNECIMENTO E INSTALAÇÃO. AF_11/2025</t>
  </si>
  <si>
    <t>BORNE CONECTOR PARA CABOS DE 2,5 MM2, PARA QUADRO DE BOMBA - FORNECIMENTO E INSTALAÇÃO. AF_11/2025</t>
  </si>
  <si>
    <t>BORNE CONECTOR PARA CABOS DE 25 MM2, PARA QUADRO DE BOMBA - FORNECIMENTO E INSTALAÇÃO. AF_11/2025</t>
  </si>
  <si>
    <t>BORNE CONECTOR PARA CABOS DE 4 MM2, PARA QUADRO DE BOMBA - FORNECIMENTO E INSTALAÇÃO. AF_11/2025</t>
  </si>
  <si>
    <t>BORNE CONECTOR PARA CABOS DE 6 MM2, PARA QUADRO DE BOMBA - FORNECIMENTO E INSTALAÇÃO. AF_11/2025</t>
  </si>
  <si>
    <t>BOTÃO DE EMERGÊNCIA TIPO COGUMELO, PARA QUADRO DE BOMBA - FORNECIMENTO E INSTALAÇÃO. AF_11/2025</t>
  </si>
  <si>
    <t>BOTÃO LIGA/DESLIGA BOMBA VERDE E VERMELHO, PARA QUADRO DE BOMBA - FORNECIMENTO E INSTALAÇÃO. AF_11/2025</t>
  </si>
  <si>
    <t>CANALETA, PARA QUADRO DE BOMBA - FORNECIMENTO E INSTALAÇÃO. AF_11/2025</t>
  </si>
  <si>
    <t>CHAVE COMUTADORA DE 3 POSIÇÕES DE 10 A, PARA QUADRO DE BOMBA - FORNECIMENTO E INSTALAÇÃO. AF_11/2025</t>
  </si>
  <si>
    <t>CHAVE COMUTADORA DE 3 POSIÇÕES DE 20 A, PARA QUADRO DE BOMBA - FORNECIMENTO E INSTALAÇÃO. AF_11/2025</t>
  </si>
  <si>
    <t>CHAVE COMUTADORA DE 3 POSIÇÕES DE 32A, PARA QUADRO DE BOMBA - FORNECIMENTO E INSTALAÇÃO. AF_11/2025</t>
  </si>
  <si>
    <t>CHAVE COMUTADORA DE 3 POSIÇÕES DE 40 A, PARA QUADRO DE BOMBA - FORNECIMENTO E INSTALAÇÃO. AF_11/2025</t>
  </si>
  <si>
    <t>CHAVE COMUTADORA DE 3 POSIÇÕES DE 63 A, PARA QUADRO DE BOMBA - FORNECIMENTO E INSTALAÇÃO. AF_11/2025</t>
  </si>
  <si>
    <t>CHAVE COMUTADORA DE 3 POSIÇÕES DE 80 A, PARA QUADRO DE BOMBA - FORNECIMENTO E INSTALAÇÃO. AF_11/2025</t>
  </si>
  <si>
    <t>CONTATOR TRIPOLAR, CORRENTE DE *22* A, TENSAO NOMINAL DE *500* V, CATEGORIA AC-2 E AC-3, PARA QUADRO DE BOMBA - FORNECIMENTO E INSTALAÇÃO. AF_11/2025</t>
  </si>
  <si>
    <t>CONTATOR TRIPOLAR, CORRENTE DE *38* A, TENSAO NOMINAL DE *500* V, CATEGORIA AC-2 E AC-3, PARA QUADRO DE BOMBA - FORNECIMENTO E INSTALAÇÃO. AF_11/2025</t>
  </si>
  <si>
    <t>CONTATOR TRIPOLAR, CORRENTE DE 12 A, TENSAO NOMINAL DE *500* V, CATEGORIA AC-2 E AC-3, PARA QUADRO DE BOMBA - FORNECIMENTO E INSTALAÇÃO. AF_11/2025</t>
  </si>
  <si>
    <t>CONTATOR TRIPOLAR, CORRENTE DE 25 A, TENSAO NOMINAL DE *500* V, CATEGORIA AC-2 E AC-3, PARA QUADRO DE BOMBA - FORNECIMENTO E INSTALAÇÃO. AF_11/2025</t>
  </si>
  <si>
    <t>CONTATOR TRIPOLAR, CORRENTE DE 32 A, TENSAO NOMINAL DE *500* V, CATEGORIA AC-2 E AC-3, PARA QUADRO DE BOMBA - FORNECIMENTO E INSTALAÇÃO. AF_11/2025</t>
  </si>
  <si>
    <t>CONTATOR TRIPOLAR, CORRENTE DE 45 A, TENSAO NOMINAL DE *500* V, CATEGORIA AC-2 E AC-3, PARA QUADRO DE BOMBA - FORNECIMENTO E INSTALAÇÃO. AF_11/2025</t>
  </si>
  <si>
    <t>CONTATOR TRIPOLAR, CORRENTE DE 9 A, TENSAO NOMINAL DE *500* V, CATEGORIA AC-2 E AC-3, PARA QUADRO DE BOMBA - FORNECIMENTO E INSTALAÇÃO. AF_11/2025</t>
  </si>
  <si>
    <t>DISJUNTOR TERMOMAGNETICO PARA TRILHO DIN (IEC), TRIPOLAR, 10 A, PARA QUADRO DE BOMBA - FORNECIMENTO E INSTALAÇÃO. AF_11/2025</t>
  </si>
  <si>
    <t>DISJUNTOR TERMOMAGNETICO PARA TRILHO DIN (IEC), TRIPOLAR, 16 A, PARA QUADRO DE BOMBA - FORNECIMENTO E INSTALAÇÃO. AF_11/2025</t>
  </si>
  <si>
    <t>DISJUNTOR TERMOMAGNETICO PARA TRILHO DIN (IEC), TRIPOLAR, 20 A, PARA QUADRO DE BOMBA - FORNECIMENTO E INSTALAÇÃO. AF_11/2025</t>
  </si>
  <si>
    <t>DISJUNTOR TERMOMAGNETICO PARA TRILHO DIN (IEC), TRIPOLAR, 25 A, PARA QUADRO DE BOMBA - FORNECIMENTO E INSTALAÇÃO. AF_11/2025</t>
  </si>
  <si>
    <t>DISJUNTOR TERMOMAGNETICO PARA TRILHO DIN (IEC), TRIPOLAR, 32 A, PARA QUADRO DE BOMBA - FORNECIMENTO E INSTALAÇÃO. AF_11/2025</t>
  </si>
  <si>
    <t>DISJUNTOR TERMOMAGNETICO PARA TRILHO DIN (IEC), TRIPOLAR, 40 A, PARA QUADRO DE BOMBA - FORNECIMENTO E INSTALAÇÃO. AF_11/2025</t>
  </si>
  <si>
    <t>DISJUNTOR TERMOMAGNETICO PARA TRILHO DIN (IEC), TRIPOLAR, 50 A, PARA QUADRO DE BOMBA - FORNECIMENTO E INSTALAÇÃO. AF_11/2025</t>
  </si>
  <si>
    <t>DISJUNTOR TERMOMAGNETICO PARA TRILHO DIN (IEC), TRIPOLAR, 63 A, PARA QUADRO DE BOMBA - FORNECIMENTO E INSTALAÇÃO. AF_11/2025</t>
  </si>
  <si>
    <t>INSTALAÇÃO DE QUADRO ELÉTRICO PARA 1 BOMBA TRIFÁSICA ATÉ 25 CV CADA (NÃO INCLUI O FORNECIMENTO DO QUADRO). AF_11/2025</t>
  </si>
  <si>
    <t>INSTALAÇÃO DE QUADRO ELÉTRICO PARA 2 BOMBAS TRIFÁSICAS ATÉ 25 CV CADA (NÃO INCLUI O FORNECIMENTO DO QUADRO). AF_11/2025</t>
  </si>
  <si>
    <t>QUADRO ELÉTRICO PARA 1 BOMBA CENTRÍFUGA TRIFÁSICA 1,5 CV - FORNECIMENTO E INSTALAÇÃO. AF_11/2025</t>
  </si>
  <si>
    <t>QUADRO ELÉTRICO PARA 1 BOMBA CENTRÍFUGA TRIFÁSICA 10 CV - FORNECIMENTO E INSTALAÇÃO. AF_11/2025</t>
  </si>
  <si>
    <t>QUADRO ELÉTRICO PARA 1 BOMBA CENTRÍFUGA TRIFÁSICA 3 CV - FORNECIMENTO E INSTALAÇÃO. AF_11/2025</t>
  </si>
  <si>
    <t>QUADRO ELÉTRICO PARA 2 BOMBAS CENTRÍFUGAS TRIFÁSICAS 1,5 CV CADA - FORNECIMENTO E INSTALAÇÃO. AF_11/2025</t>
  </si>
  <si>
    <t>QUADRO ELÉTRICO PARA 2 BOMBAS CENTRÍFUGAS TRIFÁSICAS 10 CV CADA - FORNECIMENTO E INSTALAÇÃO. AF_11/2025</t>
  </si>
  <si>
    <t>QUADRO ELÉTRICO PARA 2 BOMBAS CENTRÍFUGAS TRIFÁSICAS 3 CV CADA - FORNECIMENTO E INSTALAÇÃO. AF_11/2025</t>
  </si>
  <si>
    <t>RELÉ ESTRELA TRIANGULO, PARA QUADRO DE BOMBA - FORNECIMENTO E INSTALAÇÃO. AF_11/2025</t>
  </si>
  <si>
    <t>RELÉ FALTA DE FASE PARA ATUAR NO COMANDO DO CONTATOR, PARA QUADRO DE BOMBA - FORNECIMENTO E INSTALAÇÃO. AF_11/2025</t>
  </si>
  <si>
    <t>RELÉ PARA REVEZAMENTO DE MOTORES, PARA QUADRO DE BOMBA - FORNECIMENTO E INSTALAÇÃO. AF_11/2025</t>
  </si>
  <si>
    <t>RELÉ TÉRMICO 10 A 15 A PARA 220 V OU 7 A 10 A PARA 380 V, PARA QUADRO DE BOMBA - FORNECIMENTO E INSTALAÇÃO. AF_11/2025</t>
  </si>
  <si>
    <t>RELÉ TÉRMICO 32 A 40 A PARA 220 V OU 22 A 32 A PARA 380 V, PARA QUADRO DE BOMBA - FORNECIMENTO E INSTALAÇÃO. AF_11/2025</t>
  </si>
  <si>
    <t>RELÉ TÉRMICO 6 A 8 A PARA 220 V OU 4 A 6,3 A PARA 380 V, PARA QUADRO DE BOMBA - FORNECIMENTO E INSTALAÇÃO. AF_11/2025</t>
  </si>
  <si>
    <t>SINALEIRO LED PARA INDICAÇÃO BOMBA, PARA QUADRO DE BOMBA - FORNECIMENTO E INSTALAÇÃO. AF_11/2025</t>
  </si>
  <si>
    <t>TRILHO DIN, PARA QUADRO DE BOMBA - FORNECIMENTO E INSTALAÇÃO. AF_11/2025</t>
  </si>
  <si>
    <t>RESERVATÓRIO DE CONCRETO PRÉ-FABRICADO, DIÂMETRO IGUAL A 2,5 M E ALTURA TOTAL IGUAL A 10,5 M - FORNECIMENTO E INSTALAÇÃO. AF_12/2025</t>
  </si>
  <si>
    <t>RESERVATÓRIO DE CONCRETO PRÉ-FABRICADO, DIÂMETRO IGUAL A 2,5 M E ALTURA TOTAL IGUAL A 15,0 M - FORNECIMENTO E INSTALAÇÃO. AF_12/2025</t>
  </si>
  <si>
    <t>RESERVATÓRIO DE CONCRETO PRÉ-FABRICADO, DIÂMETRO IGUAL A 2,5 M E ALTURA TOTAL IGUAL A 20,0 M - FORNECIMENTO E INSTALAÇÃO. AF_12/2025</t>
  </si>
  <si>
    <t>RESERVATÓRIO DE CONCRETO PRÉ-FABRICADO, DIÂMETRO IGUAL A 2,5 M E ALTURA TOTAL IGUAL A 25,0 M - FORNECIMENTO E INSTALAÇÃO. AF_12/2025</t>
  </si>
  <si>
    <t>RESERVATÓRIO DE CONCRETO PRÉ-FABRICADO, DIÂMETRO IGUAL A 2,5 M E ALTURA TOTAL IGUAL A 30,5 M - FORNECIMENTO E INSTALAÇÃO. AF_12/2025</t>
  </si>
  <si>
    <t>RESERVATÓRIO DE CONCRETO PRÉ-FABRICADO, DIÂMETRO IGUAL A 2,5 M E ALTURA TOTAL MENOR OU IGUAL A 30,5 M - SOMENTE INSTALAÇÃO, SEM FORNECIMENTO. AF_12/2025</t>
  </si>
  <si>
    <t>RESERVATÓRIO DE CONCRETO PRÉ-FABRICADO, DIÂMETRO IGUAL A 3,0 M E ALTURA TOTAL IGUAL A 10,5 M - FORNECIMENTO E INSTALAÇÃO. AF_12/2025</t>
  </si>
  <si>
    <t>RESERVATÓRIO DE CONCRETO PRÉ-FABRICADO, DIÂMETRO IGUAL A 3,0 M E ALTURA TOTAL IGUAL A 15,0 M - FORNECIMENTO E INSTALAÇÃO. AF_12/2025</t>
  </si>
  <si>
    <t>RESERVATÓRIO DE CONCRETO PRÉ-FABRICADO, DIÂMETRO IGUAL A 3,0 M E ALTURA TOTAL IGUAL A 20,0 M - FORNECIMENTO E INSTALAÇÃO. AF_12/2025</t>
  </si>
  <si>
    <t>RESERVATÓRIO DE CONCRETO PRÉ-FABRICADO, DIÂMETRO IGUAL A 3,0 M E ALTURA TOTAL IGUAL A 25,0 M - FORNECIMENTO E INSTALAÇÃO. AF_12/2025</t>
  </si>
  <si>
    <t>RESERVATÓRIO DE CONCRETO PRÉ-FABRICADO, DIÂMETRO IGUAL A 3,0 M E ALTURA TOTAL IGUAL A 30,5 M - FORNECIMENTO E INSTALAÇÃO. AF_12/2025</t>
  </si>
  <si>
    <t>RESERVATÓRIO DE CONCRETO PRÉ-FABRICADO, DIÂMETRO IGUAL A 3,0 M E ALTURA TOTAL MENOR OU IGUAL A 30,5 M - SOMENTE INSTALAÇÃO, SEM FORNECIMENTO. AF_12/2025</t>
  </si>
  <si>
    <t>RESERVATÓRIO METÁLICO, TIPO TAÇA COM COLUNA SECA E CAPACIDADE IGUAL A 10.000 L - FORNECIMENTO E INSTALAÇÃO. AF_12/2025</t>
  </si>
  <si>
    <t>RESERVATÓRIO METÁLICO, TIPO TAÇA COM COLUNA SECA E CAPACIDADE IGUAL A 100.000 L - FORNECIMENTO E INSTALAÇÃO. AF_12/2025</t>
  </si>
  <si>
    <t>RESERVATÓRIO METÁLICO, TIPO TAÇA COM COLUNA SECA E CAPACIDADE IGUAL A 15.000 L - FORNECIMENTO E INSTALAÇÃO. AF_12/2025</t>
  </si>
  <si>
    <t>RESERVATÓRIO METÁLICO, TIPO TAÇA COM COLUNA SECA E CAPACIDADE IGUAL A 20.000 L - FORNECIMENTO E INSTALAÇÃO. AF_12/2025</t>
  </si>
  <si>
    <t>RESERVATÓRIO METÁLICO, TIPO TAÇA COM COLUNA SECA E CAPACIDADE IGUAL A 30.000 L - FORNECIMENTO E INSTALAÇÃO. AF_12/2025</t>
  </si>
  <si>
    <t>RESERVATÓRIO METÁLICO, TIPO TAÇA COM COLUNA SECA E CAPACIDADE IGUAL A 40.000 L - FORNECIMENTO E INSTALAÇÃO. AF_12/2025</t>
  </si>
  <si>
    <t>RESERVATÓRIO METÁLICO, TIPO TAÇA COM COLUNA SECA E CAPACIDADE IGUAL A 5.000 L - FORNECIMENTO E INSTALAÇÃO. AF_12/2025</t>
  </si>
  <si>
    <t>RESERVATÓRIO METÁLICO, TIPO TAÇA COM COLUNA SECA E CAPACIDADE IGUAL A 50.000 L - FORNECIMENTO E INSTALAÇÃO. AF_12/2025</t>
  </si>
  <si>
    <t>RESERVATÓRIO METÁLICO, TIPO TAÇA COM COLUNA SECA E CAPACIDADE IGUAL A 75.000 L - FORNECIMENTO E INSTALAÇÃO. AF_12/2025</t>
  </si>
  <si>
    <t>RESERVATÓRIO METÁLICO, TIPO TAÇA COM ÁGUA NA COLUNA E CAPACIDADE IGUAL A 10.000 L - FORNECIMENTO E INSTALAÇÃO. AF_12/2025</t>
  </si>
  <si>
    <t>RESERVATÓRIO METÁLICO, TIPO TAÇA COM ÁGUA NA COLUNA E CAPACIDADE IGUAL A 100.000 L - FORNECIMENTO E INSTALAÇÃO. AF_12/2025</t>
  </si>
  <si>
    <t>RESERVATÓRIO METÁLICO, TIPO TAÇA COM ÁGUA NA COLUNA E CAPACIDADE IGUAL A 15.000 L - FORNECIMENTO E INSTALAÇÃO. AF_12/2025</t>
  </si>
  <si>
    <t>RESERVATÓRIO METÁLICO, TIPO TAÇA COM ÁGUA NA COLUNA E CAPACIDADE IGUAL A 20.000 L - FORNECIMENTO E INSTALAÇÃO. AF_12/2025</t>
  </si>
  <si>
    <t>RESERVATÓRIO METÁLICO, TIPO TAÇA COM ÁGUA NA COLUNA E CAPACIDADE IGUAL A 30.000 L - FORNECIMENTO E INSTALAÇÃO. AF_12/2025</t>
  </si>
  <si>
    <t>RESERVATÓRIO METÁLICO, TIPO TAÇA COM ÁGUA NA COLUNA E CAPACIDADE IGUAL A 40.000 L - FORNECIMENTO E INSTALAÇÃO. AF_12/2025</t>
  </si>
  <si>
    <t>RESERVATÓRIO METÁLICO, TIPO TAÇA COM ÁGUA NA COLUNA E CAPACIDADE IGUAL A 5.000 L - FORNECIMENTO E INSTALAÇÃO. AF_12/2025</t>
  </si>
  <si>
    <t>RESERVATÓRIO METÁLICO, TIPO TAÇA COM ÁGUA NA COLUNA E CAPACIDADE IGUAL A 50.000 L - FORNECIMENTO E INSTALAÇÃO. AF_12/2025</t>
  </si>
  <si>
    <t>RESERVATÓRIO METÁLICO, TIPO TAÇA COM ÁGUA NA COLUNA E CAPACIDADE IGUAL A 75.000 L - FORNECIMENTO E INSTALAÇÃO. AF_12/2025</t>
  </si>
  <si>
    <t>RESERVATÓRIO METÁLICO, TIPO TUBULAR E CAPACIDADE IGUAL A 10.000 L - FORNECIMENTO E INSTALAÇÃO. AF_12/2025</t>
  </si>
  <si>
    <t>RESERVATÓRIO METÁLICO, TIPO TUBULAR E CAPACIDADE IGUAL A 100.000 L - FORNECIMENTO E INSTALAÇÃO. AF_12/2025</t>
  </si>
  <si>
    <t>RESERVATÓRIO METÁLICO, TIPO TUBULAR E CAPACIDADE IGUAL A 15.000 L - FORNECIMENTO E INSTALAÇÃO. AF_12/2025</t>
  </si>
  <si>
    <t>RESERVATÓRIO METÁLICO, TIPO TUBULAR E CAPACIDADE IGUAL A 20.000 L - FORNECIMENTO E INSTALAÇÃO. AF_12/2025</t>
  </si>
  <si>
    <t>RESERVATÓRIO METÁLICO, TIPO TUBULAR E CAPACIDADE IGUAL A 30.000 L - FORNECIMENTO E INSTALAÇÃO. AF_12/2025</t>
  </si>
  <si>
    <t>RESERVATÓRIO METÁLICO, TIPO TUBULAR E CAPACIDADE IGUAL A 40.000 L - FORNECIMENTO E INSTALAÇÃO. AF_12/2025</t>
  </si>
  <si>
    <t>RESERVATÓRIO METÁLICO, TIPO TUBULAR E CAPACIDADE IGUAL A 5.000 L - FORNECIMENTO E INSTALAÇÃO. AF_12/2025</t>
  </si>
  <si>
    <t>RESERVATÓRIO METÁLICO, TIPO TUBULAR E CAPACIDADE IGUAL A 50.000 L - FORNECIMENTO E INSTALAÇÃO. AF_12/2025</t>
  </si>
  <si>
    <t>RESERVATÓRIO METÁLICO, TIPO TUBULAR E CAPACIDADE IGUAL A 75.000 L - FORNECIMENTO E INSTALAÇÃO. AF_12/2025</t>
  </si>
  <si>
    <t>TRANSPORTE HORIZONTAL COM CARREGADEIRA, DE MASSA/ GRANEL (UNIDADE: M3XKM). AF_04/2026</t>
  </si>
  <si>
    <t>TRANSPORTE HORIZONTAL COM CARRINHO DE MÃO, DE CAIXA COM REVESTIMENTO CERÂMICO (UNIDADE: M2XKM). AF_04/2026</t>
  </si>
  <si>
    <t>TRANSPORTE HORIZONTAL COM CARRINHO DE MÃO, DE SACOS DE 20 KG (UNIDADE: KGXKM). AF_04/2026</t>
  </si>
  <si>
    <t>TRANSPORTE HORIZONTAL COM CARRINHO DE MÃO, DE SACOS DE 30 KG (UNIDADE: KGXKM). AF_04/2026</t>
  </si>
  <si>
    <t>TRANSPORTE HORIZONTAL COM CARRINHO DE MÃO, DE SACOS DE 50 KG (UNIDADE: KGXKM). AF_04/2026</t>
  </si>
  <si>
    <t>TRANSPORTE HORIZONTAL COM CARRINHO MANUAL RACIONAL, DE BLOCOS CERÂMICOS FURADOS NA HORIZONTAL DE 9X19X19CM (UNIDADE: BLOCOXKM). AF_04/2026</t>
  </si>
  <si>
    <t>TRANSPORTE HORIZONTAL COM CARRINHO MANUAL RACIONAL, DE BLOCOS VAZADOS DE CONCRETO OU CERÂMICO DE 19X19X39CM (UNIDADE: BLOCOXKM). AF_04/2026</t>
  </si>
  <si>
    <t>TRANSPORTE HORIZONTAL COM CARRINHO MINI PÁLETES, DE BLOCOS CERÂMICOS FURADOS NA HORIZONTAL DE 9X19X19CM (UNIDADE: BLOCOXKM). AF_04/2026</t>
  </si>
  <si>
    <t>TRANSPORTE HORIZONTAL COM CARRINHO MINI PÁLETES, DE BLOCOS CERÂMICOS FURADOS NA VERTICAL DE 19X19X39CM (UNIDADE: BLOCOXKM). AF_04/2026</t>
  </si>
  <si>
    <t>TRANSPORTE HORIZONTAL COM CARRINHO MINI PÁLETES, DE BLOCOS VAZADOS DE CONCRETO DE 19X19X39CM (UNIDADE: BLOCOXKM). AF_04/2026</t>
  </si>
  <si>
    <t>TRANSPORTE HORIZONTAL COM CARRINHO MINI PÁLETES, DE CAIXA COM REVESTIMENTO CERÂMICO (UNIDADE: M2XKM). AF_04/2026</t>
  </si>
  <si>
    <t>TRANSPORTE HORIZONTAL COM CARRINHO PLATAFORMA, DE BACIA SANITÁRIA, CAIXA ACOPLADA, TANQUE OU PIA (UNIDADE: UNIDXKM). AF_04/2026</t>
  </si>
  <si>
    <t>TRANSPORTE HORIZONTAL COM CARRINHO PLATAFORMA, DE BANCADA DE MÁRMORE OU GRANITO PARA COZINHA/LAVATÓRIO OU MÁRMORE SINTÉTICO COM CUBA INTEGRADA (UNIDADE: UNIDXKM). AF_04/2026</t>
  </si>
  <si>
    <t>TRANSPORTE HORIZONTAL COM CARRINHO PLATAFORMA, DE BARRAMENTO BLINDADO (UNIDADE: MXKM). AF_04/2026</t>
  </si>
  <si>
    <t>TRANSPORTE HORIZONTAL COM CARRINHO PLATAFORMA, DE BLOCOS CERÂMICOS FURADOS NA HORIZONTAL DE 9X19X19CM (UNIDADE: BLOCOXKM). AF_04/2026</t>
  </si>
  <si>
    <t>TRANSPORTE HORIZONTAL COM CARRINHO PLATAFORMA, DE BLOCOS VAZADOS DE CONCRETO OU CERÂMICO DE 19X19X39CM (UNIDADE: BLOCOXKM). AF_04/2026</t>
  </si>
  <si>
    <t>TRANSPORTE HORIZONTAL COM CARRINHO PLATAFORMA, DE CAIXA COM REVESTIMENTO CERÂMICO (UNIDADE: M2XKM). AF_04/2026</t>
  </si>
  <si>
    <t>TRANSPORTE HORIZONTAL COM CARRINHO PLATAFORMA, DE LATA DE 18 LITROS (UNIDADE: LXKM). AF_04/2026</t>
  </si>
  <si>
    <t>TRANSPORTE HORIZONTAL COM CARRINHO PLATAFORMA, DE SACOS DE 20 KG (UNIDADE: KGXKM). AF_04/2026</t>
  </si>
  <si>
    <t>TRANSPORTE HORIZONTAL COM CARRINHO PLATAFORMA, DE SACOS DE 30 KG (UNIDADE: KGXKM). AF_04/2026</t>
  </si>
  <si>
    <t>TRANSPORTE HORIZONTAL COM CARRINHO PLATAFORMA, DE SACOS DE 50 KG (UNIDADE: KGXKM). AF_04/2026</t>
  </si>
  <si>
    <t>TRANSPORTE HORIZONTAL COM CARRINHO PLATAFORMA, DE TELHA DE CONCRETO OU CERÂMICA (UNIDADE: M2XKM). AF_04/2026</t>
  </si>
  <si>
    <t>TRANSPORTE HORIZONTAL COM CARRINHO PÁLETES, 50 M, DE BLOCOS CERÂMICOS FURADOS NA HORIZONTAL DE 9X19X19CM. AF_04/2026</t>
  </si>
  <si>
    <t>TRANSPORTE HORIZONTAL COM CARRINHO PÁLETES, 50 M, DE BLOCOS CERÂMICOS FURADOS NA VERTICAL DE 19X19X39CM. AF_04/2026</t>
  </si>
  <si>
    <t>TRANSPORTE HORIZONTAL COM CARRINHO PÁLETES, 50 M, DE BLOCOS VAZADOS DE CONCRETO DE 19X19X39CM. AF_04/2026</t>
  </si>
  <si>
    <t>TRANSPORTE HORIZONTAL COM CARRINHO PÁLETES, 50 M, DE CAIXA COM REVESTIMENTO CERÂMICO. AF_04/2026</t>
  </si>
  <si>
    <t>TRANSPORTE HORIZONTAL COM CARRINHO RACIONAL, DE LATA DE 18 LITROS (UNIDADE: LXKM). AF_04/2026</t>
  </si>
  <si>
    <t>TRANSPORTE HORIZONTAL COM JERICA DE 60 L, DE MASSA/ GRANEL (UNIDADE: M3XKM). AF_04/2026</t>
  </si>
  <si>
    <t>TRANSPORTE HORIZONTAL COM JERICA DE 90 L, DE MASSA/ GRANEL (UNIDADE: M3XKM). AF_04/2026</t>
  </si>
  <si>
    <t>TRANSPORTE HORIZONTAL COM MANIPULADOR TELESCÓPICO, DE BACIA SANITÁRIA, CAIXA ACOPLADA, TANQUE OU PIA (UNIDADE: UNIDXKM). AF_04/2026</t>
  </si>
  <si>
    <t>TRANSPORTE HORIZONTAL COM MANIPULADOR TELESCÓPICO, DE BLOCOS CERÂMICOS FURADOS NA HORIZONTAL DE 9X19X19CM (UNIDADE: BLOCOXKM). AF_04/2026</t>
  </si>
  <si>
    <t>TRANSPORTE HORIZONTAL COM MANIPULADOR TELESCÓPICO, DE BLOCOS CERÂMICOS FURADOS NA VERTICAL DE 19X19X39CM (UNIDADE: BLOCOXKM). AF_04/2026</t>
  </si>
  <si>
    <t>TRANSPORTE HORIZONTAL COM MANIPULADOR TELESCÓPICO, DE BLOCOS VAZADOS DE CONCRETO DE 19X19X39CM (UNIDADE: BLOCOXKM). AF_04/2026</t>
  </si>
  <si>
    <t>TRANSPORTE HORIZONTAL COM MANIPULADOR TELESCÓPICO, DE CAIXA COM REVESTIMENTO CERÂMICO (UNIDADE: M2XKM). AF_04/2026</t>
  </si>
  <si>
    <t>TRANSPORTE HORIZONTAL COM MANIPULADOR TELESCÓPICO, DE LATA DE 18 LITROS (UNIDADE: LXKM). AF_04/2026</t>
  </si>
  <si>
    <t>TRANSPORTE HORIZONTAL COM MANIPULADOR TELESCÓPICO, DE PÁLETE DE SACOS (UNIDADE: KGXKM). AF_04/2026</t>
  </si>
  <si>
    <t>TRANSPORTE HORIZONTAL COM MANIPULADOR TELESCÓPICO, DE TELHA DE CONCRETO OU CERÂMICA (UNIDADE: M2XKM). AF_04/2026</t>
  </si>
  <si>
    <t>TRANSPORTE HORIZONTAL COM MANIPULADOR TELESCÓPICO, DE TELHAS TERMOACÚSTICAS, FIBROCIMENTO, AÇO ZINCADO, FIBROCIMENTO ESTRUTURAL, CANALETE 90 OU KALHETÃO (UNIDADE: M2XKM). AF_04/2026</t>
  </si>
  <si>
    <t>TRANSPORTE HORIZONTAL MANUAL, DE BACIA SANITÁRIA, CAIXA ACOPLADA, TANQUE OU PIA (UNIDADE: UNIDXKM). AF_04/2026</t>
  </si>
  <si>
    <t>TRANSPORTE HORIZONTAL MANUAL, DE BANCADA DE MÁRMORE OU GRANITO PARA COZINHA/LAVATÓRIO OU MÁRMORE SINTÉTICO COM CUBA INTEGRADA (UNIDADE: UNIDXKM). AF_04/2026</t>
  </si>
  <si>
    <t>TRANSPORTE HORIZONTAL MANUAL, DE BARRAMENTO BLINDADO (UNIDADE: MXKM). AF_04/2026</t>
  </si>
  <si>
    <t>TRANSPORTE HORIZONTAL MANUAL, DE BLOCOS CERÂMICOS FURADOS NA HORIZONTAL DE 9X19X19CM (UNIDADE: BLOCOXKM). AF_04/2026</t>
  </si>
  <si>
    <t>TRANSPORTE HORIZONTAL MANUAL, DE BLOCOS VAZADOS DE CONCRETO OU CERÂMICO DE 19X19X39CM (UNIDADE: BLOCOXKM). AF_04/2026</t>
  </si>
  <si>
    <t>TRANSPORTE HORIZONTAL MANUAL, DE CAIBROS DE MADEIRA COM SEÇÃO TRANSVERSAL DE 7,5 X 6 CM E 6 X 8 CM (UNIDADE: MXKM). AF_04/2026</t>
  </si>
  <si>
    <t>TRANSPORTE HORIZONTAL MANUAL, DE CAIXA COM REVESTIMENTO CERÂMICO (UNIDADE: M2XKM). AF_04/2026</t>
  </si>
  <si>
    <t>TRANSPORTE HORIZONTAL MANUAL, DE CALHA QUADRADA NÚMERO 24 - CORTE 33 (UNIDADE: MXKM). AF_04/2026</t>
  </si>
  <si>
    <t>TRANSPORTE HORIZONTAL MANUAL, DE COMPENSADO DE MADEIRA (UNIDADE: M2XKM). AF_04/2026</t>
  </si>
  <si>
    <t>TRANSPORTE HORIZONTAL MANUAL, DE JANELA (UNIDADE: M2XKM). AF_04/2026</t>
  </si>
  <si>
    <t>TRANSPORTE HORIZONTAL MANUAL, DE LATA DE 18 LITROS (UNIDADE: LXKM). AF_04/2026</t>
  </si>
  <si>
    <t>TRANSPORTE HORIZONTAL MANUAL, DE PORTA (UNIDADE: UNIDXKM). AF_04/2026</t>
  </si>
  <si>
    <t>TRANSPORTE HORIZONTAL MANUAL, DE RIPAS DE MADEIRA COM SEÇÃO TRANSVERSAL DE 1 X 5 CM E 2 X 5 CM (UNIDADE: MXKM). AF_04/2026</t>
  </si>
  <si>
    <t>TRANSPORTE HORIZONTAL MANUAL, DE SACOS DE 20 KG (UNIDADE: KGXKM). AF_04/2026</t>
  </si>
  <si>
    <t>TRANSPORTE HORIZONTAL MANUAL, DE SACOS DE 30 KG (UNIDADE: KGXKM). AF_04/2026</t>
  </si>
  <si>
    <t>TRANSPORTE HORIZONTAL MANUAL, DE SACOS DE 50 KG (UNIDADE: KGXKM). AF_04/2026</t>
  </si>
  <si>
    <t>TRANSPORTE HORIZONTAL MANUAL, DE TELA DE AÇO (UNIDADE: KGXKM). AF_04/2026</t>
  </si>
  <si>
    <t>TRANSPORTE HORIZONTAL MANUAL, DE TELHA DE CONCRETO OU CERÂMICA (UNIDADE: M2XKM). AF_04/2026</t>
  </si>
  <si>
    <t>TRANSPORTE HORIZONTAL MANUAL, DE TELHA DE FIBROCIMENTO OU TELHA ESTRUTURAL DE FIBROCIMENTO, CANALETE 90 OU KALHETÃO (UNIDADE: M2XKM). AF_04/2026</t>
  </si>
  <si>
    <t>TRANSPORTE HORIZONTAL MANUAL, DE TELHA TERMOACÚSTICA OU TELHA DE AÇO ZINCADO (UNIDADE: M2XKM). AF_04/2026</t>
  </si>
  <si>
    <t>TRANSPORTE HORIZONTAL MANUAL, DE TUBO DE AÇO CARBONO LEVE OU MÉDIO, PRETO OU GALVANIZADO, COM DIÂMETRO MAIOR QUE 125 MM E MENOR OU IGUAL A 150 MM (UNIDADE: MXKM). AF_04/2026</t>
  </si>
  <si>
    <t>TRANSPORTE HORIZONTAL MANUAL, DE TUBO DE AÇO CARBONO LEVE OU MÉDIO, PRETO OU GALVANIZADO, COM DIÂMETRO MAIOR QUE 20 MM E MENOR OU IGUAL A 32 MM (UNIDADE: MXKM). AF_04/2026</t>
  </si>
  <si>
    <t>TRANSPORTE HORIZONTAL MANUAL, DE TUBO DE AÇO CARBONO LEVE OU MÉDIO, PRETO OU GALVANIZADO, COM DIÂMETRO MAIOR QUE 32 MM E MENOR OU IGUAL A 65 MM (UNIDADE: MXKM). AF_04/2026</t>
  </si>
  <si>
    <t>TRANSPORTE HORIZONTAL MANUAL, DE TUBO DE AÇO CARBONO LEVE OU MÉDIO, PRETO OU GALVANIZADO, COM DIÂMETRO MAIOR QUE 65 MM E MENOR OU IGUAL A 90 MM (UNIDADE: MXKM). AF_04/2026</t>
  </si>
  <si>
    <t>TRANSPORTE HORIZONTAL MANUAL, DE TUBO DE AÇO CARBONO LEVE OU MÉDIO, PRETO OU GALVANIZADO, COM DIÂMETRO MAIOR QUE 90 MM E MENOR OU IGUAL A 125 MM (UNIDADE: MXKM). AF_04/2026</t>
  </si>
  <si>
    <t>TRANSPORTE HORIZONTAL MANUAL, DE TUBO DE AÇO CARBONO LEVE OU MÉDIO, PRETO OU GALVANIZADO, COM DIÂMETRO MENOR OU IGUAL A 20 MM (UNIDADE: MXKM). AF_04/2026</t>
  </si>
  <si>
    <t>TRANSPORTE HORIZONTAL MANUAL, DE TUBO DE COBRE - CLASSE E - COM DIÂMETRO MAIOR QUE 54 MM E MENOR OU IGUAL A 79 MM (UNIDADE: MXKM). AF_04/2026</t>
  </si>
  <si>
    <t>TRANSPORTE HORIZONTAL MANUAL, DE TUBO DE COBRE - CLASSE E - COM DIÂMETRO MAIOR QUE 79 MM E MENOR OU IGUAL A 104 MM (UNIDADE: MXKM). AF_04/2026</t>
  </si>
  <si>
    <t>TRANSPORTE HORIZONTAL MANUAL, DE TUBO DE COBRE - CLASSE E - COM DIÂMETRO MENOR OU IGUAL A 54 MM (UNIDADE: MXKM). AF_04/2026</t>
  </si>
  <si>
    <t>TRANSPORTE HORIZONTAL MANUAL, DE TUBO DE CPVC COM DIÂMETRO MAIOR QUE 73 MM E MENOR OU IGUAL A 89 MM (UNIDADE: MXKM). AF_04/2026</t>
  </si>
  <si>
    <t>TRANSPORTE HORIZONTAL MANUAL, DE TUBO DE CPVC COM DIÂMETRO MENOR OU IGUAL A 73 MM (UNIDADE: MXKM). AF_04/2026</t>
  </si>
  <si>
    <t>TRANSPORTE HORIZONTAL MANUAL, DE TUBO DE PPR - PN12 OU PN25 - COM DIÂMETRO MAIOR QUE 50 MM E MENOR OU IGUAL A 75 MM (UNIDADE: MXKM). AF_04/2026</t>
  </si>
  <si>
    <t>TRANSPORTE HORIZONTAL MANUAL, DE TUBO DE PPR - PN12 OU PN25 - COM DIÂMETRO MAIOR QUE 75 MM E MENOR OU IGUAL A 110 MM (UNIDADE: MXKM). AF_04/2026</t>
  </si>
  <si>
    <t>TRANSPORTE HORIZONTAL MANUAL, DE TUBO DE PPR - PN12 OU PN25 - COM DIÂMETRO MENOR OU IGUAL A 50 MM (UNIDADE: MXKM). AF_04/2026</t>
  </si>
  <si>
    <t>TRANSPORTE HORIZONTAL MANUAL, DE TUBO DE PVC SOLDÁVEL COM DIÂMETRO MAIOR QUE 60 MM E MENOR OU IGUAL A 85 MM (UNIDADE: MXKM). AF_04/2026</t>
  </si>
  <si>
    <t>TRANSPORTE HORIZONTAL MANUAL, DE TUBO DE PVC SOLDÁVEL COM DIÂMETRO MENOR OU IGUAL A 60 MM (UNIDADE: MXKM). AF_04/2026</t>
  </si>
  <si>
    <t>TRANSPORTE HORIZONTAL MANUAL, DE TUBO DE PVC SÉRIE NORMAL - ESGOTO PREDIAL, OU REFORÇADO PARA ESGOTO OU ÁGUAS PLUVIAIS PREDIAL, COM DIÂMETRO MAIOR QUE 100 MM E MENOR OU IGUAL A 150 MM (UNIDADE: MXKM). AF_04/2026</t>
  </si>
  <si>
    <t>TRANSPORTE HORIZONTAL MANUAL, DE TUBO DE PVC SÉRIE NORMAL - ESGOTO PREDIAL, OU REFORÇADO PARA ESGOTO OU ÁGUAS PLUVIAIS PREDIAL, COM DIÂMETRO MAIOR QUE 75 MM E MENOR OU IGUAL A 100 MM (UNIDADE: MXKM). AF_04/2026</t>
  </si>
  <si>
    <t>TRANSPORTE HORIZONTAL MANUAL, DE TUBO DE PVC SÉRIE NORMAL - ESGOTO PREDIAL, OU REFORÇADO PARA ESGOTO OU ÁGUAS PLUVIAIS PREDIAL, COM DIÂMETRO MENOR OU IGUAL A 75 MM (UNIDADE: MXKM). AF_04/2026</t>
  </si>
  <si>
    <t>TRANSPORTE HORIZONTAL MANUAL, DE TÁBUAS DE MADEIRA COM SEÇÃO TRANSVERSAL DE 2,5 X 25 CM E 2,5 X 30 CM (UNIDADE: MXKM). AF_04/2026</t>
  </si>
  <si>
    <t>TRANSPORTE HORIZONTAL MANUAL, DE VERGALHÕES DE AÇO COM DIÂMETRO DE 10 MM; 12,5 MM; 16 MM; 20 MM; 25 MM OU 32 MM (UNIDADE: KGXKM). AF_04/2026</t>
  </si>
  <si>
    <t>TRANSPORTE HORIZONTAL MANUAL, DE VERGALHÕES DE AÇO COM DIÂMETRO DE 5 MM (UNIDADE: KGXKM). AF_04/2026</t>
  </si>
  <si>
    <t>TRANSPORTE HORIZONTAL MANUAL, DE VERGALHÕES DE AÇO COM DIÂMETRO DE 6,3 MM (UNIDADE: KGXKM). AF_04/2026</t>
  </si>
  <si>
    <t>TRANSPORTE HORIZONTAL MANUAL, DE VERGALHÕES DE AÇO COM DIÂMETRO DE 8 MM (UNIDADE: KGXKM). AF_04/2026</t>
  </si>
  <si>
    <t>TRANSPORTE HORIZONTAL MANUAL, DE VIDRO (UNIDADE: M2XKM). AF_04/2026</t>
  </si>
  <si>
    <t>TRANSPORTE HORIZONTAL MANUAL, DE VIGAS DE MADEIRA COM SEÇÃO TRANSVERSAL DE 5 X 12 CM (UNIDADE: MXKM). AF_04/2026</t>
  </si>
  <si>
    <t>TRANSPORTE HORIZONTAL MANUAL, DE VIGAS DE MADEIRA COM SEÇÃO TRANSVERSAL DE 6 X 16 CM (UNIDADE: MXKM). AF_04/2026</t>
  </si>
  <si>
    <t>TRANSPORTE VERTICAL MANUAL, 1 PAVIMENTO, DE BACIA SANITÁRIA, CAIXA ACOPLADA, TANQUE OU PIA (UNIDADE: UNID). AF_04/2026</t>
  </si>
  <si>
    <t>TRANSPORTE VERTICAL MANUAL, 1 PAVIMENTO, DE BLOCOS CERÂMICOS FURADOS NA HORIZONTAL DE 9X19X19CM (UNIDADE: BLOCO). AF_04/2026</t>
  </si>
  <si>
    <t>TRANSPORTE VERTICAL MANUAL, 1 PAVIMENTO, DE BLOCOS VAZADOS DE CONCRETO OU CERÂMICO DE 19X19X39CM (UNIDADE: BLOCO). AF_04/2026</t>
  </si>
  <si>
    <t>TRANSPORTE VERTICAL MANUAL, 1 PAVIMENTO, DE CAIXA COM REVESTIMENTO CERÂMICO (UNIDADE: M2). AF_04/2026</t>
  </si>
  <si>
    <t>TRANSPORTE VERTICAL MANUAL, 1 PAVIMENTO, DE JANELA (UNIDADE: M2). AF_04/2026</t>
  </si>
  <si>
    <t>TRANSPORTE VERTICAL MANUAL, 1 PAVIMENTO, DE LATA DE 18 LITROS (UNIDADE: L). AF_04/2026</t>
  </si>
  <si>
    <t>TRANSPORTE VERTICAL MANUAL, 1 PAVIMENTO, DE PORTA (UNIDADE: UNID). AF_04/2026</t>
  </si>
  <si>
    <t>TRANSPORTE VERTICAL MANUAL, 1 PAVIMENTO, DE SACOS DE 20 KG (UNIDADE: KG). AF_04/2026</t>
  </si>
  <si>
    <t>TRANSPORTE VERTICAL MANUAL, 1 PAVIMENTO, DE SACOS DE 30 KG (UNIDADE: KG). AF_04/2026</t>
  </si>
  <si>
    <t>TRANSPORTE VERTICAL MANUAL, 1 PAVIMENTO, DE SACOS DE 50 KG (UNIDADE: KG). AF_04/2026</t>
  </si>
  <si>
    <t>TRANSPORTE VERTICAL MANUAL, 1 PAVIMENTO, DE VIDRO (UNIDADE: M2). AF_04/2026</t>
  </si>
  <si>
    <t>TRANSPORTE VERTICAL, BANCADA DE MÁRMORE OU GRANITO PARA COZINHA/LAVATÓRIO OU MÁRMORE SINTÉTICO COM CUBA INTEGRADA, MANUAL, 1 PAVIMENTO, (UNIDADE: UNID). AF_04/2026</t>
  </si>
  <si>
    <t>CARGA DE MISTURA ASFÁLTICA EM CAMINHÃO BASCULANTE 10 M³ (UNIDADE: M3). AF_02/2026</t>
  </si>
  <si>
    <t>CARGA DE MISTURA ASFÁLTICA EM CAMINHÃO BASCULANTE 10 M³ (UNIDADE: T). AF_02/2026</t>
  </si>
  <si>
    <t>CARGA DE MISTURA ASFÁLTICA EM CAMINHÃO BASCULANTE 14 M³ (UNIDADE: M3). AF_02/2026</t>
  </si>
  <si>
    <t>CARGA DE MISTURA ASFÁLTICA EM CAMINHÃO BASCULANTE 14 M³ (UNIDADE: T). AF_02/2026</t>
  </si>
  <si>
    <t>CARGA DE MISTURA ASFÁLTICA EM CAMINHÃO BASCULANTE 18 M³ (UNIDADE: M3). AF_02/2026</t>
  </si>
  <si>
    <t>CARGA DE MISTURA ASFÁLTICA EM CAMINHÃO BASCULANTE 18 M³ (UNIDADE: T). AF_02/2026</t>
  </si>
  <si>
    <t>CARGA DE MISTURA ASFÁLTICA EM CAMINHÃO BASCULANTE 6 M³ (UNIDADE: M3). AF_02/2026</t>
  </si>
  <si>
    <t>CARGA DE MISTURA ASFÁLTICA EM CAMINHÃO BASCULANTE 6 M³ (UNIDADE: T). AF_02/2026</t>
  </si>
  <si>
    <t>CARGA DE ÁGUA EM CAMINHÃO PIPA 10 M³. AF_02/2026</t>
  </si>
  <si>
    <t>CARGA DE ÁGUA EM CAMINHÃO PIPA 14 M³. AF_02/2026</t>
  </si>
  <si>
    <t>CARGA DE ÁGUA EM CAMINHÃO PIPA 6 M³. AF_02/2026</t>
  </si>
  <si>
    <t>CARGA, MANOBRA E DESCARGA DE CAÇAMBA DE ENTULHO EM CAMINHÃO POLIGUINDASTE 8 M3. AF_02/2026</t>
  </si>
  <si>
    <t>CARGA, MANOBRA E DESCARGA DE ELEMENTOS PRÉ-FABRICADOS DE ATÉ 1,0 T EM CAMINHÃO CAVALO MECÂNICO COM SEMIRREBOQUE 30T. AF_02/2026</t>
  </si>
  <si>
    <t>CARGA, MANOBRA E DESCARGA DE ELEMENTOS PRÉ-FABRICADOS DE MAIS DE 1,0 T EM CAMINHÃO CAVALO MECÂNICO COM SEMIRREBOQUE 30T. AF_02/2026</t>
  </si>
  <si>
    <t>CARGA, MANOBRA E DESCARGA DE ENTULHO EM CAMINHÃO BASCULANTE 10 M³ - CARGA COM ESCAVADEIRA HIDRÁULICA (CAÇAMBA DE 0,80 M³ / 111 HP) E DESCARGA LIVRE (UNIDADE: M3). AF_02/2026</t>
  </si>
  <si>
    <t>CARGA, MANOBRA E DESCARGA DE ENTULHO EM CAMINHÃO BASCULANTE 10 M³ - CARGA COM ESCAVADEIRA HIDRÁULICA (CAÇAMBA DE 0,80 M³ / 111 HP) E DESCARGA LIVRE (UNIDADE: T). AF_02/2026</t>
  </si>
  <si>
    <t>CARGA, MANOBRA E DESCARGA DE ENTULHO EM CAMINHÃO BASCULANTE 14 M³ - CARGA COM ESCAVADEIRA HIDRÁULICA (CAÇAMBA DE 0,80 M³ / 111 HP) E DESCARGA LIVRE (UNIDADE: M3). AF_02/2026</t>
  </si>
  <si>
    <t>CARGA, MANOBRA E DESCARGA DE ENTULHO EM CAMINHÃO BASCULANTE 14 M³ - CARGA COM ESCAVADEIRA HIDRÁULICA (CAÇAMBA DE 0,80 M³ / 111 HP) E DESCARGA LIVRE (UNIDADE: T). AF_02/2026</t>
  </si>
  <si>
    <t>CARGA, MANOBRA E DESCARGA DE ENTULHO EM CAMINHÃO BASCULANTE 18 M³ - CARGA COM ESCAVADEIRA HIDRÁULICA (CAÇAMBA DE 0,80 M³ / 111 HP) E DESCARGA LIVRE (UNIDADE: M3). AF_02/2026</t>
  </si>
  <si>
    <t>CARGA, MANOBRA E DESCARGA DE ENTULHO EM CAMINHÃO BASCULANTE 18 M³ - CARGA COM ESCAVADEIRA HIDRÁULICA (CAÇAMBA DE 0,80 M³ / 111 HP) E DESCARGA LIVRE (UNIDADE: T). AF_02/2026</t>
  </si>
  <si>
    <t>CARGA, MANOBRA E DESCARGA DE ENTULHO EM CAMINHÃO BASCULANTE 6 M³ - CARGA COM ESCAVADEIRA HIDRÁULICA (CAÇAMBA DE 0,80 M³ / 111 HP) E DESCARGA LIVRE (UNIDADE: M3). AF_02/2026</t>
  </si>
  <si>
    <t>CARGA, MANOBRA E DESCARGA DE ENTULHO EM CAMINHÃO BASCULANTE 6 M³ - CARGA COM ESCAVADEIRA HIDRÁULICA (CAÇAMBA DE 0,80 M³ / 111 HP) E DESCARGA LIVRE (UNIDADE: T). AF_02/2026</t>
  </si>
  <si>
    <t>CARGA, MANOBRA E DESCARGA DE PERFIL METÁLICO EM CAMINHÃO CARROCERIA COM GUINDAUTO (MUNCK) 11,7 TM. AF_02/2026</t>
  </si>
  <si>
    <t>CARGA, MANOBRA E DESCARGA DE PERFIL METÁLICO EM CAMINHÃO CARROCERIA COM GUINDAUTO (MUNCK) 42,3 TM. AF_02/2026</t>
  </si>
  <si>
    <t>CARGA, MANOBRA E DESCARGA DE POSTE DE CONCRETO EM CAMINHÃO CARROCERIA COM GUINDAUTO (MUNCK) 11,7 TM. AF_02/2026</t>
  </si>
  <si>
    <t>CARGA, MANOBRA E DESCARGA DE POSTES DE CONCRETO EM CAMINHÃO CARROCERIA COM GUINDAUTO (MUNCK) 42,3 TM. AF_02/2026</t>
  </si>
  <si>
    <t>CARGA, MANOBRA E DESCARGA DE SOLOS E MATERIAIS GRANULARES EM CAMINHÃO BASCULANTE 10 M³ - CARGA COM ESCAVADEIRA HIDRÁULICA (CAÇAMBA DE 1,20 M³ / 155 HP) E DESCARGA LIVRE (UNIDADE: M3). AF_02/2026</t>
  </si>
  <si>
    <t>CARGA, MANOBRA E DESCARGA DE SOLOS E MATERIAIS GRANULARES EM CAMINHÃO BASCULANTE 10 M³ - CARGA COM ESCAVADEIRA HIDRÁULICA (CAÇAMBA DE 1,20 M³ / 155 HP) E DESCARGA LIVRE (UNIDADE: T). AF_02/2026</t>
  </si>
  <si>
    <t>CARGA, MANOBRA E DESCARGA DE SOLOS E MATERIAIS GRANULARES EM CAMINHÃO BASCULANTE 10 M³ - CARGA COM PÁ CARREGADEIRA (CAÇAMBA DE 1,7 A 2,8 M³ / 128 HP) E DESCARGA LIVRE (UNIDADE: M3). AF_02/2026</t>
  </si>
  <si>
    <t>CARGA, MANOBRA E DESCARGA DE SOLOS E MATERIAIS GRANULARES EM CAMINHÃO BASCULANTE 10 M³ - CARGA COM PÁ CARREGADEIRA (CAÇAMBA DE 1,7 A 2,8 M³ / 128 HP) E DESCARGA LIVRE (UNIDADE: T). AF_02/2026</t>
  </si>
  <si>
    <t>CARGA, MANOBRA E DESCARGA DE SOLOS E MATERIAIS GRANULARES EM CAMINHÃO BASCULANTE 14 M³ - CARGA COM ESCAVADEIRA HIDRÁULICA (CAÇAMBA DE 1,20 M³ / 155 HP) E DESCARGA LIVRE (UNIDADE: M3). AF_02/2026</t>
  </si>
  <si>
    <t>CARGA, MANOBRA E DESCARGA DE SOLOS E MATERIAIS GRANULARES EM CAMINHÃO BASCULANTE 14 M³ - CARGA COM ESCAVADEIRA HIDRÁULICA (CAÇAMBA DE 1,20 M³ / 155 HP) E DESCARGA LIVRE (UNIDADE: T). AF_02/2026</t>
  </si>
  <si>
    <t>CARGA, MANOBRA E DESCARGA DE SOLOS E MATERIAIS GRANULARES EM CAMINHÃO BASCULANTE 14 M³ - CARGA COM PÁ CARREGADEIRA (CAÇAMBA DE 1,7 A 2,8 M³ / 128 HP) E DESCARGA LIVRE (UNIDADE: M3). AF_02/2026</t>
  </si>
  <si>
    <t>CARGA, MANOBRA E DESCARGA DE SOLOS E MATERIAIS GRANULARES EM CAMINHÃO BASCULANTE 14 M³ - CARGA COM PÁ CARREGADEIRA (CAÇAMBA DE 1,7 A 2,8 M³ / 128 HP) E DESCARGA LIVRE (UNIDADE: T). AF_02/2026</t>
  </si>
  <si>
    <t>CARGA, MANOBRA E DESCARGA DE SOLOS E MATERIAIS GRANULARES EM CAMINHÃO BASCULANTE 18 M³ - CARGA COM ESCAVADEIRA HIDRÁULICA (CAÇAMBA DE 1,20 M³ / 155 HP) E DESCARGA LIVRE (UNIDADE: M3). AF_02/2026</t>
  </si>
  <si>
    <t>CARGA, MANOBRA E DESCARGA DE SOLOS E MATERIAIS GRANULARES EM CAMINHÃO BASCULANTE 18 M³ - CARGA COM ESCAVADEIRA HIDRÁULICA (CAÇAMBA DE 1,20 M³ / 155 HP) E DESCARGA LIVRE (UNIDADE: T). AF_02/2026</t>
  </si>
  <si>
    <t>CARGA, MANOBRA E DESCARGA DE SOLOS E MATERIAIS GRANULARES EM CAMINHÃO BASCULANTE 18 M³ - CARGA COM PÁ CARREGADEIRA (CAÇAMBA DE 1,7 A 2,8 M³ / 128 HP) E DESCARGA LIVRE (UNIDADE: M3). AF_02/2026</t>
  </si>
  <si>
    <t>CARGA, MANOBRA E DESCARGA DE SOLOS E MATERIAIS GRANULARES EM CAMINHÃO BASCULANTE 18 M³ - CARGA COM PÁ CARREGADEIRA (CAÇAMBA DE 1,7 A 2,8 M³ / 128 HP) E DESCARGA LIVRE (UNIDADE: T). AF_02/2026</t>
  </si>
  <si>
    <t>CARGA, MANOBRA E DESCARGA DE SOLOS E MATERIAIS GRANULARES EM CAMINHÃO BASCULANTE 6 M³ - CARGA COM ESCAVADEIRA HIDRÁULICA (CAÇAMBA DE 1,20 M³ / 155 HP) E DESCARGA LIVRE (UNIDADE: M3). AF_02/2026</t>
  </si>
  <si>
    <t>CARGA, MANOBRA E DESCARGA DE SOLOS E MATERIAIS GRANULARES EM CAMINHÃO BASCULANTE 6 M³ - CARGA COM ESCAVADEIRA HIDRÁULICA (CAÇAMBA DE 1,20 M³ / 155 HP) E DESCARGA LIVRE (UNIDADE: T). AF_02/2026</t>
  </si>
  <si>
    <t>CARGA, MANOBRA E DESCARGA DE SOLOS E MATERIAIS GRANULARES EM CAMINHÃO BASCULANTE 6 M³ - CARGA COM PÁ CARREGADEIRA (CAÇAMBA DE 1,7 A 2,8 M³ / 128 HP) E DESCARGA LIVRE (UNIDADE: M3). AF_02/2026</t>
  </si>
  <si>
    <t>CARGA, MANOBRA E DESCARGA DE SOLOS E MATERIAIS GRANULARES EM CAMINHÃO BASCULANTE 6 M³ - CARGA COM PÁ CARREGADEIRA (CAÇAMBA DE 1,7 A 2,8 M³ / 128 HP) E DESCARGA LIVRE (UNIDADE: T). AF_02/2026</t>
  </si>
  <si>
    <t>CARGA, MANOBRA E DESCARGA DE TUBOS DE CONCRETO, DN 1000 MM, EM CAMINHÃO CARROCERIA COM GUINDAUTO (MUNCK) 11,7 TM. AF_02/2026</t>
  </si>
  <si>
    <t>CARGA, MANOBRA E DESCARGA DE TUBOS DE CONCRETO, DN 1000 MM, EM CAMINHÃO CARROCERIA COM GUINDAUTO (MUNCK) 42,3 TM. AF_02/2026</t>
  </si>
  <si>
    <t>CARGA, MANOBRA E DESCARGA DE TUBOS DE CONCRETO, DN 1200 MM, EM CAMINHÃO CARROCERIA COM GUINDAUTO (MUNCK) 11,7 TM. AF_02/2026</t>
  </si>
  <si>
    <t>CARGA, MANOBRA E DESCARGA DE TUBOS DE CONCRETO, DN 1200 MM, EM CAMINHÃO CARROCERIA COM GUINDAUTO (MUNCK) 42,3 TM. AF_02/2026</t>
  </si>
  <si>
    <t>CARGA, MANOBRA E DESCARGA DE TUBOS DE CONCRETO, DN 400 MM, EM CAMINHÃO CARROCERIA COM GUINDAUTO (MUNCK) 11,7 TM. AF_02/2026</t>
  </si>
  <si>
    <t>CARGA, MANOBRA E DESCARGA DE TUBOS DE CONCRETO, DN 400 MM, EM CAMINHÃO CARROCERIA COM GUINDAUTO (MUNCK) 42,3 TM. AF_02/2026</t>
  </si>
  <si>
    <t>CARGA, MANOBRA E DESCARGA DE TUBOS DE CONCRETO, DN 500 MM, EM CAMINHÃO CARROCERIA COM GUINDAUTO (MUNCK) 11,7 TM. AF_02/2026</t>
  </si>
  <si>
    <t>CARGA, MANOBRA E DESCARGA DE TUBOS DE CONCRETO, DN 500 MM, EM CAMINHÃO CARROCERIA COM GUINDAUTO (MUNCK) 42,3 TM. AF_02/2026</t>
  </si>
  <si>
    <t>CARGA, MANOBRA E DESCARGA DE TUBOS DE CONCRETO, DN 600 MM, EM CAMINHÃO CARROCERIA COM GUINDAUTO (MUNCK) 11,7 TM. AF_02/2026</t>
  </si>
  <si>
    <t>CARGA, MANOBRA E DESCARGA DE TUBOS DE CONCRETO, DN 600 MM, EM CAMINHÃO CARROCERIA COM GUINDAUTO (MUNCK) 42,3 TM. AF_02/2026</t>
  </si>
  <si>
    <t>CARGA, MANOBRA E DESCARGA DE TUBOS DE CONCRETO, DN 700 MM, EM CAMINHÃO CARROCERIA COM GUINDAUTO (MUNCK) 11,7 TM. AF_02/2026</t>
  </si>
  <si>
    <t>CARGA, MANOBRA E DESCARGA DE TUBOS DE CONCRETO, DN 700 MM, EM CAMINHÃO CARROCERIA COM GUINDAUTO (MUNCK) 42,3 TM. AF_02/2026</t>
  </si>
  <si>
    <t>CARGA, MANOBRA E DESCARGA DE TUBOS DE CONCRETO, DN 800 MM, EM CAMINHÃO CARROCERIA COM GUINDAUTO (MUNCK) 11,7 TM. AF_02/2026</t>
  </si>
  <si>
    <t>CARGA, MANOBRA E DESCARGA DE TUBOS DE CONCRETO, DN 800 MM, EM CAMINHÃO CARROCERIA COM GUINDAUTO (MUNCK) 42,3 TM. AF_02/2026</t>
  </si>
  <si>
    <t>CARGA, MANOBRA E DESCARGA DE TUBOS DE CONCRETO, DN 900 MM, EM CAMINHÃO CARROCERIA COM GUINDAUTO (MUNCK) 11,7 TM. AF_02/2026</t>
  </si>
  <si>
    <t>CARGA, MANOBRA E DESCARGA DE TUBOS DE CONCRETO, DN 900 MM, EM CAMINHÃO CARROCERIA COM GUINDAUTO (MUNCK) 42,3 TM. AF_02/2026</t>
  </si>
  <si>
    <t>CARGA, MANOBRA E DESCARGA DE TUBOS DE CONCRETO, DN MENOR OU IGUAL A 300 MM, EM CAMINHÃO CARROCERIA COM GUINDAUTO (MUNCK) 11,7 TM. AF_02/2026</t>
  </si>
  <si>
    <t>CARGA, MANOBRA E DESCARGA DE TUBOS DE CONCRETO, DN MENOR OU IGUAL A 300 MM, EM CAMINHÃO CARROCERIA COM GUINDAUTO (MUNCK) 42,3 TM. AF_02/2026</t>
  </si>
  <si>
    <t>CARGA, MANOBRA E DESCARGA DE TUBOS METÁLICOS, DN 1000 MM, EM CAMINHÃO CARROCERIA COM GUINDAUTO (MUNCK) 11,7 TM. AF_02/2026</t>
  </si>
  <si>
    <t>CARGA, MANOBRA E DESCARGA DE TUBOS METÁLICOS, DN 1000 MM, EM CAMINHÃO CARROCERIA COM GUINDAUTO (MUNCK) 42,3 TM. AF_02/2026</t>
  </si>
  <si>
    <t>CARGA, MANOBRA E DESCARGA DE TUBOS METÁLICOS, DN 1200 MM, EM CAMINHÃO CARROCERIA COM GUINDAUTO (MUNCK) 11,7 TM. AF_02/2026</t>
  </si>
  <si>
    <t>CARGA, MANOBRA E DESCARGA DE TUBOS METÁLICOS, DN 1200 MM, EM CAMINHÃO CARROCERIA COM GUINDAUTO (MUNCK) 42,3 TM. AF_02/2026</t>
  </si>
  <si>
    <t>CARGA, MANOBRA E DESCARGA DE TUBOS METÁLICOS, DN 200 MM, EM CAMINHÃO CARROCERIA COM GUINDAUTO (MUNCK) 11,7 TM. AF_02/2026</t>
  </si>
  <si>
    <t>CARGA, MANOBRA E DESCARGA DE TUBOS METÁLICOS, DN 200 MM, EM CAMINHÃO CARROCERIA COM GUINDAUTO (MUNCK) 42,3 TM. AF_02/2026</t>
  </si>
  <si>
    <t>CARGA, MANOBRA E DESCARGA DE TUBOS METÁLICOS, DN 250 MM, EM CAMINHÃO CARROCERIA COM GUINDAUTO (MUNCK) 11,7 TM. AF_02/2026</t>
  </si>
  <si>
    <t>CARGA, MANOBRA E DESCARGA DE TUBOS METÁLICOS, DN 250 MM, EM CAMINHÃO CARROCERIA COM GUINDAUTO (MUNCK) 42,3 TM. AF_02/2026</t>
  </si>
  <si>
    <t>CARGA, MANOBRA E DESCARGA DE TUBOS METÁLICOS, DN 300 MM, EM CAMINHÃO CARROCERIA COM GUINDAUTO (MUNCK) 11,7 TM. AF_02/2026</t>
  </si>
  <si>
    <t>CARGA, MANOBRA E DESCARGA DE TUBOS METÁLICOS, DN 300 MM, EM CAMINHÃO CARROCERIA COM GUINDAUTO (MUNCK) 42,3 TM. AF_02/2026</t>
  </si>
  <si>
    <t>CARGA, MANOBRA E DESCARGA DE TUBOS METÁLICOS, DN 350 MM, EM CAMINHÃO CARROCERIA COM GUINDAUTO (MUNCK) 11,7 TM. AF_02/2026</t>
  </si>
  <si>
    <t>CARGA, MANOBRA E DESCARGA DE TUBOS METÁLICOS, DN 350 MM, EM CAMINHÃO CARROCERIA COM GUINDAUTO (MUNCK) 42,3 TM. AF_02/2026</t>
  </si>
  <si>
    <t>CARGA, MANOBRA E DESCARGA DE TUBOS METÁLICOS, DN 400 MM, EM CAMINHÃO CARROCERIA COM GUINDAUTO (MUNCK) 11,7 TM. AF_02/2026</t>
  </si>
  <si>
    <t>CARGA, MANOBRA E DESCARGA DE TUBOS METÁLICOS, DN 400 MM, EM CAMINHÃO CARROCERIA COM GUINDAUTO (MUNCK) 42,3 TM. AF_02/2026</t>
  </si>
  <si>
    <t>CARGA, MANOBRA E DESCARGA DE TUBOS METÁLICOS, DN 500 MM, EM CAMINHÃO CARROCERIA COM GUINDAUTO (MUNCK) 11,7 TM. AF_02/2026</t>
  </si>
  <si>
    <t>CARGA, MANOBRA E DESCARGA DE TUBOS METÁLICOS, DN 500 MM, EM CAMINHÃO CARROCERIA COM GUINDAUTO (MUNCK) 42,3 TM. AF_02/2026</t>
  </si>
  <si>
    <t>CARGA, MANOBRA E DESCARGA DE TUBOS METÁLICOS, DN 600 MM, EM CAMINHÃO CARROCERIA COM GUINDAUTO (MUNCK) 11,7 TM. AF_02/2026</t>
  </si>
  <si>
    <t>CARGA, MANOBRA E DESCARGA DE TUBOS METÁLICOS, DN 600 MM, EM CAMINHÃO CARROCERIA COM GUINDAUTO (MUNCK) 42,3 TM. AF_02/2026</t>
  </si>
  <si>
    <t>CARGA, MANOBRA E DESCARGA DE TUBOS METÁLICOS, DN 700 MM, EM CAMINHÃO CARROCERIA COM GUINDAUTO (MUNCK) 11,7 TM. AF_02/2026</t>
  </si>
  <si>
    <t>CARGA, MANOBRA E DESCARGA DE TUBOS METÁLICOS, DN 700 MM, EM CAMINHÃO CARROCERIA COM GUINDAUTO (MUNCK) 42,3 TM. AF_02/2026</t>
  </si>
  <si>
    <t>CARGA, MANOBRA E DESCARGA DE TUBOS METÁLICOS, DN 800 MM, EM CAMINHÃO CARROCERIA COM GUINDAUTO (MUNCK) 11,7 TM. AF_02/2026</t>
  </si>
  <si>
    <t>CARGA, MANOBRA E DESCARGA DE TUBOS METÁLICOS, DN 800 MM, EM CAMINHÃO CARROCERIA COM GUINDAUTO (MUNCK) 42,3 TM. AF_02/2026</t>
  </si>
  <si>
    <t>CARGA, MANOBRA E DESCARGA DE TUBOS METÁLICOS, DN 900 MM, EM CAMINHÃO CARROCERIA COM GUINDAUTO (MUNCK) 11,7 TM. AF_02/2026</t>
  </si>
  <si>
    <t>CARGA, MANOBRA E DESCARGA DE TUBOS METÁLICOS, DN 900 MM, EM CAMINHÃO CARROCERIA COM GUINDAUTO (MUNCK) 42,3 TM. AF_02/2026</t>
  </si>
  <si>
    <t>CARGA, MANOBRA E DESCARGA DE TUBOS METÁLICOS, DN MENOR OU IGUAL A 150 MM, EM CAMINHÃO CARROCERIA COM GUINDAUTO (MUNCK) 11,7 TM. AF_02/2026</t>
  </si>
  <si>
    <t>CARGA, MANOBRA E DESCARGA DE TUBOS METÁLICOS, DN MENOR OU IGUAL A 150 MM, EM CAMINHÃO CARROCERIA COM GUINDAUTO (MUNCK) 42,3 TM. AF_02/2026</t>
  </si>
  <si>
    <t>CARGA, MANOBRA E DESCARGA DE TUBOS PLÁSTICOS, DN 1000 MM, EM CAMINHÃO CARROCERIA COM GUINDAUTO (MUNCK) 11,7 TM. AF_02/2026</t>
  </si>
  <si>
    <t>CARGA, MANOBRA E DESCARGA DE TUBOS PLÁSTICOS, DN 1000 MM, EM CAMINHÃO CARROCERIA COM GUINDAUTO (MUNCK) 42,3 TM. AF_02/2026</t>
  </si>
  <si>
    <t>CARGA, MANOBRA E DESCARGA DE TUBOS PLÁSTICOS, DN 1200 MM, EM CAMINHÃO CARROCERIA COM GUINDAUTO (MUNCK) 11,7 TM. AF_02/2026</t>
  </si>
  <si>
    <t>CARGA, MANOBRA E DESCARGA DE TUBOS PLÁSTICOS, DN 1200 MM, EM CAMINHÃO CARROCERIA COM GUINDAUTO (MUNCK) 42,3 TM. AF_02/2026</t>
  </si>
  <si>
    <t>CARGA, MANOBRA E DESCARGA DE TUBOS PLÁSTICOS, DN 250 MM, EM CAMINHÃO CARROCERIA COM GUINDAUTO (MUNCK) 11,7 TM. AF_02/2026</t>
  </si>
  <si>
    <t>CARGA, MANOBRA E DESCARGA DE TUBOS PLÁSTICOS, DN 250 MM, EM CAMINHÃO CARROCERIA COM GUINDAUTO (MUNCK) 42,3 TM. AF_02/2026</t>
  </si>
  <si>
    <t>CARGA, MANOBRA E DESCARGA DE TUBOS PLÁSTICOS, DN 300 MM, EM CAMINHÃO CARROCERIA COM GUINDAUTO (MUNCK) 11,7 TM. AF_02/2026</t>
  </si>
  <si>
    <t>CARGA, MANOBRA E DESCARGA DE TUBOS PLÁSTICOS, DN 300 MM, EM CAMINHÃO CARROCERIA COM GUINDAUTO (MUNCK) 42,3 TM. AF_02/2026</t>
  </si>
  <si>
    <t>CARGA, MANOBRA E DESCARGA DE TUBOS PLÁSTICOS, DN 400 MM, EM CAMINHÃO CARROCERIA COM GUINDAUTO (MUNCK) 11,7 TM. AF_02/2026</t>
  </si>
  <si>
    <t>CARGA, MANOBRA E DESCARGA DE TUBOS PLÁSTICOS, DN 400 MM, EM CAMINHÃO CARROCERIA COM GUINDAUTO (MUNCK) 42,3 TM. AF_02/2026</t>
  </si>
  <si>
    <t>CARGA, MANOBRA E DESCARGA DE TUBOS PLÁSTICOS, DN 500 MM, EM CAMINHÃO CARROCERIA COM GUINDAUTO (MUNCK) 11,7 TM. AF_02/2026</t>
  </si>
  <si>
    <t>CARGA, MANOBRA E DESCARGA DE TUBOS PLÁSTICOS, DN 500 MM, EM CAMINHÃO CARROCERIA COM GUINDAUTO (MUNCK) 42,3 TM. AF_02/2026</t>
  </si>
  <si>
    <t>CARGA, MANOBRA E DESCARGA DE TUBOS PLÁSTICOS, DN 600 MM, EM CAMINHÃO CARROCERIA COM GUINDAUTO (MUNCK) 11,7 TM. AF_02/2026</t>
  </si>
  <si>
    <t>CARGA, MANOBRA E DESCARGA DE TUBOS PLÁSTICOS, DN 600 MM, EM CAMINHÃO CARROCERIA COM GUINDAUTO (MUNCK) 42,3 TM. AF_02/2026</t>
  </si>
  <si>
    <t>CARGA, MANOBRA E DESCARGA DE TUBOS PLÁSTICOS, DN 750 MM, EM CAMINHÃO CARROCERIA COM GUINDAUTO (MUNCK) 11,7 TM. AF_02/2026</t>
  </si>
  <si>
    <t>CARGA, MANOBRA E DESCARGA DE TUBOS PLÁSTICOS, DN 750 MM, EM CAMINHÃO CARROCERIA COM GUINDAUTO (MUNCK) 42,3 TM. AF_02/2026</t>
  </si>
  <si>
    <t>CARGA, MANOBRA E DESCARGA DE TUBOS PLÁSTICOS, DN 900 MM, EM CAMINHÃO CARROCERIA COM GUINDAUTO (MUNCK) 11,7 TM. AF_02/2026</t>
  </si>
  <si>
    <t>CARGA, MANOBRA E DESCARGA DE TUBOS PLÁSTICOS, DN 900 MM, EM CAMINHÃO CARROCERIA COM GUINDAUTO (MUNCK) 42,3 TM. AF_02/2026</t>
  </si>
  <si>
    <t>CARGA, MANOBRA E DESCARGA DE ÁGUA EM CAMINHÃO PIPA 10 M³. AF_02/2026</t>
  </si>
  <si>
    <t>CARGA, MANOBRA E DESCARGA DE ÁGUA EM CAMINHÃO PIPA 14 M³. AF_02/2026</t>
  </si>
  <si>
    <t>CARGA, MANOBRA E DESCARGA DE ÁGUA EM CAMINHÃO PIPA 6 M³. AF_02/2026</t>
  </si>
  <si>
    <t>CARGA, MANOBRA E DESCARGA MANUAL DE BLOCO CERAMICO FURADO NA HORIZONTAL, EM CAMINHÃO CARROCERIA 15T. AF_02/2026</t>
  </si>
  <si>
    <t>CARGA, MANOBRA E DESCARGA MANUAL DE BLOCO CERAMICO FURADO NA HORIZONTAL, EM CAMINHÃO CARROCERIA 9T. AF_02/2026</t>
  </si>
  <si>
    <t>CARGA, MANOBRA E DESCARGA MANUAL DE BLOCO CERAMICO FURADO NA VERTICAL, EM CAMINHÃO CARROCERIA 15T. AF_02/2026</t>
  </si>
  <si>
    <t>CARGA, MANOBRA E DESCARGA MANUAL DE BLOCO CERAMICO FURADO NA VERTICAL, EM CAMINHÃO CARROCERIA 9T. AF_02/2026</t>
  </si>
  <si>
    <t>CARGA, MANOBRA E DESCARGA MANUAL DE BLOCO DE CONCRETO, EM CAMINHÃO CARROCERIA 15T. AF_02/2026</t>
  </si>
  <si>
    <t>CARGA, MANOBRA E DESCARGA MANUAL DE BLOCO DE CONCRETO, EM CAMINHÃO CARROCERIA 9T. AF_02/2026</t>
  </si>
  <si>
    <t>CARGA, MANOBRA E DESCARGA MANUAL DE SACOS DE AREIA DE 25 KG, EM CAMINHÃO CARROCERIA 15T. AF_02/2026</t>
  </si>
  <si>
    <t>CARGA, MANOBRA E DESCARGA MANUAL DE SACOS DE AREIA DE 25 KG, EM CAMINHÃO CARROCERIA 9T. AF_02/2026</t>
  </si>
  <si>
    <t>CARGA, MANOBRA E DESCARGA MANUAL DE SACOS DE ARGAMASSA DE 20 KG, EM CAMINHÃO CARROCERIA 15T. AF_02/2026</t>
  </si>
  <si>
    <t>CARGA, MANOBRA E DESCARGA MANUAL DE SACOS DE ARGAMASSA DE 20 KG, EM CAMINHÃO CARROCERIA 9T. AF_02/2026</t>
  </si>
  <si>
    <t>CARGA, MANOBRA E DESCARGA MANUAL DE SACOS DE CIMENTO DE 50 KG, EM CAMINHÃO CARROCERIA 15T. AF_02/2026</t>
  </si>
  <si>
    <t>CARGA, MANOBRA E DESCARGA MANUAL DE SACOS DE CIMENTO DE 50 KG, EM CAMINHÃO CARROCERIA 9T. AF_02/2026</t>
  </si>
  <si>
    <t>CARGA, MANOBRA E DESCARGA MANUAL DE TIJOLO MACIÇO, EM CAMINHÃO CARROCERIA 15T. AF_02/2026</t>
  </si>
  <si>
    <t>CARGA, MANOBRA E DESCARGA MANUAL DE TIJOLO MACIÇO, EM CAMINHÃO CARROCERIA 9T. AF_02/2026</t>
  </si>
  <si>
    <t>CARGA, MANOBRA E DESCARGA MANUAL DE TUBOS PLÁSTICOS, DN 150 MM, EM CAMINHÃO CARROCERIA 15T. AF_02/2026</t>
  </si>
  <si>
    <t>CARGA, MANOBRA E DESCARGA MANUAL DE TUBOS PLÁSTICOS, DN 150 MM, EM CAMINHÃO CARROCERIA 9T. AF_02/2026</t>
  </si>
  <si>
    <t>CARGA, MANOBRA E DESCARGA MANUAL DE TUBOS PLÁSTICOS, DN 200 MM, EM CAMINHÃO CARROCERIA 15T. AF_02/2026</t>
  </si>
  <si>
    <t>CARGA, MANOBRA E DESCARGA MANUAL DE TUBOS PLÁSTICOS, DN 200 MM, EM CAMINHÃO CARROCERIA 9T. AF_02/2026</t>
  </si>
  <si>
    <t>CARGA, MANOBRA E DESCARGA MANUAL DE TUBOS PLÁSTICOS, DN MENOR OU IGUAL A 100 MM, EM CAMINHÃO CARROCERIA 15T. AF_02/2026</t>
  </si>
  <si>
    <t>CARGA, MANOBRA E DESCARGA MANUAL DE TUBOS PLÁSTICOS, DN MENOR OU IGUAL A 100 MM, EM CAMINHÃO CARROCERIA 9T. AF_02/2026</t>
  </si>
  <si>
    <t>CARGA, MANOBRA E DESCARGA MECANIZADA DE PALETES, EM CAMINHÃO CARROCERIA 15T. AF_02/2026</t>
  </si>
  <si>
    <t>CARGA, MANOBRA E DESCARGA MECANIZADA DE PALETES, EM CAMINHÃO CARROCERIA 9T. AF_02/2026</t>
  </si>
  <si>
    <t>TRANSPORTE COM CAMINHÃO BASCULANTE DE 10 M³, EM VIA INTERNA (DENTRO DO CANTEIRO - UNIDADE: M3XKM). AF_02/2026</t>
  </si>
  <si>
    <t>TRANSPORTE COM CAMINHÃO BASCULANTE DE 10 M³, EM VIA INTERNA A OBRA (UNIDADE: TXKM). AF_02/2026</t>
  </si>
  <si>
    <t>TRANSPORTE COM CAMINHÃO BASCULANTE DE 10 M³, EM VIA URBANA EM LEITO NATURAL (UNIDADE: M3XKM). AF_02/2026</t>
  </si>
  <si>
    <t>TRANSPORTE COM CAMINHÃO BASCULANTE DE 10 M³, EM VIA URBANA EM LEITO NATURAL (UNIDADE: TXKM). AF_02/2026</t>
  </si>
  <si>
    <t>TRANSPORTE COM CAMINHÃO BASCULANTE DE 10 M³, EM VIA URBANA EM REVESTIMENTO PRIMÁRIO (UNIDADE: M3XKM). AF_02/2026</t>
  </si>
  <si>
    <t>TRANSPORTE COM CAMINHÃO BASCULANTE DE 10 M³, EM VIA URBANA EM REVESTIMENTO PRIMÁRIO (UNIDADE: TXKM). AF_02/2026</t>
  </si>
  <si>
    <t>TRANSPORTE COM CAMINHÃO BASCULANTE DE 10 M³, EM VIA URBANA PAVIMENTADA, ADICIONAL PARA DMT EXCEDENTE A 30 KM (UNIDADE: M3XKM). AF_02/2026</t>
  </si>
  <si>
    <t>TRANSPORTE COM CAMINHÃO BASCULANTE DE 10 M³, EM VIA URBANA PAVIMENTADA, ADICIONAL PARA DMT EXCEDENTE A 30 KM (UNIDADE: TXKM). AF_02/2026</t>
  </si>
  <si>
    <t>TRANSPORTE COM CAMINHÃO BASCULANTE DE 10 M³, EM VIA URBANA PAVIMENTADA, DMT ATÉ 30 KM (UNIDADE: M3XKM). AF_02/2026</t>
  </si>
  <si>
    <t>TRANSPORTE COM CAMINHÃO BASCULANTE DE 10 M³, EM VIA URBANA PAVIMENTADA, DMT ATÉ 30 KM (UNIDADE: TXKM). AF_02/2026</t>
  </si>
  <si>
    <t>TRANSPORTE COM CAMINHÃO BASCULANTE DE 14 M³, EM VIA INTERNA (DENTRO DO CANTEIRO - UNIDADE: TXKM). AF_02/2026</t>
  </si>
  <si>
    <t>TRANSPORTE COM CAMINHÃO BASCULANTE DE 14 M³, EM VIA INTERNA (DENTRO DO CANTEIRO - UNIDADE:M3XKM). AF_02/2026</t>
  </si>
  <si>
    <t>TRANSPORTE COM CAMINHÃO BASCULANTE DE 14 M³, EM VIA URBANA EM LEITO NATURAL (UNIDADE: M3XKM). AF_02/2026</t>
  </si>
  <si>
    <t>TRANSPORTE COM CAMINHÃO BASCULANTE DE 14 M³, EM VIA URBANA EM LEITO NATURAL (UNIDADE: TXKM). AF_02/2026</t>
  </si>
  <si>
    <t>TRANSPORTE COM CAMINHÃO BASCULANTE DE 14 M³, EM VIA URBANA EM REVESTIMENTO PRIMÁRIO (UNIDADE: M3XKM). AF_02/2026</t>
  </si>
  <si>
    <t>TRANSPORTE COM CAMINHÃO BASCULANTE DE 14 M³, EM VIA URBANA EM REVESTIMENTO PRIMÁRIO (UNIDADE: TXKM). AF_02/2026</t>
  </si>
  <si>
    <t>TRANSPORTE COM CAMINHÃO BASCULANTE DE 14 M³, EM VIA URBANA PAVIMENTADA, ADICIONAL PARA DMT EXCEDENTE A 30 KM (UNIDADE: M3XKM). AF_02/2026</t>
  </si>
  <si>
    <t>TRANSPORTE COM CAMINHÃO BASCULANTE DE 14 M³, EM VIA URBANA PAVIMENTADA, ADICIONAL PARA DMT EXCEDENTE A 30 KM (UNIDADE: TXKM). AF_02/2026</t>
  </si>
  <si>
    <t>TRANSPORTE COM CAMINHÃO BASCULANTE DE 14 M³, EM VIA URBANA PAVIMENTADA, DMT ATÉ 30 KM (UNIDADE: M3XKM). AF_02/2026</t>
  </si>
  <si>
    <t>TRANSPORTE COM CAMINHÃO BASCULANTE DE 14 M³, EM VIA URBANA PAVIMENTADA, DMT ATÉ 30 KM (UNIDADE: TXKM). AF_02/2026</t>
  </si>
  <si>
    <t>TRANSPORTE COM CAMINHÃO BASCULANTE DE 18 M³, EM VIA INTERNA (DENTRO DO CANTEIRO - UNIDADE: M3XKM). AF_02/2026</t>
  </si>
  <si>
    <t>TRANSPORTE COM CAMINHÃO BASCULANTE DE 18 M³, EM VIA INTERNA (DENTRO DO CANTEIRO - UNIDADE: TXKM). AF_02/2026</t>
  </si>
  <si>
    <t>TRANSPORTE COM CAMINHÃO BASCULANTE DE 18 M³, EM VIA URBANA EM LEITO NATURAL (UNIDADE: M3XKM). AF_02/2026</t>
  </si>
  <si>
    <t>TRANSPORTE COM CAMINHÃO BASCULANTE DE 18 M³, EM VIA URBANA EM LEITO NATURAL (UNIDADE: TXKM). AF_02/2026</t>
  </si>
  <si>
    <t>TRANSPORTE COM CAMINHÃO BASCULANTE DE 18 M³, EM VIA URBANA EM REVESTIMENTO PRIMÁRIO (UNIDADE: M3XKM). AF_02/2026</t>
  </si>
  <si>
    <t>TRANSPORTE COM CAMINHÃO BASCULANTE DE 18 M³, EM VIA URBANA EM REVESTIMENTO PRIMÁRIO (UNIDADE: TXKM). AF_02/2026</t>
  </si>
  <si>
    <t>TRANSPORTE COM CAMINHÃO BASCULANTE DE 18 M³, EM VIA URBANA PAVIMENTADA, ADICIONAL PARA DMT EXCEDENTE A 30 KM (UNIDADE: M3XKM). AF_02/2026</t>
  </si>
  <si>
    <t>TRANSPORTE COM CAMINHÃO BASCULANTE DE 18 M³, EM VIA URBANA PAVIMENTADA, ADICIONAL PARA DMT EXCEDENTE A 30 KM (UNIDADE: TXKM). AF_02/2026</t>
  </si>
  <si>
    <t>TRANSPORTE COM CAMINHÃO BASCULANTE DE 18 M³, EM VIA URBANA PAVIMENTADA, DMT ATÉ 30 KM (UNIDADE: M3XKM). AF_02/2026</t>
  </si>
  <si>
    <t>TRANSPORTE COM CAMINHÃO BASCULANTE DE 18 M³, EM VIA URBANA PAVIMENTADA, DMT ATÉ 30 KM (UNIDADE: TXKM). AF_02/2026</t>
  </si>
  <si>
    <t>TRANSPORTE COM CAMINHÃO BASCULANTE DE 6 M³, EM VIA INTERNA (DENTRO DO CANTEIRO - UNIDADE: M3XKM). AF_02/2026</t>
  </si>
  <si>
    <t>TRANSPORTE COM CAMINHÃO BASCULANTE DE 6 M³, EM VIA INTERNA (DENTRO DO CANTEIRO - UNIDADE: TXKM). AF_02/2026</t>
  </si>
  <si>
    <t>TRANSPORTE COM CAMINHÃO BASCULANTE DE 6 M³, EM VIA URBANA EM LEITO NATURAL (UNIDADE: M3XKM). AF_02/2026</t>
  </si>
  <si>
    <t>TRANSPORTE COM CAMINHÃO BASCULANTE DE 6 M³, EM VIA URBANA EM LEITO NATURAL (UNIDADE: TXKM). AF_02/2026</t>
  </si>
  <si>
    <t>TRANSPORTE COM CAMINHÃO BASCULANTE DE 6 M³, EM VIA URBANA EM REVESTIMENTO PRIMÁRIO (UNIDADE: M3XKM). AF_02/2026</t>
  </si>
  <si>
    <t>TRANSPORTE COM CAMINHÃO BASCULANTE DE 6 M³, EM VIA URBANA EM REVESTIMENTO PRIMÁRIO (UNIDADE: TXKM). AF_02/2026</t>
  </si>
  <si>
    <t>TRANSPORTE COM CAMINHÃO BASCULANTE DE 6 M³, EM VIA URBANA PAVIMENTADA, ADICIONAL PARA DMT EXCEDENTE A 30 KM (UNIDADE: M3XKM). AF_02/2026</t>
  </si>
  <si>
    <t>TRANSPORTE COM CAMINHÃO BASCULANTE DE 6 M³, EM VIA URBANA PAVIMENTADA, ADICIONAL PARA DMT EXCEDENTE A 30 KM (UNIDADE: TXKM). AF_02/2026</t>
  </si>
  <si>
    <t>TRANSPORTE COM CAMINHÃO BASCULANTE DE 6 M³, EM VIA URBANA PAVIMENTADA, DMT ATÉ 30 KM (UNIDADE: M3XKM). AF_02/2026</t>
  </si>
  <si>
    <t>TRANSPORTE COM CAMINHÃO BASCULANTE DE 6 M³, EM VIA URBANA PAVIMENTADA, DMT ATÉ 30 KM (UNIDADE: TXKM). AF_02/2026</t>
  </si>
  <si>
    <t>TRANSPORTE COM CAMINHÃO CARROCERIA 15T DE 10 M³, EM VIA INTERNA (DENTRO DO CANTEIRO) (UNIDADE: TXKM). AF_02/2026</t>
  </si>
  <si>
    <t>TRANSPORTE COM CAMINHÃO CARROCERIA 15T DE 10 M³, EM VIA URBANA EM LEITO NATURAL (UNIDADE: TXKM). AF_02/2026</t>
  </si>
  <si>
    <t>TRANSPORTE COM CAMINHÃO CARROCERIA 15T DE 10 M³, EM VIA URBANA EM REVESTIMENTO PRIMÁRIO (UNIDADE: TXKM). AF_02/2026</t>
  </si>
  <si>
    <t>TRANSPORTE COM CAMINHÃO CARROCERIA 15T DE 10 M³, EM VIA URBANA PAVIMENTADA, ADICIONAL PARA DMT EXCEDENTE A 30 KM (UNIDADE: TXKM). AF_02/2026</t>
  </si>
  <si>
    <t>TRANSPORTE COM CAMINHÃO CARROCERIA 15T DE 10 M³, EM VIA URBANA PAVIMENTADA, DMT ATÉ 30KM (UNIDADE: TXKM). AF_02/2026</t>
  </si>
  <si>
    <t>TRANSPORTE COM CAMINHÃO CARROCERIA 9T, EM VIA INTERNA (DENTRO DO CANTEIRO - UNIDADE: TXKM). AF_02/2026</t>
  </si>
  <si>
    <t>TRANSPORTE COM CAMINHÃO CARROCERIA 9T, EM VIA URBANA EM LEITO NATURAL (UNIDADE: TXKM). AF_02/2026</t>
  </si>
  <si>
    <t>TRANSPORTE COM CAMINHÃO CARROCERIA 9T, EM VIA URBANA EM REVESTIMENTO PRIMÁRIO (UNIDADE: TXKM). AF_02/2026</t>
  </si>
  <si>
    <t>TRANSPORTE COM CAMINHÃO CARROCERIA 9T, EM VIA URBANA PAVIMENTADA, ADICIONAL PARA DMT EXCEDENTE A 30 KM (UNIDADE: TXKM). AF_02/2026</t>
  </si>
  <si>
    <t>TRANSPORTE COM CAMINHÃO CARROCERIA 9T, EM VIA URBANA PAVIMENTADA, DMT ATÉ 30KM (UNIDADE: TXKM). AF_02/2026</t>
  </si>
  <si>
    <t>TRANSPORTE COM CAMINHÃO CARROCERIA COM GUINDAUTO (MUNCK), MOMENTO MÁXIMO DE CARGA 11,7 TM, EM VIA INTERNA (DENTRO DO CANTEIRO - UNIDADE: TXKM). AF_02/2026</t>
  </si>
  <si>
    <t>TRANSPORTE COM CAMINHÃO CARROCERIA COM GUINDAUTO (MUNCK), MOMENTO MÁXIMO DE CARGA 11,7 TM, EM VIA URBANA EM LEITO NATURAL (UNIDADE: TXKM). AF_02/2026</t>
  </si>
  <si>
    <t>TRANSPORTE COM CAMINHÃO CARROCERIA COM GUINDAUTO (MUNCK), MOMENTO MÁXIMO DE CARGA 11,7 TM, EM VIA URBANA EM REVESTIMENTO PRIMÁRIO (UNIDADE: TXKM). AF_02/2026</t>
  </si>
  <si>
    <t>TRANSPORTE COM CAMINHÃO CARROCERIA COM GUINDAUTO (MUNCK), MOMENTO MÁXIMO DE CARGA 11,7 TM, EM VIA URBANA PAVIMENTADA, ADICIONAL PARA DMT EXCEDENTE A 30 KM (UNIDADE: TXKM). AF_02/2026</t>
  </si>
  <si>
    <t>TRANSPORTE COM CAMINHÃO CARROCERIA COM GUINDAUTO (MUNCK), MOMENTO MÁXIMO DE CARGA 11,7 TM, EM VIA URBANA PAVIMENTADA, DMT ATÉ 30KM (UNIDADE: TXKM). AF_02/2026</t>
  </si>
  <si>
    <t>TRANSPORTE COM CAMINHÃO CARROCERIA COM GUINDAUTO (MUNCK), MOMENTO MÁXIMO DE CARGA 42,3 TM, EM VIA INTERNA (DENTRO DO CANTEIRO) (UNIDADE: TXKM). AF_02/2026</t>
  </si>
  <si>
    <t>TRANSPORTE COM CAMINHÃO CARROCERIA COM GUINDAUTO (MUNCK), MOMENTO MÁXIMO DE CARGA 42,3 TM, EM VIA URBANA EM LEITO NATURAL (UNIDADE: TXKM). AF_02/2026</t>
  </si>
  <si>
    <t>TRANSPORTE COM CAMINHÃO CARROCERIA COM GUINDAUTO (MUNCK), MOMENTO MÁXIMO DE CARGA 42,3 TM, EM VIA URBANA EM REVESTIMENTO PRIMÁRIO (UNIDADE: TXKM). AF_02/2026</t>
  </si>
  <si>
    <t>TRANSPORTE COM CAMINHÃO CARROCERIA COM GUINDAUTO (MUNCK), MOMENTO MÁXIMO DE CARGA 42,3 TM, EM VIA URBANA PAVIMENTADA, ADICIONAL PARA DMT EXCEDENTE A 30 KM (UNIDADE: TXKM). AF_02/2026</t>
  </si>
  <si>
    <t>TRANSPORTE COM CAMINHÃO CARROCERIA COM GUINDAUTO (MUNCK), MOMENTO MÁXIMO DE CARGA 42,3 TM, EM VIA URBANA PAVIMENTADA, DMT ATÉ 30KM (UNIDADE: TXKM). AF_02/2026</t>
  </si>
  <si>
    <t>TRANSPORTE COM CAMINHÃO PIPA DE 10 M³, EM VIA INTERNA (DENTRO DO CANTEIRO - UNIDADE: M3XKM). AF_02/2026</t>
  </si>
  <si>
    <t>TRANSPORTE COM CAMINHÃO PIPA DE 10 M³, EM VIA URBANA EM LEITO NATURAL (UNIDADE: M3XKM). AF_02/2026</t>
  </si>
  <si>
    <t>TRANSPORTE COM CAMINHÃO PIPA DE 10 M³, EM VIA URBANA EM REVESTIMENTO PRIMÁRIO (UNIDADE: M3XKM). AF_02/2026</t>
  </si>
  <si>
    <t>TRANSPORTE COM CAMINHÃO PIPA DE 10 M³, EM VIA URBANA PAVIMENTADA, ADICIONAL PARA DMT EXCEDENTE A 30 KM (UNIDADE: M3XKM). AF_02/2026</t>
  </si>
  <si>
    <t>TRANSPORTE COM CAMINHÃO PIPA DE 10 M³, EM VIA URBANA PAVIMENTADA, DMT ATÉ 30KM (UNIDADE: M3XKM). AF_02/2026</t>
  </si>
  <si>
    <t>TRANSPORTE COM CAMINHÃO PIPA DE 14 M³, EM VIA INTERNA (DENTRO DO CANTEIRO) (UNIDADE: M³XKM). AF_02/2026</t>
  </si>
  <si>
    <t>TRANSPORTE COM CAMINHÃO PIPA DE 14 M³, EM VIA URBANA EM LEITO NATURAL (UNIDADE: M³XKM). AF_02/2026</t>
  </si>
  <si>
    <t>TRANSPORTE COM CAMINHÃO PIPA DE 14 M³, EM VIA URBANA EM REVESTIMENTO PRIMÁRIO (UNIDADE: M³XKM). AF_02/2026</t>
  </si>
  <si>
    <t>TRANSPORTE COM CAMINHÃO PIPA DE 14 M³, EM VIA URBANA PAVIMENTADA, ADICIONAL PARA DMT EXCEDENTE A 30 KM (UNIDADE: M³XKM). AF_02/2026</t>
  </si>
  <si>
    <t>TRANSPORTE COM CAMINHÃO PIPA DE 14 M³, EM VIA URBANA PAVIMENTADA, DMT ATÉ 30KM (UNIDADE: M³XKM). AF_02/2026</t>
  </si>
  <si>
    <t>TRANSPORTE COM CAMINHÃO PIPA DE 6 M³, EM VIA INTERNA (DENTRO DO CANTEIRO - UNIDADE: M3XKM). AF_02/2026</t>
  </si>
  <si>
    <t>TRANSPORTE COM CAMINHÃO PIPA DE 6 M³, EM VIA URBANA EM LEITO NATURAL (UNIDADE: M3XKM). AF_02/2026</t>
  </si>
  <si>
    <t>TRANSPORTE COM CAMINHÃO PIPA DE 6 M³, EM VIA URBANA EM REVESTIMENTO PRIMÁRIO (UNIDADE: M3XKM). AF_02/2026</t>
  </si>
  <si>
    <t>TRANSPORTE COM CAMINHÃO PIPA DE 6 M³, EM VIA URBANA PAVIMENTADA, ADICIONAL PARA DMT EXCEDENTE A 30 KM (UNIDADE: M3XKM). AF_02/2026</t>
  </si>
  <si>
    <t>TRANSPORTE COM CAMINHÃO PIPA DE 6 M³, EM VIA URBANA PAVIMENTADA, DMT ATÉ 30KM (UNIDADE: M3XKM). AF_02/2026</t>
  </si>
  <si>
    <t>TRANSPORTE COM CAMINHÃO POLIGUINDASTE SIMPLES 8 T DE 8 M³, EM VIA INTERNA (DENTRO DO CANTEIRO) (UNIDADE: M³XKM). AF_02/2026</t>
  </si>
  <si>
    <t>TRANSPORTE COM CAMINHÃO POLIGUINDASTE SIMPLES 8 T DE 8 M³, EM VIA URBANA EM LEITO NATURAL (UNIDADE: M³XKM). AF_02/2026</t>
  </si>
  <si>
    <t>TRANSPORTE COM CAMINHÃO POLIGUINDASTE SIMPLES 8 T DE 8 M³, EM VIA URBANA EM REVESTIMENTO PRIMÁRIO (UNIDADE: M³XKM). AF_02/2026</t>
  </si>
  <si>
    <t>TRANSPORTE COM CAMINHÃO POLIGUINDASTE SIMPLES 8 T DE 8 M³, EM VIA URBANA PAVIMENTADA, ADICIONAL PARA DMT EXCEDENTE A 30 KM (UNIDADE: M³XKM). AF_02/2026</t>
  </si>
  <si>
    <t>TRANSPORTE COM CAMINHÃO POLIGUINDASTE SIMPLES 8 T DE 8 M³, EM VIA URBANA PAVIMENTADA, DMT ATÉ 30KM (UNIDADE: M³XKM). AF_02/2026</t>
  </si>
  <si>
    <t>TRANSPORTE COM CAMINHÃO TANQUE DE TRANSPORTE DE MATERIAL ASFÁLTICO DE 20000 L, EM VIA URBANA EM LEITO NATURAL (UNIDADE: TXKM). AF_02/2026</t>
  </si>
  <si>
    <t>TRANSPORTE COM CAMINHÃO TANQUE DE TRANSPORTE DE MATERIAL ASFÁLTICO DE 20000 L, EM VIA URBANA EM REVESTIMENTO PRIMÁRIO (UNIDADE: TXKM). AF_02/2026</t>
  </si>
  <si>
    <t>TRANSPORTE COM CAMINHÃO TANQUE DE TRANSPORTE DE MATERIAL ASFÁLTICO DE 20000 L, EM VIA URBANA PAVIMENTADA, ADICIONAL PARA DMT EXCEDENTE A 30 KM (UNIDADE: TXKM). AF_02/2026</t>
  </si>
  <si>
    <t>TRANSPORTE COM CAMINHÃO TANQUE DE TRANSPORTE DE MATERIAL ASFÁLTICO DE 20000 L, EM VIA URBANA PAVIMENTADA, DMT ATÉ 30KM (UNIDADE: TXKM). AF_02/2026</t>
  </si>
  <si>
    <t>TRANSPORTE COM CAMINHÃO TANQUE DE TRANSPORTE DE MATERIAL ASFÁLTICO DE 30000 L, EM VIA URBANA EM LEITO NATURAL (UNIDADE: TXKM). AF_02/2026</t>
  </si>
  <si>
    <t>TRANSPORTE COM CAMINHÃO TANQUE DE TRANSPORTE DE MATERIAL ASFÁLTICO DE 30000 L, EM VIA URBANA EM REVESTIMENTO PRIMÁRIO (UNIDADE: TXKM). AF_02/2026</t>
  </si>
  <si>
    <t>TRANSPORTE COM CAMINHÃO TANQUE DE TRANSPORTE DE MATERIAL ASFÁLTICO DE 30000 L, EM VIA URBANA PAVIMENTADA, ADICIONAL PARA DMT EXCEDENTE A 30 KM (UNIDADE: TXKM). AF_02/2026</t>
  </si>
  <si>
    <t>TRANSPORTE COM CAMINHÃO TANQUE DE TRANSPORTE DE MATERIAL ASFÁLTICO DE 30000 L, EM VIA URBANA PAVIMENTADA, DMT ATÉ 30KM (UNIDADE: TXKM). AF_02/2026</t>
  </si>
  <si>
    <t>TRANSPORTE COM CAVALO MECÂNICO E SEMIRREBOQUE 30 T, EM VIA INTERNA (DENTRO DO CANTEIRO) (UNIDADE: TXKM). AF_02/2026</t>
  </si>
  <si>
    <t>TRANSPORTE COM CAVALO MECÂNICO E SEMIRREBOQUE 30 T, EM VIA URBANA EM LEITO NATURAL (UNIDADE: TXKM). AF_02/2026</t>
  </si>
  <si>
    <t>TRANSPORTE COM CAVALO MECÂNICO E SEMIRREBOQUE 30 T, EM VIA URBANA EM REVESTIMENTO PRIMÁRIO (UNIDADE: TXKM). AF_02/2026</t>
  </si>
  <si>
    <t>TRANSPORTE COM CAVALO MECÂNICO E SEMIRREBOQUE 30 T, EM VIA URBANA PAVIMENTADA, ADICIONAL PARA DMT EXCEDENTE A 30 KM (UNIDADE: TXKM). AF_02/2026</t>
  </si>
  <si>
    <t>TRANSPORTE COM CAVALO MECÂNICO E SEMIRREBOQUE 30 T, EM VIA URBANA PAVIMENTADA, DMT ATÉ 30KM (UNIDADE: TXKM). AF_02/2026</t>
  </si>
  <si>
    <t>PAVIMENTO COM TRATAMENTO SUPERFICIAL DUPLO, COM CAP 150/200 E ROLO COMPACTADOR DE PNEUS. AF_11/2025</t>
  </si>
  <si>
    <t>PAVIMENTO COM TRATAMENTO SUPERFICIAL DUPLO, COM CAP 150/200 E ROLO COMPACTADOR TANDEM. AF_11/2025</t>
  </si>
  <si>
    <t>PAVIMENTO COM TRATAMENTO SUPERFICIAL DUPLO, COM EMULSÃO ASFÁLTICA RR-2C E ROLO COMPACTADOR DE PNEUS. AF_11/2025</t>
  </si>
  <si>
    <t>PAVIMENTO COM TRATAMENTO SUPERFICIAL DUPLO, COM EMULSÃO ASFÁLTICA RR-2C E ROLO COMPACTADOR TANDEM. AF_11/2025</t>
  </si>
  <si>
    <t>PAVIMENTO COM TRATAMENTO SUPERFICIAL DUPLO, COM EMULSÃO ASFÁLTICA RR-2C, COM BANHO DILUÍDO E ROLO COMPACTADOR DE PNEUS. AF_11/2025</t>
  </si>
  <si>
    <t>PAVIMENTO COM TRATAMENTO SUPERFICIAL DUPLO, COM EMULSÃO ASFÁLTICA RR-2C, COM BANHO DILUÍDO E ROLO COMPACTADOR TANDEM. AF_11/2025</t>
  </si>
  <si>
    <t>PAVIMENTO COM TRATAMENTO SUPERFICIAL DUPLO, COM EMULSÃO ASFÁLTICA RR-2C, COM CAPA SELANTE E ROLO COMPACTADOR DE PNEUS. AF_11/2025</t>
  </si>
  <si>
    <t>PAVIMENTO COM TRATAMENTO SUPERFICIAL DUPLO, COM EMULSÃO ASFÁLTICA RR-2C, COM CAPA SELANTE E ROLO COMPACTADOR TANDEM. AF_11/2025</t>
  </si>
  <si>
    <t>PAVIMENTO COM TRATAMENTO SUPERFICIAL SIMPLES, COM CAP 150/200 E ROLO COMPACTADOR DE PNEUS. AF_11/2025</t>
  </si>
  <si>
    <t>PAVIMENTO COM TRATAMENTO SUPERFICIAL SIMPLES, COM CAP 150/200 E ROLO COMPACTADOR TANDEM. AF_11/2025</t>
  </si>
  <si>
    <t>PAVIMENTO COM TRATAMENTO SUPERFICIAL SIMPLES, COM EMULSÃO ASFÁLTICA RR-2C E ROLO COMPACTADOR DE PNEUS. AF_11/2025</t>
  </si>
  <si>
    <t>PAVIMENTO COM TRATAMENTO SUPERFICIAL SIMPLES, COM EMULSÃO ASFÁLTICA RR-2C E ROLO COMPACTADOR TANDEM. AF_11/2025</t>
  </si>
  <si>
    <t>PAVIMENTO COM TRATAMENTO SUPERFICIAL SIMPLES, COM EMULSÃO ASFÁLTICA RR-2C, COM BANHO DILUÍDO E ROLO COMPACTADOR DE PNEUS. AF_11/2025</t>
  </si>
  <si>
    <t>PAVIMENTO COM TRATAMENTO SUPERFICIAL SIMPLES, COM EMULSÃO ASFÁLTICAA RR-2C, COM BANHO DILUÍDO E ROLO COMPACTADOR TANDEM. AF_11/2025</t>
  </si>
  <si>
    <t>PAVIMENTO COM TRATAMENTO SUPERFICIAL TRIPLO, COM CAP 150/200 E ROLO COMPACTADOR DE PNEUS. AF_11/2025</t>
  </si>
  <si>
    <t>PAVIMENTO COM TRATAMENTO SUPERFICIAL TRIPLO, COM CAP 150/200 E ROLO COMPACTADOR TANDEM. AF_11/2025</t>
  </si>
  <si>
    <t>PAVIMENTO COM TRATAMENTO SUPERFICIAL TRIPLO, COM EMULSÃO ASFÁLTICA RR-2C E ROLO COMPACTADOR DE PNEUS. AF_11/2025</t>
  </si>
  <si>
    <t>PAVIMENTO COM TRATAMENTO SUPERFICIAL TRIPLO, COM EMULSÃO ASFÁLTICA RR-2C E ROLO COMPACTADOR TANDEM. AF_11/2025</t>
  </si>
  <si>
    <t>PAVIMENTO COM TRATAMENTO SUPERFICIAL TRIPLO, COM EMULSÃO ASFÁLTICA RR-2C, COM BANHO DILUÍDO E ROLO COMPACTADOR DE PNEUS. AF_11/2025</t>
  </si>
  <si>
    <t>PAVIMENTO COM TRATAMENTO SUPERFICIAL TRIPLO, COM EMULSÃO ASFÁLTICA RR-2C, COM BANHO DILUÍDO E ROLO COMPACTADOR TANDEM. AF_11/2025</t>
  </si>
  <si>
    <t>PAVIMENTO COM TRATAMENTO SUPERFICIAL TRIPLO, COM EMULSÃO ASFÁLTICA RR-2C, COM CAPA SELANTE E ROLO COMPACTADOR DE PNEUS. AF_11/2025</t>
  </si>
  <si>
    <t>PAVIMENTO COM TRATAMENTO SUPERFICIAL TRIPLO, COM EMULSÃO ASFÁLTICA RR-2C, COM CAPA SELANTE E ROLO COMPACTADOR TANDEM. AF_11/2025</t>
  </si>
  <si>
    <t>ACOMPANHAMENTO TOPOGRAFICO PARA EXECUÇÃO DE TUNNEL LINER EM CHAPA GALVANIZADA. AF_10/2025</t>
  </si>
  <si>
    <t>CHAPA GALVANIZADA COM OU SEM REVESTIMENTO EPÓXI, DIÂMETRO 1,4 M, ESPESSURA DE 2,2 MM, PARA TUNNEL LINER HORIZONTAL - FORNECIMENTO E INSTALAÇÃO. AF_10/2025</t>
  </si>
  <si>
    <t>CHAPA GALVANIZADA COM OU SEM REVESTIMENTO EPÓXI, DIÂMETRO 1,4 M, ESPESSURA DE 2,7 MM, PARA TUNNEL LINER HORIZONTAL - FORNECIMENTO E INSTALAÇÃO. AF_10/2025</t>
  </si>
  <si>
    <t>CHAPA GALVANIZADA COM OU SEM REVESTIMENTO EPÓXI, DIÂMETRO 1,6 M, ESPESSURA DE 2,2 MM, PARA TUNNEL LINER HORIZONTAL - FORNECIMENTO E INSTALAÇÃO. AF_10/2025</t>
  </si>
  <si>
    <t>CHAPA GALVANIZADA COM OU SEM REVESTIMENTO EPÓXI, DIÂMETRO 1,6 M, ESPESSURA DE 2,7 MM, PARA TUNNEL LINER HORIZONTAL - FORNECIMENTO E INSTALAÇÃO. AF_10/2025</t>
  </si>
  <si>
    <t>CHAPA GALVANIZADA COM OU SEM REVESTIMENTO EPÓXI, DIÂMETRO 1,8 M, ESPESSURA DE 2,2 MM, PARA TUNNEL LINER HORIZONTAL - FORNECIMENTO E INSTALAÇÃO. AF_10/2025</t>
  </si>
  <si>
    <t>CHAPA GALVANIZADA COM OU SEM REVESTIMENTO EPÓXI, DIÂMETRO 1,8 M, ESPESSURA DE 2,7 MM, PARA TUNNEL LINER HORIZONTAL - FORNECIMENTO E INSTALAÇÃO. AF_10/2025</t>
  </si>
  <si>
    <t>CHAPA GALVANIZADA COM OU SEM REVESTIMENTO EPÓXI, DIÂMETRO 1,8 M, ESPESSURA DE 3,4 MM, PARA TUNNEL LINER HORIZONTAL - FORNECIMENTO E INSTALAÇÃO. AF_10/2025</t>
  </si>
  <si>
    <t>CHAPA GALVANIZADA COM OU SEM REVESTIMENTO EPÓXI, DIÂMETRO 2 M, ESPESSURA DE 2,2 MM, PARA TUNNEL LINER HORIZONTAL - FORNECIMENTO E INSTALAÇÃO. AF_10/2025</t>
  </si>
  <si>
    <t>CHAPA GALVANIZADA COM OU SEM REVESTIMENTO EPÓXI, DIÂMETRO 2 M, ESPESSURA DE 2,7 MM, PARA TUNNEL LINER HORIZONTAL - FORNECIMENTO E INSTALAÇÃO. AF_10/2025</t>
  </si>
  <si>
    <t>CHAPA GALVANIZADA COM OU SEM REVESTIMENTO EPÓXI, DIÂMETRO 2 M, ESPESSURA DE 3,4 MM, PARA TUNNEL LINER HORIZONTAL - FORNECIMENTO E INSTALAÇÃO. AF_10/2025</t>
  </si>
  <si>
    <t>CHAPA GALVANIZADA COM OU SEM REVESTIMENTO EPÓXI, DIÂMETRO 2,2 M, ESPESSURA DE 2,2 MM, PARA TUNNEL LINER HORIZONTAL - FORNECIMENTO E INSTALAÇÃO. AF_10/2025</t>
  </si>
  <si>
    <t>CHAPA GALVANIZADA COM OU SEM REVESTIMENTO EPÓXI, DIÂMETRO 2,2 M, ESPESSURA DE 2,7 MM, PARA TUNNEL LINER HORIZONTAL - FORNECIMENTO E INSTALAÇÃO. AF_10/2025</t>
  </si>
  <si>
    <t>CHAPA GALVANIZADA COM OU SEM REVESTIMENTO EPÓXI, DIÂMETRO 2,2 M, ESPESSURA DE 3,4 MM, PARA TUNNEL LINER HORIZONTAL - FORNECIMENTO E INSTALAÇÃO. AF_10/2025</t>
  </si>
  <si>
    <t>CHAPA GALVANIZADA COM OU SEM REVESTIMENTO EPÓXI, DIÂMETRO 2,4 M, ESPESSURA DE 2,2 MM, PARA TUNNEL LINER HORIZONTAL - FORNECIMENTO E INSTALAÇÃO. AF_10/2025</t>
  </si>
  <si>
    <t>CHAPA GALVANIZADA COM OU SEM REVESTIMENTO EPÓXI, DIÂMETRO 2,4 M, ESPESSURA DE 2,7 MM, PARA TUNNEL LINER HORIZONTAL - FORNECIMENTO E INSTALAÇÃO. AF_10/2025</t>
  </si>
  <si>
    <t>CHAPA GALVANIZADA COM OU SEM REVESTIMENTO EPÓXI, DIÂMETRO 2,4 M, ESPESSURA DE 3,4 MM, PARA TUNNEL LINER HORIZONTAL - FORNECIMENTO E INSTALAÇÃO. AF_10/2025</t>
  </si>
  <si>
    <t>CHAPA GALVANIZADA COM OU SEM REVESTIMENTO EPÓXI, DIÂMETRO 2,4 M, ESPESSURA DE 3,9 MM, PARA TUNNEL LINER HORIZONTAL - FORNECIMENTO E INSTALAÇÃO. AF_10/2025</t>
  </si>
  <si>
    <t>CHAPA GALVANIZADA COM OU SEM REVESTIMENTO EPÓXI, DIÂMETRO 2,6 M, ESPESSURA DE 2,2 MM, PARA TUNNEL LINER HORIZONTAL - FORNECIMENTO E INSTALAÇÃO. AF_10/2025</t>
  </si>
  <si>
    <t>CHAPA GALVANIZADA COM OU SEM REVESTIMENTO EPÓXI, DIÂMETRO 2,6 M, ESPESSURA DE 2,7 MM, PARA TUNNEL LINER HORIZONTAL - FORNECIMENTO E INSTALAÇÃO. AF_10/2025</t>
  </si>
  <si>
    <t>CHAPA GALVANIZADA COM OU SEM REVESTIMENTO EPÓXI, DIÂMETRO 2,6 M, ESPESSURA DE 3,4 MM, PARA TUNNEL LINER HORIZONTAL - FORNECIMENTO E INSTALAÇÃO. AF_10/2025</t>
  </si>
  <si>
    <t>CHAPA GALVANIZADA COM OU SEM REVESTIMENTO EPÓXI, DIÂMETRO 2,6 M, ESPESSURA DE 3,9 MM, PARA TUNNEL LINER HORIZONTAL - FORNECIMENTO E INSTALAÇÃO. AF_10/2025</t>
  </si>
  <si>
    <t>CHAPA GALVANIZADA COM OU SEM REVESTIMENTO EPÓXI, DIÂMETRO 2,8 M, ESPESSURA DE 2,2 MM, PARA TUNNEL LINER HORIZONTAL - FORNECIMENTO E INSTALAÇÃO. AF_10/2025</t>
  </si>
  <si>
    <t>CHAPA GALVANIZADA COM OU SEM REVESTIMENTO EPÓXI, DIÂMETRO 2,8 M, ESPESSURA DE 2,7 MM, PARA TUNNEL LINER HORIZONTAL - FORNECIMENTO E INSTALAÇÃO. AF_10/2025</t>
  </si>
  <si>
    <t>CHAPA GALVANIZADA COM OU SEM REVESTIMENTO EPÓXI, DIÂMETRO 2,8 M, ESPESSURA DE 3,4 MM, PARA TUNNEL LINER HORIZONTAL - FORNECIMENTO E INSTALAÇÃO. AF_10/2025</t>
  </si>
  <si>
    <t>CHAPA GALVANIZADA COM OU SEM REVESTIMENTO EPÓXI, DIÂMETRO 2,8 M, ESPESSURA DE 3,9 MM, PARA TUNNEL LINER HORIZONTAL - FORNECIMENTO E INSTALAÇÃO. AF_10/2025</t>
  </si>
  <si>
    <t>CHAPA GALVANIZADA COM OU SEM REVESTIMENTO EPÓXI, DIÂMETRO 3 M, ESPESSURA DE 2,2 MM, PARA TUNNEL LINER HORIZONTAL - FORNECIMENTO E INSTALAÇÃO. AF_10/2025</t>
  </si>
  <si>
    <t>CHAPA GALVANIZADA COM OU SEM REVESTIMENTO EPÓXI, DIÂMETRO 3 M, ESPESSURA DE 2,7 MM, PARA TUNNEL LINER HORIZONTAL OU VERTICAL - FORNECIMENTO E INSTALAÇÃO. AF_10/2025</t>
  </si>
  <si>
    <t>CHAPA GALVANIZADA COM OU SEM REVESTIMENTO EPÓXI, DIÂMETRO 3 M, ESPESSURA DE 3,4 MM, PARA TUNNEL LINER HORIZONTAL - FORNECIMENTO E INSTALAÇÃO. AF_10/2025</t>
  </si>
  <si>
    <t>CHAPA GALVANIZADA COM OU SEM REVESTIMENTO EPÓXI, DIÂMETRO 3 M, ESPESSURA DE 3,9 MM, PARA TUNNEL LINER HORIZONTAL - FORNECIMENTO E INSTALAÇÃO. AF_10/2025</t>
  </si>
  <si>
    <t>CHAPA GALVANIZADA COM OU SEM REVESTIMENTO EPÓXI, DIÂMETRO 3,2 M, ESPESSURA DE 2,7 MM, PARA TUNNEL LINER VERTICAL - FORNECIMENTO E INSTALAÇÃO. AF_10/2025</t>
  </si>
  <si>
    <t>CHAPA GALVANIZADA COM OU SEM REVESTIMENTO EPÓXI, DIÂMETRO 3,4 M, ESPESSURA DE 2,7 MM, PARA TUNNEL LINER VERTICAL - FORNECIMENTO E INSTALAÇÃO. AF_10/2025</t>
  </si>
  <si>
    <t>CHAPA GALVANIZADA COM OU SEM REVESTIMENTO EPÓXI, DIÂMETRO 3,6 M, ESPESSURA DE 2,7 MM, PARA TUNNEL LINER VERTICAL - FORNECIMENTO E INSTALAÇÃO. AF_10/2025</t>
  </si>
  <si>
    <t>CHAPA GALVANIZADA COM OU SEM REVESTIMENTO EPÓXI, DIÂMETRO 3,8 M, ESPESSURA DE 2,7 MM, PARA TUNNEL LINER VERTICAL - FORNECIMENTO E INSTALAÇÃO. AF_10/2025</t>
  </si>
  <si>
    <t>ESCAVAÇÃO MANUAL DE TUNNEL LINER EM SOLO DE PRIMEIRA CATEGORIA. AF_10/2025</t>
  </si>
  <si>
    <t>ESCAVAÇÃO MANUAL DE TUNNEL LINER EM SOLO DE SEGUNDA CATEGORIA. AF_10/2025</t>
  </si>
  <si>
    <t>INJEÇÃO DE ARGAMASSA FLUIDA SOLO CIMENTO NA EXECUÇÃO DE TUNNEL LINER - EXCLUSIVE ARGAMASSA. AF_10/2025</t>
  </si>
  <si>
    <t>VEDAÇÃO COM ESPUMA DURA OU PRODUTO SIMILAR NAS JUNTAS OU EMENDAS DAS CHAPAS DE TUNNEL LINER. AF_10/2025</t>
  </si>
  <si>
    <t>BOX EM L DE CORRER, COM VIDRO TEMPERADO 8 MM, 90X90X190 CM, 2 FOLHAS FIXAS, 2 FOLHAS MÓVEIS, PERFIS E FERRAGENS EM ALUMÍNIO. AF_11/2025</t>
  </si>
  <si>
    <t>BOX FRONTAL DE CORRER, COM VIDRO TEMPERADO 8 MM, 190X100CM, 1 FOLHA FIXA, 1 FOLHA MÓVEL, PERFIS E FERRAGENS EM ALUMÍNIO. AF_11/2025</t>
  </si>
  <si>
    <t>ESPELHO CRISTAL, ESPESSURA 4 MM, ADERIDO COM ADESIVO FIXA ESPELHO E FITA DUPLA-FACE, COM MOLDURA DE MADEIRA APARAFUSADA NA PAREDE, COM ÁREA MAIOR QUE 1,0 M2. AF_11/2025</t>
  </si>
  <si>
    <t>ESPELHO CRISTAL, ESPESSURA 4 MM, ADERIDO COM ADESIVO FIXA ESPELHO FITA DUPLA-FACE, COM MOLDURA DE MADEIRA APARAFUSADA NA PAREDE, COM ÁREA MENOR OU IGUAL A 1,0 M2. AF_11/2025</t>
  </si>
  <si>
    <t>ESPELHO CRISTAL, ESPESSURA 4 MM, ADERIDO COM ADESIVO FIXA ESPELHO, COM MOLDURA DE MADEIRA APARAFUSADA NA PAREDE, COM ÁREA MAIOR QUE 1,0 M2. AF_11/2025</t>
  </si>
  <si>
    <t>ESPELHO CRISTAL, ESPESSURA 4 MM, ADERIDO COM ADESIVO FIXA ESPELHO, COM MOLDURA DE MADEIRA APARAFUSADA NA PAREDE, COM ÁREA MENOR OU IGUAL A 1,0 M2. AF_11/2025</t>
  </si>
  <si>
    <t>ESPELHO CRISTAL, ESPESSURA 4 MM, SEM MOLDURA, ADERIDO COM ADESIVO FIXA ESPELHO E FITA DUPLA-FACE. AF_11/2025</t>
  </si>
  <si>
    <t>ESPELHO CRISTAL, ESPESSURA 4 MM, SEM MOLDURA, ADERIDO COM ADESIVO FIXA ESPELHO. AF_11/2025</t>
  </si>
  <si>
    <t>ESPELHO CRISTAL, ESPESSURA 4 MM, SEM MOLDURA, APARAFUSADO COM BOTÃO DE ROSCA INTERNA, COM ÁREA MAIOR QUE 1,0 M2.. AF_11/2025</t>
  </si>
  <si>
    <t>INSTALAÇÃO DE VIDRO ARAMADO, E = 6 MM, EM ESQUADRIA DE ALUMÍNIO OU PVC, FIXADO COM BAGUETE. AF_11/2025</t>
  </si>
  <si>
    <t>INSTALAÇÃO DE VIDRO ARAMADO, E = 7 MM, EM ESQUADRIA DE ALUMÍNIO OU PVC, FIXADO COM BAGUETE. AF_11/2025</t>
  </si>
  <si>
    <t>INSTALAÇÃO DE VIDRO IMPRESSO, E = 4 MM, EM ESQUADRIA DE ALUMÍNIO OU PVC, FIXADO COM BAGUETE. AF_11/2025</t>
  </si>
  <si>
    <t>INSTALAÇÃO DE VIDRO IMPRESSO, E = 4 MM, EM ESQUADRIA DE MADEIRA, FIXADO COM BAGUETE. AF_11/2025</t>
  </si>
  <si>
    <t>INSTALAÇÃO DE VIDRO LAMINADO, E = 12 MM (4+4+4), ENCAIXADO EM PERFIL U. AF_11/2025</t>
  </si>
  <si>
    <t>INSTALAÇÃO DE VIDRO LAMINADO, E = 12 MM (4+4+4), FIXADO COM SILICONE ESTRUTURAL. AF_11/2025</t>
  </si>
  <si>
    <t>INSTALAÇÃO DE VIDRO LAMINADO, E = 15 MM (5+5+5), ENCAIXADO EM PERFIL U. AF_11/2025</t>
  </si>
  <si>
    <t>INSTALAÇÃO DE VIDRO LAMINADO, E = 15 MM (5+5+5), FIXADO COM SILICONE ESTRUTURAL. AF_11/2025</t>
  </si>
  <si>
    <t>INSTALAÇÃO DE VIDRO LAMINADO, E = 8 MM (4+4), ENCAIXADO EM PERFIL U. AF_11/2025</t>
  </si>
  <si>
    <t>INSTALAÇÃO DE VIDRO LAMINADO, E = 8 MM (4+4), FIXADO COM SILICONE ESTRUTURAL. AF_11/2025</t>
  </si>
  <si>
    <t>INSTALAÇÃO DE VIDRO LISO FUMÊ, E = 4 MM, EM ESQUADRIA DE ALUMÍNIO OU PVC, FIXADO COM BAGUETE. AF_11/2025</t>
  </si>
  <si>
    <t>INSTALAÇÃO DE VIDRO LISO FUMÊ, E = 4 MM, EM ESQUADRIA DE MADEIRA, FIXADO COM BAGUETE. AF_11/2025</t>
  </si>
  <si>
    <t>INSTALAÇÃO DE VIDRO LISO FUMÊ, E = 5 MM, EM ESQUADRIA DE ALUMÍNIO OU PVC, FIXADO COM BAGUETE. AF_11/2025</t>
  </si>
  <si>
    <t>INSTALAÇÃO DE VIDRO LISO FUMÊ, E = 5 MM, EM ESQUADRIA DE MADEIRA, FIXADO COM BAGUETE. AF_11/2025</t>
  </si>
  <si>
    <t>INSTALAÇÃO DE VIDRO LISO FUMÊ, E = 6 MM, EM ESQUADRIA DE ALUMÍNIO OU PVC, FIXADO COM BAGUETE. AF_11/2025</t>
  </si>
  <si>
    <t>INSTALAÇÃO DE VIDRO LISO FUMÊ, E = 6 MM, EM ESQUADRIA DE MADEIRA, FIXADO COM BAGUETE. AF_11/2025</t>
  </si>
  <si>
    <t>INSTALAÇÃO DE VIDRO LISO INCOLOR, E = 10 MM, EM ESQUADRIA DE ALUMÍNIO OU PVC, FIXADO COM BAGUETE. AF_11/2025</t>
  </si>
  <si>
    <t>INSTALAÇÃO DE VIDRO LISO INCOLOR, E = 10 MM, EM ESQUADRIA DE MADEIRA, FIXADO COM BAGUETE. AF_11/2025</t>
  </si>
  <si>
    <t>INSTALAÇÃO DE VIDRO LISO INCOLOR, E = 3 MM, EM ESQUADRIA DE ALUMÍNIO OU PVC, FIXADO COM BAGUETE. AF_11/2025</t>
  </si>
  <si>
    <t>INSTALAÇÃO DE VIDRO LISO INCOLOR, E = 3 MM, EM ESQUADRIA DE MADEIRA, FIXADO COM BAGUETE. AF_11/2025</t>
  </si>
  <si>
    <t>INSTALAÇÃO DE VIDRO LISO INCOLOR, E = 4 MM, EM ESQUADRIA DE ALUMÍNIO OU PVC, FIXADO COM BAGUETE. AF_11/2025</t>
  </si>
  <si>
    <t>INSTALAÇÃO DE VIDRO LISO INCOLOR, E = 4 MM, EM ESQUADRIA DE MADEIRA, FIXADO COM BAGUETE. AF_11/2025</t>
  </si>
  <si>
    <t>INSTALAÇÃO DE VIDRO LISO INCOLOR, E = 5 MM, EM ESQUADRIA DE ALUMÍNIO OU PVC, FIXADO COM BAGUETE. AF_11/2025</t>
  </si>
  <si>
    <t>INSTALAÇÃO DE VIDRO LISO INCOLOR, E = 5 MM, EM ESQUADRIA DE MADEIRA, FIXADO COM BAGUETE. AF_11/2025</t>
  </si>
  <si>
    <t>INSTALAÇÃO DE VIDRO LISO INCOLOR, E = 6 MM, EM ESQUADRIA DE ALUMÍNIO OU PVC, FIXADO COM BAGUETE. AF_11/2025</t>
  </si>
  <si>
    <t>INSTALAÇÃO DE VIDRO LISO INCOLOR, E = 6 MM, EM ESQUADRIA DE MADEIRA, FIXADO COM BAGUETE. AF_11/2025</t>
  </si>
  <si>
    <t>INSTALAÇÃO DE VIDRO LISO INCOLOR, E = 8 MM, EM ESQUADRIA DE ALUMÍNIO OU PVC, FIXADO COM BAGUETE. AF_11/2025</t>
  </si>
  <si>
    <t>INSTALAÇÃO DE VIDRO LISO INCOLOR, E = 8 MM, EM ESQUADRIA DE MADEIRA, FIXADO COM BAGUETE. AF_11/2025</t>
  </si>
  <si>
    <t>INSTALAÇÃO DE VIDRO TEMPERADO, E = 10 MM, ENCAIXADO EM PERFIL U. AF_11/2025</t>
  </si>
  <si>
    <t>INSTALAÇÃO DE VIDRO TEMPERADO, E = 6 MM, ENCAIXADO EM PERFIL U. AF_11/2025</t>
  </si>
  <si>
    <t>INSTALAÇÃO DE VIDRO TEMPERADO, E = 8 MM, ENCAIXADO EM PERFIL U. AF_11/2025</t>
  </si>
  <si>
    <t>JOGO DE FERRAGENS CROMADAS PARA PORTA DE VIDRO TEMPERADO, UMA FOLHA COMPOSTO DE DOBRADICAS SUPERIOR E INFERIOR, TRINCO, FECHADURA, CONTRA FECHADURA COM CAPUCHINHO SEM MOLA E PUXADOR. AF_11/2025</t>
  </si>
  <si>
    <t>MOLA HIDRAULICA DE PISO PARA PORTA DE VIDRO TEMPERADO. AF_11/2025</t>
  </si>
  <si>
    <t>PORTA DE ABRIR COM MOLA HIDRÁULICA, EM VIDRO TEMPERADO, 120X210 CM, ESPESSURA 10 MM, INCLUSIVE ACESSÓRIOS. AF_11/2025</t>
  </si>
  <si>
    <t>PORTA DE ABRIR COM MOLA HIDRÁULICA, EM VIDRO TEMPERADO, 2 FOLHAS DE 90X210 CM, ESPESSURA DE 10 MM, INCLUSIVE ACESSÓRIOS. AF_11/2025</t>
  </si>
  <si>
    <t>PORTA DE ABRIR COM MOLA HIDRÁULICA, EM VIDRO TEMPERADO, 70X210 CM, ESPESSURA 10 MM, INCLUSIVE ACESSÓRIOS. AF_11/2025</t>
  </si>
  <si>
    <t>PORTA DE ABRIR COM MOLA HIDRÁULICA, EM VIDRO TEMPERADO, 80X210 CM, ESPESSURA 10 MM, INCLUSIVE ACESSÓRIOS. AF_11/2025</t>
  </si>
  <si>
    <t>PORTA DE ABRIR COM MOLA HIDRÁULICA, EM VIDRO TEMPERADO, 90X210 CM, ESPESSURA 10 MM, INCLUSIVE ACESSÓRIOS. AF_11/2025</t>
  </si>
  <si>
    <t>PORTA DE CORRER EM VIDRO TEMPERADO, 2 FOLHAS DE 90X210 CM, ESPESSURA 10 MM, INCLUSIVE ACESSÓRIOS. AF_11/2025</t>
  </si>
  <si>
    <t>PORTA DE CORRER EM VIDRO TEMPERADO, 90X210 CM, ESPESSURA 10 MM, INCLUSIVE ACESSÓRIOS. AF_11/2025</t>
  </si>
  <si>
    <t>PORTA PIVOTANTE DE VIDRO TEMPERADO, 2 FOLHAS DE 90X210 CM, ESPESSURA DE 10 MM, INCLUSIVE ACESSÓRIOS. AF_11/2025</t>
  </si>
  <si>
    <t>PORTA PIVOTANTE DE VIDRO TEMPERADO, 90X210 CM, ESPESSURA 10 MM, INCLUSIVE ACESSÓRIOS. AF_11/2025</t>
  </si>
  <si>
    <t>REMOÇÃO DE VIDRO LISO COMUM DE ESQUADRIA COM BAGUETE DE ALUMÍNIO OU PVC. AF_11/2025</t>
  </si>
  <si>
    <t>REMOÇÃO DE VIDRO LISO COMUM DE ESQUADRIA COM BAGUETE DE MADEIRA. AF_11/2025</t>
  </si>
  <si>
    <t>REMOÇÃO DE VIDRO TEMPERADO FIXADO EM PERFIL U. AF_11/2025</t>
  </si>
  <si>
    <t>FDE-ESCOLAS GOV.SP janeiro 2026</t>
  </si>
  <si>
    <t>2.35.55</t>
  </si>
  <si>
    <t>DV-08 DIVISORIA SANITARIAA LAMINADO 10MM ALTA PRESSÃO ACABAMENTO TEXTURIZADO</t>
  </si>
  <si>
    <t>2.45.12</t>
  </si>
  <si>
    <t>MANTA LÃ DE ROCHA ESPESSURA 50 MM DENSIDADE 48KGS/M3</t>
  </si>
  <si>
    <t>2.45.18</t>
  </si>
  <si>
    <t>PAINEIL LÂ DE PET ESPESSURA 50 MM DENSIDADE 20KG/M3</t>
  </si>
  <si>
    <t>2.65.04</t>
  </si>
  <si>
    <t>PARAFUSO TROMBETA PHILIPS PONTA AGULHA 3,5 X 35MM</t>
  </si>
  <si>
    <t>2.65.06</t>
  </si>
  <si>
    <t>PARAFUSO CABEÇA SEXTAVADA ROSCA SOBERBA 1/4"X60MM</t>
  </si>
  <si>
    <t>2.68.11</t>
  </si>
  <si>
    <t>PERFIL DRYWALL GALVANIZADO 70X25MM</t>
  </si>
  <si>
    <t>3.40.16</t>
  </si>
  <si>
    <t>CANTONEIRA ZINCADA ABAS IGUAIS 38MM PRFIL PARA FORRO BRANCA</t>
  </si>
  <si>
    <t>3.40.17</t>
  </si>
  <si>
    <t>PERFIL DRYWALL CANALETA F530 GALVANIZADO</t>
  </si>
  <si>
    <t>3.40.18</t>
  </si>
  <si>
    <t>REGULADOR BIDIRECIONAL PARA PERFIL F530</t>
  </si>
  <si>
    <t>3.40.25</t>
  </si>
  <si>
    <t xml:space="preserve">PLACA DE FORRO MODULAR ACÚSTICO FIBRAS DE MADEIRA </t>
  </si>
  <si>
    <t>4.30.45</t>
  </si>
  <si>
    <t>CABO DE COBRE NU DE 185 MM2 CONFORME NBR 6524</t>
  </si>
  <si>
    <t>CABO FLEXIVEL DE COBRE 300 MM2 750V ISOLAÇAO PVC ANTICHAMA</t>
  </si>
  <si>
    <t>4.56.71</t>
  </si>
  <si>
    <t>INTERRUPTOR 10A 250V MODULO DE 1 TECLA MONOPOLAR</t>
  </si>
  <si>
    <t>4.56.72</t>
  </si>
  <si>
    <t>INTERRUPTOR 10A 250V MODULO DE 1 TECLA MONOPOLAR PARALELO</t>
  </si>
  <si>
    <t>4.56.73</t>
  </si>
  <si>
    <t>INTERRUPTOR 10A 250V MODULO DE 1 TECLA BIPOLAR</t>
  </si>
  <si>
    <t>4.56.74</t>
  </si>
  <si>
    <t>INTERRUPTOR 10A 250V MODULO DE 1 TECLA BIPOLAR PARALELO</t>
  </si>
  <si>
    <t>4.56.75</t>
  </si>
  <si>
    <t>PULSADOR CAMPAINHA / SIRENE 2A  250V</t>
  </si>
  <si>
    <t>4.56.76</t>
  </si>
  <si>
    <t>TAMPO CEGO MODULO 1 TECLA</t>
  </si>
  <si>
    <t>4.56.77</t>
  </si>
  <si>
    <t>SUPORTE TERMOPLASTICO CAIXA 4X2 ATE 3 MODULOS</t>
  </si>
  <si>
    <t>4.56.78</t>
  </si>
  <si>
    <t>SUPORTE TERMOPLASTICO CAIXA 4X4 ATE 6 MODULOS</t>
  </si>
  <si>
    <t>4.56.79</t>
  </si>
  <si>
    <t>PLACA 4X2 ATE 3 MODULOS ENCAIXE PRESSAO</t>
  </si>
  <si>
    <t>4.56.80</t>
  </si>
  <si>
    <t>PLACA 4X4 ATE 6 MODULOS ENCAIXE PRESSAO</t>
  </si>
  <si>
    <t>4.56.81</t>
  </si>
  <si>
    <t>PLACA CEGA 4X2 BRANCO ENCAIXE PRESSAO</t>
  </si>
  <si>
    <t>4.56.82</t>
  </si>
  <si>
    <t>PLACA CEGA 4X4 BRANCO ENCAIXE PRESSAO</t>
  </si>
  <si>
    <t>4.94.82</t>
  </si>
  <si>
    <t>SIRENE AUDIOVISUAL DE EMERGENCIA - 12/24 VCC 60A 110 Db</t>
  </si>
  <si>
    <t>4.94.86</t>
  </si>
  <si>
    <t>BOTAO / BOTOEIRA ACIONADOR MANUAL ALARME</t>
  </si>
  <si>
    <t>4.94.95</t>
  </si>
  <si>
    <t>EXAUSTOR INSUSTRIAL AXIAL D= 40CM MOTOR 220V XOM ATENUADOR DE RUIDO E ACESSORIOS</t>
  </si>
  <si>
    <r>
      <t>Informe a Taxa de BDI na célula</t>
    </r>
    <r>
      <rPr>
        <b/>
        <sz val="8"/>
        <rFont val="Arial"/>
        <family val="2"/>
      </rPr>
      <t xml:space="preserve"> I1</t>
    </r>
  </si>
  <si>
    <t>TOTAL CPU c/BDI e Enc. Sociais 122,00%</t>
  </si>
  <si>
    <t>04.03.034</t>
  </si>
  <si>
    <t>DV-08 DIVISÓRIA SANITARIA LAMINADO DE ALTA PRESSÃO - HPL ESPESSURA 10MM ACABAMENTO TEXTURIZADO FORNERCIDA E INSTALADA INCLUSIVE FERRAGENS.</t>
  </si>
  <si>
    <t>09.01.066</t>
  </si>
  <si>
    <t>TE-21 ENTRADA PRIMARIA SIMPLIFICADA EM POSTE UNICO ENEL - SP 112,5 KVA 15kV 220/127 V</t>
  </si>
  <si>
    <t>09.01.067</t>
  </si>
  <si>
    <t>TE-22 ENTRADA PRIMARIA SIMPLIFICADA EM POSTE UNICO ENEL - SP 150 KVA 15 kV 220/127 V</t>
  </si>
  <si>
    <t>09.01.068</t>
  </si>
  <si>
    <t>TE-23 ENTRADA PRIMARIA SIMPLIFICADA EM POSTE UNICO ENEL - SP 225KVA 15 kV 220/127 V</t>
  </si>
  <si>
    <t>09.01.069</t>
  </si>
  <si>
    <t>TE-24 ENTRADA PRIMARIA SIMPLIFICADA EM POSTE UNICO ENEL - SP 300 KVA 15 kV 220/127 V</t>
  </si>
  <si>
    <r>
      <rPr>
        <sz val="8"/>
        <rFont val="Arial"/>
        <family val="2"/>
      </rPr>
      <t>09.08.091</t>
    </r>
  </si>
  <si>
    <r>
      <rPr>
        <sz val="8"/>
        <rFont val="Arial"/>
        <family val="2"/>
      </rPr>
      <t>ALARME DE EMERGENCIA AUDIOVISUAL  MONITORAMENTO ADMINISTRATIVO</t>
    </r>
  </si>
  <si>
    <r>
      <rPr>
        <sz val="8"/>
        <rFont val="Arial"/>
        <family val="2"/>
      </rPr>
      <t>09.08.093</t>
    </r>
  </si>
  <si>
    <r>
      <rPr>
        <sz val="8"/>
        <rFont val="Arial"/>
        <family val="2"/>
      </rPr>
      <t>ALARME DE EMERGENCIA AUDIOVISUAL COM BOTAO ACIONAMENTO MANUAL SANITARIO / VESTIARIO ACESSIVEL</t>
    </r>
  </si>
  <si>
    <r>
      <rPr>
        <sz val="8"/>
        <rFont val="Arial"/>
        <family val="2"/>
      </rPr>
      <t>09.08.094</t>
    </r>
  </si>
  <si>
    <r>
      <rPr>
        <sz val="8"/>
        <rFont val="Arial"/>
        <family val="2"/>
      </rPr>
      <t xml:space="preserve">CONJUNTO CAIXA PVC 4X2 RETANGULAR EMBUTIR  ELETRODUTO  PVC RÍGIDO
</t>
    </r>
    <r>
      <rPr>
        <sz val="8"/>
        <rFont val="Arial"/>
        <family val="2"/>
      </rPr>
      <t>INCLUSIVE  SUPORTE ATE 3 MODULOS  E ESPELHO (PLACA)</t>
    </r>
  </si>
  <si>
    <r>
      <rPr>
        <sz val="8"/>
        <rFont val="Arial"/>
        <family val="2"/>
      </rPr>
      <t>09.08.095</t>
    </r>
  </si>
  <si>
    <r>
      <rPr>
        <sz val="8"/>
        <rFont val="Arial"/>
        <family val="2"/>
      </rPr>
      <t xml:space="preserve">CONJUNTO CAIXA PVC 4X4  QUADRADA EMBUTIR  ELETRODUTO  PVC RÍGIDO
</t>
    </r>
    <r>
      <rPr>
        <sz val="8"/>
        <rFont val="Arial"/>
        <family val="2"/>
      </rPr>
      <t>INCLUSIVE  SUPORTE ATE 6 MODULOS  E ESPELHO (PLACA)</t>
    </r>
  </si>
  <si>
    <r>
      <rPr>
        <sz val="8"/>
        <rFont val="Arial"/>
        <family val="2"/>
      </rPr>
      <t>09.08.097</t>
    </r>
  </si>
  <si>
    <r>
      <rPr>
        <sz val="8"/>
        <rFont val="Arial"/>
        <family val="2"/>
      </rPr>
      <t xml:space="preserve">CONJUNTO CAIXA PVC 4X2 RETANGULAR EMBUTIR  ELETRODUTO  PVC
</t>
    </r>
    <r>
      <rPr>
        <sz val="8"/>
        <rFont val="Arial"/>
        <family val="2"/>
      </rPr>
      <t>CORRUGADO  INCLUSIVE  SUPORTE ATE 3 MODULOS  E ESPELHO (PLACA)</t>
    </r>
  </si>
  <si>
    <r>
      <rPr>
        <sz val="8"/>
        <rFont val="Arial"/>
        <family val="2"/>
      </rPr>
      <t>09.08.098</t>
    </r>
  </si>
  <si>
    <r>
      <rPr>
        <sz val="8"/>
        <rFont val="Arial"/>
        <family val="2"/>
      </rPr>
      <t xml:space="preserve">CONJUNTO CAIXA PVC 4X4  QUADRADA EMBUTIR  ELETRODUTO  PVC CORRUGADO
</t>
    </r>
    <r>
      <rPr>
        <sz val="8"/>
        <rFont val="Arial"/>
        <family val="2"/>
      </rPr>
      <t>INCLUSIVE  SUPORTE ATE 6 MODULOS  E ESPELHO (PLACA)</t>
    </r>
  </si>
  <si>
    <r>
      <rPr>
        <sz val="8"/>
        <rFont val="Arial"/>
        <family val="2"/>
      </rPr>
      <t>09.08.100</t>
    </r>
  </si>
  <si>
    <r>
      <rPr>
        <sz val="8"/>
        <rFont val="Arial"/>
        <family val="2"/>
      </rPr>
      <t>TAMPO CEGO  PARA MODULO VAGO</t>
    </r>
  </si>
  <si>
    <r>
      <rPr>
        <sz val="8"/>
        <rFont val="Arial"/>
        <family val="2"/>
      </rPr>
      <t>09.08.101</t>
    </r>
  </si>
  <si>
    <r>
      <rPr>
        <sz val="8"/>
        <rFont val="Arial"/>
        <family val="2"/>
      </rPr>
      <t>PLACA CEGA 4X2 BRANCO ENCAIXE PRESSAO INCLUSIVE SUPORTE  DE FIXAÇAO</t>
    </r>
  </si>
  <si>
    <r>
      <rPr>
        <sz val="8"/>
        <rFont val="Arial"/>
        <family val="2"/>
      </rPr>
      <t>09.08.102</t>
    </r>
  </si>
  <si>
    <r>
      <rPr>
        <sz val="8"/>
        <rFont val="Arial"/>
        <family val="2"/>
      </rPr>
      <t>PLACA CEGA 4X4 BRANCO ENCAIXE PRESSAO INCLUSIVE SUPORTE  DE FIXAÇAO</t>
    </r>
  </si>
  <si>
    <r>
      <rPr>
        <sz val="8"/>
        <rFont val="Arial"/>
        <family val="2"/>
      </rPr>
      <t>09.08.103</t>
    </r>
  </si>
  <si>
    <r>
      <rPr>
        <sz val="8"/>
        <rFont val="Arial"/>
        <family val="2"/>
      </rPr>
      <t>INTERRUPTOR 10A 250V  MODULO 1 TECLA MONOPOLAR  E CABO FLEXIVEL</t>
    </r>
  </si>
  <si>
    <r>
      <rPr>
        <sz val="8"/>
        <rFont val="Arial"/>
        <family val="2"/>
      </rPr>
      <t>09.08.104</t>
    </r>
  </si>
  <si>
    <r>
      <rPr>
        <sz val="8"/>
        <rFont val="Arial"/>
        <family val="2"/>
      </rPr>
      <t>INTERRUPTOR 10A 250V  MODULO 1 TECLA MONOPOLAR PARALELO E CABO FLEXIVEL</t>
    </r>
  </si>
  <si>
    <r>
      <rPr>
        <sz val="8"/>
        <rFont val="Arial"/>
        <family val="2"/>
      </rPr>
      <t>09.08.105</t>
    </r>
  </si>
  <si>
    <r>
      <rPr>
        <sz val="8"/>
        <rFont val="Arial"/>
        <family val="2"/>
      </rPr>
      <t>INTERRUPTOR 10A 250V  MODULO 1 TECLA BIPOLAR E CABO FLEXIVEL</t>
    </r>
  </si>
  <si>
    <r>
      <rPr>
        <sz val="8"/>
        <rFont val="Arial"/>
        <family val="2"/>
      </rPr>
      <t>09.08.106</t>
    </r>
  </si>
  <si>
    <r>
      <rPr>
        <sz val="8"/>
        <rFont val="Arial"/>
        <family val="2"/>
      </rPr>
      <t>INTERRUPTOR 10A 250V  MODULO 1 TECLA  BIPOLAR PARALELO E CABO FLEXIVEL</t>
    </r>
  </si>
  <si>
    <r>
      <rPr>
        <sz val="8"/>
        <rFont val="Arial"/>
        <family val="2"/>
      </rPr>
      <t>09.08.107</t>
    </r>
  </si>
  <si>
    <r>
      <rPr>
        <sz val="8"/>
        <rFont val="Arial"/>
        <family val="2"/>
      </rPr>
      <t>PULSADOR CAMPAINHA / SIRENE  2A 25OV   MODULO 1 TECLA E CABO FLEXIVEL</t>
    </r>
  </si>
  <si>
    <r>
      <rPr>
        <sz val="8"/>
        <rFont val="Arial"/>
        <family val="2"/>
      </rPr>
      <t>09.12.007</t>
    </r>
  </si>
  <si>
    <r>
      <rPr>
        <sz val="8"/>
        <rFont val="Arial"/>
        <family val="2"/>
      </rPr>
      <t xml:space="preserve">EXAUSTOR INDUSTRIAL AXIAL  Ø 40CM MOTOR 220V INCLUSIVE ATENUADOR DE
</t>
    </r>
    <r>
      <rPr>
        <sz val="8"/>
        <rFont val="Arial"/>
        <family val="2"/>
      </rPr>
      <t>RUIDO  DUTO CILINDRICO E ACESSORIOS   FORNECIDOS E INSTALADOS COM TESTE PRE - OPERACIONAL.</t>
    </r>
  </si>
  <si>
    <t>10.01.019</t>
  </si>
  <si>
    <t>FORRO ACÚSTICO PAINEL DE FIBRA MADEIRA 625X625MM / 1250X625MM INCLUSIVE ESTRUTURA DE SUSTENTAÇÃO PERFIL DRYWALL.</t>
  </si>
  <si>
    <t>10.01.039</t>
  </si>
  <si>
    <t>ISOLACAO TERMOACUSTICA PAINEIL LÃ DE PET ESPESSURA 50MM DENSIDADE 20KG/M3 INSTALADO SOBRE PLACA DE FORRO</t>
  </si>
  <si>
    <t>10.01.062</t>
  </si>
  <si>
    <t>ISOLACAO TERMOACUSTICA MANTA LÃ DE ROCHA ESPESSURA 50MM DENSIDADE 48 KG/M3 INSTALADO SOBRE PLACA DE FORRO</t>
  </si>
  <si>
    <t>SINAPI 04/2026 - SEM DESONERAÇÃO - HORISTA=115,01% - MENSALISTA=71,18% 
CDHU 201 02/2026 - SEM DESONERAÇÃO - LEIS SOCIAIS 128,23%
FDE 01/2026 - SEM DESONERAÇÃO - LEIS SOCIAIS 122,00%</t>
  </si>
  <si>
    <t>ORÇAMENTO</t>
  </si>
  <si>
    <t>ALUGUEL DE CONTAINER</t>
  </si>
  <si>
    <t>TEMPO DE OBRA</t>
  </si>
  <si>
    <t>QTD DE CONTAINER</t>
  </si>
  <si>
    <t>MESES</t>
  </si>
  <si>
    <t>MANUTENÇÃO CANTEIRO DE OBRAS</t>
  </si>
  <si>
    <t>D&amp;C 01</t>
  </si>
  <si>
    <t>SERVENTE COM ENCARGOS COMPLEMENTARES PARA LIMPEZA E ORGANIZAÇÃO DE CANTEIRO DE OBRAS</t>
  </si>
  <si>
    <t>A CDHU não contempla composição para o serviço, portanto pegou-se o insumo de mão de obra e aplicou-se as leis sociais.</t>
  </si>
  <si>
    <t>GERAÇÃO DE RESÍDUOS SÓLIDOS DURANTE A OBRA</t>
  </si>
  <si>
    <t>INDICE</t>
  </si>
  <si>
    <t>KG/M2</t>
  </si>
  <si>
    <t>T/M3</t>
  </si>
  <si>
    <t>GERAÇÃO RESIDUAL DE RESÍDUOS SÓLIDOS DURANTE A OBRA
Observação:
Não estão incluídos neste quantitativo os resíduos provenientes dos serviços de demolição, remoção de revestimentos, retirada de pisos, remoção de alvenarias, retirada de coberturas ou demais itens já medidos em composições próprias da planilha orçamentária.
Este item contempla apenas resíduos residuais gerados durante a execução dos serviços, tais como pequenas quebras, rasgos para instalações, sobras de argamassa, embalagens, perdas pontuais de materiais, limpeza de obra e ajustes executivos não contemplados nos itens específicos de demolição.</t>
  </si>
  <si>
    <t>COLABORADOR PARA LIMPEZA E MANUTENÇÃO DO CANTEIRO DE OBRAS, DURANTE TODO O PERIODO DE OBRA</t>
  </si>
  <si>
    <t>MESES DE OBRA</t>
  </si>
  <si>
    <t>HORAS POR DIA</t>
  </si>
  <si>
    <t>HORA</t>
  </si>
  <si>
    <t>DIAS/MÊS</t>
  </si>
  <si>
    <t>ADMINISTRAÇÃO LOCAL DE OBRA</t>
  </si>
  <si>
    <t>ALO</t>
  </si>
  <si>
    <t>D&amp;C 02</t>
  </si>
  <si>
    <t>ENGENHEIRO CIVIL JUNIOR COM ENCARGOS COMPLEMENTARES - ESPECIALIZADO EM OBRAS DE REFORMA E AMPLIAÇÃO</t>
  </si>
  <si>
    <t>MEMORIA DE CÁLCULO - ADM LOCAL DE OBRA</t>
  </si>
  <si>
    <t>ENGENHEIRO CIVIL PARA ACOMPANHAMENTO DAS ATIVIDADES</t>
  </si>
  <si>
    <t>OBRA SEM ALO</t>
  </si>
  <si>
    <t>RETIRADAS E DEMOLIÇÕES</t>
  </si>
  <si>
    <t>EQUIPAMENTOS PARA TRABALHO EM ALTURA</t>
  </si>
  <si>
    <t>ANDAIMES</t>
  </si>
  <si>
    <t xml:space="preserve">PILARES </t>
  </si>
  <si>
    <t>VIGAS</t>
  </si>
  <si>
    <t>LAJES</t>
  </si>
  <si>
    <t>TELHAMENTO E ACESSÓRIOS</t>
  </si>
  <si>
    <t>PORTAS E PORTÕES</t>
  </si>
  <si>
    <t>FECHAMENTOS DE DIVISA</t>
  </si>
  <si>
    <t>COBERTURA E PERGOLADO</t>
  </si>
  <si>
    <t>LASTRO E BASE</t>
  </si>
  <si>
    <t>PISOS EM CONCRETO</t>
  </si>
  <si>
    <t>D&amp;C 03</t>
  </si>
  <si>
    <t>A CDHU não contempla composição para o serviço, portanto utilizou-se como base o item 200702 da IOPES</t>
  </si>
  <si>
    <t>PAREDES</t>
  </si>
  <si>
    <t>TETO</t>
  </si>
  <si>
    <t>PISO</t>
  </si>
  <si>
    <t>MEMORIA DE CÁLCULO - COBERTURA E PERGOLADO</t>
  </si>
  <si>
    <t>CONFORME PROJETO DE ESTRUTURA METÁLICA</t>
  </si>
  <si>
    <t>ME02/02</t>
  </si>
  <si>
    <t>PERFIS</t>
  </si>
  <si>
    <t>PLACAS</t>
  </si>
  <si>
    <t>CHUMBADORES</t>
  </si>
  <si>
    <t>CONFORME PROJETO DE ARQUITETURA</t>
  </si>
  <si>
    <t>COBERTURA EDIFICAÇÃO</t>
  </si>
  <si>
    <t>LEVANTADAS POR AUXILIO DA FERRAMENTA REVIT</t>
  </si>
  <si>
    <t>COBERTURA VOLUME CAIXA D'ÁGUA</t>
  </si>
  <si>
    <t>PERGOLADO</t>
  </si>
  <si>
    <t>MEMORIA DE CÁLCULO - RETIRADAS E DEMOLIÇÕES</t>
  </si>
  <si>
    <t xml:space="preserve">LEVANTAMENTO REALIZADO COM O AUXILIO DO SOFTWARE DE MODELAGEM (REVIT) </t>
  </si>
  <si>
    <t>VOLUME DE DEMOLIÇÃO</t>
  </si>
  <si>
    <t>PA</t>
  </si>
  <si>
    <t>PF</t>
  </si>
  <si>
    <t>TOTAL (M2)</t>
  </si>
  <si>
    <t xml:space="preserve">TOTAL </t>
  </si>
  <si>
    <t>VOLUME (M3)</t>
  </si>
  <si>
    <t>ESQUADRIA METÁLICA</t>
  </si>
  <si>
    <t>ESPESSURA DE 10CM</t>
  </si>
  <si>
    <t>EMPOLAMENTO</t>
  </si>
  <si>
    <t>MEMORIA DE CÁLCULO - ANDAIMES</t>
  </si>
  <si>
    <t>LARGURA TORRE DE ANDAIME</t>
  </si>
  <si>
    <t>QTD DE LINHAS DE ANDAIME</t>
  </si>
  <si>
    <t>ALTURA MÉDIA</t>
  </si>
  <si>
    <t>QTD LINEAR DE ANDAIME</t>
  </si>
  <si>
    <t>MÊSES</t>
  </si>
  <si>
    <t>MXMÊS</t>
  </si>
  <si>
    <t>QTD DE MONTAGENS E DESMONTAGENS</t>
  </si>
  <si>
    <t>MONTAGE E DESMONTAGEM</t>
  </si>
  <si>
    <t>TÉRREO DDM</t>
  </si>
  <si>
    <t>SUPERIOR DDM</t>
  </si>
  <si>
    <t>COMPRIMENTO LINEAR (PAREDES)</t>
  </si>
  <si>
    <t>TEMPO DE ALUGUEL</t>
  </si>
  <si>
    <t>ESP MÉDIA</t>
  </si>
  <si>
    <t>MEMORIA DE CÁLCULO - PAREDES E PAINEIS</t>
  </si>
  <si>
    <t>VERGA</t>
  </si>
  <si>
    <t>TOTAL (M3)</t>
  </si>
  <si>
    <t>CONTRA</t>
  </si>
  <si>
    <t>DIVISÓRIA</t>
  </si>
  <si>
    <t>GRADIL PERGOLADO</t>
  </si>
  <si>
    <t>GRADIL FRONTAL</t>
  </si>
  <si>
    <t>MEMORIA DE CÁLCULO - REVESTIMENTOS DE PAREDES</t>
  </si>
  <si>
    <t>ÁREA DE ALVENARIA EM BLOCO CERÂMICO</t>
  </si>
  <si>
    <t>ÁREA DE ALVENARIA EM BLOCO CONCRETO</t>
  </si>
  <si>
    <t>BASE DO GRADIL</t>
  </si>
  <si>
    <t>EXECUÇÃO DE AMBOS OS LADOS DA ALVENARIA</t>
  </si>
  <si>
    <t>X</t>
  </si>
  <si>
    <t>TOTAL DE CHAPISCO</t>
  </si>
  <si>
    <t>TOTAL DE EMBOÇO</t>
  </si>
  <si>
    <t>TOTAL REVESTIMENTO DE PAREDES</t>
  </si>
  <si>
    <t>TOTAL REBOCO</t>
  </si>
  <si>
    <t>D&amp;C 04</t>
  </si>
  <si>
    <t>A CDHU não contempla composição para o serviço, portanto utilizou-se como base o item 43.10.050 da CDHU</t>
  </si>
  <si>
    <t>COT 17</t>
  </si>
  <si>
    <t>BOMBA SHOPPING</t>
  </si>
  <si>
    <t>https://www.bombashopping.com.br/sistema-de-pressurizacao/pressostato/rowa-pressurizador-maxpress200e-trif-220v-naoincluitanque-0000000034155-p8822?utm_source=google&amp;utm_medium=cpc&amp;utm_campaign=lojavirtual&amp;utm_source=google&amp;utm_medium=cpc&amp;utm_campaign=V4_PMAX_Pressurizadores&amp;utm_content=&amp;utm_term=&amp;gad_source=1&amp;gad_campaignid=23747435746&amp;gclid=CjwKCAjwrNrQBhBjEiwAoR4VO1GPbcTz1XxDVKp4zxsfjhZIcn2rOxXryljAqEm8edq_Qp8rOCYAvhoCg9QQAvD_BwE</t>
  </si>
  <si>
    <t>https://www.leroymerlin.com.br/pressurizadora-rowa-max-press-200-e-trifasica_1572396600?region=outros&amp;gad_source=1&amp;gad_campaignid=23727427416&amp;gclid=CjwKCAjwrNrQBhBjEiwAoR4VO1wAXJE3N6LQOPRHPmllIQGfyDS9V0a-aq62dh0MhD1cyaAVO-s6TxoCFroQAvD_BwE</t>
  </si>
  <si>
    <t>https://www.casamimosa.com.br/pressurizador-max-press-200-e-trifasico-de-220v-rowa-0005-0708/p?srsltid=AfmBOooq7ugJnMNiLh5kXvUsxVwvVHk3wbQZQWZDZKFtr_aWUhJi039_</t>
  </si>
  <si>
    <t>PRESSURIZADOR PRESSOSTATO 2,5CV 220V TRI ATÉ 6 BANHEIROS - REF. COMERCIAL ROWA MAX PRESS 200 E OU SIMILAR</t>
  </si>
  <si>
    <t>REDE DE ESGOTO - CAIXA DE GORDURA</t>
  </si>
  <si>
    <t>MEMORIA DE CÁLCULO - SERVIÇOS COMPLEMENTARES</t>
  </si>
  <si>
    <t>ESCADA INTERNA</t>
  </si>
  <si>
    <t>AMPLIAÇÃO</t>
  </si>
  <si>
    <t>CONFORME PROJETO DE ARQUITETURA - LEVANTAMENTO FEITO EM REVIT</t>
  </si>
  <si>
    <t>QUANT</t>
  </si>
  <si>
    <t>TOTAL(M2)</t>
  </si>
  <si>
    <t>JA01</t>
  </si>
  <si>
    <t>JA02</t>
  </si>
  <si>
    <t>JA03</t>
  </si>
  <si>
    <t>JA04</t>
  </si>
  <si>
    <t>VD01</t>
  </si>
  <si>
    <t>VD02</t>
  </si>
  <si>
    <t>PA02</t>
  </si>
  <si>
    <t>PF05</t>
  </si>
  <si>
    <t>PF01</t>
  </si>
  <si>
    <t>PF02</t>
  </si>
  <si>
    <t>PF03</t>
  </si>
  <si>
    <t>PF04</t>
  </si>
  <si>
    <t>PM01</t>
  </si>
  <si>
    <t>PM02</t>
  </si>
  <si>
    <t>PM03</t>
  </si>
  <si>
    <t>PA01</t>
  </si>
  <si>
    <t>PV01</t>
  </si>
  <si>
    <t>PV02</t>
  </si>
  <si>
    <t>PV03</t>
  </si>
  <si>
    <t>TOTAL(UN)</t>
  </si>
  <si>
    <t>METRO</t>
  </si>
  <si>
    <t>TOTAL(M)</t>
  </si>
  <si>
    <t>MEMORIA DE CÁLCULO - ESQUADRIAS</t>
  </si>
  <si>
    <t>S.PNE. MASC</t>
  </si>
  <si>
    <t>S.PNE. FEM</t>
  </si>
  <si>
    <t>SANIT</t>
  </si>
  <si>
    <t>MEMORIA DE CÁLCULO - REVESTIMENTOS DE TETO</t>
  </si>
  <si>
    <t>AREA</t>
  </si>
  <si>
    <t>CELA 01</t>
  </si>
  <si>
    <t>CELA 02</t>
  </si>
  <si>
    <t>HALL CELAS</t>
  </si>
  <si>
    <t>MEMORIA DE CÁLCULO - PINTURA PAREDES</t>
  </si>
  <si>
    <t>MEMORIA DE CÁLCULO - PINTURA TETO</t>
  </si>
  <si>
    <t>MEMORIA DE CÁLCULO - PINTURA PISO</t>
  </si>
  <si>
    <t>CONFORME PROJETO DE ARQUITETURA - LEVANTAMENTO FEITO MANUAL</t>
  </si>
  <si>
    <t>FACHADA</t>
  </si>
  <si>
    <t>MEMORIA DE CÁLCULO - COMUNICAÇÃO VISUAL</t>
  </si>
  <si>
    <t>AMBIENTES</t>
  </si>
  <si>
    <t>SLA DE APOIO</t>
  </si>
  <si>
    <t>CIRCULAÇÃO</t>
  </si>
  <si>
    <t>ESCADA</t>
  </si>
  <si>
    <t>HALL</t>
  </si>
  <si>
    <t>CART 02</t>
  </si>
  <si>
    <t>CART 01</t>
  </si>
  <si>
    <t>INVEST</t>
  </si>
  <si>
    <t>CIRCUL</t>
  </si>
  <si>
    <t>DEL ASSIST</t>
  </si>
  <si>
    <t>SL APOIO</t>
  </si>
  <si>
    <t>HALL SANIT</t>
  </si>
  <si>
    <t>DEL TITU</t>
  </si>
  <si>
    <t>DELEGACIA SECCIONAL DE POLICIA</t>
  </si>
  <si>
    <t>CARTÓRIO CENTRAL</t>
  </si>
  <si>
    <t>SALA LILÁS</t>
  </si>
  <si>
    <t>ESPERA</t>
  </si>
  <si>
    <t>HALL ELEVADOR</t>
  </si>
  <si>
    <t>SALA DE APOIO</t>
  </si>
  <si>
    <t>DELEGADO ASSIST</t>
  </si>
  <si>
    <t>TERREO</t>
  </si>
  <si>
    <t>1° PAV</t>
  </si>
  <si>
    <t>ESPELHO</t>
  </si>
  <si>
    <t>DEGRAU</t>
  </si>
  <si>
    <t>PATAMAR</t>
  </si>
  <si>
    <t>HALL ENTRADA</t>
  </si>
  <si>
    <t>COPA FUNC</t>
  </si>
  <si>
    <t>VEST</t>
  </si>
  <si>
    <t>DEPÓSITO 01</t>
  </si>
  <si>
    <t>DEPÓSITO 02</t>
  </si>
  <si>
    <t>DEPÓSITO 03</t>
  </si>
  <si>
    <t>ESTACIONAMENTO DESCOBERTO</t>
  </si>
  <si>
    <t>REDE DE ÁGUA PLUVIAL (DRENO)</t>
  </si>
  <si>
    <t>CAIXA DE INSPEÇÃO</t>
  </si>
  <si>
    <t>97662</t>
  </si>
  <si>
    <t>CAIXA DE AREIA PLUVIAL</t>
  </si>
  <si>
    <t>TOTAL(M3)</t>
  </si>
  <si>
    <t>MEMORIA DE CÁLCULO - ESTRUTURA DE CONCRETO (ESTACAS)</t>
  </si>
  <si>
    <t>MEMORIA DE CÁLCULO - ESTRUTURA DE CONCRETO (BLOCOS DE FUNDAÇÃO)</t>
  </si>
  <si>
    <t>MEMORIA DE CÁLCULO - ESTRUTURA DE CONCRETO (PILARES)</t>
  </si>
  <si>
    <t>MEMORIA DE CÁLCULO - ESTRUTURA DE CONCRETO (VIGAS)</t>
  </si>
  <si>
    <t>CONFORME PROJETO DE ESTRUTURA - LEVANTAMENTO FEITO EM AUTOCAD</t>
  </si>
  <si>
    <t>MEMORIA DE CÁLCULO - ESTRUTURA DE CONCRETO (LOCAÇÃO)</t>
  </si>
  <si>
    <t>PARA LOCAÇÃO DAS ESTACAS</t>
  </si>
  <si>
    <t>PARA LOCAÇÃO DOS BLOCOS</t>
  </si>
  <si>
    <t>QTD DE BLOCOS</t>
  </si>
  <si>
    <t>HORAS POR BLOCO</t>
  </si>
  <si>
    <t>PARA CONFERENCIA DE NÍVEIS E LOCAÇÕES EM GERAL</t>
  </si>
  <si>
    <t>ESTACA Ø25CM</t>
  </si>
  <si>
    <t>TIPO 01</t>
  </si>
  <si>
    <t>TIPO 02</t>
  </si>
  <si>
    <t>TIPO 03</t>
  </si>
  <si>
    <t>ESCAVAÇÃO</t>
  </si>
  <si>
    <t>LASTRO</t>
  </si>
  <si>
    <t>REATERRO</t>
  </si>
  <si>
    <t>RADIER - FOSSO ELEVADOR</t>
  </si>
  <si>
    <t>PAREDES CELAS</t>
  </si>
  <si>
    <t>DEMOLIÇÕES E RETIRADAS</t>
  </si>
  <si>
    <t>GRADIL NOVO</t>
  </si>
  <si>
    <t>MEMORIA DE CÁLCULO - DELEGACIA SECCIONAL DE POLICIA</t>
  </si>
  <si>
    <t>PILARES</t>
  </si>
  <si>
    <t>MURETA</t>
  </si>
  <si>
    <t>ESPESSURA</t>
  </si>
  <si>
    <t>GRADE</t>
  </si>
  <si>
    <t>OUTROS</t>
  </si>
  <si>
    <t>EMPOLAMEN</t>
  </si>
  <si>
    <t>PORTÃO</t>
  </si>
  <si>
    <t>PISO DE CONCRETO NOVO</t>
  </si>
  <si>
    <t>passagem tubo</t>
  </si>
  <si>
    <t>CELA</t>
  </si>
  <si>
    <t>PISO DE CONCRETO</t>
  </si>
  <si>
    <t>MEMORIA DE CÁLCULO - REVESTIMENTOS DE PISO</t>
  </si>
  <si>
    <t>PROTEÇÃO PISO EXISTENTE</t>
  </si>
  <si>
    <t>TÉRREO</t>
  </si>
  <si>
    <t>SUPERIOR</t>
  </si>
  <si>
    <t>TÉRREO AMPLIAÇÃO</t>
  </si>
  <si>
    <t>ESPESSURA LASTRO</t>
  </si>
  <si>
    <t>SUPERIOR AMPLIAÇÃO</t>
  </si>
  <si>
    <t>COPA FUNCIONARIOS</t>
  </si>
  <si>
    <t>SANIT PNE MASC</t>
  </si>
  <si>
    <t>SANIT PNE FEM</t>
  </si>
  <si>
    <t>RECEPÇÃO</t>
  </si>
  <si>
    <t>BANH VEST</t>
  </si>
  <si>
    <t>CICULAÇÃO / HALL</t>
  </si>
  <si>
    <t>DELEGADO ASSIT</t>
  </si>
  <si>
    <t>TRATAMENTO PISO EXISTENTE DEPÓSITOS</t>
  </si>
  <si>
    <t>DEPÓSITOS</t>
  </si>
  <si>
    <t>HALL / CIRCULAÇÃO</t>
  </si>
  <si>
    <t>HAL / CIR</t>
  </si>
  <si>
    <t>EXTERNO DEPÓSITO</t>
  </si>
  <si>
    <t>EXTERNO DELEGACIA</t>
  </si>
  <si>
    <t>VOLUME RESERVATÓRIO</t>
  </si>
  <si>
    <t>MURETA GRADIL</t>
  </si>
  <si>
    <t xml:space="preserve">MURO </t>
  </si>
  <si>
    <t>IDEM AO ANTERIOR</t>
  </si>
  <si>
    <t>LAJE</t>
  </si>
  <si>
    <t>FORRO</t>
  </si>
  <si>
    <t>CARROS</t>
  </si>
  <si>
    <t>MOTOS</t>
  </si>
  <si>
    <t>COMUNICAÇÃO VISUAL E ACESSIBILIDADE</t>
  </si>
  <si>
    <t>ESCADA EXISTENTE</t>
  </si>
  <si>
    <t>D&amp;C 50</t>
  </si>
  <si>
    <t>O CDHU não apresenta composição para esta especificação de serviço, apenas os insumos e serviços. Portanto, utilizou-se como base de referência o código 13.02.170</t>
  </si>
  <si>
    <t>D&amp;C 51</t>
  </si>
  <si>
    <t>O CDHU não apresenta composição para esta especificação de serviço, apenas os insumos e serviços. Portanto, utilizou-se como base de referência o código 13.02.210</t>
  </si>
  <si>
    <t>REVESTIMENTO EXISTENTE</t>
  </si>
  <si>
    <t>REFAZER</t>
  </si>
  <si>
    <t>EDIFICAÇÃO</t>
  </si>
  <si>
    <t>O EXISTENTE SERÁ CONSIDERADO UMA % DE 50% PARA REFAZER O MESMO</t>
  </si>
  <si>
    <t>330dias</t>
  </si>
  <si>
    <t>360dias</t>
  </si>
  <si>
    <t>ADEQUAÇÃO E AMPLIAÇÃO DE IMÓVEL PARA A INSTALAÇÃO DA DELEGACIA DE DEFESA DA MULHER</t>
  </si>
  <si>
    <t>RUA TRÊS, S/Nº, CENTRO - JALES/SP</t>
  </si>
  <si>
    <t>VIGAS BALDRAME</t>
  </si>
  <si>
    <t>LOCAÇÃO DE CONTAINER TIPO DEPÓSITO - ÁREA MÍNIMA DE 13,80 M²</t>
  </si>
  <si>
    <t xml:space="preserve"> 1.2.1</t>
  </si>
  <si>
    <t>BANHEIRO QUÍMICO MODELO STANDARD, COM MANUTENÇÃO CONFORME EXIGÊNCIAS DA CETESB</t>
  </si>
  <si>
    <t xml:space="preserve"> 1.2.2</t>
  </si>
  <si>
    <t xml:space="preserve"> 1.3.1</t>
  </si>
  <si>
    <t>REMOÇÃO DE ENTULHO SEPARADO DE OBRA COM CAÇAMBA METÁLICA - TERRA, ALVENARIA, CONCRETO, ARGAMASSA, MADEIRA, PAPEL, PLÁSTICO OU METAL</t>
  </si>
  <si>
    <t xml:space="preserve"> 2.1.2</t>
  </si>
  <si>
    <t xml:space="preserve"> 3.1</t>
  </si>
  <si>
    <t>DEMOLIÇÃO MANUAL DE ALVENARIA DE ELEVAÇÃO OU ELEMENTO VAZADO, INCLUINDO REVESTIMENTO</t>
  </si>
  <si>
    <t>DEMOLIÇÃO MANUAL DE CONCRETO SIMPLES</t>
  </si>
  <si>
    <t xml:space="preserve"> 4.2</t>
  </si>
  <si>
    <t>RETIRADA DE ESQUADRIA METÁLICA EM GERAL</t>
  </si>
  <si>
    <t xml:space="preserve"> 4.5</t>
  </si>
  <si>
    <t>ANDAIME TORRE METÁLICO (1,5 X 1,5 M) COM PISO METÁLICO</t>
  </si>
  <si>
    <t>MONTAGEM E DESMONTAGEM DE ANDAIME TORRE METÁLICA COM ALTURA ATÉ 10 M</t>
  </si>
  <si>
    <t xml:space="preserve"> 6.1</t>
  </si>
  <si>
    <t>TRANSPORTE DE SOLO DE 1ª E 2ª CATEGORIA POR CAMINHÃO PARA DISTÂNCIAS SUPERIORES AO 5° KM ATÉ O 10° KM</t>
  </si>
  <si>
    <t xml:space="preserve"> 7.1.2</t>
  </si>
  <si>
    <t>TAXA DE MOBILIZAÇÃO E DESMOBILIZAÇÃO DE EQUIPAMENTOS PARA EXECUÇÃO DE ESTACA TIPO STRAUSS</t>
  </si>
  <si>
    <t>ESTACA TIPO STRAUSS, DIÂMETRO DE 25 CM ATÉ 20 T</t>
  </si>
  <si>
    <t>CONCRETO USINADO, FCK = 30 MPA</t>
  </si>
  <si>
    <t>LONA PLÁSTICA - 150 MICRON</t>
  </si>
  <si>
    <t xml:space="preserve"> 7.5.3</t>
  </si>
  <si>
    <t xml:space="preserve"> 7.5.4</t>
  </si>
  <si>
    <t xml:space="preserve"> 7.3.3 + 7.4.3 + 7.5.5</t>
  </si>
  <si>
    <t xml:space="preserve"> 7.3.8 + 7.4.8 + 7.5.10</t>
  </si>
  <si>
    <t>FORMA PLANA EM COMPENSADO PARA ESTRUTURA CONVENCIONAL COM CIMBRAMENTO TUBULAR METÁLICO</t>
  </si>
  <si>
    <t>LANÇAMENTO E ADENSAMENTO DE CONCRETO OU MASSA EM ESTRUTURA</t>
  </si>
  <si>
    <t xml:space="preserve"> 7.2.4 + 7.3.5 + 7.4.5 + 7.5.7 + 7.7.3 + 7.8.3</t>
  </si>
  <si>
    <t>LAJE PRÉ-FABRICADA MISTA VIGOTA PROTENDIDA/LAJOTA CERÂMICA - LP 17 (12+5) E CAPA COM CONCRETO DE 30 MPA</t>
  </si>
  <si>
    <t xml:space="preserve"> 7.9.1</t>
  </si>
  <si>
    <t>LAJE PRÉ-FABRICADA MISTA VIGOTA PROTENDIDA/LAJOTA CERÂMICA - LP 25 (20+5) E CAPA COM CONCRETO DE 30 MPA</t>
  </si>
  <si>
    <t xml:space="preserve"> 7.9.2</t>
  </si>
  <si>
    <t xml:space="preserve"> 7.6.3 + 7.9.5</t>
  </si>
  <si>
    <t xml:space="preserve"> 7.6.1 + 7.7.1 + 7.8.1 + 7.9.3 + 7.10.1</t>
  </si>
  <si>
    <t xml:space="preserve"> 7.2.3 + 7.3.4 + 7.4.4 + 7.5.6 + 7.6.2 + 7.7.2 + 7.8.2 + 7.9.4 + 7.10.2</t>
  </si>
  <si>
    <t xml:space="preserve"> 7.3.6 + 7.4.6 + 7.5.8 + 7.6.4 + 7.7.4 + 7.8.4 + 7.9.6 + 7.10.3</t>
  </si>
  <si>
    <t xml:space="preserve"> 7.2.5 + 7.3.7 + 7.4.7 + 7.5.9 + 7.6.5 + 7.7.5 + 7.8.5 + 7.9.7 + 7.10.4</t>
  </si>
  <si>
    <t xml:space="preserve"> 7.6.6 + 7.7.6 + 7.8.6 + 7.9.8 + 7.10.5</t>
  </si>
  <si>
    <t xml:space="preserve"> 7.10.6</t>
  </si>
  <si>
    <t xml:space="preserve"> 7.10.7</t>
  </si>
  <si>
    <t>PINTURA COM ESMALTE ALQUÍDICO EM ESTRUTURA METÁLICA</t>
  </si>
  <si>
    <t>TELHAMENTO EM CHAPA DE AÇO COM PINTURA POLIÉSTER, TIPO SANDUÍCHE, ESPESSURA DE 0,50 MM, COM POLIESTIRENO EXPANDIDO</t>
  </si>
  <si>
    <t>COBERTURA PLANA EM CHAPA DE POLICARBONATO ALVEOLAR DE 10 MM</t>
  </si>
  <si>
    <t>CALHA, RUFO, AFINS EM CHAPA GALVANIZADA Nº 24 - CORTE 1,00 M</t>
  </si>
  <si>
    <t xml:space="preserve"> 8.2.3</t>
  </si>
  <si>
    <t xml:space="preserve"> 8.2.4</t>
  </si>
  <si>
    <t>ALVENARIA DE BLOCO DE CONCRETO DE VEDAÇÃO DE 19 CM - CLASSE C</t>
  </si>
  <si>
    <t xml:space="preserve"> 9.1.2</t>
  </si>
  <si>
    <t xml:space="preserve"> 9.1.3</t>
  </si>
  <si>
    <t>DIVISÓRIA EM PLACAS DUPLAS DE GESSO ACARTONADO, RESISTÊNCIA AO FOGO 60 MINUTOS, ESPESSURA 120/70MM - 2ST / 2ST LM</t>
  </si>
  <si>
    <t xml:space="preserve"> 9.2.1</t>
  </si>
  <si>
    <t>PORTA/PORTINHOLA TIPO VENEZIANA DE ABRIR EM ALUMÍNIO, SOB MEDIDA</t>
  </si>
  <si>
    <t>PORTÃO DE SEGURANÇA DE ABRIR EM GRADE DE AÇO SAE 1045 CHAPEADO, PARA MURALHA, DIÂMETRO 1´, COMPLETO, SEM TÊMPERA E REVENIMENTO</t>
  </si>
  <si>
    <t xml:space="preserve"> 10.1.2</t>
  </si>
  <si>
    <t>PORTA/PORTÃO DE ABRIR EM CHAPA, SOB MEDIDA</t>
  </si>
  <si>
    <t xml:space="preserve"> 10.1.3</t>
  </si>
  <si>
    <t>PORTÃO DE ABRIR EM GRADE DE AÇO GALVANIZADO ELETROFUNDIDA, MALHA 65 X 132 MM, E PINTURA ELETROSTÁTICA</t>
  </si>
  <si>
    <t>PORTA LISA COM BATENTE MADEIRA - 80 X 210 CM</t>
  </si>
  <si>
    <t xml:space="preserve"> 10.1.5</t>
  </si>
  <si>
    <t>PORTA LISA COM BATENTE MADEIRA - 90 X 210 CM</t>
  </si>
  <si>
    <t xml:space="preserve"> 10.1.6</t>
  </si>
  <si>
    <t>PORTA DE ENTRADA DE ABRIR EM ALUMÍNIO, SOB MEDIDA</t>
  </si>
  <si>
    <t xml:space="preserve"> 10.1.7</t>
  </si>
  <si>
    <t>PORTA DE ENTRADA DE CORRER EM ALUMÍNIO, SOB MEDIDA</t>
  </si>
  <si>
    <t xml:space="preserve"> 10.1.8</t>
  </si>
  <si>
    <t>VIDRO TEMPERADO INCOLOR DE 10 MM</t>
  </si>
  <si>
    <t xml:space="preserve"> 10.1.9</t>
  </si>
  <si>
    <t xml:space="preserve"> 10.2.2</t>
  </si>
  <si>
    <t>PUXADOR DUPLO EM AÇO INOXIDÁVEL DE 300 MM, PARA PORTA</t>
  </si>
  <si>
    <t>FERRAGEM COMPLETA COM MAÇANETA TIPO ALAVANCA, PARA PORTA INTERNA COM 1 FOLHA</t>
  </si>
  <si>
    <t xml:space="preserve"> 10.3.2</t>
  </si>
  <si>
    <t xml:space="preserve"> 10.3.4</t>
  </si>
  <si>
    <t xml:space="preserve"> 11.2.1</t>
  </si>
  <si>
    <t xml:space="preserve"> 11.2.2</t>
  </si>
  <si>
    <t>REVESTIMENTO EM PLACA CERÂMICA ESMALTADA DE 10X10 CM, ASSENTADO E REJUNTADO COM ARGAMASSA INDUSTRIALIZADA</t>
  </si>
  <si>
    <t xml:space="preserve"> 11.2.3</t>
  </si>
  <si>
    <t xml:space="preserve"> 11.1.1 + 12.1.1</t>
  </si>
  <si>
    <t>FORRO EM PAINÉIS DE GESSO ACARTONADO, ESPESSURA DE 12,5MM, FIXO</t>
  </si>
  <si>
    <t>PROTEÇÃO DE PISO COM TECIDO DE ANIAGEM E GESSO</t>
  </si>
  <si>
    <t>LASTRO DE CONCRETO IMPERMEABILIZADO</t>
  </si>
  <si>
    <t xml:space="preserve"> 13.2.3</t>
  </si>
  <si>
    <t>ARGAMASSA DE REGULARIZAÇÃO E/OU PROTEÇÃO</t>
  </si>
  <si>
    <t xml:space="preserve"> 13.2.4</t>
  </si>
  <si>
    <t>REVESTIMENTO EM PORCELANATO ESMALTADO ACETINADO PARA ÁREA INTERNA E AMBIENTE COM ACESSO AO EXTERIOR, GRUPO DE ABSORÇÃO BIA, RESISTÊNCIA QUÍMICA B, ASSENTADO COM ARGAMASSA COLANTE INDUSTRIALIZADA, REJUNTADO</t>
  </si>
  <si>
    <t xml:space="preserve"> 13.3.1</t>
  </si>
  <si>
    <t>DEGRAU E ESPELHO DE GRANITO, ESPESSURA DE 2 CM, ACABAMENTO POLIDO</t>
  </si>
  <si>
    <t>REVESTIMENTO EM GRANITO, ESPESSURA DE 2 CM, ACABAMENTO POLIDO</t>
  </si>
  <si>
    <t>RODAPÉ EM PORCELANATO ESMALTADO ACETINADO PARA ÁREA INTERNA E AMBIENTE COM ACESSO AO EXTERIOR, GRUPO DE ABSORÇÃO BIA, RESISTÊNCIA QUÍMICA B, ASSENTADO COM ARGAMASSA COLANTE INDUSTRIALIZADA, REJUNTADO</t>
  </si>
  <si>
    <t>RODAPÉ EM CIMENTADO DESEMPENADO E ALISADO COM ALTURA 7 CM</t>
  </si>
  <si>
    <t>CIMENTADO DESEMPENADO</t>
  </si>
  <si>
    <t>PISO EM CONCRETO ARMADO FCK=30MPA, ESP.=12 CM, ARMADO COM TELA DUPLA Q138, CONCRETO CAMADA ÚNICA BOMBEÁVEL C/ BRITA N. 1, ACABAMENTO SUPERIOR COM ROTOALISADOR, JUNTAS SERRADAS COM CORTE SERRA DIAMANTADA PREENCHIMENTO COM MASTIQUE, BASE 5CM SOLO BRITA 30%</t>
  </si>
  <si>
    <t>GUIA PRÉ-MOLDADA RETA TIPO PMSP 100 - FCK 25 MPA</t>
  </si>
  <si>
    <t>REPAROS EM PISOS DE ALTA RESISTÊNCIA FUNDIDOS NO LOCAL - ESTUCAMENTO E POLIMENTO</t>
  </si>
  <si>
    <t>CIMENTADO DESEMPENADO E ALISADO (QUEIMADO)</t>
  </si>
  <si>
    <t>RESERVATÓRIO EM POLIETILENO COM TAMPA DE ENCAIXAR - CAPACIDADE DE 10.000 LITROS</t>
  </si>
  <si>
    <t>VÁLVULA DE DESCARGA ANTIVANDALISMO, DN= 1 1/2´</t>
  </si>
  <si>
    <t>CAIXA SIFONADA DE PVC RÍGIDO DE 100 X 150 X 50 MM, COM GRELHA</t>
  </si>
  <si>
    <t>RALO SECO EM PVC RÍGIDO DE 100 X 40 MM, COM GRELHA</t>
  </si>
  <si>
    <t xml:space="preserve"> 14.2.6</t>
  </si>
  <si>
    <t>CAIXA DE GORDURA EM ALVENARIA, 600 X 600 X 600 MM</t>
  </si>
  <si>
    <t xml:space="preserve"> 14.3.1</t>
  </si>
  <si>
    <t xml:space="preserve"> 14.2.5 + 14.3.2 + 14.4.1</t>
  </si>
  <si>
    <t xml:space="preserve"> 14.3.3 + 14.4.2</t>
  </si>
  <si>
    <t xml:space="preserve"> 14.5.1</t>
  </si>
  <si>
    <t xml:space="preserve"> 14.5.2</t>
  </si>
  <si>
    <t xml:space="preserve"> 14.5.3</t>
  </si>
  <si>
    <t xml:space="preserve"> 14.5.4</t>
  </si>
  <si>
    <t>TUBO PVC RÍGIDO, TIPO COLETOR ESGOTO, JUNTA ELÁSTICA, DN= 100 MM, INCLUSIVE CONEXÕES</t>
  </si>
  <si>
    <t xml:space="preserve"> 14.5.5</t>
  </si>
  <si>
    <t>TUBO PVC RÍGIDO, TIPO COLETOR ESGOTO, JUNTA ELÁSTICA, DN= 150 MM, INCLUSIVE CONEXÕES</t>
  </si>
  <si>
    <t xml:space="preserve"> 14.5.6</t>
  </si>
  <si>
    <t>TUBO PVC RÍGIDO, TIPO COLETOR ESGOTO, JUNTA ELÁSTICA, DN= 200 MM, INCLUSIVE CONEXÕES</t>
  </si>
  <si>
    <t xml:space="preserve"> 14.5.7</t>
  </si>
  <si>
    <t>TUBO PVC RÍGIDO, TIPO COLETOR ESGOTO, JUNTA ELÁSTICA, DN= 250 MM, INCLUSIVE CONEXÕES</t>
  </si>
  <si>
    <t xml:space="preserve"> 14.5.8</t>
  </si>
  <si>
    <t xml:space="preserve"> 7.3.1 + 7.4.1 + 7.5.1 + 14.5.9</t>
  </si>
  <si>
    <t>REATERRO MANUAL PARA SIMPLES REGULARIZAÇÃO SEM COMPACTAÇÃO</t>
  </si>
  <si>
    <t xml:space="preserve"> 14.5.10</t>
  </si>
  <si>
    <t xml:space="preserve"> 14.1.10 + 14.6.1</t>
  </si>
  <si>
    <t xml:space="preserve"> 14.6.2</t>
  </si>
  <si>
    <t xml:space="preserve"> 14.6.3</t>
  </si>
  <si>
    <t xml:space="preserve"> 14.7.1</t>
  </si>
  <si>
    <t xml:space="preserve"> 10.3.3 + 14.7.2</t>
  </si>
  <si>
    <t xml:space="preserve"> 14.7.3</t>
  </si>
  <si>
    <t xml:space="preserve"> 14.7.4</t>
  </si>
  <si>
    <t xml:space="preserve"> 14.7.5</t>
  </si>
  <si>
    <t>BACIA TURCA DE LOUÇA - 6 LITROS</t>
  </si>
  <si>
    <t xml:space="preserve"> 14.7.6</t>
  </si>
  <si>
    <t xml:space="preserve"> 14.7.7</t>
  </si>
  <si>
    <t xml:space="preserve"> 14.7.8</t>
  </si>
  <si>
    <t xml:space="preserve"> 14.7.9</t>
  </si>
  <si>
    <t xml:space="preserve"> 14.7.10</t>
  </si>
  <si>
    <t xml:space="preserve"> 14.7.11</t>
  </si>
  <si>
    <t>CUBA EM AÇO INOXIDÁVEL SIMPLES DE 465X300X140MM</t>
  </si>
  <si>
    <t xml:space="preserve"> 14.7.12</t>
  </si>
  <si>
    <t>TORNEIRA DE MESA PARA PIA COM BICA MÓVEL E AREJADOR EM LATÃO FUNDIDO CROMADO</t>
  </si>
  <si>
    <t xml:space="preserve"> 14.7.13</t>
  </si>
  <si>
    <t>LAVATÓRIO DE LOUÇA COM COLUNA</t>
  </si>
  <si>
    <t xml:space="preserve"> 14.7.14</t>
  </si>
  <si>
    <t>LAVATÓRIO DE LOUÇA PEQUENO COM COLUNA SUSPENSA - LINHA ESPECIAL</t>
  </si>
  <si>
    <t xml:space="preserve"> 14.7.15</t>
  </si>
  <si>
    <t xml:space="preserve"> 14.7.16</t>
  </si>
  <si>
    <t xml:space="preserve"> 14.7.17</t>
  </si>
  <si>
    <t xml:space="preserve"> 14.7.18</t>
  </si>
  <si>
    <t xml:space="preserve"> 14.7.19</t>
  </si>
  <si>
    <t xml:space="preserve"> 14.7.20</t>
  </si>
  <si>
    <t xml:space="preserve"> 14.7.21</t>
  </si>
  <si>
    <t>LAVATÓRIO EM POLIPROPILENO</t>
  </si>
  <si>
    <t xml:space="preserve"> 14.7.22</t>
  </si>
  <si>
    <t>TORNEIRA DE PAREDE ANTIVANDALISMO, DN= 3/4´</t>
  </si>
  <si>
    <t xml:space="preserve"> 14.7.23</t>
  </si>
  <si>
    <t xml:space="preserve"> 14.7.24</t>
  </si>
  <si>
    <t xml:space="preserve"> 14.7.25</t>
  </si>
  <si>
    <t>SIFÃO PLÁSTICO COM COPO, RÍGIDO, DE 1 1/4´ X 2´</t>
  </si>
  <si>
    <t xml:space="preserve"> 14.7.26</t>
  </si>
  <si>
    <t>VÁLVULA AMERICANA</t>
  </si>
  <si>
    <t xml:space="preserve"> 14.7.27</t>
  </si>
  <si>
    <t xml:space="preserve"> 14.7.28</t>
  </si>
  <si>
    <t xml:space="preserve"> 14.7.29</t>
  </si>
  <si>
    <t>SISTEMA DE ALARME PNE COM INDICADOR AUDIOVISUAL, SISTEMA SEM FIO (WIRELESS), PARA PESSOAS COM MOBILIDADE REDUZIDA OU CADEIRANTE</t>
  </si>
  <si>
    <t xml:space="preserve"> 14.7.30</t>
  </si>
  <si>
    <t>CHUVEIRO ELÉTRICO DE 5.500 W / 220 V EM PVC</t>
  </si>
  <si>
    <t xml:space="preserve"> 14.7.31</t>
  </si>
  <si>
    <t>MEIA SABONETEIRA DE LOUÇA DE EMBUTIR</t>
  </si>
  <si>
    <t xml:space="preserve"> 14.7.32</t>
  </si>
  <si>
    <t>CABIDE CROMADO PARA BANHEIRO</t>
  </si>
  <si>
    <t xml:space="preserve"> 14.7.33</t>
  </si>
  <si>
    <t>PURIFICADOR DE PRESSÃO ELÉTRICO EM CHAPA ELETROZINCADO PRÉ-PINTADA E TAMPO EM AÇO INOXIDÁVEL, CAPACIDADE DE REFRIGERAÇÃO DE 7,2 L/H</t>
  </si>
  <si>
    <t xml:space="preserve"> 14.7.34</t>
  </si>
  <si>
    <t>PERFIL EM ALUMÍNIO NATURAL</t>
  </si>
  <si>
    <t xml:space="preserve"> 14.7.35</t>
  </si>
  <si>
    <t xml:space="preserve"> 14.7.36</t>
  </si>
  <si>
    <t>ELETRODUTO DE PVC RÍGIDO ROSCÁVEL DE 1 1/2´ - COM ACESSÓRIOS</t>
  </si>
  <si>
    <t>ELETRODUTO DE PVC RÍGIDO ROSCÁVEL DE 2´ - COM ACESSÓRIOS</t>
  </si>
  <si>
    <t>ELETRODUTO DE PVC RÍGIDO ROSCÁVEL DE 3´ - COM ACESSÓRIOS</t>
  </si>
  <si>
    <t xml:space="preserve"> 15.1.5</t>
  </si>
  <si>
    <t xml:space="preserve"> 15.1.6</t>
  </si>
  <si>
    <t xml:space="preserve"> 15.1.7</t>
  </si>
  <si>
    <t xml:space="preserve"> 15.1.8</t>
  </si>
  <si>
    <t>LUMINÁRIA RETANGULAR DE SOBREPOR TIPO CALHA FECHADA, COM DIFUSOR TRANSLÚCIDO, PARA 2 LÂMPADAS FLUORESCENTES DE 28 W/32 W/36 W/54 W</t>
  </si>
  <si>
    <t xml:space="preserve"> 15.2.2</t>
  </si>
  <si>
    <t>LÂMPADA LED TUBULAR T8 COM BASE G13, DE 900 ATÉ 1050 IM - 9 A 10 W</t>
  </si>
  <si>
    <t xml:space="preserve"> 15.2.3</t>
  </si>
  <si>
    <t xml:space="preserve"> 15.2.4</t>
  </si>
  <si>
    <t>LUMINÁRIA LED REDONDA DE EMBUTIR COM DIFUSOR TRANSLÚCIDO, 4000 K, FLUXO LUMINOSO DE 800 A 1060 LM, POTÊNCIA DE 9 W A 12 W</t>
  </si>
  <si>
    <t xml:space="preserve"> 15.2.5</t>
  </si>
  <si>
    <t>LUMINÁRIA BLINDADA TIPO ARANDELA DE 45º E 90º, PARA LÂMPADA LED</t>
  </si>
  <si>
    <t xml:space="preserve"> 15.2.6</t>
  </si>
  <si>
    <t>LUMINÁRIA RETANGULAR TIPO ARANDELA EXTERNA PARA 2 LÂMPADAS, COM DIFUSOR EM POLIETILENO OU VIDRO LEITOSO</t>
  </si>
  <si>
    <t xml:space="preserve"> 15.2.7</t>
  </si>
  <si>
    <t>LÂMPADA LED 13,5W, COM BASE E-27, 1400 ATÉ 1510 LM</t>
  </si>
  <si>
    <t xml:space="preserve"> 15.2.8</t>
  </si>
  <si>
    <t>CAIXA EM PVC DE 4´ X 4´</t>
  </si>
  <si>
    <t xml:space="preserve"> 15.3.2</t>
  </si>
  <si>
    <t xml:space="preserve"> 15.3.3</t>
  </si>
  <si>
    <t>CONDULETE METÁLICO DE 3/4´</t>
  </si>
  <si>
    <t xml:space="preserve"> 15.3.4</t>
  </si>
  <si>
    <t>CONDULETE METÁLICO DE 1´</t>
  </si>
  <si>
    <t>QUADRO DE DISTRIBUIÇÃO UNIVERSAL DE EMBUTIR, PARA DISJUNTORES 24 DIN / 18 BOLT-ON - 150 A - SEM COMPONENTES</t>
  </si>
  <si>
    <t xml:space="preserve"> 15.3.7</t>
  </si>
  <si>
    <t>QUADRO DE DISTRIBUIÇÃO UNIVERSAL DE EMBUTIR, PARA DISJUNTORES 34 DIN / 24 BOLT-ON - 150 A - SEM COMPONENTES</t>
  </si>
  <si>
    <t xml:space="preserve"> 15.3.8</t>
  </si>
  <si>
    <t>QUADRO DE DISTRIBUIÇÃO UNIVERSAL DE EMBUTIR, PARA DISJUNTORES 56 DIN / 40 BOLT-ON - 225 A - SEM COMPONENTES</t>
  </si>
  <si>
    <t xml:space="preserve"> 15.3.9</t>
  </si>
  <si>
    <t xml:space="preserve"> 15.3.10</t>
  </si>
  <si>
    <t xml:space="preserve"> 15.4.1</t>
  </si>
  <si>
    <t xml:space="preserve"> 15.4.2</t>
  </si>
  <si>
    <t>MINI-DISJUNTOR TERMOMAGNÉTICO, TRIPOLAR 220/380 V, CORRENTE DE 10 A ATÉ 32 A</t>
  </si>
  <si>
    <t xml:space="preserve"> 15.4.3</t>
  </si>
  <si>
    <t>DISJUNTOR EM CAIXA MOLDADA TRIPOLAR, TÉRMICO E MAGNÉTICO FIXOS, TENSÃO DE ISOLAMENTO 480/690V, DE 70A ATÉ 150A</t>
  </si>
  <si>
    <t xml:space="preserve"> 15.4.4</t>
  </si>
  <si>
    <t xml:space="preserve"> 15.4.5</t>
  </si>
  <si>
    <t>SUPRESSOR DE SURTO MONOFÁSICO, CORRENTE NOMINAL 4 A 11 KA, IMAX. DE SURTO 12 ATÉ 15 KA</t>
  </si>
  <si>
    <t xml:space="preserve"> 15.4.6</t>
  </si>
  <si>
    <t>DISPOSITIVO DIFERENCIAL RESIDUAL DE 63 A X 30 MA - 4 POLOS</t>
  </si>
  <si>
    <t xml:space="preserve"> 15.4.7</t>
  </si>
  <si>
    <t xml:space="preserve"> 15.5.1</t>
  </si>
  <si>
    <t>CABO DE COBRE DE 4 MM², ISOLAMENTO 750 V - ISOLAÇÃO EM PVC 70°C</t>
  </si>
  <si>
    <t xml:space="preserve"> 15.5.2</t>
  </si>
  <si>
    <t xml:space="preserve"> 15.5.3</t>
  </si>
  <si>
    <t xml:space="preserve"> 15.5.4</t>
  </si>
  <si>
    <t>CABO DE COBRE FLEXÍVEL DE 4 MM², ISOLAMENTO 0,6/1KV - ISOLAÇÃO HEPR 90°C</t>
  </si>
  <si>
    <t xml:space="preserve"> 15.5.5</t>
  </si>
  <si>
    <t>CABO DE COBRE FLEXÍVEL DE 25 MM², ISOLAMENTO 0,6/1KV - ISOLAÇÃO HEPR 90°C</t>
  </si>
  <si>
    <t xml:space="preserve"> 15.5.6</t>
  </si>
  <si>
    <t>CABO DE COBRE FLEXÍVEL DE 50 MM², ISOLAMENTO 0,6/1KV - ISOLAÇÃO HEPR 90°C</t>
  </si>
  <si>
    <t xml:space="preserve"> 15.5.7</t>
  </si>
  <si>
    <t>CABO DE COBRE FLEXÍVEL DE 70 MM², ISOLAMENTO 0,6/1KV - ISOLAÇÃO HEPR 90°C</t>
  </si>
  <si>
    <t xml:space="preserve"> 15.5.8</t>
  </si>
  <si>
    <t>INTERRUPTOR BIPOLAR SIMPLES, 1 TECLA DUPLA E PLACA</t>
  </si>
  <si>
    <t xml:space="preserve"> 15.6.1</t>
  </si>
  <si>
    <t xml:space="preserve"> 15.6.2</t>
  </si>
  <si>
    <t>INTERRUPTOR COM 2 TECLAS SIMPLES E PLACA</t>
  </si>
  <si>
    <t xml:space="preserve"> 15.6.3</t>
  </si>
  <si>
    <t xml:space="preserve"> 15.6.4</t>
  </si>
  <si>
    <t>CONJUNTO 1 INTERRUPTOR SIMPLES E 1 TOMADA 2P+T DE 10 A, COMPLETO</t>
  </si>
  <si>
    <t xml:space="preserve"> 15.6.5</t>
  </si>
  <si>
    <t xml:space="preserve"> 15.6.6</t>
  </si>
  <si>
    <t xml:space="preserve"> 15.6.7</t>
  </si>
  <si>
    <t>PLACA DE 4´ X 2´</t>
  </si>
  <si>
    <t>RELÉ FOTOELÉTRICO 50/60 HZ, 110/220 V, 1200 VA, COMPLETO</t>
  </si>
  <si>
    <t xml:space="preserve"> 15.6.9</t>
  </si>
  <si>
    <t xml:space="preserve"> 15.7.1</t>
  </si>
  <si>
    <t xml:space="preserve"> 15.7.2</t>
  </si>
  <si>
    <t xml:space="preserve"> 15.7.3</t>
  </si>
  <si>
    <t xml:space="preserve"> 15.7.4</t>
  </si>
  <si>
    <t xml:space="preserve"> 15.7.5</t>
  </si>
  <si>
    <t xml:space="preserve"> 15.7.6</t>
  </si>
  <si>
    <t xml:space="preserve"> 15.7.7</t>
  </si>
  <si>
    <t xml:space="preserve"> 15.7.8</t>
  </si>
  <si>
    <t xml:space="preserve"> 15.7.9</t>
  </si>
  <si>
    <t xml:space="preserve"> 15.7.10</t>
  </si>
  <si>
    <t xml:space="preserve"> 15.7.11</t>
  </si>
  <si>
    <t>CÂMERA FIXA COLORIDA COMPACTA COM DOMO, PARA ÁREAS INTERNAS E EXTERNAS - 1,3 MP</t>
  </si>
  <si>
    <t xml:space="preserve"> 15.8.1</t>
  </si>
  <si>
    <t xml:space="preserve"> 15.8.3</t>
  </si>
  <si>
    <t xml:space="preserve"> 15.8.4</t>
  </si>
  <si>
    <t xml:space="preserve"> 15.8.5</t>
  </si>
  <si>
    <t xml:space="preserve"> 15.8.6</t>
  </si>
  <si>
    <t xml:space="preserve"> 15.3.1 + 15.8.7</t>
  </si>
  <si>
    <t xml:space="preserve"> 15.3.5 + 15.8.8</t>
  </si>
  <si>
    <t>CABO PARA REDE 24 AWG COM 4 PARES, CATEGORIA 6</t>
  </si>
  <si>
    <t xml:space="preserve"> 15.8.9</t>
  </si>
  <si>
    <t xml:space="preserve"> 15.8.10</t>
  </si>
  <si>
    <t xml:space="preserve"> 15.8.11</t>
  </si>
  <si>
    <t xml:space="preserve"> 15.8.12</t>
  </si>
  <si>
    <t xml:space="preserve"> 15.6.8 + 15.8.13</t>
  </si>
  <si>
    <t xml:space="preserve"> 15.1.2 + 15.7.12 + 15.8.14</t>
  </si>
  <si>
    <t>ELETRODUTO DE PVC RÍGIDO ROSCÁVEL DE 1 1/4´ - COM ACESSÓRIOS</t>
  </si>
  <si>
    <t xml:space="preserve"> 15.8.15</t>
  </si>
  <si>
    <t xml:space="preserve"> 15.1.3 + 15.8.16</t>
  </si>
  <si>
    <t xml:space="preserve"> 15.1.4 + 15.8.17</t>
  </si>
  <si>
    <t xml:space="preserve"> 15.8.18</t>
  </si>
  <si>
    <t xml:space="preserve"> 15.8.2 + 15.8.19</t>
  </si>
  <si>
    <t>RACK FECHADO PADRÃO METÁLICO, 19 X 20 US X 470 MM</t>
  </si>
  <si>
    <t xml:space="preserve"> 15.8.20</t>
  </si>
  <si>
    <t xml:space="preserve"> 15.3.6 + 15.8.21</t>
  </si>
  <si>
    <t>BLOCO DE LIGAÇÃO INTERNA PARA 10 PARES, BLI-10</t>
  </si>
  <si>
    <t xml:space="preserve"> 15.8.22</t>
  </si>
  <si>
    <t>CABO ÓPTICO DE TERMINAÇÃO, 2 FIBRAS, 50/125 µM - USO INTERNO/EXTERNO</t>
  </si>
  <si>
    <t xml:space="preserve"> 15.8.23</t>
  </si>
  <si>
    <t>CAIXA SUBTERRÂNEA DE ENTRADA DE TELEFONIA, TIPO R1 (600 X 350 X 500) MM, PADRÃO TELEBRÁS, COM TAMPA</t>
  </si>
  <si>
    <t xml:space="preserve"> 15.8.24</t>
  </si>
  <si>
    <t>TAMPA PARA CAIXA R1, PADRÃO TELEBRÁS</t>
  </si>
  <si>
    <t xml:space="preserve"> 15.8.25</t>
  </si>
  <si>
    <t>CAIXA DE PASSAGEM EM CHAPA, COM TAMPA PARAFUSADA, 400 X 400 X 150 MM</t>
  </si>
  <si>
    <t xml:space="preserve"> 15.8.26</t>
  </si>
  <si>
    <t>ACIONADOR MANUAL TIPO QUEBRA VIDRO, EM CAIXA PLÁSTICA</t>
  </si>
  <si>
    <t xml:space="preserve"> 16.1</t>
  </si>
  <si>
    <t xml:space="preserve"> 16.2</t>
  </si>
  <si>
    <t>SIRENE AUDIOVISUAL TIPO ENDEREÇÁVEL</t>
  </si>
  <si>
    <t xml:space="preserve"> 16.3</t>
  </si>
  <si>
    <t>PLACA DE SINALIZAÇÃO EM PVC FOTOLUMINESCENTE (150X150MM), COM INDICAÇÃO DE EQUIPAMENTOS DE COMBATE À INCÊNDIO E ALARME</t>
  </si>
  <si>
    <t xml:space="preserve"> 16.4</t>
  </si>
  <si>
    <t>PLACA DE SINALIZAÇÃO EM PVC FOTOLUMINESCENTE (240X120MM), COM INDICAÇÃO DE ROTA DE EVACUAÇÃO E SAÍDA DE EMERGÊNCIA</t>
  </si>
  <si>
    <t xml:space="preserve"> 16.5</t>
  </si>
  <si>
    <t>EXTINTOR MANUAL DE PÓ QUÍMICO SECO ABC - CAPACIDADE DE 6 KG</t>
  </si>
  <si>
    <t xml:space="preserve"> 16.7</t>
  </si>
  <si>
    <t>EXTINTOR MANUAL DE PÓ QUÍMICO SECO BC - CAPACIDADE DE 8 KG</t>
  </si>
  <si>
    <t xml:space="preserve"> 16.8</t>
  </si>
  <si>
    <t>ABRIGO DE HIDRANTE DE 2 1/2´ COMPLETO - INCLUSIVE MANGUEIRA DE 30 M (2 X 15 M)</t>
  </si>
  <si>
    <t xml:space="preserve"> 16.9</t>
  </si>
  <si>
    <t>CONJUNTO MOTOR-BOMBA (CENTRÍFUGA) 7,5 CV, MULTIESTÁGIO, HMAN= 30 A 80 MCA, Q= 21,6 A 12,0 M³/H</t>
  </si>
  <si>
    <t xml:space="preserve"> 16.10</t>
  </si>
  <si>
    <t>CONJUNTO MOTOR-BOMBA (CENTRÍFUGA) 1 CV, MONOESTÁGIO TRIFÁSICO, HMAN= 8 A 25 MCA E Q= 11 A 1,50 M³/H</t>
  </si>
  <si>
    <t xml:space="preserve"> 16.11</t>
  </si>
  <si>
    <t>CENTRAL DE DETECÇÃO E ALARME DE INCÊNDIO COMPLETA, AUTONOMIA DE 1 HORA PARA 12 LAÇOS, 220 V/12 V</t>
  </si>
  <si>
    <t xml:space="preserve"> 16.12</t>
  </si>
  <si>
    <t>TUBO GALVANIZADO DN= 1 1/2´, INCLUSIVE CONEXÕES</t>
  </si>
  <si>
    <t xml:space="preserve"> 16.13</t>
  </si>
  <si>
    <t>TUBO GALVANIZADO DN= 2 1/2´, INCLUSIVE CONEXÕES</t>
  </si>
  <si>
    <t xml:space="preserve"> 16.14</t>
  </si>
  <si>
    <t>TUBO GALVANIZADO DN= 3´, INCLUSIVE CONEXÕES</t>
  </si>
  <si>
    <t xml:space="preserve"> 16.15</t>
  </si>
  <si>
    <t xml:space="preserve"> 16.16</t>
  </si>
  <si>
    <t xml:space="preserve"> 16.17</t>
  </si>
  <si>
    <t xml:space="preserve"> 16.18</t>
  </si>
  <si>
    <t>REGISTRO DE GAVETA EM LATÃO FUNDIDO SEM ACABAMENTO, DN= 1 1/2´</t>
  </si>
  <si>
    <t xml:space="preserve"> 16.19</t>
  </si>
  <si>
    <t>REGISTRO DE GAVETA EM LATÃO FUNDIDO SEM ACABAMENTO, DN= 2 1/2´</t>
  </si>
  <si>
    <t xml:space="preserve"> 16.20</t>
  </si>
  <si>
    <t>REGISTRO DE GAVETA EM LATÃO FUNDIDO SEM ACABAMENTO, DN= 3´</t>
  </si>
  <si>
    <t xml:space="preserve"> 16.21</t>
  </si>
  <si>
    <t>AR CONDICIONADO A FRIO, TIPO SPLIT PAREDE COM CAPACIDADE DE 18.000 BTU/H</t>
  </si>
  <si>
    <t>AR CONDICIONADO A FRIO, TIPO SPLIT PAREDE COM CAPACIDADE DE 24.000 BTU/H</t>
  </si>
  <si>
    <t xml:space="preserve"> 17.1.2</t>
  </si>
  <si>
    <t>AR CONDICIONADO A FRIO, TIPO SPLIT PISO TETO COM CAPACIDADE DE 48.000 BTU/H</t>
  </si>
  <si>
    <t xml:space="preserve"> 17.1.3</t>
  </si>
  <si>
    <t>CAIXA DE PASSAGEM PARA CONDICIONAMENTO DE AR TIPO SPLIT, COM SAÍDA DE DRENO ÚNICO NA VERTICAL - 39 X 22 X 6 CM</t>
  </si>
  <si>
    <t xml:space="preserve"> 17.1.4</t>
  </si>
  <si>
    <t>TUBO DE COBRE FLEXÍVEL, ESPESSURA 1/32" - DIÂMETRO 1/4", INCLUSIVE CONEXÕES</t>
  </si>
  <si>
    <t xml:space="preserve"> 17.1.5</t>
  </si>
  <si>
    <t xml:space="preserve"> 17.1.6</t>
  </si>
  <si>
    <t xml:space="preserve"> 17.1.7</t>
  </si>
  <si>
    <t xml:space="preserve"> 17.1.8</t>
  </si>
  <si>
    <t>ISOLAMENTO TÉRMICO EM ESPUMA ELASTOMÉRICA, ESPESSURA DE 9 A 12 MM, PARA TUBULAÇÃO DE 1/4´ (COBRE)</t>
  </si>
  <si>
    <t xml:space="preserve"> 17.1.9</t>
  </si>
  <si>
    <t xml:space="preserve"> 17.1.10</t>
  </si>
  <si>
    <t xml:space="preserve"> 17.1.11</t>
  </si>
  <si>
    <t xml:space="preserve"> 17.1.12</t>
  </si>
  <si>
    <t>CABO DE COBRE FLEXÍVEL DE 3 X 2,5 MM², ISOLAMENTO 0,6/1 KV - ISOLAÇÃO HEPR 90°C</t>
  </si>
  <si>
    <t xml:space="preserve"> 17.1.13</t>
  </si>
  <si>
    <t xml:space="preserve"> 17.1.14</t>
  </si>
  <si>
    <t xml:space="preserve"> 17.2.1</t>
  </si>
  <si>
    <t>GRELHA DE RETORNO/EXAUSTÃO COM REGISTRO, TAMANHO: 0,03 M² A 0,06 M²</t>
  </si>
  <si>
    <t xml:space="preserve"> 17.2.2</t>
  </si>
  <si>
    <t>DUTO FLEXÍVEL ALUMINIZADO, SEÇÃO CIRCULAR DE 15CM (6´)</t>
  </si>
  <si>
    <t xml:space="preserve"> 17.2.3</t>
  </si>
  <si>
    <t>VERNIZ DE PROTEÇÃO ANTIPICHAÇÃO</t>
  </si>
  <si>
    <t xml:space="preserve"> 18.1.3</t>
  </si>
  <si>
    <t>HIDROREPELENTE INCOLOR PARA FACHADA À BASE DE SILANO-SILOXANO OLIGOMÉRICO DISPERSO EM ÁGUA</t>
  </si>
  <si>
    <t xml:space="preserve"> 18.1.4</t>
  </si>
  <si>
    <t>ACRÍLICO PARA QUADRAS E PISOS CIMENTADOS</t>
  </si>
  <si>
    <t xml:space="preserve"> 18.3.1</t>
  </si>
  <si>
    <t>TINTA ACRÍLICA PARA FAIXAS DEMARCATÓRIAS</t>
  </si>
  <si>
    <t xml:space="preserve"> 18.3.2</t>
  </si>
  <si>
    <t>SINALIZAÇÃO COM PICTOGRAMA PARA VAGA DE ESTACIONAMENTO</t>
  </si>
  <si>
    <t xml:space="preserve"> 18.3.3</t>
  </si>
  <si>
    <t xml:space="preserve"> 16.6 + 19.1</t>
  </si>
  <si>
    <t xml:space="preserve"> 19.2</t>
  </si>
  <si>
    <t xml:space="preserve"> 19.3</t>
  </si>
  <si>
    <t xml:space="preserve"> 19.4</t>
  </si>
  <si>
    <t xml:space="preserve"> 19.5</t>
  </si>
  <si>
    <t>PISO TÁTIL DE CONCRETO INTERTRAVADO ALERTA / DIRECIONAL, ESPESSURA DE 6 CM, COM REJUNTE EM AREIA</t>
  </si>
  <si>
    <t xml:space="preserve"> 19.6</t>
  </si>
  <si>
    <t xml:space="preserve"> 19.7</t>
  </si>
  <si>
    <t xml:space="preserve"> 4.3 + 20.1.1</t>
  </si>
  <si>
    <t xml:space="preserve"> 4.1 + 20.1.2</t>
  </si>
  <si>
    <t xml:space="preserve"> 2.1.1 + 4.4 + 20.1.3</t>
  </si>
  <si>
    <t xml:space="preserve"> 9.3.1 + 20.2.1</t>
  </si>
  <si>
    <t xml:space="preserve"> 10.1.4 + 20.2.2</t>
  </si>
  <si>
    <t xml:space="preserve"> 11.1.2 + 12.1.2 + 20.2.3</t>
  </si>
  <si>
    <t xml:space="preserve"> 11.1.3 + 12.1.3 + 20.2.4</t>
  </si>
  <si>
    <t xml:space="preserve"> 18.1.1 + 18.2.1 + 20.2.5</t>
  </si>
  <si>
    <t xml:space="preserve"> 18.1.2 + 18.2.2 + 20.2.6</t>
  </si>
  <si>
    <t xml:space="preserve"> 20.3.1</t>
  </si>
  <si>
    <t xml:space="preserve"> 7.3.2 + 7.4.2 + 7.5.2 + 13.2.2 + 20.3.2</t>
  </si>
  <si>
    <t xml:space="preserve"> 20.3.3</t>
  </si>
  <si>
    <t xml:space="preserve"> 20.3.4</t>
  </si>
  <si>
    <t xml:space="preserve"> 20.3.5</t>
  </si>
  <si>
    <t>ELEVADOR PARA PASSAGEIROS, USO INTERNO COM CAPACIDADE MÍNIMA DE 600 KG PARA DUAS PARADAS, PORTAS UNILATERAIS</t>
  </si>
  <si>
    <t xml:space="preserve"> 21.1.1</t>
  </si>
  <si>
    <t xml:space="preserve"> 21.1.2</t>
  </si>
  <si>
    <t>GUARDA-CORPO COM VIDRO DE 8 MM, EM TUBO DE AÇO GALVANIZADO, DIÂMETRO 1 1/2´</t>
  </si>
  <si>
    <t xml:space="preserve"> 21.1.3</t>
  </si>
  <si>
    <t xml:space="preserve"> 21.2.1</t>
  </si>
  <si>
    <t>LIMPEZA COMPLEMENTAR E ESPECIAL DE PISO COM PRODUTOS QUÍMICOS</t>
  </si>
  <si>
    <t xml:space="preserve"> 21.2.2</t>
  </si>
  <si>
    <t>ALVENARIA DE EMBASAMENTO EM TIJOLO MACIÇO COMUM</t>
  </si>
  <si>
    <t xml:space="preserve"> 7.4.9</t>
  </si>
  <si>
    <t>IMPERMEABILIZAÇÃO EM ARGAMASSA IMPERMEÁVEL COM ADITIVO HIDRÓFUGO</t>
  </si>
  <si>
    <t xml:space="preserve"> 7.4.10</t>
  </si>
  <si>
    <t>IMPERMEABILIZAÇÃO EM PINTURA DE ASFALTO OXIDADO COM SOLVENTES ORGÂNICOS, SOBRE MASSA</t>
  </si>
  <si>
    <t xml:space="preserve"> 7.4.11</t>
  </si>
  <si>
    <t>IMPERMEABILIZAÇÃO EM MEMBRANA À BASE DE POLÍMEROS ACRÍLICOS, NA COR BRANCA</t>
  </si>
  <si>
    <t xml:space="preserve"> 7.4.12</t>
  </si>
  <si>
    <t xml:space="preserve"> 7.3.9 + 7.4.13 + 7.5.11</t>
  </si>
  <si>
    <t xml:space="preserve"> 6.2 + 7.2.6 + 7.3.10 + 7.4.14 + 7.5.12</t>
  </si>
  <si>
    <t>DIVISÓRIA EM PLACAS DE GRANITO COM ESPESSURA DE 3 CM</t>
  </si>
  <si>
    <t>JALES-SP, 08 DE JUNHO DE 2025</t>
  </si>
  <si>
    <t>REVESTIMENTO EM PLACA DE ALUMÍNIO COMPOSTO "ACM", ESPESSURA DE 4 MM E ACABAMENTO EM PVDF - LETRAS CAIXAS</t>
  </si>
  <si>
    <t>LATERAIS LETRAS</t>
  </si>
  <si>
    <t>FACE LETRAS</t>
  </si>
  <si>
    <t>EMBLEMA</t>
  </si>
  <si>
    <t>D&amp;C 05</t>
  </si>
  <si>
    <t>DEMOLIÇÃO DE GUIAS, SARJETAS OU SARJETÕES, DE FORMA MECANIZADA, SEM REAPROVEITAMENTO</t>
  </si>
  <si>
    <t>A CDHU não apresenta item para execução deste serviço, apenas insumos e serviços. Portanto utilizou o insumo referente a composição do SINAPI 104796, utilizando os mesmos coeficientes.</t>
  </si>
  <si>
    <t>D&amp;C 06</t>
  </si>
  <si>
    <t>ESTACA ESCAVADA MECANICAMENTE, DIÂMETRO DE 25 CM ATÉ 20 T COM CONCRETO USINADO FCK= 25 MPA</t>
  </si>
  <si>
    <t>A SINAPI não apresenta item para execução desse serviço, apenas insumos e serviços. Portanto utilizou-se como base o item 12.05.020 da CDHU, tirando os itens referente a fabricação da armadura e aço.</t>
  </si>
  <si>
    <t>D&amp;C 07</t>
  </si>
  <si>
    <t>COMPACTAÇÃO MECÂNICA DE SOLO PARA EXECUÇÃO DE RADIER, PISO DE CONCRETO OU LAJE SOBRE SOLO, COM COMPACTADOR DE SOLOS A PERCUSSÃO</t>
  </si>
  <si>
    <t>A CDHU não apresenta item para execução deste serviço, apenas insumos e serviços. Portanto utilizou o insumo referente a composição do SINAPI 97083, utilizando os mesmos coeficientes.</t>
  </si>
  <si>
    <t>D&amp;C 08</t>
  </si>
  <si>
    <t xml:space="preserve">PEDRA NATURAL (RACHÃO) COM ESPESSURA DE 30 CM </t>
  </si>
  <si>
    <t>A SINAPI não apresenta item para execução desse serviço, apenas insumos e serviços. Portanto utilizou-se como base o item 105742 do SINAPI, tirando os itens referente a construção de base e sub-base.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</si>
</sst>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R$&quot;\ * #,##0.00_-;\-&quot;R$&quot;\ * #,##0.00_-;_-&quot;R$&quot;\ * &quot;-&quot;??_-;_-@_-"/>
    <numFmt numFmtId="43" formatCode="_-* #,##0.00_-;\-* #,##0.00_-;_-* &quot;-&quot;??_-;_-@_-"/>
    <numFmt numFmtId="164" formatCode="_(* #,##0.00_);_(* \(#,##0.00\);_(* \-??_);_(@_)"/>
    <numFmt numFmtId="165" formatCode="_(&quot;R$ &quot;* #,##0.00_);_(&quot;R$ &quot;* \(#,##0.00\);_(&quot;R$ &quot;* &quot;-&quot;??_);_(@_)"/>
    <numFmt numFmtId="166" formatCode="#,##0.00\ ;&quot; (&quot;#,##0.00\);&quot; -&quot;#\ ;@\ "/>
    <numFmt numFmtId="167" formatCode="_(* #,##0.0000_);_(* \(#,##0.0000\);_(* &quot;-&quot;??_);_(@_)"/>
    <numFmt numFmtId="168" formatCode="#,##0.000000"/>
    <numFmt numFmtId="169" formatCode="_-* #,##0_-;\-* #,##0_-;_-* &quot;-&quot;??_-;_-@_-"/>
    <numFmt numFmtId="170" formatCode="&quot;R$ &quot;#,##0.00_);&quot;(R$ &quot;#,##0.00\)"/>
    <numFmt numFmtId="171" formatCode="0.0000"/>
    <numFmt numFmtId="172" formatCode="_-&quot;R$&quot;* #,##0.00_-;\-&quot;R$&quot;* #,##0.00_-;_-&quot;R$&quot;* &quot;-&quot;??_-;_-@_-"/>
    <numFmt numFmtId="173" formatCode="0.000%"/>
    <numFmt numFmtId="174" formatCode="00000"/>
    <numFmt numFmtId="175" formatCode="#,##0.00_ ;\-#,##0.00\ "/>
    <numFmt numFmtId="176" formatCode="_-* #,##0.0000_-;\-* #,##0.0000_-;_-* &quot;-&quot;??_-;_-@_-"/>
    <numFmt numFmtId="177" formatCode="000,000"/>
    <numFmt numFmtId="178" formatCode="#,##0.00;\-\ #,##0.00;\-"/>
    <numFmt numFmtId="179" formatCode="_-* #,##0.0000000_-;\-* #,##0.0000000_-;_-* &quot;-&quot;??_-;_-@_-"/>
    <numFmt numFmtId="180" formatCode="[$R$-416]\ #,##0.00;[Red]\-[$R$-416]\ #,##0.00"/>
    <numFmt numFmtId="181" formatCode="0.0000000000"/>
    <numFmt numFmtId="182" formatCode="0.0000%"/>
    <numFmt numFmtId="183" formatCode="0.00000%"/>
  </numFmts>
  <fonts count="87">
    <font>
      <sz val="11"/>
      <color theme="1"/>
      <name val="Calibri"/>
      <family val="2"/>
      <scheme val="minor"/>
    </font>
    <font>
      <sz val="11"/>
      <color theme="1"/>
      <name val="Calibri"/>
      <family val="2"/>
      <scheme val="minor"/>
    </font>
    <font>
      <b/>
      <sz val="11"/>
      <color theme="1"/>
      <name val="Calibri"/>
      <family val="2"/>
      <scheme val="minor"/>
    </font>
    <font>
      <b/>
      <sz val="12"/>
      <name val="Arial Narrow"/>
      <family val="2"/>
    </font>
    <font>
      <sz val="10"/>
      <name val="Arial Narrow"/>
      <family val="2"/>
    </font>
    <font>
      <b/>
      <sz val="13"/>
      <name val="Arial Narrow"/>
      <family val="2"/>
    </font>
    <font>
      <sz val="11"/>
      <color theme="1"/>
      <name val="Arial Narrow"/>
      <family val="2"/>
    </font>
    <font>
      <b/>
      <sz val="14"/>
      <name val="Arial Narrow"/>
      <family val="2"/>
    </font>
    <font>
      <sz val="12"/>
      <name val="Arial Narrow"/>
      <family val="2"/>
    </font>
    <font>
      <b/>
      <sz val="6"/>
      <name val="Arial Narrow"/>
      <family val="2"/>
    </font>
    <font>
      <b/>
      <sz val="11"/>
      <name val="Arial Narrow"/>
      <family val="2"/>
    </font>
    <font>
      <sz val="11"/>
      <name val="Arial Narrow"/>
      <family val="2"/>
    </font>
    <font>
      <sz val="10"/>
      <name val="Arial"/>
      <family val="2"/>
    </font>
    <font>
      <b/>
      <sz val="11"/>
      <color theme="1"/>
      <name val="Arial Narrow"/>
      <family val="2"/>
    </font>
    <font>
      <sz val="11"/>
      <color rgb="FFFF0000"/>
      <name val="Calibri"/>
      <family val="2"/>
      <scheme val="minor"/>
    </font>
    <font>
      <sz val="11"/>
      <name val="Calibri"/>
      <family val="2"/>
      <scheme val="minor"/>
    </font>
    <font>
      <sz val="8"/>
      <color rgb="FF000000"/>
      <name val="Arial"/>
      <family val="2"/>
    </font>
    <font>
      <sz val="8"/>
      <name val="Arial"/>
      <family val="2"/>
    </font>
    <font>
      <sz val="8"/>
      <color indexed="8"/>
      <name val="Arial"/>
      <family val="2"/>
    </font>
    <font>
      <b/>
      <sz val="8"/>
      <color rgb="FFFF0000"/>
      <name val="Arial"/>
      <family val="2"/>
    </font>
    <font>
      <b/>
      <sz val="8"/>
      <name val="Arial"/>
      <family val="2"/>
    </font>
    <font>
      <sz val="8"/>
      <color rgb="FFFF0000"/>
      <name val="Arial"/>
      <family val="2"/>
    </font>
    <font>
      <b/>
      <sz val="8"/>
      <color indexed="8"/>
      <name val="Arial"/>
      <family val="2"/>
    </font>
    <font>
      <sz val="11"/>
      <color rgb="FF000000"/>
      <name val="Calibri"/>
      <family val="2"/>
      <charset val="204"/>
    </font>
    <font>
      <sz val="10"/>
      <color indexed="8"/>
      <name val="Arial"/>
      <family val="2"/>
    </font>
    <font>
      <sz val="12"/>
      <name val="Technical"/>
    </font>
    <font>
      <sz val="10"/>
      <name val="Arial"/>
      <family val="2"/>
    </font>
    <font>
      <sz val="11"/>
      <color indexed="8"/>
      <name val="Calibri"/>
      <family val="2"/>
    </font>
    <font>
      <sz val="8"/>
      <color theme="1"/>
      <name val="Arial"/>
      <family val="2"/>
    </font>
    <font>
      <b/>
      <sz val="8"/>
      <color rgb="FF002060"/>
      <name val="Arial"/>
      <family val="2"/>
    </font>
    <font>
      <b/>
      <sz val="10"/>
      <name val="Arial"/>
      <family val="2"/>
    </font>
    <font>
      <b/>
      <sz val="12"/>
      <color indexed="12"/>
      <name val="Arial"/>
      <family val="2"/>
    </font>
    <font>
      <b/>
      <sz val="10"/>
      <color indexed="12"/>
      <name val="Arial"/>
      <family val="2"/>
    </font>
    <font>
      <u/>
      <sz val="10"/>
      <name val="Arial"/>
      <family val="2"/>
    </font>
    <font>
      <u/>
      <sz val="12"/>
      <name val="Arial"/>
      <family val="2"/>
    </font>
    <font>
      <b/>
      <i/>
      <sz val="10"/>
      <name val="Arial"/>
      <family val="2"/>
    </font>
    <font>
      <sz val="8"/>
      <name val="Calibri"/>
      <family val="2"/>
      <scheme val="minor"/>
    </font>
    <font>
      <b/>
      <sz val="9"/>
      <name val="Verdana"/>
      <family val="2"/>
    </font>
    <font>
      <b/>
      <sz val="13"/>
      <name val="Times New Roman"/>
      <family val="1"/>
    </font>
    <font>
      <b/>
      <sz val="9"/>
      <name val="Times New Roman"/>
      <family val="1"/>
    </font>
    <font>
      <sz val="10"/>
      <color theme="1"/>
      <name val="Arial Narrow"/>
      <family val="2"/>
    </font>
    <font>
      <u/>
      <sz val="7.7"/>
      <color indexed="12"/>
      <name val="Calibri"/>
      <family val="2"/>
    </font>
    <font>
      <sz val="11"/>
      <color rgb="FF000000"/>
      <name val="Calibri"/>
      <family val="2"/>
      <charset val="1"/>
    </font>
    <font>
      <sz val="10"/>
      <name val="Arial"/>
      <family val="2"/>
      <charset val="1"/>
    </font>
    <font>
      <b/>
      <sz val="10"/>
      <color indexed="8"/>
      <name val="Arial"/>
      <family val="2"/>
    </font>
    <font>
      <sz val="9"/>
      <name val="Times New Roman"/>
      <family val="1"/>
    </font>
    <font>
      <b/>
      <sz val="10"/>
      <name val="Arial Narrow"/>
      <family val="2"/>
    </font>
    <font>
      <b/>
      <i/>
      <sz val="8"/>
      <name val="Arial"/>
      <family val="2"/>
    </font>
    <font>
      <b/>
      <sz val="10"/>
      <color theme="1"/>
      <name val="Arial Narrow"/>
      <family val="2"/>
    </font>
    <font>
      <b/>
      <i/>
      <sz val="11"/>
      <color theme="1"/>
      <name val="Arial Narrow"/>
      <family val="2"/>
    </font>
    <font>
      <sz val="10"/>
      <color rgb="FFEAA782"/>
      <name val="Arial Narrow"/>
      <family val="2"/>
    </font>
    <font>
      <b/>
      <u/>
      <sz val="18"/>
      <name val="Arial Narrow"/>
      <family val="2"/>
    </font>
    <font>
      <b/>
      <i/>
      <sz val="10"/>
      <name val="Arial Narrow"/>
      <family val="2"/>
    </font>
    <font>
      <sz val="10"/>
      <color rgb="FF000000"/>
      <name val="Calibri"/>
      <family val="2"/>
    </font>
    <font>
      <sz val="8"/>
      <color rgb="FFFF0000"/>
      <name val="Arial Black"/>
      <family val="2"/>
    </font>
    <font>
      <sz val="11"/>
      <color theme="1"/>
      <name val="Arial"/>
      <family val="2"/>
    </font>
    <font>
      <sz val="14"/>
      <color rgb="FF808080"/>
      <name val="Arial Black"/>
      <family val="2"/>
    </font>
    <font>
      <sz val="11"/>
      <name val="Arial"/>
      <family val="2"/>
    </font>
    <font>
      <sz val="14"/>
      <color theme="1"/>
      <name val="Arial Black"/>
      <family val="2"/>
    </font>
    <font>
      <b/>
      <sz val="16"/>
      <name val="Arial Black"/>
      <family val="2"/>
    </font>
    <font>
      <sz val="16"/>
      <color rgb="FF808080"/>
      <name val="Arial Black"/>
      <family val="2"/>
    </font>
    <font>
      <sz val="8"/>
      <name val="Calibri"/>
      <family val="2"/>
    </font>
    <font>
      <b/>
      <sz val="8"/>
      <color theme="0"/>
      <name val="Calibri"/>
      <family val="2"/>
    </font>
    <font>
      <sz val="7"/>
      <name val="Arial"/>
      <family val="2"/>
    </font>
    <font>
      <sz val="10"/>
      <name val="Courier New"/>
      <family val="3"/>
    </font>
    <font>
      <b/>
      <sz val="8"/>
      <color rgb="FFFF0000"/>
      <name val="Aptos Black"/>
      <family val="2"/>
    </font>
    <font>
      <sz val="8"/>
      <color rgb="FF333333"/>
      <name val="Arial"/>
      <family val="2"/>
    </font>
    <font>
      <b/>
      <sz val="10"/>
      <color theme="1"/>
      <name val="Arial"/>
      <family val="2"/>
    </font>
    <font>
      <sz val="10"/>
      <color theme="1"/>
      <name val="Arial"/>
      <family val="2"/>
    </font>
    <font>
      <b/>
      <u/>
      <sz val="16"/>
      <name val="Arial Narrow"/>
      <family val="2"/>
    </font>
    <font>
      <b/>
      <u/>
      <sz val="14"/>
      <name val="Arial"/>
      <family val="2"/>
    </font>
    <font>
      <u/>
      <sz val="11"/>
      <color theme="10"/>
      <name val="Calibri"/>
      <family val="2"/>
      <scheme val="minor"/>
    </font>
    <font>
      <sz val="11"/>
      <color rgb="FF333333"/>
      <name val="Arial"/>
      <family val="2"/>
    </font>
    <font>
      <b/>
      <sz val="8"/>
      <name val="Times New Roman"/>
      <family val="1"/>
    </font>
    <font>
      <b/>
      <sz val="10"/>
      <name val="Times New Roman"/>
      <family val="1"/>
    </font>
    <font>
      <sz val="10"/>
      <color indexed="8"/>
      <name val="Times New Roman"/>
      <family val="1"/>
    </font>
    <font>
      <sz val="8"/>
      <color indexed="8"/>
      <name val="Times New Roman"/>
      <family val="1"/>
    </font>
    <font>
      <b/>
      <sz val="11"/>
      <color indexed="8"/>
      <name val="Calibri"/>
      <family val="2"/>
      <scheme val="minor"/>
    </font>
    <font>
      <b/>
      <sz val="11"/>
      <color indexed="8"/>
      <name val="Arial"/>
      <family val="2"/>
    </font>
    <font>
      <sz val="8"/>
      <color rgb="FF050505"/>
      <name val="Arial"/>
      <family val="2"/>
    </font>
    <font>
      <b/>
      <sz val="10"/>
      <color rgb="FFFFFFFF"/>
      <name val="Arial"/>
      <family val="2"/>
    </font>
    <font>
      <sz val="11"/>
      <color theme="1" tint="0.249977111117893"/>
      <name val="Arial Narrow"/>
      <family val="2"/>
    </font>
    <font>
      <b/>
      <sz val="11"/>
      <color theme="1" tint="0.249977111117893"/>
      <name val="Arial Narrow"/>
      <family val="2"/>
    </font>
    <font>
      <sz val="11"/>
      <color theme="0"/>
      <name val="Arial Narrow"/>
      <family val="2"/>
    </font>
    <font>
      <b/>
      <sz val="11"/>
      <color theme="0"/>
      <name val="Arial Narrow"/>
      <family val="2"/>
    </font>
    <font>
      <b/>
      <sz val="11"/>
      <color indexed="8"/>
      <name val="Arial Narrow"/>
      <family val="2"/>
    </font>
    <font>
      <sz val="10"/>
      <color rgb="FFFF0000"/>
      <name val="Arial Narrow"/>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indexed="9"/>
      </patternFill>
    </fill>
    <fill>
      <patternFill patternType="solid">
        <fgColor theme="3"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59999389629810485"/>
        <bgColor indexed="59"/>
      </patternFill>
    </fill>
    <fill>
      <patternFill patternType="solid">
        <fgColor indexed="9"/>
        <bgColor indexed="26"/>
      </patternFill>
    </fill>
    <fill>
      <patternFill patternType="solid">
        <fgColor rgb="FF8396AF"/>
        <bgColor indexed="64"/>
      </patternFill>
    </fill>
    <fill>
      <patternFill patternType="solid">
        <fgColor rgb="FFA9B6C7"/>
        <bgColor indexed="64"/>
      </patternFill>
    </fill>
    <fill>
      <patternFill patternType="solid">
        <fgColor theme="3" tint="0.79998168889431442"/>
        <bgColor indexed="31"/>
      </patternFill>
    </fill>
    <fill>
      <patternFill patternType="solid">
        <fgColor rgb="FFFFFF00"/>
        <bgColor indexed="64"/>
      </patternFill>
    </fill>
    <fill>
      <patternFill patternType="solid">
        <fgColor theme="0" tint="-4.9989318521683403E-2"/>
        <bgColor indexed="64"/>
      </patternFill>
    </fill>
    <fill>
      <patternFill patternType="solid">
        <fgColor rgb="FFFFFFFF"/>
        <bgColor indexed="64"/>
      </patternFill>
    </fill>
    <fill>
      <patternFill patternType="solid">
        <fgColor indexed="22"/>
        <bgColor indexed="64"/>
      </patternFill>
    </fill>
    <fill>
      <patternFill patternType="solid">
        <fgColor rgb="FF005CA9"/>
        <bgColor indexed="64"/>
      </patternFill>
    </fill>
    <fill>
      <patternFill patternType="solid">
        <fgColor theme="0" tint="-0.14999847407452621"/>
        <bgColor indexed="31"/>
      </patternFill>
    </fill>
    <fill>
      <patternFill patternType="solid">
        <fgColor theme="0" tint="-0.14999847407452621"/>
        <bgColor indexed="64"/>
      </patternFill>
    </fill>
    <fill>
      <patternFill patternType="solid">
        <fgColor theme="0" tint="-0.14999847407452621"/>
        <bgColor indexed="26"/>
      </patternFill>
    </fill>
    <fill>
      <patternFill patternType="solid">
        <fgColor rgb="FF333F4F"/>
        <bgColor indexed="64"/>
      </patternFill>
    </fill>
    <fill>
      <patternFill patternType="solid">
        <fgColor rgb="FF333F4F"/>
        <bgColor rgb="FF000000"/>
      </patternFill>
    </fill>
    <fill>
      <patternFill patternType="solid">
        <fgColor indexed="26"/>
        <bgColor indexed="64"/>
      </patternFill>
    </fill>
    <fill>
      <patternFill patternType="solid">
        <fgColor rgb="FFE1E5EB"/>
        <bgColor indexed="64"/>
      </patternFill>
    </fill>
    <fill>
      <patternFill patternType="solid">
        <fgColor theme="0" tint="-0.249977111117893"/>
        <bgColor indexed="64"/>
      </patternFill>
    </fill>
    <fill>
      <patternFill patternType="solid">
        <fgColor rgb="FFFFF8E5"/>
        <bgColor indexed="64"/>
      </patternFill>
    </fill>
    <fill>
      <patternFill patternType="solid">
        <fgColor theme="3" tint="0.39997558519241921"/>
        <bgColor rgb="FF000000"/>
      </patternFill>
    </fill>
  </fills>
  <borders count="144">
    <border>
      <left/>
      <right/>
      <top/>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auto="1"/>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style="thin">
        <color auto="1"/>
      </right>
      <top/>
      <bottom style="thin">
        <color auto="1"/>
      </bottom>
      <diagonal/>
    </border>
    <border>
      <left/>
      <right/>
      <top/>
      <bottom style="thin">
        <color indexed="64"/>
      </bottom>
      <diagonal/>
    </border>
    <border>
      <left/>
      <right/>
      <top style="thin">
        <color auto="1"/>
      </top>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right style="medium">
        <color theme="1"/>
      </right>
      <top style="medium">
        <color theme="1"/>
      </top>
      <bottom style="medium">
        <color theme="1"/>
      </bottom>
      <diagonal/>
    </border>
    <border>
      <left style="thin">
        <color indexed="8"/>
      </left>
      <right style="thin">
        <color indexed="8"/>
      </right>
      <top style="thin">
        <color indexed="64"/>
      </top>
      <bottom style="thin">
        <color indexed="8"/>
      </bottom>
      <diagonal/>
    </border>
    <border>
      <left style="thin">
        <color indexed="8"/>
      </left>
      <right style="medium">
        <color indexed="64"/>
      </right>
      <top style="thin">
        <color indexed="64"/>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right/>
      <top style="thin">
        <color indexed="64"/>
      </top>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thin">
        <color indexed="8"/>
      </left>
      <right style="thin">
        <color indexed="8"/>
      </right>
      <top style="thin">
        <color indexed="8"/>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medium">
        <color rgb="FFA6A6A6"/>
      </left>
      <right style="medium">
        <color rgb="FFA6A6A6"/>
      </right>
      <top style="medium">
        <color rgb="FFA6A6A6"/>
      </top>
      <bottom style="medium">
        <color rgb="FFA6A6A6"/>
      </bottom>
      <diagonal/>
    </border>
    <border>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8"/>
      </top>
      <bottom style="thin">
        <color indexed="64"/>
      </bottom>
      <diagonal/>
    </border>
    <border>
      <left/>
      <right style="thin">
        <color indexed="8"/>
      </right>
      <top style="thin">
        <color indexed="8"/>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indexed="64"/>
      </top>
      <bottom style="thin">
        <color indexed="64"/>
      </bottom>
      <diagonal/>
    </border>
    <border>
      <left/>
      <right style="thin">
        <color indexed="8"/>
      </right>
      <top style="thin">
        <color indexed="8"/>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style="medium">
        <color indexed="64"/>
      </right>
      <top style="thin">
        <color indexed="8"/>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auto="1"/>
      </left>
      <right style="thin">
        <color auto="1"/>
      </right>
      <top style="hair">
        <color auto="1"/>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theme="1"/>
      </left>
      <right style="thin">
        <color theme="1"/>
      </right>
      <top style="thin">
        <color theme="1"/>
      </top>
      <bottom style="thin">
        <color theme="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1" tint="0.499984740745262"/>
      </left>
      <right style="thin">
        <color theme="1" tint="0.499984740745262"/>
      </right>
      <top style="thin">
        <color theme="1" tint="0.499984740745262"/>
      </top>
      <bottom/>
      <diagonal/>
    </border>
    <border>
      <left style="thin">
        <color theme="0" tint="-0.14996795556505021"/>
      </left>
      <right style="thin">
        <color theme="0" tint="-0.14996795556505021"/>
      </right>
      <top style="thin">
        <color theme="1" tint="0.499984740745262"/>
      </top>
      <bottom style="thin">
        <color theme="0" tint="-0.34998626667073579"/>
      </bottom>
      <diagonal/>
    </border>
    <border>
      <left style="thin">
        <color theme="0" tint="-0.14996795556505021"/>
      </left>
      <right style="thin">
        <color theme="0" tint="-0.14996795556505021"/>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style="dotted">
        <color theme="0" tint="-4.9989318521683403E-2"/>
      </right>
      <top style="thin">
        <color theme="1" tint="0.499984740745262"/>
      </top>
      <bottom style="thin">
        <color theme="0" tint="-0.34998626667073579"/>
      </bottom>
      <diagonal/>
    </border>
    <border>
      <left style="thin">
        <color theme="0" tint="-0.34998626667073579"/>
      </left>
      <right style="dotted">
        <color theme="0" tint="-4.9989318521683403E-2"/>
      </right>
      <top style="thin">
        <color theme="0" tint="-0.34998626667073579"/>
      </top>
      <bottom style="thin">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style="thin">
        <color rgb="FF000000"/>
      </right>
      <top style="hair">
        <color rgb="FF000000"/>
      </top>
      <bottom style="hair">
        <color rgb="FF000000"/>
      </bottom>
      <diagonal/>
    </border>
    <border>
      <left/>
      <right style="thin">
        <color indexed="64"/>
      </right>
      <top style="hair">
        <color indexed="64"/>
      </top>
      <bottom style="hair">
        <color indexed="64"/>
      </bottom>
      <diagonal/>
    </border>
    <border>
      <left style="thin">
        <color indexed="64"/>
      </left>
      <right style="thin">
        <color indexed="64"/>
      </right>
      <top style="thin">
        <color auto="1"/>
      </top>
      <bottom style="thin">
        <color auto="1"/>
      </bottom>
      <diagonal/>
    </border>
    <border>
      <left style="thin">
        <color indexed="8"/>
      </left>
      <right style="medium">
        <color indexed="64"/>
      </right>
      <top style="thin">
        <color indexed="8"/>
      </top>
      <bottom style="thin">
        <color indexed="8"/>
      </bottom>
      <diagonal/>
    </border>
    <border>
      <left style="medium">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style="thin">
        <color indexed="8"/>
      </right>
      <top style="thin">
        <color indexed="64"/>
      </top>
      <bottom style="thin">
        <color indexed="8"/>
      </bottom>
      <diagonal/>
    </border>
    <border>
      <left style="thin">
        <color indexed="8"/>
      </left>
      <right style="thin">
        <color indexed="8"/>
      </right>
      <top style="thin">
        <color indexed="8"/>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64"/>
      </left>
      <right/>
      <top style="thin">
        <color indexed="64"/>
      </top>
      <bottom style="thin">
        <color indexed="64"/>
      </bottom>
      <diagonal/>
    </border>
    <border>
      <left/>
      <right style="thin">
        <color indexed="64"/>
      </right>
      <top/>
      <bottom/>
      <diagonal/>
    </border>
    <border>
      <left style="thin">
        <color indexed="8"/>
      </left>
      <right style="thin">
        <color indexed="8"/>
      </right>
      <top style="thin">
        <color indexed="8"/>
      </top>
      <bottom style="thin">
        <color indexed="8"/>
      </bottom>
      <diagonal/>
    </border>
  </borders>
  <cellStyleXfs count="2526">
    <xf numFmtId="0" fontId="0" fillId="0" borderId="0"/>
    <xf numFmtId="43" fontId="1" fillId="0" borderId="0" applyFont="0" applyFill="0" applyBorder="0" applyAlignment="0" applyProtection="0"/>
    <xf numFmtId="44" fontId="1" fillId="0" borderId="0" applyFont="0" applyFill="0" applyBorder="0" applyAlignment="0" applyProtection="0"/>
    <xf numFmtId="0" fontId="12"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23" fillId="0" borderId="0"/>
    <xf numFmtId="0" fontId="12" fillId="0" borderId="0"/>
    <xf numFmtId="0" fontId="24" fillId="0" borderId="0">
      <alignment vertical="top"/>
    </xf>
    <xf numFmtId="43" fontId="1" fillId="0" borderId="0" applyFont="0" applyFill="0" applyBorder="0" applyAlignment="0" applyProtection="0"/>
    <xf numFmtId="44" fontId="1" fillId="0" borderId="0" applyFont="0" applyFill="0" applyBorder="0" applyAlignment="0" applyProtection="0"/>
    <xf numFmtId="0" fontId="12" fillId="0" borderId="0"/>
    <xf numFmtId="0" fontId="25" fillId="0" borderId="0"/>
    <xf numFmtId="164" fontId="25" fillId="0" borderId="0" applyFill="0" applyAlignment="0" applyProtection="0"/>
    <xf numFmtId="0" fontId="12" fillId="0" borderId="0"/>
    <xf numFmtId="0" fontId="12" fillId="0" borderId="0"/>
    <xf numFmtId="0" fontId="24" fillId="0" borderId="0">
      <alignment vertical="top"/>
    </xf>
    <xf numFmtId="43" fontId="24" fillId="0" borderId="0" applyFont="0" applyFill="0" applyBorder="0" applyAlignment="0" applyProtection="0">
      <alignment vertical="top"/>
    </xf>
    <xf numFmtId="0" fontId="1"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26" fillId="0" borderId="0"/>
    <xf numFmtId="165" fontId="26" fillId="0" borderId="0" applyFont="0" applyFill="0" applyBorder="0" applyAlignment="0" applyProtection="0"/>
    <xf numFmtId="0" fontId="27"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2" fillId="0" borderId="0"/>
    <xf numFmtId="165" fontId="1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0" fontId="41" fillId="0" borderId="0" applyNumberFormat="0" applyFill="0" applyBorder="0" applyAlignment="0" applyProtection="0">
      <alignment vertical="top"/>
      <protection locked="0"/>
    </xf>
    <xf numFmtId="0" fontId="12" fillId="0" borderId="0"/>
    <xf numFmtId="0" fontId="12" fillId="0" borderId="0"/>
    <xf numFmtId="0" fontId="1" fillId="0" borderId="0"/>
    <xf numFmtId="9" fontId="12" fillId="0" borderId="0" applyFill="0" applyBorder="0" applyAlignment="0" applyProtection="0"/>
    <xf numFmtId="164" fontId="12" fillId="0" borderId="0" applyFill="0" applyBorder="0" applyAlignment="0" applyProtection="0"/>
    <xf numFmtId="164" fontId="12" fillId="0" borderId="0" applyFill="0" applyBorder="0" applyAlignment="0" applyProtection="0"/>
    <xf numFmtId="166" fontId="12" fillId="0" borderId="0" applyFill="0" applyBorder="0" applyAlignment="0" applyProtection="0"/>
    <xf numFmtId="0" fontId="42" fillId="0" borderId="0"/>
    <xf numFmtId="0" fontId="1" fillId="0" borderId="0"/>
    <xf numFmtId="0" fontId="43" fillId="0" borderId="0"/>
    <xf numFmtId="0" fontId="12" fillId="0" borderId="0"/>
    <xf numFmtId="0" fontId="12" fillId="0" borderId="0"/>
    <xf numFmtId="0" fontId="1" fillId="0" borderId="0"/>
    <xf numFmtId="0" fontId="12" fillId="0" borderId="0"/>
    <xf numFmtId="0" fontId="1" fillId="0" borderId="0"/>
    <xf numFmtId="0" fontId="12" fillId="0" borderId="0"/>
    <xf numFmtId="0" fontId="1" fillId="0" borderId="0"/>
    <xf numFmtId="0" fontId="12" fillId="0" borderId="0"/>
    <xf numFmtId="0" fontId="12" fillId="0" borderId="0"/>
    <xf numFmtId="0" fontId="12" fillId="0" borderId="0"/>
    <xf numFmtId="0" fontId="1" fillId="0" borderId="0"/>
    <xf numFmtId="164" fontId="12" fillId="0" borderId="0" applyFill="0" applyBorder="0" applyAlignment="0" applyProtection="0"/>
    <xf numFmtId="164" fontId="12" fillId="0" borderId="0" applyFill="0" applyBorder="0" applyAlignment="0" applyProtection="0"/>
    <xf numFmtId="166" fontId="12" fillId="0" borderId="0" applyFill="0" applyBorder="0" applyAlignment="0" applyProtection="0"/>
    <xf numFmtId="0" fontId="1" fillId="0" borderId="0"/>
    <xf numFmtId="0" fontId="1" fillId="0" borderId="0"/>
    <xf numFmtId="0" fontId="12" fillId="0" borderId="0"/>
    <xf numFmtId="0" fontId="1" fillId="0" borderId="0"/>
    <xf numFmtId="0" fontId="12" fillId="0" borderId="0"/>
    <xf numFmtId="0" fontId="1" fillId="0" borderId="0"/>
    <xf numFmtId="0" fontId="12" fillId="0" borderId="0"/>
    <xf numFmtId="0" fontId="1" fillId="0" borderId="0"/>
    <xf numFmtId="0" fontId="12" fillId="0" borderId="0"/>
    <xf numFmtId="0" fontId="1"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9" fontId="1" fillId="0" borderId="0" applyFont="0" applyFill="0" applyBorder="0" applyAlignment="0" applyProtection="0"/>
    <xf numFmtId="0" fontId="53" fillId="0" borderId="0"/>
    <xf numFmtId="9" fontId="12" fillId="0" borderId="0"/>
    <xf numFmtId="172" fontId="12" fillId="0" borderId="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3" fontId="1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4" fillId="0" borderId="0" applyFont="0" applyFill="0" applyBorder="0" applyAlignment="0" applyProtection="0">
      <alignment vertical="top"/>
    </xf>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0" fontId="71" fillId="0" borderId="0" applyNumberFormat="0" applyFill="0" applyBorder="0" applyAlignment="0" applyProtection="0"/>
    <xf numFmtId="0" fontId="24" fillId="0" borderId="0"/>
    <xf numFmtId="0" fontId="12" fillId="0" borderId="0"/>
    <xf numFmtId="0" fontId="12" fillId="0" borderId="0"/>
    <xf numFmtId="0" fontId="1" fillId="0" borderId="0"/>
  </cellStyleXfs>
  <cellXfs count="1195">
    <xf numFmtId="0" fontId="0" fillId="0" borderId="0" xfId="0"/>
    <xf numFmtId="0" fontId="0" fillId="0" borderId="0" xfId="0" applyAlignment="1">
      <alignment horizontal="center"/>
    </xf>
    <xf numFmtId="0" fontId="0" fillId="0" borderId="0" xfId="0" applyAlignment="1">
      <alignment horizontal="left"/>
    </xf>
    <xf numFmtId="43" fontId="0" fillId="0" borderId="0" xfId="1" applyFont="1" applyAlignment="1">
      <alignment horizontal="right"/>
    </xf>
    <xf numFmtId="49" fontId="9" fillId="2" borderId="2" xfId="1" applyNumberFormat="1" applyFont="1" applyFill="1" applyBorder="1" applyAlignment="1">
      <alignment horizontal="center" vertical="top" wrapText="1"/>
    </xf>
    <xf numFmtId="49" fontId="9" fillId="2" borderId="10" xfId="1" applyNumberFormat="1" applyFont="1" applyFill="1" applyBorder="1" applyAlignment="1">
      <alignment horizontal="center" vertical="top" wrapText="1"/>
    </xf>
    <xf numFmtId="43" fontId="9" fillId="2" borderId="8" xfId="1" applyFont="1" applyFill="1" applyBorder="1" applyAlignment="1">
      <alignment vertical="top"/>
    </xf>
    <xf numFmtId="0" fontId="0" fillId="0" borderId="0" xfId="0" applyAlignment="1">
      <alignment horizontal="center" vertical="center"/>
    </xf>
    <xf numFmtId="44" fontId="0" fillId="0" borderId="0" xfId="0" applyNumberFormat="1"/>
    <xf numFmtId="0" fontId="17" fillId="0" borderId="0" xfId="0" applyFont="1" applyAlignment="1">
      <alignment vertical="center" wrapText="1"/>
    </xf>
    <xf numFmtId="43" fontId="9" fillId="2" borderId="22" xfId="1" applyFont="1" applyFill="1" applyBorder="1" applyAlignment="1">
      <alignment vertical="top"/>
    </xf>
    <xf numFmtId="43" fontId="8" fillId="2" borderId="19" xfId="1" applyFont="1" applyFill="1" applyBorder="1" applyAlignment="1">
      <alignment vertical="top" wrapText="1"/>
    </xf>
    <xf numFmtId="0" fontId="4" fillId="0" borderId="26" xfId="1" applyNumberFormat="1" applyFont="1" applyFill="1" applyBorder="1" applyAlignment="1">
      <alignment horizontal="center" vertical="center"/>
    </xf>
    <xf numFmtId="43" fontId="17" fillId="0" borderId="13" xfId="1" applyFont="1" applyBorder="1" applyAlignment="1">
      <alignment vertical="center"/>
    </xf>
    <xf numFmtId="2" fontId="4" fillId="2" borderId="0" xfId="1" applyNumberFormat="1" applyFont="1" applyFill="1" applyBorder="1" applyAlignment="1">
      <alignment vertical="center"/>
    </xf>
    <xf numFmtId="43" fontId="0" fillId="0" borderId="0" xfId="0" applyNumberFormat="1"/>
    <xf numFmtId="2" fontId="4" fillId="2" borderId="5" xfId="1" applyNumberFormat="1" applyFont="1" applyFill="1" applyBorder="1" applyAlignment="1">
      <alignment vertical="center"/>
    </xf>
    <xf numFmtId="0" fontId="14" fillId="0" borderId="0" xfId="0" applyFont="1"/>
    <xf numFmtId="0" fontId="0" fillId="0" borderId="6" xfId="0" applyBorder="1"/>
    <xf numFmtId="0" fontId="26" fillId="0" borderId="0" xfId="35"/>
    <xf numFmtId="0" fontId="26" fillId="0" borderId="2" xfId="35" applyBorder="1"/>
    <xf numFmtId="0" fontId="26" fillId="0" borderId="24" xfId="35" applyBorder="1"/>
    <xf numFmtId="0" fontId="30" fillId="0" borderId="2" xfId="35" applyFont="1" applyBorder="1" applyAlignment="1">
      <alignment horizontal="center"/>
    </xf>
    <xf numFmtId="0" fontId="30" fillId="0" borderId="9" xfId="35" applyFont="1" applyBorder="1" applyAlignment="1">
      <alignment horizontal="center"/>
    </xf>
    <xf numFmtId="4" fontId="30" fillId="0" borderId="9" xfId="35" applyNumberFormat="1" applyFont="1" applyBorder="1" applyAlignment="1">
      <alignment horizontal="center" wrapText="1"/>
    </xf>
    <xf numFmtId="0" fontId="26" fillId="0" borderId="21" xfId="35" applyBorder="1" applyAlignment="1">
      <alignment horizontal="center" vertical="center"/>
    </xf>
    <xf numFmtId="0" fontId="12" fillId="0" borderId="20" xfId="35" applyFont="1" applyBorder="1" applyAlignment="1">
      <alignment horizontal="center"/>
    </xf>
    <xf numFmtId="4" fontId="30" fillId="0" borderId="20" xfId="35" applyNumberFormat="1" applyFont="1" applyBorder="1" applyAlignment="1">
      <alignment horizontal="center" vertical="center"/>
    </xf>
    <xf numFmtId="10" fontId="12" fillId="0" borderId="43" xfId="35" applyNumberFormat="1" applyFont="1" applyBorder="1" applyAlignment="1">
      <alignment horizontal="center" vertical="center"/>
    </xf>
    <xf numFmtId="0" fontId="26" fillId="0" borderId="21" xfId="35" applyBorder="1" applyAlignment="1">
      <alignment horizontal="center" vertical="center" wrapText="1"/>
    </xf>
    <xf numFmtId="10" fontId="12" fillId="0" borderId="20" xfId="35" applyNumberFormat="1" applyFont="1" applyBorder="1" applyAlignment="1">
      <alignment horizontal="center" vertical="center"/>
    </xf>
    <xf numFmtId="10" fontId="12" fillId="0" borderId="28" xfId="35" applyNumberFormat="1" applyFont="1" applyBorder="1" applyAlignment="1">
      <alignment horizontal="center" vertical="center"/>
    </xf>
    <xf numFmtId="0" fontId="12" fillId="0" borderId="21" xfId="35" applyFont="1" applyBorder="1" applyAlignment="1">
      <alignment horizontal="center" vertical="center" wrapText="1"/>
    </xf>
    <xf numFmtId="10" fontId="12" fillId="0" borderId="20" xfId="35" applyNumberFormat="1" applyFont="1" applyBorder="1" applyAlignment="1">
      <alignment horizontal="center" vertical="center" wrapText="1"/>
    </xf>
    <xf numFmtId="10" fontId="12" fillId="0" borderId="28" xfId="35" applyNumberFormat="1" applyFont="1" applyBorder="1" applyAlignment="1">
      <alignment horizontal="center" vertical="center" wrapText="1"/>
    </xf>
    <xf numFmtId="0" fontId="26" fillId="0" borderId="44" xfId="35" applyBorder="1" applyAlignment="1">
      <alignment horizontal="center" vertical="center" wrapText="1"/>
    </xf>
    <xf numFmtId="0" fontId="30" fillId="0" borderId="36" xfId="35" applyFont="1" applyBorder="1" applyAlignment="1">
      <alignment horizontal="center" vertical="center" wrapText="1"/>
    </xf>
    <xf numFmtId="0" fontId="30" fillId="0" borderId="46" xfId="35" applyFont="1" applyBorder="1" applyAlignment="1">
      <alignment horizontal="center" vertical="center" wrapText="1"/>
    </xf>
    <xf numFmtId="10" fontId="31" fillId="0" borderId="42" xfId="35" applyNumberFormat="1" applyFont="1" applyBorder="1" applyAlignment="1">
      <alignment horizontal="center" vertical="center"/>
    </xf>
    <xf numFmtId="4" fontId="30" fillId="0" borderId="47" xfId="35" applyNumberFormat="1" applyFont="1" applyBorder="1" applyAlignment="1">
      <alignment horizontal="center" vertical="center"/>
    </xf>
    <xf numFmtId="2" fontId="32" fillId="0" borderId="35" xfId="35" applyNumberFormat="1" applyFont="1" applyBorder="1" applyAlignment="1">
      <alignment horizontal="center" vertical="center"/>
    </xf>
    <xf numFmtId="2" fontId="32" fillId="0" borderId="34" xfId="35" applyNumberFormat="1" applyFont="1" applyBorder="1" applyAlignment="1">
      <alignment horizontal="center" vertical="center"/>
    </xf>
    <xf numFmtId="0" fontId="30" fillId="0" borderId="20" xfId="35" applyFont="1" applyBorder="1" applyAlignment="1">
      <alignment horizontal="center"/>
    </xf>
    <xf numFmtId="10" fontId="32" fillId="0" borderId="20" xfId="35" applyNumberFormat="1" applyFont="1" applyBorder="1" applyAlignment="1">
      <alignment horizontal="center"/>
    </xf>
    <xf numFmtId="0" fontId="30" fillId="0" borderId="20" xfId="35" applyFont="1" applyBorder="1" applyAlignment="1">
      <alignment horizontal="center" vertical="center" wrapText="1"/>
    </xf>
    <xf numFmtId="0" fontId="26" fillId="0" borderId="5" xfId="35" applyBorder="1"/>
    <xf numFmtId="0" fontId="26" fillId="0" borderId="6" xfId="35" applyBorder="1"/>
    <xf numFmtId="0" fontId="30" fillId="0" borderId="10" xfId="35" applyFont="1" applyBorder="1" applyAlignment="1">
      <alignment horizontal="center"/>
    </xf>
    <xf numFmtId="0" fontId="33" fillId="0" borderId="22" xfId="35" applyFont="1" applyBorder="1" applyAlignment="1">
      <alignment horizontal="center" vertical="top"/>
    </xf>
    <xf numFmtId="0" fontId="33" fillId="0" borderId="23" xfId="35" applyFont="1" applyBorder="1" applyAlignment="1">
      <alignment horizontal="center" vertical="top"/>
    </xf>
    <xf numFmtId="0" fontId="30" fillId="0" borderId="0" xfId="35" applyFont="1" applyAlignment="1">
      <alignment horizontal="center"/>
    </xf>
    <xf numFmtId="0" fontId="30" fillId="0" borderId="6" xfId="35" applyFont="1" applyBorder="1" applyAlignment="1">
      <alignment horizontal="center"/>
    </xf>
    <xf numFmtId="10" fontId="32" fillId="0" borderId="28" xfId="35" applyNumberFormat="1" applyFont="1" applyBorder="1" applyAlignment="1">
      <alignment horizontal="center"/>
    </xf>
    <xf numFmtId="0" fontId="11" fillId="0" borderId="0" xfId="0" applyFont="1"/>
    <xf numFmtId="49" fontId="3" fillId="0" borderId="4" xfId="1" applyNumberFormat="1" applyFont="1" applyFill="1" applyBorder="1" applyAlignment="1">
      <alignment vertical="center"/>
    </xf>
    <xf numFmtId="0" fontId="15" fillId="0" borderId="0" xfId="0" applyFont="1" applyAlignment="1">
      <alignment horizontal="center" vertical="center"/>
    </xf>
    <xf numFmtId="0" fontId="10" fillId="2" borderId="8" xfId="0" applyFont="1" applyFill="1" applyBorder="1" applyAlignment="1">
      <alignment vertical="top"/>
    </xf>
    <xf numFmtId="0" fontId="2" fillId="0" borderId="0" xfId="0" applyFont="1"/>
    <xf numFmtId="0" fontId="0" fillId="0" borderId="5" xfId="0" applyBorder="1"/>
    <xf numFmtId="43" fontId="20" fillId="0" borderId="0" xfId="1" applyFont="1" applyAlignment="1">
      <alignment vertical="center"/>
    </xf>
    <xf numFmtId="0" fontId="20" fillId="0" borderId="0" xfId="0" applyFont="1" applyAlignment="1">
      <alignment horizontal="center" vertical="center"/>
    </xf>
    <xf numFmtId="0" fontId="17" fillId="0" borderId="0" xfId="0" applyFont="1" applyAlignment="1">
      <alignment vertical="center"/>
    </xf>
    <xf numFmtId="0" fontId="20" fillId="0" borderId="0" xfId="0" applyFont="1" applyAlignment="1">
      <alignment vertical="center" wrapText="1"/>
    </xf>
    <xf numFmtId="0" fontId="17" fillId="0" borderId="14" xfId="0" applyFont="1" applyBorder="1" applyAlignment="1">
      <alignment vertical="center"/>
    </xf>
    <xf numFmtId="0" fontId="17" fillId="0" borderId="14" xfId="0" applyFont="1" applyBorder="1" applyAlignment="1">
      <alignment vertical="center" wrapText="1"/>
    </xf>
    <xf numFmtId="0" fontId="17" fillId="0" borderId="14" xfId="0" applyFont="1" applyBorder="1" applyAlignment="1">
      <alignment horizontal="left" vertical="center" wrapText="1"/>
    </xf>
    <xf numFmtId="0" fontId="20" fillId="0" borderId="0" xfId="0" applyFont="1" applyAlignment="1">
      <alignment vertical="center"/>
    </xf>
    <xf numFmtId="0" fontId="17" fillId="0" borderId="14" xfId="0" applyFont="1" applyBorder="1" applyAlignment="1">
      <alignment horizontal="left" vertical="center"/>
    </xf>
    <xf numFmtId="49" fontId="17" fillId="0" borderId="0" xfId="0" applyNumberFormat="1" applyFont="1" applyAlignment="1">
      <alignment vertical="center"/>
    </xf>
    <xf numFmtId="0" fontId="21" fillId="0" borderId="0" xfId="0" applyFont="1" applyAlignment="1">
      <alignment vertical="center"/>
    </xf>
    <xf numFmtId="4" fontId="17" fillId="0" borderId="14" xfId="0" applyNumberFormat="1" applyFont="1" applyBorder="1" applyAlignment="1">
      <alignment vertical="center"/>
    </xf>
    <xf numFmtId="0" fontId="17" fillId="0" borderId="14" xfId="0" applyFont="1" applyBorder="1" applyAlignment="1">
      <alignment horizontal="center" vertical="center"/>
    </xf>
    <xf numFmtId="0" fontId="17" fillId="0" borderId="0" xfId="0" applyFont="1" applyAlignment="1">
      <alignment horizontal="center" vertical="center"/>
    </xf>
    <xf numFmtId="0" fontId="19" fillId="0" borderId="0" xfId="0" applyFont="1" applyAlignment="1">
      <alignment vertical="center"/>
    </xf>
    <xf numFmtId="0" fontId="17" fillId="0" borderId="13" xfId="0" applyFont="1" applyBorder="1" applyAlignment="1">
      <alignment vertical="center"/>
    </xf>
    <xf numFmtId="0" fontId="2" fillId="6" borderId="0" xfId="0" applyFont="1" applyFill="1" applyAlignment="1">
      <alignment horizontal="center" vertical="center"/>
    </xf>
    <xf numFmtId="0" fontId="0" fillId="6" borderId="0" xfId="0" applyFill="1" applyAlignment="1">
      <alignment horizontal="center" vertical="center"/>
    </xf>
    <xf numFmtId="10" fontId="12" fillId="5" borderId="20" xfId="35" applyNumberFormat="1" applyFont="1" applyFill="1" applyBorder="1" applyAlignment="1" applyProtection="1">
      <alignment horizontal="center" vertical="center"/>
      <protection locked="0"/>
    </xf>
    <xf numFmtId="43" fontId="17" fillId="0" borderId="14" xfId="1" applyFont="1" applyFill="1" applyBorder="1" applyAlignment="1">
      <alignment horizontal="right" vertical="center"/>
    </xf>
    <xf numFmtId="43" fontId="17" fillId="0" borderId="14" xfId="1" applyFont="1" applyFill="1" applyBorder="1" applyAlignment="1">
      <alignment vertical="center"/>
    </xf>
    <xf numFmtId="43" fontId="17" fillId="0" borderId="0" xfId="1" applyFont="1" applyFill="1" applyAlignment="1">
      <alignment vertical="center"/>
    </xf>
    <xf numFmtId="43" fontId="19" fillId="0" borderId="0" xfId="1" applyFont="1" applyFill="1" applyAlignment="1">
      <alignment horizontal="right" vertical="center"/>
    </xf>
    <xf numFmtId="43" fontId="17" fillId="0" borderId="13" xfId="1" applyFont="1" applyFill="1" applyBorder="1" applyAlignment="1">
      <alignment vertical="center"/>
    </xf>
    <xf numFmtId="49" fontId="17" fillId="0" borderId="14" xfId="0" applyNumberFormat="1" applyFont="1" applyBorder="1" applyAlignment="1">
      <alignment vertical="center"/>
    </xf>
    <xf numFmtId="0" fontId="17" fillId="0" borderId="0" xfId="0" applyFont="1"/>
    <xf numFmtId="0" fontId="0" fillId="0" borderId="0" xfId="0" applyAlignment="1">
      <alignment wrapText="1"/>
    </xf>
    <xf numFmtId="2" fontId="40" fillId="2" borderId="5" xfId="0" applyNumberFormat="1" applyFont="1" applyFill="1" applyBorder="1" applyAlignment="1">
      <alignment vertical="center"/>
    </xf>
    <xf numFmtId="2" fontId="4" fillId="2" borderId="6" xfId="1" applyNumberFormat="1" applyFont="1" applyFill="1" applyBorder="1" applyAlignment="1">
      <alignment vertical="center"/>
    </xf>
    <xf numFmtId="2" fontId="4" fillId="2" borderId="0" xfId="0" applyNumberFormat="1" applyFont="1" applyFill="1"/>
    <xf numFmtId="2" fontId="4" fillId="2" borderId="0" xfId="1" applyNumberFormat="1" applyFont="1" applyFill="1" applyBorder="1" applyAlignment="1"/>
    <xf numFmtId="2" fontId="4" fillId="2" borderId="6" xfId="1" applyNumberFormat="1" applyFont="1" applyFill="1" applyBorder="1" applyAlignment="1"/>
    <xf numFmtId="2" fontId="4" fillId="2" borderId="5" xfId="0" applyNumberFormat="1" applyFont="1" applyFill="1" applyBorder="1"/>
    <xf numFmtId="0" fontId="39" fillId="0" borderId="19" xfId="0" applyFont="1" applyBorder="1" applyAlignment="1">
      <alignment horizontal="left" vertical="center" wrapText="1"/>
    </xf>
    <xf numFmtId="0" fontId="44" fillId="0" borderId="4" xfId="0" applyFont="1" applyBorder="1" applyAlignment="1">
      <alignment horizontal="left" vertical="center" wrapText="1"/>
    </xf>
    <xf numFmtId="49" fontId="11" fillId="0" borderId="24" xfId="0" applyNumberFormat="1" applyFont="1" applyBorder="1" applyAlignment="1">
      <alignment horizontal="center" vertical="center" wrapText="1"/>
    </xf>
    <xf numFmtId="2" fontId="46" fillId="2" borderId="0" xfId="1" applyNumberFormat="1" applyFont="1" applyFill="1" applyBorder="1" applyAlignment="1">
      <alignment vertical="center"/>
    </xf>
    <xf numFmtId="0" fontId="28" fillId="0" borderId="14" xfId="0" applyFont="1" applyBorder="1" applyAlignment="1">
      <alignment vertical="center"/>
    </xf>
    <xf numFmtId="43" fontId="20" fillId="0" borderId="0" xfId="1" applyFont="1"/>
    <xf numFmtId="167" fontId="19" fillId="0" borderId="0" xfId="1" applyNumberFormat="1" applyFont="1" applyAlignment="1">
      <alignment vertical="center"/>
    </xf>
    <xf numFmtId="43" fontId="19" fillId="0" borderId="0" xfId="1" applyFont="1"/>
    <xf numFmtId="43" fontId="20" fillId="0" borderId="0" xfId="0" applyNumberFormat="1" applyFont="1"/>
    <xf numFmtId="0" fontId="45" fillId="0" borderId="5" xfId="0" applyFont="1" applyBorder="1" applyAlignment="1">
      <alignment horizontal="left" vertical="center"/>
    </xf>
    <xf numFmtId="10" fontId="0" fillId="0" borderId="6" xfId="0" applyNumberFormat="1" applyBorder="1" applyAlignment="1">
      <alignment horizontal="center" vertical="center"/>
    </xf>
    <xf numFmtId="0" fontId="44" fillId="0" borderId="8" xfId="0" applyFont="1" applyBorder="1" applyAlignment="1">
      <alignment horizontal="left" vertical="center"/>
    </xf>
    <xf numFmtId="0" fontId="0" fillId="0" borderId="3" xfId="0" applyBorder="1" applyAlignment="1">
      <alignment horizontal="left" vertical="center"/>
    </xf>
    <xf numFmtId="0" fontId="33" fillId="0" borderId="54" xfId="35" applyFont="1" applyBorder="1" applyAlignment="1">
      <alignment horizontal="center" vertical="top"/>
    </xf>
    <xf numFmtId="44" fontId="15" fillId="0" borderId="0" xfId="0" applyNumberFormat="1" applyFont="1" applyAlignment="1">
      <alignment horizontal="center" vertical="center"/>
    </xf>
    <xf numFmtId="0" fontId="0" fillId="0" borderId="0" xfId="0" applyAlignment="1">
      <alignment vertical="center"/>
    </xf>
    <xf numFmtId="0" fontId="17" fillId="0" borderId="14" xfId="0" applyFont="1" applyBorder="1" applyAlignment="1">
      <alignment horizontal="center" vertical="center" wrapText="1"/>
    </xf>
    <xf numFmtId="0" fontId="13" fillId="7" borderId="2" xfId="0" applyFont="1" applyFill="1" applyBorder="1" applyAlignment="1">
      <alignment horizontal="center"/>
    </xf>
    <xf numFmtId="0" fontId="13" fillId="7" borderId="10" xfId="0" applyFont="1" applyFill="1" applyBorder="1" applyAlignment="1">
      <alignment horizontal="center"/>
    </xf>
    <xf numFmtId="0" fontId="6" fillId="0" borderId="5" xfId="0" applyFont="1" applyBorder="1"/>
    <xf numFmtId="0" fontId="6" fillId="0" borderId="0" xfId="0" applyFont="1"/>
    <xf numFmtId="0" fontId="6" fillId="0" borderId="6" xfId="0" applyFont="1" applyBorder="1"/>
    <xf numFmtId="0" fontId="13" fillId="0" borderId="36" xfId="0" applyFont="1" applyBorder="1" applyAlignment="1">
      <alignment horizontal="left" vertical="center"/>
    </xf>
    <xf numFmtId="0" fontId="13" fillId="0" borderId="36" xfId="0" applyFont="1" applyBorder="1" applyAlignment="1">
      <alignment vertical="center"/>
    </xf>
    <xf numFmtId="0" fontId="13" fillId="0" borderId="50" xfId="0" applyFont="1" applyBorder="1" applyAlignment="1">
      <alignment horizontal="left"/>
    </xf>
    <xf numFmtId="0" fontId="6" fillId="0" borderId="5" xfId="0" applyFont="1" applyBorder="1" applyAlignment="1">
      <alignment horizontal="left"/>
    </xf>
    <xf numFmtId="0" fontId="6" fillId="0" borderId="6" xfId="0" applyFont="1" applyBorder="1" applyAlignment="1">
      <alignment horizontal="left"/>
    </xf>
    <xf numFmtId="0" fontId="40" fillId="0" borderId="0" xfId="0" applyFont="1"/>
    <xf numFmtId="0" fontId="4" fillId="0" borderId="5" xfId="69" applyFont="1" applyBorder="1"/>
    <xf numFmtId="0" fontId="4" fillId="0" borderId="0" xfId="69" applyFont="1"/>
    <xf numFmtId="0" fontId="4" fillId="0" borderId="0" xfId="0" applyFont="1" applyAlignment="1">
      <alignment vertical="center"/>
    </xf>
    <xf numFmtId="4" fontId="4" fillId="0" borderId="59" xfId="0" applyNumberFormat="1" applyFont="1" applyBorder="1" applyAlignment="1">
      <alignment vertical="center" wrapText="1"/>
    </xf>
    <xf numFmtId="4" fontId="4" fillId="0" borderId="59" xfId="0" applyNumberFormat="1" applyFont="1" applyBorder="1" applyAlignment="1">
      <alignment horizontal="center" vertical="center" wrapText="1"/>
    </xf>
    <xf numFmtId="44" fontId="4" fillId="0" borderId="59" xfId="2" applyFont="1" applyBorder="1" applyAlignment="1">
      <alignment vertical="center"/>
    </xf>
    <xf numFmtId="2" fontId="4" fillId="0" borderId="60" xfId="0" applyNumberFormat="1" applyFont="1" applyBorder="1" applyAlignment="1">
      <alignment vertical="center"/>
    </xf>
    <xf numFmtId="0" fontId="46" fillId="8" borderId="29" xfId="0" applyFont="1" applyFill="1" applyBorder="1" applyAlignment="1">
      <alignment horizontal="left" vertical="center"/>
    </xf>
    <xf numFmtId="49" fontId="3" fillId="0" borderId="41" xfId="1" applyNumberFormat="1" applyFont="1" applyFill="1" applyBorder="1" applyAlignment="1">
      <alignment vertical="center"/>
    </xf>
    <xf numFmtId="0" fontId="6" fillId="0" borderId="6" xfId="0" applyFont="1" applyBorder="1" applyAlignment="1">
      <alignment horizontal="right"/>
    </xf>
    <xf numFmtId="0" fontId="4" fillId="0" borderId="5" xfId="69" applyFont="1" applyBorder="1" applyAlignment="1" applyProtection="1">
      <alignment wrapText="1"/>
      <protection locked="0"/>
    </xf>
    <xf numFmtId="0" fontId="4" fillId="0" borderId="6" xfId="69" applyFont="1" applyBorder="1" applyAlignment="1" applyProtection="1">
      <alignment horizontal="right"/>
      <protection locked="0"/>
    </xf>
    <xf numFmtId="43" fontId="17" fillId="0" borderId="0" xfId="0" applyNumberFormat="1" applyFont="1" applyAlignment="1">
      <alignment vertical="center"/>
    </xf>
    <xf numFmtId="0" fontId="17" fillId="0" borderId="0" xfId="0" applyFont="1" applyAlignment="1">
      <alignment horizontal="left" vertical="center"/>
    </xf>
    <xf numFmtId="49" fontId="17" fillId="0" borderId="14" xfId="0" applyNumberFormat="1" applyFont="1" applyBorder="1" applyAlignment="1">
      <alignment horizontal="center" vertical="center"/>
    </xf>
    <xf numFmtId="0" fontId="19" fillId="0" borderId="0" xfId="0" applyFont="1" applyAlignment="1">
      <alignment horizontal="left" vertical="center"/>
    </xf>
    <xf numFmtId="43" fontId="17" fillId="0" borderId="0" xfId="1" applyFont="1" applyFill="1" applyBorder="1" applyAlignment="1">
      <alignment vertical="center"/>
    </xf>
    <xf numFmtId="43" fontId="17" fillId="0" borderId="0" xfId="1" applyFont="1" applyFill="1" applyBorder="1" applyAlignment="1">
      <alignment horizontal="right" vertical="center"/>
    </xf>
    <xf numFmtId="169" fontId="17" fillId="0" borderId="0" xfId="1" applyNumberFormat="1" applyFont="1" applyFill="1" applyBorder="1" applyAlignment="1">
      <alignment horizontal="center" vertical="center"/>
    </xf>
    <xf numFmtId="43" fontId="28" fillId="0" borderId="0" xfId="1" applyFont="1" applyBorder="1" applyAlignment="1">
      <alignment vertical="center"/>
    </xf>
    <xf numFmtId="43" fontId="21" fillId="0" borderId="0" xfId="1" applyFont="1" applyFill="1" applyBorder="1" applyAlignment="1">
      <alignment vertical="center"/>
    </xf>
    <xf numFmtId="43" fontId="17" fillId="0" borderId="0" xfId="1" applyFont="1" applyFill="1" applyBorder="1"/>
    <xf numFmtId="43" fontId="28" fillId="0" borderId="0" xfId="1" applyFont="1" applyFill="1" applyBorder="1" applyAlignment="1">
      <alignment vertical="center"/>
    </xf>
    <xf numFmtId="43" fontId="17" fillId="0" borderId="0" xfId="1" applyFont="1" applyFill="1" applyBorder="1" applyAlignment="1">
      <alignment horizontal="left" vertical="center"/>
    </xf>
    <xf numFmtId="43" fontId="21" fillId="0" borderId="0" xfId="1" applyFont="1" applyFill="1" applyBorder="1" applyAlignment="1">
      <alignment horizontal="left" vertical="center"/>
    </xf>
    <xf numFmtId="43" fontId="21" fillId="0" borderId="0" xfId="1" applyFont="1" applyFill="1" applyBorder="1" applyAlignment="1">
      <alignment horizontal="right" vertical="center"/>
    </xf>
    <xf numFmtId="49" fontId="17" fillId="0" borderId="14" xfId="0" applyNumberFormat="1" applyFont="1" applyBorder="1" applyAlignment="1">
      <alignment vertical="center" wrapText="1"/>
    </xf>
    <xf numFmtId="43" fontId="21" fillId="0" borderId="0" xfId="1" applyFont="1" applyBorder="1" applyAlignment="1">
      <alignment vertical="center"/>
    </xf>
    <xf numFmtId="49" fontId="3" fillId="2" borderId="17" xfId="1" applyNumberFormat="1" applyFont="1" applyFill="1" applyBorder="1" applyAlignment="1">
      <alignment vertical="center"/>
    </xf>
    <xf numFmtId="0" fontId="3" fillId="2" borderId="16" xfId="1" applyNumberFormat="1" applyFont="1" applyFill="1" applyBorder="1" applyAlignment="1">
      <alignment vertical="center"/>
    </xf>
    <xf numFmtId="49" fontId="3" fillId="2" borderId="16" xfId="1" applyNumberFormat="1" applyFont="1" applyFill="1" applyBorder="1" applyAlignment="1">
      <alignment vertical="center"/>
    </xf>
    <xf numFmtId="49" fontId="3" fillId="2" borderId="3" xfId="1" applyNumberFormat="1" applyFont="1" applyFill="1" applyBorder="1" applyAlignment="1">
      <alignment vertical="top"/>
    </xf>
    <xf numFmtId="49" fontId="3" fillId="2" borderId="4" xfId="1" applyNumberFormat="1" applyFont="1" applyFill="1" applyBorder="1" applyAlignment="1">
      <alignment vertical="top"/>
    </xf>
    <xf numFmtId="2" fontId="4" fillId="0" borderId="0" xfId="0" applyNumberFormat="1" applyFont="1" applyAlignment="1">
      <alignment vertical="center"/>
    </xf>
    <xf numFmtId="44" fontId="4" fillId="0" borderId="0" xfId="2" applyFont="1" applyFill="1" applyBorder="1" applyAlignment="1">
      <alignment vertical="center"/>
    </xf>
    <xf numFmtId="4" fontId="4" fillId="0" borderId="0" xfId="0" applyNumberFormat="1" applyFont="1" applyAlignment="1">
      <alignment horizontal="center" vertical="center" wrapText="1"/>
    </xf>
    <xf numFmtId="4" fontId="4" fillId="0" borderId="0" xfId="0" applyNumberFormat="1" applyFont="1" applyAlignment="1">
      <alignment vertical="center" wrapText="1"/>
    </xf>
    <xf numFmtId="0" fontId="4" fillId="0" borderId="0" xfId="0" applyFont="1" applyAlignment="1">
      <alignment horizontal="center" vertical="center"/>
    </xf>
    <xf numFmtId="0" fontId="4" fillId="0" borderId="0" xfId="11" applyFont="1" applyAlignment="1">
      <alignment horizontal="center" vertical="center"/>
    </xf>
    <xf numFmtId="0" fontId="56" fillId="0" borderId="0" xfId="0" applyFont="1" applyAlignment="1">
      <alignment horizontal="right" vertical="center"/>
    </xf>
    <xf numFmtId="3" fontId="4" fillId="0" borderId="0" xfId="0" applyNumberFormat="1" applyFont="1" applyAlignment="1">
      <alignment vertical="center" wrapText="1"/>
    </xf>
    <xf numFmtId="49" fontId="4" fillId="0" borderId="0" xfId="0" applyNumberFormat="1" applyFont="1" applyAlignment="1">
      <alignment vertical="center"/>
    </xf>
    <xf numFmtId="0" fontId="4" fillId="0" borderId="0" xfId="0" applyFont="1" applyAlignment="1">
      <alignment vertical="center" wrapText="1"/>
    </xf>
    <xf numFmtId="0" fontId="11" fillId="0" borderId="0" xfId="15" applyFont="1" applyAlignment="1">
      <alignment vertical="center"/>
    </xf>
    <xf numFmtId="170" fontId="4" fillId="0" borderId="0" xfId="0" applyNumberFormat="1" applyFont="1" applyAlignment="1">
      <alignment vertical="center"/>
    </xf>
    <xf numFmtId="0" fontId="57" fillId="0" borderId="0" xfId="0" applyFont="1" applyAlignment="1">
      <alignment vertical="center"/>
    </xf>
    <xf numFmtId="0" fontId="4" fillId="0" borderId="0" xfId="0" applyFont="1" applyAlignment="1">
      <alignment horizontal="left" vertical="center"/>
    </xf>
    <xf numFmtId="0" fontId="59" fillId="0" borderId="0" xfId="0" applyFont="1" applyAlignment="1">
      <alignment vertical="center" wrapText="1"/>
    </xf>
    <xf numFmtId="0" fontId="51" fillId="0" borderId="0" xfId="69" applyFont="1" applyAlignment="1">
      <alignment horizontal="center"/>
    </xf>
    <xf numFmtId="0" fontId="61" fillId="0" borderId="0" xfId="0" applyFont="1" applyAlignment="1">
      <alignment vertical="center"/>
    </xf>
    <xf numFmtId="0" fontId="61" fillId="0" borderId="20" xfId="0" applyFont="1" applyBorder="1" applyAlignment="1">
      <alignment horizontal="center" vertical="center" wrapText="1"/>
    </xf>
    <xf numFmtId="0" fontId="15" fillId="0" borderId="0" xfId="0" applyFont="1"/>
    <xf numFmtId="0" fontId="13" fillId="2" borderId="35" xfId="0" applyFont="1" applyFill="1" applyBorder="1" applyAlignment="1">
      <alignment horizontal="center" vertical="center"/>
    </xf>
    <xf numFmtId="44" fontId="13" fillId="2" borderId="34" xfId="2" applyFont="1" applyFill="1" applyBorder="1" applyAlignment="1">
      <alignment horizontal="center" vertical="center"/>
    </xf>
    <xf numFmtId="44" fontId="13" fillId="6" borderId="35" xfId="0" applyNumberFormat="1" applyFont="1" applyFill="1" applyBorder="1" applyAlignment="1">
      <alignment horizontal="center" vertical="center" wrapText="1"/>
    </xf>
    <xf numFmtId="44" fontId="13" fillId="6" borderId="34" xfId="0" applyNumberFormat="1" applyFont="1" applyFill="1" applyBorder="1" applyAlignment="1">
      <alignment horizontal="center" vertical="center" wrapText="1"/>
    </xf>
    <xf numFmtId="0" fontId="11" fillId="0" borderId="0" xfId="0" applyFont="1" applyAlignment="1">
      <alignment horizontal="center"/>
    </xf>
    <xf numFmtId="4" fontId="17" fillId="0" borderId="66" xfId="1" applyNumberFormat="1" applyFont="1" applyFill="1" applyBorder="1" applyAlignment="1">
      <alignment vertical="center"/>
    </xf>
    <xf numFmtId="4" fontId="17" fillId="0" borderId="14" xfId="1" applyNumberFormat="1" applyFont="1" applyFill="1" applyBorder="1" applyAlignment="1">
      <alignment vertical="center"/>
    </xf>
    <xf numFmtId="4" fontId="17" fillId="0" borderId="14" xfId="1" applyNumberFormat="1" applyFont="1" applyFill="1" applyBorder="1" applyAlignment="1">
      <alignment horizontal="right" vertical="center"/>
    </xf>
    <xf numFmtId="4" fontId="17" fillId="0" borderId="14" xfId="1" applyNumberFormat="1" applyFont="1" applyFill="1" applyBorder="1"/>
    <xf numFmtId="4" fontId="0" fillId="0" borderId="0" xfId="0" applyNumberFormat="1"/>
    <xf numFmtId="43" fontId="18" fillId="4" borderId="0" xfId="4" applyFont="1" applyFill="1" applyBorder="1" applyAlignment="1">
      <alignment horizontal="right" vertical="top" wrapText="1"/>
    </xf>
    <xf numFmtId="10" fontId="12" fillId="0" borderId="65" xfId="35" applyNumberFormat="1" applyFont="1" applyBorder="1" applyAlignment="1">
      <alignment horizontal="center" vertical="center"/>
    </xf>
    <xf numFmtId="0" fontId="12" fillId="0" borderId="65" xfId="35" applyFont="1" applyBorder="1" applyAlignment="1">
      <alignment horizontal="center" vertical="center" wrapText="1"/>
    </xf>
    <xf numFmtId="4" fontId="30" fillId="0" borderId="65" xfId="35" applyNumberFormat="1" applyFont="1" applyBorder="1" applyAlignment="1">
      <alignment horizontal="center" vertical="center"/>
    </xf>
    <xf numFmtId="0" fontId="12" fillId="5" borderId="61" xfId="35" applyFont="1" applyFill="1" applyBorder="1" applyAlignment="1" applyProtection="1">
      <alignment wrapText="1"/>
      <protection locked="0"/>
    </xf>
    <xf numFmtId="0" fontId="26" fillId="5" borderId="62" xfId="35" applyFill="1" applyBorder="1" applyAlignment="1" applyProtection="1">
      <alignment wrapText="1"/>
      <protection locked="0"/>
    </xf>
    <xf numFmtId="0" fontId="26" fillId="5" borderId="63" xfId="35" applyFill="1" applyBorder="1" applyAlignment="1" applyProtection="1">
      <alignment horizontal="right"/>
      <protection locked="0"/>
    </xf>
    <xf numFmtId="43" fontId="17" fillId="0" borderId="14" xfId="0" applyNumberFormat="1" applyFont="1" applyBorder="1" applyAlignment="1">
      <alignment vertical="center"/>
    </xf>
    <xf numFmtId="43" fontId="20" fillId="0" borderId="0" xfId="1" applyFont="1" applyFill="1" applyAlignment="1">
      <alignment vertical="center"/>
    </xf>
    <xf numFmtId="1" fontId="13" fillId="0" borderId="36" xfId="0" applyNumberFormat="1" applyFont="1" applyBorder="1" applyAlignment="1">
      <alignment horizontal="center" vertical="center"/>
    </xf>
    <xf numFmtId="1" fontId="6" fillId="0" borderId="3" xfId="0" applyNumberFormat="1" applyFont="1" applyBorder="1" applyAlignment="1">
      <alignment horizontal="center" vertical="center"/>
    </xf>
    <xf numFmtId="0" fontId="11" fillId="0" borderId="5" xfId="0" applyFont="1" applyBorder="1" applyAlignment="1">
      <alignment horizontal="center" vertical="center"/>
    </xf>
    <xf numFmtId="43" fontId="13" fillId="2" borderId="46" xfId="1" applyFont="1" applyFill="1" applyBorder="1" applyAlignment="1">
      <alignment horizontal="right" vertical="center"/>
    </xf>
    <xf numFmtId="44" fontId="13" fillId="2" borderId="50" xfId="0" applyNumberFormat="1" applyFont="1" applyFill="1" applyBorder="1" applyAlignment="1">
      <alignment horizontal="center" vertical="center"/>
    </xf>
    <xf numFmtId="44" fontId="13" fillId="2" borderId="69" xfId="2" applyFont="1" applyFill="1" applyBorder="1" applyAlignment="1">
      <alignment horizontal="center" vertical="center"/>
    </xf>
    <xf numFmtId="44" fontId="13" fillId="2" borderId="55" xfId="2" applyFont="1" applyFill="1" applyBorder="1" applyAlignment="1">
      <alignment horizontal="center" vertical="center"/>
    </xf>
    <xf numFmtId="44" fontId="13" fillId="6" borderId="36" xfId="0" applyNumberFormat="1" applyFont="1" applyFill="1" applyBorder="1" applyAlignment="1">
      <alignment horizontal="center" vertical="center" wrapText="1"/>
    </xf>
    <xf numFmtId="44" fontId="13" fillId="6" borderId="47" xfId="0" applyNumberFormat="1" applyFont="1" applyFill="1" applyBorder="1" applyAlignment="1">
      <alignment horizontal="center" vertical="center" wrapText="1"/>
    </xf>
    <xf numFmtId="49" fontId="3" fillId="0" borderId="24" xfId="1" applyNumberFormat="1" applyFont="1" applyFill="1" applyBorder="1" applyAlignment="1">
      <alignment vertical="center"/>
    </xf>
    <xf numFmtId="0" fontId="0" fillId="0" borderId="17" xfId="0" applyBorder="1"/>
    <xf numFmtId="0" fontId="6" fillId="0" borderId="16" xfId="0" applyFont="1" applyBorder="1"/>
    <xf numFmtId="0" fontId="6" fillId="0" borderId="8" xfId="0" applyFont="1" applyBorder="1"/>
    <xf numFmtId="0" fontId="6" fillId="0" borderId="19" xfId="0" applyFont="1" applyBorder="1"/>
    <xf numFmtId="44" fontId="13" fillId="2" borderId="36" xfId="2" applyFont="1" applyFill="1" applyBorder="1" applyAlignment="1">
      <alignment horizontal="center" vertical="center"/>
    </xf>
    <xf numFmtId="0" fontId="4" fillId="0" borderId="6" xfId="69" applyFont="1" applyBorder="1"/>
    <xf numFmtId="43" fontId="8" fillId="2" borderId="67" xfId="1" applyFont="1" applyFill="1" applyBorder="1" applyAlignment="1">
      <alignment vertical="top" wrapText="1"/>
    </xf>
    <xf numFmtId="2" fontId="40" fillId="2" borderId="0" xfId="0" applyNumberFormat="1" applyFont="1" applyFill="1"/>
    <xf numFmtId="2" fontId="40" fillId="2" borderId="5" xfId="0" applyNumberFormat="1" applyFont="1" applyFill="1" applyBorder="1"/>
    <xf numFmtId="0" fontId="0" fillId="6" borderId="0" xfId="0" applyFill="1" applyAlignment="1">
      <alignment horizontal="center" vertical="center" wrapText="1"/>
    </xf>
    <xf numFmtId="43" fontId="17" fillId="0" borderId="14" xfId="1" applyFont="1" applyBorder="1" applyAlignment="1">
      <alignment vertical="center"/>
    </xf>
    <xf numFmtId="0" fontId="28" fillId="0" borderId="14" xfId="0" applyFont="1" applyBorder="1" applyAlignment="1">
      <alignment horizontal="center" vertical="center"/>
    </xf>
    <xf numFmtId="43" fontId="16" fillId="0" borderId="0" xfId="1" applyFont="1" applyFill="1" applyAlignment="1">
      <alignment horizontal="right" vertical="center"/>
    </xf>
    <xf numFmtId="43" fontId="19" fillId="0" borderId="0" xfId="1" applyFont="1" applyFill="1" applyAlignment="1">
      <alignment horizontal="right" vertical="center" wrapText="1"/>
    </xf>
    <xf numFmtId="43" fontId="16" fillId="0" borderId="0" xfId="1" applyFont="1" applyFill="1" applyAlignment="1">
      <alignment horizontal="right" vertical="center" wrapText="1"/>
    </xf>
    <xf numFmtId="0" fontId="28" fillId="0" borderId="14" xfId="0" applyFont="1" applyBorder="1" applyAlignment="1">
      <alignment horizontal="left" vertical="center"/>
    </xf>
    <xf numFmtId="43" fontId="20" fillId="0" borderId="0" xfId="1" applyFont="1" applyBorder="1"/>
    <xf numFmtId="43" fontId="20" fillId="0" borderId="0" xfId="1" applyFont="1" applyBorder="1" applyAlignment="1">
      <alignment vertical="center"/>
    </xf>
    <xf numFmtId="169" fontId="17" fillId="0" borderId="0" xfId="1" applyNumberFormat="1" applyFont="1" applyBorder="1" applyAlignment="1">
      <alignment horizontal="center" vertical="center"/>
    </xf>
    <xf numFmtId="4" fontId="29" fillId="0" borderId="66" xfId="1" applyNumberFormat="1" applyFont="1" applyFill="1" applyBorder="1" applyAlignment="1">
      <alignment vertical="center"/>
    </xf>
    <xf numFmtId="4" fontId="29" fillId="0" borderId="14" xfId="1" applyNumberFormat="1" applyFont="1" applyFill="1" applyBorder="1" applyAlignment="1">
      <alignment vertical="center"/>
    </xf>
    <xf numFmtId="43" fontId="19" fillId="0" borderId="0" xfId="1" applyFont="1" applyBorder="1" applyAlignment="1">
      <alignment vertical="center"/>
    </xf>
    <xf numFmtId="43" fontId="21" fillId="0" borderId="0" xfId="1" applyFont="1" applyBorder="1" applyAlignment="1">
      <alignment horizontal="right" vertical="center"/>
    </xf>
    <xf numFmtId="43" fontId="17" fillId="0" borderId="0" xfId="1" applyFont="1" applyBorder="1" applyAlignment="1">
      <alignment horizontal="right" vertical="center"/>
    </xf>
    <xf numFmtId="43" fontId="17" fillId="2" borderId="0" xfId="1" applyFont="1" applyFill="1" applyBorder="1" applyAlignment="1">
      <alignment horizontal="right" vertical="center"/>
    </xf>
    <xf numFmtId="43" fontId="17" fillId="2" borderId="0" xfId="1" applyFont="1" applyFill="1" applyBorder="1" applyAlignment="1">
      <alignment vertical="center"/>
    </xf>
    <xf numFmtId="43" fontId="17" fillId="0" borderId="0" xfId="79" applyFont="1" applyBorder="1" applyAlignment="1">
      <alignment horizontal="center" vertical="center"/>
    </xf>
    <xf numFmtId="2" fontId="40" fillId="0" borderId="0" xfId="361" applyNumberFormat="1" applyFont="1" applyFill="1"/>
    <xf numFmtId="49" fontId="3" fillId="0" borderId="5" xfId="1" applyNumberFormat="1" applyFont="1" applyFill="1" applyBorder="1" applyAlignment="1">
      <alignment vertical="center"/>
    </xf>
    <xf numFmtId="49" fontId="3" fillId="0" borderId="0" xfId="1" applyNumberFormat="1" applyFont="1" applyFill="1" applyBorder="1" applyAlignment="1">
      <alignment vertical="center"/>
    </xf>
    <xf numFmtId="49" fontId="3" fillId="0" borderId="2" xfId="1" applyNumberFormat="1" applyFont="1" applyFill="1" applyBorder="1" applyAlignment="1">
      <alignment horizontal="left" vertical="top"/>
    </xf>
    <xf numFmtId="0" fontId="8" fillId="2" borderId="4" xfId="1" applyNumberFormat="1" applyFont="1" applyFill="1" applyBorder="1" applyAlignment="1">
      <alignment vertical="top"/>
    </xf>
    <xf numFmtId="2" fontId="40" fillId="2" borderId="0" xfId="0" applyNumberFormat="1" applyFont="1" applyFill="1" applyAlignment="1">
      <alignment vertical="center"/>
    </xf>
    <xf numFmtId="2" fontId="4" fillId="2" borderId="0" xfId="1197" applyNumberFormat="1" applyFont="1" applyFill="1" applyBorder="1" applyAlignment="1">
      <alignment vertical="center"/>
    </xf>
    <xf numFmtId="0" fontId="17" fillId="0" borderId="0" xfId="0" applyFont="1" applyAlignment="1">
      <alignment horizontal="right" vertical="center"/>
    </xf>
    <xf numFmtId="0" fontId="18" fillId="0" borderId="0" xfId="0" applyFont="1" applyAlignment="1">
      <alignment vertical="center"/>
    </xf>
    <xf numFmtId="0" fontId="18" fillId="0" borderId="0" xfId="0" applyFont="1" applyAlignment="1">
      <alignment vertical="center" wrapText="1"/>
    </xf>
    <xf numFmtId="0" fontId="18" fillId="0" borderId="0" xfId="0" applyFont="1" applyAlignment="1">
      <alignment horizontal="center" vertical="center"/>
    </xf>
    <xf numFmtId="0" fontId="22" fillId="0" borderId="0" xfId="0" applyFont="1" applyAlignment="1">
      <alignment horizontal="center" vertical="center"/>
    </xf>
    <xf numFmtId="49" fontId="16" fillId="0" borderId="0" xfId="0" applyNumberFormat="1" applyFont="1" applyAlignment="1">
      <alignment vertical="center"/>
    </xf>
    <xf numFmtId="0" fontId="16" fillId="0" borderId="0" xfId="0" applyFont="1" applyAlignment="1">
      <alignment horizontal="center" vertical="center"/>
    </xf>
    <xf numFmtId="0" fontId="18" fillId="0" borderId="0" xfId="0" applyFont="1"/>
    <xf numFmtId="0" fontId="17" fillId="0" borderId="0" xfId="0" quotePrefix="1" applyFont="1" applyAlignment="1">
      <alignment vertical="center"/>
    </xf>
    <xf numFmtId="0" fontId="17" fillId="0" borderId="0" xfId="0" quotePrefix="1" applyFont="1" applyAlignment="1">
      <alignment horizontal="left" vertical="center"/>
    </xf>
    <xf numFmtId="49" fontId="17" fillId="0" borderId="0" xfId="0" applyNumberFormat="1" applyFont="1" applyAlignment="1">
      <alignment horizontal="left" vertical="center"/>
    </xf>
    <xf numFmtId="49" fontId="47" fillId="0" borderId="0" xfId="167" applyNumberFormat="1" applyFont="1" applyAlignment="1">
      <alignment horizontal="center" vertical="center"/>
    </xf>
    <xf numFmtId="0" fontId="20" fillId="0" borderId="0" xfId="0" applyFont="1" applyAlignment="1">
      <alignment horizontal="right" vertical="center"/>
    </xf>
    <xf numFmtId="0" fontId="17" fillId="0" borderId="13" xfId="0" applyFont="1" applyBorder="1" applyAlignment="1">
      <alignment horizontal="right" vertical="center"/>
    </xf>
    <xf numFmtId="0" fontId="22" fillId="0" borderId="0" xfId="0" applyFont="1" applyAlignment="1">
      <alignment horizontal="right" vertical="center"/>
    </xf>
    <xf numFmtId="0" fontId="22" fillId="0" borderId="0" xfId="0" applyFont="1" applyAlignment="1">
      <alignment vertical="center"/>
    </xf>
    <xf numFmtId="49" fontId="18" fillId="0" borderId="0" xfId="167" applyNumberFormat="1" applyFont="1" applyAlignment="1">
      <alignment horizontal="left" vertical="center"/>
    </xf>
    <xf numFmtId="0" fontId="22" fillId="0" borderId="0" xfId="0" applyFont="1" applyAlignment="1">
      <alignment vertical="center" wrapText="1"/>
    </xf>
    <xf numFmtId="0" fontId="22" fillId="0" borderId="13" xfId="0" applyFont="1" applyBorder="1" applyAlignment="1">
      <alignment vertical="center"/>
    </xf>
    <xf numFmtId="49" fontId="28" fillId="0" borderId="0" xfId="0" applyNumberFormat="1" applyFont="1" applyAlignment="1">
      <alignment horizontal="left" vertical="center"/>
    </xf>
    <xf numFmtId="4" fontId="22" fillId="0" borderId="14" xfId="0" applyNumberFormat="1" applyFont="1" applyBorder="1" applyAlignment="1">
      <alignment horizontal="center" vertical="center"/>
    </xf>
    <xf numFmtId="0" fontId="18" fillId="0" borderId="14" xfId="0" applyFont="1" applyBorder="1" applyAlignment="1">
      <alignment vertical="center"/>
    </xf>
    <xf numFmtId="0" fontId="17" fillId="0" borderId="14" xfId="22" applyFont="1" applyBorder="1" applyAlignment="1">
      <alignment vertical="center" wrapText="1"/>
    </xf>
    <xf numFmtId="0" fontId="17" fillId="0" borderId="14" xfId="22" applyFont="1" applyBorder="1" applyAlignment="1">
      <alignment horizontal="center" vertical="center"/>
    </xf>
    <xf numFmtId="0" fontId="18" fillId="4" borderId="14" xfId="0" applyFont="1" applyFill="1" applyBorder="1" applyAlignment="1">
      <alignment horizontal="left" vertical="top"/>
    </xf>
    <xf numFmtId="0" fontId="18" fillId="4" borderId="14" xfId="0" applyFont="1" applyFill="1" applyBorder="1" applyAlignment="1">
      <alignment horizontal="center" vertical="top"/>
    </xf>
    <xf numFmtId="0" fontId="18" fillId="0" borderId="14" xfId="0" applyFont="1" applyBorder="1" applyAlignment="1">
      <alignment horizontal="left" vertical="center" wrapText="1"/>
    </xf>
    <xf numFmtId="0" fontId="18" fillId="0" borderId="14" xfId="0" applyFont="1" applyBorder="1" applyAlignment="1">
      <alignment horizontal="center" vertical="center"/>
    </xf>
    <xf numFmtId="0" fontId="18" fillId="4" borderId="14" xfId="0" applyFont="1" applyFill="1" applyBorder="1" applyAlignment="1">
      <alignment horizontal="left" vertical="top" wrapText="1"/>
    </xf>
    <xf numFmtId="0" fontId="18" fillId="4" borderId="14" xfId="0" applyFont="1" applyFill="1" applyBorder="1" applyAlignment="1">
      <alignment horizontal="center" vertical="center" wrapText="1"/>
    </xf>
    <xf numFmtId="0" fontId="28" fillId="0" borderId="14" xfId="0" applyFont="1" applyBorder="1" applyAlignment="1">
      <alignment horizontal="left" vertical="center" wrapText="1"/>
    </xf>
    <xf numFmtId="0" fontId="18" fillId="0" borderId="14" xfId="0" applyFont="1" applyBorder="1" applyAlignment="1">
      <alignment horizontal="center" vertical="center" wrapText="1"/>
    </xf>
    <xf numFmtId="0" fontId="17" fillId="0" borderId="14" xfId="22" applyFont="1" applyBorder="1" applyAlignment="1">
      <alignment horizontal="center" vertical="center" wrapText="1"/>
    </xf>
    <xf numFmtId="49" fontId="16" fillId="0" borderId="0" xfId="0" applyNumberFormat="1" applyFont="1" applyAlignment="1">
      <alignment vertical="center" wrapText="1"/>
    </xf>
    <xf numFmtId="0" fontId="16" fillId="0" borderId="0" xfId="0" applyFont="1" applyAlignment="1">
      <alignment horizontal="center" vertical="center" wrapText="1"/>
    </xf>
    <xf numFmtId="0" fontId="17" fillId="0" borderId="14" xfId="167" applyFont="1" applyBorder="1" applyAlignment="1">
      <alignment vertical="center"/>
    </xf>
    <xf numFmtId="0" fontId="17" fillId="0" borderId="14" xfId="167" applyFont="1" applyBorder="1" applyAlignment="1">
      <alignment vertical="center" wrapText="1"/>
    </xf>
    <xf numFmtId="0" fontId="17" fillId="0" borderId="14" xfId="167" applyFont="1" applyBorder="1" applyAlignment="1">
      <alignment horizontal="center" vertical="center"/>
    </xf>
    <xf numFmtId="0" fontId="17" fillId="0" borderId="14" xfId="0" quotePrefix="1" applyFont="1" applyBorder="1" applyAlignment="1">
      <alignment vertical="center"/>
    </xf>
    <xf numFmtId="0" fontId="18" fillId="0" borderId="14" xfId="0" applyFont="1" applyBorder="1" applyAlignment="1">
      <alignment vertical="center" wrapText="1"/>
    </xf>
    <xf numFmtId="0" fontId="18" fillId="0" borderId="14" xfId="0" applyFont="1" applyBorder="1"/>
    <xf numFmtId="0" fontId="18" fillId="0" borderId="14" xfId="0" applyFont="1" applyBorder="1" applyAlignment="1">
      <alignment wrapText="1"/>
    </xf>
    <xf numFmtId="0" fontId="18" fillId="0" borderId="14" xfId="0" applyFont="1" applyBorder="1" applyAlignment="1">
      <alignment horizontal="center"/>
    </xf>
    <xf numFmtId="0" fontId="17" fillId="0" borderId="14" xfId="0" quotePrefix="1" applyFont="1" applyBorder="1" applyAlignment="1">
      <alignment horizontal="left" vertical="center"/>
    </xf>
    <xf numFmtId="0" fontId="20" fillId="0" borderId="13" xfId="0" applyFont="1" applyBorder="1" applyAlignment="1">
      <alignment horizontal="left" vertical="center"/>
    </xf>
    <xf numFmtId="0" fontId="20" fillId="0" borderId="13" xfId="0" applyFont="1" applyBorder="1" applyAlignment="1">
      <alignment horizontal="left" vertical="center" wrapText="1"/>
    </xf>
    <xf numFmtId="0" fontId="20" fillId="0" borderId="13" xfId="0" applyFont="1" applyBorder="1" applyAlignment="1" applyProtection="1">
      <alignment horizontal="center" vertical="center"/>
      <protection locked="0"/>
    </xf>
    <xf numFmtId="49" fontId="20" fillId="0" borderId="0" xfId="0" applyNumberFormat="1" applyFont="1" applyAlignment="1">
      <alignment horizontal="center" vertical="center"/>
    </xf>
    <xf numFmtId="0" fontId="17" fillId="0" borderId="13" xfId="0" applyFont="1" applyBorder="1" applyAlignment="1">
      <alignment horizontal="center" vertical="center"/>
    </xf>
    <xf numFmtId="0" fontId="20" fillId="0" borderId="0" xfId="0" applyFont="1" applyAlignment="1">
      <alignment horizontal="left"/>
    </xf>
    <xf numFmtId="49" fontId="20" fillId="0" borderId="0" xfId="0" applyNumberFormat="1" applyFont="1"/>
    <xf numFmtId="0" fontId="17" fillId="0" borderId="0" xfId="0" applyFont="1" applyAlignment="1">
      <alignment horizontal="center"/>
    </xf>
    <xf numFmtId="168" fontId="20" fillId="0" borderId="0" xfId="0" applyNumberFormat="1" applyFont="1" applyAlignment="1">
      <alignment horizontal="right"/>
    </xf>
    <xf numFmtId="49" fontId="17" fillId="0" borderId="0" xfId="0" applyNumberFormat="1" applyFont="1"/>
    <xf numFmtId="0" fontId="17" fillId="0" borderId="0" xfId="0" applyFont="1" applyAlignment="1">
      <alignment horizontal="left"/>
    </xf>
    <xf numFmtId="0" fontId="28" fillId="0" borderId="0" xfId="0" applyFont="1" applyAlignment="1">
      <alignment horizontal="right"/>
    </xf>
    <xf numFmtId="0" fontId="28" fillId="0" borderId="0" xfId="0" applyFont="1"/>
    <xf numFmtId="0" fontId="17" fillId="0" borderId="0" xfId="0" applyFont="1" applyAlignment="1">
      <alignment horizontal="right"/>
    </xf>
    <xf numFmtId="0" fontId="20" fillId="0" borderId="0" xfId="0" applyFont="1" applyAlignment="1">
      <alignment horizontal="center" wrapText="1"/>
    </xf>
    <xf numFmtId="49" fontId="28" fillId="0" borderId="0" xfId="0" applyNumberFormat="1" applyFont="1" applyAlignment="1">
      <alignment horizontal="center"/>
    </xf>
    <xf numFmtId="0" fontId="28" fillId="0" borderId="0" xfId="0" applyFont="1" applyAlignment="1">
      <alignment horizontal="center"/>
    </xf>
    <xf numFmtId="0" fontId="19" fillId="0" borderId="0" xfId="0" applyFont="1"/>
    <xf numFmtId="0" fontId="17" fillId="0" borderId="15" xfId="0" applyFont="1" applyBorder="1" applyAlignment="1">
      <alignment horizontal="center" vertical="center"/>
    </xf>
    <xf numFmtId="0" fontId="28" fillId="0" borderId="0" xfId="0" applyFont="1" applyAlignment="1">
      <alignment horizontal="center" vertical="center"/>
    </xf>
    <xf numFmtId="0" fontId="28" fillId="0" borderId="0" xfId="0" applyFont="1" applyAlignment="1">
      <alignment horizontal="left" vertical="center"/>
    </xf>
    <xf numFmtId="0" fontId="54" fillId="0" borderId="13" xfId="0" applyFont="1" applyBorder="1" applyAlignment="1">
      <alignment horizontal="left" vertical="center"/>
    </xf>
    <xf numFmtId="4" fontId="20" fillId="0" borderId="0" xfId="0" applyNumberFormat="1" applyFont="1" applyAlignment="1">
      <alignment horizontal="right" vertical="center"/>
    </xf>
    <xf numFmtId="4" fontId="20" fillId="0" borderId="0" xfId="0" applyNumberFormat="1" applyFont="1" applyAlignment="1">
      <alignment horizontal="center" vertical="center" wrapText="1"/>
    </xf>
    <xf numFmtId="4" fontId="20" fillId="0" borderId="0" xfId="0" applyNumberFormat="1" applyFont="1"/>
    <xf numFmtId="0" fontId="17" fillId="0" borderId="14" xfId="0" applyFont="1" applyBorder="1" applyAlignment="1">
      <alignment horizontal="left" vertical="top"/>
    </xf>
    <xf numFmtId="4" fontId="17" fillId="0" borderId="0" xfId="0" applyNumberFormat="1" applyFont="1"/>
    <xf numFmtId="0" fontId="17" fillId="0" borderId="14" xfId="0" applyFont="1" applyBorder="1" applyAlignment="1">
      <alignment horizontal="center"/>
    </xf>
    <xf numFmtId="0" fontId="17" fillId="0" borderId="14" xfId="0" applyFont="1" applyBorder="1" applyAlignment="1">
      <alignment horizontal="left"/>
    </xf>
    <xf numFmtId="4" fontId="17" fillId="0" borderId="14" xfId="0" applyNumberFormat="1" applyFont="1" applyBorder="1"/>
    <xf numFmtId="0" fontId="17" fillId="0" borderId="15" xfId="0" applyFont="1" applyBorder="1" applyAlignment="1">
      <alignment horizontal="left" vertical="center"/>
    </xf>
    <xf numFmtId="0" fontId="54" fillId="0" borderId="14" xfId="0" applyFont="1" applyBorder="1" applyAlignment="1">
      <alignment horizontal="left" vertical="center"/>
    </xf>
    <xf numFmtId="49" fontId="28" fillId="0" borderId="0" xfId="0" applyNumberFormat="1" applyFont="1" applyAlignment="1">
      <alignment horizontal="left"/>
    </xf>
    <xf numFmtId="0" fontId="66" fillId="0" borderId="14" xfId="0" applyFont="1" applyBorder="1"/>
    <xf numFmtId="49" fontId="21" fillId="0" borderId="0" xfId="0" applyNumberFormat="1" applyFont="1" applyAlignment="1">
      <alignment horizontal="center"/>
    </xf>
    <xf numFmtId="0" fontId="4" fillId="0" borderId="6" xfId="0" applyFont="1" applyBorder="1" applyAlignment="1">
      <alignment horizontal="left" vertical="center" wrapText="1"/>
    </xf>
    <xf numFmtId="171" fontId="4" fillId="0" borderId="74" xfId="0" applyNumberFormat="1" applyFont="1" applyBorder="1" applyAlignment="1">
      <alignment vertical="center"/>
    </xf>
    <xf numFmtId="0" fontId="4" fillId="0" borderId="77" xfId="0" applyFont="1" applyBorder="1" applyAlignment="1">
      <alignment horizontal="center" vertical="center"/>
    </xf>
    <xf numFmtId="0" fontId="17" fillId="0" borderId="0" xfId="0" applyFont="1" applyAlignment="1">
      <alignment wrapText="1"/>
    </xf>
    <xf numFmtId="0" fontId="18" fillId="4" borderId="13" xfId="0" applyFont="1" applyFill="1" applyBorder="1" applyAlignment="1">
      <alignment horizontal="left" vertical="top"/>
    </xf>
    <xf numFmtId="0" fontId="18" fillId="4" borderId="13" xfId="0" applyFont="1" applyFill="1" applyBorder="1" applyAlignment="1">
      <alignment horizontal="center" vertical="top"/>
    </xf>
    <xf numFmtId="4" fontId="17" fillId="0" borderId="0" xfId="0" applyNumberFormat="1" applyFont="1" applyAlignment="1">
      <alignment vertical="center"/>
    </xf>
    <xf numFmtId="0" fontId="17" fillId="0" borderId="0" xfId="1" applyNumberFormat="1" applyFont="1" applyFill="1" applyAlignment="1">
      <alignment vertical="center"/>
    </xf>
    <xf numFmtId="0" fontId="11" fillId="0" borderId="5" xfId="69" applyFont="1" applyBorder="1" applyAlignment="1">
      <alignment horizontal="center"/>
    </xf>
    <xf numFmtId="0" fontId="11" fillId="0" borderId="0" xfId="69" applyFont="1" applyAlignment="1">
      <alignment horizontal="center"/>
    </xf>
    <xf numFmtId="0" fontId="11" fillId="0" borderId="6" xfId="69" applyFont="1" applyBorder="1" applyAlignment="1">
      <alignment horizontal="center"/>
    </xf>
    <xf numFmtId="0" fontId="10" fillId="0" borderId="2" xfId="69" applyFont="1" applyBorder="1" applyAlignment="1">
      <alignment horizontal="left"/>
    </xf>
    <xf numFmtId="0" fontId="10" fillId="0" borderId="21" xfId="69" applyFont="1" applyBorder="1" applyAlignment="1">
      <alignment horizontal="left"/>
    </xf>
    <xf numFmtId="0" fontId="10" fillId="0" borderId="24" xfId="69" applyFont="1" applyBorder="1" applyAlignment="1">
      <alignment horizontal="left"/>
    </xf>
    <xf numFmtId="0" fontId="10" fillId="0" borderId="5" xfId="69" applyFont="1" applyBorder="1" applyAlignment="1">
      <alignment horizontal="left"/>
    </xf>
    <xf numFmtId="0" fontId="11" fillId="0" borderId="0" xfId="69" applyFont="1" applyAlignment="1">
      <alignment horizontal="left"/>
    </xf>
    <xf numFmtId="0" fontId="11" fillId="0" borderId="0" xfId="69" applyFont="1"/>
    <xf numFmtId="0" fontId="11" fillId="0" borderId="6" xfId="69" applyFont="1" applyBorder="1"/>
    <xf numFmtId="49" fontId="11" fillId="0" borderId="5" xfId="0" applyNumberFormat="1" applyFont="1" applyBorder="1" applyAlignment="1">
      <alignment vertical="center"/>
    </xf>
    <xf numFmtId="3" fontId="11" fillId="0" borderId="0" xfId="0" applyNumberFormat="1" applyFont="1" applyAlignment="1">
      <alignment vertical="center" wrapText="1"/>
    </xf>
    <xf numFmtId="0" fontId="11" fillId="0" borderId="6" xfId="0" applyFont="1" applyBorder="1" applyAlignment="1">
      <alignment horizontal="center" vertical="center"/>
    </xf>
    <xf numFmtId="0" fontId="11" fillId="0" borderId="5" xfId="11" applyFont="1" applyBorder="1" applyAlignment="1">
      <alignment horizontal="center" vertical="center"/>
    </xf>
    <xf numFmtId="0" fontId="11" fillId="0" borderId="0" xfId="11" applyFont="1" applyAlignment="1">
      <alignment horizontal="center" vertical="center"/>
    </xf>
    <xf numFmtId="0" fontId="11" fillId="0" borderId="6" xfId="11" applyFont="1" applyBorder="1" applyAlignment="1">
      <alignment horizontal="center" vertical="center"/>
    </xf>
    <xf numFmtId="2" fontId="11" fillId="0" borderId="6" xfId="0" applyNumberFormat="1" applyFont="1" applyBorder="1" applyAlignment="1">
      <alignment vertical="center"/>
    </xf>
    <xf numFmtId="0" fontId="10" fillId="0" borderId="5" xfId="0" applyFont="1" applyBorder="1" applyAlignment="1">
      <alignment vertical="center" wrapText="1"/>
    </xf>
    <xf numFmtId="0" fontId="11" fillId="0" borderId="6" xfId="0" applyFont="1" applyBorder="1" applyAlignment="1">
      <alignment vertical="center"/>
    </xf>
    <xf numFmtId="0" fontId="10" fillId="5" borderId="29" xfId="0" applyFont="1" applyFill="1" applyBorder="1" applyAlignment="1">
      <alignment vertical="center" wrapText="1"/>
    </xf>
    <xf numFmtId="44" fontId="4" fillId="0" borderId="0" xfId="0" applyNumberFormat="1" applyFont="1" applyAlignment="1">
      <alignment vertical="center"/>
    </xf>
    <xf numFmtId="0" fontId="11" fillId="5" borderId="76" xfId="0" applyFont="1" applyFill="1" applyBorder="1" applyAlignment="1">
      <alignment vertical="center"/>
    </xf>
    <xf numFmtId="0" fontId="10" fillId="5" borderId="30" xfId="0" applyFont="1" applyFill="1" applyBorder="1" applyAlignment="1">
      <alignment vertical="center" wrapText="1"/>
    </xf>
    <xf numFmtId="0" fontId="11" fillId="0" borderId="0" xfId="0" applyFont="1" applyAlignment="1">
      <alignment vertical="center" wrapText="1"/>
    </xf>
    <xf numFmtId="44" fontId="4" fillId="0" borderId="0" xfId="2" applyFont="1" applyAlignment="1">
      <alignment vertical="center"/>
    </xf>
    <xf numFmtId="0" fontId="11" fillId="0" borderId="5" xfId="15" applyFont="1" applyBorder="1" applyAlignment="1">
      <alignment vertical="center"/>
    </xf>
    <xf numFmtId="0" fontId="11" fillId="0" borderId="6" xfId="0" applyFont="1" applyBorder="1" applyAlignment="1">
      <alignment vertical="center" wrapText="1"/>
    </xf>
    <xf numFmtId="0" fontId="10" fillId="0" borderId="8" xfId="0" applyFont="1" applyBorder="1" applyAlignment="1">
      <alignment vertical="center" wrapText="1"/>
    </xf>
    <xf numFmtId="0" fontId="11" fillId="0" borderId="7" xfId="0" applyFont="1" applyBorder="1" applyAlignment="1">
      <alignment vertical="center"/>
    </xf>
    <xf numFmtId="4" fontId="11" fillId="0" borderId="0" xfId="0" applyNumberFormat="1" applyFont="1" applyAlignment="1">
      <alignment vertical="center" wrapText="1"/>
    </xf>
    <xf numFmtId="4" fontId="11" fillId="0" borderId="0" xfId="0" applyNumberFormat="1" applyFont="1" applyAlignment="1">
      <alignment horizontal="center" vertical="center" wrapText="1"/>
    </xf>
    <xf numFmtId="0" fontId="11" fillId="0" borderId="0" xfId="0" applyFont="1" applyAlignment="1">
      <alignment vertical="center"/>
    </xf>
    <xf numFmtId="44" fontId="11" fillId="0" borderId="0" xfId="2" applyFont="1" applyFill="1" applyBorder="1" applyAlignment="1">
      <alignment vertical="center"/>
    </xf>
    <xf numFmtId="2" fontId="11" fillId="0" borderId="6" xfId="0" applyNumberFormat="1" applyFont="1" applyBorder="1" applyAlignment="1">
      <alignment horizontal="right" vertical="center"/>
    </xf>
    <xf numFmtId="2" fontId="11" fillId="0" borderId="0" xfId="0" applyNumberFormat="1" applyFont="1" applyAlignment="1">
      <alignment vertical="center"/>
    </xf>
    <xf numFmtId="0" fontId="10" fillId="0" borderId="5" xfId="0" applyFont="1" applyBorder="1" applyAlignment="1">
      <alignment vertical="center"/>
    </xf>
    <xf numFmtId="0" fontId="10" fillId="0" borderId="0" xfId="0" applyFont="1" applyAlignment="1">
      <alignment vertical="center"/>
    </xf>
    <xf numFmtId="0" fontId="10" fillId="0" borderId="6" xfId="0" applyFont="1" applyBorder="1" applyAlignment="1">
      <alignment vertical="center"/>
    </xf>
    <xf numFmtId="4" fontId="10" fillId="0" borderId="0" xfId="0" applyNumberFormat="1" applyFont="1" applyAlignment="1">
      <alignment vertical="center" wrapText="1"/>
    </xf>
    <xf numFmtId="0" fontId="11" fillId="0" borderId="8" xfId="0" applyFont="1" applyBorder="1" applyAlignment="1">
      <alignment horizontal="center" vertical="center"/>
    </xf>
    <xf numFmtId="2" fontId="11" fillId="0" borderId="7" xfId="0" applyNumberFormat="1" applyFont="1" applyBorder="1" applyAlignment="1">
      <alignment vertical="center"/>
    </xf>
    <xf numFmtId="43" fontId="6" fillId="0" borderId="4" xfId="1" applyFont="1" applyFill="1" applyBorder="1" applyAlignment="1">
      <alignment horizontal="right" vertical="center"/>
    </xf>
    <xf numFmtId="0" fontId="72" fillId="15" borderId="83" xfId="0" applyFont="1" applyFill="1" applyBorder="1" applyAlignment="1">
      <alignment horizontal="center" vertical="center"/>
    </xf>
    <xf numFmtId="0" fontId="72" fillId="15" borderId="83" xfId="0" applyFont="1" applyFill="1" applyBorder="1" applyAlignment="1">
      <alignment horizontal="left" vertical="center" wrapText="1" indent="1"/>
    </xf>
    <xf numFmtId="44" fontId="72" fillId="15" borderId="83" xfId="2" applyFont="1" applyFill="1" applyBorder="1" applyAlignment="1">
      <alignment horizontal="left" vertical="center" wrapText="1" indent="1"/>
    </xf>
    <xf numFmtId="0" fontId="28" fillId="0" borderId="14" xfId="0" applyFont="1" applyBorder="1" applyAlignment="1">
      <alignment horizontal="center"/>
    </xf>
    <xf numFmtId="0" fontId="28" fillId="0" borderId="14" xfId="0" applyFont="1" applyBorder="1"/>
    <xf numFmtId="174" fontId="24" fillId="0" borderId="0" xfId="2522" applyNumberFormat="1" applyAlignment="1">
      <alignment horizontal="center" wrapText="1"/>
    </xf>
    <xf numFmtId="0" fontId="76" fillId="0" borderId="0" xfId="2522" applyFont="1" applyAlignment="1">
      <alignment wrapText="1"/>
    </xf>
    <xf numFmtId="0" fontId="76" fillId="0" borderId="0" xfId="2522" applyFont="1" applyAlignment="1">
      <alignment horizontal="center" wrapText="1"/>
    </xf>
    <xf numFmtId="4" fontId="75" fillId="0" borderId="0" xfId="2522" applyNumberFormat="1" applyFont="1" applyAlignment="1">
      <alignment horizontal="right" wrapText="1"/>
    </xf>
    <xf numFmtId="0" fontId="0" fillId="13" borderId="0" xfId="0" applyFill="1"/>
    <xf numFmtId="0" fontId="4" fillId="13" borderId="0" xfId="0" applyFont="1" applyFill="1" applyAlignment="1">
      <alignment vertical="center"/>
    </xf>
    <xf numFmtId="44" fontId="2" fillId="13" borderId="0" xfId="0" applyNumberFormat="1" applyFont="1" applyFill="1" applyAlignment="1">
      <alignment horizontal="center" vertical="center"/>
    </xf>
    <xf numFmtId="0" fontId="13" fillId="0" borderId="3" xfId="0" applyFont="1" applyBorder="1" applyAlignment="1">
      <alignment horizontal="left" vertical="center"/>
    </xf>
    <xf numFmtId="0" fontId="6" fillId="0" borderId="4" xfId="0" applyFont="1" applyBorder="1" applyAlignment="1">
      <alignment horizontal="left" vertical="center" wrapText="1"/>
    </xf>
    <xf numFmtId="0" fontId="2" fillId="0" borderId="0" xfId="0" applyFont="1" applyAlignment="1">
      <alignment horizontal="center" vertical="center"/>
    </xf>
    <xf numFmtId="44" fontId="6" fillId="0" borderId="37" xfId="2" applyFont="1" applyFill="1" applyBorder="1" applyAlignment="1">
      <alignment horizontal="center" vertical="center"/>
    </xf>
    <xf numFmtId="44" fontId="6" fillId="0" borderId="48" xfId="2" applyFont="1" applyFill="1" applyBorder="1" applyAlignment="1">
      <alignment horizontal="center" vertical="center"/>
    </xf>
    <xf numFmtId="43" fontId="15" fillId="0" borderId="0" xfId="0" applyNumberFormat="1" applyFont="1" applyAlignment="1">
      <alignment horizontal="center" vertical="center" wrapText="1"/>
    </xf>
    <xf numFmtId="0" fontId="40" fillId="0" borderId="0" xfId="0" applyFont="1" applyAlignment="1">
      <alignment horizontal="center" vertical="center"/>
    </xf>
    <xf numFmtId="170" fontId="48" fillId="0" borderId="58" xfId="0" applyNumberFormat="1" applyFont="1" applyBorder="1" applyAlignment="1">
      <alignment horizontal="center" vertical="center"/>
    </xf>
    <xf numFmtId="0" fontId="40" fillId="0" borderId="0" xfId="0" quotePrefix="1" applyFont="1"/>
    <xf numFmtId="0" fontId="4" fillId="0" borderId="0" xfId="0" applyFont="1"/>
    <xf numFmtId="0" fontId="6" fillId="13" borderId="86" xfId="0" applyFont="1" applyFill="1" applyBorder="1" applyAlignment="1">
      <alignment horizontal="center" vertical="center"/>
    </xf>
    <xf numFmtId="0" fontId="6" fillId="0" borderId="4" xfId="0" applyFont="1" applyBorder="1" applyAlignment="1">
      <alignment horizontal="center" vertical="center"/>
    </xf>
    <xf numFmtId="44" fontId="6" fillId="0" borderId="4" xfId="0" applyNumberFormat="1" applyFont="1" applyBorder="1" applyAlignment="1">
      <alignment horizontal="center" vertical="center"/>
    </xf>
    <xf numFmtId="44" fontId="6" fillId="0" borderId="4" xfId="2" applyFont="1" applyFill="1" applyBorder="1" applyAlignment="1">
      <alignment horizontal="center" vertical="center"/>
    </xf>
    <xf numFmtId="44" fontId="6" fillId="0" borderId="41" xfId="2" applyFont="1" applyFill="1" applyBorder="1" applyAlignment="1">
      <alignment horizontal="center" vertical="center"/>
    </xf>
    <xf numFmtId="49" fontId="3" fillId="0" borderId="86" xfId="1" applyNumberFormat="1" applyFont="1" applyFill="1" applyBorder="1" applyAlignment="1">
      <alignment vertical="center"/>
    </xf>
    <xf numFmtId="1" fontId="6" fillId="0" borderId="86" xfId="0" applyNumberFormat="1" applyFont="1" applyBorder="1" applyAlignment="1">
      <alignment horizontal="center" vertical="center"/>
    </xf>
    <xf numFmtId="43" fontId="6" fillId="0" borderId="87" xfId="1" applyFont="1" applyFill="1" applyBorder="1" applyAlignment="1">
      <alignment horizontal="right" vertical="center"/>
    </xf>
    <xf numFmtId="44" fontId="6" fillId="0" borderId="86" xfId="0" applyNumberFormat="1" applyFont="1" applyBorder="1" applyAlignment="1">
      <alignment horizontal="center" vertical="center"/>
    </xf>
    <xf numFmtId="10" fontId="6" fillId="0" borderId="80" xfId="361" applyNumberFormat="1" applyFont="1" applyFill="1" applyBorder="1" applyAlignment="1">
      <alignment horizontal="center" vertical="center"/>
    </xf>
    <xf numFmtId="49" fontId="17" fillId="0" borderId="93" xfId="0" applyNumberFormat="1" applyFont="1" applyBorder="1"/>
    <xf numFmtId="0" fontId="17" fillId="0" borderId="93" xfId="0" applyFont="1" applyBorder="1"/>
    <xf numFmtId="10" fontId="77" fillId="0" borderId="7" xfId="0" applyNumberFormat="1" applyFont="1" applyBorder="1" applyAlignment="1">
      <alignment horizontal="center" vertical="center"/>
    </xf>
    <xf numFmtId="10" fontId="78" fillId="0" borderId="7" xfId="0" applyNumberFormat="1" applyFont="1" applyBorder="1" applyAlignment="1">
      <alignment horizontal="center" vertical="center"/>
    </xf>
    <xf numFmtId="10" fontId="77" fillId="0" borderId="41" xfId="0" applyNumberFormat="1" applyFont="1" applyBorder="1" applyAlignment="1">
      <alignment horizontal="center" vertical="center"/>
    </xf>
    <xf numFmtId="0" fontId="45" fillId="0" borderId="0" xfId="0" applyFont="1" applyAlignment="1">
      <alignment horizontal="left" vertical="center" wrapText="1"/>
    </xf>
    <xf numFmtId="0" fontId="24" fillId="0" borderId="0" xfId="0" applyFont="1" applyAlignment="1">
      <alignment horizontal="left" vertical="center" wrapText="1"/>
    </xf>
    <xf numFmtId="0" fontId="24" fillId="0" borderId="8" xfId="0" applyFont="1" applyBorder="1" applyAlignment="1">
      <alignment horizontal="center" vertical="center"/>
    </xf>
    <xf numFmtId="0" fontId="0" fillId="0" borderId="19" xfId="0" applyBorder="1" applyAlignment="1">
      <alignment horizontal="center" vertical="center"/>
    </xf>
    <xf numFmtId="0" fontId="77" fillId="0" borderId="7" xfId="0" applyFont="1" applyBorder="1" applyAlignment="1">
      <alignment horizontal="center" vertical="center"/>
    </xf>
    <xf numFmtId="0" fontId="46" fillId="8" borderId="88" xfId="0" applyFont="1" applyFill="1" applyBorder="1" applyAlignment="1">
      <alignment vertical="center"/>
    </xf>
    <xf numFmtId="0" fontId="46" fillId="8" borderId="84" xfId="0" applyFont="1" applyFill="1" applyBorder="1" applyAlignment="1">
      <alignment vertical="center"/>
    </xf>
    <xf numFmtId="170" fontId="46" fillId="8" borderId="89" xfId="0" applyNumberFormat="1" applyFont="1" applyFill="1" applyBorder="1" applyAlignment="1">
      <alignment vertical="center"/>
    </xf>
    <xf numFmtId="0" fontId="4" fillId="0" borderId="0" xfId="0" applyFont="1" applyAlignment="1">
      <alignment horizontal="left" vertical="center" wrapText="1"/>
    </xf>
    <xf numFmtId="0" fontId="10" fillId="0" borderId="5" xfId="15" applyFont="1" applyBorder="1" applyAlignment="1">
      <alignment horizontal="center" vertical="center"/>
    </xf>
    <xf numFmtId="0" fontId="10" fillId="0" borderId="0" xfId="15" applyFont="1" applyAlignment="1">
      <alignment horizontal="center" vertical="center"/>
    </xf>
    <xf numFmtId="0" fontId="4" fillId="0" borderId="0" xfId="69" applyFont="1" applyAlignment="1" applyProtection="1">
      <alignment wrapText="1"/>
      <protection locked="0"/>
    </xf>
    <xf numFmtId="0" fontId="13" fillId="0" borderId="94" xfId="0" applyFont="1" applyBorder="1" applyAlignment="1">
      <alignment horizontal="center" vertical="center"/>
    </xf>
    <xf numFmtId="0" fontId="6" fillId="0" borderId="94" xfId="0" applyFont="1" applyBorder="1" applyAlignment="1">
      <alignment horizontal="center" vertical="center"/>
    </xf>
    <xf numFmtId="0" fontId="6" fillId="0" borderId="94" xfId="0" applyFont="1" applyBorder="1" applyAlignment="1">
      <alignment horizontal="left" vertical="center" wrapText="1"/>
    </xf>
    <xf numFmtId="44" fontId="6" fillId="0" borderId="94" xfId="2" applyFont="1" applyFill="1" applyBorder="1" applyAlignment="1">
      <alignment horizontal="center" vertical="center"/>
    </xf>
    <xf numFmtId="0" fontId="11" fillId="0" borderId="5" xfId="0" applyFont="1" applyBorder="1" applyAlignment="1">
      <alignment horizontal="right"/>
    </xf>
    <xf numFmtId="0" fontId="11" fillId="0" borderId="6" xfId="0" applyFont="1" applyBorder="1" applyAlignment="1">
      <alignment horizontal="right"/>
    </xf>
    <xf numFmtId="0" fontId="46" fillId="8" borderId="97" xfId="11" applyFont="1" applyFill="1" applyBorder="1" applyAlignment="1">
      <alignment horizontal="center" vertical="center"/>
    </xf>
    <xf numFmtId="0" fontId="46" fillId="8" borderId="98" xfId="11" applyFont="1" applyFill="1" applyBorder="1" applyAlignment="1">
      <alignment horizontal="center" vertical="center"/>
    </xf>
    <xf numFmtId="0" fontId="46" fillId="8" borderId="96" xfId="11" applyFont="1" applyFill="1" applyBorder="1" applyAlignment="1">
      <alignment horizontal="center" vertical="center"/>
    </xf>
    <xf numFmtId="0" fontId="46" fillId="8" borderId="100" xfId="11" applyFont="1" applyFill="1" applyBorder="1" applyAlignment="1">
      <alignment horizontal="center" vertical="center"/>
    </xf>
    <xf numFmtId="0" fontId="46" fillId="8" borderId="101" xfId="11" applyFont="1" applyFill="1" applyBorder="1" applyAlignment="1">
      <alignment horizontal="center" vertical="center"/>
    </xf>
    <xf numFmtId="0" fontId="67" fillId="0" borderId="0" xfId="0" applyFont="1"/>
    <xf numFmtId="0" fontId="68" fillId="0" borderId="0" xfId="0" applyFont="1"/>
    <xf numFmtId="0" fontId="64" fillId="0" borderId="0" xfId="0" applyFont="1"/>
    <xf numFmtId="174" fontId="44" fillId="16" borderId="102" xfId="2523" applyNumberFormat="1" applyFont="1" applyFill="1" applyBorder="1" applyAlignment="1">
      <alignment horizontal="center" vertical="center"/>
    </xf>
    <xf numFmtId="0" fontId="30" fillId="16" borderId="102" xfId="2523" applyFont="1" applyFill="1" applyBorder="1" applyAlignment="1">
      <alignment horizontal="center" vertical="center"/>
    </xf>
    <xf numFmtId="4" fontId="30" fillId="16" borderId="102" xfId="2523" applyNumberFormat="1" applyFont="1" applyFill="1" applyBorder="1" applyAlignment="1">
      <alignment horizontal="center" vertical="center"/>
    </xf>
    <xf numFmtId="4" fontId="30" fillId="16" borderId="102" xfId="2523" applyNumberFormat="1" applyFont="1" applyFill="1" applyBorder="1" applyAlignment="1">
      <alignment horizontal="center" vertical="center" wrapText="1"/>
    </xf>
    <xf numFmtId="174" fontId="44" fillId="0" borderId="102" xfId="15" applyNumberFormat="1" applyFont="1" applyBorder="1" applyAlignment="1">
      <alignment horizontal="center" vertical="top"/>
    </xf>
    <xf numFmtId="0" fontId="73" fillId="0" borderId="102" xfId="15" applyFont="1" applyBorder="1" applyAlignment="1">
      <alignment wrapText="1"/>
    </xf>
    <xf numFmtId="0" fontId="74" fillId="0" borderId="102" xfId="15" applyFont="1" applyBorder="1" applyAlignment="1">
      <alignment vertical="top"/>
    </xf>
    <xf numFmtId="4" fontId="75" fillId="0" borderId="102" xfId="15" applyNumberFormat="1" applyFont="1" applyBorder="1" applyAlignment="1">
      <alignment horizontal="right" vertical="top"/>
    </xf>
    <xf numFmtId="174" fontId="24" fillId="0" borderId="102" xfId="2522" applyNumberFormat="1" applyBorder="1" applyAlignment="1">
      <alignment horizontal="center" wrapText="1"/>
    </xf>
    <xf numFmtId="0" fontId="76" fillId="0" borderId="102" xfId="2522" applyFont="1" applyBorder="1" applyAlignment="1">
      <alignment wrapText="1"/>
    </xf>
    <xf numFmtId="0" fontId="76" fillId="0" borderId="102" xfId="2522" applyFont="1" applyBorder="1" applyAlignment="1">
      <alignment horizontal="center" wrapText="1"/>
    </xf>
    <xf numFmtId="4" fontId="75" fillId="0" borderId="102" xfId="2522" applyNumberFormat="1" applyFont="1" applyBorder="1" applyAlignment="1">
      <alignment horizontal="right" wrapText="1"/>
    </xf>
    <xf numFmtId="49" fontId="17" fillId="0" borderId="0" xfId="0" applyNumberFormat="1" applyFont="1" applyAlignment="1">
      <alignment horizontal="center" vertical="center"/>
    </xf>
    <xf numFmtId="0" fontId="20" fillId="0" borderId="0" xfId="0" applyFont="1" applyAlignment="1">
      <alignment horizontal="left" vertical="center" wrapText="1"/>
    </xf>
    <xf numFmtId="43" fontId="20" fillId="0" borderId="0" xfId="1" applyFont="1" applyFill="1" applyAlignment="1">
      <alignment horizontal="center" vertical="center"/>
    </xf>
    <xf numFmtId="43" fontId="17" fillId="0" borderId="0" xfId="1" applyFont="1" applyFill="1" applyAlignment="1">
      <alignment horizontal="center" vertical="center"/>
    </xf>
    <xf numFmtId="4" fontId="28" fillId="0" borderId="0" xfId="0" applyNumberFormat="1" applyFont="1" applyAlignment="1">
      <alignment horizontal="center" vertical="center"/>
    </xf>
    <xf numFmtId="0" fontId="28" fillId="0" borderId="0" xfId="0" applyFont="1" applyAlignment="1">
      <alignment vertical="center"/>
    </xf>
    <xf numFmtId="4" fontId="28" fillId="0" borderId="0" xfId="0" applyNumberFormat="1" applyFont="1" applyAlignment="1">
      <alignment vertical="center"/>
    </xf>
    <xf numFmtId="43" fontId="19" fillId="0" borderId="0" xfId="0" applyNumberFormat="1" applyFont="1" applyAlignment="1">
      <alignment vertical="center"/>
    </xf>
    <xf numFmtId="49" fontId="17" fillId="0" borderId="13" xfId="0" applyNumberFormat="1" applyFont="1" applyBorder="1" applyAlignment="1">
      <alignment vertical="center"/>
    </xf>
    <xf numFmtId="0" fontId="17" fillId="0" borderId="13" xfId="0" applyFont="1" applyBorder="1" applyAlignment="1">
      <alignment vertical="center" wrapText="1"/>
    </xf>
    <xf numFmtId="4" fontId="20" fillId="0" borderId="13" xfId="0" applyNumberFormat="1" applyFont="1" applyBorder="1" applyAlignment="1">
      <alignment horizontal="center" vertical="center"/>
    </xf>
    <xf numFmtId="0" fontId="20" fillId="0" borderId="13" xfId="0" applyFont="1" applyBorder="1" applyAlignment="1">
      <alignment horizontal="center" vertical="center"/>
    </xf>
    <xf numFmtId="43" fontId="17" fillId="0" borderId="13" xfId="1" applyFont="1" applyFill="1" applyBorder="1" applyAlignment="1">
      <alignment horizontal="right" vertical="center"/>
    </xf>
    <xf numFmtId="0" fontId="20" fillId="0" borderId="14" xfId="0" applyFont="1" applyBorder="1" applyAlignment="1">
      <alignment horizontal="center" vertical="center"/>
    </xf>
    <xf numFmtId="43" fontId="28" fillId="0" borderId="0" xfId="0" applyNumberFormat="1" applyFont="1" applyAlignment="1">
      <alignment vertical="center"/>
    </xf>
    <xf numFmtId="177" fontId="17" fillId="0" borderId="14" xfId="0" applyNumberFormat="1" applyFont="1" applyBorder="1" applyAlignment="1">
      <alignment vertical="center"/>
    </xf>
    <xf numFmtId="49" fontId="17" fillId="0" borderId="14" xfId="0" quotePrefix="1" applyNumberFormat="1" applyFont="1" applyBorder="1" applyAlignment="1">
      <alignment vertical="center"/>
    </xf>
    <xf numFmtId="0" fontId="16" fillId="0" borderId="14" xfId="0" applyFont="1" applyBorder="1" applyAlignment="1">
      <alignment horizontal="left" vertical="center" wrapText="1"/>
    </xf>
    <xf numFmtId="0" fontId="16" fillId="0" borderId="14" xfId="0" applyFont="1" applyBorder="1" applyAlignment="1">
      <alignment horizontal="left" vertical="center"/>
    </xf>
    <xf numFmtId="2" fontId="16" fillId="0" borderId="14" xfId="0" applyNumberFormat="1" applyFont="1" applyBorder="1" applyAlignment="1">
      <alignment horizontal="right" vertical="center" shrinkToFit="1"/>
    </xf>
    <xf numFmtId="0" fontId="17" fillId="0" borderId="14" xfId="0" applyFont="1" applyBorder="1" applyAlignment="1">
      <alignment horizontal="justify" vertical="center"/>
    </xf>
    <xf numFmtId="4" fontId="19" fillId="0" borderId="0" xfId="0" applyNumberFormat="1" applyFont="1" applyAlignment="1">
      <alignment vertical="center"/>
    </xf>
    <xf numFmtId="49" fontId="17" fillId="0" borderId="14" xfId="6" applyNumberFormat="1" applyFont="1" applyFill="1" applyBorder="1" applyAlignment="1">
      <alignment horizontal="left" vertical="center" wrapText="1"/>
    </xf>
    <xf numFmtId="43" fontId="16" fillId="0" borderId="14" xfId="1" applyFont="1" applyFill="1" applyBorder="1" applyAlignment="1">
      <alignment horizontal="right" vertical="center" shrinkToFit="1"/>
    </xf>
    <xf numFmtId="49" fontId="79" fillId="0" borderId="14" xfId="0" applyNumberFormat="1" applyFont="1" applyBorder="1" applyAlignment="1">
      <alignment vertical="center"/>
    </xf>
    <xf numFmtId="0" fontId="79" fillId="0" borderId="14" xfId="0" applyFont="1" applyBorder="1" applyAlignment="1">
      <alignment vertical="center" wrapText="1"/>
    </xf>
    <xf numFmtId="2" fontId="16" fillId="0" borderId="14" xfId="0" applyNumberFormat="1" applyFont="1" applyBorder="1" applyAlignment="1">
      <alignment horizontal="left" vertical="center" wrapText="1"/>
    </xf>
    <xf numFmtId="4" fontId="20" fillId="0" borderId="0" xfId="0" applyNumberFormat="1" applyFont="1" applyAlignment="1">
      <alignment vertical="center"/>
    </xf>
    <xf numFmtId="43" fontId="20" fillId="0" borderId="14" xfId="1" applyFont="1" applyFill="1" applyBorder="1" applyAlignment="1">
      <alignment vertical="center"/>
    </xf>
    <xf numFmtId="43" fontId="20" fillId="0" borderId="14" xfId="1" applyFont="1" applyFill="1" applyBorder="1" applyAlignment="1">
      <alignment horizontal="right" vertical="center"/>
    </xf>
    <xf numFmtId="43" fontId="20" fillId="0" borderId="0" xfId="0" applyNumberFormat="1" applyFont="1" applyAlignment="1">
      <alignment vertical="center"/>
    </xf>
    <xf numFmtId="4" fontId="28" fillId="0" borderId="14" xfId="0" applyNumberFormat="1" applyFont="1" applyBorder="1" applyAlignment="1">
      <alignment vertical="center"/>
    </xf>
    <xf numFmtId="0" fontId="28" fillId="3" borderId="0" xfId="0" applyFont="1" applyFill="1" applyAlignment="1">
      <alignment vertical="center"/>
    </xf>
    <xf numFmtId="49" fontId="17" fillId="0" borderId="15" xfId="0" applyNumberFormat="1" applyFont="1" applyBorder="1" applyAlignment="1">
      <alignment vertical="center"/>
    </xf>
    <xf numFmtId="0" fontId="17" fillId="0" borderId="15" xfId="0" applyFont="1" applyBorder="1" applyAlignment="1">
      <alignment vertical="center" wrapText="1"/>
    </xf>
    <xf numFmtId="43" fontId="17" fillId="0" borderId="15" xfId="1" applyFont="1" applyFill="1" applyBorder="1" applyAlignment="1">
      <alignment vertical="center"/>
    </xf>
    <xf numFmtId="43" fontId="17" fillId="0" borderId="15" xfId="1" applyFont="1" applyFill="1" applyBorder="1" applyAlignment="1">
      <alignment horizontal="right" vertical="center"/>
    </xf>
    <xf numFmtId="0" fontId="20" fillId="3" borderId="98" xfId="0" applyFont="1" applyFill="1" applyBorder="1"/>
    <xf numFmtId="0" fontId="11" fillId="0" borderId="0" xfId="0" applyFont="1" applyAlignment="1">
      <alignment horizontal="right"/>
    </xf>
    <xf numFmtId="0" fontId="6" fillId="13" borderId="95" xfId="0" applyFont="1" applyFill="1" applyBorder="1" applyAlignment="1">
      <alignment horizontal="center" vertical="center" wrapText="1"/>
    </xf>
    <xf numFmtId="0" fontId="6" fillId="0" borderId="0" xfId="0" applyFont="1" applyAlignment="1">
      <alignment horizontal="left"/>
    </xf>
    <xf numFmtId="0" fontId="13" fillId="0" borderId="0" xfId="0" applyFont="1" applyAlignment="1">
      <alignment horizontal="left"/>
    </xf>
    <xf numFmtId="49" fontId="3" fillId="0" borderId="3" xfId="1" applyNumberFormat="1" applyFont="1" applyFill="1" applyBorder="1" applyAlignment="1">
      <alignment horizontal="center" vertical="center"/>
    </xf>
    <xf numFmtId="49" fontId="3" fillId="0" borderId="4" xfId="1" applyNumberFormat="1" applyFont="1" applyFill="1" applyBorder="1" applyAlignment="1">
      <alignment horizontal="center" vertical="center"/>
    </xf>
    <xf numFmtId="49" fontId="3" fillId="0" borderId="4" xfId="3" applyNumberFormat="1" applyFont="1" applyBorder="1" applyAlignment="1">
      <alignment horizontal="center" vertical="center"/>
    </xf>
    <xf numFmtId="0" fontId="13" fillId="6" borderId="49" xfId="0" applyFont="1" applyFill="1" applyBorder="1" applyAlignment="1">
      <alignment horizontal="center" vertical="center"/>
    </xf>
    <xf numFmtId="0" fontId="20" fillId="0" borderId="0" xfId="1" applyNumberFormat="1" applyFont="1" applyFill="1" applyAlignment="1">
      <alignment vertical="center"/>
    </xf>
    <xf numFmtId="43" fontId="19" fillId="0" borderId="0" xfId="1" applyFont="1" applyFill="1" applyAlignment="1">
      <alignment vertical="center"/>
    </xf>
    <xf numFmtId="0" fontId="20" fillId="0" borderId="0" xfId="1" applyNumberFormat="1" applyFont="1" applyFill="1" applyAlignment="1">
      <alignment horizontal="center" vertical="center"/>
    </xf>
    <xf numFmtId="43" fontId="20" fillId="0" borderId="85" xfId="1" applyFont="1" applyFill="1" applyBorder="1" applyAlignment="1">
      <alignment horizontal="center" vertical="center" wrapText="1"/>
    </xf>
    <xf numFmtId="0" fontId="20" fillId="0" borderId="14" xfId="0" applyFont="1" applyBorder="1" applyAlignment="1">
      <alignment horizontal="left" vertical="center"/>
    </xf>
    <xf numFmtId="0" fontId="20" fillId="0" borderId="14" xfId="0" applyFont="1" applyBorder="1" applyAlignment="1">
      <alignment horizontal="left" vertical="center" wrapText="1"/>
    </xf>
    <xf numFmtId="0" fontId="20" fillId="0" borderId="14" xfId="0" applyFont="1" applyBorder="1" applyAlignment="1" applyProtection="1">
      <alignment horizontal="center" vertical="center"/>
      <protection locked="0"/>
    </xf>
    <xf numFmtId="0" fontId="17" fillId="0" borderId="14" xfId="0" applyFont="1" applyBorder="1" applyAlignment="1">
      <alignment horizontal="right" vertical="center"/>
    </xf>
    <xf numFmtId="0" fontId="22" fillId="0" borderId="14" xfId="0" applyFont="1" applyBorder="1" applyAlignment="1">
      <alignment vertical="center"/>
    </xf>
    <xf numFmtId="49" fontId="17" fillId="0" borderId="14" xfId="0" applyNumberFormat="1" applyFont="1" applyBorder="1" applyAlignment="1">
      <alignment horizontal="left" vertical="center"/>
    </xf>
    <xf numFmtId="4" fontId="17" fillId="0" borderId="14" xfId="0" applyNumberFormat="1" applyFont="1" applyBorder="1" applyAlignment="1">
      <alignment horizontal="center" vertical="center"/>
    </xf>
    <xf numFmtId="0" fontId="28" fillId="0" borderId="14" xfId="0" applyFont="1" applyBorder="1" applyAlignment="1">
      <alignment vertical="center" wrapText="1"/>
    </xf>
    <xf numFmtId="49" fontId="28" fillId="0" borderId="14" xfId="0" applyNumberFormat="1" applyFont="1" applyBorder="1" applyAlignment="1">
      <alignment horizontal="left" vertical="center"/>
    </xf>
    <xf numFmtId="4" fontId="20" fillId="0" borderId="14" xfId="0" applyNumberFormat="1" applyFont="1" applyBorder="1" applyAlignment="1">
      <alignment horizontal="center" vertical="center"/>
    </xf>
    <xf numFmtId="0" fontId="17" fillId="0" borderId="14" xfId="0" applyFont="1" applyBorder="1" applyAlignment="1" applyProtection="1">
      <alignment horizontal="center" vertical="center"/>
      <protection locked="0"/>
    </xf>
    <xf numFmtId="4" fontId="20" fillId="0" borderId="14" xfId="0" applyNumberFormat="1" applyFont="1" applyBorder="1" applyAlignment="1">
      <alignment vertical="center"/>
    </xf>
    <xf numFmtId="4" fontId="19" fillId="0" borderId="14" xfId="0" applyNumberFormat="1" applyFont="1" applyBorder="1" applyAlignment="1">
      <alignment horizontal="center" vertical="center"/>
    </xf>
    <xf numFmtId="0" fontId="18" fillId="0" borderId="14" xfId="0" applyFont="1" applyBorder="1" applyAlignment="1">
      <alignment horizontal="left" vertical="top" wrapText="1"/>
    </xf>
    <xf numFmtId="0" fontId="20" fillId="0" borderId="14" xfId="0" applyFont="1" applyBorder="1" applyAlignment="1">
      <alignment horizontal="right" vertical="center"/>
    </xf>
    <xf numFmtId="0" fontId="20" fillId="0" borderId="14" xfId="0" applyFont="1" applyBorder="1" applyAlignment="1">
      <alignment vertical="center"/>
    </xf>
    <xf numFmtId="49" fontId="19" fillId="0" borderId="0" xfId="0" applyNumberFormat="1" applyFont="1" applyAlignment="1">
      <alignment horizontal="left" vertical="center"/>
    </xf>
    <xf numFmtId="43" fontId="17" fillId="0" borderId="14" xfId="4" applyFont="1" applyFill="1" applyBorder="1" applyAlignment="1">
      <alignment horizontal="right" vertical="center" wrapText="1"/>
    </xf>
    <xf numFmtId="0" fontId="17" fillId="0" borderId="14" xfId="167" applyFont="1" applyBorder="1" applyAlignment="1">
      <alignment horizontal="left" vertical="center"/>
    </xf>
    <xf numFmtId="49" fontId="18" fillId="0" borderId="14" xfId="0" applyNumberFormat="1" applyFont="1" applyBorder="1" applyAlignment="1">
      <alignment horizontal="left" vertical="center"/>
    </xf>
    <xf numFmtId="43" fontId="17" fillId="0" borderId="14" xfId="1" quotePrefix="1" applyFont="1" applyFill="1" applyBorder="1" applyAlignment="1">
      <alignment vertical="center"/>
    </xf>
    <xf numFmtId="0" fontId="24" fillId="0" borderId="0" xfId="0" applyFont="1" applyAlignment="1">
      <alignment vertical="center"/>
    </xf>
    <xf numFmtId="0" fontId="20" fillId="0" borderId="14" xfId="167" applyFont="1" applyBorder="1" applyAlignment="1">
      <alignment horizontal="left" vertical="center" wrapText="1"/>
    </xf>
    <xf numFmtId="0" fontId="17" fillId="0" borderId="85" xfId="0" applyFont="1" applyBorder="1" applyAlignment="1">
      <alignment horizontal="left" vertical="center"/>
    </xf>
    <xf numFmtId="0" fontId="17" fillId="0" borderId="85" xfId="0" applyFont="1" applyBorder="1" applyAlignment="1">
      <alignment horizontal="left" vertical="center" wrapText="1"/>
    </xf>
    <xf numFmtId="0" fontId="17" fillId="0" borderId="85" xfId="0" applyFont="1" applyBorder="1" applyAlignment="1">
      <alignment horizontal="center" vertical="center"/>
    </xf>
    <xf numFmtId="4" fontId="20" fillId="0" borderId="12" xfId="0" applyNumberFormat="1" applyFont="1" applyBorder="1" applyAlignment="1">
      <alignment vertical="center"/>
    </xf>
    <xf numFmtId="167" fontId="65" fillId="0" borderId="0" xfId="1" applyNumberFormat="1" applyFont="1" applyAlignment="1">
      <alignment vertical="center"/>
    </xf>
    <xf numFmtId="43" fontId="28" fillId="0" borderId="14" xfId="1" applyFont="1" applyBorder="1" applyAlignment="1">
      <alignment vertical="center"/>
    </xf>
    <xf numFmtId="43" fontId="18" fillId="0" borderId="14" xfId="1" applyFont="1" applyFill="1" applyBorder="1" applyAlignment="1">
      <alignment horizontal="right" vertical="center" wrapText="1"/>
    </xf>
    <xf numFmtId="43" fontId="18" fillId="0" borderId="14" xfId="1" applyFont="1" applyBorder="1" applyAlignment="1"/>
    <xf numFmtId="43" fontId="18" fillId="0" borderId="14" xfId="1" applyFont="1" applyBorder="1" applyAlignment="1">
      <alignment vertical="center"/>
    </xf>
    <xf numFmtId="43" fontId="17" fillId="0" borderId="14" xfId="1" applyFont="1" applyFill="1" applyBorder="1" applyAlignment="1">
      <alignment vertical="center" wrapText="1"/>
    </xf>
    <xf numFmtId="43" fontId="18" fillId="0" borderId="14" xfId="1" applyFont="1" applyFill="1" applyBorder="1" applyAlignment="1">
      <alignment vertical="center"/>
    </xf>
    <xf numFmtId="43" fontId="18" fillId="0" borderId="105" xfId="1" applyFont="1" applyFill="1" applyBorder="1" applyAlignment="1">
      <alignment horizontal="right" vertical="center" wrapText="1"/>
    </xf>
    <xf numFmtId="43" fontId="18" fillId="0" borderId="66" xfId="1" applyFont="1" applyFill="1" applyBorder="1" applyAlignment="1">
      <alignment horizontal="right" vertical="center" wrapText="1"/>
    </xf>
    <xf numFmtId="0" fontId="17" fillId="0" borderId="14" xfId="2523" applyFont="1" applyBorder="1" applyAlignment="1">
      <alignment horizontal="left" vertical="center"/>
    </xf>
    <xf numFmtId="0" fontId="17" fillId="0" borderId="14" xfId="2523" applyFont="1" applyBorder="1" applyAlignment="1">
      <alignment horizontal="center" vertical="center"/>
    </xf>
    <xf numFmtId="43" fontId="3" fillId="0" borderId="4" xfId="1" applyFont="1" applyFill="1" applyBorder="1" applyAlignment="1">
      <alignment horizontal="center" vertical="center"/>
    </xf>
    <xf numFmtId="49" fontId="3" fillId="0" borderId="40" xfId="1" applyNumberFormat="1" applyFont="1" applyFill="1" applyBorder="1" applyAlignment="1">
      <alignment horizontal="center" vertical="top"/>
    </xf>
    <xf numFmtId="4" fontId="14" fillId="0" borderId="0" xfId="0" applyNumberFormat="1" applyFont="1"/>
    <xf numFmtId="49" fontId="3" fillId="0" borderId="29" xfId="1" applyNumberFormat="1" applyFont="1" applyFill="1" applyBorder="1" applyAlignment="1">
      <alignment horizontal="center" vertical="center"/>
    </xf>
    <xf numFmtId="49" fontId="3" fillId="0" borderId="30" xfId="1" applyNumberFormat="1" applyFont="1" applyFill="1" applyBorder="1" applyAlignment="1">
      <alignment horizontal="center" vertical="center"/>
    </xf>
    <xf numFmtId="49" fontId="3" fillId="0" borderId="3" xfId="3" applyNumberFormat="1" applyFont="1" applyBorder="1" applyAlignment="1">
      <alignment horizontal="center" vertical="center"/>
    </xf>
    <xf numFmtId="4" fontId="3" fillId="0" borderId="4" xfId="3" applyNumberFormat="1" applyFont="1" applyBorder="1" applyAlignment="1">
      <alignment horizontal="center" vertical="center"/>
    </xf>
    <xf numFmtId="43" fontId="6" fillId="0" borderId="4" xfId="1" applyFont="1" applyBorder="1" applyAlignment="1">
      <alignment horizontal="center"/>
    </xf>
    <xf numFmtId="44" fontId="6" fillId="0" borderId="19" xfId="0" applyNumberFormat="1" applyFont="1" applyBorder="1" applyAlignment="1">
      <alignment horizontal="center"/>
    </xf>
    <xf numFmtId="44" fontId="6" fillId="0" borderId="7" xfId="0" applyNumberFormat="1" applyFont="1" applyBorder="1" applyAlignment="1">
      <alignment horizontal="center"/>
    </xf>
    <xf numFmtId="49" fontId="3" fillId="6" borderId="51" xfId="1" applyNumberFormat="1" applyFont="1" applyFill="1" applyBorder="1" applyAlignment="1">
      <alignment horizontal="center" vertical="center"/>
    </xf>
    <xf numFmtId="0" fontId="13" fillId="6" borderId="51" xfId="0" applyFont="1" applyFill="1" applyBorder="1" applyAlignment="1">
      <alignment horizontal="center" vertical="center"/>
    </xf>
    <xf numFmtId="43" fontId="13" fillId="6" borderId="51" xfId="1" applyFont="1" applyFill="1" applyBorder="1" applyAlignment="1">
      <alignment horizontal="center" vertical="center"/>
    </xf>
    <xf numFmtId="44" fontId="13" fillId="6" borderId="51" xfId="0" applyNumberFormat="1" applyFont="1" applyFill="1" applyBorder="1" applyAlignment="1">
      <alignment horizontal="center" vertical="center" wrapText="1"/>
    </xf>
    <xf numFmtId="44" fontId="13" fillId="6" borderId="51" xfId="0" applyNumberFormat="1" applyFont="1" applyFill="1" applyBorder="1" applyAlignment="1">
      <alignment horizontal="center" vertical="center"/>
    </xf>
    <xf numFmtId="44" fontId="13" fillId="6" borderId="57" xfId="0" applyNumberFormat="1" applyFont="1" applyFill="1" applyBorder="1" applyAlignment="1">
      <alignment horizontal="center" vertical="center"/>
    </xf>
    <xf numFmtId="49" fontId="46" fillId="18" borderId="90" xfId="0" applyNumberFormat="1" applyFont="1" applyFill="1" applyBorder="1" applyAlignment="1">
      <alignment horizontal="centerContinuous" vertical="center"/>
    </xf>
    <xf numFmtId="49" fontId="46" fillId="18" borderId="91" xfId="0" applyNumberFormat="1" applyFont="1" applyFill="1" applyBorder="1" applyAlignment="1">
      <alignment horizontal="centerContinuous" vertical="center"/>
    </xf>
    <xf numFmtId="0" fontId="46" fillId="18" borderId="73" xfId="0" applyFont="1" applyFill="1" applyBorder="1" applyAlignment="1">
      <alignment horizontal="center" vertical="center"/>
    </xf>
    <xf numFmtId="0" fontId="46" fillId="8" borderId="92" xfId="11" applyFont="1" applyFill="1" applyBorder="1" applyAlignment="1">
      <alignment horizontal="center" vertical="center"/>
    </xf>
    <xf numFmtId="0" fontId="40" fillId="19" borderId="0" xfId="0" applyFont="1" applyFill="1" applyAlignment="1">
      <alignment horizontal="center" vertical="center"/>
    </xf>
    <xf numFmtId="0" fontId="4" fillId="19" borderId="0" xfId="0" applyFont="1" applyFill="1" applyAlignment="1">
      <alignment vertical="center"/>
    </xf>
    <xf numFmtId="0" fontId="4" fillId="9" borderId="78" xfId="0" applyFont="1" applyFill="1" applyBorder="1" applyAlignment="1">
      <alignment horizontal="center" vertical="center"/>
    </xf>
    <xf numFmtId="0" fontId="46" fillId="19" borderId="77" xfId="0" applyFont="1" applyFill="1" applyBorder="1" applyAlignment="1">
      <alignment horizontal="center" vertical="center"/>
    </xf>
    <xf numFmtId="0" fontId="46" fillId="20" borderId="78" xfId="0" applyFont="1" applyFill="1" applyBorder="1" applyAlignment="1">
      <alignment horizontal="center" vertical="center"/>
    </xf>
    <xf numFmtId="4" fontId="46" fillId="19" borderId="59" xfId="0" applyNumberFormat="1" applyFont="1" applyFill="1" applyBorder="1" applyAlignment="1">
      <alignment horizontal="right" vertical="center" wrapText="1"/>
    </xf>
    <xf numFmtId="4" fontId="46" fillId="19" borderId="59" xfId="0" applyNumberFormat="1" applyFont="1" applyFill="1" applyBorder="1" applyAlignment="1">
      <alignment horizontal="center" vertical="center" wrapText="1"/>
    </xf>
    <xf numFmtId="0" fontId="46" fillId="19" borderId="74" xfId="0" applyFont="1" applyFill="1" applyBorder="1" applyAlignment="1">
      <alignment vertical="center"/>
    </xf>
    <xf numFmtId="44" fontId="46" fillId="19" borderId="59" xfId="2" applyFont="1" applyFill="1" applyBorder="1" applyAlignment="1">
      <alignment vertical="center"/>
    </xf>
    <xf numFmtId="2" fontId="46" fillId="19" borderId="60" xfId="0" applyNumberFormat="1" applyFont="1" applyFill="1" applyBorder="1" applyAlignment="1">
      <alignment vertical="center"/>
    </xf>
    <xf numFmtId="0" fontId="71" fillId="0" borderId="0" xfId="2521" applyFill="1" applyBorder="1" applyAlignment="1">
      <alignment horizontal="center"/>
    </xf>
    <xf numFmtId="179" fontId="0" fillId="0" borderId="0" xfId="0" applyNumberFormat="1"/>
    <xf numFmtId="173" fontId="0" fillId="0" borderId="0" xfId="0" applyNumberFormat="1"/>
    <xf numFmtId="43" fontId="12" fillId="0" borderId="0" xfId="1" applyFont="1" applyFill="1" applyBorder="1" applyAlignment="1">
      <alignment horizontal="center" vertical="center"/>
    </xf>
    <xf numFmtId="0" fontId="11" fillId="0" borderId="5" xfId="0" applyFont="1" applyBorder="1"/>
    <xf numFmtId="0" fontId="62" fillId="10" borderId="110" xfId="0" applyFont="1" applyFill="1" applyBorder="1" applyAlignment="1">
      <alignment horizontal="center" vertical="center"/>
    </xf>
    <xf numFmtId="0" fontId="62" fillId="11" borderId="110" xfId="0" applyFont="1" applyFill="1" applyBorder="1" applyAlignment="1">
      <alignment horizontal="center" vertical="center" wrapText="1"/>
    </xf>
    <xf numFmtId="1" fontId="82" fillId="24" borderId="113" xfId="158" applyNumberFormat="1" applyFont="1" applyFill="1" applyBorder="1" applyAlignment="1">
      <alignment horizontal="center" vertical="center"/>
    </xf>
    <xf numFmtId="0" fontId="82" fillId="24" borderId="116" xfId="158" applyFont="1" applyFill="1" applyBorder="1" applyAlignment="1">
      <alignment horizontal="left" vertical="center" wrapText="1" indent="1"/>
    </xf>
    <xf numFmtId="0" fontId="82" fillId="24" borderId="117" xfId="158" applyFont="1" applyFill="1" applyBorder="1" applyAlignment="1">
      <alignment horizontal="left" vertical="center" wrapText="1" indent="1"/>
    </xf>
    <xf numFmtId="4" fontId="82" fillId="24" borderId="118" xfId="158" applyNumberFormat="1" applyFont="1" applyFill="1" applyBorder="1" applyAlignment="1">
      <alignment horizontal="center" vertical="center"/>
    </xf>
    <xf numFmtId="10" fontId="81" fillId="26" borderId="120" xfId="158" applyNumberFormat="1" applyFont="1" applyFill="1" applyBorder="1" applyAlignment="1">
      <alignment horizontal="center" vertical="center"/>
    </xf>
    <xf numFmtId="4" fontId="81" fillId="0" borderId="114" xfId="165" applyNumberFormat="1" applyFont="1" applyFill="1" applyBorder="1" applyAlignment="1" applyProtection="1">
      <alignment horizontal="center" vertical="center"/>
    </xf>
    <xf numFmtId="4" fontId="81" fillId="0" borderId="118" xfId="158" applyNumberFormat="1" applyFont="1" applyBorder="1" applyAlignment="1">
      <alignment horizontal="center" vertical="center"/>
    </xf>
    <xf numFmtId="10" fontId="81" fillId="26" borderId="120" xfId="165" applyNumberFormat="1" applyFont="1" applyFill="1" applyBorder="1" applyAlignment="1" applyProtection="1">
      <alignment horizontal="center" vertical="center"/>
    </xf>
    <xf numFmtId="4" fontId="81" fillId="0" borderId="118" xfId="165" applyNumberFormat="1" applyFont="1" applyFill="1" applyBorder="1" applyAlignment="1" applyProtection="1">
      <alignment horizontal="center" vertical="center"/>
    </xf>
    <xf numFmtId="10" fontId="81" fillId="14" borderId="120" xfId="158" applyNumberFormat="1" applyFont="1" applyFill="1" applyBorder="1" applyAlignment="1">
      <alignment horizontal="center" vertical="center"/>
    </xf>
    <xf numFmtId="4" fontId="81" fillId="14" borderId="118" xfId="158" applyNumberFormat="1" applyFont="1" applyFill="1" applyBorder="1" applyAlignment="1">
      <alignment horizontal="center" vertical="center"/>
    </xf>
    <xf numFmtId="10" fontId="81" fillId="14" borderId="120" xfId="165" applyNumberFormat="1" applyFont="1" applyFill="1" applyBorder="1" applyAlignment="1" applyProtection="1">
      <alignment horizontal="center" vertical="center"/>
    </xf>
    <xf numFmtId="4" fontId="81" fillId="14" borderId="118" xfId="165" applyNumberFormat="1" applyFont="1" applyFill="1" applyBorder="1" applyAlignment="1" applyProtection="1">
      <alignment horizontal="center" vertical="center"/>
    </xf>
    <xf numFmtId="4" fontId="81" fillId="14" borderId="114" xfId="165" applyNumberFormat="1" applyFont="1" applyFill="1" applyBorder="1" applyAlignment="1" applyProtection="1">
      <alignment horizontal="center" vertical="center"/>
    </xf>
    <xf numFmtId="4" fontId="11" fillId="0" borderId="0" xfId="165" applyNumberFormat="1" applyFont="1" applyFill="1" applyBorder="1" applyAlignment="1" applyProtection="1">
      <alignment horizontal="right" vertical="center"/>
    </xf>
    <xf numFmtId="49" fontId="10" fillId="0" borderId="0" xfId="158" applyNumberFormat="1" applyFont="1" applyAlignment="1">
      <alignment vertical="center"/>
    </xf>
    <xf numFmtId="0" fontId="11" fillId="0" borderId="0" xfId="158" applyFont="1" applyAlignment="1">
      <alignment horizontal="left" vertical="center" wrapText="1"/>
    </xf>
    <xf numFmtId="0" fontId="11" fillId="0" borderId="0" xfId="158" applyFont="1" applyAlignment="1">
      <alignment horizontal="center" vertical="center"/>
    </xf>
    <xf numFmtId="180" fontId="11" fillId="0" borderId="0" xfId="158" applyNumberFormat="1" applyFont="1" applyAlignment="1">
      <alignment horizontal="center" vertical="center"/>
    </xf>
    <xf numFmtId="180" fontId="11" fillId="0" borderId="0" xfId="165" applyNumberFormat="1" applyFont="1" applyFill="1" applyBorder="1" applyAlignment="1" applyProtection="1">
      <alignment horizontal="right" vertical="center"/>
    </xf>
    <xf numFmtId="0" fontId="82" fillId="0" borderId="0" xfId="158" applyFont="1" applyAlignment="1">
      <alignment horizontal="center" vertical="center"/>
    </xf>
    <xf numFmtId="180" fontId="82" fillId="0" borderId="0" xfId="158" applyNumberFormat="1" applyFont="1" applyAlignment="1">
      <alignment horizontal="center" vertical="center"/>
    </xf>
    <xf numFmtId="4" fontId="82" fillId="0" borderId="0" xfId="165" applyNumberFormat="1" applyFont="1" applyFill="1" applyBorder="1" applyAlignment="1" applyProtection="1">
      <alignment horizontal="center" vertical="center"/>
    </xf>
    <xf numFmtId="180" fontId="82" fillId="0" borderId="0" xfId="165" applyNumberFormat="1" applyFont="1" applyFill="1" applyBorder="1" applyAlignment="1" applyProtection="1">
      <alignment horizontal="center" vertical="center"/>
    </xf>
    <xf numFmtId="49" fontId="82" fillId="0" borderId="0" xfId="158" applyNumberFormat="1" applyFont="1" applyAlignment="1">
      <alignment horizontal="right" vertical="center" indent="1"/>
    </xf>
    <xf numFmtId="0" fontId="82" fillId="0" borderId="0" xfId="158" applyFont="1" applyAlignment="1">
      <alignment horizontal="right" vertical="center" wrapText="1" indent="1"/>
    </xf>
    <xf numFmtId="0" fontId="82" fillId="0" borderId="0" xfId="158" applyFont="1" applyAlignment="1">
      <alignment horizontal="right" vertical="center" indent="1"/>
    </xf>
    <xf numFmtId="10" fontId="82" fillId="25" borderId="112" xfId="158" applyNumberFormat="1" applyFont="1" applyFill="1" applyBorder="1" applyAlignment="1">
      <alignment horizontal="center" vertical="center"/>
    </xf>
    <xf numFmtId="4" fontId="82" fillId="25" borderId="112" xfId="158" applyNumberFormat="1" applyFont="1" applyFill="1" applyBorder="1" applyAlignment="1">
      <alignment horizontal="center" vertical="center"/>
    </xf>
    <xf numFmtId="10" fontId="82" fillId="25" borderId="112" xfId="165" applyNumberFormat="1" applyFont="1" applyFill="1" applyBorder="1" applyAlignment="1" applyProtection="1">
      <alignment horizontal="center" vertical="center"/>
    </xf>
    <xf numFmtId="4" fontId="82" fillId="25" borderId="112" xfId="165" applyNumberFormat="1" applyFont="1" applyFill="1" applyBorder="1" applyAlignment="1" applyProtection="1">
      <alignment horizontal="center" vertical="center"/>
    </xf>
    <xf numFmtId="0" fontId="83" fillId="0" borderId="0" xfId="158" applyFont="1" applyAlignment="1">
      <alignment vertical="center"/>
    </xf>
    <xf numFmtId="49" fontId="84" fillId="21" borderId="0" xfId="158" applyNumberFormat="1" applyFont="1" applyFill="1" applyAlignment="1">
      <alignment vertical="center"/>
    </xf>
    <xf numFmtId="49" fontId="84" fillId="21" borderId="0" xfId="158" applyNumberFormat="1" applyFont="1" applyFill="1" applyAlignment="1">
      <alignment horizontal="center" vertical="center"/>
    </xf>
    <xf numFmtId="0" fontId="84" fillId="22" borderId="104" xfId="158" applyFont="1" applyFill="1" applyBorder="1" applyAlignment="1">
      <alignment horizontal="center" vertical="center" wrapText="1"/>
    </xf>
    <xf numFmtId="0" fontId="11" fillId="0" borderId="0" xfId="158" applyFont="1" applyAlignment="1">
      <alignment vertical="center"/>
    </xf>
    <xf numFmtId="0" fontId="83" fillId="2" borderId="0" xfId="158" applyFont="1" applyFill="1" applyAlignment="1">
      <alignment vertical="center"/>
    </xf>
    <xf numFmtId="49" fontId="84" fillId="2" borderId="0" xfId="158" applyNumberFormat="1" applyFont="1" applyFill="1" applyAlignment="1">
      <alignment vertical="center"/>
    </xf>
    <xf numFmtId="0" fontId="83" fillId="2" borderId="0" xfId="158" applyFont="1" applyFill="1" applyAlignment="1">
      <alignment horizontal="left" vertical="center" wrapText="1"/>
    </xf>
    <xf numFmtId="0" fontId="83" fillId="2" borderId="0" xfId="158" applyFont="1" applyFill="1" applyAlignment="1">
      <alignment horizontal="center" vertical="center"/>
    </xf>
    <xf numFmtId="4" fontId="83" fillId="2" borderId="0" xfId="158" applyNumberFormat="1" applyFont="1" applyFill="1" applyAlignment="1">
      <alignment horizontal="center" vertical="center"/>
    </xf>
    <xf numFmtId="4" fontId="83" fillId="2" borderId="0" xfId="165" applyNumberFormat="1" applyFont="1" applyFill="1" applyBorder="1" applyAlignment="1" applyProtection="1">
      <alignment horizontal="right" vertical="center"/>
    </xf>
    <xf numFmtId="180" fontId="83" fillId="2" borderId="0" xfId="165" applyNumberFormat="1" applyFont="1" applyFill="1" applyBorder="1" applyAlignment="1" applyProtection="1">
      <alignment horizontal="right" vertical="center"/>
    </xf>
    <xf numFmtId="180" fontId="83" fillId="2" borderId="0" xfId="158" applyNumberFormat="1" applyFont="1" applyFill="1" applyAlignment="1">
      <alignment horizontal="center" vertical="center"/>
    </xf>
    <xf numFmtId="4" fontId="83" fillId="2" borderId="0" xfId="158" applyNumberFormat="1" applyFont="1" applyFill="1" applyAlignment="1">
      <alignment vertical="center"/>
    </xf>
    <xf numFmtId="180" fontId="10" fillId="10" borderId="111" xfId="165" applyNumberFormat="1" applyFont="1" applyFill="1" applyBorder="1" applyAlignment="1" applyProtection="1">
      <alignment horizontal="center" vertical="center"/>
    </xf>
    <xf numFmtId="180" fontId="11" fillId="23" borderId="0" xfId="158" applyNumberFormat="1" applyFont="1" applyFill="1" applyAlignment="1">
      <alignment horizontal="center" vertical="center"/>
    </xf>
    <xf numFmtId="0" fontId="10" fillId="10" borderId="115" xfId="158" applyFont="1" applyFill="1" applyBorder="1" applyAlignment="1">
      <alignment horizontal="center" vertical="center"/>
    </xf>
    <xf numFmtId="180" fontId="10" fillId="10" borderId="111" xfId="158" applyNumberFormat="1" applyFont="1" applyFill="1" applyBorder="1" applyAlignment="1">
      <alignment horizontal="center" vertical="center"/>
    </xf>
    <xf numFmtId="4" fontId="10" fillId="10" borderId="115" xfId="165" applyNumberFormat="1" applyFont="1" applyFill="1" applyBorder="1" applyAlignment="1" applyProtection="1">
      <alignment horizontal="center" vertical="center"/>
    </xf>
    <xf numFmtId="180" fontId="10" fillId="10" borderId="115" xfId="165" applyNumberFormat="1" applyFont="1" applyFill="1" applyBorder="1" applyAlignment="1" applyProtection="1">
      <alignment horizontal="center" vertical="center"/>
    </xf>
    <xf numFmtId="0" fontId="85" fillId="0" borderId="108" xfId="158" applyFont="1" applyBorder="1" applyAlignment="1">
      <alignment vertical="center"/>
    </xf>
    <xf numFmtId="0" fontId="85" fillId="0" borderId="109" xfId="158" applyFont="1" applyBorder="1" applyAlignment="1">
      <alignment vertical="center"/>
    </xf>
    <xf numFmtId="0" fontId="83" fillId="6" borderId="0" xfId="158" applyFont="1" applyFill="1" applyAlignment="1">
      <alignment vertical="center"/>
    </xf>
    <xf numFmtId="0" fontId="84" fillId="27" borderId="106" xfId="158" applyFont="1" applyFill="1" applyBorder="1" applyAlignment="1">
      <alignment vertical="center"/>
    </xf>
    <xf numFmtId="0" fontId="84" fillId="27" borderId="107" xfId="158" applyFont="1" applyFill="1" applyBorder="1" applyAlignment="1">
      <alignment vertical="center"/>
    </xf>
    <xf numFmtId="0" fontId="11" fillId="6" borderId="0" xfId="158" applyFont="1" applyFill="1" applyAlignment="1">
      <alignment vertical="center"/>
    </xf>
    <xf numFmtId="0" fontId="13" fillId="6" borderId="35" xfId="0" applyFont="1" applyFill="1" applyBorder="1" applyAlignment="1">
      <alignment horizontal="left" vertical="center" wrapText="1"/>
    </xf>
    <xf numFmtId="0" fontId="85" fillId="0" borderId="53" xfId="158" applyFont="1" applyBorder="1" applyAlignment="1">
      <alignment vertical="center" wrapText="1"/>
    </xf>
    <xf numFmtId="0" fontId="85" fillId="0" borderId="52" xfId="158" applyFont="1" applyBorder="1" applyAlignment="1">
      <alignment vertical="center" wrapText="1"/>
    </xf>
    <xf numFmtId="0" fontId="85" fillId="0" borderId="8" xfId="158" applyFont="1" applyBorder="1" applyAlignment="1">
      <alignment horizontal="left" vertical="center"/>
    </xf>
    <xf numFmtId="0" fontId="85" fillId="0" borderId="19" xfId="158" applyFont="1" applyBorder="1" applyAlignment="1">
      <alignment vertical="center"/>
    </xf>
    <xf numFmtId="0" fontId="85" fillId="0" borderId="7" xfId="158" applyFont="1" applyBorder="1" applyAlignment="1">
      <alignment vertical="center"/>
    </xf>
    <xf numFmtId="0" fontId="85" fillId="0" borderId="3" xfId="158" applyFont="1" applyBorder="1" applyAlignment="1">
      <alignment horizontal="left" vertical="center"/>
    </xf>
    <xf numFmtId="0" fontId="85" fillId="0" borderId="4" xfId="158" applyFont="1" applyBorder="1" applyAlignment="1">
      <alignment vertical="center"/>
    </xf>
    <xf numFmtId="0" fontId="85" fillId="0" borderId="4" xfId="158" applyFont="1" applyBorder="1" applyAlignment="1">
      <alignment vertical="center" wrapText="1"/>
    </xf>
    <xf numFmtId="0" fontId="85" fillId="0" borderId="41" xfId="158" applyFont="1" applyBorder="1" applyAlignment="1">
      <alignment vertical="center" wrapText="1"/>
    </xf>
    <xf numFmtId="10" fontId="81" fillId="14" borderId="119" xfId="158" applyNumberFormat="1" applyFont="1" applyFill="1" applyBorder="1" applyAlignment="1">
      <alignment horizontal="center" vertical="center"/>
    </xf>
    <xf numFmtId="10" fontId="81" fillId="14" borderId="119" xfId="165" applyNumberFormat="1" applyFont="1" applyFill="1" applyBorder="1" applyAlignment="1" applyProtection="1">
      <alignment horizontal="center" vertical="center"/>
    </xf>
    <xf numFmtId="0" fontId="68" fillId="0" borderId="0" xfId="0" applyFont="1" applyAlignment="1">
      <alignment wrapText="1"/>
    </xf>
    <xf numFmtId="181" fontId="17" fillId="0" borderId="0" xfId="0" applyNumberFormat="1" applyFont="1" applyAlignment="1">
      <alignment wrapText="1"/>
    </xf>
    <xf numFmtId="0" fontId="40" fillId="0" borderId="121" xfId="0" applyFont="1" applyBorder="1"/>
    <xf numFmtId="0" fontId="40" fillId="0" borderId="122" xfId="0" applyFont="1" applyBorder="1"/>
    <xf numFmtId="0" fontId="4" fillId="0" borderId="122" xfId="0" applyFont="1" applyBorder="1" applyAlignment="1">
      <alignment vertical="center"/>
    </xf>
    <xf numFmtId="0" fontId="4" fillId="19" borderId="122" xfId="0" applyFont="1" applyFill="1" applyBorder="1" applyAlignment="1">
      <alignment vertical="center"/>
    </xf>
    <xf numFmtId="0" fontId="14" fillId="0" borderId="0" xfId="0" applyFont="1" applyAlignment="1">
      <alignment horizontal="left"/>
    </xf>
    <xf numFmtId="0" fontId="0" fillId="6" borderId="0" xfId="0" applyFill="1" applyAlignment="1">
      <alignment horizontal="left" vertical="center"/>
    </xf>
    <xf numFmtId="0" fontId="2" fillId="6" borderId="0" xfId="0" applyFont="1" applyFill="1" applyAlignment="1">
      <alignment horizontal="left" vertical="center"/>
    </xf>
    <xf numFmtId="0" fontId="15" fillId="0" borderId="0" xfId="0" applyFont="1" applyAlignment="1">
      <alignment horizontal="left" vertical="center"/>
    </xf>
    <xf numFmtId="44" fontId="15" fillId="0" borderId="0" xfId="2" applyFont="1" applyAlignment="1">
      <alignment horizontal="left" vertical="center"/>
    </xf>
    <xf numFmtId="44" fontId="15" fillId="0" borderId="0" xfId="0" applyNumberFormat="1" applyFont="1" applyAlignment="1">
      <alignment horizontal="left" vertical="center"/>
    </xf>
    <xf numFmtId="44" fontId="15" fillId="0" borderId="0" xfId="2" applyFont="1" applyAlignment="1">
      <alignment horizontal="center" vertical="center"/>
    </xf>
    <xf numFmtId="171" fontId="86" fillId="0" borderId="74" xfId="0" applyNumberFormat="1" applyFont="1" applyBorder="1" applyAlignment="1">
      <alignment vertical="center"/>
    </xf>
    <xf numFmtId="0" fontId="86" fillId="0" borderId="0" xfId="0" applyFont="1" applyAlignment="1">
      <alignment horizontal="center" vertical="center"/>
    </xf>
    <xf numFmtId="0" fontId="86" fillId="0" borderId="0" xfId="0" applyFont="1" applyAlignment="1">
      <alignment vertical="center"/>
    </xf>
    <xf numFmtId="0" fontId="86" fillId="0" borderId="122" xfId="0" applyFont="1" applyBorder="1" applyAlignment="1">
      <alignment vertical="center"/>
    </xf>
    <xf numFmtId="0" fontId="11" fillId="0" borderId="86" xfId="11" applyFont="1" applyBorder="1" applyAlignment="1">
      <alignment horizontal="center" vertical="center"/>
    </xf>
    <xf numFmtId="0" fontId="67" fillId="0" borderId="0" xfId="0" applyFont="1" applyAlignment="1">
      <alignment horizontal="center"/>
    </xf>
    <xf numFmtId="43" fontId="20" fillId="0" borderId="124" xfId="1" applyFont="1" applyFill="1" applyBorder="1" applyAlignment="1">
      <alignment horizontal="center" vertical="center" wrapText="1"/>
    </xf>
    <xf numFmtId="0" fontId="22" fillId="0" borderId="124" xfId="0" applyFont="1" applyBorder="1" applyAlignment="1">
      <alignment horizontal="center" vertical="center" wrapText="1"/>
    </xf>
    <xf numFmtId="4" fontId="18" fillId="0" borderId="14" xfId="0" applyNumberFormat="1" applyFont="1" applyBorder="1" applyAlignment="1">
      <alignment vertical="center"/>
    </xf>
    <xf numFmtId="0" fontId="17" fillId="3" borderId="104" xfId="0" applyFont="1" applyFill="1" applyBorder="1" applyAlignment="1">
      <alignment horizontal="right"/>
    </xf>
    <xf numFmtId="43" fontId="20" fillId="3" borderId="104" xfId="0" applyNumberFormat="1" applyFont="1" applyFill="1" applyBorder="1"/>
    <xf numFmtId="0" fontId="17" fillId="3" borderId="104" xfId="0" applyFont="1" applyFill="1" applyBorder="1" applyAlignment="1">
      <alignment vertical="center"/>
    </xf>
    <xf numFmtId="0" fontId="17" fillId="3" borderId="123" xfId="0" applyFont="1" applyFill="1" applyBorder="1" applyAlignment="1">
      <alignment vertical="center"/>
    </xf>
    <xf numFmtId="49" fontId="20" fillId="0" borderId="124" xfId="0" applyNumberFormat="1" applyFont="1" applyBorder="1" applyAlignment="1">
      <alignment horizontal="center" vertical="center" wrapText="1"/>
    </xf>
    <xf numFmtId="0" fontId="20" fillId="0" borderId="124" xfId="0" applyFont="1" applyBorder="1" applyAlignment="1">
      <alignment horizontal="left" vertical="center"/>
    </xf>
    <xf numFmtId="0" fontId="20" fillId="0" borderId="124" xfId="0" applyFont="1" applyBorder="1" applyAlignment="1">
      <alignment horizontal="center" vertical="center"/>
    </xf>
    <xf numFmtId="0" fontId="17" fillId="0" borderId="104" xfId="0" applyFont="1" applyBorder="1" applyAlignment="1">
      <alignment horizontal="left"/>
    </xf>
    <xf numFmtId="169" fontId="17" fillId="0" borderId="14" xfId="1" applyNumberFormat="1" applyFont="1" applyFill="1" applyBorder="1" applyAlignment="1">
      <alignment horizontal="center" vertical="center"/>
    </xf>
    <xf numFmtId="43" fontId="20" fillId="0" borderId="0" xfId="1" applyFont="1" applyFill="1"/>
    <xf numFmtId="0" fontId="17" fillId="0" borderId="125" xfId="0" applyFont="1" applyBorder="1" applyAlignment="1">
      <alignment horizontal="left" vertical="center" wrapText="1"/>
    </xf>
    <xf numFmtId="0" fontId="17" fillId="0" borderId="125" xfId="0" applyFont="1" applyBorder="1" applyAlignment="1">
      <alignment horizontal="center" vertical="center" wrapText="1"/>
    </xf>
    <xf numFmtId="2" fontId="16" fillId="0" borderId="125" xfId="0" applyNumberFormat="1" applyFont="1" applyBorder="1" applyAlignment="1">
      <alignment horizontal="right" vertical="center" shrinkToFit="1"/>
    </xf>
    <xf numFmtId="43" fontId="17" fillId="0" borderId="125" xfId="1" applyFont="1" applyFill="1" applyBorder="1" applyAlignment="1">
      <alignment vertical="center"/>
    </xf>
    <xf numFmtId="43" fontId="28" fillId="0" borderId="0" xfId="1" applyFont="1" applyAlignment="1">
      <alignment vertical="center"/>
    </xf>
    <xf numFmtId="10" fontId="12" fillId="5" borderId="99" xfId="69" applyNumberFormat="1" applyFill="1" applyBorder="1" applyAlignment="1" applyProtection="1">
      <alignment horizontal="center" vertical="center"/>
      <protection locked="0"/>
    </xf>
    <xf numFmtId="0" fontId="6" fillId="0" borderId="127" xfId="0" applyFont="1" applyBorder="1" applyAlignment="1">
      <alignment horizontal="center" vertical="center"/>
    </xf>
    <xf numFmtId="43" fontId="4" fillId="0" borderId="0" xfId="1" applyFont="1" applyAlignment="1">
      <alignment vertical="center"/>
    </xf>
    <xf numFmtId="0" fontId="13" fillId="0" borderId="127" xfId="0" applyFont="1" applyBorder="1" applyAlignment="1">
      <alignment horizontal="center" vertical="center"/>
    </xf>
    <xf numFmtId="0" fontId="46" fillId="18" borderId="128" xfId="0" applyFont="1" applyFill="1" applyBorder="1" applyAlignment="1">
      <alignment horizontal="center" vertical="center"/>
    </xf>
    <xf numFmtId="0" fontId="4" fillId="0" borderId="129" xfId="0" applyFont="1" applyBorder="1" applyAlignment="1">
      <alignment horizontal="center" vertical="center"/>
    </xf>
    <xf numFmtId="0" fontId="4" fillId="9" borderId="130" xfId="0" applyFont="1" applyFill="1" applyBorder="1" applyAlignment="1">
      <alignment horizontal="center" vertical="center"/>
    </xf>
    <xf numFmtId="4" fontId="4" fillId="0" borderId="131" xfId="0" applyNumberFormat="1" applyFont="1" applyBorder="1" applyAlignment="1">
      <alignment vertical="center" wrapText="1"/>
    </xf>
    <xf numFmtId="4" fontId="4" fillId="0" borderId="131" xfId="0" applyNumberFormat="1" applyFont="1" applyBorder="1" applyAlignment="1">
      <alignment horizontal="center" vertical="center" wrapText="1"/>
    </xf>
    <xf numFmtId="171" fontId="4" fillId="0" borderId="132" xfId="0" applyNumberFormat="1" applyFont="1" applyBorder="1" applyAlignment="1">
      <alignment vertical="center"/>
    </xf>
    <xf numFmtId="44" fontId="4" fillId="0" borderId="131" xfId="2" applyFont="1" applyBorder="1" applyAlignment="1">
      <alignment vertical="center"/>
    </xf>
    <xf numFmtId="0" fontId="13" fillId="2" borderId="135" xfId="0" applyFont="1" applyFill="1" applyBorder="1" applyAlignment="1">
      <alignment horizontal="center" vertical="center"/>
    </xf>
    <xf numFmtId="0" fontId="6" fillId="2" borderId="135" xfId="0" applyFont="1" applyFill="1" applyBorder="1" applyAlignment="1">
      <alignment horizontal="center" vertical="center"/>
    </xf>
    <xf numFmtId="0" fontId="13" fillId="2" borderId="35" xfId="0" applyFont="1" applyFill="1" applyBorder="1" applyAlignment="1">
      <alignment horizontal="left" vertical="center" wrapText="1"/>
    </xf>
    <xf numFmtId="0" fontId="6" fillId="0" borderId="135" xfId="0" applyFont="1" applyBorder="1" applyAlignment="1">
      <alignment horizontal="center" vertical="center"/>
    </xf>
    <xf numFmtId="0" fontId="7" fillId="0" borderId="5" xfId="0" applyFont="1" applyBorder="1" applyAlignment="1">
      <alignment horizontal="right" vertical="center"/>
    </xf>
    <xf numFmtId="0" fontId="7" fillId="0" borderId="0" xfId="0" applyFont="1" applyAlignment="1">
      <alignment horizontal="right" vertical="center"/>
    </xf>
    <xf numFmtId="0" fontId="13" fillId="0" borderId="135" xfId="0" applyFont="1" applyBorder="1" applyAlignment="1">
      <alignment horizontal="center" vertical="center"/>
    </xf>
    <xf numFmtId="49" fontId="46" fillId="18" borderId="136" xfId="0" applyNumberFormat="1" applyFont="1" applyFill="1" applyBorder="1" applyAlignment="1">
      <alignment horizontal="centerContinuous" vertical="center"/>
    </xf>
    <xf numFmtId="49" fontId="46" fillId="18" borderId="137" xfId="0" applyNumberFormat="1" applyFont="1" applyFill="1" applyBorder="1" applyAlignment="1">
      <alignment horizontal="centerContinuous" vertical="center"/>
    </xf>
    <xf numFmtId="4" fontId="7" fillId="0" borderId="0" xfId="0" applyNumberFormat="1" applyFont="1" applyAlignment="1">
      <alignment horizontal="center" vertical="center"/>
    </xf>
    <xf numFmtId="44" fontId="7" fillId="0" borderId="0" xfId="0" applyNumberFormat="1" applyFont="1" applyAlignment="1">
      <alignment horizontal="center" vertical="center"/>
    </xf>
    <xf numFmtId="44" fontId="7" fillId="0" borderId="6" xfId="0" applyNumberFormat="1" applyFont="1" applyBorder="1" applyAlignment="1">
      <alignment horizontal="center" vertical="center"/>
    </xf>
    <xf numFmtId="43" fontId="0" fillId="0" borderId="135" xfId="1" applyFont="1" applyFill="1" applyBorder="1" applyAlignment="1">
      <alignment horizontal="center" vertical="center"/>
    </xf>
    <xf numFmtId="4" fontId="6" fillId="0" borderId="135" xfId="1" applyNumberFormat="1" applyFont="1" applyFill="1" applyBorder="1" applyAlignment="1">
      <alignment horizontal="right" vertical="center"/>
    </xf>
    <xf numFmtId="0" fontId="10" fillId="0" borderId="21" xfId="69" applyFont="1" applyBorder="1" applyAlignment="1">
      <alignment horizontal="left" vertical="center"/>
    </xf>
    <xf numFmtId="0" fontId="20" fillId="0" borderId="135" xfId="0" applyFont="1" applyBorder="1" applyAlignment="1">
      <alignment vertical="center" wrapText="1"/>
    </xf>
    <xf numFmtId="0" fontId="20" fillId="0" borderId="135" xfId="0" applyFont="1" applyBorder="1" applyAlignment="1">
      <alignment horizontal="center" vertical="center" wrapText="1"/>
    </xf>
    <xf numFmtId="43" fontId="20" fillId="0" borderId="135" xfId="1" applyFont="1" applyFill="1" applyBorder="1" applyAlignment="1">
      <alignment horizontal="center" vertical="center" wrapText="1"/>
    </xf>
    <xf numFmtId="43" fontId="20" fillId="0" borderId="141" xfId="1" applyFont="1" applyFill="1" applyBorder="1" applyAlignment="1">
      <alignment horizontal="center" vertical="center" wrapText="1"/>
    </xf>
    <xf numFmtId="43" fontId="20" fillId="0" borderId="141" xfId="1" applyFont="1" applyFill="1" applyBorder="1" applyAlignment="1">
      <alignment vertical="center" wrapText="1"/>
    </xf>
    <xf numFmtId="49" fontId="20" fillId="0" borderId="135" xfId="0" applyNumberFormat="1" applyFont="1" applyBorder="1" applyAlignment="1">
      <alignment vertical="center"/>
    </xf>
    <xf numFmtId="14" fontId="20" fillId="0" borderId="135" xfId="0" applyNumberFormat="1" applyFont="1" applyBorder="1" applyAlignment="1">
      <alignment vertical="center" wrapText="1"/>
    </xf>
    <xf numFmtId="0" fontId="17" fillId="0" borderId="135" xfId="0" applyFont="1" applyBorder="1" applyAlignment="1">
      <alignment horizontal="center" vertical="center"/>
    </xf>
    <xf numFmtId="0" fontId="17" fillId="0" borderId="135" xfId="0" applyFont="1" applyBorder="1" applyAlignment="1">
      <alignment horizontal="right" vertical="center"/>
    </xf>
    <xf numFmtId="43" fontId="17" fillId="0" borderId="135" xfId="1" applyFont="1" applyFill="1" applyBorder="1" applyAlignment="1">
      <alignment vertical="center"/>
    </xf>
    <xf numFmtId="4" fontId="20" fillId="0" borderId="135" xfId="0" applyNumberFormat="1" applyFont="1" applyBorder="1" applyAlignment="1">
      <alignment vertical="center"/>
    </xf>
    <xf numFmtId="0" fontId="22" fillId="0" borderId="135" xfId="0" applyFont="1" applyBorder="1" applyAlignment="1">
      <alignment horizontal="center" vertical="center"/>
    </xf>
    <xf numFmtId="0" fontId="20" fillId="0" borderId="135" xfId="22" applyFont="1" applyBorder="1" applyAlignment="1">
      <alignment vertical="center" wrapText="1"/>
    </xf>
    <xf numFmtId="0" fontId="20" fillId="0" borderId="135" xfId="22" applyFont="1" applyBorder="1" applyAlignment="1">
      <alignment horizontal="center" vertical="center"/>
    </xf>
    <xf numFmtId="0" fontId="18" fillId="0" borderId="15" xfId="0" applyFont="1" applyBorder="1" applyAlignment="1">
      <alignment vertical="center"/>
    </xf>
    <xf numFmtId="0" fontId="18" fillId="0" borderId="15" xfId="0" applyFont="1" applyBorder="1" applyAlignment="1">
      <alignment horizontal="left" vertical="center" wrapText="1"/>
    </xf>
    <xf numFmtId="0" fontId="18" fillId="0" borderId="15" xfId="0" applyFont="1" applyBorder="1" applyAlignment="1">
      <alignment horizontal="center" vertical="center"/>
    </xf>
    <xf numFmtId="43" fontId="18" fillId="0" borderId="15" xfId="1" applyFont="1" applyBorder="1" applyAlignment="1">
      <alignment vertical="center"/>
    </xf>
    <xf numFmtId="0" fontId="80" fillId="17" borderId="135" xfId="0" applyFont="1" applyFill="1" applyBorder="1" applyAlignment="1">
      <alignment horizontal="centerContinuous" vertical="center" wrapText="1"/>
    </xf>
    <xf numFmtId="0" fontId="68" fillId="0" borderId="0" xfId="0" applyFont="1" applyAlignment="1">
      <alignment horizontal="center" wrapText="1"/>
    </xf>
    <xf numFmtId="178" fontId="68" fillId="0" borderId="0" xfId="0" applyNumberFormat="1" applyFont="1" applyAlignment="1">
      <alignment wrapText="1"/>
    </xf>
    <xf numFmtId="43" fontId="20" fillId="0" borderId="124" xfId="1" applyFont="1" applyFill="1" applyBorder="1" applyAlignment="1">
      <alignment horizontal="center" vertical="center"/>
    </xf>
    <xf numFmtId="4" fontId="65" fillId="0" borderId="135" xfId="1" applyNumberFormat="1" applyFont="1" applyFill="1" applyBorder="1" applyAlignment="1">
      <alignment horizontal="center" vertical="center" wrapText="1"/>
    </xf>
    <xf numFmtId="169" fontId="17" fillId="0" borderId="13" xfId="1" applyNumberFormat="1" applyFont="1" applyFill="1" applyBorder="1" applyAlignment="1">
      <alignment horizontal="center" vertical="center"/>
    </xf>
    <xf numFmtId="43" fontId="17" fillId="0" borderId="0" xfId="1" applyFont="1" applyFill="1" applyAlignment="1">
      <alignment horizontal="right"/>
    </xf>
    <xf numFmtId="4" fontId="21" fillId="0" borderId="14" xfId="1" applyNumberFormat="1" applyFont="1" applyFill="1" applyBorder="1" applyAlignment="1">
      <alignment vertical="center"/>
    </xf>
    <xf numFmtId="43" fontId="17" fillId="0" borderId="14" xfId="79" applyFont="1" applyFill="1" applyBorder="1" applyAlignment="1">
      <alignment horizontal="center" vertical="center"/>
    </xf>
    <xf numFmtId="49" fontId="28" fillId="3" borderId="0" xfId="0" applyNumberFormat="1" applyFont="1" applyFill="1" applyAlignment="1">
      <alignment horizontal="center"/>
    </xf>
    <xf numFmtId="0" fontId="28" fillId="3" borderId="0" xfId="0" applyFont="1" applyFill="1" applyAlignment="1">
      <alignment horizontal="center"/>
    </xf>
    <xf numFmtId="0" fontId="17" fillId="3" borderId="0" xfId="0" applyFont="1" applyFill="1" applyAlignment="1">
      <alignment horizontal="center" vertical="center"/>
    </xf>
    <xf numFmtId="0" fontId="17" fillId="3" borderId="0" xfId="0" applyFont="1" applyFill="1" applyAlignment="1">
      <alignment horizontal="left" vertical="center"/>
    </xf>
    <xf numFmtId="43" fontId="17" fillId="3" borderId="0" xfId="1" applyFont="1" applyFill="1" applyBorder="1" applyAlignment="1">
      <alignment horizontal="right" vertical="center"/>
    </xf>
    <xf numFmtId="169" fontId="17" fillId="3" borderId="0" xfId="1" applyNumberFormat="1" applyFont="1" applyFill="1" applyBorder="1" applyAlignment="1">
      <alignment horizontal="center" vertical="center"/>
    </xf>
    <xf numFmtId="0" fontId="17" fillId="3" borderId="0" xfId="0" applyFont="1" applyFill="1"/>
    <xf numFmtId="43" fontId="17" fillId="3" borderId="0" xfId="1" applyFont="1" applyFill="1" applyBorder="1" applyAlignment="1">
      <alignment vertical="center"/>
    </xf>
    <xf numFmtId="22" fontId="20" fillId="0" borderId="0" xfId="1" applyNumberFormat="1" applyFont="1" applyFill="1"/>
    <xf numFmtId="4" fontId="21" fillId="0" borderId="14" xfId="1" applyNumberFormat="1" applyFont="1" applyFill="1" applyBorder="1" applyAlignment="1">
      <alignment horizontal="right" vertical="center"/>
    </xf>
    <xf numFmtId="0" fontId="66" fillId="0" borderId="14" xfId="0" applyFont="1" applyBorder="1" applyAlignment="1">
      <alignment horizontal="left" vertical="top" wrapText="1"/>
    </xf>
    <xf numFmtId="169" fontId="17" fillId="0" borderId="15" xfId="1" applyNumberFormat="1" applyFont="1" applyFill="1" applyBorder="1" applyAlignment="1">
      <alignment horizontal="center" vertical="center"/>
    </xf>
    <xf numFmtId="43" fontId="17" fillId="0" borderId="0" xfId="1" applyFont="1" applyFill="1"/>
    <xf numFmtId="175" fontId="17" fillId="0" borderId="0" xfId="1" applyNumberFormat="1" applyFont="1" applyFill="1" applyAlignment="1">
      <alignment vertical="center"/>
    </xf>
    <xf numFmtId="43" fontId="17" fillId="0" borderId="0" xfId="1" applyFont="1" applyFill="1" applyAlignment="1">
      <alignment horizontal="right" vertical="center"/>
    </xf>
    <xf numFmtId="43" fontId="17" fillId="0" borderId="0" xfId="1" applyFont="1" applyAlignment="1">
      <alignment vertical="center"/>
    </xf>
    <xf numFmtId="10" fontId="20" fillId="0" borderId="0" xfId="1" applyNumberFormat="1" applyFont="1" applyFill="1" applyAlignment="1">
      <alignment horizontal="center" vertical="center"/>
    </xf>
    <xf numFmtId="0" fontId="20" fillId="0" borderId="0" xfId="0" applyFont="1" applyAlignment="1">
      <alignment horizontal="left" vertical="center"/>
    </xf>
    <xf numFmtId="175" fontId="17" fillId="0" borderId="0" xfId="1" applyNumberFormat="1" applyFont="1" applyFill="1" applyAlignment="1">
      <alignment horizontal="center" vertical="center"/>
    </xf>
    <xf numFmtId="43" fontId="20" fillId="0" borderId="0" xfId="0" applyNumberFormat="1" applyFont="1" applyAlignment="1">
      <alignment horizontal="center" vertical="center"/>
    </xf>
    <xf numFmtId="43" fontId="17" fillId="0" borderId="0" xfId="1" applyFont="1" applyAlignment="1">
      <alignment horizontal="center" vertical="center"/>
    </xf>
    <xf numFmtId="43" fontId="20" fillId="0" borderId="123" xfId="0" applyNumberFormat="1" applyFont="1" applyBorder="1" applyAlignment="1">
      <alignment vertical="center"/>
    </xf>
    <xf numFmtId="0" fontId="20" fillId="0" borderId="135" xfId="0" applyFont="1" applyBorder="1" applyAlignment="1">
      <alignment horizontal="center" vertical="center"/>
    </xf>
    <xf numFmtId="43" fontId="20" fillId="0" borderId="135" xfId="1" applyFont="1" applyFill="1" applyBorder="1" applyAlignment="1">
      <alignment horizontal="center" vertical="center"/>
    </xf>
    <xf numFmtId="4" fontId="20" fillId="0" borderId="135" xfId="0" applyNumberFormat="1" applyFont="1" applyBorder="1" applyAlignment="1">
      <alignment horizontal="center" vertical="center" wrapText="1"/>
    </xf>
    <xf numFmtId="176" fontId="20" fillId="0" borderId="135" xfId="0" applyNumberFormat="1" applyFont="1" applyBorder="1" applyAlignment="1">
      <alignment horizontal="center" vertical="center"/>
    </xf>
    <xf numFmtId="176" fontId="20" fillId="0" borderId="12" xfId="0" applyNumberFormat="1" applyFont="1" applyBorder="1" applyAlignment="1">
      <alignment horizontal="center" vertical="center"/>
    </xf>
    <xf numFmtId="175" fontId="20" fillId="0" borderId="135" xfId="1" applyNumberFormat="1" applyFont="1" applyFill="1" applyBorder="1" applyAlignment="1">
      <alignment horizontal="center" vertical="center" wrapText="1"/>
    </xf>
    <xf numFmtId="4" fontId="17" fillId="0" borderId="14" xfId="1" applyNumberFormat="1" applyFont="1" applyBorder="1" applyAlignment="1">
      <alignment horizontal="right" vertical="center"/>
    </xf>
    <xf numFmtId="4" fontId="17" fillId="0" borderId="14" xfId="0" applyNumberFormat="1" applyFont="1" applyBorder="1" applyAlignment="1">
      <alignment horizontal="right" vertical="center" shrinkToFit="1"/>
    </xf>
    <xf numFmtId="4" fontId="17" fillId="0" borderId="14" xfId="1" applyNumberFormat="1" applyFont="1" applyBorder="1" applyAlignment="1">
      <alignment vertical="center"/>
    </xf>
    <xf numFmtId="4" fontId="17" fillId="0" borderId="0" xfId="1" applyNumberFormat="1" applyFont="1" applyAlignment="1">
      <alignment vertical="center"/>
    </xf>
    <xf numFmtId="49" fontId="17" fillId="0" borderId="125" xfId="0" applyNumberFormat="1" applyFont="1" applyBorder="1" applyAlignment="1">
      <alignment vertical="center"/>
    </xf>
    <xf numFmtId="0" fontId="17" fillId="0" borderId="125" xfId="0" applyFont="1" applyBorder="1" applyAlignment="1">
      <alignment vertical="center" wrapText="1"/>
    </xf>
    <xf numFmtId="0" fontId="17" fillId="0" borderId="125" xfId="0" applyFont="1" applyBorder="1" applyAlignment="1">
      <alignment horizontal="center" vertical="center"/>
    </xf>
    <xf numFmtId="4" fontId="17" fillId="0" borderId="126" xfId="1" applyNumberFormat="1" applyFont="1" applyFill="1" applyBorder="1" applyAlignment="1">
      <alignment vertical="center"/>
    </xf>
    <xf numFmtId="0" fontId="17" fillId="0" borderId="125" xfId="0" applyFont="1" applyBorder="1" applyAlignment="1">
      <alignment horizontal="left" vertical="center"/>
    </xf>
    <xf numFmtId="4" fontId="17" fillId="0" borderId="14" xfId="1" applyNumberFormat="1" applyFont="1" applyFill="1" applyBorder="1" applyAlignment="1">
      <alignment horizontal="center" vertical="center"/>
    </xf>
    <xf numFmtId="0" fontId="0" fillId="0" borderId="14" xfId="0" applyBorder="1" applyAlignment="1">
      <alignment horizontal="left" vertical="center" wrapText="1"/>
    </xf>
    <xf numFmtId="0" fontId="17" fillId="0" borderId="125" xfId="0" applyFont="1" applyBorder="1" applyAlignment="1">
      <alignment horizontal="left" vertical="top"/>
    </xf>
    <xf numFmtId="0" fontId="17" fillId="0" borderId="0" xfId="0" applyFont="1" applyAlignment="1">
      <alignment horizontal="left" vertical="center" wrapText="1"/>
    </xf>
    <xf numFmtId="0" fontId="17" fillId="0" borderId="0" xfId="0" applyFont="1" applyAlignment="1">
      <alignment horizontal="center" vertical="center" wrapText="1"/>
    </xf>
    <xf numFmtId="4" fontId="17" fillId="0" borderId="126" xfId="1" applyNumberFormat="1" applyFont="1" applyBorder="1" applyAlignment="1">
      <alignment vertical="center"/>
    </xf>
    <xf numFmtId="4" fontId="20" fillId="0" borderId="14" xfId="1" applyNumberFormat="1" applyFont="1" applyFill="1" applyBorder="1" applyAlignment="1">
      <alignment vertical="center"/>
    </xf>
    <xf numFmtId="4" fontId="20" fillId="0" borderId="14" xfId="1" applyNumberFormat="1" applyFont="1" applyFill="1" applyBorder="1" applyAlignment="1">
      <alignment horizontal="right" vertical="center"/>
    </xf>
    <xf numFmtId="0" fontId="17" fillId="0" borderId="14" xfId="0" applyFont="1" applyBorder="1" applyAlignment="1">
      <alignment horizontal="center" vertical="top"/>
    </xf>
    <xf numFmtId="43" fontId="16" fillId="0" borderId="14" xfId="1" applyFont="1" applyBorder="1" applyAlignment="1">
      <alignment horizontal="right" vertical="top" shrinkToFit="1"/>
    </xf>
    <xf numFmtId="0" fontId="0" fillId="0" borderId="14" xfId="0" applyBorder="1" applyAlignment="1">
      <alignment horizontal="left" vertical="top"/>
    </xf>
    <xf numFmtId="4" fontId="17" fillId="0" borderId="14" xfId="1" applyNumberFormat="1" applyFont="1" applyFill="1" applyBorder="1" applyAlignment="1">
      <alignment horizontal="right" vertical="center" shrinkToFit="1"/>
    </xf>
    <xf numFmtId="43" fontId="16" fillId="0" borderId="14" xfId="1" applyFont="1" applyBorder="1" applyAlignment="1">
      <alignment horizontal="right" vertical="center" shrinkToFit="1"/>
    </xf>
    <xf numFmtId="0" fontId="17" fillId="0" borderId="0" xfId="0" applyFont="1" applyAlignment="1">
      <alignment horizontal="left" vertical="top"/>
    </xf>
    <xf numFmtId="4" fontId="17" fillId="0" borderId="0" xfId="1" applyNumberFormat="1" applyFont="1" applyFill="1" applyBorder="1" applyAlignment="1">
      <alignment vertical="center"/>
    </xf>
    <xf numFmtId="4" fontId="17" fillId="0" borderId="0" xfId="1" applyNumberFormat="1" applyFont="1" applyFill="1" applyBorder="1" applyAlignment="1">
      <alignment horizontal="right" vertical="center"/>
    </xf>
    <xf numFmtId="4" fontId="17" fillId="0" borderId="15" xfId="1" applyNumberFormat="1" applyFont="1" applyFill="1" applyBorder="1" applyAlignment="1">
      <alignment vertical="center"/>
    </xf>
    <xf numFmtId="4" fontId="17" fillId="0" borderId="15" xfId="0" applyNumberFormat="1" applyFont="1" applyBorder="1" applyAlignment="1">
      <alignment vertical="center"/>
    </xf>
    <xf numFmtId="4" fontId="17" fillId="0" borderId="15" xfId="1" applyNumberFormat="1" applyFont="1" applyFill="1" applyBorder="1" applyAlignment="1">
      <alignment horizontal="right" vertical="center"/>
    </xf>
    <xf numFmtId="0" fontId="20" fillId="0" borderId="135" xfId="0" applyFont="1" applyBorder="1" applyAlignment="1">
      <alignment vertical="center"/>
    </xf>
    <xf numFmtId="43" fontId="20" fillId="0" borderId="135" xfId="1" applyFont="1" applyFill="1" applyBorder="1" applyAlignment="1">
      <alignment vertical="center"/>
    </xf>
    <xf numFmtId="183" fontId="15" fillId="0" borderId="0" xfId="361" applyNumberFormat="1" applyFont="1" applyAlignment="1">
      <alignment horizontal="center" vertical="center"/>
    </xf>
    <xf numFmtId="2" fontId="40" fillId="0" borderId="5" xfId="0" applyNumberFormat="1" applyFont="1" applyBorder="1"/>
    <xf numFmtId="2" fontId="40" fillId="0" borderId="0" xfId="0" applyNumberFormat="1" applyFont="1"/>
    <xf numFmtId="2" fontId="4" fillId="2" borderId="5" xfId="1197" applyNumberFormat="1" applyFont="1" applyFill="1" applyBorder="1" applyAlignment="1">
      <alignment vertical="center"/>
    </xf>
    <xf numFmtId="2" fontId="46" fillId="2" borderId="0" xfId="1197" applyNumberFormat="1" applyFont="1" applyFill="1" applyBorder="1" applyAlignment="1">
      <alignment vertical="center"/>
    </xf>
    <xf numFmtId="2" fontId="40" fillId="2" borderId="0" xfId="0" applyNumberFormat="1" applyFont="1" applyFill="1" applyAlignment="1">
      <alignment horizontal="center" vertical="center"/>
    </xf>
    <xf numFmtId="2" fontId="4" fillId="2" borderId="0" xfId="1" applyNumberFormat="1" applyFont="1" applyFill="1" applyBorder="1" applyAlignment="1">
      <alignment horizontal="center" vertical="center"/>
    </xf>
    <xf numFmtId="2" fontId="4" fillId="2" borderId="0" xfId="1197" applyNumberFormat="1" applyFont="1" applyFill="1" applyBorder="1" applyAlignment="1">
      <alignment horizontal="center" vertical="center"/>
    </xf>
    <xf numFmtId="2" fontId="40" fillId="2" borderId="0" xfId="0" applyNumberFormat="1" applyFont="1" applyFill="1" applyAlignment="1">
      <alignment horizontal="center"/>
    </xf>
    <xf numFmtId="2" fontId="46" fillId="2" borderId="0" xfId="1" applyNumberFormat="1" applyFont="1" applyFill="1" applyBorder="1" applyAlignment="1">
      <alignment horizontal="center" vertical="center"/>
    </xf>
    <xf numFmtId="2" fontId="4" fillId="2" borderId="0" xfId="0" applyNumberFormat="1" applyFont="1" applyFill="1" applyAlignment="1">
      <alignment horizontal="center"/>
    </xf>
    <xf numFmtId="2" fontId="4" fillId="2" borderId="104" xfId="1" applyNumberFormat="1" applyFont="1" applyFill="1" applyBorder="1" applyAlignment="1">
      <alignment horizontal="center" vertical="center"/>
    </xf>
    <xf numFmtId="2" fontId="4" fillId="2" borderId="123" xfId="1" applyNumberFormat="1" applyFont="1" applyFill="1" applyBorder="1" applyAlignment="1">
      <alignment horizontal="center" vertical="center"/>
    </xf>
    <xf numFmtId="2" fontId="4" fillId="2" borderId="142" xfId="1" applyNumberFormat="1" applyFont="1" applyFill="1" applyBorder="1" applyAlignment="1">
      <alignment horizontal="center" vertical="center"/>
    </xf>
    <xf numFmtId="2" fontId="4" fillId="2" borderId="53" xfId="1" applyNumberFormat="1" applyFont="1" applyFill="1" applyBorder="1" applyAlignment="1">
      <alignment horizontal="center" vertical="center"/>
    </xf>
    <xf numFmtId="2" fontId="4" fillId="2" borderId="53" xfId="0" applyNumberFormat="1" applyFont="1" applyFill="1" applyBorder="1" applyAlignment="1">
      <alignment horizontal="center"/>
    </xf>
    <xf numFmtId="2" fontId="4" fillId="2" borderId="52" xfId="1" applyNumberFormat="1" applyFont="1" applyFill="1" applyBorder="1" applyAlignment="1">
      <alignment horizontal="center" vertical="center"/>
    </xf>
    <xf numFmtId="2" fontId="4" fillId="2" borderId="104" xfId="1197" applyNumberFormat="1" applyFont="1" applyFill="1" applyBorder="1" applyAlignment="1">
      <alignment horizontal="center" vertical="center"/>
    </xf>
    <xf numFmtId="2" fontId="4" fillId="2" borderId="6" xfId="1" applyNumberFormat="1" applyFont="1" applyFill="1" applyBorder="1" applyAlignment="1">
      <alignment horizontal="center" vertical="center"/>
    </xf>
    <xf numFmtId="2" fontId="0" fillId="0" borderId="0" xfId="0" applyNumberFormat="1" applyAlignment="1">
      <alignment horizontal="center"/>
    </xf>
    <xf numFmtId="2" fontId="4" fillId="2" borderId="5" xfId="1" applyNumberFormat="1" applyFont="1" applyFill="1" applyBorder="1" applyAlignment="1">
      <alignment horizontal="right" vertical="center"/>
    </xf>
    <xf numFmtId="2" fontId="4" fillId="2" borderId="0" xfId="1" applyNumberFormat="1" applyFont="1" applyFill="1" applyBorder="1" applyAlignment="1">
      <alignment horizontal="left" vertical="center"/>
    </xf>
    <xf numFmtId="2" fontId="4" fillId="2" borderId="0" xfId="1" applyNumberFormat="1" applyFont="1" applyFill="1" applyBorder="1" applyAlignment="1">
      <alignment horizontal="right" vertical="center"/>
    </xf>
    <xf numFmtId="2" fontId="4" fillId="2" borderId="0" xfId="1" applyNumberFormat="1" applyFont="1" applyFill="1" applyBorder="1" applyAlignment="1">
      <alignment horizontal="center"/>
    </xf>
    <xf numFmtId="2" fontId="40" fillId="2" borderId="0" xfId="0" applyNumberFormat="1" applyFont="1" applyFill="1" applyAlignment="1">
      <alignment horizontal="right"/>
    </xf>
    <xf numFmtId="2" fontId="40" fillId="2" borderId="0" xfId="0" applyNumberFormat="1" applyFont="1" applyFill="1" applyAlignment="1">
      <alignment horizontal="right" vertical="center"/>
    </xf>
    <xf numFmtId="2" fontId="4" fillId="2" borderId="0" xfId="0" applyNumberFormat="1" applyFont="1" applyFill="1" applyAlignment="1">
      <alignment vertical="center"/>
    </xf>
    <xf numFmtId="2" fontId="40" fillId="2" borderId="0" xfId="0" applyNumberFormat="1" applyFont="1" applyFill="1" applyAlignment="1">
      <alignment horizontal="left"/>
    </xf>
    <xf numFmtId="0" fontId="11" fillId="0" borderId="135" xfId="11" applyFont="1" applyBorder="1" applyAlignment="1">
      <alignment horizontal="center" vertical="center"/>
    </xf>
    <xf numFmtId="0" fontId="11" fillId="6" borderId="2" xfId="11" applyFont="1" applyFill="1" applyBorder="1" applyAlignment="1">
      <alignment horizontal="center" vertical="center"/>
    </xf>
    <xf numFmtId="0" fontId="10" fillId="6" borderId="9" xfId="11" applyFont="1" applyFill="1" applyBorder="1" applyAlignment="1">
      <alignment horizontal="center" vertical="center"/>
    </xf>
    <xf numFmtId="10" fontId="81" fillId="14" borderId="112" xfId="158" applyNumberFormat="1" applyFont="1" applyFill="1" applyBorder="1" applyAlignment="1">
      <alignment horizontal="center" vertical="center"/>
    </xf>
    <xf numFmtId="0" fontId="82" fillId="25" borderId="112" xfId="158" applyFont="1" applyFill="1" applyBorder="1" applyAlignment="1">
      <alignment horizontal="center" vertical="center"/>
    </xf>
    <xf numFmtId="4" fontId="83" fillId="0" borderId="0" xfId="158" applyNumberFormat="1" applyFont="1" applyAlignment="1">
      <alignment vertical="center"/>
    </xf>
    <xf numFmtId="0" fontId="0" fillId="0" borderId="135" xfId="0" applyBorder="1" applyAlignment="1">
      <alignment horizontal="center" vertical="center"/>
    </xf>
    <xf numFmtId="44" fontId="0" fillId="0" borderId="135" xfId="0" applyNumberFormat="1" applyBorder="1" applyAlignment="1">
      <alignment horizontal="center" vertical="center"/>
    </xf>
    <xf numFmtId="44" fontId="6" fillId="0" borderId="135" xfId="0" applyNumberFormat="1" applyFont="1" applyBorder="1" applyAlignment="1">
      <alignment horizontal="center" vertical="center"/>
    </xf>
    <xf numFmtId="0" fontId="6" fillId="0" borderId="135" xfId="0" applyFont="1" applyBorder="1" applyAlignment="1">
      <alignment vertical="center" wrapText="1"/>
    </xf>
    <xf numFmtId="0" fontId="6" fillId="0" borderId="135" xfId="0" applyFont="1" applyBorder="1" applyAlignment="1">
      <alignment horizontal="left" vertical="center" wrapText="1"/>
    </xf>
    <xf numFmtId="4" fontId="6" fillId="0" borderId="135" xfId="0" applyNumberFormat="1" applyFont="1" applyBorder="1" applyAlignment="1">
      <alignment horizontal="right" vertical="center"/>
    </xf>
    <xf numFmtId="182" fontId="6" fillId="0" borderId="135" xfId="0" applyNumberFormat="1" applyFont="1" applyBorder="1" applyAlignment="1">
      <alignment horizontal="right" vertical="center"/>
    </xf>
    <xf numFmtId="0" fontId="4" fillId="0" borderId="74" xfId="0" applyFont="1" applyBorder="1" applyAlignment="1">
      <alignment vertical="center"/>
    </xf>
    <xf numFmtId="0" fontId="4" fillId="0" borderId="97" xfId="0" applyFont="1" applyBorder="1" applyAlignment="1">
      <alignment horizontal="center" vertical="center"/>
    </xf>
    <xf numFmtId="0" fontId="4" fillId="0" borderId="143" xfId="0" applyFont="1" applyBorder="1" applyAlignment="1">
      <alignment horizontal="center" vertical="center"/>
    </xf>
    <xf numFmtId="0" fontId="4" fillId="0" borderId="100" xfId="0" applyFont="1" applyBorder="1" applyAlignment="1">
      <alignment horizontal="center" vertical="center"/>
    </xf>
    <xf numFmtId="3" fontId="46" fillId="18" borderId="138" xfId="0" applyNumberFormat="1" applyFont="1" applyFill="1" applyBorder="1" applyAlignment="1">
      <alignment horizontal="left" vertical="center" wrapText="1"/>
    </xf>
    <xf numFmtId="3" fontId="46" fillId="18" borderId="139" xfId="0" applyNumberFormat="1" applyFont="1" applyFill="1" applyBorder="1" applyAlignment="1">
      <alignment horizontal="left" vertical="center" wrapText="1"/>
    </xf>
    <xf numFmtId="3" fontId="46" fillId="18" borderId="140" xfId="0" applyNumberFormat="1" applyFont="1" applyFill="1" applyBorder="1" applyAlignment="1">
      <alignment horizontal="left" vertical="center" wrapText="1"/>
    </xf>
    <xf numFmtId="0" fontId="46" fillId="8" borderId="29" xfId="11" applyFont="1" applyFill="1" applyBorder="1" applyAlignment="1">
      <alignment horizontal="left" vertical="center"/>
    </xf>
    <xf numFmtId="0" fontId="46" fillId="8" borderId="102" xfId="11" applyFont="1" applyFill="1" applyBorder="1" applyAlignment="1">
      <alignment horizontal="left" vertical="center"/>
    </xf>
    <xf numFmtId="0" fontId="46" fillId="8" borderId="103" xfId="11" applyFont="1" applyFill="1" applyBorder="1" applyAlignment="1">
      <alignment horizontal="left" vertical="center"/>
    </xf>
    <xf numFmtId="0" fontId="10" fillId="12" borderId="29" xfId="15" applyFont="1" applyFill="1" applyBorder="1" applyAlignment="1">
      <alignment horizontal="center" vertical="center"/>
    </xf>
    <xf numFmtId="0" fontId="10" fillId="12" borderId="88" xfId="15" applyFont="1" applyFill="1" applyBorder="1" applyAlignment="1">
      <alignment horizontal="center" vertical="center"/>
    </xf>
    <xf numFmtId="0" fontId="4" fillId="12" borderId="106" xfId="0" applyFont="1" applyFill="1" applyBorder="1" applyAlignment="1">
      <alignment horizontal="left" vertical="center" wrapText="1"/>
    </xf>
    <xf numFmtId="0" fontId="4" fillId="12" borderId="103" xfId="0" applyFont="1" applyFill="1" applyBorder="1" applyAlignment="1">
      <alignment horizontal="left" vertical="center" wrapText="1"/>
    </xf>
    <xf numFmtId="0" fontId="4" fillId="12" borderId="133" xfId="0" applyFont="1" applyFill="1" applyBorder="1" applyAlignment="1">
      <alignment horizontal="left" vertical="center" wrapText="1"/>
    </xf>
    <xf numFmtId="0" fontId="4" fillId="12" borderId="134" xfId="0" applyFont="1" applyFill="1" applyBorder="1" applyAlignment="1">
      <alignment horizontal="left" vertical="center" wrapText="1"/>
    </xf>
    <xf numFmtId="3" fontId="46" fillId="18" borderId="70" xfId="0" applyNumberFormat="1" applyFont="1" applyFill="1" applyBorder="1" applyAlignment="1">
      <alignment horizontal="left" vertical="center" wrapText="1"/>
    </xf>
    <xf numFmtId="3" fontId="46" fillId="18" borderId="71" xfId="0" applyNumberFormat="1" applyFont="1" applyFill="1" applyBorder="1" applyAlignment="1">
      <alignment horizontal="left" vertical="center" wrapText="1"/>
    </xf>
    <xf numFmtId="3" fontId="46" fillId="18" borderId="72" xfId="0" applyNumberFormat="1" applyFont="1" applyFill="1" applyBorder="1" applyAlignment="1">
      <alignment horizontal="left" vertical="center" wrapText="1"/>
    </xf>
    <xf numFmtId="0" fontId="4" fillId="12" borderId="88" xfId="0" applyFont="1" applyFill="1" applyBorder="1" applyAlignment="1">
      <alignment horizontal="left" vertical="center" wrapText="1"/>
    </xf>
    <xf numFmtId="0" fontId="4" fillId="12" borderId="89" xfId="0" applyFont="1" applyFill="1" applyBorder="1" applyAlignment="1">
      <alignment horizontal="left" vertical="center" wrapText="1"/>
    </xf>
    <xf numFmtId="44" fontId="4" fillId="0" borderId="17" xfId="205" applyFont="1" applyBorder="1" applyAlignment="1">
      <alignment horizontal="center"/>
    </xf>
    <xf numFmtId="44" fontId="4" fillId="0" borderId="16" xfId="205" applyFont="1" applyBorder="1" applyAlignment="1">
      <alignment horizontal="center"/>
    </xf>
    <xf numFmtId="44" fontId="4" fillId="0" borderId="18" xfId="205" applyFont="1" applyBorder="1" applyAlignment="1">
      <alignment horizontal="center"/>
    </xf>
    <xf numFmtId="44" fontId="4" fillId="0" borderId="5" xfId="205" applyFont="1" applyBorder="1" applyAlignment="1">
      <alignment horizontal="center"/>
    </xf>
    <xf numFmtId="44" fontId="4" fillId="0" borderId="0" xfId="205" applyFont="1" applyBorder="1" applyAlignment="1">
      <alignment horizontal="center"/>
    </xf>
    <xf numFmtId="44" fontId="4" fillId="0" borderId="6" xfId="205" applyFont="1" applyBorder="1" applyAlignment="1">
      <alignment horizontal="center"/>
    </xf>
    <xf numFmtId="0" fontId="4" fillId="0" borderId="8" xfId="69" applyFont="1" applyBorder="1" applyAlignment="1">
      <alignment horizontal="center"/>
    </xf>
    <xf numFmtId="0" fontId="4" fillId="0" borderId="19" xfId="69" applyFont="1" applyBorder="1" applyAlignment="1">
      <alignment horizontal="center"/>
    </xf>
    <xf numFmtId="0" fontId="4" fillId="0" borderId="7" xfId="69" applyFont="1" applyBorder="1" applyAlignment="1">
      <alignment horizontal="center"/>
    </xf>
    <xf numFmtId="0" fontId="4" fillId="0" borderId="5" xfId="69" applyFont="1" applyBorder="1" applyAlignment="1">
      <alignment horizontal="center"/>
    </xf>
    <xf numFmtId="0" fontId="4" fillId="0" borderId="0" xfId="69" applyFont="1" applyAlignment="1">
      <alignment horizontal="center"/>
    </xf>
    <xf numFmtId="0" fontId="4" fillId="0" borderId="6" xfId="69" applyFont="1" applyBorder="1" applyAlignment="1">
      <alignment horizontal="center"/>
    </xf>
    <xf numFmtId="0" fontId="52" fillId="0" borderId="5" xfId="69" applyFont="1" applyBorder="1" applyAlignment="1">
      <alignment horizontal="center"/>
    </xf>
    <xf numFmtId="0" fontId="52" fillId="0" borderId="0" xfId="69" applyFont="1" applyAlignment="1">
      <alignment horizontal="center"/>
    </xf>
    <xf numFmtId="0" fontId="52" fillId="0" borderId="6" xfId="69" applyFont="1" applyBorder="1" applyAlignment="1">
      <alignment horizontal="center"/>
    </xf>
    <xf numFmtId="0" fontId="69" fillId="0" borderId="8" xfId="69" applyFont="1" applyBorder="1" applyAlignment="1">
      <alignment horizontal="center"/>
    </xf>
    <xf numFmtId="0" fontId="69" fillId="0" borderId="19" xfId="69" applyFont="1" applyBorder="1" applyAlignment="1">
      <alignment horizontal="center"/>
    </xf>
    <xf numFmtId="0" fontId="69" fillId="0" borderId="7" xfId="69" applyFont="1" applyBorder="1" applyAlignment="1">
      <alignment horizontal="center"/>
    </xf>
    <xf numFmtId="49" fontId="20" fillId="3" borderId="11" xfId="1" applyNumberFormat="1" applyFont="1" applyFill="1" applyBorder="1" applyAlignment="1">
      <alignment horizontal="center" vertical="center" wrapText="1"/>
    </xf>
    <xf numFmtId="49" fontId="20" fillId="3" borderId="53" xfId="1" applyNumberFormat="1" applyFont="1" applyFill="1" applyBorder="1" applyAlignment="1">
      <alignment horizontal="center" vertical="center" wrapText="1"/>
    </xf>
    <xf numFmtId="49" fontId="20" fillId="3" borderId="52" xfId="1" applyNumberFormat="1" applyFont="1" applyFill="1" applyBorder="1" applyAlignment="1">
      <alignment horizontal="center" vertical="center" wrapText="1"/>
    </xf>
    <xf numFmtId="17" fontId="19" fillId="0" borderId="0" xfId="1" applyNumberFormat="1" applyFont="1" applyAlignment="1">
      <alignment horizontal="center" vertical="center"/>
    </xf>
    <xf numFmtId="0" fontId="20" fillId="0" borderId="141" xfId="0" applyFont="1" applyBorder="1" applyAlignment="1">
      <alignment horizontal="center" vertical="center" wrapText="1"/>
    </xf>
    <xf numFmtId="0" fontId="20" fillId="0" borderId="106" xfId="0" applyFont="1" applyBorder="1" applyAlignment="1">
      <alignment horizontal="center" vertical="center" wrapText="1"/>
    </xf>
    <xf numFmtId="0" fontId="20" fillId="0" borderId="107" xfId="0" applyFont="1" applyBorder="1" applyAlignment="1">
      <alignment horizontal="center" vertical="center" wrapText="1"/>
    </xf>
    <xf numFmtId="0" fontId="20" fillId="0" borderId="141" xfId="0" applyFont="1" applyBorder="1" applyAlignment="1">
      <alignment horizontal="center" vertical="center"/>
    </xf>
    <xf numFmtId="0" fontId="20" fillId="0" borderId="106" xfId="0" applyFont="1" applyBorder="1" applyAlignment="1">
      <alignment horizontal="center" vertical="center"/>
    </xf>
    <xf numFmtId="175" fontId="20" fillId="0" borderId="141" xfId="1" applyNumberFormat="1" applyFont="1" applyFill="1" applyBorder="1" applyAlignment="1">
      <alignment horizontal="center" vertical="center"/>
    </xf>
    <xf numFmtId="175" fontId="20" fillId="0" borderId="106" xfId="1" applyNumberFormat="1" applyFont="1" applyFill="1" applyBorder="1" applyAlignment="1">
      <alignment horizontal="center" vertical="center"/>
    </xf>
    <xf numFmtId="175" fontId="20" fillId="0" borderId="107" xfId="1" applyNumberFormat="1" applyFont="1" applyFill="1" applyBorder="1" applyAlignment="1">
      <alignment horizontal="center" vertical="center"/>
    </xf>
    <xf numFmtId="43" fontId="20" fillId="0" borderId="124" xfId="1" applyFont="1" applyFill="1" applyBorder="1" applyAlignment="1">
      <alignment horizontal="center" vertical="center" wrapText="1"/>
    </xf>
    <xf numFmtId="43" fontId="20" fillId="0" borderId="12" xfId="1" applyFont="1" applyFill="1" applyBorder="1" applyAlignment="1">
      <alignment horizontal="center" vertical="center" wrapText="1"/>
    </xf>
    <xf numFmtId="0" fontId="20" fillId="0" borderId="53" xfId="0" applyFont="1" applyBorder="1" applyAlignment="1">
      <alignment horizontal="left" vertical="center" wrapText="1"/>
    </xf>
    <xf numFmtId="0" fontId="20" fillId="0" borderId="11" xfId="1" applyNumberFormat="1" applyFont="1" applyFill="1" applyBorder="1" applyAlignment="1">
      <alignment horizontal="center" vertical="center"/>
    </xf>
    <xf numFmtId="0" fontId="20" fillId="0" borderId="53" xfId="1" applyNumberFormat="1" applyFont="1" applyFill="1" applyBorder="1" applyAlignment="1">
      <alignment horizontal="center" vertical="center"/>
    </xf>
    <xf numFmtId="0" fontId="20" fillId="0" borderId="52" xfId="1" applyNumberFormat="1" applyFont="1" applyFill="1" applyBorder="1" applyAlignment="1">
      <alignment horizontal="center" vertical="center"/>
    </xf>
    <xf numFmtId="43" fontId="20" fillId="0" borderId="98" xfId="1" applyFont="1" applyFill="1" applyBorder="1" applyAlignment="1">
      <alignment horizontal="center" vertical="center"/>
    </xf>
    <xf numFmtId="43" fontId="20" fillId="0" borderId="104" xfId="1" applyFont="1" applyFill="1" applyBorder="1" applyAlignment="1">
      <alignment horizontal="center" vertical="center"/>
    </xf>
    <xf numFmtId="43" fontId="20" fillId="0" borderId="123" xfId="1" applyFont="1" applyFill="1" applyBorder="1" applyAlignment="1">
      <alignment horizontal="center" vertical="center"/>
    </xf>
    <xf numFmtId="0" fontId="20" fillId="0" borderId="98" xfId="1" applyNumberFormat="1" applyFont="1" applyFill="1" applyBorder="1" applyAlignment="1">
      <alignment horizontal="center" vertical="center" wrapText="1"/>
    </xf>
    <xf numFmtId="0" fontId="20" fillId="0" borderId="104" xfId="1" applyNumberFormat="1" applyFont="1" applyFill="1" applyBorder="1" applyAlignment="1">
      <alignment horizontal="center" vertical="center" wrapText="1"/>
    </xf>
    <xf numFmtId="0" fontId="20" fillId="0" borderId="123" xfId="1" applyNumberFormat="1" applyFont="1" applyFill="1" applyBorder="1" applyAlignment="1">
      <alignment horizontal="center" vertical="center" wrapText="1"/>
    </xf>
    <xf numFmtId="0" fontId="20" fillId="0" borderId="11" xfId="1" applyNumberFormat="1" applyFont="1" applyFill="1" applyBorder="1" applyAlignment="1">
      <alignment horizontal="center" vertical="center" wrapText="1"/>
    </xf>
    <xf numFmtId="0" fontId="20" fillId="0" borderId="53" xfId="1" applyNumberFormat="1" applyFont="1" applyFill="1" applyBorder="1" applyAlignment="1">
      <alignment horizontal="center" vertical="center" wrapText="1"/>
    </xf>
    <xf numFmtId="0" fontId="20" fillId="0" borderId="52" xfId="1" applyNumberFormat="1" applyFont="1" applyFill="1" applyBorder="1" applyAlignment="1">
      <alignment horizontal="center" vertical="center" wrapText="1"/>
    </xf>
    <xf numFmtId="0" fontId="20" fillId="0" borderId="98" xfId="1" applyNumberFormat="1" applyFont="1" applyFill="1" applyBorder="1" applyAlignment="1">
      <alignment horizontal="center" vertical="center"/>
    </xf>
    <xf numFmtId="0" fontId="20" fillId="0" borderId="104" xfId="1" applyNumberFormat="1" applyFont="1" applyFill="1" applyBorder="1" applyAlignment="1">
      <alignment horizontal="center" vertical="center"/>
    </xf>
    <xf numFmtId="0" fontId="20" fillId="0" borderId="123" xfId="1" applyNumberFormat="1" applyFont="1" applyFill="1" applyBorder="1" applyAlignment="1">
      <alignment horizontal="center" vertical="center"/>
    </xf>
    <xf numFmtId="0" fontId="4" fillId="0" borderId="0" xfId="0" applyFont="1" applyAlignment="1">
      <alignment horizontal="center" vertical="center"/>
    </xf>
    <xf numFmtId="0" fontId="55" fillId="0" borderId="0" xfId="0" applyFont="1" applyAlignment="1">
      <alignment horizontal="center" vertical="center"/>
    </xf>
    <xf numFmtId="0" fontId="50" fillId="0" borderId="0" xfId="69" applyFont="1" applyAlignment="1">
      <alignment horizontal="right" wrapText="1"/>
    </xf>
    <xf numFmtId="0" fontId="51" fillId="0" borderId="0" xfId="69" applyFont="1" applyAlignment="1">
      <alignment horizontal="center"/>
    </xf>
    <xf numFmtId="0" fontId="60" fillId="0" borderId="0" xfId="0" applyFont="1" applyAlignment="1">
      <alignment horizontal="center" vertical="center" wrapText="1"/>
    </xf>
    <xf numFmtId="0" fontId="58" fillId="0" borderId="0" xfId="0" applyFont="1" applyAlignment="1">
      <alignment horizontal="center" vertical="center" wrapText="1"/>
    </xf>
    <xf numFmtId="0" fontId="55" fillId="0" borderId="0" xfId="0" applyFont="1" applyAlignment="1">
      <alignment horizontal="center" vertical="center" wrapText="1"/>
    </xf>
    <xf numFmtId="4" fontId="11" fillId="0" borderId="0" xfId="0" applyNumberFormat="1" applyFont="1" applyAlignment="1">
      <alignment horizontal="center" vertical="center" wrapText="1"/>
    </xf>
    <xf numFmtId="4" fontId="11" fillId="0" borderId="19" xfId="0" applyNumberFormat="1" applyFont="1" applyBorder="1" applyAlignment="1">
      <alignment horizontal="center" vertical="center" wrapText="1"/>
    </xf>
    <xf numFmtId="43" fontId="11" fillId="0" borderId="81" xfId="1" applyFont="1" applyBorder="1" applyAlignment="1">
      <alignment horizontal="center" vertical="center" wrapText="1"/>
    </xf>
    <xf numFmtId="43" fontId="11" fillId="0" borderId="75" xfId="1" applyFont="1" applyBorder="1" applyAlignment="1">
      <alignment horizontal="center" vertical="center" wrapText="1"/>
    </xf>
    <xf numFmtId="0" fontId="11" fillId="0" borderId="0" xfId="0" applyFont="1" applyAlignment="1">
      <alignment horizontal="center" vertical="center" wrapText="1"/>
    </xf>
    <xf numFmtId="0" fontId="11" fillId="0" borderId="19" xfId="0" applyFont="1" applyBorder="1" applyAlignment="1">
      <alignment horizontal="center" vertical="center" wrapText="1"/>
    </xf>
    <xf numFmtId="0" fontId="11" fillId="0" borderId="5" xfId="0" applyFont="1" applyBorder="1" applyAlignment="1">
      <alignment horizontal="center" vertical="center"/>
    </xf>
    <xf numFmtId="0" fontId="11" fillId="0" borderId="0" xfId="0" applyFont="1" applyAlignment="1">
      <alignment horizontal="center" vertical="center"/>
    </xf>
    <xf numFmtId="0" fontId="11" fillId="0" borderId="6" xfId="0" applyFont="1" applyBorder="1" applyAlignment="1">
      <alignment horizontal="center" vertical="center"/>
    </xf>
    <xf numFmtId="4" fontId="10" fillId="0" borderId="0" xfId="0" applyNumberFormat="1" applyFont="1" applyAlignment="1">
      <alignment horizontal="center" vertical="center" wrapText="1"/>
    </xf>
    <xf numFmtId="44" fontId="11" fillId="5" borderId="68" xfId="0" applyNumberFormat="1" applyFont="1" applyFill="1" applyBorder="1" applyAlignment="1">
      <alignment horizontal="center" vertical="center" wrapText="1"/>
    </xf>
    <xf numFmtId="0" fontId="11" fillId="5" borderId="27" xfId="0" applyFont="1" applyFill="1" applyBorder="1" applyAlignment="1">
      <alignment horizontal="center" vertical="center" wrapText="1"/>
    </xf>
    <xf numFmtId="0" fontId="11" fillId="5" borderId="31"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41" xfId="0" applyFont="1" applyFill="1" applyBorder="1" applyAlignment="1">
      <alignment horizontal="center" vertical="center" wrapText="1"/>
    </xf>
    <xf numFmtId="44" fontId="11" fillId="5" borderId="81" xfId="0" applyNumberFormat="1" applyFont="1" applyFill="1" applyBorder="1" applyAlignment="1">
      <alignment horizontal="center" vertical="center" wrapText="1"/>
    </xf>
    <xf numFmtId="0" fontId="11" fillId="5" borderId="75" xfId="0" applyFont="1" applyFill="1" applyBorder="1" applyAlignment="1">
      <alignment horizontal="center" vertical="center" wrapText="1"/>
    </xf>
    <xf numFmtId="0" fontId="11" fillId="5" borderId="76" xfId="0" applyFont="1" applyFill="1" applyBorder="1" applyAlignment="1">
      <alignment horizontal="center" vertical="center" wrapText="1"/>
    </xf>
    <xf numFmtId="0" fontId="11" fillId="0" borderId="81" xfId="0" applyFont="1" applyBorder="1" applyAlignment="1">
      <alignment horizontal="center" vertical="center" wrapText="1"/>
    </xf>
    <xf numFmtId="0" fontId="11" fillId="0" borderId="75" xfId="0" applyFont="1" applyBorder="1" applyAlignment="1">
      <alignment horizontal="center" vertical="center" wrapText="1"/>
    </xf>
    <xf numFmtId="0" fontId="10" fillId="5" borderId="82" xfId="0" applyFont="1" applyFill="1" applyBorder="1" applyAlignment="1">
      <alignment horizontal="left" vertical="center" wrapText="1"/>
    </xf>
    <xf numFmtId="0" fontId="10" fillId="5" borderId="32" xfId="0" applyFont="1" applyFill="1" applyBorder="1" applyAlignment="1">
      <alignment horizontal="left" vertical="center" wrapText="1"/>
    </xf>
    <xf numFmtId="10" fontId="11" fillId="0" borderId="81" xfId="0" applyNumberFormat="1" applyFont="1" applyBorder="1" applyAlignment="1">
      <alignment horizontal="center" vertical="center" wrapText="1"/>
    </xf>
    <xf numFmtId="0" fontId="4" fillId="0" borderId="17" xfId="69" applyFont="1" applyBorder="1" applyAlignment="1">
      <alignment horizontal="center"/>
    </xf>
    <xf numFmtId="0" fontId="4" fillId="0" borderId="16" xfId="69" applyFont="1" applyBorder="1" applyAlignment="1">
      <alignment horizontal="center"/>
    </xf>
    <xf numFmtId="0" fontId="4" fillId="0" borderId="18" xfId="69" applyFont="1" applyBorder="1" applyAlignment="1">
      <alignment horizontal="center"/>
    </xf>
    <xf numFmtId="0" fontId="11" fillId="0" borderId="9" xfId="69" applyFont="1" applyBorder="1" applyAlignment="1">
      <alignment horizontal="left"/>
    </xf>
    <xf numFmtId="0" fontId="11" fillId="0" borderId="10" xfId="69" applyFont="1" applyBorder="1" applyAlignment="1">
      <alignment horizontal="left"/>
    </xf>
    <xf numFmtId="0" fontId="11" fillId="0" borderId="79" xfId="69" applyFont="1" applyBorder="1" applyAlignment="1">
      <alignment horizontal="left" vertical="center" wrapText="1"/>
    </xf>
    <xf numFmtId="0" fontId="11" fillId="0" borderId="80" xfId="69" applyFont="1" applyBorder="1" applyAlignment="1">
      <alignment horizontal="left" vertical="center" wrapText="1"/>
    </xf>
    <xf numFmtId="0" fontId="11" fillId="0" borderId="25" xfId="69" applyFont="1" applyBorder="1" applyAlignment="1">
      <alignment horizontal="left"/>
    </xf>
    <xf numFmtId="0" fontId="11" fillId="0" borderId="26" xfId="69" applyFont="1" applyBorder="1" applyAlignment="1">
      <alignment horizontal="left"/>
    </xf>
    <xf numFmtId="44" fontId="11" fillId="0" borderId="135" xfId="2" applyFont="1" applyBorder="1" applyAlignment="1">
      <alignment horizontal="center" vertical="center" wrapText="1"/>
    </xf>
    <xf numFmtId="44" fontId="11" fillId="0" borderId="95" xfId="2" applyFont="1" applyBorder="1" applyAlignment="1">
      <alignment horizontal="center" vertical="center" wrapText="1"/>
    </xf>
    <xf numFmtId="44" fontId="11" fillId="0" borderId="69" xfId="2" applyFont="1" applyBorder="1" applyAlignment="1">
      <alignment horizontal="center" vertical="center" wrapText="1"/>
    </xf>
    <xf numFmtId="44" fontId="11" fillId="0" borderId="25" xfId="2" applyFont="1" applyBorder="1" applyAlignment="1">
      <alignment horizontal="center" vertical="center" wrapText="1"/>
    </xf>
    <xf numFmtId="44" fontId="11" fillId="0" borderId="26" xfId="2" applyFont="1" applyBorder="1" applyAlignment="1">
      <alignment horizontal="center" vertical="center" wrapText="1"/>
    </xf>
    <xf numFmtId="44" fontId="11" fillId="0" borderId="55" xfId="2" applyFont="1" applyBorder="1" applyAlignment="1">
      <alignment horizontal="center" vertical="center" wrapText="1"/>
    </xf>
    <xf numFmtId="0" fontId="10" fillId="0" borderId="50" xfId="11" applyFont="1" applyBorder="1" applyAlignment="1">
      <alignment horizontal="right" vertical="center"/>
    </xf>
    <xf numFmtId="0" fontId="10" fillId="0" borderId="69" xfId="11" applyFont="1" applyBorder="1" applyAlignment="1">
      <alignment horizontal="right" vertical="center"/>
    </xf>
    <xf numFmtId="0" fontId="10" fillId="0" borderId="24" xfId="11" applyFont="1" applyBorder="1" applyAlignment="1">
      <alignment horizontal="right" vertical="center"/>
    </xf>
    <xf numFmtId="0" fontId="10" fillId="0" borderId="25" xfId="11" applyFont="1" applyBorder="1" applyAlignment="1">
      <alignment horizontal="right" vertical="center"/>
    </xf>
    <xf numFmtId="0" fontId="11" fillId="0" borderId="79" xfId="69" applyFont="1" applyBorder="1" applyAlignment="1">
      <alignment horizontal="left"/>
    </xf>
    <xf numFmtId="0" fontId="11" fillId="0" borderId="80" xfId="69" applyFont="1" applyBorder="1" applyAlignment="1">
      <alignment horizontal="left"/>
    </xf>
    <xf numFmtId="0" fontId="3" fillId="0" borderId="17" xfId="69" applyFont="1" applyBorder="1" applyAlignment="1">
      <alignment horizontal="center" vertical="center"/>
    </xf>
    <xf numFmtId="0" fontId="3" fillId="0" borderId="16" xfId="69" applyFont="1" applyBorder="1" applyAlignment="1">
      <alignment horizontal="center" vertical="center"/>
    </xf>
    <xf numFmtId="0" fontId="3" fillId="0" borderId="18" xfId="69" applyFont="1" applyBorder="1" applyAlignment="1">
      <alignment horizontal="center" vertical="center"/>
    </xf>
    <xf numFmtId="0" fontId="3" fillId="0" borderId="8" xfId="69" applyFont="1" applyBorder="1" applyAlignment="1">
      <alignment horizontal="center" vertical="center"/>
    </xf>
    <xf numFmtId="0" fontId="3" fillId="0" borderId="19" xfId="69" applyFont="1" applyBorder="1" applyAlignment="1">
      <alignment horizontal="center" vertical="center"/>
    </xf>
    <xf numFmtId="0" fontId="3" fillId="0" borderId="7" xfId="69" applyFont="1" applyBorder="1" applyAlignment="1">
      <alignment horizontal="center" vertical="center"/>
    </xf>
    <xf numFmtId="0" fontId="10" fillId="6" borderId="9" xfId="11" applyFont="1" applyFill="1" applyBorder="1" applyAlignment="1">
      <alignment horizontal="center" vertical="center" wrapText="1"/>
    </xf>
    <xf numFmtId="0" fontId="10" fillId="6" borderId="10" xfId="11" applyFont="1" applyFill="1" applyBorder="1" applyAlignment="1">
      <alignment horizontal="center" vertical="center" wrapText="1"/>
    </xf>
    <xf numFmtId="0" fontId="11" fillId="0" borderId="8" xfId="0" applyFont="1" applyBorder="1" applyAlignment="1">
      <alignment horizontal="center"/>
    </xf>
    <xf numFmtId="0" fontId="11" fillId="0" borderId="19" xfId="0" applyFont="1" applyBorder="1" applyAlignment="1">
      <alignment horizontal="center"/>
    </xf>
    <xf numFmtId="0" fontId="11" fillId="0" borderId="7" xfId="0" applyFont="1" applyBorder="1" applyAlignment="1">
      <alignment horizontal="center"/>
    </xf>
    <xf numFmtId="44" fontId="7" fillId="0" borderId="3" xfId="0" applyNumberFormat="1" applyFont="1" applyBorder="1" applyAlignment="1">
      <alignment horizontal="right" vertical="center"/>
    </xf>
    <xf numFmtId="44" fontId="7" fillId="0" borderId="4" xfId="0" applyNumberFormat="1" applyFont="1" applyBorder="1" applyAlignment="1">
      <alignment horizontal="right" vertical="center"/>
    </xf>
    <xf numFmtId="44" fontId="7" fillId="0" borderId="41" xfId="0" applyNumberFormat="1" applyFont="1" applyBorder="1" applyAlignment="1">
      <alignment horizontal="right" vertical="center"/>
    </xf>
    <xf numFmtId="0" fontId="7" fillId="0" borderId="3" xfId="0" applyFont="1" applyBorder="1" applyAlignment="1">
      <alignment horizontal="right" vertical="center"/>
    </xf>
    <xf numFmtId="0" fontId="7" fillId="0" borderId="4" xfId="0" applyFont="1" applyBorder="1" applyAlignment="1">
      <alignment horizontal="right" vertical="center"/>
    </xf>
    <xf numFmtId="0" fontId="7" fillId="0" borderId="41" xfId="0" applyFont="1" applyBorder="1" applyAlignment="1">
      <alignment horizontal="right" vertical="center"/>
    </xf>
    <xf numFmtId="0" fontId="11" fillId="0" borderId="5" xfId="0" applyFont="1" applyBorder="1" applyAlignment="1">
      <alignment horizontal="center"/>
    </xf>
    <xf numFmtId="0" fontId="11" fillId="0" borderId="0" xfId="0" applyFont="1" applyAlignment="1">
      <alignment horizontal="center"/>
    </xf>
    <xf numFmtId="0" fontId="11" fillId="0" borderId="6"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0" fontId="10" fillId="0" borderId="6" xfId="0" applyFont="1" applyBorder="1" applyAlignment="1">
      <alignment horizontal="center"/>
    </xf>
    <xf numFmtId="44" fontId="7" fillId="0" borderId="42" xfId="0" applyNumberFormat="1" applyFont="1" applyBorder="1" applyAlignment="1">
      <alignment horizontal="right" vertical="center"/>
    </xf>
    <xf numFmtId="4" fontId="7" fillId="0" borderId="42" xfId="0" applyNumberFormat="1" applyFont="1" applyBorder="1" applyAlignment="1">
      <alignment horizontal="center" vertical="center"/>
    </xf>
    <xf numFmtId="0" fontId="7" fillId="0" borderId="42" xfId="0" applyFont="1" applyBorder="1" applyAlignment="1">
      <alignment horizontal="right" vertical="center"/>
    </xf>
    <xf numFmtId="49" fontId="7" fillId="0" borderId="17" xfId="1" applyNumberFormat="1" applyFont="1" applyFill="1" applyBorder="1" applyAlignment="1">
      <alignment horizontal="center" vertical="center" wrapText="1"/>
    </xf>
    <xf numFmtId="49" fontId="7" fillId="0" borderId="16" xfId="1" applyNumberFormat="1" applyFont="1" applyFill="1" applyBorder="1" applyAlignment="1">
      <alignment horizontal="center" vertical="center" wrapText="1"/>
    </xf>
    <xf numFmtId="49" fontId="7" fillId="0" borderId="18" xfId="1" applyNumberFormat="1" applyFont="1" applyFill="1" applyBorder="1" applyAlignment="1">
      <alignment horizontal="center" vertical="center" wrapText="1"/>
    </xf>
    <xf numFmtId="49" fontId="7" fillId="0" borderId="5" xfId="1" applyNumberFormat="1" applyFont="1" applyFill="1" applyBorder="1" applyAlignment="1">
      <alignment horizontal="center" vertical="center" wrapText="1"/>
    </xf>
    <xf numFmtId="49" fontId="7" fillId="0" borderId="0" xfId="1" applyNumberFormat="1" applyFont="1" applyFill="1" applyBorder="1" applyAlignment="1">
      <alignment horizontal="center" vertical="center" wrapText="1"/>
    </xf>
    <xf numFmtId="49" fontId="7" fillId="0" borderId="6" xfId="1" applyNumberFormat="1" applyFont="1" applyFill="1" applyBorder="1" applyAlignment="1">
      <alignment horizontal="center" vertical="center" wrapText="1"/>
    </xf>
    <xf numFmtId="49" fontId="7" fillId="0" borderId="8" xfId="1" applyNumberFormat="1" applyFont="1" applyFill="1" applyBorder="1" applyAlignment="1">
      <alignment horizontal="center" vertical="center" wrapText="1"/>
    </xf>
    <xf numFmtId="49" fontId="7" fillId="0" borderId="19" xfId="1" applyNumberFormat="1" applyFont="1" applyFill="1" applyBorder="1" applyAlignment="1">
      <alignment horizontal="center" vertical="center" wrapText="1"/>
    </xf>
    <xf numFmtId="49" fontId="7" fillId="0" borderId="7" xfId="1" applyNumberFormat="1" applyFont="1" applyFill="1" applyBorder="1" applyAlignment="1">
      <alignment horizontal="center" vertical="center" wrapText="1"/>
    </xf>
    <xf numFmtId="49" fontId="7" fillId="0" borderId="3" xfId="1" applyNumberFormat="1" applyFont="1" applyFill="1" applyBorder="1" applyAlignment="1">
      <alignment horizontal="center" vertical="center" wrapText="1"/>
    </xf>
    <xf numFmtId="49" fontId="7" fillId="0" borderId="4" xfId="1" applyNumberFormat="1" applyFont="1" applyFill="1" applyBorder="1" applyAlignment="1">
      <alignment horizontal="center" vertical="center" wrapText="1"/>
    </xf>
    <xf numFmtId="0" fontId="8" fillId="0" borderId="40" xfId="1" applyNumberFormat="1" applyFont="1" applyFill="1" applyBorder="1" applyAlignment="1">
      <alignment horizontal="left" vertical="top"/>
    </xf>
    <xf numFmtId="0" fontId="8" fillId="0" borderId="38" xfId="1" applyNumberFormat="1" applyFont="1" applyFill="1" applyBorder="1" applyAlignment="1">
      <alignment horizontal="left" vertical="top"/>
    </xf>
    <xf numFmtId="0" fontId="8" fillId="0" borderId="29" xfId="1" applyNumberFormat="1" applyFont="1" applyFill="1" applyBorder="1" applyAlignment="1">
      <alignment horizontal="left" vertical="top"/>
    </xf>
    <xf numFmtId="0" fontId="8" fillId="0" borderId="88" xfId="1" applyNumberFormat="1" applyFont="1" applyFill="1" applyBorder="1" applyAlignment="1">
      <alignment horizontal="left" vertical="top"/>
    </xf>
    <xf numFmtId="0" fontId="8" fillId="0" borderId="30" xfId="1" applyNumberFormat="1" applyFont="1" applyFill="1" applyBorder="1" applyAlignment="1">
      <alignment horizontal="left" vertical="center" wrapText="1"/>
    </xf>
    <xf numFmtId="0" fontId="8" fillId="0" borderId="27" xfId="1" applyNumberFormat="1" applyFont="1" applyFill="1" applyBorder="1" applyAlignment="1">
      <alignment horizontal="left" vertical="center"/>
    </xf>
    <xf numFmtId="49" fontId="3" fillId="0" borderId="3" xfId="1" applyNumberFormat="1" applyFont="1" applyFill="1" applyBorder="1" applyAlignment="1">
      <alignment horizontal="center" vertical="center"/>
    </xf>
    <xf numFmtId="49" fontId="3" fillId="0" borderId="4" xfId="1" applyNumberFormat="1" applyFont="1" applyFill="1" applyBorder="1" applyAlignment="1">
      <alignment horizontal="center" vertical="center"/>
    </xf>
    <xf numFmtId="49" fontId="3" fillId="0" borderId="41" xfId="1" applyNumberFormat="1" applyFont="1" applyFill="1" applyBorder="1" applyAlignment="1">
      <alignment horizontal="center" vertical="center"/>
    </xf>
    <xf numFmtId="49" fontId="3" fillId="6" borderId="9" xfId="1" applyNumberFormat="1" applyFont="1" applyFill="1" applyBorder="1" applyAlignment="1">
      <alignment horizontal="center" vertical="center" wrapText="1"/>
    </xf>
    <xf numFmtId="49" fontId="3" fillId="6" borderId="25" xfId="1" applyNumberFormat="1" applyFont="1" applyFill="1" applyBorder="1" applyAlignment="1">
      <alignment horizontal="center" vertical="center" wrapText="1"/>
    </xf>
    <xf numFmtId="44" fontId="13" fillId="6" borderId="36" xfId="0" applyNumberFormat="1" applyFont="1" applyFill="1" applyBorder="1" applyAlignment="1">
      <alignment horizontal="center"/>
    </xf>
    <xf numFmtId="44" fontId="13" fillId="6" borderId="35" xfId="0" applyNumberFormat="1" applyFont="1" applyFill="1" applyBorder="1" applyAlignment="1">
      <alignment horizontal="center"/>
    </xf>
    <xf numFmtId="44" fontId="13" fillId="6" borderId="34" xfId="0" applyNumberFormat="1" applyFont="1" applyFill="1" applyBorder="1" applyAlignment="1">
      <alignment horizontal="center"/>
    </xf>
    <xf numFmtId="43" fontId="13" fillId="6" borderId="56" xfId="1" applyFont="1" applyFill="1" applyBorder="1" applyAlignment="1">
      <alignment horizontal="center" vertical="center" wrapText="1"/>
    </xf>
    <xf numFmtId="43" fontId="13" fillId="6" borderId="68" xfId="1" applyFont="1" applyFill="1" applyBorder="1" applyAlignment="1">
      <alignment horizontal="center" vertical="center" wrapText="1"/>
    </xf>
    <xf numFmtId="0" fontId="13" fillId="6" borderId="9" xfId="0" applyFont="1" applyFill="1" applyBorder="1" applyAlignment="1">
      <alignment horizontal="center" vertical="center" wrapText="1"/>
    </xf>
    <xf numFmtId="0" fontId="13" fillId="6" borderId="25" xfId="0" applyFont="1" applyFill="1" applyBorder="1" applyAlignment="1">
      <alignment horizontal="center" vertical="center" wrapText="1"/>
    </xf>
    <xf numFmtId="49" fontId="3" fillId="6" borderId="2" xfId="1" applyNumberFormat="1" applyFont="1" applyFill="1" applyBorder="1" applyAlignment="1">
      <alignment horizontal="center" vertical="center" wrapText="1"/>
    </xf>
    <xf numFmtId="49" fontId="3" fillId="6" borderId="24" xfId="1" applyNumberFormat="1" applyFont="1" applyFill="1" applyBorder="1" applyAlignment="1">
      <alignment horizontal="center" vertical="center" wrapText="1"/>
    </xf>
    <xf numFmtId="49" fontId="7" fillId="0" borderId="3" xfId="1" applyNumberFormat="1" applyFont="1" applyFill="1" applyBorder="1" applyAlignment="1">
      <alignment horizontal="center" vertical="center"/>
    </xf>
    <xf numFmtId="49" fontId="7" fillId="0" borderId="4" xfId="1" applyNumberFormat="1" applyFont="1" applyFill="1" applyBorder="1" applyAlignment="1">
      <alignment horizontal="center" vertical="center"/>
    </xf>
    <xf numFmtId="49" fontId="7" fillId="0" borderId="41" xfId="1" applyNumberFormat="1" applyFont="1" applyFill="1" applyBorder="1" applyAlignment="1">
      <alignment horizontal="center" vertical="center"/>
    </xf>
    <xf numFmtId="49" fontId="7" fillId="0" borderId="17" xfId="1" applyNumberFormat="1" applyFont="1" applyFill="1" applyBorder="1" applyAlignment="1">
      <alignment horizontal="center" vertical="center"/>
    </xf>
    <xf numFmtId="49" fontId="7" fillId="0" borderId="16" xfId="1" applyNumberFormat="1" applyFont="1" applyFill="1" applyBorder="1" applyAlignment="1">
      <alignment horizontal="center" vertical="center"/>
    </xf>
    <xf numFmtId="49" fontId="7" fillId="0" borderId="18" xfId="1" applyNumberFormat="1" applyFont="1" applyFill="1" applyBorder="1" applyAlignment="1">
      <alignment horizontal="center" vertical="center"/>
    </xf>
    <xf numFmtId="49" fontId="7" fillId="0" borderId="5" xfId="1" applyNumberFormat="1" applyFont="1" applyFill="1" applyBorder="1" applyAlignment="1">
      <alignment horizontal="center" vertical="center"/>
    </xf>
    <xf numFmtId="49" fontId="7" fillId="0" borderId="0" xfId="1" applyNumberFormat="1" applyFont="1" applyFill="1" applyBorder="1" applyAlignment="1">
      <alignment horizontal="center" vertical="center"/>
    </xf>
    <xf numFmtId="49" fontId="7" fillId="0" borderId="6" xfId="1" applyNumberFormat="1" applyFont="1" applyFill="1" applyBorder="1" applyAlignment="1">
      <alignment horizontal="center" vertical="center"/>
    </xf>
    <xf numFmtId="49" fontId="7" fillId="0" borderId="8" xfId="1" applyNumberFormat="1" applyFont="1" applyFill="1" applyBorder="1" applyAlignment="1">
      <alignment horizontal="center" vertical="center"/>
    </xf>
    <xf numFmtId="49" fontId="7" fillId="0" borderId="19" xfId="1" applyNumberFormat="1" applyFont="1" applyFill="1" applyBorder="1" applyAlignment="1">
      <alignment horizontal="center" vertical="center"/>
    </xf>
    <xf numFmtId="49" fontId="7" fillId="0" borderId="7" xfId="1" applyNumberFormat="1" applyFont="1" applyFill="1" applyBorder="1" applyAlignment="1">
      <alignment horizontal="center" vertical="center"/>
    </xf>
    <xf numFmtId="0" fontId="8" fillId="0" borderId="38" xfId="1" applyNumberFormat="1" applyFont="1" applyFill="1" applyBorder="1" applyAlignment="1">
      <alignment horizontal="left" vertical="center"/>
    </xf>
    <xf numFmtId="0" fontId="8" fillId="0" borderId="45" xfId="1" applyNumberFormat="1" applyFont="1" applyFill="1" applyBorder="1" applyAlignment="1">
      <alignment horizontal="left" vertical="center"/>
    </xf>
    <xf numFmtId="0" fontId="8" fillId="0" borderId="102" xfId="1" applyNumberFormat="1" applyFont="1" applyFill="1" applyBorder="1" applyAlignment="1">
      <alignment horizontal="left" vertical="center"/>
    </xf>
    <xf numFmtId="0" fontId="8" fillId="0" borderId="103" xfId="1" applyNumberFormat="1" applyFont="1" applyFill="1" applyBorder="1" applyAlignment="1">
      <alignment horizontal="left" vertical="center"/>
    </xf>
    <xf numFmtId="0" fontId="8" fillId="0" borderId="27" xfId="1" applyNumberFormat="1" applyFont="1" applyFill="1" applyBorder="1" applyAlignment="1">
      <alignment horizontal="left" vertical="center" wrapText="1"/>
    </xf>
    <xf numFmtId="0" fontId="8" fillId="0" borderId="31" xfId="1" applyNumberFormat="1" applyFont="1" applyFill="1" applyBorder="1" applyAlignment="1">
      <alignment horizontal="left" vertical="center" wrapText="1"/>
    </xf>
    <xf numFmtId="4" fontId="10" fillId="10" borderId="111" xfId="165" applyNumberFormat="1" applyFont="1" applyFill="1" applyBorder="1" applyAlignment="1" applyProtection="1">
      <alignment horizontal="center" vertical="center"/>
    </xf>
    <xf numFmtId="0" fontId="82" fillId="14" borderId="112" xfId="158" applyFont="1" applyFill="1" applyBorder="1" applyAlignment="1">
      <alignment horizontal="center" vertical="center" wrapText="1"/>
    </xf>
    <xf numFmtId="49" fontId="82" fillId="25" borderId="112" xfId="158" applyNumberFormat="1" applyFont="1" applyFill="1" applyBorder="1" applyAlignment="1">
      <alignment horizontal="right" vertical="center" indent="1"/>
    </xf>
    <xf numFmtId="180" fontId="10" fillId="10" borderId="111" xfId="165" applyNumberFormat="1" applyFont="1" applyFill="1" applyBorder="1" applyAlignment="1" applyProtection="1">
      <alignment horizontal="center" vertical="center"/>
    </xf>
    <xf numFmtId="49" fontId="84" fillId="21" borderId="0" xfId="158" applyNumberFormat="1" applyFont="1" applyFill="1" applyAlignment="1">
      <alignment horizontal="right" vertical="center" wrapText="1" indent="1"/>
    </xf>
    <xf numFmtId="0" fontId="10" fillId="27" borderId="17" xfId="158" applyFont="1" applyFill="1" applyBorder="1" applyAlignment="1">
      <alignment horizontal="center" vertical="center"/>
    </xf>
    <xf numFmtId="0" fontId="10" fillId="27" borderId="16" xfId="158" applyFont="1" applyFill="1" applyBorder="1" applyAlignment="1">
      <alignment horizontal="center" vertical="center"/>
    </xf>
    <xf numFmtId="0" fontId="10" fillId="27" borderId="18" xfId="158" applyFont="1" applyFill="1" applyBorder="1" applyAlignment="1">
      <alignment horizontal="center" vertical="center"/>
    </xf>
    <xf numFmtId="49" fontId="10" fillId="10" borderId="111" xfId="158" applyNumberFormat="1" applyFont="1" applyFill="1" applyBorder="1" applyAlignment="1">
      <alignment horizontal="center" vertical="center"/>
    </xf>
    <xf numFmtId="0" fontId="10" fillId="10" borderId="111" xfId="158" applyFont="1" applyFill="1" applyBorder="1" applyAlignment="1">
      <alignment horizontal="center" vertical="center" wrapText="1"/>
    </xf>
    <xf numFmtId="0" fontId="10" fillId="10" borderId="115" xfId="158" applyFont="1" applyFill="1" applyBorder="1" applyAlignment="1">
      <alignment horizontal="center" vertical="center" wrapText="1"/>
    </xf>
    <xf numFmtId="0" fontId="10" fillId="10" borderId="111" xfId="158" applyFont="1" applyFill="1" applyBorder="1" applyAlignment="1">
      <alignment horizontal="center" vertical="center"/>
    </xf>
    <xf numFmtId="49" fontId="3" fillId="2" borderId="17" xfId="1" applyNumberFormat="1" applyFont="1" applyFill="1" applyBorder="1" applyAlignment="1">
      <alignment horizontal="center" vertical="top"/>
    </xf>
    <xf numFmtId="49" fontId="3" fillId="2" borderId="16" xfId="1" applyNumberFormat="1" applyFont="1" applyFill="1" applyBorder="1" applyAlignment="1">
      <alignment horizontal="center" vertical="top"/>
    </xf>
    <xf numFmtId="49" fontId="3" fillId="2" borderId="18" xfId="1" applyNumberFormat="1" applyFont="1" applyFill="1" applyBorder="1" applyAlignment="1">
      <alignment horizontal="center" vertical="top"/>
    </xf>
    <xf numFmtId="49" fontId="3" fillId="2" borderId="5" xfId="1" applyNumberFormat="1" applyFont="1" applyFill="1" applyBorder="1" applyAlignment="1">
      <alignment horizontal="center" vertical="top"/>
    </xf>
    <xf numFmtId="49" fontId="3" fillId="2" borderId="0" xfId="1" applyNumberFormat="1" applyFont="1" applyFill="1" applyBorder="1" applyAlignment="1">
      <alignment horizontal="center" vertical="top"/>
    </xf>
    <xf numFmtId="49" fontId="3" fillId="2" borderId="6" xfId="1" applyNumberFormat="1" applyFont="1" applyFill="1" applyBorder="1" applyAlignment="1">
      <alignment horizontal="center" vertical="top"/>
    </xf>
    <xf numFmtId="0" fontId="0" fillId="0" borderId="3" xfId="0" applyBorder="1" applyAlignment="1">
      <alignment horizontal="center"/>
    </xf>
    <xf numFmtId="0" fontId="0" fillId="0" borderId="4" xfId="0" applyBorder="1" applyAlignment="1">
      <alignment horizontal="center"/>
    </xf>
    <xf numFmtId="0" fontId="0" fillId="0" borderId="41" xfId="0" applyBorder="1" applyAlignment="1">
      <alignment horizontal="center"/>
    </xf>
    <xf numFmtId="0" fontId="13" fillId="6" borderId="3" xfId="0" applyFont="1" applyFill="1" applyBorder="1" applyAlignment="1">
      <alignment horizontal="center"/>
    </xf>
    <xf numFmtId="0" fontId="13" fillId="6" borderId="4" xfId="0" applyFont="1" applyFill="1" applyBorder="1" applyAlignment="1">
      <alignment horizontal="center"/>
    </xf>
    <xf numFmtId="0" fontId="13" fillId="6" borderId="41" xfId="0" applyFont="1" applyFill="1" applyBorder="1" applyAlignment="1">
      <alignment horizontal="center"/>
    </xf>
    <xf numFmtId="0" fontId="6" fillId="0" borderId="8" xfId="0" applyFont="1" applyBorder="1" applyAlignment="1">
      <alignment horizontal="center"/>
    </xf>
    <xf numFmtId="0" fontId="6" fillId="0" borderId="19" xfId="0" applyFont="1" applyBorder="1" applyAlignment="1">
      <alignment horizontal="center"/>
    </xf>
    <xf numFmtId="0" fontId="6" fillId="0" borderId="7" xfId="0" applyFont="1" applyBorder="1" applyAlignment="1">
      <alignment horizontal="center"/>
    </xf>
    <xf numFmtId="0" fontId="6" fillId="0" borderId="5" xfId="0" applyFont="1" applyBorder="1" applyAlignment="1">
      <alignment horizontal="center"/>
    </xf>
    <xf numFmtId="0" fontId="6" fillId="0" borderId="0" xfId="0" applyFont="1" applyAlignment="1">
      <alignment horizontal="center"/>
    </xf>
    <xf numFmtId="0" fontId="6" fillId="0" borderId="6" xfId="0" applyFont="1" applyBorder="1" applyAlignment="1">
      <alignment horizontal="center"/>
    </xf>
    <xf numFmtId="0" fontId="49" fillId="0" borderId="5" xfId="0" applyFont="1" applyBorder="1" applyAlignment="1">
      <alignment horizontal="center"/>
    </xf>
    <xf numFmtId="0" fontId="49" fillId="0" borderId="0" xfId="0" applyFont="1" applyAlignment="1">
      <alignment horizontal="center"/>
    </xf>
    <xf numFmtId="0" fontId="49" fillId="0" borderId="6" xfId="0" applyFont="1" applyBorder="1" applyAlignment="1">
      <alignment horizontal="center"/>
    </xf>
    <xf numFmtId="0" fontId="6" fillId="0" borderId="46" xfId="0" applyFont="1" applyBorder="1" applyAlignment="1">
      <alignment horizontal="left" vertical="center" wrapText="1"/>
    </xf>
    <xf numFmtId="0" fontId="6" fillId="0" borderId="4" xfId="0" applyFont="1" applyBorder="1" applyAlignment="1">
      <alignment horizontal="left" vertical="center" wrapText="1"/>
    </xf>
    <xf numFmtId="0" fontId="6" fillId="0" borderId="41" xfId="0" applyFont="1" applyBorder="1" applyAlignment="1">
      <alignment horizontal="left" vertical="center" wrapText="1"/>
    </xf>
    <xf numFmtId="3" fontId="6" fillId="0" borderId="35" xfId="0" applyNumberFormat="1" applyFont="1" applyBorder="1" applyAlignment="1">
      <alignment horizontal="left" vertical="center"/>
    </xf>
    <xf numFmtId="0" fontId="6" fillId="0" borderId="34" xfId="0" applyFont="1" applyBorder="1" applyAlignment="1">
      <alignment horizontal="left" vertical="center"/>
    </xf>
    <xf numFmtId="0" fontId="6" fillId="0" borderId="1" xfId="0" applyFont="1" applyBorder="1" applyAlignment="1">
      <alignment horizontal="left"/>
    </xf>
    <xf numFmtId="0" fontId="6" fillId="0" borderId="7" xfId="0" applyFont="1" applyBorder="1" applyAlignment="1">
      <alignment horizontal="left"/>
    </xf>
    <xf numFmtId="14" fontId="6" fillId="0" borderId="46" xfId="0" applyNumberFormat="1" applyFont="1" applyBorder="1" applyAlignment="1">
      <alignment horizontal="left"/>
    </xf>
    <xf numFmtId="14" fontId="6" fillId="0" borderId="4" xfId="0" applyNumberFormat="1" applyFont="1" applyBorder="1" applyAlignment="1">
      <alignment horizontal="left"/>
    </xf>
    <xf numFmtId="14" fontId="6" fillId="0" borderId="41" xfId="0" applyNumberFormat="1" applyFont="1" applyBorder="1" applyAlignment="1">
      <alignment horizontal="left"/>
    </xf>
    <xf numFmtId="44" fontId="6" fillId="0" borderId="1" xfId="0" applyNumberFormat="1" applyFont="1" applyBorder="1" applyAlignment="1">
      <alignment horizontal="left"/>
    </xf>
    <xf numFmtId="44" fontId="6" fillId="0" borderId="7" xfId="0" applyNumberFormat="1" applyFont="1" applyBorder="1" applyAlignment="1">
      <alignment horizontal="left"/>
    </xf>
    <xf numFmtId="14" fontId="71" fillId="0" borderId="46" xfId="2521" applyNumberFormat="1" applyBorder="1" applyAlignment="1">
      <alignment horizontal="left" vertical="center" wrapText="1"/>
    </xf>
    <xf numFmtId="14" fontId="6" fillId="0" borderId="4" xfId="0" applyNumberFormat="1" applyFont="1" applyBorder="1" applyAlignment="1">
      <alignment horizontal="left" vertical="center"/>
    </xf>
    <xf numFmtId="14" fontId="6" fillId="0" borderId="41" xfId="0" applyNumberFormat="1" applyFont="1" applyBorder="1" applyAlignment="1">
      <alignment horizontal="left" vertical="center"/>
    </xf>
    <xf numFmtId="0" fontId="13" fillId="5" borderId="3" xfId="0" applyFont="1" applyFill="1" applyBorder="1" applyAlignment="1">
      <alignment horizontal="right"/>
    </xf>
    <xf numFmtId="0" fontId="13" fillId="5" borderId="4" xfId="0" applyFont="1" applyFill="1" applyBorder="1" applyAlignment="1">
      <alignment horizontal="right"/>
    </xf>
    <xf numFmtId="0" fontId="13" fillId="5" borderId="41" xfId="0" applyFont="1" applyFill="1" applyBorder="1" applyAlignment="1">
      <alignment horizontal="right"/>
    </xf>
    <xf numFmtId="44" fontId="13" fillId="5" borderId="3" xfId="0" applyNumberFormat="1" applyFont="1" applyFill="1" applyBorder="1" applyAlignment="1">
      <alignment horizontal="left"/>
    </xf>
    <xf numFmtId="44" fontId="13" fillId="5" borderId="41" xfId="0" applyNumberFormat="1" applyFont="1" applyFill="1" applyBorder="1" applyAlignment="1">
      <alignment horizontal="left"/>
    </xf>
    <xf numFmtId="0" fontId="13" fillId="7" borderId="56" xfId="0" applyFont="1" applyFill="1" applyBorder="1" applyAlignment="1">
      <alignment horizontal="center"/>
    </xf>
    <xf numFmtId="0" fontId="13" fillId="7" borderId="38" xfId="0" applyFont="1" applyFill="1" applyBorder="1" applyAlignment="1">
      <alignment horizontal="center"/>
    </xf>
    <xf numFmtId="0" fontId="13" fillId="7" borderId="39" xfId="0" applyFont="1" applyFill="1" applyBorder="1" applyAlignment="1">
      <alignment horizontal="center"/>
    </xf>
    <xf numFmtId="0" fontId="6" fillId="13" borderId="99" xfId="0" applyFont="1" applyFill="1" applyBorder="1" applyAlignment="1">
      <alignment vertical="center" wrapText="1"/>
    </xf>
    <xf numFmtId="0" fontId="0" fillId="13" borderId="106" xfId="0" applyFill="1" applyBorder="1"/>
    <xf numFmtId="0" fontId="0" fillId="13" borderId="107" xfId="0" applyFill="1" applyBorder="1"/>
    <xf numFmtId="0" fontId="13" fillId="0" borderId="49" xfId="0" applyFont="1" applyBorder="1" applyAlignment="1">
      <alignment horizontal="center"/>
    </xf>
    <xf numFmtId="0" fontId="13" fillId="0" borderId="51" xfId="0" applyFont="1" applyBorder="1" applyAlignment="1">
      <alignment horizontal="center"/>
    </xf>
    <xf numFmtId="0" fontId="13" fillId="0" borderId="57" xfId="0" applyFont="1" applyBorder="1" applyAlignment="1">
      <alignment horizontal="center"/>
    </xf>
    <xf numFmtId="0" fontId="26" fillId="0" borderId="17" xfId="35" applyBorder="1" applyAlignment="1">
      <alignment horizontal="center"/>
    </xf>
    <xf numFmtId="0" fontId="26" fillId="0" borderId="16" xfId="35" applyBorder="1" applyAlignment="1">
      <alignment horizontal="center"/>
    </xf>
    <xf numFmtId="0" fontId="26" fillId="0" borderId="18" xfId="35" applyBorder="1" applyAlignment="1">
      <alignment horizontal="center"/>
    </xf>
    <xf numFmtId="0" fontId="34" fillId="0" borderId="21" xfId="35" applyFont="1" applyBorder="1" applyAlignment="1">
      <alignment horizontal="left" vertical="top" wrapText="1"/>
    </xf>
    <xf numFmtId="0" fontId="34" fillId="0" borderId="20" xfId="35" applyFont="1" applyBorder="1" applyAlignment="1">
      <alignment horizontal="left" vertical="top" wrapText="1"/>
    </xf>
    <xf numFmtId="0" fontId="34" fillId="0" borderId="28" xfId="35" applyFont="1" applyBorder="1" applyAlignment="1">
      <alignment horizontal="left" vertical="top" wrapText="1"/>
    </xf>
    <xf numFmtId="0" fontId="26" fillId="0" borderId="20" xfId="35" applyBorder="1" applyAlignment="1">
      <alignment horizontal="right"/>
    </xf>
    <xf numFmtId="0" fontId="26" fillId="0" borderId="28" xfId="35" applyBorder="1" applyAlignment="1">
      <alignment horizontal="right"/>
    </xf>
    <xf numFmtId="0" fontId="12" fillId="0" borderId="5" xfId="35" applyFont="1" applyBorder="1" applyAlignment="1">
      <alignment horizontal="center"/>
    </xf>
    <xf numFmtId="0" fontId="26" fillId="0" borderId="0" xfId="35" applyAlignment="1">
      <alignment horizontal="center"/>
    </xf>
    <xf numFmtId="0" fontId="26" fillId="0" borderId="6" xfId="35" applyBorder="1" applyAlignment="1">
      <alignment horizontal="center"/>
    </xf>
    <xf numFmtId="0" fontId="35" fillId="0" borderId="5" xfId="35" applyFont="1" applyBorder="1" applyAlignment="1">
      <alignment horizontal="center"/>
    </xf>
    <xf numFmtId="0" fontId="35" fillId="0" borderId="0" xfId="35" applyFont="1" applyAlignment="1">
      <alignment horizontal="center"/>
    </xf>
    <xf numFmtId="0" fontId="35" fillId="0" borderId="6" xfId="35" applyFont="1" applyBorder="1" applyAlignment="1">
      <alignment horizontal="center"/>
    </xf>
    <xf numFmtId="0" fontId="33" fillId="0" borderId="29" xfId="35" applyFont="1" applyBorder="1" applyAlignment="1">
      <alignment horizontal="center" vertical="top"/>
    </xf>
    <xf numFmtId="0" fontId="33" fillId="0" borderId="62" xfId="35" applyFont="1" applyBorder="1" applyAlignment="1">
      <alignment horizontal="center" vertical="top"/>
    </xf>
    <xf numFmtId="0" fontId="33" fillId="0" borderId="63" xfId="35" applyFont="1" applyBorder="1" applyAlignment="1">
      <alignment horizontal="center" vertical="top"/>
    </xf>
    <xf numFmtId="0" fontId="70" fillId="0" borderId="5" xfId="35" applyFont="1" applyBorder="1" applyAlignment="1">
      <alignment horizontal="center"/>
    </xf>
    <xf numFmtId="0" fontId="70" fillId="0" borderId="0" xfId="35" applyFont="1" applyAlignment="1">
      <alignment horizontal="center"/>
    </xf>
    <xf numFmtId="0" fontId="70" fillId="0" borderId="6" xfId="35" applyFont="1" applyBorder="1" applyAlignment="1">
      <alignment horizontal="center"/>
    </xf>
    <xf numFmtId="0" fontId="12" fillId="5" borderId="9" xfId="35" applyFont="1" applyFill="1" applyBorder="1" applyAlignment="1" applyProtection="1">
      <alignment horizontal="left"/>
      <protection locked="0"/>
    </xf>
    <xf numFmtId="0" fontId="26" fillId="5" borderId="9" xfId="35" applyFill="1" applyBorder="1" applyAlignment="1" applyProtection="1">
      <alignment horizontal="left"/>
      <protection locked="0"/>
    </xf>
    <xf numFmtId="0" fontId="26" fillId="5" borderId="10" xfId="35" applyFill="1" applyBorder="1" applyAlignment="1" applyProtection="1">
      <alignment horizontal="left"/>
      <protection locked="0"/>
    </xf>
    <xf numFmtId="0" fontId="26" fillId="0" borderId="44" xfId="35" applyBorder="1" applyAlignment="1">
      <alignment horizontal="left" vertical="center"/>
    </xf>
    <xf numFmtId="0" fontId="26" fillId="0" borderId="37" xfId="35" applyBorder="1" applyAlignment="1">
      <alignment horizontal="left" vertical="center"/>
    </xf>
    <xf numFmtId="0" fontId="12" fillId="5" borderId="64" xfId="35" applyFont="1" applyFill="1" applyBorder="1" applyAlignment="1" applyProtection="1">
      <alignment horizontal="left" vertical="center" wrapText="1"/>
      <protection locked="0"/>
    </xf>
    <xf numFmtId="0" fontId="12" fillId="5" borderId="54" xfId="35" applyFont="1" applyFill="1" applyBorder="1" applyAlignment="1" applyProtection="1">
      <alignment horizontal="left" vertical="center" wrapText="1"/>
      <protection locked="0"/>
    </xf>
    <xf numFmtId="0" fontId="12" fillId="5" borderId="23" xfId="35" applyFont="1" applyFill="1" applyBorder="1" applyAlignment="1" applyProtection="1">
      <alignment horizontal="left" vertical="center" wrapText="1"/>
      <protection locked="0"/>
    </xf>
    <xf numFmtId="0" fontId="12" fillId="5" borderId="11" xfId="35" applyFont="1" applyFill="1" applyBorder="1" applyAlignment="1" applyProtection="1">
      <alignment horizontal="left" vertical="center" wrapText="1"/>
      <protection locked="0"/>
    </xf>
    <xf numFmtId="0" fontId="12" fillId="5" borderId="53" xfId="35" applyFont="1" applyFill="1" applyBorder="1" applyAlignment="1" applyProtection="1">
      <alignment horizontal="left" vertical="center" wrapText="1"/>
      <protection locked="0"/>
    </xf>
    <xf numFmtId="0" fontId="12" fillId="5" borderId="33" xfId="35" applyFont="1" applyFill="1" applyBorder="1" applyAlignment="1" applyProtection="1">
      <alignment horizontal="left" vertical="center" wrapText="1"/>
      <protection locked="0"/>
    </xf>
    <xf numFmtId="0" fontId="12" fillId="5" borderId="25" xfId="35" applyFont="1" applyFill="1" applyBorder="1" applyAlignment="1" applyProtection="1">
      <alignment horizontal="left" vertical="center" wrapText="1"/>
      <protection locked="0"/>
    </xf>
    <xf numFmtId="0" fontId="26" fillId="5" borderId="25" xfId="35" applyFill="1" applyBorder="1" applyAlignment="1" applyProtection="1">
      <alignment horizontal="left" vertical="center" wrapText="1"/>
      <protection locked="0"/>
    </xf>
    <xf numFmtId="0" fontId="26" fillId="5" borderId="26" xfId="35" applyFill="1" applyBorder="1" applyAlignment="1" applyProtection="1">
      <alignment horizontal="left" vertical="center" wrapText="1"/>
      <protection locked="0"/>
    </xf>
    <xf numFmtId="0" fontId="26" fillId="0" borderId="40" xfId="35" applyBorder="1" applyAlignment="1">
      <alignment horizontal="left"/>
    </xf>
    <xf numFmtId="0" fontId="26" fillId="0" borderId="38" xfId="35" applyBorder="1" applyAlignment="1">
      <alignment horizontal="left"/>
    </xf>
    <xf numFmtId="0" fontId="26" fillId="0" borderId="45" xfId="35" applyBorder="1" applyAlignment="1">
      <alignment horizontal="left"/>
    </xf>
    <xf numFmtId="165" fontId="30" fillId="5" borderId="24" xfId="36" applyFont="1" applyFill="1" applyBorder="1" applyAlignment="1" applyProtection="1">
      <alignment horizontal="left"/>
      <protection locked="0"/>
    </xf>
    <xf numFmtId="165" fontId="30" fillId="5" borderId="25" xfId="36" applyFont="1" applyFill="1" applyBorder="1" applyAlignment="1" applyProtection="1">
      <alignment horizontal="left"/>
      <protection locked="0"/>
    </xf>
    <xf numFmtId="165" fontId="30" fillId="5" borderId="26" xfId="36" applyFont="1" applyFill="1" applyBorder="1" applyAlignment="1" applyProtection="1">
      <alignment horizontal="left"/>
      <protection locked="0"/>
    </xf>
    <xf numFmtId="0" fontId="26" fillId="0" borderId="40" xfId="35" applyBorder="1" applyAlignment="1">
      <alignment horizontal="left" wrapText="1"/>
    </xf>
    <xf numFmtId="0" fontId="26" fillId="0" borderId="38" xfId="35" applyBorder="1" applyAlignment="1">
      <alignment horizontal="left" wrapText="1"/>
    </xf>
    <xf numFmtId="0" fontId="26" fillId="0" borderId="39" xfId="35" applyBorder="1" applyAlignment="1">
      <alignment horizontal="left" wrapText="1"/>
    </xf>
    <xf numFmtId="10" fontId="26" fillId="5" borderId="9" xfId="35" applyNumberFormat="1" applyFill="1" applyBorder="1" applyAlignment="1" applyProtection="1">
      <alignment horizontal="center"/>
      <protection locked="0"/>
    </xf>
    <xf numFmtId="10" fontId="26" fillId="5" borderId="10" xfId="35" applyNumberFormat="1" applyFill="1" applyBorder="1" applyAlignment="1" applyProtection="1">
      <alignment horizontal="center"/>
      <protection locked="0"/>
    </xf>
    <xf numFmtId="0" fontId="26" fillId="0" borderId="24" xfId="35" applyBorder="1" applyAlignment="1">
      <alignment horizontal="left"/>
    </xf>
    <xf numFmtId="0" fontId="26" fillId="0" borderId="25" xfId="35" applyBorder="1" applyAlignment="1">
      <alignment horizontal="left"/>
    </xf>
    <xf numFmtId="10" fontId="26" fillId="5" borderId="25" xfId="35" applyNumberFormat="1" applyFill="1" applyBorder="1" applyAlignment="1" applyProtection="1">
      <alignment horizontal="center"/>
      <protection locked="0"/>
    </xf>
    <xf numFmtId="10" fontId="26" fillId="5" borderId="26" xfId="35" applyNumberFormat="1" applyFill="1" applyBorder="1" applyAlignment="1" applyProtection="1">
      <alignment horizontal="center"/>
      <protection locked="0"/>
    </xf>
    <xf numFmtId="0" fontId="12" fillId="5" borderId="56" xfId="35" applyFont="1" applyFill="1" applyBorder="1" applyAlignment="1" applyProtection="1">
      <alignment horizontal="left"/>
      <protection locked="0"/>
    </xf>
    <xf numFmtId="0" fontId="12" fillId="5" borderId="38" xfId="35" applyFont="1" applyFill="1" applyBorder="1" applyAlignment="1" applyProtection="1">
      <alignment horizontal="left"/>
      <protection locked="0"/>
    </xf>
    <xf numFmtId="0" fontId="12" fillId="5" borderId="45" xfId="35" applyFont="1" applyFill="1" applyBorder="1" applyAlignment="1" applyProtection="1">
      <alignment horizontal="left"/>
      <protection locked="0"/>
    </xf>
    <xf numFmtId="0" fontId="12" fillId="5" borderId="67" xfId="35" applyFont="1" applyFill="1" applyBorder="1" applyAlignment="1" applyProtection="1">
      <alignment horizontal="left" vertical="center" wrapText="1"/>
      <protection locked="0"/>
    </xf>
    <xf numFmtId="0" fontId="12" fillId="5" borderId="68" xfId="35" applyFont="1" applyFill="1" applyBorder="1" applyAlignment="1" applyProtection="1">
      <alignment horizontal="left" vertical="center" wrapText="1"/>
      <protection locked="0"/>
    </xf>
    <xf numFmtId="0" fontId="12" fillId="5" borderId="27" xfId="35" applyFont="1" applyFill="1" applyBorder="1" applyAlignment="1" applyProtection="1">
      <alignment horizontal="left" vertical="center" wrapText="1"/>
      <protection locked="0"/>
    </xf>
    <xf numFmtId="0" fontId="12" fillId="5" borderId="31" xfId="35" applyFont="1" applyFill="1" applyBorder="1" applyAlignment="1" applyProtection="1">
      <alignment horizontal="left" vertical="center" wrapText="1"/>
      <protection locked="0"/>
    </xf>
    <xf numFmtId="10" fontId="0" fillId="0" borderId="0" xfId="0" applyNumberFormat="1" applyAlignment="1">
      <alignment horizontal="center" vertical="center"/>
    </xf>
    <xf numFmtId="10" fontId="0" fillId="0" borderId="6" xfId="0" applyNumberFormat="1" applyBorder="1" applyAlignment="1">
      <alignment horizontal="center" vertical="center"/>
    </xf>
    <xf numFmtId="10" fontId="77" fillId="0" borderId="4" xfId="0" applyNumberFormat="1" applyFont="1" applyBorder="1" applyAlignment="1">
      <alignment horizontal="center" vertical="center"/>
    </xf>
    <xf numFmtId="10" fontId="77" fillId="0" borderId="41" xfId="0" applyNumberFormat="1" applyFont="1" applyBorder="1" applyAlignment="1">
      <alignment horizontal="center" vertical="center"/>
    </xf>
    <xf numFmtId="0" fontId="77" fillId="0" borderId="4" xfId="0" applyFont="1" applyBorder="1" applyAlignment="1">
      <alignment horizontal="center" vertical="center"/>
    </xf>
    <xf numFmtId="0" fontId="77" fillId="0" borderId="41" xfId="0" applyFont="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41" xfId="0" applyBorder="1" applyAlignment="1">
      <alignment horizontal="center" vertical="center"/>
    </xf>
    <xf numFmtId="10" fontId="0" fillId="0" borderId="16" xfId="0" applyNumberFormat="1" applyBorder="1" applyAlignment="1">
      <alignment horizontal="center" vertical="center"/>
    </xf>
    <xf numFmtId="10" fontId="0" fillId="0" borderId="18" xfId="0" applyNumberFormat="1" applyBorder="1" applyAlignment="1">
      <alignment horizontal="center" vertical="center"/>
    </xf>
    <xf numFmtId="0" fontId="38" fillId="0" borderId="8" xfId="0" applyFont="1" applyBorder="1" applyAlignment="1">
      <alignment horizontal="center"/>
    </xf>
    <xf numFmtId="0" fontId="0" fillId="0" borderId="19" xfId="0" applyBorder="1" applyAlignment="1">
      <alignment horizontal="center"/>
    </xf>
    <xf numFmtId="0" fontId="0" fillId="0" borderId="7" xfId="0" applyBorder="1" applyAlignment="1">
      <alignment horizontal="center"/>
    </xf>
    <xf numFmtId="0" fontId="0" fillId="0" borderId="17"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0" fillId="0" borderId="5" xfId="0" applyBorder="1" applyAlignment="1">
      <alignment horizontal="center"/>
    </xf>
    <xf numFmtId="0" fontId="0" fillId="0" borderId="0" xfId="0" applyAlignment="1">
      <alignment horizontal="center"/>
    </xf>
    <xf numFmtId="0" fontId="0" fillId="0" borderId="6" xfId="0" applyBorder="1" applyAlignment="1">
      <alignment horizontal="center"/>
    </xf>
    <xf numFmtId="0" fontId="37" fillId="0" borderId="17" xfId="0" applyFont="1" applyBorder="1" applyAlignment="1">
      <alignment horizontal="center" vertical="top"/>
    </xf>
    <xf numFmtId="0" fontId="37" fillId="0" borderId="16" xfId="0" applyFont="1" applyBorder="1" applyAlignment="1">
      <alignment horizontal="center" vertical="top"/>
    </xf>
    <xf numFmtId="0" fontId="37" fillId="0" borderId="18" xfId="0" applyFont="1" applyBorder="1" applyAlignment="1">
      <alignment horizontal="center" vertical="top"/>
    </xf>
    <xf numFmtId="0" fontId="3" fillId="2" borderId="36"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34"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0" xfId="0" applyFont="1" applyFill="1" applyAlignment="1">
      <alignment horizontal="center" vertical="center"/>
    </xf>
    <xf numFmtId="0" fontId="5" fillId="2" borderId="6" xfId="0" applyFont="1" applyFill="1" applyBorder="1" applyAlignment="1">
      <alignment horizontal="center" vertical="center"/>
    </xf>
    <xf numFmtId="0" fontId="5" fillId="2" borderId="32" xfId="0" applyFont="1" applyFill="1" applyBorder="1" applyAlignment="1">
      <alignment horizontal="center" vertical="center"/>
    </xf>
    <xf numFmtId="0" fontId="5" fillId="2" borderId="53" xfId="0" applyFont="1" applyFill="1" applyBorder="1" applyAlignment="1">
      <alignment horizontal="center" vertical="center"/>
    </xf>
    <xf numFmtId="0" fontId="5" fillId="2" borderId="33" xfId="0" applyFont="1" applyFill="1" applyBorder="1" applyAlignment="1">
      <alignment horizontal="center" vertical="center"/>
    </xf>
    <xf numFmtId="0" fontId="11" fillId="2" borderId="19" xfId="0" applyFont="1" applyFill="1" applyBorder="1" applyAlignment="1">
      <alignment horizontal="left" vertical="top" wrapText="1"/>
    </xf>
    <xf numFmtId="0" fontId="11" fillId="2" borderId="7" xfId="0" applyFont="1" applyFill="1" applyBorder="1" applyAlignment="1">
      <alignment horizontal="left" vertical="top" wrapText="1"/>
    </xf>
    <xf numFmtId="49" fontId="9" fillId="2" borderId="9" xfId="1" applyNumberFormat="1" applyFont="1" applyFill="1" applyBorder="1" applyAlignment="1">
      <alignment horizontal="left" vertical="top" wrapText="1"/>
    </xf>
    <xf numFmtId="2" fontId="4" fillId="0" borderId="25" xfId="1" applyNumberFormat="1" applyFont="1" applyFill="1" applyBorder="1" applyAlignment="1">
      <alignment horizontal="left" vertical="center" wrapText="1"/>
    </xf>
    <xf numFmtId="43" fontId="9" fillId="2" borderId="64" xfId="1" applyFont="1" applyFill="1" applyBorder="1" applyAlignment="1">
      <alignment horizontal="left" vertical="top"/>
    </xf>
    <xf numFmtId="43" fontId="9" fillId="2" borderId="23" xfId="1" applyFont="1" applyFill="1" applyBorder="1" applyAlignment="1">
      <alignment horizontal="left" vertical="top"/>
    </xf>
    <xf numFmtId="2" fontId="8" fillId="2" borderId="1" xfId="1" applyNumberFormat="1" applyFont="1" applyFill="1" applyBorder="1" applyAlignment="1">
      <alignment horizontal="center" vertical="top"/>
    </xf>
    <xf numFmtId="2" fontId="8" fillId="2" borderId="7" xfId="1" applyNumberFormat="1" applyFont="1" applyFill="1" applyBorder="1" applyAlignment="1">
      <alignment horizontal="center" vertical="top"/>
    </xf>
    <xf numFmtId="2" fontId="4" fillId="2" borderId="5" xfId="1" applyNumberFormat="1" applyFont="1" applyFill="1" applyBorder="1" applyAlignment="1">
      <alignment horizontal="left" vertical="top" wrapText="1"/>
    </xf>
    <xf numFmtId="2" fontId="4" fillId="2" borderId="0" xfId="1" applyNumberFormat="1" applyFont="1" applyFill="1" applyBorder="1" applyAlignment="1">
      <alignment horizontal="left" vertical="top" wrapText="1"/>
    </xf>
    <xf numFmtId="2" fontId="4" fillId="2" borderId="6" xfId="1" applyNumberFormat="1" applyFont="1" applyFill="1" applyBorder="1" applyAlignment="1">
      <alignment horizontal="left" vertical="top" wrapText="1"/>
    </xf>
    <xf numFmtId="2" fontId="4" fillId="2" borderId="32" xfId="1" applyNumberFormat="1" applyFont="1" applyFill="1" applyBorder="1" applyAlignment="1">
      <alignment horizontal="left" vertical="top" wrapText="1"/>
    </xf>
    <xf numFmtId="2" fontId="4" fillId="2" borderId="53" xfId="1" applyNumberFormat="1" applyFont="1" applyFill="1" applyBorder="1" applyAlignment="1">
      <alignment horizontal="left" vertical="top" wrapText="1"/>
    </xf>
    <xf numFmtId="2" fontId="4" fillId="2" borderId="33" xfId="1" applyNumberFormat="1" applyFont="1" applyFill="1" applyBorder="1" applyAlignment="1">
      <alignment horizontal="left" vertical="top" wrapText="1"/>
    </xf>
    <xf numFmtId="2" fontId="4" fillId="2" borderId="5" xfId="1" applyNumberFormat="1" applyFont="1" applyFill="1" applyBorder="1" applyAlignment="1">
      <alignment horizontal="left" vertical="center"/>
    </xf>
    <xf numFmtId="2" fontId="4" fillId="2" borderId="0" xfId="1" applyNumberFormat="1" applyFont="1" applyFill="1" applyBorder="1" applyAlignment="1">
      <alignment horizontal="left" vertical="center"/>
    </xf>
    <xf numFmtId="2" fontId="4" fillId="2" borderId="0" xfId="0" applyNumberFormat="1" applyFont="1" applyFill="1" applyAlignment="1">
      <alignment horizontal="left"/>
    </xf>
    <xf numFmtId="2" fontId="40" fillId="2" borderId="5" xfId="0" applyNumberFormat="1" applyFont="1" applyFill="1" applyBorder="1" applyAlignment="1">
      <alignment horizontal="left" vertical="center"/>
    </xf>
    <xf numFmtId="2" fontId="4" fillId="2" borderId="5" xfId="1" applyNumberFormat="1" applyFont="1" applyFill="1" applyBorder="1" applyAlignment="1">
      <alignment horizontal="center" vertical="center"/>
    </xf>
    <xf numFmtId="2" fontId="4" fillId="2" borderId="0" xfId="1" applyNumberFormat="1" applyFont="1" applyFill="1" applyBorder="1" applyAlignment="1">
      <alignment horizontal="center" vertical="center"/>
    </xf>
    <xf numFmtId="2" fontId="4" fillId="2" borderId="98" xfId="1" applyNumberFormat="1" applyFont="1" applyFill="1" applyBorder="1" applyAlignment="1">
      <alignment horizontal="left" vertical="center"/>
    </xf>
    <xf numFmtId="2" fontId="4" fillId="2" borderId="93" xfId="1" applyNumberFormat="1" applyFont="1" applyFill="1" applyBorder="1" applyAlignment="1">
      <alignment horizontal="left" vertical="center"/>
    </xf>
    <xf numFmtId="2" fontId="4" fillId="2" borderId="11" xfId="1" applyNumberFormat="1" applyFont="1" applyFill="1" applyBorder="1" applyAlignment="1">
      <alignment horizontal="left" vertical="center"/>
    </xf>
    <xf numFmtId="2" fontId="4" fillId="2" borderId="5" xfId="1" applyNumberFormat="1" applyFont="1" applyFill="1" applyBorder="1" applyAlignment="1">
      <alignment horizontal="right" vertical="center"/>
    </xf>
  </cellXfs>
  <cellStyles count="2526">
    <cellStyle name="Comma" xfId="1" builtinId="3"/>
    <cellStyle name="Currency" xfId="2" builtinId="4"/>
    <cellStyle name="Excel Built-in Normal 2" xfId="37" xr:uid="{00000000-0005-0000-0000-000000000000}"/>
    <cellStyle name="Hiperlink 2" xfId="142" xr:uid="{00000000-0005-0000-0000-000002000000}"/>
    <cellStyle name="Hyperlink" xfId="2521" builtinId="8"/>
    <cellStyle name="Moeda 10" xfId="47" xr:uid="{00000000-0005-0000-0000-000004000000}"/>
    <cellStyle name="Moeda 10 2" xfId="111" xr:uid="{00000000-0005-0000-0000-000005000000}"/>
    <cellStyle name="Moeda 10 2 2" xfId="270" xr:uid="{00000000-0005-0000-0000-000006000000}"/>
    <cellStyle name="Moeda 10 2 2 2" xfId="582" xr:uid="{00000000-0005-0000-0000-000007000000}"/>
    <cellStyle name="Moeda 10 2 2 2 2" xfId="1198" xr:uid="{00000000-0005-0000-0000-000008000000}"/>
    <cellStyle name="Moeda 10 2 2 2 3" xfId="1814" xr:uid="{00000000-0005-0000-0000-000009000000}"/>
    <cellStyle name="Moeda 10 2 2 2 4" xfId="2430" xr:uid="{00000000-0005-0000-0000-00000A000000}"/>
    <cellStyle name="Moeda 10 2 2 3" xfId="890" xr:uid="{00000000-0005-0000-0000-00000B000000}"/>
    <cellStyle name="Moeda 10 2 2 4" xfId="1506" xr:uid="{00000000-0005-0000-0000-00000C000000}"/>
    <cellStyle name="Moeda 10 2 2 5" xfId="2122" xr:uid="{00000000-0005-0000-0000-00000D000000}"/>
    <cellStyle name="Moeda 10 2 3" xfId="458" xr:uid="{00000000-0005-0000-0000-00000E000000}"/>
    <cellStyle name="Moeda 10 2 3 2" xfId="1074" xr:uid="{00000000-0005-0000-0000-00000F000000}"/>
    <cellStyle name="Moeda 10 2 3 3" xfId="1690" xr:uid="{00000000-0005-0000-0000-000010000000}"/>
    <cellStyle name="Moeda 10 2 3 4" xfId="2306" xr:uid="{00000000-0005-0000-0000-000011000000}"/>
    <cellStyle name="Moeda 10 2 4" xfId="766" xr:uid="{00000000-0005-0000-0000-000012000000}"/>
    <cellStyle name="Moeda 10 2 5" xfId="1382" xr:uid="{00000000-0005-0000-0000-000013000000}"/>
    <cellStyle name="Moeda 10 2 6" xfId="1998" xr:uid="{00000000-0005-0000-0000-000014000000}"/>
    <cellStyle name="Moeda 10 3" xfId="208" xr:uid="{00000000-0005-0000-0000-000015000000}"/>
    <cellStyle name="Moeda 10 3 2" xfId="520" xr:uid="{00000000-0005-0000-0000-000016000000}"/>
    <cellStyle name="Moeda 10 3 2 2" xfId="1136" xr:uid="{00000000-0005-0000-0000-000017000000}"/>
    <cellStyle name="Moeda 10 3 2 3" xfId="1752" xr:uid="{00000000-0005-0000-0000-000018000000}"/>
    <cellStyle name="Moeda 10 3 2 4" xfId="2368" xr:uid="{00000000-0005-0000-0000-000019000000}"/>
    <cellStyle name="Moeda 10 3 3" xfId="828" xr:uid="{00000000-0005-0000-0000-00001A000000}"/>
    <cellStyle name="Moeda 10 3 4" xfId="1444" xr:uid="{00000000-0005-0000-0000-00001B000000}"/>
    <cellStyle name="Moeda 10 3 5" xfId="2060" xr:uid="{00000000-0005-0000-0000-00001C000000}"/>
    <cellStyle name="Moeda 10 4" xfId="332" xr:uid="{00000000-0005-0000-0000-00001D000000}"/>
    <cellStyle name="Moeda 10 4 2" xfId="644" xr:uid="{00000000-0005-0000-0000-00001E000000}"/>
    <cellStyle name="Moeda 10 4 2 2" xfId="1260" xr:uid="{00000000-0005-0000-0000-00001F000000}"/>
    <cellStyle name="Moeda 10 4 2 3" xfId="1876" xr:uid="{00000000-0005-0000-0000-000020000000}"/>
    <cellStyle name="Moeda 10 4 2 4" xfId="2492" xr:uid="{00000000-0005-0000-0000-000021000000}"/>
    <cellStyle name="Moeda 10 4 3" xfId="952" xr:uid="{00000000-0005-0000-0000-000022000000}"/>
    <cellStyle name="Moeda 10 4 4" xfId="1568" xr:uid="{00000000-0005-0000-0000-000023000000}"/>
    <cellStyle name="Moeda 10 4 5" xfId="2184" xr:uid="{00000000-0005-0000-0000-000024000000}"/>
    <cellStyle name="Moeda 10 5" xfId="396" xr:uid="{00000000-0005-0000-0000-000025000000}"/>
    <cellStyle name="Moeda 10 5 2" xfId="1012" xr:uid="{00000000-0005-0000-0000-000026000000}"/>
    <cellStyle name="Moeda 10 5 3" xfId="1628" xr:uid="{00000000-0005-0000-0000-000027000000}"/>
    <cellStyle name="Moeda 10 5 4" xfId="2244" xr:uid="{00000000-0005-0000-0000-000028000000}"/>
    <cellStyle name="Moeda 10 6" xfId="704" xr:uid="{00000000-0005-0000-0000-000029000000}"/>
    <cellStyle name="Moeda 10 7" xfId="1320" xr:uid="{00000000-0005-0000-0000-00002A000000}"/>
    <cellStyle name="Moeda 10 8" xfId="1936" xr:uid="{00000000-0005-0000-0000-00002B000000}"/>
    <cellStyle name="Moeda 11" xfId="81" xr:uid="{00000000-0005-0000-0000-00002C000000}"/>
    <cellStyle name="Moeda 11 2" xfId="240" xr:uid="{00000000-0005-0000-0000-00002D000000}"/>
    <cellStyle name="Moeda 11 2 2" xfId="552" xr:uid="{00000000-0005-0000-0000-00002E000000}"/>
    <cellStyle name="Moeda 11 2 2 2" xfId="1168" xr:uid="{00000000-0005-0000-0000-00002F000000}"/>
    <cellStyle name="Moeda 11 2 2 3" xfId="1784" xr:uid="{00000000-0005-0000-0000-000030000000}"/>
    <cellStyle name="Moeda 11 2 2 4" xfId="2400" xr:uid="{00000000-0005-0000-0000-000031000000}"/>
    <cellStyle name="Moeda 11 2 3" xfId="860" xr:uid="{00000000-0005-0000-0000-000032000000}"/>
    <cellStyle name="Moeda 11 2 4" xfId="1476" xr:uid="{00000000-0005-0000-0000-000033000000}"/>
    <cellStyle name="Moeda 11 2 5" xfId="2092" xr:uid="{00000000-0005-0000-0000-000034000000}"/>
    <cellStyle name="Moeda 11 3" xfId="428" xr:uid="{00000000-0005-0000-0000-000035000000}"/>
    <cellStyle name="Moeda 11 3 2" xfId="1044" xr:uid="{00000000-0005-0000-0000-000036000000}"/>
    <cellStyle name="Moeda 11 3 3" xfId="1660" xr:uid="{00000000-0005-0000-0000-000037000000}"/>
    <cellStyle name="Moeda 11 3 4" xfId="2276" xr:uid="{00000000-0005-0000-0000-000038000000}"/>
    <cellStyle name="Moeda 11 4" xfId="736" xr:uid="{00000000-0005-0000-0000-000039000000}"/>
    <cellStyle name="Moeda 11 5" xfId="1352" xr:uid="{00000000-0005-0000-0000-00003A000000}"/>
    <cellStyle name="Moeda 11 6" xfId="1968" xr:uid="{00000000-0005-0000-0000-00003B000000}"/>
    <cellStyle name="Moeda 12" xfId="178" xr:uid="{00000000-0005-0000-0000-00003C000000}"/>
    <cellStyle name="Moeda 12 2" xfId="490" xr:uid="{00000000-0005-0000-0000-00003D000000}"/>
    <cellStyle name="Moeda 12 2 2" xfId="1106" xr:uid="{00000000-0005-0000-0000-00003E000000}"/>
    <cellStyle name="Moeda 12 2 3" xfId="1722" xr:uid="{00000000-0005-0000-0000-00003F000000}"/>
    <cellStyle name="Moeda 12 2 4" xfId="2338" xr:uid="{00000000-0005-0000-0000-000040000000}"/>
    <cellStyle name="Moeda 12 3" xfId="798" xr:uid="{00000000-0005-0000-0000-000041000000}"/>
    <cellStyle name="Moeda 12 4" xfId="1414" xr:uid="{00000000-0005-0000-0000-000042000000}"/>
    <cellStyle name="Moeda 12 5" xfId="2030" xr:uid="{00000000-0005-0000-0000-000043000000}"/>
    <cellStyle name="Moeda 13" xfId="302" xr:uid="{00000000-0005-0000-0000-000044000000}"/>
    <cellStyle name="Moeda 13 2" xfId="614" xr:uid="{00000000-0005-0000-0000-000045000000}"/>
    <cellStyle name="Moeda 13 2 2" xfId="1230" xr:uid="{00000000-0005-0000-0000-000046000000}"/>
    <cellStyle name="Moeda 13 2 3" xfId="1846" xr:uid="{00000000-0005-0000-0000-000047000000}"/>
    <cellStyle name="Moeda 13 2 4" xfId="2462" xr:uid="{00000000-0005-0000-0000-000048000000}"/>
    <cellStyle name="Moeda 13 3" xfId="922" xr:uid="{00000000-0005-0000-0000-000049000000}"/>
    <cellStyle name="Moeda 13 4" xfId="1538" xr:uid="{00000000-0005-0000-0000-00004A000000}"/>
    <cellStyle name="Moeda 13 5" xfId="2154" xr:uid="{00000000-0005-0000-0000-00004B000000}"/>
    <cellStyle name="Moeda 14" xfId="364" xr:uid="{00000000-0005-0000-0000-00004C000000}"/>
    <cellStyle name="Moeda 15" xfId="366" xr:uid="{00000000-0005-0000-0000-00004D000000}"/>
    <cellStyle name="Moeda 15 2" xfId="982" xr:uid="{00000000-0005-0000-0000-00004E000000}"/>
    <cellStyle name="Moeda 15 3" xfId="1598" xr:uid="{00000000-0005-0000-0000-00004F000000}"/>
    <cellStyle name="Moeda 15 4" xfId="2214" xr:uid="{00000000-0005-0000-0000-000050000000}"/>
    <cellStyle name="Moeda 16" xfId="674" xr:uid="{00000000-0005-0000-0000-000051000000}"/>
    <cellStyle name="Moeda 17" xfId="1290" xr:uid="{00000000-0005-0000-0000-000052000000}"/>
    <cellStyle name="Moeda 18" xfId="1906" xr:uid="{00000000-0005-0000-0000-000053000000}"/>
    <cellStyle name="Moeda 2" xfId="5" xr:uid="{00000000-0005-0000-0000-000054000000}"/>
    <cellStyle name="Moeda 2 10" xfId="676" xr:uid="{00000000-0005-0000-0000-000055000000}"/>
    <cellStyle name="Moeda 2 11" xfId="1292" xr:uid="{00000000-0005-0000-0000-000056000000}"/>
    <cellStyle name="Moeda 2 12" xfId="1908" xr:uid="{00000000-0005-0000-0000-000057000000}"/>
    <cellStyle name="Moeda 2 2" xfId="9" xr:uid="{00000000-0005-0000-0000-000058000000}"/>
    <cellStyle name="Moeda 2 2 10" xfId="1296" xr:uid="{00000000-0005-0000-0000-000059000000}"/>
    <cellStyle name="Moeda 2 2 11" xfId="1912" xr:uid="{00000000-0005-0000-0000-00005A000000}"/>
    <cellStyle name="Moeda 2 2 2" xfId="30" xr:uid="{00000000-0005-0000-0000-00005B000000}"/>
    <cellStyle name="Moeda 2 2 2 2" xfId="64" xr:uid="{00000000-0005-0000-0000-00005C000000}"/>
    <cellStyle name="Moeda 2 2 2 2 2" xfId="128" xr:uid="{00000000-0005-0000-0000-00005D000000}"/>
    <cellStyle name="Moeda 2 2 2 2 2 2" xfId="287" xr:uid="{00000000-0005-0000-0000-00005E000000}"/>
    <cellStyle name="Moeda 2 2 2 2 2 2 2" xfId="599" xr:uid="{00000000-0005-0000-0000-00005F000000}"/>
    <cellStyle name="Moeda 2 2 2 2 2 2 2 2" xfId="1215" xr:uid="{00000000-0005-0000-0000-000060000000}"/>
    <cellStyle name="Moeda 2 2 2 2 2 2 2 3" xfId="1831" xr:uid="{00000000-0005-0000-0000-000061000000}"/>
    <cellStyle name="Moeda 2 2 2 2 2 2 2 4" xfId="2447" xr:uid="{00000000-0005-0000-0000-000062000000}"/>
    <cellStyle name="Moeda 2 2 2 2 2 2 3" xfId="907" xr:uid="{00000000-0005-0000-0000-000063000000}"/>
    <cellStyle name="Moeda 2 2 2 2 2 2 4" xfId="1523" xr:uid="{00000000-0005-0000-0000-000064000000}"/>
    <cellStyle name="Moeda 2 2 2 2 2 2 5" xfId="2139" xr:uid="{00000000-0005-0000-0000-000065000000}"/>
    <cellStyle name="Moeda 2 2 2 2 2 3" xfId="475" xr:uid="{00000000-0005-0000-0000-000066000000}"/>
    <cellStyle name="Moeda 2 2 2 2 2 3 2" xfId="1091" xr:uid="{00000000-0005-0000-0000-000067000000}"/>
    <cellStyle name="Moeda 2 2 2 2 2 3 3" xfId="1707" xr:uid="{00000000-0005-0000-0000-000068000000}"/>
    <cellStyle name="Moeda 2 2 2 2 2 3 4" xfId="2323" xr:uid="{00000000-0005-0000-0000-000069000000}"/>
    <cellStyle name="Moeda 2 2 2 2 2 4" xfId="783" xr:uid="{00000000-0005-0000-0000-00006A000000}"/>
    <cellStyle name="Moeda 2 2 2 2 2 5" xfId="1399" xr:uid="{00000000-0005-0000-0000-00006B000000}"/>
    <cellStyle name="Moeda 2 2 2 2 2 6" xfId="2015" xr:uid="{00000000-0005-0000-0000-00006C000000}"/>
    <cellStyle name="Moeda 2 2 2 2 3" xfId="225" xr:uid="{00000000-0005-0000-0000-00006D000000}"/>
    <cellStyle name="Moeda 2 2 2 2 3 2" xfId="537" xr:uid="{00000000-0005-0000-0000-00006E000000}"/>
    <cellStyle name="Moeda 2 2 2 2 3 2 2" xfId="1153" xr:uid="{00000000-0005-0000-0000-00006F000000}"/>
    <cellStyle name="Moeda 2 2 2 2 3 2 3" xfId="1769" xr:uid="{00000000-0005-0000-0000-000070000000}"/>
    <cellStyle name="Moeda 2 2 2 2 3 2 4" xfId="2385" xr:uid="{00000000-0005-0000-0000-000071000000}"/>
    <cellStyle name="Moeda 2 2 2 2 3 3" xfId="845" xr:uid="{00000000-0005-0000-0000-000072000000}"/>
    <cellStyle name="Moeda 2 2 2 2 3 4" xfId="1461" xr:uid="{00000000-0005-0000-0000-000073000000}"/>
    <cellStyle name="Moeda 2 2 2 2 3 5" xfId="2077" xr:uid="{00000000-0005-0000-0000-000074000000}"/>
    <cellStyle name="Moeda 2 2 2 2 4" xfId="349" xr:uid="{00000000-0005-0000-0000-000075000000}"/>
    <cellStyle name="Moeda 2 2 2 2 4 2" xfId="661" xr:uid="{00000000-0005-0000-0000-000076000000}"/>
    <cellStyle name="Moeda 2 2 2 2 4 2 2" xfId="1277" xr:uid="{00000000-0005-0000-0000-000077000000}"/>
    <cellStyle name="Moeda 2 2 2 2 4 2 3" xfId="1893" xr:uid="{00000000-0005-0000-0000-000078000000}"/>
    <cellStyle name="Moeda 2 2 2 2 4 2 4" xfId="2509" xr:uid="{00000000-0005-0000-0000-000079000000}"/>
    <cellStyle name="Moeda 2 2 2 2 4 3" xfId="969" xr:uid="{00000000-0005-0000-0000-00007A000000}"/>
    <cellStyle name="Moeda 2 2 2 2 4 4" xfId="1585" xr:uid="{00000000-0005-0000-0000-00007B000000}"/>
    <cellStyle name="Moeda 2 2 2 2 4 5" xfId="2201" xr:uid="{00000000-0005-0000-0000-00007C000000}"/>
    <cellStyle name="Moeda 2 2 2 2 5" xfId="413" xr:uid="{00000000-0005-0000-0000-00007D000000}"/>
    <cellStyle name="Moeda 2 2 2 2 5 2" xfId="1029" xr:uid="{00000000-0005-0000-0000-00007E000000}"/>
    <cellStyle name="Moeda 2 2 2 2 5 3" xfId="1645" xr:uid="{00000000-0005-0000-0000-00007F000000}"/>
    <cellStyle name="Moeda 2 2 2 2 5 4" xfId="2261" xr:uid="{00000000-0005-0000-0000-000080000000}"/>
    <cellStyle name="Moeda 2 2 2 2 6" xfId="721" xr:uid="{00000000-0005-0000-0000-000081000000}"/>
    <cellStyle name="Moeda 2 2 2 2 7" xfId="1337" xr:uid="{00000000-0005-0000-0000-000082000000}"/>
    <cellStyle name="Moeda 2 2 2 2 8" xfId="1953" xr:uid="{00000000-0005-0000-0000-000083000000}"/>
    <cellStyle name="Moeda 2 2 2 3" xfId="98" xr:uid="{00000000-0005-0000-0000-000084000000}"/>
    <cellStyle name="Moeda 2 2 2 3 2" xfId="257" xr:uid="{00000000-0005-0000-0000-000085000000}"/>
    <cellStyle name="Moeda 2 2 2 3 2 2" xfId="569" xr:uid="{00000000-0005-0000-0000-000086000000}"/>
    <cellStyle name="Moeda 2 2 2 3 2 2 2" xfId="1185" xr:uid="{00000000-0005-0000-0000-000087000000}"/>
    <cellStyle name="Moeda 2 2 2 3 2 2 3" xfId="1801" xr:uid="{00000000-0005-0000-0000-000088000000}"/>
    <cellStyle name="Moeda 2 2 2 3 2 2 4" xfId="2417" xr:uid="{00000000-0005-0000-0000-000089000000}"/>
    <cellStyle name="Moeda 2 2 2 3 2 3" xfId="877" xr:uid="{00000000-0005-0000-0000-00008A000000}"/>
    <cellStyle name="Moeda 2 2 2 3 2 4" xfId="1493" xr:uid="{00000000-0005-0000-0000-00008B000000}"/>
    <cellStyle name="Moeda 2 2 2 3 2 5" xfId="2109" xr:uid="{00000000-0005-0000-0000-00008C000000}"/>
    <cellStyle name="Moeda 2 2 2 3 3" xfId="445" xr:uid="{00000000-0005-0000-0000-00008D000000}"/>
    <cellStyle name="Moeda 2 2 2 3 3 2" xfId="1061" xr:uid="{00000000-0005-0000-0000-00008E000000}"/>
    <cellStyle name="Moeda 2 2 2 3 3 3" xfId="1677" xr:uid="{00000000-0005-0000-0000-00008F000000}"/>
    <cellStyle name="Moeda 2 2 2 3 3 4" xfId="2293" xr:uid="{00000000-0005-0000-0000-000090000000}"/>
    <cellStyle name="Moeda 2 2 2 3 4" xfId="753" xr:uid="{00000000-0005-0000-0000-000091000000}"/>
    <cellStyle name="Moeda 2 2 2 3 5" xfId="1369" xr:uid="{00000000-0005-0000-0000-000092000000}"/>
    <cellStyle name="Moeda 2 2 2 3 6" xfId="1985" xr:uid="{00000000-0005-0000-0000-000093000000}"/>
    <cellStyle name="Moeda 2 2 2 4" xfId="195" xr:uid="{00000000-0005-0000-0000-000094000000}"/>
    <cellStyle name="Moeda 2 2 2 4 2" xfId="507" xr:uid="{00000000-0005-0000-0000-000095000000}"/>
    <cellStyle name="Moeda 2 2 2 4 2 2" xfId="1123" xr:uid="{00000000-0005-0000-0000-000096000000}"/>
    <cellStyle name="Moeda 2 2 2 4 2 3" xfId="1739" xr:uid="{00000000-0005-0000-0000-000097000000}"/>
    <cellStyle name="Moeda 2 2 2 4 2 4" xfId="2355" xr:uid="{00000000-0005-0000-0000-000098000000}"/>
    <cellStyle name="Moeda 2 2 2 4 3" xfId="815" xr:uid="{00000000-0005-0000-0000-000099000000}"/>
    <cellStyle name="Moeda 2 2 2 4 4" xfId="1431" xr:uid="{00000000-0005-0000-0000-00009A000000}"/>
    <cellStyle name="Moeda 2 2 2 4 5" xfId="2047" xr:uid="{00000000-0005-0000-0000-00009B000000}"/>
    <cellStyle name="Moeda 2 2 2 5" xfId="319" xr:uid="{00000000-0005-0000-0000-00009C000000}"/>
    <cellStyle name="Moeda 2 2 2 5 2" xfId="631" xr:uid="{00000000-0005-0000-0000-00009D000000}"/>
    <cellStyle name="Moeda 2 2 2 5 2 2" xfId="1247" xr:uid="{00000000-0005-0000-0000-00009E000000}"/>
    <cellStyle name="Moeda 2 2 2 5 2 3" xfId="1863" xr:uid="{00000000-0005-0000-0000-00009F000000}"/>
    <cellStyle name="Moeda 2 2 2 5 2 4" xfId="2479" xr:uid="{00000000-0005-0000-0000-0000A0000000}"/>
    <cellStyle name="Moeda 2 2 2 5 3" xfId="939" xr:uid="{00000000-0005-0000-0000-0000A1000000}"/>
    <cellStyle name="Moeda 2 2 2 5 4" xfId="1555" xr:uid="{00000000-0005-0000-0000-0000A2000000}"/>
    <cellStyle name="Moeda 2 2 2 5 5" xfId="2171" xr:uid="{00000000-0005-0000-0000-0000A3000000}"/>
    <cellStyle name="Moeda 2 2 2 6" xfId="383" xr:uid="{00000000-0005-0000-0000-0000A4000000}"/>
    <cellStyle name="Moeda 2 2 2 6 2" xfId="999" xr:uid="{00000000-0005-0000-0000-0000A5000000}"/>
    <cellStyle name="Moeda 2 2 2 6 3" xfId="1615" xr:uid="{00000000-0005-0000-0000-0000A6000000}"/>
    <cellStyle name="Moeda 2 2 2 6 4" xfId="2231" xr:uid="{00000000-0005-0000-0000-0000A7000000}"/>
    <cellStyle name="Moeda 2 2 2 7" xfId="691" xr:uid="{00000000-0005-0000-0000-0000A8000000}"/>
    <cellStyle name="Moeda 2 2 2 8" xfId="1307" xr:uid="{00000000-0005-0000-0000-0000A9000000}"/>
    <cellStyle name="Moeda 2 2 2 9" xfId="1923" xr:uid="{00000000-0005-0000-0000-0000AA000000}"/>
    <cellStyle name="Moeda 2 2 3" xfId="45" xr:uid="{00000000-0005-0000-0000-0000AB000000}"/>
    <cellStyle name="Moeda 2 2 3 2" xfId="77" xr:uid="{00000000-0005-0000-0000-0000AC000000}"/>
    <cellStyle name="Moeda 2 2 3 2 2" xfId="139" xr:uid="{00000000-0005-0000-0000-0000AD000000}"/>
    <cellStyle name="Moeda 2 2 3 2 2 2" xfId="298" xr:uid="{00000000-0005-0000-0000-0000AE000000}"/>
    <cellStyle name="Moeda 2 2 3 2 2 2 2" xfId="610" xr:uid="{00000000-0005-0000-0000-0000AF000000}"/>
    <cellStyle name="Moeda 2 2 3 2 2 2 2 2" xfId="1226" xr:uid="{00000000-0005-0000-0000-0000B0000000}"/>
    <cellStyle name="Moeda 2 2 3 2 2 2 2 3" xfId="1842" xr:uid="{00000000-0005-0000-0000-0000B1000000}"/>
    <cellStyle name="Moeda 2 2 3 2 2 2 2 4" xfId="2458" xr:uid="{00000000-0005-0000-0000-0000B2000000}"/>
    <cellStyle name="Moeda 2 2 3 2 2 2 3" xfId="918" xr:uid="{00000000-0005-0000-0000-0000B3000000}"/>
    <cellStyle name="Moeda 2 2 3 2 2 2 4" xfId="1534" xr:uid="{00000000-0005-0000-0000-0000B4000000}"/>
    <cellStyle name="Moeda 2 2 3 2 2 2 5" xfId="2150" xr:uid="{00000000-0005-0000-0000-0000B5000000}"/>
    <cellStyle name="Moeda 2 2 3 2 2 3" xfId="486" xr:uid="{00000000-0005-0000-0000-0000B6000000}"/>
    <cellStyle name="Moeda 2 2 3 2 2 3 2" xfId="1102" xr:uid="{00000000-0005-0000-0000-0000B7000000}"/>
    <cellStyle name="Moeda 2 2 3 2 2 3 3" xfId="1718" xr:uid="{00000000-0005-0000-0000-0000B8000000}"/>
    <cellStyle name="Moeda 2 2 3 2 2 3 4" xfId="2334" xr:uid="{00000000-0005-0000-0000-0000B9000000}"/>
    <cellStyle name="Moeda 2 2 3 2 2 4" xfId="794" xr:uid="{00000000-0005-0000-0000-0000BA000000}"/>
    <cellStyle name="Moeda 2 2 3 2 2 5" xfId="1410" xr:uid="{00000000-0005-0000-0000-0000BB000000}"/>
    <cellStyle name="Moeda 2 2 3 2 2 6" xfId="2026" xr:uid="{00000000-0005-0000-0000-0000BC000000}"/>
    <cellStyle name="Moeda 2 2 3 2 3" xfId="236" xr:uid="{00000000-0005-0000-0000-0000BD000000}"/>
    <cellStyle name="Moeda 2 2 3 2 3 2" xfId="548" xr:uid="{00000000-0005-0000-0000-0000BE000000}"/>
    <cellStyle name="Moeda 2 2 3 2 3 2 2" xfId="1164" xr:uid="{00000000-0005-0000-0000-0000BF000000}"/>
    <cellStyle name="Moeda 2 2 3 2 3 2 3" xfId="1780" xr:uid="{00000000-0005-0000-0000-0000C0000000}"/>
    <cellStyle name="Moeda 2 2 3 2 3 2 4" xfId="2396" xr:uid="{00000000-0005-0000-0000-0000C1000000}"/>
    <cellStyle name="Moeda 2 2 3 2 3 3" xfId="856" xr:uid="{00000000-0005-0000-0000-0000C2000000}"/>
    <cellStyle name="Moeda 2 2 3 2 3 4" xfId="1472" xr:uid="{00000000-0005-0000-0000-0000C3000000}"/>
    <cellStyle name="Moeda 2 2 3 2 3 5" xfId="2088" xr:uid="{00000000-0005-0000-0000-0000C4000000}"/>
    <cellStyle name="Moeda 2 2 3 2 4" xfId="360" xr:uid="{00000000-0005-0000-0000-0000C5000000}"/>
    <cellStyle name="Moeda 2 2 3 2 4 2" xfId="672" xr:uid="{00000000-0005-0000-0000-0000C6000000}"/>
    <cellStyle name="Moeda 2 2 3 2 4 2 2" xfId="1288" xr:uid="{00000000-0005-0000-0000-0000C7000000}"/>
    <cellStyle name="Moeda 2 2 3 2 4 2 3" xfId="1904" xr:uid="{00000000-0005-0000-0000-0000C8000000}"/>
    <cellStyle name="Moeda 2 2 3 2 4 2 4" xfId="2520" xr:uid="{00000000-0005-0000-0000-0000C9000000}"/>
    <cellStyle name="Moeda 2 2 3 2 4 3" xfId="980" xr:uid="{00000000-0005-0000-0000-0000CA000000}"/>
    <cellStyle name="Moeda 2 2 3 2 4 4" xfId="1596" xr:uid="{00000000-0005-0000-0000-0000CB000000}"/>
    <cellStyle name="Moeda 2 2 3 2 4 5" xfId="2212" xr:uid="{00000000-0005-0000-0000-0000CC000000}"/>
    <cellStyle name="Moeda 2 2 3 2 5" xfId="424" xr:uid="{00000000-0005-0000-0000-0000CD000000}"/>
    <cellStyle name="Moeda 2 2 3 2 5 2" xfId="1040" xr:uid="{00000000-0005-0000-0000-0000CE000000}"/>
    <cellStyle name="Moeda 2 2 3 2 5 3" xfId="1656" xr:uid="{00000000-0005-0000-0000-0000CF000000}"/>
    <cellStyle name="Moeda 2 2 3 2 5 4" xfId="2272" xr:uid="{00000000-0005-0000-0000-0000D0000000}"/>
    <cellStyle name="Moeda 2 2 3 2 6" xfId="732" xr:uid="{00000000-0005-0000-0000-0000D1000000}"/>
    <cellStyle name="Moeda 2 2 3 2 7" xfId="1348" xr:uid="{00000000-0005-0000-0000-0000D2000000}"/>
    <cellStyle name="Moeda 2 2 3 2 8" xfId="1964" xr:uid="{00000000-0005-0000-0000-0000D3000000}"/>
    <cellStyle name="Moeda 2 2 3 3" xfId="109" xr:uid="{00000000-0005-0000-0000-0000D4000000}"/>
    <cellStyle name="Moeda 2 2 3 3 2" xfId="268" xr:uid="{00000000-0005-0000-0000-0000D5000000}"/>
    <cellStyle name="Moeda 2 2 3 3 2 2" xfId="580" xr:uid="{00000000-0005-0000-0000-0000D6000000}"/>
    <cellStyle name="Moeda 2 2 3 3 2 2 2" xfId="1196" xr:uid="{00000000-0005-0000-0000-0000D7000000}"/>
    <cellStyle name="Moeda 2 2 3 3 2 2 3" xfId="1812" xr:uid="{00000000-0005-0000-0000-0000D8000000}"/>
    <cellStyle name="Moeda 2 2 3 3 2 2 4" xfId="2428" xr:uid="{00000000-0005-0000-0000-0000D9000000}"/>
    <cellStyle name="Moeda 2 2 3 3 2 3" xfId="888" xr:uid="{00000000-0005-0000-0000-0000DA000000}"/>
    <cellStyle name="Moeda 2 2 3 3 2 4" xfId="1504" xr:uid="{00000000-0005-0000-0000-0000DB000000}"/>
    <cellStyle name="Moeda 2 2 3 3 2 5" xfId="2120" xr:uid="{00000000-0005-0000-0000-0000DC000000}"/>
    <cellStyle name="Moeda 2 2 3 3 3" xfId="456" xr:uid="{00000000-0005-0000-0000-0000DD000000}"/>
    <cellStyle name="Moeda 2 2 3 3 3 2" xfId="1072" xr:uid="{00000000-0005-0000-0000-0000DE000000}"/>
    <cellStyle name="Moeda 2 2 3 3 3 3" xfId="1688" xr:uid="{00000000-0005-0000-0000-0000DF000000}"/>
    <cellStyle name="Moeda 2 2 3 3 3 4" xfId="2304" xr:uid="{00000000-0005-0000-0000-0000E0000000}"/>
    <cellStyle name="Moeda 2 2 3 3 4" xfId="764" xr:uid="{00000000-0005-0000-0000-0000E1000000}"/>
    <cellStyle name="Moeda 2 2 3 3 5" xfId="1380" xr:uid="{00000000-0005-0000-0000-0000E2000000}"/>
    <cellStyle name="Moeda 2 2 3 3 6" xfId="1996" xr:uid="{00000000-0005-0000-0000-0000E3000000}"/>
    <cellStyle name="Moeda 2 2 3 4" xfId="206" xr:uid="{00000000-0005-0000-0000-0000E4000000}"/>
    <cellStyle name="Moeda 2 2 3 4 2" xfId="518" xr:uid="{00000000-0005-0000-0000-0000E5000000}"/>
    <cellStyle name="Moeda 2 2 3 4 2 2" xfId="1134" xr:uid="{00000000-0005-0000-0000-0000E6000000}"/>
    <cellStyle name="Moeda 2 2 3 4 2 3" xfId="1750" xr:uid="{00000000-0005-0000-0000-0000E7000000}"/>
    <cellStyle name="Moeda 2 2 3 4 2 4" xfId="2366" xr:uid="{00000000-0005-0000-0000-0000E8000000}"/>
    <cellStyle name="Moeda 2 2 3 4 3" xfId="826" xr:uid="{00000000-0005-0000-0000-0000E9000000}"/>
    <cellStyle name="Moeda 2 2 3 4 4" xfId="1442" xr:uid="{00000000-0005-0000-0000-0000EA000000}"/>
    <cellStyle name="Moeda 2 2 3 4 5" xfId="2058" xr:uid="{00000000-0005-0000-0000-0000EB000000}"/>
    <cellStyle name="Moeda 2 2 3 5" xfId="330" xr:uid="{00000000-0005-0000-0000-0000EC000000}"/>
    <cellStyle name="Moeda 2 2 3 5 2" xfId="642" xr:uid="{00000000-0005-0000-0000-0000ED000000}"/>
    <cellStyle name="Moeda 2 2 3 5 2 2" xfId="1258" xr:uid="{00000000-0005-0000-0000-0000EE000000}"/>
    <cellStyle name="Moeda 2 2 3 5 2 3" xfId="1874" xr:uid="{00000000-0005-0000-0000-0000EF000000}"/>
    <cellStyle name="Moeda 2 2 3 5 2 4" xfId="2490" xr:uid="{00000000-0005-0000-0000-0000F0000000}"/>
    <cellStyle name="Moeda 2 2 3 5 3" xfId="950" xr:uid="{00000000-0005-0000-0000-0000F1000000}"/>
    <cellStyle name="Moeda 2 2 3 5 4" xfId="1566" xr:uid="{00000000-0005-0000-0000-0000F2000000}"/>
    <cellStyle name="Moeda 2 2 3 5 5" xfId="2182" xr:uid="{00000000-0005-0000-0000-0000F3000000}"/>
    <cellStyle name="Moeda 2 2 3 6" xfId="394" xr:uid="{00000000-0005-0000-0000-0000F4000000}"/>
    <cellStyle name="Moeda 2 2 3 6 2" xfId="1010" xr:uid="{00000000-0005-0000-0000-0000F5000000}"/>
    <cellStyle name="Moeda 2 2 3 6 3" xfId="1626" xr:uid="{00000000-0005-0000-0000-0000F6000000}"/>
    <cellStyle name="Moeda 2 2 3 6 4" xfId="2242" xr:uid="{00000000-0005-0000-0000-0000F7000000}"/>
    <cellStyle name="Moeda 2 2 3 7" xfId="702" xr:uid="{00000000-0005-0000-0000-0000F8000000}"/>
    <cellStyle name="Moeda 2 2 3 8" xfId="1318" xr:uid="{00000000-0005-0000-0000-0000F9000000}"/>
    <cellStyle name="Moeda 2 2 3 9" xfId="1934" xr:uid="{00000000-0005-0000-0000-0000FA000000}"/>
    <cellStyle name="Moeda 2 2 4" xfId="53" xr:uid="{00000000-0005-0000-0000-0000FB000000}"/>
    <cellStyle name="Moeda 2 2 4 2" xfId="117" xr:uid="{00000000-0005-0000-0000-0000FC000000}"/>
    <cellStyle name="Moeda 2 2 4 2 2" xfId="276" xr:uid="{00000000-0005-0000-0000-0000FD000000}"/>
    <cellStyle name="Moeda 2 2 4 2 2 2" xfId="588" xr:uid="{00000000-0005-0000-0000-0000FE000000}"/>
    <cellStyle name="Moeda 2 2 4 2 2 2 2" xfId="1204" xr:uid="{00000000-0005-0000-0000-0000FF000000}"/>
    <cellStyle name="Moeda 2 2 4 2 2 2 3" xfId="1820" xr:uid="{00000000-0005-0000-0000-000000010000}"/>
    <cellStyle name="Moeda 2 2 4 2 2 2 4" xfId="2436" xr:uid="{00000000-0005-0000-0000-000001010000}"/>
    <cellStyle name="Moeda 2 2 4 2 2 3" xfId="896" xr:uid="{00000000-0005-0000-0000-000002010000}"/>
    <cellStyle name="Moeda 2 2 4 2 2 4" xfId="1512" xr:uid="{00000000-0005-0000-0000-000003010000}"/>
    <cellStyle name="Moeda 2 2 4 2 2 5" xfId="2128" xr:uid="{00000000-0005-0000-0000-000004010000}"/>
    <cellStyle name="Moeda 2 2 4 2 3" xfId="464" xr:uid="{00000000-0005-0000-0000-000005010000}"/>
    <cellStyle name="Moeda 2 2 4 2 3 2" xfId="1080" xr:uid="{00000000-0005-0000-0000-000006010000}"/>
    <cellStyle name="Moeda 2 2 4 2 3 3" xfId="1696" xr:uid="{00000000-0005-0000-0000-000007010000}"/>
    <cellStyle name="Moeda 2 2 4 2 3 4" xfId="2312" xr:uid="{00000000-0005-0000-0000-000008010000}"/>
    <cellStyle name="Moeda 2 2 4 2 4" xfId="772" xr:uid="{00000000-0005-0000-0000-000009010000}"/>
    <cellStyle name="Moeda 2 2 4 2 5" xfId="1388" xr:uid="{00000000-0005-0000-0000-00000A010000}"/>
    <cellStyle name="Moeda 2 2 4 2 6" xfId="2004" xr:uid="{00000000-0005-0000-0000-00000B010000}"/>
    <cellStyle name="Moeda 2 2 4 3" xfId="214" xr:uid="{00000000-0005-0000-0000-00000C010000}"/>
    <cellStyle name="Moeda 2 2 4 3 2" xfId="526" xr:uid="{00000000-0005-0000-0000-00000D010000}"/>
    <cellStyle name="Moeda 2 2 4 3 2 2" xfId="1142" xr:uid="{00000000-0005-0000-0000-00000E010000}"/>
    <cellStyle name="Moeda 2 2 4 3 2 3" xfId="1758" xr:uid="{00000000-0005-0000-0000-00000F010000}"/>
    <cellStyle name="Moeda 2 2 4 3 2 4" xfId="2374" xr:uid="{00000000-0005-0000-0000-000010010000}"/>
    <cellStyle name="Moeda 2 2 4 3 3" xfId="834" xr:uid="{00000000-0005-0000-0000-000011010000}"/>
    <cellStyle name="Moeda 2 2 4 3 4" xfId="1450" xr:uid="{00000000-0005-0000-0000-000012010000}"/>
    <cellStyle name="Moeda 2 2 4 3 5" xfId="2066" xr:uid="{00000000-0005-0000-0000-000013010000}"/>
    <cellStyle name="Moeda 2 2 4 4" xfId="338" xr:uid="{00000000-0005-0000-0000-000014010000}"/>
    <cellStyle name="Moeda 2 2 4 4 2" xfId="650" xr:uid="{00000000-0005-0000-0000-000015010000}"/>
    <cellStyle name="Moeda 2 2 4 4 2 2" xfId="1266" xr:uid="{00000000-0005-0000-0000-000016010000}"/>
    <cellStyle name="Moeda 2 2 4 4 2 3" xfId="1882" xr:uid="{00000000-0005-0000-0000-000017010000}"/>
    <cellStyle name="Moeda 2 2 4 4 2 4" xfId="2498" xr:uid="{00000000-0005-0000-0000-000018010000}"/>
    <cellStyle name="Moeda 2 2 4 4 3" xfId="958" xr:uid="{00000000-0005-0000-0000-000019010000}"/>
    <cellStyle name="Moeda 2 2 4 4 4" xfId="1574" xr:uid="{00000000-0005-0000-0000-00001A010000}"/>
    <cellStyle name="Moeda 2 2 4 4 5" xfId="2190" xr:uid="{00000000-0005-0000-0000-00001B010000}"/>
    <cellStyle name="Moeda 2 2 4 5" xfId="402" xr:uid="{00000000-0005-0000-0000-00001C010000}"/>
    <cellStyle name="Moeda 2 2 4 5 2" xfId="1018" xr:uid="{00000000-0005-0000-0000-00001D010000}"/>
    <cellStyle name="Moeda 2 2 4 5 3" xfId="1634" xr:uid="{00000000-0005-0000-0000-00001E010000}"/>
    <cellStyle name="Moeda 2 2 4 5 4" xfId="2250" xr:uid="{00000000-0005-0000-0000-00001F010000}"/>
    <cellStyle name="Moeda 2 2 4 6" xfId="710" xr:uid="{00000000-0005-0000-0000-000020010000}"/>
    <cellStyle name="Moeda 2 2 4 7" xfId="1326" xr:uid="{00000000-0005-0000-0000-000021010000}"/>
    <cellStyle name="Moeda 2 2 4 8" xfId="1942" xr:uid="{00000000-0005-0000-0000-000022010000}"/>
    <cellStyle name="Moeda 2 2 5" xfId="87" xr:uid="{00000000-0005-0000-0000-000023010000}"/>
    <cellStyle name="Moeda 2 2 5 2" xfId="246" xr:uid="{00000000-0005-0000-0000-000024010000}"/>
    <cellStyle name="Moeda 2 2 5 2 2" xfId="558" xr:uid="{00000000-0005-0000-0000-000025010000}"/>
    <cellStyle name="Moeda 2 2 5 2 2 2" xfId="1174" xr:uid="{00000000-0005-0000-0000-000026010000}"/>
    <cellStyle name="Moeda 2 2 5 2 2 3" xfId="1790" xr:uid="{00000000-0005-0000-0000-000027010000}"/>
    <cellStyle name="Moeda 2 2 5 2 2 4" xfId="2406" xr:uid="{00000000-0005-0000-0000-000028010000}"/>
    <cellStyle name="Moeda 2 2 5 2 3" xfId="866" xr:uid="{00000000-0005-0000-0000-000029010000}"/>
    <cellStyle name="Moeda 2 2 5 2 4" xfId="1482" xr:uid="{00000000-0005-0000-0000-00002A010000}"/>
    <cellStyle name="Moeda 2 2 5 2 5" xfId="2098" xr:uid="{00000000-0005-0000-0000-00002B010000}"/>
    <cellStyle name="Moeda 2 2 5 3" xfId="434" xr:uid="{00000000-0005-0000-0000-00002C010000}"/>
    <cellStyle name="Moeda 2 2 5 3 2" xfId="1050" xr:uid="{00000000-0005-0000-0000-00002D010000}"/>
    <cellStyle name="Moeda 2 2 5 3 3" xfId="1666" xr:uid="{00000000-0005-0000-0000-00002E010000}"/>
    <cellStyle name="Moeda 2 2 5 3 4" xfId="2282" xr:uid="{00000000-0005-0000-0000-00002F010000}"/>
    <cellStyle name="Moeda 2 2 5 4" xfId="742" xr:uid="{00000000-0005-0000-0000-000030010000}"/>
    <cellStyle name="Moeda 2 2 5 5" xfId="1358" xr:uid="{00000000-0005-0000-0000-000031010000}"/>
    <cellStyle name="Moeda 2 2 5 6" xfId="1974" xr:uid="{00000000-0005-0000-0000-000032010000}"/>
    <cellStyle name="Moeda 2 2 6" xfId="184" xr:uid="{00000000-0005-0000-0000-000033010000}"/>
    <cellStyle name="Moeda 2 2 6 2" xfId="496" xr:uid="{00000000-0005-0000-0000-000034010000}"/>
    <cellStyle name="Moeda 2 2 6 2 2" xfId="1112" xr:uid="{00000000-0005-0000-0000-000035010000}"/>
    <cellStyle name="Moeda 2 2 6 2 3" xfId="1728" xr:uid="{00000000-0005-0000-0000-000036010000}"/>
    <cellStyle name="Moeda 2 2 6 2 4" xfId="2344" xr:uid="{00000000-0005-0000-0000-000037010000}"/>
    <cellStyle name="Moeda 2 2 6 3" xfId="804" xr:uid="{00000000-0005-0000-0000-000038010000}"/>
    <cellStyle name="Moeda 2 2 6 4" xfId="1420" xr:uid="{00000000-0005-0000-0000-000039010000}"/>
    <cellStyle name="Moeda 2 2 6 5" xfId="2036" xr:uid="{00000000-0005-0000-0000-00003A010000}"/>
    <cellStyle name="Moeda 2 2 7" xfId="308" xr:uid="{00000000-0005-0000-0000-00003B010000}"/>
    <cellStyle name="Moeda 2 2 7 2" xfId="620" xr:uid="{00000000-0005-0000-0000-00003C010000}"/>
    <cellStyle name="Moeda 2 2 7 2 2" xfId="1236" xr:uid="{00000000-0005-0000-0000-00003D010000}"/>
    <cellStyle name="Moeda 2 2 7 2 3" xfId="1852" xr:uid="{00000000-0005-0000-0000-00003E010000}"/>
    <cellStyle name="Moeda 2 2 7 2 4" xfId="2468" xr:uid="{00000000-0005-0000-0000-00003F010000}"/>
    <cellStyle name="Moeda 2 2 7 3" xfId="928" xr:uid="{00000000-0005-0000-0000-000040010000}"/>
    <cellStyle name="Moeda 2 2 7 4" xfId="1544" xr:uid="{00000000-0005-0000-0000-000041010000}"/>
    <cellStyle name="Moeda 2 2 7 5" xfId="2160" xr:uid="{00000000-0005-0000-0000-000042010000}"/>
    <cellStyle name="Moeda 2 2 8" xfId="372" xr:uid="{00000000-0005-0000-0000-000043010000}"/>
    <cellStyle name="Moeda 2 2 8 2" xfId="988" xr:uid="{00000000-0005-0000-0000-000044010000}"/>
    <cellStyle name="Moeda 2 2 8 3" xfId="1604" xr:uid="{00000000-0005-0000-0000-000045010000}"/>
    <cellStyle name="Moeda 2 2 8 4" xfId="2220" xr:uid="{00000000-0005-0000-0000-000046010000}"/>
    <cellStyle name="Moeda 2 2 9" xfId="680" xr:uid="{00000000-0005-0000-0000-000047010000}"/>
    <cellStyle name="Moeda 2 3" xfId="26" xr:uid="{00000000-0005-0000-0000-000048010000}"/>
    <cellStyle name="Moeda 2 3 2" xfId="60" xr:uid="{00000000-0005-0000-0000-000049010000}"/>
    <cellStyle name="Moeda 2 3 2 2" xfId="124" xr:uid="{00000000-0005-0000-0000-00004A010000}"/>
    <cellStyle name="Moeda 2 3 2 2 2" xfId="283" xr:uid="{00000000-0005-0000-0000-00004B010000}"/>
    <cellStyle name="Moeda 2 3 2 2 2 2" xfId="595" xr:uid="{00000000-0005-0000-0000-00004C010000}"/>
    <cellStyle name="Moeda 2 3 2 2 2 2 2" xfId="1211" xr:uid="{00000000-0005-0000-0000-00004D010000}"/>
    <cellStyle name="Moeda 2 3 2 2 2 2 3" xfId="1827" xr:uid="{00000000-0005-0000-0000-00004E010000}"/>
    <cellStyle name="Moeda 2 3 2 2 2 2 4" xfId="2443" xr:uid="{00000000-0005-0000-0000-00004F010000}"/>
    <cellStyle name="Moeda 2 3 2 2 2 3" xfId="903" xr:uid="{00000000-0005-0000-0000-000050010000}"/>
    <cellStyle name="Moeda 2 3 2 2 2 4" xfId="1519" xr:uid="{00000000-0005-0000-0000-000051010000}"/>
    <cellStyle name="Moeda 2 3 2 2 2 5" xfId="2135" xr:uid="{00000000-0005-0000-0000-000052010000}"/>
    <cellStyle name="Moeda 2 3 2 2 3" xfId="471" xr:uid="{00000000-0005-0000-0000-000053010000}"/>
    <cellStyle name="Moeda 2 3 2 2 3 2" xfId="1087" xr:uid="{00000000-0005-0000-0000-000054010000}"/>
    <cellStyle name="Moeda 2 3 2 2 3 3" xfId="1703" xr:uid="{00000000-0005-0000-0000-000055010000}"/>
    <cellStyle name="Moeda 2 3 2 2 3 4" xfId="2319" xr:uid="{00000000-0005-0000-0000-000056010000}"/>
    <cellStyle name="Moeda 2 3 2 2 4" xfId="779" xr:uid="{00000000-0005-0000-0000-000057010000}"/>
    <cellStyle name="Moeda 2 3 2 2 5" xfId="1395" xr:uid="{00000000-0005-0000-0000-000058010000}"/>
    <cellStyle name="Moeda 2 3 2 2 6" xfId="2011" xr:uid="{00000000-0005-0000-0000-000059010000}"/>
    <cellStyle name="Moeda 2 3 2 3" xfId="221" xr:uid="{00000000-0005-0000-0000-00005A010000}"/>
    <cellStyle name="Moeda 2 3 2 3 2" xfId="533" xr:uid="{00000000-0005-0000-0000-00005B010000}"/>
    <cellStyle name="Moeda 2 3 2 3 2 2" xfId="1149" xr:uid="{00000000-0005-0000-0000-00005C010000}"/>
    <cellStyle name="Moeda 2 3 2 3 2 3" xfId="1765" xr:uid="{00000000-0005-0000-0000-00005D010000}"/>
    <cellStyle name="Moeda 2 3 2 3 2 4" xfId="2381" xr:uid="{00000000-0005-0000-0000-00005E010000}"/>
    <cellStyle name="Moeda 2 3 2 3 3" xfId="841" xr:uid="{00000000-0005-0000-0000-00005F010000}"/>
    <cellStyle name="Moeda 2 3 2 3 4" xfId="1457" xr:uid="{00000000-0005-0000-0000-000060010000}"/>
    <cellStyle name="Moeda 2 3 2 3 5" xfId="2073" xr:uid="{00000000-0005-0000-0000-000061010000}"/>
    <cellStyle name="Moeda 2 3 2 4" xfId="345" xr:uid="{00000000-0005-0000-0000-000062010000}"/>
    <cellStyle name="Moeda 2 3 2 4 2" xfId="657" xr:uid="{00000000-0005-0000-0000-000063010000}"/>
    <cellStyle name="Moeda 2 3 2 4 2 2" xfId="1273" xr:uid="{00000000-0005-0000-0000-000064010000}"/>
    <cellStyle name="Moeda 2 3 2 4 2 3" xfId="1889" xr:uid="{00000000-0005-0000-0000-000065010000}"/>
    <cellStyle name="Moeda 2 3 2 4 2 4" xfId="2505" xr:uid="{00000000-0005-0000-0000-000066010000}"/>
    <cellStyle name="Moeda 2 3 2 4 3" xfId="965" xr:uid="{00000000-0005-0000-0000-000067010000}"/>
    <cellStyle name="Moeda 2 3 2 4 4" xfId="1581" xr:uid="{00000000-0005-0000-0000-000068010000}"/>
    <cellStyle name="Moeda 2 3 2 4 5" xfId="2197" xr:uid="{00000000-0005-0000-0000-000069010000}"/>
    <cellStyle name="Moeda 2 3 2 5" xfId="409" xr:uid="{00000000-0005-0000-0000-00006A010000}"/>
    <cellStyle name="Moeda 2 3 2 5 2" xfId="1025" xr:uid="{00000000-0005-0000-0000-00006B010000}"/>
    <cellStyle name="Moeda 2 3 2 5 3" xfId="1641" xr:uid="{00000000-0005-0000-0000-00006C010000}"/>
    <cellStyle name="Moeda 2 3 2 5 4" xfId="2257" xr:uid="{00000000-0005-0000-0000-00006D010000}"/>
    <cellStyle name="Moeda 2 3 2 6" xfId="717" xr:uid="{00000000-0005-0000-0000-00006E010000}"/>
    <cellStyle name="Moeda 2 3 2 7" xfId="1333" xr:uid="{00000000-0005-0000-0000-00006F010000}"/>
    <cellStyle name="Moeda 2 3 2 8" xfId="1949" xr:uid="{00000000-0005-0000-0000-000070010000}"/>
    <cellStyle name="Moeda 2 3 3" xfId="94" xr:uid="{00000000-0005-0000-0000-000071010000}"/>
    <cellStyle name="Moeda 2 3 3 2" xfId="253" xr:uid="{00000000-0005-0000-0000-000072010000}"/>
    <cellStyle name="Moeda 2 3 3 2 2" xfId="565" xr:uid="{00000000-0005-0000-0000-000073010000}"/>
    <cellStyle name="Moeda 2 3 3 2 2 2" xfId="1181" xr:uid="{00000000-0005-0000-0000-000074010000}"/>
    <cellStyle name="Moeda 2 3 3 2 2 3" xfId="1797" xr:uid="{00000000-0005-0000-0000-000075010000}"/>
    <cellStyle name="Moeda 2 3 3 2 2 4" xfId="2413" xr:uid="{00000000-0005-0000-0000-000076010000}"/>
    <cellStyle name="Moeda 2 3 3 2 3" xfId="873" xr:uid="{00000000-0005-0000-0000-000077010000}"/>
    <cellStyle name="Moeda 2 3 3 2 4" xfId="1489" xr:uid="{00000000-0005-0000-0000-000078010000}"/>
    <cellStyle name="Moeda 2 3 3 2 5" xfId="2105" xr:uid="{00000000-0005-0000-0000-000079010000}"/>
    <cellStyle name="Moeda 2 3 3 3" xfId="441" xr:uid="{00000000-0005-0000-0000-00007A010000}"/>
    <cellStyle name="Moeda 2 3 3 3 2" xfId="1057" xr:uid="{00000000-0005-0000-0000-00007B010000}"/>
    <cellStyle name="Moeda 2 3 3 3 3" xfId="1673" xr:uid="{00000000-0005-0000-0000-00007C010000}"/>
    <cellStyle name="Moeda 2 3 3 3 4" xfId="2289" xr:uid="{00000000-0005-0000-0000-00007D010000}"/>
    <cellStyle name="Moeda 2 3 3 4" xfId="749" xr:uid="{00000000-0005-0000-0000-00007E010000}"/>
    <cellStyle name="Moeda 2 3 3 5" xfId="1365" xr:uid="{00000000-0005-0000-0000-00007F010000}"/>
    <cellStyle name="Moeda 2 3 3 6" xfId="1981" xr:uid="{00000000-0005-0000-0000-000080010000}"/>
    <cellStyle name="Moeda 2 3 4" xfId="191" xr:uid="{00000000-0005-0000-0000-000081010000}"/>
    <cellStyle name="Moeda 2 3 4 2" xfId="503" xr:uid="{00000000-0005-0000-0000-000082010000}"/>
    <cellStyle name="Moeda 2 3 4 2 2" xfId="1119" xr:uid="{00000000-0005-0000-0000-000083010000}"/>
    <cellStyle name="Moeda 2 3 4 2 3" xfId="1735" xr:uid="{00000000-0005-0000-0000-000084010000}"/>
    <cellStyle name="Moeda 2 3 4 2 4" xfId="2351" xr:uid="{00000000-0005-0000-0000-000085010000}"/>
    <cellStyle name="Moeda 2 3 4 3" xfId="811" xr:uid="{00000000-0005-0000-0000-000086010000}"/>
    <cellStyle name="Moeda 2 3 4 4" xfId="1427" xr:uid="{00000000-0005-0000-0000-000087010000}"/>
    <cellStyle name="Moeda 2 3 4 5" xfId="2043" xr:uid="{00000000-0005-0000-0000-000088010000}"/>
    <cellStyle name="Moeda 2 3 5" xfId="315" xr:uid="{00000000-0005-0000-0000-000089010000}"/>
    <cellStyle name="Moeda 2 3 5 2" xfId="627" xr:uid="{00000000-0005-0000-0000-00008A010000}"/>
    <cellStyle name="Moeda 2 3 5 2 2" xfId="1243" xr:uid="{00000000-0005-0000-0000-00008B010000}"/>
    <cellStyle name="Moeda 2 3 5 2 3" xfId="1859" xr:uid="{00000000-0005-0000-0000-00008C010000}"/>
    <cellStyle name="Moeda 2 3 5 2 4" xfId="2475" xr:uid="{00000000-0005-0000-0000-00008D010000}"/>
    <cellStyle name="Moeda 2 3 5 3" xfId="935" xr:uid="{00000000-0005-0000-0000-00008E010000}"/>
    <cellStyle name="Moeda 2 3 5 4" xfId="1551" xr:uid="{00000000-0005-0000-0000-00008F010000}"/>
    <cellStyle name="Moeda 2 3 5 5" xfId="2167" xr:uid="{00000000-0005-0000-0000-000090010000}"/>
    <cellStyle name="Moeda 2 3 6" xfId="379" xr:uid="{00000000-0005-0000-0000-000091010000}"/>
    <cellStyle name="Moeda 2 3 6 2" xfId="995" xr:uid="{00000000-0005-0000-0000-000092010000}"/>
    <cellStyle name="Moeda 2 3 6 3" xfId="1611" xr:uid="{00000000-0005-0000-0000-000093010000}"/>
    <cellStyle name="Moeda 2 3 6 4" xfId="2227" xr:uid="{00000000-0005-0000-0000-000094010000}"/>
    <cellStyle name="Moeda 2 3 7" xfId="687" xr:uid="{00000000-0005-0000-0000-000095010000}"/>
    <cellStyle name="Moeda 2 3 8" xfId="1303" xr:uid="{00000000-0005-0000-0000-000096010000}"/>
    <cellStyle name="Moeda 2 3 9" xfId="1919" xr:uid="{00000000-0005-0000-0000-000097010000}"/>
    <cellStyle name="Moeda 2 4" xfId="42" xr:uid="{00000000-0005-0000-0000-000098010000}"/>
    <cellStyle name="Moeda 2 4 2" xfId="74" xr:uid="{00000000-0005-0000-0000-000099010000}"/>
    <cellStyle name="Moeda 2 4 2 2" xfId="136" xr:uid="{00000000-0005-0000-0000-00009A010000}"/>
    <cellStyle name="Moeda 2 4 2 2 2" xfId="295" xr:uid="{00000000-0005-0000-0000-00009B010000}"/>
    <cellStyle name="Moeda 2 4 2 2 2 2" xfId="607" xr:uid="{00000000-0005-0000-0000-00009C010000}"/>
    <cellStyle name="Moeda 2 4 2 2 2 2 2" xfId="1223" xr:uid="{00000000-0005-0000-0000-00009D010000}"/>
    <cellStyle name="Moeda 2 4 2 2 2 2 3" xfId="1839" xr:uid="{00000000-0005-0000-0000-00009E010000}"/>
    <cellStyle name="Moeda 2 4 2 2 2 2 4" xfId="2455" xr:uid="{00000000-0005-0000-0000-00009F010000}"/>
    <cellStyle name="Moeda 2 4 2 2 2 3" xfId="915" xr:uid="{00000000-0005-0000-0000-0000A0010000}"/>
    <cellStyle name="Moeda 2 4 2 2 2 4" xfId="1531" xr:uid="{00000000-0005-0000-0000-0000A1010000}"/>
    <cellStyle name="Moeda 2 4 2 2 2 5" xfId="2147" xr:uid="{00000000-0005-0000-0000-0000A2010000}"/>
    <cellStyle name="Moeda 2 4 2 2 3" xfId="483" xr:uid="{00000000-0005-0000-0000-0000A3010000}"/>
    <cellStyle name="Moeda 2 4 2 2 3 2" xfId="1099" xr:uid="{00000000-0005-0000-0000-0000A4010000}"/>
    <cellStyle name="Moeda 2 4 2 2 3 3" xfId="1715" xr:uid="{00000000-0005-0000-0000-0000A5010000}"/>
    <cellStyle name="Moeda 2 4 2 2 3 4" xfId="2331" xr:uid="{00000000-0005-0000-0000-0000A6010000}"/>
    <cellStyle name="Moeda 2 4 2 2 4" xfId="791" xr:uid="{00000000-0005-0000-0000-0000A7010000}"/>
    <cellStyle name="Moeda 2 4 2 2 5" xfId="1407" xr:uid="{00000000-0005-0000-0000-0000A8010000}"/>
    <cellStyle name="Moeda 2 4 2 2 6" xfId="2023" xr:uid="{00000000-0005-0000-0000-0000A9010000}"/>
    <cellStyle name="Moeda 2 4 2 3" xfId="233" xr:uid="{00000000-0005-0000-0000-0000AA010000}"/>
    <cellStyle name="Moeda 2 4 2 3 2" xfId="545" xr:uid="{00000000-0005-0000-0000-0000AB010000}"/>
    <cellStyle name="Moeda 2 4 2 3 2 2" xfId="1161" xr:uid="{00000000-0005-0000-0000-0000AC010000}"/>
    <cellStyle name="Moeda 2 4 2 3 2 3" xfId="1777" xr:uid="{00000000-0005-0000-0000-0000AD010000}"/>
    <cellStyle name="Moeda 2 4 2 3 2 4" xfId="2393" xr:uid="{00000000-0005-0000-0000-0000AE010000}"/>
    <cellStyle name="Moeda 2 4 2 3 3" xfId="853" xr:uid="{00000000-0005-0000-0000-0000AF010000}"/>
    <cellStyle name="Moeda 2 4 2 3 4" xfId="1469" xr:uid="{00000000-0005-0000-0000-0000B0010000}"/>
    <cellStyle name="Moeda 2 4 2 3 5" xfId="2085" xr:uid="{00000000-0005-0000-0000-0000B1010000}"/>
    <cellStyle name="Moeda 2 4 2 4" xfId="357" xr:uid="{00000000-0005-0000-0000-0000B2010000}"/>
    <cellStyle name="Moeda 2 4 2 4 2" xfId="669" xr:uid="{00000000-0005-0000-0000-0000B3010000}"/>
    <cellStyle name="Moeda 2 4 2 4 2 2" xfId="1285" xr:uid="{00000000-0005-0000-0000-0000B4010000}"/>
    <cellStyle name="Moeda 2 4 2 4 2 3" xfId="1901" xr:uid="{00000000-0005-0000-0000-0000B5010000}"/>
    <cellStyle name="Moeda 2 4 2 4 2 4" xfId="2517" xr:uid="{00000000-0005-0000-0000-0000B6010000}"/>
    <cellStyle name="Moeda 2 4 2 4 3" xfId="977" xr:uid="{00000000-0005-0000-0000-0000B7010000}"/>
    <cellStyle name="Moeda 2 4 2 4 4" xfId="1593" xr:uid="{00000000-0005-0000-0000-0000B8010000}"/>
    <cellStyle name="Moeda 2 4 2 4 5" xfId="2209" xr:uid="{00000000-0005-0000-0000-0000B9010000}"/>
    <cellStyle name="Moeda 2 4 2 5" xfId="421" xr:uid="{00000000-0005-0000-0000-0000BA010000}"/>
    <cellStyle name="Moeda 2 4 2 5 2" xfId="1037" xr:uid="{00000000-0005-0000-0000-0000BB010000}"/>
    <cellStyle name="Moeda 2 4 2 5 3" xfId="1653" xr:uid="{00000000-0005-0000-0000-0000BC010000}"/>
    <cellStyle name="Moeda 2 4 2 5 4" xfId="2269" xr:uid="{00000000-0005-0000-0000-0000BD010000}"/>
    <cellStyle name="Moeda 2 4 2 6" xfId="729" xr:uid="{00000000-0005-0000-0000-0000BE010000}"/>
    <cellStyle name="Moeda 2 4 2 7" xfId="1345" xr:uid="{00000000-0005-0000-0000-0000BF010000}"/>
    <cellStyle name="Moeda 2 4 2 8" xfId="1961" xr:uid="{00000000-0005-0000-0000-0000C0010000}"/>
    <cellStyle name="Moeda 2 4 3" xfId="106" xr:uid="{00000000-0005-0000-0000-0000C1010000}"/>
    <cellStyle name="Moeda 2 4 3 2" xfId="265" xr:uid="{00000000-0005-0000-0000-0000C2010000}"/>
    <cellStyle name="Moeda 2 4 3 2 2" xfId="577" xr:uid="{00000000-0005-0000-0000-0000C3010000}"/>
    <cellStyle name="Moeda 2 4 3 2 2 2" xfId="1193" xr:uid="{00000000-0005-0000-0000-0000C4010000}"/>
    <cellStyle name="Moeda 2 4 3 2 2 3" xfId="1809" xr:uid="{00000000-0005-0000-0000-0000C5010000}"/>
    <cellStyle name="Moeda 2 4 3 2 2 4" xfId="2425" xr:uid="{00000000-0005-0000-0000-0000C6010000}"/>
    <cellStyle name="Moeda 2 4 3 2 3" xfId="885" xr:uid="{00000000-0005-0000-0000-0000C7010000}"/>
    <cellStyle name="Moeda 2 4 3 2 4" xfId="1501" xr:uid="{00000000-0005-0000-0000-0000C8010000}"/>
    <cellStyle name="Moeda 2 4 3 2 5" xfId="2117" xr:uid="{00000000-0005-0000-0000-0000C9010000}"/>
    <cellStyle name="Moeda 2 4 3 3" xfId="453" xr:uid="{00000000-0005-0000-0000-0000CA010000}"/>
    <cellStyle name="Moeda 2 4 3 3 2" xfId="1069" xr:uid="{00000000-0005-0000-0000-0000CB010000}"/>
    <cellStyle name="Moeda 2 4 3 3 3" xfId="1685" xr:uid="{00000000-0005-0000-0000-0000CC010000}"/>
    <cellStyle name="Moeda 2 4 3 3 4" xfId="2301" xr:uid="{00000000-0005-0000-0000-0000CD010000}"/>
    <cellStyle name="Moeda 2 4 3 4" xfId="761" xr:uid="{00000000-0005-0000-0000-0000CE010000}"/>
    <cellStyle name="Moeda 2 4 3 5" xfId="1377" xr:uid="{00000000-0005-0000-0000-0000CF010000}"/>
    <cellStyle name="Moeda 2 4 3 6" xfId="1993" xr:uid="{00000000-0005-0000-0000-0000D0010000}"/>
    <cellStyle name="Moeda 2 4 4" xfId="203" xr:uid="{00000000-0005-0000-0000-0000D1010000}"/>
    <cellStyle name="Moeda 2 4 4 2" xfId="515" xr:uid="{00000000-0005-0000-0000-0000D2010000}"/>
    <cellStyle name="Moeda 2 4 4 2 2" xfId="1131" xr:uid="{00000000-0005-0000-0000-0000D3010000}"/>
    <cellStyle name="Moeda 2 4 4 2 3" xfId="1747" xr:uid="{00000000-0005-0000-0000-0000D4010000}"/>
    <cellStyle name="Moeda 2 4 4 2 4" xfId="2363" xr:uid="{00000000-0005-0000-0000-0000D5010000}"/>
    <cellStyle name="Moeda 2 4 4 3" xfId="823" xr:uid="{00000000-0005-0000-0000-0000D6010000}"/>
    <cellStyle name="Moeda 2 4 4 4" xfId="1439" xr:uid="{00000000-0005-0000-0000-0000D7010000}"/>
    <cellStyle name="Moeda 2 4 4 5" xfId="2055" xr:uid="{00000000-0005-0000-0000-0000D8010000}"/>
    <cellStyle name="Moeda 2 4 5" xfId="327" xr:uid="{00000000-0005-0000-0000-0000D9010000}"/>
    <cellStyle name="Moeda 2 4 5 2" xfId="639" xr:uid="{00000000-0005-0000-0000-0000DA010000}"/>
    <cellStyle name="Moeda 2 4 5 2 2" xfId="1255" xr:uid="{00000000-0005-0000-0000-0000DB010000}"/>
    <cellStyle name="Moeda 2 4 5 2 3" xfId="1871" xr:uid="{00000000-0005-0000-0000-0000DC010000}"/>
    <cellStyle name="Moeda 2 4 5 2 4" xfId="2487" xr:uid="{00000000-0005-0000-0000-0000DD010000}"/>
    <cellStyle name="Moeda 2 4 5 3" xfId="947" xr:uid="{00000000-0005-0000-0000-0000DE010000}"/>
    <cellStyle name="Moeda 2 4 5 4" xfId="1563" xr:uid="{00000000-0005-0000-0000-0000DF010000}"/>
    <cellStyle name="Moeda 2 4 5 5" xfId="2179" xr:uid="{00000000-0005-0000-0000-0000E0010000}"/>
    <cellStyle name="Moeda 2 4 6" xfId="391" xr:uid="{00000000-0005-0000-0000-0000E1010000}"/>
    <cellStyle name="Moeda 2 4 6 2" xfId="1007" xr:uid="{00000000-0005-0000-0000-0000E2010000}"/>
    <cellStyle name="Moeda 2 4 6 3" xfId="1623" xr:uid="{00000000-0005-0000-0000-0000E3010000}"/>
    <cellStyle name="Moeda 2 4 6 4" xfId="2239" xr:uid="{00000000-0005-0000-0000-0000E4010000}"/>
    <cellStyle name="Moeda 2 4 7" xfId="699" xr:uid="{00000000-0005-0000-0000-0000E5010000}"/>
    <cellStyle name="Moeda 2 4 8" xfId="1315" xr:uid="{00000000-0005-0000-0000-0000E6010000}"/>
    <cellStyle name="Moeda 2 4 9" xfId="1931" xr:uid="{00000000-0005-0000-0000-0000E7010000}"/>
    <cellStyle name="Moeda 2 5" xfId="49" xr:uid="{00000000-0005-0000-0000-0000E8010000}"/>
    <cellStyle name="Moeda 2 5 2" xfId="113" xr:uid="{00000000-0005-0000-0000-0000E9010000}"/>
    <cellStyle name="Moeda 2 5 2 2" xfId="272" xr:uid="{00000000-0005-0000-0000-0000EA010000}"/>
    <cellStyle name="Moeda 2 5 2 2 2" xfId="584" xr:uid="{00000000-0005-0000-0000-0000EB010000}"/>
    <cellStyle name="Moeda 2 5 2 2 2 2" xfId="1200" xr:uid="{00000000-0005-0000-0000-0000EC010000}"/>
    <cellStyle name="Moeda 2 5 2 2 2 3" xfId="1816" xr:uid="{00000000-0005-0000-0000-0000ED010000}"/>
    <cellStyle name="Moeda 2 5 2 2 2 4" xfId="2432" xr:uid="{00000000-0005-0000-0000-0000EE010000}"/>
    <cellStyle name="Moeda 2 5 2 2 3" xfId="892" xr:uid="{00000000-0005-0000-0000-0000EF010000}"/>
    <cellStyle name="Moeda 2 5 2 2 4" xfId="1508" xr:uid="{00000000-0005-0000-0000-0000F0010000}"/>
    <cellStyle name="Moeda 2 5 2 2 5" xfId="2124" xr:uid="{00000000-0005-0000-0000-0000F1010000}"/>
    <cellStyle name="Moeda 2 5 2 3" xfId="460" xr:uid="{00000000-0005-0000-0000-0000F2010000}"/>
    <cellStyle name="Moeda 2 5 2 3 2" xfId="1076" xr:uid="{00000000-0005-0000-0000-0000F3010000}"/>
    <cellStyle name="Moeda 2 5 2 3 3" xfId="1692" xr:uid="{00000000-0005-0000-0000-0000F4010000}"/>
    <cellStyle name="Moeda 2 5 2 3 4" xfId="2308" xr:uid="{00000000-0005-0000-0000-0000F5010000}"/>
    <cellStyle name="Moeda 2 5 2 4" xfId="768" xr:uid="{00000000-0005-0000-0000-0000F6010000}"/>
    <cellStyle name="Moeda 2 5 2 5" xfId="1384" xr:uid="{00000000-0005-0000-0000-0000F7010000}"/>
    <cellStyle name="Moeda 2 5 2 6" xfId="2000" xr:uid="{00000000-0005-0000-0000-0000F8010000}"/>
    <cellStyle name="Moeda 2 5 3" xfId="210" xr:uid="{00000000-0005-0000-0000-0000F9010000}"/>
    <cellStyle name="Moeda 2 5 3 2" xfId="522" xr:uid="{00000000-0005-0000-0000-0000FA010000}"/>
    <cellStyle name="Moeda 2 5 3 2 2" xfId="1138" xr:uid="{00000000-0005-0000-0000-0000FB010000}"/>
    <cellStyle name="Moeda 2 5 3 2 3" xfId="1754" xr:uid="{00000000-0005-0000-0000-0000FC010000}"/>
    <cellStyle name="Moeda 2 5 3 2 4" xfId="2370" xr:uid="{00000000-0005-0000-0000-0000FD010000}"/>
    <cellStyle name="Moeda 2 5 3 3" xfId="830" xr:uid="{00000000-0005-0000-0000-0000FE010000}"/>
    <cellStyle name="Moeda 2 5 3 4" xfId="1446" xr:uid="{00000000-0005-0000-0000-0000FF010000}"/>
    <cellStyle name="Moeda 2 5 3 5" xfId="2062" xr:uid="{00000000-0005-0000-0000-000000020000}"/>
    <cellStyle name="Moeda 2 5 4" xfId="334" xr:uid="{00000000-0005-0000-0000-000001020000}"/>
    <cellStyle name="Moeda 2 5 4 2" xfId="646" xr:uid="{00000000-0005-0000-0000-000002020000}"/>
    <cellStyle name="Moeda 2 5 4 2 2" xfId="1262" xr:uid="{00000000-0005-0000-0000-000003020000}"/>
    <cellStyle name="Moeda 2 5 4 2 3" xfId="1878" xr:uid="{00000000-0005-0000-0000-000004020000}"/>
    <cellStyle name="Moeda 2 5 4 2 4" xfId="2494" xr:uid="{00000000-0005-0000-0000-000005020000}"/>
    <cellStyle name="Moeda 2 5 4 3" xfId="954" xr:uid="{00000000-0005-0000-0000-000006020000}"/>
    <cellStyle name="Moeda 2 5 4 4" xfId="1570" xr:uid="{00000000-0005-0000-0000-000007020000}"/>
    <cellStyle name="Moeda 2 5 4 5" xfId="2186" xr:uid="{00000000-0005-0000-0000-000008020000}"/>
    <cellStyle name="Moeda 2 5 5" xfId="398" xr:uid="{00000000-0005-0000-0000-000009020000}"/>
    <cellStyle name="Moeda 2 5 5 2" xfId="1014" xr:uid="{00000000-0005-0000-0000-00000A020000}"/>
    <cellStyle name="Moeda 2 5 5 3" xfId="1630" xr:uid="{00000000-0005-0000-0000-00000B020000}"/>
    <cellStyle name="Moeda 2 5 5 4" xfId="2246" xr:uid="{00000000-0005-0000-0000-00000C020000}"/>
    <cellStyle name="Moeda 2 5 6" xfId="706" xr:uid="{00000000-0005-0000-0000-00000D020000}"/>
    <cellStyle name="Moeda 2 5 7" xfId="1322" xr:uid="{00000000-0005-0000-0000-00000E020000}"/>
    <cellStyle name="Moeda 2 5 8" xfId="1938" xr:uid="{00000000-0005-0000-0000-00000F020000}"/>
    <cellStyle name="Moeda 2 6" xfId="83" xr:uid="{00000000-0005-0000-0000-000010020000}"/>
    <cellStyle name="Moeda 2 6 2" xfId="242" xr:uid="{00000000-0005-0000-0000-000011020000}"/>
    <cellStyle name="Moeda 2 6 2 2" xfId="554" xr:uid="{00000000-0005-0000-0000-000012020000}"/>
    <cellStyle name="Moeda 2 6 2 2 2" xfId="1170" xr:uid="{00000000-0005-0000-0000-000013020000}"/>
    <cellStyle name="Moeda 2 6 2 2 3" xfId="1786" xr:uid="{00000000-0005-0000-0000-000014020000}"/>
    <cellStyle name="Moeda 2 6 2 2 4" xfId="2402" xr:uid="{00000000-0005-0000-0000-000015020000}"/>
    <cellStyle name="Moeda 2 6 2 3" xfId="862" xr:uid="{00000000-0005-0000-0000-000016020000}"/>
    <cellStyle name="Moeda 2 6 2 4" xfId="1478" xr:uid="{00000000-0005-0000-0000-000017020000}"/>
    <cellStyle name="Moeda 2 6 2 5" xfId="2094" xr:uid="{00000000-0005-0000-0000-000018020000}"/>
    <cellStyle name="Moeda 2 6 3" xfId="430" xr:uid="{00000000-0005-0000-0000-000019020000}"/>
    <cellStyle name="Moeda 2 6 3 2" xfId="1046" xr:uid="{00000000-0005-0000-0000-00001A020000}"/>
    <cellStyle name="Moeda 2 6 3 3" xfId="1662" xr:uid="{00000000-0005-0000-0000-00001B020000}"/>
    <cellStyle name="Moeda 2 6 3 4" xfId="2278" xr:uid="{00000000-0005-0000-0000-00001C020000}"/>
    <cellStyle name="Moeda 2 6 4" xfId="738" xr:uid="{00000000-0005-0000-0000-00001D020000}"/>
    <cellStyle name="Moeda 2 6 5" xfId="1354" xr:uid="{00000000-0005-0000-0000-00001E020000}"/>
    <cellStyle name="Moeda 2 6 6" xfId="1970" xr:uid="{00000000-0005-0000-0000-00001F020000}"/>
    <cellStyle name="Moeda 2 7" xfId="180" xr:uid="{00000000-0005-0000-0000-000020020000}"/>
    <cellStyle name="Moeda 2 7 2" xfId="492" xr:uid="{00000000-0005-0000-0000-000021020000}"/>
    <cellStyle name="Moeda 2 7 2 2" xfId="1108" xr:uid="{00000000-0005-0000-0000-000022020000}"/>
    <cellStyle name="Moeda 2 7 2 3" xfId="1724" xr:uid="{00000000-0005-0000-0000-000023020000}"/>
    <cellStyle name="Moeda 2 7 2 4" xfId="2340" xr:uid="{00000000-0005-0000-0000-000024020000}"/>
    <cellStyle name="Moeda 2 7 3" xfId="800" xr:uid="{00000000-0005-0000-0000-000025020000}"/>
    <cellStyle name="Moeda 2 7 4" xfId="1416" xr:uid="{00000000-0005-0000-0000-000026020000}"/>
    <cellStyle name="Moeda 2 7 5" xfId="2032" xr:uid="{00000000-0005-0000-0000-000027020000}"/>
    <cellStyle name="Moeda 2 8" xfId="304" xr:uid="{00000000-0005-0000-0000-000028020000}"/>
    <cellStyle name="Moeda 2 8 2" xfId="616" xr:uid="{00000000-0005-0000-0000-000029020000}"/>
    <cellStyle name="Moeda 2 8 2 2" xfId="1232" xr:uid="{00000000-0005-0000-0000-00002A020000}"/>
    <cellStyle name="Moeda 2 8 2 3" xfId="1848" xr:uid="{00000000-0005-0000-0000-00002B020000}"/>
    <cellStyle name="Moeda 2 8 2 4" xfId="2464" xr:uid="{00000000-0005-0000-0000-00002C020000}"/>
    <cellStyle name="Moeda 2 8 3" xfId="924" xr:uid="{00000000-0005-0000-0000-00002D020000}"/>
    <cellStyle name="Moeda 2 8 4" xfId="1540" xr:uid="{00000000-0005-0000-0000-00002E020000}"/>
    <cellStyle name="Moeda 2 8 5" xfId="2156" xr:uid="{00000000-0005-0000-0000-00002F020000}"/>
    <cellStyle name="Moeda 2 9" xfId="368" xr:uid="{00000000-0005-0000-0000-000030020000}"/>
    <cellStyle name="Moeda 2 9 2" xfId="984" xr:uid="{00000000-0005-0000-0000-000031020000}"/>
    <cellStyle name="Moeda 2 9 3" xfId="1600" xr:uid="{00000000-0005-0000-0000-000032020000}"/>
    <cellStyle name="Moeda 2 9 4" xfId="2216" xr:uid="{00000000-0005-0000-0000-000033020000}"/>
    <cellStyle name="Moeda 3" xfId="7" xr:uid="{00000000-0005-0000-0000-000034020000}"/>
    <cellStyle name="Moeda 3 10" xfId="1294" xr:uid="{00000000-0005-0000-0000-000035020000}"/>
    <cellStyle name="Moeda 3 11" xfId="1910" xr:uid="{00000000-0005-0000-0000-000036020000}"/>
    <cellStyle name="Moeda 3 2" xfId="28" xr:uid="{00000000-0005-0000-0000-000037020000}"/>
    <cellStyle name="Moeda 3 2 2" xfId="62" xr:uid="{00000000-0005-0000-0000-000038020000}"/>
    <cellStyle name="Moeda 3 2 2 2" xfId="126" xr:uid="{00000000-0005-0000-0000-000039020000}"/>
    <cellStyle name="Moeda 3 2 2 2 2" xfId="285" xr:uid="{00000000-0005-0000-0000-00003A020000}"/>
    <cellStyle name="Moeda 3 2 2 2 2 2" xfId="597" xr:uid="{00000000-0005-0000-0000-00003B020000}"/>
    <cellStyle name="Moeda 3 2 2 2 2 2 2" xfId="1213" xr:uid="{00000000-0005-0000-0000-00003C020000}"/>
    <cellStyle name="Moeda 3 2 2 2 2 2 3" xfId="1829" xr:uid="{00000000-0005-0000-0000-00003D020000}"/>
    <cellStyle name="Moeda 3 2 2 2 2 2 4" xfId="2445" xr:uid="{00000000-0005-0000-0000-00003E020000}"/>
    <cellStyle name="Moeda 3 2 2 2 2 3" xfId="905" xr:uid="{00000000-0005-0000-0000-00003F020000}"/>
    <cellStyle name="Moeda 3 2 2 2 2 4" xfId="1521" xr:uid="{00000000-0005-0000-0000-000040020000}"/>
    <cellStyle name="Moeda 3 2 2 2 2 5" xfId="2137" xr:uid="{00000000-0005-0000-0000-000041020000}"/>
    <cellStyle name="Moeda 3 2 2 2 3" xfId="473" xr:uid="{00000000-0005-0000-0000-000042020000}"/>
    <cellStyle name="Moeda 3 2 2 2 3 2" xfId="1089" xr:uid="{00000000-0005-0000-0000-000043020000}"/>
    <cellStyle name="Moeda 3 2 2 2 3 3" xfId="1705" xr:uid="{00000000-0005-0000-0000-000044020000}"/>
    <cellStyle name="Moeda 3 2 2 2 3 4" xfId="2321" xr:uid="{00000000-0005-0000-0000-000045020000}"/>
    <cellStyle name="Moeda 3 2 2 2 4" xfId="781" xr:uid="{00000000-0005-0000-0000-000046020000}"/>
    <cellStyle name="Moeda 3 2 2 2 5" xfId="1397" xr:uid="{00000000-0005-0000-0000-000047020000}"/>
    <cellStyle name="Moeda 3 2 2 2 6" xfId="2013" xr:uid="{00000000-0005-0000-0000-000048020000}"/>
    <cellStyle name="Moeda 3 2 2 3" xfId="223" xr:uid="{00000000-0005-0000-0000-000049020000}"/>
    <cellStyle name="Moeda 3 2 2 3 2" xfId="535" xr:uid="{00000000-0005-0000-0000-00004A020000}"/>
    <cellStyle name="Moeda 3 2 2 3 2 2" xfId="1151" xr:uid="{00000000-0005-0000-0000-00004B020000}"/>
    <cellStyle name="Moeda 3 2 2 3 2 3" xfId="1767" xr:uid="{00000000-0005-0000-0000-00004C020000}"/>
    <cellStyle name="Moeda 3 2 2 3 2 4" xfId="2383" xr:uid="{00000000-0005-0000-0000-00004D020000}"/>
    <cellStyle name="Moeda 3 2 2 3 3" xfId="843" xr:uid="{00000000-0005-0000-0000-00004E020000}"/>
    <cellStyle name="Moeda 3 2 2 3 4" xfId="1459" xr:uid="{00000000-0005-0000-0000-00004F020000}"/>
    <cellStyle name="Moeda 3 2 2 3 5" xfId="2075" xr:uid="{00000000-0005-0000-0000-000050020000}"/>
    <cellStyle name="Moeda 3 2 2 4" xfId="347" xr:uid="{00000000-0005-0000-0000-000051020000}"/>
    <cellStyle name="Moeda 3 2 2 4 2" xfId="659" xr:uid="{00000000-0005-0000-0000-000052020000}"/>
    <cellStyle name="Moeda 3 2 2 4 2 2" xfId="1275" xr:uid="{00000000-0005-0000-0000-000053020000}"/>
    <cellStyle name="Moeda 3 2 2 4 2 3" xfId="1891" xr:uid="{00000000-0005-0000-0000-000054020000}"/>
    <cellStyle name="Moeda 3 2 2 4 2 4" xfId="2507" xr:uid="{00000000-0005-0000-0000-000055020000}"/>
    <cellStyle name="Moeda 3 2 2 4 3" xfId="967" xr:uid="{00000000-0005-0000-0000-000056020000}"/>
    <cellStyle name="Moeda 3 2 2 4 4" xfId="1583" xr:uid="{00000000-0005-0000-0000-000057020000}"/>
    <cellStyle name="Moeda 3 2 2 4 5" xfId="2199" xr:uid="{00000000-0005-0000-0000-000058020000}"/>
    <cellStyle name="Moeda 3 2 2 5" xfId="411" xr:uid="{00000000-0005-0000-0000-000059020000}"/>
    <cellStyle name="Moeda 3 2 2 5 2" xfId="1027" xr:uid="{00000000-0005-0000-0000-00005A020000}"/>
    <cellStyle name="Moeda 3 2 2 5 3" xfId="1643" xr:uid="{00000000-0005-0000-0000-00005B020000}"/>
    <cellStyle name="Moeda 3 2 2 5 4" xfId="2259" xr:uid="{00000000-0005-0000-0000-00005C020000}"/>
    <cellStyle name="Moeda 3 2 2 6" xfId="719" xr:uid="{00000000-0005-0000-0000-00005D020000}"/>
    <cellStyle name="Moeda 3 2 2 7" xfId="1335" xr:uid="{00000000-0005-0000-0000-00005E020000}"/>
    <cellStyle name="Moeda 3 2 2 8" xfId="1951" xr:uid="{00000000-0005-0000-0000-00005F020000}"/>
    <cellStyle name="Moeda 3 2 3" xfId="96" xr:uid="{00000000-0005-0000-0000-000060020000}"/>
    <cellStyle name="Moeda 3 2 3 2" xfId="255" xr:uid="{00000000-0005-0000-0000-000061020000}"/>
    <cellStyle name="Moeda 3 2 3 2 2" xfId="567" xr:uid="{00000000-0005-0000-0000-000062020000}"/>
    <cellStyle name="Moeda 3 2 3 2 2 2" xfId="1183" xr:uid="{00000000-0005-0000-0000-000063020000}"/>
    <cellStyle name="Moeda 3 2 3 2 2 3" xfId="1799" xr:uid="{00000000-0005-0000-0000-000064020000}"/>
    <cellStyle name="Moeda 3 2 3 2 2 4" xfId="2415" xr:uid="{00000000-0005-0000-0000-000065020000}"/>
    <cellStyle name="Moeda 3 2 3 2 3" xfId="875" xr:uid="{00000000-0005-0000-0000-000066020000}"/>
    <cellStyle name="Moeda 3 2 3 2 4" xfId="1491" xr:uid="{00000000-0005-0000-0000-000067020000}"/>
    <cellStyle name="Moeda 3 2 3 2 5" xfId="2107" xr:uid="{00000000-0005-0000-0000-000068020000}"/>
    <cellStyle name="Moeda 3 2 3 3" xfId="443" xr:uid="{00000000-0005-0000-0000-000069020000}"/>
    <cellStyle name="Moeda 3 2 3 3 2" xfId="1059" xr:uid="{00000000-0005-0000-0000-00006A020000}"/>
    <cellStyle name="Moeda 3 2 3 3 3" xfId="1675" xr:uid="{00000000-0005-0000-0000-00006B020000}"/>
    <cellStyle name="Moeda 3 2 3 3 4" xfId="2291" xr:uid="{00000000-0005-0000-0000-00006C020000}"/>
    <cellStyle name="Moeda 3 2 3 4" xfId="751" xr:uid="{00000000-0005-0000-0000-00006D020000}"/>
    <cellStyle name="Moeda 3 2 3 5" xfId="1367" xr:uid="{00000000-0005-0000-0000-00006E020000}"/>
    <cellStyle name="Moeda 3 2 3 6" xfId="1983" xr:uid="{00000000-0005-0000-0000-00006F020000}"/>
    <cellStyle name="Moeda 3 2 4" xfId="193" xr:uid="{00000000-0005-0000-0000-000070020000}"/>
    <cellStyle name="Moeda 3 2 4 2" xfId="505" xr:uid="{00000000-0005-0000-0000-000071020000}"/>
    <cellStyle name="Moeda 3 2 4 2 2" xfId="1121" xr:uid="{00000000-0005-0000-0000-000072020000}"/>
    <cellStyle name="Moeda 3 2 4 2 3" xfId="1737" xr:uid="{00000000-0005-0000-0000-000073020000}"/>
    <cellStyle name="Moeda 3 2 4 2 4" xfId="2353" xr:uid="{00000000-0005-0000-0000-000074020000}"/>
    <cellStyle name="Moeda 3 2 4 3" xfId="813" xr:uid="{00000000-0005-0000-0000-000075020000}"/>
    <cellStyle name="Moeda 3 2 4 4" xfId="1429" xr:uid="{00000000-0005-0000-0000-000076020000}"/>
    <cellStyle name="Moeda 3 2 4 5" xfId="2045" xr:uid="{00000000-0005-0000-0000-000077020000}"/>
    <cellStyle name="Moeda 3 2 5" xfId="317" xr:uid="{00000000-0005-0000-0000-000078020000}"/>
    <cellStyle name="Moeda 3 2 5 2" xfId="629" xr:uid="{00000000-0005-0000-0000-000079020000}"/>
    <cellStyle name="Moeda 3 2 5 2 2" xfId="1245" xr:uid="{00000000-0005-0000-0000-00007A020000}"/>
    <cellStyle name="Moeda 3 2 5 2 3" xfId="1861" xr:uid="{00000000-0005-0000-0000-00007B020000}"/>
    <cellStyle name="Moeda 3 2 5 2 4" xfId="2477" xr:uid="{00000000-0005-0000-0000-00007C020000}"/>
    <cellStyle name="Moeda 3 2 5 3" xfId="937" xr:uid="{00000000-0005-0000-0000-00007D020000}"/>
    <cellStyle name="Moeda 3 2 5 4" xfId="1553" xr:uid="{00000000-0005-0000-0000-00007E020000}"/>
    <cellStyle name="Moeda 3 2 5 5" xfId="2169" xr:uid="{00000000-0005-0000-0000-00007F020000}"/>
    <cellStyle name="Moeda 3 2 6" xfId="381" xr:uid="{00000000-0005-0000-0000-000080020000}"/>
    <cellStyle name="Moeda 3 2 6 2" xfId="997" xr:uid="{00000000-0005-0000-0000-000081020000}"/>
    <cellStyle name="Moeda 3 2 6 3" xfId="1613" xr:uid="{00000000-0005-0000-0000-000082020000}"/>
    <cellStyle name="Moeda 3 2 6 4" xfId="2229" xr:uid="{00000000-0005-0000-0000-000083020000}"/>
    <cellStyle name="Moeda 3 2 7" xfId="689" xr:uid="{00000000-0005-0000-0000-000084020000}"/>
    <cellStyle name="Moeda 3 2 8" xfId="1305" xr:uid="{00000000-0005-0000-0000-000085020000}"/>
    <cellStyle name="Moeda 3 2 9" xfId="1921" xr:uid="{00000000-0005-0000-0000-000086020000}"/>
    <cellStyle name="Moeda 3 3" xfId="44" xr:uid="{00000000-0005-0000-0000-000087020000}"/>
    <cellStyle name="Moeda 3 3 2" xfId="76" xr:uid="{00000000-0005-0000-0000-000088020000}"/>
    <cellStyle name="Moeda 3 3 2 2" xfId="138" xr:uid="{00000000-0005-0000-0000-000089020000}"/>
    <cellStyle name="Moeda 3 3 2 2 2" xfId="297" xr:uid="{00000000-0005-0000-0000-00008A020000}"/>
    <cellStyle name="Moeda 3 3 2 2 2 2" xfId="609" xr:uid="{00000000-0005-0000-0000-00008B020000}"/>
    <cellStyle name="Moeda 3 3 2 2 2 2 2" xfId="1225" xr:uid="{00000000-0005-0000-0000-00008C020000}"/>
    <cellStyle name="Moeda 3 3 2 2 2 2 3" xfId="1841" xr:uid="{00000000-0005-0000-0000-00008D020000}"/>
    <cellStyle name="Moeda 3 3 2 2 2 2 4" xfId="2457" xr:uid="{00000000-0005-0000-0000-00008E020000}"/>
    <cellStyle name="Moeda 3 3 2 2 2 3" xfId="917" xr:uid="{00000000-0005-0000-0000-00008F020000}"/>
    <cellStyle name="Moeda 3 3 2 2 2 4" xfId="1533" xr:uid="{00000000-0005-0000-0000-000090020000}"/>
    <cellStyle name="Moeda 3 3 2 2 2 5" xfId="2149" xr:uid="{00000000-0005-0000-0000-000091020000}"/>
    <cellStyle name="Moeda 3 3 2 2 3" xfId="485" xr:uid="{00000000-0005-0000-0000-000092020000}"/>
    <cellStyle name="Moeda 3 3 2 2 3 2" xfId="1101" xr:uid="{00000000-0005-0000-0000-000093020000}"/>
    <cellStyle name="Moeda 3 3 2 2 3 3" xfId="1717" xr:uid="{00000000-0005-0000-0000-000094020000}"/>
    <cellStyle name="Moeda 3 3 2 2 3 4" xfId="2333" xr:uid="{00000000-0005-0000-0000-000095020000}"/>
    <cellStyle name="Moeda 3 3 2 2 4" xfId="793" xr:uid="{00000000-0005-0000-0000-000096020000}"/>
    <cellStyle name="Moeda 3 3 2 2 5" xfId="1409" xr:uid="{00000000-0005-0000-0000-000097020000}"/>
    <cellStyle name="Moeda 3 3 2 2 6" xfId="2025" xr:uid="{00000000-0005-0000-0000-000098020000}"/>
    <cellStyle name="Moeda 3 3 2 3" xfId="235" xr:uid="{00000000-0005-0000-0000-000099020000}"/>
    <cellStyle name="Moeda 3 3 2 3 2" xfId="547" xr:uid="{00000000-0005-0000-0000-00009A020000}"/>
    <cellStyle name="Moeda 3 3 2 3 2 2" xfId="1163" xr:uid="{00000000-0005-0000-0000-00009B020000}"/>
    <cellStyle name="Moeda 3 3 2 3 2 3" xfId="1779" xr:uid="{00000000-0005-0000-0000-00009C020000}"/>
    <cellStyle name="Moeda 3 3 2 3 2 4" xfId="2395" xr:uid="{00000000-0005-0000-0000-00009D020000}"/>
    <cellStyle name="Moeda 3 3 2 3 3" xfId="855" xr:uid="{00000000-0005-0000-0000-00009E020000}"/>
    <cellStyle name="Moeda 3 3 2 3 4" xfId="1471" xr:uid="{00000000-0005-0000-0000-00009F020000}"/>
    <cellStyle name="Moeda 3 3 2 3 5" xfId="2087" xr:uid="{00000000-0005-0000-0000-0000A0020000}"/>
    <cellStyle name="Moeda 3 3 2 4" xfId="359" xr:uid="{00000000-0005-0000-0000-0000A1020000}"/>
    <cellStyle name="Moeda 3 3 2 4 2" xfId="671" xr:uid="{00000000-0005-0000-0000-0000A2020000}"/>
    <cellStyle name="Moeda 3 3 2 4 2 2" xfId="1287" xr:uid="{00000000-0005-0000-0000-0000A3020000}"/>
    <cellStyle name="Moeda 3 3 2 4 2 3" xfId="1903" xr:uid="{00000000-0005-0000-0000-0000A4020000}"/>
    <cellStyle name="Moeda 3 3 2 4 2 4" xfId="2519" xr:uid="{00000000-0005-0000-0000-0000A5020000}"/>
    <cellStyle name="Moeda 3 3 2 4 3" xfId="979" xr:uid="{00000000-0005-0000-0000-0000A6020000}"/>
    <cellStyle name="Moeda 3 3 2 4 4" xfId="1595" xr:uid="{00000000-0005-0000-0000-0000A7020000}"/>
    <cellStyle name="Moeda 3 3 2 4 5" xfId="2211" xr:uid="{00000000-0005-0000-0000-0000A8020000}"/>
    <cellStyle name="Moeda 3 3 2 5" xfId="423" xr:uid="{00000000-0005-0000-0000-0000A9020000}"/>
    <cellStyle name="Moeda 3 3 2 5 2" xfId="1039" xr:uid="{00000000-0005-0000-0000-0000AA020000}"/>
    <cellStyle name="Moeda 3 3 2 5 3" xfId="1655" xr:uid="{00000000-0005-0000-0000-0000AB020000}"/>
    <cellStyle name="Moeda 3 3 2 5 4" xfId="2271" xr:uid="{00000000-0005-0000-0000-0000AC020000}"/>
    <cellStyle name="Moeda 3 3 2 6" xfId="731" xr:uid="{00000000-0005-0000-0000-0000AD020000}"/>
    <cellStyle name="Moeda 3 3 2 7" xfId="1347" xr:uid="{00000000-0005-0000-0000-0000AE020000}"/>
    <cellStyle name="Moeda 3 3 2 8" xfId="1963" xr:uid="{00000000-0005-0000-0000-0000AF020000}"/>
    <cellStyle name="Moeda 3 3 3" xfId="108" xr:uid="{00000000-0005-0000-0000-0000B0020000}"/>
    <cellStyle name="Moeda 3 3 3 2" xfId="267" xr:uid="{00000000-0005-0000-0000-0000B1020000}"/>
    <cellStyle name="Moeda 3 3 3 2 2" xfId="579" xr:uid="{00000000-0005-0000-0000-0000B2020000}"/>
    <cellStyle name="Moeda 3 3 3 2 2 2" xfId="1195" xr:uid="{00000000-0005-0000-0000-0000B3020000}"/>
    <cellStyle name="Moeda 3 3 3 2 2 3" xfId="1811" xr:uid="{00000000-0005-0000-0000-0000B4020000}"/>
    <cellStyle name="Moeda 3 3 3 2 2 4" xfId="2427" xr:uid="{00000000-0005-0000-0000-0000B5020000}"/>
    <cellStyle name="Moeda 3 3 3 2 3" xfId="887" xr:uid="{00000000-0005-0000-0000-0000B6020000}"/>
    <cellStyle name="Moeda 3 3 3 2 4" xfId="1503" xr:uid="{00000000-0005-0000-0000-0000B7020000}"/>
    <cellStyle name="Moeda 3 3 3 2 5" xfId="2119" xr:uid="{00000000-0005-0000-0000-0000B8020000}"/>
    <cellStyle name="Moeda 3 3 3 3" xfId="455" xr:uid="{00000000-0005-0000-0000-0000B9020000}"/>
    <cellStyle name="Moeda 3 3 3 3 2" xfId="1071" xr:uid="{00000000-0005-0000-0000-0000BA020000}"/>
    <cellStyle name="Moeda 3 3 3 3 3" xfId="1687" xr:uid="{00000000-0005-0000-0000-0000BB020000}"/>
    <cellStyle name="Moeda 3 3 3 3 4" xfId="2303" xr:uid="{00000000-0005-0000-0000-0000BC020000}"/>
    <cellStyle name="Moeda 3 3 3 4" xfId="763" xr:uid="{00000000-0005-0000-0000-0000BD020000}"/>
    <cellStyle name="Moeda 3 3 3 5" xfId="1379" xr:uid="{00000000-0005-0000-0000-0000BE020000}"/>
    <cellStyle name="Moeda 3 3 3 6" xfId="1995" xr:uid="{00000000-0005-0000-0000-0000BF020000}"/>
    <cellStyle name="Moeda 3 3 4" xfId="205" xr:uid="{00000000-0005-0000-0000-0000C0020000}"/>
    <cellStyle name="Moeda 3 3 4 2" xfId="517" xr:uid="{00000000-0005-0000-0000-0000C1020000}"/>
    <cellStyle name="Moeda 3 3 4 2 2" xfId="1133" xr:uid="{00000000-0005-0000-0000-0000C2020000}"/>
    <cellStyle name="Moeda 3 3 4 2 3" xfId="1749" xr:uid="{00000000-0005-0000-0000-0000C3020000}"/>
    <cellStyle name="Moeda 3 3 4 2 4" xfId="2365" xr:uid="{00000000-0005-0000-0000-0000C4020000}"/>
    <cellStyle name="Moeda 3 3 4 3" xfId="825" xr:uid="{00000000-0005-0000-0000-0000C5020000}"/>
    <cellStyle name="Moeda 3 3 4 4" xfId="1441" xr:uid="{00000000-0005-0000-0000-0000C6020000}"/>
    <cellStyle name="Moeda 3 3 4 5" xfId="2057" xr:uid="{00000000-0005-0000-0000-0000C7020000}"/>
    <cellStyle name="Moeda 3 3 5" xfId="329" xr:uid="{00000000-0005-0000-0000-0000C8020000}"/>
    <cellStyle name="Moeda 3 3 5 2" xfId="641" xr:uid="{00000000-0005-0000-0000-0000C9020000}"/>
    <cellStyle name="Moeda 3 3 5 2 2" xfId="1257" xr:uid="{00000000-0005-0000-0000-0000CA020000}"/>
    <cellStyle name="Moeda 3 3 5 2 3" xfId="1873" xr:uid="{00000000-0005-0000-0000-0000CB020000}"/>
    <cellStyle name="Moeda 3 3 5 2 4" xfId="2489" xr:uid="{00000000-0005-0000-0000-0000CC020000}"/>
    <cellStyle name="Moeda 3 3 5 3" xfId="949" xr:uid="{00000000-0005-0000-0000-0000CD020000}"/>
    <cellStyle name="Moeda 3 3 5 4" xfId="1565" xr:uid="{00000000-0005-0000-0000-0000CE020000}"/>
    <cellStyle name="Moeda 3 3 5 5" xfId="2181" xr:uid="{00000000-0005-0000-0000-0000CF020000}"/>
    <cellStyle name="Moeda 3 3 6" xfId="393" xr:uid="{00000000-0005-0000-0000-0000D0020000}"/>
    <cellStyle name="Moeda 3 3 6 2" xfId="1009" xr:uid="{00000000-0005-0000-0000-0000D1020000}"/>
    <cellStyle name="Moeda 3 3 6 3" xfId="1625" xr:uid="{00000000-0005-0000-0000-0000D2020000}"/>
    <cellStyle name="Moeda 3 3 6 4" xfId="2241" xr:uid="{00000000-0005-0000-0000-0000D3020000}"/>
    <cellStyle name="Moeda 3 3 7" xfId="701" xr:uid="{00000000-0005-0000-0000-0000D4020000}"/>
    <cellStyle name="Moeda 3 3 8" xfId="1317" xr:uid="{00000000-0005-0000-0000-0000D5020000}"/>
    <cellStyle name="Moeda 3 3 9" xfId="1933" xr:uid="{00000000-0005-0000-0000-0000D6020000}"/>
    <cellStyle name="Moeda 3 4" xfId="51" xr:uid="{00000000-0005-0000-0000-0000D7020000}"/>
    <cellStyle name="Moeda 3 4 2" xfId="115" xr:uid="{00000000-0005-0000-0000-0000D8020000}"/>
    <cellStyle name="Moeda 3 4 2 2" xfId="274" xr:uid="{00000000-0005-0000-0000-0000D9020000}"/>
    <cellStyle name="Moeda 3 4 2 2 2" xfId="586" xr:uid="{00000000-0005-0000-0000-0000DA020000}"/>
    <cellStyle name="Moeda 3 4 2 2 2 2" xfId="1202" xr:uid="{00000000-0005-0000-0000-0000DB020000}"/>
    <cellStyle name="Moeda 3 4 2 2 2 3" xfId="1818" xr:uid="{00000000-0005-0000-0000-0000DC020000}"/>
    <cellStyle name="Moeda 3 4 2 2 2 4" xfId="2434" xr:uid="{00000000-0005-0000-0000-0000DD020000}"/>
    <cellStyle name="Moeda 3 4 2 2 3" xfId="894" xr:uid="{00000000-0005-0000-0000-0000DE020000}"/>
    <cellStyle name="Moeda 3 4 2 2 4" xfId="1510" xr:uid="{00000000-0005-0000-0000-0000DF020000}"/>
    <cellStyle name="Moeda 3 4 2 2 5" xfId="2126" xr:uid="{00000000-0005-0000-0000-0000E0020000}"/>
    <cellStyle name="Moeda 3 4 2 3" xfId="462" xr:uid="{00000000-0005-0000-0000-0000E1020000}"/>
    <cellStyle name="Moeda 3 4 2 3 2" xfId="1078" xr:uid="{00000000-0005-0000-0000-0000E2020000}"/>
    <cellStyle name="Moeda 3 4 2 3 3" xfId="1694" xr:uid="{00000000-0005-0000-0000-0000E3020000}"/>
    <cellStyle name="Moeda 3 4 2 3 4" xfId="2310" xr:uid="{00000000-0005-0000-0000-0000E4020000}"/>
    <cellStyle name="Moeda 3 4 2 4" xfId="770" xr:uid="{00000000-0005-0000-0000-0000E5020000}"/>
    <cellStyle name="Moeda 3 4 2 5" xfId="1386" xr:uid="{00000000-0005-0000-0000-0000E6020000}"/>
    <cellStyle name="Moeda 3 4 2 6" xfId="2002" xr:uid="{00000000-0005-0000-0000-0000E7020000}"/>
    <cellStyle name="Moeda 3 4 3" xfId="212" xr:uid="{00000000-0005-0000-0000-0000E8020000}"/>
    <cellStyle name="Moeda 3 4 3 2" xfId="524" xr:uid="{00000000-0005-0000-0000-0000E9020000}"/>
    <cellStyle name="Moeda 3 4 3 2 2" xfId="1140" xr:uid="{00000000-0005-0000-0000-0000EA020000}"/>
    <cellStyle name="Moeda 3 4 3 2 3" xfId="1756" xr:uid="{00000000-0005-0000-0000-0000EB020000}"/>
    <cellStyle name="Moeda 3 4 3 2 4" xfId="2372" xr:uid="{00000000-0005-0000-0000-0000EC020000}"/>
    <cellStyle name="Moeda 3 4 3 3" xfId="832" xr:uid="{00000000-0005-0000-0000-0000ED020000}"/>
    <cellStyle name="Moeda 3 4 3 4" xfId="1448" xr:uid="{00000000-0005-0000-0000-0000EE020000}"/>
    <cellStyle name="Moeda 3 4 3 5" xfId="2064" xr:uid="{00000000-0005-0000-0000-0000EF020000}"/>
    <cellStyle name="Moeda 3 4 4" xfId="336" xr:uid="{00000000-0005-0000-0000-0000F0020000}"/>
    <cellStyle name="Moeda 3 4 4 2" xfId="648" xr:uid="{00000000-0005-0000-0000-0000F1020000}"/>
    <cellStyle name="Moeda 3 4 4 2 2" xfId="1264" xr:uid="{00000000-0005-0000-0000-0000F2020000}"/>
    <cellStyle name="Moeda 3 4 4 2 3" xfId="1880" xr:uid="{00000000-0005-0000-0000-0000F3020000}"/>
    <cellStyle name="Moeda 3 4 4 2 4" xfId="2496" xr:uid="{00000000-0005-0000-0000-0000F4020000}"/>
    <cellStyle name="Moeda 3 4 4 3" xfId="956" xr:uid="{00000000-0005-0000-0000-0000F5020000}"/>
    <cellStyle name="Moeda 3 4 4 4" xfId="1572" xr:uid="{00000000-0005-0000-0000-0000F6020000}"/>
    <cellStyle name="Moeda 3 4 4 5" xfId="2188" xr:uid="{00000000-0005-0000-0000-0000F7020000}"/>
    <cellStyle name="Moeda 3 4 5" xfId="400" xr:uid="{00000000-0005-0000-0000-0000F8020000}"/>
    <cellStyle name="Moeda 3 4 5 2" xfId="1016" xr:uid="{00000000-0005-0000-0000-0000F9020000}"/>
    <cellStyle name="Moeda 3 4 5 3" xfId="1632" xr:uid="{00000000-0005-0000-0000-0000FA020000}"/>
    <cellStyle name="Moeda 3 4 5 4" xfId="2248" xr:uid="{00000000-0005-0000-0000-0000FB020000}"/>
    <cellStyle name="Moeda 3 4 6" xfId="708" xr:uid="{00000000-0005-0000-0000-0000FC020000}"/>
    <cellStyle name="Moeda 3 4 7" xfId="1324" xr:uid="{00000000-0005-0000-0000-0000FD020000}"/>
    <cellStyle name="Moeda 3 4 8" xfId="1940" xr:uid="{00000000-0005-0000-0000-0000FE020000}"/>
    <cellStyle name="Moeda 3 5" xfId="85" xr:uid="{00000000-0005-0000-0000-0000FF020000}"/>
    <cellStyle name="Moeda 3 5 2" xfId="244" xr:uid="{00000000-0005-0000-0000-000000030000}"/>
    <cellStyle name="Moeda 3 5 2 2" xfId="556" xr:uid="{00000000-0005-0000-0000-000001030000}"/>
    <cellStyle name="Moeda 3 5 2 2 2" xfId="1172" xr:uid="{00000000-0005-0000-0000-000002030000}"/>
    <cellStyle name="Moeda 3 5 2 2 3" xfId="1788" xr:uid="{00000000-0005-0000-0000-000003030000}"/>
    <cellStyle name="Moeda 3 5 2 2 4" xfId="2404" xr:uid="{00000000-0005-0000-0000-000004030000}"/>
    <cellStyle name="Moeda 3 5 2 3" xfId="864" xr:uid="{00000000-0005-0000-0000-000005030000}"/>
    <cellStyle name="Moeda 3 5 2 4" xfId="1480" xr:uid="{00000000-0005-0000-0000-000006030000}"/>
    <cellStyle name="Moeda 3 5 2 5" xfId="2096" xr:uid="{00000000-0005-0000-0000-000007030000}"/>
    <cellStyle name="Moeda 3 5 3" xfId="432" xr:uid="{00000000-0005-0000-0000-000008030000}"/>
    <cellStyle name="Moeda 3 5 3 2" xfId="1048" xr:uid="{00000000-0005-0000-0000-000009030000}"/>
    <cellStyle name="Moeda 3 5 3 3" xfId="1664" xr:uid="{00000000-0005-0000-0000-00000A030000}"/>
    <cellStyle name="Moeda 3 5 3 4" xfId="2280" xr:uid="{00000000-0005-0000-0000-00000B030000}"/>
    <cellStyle name="Moeda 3 5 4" xfId="740" xr:uid="{00000000-0005-0000-0000-00000C030000}"/>
    <cellStyle name="Moeda 3 5 5" xfId="1356" xr:uid="{00000000-0005-0000-0000-00000D030000}"/>
    <cellStyle name="Moeda 3 5 6" xfId="1972" xr:uid="{00000000-0005-0000-0000-00000E030000}"/>
    <cellStyle name="Moeda 3 6" xfId="182" xr:uid="{00000000-0005-0000-0000-00000F030000}"/>
    <cellStyle name="Moeda 3 6 2" xfId="494" xr:uid="{00000000-0005-0000-0000-000010030000}"/>
    <cellStyle name="Moeda 3 6 2 2" xfId="1110" xr:uid="{00000000-0005-0000-0000-000011030000}"/>
    <cellStyle name="Moeda 3 6 2 3" xfId="1726" xr:uid="{00000000-0005-0000-0000-000012030000}"/>
    <cellStyle name="Moeda 3 6 2 4" xfId="2342" xr:uid="{00000000-0005-0000-0000-000013030000}"/>
    <cellStyle name="Moeda 3 6 3" xfId="802" xr:uid="{00000000-0005-0000-0000-000014030000}"/>
    <cellStyle name="Moeda 3 6 4" xfId="1418" xr:uid="{00000000-0005-0000-0000-000015030000}"/>
    <cellStyle name="Moeda 3 6 5" xfId="2034" xr:uid="{00000000-0005-0000-0000-000016030000}"/>
    <cellStyle name="Moeda 3 7" xfId="306" xr:uid="{00000000-0005-0000-0000-000017030000}"/>
    <cellStyle name="Moeda 3 7 2" xfId="618" xr:uid="{00000000-0005-0000-0000-000018030000}"/>
    <cellStyle name="Moeda 3 7 2 2" xfId="1234" xr:uid="{00000000-0005-0000-0000-000019030000}"/>
    <cellStyle name="Moeda 3 7 2 3" xfId="1850" xr:uid="{00000000-0005-0000-0000-00001A030000}"/>
    <cellStyle name="Moeda 3 7 2 4" xfId="2466" xr:uid="{00000000-0005-0000-0000-00001B030000}"/>
    <cellStyle name="Moeda 3 7 3" xfId="926" xr:uid="{00000000-0005-0000-0000-00001C030000}"/>
    <cellStyle name="Moeda 3 7 4" xfId="1542" xr:uid="{00000000-0005-0000-0000-00001D030000}"/>
    <cellStyle name="Moeda 3 7 5" xfId="2158" xr:uid="{00000000-0005-0000-0000-00001E030000}"/>
    <cellStyle name="Moeda 3 8" xfId="370" xr:uid="{00000000-0005-0000-0000-00001F030000}"/>
    <cellStyle name="Moeda 3 8 2" xfId="986" xr:uid="{00000000-0005-0000-0000-000020030000}"/>
    <cellStyle name="Moeda 3 8 3" xfId="1602" xr:uid="{00000000-0005-0000-0000-000021030000}"/>
    <cellStyle name="Moeda 3 8 4" xfId="2218" xr:uid="{00000000-0005-0000-0000-000022030000}"/>
    <cellStyle name="Moeda 3 9" xfId="678" xr:uid="{00000000-0005-0000-0000-000023030000}"/>
    <cellStyle name="Moeda 4" xfId="14" xr:uid="{00000000-0005-0000-0000-000024030000}"/>
    <cellStyle name="Moeda 4 2" xfId="55" xr:uid="{00000000-0005-0000-0000-000025030000}"/>
    <cellStyle name="Moeda 4 2 2" xfId="119" xr:uid="{00000000-0005-0000-0000-000026030000}"/>
    <cellStyle name="Moeda 4 2 2 2" xfId="278" xr:uid="{00000000-0005-0000-0000-000027030000}"/>
    <cellStyle name="Moeda 4 2 2 2 2" xfId="590" xr:uid="{00000000-0005-0000-0000-000028030000}"/>
    <cellStyle name="Moeda 4 2 2 2 2 2" xfId="1206" xr:uid="{00000000-0005-0000-0000-000029030000}"/>
    <cellStyle name="Moeda 4 2 2 2 2 3" xfId="1822" xr:uid="{00000000-0005-0000-0000-00002A030000}"/>
    <cellStyle name="Moeda 4 2 2 2 2 4" xfId="2438" xr:uid="{00000000-0005-0000-0000-00002B030000}"/>
    <cellStyle name="Moeda 4 2 2 2 3" xfId="898" xr:uid="{00000000-0005-0000-0000-00002C030000}"/>
    <cellStyle name="Moeda 4 2 2 2 4" xfId="1514" xr:uid="{00000000-0005-0000-0000-00002D030000}"/>
    <cellStyle name="Moeda 4 2 2 2 5" xfId="2130" xr:uid="{00000000-0005-0000-0000-00002E030000}"/>
    <cellStyle name="Moeda 4 2 2 3" xfId="466" xr:uid="{00000000-0005-0000-0000-00002F030000}"/>
    <cellStyle name="Moeda 4 2 2 3 2" xfId="1082" xr:uid="{00000000-0005-0000-0000-000030030000}"/>
    <cellStyle name="Moeda 4 2 2 3 3" xfId="1698" xr:uid="{00000000-0005-0000-0000-000031030000}"/>
    <cellStyle name="Moeda 4 2 2 3 4" xfId="2314" xr:uid="{00000000-0005-0000-0000-000032030000}"/>
    <cellStyle name="Moeda 4 2 2 4" xfId="774" xr:uid="{00000000-0005-0000-0000-000033030000}"/>
    <cellStyle name="Moeda 4 2 2 5" xfId="1390" xr:uid="{00000000-0005-0000-0000-000034030000}"/>
    <cellStyle name="Moeda 4 2 2 6" xfId="2006" xr:uid="{00000000-0005-0000-0000-000035030000}"/>
    <cellStyle name="Moeda 4 2 3" xfId="216" xr:uid="{00000000-0005-0000-0000-000036030000}"/>
    <cellStyle name="Moeda 4 2 3 2" xfId="528" xr:uid="{00000000-0005-0000-0000-000037030000}"/>
    <cellStyle name="Moeda 4 2 3 2 2" xfId="1144" xr:uid="{00000000-0005-0000-0000-000038030000}"/>
    <cellStyle name="Moeda 4 2 3 2 3" xfId="1760" xr:uid="{00000000-0005-0000-0000-000039030000}"/>
    <cellStyle name="Moeda 4 2 3 2 4" xfId="2376" xr:uid="{00000000-0005-0000-0000-00003A030000}"/>
    <cellStyle name="Moeda 4 2 3 3" xfId="836" xr:uid="{00000000-0005-0000-0000-00003B030000}"/>
    <cellStyle name="Moeda 4 2 3 4" xfId="1452" xr:uid="{00000000-0005-0000-0000-00003C030000}"/>
    <cellStyle name="Moeda 4 2 3 5" xfId="2068" xr:uid="{00000000-0005-0000-0000-00003D030000}"/>
    <cellStyle name="Moeda 4 2 4" xfId="340" xr:uid="{00000000-0005-0000-0000-00003E030000}"/>
    <cellStyle name="Moeda 4 2 4 2" xfId="652" xr:uid="{00000000-0005-0000-0000-00003F030000}"/>
    <cellStyle name="Moeda 4 2 4 2 2" xfId="1268" xr:uid="{00000000-0005-0000-0000-000040030000}"/>
    <cellStyle name="Moeda 4 2 4 2 3" xfId="1884" xr:uid="{00000000-0005-0000-0000-000041030000}"/>
    <cellStyle name="Moeda 4 2 4 2 4" xfId="2500" xr:uid="{00000000-0005-0000-0000-000042030000}"/>
    <cellStyle name="Moeda 4 2 4 3" xfId="960" xr:uid="{00000000-0005-0000-0000-000043030000}"/>
    <cellStyle name="Moeda 4 2 4 4" xfId="1576" xr:uid="{00000000-0005-0000-0000-000044030000}"/>
    <cellStyle name="Moeda 4 2 4 5" xfId="2192" xr:uid="{00000000-0005-0000-0000-000045030000}"/>
    <cellStyle name="Moeda 4 2 5" xfId="404" xr:uid="{00000000-0005-0000-0000-000046030000}"/>
    <cellStyle name="Moeda 4 2 5 2" xfId="1020" xr:uid="{00000000-0005-0000-0000-000047030000}"/>
    <cellStyle name="Moeda 4 2 5 3" xfId="1636" xr:uid="{00000000-0005-0000-0000-000048030000}"/>
    <cellStyle name="Moeda 4 2 5 4" xfId="2252" xr:uid="{00000000-0005-0000-0000-000049030000}"/>
    <cellStyle name="Moeda 4 2 6" xfId="712" xr:uid="{00000000-0005-0000-0000-00004A030000}"/>
    <cellStyle name="Moeda 4 2 7" xfId="1328" xr:uid="{00000000-0005-0000-0000-00004B030000}"/>
    <cellStyle name="Moeda 4 2 8" xfId="1944" xr:uid="{00000000-0005-0000-0000-00004C030000}"/>
    <cellStyle name="Moeda 4 3" xfId="89" xr:uid="{00000000-0005-0000-0000-00004D030000}"/>
    <cellStyle name="Moeda 4 3 2" xfId="248" xr:uid="{00000000-0005-0000-0000-00004E030000}"/>
    <cellStyle name="Moeda 4 3 2 2" xfId="560" xr:uid="{00000000-0005-0000-0000-00004F030000}"/>
    <cellStyle name="Moeda 4 3 2 2 2" xfId="1176" xr:uid="{00000000-0005-0000-0000-000050030000}"/>
    <cellStyle name="Moeda 4 3 2 2 3" xfId="1792" xr:uid="{00000000-0005-0000-0000-000051030000}"/>
    <cellStyle name="Moeda 4 3 2 2 4" xfId="2408" xr:uid="{00000000-0005-0000-0000-000052030000}"/>
    <cellStyle name="Moeda 4 3 2 3" xfId="868" xr:uid="{00000000-0005-0000-0000-000053030000}"/>
    <cellStyle name="Moeda 4 3 2 4" xfId="1484" xr:uid="{00000000-0005-0000-0000-000054030000}"/>
    <cellStyle name="Moeda 4 3 2 5" xfId="2100" xr:uid="{00000000-0005-0000-0000-000055030000}"/>
    <cellStyle name="Moeda 4 3 3" xfId="436" xr:uid="{00000000-0005-0000-0000-000056030000}"/>
    <cellStyle name="Moeda 4 3 3 2" xfId="1052" xr:uid="{00000000-0005-0000-0000-000057030000}"/>
    <cellStyle name="Moeda 4 3 3 3" xfId="1668" xr:uid="{00000000-0005-0000-0000-000058030000}"/>
    <cellStyle name="Moeda 4 3 3 4" xfId="2284" xr:uid="{00000000-0005-0000-0000-000059030000}"/>
    <cellStyle name="Moeda 4 3 4" xfId="744" xr:uid="{00000000-0005-0000-0000-00005A030000}"/>
    <cellStyle name="Moeda 4 3 5" xfId="1360" xr:uid="{00000000-0005-0000-0000-00005B030000}"/>
    <cellStyle name="Moeda 4 3 6" xfId="1976" xr:uid="{00000000-0005-0000-0000-00005C030000}"/>
    <cellStyle name="Moeda 4 4" xfId="186" xr:uid="{00000000-0005-0000-0000-00005D030000}"/>
    <cellStyle name="Moeda 4 4 2" xfId="498" xr:uid="{00000000-0005-0000-0000-00005E030000}"/>
    <cellStyle name="Moeda 4 4 2 2" xfId="1114" xr:uid="{00000000-0005-0000-0000-00005F030000}"/>
    <cellStyle name="Moeda 4 4 2 3" xfId="1730" xr:uid="{00000000-0005-0000-0000-000060030000}"/>
    <cellStyle name="Moeda 4 4 2 4" xfId="2346" xr:uid="{00000000-0005-0000-0000-000061030000}"/>
    <cellStyle name="Moeda 4 4 3" xfId="806" xr:uid="{00000000-0005-0000-0000-000062030000}"/>
    <cellStyle name="Moeda 4 4 4" xfId="1422" xr:uid="{00000000-0005-0000-0000-000063030000}"/>
    <cellStyle name="Moeda 4 4 5" xfId="2038" xr:uid="{00000000-0005-0000-0000-000064030000}"/>
    <cellStyle name="Moeda 4 5" xfId="310" xr:uid="{00000000-0005-0000-0000-000065030000}"/>
    <cellStyle name="Moeda 4 5 2" xfId="622" xr:uid="{00000000-0005-0000-0000-000066030000}"/>
    <cellStyle name="Moeda 4 5 2 2" xfId="1238" xr:uid="{00000000-0005-0000-0000-000067030000}"/>
    <cellStyle name="Moeda 4 5 2 3" xfId="1854" xr:uid="{00000000-0005-0000-0000-000068030000}"/>
    <cellStyle name="Moeda 4 5 2 4" xfId="2470" xr:uid="{00000000-0005-0000-0000-000069030000}"/>
    <cellStyle name="Moeda 4 5 3" xfId="930" xr:uid="{00000000-0005-0000-0000-00006A030000}"/>
    <cellStyle name="Moeda 4 5 4" xfId="1546" xr:uid="{00000000-0005-0000-0000-00006B030000}"/>
    <cellStyle name="Moeda 4 5 5" xfId="2162" xr:uid="{00000000-0005-0000-0000-00006C030000}"/>
    <cellStyle name="Moeda 4 6" xfId="374" xr:uid="{00000000-0005-0000-0000-00006D030000}"/>
    <cellStyle name="Moeda 4 6 2" xfId="990" xr:uid="{00000000-0005-0000-0000-00006E030000}"/>
    <cellStyle name="Moeda 4 6 3" xfId="1606" xr:uid="{00000000-0005-0000-0000-00006F030000}"/>
    <cellStyle name="Moeda 4 6 4" xfId="2222" xr:uid="{00000000-0005-0000-0000-000070030000}"/>
    <cellStyle name="Moeda 4 7" xfId="682" xr:uid="{00000000-0005-0000-0000-000071030000}"/>
    <cellStyle name="Moeda 4 8" xfId="1298" xr:uid="{00000000-0005-0000-0000-000072030000}"/>
    <cellStyle name="Moeda 4 9" xfId="1914" xr:uid="{00000000-0005-0000-0000-000073030000}"/>
    <cellStyle name="Moeda 5" xfId="24" xr:uid="{00000000-0005-0000-0000-000074030000}"/>
    <cellStyle name="Moeda 5 2" xfId="58" xr:uid="{00000000-0005-0000-0000-000075030000}"/>
    <cellStyle name="Moeda 5 2 2" xfId="122" xr:uid="{00000000-0005-0000-0000-000076030000}"/>
    <cellStyle name="Moeda 5 2 2 2" xfId="281" xr:uid="{00000000-0005-0000-0000-000077030000}"/>
    <cellStyle name="Moeda 5 2 2 2 2" xfId="593" xr:uid="{00000000-0005-0000-0000-000078030000}"/>
    <cellStyle name="Moeda 5 2 2 2 2 2" xfId="1209" xr:uid="{00000000-0005-0000-0000-000079030000}"/>
    <cellStyle name="Moeda 5 2 2 2 2 3" xfId="1825" xr:uid="{00000000-0005-0000-0000-00007A030000}"/>
    <cellStyle name="Moeda 5 2 2 2 2 4" xfId="2441" xr:uid="{00000000-0005-0000-0000-00007B030000}"/>
    <cellStyle name="Moeda 5 2 2 2 3" xfId="901" xr:uid="{00000000-0005-0000-0000-00007C030000}"/>
    <cellStyle name="Moeda 5 2 2 2 4" xfId="1517" xr:uid="{00000000-0005-0000-0000-00007D030000}"/>
    <cellStyle name="Moeda 5 2 2 2 5" xfId="2133" xr:uid="{00000000-0005-0000-0000-00007E030000}"/>
    <cellStyle name="Moeda 5 2 2 3" xfId="469" xr:uid="{00000000-0005-0000-0000-00007F030000}"/>
    <cellStyle name="Moeda 5 2 2 3 2" xfId="1085" xr:uid="{00000000-0005-0000-0000-000080030000}"/>
    <cellStyle name="Moeda 5 2 2 3 3" xfId="1701" xr:uid="{00000000-0005-0000-0000-000081030000}"/>
    <cellStyle name="Moeda 5 2 2 3 4" xfId="2317" xr:uid="{00000000-0005-0000-0000-000082030000}"/>
    <cellStyle name="Moeda 5 2 2 4" xfId="777" xr:uid="{00000000-0005-0000-0000-000083030000}"/>
    <cellStyle name="Moeda 5 2 2 5" xfId="1393" xr:uid="{00000000-0005-0000-0000-000084030000}"/>
    <cellStyle name="Moeda 5 2 2 6" xfId="2009" xr:uid="{00000000-0005-0000-0000-000085030000}"/>
    <cellStyle name="Moeda 5 2 3" xfId="219" xr:uid="{00000000-0005-0000-0000-000086030000}"/>
    <cellStyle name="Moeda 5 2 3 2" xfId="531" xr:uid="{00000000-0005-0000-0000-000087030000}"/>
    <cellStyle name="Moeda 5 2 3 2 2" xfId="1147" xr:uid="{00000000-0005-0000-0000-000088030000}"/>
    <cellStyle name="Moeda 5 2 3 2 3" xfId="1763" xr:uid="{00000000-0005-0000-0000-000089030000}"/>
    <cellStyle name="Moeda 5 2 3 2 4" xfId="2379" xr:uid="{00000000-0005-0000-0000-00008A030000}"/>
    <cellStyle name="Moeda 5 2 3 3" xfId="839" xr:uid="{00000000-0005-0000-0000-00008B030000}"/>
    <cellStyle name="Moeda 5 2 3 4" xfId="1455" xr:uid="{00000000-0005-0000-0000-00008C030000}"/>
    <cellStyle name="Moeda 5 2 3 5" xfId="2071" xr:uid="{00000000-0005-0000-0000-00008D030000}"/>
    <cellStyle name="Moeda 5 2 4" xfId="343" xr:uid="{00000000-0005-0000-0000-00008E030000}"/>
    <cellStyle name="Moeda 5 2 4 2" xfId="655" xr:uid="{00000000-0005-0000-0000-00008F030000}"/>
    <cellStyle name="Moeda 5 2 4 2 2" xfId="1271" xr:uid="{00000000-0005-0000-0000-000090030000}"/>
    <cellStyle name="Moeda 5 2 4 2 3" xfId="1887" xr:uid="{00000000-0005-0000-0000-000091030000}"/>
    <cellStyle name="Moeda 5 2 4 2 4" xfId="2503" xr:uid="{00000000-0005-0000-0000-000092030000}"/>
    <cellStyle name="Moeda 5 2 4 3" xfId="963" xr:uid="{00000000-0005-0000-0000-000093030000}"/>
    <cellStyle name="Moeda 5 2 4 4" xfId="1579" xr:uid="{00000000-0005-0000-0000-000094030000}"/>
    <cellStyle name="Moeda 5 2 4 5" xfId="2195" xr:uid="{00000000-0005-0000-0000-000095030000}"/>
    <cellStyle name="Moeda 5 2 5" xfId="407" xr:uid="{00000000-0005-0000-0000-000096030000}"/>
    <cellStyle name="Moeda 5 2 5 2" xfId="1023" xr:uid="{00000000-0005-0000-0000-000097030000}"/>
    <cellStyle name="Moeda 5 2 5 3" xfId="1639" xr:uid="{00000000-0005-0000-0000-000098030000}"/>
    <cellStyle name="Moeda 5 2 5 4" xfId="2255" xr:uid="{00000000-0005-0000-0000-000099030000}"/>
    <cellStyle name="Moeda 5 2 6" xfId="715" xr:uid="{00000000-0005-0000-0000-00009A030000}"/>
    <cellStyle name="Moeda 5 2 7" xfId="1331" xr:uid="{00000000-0005-0000-0000-00009B030000}"/>
    <cellStyle name="Moeda 5 2 8" xfId="1947" xr:uid="{00000000-0005-0000-0000-00009C030000}"/>
    <cellStyle name="Moeda 5 3" xfId="92" xr:uid="{00000000-0005-0000-0000-00009D030000}"/>
    <cellStyle name="Moeda 5 3 2" xfId="251" xr:uid="{00000000-0005-0000-0000-00009E030000}"/>
    <cellStyle name="Moeda 5 3 2 2" xfId="563" xr:uid="{00000000-0005-0000-0000-00009F030000}"/>
    <cellStyle name="Moeda 5 3 2 2 2" xfId="1179" xr:uid="{00000000-0005-0000-0000-0000A0030000}"/>
    <cellStyle name="Moeda 5 3 2 2 3" xfId="1795" xr:uid="{00000000-0005-0000-0000-0000A1030000}"/>
    <cellStyle name="Moeda 5 3 2 2 4" xfId="2411" xr:uid="{00000000-0005-0000-0000-0000A2030000}"/>
    <cellStyle name="Moeda 5 3 2 3" xfId="871" xr:uid="{00000000-0005-0000-0000-0000A3030000}"/>
    <cellStyle name="Moeda 5 3 2 4" xfId="1487" xr:uid="{00000000-0005-0000-0000-0000A4030000}"/>
    <cellStyle name="Moeda 5 3 2 5" xfId="2103" xr:uid="{00000000-0005-0000-0000-0000A5030000}"/>
    <cellStyle name="Moeda 5 3 3" xfId="439" xr:uid="{00000000-0005-0000-0000-0000A6030000}"/>
    <cellStyle name="Moeda 5 3 3 2" xfId="1055" xr:uid="{00000000-0005-0000-0000-0000A7030000}"/>
    <cellStyle name="Moeda 5 3 3 3" xfId="1671" xr:uid="{00000000-0005-0000-0000-0000A8030000}"/>
    <cellStyle name="Moeda 5 3 3 4" xfId="2287" xr:uid="{00000000-0005-0000-0000-0000A9030000}"/>
    <cellStyle name="Moeda 5 3 4" xfId="747" xr:uid="{00000000-0005-0000-0000-0000AA030000}"/>
    <cellStyle name="Moeda 5 3 5" xfId="1363" xr:uid="{00000000-0005-0000-0000-0000AB030000}"/>
    <cellStyle name="Moeda 5 3 6" xfId="1979" xr:uid="{00000000-0005-0000-0000-0000AC030000}"/>
    <cellStyle name="Moeda 5 4" xfId="189" xr:uid="{00000000-0005-0000-0000-0000AD030000}"/>
    <cellStyle name="Moeda 5 4 2" xfId="501" xr:uid="{00000000-0005-0000-0000-0000AE030000}"/>
    <cellStyle name="Moeda 5 4 2 2" xfId="1117" xr:uid="{00000000-0005-0000-0000-0000AF030000}"/>
    <cellStyle name="Moeda 5 4 2 3" xfId="1733" xr:uid="{00000000-0005-0000-0000-0000B0030000}"/>
    <cellStyle name="Moeda 5 4 2 4" xfId="2349" xr:uid="{00000000-0005-0000-0000-0000B1030000}"/>
    <cellStyle name="Moeda 5 4 3" xfId="809" xr:uid="{00000000-0005-0000-0000-0000B2030000}"/>
    <cellStyle name="Moeda 5 4 4" xfId="1425" xr:uid="{00000000-0005-0000-0000-0000B3030000}"/>
    <cellStyle name="Moeda 5 4 5" xfId="2041" xr:uid="{00000000-0005-0000-0000-0000B4030000}"/>
    <cellStyle name="Moeda 5 5" xfId="313" xr:uid="{00000000-0005-0000-0000-0000B5030000}"/>
    <cellStyle name="Moeda 5 5 2" xfId="625" xr:uid="{00000000-0005-0000-0000-0000B6030000}"/>
    <cellStyle name="Moeda 5 5 2 2" xfId="1241" xr:uid="{00000000-0005-0000-0000-0000B7030000}"/>
    <cellStyle name="Moeda 5 5 2 3" xfId="1857" xr:uid="{00000000-0005-0000-0000-0000B8030000}"/>
    <cellStyle name="Moeda 5 5 2 4" xfId="2473" xr:uid="{00000000-0005-0000-0000-0000B9030000}"/>
    <cellStyle name="Moeda 5 5 3" xfId="933" xr:uid="{00000000-0005-0000-0000-0000BA030000}"/>
    <cellStyle name="Moeda 5 5 4" xfId="1549" xr:uid="{00000000-0005-0000-0000-0000BB030000}"/>
    <cellStyle name="Moeda 5 5 5" xfId="2165" xr:uid="{00000000-0005-0000-0000-0000BC030000}"/>
    <cellStyle name="Moeda 5 6" xfId="377" xr:uid="{00000000-0005-0000-0000-0000BD030000}"/>
    <cellStyle name="Moeda 5 6 2" xfId="993" xr:uid="{00000000-0005-0000-0000-0000BE030000}"/>
    <cellStyle name="Moeda 5 6 3" xfId="1609" xr:uid="{00000000-0005-0000-0000-0000BF030000}"/>
    <cellStyle name="Moeda 5 6 4" xfId="2225" xr:uid="{00000000-0005-0000-0000-0000C0030000}"/>
    <cellStyle name="Moeda 5 7" xfId="685" xr:uid="{00000000-0005-0000-0000-0000C1030000}"/>
    <cellStyle name="Moeda 5 8" xfId="1301" xr:uid="{00000000-0005-0000-0000-0000C2030000}"/>
    <cellStyle name="Moeda 5 9" xfId="1917" xr:uid="{00000000-0005-0000-0000-0000C3030000}"/>
    <cellStyle name="Moeda 6" xfId="32" xr:uid="{00000000-0005-0000-0000-0000C4030000}"/>
    <cellStyle name="Moeda 6 2" xfId="66" xr:uid="{00000000-0005-0000-0000-0000C5030000}"/>
    <cellStyle name="Moeda 6 2 2" xfId="130" xr:uid="{00000000-0005-0000-0000-0000C6030000}"/>
    <cellStyle name="Moeda 6 2 2 2" xfId="289" xr:uid="{00000000-0005-0000-0000-0000C7030000}"/>
    <cellStyle name="Moeda 6 2 2 2 2" xfId="601" xr:uid="{00000000-0005-0000-0000-0000C8030000}"/>
    <cellStyle name="Moeda 6 2 2 2 2 2" xfId="1217" xr:uid="{00000000-0005-0000-0000-0000C9030000}"/>
    <cellStyle name="Moeda 6 2 2 2 2 3" xfId="1833" xr:uid="{00000000-0005-0000-0000-0000CA030000}"/>
    <cellStyle name="Moeda 6 2 2 2 2 4" xfId="2449" xr:uid="{00000000-0005-0000-0000-0000CB030000}"/>
    <cellStyle name="Moeda 6 2 2 2 3" xfId="909" xr:uid="{00000000-0005-0000-0000-0000CC030000}"/>
    <cellStyle name="Moeda 6 2 2 2 4" xfId="1525" xr:uid="{00000000-0005-0000-0000-0000CD030000}"/>
    <cellStyle name="Moeda 6 2 2 2 5" xfId="2141" xr:uid="{00000000-0005-0000-0000-0000CE030000}"/>
    <cellStyle name="Moeda 6 2 2 3" xfId="477" xr:uid="{00000000-0005-0000-0000-0000CF030000}"/>
    <cellStyle name="Moeda 6 2 2 3 2" xfId="1093" xr:uid="{00000000-0005-0000-0000-0000D0030000}"/>
    <cellStyle name="Moeda 6 2 2 3 3" xfId="1709" xr:uid="{00000000-0005-0000-0000-0000D1030000}"/>
    <cellStyle name="Moeda 6 2 2 3 4" xfId="2325" xr:uid="{00000000-0005-0000-0000-0000D2030000}"/>
    <cellStyle name="Moeda 6 2 2 4" xfId="785" xr:uid="{00000000-0005-0000-0000-0000D3030000}"/>
    <cellStyle name="Moeda 6 2 2 5" xfId="1401" xr:uid="{00000000-0005-0000-0000-0000D4030000}"/>
    <cellStyle name="Moeda 6 2 2 6" xfId="2017" xr:uid="{00000000-0005-0000-0000-0000D5030000}"/>
    <cellStyle name="Moeda 6 2 3" xfId="227" xr:uid="{00000000-0005-0000-0000-0000D6030000}"/>
    <cellStyle name="Moeda 6 2 3 2" xfId="539" xr:uid="{00000000-0005-0000-0000-0000D7030000}"/>
    <cellStyle name="Moeda 6 2 3 2 2" xfId="1155" xr:uid="{00000000-0005-0000-0000-0000D8030000}"/>
    <cellStyle name="Moeda 6 2 3 2 3" xfId="1771" xr:uid="{00000000-0005-0000-0000-0000D9030000}"/>
    <cellStyle name="Moeda 6 2 3 2 4" xfId="2387" xr:uid="{00000000-0005-0000-0000-0000DA030000}"/>
    <cellStyle name="Moeda 6 2 3 3" xfId="847" xr:uid="{00000000-0005-0000-0000-0000DB030000}"/>
    <cellStyle name="Moeda 6 2 3 4" xfId="1463" xr:uid="{00000000-0005-0000-0000-0000DC030000}"/>
    <cellStyle name="Moeda 6 2 3 5" xfId="2079" xr:uid="{00000000-0005-0000-0000-0000DD030000}"/>
    <cellStyle name="Moeda 6 2 4" xfId="351" xr:uid="{00000000-0005-0000-0000-0000DE030000}"/>
    <cellStyle name="Moeda 6 2 4 2" xfId="663" xr:uid="{00000000-0005-0000-0000-0000DF030000}"/>
    <cellStyle name="Moeda 6 2 4 2 2" xfId="1279" xr:uid="{00000000-0005-0000-0000-0000E0030000}"/>
    <cellStyle name="Moeda 6 2 4 2 3" xfId="1895" xr:uid="{00000000-0005-0000-0000-0000E1030000}"/>
    <cellStyle name="Moeda 6 2 4 2 4" xfId="2511" xr:uid="{00000000-0005-0000-0000-0000E2030000}"/>
    <cellStyle name="Moeda 6 2 4 3" xfId="971" xr:uid="{00000000-0005-0000-0000-0000E3030000}"/>
    <cellStyle name="Moeda 6 2 4 4" xfId="1587" xr:uid="{00000000-0005-0000-0000-0000E4030000}"/>
    <cellStyle name="Moeda 6 2 4 5" xfId="2203" xr:uid="{00000000-0005-0000-0000-0000E5030000}"/>
    <cellStyle name="Moeda 6 2 5" xfId="415" xr:uid="{00000000-0005-0000-0000-0000E6030000}"/>
    <cellStyle name="Moeda 6 2 5 2" xfId="1031" xr:uid="{00000000-0005-0000-0000-0000E7030000}"/>
    <cellStyle name="Moeda 6 2 5 3" xfId="1647" xr:uid="{00000000-0005-0000-0000-0000E8030000}"/>
    <cellStyle name="Moeda 6 2 5 4" xfId="2263" xr:uid="{00000000-0005-0000-0000-0000E9030000}"/>
    <cellStyle name="Moeda 6 2 6" xfId="723" xr:uid="{00000000-0005-0000-0000-0000EA030000}"/>
    <cellStyle name="Moeda 6 2 7" xfId="1339" xr:uid="{00000000-0005-0000-0000-0000EB030000}"/>
    <cellStyle name="Moeda 6 2 8" xfId="1955" xr:uid="{00000000-0005-0000-0000-0000EC030000}"/>
    <cellStyle name="Moeda 6 3" xfId="100" xr:uid="{00000000-0005-0000-0000-0000ED030000}"/>
    <cellStyle name="Moeda 6 3 2" xfId="259" xr:uid="{00000000-0005-0000-0000-0000EE030000}"/>
    <cellStyle name="Moeda 6 3 2 2" xfId="571" xr:uid="{00000000-0005-0000-0000-0000EF030000}"/>
    <cellStyle name="Moeda 6 3 2 2 2" xfId="1187" xr:uid="{00000000-0005-0000-0000-0000F0030000}"/>
    <cellStyle name="Moeda 6 3 2 2 3" xfId="1803" xr:uid="{00000000-0005-0000-0000-0000F1030000}"/>
    <cellStyle name="Moeda 6 3 2 2 4" xfId="2419" xr:uid="{00000000-0005-0000-0000-0000F2030000}"/>
    <cellStyle name="Moeda 6 3 2 3" xfId="879" xr:uid="{00000000-0005-0000-0000-0000F3030000}"/>
    <cellStyle name="Moeda 6 3 2 4" xfId="1495" xr:uid="{00000000-0005-0000-0000-0000F4030000}"/>
    <cellStyle name="Moeda 6 3 2 5" xfId="2111" xr:uid="{00000000-0005-0000-0000-0000F5030000}"/>
    <cellStyle name="Moeda 6 3 3" xfId="447" xr:uid="{00000000-0005-0000-0000-0000F6030000}"/>
    <cellStyle name="Moeda 6 3 3 2" xfId="1063" xr:uid="{00000000-0005-0000-0000-0000F7030000}"/>
    <cellStyle name="Moeda 6 3 3 3" xfId="1679" xr:uid="{00000000-0005-0000-0000-0000F8030000}"/>
    <cellStyle name="Moeda 6 3 3 4" xfId="2295" xr:uid="{00000000-0005-0000-0000-0000F9030000}"/>
    <cellStyle name="Moeda 6 3 4" xfId="755" xr:uid="{00000000-0005-0000-0000-0000FA030000}"/>
    <cellStyle name="Moeda 6 3 5" xfId="1371" xr:uid="{00000000-0005-0000-0000-0000FB030000}"/>
    <cellStyle name="Moeda 6 3 6" xfId="1987" xr:uid="{00000000-0005-0000-0000-0000FC030000}"/>
    <cellStyle name="Moeda 6 4" xfId="197" xr:uid="{00000000-0005-0000-0000-0000FD030000}"/>
    <cellStyle name="Moeda 6 4 2" xfId="509" xr:uid="{00000000-0005-0000-0000-0000FE030000}"/>
    <cellStyle name="Moeda 6 4 2 2" xfId="1125" xr:uid="{00000000-0005-0000-0000-0000FF030000}"/>
    <cellStyle name="Moeda 6 4 2 3" xfId="1741" xr:uid="{00000000-0005-0000-0000-000000040000}"/>
    <cellStyle name="Moeda 6 4 2 4" xfId="2357" xr:uid="{00000000-0005-0000-0000-000001040000}"/>
    <cellStyle name="Moeda 6 4 3" xfId="817" xr:uid="{00000000-0005-0000-0000-000002040000}"/>
    <cellStyle name="Moeda 6 4 4" xfId="1433" xr:uid="{00000000-0005-0000-0000-000003040000}"/>
    <cellStyle name="Moeda 6 4 5" xfId="2049" xr:uid="{00000000-0005-0000-0000-000004040000}"/>
    <cellStyle name="Moeda 6 5" xfId="321" xr:uid="{00000000-0005-0000-0000-000005040000}"/>
    <cellStyle name="Moeda 6 5 2" xfId="633" xr:uid="{00000000-0005-0000-0000-000006040000}"/>
    <cellStyle name="Moeda 6 5 2 2" xfId="1249" xr:uid="{00000000-0005-0000-0000-000007040000}"/>
    <cellStyle name="Moeda 6 5 2 3" xfId="1865" xr:uid="{00000000-0005-0000-0000-000008040000}"/>
    <cellStyle name="Moeda 6 5 2 4" xfId="2481" xr:uid="{00000000-0005-0000-0000-000009040000}"/>
    <cellStyle name="Moeda 6 5 3" xfId="941" xr:uid="{00000000-0005-0000-0000-00000A040000}"/>
    <cellStyle name="Moeda 6 5 4" xfId="1557" xr:uid="{00000000-0005-0000-0000-00000B040000}"/>
    <cellStyle name="Moeda 6 5 5" xfId="2173" xr:uid="{00000000-0005-0000-0000-00000C040000}"/>
    <cellStyle name="Moeda 6 6" xfId="385" xr:uid="{00000000-0005-0000-0000-00000D040000}"/>
    <cellStyle name="Moeda 6 6 2" xfId="1001" xr:uid="{00000000-0005-0000-0000-00000E040000}"/>
    <cellStyle name="Moeda 6 6 3" xfId="1617" xr:uid="{00000000-0005-0000-0000-00000F040000}"/>
    <cellStyle name="Moeda 6 6 4" xfId="2233" xr:uid="{00000000-0005-0000-0000-000010040000}"/>
    <cellStyle name="Moeda 6 7" xfId="693" xr:uid="{00000000-0005-0000-0000-000011040000}"/>
    <cellStyle name="Moeda 6 8" xfId="1309" xr:uid="{00000000-0005-0000-0000-000012040000}"/>
    <cellStyle name="Moeda 6 9" xfId="1925" xr:uid="{00000000-0005-0000-0000-000013040000}"/>
    <cellStyle name="Moeda 7" xfId="34" xr:uid="{00000000-0005-0000-0000-000014040000}"/>
    <cellStyle name="Moeda 7 2" xfId="68" xr:uid="{00000000-0005-0000-0000-000015040000}"/>
    <cellStyle name="Moeda 7 2 2" xfId="132" xr:uid="{00000000-0005-0000-0000-000016040000}"/>
    <cellStyle name="Moeda 7 2 2 2" xfId="291" xr:uid="{00000000-0005-0000-0000-000017040000}"/>
    <cellStyle name="Moeda 7 2 2 2 2" xfId="603" xr:uid="{00000000-0005-0000-0000-000018040000}"/>
    <cellStyle name="Moeda 7 2 2 2 2 2" xfId="1219" xr:uid="{00000000-0005-0000-0000-000019040000}"/>
    <cellStyle name="Moeda 7 2 2 2 2 3" xfId="1835" xr:uid="{00000000-0005-0000-0000-00001A040000}"/>
    <cellStyle name="Moeda 7 2 2 2 2 4" xfId="2451" xr:uid="{00000000-0005-0000-0000-00001B040000}"/>
    <cellStyle name="Moeda 7 2 2 2 3" xfId="911" xr:uid="{00000000-0005-0000-0000-00001C040000}"/>
    <cellStyle name="Moeda 7 2 2 2 4" xfId="1527" xr:uid="{00000000-0005-0000-0000-00001D040000}"/>
    <cellStyle name="Moeda 7 2 2 2 5" xfId="2143" xr:uid="{00000000-0005-0000-0000-00001E040000}"/>
    <cellStyle name="Moeda 7 2 2 3" xfId="479" xr:uid="{00000000-0005-0000-0000-00001F040000}"/>
    <cellStyle name="Moeda 7 2 2 3 2" xfId="1095" xr:uid="{00000000-0005-0000-0000-000020040000}"/>
    <cellStyle name="Moeda 7 2 2 3 3" xfId="1711" xr:uid="{00000000-0005-0000-0000-000021040000}"/>
    <cellStyle name="Moeda 7 2 2 3 4" xfId="2327" xr:uid="{00000000-0005-0000-0000-000022040000}"/>
    <cellStyle name="Moeda 7 2 2 4" xfId="787" xr:uid="{00000000-0005-0000-0000-000023040000}"/>
    <cellStyle name="Moeda 7 2 2 5" xfId="1403" xr:uid="{00000000-0005-0000-0000-000024040000}"/>
    <cellStyle name="Moeda 7 2 2 6" xfId="2019" xr:uid="{00000000-0005-0000-0000-000025040000}"/>
    <cellStyle name="Moeda 7 2 3" xfId="229" xr:uid="{00000000-0005-0000-0000-000026040000}"/>
    <cellStyle name="Moeda 7 2 3 2" xfId="541" xr:uid="{00000000-0005-0000-0000-000027040000}"/>
    <cellStyle name="Moeda 7 2 3 2 2" xfId="1157" xr:uid="{00000000-0005-0000-0000-000028040000}"/>
    <cellStyle name="Moeda 7 2 3 2 3" xfId="1773" xr:uid="{00000000-0005-0000-0000-000029040000}"/>
    <cellStyle name="Moeda 7 2 3 2 4" xfId="2389" xr:uid="{00000000-0005-0000-0000-00002A040000}"/>
    <cellStyle name="Moeda 7 2 3 3" xfId="849" xr:uid="{00000000-0005-0000-0000-00002B040000}"/>
    <cellStyle name="Moeda 7 2 3 4" xfId="1465" xr:uid="{00000000-0005-0000-0000-00002C040000}"/>
    <cellStyle name="Moeda 7 2 3 5" xfId="2081" xr:uid="{00000000-0005-0000-0000-00002D040000}"/>
    <cellStyle name="Moeda 7 2 4" xfId="353" xr:uid="{00000000-0005-0000-0000-00002E040000}"/>
    <cellStyle name="Moeda 7 2 4 2" xfId="665" xr:uid="{00000000-0005-0000-0000-00002F040000}"/>
    <cellStyle name="Moeda 7 2 4 2 2" xfId="1281" xr:uid="{00000000-0005-0000-0000-000030040000}"/>
    <cellStyle name="Moeda 7 2 4 2 3" xfId="1897" xr:uid="{00000000-0005-0000-0000-000031040000}"/>
    <cellStyle name="Moeda 7 2 4 2 4" xfId="2513" xr:uid="{00000000-0005-0000-0000-000032040000}"/>
    <cellStyle name="Moeda 7 2 4 3" xfId="973" xr:uid="{00000000-0005-0000-0000-000033040000}"/>
    <cellStyle name="Moeda 7 2 4 4" xfId="1589" xr:uid="{00000000-0005-0000-0000-000034040000}"/>
    <cellStyle name="Moeda 7 2 4 5" xfId="2205" xr:uid="{00000000-0005-0000-0000-000035040000}"/>
    <cellStyle name="Moeda 7 2 5" xfId="417" xr:uid="{00000000-0005-0000-0000-000036040000}"/>
    <cellStyle name="Moeda 7 2 5 2" xfId="1033" xr:uid="{00000000-0005-0000-0000-000037040000}"/>
    <cellStyle name="Moeda 7 2 5 3" xfId="1649" xr:uid="{00000000-0005-0000-0000-000038040000}"/>
    <cellStyle name="Moeda 7 2 5 4" xfId="2265" xr:uid="{00000000-0005-0000-0000-000039040000}"/>
    <cellStyle name="Moeda 7 2 6" xfId="725" xr:uid="{00000000-0005-0000-0000-00003A040000}"/>
    <cellStyle name="Moeda 7 2 7" xfId="1341" xr:uid="{00000000-0005-0000-0000-00003B040000}"/>
    <cellStyle name="Moeda 7 2 8" xfId="1957" xr:uid="{00000000-0005-0000-0000-00003C040000}"/>
    <cellStyle name="Moeda 7 3" xfId="102" xr:uid="{00000000-0005-0000-0000-00003D040000}"/>
    <cellStyle name="Moeda 7 3 2" xfId="261" xr:uid="{00000000-0005-0000-0000-00003E040000}"/>
    <cellStyle name="Moeda 7 3 2 2" xfId="573" xr:uid="{00000000-0005-0000-0000-00003F040000}"/>
    <cellStyle name="Moeda 7 3 2 2 2" xfId="1189" xr:uid="{00000000-0005-0000-0000-000040040000}"/>
    <cellStyle name="Moeda 7 3 2 2 3" xfId="1805" xr:uid="{00000000-0005-0000-0000-000041040000}"/>
    <cellStyle name="Moeda 7 3 2 2 4" xfId="2421" xr:uid="{00000000-0005-0000-0000-000042040000}"/>
    <cellStyle name="Moeda 7 3 2 3" xfId="881" xr:uid="{00000000-0005-0000-0000-000043040000}"/>
    <cellStyle name="Moeda 7 3 2 4" xfId="1497" xr:uid="{00000000-0005-0000-0000-000044040000}"/>
    <cellStyle name="Moeda 7 3 2 5" xfId="2113" xr:uid="{00000000-0005-0000-0000-000045040000}"/>
    <cellStyle name="Moeda 7 3 3" xfId="449" xr:uid="{00000000-0005-0000-0000-000046040000}"/>
    <cellStyle name="Moeda 7 3 3 2" xfId="1065" xr:uid="{00000000-0005-0000-0000-000047040000}"/>
    <cellStyle name="Moeda 7 3 3 3" xfId="1681" xr:uid="{00000000-0005-0000-0000-000048040000}"/>
    <cellStyle name="Moeda 7 3 3 4" xfId="2297" xr:uid="{00000000-0005-0000-0000-000049040000}"/>
    <cellStyle name="Moeda 7 3 4" xfId="757" xr:uid="{00000000-0005-0000-0000-00004A040000}"/>
    <cellStyle name="Moeda 7 3 5" xfId="1373" xr:uid="{00000000-0005-0000-0000-00004B040000}"/>
    <cellStyle name="Moeda 7 3 6" xfId="1989" xr:uid="{00000000-0005-0000-0000-00004C040000}"/>
    <cellStyle name="Moeda 7 4" xfId="199" xr:uid="{00000000-0005-0000-0000-00004D040000}"/>
    <cellStyle name="Moeda 7 4 2" xfId="511" xr:uid="{00000000-0005-0000-0000-00004E040000}"/>
    <cellStyle name="Moeda 7 4 2 2" xfId="1127" xr:uid="{00000000-0005-0000-0000-00004F040000}"/>
    <cellStyle name="Moeda 7 4 2 3" xfId="1743" xr:uid="{00000000-0005-0000-0000-000050040000}"/>
    <cellStyle name="Moeda 7 4 2 4" xfId="2359" xr:uid="{00000000-0005-0000-0000-000051040000}"/>
    <cellStyle name="Moeda 7 4 3" xfId="819" xr:uid="{00000000-0005-0000-0000-000052040000}"/>
    <cellStyle name="Moeda 7 4 4" xfId="1435" xr:uid="{00000000-0005-0000-0000-000053040000}"/>
    <cellStyle name="Moeda 7 4 5" xfId="2051" xr:uid="{00000000-0005-0000-0000-000054040000}"/>
    <cellStyle name="Moeda 7 5" xfId="323" xr:uid="{00000000-0005-0000-0000-000055040000}"/>
    <cellStyle name="Moeda 7 5 2" xfId="635" xr:uid="{00000000-0005-0000-0000-000056040000}"/>
    <cellStyle name="Moeda 7 5 2 2" xfId="1251" xr:uid="{00000000-0005-0000-0000-000057040000}"/>
    <cellStyle name="Moeda 7 5 2 3" xfId="1867" xr:uid="{00000000-0005-0000-0000-000058040000}"/>
    <cellStyle name="Moeda 7 5 2 4" xfId="2483" xr:uid="{00000000-0005-0000-0000-000059040000}"/>
    <cellStyle name="Moeda 7 5 3" xfId="943" xr:uid="{00000000-0005-0000-0000-00005A040000}"/>
    <cellStyle name="Moeda 7 5 4" xfId="1559" xr:uid="{00000000-0005-0000-0000-00005B040000}"/>
    <cellStyle name="Moeda 7 5 5" xfId="2175" xr:uid="{00000000-0005-0000-0000-00005C040000}"/>
    <cellStyle name="Moeda 7 6" xfId="387" xr:uid="{00000000-0005-0000-0000-00005D040000}"/>
    <cellStyle name="Moeda 7 6 2" xfId="1003" xr:uid="{00000000-0005-0000-0000-00005E040000}"/>
    <cellStyle name="Moeda 7 6 3" xfId="1619" xr:uid="{00000000-0005-0000-0000-00005F040000}"/>
    <cellStyle name="Moeda 7 6 4" xfId="2235" xr:uid="{00000000-0005-0000-0000-000060040000}"/>
    <cellStyle name="Moeda 7 7" xfId="695" xr:uid="{00000000-0005-0000-0000-000061040000}"/>
    <cellStyle name="Moeda 7 8" xfId="1311" xr:uid="{00000000-0005-0000-0000-000062040000}"/>
    <cellStyle name="Moeda 7 9" xfId="1927" xr:uid="{00000000-0005-0000-0000-000063040000}"/>
    <cellStyle name="Moeda 8" xfId="36" xr:uid="{00000000-0005-0000-0000-000064040000}"/>
    <cellStyle name="Moeda 8 2" xfId="70" xr:uid="{00000000-0005-0000-0000-000065040000}"/>
    <cellStyle name="Moeda 9" xfId="41" xr:uid="{00000000-0005-0000-0000-000066040000}"/>
    <cellStyle name="Moeda 9 2" xfId="73" xr:uid="{00000000-0005-0000-0000-000067040000}"/>
    <cellStyle name="Moeda 9 2 2" xfId="135" xr:uid="{00000000-0005-0000-0000-000068040000}"/>
    <cellStyle name="Moeda 9 2 2 2" xfId="294" xr:uid="{00000000-0005-0000-0000-000069040000}"/>
    <cellStyle name="Moeda 9 2 2 2 2" xfId="606" xr:uid="{00000000-0005-0000-0000-00006A040000}"/>
    <cellStyle name="Moeda 9 2 2 2 2 2" xfId="1222" xr:uid="{00000000-0005-0000-0000-00006B040000}"/>
    <cellStyle name="Moeda 9 2 2 2 2 3" xfId="1838" xr:uid="{00000000-0005-0000-0000-00006C040000}"/>
    <cellStyle name="Moeda 9 2 2 2 2 4" xfId="2454" xr:uid="{00000000-0005-0000-0000-00006D040000}"/>
    <cellStyle name="Moeda 9 2 2 2 3" xfId="914" xr:uid="{00000000-0005-0000-0000-00006E040000}"/>
    <cellStyle name="Moeda 9 2 2 2 4" xfId="1530" xr:uid="{00000000-0005-0000-0000-00006F040000}"/>
    <cellStyle name="Moeda 9 2 2 2 5" xfId="2146" xr:uid="{00000000-0005-0000-0000-000070040000}"/>
    <cellStyle name="Moeda 9 2 2 3" xfId="482" xr:uid="{00000000-0005-0000-0000-000071040000}"/>
    <cellStyle name="Moeda 9 2 2 3 2" xfId="1098" xr:uid="{00000000-0005-0000-0000-000072040000}"/>
    <cellStyle name="Moeda 9 2 2 3 3" xfId="1714" xr:uid="{00000000-0005-0000-0000-000073040000}"/>
    <cellStyle name="Moeda 9 2 2 3 4" xfId="2330" xr:uid="{00000000-0005-0000-0000-000074040000}"/>
    <cellStyle name="Moeda 9 2 2 4" xfId="790" xr:uid="{00000000-0005-0000-0000-000075040000}"/>
    <cellStyle name="Moeda 9 2 2 5" xfId="1406" xr:uid="{00000000-0005-0000-0000-000076040000}"/>
    <cellStyle name="Moeda 9 2 2 6" xfId="2022" xr:uid="{00000000-0005-0000-0000-000077040000}"/>
    <cellStyle name="Moeda 9 2 3" xfId="232" xr:uid="{00000000-0005-0000-0000-000078040000}"/>
    <cellStyle name="Moeda 9 2 3 2" xfId="544" xr:uid="{00000000-0005-0000-0000-000079040000}"/>
    <cellStyle name="Moeda 9 2 3 2 2" xfId="1160" xr:uid="{00000000-0005-0000-0000-00007A040000}"/>
    <cellStyle name="Moeda 9 2 3 2 3" xfId="1776" xr:uid="{00000000-0005-0000-0000-00007B040000}"/>
    <cellStyle name="Moeda 9 2 3 2 4" xfId="2392" xr:uid="{00000000-0005-0000-0000-00007C040000}"/>
    <cellStyle name="Moeda 9 2 3 3" xfId="852" xr:uid="{00000000-0005-0000-0000-00007D040000}"/>
    <cellStyle name="Moeda 9 2 3 4" xfId="1468" xr:uid="{00000000-0005-0000-0000-00007E040000}"/>
    <cellStyle name="Moeda 9 2 3 5" xfId="2084" xr:uid="{00000000-0005-0000-0000-00007F040000}"/>
    <cellStyle name="Moeda 9 2 4" xfId="356" xr:uid="{00000000-0005-0000-0000-000080040000}"/>
    <cellStyle name="Moeda 9 2 4 2" xfId="668" xr:uid="{00000000-0005-0000-0000-000081040000}"/>
    <cellStyle name="Moeda 9 2 4 2 2" xfId="1284" xr:uid="{00000000-0005-0000-0000-000082040000}"/>
    <cellStyle name="Moeda 9 2 4 2 3" xfId="1900" xr:uid="{00000000-0005-0000-0000-000083040000}"/>
    <cellStyle name="Moeda 9 2 4 2 4" xfId="2516" xr:uid="{00000000-0005-0000-0000-000084040000}"/>
    <cellStyle name="Moeda 9 2 4 3" xfId="976" xr:uid="{00000000-0005-0000-0000-000085040000}"/>
    <cellStyle name="Moeda 9 2 4 4" xfId="1592" xr:uid="{00000000-0005-0000-0000-000086040000}"/>
    <cellStyle name="Moeda 9 2 4 5" xfId="2208" xr:uid="{00000000-0005-0000-0000-000087040000}"/>
    <cellStyle name="Moeda 9 2 5" xfId="420" xr:uid="{00000000-0005-0000-0000-000088040000}"/>
    <cellStyle name="Moeda 9 2 5 2" xfId="1036" xr:uid="{00000000-0005-0000-0000-000089040000}"/>
    <cellStyle name="Moeda 9 2 5 3" xfId="1652" xr:uid="{00000000-0005-0000-0000-00008A040000}"/>
    <cellStyle name="Moeda 9 2 5 4" xfId="2268" xr:uid="{00000000-0005-0000-0000-00008B040000}"/>
    <cellStyle name="Moeda 9 2 6" xfId="728" xr:uid="{00000000-0005-0000-0000-00008C040000}"/>
    <cellStyle name="Moeda 9 2 7" xfId="1344" xr:uid="{00000000-0005-0000-0000-00008D040000}"/>
    <cellStyle name="Moeda 9 2 8" xfId="1960" xr:uid="{00000000-0005-0000-0000-00008E040000}"/>
    <cellStyle name="Moeda 9 3" xfId="105" xr:uid="{00000000-0005-0000-0000-00008F040000}"/>
    <cellStyle name="Moeda 9 3 2" xfId="264" xr:uid="{00000000-0005-0000-0000-000090040000}"/>
    <cellStyle name="Moeda 9 3 2 2" xfId="576" xr:uid="{00000000-0005-0000-0000-000091040000}"/>
    <cellStyle name="Moeda 9 3 2 2 2" xfId="1192" xr:uid="{00000000-0005-0000-0000-000092040000}"/>
    <cellStyle name="Moeda 9 3 2 2 3" xfId="1808" xr:uid="{00000000-0005-0000-0000-000093040000}"/>
    <cellStyle name="Moeda 9 3 2 2 4" xfId="2424" xr:uid="{00000000-0005-0000-0000-000094040000}"/>
    <cellStyle name="Moeda 9 3 2 3" xfId="884" xr:uid="{00000000-0005-0000-0000-000095040000}"/>
    <cellStyle name="Moeda 9 3 2 4" xfId="1500" xr:uid="{00000000-0005-0000-0000-000096040000}"/>
    <cellStyle name="Moeda 9 3 2 5" xfId="2116" xr:uid="{00000000-0005-0000-0000-000097040000}"/>
    <cellStyle name="Moeda 9 3 3" xfId="452" xr:uid="{00000000-0005-0000-0000-000098040000}"/>
    <cellStyle name="Moeda 9 3 3 2" xfId="1068" xr:uid="{00000000-0005-0000-0000-000099040000}"/>
    <cellStyle name="Moeda 9 3 3 3" xfId="1684" xr:uid="{00000000-0005-0000-0000-00009A040000}"/>
    <cellStyle name="Moeda 9 3 3 4" xfId="2300" xr:uid="{00000000-0005-0000-0000-00009B040000}"/>
    <cellStyle name="Moeda 9 3 4" xfId="760" xr:uid="{00000000-0005-0000-0000-00009C040000}"/>
    <cellStyle name="Moeda 9 3 5" xfId="1376" xr:uid="{00000000-0005-0000-0000-00009D040000}"/>
    <cellStyle name="Moeda 9 3 6" xfId="1992" xr:uid="{00000000-0005-0000-0000-00009E040000}"/>
    <cellStyle name="Moeda 9 4" xfId="202" xr:uid="{00000000-0005-0000-0000-00009F040000}"/>
    <cellStyle name="Moeda 9 4 2" xfId="514" xr:uid="{00000000-0005-0000-0000-0000A0040000}"/>
    <cellStyle name="Moeda 9 4 2 2" xfId="1130" xr:uid="{00000000-0005-0000-0000-0000A1040000}"/>
    <cellStyle name="Moeda 9 4 2 3" xfId="1746" xr:uid="{00000000-0005-0000-0000-0000A2040000}"/>
    <cellStyle name="Moeda 9 4 2 4" xfId="2362" xr:uid="{00000000-0005-0000-0000-0000A3040000}"/>
    <cellStyle name="Moeda 9 4 3" xfId="822" xr:uid="{00000000-0005-0000-0000-0000A4040000}"/>
    <cellStyle name="Moeda 9 4 4" xfId="1438" xr:uid="{00000000-0005-0000-0000-0000A5040000}"/>
    <cellStyle name="Moeda 9 4 5" xfId="2054" xr:uid="{00000000-0005-0000-0000-0000A6040000}"/>
    <cellStyle name="Moeda 9 5" xfId="326" xr:uid="{00000000-0005-0000-0000-0000A7040000}"/>
    <cellStyle name="Moeda 9 5 2" xfId="638" xr:uid="{00000000-0005-0000-0000-0000A8040000}"/>
    <cellStyle name="Moeda 9 5 2 2" xfId="1254" xr:uid="{00000000-0005-0000-0000-0000A9040000}"/>
    <cellStyle name="Moeda 9 5 2 3" xfId="1870" xr:uid="{00000000-0005-0000-0000-0000AA040000}"/>
    <cellStyle name="Moeda 9 5 2 4" xfId="2486" xr:uid="{00000000-0005-0000-0000-0000AB040000}"/>
    <cellStyle name="Moeda 9 5 3" xfId="946" xr:uid="{00000000-0005-0000-0000-0000AC040000}"/>
    <cellStyle name="Moeda 9 5 4" xfId="1562" xr:uid="{00000000-0005-0000-0000-0000AD040000}"/>
    <cellStyle name="Moeda 9 5 5" xfId="2178" xr:uid="{00000000-0005-0000-0000-0000AE040000}"/>
    <cellStyle name="Moeda 9 6" xfId="390" xr:uid="{00000000-0005-0000-0000-0000AF040000}"/>
    <cellStyle name="Moeda 9 6 2" xfId="1006" xr:uid="{00000000-0005-0000-0000-0000B0040000}"/>
    <cellStyle name="Moeda 9 6 3" xfId="1622" xr:uid="{00000000-0005-0000-0000-0000B1040000}"/>
    <cellStyle name="Moeda 9 6 4" xfId="2238" xr:uid="{00000000-0005-0000-0000-0000B2040000}"/>
    <cellStyle name="Moeda 9 7" xfId="698" xr:uid="{00000000-0005-0000-0000-0000B3040000}"/>
    <cellStyle name="Moeda 9 8" xfId="1314" xr:uid="{00000000-0005-0000-0000-0000B4040000}"/>
    <cellStyle name="Moeda 9 9" xfId="1930" xr:uid="{00000000-0005-0000-0000-0000B5040000}"/>
    <cellStyle name="Normal" xfId="0" builtinId="0"/>
    <cellStyle name="Normal 10" xfId="158" xr:uid="{00000000-0005-0000-0000-0000B7040000}"/>
    <cellStyle name="Normal 10 2" xfId="173" xr:uid="{00000000-0005-0000-0000-0000B8040000}"/>
    <cellStyle name="Normal 11" xfId="175" xr:uid="{00000000-0005-0000-0000-0000B9040000}"/>
    <cellStyle name="Normal 12" xfId="176" xr:uid="{00000000-0005-0000-0000-0000BA040000}"/>
    <cellStyle name="Normal 13" xfId="362" xr:uid="{00000000-0005-0000-0000-0000BB040000}"/>
    <cellStyle name="Normal 15 2 2" xfId="2524" xr:uid="{00000000-0005-0000-0000-0000BC040000}"/>
    <cellStyle name="Normal 2" xfId="10" xr:uid="{00000000-0005-0000-0000-0000BD040000}"/>
    <cellStyle name="Normal 2 2" xfId="15" xr:uid="{00000000-0005-0000-0000-0000BE040000}"/>
    <cellStyle name="Normal 2 2 2" xfId="143" xr:uid="{00000000-0005-0000-0000-0000BF040000}"/>
    <cellStyle name="Normal 2 2 2 2" xfId="161" xr:uid="{00000000-0005-0000-0000-0000C0040000}"/>
    <cellStyle name="Normal 2 2 3" xfId="167" xr:uid="{00000000-0005-0000-0000-0000C1040000}"/>
    <cellStyle name="Normal 2 2 4" xfId="151" xr:uid="{00000000-0005-0000-0000-0000C2040000}"/>
    <cellStyle name="Normal 2 3" xfId="39" xr:uid="{00000000-0005-0000-0000-0000C3040000}"/>
    <cellStyle name="Normal 2 3 2" xfId="168" xr:uid="{00000000-0005-0000-0000-0000C4040000}"/>
    <cellStyle name="Normal 2 4" xfId="159" xr:uid="{00000000-0005-0000-0000-0000C5040000}"/>
    <cellStyle name="Normal 2 4 2" xfId="174" xr:uid="{00000000-0005-0000-0000-0000C6040000}"/>
    <cellStyle name="Normal 2 5" xfId="160" xr:uid="{00000000-0005-0000-0000-0000C7040000}"/>
    <cellStyle name="Normal 26" xfId="2525" xr:uid="{773DF9D7-C84A-4934-9962-E8072B147738}"/>
    <cellStyle name="Normal 3" xfId="11" xr:uid="{00000000-0005-0000-0000-0000C8040000}"/>
    <cellStyle name="Normal 3 2" xfId="22" xr:uid="{00000000-0005-0000-0000-0000C9040000}"/>
    <cellStyle name="Normal 3 2 2" xfId="162" xr:uid="{00000000-0005-0000-0000-0000CA040000}"/>
    <cellStyle name="Normal 3 2 3" xfId="144" xr:uid="{00000000-0005-0000-0000-0000CB040000}"/>
    <cellStyle name="Normal 3 3" xfId="153" xr:uid="{00000000-0005-0000-0000-0000CC040000}"/>
    <cellStyle name="Normal 4" xfId="16" xr:uid="{00000000-0005-0000-0000-0000CD040000}"/>
    <cellStyle name="Normal 4 2" xfId="163" xr:uid="{00000000-0005-0000-0000-0000CE040000}"/>
    <cellStyle name="Normal 4 3" xfId="145" xr:uid="{00000000-0005-0000-0000-0000CF040000}"/>
    <cellStyle name="Normal 4 4" xfId="2523" xr:uid="{00000000-0005-0000-0000-0000D0040000}"/>
    <cellStyle name="Normal 5" xfId="18" xr:uid="{00000000-0005-0000-0000-0000D1040000}"/>
    <cellStyle name="Normal 5 2" xfId="150" xr:uid="{00000000-0005-0000-0000-0000D2040000}"/>
    <cellStyle name="Normal 6" xfId="12" xr:uid="{00000000-0005-0000-0000-0000D3040000}"/>
    <cellStyle name="Normal 6 2" xfId="169" xr:uid="{00000000-0005-0000-0000-0000D4040000}"/>
    <cellStyle name="Normal 6 3" xfId="154" xr:uid="{00000000-0005-0000-0000-0000D5040000}"/>
    <cellStyle name="Normal 7" xfId="19" xr:uid="{00000000-0005-0000-0000-0000D6040000}"/>
    <cellStyle name="Normal 7 2" xfId="170" xr:uid="{00000000-0005-0000-0000-0000D7040000}"/>
    <cellStyle name="Normal 7 3" xfId="155" xr:uid="{00000000-0005-0000-0000-0000D8040000}"/>
    <cellStyle name="Normal 8" xfId="20" xr:uid="{00000000-0005-0000-0000-0000D9040000}"/>
    <cellStyle name="Normal 8 2" xfId="171" xr:uid="{00000000-0005-0000-0000-0000DA040000}"/>
    <cellStyle name="Normal 8 3" xfId="156" xr:uid="{00000000-0005-0000-0000-0000DB040000}"/>
    <cellStyle name="Normal 9" xfId="35" xr:uid="{00000000-0005-0000-0000-0000DC040000}"/>
    <cellStyle name="Normal 9 2" xfId="69" xr:uid="{00000000-0005-0000-0000-0000DD040000}"/>
    <cellStyle name="Normal 9 2 2" xfId="172" xr:uid="{00000000-0005-0000-0000-0000DE040000}"/>
    <cellStyle name="Normal 9 3" xfId="157" xr:uid="{00000000-0005-0000-0000-0000DF040000}"/>
    <cellStyle name="Normal_Adic-4" xfId="3" xr:uid="{00000000-0005-0000-0000-0000E0040000}"/>
    <cellStyle name="Normal_Plan1" xfId="2522" xr:uid="{00000000-0005-0000-0000-0000E1040000}"/>
    <cellStyle name="Percent" xfId="361" builtinId="5"/>
    <cellStyle name="Porcentagem 2" xfId="146" xr:uid="{00000000-0005-0000-0000-0000E3040000}"/>
    <cellStyle name="Porcentagem 3" xfId="363" xr:uid="{00000000-0005-0000-0000-0000E4040000}"/>
    <cellStyle name="Separador de milhares 2" xfId="147" xr:uid="{00000000-0005-0000-0000-0000E5040000}"/>
    <cellStyle name="Separador de milhares 2 11" xfId="148" xr:uid="{00000000-0005-0000-0000-0000E6040000}"/>
    <cellStyle name="Separador de milhares 2 11 2" xfId="165" xr:uid="{00000000-0005-0000-0000-0000E7040000}"/>
    <cellStyle name="Separador de milhares 2 2" xfId="164" xr:uid="{00000000-0005-0000-0000-0000E8040000}"/>
    <cellStyle name="Texto Explicativo 2" xfId="152" xr:uid="{00000000-0005-0000-0000-0000E9040000}"/>
    <cellStyle name="Vírgula 10" xfId="46" xr:uid="{00000000-0005-0000-0000-0000EB040000}"/>
    <cellStyle name="Vírgula 10 2" xfId="110" xr:uid="{00000000-0005-0000-0000-0000EC040000}"/>
    <cellStyle name="Vírgula 10 2 2" xfId="269" xr:uid="{00000000-0005-0000-0000-0000ED040000}"/>
    <cellStyle name="Vírgula 10 2 2 2" xfId="581" xr:uid="{00000000-0005-0000-0000-0000EE040000}"/>
    <cellStyle name="Vírgula 10 2 2 2 2" xfId="1197" xr:uid="{00000000-0005-0000-0000-0000EF040000}"/>
    <cellStyle name="Vírgula 10 2 2 2 3" xfId="1813" xr:uid="{00000000-0005-0000-0000-0000F0040000}"/>
    <cellStyle name="Vírgula 10 2 2 2 4" xfId="2429" xr:uid="{00000000-0005-0000-0000-0000F1040000}"/>
    <cellStyle name="Vírgula 10 2 2 3" xfId="889" xr:uid="{00000000-0005-0000-0000-0000F2040000}"/>
    <cellStyle name="Vírgula 10 2 2 4" xfId="1505" xr:uid="{00000000-0005-0000-0000-0000F3040000}"/>
    <cellStyle name="Vírgula 10 2 2 5" xfId="2121" xr:uid="{00000000-0005-0000-0000-0000F4040000}"/>
    <cellStyle name="Vírgula 10 2 3" xfId="457" xr:uid="{00000000-0005-0000-0000-0000F5040000}"/>
    <cellStyle name="Vírgula 10 2 3 2" xfId="1073" xr:uid="{00000000-0005-0000-0000-0000F6040000}"/>
    <cellStyle name="Vírgula 10 2 3 3" xfId="1689" xr:uid="{00000000-0005-0000-0000-0000F7040000}"/>
    <cellStyle name="Vírgula 10 2 3 4" xfId="2305" xr:uid="{00000000-0005-0000-0000-0000F8040000}"/>
    <cellStyle name="Vírgula 10 2 4" xfId="765" xr:uid="{00000000-0005-0000-0000-0000F9040000}"/>
    <cellStyle name="Vírgula 10 2 5" xfId="1381" xr:uid="{00000000-0005-0000-0000-0000FA040000}"/>
    <cellStyle name="Vírgula 10 2 6" xfId="1997" xr:uid="{00000000-0005-0000-0000-0000FB040000}"/>
    <cellStyle name="Vírgula 10 3" xfId="207" xr:uid="{00000000-0005-0000-0000-0000FC040000}"/>
    <cellStyle name="Vírgula 10 3 2" xfId="519" xr:uid="{00000000-0005-0000-0000-0000FD040000}"/>
    <cellStyle name="Vírgula 10 3 2 2" xfId="1135" xr:uid="{00000000-0005-0000-0000-0000FE040000}"/>
    <cellStyle name="Vírgula 10 3 2 3" xfId="1751" xr:uid="{00000000-0005-0000-0000-0000FF040000}"/>
    <cellStyle name="Vírgula 10 3 2 4" xfId="2367" xr:uid="{00000000-0005-0000-0000-000000050000}"/>
    <cellStyle name="Vírgula 10 3 3" xfId="827" xr:uid="{00000000-0005-0000-0000-000001050000}"/>
    <cellStyle name="Vírgula 10 3 4" xfId="1443" xr:uid="{00000000-0005-0000-0000-000002050000}"/>
    <cellStyle name="Vírgula 10 3 5" xfId="2059" xr:uid="{00000000-0005-0000-0000-000003050000}"/>
    <cellStyle name="Vírgula 10 4" xfId="331" xr:uid="{00000000-0005-0000-0000-000004050000}"/>
    <cellStyle name="Vírgula 10 4 2" xfId="643" xr:uid="{00000000-0005-0000-0000-000005050000}"/>
    <cellStyle name="Vírgula 10 4 2 2" xfId="1259" xr:uid="{00000000-0005-0000-0000-000006050000}"/>
    <cellStyle name="Vírgula 10 4 2 3" xfId="1875" xr:uid="{00000000-0005-0000-0000-000007050000}"/>
    <cellStyle name="Vírgula 10 4 2 4" xfId="2491" xr:uid="{00000000-0005-0000-0000-000008050000}"/>
    <cellStyle name="Vírgula 10 4 3" xfId="951" xr:uid="{00000000-0005-0000-0000-000009050000}"/>
    <cellStyle name="Vírgula 10 4 4" xfId="1567" xr:uid="{00000000-0005-0000-0000-00000A050000}"/>
    <cellStyle name="Vírgula 10 4 5" xfId="2183" xr:uid="{00000000-0005-0000-0000-00000B050000}"/>
    <cellStyle name="Vírgula 10 5" xfId="395" xr:uid="{00000000-0005-0000-0000-00000C050000}"/>
    <cellStyle name="Vírgula 10 5 2" xfId="1011" xr:uid="{00000000-0005-0000-0000-00000D050000}"/>
    <cellStyle name="Vírgula 10 5 3" xfId="1627" xr:uid="{00000000-0005-0000-0000-00000E050000}"/>
    <cellStyle name="Vírgula 10 5 4" xfId="2243" xr:uid="{00000000-0005-0000-0000-00000F050000}"/>
    <cellStyle name="Vírgula 10 6" xfId="703" xr:uid="{00000000-0005-0000-0000-000010050000}"/>
    <cellStyle name="Vírgula 10 7" xfId="1319" xr:uid="{00000000-0005-0000-0000-000011050000}"/>
    <cellStyle name="Vírgula 10 8" xfId="1935" xr:uid="{00000000-0005-0000-0000-000012050000}"/>
    <cellStyle name="Vírgula 11" xfId="78" xr:uid="{00000000-0005-0000-0000-000013050000}"/>
    <cellStyle name="Vírgula 11 2" xfId="140" xr:uid="{00000000-0005-0000-0000-000014050000}"/>
    <cellStyle name="Vírgula 11 2 2" xfId="299" xr:uid="{00000000-0005-0000-0000-000015050000}"/>
    <cellStyle name="Vírgula 11 2 2 2" xfId="611" xr:uid="{00000000-0005-0000-0000-000016050000}"/>
    <cellStyle name="Vírgula 11 2 2 2 2" xfId="1227" xr:uid="{00000000-0005-0000-0000-000017050000}"/>
    <cellStyle name="Vírgula 11 2 2 2 3" xfId="1843" xr:uid="{00000000-0005-0000-0000-000018050000}"/>
    <cellStyle name="Vírgula 11 2 2 2 4" xfId="2459" xr:uid="{00000000-0005-0000-0000-000019050000}"/>
    <cellStyle name="Vírgula 11 2 2 3" xfId="919" xr:uid="{00000000-0005-0000-0000-00001A050000}"/>
    <cellStyle name="Vírgula 11 2 2 4" xfId="1535" xr:uid="{00000000-0005-0000-0000-00001B050000}"/>
    <cellStyle name="Vírgula 11 2 2 5" xfId="2151" xr:uid="{00000000-0005-0000-0000-00001C050000}"/>
    <cellStyle name="Vírgula 11 2 3" xfId="487" xr:uid="{00000000-0005-0000-0000-00001D050000}"/>
    <cellStyle name="Vírgula 11 2 3 2" xfId="1103" xr:uid="{00000000-0005-0000-0000-00001E050000}"/>
    <cellStyle name="Vírgula 11 2 3 3" xfId="1719" xr:uid="{00000000-0005-0000-0000-00001F050000}"/>
    <cellStyle name="Vírgula 11 2 3 4" xfId="2335" xr:uid="{00000000-0005-0000-0000-000020050000}"/>
    <cellStyle name="Vírgula 11 2 4" xfId="795" xr:uid="{00000000-0005-0000-0000-000021050000}"/>
    <cellStyle name="Vírgula 11 2 5" xfId="1411" xr:uid="{00000000-0005-0000-0000-000022050000}"/>
    <cellStyle name="Vírgula 11 2 6" xfId="2027" xr:uid="{00000000-0005-0000-0000-000023050000}"/>
    <cellStyle name="Vírgula 11 3" xfId="237" xr:uid="{00000000-0005-0000-0000-000024050000}"/>
    <cellStyle name="Vírgula 11 3 2" xfId="549" xr:uid="{00000000-0005-0000-0000-000025050000}"/>
    <cellStyle name="Vírgula 11 3 2 2" xfId="1165" xr:uid="{00000000-0005-0000-0000-000026050000}"/>
    <cellStyle name="Vírgula 11 3 2 3" xfId="1781" xr:uid="{00000000-0005-0000-0000-000027050000}"/>
    <cellStyle name="Vírgula 11 3 2 4" xfId="2397" xr:uid="{00000000-0005-0000-0000-000028050000}"/>
    <cellStyle name="Vírgula 11 3 3" xfId="857" xr:uid="{00000000-0005-0000-0000-000029050000}"/>
    <cellStyle name="Vírgula 11 3 4" xfId="1473" xr:uid="{00000000-0005-0000-0000-00002A050000}"/>
    <cellStyle name="Vírgula 11 3 5" xfId="2089" xr:uid="{00000000-0005-0000-0000-00002B050000}"/>
    <cellStyle name="Vírgula 11 4" xfId="425" xr:uid="{00000000-0005-0000-0000-00002C050000}"/>
    <cellStyle name="Vírgula 11 4 2" xfId="1041" xr:uid="{00000000-0005-0000-0000-00002D050000}"/>
    <cellStyle name="Vírgula 11 4 3" xfId="1657" xr:uid="{00000000-0005-0000-0000-00002E050000}"/>
    <cellStyle name="Vírgula 11 4 4" xfId="2273" xr:uid="{00000000-0005-0000-0000-00002F050000}"/>
    <cellStyle name="Vírgula 11 5" xfId="733" xr:uid="{00000000-0005-0000-0000-000030050000}"/>
    <cellStyle name="Vírgula 11 6" xfId="1349" xr:uid="{00000000-0005-0000-0000-000031050000}"/>
    <cellStyle name="Vírgula 11 7" xfId="1965" xr:uid="{00000000-0005-0000-0000-000032050000}"/>
    <cellStyle name="Vírgula 12" xfId="80" xr:uid="{00000000-0005-0000-0000-000033050000}"/>
    <cellStyle name="Vírgula 12 2" xfId="149" xr:uid="{00000000-0005-0000-0000-000034050000}"/>
    <cellStyle name="Vírgula 12 3" xfId="239" xr:uid="{00000000-0005-0000-0000-000035050000}"/>
    <cellStyle name="Vírgula 12 3 2" xfId="551" xr:uid="{00000000-0005-0000-0000-000036050000}"/>
    <cellStyle name="Vírgula 12 3 2 2" xfId="1167" xr:uid="{00000000-0005-0000-0000-000037050000}"/>
    <cellStyle name="Vírgula 12 3 2 3" xfId="1783" xr:uid="{00000000-0005-0000-0000-000038050000}"/>
    <cellStyle name="Vírgula 12 3 2 4" xfId="2399" xr:uid="{00000000-0005-0000-0000-000039050000}"/>
    <cellStyle name="Vírgula 12 3 3" xfId="859" xr:uid="{00000000-0005-0000-0000-00003A050000}"/>
    <cellStyle name="Vírgula 12 3 4" xfId="1475" xr:uid="{00000000-0005-0000-0000-00003B050000}"/>
    <cellStyle name="Vírgula 12 3 5" xfId="2091" xr:uid="{00000000-0005-0000-0000-00003C050000}"/>
    <cellStyle name="Vírgula 12 4" xfId="427" xr:uid="{00000000-0005-0000-0000-00003D050000}"/>
    <cellStyle name="Vírgula 12 4 2" xfId="1043" xr:uid="{00000000-0005-0000-0000-00003E050000}"/>
    <cellStyle name="Vírgula 12 4 3" xfId="1659" xr:uid="{00000000-0005-0000-0000-00003F050000}"/>
    <cellStyle name="Vírgula 12 4 4" xfId="2275" xr:uid="{00000000-0005-0000-0000-000040050000}"/>
    <cellStyle name="Vírgula 12 5" xfId="735" xr:uid="{00000000-0005-0000-0000-000041050000}"/>
    <cellStyle name="Vírgula 12 6" xfId="1351" xr:uid="{00000000-0005-0000-0000-000042050000}"/>
    <cellStyle name="Vírgula 12 7" xfId="1967" xr:uid="{00000000-0005-0000-0000-000043050000}"/>
    <cellStyle name="Vírgula 13" xfId="177" xr:uid="{00000000-0005-0000-0000-000044050000}"/>
    <cellStyle name="Vírgula 13 2" xfId="489" xr:uid="{00000000-0005-0000-0000-000045050000}"/>
    <cellStyle name="Vírgula 13 2 2" xfId="1105" xr:uid="{00000000-0005-0000-0000-000046050000}"/>
    <cellStyle name="Vírgula 13 2 3" xfId="1721" xr:uid="{00000000-0005-0000-0000-000047050000}"/>
    <cellStyle name="Vírgula 13 2 4" xfId="2337" xr:uid="{00000000-0005-0000-0000-000048050000}"/>
    <cellStyle name="Vírgula 13 3" xfId="797" xr:uid="{00000000-0005-0000-0000-000049050000}"/>
    <cellStyle name="Vírgula 13 4" xfId="1413" xr:uid="{00000000-0005-0000-0000-00004A050000}"/>
    <cellStyle name="Vírgula 13 5" xfId="2029" xr:uid="{00000000-0005-0000-0000-00004B050000}"/>
    <cellStyle name="Vírgula 14" xfId="301" xr:uid="{00000000-0005-0000-0000-00004C050000}"/>
    <cellStyle name="Vírgula 14 2" xfId="613" xr:uid="{00000000-0005-0000-0000-00004D050000}"/>
    <cellStyle name="Vírgula 14 2 2" xfId="1229" xr:uid="{00000000-0005-0000-0000-00004E050000}"/>
    <cellStyle name="Vírgula 14 2 3" xfId="1845" xr:uid="{00000000-0005-0000-0000-00004F050000}"/>
    <cellStyle name="Vírgula 14 2 4" xfId="2461" xr:uid="{00000000-0005-0000-0000-000050050000}"/>
    <cellStyle name="Vírgula 14 3" xfId="921" xr:uid="{00000000-0005-0000-0000-000051050000}"/>
    <cellStyle name="Vírgula 14 4" xfId="1537" xr:uid="{00000000-0005-0000-0000-000052050000}"/>
    <cellStyle name="Vírgula 14 5" xfId="2153" xr:uid="{00000000-0005-0000-0000-000053050000}"/>
    <cellStyle name="Vírgula 15" xfId="365" xr:uid="{00000000-0005-0000-0000-000054050000}"/>
    <cellStyle name="Vírgula 15 2" xfId="981" xr:uid="{00000000-0005-0000-0000-000055050000}"/>
    <cellStyle name="Vírgula 15 3" xfId="1597" xr:uid="{00000000-0005-0000-0000-000056050000}"/>
    <cellStyle name="Vírgula 15 4" xfId="2213" xr:uid="{00000000-0005-0000-0000-000057050000}"/>
    <cellStyle name="Vírgula 16" xfId="673" xr:uid="{00000000-0005-0000-0000-000058050000}"/>
    <cellStyle name="Vírgula 17" xfId="1289" xr:uid="{00000000-0005-0000-0000-000059050000}"/>
    <cellStyle name="Vírgula 18" xfId="1905" xr:uid="{00000000-0005-0000-0000-00005A050000}"/>
    <cellStyle name="Vírgula 2" xfId="4" xr:uid="{00000000-0005-0000-0000-00005B050000}"/>
    <cellStyle name="Vírgula 2 10" xfId="303" xr:uid="{00000000-0005-0000-0000-00005C050000}"/>
    <cellStyle name="Vírgula 2 10 2" xfId="615" xr:uid="{00000000-0005-0000-0000-00005D050000}"/>
    <cellStyle name="Vírgula 2 10 2 2" xfId="1231" xr:uid="{00000000-0005-0000-0000-00005E050000}"/>
    <cellStyle name="Vírgula 2 10 2 3" xfId="1847" xr:uid="{00000000-0005-0000-0000-00005F050000}"/>
    <cellStyle name="Vírgula 2 10 2 4" xfId="2463" xr:uid="{00000000-0005-0000-0000-000060050000}"/>
    <cellStyle name="Vírgula 2 10 3" xfId="923" xr:uid="{00000000-0005-0000-0000-000061050000}"/>
    <cellStyle name="Vírgula 2 10 4" xfId="1539" xr:uid="{00000000-0005-0000-0000-000062050000}"/>
    <cellStyle name="Vírgula 2 10 5" xfId="2155" xr:uid="{00000000-0005-0000-0000-000063050000}"/>
    <cellStyle name="Vírgula 2 11" xfId="367" xr:uid="{00000000-0005-0000-0000-000064050000}"/>
    <cellStyle name="Vírgula 2 11 2" xfId="983" xr:uid="{00000000-0005-0000-0000-000065050000}"/>
    <cellStyle name="Vírgula 2 11 3" xfId="1599" xr:uid="{00000000-0005-0000-0000-000066050000}"/>
    <cellStyle name="Vírgula 2 11 4" xfId="2215" xr:uid="{00000000-0005-0000-0000-000067050000}"/>
    <cellStyle name="Vírgula 2 12" xfId="675" xr:uid="{00000000-0005-0000-0000-000068050000}"/>
    <cellStyle name="Vírgula 2 13" xfId="1291" xr:uid="{00000000-0005-0000-0000-000069050000}"/>
    <cellStyle name="Vírgula 2 14" xfId="1907" xr:uid="{00000000-0005-0000-0000-00006A050000}"/>
    <cellStyle name="Vírgula 2 2" xfId="8" xr:uid="{00000000-0005-0000-0000-00006B050000}"/>
    <cellStyle name="Vírgula 2 2 10" xfId="1911" xr:uid="{00000000-0005-0000-0000-00006C050000}"/>
    <cellStyle name="Vírgula 2 2 2" xfId="29" xr:uid="{00000000-0005-0000-0000-00006D050000}"/>
    <cellStyle name="Vírgula 2 2 2 2" xfId="63" xr:uid="{00000000-0005-0000-0000-00006E050000}"/>
    <cellStyle name="Vírgula 2 2 2 2 2" xfId="127" xr:uid="{00000000-0005-0000-0000-00006F050000}"/>
    <cellStyle name="Vírgula 2 2 2 2 2 2" xfId="286" xr:uid="{00000000-0005-0000-0000-000070050000}"/>
    <cellStyle name="Vírgula 2 2 2 2 2 2 2" xfId="598" xr:uid="{00000000-0005-0000-0000-000071050000}"/>
    <cellStyle name="Vírgula 2 2 2 2 2 2 2 2" xfId="1214" xr:uid="{00000000-0005-0000-0000-000072050000}"/>
    <cellStyle name="Vírgula 2 2 2 2 2 2 2 3" xfId="1830" xr:uid="{00000000-0005-0000-0000-000073050000}"/>
    <cellStyle name="Vírgula 2 2 2 2 2 2 2 4" xfId="2446" xr:uid="{00000000-0005-0000-0000-000074050000}"/>
    <cellStyle name="Vírgula 2 2 2 2 2 2 3" xfId="906" xr:uid="{00000000-0005-0000-0000-000075050000}"/>
    <cellStyle name="Vírgula 2 2 2 2 2 2 4" xfId="1522" xr:uid="{00000000-0005-0000-0000-000076050000}"/>
    <cellStyle name="Vírgula 2 2 2 2 2 2 5" xfId="2138" xr:uid="{00000000-0005-0000-0000-000077050000}"/>
    <cellStyle name="Vírgula 2 2 2 2 2 3" xfId="474" xr:uid="{00000000-0005-0000-0000-000078050000}"/>
    <cellStyle name="Vírgula 2 2 2 2 2 3 2" xfId="1090" xr:uid="{00000000-0005-0000-0000-000079050000}"/>
    <cellStyle name="Vírgula 2 2 2 2 2 3 3" xfId="1706" xr:uid="{00000000-0005-0000-0000-00007A050000}"/>
    <cellStyle name="Vírgula 2 2 2 2 2 3 4" xfId="2322" xr:uid="{00000000-0005-0000-0000-00007B050000}"/>
    <cellStyle name="Vírgula 2 2 2 2 2 4" xfId="782" xr:uid="{00000000-0005-0000-0000-00007C050000}"/>
    <cellStyle name="Vírgula 2 2 2 2 2 5" xfId="1398" xr:uid="{00000000-0005-0000-0000-00007D050000}"/>
    <cellStyle name="Vírgula 2 2 2 2 2 6" xfId="2014" xr:uid="{00000000-0005-0000-0000-00007E050000}"/>
    <cellStyle name="Vírgula 2 2 2 2 3" xfId="224" xr:uid="{00000000-0005-0000-0000-00007F050000}"/>
    <cellStyle name="Vírgula 2 2 2 2 3 2" xfId="536" xr:uid="{00000000-0005-0000-0000-000080050000}"/>
    <cellStyle name="Vírgula 2 2 2 2 3 2 2" xfId="1152" xr:uid="{00000000-0005-0000-0000-000081050000}"/>
    <cellStyle name="Vírgula 2 2 2 2 3 2 3" xfId="1768" xr:uid="{00000000-0005-0000-0000-000082050000}"/>
    <cellStyle name="Vírgula 2 2 2 2 3 2 4" xfId="2384" xr:uid="{00000000-0005-0000-0000-000083050000}"/>
    <cellStyle name="Vírgula 2 2 2 2 3 3" xfId="844" xr:uid="{00000000-0005-0000-0000-000084050000}"/>
    <cellStyle name="Vírgula 2 2 2 2 3 4" xfId="1460" xr:uid="{00000000-0005-0000-0000-000085050000}"/>
    <cellStyle name="Vírgula 2 2 2 2 3 5" xfId="2076" xr:uid="{00000000-0005-0000-0000-000086050000}"/>
    <cellStyle name="Vírgula 2 2 2 2 4" xfId="348" xr:uid="{00000000-0005-0000-0000-000087050000}"/>
    <cellStyle name="Vírgula 2 2 2 2 4 2" xfId="660" xr:uid="{00000000-0005-0000-0000-000088050000}"/>
    <cellStyle name="Vírgula 2 2 2 2 4 2 2" xfId="1276" xr:uid="{00000000-0005-0000-0000-000089050000}"/>
    <cellStyle name="Vírgula 2 2 2 2 4 2 3" xfId="1892" xr:uid="{00000000-0005-0000-0000-00008A050000}"/>
    <cellStyle name="Vírgula 2 2 2 2 4 2 4" xfId="2508" xr:uid="{00000000-0005-0000-0000-00008B050000}"/>
    <cellStyle name="Vírgula 2 2 2 2 4 3" xfId="968" xr:uid="{00000000-0005-0000-0000-00008C050000}"/>
    <cellStyle name="Vírgula 2 2 2 2 4 4" xfId="1584" xr:uid="{00000000-0005-0000-0000-00008D050000}"/>
    <cellStyle name="Vírgula 2 2 2 2 4 5" xfId="2200" xr:uid="{00000000-0005-0000-0000-00008E050000}"/>
    <cellStyle name="Vírgula 2 2 2 2 5" xfId="412" xr:uid="{00000000-0005-0000-0000-00008F050000}"/>
    <cellStyle name="Vírgula 2 2 2 2 5 2" xfId="1028" xr:uid="{00000000-0005-0000-0000-000090050000}"/>
    <cellStyle name="Vírgula 2 2 2 2 5 3" xfId="1644" xr:uid="{00000000-0005-0000-0000-000091050000}"/>
    <cellStyle name="Vírgula 2 2 2 2 5 4" xfId="2260" xr:uid="{00000000-0005-0000-0000-000092050000}"/>
    <cellStyle name="Vírgula 2 2 2 2 6" xfId="720" xr:uid="{00000000-0005-0000-0000-000093050000}"/>
    <cellStyle name="Vírgula 2 2 2 2 7" xfId="1336" xr:uid="{00000000-0005-0000-0000-000094050000}"/>
    <cellStyle name="Vírgula 2 2 2 2 8" xfId="1952" xr:uid="{00000000-0005-0000-0000-000095050000}"/>
    <cellStyle name="Vírgula 2 2 2 3" xfId="97" xr:uid="{00000000-0005-0000-0000-000096050000}"/>
    <cellStyle name="Vírgula 2 2 2 3 2" xfId="256" xr:uid="{00000000-0005-0000-0000-000097050000}"/>
    <cellStyle name="Vírgula 2 2 2 3 2 2" xfId="568" xr:uid="{00000000-0005-0000-0000-000098050000}"/>
    <cellStyle name="Vírgula 2 2 2 3 2 2 2" xfId="1184" xr:uid="{00000000-0005-0000-0000-000099050000}"/>
    <cellStyle name="Vírgula 2 2 2 3 2 2 3" xfId="1800" xr:uid="{00000000-0005-0000-0000-00009A050000}"/>
    <cellStyle name="Vírgula 2 2 2 3 2 2 4" xfId="2416" xr:uid="{00000000-0005-0000-0000-00009B050000}"/>
    <cellStyle name="Vírgula 2 2 2 3 2 3" xfId="876" xr:uid="{00000000-0005-0000-0000-00009C050000}"/>
    <cellStyle name="Vírgula 2 2 2 3 2 4" xfId="1492" xr:uid="{00000000-0005-0000-0000-00009D050000}"/>
    <cellStyle name="Vírgula 2 2 2 3 2 5" xfId="2108" xr:uid="{00000000-0005-0000-0000-00009E050000}"/>
    <cellStyle name="Vírgula 2 2 2 3 3" xfId="444" xr:uid="{00000000-0005-0000-0000-00009F050000}"/>
    <cellStyle name="Vírgula 2 2 2 3 3 2" xfId="1060" xr:uid="{00000000-0005-0000-0000-0000A0050000}"/>
    <cellStyle name="Vírgula 2 2 2 3 3 3" xfId="1676" xr:uid="{00000000-0005-0000-0000-0000A1050000}"/>
    <cellStyle name="Vírgula 2 2 2 3 3 4" xfId="2292" xr:uid="{00000000-0005-0000-0000-0000A2050000}"/>
    <cellStyle name="Vírgula 2 2 2 3 4" xfId="752" xr:uid="{00000000-0005-0000-0000-0000A3050000}"/>
    <cellStyle name="Vírgula 2 2 2 3 5" xfId="1368" xr:uid="{00000000-0005-0000-0000-0000A4050000}"/>
    <cellStyle name="Vírgula 2 2 2 3 6" xfId="1984" xr:uid="{00000000-0005-0000-0000-0000A5050000}"/>
    <cellStyle name="Vírgula 2 2 2 4" xfId="194" xr:uid="{00000000-0005-0000-0000-0000A6050000}"/>
    <cellStyle name="Vírgula 2 2 2 4 2" xfId="506" xr:uid="{00000000-0005-0000-0000-0000A7050000}"/>
    <cellStyle name="Vírgula 2 2 2 4 2 2" xfId="1122" xr:uid="{00000000-0005-0000-0000-0000A8050000}"/>
    <cellStyle name="Vírgula 2 2 2 4 2 3" xfId="1738" xr:uid="{00000000-0005-0000-0000-0000A9050000}"/>
    <cellStyle name="Vírgula 2 2 2 4 2 4" xfId="2354" xr:uid="{00000000-0005-0000-0000-0000AA050000}"/>
    <cellStyle name="Vírgula 2 2 2 4 3" xfId="814" xr:uid="{00000000-0005-0000-0000-0000AB050000}"/>
    <cellStyle name="Vírgula 2 2 2 4 4" xfId="1430" xr:uid="{00000000-0005-0000-0000-0000AC050000}"/>
    <cellStyle name="Vírgula 2 2 2 4 5" xfId="2046" xr:uid="{00000000-0005-0000-0000-0000AD050000}"/>
    <cellStyle name="Vírgula 2 2 2 5" xfId="318" xr:uid="{00000000-0005-0000-0000-0000AE050000}"/>
    <cellStyle name="Vírgula 2 2 2 5 2" xfId="630" xr:uid="{00000000-0005-0000-0000-0000AF050000}"/>
    <cellStyle name="Vírgula 2 2 2 5 2 2" xfId="1246" xr:uid="{00000000-0005-0000-0000-0000B0050000}"/>
    <cellStyle name="Vírgula 2 2 2 5 2 3" xfId="1862" xr:uid="{00000000-0005-0000-0000-0000B1050000}"/>
    <cellStyle name="Vírgula 2 2 2 5 2 4" xfId="2478" xr:uid="{00000000-0005-0000-0000-0000B2050000}"/>
    <cellStyle name="Vírgula 2 2 2 5 3" xfId="938" xr:uid="{00000000-0005-0000-0000-0000B3050000}"/>
    <cellStyle name="Vírgula 2 2 2 5 4" xfId="1554" xr:uid="{00000000-0005-0000-0000-0000B4050000}"/>
    <cellStyle name="Vírgula 2 2 2 5 5" xfId="2170" xr:uid="{00000000-0005-0000-0000-0000B5050000}"/>
    <cellStyle name="Vírgula 2 2 2 6" xfId="382" xr:uid="{00000000-0005-0000-0000-0000B6050000}"/>
    <cellStyle name="Vírgula 2 2 2 6 2" xfId="998" xr:uid="{00000000-0005-0000-0000-0000B7050000}"/>
    <cellStyle name="Vírgula 2 2 2 6 3" xfId="1614" xr:uid="{00000000-0005-0000-0000-0000B8050000}"/>
    <cellStyle name="Vírgula 2 2 2 6 4" xfId="2230" xr:uid="{00000000-0005-0000-0000-0000B9050000}"/>
    <cellStyle name="Vírgula 2 2 2 7" xfId="690" xr:uid="{00000000-0005-0000-0000-0000BA050000}"/>
    <cellStyle name="Vírgula 2 2 2 8" xfId="1306" xr:uid="{00000000-0005-0000-0000-0000BB050000}"/>
    <cellStyle name="Vírgula 2 2 2 9" xfId="1922" xr:uid="{00000000-0005-0000-0000-0000BC050000}"/>
    <cellStyle name="Vírgula 2 2 3" xfId="52" xr:uid="{00000000-0005-0000-0000-0000BD050000}"/>
    <cellStyle name="Vírgula 2 2 3 2" xfId="116" xr:uid="{00000000-0005-0000-0000-0000BE050000}"/>
    <cellStyle name="Vírgula 2 2 3 2 2" xfId="275" xr:uid="{00000000-0005-0000-0000-0000BF050000}"/>
    <cellStyle name="Vírgula 2 2 3 2 2 2" xfId="587" xr:uid="{00000000-0005-0000-0000-0000C0050000}"/>
    <cellStyle name="Vírgula 2 2 3 2 2 2 2" xfId="1203" xr:uid="{00000000-0005-0000-0000-0000C1050000}"/>
    <cellStyle name="Vírgula 2 2 3 2 2 2 3" xfId="1819" xr:uid="{00000000-0005-0000-0000-0000C2050000}"/>
    <cellStyle name="Vírgula 2 2 3 2 2 2 4" xfId="2435" xr:uid="{00000000-0005-0000-0000-0000C3050000}"/>
    <cellStyle name="Vírgula 2 2 3 2 2 3" xfId="895" xr:uid="{00000000-0005-0000-0000-0000C4050000}"/>
    <cellStyle name="Vírgula 2 2 3 2 2 4" xfId="1511" xr:uid="{00000000-0005-0000-0000-0000C5050000}"/>
    <cellStyle name="Vírgula 2 2 3 2 2 5" xfId="2127" xr:uid="{00000000-0005-0000-0000-0000C6050000}"/>
    <cellStyle name="Vírgula 2 2 3 2 3" xfId="463" xr:uid="{00000000-0005-0000-0000-0000C7050000}"/>
    <cellStyle name="Vírgula 2 2 3 2 3 2" xfId="1079" xr:uid="{00000000-0005-0000-0000-0000C8050000}"/>
    <cellStyle name="Vírgula 2 2 3 2 3 3" xfId="1695" xr:uid="{00000000-0005-0000-0000-0000C9050000}"/>
    <cellStyle name="Vírgula 2 2 3 2 3 4" xfId="2311" xr:uid="{00000000-0005-0000-0000-0000CA050000}"/>
    <cellStyle name="Vírgula 2 2 3 2 4" xfId="771" xr:uid="{00000000-0005-0000-0000-0000CB050000}"/>
    <cellStyle name="Vírgula 2 2 3 2 5" xfId="1387" xr:uid="{00000000-0005-0000-0000-0000CC050000}"/>
    <cellStyle name="Vírgula 2 2 3 2 6" xfId="2003" xr:uid="{00000000-0005-0000-0000-0000CD050000}"/>
    <cellStyle name="Vírgula 2 2 3 3" xfId="213" xr:uid="{00000000-0005-0000-0000-0000CE050000}"/>
    <cellStyle name="Vírgula 2 2 3 3 2" xfId="525" xr:uid="{00000000-0005-0000-0000-0000CF050000}"/>
    <cellStyle name="Vírgula 2 2 3 3 2 2" xfId="1141" xr:uid="{00000000-0005-0000-0000-0000D0050000}"/>
    <cellStyle name="Vírgula 2 2 3 3 2 3" xfId="1757" xr:uid="{00000000-0005-0000-0000-0000D1050000}"/>
    <cellStyle name="Vírgula 2 2 3 3 2 4" xfId="2373" xr:uid="{00000000-0005-0000-0000-0000D2050000}"/>
    <cellStyle name="Vírgula 2 2 3 3 3" xfId="833" xr:uid="{00000000-0005-0000-0000-0000D3050000}"/>
    <cellStyle name="Vírgula 2 2 3 3 4" xfId="1449" xr:uid="{00000000-0005-0000-0000-0000D4050000}"/>
    <cellStyle name="Vírgula 2 2 3 3 5" xfId="2065" xr:uid="{00000000-0005-0000-0000-0000D5050000}"/>
    <cellStyle name="Vírgula 2 2 3 4" xfId="337" xr:uid="{00000000-0005-0000-0000-0000D6050000}"/>
    <cellStyle name="Vírgula 2 2 3 4 2" xfId="649" xr:uid="{00000000-0005-0000-0000-0000D7050000}"/>
    <cellStyle name="Vírgula 2 2 3 4 2 2" xfId="1265" xr:uid="{00000000-0005-0000-0000-0000D8050000}"/>
    <cellStyle name="Vírgula 2 2 3 4 2 3" xfId="1881" xr:uid="{00000000-0005-0000-0000-0000D9050000}"/>
    <cellStyle name="Vírgula 2 2 3 4 2 4" xfId="2497" xr:uid="{00000000-0005-0000-0000-0000DA050000}"/>
    <cellStyle name="Vírgula 2 2 3 4 3" xfId="957" xr:uid="{00000000-0005-0000-0000-0000DB050000}"/>
    <cellStyle name="Vírgula 2 2 3 4 4" xfId="1573" xr:uid="{00000000-0005-0000-0000-0000DC050000}"/>
    <cellStyle name="Vírgula 2 2 3 4 5" xfId="2189" xr:uid="{00000000-0005-0000-0000-0000DD050000}"/>
    <cellStyle name="Vírgula 2 2 3 5" xfId="401" xr:uid="{00000000-0005-0000-0000-0000DE050000}"/>
    <cellStyle name="Vírgula 2 2 3 5 2" xfId="1017" xr:uid="{00000000-0005-0000-0000-0000DF050000}"/>
    <cellStyle name="Vírgula 2 2 3 5 3" xfId="1633" xr:uid="{00000000-0005-0000-0000-0000E0050000}"/>
    <cellStyle name="Vírgula 2 2 3 5 4" xfId="2249" xr:uid="{00000000-0005-0000-0000-0000E1050000}"/>
    <cellStyle name="Vírgula 2 2 3 6" xfId="709" xr:uid="{00000000-0005-0000-0000-0000E2050000}"/>
    <cellStyle name="Vírgula 2 2 3 7" xfId="1325" xr:uid="{00000000-0005-0000-0000-0000E3050000}"/>
    <cellStyle name="Vírgula 2 2 3 8" xfId="1941" xr:uid="{00000000-0005-0000-0000-0000E4050000}"/>
    <cellStyle name="Vírgula 2 2 4" xfId="86" xr:uid="{00000000-0005-0000-0000-0000E5050000}"/>
    <cellStyle name="Vírgula 2 2 4 2" xfId="245" xr:uid="{00000000-0005-0000-0000-0000E6050000}"/>
    <cellStyle name="Vírgula 2 2 4 2 2" xfId="557" xr:uid="{00000000-0005-0000-0000-0000E7050000}"/>
    <cellStyle name="Vírgula 2 2 4 2 2 2" xfId="1173" xr:uid="{00000000-0005-0000-0000-0000E8050000}"/>
    <cellStyle name="Vírgula 2 2 4 2 2 3" xfId="1789" xr:uid="{00000000-0005-0000-0000-0000E9050000}"/>
    <cellStyle name="Vírgula 2 2 4 2 2 4" xfId="2405" xr:uid="{00000000-0005-0000-0000-0000EA050000}"/>
    <cellStyle name="Vírgula 2 2 4 2 3" xfId="865" xr:uid="{00000000-0005-0000-0000-0000EB050000}"/>
    <cellStyle name="Vírgula 2 2 4 2 4" xfId="1481" xr:uid="{00000000-0005-0000-0000-0000EC050000}"/>
    <cellStyle name="Vírgula 2 2 4 2 5" xfId="2097" xr:uid="{00000000-0005-0000-0000-0000ED050000}"/>
    <cellStyle name="Vírgula 2 2 4 3" xfId="433" xr:uid="{00000000-0005-0000-0000-0000EE050000}"/>
    <cellStyle name="Vírgula 2 2 4 3 2" xfId="1049" xr:uid="{00000000-0005-0000-0000-0000EF050000}"/>
    <cellStyle name="Vírgula 2 2 4 3 3" xfId="1665" xr:uid="{00000000-0005-0000-0000-0000F0050000}"/>
    <cellStyle name="Vírgula 2 2 4 3 4" xfId="2281" xr:uid="{00000000-0005-0000-0000-0000F1050000}"/>
    <cellStyle name="Vírgula 2 2 4 4" xfId="741" xr:uid="{00000000-0005-0000-0000-0000F2050000}"/>
    <cellStyle name="Vírgula 2 2 4 5" xfId="1357" xr:uid="{00000000-0005-0000-0000-0000F3050000}"/>
    <cellStyle name="Vírgula 2 2 4 6" xfId="1973" xr:uid="{00000000-0005-0000-0000-0000F4050000}"/>
    <cellStyle name="Vírgula 2 2 5" xfId="183" xr:uid="{00000000-0005-0000-0000-0000F5050000}"/>
    <cellStyle name="Vírgula 2 2 5 2" xfId="495" xr:uid="{00000000-0005-0000-0000-0000F6050000}"/>
    <cellStyle name="Vírgula 2 2 5 2 2" xfId="1111" xr:uid="{00000000-0005-0000-0000-0000F7050000}"/>
    <cellStyle name="Vírgula 2 2 5 2 3" xfId="1727" xr:uid="{00000000-0005-0000-0000-0000F8050000}"/>
    <cellStyle name="Vírgula 2 2 5 2 4" xfId="2343" xr:uid="{00000000-0005-0000-0000-0000F9050000}"/>
    <cellStyle name="Vírgula 2 2 5 3" xfId="803" xr:uid="{00000000-0005-0000-0000-0000FA050000}"/>
    <cellStyle name="Vírgula 2 2 5 4" xfId="1419" xr:uid="{00000000-0005-0000-0000-0000FB050000}"/>
    <cellStyle name="Vírgula 2 2 5 5" xfId="2035" xr:uid="{00000000-0005-0000-0000-0000FC050000}"/>
    <cellStyle name="Vírgula 2 2 6" xfId="307" xr:uid="{00000000-0005-0000-0000-0000FD050000}"/>
    <cellStyle name="Vírgula 2 2 6 2" xfId="619" xr:uid="{00000000-0005-0000-0000-0000FE050000}"/>
    <cellStyle name="Vírgula 2 2 6 2 2" xfId="1235" xr:uid="{00000000-0005-0000-0000-0000FF050000}"/>
    <cellStyle name="Vírgula 2 2 6 2 3" xfId="1851" xr:uid="{00000000-0005-0000-0000-000000060000}"/>
    <cellStyle name="Vírgula 2 2 6 2 4" xfId="2467" xr:uid="{00000000-0005-0000-0000-000001060000}"/>
    <cellStyle name="Vírgula 2 2 6 3" xfId="927" xr:uid="{00000000-0005-0000-0000-000002060000}"/>
    <cellStyle name="Vírgula 2 2 6 4" xfId="1543" xr:uid="{00000000-0005-0000-0000-000003060000}"/>
    <cellStyle name="Vírgula 2 2 6 5" xfId="2159" xr:uid="{00000000-0005-0000-0000-000004060000}"/>
    <cellStyle name="Vírgula 2 2 7" xfId="371" xr:uid="{00000000-0005-0000-0000-000005060000}"/>
    <cellStyle name="Vírgula 2 2 7 2" xfId="987" xr:uid="{00000000-0005-0000-0000-000006060000}"/>
    <cellStyle name="Vírgula 2 2 7 3" xfId="1603" xr:uid="{00000000-0005-0000-0000-000007060000}"/>
    <cellStyle name="Vírgula 2 2 7 4" xfId="2219" xr:uid="{00000000-0005-0000-0000-000008060000}"/>
    <cellStyle name="Vírgula 2 2 8" xfId="679" xr:uid="{00000000-0005-0000-0000-000009060000}"/>
    <cellStyle name="Vírgula 2 2 9" xfId="1295" xr:uid="{00000000-0005-0000-0000-00000A060000}"/>
    <cellStyle name="Vírgula 2 3" xfId="17" xr:uid="{00000000-0005-0000-0000-00000B060000}"/>
    <cellStyle name="Vírgula 2 4" xfId="25" xr:uid="{00000000-0005-0000-0000-00000C060000}"/>
    <cellStyle name="Vírgula 2 4 2" xfId="59" xr:uid="{00000000-0005-0000-0000-00000D060000}"/>
    <cellStyle name="Vírgula 2 4 2 2" xfId="123" xr:uid="{00000000-0005-0000-0000-00000E060000}"/>
    <cellStyle name="Vírgula 2 4 2 2 2" xfId="282" xr:uid="{00000000-0005-0000-0000-00000F060000}"/>
    <cellStyle name="Vírgula 2 4 2 2 2 2" xfId="594" xr:uid="{00000000-0005-0000-0000-000010060000}"/>
    <cellStyle name="Vírgula 2 4 2 2 2 2 2" xfId="1210" xr:uid="{00000000-0005-0000-0000-000011060000}"/>
    <cellStyle name="Vírgula 2 4 2 2 2 2 3" xfId="1826" xr:uid="{00000000-0005-0000-0000-000012060000}"/>
    <cellStyle name="Vírgula 2 4 2 2 2 2 4" xfId="2442" xr:uid="{00000000-0005-0000-0000-000013060000}"/>
    <cellStyle name="Vírgula 2 4 2 2 2 3" xfId="902" xr:uid="{00000000-0005-0000-0000-000014060000}"/>
    <cellStyle name="Vírgula 2 4 2 2 2 4" xfId="1518" xr:uid="{00000000-0005-0000-0000-000015060000}"/>
    <cellStyle name="Vírgula 2 4 2 2 2 5" xfId="2134" xr:uid="{00000000-0005-0000-0000-000016060000}"/>
    <cellStyle name="Vírgula 2 4 2 2 3" xfId="470" xr:uid="{00000000-0005-0000-0000-000017060000}"/>
    <cellStyle name="Vírgula 2 4 2 2 3 2" xfId="1086" xr:uid="{00000000-0005-0000-0000-000018060000}"/>
    <cellStyle name="Vírgula 2 4 2 2 3 3" xfId="1702" xr:uid="{00000000-0005-0000-0000-000019060000}"/>
    <cellStyle name="Vírgula 2 4 2 2 3 4" xfId="2318" xr:uid="{00000000-0005-0000-0000-00001A060000}"/>
    <cellStyle name="Vírgula 2 4 2 2 4" xfId="778" xr:uid="{00000000-0005-0000-0000-00001B060000}"/>
    <cellStyle name="Vírgula 2 4 2 2 5" xfId="1394" xr:uid="{00000000-0005-0000-0000-00001C060000}"/>
    <cellStyle name="Vírgula 2 4 2 2 6" xfId="2010" xr:uid="{00000000-0005-0000-0000-00001D060000}"/>
    <cellStyle name="Vírgula 2 4 2 3" xfId="220" xr:uid="{00000000-0005-0000-0000-00001E060000}"/>
    <cellStyle name="Vírgula 2 4 2 3 2" xfId="532" xr:uid="{00000000-0005-0000-0000-00001F060000}"/>
    <cellStyle name="Vírgula 2 4 2 3 2 2" xfId="1148" xr:uid="{00000000-0005-0000-0000-000020060000}"/>
    <cellStyle name="Vírgula 2 4 2 3 2 3" xfId="1764" xr:uid="{00000000-0005-0000-0000-000021060000}"/>
    <cellStyle name="Vírgula 2 4 2 3 2 4" xfId="2380" xr:uid="{00000000-0005-0000-0000-000022060000}"/>
    <cellStyle name="Vírgula 2 4 2 3 3" xfId="840" xr:uid="{00000000-0005-0000-0000-000023060000}"/>
    <cellStyle name="Vírgula 2 4 2 3 4" xfId="1456" xr:uid="{00000000-0005-0000-0000-000024060000}"/>
    <cellStyle name="Vírgula 2 4 2 3 5" xfId="2072" xr:uid="{00000000-0005-0000-0000-000025060000}"/>
    <cellStyle name="Vírgula 2 4 2 4" xfId="344" xr:uid="{00000000-0005-0000-0000-000026060000}"/>
    <cellStyle name="Vírgula 2 4 2 4 2" xfId="656" xr:uid="{00000000-0005-0000-0000-000027060000}"/>
    <cellStyle name="Vírgula 2 4 2 4 2 2" xfId="1272" xr:uid="{00000000-0005-0000-0000-000028060000}"/>
    <cellStyle name="Vírgula 2 4 2 4 2 3" xfId="1888" xr:uid="{00000000-0005-0000-0000-000029060000}"/>
    <cellStyle name="Vírgula 2 4 2 4 2 4" xfId="2504" xr:uid="{00000000-0005-0000-0000-00002A060000}"/>
    <cellStyle name="Vírgula 2 4 2 4 3" xfId="964" xr:uid="{00000000-0005-0000-0000-00002B060000}"/>
    <cellStyle name="Vírgula 2 4 2 4 4" xfId="1580" xr:uid="{00000000-0005-0000-0000-00002C060000}"/>
    <cellStyle name="Vírgula 2 4 2 4 5" xfId="2196" xr:uid="{00000000-0005-0000-0000-00002D060000}"/>
    <cellStyle name="Vírgula 2 4 2 5" xfId="408" xr:uid="{00000000-0005-0000-0000-00002E060000}"/>
    <cellStyle name="Vírgula 2 4 2 5 2" xfId="1024" xr:uid="{00000000-0005-0000-0000-00002F060000}"/>
    <cellStyle name="Vírgula 2 4 2 5 3" xfId="1640" xr:uid="{00000000-0005-0000-0000-000030060000}"/>
    <cellStyle name="Vírgula 2 4 2 5 4" xfId="2256" xr:uid="{00000000-0005-0000-0000-000031060000}"/>
    <cellStyle name="Vírgula 2 4 2 6" xfId="716" xr:uid="{00000000-0005-0000-0000-000032060000}"/>
    <cellStyle name="Vírgula 2 4 2 7" xfId="1332" xr:uid="{00000000-0005-0000-0000-000033060000}"/>
    <cellStyle name="Vírgula 2 4 2 8" xfId="1948" xr:uid="{00000000-0005-0000-0000-000034060000}"/>
    <cellStyle name="Vírgula 2 4 3" xfId="93" xr:uid="{00000000-0005-0000-0000-000035060000}"/>
    <cellStyle name="Vírgula 2 4 3 2" xfId="252" xr:uid="{00000000-0005-0000-0000-000036060000}"/>
    <cellStyle name="Vírgula 2 4 3 2 2" xfId="564" xr:uid="{00000000-0005-0000-0000-000037060000}"/>
    <cellStyle name="Vírgula 2 4 3 2 2 2" xfId="1180" xr:uid="{00000000-0005-0000-0000-000038060000}"/>
    <cellStyle name="Vírgula 2 4 3 2 2 3" xfId="1796" xr:uid="{00000000-0005-0000-0000-000039060000}"/>
    <cellStyle name="Vírgula 2 4 3 2 2 4" xfId="2412" xr:uid="{00000000-0005-0000-0000-00003A060000}"/>
    <cellStyle name="Vírgula 2 4 3 2 3" xfId="872" xr:uid="{00000000-0005-0000-0000-00003B060000}"/>
    <cellStyle name="Vírgula 2 4 3 2 4" xfId="1488" xr:uid="{00000000-0005-0000-0000-00003C060000}"/>
    <cellStyle name="Vírgula 2 4 3 2 5" xfId="2104" xr:uid="{00000000-0005-0000-0000-00003D060000}"/>
    <cellStyle name="Vírgula 2 4 3 3" xfId="440" xr:uid="{00000000-0005-0000-0000-00003E060000}"/>
    <cellStyle name="Vírgula 2 4 3 3 2" xfId="1056" xr:uid="{00000000-0005-0000-0000-00003F060000}"/>
    <cellStyle name="Vírgula 2 4 3 3 3" xfId="1672" xr:uid="{00000000-0005-0000-0000-000040060000}"/>
    <cellStyle name="Vírgula 2 4 3 3 4" xfId="2288" xr:uid="{00000000-0005-0000-0000-000041060000}"/>
    <cellStyle name="Vírgula 2 4 3 4" xfId="748" xr:uid="{00000000-0005-0000-0000-000042060000}"/>
    <cellStyle name="Vírgula 2 4 3 5" xfId="1364" xr:uid="{00000000-0005-0000-0000-000043060000}"/>
    <cellStyle name="Vírgula 2 4 3 6" xfId="1980" xr:uid="{00000000-0005-0000-0000-000044060000}"/>
    <cellStyle name="Vírgula 2 4 4" xfId="190" xr:uid="{00000000-0005-0000-0000-000045060000}"/>
    <cellStyle name="Vírgula 2 4 4 2" xfId="502" xr:uid="{00000000-0005-0000-0000-000046060000}"/>
    <cellStyle name="Vírgula 2 4 4 2 2" xfId="1118" xr:uid="{00000000-0005-0000-0000-000047060000}"/>
    <cellStyle name="Vírgula 2 4 4 2 3" xfId="1734" xr:uid="{00000000-0005-0000-0000-000048060000}"/>
    <cellStyle name="Vírgula 2 4 4 2 4" xfId="2350" xr:uid="{00000000-0005-0000-0000-000049060000}"/>
    <cellStyle name="Vírgula 2 4 4 3" xfId="810" xr:uid="{00000000-0005-0000-0000-00004A060000}"/>
    <cellStyle name="Vírgula 2 4 4 4" xfId="1426" xr:uid="{00000000-0005-0000-0000-00004B060000}"/>
    <cellStyle name="Vírgula 2 4 4 5" xfId="2042" xr:uid="{00000000-0005-0000-0000-00004C060000}"/>
    <cellStyle name="Vírgula 2 4 5" xfId="314" xr:uid="{00000000-0005-0000-0000-00004D060000}"/>
    <cellStyle name="Vírgula 2 4 5 2" xfId="626" xr:uid="{00000000-0005-0000-0000-00004E060000}"/>
    <cellStyle name="Vírgula 2 4 5 2 2" xfId="1242" xr:uid="{00000000-0005-0000-0000-00004F060000}"/>
    <cellStyle name="Vírgula 2 4 5 2 3" xfId="1858" xr:uid="{00000000-0005-0000-0000-000050060000}"/>
    <cellStyle name="Vírgula 2 4 5 2 4" xfId="2474" xr:uid="{00000000-0005-0000-0000-000051060000}"/>
    <cellStyle name="Vírgula 2 4 5 3" xfId="934" xr:uid="{00000000-0005-0000-0000-000052060000}"/>
    <cellStyle name="Vírgula 2 4 5 4" xfId="1550" xr:uid="{00000000-0005-0000-0000-000053060000}"/>
    <cellStyle name="Vírgula 2 4 5 5" xfId="2166" xr:uid="{00000000-0005-0000-0000-000054060000}"/>
    <cellStyle name="Vírgula 2 4 6" xfId="378" xr:uid="{00000000-0005-0000-0000-000055060000}"/>
    <cellStyle name="Vírgula 2 4 6 2" xfId="994" xr:uid="{00000000-0005-0000-0000-000056060000}"/>
    <cellStyle name="Vírgula 2 4 6 3" xfId="1610" xr:uid="{00000000-0005-0000-0000-000057060000}"/>
    <cellStyle name="Vírgula 2 4 6 4" xfId="2226" xr:uid="{00000000-0005-0000-0000-000058060000}"/>
    <cellStyle name="Vírgula 2 4 7" xfId="686" xr:uid="{00000000-0005-0000-0000-000059060000}"/>
    <cellStyle name="Vírgula 2 4 8" xfId="1302" xr:uid="{00000000-0005-0000-0000-00005A060000}"/>
    <cellStyle name="Vírgula 2 4 9" xfId="1918" xr:uid="{00000000-0005-0000-0000-00005B060000}"/>
    <cellStyle name="Vírgula 2 5" xfId="43" xr:uid="{00000000-0005-0000-0000-00005C060000}"/>
    <cellStyle name="Vírgula 2 5 2" xfId="75" xr:uid="{00000000-0005-0000-0000-00005D060000}"/>
    <cellStyle name="Vírgula 2 5 2 2" xfId="137" xr:uid="{00000000-0005-0000-0000-00005E060000}"/>
    <cellStyle name="Vírgula 2 5 2 2 2" xfId="296" xr:uid="{00000000-0005-0000-0000-00005F060000}"/>
    <cellStyle name="Vírgula 2 5 2 2 2 2" xfId="608" xr:uid="{00000000-0005-0000-0000-000060060000}"/>
    <cellStyle name="Vírgula 2 5 2 2 2 2 2" xfId="1224" xr:uid="{00000000-0005-0000-0000-000061060000}"/>
    <cellStyle name="Vírgula 2 5 2 2 2 2 3" xfId="1840" xr:uid="{00000000-0005-0000-0000-000062060000}"/>
    <cellStyle name="Vírgula 2 5 2 2 2 2 4" xfId="2456" xr:uid="{00000000-0005-0000-0000-000063060000}"/>
    <cellStyle name="Vírgula 2 5 2 2 2 3" xfId="916" xr:uid="{00000000-0005-0000-0000-000064060000}"/>
    <cellStyle name="Vírgula 2 5 2 2 2 4" xfId="1532" xr:uid="{00000000-0005-0000-0000-000065060000}"/>
    <cellStyle name="Vírgula 2 5 2 2 2 5" xfId="2148" xr:uid="{00000000-0005-0000-0000-000066060000}"/>
    <cellStyle name="Vírgula 2 5 2 2 3" xfId="484" xr:uid="{00000000-0005-0000-0000-000067060000}"/>
    <cellStyle name="Vírgula 2 5 2 2 3 2" xfId="1100" xr:uid="{00000000-0005-0000-0000-000068060000}"/>
    <cellStyle name="Vírgula 2 5 2 2 3 3" xfId="1716" xr:uid="{00000000-0005-0000-0000-000069060000}"/>
    <cellStyle name="Vírgula 2 5 2 2 3 4" xfId="2332" xr:uid="{00000000-0005-0000-0000-00006A060000}"/>
    <cellStyle name="Vírgula 2 5 2 2 4" xfId="792" xr:uid="{00000000-0005-0000-0000-00006B060000}"/>
    <cellStyle name="Vírgula 2 5 2 2 5" xfId="1408" xr:uid="{00000000-0005-0000-0000-00006C060000}"/>
    <cellStyle name="Vírgula 2 5 2 2 6" xfId="2024" xr:uid="{00000000-0005-0000-0000-00006D060000}"/>
    <cellStyle name="Vírgula 2 5 2 3" xfId="234" xr:uid="{00000000-0005-0000-0000-00006E060000}"/>
    <cellStyle name="Vírgula 2 5 2 3 2" xfId="546" xr:uid="{00000000-0005-0000-0000-00006F060000}"/>
    <cellStyle name="Vírgula 2 5 2 3 2 2" xfId="1162" xr:uid="{00000000-0005-0000-0000-000070060000}"/>
    <cellStyle name="Vírgula 2 5 2 3 2 3" xfId="1778" xr:uid="{00000000-0005-0000-0000-000071060000}"/>
    <cellStyle name="Vírgula 2 5 2 3 2 4" xfId="2394" xr:uid="{00000000-0005-0000-0000-000072060000}"/>
    <cellStyle name="Vírgula 2 5 2 3 3" xfId="854" xr:uid="{00000000-0005-0000-0000-000073060000}"/>
    <cellStyle name="Vírgula 2 5 2 3 4" xfId="1470" xr:uid="{00000000-0005-0000-0000-000074060000}"/>
    <cellStyle name="Vírgula 2 5 2 3 5" xfId="2086" xr:uid="{00000000-0005-0000-0000-000075060000}"/>
    <cellStyle name="Vírgula 2 5 2 4" xfId="358" xr:uid="{00000000-0005-0000-0000-000076060000}"/>
    <cellStyle name="Vírgula 2 5 2 4 2" xfId="670" xr:uid="{00000000-0005-0000-0000-000077060000}"/>
    <cellStyle name="Vírgula 2 5 2 4 2 2" xfId="1286" xr:uid="{00000000-0005-0000-0000-000078060000}"/>
    <cellStyle name="Vírgula 2 5 2 4 2 3" xfId="1902" xr:uid="{00000000-0005-0000-0000-000079060000}"/>
    <cellStyle name="Vírgula 2 5 2 4 2 4" xfId="2518" xr:uid="{00000000-0005-0000-0000-00007A060000}"/>
    <cellStyle name="Vírgula 2 5 2 4 3" xfId="978" xr:uid="{00000000-0005-0000-0000-00007B060000}"/>
    <cellStyle name="Vírgula 2 5 2 4 4" xfId="1594" xr:uid="{00000000-0005-0000-0000-00007C060000}"/>
    <cellStyle name="Vírgula 2 5 2 4 5" xfId="2210" xr:uid="{00000000-0005-0000-0000-00007D060000}"/>
    <cellStyle name="Vírgula 2 5 2 5" xfId="422" xr:uid="{00000000-0005-0000-0000-00007E060000}"/>
    <cellStyle name="Vírgula 2 5 2 5 2" xfId="1038" xr:uid="{00000000-0005-0000-0000-00007F060000}"/>
    <cellStyle name="Vírgula 2 5 2 5 3" xfId="1654" xr:uid="{00000000-0005-0000-0000-000080060000}"/>
    <cellStyle name="Vírgula 2 5 2 5 4" xfId="2270" xr:uid="{00000000-0005-0000-0000-000081060000}"/>
    <cellStyle name="Vírgula 2 5 2 6" xfId="730" xr:uid="{00000000-0005-0000-0000-000082060000}"/>
    <cellStyle name="Vírgula 2 5 2 7" xfId="1346" xr:uid="{00000000-0005-0000-0000-000083060000}"/>
    <cellStyle name="Vírgula 2 5 2 8" xfId="1962" xr:uid="{00000000-0005-0000-0000-000084060000}"/>
    <cellStyle name="Vírgula 2 5 3" xfId="107" xr:uid="{00000000-0005-0000-0000-000085060000}"/>
    <cellStyle name="Vírgula 2 5 3 2" xfId="266" xr:uid="{00000000-0005-0000-0000-000086060000}"/>
    <cellStyle name="Vírgula 2 5 3 2 2" xfId="578" xr:uid="{00000000-0005-0000-0000-000087060000}"/>
    <cellStyle name="Vírgula 2 5 3 2 2 2" xfId="1194" xr:uid="{00000000-0005-0000-0000-000088060000}"/>
    <cellStyle name="Vírgula 2 5 3 2 2 3" xfId="1810" xr:uid="{00000000-0005-0000-0000-000089060000}"/>
    <cellStyle name="Vírgula 2 5 3 2 2 4" xfId="2426" xr:uid="{00000000-0005-0000-0000-00008A060000}"/>
    <cellStyle name="Vírgula 2 5 3 2 3" xfId="886" xr:uid="{00000000-0005-0000-0000-00008B060000}"/>
    <cellStyle name="Vírgula 2 5 3 2 4" xfId="1502" xr:uid="{00000000-0005-0000-0000-00008C060000}"/>
    <cellStyle name="Vírgula 2 5 3 2 5" xfId="2118" xr:uid="{00000000-0005-0000-0000-00008D060000}"/>
    <cellStyle name="Vírgula 2 5 3 3" xfId="454" xr:uid="{00000000-0005-0000-0000-00008E060000}"/>
    <cellStyle name="Vírgula 2 5 3 3 2" xfId="1070" xr:uid="{00000000-0005-0000-0000-00008F060000}"/>
    <cellStyle name="Vírgula 2 5 3 3 3" xfId="1686" xr:uid="{00000000-0005-0000-0000-000090060000}"/>
    <cellStyle name="Vírgula 2 5 3 3 4" xfId="2302" xr:uid="{00000000-0005-0000-0000-000091060000}"/>
    <cellStyle name="Vírgula 2 5 3 4" xfId="762" xr:uid="{00000000-0005-0000-0000-000092060000}"/>
    <cellStyle name="Vírgula 2 5 3 5" xfId="1378" xr:uid="{00000000-0005-0000-0000-000093060000}"/>
    <cellStyle name="Vírgula 2 5 3 6" xfId="1994" xr:uid="{00000000-0005-0000-0000-000094060000}"/>
    <cellStyle name="Vírgula 2 5 4" xfId="204" xr:uid="{00000000-0005-0000-0000-000095060000}"/>
    <cellStyle name="Vírgula 2 5 4 2" xfId="516" xr:uid="{00000000-0005-0000-0000-000096060000}"/>
    <cellStyle name="Vírgula 2 5 4 2 2" xfId="1132" xr:uid="{00000000-0005-0000-0000-000097060000}"/>
    <cellStyle name="Vírgula 2 5 4 2 3" xfId="1748" xr:uid="{00000000-0005-0000-0000-000098060000}"/>
    <cellStyle name="Vírgula 2 5 4 2 4" xfId="2364" xr:uid="{00000000-0005-0000-0000-000099060000}"/>
    <cellStyle name="Vírgula 2 5 4 3" xfId="824" xr:uid="{00000000-0005-0000-0000-00009A060000}"/>
    <cellStyle name="Vírgula 2 5 4 4" xfId="1440" xr:uid="{00000000-0005-0000-0000-00009B060000}"/>
    <cellStyle name="Vírgula 2 5 4 5" xfId="2056" xr:uid="{00000000-0005-0000-0000-00009C060000}"/>
    <cellStyle name="Vírgula 2 5 5" xfId="328" xr:uid="{00000000-0005-0000-0000-00009D060000}"/>
    <cellStyle name="Vírgula 2 5 5 2" xfId="640" xr:uid="{00000000-0005-0000-0000-00009E060000}"/>
    <cellStyle name="Vírgula 2 5 5 2 2" xfId="1256" xr:uid="{00000000-0005-0000-0000-00009F060000}"/>
    <cellStyle name="Vírgula 2 5 5 2 3" xfId="1872" xr:uid="{00000000-0005-0000-0000-0000A0060000}"/>
    <cellStyle name="Vírgula 2 5 5 2 4" xfId="2488" xr:uid="{00000000-0005-0000-0000-0000A1060000}"/>
    <cellStyle name="Vírgula 2 5 5 3" xfId="948" xr:uid="{00000000-0005-0000-0000-0000A2060000}"/>
    <cellStyle name="Vírgula 2 5 5 4" xfId="1564" xr:uid="{00000000-0005-0000-0000-0000A3060000}"/>
    <cellStyle name="Vírgula 2 5 5 5" xfId="2180" xr:uid="{00000000-0005-0000-0000-0000A4060000}"/>
    <cellStyle name="Vírgula 2 5 6" xfId="392" xr:uid="{00000000-0005-0000-0000-0000A5060000}"/>
    <cellStyle name="Vírgula 2 5 6 2" xfId="1008" xr:uid="{00000000-0005-0000-0000-0000A6060000}"/>
    <cellStyle name="Vírgula 2 5 6 3" xfId="1624" xr:uid="{00000000-0005-0000-0000-0000A7060000}"/>
    <cellStyle name="Vírgula 2 5 6 4" xfId="2240" xr:uid="{00000000-0005-0000-0000-0000A8060000}"/>
    <cellStyle name="Vírgula 2 5 7" xfId="700" xr:uid="{00000000-0005-0000-0000-0000A9060000}"/>
    <cellStyle name="Vírgula 2 5 8" xfId="1316" xr:uid="{00000000-0005-0000-0000-0000AA060000}"/>
    <cellStyle name="Vírgula 2 5 9" xfId="1932" xr:uid="{00000000-0005-0000-0000-0000AB060000}"/>
    <cellStyle name="Vírgula 2 6" xfId="48" xr:uid="{00000000-0005-0000-0000-0000AC060000}"/>
    <cellStyle name="Vírgula 2 6 2" xfId="112" xr:uid="{00000000-0005-0000-0000-0000AD060000}"/>
    <cellStyle name="Vírgula 2 6 2 2" xfId="271" xr:uid="{00000000-0005-0000-0000-0000AE060000}"/>
    <cellStyle name="Vírgula 2 6 2 2 2" xfId="583" xr:uid="{00000000-0005-0000-0000-0000AF060000}"/>
    <cellStyle name="Vírgula 2 6 2 2 2 2" xfId="1199" xr:uid="{00000000-0005-0000-0000-0000B0060000}"/>
    <cellStyle name="Vírgula 2 6 2 2 2 3" xfId="1815" xr:uid="{00000000-0005-0000-0000-0000B1060000}"/>
    <cellStyle name="Vírgula 2 6 2 2 2 4" xfId="2431" xr:uid="{00000000-0005-0000-0000-0000B2060000}"/>
    <cellStyle name="Vírgula 2 6 2 2 3" xfId="891" xr:uid="{00000000-0005-0000-0000-0000B3060000}"/>
    <cellStyle name="Vírgula 2 6 2 2 4" xfId="1507" xr:uid="{00000000-0005-0000-0000-0000B4060000}"/>
    <cellStyle name="Vírgula 2 6 2 2 5" xfId="2123" xr:uid="{00000000-0005-0000-0000-0000B5060000}"/>
    <cellStyle name="Vírgula 2 6 2 3" xfId="459" xr:uid="{00000000-0005-0000-0000-0000B6060000}"/>
    <cellStyle name="Vírgula 2 6 2 3 2" xfId="1075" xr:uid="{00000000-0005-0000-0000-0000B7060000}"/>
    <cellStyle name="Vírgula 2 6 2 3 3" xfId="1691" xr:uid="{00000000-0005-0000-0000-0000B8060000}"/>
    <cellStyle name="Vírgula 2 6 2 3 4" xfId="2307" xr:uid="{00000000-0005-0000-0000-0000B9060000}"/>
    <cellStyle name="Vírgula 2 6 2 4" xfId="767" xr:uid="{00000000-0005-0000-0000-0000BA060000}"/>
    <cellStyle name="Vírgula 2 6 2 5" xfId="1383" xr:uid="{00000000-0005-0000-0000-0000BB060000}"/>
    <cellStyle name="Vírgula 2 6 2 6" xfId="1999" xr:uid="{00000000-0005-0000-0000-0000BC060000}"/>
    <cellStyle name="Vírgula 2 6 3" xfId="209" xr:uid="{00000000-0005-0000-0000-0000BD060000}"/>
    <cellStyle name="Vírgula 2 6 3 2" xfId="521" xr:uid="{00000000-0005-0000-0000-0000BE060000}"/>
    <cellStyle name="Vírgula 2 6 3 2 2" xfId="1137" xr:uid="{00000000-0005-0000-0000-0000BF060000}"/>
    <cellStyle name="Vírgula 2 6 3 2 3" xfId="1753" xr:uid="{00000000-0005-0000-0000-0000C0060000}"/>
    <cellStyle name="Vírgula 2 6 3 2 4" xfId="2369" xr:uid="{00000000-0005-0000-0000-0000C1060000}"/>
    <cellStyle name="Vírgula 2 6 3 3" xfId="829" xr:uid="{00000000-0005-0000-0000-0000C2060000}"/>
    <cellStyle name="Vírgula 2 6 3 4" xfId="1445" xr:uid="{00000000-0005-0000-0000-0000C3060000}"/>
    <cellStyle name="Vírgula 2 6 3 5" xfId="2061" xr:uid="{00000000-0005-0000-0000-0000C4060000}"/>
    <cellStyle name="Vírgula 2 6 4" xfId="333" xr:uid="{00000000-0005-0000-0000-0000C5060000}"/>
    <cellStyle name="Vírgula 2 6 4 2" xfId="645" xr:uid="{00000000-0005-0000-0000-0000C6060000}"/>
    <cellStyle name="Vírgula 2 6 4 2 2" xfId="1261" xr:uid="{00000000-0005-0000-0000-0000C7060000}"/>
    <cellStyle name="Vírgula 2 6 4 2 3" xfId="1877" xr:uid="{00000000-0005-0000-0000-0000C8060000}"/>
    <cellStyle name="Vírgula 2 6 4 2 4" xfId="2493" xr:uid="{00000000-0005-0000-0000-0000C9060000}"/>
    <cellStyle name="Vírgula 2 6 4 3" xfId="953" xr:uid="{00000000-0005-0000-0000-0000CA060000}"/>
    <cellStyle name="Vírgula 2 6 4 4" xfId="1569" xr:uid="{00000000-0005-0000-0000-0000CB060000}"/>
    <cellStyle name="Vírgula 2 6 4 5" xfId="2185" xr:uid="{00000000-0005-0000-0000-0000CC060000}"/>
    <cellStyle name="Vírgula 2 6 5" xfId="397" xr:uid="{00000000-0005-0000-0000-0000CD060000}"/>
    <cellStyle name="Vírgula 2 6 5 2" xfId="1013" xr:uid="{00000000-0005-0000-0000-0000CE060000}"/>
    <cellStyle name="Vírgula 2 6 5 3" xfId="1629" xr:uid="{00000000-0005-0000-0000-0000CF060000}"/>
    <cellStyle name="Vírgula 2 6 5 4" xfId="2245" xr:uid="{00000000-0005-0000-0000-0000D0060000}"/>
    <cellStyle name="Vírgula 2 6 6" xfId="705" xr:uid="{00000000-0005-0000-0000-0000D1060000}"/>
    <cellStyle name="Vírgula 2 6 7" xfId="1321" xr:uid="{00000000-0005-0000-0000-0000D2060000}"/>
    <cellStyle name="Vírgula 2 6 8" xfId="1937" xr:uid="{00000000-0005-0000-0000-0000D3060000}"/>
    <cellStyle name="Vírgula 2 7" xfId="79" xr:uid="{00000000-0005-0000-0000-0000D4060000}"/>
    <cellStyle name="Vírgula 2 7 2" xfId="141" xr:uid="{00000000-0005-0000-0000-0000D5060000}"/>
    <cellStyle name="Vírgula 2 7 2 2" xfId="300" xr:uid="{00000000-0005-0000-0000-0000D6060000}"/>
    <cellStyle name="Vírgula 2 7 2 2 2" xfId="612" xr:uid="{00000000-0005-0000-0000-0000D7060000}"/>
    <cellStyle name="Vírgula 2 7 2 2 2 2" xfId="1228" xr:uid="{00000000-0005-0000-0000-0000D8060000}"/>
    <cellStyle name="Vírgula 2 7 2 2 2 3" xfId="1844" xr:uid="{00000000-0005-0000-0000-0000D9060000}"/>
    <cellStyle name="Vírgula 2 7 2 2 2 4" xfId="2460" xr:uid="{00000000-0005-0000-0000-0000DA060000}"/>
    <cellStyle name="Vírgula 2 7 2 2 3" xfId="920" xr:uid="{00000000-0005-0000-0000-0000DB060000}"/>
    <cellStyle name="Vírgula 2 7 2 2 4" xfId="1536" xr:uid="{00000000-0005-0000-0000-0000DC060000}"/>
    <cellStyle name="Vírgula 2 7 2 2 5" xfId="2152" xr:uid="{00000000-0005-0000-0000-0000DD060000}"/>
    <cellStyle name="Vírgula 2 7 2 3" xfId="488" xr:uid="{00000000-0005-0000-0000-0000DE060000}"/>
    <cellStyle name="Vírgula 2 7 2 3 2" xfId="1104" xr:uid="{00000000-0005-0000-0000-0000DF060000}"/>
    <cellStyle name="Vírgula 2 7 2 3 3" xfId="1720" xr:uid="{00000000-0005-0000-0000-0000E0060000}"/>
    <cellStyle name="Vírgula 2 7 2 3 4" xfId="2336" xr:uid="{00000000-0005-0000-0000-0000E1060000}"/>
    <cellStyle name="Vírgula 2 7 2 4" xfId="796" xr:uid="{00000000-0005-0000-0000-0000E2060000}"/>
    <cellStyle name="Vírgula 2 7 2 5" xfId="1412" xr:uid="{00000000-0005-0000-0000-0000E3060000}"/>
    <cellStyle name="Vírgula 2 7 2 6" xfId="2028" xr:uid="{00000000-0005-0000-0000-0000E4060000}"/>
    <cellStyle name="Vírgula 2 7 3" xfId="238" xr:uid="{00000000-0005-0000-0000-0000E5060000}"/>
    <cellStyle name="Vírgula 2 7 3 2" xfId="550" xr:uid="{00000000-0005-0000-0000-0000E6060000}"/>
    <cellStyle name="Vírgula 2 7 3 2 2" xfId="1166" xr:uid="{00000000-0005-0000-0000-0000E7060000}"/>
    <cellStyle name="Vírgula 2 7 3 2 3" xfId="1782" xr:uid="{00000000-0005-0000-0000-0000E8060000}"/>
    <cellStyle name="Vírgula 2 7 3 2 4" xfId="2398" xr:uid="{00000000-0005-0000-0000-0000E9060000}"/>
    <cellStyle name="Vírgula 2 7 3 3" xfId="858" xr:uid="{00000000-0005-0000-0000-0000EA060000}"/>
    <cellStyle name="Vírgula 2 7 3 4" xfId="1474" xr:uid="{00000000-0005-0000-0000-0000EB060000}"/>
    <cellStyle name="Vírgula 2 7 3 5" xfId="2090" xr:uid="{00000000-0005-0000-0000-0000EC060000}"/>
    <cellStyle name="Vírgula 2 7 4" xfId="426" xr:uid="{00000000-0005-0000-0000-0000ED060000}"/>
    <cellStyle name="Vírgula 2 7 4 2" xfId="1042" xr:uid="{00000000-0005-0000-0000-0000EE060000}"/>
    <cellStyle name="Vírgula 2 7 4 3" xfId="1658" xr:uid="{00000000-0005-0000-0000-0000EF060000}"/>
    <cellStyle name="Vírgula 2 7 4 4" xfId="2274" xr:uid="{00000000-0005-0000-0000-0000F0060000}"/>
    <cellStyle name="Vírgula 2 7 5" xfId="734" xr:uid="{00000000-0005-0000-0000-0000F1060000}"/>
    <cellStyle name="Vírgula 2 7 6" xfId="1350" xr:uid="{00000000-0005-0000-0000-0000F2060000}"/>
    <cellStyle name="Vírgula 2 7 7" xfId="1966" xr:uid="{00000000-0005-0000-0000-0000F3060000}"/>
    <cellStyle name="Vírgula 2 8" xfId="82" xr:uid="{00000000-0005-0000-0000-0000F4060000}"/>
    <cellStyle name="Vírgula 2 8 2" xfId="166" xr:uid="{00000000-0005-0000-0000-0000F5060000}"/>
    <cellStyle name="Vírgula 2 8 3" xfId="241" xr:uid="{00000000-0005-0000-0000-0000F6060000}"/>
    <cellStyle name="Vírgula 2 8 3 2" xfId="553" xr:uid="{00000000-0005-0000-0000-0000F7060000}"/>
    <cellStyle name="Vírgula 2 8 3 2 2" xfId="1169" xr:uid="{00000000-0005-0000-0000-0000F8060000}"/>
    <cellStyle name="Vírgula 2 8 3 2 3" xfId="1785" xr:uid="{00000000-0005-0000-0000-0000F9060000}"/>
    <cellStyle name="Vírgula 2 8 3 2 4" xfId="2401" xr:uid="{00000000-0005-0000-0000-0000FA060000}"/>
    <cellStyle name="Vírgula 2 8 3 3" xfId="861" xr:uid="{00000000-0005-0000-0000-0000FB060000}"/>
    <cellStyle name="Vírgula 2 8 3 4" xfId="1477" xr:uid="{00000000-0005-0000-0000-0000FC060000}"/>
    <cellStyle name="Vírgula 2 8 3 5" xfId="2093" xr:uid="{00000000-0005-0000-0000-0000FD060000}"/>
    <cellStyle name="Vírgula 2 8 4" xfId="429" xr:uid="{00000000-0005-0000-0000-0000FE060000}"/>
    <cellStyle name="Vírgula 2 8 4 2" xfId="1045" xr:uid="{00000000-0005-0000-0000-0000FF060000}"/>
    <cellStyle name="Vírgula 2 8 4 3" xfId="1661" xr:uid="{00000000-0005-0000-0000-000000070000}"/>
    <cellStyle name="Vírgula 2 8 4 4" xfId="2277" xr:uid="{00000000-0005-0000-0000-000001070000}"/>
    <cellStyle name="Vírgula 2 8 5" xfId="737" xr:uid="{00000000-0005-0000-0000-000002070000}"/>
    <cellStyle name="Vírgula 2 8 6" xfId="1353" xr:uid="{00000000-0005-0000-0000-000003070000}"/>
    <cellStyle name="Vírgula 2 8 7" xfId="1969" xr:uid="{00000000-0005-0000-0000-000004070000}"/>
    <cellStyle name="Vírgula 2 9" xfId="179" xr:uid="{00000000-0005-0000-0000-000005070000}"/>
    <cellStyle name="Vírgula 2 9 2" xfId="491" xr:uid="{00000000-0005-0000-0000-000006070000}"/>
    <cellStyle name="Vírgula 2 9 2 2" xfId="1107" xr:uid="{00000000-0005-0000-0000-000007070000}"/>
    <cellStyle name="Vírgula 2 9 2 3" xfId="1723" xr:uid="{00000000-0005-0000-0000-000008070000}"/>
    <cellStyle name="Vírgula 2 9 2 4" xfId="2339" xr:uid="{00000000-0005-0000-0000-000009070000}"/>
    <cellStyle name="Vírgula 2 9 3" xfId="799" xr:uid="{00000000-0005-0000-0000-00000A070000}"/>
    <cellStyle name="Vírgula 2 9 4" xfId="1415" xr:uid="{00000000-0005-0000-0000-00000B070000}"/>
    <cellStyle name="Vírgula 2 9 5" xfId="2031" xr:uid="{00000000-0005-0000-0000-00000C070000}"/>
    <cellStyle name="Vírgula 3" xfId="6" xr:uid="{00000000-0005-0000-0000-00000D070000}"/>
    <cellStyle name="Vírgula 3 10" xfId="1293" xr:uid="{00000000-0005-0000-0000-00000E070000}"/>
    <cellStyle name="Vírgula 3 11" xfId="1909" xr:uid="{00000000-0005-0000-0000-00000F070000}"/>
    <cellStyle name="Vírgula 3 2" xfId="21" xr:uid="{00000000-0005-0000-0000-000010070000}"/>
    <cellStyle name="Vírgula 3 2 2" xfId="56" xr:uid="{00000000-0005-0000-0000-000011070000}"/>
    <cellStyle name="Vírgula 3 2 2 2" xfId="120" xr:uid="{00000000-0005-0000-0000-000012070000}"/>
    <cellStyle name="Vírgula 3 2 2 2 2" xfId="279" xr:uid="{00000000-0005-0000-0000-000013070000}"/>
    <cellStyle name="Vírgula 3 2 2 2 2 2" xfId="591" xr:uid="{00000000-0005-0000-0000-000014070000}"/>
    <cellStyle name="Vírgula 3 2 2 2 2 2 2" xfId="1207" xr:uid="{00000000-0005-0000-0000-000015070000}"/>
    <cellStyle name="Vírgula 3 2 2 2 2 2 3" xfId="1823" xr:uid="{00000000-0005-0000-0000-000016070000}"/>
    <cellStyle name="Vírgula 3 2 2 2 2 2 4" xfId="2439" xr:uid="{00000000-0005-0000-0000-000017070000}"/>
    <cellStyle name="Vírgula 3 2 2 2 2 3" xfId="899" xr:uid="{00000000-0005-0000-0000-000018070000}"/>
    <cellStyle name="Vírgula 3 2 2 2 2 4" xfId="1515" xr:uid="{00000000-0005-0000-0000-000019070000}"/>
    <cellStyle name="Vírgula 3 2 2 2 2 5" xfId="2131" xr:uid="{00000000-0005-0000-0000-00001A070000}"/>
    <cellStyle name="Vírgula 3 2 2 2 3" xfId="467" xr:uid="{00000000-0005-0000-0000-00001B070000}"/>
    <cellStyle name="Vírgula 3 2 2 2 3 2" xfId="1083" xr:uid="{00000000-0005-0000-0000-00001C070000}"/>
    <cellStyle name="Vírgula 3 2 2 2 3 3" xfId="1699" xr:uid="{00000000-0005-0000-0000-00001D070000}"/>
    <cellStyle name="Vírgula 3 2 2 2 3 4" xfId="2315" xr:uid="{00000000-0005-0000-0000-00001E070000}"/>
    <cellStyle name="Vírgula 3 2 2 2 4" xfId="775" xr:uid="{00000000-0005-0000-0000-00001F070000}"/>
    <cellStyle name="Vírgula 3 2 2 2 5" xfId="1391" xr:uid="{00000000-0005-0000-0000-000020070000}"/>
    <cellStyle name="Vírgula 3 2 2 2 6" xfId="2007" xr:uid="{00000000-0005-0000-0000-000021070000}"/>
    <cellStyle name="Vírgula 3 2 2 3" xfId="217" xr:uid="{00000000-0005-0000-0000-000022070000}"/>
    <cellStyle name="Vírgula 3 2 2 3 2" xfId="529" xr:uid="{00000000-0005-0000-0000-000023070000}"/>
    <cellStyle name="Vírgula 3 2 2 3 2 2" xfId="1145" xr:uid="{00000000-0005-0000-0000-000024070000}"/>
    <cellStyle name="Vírgula 3 2 2 3 2 3" xfId="1761" xr:uid="{00000000-0005-0000-0000-000025070000}"/>
    <cellStyle name="Vírgula 3 2 2 3 2 4" xfId="2377" xr:uid="{00000000-0005-0000-0000-000026070000}"/>
    <cellStyle name="Vírgula 3 2 2 3 3" xfId="837" xr:uid="{00000000-0005-0000-0000-000027070000}"/>
    <cellStyle name="Vírgula 3 2 2 3 4" xfId="1453" xr:uid="{00000000-0005-0000-0000-000028070000}"/>
    <cellStyle name="Vírgula 3 2 2 3 5" xfId="2069" xr:uid="{00000000-0005-0000-0000-000029070000}"/>
    <cellStyle name="Vírgula 3 2 2 4" xfId="341" xr:uid="{00000000-0005-0000-0000-00002A070000}"/>
    <cellStyle name="Vírgula 3 2 2 4 2" xfId="653" xr:uid="{00000000-0005-0000-0000-00002B070000}"/>
    <cellStyle name="Vírgula 3 2 2 4 2 2" xfId="1269" xr:uid="{00000000-0005-0000-0000-00002C070000}"/>
    <cellStyle name="Vírgula 3 2 2 4 2 3" xfId="1885" xr:uid="{00000000-0005-0000-0000-00002D070000}"/>
    <cellStyle name="Vírgula 3 2 2 4 2 4" xfId="2501" xr:uid="{00000000-0005-0000-0000-00002E070000}"/>
    <cellStyle name="Vírgula 3 2 2 4 3" xfId="961" xr:uid="{00000000-0005-0000-0000-00002F070000}"/>
    <cellStyle name="Vírgula 3 2 2 4 4" xfId="1577" xr:uid="{00000000-0005-0000-0000-000030070000}"/>
    <cellStyle name="Vírgula 3 2 2 4 5" xfId="2193" xr:uid="{00000000-0005-0000-0000-000031070000}"/>
    <cellStyle name="Vírgula 3 2 2 5" xfId="405" xr:uid="{00000000-0005-0000-0000-000032070000}"/>
    <cellStyle name="Vírgula 3 2 2 5 2" xfId="1021" xr:uid="{00000000-0005-0000-0000-000033070000}"/>
    <cellStyle name="Vírgula 3 2 2 5 3" xfId="1637" xr:uid="{00000000-0005-0000-0000-000034070000}"/>
    <cellStyle name="Vírgula 3 2 2 5 4" xfId="2253" xr:uid="{00000000-0005-0000-0000-000035070000}"/>
    <cellStyle name="Vírgula 3 2 2 6" xfId="713" xr:uid="{00000000-0005-0000-0000-000036070000}"/>
    <cellStyle name="Vírgula 3 2 2 7" xfId="1329" xr:uid="{00000000-0005-0000-0000-000037070000}"/>
    <cellStyle name="Vírgula 3 2 2 8" xfId="1945" xr:uid="{00000000-0005-0000-0000-000038070000}"/>
    <cellStyle name="Vírgula 3 2 3" xfId="90" xr:uid="{00000000-0005-0000-0000-000039070000}"/>
    <cellStyle name="Vírgula 3 2 3 2" xfId="249" xr:uid="{00000000-0005-0000-0000-00003A070000}"/>
    <cellStyle name="Vírgula 3 2 3 2 2" xfId="561" xr:uid="{00000000-0005-0000-0000-00003B070000}"/>
    <cellStyle name="Vírgula 3 2 3 2 2 2" xfId="1177" xr:uid="{00000000-0005-0000-0000-00003C070000}"/>
    <cellStyle name="Vírgula 3 2 3 2 2 3" xfId="1793" xr:uid="{00000000-0005-0000-0000-00003D070000}"/>
    <cellStyle name="Vírgula 3 2 3 2 2 4" xfId="2409" xr:uid="{00000000-0005-0000-0000-00003E070000}"/>
    <cellStyle name="Vírgula 3 2 3 2 3" xfId="869" xr:uid="{00000000-0005-0000-0000-00003F070000}"/>
    <cellStyle name="Vírgula 3 2 3 2 4" xfId="1485" xr:uid="{00000000-0005-0000-0000-000040070000}"/>
    <cellStyle name="Vírgula 3 2 3 2 5" xfId="2101" xr:uid="{00000000-0005-0000-0000-000041070000}"/>
    <cellStyle name="Vírgula 3 2 3 3" xfId="437" xr:uid="{00000000-0005-0000-0000-000042070000}"/>
    <cellStyle name="Vírgula 3 2 3 3 2" xfId="1053" xr:uid="{00000000-0005-0000-0000-000043070000}"/>
    <cellStyle name="Vírgula 3 2 3 3 3" xfId="1669" xr:uid="{00000000-0005-0000-0000-000044070000}"/>
    <cellStyle name="Vírgula 3 2 3 3 4" xfId="2285" xr:uid="{00000000-0005-0000-0000-000045070000}"/>
    <cellStyle name="Vírgula 3 2 3 4" xfId="745" xr:uid="{00000000-0005-0000-0000-000046070000}"/>
    <cellStyle name="Vírgula 3 2 3 5" xfId="1361" xr:uid="{00000000-0005-0000-0000-000047070000}"/>
    <cellStyle name="Vírgula 3 2 3 6" xfId="1977" xr:uid="{00000000-0005-0000-0000-000048070000}"/>
    <cellStyle name="Vírgula 3 2 4" xfId="187" xr:uid="{00000000-0005-0000-0000-000049070000}"/>
    <cellStyle name="Vírgula 3 2 4 2" xfId="499" xr:uid="{00000000-0005-0000-0000-00004A070000}"/>
    <cellStyle name="Vírgula 3 2 4 2 2" xfId="1115" xr:uid="{00000000-0005-0000-0000-00004B070000}"/>
    <cellStyle name="Vírgula 3 2 4 2 3" xfId="1731" xr:uid="{00000000-0005-0000-0000-00004C070000}"/>
    <cellStyle name="Vírgula 3 2 4 2 4" xfId="2347" xr:uid="{00000000-0005-0000-0000-00004D070000}"/>
    <cellStyle name="Vírgula 3 2 4 3" xfId="807" xr:uid="{00000000-0005-0000-0000-00004E070000}"/>
    <cellStyle name="Vírgula 3 2 4 4" xfId="1423" xr:uid="{00000000-0005-0000-0000-00004F070000}"/>
    <cellStyle name="Vírgula 3 2 4 5" xfId="2039" xr:uid="{00000000-0005-0000-0000-000050070000}"/>
    <cellStyle name="Vírgula 3 2 5" xfId="311" xr:uid="{00000000-0005-0000-0000-000051070000}"/>
    <cellStyle name="Vírgula 3 2 5 2" xfId="623" xr:uid="{00000000-0005-0000-0000-000052070000}"/>
    <cellStyle name="Vírgula 3 2 5 2 2" xfId="1239" xr:uid="{00000000-0005-0000-0000-000053070000}"/>
    <cellStyle name="Vírgula 3 2 5 2 3" xfId="1855" xr:uid="{00000000-0005-0000-0000-000054070000}"/>
    <cellStyle name="Vírgula 3 2 5 2 4" xfId="2471" xr:uid="{00000000-0005-0000-0000-000055070000}"/>
    <cellStyle name="Vírgula 3 2 5 3" xfId="931" xr:uid="{00000000-0005-0000-0000-000056070000}"/>
    <cellStyle name="Vírgula 3 2 5 4" xfId="1547" xr:uid="{00000000-0005-0000-0000-000057070000}"/>
    <cellStyle name="Vírgula 3 2 5 5" xfId="2163" xr:uid="{00000000-0005-0000-0000-000058070000}"/>
    <cellStyle name="Vírgula 3 2 6" xfId="375" xr:uid="{00000000-0005-0000-0000-000059070000}"/>
    <cellStyle name="Vírgula 3 2 6 2" xfId="991" xr:uid="{00000000-0005-0000-0000-00005A070000}"/>
    <cellStyle name="Vírgula 3 2 6 3" xfId="1607" xr:uid="{00000000-0005-0000-0000-00005B070000}"/>
    <cellStyle name="Vírgula 3 2 6 4" xfId="2223" xr:uid="{00000000-0005-0000-0000-00005C070000}"/>
    <cellStyle name="Vírgula 3 2 7" xfId="683" xr:uid="{00000000-0005-0000-0000-00005D070000}"/>
    <cellStyle name="Vírgula 3 2 8" xfId="1299" xr:uid="{00000000-0005-0000-0000-00005E070000}"/>
    <cellStyle name="Vírgula 3 2 9" xfId="1915" xr:uid="{00000000-0005-0000-0000-00005F070000}"/>
    <cellStyle name="Vírgula 3 3" xfId="27" xr:uid="{00000000-0005-0000-0000-000060070000}"/>
    <cellStyle name="Vírgula 3 3 2" xfId="61" xr:uid="{00000000-0005-0000-0000-000061070000}"/>
    <cellStyle name="Vírgula 3 3 2 2" xfId="125" xr:uid="{00000000-0005-0000-0000-000062070000}"/>
    <cellStyle name="Vírgula 3 3 2 2 2" xfId="284" xr:uid="{00000000-0005-0000-0000-000063070000}"/>
    <cellStyle name="Vírgula 3 3 2 2 2 2" xfId="596" xr:uid="{00000000-0005-0000-0000-000064070000}"/>
    <cellStyle name="Vírgula 3 3 2 2 2 2 2" xfId="1212" xr:uid="{00000000-0005-0000-0000-000065070000}"/>
    <cellStyle name="Vírgula 3 3 2 2 2 2 3" xfId="1828" xr:uid="{00000000-0005-0000-0000-000066070000}"/>
    <cellStyle name="Vírgula 3 3 2 2 2 2 4" xfId="2444" xr:uid="{00000000-0005-0000-0000-000067070000}"/>
    <cellStyle name="Vírgula 3 3 2 2 2 3" xfId="904" xr:uid="{00000000-0005-0000-0000-000068070000}"/>
    <cellStyle name="Vírgula 3 3 2 2 2 4" xfId="1520" xr:uid="{00000000-0005-0000-0000-000069070000}"/>
    <cellStyle name="Vírgula 3 3 2 2 2 5" xfId="2136" xr:uid="{00000000-0005-0000-0000-00006A070000}"/>
    <cellStyle name="Vírgula 3 3 2 2 3" xfId="472" xr:uid="{00000000-0005-0000-0000-00006B070000}"/>
    <cellStyle name="Vírgula 3 3 2 2 3 2" xfId="1088" xr:uid="{00000000-0005-0000-0000-00006C070000}"/>
    <cellStyle name="Vírgula 3 3 2 2 3 3" xfId="1704" xr:uid="{00000000-0005-0000-0000-00006D070000}"/>
    <cellStyle name="Vírgula 3 3 2 2 3 4" xfId="2320" xr:uid="{00000000-0005-0000-0000-00006E070000}"/>
    <cellStyle name="Vírgula 3 3 2 2 4" xfId="780" xr:uid="{00000000-0005-0000-0000-00006F070000}"/>
    <cellStyle name="Vírgula 3 3 2 2 5" xfId="1396" xr:uid="{00000000-0005-0000-0000-000070070000}"/>
    <cellStyle name="Vírgula 3 3 2 2 6" xfId="2012" xr:uid="{00000000-0005-0000-0000-000071070000}"/>
    <cellStyle name="Vírgula 3 3 2 3" xfId="222" xr:uid="{00000000-0005-0000-0000-000072070000}"/>
    <cellStyle name="Vírgula 3 3 2 3 2" xfId="534" xr:uid="{00000000-0005-0000-0000-000073070000}"/>
    <cellStyle name="Vírgula 3 3 2 3 2 2" xfId="1150" xr:uid="{00000000-0005-0000-0000-000074070000}"/>
    <cellStyle name="Vírgula 3 3 2 3 2 3" xfId="1766" xr:uid="{00000000-0005-0000-0000-000075070000}"/>
    <cellStyle name="Vírgula 3 3 2 3 2 4" xfId="2382" xr:uid="{00000000-0005-0000-0000-000076070000}"/>
    <cellStyle name="Vírgula 3 3 2 3 3" xfId="842" xr:uid="{00000000-0005-0000-0000-000077070000}"/>
    <cellStyle name="Vírgula 3 3 2 3 4" xfId="1458" xr:uid="{00000000-0005-0000-0000-000078070000}"/>
    <cellStyle name="Vírgula 3 3 2 3 5" xfId="2074" xr:uid="{00000000-0005-0000-0000-000079070000}"/>
    <cellStyle name="Vírgula 3 3 2 4" xfId="346" xr:uid="{00000000-0005-0000-0000-00007A070000}"/>
    <cellStyle name="Vírgula 3 3 2 4 2" xfId="658" xr:uid="{00000000-0005-0000-0000-00007B070000}"/>
    <cellStyle name="Vírgula 3 3 2 4 2 2" xfId="1274" xr:uid="{00000000-0005-0000-0000-00007C070000}"/>
    <cellStyle name="Vírgula 3 3 2 4 2 3" xfId="1890" xr:uid="{00000000-0005-0000-0000-00007D070000}"/>
    <cellStyle name="Vírgula 3 3 2 4 2 4" xfId="2506" xr:uid="{00000000-0005-0000-0000-00007E070000}"/>
    <cellStyle name="Vírgula 3 3 2 4 3" xfId="966" xr:uid="{00000000-0005-0000-0000-00007F070000}"/>
    <cellStyle name="Vírgula 3 3 2 4 4" xfId="1582" xr:uid="{00000000-0005-0000-0000-000080070000}"/>
    <cellStyle name="Vírgula 3 3 2 4 5" xfId="2198" xr:uid="{00000000-0005-0000-0000-000081070000}"/>
    <cellStyle name="Vírgula 3 3 2 5" xfId="410" xr:uid="{00000000-0005-0000-0000-000082070000}"/>
    <cellStyle name="Vírgula 3 3 2 5 2" xfId="1026" xr:uid="{00000000-0005-0000-0000-000083070000}"/>
    <cellStyle name="Vírgula 3 3 2 5 3" xfId="1642" xr:uid="{00000000-0005-0000-0000-000084070000}"/>
    <cellStyle name="Vírgula 3 3 2 5 4" xfId="2258" xr:uid="{00000000-0005-0000-0000-000085070000}"/>
    <cellStyle name="Vírgula 3 3 2 6" xfId="718" xr:uid="{00000000-0005-0000-0000-000086070000}"/>
    <cellStyle name="Vírgula 3 3 2 7" xfId="1334" xr:uid="{00000000-0005-0000-0000-000087070000}"/>
    <cellStyle name="Vírgula 3 3 2 8" xfId="1950" xr:uid="{00000000-0005-0000-0000-000088070000}"/>
    <cellStyle name="Vírgula 3 3 3" xfId="95" xr:uid="{00000000-0005-0000-0000-000089070000}"/>
    <cellStyle name="Vírgula 3 3 3 2" xfId="254" xr:uid="{00000000-0005-0000-0000-00008A070000}"/>
    <cellStyle name="Vírgula 3 3 3 2 2" xfId="566" xr:uid="{00000000-0005-0000-0000-00008B070000}"/>
    <cellStyle name="Vírgula 3 3 3 2 2 2" xfId="1182" xr:uid="{00000000-0005-0000-0000-00008C070000}"/>
    <cellStyle name="Vírgula 3 3 3 2 2 3" xfId="1798" xr:uid="{00000000-0005-0000-0000-00008D070000}"/>
    <cellStyle name="Vírgula 3 3 3 2 2 4" xfId="2414" xr:uid="{00000000-0005-0000-0000-00008E070000}"/>
    <cellStyle name="Vírgula 3 3 3 2 3" xfId="874" xr:uid="{00000000-0005-0000-0000-00008F070000}"/>
    <cellStyle name="Vírgula 3 3 3 2 4" xfId="1490" xr:uid="{00000000-0005-0000-0000-000090070000}"/>
    <cellStyle name="Vírgula 3 3 3 2 5" xfId="2106" xr:uid="{00000000-0005-0000-0000-000091070000}"/>
    <cellStyle name="Vírgula 3 3 3 3" xfId="442" xr:uid="{00000000-0005-0000-0000-000092070000}"/>
    <cellStyle name="Vírgula 3 3 3 3 2" xfId="1058" xr:uid="{00000000-0005-0000-0000-000093070000}"/>
    <cellStyle name="Vírgula 3 3 3 3 3" xfId="1674" xr:uid="{00000000-0005-0000-0000-000094070000}"/>
    <cellStyle name="Vírgula 3 3 3 3 4" xfId="2290" xr:uid="{00000000-0005-0000-0000-000095070000}"/>
    <cellStyle name="Vírgula 3 3 3 4" xfId="750" xr:uid="{00000000-0005-0000-0000-000096070000}"/>
    <cellStyle name="Vírgula 3 3 3 5" xfId="1366" xr:uid="{00000000-0005-0000-0000-000097070000}"/>
    <cellStyle name="Vírgula 3 3 3 6" xfId="1982" xr:uid="{00000000-0005-0000-0000-000098070000}"/>
    <cellStyle name="Vírgula 3 3 4" xfId="192" xr:uid="{00000000-0005-0000-0000-000099070000}"/>
    <cellStyle name="Vírgula 3 3 4 2" xfId="504" xr:uid="{00000000-0005-0000-0000-00009A070000}"/>
    <cellStyle name="Vírgula 3 3 4 2 2" xfId="1120" xr:uid="{00000000-0005-0000-0000-00009B070000}"/>
    <cellStyle name="Vírgula 3 3 4 2 3" xfId="1736" xr:uid="{00000000-0005-0000-0000-00009C070000}"/>
    <cellStyle name="Vírgula 3 3 4 2 4" xfId="2352" xr:uid="{00000000-0005-0000-0000-00009D070000}"/>
    <cellStyle name="Vírgula 3 3 4 3" xfId="812" xr:uid="{00000000-0005-0000-0000-00009E070000}"/>
    <cellStyle name="Vírgula 3 3 4 4" xfId="1428" xr:uid="{00000000-0005-0000-0000-00009F070000}"/>
    <cellStyle name="Vírgula 3 3 4 5" xfId="2044" xr:uid="{00000000-0005-0000-0000-0000A0070000}"/>
    <cellStyle name="Vírgula 3 3 5" xfId="316" xr:uid="{00000000-0005-0000-0000-0000A1070000}"/>
    <cellStyle name="Vírgula 3 3 5 2" xfId="628" xr:uid="{00000000-0005-0000-0000-0000A2070000}"/>
    <cellStyle name="Vírgula 3 3 5 2 2" xfId="1244" xr:uid="{00000000-0005-0000-0000-0000A3070000}"/>
    <cellStyle name="Vírgula 3 3 5 2 3" xfId="1860" xr:uid="{00000000-0005-0000-0000-0000A4070000}"/>
    <cellStyle name="Vírgula 3 3 5 2 4" xfId="2476" xr:uid="{00000000-0005-0000-0000-0000A5070000}"/>
    <cellStyle name="Vírgula 3 3 5 3" xfId="936" xr:uid="{00000000-0005-0000-0000-0000A6070000}"/>
    <cellStyle name="Vírgula 3 3 5 4" xfId="1552" xr:uid="{00000000-0005-0000-0000-0000A7070000}"/>
    <cellStyle name="Vírgula 3 3 5 5" xfId="2168" xr:uid="{00000000-0005-0000-0000-0000A8070000}"/>
    <cellStyle name="Vírgula 3 3 6" xfId="380" xr:uid="{00000000-0005-0000-0000-0000A9070000}"/>
    <cellStyle name="Vírgula 3 3 6 2" xfId="996" xr:uid="{00000000-0005-0000-0000-0000AA070000}"/>
    <cellStyle name="Vírgula 3 3 6 3" xfId="1612" xr:uid="{00000000-0005-0000-0000-0000AB070000}"/>
    <cellStyle name="Vírgula 3 3 6 4" xfId="2228" xr:uid="{00000000-0005-0000-0000-0000AC070000}"/>
    <cellStyle name="Vírgula 3 3 7" xfId="688" xr:uid="{00000000-0005-0000-0000-0000AD070000}"/>
    <cellStyle name="Vírgula 3 3 8" xfId="1304" xr:uid="{00000000-0005-0000-0000-0000AE070000}"/>
    <cellStyle name="Vírgula 3 3 9" xfId="1920" xr:uid="{00000000-0005-0000-0000-0000AF070000}"/>
    <cellStyle name="Vírgula 3 4" xfId="50" xr:uid="{00000000-0005-0000-0000-0000B0070000}"/>
    <cellStyle name="Vírgula 3 4 2" xfId="114" xr:uid="{00000000-0005-0000-0000-0000B1070000}"/>
    <cellStyle name="Vírgula 3 4 2 2" xfId="273" xr:uid="{00000000-0005-0000-0000-0000B2070000}"/>
    <cellStyle name="Vírgula 3 4 2 2 2" xfId="585" xr:uid="{00000000-0005-0000-0000-0000B3070000}"/>
    <cellStyle name="Vírgula 3 4 2 2 2 2" xfId="1201" xr:uid="{00000000-0005-0000-0000-0000B4070000}"/>
    <cellStyle name="Vírgula 3 4 2 2 2 3" xfId="1817" xr:uid="{00000000-0005-0000-0000-0000B5070000}"/>
    <cellStyle name="Vírgula 3 4 2 2 2 4" xfId="2433" xr:uid="{00000000-0005-0000-0000-0000B6070000}"/>
    <cellStyle name="Vírgula 3 4 2 2 3" xfId="893" xr:uid="{00000000-0005-0000-0000-0000B7070000}"/>
    <cellStyle name="Vírgula 3 4 2 2 4" xfId="1509" xr:uid="{00000000-0005-0000-0000-0000B8070000}"/>
    <cellStyle name="Vírgula 3 4 2 2 5" xfId="2125" xr:uid="{00000000-0005-0000-0000-0000B9070000}"/>
    <cellStyle name="Vírgula 3 4 2 3" xfId="461" xr:uid="{00000000-0005-0000-0000-0000BA070000}"/>
    <cellStyle name="Vírgula 3 4 2 3 2" xfId="1077" xr:uid="{00000000-0005-0000-0000-0000BB070000}"/>
    <cellStyle name="Vírgula 3 4 2 3 3" xfId="1693" xr:uid="{00000000-0005-0000-0000-0000BC070000}"/>
    <cellStyle name="Vírgula 3 4 2 3 4" xfId="2309" xr:uid="{00000000-0005-0000-0000-0000BD070000}"/>
    <cellStyle name="Vírgula 3 4 2 4" xfId="769" xr:uid="{00000000-0005-0000-0000-0000BE070000}"/>
    <cellStyle name="Vírgula 3 4 2 5" xfId="1385" xr:uid="{00000000-0005-0000-0000-0000BF070000}"/>
    <cellStyle name="Vírgula 3 4 2 6" xfId="2001" xr:uid="{00000000-0005-0000-0000-0000C0070000}"/>
    <cellStyle name="Vírgula 3 4 3" xfId="211" xr:uid="{00000000-0005-0000-0000-0000C1070000}"/>
    <cellStyle name="Vírgula 3 4 3 2" xfId="523" xr:uid="{00000000-0005-0000-0000-0000C2070000}"/>
    <cellStyle name="Vírgula 3 4 3 2 2" xfId="1139" xr:uid="{00000000-0005-0000-0000-0000C3070000}"/>
    <cellStyle name="Vírgula 3 4 3 2 3" xfId="1755" xr:uid="{00000000-0005-0000-0000-0000C4070000}"/>
    <cellStyle name="Vírgula 3 4 3 2 4" xfId="2371" xr:uid="{00000000-0005-0000-0000-0000C5070000}"/>
    <cellStyle name="Vírgula 3 4 3 3" xfId="831" xr:uid="{00000000-0005-0000-0000-0000C6070000}"/>
    <cellStyle name="Vírgula 3 4 3 4" xfId="1447" xr:uid="{00000000-0005-0000-0000-0000C7070000}"/>
    <cellStyle name="Vírgula 3 4 3 5" xfId="2063" xr:uid="{00000000-0005-0000-0000-0000C8070000}"/>
    <cellStyle name="Vírgula 3 4 4" xfId="335" xr:uid="{00000000-0005-0000-0000-0000C9070000}"/>
    <cellStyle name="Vírgula 3 4 4 2" xfId="647" xr:uid="{00000000-0005-0000-0000-0000CA070000}"/>
    <cellStyle name="Vírgula 3 4 4 2 2" xfId="1263" xr:uid="{00000000-0005-0000-0000-0000CB070000}"/>
    <cellStyle name="Vírgula 3 4 4 2 3" xfId="1879" xr:uid="{00000000-0005-0000-0000-0000CC070000}"/>
    <cellStyle name="Vírgula 3 4 4 2 4" xfId="2495" xr:uid="{00000000-0005-0000-0000-0000CD070000}"/>
    <cellStyle name="Vírgula 3 4 4 3" xfId="955" xr:uid="{00000000-0005-0000-0000-0000CE070000}"/>
    <cellStyle name="Vírgula 3 4 4 4" xfId="1571" xr:uid="{00000000-0005-0000-0000-0000CF070000}"/>
    <cellStyle name="Vírgula 3 4 4 5" xfId="2187" xr:uid="{00000000-0005-0000-0000-0000D0070000}"/>
    <cellStyle name="Vírgula 3 4 5" xfId="399" xr:uid="{00000000-0005-0000-0000-0000D1070000}"/>
    <cellStyle name="Vírgula 3 4 5 2" xfId="1015" xr:uid="{00000000-0005-0000-0000-0000D2070000}"/>
    <cellStyle name="Vírgula 3 4 5 3" xfId="1631" xr:uid="{00000000-0005-0000-0000-0000D3070000}"/>
    <cellStyle name="Vírgula 3 4 5 4" xfId="2247" xr:uid="{00000000-0005-0000-0000-0000D4070000}"/>
    <cellStyle name="Vírgula 3 4 6" xfId="707" xr:uid="{00000000-0005-0000-0000-0000D5070000}"/>
    <cellStyle name="Vírgula 3 4 7" xfId="1323" xr:uid="{00000000-0005-0000-0000-0000D6070000}"/>
    <cellStyle name="Vírgula 3 4 8" xfId="1939" xr:uid="{00000000-0005-0000-0000-0000D7070000}"/>
    <cellStyle name="Vírgula 3 5" xfId="84" xr:uid="{00000000-0005-0000-0000-0000D8070000}"/>
    <cellStyle name="Vírgula 3 5 2" xfId="243" xr:uid="{00000000-0005-0000-0000-0000D9070000}"/>
    <cellStyle name="Vírgula 3 5 2 2" xfId="555" xr:uid="{00000000-0005-0000-0000-0000DA070000}"/>
    <cellStyle name="Vírgula 3 5 2 2 2" xfId="1171" xr:uid="{00000000-0005-0000-0000-0000DB070000}"/>
    <cellStyle name="Vírgula 3 5 2 2 3" xfId="1787" xr:uid="{00000000-0005-0000-0000-0000DC070000}"/>
    <cellStyle name="Vírgula 3 5 2 2 4" xfId="2403" xr:uid="{00000000-0005-0000-0000-0000DD070000}"/>
    <cellStyle name="Vírgula 3 5 2 3" xfId="863" xr:uid="{00000000-0005-0000-0000-0000DE070000}"/>
    <cellStyle name="Vírgula 3 5 2 4" xfId="1479" xr:uid="{00000000-0005-0000-0000-0000DF070000}"/>
    <cellStyle name="Vírgula 3 5 2 5" xfId="2095" xr:uid="{00000000-0005-0000-0000-0000E0070000}"/>
    <cellStyle name="Vírgula 3 5 3" xfId="431" xr:uid="{00000000-0005-0000-0000-0000E1070000}"/>
    <cellStyle name="Vírgula 3 5 3 2" xfId="1047" xr:uid="{00000000-0005-0000-0000-0000E2070000}"/>
    <cellStyle name="Vírgula 3 5 3 3" xfId="1663" xr:uid="{00000000-0005-0000-0000-0000E3070000}"/>
    <cellStyle name="Vírgula 3 5 3 4" xfId="2279" xr:uid="{00000000-0005-0000-0000-0000E4070000}"/>
    <cellStyle name="Vírgula 3 5 4" xfId="739" xr:uid="{00000000-0005-0000-0000-0000E5070000}"/>
    <cellStyle name="Vírgula 3 5 5" xfId="1355" xr:uid="{00000000-0005-0000-0000-0000E6070000}"/>
    <cellStyle name="Vírgula 3 5 6" xfId="1971" xr:uid="{00000000-0005-0000-0000-0000E7070000}"/>
    <cellStyle name="Vírgula 3 6" xfId="181" xr:uid="{00000000-0005-0000-0000-0000E8070000}"/>
    <cellStyle name="Vírgula 3 6 2" xfId="493" xr:uid="{00000000-0005-0000-0000-0000E9070000}"/>
    <cellStyle name="Vírgula 3 6 2 2" xfId="1109" xr:uid="{00000000-0005-0000-0000-0000EA070000}"/>
    <cellStyle name="Vírgula 3 6 2 3" xfId="1725" xr:uid="{00000000-0005-0000-0000-0000EB070000}"/>
    <cellStyle name="Vírgula 3 6 2 4" xfId="2341" xr:uid="{00000000-0005-0000-0000-0000EC070000}"/>
    <cellStyle name="Vírgula 3 6 3" xfId="801" xr:uid="{00000000-0005-0000-0000-0000ED070000}"/>
    <cellStyle name="Vírgula 3 6 4" xfId="1417" xr:uid="{00000000-0005-0000-0000-0000EE070000}"/>
    <cellStyle name="Vírgula 3 6 5" xfId="2033" xr:uid="{00000000-0005-0000-0000-0000EF070000}"/>
    <cellStyle name="Vírgula 3 7" xfId="305" xr:uid="{00000000-0005-0000-0000-0000F0070000}"/>
    <cellStyle name="Vírgula 3 7 2" xfId="617" xr:uid="{00000000-0005-0000-0000-0000F1070000}"/>
    <cellStyle name="Vírgula 3 7 2 2" xfId="1233" xr:uid="{00000000-0005-0000-0000-0000F2070000}"/>
    <cellStyle name="Vírgula 3 7 2 3" xfId="1849" xr:uid="{00000000-0005-0000-0000-0000F3070000}"/>
    <cellStyle name="Vírgula 3 7 2 4" xfId="2465" xr:uid="{00000000-0005-0000-0000-0000F4070000}"/>
    <cellStyle name="Vírgula 3 7 3" xfId="925" xr:uid="{00000000-0005-0000-0000-0000F5070000}"/>
    <cellStyle name="Vírgula 3 7 4" xfId="1541" xr:uid="{00000000-0005-0000-0000-0000F6070000}"/>
    <cellStyle name="Vírgula 3 7 5" xfId="2157" xr:uid="{00000000-0005-0000-0000-0000F7070000}"/>
    <cellStyle name="Vírgula 3 8" xfId="369" xr:uid="{00000000-0005-0000-0000-0000F8070000}"/>
    <cellStyle name="Vírgula 3 8 2" xfId="985" xr:uid="{00000000-0005-0000-0000-0000F9070000}"/>
    <cellStyle name="Vírgula 3 8 3" xfId="1601" xr:uid="{00000000-0005-0000-0000-0000FA070000}"/>
    <cellStyle name="Vírgula 3 8 4" xfId="2217" xr:uid="{00000000-0005-0000-0000-0000FB070000}"/>
    <cellStyle name="Vírgula 3 9" xfId="677" xr:uid="{00000000-0005-0000-0000-0000FC070000}"/>
    <cellStyle name="Vírgula 4" xfId="13" xr:uid="{00000000-0005-0000-0000-0000FD070000}"/>
    <cellStyle name="Vírgula 4 2" xfId="54" xr:uid="{00000000-0005-0000-0000-0000FE070000}"/>
    <cellStyle name="Vírgula 4 2 2" xfId="118" xr:uid="{00000000-0005-0000-0000-0000FF070000}"/>
    <cellStyle name="Vírgula 4 2 2 2" xfId="277" xr:uid="{00000000-0005-0000-0000-000000080000}"/>
    <cellStyle name="Vírgula 4 2 2 2 2" xfId="589" xr:uid="{00000000-0005-0000-0000-000001080000}"/>
    <cellStyle name="Vírgula 4 2 2 2 2 2" xfId="1205" xr:uid="{00000000-0005-0000-0000-000002080000}"/>
    <cellStyle name="Vírgula 4 2 2 2 2 3" xfId="1821" xr:uid="{00000000-0005-0000-0000-000003080000}"/>
    <cellStyle name="Vírgula 4 2 2 2 2 4" xfId="2437" xr:uid="{00000000-0005-0000-0000-000004080000}"/>
    <cellStyle name="Vírgula 4 2 2 2 3" xfId="897" xr:uid="{00000000-0005-0000-0000-000005080000}"/>
    <cellStyle name="Vírgula 4 2 2 2 4" xfId="1513" xr:uid="{00000000-0005-0000-0000-000006080000}"/>
    <cellStyle name="Vírgula 4 2 2 2 5" xfId="2129" xr:uid="{00000000-0005-0000-0000-000007080000}"/>
    <cellStyle name="Vírgula 4 2 2 3" xfId="465" xr:uid="{00000000-0005-0000-0000-000008080000}"/>
    <cellStyle name="Vírgula 4 2 2 3 2" xfId="1081" xr:uid="{00000000-0005-0000-0000-000009080000}"/>
    <cellStyle name="Vírgula 4 2 2 3 3" xfId="1697" xr:uid="{00000000-0005-0000-0000-00000A080000}"/>
    <cellStyle name="Vírgula 4 2 2 3 4" xfId="2313" xr:uid="{00000000-0005-0000-0000-00000B080000}"/>
    <cellStyle name="Vírgula 4 2 2 4" xfId="773" xr:uid="{00000000-0005-0000-0000-00000C080000}"/>
    <cellStyle name="Vírgula 4 2 2 5" xfId="1389" xr:uid="{00000000-0005-0000-0000-00000D080000}"/>
    <cellStyle name="Vírgula 4 2 2 6" xfId="2005" xr:uid="{00000000-0005-0000-0000-00000E080000}"/>
    <cellStyle name="Vírgula 4 2 3" xfId="215" xr:uid="{00000000-0005-0000-0000-00000F080000}"/>
    <cellStyle name="Vírgula 4 2 3 2" xfId="527" xr:uid="{00000000-0005-0000-0000-000010080000}"/>
    <cellStyle name="Vírgula 4 2 3 2 2" xfId="1143" xr:uid="{00000000-0005-0000-0000-000011080000}"/>
    <cellStyle name="Vírgula 4 2 3 2 3" xfId="1759" xr:uid="{00000000-0005-0000-0000-000012080000}"/>
    <cellStyle name="Vírgula 4 2 3 2 4" xfId="2375" xr:uid="{00000000-0005-0000-0000-000013080000}"/>
    <cellStyle name="Vírgula 4 2 3 3" xfId="835" xr:uid="{00000000-0005-0000-0000-000014080000}"/>
    <cellStyle name="Vírgula 4 2 3 4" xfId="1451" xr:uid="{00000000-0005-0000-0000-000015080000}"/>
    <cellStyle name="Vírgula 4 2 3 5" xfId="2067" xr:uid="{00000000-0005-0000-0000-000016080000}"/>
    <cellStyle name="Vírgula 4 2 4" xfId="339" xr:uid="{00000000-0005-0000-0000-000017080000}"/>
    <cellStyle name="Vírgula 4 2 4 2" xfId="651" xr:uid="{00000000-0005-0000-0000-000018080000}"/>
    <cellStyle name="Vírgula 4 2 4 2 2" xfId="1267" xr:uid="{00000000-0005-0000-0000-000019080000}"/>
    <cellStyle name="Vírgula 4 2 4 2 3" xfId="1883" xr:uid="{00000000-0005-0000-0000-00001A080000}"/>
    <cellStyle name="Vírgula 4 2 4 2 4" xfId="2499" xr:uid="{00000000-0005-0000-0000-00001B080000}"/>
    <cellStyle name="Vírgula 4 2 4 3" xfId="959" xr:uid="{00000000-0005-0000-0000-00001C080000}"/>
    <cellStyle name="Vírgula 4 2 4 4" xfId="1575" xr:uid="{00000000-0005-0000-0000-00001D080000}"/>
    <cellStyle name="Vírgula 4 2 4 5" xfId="2191" xr:uid="{00000000-0005-0000-0000-00001E080000}"/>
    <cellStyle name="Vírgula 4 2 5" xfId="403" xr:uid="{00000000-0005-0000-0000-00001F080000}"/>
    <cellStyle name="Vírgula 4 2 5 2" xfId="1019" xr:uid="{00000000-0005-0000-0000-000020080000}"/>
    <cellStyle name="Vírgula 4 2 5 3" xfId="1635" xr:uid="{00000000-0005-0000-0000-000021080000}"/>
    <cellStyle name="Vírgula 4 2 5 4" xfId="2251" xr:uid="{00000000-0005-0000-0000-000022080000}"/>
    <cellStyle name="Vírgula 4 2 6" xfId="711" xr:uid="{00000000-0005-0000-0000-000023080000}"/>
    <cellStyle name="Vírgula 4 2 7" xfId="1327" xr:uid="{00000000-0005-0000-0000-000024080000}"/>
    <cellStyle name="Vírgula 4 2 8" xfId="1943" xr:uid="{00000000-0005-0000-0000-000025080000}"/>
    <cellStyle name="Vírgula 4 3" xfId="88" xr:uid="{00000000-0005-0000-0000-000026080000}"/>
    <cellStyle name="Vírgula 4 3 2" xfId="247" xr:uid="{00000000-0005-0000-0000-000027080000}"/>
    <cellStyle name="Vírgula 4 3 2 2" xfId="559" xr:uid="{00000000-0005-0000-0000-000028080000}"/>
    <cellStyle name="Vírgula 4 3 2 2 2" xfId="1175" xr:uid="{00000000-0005-0000-0000-000029080000}"/>
    <cellStyle name="Vírgula 4 3 2 2 3" xfId="1791" xr:uid="{00000000-0005-0000-0000-00002A080000}"/>
    <cellStyle name="Vírgula 4 3 2 2 4" xfId="2407" xr:uid="{00000000-0005-0000-0000-00002B080000}"/>
    <cellStyle name="Vírgula 4 3 2 3" xfId="867" xr:uid="{00000000-0005-0000-0000-00002C080000}"/>
    <cellStyle name="Vírgula 4 3 2 4" xfId="1483" xr:uid="{00000000-0005-0000-0000-00002D080000}"/>
    <cellStyle name="Vírgula 4 3 2 5" xfId="2099" xr:uid="{00000000-0005-0000-0000-00002E080000}"/>
    <cellStyle name="Vírgula 4 3 3" xfId="435" xr:uid="{00000000-0005-0000-0000-00002F080000}"/>
    <cellStyle name="Vírgula 4 3 3 2" xfId="1051" xr:uid="{00000000-0005-0000-0000-000030080000}"/>
    <cellStyle name="Vírgula 4 3 3 3" xfId="1667" xr:uid="{00000000-0005-0000-0000-000031080000}"/>
    <cellStyle name="Vírgula 4 3 3 4" xfId="2283" xr:uid="{00000000-0005-0000-0000-000032080000}"/>
    <cellStyle name="Vírgula 4 3 4" xfId="743" xr:uid="{00000000-0005-0000-0000-000033080000}"/>
    <cellStyle name="Vírgula 4 3 5" xfId="1359" xr:uid="{00000000-0005-0000-0000-000034080000}"/>
    <cellStyle name="Vírgula 4 3 6" xfId="1975" xr:uid="{00000000-0005-0000-0000-000035080000}"/>
    <cellStyle name="Vírgula 4 4" xfId="185" xr:uid="{00000000-0005-0000-0000-000036080000}"/>
    <cellStyle name="Vírgula 4 4 2" xfId="497" xr:uid="{00000000-0005-0000-0000-000037080000}"/>
    <cellStyle name="Vírgula 4 4 2 2" xfId="1113" xr:uid="{00000000-0005-0000-0000-000038080000}"/>
    <cellStyle name="Vírgula 4 4 2 3" xfId="1729" xr:uid="{00000000-0005-0000-0000-000039080000}"/>
    <cellStyle name="Vírgula 4 4 2 4" xfId="2345" xr:uid="{00000000-0005-0000-0000-00003A080000}"/>
    <cellStyle name="Vírgula 4 4 3" xfId="805" xr:uid="{00000000-0005-0000-0000-00003B080000}"/>
    <cellStyle name="Vírgula 4 4 4" xfId="1421" xr:uid="{00000000-0005-0000-0000-00003C080000}"/>
    <cellStyle name="Vírgula 4 4 5" xfId="2037" xr:uid="{00000000-0005-0000-0000-00003D080000}"/>
    <cellStyle name="Vírgula 4 5" xfId="309" xr:uid="{00000000-0005-0000-0000-00003E080000}"/>
    <cellStyle name="Vírgula 4 5 2" xfId="621" xr:uid="{00000000-0005-0000-0000-00003F080000}"/>
    <cellStyle name="Vírgula 4 5 2 2" xfId="1237" xr:uid="{00000000-0005-0000-0000-000040080000}"/>
    <cellStyle name="Vírgula 4 5 2 3" xfId="1853" xr:uid="{00000000-0005-0000-0000-000041080000}"/>
    <cellStyle name="Vírgula 4 5 2 4" xfId="2469" xr:uid="{00000000-0005-0000-0000-000042080000}"/>
    <cellStyle name="Vírgula 4 5 3" xfId="929" xr:uid="{00000000-0005-0000-0000-000043080000}"/>
    <cellStyle name="Vírgula 4 5 4" xfId="1545" xr:uid="{00000000-0005-0000-0000-000044080000}"/>
    <cellStyle name="Vírgula 4 5 5" xfId="2161" xr:uid="{00000000-0005-0000-0000-000045080000}"/>
    <cellStyle name="Vírgula 4 6" xfId="373" xr:uid="{00000000-0005-0000-0000-000046080000}"/>
    <cellStyle name="Vírgula 4 6 2" xfId="989" xr:uid="{00000000-0005-0000-0000-000047080000}"/>
    <cellStyle name="Vírgula 4 6 3" xfId="1605" xr:uid="{00000000-0005-0000-0000-000048080000}"/>
    <cellStyle name="Vírgula 4 6 4" xfId="2221" xr:uid="{00000000-0005-0000-0000-000049080000}"/>
    <cellStyle name="Vírgula 4 7" xfId="681" xr:uid="{00000000-0005-0000-0000-00004A080000}"/>
    <cellStyle name="Vírgula 4 8" xfId="1297" xr:uid="{00000000-0005-0000-0000-00004B080000}"/>
    <cellStyle name="Vírgula 4 9" xfId="1913" xr:uid="{00000000-0005-0000-0000-00004C080000}"/>
    <cellStyle name="Vírgula 5" xfId="23" xr:uid="{00000000-0005-0000-0000-00004D080000}"/>
    <cellStyle name="Vírgula 5 2" xfId="57" xr:uid="{00000000-0005-0000-0000-00004E080000}"/>
    <cellStyle name="Vírgula 5 2 2" xfId="121" xr:uid="{00000000-0005-0000-0000-00004F080000}"/>
    <cellStyle name="Vírgula 5 2 2 2" xfId="280" xr:uid="{00000000-0005-0000-0000-000050080000}"/>
    <cellStyle name="Vírgula 5 2 2 2 2" xfId="592" xr:uid="{00000000-0005-0000-0000-000051080000}"/>
    <cellStyle name="Vírgula 5 2 2 2 2 2" xfId="1208" xr:uid="{00000000-0005-0000-0000-000052080000}"/>
    <cellStyle name="Vírgula 5 2 2 2 2 3" xfId="1824" xr:uid="{00000000-0005-0000-0000-000053080000}"/>
    <cellStyle name="Vírgula 5 2 2 2 2 4" xfId="2440" xr:uid="{00000000-0005-0000-0000-000054080000}"/>
    <cellStyle name="Vírgula 5 2 2 2 3" xfId="900" xr:uid="{00000000-0005-0000-0000-000055080000}"/>
    <cellStyle name="Vírgula 5 2 2 2 4" xfId="1516" xr:uid="{00000000-0005-0000-0000-000056080000}"/>
    <cellStyle name="Vírgula 5 2 2 2 5" xfId="2132" xr:uid="{00000000-0005-0000-0000-000057080000}"/>
    <cellStyle name="Vírgula 5 2 2 3" xfId="468" xr:uid="{00000000-0005-0000-0000-000058080000}"/>
    <cellStyle name="Vírgula 5 2 2 3 2" xfId="1084" xr:uid="{00000000-0005-0000-0000-000059080000}"/>
    <cellStyle name="Vírgula 5 2 2 3 3" xfId="1700" xr:uid="{00000000-0005-0000-0000-00005A080000}"/>
    <cellStyle name="Vírgula 5 2 2 3 4" xfId="2316" xr:uid="{00000000-0005-0000-0000-00005B080000}"/>
    <cellStyle name="Vírgula 5 2 2 4" xfId="776" xr:uid="{00000000-0005-0000-0000-00005C080000}"/>
    <cellStyle name="Vírgula 5 2 2 5" xfId="1392" xr:uid="{00000000-0005-0000-0000-00005D080000}"/>
    <cellStyle name="Vírgula 5 2 2 6" xfId="2008" xr:uid="{00000000-0005-0000-0000-00005E080000}"/>
    <cellStyle name="Vírgula 5 2 3" xfId="218" xr:uid="{00000000-0005-0000-0000-00005F080000}"/>
    <cellStyle name="Vírgula 5 2 3 2" xfId="530" xr:uid="{00000000-0005-0000-0000-000060080000}"/>
    <cellStyle name="Vírgula 5 2 3 2 2" xfId="1146" xr:uid="{00000000-0005-0000-0000-000061080000}"/>
    <cellStyle name="Vírgula 5 2 3 2 3" xfId="1762" xr:uid="{00000000-0005-0000-0000-000062080000}"/>
    <cellStyle name="Vírgula 5 2 3 2 4" xfId="2378" xr:uid="{00000000-0005-0000-0000-000063080000}"/>
    <cellStyle name="Vírgula 5 2 3 3" xfId="838" xr:uid="{00000000-0005-0000-0000-000064080000}"/>
    <cellStyle name="Vírgula 5 2 3 4" xfId="1454" xr:uid="{00000000-0005-0000-0000-000065080000}"/>
    <cellStyle name="Vírgula 5 2 3 5" xfId="2070" xr:uid="{00000000-0005-0000-0000-000066080000}"/>
    <cellStyle name="Vírgula 5 2 4" xfId="342" xr:uid="{00000000-0005-0000-0000-000067080000}"/>
    <cellStyle name="Vírgula 5 2 4 2" xfId="654" xr:uid="{00000000-0005-0000-0000-000068080000}"/>
    <cellStyle name="Vírgula 5 2 4 2 2" xfId="1270" xr:uid="{00000000-0005-0000-0000-000069080000}"/>
    <cellStyle name="Vírgula 5 2 4 2 3" xfId="1886" xr:uid="{00000000-0005-0000-0000-00006A080000}"/>
    <cellStyle name="Vírgula 5 2 4 2 4" xfId="2502" xr:uid="{00000000-0005-0000-0000-00006B080000}"/>
    <cellStyle name="Vírgula 5 2 4 3" xfId="962" xr:uid="{00000000-0005-0000-0000-00006C080000}"/>
    <cellStyle name="Vírgula 5 2 4 4" xfId="1578" xr:uid="{00000000-0005-0000-0000-00006D080000}"/>
    <cellStyle name="Vírgula 5 2 4 5" xfId="2194" xr:uid="{00000000-0005-0000-0000-00006E080000}"/>
    <cellStyle name="Vírgula 5 2 5" xfId="406" xr:uid="{00000000-0005-0000-0000-00006F080000}"/>
    <cellStyle name="Vírgula 5 2 5 2" xfId="1022" xr:uid="{00000000-0005-0000-0000-000070080000}"/>
    <cellStyle name="Vírgula 5 2 5 3" xfId="1638" xr:uid="{00000000-0005-0000-0000-000071080000}"/>
    <cellStyle name="Vírgula 5 2 5 4" xfId="2254" xr:uid="{00000000-0005-0000-0000-000072080000}"/>
    <cellStyle name="Vírgula 5 2 6" xfId="714" xr:uid="{00000000-0005-0000-0000-000073080000}"/>
    <cellStyle name="Vírgula 5 2 7" xfId="1330" xr:uid="{00000000-0005-0000-0000-000074080000}"/>
    <cellStyle name="Vírgula 5 2 8" xfId="1946" xr:uid="{00000000-0005-0000-0000-000075080000}"/>
    <cellStyle name="Vírgula 5 3" xfId="91" xr:uid="{00000000-0005-0000-0000-000076080000}"/>
    <cellStyle name="Vírgula 5 3 2" xfId="250" xr:uid="{00000000-0005-0000-0000-000077080000}"/>
    <cellStyle name="Vírgula 5 3 2 2" xfId="562" xr:uid="{00000000-0005-0000-0000-000078080000}"/>
    <cellStyle name="Vírgula 5 3 2 2 2" xfId="1178" xr:uid="{00000000-0005-0000-0000-000079080000}"/>
    <cellStyle name="Vírgula 5 3 2 2 3" xfId="1794" xr:uid="{00000000-0005-0000-0000-00007A080000}"/>
    <cellStyle name="Vírgula 5 3 2 2 4" xfId="2410" xr:uid="{00000000-0005-0000-0000-00007B080000}"/>
    <cellStyle name="Vírgula 5 3 2 3" xfId="870" xr:uid="{00000000-0005-0000-0000-00007C080000}"/>
    <cellStyle name="Vírgula 5 3 2 4" xfId="1486" xr:uid="{00000000-0005-0000-0000-00007D080000}"/>
    <cellStyle name="Vírgula 5 3 2 5" xfId="2102" xr:uid="{00000000-0005-0000-0000-00007E080000}"/>
    <cellStyle name="Vírgula 5 3 3" xfId="438" xr:uid="{00000000-0005-0000-0000-00007F080000}"/>
    <cellStyle name="Vírgula 5 3 3 2" xfId="1054" xr:uid="{00000000-0005-0000-0000-000080080000}"/>
    <cellStyle name="Vírgula 5 3 3 3" xfId="1670" xr:uid="{00000000-0005-0000-0000-000081080000}"/>
    <cellStyle name="Vírgula 5 3 3 4" xfId="2286" xr:uid="{00000000-0005-0000-0000-000082080000}"/>
    <cellStyle name="Vírgula 5 3 4" xfId="746" xr:uid="{00000000-0005-0000-0000-000083080000}"/>
    <cellStyle name="Vírgula 5 3 5" xfId="1362" xr:uid="{00000000-0005-0000-0000-000084080000}"/>
    <cellStyle name="Vírgula 5 3 6" xfId="1978" xr:uid="{00000000-0005-0000-0000-000085080000}"/>
    <cellStyle name="Vírgula 5 4" xfId="188" xr:uid="{00000000-0005-0000-0000-000086080000}"/>
    <cellStyle name="Vírgula 5 4 2" xfId="500" xr:uid="{00000000-0005-0000-0000-000087080000}"/>
    <cellStyle name="Vírgula 5 4 2 2" xfId="1116" xr:uid="{00000000-0005-0000-0000-000088080000}"/>
    <cellStyle name="Vírgula 5 4 2 3" xfId="1732" xr:uid="{00000000-0005-0000-0000-000089080000}"/>
    <cellStyle name="Vírgula 5 4 2 4" xfId="2348" xr:uid="{00000000-0005-0000-0000-00008A080000}"/>
    <cellStyle name="Vírgula 5 4 3" xfId="808" xr:uid="{00000000-0005-0000-0000-00008B080000}"/>
    <cellStyle name="Vírgula 5 4 4" xfId="1424" xr:uid="{00000000-0005-0000-0000-00008C080000}"/>
    <cellStyle name="Vírgula 5 4 5" xfId="2040" xr:uid="{00000000-0005-0000-0000-00008D080000}"/>
    <cellStyle name="Vírgula 5 5" xfId="312" xr:uid="{00000000-0005-0000-0000-00008E080000}"/>
    <cellStyle name="Vírgula 5 5 2" xfId="624" xr:uid="{00000000-0005-0000-0000-00008F080000}"/>
    <cellStyle name="Vírgula 5 5 2 2" xfId="1240" xr:uid="{00000000-0005-0000-0000-000090080000}"/>
    <cellStyle name="Vírgula 5 5 2 3" xfId="1856" xr:uid="{00000000-0005-0000-0000-000091080000}"/>
    <cellStyle name="Vírgula 5 5 2 4" xfId="2472" xr:uid="{00000000-0005-0000-0000-000092080000}"/>
    <cellStyle name="Vírgula 5 5 3" xfId="932" xr:uid="{00000000-0005-0000-0000-000093080000}"/>
    <cellStyle name="Vírgula 5 5 4" xfId="1548" xr:uid="{00000000-0005-0000-0000-000094080000}"/>
    <cellStyle name="Vírgula 5 5 5" xfId="2164" xr:uid="{00000000-0005-0000-0000-000095080000}"/>
    <cellStyle name="Vírgula 5 6" xfId="376" xr:uid="{00000000-0005-0000-0000-000096080000}"/>
    <cellStyle name="Vírgula 5 6 2" xfId="992" xr:uid="{00000000-0005-0000-0000-000097080000}"/>
    <cellStyle name="Vírgula 5 6 3" xfId="1608" xr:uid="{00000000-0005-0000-0000-000098080000}"/>
    <cellStyle name="Vírgula 5 6 4" xfId="2224" xr:uid="{00000000-0005-0000-0000-000099080000}"/>
    <cellStyle name="Vírgula 5 7" xfId="684" xr:uid="{00000000-0005-0000-0000-00009A080000}"/>
    <cellStyle name="Vírgula 5 8" xfId="1300" xr:uid="{00000000-0005-0000-0000-00009B080000}"/>
    <cellStyle name="Vírgula 5 9" xfId="1916" xr:uid="{00000000-0005-0000-0000-00009C080000}"/>
    <cellStyle name="Vírgula 6" xfId="31" xr:uid="{00000000-0005-0000-0000-00009D080000}"/>
    <cellStyle name="Vírgula 6 2" xfId="65" xr:uid="{00000000-0005-0000-0000-00009E080000}"/>
    <cellStyle name="Vírgula 6 2 2" xfId="129" xr:uid="{00000000-0005-0000-0000-00009F080000}"/>
    <cellStyle name="Vírgula 6 2 2 2" xfId="288" xr:uid="{00000000-0005-0000-0000-0000A0080000}"/>
    <cellStyle name="Vírgula 6 2 2 2 2" xfId="600" xr:uid="{00000000-0005-0000-0000-0000A1080000}"/>
    <cellStyle name="Vírgula 6 2 2 2 2 2" xfId="1216" xr:uid="{00000000-0005-0000-0000-0000A2080000}"/>
    <cellStyle name="Vírgula 6 2 2 2 2 3" xfId="1832" xr:uid="{00000000-0005-0000-0000-0000A3080000}"/>
    <cellStyle name="Vírgula 6 2 2 2 2 4" xfId="2448" xr:uid="{00000000-0005-0000-0000-0000A4080000}"/>
    <cellStyle name="Vírgula 6 2 2 2 3" xfId="908" xr:uid="{00000000-0005-0000-0000-0000A5080000}"/>
    <cellStyle name="Vírgula 6 2 2 2 4" xfId="1524" xr:uid="{00000000-0005-0000-0000-0000A6080000}"/>
    <cellStyle name="Vírgula 6 2 2 2 5" xfId="2140" xr:uid="{00000000-0005-0000-0000-0000A7080000}"/>
    <cellStyle name="Vírgula 6 2 2 3" xfId="476" xr:uid="{00000000-0005-0000-0000-0000A8080000}"/>
    <cellStyle name="Vírgula 6 2 2 3 2" xfId="1092" xr:uid="{00000000-0005-0000-0000-0000A9080000}"/>
    <cellStyle name="Vírgula 6 2 2 3 3" xfId="1708" xr:uid="{00000000-0005-0000-0000-0000AA080000}"/>
    <cellStyle name="Vírgula 6 2 2 3 4" xfId="2324" xr:uid="{00000000-0005-0000-0000-0000AB080000}"/>
    <cellStyle name="Vírgula 6 2 2 4" xfId="784" xr:uid="{00000000-0005-0000-0000-0000AC080000}"/>
    <cellStyle name="Vírgula 6 2 2 5" xfId="1400" xr:uid="{00000000-0005-0000-0000-0000AD080000}"/>
    <cellStyle name="Vírgula 6 2 2 6" xfId="2016" xr:uid="{00000000-0005-0000-0000-0000AE080000}"/>
    <cellStyle name="Vírgula 6 2 3" xfId="226" xr:uid="{00000000-0005-0000-0000-0000AF080000}"/>
    <cellStyle name="Vírgula 6 2 3 2" xfId="538" xr:uid="{00000000-0005-0000-0000-0000B0080000}"/>
    <cellStyle name="Vírgula 6 2 3 2 2" xfId="1154" xr:uid="{00000000-0005-0000-0000-0000B1080000}"/>
    <cellStyle name="Vírgula 6 2 3 2 3" xfId="1770" xr:uid="{00000000-0005-0000-0000-0000B2080000}"/>
    <cellStyle name="Vírgula 6 2 3 2 4" xfId="2386" xr:uid="{00000000-0005-0000-0000-0000B3080000}"/>
    <cellStyle name="Vírgula 6 2 3 3" xfId="846" xr:uid="{00000000-0005-0000-0000-0000B4080000}"/>
    <cellStyle name="Vírgula 6 2 3 4" xfId="1462" xr:uid="{00000000-0005-0000-0000-0000B5080000}"/>
    <cellStyle name="Vírgula 6 2 3 5" xfId="2078" xr:uid="{00000000-0005-0000-0000-0000B6080000}"/>
    <cellStyle name="Vírgula 6 2 4" xfId="350" xr:uid="{00000000-0005-0000-0000-0000B7080000}"/>
    <cellStyle name="Vírgula 6 2 4 2" xfId="662" xr:uid="{00000000-0005-0000-0000-0000B8080000}"/>
    <cellStyle name="Vírgula 6 2 4 2 2" xfId="1278" xr:uid="{00000000-0005-0000-0000-0000B9080000}"/>
    <cellStyle name="Vírgula 6 2 4 2 3" xfId="1894" xr:uid="{00000000-0005-0000-0000-0000BA080000}"/>
    <cellStyle name="Vírgula 6 2 4 2 4" xfId="2510" xr:uid="{00000000-0005-0000-0000-0000BB080000}"/>
    <cellStyle name="Vírgula 6 2 4 3" xfId="970" xr:uid="{00000000-0005-0000-0000-0000BC080000}"/>
    <cellStyle name="Vírgula 6 2 4 4" xfId="1586" xr:uid="{00000000-0005-0000-0000-0000BD080000}"/>
    <cellStyle name="Vírgula 6 2 4 5" xfId="2202" xr:uid="{00000000-0005-0000-0000-0000BE080000}"/>
    <cellStyle name="Vírgula 6 2 5" xfId="414" xr:uid="{00000000-0005-0000-0000-0000BF080000}"/>
    <cellStyle name="Vírgula 6 2 5 2" xfId="1030" xr:uid="{00000000-0005-0000-0000-0000C0080000}"/>
    <cellStyle name="Vírgula 6 2 5 3" xfId="1646" xr:uid="{00000000-0005-0000-0000-0000C1080000}"/>
    <cellStyle name="Vírgula 6 2 5 4" xfId="2262" xr:uid="{00000000-0005-0000-0000-0000C2080000}"/>
    <cellStyle name="Vírgula 6 2 6" xfId="722" xr:uid="{00000000-0005-0000-0000-0000C3080000}"/>
    <cellStyle name="Vírgula 6 2 7" xfId="1338" xr:uid="{00000000-0005-0000-0000-0000C4080000}"/>
    <cellStyle name="Vírgula 6 2 8" xfId="1954" xr:uid="{00000000-0005-0000-0000-0000C5080000}"/>
    <cellStyle name="Vírgula 6 3" xfId="99" xr:uid="{00000000-0005-0000-0000-0000C6080000}"/>
    <cellStyle name="Vírgula 6 3 2" xfId="258" xr:uid="{00000000-0005-0000-0000-0000C7080000}"/>
    <cellStyle name="Vírgula 6 3 2 2" xfId="570" xr:uid="{00000000-0005-0000-0000-0000C8080000}"/>
    <cellStyle name="Vírgula 6 3 2 2 2" xfId="1186" xr:uid="{00000000-0005-0000-0000-0000C9080000}"/>
    <cellStyle name="Vírgula 6 3 2 2 3" xfId="1802" xr:uid="{00000000-0005-0000-0000-0000CA080000}"/>
    <cellStyle name="Vírgula 6 3 2 2 4" xfId="2418" xr:uid="{00000000-0005-0000-0000-0000CB080000}"/>
    <cellStyle name="Vírgula 6 3 2 3" xfId="878" xr:uid="{00000000-0005-0000-0000-0000CC080000}"/>
    <cellStyle name="Vírgula 6 3 2 4" xfId="1494" xr:uid="{00000000-0005-0000-0000-0000CD080000}"/>
    <cellStyle name="Vírgula 6 3 2 5" xfId="2110" xr:uid="{00000000-0005-0000-0000-0000CE080000}"/>
    <cellStyle name="Vírgula 6 3 3" xfId="446" xr:uid="{00000000-0005-0000-0000-0000CF080000}"/>
    <cellStyle name="Vírgula 6 3 3 2" xfId="1062" xr:uid="{00000000-0005-0000-0000-0000D0080000}"/>
    <cellStyle name="Vírgula 6 3 3 3" xfId="1678" xr:uid="{00000000-0005-0000-0000-0000D1080000}"/>
    <cellStyle name="Vírgula 6 3 3 4" xfId="2294" xr:uid="{00000000-0005-0000-0000-0000D2080000}"/>
    <cellStyle name="Vírgula 6 3 4" xfId="754" xr:uid="{00000000-0005-0000-0000-0000D3080000}"/>
    <cellStyle name="Vírgula 6 3 5" xfId="1370" xr:uid="{00000000-0005-0000-0000-0000D4080000}"/>
    <cellStyle name="Vírgula 6 3 6" xfId="1986" xr:uid="{00000000-0005-0000-0000-0000D5080000}"/>
    <cellStyle name="Vírgula 6 4" xfId="196" xr:uid="{00000000-0005-0000-0000-0000D6080000}"/>
    <cellStyle name="Vírgula 6 4 2" xfId="508" xr:uid="{00000000-0005-0000-0000-0000D7080000}"/>
    <cellStyle name="Vírgula 6 4 2 2" xfId="1124" xr:uid="{00000000-0005-0000-0000-0000D8080000}"/>
    <cellStyle name="Vírgula 6 4 2 3" xfId="1740" xr:uid="{00000000-0005-0000-0000-0000D9080000}"/>
    <cellStyle name="Vírgula 6 4 2 4" xfId="2356" xr:uid="{00000000-0005-0000-0000-0000DA080000}"/>
    <cellStyle name="Vírgula 6 4 3" xfId="816" xr:uid="{00000000-0005-0000-0000-0000DB080000}"/>
    <cellStyle name="Vírgula 6 4 4" xfId="1432" xr:uid="{00000000-0005-0000-0000-0000DC080000}"/>
    <cellStyle name="Vírgula 6 4 5" xfId="2048" xr:uid="{00000000-0005-0000-0000-0000DD080000}"/>
    <cellStyle name="Vírgula 6 5" xfId="320" xr:uid="{00000000-0005-0000-0000-0000DE080000}"/>
    <cellStyle name="Vírgula 6 5 2" xfId="632" xr:uid="{00000000-0005-0000-0000-0000DF080000}"/>
    <cellStyle name="Vírgula 6 5 2 2" xfId="1248" xr:uid="{00000000-0005-0000-0000-0000E0080000}"/>
    <cellStyle name="Vírgula 6 5 2 3" xfId="1864" xr:uid="{00000000-0005-0000-0000-0000E1080000}"/>
    <cellStyle name="Vírgula 6 5 2 4" xfId="2480" xr:uid="{00000000-0005-0000-0000-0000E2080000}"/>
    <cellStyle name="Vírgula 6 5 3" xfId="940" xr:uid="{00000000-0005-0000-0000-0000E3080000}"/>
    <cellStyle name="Vírgula 6 5 4" xfId="1556" xr:uid="{00000000-0005-0000-0000-0000E4080000}"/>
    <cellStyle name="Vírgula 6 5 5" xfId="2172" xr:uid="{00000000-0005-0000-0000-0000E5080000}"/>
    <cellStyle name="Vírgula 6 6" xfId="384" xr:uid="{00000000-0005-0000-0000-0000E6080000}"/>
    <cellStyle name="Vírgula 6 6 2" xfId="1000" xr:uid="{00000000-0005-0000-0000-0000E7080000}"/>
    <cellStyle name="Vírgula 6 6 3" xfId="1616" xr:uid="{00000000-0005-0000-0000-0000E8080000}"/>
    <cellStyle name="Vírgula 6 6 4" xfId="2232" xr:uid="{00000000-0005-0000-0000-0000E9080000}"/>
    <cellStyle name="Vírgula 6 7" xfId="692" xr:uid="{00000000-0005-0000-0000-0000EA080000}"/>
    <cellStyle name="Vírgula 6 8" xfId="1308" xr:uid="{00000000-0005-0000-0000-0000EB080000}"/>
    <cellStyle name="Vírgula 6 9" xfId="1924" xr:uid="{00000000-0005-0000-0000-0000EC080000}"/>
    <cellStyle name="Vírgula 7" xfId="33" xr:uid="{00000000-0005-0000-0000-0000ED080000}"/>
    <cellStyle name="Vírgula 7 2" xfId="67" xr:uid="{00000000-0005-0000-0000-0000EE080000}"/>
    <cellStyle name="Vírgula 7 2 2" xfId="131" xr:uid="{00000000-0005-0000-0000-0000EF080000}"/>
    <cellStyle name="Vírgula 7 2 2 2" xfId="290" xr:uid="{00000000-0005-0000-0000-0000F0080000}"/>
    <cellStyle name="Vírgula 7 2 2 2 2" xfId="602" xr:uid="{00000000-0005-0000-0000-0000F1080000}"/>
    <cellStyle name="Vírgula 7 2 2 2 2 2" xfId="1218" xr:uid="{00000000-0005-0000-0000-0000F2080000}"/>
    <cellStyle name="Vírgula 7 2 2 2 2 3" xfId="1834" xr:uid="{00000000-0005-0000-0000-0000F3080000}"/>
    <cellStyle name="Vírgula 7 2 2 2 2 4" xfId="2450" xr:uid="{00000000-0005-0000-0000-0000F4080000}"/>
    <cellStyle name="Vírgula 7 2 2 2 3" xfId="910" xr:uid="{00000000-0005-0000-0000-0000F5080000}"/>
    <cellStyle name="Vírgula 7 2 2 2 4" xfId="1526" xr:uid="{00000000-0005-0000-0000-0000F6080000}"/>
    <cellStyle name="Vírgula 7 2 2 2 5" xfId="2142" xr:uid="{00000000-0005-0000-0000-0000F7080000}"/>
    <cellStyle name="Vírgula 7 2 2 3" xfId="478" xr:uid="{00000000-0005-0000-0000-0000F8080000}"/>
    <cellStyle name="Vírgula 7 2 2 3 2" xfId="1094" xr:uid="{00000000-0005-0000-0000-0000F9080000}"/>
    <cellStyle name="Vírgula 7 2 2 3 3" xfId="1710" xr:uid="{00000000-0005-0000-0000-0000FA080000}"/>
    <cellStyle name="Vírgula 7 2 2 3 4" xfId="2326" xr:uid="{00000000-0005-0000-0000-0000FB080000}"/>
    <cellStyle name="Vírgula 7 2 2 4" xfId="786" xr:uid="{00000000-0005-0000-0000-0000FC080000}"/>
    <cellStyle name="Vírgula 7 2 2 5" xfId="1402" xr:uid="{00000000-0005-0000-0000-0000FD080000}"/>
    <cellStyle name="Vírgula 7 2 2 6" xfId="2018" xr:uid="{00000000-0005-0000-0000-0000FE080000}"/>
    <cellStyle name="Vírgula 7 2 3" xfId="228" xr:uid="{00000000-0005-0000-0000-0000FF080000}"/>
    <cellStyle name="Vírgula 7 2 3 2" xfId="540" xr:uid="{00000000-0005-0000-0000-000000090000}"/>
    <cellStyle name="Vírgula 7 2 3 2 2" xfId="1156" xr:uid="{00000000-0005-0000-0000-000001090000}"/>
    <cellStyle name="Vírgula 7 2 3 2 3" xfId="1772" xr:uid="{00000000-0005-0000-0000-000002090000}"/>
    <cellStyle name="Vírgula 7 2 3 2 4" xfId="2388" xr:uid="{00000000-0005-0000-0000-000003090000}"/>
    <cellStyle name="Vírgula 7 2 3 3" xfId="848" xr:uid="{00000000-0005-0000-0000-000004090000}"/>
    <cellStyle name="Vírgula 7 2 3 4" xfId="1464" xr:uid="{00000000-0005-0000-0000-000005090000}"/>
    <cellStyle name="Vírgula 7 2 3 5" xfId="2080" xr:uid="{00000000-0005-0000-0000-000006090000}"/>
    <cellStyle name="Vírgula 7 2 4" xfId="352" xr:uid="{00000000-0005-0000-0000-000007090000}"/>
    <cellStyle name="Vírgula 7 2 4 2" xfId="664" xr:uid="{00000000-0005-0000-0000-000008090000}"/>
    <cellStyle name="Vírgula 7 2 4 2 2" xfId="1280" xr:uid="{00000000-0005-0000-0000-000009090000}"/>
    <cellStyle name="Vírgula 7 2 4 2 3" xfId="1896" xr:uid="{00000000-0005-0000-0000-00000A090000}"/>
    <cellStyle name="Vírgula 7 2 4 2 4" xfId="2512" xr:uid="{00000000-0005-0000-0000-00000B090000}"/>
    <cellStyle name="Vírgula 7 2 4 3" xfId="972" xr:uid="{00000000-0005-0000-0000-00000C090000}"/>
    <cellStyle name="Vírgula 7 2 4 4" xfId="1588" xr:uid="{00000000-0005-0000-0000-00000D090000}"/>
    <cellStyle name="Vírgula 7 2 4 5" xfId="2204" xr:uid="{00000000-0005-0000-0000-00000E090000}"/>
    <cellStyle name="Vírgula 7 2 5" xfId="416" xr:uid="{00000000-0005-0000-0000-00000F090000}"/>
    <cellStyle name="Vírgula 7 2 5 2" xfId="1032" xr:uid="{00000000-0005-0000-0000-000010090000}"/>
    <cellStyle name="Vírgula 7 2 5 3" xfId="1648" xr:uid="{00000000-0005-0000-0000-000011090000}"/>
    <cellStyle name="Vírgula 7 2 5 4" xfId="2264" xr:uid="{00000000-0005-0000-0000-000012090000}"/>
    <cellStyle name="Vírgula 7 2 6" xfId="724" xr:uid="{00000000-0005-0000-0000-000013090000}"/>
    <cellStyle name="Vírgula 7 2 7" xfId="1340" xr:uid="{00000000-0005-0000-0000-000014090000}"/>
    <cellStyle name="Vírgula 7 2 8" xfId="1956" xr:uid="{00000000-0005-0000-0000-000015090000}"/>
    <cellStyle name="Vírgula 7 3" xfId="101" xr:uid="{00000000-0005-0000-0000-000016090000}"/>
    <cellStyle name="Vírgula 7 3 2" xfId="260" xr:uid="{00000000-0005-0000-0000-000017090000}"/>
    <cellStyle name="Vírgula 7 3 2 2" xfId="572" xr:uid="{00000000-0005-0000-0000-000018090000}"/>
    <cellStyle name="Vírgula 7 3 2 2 2" xfId="1188" xr:uid="{00000000-0005-0000-0000-000019090000}"/>
    <cellStyle name="Vírgula 7 3 2 2 3" xfId="1804" xr:uid="{00000000-0005-0000-0000-00001A090000}"/>
    <cellStyle name="Vírgula 7 3 2 2 4" xfId="2420" xr:uid="{00000000-0005-0000-0000-00001B090000}"/>
    <cellStyle name="Vírgula 7 3 2 3" xfId="880" xr:uid="{00000000-0005-0000-0000-00001C090000}"/>
    <cellStyle name="Vírgula 7 3 2 4" xfId="1496" xr:uid="{00000000-0005-0000-0000-00001D090000}"/>
    <cellStyle name="Vírgula 7 3 2 5" xfId="2112" xr:uid="{00000000-0005-0000-0000-00001E090000}"/>
    <cellStyle name="Vírgula 7 3 3" xfId="448" xr:uid="{00000000-0005-0000-0000-00001F090000}"/>
    <cellStyle name="Vírgula 7 3 3 2" xfId="1064" xr:uid="{00000000-0005-0000-0000-000020090000}"/>
    <cellStyle name="Vírgula 7 3 3 3" xfId="1680" xr:uid="{00000000-0005-0000-0000-000021090000}"/>
    <cellStyle name="Vírgula 7 3 3 4" xfId="2296" xr:uid="{00000000-0005-0000-0000-000022090000}"/>
    <cellStyle name="Vírgula 7 3 4" xfId="756" xr:uid="{00000000-0005-0000-0000-000023090000}"/>
    <cellStyle name="Vírgula 7 3 5" xfId="1372" xr:uid="{00000000-0005-0000-0000-000024090000}"/>
    <cellStyle name="Vírgula 7 3 6" xfId="1988" xr:uid="{00000000-0005-0000-0000-000025090000}"/>
    <cellStyle name="Vírgula 7 4" xfId="198" xr:uid="{00000000-0005-0000-0000-000026090000}"/>
    <cellStyle name="Vírgula 7 4 2" xfId="510" xr:uid="{00000000-0005-0000-0000-000027090000}"/>
    <cellStyle name="Vírgula 7 4 2 2" xfId="1126" xr:uid="{00000000-0005-0000-0000-000028090000}"/>
    <cellStyle name="Vírgula 7 4 2 3" xfId="1742" xr:uid="{00000000-0005-0000-0000-000029090000}"/>
    <cellStyle name="Vírgula 7 4 2 4" xfId="2358" xr:uid="{00000000-0005-0000-0000-00002A090000}"/>
    <cellStyle name="Vírgula 7 4 3" xfId="818" xr:uid="{00000000-0005-0000-0000-00002B090000}"/>
    <cellStyle name="Vírgula 7 4 4" xfId="1434" xr:uid="{00000000-0005-0000-0000-00002C090000}"/>
    <cellStyle name="Vírgula 7 4 5" xfId="2050" xr:uid="{00000000-0005-0000-0000-00002D090000}"/>
    <cellStyle name="Vírgula 7 5" xfId="322" xr:uid="{00000000-0005-0000-0000-00002E090000}"/>
    <cellStyle name="Vírgula 7 5 2" xfId="634" xr:uid="{00000000-0005-0000-0000-00002F090000}"/>
    <cellStyle name="Vírgula 7 5 2 2" xfId="1250" xr:uid="{00000000-0005-0000-0000-000030090000}"/>
    <cellStyle name="Vírgula 7 5 2 3" xfId="1866" xr:uid="{00000000-0005-0000-0000-000031090000}"/>
    <cellStyle name="Vírgula 7 5 2 4" xfId="2482" xr:uid="{00000000-0005-0000-0000-000032090000}"/>
    <cellStyle name="Vírgula 7 5 3" xfId="942" xr:uid="{00000000-0005-0000-0000-000033090000}"/>
    <cellStyle name="Vírgula 7 5 4" xfId="1558" xr:uid="{00000000-0005-0000-0000-000034090000}"/>
    <cellStyle name="Vírgula 7 5 5" xfId="2174" xr:uid="{00000000-0005-0000-0000-000035090000}"/>
    <cellStyle name="Vírgula 7 6" xfId="386" xr:uid="{00000000-0005-0000-0000-000036090000}"/>
    <cellStyle name="Vírgula 7 6 2" xfId="1002" xr:uid="{00000000-0005-0000-0000-000037090000}"/>
    <cellStyle name="Vírgula 7 6 3" xfId="1618" xr:uid="{00000000-0005-0000-0000-000038090000}"/>
    <cellStyle name="Vírgula 7 6 4" xfId="2234" xr:uid="{00000000-0005-0000-0000-000039090000}"/>
    <cellStyle name="Vírgula 7 7" xfId="694" xr:uid="{00000000-0005-0000-0000-00003A090000}"/>
    <cellStyle name="Vírgula 7 8" xfId="1310" xr:uid="{00000000-0005-0000-0000-00003B090000}"/>
    <cellStyle name="Vírgula 7 9" xfId="1926" xr:uid="{00000000-0005-0000-0000-00003C090000}"/>
    <cellStyle name="Vírgula 8" xfId="38" xr:uid="{00000000-0005-0000-0000-00003D090000}"/>
    <cellStyle name="Vírgula 8 2" xfId="71" xr:uid="{00000000-0005-0000-0000-00003E090000}"/>
    <cellStyle name="Vírgula 8 2 2" xfId="133" xr:uid="{00000000-0005-0000-0000-00003F090000}"/>
    <cellStyle name="Vírgula 8 2 2 2" xfId="292" xr:uid="{00000000-0005-0000-0000-000040090000}"/>
    <cellStyle name="Vírgula 8 2 2 2 2" xfId="604" xr:uid="{00000000-0005-0000-0000-000041090000}"/>
    <cellStyle name="Vírgula 8 2 2 2 2 2" xfId="1220" xr:uid="{00000000-0005-0000-0000-000042090000}"/>
    <cellStyle name="Vírgula 8 2 2 2 2 3" xfId="1836" xr:uid="{00000000-0005-0000-0000-000043090000}"/>
    <cellStyle name="Vírgula 8 2 2 2 2 4" xfId="2452" xr:uid="{00000000-0005-0000-0000-000044090000}"/>
    <cellStyle name="Vírgula 8 2 2 2 3" xfId="912" xr:uid="{00000000-0005-0000-0000-000045090000}"/>
    <cellStyle name="Vírgula 8 2 2 2 4" xfId="1528" xr:uid="{00000000-0005-0000-0000-000046090000}"/>
    <cellStyle name="Vírgula 8 2 2 2 5" xfId="2144" xr:uid="{00000000-0005-0000-0000-000047090000}"/>
    <cellStyle name="Vírgula 8 2 2 3" xfId="480" xr:uid="{00000000-0005-0000-0000-000048090000}"/>
    <cellStyle name="Vírgula 8 2 2 3 2" xfId="1096" xr:uid="{00000000-0005-0000-0000-000049090000}"/>
    <cellStyle name="Vírgula 8 2 2 3 3" xfId="1712" xr:uid="{00000000-0005-0000-0000-00004A090000}"/>
    <cellStyle name="Vírgula 8 2 2 3 4" xfId="2328" xr:uid="{00000000-0005-0000-0000-00004B090000}"/>
    <cellStyle name="Vírgula 8 2 2 4" xfId="788" xr:uid="{00000000-0005-0000-0000-00004C090000}"/>
    <cellStyle name="Vírgula 8 2 2 5" xfId="1404" xr:uid="{00000000-0005-0000-0000-00004D090000}"/>
    <cellStyle name="Vírgula 8 2 2 6" xfId="2020" xr:uid="{00000000-0005-0000-0000-00004E090000}"/>
    <cellStyle name="Vírgula 8 2 3" xfId="230" xr:uid="{00000000-0005-0000-0000-00004F090000}"/>
    <cellStyle name="Vírgula 8 2 3 2" xfId="542" xr:uid="{00000000-0005-0000-0000-000050090000}"/>
    <cellStyle name="Vírgula 8 2 3 2 2" xfId="1158" xr:uid="{00000000-0005-0000-0000-000051090000}"/>
    <cellStyle name="Vírgula 8 2 3 2 3" xfId="1774" xr:uid="{00000000-0005-0000-0000-000052090000}"/>
    <cellStyle name="Vírgula 8 2 3 2 4" xfId="2390" xr:uid="{00000000-0005-0000-0000-000053090000}"/>
    <cellStyle name="Vírgula 8 2 3 3" xfId="850" xr:uid="{00000000-0005-0000-0000-000054090000}"/>
    <cellStyle name="Vírgula 8 2 3 4" xfId="1466" xr:uid="{00000000-0005-0000-0000-000055090000}"/>
    <cellStyle name="Vírgula 8 2 3 5" xfId="2082" xr:uid="{00000000-0005-0000-0000-000056090000}"/>
    <cellStyle name="Vírgula 8 2 4" xfId="354" xr:uid="{00000000-0005-0000-0000-000057090000}"/>
    <cellStyle name="Vírgula 8 2 4 2" xfId="666" xr:uid="{00000000-0005-0000-0000-000058090000}"/>
    <cellStyle name="Vírgula 8 2 4 2 2" xfId="1282" xr:uid="{00000000-0005-0000-0000-000059090000}"/>
    <cellStyle name="Vírgula 8 2 4 2 3" xfId="1898" xr:uid="{00000000-0005-0000-0000-00005A090000}"/>
    <cellStyle name="Vírgula 8 2 4 2 4" xfId="2514" xr:uid="{00000000-0005-0000-0000-00005B090000}"/>
    <cellStyle name="Vírgula 8 2 4 3" xfId="974" xr:uid="{00000000-0005-0000-0000-00005C090000}"/>
    <cellStyle name="Vírgula 8 2 4 4" xfId="1590" xr:uid="{00000000-0005-0000-0000-00005D090000}"/>
    <cellStyle name="Vírgula 8 2 4 5" xfId="2206" xr:uid="{00000000-0005-0000-0000-00005E090000}"/>
    <cellStyle name="Vírgula 8 2 5" xfId="418" xr:uid="{00000000-0005-0000-0000-00005F090000}"/>
    <cellStyle name="Vírgula 8 2 5 2" xfId="1034" xr:uid="{00000000-0005-0000-0000-000060090000}"/>
    <cellStyle name="Vírgula 8 2 5 3" xfId="1650" xr:uid="{00000000-0005-0000-0000-000061090000}"/>
    <cellStyle name="Vírgula 8 2 5 4" xfId="2266" xr:uid="{00000000-0005-0000-0000-000062090000}"/>
    <cellStyle name="Vírgula 8 2 6" xfId="726" xr:uid="{00000000-0005-0000-0000-000063090000}"/>
    <cellStyle name="Vírgula 8 2 7" xfId="1342" xr:uid="{00000000-0005-0000-0000-000064090000}"/>
    <cellStyle name="Vírgula 8 2 8" xfId="1958" xr:uid="{00000000-0005-0000-0000-000065090000}"/>
    <cellStyle name="Vírgula 8 3" xfId="103" xr:uid="{00000000-0005-0000-0000-000066090000}"/>
    <cellStyle name="Vírgula 8 3 2" xfId="262" xr:uid="{00000000-0005-0000-0000-000067090000}"/>
    <cellStyle name="Vírgula 8 3 2 2" xfId="574" xr:uid="{00000000-0005-0000-0000-000068090000}"/>
    <cellStyle name="Vírgula 8 3 2 2 2" xfId="1190" xr:uid="{00000000-0005-0000-0000-000069090000}"/>
    <cellStyle name="Vírgula 8 3 2 2 3" xfId="1806" xr:uid="{00000000-0005-0000-0000-00006A090000}"/>
    <cellStyle name="Vírgula 8 3 2 2 4" xfId="2422" xr:uid="{00000000-0005-0000-0000-00006B090000}"/>
    <cellStyle name="Vírgula 8 3 2 3" xfId="882" xr:uid="{00000000-0005-0000-0000-00006C090000}"/>
    <cellStyle name="Vírgula 8 3 2 4" xfId="1498" xr:uid="{00000000-0005-0000-0000-00006D090000}"/>
    <cellStyle name="Vírgula 8 3 2 5" xfId="2114" xr:uid="{00000000-0005-0000-0000-00006E090000}"/>
    <cellStyle name="Vírgula 8 3 3" xfId="450" xr:uid="{00000000-0005-0000-0000-00006F090000}"/>
    <cellStyle name="Vírgula 8 3 3 2" xfId="1066" xr:uid="{00000000-0005-0000-0000-000070090000}"/>
    <cellStyle name="Vírgula 8 3 3 3" xfId="1682" xr:uid="{00000000-0005-0000-0000-000071090000}"/>
    <cellStyle name="Vírgula 8 3 3 4" xfId="2298" xr:uid="{00000000-0005-0000-0000-000072090000}"/>
    <cellStyle name="Vírgula 8 3 4" xfId="758" xr:uid="{00000000-0005-0000-0000-000073090000}"/>
    <cellStyle name="Vírgula 8 3 5" xfId="1374" xr:uid="{00000000-0005-0000-0000-000074090000}"/>
    <cellStyle name="Vírgula 8 3 6" xfId="1990" xr:uid="{00000000-0005-0000-0000-000075090000}"/>
    <cellStyle name="Vírgula 8 4" xfId="200" xr:uid="{00000000-0005-0000-0000-000076090000}"/>
    <cellStyle name="Vírgula 8 4 2" xfId="512" xr:uid="{00000000-0005-0000-0000-000077090000}"/>
    <cellStyle name="Vírgula 8 4 2 2" xfId="1128" xr:uid="{00000000-0005-0000-0000-000078090000}"/>
    <cellStyle name="Vírgula 8 4 2 3" xfId="1744" xr:uid="{00000000-0005-0000-0000-000079090000}"/>
    <cellStyle name="Vírgula 8 4 2 4" xfId="2360" xr:uid="{00000000-0005-0000-0000-00007A090000}"/>
    <cellStyle name="Vírgula 8 4 3" xfId="820" xr:uid="{00000000-0005-0000-0000-00007B090000}"/>
    <cellStyle name="Vírgula 8 4 4" xfId="1436" xr:uid="{00000000-0005-0000-0000-00007C090000}"/>
    <cellStyle name="Vírgula 8 4 5" xfId="2052" xr:uid="{00000000-0005-0000-0000-00007D090000}"/>
    <cellStyle name="Vírgula 8 5" xfId="324" xr:uid="{00000000-0005-0000-0000-00007E090000}"/>
    <cellStyle name="Vírgula 8 5 2" xfId="636" xr:uid="{00000000-0005-0000-0000-00007F090000}"/>
    <cellStyle name="Vírgula 8 5 2 2" xfId="1252" xr:uid="{00000000-0005-0000-0000-000080090000}"/>
    <cellStyle name="Vírgula 8 5 2 3" xfId="1868" xr:uid="{00000000-0005-0000-0000-000081090000}"/>
    <cellStyle name="Vírgula 8 5 2 4" xfId="2484" xr:uid="{00000000-0005-0000-0000-000082090000}"/>
    <cellStyle name="Vírgula 8 5 3" xfId="944" xr:uid="{00000000-0005-0000-0000-000083090000}"/>
    <cellStyle name="Vírgula 8 5 4" xfId="1560" xr:uid="{00000000-0005-0000-0000-000084090000}"/>
    <cellStyle name="Vírgula 8 5 5" xfId="2176" xr:uid="{00000000-0005-0000-0000-000085090000}"/>
    <cellStyle name="Vírgula 8 6" xfId="388" xr:uid="{00000000-0005-0000-0000-000086090000}"/>
    <cellStyle name="Vírgula 8 6 2" xfId="1004" xr:uid="{00000000-0005-0000-0000-000087090000}"/>
    <cellStyle name="Vírgula 8 6 3" xfId="1620" xr:uid="{00000000-0005-0000-0000-000088090000}"/>
    <cellStyle name="Vírgula 8 6 4" xfId="2236" xr:uid="{00000000-0005-0000-0000-000089090000}"/>
    <cellStyle name="Vírgula 8 7" xfId="696" xr:uid="{00000000-0005-0000-0000-00008A090000}"/>
    <cellStyle name="Vírgula 8 8" xfId="1312" xr:uid="{00000000-0005-0000-0000-00008B090000}"/>
    <cellStyle name="Vírgula 8 9" xfId="1928" xr:uid="{00000000-0005-0000-0000-00008C090000}"/>
    <cellStyle name="Vírgula 9" xfId="40" xr:uid="{00000000-0005-0000-0000-00008D090000}"/>
    <cellStyle name="Vírgula 9 2" xfId="72" xr:uid="{00000000-0005-0000-0000-00008E090000}"/>
    <cellStyle name="Vírgula 9 2 2" xfId="134" xr:uid="{00000000-0005-0000-0000-00008F090000}"/>
    <cellStyle name="Vírgula 9 2 2 2" xfId="293" xr:uid="{00000000-0005-0000-0000-000090090000}"/>
    <cellStyle name="Vírgula 9 2 2 2 2" xfId="605" xr:uid="{00000000-0005-0000-0000-000091090000}"/>
    <cellStyle name="Vírgula 9 2 2 2 2 2" xfId="1221" xr:uid="{00000000-0005-0000-0000-000092090000}"/>
    <cellStyle name="Vírgula 9 2 2 2 2 3" xfId="1837" xr:uid="{00000000-0005-0000-0000-000093090000}"/>
    <cellStyle name="Vírgula 9 2 2 2 2 4" xfId="2453" xr:uid="{00000000-0005-0000-0000-000094090000}"/>
    <cellStyle name="Vírgula 9 2 2 2 3" xfId="913" xr:uid="{00000000-0005-0000-0000-000095090000}"/>
    <cellStyle name="Vírgula 9 2 2 2 4" xfId="1529" xr:uid="{00000000-0005-0000-0000-000096090000}"/>
    <cellStyle name="Vírgula 9 2 2 2 5" xfId="2145" xr:uid="{00000000-0005-0000-0000-000097090000}"/>
    <cellStyle name="Vírgula 9 2 2 3" xfId="481" xr:uid="{00000000-0005-0000-0000-000098090000}"/>
    <cellStyle name="Vírgula 9 2 2 3 2" xfId="1097" xr:uid="{00000000-0005-0000-0000-000099090000}"/>
    <cellStyle name="Vírgula 9 2 2 3 3" xfId="1713" xr:uid="{00000000-0005-0000-0000-00009A090000}"/>
    <cellStyle name="Vírgula 9 2 2 3 4" xfId="2329" xr:uid="{00000000-0005-0000-0000-00009B090000}"/>
    <cellStyle name="Vírgula 9 2 2 4" xfId="789" xr:uid="{00000000-0005-0000-0000-00009C090000}"/>
    <cellStyle name="Vírgula 9 2 2 5" xfId="1405" xr:uid="{00000000-0005-0000-0000-00009D090000}"/>
    <cellStyle name="Vírgula 9 2 2 6" xfId="2021" xr:uid="{00000000-0005-0000-0000-00009E090000}"/>
    <cellStyle name="Vírgula 9 2 3" xfId="231" xr:uid="{00000000-0005-0000-0000-00009F090000}"/>
    <cellStyle name="Vírgula 9 2 3 2" xfId="543" xr:uid="{00000000-0005-0000-0000-0000A0090000}"/>
    <cellStyle name="Vírgula 9 2 3 2 2" xfId="1159" xr:uid="{00000000-0005-0000-0000-0000A1090000}"/>
    <cellStyle name="Vírgula 9 2 3 2 3" xfId="1775" xr:uid="{00000000-0005-0000-0000-0000A2090000}"/>
    <cellStyle name="Vírgula 9 2 3 2 4" xfId="2391" xr:uid="{00000000-0005-0000-0000-0000A3090000}"/>
    <cellStyle name="Vírgula 9 2 3 3" xfId="851" xr:uid="{00000000-0005-0000-0000-0000A4090000}"/>
    <cellStyle name="Vírgula 9 2 3 4" xfId="1467" xr:uid="{00000000-0005-0000-0000-0000A5090000}"/>
    <cellStyle name="Vírgula 9 2 3 5" xfId="2083" xr:uid="{00000000-0005-0000-0000-0000A6090000}"/>
    <cellStyle name="Vírgula 9 2 4" xfId="355" xr:uid="{00000000-0005-0000-0000-0000A7090000}"/>
    <cellStyle name="Vírgula 9 2 4 2" xfId="667" xr:uid="{00000000-0005-0000-0000-0000A8090000}"/>
    <cellStyle name="Vírgula 9 2 4 2 2" xfId="1283" xr:uid="{00000000-0005-0000-0000-0000A9090000}"/>
    <cellStyle name="Vírgula 9 2 4 2 3" xfId="1899" xr:uid="{00000000-0005-0000-0000-0000AA090000}"/>
    <cellStyle name="Vírgula 9 2 4 2 4" xfId="2515" xr:uid="{00000000-0005-0000-0000-0000AB090000}"/>
    <cellStyle name="Vírgula 9 2 4 3" xfId="975" xr:uid="{00000000-0005-0000-0000-0000AC090000}"/>
    <cellStyle name="Vírgula 9 2 4 4" xfId="1591" xr:uid="{00000000-0005-0000-0000-0000AD090000}"/>
    <cellStyle name="Vírgula 9 2 4 5" xfId="2207" xr:uid="{00000000-0005-0000-0000-0000AE090000}"/>
    <cellStyle name="Vírgula 9 2 5" xfId="419" xr:uid="{00000000-0005-0000-0000-0000AF090000}"/>
    <cellStyle name="Vírgula 9 2 5 2" xfId="1035" xr:uid="{00000000-0005-0000-0000-0000B0090000}"/>
    <cellStyle name="Vírgula 9 2 5 3" xfId="1651" xr:uid="{00000000-0005-0000-0000-0000B1090000}"/>
    <cellStyle name="Vírgula 9 2 5 4" xfId="2267" xr:uid="{00000000-0005-0000-0000-0000B2090000}"/>
    <cellStyle name="Vírgula 9 2 6" xfId="727" xr:uid="{00000000-0005-0000-0000-0000B3090000}"/>
    <cellStyle name="Vírgula 9 2 7" xfId="1343" xr:uid="{00000000-0005-0000-0000-0000B4090000}"/>
    <cellStyle name="Vírgula 9 2 8" xfId="1959" xr:uid="{00000000-0005-0000-0000-0000B5090000}"/>
    <cellStyle name="Vírgula 9 3" xfId="104" xr:uid="{00000000-0005-0000-0000-0000B6090000}"/>
    <cellStyle name="Vírgula 9 3 2" xfId="263" xr:uid="{00000000-0005-0000-0000-0000B7090000}"/>
    <cellStyle name="Vírgula 9 3 2 2" xfId="575" xr:uid="{00000000-0005-0000-0000-0000B8090000}"/>
    <cellStyle name="Vírgula 9 3 2 2 2" xfId="1191" xr:uid="{00000000-0005-0000-0000-0000B9090000}"/>
    <cellStyle name="Vírgula 9 3 2 2 3" xfId="1807" xr:uid="{00000000-0005-0000-0000-0000BA090000}"/>
    <cellStyle name="Vírgula 9 3 2 2 4" xfId="2423" xr:uid="{00000000-0005-0000-0000-0000BB090000}"/>
    <cellStyle name="Vírgula 9 3 2 3" xfId="883" xr:uid="{00000000-0005-0000-0000-0000BC090000}"/>
    <cellStyle name="Vírgula 9 3 2 4" xfId="1499" xr:uid="{00000000-0005-0000-0000-0000BD090000}"/>
    <cellStyle name="Vírgula 9 3 2 5" xfId="2115" xr:uid="{00000000-0005-0000-0000-0000BE090000}"/>
    <cellStyle name="Vírgula 9 3 3" xfId="451" xr:uid="{00000000-0005-0000-0000-0000BF090000}"/>
    <cellStyle name="Vírgula 9 3 3 2" xfId="1067" xr:uid="{00000000-0005-0000-0000-0000C0090000}"/>
    <cellStyle name="Vírgula 9 3 3 3" xfId="1683" xr:uid="{00000000-0005-0000-0000-0000C1090000}"/>
    <cellStyle name="Vírgula 9 3 3 4" xfId="2299" xr:uid="{00000000-0005-0000-0000-0000C2090000}"/>
    <cellStyle name="Vírgula 9 3 4" xfId="759" xr:uid="{00000000-0005-0000-0000-0000C3090000}"/>
    <cellStyle name="Vírgula 9 3 5" xfId="1375" xr:uid="{00000000-0005-0000-0000-0000C4090000}"/>
    <cellStyle name="Vírgula 9 3 6" xfId="1991" xr:uid="{00000000-0005-0000-0000-0000C5090000}"/>
    <cellStyle name="Vírgula 9 4" xfId="201" xr:uid="{00000000-0005-0000-0000-0000C6090000}"/>
    <cellStyle name="Vírgula 9 4 2" xfId="513" xr:uid="{00000000-0005-0000-0000-0000C7090000}"/>
    <cellStyle name="Vírgula 9 4 2 2" xfId="1129" xr:uid="{00000000-0005-0000-0000-0000C8090000}"/>
    <cellStyle name="Vírgula 9 4 2 3" xfId="1745" xr:uid="{00000000-0005-0000-0000-0000C9090000}"/>
    <cellStyle name="Vírgula 9 4 2 4" xfId="2361" xr:uid="{00000000-0005-0000-0000-0000CA090000}"/>
    <cellStyle name="Vírgula 9 4 3" xfId="821" xr:uid="{00000000-0005-0000-0000-0000CB090000}"/>
    <cellStyle name="Vírgula 9 4 4" xfId="1437" xr:uid="{00000000-0005-0000-0000-0000CC090000}"/>
    <cellStyle name="Vírgula 9 4 5" xfId="2053" xr:uid="{00000000-0005-0000-0000-0000CD090000}"/>
    <cellStyle name="Vírgula 9 5" xfId="325" xr:uid="{00000000-0005-0000-0000-0000CE090000}"/>
    <cellStyle name="Vírgula 9 5 2" xfId="637" xr:uid="{00000000-0005-0000-0000-0000CF090000}"/>
    <cellStyle name="Vírgula 9 5 2 2" xfId="1253" xr:uid="{00000000-0005-0000-0000-0000D0090000}"/>
    <cellStyle name="Vírgula 9 5 2 3" xfId="1869" xr:uid="{00000000-0005-0000-0000-0000D1090000}"/>
    <cellStyle name="Vírgula 9 5 2 4" xfId="2485" xr:uid="{00000000-0005-0000-0000-0000D2090000}"/>
    <cellStyle name="Vírgula 9 5 3" xfId="945" xr:uid="{00000000-0005-0000-0000-0000D3090000}"/>
    <cellStyle name="Vírgula 9 5 4" xfId="1561" xr:uid="{00000000-0005-0000-0000-0000D4090000}"/>
    <cellStyle name="Vírgula 9 5 5" xfId="2177" xr:uid="{00000000-0005-0000-0000-0000D5090000}"/>
    <cellStyle name="Vírgula 9 6" xfId="389" xr:uid="{00000000-0005-0000-0000-0000D6090000}"/>
    <cellStyle name="Vírgula 9 6 2" xfId="1005" xr:uid="{00000000-0005-0000-0000-0000D7090000}"/>
    <cellStyle name="Vírgula 9 6 3" xfId="1621" xr:uid="{00000000-0005-0000-0000-0000D8090000}"/>
    <cellStyle name="Vírgula 9 6 4" xfId="2237" xr:uid="{00000000-0005-0000-0000-0000D9090000}"/>
    <cellStyle name="Vírgula 9 7" xfId="697" xr:uid="{00000000-0005-0000-0000-0000DA090000}"/>
    <cellStyle name="Vírgula 9 8" xfId="1313" xr:uid="{00000000-0005-0000-0000-0000DB090000}"/>
    <cellStyle name="Vírgula 9 9" xfId="1929" xr:uid="{00000000-0005-0000-0000-0000DC090000}"/>
  </cellStyles>
  <dxfs count="2049">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ont>
        <condense val="0"/>
        <extend val="0"/>
        <color indexed="17"/>
      </font>
    </dxf>
    <dxf>
      <font>
        <condense val="0"/>
        <extend val="0"/>
        <color indexed="10"/>
      </font>
    </dxf>
    <dxf>
      <font>
        <b/>
        <i val="0"/>
        <condense val="0"/>
        <extend val="0"/>
        <color indexed="9"/>
      </font>
      <fill>
        <patternFill>
          <bgColor indexed="10"/>
        </patternFill>
      </fill>
    </dxf>
    <dxf>
      <font>
        <condense val="0"/>
        <extend val="0"/>
        <color indexed="17"/>
      </font>
    </dxf>
    <dxf>
      <font>
        <condense val="0"/>
        <extend val="0"/>
        <color indexed="10"/>
      </font>
    </dxf>
    <dxf>
      <font>
        <b/>
        <i val="0"/>
        <condense val="0"/>
        <extend val="0"/>
        <color indexed="9"/>
      </font>
      <fill>
        <patternFill>
          <bgColor indexed="10"/>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ont>
        <b/>
        <i val="0"/>
        <color theme="0"/>
      </font>
      <fill>
        <patternFill>
          <fgColor indexed="64"/>
          <bgColor rgb="FF333F4F"/>
        </patternFill>
      </fill>
      <border>
        <top style="thin">
          <color auto="1"/>
        </top>
      </border>
    </dxf>
    <dxf>
      <font>
        <b/>
        <i val="0"/>
      </font>
      <fill>
        <patternFill patternType="solid">
          <fgColor indexed="64"/>
          <bgColor rgb="FF8396AF"/>
        </patternFill>
      </fill>
      <border>
        <top style="thin">
          <color auto="1"/>
        </top>
      </border>
    </dxf>
    <dxf>
      <font>
        <b/>
        <i val="0"/>
      </font>
      <fill>
        <patternFill patternType="solid">
          <fgColor indexed="64"/>
          <bgColor rgb="FFB2BFCE"/>
        </patternFill>
      </fill>
      <border>
        <top style="thin">
          <color auto="1"/>
        </top>
      </border>
    </dxf>
    <dxf>
      <font>
        <b/>
        <i val="0"/>
      </font>
      <fill>
        <patternFill patternType="solid">
          <fgColor indexed="64"/>
          <bgColor rgb="FFE3E8ED"/>
        </patternFill>
      </fill>
      <border>
        <top style="thin">
          <color auto="1"/>
        </top>
      </border>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theme="3" tint="0.79998168889431442"/>
        </patternFill>
      </fill>
    </dxf>
    <dxf>
      <fill>
        <patternFill>
          <bgColor theme="3" tint="0.59996337778862885"/>
        </patternFill>
      </fill>
    </dxf>
    <dxf>
      <fill>
        <patternFill>
          <bgColor theme="3" tint="0.39994506668294322"/>
        </patternFill>
      </fill>
    </dxf>
    <dxf>
      <fill>
        <patternFill>
          <bgColor rgb="FFFFC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ill>
        <patternFill>
          <bgColor theme="0" tint="-0.14996795556505021"/>
        </patternFill>
      </fill>
    </dxf>
    <dxf>
      <fill>
        <patternFill>
          <bgColor theme="0" tint="-0.14996795556505021"/>
        </patternFill>
      </fill>
    </dxf>
    <dxf>
      <font>
        <color rgb="FF9C0006"/>
      </font>
      <fill>
        <patternFill>
          <bgColor rgb="FFFFC7CE"/>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
      <fill>
        <patternFill>
          <bgColor rgb="FFBE4542"/>
        </patternFill>
      </fill>
    </dxf>
  </dxfs>
  <tableStyles count="0" defaultTableStyle="TableStyleMedium2" defaultPivotStyle="PivotStyleMedium9"/>
  <colors>
    <mruColors>
      <color rgb="FFEAF0F6"/>
      <color rgb="FFDDFFF4"/>
      <color rgb="FFA3FF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Drop" dropStyle="combo" dx="22" fmlaRange="$K$25:$K$27" noThreeD="1" sel="3"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jpeg"/></Relationships>
</file>

<file path=xl/drawings/_rels/drawing21.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jpeg"/><Relationship Id="rId4" Type="http://schemas.openxmlformats.org/officeDocument/2006/relationships/image" Target="../media/image19.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jpe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2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1.jpeg"/><Relationship Id="rId4" Type="http://schemas.openxmlformats.org/officeDocument/2006/relationships/image" Target="../media/image28.png"/></Relationships>
</file>

<file path=xl/drawings/_rels/drawing25.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1.jpeg"/><Relationship Id="rId4" Type="http://schemas.openxmlformats.org/officeDocument/2006/relationships/image" Target="../media/image3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7.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1.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3.xml.rels><?xml version="1.0" encoding="UTF-8" standalone="yes"?>
<Relationships xmlns="http://schemas.openxmlformats.org/package/2006/relationships"><Relationship Id="rId2" Type="http://schemas.openxmlformats.org/officeDocument/2006/relationships/image" Target="../media/image33.png"/><Relationship Id="rId1" Type="http://schemas.openxmlformats.org/officeDocument/2006/relationships/image" Target="../media/image1.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1</xdr:col>
      <xdr:colOff>107693</xdr:colOff>
      <xdr:row>0</xdr:row>
      <xdr:rowOff>99396</xdr:rowOff>
    </xdr:from>
    <xdr:ext cx="5847522" cy="1436637"/>
    <xdr:pic>
      <xdr:nvPicPr>
        <xdr:cNvPr id="2" name="Imagem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17293" y="99396"/>
          <a:ext cx="5847522" cy="14366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641093</xdr:colOff>
      <xdr:row>0</xdr:row>
      <xdr:rowOff>127971</xdr:rowOff>
    </xdr:from>
    <xdr:ext cx="5847522" cy="1436637"/>
    <xdr:pic>
      <xdr:nvPicPr>
        <xdr:cNvPr id="2" name="Imagem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41093" y="127971"/>
          <a:ext cx="5847522" cy="14366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editAs="oneCell">
        <xdr:from>
          <xdr:col>2</xdr:col>
          <xdr:colOff>25400</xdr:colOff>
          <xdr:row>24</xdr:row>
          <xdr:rowOff>25400</xdr:rowOff>
        </xdr:from>
        <xdr:to>
          <xdr:col>4</xdr:col>
          <xdr:colOff>1016000</xdr:colOff>
          <xdr:row>24</xdr:row>
          <xdr:rowOff>203200</xdr:rowOff>
        </xdr:to>
        <xdr:sp macro="" textlink="">
          <xdr:nvSpPr>
            <xdr:cNvPr id="76801" name="Drop Down 1" hidden="1">
              <a:extLst>
                <a:ext uri="{63B3BB69-23CF-44E3-9099-C40C66FF867C}">
                  <a14:compatExt spid="_x0000_s76801"/>
                </a:ext>
                <a:ext uri="{FF2B5EF4-FFF2-40B4-BE49-F238E27FC236}">
                  <a16:creationId xmlns:a16="http://schemas.microsoft.com/office/drawing/2014/main" id="{00000000-0008-0000-09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641093</xdr:colOff>
      <xdr:row>0</xdr:row>
      <xdr:rowOff>127971</xdr:rowOff>
    </xdr:from>
    <xdr:ext cx="5847522" cy="1436637"/>
    <xdr:pic>
      <xdr:nvPicPr>
        <xdr:cNvPr id="2" name="Imagem 1">
          <a:extLst>
            <a:ext uri="{FF2B5EF4-FFF2-40B4-BE49-F238E27FC236}">
              <a16:creationId xmlns:a16="http://schemas.microsoft.com/office/drawing/2014/main" id="{3E6A6358-B988-4A02-BFA9-61A23A61CD8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41093" y="127971"/>
          <a:ext cx="5847522" cy="14366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20</xdr:col>
      <xdr:colOff>292894</xdr:colOff>
      <xdr:row>1</xdr:row>
      <xdr:rowOff>24794</xdr:rowOff>
    </xdr:from>
    <xdr:ext cx="4092948" cy="1104542"/>
    <xdr:pic>
      <xdr:nvPicPr>
        <xdr:cNvPr id="4" name="Imagem 3">
          <a:extLst>
            <a:ext uri="{FF2B5EF4-FFF2-40B4-BE49-F238E27FC236}">
              <a16:creationId xmlns:a16="http://schemas.microsoft.com/office/drawing/2014/main" id="{00000000-0008-0000-0A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8961"/>
        <a:stretch/>
      </xdr:blipFill>
      <xdr:spPr bwMode="auto">
        <a:xfrm>
          <a:off x="8465344" y="262919"/>
          <a:ext cx="4092948" cy="11045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5.xml><?xml version="1.0" encoding="utf-8"?>
<xdr:wsDr xmlns:xdr="http://schemas.openxmlformats.org/drawingml/2006/spreadsheetDrawing" xmlns:a="http://schemas.openxmlformats.org/drawingml/2006/main">
  <xdr:oneCellAnchor>
    <xdr:from>
      <xdr:col>6</xdr:col>
      <xdr:colOff>269477</xdr:colOff>
      <xdr:row>0</xdr:row>
      <xdr:rowOff>95252</xdr:rowOff>
    </xdr:from>
    <xdr:ext cx="4620023" cy="973665"/>
    <xdr:pic>
      <xdr:nvPicPr>
        <xdr:cNvPr id="2" name="Imagem 1">
          <a:extLst>
            <a:ext uri="{FF2B5EF4-FFF2-40B4-BE49-F238E27FC236}">
              <a16:creationId xmlns:a16="http://schemas.microsoft.com/office/drawing/2014/main" id="{ED36284C-5849-4566-87B8-62A3C922E66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4219"/>
        <a:stretch/>
      </xdr:blipFill>
      <xdr:spPr bwMode="auto">
        <a:xfrm>
          <a:off x="7727552" y="95252"/>
          <a:ext cx="4620023" cy="9736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11</xdr:col>
      <xdr:colOff>95249</xdr:colOff>
      <xdr:row>3</xdr:row>
      <xdr:rowOff>211667</xdr:rowOff>
    </xdr:from>
    <xdr:to>
      <xdr:col>12</xdr:col>
      <xdr:colOff>645372</xdr:colOff>
      <xdr:row>5</xdr:row>
      <xdr:rowOff>305312</xdr:rowOff>
    </xdr:to>
    <xdr:pic macro="[0]!GerarCurvaABC">
      <xdr:nvPicPr>
        <xdr:cNvPr id="3" name="Imagem 2">
          <a:extLst>
            <a:ext uri="{FF2B5EF4-FFF2-40B4-BE49-F238E27FC236}">
              <a16:creationId xmlns:a16="http://schemas.microsoft.com/office/drawing/2014/main" id="{F9C5915F-01D1-444D-848E-FF43D1E356F1}"/>
            </a:ext>
          </a:extLst>
        </xdr:cNvPr>
        <xdr:cNvPicPr>
          <a:picLocks noChangeAspect="1"/>
        </xdr:cNvPicPr>
      </xdr:nvPicPr>
      <xdr:blipFill>
        <a:blip xmlns:r="http://schemas.openxmlformats.org/officeDocument/2006/relationships" r:embed="rId2"/>
        <a:stretch>
          <a:fillRect/>
        </a:stretch>
      </xdr:blipFill>
      <xdr:spPr>
        <a:xfrm>
          <a:off x="12773024" y="754592"/>
          <a:ext cx="1483573" cy="495936"/>
        </a:xfrm>
        <a:prstGeom prst="rect">
          <a:avLst/>
        </a:prstGeom>
      </xdr:spPr>
    </xdr:pic>
    <xdr:clientData/>
  </xdr:twoCellAnchor>
  <xdr:twoCellAnchor>
    <xdr:from>
      <xdr:col>11</xdr:col>
      <xdr:colOff>157691</xdr:colOff>
      <xdr:row>7</xdr:row>
      <xdr:rowOff>7409</xdr:rowOff>
    </xdr:from>
    <xdr:to>
      <xdr:col>12</xdr:col>
      <xdr:colOff>599016</xdr:colOff>
      <xdr:row>7</xdr:row>
      <xdr:rowOff>275167</xdr:rowOff>
    </xdr:to>
    <xdr:sp macro="" textlink="">
      <xdr:nvSpPr>
        <xdr:cNvPr id="4" name="Retângulo 3">
          <a:extLst>
            <a:ext uri="{FF2B5EF4-FFF2-40B4-BE49-F238E27FC236}">
              <a16:creationId xmlns:a16="http://schemas.microsoft.com/office/drawing/2014/main" id="{49B0357F-047B-4BDA-A534-F8FF31619860}"/>
            </a:ext>
          </a:extLst>
        </xdr:cNvPr>
        <xdr:cNvSpPr/>
      </xdr:nvSpPr>
      <xdr:spPr>
        <a:xfrm>
          <a:off x="12835466" y="1255184"/>
          <a:ext cx="1374775" cy="267758"/>
        </a:xfrm>
        <a:prstGeom prst="rect">
          <a:avLst/>
        </a:prstGeom>
        <a:solidFill>
          <a:schemeClr val="accent2">
            <a:lumMod val="40000"/>
            <a:lumOff val="60000"/>
          </a:schemeClr>
        </a:solidFill>
        <a:ln>
          <a:solidFill>
            <a:schemeClr val="accent2">
              <a:lumMod val="60000"/>
              <a:lumOff val="40000"/>
            </a:schemeClr>
          </a:solidFill>
        </a:ln>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pt-BR" sz="1100"/>
            <a:t>LIMPAR</a:t>
          </a:r>
          <a:r>
            <a:rPr lang="pt-BR" sz="1100" baseline="0"/>
            <a:t> CURVA</a:t>
          </a:r>
          <a:endParaRPr lang="pt-BR"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342900</xdr:colOff>
      <xdr:row>0</xdr:row>
      <xdr:rowOff>57150</xdr:rowOff>
    </xdr:from>
    <xdr:to>
      <xdr:col>7</xdr:col>
      <xdr:colOff>829125</xdr:colOff>
      <xdr:row>0</xdr:row>
      <xdr:rowOff>514350</xdr:rowOff>
    </xdr:to>
    <xdr:sp macro="[0]!GerarCronograma" textlink="">
      <xdr:nvSpPr>
        <xdr:cNvPr id="2" name="Retângulo: Cantos Arredondados 1">
          <a:extLst>
            <a:ext uri="{FF2B5EF4-FFF2-40B4-BE49-F238E27FC236}">
              <a16:creationId xmlns:a16="http://schemas.microsoft.com/office/drawing/2014/main" id="{B18DD3F4-DA39-4E74-ABCA-395CE09BF762}"/>
            </a:ext>
          </a:extLst>
        </xdr:cNvPr>
        <xdr:cNvSpPr/>
      </xdr:nvSpPr>
      <xdr:spPr>
        <a:xfrm>
          <a:off x="5810250" y="57150"/>
          <a:ext cx="972000" cy="457200"/>
        </a:xfrm>
        <a:prstGeom prst="roundRect">
          <a:avLst/>
        </a:prstGeom>
        <a:solidFill>
          <a:srgbClr val="1B3F6B"/>
        </a:solidFill>
        <a:ln w="9525">
          <a:solidFill>
            <a:schemeClr val="tx1"/>
          </a:solidFill>
        </a:ln>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pt-BR" sz="850" b="1">
              <a:solidFill>
                <a:srgbClr val="C2CBD8"/>
              </a:solidFill>
            </a:rPr>
            <a:t>GERAR CRONOGRAMA</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14</xdr:col>
      <xdr:colOff>426924</xdr:colOff>
      <xdr:row>2</xdr:row>
      <xdr:rowOff>53648</xdr:rowOff>
    </xdr:from>
    <xdr:ext cx="4189776" cy="905996"/>
    <xdr:pic>
      <xdr:nvPicPr>
        <xdr:cNvPr id="2" name="Imagem 1">
          <a:extLst>
            <a:ext uri="{FF2B5EF4-FFF2-40B4-BE49-F238E27FC236}">
              <a16:creationId xmlns:a16="http://schemas.microsoft.com/office/drawing/2014/main" id="{00000000-0008-0000-0C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1984"/>
        <a:stretch/>
      </xdr:blipFill>
      <xdr:spPr bwMode="auto">
        <a:xfrm>
          <a:off x="15452612" y="339398"/>
          <a:ext cx="4189776" cy="9059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oneCellAnchor>
    <xdr:from>
      <xdr:col>1</xdr:col>
      <xdr:colOff>82826</xdr:colOff>
      <xdr:row>1</xdr:row>
      <xdr:rowOff>4558</xdr:rowOff>
    </xdr:from>
    <xdr:ext cx="5847522" cy="1281318"/>
    <xdr:pic>
      <xdr:nvPicPr>
        <xdr:cNvPr id="2" name="Imagem 1">
          <a:extLst>
            <a:ext uri="{FF2B5EF4-FFF2-40B4-BE49-F238E27FC236}">
              <a16:creationId xmlns:a16="http://schemas.microsoft.com/office/drawing/2014/main" id="{00000000-0008-0000-0D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0811"/>
        <a:stretch/>
      </xdr:blipFill>
      <xdr:spPr bwMode="auto">
        <a:xfrm>
          <a:off x="730526" y="166483"/>
          <a:ext cx="5847522" cy="12813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9.xml><?xml version="1.0" encoding="utf-8"?>
<xdr:wsDr xmlns:xdr="http://schemas.openxmlformats.org/drawingml/2006/spreadsheetDrawing" xmlns:a="http://schemas.openxmlformats.org/drawingml/2006/main">
  <xdr:oneCellAnchor>
    <xdr:from>
      <xdr:col>1</xdr:col>
      <xdr:colOff>82826</xdr:colOff>
      <xdr:row>1</xdr:row>
      <xdr:rowOff>4558</xdr:rowOff>
    </xdr:from>
    <xdr:ext cx="5847522" cy="1281318"/>
    <xdr:pic>
      <xdr:nvPicPr>
        <xdr:cNvPr id="2" name="Imagem 1">
          <a:extLst>
            <a:ext uri="{FF2B5EF4-FFF2-40B4-BE49-F238E27FC236}">
              <a16:creationId xmlns:a16="http://schemas.microsoft.com/office/drawing/2014/main" id="{25BE31E2-4E4B-4A22-8C4E-8815BDB79C26}"/>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10811"/>
        <a:stretch/>
      </xdr:blipFill>
      <xdr:spPr bwMode="auto">
        <a:xfrm>
          <a:off x="892451" y="166483"/>
          <a:ext cx="5847522" cy="12813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0.xml><?xml version="1.0" encoding="utf-8"?>
<xdr:wsDr xmlns:xdr="http://schemas.openxmlformats.org/drawingml/2006/spreadsheetDrawing" xmlns:a="http://schemas.openxmlformats.org/drawingml/2006/main">
  <xdr:oneCellAnchor>
    <xdr:from>
      <xdr:col>0</xdr:col>
      <xdr:colOff>619124</xdr:colOff>
      <xdr:row>0</xdr:row>
      <xdr:rowOff>179811</xdr:rowOff>
    </xdr:from>
    <xdr:ext cx="5514975" cy="1540403"/>
    <xdr:pic>
      <xdr:nvPicPr>
        <xdr:cNvPr id="2" name="Imagem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19124" y="179811"/>
          <a:ext cx="5514975" cy="15404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1.xml><?xml version="1.0" encoding="utf-8"?>
<xdr:wsDr xmlns:xdr="http://schemas.openxmlformats.org/drawingml/2006/spreadsheetDrawing" xmlns:a="http://schemas.openxmlformats.org/drawingml/2006/main">
  <xdr:twoCellAnchor>
    <xdr:from>
      <xdr:col>1</xdr:col>
      <xdr:colOff>1685925</xdr:colOff>
      <xdr:row>27</xdr:row>
      <xdr:rowOff>209550</xdr:rowOff>
    </xdr:from>
    <xdr:to>
      <xdr:col>5</xdr:col>
      <xdr:colOff>457200</xdr:colOff>
      <xdr:row>27</xdr:row>
      <xdr:rowOff>714375</xdr:rowOff>
    </xdr:to>
    <xdr:sp macro="" textlink="">
      <xdr:nvSpPr>
        <xdr:cNvPr id="30722" name="Object 2" hidden="1">
          <a:extLst>
            <a:ext uri="{63B3BB69-23CF-44E3-9099-C40C66FF867C}">
              <a14:compatExt xmlns:a14="http://schemas.microsoft.com/office/drawing/2010/main" spid="_x0000_s30722"/>
            </a:ext>
            <a:ext uri="{FF2B5EF4-FFF2-40B4-BE49-F238E27FC236}">
              <a16:creationId xmlns:a16="http://schemas.microsoft.com/office/drawing/2014/main" id="{00000000-0008-0000-0F00-00000278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oneCellAnchor>
    <xdr:from>
      <xdr:col>1</xdr:col>
      <xdr:colOff>947051</xdr:colOff>
      <xdr:row>0</xdr:row>
      <xdr:rowOff>110986</xdr:rowOff>
    </xdr:from>
    <xdr:ext cx="5032051" cy="1236291"/>
    <xdr:pic>
      <xdr:nvPicPr>
        <xdr:cNvPr id="5" name="Imagem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1556651" y="110986"/>
          <a:ext cx="5032051" cy="12362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1685925</xdr:colOff>
      <xdr:row>27</xdr:row>
      <xdr:rowOff>209550</xdr:rowOff>
    </xdr:from>
    <xdr:to>
      <xdr:col>5</xdr:col>
      <xdr:colOff>457200</xdr:colOff>
      <xdr:row>27</xdr:row>
      <xdr:rowOff>714375</xdr:rowOff>
    </xdr:to>
    <xdr:pic>
      <xdr:nvPicPr>
        <xdr:cNvPr id="2" name="Picture 2">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95525" y="7781925"/>
          <a:ext cx="3762375" cy="5048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1685925</xdr:colOff>
      <xdr:row>27</xdr:row>
      <xdr:rowOff>209550</xdr:rowOff>
    </xdr:from>
    <xdr:to>
      <xdr:col>5</xdr:col>
      <xdr:colOff>457200</xdr:colOff>
      <xdr:row>27</xdr:row>
      <xdr:rowOff>714375</xdr:rowOff>
    </xdr:to>
    <xdr:sp macro="" textlink="">
      <xdr:nvSpPr>
        <xdr:cNvPr id="2" name="Object 2" hidden="1">
          <a:extLst>
            <a:ext uri="{63B3BB69-23CF-44E3-9099-C40C66FF867C}">
              <a14:compatExt xmlns:a14="http://schemas.microsoft.com/office/drawing/2010/main" spid="_x0000_s30722"/>
            </a:ext>
            <a:ext uri="{FF2B5EF4-FFF2-40B4-BE49-F238E27FC236}">
              <a16:creationId xmlns:a16="http://schemas.microsoft.com/office/drawing/2014/main" id="{00000000-0008-0000-1000-000002000000}"/>
            </a:ext>
          </a:extLst>
        </xdr:cNvPr>
        <xdr:cNvSpPr/>
      </xdr:nvSpPr>
      <xdr:spPr bwMode="auto">
        <a:xfrm>
          <a:off x="2295525" y="7877175"/>
          <a:ext cx="3762375" cy="5048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oneCellAnchor>
    <xdr:from>
      <xdr:col>1</xdr:col>
      <xdr:colOff>956576</xdr:colOff>
      <xdr:row>0</xdr:row>
      <xdr:rowOff>120511</xdr:rowOff>
    </xdr:from>
    <xdr:ext cx="5032051" cy="1236291"/>
    <xdr:pic>
      <xdr:nvPicPr>
        <xdr:cNvPr id="3" name="Imagem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1566176" y="120511"/>
          <a:ext cx="5032051" cy="12362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1685925</xdr:colOff>
      <xdr:row>27</xdr:row>
      <xdr:rowOff>209550</xdr:rowOff>
    </xdr:from>
    <xdr:to>
      <xdr:col>5</xdr:col>
      <xdr:colOff>457200</xdr:colOff>
      <xdr:row>27</xdr:row>
      <xdr:rowOff>714375</xdr:rowOff>
    </xdr:to>
    <xdr:pic>
      <xdr:nvPicPr>
        <xdr:cNvPr id="4" name="Picture 2">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95525" y="7877175"/>
          <a:ext cx="3762375" cy="5048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765621</xdr:colOff>
      <xdr:row>2</xdr:row>
      <xdr:rowOff>1657</xdr:rowOff>
    </xdr:from>
    <xdr:to>
      <xdr:col>3</xdr:col>
      <xdr:colOff>1076890</xdr:colOff>
      <xdr:row>7</xdr:row>
      <xdr:rowOff>95250</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299"/>
        <a:stretch/>
      </xdr:blipFill>
      <xdr:spPr>
        <a:xfrm>
          <a:off x="1375221" y="392182"/>
          <a:ext cx="4692769" cy="104609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44FF5EEF-3064-49BB-9271-8E62E50EA9A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2826EE99-33D8-4CFA-8637-7D6E0A6758C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66675</xdr:colOff>
      <xdr:row>20</xdr:row>
      <xdr:rowOff>38674</xdr:rowOff>
    </xdr:from>
    <xdr:ext cx="5629275" cy="1114051"/>
    <xdr:pic>
      <xdr:nvPicPr>
        <xdr:cNvPr id="4" name="Imagem 3">
          <a:extLst>
            <a:ext uri="{FF2B5EF4-FFF2-40B4-BE49-F238E27FC236}">
              <a16:creationId xmlns:a16="http://schemas.microsoft.com/office/drawing/2014/main" id="{8A7B557B-FE53-4D9D-8AEF-D51A3AF1D600}"/>
            </a:ext>
          </a:extLst>
        </xdr:cNvPr>
        <xdr:cNvPicPr>
          <a:picLocks noChangeAspect="1"/>
        </xdr:cNvPicPr>
      </xdr:nvPicPr>
      <xdr:blipFill>
        <a:blip xmlns:r="http://schemas.openxmlformats.org/officeDocument/2006/relationships" r:embed="rId2"/>
        <a:stretch>
          <a:fillRect/>
        </a:stretch>
      </xdr:blipFill>
      <xdr:spPr>
        <a:xfrm>
          <a:off x="66675" y="4353499"/>
          <a:ext cx="5629275" cy="1114051"/>
        </a:xfrm>
        <a:prstGeom prst="rect">
          <a:avLst/>
        </a:prstGeom>
      </xdr:spPr>
    </xdr:pic>
    <xdr:clientData/>
  </xdr:oneCellAnchor>
  <xdr:oneCellAnchor>
    <xdr:from>
      <xdr:col>0</xdr:col>
      <xdr:colOff>85726</xdr:colOff>
      <xdr:row>35</xdr:row>
      <xdr:rowOff>109369</xdr:rowOff>
    </xdr:from>
    <xdr:ext cx="5143500" cy="1310054"/>
    <xdr:pic>
      <xdr:nvPicPr>
        <xdr:cNvPr id="6" name="Imagem 5">
          <a:extLst>
            <a:ext uri="{FF2B5EF4-FFF2-40B4-BE49-F238E27FC236}">
              <a16:creationId xmlns:a16="http://schemas.microsoft.com/office/drawing/2014/main" id="{EB6BB4A2-9E21-4842-9DBD-294AA3B140CB}"/>
            </a:ext>
          </a:extLst>
        </xdr:cNvPr>
        <xdr:cNvPicPr>
          <a:picLocks noChangeAspect="1"/>
        </xdr:cNvPicPr>
      </xdr:nvPicPr>
      <xdr:blipFill>
        <a:blip xmlns:r="http://schemas.openxmlformats.org/officeDocument/2006/relationships" r:embed="rId3"/>
        <a:stretch>
          <a:fillRect/>
        </a:stretch>
      </xdr:blipFill>
      <xdr:spPr>
        <a:xfrm>
          <a:off x="85726" y="11548894"/>
          <a:ext cx="5143500" cy="1310054"/>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3F98BA30-9D95-491C-A89F-9922CB8D90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8.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A8450567-A8D9-44FD-B67B-E9806089811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8</xdr:col>
      <xdr:colOff>419100</xdr:colOff>
      <xdr:row>13</xdr:row>
      <xdr:rowOff>161925</xdr:rowOff>
    </xdr:from>
    <xdr:to>
      <xdr:col>10</xdr:col>
      <xdr:colOff>532437</xdr:colOff>
      <xdr:row>28</xdr:row>
      <xdr:rowOff>127275</xdr:rowOff>
    </xdr:to>
    <xdr:pic>
      <xdr:nvPicPr>
        <xdr:cNvPr id="8" name="Imagem 7">
          <a:extLst>
            <a:ext uri="{FF2B5EF4-FFF2-40B4-BE49-F238E27FC236}">
              <a16:creationId xmlns:a16="http://schemas.microsoft.com/office/drawing/2014/main" id="{A81BC83C-BEB8-42B0-95BA-603451FE3CD1}"/>
            </a:ext>
          </a:extLst>
        </xdr:cNvPr>
        <xdr:cNvPicPr>
          <a:picLocks noChangeAspect="1"/>
        </xdr:cNvPicPr>
      </xdr:nvPicPr>
      <xdr:blipFill>
        <a:blip xmlns:r="http://schemas.openxmlformats.org/officeDocument/2006/relationships" r:embed="rId2"/>
        <a:stretch>
          <a:fillRect/>
        </a:stretch>
      </xdr:blipFill>
      <xdr:spPr>
        <a:xfrm>
          <a:off x="5381625" y="3086100"/>
          <a:ext cx="1332537" cy="28800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9BA1A6BA-57F9-44D1-97C6-E9E8D315F7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6</xdr:col>
      <xdr:colOff>342900</xdr:colOff>
      <xdr:row>57</xdr:row>
      <xdr:rowOff>0</xdr:rowOff>
    </xdr:from>
    <xdr:to>
      <xdr:col>10</xdr:col>
      <xdr:colOff>504992</xdr:colOff>
      <xdr:row>68</xdr:row>
      <xdr:rowOff>64500</xdr:rowOff>
    </xdr:to>
    <xdr:pic>
      <xdr:nvPicPr>
        <xdr:cNvPr id="6" name="Imagem 5">
          <a:extLst>
            <a:ext uri="{FF2B5EF4-FFF2-40B4-BE49-F238E27FC236}">
              <a16:creationId xmlns:a16="http://schemas.microsoft.com/office/drawing/2014/main" id="{5CB1F0F2-F87E-543A-E49B-285A218BC41F}"/>
            </a:ext>
          </a:extLst>
        </xdr:cNvPr>
        <xdr:cNvPicPr>
          <a:picLocks noChangeAspect="1"/>
        </xdr:cNvPicPr>
      </xdr:nvPicPr>
      <xdr:blipFill>
        <a:blip xmlns:r="http://schemas.openxmlformats.org/officeDocument/2006/relationships" r:embed="rId2"/>
        <a:stretch>
          <a:fillRect/>
        </a:stretch>
      </xdr:blipFill>
      <xdr:spPr>
        <a:xfrm>
          <a:off x="4086225" y="20164425"/>
          <a:ext cx="2600492" cy="2160000"/>
        </a:xfrm>
        <a:prstGeom prst="rect">
          <a:avLst/>
        </a:prstGeom>
      </xdr:spPr>
    </xdr:pic>
    <xdr:clientData/>
  </xdr:twoCellAnchor>
  <xdr:twoCellAnchor editAs="oneCell">
    <xdr:from>
      <xdr:col>6</xdr:col>
      <xdr:colOff>161925</xdr:colOff>
      <xdr:row>94</xdr:row>
      <xdr:rowOff>76200</xdr:rowOff>
    </xdr:from>
    <xdr:to>
      <xdr:col>10</xdr:col>
      <xdr:colOff>324017</xdr:colOff>
      <xdr:row>105</xdr:row>
      <xdr:rowOff>83550</xdr:rowOff>
    </xdr:to>
    <xdr:pic>
      <xdr:nvPicPr>
        <xdr:cNvPr id="10" name="Imagem 9">
          <a:extLst>
            <a:ext uri="{FF2B5EF4-FFF2-40B4-BE49-F238E27FC236}">
              <a16:creationId xmlns:a16="http://schemas.microsoft.com/office/drawing/2014/main" id="{2A8BC53B-3EDC-49AE-BE10-9B8A9E121E49}"/>
            </a:ext>
          </a:extLst>
        </xdr:cNvPr>
        <xdr:cNvPicPr>
          <a:picLocks noChangeAspect="1"/>
        </xdr:cNvPicPr>
      </xdr:nvPicPr>
      <xdr:blipFill>
        <a:blip xmlns:r="http://schemas.openxmlformats.org/officeDocument/2006/relationships" r:embed="rId2"/>
        <a:stretch>
          <a:fillRect/>
        </a:stretch>
      </xdr:blipFill>
      <xdr:spPr>
        <a:xfrm>
          <a:off x="3905250" y="19611975"/>
          <a:ext cx="2600492" cy="2160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93733FF8-360A-4F8E-B6E2-424CA79A061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7</xdr:col>
      <xdr:colOff>257175</xdr:colOff>
      <xdr:row>57</xdr:row>
      <xdr:rowOff>57150</xdr:rowOff>
    </xdr:from>
    <xdr:to>
      <xdr:col>10</xdr:col>
      <xdr:colOff>552771</xdr:colOff>
      <xdr:row>68</xdr:row>
      <xdr:rowOff>121650</xdr:rowOff>
    </xdr:to>
    <xdr:pic>
      <xdr:nvPicPr>
        <xdr:cNvPr id="3" name="Imagem 2">
          <a:extLst>
            <a:ext uri="{FF2B5EF4-FFF2-40B4-BE49-F238E27FC236}">
              <a16:creationId xmlns:a16="http://schemas.microsoft.com/office/drawing/2014/main" id="{14388661-492A-B48A-00C4-F905D56E05BC}"/>
            </a:ext>
          </a:extLst>
        </xdr:cNvPr>
        <xdr:cNvPicPr>
          <a:picLocks noChangeAspect="1"/>
        </xdr:cNvPicPr>
      </xdr:nvPicPr>
      <xdr:blipFill>
        <a:blip xmlns:r="http://schemas.openxmlformats.org/officeDocument/2006/relationships" r:embed="rId2"/>
        <a:stretch>
          <a:fillRect/>
        </a:stretch>
      </xdr:blipFill>
      <xdr:spPr>
        <a:xfrm>
          <a:off x="4610100" y="12011025"/>
          <a:ext cx="2124396" cy="2160000"/>
        </a:xfrm>
        <a:prstGeom prst="rect">
          <a:avLst/>
        </a:prstGeom>
      </xdr:spPr>
    </xdr:pic>
    <xdr:clientData/>
  </xdr:twoCellAnchor>
  <xdr:twoCellAnchor editAs="oneCell">
    <xdr:from>
      <xdr:col>3</xdr:col>
      <xdr:colOff>142875</xdr:colOff>
      <xdr:row>77</xdr:row>
      <xdr:rowOff>85725</xdr:rowOff>
    </xdr:from>
    <xdr:to>
      <xdr:col>6</xdr:col>
      <xdr:colOff>438471</xdr:colOff>
      <xdr:row>88</xdr:row>
      <xdr:rowOff>150225</xdr:rowOff>
    </xdr:to>
    <xdr:pic>
      <xdr:nvPicPr>
        <xdr:cNvPr id="4" name="Imagem 3">
          <a:extLst>
            <a:ext uri="{FF2B5EF4-FFF2-40B4-BE49-F238E27FC236}">
              <a16:creationId xmlns:a16="http://schemas.microsoft.com/office/drawing/2014/main" id="{75B0CEAF-741D-46D8-9098-D0F5826C7118}"/>
            </a:ext>
          </a:extLst>
        </xdr:cNvPr>
        <xdr:cNvPicPr>
          <a:picLocks noChangeAspect="1"/>
        </xdr:cNvPicPr>
      </xdr:nvPicPr>
      <xdr:blipFill>
        <a:blip xmlns:r="http://schemas.openxmlformats.org/officeDocument/2006/relationships" r:embed="rId2"/>
        <a:stretch>
          <a:fillRect/>
        </a:stretch>
      </xdr:blipFill>
      <xdr:spPr>
        <a:xfrm>
          <a:off x="2057400" y="16144875"/>
          <a:ext cx="2124396" cy="2160000"/>
        </a:xfrm>
        <a:prstGeom prst="rect">
          <a:avLst/>
        </a:prstGeom>
      </xdr:spPr>
    </xdr:pic>
    <xdr:clientData/>
  </xdr:twoCellAnchor>
  <xdr:twoCellAnchor editAs="oneCell">
    <xdr:from>
      <xdr:col>6</xdr:col>
      <xdr:colOff>457200</xdr:colOff>
      <xdr:row>77</xdr:row>
      <xdr:rowOff>85725</xdr:rowOff>
    </xdr:from>
    <xdr:to>
      <xdr:col>10</xdr:col>
      <xdr:colOff>572400</xdr:colOff>
      <xdr:row>88</xdr:row>
      <xdr:rowOff>150225</xdr:rowOff>
    </xdr:to>
    <xdr:pic>
      <xdr:nvPicPr>
        <xdr:cNvPr id="5" name="Imagem 4">
          <a:extLst>
            <a:ext uri="{FF2B5EF4-FFF2-40B4-BE49-F238E27FC236}">
              <a16:creationId xmlns:a16="http://schemas.microsoft.com/office/drawing/2014/main" id="{6D9F8C6E-73F0-8F49-2010-A144EA2FC2D7}"/>
            </a:ext>
          </a:extLst>
        </xdr:cNvPr>
        <xdr:cNvPicPr>
          <a:picLocks noChangeAspect="1"/>
        </xdr:cNvPicPr>
      </xdr:nvPicPr>
      <xdr:blipFill>
        <a:blip xmlns:r="http://schemas.openxmlformats.org/officeDocument/2006/relationships" r:embed="rId3"/>
        <a:stretch>
          <a:fillRect/>
        </a:stretch>
      </xdr:blipFill>
      <xdr:spPr>
        <a:xfrm>
          <a:off x="4200525" y="16144875"/>
          <a:ext cx="2553600" cy="2160000"/>
        </a:xfrm>
        <a:prstGeom prst="rect">
          <a:avLst/>
        </a:prstGeom>
      </xdr:spPr>
    </xdr:pic>
    <xdr:clientData/>
  </xdr:twoCellAnchor>
  <xdr:twoCellAnchor editAs="oneCell">
    <xdr:from>
      <xdr:col>3</xdr:col>
      <xdr:colOff>123825</xdr:colOff>
      <xdr:row>97</xdr:row>
      <xdr:rowOff>76200</xdr:rowOff>
    </xdr:from>
    <xdr:to>
      <xdr:col>6</xdr:col>
      <xdr:colOff>419421</xdr:colOff>
      <xdr:row>108</xdr:row>
      <xdr:rowOff>140700</xdr:rowOff>
    </xdr:to>
    <xdr:pic>
      <xdr:nvPicPr>
        <xdr:cNvPr id="6" name="Imagem 5">
          <a:extLst>
            <a:ext uri="{FF2B5EF4-FFF2-40B4-BE49-F238E27FC236}">
              <a16:creationId xmlns:a16="http://schemas.microsoft.com/office/drawing/2014/main" id="{B9A32591-0266-45AB-8CEC-36E4C804A901}"/>
            </a:ext>
          </a:extLst>
        </xdr:cNvPr>
        <xdr:cNvPicPr>
          <a:picLocks noChangeAspect="1"/>
        </xdr:cNvPicPr>
      </xdr:nvPicPr>
      <xdr:blipFill>
        <a:blip xmlns:r="http://schemas.openxmlformats.org/officeDocument/2006/relationships" r:embed="rId2"/>
        <a:stretch>
          <a:fillRect/>
        </a:stretch>
      </xdr:blipFill>
      <xdr:spPr>
        <a:xfrm>
          <a:off x="2038350" y="20240625"/>
          <a:ext cx="2124396" cy="2160000"/>
        </a:xfrm>
        <a:prstGeom prst="rect">
          <a:avLst/>
        </a:prstGeom>
      </xdr:spPr>
    </xdr:pic>
    <xdr:clientData/>
  </xdr:twoCellAnchor>
  <xdr:twoCellAnchor editAs="oneCell">
    <xdr:from>
      <xdr:col>6</xdr:col>
      <xdr:colOff>438150</xdr:colOff>
      <xdr:row>97</xdr:row>
      <xdr:rowOff>76200</xdr:rowOff>
    </xdr:from>
    <xdr:to>
      <xdr:col>10</xdr:col>
      <xdr:colOff>553350</xdr:colOff>
      <xdr:row>108</xdr:row>
      <xdr:rowOff>140700</xdr:rowOff>
    </xdr:to>
    <xdr:pic>
      <xdr:nvPicPr>
        <xdr:cNvPr id="7" name="Imagem 6">
          <a:extLst>
            <a:ext uri="{FF2B5EF4-FFF2-40B4-BE49-F238E27FC236}">
              <a16:creationId xmlns:a16="http://schemas.microsoft.com/office/drawing/2014/main" id="{91275343-5FDC-432E-A995-DB6ED704DBC5}"/>
            </a:ext>
          </a:extLst>
        </xdr:cNvPr>
        <xdr:cNvPicPr>
          <a:picLocks noChangeAspect="1"/>
        </xdr:cNvPicPr>
      </xdr:nvPicPr>
      <xdr:blipFill>
        <a:blip xmlns:r="http://schemas.openxmlformats.org/officeDocument/2006/relationships" r:embed="rId3"/>
        <a:stretch>
          <a:fillRect/>
        </a:stretch>
      </xdr:blipFill>
      <xdr:spPr>
        <a:xfrm>
          <a:off x="4181475" y="20240625"/>
          <a:ext cx="2553600" cy="2160000"/>
        </a:xfrm>
        <a:prstGeom prst="rect">
          <a:avLst/>
        </a:prstGeom>
      </xdr:spPr>
    </xdr:pic>
    <xdr:clientData/>
  </xdr:twoCellAnchor>
  <xdr:twoCellAnchor editAs="oneCell">
    <xdr:from>
      <xdr:col>7</xdr:col>
      <xdr:colOff>266700</xdr:colOff>
      <xdr:row>117</xdr:row>
      <xdr:rowOff>85725</xdr:rowOff>
    </xdr:from>
    <xdr:to>
      <xdr:col>10</xdr:col>
      <xdr:colOff>562296</xdr:colOff>
      <xdr:row>128</xdr:row>
      <xdr:rowOff>150225</xdr:rowOff>
    </xdr:to>
    <xdr:pic>
      <xdr:nvPicPr>
        <xdr:cNvPr id="8" name="Imagem 7">
          <a:extLst>
            <a:ext uri="{FF2B5EF4-FFF2-40B4-BE49-F238E27FC236}">
              <a16:creationId xmlns:a16="http://schemas.microsoft.com/office/drawing/2014/main" id="{A80B30B6-7216-4EFB-ADC3-CA38A03CE006}"/>
            </a:ext>
          </a:extLst>
        </xdr:cNvPr>
        <xdr:cNvPicPr>
          <a:picLocks noChangeAspect="1"/>
        </xdr:cNvPicPr>
      </xdr:nvPicPr>
      <xdr:blipFill>
        <a:blip xmlns:r="http://schemas.openxmlformats.org/officeDocument/2006/relationships" r:embed="rId2"/>
        <a:stretch>
          <a:fillRect/>
        </a:stretch>
      </xdr:blipFill>
      <xdr:spPr>
        <a:xfrm>
          <a:off x="4619625" y="24355425"/>
          <a:ext cx="2124396" cy="2160000"/>
        </a:xfrm>
        <a:prstGeom prst="rect">
          <a:avLst/>
        </a:prstGeom>
      </xdr:spPr>
    </xdr:pic>
    <xdr:clientData/>
  </xdr:twoCellAnchor>
  <xdr:twoCellAnchor editAs="oneCell">
    <xdr:from>
      <xdr:col>7</xdr:col>
      <xdr:colOff>266700</xdr:colOff>
      <xdr:row>137</xdr:row>
      <xdr:rowOff>85725</xdr:rowOff>
    </xdr:from>
    <xdr:to>
      <xdr:col>10</xdr:col>
      <xdr:colOff>562296</xdr:colOff>
      <xdr:row>148</xdr:row>
      <xdr:rowOff>150225</xdr:rowOff>
    </xdr:to>
    <xdr:pic>
      <xdr:nvPicPr>
        <xdr:cNvPr id="9" name="Imagem 8">
          <a:extLst>
            <a:ext uri="{FF2B5EF4-FFF2-40B4-BE49-F238E27FC236}">
              <a16:creationId xmlns:a16="http://schemas.microsoft.com/office/drawing/2014/main" id="{AA045DB0-ED49-44C4-8968-C3BBFDD82F12}"/>
            </a:ext>
          </a:extLst>
        </xdr:cNvPr>
        <xdr:cNvPicPr>
          <a:picLocks noChangeAspect="1"/>
        </xdr:cNvPicPr>
      </xdr:nvPicPr>
      <xdr:blipFill>
        <a:blip xmlns:r="http://schemas.openxmlformats.org/officeDocument/2006/relationships" r:embed="rId2"/>
        <a:stretch>
          <a:fillRect/>
        </a:stretch>
      </xdr:blipFill>
      <xdr:spPr>
        <a:xfrm>
          <a:off x="4619625" y="28460700"/>
          <a:ext cx="2124396" cy="2160000"/>
        </a:xfrm>
        <a:prstGeom prst="rect">
          <a:avLst/>
        </a:prstGeom>
      </xdr:spPr>
    </xdr:pic>
    <xdr:clientData/>
  </xdr:twoCellAnchor>
  <xdr:twoCellAnchor editAs="oneCell">
    <xdr:from>
      <xdr:col>7</xdr:col>
      <xdr:colOff>257175</xdr:colOff>
      <xdr:row>157</xdr:row>
      <xdr:rowOff>66675</xdr:rowOff>
    </xdr:from>
    <xdr:to>
      <xdr:col>10</xdr:col>
      <xdr:colOff>552771</xdr:colOff>
      <xdr:row>168</xdr:row>
      <xdr:rowOff>131175</xdr:rowOff>
    </xdr:to>
    <xdr:pic>
      <xdr:nvPicPr>
        <xdr:cNvPr id="10" name="Imagem 9">
          <a:extLst>
            <a:ext uri="{FF2B5EF4-FFF2-40B4-BE49-F238E27FC236}">
              <a16:creationId xmlns:a16="http://schemas.microsoft.com/office/drawing/2014/main" id="{2F7BDC05-33E1-4CC5-B306-8B32D187B019}"/>
            </a:ext>
          </a:extLst>
        </xdr:cNvPr>
        <xdr:cNvPicPr>
          <a:picLocks noChangeAspect="1"/>
        </xdr:cNvPicPr>
      </xdr:nvPicPr>
      <xdr:blipFill>
        <a:blip xmlns:r="http://schemas.openxmlformats.org/officeDocument/2006/relationships" r:embed="rId2"/>
        <a:stretch>
          <a:fillRect/>
        </a:stretch>
      </xdr:blipFill>
      <xdr:spPr>
        <a:xfrm>
          <a:off x="4610100" y="32546925"/>
          <a:ext cx="2124396" cy="21600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FF1A5ACF-7F28-4575-BAF1-504371C1635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xdr:col>
      <xdr:colOff>504826</xdr:colOff>
      <xdr:row>14</xdr:row>
      <xdr:rowOff>190500</xdr:rowOff>
    </xdr:from>
    <xdr:to>
      <xdr:col>4</xdr:col>
      <xdr:colOff>425143</xdr:colOff>
      <xdr:row>24</xdr:row>
      <xdr:rowOff>28350</xdr:rowOff>
    </xdr:to>
    <xdr:pic>
      <xdr:nvPicPr>
        <xdr:cNvPr id="3" name="Imagem 2">
          <a:extLst>
            <a:ext uri="{FF2B5EF4-FFF2-40B4-BE49-F238E27FC236}">
              <a16:creationId xmlns:a16="http://schemas.microsoft.com/office/drawing/2014/main" id="{608E3ECF-CA1C-3989-3BE2-ECD231FA9FC0}"/>
            </a:ext>
          </a:extLst>
        </xdr:cNvPr>
        <xdr:cNvPicPr>
          <a:picLocks noChangeAspect="1"/>
        </xdr:cNvPicPr>
      </xdr:nvPicPr>
      <xdr:blipFill>
        <a:blip xmlns:r="http://schemas.openxmlformats.org/officeDocument/2006/relationships" r:embed="rId2"/>
        <a:stretch>
          <a:fillRect/>
        </a:stretch>
      </xdr:blipFill>
      <xdr:spPr>
        <a:xfrm>
          <a:off x="1200151" y="3305175"/>
          <a:ext cx="1749117" cy="1800000"/>
        </a:xfrm>
        <a:prstGeom prst="rect">
          <a:avLst/>
        </a:prstGeom>
      </xdr:spPr>
    </xdr:pic>
    <xdr:clientData/>
  </xdr:twoCellAnchor>
  <xdr:twoCellAnchor editAs="oneCell">
    <xdr:from>
      <xdr:col>4</xdr:col>
      <xdr:colOff>457201</xdr:colOff>
      <xdr:row>14</xdr:row>
      <xdr:rowOff>190500</xdr:rowOff>
    </xdr:from>
    <xdr:to>
      <xdr:col>7</xdr:col>
      <xdr:colOff>530840</xdr:colOff>
      <xdr:row>24</xdr:row>
      <xdr:rowOff>28350</xdr:rowOff>
    </xdr:to>
    <xdr:pic>
      <xdr:nvPicPr>
        <xdr:cNvPr id="4" name="Imagem 3">
          <a:extLst>
            <a:ext uri="{FF2B5EF4-FFF2-40B4-BE49-F238E27FC236}">
              <a16:creationId xmlns:a16="http://schemas.microsoft.com/office/drawing/2014/main" id="{248A9C33-A34F-FFA5-F6A9-311FF815F647}"/>
            </a:ext>
          </a:extLst>
        </xdr:cNvPr>
        <xdr:cNvPicPr>
          <a:picLocks noChangeAspect="1"/>
        </xdr:cNvPicPr>
      </xdr:nvPicPr>
      <xdr:blipFill>
        <a:blip xmlns:r="http://schemas.openxmlformats.org/officeDocument/2006/relationships" r:embed="rId3"/>
        <a:stretch>
          <a:fillRect/>
        </a:stretch>
      </xdr:blipFill>
      <xdr:spPr>
        <a:xfrm>
          <a:off x="2981326" y="3305175"/>
          <a:ext cx="1902439" cy="1800000"/>
        </a:xfrm>
        <a:prstGeom prst="rect">
          <a:avLst/>
        </a:prstGeom>
      </xdr:spPr>
    </xdr:pic>
    <xdr:clientData/>
  </xdr:twoCellAnchor>
  <xdr:twoCellAnchor editAs="oneCell">
    <xdr:from>
      <xdr:col>7</xdr:col>
      <xdr:colOff>561976</xdr:colOff>
      <xdr:row>14</xdr:row>
      <xdr:rowOff>190500</xdr:rowOff>
    </xdr:from>
    <xdr:to>
      <xdr:col>10</xdr:col>
      <xdr:colOff>511225</xdr:colOff>
      <xdr:row>24</xdr:row>
      <xdr:rowOff>28350</xdr:rowOff>
    </xdr:to>
    <xdr:pic>
      <xdr:nvPicPr>
        <xdr:cNvPr id="5" name="Imagem 4">
          <a:extLst>
            <a:ext uri="{FF2B5EF4-FFF2-40B4-BE49-F238E27FC236}">
              <a16:creationId xmlns:a16="http://schemas.microsoft.com/office/drawing/2014/main" id="{CA2D43E7-3A71-8119-E8E5-CECB697D8566}"/>
            </a:ext>
          </a:extLst>
        </xdr:cNvPr>
        <xdr:cNvPicPr>
          <a:picLocks noChangeAspect="1"/>
        </xdr:cNvPicPr>
      </xdr:nvPicPr>
      <xdr:blipFill>
        <a:blip xmlns:r="http://schemas.openxmlformats.org/officeDocument/2006/relationships" r:embed="rId4"/>
        <a:stretch>
          <a:fillRect/>
        </a:stretch>
      </xdr:blipFill>
      <xdr:spPr>
        <a:xfrm>
          <a:off x="4914901" y="3305175"/>
          <a:ext cx="1778049" cy="1800000"/>
        </a:xfrm>
        <a:prstGeom prst="rect">
          <a:avLst/>
        </a:prstGeom>
      </xdr:spPr>
    </xdr:pic>
    <xdr:clientData/>
  </xdr:twoCellAnchor>
  <xdr:twoCellAnchor editAs="oneCell">
    <xdr:from>
      <xdr:col>1</xdr:col>
      <xdr:colOff>495300</xdr:colOff>
      <xdr:row>35</xdr:row>
      <xdr:rowOff>85725</xdr:rowOff>
    </xdr:from>
    <xdr:to>
      <xdr:col>4</xdr:col>
      <xdr:colOff>415617</xdr:colOff>
      <xdr:row>44</xdr:row>
      <xdr:rowOff>133125</xdr:rowOff>
    </xdr:to>
    <xdr:pic>
      <xdr:nvPicPr>
        <xdr:cNvPr id="6" name="Imagem 5">
          <a:extLst>
            <a:ext uri="{FF2B5EF4-FFF2-40B4-BE49-F238E27FC236}">
              <a16:creationId xmlns:a16="http://schemas.microsoft.com/office/drawing/2014/main" id="{7BB9CCAF-BD9F-4457-AA58-2B4B388C8677}"/>
            </a:ext>
          </a:extLst>
        </xdr:cNvPr>
        <xdr:cNvPicPr>
          <a:picLocks noChangeAspect="1"/>
        </xdr:cNvPicPr>
      </xdr:nvPicPr>
      <xdr:blipFill>
        <a:blip xmlns:r="http://schemas.openxmlformats.org/officeDocument/2006/relationships" r:embed="rId2"/>
        <a:stretch>
          <a:fillRect/>
        </a:stretch>
      </xdr:blipFill>
      <xdr:spPr>
        <a:xfrm>
          <a:off x="1190625" y="7515225"/>
          <a:ext cx="1749117" cy="1800000"/>
        </a:xfrm>
        <a:prstGeom prst="rect">
          <a:avLst/>
        </a:prstGeom>
      </xdr:spPr>
    </xdr:pic>
    <xdr:clientData/>
  </xdr:twoCellAnchor>
  <xdr:twoCellAnchor editAs="oneCell">
    <xdr:from>
      <xdr:col>4</xdr:col>
      <xdr:colOff>447675</xdr:colOff>
      <xdr:row>35</xdr:row>
      <xdr:rowOff>85725</xdr:rowOff>
    </xdr:from>
    <xdr:to>
      <xdr:col>7</xdr:col>
      <xdr:colOff>521314</xdr:colOff>
      <xdr:row>44</xdr:row>
      <xdr:rowOff>133125</xdr:rowOff>
    </xdr:to>
    <xdr:pic>
      <xdr:nvPicPr>
        <xdr:cNvPr id="7" name="Imagem 6">
          <a:extLst>
            <a:ext uri="{FF2B5EF4-FFF2-40B4-BE49-F238E27FC236}">
              <a16:creationId xmlns:a16="http://schemas.microsoft.com/office/drawing/2014/main" id="{5ADC7714-997A-45EC-847D-79709D8A5E2A}"/>
            </a:ext>
          </a:extLst>
        </xdr:cNvPr>
        <xdr:cNvPicPr>
          <a:picLocks noChangeAspect="1"/>
        </xdr:cNvPicPr>
      </xdr:nvPicPr>
      <xdr:blipFill>
        <a:blip xmlns:r="http://schemas.openxmlformats.org/officeDocument/2006/relationships" r:embed="rId3"/>
        <a:stretch>
          <a:fillRect/>
        </a:stretch>
      </xdr:blipFill>
      <xdr:spPr>
        <a:xfrm>
          <a:off x="2971800" y="7515225"/>
          <a:ext cx="1902439" cy="1800000"/>
        </a:xfrm>
        <a:prstGeom prst="rect">
          <a:avLst/>
        </a:prstGeom>
      </xdr:spPr>
    </xdr:pic>
    <xdr:clientData/>
  </xdr:twoCellAnchor>
  <xdr:twoCellAnchor editAs="oneCell">
    <xdr:from>
      <xdr:col>7</xdr:col>
      <xdr:colOff>552450</xdr:colOff>
      <xdr:row>35</xdr:row>
      <xdr:rowOff>85725</xdr:rowOff>
    </xdr:from>
    <xdr:to>
      <xdr:col>10</xdr:col>
      <xdr:colOff>501699</xdr:colOff>
      <xdr:row>44</xdr:row>
      <xdr:rowOff>133125</xdr:rowOff>
    </xdr:to>
    <xdr:pic>
      <xdr:nvPicPr>
        <xdr:cNvPr id="8" name="Imagem 7">
          <a:extLst>
            <a:ext uri="{FF2B5EF4-FFF2-40B4-BE49-F238E27FC236}">
              <a16:creationId xmlns:a16="http://schemas.microsoft.com/office/drawing/2014/main" id="{E1708785-F419-430C-BEB4-5950501515D1}"/>
            </a:ext>
          </a:extLst>
        </xdr:cNvPr>
        <xdr:cNvPicPr>
          <a:picLocks noChangeAspect="1"/>
        </xdr:cNvPicPr>
      </xdr:nvPicPr>
      <xdr:blipFill>
        <a:blip xmlns:r="http://schemas.openxmlformats.org/officeDocument/2006/relationships" r:embed="rId4"/>
        <a:stretch>
          <a:fillRect/>
        </a:stretch>
      </xdr:blipFill>
      <xdr:spPr>
        <a:xfrm>
          <a:off x="4905375" y="7515225"/>
          <a:ext cx="1778049" cy="1800000"/>
        </a:xfrm>
        <a:prstGeom prst="rect">
          <a:avLst/>
        </a:prstGeom>
      </xdr:spPr>
    </xdr:pic>
    <xdr:clientData/>
  </xdr:twoCellAnchor>
  <xdr:twoCellAnchor editAs="oneCell">
    <xdr:from>
      <xdr:col>1</xdr:col>
      <xdr:colOff>514350</xdr:colOff>
      <xdr:row>54</xdr:row>
      <xdr:rowOff>142875</xdr:rowOff>
    </xdr:from>
    <xdr:to>
      <xdr:col>4</xdr:col>
      <xdr:colOff>434667</xdr:colOff>
      <xdr:row>63</xdr:row>
      <xdr:rowOff>171225</xdr:rowOff>
    </xdr:to>
    <xdr:pic>
      <xdr:nvPicPr>
        <xdr:cNvPr id="9" name="Imagem 8">
          <a:extLst>
            <a:ext uri="{FF2B5EF4-FFF2-40B4-BE49-F238E27FC236}">
              <a16:creationId xmlns:a16="http://schemas.microsoft.com/office/drawing/2014/main" id="{E8D5C8FD-2083-4836-BC46-5E9B7C1243E7}"/>
            </a:ext>
          </a:extLst>
        </xdr:cNvPr>
        <xdr:cNvPicPr>
          <a:picLocks noChangeAspect="1"/>
        </xdr:cNvPicPr>
      </xdr:nvPicPr>
      <xdr:blipFill>
        <a:blip xmlns:r="http://schemas.openxmlformats.org/officeDocument/2006/relationships" r:embed="rId2"/>
        <a:stretch>
          <a:fillRect/>
        </a:stretch>
      </xdr:blipFill>
      <xdr:spPr>
        <a:xfrm>
          <a:off x="1209675" y="11468100"/>
          <a:ext cx="1749117" cy="1800000"/>
        </a:xfrm>
        <a:prstGeom prst="rect">
          <a:avLst/>
        </a:prstGeom>
      </xdr:spPr>
    </xdr:pic>
    <xdr:clientData/>
  </xdr:twoCellAnchor>
  <xdr:twoCellAnchor editAs="oneCell">
    <xdr:from>
      <xdr:col>4</xdr:col>
      <xdr:colOff>466725</xdr:colOff>
      <xdr:row>54</xdr:row>
      <xdr:rowOff>142875</xdr:rowOff>
    </xdr:from>
    <xdr:to>
      <xdr:col>7</xdr:col>
      <xdr:colOff>540364</xdr:colOff>
      <xdr:row>63</xdr:row>
      <xdr:rowOff>171225</xdr:rowOff>
    </xdr:to>
    <xdr:pic>
      <xdr:nvPicPr>
        <xdr:cNvPr id="10" name="Imagem 9">
          <a:extLst>
            <a:ext uri="{FF2B5EF4-FFF2-40B4-BE49-F238E27FC236}">
              <a16:creationId xmlns:a16="http://schemas.microsoft.com/office/drawing/2014/main" id="{8F746C38-41A6-4083-9773-5EDF2475030D}"/>
            </a:ext>
          </a:extLst>
        </xdr:cNvPr>
        <xdr:cNvPicPr>
          <a:picLocks noChangeAspect="1"/>
        </xdr:cNvPicPr>
      </xdr:nvPicPr>
      <xdr:blipFill>
        <a:blip xmlns:r="http://schemas.openxmlformats.org/officeDocument/2006/relationships" r:embed="rId3"/>
        <a:stretch>
          <a:fillRect/>
        </a:stretch>
      </xdr:blipFill>
      <xdr:spPr>
        <a:xfrm>
          <a:off x="2990850" y="11468100"/>
          <a:ext cx="1902439" cy="1800000"/>
        </a:xfrm>
        <a:prstGeom prst="rect">
          <a:avLst/>
        </a:prstGeom>
      </xdr:spPr>
    </xdr:pic>
    <xdr:clientData/>
  </xdr:twoCellAnchor>
  <xdr:twoCellAnchor editAs="oneCell">
    <xdr:from>
      <xdr:col>7</xdr:col>
      <xdr:colOff>571500</xdr:colOff>
      <xdr:row>54</xdr:row>
      <xdr:rowOff>142875</xdr:rowOff>
    </xdr:from>
    <xdr:to>
      <xdr:col>10</xdr:col>
      <xdr:colOff>520749</xdr:colOff>
      <xdr:row>63</xdr:row>
      <xdr:rowOff>171225</xdr:rowOff>
    </xdr:to>
    <xdr:pic>
      <xdr:nvPicPr>
        <xdr:cNvPr id="11" name="Imagem 10">
          <a:extLst>
            <a:ext uri="{FF2B5EF4-FFF2-40B4-BE49-F238E27FC236}">
              <a16:creationId xmlns:a16="http://schemas.microsoft.com/office/drawing/2014/main" id="{AF53C17A-B6C7-4ED3-BCCB-8C60115CD058}"/>
            </a:ext>
          </a:extLst>
        </xdr:cNvPr>
        <xdr:cNvPicPr>
          <a:picLocks noChangeAspect="1"/>
        </xdr:cNvPicPr>
      </xdr:nvPicPr>
      <xdr:blipFill>
        <a:blip xmlns:r="http://schemas.openxmlformats.org/officeDocument/2006/relationships" r:embed="rId4"/>
        <a:stretch>
          <a:fillRect/>
        </a:stretch>
      </xdr:blipFill>
      <xdr:spPr>
        <a:xfrm>
          <a:off x="4924425" y="11468100"/>
          <a:ext cx="1778049" cy="1800000"/>
        </a:xfrm>
        <a:prstGeom prst="rect">
          <a:avLst/>
        </a:prstGeom>
      </xdr:spPr>
    </xdr:pic>
    <xdr:clientData/>
  </xdr:twoCellAnchor>
  <xdr:twoCellAnchor editAs="oneCell">
    <xdr:from>
      <xdr:col>1</xdr:col>
      <xdr:colOff>533400</xdr:colOff>
      <xdr:row>75</xdr:row>
      <xdr:rowOff>9525</xdr:rowOff>
    </xdr:from>
    <xdr:to>
      <xdr:col>4</xdr:col>
      <xdr:colOff>453717</xdr:colOff>
      <xdr:row>84</xdr:row>
      <xdr:rowOff>56925</xdr:rowOff>
    </xdr:to>
    <xdr:pic>
      <xdr:nvPicPr>
        <xdr:cNvPr id="12" name="Imagem 11">
          <a:extLst>
            <a:ext uri="{FF2B5EF4-FFF2-40B4-BE49-F238E27FC236}">
              <a16:creationId xmlns:a16="http://schemas.microsoft.com/office/drawing/2014/main" id="{6A54BB67-0167-448B-8089-C5B9227BC1B7}"/>
            </a:ext>
          </a:extLst>
        </xdr:cNvPr>
        <xdr:cNvPicPr>
          <a:picLocks noChangeAspect="1"/>
        </xdr:cNvPicPr>
      </xdr:nvPicPr>
      <xdr:blipFill>
        <a:blip xmlns:r="http://schemas.openxmlformats.org/officeDocument/2006/relationships" r:embed="rId2"/>
        <a:stretch>
          <a:fillRect/>
        </a:stretch>
      </xdr:blipFill>
      <xdr:spPr>
        <a:xfrm>
          <a:off x="1228725" y="15649575"/>
          <a:ext cx="1749117" cy="1800000"/>
        </a:xfrm>
        <a:prstGeom prst="rect">
          <a:avLst/>
        </a:prstGeom>
      </xdr:spPr>
    </xdr:pic>
    <xdr:clientData/>
  </xdr:twoCellAnchor>
  <xdr:twoCellAnchor editAs="oneCell">
    <xdr:from>
      <xdr:col>4</xdr:col>
      <xdr:colOff>485775</xdr:colOff>
      <xdr:row>75</xdr:row>
      <xdr:rowOff>9525</xdr:rowOff>
    </xdr:from>
    <xdr:to>
      <xdr:col>7</xdr:col>
      <xdr:colOff>559414</xdr:colOff>
      <xdr:row>84</xdr:row>
      <xdr:rowOff>56925</xdr:rowOff>
    </xdr:to>
    <xdr:pic>
      <xdr:nvPicPr>
        <xdr:cNvPr id="13" name="Imagem 12">
          <a:extLst>
            <a:ext uri="{FF2B5EF4-FFF2-40B4-BE49-F238E27FC236}">
              <a16:creationId xmlns:a16="http://schemas.microsoft.com/office/drawing/2014/main" id="{A725A7BE-2E70-42EC-99DE-6BD5746773AD}"/>
            </a:ext>
          </a:extLst>
        </xdr:cNvPr>
        <xdr:cNvPicPr>
          <a:picLocks noChangeAspect="1"/>
        </xdr:cNvPicPr>
      </xdr:nvPicPr>
      <xdr:blipFill>
        <a:blip xmlns:r="http://schemas.openxmlformats.org/officeDocument/2006/relationships" r:embed="rId3"/>
        <a:stretch>
          <a:fillRect/>
        </a:stretch>
      </xdr:blipFill>
      <xdr:spPr>
        <a:xfrm>
          <a:off x="3009900" y="15649575"/>
          <a:ext cx="1902439" cy="1800000"/>
        </a:xfrm>
        <a:prstGeom prst="rect">
          <a:avLst/>
        </a:prstGeom>
      </xdr:spPr>
    </xdr:pic>
    <xdr:clientData/>
  </xdr:twoCellAnchor>
  <xdr:twoCellAnchor editAs="oneCell">
    <xdr:from>
      <xdr:col>7</xdr:col>
      <xdr:colOff>590550</xdr:colOff>
      <xdr:row>75</xdr:row>
      <xdr:rowOff>9525</xdr:rowOff>
    </xdr:from>
    <xdr:to>
      <xdr:col>10</xdr:col>
      <xdr:colOff>539799</xdr:colOff>
      <xdr:row>84</xdr:row>
      <xdr:rowOff>56925</xdr:rowOff>
    </xdr:to>
    <xdr:pic>
      <xdr:nvPicPr>
        <xdr:cNvPr id="14" name="Imagem 13">
          <a:extLst>
            <a:ext uri="{FF2B5EF4-FFF2-40B4-BE49-F238E27FC236}">
              <a16:creationId xmlns:a16="http://schemas.microsoft.com/office/drawing/2014/main" id="{806B0CCD-8065-4223-A1A6-6A2F704DEE57}"/>
            </a:ext>
          </a:extLst>
        </xdr:cNvPr>
        <xdr:cNvPicPr>
          <a:picLocks noChangeAspect="1"/>
        </xdr:cNvPicPr>
      </xdr:nvPicPr>
      <xdr:blipFill>
        <a:blip xmlns:r="http://schemas.openxmlformats.org/officeDocument/2006/relationships" r:embed="rId4"/>
        <a:stretch>
          <a:fillRect/>
        </a:stretch>
      </xdr:blipFill>
      <xdr:spPr>
        <a:xfrm>
          <a:off x="4943475" y="15649575"/>
          <a:ext cx="1778049" cy="1800000"/>
        </a:xfrm>
        <a:prstGeom prst="rect">
          <a:avLst/>
        </a:prstGeom>
      </xdr:spPr>
    </xdr:pic>
    <xdr:clientData/>
  </xdr:twoCellAnchor>
  <xdr:twoCellAnchor editAs="oneCell">
    <xdr:from>
      <xdr:col>1</xdr:col>
      <xdr:colOff>542925</xdr:colOff>
      <xdr:row>95</xdr:row>
      <xdr:rowOff>76200</xdr:rowOff>
    </xdr:from>
    <xdr:to>
      <xdr:col>4</xdr:col>
      <xdr:colOff>463242</xdr:colOff>
      <xdr:row>104</xdr:row>
      <xdr:rowOff>123600</xdr:rowOff>
    </xdr:to>
    <xdr:pic>
      <xdr:nvPicPr>
        <xdr:cNvPr id="15" name="Imagem 14">
          <a:extLst>
            <a:ext uri="{FF2B5EF4-FFF2-40B4-BE49-F238E27FC236}">
              <a16:creationId xmlns:a16="http://schemas.microsoft.com/office/drawing/2014/main" id="{C10B8177-DB0B-4E75-A5CC-724952905A85}"/>
            </a:ext>
          </a:extLst>
        </xdr:cNvPr>
        <xdr:cNvPicPr>
          <a:picLocks noChangeAspect="1"/>
        </xdr:cNvPicPr>
      </xdr:nvPicPr>
      <xdr:blipFill>
        <a:blip xmlns:r="http://schemas.openxmlformats.org/officeDocument/2006/relationships" r:embed="rId2"/>
        <a:stretch>
          <a:fillRect/>
        </a:stretch>
      </xdr:blipFill>
      <xdr:spPr>
        <a:xfrm>
          <a:off x="1238250" y="19821525"/>
          <a:ext cx="1749117" cy="1800000"/>
        </a:xfrm>
        <a:prstGeom prst="rect">
          <a:avLst/>
        </a:prstGeom>
      </xdr:spPr>
    </xdr:pic>
    <xdr:clientData/>
  </xdr:twoCellAnchor>
  <xdr:twoCellAnchor editAs="oneCell">
    <xdr:from>
      <xdr:col>4</xdr:col>
      <xdr:colOff>495300</xdr:colOff>
      <xdr:row>95</xdr:row>
      <xdr:rowOff>76200</xdr:rowOff>
    </xdr:from>
    <xdr:to>
      <xdr:col>7</xdr:col>
      <xdr:colOff>568939</xdr:colOff>
      <xdr:row>104</xdr:row>
      <xdr:rowOff>123600</xdr:rowOff>
    </xdr:to>
    <xdr:pic>
      <xdr:nvPicPr>
        <xdr:cNvPr id="16" name="Imagem 15">
          <a:extLst>
            <a:ext uri="{FF2B5EF4-FFF2-40B4-BE49-F238E27FC236}">
              <a16:creationId xmlns:a16="http://schemas.microsoft.com/office/drawing/2014/main" id="{F689EF61-4BDB-45E3-A5E0-3432E3ABDB9A}"/>
            </a:ext>
          </a:extLst>
        </xdr:cNvPr>
        <xdr:cNvPicPr>
          <a:picLocks noChangeAspect="1"/>
        </xdr:cNvPicPr>
      </xdr:nvPicPr>
      <xdr:blipFill>
        <a:blip xmlns:r="http://schemas.openxmlformats.org/officeDocument/2006/relationships" r:embed="rId3"/>
        <a:stretch>
          <a:fillRect/>
        </a:stretch>
      </xdr:blipFill>
      <xdr:spPr>
        <a:xfrm>
          <a:off x="3019425" y="19821525"/>
          <a:ext cx="1902439" cy="1800000"/>
        </a:xfrm>
        <a:prstGeom prst="rect">
          <a:avLst/>
        </a:prstGeom>
      </xdr:spPr>
    </xdr:pic>
    <xdr:clientData/>
  </xdr:twoCellAnchor>
  <xdr:twoCellAnchor editAs="oneCell">
    <xdr:from>
      <xdr:col>7</xdr:col>
      <xdr:colOff>600075</xdr:colOff>
      <xdr:row>95</xdr:row>
      <xdr:rowOff>76200</xdr:rowOff>
    </xdr:from>
    <xdr:to>
      <xdr:col>10</xdr:col>
      <xdr:colOff>549324</xdr:colOff>
      <xdr:row>104</xdr:row>
      <xdr:rowOff>123600</xdr:rowOff>
    </xdr:to>
    <xdr:pic>
      <xdr:nvPicPr>
        <xdr:cNvPr id="17" name="Imagem 16">
          <a:extLst>
            <a:ext uri="{FF2B5EF4-FFF2-40B4-BE49-F238E27FC236}">
              <a16:creationId xmlns:a16="http://schemas.microsoft.com/office/drawing/2014/main" id="{39F43219-46D3-49C4-B9C3-CCAEC0E7EB6F}"/>
            </a:ext>
          </a:extLst>
        </xdr:cNvPr>
        <xdr:cNvPicPr>
          <a:picLocks noChangeAspect="1"/>
        </xdr:cNvPicPr>
      </xdr:nvPicPr>
      <xdr:blipFill>
        <a:blip xmlns:r="http://schemas.openxmlformats.org/officeDocument/2006/relationships" r:embed="rId4"/>
        <a:stretch>
          <a:fillRect/>
        </a:stretch>
      </xdr:blipFill>
      <xdr:spPr>
        <a:xfrm>
          <a:off x="4953000" y="19821525"/>
          <a:ext cx="1778049" cy="1800000"/>
        </a:xfrm>
        <a:prstGeom prst="rect">
          <a:avLst/>
        </a:prstGeom>
      </xdr:spPr>
    </xdr:pic>
    <xdr:clientData/>
  </xdr:twoCellAnchor>
  <xdr:twoCellAnchor editAs="oneCell">
    <xdr:from>
      <xdr:col>1</xdr:col>
      <xdr:colOff>542925</xdr:colOff>
      <xdr:row>115</xdr:row>
      <xdr:rowOff>76200</xdr:rowOff>
    </xdr:from>
    <xdr:to>
      <xdr:col>4</xdr:col>
      <xdr:colOff>463242</xdr:colOff>
      <xdr:row>124</xdr:row>
      <xdr:rowOff>123600</xdr:rowOff>
    </xdr:to>
    <xdr:pic>
      <xdr:nvPicPr>
        <xdr:cNvPr id="18" name="Imagem 17">
          <a:extLst>
            <a:ext uri="{FF2B5EF4-FFF2-40B4-BE49-F238E27FC236}">
              <a16:creationId xmlns:a16="http://schemas.microsoft.com/office/drawing/2014/main" id="{307B07C2-C362-4A74-92FF-F7A94D16285C}"/>
            </a:ext>
          </a:extLst>
        </xdr:cNvPr>
        <xdr:cNvPicPr>
          <a:picLocks noChangeAspect="1"/>
        </xdr:cNvPicPr>
      </xdr:nvPicPr>
      <xdr:blipFill>
        <a:blip xmlns:r="http://schemas.openxmlformats.org/officeDocument/2006/relationships" r:embed="rId2"/>
        <a:stretch>
          <a:fillRect/>
        </a:stretch>
      </xdr:blipFill>
      <xdr:spPr>
        <a:xfrm>
          <a:off x="1238250" y="23926800"/>
          <a:ext cx="1749117" cy="1800000"/>
        </a:xfrm>
        <a:prstGeom prst="rect">
          <a:avLst/>
        </a:prstGeom>
      </xdr:spPr>
    </xdr:pic>
    <xdr:clientData/>
  </xdr:twoCellAnchor>
  <xdr:twoCellAnchor editAs="oneCell">
    <xdr:from>
      <xdr:col>4</xdr:col>
      <xdr:colOff>495300</xdr:colOff>
      <xdr:row>115</xdr:row>
      <xdr:rowOff>76200</xdr:rowOff>
    </xdr:from>
    <xdr:to>
      <xdr:col>7</xdr:col>
      <xdr:colOff>568939</xdr:colOff>
      <xdr:row>124</xdr:row>
      <xdr:rowOff>123600</xdr:rowOff>
    </xdr:to>
    <xdr:pic>
      <xdr:nvPicPr>
        <xdr:cNvPr id="19" name="Imagem 18">
          <a:extLst>
            <a:ext uri="{FF2B5EF4-FFF2-40B4-BE49-F238E27FC236}">
              <a16:creationId xmlns:a16="http://schemas.microsoft.com/office/drawing/2014/main" id="{BA670F82-546B-45FC-AD17-C32AFEFE19D2}"/>
            </a:ext>
          </a:extLst>
        </xdr:cNvPr>
        <xdr:cNvPicPr>
          <a:picLocks noChangeAspect="1"/>
        </xdr:cNvPicPr>
      </xdr:nvPicPr>
      <xdr:blipFill>
        <a:blip xmlns:r="http://schemas.openxmlformats.org/officeDocument/2006/relationships" r:embed="rId3"/>
        <a:stretch>
          <a:fillRect/>
        </a:stretch>
      </xdr:blipFill>
      <xdr:spPr>
        <a:xfrm>
          <a:off x="3019425" y="23926800"/>
          <a:ext cx="1902439" cy="1800000"/>
        </a:xfrm>
        <a:prstGeom prst="rect">
          <a:avLst/>
        </a:prstGeom>
      </xdr:spPr>
    </xdr:pic>
    <xdr:clientData/>
  </xdr:twoCellAnchor>
  <xdr:twoCellAnchor editAs="oneCell">
    <xdr:from>
      <xdr:col>7</xdr:col>
      <xdr:colOff>600075</xdr:colOff>
      <xdr:row>115</xdr:row>
      <xdr:rowOff>76200</xdr:rowOff>
    </xdr:from>
    <xdr:to>
      <xdr:col>10</xdr:col>
      <xdr:colOff>549324</xdr:colOff>
      <xdr:row>124</xdr:row>
      <xdr:rowOff>123600</xdr:rowOff>
    </xdr:to>
    <xdr:pic>
      <xdr:nvPicPr>
        <xdr:cNvPr id="20" name="Imagem 19">
          <a:extLst>
            <a:ext uri="{FF2B5EF4-FFF2-40B4-BE49-F238E27FC236}">
              <a16:creationId xmlns:a16="http://schemas.microsoft.com/office/drawing/2014/main" id="{5E98B4B7-0AF5-4D61-A480-FA49807FAB12}"/>
            </a:ext>
          </a:extLst>
        </xdr:cNvPr>
        <xdr:cNvPicPr>
          <a:picLocks noChangeAspect="1"/>
        </xdr:cNvPicPr>
      </xdr:nvPicPr>
      <xdr:blipFill>
        <a:blip xmlns:r="http://schemas.openxmlformats.org/officeDocument/2006/relationships" r:embed="rId4"/>
        <a:stretch>
          <a:fillRect/>
        </a:stretch>
      </xdr:blipFill>
      <xdr:spPr>
        <a:xfrm>
          <a:off x="4953000" y="23926800"/>
          <a:ext cx="1778049" cy="1800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731ECF30-1B8F-463B-9A2A-C3D10E1256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11</xdr:col>
      <xdr:colOff>600075</xdr:colOff>
      <xdr:row>11</xdr:row>
      <xdr:rowOff>66675</xdr:rowOff>
    </xdr:from>
    <xdr:to>
      <xdr:col>14</xdr:col>
      <xdr:colOff>315840</xdr:colOff>
      <xdr:row>19</xdr:row>
      <xdr:rowOff>75975</xdr:rowOff>
    </xdr:to>
    <xdr:pic>
      <xdr:nvPicPr>
        <xdr:cNvPr id="3" name="Imagem 2">
          <a:extLst>
            <a:ext uri="{FF2B5EF4-FFF2-40B4-BE49-F238E27FC236}">
              <a16:creationId xmlns:a16="http://schemas.microsoft.com/office/drawing/2014/main" id="{BAAD370D-176F-00EE-0327-890DB2C0D0BF}"/>
            </a:ext>
          </a:extLst>
        </xdr:cNvPr>
        <xdr:cNvPicPr>
          <a:picLocks noChangeAspect="1"/>
        </xdr:cNvPicPr>
      </xdr:nvPicPr>
      <xdr:blipFill>
        <a:blip xmlns:r="http://schemas.openxmlformats.org/officeDocument/2006/relationships" r:embed="rId2"/>
        <a:stretch>
          <a:fillRect/>
        </a:stretch>
      </xdr:blipFill>
      <xdr:spPr>
        <a:xfrm>
          <a:off x="7391400" y="2400300"/>
          <a:ext cx="1573140" cy="1800000"/>
        </a:xfrm>
        <a:prstGeom prst="rect">
          <a:avLst/>
        </a:prstGeom>
      </xdr:spPr>
    </xdr:pic>
    <xdr:clientData/>
  </xdr:twoCellAnchor>
  <xdr:twoCellAnchor editAs="oneCell">
    <xdr:from>
      <xdr:col>14</xdr:col>
      <xdr:colOff>333376</xdr:colOff>
      <xdr:row>11</xdr:row>
      <xdr:rowOff>66675</xdr:rowOff>
    </xdr:from>
    <xdr:to>
      <xdr:col>17</xdr:col>
      <xdr:colOff>205037</xdr:colOff>
      <xdr:row>19</xdr:row>
      <xdr:rowOff>75975</xdr:rowOff>
    </xdr:to>
    <xdr:pic>
      <xdr:nvPicPr>
        <xdr:cNvPr id="4" name="Imagem 3">
          <a:extLst>
            <a:ext uri="{FF2B5EF4-FFF2-40B4-BE49-F238E27FC236}">
              <a16:creationId xmlns:a16="http://schemas.microsoft.com/office/drawing/2014/main" id="{FE0C44E4-F403-0280-77BA-8032DD9D5655}"/>
            </a:ext>
          </a:extLst>
        </xdr:cNvPr>
        <xdr:cNvPicPr>
          <a:picLocks noChangeAspect="1"/>
        </xdr:cNvPicPr>
      </xdr:nvPicPr>
      <xdr:blipFill>
        <a:blip xmlns:r="http://schemas.openxmlformats.org/officeDocument/2006/relationships" r:embed="rId3"/>
        <a:stretch>
          <a:fillRect/>
        </a:stretch>
      </xdr:blipFill>
      <xdr:spPr>
        <a:xfrm>
          <a:off x="8982076" y="2400300"/>
          <a:ext cx="1700461" cy="1800000"/>
        </a:xfrm>
        <a:prstGeom prst="rect">
          <a:avLst/>
        </a:prstGeom>
      </xdr:spPr>
    </xdr:pic>
    <xdr:clientData/>
  </xdr:twoCellAnchor>
  <xdr:twoCellAnchor editAs="oneCell">
    <xdr:from>
      <xdr:col>17</xdr:col>
      <xdr:colOff>238125</xdr:colOff>
      <xdr:row>11</xdr:row>
      <xdr:rowOff>76200</xdr:rowOff>
    </xdr:from>
    <xdr:to>
      <xdr:col>19</xdr:col>
      <xdr:colOff>569103</xdr:colOff>
      <xdr:row>19</xdr:row>
      <xdr:rowOff>85500</xdr:rowOff>
    </xdr:to>
    <xdr:pic>
      <xdr:nvPicPr>
        <xdr:cNvPr id="5" name="Imagem 4">
          <a:extLst>
            <a:ext uri="{FF2B5EF4-FFF2-40B4-BE49-F238E27FC236}">
              <a16:creationId xmlns:a16="http://schemas.microsoft.com/office/drawing/2014/main" id="{39795545-8E35-D5DB-1B7A-B928126C3012}"/>
            </a:ext>
          </a:extLst>
        </xdr:cNvPr>
        <xdr:cNvPicPr>
          <a:picLocks noChangeAspect="1"/>
        </xdr:cNvPicPr>
      </xdr:nvPicPr>
      <xdr:blipFill>
        <a:blip xmlns:r="http://schemas.openxmlformats.org/officeDocument/2006/relationships" r:embed="rId4"/>
        <a:stretch>
          <a:fillRect/>
        </a:stretch>
      </xdr:blipFill>
      <xdr:spPr>
        <a:xfrm>
          <a:off x="10715625" y="2409825"/>
          <a:ext cx="1550178" cy="1800000"/>
        </a:xfrm>
        <a:prstGeom prst="rect">
          <a:avLst/>
        </a:prstGeom>
      </xdr:spPr>
    </xdr:pic>
    <xdr:clientData/>
  </xdr:twoCellAnchor>
  <xdr:twoCellAnchor editAs="oneCell">
    <xdr:from>
      <xdr:col>11</xdr:col>
      <xdr:colOff>609600</xdr:colOff>
      <xdr:row>19</xdr:row>
      <xdr:rowOff>104775</xdr:rowOff>
    </xdr:from>
    <xdr:to>
      <xdr:col>14</xdr:col>
      <xdr:colOff>286175</xdr:colOff>
      <xdr:row>28</xdr:row>
      <xdr:rowOff>190275</xdr:rowOff>
    </xdr:to>
    <xdr:pic>
      <xdr:nvPicPr>
        <xdr:cNvPr id="6" name="Imagem 5">
          <a:extLst>
            <a:ext uri="{FF2B5EF4-FFF2-40B4-BE49-F238E27FC236}">
              <a16:creationId xmlns:a16="http://schemas.microsoft.com/office/drawing/2014/main" id="{410A19DB-2FED-605C-E991-51007C776E82}"/>
            </a:ext>
          </a:extLst>
        </xdr:cNvPr>
        <xdr:cNvPicPr>
          <a:picLocks noChangeAspect="1"/>
        </xdr:cNvPicPr>
      </xdr:nvPicPr>
      <xdr:blipFill>
        <a:blip xmlns:r="http://schemas.openxmlformats.org/officeDocument/2006/relationships" r:embed="rId5"/>
        <a:stretch>
          <a:fillRect/>
        </a:stretch>
      </xdr:blipFill>
      <xdr:spPr>
        <a:xfrm>
          <a:off x="7400925" y="4229100"/>
          <a:ext cx="1533950" cy="1800000"/>
        </a:xfrm>
        <a:prstGeom prst="rect">
          <a:avLst/>
        </a:prstGeom>
      </xdr:spPr>
    </xdr:pic>
    <xdr:clientData/>
  </xdr:twoCellAnchor>
  <xdr:twoCellAnchor editAs="oneCell">
    <xdr:from>
      <xdr:col>14</xdr:col>
      <xdr:colOff>323850</xdr:colOff>
      <xdr:row>19</xdr:row>
      <xdr:rowOff>104775</xdr:rowOff>
    </xdr:from>
    <xdr:to>
      <xdr:col>17</xdr:col>
      <xdr:colOff>138334</xdr:colOff>
      <xdr:row>28</xdr:row>
      <xdr:rowOff>190275</xdr:rowOff>
    </xdr:to>
    <xdr:pic>
      <xdr:nvPicPr>
        <xdr:cNvPr id="7" name="Imagem 6">
          <a:extLst>
            <a:ext uri="{FF2B5EF4-FFF2-40B4-BE49-F238E27FC236}">
              <a16:creationId xmlns:a16="http://schemas.microsoft.com/office/drawing/2014/main" id="{5AF8EF96-7D89-02E2-F403-6B26DB5B287C}"/>
            </a:ext>
          </a:extLst>
        </xdr:cNvPr>
        <xdr:cNvPicPr>
          <a:picLocks noChangeAspect="1"/>
        </xdr:cNvPicPr>
      </xdr:nvPicPr>
      <xdr:blipFill>
        <a:blip xmlns:r="http://schemas.openxmlformats.org/officeDocument/2006/relationships" r:embed="rId6"/>
        <a:stretch>
          <a:fillRect/>
        </a:stretch>
      </xdr:blipFill>
      <xdr:spPr>
        <a:xfrm>
          <a:off x="8972550" y="4229100"/>
          <a:ext cx="1643284" cy="1800000"/>
        </a:xfrm>
        <a:prstGeom prst="rect">
          <a:avLst/>
        </a:prstGeom>
      </xdr:spPr>
    </xdr:pic>
    <xdr:clientData/>
  </xdr:twoCellAnchor>
  <xdr:twoCellAnchor editAs="oneCell">
    <xdr:from>
      <xdr:col>11</xdr:col>
      <xdr:colOff>561975</xdr:colOff>
      <xdr:row>32</xdr:row>
      <xdr:rowOff>180975</xdr:rowOff>
    </xdr:from>
    <xdr:to>
      <xdr:col>14</xdr:col>
      <xdr:colOff>277740</xdr:colOff>
      <xdr:row>41</xdr:row>
      <xdr:rowOff>123600</xdr:rowOff>
    </xdr:to>
    <xdr:pic>
      <xdr:nvPicPr>
        <xdr:cNvPr id="8" name="Imagem 7">
          <a:extLst>
            <a:ext uri="{FF2B5EF4-FFF2-40B4-BE49-F238E27FC236}">
              <a16:creationId xmlns:a16="http://schemas.microsoft.com/office/drawing/2014/main" id="{74E0DA8B-BEFA-4A4A-A285-13F0F1F311D3}"/>
            </a:ext>
          </a:extLst>
        </xdr:cNvPr>
        <xdr:cNvPicPr>
          <a:picLocks noChangeAspect="1"/>
        </xdr:cNvPicPr>
      </xdr:nvPicPr>
      <xdr:blipFill>
        <a:blip xmlns:r="http://schemas.openxmlformats.org/officeDocument/2006/relationships" r:embed="rId2"/>
        <a:stretch>
          <a:fillRect/>
        </a:stretch>
      </xdr:blipFill>
      <xdr:spPr>
        <a:xfrm>
          <a:off x="7353300" y="6934200"/>
          <a:ext cx="1573140" cy="1800000"/>
        </a:xfrm>
        <a:prstGeom prst="rect">
          <a:avLst/>
        </a:prstGeom>
      </xdr:spPr>
    </xdr:pic>
    <xdr:clientData/>
  </xdr:twoCellAnchor>
  <xdr:twoCellAnchor editAs="oneCell">
    <xdr:from>
      <xdr:col>14</xdr:col>
      <xdr:colOff>304801</xdr:colOff>
      <xdr:row>32</xdr:row>
      <xdr:rowOff>180975</xdr:rowOff>
    </xdr:from>
    <xdr:to>
      <xdr:col>17</xdr:col>
      <xdr:colOff>176462</xdr:colOff>
      <xdr:row>41</xdr:row>
      <xdr:rowOff>123600</xdr:rowOff>
    </xdr:to>
    <xdr:pic>
      <xdr:nvPicPr>
        <xdr:cNvPr id="9" name="Imagem 8">
          <a:extLst>
            <a:ext uri="{FF2B5EF4-FFF2-40B4-BE49-F238E27FC236}">
              <a16:creationId xmlns:a16="http://schemas.microsoft.com/office/drawing/2014/main" id="{6F466A1E-4EF6-426C-9FEC-E6A963EA0066}"/>
            </a:ext>
          </a:extLst>
        </xdr:cNvPr>
        <xdr:cNvPicPr>
          <a:picLocks noChangeAspect="1"/>
        </xdr:cNvPicPr>
      </xdr:nvPicPr>
      <xdr:blipFill>
        <a:blip xmlns:r="http://schemas.openxmlformats.org/officeDocument/2006/relationships" r:embed="rId3"/>
        <a:stretch>
          <a:fillRect/>
        </a:stretch>
      </xdr:blipFill>
      <xdr:spPr>
        <a:xfrm>
          <a:off x="8953501" y="6934200"/>
          <a:ext cx="1700461" cy="1800000"/>
        </a:xfrm>
        <a:prstGeom prst="rect">
          <a:avLst/>
        </a:prstGeom>
      </xdr:spPr>
    </xdr:pic>
    <xdr:clientData/>
  </xdr:twoCellAnchor>
  <xdr:twoCellAnchor editAs="oneCell">
    <xdr:from>
      <xdr:col>17</xdr:col>
      <xdr:colOff>219075</xdr:colOff>
      <xdr:row>32</xdr:row>
      <xdr:rowOff>190500</xdr:rowOff>
    </xdr:from>
    <xdr:to>
      <xdr:col>19</xdr:col>
      <xdr:colOff>550053</xdr:colOff>
      <xdr:row>41</xdr:row>
      <xdr:rowOff>133125</xdr:rowOff>
    </xdr:to>
    <xdr:pic>
      <xdr:nvPicPr>
        <xdr:cNvPr id="10" name="Imagem 9">
          <a:extLst>
            <a:ext uri="{FF2B5EF4-FFF2-40B4-BE49-F238E27FC236}">
              <a16:creationId xmlns:a16="http://schemas.microsoft.com/office/drawing/2014/main" id="{87C41EA5-8D59-4A1A-9336-2BCFC97F8118}"/>
            </a:ext>
          </a:extLst>
        </xdr:cNvPr>
        <xdr:cNvPicPr>
          <a:picLocks noChangeAspect="1"/>
        </xdr:cNvPicPr>
      </xdr:nvPicPr>
      <xdr:blipFill>
        <a:blip xmlns:r="http://schemas.openxmlformats.org/officeDocument/2006/relationships" r:embed="rId4"/>
        <a:stretch>
          <a:fillRect/>
        </a:stretch>
      </xdr:blipFill>
      <xdr:spPr>
        <a:xfrm>
          <a:off x="10696575" y="6943725"/>
          <a:ext cx="1550178" cy="1800000"/>
        </a:xfrm>
        <a:prstGeom prst="rect">
          <a:avLst/>
        </a:prstGeom>
      </xdr:spPr>
    </xdr:pic>
    <xdr:clientData/>
  </xdr:twoCellAnchor>
  <xdr:twoCellAnchor editAs="oneCell">
    <xdr:from>
      <xdr:col>11</xdr:col>
      <xdr:colOff>571500</xdr:colOff>
      <xdr:row>41</xdr:row>
      <xdr:rowOff>152400</xdr:rowOff>
    </xdr:from>
    <xdr:to>
      <xdr:col>14</xdr:col>
      <xdr:colOff>248075</xdr:colOff>
      <xdr:row>51</xdr:row>
      <xdr:rowOff>18825</xdr:rowOff>
    </xdr:to>
    <xdr:pic>
      <xdr:nvPicPr>
        <xdr:cNvPr id="11" name="Imagem 10">
          <a:extLst>
            <a:ext uri="{FF2B5EF4-FFF2-40B4-BE49-F238E27FC236}">
              <a16:creationId xmlns:a16="http://schemas.microsoft.com/office/drawing/2014/main" id="{40797413-BFD3-4746-A749-E40F07C0803D}"/>
            </a:ext>
          </a:extLst>
        </xdr:cNvPr>
        <xdr:cNvPicPr>
          <a:picLocks noChangeAspect="1"/>
        </xdr:cNvPicPr>
      </xdr:nvPicPr>
      <xdr:blipFill>
        <a:blip xmlns:r="http://schemas.openxmlformats.org/officeDocument/2006/relationships" r:embed="rId5"/>
        <a:stretch>
          <a:fillRect/>
        </a:stretch>
      </xdr:blipFill>
      <xdr:spPr>
        <a:xfrm>
          <a:off x="7362825" y="8763000"/>
          <a:ext cx="1533950" cy="1800000"/>
        </a:xfrm>
        <a:prstGeom prst="rect">
          <a:avLst/>
        </a:prstGeom>
      </xdr:spPr>
    </xdr:pic>
    <xdr:clientData/>
  </xdr:twoCellAnchor>
  <xdr:twoCellAnchor editAs="oneCell">
    <xdr:from>
      <xdr:col>14</xdr:col>
      <xdr:colOff>295275</xdr:colOff>
      <xdr:row>41</xdr:row>
      <xdr:rowOff>152400</xdr:rowOff>
    </xdr:from>
    <xdr:to>
      <xdr:col>17</xdr:col>
      <xdr:colOff>109759</xdr:colOff>
      <xdr:row>51</xdr:row>
      <xdr:rowOff>18825</xdr:rowOff>
    </xdr:to>
    <xdr:pic>
      <xdr:nvPicPr>
        <xdr:cNvPr id="12" name="Imagem 11">
          <a:extLst>
            <a:ext uri="{FF2B5EF4-FFF2-40B4-BE49-F238E27FC236}">
              <a16:creationId xmlns:a16="http://schemas.microsoft.com/office/drawing/2014/main" id="{A02A98F2-774C-41E7-9B53-7B5F9B757095}"/>
            </a:ext>
          </a:extLst>
        </xdr:cNvPr>
        <xdr:cNvPicPr>
          <a:picLocks noChangeAspect="1"/>
        </xdr:cNvPicPr>
      </xdr:nvPicPr>
      <xdr:blipFill>
        <a:blip xmlns:r="http://schemas.openxmlformats.org/officeDocument/2006/relationships" r:embed="rId6"/>
        <a:stretch>
          <a:fillRect/>
        </a:stretch>
      </xdr:blipFill>
      <xdr:spPr>
        <a:xfrm>
          <a:off x="8943975" y="8763000"/>
          <a:ext cx="1643284" cy="1800000"/>
        </a:xfrm>
        <a:prstGeom prst="rect">
          <a:avLst/>
        </a:prstGeom>
      </xdr:spPr>
    </xdr:pic>
    <xdr:clientData/>
  </xdr:twoCellAnchor>
  <xdr:twoCellAnchor editAs="oneCell">
    <xdr:from>
      <xdr:col>12</xdr:col>
      <xdr:colOff>0</xdr:colOff>
      <xdr:row>52</xdr:row>
      <xdr:rowOff>200025</xdr:rowOff>
    </xdr:from>
    <xdr:to>
      <xdr:col>14</xdr:col>
      <xdr:colOff>353940</xdr:colOff>
      <xdr:row>61</xdr:row>
      <xdr:rowOff>142650</xdr:rowOff>
    </xdr:to>
    <xdr:pic>
      <xdr:nvPicPr>
        <xdr:cNvPr id="22" name="Imagem 21">
          <a:extLst>
            <a:ext uri="{FF2B5EF4-FFF2-40B4-BE49-F238E27FC236}">
              <a16:creationId xmlns:a16="http://schemas.microsoft.com/office/drawing/2014/main" id="{4CC29F65-7EEF-439B-AD19-2D0563180CB2}"/>
            </a:ext>
          </a:extLst>
        </xdr:cNvPr>
        <xdr:cNvPicPr>
          <a:picLocks noChangeAspect="1"/>
        </xdr:cNvPicPr>
      </xdr:nvPicPr>
      <xdr:blipFill>
        <a:blip xmlns:r="http://schemas.openxmlformats.org/officeDocument/2006/relationships" r:embed="rId2"/>
        <a:stretch>
          <a:fillRect/>
        </a:stretch>
      </xdr:blipFill>
      <xdr:spPr>
        <a:xfrm>
          <a:off x="7429500" y="11058525"/>
          <a:ext cx="1573140" cy="1800000"/>
        </a:xfrm>
        <a:prstGeom prst="rect">
          <a:avLst/>
        </a:prstGeom>
      </xdr:spPr>
    </xdr:pic>
    <xdr:clientData/>
  </xdr:twoCellAnchor>
  <xdr:twoCellAnchor editAs="oneCell">
    <xdr:from>
      <xdr:col>14</xdr:col>
      <xdr:colOff>381001</xdr:colOff>
      <xdr:row>52</xdr:row>
      <xdr:rowOff>200025</xdr:rowOff>
    </xdr:from>
    <xdr:to>
      <xdr:col>17</xdr:col>
      <xdr:colOff>252662</xdr:colOff>
      <xdr:row>61</xdr:row>
      <xdr:rowOff>142650</xdr:rowOff>
    </xdr:to>
    <xdr:pic>
      <xdr:nvPicPr>
        <xdr:cNvPr id="23" name="Imagem 22">
          <a:extLst>
            <a:ext uri="{FF2B5EF4-FFF2-40B4-BE49-F238E27FC236}">
              <a16:creationId xmlns:a16="http://schemas.microsoft.com/office/drawing/2014/main" id="{D35ED87B-32DB-456A-A04C-3623D7BD212E}"/>
            </a:ext>
          </a:extLst>
        </xdr:cNvPr>
        <xdr:cNvPicPr>
          <a:picLocks noChangeAspect="1"/>
        </xdr:cNvPicPr>
      </xdr:nvPicPr>
      <xdr:blipFill>
        <a:blip xmlns:r="http://schemas.openxmlformats.org/officeDocument/2006/relationships" r:embed="rId3"/>
        <a:stretch>
          <a:fillRect/>
        </a:stretch>
      </xdr:blipFill>
      <xdr:spPr>
        <a:xfrm>
          <a:off x="9029701" y="11058525"/>
          <a:ext cx="1700461" cy="1800000"/>
        </a:xfrm>
        <a:prstGeom prst="rect">
          <a:avLst/>
        </a:prstGeom>
      </xdr:spPr>
    </xdr:pic>
    <xdr:clientData/>
  </xdr:twoCellAnchor>
  <xdr:twoCellAnchor editAs="oneCell">
    <xdr:from>
      <xdr:col>17</xdr:col>
      <xdr:colOff>295275</xdr:colOff>
      <xdr:row>52</xdr:row>
      <xdr:rowOff>209550</xdr:rowOff>
    </xdr:from>
    <xdr:to>
      <xdr:col>20</xdr:col>
      <xdr:colOff>16653</xdr:colOff>
      <xdr:row>61</xdr:row>
      <xdr:rowOff>152175</xdr:rowOff>
    </xdr:to>
    <xdr:pic>
      <xdr:nvPicPr>
        <xdr:cNvPr id="24" name="Imagem 23">
          <a:extLst>
            <a:ext uri="{FF2B5EF4-FFF2-40B4-BE49-F238E27FC236}">
              <a16:creationId xmlns:a16="http://schemas.microsoft.com/office/drawing/2014/main" id="{AD5FCEA1-3F35-4D44-AA32-A323E442533C}"/>
            </a:ext>
          </a:extLst>
        </xdr:cNvPr>
        <xdr:cNvPicPr>
          <a:picLocks noChangeAspect="1"/>
        </xdr:cNvPicPr>
      </xdr:nvPicPr>
      <xdr:blipFill>
        <a:blip xmlns:r="http://schemas.openxmlformats.org/officeDocument/2006/relationships" r:embed="rId4"/>
        <a:stretch>
          <a:fillRect/>
        </a:stretch>
      </xdr:blipFill>
      <xdr:spPr>
        <a:xfrm>
          <a:off x="10772775" y="11068050"/>
          <a:ext cx="1550178" cy="1800000"/>
        </a:xfrm>
        <a:prstGeom prst="rect">
          <a:avLst/>
        </a:prstGeom>
      </xdr:spPr>
    </xdr:pic>
    <xdr:clientData/>
  </xdr:twoCellAnchor>
  <xdr:twoCellAnchor editAs="oneCell">
    <xdr:from>
      <xdr:col>12</xdr:col>
      <xdr:colOff>9525</xdr:colOff>
      <xdr:row>61</xdr:row>
      <xdr:rowOff>171450</xdr:rowOff>
    </xdr:from>
    <xdr:to>
      <xdr:col>14</xdr:col>
      <xdr:colOff>324275</xdr:colOff>
      <xdr:row>71</xdr:row>
      <xdr:rowOff>37875</xdr:rowOff>
    </xdr:to>
    <xdr:pic>
      <xdr:nvPicPr>
        <xdr:cNvPr id="25" name="Imagem 24">
          <a:extLst>
            <a:ext uri="{FF2B5EF4-FFF2-40B4-BE49-F238E27FC236}">
              <a16:creationId xmlns:a16="http://schemas.microsoft.com/office/drawing/2014/main" id="{4ED1B1CC-893B-492E-A5B3-3F9688530255}"/>
            </a:ext>
          </a:extLst>
        </xdr:cNvPr>
        <xdr:cNvPicPr>
          <a:picLocks noChangeAspect="1"/>
        </xdr:cNvPicPr>
      </xdr:nvPicPr>
      <xdr:blipFill>
        <a:blip xmlns:r="http://schemas.openxmlformats.org/officeDocument/2006/relationships" r:embed="rId5"/>
        <a:stretch>
          <a:fillRect/>
        </a:stretch>
      </xdr:blipFill>
      <xdr:spPr>
        <a:xfrm>
          <a:off x="7439025" y="12887325"/>
          <a:ext cx="1533950" cy="1800000"/>
        </a:xfrm>
        <a:prstGeom prst="rect">
          <a:avLst/>
        </a:prstGeom>
      </xdr:spPr>
    </xdr:pic>
    <xdr:clientData/>
  </xdr:twoCellAnchor>
  <xdr:twoCellAnchor editAs="oneCell">
    <xdr:from>
      <xdr:col>14</xdr:col>
      <xdr:colOff>371475</xdr:colOff>
      <xdr:row>61</xdr:row>
      <xdr:rowOff>171450</xdr:rowOff>
    </xdr:from>
    <xdr:to>
      <xdr:col>17</xdr:col>
      <xdr:colOff>185959</xdr:colOff>
      <xdr:row>71</xdr:row>
      <xdr:rowOff>37875</xdr:rowOff>
    </xdr:to>
    <xdr:pic>
      <xdr:nvPicPr>
        <xdr:cNvPr id="26" name="Imagem 25">
          <a:extLst>
            <a:ext uri="{FF2B5EF4-FFF2-40B4-BE49-F238E27FC236}">
              <a16:creationId xmlns:a16="http://schemas.microsoft.com/office/drawing/2014/main" id="{FE67078E-FA7B-4CF4-B27A-4206BB5DCD12}"/>
            </a:ext>
          </a:extLst>
        </xdr:cNvPr>
        <xdr:cNvPicPr>
          <a:picLocks noChangeAspect="1"/>
        </xdr:cNvPicPr>
      </xdr:nvPicPr>
      <xdr:blipFill>
        <a:blip xmlns:r="http://schemas.openxmlformats.org/officeDocument/2006/relationships" r:embed="rId6"/>
        <a:stretch>
          <a:fillRect/>
        </a:stretch>
      </xdr:blipFill>
      <xdr:spPr>
        <a:xfrm>
          <a:off x="9020175" y="12887325"/>
          <a:ext cx="1643284" cy="1800000"/>
        </a:xfrm>
        <a:prstGeom prst="rect">
          <a:avLst/>
        </a:prstGeom>
      </xdr:spPr>
    </xdr:pic>
    <xdr:clientData/>
  </xdr:twoCellAnchor>
  <xdr:twoCellAnchor editAs="oneCell">
    <xdr:from>
      <xdr:col>11</xdr:col>
      <xdr:colOff>590550</xdr:colOff>
      <xdr:row>72</xdr:row>
      <xdr:rowOff>190500</xdr:rowOff>
    </xdr:from>
    <xdr:to>
      <xdr:col>14</xdr:col>
      <xdr:colOff>306315</xdr:colOff>
      <xdr:row>81</xdr:row>
      <xdr:rowOff>133125</xdr:rowOff>
    </xdr:to>
    <xdr:pic>
      <xdr:nvPicPr>
        <xdr:cNvPr id="27" name="Imagem 26">
          <a:extLst>
            <a:ext uri="{FF2B5EF4-FFF2-40B4-BE49-F238E27FC236}">
              <a16:creationId xmlns:a16="http://schemas.microsoft.com/office/drawing/2014/main" id="{454BA15C-86AF-4045-8FC2-A5DE4898CAA6}"/>
            </a:ext>
          </a:extLst>
        </xdr:cNvPr>
        <xdr:cNvPicPr>
          <a:picLocks noChangeAspect="1"/>
        </xdr:cNvPicPr>
      </xdr:nvPicPr>
      <xdr:blipFill>
        <a:blip xmlns:r="http://schemas.openxmlformats.org/officeDocument/2006/relationships" r:embed="rId2"/>
        <a:stretch>
          <a:fillRect/>
        </a:stretch>
      </xdr:blipFill>
      <xdr:spPr>
        <a:xfrm>
          <a:off x="7381875" y="15154275"/>
          <a:ext cx="1573140" cy="1800000"/>
        </a:xfrm>
        <a:prstGeom prst="rect">
          <a:avLst/>
        </a:prstGeom>
      </xdr:spPr>
    </xdr:pic>
    <xdr:clientData/>
  </xdr:twoCellAnchor>
  <xdr:twoCellAnchor editAs="oneCell">
    <xdr:from>
      <xdr:col>14</xdr:col>
      <xdr:colOff>333376</xdr:colOff>
      <xdr:row>72</xdr:row>
      <xdr:rowOff>190500</xdr:rowOff>
    </xdr:from>
    <xdr:to>
      <xdr:col>17</xdr:col>
      <xdr:colOff>205037</xdr:colOff>
      <xdr:row>81</xdr:row>
      <xdr:rowOff>133125</xdr:rowOff>
    </xdr:to>
    <xdr:pic>
      <xdr:nvPicPr>
        <xdr:cNvPr id="28" name="Imagem 27">
          <a:extLst>
            <a:ext uri="{FF2B5EF4-FFF2-40B4-BE49-F238E27FC236}">
              <a16:creationId xmlns:a16="http://schemas.microsoft.com/office/drawing/2014/main" id="{753FECD5-C326-4994-B511-A2E6289F8E71}"/>
            </a:ext>
          </a:extLst>
        </xdr:cNvPr>
        <xdr:cNvPicPr>
          <a:picLocks noChangeAspect="1"/>
        </xdr:cNvPicPr>
      </xdr:nvPicPr>
      <xdr:blipFill>
        <a:blip xmlns:r="http://schemas.openxmlformats.org/officeDocument/2006/relationships" r:embed="rId3"/>
        <a:stretch>
          <a:fillRect/>
        </a:stretch>
      </xdr:blipFill>
      <xdr:spPr>
        <a:xfrm>
          <a:off x="8982076" y="15154275"/>
          <a:ext cx="1700461" cy="1800000"/>
        </a:xfrm>
        <a:prstGeom prst="rect">
          <a:avLst/>
        </a:prstGeom>
      </xdr:spPr>
    </xdr:pic>
    <xdr:clientData/>
  </xdr:twoCellAnchor>
  <xdr:twoCellAnchor editAs="oneCell">
    <xdr:from>
      <xdr:col>17</xdr:col>
      <xdr:colOff>247650</xdr:colOff>
      <xdr:row>72</xdr:row>
      <xdr:rowOff>200025</xdr:rowOff>
    </xdr:from>
    <xdr:to>
      <xdr:col>19</xdr:col>
      <xdr:colOff>578628</xdr:colOff>
      <xdr:row>81</xdr:row>
      <xdr:rowOff>142650</xdr:rowOff>
    </xdr:to>
    <xdr:pic>
      <xdr:nvPicPr>
        <xdr:cNvPr id="29" name="Imagem 28">
          <a:extLst>
            <a:ext uri="{FF2B5EF4-FFF2-40B4-BE49-F238E27FC236}">
              <a16:creationId xmlns:a16="http://schemas.microsoft.com/office/drawing/2014/main" id="{2D8F8CA3-D4DF-437A-A91A-5FA82775E3F9}"/>
            </a:ext>
          </a:extLst>
        </xdr:cNvPr>
        <xdr:cNvPicPr>
          <a:picLocks noChangeAspect="1"/>
        </xdr:cNvPicPr>
      </xdr:nvPicPr>
      <xdr:blipFill>
        <a:blip xmlns:r="http://schemas.openxmlformats.org/officeDocument/2006/relationships" r:embed="rId4"/>
        <a:stretch>
          <a:fillRect/>
        </a:stretch>
      </xdr:blipFill>
      <xdr:spPr>
        <a:xfrm>
          <a:off x="10725150" y="15163800"/>
          <a:ext cx="1550178" cy="1800000"/>
        </a:xfrm>
        <a:prstGeom prst="rect">
          <a:avLst/>
        </a:prstGeom>
      </xdr:spPr>
    </xdr:pic>
    <xdr:clientData/>
  </xdr:twoCellAnchor>
  <xdr:twoCellAnchor editAs="oneCell">
    <xdr:from>
      <xdr:col>11</xdr:col>
      <xdr:colOff>600075</xdr:colOff>
      <xdr:row>81</xdr:row>
      <xdr:rowOff>161925</xdr:rowOff>
    </xdr:from>
    <xdr:to>
      <xdr:col>14</xdr:col>
      <xdr:colOff>276650</xdr:colOff>
      <xdr:row>91</xdr:row>
      <xdr:rowOff>28350</xdr:rowOff>
    </xdr:to>
    <xdr:pic>
      <xdr:nvPicPr>
        <xdr:cNvPr id="30" name="Imagem 29">
          <a:extLst>
            <a:ext uri="{FF2B5EF4-FFF2-40B4-BE49-F238E27FC236}">
              <a16:creationId xmlns:a16="http://schemas.microsoft.com/office/drawing/2014/main" id="{C1508965-6320-4484-AB22-F9DCA28E2164}"/>
            </a:ext>
          </a:extLst>
        </xdr:cNvPr>
        <xdr:cNvPicPr>
          <a:picLocks noChangeAspect="1"/>
        </xdr:cNvPicPr>
      </xdr:nvPicPr>
      <xdr:blipFill>
        <a:blip xmlns:r="http://schemas.openxmlformats.org/officeDocument/2006/relationships" r:embed="rId5"/>
        <a:stretch>
          <a:fillRect/>
        </a:stretch>
      </xdr:blipFill>
      <xdr:spPr>
        <a:xfrm>
          <a:off x="7391400" y="16983075"/>
          <a:ext cx="1533950" cy="1800000"/>
        </a:xfrm>
        <a:prstGeom prst="rect">
          <a:avLst/>
        </a:prstGeom>
      </xdr:spPr>
    </xdr:pic>
    <xdr:clientData/>
  </xdr:twoCellAnchor>
  <xdr:twoCellAnchor editAs="oneCell">
    <xdr:from>
      <xdr:col>14</xdr:col>
      <xdr:colOff>323850</xdr:colOff>
      <xdr:row>81</xdr:row>
      <xdr:rowOff>161925</xdr:rowOff>
    </xdr:from>
    <xdr:to>
      <xdr:col>17</xdr:col>
      <xdr:colOff>138334</xdr:colOff>
      <xdr:row>91</xdr:row>
      <xdr:rowOff>28350</xdr:rowOff>
    </xdr:to>
    <xdr:pic>
      <xdr:nvPicPr>
        <xdr:cNvPr id="31" name="Imagem 30">
          <a:extLst>
            <a:ext uri="{FF2B5EF4-FFF2-40B4-BE49-F238E27FC236}">
              <a16:creationId xmlns:a16="http://schemas.microsoft.com/office/drawing/2014/main" id="{FCF4BF37-3D46-4BE2-9C65-A015174D3D35}"/>
            </a:ext>
          </a:extLst>
        </xdr:cNvPr>
        <xdr:cNvPicPr>
          <a:picLocks noChangeAspect="1"/>
        </xdr:cNvPicPr>
      </xdr:nvPicPr>
      <xdr:blipFill>
        <a:blip xmlns:r="http://schemas.openxmlformats.org/officeDocument/2006/relationships" r:embed="rId6"/>
        <a:stretch>
          <a:fillRect/>
        </a:stretch>
      </xdr:blipFill>
      <xdr:spPr>
        <a:xfrm>
          <a:off x="8972550" y="16983075"/>
          <a:ext cx="1643284" cy="1800000"/>
        </a:xfrm>
        <a:prstGeom prst="rect">
          <a:avLst/>
        </a:prstGeom>
      </xdr:spPr>
    </xdr:pic>
    <xdr:clientData/>
  </xdr:twoCellAnchor>
  <xdr:twoCellAnchor editAs="oneCell">
    <xdr:from>
      <xdr:col>11</xdr:col>
      <xdr:colOff>561975</xdr:colOff>
      <xdr:row>92</xdr:row>
      <xdr:rowOff>200025</xdr:rowOff>
    </xdr:from>
    <xdr:to>
      <xdr:col>14</xdr:col>
      <xdr:colOff>277740</xdr:colOff>
      <xdr:row>101</xdr:row>
      <xdr:rowOff>142650</xdr:rowOff>
    </xdr:to>
    <xdr:pic>
      <xdr:nvPicPr>
        <xdr:cNvPr id="32" name="Imagem 31">
          <a:extLst>
            <a:ext uri="{FF2B5EF4-FFF2-40B4-BE49-F238E27FC236}">
              <a16:creationId xmlns:a16="http://schemas.microsoft.com/office/drawing/2014/main" id="{A7813A6C-A979-4BE0-8C0C-75A097FE7A51}"/>
            </a:ext>
          </a:extLst>
        </xdr:cNvPr>
        <xdr:cNvPicPr>
          <a:picLocks noChangeAspect="1"/>
        </xdr:cNvPicPr>
      </xdr:nvPicPr>
      <xdr:blipFill>
        <a:blip xmlns:r="http://schemas.openxmlformats.org/officeDocument/2006/relationships" r:embed="rId2"/>
        <a:stretch>
          <a:fillRect/>
        </a:stretch>
      </xdr:blipFill>
      <xdr:spPr>
        <a:xfrm>
          <a:off x="7353300" y="19269075"/>
          <a:ext cx="1573140" cy="1800000"/>
        </a:xfrm>
        <a:prstGeom prst="rect">
          <a:avLst/>
        </a:prstGeom>
      </xdr:spPr>
    </xdr:pic>
    <xdr:clientData/>
  </xdr:twoCellAnchor>
  <xdr:twoCellAnchor editAs="oneCell">
    <xdr:from>
      <xdr:col>14</xdr:col>
      <xdr:colOff>304801</xdr:colOff>
      <xdr:row>92</xdr:row>
      <xdr:rowOff>200025</xdr:rowOff>
    </xdr:from>
    <xdr:to>
      <xdr:col>17</xdr:col>
      <xdr:colOff>176462</xdr:colOff>
      <xdr:row>101</xdr:row>
      <xdr:rowOff>142650</xdr:rowOff>
    </xdr:to>
    <xdr:pic>
      <xdr:nvPicPr>
        <xdr:cNvPr id="33" name="Imagem 32">
          <a:extLst>
            <a:ext uri="{FF2B5EF4-FFF2-40B4-BE49-F238E27FC236}">
              <a16:creationId xmlns:a16="http://schemas.microsoft.com/office/drawing/2014/main" id="{27029222-C54B-4BE5-96C3-C49206343087}"/>
            </a:ext>
          </a:extLst>
        </xdr:cNvPr>
        <xdr:cNvPicPr>
          <a:picLocks noChangeAspect="1"/>
        </xdr:cNvPicPr>
      </xdr:nvPicPr>
      <xdr:blipFill>
        <a:blip xmlns:r="http://schemas.openxmlformats.org/officeDocument/2006/relationships" r:embed="rId3"/>
        <a:stretch>
          <a:fillRect/>
        </a:stretch>
      </xdr:blipFill>
      <xdr:spPr>
        <a:xfrm>
          <a:off x="8953501" y="19269075"/>
          <a:ext cx="1700461" cy="1800000"/>
        </a:xfrm>
        <a:prstGeom prst="rect">
          <a:avLst/>
        </a:prstGeom>
      </xdr:spPr>
    </xdr:pic>
    <xdr:clientData/>
  </xdr:twoCellAnchor>
  <xdr:twoCellAnchor editAs="oneCell">
    <xdr:from>
      <xdr:col>17</xdr:col>
      <xdr:colOff>219075</xdr:colOff>
      <xdr:row>92</xdr:row>
      <xdr:rowOff>209550</xdr:rowOff>
    </xdr:from>
    <xdr:to>
      <xdr:col>19</xdr:col>
      <xdr:colOff>550053</xdr:colOff>
      <xdr:row>101</xdr:row>
      <xdr:rowOff>152175</xdr:rowOff>
    </xdr:to>
    <xdr:pic>
      <xdr:nvPicPr>
        <xdr:cNvPr id="34" name="Imagem 33">
          <a:extLst>
            <a:ext uri="{FF2B5EF4-FFF2-40B4-BE49-F238E27FC236}">
              <a16:creationId xmlns:a16="http://schemas.microsoft.com/office/drawing/2014/main" id="{05904505-2684-43AA-B770-ED926BA7AF94}"/>
            </a:ext>
          </a:extLst>
        </xdr:cNvPr>
        <xdr:cNvPicPr>
          <a:picLocks noChangeAspect="1"/>
        </xdr:cNvPicPr>
      </xdr:nvPicPr>
      <xdr:blipFill>
        <a:blip xmlns:r="http://schemas.openxmlformats.org/officeDocument/2006/relationships" r:embed="rId4"/>
        <a:stretch>
          <a:fillRect/>
        </a:stretch>
      </xdr:blipFill>
      <xdr:spPr>
        <a:xfrm>
          <a:off x="10696575" y="19278600"/>
          <a:ext cx="1550178" cy="1800000"/>
        </a:xfrm>
        <a:prstGeom prst="rect">
          <a:avLst/>
        </a:prstGeom>
      </xdr:spPr>
    </xdr:pic>
    <xdr:clientData/>
  </xdr:twoCellAnchor>
  <xdr:twoCellAnchor editAs="oneCell">
    <xdr:from>
      <xdr:col>11</xdr:col>
      <xdr:colOff>571500</xdr:colOff>
      <xdr:row>101</xdr:row>
      <xdr:rowOff>171450</xdr:rowOff>
    </xdr:from>
    <xdr:to>
      <xdr:col>14</xdr:col>
      <xdr:colOff>248075</xdr:colOff>
      <xdr:row>111</xdr:row>
      <xdr:rowOff>37875</xdr:rowOff>
    </xdr:to>
    <xdr:pic>
      <xdr:nvPicPr>
        <xdr:cNvPr id="35" name="Imagem 34">
          <a:extLst>
            <a:ext uri="{FF2B5EF4-FFF2-40B4-BE49-F238E27FC236}">
              <a16:creationId xmlns:a16="http://schemas.microsoft.com/office/drawing/2014/main" id="{01D52543-A322-4B52-BD3E-6DC2254F6E78}"/>
            </a:ext>
          </a:extLst>
        </xdr:cNvPr>
        <xdr:cNvPicPr>
          <a:picLocks noChangeAspect="1"/>
        </xdr:cNvPicPr>
      </xdr:nvPicPr>
      <xdr:blipFill>
        <a:blip xmlns:r="http://schemas.openxmlformats.org/officeDocument/2006/relationships" r:embed="rId5"/>
        <a:stretch>
          <a:fillRect/>
        </a:stretch>
      </xdr:blipFill>
      <xdr:spPr>
        <a:xfrm>
          <a:off x="7362825" y="21097875"/>
          <a:ext cx="1533950" cy="1800000"/>
        </a:xfrm>
        <a:prstGeom prst="rect">
          <a:avLst/>
        </a:prstGeom>
      </xdr:spPr>
    </xdr:pic>
    <xdr:clientData/>
  </xdr:twoCellAnchor>
  <xdr:twoCellAnchor editAs="oneCell">
    <xdr:from>
      <xdr:col>14</xdr:col>
      <xdr:colOff>295275</xdr:colOff>
      <xdr:row>101</xdr:row>
      <xdr:rowOff>171450</xdr:rowOff>
    </xdr:from>
    <xdr:to>
      <xdr:col>17</xdr:col>
      <xdr:colOff>109759</xdr:colOff>
      <xdr:row>111</xdr:row>
      <xdr:rowOff>37875</xdr:rowOff>
    </xdr:to>
    <xdr:pic>
      <xdr:nvPicPr>
        <xdr:cNvPr id="36" name="Imagem 35">
          <a:extLst>
            <a:ext uri="{FF2B5EF4-FFF2-40B4-BE49-F238E27FC236}">
              <a16:creationId xmlns:a16="http://schemas.microsoft.com/office/drawing/2014/main" id="{57E6A51F-FF36-47A6-9BC6-9FF1EB282178}"/>
            </a:ext>
          </a:extLst>
        </xdr:cNvPr>
        <xdr:cNvPicPr>
          <a:picLocks noChangeAspect="1"/>
        </xdr:cNvPicPr>
      </xdr:nvPicPr>
      <xdr:blipFill>
        <a:blip xmlns:r="http://schemas.openxmlformats.org/officeDocument/2006/relationships" r:embed="rId6"/>
        <a:stretch>
          <a:fillRect/>
        </a:stretch>
      </xdr:blipFill>
      <xdr:spPr>
        <a:xfrm>
          <a:off x="8943975" y="21097875"/>
          <a:ext cx="1643284" cy="1800000"/>
        </a:xfrm>
        <a:prstGeom prst="rect">
          <a:avLst/>
        </a:prstGeom>
      </xdr:spPr>
    </xdr:pic>
    <xdr:clientData/>
  </xdr:twoCellAnchor>
  <xdr:twoCellAnchor editAs="oneCell">
    <xdr:from>
      <xdr:col>11</xdr:col>
      <xdr:colOff>514350</xdr:colOff>
      <xdr:row>113</xdr:row>
      <xdr:rowOff>0</xdr:rowOff>
    </xdr:from>
    <xdr:to>
      <xdr:col>14</xdr:col>
      <xdr:colOff>230115</xdr:colOff>
      <xdr:row>122</xdr:row>
      <xdr:rowOff>28350</xdr:rowOff>
    </xdr:to>
    <xdr:pic>
      <xdr:nvPicPr>
        <xdr:cNvPr id="37" name="Imagem 36">
          <a:extLst>
            <a:ext uri="{FF2B5EF4-FFF2-40B4-BE49-F238E27FC236}">
              <a16:creationId xmlns:a16="http://schemas.microsoft.com/office/drawing/2014/main" id="{D1A1F912-D1BC-4847-BA73-0701C9B2500D}"/>
            </a:ext>
          </a:extLst>
        </xdr:cNvPr>
        <xdr:cNvPicPr>
          <a:picLocks noChangeAspect="1"/>
        </xdr:cNvPicPr>
      </xdr:nvPicPr>
      <xdr:blipFill>
        <a:blip xmlns:r="http://schemas.openxmlformats.org/officeDocument/2006/relationships" r:embed="rId2"/>
        <a:stretch>
          <a:fillRect/>
        </a:stretch>
      </xdr:blipFill>
      <xdr:spPr>
        <a:xfrm>
          <a:off x="7305675" y="23450550"/>
          <a:ext cx="1573140" cy="1800000"/>
        </a:xfrm>
        <a:prstGeom prst="rect">
          <a:avLst/>
        </a:prstGeom>
      </xdr:spPr>
    </xdr:pic>
    <xdr:clientData/>
  </xdr:twoCellAnchor>
  <xdr:twoCellAnchor editAs="oneCell">
    <xdr:from>
      <xdr:col>14</xdr:col>
      <xdr:colOff>257176</xdr:colOff>
      <xdr:row>113</xdr:row>
      <xdr:rowOff>0</xdr:rowOff>
    </xdr:from>
    <xdr:to>
      <xdr:col>17</xdr:col>
      <xdr:colOff>128837</xdr:colOff>
      <xdr:row>122</xdr:row>
      <xdr:rowOff>28350</xdr:rowOff>
    </xdr:to>
    <xdr:pic>
      <xdr:nvPicPr>
        <xdr:cNvPr id="38" name="Imagem 37">
          <a:extLst>
            <a:ext uri="{FF2B5EF4-FFF2-40B4-BE49-F238E27FC236}">
              <a16:creationId xmlns:a16="http://schemas.microsoft.com/office/drawing/2014/main" id="{BF32904B-003D-487A-9048-AB37D1BFF455}"/>
            </a:ext>
          </a:extLst>
        </xdr:cNvPr>
        <xdr:cNvPicPr>
          <a:picLocks noChangeAspect="1"/>
        </xdr:cNvPicPr>
      </xdr:nvPicPr>
      <xdr:blipFill>
        <a:blip xmlns:r="http://schemas.openxmlformats.org/officeDocument/2006/relationships" r:embed="rId3"/>
        <a:stretch>
          <a:fillRect/>
        </a:stretch>
      </xdr:blipFill>
      <xdr:spPr>
        <a:xfrm>
          <a:off x="8905876" y="23450550"/>
          <a:ext cx="1700461" cy="1800000"/>
        </a:xfrm>
        <a:prstGeom prst="rect">
          <a:avLst/>
        </a:prstGeom>
      </xdr:spPr>
    </xdr:pic>
    <xdr:clientData/>
  </xdr:twoCellAnchor>
  <xdr:twoCellAnchor editAs="oneCell">
    <xdr:from>
      <xdr:col>17</xdr:col>
      <xdr:colOff>171450</xdr:colOff>
      <xdr:row>113</xdr:row>
      <xdr:rowOff>9525</xdr:rowOff>
    </xdr:from>
    <xdr:to>
      <xdr:col>19</xdr:col>
      <xdr:colOff>502428</xdr:colOff>
      <xdr:row>122</xdr:row>
      <xdr:rowOff>37875</xdr:rowOff>
    </xdr:to>
    <xdr:pic>
      <xdr:nvPicPr>
        <xdr:cNvPr id="39" name="Imagem 38">
          <a:extLst>
            <a:ext uri="{FF2B5EF4-FFF2-40B4-BE49-F238E27FC236}">
              <a16:creationId xmlns:a16="http://schemas.microsoft.com/office/drawing/2014/main" id="{937A5BC2-8ABA-4E88-90E3-6C3C8BB55F8B}"/>
            </a:ext>
          </a:extLst>
        </xdr:cNvPr>
        <xdr:cNvPicPr>
          <a:picLocks noChangeAspect="1"/>
        </xdr:cNvPicPr>
      </xdr:nvPicPr>
      <xdr:blipFill>
        <a:blip xmlns:r="http://schemas.openxmlformats.org/officeDocument/2006/relationships" r:embed="rId4"/>
        <a:stretch>
          <a:fillRect/>
        </a:stretch>
      </xdr:blipFill>
      <xdr:spPr>
        <a:xfrm>
          <a:off x="10648950" y="23460075"/>
          <a:ext cx="1550178" cy="1800000"/>
        </a:xfrm>
        <a:prstGeom prst="rect">
          <a:avLst/>
        </a:prstGeom>
      </xdr:spPr>
    </xdr:pic>
    <xdr:clientData/>
  </xdr:twoCellAnchor>
  <xdr:twoCellAnchor editAs="oneCell">
    <xdr:from>
      <xdr:col>11</xdr:col>
      <xdr:colOff>523875</xdr:colOff>
      <xdr:row>122</xdr:row>
      <xdr:rowOff>57150</xdr:rowOff>
    </xdr:from>
    <xdr:to>
      <xdr:col>14</xdr:col>
      <xdr:colOff>200450</xdr:colOff>
      <xdr:row>131</xdr:row>
      <xdr:rowOff>114075</xdr:rowOff>
    </xdr:to>
    <xdr:pic>
      <xdr:nvPicPr>
        <xdr:cNvPr id="40" name="Imagem 39">
          <a:extLst>
            <a:ext uri="{FF2B5EF4-FFF2-40B4-BE49-F238E27FC236}">
              <a16:creationId xmlns:a16="http://schemas.microsoft.com/office/drawing/2014/main" id="{E2897AB0-0EE7-4818-A00B-A0E9D30AA016}"/>
            </a:ext>
          </a:extLst>
        </xdr:cNvPr>
        <xdr:cNvPicPr>
          <a:picLocks noChangeAspect="1"/>
        </xdr:cNvPicPr>
      </xdr:nvPicPr>
      <xdr:blipFill>
        <a:blip xmlns:r="http://schemas.openxmlformats.org/officeDocument/2006/relationships" r:embed="rId5"/>
        <a:stretch>
          <a:fillRect/>
        </a:stretch>
      </xdr:blipFill>
      <xdr:spPr>
        <a:xfrm>
          <a:off x="7315200" y="25279350"/>
          <a:ext cx="1533950" cy="1800000"/>
        </a:xfrm>
        <a:prstGeom prst="rect">
          <a:avLst/>
        </a:prstGeom>
      </xdr:spPr>
    </xdr:pic>
    <xdr:clientData/>
  </xdr:twoCellAnchor>
  <xdr:twoCellAnchor editAs="oneCell">
    <xdr:from>
      <xdr:col>14</xdr:col>
      <xdr:colOff>247650</xdr:colOff>
      <xdr:row>122</xdr:row>
      <xdr:rowOff>57150</xdr:rowOff>
    </xdr:from>
    <xdr:to>
      <xdr:col>17</xdr:col>
      <xdr:colOff>62134</xdr:colOff>
      <xdr:row>131</xdr:row>
      <xdr:rowOff>114075</xdr:rowOff>
    </xdr:to>
    <xdr:pic>
      <xdr:nvPicPr>
        <xdr:cNvPr id="41" name="Imagem 40">
          <a:extLst>
            <a:ext uri="{FF2B5EF4-FFF2-40B4-BE49-F238E27FC236}">
              <a16:creationId xmlns:a16="http://schemas.microsoft.com/office/drawing/2014/main" id="{AC7C7527-5E41-4612-8D28-6A46EE45FB59}"/>
            </a:ext>
          </a:extLst>
        </xdr:cNvPr>
        <xdr:cNvPicPr>
          <a:picLocks noChangeAspect="1"/>
        </xdr:cNvPicPr>
      </xdr:nvPicPr>
      <xdr:blipFill>
        <a:blip xmlns:r="http://schemas.openxmlformats.org/officeDocument/2006/relationships" r:embed="rId6"/>
        <a:stretch>
          <a:fillRect/>
        </a:stretch>
      </xdr:blipFill>
      <xdr:spPr>
        <a:xfrm>
          <a:off x="8896350" y="25279350"/>
          <a:ext cx="1643284" cy="18000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4B5FC4A6-CA86-4598-AD06-4A48D92ADF1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3</xdr:col>
      <xdr:colOff>508286</xdr:colOff>
      <xdr:row>14</xdr:row>
      <xdr:rowOff>0</xdr:rowOff>
    </xdr:from>
    <xdr:to>
      <xdr:col>10</xdr:col>
      <xdr:colOff>448958</xdr:colOff>
      <xdr:row>27</xdr:row>
      <xdr:rowOff>143690</xdr:rowOff>
    </xdr:to>
    <xdr:pic>
      <xdr:nvPicPr>
        <xdr:cNvPr id="3" name="Imagem 2">
          <a:extLst>
            <a:ext uri="{FF2B5EF4-FFF2-40B4-BE49-F238E27FC236}">
              <a16:creationId xmlns:a16="http://schemas.microsoft.com/office/drawing/2014/main" id="{71E2A561-8207-BA18-FF83-755FBEF9A17D}"/>
            </a:ext>
          </a:extLst>
        </xdr:cNvPr>
        <xdr:cNvPicPr>
          <a:picLocks noChangeAspect="1"/>
        </xdr:cNvPicPr>
      </xdr:nvPicPr>
      <xdr:blipFill>
        <a:blip xmlns:r="http://schemas.openxmlformats.org/officeDocument/2006/relationships" r:embed="rId2"/>
        <a:stretch>
          <a:fillRect/>
        </a:stretch>
      </xdr:blipFill>
      <xdr:spPr>
        <a:xfrm>
          <a:off x="2422811" y="3114675"/>
          <a:ext cx="4207872" cy="2677340"/>
        </a:xfrm>
        <a:prstGeom prst="rect">
          <a:avLst/>
        </a:prstGeom>
      </xdr:spPr>
    </xdr:pic>
    <xdr:clientData/>
  </xdr:twoCellAnchor>
  <xdr:twoCellAnchor editAs="oneCell">
    <xdr:from>
      <xdr:col>3</xdr:col>
      <xdr:colOff>495300</xdr:colOff>
      <xdr:row>34</xdr:row>
      <xdr:rowOff>57150</xdr:rowOff>
    </xdr:from>
    <xdr:to>
      <xdr:col>10</xdr:col>
      <xdr:colOff>435972</xdr:colOff>
      <xdr:row>48</xdr:row>
      <xdr:rowOff>10340</xdr:rowOff>
    </xdr:to>
    <xdr:pic>
      <xdr:nvPicPr>
        <xdr:cNvPr id="4" name="Imagem 3">
          <a:extLst>
            <a:ext uri="{FF2B5EF4-FFF2-40B4-BE49-F238E27FC236}">
              <a16:creationId xmlns:a16="http://schemas.microsoft.com/office/drawing/2014/main" id="{F6F6452F-59F6-486E-9B63-0FC65197E8B0}"/>
            </a:ext>
          </a:extLst>
        </xdr:cNvPr>
        <xdr:cNvPicPr>
          <a:picLocks noChangeAspect="1"/>
        </xdr:cNvPicPr>
      </xdr:nvPicPr>
      <xdr:blipFill>
        <a:blip xmlns:r="http://schemas.openxmlformats.org/officeDocument/2006/relationships" r:embed="rId2"/>
        <a:stretch>
          <a:fillRect/>
        </a:stretch>
      </xdr:blipFill>
      <xdr:spPr>
        <a:xfrm>
          <a:off x="2409825" y="7277100"/>
          <a:ext cx="4207872" cy="267734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2BA37D07-DFEE-4CA1-8410-5CAFC339BAA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66676</xdr:colOff>
      <xdr:row>60</xdr:row>
      <xdr:rowOff>104512</xdr:rowOff>
    </xdr:from>
    <xdr:ext cx="3190874" cy="1515608"/>
    <xdr:pic>
      <xdr:nvPicPr>
        <xdr:cNvPr id="5" name="Imagem 4">
          <a:extLst>
            <a:ext uri="{FF2B5EF4-FFF2-40B4-BE49-F238E27FC236}">
              <a16:creationId xmlns:a16="http://schemas.microsoft.com/office/drawing/2014/main" id="{D922F139-1B83-4727-BA34-C1A9B53D7724}"/>
            </a:ext>
          </a:extLst>
        </xdr:cNvPr>
        <xdr:cNvPicPr>
          <a:picLocks noChangeAspect="1"/>
        </xdr:cNvPicPr>
      </xdr:nvPicPr>
      <xdr:blipFill>
        <a:blip xmlns:r="http://schemas.openxmlformats.org/officeDocument/2006/relationships" r:embed="rId2"/>
        <a:stretch>
          <a:fillRect/>
        </a:stretch>
      </xdr:blipFill>
      <xdr:spPr>
        <a:xfrm>
          <a:off x="66676" y="16639912"/>
          <a:ext cx="3190874" cy="1515608"/>
        </a:xfrm>
        <a:prstGeom prst="rect">
          <a:avLst/>
        </a:prstGeom>
      </xdr:spPr>
    </xdr:pic>
    <xdr:clientData/>
  </xdr:oneCellAnchor>
  <xdr:oneCellAnchor>
    <xdr:from>
      <xdr:col>5</xdr:col>
      <xdr:colOff>304840</xdr:colOff>
      <xdr:row>55</xdr:row>
      <xdr:rowOff>104775</xdr:rowOff>
    </xdr:from>
    <xdr:ext cx="3201562" cy="2486959"/>
    <xdr:pic>
      <xdr:nvPicPr>
        <xdr:cNvPr id="6" name="Imagem 5">
          <a:extLst>
            <a:ext uri="{FF2B5EF4-FFF2-40B4-BE49-F238E27FC236}">
              <a16:creationId xmlns:a16="http://schemas.microsoft.com/office/drawing/2014/main" id="{42D387FE-DF93-40A0-89C8-ED95AFEEC80C}"/>
            </a:ext>
          </a:extLst>
        </xdr:cNvPr>
        <xdr:cNvPicPr>
          <a:picLocks noChangeAspect="1"/>
        </xdr:cNvPicPr>
      </xdr:nvPicPr>
      <xdr:blipFill>
        <a:blip xmlns:r="http://schemas.openxmlformats.org/officeDocument/2006/relationships" r:embed="rId3"/>
        <a:stretch>
          <a:fillRect/>
        </a:stretch>
      </xdr:blipFill>
      <xdr:spPr>
        <a:xfrm>
          <a:off x="3438565" y="15649575"/>
          <a:ext cx="3201562" cy="2486959"/>
        </a:xfrm>
        <a:prstGeom prst="rect">
          <a:avLst/>
        </a:prstGeom>
      </xdr:spPr>
    </xdr:pic>
    <xdr:clientData/>
  </xdr:oneCellAnchor>
  <xdr:twoCellAnchor editAs="oneCell">
    <xdr:from>
      <xdr:col>5</xdr:col>
      <xdr:colOff>142876</xdr:colOff>
      <xdr:row>77</xdr:row>
      <xdr:rowOff>19272</xdr:rowOff>
    </xdr:from>
    <xdr:to>
      <xdr:col>10</xdr:col>
      <xdr:colOff>504825</xdr:colOff>
      <xdr:row>88</xdr:row>
      <xdr:rowOff>115141</xdr:rowOff>
    </xdr:to>
    <xdr:pic>
      <xdr:nvPicPr>
        <xdr:cNvPr id="7" name="Imagem 6">
          <a:extLst>
            <a:ext uri="{FF2B5EF4-FFF2-40B4-BE49-F238E27FC236}">
              <a16:creationId xmlns:a16="http://schemas.microsoft.com/office/drawing/2014/main" id="{9EC3A97A-5CE4-232F-6474-FB4BF9B18BB2}"/>
            </a:ext>
          </a:extLst>
        </xdr:cNvPr>
        <xdr:cNvPicPr>
          <a:picLocks noChangeAspect="1"/>
        </xdr:cNvPicPr>
      </xdr:nvPicPr>
      <xdr:blipFill>
        <a:blip xmlns:r="http://schemas.openxmlformats.org/officeDocument/2006/relationships" r:embed="rId4"/>
        <a:stretch>
          <a:fillRect/>
        </a:stretch>
      </xdr:blipFill>
      <xdr:spPr>
        <a:xfrm>
          <a:off x="3276601" y="16078422"/>
          <a:ext cx="3409949" cy="219136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F0319C14-8BE2-4E0C-BCE6-C6DE9633F85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0</xdr:col>
      <xdr:colOff>76200</xdr:colOff>
      <xdr:row>15</xdr:row>
      <xdr:rowOff>102462</xdr:rowOff>
    </xdr:from>
    <xdr:ext cx="3752850" cy="2298257"/>
    <xdr:pic>
      <xdr:nvPicPr>
        <xdr:cNvPr id="7" name="Imagem 6">
          <a:extLst>
            <a:ext uri="{FF2B5EF4-FFF2-40B4-BE49-F238E27FC236}">
              <a16:creationId xmlns:a16="http://schemas.microsoft.com/office/drawing/2014/main" id="{C435577F-ACDB-447D-9AC0-CA3B258DA1C5}"/>
            </a:ext>
          </a:extLst>
        </xdr:cNvPr>
        <xdr:cNvPicPr>
          <a:picLocks noChangeAspect="1"/>
        </xdr:cNvPicPr>
      </xdr:nvPicPr>
      <xdr:blipFill>
        <a:blip xmlns:r="http://schemas.openxmlformats.org/officeDocument/2006/relationships" r:embed="rId2"/>
        <a:stretch>
          <a:fillRect/>
        </a:stretch>
      </xdr:blipFill>
      <xdr:spPr>
        <a:xfrm>
          <a:off x="76200" y="7627212"/>
          <a:ext cx="3752850" cy="2298257"/>
        </a:xfrm>
        <a:prstGeom prst="rect">
          <a:avLst/>
        </a:prstGeom>
      </xdr:spPr>
    </xdr:pic>
    <xdr:clientData/>
  </xdr:oneCellAnchor>
  <xdr:oneCellAnchor>
    <xdr:from>
      <xdr:col>0</xdr:col>
      <xdr:colOff>76200</xdr:colOff>
      <xdr:row>35</xdr:row>
      <xdr:rowOff>102462</xdr:rowOff>
    </xdr:from>
    <xdr:ext cx="3752850" cy="2298257"/>
    <xdr:pic>
      <xdr:nvPicPr>
        <xdr:cNvPr id="8" name="Imagem 7">
          <a:extLst>
            <a:ext uri="{FF2B5EF4-FFF2-40B4-BE49-F238E27FC236}">
              <a16:creationId xmlns:a16="http://schemas.microsoft.com/office/drawing/2014/main" id="{4FD6C2D1-41F6-4E6A-8F4F-D4887EC21B50}"/>
            </a:ext>
          </a:extLst>
        </xdr:cNvPr>
        <xdr:cNvPicPr>
          <a:picLocks noChangeAspect="1"/>
        </xdr:cNvPicPr>
      </xdr:nvPicPr>
      <xdr:blipFill>
        <a:blip xmlns:r="http://schemas.openxmlformats.org/officeDocument/2006/relationships" r:embed="rId2"/>
        <a:stretch>
          <a:fillRect/>
        </a:stretch>
      </xdr:blipFill>
      <xdr:spPr>
        <a:xfrm>
          <a:off x="76200" y="11541987"/>
          <a:ext cx="3752850" cy="2298257"/>
        </a:xfrm>
        <a:prstGeom prst="rect">
          <a:avLst/>
        </a:prstGeom>
      </xdr:spPr>
    </xdr:pic>
    <xdr:clientData/>
  </xdr:oneCellAnchor>
  <xdr:oneCellAnchor>
    <xdr:from>
      <xdr:col>0</xdr:col>
      <xdr:colOff>95250</xdr:colOff>
      <xdr:row>74</xdr:row>
      <xdr:rowOff>200025</xdr:rowOff>
    </xdr:from>
    <xdr:ext cx="4343598" cy="2362726"/>
    <xdr:pic>
      <xdr:nvPicPr>
        <xdr:cNvPr id="10" name="Imagem 9">
          <a:extLst>
            <a:ext uri="{FF2B5EF4-FFF2-40B4-BE49-F238E27FC236}">
              <a16:creationId xmlns:a16="http://schemas.microsoft.com/office/drawing/2014/main" id="{F85FC12D-0783-4265-B5F0-445963A8BE82}"/>
            </a:ext>
          </a:extLst>
        </xdr:cNvPr>
        <xdr:cNvPicPr>
          <a:picLocks noChangeAspect="1"/>
        </xdr:cNvPicPr>
      </xdr:nvPicPr>
      <xdr:blipFill>
        <a:blip xmlns:r="http://schemas.openxmlformats.org/officeDocument/2006/relationships" r:embed="rId3"/>
        <a:stretch>
          <a:fillRect/>
        </a:stretch>
      </xdr:blipFill>
      <xdr:spPr>
        <a:xfrm>
          <a:off x="95250" y="19640550"/>
          <a:ext cx="4343598" cy="2362726"/>
        </a:xfrm>
        <a:prstGeom prst="rect">
          <a:avLst/>
        </a:prstGeom>
      </xdr:spPr>
    </xdr:pic>
    <xdr:clientData/>
  </xdr:oneCellAnchor>
  <xdr:twoCellAnchor editAs="oneCell">
    <xdr:from>
      <xdr:col>3</xdr:col>
      <xdr:colOff>238126</xdr:colOff>
      <xdr:row>94</xdr:row>
      <xdr:rowOff>75109</xdr:rowOff>
    </xdr:from>
    <xdr:to>
      <xdr:col>10</xdr:col>
      <xdr:colOff>485776</xdr:colOff>
      <xdr:row>107</xdr:row>
      <xdr:rowOff>143843</xdr:rowOff>
    </xdr:to>
    <xdr:pic>
      <xdr:nvPicPr>
        <xdr:cNvPr id="11" name="Imagem 10">
          <a:extLst>
            <a:ext uri="{FF2B5EF4-FFF2-40B4-BE49-F238E27FC236}">
              <a16:creationId xmlns:a16="http://schemas.microsoft.com/office/drawing/2014/main" id="{C0E74CBE-B5C1-B458-CE42-8FB96841A05A}"/>
            </a:ext>
          </a:extLst>
        </xdr:cNvPr>
        <xdr:cNvPicPr>
          <a:picLocks noChangeAspect="1"/>
        </xdr:cNvPicPr>
      </xdr:nvPicPr>
      <xdr:blipFill>
        <a:blip xmlns:r="http://schemas.openxmlformats.org/officeDocument/2006/relationships" r:embed="rId4"/>
        <a:stretch>
          <a:fillRect/>
        </a:stretch>
      </xdr:blipFill>
      <xdr:spPr>
        <a:xfrm>
          <a:off x="2152651" y="19610884"/>
          <a:ext cx="4514850" cy="260238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5313C98E-2BC4-40B8-A4B0-794749E1A24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7.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1C16225F-1DDB-4666-9A58-D2640F83D6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11</xdr:col>
      <xdr:colOff>342900</xdr:colOff>
      <xdr:row>116</xdr:row>
      <xdr:rowOff>133350</xdr:rowOff>
    </xdr:from>
    <xdr:to>
      <xdr:col>17</xdr:col>
      <xdr:colOff>609106</xdr:colOff>
      <xdr:row>117</xdr:row>
      <xdr:rowOff>114276</xdr:rowOff>
    </xdr:to>
    <xdr:pic>
      <xdr:nvPicPr>
        <xdr:cNvPr id="3" name="Imagem 2">
          <a:extLst>
            <a:ext uri="{FF2B5EF4-FFF2-40B4-BE49-F238E27FC236}">
              <a16:creationId xmlns:a16="http://schemas.microsoft.com/office/drawing/2014/main" id="{4941DB1E-4E8A-44AF-94E3-C067394C2CE3}"/>
            </a:ext>
          </a:extLst>
        </xdr:cNvPr>
        <xdr:cNvPicPr>
          <a:picLocks noChangeAspect="1"/>
        </xdr:cNvPicPr>
      </xdr:nvPicPr>
      <xdr:blipFill>
        <a:blip xmlns:r="http://schemas.openxmlformats.org/officeDocument/2006/relationships" r:embed="rId2"/>
        <a:stretch>
          <a:fillRect/>
        </a:stretch>
      </xdr:blipFill>
      <xdr:spPr>
        <a:xfrm>
          <a:off x="7134225" y="24193500"/>
          <a:ext cx="3952381" cy="19047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54843A27-360A-4856-B886-8A9EDE6117B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C4015C43-439F-4194-B935-AF558C172DE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B6F2E7E0-C772-434E-AC9E-5E9415DCDA7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27D98A57-FD70-457B-A7DC-5A60F6555D8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2.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BF481970-B444-4B6D-95FF-DF381B82245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3.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8CE1C981-2319-4628-9088-D021B244C1A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11</xdr:col>
      <xdr:colOff>304800</xdr:colOff>
      <xdr:row>118</xdr:row>
      <xdr:rowOff>66675</xdr:rowOff>
    </xdr:from>
    <xdr:ext cx="4085714" cy="609524"/>
    <xdr:pic>
      <xdr:nvPicPr>
        <xdr:cNvPr id="4" name="Imagem 3">
          <a:extLst>
            <a:ext uri="{FF2B5EF4-FFF2-40B4-BE49-F238E27FC236}">
              <a16:creationId xmlns:a16="http://schemas.microsoft.com/office/drawing/2014/main" id="{0A1A89A3-A8D3-4F28-BC37-041AF8304953}"/>
            </a:ext>
          </a:extLst>
        </xdr:cNvPr>
        <xdr:cNvPicPr>
          <a:picLocks noChangeAspect="1"/>
        </xdr:cNvPicPr>
      </xdr:nvPicPr>
      <xdr:blipFill>
        <a:blip xmlns:r="http://schemas.openxmlformats.org/officeDocument/2006/relationships" r:embed="rId2"/>
        <a:stretch>
          <a:fillRect/>
        </a:stretch>
      </xdr:blipFill>
      <xdr:spPr>
        <a:xfrm>
          <a:off x="7096125" y="28536900"/>
          <a:ext cx="4085714" cy="609524"/>
        </a:xfrm>
        <a:prstGeom prst="rect">
          <a:avLst/>
        </a:prstGeom>
      </xdr:spPr>
    </xdr:pic>
    <xdr:clientData/>
  </xdr:oneCellAnchor>
</xdr:wsDr>
</file>

<file path=xl/drawings/drawing34.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D68A8D79-0833-4AA6-86D3-2069759905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5.xml><?xml version="1.0" encoding="utf-8"?>
<xdr:wsDr xmlns:xdr="http://schemas.openxmlformats.org/drawingml/2006/spreadsheetDrawing" xmlns:a="http://schemas.openxmlformats.org/drawingml/2006/main">
  <xdr:oneCellAnchor>
    <xdr:from>
      <xdr:col>0</xdr:col>
      <xdr:colOff>73668</xdr:colOff>
      <xdr:row>2</xdr:row>
      <xdr:rowOff>9525</xdr:rowOff>
    </xdr:from>
    <xdr:ext cx="6590810" cy="1619250"/>
    <xdr:pic>
      <xdr:nvPicPr>
        <xdr:cNvPr id="2" name="Imagem 1">
          <a:extLst>
            <a:ext uri="{FF2B5EF4-FFF2-40B4-BE49-F238E27FC236}">
              <a16:creationId xmlns:a16="http://schemas.microsoft.com/office/drawing/2014/main" id="{D740164D-2B62-4D7A-A263-1841FB8DA5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73668" y="409575"/>
          <a:ext cx="6590810" cy="1619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Tema1">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hyperlink" Target="javascript:__doPostBack('ctl00$MainContent$gvServicos$ctl28$lnkBtnCodigo','')" TargetMode="External"/><Relationship Id="rId1" Type="http://schemas.openxmlformats.org/officeDocument/2006/relationships/hyperlink" Target="javascript:__doPostBack('ctl00$MainContent$gvServicos$ctl16$lnkBtnCodigo','')"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hyperlink" Target="https://www.casamimosa.com.br/pressurizador-max-press-200-e-trifasico-de-220v-rowa-0005-0708/p?srsltid=AfmBOooq7ugJnMNiLh5kXvUsxVwvVHk3wbQZQWZDZKFtr_aWUhJi039_" TargetMode="External"/><Relationship Id="rId2" Type="http://schemas.openxmlformats.org/officeDocument/2006/relationships/hyperlink" Target="https://www.leroymerlin.com.br/pressurizadora-rowa-max-press-200-e-trifasica_1572396600?region=outros&amp;gad_source=1&amp;gad_campaignid=23727427416&amp;gclid=CjwKCAjwrNrQBhBjEiwAoR4VO1wAXJE3N6LQOPRHPmllIQGfyDS9V0a-aq62dh0MhD1cyaAVO-s6TxoCFroQAvD_BwE" TargetMode="External"/><Relationship Id="rId1" Type="http://schemas.openxmlformats.org/officeDocument/2006/relationships/hyperlink" Target="https://www.bombashopping.com.br/sistema-de-pressurizacao/pressostato/rowa-pressurizador-maxpress200e-trif-220v-naoincluitanque-0000000034155-p8822?utm_source=google&amp;utm_medium=cpc&amp;utm_campaign=lojavirtual&amp;utm_source=google&amp;utm_medium=cpc&amp;utm_campaign=V4_PMAX_Pressurizadores&amp;utm_content=&amp;utm_term=&amp;gad_source=1&amp;gad_campaignid=23747435746&amp;gclid=CjwKCAjwrNrQBhBjEiwAoR4VO1GPbcTz1XxDVKp4zxsfjhZIcn2rOxXryljAqEm8edq_Qp8rOCYAvhoCg9QQAvD_BwE" TargetMode="External"/><Relationship Id="rId5" Type="http://schemas.openxmlformats.org/officeDocument/2006/relationships/drawing" Target="../drawings/drawing10.xml"/><Relationship Id="rId4"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J2424"/>
  <sheetViews>
    <sheetView topLeftCell="A873" workbookViewId="0">
      <selection activeCell="A1116" sqref="A1116"/>
    </sheetView>
  </sheetViews>
  <sheetFormatPr baseColWidth="10" defaultColWidth="8.83203125" defaultRowHeight="11"/>
  <cols>
    <col min="1" max="1" width="8.83203125" style="72" customWidth="1"/>
    <col min="2" max="2" width="62.1640625" style="289" customWidth="1"/>
    <col min="3" max="3" width="5.5" style="286" customWidth="1"/>
    <col min="4" max="4" width="10.6640625" style="735" customWidth="1"/>
    <col min="5" max="5" width="3.1640625" style="735" customWidth="1"/>
    <col min="6" max="6" width="8.83203125" style="84" customWidth="1"/>
    <col min="7" max="7" width="5.83203125" style="84" customWidth="1"/>
    <col min="8" max="8" width="11.1640625" style="305" customWidth="1"/>
    <col min="9" max="9" width="15.5" style="664" customWidth="1"/>
    <col min="10" max="10" width="8.83203125" style="84" customWidth="1"/>
    <col min="11" max="11" width="3" style="84" customWidth="1"/>
    <col min="12" max="12" width="7.6640625" style="84" customWidth="1"/>
    <col min="13" max="13" width="8.83203125" style="84" customWidth="1"/>
    <col min="14" max="14" width="12.33203125" style="84" customWidth="1"/>
    <col min="15" max="15" width="12.5" style="97" customWidth="1"/>
    <col min="16" max="16" width="6" style="97" customWidth="1"/>
    <col min="17" max="17" width="8.83203125" style="288"/>
    <col min="18" max="18" width="8.83203125" style="84"/>
    <col min="19" max="19" width="9.1640625" style="84" customWidth="1"/>
    <col min="20" max="20" width="11.33203125" style="289" customWidth="1"/>
    <col min="21" max="22" width="8.83203125" style="84"/>
    <col min="23" max="23" width="10.5" style="84" bestFit="1" customWidth="1"/>
    <col min="24" max="16384" width="8.83203125" style="84"/>
  </cols>
  <sheetData>
    <row r="1" spans="1:20">
      <c r="A1" s="282"/>
      <c r="B1" s="284" t="s">
        <v>5995</v>
      </c>
      <c r="C1" s="285"/>
      <c r="D1" s="664"/>
      <c r="E1" s="664"/>
      <c r="F1" s="286"/>
      <c r="G1" s="60"/>
      <c r="H1" s="301" t="s">
        <v>5996</v>
      </c>
      <c r="I1" s="190" t="s">
        <v>5997</v>
      </c>
      <c r="J1" s="98">
        <v>1</v>
      </c>
      <c r="K1" s="98"/>
      <c r="M1" s="287" t="s">
        <v>5998</v>
      </c>
      <c r="N1" s="97">
        <v>0</v>
      </c>
      <c r="O1" s="61" t="s">
        <v>5999</v>
      </c>
      <c r="P1" s="61"/>
    </row>
    <row r="2" spans="1:20" ht="12">
      <c r="A2" s="282"/>
      <c r="B2" s="62" t="s">
        <v>44185</v>
      </c>
      <c r="C2" s="285"/>
      <c r="D2" s="81"/>
      <c r="E2" s="664"/>
      <c r="F2" s="286"/>
      <c r="G2" s="62"/>
      <c r="H2" s="302"/>
      <c r="I2" s="190" t="s">
        <v>6000</v>
      </c>
      <c r="J2" s="98">
        <v>1</v>
      </c>
      <c r="K2" s="98"/>
      <c r="M2" s="290" t="s">
        <v>6001</v>
      </c>
      <c r="N2" s="99">
        <v>122</v>
      </c>
      <c r="O2" s="291" t="s">
        <v>6002</v>
      </c>
      <c r="P2" s="291"/>
    </row>
    <row r="3" spans="1:20">
      <c r="A3" s="282"/>
      <c r="B3" s="284"/>
      <c r="C3" s="285"/>
      <c r="D3" s="664"/>
      <c r="E3" s="81" t="s">
        <v>30419</v>
      </c>
      <c r="F3" s="286"/>
      <c r="G3" s="292"/>
      <c r="H3" s="303"/>
      <c r="I3" s="190" t="s">
        <v>6003</v>
      </c>
      <c r="J3" s="98">
        <v>1</v>
      </c>
      <c r="K3" s="98"/>
      <c r="M3" s="292" t="s">
        <v>1</v>
      </c>
      <c r="N3" s="100">
        <v>7380134.3600000087</v>
      </c>
      <c r="O3" s="61" t="s">
        <v>6004</v>
      </c>
      <c r="P3" s="61"/>
    </row>
    <row r="4" spans="1:20">
      <c r="A4" s="282"/>
      <c r="B4" s="284"/>
      <c r="C4" s="285"/>
      <c r="D4" s="664"/>
      <c r="E4" s="664"/>
      <c r="F4" s="286"/>
      <c r="G4" s="292"/>
      <c r="H4" s="303"/>
      <c r="I4" s="190"/>
      <c r="J4" s="98"/>
      <c r="K4" s="98"/>
      <c r="L4" s="476" t="s">
        <v>6005</v>
      </c>
      <c r="M4" s="655"/>
      <c r="N4" s="656"/>
      <c r="O4" s="657"/>
      <c r="P4" s="658"/>
      <c r="Q4" s="396"/>
    </row>
    <row r="5" spans="1:20" ht="24">
      <c r="A5" s="659" t="s">
        <v>6006</v>
      </c>
      <c r="B5" s="660" t="s">
        <v>5</v>
      </c>
      <c r="C5" s="661" t="s">
        <v>6</v>
      </c>
      <c r="D5" s="652" t="s">
        <v>6007</v>
      </c>
      <c r="E5" s="717" t="s">
        <v>118</v>
      </c>
      <c r="H5" s="718" t="s">
        <v>28475</v>
      </c>
      <c r="J5" s="293"/>
      <c r="K5" s="293"/>
      <c r="L5" s="861" t="s">
        <v>6008</v>
      </c>
      <c r="M5" s="862"/>
      <c r="N5" s="862"/>
      <c r="O5" s="862"/>
      <c r="P5" s="863"/>
      <c r="Q5" s="864"/>
      <c r="R5" s="864"/>
    </row>
    <row r="6" spans="1:20" ht="13">
      <c r="A6" s="283"/>
      <c r="B6" s="300" t="s">
        <v>6009</v>
      </c>
      <c r="C6" s="283"/>
      <c r="D6" s="82"/>
      <c r="E6" s="719"/>
      <c r="F6" s="720"/>
      <c r="H6" s="177"/>
      <c r="J6" s="294"/>
      <c r="K6" s="295"/>
      <c r="O6" s="662"/>
      <c r="P6" s="662"/>
      <c r="Q6" s="72"/>
      <c r="R6" s="291"/>
      <c r="S6" s="295"/>
      <c r="T6" s="147"/>
    </row>
    <row r="7" spans="1:20">
      <c r="A7" s="71" t="s">
        <v>6010</v>
      </c>
      <c r="B7" s="67" t="s">
        <v>6011</v>
      </c>
      <c r="C7" s="71" t="s">
        <v>11</v>
      </c>
      <c r="D7" s="79">
        <v>10.06</v>
      </c>
      <c r="E7" s="663">
        <v>1</v>
      </c>
      <c r="F7" s="720">
        <v>22.33</v>
      </c>
      <c r="G7" s="84" t="s">
        <v>6012</v>
      </c>
      <c r="H7" s="220">
        <v>10.06</v>
      </c>
      <c r="J7" s="294"/>
      <c r="K7" s="295"/>
      <c r="O7" s="289"/>
      <c r="P7" s="289"/>
      <c r="Q7" s="72"/>
      <c r="R7" s="291"/>
      <c r="S7" s="295"/>
      <c r="T7" s="218"/>
    </row>
    <row r="8" spans="1:20">
      <c r="A8" s="71" t="s">
        <v>6075</v>
      </c>
      <c r="B8" s="67" t="s">
        <v>6076</v>
      </c>
      <c r="C8" s="71" t="s">
        <v>11</v>
      </c>
      <c r="D8" s="79">
        <v>10.39</v>
      </c>
      <c r="E8" s="663">
        <v>1</v>
      </c>
      <c r="F8" s="720">
        <v>23.07</v>
      </c>
      <c r="G8" s="84" t="s">
        <v>6012</v>
      </c>
      <c r="H8" s="221">
        <v>10.39</v>
      </c>
      <c r="J8" s="294"/>
      <c r="K8" s="295"/>
      <c r="O8" s="289"/>
      <c r="P8" s="289"/>
      <c r="Q8" s="72"/>
      <c r="R8" s="291"/>
      <c r="S8" s="295"/>
      <c r="T8" s="147"/>
    </row>
    <row r="9" spans="1:20">
      <c r="A9" s="71" t="s">
        <v>6019</v>
      </c>
      <c r="B9" s="67" t="s">
        <v>6020</v>
      </c>
      <c r="C9" s="71" t="s">
        <v>11</v>
      </c>
      <c r="D9" s="79">
        <v>10.27</v>
      </c>
      <c r="E9" s="663">
        <v>1</v>
      </c>
      <c r="F9" s="720">
        <v>22.8</v>
      </c>
      <c r="G9" s="84" t="s">
        <v>6012</v>
      </c>
      <c r="H9" s="221">
        <v>10.27</v>
      </c>
      <c r="J9" s="294"/>
      <c r="K9" s="295"/>
      <c r="O9" s="289"/>
      <c r="P9" s="289"/>
      <c r="Q9" s="72"/>
      <c r="R9" s="291"/>
      <c r="S9" s="295"/>
      <c r="T9" s="147"/>
    </row>
    <row r="10" spans="1:20">
      <c r="A10" s="71" t="s">
        <v>6029</v>
      </c>
      <c r="B10" s="67" t="s">
        <v>6030</v>
      </c>
      <c r="C10" s="71" t="s">
        <v>11</v>
      </c>
      <c r="D10" s="79">
        <v>10.38</v>
      </c>
      <c r="E10" s="663">
        <v>1</v>
      </c>
      <c r="F10" s="720">
        <v>23.04</v>
      </c>
      <c r="G10" s="84" t="s">
        <v>6012</v>
      </c>
      <c r="H10" s="221">
        <v>10.38</v>
      </c>
      <c r="J10" s="294"/>
      <c r="K10" s="295"/>
      <c r="O10" s="289"/>
      <c r="P10" s="289"/>
      <c r="Q10" s="72"/>
      <c r="R10" s="291"/>
      <c r="S10" s="295"/>
      <c r="T10" s="147"/>
    </row>
    <row r="11" spans="1:20">
      <c r="A11" s="71" t="s">
        <v>6081</v>
      </c>
      <c r="B11" s="67" t="s">
        <v>6082</v>
      </c>
      <c r="C11" s="71" t="s">
        <v>11</v>
      </c>
      <c r="D11" s="79">
        <v>10.15</v>
      </c>
      <c r="E11" s="663">
        <v>1</v>
      </c>
      <c r="F11" s="720">
        <v>22.53</v>
      </c>
      <c r="G11" s="84" t="s">
        <v>6012</v>
      </c>
      <c r="H11" s="221">
        <v>10.15</v>
      </c>
      <c r="J11" s="294"/>
      <c r="K11" s="295"/>
      <c r="O11" s="289"/>
      <c r="P11" s="289"/>
      <c r="Q11" s="72"/>
      <c r="R11" s="291"/>
      <c r="S11" s="295"/>
      <c r="T11" s="147"/>
    </row>
    <row r="12" spans="1:20">
      <c r="A12" s="71" t="s">
        <v>6033</v>
      </c>
      <c r="B12" s="67" t="s">
        <v>6034</v>
      </c>
      <c r="C12" s="71" t="s">
        <v>11</v>
      </c>
      <c r="D12" s="79">
        <v>10.77</v>
      </c>
      <c r="E12" s="663">
        <v>1</v>
      </c>
      <c r="F12" s="720">
        <v>23.91</v>
      </c>
      <c r="G12" s="84" t="s">
        <v>6012</v>
      </c>
      <c r="H12" s="221">
        <v>10.77</v>
      </c>
      <c r="J12" s="294"/>
      <c r="K12" s="295"/>
      <c r="O12" s="289"/>
      <c r="P12" s="289"/>
      <c r="Q12" s="72"/>
      <c r="R12" s="291"/>
      <c r="S12" s="295"/>
      <c r="T12" s="147"/>
    </row>
    <row r="13" spans="1:20">
      <c r="A13" s="71" t="s">
        <v>6047</v>
      </c>
      <c r="B13" s="67" t="s">
        <v>6048</v>
      </c>
      <c r="C13" s="71" t="s">
        <v>11</v>
      </c>
      <c r="D13" s="79">
        <v>10.16</v>
      </c>
      <c r="E13" s="663">
        <v>1</v>
      </c>
      <c r="F13" s="720">
        <v>22.56</v>
      </c>
      <c r="G13" s="84" t="s">
        <v>6012</v>
      </c>
      <c r="H13" s="221">
        <v>10.16</v>
      </c>
      <c r="J13" s="294"/>
      <c r="K13" s="295"/>
      <c r="O13" s="289"/>
      <c r="P13" s="289"/>
      <c r="Q13" s="72"/>
      <c r="S13" s="295"/>
      <c r="T13" s="147"/>
    </row>
    <row r="14" spans="1:20">
      <c r="A14" s="71" t="s">
        <v>6077</v>
      </c>
      <c r="B14" s="67" t="s">
        <v>6078</v>
      </c>
      <c r="C14" s="71" t="s">
        <v>11</v>
      </c>
      <c r="D14" s="79">
        <v>9.65</v>
      </c>
      <c r="E14" s="663">
        <v>1</v>
      </c>
      <c r="F14" s="720">
        <v>21.42</v>
      </c>
      <c r="G14" s="84" t="s">
        <v>6012</v>
      </c>
      <c r="H14" s="221">
        <v>9.65</v>
      </c>
      <c r="J14" s="294"/>
      <c r="K14" s="295"/>
      <c r="O14" s="289"/>
      <c r="P14" s="289"/>
      <c r="Q14" s="72"/>
      <c r="R14" s="291"/>
      <c r="S14" s="295"/>
      <c r="T14" s="147"/>
    </row>
    <row r="15" spans="1:20">
      <c r="A15" s="71" t="s">
        <v>6079</v>
      </c>
      <c r="B15" s="67" t="s">
        <v>6080</v>
      </c>
      <c r="C15" s="71" t="s">
        <v>11</v>
      </c>
      <c r="D15" s="79">
        <v>10.27</v>
      </c>
      <c r="E15" s="663">
        <v>1</v>
      </c>
      <c r="F15" s="720">
        <v>22.8</v>
      </c>
      <c r="G15" s="84" t="s">
        <v>6012</v>
      </c>
      <c r="H15" s="221">
        <v>10.27</v>
      </c>
      <c r="J15" s="294"/>
      <c r="K15" s="295"/>
      <c r="O15" s="289"/>
      <c r="P15" s="289"/>
      <c r="Q15" s="72"/>
      <c r="R15" s="291"/>
      <c r="S15" s="295"/>
      <c r="T15" s="147"/>
    </row>
    <row r="16" spans="1:20">
      <c r="A16" s="71" t="s">
        <v>6063</v>
      </c>
      <c r="B16" s="67" t="s">
        <v>6064</v>
      </c>
      <c r="C16" s="71" t="s">
        <v>11</v>
      </c>
      <c r="D16" s="79">
        <v>10.27</v>
      </c>
      <c r="E16" s="663">
        <v>1</v>
      </c>
      <c r="F16" s="720">
        <v>22.8</v>
      </c>
      <c r="G16" s="84" t="s">
        <v>6012</v>
      </c>
      <c r="H16" s="221">
        <v>10.27</v>
      </c>
      <c r="J16" s="294"/>
      <c r="K16" s="295"/>
      <c r="O16" s="289"/>
      <c r="P16" s="289"/>
      <c r="Q16" s="72"/>
      <c r="R16" s="291"/>
      <c r="S16" s="295"/>
      <c r="T16" s="147"/>
    </row>
    <row r="17" spans="1:20">
      <c r="A17" s="71" t="s">
        <v>6025</v>
      </c>
      <c r="B17" s="67" t="s">
        <v>6026</v>
      </c>
      <c r="C17" s="71" t="s">
        <v>11</v>
      </c>
      <c r="D17" s="79">
        <v>11.53</v>
      </c>
      <c r="E17" s="663">
        <v>1</v>
      </c>
      <c r="F17" s="720">
        <v>25.6</v>
      </c>
      <c r="G17" s="84" t="s">
        <v>6012</v>
      </c>
      <c r="H17" s="221">
        <v>11.53</v>
      </c>
      <c r="J17" s="294"/>
      <c r="K17" s="295"/>
      <c r="O17" s="289"/>
      <c r="P17" s="289"/>
      <c r="Q17" s="72"/>
      <c r="R17" s="291"/>
      <c r="S17" s="295"/>
      <c r="T17" s="222"/>
    </row>
    <row r="18" spans="1:20">
      <c r="A18" s="71" t="s">
        <v>6069</v>
      </c>
      <c r="B18" s="67" t="s">
        <v>6070</v>
      </c>
      <c r="C18" s="71" t="s">
        <v>11</v>
      </c>
      <c r="D18" s="79">
        <v>9.65</v>
      </c>
      <c r="E18" s="663">
        <v>1</v>
      </c>
      <c r="F18" s="720">
        <v>21.42</v>
      </c>
      <c r="G18" s="84" t="s">
        <v>6012</v>
      </c>
      <c r="H18" s="221">
        <v>9.65</v>
      </c>
      <c r="J18" s="294"/>
      <c r="K18" s="295"/>
      <c r="O18" s="289"/>
      <c r="P18" s="289"/>
      <c r="Q18" s="72"/>
      <c r="R18" s="291"/>
      <c r="S18" s="295"/>
      <c r="T18" s="147"/>
    </row>
    <row r="19" spans="1:20">
      <c r="A19" s="71" t="s">
        <v>6053</v>
      </c>
      <c r="B19" s="67" t="s">
        <v>6054</v>
      </c>
      <c r="C19" s="71" t="s">
        <v>11</v>
      </c>
      <c r="D19" s="79">
        <v>10.69</v>
      </c>
      <c r="E19" s="663">
        <v>1</v>
      </c>
      <c r="F19" s="720">
        <v>23.73</v>
      </c>
      <c r="G19" s="84" t="s">
        <v>6012</v>
      </c>
      <c r="H19" s="221">
        <v>10.69</v>
      </c>
      <c r="J19" s="294"/>
      <c r="K19" s="295"/>
      <c r="O19" s="289"/>
      <c r="P19" s="289"/>
      <c r="Q19" s="72"/>
      <c r="R19" s="291"/>
      <c r="S19" s="295"/>
      <c r="T19" s="147"/>
    </row>
    <row r="20" spans="1:20">
      <c r="A20" s="71" t="s">
        <v>6073</v>
      </c>
      <c r="B20" s="67" t="s">
        <v>6074</v>
      </c>
      <c r="C20" s="71" t="s">
        <v>11</v>
      </c>
      <c r="D20" s="79">
        <v>12.17</v>
      </c>
      <c r="E20" s="663">
        <v>1</v>
      </c>
      <c r="F20" s="720">
        <v>27.02</v>
      </c>
      <c r="G20" s="84" t="s">
        <v>6012</v>
      </c>
      <c r="H20" s="221">
        <v>12.17</v>
      </c>
      <c r="J20" s="294"/>
      <c r="K20" s="295"/>
      <c r="O20" s="289"/>
      <c r="P20" s="289"/>
      <c r="Q20" s="72"/>
      <c r="R20" s="291"/>
      <c r="S20" s="295"/>
      <c r="T20" s="147"/>
    </row>
    <row r="21" spans="1:20">
      <c r="A21" s="71" t="s">
        <v>6013</v>
      </c>
      <c r="B21" s="67" t="s">
        <v>6014</v>
      </c>
      <c r="C21" s="71" t="s">
        <v>11</v>
      </c>
      <c r="D21" s="79">
        <v>14.54</v>
      </c>
      <c r="E21" s="663">
        <v>1</v>
      </c>
      <c r="F21" s="720">
        <v>32.28</v>
      </c>
      <c r="G21" s="84" t="s">
        <v>6012</v>
      </c>
      <c r="H21" s="221">
        <v>14.54</v>
      </c>
      <c r="J21" s="294"/>
      <c r="K21" s="295"/>
      <c r="O21" s="289"/>
      <c r="P21" s="289"/>
      <c r="Q21" s="72"/>
      <c r="R21" s="291"/>
      <c r="S21" s="295"/>
      <c r="T21" s="147"/>
    </row>
    <row r="22" spans="1:20">
      <c r="A22" s="71" t="s">
        <v>6017</v>
      </c>
      <c r="B22" s="67" t="s">
        <v>6018</v>
      </c>
      <c r="C22" s="71" t="s">
        <v>11</v>
      </c>
      <c r="D22" s="79">
        <v>12.83</v>
      </c>
      <c r="E22" s="663">
        <v>1</v>
      </c>
      <c r="F22" s="720">
        <v>28.48</v>
      </c>
      <c r="G22" s="84" t="s">
        <v>6012</v>
      </c>
      <c r="H22" s="221">
        <v>12.83</v>
      </c>
      <c r="J22" s="294"/>
      <c r="K22" s="295"/>
      <c r="O22" s="289"/>
      <c r="P22" s="289"/>
      <c r="Q22" s="72"/>
      <c r="R22" s="291"/>
      <c r="S22" s="295"/>
      <c r="T22" s="147"/>
    </row>
    <row r="23" spans="1:20">
      <c r="A23" s="71" t="s">
        <v>6023</v>
      </c>
      <c r="B23" s="67" t="s">
        <v>6024</v>
      </c>
      <c r="C23" s="71" t="s">
        <v>11</v>
      </c>
      <c r="D23" s="79">
        <v>13.07</v>
      </c>
      <c r="E23" s="663">
        <v>1</v>
      </c>
      <c r="F23" s="720">
        <v>29.02</v>
      </c>
      <c r="G23" s="84" t="s">
        <v>6012</v>
      </c>
      <c r="H23" s="221">
        <v>13.07</v>
      </c>
      <c r="J23" s="294"/>
      <c r="K23" s="295"/>
      <c r="O23" s="289"/>
      <c r="P23" s="289"/>
      <c r="Q23" s="72"/>
      <c r="R23" s="291"/>
      <c r="S23" s="295"/>
      <c r="T23" s="147"/>
    </row>
    <row r="24" spans="1:20">
      <c r="A24" s="71" t="s">
        <v>6021</v>
      </c>
      <c r="B24" s="67" t="s">
        <v>6022</v>
      </c>
      <c r="C24" s="71" t="s">
        <v>11</v>
      </c>
      <c r="D24" s="79">
        <v>16.89</v>
      </c>
      <c r="E24" s="663">
        <v>1</v>
      </c>
      <c r="F24" s="720">
        <v>37.5</v>
      </c>
      <c r="G24" s="84" t="s">
        <v>6012</v>
      </c>
      <c r="H24" s="221">
        <v>16.89</v>
      </c>
      <c r="J24" s="294"/>
      <c r="K24" s="295"/>
      <c r="O24" s="289"/>
      <c r="P24" s="289"/>
      <c r="Q24" s="72"/>
      <c r="R24" s="291"/>
      <c r="S24" s="295"/>
      <c r="T24" s="147"/>
    </row>
    <row r="25" spans="1:20">
      <c r="A25" s="71" t="s">
        <v>6027</v>
      </c>
      <c r="B25" s="67" t="s">
        <v>6028</v>
      </c>
      <c r="C25" s="71" t="s">
        <v>11</v>
      </c>
      <c r="D25" s="79">
        <v>12.58</v>
      </c>
      <c r="E25" s="663">
        <v>1</v>
      </c>
      <c r="F25" s="720">
        <v>27.93</v>
      </c>
      <c r="G25" s="84" t="s">
        <v>6012</v>
      </c>
      <c r="H25" s="221">
        <v>12.58</v>
      </c>
      <c r="J25" s="294"/>
      <c r="K25" s="295"/>
      <c r="O25" s="289"/>
      <c r="P25" s="289"/>
      <c r="Q25" s="72"/>
      <c r="R25" s="291"/>
      <c r="S25" s="295"/>
      <c r="T25" s="147"/>
    </row>
    <row r="26" spans="1:20">
      <c r="A26" s="71" t="s">
        <v>6015</v>
      </c>
      <c r="B26" s="67" t="s">
        <v>6016</v>
      </c>
      <c r="C26" s="71" t="s">
        <v>11</v>
      </c>
      <c r="D26" s="79">
        <v>12.11</v>
      </c>
      <c r="E26" s="663">
        <v>1</v>
      </c>
      <c r="F26" s="720">
        <v>26.88</v>
      </c>
      <c r="G26" s="84" t="s">
        <v>6012</v>
      </c>
      <c r="H26" s="221">
        <v>12.11</v>
      </c>
      <c r="J26" s="294"/>
      <c r="K26" s="295"/>
      <c r="O26" s="289"/>
      <c r="P26" s="289"/>
      <c r="Q26" s="72"/>
      <c r="R26" s="291"/>
      <c r="S26" s="295"/>
      <c r="T26" s="147"/>
    </row>
    <row r="27" spans="1:20">
      <c r="A27" s="71" t="s">
        <v>6031</v>
      </c>
      <c r="B27" s="67" t="s">
        <v>6032</v>
      </c>
      <c r="C27" s="71" t="s">
        <v>11</v>
      </c>
      <c r="D27" s="79">
        <v>12.95</v>
      </c>
      <c r="E27" s="663">
        <v>1</v>
      </c>
      <c r="F27" s="720">
        <v>28.75</v>
      </c>
      <c r="G27" s="84" t="s">
        <v>6012</v>
      </c>
      <c r="H27" s="221">
        <v>12.95</v>
      </c>
      <c r="J27" s="294"/>
      <c r="K27" s="295"/>
      <c r="O27" s="289"/>
      <c r="P27" s="289"/>
      <c r="Q27" s="72"/>
      <c r="R27" s="291"/>
      <c r="S27" s="295"/>
      <c r="T27" s="147"/>
    </row>
    <row r="28" spans="1:20">
      <c r="A28" s="71" t="s">
        <v>6035</v>
      </c>
      <c r="B28" s="67" t="s">
        <v>6036</v>
      </c>
      <c r="C28" s="71" t="s">
        <v>11</v>
      </c>
      <c r="D28" s="79">
        <v>12.11</v>
      </c>
      <c r="E28" s="663">
        <v>1</v>
      </c>
      <c r="F28" s="720">
        <v>26.88</v>
      </c>
      <c r="G28" s="84" t="s">
        <v>6012</v>
      </c>
      <c r="H28" s="221">
        <v>12.11</v>
      </c>
      <c r="J28" s="294"/>
      <c r="K28" s="295"/>
      <c r="O28" s="289"/>
      <c r="P28" s="289"/>
      <c r="Q28" s="72"/>
      <c r="R28" s="291"/>
      <c r="S28" s="295"/>
      <c r="T28" s="147"/>
    </row>
    <row r="29" spans="1:20">
      <c r="A29" s="71" t="s">
        <v>6037</v>
      </c>
      <c r="B29" s="67" t="s">
        <v>6038</v>
      </c>
      <c r="C29" s="71" t="s">
        <v>11</v>
      </c>
      <c r="D29" s="79">
        <v>12.11</v>
      </c>
      <c r="E29" s="663">
        <v>1</v>
      </c>
      <c r="F29" s="720">
        <v>26.88</v>
      </c>
      <c r="G29" s="84" t="s">
        <v>6012</v>
      </c>
      <c r="H29" s="221">
        <v>12.11</v>
      </c>
      <c r="J29" s="294"/>
      <c r="K29" s="295"/>
      <c r="O29" s="289"/>
      <c r="P29" s="289"/>
      <c r="Q29" s="72"/>
      <c r="R29" s="291"/>
      <c r="S29" s="295"/>
      <c r="T29" s="147"/>
    </row>
    <row r="30" spans="1:20">
      <c r="A30" s="71" t="s">
        <v>6039</v>
      </c>
      <c r="B30" s="67" t="s">
        <v>6040</v>
      </c>
      <c r="C30" s="71" t="s">
        <v>11</v>
      </c>
      <c r="D30" s="79">
        <v>10.96</v>
      </c>
      <c r="E30" s="663">
        <v>1</v>
      </c>
      <c r="F30" s="720">
        <v>24.33</v>
      </c>
      <c r="G30" s="84" t="s">
        <v>6012</v>
      </c>
      <c r="H30" s="221">
        <v>10.96</v>
      </c>
      <c r="J30" s="294"/>
      <c r="K30" s="295"/>
      <c r="O30" s="289"/>
      <c r="P30" s="289"/>
      <c r="Q30" s="72"/>
      <c r="R30" s="291"/>
      <c r="S30" s="295"/>
      <c r="T30" s="147"/>
    </row>
    <row r="31" spans="1:20">
      <c r="A31" s="71" t="s">
        <v>6041</v>
      </c>
      <c r="B31" s="67" t="s">
        <v>6042</v>
      </c>
      <c r="C31" s="71" t="s">
        <v>11</v>
      </c>
      <c r="D31" s="79">
        <v>14.45</v>
      </c>
      <c r="E31" s="663">
        <v>1</v>
      </c>
      <c r="F31" s="720">
        <v>32.08</v>
      </c>
      <c r="G31" s="84" t="s">
        <v>6012</v>
      </c>
      <c r="H31" s="221">
        <v>14.45</v>
      </c>
      <c r="J31" s="294"/>
      <c r="K31" s="295"/>
      <c r="O31" s="289"/>
      <c r="P31" s="289"/>
      <c r="Q31" s="72"/>
      <c r="R31" s="291"/>
      <c r="S31" s="295"/>
      <c r="T31" s="147"/>
    </row>
    <row r="32" spans="1:20">
      <c r="A32" s="71" t="s">
        <v>6057</v>
      </c>
      <c r="B32" s="67" t="s">
        <v>6058</v>
      </c>
      <c r="C32" s="71" t="s">
        <v>11</v>
      </c>
      <c r="D32" s="79">
        <v>19.45</v>
      </c>
      <c r="E32" s="663">
        <v>1</v>
      </c>
      <c r="F32" s="720">
        <v>43.18</v>
      </c>
      <c r="G32" s="84" t="s">
        <v>6012</v>
      </c>
      <c r="H32" s="221">
        <v>19.45</v>
      </c>
      <c r="J32" s="294"/>
      <c r="K32" s="295"/>
      <c r="O32" s="289"/>
      <c r="P32" s="289"/>
      <c r="Q32" s="72"/>
      <c r="R32" s="291"/>
      <c r="S32" s="295"/>
      <c r="T32" s="147"/>
    </row>
    <row r="33" spans="1:22">
      <c r="A33" s="71" t="s">
        <v>6065</v>
      </c>
      <c r="B33" s="67" t="s">
        <v>6066</v>
      </c>
      <c r="C33" s="71" t="s">
        <v>11</v>
      </c>
      <c r="D33" s="79">
        <v>13.85</v>
      </c>
      <c r="E33" s="663">
        <v>1</v>
      </c>
      <c r="F33" s="720">
        <v>30.75</v>
      </c>
      <c r="G33" s="84" t="s">
        <v>6012</v>
      </c>
      <c r="H33" s="221">
        <v>13.85</v>
      </c>
      <c r="J33" s="294"/>
      <c r="K33" s="295"/>
      <c r="O33" s="289"/>
      <c r="P33" s="289"/>
      <c r="Q33" s="72"/>
      <c r="R33" s="291"/>
      <c r="S33" s="295"/>
      <c r="T33" s="147"/>
    </row>
    <row r="34" spans="1:22">
      <c r="A34" s="71" t="s">
        <v>6067</v>
      </c>
      <c r="B34" s="67" t="s">
        <v>6068</v>
      </c>
      <c r="C34" s="71" t="s">
        <v>11</v>
      </c>
      <c r="D34" s="79">
        <v>17.37</v>
      </c>
      <c r="E34" s="663">
        <v>1</v>
      </c>
      <c r="F34" s="720">
        <v>38.56</v>
      </c>
      <c r="G34" s="84" t="s">
        <v>6012</v>
      </c>
      <c r="H34" s="221">
        <v>17.37</v>
      </c>
      <c r="J34" s="294"/>
      <c r="K34" s="295"/>
      <c r="O34" s="289"/>
      <c r="P34" s="289"/>
      <c r="Q34" s="72"/>
      <c r="R34" s="291"/>
      <c r="S34" s="295"/>
      <c r="T34" s="218"/>
    </row>
    <row r="35" spans="1:22">
      <c r="A35" s="71" t="s">
        <v>6043</v>
      </c>
      <c r="B35" s="67" t="s">
        <v>6044</v>
      </c>
      <c r="C35" s="71" t="s">
        <v>11</v>
      </c>
      <c r="D35" s="79">
        <v>12.2</v>
      </c>
      <c r="E35" s="663">
        <v>1</v>
      </c>
      <c r="F35" s="720">
        <v>27.08</v>
      </c>
      <c r="G35" s="84" t="s">
        <v>6012</v>
      </c>
      <c r="H35" s="221">
        <v>12.2</v>
      </c>
      <c r="J35" s="294"/>
      <c r="K35" s="295"/>
      <c r="O35" s="289"/>
      <c r="P35" s="289"/>
      <c r="Q35" s="72"/>
      <c r="R35" s="291"/>
      <c r="S35" s="295"/>
      <c r="T35" s="147"/>
    </row>
    <row r="36" spans="1:22">
      <c r="A36" s="71" t="s">
        <v>6045</v>
      </c>
      <c r="B36" s="67" t="s">
        <v>6046</v>
      </c>
      <c r="C36" s="71" t="s">
        <v>11</v>
      </c>
      <c r="D36" s="79">
        <v>12.8</v>
      </c>
      <c r="E36" s="663">
        <v>1</v>
      </c>
      <c r="F36" s="720">
        <v>28.42</v>
      </c>
      <c r="G36" s="84" t="s">
        <v>6012</v>
      </c>
      <c r="H36" s="221">
        <v>12.8</v>
      </c>
      <c r="J36" s="294"/>
      <c r="K36" s="295"/>
      <c r="O36" s="289"/>
      <c r="P36" s="289"/>
      <c r="Q36" s="72"/>
      <c r="R36" s="291"/>
      <c r="S36" s="295"/>
      <c r="T36" s="147"/>
    </row>
    <row r="37" spans="1:22">
      <c r="A37" s="71" t="s">
        <v>6049</v>
      </c>
      <c r="B37" s="67" t="s">
        <v>6050</v>
      </c>
      <c r="C37" s="71" t="s">
        <v>11</v>
      </c>
      <c r="D37" s="79">
        <v>12.11</v>
      </c>
      <c r="E37" s="663">
        <v>1</v>
      </c>
      <c r="F37" s="720">
        <v>26.88</v>
      </c>
      <c r="G37" s="84" t="s">
        <v>6012</v>
      </c>
      <c r="H37" s="221">
        <v>12.11</v>
      </c>
      <c r="J37" s="294"/>
      <c r="K37" s="295"/>
      <c r="O37" s="289"/>
      <c r="P37" s="289"/>
      <c r="Q37" s="72"/>
      <c r="R37" s="291"/>
      <c r="S37" s="295"/>
      <c r="T37" s="147"/>
    </row>
    <row r="38" spans="1:22">
      <c r="A38" s="71" t="s">
        <v>6051</v>
      </c>
      <c r="B38" s="67" t="s">
        <v>6052</v>
      </c>
      <c r="C38" s="71" t="s">
        <v>11</v>
      </c>
      <c r="D38" s="79">
        <v>17.04</v>
      </c>
      <c r="E38" s="663">
        <v>1</v>
      </c>
      <c r="F38" s="720">
        <v>37.83</v>
      </c>
      <c r="G38" s="84" t="s">
        <v>6012</v>
      </c>
      <c r="H38" s="221">
        <v>17.04</v>
      </c>
      <c r="J38" s="294"/>
      <c r="K38" s="295"/>
      <c r="O38" s="289"/>
      <c r="P38" s="289"/>
      <c r="Q38" s="72"/>
      <c r="R38" s="291"/>
      <c r="S38" s="295"/>
      <c r="T38" s="147"/>
    </row>
    <row r="39" spans="1:22">
      <c r="A39" s="71" t="s">
        <v>6055</v>
      </c>
      <c r="B39" s="67" t="s">
        <v>6056</v>
      </c>
      <c r="C39" s="71" t="s">
        <v>11</v>
      </c>
      <c r="D39" s="79">
        <v>10.06</v>
      </c>
      <c r="E39" s="663">
        <v>1</v>
      </c>
      <c r="F39" s="720">
        <v>22.33</v>
      </c>
      <c r="G39" s="84" t="s">
        <v>6012</v>
      </c>
      <c r="H39" s="221">
        <v>10.06</v>
      </c>
      <c r="J39" s="294"/>
      <c r="K39" s="295"/>
      <c r="O39" s="289"/>
      <c r="P39" s="289"/>
      <c r="Q39" s="72"/>
      <c r="R39" s="291"/>
      <c r="S39" s="295"/>
      <c r="T39" s="147"/>
    </row>
    <row r="40" spans="1:22">
      <c r="A40" s="71" t="s">
        <v>6059</v>
      </c>
      <c r="B40" s="67" t="s">
        <v>6060</v>
      </c>
      <c r="C40" s="71" t="s">
        <v>11</v>
      </c>
      <c r="D40" s="79">
        <v>12.83</v>
      </c>
      <c r="E40" s="663">
        <v>1</v>
      </c>
      <c r="F40" s="720">
        <v>28.48</v>
      </c>
      <c r="G40" s="84" t="s">
        <v>6012</v>
      </c>
      <c r="H40" s="221">
        <v>12.83</v>
      </c>
      <c r="J40" s="294"/>
      <c r="K40" s="295"/>
      <c r="O40" s="289"/>
      <c r="P40" s="289"/>
      <c r="Q40" s="72"/>
      <c r="R40" s="291"/>
      <c r="S40" s="295"/>
      <c r="T40" s="147"/>
    </row>
    <row r="41" spans="1:22">
      <c r="A41" s="71" t="s">
        <v>6061</v>
      </c>
      <c r="B41" s="67" t="s">
        <v>6062</v>
      </c>
      <c r="C41" s="71" t="s">
        <v>11</v>
      </c>
      <c r="D41" s="79">
        <v>12.83</v>
      </c>
      <c r="E41" s="663">
        <v>1</v>
      </c>
      <c r="F41" s="720">
        <v>28.48</v>
      </c>
      <c r="G41" s="84" t="s">
        <v>6012</v>
      </c>
      <c r="H41" s="221">
        <v>12.83</v>
      </c>
      <c r="J41" s="294"/>
      <c r="K41" s="295"/>
      <c r="O41" s="289"/>
      <c r="P41" s="289"/>
      <c r="Q41" s="72"/>
      <c r="R41" s="291"/>
      <c r="S41" s="295"/>
      <c r="T41" s="147"/>
    </row>
    <row r="42" spans="1:22">
      <c r="A42" s="71" t="s">
        <v>6071</v>
      </c>
      <c r="B42" s="67" t="s">
        <v>6072</v>
      </c>
      <c r="C42" s="71" t="s">
        <v>11</v>
      </c>
      <c r="D42" s="79">
        <v>12.49</v>
      </c>
      <c r="E42" s="663">
        <v>1</v>
      </c>
      <c r="F42" s="720">
        <v>27.73</v>
      </c>
      <c r="G42" s="84" t="s">
        <v>6012</v>
      </c>
      <c r="H42" s="221">
        <v>12.49</v>
      </c>
      <c r="J42" s="294"/>
      <c r="K42" s="295"/>
      <c r="O42" s="289"/>
      <c r="P42" s="289"/>
      <c r="Q42" s="72"/>
      <c r="R42" s="291"/>
      <c r="S42" s="295"/>
      <c r="T42" s="147"/>
    </row>
    <row r="43" spans="1:22" ht="13">
      <c r="A43" s="71"/>
      <c r="B43" s="310" t="s">
        <v>6083</v>
      </c>
      <c r="C43" s="71"/>
      <c r="D43" s="79"/>
      <c r="E43" s="663"/>
      <c r="F43" s="720"/>
      <c r="H43" s="221" t="s">
        <v>10481</v>
      </c>
      <c r="J43" s="294"/>
      <c r="K43" s="295"/>
      <c r="O43" s="289"/>
      <c r="P43" s="289"/>
      <c r="Q43" s="72"/>
      <c r="R43" s="291"/>
      <c r="S43" s="295"/>
      <c r="T43" s="147"/>
    </row>
    <row r="44" spans="1:22">
      <c r="A44" s="71" t="s">
        <v>6084</v>
      </c>
      <c r="B44" s="67" t="s">
        <v>6085</v>
      </c>
      <c r="C44" s="71" t="s">
        <v>165</v>
      </c>
      <c r="D44" s="78">
        <v>42.98</v>
      </c>
      <c r="E44" s="663">
        <v>2</v>
      </c>
      <c r="H44" s="178">
        <v>42.98</v>
      </c>
      <c r="J44" s="294"/>
      <c r="K44" s="295"/>
      <c r="O44" s="289"/>
      <c r="P44" s="289"/>
      <c r="Q44" s="72"/>
      <c r="S44" s="286"/>
      <c r="T44" s="223"/>
      <c r="V44" s="137"/>
    </row>
    <row r="45" spans="1:22">
      <c r="A45" s="71" t="s">
        <v>6086</v>
      </c>
      <c r="B45" s="67" t="s">
        <v>6087</v>
      </c>
      <c r="C45" s="71" t="s">
        <v>165</v>
      </c>
      <c r="D45" s="78">
        <v>50.52</v>
      </c>
      <c r="E45" s="663">
        <v>2</v>
      </c>
      <c r="H45" s="178">
        <v>50.52</v>
      </c>
      <c r="J45" s="294"/>
      <c r="K45" s="295"/>
      <c r="O45" s="289"/>
      <c r="P45" s="289"/>
      <c r="Q45" s="72"/>
      <c r="S45" s="286"/>
      <c r="T45" s="223"/>
      <c r="V45" s="137"/>
    </row>
    <row r="46" spans="1:22">
      <c r="A46" s="71" t="s">
        <v>6088</v>
      </c>
      <c r="B46" s="67" t="s">
        <v>6089</v>
      </c>
      <c r="C46" s="71" t="s">
        <v>165</v>
      </c>
      <c r="D46" s="78">
        <v>58.94</v>
      </c>
      <c r="E46" s="663">
        <v>2</v>
      </c>
      <c r="H46" s="178">
        <v>58.94</v>
      </c>
      <c r="J46" s="294"/>
      <c r="K46" s="295"/>
      <c r="O46" s="289"/>
      <c r="P46" s="289"/>
      <c r="Q46" s="72"/>
      <c r="S46" s="286"/>
      <c r="T46" s="223"/>
      <c r="V46" s="137"/>
    </row>
    <row r="47" spans="1:22">
      <c r="A47" s="71" t="s">
        <v>6090</v>
      </c>
      <c r="B47" s="67" t="s">
        <v>6091</v>
      </c>
      <c r="C47" s="71" t="s">
        <v>165</v>
      </c>
      <c r="D47" s="78">
        <v>82.87</v>
      </c>
      <c r="E47" s="663">
        <v>2</v>
      </c>
      <c r="H47" s="178">
        <v>82.87</v>
      </c>
      <c r="J47" s="294"/>
      <c r="K47" s="295"/>
      <c r="O47" s="289"/>
      <c r="P47" s="289"/>
      <c r="Q47" s="72"/>
      <c r="S47" s="286"/>
      <c r="T47" s="223"/>
      <c r="V47" s="137"/>
    </row>
    <row r="48" spans="1:22">
      <c r="A48" s="71" t="s">
        <v>6092</v>
      </c>
      <c r="B48" s="67" t="s">
        <v>6093</v>
      </c>
      <c r="C48" s="71" t="s">
        <v>165</v>
      </c>
      <c r="D48" s="78">
        <v>23.41</v>
      </c>
      <c r="E48" s="663">
        <v>2</v>
      </c>
      <c r="H48" s="178">
        <v>23.41</v>
      </c>
      <c r="J48" s="294"/>
      <c r="K48" s="295"/>
      <c r="M48" s="72"/>
      <c r="N48" s="133"/>
      <c r="O48" s="72"/>
      <c r="P48" s="224"/>
      <c r="Q48" s="219"/>
      <c r="T48" s="137"/>
      <c r="V48" s="137"/>
    </row>
    <row r="49" spans="1:36">
      <c r="A49" s="71" t="s">
        <v>6094</v>
      </c>
      <c r="B49" s="67" t="s">
        <v>6095</v>
      </c>
      <c r="C49" s="71" t="s">
        <v>165</v>
      </c>
      <c r="D49" s="78">
        <v>25.29</v>
      </c>
      <c r="E49" s="663">
        <v>2</v>
      </c>
      <c r="H49" s="178">
        <v>25.29</v>
      </c>
      <c r="J49" s="294"/>
      <c r="K49" s="295"/>
      <c r="M49" s="72"/>
      <c r="N49" s="133"/>
      <c r="O49" s="72"/>
      <c r="P49" s="224"/>
      <c r="Q49" s="219"/>
      <c r="T49" s="137"/>
      <c r="V49" s="137"/>
    </row>
    <row r="50" spans="1:36">
      <c r="A50" s="71" t="s">
        <v>6096</v>
      </c>
      <c r="B50" s="67" t="s">
        <v>6097</v>
      </c>
      <c r="C50" s="71" t="s">
        <v>165</v>
      </c>
      <c r="D50" s="78">
        <v>28.96</v>
      </c>
      <c r="E50" s="663">
        <v>2</v>
      </c>
      <c r="H50" s="178">
        <v>28.96</v>
      </c>
      <c r="J50" s="294"/>
      <c r="K50" s="295"/>
      <c r="M50" s="72"/>
      <c r="N50" s="133"/>
      <c r="O50" s="72"/>
      <c r="P50" s="224"/>
      <c r="Q50" s="219"/>
      <c r="T50" s="137"/>
      <c r="V50" s="137"/>
    </row>
    <row r="51" spans="1:36">
      <c r="A51" s="71" t="s">
        <v>6098</v>
      </c>
      <c r="B51" s="67" t="s">
        <v>6099</v>
      </c>
      <c r="C51" s="71" t="s">
        <v>165</v>
      </c>
      <c r="D51" s="78">
        <v>39.630000000000003</v>
      </c>
      <c r="E51" s="663">
        <v>2</v>
      </c>
      <c r="H51" s="178">
        <v>39.630000000000003</v>
      </c>
      <c r="J51" s="294"/>
      <c r="K51" s="295"/>
      <c r="M51" s="72"/>
      <c r="N51" s="133"/>
      <c r="O51" s="72"/>
      <c r="P51" s="224"/>
      <c r="Q51" s="219"/>
      <c r="T51" s="137"/>
      <c r="V51" s="137"/>
    </row>
    <row r="52" spans="1:36">
      <c r="A52" s="71" t="s">
        <v>6100</v>
      </c>
      <c r="B52" s="67" t="s">
        <v>6101</v>
      </c>
      <c r="C52" s="71" t="s">
        <v>165</v>
      </c>
      <c r="D52" s="78">
        <v>45.81</v>
      </c>
      <c r="E52" s="663">
        <v>2</v>
      </c>
      <c r="H52" s="178">
        <v>45.81</v>
      </c>
      <c r="J52" s="294"/>
      <c r="K52" s="295"/>
      <c r="M52" s="72"/>
      <c r="N52" s="133"/>
      <c r="O52" s="72"/>
      <c r="P52" s="224"/>
      <c r="Q52" s="219"/>
      <c r="T52" s="137"/>
      <c r="V52" s="137"/>
    </row>
    <row r="53" spans="1:36">
      <c r="A53" s="71" t="s">
        <v>6102</v>
      </c>
      <c r="B53" s="67" t="s">
        <v>6103</v>
      </c>
      <c r="C53" s="71" t="s">
        <v>165</v>
      </c>
      <c r="D53" s="78">
        <v>33.369999999999997</v>
      </c>
      <c r="E53" s="663">
        <v>2</v>
      </c>
      <c r="H53" s="178">
        <v>33.369999999999997</v>
      </c>
      <c r="J53" s="294"/>
      <c r="K53" s="295"/>
      <c r="M53" s="72"/>
      <c r="N53" s="133"/>
      <c r="O53" s="72"/>
      <c r="P53" s="224"/>
      <c r="Q53" s="219"/>
      <c r="T53" s="137"/>
      <c r="V53" s="137"/>
    </row>
    <row r="54" spans="1:36">
      <c r="A54" s="71" t="s">
        <v>6104</v>
      </c>
      <c r="B54" s="67" t="s">
        <v>6105</v>
      </c>
      <c r="C54" s="71" t="s">
        <v>165</v>
      </c>
      <c r="D54" s="78">
        <v>53.28</v>
      </c>
      <c r="E54" s="663">
        <v>2</v>
      </c>
      <c r="H54" s="178">
        <v>53.28</v>
      </c>
      <c r="J54" s="294"/>
      <c r="K54" s="295"/>
      <c r="M54" s="72"/>
      <c r="N54" s="133"/>
      <c r="O54" s="72"/>
      <c r="P54" s="224"/>
      <c r="Q54" s="219"/>
      <c r="T54" s="137"/>
      <c r="V54" s="137"/>
    </row>
    <row r="55" spans="1:36">
      <c r="A55" s="71" t="s">
        <v>6106</v>
      </c>
      <c r="B55" s="67" t="s">
        <v>6107</v>
      </c>
      <c r="C55" s="71" t="s">
        <v>103</v>
      </c>
      <c r="D55" s="78">
        <v>7357.53</v>
      </c>
      <c r="E55" s="663">
        <v>2</v>
      </c>
      <c r="H55" s="178">
        <v>7357.53</v>
      </c>
      <c r="J55" s="294"/>
      <c r="K55" s="295"/>
      <c r="L55" s="72"/>
      <c r="M55" s="133"/>
      <c r="N55" s="72"/>
      <c r="O55" s="224"/>
      <c r="P55" s="219"/>
      <c r="Q55" s="84"/>
      <c r="S55" s="137"/>
      <c r="T55" s="137"/>
    </row>
    <row r="56" spans="1:36">
      <c r="A56" s="71" t="s">
        <v>6108</v>
      </c>
      <c r="B56" s="67" t="s">
        <v>6109</v>
      </c>
      <c r="C56" s="71" t="s">
        <v>103</v>
      </c>
      <c r="D56" s="78">
        <v>32657.79</v>
      </c>
      <c r="E56" s="663">
        <v>2</v>
      </c>
      <c r="H56" s="178">
        <v>32657.79</v>
      </c>
      <c r="J56" s="294"/>
      <c r="K56" s="295"/>
      <c r="L56" s="72"/>
      <c r="M56" s="133"/>
      <c r="N56" s="72"/>
      <c r="O56" s="224"/>
      <c r="P56" s="219"/>
      <c r="Q56" s="84"/>
      <c r="S56" s="136"/>
      <c r="T56" s="136"/>
    </row>
    <row r="57" spans="1:36" s="296" customFormat="1">
      <c r="A57" s="71" t="s">
        <v>6110</v>
      </c>
      <c r="B57" s="67" t="s">
        <v>6111</v>
      </c>
      <c r="C57" s="71" t="s">
        <v>103</v>
      </c>
      <c r="D57" s="78">
        <v>628.95000000000005</v>
      </c>
      <c r="E57" s="663">
        <v>2</v>
      </c>
      <c r="F57" s="84"/>
      <c r="G57" s="84"/>
      <c r="H57" s="179">
        <v>628.95000000000005</v>
      </c>
      <c r="I57" s="664"/>
      <c r="J57" s="294"/>
      <c r="K57" s="295"/>
      <c r="L57" s="72"/>
      <c r="M57" s="133"/>
      <c r="N57" s="72"/>
      <c r="O57" s="224"/>
      <c r="P57" s="219"/>
      <c r="Q57" s="84"/>
      <c r="R57" s="84"/>
      <c r="S57" s="137"/>
      <c r="T57" s="137"/>
      <c r="U57" s="84"/>
      <c r="V57" s="137"/>
      <c r="W57" s="84"/>
      <c r="X57" s="84"/>
      <c r="Y57" s="84"/>
      <c r="Z57" s="84"/>
      <c r="AA57" s="84"/>
      <c r="AB57" s="84"/>
      <c r="AC57" s="84"/>
      <c r="AD57" s="84"/>
      <c r="AE57" s="84"/>
      <c r="AF57" s="84"/>
      <c r="AG57" s="84"/>
      <c r="AH57" s="84"/>
      <c r="AI57" s="84"/>
      <c r="AJ57" s="84"/>
    </row>
    <row r="58" spans="1:36" s="296" customFormat="1">
      <c r="A58" s="71" t="s">
        <v>6112</v>
      </c>
      <c r="B58" s="67" t="s">
        <v>6113</v>
      </c>
      <c r="C58" s="71" t="s">
        <v>165</v>
      </c>
      <c r="D58" s="78">
        <v>127.16</v>
      </c>
      <c r="E58" s="663">
        <v>2</v>
      </c>
      <c r="H58" s="179">
        <v>127.16</v>
      </c>
      <c r="I58" s="664"/>
      <c r="J58" s="294"/>
      <c r="K58" s="295"/>
      <c r="L58" s="72"/>
      <c r="M58" s="133"/>
      <c r="N58" s="72"/>
      <c r="O58" s="224"/>
      <c r="P58" s="219"/>
      <c r="S58" s="137"/>
      <c r="T58" s="137"/>
      <c r="V58" s="137"/>
      <c r="W58" s="84"/>
    </row>
    <row r="59" spans="1:36" s="296" customFormat="1">
      <c r="A59" s="71" t="s">
        <v>6114</v>
      </c>
      <c r="B59" s="67" t="s">
        <v>6115</v>
      </c>
      <c r="C59" s="71" t="s">
        <v>165</v>
      </c>
      <c r="D59" s="78">
        <v>143.63</v>
      </c>
      <c r="E59" s="663">
        <v>2</v>
      </c>
      <c r="H59" s="179">
        <v>143.63</v>
      </c>
      <c r="I59" s="664"/>
      <c r="J59" s="294"/>
      <c r="K59" s="295"/>
      <c r="L59" s="72"/>
      <c r="M59" s="133"/>
      <c r="N59" s="72"/>
      <c r="O59" s="224"/>
      <c r="P59" s="219"/>
      <c r="S59" s="137"/>
      <c r="T59" s="137"/>
      <c r="V59" s="137"/>
      <c r="W59" s="84"/>
    </row>
    <row r="60" spans="1:36" s="296" customFormat="1">
      <c r="A60" s="71" t="s">
        <v>6116</v>
      </c>
      <c r="B60" s="67" t="s">
        <v>6117</v>
      </c>
      <c r="C60" s="71" t="s">
        <v>165</v>
      </c>
      <c r="D60" s="78">
        <v>170.84</v>
      </c>
      <c r="E60" s="663">
        <v>2</v>
      </c>
      <c r="H60" s="179">
        <v>170.84</v>
      </c>
      <c r="I60" s="664"/>
      <c r="J60" s="294"/>
      <c r="K60" s="295"/>
      <c r="L60" s="72"/>
      <c r="M60" s="133"/>
      <c r="N60" s="72"/>
      <c r="O60" s="224"/>
      <c r="P60" s="219"/>
      <c r="S60" s="137"/>
      <c r="T60" s="137"/>
      <c r="V60" s="137"/>
      <c r="W60" s="84"/>
    </row>
    <row r="61" spans="1:36" s="296" customFormat="1">
      <c r="A61" s="71" t="s">
        <v>6118</v>
      </c>
      <c r="B61" s="67" t="s">
        <v>6119</v>
      </c>
      <c r="C61" s="71" t="s">
        <v>165</v>
      </c>
      <c r="D61" s="78">
        <v>209.67</v>
      </c>
      <c r="E61" s="663">
        <v>2</v>
      </c>
      <c r="H61" s="179">
        <v>209.67</v>
      </c>
      <c r="I61" s="664"/>
      <c r="J61" s="294"/>
      <c r="K61" s="295"/>
      <c r="L61" s="72"/>
      <c r="M61" s="133"/>
      <c r="N61" s="72"/>
      <c r="O61" s="224"/>
      <c r="P61" s="219"/>
      <c r="S61" s="137"/>
      <c r="T61" s="137"/>
      <c r="V61" s="137"/>
      <c r="W61" s="84"/>
    </row>
    <row r="62" spans="1:36">
      <c r="A62" s="71" t="s">
        <v>6120</v>
      </c>
      <c r="B62" s="216" t="s">
        <v>6121</v>
      </c>
      <c r="C62" s="212" t="s">
        <v>165</v>
      </c>
      <c r="D62" s="78">
        <v>247.94</v>
      </c>
      <c r="E62" s="663">
        <v>2</v>
      </c>
      <c r="F62" s="296"/>
      <c r="G62" s="296"/>
      <c r="H62" s="179">
        <v>247.94</v>
      </c>
      <c r="J62" s="294"/>
      <c r="K62" s="295"/>
      <c r="L62" s="72"/>
      <c r="M62" s="299"/>
      <c r="N62" s="298"/>
      <c r="O62" s="224"/>
      <c r="P62" s="219"/>
      <c r="Q62" s="296"/>
      <c r="R62" s="296"/>
      <c r="S62" s="137"/>
      <c r="T62" s="137"/>
      <c r="U62" s="296"/>
      <c r="V62" s="137"/>
      <c r="X62" s="296"/>
      <c r="Y62" s="296"/>
      <c r="Z62" s="296"/>
      <c r="AA62" s="296"/>
      <c r="AB62" s="296"/>
      <c r="AC62" s="296"/>
      <c r="AD62" s="296"/>
      <c r="AE62" s="296"/>
      <c r="AF62" s="296"/>
      <c r="AG62" s="296"/>
      <c r="AH62" s="296"/>
      <c r="AI62" s="296"/>
      <c r="AJ62" s="296"/>
    </row>
    <row r="63" spans="1:36">
      <c r="A63" s="71" t="s">
        <v>6122</v>
      </c>
      <c r="B63" s="67" t="s">
        <v>6123</v>
      </c>
      <c r="C63" s="71" t="s">
        <v>165</v>
      </c>
      <c r="D63" s="78">
        <v>596.95000000000005</v>
      </c>
      <c r="E63" s="663">
        <v>2</v>
      </c>
      <c r="H63" s="178">
        <v>596.95000000000005</v>
      </c>
      <c r="J63" s="294"/>
      <c r="K63" s="295"/>
      <c r="L63" s="72"/>
      <c r="M63" s="133"/>
      <c r="N63" s="72"/>
      <c r="O63" s="224"/>
      <c r="P63" s="219"/>
      <c r="Q63" s="84"/>
      <c r="S63" s="136"/>
      <c r="T63" s="136"/>
      <c r="V63" s="136"/>
    </row>
    <row r="64" spans="1:36">
      <c r="A64" s="71" t="s">
        <v>6124</v>
      </c>
      <c r="B64" s="67" t="s">
        <v>6125</v>
      </c>
      <c r="C64" s="71" t="s">
        <v>103</v>
      </c>
      <c r="D64" s="78">
        <v>2641.87</v>
      </c>
      <c r="E64" s="663">
        <v>2</v>
      </c>
      <c r="H64" s="178">
        <v>2641.87</v>
      </c>
      <c r="J64" s="294"/>
      <c r="K64" s="295"/>
      <c r="L64" s="72"/>
      <c r="M64" s="133"/>
      <c r="N64" s="72"/>
      <c r="O64" s="224"/>
      <c r="P64" s="219"/>
      <c r="Q64" s="84"/>
      <c r="S64" s="136"/>
      <c r="T64" s="136"/>
      <c r="V64" s="136"/>
    </row>
    <row r="65" spans="1:22">
      <c r="A65" s="71" t="s">
        <v>6126</v>
      </c>
      <c r="B65" s="67" t="s">
        <v>6127</v>
      </c>
      <c r="C65" s="71" t="s">
        <v>103</v>
      </c>
      <c r="D65" s="78">
        <v>562.42999999999995</v>
      </c>
      <c r="E65" s="663">
        <v>2</v>
      </c>
      <c r="H65" s="178">
        <v>562.42999999999995</v>
      </c>
      <c r="J65" s="294"/>
      <c r="K65" s="295"/>
      <c r="L65" s="72"/>
      <c r="M65" s="133"/>
      <c r="N65" s="72"/>
      <c r="O65" s="224"/>
      <c r="P65" s="219"/>
      <c r="Q65" s="84"/>
      <c r="S65" s="136"/>
      <c r="T65" s="136"/>
      <c r="V65" s="136"/>
    </row>
    <row r="66" spans="1:22">
      <c r="A66" s="71" t="s">
        <v>6128</v>
      </c>
      <c r="B66" s="67" t="s">
        <v>6129</v>
      </c>
      <c r="C66" s="71" t="s">
        <v>103</v>
      </c>
      <c r="D66" s="78">
        <v>2688.72</v>
      </c>
      <c r="E66" s="663">
        <v>2</v>
      </c>
      <c r="H66" s="178">
        <v>2688.72</v>
      </c>
      <c r="J66" s="294"/>
      <c r="K66" s="295"/>
      <c r="L66" s="72"/>
      <c r="M66" s="133"/>
      <c r="N66" s="72"/>
      <c r="O66" s="224"/>
      <c r="P66" s="219"/>
      <c r="Q66" s="84"/>
      <c r="S66" s="136"/>
      <c r="T66" s="136"/>
      <c r="V66" s="136"/>
    </row>
    <row r="67" spans="1:22">
      <c r="A67" s="71" t="s">
        <v>6130</v>
      </c>
      <c r="B67" s="67" t="s">
        <v>6131</v>
      </c>
      <c r="C67" s="71" t="s">
        <v>165</v>
      </c>
      <c r="D67" s="78">
        <v>40.369999999999997</v>
      </c>
      <c r="E67" s="663">
        <v>2</v>
      </c>
      <c r="H67" s="179">
        <v>40.369999999999997</v>
      </c>
      <c r="J67" s="294"/>
      <c r="K67" s="295"/>
      <c r="L67" s="72"/>
      <c r="M67" s="133"/>
      <c r="N67" s="72"/>
      <c r="O67" s="224"/>
      <c r="P67" s="219"/>
      <c r="Q67" s="84"/>
      <c r="S67" s="137"/>
      <c r="T67" s="137"/>
      <c r="V67" s="137"/>
    </row>
    <row r="68" spans="1:22">
      <c r="A68" s="71" t="s">
        <v>6132</v>
      </c>
      <c r="B68" s="67" t="s">
        <v>6133</v>
      </c>
      <c r="C68" s="71" t="s">
        <v>165</v>
      </c>
      <c r="D68" s="78">
        <v>51.69</v>
      </c>
      <c r="E68" s="663">
        <v>2</v>
      </c>
      <c r="H68" s="178">
        <v>51.69</v>
      </c>
      <c r="J68" s="294"/>
      <c r="K68" s="295"/>
      <c r="L68" s="72"/>
      <c r="M68" s="133"/>
      <c r="N68" s="72"/>
      <c r="O68" s="224"/>
      <c r="P68" s="219"/>
      <c r="Q68" s="84"/>
      <c r="S68" s="136"/>
      <c r="T68" s="136"/>
      <c r="V68" s="136"/>
    </row>
    <row r="69" spans="1:22">
      <c r="A69" s="71" t="s">
        <v>6134</v>
      </c>
      <c r="B69" s="67" t="s">
        <v>6135</v>
      </c>
      <c r="C69" s="71" t="s">
        <v>165</v>
      </c>
      <c r="D69" s="78">
        <v>53.3</v>
      </c>
      <c r="E69" s="663">
        <v>2</v>
      </c>
      <c r="H69" s="178">
        <v>53.3</v>
      </c>
      <c r="J69" s="294"/>
      <c r="K69" s="295"/>
      <c r="L69" s="72"/>
      <c r="M69" s="133"/>
      <c r="N69" s="72"/>
      <c r="O69" s="224"/>
      <c r="P69" s="219"/>
      <c r="Q69" s="84"/>
      <c r="S69" s="136"/>
      <c r="T69" s="136"/>
      <c r="V69" s="136"/>
    </row>
    <row r="70" spans="1:22">
      <c r="A70" s="71" t="s">
        <v>6136</v>
      </c>
      <c r="B70" s="67" t="s">
        <v>6137</v>
      </c>
      <c r="C70" s="71" t="s">
        <v>165</v>
      </c>
      <c r="D70" s="78">
        <v>63.21</v>
      </c>
      <c r="E70" s="663">
        <v>2</v>
      </c>
      <c r="H70" s="179">
        <v>63.21</v>
      </c>
      <c r="J70" s="294"/>
      <c r="K70" s="295"/>
      <c r="L70" s="72"/>
      <c r="M70" s="133"/>
      <c r="N70" s="72"/>
      <c r="O70" s="224"/>
      <c r="P70" s="219"/>
      <c r="Q70" s="84"/>
      <c r="S70" s="137"/>
      <c r="T70" s="137"/>
      <c r="V70" s="137"/>
    </row>
    <row r="71" spans="1:22">
      <c r="A71" s="71" t="s">
        <v>6138</v>
      </c>
      <c r="B71" s="67" t="s">
        <v>6139</v>
      </c>
      <c r="C71" s="71" t="s">
        <v>165</v>
      </c>
      <c r="D71" s="78">
        <v>85.82</v>
      </c>
      <c r="E71" s="663">
        <v>2</v>
      </c>
      <c r="H71" s="179">
        <v>85.82</v>
      </c>
      <c r="J71" s="294"/>
      <c r="K71" s="295"/>
      <c r="L71" s="72"/>
      <c r="M71" s="133"/>
      <c r="N71" s="72"/>
      <c r="O71" s="224"/>
      <c r="P71" s="219"/>
      <c r="Q71" s="84"/>
      <c r="S71" s="137"/>
      <c r="T71" s="137"/>
      <c r="V71" s="137"/>
    </row>
    <row r="72" spans="1:22">
      <c r="A72" s="71" t="s">
        <v>6140</v>
      </c>
      <c r="B72" s="67" t="s">
        <v>6141</v>
      </c>
      <c r="C72" s="71" t="s">
        <v>165</v>
      </c>
      <c r="D72" s="78">
        <v>96.64</v>
      </c>
      <c r="E72" s="663">
        <v>2</v>
      </c>
      <c r="H72" s="179">
        <v>96.64</v>
      </c>
      <c r="J72" s="294"/>
      <c r="K72" s="295"/>
      <c r="L72" s="72"/>
      <c r="M72" s="133"/>
      <c r="N72" s="72"/>
      <c r="O72" s="224"/>
      <c r="P72" s="219"/>
      <c r="Q72" s="84"/>
      <c r="S72" s="137"/>
      <c r="T72" s="137"/>
      <c r="V72" s="137"/>
    </row>
    <row r="73" spans="1:22">
      <c r="A73" s="71" t="s">
        <v>6142</v>
      </c>
      <c r="B73" s="67" t="s">
        <v>6143</v>
      </c>
      <c r="C73" s="71" t="s">
        <v>165</v>
      </c>
      <c r="D73" s="78">
        <v>133.1</v>
      </c>
      <c r="E73" s="663">
        <v>2</v>
      </c>
      <c r="H73" s="179">
        <v>133.1</v>
      </c>
      <c r="J73" s="294"/>
      <c r="K73" s="295"/>
      <c r="L73" s="72"/>
      <c r="M73" s="133"/>
      <c r="N73" s="72"/>
      <c r="O73" s="224"/>
      <c r="P73" s="219"/>
      <c r="Q73" s="84"/>
      <c r="S73" s="137"/>
      <c r="T73" s="137"/>
      <c r="V73" s="137"/>
    </row>
    <row r="74" spans="1:22">
      <c r="A74" s="71" t="s">
        <v>6144</v>
      </c>
      <c r="B74" s="67" t="s">
        <v>6145</v>
      </c>
      <c r="C74" s="71" t="s">
        <v>165</v>
      </c>
      <c r="D74" s="78">
        <v>163.06</v>
      </c>
      <c r="E74" s="663">
        <v>2</v>
      </c>
      <c r="H74" s="179">
        <v>163.06</v>
      </c>
      <c r="J74" s="294"/>
      <c r="K74" s="295"/>
      <c r="L74" s="72"/>
      <c r="M74" s="133"/>
      <c r="N74" s="72"/>
      <c r="O74" s="224"/>
      <c r="P74" s="219"/>
      <c r="Q74" s="84"/>
      <c r="S74" s="137"/>
      <c r="T74" s="137"/>
      <c r="V74" s="137"/>
    </row>
    <row r="75" spans="1:22">
      <c r="A75" s="71" t="s">
        <v>6146</v>
      </c>
      <c r="B75" s="67" t="s">
        <v>6147</v>
      </c>
      <c r="C75" s="71" t="s">
        <v>165</v>
      </c>
      <c r="D75" s="78">
        <v>175.99</v>
      </c>
      <c r="E75" s="663">
        <v>2</v>
      </c>
      <c r="H75" s="179">
        <v>175.99</v>
      </c>
      <c r="J75" s="294"/>
      <c r="K75" s="295"/>
      <c r="L75" s="72"/>
      <c r="M75" s="133"/>
      <c r="N75" s="72"/>
      <c r="O75" s="224"/>
      <c r="P75" s="219"/>
      <c r="Q75" s="84"/>
      <c r="S75" s="137"/>
      <c r="T75" s="137"/>
      <c r="V75" s="137"/>
    </row>
    <row r="76" spans="1:22">
      <c r="A76" s="71" t="s">
        <v>6148</v>
      </c>
      <c r="B76" s="67" t="s">
        <v>6149</v>
      </c>
      <c r="C76" s="71" t="s">
        <v>165</v>
      </c>
      <c r="D76" s="78">
        <v>291.97000000000003</v>
      </c>
      <c r="E76" s="663">
        <v>2</v>
      </c>
      <c r="H76" s="178">
        <v>291.97000000000003</v>
      </c>
      <c r="J76" s="294"/>
      <c r="K76" s="295"/>
      <c r="L76" s="72"/>
      <c r="M76" s="133"/>
      <c r="N76" s="72"/>
      <c r="O76" s="224"/>
      <c r="P76" s="219"/>
      <c r="Q76" s="84"/>
      <c r="S76" s="136"/>
      <c r="T76" s="136"/>
      <c r="V76" s="136"/>
    </row>
    <row r="77" spans="1:22">
      <c r="A77" s="71" t="s">
        <v>6150</v>
      </c>
      <c r="B77" s="67" t="s">
        <v>6151</v>
      </c>
      <c r="C77" s="71" t="s">
        <v>165</v>
      </c>
      <c r="D77" s="78">
        <v>296.12</v>
      </c>
      <c r="E77" s="663">
        <v>2</v>
      </c>
      <c r="H77" s="178">
        <v>296.12</v>
      </c>
      <c r="J77" s="294"/>
      <c r="K77" s="295"/>
      <c r="L77" s="72"/>
      <c r="M77" s="133"/>
      <c r="N77" s="72"/>
      <c r="O77" s="224"/>
      <c r="P77" s="219"/>
      <c r="Q77" s="84"/>
      <c r="S77" s="136"/>
      <c r="T77" s="136"/>
      <c r="V77" s="136"/>
    </row>
    <row r="78" spans="1:22">
      <c r="A78" s="71" t="s">
        <v>6152</v>
      </c>
      <c r="B78" s="67" t="s">
        <v>6153</v>
      </c>
      <c r="C78" s="71" t="s">
        <v>165</v>
      </c>
      <c r="D78" s="78">
        <v>306.36</v>
      </c>
      <c r="E78" s="663">
        <v>2</v>
      </c>
      <c r="H78" s="178">
        <v>306.36</v>
      </c>
      <c r="J78" s="294"/>
      <c r="K78" s="295"/>
      <c r="L78" s="72"/>
      <c r="M78" s="133"/>
      <c r="N78" s="72"/>
      <c r="O78" s="224"/>
      <c r="P78" s="219"/>
      <c r="Q78" s="84"/>
      <c r="S78" s="136"/>
      <c r="T78" s="136"/>
      <c r="V78" s="136"/>
    </row>
    <row r="79" spans="1:22">
      <c r="A79" s="71" t="s">
        <v>6154</v>
      </c>
      <c r="B79" s="67" t="s">
        <v>6155</v>
      </c>
      <c r="C79" s="71" t="s">
        <v>165</v>
      </c>
      <c r="D79" s="78">
        <v>336.63</v>
      </c>
      <c r="E79" s="663">
        <v>2</v>
      </c>
      <c r="H79" s="179">
        <v>336.63</v>
      </c>
      <c r="J79" s="294"/>
      <c r="K79" s="295"/>
      <c r="L79" s="72"/>
      <c r="M79" s="133"/>
      <c r="N79" s="72"/>
      <c r="O79" s="224"/>
      <c r="P79" s="219"/>
      <c r="Q79" s="84"/>
      <c r="S79" s="137"/>
      <c r="T79" s="137"/>
      <c r="V79" s="137"/>
    </row>
    <row r="80" spans="1:22">
      <c r="A80" s="71" t="s">
        <v>6156</v>
      </c>
      <c r="B80" s="67" t="s">
        <v>6157</v>
      </c>
      <c r="C80" s="71" t="s">
        <v>165</v>
      </c>
      <c r="D80" s="78">
        <v>402.19</v>
      </c>
      <c r="E80" s="663">
        <v>2</v>
      </c>
      <c r="H80" s="179">
        <v>402.19</v>
      </c>
      <c r="J80" s="294"/>
      <c r="K80" s="295"/>
      <c r="L80" s="72"/>
      <c r="M80" s="133"/>
      <c r="N80" s="72"/>
      <c r="O80" s="224"/>
      <c r="P80" s="219"/>
      <c r="Q80" s="84"/>
      <c r="S80" s="137"/>
      <c r="T80" s="137"/>
      <c r="V80" s="137"/>
    </row>
    <row r="81" spans="1:22">
      <c r="A81" s="71" t="s">
        <v>6158</v>
      </c>
      <c r="B81" s="67" t="s">
        <v>6159</v>
      </c>
      <c r="C81" s="71" t="s">
        <v>165</v>
      </c>
      <c r="D81" s="78">
        <v>452.22</v>
      </c>
      <c r="E81" s="663">
        <v>2</v>
      </c>
      <c r="H81" s="179">
        <v>452.22</v>
      </c>
      <c r="J81" s="294"/>
      <c r="K81" s="295"/>
      <c r="L81" s="72"/>
      <c r="M81" s="133"/>
      <c r="N81" s="72"/>
      <c r="O81" s="224"/>
      <c r="P81" s="219"/>
      <c r="Q81" s="84"/>
      <c r="S81" s="137"/>
      <c r="T81" s="137"/>
      <c r="V81" s="137"/>
    </row>
    <row r="82" spans="1:22">
      <c r="A82" s="71" t="s">
        <v>6160</v>
      </c>
      <c r="B82" s="67" t="s">
        <v>6161</v>
      </c>
      <c r="C82" s="71" t="s">
        <v>103</v>
      </c>
      <c r="D82" s="78">
        <v>2765.37</v>
      </c>
      <c r="E82" s="663">
        <v>2</v>
      </c>
      <c r="H82" s="179">
        <v>2765.37</v>
      </c>
      <c r="J82" s="294"/>
      <c r="K82" s="295"/>
      <c r="L82" s="72"/>
      <c r="M82" s="133"/>
      <c r="N82" s="72"/>
      <c r="O82" s="224"/>
      <c r="P82" s="219"/>
      <c r="Q82" s="84"/>
      <c r="S82" s="137"/>
      <c r="T82" s="137"/>
    </row>
    <row r="83" spans="1:22">
      <c r="A83" s="71" t="s">
        <v>6162</v>
      </c>
      <c r="B83" s="67" t="s">
        <v>6163</v>
      </c>
      <c r="C83" s="71" t="s">
        <v>103</v>
      </c>
      <c r="D83" s="78">
        <v>3099.83</v>
      </c>
      <c r="E83" s="663">
        <v>2</v>
      </c>
      <c r="H83" s="179">
        <v>3099.83</v>
      </c>
      <c r="J83" s="294"/>
      <c r="K83" s="295"/>
      <c r="L83" s="72"/>
      <c r="M83" s="133"/>
      <c r="N83" s="72"/>
      <c r="O83" s="224"/>
      <c r="P83" s="219"/>
      <c r="Q83" s="84"/>
      <c r="S83" s="137"/>
      <c r="T83" s="137"/>
    </row>
    <row r="84" spans="1:22">
      <c r="A84" s="71" t="s">
        <v>6164</v>
      </c>
      <c r="B84" s="67" t="s">
        <v>6165</v>
      </c>
      <c r="C84" s="71" t="s">
        <v>103</v>
      </c>
      <c r="D84" s="78">
        <v>44504.46</v>
      </c>
      <c r="E84" s="663">
        <v>2</v>
      </c>
      <c r="H84" s="179">
        <v>44504.46</v>
      </c>
      <c r="J84" s="294"/>
      <c r="K84" s="295"/>
      <c r="L84" s="72"/>
      <c r="M84" s="133"/>
      <c r="N84" s="72"/>
      <c r="O84" s="224"/>
      <c r="P84" s="219"/>
      <c r="Q84" s="84"/>
      <c r="S84" s="137"/>
      <c r="T84" s="137"/>
    </row>
    <row r="85" spans="1:22">
      <c r="A85" s="71" t="s">
        <v>6166</v>
      </c>
      <c r="B85" s="67" t="s">
        <v>6167</v>
      </c>
      <c r="C85" s="71" t="s">
        <v>103</v>
      </c>
      <c r="D85" s="78">
        <v>11708.6</v>
      </c>
      <c r="E85" s="663">
        <v>2</v>
      </c>
      <c r="H85" s="179">
        <v>11708.6</v>
      </c>
      <c r="J85" s="294"/>
      <c r="K85" s="295"/>
      <c r="L85" s="72"/>
      <c r="M85" s="133"/>
      <c r="N85" s="72"/>
      <c r="O85" s="224"/>
      <c r="P85" s="219"/>
      <c r="Q85" s="84"/>
      <c r="S85" s="137"/>
      <c r="T85" s="137"/>
    </row>
    <row r="86" spans="1:22">
      <c r="A86" s="71" t="s">
        <v>6168</v>
      </c>
      <c r="B86" s="67" t="s">
        <v>6169</v>
      </c>
      <c r="C86" s="71" t="s">
        <v>6170</v>
      </c>
      <c r="D86" s="78">
        <v>18.25</v>
      </c>
      <c r="E86" s="663">
        <v>3</v>
      </c>
      <c r="H86" s="179">
        <v>18.25</v>
      </c>
      <c r="J86" s="294"/>
      <c r="K86" s="295"/>
      <c r="L86" s="72"/>
      <c r="M86" s="133"/>
      <c r="N86" s="72"/>
      <c r="O86" s="139"/>
      <c r="P86" s="219"/>
      <c r="Q86" s="84"/>
      <c r="S86" s="137"/>
      <c r="T86" s="137"/>
    </row>
    <row r="87" spans="1:22">
      <c r="A87" s="71" t="s">
        <v>6171</v>
      </c>
      <c r="B87" s="67" t="s">
        <v>6172</v>
      </c>
      <c r="C87" s="71" t="s">
        <v>6170</v>
      </c>
      <c r="D87" s="78">
        <v>11.88</v>
      </c>
      <c r="E87" s="663">
        <v>3</v>
      </c>
      <c r="H87" s="179">
        <v>11.88</v>
      </c>
      <c r="J87" s="294"/>
      <c r="K87" s="295"/>
      <c r="L87" s="72"/>
      <c r="M87" s="133"/>
      <c r="N87" s="72"/>
      <c r="O87" s="139"/>
      <c r="P87" s="219"/>
      <c r="Q87" s="84"/>
      <c r="S87" s="137"/>
      <c r="T87" s="137"/>
    </row>
    <row r="88" spans="1:22">
      <c r="A88" s="71" t="s">
        <v>6173</v>
      </c>
      <c r="B88" s="67" t="s">
        <v>6174</v>
      </c>
      <c r="C88" s="71" t="s">
        <v>6170</v>
      </c>
      <c r="D88" s="78">
        <v>9.33</v>
      </c>
      <c r="E88" s="663">
        <v>3</v>
      </c>
      <c r="H88" s="179">
        <v>9.33</v>
      </c>
      <c r="J88" s="294"/>
      <c r="K88" s="295"/>
      <c r="L88" s="72"/>
      <c r="M88" s="133"/>
      <c r="N88" s="72"/>
      <c r="O88" s="139"/>
      <c r="P88" s="219"/>
      <c r="Q88" s="84"/>
      <c r="S88" s="137"/>
      <c r="T88" s="137"/>
    </row>
    <row r="89" spans="1:22">
      <c r="A89" s="71" t="s">
        <v>6175</v>
      </c>
      <c r="B89" s="67" t="s">
        <v>6176</v>
      </c>
      <c r="C89" s="71" t="s">
        <v>6170</v>
      </c>
      <c r="D89" s="78">
        <v>8.31</v>
      </c>
      <c r="E89" s="663">
        <v>3</v>
      </c>
      <c r="H89" s="179">
        <v>8.31</v>
      </c>
      <c r="J89" s="294"/>
      <c r="K89" s="295"/>
      <c r="L89" s="72"/>
      <c r="M89" s="133"/>
      <c r="N89" s="72"/>
      <c r="O89" s="139"/>
      <c r="P89" s="219"/>
      <c r="Q89" s="84"/>
      <c r="S89" s="137"/>
      <c r="T89" s="137"/>
    </row>
    <row r="90" spans="1:22">
      <c r="A90" s="71" t="s">
        <v>6177</v>
      </c>
      <c r="B90" s="67" t="s">
        <v>6178</v>
      </c>
      <c r="C90" s="71" t="s">
        <v>6170</v>
      </c>
      <c r="D90" s="78">
        <v>29.45</v>
      </c>
      <c r="E90" s="663">
        <v>3</v>
      </c>
      <c r="H90" s="178">
        <v>29.45</v>
      </c>
      <c r="J90" s="294"/>
      <c r="K90" s="295"/>
      <c r="L90" s="72"/>
      <c r="M90" s="133"/>
      <c r="N90" s="72"/>
      <c r="O90" s="139"/>
      <c r="P90" s="219"/>
      <c r="Q90" s="84"/>
      <c r="S90" s="136"/>
      <c r="T90" s="136"/>
    </row>
    <row r="91" spans="1:22">
      <c r="A91" s="71" t="s">
        <v>6179</v>
      </c>
      <c r="B91" s="67" t="s">
        <v>6180</v>
      </c>
      <c r="C91" s="71" t="s">
        <v>103</v>
      </c>
      <c r="D91" s="78">
        <v>78.58</v>
      </c>
      <c r="E91" s="663">
        <v>2</v>
      </c>
      <c r="H91" s="178">
        <v>78.58</v>
      </c>
      <c r="J91" s="294"/>
      <c r="K91" s="295"/>
      <c r="L91" s="72"/>
      <c r="M91" s="133"/>
      <c r="N91" s="72"/>
      <c r="O91" s="224"/>
      <c r="P91" s="219"/>
      <c r="Q91" s="84"/>
      <c r="S91" s="136"/>
      <c r="T91" s="136"/>
      <c r="V91" s="136"/>
    </row>
    <row r="92" spans="1:22">
      <c r="A92" s="71" t="s">
        <v>6181</v>
      </c>
      <c r="B92" s="67" t="s">
        <v>6182</v>
      </c>
      <c r="C92" s="71" t="s">
        <v>103</v>
      </c>
      <c r="D92" s="78">
        <v>63.62</v>
      </c>
      <c r="E92" s="663">
        <v>2</v>
      </c>
      <c r="H92" s="178">
        <v>63.62</v>
      </c>
      <c r="J92" s="294"/>
      <c r="K92" s="295"/>
      <c r="L92" s="72"/>
      <c r="M92" s="133"/>
      <c r="N92" s="72"/>
      <c r="O92" s="224"/>
      <c r="P92" s="219"/>
      <c r="Q92" s="84"/>
      <c r="S92" s="136"/>
      <c r="T92" s="136"/>
      <c r="V92" s="136"/>
    </row>
    <row r="93" spans="1:22">
      <c r="A93" s="71" t="s">
        <v>6183</v>
      </c>
      <c r="B93" s="67" t="s">
        <v>6184</v>
      </c>
      <c r="C93" s="71" t="s">
        <v>103</v>
      </c>
      <c r="D93" s="78">
        <v>118.07</v>
      </c>
      <c r="E93" s="663">
        <v>2</v>
      </c>
      <c r="H93" s="178">
        <v>118.07</v>
      </c>
      <c r="J93" s="294"/>
      <c r="K93" s="295"/>
      <c r="L93" s="72"/>
      <c r="M93" s="133"/>
      <c r="N93" s="72"/>
      <c r="O93" s="224"/>
      <c r="P93" s="219"/>
      <c r="Q93" s="84"/>
      <c r="S93" s="136"/>
      <c r="T93" s="136"/>
      <c r="V93" s="136"/>
    </row>
    <row r="94" spans="1:22">
      <c r="A94" s="71" t="s">
        <v>6185</v>
      </c>
      <c r="B94" s="67" t="s">
        <v>6186</v>
      </c>
      <c r="C94" s="71" t="s">
        <v>103</v>
      </c>
      <c r="D94" s="78">
        <v>403.21</v>
      </c>
      <c r="E94" s="663">
        <v>2</v>
      </c>
      <c r="H94" s="178">
        <v>403.21</v>
      </c>
      <c r="J94" s="294"/>
      <c r="K94" s="295"/>
      <c r="L94" s="72"/>
      <c r="M94" s="133"/>
      <c r="N94" s="72"/>
      <c r="O94" s="224"/>
      <c r="P94" s="219"/>
      <c r="Q94" s="84"/>
      <c r="S94" s="136"/>
      <c r="T94" s="136"/>
      <c r="V94" s="136"/>
    </row>
    <row r="95" spans="1:22">
      <c r="A95" s="71" t="s">
        <v>6187</v>
      </c>
      <c r="B95" s="67" t="s">
        <v>6188</v>
      </c>
      <c r="C95" s="71" t="s">
        <v>509</v>
      </c>
      <c r="D95" s="78">
        <v>50.64</v>
      </c>
      <c r="E95" s="663">
        <v>2</v>
      </c>
      <c r="H95" s="178">
        <v>50.64</v>
      </c>
      <c r="J95" s="294"/>
      <c r="K95" s="295"/>
      <c r="L95" s="72"/>
      <c r="M95" s="133"/>
      <c r="N95" s="72"/>
      <c r="O95" s="224"/>
      <c r="P95" s="219"/>
      <c r="Q95" s="84"/>
      <c r="S95" s="136"/>
      <c r="T95" s="136"/>
      <c r="V95" s="136"/>
    </row>
    <row r="96" spans="1:22">
      <c r="A96" s="71" t="s">
        <v>6189</v>
      </c>
      <c r="B96" s="67" t="s">
        <v>6190</v>
      </c>
      <c r="C96" s="71" t="s">
        <v>103</v>
      </c>
      <c r="D96" s="78">
        <v>416.68</v>
      </c>
      <c r="E96" s="663">
        <v>2</v>
      </c>
      <c r="H96" s="178">
        <v>416.68</v>
      </c>
      <c r="J96" s="294"/>
      <c r="K96" s="295"/>
      <c r="L96" s="72"/>
      <c r="M96" s="133"/>
      <c r="N96" s="72"/>
      <c r="O96" s="224"/>
      <c r="P96" s="219"/>
      <c r="Q96" s="84"/>
      <c r="S96" s="136"/>
      <c r="T96" s="136"/>
      <c r="V96" s="136"/>
    </row>
    <row r="97" spans="1:22">
      <c r="A97" s="71" t="s">
        <v>6191</v>
      </c>
      <c r="B97" s="67" t="s">
        <v>6192</v>
      </c>
      <c r="C97" s="71" t="s">
        <v>103</v>
      </c>
      <c r="D97" s="78">
        <v>80.2</v>
      </c>
      <c r="E97" s="663">
        <v>2</v>
      </c>
      <c r="H97" s="178">
        <v>80.2</v>
      </c>
      <c r="J97" s="294"/>
      <c r="K97" s="295"/>
      <c r="L97" s="72"/>
      <c r="M97" s="133"/>
      <c r="N97" s="72"/>
      <c r="O97" s="224"/>
      <c r="P97" s="219"/>
      <c r="Q97" s="84"/>
      <c r="S97" s="136"/>
      <c r="T97" s="136"/>
    </row>
    <row r="98" spans="1:22">
      <c r="A98" s="71" t="s">
        <v>6193</v>
      </c>
      <c r="B98" s="67" t="s">
        <v>6194</v>
      </c>
      <c r="C98" s="71" t="s">
        <v>103</v>
      </c>
      <c r="D98" s="78">
        <v>87.93</v>
      </c>
      <c r="E98" s="663">
        <v>2</v>
      </c>
      <c r="H98" s="178">
        <v>87.93</v>
      </c>
      <c r="J98" s="294"/>
      <c r="K98" s="295"/>
      <c r="L98" s="72"/>
      <c r="M98" s="133"/>
      <c r="N98" s="72"/>
      <c r="O98" s="224"/>
      <c r="P98" s="219"/>
      <c r="Q98" s="84"/>
      <c r="S98" s="136"/>
      <c r="T98" s="136"/>
    </row>
    <row r="99" spans="1:22">
      <c r="A99" s="71" t="s">
        <v>6195</v>
      </c>
      <c r="B99" s="67" t="s">
        <v>6196</v>
      </c>
      <c r="C99" s="71" t="s">
        <v>103</v>
      </c>
      <c r="D99" s="78">
        <v>32.54</v>
      </c>
      <c r="E99" s="663">
        <v>2</v>
      </c>
      <c r="H99" s="178">
        <v>32.54</v>
      </c>
      <c r="J99" s="294"/>
      <c r="K99" s="295"/>
      <c r="L99" s="72"/>
      <c r="M99" s="133"/>
      <c r="N99" s="72"/>
      <c r="O99" s="224"/>
      <c r="P99" s="219"/>
      <c r="Q99" s="84"/>
      <c r="S99" s="136"/>
      <c r="T99" s="136"/>
    </row>
    <row r="100" spans="1:22">
      <c r="A100" s="71" t="s">
        <v>6197</v>
      </c>
      <c r="B100" s="67" t="s">
        <v>6198</v>
      </c>
      <c r="C100" s="71" t="s">
        <v>103</v>
      </c>
      <c r="D100" s="78">
        <v>24.75</v>
      </c>
      <c r="E100" s="663">
        <v>2</v>
      </c>
      <c r="H100" s="178">
        <v>24.75</v>
      </c>
      <c r="J100" s="294"/>
      <c r="K100" s="295"/>
      <c r="L100" s="72"/>
      <c r="M100" s="133"/>
      <c r="N100" s="72"/>
      <c r="O100" s="224"/>
      <c r="P100" s="219"/>
      <c r="Q100" s="84"/>
      <c r="S100" s="136"/>
      <c r="T100" s="136"/>
    </row>
    <row r="101" spans="1:22">
      <c r="A101" s="71" t="s">
        <v>6199</v>
      </c>
      <c r="B101" s="67" t="s">
        <v>6200</v>
      </c>
      <c r="C101" s="71" t="s">
        <v>121</v>
      </c>
      <c r="D101" s="78">
        <v>198.53</v>
      </c>
      <c r="E101" s="663">
        <v>2</v>
      </c>
      <c r="H101" s="178">
        <v>198.53</v>
      </c>
      <c r="J101" s="294"/>
      <c r="K101" s="295"/>
      <c r="L101" s="72"/>
      <c r="M101" s="133"/>
      <c r="N101" s="72"/>
      <c r="O101" s="224"/>
      <c r="P101" s="219"/>
      <c r="Q101" s="84"/>
      <c r="S101" s="136"/>
      <c r="T101" s="136"/>
      <c r="V101" s="136"/>
    </row>
    <row r="102" spans="1:22">
      <c r="A102" s="71" t="s">
        <v>6201</v>
      </c>
      <c r="B102" s="67" t="s">
        <v>6202</v>
      </c>
      <c r="C102" s="71" t="s">
        <v>6203</v>
      </c>
      <c r="D102" s="78">
        <v>1456.82</v>
      </c>
      <c r="E102" s="663">
        <v>2</v>
      </c>
      <c r="H102" s="178">
        <v>1456.82</v>
      </c>
      <c r="J102" s="294"/>
      <c r="K102" s="295"/>
      <c r="L102" s="72"/>
      <c r="M102" s="133"/>
      <c r="N102" s="72"/>
      <c r="O102" s="224"/>
      <c r="P102" s="219"/>
      <c r="Q102" s="84"/>
      <c r="S102" s="136"/>
      <c r="T102" s="136"/>
      <c r="V102" s="136"/>
    </row>
    <row r="103" spans="1:22">
      <c r="A103" s="71" t="s">
        <v>6204</v>
      </c>
      <c r="B103" s="67" t="s">
        <v>6205</v>
      </c>
      <c r="C103" s="71" t="s">
        <v>121</v>
      </c>
      <c r="D103" s="78">
        <v>173.7</v>
      </c>
      <c r="E103" s="663">
        <v>2</v>
      </c>
      <c r="H103" s="178">
        <v>173.7</v>
      </c>
      <c r="J103" s="294"/>
      <c r="K103" s="295"/>
      <c r="L103" s="72"/>
      <c r="M103" s="133"/>
      <c r="N103" s="72"/>
      <c r="O103" s="224"/>
      <c r="P103" s="219"/>
      <c r="Q103" s="84"/>
      <c r="S103" s="136"/>
      <c r="T103" s="136"/>
      <c r="V103" s="136"/>
    </row>
    <row r="104" spans="1:22">
      <c r="A104" s="71" t="s">
        <v>6206</v>
      </c>
      <c r="B104" s="67" t="s">
        <v>6207</v>
      </c>
      <c r="C104" s="71" t="s">
        <v>207</v>
      </c>
      <c r="D104" s="78">
        <v>0.88</v>
      </c>
      <c r="E104" s="663">
        <v>2</v>
      </c>
      <c r="H104" s="178">
        <v>0.88</v>
      </c>
      <c r="J104" s="294"/>
      <c r="K104" s="295"/>
      <c r="L104" s="72"/>
      <c r="M104" s="133"/>
      <c r="N104" s="72"/>
      <c r="O104" s="224"/>
      <c r="P104" s="219"/>
      <c r="Q104" s="84"/>
      <c r="S104" s="136"/>
      <c r="T104" s="136"/>
      <c r="V104" s="136"/>
    </row>
    <row r="105" spans="1:22">
      <c r="A105" s="71" t="s">
        <v>6208</v>
      </c>
      <c r="B105" s="67" t="s">
        <v>6209</v>
      </c>
      <c r="C105" s="71" t="s">
        <v>207</v>
      </c>
      <c r="D105" s="78">
        <v>2.1800000000000002</v>
      </c>
      <c r="E105" s="663">
        <v>2</v>
      </c>
      <c r="H105" s="178">
        <v>2.1800000000000002</v>
      </c>
      <c r="J105" s="294"/>
      <c r="K105" s="295"/>
      <c r="L105" s="72"/>
      <c r="M105" s="133"/>
      <c r="N105" s="72"/>
      <c r="O105" s="224"/>
      <c r="P105" s="219"/>
      <c r="Q105" s="84"/>
      <c r="S105" s="136"/>
      <c r="T105" s="136"/>
      <c r="V105" s="136"/>
    </row>
    <row r="106" spans="1:22">
      <c r="A106" s="71" t="s">
        <v>6210</v>
      </c>
      <c r="B106" s="67" t="s">
        <v>6211</v>
      </c>
      <c r="C106" s="71" t="s">
        <v>207</v>
      </c>
      <c r="D106" s="78">
        <v>0.67</v>
      </c>
      <c r="E106" s="663">
        <v>2</v>
      </c>
      <c r="H106" s="178">
        <v>0.67</v>
      </c>
      <c r="J106" s="294"/>
      <c r="K106" s="295"/>
      <c r="L106" s="72"/>
      <c r="M106" s="133"/>
      <c r="N106" s="72"/>
      <c r="O106" s="224"/>
      <c r="P106" s="219"/>
      <c r="Q106" s="84"/>
      <c r="S106" s="136"/>
      <c r="T106" s="140"/>
      <c r="V106" s="140"/>
    </row>
    <row r="107" spans="1:22">
      <c r="A107" s="71" t="s">
        <v>6212</v>
      </c>
      <c r="B107" s="67" t="s">
        <v>6213</v>
      </c>
      <c r="C107" s="71" t="s">
        <v>207</v>
      </c>
      <c r="D107" s="78">
        <v>2.81</v>
      </c>
      <c r="E107" s="663">
        <v>2</v>
      </c>
      <c r="H107" s="178">
        <v>2.81</v>
      </c>
      <c r="J107" s="294"/>
      <c r="K107" s="295"/>
      <c r="L107" s="72"/>
      <c r="M107" s="133"/>
      <c r="N107" s="72"/>
      <c r="O107" s="224"/>
      <c r="P107" s="219"/>
      <c r="Q107" s="84"/>
      <c r="S107" s="136"/>
      <c r="T107" s="136"/>
      <c r="V107" s="136"/>
    </row>
    <row r="108" spans="1:22">
      <c r="A108" s="71" t="s">
        <v>6214</v>
      </c>
      <c r="B108" s="67" t="s">
        <v>6215</v>
      </c>
      <c r="C108" s="71" t="s">
        <v>121</v>
      </c>
      <c r="D108" s="78">
        <v>154.97</v>
      </c>
      <c r="E108" s="663">
        <v>2</v>
      </c>
      <c r="H108" s="178">
        <v>154.97</v>
      </c>
      <c r="J108" s="294"/>
      <c r="K108" s="295"/>
      <c r="L108" s="72"/>
      <c r="M108" s="133"/>
      <c r="N108" s="72"/>
      <c r="O108" s="224"/>
      <c r="P108" s="219"/>
      <c r="Q108" s="84"/>
      <c r="S108" s="136"/>
      <c r="T108" s="140"/>
    </row>
    <row r="109" spans="1:22">
      <c r="A109" s="71" t="s">
        <v>6216</v>
      </c>
      <c r="B109" s="67" t="s">
        <v>6217</v>
      </c>
      <c r="C109" s="71" t="s">
        <v>121</v>
      </c>
      <c r="D109" s="78">
        <v>154.97</v>
      </c>
      <c r="E109" s="663">
        <v>2</v>
      </c>
      <c r="H109" s="178">
        <v>154.97</v>
      </c>
      <c r="J109" s="294"/>
      <c r="K109" s="295"/>
      <c r="L109" s="72"/>
      <c r="M109" s="133"/>
      <c r="N109" s="72"/>
      <c r="O109" s="224"/>
      <c r="P109" s="219"/>
      <c r="Q109" s="84"/>
      <c r="S109" s="136"/>
      <c r="T109" s="140"/>
    </row>
    <row r="110" spans="1:22">
      <c r="A110" s="71" t="s">
        <v>6218</v>
      </c>
      <c r="B110" s="67" t="s">
        <v>6219</v>
      </c>
      <c r="C110" s="71" t="s">
        <v>121</v>
      </c>
      <c r="D110" s="78">
        <v>154.97</v>
      </c>
      <c r="E110" s="663">
        <v>2</v>
      </c>
      <c r="H110" s="178">
        <v>154.97</v>
      </c>
      <c r="J110" s="294"/>
      <c r="K110" s="295"/>
      <c r="L110" s="72"/>
      <c r="M110" s="133"/>
      <c r="N110" s="72"/>
      <c r="O110" s="224"/>
      <c r="P110" s="219"/>
      <c r="Q110" s="84"/>
      <c r="S110" s="136"/>
      <c r="T110" s="140"/>
    </row>
    <row r="111" spans="1:22">
      <c r="A111" s="71" t="s">
        <v>6220</v>
      </c>
      <c r="B111" s="67" t="s">
        <v>6221</v>
      </c>
      <c r="C111" s="71" t="s">
        <v>121</v>
      </c>
      <c r="D111" s="78">
        <v>160.94999999999999</v>
      </c>
      <c r="E111" s="663">
        <v>2</v>
      </c>
      <c r="H111" s="178">
        <v>160.94999999999999</v>
      </c>
      <c r="J111" s="294"/>
      <c r="K111" s="295"/>
      <c r="L111" s="72"/>
      <c r="M111" s="133"/>
      <c r="N111" s="72"/>
      <c r="O111" s="224"/>
      <c r="P111" s="219"/>
      <c r="Q111" s="84"/>
      <c r="S111" s="136"/>
      <c r="T111" s="140"/>
    </row>
    <row r="112" spans="1:22">
      <c r="A112" s="71" t="s">
        <v>6222</v>
      </c>
      <c r="B112" s="67" t="s">
        <v>6223</v>
      </c>
      <c r="C112" s="71" t="s">
        <v>121</v>
      </c>
      <c r="D112" s="78">
        <v>178.9</v>
      </c>
      <c r="E112" s="663">
        <v>2</v>
      </c>
      <c r="H112" s="178">
        <v>178.9</v>
      </c>
      <c r="J112" s="294"/>
      <c r="K112" s="295"/>
      <c r="L112" s="72"/>
      <c r="M112" s="133"/>
      <c r="N112" s="72"/>
      <c r="O112" s="224"/>
      <c r="P112" s="219"/>
      <c r="Q112" s="84"/>
      <c r="S112" s="136"/>
      <c r="T112" s="140"/>
    </row>
    <row r="113" spans="1:22">
      <c r="A113" s="71" t="s">
        <v>6224</v>
      </c>
      <c r="B113" s="67" t="s">
        <v>6225</v>
      </c>
      <c r="C113" s="71" t="s">
        <v>121</v>
      </c>
      <c r="D113" s="78">
        <v>184.84</v>
      </c>
      <c r="E113" s="663">
        <v>2</v>
      </c>
      <c r="H113" s="178">
        <v>184.84</v>
      </c>
      <c r="J113" s="294"/>
      <c r="K113" s="295"/>
      <c r="L113" s="72"/>
      <c r="M113" s="133"/>
      <c r="N113" s="72"/>
      <c r="O113" s="224"/>
      <c r="P113" s="219"/>
      <c r="Q113" s="84"/>
      <c r="S113" s="136"/>
      <c r="T113" s="140"/>
      <c r="V113" s="140"/>
    </row>
    <row r="114" spans="1:22">
      <c r="A114" s="71" t="s">
        <v>6226</v>
      </c>
      <c r="B114" s="67" t="s">
        <v>6227</v>
      </c>
      <c r="C114" s="71" t="s">
        <v>121</v>
      </c>
      <c r="D114" s="78">
        <v>163.09</v>
      </c>
      <c r="E114" s="663">
        <v>2</v>
      </c>
      <c r="H114" s="178">
        <v>163.09</v>
      </c>
      <c r="J114" s="294"/>
      <c r="K114" s="295"/>
      <c r="L114" s="72"/>
      <c r="M114" s="133"/>
      <c r="N114" s="72"/>
      <c r="O114" s="224"/>
      <c r="P114" s="219"/>
      <c r="Q114" s="84"/>
      <c r="S114" s="136"/>
      <c r="T114" s="140"/>
      <c r="V114" s="140"/>
    </row>
    <row r="115" spans="1:22">
      <c r="A115" s="71" t="s">
        <v>6228</v>
      </c>
      <c r="B115" s="67" t="s">
        <v>6229</v>
      </c>
      <c r="C115" s="71" t="s">
        <v>121</v>
      </c>
      <c r="D115" s="78">
        <v>448.27</v>
      </c>
      <c r="E115" s="663">
        <v>2</v>
      </c>
      <c r="H115" s="178">
        <v>448.27</v>
      </c>
      <c r="J115" s="294"/>
      <c r="K115" s="295"/>
      <c r="L115" s="72"/>
      <c r="M115" s="133"/>
      <c r="N115" s="72"/>
      <c r="O115" s="224"/>
      <c r="P115" s="219"/>
      <c r="Q115" s="84"/>
      <c r="S115" s="136"/>
      <c r="T115" s="140"/>
      <c r="V115" s="140"/>
    </row>
    <row r="116" spans="1:22">
      <c r="A116" s="71" t="s">
        <v>6230</v>
      </c>
      <c r="B116" s="67" t="s">
        <v>6231</v>
      </c>
      <c r="C116" s="71" t="s">
        <v>121</v>
      </c>
      <c r="D116" s="78">
        <v>469.91</v>
      </c>
      <c r="E116" s="663">
        <v>2</v>
      </c>
      <c r="H116" s="178">
        <v>469.91</v>
      </c>
      <c r="J116" s="294"/>
      <c r="K116" s="295"/>
      <c r="L116" s="72"/>
      <c r="M116" s="133"/>
      <c r="N116" s="72"/>
      <c r="O116" s="224"/>
      <c r="P116" s="219"/>
      <c r="Q116" s="84"/>
      <c r="S116" s="136"/>
      <c r="T116" s="140"/>
      <c r="V116" s="140"/>
    </row>
    <row r="117" spans="1:22">
      <c r="A117" s="71" t="s">
        <v>6232</v>
      </c>
      <c r="B117" s="67" t="s">
        <v>6233</v>
      </c>
      <c r="C117" s="71" t="s">
        <v>121</v>
      </c>
      <c r="D117" s="78">
        <v>493.73</v>
      </c>
      <c r="E117" s="663">
        <v>2</v>
      </c>
      <c r="H117" s="178">
        <v>493.73</v>
      </c>
      <c r="J117" s="294"/>
      <c r="K117" s="295"/>
      <c r="L117" s="72"/>
      <c r="M117" s="133"/>
      <c r="N117" s="72"/>
      <c r="O117" s="224"/>
      <c r="P117" s="219"/>
      <c r="Q117" s="84"/>
      <c r="S117" s="136"/>
      <c r="T117" s="140"/>
      <c r="V117" s="140"/>
    </row>
    <row r="118" spans="1:22">
      <c r="A118" s="71" t="s">
        <v>6234</v>
      </c>
      <c r="B118" s="67" t="s">
        <v>6235</v>
      </c>
      <c r="C118" s="71" t="s">
        <v>121</v>
      </c>
      <c r="D118" s="78">
        <v>557.41999999999996</v>
      </c>
      <c r="E118" s="663">
        <v>2</v>
      </c>
      <c r="H118" s="178">
        <v>557.41999999999996</v>
      </c>
      <c r="J118" s="294"/>
      <c r="K118" s="295"/>
      <c r="L118" s="72"/>
      <c r="M118" s="133"/>
      <c r="N118" s="72"/>
      <c r="O118" s="224"/>
      <c r="P118" s="219"/>
      <c r="Q118" s="84"/>
      <c r="S118" s="136"/>
      <c r="T118" s="140"/>
      <c r="V118" s="140"/>
    </row>
    <row r="119" spans="1:22">
      <c r="A119" s="71" t="s">
        <v>6236</v>
      </c>
      <c r="B119" s="67" t="s">
        <v>6237</v>
      </c>
      <c r="C119" s="71" t="s">
        <v>121</v>
      </c>
      <c r="D119" s="78">
        <v>515.85</v>
      </c>
      <c r="E119" s="663">
        <v>2</v>
      </c>
      <c r="H119" s="178">
        <v>515.85</v>
      </c>
      <c r="J119" s="294"/>
      <c r="K119" s="295"/>
      <c r="L119" s="72"/>
      <c r="M119" s="133"/>
      <c r="N119" s="72"/>
      <c r="O119" s="224"/>
      <c r="P119" s="219"/>
      <c r="Q119" s="84"/>
      <c r="S119" s="136"/>
      <c r="T119" s="140"/>
      <c r="V119" s="140"/>
    </row>
    <row r="120" spans="1:22">
      <c r="A120" s="71" t="s">
        <v>6238</v>
      </c>
      <c r="B120" s="67" t="s">
        <v>6239</v>
      </c>
      <c r="C120" s="71" t="s">
        <v>121</v>
      </c>
      <c r="D120" s="78">
        <v>580.99</v>
      </c>
      <c r="E120" s="663">
        <v>2</v>
      </c>
      <c r="H120" s="178">
        <v>580.99</v>
      </c>
      <c r="J120" s="294"/>
      <c r="K120" s="295"/>
      <c r="L120" s="72"/>
      <c r="M120" s="133"/>
      <c r="N120" s="72"/>
      <c r="O120" s="224"/>
      <c r="P120" s="219"/>
      <c r="Q120" s="84"/>
      <c r="S120" s="136"/>
      <c r="T120" s="140"/>
      <c r="V120" s="140"/>
    </row>
    <row r="121" spans="1:22" ht="24">
      <c r="A121" s="71" t="s">
        <v>32919</v>
      </c>
      <c r="B121" s="65" t="s">
        <v>32920</v>
      </c>
      <c r="C121" s="71" t="s">
        <v>121</v>
      </c>
      <c r="D121" s="78">
        <v>1020.1</v>
      </c>
      <c r="E121" s="663">
        <v>2</v>
      </c>
      <c r="H121" s="178">
        <v>1020.1</v>
      </c>
      <c r="J121" s="294"/>
      <c r="K121" s="295"/>
      <c r="L121" s="72"/>
      <c r="M121" s="133"/>
      <c r="N121" s="72"/>
      <c r="O121" s="224"/>
      <c r="P121" s="219"/>
      <c r="Q121" s="84"/>
      <c r="S121" s="136"/>
      <c r="T121" s="136"/>
    </row>
    <row r="122" spans="1:22">
      <c r="A122" s="71" t="s">
        <v>6240</v>
      </c>
      <c r="B122" s="67" t="s">
        <v>6241</v>
      </c>
      <c r="C122" s="71" t="s">
        <v>121</v>
      </c>
      <c r="D122" s="78">
        <v>536.92999999999995</v>
      </c>
      <c r="E122" s="663">
        <v>2</v>
      </c>
      <c r="H122" s="178">
        <v>536.92999999999995</v>
      </c>
      <c r="J122" s="294"/>
      <c r="K122" s="295"/>
      <c r="L122" s="72"/>
      <c r="M122" s="133"/>
      <c r="N122" s="72"/>
      <c r="O122" s="224"/>
      <c r="P122" s="219"/>
      <c r="Q122" s="84"/>
      <c r="S122" s="136"/>
      <c r="T122" s="140"/>
      <c r="V122" s="140"/>
    </row>
    <row r="123" spans="1:22">
      <c r="A123" s="71" t="s">
        <v>6242</v>
      </c>
      <c r="B123" s="67" t="s">
        <v>6243</v>
      </c>
      <c r="C123" s="71" t="s">
        <v>121</v>
      </c>
      <c r="D123" s="78">
        <v>524.38</v>
      </c>
      <c r="E123" s="663">
        <v>2</v>
      </c>
      <c r="H123" s="178">
        <v>524.38</v>
      </c>
      <c r="J123" s="294"/>
      <c r="K123" s="295"/>
      <c r="L123" s="72"/>
      <c r="M123" s="133"/>
      <c r="N123" s="72"/>
      <c r="O123" s="224"/>
      <c r="P123" s="219"/>
      <c r="Q123" s="84"/>
      <c r="S123" s="136"/>
      <c r="T123" s="140"/>
      <c r="V123" s="140"/>
    </row>
    <row r="124" spans="1:22">
      <c r="A124" s="71" t="s">
        <v>6244</v>
      </c>
      <c r="B124" s="67" t="s">
        <v>6245</v>
      </c>
      <c r="C124" s="71" t="s">
        <v>207</v>
      </c>
      <c r="D124" s="78">
        <v>1.92</v>
      </c>
      <c r="E124" s="663">
        <v>2</v>
      </c>
      <c r="H124" s="178">
        <v>1.92</v>
      </c>
      <c r="J124" s="294"/>
      <c r="K124" s="295"/>
      <c r="L124" s="72"/>
      <c r="M124" s="133"/>
      <c r="N124" s="72"/>
      <c r="O124" s="224"/>
      <c r="P124" s="219"/>
      <c r="Q124" s="84"/>
      <c r="S124" s="136"/>
      <c r="T124" s="136"/>
      <c r="V124" s="136"/>
    </row>
    <row r="125" spans="1:22">
      <c r="A125" s="71" t="s">
        <v>6246</v>
      </c>
      <c r="B125" s="67" t="s">
        <v>6247</v>
      </c>
      <c r="C125" s="71" t="s">
        <v>121</v>
      </c>
      <c r="D125" s="78">
        <v>87.74</v>
      </c>
      <c r="E125" s="663">
        <v>2</v>
      </c>
      <c r="H125" s="178">
        <v>87.74</v>
      </c>
      <c r="J125" s="294"/>
      <c r="K125" s="295"/>
      <c r="L125" s="72"/>
      <c r="M125" s="133"/>
      <c r="N125" s="72"/>
      <c r="O125" s="224"/>
      <c r="P125" s="219"/>
      <c r="Q125" s="84"/>
      <c r="S125" s="136"/>
      <c r="T125" s="136"/>
      <c r="V125" s="136"/>
    </row>
    <row r="126" spans="1:22">
      <c r="A126" s="71" t="s">
        <v>6248</v>
      </c>
      <c r="B126" s="67" t="s">
        <v>6249</v>
      </c>
      <c r="C126" s="71" t="s">
        <v>121</v>
      </c>
      <c r="D126" s="78">
        <v>85.61</v>
      </c>
      <c r="E126" s="663">
        <v>2</v>
      </c>
      <c r="H126" s="178">
        <v>85.61</v>
      </c>
      <c r="J126" s="294"/>
      <c r="K126" s="295"/>
      <c r="L126" s="72"/>
      <c r="M126" s="133"/>
      <c r="N126" s="72"/>
      <c r="O126" s="224"/>
      <c r="P126" s="219"/>
      <c r="Q126" s="84"/>
      <c r="S126" s="136"/>
      <c r="T126" s="136"/>
      <c r="V126" s="136"/>
    </row>
    <row r="127" spans="1:22">
      <c r="A127" s="71" t="s">
        <v>6250</v>
      </c>
      <c r="B127" s="67" t="s">
        <v>6251</v>
      </c>
      <c r="C127" s="71" t="s">
        <v>207</v>
      </c>
      <c r="D127" s="78">
        <v>1.03</v>
      </c>
      <c r="E127" s="663">
        <v>2</v>
      </c>
      <c r="H127" s="178">
        <v>1.03</v>
      </c>
      <c r="J127" s="294"/>
      <c r="K127" s="295"/>
      <c r="L127" s="72"/>
      <c r="M127" s="133"/>
      <c r="N127" s="72"/>
      <c r="O127" s="224"/>
      <c r="P127" s="219"/>
      <c r="Q127" s="84"/>
      <c r="S127" s="136"/>
      <c r="T127" s="136"/>
      <c r="V127" s="136"/>
    </row>
    <row r="128" spans="1:22">
      <c r="A128" s="71" t="s">
        <v>6252</v>
      </c>
      <c r="B128" s="67" t="s">
        <v>6253</v>
      </c>
      <c r="C128" s="71" t="s">
        <v>207</v>
      </c>
      <c r="D128" s="78">
        <v>0.89</v>
      </c>
      <c r="E128" s="663">
        <v>2</v>
      </c>
      <c r="H128" s="178">
        <v>0.89</v>
      </c>
      <c r="J128" s="294"/>
      <c r="K128" s="295"/>
      <c r="L128" s="72"/>
      <c r="M128" s="133"/>
      <c r="N128" s="72"/>
      <c r="O128" s="224"/>
      <c r="P128" s="219"/>
      <c r="Q128" s="84"/>
      <c r="S128" s="136"/>
      <c r="T128" s="136"/>
      <c r="V128" s="136"/>
    </row>
    <row r="129" spans="1:22">
      <c r="A129" s="71" t="s">
        <v>6254</v>
      </c>
      <c r="B129" s="67" t="s">
        <v>6255</v>
      </c>
      <c r="C129" s="71" t="s">
        <v>207</v>
      </c>
      <c r="D129" s="78">
        <v>6.06</v>
      </c>
      <c r="E129" s="663">
        <v>2</v>
      </c>
      <c r="H129" s="178">
        <v>6.06</v>
      </c>
      <c r="J129" s="294"/>
      <c r="K129" s="295"/>
      <c r="L129" s="72"/>
      <c r="M129" s="133"/>
      <c r="N129" s="72"/>
      <c r="O129" s="224"/>
      <c r="P129" s="219"/>
      <c r="Q129" s="84"/>
      <c r="S129" s="136"/>
      <c r="T129" s="136"/>
      <c r="V129" s="136"/>
    </row>
    <row r="130" spans="1:22">
      <c r="A130" s="71" t="s">
        <v>6256</v>
      </c>
      <c r="B130" s="67" t="s">
        <v>6257</v>
      </c>
      <c r="C130" s="71" t="s">
        <v>207</v>
      </c>
      <c r="D130" s="78">
        <v>2.95</v>
      </c>
      <c r="E130" s="663">
        <v>2</v>
      </c>
      <c r="H130" s="178">
        <v>2.95</v>
      </c>
      <c r="J130" s="294"/>
      <c r="K130" s="295"/>
      <c r="L130" s="72"/>
      <c r="M130" s="133"/>
      <c r="N130" s="72"/>
      <c r="O130" s="224"/>
      <c r="P130" s="219"/>
      <c r="Q130" s="84"/>
      <c r="S130" s="136"/>
      <c r="T130" s="136"/>
      <c r="V130" s="136"/>
    </row>
    <row r="131" spans="1:22">
      <c r="A131" s="71" t="s">
        <v>6258</v>
      </c>
      <c r="B131" s="67" t="s">
        <v>6259</v>
      </c>
      <c r="C131" s="71" t="s">
        <v>207</v>
      </c>
      <c r="D131" s="78">
        <v>15.49</v>
      </c>
      <c r="E131" s="663">
        <v>2</v>
      </c>
      <c r="H131" s="178">
        <v>15.49</v>
      </c>
      <c r="J131" s="294"/>
      <c r="K131" s="295"/>
      <c r="L131" s="72"/>
      <c r="M131" s="133"/>
      <c r="N131" s="72"/>
      <c r="O131" s="224"/>
      <c r="P131" s="219"/>
      <c r="Q131" s="84"/>
      <c r="S131" s="136"/>
      <c r="T131" s="136"/>
      <c r="V131" s="136"/>
    </row>
    <row r="132" spans="1:22">
      <c r="A132" s="71" t="s">
        <v>6260</v>
      </c>
      <c r="B132" s="67" t="s">
        <v>6261</v>
      </c>
      <c r="C132" s="71" t="s">
        <v>153</v>
      </c>
      <c r="D132" s="78">
        <v>13.39</v>
      </c>
      <c r="E132" s="663">
        <v>2</v>
      </c>
      <c r="H132" s="721">
        <v>13.39</v>
      </c>
      <c r="J132" s="294"/>
      <c r="K132" s="295"/>
      <c r="M132" s="72"/>
      <c r="N132" s="133"/>
      <c r="O132" s="72"/>
      <c r="P132" s="224"/>
      <c r="Q132" s="219"/>
      <c r="T132" s="136"/>
      <c r="V132" s="136"/>
    </row>
    <row r="133" spans="1:22">
      <c r="A133" s="71" t="s">
        <v>6262</v>
      </c>
      <c r="B133" s="67" t="s">
        <v>6263</v>
      </c>
      <c r="C133" s="71" t="s">
        <v>121</v>
      </c>
      <c r="D133" s="78">
        <v>2561.98</v>
      </c>
      <c r="E133" s="663">
        <v>2</v>
      </c>
      <c r="H133" s="178">
        <v>2561.98</v>
      </c>
      <c r="J133" s="294"/>
      <c r="K133" s="295"/>
      <c r="L133" s="72"/>
      <c r="M133" s="133"/>
      <c r="N133" s="72"/>
      <c r="O133" s="224"/>
      <c r="P133" s="219"/>
      <c r="Q133" s="84"/>
      <c r="S133" s="136"/>
      <c r="T133" s="136"/>
      <c r="V133" s="136"/>
    </row>
    <row r="134" spans="1:22">
      <c r="A134" s="71" t="s">
        <v>6264</v>
      </c>
      <c r="B134" s="67" t="s">
        <v>6265</v>
      </c>
      <c r="C134" s="71" t="s">
        <v>121</v>
      </c>
      <c r="D134" s="78">
        <v>3567.01</v>
      </c>
      <c r="E134" s="663">
        <v>2</v>
      </c>
      <c r="H134" s="178">
        <v>3567.01</v>
      </c>
      <c r="J134" s="294"/>
      <c r="K134" s="295"/>
      <c r="L134" s="72"/>
      <c r="M134" s="133"/>
      <c r="N134" s="72"/>
      <c r="O134" s="224"/>
      <c r="P134" s="219"/>
      <c r="Q134" s="84"/>
      <c r="S134" s="136"/>
      <c r="T134" s="136"/>
      <c r="V134" s="136"/>
    </row>
    <row r="135" spans="1:22">
      <c r="A135" s="71" t="s">
        <v>6266</v>
      </c>
      <c r="B135" s="67" t="s">
        <v>6267</v>
      </c>
      <c r="C135" s="71" t="s">
        <v>121</v>
      </c>
      <c r="D135" s="78">
        <v>5145.67</v>
      </c>
      <c r="E135" s="663">
        <v>2</v>
      </c>
      <c r="H135" s="178">
        <v>5145.67</v>
      </c>
      <c r="J135" s="294"/>
      <c r="K135" s="295"/>
      <c r="L135" s="72"/>
      <c r="M135" s="133"/>
      <c r="N135" s="72"/>
      <c r="O135" s="224"/>
      <c r="P135" s="219"/>
      <c r="Q135" s="84"/>
      <c r="S135" s="136"/>
      <c r="T135" s="136"/>
      <c r="V135" s="136"/>
    </row>
    <row r="136" spans="1:22">
      <c r="A136" s="71" t="s">
        <v>6268</v>
      </c>
      <c r="B136" s="67" t="s">
        <v>6269</v>
      </c>
      <c r="C136" s="71" t="s">
        <v>165</v>
      </c>
      <c r="D136" s="78">
        <v>10.63</v>
      </c>
      <c r="E136" s="663">
        <v>2</v>
      </c>
      <c r="H136" s="178">
        <v>10.63</v>
      </c>
      <c r="J136" s="294"/>
      <c r="K136" s="295"/>
      <c r="L136" s="72"/>
      <c r="M136" s="133"/>
      <c r="N136" s="72"/>
      <c r="O136" s="224"/>
      <c r="P136" s="219"/>
      <c r="Q136" s="84"/>
      <c r="S136" s="136"/>
      <c r="T136" s="136"/>
      <c r="V136" s="136"/>
    </row>
    <row r="137" spans="1:22">
      <c r="A137" s="71" t="s">
        <v>6270</v>
      </c>
      <c r="B137" s="67" t="s">
        <v>6271</v>
      </c>
      <c r="C137" s="71" t="s">
        <v>165</v>
      </c>
      <c r="D137" s="78">
        <v>10.34</v>
      </c>
      <c r="E137" s="663">
        <v>2</v>
      </c>
      <c r="H137" s="178">
        <v>10.34</v>
      </c>
      <c r="J137" s="294"/>
      <c r="K137" s="295"/>
      <c r="L137" s="72"/>
      <c r="M137" s="133"/>
      <c r="N137" s="72"/>
      <c r="O137" s="224"/>
      <c r="P137" s="219"/>
      <c r="Q137" s="84"/>
      <c r="S137" s="136"/>
      <c r="T137" s="136"/>
    </row>
    <row r="138" spans="1:22">
      <c r="A138" s="71" t="s">
        <v>6272</v>
      </c>
      <c r="B138" s="67" t="s">
        <v>6273</v>
      </c>
      <c r="C138" s="71" t="s">
        <v>165</v>
      </c>
      <c r="D138" s="78">
        <v>3.87</v>
      </c>
      <c r="E138" s="663">
        <v>2</v>
      </c>
      <c r="H138" s="178">
        <v>3.87</v>
      </c>
      <c r="J138" s="294"/>
      <c r="K138" s="295"/>
      <c r="L138" s="72"/>
      <c r="M138" s="133"/>
      <c r="N138" s="72"/>
      <c r="O138" s="224"/>
      <c r="P138" s="219"/>
      <c r="Q138" s="84"/>
      <c r="S138" s="136"/>
      <c r="T138" s="136"/>
    </row>
    <row r="139" spans="1:22">
      <c r="A139" s="71" t="s">
        <v>6274</v>
      </c>
      <c r="B139" s="67" t="s">
        <v>6275</v>
      </c>
      <c r="C139" s="71" t="s">
        <v>165</v>
      </c>
      <c r="D139" s="78">
        <v>6.98</v>
      </c>
      <c r="E139" s="663">
        <v>2</v>
      </c>
      <c r="H139" s="178">
        <v>6.98</v>
      </c>
      <c r="J139" s="294"/>
      <c r="K139" s="295"/>
      <c r="L139" s="72"/>
      <c r="M139" s="133"/>
      <c r="N139" s="72"/>
      <c r="O139" s="224"/>
      <c r="P139" s="219"/>
      <c r="Q139" s="84"/>
      <c r="S139" s="136"/>
      <c r="T139" s="136"/>
    </row>
    <row r="140" spans="1:22">
      <c r="A140" s="71" t="s">
        <v>6276</v>
      </c>
      <c r="B140" s="67" t="s">
        <v>6277</v>
      </c>
      <c r="C140" s="71" t="s">
        <v>165</v>
      </c>
      <c r="D140" s="78">
        <v>6.98</v>
      </c>
      <c r="E140" s="663">
        <v>2</v>
      </c>
      <c r="H140" s="178">
        <v>6.98</v>
      </c>
      <c r="J140" s="294"/>
      <c r="K140" s="295"/>
      <c r="L140" s="72"/>
      <c r="M140" s="133"/>
      <c r="N140" s="72"/>
      <c r="O140" s="224"/>
      <c r="P140" s="219"/>
      <c r="Q140" s="84"/>
      <c r="S140" s="136"/>
      <c r="T140" s="136"/>
    </row>
    <row r="141" spans="1:22">
      <c r="A141" s="71" t="s">
        <v>6278</v>
      </c>
      <c r="B141" s="67" t="s">
        <v>6279</v>
      </c>
      <c r="C141" s="71" t="s">
        <v>165</v>
      </c>
      <c r="D141" s="78">
        <v>4.92</v>
      </c>
      <c r="E141" s="663">
        <v>2</v>
      </c>
      <c r="H141" s="178">
        <v>4.92</v>
      </c>
      <c r="J141" s="294"/>
      <c r="K141" s="295"/>
      <c r="L141" s="72"/>
      <c r="M141" s="133"/>
      <c r="N141" s="72"/>
      <c r="O141" s="224"/>
      <c r="P141" s="219"/>
      <c r="Q141" s="84"/>
      <c r="S141" s="136"/>
      <c r="T141" s="136"/>
    </row>
    <row r="142" spans="1:22">
      <c r="A142" s="71" t="s">
        <v>6280</v>
      </c>
      <c r="B142" s="67" t="s">
        <v>6281</v>
      </c>
      <c r="C142" s="71" t="s">
        <v>509</v>
      </c>
      <c r="D142" s="78">
        <v>59.48</v>
      </c>
      <c r="E142" s="663">
        <v>2</v>
      </c>
      <c r="H142" s="178">
        <v>59.48</v>
      </c>
      <c r="J142" s="294"/>
      <c r="K142" s="295"/>
      <c r="L142" s="72"/>
      <c r="M142" s="133"/>
      <c r="N142" s="72"/>
      <c r="O142" s="224"/>
      <c r="P142" s="219"/>
      <c r="Q142" s="84"/>
      <c r="S142" s="136"/>
      <c r="T142" s="136"/>
    </row>
    <row r="143" spans="1:22">
      <c r="A143" s="71" t="s">
        <v>6282</v>
      </c>
      <c r="B143" s="67" t="s">
        <v>6283</v>
      </c>
      <c r="C143" s="71" t="s">
        <v>165</v>
      </c>
      <c r="D143" s="78">
        <v>25.68</v>
      </c>
      <c r="E143" s="663">
        <v>2</v>
      </c>
      <c r="H143" s="178">
        <v>25.68</v>
      </c>
      <c r="J143" s="294"/>
      <c r="K143" s="295"/>
      <c r="L143" s="72"/>
      <c r="M143" s="133"/>
      <c r="N143" s="72"/>
      <c r="O143" s="224"/>
      <c r="P143" s="219"/>
      <c r="Q143" s="84"/>
      <c r="S143" s="136"/>
      <c r="T143" s="136"/>
    </row>
    <row r="144" spans="1:22">
      <c r="A144" s="71" t="s">
        <v>6284</v>
      </c>
      <c r="B144" s="67" t="s">
        <v>6285</v>
      </c>
      <c r="C144" s="71" t="s">
        <v>165</v>
      </c>
      <c r="D144" s="78">
        <v>51.95</v>
      </c>
      <c r="E144" s="663">
        <v>2</v>
      </c>
      <c r="H144" s="178">
        <v>51.95</v>
      </c>
      <c r="J144" s="294"/>
      <c r="K144" s="295"/>
      <c r="L144" s="72"/>
      <c r="M144" s="133"/>
      <c r="N144" s="72"/>
      <c r="O144" s="224"/>
      <c r="P144" s="219"/>
      <c r="Q144" s="84"/>
      <c r="S144" s="136"/>
      <c r="T144" s="136"/>
    </row>
    <row r="145" spans="1:22">
      <c r="A145" s="71" t="s">
        <v>6286</v>
      </c>
      <c r="B145" s="67" t="s">
        <v>6287</v>
      </c>
      <c r="C145" s="71" t="s">
        <v>509</v>
      </c>
      <c r="D145" s="78">
        <v>45.04</v>
      </c>
      <c r="E145" s="663">
        <v>2</v>
      </c>
      <c r="H145" s="178">
        <v>45.04</v>
      </c>
      <c r="J145" s="313"/>
      <c r="K145" s="295"/>
      <c r="L145" s="72"/>
      <c r="M145" s="133"/>
      <c r="N145" s="72"/>
      <c r="O145" s="224"/>
      <c r="P145" s="219"/>
      <c r="Q145" s="84"/>
      <c r="S145" s="136"/>
      <c r="T145" s="136"/>
    </row>
    <row r="146" spans="1:22">
      <c r="A146" s="71" t="s">
        <v>6288</v>
      </c>
      <c r="B146" s="67" t="s">
        <v>6289</v>
      </c>
      <c r="C146" s="71" t="s">
        <v>509</v>
      </c>
      <c r="D146" s="78">
        <v>24.06</v>
      </c>
      <c r="E146" s="663">
        <v>2</v>
      </c>
      <c r="H146" s="178">
        <v>24.06</v>
      </c>
      <c r="J146" s="294"/>
      <c r="K146" s="295"/>
      <c r="L146" s="72"/>
      <c r="M146" s="133"/>
      <c r="N146" s="72"/>
      <c r="O146" s="224"/>
      <c r="P146" s="219"/>
      <c r="Q146" s="84"/>
      <c r="S146" s="136"/>
      <c r="T146" s="136"/>
    </row>
    <row r="147" spans="1:22">
      <c r="A147" s="71" t="s">
        <v>6290</v>
      </c>
      <c r="B147" s="67" t="s">
        <v>6291</v>
      </c>
      <c r="C147" s="71" t="s">
        <v>165</v>
      </c>
      <c r="D147" s="78">
        <v>35.72</v>
      </c>
      <c r="E147" s="663">
        <v>2</v>
      </c>
      <c r="H147" s="178">
        <v>35.72</v>
      </c>
      <c r="J147" s="294"/>
      <c r="K147" s="295"/>
      <c r="L147" s="72"/>
      <c r="M147" s="133"/>
      <c r="N147" s="72"/>
      <c r="O147" s="224"/>
      <c r="P147" s="219"/>
      <c r="Q147" s="84"/>
      <c r="S147" s="136"/>
      <c r="T147" s="136"/>
    </row>
    <row r="148" spans="1:22">
      <c r="A148" s="71" t="s">
        <v>6292</v>
      </c>
      <c r="B148" s="67" t="s">
        <v>6293</v>
      </c>
      <c r="C148" s="71" t="s">
        <v>509</v>
      </c>
      <c r="D148" s="78">
        <v>28.48</v>
      </c>
      <c r="E148" s="663">
        <v>2</v>
      </c>
      <c r="H148" s="178">
        <v>28.48</v>
      </c>
      <c r="J148" s="294"/>
      <c r="K148" s="295"/>
      <c r="L148" s="72"/>
      <c r="M148" s="133"/>
      <c r="N148" s="72"/>
      <c r="O148" s="224"/>
      <c r="P148" s="219"/>
      <c r="Q148" s="84"/>
      <c r="S148" s="136"/>
      <c r="T148" s="136"/>
    </row>
    <row r="149" spans="1:22">
      <c r="A149" s="71" t="s">
        <v>6294</v>
      </c>
      <c r="B149" s="67" t="s">
        <v>6295</v>
      </c>
      <c r="C149" s="71" t="s">
        <v>509</v>
      </c>
      <c r="D149" s="78">
        <v>35.89</v>
      </c>
      <c r="E149" s="663">
        <v>2</v>
      </c>
      <c r="H149" s="178">
        <v>35.89</v>
      </c>
      <c r="J149" s="294"/>
      <c r="K149" s="295"/>
      <c r="L149" s="72"/>
      <c r="M149" s="133"/>
      <c r="N149" s="72"/>
      <c r="O149" s="224"/>
      <c r="P149" s="219"/>
      <c r="Q149" s="84"/>
      <c r="S149" s="136"/>
      <c r="T149" s="136"/>
    </row>
    <row r="150" spans="1:22">
      <c r="A150" s="71" t="s">
        <v>6296</v>
      </c>
      <c r="B150" s="67" t="s">
        <v>6297</v>
      </c>
      <c r="C150" s="71" t="s">
        <v>509</v>
      </c>
      <c r="D150" s="78">
        <v>39.270000000000003</v>
      </c>
      <c r="E150" s="663">
        <v>2</v>
      </c>
      <c r="H150" s="178">
        <v>39.270000000000003</v>
      </c>
      <c r="J150" s="294"/>
      <c r="K150" s="295"/>
      <c r="L150" s="72"/>
      <c r="M150" s="133"/>
      <c r="N150" s="72"/>
      <c r="O150" s="224"/>
      <c r="P150" s="219"/>
      <c r="Q150" s="84"/>
      <c r="S150" s="136"/>
      <c r="T150" s="136"/>
    </row>
    <row r="151" spans="1:22">
      <c r="A151" s="71" t="s">
        <v>6298</v>
      </c>
      <c r="B151" s="67" t="s">
        <v>6299</v>
      </c>
      <c r="C151" s="71" t="s">
        <v>509</v>
      </c>
      <c r="D151" s="78">
        <v>18.23</v>
      </c>
      <c r="E151" s="663">
        <v>2</v>
      </c>
      <c r="H151" s="178">
        <v>18.23</v>
      </c>
      <c r="J151" s="294"/>
      <c r="K151" s="295"/>
      <c r="L151" s="72"/>
      <c r="M151" s="133"/>
      <c r="N151" s="72"/>
      <c r="O151" s="224"/>
      <c r="P151" s="219"/>
      <c r="Q151" s="84"/>
      <c r="S151" s="136"/>
      <c r="T151" s="136"/>
    </row>
    <row r="152" spans="1:22">
      <c r="A152" s="71" t="s">
        <v>6300</v>
      </c>
      <c r="B152" s="67" t="s">
        <v>6301</v>
      </c>
      <c r="C152" s="71" t="s">
        <v>509</v>
      </c>
      <c r="D152" s="78">
        <v>267.64</v>
      </c>
      <c r="E152" s="663">
        <v>2</v>
      </c>
      <c r="H152" s="178">
        <v>267.64</v>
      </c>
      <c r="J152" s="294"/>
      <c r="K152" s="295"/>
      <c r="L152" s="72"/>
      <c r="M152" s="133"/>
      <c r="N152" s="72"/>
      <c r="O152" s="224"/>
      <c r="P152" s="219"/>
      <c r="Q152" s="84"/>
      <c r="S152" s="136"/>
      <c r="T152" s="136"/>
    </row>
    <row r="153" spans="1:22">
      <c r="A153" s="71" t="s">
        <v>6302</v>
      </c>
      <c r="B153" s="67" t="s">
        <v>6303</v>
      </c>
      <c r="C153" s="71" t="s">
        <v>165</v>
      </c>
      <c r="D153" s="78">
        <v>11.57</v>
      </c>
      <c r="E153" s="663">
        <v>2</v>
      </c>
      <c r="H153" s="178">
        <v>11.57</v>
      </c>
      <c r="J153" s="294"/>
      <c r="K153" s="295"/>
      <c r="L153" s="72"/>
      <c r="M153" s="133"/>
      <c r="N153" s="72"/>
      <c r="O153" s="224"/>
      <c r="P153" s="219"/>
      <c r="Q153" s="84"/>
      <c r="S153" s="136"/>
      <c r="T153" s="136"/>
      <c r="V153" s="136"/>
    </row>
    <row r="154" spans="1:22">
      <c r="A154" s="71" t="s">
        <v>6304</v>
      </c>
      <c r="B154" s="67" t="s">
        <v>6305</v>
      </c>
      <c r="C154" s="71" t="s">
        <v>165</v>
      </c>
      <c r="D154" s="78">
        <v>10.24</v>
      </c>
      <c r="E154" s="663">
        <v>2</v>
      </c>
      <c r="H154" s="178">
        <v>10.24</v>
      </c>
      <c r="J154" s="294"/>
      <c r="K154" s="295"/>
      <c r="L154" s="72"/>
      <c r="M154" s="133"/>
      <c r="N154" s="72"/>
      <c r="O154" s="224"/>
      <c r="P154" s="219"/>
      <c r="Q154" s="84"/>
      <c r="S154" s="136"/>
      <c r="T154" s="136"/>
      <c r="V154" s="136"/>
    </row>
    <row r="155" spans="1:22">
      <c r="A155" s="71" t="s">
        <v>6306</v>
      </c>
      <c r="B155" s="67" t="s">
        <v>6307</v>
      </c>
      <c r="C155" s="71" t="s">
        <v>165</v>
      </c>
      <c r="D155" s="78">
        <v>6</v>
      </c>
      <c r="E155" s="663">
        <v>2</v>
      </c>
      <c r="H155" s="178">
        <v>6</v>
      </c>
      <c r="J155" s="294"/>
      <c r="K155" s="295"/>
      <c r="L155" s="72"/>
      <c r="M155" s="133"/>
      <c r="N155" s="72"/>
      <c r="O155" s="224"/>
      <c r="P155" s="219"/>
      <c r="Q155" s="84"/>
      <c r="S155" s="136"/>
      <c r="T155" s="136"/>
    </row>
    <row r="156" spans="1:22">
      <c r="A156" s="71" t="s">
        <v>6308</v>
      </c>
      <c r="B156" s="67" t="s">
        <v>6309</v>
      </c>
      <c r="C156" s="71" t="s">
        <v>165</v>
      </c>
      <c r="D156" s="78">
        <v>20.22</v>
      </c>
      <c r="E156" s="663">
        <v>2</v>
      </c>
      <c r="H156" s="178">
        <v>20.22</v>
      </c>
      <c r="J156" s="294"/>
      <c r="K156" s="295"/>
      <c r="L156" s="72"/>
      <c r="M156" s="133"/>
      <c r="N156" s="72"/>
      <c r="O156" s="224"/>
      <c r="P156" s="219"/>
      <c r="Q156" s="84"/>
      <c r="S156" s="136"/>
      <c r="T156" s="136"/>
    </row>
    <row r="157" spans="1:22">
      <c r="A157" s="71" t="s">
        <v>6310</v>
      </c>
      <c r="B157" s="67" t="s">
        <v>6311</v>
      </c>
      <c r="C157" s="71" t="s">
        <v>165</v>
      </c>
      <c r="D157" s="78">
        <v>6.79</v>
      </c>
      <c r="E157" s="663">
        <v>2</v>
      </c>
      <c r="H157" s="178">
        <v>6.79</v>
      </c>
      <c r="J157" s="294"/>
      <c r="K157" s="295"/>
      <c r="L157" s="72"/>
      <c r="M157" s="133"/>
      <c r="N157" s="72"/>
      <c r="O157" s="137"/>
      <c r="P157" s="138"/>
      <c r="Q157" s="84"/>
      <c r="S157" s="136"/>
      <c r="T157" s="136"/>
    </row>
    <row r="158" spans="1:22">
      <c r="A158" s="71" t="s">
        <v>6312</v>
      </c>
      <c r="B158" s="67" t="s">
        <v>6313</v>
      </c>
      <c r="C158" s="71" t="s">
        <v>165</v>
      </c>
      <c r="D158" s="78">
        <v>8.07</v>
      </c>
      <c r="E158" s="663">
        <v>2</v>
      </c>
      <c r="H158" s="178">
        <v>8.07</v>
      </c>
      <c r="J158" s="294"/>
      <c r="K158" s="295"/>
      <c r="L158" s="72"/>
      <c r="M158" s="133"/>
      <c r="N158" s="72"/>
      <c r="O158" s="224"/>
      <c r="P158" s="219"/>
      <c r="Q158" s="84"/>
      <c r="S158" s="136"/>
      <c r="T158" s="136"/>
    </row>
    <row r="159" spans="1:22">
      <c r="A159" s="71" t="s">
        <v>6314</v>
      </c>
      <c r="B159" s="67" t="s">
        <v>6315</v>
      </c>
      <c r="C159" s="71" t="s">
        <v>165</v>
      </c>
      <c r="D159" s="78">
        <v>3.87</v>
      </c>
      <c r="E159" s="663">
        <v>2</v>
      </c>
      <c r="H159" s="178">
        <v>3.87</v>
      </c>
      <c r="J159" s="294"/>
      <c r="K159" s="295"/>
      <c r="L159" s="72"/>
      <c r="M159" s="133"/>
      <c r="N159" s="72"/>
      <c r="O159" s="224"/>
      <c r="P159" s="219"/>
      <c r="Q159" s="84"/>
      <c r="S159" s="136"/>
      <c r="T159" s="136"/>
    </row>
    <row r="160" spans="1:22">
      <c r="A160" s="71" t="s">
        <v>6316</v>
      </c>
      <c r="B160" s="67" t="s">
        <v>6317</v>
      </c>
      <c r="C160" s="71" t="s">
        <v>165</v>
      </c>
      <c r="D160" s="78">
        <v>4.47</v>
      </c>
      <c r="E160" s="663">
        <v>2</v>
      </c>
      <c r="H160" s="178">
        <v>4.47</v>
      </c>
      <c r="J160" s="294"/>
      <c r="K160" s="295"/>
      <c r="L160" s="72"/>
      <c r="M160" s="133"/>
      <c r="N160" s="72"/>
      <c r="O160" s="224"/>
      <c r="P160" s="219"/>
      <c r="Q160" s="84"/>
      <c r="S160" s="136"/>
      <c r="T160" s="136"/>
    </row>
    <row r="161" spans="1:22">
      <c r="A161" s="71" t="s">
        <v>6318</v>
      </c>
      <c r="B161" s="67" t="s">
        <v>6319</v>
      </c>
      <c r="C161" s="71" t="s">
        <v>165</v>
      </c>
      <c r="D161" s="78">
        <v>5.86</v>
      </c>
      <c r="E161" s="663">
        <v>2</v>
      </c>
      <c r="H161" s="178">
        <v>5.86</v>
      </c>
      <c r="J161" s="294"/>
      <c r="K161" s="295"/>
      <c r="L161" s="72"/>
      <c r="M161" s="133"/>
      <c r="N161" s="72"/>
      <c r="O161" s="224"/>
      <c r="P161" s="219"/>
      <c r="Q161" s="84"/>
      <c r="S161" s="136"/>
      <c r="T161" s="136"/>
    </row>
    <row r="162" spans="1:22">
      <c r="A162" s="71" t="s">
        <v>6320</v>
      </c>
      <c r="B162" s="67" t="s">
        <v>6321</v>
      </c>
      <c r="C162" s="71" t="s">
        <v>165</v>
      </c>
      <c r="D162" s="78">
        <v>6.35</v>
      </c>
      <c r="E162" s="663">
        <v>2</v>
      </c>
      <c r="H162" s="178">
        <v>6.35</v>
      </c>
      <c r="J162" s="294"/>
      <c r="K162" s="295"/>
      <c r="L162" s="72"/>
      <c r="M162" s="133"/>
      <c r="N162" s="72"/>
      <c r="O162" s="224"/>
      <c r="P162" s="219"/>
      <c r="Q162" s="84"/>
      <c r="S162" s="136"/>
      <c r="T162" s="136"/>
      <c r="V162" s="136"/>
    </row>
    <row r="163" spans="1:22">
      <c r="A163" s="71" t="s">
        <v>6322</v>
      </c>
      <c r="B163" s="67" t="s">
        <v>6323</v>
      </c>
      <c r="C163" s="71" t="s">
        <v>509</v>
      </c>
      <c r="D163" s="78">
        <v>20.079999999999998</v>
      </c>
      <c r="E163" s="663">
        <v>2</v>
      </c>
      <c r="H163" s="178">
        <v>20.079999999999998</v>
      </c>
      <c r="J163" s="294"/>
      <c r="K163" s="295"/>
      <c r="M163" s="72"/>
      <c r="N163" s="133"/>
      <c r="O163" s="72"/>
      <c r="P163" s="224"/>
      <c r="Q163" s="219"/>
      <c r="T163" s="136"/>
      <c r="V163" s="136"/>
    </row>
    <row r="164" spans="1:22">
      <c r="A164" s="71" t="s">
        <v>6324</v>
      </c>
      <c r="B164" s="67" t="s">
        <v>6325</v>
      </c>
      <c r="C164" s="71" t="s">
        <v>103</v>
      </c>
      <c r="D164" s="78">
        <v>18.649999999999999</v>
      </c>
      <c r="E164" s="663">
        <v>2</v>
      </c>
      <c r="H164" s="178">
        <v>18.649999999999999</v>
      </c>
      <c r="J164" s="294"/>
      <c r="K164" s="295"/>
      <c r="L164" s="72"/>
      <c r="M164" s="133"/>
      <c r="N164" s="72"/>
      <c r="O164" s="224"/>
      <c r="P164" s="219"/>
      <c r="Q164" s="84"/>
      <c r="S164" s="136"/>
      <c r="T164" s="136"/>
      <c r="V164" s="136"/>
    </row>
    <row r="165" spans="1:22" ht="24">
      <c r="A165" s="71" t="s">
        <v>32934</v>
      </c>
      <c r="B165" s="65" t="s">
        <v>32935</v>
      </c>
      <c r="C165" s="71" t="s">
        <v>509</v>
      </c>
      <c r="D165" s="78">
        <v>30.38</v>
      </c>
      <c r="E165" s="663">
        <v>2</v>
      </c>
      <c r="H165" s="178">
        <v>30.38</v>
      </c>
      <c r="J165" s="294"/>
      <c r="K165" s="295"/>
      <c r="L165" s="72"/>
      <c r="M165" s="133"/>
      <c r="N165" s="72"/>
      <c r="O165" s="224"/>
      <c r="P165" s="219"/>
      <c r="Q165" s="84"/>
      <c r="S165" s="136"/>
      <c r="T165" s="136"/>
    </row>
    <row r="166" spans="1:22">
      <c r="A166" s="71" t="s">
        <v>6326</v>
      </c>
      <c r="B166" s="67" t="s">
        <v>6327</v>
      </c>
      <c r="C166" s="71" t="s">
        <v>103</v>
      </c>
      <c r="D166" s="78">
        <v>11.57</v>
      </c>
      <c r="E166" s="663">
        <v>2</v>
      </c>
      <c r="H166" s="721">
        <v>11.57</v>
      </c>
      <c r="J166" s="294"/>
      <c r="K166" s="295"/>
      <c r="M166" s="72"/>
      <c r="N166" s="133"/>
      <c r="O166" s="72"/>
      <c r="P166" s="224"/>
      <c r="Q166" s="219"/>
      <c r="T166" s="136"/>
      <c r="V166" s="136"/>
    </row>
    <row r="167" spans="1:22">
      <c r="A167" s="71" t="s">
        <v>6328</v>
      </c>
      <c r="B167" s="67" t="s">
        <v>6329</v>
      </c>
      <c r="C167" s="71" t="s">
        <v>103</v>
      </c>
      <c r="D167" s="78">
        <v>10.09</v>
      </c>
      <c r="E167" s="663">
        <v>2</v>
      </c>
      <c r="H167" s="721">
        <v>10.09</v>
      </c>
      <c r="J167" s="294"/>
      <c r="K167" s="295"/>
      <c r="M167" s="72"/>
      <c r="N167" s="133"/>
      <c r="O167" s="72"/>
      <c r="P167" s="224"/>
      <c r="Q167" s="219"/>
      <c r="T167" s="136"/>
      <c r="V167" s="136"/>
    </row>
    <row r="168" spans="1:22">
      <c r="A168" s="71" t="s">
        <v>6330</v>
      </c>
      <c r="B168" s="67" t="s">
        <v>6331</v>
      </c>
      <c r="C168" s="71" t="s">
        <v>6332</v>
      </c>
      <c r="D168" s="78">
        <v>149.68</v>
      </c>
      <c r="E168" s="663">
        <v>2</v>
      </c>
      <c r="H168" s="178">
        <v>149.68</v>
      </c>
      <c r="J168" s="294"/>
      <c r="K168" s="295"/>
      <c r="L168" s="72"/>
      <c r="M168" s="133"/>
      <c r="N168" s="72"/>
      <c r="O168" s="224"/>
      <c r="P168" s="219"/>
      <c r="Q168" s="84"/>
      <c r="S168" s="136"/>
      <c r="T168" s="136"/>
      <c r="V168" s="136"/>
    </row>
    <row r="169" spans="1:22" ht="12">
      <c r="A169" s="71" t="s">
        <v>32926</v>
      </c>
      <c r="B169" s="65" t="s">
        <v>32927</v>
      </c>
      <c r="C169" s="71" t="s">
        <v>153</v>
      </c>
      <c r="D169" s="78">
        <v>11.89</v>
      </c>
      <c r="E169" s="663">
        <v>2</v>
      </c>
      <c r="H169" s="178">
        <v>11.89</v>
      </c>
      <c r="J169" s="294"/>
      <c r="K169" s="295"/>
      <c r="L169" s="72"/>
      <c r="M169" s="133"/>
      <c r="N169" s="72"/>
      <c r="O169" s="224"/>
      <c r="P169" s="219"/>
      <c r="Q169" s="84"/>
      <c r="S169" s="136"/>
      <c r="T169" s="136"/>
    </row>
    <row r="170" spans="1:22">
      <c r="A170" s="71" t="s">
        <v>6333</v>
      </c>
      <c r="B170" s="67" t="s">
        <v>6334</v>
      </c>
      <c r="C170" s="71" t="s">
        <v>165</v>
      </c>
      <c r="D170" s="78">
        <v>22.89</v>
      </c>
      <c r="E170" s="663">
        <v>2</v>
      </c>
      <c r="H170" s="178">
        <v>22.89</v>
      </c>
      <c r="J170" s="294"/>
      <c r="K170" s="295"/>
      <c r="M170" s="72"/>
      <c r="N170" s="133"/>
      <c r="O170" s="72"/>
      <c r="P170" s="224"/>
      <c r="Q170" s="219"/>
      <c r="T170" s="136"/>
      <c r="V170" s="136"/>
    </row>
    <row r="171" spans="1:22">
      <c r="A171" s="71" t="s">
        <v>6335</v>
      </c>
      <c r="B171" s="67" t="s">
        <v>6336</v>
      </c>
      <c r="C171" s="71" t="s">
        <v>165</v>
      </c>
      <c r="D171" s="78">
        <v>69.39</v>
      </c>
      <c r="E171" s="663">
        <v>2</v>
      </c>
      <c r="H171" s="178">
        <v>69.39</v>
      </c>
      <c r="J171" s="294"/>
      <c r="K171" s="295"/>
      <c r="L171" s="72"/>
      <c r="M171" s="133"/>
      <c r="N171" s="72"/>
      <c r="O171" s="224"/>
      <c r="P171" s="219"/>
      <c r="Q171" s="84"/>
      <c r="S171" s="136"/>
      <c r="T171" s="136"/>
      <c r="V171" s="136"/>
    </row>
    <row r="172" spans="1:22">
      <c r="A172" s="71" t="s">
        <v>6337</v>
      </c>
      <c r="B172" s="67" t="s">
        <v>6338</v>
      </c>
      <c r="C172" s="71" t="s">
        <v>165</v>
      </c>
      <c r="D172" s="78">
        <v>107.91</v>
      </c>
      <c r="E172" s="663">
        <v>2</v>
      </c>
      <c r="H172" s="178">
        <v>107.91</v>
      </c>
      <c r="J172" s="294"/>
      <c r="K172" s="295"/>
      <c r="L172" s="72"/>
      <c r="M172" s="133"/>
      <c r="N172" s="72"/>
      <c r="O172" s="224"/>
      <c r="P172" s="219"/>
      <c r="Q172" s="84"/>
      <c r="S172" s="136"/>
      <c r="T172" s="136"/>
      <c r="V172" s="136"/>
    </row>
    <row r="173" spans="1:22">
      <c r="A173" s="71" t="s">
        <v>6339</v>
      </c>
      <c r="B173" s="67" t="s">
        <v>6340</v>
      </c>
      <c r="C173" s="71" t="s">
        <v>165</v>
      </c>
      <c r="D173" s="78">
        <v>86.73</v>
      </c>
      <c r="E173" s="663">
        <v>2</v>
      </c>
      <c r="H173" s="178">
        <v>86.73</v>
      </c>
      <c r="J173" s="294"/>
      <c r="K173" s="295"/>
      <c r="L173" s="72"/>
      <c r="M173" s="133"/>
      <c r="N173" s="72"/>
      <c r="O173" s="224"/>
      <c r="P173" s="219"/>
      <c r="Q173" s="84"/>
      <c r="S173" s="136"/>
      <c r="T173" s="136"/>
      <c r="V173" s="136"/>
    </row>
    <row r="174" spans="1:22">
      <c r="A174" s="71" t="s">
        <v>6341</v>
      </c>
      <c r="B174" s="67" t="s">
        <v>6342</v>
      </c>
      <c r="C174" s="71" t="s">
        <v>165</v>
      </c>
      <c r="D174" s="78">
        <v>130.54</v>
      </c>
      <c r="E174" s="663">
        <v>2</v>
      </c>
      <c r="H174" s="178">
        <v>130.54</v>
      </c>
      <c r="J174" s="294"/>
      <c r="K174" s="295"/>
      <c r="L174" s="72"/>
      <c r="M174" s="133"/>
      <c r="N174" s="72"/>
      <c r="O174" s="224"/>
      <c r="P174" s="219"/>
      <c r="Q174" s="84"/>
      <c r="S174" s="136"/>
      <c r="T174" s="136"/>
      <c r="V174" s="136"/>
    </row>
    <row r="175" spans="1:22">
      <c r="A175" s="71" t="s">
        <v>6343</v>
      </c>
      <c r="B175" s="67" t="s">
        <v>6344</v>
      </c>
      <c r="C175" s="71" t="s">
        <v>165</v>
      </c>
      <c r="D175" s="78">
        <v>153.78</v>
      </c>
      <c r="E175" s="663">
        <v>2</v>
      </c>
      <c r="H175" s="178">
        <v>153.78</v>
      </c>
      <c r="J175" s="294"/>
      <c r="K175" s="295"/>
      <c r="L175" s="72"/>
      <c r="M175" s="133"/>
      <c r="N175" s="72"/>
      <c r="O175" s="224"/>
      <c r="P175" s="219"/>
      <c r="Q175" s="84"/>
      <c r="S175" s="136"/>
      <c r="T175" s="136"/>
      <c r="V175" s="136"/>
    </row>
    <row r="176" spans="1:22">
      <c r="A176" s="71" t="s">
        <v>6345</v>
      </c>
      <c r="B176" s="67" t="s">
        <v>6346</v>
      </c>
      <c r="C176" s="71" t="s">
        <v>165</v>
      </c>
      <c r="D176" s="78">
        <v>172.87</v>
      </c>
      <c r="E176" s="663">
        <v>2</v>
      </c>
      <c r="H176" s="178">
        <v>172.87</v>
      </c>
      <c r="J176" s="294"/>
      <c r="K176" s="295"/>
      <c r="L176" s="72"/>
      <c r="M176" s="133"/>
      <c r="N176" s="72"/>
      <c r="O176" s="224"/>
      <c r="P176" s="219"/>
      <c r="Q176" s="84"/>
      <c r="S176" s="136"/>
      <c r="T176" s="136"/>
      <c r="V176" s="136"/>
    </row>
    <row r="177" spans="1:22">
      <c r="A177" s="71" t="s">
        <v>6347</v>
      </c>
      <c r="B177" s="67" t="s">
        <v>6348</v>
      </c>
      <c r="C177" s="71" t="s">
        <v>165</v>
      </c>
      <c r="D177" s="78">
        <v>210.06</v>
      </c>
      <c r="E177" s="663">
        <v>2</v>
      </c>
      <c r="H177" s="178">
        <v>210.06</v>
      </c>
      <c r="J177" s="294"/>
      <c r="K177" s="295"/>
      <c r="L177" s="72"/>
      <c r="M177" s="133"/>
      <c r="N177" s="72"/>
      <c r="O177" s="224"/>
      <c r="P177" s="219"/>
      <c r="Q177" s="84"/>
      <c r="S177" s="136"/>
      <c r="T177" s="136"/>
      <c r="V177" s="136"/>
    </row>
    <row r="178" spans="1:22">
      <c r="A178" s="71" t="s">
        <v>6349</v>
      </c>
      <c r="B178" s="67" t="s">
        <v>6350</v>
      </c>
      <c r="C178" s="71" t="s">
        <v>165</v>
      </c>
      <c r="D178" s="78">
        <v>231.05</v>
      </c>
      <c r="E178" s="663">
        <v>2</v>
      </c>
      <c r="H178" s="178">
        <v>231.05</v>
      </c>
      <c r="J178" s="294"/>
      <c r="K178" s="295"/>
      <c r="L178" s="72"/>
      <c r="M178" s="133"/>
      <c r="N178" s="72"/>
      <c r="O178" s="224"/>
      <c r="P178" s="219"/>
      <c r="Q178" s="84"/>
      <c r="S178" s="136"/>
      <c r="T178" s="136"/>
      <c r="V178" s="136"/>
    </row>
    <row r="179" spans="1:22">
      <c r="A179" s="71" t="s">
        <v>6351</v>
      </c>
      <c r="B179" s="67" t="s">
        <v>6352</v>
      </c>
      <c r="C179" s="71" t="s">
        <v>165</v>
      </c>
      <c r="D179" s="78">
        <v>282.87</v>
      </c>
      <c r="E179" s="663">
        <v>2</v>
      </c>
      <c r="H179" s="178">
        <v>282.87</v>
      </c>
      <c r="J179" s="294"/>
      <c r="K179" s="295"/>
      <c r="L179" s="72"/>
      <c r="M179" s="133"/>
      <c r="N179" s="72"/>
      <c r="O179" s="224"/>
      <c r="P179" s="219"/>
      <c r="Q179" s="84"/>
      <c r="S179" s="136"/>
      <c r="T179" s="136"/>
      <c r="V179" s="136"/>
    </row>
    <row r="180" spans="1:22">
      <c r="A180" s="71" t="s">
        <v>6353</v>
      </c>
      <c r="B180" s="67" t="s">
        <v>6354</v>
      </c>
      <c r="C180" s="71" t="s">
        <v>165</v>
      </c>
      <c r="D180" s="78">
        <v>348.43</v>
      </c>
      <c r="E180" s="663">
        <v>2</v>
      </c>
      <c r="H180" s="178">
        <v>348.43</v>
      </c>
      <c r="J180" s="294"/>
      <c r="K180" s="295"/>
      <c r="L180" s="72"/>
      <c r="M180" s="133"/>
      <c r="N180" s="72"/>
      <c r="O180" s="224"/>
      <c r="P180" s="219"/>
      <c r="Q180" s="84"/>
      <c r="S180" s="136"/>
      <c r="T180" s="136"/>
      <c r="V180" s="136"/>
    </row>
    <row r="181" spans="1:22">
      <c r="A181" s="71" t="s">
        <v>6355</v>
      </c>
      <c r="B181" s="67" t="s">
        <v>6356</v>
      </c>
      <c r="C181" s="71" t="s">
        <v>103</v>
      </c>
      <c r="D181" s="78">
        <v>44.7</v>
      </c>
      <c r="E181" s="663">
        <v>2</v>
      </c>
      <c r="H181" s="178">
        <v>44.7</v>
      </c>
      <c r="J181" s="294"/>
      <c r="K181" s="295"/>
      <c r="L181" s="72"/>
      <c r="M181" s="133"/>
      <c r="N181" s="72"/>
      <c r="O181" s="224"/>
      <c r="P181" s="219"/>
      <c r="Q181" s="84"/>
      <c r="S181" s="136"/>
      <c r="T181" s="136"/>
      <c r="V181" s="136"/>
    </row>
    <row r="182" spans="1:22">
      <c r="A182" s="71" t="s">
        <v>6357</v>
      </c>
      <c r="B182" s="67" t="s">
        <v>6358</v>
      </c>
      <c r="C182" s="71" t="s">
        <v>103</v>
      </c>
      <c r="D182" s="78">
        <v>4.3499999999999996</v>
      </c>
      <c r="E182" s="663">
        <v>2</v>
      </c>
      <c r="H182" s="178">
        <v>4.3499999999999996</v>
      </c>
      <c r="J182" s="294"/>
      <c r="K182" s="295"/>
      <c r="L182" s="72"/>
      <c r="M182" s="133"/>
      <c r="N182" s="72"/>
      <c r="O182" s="224"/>
      <c r="P182" s="219"/>
      <c r="Q182" s="84"/>
      <c r="S182" s="136"/>
      <c r="T182" s="136"/>
      <c r="V182" s="136"/>
    </row>
    <row r="183" spans="1:22">
      <c r="A183" s="71" t="s">
        <v>6359</v>
      </c>
      <c r="B183" s="67" t="s">
        <v>6360</v>
      </c>
      <c r="C183" s="71" t="s">
        <v>165</v>
      </c>
      <c r="D183" s="78">
        <v>7.72</v>
      </c>
      <c r="E183" s="663">
        <v>2</v>
      </c>
      <c r="H183" s="178">
        <v>7.72</v>
      </c>
      <c r="J183" s="294"/>
      <c r="K183" s="295"/>
      <c r="L183" s="72"/>
      <c r="M183" s="133"/>
      <c r="N183" s="72"/>
      <c r="O183" s="224"/>
      <c r="P183" s="219"/>
      <c r="Q183" s="84"/>
      <c r="S183" s="136"/>
      <c r="T183" s="136"/>
      <c r="V183" s="136"/>
    </row>
    <row r="184" spans="1:22">
      <c r="A184" s="71" t="s">
        <v>6361</v>
      </c>
      <c r="B184" s="67" t="s">
        <v>6362</v>
      </c>
      <c r="C184" s="71" t="s">
        <v>207</v>
      </c>
      <c r="D184" s="78">
        <v>7.4</v>
      </c>
      <c r="E184" s="663">
        <v>2</v>
      </c>
      <c r="H184" s="721">
        <v>7.4</v>
      </c>
      <c r="J184" s="294"/>
      <c r="K184" s="295"/>
      <c r="M184" s="72"/>
      <c r="N184" s="133"/>
      <c r="O184" s="72"/>
      <c r="P184" s="224"/>
      <c r="Q184" s="219"/>
      <c r="T184" s="136"/>
      <c r="V184" s="136"/>
    </row>
    <row r="185" spans="1:22">
      <c r="A185" s="71" t="s">
        <v>33012</v>
      </c>
      <c r="B185" s="67" t="s">
        <v>33013</v>
      </c>
      <c r="C185" s="71" t="s">
        <v>509</v>
      </c>
      <c r="D185" s="78">
        <v>11.2</v>
      </c>
      <c r="E185" s="663">
        <v>2</v>
      </c>
      <c r="H185" s="178">
        <v>11.2</v>
      </c>
      <c r="J185" s="294"/>
      <c r="K185" s="295"/>
      <c r="L185" s="72"/>
      <c r="M185" s="133"/>
      <c r="N185" s="72"/>
      <c r="O185" s="224"/>
      <c r="P185" s="219"/>
      <c r="Q185" s="84"/>
      <c r="S185" s="136"/>
      <c r="T185" s="136"/>
    </row>
    <row r="186" spans="1:22" ht="24">
      <c r="A186" s="71" t="s">
        <v>33006</v>
      </c>
      <c r="B186" s="65" t="s">
        <v>33007</v>
      </c>
      <c r="C186" s="71" t="s">
        <v>509</v>
      </c>
      <c r="D186" s="78">
        <v>24.03</v>
      </c>
      <c r="E186" s="663">
        <v>2</v>
      </c>
      <c r="H186" s="178">
        <v>24.03</v>
      </c>
      <c r="J186" s="294"/>
      <c r="K186" s="295"/>
      <c r="L186" s="72"/>
      <c r="M186" s="133"/>
      <c r="N186" s="72"/>
      <c r="O186" s="224"/>
      <c r="P186" s="219"/>
      <c r="Q186" s="84"/>
      <c r="S186" s="136"/>
      <c r="T186" s="136"/>
    </row>
    <row r="187" spans="1:22">
      <c r="A187" s="71" t="s">
        <v>6363</v>
      </c>
      <c r="B187" s="67" t="s">
        <v>6364</v>
      </c>
      <c r="C187" s="71" t="s">
        <v>207</v>
      </c>
      <c r="D187" s="78">
        <v>6.22</v>
      </c>
      <c r="E187" s="663">
        <v>2</v>
      </c>
      <c r="H187" s="721">
        <v>6.22</v>
      </c>
      <c r="J187" s="294"/>
      <c r="K187" s="295"/>
      <c r="M187" s="72"/>
      <c r="N187" s="133"/>
      <c r="O187" s="72"/>
      <c r="P187" s="224"/>
      <c r="Q187" s="219"/>
      <c r="T187" s="136"/>
      <c r="V187" s="136"/>
    </row>
    <row r="188" spans="1:22" ht="24">
      <c r="A188" s="71" t="s">
        <v>33010</v>
      </c>
      <c r="B188" s="65" t="s">
        <v>33011</v>
      </c>
      <c r="C188" s="71" t="s">
        <v>509</v>
      </c>
      <c r="D188" s="78">
        <v>40.69</v>
      </c>
      <c r="E188" s="663">
        <v>2</v>
      </c>
      <c r="H188" s="178">
        <v>40.69</v>
      </c>
      <c r="J188" s="294"/>
      <c r="K188" s="295"/>
      <c r="L188" s="72"/>
      <c r="M188" s="133"/>
      <c r="N188" s="72"/>
      <c r="O188" s="224"/>
      <c r="P188" s="219"/>
      <c r="Q188" s="84"/>
      <c r="S188" s="136"/>
      <c r="T188" s="136"/>
    </row>
    <row r="189" spans="1:22">
      <c r="A189" s="71" t="s">
        <v>6365</v>
      </c>
      <c r="B189" s="67" t="s">
        <v>6366</v>
      </c>
      <c r="C189" s="71" t="s">
        <v>207</v>
      </c>
      <c r="D189" s="78">
        <v>6.81</v>
      </c>
      <c r="E189" s="663">
        <v>2</v>
      </c>
      <c r="H189" s="721">
        <v>6.81</v>
      </c>
      <c r="J189" s="294"/>
      <c r="K189" s="295"/>
      <c r="M189" s="72"/>
      <c r="N189" s="133"/>
      <c r="O189" s="72"/>
      <c r="P189" s="224"/>
      <c r="Q189" s="219"/>
      <c r="T189" s="136"/>
      <c r="V189" s="136"/>
    </row>
    <row r="190" spans="1:22">
      <c r="A190" s="71" t="s">
        <v>32838</v>
      </c>
      <c r="B190" s="67" t="s">
        <v>32839</v>
      </c>
      <c r="C190" s="71" t="s">
        <v>207</v>
      </c>
      <c r="D190" s="78">
        <v>27.82</v>
      </c>
      <c r="E190" s="663">
        <v>2</v>
      </c>
      <c r="H190" s="178">
        <v>27.82</v>
      </c>
      <c r="J190" s="294"/>
      <c r="K190" s="295"/>
      <c r="L190" s="72"/>
      <c r="M190" s="133"/>
      <c r="N190" s="72"/>
      <c r="O190" s="224"/>
      <c r="P190" s="219"/>
      <c r="Q190" s="84"/>
      <c r="S190" s="136"/>
      <c r="T190" s="136"/>
    </row>
    <row r="191" spans="1:22">
      <c r="A191" s="71" t="s">
        <v>6367</v>
      </c>
      <c r="B191" s="67" t="s">
        <v>6368</v>
      </c>
      <c r="C191" s="71" t="s">
        <v>509</v>
      </c>
      <c r="D191" s="78">
        <v>15.85</v>
      </c>
      <c r="E191" s="663">
        <v>2</v>
      </c>
      <c r="H191" s="178">
        <v>15.85</v>
      </c>
      <c r="J191" s="294"/>
      <c r="K191" s="295"/>
      <c r="L191" s="72"/>
      <c r="M191" s="133"/>
      <c r="N191" s="72"/>
      <c r="O191" s="224"/>
      <c r="P191" s="219"/>
      <c r="Q191" s="84"/>
      <c r="S191" s="136"/>
      <c r="T191" s="136"/>
    </row>
    <row r="192" spans="1:22">
      <c r="A192" s="71" t="s">
        <v>6369</v>
      </c>
      <c r="B192" s="67" t="s">
        <v>6370</v>
      </c>
      <c r="C192" s="71" t="s">
        <v>509</v>
      </c>
      <c r="D192" s="78">
        <v>11.12</v>
      </c>
      <c r="E192" s="663">
        <v>2</v>
      </c>
      <c r="H192" s="178">
        <v>11.12</v>
      </c>
      <c r="J192" s="294"/>
      <c r="K192" s="295"/>
      <c r="L192" s="72"/>
      <c r="M192" s="133"/>
      <c r="N192" s="72"/>
      <c r="O192" s="224"/>
      <c r="P192" s="219"/>
      <c r="Q192" s="84"/>
      <c r="S192" s="136"/>
      <c r="T192" s="136"/>
    </row>
    <row r="193" spans="1:22">
      <c r="A193" s="71" t="s">
        <v>33008</v>
      </c>
      <c r="B193" s="67" t="s">
        <v>33009</v>
      </c>
      <c r="C193" s="71" t="s">
        <v>509</v>
      </c>
      <c r="D193" s="78">
        <v>16.010000000000002</v>
      </c>
      <c r="E193" s="663">
        <v>2</v>
      </c>
      <c r="H193" s="178">
        <v>16.010000000000002</v>
      </c>
      <c r="J193" s="294"/>
      <c r="K193" s="295"/>
      <c r="L193" s="72"/>
      <c r="M193" s="133"/>
      <c r="N193" s="72"/>
      <c r="O193" s="224"/>
      <c r="P193" s="219"/>
      <c r="Q193" s="84"/>
      <c r="S193" s="136"/>
      <c r="T193" s="136"/>
    </row>
    <row r="194" spans="1:22">
      <c r="A194" s="71" t="s">
        <v>6371</v>
      </c>
      <c r="B194" s="67" t="s">
        <v>6372</v>
      </c>
      <c r="C194" s="71" t="s">
        <v>165</v>
      </c>
      <c r="D194" s="78">
        <v>290.92</v>
      </c>
      <c r="E194" s="663">
        <v>2</v>
      </c>
      <c r="H194" s="178">
        <v>290.92</v>
      </c>
      <c r="J194" s="294"/>
      <c r="K194" s="295"/>
      <c r="L194" s="72"/>
      <c r="M194" s="133"/>
      <c r="N194" s="72"/>
      <c r="O194" s="224"/>
      <c r="P194" s="219"/>
      <c r="Q194" s="84"/>
      <c r="S194" s="136"/>
      <c r="T194" s="136"/>
      <c r="V194" s="136"/>
    </row>
    <row r="195" spans="1:22">
      <c r="A195" s="71" t="s">
        <v>6373</v>
      </c>
      <c r="B195" s="67" t="s">
        <v>6374</v>
      </c>
      <c r="C195" s="71" t="s">
        <v>165</v>
      </c>
      <c r="D195" s="78">
        <v>286.43</v>
      </c>
      <c r="E195" s="663">
        <v>2</v>
      </c>
      <c r="H195" s="178">
        <v>286.43</v>
      </c>
      <c r="J195" s="294"/>
      <c r="K195" s="295"/>
      <c r="L195" s="72"/>
      <c r="M195" s="133"/>
      <c r="N195" s="72"/>
      <c r="O195" s="224"/>
      <c r="P195" s="219"/>
      <c r="Q195" s="84"/>
      <c r="S195" s="136"/>
      <c r="T195" s="136"/>
      <c r="V195" s="136"/>
    </row>
    <row r="196" spans="1:22">
      <c r="A196" s="71" t="s">
        <v>6375</v>
      </c>
      <c r="B196" s="67" t="s">
        <v>6376</v>
      </c>
      <c r="C196" s="71" t="s">
        <v>207</v>
      </c>
      <c r="D196" s="78">
        <v>7.51</v>
      </c>
      <c r="E196" s="663">
        <v>2</v>
      </c>
      <c r="H196" s="178">
        <v>7.51</v>
      </c>
      <c r="J196" s="294"/>
      <c r="K196" s="295"/>
      <c r="L196" s="72"/>
      <c r="M196" s="133"/>
      <c r="N196" s="72"/>
      <c r="O196" s="224"/>
      <c r="P196" s="219"/>
      <c r="Q196" s="84"/>
      <c r="S196" s="136"/>
      <c r="T196" s="136"/>
    </row>
    <row r="197" spans="1:22">
      <c r="A197" s="71" t="s">
        <v>6377</v>
      </c>
      <c r="B197" s="67" t="s">
        <v>6378</v>
      </c>
      <c r="C197" s="71" t="s">
        <v>103</v>
      </c>
      <c r="D197" s="78">
        <v>18.38</v>
      </c>
      <c r="E197" s="663">
        <v>2</v>
      </c>
      <c r="H197" s="178">
        <v>18.38</v>
      </c>
      <c r="J197" s="294"/>
      <c r="K197" s="295"/>
      <c r="L197" s="72"/>
      <c r="M197" s="133"/>
      <c r="N197" s="72"/>
      <c r="O197" s="224"/>
      <c r="P197" s="219"/>
      <c r="Q197" s="84"/>
      <c r="S197" s="136"/>
      <c r="T197" s="136"/>
      <c r="V197" s="136"/>
    </row>
    <row r="198" spans="1:22">
      <c r="A198" s="71" t="s">
        <v>6379</v>
      </c>
      <c r="B198" s="67" t="s">
        <v>6380</v>
      </c>
      <c r="C198" s="71" t="s">
        <v>103</v>
      </c>
      <c r="D198" s="78">
        <v>24.05</v>
      </c>
      <c r="E198" s="663">
        <v>2</v>
      </c>
      <c r="H198" s="178">
        <v>24.05</v>
      </c>
      <c r="J198" s="294"/>
      <c r="K198" s="295"/>
      <c r="L198" s="72"/>
      <c r="M198" s="133"/>
      <c r="N198" s="72"/>
      <c r="O198" s="224"/>
      <c r="P198" s="219"/>
      <c r="Q198" s="84"/>
      <c r="S198" s="136"/>
      <c r="T198" s="136"/>
      <c r="V198" s="136"/>
    </row>
    <row r="199" spans="1:22">
      <c r="A199" s="71" t="s">
        <v>6381</v>
      </c>
      <c r="B199" s="67" t="s">
        <v>6382</v>
      </c>
      <c r="C199" s="71" t="s">
        <v>103</v>
      </c>
      <c r="D199" s="78">
        <v>34.869999999999997</v>
      </c>
      <c r="E199" s="663">
        <v>2</v>
      </c>
      <c r="H199" s="178">
        <v>34.869999999999997</v>
      </c>
      <c r="J199" s="294"/>
      <c r="K199" s="295"/>
      <c r="L199" s="72"/>
      <c r="M199" s="133"/>
      <c r="N199" s="72"/>
      <c r="O199" s="224"/>
      <c r="P199" s="219"/>
      <c r="Q199" s="84"/>
      <c r="S199" s="136"/>
      <c r="T199" s="136"/>
      <c r="V199" s="136"/>
    </row>
    <row r="200" spans="1:22">
      <c r="A200" s="71" t="s">
        <v>6383</v>
      </c>
      <c r="B200" s="67" t="s">
        <v>6384</v>
      </c>
      <c r="C200" s="71" t="s">
        <v>103</v>
      </c>
      <c r="D200" s="78">
        <v>57.27</v>
      </c>
      <c r="E200" s="663">
        <v>2</v>
      </c>
      <c r="H200" s="178">
        <v>57.27</v>
      </c>
      <c r="J200" s="294"/>
      <c r="K200" s="295"/>
      <c r="L200" s="72"/>
      <c r="M200" s="133"/>
      <c r="N200" s="72"/>
      <c r="O200" s="224"/>
      <c r="P200" s="219"/>
      <c r="Q200" s="84"/>
      <c r="S200" s="136"/>
      <c r="T200" s="136"/>
      <c r="V200" s="136"/>
    </row>
    <row r="201" spans="1:22">
      <c r="A201" s="71" t="s">
        <v>6385</v>
      </c>
      <c r="B201" s="67" t="s">
        <v>6386</v>
      </c>
      <c r="C201" s="71" t="s">
        <v>103</v>
      </c>
      <c r="D201" s="78">
        <v>99.88</v>
      </c>
      <c r="E201" s="663">
        <v>2</v>
      </c>
      <c r="H201" s="178">
        <v>99.88</v>
      </c>
      <c r="J201" s="294"/>
      <c r="K201" s="295"/>
      <c r="L201" s="72"/>
      <c r="M201" s="133"/>
      <c r="N201" s="72"/>
      <c r="O201" s="224"/>
      <c r="P201" s="219"/>
      <c r="Q201" s="84"/>
      <c r="S201" s="136"/>
      <c r="T201" s="136"/>
      <c r="V201" s="136"/>
    </row>
    <row r="202" spans="1:22">
      <c r="A202" s="71" t="s">
        <v>6387</v>
      </c>
      <c r="B202" s="67" t="s">
        <v>6388</v>
      </c>
      <c r="C202" s="71" t="s">
        <v>103</v>
      </c>
      <c r="D202" s="78">
        <v>17.57</v>
      </c>
      <c r="E202" s="663">
        <v>2</v>
      </c>
      <c r="H202" s="178">
        <v>17.57</v>
      </c>
      <c r="J202" s="294"/>
      <c r="K202" s="295"/>
      <c r="L202" s="72"/>
      <c r="M202" s="133"/>
      <c r="N202" s="72"/>
      <c r="O202" s="224"/>
      <c r="P202" s="219"/>
      <c r="Q202" s="84"/>
      <c r="S202" s="136"/>
      <c r="T202" s="136"/>
      <c r="V202" s="136"/>
    </row>
    <row r="203" spans="1:22">
      <c r="A203" s="71" t="s">
        <v>6389</v>
      </c>
      <c r="B203" s="67" t="s">
        <v>6390</v>
      </c>
      <c r="C203" s="71" t="s">
        <v>103</v>
      </c>
      <c r="D203" s="78">
        <v>23.96</v>
      </c>
      <c r="E203" s="663">
        <v>2</v>
      </c>
      <c r="H203" s="178">
        <v>23.96</v>
      </c>
      <c r="J203" s="294"/>
      <c r="K203" s="295"/>
      <c r="L203" s="72"/>
      <c r="M203" s="133"/>
      <c r="N203" s="72"/>
      <c r="O203" s="224"/>
      <c r="P203" s="219"/>
      <c r="Q203" s="84"/>
      <c r="S203" s="136"/>
      <c r="T203" s="136"/>
      <c r="V203" s="136"/>
    </row>
    <row r="204" spans="1:22">
      <c r="A204" s="71" t="s">
        <v>6391</v>
      </c>
      <c r="B204" s="67" t="s">
        <v>6392</v>
      </c>
      <c r="C204" s="71" t="s">
        <v>103</v>
      </c>
      <c r="D204" s="78">
        <v>34.51</v>
      </c>
      <c r="E204" s="663">
        <v>2</v>
      </c>
      <c r="H204" s="178">
        <v>34.51</v>
      </c>
      <c r="J204" s="294"/>
      <c r="K204" s="295"/>
      <c r="L204" s="72"/>
      <c r="M204" s="133"/>
      <c r="N204" s="72"/>
      <c r="O204" s="224"/>
      <c r="P204" s="219"/>
      <c r="Q204" s="84"/>
      <c r="S204" s="136"/>
      <c r="T204" s="136"/>
      <c r="V204" s="136"/>
    </row>
    <row r="205" spans="1:22">
      <c r="A205" s="71" t="s">
        <v>6393</v>
      </c>
      <c r="B205" s="67" t="s">
        <v>6394</v>
      </c>
      <c r="C205" s="71" t="s">
        <v>103</v>
      </c>
      <c r="D205" s="78">
        <v>60.45</v>
      </c>
      <c r="E205" s="663">
        <v>2</v>
      </c>
      <c r="H205" s="178">
        <v>60.45</v>
      </c>
      <c r="J205" s="294"/>
      <c r="K205" s="295"/>
      <c r="L205" s="72"/>
      <c r="M205" s="133"/>
      <c r="N205" s="72"/>
      <c r="O205" s="224"/>
      <c r="P205" s="219"/>
      <c r="Q205" s="84"/>
      <c r="S205" s="136"/>
      <c r="T205" s="136"/>
      <c r="V205" s="136"/>
    </row>
    <row r="206" spans="1:22">
      <c r="A206" s="71" t="s">
        <v>6395</v>
      </c>
      <c r="B206" s="67" t="s">
        <v>6396</v>
      </c>
      <c r="C206" s="71" t="s">
        <v>103</v>
      </c>
      <c r="D206" s="78">
        <v>98.48</v>
      </c>
      <c r="E206" s="663">
        <v>2</v>
      </c>
      <c r="H206" s="178">
        <v>98.48</v>
      </c>
      <c r="J206" s="294"/>
      <c r="K206" s="295"/>
      <c r="L206" s="72"/>
      <c r="M206" s="133"/>
      <c r="N206" s="72"/>
      <c r="O206" s="224"/>
      <c r="P206" s="219"/>
      <c r="Q206" s="84"/>
      <c r="S206" s="136"/>
      <c r="T206" s="136"/>
      <c r="V206" s="136"/>
    </row>
    <row r="207" spans="1:22">
      <c r="A207" s="71" t="s">
        <v>6397</v>
      </c>
      <c r="B207" s="67" t="s">
        <v>6398</v>
      </c>
      <c r="C207" s="71" t="s">
        <v>103</v>
      </c>
      <c r="D207" s="78">
        <v>15.47</v>
      </c>
      <c r="E207" s="663">
        <v>2</v>
      </c>
      <c r="H207" s="178">
        <v>15.47</v>
      </c>
      <c r="J207" s="294"/>
      <c r="K207" s="295"/>
      <c r="L207" s="72"/>
      <c r="M207" s="133"/>
      <c r="N207" s="72"/>
      <c r="O207" s="224"/>
      <c r="P207" s="219"/>
      <c r="Q207" s="84"/>
      <c r="S207" s="136"/>
      <c r="T207" s="136"/>
    </row>
    <row r="208" spans="1:22">
      <c r="A208" s="71" t="s">
        <v>6399</v>
      </c>
      <c r="B208" s="67" t="s">
        <v>6400</v>
      </c>
      <c r="C208" s="71" t="s">
        <v>103</v>
      </c>
      <c r="D208" s="78">
        <v>19.55</v>
      </c>
      <c r="E208" s="663">
        <v>2</v>
      </c>
      <c r="H208" s="178">
        <v>19.55</v>
      </c>
      <c r="J208" s="294"/>
      <c r="K208" s="295"/>
      <c r="L208" s="72"/>
      <c r="M208" s="133"/>
      <c r="N208" s="72"/>
      <c r="O208" s="224"/>
      <c r="P208" s="219"/>
      <c r="Q208" s="84"/>
      <c r="S208" s="136"/>
      <c r="T208" s="136"/>
    </row>
    <row r="209" spans="1:22">
      <c r="A209" s="71" t="s">
        <v>6401</v>
      </c>
      <c r="B209" s="67" t="s">
        <v>6402</v>
      </c>
      <c r="C209" s="71" t="s">
        <v>103</v>
      </c>
      <c r="D209" s="78">
        <v>23.93</v>
      </c>
      <c r="E209" s="663">
        <v>2</v>
      </c>
      <c r="H209" s="178">
        <v>23.93</v>
      </c>
      <c r="J209" s="294"/>
      <c r="K209" s="295"/>
      <c r="L209" s="72"/>
      <c r="M209" s="133"/>
      <c r="N209" s="72"/>
      <c r="O209" s="224"/>
      <c r="P209" s="219"/>
      <c r="Q209" s="84"/>
      <c r="S209" s="136"/>
      <c r="T209" s="136"/>
    </row>
    <row r="210" spans="1:22">
      <c r="A210" s="71" t="s">
        <v>6403</v>
      </c>
      <c r="B210" s="67" t="s">
        <v>6404</v>
      </c>
      <c r="C210" s="71" t="s">
        <v>103</v>
      </c>
      <c r="D210" s="78">
        <v>35.18</v>
      </c>
      <c r="E210" s="663">
        <v>2</v>
      </c>
      <c r="H210" s="178">
        <v>35.18</v>
      </c>
      <c r="J210" s="294"/>
      <c r="K210" s="295"/>
      <c r="L210" s="72"/>
      <c r="M210" s="133"/>
      <c r="N210" s="72"/>
      <c r="O210" s="224"/>
      <c r="P210" s="219"/>
      <c r="Q210" s="84"/>
      <c r="S210" s="136"/>
      <c r="T210" s="136"/>
    </row>
    <row r="211" spans="1:22">
      <c r="A211" s="71" t="s">
        <v>6405</v>
      </c>
      <c r="B211" s="67" t="s">
        <v>6406</v>
      </c>
      <c r="C211" s="71" t="s">
        <v>103</v>
      </c>
      <c r="D211" s="78">
        <v>49.87</v>
      </c>
      <c r="E211" s="663">
        <v>2</v>
      </c>
      <c r="H211" s="178">
        <v>49.87</v>
      </c>
      <c r="J211" s="294"/>
      <c r="K211" s="295"/>
      <c r="L211" s="72"/>
      <c r="M211" s="133"/>
      <c r="N211" s="72"/>
      <c r="O211" s="224"/>
      <c r="P211" s="219"/>
      <c r="Q211" s="84"/>
      <c r="S211" s="136"/>
      <c r="T211" s="136"/>
    </row>
    <row r="212" spans="1:22">
      <c r="A212" s="71" t="s">
        <v>6407</v>
      </c>
      <c r="B212" s="67" t="s">
        <v>6408</v>
      </c>
      <c r="C212" s="71" t="s">
        <v>121</v>
      </c>
      <c r="D212" s="78">
        <v>6092.29</v>
      </c>
      <c r="E212" s="663">
        <v>2</v>
      </c>
      <c r="H212" s="178">
        <v>6092.29</v>
      </c>
      <c r="J212" s="294"/>
      <c r="K212" s="295"/>
      <c r="L212" s="72"/>
      <c r="M212" s="133"/>
      <c r="N212" s="72"/>
      <c r="O212" s="224"/>
      <c r="P212" s="219"/>
      <c r="Q212" s="84"/>
      <c r="S212" s="136"/>
      <c r="T212" s="136"/>
      <c r="V212" s="136"/>
    </row>
    <row r="213" spans="1:22">
      <c r="A213" s="71" t="s">
        <v>6409</v>
      </c>
      <c r="B213" s="67" t="s">
        <v>6410</v>
      </c>
      <c r="C213" s="71" t="s">
        <v>121</v>
      </c>
      <c r="D213" s="78">
        <v>6299.52</v>
      </c>
      <c r="E213" s="663">
        <v>2</v>
      </c>
      <c r="H213" s="178">
        <v>6299.52</v>
      </c>
      <c r="J213" s="294"/>
      <c r="K213" s="295"/>
      <c r="L213" s="72"/>
      <c r="M213" s="133"/>
      <c r="N213" s="72"/>
      <c r="O213" s="224"/>
      <c r="P213" s="219"/>
      <c r="Q213" s="84"/>
      <c r="S213" s="136"/>
      <c r="T213" s="136"/>
    </row>
    <row r="214" spans="1:22">
      <c r="A214" s="71" t="s">
        <v>6411</v>
      </c>
      <c r="B214" s="67" t="s">
        <v>6412</v>
      </c>
      <c r="C214" s="71" t="s">
        <v>103</v>
      </c>
      <c r="D214" s="78">
        <v>6669.3</v>
      </c>
      <c r="E214" s="663">
        <v>2</v>
      </c>
      <c r="H214" s="178">
        <v>6669.3</v>
      </c>
      <c r="J214" s="294"/>
      <c r="K214" s="295"/>
      <c r="L214" s="72"/>
      <c r="M214" s="133"/>
      <c r="N214" s="72"/>
      <c r="O214" s="224"/>
      <c r="P214" s="219"/>
      <c r="Q214" s="84"/>
      <c r="S214" s="136"/>
      <c r="T214" s="136"/>
      <c r="V214" s="136"/>
    </row>
    <row r="215" spans="1:22">
      <c r="A215" s="71" t="s">
        <v>6413</v>
      </c>
      <c r="B215" s="67" t="s">
        <v>6414</v>
      </c>
      <c r="C215" s="71" t="s">
        <v>103</v>
      </c>
      <c r="D215" s="78">
        <v>4574.8999999999996</v>
      </c>
      <c r="E215" s="663">
        <v>2</v>
      </c>
      <c r="H215" s="178">
        <v>4574.8999999999996</v>
      </c>
      <c r="J215" s="294"/>
      <c r="K215" s="295"/>
      <c r="L215" s="72"/>
      <c r="M215" s="133"/>
      <c r="N215" s="72"/>
      <c r="O215" s="224"/>
      <c r="P215" s="219"/>
      <c r="Q215" s="84"/>
      <c r="S215" s="136"/>
      <c r="T215" s="136"/>
      <c r="V215" s="136"/>
    </row>
    <row r="216" spans="1:22">
      <c r="A216" s="71" t="s">
        <v>6415</v>
      </c>
      <c r="B216" s="67" t="s">
        <v>6416</v>
      </c>
      <c r="C216" s="71" t="s">
        <v>103</v>
      </c>
      <c r="D216" s="78">
        <v>5866.45</v>
      </c>
      <c r="E216" s="663">
        <v>2</v>
      </c>
      <c r="H216" s="178">
        <v>5866.45</v>
      </c>
      <c r="J216" s="294"/>
      <c r="K216" s="295"/>
      <c r="L216" s="72"/>
      <c r="M216" s="133"/>
      <c r="N216" s="72"/>
      <c r="O216" s="224"/>
      <c r="P216" s="219"/>
      <c r="Q216" s="84"/>
      <c r="S216" s="136"/>
      <c r="T216" s="136"/>
      <c r="V216" s="136"/>
    </row>
    <row r="217" spans="1:22">
      <c r="A217" s="71" t="s">
        <v>6417</v>
      </c>
      <c r="B217" s="67" t="s">
        <v>6418</v>
      </c>
      <c r="C217" s="71" t="s">
        <v>103</v>
      </c>
      <c r="D217" s="78">
        <v>7666.82</v>
      </c>
      <c r="E217" s="663">
        <v>2</v>
      </c>
      <c r="H217" s="178">
        <v>7666.82</v>
      </c>
      <c r="J217" s="294"/>
      <c r="K217" s="295"/>
      <c r="L217" s="72"/>
      <c r="M217" s="133"/>
      <c r="N217" s="72"/>
      <c r="O217" s="224"/>
      <c r="P217" s="219"/>
      <c r="Q217" s="84"/>
      <c r="S217" s="136"/>
      <c r="T217" s="136"/>
      <c r="V217" s="136"/>
    </row>
    <row r="218" spans="1:22">
      <c r="A218" s="71" t="s">
        <v>6419</v>
      </c>
      <c r="B218" s="67" t="s">
        <v>6420</v>
      </c>
      <c r="C218" s="71" t="s">
        <v>509</v>
      </c>
      <c r="D218" s="78">
        <v>94.81</v>
      </c>
      <c r="E218" s="663">
        <v>2</v>
      </c>
      <c r="H218" s="178">
        <v>94.81</v>
      </c>
      <c r="J218" s="294"/>
      <c r="K218" s="295"/>
      <c r="L218" s="72"/>
      <c r="M218" s="133"/>
      <c r="N218" s="72"/>
      <c r="O218" s="224"/>
      <c r="P218" s="219"/>
      <c r="Q218" s="84"/>
      <c r="S218" s="136"/>
      <c r="T218" s="136"/>
      <c r="V218" s="136"/>
    </row>
    <row r="219" spans="1:22">
      <c r="A219" s="71" t="s">
        <v>6421</v>
      </c>
      <c r="B219" s="67" t="s">
        <v>6422</v>
      </c>
      <c r="C219" s="71" t="s">
        <v>509</v>
      </c>
      <c r="D219" s="78">
        <v>95.34</v>
      </c>
      <c r="E219" s="663">
        <v>2</v>
      </c>
      <c r="H219" s="178">
        <v>95.34</v>
      </c>
      <c r="J219" s="294"/>
      <c r="K219" s="295"/>
      <c r="L219" s="72"/>
      <c r="M219" s="133"/>
      <c r="N219" s="72"/>
      <c r="O219" s="224"/>
      <c r="P219" s="219"/>
      <c r="Q219" s="84"/>
      <c r="S219" s="136"/>
      <c r="T219" s="136"/>
      <c r="V219" s="136"/>
    </row>
    <row r="220" spans="1:22">
      <c r="A220" s="71" t="s">
        <v>6423</v>
      </c>
      <c r="B220" s="67" t="s">
        <v>6424</v>
      </c>
      <c r="C220" s="71" t="s">
        <v>509</v>
      </c>
      <c r="D220" s="78">
        <v>110.36</v>
      </c>
      <c r="E220" s="663">
        <v>2</v>
      </c>
      <c r="H220" s="178">
        <v>110.36</v>
      </c>
      <c r="J220" s="294"/>
      <c r="K220" s="295"/>
      <c r="L220" s="72"/>
      <c r="M220" s="133"/>
      <c r="N220" s="72"/>
      <c r="O220" s="224"/>
      <c r="P220" s="219"/>
      <c r="Q220" s="84"/>
      <c r="S220" s="136"/>
      <c r="T220" s="136"/>
      <c r="V220" s="136"/>
    </row>
    <row r="221" spans="1:22">
      <c r="A221" s="71" t="s">
        <v>6425</v>
      </c>
      <c r="B221" s="67" t="s">
        <v>6426</v>
      </c>
      <c r="C221" s="71" t="s">
        <v>509</v>
      </c>
      <c r="D221" s="78">
        <v>118.85</v>
      </c>
      <c r="E221" s="663">
        <v>2</v>
      </c>
      <c r="H221" s="178">
        <v>118.85</v>
      </c>
      <c r="J221" s="294"/>
      <c r="K221" s="295"/>
      <c r="L221" s="72"/>
      <c r="M221" s="133"/>
      <c r="N221" s="72"/>
      <c r="O221" s="224"/>
      <c r="P221" s="219"/>
      <c r="Q221" s="84"/>
      <c r="S221" s="136"/>
      <c r="T221" s="136"/>
      <c r="V221" s="136"/>
    </row>
    <row r="222" spans="1:22">
      <c r="A222" s="71" t="s">
        <v>6427</v>
      </c>
      <c r="B222" s="67" t="s">
        <v>6428</v>
      </c>
      <c r="C222" s="71" t="s">
        <v>509</v>
      </c>
      <c r="D222" s="78">
        <v>115.13</v>
      </c>
      <c r="E222" s="663">
        <v>2</v>
      </c>
      <c r="H222" s="178">
        <v>115.13</v>
      </c>
      <c r="J222" s="294"/>
      <c r="K222" s="295"/>
      <c r="L222" s="72"/>
      <c r="M222" s="133"/>
      <c r="N222" s="72"/>
      <c r="O222" s="224"/>
      <c r="P222" s="219"/>
      <c r="Q222" s="84"/>
      <c r="S222" s="136"/>
      <c r="T222" s="136"/>
      <c r="V222" s="136"/>
    </row>
    <row r="223" spans="1:22">
      <c r="A223" s="71" t="s">
        <v>6429</v>
      </c>
      <c r="B223" s="67" t="s">
        <v>6430</v>
      </c>
      <c r="C223" s="71" t="s">
        <v>509</v>
      </c>
      <c r="D223" s="78">
        <v>131.4</v>
      </c>
      <c r="E223" s="663">
        <v>2</v>
      </c>
      <c r="H223" s="178">
        <v>131.4</v>
      </c>
      <c r="J223" s="294"/>
      <c r="K223" s="295"/>
      <c r="L223" s="72"/>
      <c r="M223" s="133"/>
      <c r="N223" s="72"/>
      <c r="O223" s="224"/>
      <c r="P223" s="219"/>
      <c r="Q223" s="84"/>
      <c r="S223" s="136"/>
      <c r="T223" s="136"/>
      <c r="V223" s="136"/>
    </row>
    <row r="224" spans="1:22">
      <c r="A224" s="71" t="s">
        <v>6431</v>
      </c>
      <c r="B224" s="67" t="s">
        <v>6432</v>
      </c>
      <c r="C224" s="71" t="s">
        <v>509</v>
      </c>
      <c r="D224" s="78">
        <v>130.66</v>
      </c>
      <c r="E224" s="663">
        <v>2</v>
      </c>
      <c r="H224" s="178">
        <v>130.66</v>
      </c>
      <c r="J224" s="294"/>
      <c r="K224" s="295"/>
      <c r="L224" s="72"/>
      <c r="M224" s="133"/>
      <c r="N224" s="72"/>
      <c r="O224" s="224"/>
      <c r="P224" s="219"/>
      <c r="Q224" s="84"/>
      <c r="S224" s="136"/>
      <c r="T224" s="136"/>
      <c r="V224" s="136"/>
    </row>
    <row r="225" spans="1:22">
      <c r="A225" s="71" t="s">
        <v>6433</v>
      </c>
      <c r="B225" s="67" t="s">
        <v>6434</v>
      </c>
      <c r="C225" s="71" t="s">
        <v>509</v>
      </c>
      <c r="D225" s="78">
        <v>129.11000000000001</v>
      </c>
      <c r="E225" s="663">
        <v>2</v>
      </c>
      <c r="H225" s="178">
        <v>129.11000000000001</v>
      </c>
      <c r="J225" s="294"/>
      <c r="K225" s="295"/>
      <c r="L225" s="72"/>
      <c r="M225" s="133"/>
      <c r="N225" s="72"/>
      <c r="O225" s="224"/>
      <c r="P225" s="219"/>
      <c r="Q225" s="84"/>
      <c r="S225" s="136"/>
      <c r="T225" s="136"/>
      <c r="V225" s="136"/>
    </row>
    <row r="226" spans="1:22">
      <c r="A226" s="71" t="s">
        <v>6435</v>
      </c>
      <c r="B226" s="67" t="s">
        <v>6436</v>
      </c>
      <c r="C226" s="71" t="s">
        <v>509</v>
      </c>
      <c r="D226" s="78">
        <v>131.09</v>
      </c>
      <c r="E226" s="663">
        <v>2</v>
      </c>
      <c r="H226" s="178">
        <v>131.09</v>
      </c>
      <c r="J226" s="294"/>
      <c r="K226" s="295"/>
      <c r="L226" s="72"/>
      <c r="M226" s="133"/>
      <c r="N226" s="72"/>
      <c r="O226" s="224"/>
      <c r="P226" s="219"/>
      <c r="Q226" s="84"/>
      <c r="S226" s="136"/>
      <c r="T226" s="136"/>
      <c r="V226" s="136"/>
    </row>
    <row r="227" spans="1:22">
      <c r="A227" s="71" t="s">
        <v>6437</v>
      </c>
      <c r="B227" s="67" t="s">
        <v>6438</v>
      </c>
      <c r="C227" s="71" t="s">
        <v>509</v>
      </c>
      <c r="D227" s="78">
        <v>141.74</v>
      </c>
      <c r="E227" s="663">
        <v>2</v>
      </c>
      <c r="H227" s="178">
        <v>141.74</v>
      </c>
      <c r="J227" s="294"/>
      <c r="K227" s="295"/>
      <c r="L227" s="72"/>
      <c r="M227" s="133"/>
      <c r="N227" s="72"/>
      <c r="O227" s="224"/>
      <c r="P227" s="219"/>
      <c r="Q227" s="84"/>
      <c r="S227" s="136"/>
      <c r="T227" s="136"/>
      <c r="V227" s="136"/>
    </row>
    <row r="228" spans="1:22">
      <c r="A228" s="71" t="s">
        <v>6439</v>
      </c>
      <c r="B228" s="67" t="s">
        <v>6440</v>
      </c>
      <c r="C228" s="71" t="s">
        <v>509</v>
      </c>
      <c r="D228" s="78">
        <v>66.62</v>
      </c>
      <c r="E228" s="663">
        <v>2</v>
      </c>
      <c r="H228" s="178">
        <v>66.62</v>
      </c>
      <c r="J228" s="294"/>
      <c r="K228" s="295"/>
      <c r="L228" s="72"/>
      <c r="M228" s="133"/>
      <c r="N228" s="72"/>
      <c r="O228" s="224"/>
      <c r="P228" s="219"/>
      <c r="Q228" s="84"/>
      <c r="S228" s="136"/>
      <c r="T228" s="136"/>
      <c r="V228" s="136"/>
    </row>
    <row r="229" spans="1:22">
      <c r="A229" s="71" t="s">
        <v>6441</v>
      </c>
      <c r="B229" s="67" t="s">
        <v>6442</v>
      </c>
      <c r="C229" s="71" t="s">
        <v>509</v>
      </c>
      <c r="D229" s="78">
        <v>82.33</v>
      </c>
      <c r="E229" s="663">
        <v>2</v>
      </c>
      <c r="H229" s="178">
        <v>82.33</v>
      </c>
      <c r="J229" s="294"/>
      <c r="K229" s="295"/>
      <c r="L229" s="72"/>
      <c r="M229" s="133"/>
      <c r="N229" s="72"/>
      <c r="O229" s="224"/>
      <c r="P229" s="219"/>
      <c r="Q229" s="84"/>
      <c r="S229" s="136"/>
      <c r="T229" s="136"/>
      <c r="V229" s="136"/>
    </row>
    <row r="230" spans="1:22">
      <c r="A230" s="71" t="s">
        <v>6443</v>
      </c>
      <c r="B230" s="67" t="s">
        <v>6444</v>
      </c>
      <c r="C230" s="71" t="s">
        <v>509</v>
      </c>
      <c r="D230" s="78">
        <v>92.17</v>
      </c>
      <c r="E230" s="663">
        <v>2</v>
      </c>
      <c r="H230" s="178">
        <v>92.17</v>
      </c>
      <c r="J230" s="294"/>
      <c r="K230" s="295"/>
      <c r="L230" s="72"/>
      <c r="M230" s="133"/>
      <c r="N230" s="72"/>
      <c r="O230" s="224"/>
      <c r="P230" s="219"/>
      <c r="Q230" s="84"/>
      <c r="S230" s="136"/>
      <c r="T230" s="136"/>
      <c r="V230" s="136"/>
    </row>
    <row r="231" spans="1:22">
      <c r="A231" s="71" t="s">
        <v>6445</v>
      </c>
      <c r="B231" s="67" t="s">
        <v>6446</v>
      </c>
      <c r="C231" s="71" t="s">
        <v>509</v>
      </c>
      <c r="D231" s="78">
        <v>79.459999999999994</v>
      </c>
      <c r="E231" s="663">
        <v>2</v>
      </c>
      <c r="H231" s="178">
        <v>79.459999999999994</v>
      </c>
      <c r="J231" s="294"/>
      <c r="K231" s="295"/>
      <c r="L231" s="72"/>
      <c r="M231" s="133"/>
      <c r="N231" s="72"/>
      <c r="O231" s="224"/>
      <c r="P231" s="219"/>
      <c r="Q231" s="84"/>
      <c r="S231" s="136"/>
      <c r="T231" s="136"/>
      <c r="V231" s="136"/>
    </row>
    <row r="232" spans="1:22">
      <c r="A232" s="71" t="s">
        <v>6447</v>
      </c>
      <c r="B232" s="67" t="s">
        <v>6448</v>
      </c>
      <c r="C232" s="71" t="s">
        <v>509</v>
      </c>
      <c r="D232" s="78">
        <v>106.56</v>
      </c>
      <c r="E232" s="663">
        <v>2</v>
      </c>
      <c r="H232" s="178">
        <v>106.56</v>
      </c>
      <c r="J232" s="294"/>
      <c r="K232" s="295"/>
      <c r="L232" s="72"/>
      <c r="M232" s="133"/>
      <c r="N232" s="72"/>
      <c r="O232" s="224"/>
      <c r="P232" s="219"/>
      <c r="Q232" s="84"/>
      <c r="S232" s="136"/>
      <c r="T232" s="136"/>
      <c r="V232" s="136"/>
    </row>
    <row r="233" spans="1:22">
      <c r="A233" s="71" t="s">
        <v>6449</v>
      </c>
      <c r="B233" s="67" t="s">
        <v>6450</v>
      </c>
      <c r="C233" s="71" t="s">
        <v>509</v>
      </c>
      <c r="D233" s="78">
        <v>125.75</v>
      </c>
      <c r="E233" s="663">
        <v>2</v>
      </c>
      <c r="H233" s="178">
        <v>125.75</v>
      </c>
      <c r="J233" s="294"/>
      <c r="K233" s="295"/>
      <c r="L233" s="72"/>
      <c r="M233" s="133"/>
      <c r="N233" s="72"/>
      <c r="O233" s="224"/>
      <c r="P233" s="219"/>
      <c r="Q233" s="84"/>
      <c r="S233" s="136"/>
      <c r="T233" s="136"/>
      <c r="V233" s="136"/>
    </row>
    <row r="234" spans="1:22">
      <c r="A234" s="71" t="s">
        <v>6451</v>
      </c>
      <c r="B234" s="67" t="s">
        <v>6452</v>
      </c>
      <c r="C234" s="71" t="s">
        <v>509</v>
      </c>
      <c r="D234" s="78">
        <v>133.38999999999999</v>
      </c>
      <c r="E234" s="663">
        <v>2</v>
      </c>
      <c r="H234" s="178">
        <v>133.38999999999999</v>
      </c>
      <c r="J234" s="294"/>
      <c r="K234" s="295"/>
      <c r="L234" s="72"/>
      <c r="M234" s="133"/>
      <c r="N234" s="72"/>
      <c r="O234" s="224"/>
      <c r="P234" s="219"/>
      <c r="Q234" s="84"/>
      <c r="S234" s="136"/>
      <c r="T234" s="136"/>
      <c r="V234" s="136"/>
    </row>
    <row r="235" spans="1:22">
      <c r="A235" s="71" t="s">
        <v>6453</v>
      </c>
      <c r="B235" s="67" t="s">
        <v>6454</v>
      </c>
      <c r="C235" s="71" t="s">
        <v>509</v>
      </c>
      <c r="D235" s="78">
        <v>136.41</v>
      </c>
      <c r="E235" s="663">
        <v>2</v>
      </c>
      <c r="H235" s="178">
        <v>136.41</v>
      </c>
      <c r="J235" s="294"/>
      <c r="K235" s="295"/>
      <c r="L235" s="72"/>
      <c r="M235" s="133"/>
      <c r="N235" s="72"/>
      <c r="O235" s="224"/>
      <c r="P235" s="219"/>
      <c r="Q235" s="84"/>
      <c r="S235" s="136"/>
      <c r="T235" s="136"/>
      <c r="V235" s="136"/>
    </row>
    <row r="236" spans="1:22">
      <c r="A236" s="71" t="s">
        <v>6455</v>
      </c>
      <c r="B236" s="67" t="s">
        <v>6456</v>
      </c>
      <c r="C236" s="71" t="s">
        <v>509</v>
      </c>
      <c r="D236" s="78">
        <v>147.72999999999999</v>
      </c>
      <c r="E236" s="663">
        <v>2</v>
      </c>
      <c r="H236" s="178">
        <v>147.72999999999999</v>
      </c>
      <c r="J236" s="294"/>
      <c r="K236" s="295"/>
      <c r="L236" s="72"/>
      <c r="M236" s="133"/>
      <c r="N236" s="72"/>
      <c r="O236" s="224"/>
      <c r="P236" s="219"/>
      <c r="Q236" s="84"/>
      <c r="S236" s="136"/>
      <c r="T236" s="136"/>
      <c r="V236" s="136"/>
    </row>
    <row r="237" spans="1:22">
      <c r="A237" s="71" t="s">
        <v>6457</v>
      </c>
      <c r="B237" s="67" t="s">
        <v>6458</v>
      </c>
      <c r="C237" s="71" t="s">
        <v>509</v>
      </c>
      <c r="D237" s="78">
        <v>267.83999999999997</v>
      </c>
      <c r="E237" s="663">
        <v>2</v>
      </c>
      <c r="H237" s="178">
        <v>267.83999999999997</v>
      </c>
      <c r="J237" s="294"/>
      <c r="K237" s="295"/>
      <c r="L237" s="72"/>
      <c r="M237" s="133"/>
      <c r="N237" s="72"/>
      <c r="O237" s="224"/>
      <c r="P237" s="219"/>
      <c r="Q237" s="84"/>
      <c r="S237" s="136"/>
      <c r="T237" s="136"/>
      <c r="V237" s="136"/>
    </row>
    <row r="238" spans="1:22">
      <c r="A238" s="71" t="s">
        <v>6459</v>
      </c>
      <c r="B238" s="67" t="s">
        <v>6460</v>
      </c>
      <c r="C238" s="71" t="s">
        <v>509</v>
      </c>
      <c r="D238" s="78">
        <v>241.25</v>
      </c>
      <c r="E238" s="663">
        <v>2</v>
      </c>
      <c r="H238" s="178">
        <v>241.25</v>
      </c>
      <c r="J238" s="294"/>
      <c r="K238" s="295"/>
      <c r="L238" s="72"/>
      <c r="M238" s="133"/>
      <c r="N238" s="72"/>
      <c r="O238" s="224"/>
      <c r="P238" s="219"/>
      <c r="Q238" s="84"/>
      <c r="S238" s="136"/>
      <c r="T238" s="136"/>
      <c r="V238" s="136"/>
    </row>
    <row r="239" spans="1:22">
      <c r="A239" s="71" t="s">
        <v>6461</v>
      </c>
      <c r="B239" s="67" t="s">
        <v>6462</v>
      </c>
      <c r="C239" s="71" t="s">
        <v>509</v>
      </c>
      <c r="D239" s="78">
        <v>263.64999999999998</v>
      </c>
      <c r="E239" s="663">
        <v>2</v>
      </c>
      <c r="H239" s="178">
        <v>263.64999999999998</v>
      </c>
      <c r="J239" s="294"/>
      <c r="K239" s="295"/>
      <c r="L239" s="72"/>
      <c r="M239" s="133"/>
      <c r="N239" s="72"/>
      <c r="O239" s="224"/>
      <c r="P239" s="219"/>
      <c r="Q239" s="84"/>
      <c r="S239" s="136"/>
      <c r="T239" s="136"/>
      <c r="V239" s="136"/>
    </row>
    <row r="240" spans="1:22">
      <c r="A240" s="71" t="s">
        <v>6463</v>
      </c>
      <c r="B240" s="67" t="s">
        <v>6464</v>
      </c>
      <c r="C240" s="71" t="s">
        <v>509</v>
      </c>
      <c r="D240" s="78">
        <v>278.11</v>
      </c>
      <c r="E240" s="663">
        <v>2</v>
      </c>
      <c r="H240" s="178">
        <v>278.11</v>
      </c>
      <c r="J240" s="294"/>
      <c r="K240" s="295"/>
      <c r="L240" s="72"/>
      <c r="M240" s="133"/>
      <c r="N240" s="72"/>
      <c r="O240" s="224"/>
      <c r="P240" s="219"/>
      <c r="Q240" s="84"/>
      <c r="S240" s="136"/>
      <c r="T240" s="136"/>
      <c r="V240" s="136"/>
    </row>
    <row r="241" spans="1:22">
      <c r="A241" s="71" t="s">
        <v>6465</v>
      </c>
      <c r="B241" s="67" t="s">
        <v>6466</v>
      </c>
      <c r="C241" s="71" t="s">
        <v>509</v>
      </c>
      <c r="D241" s="78">
        <v>278.14</v>
      </c>
      <c r="E241" s="663">
        <v>2</v>
      </c>
      <c r="H241" s="178">
        <v>278.14</v>
      </c>
      <c r="J241" s="294"/>
      <c r="K241" s="295"/>
      <c r="L241" s="72"/>
      <c r="M241" s="133"/>
      <c r="N241" s="72"/>
      <c r="O241" s="224"/>
      <c r="P241" s="219"/>
      <c r="Q241" s="84"/>
      <c r="S241" s="136"/>
      <c r="T241" s="136"/>
      <c r="V241" s="136"/>
    </row>
    <row r="242" spans="1:22">
      <c r="A242" s="71" t="s">
        <v>6467</v>
      </c>
      <c r="B242" s="67" t="s">
        <v>6468</v>
      </c>
      <c r="C242" s="71" t="s">
        <v>509</v>
      </c>
      <c r="D242" s="78">
        <v>107.01</v>
      </c>
      <c r="E242" s="663">
        <v>2</v>
      </c>
      <c r="H242" s="178">
        <v>107.01</v>
      </c>
      <c r="J242" s="294"/>
      <c r="K242" s="295"/>
      <c r="L242" s="72"/>
      <c r="M242" s="133"/>
      <c r="N242" s="72"/>
      <c r="O242" s="224"/>
      <c r="P242" s="219"/>
      <c r="Q242" s="84"/>
      <c r="S242" s="136"/>
      <c r="T242" s="136"/>
    </row>
    <row r="243" spans="1:22">
      <c r="A243" s="71" t="s">
        <v>6469</v>
      </c>
      <c r="B243" s="67" t="s">
        <v>6470</v>
      </c>
      <c r="C243" s="71" t="s">
        <v>509</v>
      </c>
      <c r="D243" s="78">
        <v>139.09</v>
      </c>
      <c r="E243" s="663">
        <v>2</v>
      </c>
      <c r="H243" s="178">
        <v>139.09</v>
      </c>
      <c r="J243" s="294"/>
      <c r="K243" s="295"/>
      <c r="L243" s="72"/>
      <c r="M243" s="133"/>
      <c r="N243" s="72"/>
      <c r="O243" s="224"/>
      <c r="P243" s="219"/>
      <c r="Q243" s="84"/>
      <c r="S243" s="136"/>
      <c r="T243" s="136"/>
    </row>
    <row r="244" spans="1:22">
      <c r="A244" s="71" t="s">
        <v>6471</v>
      </c>
      <c r="B244" s="67" t="s">
        <v>6472</v>
      </c>
      <c r="C244" s="71" t="s">
        <v>509</v>
      </c>
      <c r="D244" s="78">
        <v>120.52</v>
      </c>
      <c r="E244" s="663">
        <v>2</v>
      </c>
      <c r="H244" s="178">
        <v>120.52</v>
      </c>
      <c r="J244" s="294"/>
      <c r="K244" s="295"/>
      <c r="L244" s="72"/>
      <c r="M244" s="133"/>
      <c r="N244" s="72"/>
      <c r="O244" s="224"/>
      <c r="P244" s="219"/>
      <c r="Q244" s="84"/>
      <c r="S244" s="136"/>
      <c r="T244" s="136"/>
    </row>
    <row r="245" spans="1:22">
      <c r="A245" s="71" t="s">
        <v>6473</v>
      </c>
      <c r="B245" s="67" t="s">
        <v>6474</v>
      </c>
      <c r="C245" s="71" t="s">
        <v>509</v>
      </c>
      <c r="D245" s="78">
        <v>150.24</v>
      </c>
      <c r="E245" s="663">
        <v>2</v>
      </c>
      <c r="H245" s="178">
        <v>150.24</v>
      </c>
      <c r="J245" s="294"/>
      <c r="K245" s="295"/>
      <c r="L245" s="72"/>
      <c r="M245" s="133"/>
      <c r="N245" s="72"/>
      <c r="O245" s="224"/>
      <c r="P245" s="219"/>
      <c r="Q245" s="84"/>
      <c r="S245" s="136"/>
      <c r="T245" s="136"/>
    </row>
    <row r="246" spans="1:22">
      <c r="A246" s="71" t="s">
        <v>6475</v>
      </c>
      <c r="B246" s="67" t="s">
        <v>6476</v>
      </c>
      <c r="C246" s="71" t="s">
        <v>509</v>
      </c>
      <c r="D246" s="78">
        <v>147.93</v>
      </c>
      <c r="E246" s="663">
        <v>2</v>
      </c>
      <c r="H246" s="178">
        <v>147.93</v>
      </c>
      <c r="J246" s="294"/>
      <c r="K246" s="295"/>
      <c r="L246" s="72"/>
      <c r="M246" s="133"/>
      <c r="N246" s="72"/>
      <c r="O246" s="224"/>
      <c r="P246" s="219"/>
      <c r="Q246" s="84"/>
      <c r="S246" s="136"/>
      <c r="T246" s="136"/>
    </row>
    <row r="247" spans="1:22">
      <c r="A247" s="71" t="s">
        <v>6477</v>
      </c>
      <c r="B247" s="67" t="s">
        <v>6478</v>
      </c>
      <c r="C247" s="71" t="s">
        <v>509</v>
      </c>
      <c r="D247" s="78">
        <v>184.31</v>
      </c>
      <c r="E247" s="663">
        <v>2</v>
      </c>
      <c r="H247" s="178">
        <v>184.31</v>
      </c>
      <c r="J247" s="294"/>
      <c r="K247" s="295"/>
      <c r="L247" s="72"/>
      <c r="M247" s="133"/>
      <c r="N247" s="72"/>
      <c r="O247" s="224"/>
      <c r="P247" s="219"/>
      <c r="Q247" s="84"/>
      <c r="S247" s="136"/>
      <c r="T247" s="136"/>
    </row>
    <row r="248" spans="1:22">
      <c r="A248" s="71" t="s">
        <v>6479</v>
      </c>
      <c r="B248" s="67" t="s">
        <v>6480</v>
      </c>
      <c r="C248" s="71" t="s">
        <v>509</v>
      </c>
      <c r="D248" s="78">
        <v>187.57</v>
      </c>
      <c r="E248" s="663">
        <v>2</v>
      </c>
      <c r="H248" s="178">
        <v>187.57</v>
      </c>
      <c r="J248" s="294"/>
      <c r="K248" s="295"/>
      <c r="L248" s="72"/>
      <c r="M248" s="133"/>
      <c r="N248" s="72"/>
      <c r="O248" s="224"/>
      <c r="P248" s="219"/>
      <c r="Q248" s="84"/>
      <c r="S248" s="136"/>
      <c r="T248" s="136"/>
    </row>
    <row r="249" spans="1:22">
      <c r="A249" s="71" t="s">
        <v>6481</v>
      </c>
      <c r="B249" s="67" t="s">
        <v>6482</v>
      </c>
      <c r="C249" s="71" t="s">
        <v>509</v>
      </c>
      <c r="D249" s="78">
        <v>218.09</v>
      </c>
      <c r="E249" s="663">
        <v>2</v>
      </c>
      <c r="H249" s="178">
        <v>218.09</v>
      </c>
      <c r="J249" s="294"/>
      <c r="K249" s="295"/>
      <c r="L249" s="72"/>
      <c r="M249" s="133"/>
      <c r="N249" s="72"/>
      <c r="O249" s="224"/>
      <c r="P249" s="219"/>
      <c r="Q249" s="84"/>
      <c r="S249" s="136"/>
      <c r="T249" s="136"/>
    </row>
    <row r="250" spans="1:22">
      <c r="A250" s="71" t="s">
        <v>6483</v>
      </c>
      <c r="B250" s="67" t="s">
        <v>6484</v>
      </c>
      <c r="C250" s="71" t="s">
        <v>509</v>
      </c>
      <c r="D250" s="78">
        <v>90.26</v>
      </c>
      <c r="E250" s="663">
        <v>2</v>
      </c>
      <c r="H250" s="178">
        <v>90.26</v>
      </c>
      <c r="J250" s="294"/>
      <c r="K250" s="295"/>
      <c r="L250" s="72"/>
      <c r="M250" s="133"/>
      <c r="N250" s="72"/>
      <c r="O250" s="224"/>
      <c r="P250" s="219"/>
      <c r="Q250" s="84"/>
      <c r="S250" s="136"/>
      <c r="T250" s="136"/>
    </row>
    <row r="251" spans="1:22">
      <c r="A251" s="71" t="s">
        <v>6485</v>
      </c>
      <c r="B251" s="67" t="s">
        <v>6486</v>
      </c>
      <c r="C251" s="71" t="s">
        <v>509</v>
      </c>
      <c r="D251" s="78">
        <v>106.86</v>
      </c>
      <c r="E251" s="663">
        <v>2</v>
      </c>
      <c r="H251" s="178">
        <v>106.86</v>
      </c>
      <c r="J251" s="294"/>
      <c r="K251" s="295"/>
      <c r="L251" s="72"/>
      <c r="M251" s="133"/>
      <c r="N251" s="72"/>
      <c r="O251" s="224"/>
      <c r="P251" s="219"/>
      <c r="Q251" s="84"/>
      <c r="S251" s="136"/>
      <c r="T251" s="136"/>
    </row>
    <row r="252" spans="1:22">
      <c r="A252" s="71" t="s">
        <v>6487</v>
      </c>
      <c r="B252" s="67" t="s">
        <v>6488</v>
      </c>
      <c r="C252" s="71" t="s">
        <v>509</v>
      </c>
      <c r="D252" s="78">
        <v>117.88</v>
      </c>
      <c r="E252" s="663">
        <v>2</v>
      </c>
      <c r="H252" s="178">
        <v>117.88</v>
      </c>
      <c r="J252" s="294"/>
      <c r="K252" s="295"/>
      <c r="L252" s="72"/>
      <c r="M252" s="133"/>
      <c r="N252" s="72"/>
      <c r="O252" s="224"/>
      <c r="P252" s="219"/>
      <c r="Q252" s="84"/>
      <c r="S252" s="136"/>
      <c r="T252" s="136"/>
    </row>
    <row r="253" spans="1:22">
      <c r="A253" s="71" t="s">
        <v>6489</v>
      </c>
      <c r="B253" s="67" t="s">
        <v>6490</v>
      </c>
      <c r="C253" s="71" t="s">
        <v>509</v>
      </c>
      <c r="D253" s="78">
        <v>127.53</v>
      </c>
      <c r="E253" s="663">
        <v>2</v>
      </c>
      <c r="H253" s="178">
        <v>127.53</v>
      </c>
      <c r="J253" s="294"/>
      <c r="K253" s="295"/>
      <c r="L253" s="72"/>
      <c r="M253" s="133"/>
      <c r="N253" s="72"/>
      <c r="O253" s="224"/>
      <c r="P253" s="219"/>
      <c r="Q253" s="84"/>
      <c r="S253" s="136"/>
      <c r="T253" s="136"/>
    </row>
    <row r="254" spans="1:22">
      <c r="A254" s="71" t="s">
        <v>6491</v>
      </c>
      <c r="B254" s="67" t="s">
        <v>6492</v>
      </c>
      <c r="C254" s="71" t="s">
        <v>509</v>
      </c>
      <c r="D254" s="78">
        <v>138.38999999999999</v>
      </c>
      <c r="E254" s="663">
        <v>2</v>
      </c>
      <c r="H254" s="178">
        <v>138.38999999999999</v>
      </c>
      <c r="J254" s="294"/>
      <c r="K254" s="295"/>
      <c r="L254" s="72"/>
      <c r="M254" s="133"/>
      <c r="N254" s="72"/>
      <c r="O254" s="224"/>
      <c r="P254" s="219"/>
      <c r="Q254" s="84"/>
      <c r="S254" s="136"/>
      <c r="T254" s="136"/>
    </row>
    <row r="255" spans="1:22">
      <c r="A255" s="71" t="s">
        <v>6493</v>
      </c>
      <c r="B255" s="67" t="s">
        <v>6494</v>
      </c>
      <c r="C255" s="71" t="s">
        <v>509</v>
      </c>
      <c r="D255" s="78">
        <v>150.91999999999999</v>
      </c>
      <c r="E255" s="663">
        <v>2</v>
      </c>
      <c r="H255" s="178">
        <v>150.91999999999999</v>
      </c>
      <c r="J255" s="294"/>
      <c r="K255" s="295"/>
      <c r="L255" s="72"/>
      <c r="M255" s="133"/>
      <c r="N255" s="72"/>
      <c r="O255" s="224"/>
      <c r="P255" s="219"/>
      <c r="Q255" s="84"/>
      <c r="S255" s="136"/>
      <c r="T255" s="136"/>
    </row>
    <row r="256" spans="1:22">
      <c r="A256" s="71" t="s">
        <v>6495</v>
      </c>
      <c r="B256" s="67" t="s">
        <v>6496</v>
      </c>
      <c r="C256" s="71" t="s">
        <v>509</v>
      </c>
      <c r="D256" s="78">
        <v>152.05000000000001</v>
      </c>
      <c r="E256" s="663">
        <v>2</v>
      </c>
      <c r="H256" s="178">
        <v>152.05000000000001</v>
      </c>
      <c r="J256" s="294"/>
      <c r="K256" s="295"/>
      <c r="L256" s="72"/>
      <c r="M256" s="133"/>
      <c r="N256" s="72"/>
      <c r="O256" s="224"/>
      <c r="P256" s="219"/>
      <c r="Q256" s="84"/>
      <c r="S256" s="136"/>
      <c r="T256" s="136"/>
    </row>
    <row r="257" spans="1:22">
      <c r="A257" s="71" t="s">
        <v>6497</v>
      </c>
      <c r="B257" s="67" t="s">
        <v>6498</v>
      </c>
      <c r="C257" s="71" t="s">
        <v>509</v>
      </c>
      <c r="D257" s="78">
        <v>173.07</v>
      </c>
      <c r="E257" s="663">
        <v>2</v>
      </c>
      <c r="H257" s="178">
        <v>173.07</v>
      </c>
      <c r="J257" s="294"/>
      <c r="K257" s="295"/>
      <c r="L257" s="72"/>
      <c r="M257" s="133"/>
      <c r="N257" s="72"/>
      <c r="O257" s="224"/>
      <c r="P257" s="219"/>
      <c r="Q257" s="84"/>
      <c r="S257" s="136"/>
      <c r="T257" s="136"/>
    </row>
    <row r="258" spans="1:22">
      <c r="A258" s="71" t="s">
        <v>6499</v>
      </c>
      <c r="B258" s="67" t="s">
        <v>6500</v>
      </c>
      <c r="C258" s="71" t="s">
        <v>103</v>
      </c>
      <c r="D258" s="78">
        <v>3.56</v>
      </c>
      <c r="E258" s="663">
        <v>2</v>
      </c>
      <c r="H258" s="178">
        <v>3.56</v>
      </c>
      <c r="J258" s="294"/>
      <c r="K258" s="295"/>
      <c r="L258" s="72"/>
      <c r="M258" s="133"/>
      <c r="N258" s="72"/>
      <c r="O258" s="224"/>
      <c r="P258" s="219"/>
      <c r="Q258" s="84"/>
      <c r="S258" s="136"/>
      <c r="T258" s="136"/>
      <c r="V258" s="136"/>
    </row>
    <row r="259" spans="1:22">
      <c r="A259" s="71" t="s">
        <v>6501</v>
      </c>
      <c r="B259" s="67" t="s">
        <v>6502</v>
      </c>
      <c r="C259" s="71" t="s">
        <v>103</v>
      </c>
      <c r="D259" s="78">
        <v>3.93</v>
      </c>
      <c r="E259" s="663">
        <v>2</v>
      </c>
      <c r="H259" s="178">
        <v>3.93</v>
      </c>
      <c r="J259" s="294"/>
      <c r="K259" s="295"/>
      <c r="L259" s="72"/>
      <c r="M259" s="133"/>
      <c r="N259" s="72"/>
      <c r="O259" s="224"/>
      <c r="P259" s="219"/>
      <c r="Q259" s="84"/>
      <c r="S259" s="136"/>
      <c r="T259" s="136"/>
      <c r="V259" s="136"/>
    </row>
    <row r="260" spans="1:22">
      <c r="A260" s="71" t="s">
        <v>6503</v>
      </c>
      <c r="B260" s="67" t="s">
        <v>6504</v>
      </c>
      <c r="C260" s="71" t="s">
        <v>103</v>
      </c>
      <c r="D260" s="78">
        <v>5.12</v>
      </c>
      <c r="E260" s="663">
        <v>2</v>
      </c>
      <c r="H260" s="178">
        <v>5.12</v>
      </c>
      <c r="J260" s="294"/>
      <c r="K260" s="295"/>
      <c r="L260" s="72"/>
      <c r="M260" s="133"/>
      <c r="N260" s="72"/>
      <c r="O260" s="224"/>
      <c r="P260" s="219"/>
      <c r="Q260" s="84"/>
      <c r="S260" s="136"/>
      <c r="T260" s="136"/>
      <c r="V260" s="136"/>
    </row>
    <row r="261" spans="1:22">
      <c r="A261" s="71" t="s">
        <v>6505</v>
      </c>
      <c r="B261" s="67" t="s">
        <v>6506</v>
      </c>
      <c r="C261" s="71" t="s">
        <v>103</v>
      </c>
      <c r="D261" s="78">
        <v>5.58</v>
      </c>
      <c r="E261" s="663">
        <v>2</v>
      </c>
      <c r="H261" s="178">
        <v>5.58</v>
      </c>
      <c r="J261" s="294"/>
      <c r="K261" s="295"/>
      <c r="L261" s="72"/>
      <c r="M261" s="133"/>
      <c r="N261" s="72"/>
      <c r="O261" s="224"/>
      <c r="P261" s="219"/>
      <c r="Q261" s="84"/>
      <c r="S261" s="136"/>
      <c r="T261" s="136"/>
      <c r="V261" s="136"/>
    </row>
    <row r="262" spans="1:22">
      <c r="A262" s="71" t="s">
        <v>6507</v>
      </c>
      <c r="B262" s="67" t="s">
        <v>6508</v>
      </c>
      <c r="C262" s="71" t="s">
        <v>103</v>
      </c>
      <c r="D262" s="78">
        <v>7.5</v>
      </c>
      <c r="E262" s="663">
        <v>2</v>
      </c>
      <c r="H262" s="178">
        <v>7.5</v>
      </c>
      <c r="J262" s="294"/>
      <c r="K262" s="295"/>
      <c r="L262" s="72"/>
      <c r="M262" s="133"/>
      <c r="N262" s="72"/>
      <c r="O262" s="224"/>
      <c r="P262" s="219"/>
      <c r="Q262" s="84"/>
      <c r="S262" s="136"/>
      <c r="T262" s="136"/>
      <c r="V262" s="136"/>
    </row>
    <row r="263" spans="1:22">
      <c r="A263" s="71" t="s">
        <v>6509</v>
      </c>
      <c r="B263" s="67" t="s">
        <v>6521</v>
      </c>
      <c r="C263" s="71" t="s">
        <v>103</v>
      </c>
      <c r="D263" s="78">
        <v>2.97</v>
      </c>
      <c r="E263" s="663">
        <v>2</v>
      </c>
      <c r="H263" s="178">
        <v>2.97</v>
      </c>
      <c r="J263" s="294"/>
      <c r="K263" s="295"/>
      <c r="L263" s="72"/>
      <c r="M263" s="133"/>
      <c r="N263" s="72"/>
      <c r="O263" s="224"/>
      <c r="P263" s="219"/>
      <c r="Q263" s="84"/>
      <c r="S263" s="136"/>
      <c r="T263" s="136"/>
      <c r="V263" s="136"/>
    </row>
    <row r="264" spans="1:22">
      <c r="A264" s="71" t="s">
        <v>6510</v>
      </c>
      <c r="B264" s="67" t="s">
        <v>6511</v>
      </c>
      <c r="C264" s="71" t="s">
        <v>103</v>
      </c>
      <c r="D264" s="78">
        <v>3.64</v>
      </c>
      <c r="E264" s="663">
        <v>2</v>
      </c>
      <c r="H264" s="178">
        <v>3.64</v>
      </c>
      <c r="J264" s="294"/>
      <c r="K264" s="295"/>
      <c r="L264" s="72"/>
      <c r="M264" s="133"/>
      <c r="N264" s="72"/>
      <c r="O264" s="224"/>
      <c r="P264" s="219"/>
      <c r="Q264" s="84"/>
      <c r="S264" s="136"/>
      <c r="T264" s="136"/>
      <c r="V264" s="136"/>
    </row>
    <row r="265" spans="1:22">
      <c r="A265" s="71" t="s">
        <v>6512</v>
      </c>
      <c r="B265" s="67" t="s">
        <v>6513</v>
      </c>
      <c r="C265" s="71" t="s">
        <v>103</v>
      </c>
      <c r="D265" s="78">
        <v>1.44</v>
      </c>
      <c r="E265" s="663">
        <v>2</v>
      </c>
      <c r="H265" s="178">
        <v>1.44</v>
      </c>
      <c r="J265" s="294"/>
      <c r="K265" s="295"/>
      <c r="L265" s="72"/>
      <c r="M265" s="133"/>
      <c r="N265" s="72"/>
      <c r="O265" s="224"/>
      <c r="P265" s="219"/>
      <c r="Q265" s="84"/>
      <c r="S265" s="136"/>
      <c r="T265" s="136"/>
    </row>
    <row r="266" spans="1:22">
      <c r="A266" s="71" t="s">
        <v>6514</v>
      </c>
      <c r="B266" s="67" t="s">
        <v>6515</v>
      </c>
      <c r="C266" s="71" t="s">
        <v>103</v>
      </c>
      <c r="D266" s="78">
        <v>0.69</v>
      </c>
      <c r="E266" s="663">
        <v>2</v>
      </c>
      <c r="H266" s="178">
        <v>0.69</v>
      </c>
      <c r="J266" s="294"/>
      <c r="K266" s="295"/>
      <c r="L266" s="72"/>
      <c r="M266" s="133"/>
      <c r="N266" s="72"/>
      <c r="O266" s="224"/>
      <c r="P266" s="219"/>
      <c r="Q266" s="84"/>
      <c r="S266" s="136"/>
      <c r="T266" s="136"/>
    </row>
    <row r="267" spans="1:22">
      <c r="A267" s="71" t="s">
        <v>6516</v>
      </c>
      <c r="B267" s="67" t="s">
        <v>6517</v>
      </c>
      <c r="C267" s="71" t="s">
        <v>103</v>
      </c>
      <c r="D267" s="78">
        <v>1.3</v>
      </c>
      <c r="E267" s="663">
        <v>2</v>
      </c>
      <c r="H267" s="178">
        <v>1.3</v>
      </c>
      <c r="J267" s="294"/>
      <c r="K267" s="295"/>
      <c r="L267" s="72"/>
      <c r="M267" s="133"/>
      <c r="N267" s="72"/>
      <c r="O267" s="224"/>
      <c r="P267" s="219"/>
      <c r="Q267" s="84"/>
      <c r="S267" s="136"/>
      <c r="T267" s="136"/>
    </row>
    <row r="268" spans="1:22">
      <c r="A268" s="71" t="s">
        <v>6518</v>
      </c>
      <c r="B268" s="67" t="s">
        <v>6519</v>
      </c>
      <c r="C268" s="71" t="s">
        <v>103</v>
      </c>
      <c r="D268" s="78">
        <v>4.03</v>
      </c>
      <c r="E268" s="663">
        <v>2</v>
      </c>
      <c r="H268" s="178">
        <v>4.03</v>
      </c>
      <c r="J268" s="294"/>
      <c r="K268" s="295"/>
      <c r="L268" s="72"/>
      <c r="M268" s="133"/>
      <c r="N268" s="72"/>
      <c r="O268" s="224"/>
      <c r="P268" s="219"/>
      <c r="Q268" s="84"/>
      <c r="S268" s="136"/>
      <c r="T268" s="136"/>
      <c r="V268" s="136"/>
    </row>
    <row r="269" spans="1:22">
      <c r="A269" s="71" t="s">
        <v>6520</v>
      </c>
      <c r="B269" s="67" t="s">
        <v>6521</v>
      </c>
      <c r="C269" s="71" t="s">
        <v>103</v>
      </c>
      <c r="D269" s="78">
        <v>14.51</v>
      </c>
      <c r="E269" s="663">
        <v>2</v>
      </c>
      <c r="H269" s="178">
        <v>14.51</v>
      </c>
      <c r="J269" s="294"/>
      <c r="K269" s="295"/>
      <c r="L269" s="72"/>
      <c r="M269" s="133"/>
      <c r="N269" s="72"/>
      <c r="O269" s="224"/>
      <c r="P269" s="219"/>
      <c r="Q269" s="84"/>
      <c r="S269" s="136"/>
      <c r="T269" s="136"/>
    </row>
    <row r="270" spans="1:22">
      <c r="A270" s="71" t="s">
        <v>6522</v>
      </c>
      <c r="B270" s="67" t="s">
        <v>6523</v>
      </c>
      <c r="C270" s="71" t="s">
        <v>103</v>
      </c>
      <c r="D270" s="78">
        <v>1.38</v>
      </c>
      <c r="E270" s="663">
        <v>2</v>
      </c>
      <c r="H270" s="178">
        <v>1.38</v>
      </c>
      <c r="J270" s="294"/>
      <c r="K270" s="295"/>
      <c r="L270" s="72"/>
      <c r="M270" s="133"/>
      <c r="N270" s="72"/>
      <c r="O270" s="224"/>
      <c r="P270" s="219"/>
      <c r="Q270" s="84"/>
      <c r="S270" s="136"/>
      <c r="T270" s="136"/>
    </row>
    <row r="271" spans="1:22">
      <c r="A271" s="71" t="s">
        <v>6524</v>
      </c>
      <c r="B271" s="67" t="s">
        <v>6525</v>
      </c>
      <c r="C271" s="71" t="s">
        <v>103</v>
      </c>
      <c r="D271" s="78">
        <v>3.3</v>
      </c>
      <c r="E271" s="663">
        <v>2</v>
      </c>
      <c r="H271" s="178">
        <v>3.3</v>
      </c>
      <c r="J271" s="294"/>
      <c r="K271" s="295"/>
      <c r="L271" s="72"/>
      <c r="M271" s="133"/>
      <c r="N271" s="72"/>
      <c r="O271" s="224"/>
      <c r="P271" s="219"/>
      <c r="Q271" s="84"/>
      <c r="S271" s="136"/>
      <c r="T271" s="136"/>
      <c r="V271" s="136"/>
    </row>
    <row r="272" spans="1:22">
      <c r="A272" s="71" t="s">
        <v>6526</v>
      </c>
      <c r="B272" s="67" t="s">
        <v>6527</v>
      </c>
      <c r="C272" s="71" t="s">
        <v>103</v>
      </c>
      <c r="D272" s="78">
        <v>4.38</v>
      </c>
      <c r="E272" s="663">
        <v>2</v>
      </c>
      <c r="H272" s="178">
        <v>4.38</v>
      </c>
      <c r="J272" s="294"/>
      <c r="K272" s="295"/>
      <c r="L272" s="72"/>
      <c r="M272" s="133"/>
      <c r="N272" s="72"/>
      <c r="O272" s="224"/>
      <c r="P272" s="219"/>
      <c r="Q272" s="84"/>
      <c r="S272" s="136"/>
      <c r="T272" s="136"/>
      <c r="V272" s="136"/>
    </row>
    <row r="273" spans="1:22">
      <c r="A273" s="71" t="s">
        <v>6528</v>
      </c>
      <c r="B273" s="67" t="s">
        <v>6529</v>
      </c>
      <c r="C273" s="71" t="s">
        <v>103</v>
      </c>
      <c r="D273" s="78">
        <v>2.4300000000000002</v>
      </c>
      <c r="E273" s="663">
        <v>2</v>
      </c>
      <c r="H273" s="178">
        <v>2.4300000000000002</v>
      </c>
      <c r="J273" s="294"/>
      <c r="K273" s="295"/>
      <c r="L273" s="72"/>
      <c r="M273" s="133"/>
      <c r="N273" s="72"/>
      <c r="O273" s="224"/>
      <c r="P273" s="219"/>
      <c r="Q273" s="84"/>
      <c r="S273" s="136"/>
      <c r="T273" s="136"/>
    </row>
    <row r="274" spans="1:22">
      <c r="A274" s="71" t="s">
        <v>6530</v>
      </c>
      <c r="B274" s="67" t="s">
        <v>6531</v>
      </c>
      <c r="C274" s="71" t="s">
        <v>103</v>
      </c>
      <c r="D274" s="78">
        <v>1.93</v>
      </c>
      <c r="E274" s="663">
        <v>2</v>
      </c>
      <c r="H274" s="178">
        <v>1.93</v>
      </c>
      <c r="J274" s="294"/>
      <c r="K274" s="295"/>
      <c r="L274" s="72"/>
      <c r="M274" s="133"/>
      <c r="N274" s="72"/>
      <c r="O274" s="224"/>
      <c r="P274" s="219"/>
      <c r="Q274" s="84"/>
      <c r="S274" s="136"/>
      <c r="T274" s="136"/>
    </row>
    <row r="275" spans="1:22">
      <c r="A275" s="71" t="s">
        <v>6532</v>
      </c>
      <c r="B275" s="67" t="s">
        <v>6533</v>
      </c>
      <c r="C275" s="71" t="s">
        <v>103</v>
      </c>
      <c r="D275" s="78">
        <v>5.28</v>
      </c>
      <c r="E275" s="663">
        <v>2</v>
      </c>
      <c r="H275" s="178">
        <v>5.28</v>
      </c>
      <c r="J275" s="294"/>
      <c r="K275" s="295"/>
      <c r="L275" s="72"/>
      <c r="M275" s="133"/>
      <c r="N275" s="72"/>
      <c r="O275" s="224"/>
      <c r="P275" s="219"/>
      <c r="Q275" s="84"/>
      <c r="S275" s="136"/>
      <c r="T275" s="136"/>
      <c r="V275" s="136"/>
    </row>
    <row r="276" spans="1:22">
      <c r="A276" s="71" t="s">
        <v>6534</v>
      </c>
      <c r="B276" s="67" t="s">
        <v>6535</v>
      </c>
      <c r="C276" s="71" t="s">
        <v>103</v>
      </c>
      <c r="D276" s="78">
        <v>6.82</v>
      </c>
      <c r="E276" s="663">
        <v>2</v>
      </c>
      <c r="H276" s="178">
        <v>6.82</v>
      </c>
      <c r="J276" s="294"/>
      <c r="K276" s="295"/>
      <c r="L276" s="72"/>
      <c r="M276" s="133"/>
      <c r="N276" s="72"/>
      <c r="O276" s="224"/>
      <c r="P276" s="219"/>
      <c r="Q276" s="84"/>
      <c r="S276" s="136"/>
      <c r="T276" s="136"/>
      <c r="V276" s="136"/>
    </row>
    <row r="277" spans="1:22">
      <c r="A277" s="71" t="s">
        <v>6536</v>
      </c>
      <c r="B277" s="67" t="s">
        <v>6537</v>
      </c>
      <c r="C277" s="71" t="s">
        <v>103</v>
      </c>
      <c r="D277" s="78">
        <v>4.37</v>
      </c>
      <c r="E277" s="663">
        <v>2</v>
      </c>
      <c r="H277" s="178">
        <v>4.37</v>
      </c>
      <c r="J277" s="294"/>
      <c r="K277" s="295"/>
      <c r="L277" s="72"/>
      <c r="M277" s="133"/>
      <c r="N277" s="72"/>
      <c r="O277" s="224"/>
      <c r="P277" s="219"/>
      <c r="Q277" s="84"/>
      <c r="S277" s="136"/>
      <c r="T277" s="136"/>
      <c r="V277" s="136"/>
    </row>
    <row r="278" spans="1:22">
      <c r="A278" s="71" t="s">
        <v>6538</v>
      </c>
      <c r="B278" s="67" t="s">
        <v>6539</v>
      </c>
      <c r="C278" s="71" t="s">
        <v>103</v>
      </c>
      <c r="D278" s="78">
        <v>5.69</v>
      </c>
      <c r="E278" s="663">
        <v>2</v>
      </c>
      <c r="H278" s="178">
        <v>5.69</v>
      </c>
      <c r="J278" s="294"/>
      <c r="K278" s="295"/>
      <c r="L278" s="72"/>
      <c r="M278" s="133"/>
      <c r="N278" s="72"/>
      <c r="O278" s="224"/>
      <c r="P278" s="219"/>
      <c r="Q278" s="84"/>
      <c r="S278" s="136"/>
      <c r="T278" s="136"/>
      <c r="V278" s="136"/>
    </row>
    <row r="279" spans="1:22">
      <c r="A279" s="71" t="s">
        <v>6540</v>
      </c>
      <c r="B279" s="67" t="s">
        <v>6541</v>
      </c>
      <c r="C279" s="71" t="s">
        <v>103</v>
      </c>
      <c r="D279" s="78">
        <v>5.83</v>
      </c>
      <c r="E279" s="663">
        <v>2</v>
      </c>
      <c r="H279" s="178">
        <v>5.83</v>
      </c>
      <c r="J279" s="294"/>
      <c r="K279" s="295"/>
      <c r="L279" s="72"/>
      <c r="M279" s="133"/>
      <c r="N279" s="72"/>
      <c r="O279" s="224"/>
      <c r="P279" s="219"/>
      <c r="Q279" s="84"/>
      <c r="S279" s="136"/>
      <c r="T279" s="136"/>
      <c r="V279" s="136"/>
    </row>
    <row r="280" spans="1:22">
      <c r="A280" s="71" t="s">
        <v>6542</v>
      </c>
      <c r="B280" s="67" t="s">
        <v>6543</v>
      </c>
      <c r="C280" s="71" t="s">
        <v>103</v>
      </c>
      <c r="D280" s="78">
        <v>6.57</v>
      </c>
      <c r="E280" s="663">
        <v>2</v>
      </c>
      <c r="H280" s="178">
        <v>6.57</v>
      </c>
      <c r="J280" s="294"/>
      <c r="K280" s="295"/>
      <c r="L280" s="72"/>
      <c r="M280" s="133"/>
      <c r="N280" s="72"/>
      <c r="O280" s="224"/>
      <c r="P280" s="219"/>
      <c r="Q280" s="84"/>
      <c r="S280" s="136"/>
      <c r="T280" s="136"/>
      <c r="V280" s="136"/>
    </row>
    <row r="281" spans="1:22">
      <c r="A281" s="71" t="s">
        <v>6544</v>
      </c>
      <c r="B281" s="67" t="s">
        <v>6545</v>
      </c>
      <c r="C281" s="71" t="s">
        <v>103</v>
      </c>
      <c r="D281" s="78">
        <v>2.94</v>
      </c>
      <c r="E281" s="663">
        <v>2</v>
      </c>
      <c r="H281" s="178">
        <v>2.94</v>
      </c>
      <c r="J281" s="294"/>
      <c r="K281" s="295"/>
      <c r="L281" s="72"/>
      <c r="M281" s="133"/>
      <c r="N281" s="72"/>
      <c r="O281" s="224"/>
      <c r="P281" s="219"/>
      <c r="Q281" s="84"/>
      <c r="S281" s="136"/>
      <c r="T281" s="136"/>
      <c r="V281" s="136"/>
    </row>
    <row r="282" spans="1:22">
      <c r="A282" s="71" t="s">
        <v>6546</v>
      </c>
      <c r="B282" s="67" t="s">
        <v>6547</v>
      </c>
      <c r="C282" s="71" t="s">
        <v>103</v>
      </c>
      <c r="D282" s="78">
        <v>24.72</v>
      </c>
      <c r="E282" s="663">
        <v>2</v>
      </c>
      <c r="F282" s="61"/>
      <c r="G282" s="61"/>
      <c r="H282" s="178">
        <v>24.72</v>
      </c>
      <c r="J282" s="294"/>
      <c r="K282" s="295"/>
      <c r="L282" s="72"/>
      <c r="M282" s="133"/>
      <c r="N282" s="72"/>
      <c r="O282" s="224"/>
      <c r="P282" s="219"/>
      <c r="Q282" s="61"/>
      <c r="R282" s="61"/>
      <c r="S282" s="136"/>
      <c r="T282" s="136"/>
      <c r="U282" s="61"/>
      <c r="V282" s="136"/>
    </row>
    <row r="283" spans="1:22">
      <c r="A283" s="71" t="s">
        <v>6548</v>
      </c>
      <c r="B283" s="67" t="s">
        <v>6549</v>
      </c>
      <c r="C283" s="71" t="s">
        <v>103</v>
      </c>
      <c r="D283" s="78">
        <v>8.7899999999999991</v>
      </c>
      <c r="E283" s="663">
        <v>2</v>
      </c>
      <c r="H283" s="178">
        <v>8.7899999999999991</v>
      </c>
      <c r="J283" s="294"/>
      <c r="K283" s="295"/>
      <c r="L283" s="72"/>
      <c r="M283" s="133"/>
      <c r="N283" s="72"/>
      <c r="O283" s="224"/>
      <c r="P283" s="219"/>
      <c r="Q283" s="84"/>
      <c r="S283" s="136"/>
      <c r="T283" s="136"/>
      <c r="V283" s="136"/>
    </row>
    <row r="284" spans="1:22">
      <c r="A284" s="71" t="s">
        <v>6550</v>
      </c>
      <c r="B284" s="67" t="s">
        <v>6551</v>
      </c>
      <c r="C284" s="71" t="s">
        <v>103</v>
      </c>
      <c r="D284" s="78">
        <v>23.49</v>
      </c>
      <c r="E284" s="663">
        <v>2</v>
      </c>
      <c r="H284" s="178">
        <v>23.49</v>
      </c>
      <c r="J284" s="294"/>
      <c r="K284" s="295"/>
      <c r="L284" s="72"/>
      <c r="M284" s="133"/>
      <c r="N284" s="72"/>
      <c r="O284" s="224"/>
      <c r="P284" s="219"/>
      <c r="Q284" s="84"/>
      <c r="S284" s="136"/>
      <c r="T284" s="136"/>
      <c r="V284" s="136"/>
    </row>
    <row r="285" spans="1:22">
      <c r="A285" s="71" t="s">
        <v>6552</v>
      </c>
      <c r="B285" s="67" t="s">
        <v>6553</v>
      </c>
      <c r="C285" s="71" t="s">
        <v>103</v>
      </c>
      <c r="D285" s="78">
        <v>19.559999999999999</v>
      </c>
      <c r="E285" s="663">
        <v>2</v>
      </c>
      <c r="H285" s="178">
        <v>19.559999999999999</v>
      </c>
      <c r="J285" s="294"/>
      <c r="K285" s="295"/>
      <c r="L285" s="72"/>
      <c r="M285" s="133"/>
      <c r="N285" s="72"/>
      <c r="O285" s="224"/>
      <c r="P285" s="219"/>
      <c r="Q285" s="84"/>
      <c r="S285" s="136"/>
      <c r="T285" s="136"/>
      <c r="V285" s="136"/>
    </row>
    <row r="286" spans="1:22">
      <c r="A286" s="71" t="s">
        <v>6554</v>
      </c>
      <c r="B286" s="67" t="s">
        <v>6555</v>
      </c>
      <c r="C286" s="71" t="s">
        <v>103</v>
      </c>
      <c r="D286" s="78">
        <v>24.55</v>
      </c>
      <c r="E286" s="663">
        <v>2</v>
      </c>
      <c r="H286" s="178">
        <v>24.55</v>
      </c>
      <c r="J286" s="294"/>
      <c r="K286" s="295"/>
      <c r="L286" s="72"/>
      <c r="M286" s="133"/>
      <c r="N286" s="72"/>
      <c r="O286" s="224"/>
      <c r="P286" s="219"/>
      <c r="Q286" s="84"/>
      <c r="S286" s="136"/>
      <c r="T286" s="136"/>
      <c r="V286" s="136"/>
    </row>
    <row r="287" spans="1:22">
      <c r="A287" s="71" t="s">
        <v>6556</v>
      </c>
      <c r="B287" s="67" t="s">
        <v>6557</v>
      </c>
      <c r="C287" s="71" t="s">
        <v>103</v>
      </c>
      <c r="D287" s="78">
        <v>110.63</v>
      </c>
      <c r="E287" s="663">
        <v>2</v>
      </c>
      <c r="H287" s="178">
        <v>110.63</v>
      </c>
      <c r="J287" s="294"/>
      <c r="K287" s="295"/>
      <c r="L287" s="72"/>
      <c r="M287" s="133"/>
      <c r="N287" s="72"/>
      <c r="O287" s="224"/>
      <c r="P287" s="219"/>
      <c r="Q287" s="84"/>
      <c r="S287" s="136"/>
      <c r="T287" s="136"/>
      <c r="V287" s="136"/>
    </row>
    <row r="288" spans="1:22">
      <c r="A288" s="71" t="s">
        <v>6558</v>
      </c>
      <c r="B288" s="67" t="s">
        <v>6559</v>
      </c>
      <c r="C288" s="71" t="s">
        <v>103</v>
      </c>
      <c r="D288" s="78">
        <v>4.76</v>
      </c>
      <c r="E288" s="663">
        <v>2</v>
      </c>
      <c r="H288" s="178">
        <v>4.76</v>
      </c>
      <c r="J288" s="294"/>
      <c r="K288" s="295"/>
      <c r="L288" s="72"/>
      <c r="M288" s="133"/>
      <c r="N288" s="72"/>
      <c r="O288" s="224"/>
      <c r="P288" s="219"/>
      <c r="Q288" s="84"/>
      <c r="S288" s="136"/>
      <c r="T288" s="136"/>
      <c r="V288" s="136"/>
    </row>
    <row r="289" spans="1:24">
      <c r="A289" s="71" t="s">
        <v>6560</v>
      </c>
      <c r="B289" s="67" t="s">
        <v>6561</v>
      </c>
      <c r="C289" s="71" t="s">
        <v>509</v>
      </c>
      <c r="D289" s="78">
        <v>249.3</v>
      </c>
      <c r="E289" s="663">
        <v>2</v>
      </c>
      <c r="H289" s="178">
        <v>249.3</v>
      </c>
      <c r="J289" s="294"/>
      <c r="K289" s="295"/>
      <c r="L289" s="72"/>
      <c r="M289" s="133"/>
      <c r="N289" s="72"/>
      <c r="O289" s="224"/>
      <c r="P289" s="219"/>
      <c r="Q289" s="84"/>
      <c r="S289" s="136"/>
      <c r="T289" s="136"/>
      <c r="V289" s="136"/>
    </row>
    <row r="290" spans="1:24">
      <c r="A290" s="71" t="s">
        <v>6562</v>
      </c>
      <c r="B290" s="67" t="s">
        <v>6563</v>
      </c>
      <c r="C290" s="71" t="s">
        <v>509</v>
      </c>
      <c r="D290" s="78">
        <v>305.45</v>
      </c>
      <c r="E290" s="663">
        <v>2</v>
      </c>
      <c r="H290" s="178">
        <v>305.45</v>
      </c>
      <c r="J290" s="294"/>
      <c r="K290" s="295"/>
      <c r="L290" s="72"/>
      <c r="M290" s="133"/>
      <c r="N290" s="72"/>
      <c r="O290" s="224"/>
      <c r="P290" s="219"/>
      <c r="Q290" s="84"/>
      <c r="S290" s="136"/>
      <c r="T290" s="136"/>
      <c r="V290" s="136"/>
      <c r="X290" s="61"/>
    </row>
    <row r="291" spans="1:24">
      <c r="A291" s="71" t="s">
        <v>6564</v>
      </c>
      <c r="B291" s="67" t="s">
        <v>6565</v>
      </c>
      <c r="C291" s="71" t="s">
        <v>509</v>
      </c>
      <c r="D291" s="78">
        <v>193.24</v>
      </c>
      <c r="E291" s="663">
        <v>2</v>
      </c>
      <c r="H291" s="178">
        <v>193.24</v>
      </c>
      <c r="J291" s="294"/>
      <c r="K291" s="295"/>
      <c r="L291" s="72"/>
      <c r="M291" s="133"/>
      <c r="N291" s="72"/>
      <c r="O291" s="224"/>
      <c r="P291" s="219"/>
      <c r="Q291" s="84"/>
      <c r="S291" s="136"/>
      <c r="T291" s="136"/>
      <c r="V291" s="136"/>
    </row>
    <row r="292" spans="1:24">
      <c r="A292" s="71" t="s">
        <v>6566</v>
      </c>
      <c r="B292" s="67" t="s">
        <v>6567</v>
      </c>
      <c r="C292" s="71" t="s">
        <v>509</v>
      </c>
      <c r="D292" s="78">
        <v>243.05</v>
      </c>
      <c r="E292" s="663">
        <v>2</v>
      </c>
      <c r="H292" s="178">
        <v>243.05</v>
      </c>
      <c r="J292" s="294"/>
      <c r="K292" s="295"/>
      <c r="L292" s="72"/>
      <c r="M292" s="133"/>
      <c r="N292" s="72"/>
      <c r="O292" s="224"/>
      <c r="P292" s="219"/>
      <c r="Q292" s="84"/>
      <c r="S292" s="136"/>
      <c r="T292" s="136"/>
      <c r="V292" s="136"/>
    </row>
    <row r="293" spans="1:24">
      <c r="A293" s="71" t="s">
        <v>6568</v>
      </c>
      <c r="B293" s="67" t="s">
        <v>6569</v>
      </c>
      <c r="C293" s="71" t="s">
        <v>509</v>
      </c>
      <c r="D293" s="78">
        <v>245.54</v>
      </c>
      <c r="E293" s="663">
        <v>2</v>
      </c>
      <c r="H293" s="178">
        <v>245.54</v>
      </c>
      <c r="J293" s="294"/>
      <c r="K293" s="295"/>
      <c r="L293" s="72"/>
      <c r="M293" s="133"/>
      <c r="N293" s="72"/>
      <c r="O293" s="224"/>
      <c r="P293" s="219"/>
      <c r="Q293" s="84"/>
      <c r="S293" s="136"/>
      <c r="T293" s="136"/>
      <c r="V293" s="136"/>
    </row>
    <row r="294" spans="1:24">
      <c r="A294" s="71" t="s">
        <v>6570</v>
      </c>
      <c r="B294" s="67" t="s">
        <v>6571</v>
      </c>
      <c r="C294" s="71" t="s">
        <v>103</v>
      </c>
      <c r="D294" s="78">
        <v>734.98</v>
      </c>
      <c r="E294" s="663">
        <v>2</v>
      </c>
      <c r="H294" s="178">
        <v>734.98</v>
      </c>
      <c r="J294" s="294"/>
      <c r="K294" s="295"/>
      <c r="L294" s="72"/>
      <c r="M294" s="133"/>
      <c r="N294" s="72"/>
      <c r="O294" s="224"/>
      <c r="P294" s="219"/>
      <c r="Q294" s="84"/>
      <c r="S294" s="136"/>
      <c r="T294" s="136"/>
      <c r="V294" s="136"/>
    </row>
    <row r="295" spans="1:24">
      <c r="A295" s="71" t="s">
        <v>6572</v>
      </c>
      <c r="B295" s="67" t="s">
        <v>6573</v>
      </c>
      <c r="C295" s="71" t="s">
        <v>103</v>
      </c>
      <c r="D295" s="78">
        <v>787.27</v>
      </c>
      <c r="E295" s="663">
        <v>2</v>
      </c>
      <c r="H295" s="178">
        <v>787.27</v>
      </c>
      <c r="J295" s="294"/>
      <c r="K295" s="295"/>
      <c r="L295" s="72"/>
      <c r="M295" s="133"/>
      <c r="N295" s="72"/>
      <c r="O295" s="224"/>
      <c r="P295" s="219"/>
      <c r="Q295" s="84"/>
      <c r="S295" s="136"/>
      <c r="T295" s="136"/>
      <c r="V295" s="136"/>
    </row>
    <row r="296" spans="1:24">
      <c r="A296" s="71" t="s">
        <v>6574</v>
      </c>
      <c r="B296" s="67" t="s">
        <v>6575</v>
      </c>
      <c r="C296" s="71" t="s">
        <v>103</v>
      </c>
      <c r="D296" s="78">
        <v>400.67</v>
      </c>
      <c r="E296" s="663">
        <v>2</v>
      </c>
      <c r="H296" s="178">
        <v>400.67</v>
      </c>
      <c r="J296" s="294"/>
      <c r="K296" s="295"/>
      <c r="L296" s="72"/>
      <c r="M296" s="133"/>
      <c r="N296" s="72"/>
      <c r="O296" s="224"/>
      <c r="P296" s="219"/>
      <c r="Q296" s="84"/>
      <c r="S296" s="136"/>
      <c r="T296" s="136"/>
      <c r="V296" s="136"/>
    </row>
    <row r="297" spans="1:24">
      <c r="A297" s="71" t="s">
        <v>6576</v>
      </c>
      <c r="B297" s="67" t="s">
        <v>6577</v>
      </c>
      <c r="C297" s="71" t="s">
        <v>509</v>
      </c>
      <c r="D297" s="78">
        <v>255.06</v>
      </c>
      <c r="E297" s="663">
        <v>2</v>
      </c>
      <c r="H297" s="178">
        <v>255.06</v>
      </c>
      <c r="J297" s="294"/>
      <c r="K297" s="295"/>
      <c r="L297" s="72"/>
      <c r="M297" s="133"/>
      <c r="N297" s="72"/>
      <c r="O297" s="224"/>
      <c r="P297" s="219"/>
      <c r="Q297" s="84"/>
      <c r="S297" s="136"/>
      <c r="T297" s="136"/>
      <c r="V297" s="136"/>
    </row>
    <row r="298" spans="1:24">
      <c r="A298" s="71" t="s">
        <v>6578</v>
      </c>
      <c r="B298" s="67" t="s">
        <v>6579</v>
      </c>
      <c r="C298" s="71" t="s">
        <v>509</v>
      </c>
      <c r="D298" s="78">
        <v>216.83</v>
      </c>
      <c r="E298" s="663">
        <v>2</v>
      </c>
      <c r="H298" s="178">
        <v>216.83</v>
      </c>
      <c r="J298" s="294"/>
      <c r="K298" s="295"/>
      <c r="L298" s="72"/>
      <c r="M298" s="133"/>
      <c r="N298" s="72"/>
      <c r="O298" s="224"/>
      <c r="P298" s="219"/>
      <c r="Q298" s="84"/>
      <c r="S298" s="136"/>
      <c r="T298" s="136"/>
      <c r="V298" s="136"/>
    </row>
    <row r="299" spans="1:24">
      <c r="A299" s="71" t="s">
        <v>44186</v>
      </c>
      <c r="B299" s="67" t="s">
        <v>44187</v>
      </c>
      <c r="C299" s="71" t="s">
        <v>509</v>
      </c>
      <c r="D299" s="78">
        <v>823</v>
      </c>
      <c r="E299" s="663">
        <v>2</v>
      </c>
      <c r="H299" s="178">
        <v>823</v>
      </c>
      <c r="J299" s="294"/>
      <c r="K299" s="295"/>
      <c r="L299" s="72"/>
      <c r="M299" s="133"/>
      <c r="N299" s="72"/>
      <c r="O299" s="224"/>
      <c r="P299" s="219"/>
      <c r="Q299" s="84"/>
      <c r="S299" s="136"/>
      <c r="T299" s="136"/>
    </row>
    <row r="300" spans="1:24">
      <c r="A300" s="71" t="s">
        <v>6580</v>
      </c>
      <c r="B300" s="67" t="s">
        <v>6581</v>
      </c>
      <c r="C300" s="71" t="s">
        <v>207</v>
      </c>
      <c r="D300" s="78">
        <v>2.36</v>
      </c>
      <c r="E300" s="663">
        <v>2</v>
      </c>
      <c r="H300" s="178">
        <v>2.36</v>
      </c>
      <c r="J300" s="294"/>
      <c r="K300" s="295"/>
      <c r="L300" s="72"/>
      <c r="M300" s="133"/>
      <c r="N300" s="72"/>
      <c r="O300" s="224"/>
      <c r="P300" s="219"/>
      <c r="Q300" s="84"/>
      <c r="S300" s="136"/>
      <c r="T300" s="136"/>
      <c r="V300" s="136"/>
    </row>
    <row r="301" spans="1:24">
      <c r="A301" s="71" t="s">
        <v>6582</v>
      </c>
      <c r="B301" s="67" t="s">
        <v>6583</v>
      </c>
      <c r="C301" s="71" t="s">
        <v>207</v>
      </c>
      <c r="D301" s="78">
        <v>17.559999999999999</v>
      </c>
      <c r="E301" s="663">
        <v>2</v>
      </c>
      <c r="H301" s="178">
        <v>17.559999999999999</v>
      </c>
      <c r="J301" s="294"/>
      <c r="K301" s="295"/>
      <c r="L301" s="72"/>
      <c r="M301" s="133"/>
      <c r="N301" s="72"/>
      <c r="O301" s="224"/>
      <c r="P301" s="219"/>
      <c r="Q301" s="84"/>
      <c r="S301" s="136"/>
      <c r="T301" s="136"/>
      <c r="V301" s="136"/>
    </row>
    <row r="302" spans="1:24" ht="12">
      <c r="A302" s="71" t="s">
        <v>32944</v>
      </c>
      <c r="B302" s="65" t="s">
        <v>32945</v>
      </c>
      <c r="C302" s="71" t="s">
        <v>509</v>
      </c>
      <c r="D302" s="78">
        <v>1684.03</v>
      </c>
      <c r="E302" s="663">
        <v>2</v>
      </c>
      <c r="H302" s="178">
        <v>1684.03</v>
      </c>
      <c r="J302" s="294"/>
      <c r="K302" s="295"/>
      <c r="L302" s="72"/>
      <c r="M302" s="133"/>
      <c r="N302" s="72"/>
      <c r="O302" s="224"/>
      <c r="P302" s="219"/>
      <c r="Q302" s="84"/>
      <c r="S302" s="136"/>
      <c r="T302" s="136"/>
    </row>
    <row r="303" spans="1:24">
      <c r="A303" s="71" t="s">
        <v>6584</v>
      </c>
      <c r="B303" s="67" t="s">
        <v>6585</v>
      </c>
      <c r="C303" s="71" t="s">
        <v>509</v>
      </c>
      <c r="D303" s="78">
        <v>5.83</v>
      </c>
      <c r="E303" s="663">
        <v>2</v>
      </c>
      <c r="H303" s="178">
        <v>5.83</v>
      </c>
      <c r="J303" s="294"/>
      <c r="K303" s="295"/>
      <c r="L303" s="72"/>
      <c r="M303" s="133"/>
      <c r="N303" s="72"/>
      <c r="O303" s="224"/>
      <c r="P303" s="219"/>
      <c r="Q303" s="84"/>
      <c r="S303" s="136"/>
      <c r="T303" s="136"/>
    </row>
    <row r="304" spans="1:24">
      <c r="A304" s="71" t="s">
        <v>6586</v>
      </c>
      <c r="B304" s="67" t="s">
        <v>6587</v>
      </c>
      <c r="C304" s="71" t="s">
        <v>509</v>
      </c>
      <c r="D304" s="78">
        <v>16.36</v>
      </c>
      <c r="E304" s="663">
        <v>2</v>
      </c>
      <c r="H304" s="178">
        <v>16.36</v>
      </c>
      <c r="J304" s="294"/>
      <c r="K304" s="295"/>
      <c r="L304" s="72"/>
      <c r="M304" s="133"/>
      <c r="N304" s="72"/>
      <c r="O304" s="224"/>
      <c r="P304" s="219"/>
      <c r="Q304" s="84"/>
      <c r="S304" s="136"/>
      <c r="T304" s="136"/>
      <c r="V304" s="136"/>
    </row>
    <row r="305" spans="1:22">
      <c r="A305" s="71" t="s">
        <v>6588</v>
      </c>
      <c r="B305" s="67" t="s">
        <v>6589</v>
      </c>
      <c r="C305" s="71" t="s">
        <v>509</v>
      </c>
      <c r="D305" s="78">
        <v>5</v>
      </c>
      <c r="E305" s="663">
        <v>2</v>
      </c>
      <c r="H305" s="178">
        <v>5</v>
      </c>
      <c r="J305" s="294"/>
      <c r="K305" s="295"/>
      <c r="L305" s="72"/>
      <c r="M305" s="133"/>
      <c r="N305" s="72"/>
      <c r="O305" s="224"/>
      <c r="P305" s="219"/>
      <c r="Q305" s="84"/>
      <c r="S305" s="136"/>
      <c r="T305" s="136"/>
    </row>
    <row r="306" spans="1:22">
      <c r="A306" s="71" t="s">
        <v>6590</v>
      </c>
      <c r="B306" s="67" t="s">
        <v>6591</v>
      </c>
      <c r="C306" s="71" t="s">
        <v>509</v>
      </c>
      <c r="D306" s="78">
        <v>2.14</v>
      </c>
      <c r="E306" s="663">
        <v>2</v>
      </c>
      <c r="H306" s="178">
        <v>2.14</v>
      </c>
      <c r="J306" s="294"/>
      <c r="K306" s="295"/>
      <c r="L306" s="72"/>
      <c r="M306" s="133"/>
      <c r="N306" s="72"/>
      <c r="O306" s="224"/>
      <c r="P306" s="219"/>
      <c r="Q306" s="84"/>
      <c r="S306" s="136"/>
      <c r="T306" s="136"/>
      <c r="V306" s="136"/>
    </row>
    <row r="307" spans="1:22">
      <c r="A307" s="71" t="s">
        <v>6592</v>
      </c>
      <c r="B307" s="67" t="s">
        <v>6593</v>
      </c>
      <c r="C307" s="71" t="s">
        <v>509</v>
      </c>
      <c r="D307" s="78">
        <v>8.19</v>
      </c>
      <c r="E307" s="663">
        <v>2</v>
      </c>
      <c r="H307" s="178">
        <v>8.19</v>
      </c>
      <c r="J307" s="294"/>
      <c r="K307" s="295"/>
      <c r="L307" s="72"/>
      <c r="M307" s="133"/>
      <c r="N307" s="72"/>
      <c r="O307" s="224"/>
      <c r="P307" s="219"/>
      <c r="Q307" s="84"/>
      <c r="S307" s="136"/>
      <c r="T307" s="136"/>
      <c r="V307" s="136"/>
    </row>
    <row r="308" spans="1:22">
      <c r="A308" s="71" t="s">
        <v>6594</v>
      </c>
      <c r="B308" s="67" t="s">
        <v>6595</v>
      </c>
      <c r="C308" s="71" t="s">
        <v>207</v>
      </c>
      <c r="D308" s="78">
        <v>8.24</v>
      </c>
      <c r="E308" s="663">
        <v>2</v>
      </c>
      <c r="H308" s="178">
        <v>8.24</v>
      </c>
      <c r="J308" s="294"/>
      <c r="K308" s="295"/>
      <c r="L308" s="72"/>
      <c r="M308" s="133"/>
      <c r="N308" s="72"/>
      <c r="O308" s="224"/>
      <c r="P308" s="219"/>
      <c r="Q308" s="84"/>
      <c r="S308" s="136"/>
      <c r="T308" s="136"/>
      <c r="V308" s="136"/>
    </row>
    <row r="309" spans="1:22">
      <c r="A309" s="71" t="s">
        <v>6596</v>
      </c>
      <c r="B309" s="67" t="s">
        <v>6597</v>
      </c>
      <c r="C309" s="71" t="s">
        <v>153</v>
      </c>
      <c r="D309" s="78">
        <v>36.979999999999997</v>
      </c>
      <c r="E309" s="663">
        <v>2</v>
      </c>
      <c r="H309" s="178">
        <v>36.979999999999997</v>
      </c>
      <c r="J309" s="294"/>
      <c r="K309" s="295"/>
      <c r="L309" s="72"/>
      <c r="M309" s="133"/>
      <c r="N309" s="72"/>
      <c r="O309" s="224"/>
      <c r="P309" s="219"/>
      <c r="Q309" s="84"/>
      <c r="S309" s="136"/>
      <c r="T309" s="136"/>
      <c r="V309" s="136"/>
    </row>
    <row r="310" spans="1:22">
      <c r="A310" s="71" t="s">
        <v>6598</v>
      </c>
      <c r="B310" s="67" t="s">
        <v>6599</v>
      </c>
      <c r="C310" s="71" t="s">
        <v>509</v>
      </c>
      <c r="D310" s="78">
        <v>8.42</v>
      </c>
      <c r="E310" s="663">
        <v>2</v>
      </c>
      <c r="H310" s="178">
        <v>8.42</v>
      </c>
      <c r="J310" s="294"/>
      <c r="K310" s="295"/>
      <c r="L310" s="72"/>
      <c r="M310" s="133"/>
      <c r="N310" s="72"/>
      <c r="O310" s="224"/>
      <c r="P310" s="219"/>
      <c r="Q310" s="84"/>
      <c r="S310" s="136"/>
      <c r="T310" s="136"/>
      <c r="V310" s="136"/>
    </row>
    <row r="311" spans="1:22">
      <c r="A311" s="71" t="s">
        <v>6600</v>
      </c>
      <c r="B311" s="67" t="s">
        <v>6601</v>
      </c>
      <c r="C311" s="71" t="s">
        <v>207</v>
      </c>
      <c r="D311" s="78">
        <v>6.84</v>
      </c>
      <c r="E311" s="663">
        <v>2</v>
      </c>
      <c r="H311" s="178">
        <v>6.84</v>
      </c>
      <c r="J311" s="294"/>
      <c r="K311" s="295"/>
      <c r="L311" s="72"/>
      <c r="M311" s="133"/>
      <c r="N311" s="72"/>
      <c r="O311" s="224"/>
      <c r="P311" s="219"/>
      <c r="Q311" s="84"/>
      <c r="S311" s="136"/>
      <c r="T311" s="136"/>
      <c r="V311" s="136"/>
    </row>
    <row r="312" spans="1:22">
      <c r="A312" s="71" t="s">
        <v>6602</v>
      </c>
      <c r="B312" s="67" t="s">
        <v>6603</v>
      </c>
      <c r="C312" s="71" t="s">
        <v>207</v>
      </c>
      <c r="D312" s="78">
        <v>2.95</v>
      </c>
      <c r="E312" s="663">
        <v>2</v>
      </c>
      <c r="H312" s="178">
        <v>2.95</v>
      </c>
      <c r="J312" s="294"/>
      <c r="K312" s="295"/>
      <c r="L312" s="72"/>
      <c r="M312" s="133"/>
      <c r="N312" s="72"/>
      <c r="O312" s="224"/>
      <c r="P312" s="219"/>
      <c r="Q312" s="84"/>
      <c r="S312" s="136"/>
      <c r="T312" s="136"/>
      <c r="V312" s="136"/>
    </row>
    <row r="313" spans="1:22">
      <c r="A313" s="71" t="s">
        <v>6604</v>
      </c>
      <c r="B313" s="67" t="s">
        <v>6605</v>
      </c>
      <c r="C313" s="71" t="s">
        <v>207</v>
      </c>
      <c r="D313" s="78">
        <v>9.3800000000000008</v>
      </c>
      <c r="E313" s="663">
        <v>2</v>
      </c>
      <c r="H313" s="178">
        <v>9.3800000000000008</v>
      </c>
      <c r="J313" s="294"/>
      <c r="K313" s="295"/>
      <c r="L313" s="72"/>
      <c r="M313" s="133"/>
      <c r="N313" s="72"/>
      <c r="O313" s="224"/>
      <c r="P313" s="219"/>
      <c r="Q313" s="84"/>
      <c r="S313" s="136"/>
      <c r="T313" s="136"/>
      <c r="V313" s="136"/>
    </row>
    <row r="314" spans="1:22">
      <c r="A314" s="71" t="s">
        <v>6606</v>
      </c>
      <c r="B314" s="67" t="s">
        <v>6607</v>
      </c>
      <c r="C314" s="71" t="s">
        <v>153</v>
      </c>
      <c r="D314" s="78">
        <v>22.53</v>
      </c>
      <c r="E314" s="663">
        <v>2</v>
      </c>
      <c r="H314" s="178">
        <v>22.53</v>
      </c>
      <c r="J314" s="294"/>
      <c r="K314" s="295"/>
      <c r="L314" s="72"/>
      <c r="M314" s="133"/>
      <c r="N314" s="72"/>
      <c r="O314" s="224"/>
      <c r="P314" s="219"/>
      <c r="Q314" s="84"/>
      <c r="S314" s="136"/>
      <c r="T314" s="136"/>
    </row>
    <row r="315" spans="1:22">
      <c r="A315" s="71" t="s">
        <v>6608</v>
      </c>
      <c r="B315" s="67" t="s">
        <v>6609</v>
      </c>
      <c r="C315" s="71" t="s">
        <v>509</v>
      </c>
      <c r="D315" s="78">
        <v>471.76</v>
      </c>
      <c r="E315" s="663">
        <v>2</v>
      </c>
      <c r="H315" s="178">
        <v>471.76</v>
      </c>
      <c r="J315" s="294"/>
      <c r="K315" s="295"/>
      <c r="L315" s="72"/>
      <c r="M315" s="133"/>
      <c r="N315" s="72"/>
      <c r="O315" s="224"/>
      <c r="P315" s="219"/>
      <c r="Q315" s="84"/>
      <c r="S315" s="136"/>
      <c r="T315" s="136"/>
      <c r="V315" s="136"/>
    </row>
    <row r="316" spans="1:22">
      <c r="A316" s="722" t="s">
        <v>6610</v>
      </c>
      <c r="B316" s="67" t="s">
        <v>6611</v>
      </c>
      <c r="C316" s="71" t="s">
        <v>207</v>
      </c>
      <c r="D316" s="78">
        <v>6.32</v>
      </c>
      <c r="E316" s="663">
        <v>2</v>
      </c>
      <c r="H316" s="178">
        <v>6.32</v>
      </c>
      <c r="J316" s="294"/>
      <c r="K316" s="295"/>
      <c r="L316" s="227"/>
      <c r="M316" s="133"/>
      <c r="N316" s="72"/>
      <c r="O316" s="224"/>
      <c r="P316" s="219"/>
      <c r="Q316" s="84"/>
      <c r="S316" s="136"/>
      <c r="T316" s="136"/>
      <c r="V316" s="136"/>
    </row>
    <row r="317" spans="1:22">
      <c r="A317" s="71" t="s">
        <v>6612</v>
      </c>
      <c r="B317" s="67" t="s">
        <v>6613</v>
      </c>
      <c r="C317" s="71" t="s">
        <v>509</v>
      </c>
      <c r="D317" s="78">
        <v>166.19</v>
      </c>
      <c r="E317" s="663">
        <v>2</v>
      </c>
      <c r="H317" s="178">
        <v>166.19</v>
      </c>
      <c r="J317" s="294"/>
      <c r="K317" s="295"/>
      <c r="L317" s="72"/>
      <c r="M317" s="133"/>
      <c r="N317" s="72"/>
      <c r="O317" s="224"/>
      <c r="P317" s="219"/>
      <c r="Q317" s="84"/>
      <c r="S317" s="136"/>
      <c r="T317" s="136"/>
      <c r="V317" s="136"/>
    </row>
    <row r="318" spans="1:22">
      <c r="A318" s="71" t="s">
        <v>6614</v>
      </c>
      <c r="B318" s="67" t="s">
        <v>6615</v>
      </c>
      <c r="C318" s="71" t="s">
        <v>509</v>
      </c>
      <c r="D318" s="78">
        <v>151.85</v>
      </c>
      <c r="E318" s="663">
        <v>2</v>
      </c>
      <c r="H318" s="178">
        <v>151.85</v>
      </c>
      <c r="J318" s="294"/>
      <c r="K318" s="295"/>
      <c r="L318" s="72"/>
      <c r="M318" s="133"/>
      <c r="N318" s="72"/>
      <c r="O318" s="224"/>
      <c r="P318" s="219"/>
      <c r="Q318" s="84"/>
      <c r="S318" s="136"/>
      <c r="T318" s="136"/>
      <c r="V318" s="136"/>
    </row>
    <row r="319" spans="1:22">
      <c r="A319" s="71" t="s">
        <v>6616</v>
      </c>
      <c r="B319" s="67" t="s">
        <v>6617</v>
      </c>
      <c r="C319" s="71" t="s">
        <v>509</v>
      </c>
      <c r="D319" s="78">
        <v>313.81</v>
      </c>
      <c r="E319" s="663">
        <v>2</v>
      </c>
      <c r="H319" s="178">
        <v>313.81</v>
      </c>
      <c r="J319" s="294"/>
      <c r="K319" s="295"/>
      <c r="L319" s="72"/>
      <c r="M319" s="133"/>
      <c r="N319" s="72"/>
      <c r="O319" s="224"/>
      <c r="P319" s="219"/>
      <c r="Q319" s="84"/>
      <c r="S319" s="136"/>
      <c r="T319" s="136"/>
      <c r="V319" s="136"/>
    </row>
    <row r="320" spans="1:22">
      <c r="A320" s="71" t="s">
        <v>6618</v>
      </c>
      <c r="B320" s="67" t="s">
        <v>6619</v>
      </c>
      <c r="C320" s="71" t="s">
        <v>509</v>
      </c>
      <c r="D320" s="78">
        <v>5.65</v>
      </c>
      <c r="E320" s="663">
        <v>2</v>
      </c>
      <c r="H320" s="178">
        <v>5.65</v>
      </c>
      <c r="J320" s="294"/>
      <c r="K320" s="295"/>
      <c r="L320" s="72"/>
      <c r="M320" s="133"/>
      <c r="N320" s="72"/>
      <c r="O320" s="224"/>
      <c r="P320" s="219"/>
      <c r="Q320" s="84"/>
      <c r="S320" s="136"/>
      <c r="T320" s="136"/>
      <c r="V320" s="136"/>
    </row>
    <row r="321" spans="1:36">
      <c r="A321" s="71" t="s">
        <v>6620</v>
      </c>
      <c r="B321" s="67" t="s">
        <v>6621</v>
      </c>
      <c r="C321" s="71" t="s">
        <v>207</v>
      </c>
      <c r="D321" s="78">
        <v>18.170000000000002</v>
      </c>
      <c r="E321" s="663">
        <v>2</v>
      </c>
      <c r="H321" s="178">
        <v>18.170000000000002</v>
      </c>
      <c r="J321" s="294"/>
      <c r="K321" s="295"/>
      <c r="L321" s="72"/>
      <c r="M321" s="133"/>
      <c r="N321" s="72"/>
      <c r="O321" s="224"/>
      <c r="P321" s="219"/>
      <c r="Q321" s="84"/>
      <c r="S321" s="136"/>
      <c r="T321" s="136"/>
      <c r="V321" s="136"/>
    </row>
    <row r="322" spans="1:36">
      <c r="A322" s="71" t="s">
        <v>6622</v>
      </c>
      <c r="B322" s="67" t="s">
        <v>6623</v>
      </c>
      <c r="C322" s="71" t="s">
        <v>509</v>
      </c>
      <c r="D322" s="78">
        <v>166.53</v>
      </c>
      <c r="E322" s="663">
        <v>2</v>
      </c>
      <c r="H322" s="178">
        <v>166.53</v>
      </c>
      <c r="J322" s="294"/>
      <c r="K322" s="295"/>
      <c r="L322" s="72"/>
      <c r="M322" s="133"/>
      <c r="N322" s="72"/>
      <c r="O322" s="224"/>
      <c r="P322" s="219"/>
      <c r="Q322" s="84"/>
      <c r="S322" s="136"/>
      <c r="T322" s="136"/>
      <c r="V322" s="136"/>
    </row>
    <row r="323" spans="1:36">
      <c r="A323" s="71" t="s">
        <v>6624</v>
      </c>
      <c r="B323" s="67" t="s">
        <v>6625</v>
      </c>
      <c r="C323" s="71" t="s">
        <v>103</v>
      </c>
      <c r="D323" s="78">
        <v>61.81</v>
      </c>
      <c r="E323" s="663">
        <v>2</v>
      </c>
      <c r="H323" s="178">
        <v>61.81</v>
      </c>
      <c r="J323" s="294"/>
      <c r="K323" s="295"/>
      <c r="L323" s="72"/>
      <c r="M323" s="133"/>
      <c r="N323" s="72"/>
      <c r="O323" s="224"/>
      <c r="P323" s="219"/>
      <c r="Q323" s="84"/>
      <c r="S323" s="136"/>
      <c r="T323" s="136"/>
    </row>
    <row r="324" spans="1:36">
      <c r="A324" s="71" t="s">
        <v>6626</v>
      </c>
      <c r="B324" s="67" t="s">
        <v>6627</v>
      </c>
      <c r="C324" s="71" t="s">
        <v>165</v>
      </c>
      <c r="D324" s="78">
        <v>0.2</v>
      </c>
      <c r="E324" s="663">
        <v>2</v>
      </c>
      <c r="H324" s="178">
        <v>0.2</v>
      </c>
      <c r="J324" s="294"/>
      <c r="K324" s="295"/>
      <c r="L324" s="72"/>
      <c r="M324" s="133"/>
      <c r="N324" s="72"/>
      <c r="O324" s="224"/>
      <c r="P324" s="219"/>
      <c r="Q324" s="84"/>
      <c r="S324" s="136"/>
      <c r="T324" s="136"/>
      <c r="V324" s="136"/>
    </row>
    <row r="325" spans="1:36">
      <c r="A325" s="71" t="s">
        <v>6628</v>
      </c>
      <c r="B325" s="67" t="s">
        <v>6629</v>
      </c>
      <c r="C325" s="71" t="s">
        <v>207</v>
      </c>
      <c r="D325" s="78">
        <v>77.48</v>
      </c>
      <c r="E325" s="663">
        <v>2</v>
      </c>
      <c r="H325" s="178">
        <v>77.48</v>
      </c>
      <c r="J325" s="294"/>
      <c r="K325" s="295"/>
      <c r="L325" s="72"/>
      <c r="M325" s="133"/>
      <c r="N325" s="72"/>
      <c r="O325" s="224"/>
      <c r="P325" s="219"/>
      <c r="Q325" s="84"/>
      <c r="S325" s="136"/>
      <c r="T325" s="136"/>
    </row>
    <row r="326" spans="1:36">
      <c r="A326" s="71" t="s">
        <v>6630</v>
      </c>
      <c r="B326" s="67" t="s">
        <v>6631</v>
      </c>
      <c r="C326" s="71" t="s">
        <v>207</v>
      </c>
      <c r="D326" s="78">
        <v>17.29</v>
      </c>
      <c r="E326" s="663">
        <v>2</v>
      </c>
      <c r="H326" s="178">
        <v>17.29</v>
      </c>
      <c r="J326" s="294"/>
      <c r="K326" s="295"/>
      <c r="L326" s="72"/>
      <c r="M326" s="133"/>
      <c r="N326" s="72"/>
      <c r="O326" s="224"/>
      <c r="P326" s="219"/>
      <c r="Q326" s="84"/>
      <c r="S326" s="136"/>
      <c r="T326" s="136"/>
      <c r="V326" s="136"/>
    </row>
    <row r="327" spans="1:36">
      <c r="A327" s="71" t="s">
        <v>6632</v>
      </c>
      <c r="B327" s="67" t="s">
        <v>6633</v>
      </c>
      <c r="C327" s="71" t="s">
        <v>121</v>
      </c>
      <c r="D327" s="78">
        <v>663.33</v>
      </c>
      <c r="E327" s="663">
        <v>2</v>
      </c>
      <c r="H327" s="178">
        <v>663.33</v>
      </c>
      <c r="J327" s="294"/>
      <c r="K327" s="295"/>
      <c r="L327" s="72"/>
      <c r="M327" s="133"/>
      <c r="N327" s="72"/>
      <c r="O327" s="224"/>
      <c r="P327" s="219"/>
      <c r="Q327" s="84"/>
      <c r="S327" s="136"/>
      <c r="T327" s="136"/>
      <c r="V327" s="136"/>
    </row>
    <row r="328" spans="1:36">
      <c r="A328" s="71" t="s">
        <v>6634</v>
      </c>
      <c r="B328" s="67" t="s">
        <v>6635</v>
      </c>
      <c r="C328" s="71" t="s">
        <v>509</v>
      </c>
      <c r="D328" s="78">
        <v>36.53</v>
      </c>
      <c r="E328" s="663">
        <v>2</v>
      </c>
      <c r="H328" s="178">
        <v>36.53</v>
      </c>
      <c r="J328" s="294"/>
      <c r="K328" s="295"/>
      <c r="L328" s="72"/>
      <c r="M328" s="133"/>
      <c r="N328" s="72"/>
      <c r="O328" s="224"/>
      <c r="P328" s="219"/>
      <c r="Q328" s="84"/>
      <c r="S328" s="136"/>
      <c r="T328" s="136"/>
      <c r="V328" s="136"/>
    </row>
    <row r="329" spans="1:36">
      <c r="A329" s="71" t="s">
        <v>6636</v>
      </c>
      <c r="B329" s="67" t="s">
        <v>6637</v>
      </c>
      <c r="C329" s="71" t="s">
        <v>509</v>
      </c>
      <c r="D329" s="78">
        <v>24.53</v>
      </c>
      <c r="E329" s="663">
        <v>2</v>
      </c>
      <c r="H329" s="178">
        <v>24.53</v>
      </c>
      <c r="J329" s="294"/>
      <c r="K329" s="295"/>
      <c r="L329" s="72"/>
      <c r="M329" s="133"/>
      <c r="N329" s="72"/>
      <c r="O329" s="224"/>
      <c r="P329" s="219"/>
      <c r="Q329" s="84"/>
      <c r="S329" s="136"/>
      <c r="T329" s="136"/>
      <c r="V329" s="136"/>
    </row>
    <row r="330" spans="1:36">
      <c r="A330" s="71" t="s">
        <v>6638</v>
      </c>
      <c r="B330" s="67" t="s">
        <v>6639</v>
      </c>
      <c r="C330" s="71" t="s">
        <v>509</v>
      </c>
      <c r="D330" s="78">
        <v>111.05</v>
      </c>
      <c r="E330" s="663">
        <v>2</v>
      </c>
      <c r="H330" s="178">
        <v>111.05</v>
      </c>
      <c r="J330" s="294"/>
      <c r="K330" s="295"/>
      <c r="L330" s="72"/>
      <c r="M330" s="133"/>
      <c r="N330" s="72"/>
      <c r="O330" s="224"/>
      <c r="P330" s="219"/>
      <c r="Q330" s="84"/>
      <c r="S330" s="136"/>
      <c r="T330" s="136"/>
      <c r="V330" s="136"/>
      <c r="Y330" s="61"/>
      <c r="Z330" s="61"/>
      <c r="AA330" s="61"/>
      <c r="AB330" s="61"/>
      <c r="AC330" s="61"/>
      <c r="AD330" s="61"/>
      <c r="AE330" s="61"/>
      <c r="AF330" s="61"/>
      <c r="AG330" s="61"/>
      <c r="AH330" s="61"/>
      <c r="AI330" s="61"/>
      <c r="AJ330" s="61"/>
    </row>
    <row r="331" spans="1:36">
      <c r="A331" s="71" t="s">
        <v>44188</v>
      </c>
      <c r="B331" s="67" t="s">
        <v>44189</v>
      </c>
      <c r="C331" s="71" t="s">
        <v>509</v>
      </c>
      <c r="D331" s="78">
        <v>48.27</v>
      </c>
      <c r="E331" s="663">
        <v>2</v>
      </c>
      <c r="H331" s="178">
        <v>48.27</v>
      </c>
      <c r="J331" s="723"/>
      <c r="K331" s="724"/>
      <c r="L331" s="725"/>
      <c r="M331" s="726"/>
      <c r="N331" s="725"/>
      <c r="O331" s="727"/>
      <c r="P331" s="728"/>
      <c r="Q331" s="729"/>
      <c r="R331" s="729"/>
      <c r="S331" s="730"/>
      <c r="T331" s="730"/>
      <c r="U331" s="729"/>
      <c r="V331" s="729"/>
      <c r="W331" s="729"/>
      <c r="X331" s="729"/>
      <c r="Y331" s="729"/>
      <c r="Z331" s="729"/>
      <c r="AA331" s="729"/>
      <c r="AB331" s="729"/>
      <c r="AC331" s="729"/>
      <c r="AD331" s="729"/>
      <c r="AE331" s="729"/>
      <c r="AF331" s="729"/>
      <c r="AG331" s="729"/>
      <c r="AH331" s="729"/>
      <c r="AI331" s="729"/>
      <c r="AJ331" s="729"/>
    </row>
    <row r="332" spans="1:36">
      <c r="A332" s="71" t="s">
        <v>6640</v>
      </c>
      <c r="B332" s="67" t="s">
        <v>6641</v>
      </c>
      <c r="C332" s="71" t="s">
        <v>509</v>
      </c>
      <c r="D332" s="78">
        <v>9.01</v>
      </c>
      <c r="E332" s="663">
        <v>2</v>
      </c>
      <c r="H332" s="178">
        <v>9.01</v>
      </c>
      <c r="J332" s="294"/>
      <c r="K332" s="295"/>
      <c r="L332" s="72"/>
      <c r="M332" s="133"/>
      <c r="N332" s="72"/>
      <c r="O332" s="224"/>
      <c r="P332" s="219"/>
      <c r="Q332" s="84"/>
      <c r="S332" s="136"/>
      <c r="T332" s="136"/>
      <c r="V332" s="136"/>
    </row>
    <row r="333" spans="1:36">
      <c r="A333" s="71" t="s">
        <v>6642</v>
      </c>
      <c r="B333" s="67" t="s">
        <v>6643</v>
      </c>
      <c r="C333" s="71" t="s">
        <v>509</v>
      </c>
      <c r="D333" s="78">
        <v>12.6</v>
      </c>
      <c r="E333" s="663">
        <v>2</v>
      </c>
      <c r="H333" s="178">
        <v>12.6</v>
      </c>
      <c r="J333" s="294"/>
      <c r="K333" s="295"/>
      <c r="L333" s="72"/>
      <c r="M333" s="133"/>
      <c r="N333" s="72"/>
      <c r="O333" s="224"/>
      <c r="P333" s="219"/>
      <c r="Q333" s="84"/>
      <c r="S333" s="136"/>
      <c r="T333" s="136"/>
      <c r="V333" s="136"/>
    </row>
    <row r="334" spans="1:36">
      <c r="A334" s="71" t="s">
        <v>6644</v>
      </c>
      <c r="B334" s="67" t="s">
        <v>6645</v>
      </c>
      <c r="C334" s="71" t="s">
        <v>121</v>
      </c>
      <c r="D334" s="78">
        <v>419.89</v>
      </c>
      <c r="E334" s="663">
        <v>2</v>
      </c>
      <c r="H334" s="178">
        <v>419.89</v>
      </c>
      <c r="J334" s="294"/>
      <c r="K334" s="295"/>
      <c r="L334" s="72"/>
      <c r="M334" s="133"/>
      <c r="N334" s="72"/>
      <c r="O334" s="224"/>
      <c r="P334" s="219"/>
      <c r="Q334" s="84"/>
      <c r="S334" s="136"/>
      <c r="T334" s="136"/>
      <c r="V334" s="136"/>
    </row>
    <row r="335" spans="1:36">
      <c r="A335" s="71" t="s">
        <v>44190</v>
      </c>
      <c r="B335" s="67" t="s">
        <v>44191</v>
      </c>
      <c r="C335" s="71" t="s">
        <v>103</v>
      </c>
      <c r="D335" s="78">
        <v>37.479999999999997</v>
      </c>
      <c r="E335" s="663">
        <v>2</v>
      </c>
      <c r="H335" s="178">
        <v>37.479999999999997</v>
      </c>
      <c r="J335" s="723"/>
      <c r="K335" s="724"/>
      <c r="L335" s="725"/>
      <c r="M335" s="726"/>
      <c r="N335" s="725"/>
      <c r="O335" s="727"/>
      <c r="P335" s="728"/>
      <c r="Q335" s="729"/>
      <c r="R335" s="729"/>
      <c r="S335" s="730"/>
      <c r="T335" s="730"/>
      <c r="U335" s="729"/>
      <c r="V335" s="729"/>
      <c r="W335" s="729"/>
      <c r="X335" s="729"/>
      <c r="Y335" s="729"/>
      <c r="Z335" s="729"/>
      <c r="AA335" s="729"/>
      <c r="AB335" s="729"/>
      <c r="AC335" s="729"/>
      <c r="AD335" s="729"/>
      <c r="AE335" s="729"/>
      <c r="AF335" s="729"/>
      <c r="AG335" s="729"/>
      <c r="AH335" s="729"/>
      <c r="AI335" s="729"/>
      <c r="AJ335" s="729"/>
    </row>
    <row r="336" spans="1:36">
      <c r="A336" s="71" t="s">
        <v>6646</v>
      </c>
      <c r="B336" s="67" t="s">
        <v>6647</v>
      </c>
      <c r="C336" s="71" t="s">
        <v>509</v>
      </c>
      <c r="D336" s="78">
        <v>76.459999999999994</v>
      </c>
      <c r="E336" s="663">
        <v>2</v>
      </c>
      <c r="H336" s="178">
        <v>76.459999999999994</v>
      </c>
      <c r="J336" s="294"/>
      <c r="K336" s="295"/>
      <c r="L336" s="72"/>
      <c r="M336" s="133"/>
      <c r="N336" s="72"/>
      <c r="O336" s="224"/>
      <c r="P336" s="219"/>
      <c r="Q336" s="84"/>
      <c r="S336" s="136"/>
      <c r="T336" s="136"/>
      <c r="V336" s="136"/>
    </row>
    <row r="337" spans="1:22">
      <c r="A337" s="71" t="s">
        <v>6648</v>
      </c>
      <c r="B337" s="67" t="s">
        <v>6649</v>
      </c>
      <c r="C337" s="71" t="s">
        <v>509</v>
      </c>
      <c r="D337" s="78">
        <v>92.94</v>
      </c>
      <c r="E337" s="663">
        <v>2</v>
      </c>
      <c r="H337" s="178">
        <v>92.94</v>
      </c>
      <c r="J337" s="294"/>
      <c r="K337" s="295"/>
      <c r="L337" s="72"/>
      <c r="M337" s="133"/>
      <c r="N337" s="72"/>
      <c r="O337" s="224"/>
      <c r="P337" s="219"/>
      <c r="Q337" s="84"/>
      <c r="S337" s="136"/>
      <c r="T337" s="136"/>
      <c r="V337" s="136"/>
    </row>
    <row r="338" spans="1:22">
      <c r="A338" s="71" t="s">
        <v>6650</v>
      </c>
      <c r="B338" s="67" t="s">
        <v>6651</v>
      </c>
      <c r="C338" s="71" t="s">
        <v>509</v>
      </c>
      <c r="D338" s="78">
        <v>140.18</v>
      </c>
      <c r="E338" s="663">
        <v>2</v>
      </c>
      <c r="H338" s="178">
        <v>140.18</v>
      </c>
      <c r="J338" s="294"/>
      <c r="K338" s="295"/>
      <c r="L338" s="72"/>
      <c r="M338" s="133"/>
      <c r="N338" s="72"/>
      <c r="O338" s="224"/>
      <c r="P338" s="219"/>
      <c r="Q338" s="84"/>
      <c r="S338" s="136"/>
      <c r="T338" s="136"/>
      <c r="V338" s="136"/>
    </row>
    <row r="339" spans="1:22">
      <c r="A339" s="71" t="s">
        <v>6652</v>
      </c>
      <c r="B339" s="67" t="s">
        <v>6653</v>
      </c>
      <c r="C339" s="71" t="s">
        <v>509</v>
      </c>
      <c r="D339" s="78">
        <v>25.13</v>
      </c>
      <c r="E339" s="663">
        <v>2</v>
      </c>
      <c r="H339" s="178">
        <v>25.13</v>
      </c>
      <c r="J339" s="294"/>
      <c r="K339" s="295"/>
      <c r="L339" s="72"/>
      <c r="M339" s="133"/>
      <c r="N339" s="72"/>
      <c r="O339" s="224"/>
      <c r="P339" s="219"/>
      <c r="Q339" s="84"/>
      <c r="S339" s="136"/>
      <c r="T339" s="136"/>
      <c r="V339" s="136"/>
    </row>
    <row r="340" spans="1:22">
      <c r="A340" s="71" t="s">
        <v>6654</v>
      </c>
      <c r="B340" s="67" t="s">
        <v>6655</v>
      </c>
      <c r="C340" s="71" t="s">
        <v>207</v>
      </c>
      <c r="D340" s="78">
        <v>52.77</v>
      </c>
      <c r="E340" s="663">
        <v>2</v>
      </c>
      <c r="H340" s="178">
        <v>52.77</v>
      </c>
      <c r="J340" s="294"/>
      <c r="K340" s="295"/>
      <c r="L340" s="72"/>
      <c r="M340" s="133"/>
      <c r="N340" s="72"/>
      <c r="O340" s="224"/>
      <c r="P340" s="219"/>
      <c r="Q340" s="84"/>
      <c r="S340" s="136"/>
      <c r="T340" s="136"/>
      <c r="V340" s="136"/>
    </row>
    <row r="341" spans="1:22">
      <c r="A341" s="71" t="s">
        <v>6656</v>
      </c>
      <c r="B341" s="67" t="s">
        <v>6657</v>
      </c>
      <c r="C341" s="71" t="s">
        <v>207</v>
      </c>
      <c r="D341" s="78">
        <v>22.96</v>
      </c>
      <c r="E341" s="663">
        <v>2</v>
      </c>
      <c r="H341" s="178">
        <v>22.96</v>
      </c>
      <c r="J341" s="294"/>
      <c r="K341" s="295"/>
      <c r="L341" s="72"/>
      <c r="M341" s="133"/>
      <c r="N341" s="72"/>
      <c r="O341" s="224"/>
      <c r="P341" s="219"/>
      <c r="Q341" s="84"/>
      <c r="S341" s="136"/>
      <c r="T341" s="136"/>
      <c r="V341" s="136"/>
    </row>
    <row r="342" spans="1:22">
      <c r="A342" s="71" t="s">
        <v>6658</v>
      </c>
      <c r="B342" s="67" t="s">
        <v>6659</v>
      </c>
      <c r="C342" s="71" t="s">
        <v>207</v>
      </c>
      <c r="D342" s="78">
        <v>20.25</v>
      </c>
      <c r="E342" s="663">
        <v>2</v>
      </c>
      <c r="H342" s="178">
        <v>20.25</v>
      </c>
      <c r="J342" s="294"/>
      <c r="K342" s="295"/>
      <c r="L342" s="72"/>
      <c r="M342" s="133"/>
      <c r="N342" s="72"/>
      <c r="O342" s="224"/>
      <c r="P342" s="219"/>
      <c r="Q342" s="84"/>
      <c r="S342" s="136"/>
      <c r="T342" s="136"/>
      <c r="V342" s="136"/>
    </row>
    <row r="343" spans="1:22">
      <c r="A343" s="71" t="s">
        <v>6660</v>
      </c>
      <c r="B343" s="67" t="s">
        <v>6661</v>
      </c>
      <c r="C343" s="71" t="s">
        <v>207</v>
      </c>
      <c r="D343" s="78">
        <v>6.11</v>
      </c>
      <c r="E343" s="663">
        <v>2</v>
      </c>
      <c r="H343" s="178">
        <v>6.11</v>
      </c>
      <c r="J343" s="294"/>
      <c r="K343" s="295"/>
      <c r="L343" s="72"/>
      <c r="M343" s="133"/>
      <c r="N343" s="72"/>
      <c r="O343" s="224"/>
      <c r="P343" s="219"/>
      <c r="Q343" s="84"/>
      <c r="S343" s="136"/>
      <c r="T343" s="136"/>
      <c r="V343" s="136"/>
    </row>
    <row r="344" spans="1:22">
      <c r="A344" s="71" t="s">
        <v>6662</v>
      </c>
      <c r="B344" s="67" t="s">
        <v>6663</v>
      </c>
      <c r="C344" s="71" t="s">
        <v>207</v>
      </c>
      <c r="D344" s="78">
        <v>4.8600000000000003</v>
      </c>
      <c r="E344" s="663">
        <v>2</v>
      </c>
      <c r="H344" s="178">
        <v>4.8600000000000003</v>
      </c>
      <c r="J344" s="294"/>
      <c r="K344" s="295"/>
      <c r="L344" s="72"/>
      <c r="M344" s="133"/>
      <c r="N344" s="72"/>
      <c r="O344" s="224"/>
      <c r="P344" s="219"/>
      <c r="Q344" s="84"/>
      <c r="S344" s="136"/>
      <c r="T344" s="136"/>
      <c r="V344" s="136"/>
    </row>
    <row r="345" spans="1:22">
      <c r="A345" s="71" t="s">
        <v>6664</v>
      </c>
      <c r="B345" s="67" t="s">
        <v>6665</v>
      </c>
      <c r="C345" s="71" t="s">
        <v>103</v>
      </c>
      <c r="D345" s="78">
        <v>3.94</v>
      </c>
      <c r="E345" s="663">
        <v>2</v>
      </c>
      <c r="H345" s="178">
        <v>3.94</v>
      </c>
      <c r="J345" s="294"/>
      <c r="K345" s="295"/>
      <c r="L345" s="72"/>
      <c r="M345" s="133"/>
      <c r="N345" s="72"/>
      <c r="O345" s="224"/>
      <c r="P345" s="219"/>
      <c r="Q345" s="84"/>
      <c r="S345" s="136"/>
      <c r="T345" s="136"/>
    </row>
    <row r="346" spans="1:22">
      <c r="A346" s="71" t="s">
        <v>6666</v>
      </c>
      <c r="B346" s="67" t="s">
        <v>6667</v>
      </c>
      <c r="C346" s="71" t="s">
        <v>103</v>
      </c>
      <c r="D346" s="78">
        <v>3.38</v>
      </c>
      <c r="E346" s="663">
        <v>2</v>
      </c>
      <c r="H346" s="178">
        <v>3.38</v>
      </c>
      <c r="J346" s="294"/>
      <c r="K346" s="295"/>
      <c r="L346" s="72"/>
      <c r="M346" s="133"/>
      <c r="N346" s="72"/>
      <c r="O346" s="224"/>
      <c r="P346" s="219"/>
      <c r="Q346" s="84"/>
      <c r="S346" s="136"/>
      <c r="T346" s="136"/>
    </row>
    <row r="347" spans="1:22">
      <c r="A347" s="71" t="s">
        <v>6668</v>
      </c>
      <c r="B347" s="67" t="s">
        <v>6669</v>
      </c>
      <c r="C347" s="71" t="s">
        <v>509</v>
      </c>
      <c r="D347" s="78">
        <v>87.4</v>
      </c>
      <c r="E347" s="663">
        <v>2</v>
      </c>
      <c r="H347" s="178">
        <v>87.4</v>
      </c>
      <c r="J347" s="294"/>
      <c r="K347" s="295"/>
      <c r="L347" s="72"/>
      <c r="M347" s="133"/>
      <c r="N347" s="72"/>
      <c r="O347" s="224"/>
      <c r="P347" s="219"/>
      <c r="Q347" s="84"/>
      <c r="S347" s="136"/>
      <c r="T347" s="136"/>
    </row>
    <row r="348" spans="1:22">
      <c r="A348" s="71" t="s">
        <v>6670</v>
      </c>
      <c r="B348" s="67" t="s">
        <v>6671</v>
      </c>
      <c r="C348" s="71" t="s">
        <v>103</v>
      </c>
      <c r="D348" s="78">
        <v>2.5</v>
      </c>
      <c r="E348" s="663">
        <v>2</v>
      </c>
      <c r="H348" s="178">
        <v>2.5</v>
      </c>
      <c r="J348" s="294"/>
      <c r="K348" s="295"/>
      <c r="L348" s="72"/>
      <c r="M348" s="133"/>
      <c r="N348" s="72"/>
      <c r="O348" s="224"/>
      <c r="P348" s="219"/>
      <c r="Q348" s="84"/>
      <c r="S348" s="136"/>
      <c r="T348" s="136"/>
    </row>
    <row r="349" spans="1:22">
      <c r="A349" s="71" t="s">
        <v>6672</v>
      </c>
      <c r="B349" s="67" t="s">
        <v>6673</v>
      </c>
      <c r="C349" s="71" t="s">
        <v>103</v>
      </c>
      <c r="D349" s="78">
        <v>2.21</v>
      </c>
      <c r="E349" s="663">
        <v>2</v>
      </c>
      <c r="H349" s="178">
        <v>2.21</v>
      </c>
      <c r="J349" s="294"/>
      <c r="K349" s="295"/>
      <c r="L349" s="72"/>
      <c r="M349" s="133"/>
      <c r="N349" s="72"/>
      <c r="O349" s="224"/>
      <c r="P349" s="219"/>
      <c r="Q349" s="84"/>
      <c r="S349" s="136"/>
      <c r="T349" s="136"/>
    </row>
    <row r="350" spans="1:22">
      <c r="A350" s="71" t="s">
        <v>6674</v>
      </c>
      <c r="B350" s="67" t="s">
        <v>6675</v>
      </c>
      <c r="C350" s="71" t="s">
        <v>509</v>
      </c>
      <c r="D350" s="78">
        <v>76.989999999999995</v>
      </c>
      <c r="E350" s="663">
        <v>2</v>
      </c>
      <c r="H350" s="178">
        <v>76.989999999999995</v>
      </c>
      <c r="J350" s="294"/>
      <c r="K350" s="295"/>
      <c r="L350" s="72"/>
      <c r="M350" s="133"/>
      <c r="N350" s="72"/>
      <c r="O350" s="224"/>
      <c r="P350" s="219"/>
      <c r="Q350" s="84"/>
      <c r="S350" s="136"/>
      <c r="T350" s="136"/>
    </row>
    <row r="351" spans="1:22">
      <c r="A351" s="71" t="s">
        <v>6676</v>
      </c>
      <c r="B351" s="67" t="s">
        <v>6677</v>
      </c>
      <c r="C351" s="71" t="s">
        <v>103</v>
      </c>
      <c r="D351" s="78">
        <v>3.95</v>
      </c>
      <c r="E351" s="663">
        <v>2</v>
      </c>
      <c r="H351" s="178">
        <v>3.95</v>
      </c>
      <c r="J351" s="294"/>
      <c r="K351" s="295"/>
      <c r="L351" s="72"/>
      <c r="M351" s="133"/>
      <c r="N351" s="72"/>
      <c r="O351" s="224"/>
      <c r="P351" s="219"/>
      <c r="Q351" s="84"/>
      <c r="S351" s="136"/>
      <c r="T351" s="136"/>
    </row>
    <row r="352" spans="1:22">
      <c r="A352" s="71" t="s">
        <v>6678</v>
      </c>
      <c r="B352" s="67" t="s">
        <v>6679</v>
      </c>
      <c r="C352" s="71" t="s">
        <v>509</v>
      </c>
      <c r="D352" s="78">
        <v>90.74</v>
      </c>
      <c r="E352" s="663">
        <v>2</v>
      </c>
      <c r="H352" s="178">
        <v>90.74</v>
      </c>
      <c r="J352" s="294"/>
      <c r="K352" s="295"/>
      <c r="L352" s="72"/>
      <c r="M352" s="133"/>
      <c r="N352" s="72"/>
      <c r="O352" s="224"/>
      <c r="P352" s="219"/>
      <c r="Q352" s="84"/>
      <c r="S352" s="136"/>
      <c r="T352" s="136"/>
    </row>
    <row r="353" spans="1:36">
      <c r="A353" s="71" t="s">
        <v>6680</v>
      </c>
      <c r="B353" s="67" t="s">
        <v>6681</v>
      </c>
      <c r="C353" s="71" t="s">
        <v>509</v>
      </c>
      <c r="D353" s="78">
        <v>121.89</v>
      </c>
      <c r="E353" s="663">
        <v>2</v>
      </c>
      <c r="H353" s="178">
        <v>121.89</v>
      </c>
      <c r="J353" s="294"/>
      <c r="K353" s="295"/>
      <c r="L353" s="72"/>
      <c r="M353" s="133"/>
      <c r="N353" s="72"/>
      <c r="O353" s="224"/>
      <c r="P353" s="219"/>
      <c r="Q353" s="84"/>
      <c r="S353" s="136"/>
      <c r="T353" s="136"/>
    </row>
    <row r="354" spans="1:36">
      <c r="A354" s="71" t="s">
        <v>6682</v>
      </c>
      <c r="B354" s="67" t="s">
        <v>6683</v>
      </c>
      <c r="C354" s="71" t="s">
        <v>509</v>
      </c>
      <c r="D354" s="78">
        <v>69.78</v>
      </c>
      <c r="E354" s="663">
        <v>2</v>
      </c>
      <c r="H354" s="178">
        <v>69.78</v>
      </c>
      <c r="J354" s="294"/>
      <c r="K354" s="295"/>
      <c r="L354" s="72"/>
      <c r="M354" s="133"/>
      <c r="N354" s="72"/>
      <c r="O354" s="224"/>
      <c r="P354" s="219"/>
      <c r="Q354" s="84"/>
      <c r="S354" s="136"/>
      <c r="T354" s="136"/>
    </row>
    <row r="355" spans="1:36">
      <c r="A355" s="71" t="s">
        <v>6684</v>
      </c>
      <c r="B355" s="67" t="s">
        <v>6685</v>
      </c>
      <c r="C355" s="71" t="s">
        <v>509</v>
      </c>
      <c r="D355" s="78">
        <v>76.17</v>
      </c>
      <c r="E355" s="663">
        <v>2</v>
      </c>
      <c r="H355" s="178">
        <v>76.17</v>
      </c>
      <c r="J355" s="294"/>
      <c r="K355" s="295"/>
      <c r="L355" s="72"/>
      <c r="M355" s="133"/>
      <c r="N355" s="72"/>
      <c r="O355" s="224"/>
      <c r="P355" s="219"/>
      <c r="Q355" s="84"/>
      <c r="S355" s="136"/>
      <c r="T355" s="136"/>
    </row>
    <row r="356" spans="1:36">
      <c r="A356" s="71" t="s">
        <v>6686</v>
      </c>
      <c r="B356" s="67" t="s">
        <v>6687</v>
      </c>
      <c r="C356" s="71" t="s">
        <v>509</v>
      </c>
      <c r="D356" s="78">
        <v>114.39</v>
      </c>
      <c r="E356" s="663">
        <v>2</v>
      </c>
      <c r="H356" s="178">
        <v>114.39</v>
      </c>
      <c r="J356" s="294"/>
      <c r="K356" s="295"/>
      <c r="L356" s="72"/>
      <c r="M356" s="133"/>
      <c r="N356" s="72"/>
      <c r="O356" s="224"/>
      <c r="P356" s="219"/>
      <c r="Q356" s="84"/>
      <c r="S356" s="136"/>
      <c r="T356" s="136"/>
    </row>
    <row r="357" spans="1:36">
      <c r="A357" s="71" t="s">
        <v>6688</v>
      </c>
      <c r="B357" s="67" t="s">
        <v>6689</v>
      </c>
      <c r="C357" s="71" t="s">
        <v>509</v>
      </c>
      <c r="D357" s="78">
        <v>239.65</v>
      </c>
      <c r="E357" s="663">
        <v>2</v>
      </c>
      <c r="H357" s="178">
        <v>239.65</v>
      </c>
      <c r="J357" s="294"/>
      <c r="K357" s="295"/>
      <c r="L357" s="72"/>
      <c r="M357" s="133"/>
      <c r="N357" s="72"/>
      <c r="O357" s="224"/>
      <c r="P357" s="219"/>
      <c r="Q357" s="84"/>
      <c r="S357" s="136"/>
      <c r="T357" s="136"/>
    </row>
    <row r="358" spans="1:36">
      <c r="A358" s="71" t="s">
        <v>6690</v>
      </c>
      <c r="B358" s="67" t="s">
        <v>6691</v>
      </c>
      <c r="C358" s="71" t="s">
        <v>509</v>
      </c>
      <c r="D358" s="78">
        <v>262.39999999999998</v>
      </c>
      <c r="E358" s="663">
        <v>2</v>
      </c>
      <c r="H358" s="178">
        <v>262.39999999999998</v>
      </c>
      <c r="J358" s="294"/>
      <c r="K358" s="295"/>
      <c r="L358" s="72"/>
      <c r="M358" s="133"/>
      <c r="N358" s="72"/>
      <c r="O358" s="224"/>
      <c r="P358" s="219"/>
      <c r="Q358" s="84"/>
      <c r="S358" s="136"/>
      <c r="T358" s="136"/>
    </row>
    <row r="359" spans="1:36">
      <c r="A359" s="71" t="s">
        <v>6692</v>
      </c>
      <c r="B359" s="67" t="s">
        <v>6693</v>
      </c>
      <c r="C359" s="71" t="s">
        <v>509</v>
      </c>
      <c r="D359" s="78">
        <v>171.84</v>
      </c>
      <c r="E359" s="663">
        <v>2</v>
      </c>
      <c r="H359" s="178">
        <v>171.84</v>
      </c>
      <c r="J359" s="294"/>
      <c r="K359" s="295"/>
      <c r="L359" s="72"/>
      <c r="M359" s="133"/>
      <c r="N359" s="72"/>
      <c r="O359" s="224"/>
      <c r="P359" s="219"/>
      <c r="Q359" s="84"/>
      <c r="S359" s="136"/>
      <c r="T359" s="136"/>
    </row>
    <row r="360" spans="1:36">
      <c r="A360" s="71" t="s">
        <v>6694</v>
      </c>
      <c r="B360" s="67" t="s">
        <v>6695</v>
      </c>
      <c r="C360" s="71" t="s">
        <v>509</v>
      </c>
      <c r="D360" s="78">
        <v>215.21</v>
      </c>
      <c r="E360" s="663">
        <v>2</v>
      </c>
      <c r="H360" s="178">
        <v>215.21</v>
      </c>
      <c r="J360" s="294"/>
      <c r="K360" s="295"/>
      <c r="L360" s="72"/>
      <c r="M360" s="133"/>
      <c r="N360" s="72"/>
      <c r="O360" s="224"/>
      <c r="P360" s="219"/>
      <c r="Q360" s="84"/>
      <c r="S360" s="136"/>
      <c r="T360" s="136"/>
    </row>
    <row r="361" spans="1:36">
      <c r="A361" s="71" t="s">
        <v>28528</v>
      </c>
      <c r="B361" s="67" t="s">
        <v>28529</v>
      </c>
      <c r="C361" s="71" t="s">
        <v>509</v>
      </c>
      <c r="D361" s="78">
        <v>111.61</v>
      </c>
      <c r="E361" s="663">
        <v>2</v>
      </c>
      <c r="H361" s="178">
        <v>111.61</v>
      </c>
      <c r="J361" s="294"/>
      <c r="K361" s="295"/>
      <c r="L361" s="72"/>
      <c r="M361" s="133"/>
      <c r="N361" s="72"/>
      <c r="O361" s="224"/>
      <c r="P361" s="219"/>
      <c r="Q361" s="84"/>
      <c r="S361" s="136"/>
      <c r="T361" s="136"/>
    </row>
    <row r="362" spans="1:36" ht="12">
      <c r="A362" s="71" t="s">
        <v>32999</v>
      </c>
      <c r="B362" s="65" t="s">
        <v>29581</v>
      </c>
      <c r="C362" s="71" t="s">
        <v>165</v>
      </c>
      <c r="D362" s="78">
        <v>31.78</v>
      </c>
      <c r="E362" s="663">
        <v>2</v>
      </c>
      <c r="H362" s="178">
        <v>31.78</v>
      </c>
      <c r="J362" s="294"/>
      <c r="K362" s="295"/>
      <c r="L362" s="72"/>
      <c r="M362" s="133"/>
      <c r="N362" s="72"/>
      <c r="O362" s="224"/>
      <c r="P362" s="219"/>
      <c r="Q362" s="84"/>
      <c r="S362" s="136"/>
      <c r="T362" s="136"/>
    </row>
    <row r="363" spans="1:36" ht="12">
      <c r="A363" s="71" t="s">
        <v>33000</v>
      </c>
      <c r="B363" s="65" t="s">
        <v>29583</v>
      </c>
      <c r="C363" s="71" t="s">
        <v>165</v>
      </c>
      <c r="D363" s="78">
        <v>46.86</v>
      </c>
      <c r="E363" s="663">
        <v>2</v>
      </c>
      <c r="H363" s="178">
        <v>46.86</v>
      </c>
      <c r="J363" s="294"/>
      <c r="K363" s="295"/>
      <c r="L363" s="72"/>
      <c r="M363" s="133"/>
      <c r="N363" s="72"/>
      <c r="O363" s="224"/>
      <c r="P363" s="219"/>
      <c r="Q363" s="84"/>
      <c r="S363" s="136"/>
      <c r="T363" s="136"/>
    </row>
    <row r="364" spans="1:36" ht="12">
      <c r="A364" s="71" t="s">
        <v>33001</v>
      </c>
      <c r="B364" s="65" t="s">
        <v>29585</v>
      </c>
      <c r="C364" s="71" t="s">
        <v>165</v>
      </c>
      <c r="D364" s="78">
        <v>60.75</v>
      </c>
      <c r="E364" s="663">
        <v>2</v>
      </c>
      <c r="H364" s="178">
        <v>60.75</v>
      </c>
      <c r="J364" s="294"/>
      <c r="K364" s="295"/>
      <c r="L364" s="72"/>
      <c r="M364" s="133"/>
      <c r="N364" s="72"/>
      <c r="O364" s="224"/>
      <c r="P364" s="219"/>
      <c r="Q364" s="84"/>
      <c r="S364" s="136"/>
      <c r="T364" s="136"/>
    </row>
    <row r="365" spans="1:36" ht="12">
      <c r="A365" s="71" t="s">
        <v>32997</v>
      </c>
      <c r="B365" s="65" t="s">
        <v>32998</v>
      </c>
      <c r="C365" s="71" t="s">
        <v>165</v>
      </c>
      <c r="D365" s="78">
        <v>70</v>
      </c>
      <c r="E365" s="663">
        <v>2</v>
      </c>
      <c r="H365" s="178">
        <v>70</v>
      </c>
      <c r="J365" s="294"/>
      <c r="K365" s="295"/>
      <c r="L365" s="72"/>
      <c r="M365" s="133"/>
      <c r="N365" s="72"/>
      <c r="O365" s="224"/>
      <c r="P365" s="219"/>
      <c r="Q365" s="84"/>
      <c r="S365" s="136"/>
      <c r="T365" s="136"/>
    </row>
    <row r="366" spans="1:36" ht="12">
      <c r="A366" s="71" t="s">
        <v>32980</v>
      </c>
      <c r="B366" s="65" t="s">
        <v>29588</v>
      </c>
      <c r="C366" s="71" t="s">
        <v>165</v>
      </c>
      <c r="D366" s="78">
        <v>76.790000000000006</v>
      </c>
      <c r="E366" s="663">
        <v>2</v>
      </c>
      <c r="H366" s="178">
        <v>76.790000000000006</v>
      </c>
      <c r="J366" s="294"/>
      <c r="K366" s="295"/>
      <c r="L366" s="72"/>
      <c r="M366" s="133"/>
      <c r="N366" s="72"/>
      <c r="O366" s="224"/>
      <c r="P366" s="219"/>
      <c r="Q366" s="84"/>
      <c r="S366" s="136"/>
      <c r="T366" s="136"/>
    </row>
    <row r="367" spans="1:36" s="61" customFormat="1" ht="12">
      <c r="A367" s="71" t="s">
        <v>32981</v>
      </c>
      <c r="B367" s="65" t="s">
        <v>29590</v>
      </c>
      <c r="C367" s="71" t="s">
        <v>165</v>
      </c>
      <c r="D367" s="78">
        <v>77.91</v>
      </c>
      <c r="E367" s="663">
        <v>2</v>
      </c>
      <c r="F367" s="84"/>
      <c r="G367" s="84"/>
      <c r="H367" s="178">
        <v>77.91</v>
      </c>
      <c r="I367" s="664"/>
      <c r="J367" s="294"/>
      <c r="K367" s="295"/>
      <c r="L367" s="72"/>
      <c r="M367" s="133"/>
      <c r="N367" s="72"/>
      <c r="O367" s="224"/>
      <c r="P367" s="219"/>
      <c r="Q367" s="84"/>
      <c r="R367" s="84"/>
      <c r="S367" s="136"/>
      <c r="T367" s="136"/>
      <c r="U367" s="84"/>
      <c r="V367" s="84"/>
      <c r="W367" s="84"/>
      <c r="X367" s="84"/>
      <c r="Y367" s="84"/>
      <c r="Z367" s="84"/>
      <c r="AA367" s="84"/>
      <c r="AB367" s="84"/>
      <c r="AC367" s="84"/>
      <c r="AD367" s="84"/>
      <c r="AE367" s="84"/>
      <c r="AF367" s="84"/>
      <c r="AG367" s="84"/>
      <c r="AH367" s="84"/>
      <c r="AI367" s="84"/>
      <c r="AJ367" s="84"/>
    </row>
    <row r="368" spans="1:36" ht="12">
      <c r="A368" s="71" t="s">
        <v>32982</v>
      </c>
      <c r="B368" s="65" t="s">
        <v>29592</v>
      </c>
      <c r="C368" s="71" t="s">
        <v>165</v>
      </c>
      <c r="D368" s="78">
        <v>57.76</v>
      </c>
      <c r="E368" s="663">
        <v>2</v>
      </c>
      <c r="H368" s="178">
        <v>57.76</v>
      </c>
      <c r="J368" s="294"/>
      <c r="K368" s="295"/>
      <c r="L368" s="72"/>
      <c r="M368" s="133"/>
      <c r="N368" s="72"/>
      <c r="O368" s="224"/>
      <c r="P368" s="219"/>
      <c r="Q368" s="84"/>
      <c r="S368" s="136"/>
      <c r="T368" s="136"/>
    </row>
    <row r="369" spans="1:22" ht="12">
      <c r="A369" s="71" t="s">
        <v>32978</v>
      </c>
      <c r="B369" s="65" t="s">
        <v>32979</v>
      </c>
      <c r="C369" s="71" t="s">
        <v>165</v>
      </c>
      <c r="D369" s="78">
        <v>59.05</v>
      </c>
      <c r="E369" s="663">
        <v>2</v>
      </c>
      <c r="H369" s="178">
        <v>59.05</v>
      </c>
      <c r="J369" s="294"/>
      <c r="K369" s="295"/>
      <c r="L369" s="72"/>
      <c r="M369" s="133"/>
      <c r="N369" s="72"/>
      <c r="O369" s="224"/>
      <c r="P369" s="219"/>
      <c r="Q369" s="84"/>
      <c r="S369" s="136"/>
      <c r="T369" s="136"/>
    </row>
    <row r="370" spans="1:22" ht="12">
      <c r="A370" s="71" t="s">
        <v>32986</v>
      </c>
      <c r="B370" s="65" t="s">
        <v>29595</v>
      </c>
      <c r="C370" s="71" t="s">
        <v>165</v>
      </c>
      <c r="D370" s="78">
        <v>56.5</v>
      </c>
      <c r="E370" s="663">
        <v>2</v>
      </c>
      <c r="H370" s="178">
        <v>56.5</v>
      </c>
      <c r="J370" s="294"/>
      <c r="K370" s="295"/>
      <c r="L370" s="72"/>
      <c r="M370" s="133"/>
      <c r="N370" s="72"/>
      <c r="O370" s="224"/>
      <c r="P370" s="219"/>
      <c r="Q370" s="84"/>
      <c r="S370" s="136"/>
      <c r="T370" s="136"/>
    </row>
    <row r="371" spans="1:22" ht="12">
      <c r="A371" s="71" t="s">
        <v>32987</v>
      </c>
      <c r="B371" s="65" t="s">
        <v>29597</v>
      </c>
      <c r="C371" s="71" t="s">
        <v>165</v>
      </c>
      <c r="D371" s="78">
        <v>67.8</v>
      </c>
      <c r="E371" s="663">
        <v>2</v>
      </c>
      <c r="H371" s="178">
        <v>67.8</v>
      </c>
      <c r="J371" s="294"/>
      <c r="K371" s="295"/>
      <c r="L371" s="72"/>
      <c r="M371" s="133"/>
      <c r="N371" s="72"/>
      <c r="O371" s="224"/>
      <c r="P371" s="219"/>
      <c r="Q371" s="84"/>
      <c r="S371" s="136"/>
      <c r="T371" s="136"/>
    </row>
    <row r="372" spans="1:22" ht="12">
      <c r="A372" s="71" t="s">
        <v>32988</v>
      </c>
      <c r="B372" s="65" t="s">
        <v>29599</v>
      </c>
      <c r="C372" s="71" t="s">
        <v>165</v>
      </c>
      <c r="D372" s="78">
        <v>89.88</v>
      </c>
      <c r="E372" s="663">
        <v>2</v>
      </c>
      <c r="H372" s="178">
        <v>89.88</v>
      </c>
      <c r="J372" s="294"/>
      <c r="K372" s="295"/>
      <c r="L372" s="72"/>
      <c r="M372" s="133"/>
      <c r="N372" s="72"/>
      <c r="O372" s="224"/>
      <c r="P372" s="219"/>
      <c r="Q372" s="84"/>
      <c r="S372" s="136"/>
      <c r="T372" s="136"/>
    </row>
    <row r="373" spans="1:22" ht="12">
      <c r="A373" s="71" t="s">
        <v>32985</v>
      </c>
      <c r="B373" s="65" t="s">
        <v>29601</v>
      </c>
      <c r="C373" s="71" t="s">
        <v>165</v>
      </c>
      <c r="D373" s="78">
        <v>91.68</v>
      </c>
      <c r="E373" s="663">
        <v>2</v>
      </c>
      <c r="H373" s="178">
        <v>91.68</v>
      </c>
      <c r="J373" s="294"/>
      <c r="K373" s="295"/>
      <c r="L373" s="72"/>
      <c r="M373" s="133"/>
      <c r="N373" s="72"/>
      <c r="O373" s="224"/>
      <c r="P373" s="219"/>
      <c r="Q373" s="84"/>
      <c r="S373" s="136"/>
      <c r="T373" s="136"/>
    </row>
    <row r="374" spans="1:22" ht="12">
      <c r="A374" s="71" t="s">
        <v>32993</v>
      </c>
      <c r="B374" s="65" t="s">
        <v>29603</v>
      </c>
      <c r="C374" s="71" t="s">
        <v>165</v>
      </c>
      <c r="D374" s="78">
        <v>49.64</v>
      </c>
      <c r="E374" s="663">
        <v>2</v>
      </c>
      <c r="H374" s="178">
        <v>49.64</v>
      </c>
      <c r="J374" s="294"/>
      <c r="K374" s="295"/>
      <c r="L374" s="72"/>
      <c r="M374" s="133"/>
      <c r="N374" s="72"/>
      <c r="O374" s="224"/>
      <c r="P374" s="219"/>
      <c r="Q374" s="84"/>
      <c r="S374" s="136"/>
      <c r="T374" s="136"/>
    </row>
    <row r="375" spans="1:22" ht="12">
      <c r="A375" s="71" t="s">
        <v>32995</v>
      </c>
      <c r="B375" s="65" t="s">
        <v>29605</v>
      </c>
      <c r="C375" s="71" t="s">
        <v>165</v>
      </c>
      <c r="D375" s="78">
        <v>59.46</v>
      </c>
      <c r="E375" s="663">
        <v>2</v>
      </c>
      <c r="H375" s="178">
        <v>59.46</v>
      </c>
      <c r="J375" s="294"/>
      <c r="K375" s="295"/>
      <c r="L375" s="72"/>
      <c r="M375" s="133"/>
      <c r="N375" s="72"/>
      <c r="O375" s="224"/>
      <c r="P375" s="219"/>
      <c r="Q375" s="84"/>
      <c r="S375" s="136"/>
      <c r="T375" s="136"/>
    </row>
    <row r="376" spans="1:22" ht="12">
      <c r="A376" s="71" t="s">
        <v>32996</v>
      </c>
      <c r="B376" s="65" t="s">
        <v>29607</v>
      </c>
      <c r="C376" s="71" t="s">
        <v>165</v>
      </c>
      <c r="D376" s="78">
        <v>89.37</v>
      </c>
      <c r="E376" s="663">
        <v>2</v>
      </c>
      <c r="H376" s="178">
        <v>89.37</v>
      </c>
      <c r="J376" s="294"/>
      <c r="K376" s="295"/>
      <c r="L376" s="72"/>
      <c r="M376" s="133"/>
      <c r="N376" s="72"/>
      <c r="O376" s="224"/>
      <c r="P376" s="219"/>
      <c r="Q376" s="84"/>
      <c r="S376" s="136"/>
      <c r="T376" s="136"/>
    </row>
    <row r="377" spans="1:22">
      <c r="A377" s="71" t="s">
        <v>6696</v>
      </c>
      <c r="B377" s="67" t="s">
        <v>6697</v>
      </c>
      <c r="C377" s="71" t="s">
        <v>509</v>
      </c>
      <c r="D377" s="78">
        <v>863.82</v>
      </c>
      <c r="E377" s="663">
        <v>2</v>
      </c>
      <c r="H377" s="178">
        <v>863.82</v>
      </c>
      <c r="J377" s="294"/>
      <c r="K377" s="295"/>
      <c r="L377" s="72"/>
      <c r="M377" s="133"/>
      <c r="N377" s="72"/>
      <c r="O377" s="224"/>
      <c r="P377" s="219"/>
      <c r="Q377" s="84"/>
      <c r="S377" s="136"/>
      <c r="T377" s="136"/>
      <c r="V377" s="136"/>
    </row>
    <row r="378" spans="1:22">
      <c r="A378" s="71" t="s">
        <v>6698</v>
      </c>
      <c r="B378" s="67" t="s">
        <v>6699</v>
      </c>
      <c r="C378" s="71" t="s">
        <v>509</v>
      </c>
      <c r="D378" s="78">
        <v>58.6</v>
      </c>
      <c r="E378" s="663">
        <v>2</v>
      </c>
      <c r="H378" s="178">
        <v>58.6</v>
      </c>
      <c r="J378" s="294"/>
      <c r="K378" s="295"/>
      <c r="L378" s="72"/>
      <c r="M378" s="133"/>
      <c r="N378" s="72"/>
      <c r="O378" s="224"/>
      <c r="P378" s="219"/>
      <c r="Q378" s="84"/>
      <c r="S378" s="136"/>
      <c r="T378" s="136"/>
    </row>
    <row r="379" spans="1:22" ht="12">
      <c r="A379" s="71" t="s">
        <v>32994</v>
      </c>
      <c r="B379" s="65" t="s">
        <v>29609</v>
      </c>
      <c r="C379" s="71" t="s">
        <v>165</v>
      </c>
      <c r="D379" s="78">
        <v>91.8</v>
      </c>
      <c r="E379" s="663">
        <v>2</v>
      </c>
      <c r="H379" s="178">
        <v>91.8</v>
      </c>
      <c r="J379" s="294"/>
      <c r="K379" s="295"/>
      <c r="L379" s="72"/>
      <c r="M379" s="133"/>
      <c r="N379" s="72"/>
      <c r="O379" s="224"/>
      <c r="P379" s="219"/>
      <c r="Q379" s="84"/>
      <c r="S379" s="136"/>
      <c r="T379" s="136"/>
    </row>
    <row r="380" spans="1:22">
      <c r="A380" s="71" t="s">
        <v>6700</v>
      </c>
      <c r="B380" s="67" t="s">
        <v>6701</v>
      </c>
      <c r="C380" s="71" t="s">
        <v>509</v>
      </c>
      <c r="D380" s="78">
        <v>71.88</v>
      </c>
      <c r="E380" s="663">
        <v>2</v>
      </c>
      <c r="H380" s="178">
        <v>71.88</v>
      </c>
      <c r="J380" s="294"/>
      <c r="K380" s="295"/>
      <c r="L380" s="72"/>
      <c r="M380" s="133"/>
      <c r="N380" s="72"/>
      <c r="O380" s="224"/>
      <c r="P380" s="219"/>
      <c r="Q380" s="84"/>
      <c r="S380" s="136"/>
      <c r="T380" s="136"/>
    </row>
    <row r="381" spans="1:22">
      <c r="A381" s="71" t="s">
        <v>6702</v>
      </c>
      <c r="B381" s="67" t="s">
        <v>6703</v>
      </c>
      <c r="C381" s="71" t="s">
        <v>103</v>
      </c>
      <c r="D381" s="78">
        <v>70.77</v>
      </c>
      <c r="E381" s="663">
        <v>2</v>
      </c>
      <c r="H381" s="178">
        <v>70.77</v>
      </c>
      <c r="J381" s="294"/>
      <c r="K381" s="295"/>
      <c r="L381" s="72"/>
      <c r="M381" s="133"/>
      <c r="N381" s="72"/>
      <c r="O381" s="224"/>
      <c r="P381" s="219"/>
      <c r="Q381" s="84"/>
      <c r="S381" s="136"/>
      <c r="T381" s="136"/>
    </row>
    <row r="382" spans="1:22">
      <c r="A382" s="71" t="s">
        <v>6704</v>
      </c>
      <c r="B382" s="67" t="s">
        <v>6705</v>
      </c>
      <c r="C382" s="71" t="s">
        <v>165</v>
      </c>
      <c r="D382" s="78">
        <v>79.650000000000006</v>
      </c>
      <c r="E382" s="663">
        <v>2</v>
      </c>
      <c r="H382" s="178">
        <v>79.650000000000006</v>
      </c>
      <c r="J382" s="294"/>
      <c r="K382" s="295"/>
      <c r="L382" s="72"/>
      <c r="M382" s="133"/>
      <c r="N382" s="72"/>
      <c r="O382" s="224"/>
      <c r="P382" s="219"/>
      <c r="Q382" s="84"/>
      <c r="S382" s="136"/>
      <c r="T382" s="136"/>
      <c r="V382" s="136"/>
    </row>
    <row r="383" spans="1:22">
      <c r="A383" s="71" t="s">
        <v>6706</v>
      </c>
      <c r="B383" s="67" t="s">
        <v>6707</v>
      </c>
      <c r="C383" s="71" t="s">
        <v>103</v>
      </c>
      <c r="D383" s="78">
        <v>4.49</v>
      </c>
      <c r="E383" s="663">
        <v>2</v>
      </c>
      <c r="H383" s="178">
        <v>4.49</v>
      </c>
      <c r="J383" s="294"/>
      <c r="K383" s="295"/>
      <c r="L383" s="72"/>
      <c r="M383" s="133"/>
      <c r="N383" s="72"/>
      <c r="O383" s="224"/>
      <c r="P383" s="219"/>
      <c r="Q383" s="84"/>
      <c r="S383" s="136"/>
      <c r="T383" s="136"/>
    </row>
    <row r="384" spans="1:22">
      <c r="A384" s="71" t="s">
        <v>6708</v>
      </c>
      <c r="B384" s="67" t="s">
        <v>6709</v>
      </c>
      <c r="C384" s="71" t="s">
        <v>103</v>
      </c>
      <c r="D384" s="78">
        <v>3.66</v>
      </c>
      <c r="E384" s="663">
        <v>2</v>
      </c>
      <c r="H384" s="178">
        <v>3.66</v>
      </c>
      <c r="J384" s="294"/>
      <c r="K384" s="295"/>
      <c r="L384" s="72"/>
      <c r="M384" s="133"/>
      <c r="N384" s="72"/>
      <c r="O384" s="224"/>
      <c r="P384" s="219"/>
      <c r="Q384" s="84"/>
      <c r="S384" s="136"/>
      <c r="T384" s="136"/>
    </row>
    <row r="385" spans="1:22">
      <c r="A385" s="71" t="s">
        <v>6710</v>
      </c>
      <c r="B385" s="67" t="s">
        <v>6711</v>
      </c>
      <c r="C385" s="71" t="s">
        <v>165</v>
      </c>
      <c r="D385" s="78">
        <v>51.67</v>
      </c>
      <c r="E385" s="663">
        <v>2</v>
      </c>
      <c r="H385" s="178">
        <v>51.67</v>
      </c>
      <c r="J385" s="294"/>
      <c r="K385" s="295"/>
      <c r="L385" s="72"/>
      <c r="M385" s="133"/>
      <c r="N385" s="72"/>
      <c r="O385" s="224"/>
      <c r="P385" s="219"/>
      <c r="Q385" s="84"/>
      <c r="S385" s="136"/>
      <c r="T385" s="136"/>
      <c r="V385" s="136"/>
    </row>
    <row r="386" spans="1:22">
      <c r="A386" s="71" t="s">
        <v>6712</v>
      </c>
      <c r="B386" s="67" t="s">
        <v>6713</v>
      </c>
      <c r="C386" s="71" t="s">
        <v>165</v>
      </c>
      <c r="D386" s="78">
        <v>75.34</v>
      </c>
      <c r="E386" s="663">
        <v>2</v>
      </c>
      <c r="H386" s="178">
        <v>75.34</v>
      </c>
      <c r="J386" s="294"/>
      <c r="K386" s="295"/>
      <c r="L386" s="72"/>
      <c r="M386" s="133"/>
      <c r="N386" s="72"/>
      <c r="O386" s="224"/>
      <c r="P386" s="219"/>
      <c r="Q386" s="84"/>
      <c r="S386" s="136"/>
      <c r="T386" s="136"/>
      <c r="V386" s="136"/>
    </row>
    <row r="387" spans="1:22">
      <c r="A387" s="71" t="s">
        <v>6714</v>
      </c>
      <c r="B387" s="67" t="s">
        <v>6715</v>
      </c>
      <c r="C387" s="71" t="s">
        <v>165</v>
      </c>
      <c r="D387" s="78">
        <v>38.03</v>
      </c>
      <c r="E387" s="663">
        <v>2</v>
      </c>
      <c r="H387" s="178">
        <v>38.03</v>
      </c>
      <c r="J387" s="294"/>
      <c r="K387" s="295"/>
      <c r="L387" s="72"/>
      <c r="M387" s="133"/>
      <c r="N387" s="72"/>
      <c r="O387" s="224"/>
      <c r="P387" s="219"/>
      <c r="Q387" s="84"/>
      <c r="S387" s="136"/>
      <c r="T387" s="136"/>
    </row>
    <row r="388" spans="1:22">
      <c r="A388" s="71" t="s">
        <v>6716</v>
      </c>
      <c r="B388" s="67" t="s">
        <v>6717</v>
      </c>
      <c r="C388" s="71" t="s">
        <v>165</v>
      </c>
      <c r="D388" s="78">
        <v>47.75</v>
      </c>
      <c r="E388" s="663">
        <v>2</v>
      </c>
      <c r="H388" s="178">
        <v>47.75</v>
      </c>
      <c r="J388" s="294"/>
      <c r="K388" s="295"/>
      <c r="L388" s="72"/>
      <c r="M388" s="133"/>
      <c r="N388" s="72"/>
      <c r="O388" s="224"/>
      <c r="P388" s="219"/>
      <c r="Q388" s="84"/>
      <c r="S388" s="136"/>
      <c r="T388" s="136"/>
    </row>
    <row r="389" spans="1:22">
      <c r="A389" s="71" t="s">
        <v>6718</v>
      </c>
      <c r="B389" s="67" t="s">
        <v>6719</v>
      </c>
      <c r="C389" s="71" t="s">
        <v>165</v>
      </c>
      <c r="D389" s="78">
        <v>19.63</v>
      </c>
      <c r="E389" s="663">
        <v>2</v>
      </c>
      <c r="H389" s="178">
        <v>19.63</v>
      </c>
      <c r="J389" s="294"/>
      <c r="K389" s="295"/>
      <c r="L389" s="72"/>
      <c r="M389" s="133"/>
      <c r="N389" s="72"/>
      <c r="O389" s="224"/>
      <c r="P389" s="219"/>
      <c r="Q389" s="84"/>
      <c r="S389" s="136"/>
      <c r="T389" s="136"/>
    </row>
    <row r="390" spans="1:22">
      <c r="A390" s="71" t="s">
        <v>6720</v>
      </c>
      <c r="B390" s="67" t="s">
        <v>6721</v>
      </c>
      <c r="C390" s="71" t="s">
        <v>165</v>
      </c>
      <c r="D390" s="78">
        <v>26.19</v>
      </c>
      <c r="E390" s="663">
        <v>2</v>
      </c>
      <c r="H390" s="178">
        <v>26.19</v>
      </c>
      <c r="J390" s="294"/>
      <c r="K390" s="295"/>
      <c r="L390" s="72"/>
      <c r="M390" s="133"/>
      <c r="N390" s="72"/>
      <c r="O390" s="224"/>
      <c r="P390" s="219"/>
      <c r="Q390" s="84"/>
      <c r="S390" s="136"/>
      <c r="T390" s="136"/>
    </row>
    <row r="391" spans="1:22">
      <c r="A391" s="71" t="s">
        <v>6722</v>
      </c>
      <c r="B391" s="67" t="s">
        <v>6723</v>
      </c>
      <c r="C391" s="71" t="s">
        <v>165</v>
      </c>
      <c r="D391" s="78">
        <v>39.31</v>
      </c>
      <c r="E391" s="663">
        <v>2</v>
      </c>
      <c r="H391" s="178">
        <v>39.31</v>
      </c>
      <c r="J391" s="294"/>
      <c r="K391" s="295"/>
      <c r="L391" s="72"/>
      <c r="M391" s="133"/>
      <c r="N391" s="72"/>
      <c r="O391" s="224"/>
      <c r="P391" s="219"/>
      <c r="Q391" s="84"/>
      <c r="S391" s="136"/>
      <c r="T391" s="136"/>
    </row>
    <row r="392" spans="1:22">
      <c r="A392" s="71" t="s">
        <v>6724</v>
      </c>
      <c r="B392" s="67" t="s">
        <v>6725</v>
      </c>
      <c r="C392" s="71" t="s">
        <v>165</v>
      </c>
      <c r="D392" s="78">
        <v>69.099999999999994</v>
      </c>
      <c r="E392" s="663">
        <v>2</v>
      </c>
      <c r="H392" s="178">
        <v>69.099999999999994</v>
      </c>
      <c r="J392" s="294"/>
      <c r="K392" s="295"/>
      <c r="L392" s="72"/>
      <c r="M392" s="133"/>
      <c r="N392" s="72"/>
      <c r="O392" s="224"/>
      <c r="P392" s="219"/>
      <c r="Q392" s="84"/>
      <c r="S392" s="136"/>
      <c r="T392" s="136"/>
    </row>
    <row r="393" spans="1:22">
      <c r="A393" s="71" t="s">
        <v>6726</v>
      </c>
      <c r="B393" s="67" t="s">
        <v>6727</v>
      </c>
      <c r="C393" s="71" t="s">
        <v>165</v>
      </c>
      <c r="D393" s="78">
        <v>34.4</v>
      </c>
      <c r="E393" s="663">
        <v>2</v>
      </c>
      <c r="H393" s="178">
        <v>34.4</v>
      </c>
      <c r="J393" s="294"/>
      <c r="K393" s="295"/>
      <c r="L393" s="72"/>
      <c r="M393" s="133"/>
      <c r="N393" s="72"/>
      <c r="O393" s="224"/>
      <c r="P393" s="219"/>
      <c r="Q393" s="84"/>
      <c r="S393" s="136"/>
      <c r="T393" s="136"/>
    </row>
    <row r="394" spans="1:22">
      <c r="A394" s="71" t="s">
        <v>6728</v>
      </c>
      <c r="B394" s="67" t="s">
        <v>6729</v>
      </c>
      <c r="C394" s="71" t="s">
        <v>165</v>
      </c>
      <c r="D394" s="78">
        <v>44.18</v>
      </c>
      <c r="E394" s="663">
        <v>2</v>
      </c>
      <c r="H394" s="178">
        <v>44.18</v>
      </c>
      <c r="J394" s="294"/>
      <c r="K394" s="295"/>
      <c r="L394" s="72"/>
      <c r="M394" s="133"/>
      <c r="N394" s="72"/>
      <c r="O394" s="224"/>
      <c r="P394" s="219"/>
      <c r="Q394" s="84"/>
      <c r="S394" s="136"/>
      <c r="T394" s="136"/>
    </row>
    <row r="395" spans="1:22">
      <c r="A395" s="71" t="s">
        <v>6730</v>
      </c>
      <c r="B395" s="67" t="s">
        <v>6731</v>
      </c>
      <c r="C395" s="71" t="s">
        <v>165</v>
      </c>
      <c r="D395" s="78">
        <v>65.62</v>
      </c>
      <c r="E395" s="663">
        <v>2</v>
      </c>
      <c r="H395" s="178">
        <v>65.62</v>
      </c>
      <c r="J395" s="294"/>
      <c r="K395" s="295"/>
      <c r="L395" s="72"/>
      <c r="M395" s="133"/>
      <c r="N395" s="72"/>
      <c r="O395" s="224"/>
      <c r="P395" s="219"/>
      <c r="Q395" s="84"/>
      <c r="S395" s="136"/>
      <c r="T395" s="136"/>
    </row>
    <row r="396" spans="1:22">
      <c r="A396" s="71" t="s">
        <v>6732</v>
      </c>
      <c r="B396" s="67" t="s">
        <v>6733</v>
      </c>
      <c r="C396" s="71" t="s">
        <v>509</v>
      </c>
      <c r="D396" s="78">
        <v>147.82</v>
      </c>
      <c r="E396" s="663">
        <v>2</v>
      </c>
      <c r="H396" s="178">
        <v>147.82</v>
      </c>
      <c r="J396" s="294"/>
      <c r="K396" s="295"/>
      <c r="L396" s="72"/>
      <c r="M396" s="133"/>
      <c r="N396" s="72"/>
      <c r="O396" s="224"/>
      <c r="P396" s="219"/>
      <c r="Q396" s="84"/>
      <c r="S396" s="136"/>
      <c r="T396" s="136"/>
    </row>
    <row r="397" spans="1:22">
      <c r="A397" s="71" t="s">
        <v>6734</v>
      </c>
      <c r="B397" s="67" t="s">
        <v>6735</v>
      </c>
      <c r="C397" s="71" t="s">
        <v>509</v>
      </c>
      <c r="D397" s="78">
        <v>94.13</v>
      </c>
      <c r="E397" s="663">
        <v>2</v>
      </c>
      <c r="H397" s="178">
        <v>94.13</v>
      </c>
      <c r="J397" s="294"/>
      <c r="K397" s="295"/>
      <c r="L397" s="72"/>
      <c r="M397" s="133"/>
      <c r="N397" s="72"/>
      <c r="O397" s="224"/>
      <c r="P397" s="219"/>
      <c r="Q397" s="84"/>
      <c r="S397" s="136"/>
      <c r="T397" s="136"/>
    </row>
    <row r="398" spans="1:22">
      <c r="A398" s="71" t="s">
        <v>6736</v>
      </c>
      <c r="B398" s="67" t="s">
        <v>6737</v>
      </c>
      <c r="C398" s="71" t="s">
        <v>509</v>
      </c>
      <c r="D398" s="78">
        <v>65</v>
      </c>
      <c r="E398" s="663">
        <v>2</v>
      </c>
      <c r="H398" s="178">
        <v>65</v>
      </c>
      <c r="J398" s="294"/>
      <c r="K398" s="295"/>
      <c r="L398" s="72"/>
      <c r="M398" s="133"/>
      <c r="N398" s="72"/>
      <c r="O398" s="224"/>
      <c r="P398" s="219"/>
      <c r="Q398" s="84"/>
      <c r="S398" s="136"/>
      <c r="T398" s="136"/>
    </row>
    <row r="399" spans="1:22">
      <c r="A399" s="71" t="s">
        <v>6738</v>
      </c>
      <c r="B399" s="67" t="s">
        <v>6739</v>
      </c>
      <c r="C399" s="71" t="s">
        <v>509</v>
      </c>
      <c r="D399" s="78">
        <v>59.33</v>
      </c>
      <c r="E399" s="663">
        <v>2</v>
      </c>
      <c r="H399" s="178">
        <v>59.33</v>
      </c>
      <c r="J399" s="294"/>
      <c r="K399" s="295"/>
      <c r="L399" s="72"/>
      <c r="M399" s="133"/>
      <c r="N399" s="72"/>
      <c r="O399" s="224"/>
      <c r="P399" s="219"/>
      <c r="Q399" s="84"/>
      <c r="S399" s="136"/>
      <c r="T399" s="136"/>
    </row>
    <row r="400" spans="1:22">
      <c r="A400" s="71" t="s">
        <v>6740</v>
      </c>
      <c r="B400" s="67" t="s">
        <v>6741</v>
      </c>
      <c r="C400" s="71" t="s">
        <v>509</v>
      </c>
      <c r="D400" s="78">
        <v>90.94</v>
      </c>
      <c r="E400" s="663">
        <v>2</v>
      </c>
      <c r="H400" s="178">
        <v>90.94</v>
      </c>
      <c r="J400" s="294"/>
      <c r="K400" s="295"/>
      <c r="L400" s="72"/>
      <c r="M400" s="133"/>
      <c r="N400" s="72"/>
      <c r="O400" s="224"/>
      <c r="P400" s="219"/>
      <c r="Q400" s="84"/>
      <c r="S400" s="136"/>
      <c r="T400" s="136"/>
    </row>
    <row r="401" spans="1:22">
      <c r="A401" s="71" t="s">
        <v>6742</v>
      </c>
      <c r="B401" s="67" t="s">
        <v>6743</v>
      </c>
      <c r="C401" s="71" t="s">
        <v>509</v>
      </c>
      <c r="D401" s="78">
        <v>71.069999999999993</v>
      </c>
      <c r="E401" s="663">
        <v>2</v>
      </c>
      <c r="H401" s="178">
        <v>71.069999999999993</v>
      </c>
      <c r="J401" s="294"/>
      <c r="K401" s="295"/>
      <c r="L401" s="72"/>
      <c r="M401" s="133"/>
      <c r="N401" s="72"/>
      <c r="O401" s="224"/>
      <c r="P401" s="219"/>
      <c r="Q401" s="84"/>
      <c r="S401" s="136"/>
      <c r="T401" s="136"/>
    </row>
    <row r="402" spans="1:22">
      <c r="A402" s="71" t="s">
        <v>6744</v>
      </c>
      <c r="B402" s="67" t="s">
        <v>6745</v>
      </c>
      <c r="C402" s="71" t="s">
        <v>165</v>
      </c>
      <c r="D402" s="78">
        <v>31.51</v>
      </c>
      <c r="E402" s="663">
        <v>2</v>
      </c>
      <c r="H402" s="178">
        <v>31.51</v>
      </c>
      <c r="J402" s="294"/>
      <c r="K402" s="295"/>
      <c r="L402" s="72"/>
      <c r="M402" s="133"/>
      <c r="N402" s="72"/>
      <c r="O402" s="224"/>
      <c r="P402" s="219"/>
      <c r="Q402" s="84"/>
      <c r="S402" s="136"/>
      <c r="T402" s="136"/>
      <c r="V402" s="136"/>
    </row>
    <row r="403" spans="1:22">
      <c r="A403" s="71" t="s">
        <v>6746</v>
      </c>
      <c r="B403" s="67" t="s">
        <v>6747</v>
      </c>
      <c r="C403" s="71" t="s">
        <v>165</v>
      </c>
      <c r="D403" s="78">
        <v>68.400000000000006</v>
      </c>
      <c r="E403" s="663">
        <v>2</v>
      </c>
      <c r="H403" s="178">
        <v>68.400000000000006</v>
      </c>
      <c r="J403" s="294"/>
      <c r="K403" s="295"/>
      <c r="L403" s="72"/>
      <c r="M403" s="133"/>
      <c r="N403" s="72"/>
      <c r="O403" s="224"/>
      <c r="P403" s="219"/>
      <c r="Q403" s="84"/>
      <c r="S403" s="136"/>
      <c r="T403" s="136"/>
      <c r="V403" s="136"/>
    </row>
    <row r="404" spans="1:22">
      <c r="A404" s="71" t="s">
        <v>6748</v>
      </c>
      <c r="B404" s="67" t="s">
        <v>6749</v>
      </c>
      <c r="C404" s="71" t="s">
        <v>165</v>
      </c>
      <c r="D404" s="78">
        <v>42.69</v>
      </c>
      <c r="E404" s="663">
        <v>2</v>
      </c>
      <c r="H404" s="178">
        <v>42.69</v>
      </c>
      <c r="J404" s="294"/>
      <c r="K404" s="295"/>
      <c r="L404" s="72"/>
      <c r="M404" s="133"/>
      <c r="N404" s="72"/>
      <c r="O404" s="224"/>
      <c r="P404" s="219"/>
      <c r="Q404" s="84"/>
      <c r="S404" s="136"/>
      <c r="T404" s="136"/>
      <c r="V404" s="136"/>
    </row>
    <row r="405" spans="1:22">
      <c r="A405" s="71" t="s">
        <v>6750</v>
      </c>
      <c r="B405" s="67" t="s">
        <v>6751</v>
      </c>
      <c r="C405" s="71" t="s">
        <v>165</v>
      </c>
      <c r="D405" s="78">
        <v>11.3</v>
      </c>
      <c r="E405" s="663">
        <v>2</v>
      </c>
      <c r="H405" s="178">
        <v>11.3</v>
      </c>
      <c r="J405" s="294"/>
      <c r="K405" s="295"/>
      <c r="L405" s="72"/>
      <c r="M405" s="133"/>
      <c r="N405" s="72"/>
      <c r="O405" s="224"/>
      <c r="P405" s="219"/>
      <c r="Q405" s="84"/>
      <c r="S405" s="136"/>
      <c r="T405" s="136"/>
    </row>
    <row r="406" spans="1:22">
      <c r="A406" s="71" t="s">
        <v>6752</v>
      </c>
      <c r="B406" s="67" t="s">
        <v>6753</v>
      </c>
      <c r="C406" s="71" t="s">
        <v>165</v>
      </c>
      <c r="D406" s="78">
        <v>28.57</v>
      </c>
      <c r="E406" s="663">
        <v>2</v>
      </c>
      <c r="H406" s="178">
        <v>28.57</v>
      </c>
      <c r="J406" s="294"/>
      <c r="K406" s="295"/>
      <c r="L406" s="72"/>
      <c r="M406" s="133"/>
      <c r="N406" s="72"/>
      <c r="O406" s="224"/>
      <c r="P406" s="219"/>
      <c r="Q406" s="84"/>
      <c r="S406" s="136"/>
      <c r="T406" s="136"/>
    </row>
    <row r="407" spans="1:22">
      <c r="A407" s="71" t="s">
        <v>6754</v>
      </c>
      <c r="B407" s="67" t="s">
        <v>6755</v>
      </c>
      <c r="C407" s="71" t="s">
        <v>165</v>
      </c>
      <c r="D407" s="78">
        <v>36.869999999999997</v>
      </c>
      <c r="E407" s="663">
        <v>2</v>
      </c>
      <c r="H407" s="178">
        <v>36.869999999999997</v>
      </c>
      <c r="J407" s="294"/>
      <c r="K407" s="295"/>
      <c r="L407" s="72"/>
      <c r="M407" s="133"/>
      <c r="N407" s="72"/>
      <c r="O407" s="224"/>
      <c r="P407" s="219"/>
      <c r="Q407" s="84"/>
      <c r="S407" s="136"/>
      <c r="T407" s="136"/>
    </row>
    <row r="408" spans="1:22">
      <c r="A408" s="71" t="s">
        <v>6756</v>
      </c>
      <c r="B408" s="67" t="s">
        <v>6757</v>
      </c>
      <c r="C408" s="71" t="s">
        <v>165</v>
      </c>
      <c r="D408" s="78">
        <v>55.54</v>
      </c>
      <c r="E408" s="663">
        <v>2</v>
      </c>
      <c r="H408" s="178">
        <v>55.54</v>
      </c>
      <c r="J408" s="294"/>
      <c r="K408" s="295"/>
      <c r="L408" s="72"/>
      <c r="M408" s="133"/>
      <c r="N408" s="72"/>
      <c r="O408" s="224"/>
      <c r="P408" s="219"/>
      <c r="Q408" s="84"/>
      <c r="S408" s="136"/>
      <c r="T408" s="136"/>
    </row>
    <row r="409" spans="1:22">
      <c r="A409" s="71" t="s">
        <v>6758</v>
      </c>
      <c r="B409" s="67" t="s">
        <v>6759</v>
      </c>
      <c r="C409" s="71" t="s">
        <v>165</v>
      </c>
      <c r="D409" s="78">
        <v>30.94</v>
      </c>
      <c r="E409" s="663">
        <v>2</v>
      </c>
      <c r="H409" s="178">
        <v>30.94</v>
      </c>
      <c r="J409" s="294"/>
      <c r="K409" s="295"/>
      <c r="L409" s="72"/>
      <c r="M409" s="133"/>
      <c r="N409" s="72"/>
      <c r="O409" s="224"/>
      <c r="P409" s="219"/>
      <c r="Q409" s="84"/>
      <c r="S409" s="136"/>
      <c r="T409" s="136"/>
    </row>
    <row r="410" spans="1:22">
      <c r="A410" s="71" t="s">
        <v>6760</v>
      </c>
      <c r="B410" s="67" t="s">
        <v>6761</v>
      </c>
      <c r="C410" s="71" t="s">
        <v>165</v>
      </c>
      <c r="D410" s="78">
        <v>37.979999999999997</v>
      </c>
      <c r="E410" s="663">
        <v>2</v>
      </c>
      <c r="H410" s="178">
        <v>37.979999999999997</v>
      </c>
      <c r="J410" s="294"/>
      <c r="K410" s="295"/>
      <c r="L410" s="72"/>
      <c r="M410" s="133"/>
      <c r="N410" s="72"/>
      <c r="O410" s="224"/>
      <c r="P410" s="219"/>
      <c r="Q410" s="84"/>
      <c r="S410" s="136"/>
      <c r="T410" s="136"/>
    </row>
    <row r="411" spans="1:22">
      <c r="A411" s="71" t="s">
        <v>6762</v>
      </c>
      <c r="B411" s="67" t="s">
        <v>6763</v>
      </c>
      <c r="C411" s="71" t="s">
        <v>165</v>
      </c>
      <c r="D411" s="78">
        <v>56.73</v>
      </c>
      <c r="E411" s="663">
        <v>2</v>
      </c>
      <c r="H411" s="178">
        <v>56.73</v>
      </c>
      <c r="J411" s="294"/>
      <c r="K411" s="295"/>
      <c r="L411" s="72"/>
      <c r="M411" s="133"/>
      <c r="N411" s="72"/>
      <c r="O411" s="224"/>
      <c r="P411" s="219"/>
      <c r="Q411" s="84"/>
      <c r="S411" s="136"/>
      <c r="T411" s="136"/>
    </row>
    <row r="412" spans="1:22">
      <c r="A412" s="71" t="s">
        <v>6764</v>
      </c>
      <c r="B412" s="67" t="s">
        <v>6765</v>
      </c>
      <c r="C412" s="71" t="s">
        <v>509</v>
      </c>
      <c r="D412" s="78">
        <v>26.55</v>
      </c>
      <c r="E412" s="663">
        <v>2</v>
      </c>
      <c r="H412" s="178">
        <v>26.55</v>
      </c>
      <c r="J412" s="294"/>
      <c r="K412" s="295"/>
      <c r="L412" s="72"/>
      <c r="M412" s="133"/>
      <c r="N412" s="72"/>
      <c r="O412" s="224"/>
      <c r="P412" s="219"/>
      <c r="Q412" s="84"/>
      <c r="S412" s="136"/>
      <c r="T412" s="136"/>
    </row>
    <row r="413" spans="1:22">
      <c r="A413" s="71" t="s">
        <v>6766</v>
      </c>
      <c r="B413" s="67" t="s">
        <v>6767</v>
      </c>
      <c r="C413" s="71" t="s">
        <v>509</v>
      </c>
      <c r="D413" s="78">
        <v>42.7</v>
      </c>
      <c r="E413" s="663">
        <v>2</v>
      </c>
      <c r="H413" s="178">
        <v>42.7</v>
      </c>
      <c r="J413" s="294"/>
      <c r="K413" s="295"/>
      <c r="L413" s="72"/>
      <c r="M413" s="133"/>
      <c r="N413" s="72"/>
      <c r="O413" s="224"/>
      <c r="P413" s="219"/>
      <c r="Q413" s="84"/>
      <c r="S413" s="136"/>
      <c r="T413" s="136"/>
    </row>
    <row r="414" spans="1:22">
      <c r="A414" s="71" t="s">
        <v>6768</v>
      </c>
      <c r="B414" s="67" t="s">
        <v>6769</v>
      </c>
      <c r="C414" s="71" t="s">
        <v>509</v>
      </c>
      <c r="D414" s="78">
        <v>123.11</v>
      </c>
      <c r="E414" s="663">
        <v>2</v>
      </c>
      <c r="H414" s="178">
        <v>123.11</v>
      </c>
      <c r="J414" s="294"/>
      <c r="K414" s="295"/>
      <c r="L414" s="72"/>
      <c r="M414" s="133"/>
      <c r="N414" s="72"/>
      <c r="O414" s="224"/>
      <c r="P414" s="219"/>
      <c r="Q414" s="84"/>
      <c r="S414" s="136"/>
      <c r="T414" s="136"/>
    </row>
    <row r="415" spans="1:22">
      <c r="A415" s="71" t="s">
        <v>6770</v>
      </c>
      <c r="B415" s="67" t="s">
        <v>6771</v>
      </c>
      <c r="C415" s="71" t="s">
        <v>509</v>
      </c>
      <c r="D415" s="78">
        <v>130.86000000000001</v>
      </c>
      <c r="E415" s="663">
        <v>2</v>
      </c>
      <c r="H415" s="178">
        <v>130.86000000000001</v>
      </c>
      <c r="J415" s="294"/>
      <c r="K415" s="295"/>
      <c r="L415" s="72"/>
      <c r="M415" s="133"/>
      <c r="N415" s="72"/>
      <c r="O415" s="224"/>
      <c r="P415" s="219"/>
      <c r="Q415" s="84"/>
      <c r="S415" s="136"/>
      <c r="T415" s="136"/>
    </row>
    <row r="416" spans="1:22">
      <c r="A416" s="306" t="s">
        <v>6772</v>
      </c>
      <c r="B416" s="307" t="s">
        <v>6773</v>
      </c>
      <c r="C416" s="71" t="s">
        <v>509</v>
      </c>
      <c r="D416" s="78">
        <v>102</v>
      </c>
      <c r="E416" s="663">
        <v>2</v>
      </c>
      <c r="H416" s="180">
        <v>102</v>
      </c>
      <c r="J416" s="294"/>
      <c r="K416" s="295"/>
      <c r="L416" s="286"/>
      <c r="M416" s="289"/>
      <c r="N416" s="72"/>
      <c r="O416" s="224"/>
      <c r="P416" s="219"/>
      <c r="Q416" s="84"/>
      <c r="S416" s="141"/>
      <c r="T416" s="141"/>
    </row>
    <row r="417" spans="1:22">
      <c r="A417" s="306" t="s">
        <v>6774</v>
      </c>
      <c r="B417" s="307" t="s">
        <v>6775</v>
      </c>
      <c r="C417" s="71" t="s">
        <v>509</v>
      </c>
      <c r="D417" s="78">
        <v>100.58</v>
      </c>
      <c r="E417" s="663">
        <v>2</v>
      </c>
      <c r="H417" s="180">
        <v>100.58</v>
      </c>
      <c r="J417" s="294"/>
      <c r="K417" s="295"/>
      <c r="L417" s="286"/>
      <c r="M417" s="289"/>
      <c r="N417" s="72"/>
      <c r="O417" s="224"/>
      <c r="P417" s="219"/>
      <c r="Q417" s="84"/>
      <c r="S417" s="141"/>
      <c r="T417" s="141"/>
    </row>
    <row r="418" spans="1:22">
      <c r="A418" s="306" t="s">
        <v>6776</v>
      </c>
      <c r="B418" s="307" t="s">
        <v>6777</v>
      </c>
      <c r="C418" s="71" t="s">
        <v>509</v>
      </c>
      <c r="D418" s="78">
        <v>127.92</v>
      </c>
      <c r="E418" s="663">
        <v>2</v>
      </c>
      <c r="H418" s="180">
        <v>127.92</v>
      </c>
      <c r="J418" s="294"/>
      <c r="K418" s="295"/>
      <c r="L418" s="286"/>
      <c r="M418" s="289"/>
      <c r="N418" s="72"/>
      <c r="O418" s="224"/>
      <c r="P418" s="219"/>
      <c r="Q418" s="84"/>
      <c r="S418" s="141"/>
      <c r="T418" s="141"/>
    </row>
    <row r="419" spans="1:22">
      <c r="A419" s="306" t="s">
        <v>6778</v>
      </c>
      <c r="B419" s="307" t="s">
        <v>6779</v>
      </c>
      <c r="C419" s="71" t="s">
        <v>509</v>
      </c>
      <c r="D419" s="78">
        <v>99.3</v>
      </c>
      <c r="E419" s="663">
        <v>2</v>
      </c>
      <c r="H419" s="180">
        <v>99.3</v>
      </c>
      <c r="J419" s="294"/>
      <c r="K419" s="295"/>
      <c r="L419" s="286"/>
      <c r="M419" s="289"/>
      <c r="N419" s="72"/>
      <c r="O419" s="224"/>
      <c r="P419" s="219"/>
      <c r="Q419" s="84"/>
      <c r="S419" s="141"/>
      <c r="T419" s="141"/>
    </row>
    <row r="420" spans="1:22">
      <c r="A420" s="71" t="s">
        <v>6780</v>
      </c>
      <c r="B420" s="67" t="s">
        <v>6781</v>
      </c>
      <c r="C420" s="71" t="s">
        <v>509</v>
      </c>
      <c r="D420" s="78">
        <v>69.78</v>
      </c>
      <c r="E420" s="663">
        <v>2</v>
      </c>
      <c r="H420" s="178">
        <v>69.78</v>
      </c>
      <c r="J420" s="294"/>
      <c r="K420" s="295"/>
      <c r="L420" s="72"/>
      <c r="M420" s="133"/>
      <c r="N420" s="72"/>
      <c r="O420" s="224"/>
      <c r="P420" s="219"/>
      <c r="Q420" s="84"/>
      <c r="S420" s="136"/>
      <c r="T420" s="136"/>
    </row>
    <row r="421" spans="1:22">
      <c r="A421" s="71" t="s">
        <v>6782</v>
      </c>
      <c r="B421" s="67" t="s">
        <v>6783</v>
      </c>
      <c r="C421" s="71" t="s">
        <v>103</v>
      </c>
      <c r="D421" s="78">
        <v>66.05</v>
      </c>
      <c r="E421" s="663">
        <v>2</v>
      </c>
      <c r="H421" s="178">
        <v>66.05</v>
      </c>
      <c r="J421" s="294"/>
      <c r="K421" s="295"/>
      <c r="L421" s="72"/>
      <c r="M421" s="133"/>
      <c r="N421" s="72"/>
      <c r="O421" s="224"/>
      <c r="P421" s="219"/>
      <c r="Q421" s="84"/>
      <c r="S421" s="136"/>
      <c r="T421" s="136"/>
      <c r="V421" s="136"/>
    </row>
    <row r="422" spans="1:22">
      <c r="A422" s="71" t="s">
        <v>6784</v>
      </c>
      <c r="B422" s="67" t="s">
        <v>6785</v>
      </c>
      <c r="C422" s="71" t="s">
        <v>6786</v>
      </c>
      <c r="D422" s="78">
        <v>96.91</v>
      </c>
      <c r="E422" s="663">
        <v>2</v>
      </c>
      <c r="H422" s="178">
        <v>96.91</v>
      </c>
      <c r="J422" s="294"/>
      <c r="K422" s="295"/>
      <c r="L422" s="72"/>
      <c r="M422" s="133"/>
      <c r="N422" s="72"/>
      <c r="O422" s="224"/>
      <c r="P422" s="219"/>
      <c r="Q422" s="84"/>
      <c r="S422" s="136"/>
      <c r="T422" s="136"/>
      <c r="V422" s="136"/>
    </row>
    <row r="423" spans="1:22">
      <c r="A423" s="71" t="s">
        <v>6787</v>
      </c>
      <c r="B423" s="67" t="s">
        <v>6788</v>
      </c>
      <c r="C423" s="71" t="s">
        <v>103</v>
      </c>
      <c r="D423" s="78">
        <v>63.09</v>
      </c>
      <c r="E423" s="663">
        <v>2</v>
      </c>
      <c r="H423" s="178">
        <v>63.09</v>
      </c>
      <c r="J423" s="294"/>
      <c r="K423" s="295"/>
      <c r="L423" s="72"/>
      <c r="M423" s="133"/>
      <c r="N423" s="72"/>
      <c r="O423" s="224"/>
      <c r="P423" s="219"/>
      <c r="Q423" s="84"/>
      <c r="S423" s="136"/>
      <c r="T423" s="136"/>
      <c r="V423" s="136"/>
    </row>
    <row r="424" spans="1:22">
      <c r="A424" s="71" t="s">
        <v>6789</v>
      </c>
      <c r="B424" s="67" t="s">
        <v>6790</v>
      </c>
      <c r="C424" s="71" t="s">
        <v>103</v>
      </c>
      <c r="D424" s="78">
        <v>62.36</v>
      </c>
      <c r="E424" s="663">
        <v>2</v>
      </c>
      <c r="H424" s="178">
        <v>62.36</v>
      </c>
      <c r="J424" s="294"/>
      <c r="K424" s="295"/>
      <c r="L424" s="72"/>
      <c r="M424" s="133"/>
      <c r="N424" s="72"/>
      <c r="O424" s="224"/>
      <c r="P424" s="219"/>
      <c r="Q424" s="84"/>
      <c r="S424" s="136"/>
      <c r="T424" s="136"/>
      <c r="V424" s="136"/>
    </row>
    <row r="425" spans="1:22">
      <c r="A425" s="71" t="s">
        <v>6791</v>
      </c>
      <c r="B425" s="67" t="s">
        <v>6792</v>
      </c>
      <c r="C425" s="71" t="s">
        <v>103</v>
      </c>
      <c r="D425" s="78">
        <v>98.3</v>
      </c>
      <c r="E425" s="663">
        <v>2</v>
      </c>
      <c r="H425" s="178">
        <v>98.3</v>
      </c>
      <c r="J425" s="294"/>
      <c r="K425" s="295"/>
      <c r="L425" s="72"/>
      <c r="M425" s="133"/>
      <c r="N425" s="72"/>
      <c r="O425" s="224"/>
      <c r="P425" s="219"/>
      <c r="Q425" s="84"/>
      <c r="S425" s="136"/>
      <c r="T425" s="136"/>
      <c r="V425" s="136"/>
    </row>
    <row r="426" spans="1:22">
      <c r="A426" s="71" t="s">
        <v>6793</v>
      </c>
      <c r="B426" s="67" t="s">
        <v>6794</v>
      </c>
      <c r="C426" s="71" t="s">
        <v>103</v>
      </c>
      <c r="D426" s="78">
        <v>62.71</v>
      </c>
      <c r="E426" s="663">
        <v>2</v>
      </c>
      <c r="H426" s="178">
        <v>62.71</v>
      </c>
      <c r="J426" s="294"/>
      <c r="K426" s="295"/>
      <c r="L426" s="72"/>
      <c r="M426" s="133"/>
      <c r="N426" s="72"/>
      <c r="O426" s="224"/>
      <c r="P426" s="219"/>
      <c r="Q426" s="84"/>
      <c r="S426" s="136"/>
      <c r="T426" s="136"/>
    </row>
    <row r="427" spans="1:22">
      <c r="A427" s="71" t="s">
        <v>6795</v>
      </c>
      <c r="B427" s="67" t="s">
        <v>6796</v>
      </c>
      <c r="C427" s="71" t="s">
        <v>509</v>
      </c>
      <c r="D427" s="78">
        <v>121.07</v>
      </c>
      <c r="E427" s="663">
        <v>2</v>
      </c>
      <c r="H427" s="178">
        <v>121.07</v>
      </c>
      <c r="J427" s="294"/>
      <c r="K427" s="295"/>
      <c r="L427" s="72"/>
      <c r="M427" s="133"/>
      <c r="N427" s="72"/>
      <c r="O427" s="224"/>
      <c r="P427" s="219"/>
      <c r="Q427" s="84"/>
      <c r="S427" s="136"/>
      <c r="T427" s="136"/>
    </row>
    <row r="428" spans="1:22">
      <c r="A428" s="71" t="s">
        <v>6797</v>
      </c>
      <c r="B428" s="67" t="s">
        <v>6798</v>
      </c>
      <c r="C428" s="71" t="s">
        <v>509</v>
      </c>
      <c r="D428" s="78">
        <v>123.69</v>
      </c>
      <c r="E428" s="663">
        <v>2</v>
      </c>
      <c r="H428" s="178">
        <v>123.69</v>
      </c>
      <c r="J428" s="294"/>
      <c r="K428" s="295"/>
      <c r="L428" s="72"/>
      <c r="M428" s="133"/>
      <c r="N428" s="72"/>
      <c r="O428" s="224"/>
      <c r="P428" s="219"/>
      <c r="Q428" s="84"/>
      <c r="S428" s="136"/>
      <c r="T428" s="136"/>
    </row>
    <row r="429" spans="1:22" ht="24">
      <c r="A429" s="71" t="s">
        <v>33019</v>
      </c>
      <c r="B429" s="65" t="s">
        <v>33020</v>
      </c>
      <c r="C429" s="71" t="s">
        <v>7887</v>
      </c>
      <c r="D429" s="78">
        <v>114.39</v>
      </c>
      <c r="E429" s="663">
        <v>2</v>
      </c>
      <c r="H429" s="178">
        <v>114.39</v>
      </c>
      <c r="J429" s="294"/>
      <c r="K429" s="295"/>
      <c r="L429" s="72"/>
      <c r="M429" s="133"/>
      <c r="N429" s="72"/>
      <c r="O429" s="224"/>
      <c r="P429" s="219"/>
      <c r="Q429" s="84"/>
      <c r="S429" s="136"/>
      <c r="T429" s="136"/>
    </row>
    <row r="430" spans="1:22" ht="12">
      <c r="A430" s="71" t="s">
        <v>33021</v>
      </c>
      <c r="B430" s="65" t="s">
        <v>29564</v>
      </c>
      <c r="C430" s="71" t="s">
        <v>509</v>
      </c>
      <c r="D430" s="78">
        <v>181.41</v>
      </c>
      <c r="E430" s="663">
        <v>2</v>
      </c>
      <c r="H430" s="178">
        <v>181.41</v>
      </c>
      <c r="J430" s="294"/>
      <c r="K430" s="295"/>
      <c r="L430" s="72"/>
      <c r="M430" s="133"/>
      <c r="N430" s="72"/>
      <c r="O430" s="224"/>
      <c r="P430" s="219"/>
      <c r="Q430" s="84"/>
      <c r="S430" s="136"/>
      <c r="T430" s="136"/>
    </row>
    <row r="431" spans="1:22" ht="12">
      <c r="A431" s="71" t="s">
        <v>33014</v>
      </c>
      <c r="B431" s="65" t="s">
        <v>29566</v>
      </c>
      <c r="C431" s="71" t="s">
        <v>509</v>
      </c>
      <c r="D431" s="78">
        <v>98.69</v>
      </c>
      <c r="E431" s="663">
        <v>2</v>
      </c>
      <c r="H431" s="178">
        <v>98.69</v>
      </c>
      <c r="J431" s="294"/>
      <c r="K431" s="295"/>
      <c r="L431" s="72"/>
      <c r="M431" s="133"/>
      <c r="N431" s="72"/>
      <c r="O431" s="224"/>
      <c r="P431" s="219"/>
      <c r="Q431" s="84"/>
      <c r="S431" s="136"/>
      <c r="T431" s="136"/>
    </row>
    <row r="432" spans="1:22" ht="12">
      <c r="A432" s="71" t="s">
        <v>33017</v>
      </c>
      <c r="B432" s="65" t="s">
        <v>33018</v>
      </c>
      <c r="C432" s="71" t="s">
        <v>509</v>
      </c>
      <c r="D432" s="78">
        <v>90.96</v>
      </c>
      <c r="E432" s="663">
        <v>2</v>
      </c>
      <c r="H432" s="178">
        <v>90.96</v>
      </c>
      <c r="J432" s="294"/>
      <c r="K432" s="295"/>
      <c r="L432" s="72"/>
      <c r="M432" s="133"/>
      <c r="N432" s="72"/>
      <c r="O432" s="224"/>
      <c r="P432" s="219"/>
      <c r="Q432" s="84"/>
      <c r="S432" s="136"/>
      <c r="T432" s="136"/>
    </row>
    <row r="433" spans="1:22" ht="12">
      <c r="A433" s="71" t="s">
        <v>33015</v>
      </c>
      <c r="B433" s="65" t="s">
        <v>33016</v>
      </c>
      <c r="C433" s="71" t="s">
        <v>509</v>
      </c>
      <c r="D433" s="78">
        <v>171.57</v>
      </c>
      <c r="E433" s="663">
        <v>2</v>
      </c>
      <c r="H433" s="178">
        <v>171.57</v>
      </c>
      <c r="J433" s="294"/>
      <c r="K433" s="295"/>
      <c r="L433" s="72"/>
      <c r="M433" s="133"/>
      <c r="N433" s="72"/>
      <c r="O433" s="224"/>
      <c r="P433" s="219"/>
      <c r="Q433" s="84"/>
      <c r="S433" s="136"/>
      <c r="T433" s="136"/>
    </row>
    <row r="434" spans="1:22" ht="12">
      <c r="A434" s="71" t="s">
        <v>32921</v>
      </c>
      <c r="B434" s="65" t="s">
        <v>32922</v>
      </c>
      <c r="C434" s="71" t="s">
        <v>165</v>
      </c>
      <c r="D434" s="78">
        <v>108.38</v>
      </c>
      <c r="E434" s="663">
        <v>2</v>
      </c>
      <c r="H434" s="178">
        <v>108.38</v>
      </c>
      <c r="J434" s="294"/>
      <c r="K434" s="295"/>
      <c r="L434" s="72"/>
      <c r="M434" s="133"/>
      <c r="N434" s="72"/>
      <c r="O434" s="224"/>
      <c r="P434" s="219"/>
      <c r="Q434" s="84"/>
      <c r="S434" s="136"/>
      <c r="T434" s="136"/>
    </row>
    <row r="435" spans="1:22" ht="24">
      <c r="A435" s="71" t="s">
        <v>32923</v>
      </c>
      <c r="B435" s="65" t="s">
        <v>29579</v>
      </c>
      <c r="C435" s="71" t="s">
        <v>165</v>
      </c>
      <c r="D435" s="78">
        <v>128.13999999999999</v>
      </c>
      <c r="E435" s="663">
        <v>2</v>
      </c>
      <c r="H435" s="178">
        <v>128.13999999999999</v>
      </c>
      <c r="J435" s="294"/>
      <c r="K435" s="295"/>
      <c r="L435" s="72"/>
      <c r="M435" s="133"/>
      <c r="N435" s="72"/>
      <c r="O435" s="224"/>
      <c r="P435" s="219"/>
      <c r="Q435" s="84"/>
      <c r="S435" s="136"/>
      <c r="T435" s="136"/>
    </row>
    <row r="436" spans="1:22" ht="12">
      <c r="A436" s="71" t="s">
        <v>32983</v>
      </c>
      <c r="B436" s="65" t="s">
        <v>32984</v>
      </c>
      <c r="C436" s="71" t="s">
        <v>165</v>
      </c>
      <c r="D436" s="78">
        <v>83.98</v>
      </c>
      <c r="E436" s="663">
        <v>2</v>
      </c>
      <c r="H436" s="178">
        <v>83.98</v>
      </c>
      <c r="J436" s="294"/>
      <c r="K436" s="295"/>
      <c r="L436" s="72"/>
      <c r="M436" s="133"/>
      <c r="N436" s="72"/>
      <c r="O436" s="224"/>
      <c r="P436" s="219"/>
      <c r="Q436" s="84"/>
      <c r="S436" s="136"/>
      <c r="T436" s="136"/>
    </row>
    <row r="437" spans="1:22" ht="12">
      <c r="A437" s="71" t="s">
        <v>32991</v>
      </c>
      <c r="B437" s="65" t="s">
        <v>32992</v>
      </c>
      <c r="C437" s="71" t="s">
        <v>165</v>
      </c>
      <c r="D437" s="78">
        <v>83.51</v>
      </c>
      <c r="E437" s="663">
        <v>2</v>
      </c>
      <c r="H437" s="178">
        <v>83.51</v>
      </c>
      <c r="J437" s="294"/>
      <c r="K437" s="295"/>
      <c r="L437" s="72"/>
      <c r="M437" s="133"/>
      <c r="N437" s="72"/>
      <c r="O437" s="224"/>
      <c r="P437" s="219"/>
      <c r="Q437" s="84"/>
      <c r="S437" s="136"/>
      <c r="T437" s="136"/>
    </row>
    <row r="438" spans="1:22" ht="12">
      <c r="A438" s="71" t="s">
        <v>32989</v>
      </c>
      <c r="B438" s="65" t="s">
        <v>32990</v>
      </c>
      <c r="C438" s="71" t="s">
        <v>165</v>
      </c>
      <c r="D438" s="78">
        <v>56.76</v>
      </c>
      <c r="E438" s="663">
        <v>2</v>
      </c>
      <c r="H438" s="178">
        <v>56.76</v>
      </c>
      <c r="J438" s="294"/>
      <c r="K438" s="295"/>
      <c r="L438" s="72"/>
      <c r="M438" s="133"/>
      <c r="N438" s="72"/>
      <c r="O438" s="224"/>
      <c r="P438" s="219"/>
      <c r="Q438" s="84"/>
      <c r="S438" s="136"/>
      <c r="T438" s="136"/>
    </row>
    <row r="439" spans="1:22" ht="12">
      <c r="A439" s="71" t="s">
        <v>32976</v>
      </c>
      <c r="B439" s="65" t="s">
        <v>32977</v>
      </c>
      <c r="C439" s="71" t="s">
        <v>165</v>
      </c>
      <c r="D439" s="78">
        <v>53.96</v>
      </c>
      <c r="E439" s="663">
        <v>2</v>
      </c>
      <c r="H439" s="178">
        <v>53.96</v>
      </c>
      <c r="J439" s="294"/>
      <c r="K439" s="295"/>
      <c r="L439" s="72"/>
      <c r="M439" s="133"/>
      <c r="N439" s="72"/>
      <c r="O439" s="224"/>
      <c r="P439" s="219"/>
      <c r="Q439" s="84"/>
      <c r="S439" s="136"/>
      <c r="T439" s="136"/>
    </row>
    <row r="440" spans="1:22">
      <c r="A440" s="71" t="s">
        <v>41651</v>
      </c>
      <c r="B440" s="67" t="s">
        <v>41652</v>
      </c>
      <c r="C440" s="71" t="s">
        <v>103</v>
      </c>
      <c r="D440" s="78">
        <v>49.75</v>
      </c>
      <c r="E440" s="663">
        <v>2</v>
      </c>
      <c r="H440" s="721">
        <v>49.75</v>
      </c>
      <c r="J440" s="294"/>
      <c r="K440" s="295"/>
      <c r="M440" s="72"/>
      <c r="N440" s="133"/>
      <c r="O440" s="72"/>
      <c r="P440" s="224"/>
      <c r="Q440" s="219"/>
      <c r="T440" s="136"/>
      <c r="V440" s="136"/>
    </row>
    <row r="441" spans="1:22">
      <c r="A441" s="71" t="s">
        <v>41653</v>
      </c>
      <c r="B441" s="67" t="s">
        <v>41654</v>
      </c>
      <c r="C441" s="71" t="s">
        <v>103</v>
      </c>
      <c r="D441" s="78">
        <v>29.72</v>
      </c>
      <c r="E441" s="663">
        <v>2</v>
      </c>
      <c r="H441" s="721">
        <v>29.72</v>
      </c>
      <c r="J441" s="294"/>
      <c r="K441" s="295"/>
      <c r="M441" s="72"/>
      <c r="N441" s="133"/>
      <c r="O441" s="72"/>
      <c r="P441" s="224"/>
      <c r="Q441" s="219"/>
      <c r="T441" s="136"/>
      <c r="V441" s="136"/>
    </row>
    <row r="442" spans="1:22">
      <c r="A442" s="71" t="s">
        <v>41655</v>
      </c>
      <c r="B442" s="67" t="s">
        <v>41656</v>
      </c>
      <c r="C442" s="71" t="s">
        <v>103</v>
      </c>
      <c r="D442" s="78">
        <v>17.239999999999998</v>
      </c>
      <c r="E442" s="663">
        <v>2</v>
      </c>
      <c r="H442" s="721">
        <v>17.239999999999998</v>
      </c>
      <c r="J442" s="294"/>
      <c r="K442" s="295"/>
      <c r="M442" s="72"/>
      <c r="N442" s="133"/>
      <c r="O442" s="72"/>
      <c r="P442" s="224"/>
      <c r="Q442" s="219"/>
      <c r="T442" s="136"/>
      <c r="V442" s="136"/>
    </row>
    <row r="443" spans="1:22">
      <c r="A443" s="71" t="s">
        <v>6799</v>
      </c>
      <c r="B443" s="67" t="s">
        <v>6800</v>
      </c>
      <c r="C443" s="71" t="s">
        <v>103</v>
      </c>
      <c r="D443" s="78">
        <v>3.81</v>
      </c>
      <c r="E443" s="663">
        <v>2</v>
      </c>
      <c r="H443" s="178">
        <v>3.81</v>
      </c>
      <c r="J443" s="294"/>
      <c r="K443" s="295"/>
      <c r="L443" s="72"/>
      <c r="M443" s="133"/>
      <c r="N443" s="72"/>
      <c r="O443" s="224"/>
      <c r="P443" s="219"/>
      <c r="Q443" s="84"/>
      <c r="S443" s="136"/>
      <c r="T443" s="136"/>
      <c r="V443" s="136"/>
    </row>
    <row r="444" spans="1:22">
      <c r="A444" s="71" t="s">
        <v>6801</v>
      </c>
      <c r="B444" s="67" t="s">
        <v>6802</v>
      </c>
      <c r="C444" s="71" t="s">
        <v>103</v>
      </c>
      <c r="D444" s="78">
        <v>68.599999999999994</v>
      </c>
      <c r="E444" s="663">
        <v>2</v>
      </c>
      <c r="H444" s="178">
        <v>68.599999999999994</v>
      </c>
      <c r="J444" s="294"/>
      <c r="K444" s="295"/>
      <c r="L444" s="72"/>
      <c r="M444" s="133"/>
      <c r="N444" s="72"/>
      <c r="O444" s="224"/>
      <c r="P444" s="219"/>
      <c r="Q444" s="84"/>
      <c r="S444" s="136"/>
      <c r="T444" s="136"/>
      <c r="V444" s="136"/>
    </row>
    <row r="445" spans="1:22">
      <c r="A445" s="71" t="s">
        <v>6803</v>
      </c>
      <c r="B445" s="67" t="s">
        <v>6804</v>
      </c>
      <c r="C445" s="71" t="s">
        <v>103</v>
      </c>
      <c r="D445" s="78">
        <v>42.16</v>
      </c>
      <c r="E445" s="663">
        <v>2</v>
      </c>
      <c r="H445" s="178">
        <v>42.16</v>
      </c>
      <c r="J445" s="294"/>
      <c r="K445" s="295"/>
      <c r="L445" s="72"/>
      <c r="M445" s="133"/>
      <c r="N445" s="72"/>
      <c r="O445" s="224"/>
      <c r="P445" s="219"/>
      <c r="Q445" s="84"/>
      <c r="S445" s="136"/>
      <c r="T445" s="136"/>
      <c r="V445" s="136"/>
    </row>
    <row r="446" spans="1:22">
      <c r="A446" s="71" t="s">
        <v>6805</v>
      </c>
      <c r="B446" s="67" t="s">
        <v>6806</v>
      </c>
      <c r="C446" s="71" t="s">
        <v>103</v>
      </c>
      <c r="D446" s="78">
        <v>211.11</v>
      </c>
      <c r="E446" s="663">
        <v>2</v>
      </c>
      <c r="H446" s="178">
        <v>211.11</v>
      </c>
      <c r="J446" s="294"/>
      <c r="K446" s="295"/>
      <c r="L446" s="72"/>
      <c r="M446" s="133"/>
      <c r="N446" s="72"/>
      <c r="O446" s="224"/>
      <c r="P446" s="219"/>
      <c r="Q446" s="84"/>
      <c r="S446" s="136"/>
      <c r="T446" s="136"/>
      <c r="V446" s="136"/>
    </row>
    <row r="447" spans="1:22">
      <c r="A447" s="71" t="s">
        <v>6807</v>
      </c>
      <c r="B447" s="67" t="s">
        <v>6808</v>
      </c>
      <c r="C447" s="71" t="s">
        <v>6786</v>
      </c>
      <c r="D447" s="78">
        <v>61.59</v>
      </c>
      <c r="E447" s="663">
        <v>2</v>
      </c>
      <c r="H447" s="178">
        <v>61.59</v>
      </c>
      <c r="J447" s="294"/>
      <c r="K447" s="295"/>
      <c r="L447" s="72"/>
      <c r="M447" s="133"/>
      <c r="N447" s="72"/>
      <c r="O447" s="224"/>
      <c r="P447" s="219"/>
      <c r="Q447" s="84"/>
      <c r="S447" s="136"/>
      <c r="T447" s="136"/>
      <c r="V447" s="136"/>
    </row>
    <row r="448" spans="1:22">
      <c r="A448" s="71" t="s">
        <v>6809</v>
      </c>
      <c r="B448" s="67" t="s">
        <v>6810</v>
      </c>
      <c r="C448" s="71" t="s">
        <v>6786</v>
      </c>
      <c r="D448" s="78">
        <v>231.66</v>
      </c>
      <c r="E448" s="663">
        <v>2</v>
      </c>
      <c r="H448" s="178">
        <v>231.66</v>
      </c>
      <c r="J448" s="294"/>
      <c r="K448" s="295"/>
      <c r="L448" s="72"/>
      <c r="M448" s="133"/>
      <c r="N448" s="72"/>
      <c r="O448" s="224"/>
      <c r="P448" s="219"/>
      <c r="Q448" s="84"/>
      <c r="S448" s="136"/>
      <c r="T448" s="136"/>
      <c r="V448" s="136"/>
    </row>
    <row r="449" spans="1:36">
      <c r="A449" s="71" t="s">
        <v>6811</v>
      </c>
      <c r="B449" s="67" t="s">
        <v>6812</v>
      </c>
      <c r="C449" s="71" t="s">
        <v>103</v>
      </c>
      <c r="D449" s="78">
        <v>47.51</v>
      </c>
      <c r="E449" s="663">
        <v>2</v>
      </c>
      <c r="H449" s="178">
        <v>47.51</v>
      </c>
      <c r="J449" s="294"/>
      <c r="K449" s="295"/>
      <c r="L449" s="72"/>
      <c r="M449" s="133"/>
      <c r="N449" s="72"/>
      <c r="O449" s="224"/>
      <c r="P449" s="219"/>
      <c r="Q449" s="84"/>
      <c r="S449" s="136"/>
      <c r="T449" s="136"/>
    </row>
    <row r="450" spans="1:36">
      <c r="A450" s="71" t="s">
        <v>6813</v>
      </c>
      <c r="B450" s="67" t="s">
        <v>6814</v>
      </c>
      <c r="C450" s="71" t="s">
        <v>103</v>
      </c>
      <c r="D450" s="78">
        <v>33.9</v>
      </c>
      <c r="E450" s="663">
        <v>2</v>
      </c>
      <c r="H450" s="178">
        <v>33.9</v>
      </c>
      <c r="J450" s="294"/>
      <c r="K450" s="295"/>
      <c r="L450" s="72"/>
      <c r="M450" s="133"/>
      <c r="N450" s="72"/>
      <c r="O450" s="224"/>
      <c r="P450" s="219"/>
      <c r="Q450" s="84"/>
      <c r="S450" s="136"/>
      <c r="T450" s="136"/>
    </row>
    <row r="451" spans="1:36">
      <c r="A451" s="71" t="s">
        <v>6815</v>
      </c>
      <c r="B451" s="67" t="s">
        <v>6816</v>
      </c>
      <c r="C451" s="71" t="s">
        <v>103</v>
      </c>
      <c r="D451" s="78">
        <v>0.99</v>
      </c>
      <c r="E451" s="663">
        <v>2</v>
      </c>
      <c r="H451" s="178">
        <v>0.99</v>
      </c>
      <c r="J451" s="294"/>
      <c r="K451" s="295"/>
      <c r="L451" s="72"/>
      <c r="M451" s="133"/>
      <c r="N451" s="72"/>
      <c r="O451" s="224"/>
      <c r="P451" s="219"/>
      <c r="Q451" s="84"/>
      <c r="S451" s="136"/>
      <c r="T451" s="136"/>
      <c r="V451" s="136"/>
    </row>
    <row r="452" spans="1:36">
      <c r="A452" s="71" t="s">
        <v>6817</v>
      </c>
      <c r="B452" s="67" t="s">
        <v>6818</v>
      </c>
      <c r="C452" s="71" t="s">
        <v>396</v>
      </c>
      <c r="D452" s="78">
        <v>1.07</v>
      </c>
      <c r="E452" s="663">
        <v>3</v>
      </c>
      <c r="H452" s="179">
        <v>1.07</v>
      </c>
      <c r="J452" s="294"/>
      <c r="K452" s="295"/>
      <c r="L452" s="72"/>
      <c r="M452" s="133"/>
      <c r="N452" s="72"/>
      <c r="O452" s="139"/>
      <c r="P452" s="219"/>
      <c r="Q452" s="84"/>
      <c r="S452" s="137"/>
      <c r="T452" s="137"/>
      <c r="V452" s="137"/>
    </row>
    <row r="453" spans="1:36">
      <c r="A453" s="71" t="s">
        <v>44192</v>
      </c>
      <c r="B453" s="67" t="s">
        <v>44193</v>
      </c>
      <c r="C453" s="71" t="s">
        <v>103</v>
      </c>
      <c r="D453" s="78">
        <v>0.69</v>
      </c>
      <c r="E453" s="663">
        <v>2</v>
      </c>
      <c r="H453" s="178">
        <v>0.69</v>
      </c>
      <c r="J453" s="723"/>
      <c r="K453" s="724"/>
      <c r="L453" s="725"/>
      <c r="M453" s="726"/>
      <c r="N453" s="725"/>
      <c r="O453" s="727"/>
      <c r="P453" s="728"/>
      <c r="Q453" s="729"/>
      <c r="R453" s="729"/>
      <c r="S453" s="730"/>
      <c r="T453" s="730"/>
      <c r="U453" s="729"/>
      <c r="V453" s="729"/>
      <c r="W453" s="729"/>
      <c r="X453" s="729"/>
      <c r="Y453" s="729"/>
      <c r="Z453" s="729"/>
      <c r="AA453" s="729"/>
      <c r="AB453" s="729"/>
      <c r="AC453" s="729"/>
      <c r="AD453" s="729"/>
      <c r="AE453" s="729"/>
      <c r="AF453" s="729"/>
      <c r="AG453" s="729"/>
      <c r="AH453" s="729"/>
      <c r="AI453" s="729"/>
      <c r="AJ453" s="729"/>
    </row>
    <row r="454" spans="1:36">
      <c r="A454" s="71" t="s">
        <v>44194</v>
      </c>
      <c r="B454" s="67" t="s">
        <v>44195</v>
      </c>
      <c r="C454" s="71" t="s">
        <v>103</v>
      </c>
      <c r="D454" s="78">
        <v>0.72</v>
      </c>
      <c r="E454" s="663">
        <v>2</v>
      </c>
      <c r="H454" s="178">
        <v>0.72</v>
      </c>
      <c r="J454" s="723"/>
      <c r="K454" s="724"/>
      <c r="L454" s="725"/>
      <c r="M454" s="726"/>
      <c r="N454" s="725"/>
      <c r="O454" s="727"/>
      <c r="P454" s="728"/>
      <c r="Q454" s="729"/>
      <c r="R454" s="729"/>
      <c r="S454" s="730"/>
      <c r="T454" s="730"/>
      <c r="U454" s="729"/>
      <c r="V454" s="729"/>
      <c r="W454" s="729"/>
      <c r="X454" s="729"/>
      <c r="Y454" s="729"/>
      <c r="Z454" s="729"/>
      <c r="AA454" s="729"/>
      <c r="AB454" s="729"/>
      <c r="AC454" s="729"/>
      <c r="AD454" s="729"/>
      <c r="AE454" s="729"/>
      <c r="AF454" s="729"/>
      <c r="AG454" s="729"/>
      <c r="AH454" s="729"/>
      <c r="AI454" s="729"/>
      <c r="AJ454" s="729"/>
    </row>
    <row r="455" spans="1:36">
      <c r="A455" s="71" t="s">
        <v>6819</v>
      </c>
      <c r="B455" s="67" t="s">
        <v>6820</v>
      </c>
      <c r="C455" s="71" t="s">
        <v>207</v>
      </c>
      <c r="D455" s="78">
        <v>10.029999999999999</v>
      </c>
      <c r="E455" s="663">
        <v>2</v>
      </c>
      <c r="H455" s="178">
        <v>10.029999999999999</v>
      </c>
      <c r="J455" s="294"/>
      <c r="K455" s="295"/>
      <c r="L455" s="72"/>
      <c r="M455" s="133"/>
      <c r="N455" s="72"/>
      <c r="O455" s="224"/>
      <c r="P455" s="219"/>
      <c r="Q455" s="84"/>
      <c r="S455" s="136"/>
      <c r="T455" s="136"/>
    </row>
    <row r="456" spans="1:36">
      <c r="A456" s="71" t="s">
        <v>6821</v>
      </c>
      <c r="B456" s="67" t="s">
        <v>6822</v>
      </c>
      <c r="C456" s="71" t="s">
        <v>103</v>
      </c>
      <c r="D456" s="78">
        <v>4.37</v>
      </c>
      <c r="E456" s="663">
        <v>2</v>
      </c>
      <c r="H456" s="178">
        <v>4.37</v>
      </c>
      <c r="J456" s="294"/>
      <c r="K456" s="295"/>
      <c r="L456" s="72"/>
      <c r="M456" s="133"/>
      <c r="N456" s="72"/>
      <c r="O456" s="224"/>
      <c r="P456" s="219"/>
      <c r="Q456" s="84"/>
      <c r="S456" s="136"/>
      <c r="T456" s="136"/>
      <c r="V456" s="136"/>
    </row>
    <row r="457" spans="1:36">
      <c r="A457" s="71" t="s">
        <v>6823</v>
      </c>
      <c r="B457" s="67" t="s">
        <v>6824</v>
      </c>
      <c r="C457" s="71" t="s">
        <v>165</v>
      </c>
      <c r="D457" s="78">
        <v>20.07</v>
      </c>
      <c r="E457" s="663">
        <v>2</v>
      </c>
      <c r="H457" s="178">
        <v>20.07</v>
      </c>
      <c r="J457" s="294"/>
      <c r="K457" s="295"/>
      <c r="L457" s="72"/>
      <c r="M457" s="133"/>
      <c r="N457" s="72"/>
      <c r="O457" s="224"/>
      <c r="P457" s="219"/>
      <c r="Q457" s="84"/>
      <c r="S457" s="136"/>
      <c r="T457" s="136"/>
    </row>
    <row r="458" spans="1:36">
      <c r="A458" s="71" t="s">
        <v>6825</v>
      </c>
      <c r="B458" s="67" t="s">
        <v>6826</v>
      </c>
      <c r="C458" s="71" t="s">
        <v>396</v>
      </c>
      <c r="D458" s="78">
        <v>0.15</v>
      </c>
      <c r="E458" s="663">
        <v>2</v>
      </c>
      <c r="H458" s="178">
        <v>0.15</v>
      </c>
      <c r="J458" s="294"/>
      <c r="K458" s="295"/>
      <c r="L458" s="72"/>
      <c r="M458" s="133"/>
      <c r="N458" s="72"/>
      <c r="O458" s="224"/>
      <c r="P458" s="219"/>
      <c r="Q458" s="84"/>
      <c r="S458" s="136"/>
      <c r="T458" s="136"/>
    </row>
    <row r="459" spans="1:36">
      <c r="A459" s="71" t="s">
        <v>6827</v>
      </c>
      <c r="B459" s="67" t="s">
        <v>6828</v>
      </c>
      <c r="C459" s="71" t="s">
        <v>103</v>
      </c>
      <c r="D459" s="78">
        <v>0.06</v>
      </c>
      <c r="E459" s="663">
        <v>2</v>
      </c>
      <c r="H459" s="178">
        <v>0.06</v>
      </c>
      <c r="J459" s="294"/>
      <c r="K459" s="295"/>
      <c r="L459" s="72"/>
      <c r="M459" s="133"/>
      <c r="N459" s="72"/>
      <c r="O459" s="224"/>
      <c r="P459" s="219"/>
      <c r="Q459" s="84"/>
      <c r="S459" s="136"/>
      <c r="T459" s="136"/>
    </row>
    <row r="460" spans="1:36">
      <c r="A460" s="71" t="s">
        <v>6829</v>
      </c>
      <c r="B460" s="67" t="s">
        <v>6830</v>
      </c>
      <c r="C460" s="71" t="s">
        <v>165</v>
      </c>
      <c r="D460" s="78">
        <v>16.61</v>
      </c>
      <c r="E460" s="663">
        <v>2</v>
      </c>
      <c r="H460" s="178">
        <v>16.61</v>
      </c>
      <c r="J460" s="294"/>
      <c r="K460" s="295"/>
      <c r="L460" s="72"/>
      <c r="M460" s="133"/>
      <c r="N460" s="72"/>
      <c r="O460" s="224"/>
      <c r="P460" s="219"/>
      <c r="Q460" s="84"/>
      <c r="S460" s="136"/>
      <c r="T460" s="136"/>
      <c r="V460" s="136"/>
    </row>
    <row r="461" spans="1:36">
      <c r="A461" s="71" t="s">
        <v>6831</v>
      </c>
      <c r="B461" s="67" t="s">
        <v>6832</v>
      </c>
      <c r="C461" s="71" t="s">
        <v>103</v>
      </c>
      <c r="D461" s="78">
        <v>0.52</v>
      </c>
      <c r="E461" s="663">
        <v>2</v>
      </c>
      <c r="H461" s="178">
        <v>0.52</v>
      </c>
      <c r="J461" s="294"/>
      <c r="K461" s="295"/>
      <c r="L461" s="72"/>
      <c r="M461" s="133"/>
      <c r="N461" s="72"/>
      <c r="O461" s="224"/>
      <c r="P461" s="219"/>
      <c r="Q461" s="84"/>
      <c r="S461" s="136"/>
      <c r="T461" s="136"/>
    </row>
    <row r="462" spans="1:36">
      <c r="A462" s="71" t="s">
        <v>6833</v>
      </c>
      <c r="B462" s="67" t="s">
        <v>6834</v>
      </c>
      <c r="C462" s="71" t="s">
        <v>165</v>
      </c>
      <c r="D462" s="78">
        <v>34.020000000000003</v>
      </c>
      <c r="E462" s="663">
        <v>2</v>
      </c>
      <c r="H462" s="178">
        <v>34.020000000000003</v>
      </c>
      <c r="J462" s="294"/>
      <c r="K462" s="295"/>
      <c r="L462" s="72"/>
      <c r="M462" s="133"/>
      <c r="N462" s="72"/>
      <c r="O462" s="224"/>
      <c r="P462" s="219"/>
      <c r="Q462" s="84"/>
      <c r="S462" s="136"/>
      <c r="T462" s="136"/>
      <c r="V462" s="136"/>
    </row>
    <row r="463" spans="1:36">
      <c r="A463" s="71" t="s">
        <v>6835</v>
      </c>
      <c r="B463" s="67" t="s">
        <v>6836</v>
      </c>
      <c r="C463" s="71" t="s">
        <v>103</v>
      </c>
      <c r="D463" s="78">
        <v>0.31</v>
      </c>
      <c r="E463" s="663">
        <v>2</v>
      </c>
      <c r="H463" s="178">
        <v>0.31</v>
      </c>
      <c r="J463" s="294"/>
      <c r="K463" s="295"/>
      <c r="L463" s="72"/>
      <c r="M463" s="133"/>
      <c r="N463" s="72"/>
      <c r="O463" s="224"/>
      <c r="P463" s="219"/>
      <c r="Q463" s="84"/>
      <c r="S463" s="136"/>
      <c r="T463" s="136"/>
    </row>
    <row r="464" spans="1:36">
      <c r="A464" s="71" t="s">
        <v>6837</v>
      </c>
      <c r="B464" s="67" t="s">
        <v>6838</v>
      </c>
      <c r="C464" s="71" t="s">
        <v>207</v>
      </c>
      <c r="D464" s="78">
        <v>27.88</v>
      </c>
      <c r="E464" s="663">
        <v>2</v>
      </c>
      <c r="H464" s="178">
        <v>27.88</v>
      </c>
      <c r="J464" s="294"/>
      <c r="K464" s="295"/>
      <c r="L464" s="72"/>
      <c r="M464" s="133"/>
      <c r="N464" s="72"/>
      <c r="O464" s="224"/>
      <c r="P464" s="219"/>
      <c r="Q464" s="84"/>
      <c r="S464" s="136"/>
      <c r="T464" s="136"/>
      <c r="V464" s="136"/>
    </row>
    <row r="465" spans="1:22">
      <c r="A465" s="71" t="s">
        <v>6839</v>
      </c>
      <c r="B465" s="67" t="s">
        <v>6840</v>
      </c>
      <c r="C465" s="71" t="s">
        <v>103</v>
      </c>
      <c r="D465" s="78">
        <v>0.87</v>
      </c>
      <c r="E465" s="663">
        <v>2</v>
      </c>
      <c r="H465" s="178">
        <v>0.87</v>
      </c>
      <c r="J465" s="294"/>
      <c r="K465" s="295"/>
      <c r="L465" s="72"/>
      <c r="M465" s="133"/>
      <c r="N465" s="72"/>
      <c r="O465" s="224"/>
      <c r="P465" s="219"/>
      <c r="Q465" s="84"/>
      <c r="S465" s="136"/>
      <c r="T465" s="136"/>
    </row>
    <row r="466" spans="1:22">
      <c r="A466" s="71" t="s">
        <v>6841</v>
      </c>
      <c r="B466" s="67" t="s">
        <v>6842</v>
      </c>
      <c r="C466" s="71" t="s">
        <v>103</v>
      </c>
      <c r="D466" s="78">
        <v>1.03</v>
      </c>
      <c r="E466" s="663">
        <v>2</v>
      </c>
      <c r="H466" s="178">
        <v>1.03</v>
      </c>
      <c r="J466" s="294"/>
      <c r="K466" s="295"/>
      <c r="L466" s="72"/>
      <c r="M466" s="133"/>
      <c r="N466" s="72"/>
      <c r="O466" s="224"/>
      <c r="P466" s="219"/>
      <c r="Q466" s="84"/>
      <c r="S466" s="136"/>
      <c r="T466" s="136"/>
    </row>
    <row r="467" spans="1:22">
      <c r="A467" s="71" t="s">
        <v>6843</v>
      </c>
      <c r="B467" s="67" t="s">
        <v>6844</v>
      </c>
      <c r="C467" s="71" t="s">
        <v>165</v>
      </c>
      <c r="D467" s="78">
        <v>15.66</v>
      </c>
      <c r="E467" s="663">
        <v>2</v>
      </c>
      <c r="H467" s="178">
        <v>15.66</v>
      </c>
      <c r="J467" s="294"/>
      <c r="K467" s="295"/>
      <c r="L467" s="72"/>
      <c r="M467" s="133"/>
      <c r="N467" s="72"/>
      <c r="O467" s="224"/>
      <c r="P467" s="219"/>
      <c r="Q467" s="84"/>
      <c r="S467" s="136"/>
      <c r="T467" s="136"/>
      <c r="V467" s="136"/>
    </row>
    <row r="468" spans="1:22">
      <c r="A468" s="71" t="s">
        <v>6845</v>
      </c>
      <c r="B468" s="67" t="s">
        <v>6846</v>
      </c>
      <c r="C468" s="71" t="s">
        <v>165</v>
      </c>
      <c r="D468" s="78">
        <v>16.239999999999998</v>
      </c>
      <c r="E468" s="663">
        <v>2</v>
      </c>
      <c r="H468" s="178">
        <v>16.239999999999998</v>
      </c>
      <c r="J468" s="294"/>
      <c r="K468" s="295"/>
      <c r="L468" s="72"/>
      <c r="M468" s="133"/>
      <c r="N468" s="72"/>
      <c r="O468" s="224"/>
      <c r="P468" s="219"/>
      <c r="Q468" s="84"/>
      <c r="S468" s="136"/>
      <c r="T468" s="136"/>
      <c r="V468" s="136"/>
    </row>
    <row r="469" spans="1:22">
      <c r="A469" s="71" t="s">
        <v>6847</v>
      </c>
      <c r="B469" s="67" t="s">
        <v>6848</v>
      </c>
      <c r="C469" s="71" t="s">
        <v>165</v>
      </c>
      <c r="D469" s="78">
        <v>6.72</v>
      </c>
      <c r="E469" s="663">
        <v>2</v>
      </c>
      <c r="H469" s="178">
        <v>6.72</v>
      </c>
      <c r="J469" s="294"/>
      <c r="K469" s="295"/>
      <c r="L469" s="72"/>
      <c r="M469" s="133"/>
      <c r="N469" s="72"/>
      <c r="O469" s="224"/>
      <c r="P469" s="219"/>
      <c r="Q469" s="84"/>
      <c r="S469" s="136"/>
      <c r="T469" s="136"/>
      <c r="V469" s="136"/>
    </row>
    <row r="470" spans="1:22">
      <c r="A470" s="71" t="s">
        <v>6849</v>
      </c>
      <c r="B470" s="67" t="s">
        <v>6850</v>
      </c>
      <c r="C470" s="71" t="s">
        <v>103</v>
      </c>
      <c r="D470" s="78">
        <v>1.82</v>
      </c>
      <c r="E470" s="663">
        <v>2</v>
      </c>
      <c r="H470" s="178">
        <v>1.82</v>
      </c>
      <c r="J470" s="294"/>
      <c r="K470" s="295"/>
      <c r="L470" s="72"/>
      <c r="M470" s="133"/>
      <c r="N470" s="72"/>
      <c r="O470" s="224"/>
      <c r="P470" s="219"/>
      <c r="Q470" s="84"/>
      <c r="S470" s="136"/>
      <c r="T470" s="136"/>
    </row>
    <row r="471" spans="1:22">
      <c r="A471" s="71" t="s">
        <v>6851</v>
      </c>
      <c r="B471" s="67" t="s">
        <v>6852</v>
      </c>
      <c r="C471" s="71" t="s">
        <v>103</v>
      </c>
      <c r="D471" s="78">
        <v>1.55</v>
      </c>
      <c r="E471" s="663">
        <v>2</v>
      </c>
      <c r="H471" s="178">
        <v>1.55</v>
      </c>
      <c r="J471" s="294"/>
      <c r="K471" s="295"/>
      <c r="L471" s="72"/>
      <c r="M471" s="133"/>
      <c r="N471" s="72"/>
      <c r="O471" s="224"/>
      <c r="P471" s="219"/>
      <c r="Q471" s="84"/>
      <c r="S471" s="136"/>
      <c r="T471" s="136"/>
    </row>
    <row r="472" spans="1:22">
      <c r="A472" s="71" t="s">
        <v>6853</v>
      </c>
      <c r="B472" s="67" t="s">
        <v>6854</v>
      </c>
      <c r="C472" s="71" t="s">
        <v>103</v>
      </c>
      <c r="D472" s="78">
        <v>1.89</v>
      </c>
      <c r="E472" s="663">
        <v>2</v>
      </c>
      <c r="H472" s="178">
        <v>1.89</v>
      </c>
      <c r="J472" s="294"/>
      <c r="K472" s="295"/>
      <c r="L472" s="72"/>
      <c r="M472" s="133"/>
      <c r="N472" s="72"/>
      <c r="O472" s="224"/>
      <c r="P472" s="219"/>
      <c r="Q472" s="84"/>
      <c r="S472" s="136"/>
      <c r="T472" s="136"/>
    </row>
    <row r="473" spans="1:22">
      <c r="A473" s="71" t="s">
        <v>6855</v>
      </c>
      <c r="B473" s="67" t="s">
        <v>6856</v>
      </c>
      <c r="C473" s="71" t="s">
        <v>509</v>
      </c>
      <c r="D473" s="78">
        <v>185.23</v>
      </c>
      <c r="E473" s="663">
        <v>2</v>
      </c>
      <c r="H473" s="178">
        <v>185.23</v>
      </c>
      <c r="J473" s="294"/>
      <c r="K473" s="295"/>
      <c r="L473" s="72"/>
      <c r="M473" s="133"/>
      <c r="N473" s="72"/>
      <c r="O473" s="224"/>
      <c r="P473" s="219"/>
      <c r="Q473" s="84"/>
      <c r="S473" s="136"/>
      <c r="T473" s="136"/>
      <c r="V473" s="136"/>
    </row>
    <row r="474" spans="1:22">
      <c r="A474" s="71" t="s">
        <v>6857</v>
      </c>
      <c r="B474" s="67" t="s">
        <v>6858</v>
      </c>
      <c r="C474" s="71" t="s">
        <v>165</v>
      </c>
      <c r="D474" s="78">
        <v>17.73</v>
      </c>
      <c r="E474" s="663">
        <v>2</v>
      </c>
      <c r="H474" s="178">
        <v>17.73</v>
      </c>
      <c r="J474" s="294"/>
      <c r="K474" s="295"/>
      <c r="L474" s="72"/>
      <c r="M474" s="133"/>
      <c r="N474" s="72"/>
      <c r="O474" s="224"/>
      <c r="P474" s="219"/>
      <c r="Q474" s="84"/>
      <c r="S474" s="136"/>
      <c r="T474" s="136"/>
      <c r="V474" s="136"/>
    </row>
    <row r="475" spans="1:22">
      <c r="A475" s="71" t="s">
        <v>6859</v>
      </c>
      <c r="B475" s="67" t="s">
        <v>6860</v>
      </c>
      <c r="C475" s="71" t="s">
        <v>103</v>
      </c>
      <c r="D475" s="78">
        <v>1.58</v>
      </c>
      <c r="E475" s="663">
        <v>2</v>
      </c>
      <c r="H475" s="178">
        <v>1.58</v>
      </c>
      <c r="J475" s="294"/>
      <c r="K475" s="295"/>
      <c r="L475" s="72"/>
      <c r="M475" s="133"/>
      <c r="N475" s="72"/>
      <c r="O475" s="224"/>
      <c r="P475" s="219"/>
      <c r="Q475" s="84"/>
      <c r="S475" s="136"/>
      <c r="T475" s="136"/>
      <c r="V475" s="136"/>
    </row>
    <row r="476" spans="1:22">
      <c r="A476" s="71" t="s">
        <v>6861</v>
      </c>
      <c r="B476" s="67" t="s">
        <v>6862</v>
      </c>
      <c r="C476" s="71" t="s">
        <v>103</v>
      </c>
      <c r="D476" s="78">
        <v>2.5099999999999998</v>
      </c>
      <c r="E476" s="663">
        <v>2</v>
      </c>
      <c r="H476" s="178">
        <v>2.5099999999999998</v>
      </c>
      <c r="J476" s="294"/>
      <c r="K476" s="295"/>
      <c r="L476" s="72"/>
      <c r="M476" s="133"/>
      <c r="N476" s="72"/>
      <c r="O476" s="224"/>
      <c r="P476" s="219"/>
      <c r="Q476" s="84"/>
      <c r="S476" s="136"/>
      <c r="T476" s="136"/>
      <c r="V476" s="136"/>
    </row>
    <row r="477" spans="1:22">
      <c r="A477" s="71" t="s">
        <v>6863</v>
      </c>
      <c r="B477" s="67" t="s">
        <v>6864</v>
      </c>
      <c r="C477" s="71" t="s">
        <v>103</v>
      </c>
      <c r="D477" s="78">
        <v>0.73</v>
      </c>
      <c r="E477" s="663">
        <v>2</v>
      </c>
      <c r="H477" s="178">
        <v>0.73</v>
      </c>
      <c r="J477" s="294"/>
      <c r="K477" s="295"/>
      <c r="L477" s="72"/>
      <c r="M477" s="133"/>
      <c r="N477" s="72"/>
      <c r="O477" s="224"/>
      <c r="P477" s="219"/>
      <c r="Q477" s="84"/>
      <c r="S477" s="136"/>
      <c r="T477" s="136"/>
      <c r="V477" s="136"/>
    </row>
    <row r="478" spans="1:22">
      <c r="A478" s="71" t="s">
        <v>6865</v>
      </c>
      <c r="B478" s="67" t="s">
        <v>6866</v>
      </c>
      <c r="C478" s="71" t="s">
        <v>165</v>
      </c>
      <c r="D478" s="78">
        <v>3.63</v>
      </c>
      <c r="E478" s="663">
        <v>2</v>
      </c>
      <c r="H478" s="178">
        <v>3.63</v>
      </c>
      <c r="J478" s="294"/>
      <c r="K478" s="295"/>
      <c r="L478" s="72"/>
      <c r="M478" s="133"/>
      <c r="N478" s="72"/>
      <c r="O478" s="224"/>
      <c r="P478" s="219"/>
      <c r="Q478" s="84"/>
      <c r="S478" s="136"/>
      <c r="T478" s="136"/>
      <c r="V478" s="136"/>
    </row>
    <row r="479" spans="1:22">
      <c r="A479" s="71" t="s">
        <v>6867</v>
      </c>
      <c r="B479" s="67" t="s">
        <v>6868</v>
      </c>
      <c r="C479" s="71" t="s">
        <v>207</v>
      </c>
      <c r="D479" s="78">
        <v>38.770000000000003</v>
      </c>
      <c r="E479" s="663">
        <v>2</v>
      </c>
      <c r="H479" s="178">
        <v>38.770000000000003</v>
      </c>
      <c r="J479" s="294"/>
      <c r="K479" s="295"/>
      <c r="L479" s="72"/>
      <c r="M479" s="133"/>
      <c r="N479" s="72"/>
      <c r="O479" s="224"/>
      <c r="P479" s="219"/>
      <c r="Q479" s="84"/>
      <c r="S479" s="136"/>
      <c r="T479" s="136"/>
    </row>
    <row r="480" spans="1:22">
      <c r="A480" s="71" t="s">
        <v>6869</v>
      </c>
      <c r="B480" s="67" t="s">
        <v>6870</v>
      </c>
      <c r="C480" s="71" t="s">
        <v>207</v>
      </c>
      <c r="D480" s="78">
        <v>8.5500000000000007</v>
      </c>
      <c r="E480" s="663">
        <v>2</v>
      </c>
      <c r="H480" s="178">
        <v>8.5500000000000007</v>
      </c>
      <c r="J480" s="294"/>
      <c r="K480" s="295"/>
      <c r="L480" s="72"/>
      <c r="M480" s="133"/>
      <c r="N480" s="72"/>
      <c r="O480" s="224"/>
      <c r="P480" s="219"/>
      <c r="Q480" s="84"/>
      <c r="S480" s="136"/>
      <c r="T480" s="136"/>
      <c r="V480" s="136"/>
    </row>
    <row r="481" spans="1:22">
      <c r="A481" s="71" t="s">
        <v>6871</v>
      </c>
      <c r="B481" s="67" t="s">
        <v>6872</v>
      </c>
      <c r="C481" s="71" t="s">
        <v>165</v>
      </c>
      <c r="D481" s="78">
        <v>46.61</v>
      </c>
      <c r="E481" s="663">
        <v>2</v>
      </c>
      <c r="H481" s="178">
        <v>46.61</v>
      </c>
      <c r="J481" s="294"/>
      <c r="K481" s="295"/>
      <c r="L481" s="72"/>
      <c r="M481" s="133"/>
      <c r="N481" s="72"/>
      <c r="O481" s="224"/>
      <c r="P481" s="219"/>
      <c r="Q481" s="84"/>
      <c r="S481" s="136"/>
      <c r="T481" s="136"/>
    </row>
    <row r="482" spans="1:22">
      <c r="A482" s="71" t="s">
        <v>6873</v>
      </c>
      <c r="B482" s="67" t="s">
        <v>6874</v>
      </c>
      <c r="C482" s="71" t="s">
        <v>103</v>
      </c>
      <c r="D482" s="78">
        <v>0.37</v>
      </c>
      <c r="E482" s="663">
        <v>2</v>
      </c>
      <c r="H482" s="178">
        <v>0.37</v>
      </c>
      <c r="J482" s="294"/>
      <c r="K482" s="295"/>
      <c r="L482" s="72"/>
      <c r="M482" s="133"/>
      <c r="N482" s="72"/>
      <c r="O482" s="224"/>
      <c r="P482" s="219"/>
      <c r="Q482" s="84"/>
      <c r="S482" s="136"/>
      <c r="T482" s="136"/>
    </row>
    <row r="483" spans="1:22">
      <c r="A483" s="71" t="s">
        <v>6875</v>
      </c>
      <c r="B483" s="67" t="s">
        <v>6876</v>
      </c>
      <c r="C483" s="71" t="s">
        <v>165</v>
      </c>
      <c r="D483" s="78">
        <v>136.61000000000001</v>
      </c>
      <c r="E483" s="663">
        <v>2</v>
      </c>
      <c r="H483" s="178">
        <v>136.61000000000001</v>
      </c>
      <c r="J483" s="294"/>
      <c r="K483" s="295"/>
      <c r="L483" s="72"/>
      <c r="M483" s="133"/>
      <c r="N483" s="72"/>
      <c r="O483" s="224"/>
      <c r="P483" s="219"/>
      <c r="Q483" s="84"/>
      <c r="S483" s="136"/>
      <c r="T483" s="136"/>
      <c r="V483" s="136"/>
    </row>
    <row r="484" spans="1:22">
      <c r="A484" s="71" t="s">
        <v>6877</v>
      </c>
      <c r="B484" s="67" t="s">
        <v>6878</v>
      </c>
      <c r="C484" s="71" t="s">
        <v>103</v>
      </c>
      <c r="D484" s="78">
        <v>0.53</v>
      </c>
      <c r="E484" s="663">
        <v>2</v>
      </c>
      <c r="H484" s="178">
        <v>0.53</v>
      </c>
      <c r="J484" s="294"/>
      <c r="K484" s="295"/>
      <c r="L484" s="72"/>
      <c r="M484" s="133"/>
      <c r="N484" s="72"/>
      <c r="O484" s="224"/>
      <c r="P484" s="219"/>
      <c r="Q484" s="84"/>
      <c r="S484" s="136"/>
      <c r="T484" s="136"/>
    </row>
    <row r="485" spans="1:22">
      <c r="A485" s="71" t="s">
        <v>6879</v>
      </c>
      <c r="B485" s="67" t="s">
        <v>6880</v>
      </c>
      <c r="C485" s="71" t="s">
        <v>103</v>
      </c>
      <c r="D485" s="78">
        <v>2.06</v>
      </c>
      <c r="E485" s="663">
        <v>2</v>
      </c>
      <c r="H485" s="178">
        <v>2.06</v>
      </c>
      <c r="J485" s="294"/>
      <c r="K485" s="295"/>
      <c r="L485" s="72"/>
      <c r="M485" s="133"/>
      <c r="N485" s="72"/>
      <c r="O485" s="224"/>
      <c r="P485" s="219"/>
      <c r="Q485" s="84"/>
      <c r="S485" s="136"/>
      <c r="T485" s="136"/>
      <c r="V485" s="136"/>
    </row>
    <row r="486" spans="1:22">
      <c r="A486" s="71" t="s">
        <v>6881</v>
      </c>
      <c r="B486" s="67" t="s">
        <v>6882</v>
      </c>
      <c r="C486" s="71" t="s">
        <v>103</v>
      </c>
      <c r="D486" s="78">
        <v>11.74</v>
      </c>
      <c r="E486" s="663">
        <v>2</v>
      </c>
      <c r="H486" s="178">
        <v>11.74</v>
      </c>
      <c r="J486" s="294"/>
      <c r="K486" s="295"/>
      <c r="L486" s="72"/>
      <c r="M486" s="133"/>
      <c r="N486" s="72"/>
      <c r="O486" s="224"/>
      <c r="P486" s="219"/>
      <c r="Q486" s="84"/>
      <c r="S486" s="136"/>
      <c r="T486" s="136"/>
      <c r="V486" s="136"/>
    </row>
    <row r="487" spans="1:22">
      <c r="A487" s="71" t="s">
        <v>6883</v>
      </c>
      <c r="B487" s="67" t="s">
        <v>6884</v>
      </c>
      <c r="C487" s="71" t="s">
        <v>103</v>
      </c>
      <c r="D487" s="78">
        <v>1.84</v>
      </c>
      <c r="E487" s="663">
        <v>2</v>
      </c>
      <c r="H487" s="178">
        <v>1.84</v>
      </c>
      <c r="J487" s="294"/>
      <c r="K487" s="295"/>
      <c r="L487" s="72"/>
      <c r="M487" s="133"/>
      <c r="N487" s="72"/>
      <c r="O487" s="224"/>
      <c r="P487" s="219"/>
      <c r="Q487" s="84"/>
      <c r="S487" s="136"/>
      <c r="T487" s="136"/>
      <c r="V487" s="136"/>
    </row>
    <row r="488" spans="1:22">
      <c r="A488" s="71" t="s">
        <v>6885</v>
      </c>
      <c r="B488" s="67" t="s">
        <v>6886</v>
      </c>
      <c r="C488" s="71" t="s">
        <v>207</v>
      </c>
      <c r="D488" s="78">
        <v>9.83</v>
      </c>
      <c r="E488" s="663">
        <v>2</v>
      </c>
      <c r="H488" s="178">
        <v>9.83</v>
      </c>
      <c r="J488" s="294"/>
      <c r="K488" s="295"/>
      <c r="L488" s="72"/>
      <c r="M488" s="133"/>
      <c r="N488" s="72"/>
      <c r="O488" s="224"/>
      <c r="P488" s="219"/>
      <c r="Q488" s="84"/>
      <c r="S488" s="136"/>
      <c r="T488" s="136"/>
      <c r="V488" s="136"/>
    </row>
    <row r="489" spans="1:22">
      <c r="A489" s="71" t="s">
        <v>6887</v>
      </c>
      <c r="B489" s="67" t="s">
        <v>6888</v>
      </c>
      <c r="C489" s="71" t="s">
        <v>103</v>
      </c>
      <c r="D489" s="78">
        <v>18.079999999999998</v>
      </c>
      <c r="E489" s="663">
        <v>2</v>
      </c>
      <c r="H489" s="178">
        <v>18.079999999999998</v>
      </c>
      <c r="J489" s="294"/>
      <c r="K489" s="295"/>
      <c r="L489" s="72"/>
      <c r="M489" s="133"/>
      <c r="N489" s="72"/>
      <c r="O489" s="224"/>
      <c r="P489" s="219"/>
      <c r="Q489" s="84"/>
      <c r="S489" s="136"/>
      <c r="T489" s="136"/>
      <c r="V489" s="136"/>
    </row>
    <row r="490" spans="1:22">
      <c r="A490" s="71" t="s">
        <v>6889</v>
      </c>
      <c r="B490" s="67" t="s">
        <v>6890</v>
      </c>
      <c r="C490" s="71" t="s">
        <v>103</v>
      </c>
      <c r="D490" s="78">
        <v>1.57</v>
      </c>
      <c r="E490" s="663">
        <v>2</v>
      </c>
      <c r="H490" s="178">
        <v>1.57</v>
      </c>
      <c r="J490" s="294"/>
      <c r="K490" s="295"/>
      <c r="L490" s="72"/>
      <c r="M490" s="133"/>
      <c r="N490" s="72"/>
      <c r="O490" s="224"/>
      <c r="P490" s="219"/>
      <c r="Q490" s="84"/>
      <c r="S490" s="136"/>
      <c r="T490" s="136"/>
    </row>
    <row r="491" spans="1:22">
      <c r="A491" s="71" t="s">
        <v>6891</v>
      </c>
      <c r="B491" s="67" t="s">
        <v>6892</v>
      </c>
      <c r="C491" s="71" t="s">
        <v>103</v>
      </c>
      <c r="D491" s="78">
        <v>0.11</v>
      </c>
      <c r="E491" s="663">
        <v>2</v>
      </c>
      <c r="H491" s="178">
        <v>0.11</v>
      </c>
      <c r="J491" s="294"/>
      <c r="K491" s="295"/>
      <c r="L491" s="72"/>
      <c r="M491" s="133"/>
      <c r="N491" s="72"/>
      <c r="O491" s="224"/>
      <c r="P491" s="219"/>
      <c r="Q491" s="84"/>
      <c r="S491" s="136"/>
      <c r="T491" s="136"/>
    </row>
    <row r="492" spans="1:22">
      <c r="A492" s="71" t="s">
        <v>6893</v>
      </c>
      <c r="B492" s="67" t="s">
        <v>6894</v>
      </c>
      <c r="C492" s="71" t="s">
        <v>103</v>
      </c>
      <c r="D492" s="78">
        <v>0.56000000000000005</v>
      </c>
      <c r="E492" s="663">
        <v>2</v>
      </c>
      <c r="H492" s="178">
        <v>0.56000000000000005</v>
      </c>
      <c r="J492" s="294"/>
      <c r="K492" s="295"/>
      <c r="L492" s="72"/>
      <c r="M492" s="133"/>
      <c r="N492" s="72"/>
      <c r="O492" s="224"/>
      <c r="P492" s="219"/>
      <c r="Q492" s="84"/>
      <c r="S492" s="136"/>
      <c r="T492" s="136"/>
    </row>
    <row r="493" spans="1:22">
      <c r="A493" s="71" t="s">
        <v>6895</v>
      </c>
      <c r="B493" s="67" t="s">
        <v>6896</v>
      </c>
      <c r="C493" s="71" t="s">
        <v>103</v>
      </c>
      <c r="D493" s="78">
        <v>0.18</v>
      </c>
      <c r="E493" s="663">
        <v>2</v>
      </c>
      <c r="H493" s="178">
        <v>0.18</v>
      </c>
      <c r="J493" s="294"/>
      <c r="K493" s="295"/>
      <c r="L493" s="72"/>
      <c r="M493" s="133"/>
      <c r="N493" s="72"/>
      <c r="O493" s="224"/>
      <c r="P493" s="219"/>
      <c r="Q493" s="84"/>
      <c r="S493" s="136"/>
      <c r="T493" s="136"/>
    </row>
    <row r="494" spans="1:22">
      <c r="A494" s="71" t="s">
        <v>6897</v>
      </c>
      <c r="B494" s="67" t="s">
        <v>6898</v>
      </c>
      <c r="C494" s="71" t="s">
        <v>396</v>
      </c>
      <c r="D494" s="78">
        <v>0.43</v>
      </c>
      <c r="E494" s="663">
        <v>2</v>
      </c>
      <c r="H494" s="178">
        <v>0.43</v>
      </c>
      <c r="J494" s="294"/>
      <c r="K494" s="295"/>
      <c r="L494" s="72"/>
      <c r="M494" s="133"/>
      <c r="N494" s="72"/>
      <c r="O494" s="224"/>
      <c r="P494" s="219"/>
      <c r="Q494" s="84"/>
      <c r="S494" s="136"/>
      <c r="T494" s="136"/>
    </row>
    <row r="495" spans="1:22">
      <c r="A495" s="71" t="s">
        <v>6899</v>
      </c>
      <c r="B495" s="67" t="s">
        <v>6900</v>
      </c>
      <c r="C495" s="71" t="s">
        <v>396</v>
      </c>
      <c r="D495" s="78">
        <v>0.46</v>
      </c>
      <c r="E495" s="663">
        <v>2</v>
      </c>
      <c r="H495" s="178">
        <v>0.46</v>
      </c>
      <c r="J495" s="294"/>
      <c r="K495" s="295"/>
      <c r="L495" s="72"/>
      <c r="M495" s="133"/>
      <c r="N495" s="72"/>
      <c r="O495" s="224"/>
      <c r="P495" s="219"/>
      <c r="Q495" s="84"/>
      <c r="S495" s="136"/>
      <c r="T495" s="136"/>
    </row>
    <row r="496" spans="1:22">
      <c r="A496" s="71" t="s">
        <v>6901</v>
      </c>
      <c r="B496" s="67" t="s">
        <v>6902</v>
      </c>
      <c r="C496" s="71" t="s">
        <v>103</v>
      </c>
      <c r="D496" s="78">
        <v>0.22</v>
      </c>
      <c r="E496" s="663">
        <v>2</v>
      </c>
      <c r="H496" s="178">
        <v>0.22</v>
      </c>
      <c r="J496" s="294"/>
      <c r="K496" s="295"/>
      <c r="L496" s="72"/>
      <c r="M496" s="133"/>
      <c r="N496" s="72"/>
      <c r="O496" s="224"/>
      <c r="P496" s="219"/>
      <c r="Q496" s="84"/>
      <c r="S496" s="136"/>
      <c r="T496" s="136"/>
    </row>
    <row r="497" spans="1:36">
      <c r="A497" s="71" t="s">
        <v>6903</v>
      </c>
      <c r="B497" s="67" t="s">
        <v>6904</v>
      </c>
      <c r="C497" s="71" t="s">
        <v>396</v>
      </c>
      <c r="D497" s="78">
        <v>3.45</v>
      </c>
      <c r="E497" s="663">
        <v>2</v>
      </c>
      <c r="H497" s="178">
        <v>3.45</v>
      </c>
      <c r="J497" s="294"/>
      <c r="K497" s="295"/>
      <c r="L497" s="72"/>
      <c r="M497" s="133"/>
      <c r="N497" s="72"/>
      <c r="O497" s="224"/>
      <c r="P497" s="219"/>
      <c r="Q497" s="84"/>
      <c r="S497" s="136"/>
      <c r="T497" s="136"/>
    </row>
    <row r="498" spans="1:36">
      <c r="A498" s="71" t="s">
        <v>6905</v>
      </c>
      <c r="B498" s="67" t="s">
        <v>6906</v>
      </c>
      <c r="C498" s="71" t="s">
        <v>396</v>
      </c>
      <c r="D498" s="78">
        <v>0.66</v>
      </c>
      <c r="E498" s="663">
        <v>2</v>
      </c>
      <c r="H498" s="178">
        <v>0.66</v>
      </c>
      <c r="J498" s="294"/>
      <c r="K498" s="295"/>
      <c r="L498" s="72"/>
      <c r="M498" s="133"/>
      <c r="N498" s="72"/>
      <c r="O498" s="224"/>
      <c r="P498" s="219"/>
      <c r="Q498" s="84"/>
      <c r="S498" s="136"/>
      <c r="T498" s="136"/>
    </row>
    <row r="499" spans="1:36">
      <c r="A499" s="71" t="s">
        <v>6907</v>
      </c>
      <c r="B499" s="67" t="s">
        <v>6908</v>
      </c>
      <c r="C499" s="71" t="s">
        <v>103</v>
      </c>
      <c r="D499" s="78">
        <v>0.05</v>
      </c>
      <c r="E499" s="663">
        <v>2</v>
      </c>
      <c r="H499" s="178">
        <v>0.05</v>
      </c>
      <c r="J499" s="294"/>
      <c r="K499" s="295"/>
      <c r="L499" s="72"/>
      <c r="M499" s="133"/>
      <c r="N499" s="72"/>
      <c r="O499" s="224"/>
      <c r="P499" s="219"/>
      <c r="Q499" s="84"/>
      <c r="S499" s="136"/>
      <c r="T499" s="136"/>
    </row>
    <row r="500" spans="1:36">
      <c r="A500" s="71" t="s">
        <v>6909</v>
      </c>
      <c r="B500" s="67" t="s">
        <v>6910</v>
      </c>
      <c r="C500" s="71" t="s">
        <v>103</v>
      </c>
      <c r="D500" s="78">
        <v>0.11</v>
      </c>
      <c r="E500" s="663">
        <v>2</v>
      </c>
      <c r="H500" s="178">
        <v>0.11</v>
      </c>
      <c r="J500" s="294"/>
      <c r="K500" s="295"/>
      <c r="L500" s="72"/>
      <c r="M500" s="133"/>
      <c r="N500" s="72"/>
      <c r="O500" s="224"/>
      <c r="P500" s="219"/>
      <c r="Q500" s="84"/>
      <c r="S500" s="136"/>
      <c r="T500" s="136"/>
    </row>
    <row r="501" spans="1:36">
      <c r="A501" s="71" t="s">
        <v>6911</v>
      </c>
      <c r="B501" s="67" t="s">
        <v>6912</v>
      </c>
      <c r="C501" s="71" t="s">
        <v>103</v>
      </c>
      <c r="D501" s="78">
        <v>0.17</v>
      </c>
      <c r="E501" s="663">
        <v>2</v>
      </c>
      <c r="H501" s="178">
        <v>0.17</v>
      </c>
      <c r="J501" s="294"/>
      <c r="K501" s="295"/>
      <c r="L501" s="72"/>
      <c r="M501" s="133"/>
      <c r="N501" s="72"/>
      <c r="O501" s="224"/>
      <c r="P501" s="219"/>
      <c r="Q501" s="84"/>
      <c r="S501" s="136"/>
      <c r="T501" s="136"/>
    </row>
    <row r="502" spans="1:36">
      <c r="A502" s="71" t="s">
        <v>6913</v>
      </c>
      <c r="B502" s="67" t="s">
        <v>6914</v>
      </c>
      <c r="C502" s="71" t="s">
        <v>103</v>
      </c>
      <c r="D502" s="78">
        <v>1.29</v>
      </c>
      <c r="E502" s="663">
        <v>2</v>
      </c>
      <c r="H502" s="178">
        <v>1.29</v>
      </c>
      <c r="J502" s="294"/>
      <c r="K502" s="295"/>
      <c r="L502" s="72"/>
      <c r="M502" s="133"/>
      <c r="N502" s="72"/>
      <c r="O502" s="224"/>
      <c r="P502" s="219"/>
      <c r="Q502" s="84"/>
      <c r="S502" s="136"/>
      <c r="T502" s="136"/>
    </row>
    <row r="503" spans="1:36">
      <c r="A503" s="71" t="s">
        <v>6915</v>
      </c>
      <c r="B503" s="67" t="s">
        <v>6916</v>
      </c>
      <c r="C503" s="71" t="s">
        <v>103</v>
      </c>
      <c r="D503" s="78">
        <v>0.84</v>
      </c>
      <c r="E503" s="663">
        <v>2</v>
      </c>
      <c r="H503" s="178">
        <v>0.84</v>
      </c>
      <c r="J503" s="294"/>
      <c r="K503" s="295"/>
      <c r="L503" s="72"/>
      <c r="M503" s="133"/>
      <c r="N503" s="72"/>
      <c r="O503" s="224"/>
      <c r="P503" s="219"/>
      <c r="Q503" s="84"/>
      <c r="S503" s="136"/>
      <c r="T503" s="136"/>
    </row>
    <row r="504" spans="1:36">
      <c r="A504" s="71" t="s">
        <v>6917</v>
      </c>
      <c r="B504" s="67" t="s">
        <v>6918</v>
      </c>
      <c r="C504" s="71" t="s">
        <v>396</v>
      </c>
      <c r="D504" s="78">
        <v>0.28000000000000003</v>
      </c>
      <c r="E504" s="663">
        <v>2</v>
      </c>
      <c r="H504" s="178">
        <v>0.28000000000000003</v>
      </c>
      <c r="J504" s="294"/>
      <c r="K504" s="295"/>
      <c r="L504" s="72"/>
      <c r="M504" s="133"/>
      <c r="N504" s="72"/>
      <c r="O504" s="224"/>
      <c r="P504" s="219"/>
      <c r="Q504" s="84"/>
      <c r="S504" s="136"/>
      <c r="T504" s="136"/>
    </row>
    <row r="505" spans="1:36">
      <c r="A505" s="71" t="s">
        <v>6919</v>
      </c>
      <c r="B505" s="67" t="s">
        <v>6920</v>
      </c>
      <c r="C505" s="71" t="s">
        <v>207</v>
      </c>
      <c r="D505" s="78">
        <v>10.14</v>
      </c>
      <c r="E505" s="663">
        <v>2</v>
      </c>
      <c r="H505" s="178">
        <v>10.14</v>
      </c>
      <c r="J505" s="294"/>
      <c r="K505" s="295"/>
      <c r="L505" s="72"/>
      <c r="M505" s="133"/>
      <c r="N505" s="72"/>
      <c r="O505" s="224"/>
      <c r="P505" s="219"/>
      <c r="Q505" s="84"/>
      <c r="S505" s="136"/>
      <c r="T505" s="140"/>
    </row>
    <row r="506" spans="1:36">
      <c r="A506" s="71" t="s">
        <v>6921</v>
      </c>
      <c r="B506" s="67" t="s">
        <v>6922</v>
      </c>
      <c r="C506" s="71" t="s">
        <v>103</v>
      </c>
      <c r="D506" s="78">
        <v>6.63</v>
      </c>
      <c r="E506" s="663">
        <v>2</v>
      </c>
      <c r="H506" s="178">
        <v>6.63</v>
      </c>
      <c r="J506" s="294"/>
      <c r="K506" s="295"/>
      <c r="L506" s="72"/>
      <c r="M506" s="133"/>
      <c r="N506" s="72"/>
      <c r="O506" s="224"/>
      <c r="P506" s="219"/>
      <c r="Q506" s="84"/>
      <c r="S506" s="136"/>
      <c r="T506" s="136"/>
    </row>
    <row r="507" spans="1:36">
      <c r="A507" s="71" t="s">
        <v>6923</v>
      </c>
      <c r="B507" s="67" t="s">
        <v>6924</v>
      </c>
      <c r="C507" s="71" t="s">
        <v>207</v>
      </c>
      <c r="D507" s="78">
        <v>43.32</v>
      </c>
      <c r="E507" s="663">
        <v>2</v>
      </c>
      <c r="H507" s="178">
        <v>43.32</v>
      </c>
      <c r="J507" s="294"/>
      <c r="K507" s="295"/>
      <c r="L507" s="72"/>
      <c r="M507" s="133"/>
      <c r="N507" s="72"/>
      <c r="O507" s="224"/>
      <c r="P507" s="219"/>
      <c r="Q507" s="84"/>
      <c r="S507" s="136"/>
      <c r="T507" s="136"/>
    </row>
    <row r="508" spans="1:36">
      <c r="A508" s="71" t="s">
        <v>6925</v>
      </c>
      <c r="B508" s="67" t="s">
        <v>6926</v>
      </c>
      <c r="C508" s="71" t="s">
        <v>103</v>
      </c>
      <c r="D508" s="78">
        <v>36.42</v>
      </c>
      <c r="E508" s="663">
        <v>2</v>
      </c>
      <c r="H508" s="178">
        <v>36.42</v>
      </c>
      <c r="J508" s="294"/>
      <c r="K508" s="295"/>
      <c r="L508" s="72"/>
      <c r="M508" s="133"/>
      <c r="N508" s="72"/>
      <c r="O508" s="224"/>
      <c r="P508" s="219"/>
      <c r="Q508" s="84"/>
      <c r="S508" s="136"/>
      <c r="T508" s="136"/>
      <c r="V508" s="136"/>
    </row>
    <row r="509" spans="1:36">
      <c r="A509" s="71" t="s">
        <v>6927</v>
      </c>
      <c r="B509" s="67" t="s">
        <v>6928</v>
      </c>
      <c r="C509" s="71" t="s">
        <v>103</v>
      </c>
      <c r="D509" s="78">
        <v>18.29</v>
      </c>
      <c r="E509" s="663">
        <v>2</v>
      </c>
      <c r="H509" s="178">
        <v>18.29</v>
      </c>
      <c r="J509" s="294"/>
      <c r="K509" s="295"/>
      <c r="L509" s="72"/>
      <c r="M509" s="133"/>
      <c r="N509" s="72"/>
      <c r="O509" s="224"/>
      <c r="P509" s="219"/>
      <c r="Q509" s="84"/>
      <c r="S509" s="136"/>
      <c r="T509" s="136"/>
      <c r="V509" s="136"/>
    </row>
    <row r="510" spans="1:36">
      <c r="A510" s="71" t="s">
        <v>6929</v>
      </c>
      <c r="B510" s="67" t="s">
        <v>6930</v>
      </c>
      <c r="C510" s="71" t="s">
        <v>103</v>
      </c>
      <c r="D510" s="78">
        <v>17.46</v>
      </c>
      <c r="E510" s="663">
        <v>2</v>
      </c>
      <c r="H510" s="178">
        <v>17.46</v>
      </c>
      <c r="J510" s="294"/>
      <c r="K510" s="295"/>
      <c r="L510" s="72"/>
      <c r="M510" s="133"/>
      <c r="N510" s="72"/>
      <c r="O510" s="224"/>
      <c r="P510" s="219"/>
      <c r="Q510" s="84"/>
      <c r="S510" s="136"/>
      <c r="T510" s="136"/>
      <c r="V510" s="136"/>
    </row>
    <row r="511" spans="1:36">
      <c r="A511" s="71" t="s">
        <v>6931</v>
      </c>
      <c r="B511" s="67" t="s">
        <v>6932</v>
      </c>
      <c r="C511" s="71" t="s">
        <v>103</v>
      </c>
      <c r="D511" s="78">
        <v>67.239999999999995</v>
      </c>
      <c r="E511" s="663">
        <v>2</v>
      </c>
      <c r="H511" s="178">
        <v>67.239999999999995</v>
      </c>
      <c r="J511" s="294"/>
      <c r="K511" s="295"/>
      <c r="L511" s="72"/>
      <c r="M511" s="133"/>
      <c r="N511" s="72"/>
      <c r="O511" s="224"/>
      <c r="P511" s="219"/>
      <c r="Q511" s="84"/>
      <c r="S511" s="136"/>
      <c r="T511" s="136"/>
      <c r="V511" s="136"/>
    </row>
    <row r="512" spans="1:36">
      <c r="A512" s="71" t="s">
        <v>44196</v>
      </c>
      <c r="B512" s="67" t="s">
        <v>44197</v>
      </c>
      <c r="C512" s="71" t="s">
        <v>165</v>
      </c>
      <c r="D512" s="78">
        <v>7</v>
      </c>
      <c r="E512" s="663">
        <v>2</v>
      </c>
      <c r="H512" s="178">
        <v>7</v>
      </c>
      <c r="J512" s="723"/>
      <c r="K512" s="724"/>
      <c r="L512" s="725"/>
      <c r="M512" s="726"/>
      <c r="N512" s="725"/>
      <c r="O512" s="727"/>
      <c r="P512" s="728"/>
      <c r="Q512" s="729"/>
      <c r="R512" s="729"/>
      <c r="S512" s="730"/>
      <c r="T512" s="730"/>
      <c r="U512" s="729"/>
      <c r="V512" s="729"/>
      <c r="W512" s="729"/>
      <c r="X512" s="729"/>
      <c r="Y512" s="729"/>
      <c r="Z512" s="729"/>
      <c r="AA512" s="729"/>
      <c r="AB512" s="729"/>
      <c r="AC512" s="729"/>
      <c r="AD512" s="729"/>
      <c r="AE512" s="729"/>
      <c r="AF512" s="729"/>
      <c r="AG512" s="729"/>
      <c r="AH512" s="729"/>
      <c r="AI512" s="729"/>
      <c r="AJ512" s="729"/>
    </row>
    <row r="513" spans="1:22">
      <c r="A513" s="71" t="s">
        <v>6933</v>
      </c>
      <c r="B513" s="67" t="s">
        <v>6934</v>
      </c>
      <c r="C513" s="71" t="s">
        <v>165</v>
      </c>
      <c r="D513" s="78">
        <v>42.9</v>
      </c>
      <c r="E513" s="663">
        <v>2</v>
      </c>
      <c r="H513" s="178">
        <v>42.9</v>
      </c>
      <c r="J513" s="294"/>
      <c r="K513" s="295"/>
      <c r="L513" s="72"/>
      <c r="M513" s="133"/>
      <c r="N513" s="72"/>
      <c r="O513" s="224"/>
      <c r="P513" s="219"/>
      <c r="Q513" s="84"/>
      <c r="S513" s="136"/>
      <c r="T513" s="136"/>
    </row>
    <row r="514" spans="1:22">
      <c r="A514" s="71" t="s">
        <v>6935</v>
      </c>
      <c r="B514" s="67" t="s">
        <v>6936</v>
      </c>
      <c r="C514" s="71" t="s">
        <v>165</v>
      </c>
      <c r="D514" s="78">
        <v>70.97</v>
      </c>
      <c r="E514" s="663">
        <v>2</v>
      </c>
      <c r="H514" s="178">
        <v>70.97</v>
      </c>
      <c r="J514" s="294"/>
      <c r="K514" s="295"/>
      <c r="L514" s="72"/>
      <c r="M514" s="133"/>
      <c r="N514" s="72"/>
      <c r="O514" s="224"/>
      <c r="P514" s="219"/>
      <c r="Q514" s="84"/>
      <c r="S514" s="136"/>
      <c r="T514" s="136"/>
    </row>
    <row r="515" spans="1:22">
      <c r="A515" s="71" t="s">
        <v>6937</v>
      </c>
      <c r="B515" s="67" t="s">
        <v>6938</v>
      </c>
      <c r="C515" s="71" t="s">
        <v>165</v>
      </c>
      <c r="D515" s="78">
        <v>6.1</v>
      </c>
      <c r="E515" s="663">
        <v>2</v>
      </c>
      <c r="H515" s="178">
        <v>6.1</v>
      </c>
      <c r="J515" s="294"/>
      <c r="K515" s="295"/>
      <c r="L515" s="72"/>
      <c r="M515" s="133"/>
      <c r="N515" s="72"/>
      <c r="O515" s="224"/>
      <c r="P515" s="219"/>
      <c r="Q515" s="84"/>
      <c r="S515" s="136"/>
      <c r="T515" s="136"/>
      <c r="V515" s="136"/>
    </row>
    <row r="516" spans="1:22">
      <c r="A516" s="71" t="s">
        <v>6939</v>
      </c>
      <c r="B516" s="67" t="s">
        <v>6940</v>
      </c>
      <c r="C516" s="71" t="s">
        <v>396</v>
      </c>
      <c r="D516" s="78">
        <v>0.82</v>
      </c>
      <c r="E516" s="663">
        <v>2</v>
      </c>
      <c r="H516" s="178">
        <v>0.82</v>
      </c>
      <c r="J516" s="294"/>
      <c r="K516" s="295"/>
      <c r="L516" s="72"/>
      <c r="M516" s="133"/>
      <c r="N516" s="72"/>
      <c r="O516" s="224"/>
      <c r="P516" s="219"/>
      <c r="Q516" s="84"/>
      <c r="S516" s="136"/>
      <c r="T516" s="136"/>
    </row>
    <row r="517" spans="1:22">
      <c r="A517" s="71" t="s">
        <v>6941</v>
      </c>
      <c r="B517" s="67" t="s">
        <v>6942</v>
      </c>
      <c r="C517" s="71" t="s">
        <v>207</v>
      </c>
      <c r="D517" s="78">
        <v>34.26</v>
      </c>
      <c r="E517" s="663">
        <v>2</v>
      </c>
      <c r="H517" s="178">
        <v>34.26</v>
      </c>
      <c r="J517" s="294"/>
      <c r="K517" s="295"/>
      <c r="L517" s="72"/>
      <c r="M517" s="133"/>
      <c r="N517" s="72"/>
      <c r="O517" s="224"/>
      <c r="P517" s="219"/>
      <c r="Q517" s="84"/>
      <c r="S517" s="136"/>
      <c r="T517" s="136"/>
    </row>
    <row r="518" spans="1:22">
      <c r="A518" s="71" t="s">
        <v>6943</v>
      </c>
      <c r="B518" s="67" t="s">
        <v>6944</v>
      </c>
      <c r="C518" s="71" t="s">
        <v>207</v>
      </c>
      <c r="D518" s="78">
        <v>96.23</v>
      </c>
      <c r="E518" s="663">
        <v>2</v>
      </c>
      <c r="H518" s="178">
        <v>96.23</v>
      </c>
      <c r="J518" s="294"/>
      <c r="K518" s="295"/>
      <c r="L518" s="72"/>
      <c r="M518" s="133"/>
      <c r="N518" s="72"/>
      <c r="O518" s="224"/>
      <c r="P518" s="219"/>
      <c r="Q518" s="84"/>
      <c r="S518" s="136"/>
      <c r="T518" s="136"/>
    </row>
    <row r="519" spans="1:22">
      <c r="A519" s="71" t="s">
        <v>6945</v>
      </c>
      <c r="B519" s="67" t="s">
        <v>6946</v>
      </c>
      <c r="C519" s="71" t="s">
        <v>207</v>
      </c>
      <c r="D519" s="78">
        <v>12.85</v>
      </c>
      <c r="E519" s="663">
        <v>2</v>
      </c>
      <c r="H519" s="178">
        <v>12.85</v>
      </c>
      <c r="J519" s="294"/>
      <c r="K519" s="295"/>
      <c r="L519" s="72"/>
      <c r="M519" s="133"/>
      <c r="N519" s="72"/>
      <c r="O519" s="224"/>
      <c r="P519" s="219"/>
      <c r="Q519" s="84"/>
      <c r="S519" s="136"/>
      <c r="T519" s="136"/>
      <c r="V519" s="136"/>
    </row>
    <row r="520" spans="1:22">
      <c r="A520" s="71" t="s">
        <v>6947</v>
      </c>
      <c r="B520" s="67" t="s">
        <v>6948</v>
      </c>
      <c r="C520" s="71" t="s">
        <v>121</v>
      </c>
      <c r="D520" s="78">
        <v>367.14</v>
      </c>
      <c r="E520" s="663">
        <v>2</v>
      </c>
      <c r="H520" s="178">
        <v>367.14</v>
      </c>
      <c r="J520" s="294"/>
      <c r="K520" s="295"/>
      <c r="L520" s="72"/>
      <c r="M520" s="133"/>
      <c r="N520" s="72"/>
      <c r="O520" s="224"/>
      <c r="P520" s="219"/>
      <c r="Q520" s="84"/>
      <c r="S520" s="136"/>
      <c r="T520" s="136"/>
      <c r="V520" s="136"/>
    </row>
    <row r="521" spans="1:22">
      <c r="A521" s="71" t="s">
        <v>6949</v>
      </c>
      <c r="B521" s="67" t="s">
        <v>28476</v>
      </c>
      <c r="C521" s="71" t="s">
        <v>207</v>
      </c>
      <c r="D521" s="78">
        <v>138.12</v>
      </c>
      <c r="E521" s="663">
        <v>2</v>
      </c>
      <c r="H521" s="178">
        <v>138.12</v>
      </c>
      <c r="J521" s="294"/>
      <c r="K521" s="295"/>
      <c r="L521" s="72"/>
      <c r="M521" s="133"/>
      <c r="N521" s="72"/>
      <c r="O521" s="224"/>
      <c r="P521" s="219"/>
      <c r="Q521" s="84"/>
      <c r="S521" s="136"/>
      <c r="T521" s="136"/>
      <c r="V521" s="136"/>
    </row>
    <row r="522" spans="1:22">
      <c r="A522" s="71" t="s">
        <v>6950</v>
      </c>
      <c r="B522" s="67" t="s">
        <v>6951</v>
      </c>
      <c r="C522" s="71" t="s">
        <v>207</v>
      </c>
      <c r="D522" s="78">
        <v>12.6</v>
      </c>
      <c r="E522" s="663">
        <v>2</v>
      </c>
      <c r="H522" s="178">
        <v>12.6</v>
      </c>
      <c r="J522" s="294"/>
      <c r="K522" s="295"/>
      <c r="L522" s="72"/>
      <c r="M522" s="133"/>
      <c r="N522" s="72"/>
      <c r="O522" s="224"/>
      <c r="P522" s="219"/>
      <c r="Q522" s="84"/>
      <c r="S522" s="136"/>
      <c r="T522" s="136"/>
      <c r="V522" s="136"/>
    </row>
    <row r="523" spans="1:22">
      <c r="A523" s="71" t="s">
        <v>6952</v>
      </c>
      <c r="B523" s="67" t="s">
        <v>6953</v>
      </c>
      <c r="C523" s="71" t="s">
        <v>207</v>
      </c>
      <c r="D523" s="78">
        <v>15.11</v>
      </c>
      <c r="E523" s="663">
        <v>2</v>
      </c>
      <c r="H523" s="178">
        <v>15.11</v>
      </c>
      <c r="J523" s="294"/>
      <c r="K523" s="295"/>
      <c r="L523" s="72"/>
      <c r="M523" s="133"/>
      <c r="N523" s="72"/>
      <c r="O523" s="224"/>
      <c r="P523" s="219"/>
      <c r="Q523" s="84"/>
      <c r="S523" s="136"/>
      <c r="T523" s="136"/>
      <c r="V523" s="136"/>
    </row>
    <row r="524" spans="1:22">
      <c r="A524" s="71" t="s">
        <v>6954</v>
      </c>
      <c r="B524" s="67" t="s">
        <v>6955</v>
      </c>
      <c r="C524" s="71" t="s">
        <v>207</v>
      </c>
      <c r="D524" s="78">
        <v>11.94</v>
      </c>
      <c r="E524" s="663">
        <v>2</v>
      </c>
      <c r="H524" s="178">
        <v>11.94</v>
      </c>
      <c r="J524" s="294"/>
      <c r="K524" s="295"/>
      <c r="L524" s="72"/>
      <c r="M524" s="133"/>
      <c r="N524" s="72"/>
      <c r="O524" s="224"/>
      <c r="P524" s="219"/>
      <c r="Q524" s="84"/>
      <c r="S524" s="136"/>
      <c r="T524" s="136"/>
      <c r="V524" s="136"/>
    </row>
    <row r="525" spans="1:22">
      <c r="A525" s="71" t="s">
        <v>6956</v>
      </c>
      <c r="B525" s="67" t="s">
        <v>6957</v>
      </c>
      <c r="C525" s="71" t="s">
        <v>509</v>
      </c>
      <c r="D525" s="78">
        <v>26.91</v>
      </c>
      <c r="E525" s="663">
        <v>2</v>
      </c>
      <c r="H525" s="178">
        <v>26.91</v>
      </c>
      <c r="J525" s="294"/>
      <c r="K525" s="295"/>
      <c r="L525" s="72"/>
      <c r="M525" s="133"/>
      <c r="N525" s="72"/>
      <c r="O525" s="224"/>
      <c r="P525" s="219"/>
      <c r="Q525" s="84"/>
      <c r="S525" s="136"/>
      <c r="T525" s="136"/>
    </row>
    <row r="526" spans="1:22">
      <c r="A526" s="71" t="s">
        <v>6958</v>
      </c>
      <c r="B526" s="67" t="s">
        <v>6959</v>
      </c>
      <c r="C526" s="71" t="s">
        <v>509</v>
      </c>
      <c r="D526" s="78">
        <v>36.69</v>
      </c>
      <c r="E526" s="663">
        <v>2</v>
      </c>
      <c r="H526" s="178">
        <v>36.69</v>
      </c>
      <c r="J526" s="294"/>
      <c r="K526" s="295"/>
      <c r="L526" s="72"/>
      <c r="M526" s="133"/>
      <c r="N526" s="72"/>
      <c r="O526" s="224"/>
      <c r="P526" s="219"/>
      <c r="Q526" s="84"/>
      <c r="S526" s="136"/>
      <c r="T526" s="136"/>
    </row>
    <row r="527" spans="1:22">
      <c r="A527" s="71" t="s">
        <v>6960</v>
      </c>
      <c r="B527" s="67" t="s">
        <v>6961</v>
      </c>
      <c r="C527" s="71" t="s">
        <v>509</v>
      </c>
      <c r="D527" s="78">
        <v>72.98</v>
      </c>
      <c r="E527" s="663">
        <v>2</v>
      </c>
      <c r="H527" s="178">
        <v>72.98</v>
      </c>
      <c r="J527" s="294"/>
      <c r="K527" s="295"/>
      <c r="L527" s="72"/>
      <c r="M527" s="133"/>
      <c r="N527" s="72"/>
      <c r="O527" s="224"/>
      <c r="P527" s="219"/>
      <c r="Q527" s="84"/>
      <c r="S527" s="136"/>
      <c r="T527" s="136"/>
    </row>
    <row r="528" spans="1:22">
      <c r="A528" s="71" t="s">
        <v>6962</v>
      </c>
      <c r="B528" s="67" t="s">
        <v>6963</v>
      </c>
      <c r="C528" s="71" t="s">
        <v>103</v>
      </c>
      <c r="D528" s="78">
        <v>91.11</v>
      </c>
      <c r="E528" s="663">
        <v>2</v>
      </c>
      <c r="H528" s="178">
        <v>91.11</v>
      </c>
      <c r="J528" s="294"/>
      <c r="K528" s="295"/>
      <c r="L528" s="72"/>
      <c r="M528" s="133"/>
      <c r="N528" s="72"/>
      <c r="O528" s="224"/>
      <c r="P528" s="219"/>
      <c r="Q528" s="84"/>
      <c r="S528" s="136"/>
      <c r="T528" s="136"/>
    </row>
    <row r="529" spans="1:22">
      <c r="A529" s="71" t="s">
        <v>6964</v>
      </c>
      <c r="B529" s="67" t="s">
        <v>6965</v>
      </c>
      <c r="C529" s="71" t="s">
        <v>103</v>
      </c>
      <c r="D529" s="78">
        <v>58.86</v>
      </c>
      <c r="E529" s="663">
        <v>2</v>
      </c>
      <c r="H529" s="178">
        <v>58.86</v>
      </c>
      <c r="J529" s="294"/>
      <c r="K529" s="295"/>
      <c r="L529" s="72"/>
      <c r="M529" s="133"/>
      <c r="N529" s="72"/>
      <c r="O529" s="224"/>
      <c r="P529" s="219"/>
      <c r="Q529" s="84"/>
      <c r="S529" s="136"/>
      <c r="T529" s="136"/>
      <c r="V529" s="136"/>
    </row>
    <row r="530" spans="1:22">
      <c r="A530" s="71" t="s">
        <v>6966</v>
      </c>
      <c r="B530" s="67" t="s">
        <v>6967</v>
      </c>
      <c r="C530" s="71" t="s">
        <v>103</v>
      </c>
      <c r="D530" s="78">
        <v>75.58</v>
      </c>
      <c r="E530" s="663">
        <v>2</v>
      </c>
      <c r="H530" s="178">
        <v>75.58</v>
      </c>
      <c r="J530" s="294"/>
      <c r="K530" s="295"/>
      <c r="L530" s="72"/>
      <c r="M530" s="133"/>
      <c r="N530" s="72"/>
      <c r="O530" s="224"/>
      <c r="P530" s="219"/>
      <c r="Q530" s="84"/>
      <c r="S530" s="136"/>
      <c r="T530" s="136"/>
      <c r="V530" s="136"/>
    </row>
    <row r="531" spans="1:22">
      <c r="A531" s="71" t="s">
        <v>6968</v>
      </c>
      <c r="B531" s="67" t="s">
        <v>6969</v>
      </c>
      <c r="C531" s="71" t="s">
        <v>509</v>
      </c>
      <c r="D531" s="78">
        <v>12.49</v>
      </c>
      <c r="E531" s="663">
        <v>2</v>
      </c>
      <c r="H531" s="178">
        <v>12.49</v>
      </c>
      <c r="J531" s="294"/>
      <c r="K531" s="295"/>
      <c r="L531" s="72"/>
      <c r="M531" s="133"/>
      <c r="N531" s="72"/>
      <c r="O531" s="224"/>
      <c r="P531" s="219"/>
      <c r="Q531" s="84"/>
      <c r="S531" s="136"/>
      <c r="T531" s="136"/>
    </row>
    <row r="532" spans="1:22">
      <c r="A532" s="71" t="s">
        <v>6970</v>
      </c>
      <c r="B532" s="67" t="s">
        <v>6971</v>
      </c>
      <c r="C532" s="71" t="s">
        <v>103</v>
      </c>
      <c r="D532" s="78">
        <v>2136.5</v>
      </c>
      <c r="E532" s="663">
        <v>2</v>
      </c>
      <c r="H532" s="178">
        <v>2136.5</v>
      </c>
      <c r="J532" s="294"/>
      <c r="K532" s="295"/>
      <c r="L532" s="72"/>
      <c r="M532" s="133"/>
      <c r="N532" s="72"/>
      <c r="O532" s="224"/>
      <c r="P532" s="219"/>
      <c r="Q532" s="84"/>
      <c r="S532" s="136"/>
      <c r="T532" s="136"/>
    </row>
    <row r="533" spans="1:22">
      <c r="A533" s="71" t="s">
        <v>6972</v>
      </c>
      <c r="B533" s="67" t="s">
        <v>6973</v>
      </c>
      <c r="C533" s="71" t="s">
        <v>509</v>
      </c>
      <c r="D533" s="78">
        <v>104.51</v>
      </c>
      <c r="E533" s="663">
        <v>2</v>
      </c>
      <c r="H533" s="178">
        <v>104.51</v>
      </c>
      <c r="J533" s="294"/>
      <c r="K533" s="295"/>
      <c r="L533" s="72"/>
      <c r="M533" s="133"/>
      <c r="N533" s="72"/>
      <c r="O533" s="224"/>
      <c r="P533" s="219"/>
      <c r="Q533" s="84"/>
      <c r="S533" s="136"/>
      <c r="T533" s="136"/>
    </row>
    <row r="534" spans="1:22">
      <c r="A534" s="71" t="s">
        <v>6974</v>
      </c>
      <c r="B534" s="67" t="s">
        <v>6975</v>
      </c>
      <c r="C534" s="71" t="s">
        <v>509</v>
      </c>
      <c r="D534" s="78">
        <v>12.58</v>
      </c>
      <c r="E534" s="663">
        <v>2</v>
      </c>
      <c r="H534" s="178">
        <v>12.58</v>
      </c>
      <c r="J534" s="294"/>
      <c r="K534" s="295"/>
      <c r="L534" s="72"/>
      <c r="M534" s="133"/>
      <c r="N534" s="72"/>
      <c r="O534" s="224"/>
      <c r="P534" s="219"/>
      <c r="Q534" s="84"/>
      <c r="S534" s="136"/>
      <c r="T534" s="136"/>
    </row>
    <row r="535" spans="1:22">
      <c r="A535" s="71" t="s">
        <v>6976</v>
      </c>
      <c r="B535" s="67" t="s">
        <v>6977</v>
      </c>
      <c r="C535" s="71" t="s">
        <v>509</v>
      </c>
      <c r="D535" s="78">
        <v>72.849999999999994</v>
      </c>
      <c r="E535" s="663">
        <v>2</v>
      </c>
      <c r="H535" s="178">
        <v>72.849999999999994</v>
      </c>
      <c r="J535" s="294"/>
      <c r="K535" s="295"/>
      <c r="L535" s="72"/>
      <c r="M535" s="133"/>
      <c r="N535" s="72"/>
      <c r="O535" s="224"/>
      <c r="P535" s="219"/>
      <c r="Q535" s="84"/>
      <c r="S535" s="136"/>
      <c r="T535" s="136"/>
    </row>
    <row r="536" spans="1:22">
      <c r="A536" s="71" t="s">
        <v>6978</v>
      </c>
      <c r="B536" s="67" t="s">
        <v>6979</v>
      </c>
      <c r="C536" s="71" t="s">
        <v>509</v>
      </c>
      <c r="D536" s="78">
        <v>4.78</v>
      </c>
      <c r="E536" s="663">
        <v>2</v>
      </c>
      <c r="H536" s="178">
        <v>4.78</v>
      </c>
      <c r="J536" s="294"/>
      <c r="K536" s="295"/>
      <c r="L536" s="72"/>
      <c r="M536" s="133"/>
      <c r="N536" s="72"/>
      <c r="O536" s="224"/>
      <c r="P536" s="219"/>
      <c r="Q536" s="84"/>
      <c r="S536" s="136"/>
      <c r="T536" s="136"/>
    </row>
    <row r="537" spans="1:22">
      <c r="A537" s="71" t="s">
        <v>6980</v>
      </c>
      <c r="B537" s="67" t="s">
        <v>6981</v>
      </c>
      <c r="C537" s="71" t="s">
        <v>207</v>
      </c>
      <c r="D537" s="78">
        <v>17.07</v>
      </c>
      <c r="E537" s="663">
        <v>2</v>
      </c>
      <c r="H537" s="178">
        <v>17.07</v>
      </c>
      <c r="J537" s="294"/>
      <c r="K537" s="295"/>
      <c r="L537" s="72"/>
      <c r="M537" s="133"/>
      <c r="N537" s="72"/>
      <c r="O537" s="224"/>
      <c r="P537" s="219"/>
      <c r="Q537" s="84"/>
      <c r="S537" s="136"/>
      <c r="T537" s="136"/>
      <c r="V537" s="136"/>
    </row>
    <row r="538" spans="1:22">
      <c r="A538" s="71" t="s">
        <v>6982</v>
      </c>
      <c r="B538" s="67" t="s">
        <v>6983</v>
      </c>
      <c r="C538" s="71" t="s">
        <v>207</v>
      </c>
      <c r="D538" s="78">
        <v>59.82</v>
      </c>
      <c r="E538" s="663">
        <v>2</v>
      </c>
      <c r="H538" s="178">
        <v>59.82</v>
      </c>
      <c r="J538" s="294"/>
      <c r="K538" s="295"/>
      <c r="L538" s="72"/>
      <c r="M538" s="133"/>
      <c r="N538" s="72"/>
      <c r="O538" s="224"/>
      <c r="P538" s="219"/>
      <c r="Q538" s="84"/>
      <c r="S538" s="136"/>
      <c r="T538" s="136"/>
      <c r="V538" s="136"/>
    </row>
    <row r="539" spans="1:22">
      <c r="A539" s="71" t="s">
        <v>6984</v>
      </c>
      <c r="B539" s="67" t="s">
        <v>6985</v>
      </c>
      <c r="C539" s="71" t="s">
        <v>207</v>
      </c>
      <c r="D539" s="78">
        <v>15.81</v>
      </c>
      <c r="E539" s="663">
        <v>2</v>
      </c>
      <c r="H539" s="721">
        <v>15.81</v>
      </c>
      <c r="J539" s="294"/>
      <c r="K539" s="295"/>
      <c r="M539" s="72"/>
      <c r="N539" s="133"/>
      <c r="O539" s="72"/>
      <c r="P539" s="224"/>
      <c r="Q539" s="219"/>
      <c r="T539" s="136"/>
      <c r="V539" s="136"/>
    </row>
    <row r="540" spans="1:22">
      <c r="A540" s="71" t="s">
        <v>6986</v>
      </c>
      <c r="B540" s="67" t="s">
        <v>6987</v>
      </c>
      <c r="C540" s="71" t="s">
        <v>207</v>
      </c>
      <c r="D540" s="78">
        <v>22.78</v>
      </c>
      <c r="E540" s="663">
        <v>2</v>
      </c>
      <c r="H540" s="178">
        <v>22.78</v>
      </c>
      <c r="J540" s="294"/>
      <c r="K540" s="295"/>
      <c r="L540" s="72"/>
      <c r="M540" s="133"/>
      <c r="N540" s="72"/>
      <c r="O540" s="224"/>
      <c r="P540" s="219"/>
      <c r="Q540" s="84"/>
      <c r="S540" s="136"/>
      <c r="T540" s="136"/>
      <c r="V540" s="136"/>
    </row>
    <row r="541" spans="1:22">
      <c r="A541" s="71" t="s">
        <v>6988</v>
      </c>
      <c r="B541" s="67" t="s">
        <v>6989</v>
      </c>
      <c r="C541" s="71" t="s">
        <v>207</v>
      </c>
      <c r="D541" s="78">
        <v>31.36</v>
      </c>
      <c r="E541" s="663">
        <v>2</v>
      </c>
      <c r="H541" s="178">
        <v>31.36</v>
      </c>
      <c r="J541" s="294"/>
      <c r="K541" s="295"/>
      <c r="L541" s="72"/>
      <c r="M541" s="133"/>
      <c r="N541" s="72"/>
      <c r="O541" s="224"/>
      <c r="P541" s="219"/>
      <c r="Q541" s="84"/>
      <c r="S541" s="136"/>
      <c r="T541" s="136"/>
      <c r="V541" s="136"/>
    </row>
    <row r="542" spans="1:22">
      <c r="A542" s="71" t="s">
        <v>6990</v>
      </c>
      <c r="B542" s="67" t="s">
        <v>6991</v>
      </c>
      <c r="C542" s="71" t="s">
        <v>207</v>
      </c>
      <c r="D542" s="78">
        <v>38.22</v>
      </c>
      <c r="E542" s="663">
        <v>2</v>
      </c>
      <c r="H542" s="178">
        <v>38.22</v>
      </c>
      <c r="J542" s="294"/>
      <c r="K542" s="295"/>
      <c r="L542" s="72"/>
      <c r="M542" s="133"/>
      <c r="N542" s="72"/>
      <c r="O542" s="224"/>
      <c r="P542" s="219"/>
      <c r="Q542" s="84"/>
      <c r="S542" s="136"/>
      <c r="T542" s="136"/>
      <c r="V542" s="136"/>
    </row>
    <row r="543" spans="1:22">
      <c r="A543" s="71" t="s">
        <v>6992</v>
      </c>
      <c r="B543" s="67" t="s">
        <v>6993</v>
      </c>
      <c r="C543" s="71" t="s">
        <v>121</v>
      </c>
      <c r="D543" s="78">
        <v>177.76</v>
      </c>
      <c r="E543" s="663">
        <v>2</v>
      </c>
      <c r="H543" s="178">
        <v>177.76</v>
      </c>
      <c r="J543" s="294"/>
      <c r="K543" s="295"/>
      <c r="L543" s="72"/>
      <c r="M543" s="133"/>
      <c r="N543" s="72"/>
      <c r="O543" s="224"/>
      <c r="P543" s="219"/>
      <c r="Q543" s="84"/>
      <c r="S543" s="136"/>
      <c r="T543" s="136"/>
    </row>
    <row r="544" spans="1:22">
      <c r="A544" s="71" t="s">
        <v>6994</v>
      </c>
      <c r="B544" s="67" t="s">
        <v>6995</v>
      </c>
      <c r="C544" s="71" t="s">
        <v>207</v>
      </c>
      <c r="D544" s="78">
        <v>10.4</v>
      </c>
      <c r="E544" s="663">
        <v>2</v>
      </c>
      <c r="H544" s="721">
        <v>10.4</v>
      </c>
      <c r="J544" s="294"/>
      <c r="K544" s="295"/>
      <c r="M544" s="72"/>
      <c r="N544" s="133"/>
      <c r="O544" s="72"/>
      <c r="P544" s="224"/>
      <c r="Q544" s="219"/>
      <c r="T544" s="136"/>
      <c r="V544" s="136"/>
    </row>
    <row r="545" spans="1:22">
      <c r="A545" s="71" t="s">
        <v>6996</v>
      </c>
      <c r="B545" s="67" t="s">
        <v>6997</v>
      </c>
      <c r="C545" s="71" t="s">
        <v>153</v>
      </c>
      <c r="D545" s="78">
        <v>46.88</v>
      </c>
      <c r="E545" s="663">
        <v>2</v>
      </c>
      <c r="H545" s="178">
        <v>46.88</v>
      </c>
      <c r="J545" s="294"/>
      <c r="K545" s="295"/>
      <c r="L545" s="72"/>
      <c r="M545" s="133"/>
      <c r="N545" s="72"/>
      <c r="O545" s="224"/>
      <c r="P545" s="219"/>
      <c r="Q545" s="84"/>
      <c r="S545" s="136"/>
      <c r="T545" s="136"/>
      <c r="V545" s="136"/>
    </row>
    <row r="546" spans="1:22">
      <c r="A546" s="71" t="s">
        <v>6998</v>
      </c>
      <c r="B546" s="67" t="s">
        <v>6999</v>
      </c>
      <c r="C546" s="71" t="s">
        <v>7000</v>
      </c>
      <c r="D546" s="78">
        <v>0.19</v>
      </c>
      <c r="E546" s="663">
        <v>2</v>
      </c>
      <c r="H546" s="178">
        <v>0.19</v>
      </c>
      <c r="J546" s="294"/>
      <c r="K546" s="295"/>
      <c r="L546" s="72"/>
      <c r="M546" s="133"/>
      <c r="N546" s="72"/>
      <c r="O546" s="224"/>
      <c r="P546" s="219"/>
      <c r="Q546" s="84"/>
      <c r="S546" s="136"/>
      <c r="T546" s="136"/>
      <c r="V546" s="136"/>
    </row>
    <row r="547" spans="1:22">
      <c r="A547" s="71" t="s">
        <v>7001</v>
      </c>
      <c r="B547" s="67" t="s">
        <v>7002</v>
      </c>
      <c r="C547" s="71" t="s">
        <v>7003</v>
      </c>
      <c r="D547" s="78">
        <v>4.9000000000000004</v>
      </c>
      <c r="E547" s="663">
        <v>2</v>
      </c>
      <c r="H547" s="178">
        <v>4.9000000000000004</v>
      </c>
      <c r="J547" s="294"/>
      <c r="K547" s="295"/>
      <c r="L547" s="72"/>
      <c r="M547" s="133"/>
      <c r="N547" s="72"/>
      <c r="O547" s="224"/>
      <c r="P547" s="219"/>
      <c r="Q547" s="84"/>
      <c r="S547" s="136"/>
      <c r="T547" s="136"/>
    </row>
    <row r="548" spans="1:22">
      <c r="A548" s="71" t="s">
        <v>7004</v>
      </c>
      <c r="B548" s="67" t="s">
        <v>7005</v>
      </c>
      <c r="C548" s="71" t="s">
        <v>153</v>
      </c>
      <c r="D548" s="78">
        <v>63.97</v>
      </c>
      <c r="E548" s="663">
        <v>2</v>
      </c>
      <c r="H548" s="178">
        <v>63.97</v>
      </c>
      <c r="J548" s="294"/>
      <c r="K548" s="295"/>
      <c r="L548" s="72"/>
      <c r="M548" s="133"/>
      <c r="N548" s="72"/>
      <c r="O548" s="224"/>
      <c r="P548" s="219"/>
      <c r="Q548" s="84"/>
      <c r="S548" s="136"/>
      <c r="T548" s="136"/>
      <c r="V548" s="136"/>
    </row>
    <row r="549" spans="1:22">
      <c r="A549" s="71" t="s">
        <v>7006</v>
      </c>
      <c r="B549" s="67" t="s">
        <v>7007</v>
      </c>
      <c r="C549" s="71" t="s">
        <v>103</v>
      </c>
      <c r="D549" s="78">
        <v>7.85</v>
      </c>
      <c r="E549" s="663">
        <v>2</v>
      </c>
      <c r="H549" s="178">
        <v>7.85</v>
      </c>
      <c r="J549" s="294"/>
      <c r="K549" s="295"/>
      <c r="L549" s="72"/>
      <c r="M549" s="133"/>
      <c r="N549" s="72"/>
      <c r="O549" s="224"/>
      <c r="P549" s="219"/>
      <c r="Q549" s="84"/>
      <c r="S549" s="136"/>
      <c r="T549" s="136"/>
      <c r="V549" s="136"/>
    </row>
    <row r="550" spans="1:22">
      <c r="A550" s="71" t="s">
        <v>7008</v>
      </c>
      <c r="B550" s="67" t="s">
        <v>7009</v>
      </c>
      <c r="C550" s="71" t="s">
        <v>165</v>
      </c>
      <c r="D550" s="78">
        <v>9.07</v>
      </c>
      <c r="E550" s="663">
        <v>2</v>
      </c>
      <c r="H550" s="178">
        <v>9.07</v>
      </c>
      <c r="J550" s="294"/>
      <c r="K550" s="295"/>
      <c r="L550" s="72"/>
      <c r="M550" s="133"/>
      <c r="N550" s="72"/>
      <c r="O550" s="224"/>
      <c r="P550" s="219"/>
      <c r="Q550" s="84"/>
      <c r="S550" s="136"/>
      <c r="T550" s="136"/>
      <c r="V550" s="136"/>
    </row>
    <row r="551" spans="1:22">
      <c r="A551" s="71" t="s">
        <v>7010</v>
      </c>
      <c r="B551" s="67" t="s">
        <v>7011</v>
      </c>
      <c r="C551" s="71" t="s">
        <v>103</v>
      </c>
      <c r="D551" s="78">
        <v>34.54</v>
      </c>
      <c r="E551" s="663">
        <v>2</v>
      </c>
      <c r="H551" s="178">
        <v>34.54</v>
      </c>
      <c r="J551" s="294"/>
      <c r="K551" s="295"/>
      <c r="L551" s="72"/>
      <c r="M551" s="133"/>
      <c r="N551" s="72"/>
      <c r="O551" s="224"/>
      <c r="P551" s="219"/>
      <c r="Q551" s="84"/>
      <c r="S551" s="136"/>
      <c r="T551" s="136"/>
      <c r="V551" s="136"/>
    </row>
    <row r="552" spans="1:22">
      <c r="A552" s="71" t="s">
        <v>7012</v>
      </c>
      <c r="B552" s="67" t="s">
        <v>7013</v>
      </c>
      <c r="C552" s="71" t="s">
        <v>165</v>
      </c>
      <c r="D552" s="78">
        <v>6.4</v>
      </c>
      <c r="E552" s="663">
        <v>2</v>
      </c>
      <c r="H552" s="178">
        <v>6.4</v>
      </c>
      <c r="J552" s="294"/>
      <c r="K552" s="295"/>
      <c r="L552" s="72"/>
      <c r="M552" s="133"/>
      <c r="N552" s="72"/>
      <c r="O552" s="224"/>
      <c r="P552" s="219"/>
      <c r="Q552" s="84"/>
      <c r="S552" s="136"/>
      <c r="T552" s="136"/>
      <c r="V552" s="136"/>
    </row>
    <row r="553" spans="1:22">
      <c r="A553" s="71" t="s">
        <v>7014</v>
      </c>
      <c r="B553" s="67" t="s">
        <v>7015</v>
      </c>
      <c r="C553" s="71" t="s">
        <v>165</v>
      </c>
      <c r="D553" s="78">
        <v>14.48</v>
      </c>
      <c r="E553" s="663">
        <v>2</v>
      </c>
      <c r="H553" s="178">
        <v>14.48</v>
      </c>
      <c r="J553" s="294"/>
      <c r="K553" s="295"/>
      <c r="L553" s="72"/>
      <c r="M553" s="133"/>
      <c r="N553" s="72"/>
      <c r="O553" s="224"/>
      <c r="P553" s="219"/>
      <c r="Q553" s="84"/>
      <c r="S553" s="136"/>
      <c r="T553" s="136"/>
      <c r="V553" s="136"/>
    </row>
    <row r="554" spans="1:22">
      <c r="A554" s="71" t="s">
        <v>7016</v>
      </c>
      <c r="B554" s="67" t="s">
        <v>7017</v>
      </c>
      <c r="C554" s="71" t="s">
        <v>165</v>
      </c>
      <c r="D554" s="78">
        <v>14.7</v>
      </c>
      <c r="E554" s="663">
        <v>2</v>
      </c>
      <c r="H554" s="178">
        <v>14.7</v>
      </c>
      <c r="J554" s="294"/>
      <c r="K554" s="295"/>
      <c r="L554" s="72"/>
      <c r="M554" s="133"/>
      <c r="N554" s="72"/>
      <c r="O554" s="224"/>
      <c r="P554" s="219"/>
      <c r="Q554" s="84"/>
      <c r="S554" s="136"/>
      <c r="T554" s="136"/>
      <c r="V554" s="136"/>
    </row>
    <row r="555" spans="1:22">
      <c r="A555" s="71" t="s">
        <v>7018</v>
      </c>
      <c r="B555" s="67" t="s">
        <v>7019</v>
      </c>
      <c r="C555" s="71" t="s">
        <v>165</v>
      </c>
      <c r="D555" s="78">
        <v>8.52</v>
      </c>
      <c r="E555" s="663">
        <v>2</v>
      </c>
      <c r="H555" s="178">
        <v>8.52</v>
      </c>
      <c r="J555" s="294"/>
      <c r="K555" s="295"/>
      <c r="L555" s="72"/>
      <c r="M555" s="133"/>
      <c r="N555" s="72"/>
      <c r="O555" s="224"/>
      <c r="P555" s="219"/>
      <c r="Q555" s="84"/>
      <c r="S555" s="136"/>
      <c r="T555" s="136"/>
      <c r="V555" s="136"/>
    </row>
    <row r="556" spans="1:22">
      <c r="A556" s="71" t="s">
        <v>7020</v>
      </c>
      <c r="B556" s="67" t="s">
        <v>7021</v>
      </c>
      <c r="C556" s="71" t="s">
        <v>103</v>
      </c>
      <c r="D556" s="78">
        <v>1400.06</v>
      </c>
      <c r="E556" s="663">
        <v>2</v>
      </c>
      <c r="H556" s="178">
        <v>1400.06</v>
      </c>
      <c r="J556" s="294"/>
      <c r="K556" s="295"/>
      <c r="L556" s="72"/>
      <c r="M556" s="133"/>
      <c r="N556" s="72"/>
      <c r="O556" s="224"/>
      <c r="P556" s="219"/>
      <c r="Q556" s="84"/>
      <c r="S556" s="136"/>
      <c r="T556" s="136"/>
      <c r="V556" s="136"/>
    </row>
    <row r="557" spans="1:22">
      <c r="A557" s="71" t="s">
        <v>7022</v>
      </c>
      <c r="B557" s="67" t="s">
        <v>7023</v>
      </c>
      <c r="C557" s="71" t="s">
        <v>103</v>
      </c>
      <c r="D557" s="78">
        <v>3431.11</v>
      </c>
      <c r="E557" s="663">
        <v>2</v>
      </c>
      <c r="H557" s="178">
        <v>3431.11</v>
      </c>
      <c r="J557" s="294"/>
      <c r="K557" s="295"/>
      <c r="L557" s="72"/>
      <c r="M557" s="133"/>
      <c r="N557" s="72"/>
      <c r="O557" s="224"/>
      <c r="P557" s="219"/>
      <c r="Q557" s="84"/>
      <c r="S557" s="136"/>
      <c r="T557" s="136"/>
      <c r="V557" s="136"/>
    </row>
    <row r="558" spans="1:22">
      <c r="A558" s="71" t="s">
        <v>7024</v>
      </c>
      <c r="B558" s="67" t="s">
        <v>7025</v>
      </c>
      <c r="C558" s="71" t="s">
        <v>103</v>
      </c>
      <c r="D558" s="78">
        <v>193.88</v>
      </c>
      <c r="E558" s="663">
        <v>2</v>
      </c>
      <c r="H558" s="178">
        <v>193.88</v>
      </c>
      <c r="J558" s="294"/>
      <c r="K558" s="295"/>
      <c r="L558" s="72"/>
      <c r="M558" s="133"/>
      <c r="N558" s="72"/>
      <c r="O558" s="224"/>
      <c r="P558" s="219"/>
      <c r="Q558" s="84"/>
      <c r="S558" s="136"/>
      <c r="T558" s="136"/>
      <c r="V558" s="136"/>
    </row>
    <row r="559" spans="1:22">
      <c r="A559" s="71" t="s">
        <v>7026</v>
      </c>
      <c r="B559" s="67" t="s">
        <v>7027</v>
      </c>
      <c r="C559" s="71" t="s">
        <v>103</v>
      </c>
      <c r="D559" s="78">
        <v>318.33999999999997</v>
      </c>
      <c r="E559" s="663">
        <v>2</v>
      </c>
      <c r="H559" s="178">
        <v>318.33999999999997</v>
      </c>
      <c r="J559" s="294"/>
      <c r="K559" s="295"/>
      <c r="L559" s="72"/>
      <c r="M559" s="133"/>
      <c r="N559" s="72"/>
      <c r="O559" s="224"/>
      <c r="P559" s="219"/>
      <c r="Q559" s="84"/>
      <c r="S559" s="136"/>
      <c r="T559" s="136"/>
      <c r="V559" s="136"/>
    </row>
    <row r="560" spans="1:22">
      <c r="A560" s="71" t="s">
        <v>7028</v>
      </c>
      <c r="B560" s="67" t="s">
        <v>7029</v>
      </c>
      <c r="C560" s="71" t="s">
        <v>509</v>
      </c>
      <c r="D560" s="78">
        <v>1096.3900000000001</v>
      </c>
      <c r="E560" s="663">
        <v>2</v>
      </c>
      <c r="H560" s="178">
        <v>1096.3900000000001</v>
      </c>
      <c r="J560" s="294"/>
      <c r="K560" s="295"/>
      <c r="L560" s="72"/>
      <c r="M560" s="133"/>
      <c r="N560" s="72"/>
      <c r="O560" s="224"/>
      <c r="P560" s="219"/>
      <c r="Q560" s="84"/>
      <c r="S560" s="136"/>
      <c r="T560" s="136"/>
      <c r="V560" s="136"/>
    </row>
    <row r="561" spans="1:22">
      <c r="A561" s="71" t="s">
        <v>7030</v>
      </c>
      <c r="B561" s="67" t="s">
        <v>7031</v>
      </c>
      <c r="C561" s="71" t="s">
        <v>7032</v>
      </c>
      <c r="D561" s="78">
        <v>211.09</v>
      </c>
      <c r="E561" s="663">
        <v>2</v>
      </c>
      <c r="H561" s="178">
        <v>211.09</v>
      </c>
      <c r="J561" s="294"/>
      <c r="K561" s="295"/>
      <c r="L561" s="72"/>
      <c r="M561" s="133"/>
      <c r="N561" s="72"/>
      <c r="O561" s="224"/>
      <c r="P561" s="219"/>
      <c r="Q561" s="84"/>
      <c r="S561" s="136"/>
      <c r="T561" s="136"/>
    </row>
    <row r="562" spans="1:22">
      <c r="A562" s="71" t="s">
        <v>7033</v>
      </c>
      <c r="B562" s="67" t="s">
        <v>7034</v>
      </c>
      <c r="C562" s="71" t="s">
        <v>7032</v>
      </c>
      <c r="D562" s="78">
        <v>1232.03</v>
      </c>
      <c r="E562" s="663">
        <v>2</v>
      </c>
      <c r="H562" s="178">
        <v>1232.03</v>
      </c>
      <c r="J562" s="294"/>
      <c r="K562" s="295"/>
      <c r="L562" s="72"/>
      <c r="M562" s="133"/>
      <c r="N562" s="72"/>
      <c r="O562" s="224"/>
      <c r="P562" s="219"/>
      <c r="Q562" s="84"/>
      <c r="S562" s="136"/>
      <c r="T562" s="136"/>
    </row>
    <row r="563" spans="1:22">
      <c r="A563" s="71" t="s">
        <v>7035</v>
      </c>
      <c r="B563" s="67" t="s">
        <v>7036</v>
      </c>
      <c r="C563" s="71" t="s">
        <v>7032</v>
      </c>
      <c r="D563" s="78">
        <v>1283.7</v>
      </c>
      <c r="E563" s="663">
        <v>2</v>
      </c>
      <c r="H563" s="178">
        <v>1283.7</v>
      </c>
      <c r="J563" s="294"/>
      <c r="K563" s="295"/>
      <c r="L563" s="72"/>
      <c r="M563" s="133"/>
      <c r="N563" s="72"/>
      <c r="O563" s="224"/>
      <c r="P563" s="219"/>
      <c r="Q563" s="84"/>
      <c r="S563" s="136"/>
      <c r="T563" s="136"/>
    </row>
    <row r="564" spans="1:22">
      <c r="A564" s="71" t="s">
        <v>7037</v>
      </c>
      <c r="B564" s="67" t="s">
        <v>7038</v>
      </c>
      <c r="C564" s="71" t="s">
        <v>7032</v>
      </c>
      <c r="D564" s="78">
        <v>1153.03</v>
      </c>
      <c r="E564" s="663">
        <v>2</v>
      </c>
      <c r="H564" s="178">
        <v>1153.03</v>
      </c>
      <c r="J564" s="294"/>
      <c r="K564" s="295"/>
      <c r="L564" s="72"/>
      <c r="M564" s="133"/>
      <c r="N564" s="72"/>
      <c r="O564" s="224"/>
      <c r="P564" s="219"/>
      <c r="Q564" s="84"/>
      <c r="S564" s="136"/>
      <c r="T564" s="136"/>
    </row>
    <row r="565" spans="1:22">
      <c r="A565" s="71" t="s">
        <v>7039</v>
      </c>
      <c r="B565" s="67" t="s">
        <v>7040</v>
      </c>
      <c r="C565" s="71" t="s">
        <v>7032</v>
      </c>
      <c r="D565" s="78">
        <v>1144.19</v>
      </c>
      <c r="E565" s="663">
        <v>2</v>
      </c>
      <c r="H565" s="179">
        <v>1144.19</v>
      </c>
      <c r="J565" s="294"/>
      <c r="K565" s="295"/>
      <c r="L565" s="72"/>
      <c r="M565" s="133"/>
      <c r="N565" s="72"/>
      <c r="O565" s="224"/>
      <c r="P565" s="219"/>
      <c r="Q565" s="84"/>
      <c r="S565" s="137"/>
      <c r="T565" s="137"/>
    </row>
    <row r="566" spans="1:22">
      <c r="A566" s="71" t="s">
        <v>7041</v>
      </c>
      <c r="B566" s="67" t="s">
        <v>7042</v>
      </c>
      <c r="C566" s="71" t="s">
        <v>103</v>
      </c>
      <c r="D566" s="78">
        <v>1050.43</v>
      </c>
      <c r="E566" s="663">
        <v>2</v>
      </c>
      <c r="H566" s="178">
        <v>1050.43</v>
      </c>
      <c r="J566" s="294"/>
      <c r="K566" s="295"/>
      <c r="L566" s="72"/>
      <c r="M566" s="133"/>
      <c r="N566" s="72"/>
      <c r="O566" s="224"/>
      <c r="P566" s="219"/>
      <c r="Q566" s="84"/>
      <c r="S566" s="136"/>
      <c r="T566" s="136"/>
    </row>
    <row r="567" spans="1:22">
      <c r="A567" s="71" t="s">
        <v>7043</v>
      </c>
      <c r="B567" s="67" t="s">
        <v>7044</v>
      </c>
      <c r="C567" s="71" t="s">
        <v>103</v>
      </c>
      <c r="D567" s="78">
        <v>945.38</v>
      </c>
      <c r="E567" s="663">
        <v>2</v>
      </c>
      <c r="H567" s="178">
        <v>945.38</v>
      </c>
      <c r="J567" s="294"/>
      <c r="K567" s="295"/>
      <c r="L567" s="72"/>
      <c r="M567" s="133"/>
      <c r="N567" s="72"/>
      <c r="O567" s="224"/>
      <c r="P567" s="219"/>
      <c r="Q567" s="84"/>
      <c r="S567" s="136"/>
      <c r="T567" s="136"/>
    </row>
    <row r="568" spans="1:22">
      <c r="A568" s="71" t="s">
        <v>7045</v>
      </c>
      <c r="B568" s="67" t="s">
        <v>7046</v>
      </c>
      <c r="C568" s="71" t="s">
        <v>103</v>
      </c>
      <c r="D568" s="78">
        <v>861.61</v>
      </c>
      <c r="E568" s="663">
        <v>2</v>
      </c>
      <c r="H568" s="178">
        <v>861.61</v>
      </c>
      <c r="J568" s="294"/>
      <c r="K568" s="295"/>
      <c r="L568" s="72"/>
      <c r="M568" s="133"/>
      <c r="N568" s="72"/>
      <c r="O568" s="224"/>
      <c r="P568" s="219"/>
      <c r="Q568" s="84"/>
      <c r="S568" s="136"/>
      <c r="T568" s="136"/>
    </row>
    <row r="569" spans="1:22">
      <c r="A569" s="71" t="s">
        <v>7047</v>
      </c>
      <c r="B569" s="67" t="s">
        <v>7048</v>
      </c>
      <c r="C569" s="71" t="s">
        <v>103</v>
      </c>
      <c r="D569" s="78">
        <v>769.24</v>
      </c>
      <c r="E569" s="663">
        <v>2</v>
      </c>
      <c r="H569" s="178">
        <v>769.24</v>
      </c>
      <c r="J569" s="294"/>
      <c r="K569" s="295"/>
      <c r="L569" s="72"/>
      <c r="M569" s="133"/>
      <c r="N569" s="72"/>
      <c r="O569" s="224"/>
      <c r="P569" s="219"/>
      <c r="Q569" s="84"/>
      <c r="S569" s="136"/>
      <c r="T569" s="136"/>
    </row>
    <row r="570" spans="1:22">
      <c r="A570" s="71" t="s">
        <v>7049</v>
      </c>
      <c r="B570" s="67" t="s">
        <v>7050</v>
      </c>
      <c r="C570" s="71" t="s">
        <v>103</v>
      </c>
      <c r="D570" s="78">
        <v>806.25</v>
      </c>
      <c r="E570" s="663">
        <v>2</v>
      </c>
      <c r="H570" s="178">
        <v>806.25</v>
      </c>
      <c r="J570" s="294"/>
      <c r="K570" s="295"/>
      <c r="L570" s="72"/>
      <c r="M570" s="133"/>
      <c r="N570" s="72"/>
      <c r="O570" s="224"/>
      <c r="P570" s="219"/>
      <c r="Q570" s="84"/>
      <c r="S570" s="136"/>
      <c r="T570" s="136"/>
      <c r="V570" s="136"/>
    </row>
    <row r="571" spans="1:22">
      <c r="A571" s="71" t="s">
        <v>7051</v>
      </c>
      <c r="B571" s="67" t="s">
        <v>7052</v>
      </c>
      <c r="C571" s="71" t="s">
        <v>103</v>
      </c>
      <c r="D571" s="78">
        <v>1548.22</v>
      </c>
      <c r="E571" s="663">
        <v>2</v>
      </c>
      <c r="H571" s="178">
        <v>1548.22</v>
      </c>
      <c r="J571" s="294"/>
      <c r="K571" s="295"/>
      <c r="L571" s="72"/>
      <c r="M571" s="133"/>
      <c r="N571" s="72"/>
      <c r="O571" s="224"/>
      <c r="P571" s="219"/>
      <c r="Q571" s="84"/>
      <c r="S571" s="136"/>
      <c r="T571" s="136"/>
    </row>
    <row r="572" spans="1:22">
      <c r="A572" s="71" t="s">
        <v>7053</v>
      </c>
      <c r="B572" s="67" t="s">
        <v>7054</v>
      </c>
      <c r="C572" s="71" t="s">
        <v>103</v>
      </c>
      <c r="D572" s="78">
        <v>331.28</v>
      </c>
      <c r="E572" s="663">
        <v>2</v>
      </c>
      <c r="H572" s="178">
        <v>331.28</v>
      </c>
      <c r="J572" s="294"/>
      <c r="K572" s="295"/>
      <c r="L572" s="72"/>
      <c r="M572" s="133"/>
      <c r="N572" s="72"/>
      <c r="O572" s="224"/>
      <c r="P572" s="219"/>
      <c r="Q572" s="84"/>
      <c r="S572" s="136"/>
      <c r="T572" s="136"/>
    </row>
    <row r="573" spans="1:22">
      <c r="A573" s="71" t="s">
        <v>7055</v>
      </c>
      <c r="B573" s="67" t="s">
        <v>7056</v>
      </c>
      <c r="C573" s="71" t="s">
        <v>103</v>
      </c>
      <c r="D573" s="78">
        <v>449.43</v>
      </c>
      <c r="E573" s="663">
        <v>2</v>
      </c>
      <c r="H573" s="178">
        <v>449.43</v>
      </c>
      <c r="J573" s="294"/>
      <c r="K573" s="295"/>
      <c r="L573" s="72"/>
      <c r="M573" s="133"/>
      <c r="N573" s="72"/>
      <c r="O573" s="224"/>
      <c r="P573" s="219"/>
      <c r="Q573" s="84"/>
      <c r="S573" s="136"/>
      <c r="T573" s="136"/>
    </row>
    <row r="574" spans="1:22">
      <c r="A574" s="71" t="s">
        <v>7057</v>
      </c>
      <c r="B574" s="67" t="s">
        <v>7058</v>
      </c>
      <c r="C574" s="71" t="s">
        <v>103</v>
      </c>
      <c r="D574" s="78">
        <v>421.92</v>
      </c>
      <c r="E574" s="663">
        <v>2</v>
      </c>
      <c r="H574" s="178">
        <v>421.92</v>
      </c>
      <c r="J574" s="294"/>
      <c r="K574" s="295"/>
      <c r="L574" s="72"/>
      <c r="M574" s="133"/>
      <c r="N574" s="72"/>
      <c r="O574" s="224"/>
      <c r="P574" s="219"/>
      <c r="Q574" s="84"/>
      <c r="S574" s="136"/>
      <c r="T574" s="136"/>
    </row>
    <row r="575" spans="1:22">
      <c r="A575" s="71" t="s">
        <v>7059</v>
      </c>
      <c r="B575" s="67" t="s">
        <v>7060</v>
      </c>
      <c r="C575" s="71" t="s">
        <v>103</v>
      </c>
      <c r="D575" s="78">
        <v>243.29</v>
      </c>
      <c r="E575" s="663">
        <v>2</v>
      </c>
      <c r="H575" s="178">
        <v>243.29</v>
      </c>
      <c r="J575" s="294"/>
      <c r="K575" s="295"/>
      <c r="L575" s="72"/>
      <c r="M575" s="133"/>
      <c r="N575" s="72"/>
      <c r="O575" s="224"/>
      <c r="P575" s="219"/>
      <c r="Q575" s="84"/>
      <c r="S575" s="136"/>
      <c r="T575" s="136"/>
    </row>
    <row r="576" spans="1:22">
      <c r="A576" s="71" t="s">
        <v>7061</v>
      </c>
      <c r="B576" s="67" t="s">
        <v>7062</v>
      </c>
      <c r="C576" s="71" t="s">
        <v>103</v>
      </c>
      <c r="D576" s="78">
        <v>272.47000000000003</v>
      </c>
      <c r="E576" s="663">
        <v>2</v>
      </c>
      <c r="H576" s="178">
        <v>272.47000000000003</v>
      </c>
      <c r="J576" s="294"/>
      <c r="K576" s="295"/>
      <c r="L576" s="72"/>
      <c r="M576" s="133"/>
      <c r="N576" s="72"/>
      <c r="O576" s="224"/>
      <c r="P576" s="219"/>
      <c r="Q576" s="84"/>
      <c r="S576" s="136"/>
      <c r="T576" s="136"/>
    </row>
    <row r="577" spans="1:22">
      <c r="A577" s="71" t="s">
        <v>7063</v>
      </c>
      <c r="B577" s="67" t="s">
        <v>7064</v>
      </c>
      <c r="C577" s="71" t="s">
        <v>103</v>
      </c>
      <c r="D577" s="78">
        <v>236.84</v>
      </c>
      <c r="E577" s="663">
        <v>2</v>
      </c>
      <c r="H577" s="178">
        <v>236.84</v>
      </c>
      <c r="J577" s="294"/>
      <c r="K577" s="295"/>
      <c r="L577" s="72"/>
      <c r="M577" s="133"/>
      <c r="N577" s="72"/>
      <c r="O577" s="224"/>
      <c r="P577" s="219"/>
      <c r="Q577" s="84"/>
      <c r="S577" s="136"/>
      <c r="T577" s="136"/>
    </row>
    <row r="578" spans="1:22">
      <c r="A578" s="71" t="s">
        <v>7065</v>
      </c>
      <c r="B578" s="67" t="s">
        <v>7066</v>
      </c>
      <c r="C578" s="71" t="s">
        <v>103</v>
      </c>
      <c r="D578" s="78">
        <v>1441.46</v>
      </c>
      <c r="E578" s="663">
        <v>2</v>
      </c>
      <c r="H578" s="178">
        <v>1441.46</v>
      </c>
      <c r="J578" s="294"/>
      <c r="K578" s="295"/>
      <c r="L578" s="72"/>
      <c r="M578" s="133"/>
      <c r="N578" s="72"/>
      <c r="O578" s="224"/>
      <c r="P578" s="219"/>
      <c r="Q578" s="84"/>
      <c r="S578" s="136"/>
      <c r="T578" s="136"/>
    </row>
    <row r="579" spans="1:22">
      <c r="A579" s="71" t="s">
        <v>7067</v>
      </c>
      <c r="B579" s="67" t="s">
        <v>7068</v>
      </c>
      <c r="C579" s="71" t="s">
        <v>103</v>
      </c>
      <c r="D579" s="78">
        <v>1025.07</v>
      </c>
      <c r="E579" s="663">
        <v>2</v>
      </c>
      <c r="H579" s="178">
        <v>1025.07</v>
      </c>
      <c r="J579" s="294"/>
      <c r="K579" s="295"/>
      <c r="L579" s="72"/>
      <c r="M579" s="133"/>
      <c r="N579" s="72"/>
      <c r="O579" s="224"/>
      <c r="P579" s="219"/>
      <c r="Q579" s="84"/>
      <c r="S579" s="136"/>
      <c r="T579" s="136"/>
    </row>
    <row r="580" spans="1:22">
      <c r="A580" s="71" t="s">
        <v>7069</v>
      </c>
      <c r="B580" s="67" t="s">
        <v>7070</v>
      </c>
      <c r="C580" s="71" t="s">
        <v>103</v>
      </c>
      <c r="D580" s="78">
        <v>214.18</v>
      </c>
      <c r="E580" s="663">
        <v>2</v>
      </c>
      <c r="H580" s="178">
        <v>214.18</v>
      </c>
      <c r="J580" s="294"/>
      <c r="K580" s="295"/>
      <c r="L580" s="72"/>
      <c r="M580" s="133"/>
      <c r="N580" s="72"/>
      <c r="O580" s="224"/>
      <c r="P580" s="219"/>
      <c r="Q580" s="84"/>
      <c r="S580" s="136"/>
      <c r="T580" s="136"/>
    </row>
    <row r="581" spans="1:22">
      <c r="A581" s="71" t="s">
        <v>7071</v>
      </c>
      <c r="B581" s="67" t="s">
        <v>7072</v>
      </c>
      <c r="C581" s="71" t="s">
        <v>103</v>
      </c>
      <c r="D581" s="78">
        <v>218.02</v>
      </c>
      <c r="E581" s="663">
        <v>2</v>
      </c>
      <c r="H581" s="178">
        <v>218.02</v>
      </c>
      <c r="J581" s="294"/>
      <c r="K581" s="295"/>
      <c r="L581" s="72"/>
      <c r="M581" s="133"/>
      <c r="N581" s="72"/>
      <c r="O581" s="224"/>
      <c r="P581" s="219"/>
      <c r="Q581" s="84"/>
      <c r="S581" s="136"/>
      <c r="T581" s="136"/>
    </row>
    <row r="582" spans="1:22">
      <c r="A582" s="71" t="s">
        <v>7073</v>
      </c>
      <c r="B582" s="67" t="s">
        <v>7074</v>
      </c>
      <c r="C582" s="71" t="s">
        <v>103</v>
      </c>
      <c r="D582" s="78">
        <v>255.23</v>
      </c>
      <c r="E582" s="663">
        <v>2</v>
      </c>
      <c r="H582" s="178">
        <v>255.23</v>
      </c>
      <c r="J582" s="294"/>
      <c r="K582" s="295"/>
      <c r="L582" s="72"/>
      <c r="M582" s="133"/>
      <c r="N582" s="72"/>
      <c r="O582" s="224"/>
      <c r="P582" s="219"/>
      <c r="Q582" s="84"/>
      <c r="S582" s="136"/>
      <c r="T582" s="136"/>
    </row>
    <row r="583" spans="1:22">
      <c r="A583" s="71" t="s">
        <v>7075</v>
      </c>
      <c r="B583" s="312" t="s">
        <v>7076</v>
      </c>
      <c r="C583" s="306" t="s">
        <v>103</v>
      </c>
      <c r="D583" s="78">
        <v>1653.72</v>
      </c>
      <c r="E583" s="663">
        <v>2</v>
      </c>
      <c r="H583" s="308">
        <v>1653.72</v>
      </c>
      <c r="T583" s="84"/>
    </row>
    <row r="584" spans="1:22">
      <c r="A584" s="71" t="s">
        <v>7077</v>
      </c>
      <c r="B584" s="67" t="s">
        <v>7078</v>
      </c>
      <c r="C584" s="71" t="s">
        <v>509</v>
      </c>
      <c r="D584" s="78">
        <v>126.61</v>
      </c>
      <c r="E584" s="663">
        <v>2</v>
      </c>
      <c r="H584" s="178">
        <v>126.61</v>
      </c>
      <c r="J584" s="294"/>
      <c r="K584" s="295"/>
      <c r="L584" s="72"/>
      <c r="M584" s="133"/>
      <c r="N584" s="72"/>
      <c r="O584" s="224"/>
      <c r="P584" s="219"/>
      <c r="Q584" s="84"/>
      <c r="S584" s="136"/>
      <c r="T584" s="136"/>
      <c r="V584" s="136"/>
    </row>
    <row r="585" spans="1:22">
      <c r="A585" s="71" t="s">
        <v>7079</v>
      </c>
      <c r="B585" s="67" t="s">
        <v>7080</v>
      </c>
      <c r="C585" s="71" t="s">
        <v>509</v>
      </c>
      <c r="D585" s="78">
        <v>669.59</v>
      </c>
      <c r="E585" s="663">
        <v>2</v>
      </c>
      <c r="H585" s="178">
        <v>669.59</v>
      </c>
      <c r="J585" s="294"/>
      <c r="K585" s="295"/>
      <c r="L585" s="72"/>
      <c r="M585" s="133"/>
      <c r="N585" s="72"/>
      <c r="O585" s="224"/>
      <c r="P585" s="219"/>
      <c r="Q585" s="84"/>
      <c r="S585" s="136"/>
      <c r="T585" s="136"/>
      <c r="V585" s="136"/>
    </row>
    <row r="586" spans="1:22">
      <c r="A586" s="71" t="s">
        <v>7081</v>
      </c>
      <c r="B586" s="67" t="s">
        <v>7082</v>
      </c>
      <c r="C586" s="71" t="s">
        <v>509</v>
      </c>
      <c r="D586" s="78">
        <v>742.35</v>
      </c>
      <c r="E586" s="663">
        <v>2</v>
      </c>
      <c r="H586" s="178">
        <v>742.35</v>
      </c>
      <c r="J586" s="294"/>
      <c r="K586" s="295"/>
      <c r="L586" s="72"/>
      <c r="M586" s="133"/>
      <c r="N586" s="72"/>
      <c r="O586" s="224"/>
      <c r="P586" s="219"/>
      <c r="Q586" s="84"/>
      <c r="S586" s="136"/>
      <c r="T586" s="136"/>
    </row>
    <row r="587" spans="1:22">
      <c r="A587" s="71" t="s">
        <v>32930</v>
      </c>
      <c r="B587" s="67" t="s">
        <v>32931</v>
      </c>
      <c r="C587" s="71" t="s">
        <v>509</v>
      </c>
      <c r="D587" s="78">
        <v>826.73</v>
      </c>
      <c r="E587" s="663">
        <v>2</v>
      </c>
      <c r="H587" s="178">
        <v>826.73</v>
      </c>
      <c r="J587" s="294"/>
      <c r="K587" s="295"/>
      <c r="L587" s="72"/>
      <c r="M587" s="133"/>
      <c r="N587" s="72"/>
      <c r="O587" s="224"/>
      <c r="P587" s="219"/>
      <c r="Q587" s="84"/>
      <c r="S587" s="136"/>
      <c r="T587" s="136"/>
    </row>
    <row r="588" spans="1:22">
      <c r="A588" s="71" t="s">
        <v>7083</v>
      </c>
      <c r="B588" s="67" t="s">
        <v>7084</v>
      </c>
      <c r="C588" s="71" t="s">
        <v>103</v>
      </c>
      <c r="D588" s="78">
        <v>3779.5</v>
      </c>
      <c r="E588" s="663">
        <v>2</v>
      </c>
      <c r="H588" s="178">
        <v>3779.5</v>
      </c>
      <c r="J588" s="294"/>
      <c r="K588" s="295"/>
      <c r="L588" s="72"/>
      <c r="M588" s="133"/>
      <c r="N588" s="72"/>
      <c r="O588" s="224"/>
      <c r="P588" s="219"/>
      <c r="Q588" s="84"/>
      <c r="S588" s="136"/>
      <c r="T588" s="136"/>
    </row>
    <row r="589" spans="1:22">
      <c r="A589" s="71" t="s">
        <v>7085</v>
      </c>
      <c r="B589" s="67" t="s">
        <v>7086</v>
      </c>
      <c r="C589" s="71" t="s">
        <v>103</v>
      </c>
      <c r="D589" s="78">
        <v>4375.38</v>
      </c>
      <c r="E589" s="663">
        <v>2</v>
      </c>
      <c r="H589" s="178">
        <v>4375.38</v>
      </c>
      <c r="J589" s="294"/>
      <c r="K589" s="295"/>
      <c r="L589" s="72"/>
      <c r="M589" s="133"/>
      <c r="N589" s="72"/>
      <c r="O589" s="224"/>
      <c r="P589" s="219"/>
      <c r="Q589" s="84"/>
      <c r="S589" s="136"/>
      <c r="T589" s="136"/>
      <c r="V589" s="136"/>
    </row>
    <row r="590" spans="1:22">
      <c r="A590" s="71" t="s">
        <v>7087</v>
      </c>
      <c r="B590" s="67" t="s">
        <v>7088</v>
      </c>
      <c r="C590" s="71" t="s">
        <v>103</v>
      </c>
      <c r="D590" s="78">
        <v>3164.84</v>
      </c>
      <c r="E590" s="663">
        <v>2</v>
      </c>
      <c r="H590" s="178">
        <v>3164.84</v>
      </c>
      <c r="J590" s="294"/>
      <c r="K590" s="295"/>
      <c r="L590" s="72"/>
      <c r="M590" s="133"/>
      <c r="N590" s="72"/>
      <c r="O590" s="224"/>
      <c r="P590" s="219"/>
      <c r="Q590" s="84"/>
      <c r="S590" s="136"/>
      <c r="T590" s="136"/>
    </row>
    <row r="591" spans="1:22">
      <c r="A591" s="71" t="s">
        <v>7089</v>
      </c>
      <c r="B591" s="67" t="s">
        <v>7090</v>
      </c>
      <c r="C591" s="71" t="s">
        <v>103</v>
      </c>
      <c r="D591" s="78">
        <v>1020.78</v>
      </c>
      <c r="E591" s="663">
        <v>2</v>
      </c>
      <c r="H591" s="178">
        <v>1020.78</v>
      </c>
      <c r="J591" s="294"/>
      <c r="K591" s="295"/>
      <c r="L591" s="72"/>
      <c r="M591" s="133"/>
      <c r="N591" s="72"/>
      <c r="O591" s="224"/>
      <c r="P591" s="219"/>
      <c r="Q591" s="84"/>
      <c r="S591" s="136"/>
      <c r="T591" s="136"/>
      <c r="V591" s="136"/>
    </row>
    <row r="592" spans="1:22">
      <c r="A592" s="71" t="s">
        <v>7091</v>
      </c>
      <c r="B592" s="67" t="s">
        <v>7092</v>
      </c>
      <c r="C592" s="71" t="s">
        <v>509</v>
      </c>
      <c r="D592" s="78">
        <v>345.2</v>
      </c>
      <c r="E592" s="663">
        <v>2</v>
      </c>
      <c r="H592" s="178">
        <v>345.2</v>
      </c>
      <c r="J592" s="294"/>
      <c r="K592" s="295"/>
      <c r="L592" s="72"/>
      <c r="M592" s="133"/>
      <c r="N592" s="72"/>
      <c r="O592" s="224"/>
      <c r="P592" s="219"/>
      <c r="Q592" s="84"/>
      <c r="S592" s="136"/>
      <c r="T592" s="136"/>
    </row>
    <row r="593" spans="1:22">
      <c r="A593" s="71" t="s">
        <v>7093</v>
      </c>
      <c r="B593" s="67" t="s">
        <v>7094</v>
      </c>
      <c r="C593" s="71" t="s">
        <v>103</v>
      </c>
      <c r="D593" s="78">
        <v>825.24</v>
      </c>
      <c r="E593" s="663">
        <v>2</v>
      </c>
      <c r="H593" s="721">
        <v>825.24</v>
      </c>
      <c r="J593" s="294"/>
      <c r="K593" s="295"/>
      <c r="M593" s="72"/>
      <c r="N593" s="133"/>
      <c r="O593" s="72"/>
      <c r="P593" s="224"/>
      <c r="Q593" s="219"/>
      <c r="T593" s="136"/>
      <c r="V593" s="136"/>
    </row>
    <row r="594" spans="1:22">
      <c r="A594" s="71" t="s">
        <v>7095</v>
      </c>
      <c r="B594" s="67" t="s">
        <v>7096</v>
      </c>
      <c r="C594" s="71" t="s">
        <v>103</v>
      </c>
      <c r="D594" s="78">
        <v>3441.03</v>
      </c>
      <c r="E594" s="663">
        <v>2</v>
      </c>
      <c r="H594" s="721">
        <v>3441.03</v>
      </c>
      <c r="J594" s="294"/>
      <c r="K594" s="295"/>
      <c r="M594" s="72"/>
      <c r="N594" s="133"/>
      <c r="O594" s="72"/>
      <c r="P594" s="224"/>
      <c r="Q594" s="219"/>
      <c r="T594" s="136"/>
      <c r="V594" s="136"/>
    </row>
    <row r="595" spans="1:22">
      <c r="A595" s="71" t="s">
        <v>7097</v>
      </c>
      <c r="B595" s="67" t="s">
        <v>7098</v>
      </c>
      <c r="C595" s="71" t="s">
        <v>165</v>
      </c>
      <c r="D595" s="78">
        <v>53.31</v>
      </c>
      <c r="E595" s="663">
        <v>2</v>
      </c>
      <c r="H595" s="178">
        <v>53.31</v>
      </c>
      <c r="J595" s="294"/>
      <c r="K595" s="295"/>
      <c r="L595" s="72"/>
      <c r="M595" s="133"/>
      <c r="N595" s="72"/>
      <c r="O595" s="224"/>
      <c r="P595" s="219"/>
      <c r="Q595" s="84"/>
      <c r="S595" s="136"/>
      <c r="T595" s="136"/>
      <c r="V595" s="136"/>
    </row>
    <row r="596" spans="1:22">
      <c r="A596" s="71" t="s">
        <v>7099</v>
      </c>
      <c r="B596" s="67" t="s">
        <v>7100</v>
      </c>
      <c r="C596" s="71" t="s">
        <v>207</v>
      </c>
      <c r="D596" s="78">
        <v>75.650000000000006</v>
      </c>
      <c r="E596" s="663">
        <v>2</v>
      </c>
      <c r="H596" s="178">
        <v>75.650000000000006</v>
      </c>
      <c r="J596" s="294"/>
      <c r="K596" s="295"/>
      <c r="L596" s="72"/>
      <c r="M596" s="133"/>
      <c r="N596" s="72"/>
      <c r="O596" s="224"/>
      <c r="P596" s="219"/>
      <c r="Q596" s="84"/>
      <c r="S596" s="136"/>
      <c r="T596" s="136"/>
      <c r="V596" s="136"/>
    </row>
    <row r="597" spans="1:22">
      <c r="A597" s="71" t="s">
        <v>7101</v>
      </c>
      <c r="B597" s="67" t="s">
        <v>7102</v>
      </c>
      <c r="C597" s="71" t="s">
        <v>207</v>
      </c>
      <c r="D597" s="78">
        <v>43.68</v>
      </c>
      <c r="E597" s="663">
        <v>2</v>
      </c>
      <c r="H597" s="178">
        <v>43.68</v>
      </c>
      <c r="J597" s="294"/>
      <c r="K597" s="295"/>
      <c r="L597" s="72"/>
      <c r="M597" s="133"/>
      <c r="N597" s="72"/>
      <c r="O597" s="224"/>
      <c r="P597" s="219"/>
      <c r="Q597" s="84"/>
      <c r="S597" s="136"/>
      <c r="T597" s="136"/>
    </row>
    <row r="598" spans="1:22">
      <c r="A598" s="71" t="s">
        <v>7103</v>
      </c>
      <c r="B598" s="67" t="s">
        <v>7104</v>
      </c>
      <c r="C598" s="71" t="s">
        <v>103</v>
      </c>
      <c r="D598" s="78">
        <v>7476.59</v>
      </c>
      <c r="E598" s="663">
        <v>2</v>
      </c>
      <c r="H598" s="178">
        <v>7476.59</v>
      </c>
      <c r="J598" s="294"/>
      <c r="K598" s="295"/>
      <c r="L598" s="72"/>
      <c r="M598" s="133"/>
      <c r="N598" s="72"/>
      <c r="O598" s="224"/>
      <c r="P598" s="219"/>
      <c r="Q598" s="84"/>
      <c r="S598" s="136"/>
      <c r="T598" s="136"/>
    </row>
    <row r="599" spans="1:22">
      <c r="A599" s="71" t="s">
        <v>7105</v>
      </c>
      <c r="B599" s="67" t="s">
        <v>7106</v>
      </c>
      <c r="C599" s="71" t="s">
        <v>103</v>
      </c>
      <c r="D599" s="78">
        <v>1923.97</v>
      </c>
      <c r="E599" s="663">
        <v>2</v>
      </c>
      <c r="H599" s="178">
        <v>1923.97</v>
      </c>
      <c r="J599" s="294"/>
      <c r="K599" s="295"/>
      <c r="L599" s="72"/>
      <c r="M599" s="133"/>
      <c r="N599" s="72"/>
      <c r="O599" s="224"/>
      <c r="P599" s="219"/>
      <c r="Q599" s="84"/>
      <c r="S599" s="136"/>
      <c r="T599" s="136"/>
      <c r="V599" s="136"/>
    </row>
    <row r="600" spans="1:22">
      <c r="A600" s="71" t="s">
        <v>7107</v>
      </c>
      <c r="B600" s="67" t="s">
        <v>7108</v>
      </c>
      <c r="C600" s="71" t="s">
        <v>103</v>
      </c>
      <c r="D600" s="78">
        <v>1355.6</v>
      </c>
      <c r="E600" s="663">
        <v>2</v>
      </c>
      <c r="H600" s="178">
        <v>1355.6</v>
      </c>
      <c r="J600" s="294"/>
      <c r="K600" s="295"/>
      <c r="L600" s="72"/>
      <c r="M600" s="133"/>
      <c r="N600" s="72"/>
      <c r="O600" s="224"/>
      <c r="P600" s="219"/>
      <c r="Q600" s="84"/>
      <c r="S600" s="136"/>
      <c r="T600" s="136"/>
      <c r="V600" s="136"/>
    </row>
    <row r="601" spans="1:22">
      <c r="A601" s="71" t="s">
        <v>7109</v>
      </c>
      <c r="B601" s="67" t="s">
        <v>7110</v>
      </c>
      <c r="C601" s="71" t="s">
        <v>103</v>
      </c>
      <c r="D601" s="78">
        <v>5828.11</v>
      </c>
      <c r="E601" s="663">
        <v>2</v>
      </c>
      <c r="H601" s="178">
        <v>5828.11</v>
      </c>
      <c r="J601" s="294"/>
      <c r="K601" s="295"/>
      <c r="L601" s="72"/>
      <c r="M601" s="133"/>
      <c r="N601" s="72"/>
      <c r="O601" s="224"/>
      <c r="P601" s="219"/>
      <c r="Q601" s="84"/>
      <c r="S601" s="136"/>
      <c r="T601" s="136"/>
      <c r="V601" s="136"/>
    </row>
    <row r="602" spans="1:22">
      <c r="A602" s="71" t="s">
        <v>7111</v>
      </c>
      <c r="B602" s="67" t="s">
        <v>7112</v>
      </c>
      <c r="C602" s="71" t="s">
        <v>103</v>
      </c>
      <c r="D602" s="78">
        <v>5225</v>
      </c>
      <c r="E602" s="663">
        <v>2</v>
      </c>
      <c r="H602" s="178">
        <v>5225</v>
      </c>
      <c r="J602" s="294"/>
      <c r="K602" s="295"/>
      <c r="L602" s="72"/>
      <c r="M602" s="133"/>
      <c r="N602" s="72"/>
      <c r="O602" s="224"/>
      <c r="P602" s="219"/>
      <c r="Q602" s="84"/>
      <c r="S602" s="136"/>
      <c r="T602" s="136"/>
      <c r="V602" s="136"/>
    </row>
    <row r="603" spans="1:22">
      <c r="A603" s="71" t="s">
        <v>7113</v>
      </c>
      <c r="B603" s="67" t="s">
        <v>7114</v>
      </c>
      <c r="C603" s="71" t="s">
        <v>103</v>
      </c>
      <c r="D603" s="78">
        <v>2442.7800000000002</v>
      </c>
      <c r="E603" s="663">
        <v>2</v>
      </c>
      <c r="H603" s="178">
        <v>2442.7800000000002</v>
      </c>
      <c r="J603" s="294"/>
      <c r="K603" s="295"/>
      <c r="L603" s="72"/>
      <c r="M603" s="133"/>
      <c r="N603" s="72"/>
      <c r="O603" s="224"/>
      <c r="P603" s="219"/>
      <c r="Q603" s="84"/>
      <c r="S603" s="136"/>
      <c r="T603" s="136"/>
      <c r="V603" s="136"/>
    </row>
    <row r="604" spans="1:22">
      <c r="A604" s="71" t="s">
        <v>7115</v>
      </c>
      <c r="B604" s="67" t="s">
        <v>7116</v>
      </c>
      <c r="C604" s="71" t="s">
        <v>103</v>
      </c>
      <c r="D604" s="78">
        <v>779.93</v>
      </c>
      <c r="E604" s="663">
        <v>2</v>
      </c>
      <c r="H604" s="178">
        <v>779.93</v>
      </c>
      <c r="J604" s="294"/>
      <c r="K604" s="295"/>
      <c r="L604" s="72"/>
      <c r="M604" s="133"/>
      <c r="N604" s="72"/>
      <c r="O604" s="224"/>
      <c r="P604" s="219"/>
      <c r="Q604" s="84"/>
      <c r="S604" s="136"/>
      <c r="T604" s="136"/>
      <c r="V604" s="136"/>
    </row>
    <row r="605" spans="1:22">
      <c r="A605" s="71" t="s">
        <v>7117</v>
      </c>
      <c r="B605" s="67" t="s">
        <v>7118</v>
      </c>
      <c r="C605" s="71" t="s">
        <v>103</v>
      </c>
      <c r="D605" s="78">
        <v>3724.67</v>
      </c>
      <c r="E605" s="663">
        <v>2</v>
      </c>
      <c r="H605" s="178">
        <v>3724.67</v>
      </c>
      <c r="J605" s="294"/>
      <c r="K605" s="295"/>
      <c r="L605" s="72"/>
      <c r="M605" s="133"/>
      <c r="N605" s="72"/>
      <c r="O605" s="224"/>
      <c r="P605" s="219"/>
      <c r="Q605" s="84"/>
      <c r="S605" s="136"/>
      <c r="T605" s="136"/>
      <c r="V605" s="136"/>
    </row>
    <row r="606" spans="1:22">
      <c r="A606" s="71" t="s">
        <v>7119</v>
      </c>
      <c r="B606" s="67" t="s">
        <v>7120</v>
      </c>
      <c r="C606" s="71" t="s">
        <v>103</v>
      </c>
      <c r="D606" s="78">
        <v>7521.31</v>
      </c>
      <c r="E606" s="663">
        <v>2</v>
      </c>
      <c r="H606" s="178">
        <v>7521.31</v>
      </c>
      <c r="J606" s="294"/>
      <c r="K606" s="295"/>
      <c r="L606" s="72"/>
      <c r="M606" s="133"/>
      <c r="N606" s="72"/>
      <c r="O606" s="224"/>
      <c r="P606" s="219"/>
      <c r="Q606" s="84"/>
      <c r="S606" s="136"/>
      <c r="T606" s="136"/>
      <c r="V606" s="136"/>
    </row>
    <row r="607" spans="1:22">
      <c r="A607" s="71" t="s">
        <v>7121</v>
      </c>
      <c r="B607" s="67" t="s">
        <v>7122</v>
      </c>
      <c r="C607" s="71" t="s">
        <v>103</v>
      </c>
      <c r="D607" s="78">
        <v>2146.0300000000002</v>
      </c>
      <c r="E607" s="663">
        <v>2</v>
      </c>
      <c r="H607" s="178">
        <v>2146.0300000000002</v>
      </c>
      <c r="J607" s="294"/>
      <c r="K607" s="295"/>
      <c r="L607" s="72"/>
      <c r="M607" s="133"/>
      <c r="N607" s="72"/>
      <c r="O607" s="224"/>
      <c r="P607" s="219"/>
      <c r="Q607" s="84"/>
      <c r="S607" s="136"/>
      <c r="T607" s="136"/>
      <c r="V607" s="136"/>
    </row>
    <row r="608" spans="1:22">
      <c r="A608" s="71" t="s">
        <v>7123</v>
      </c>
      <c r="B608" s="67" t="s">
        <v>7124</v>
      </c>
      <c r="C608" s="71" t="s">
        <v>103</v>
      </c>
      <c r="D608" s="78">
        <v>4245.3</v>
      </c>
      <c r="E608" s="663">
        <v>2</v>
      </c>
      <c r="H608" s="178">
        <v>4245.3</v>
      </c>
      <c r="J608" s="294"/>
      <c r="K608" s="295"/>
      <c r="L608" s="72"/>
      <c r="M608" s="133"/>
      <c r="N608" s="72"/>
      <c r="O608" s="224"/>
      <c r="P608" s="219"/>
      <c r="Q608" s="84"/>
      <c r="S608" s="136"/>
      <c r="T608" s="136"/>
      <c r="V608" s="136"/>
    </row>
    <row r="609" spans="1:22">
      <c r="A609" s="71" t="s">
        <v>7125</v>
      </c>
      <c r="B609" s="67" t="s">
        <v>7126</v>
      </c>
      <c r="C609" s="71" t="s">
        <v>103</v>
      </c>
      <c r="D609" s="78">
        <v>196.14</v>
      </c>
      <c r="E609" s="663">
        <v>2</v>
      </c>
      <c r="H609" s="178">
        <v>196.14</v>
      </c>
      <c r="J609" s="294"/>
      <c r="K609" s="295"/>
      <c r="L609" s="72"/>
      <c r="M609" s="133"/>
      <c r="N609" s="72"/>
      <c r="O609" s="224"/>
      <c r="P609" s="219"/>
      <c r="Q609" s="84"/>
      <c r="S609" s="136"/>
      <c r="T609" s="136"/>
      <c r="V609" s="136"/>
    </row>
    <row r="610" spans="1:22">
      <c r="A610" s="71" t="s">
        <v>7127</v>
      </c>
      <c r="B610" s="67" t="s">
        <v>7128</v>
      </c>
      <c r="C610" s="71" t="s">
        <v>509</v>
      </c>
      <c r="D610" s="78">
        <v>212.1</v>
      </c>
      <c r="E610" s="663">
        <v>2</v>
      </c>
      <c r="H610" s="178">
        <v>212.1</v>
      </c>
      <c r="J610" s="294"/>
      <c r="K610" s="295"/>
      <c r="L610" s="72"/>
      <c r="M610" s="133"/>
      <c r="N610" s="72"/>
      <c r="O610" s="224"/>
      <c r="P610" s="219"/>
      <c r="Q610" s="84"/>
      <c r="S610" s="136"/>
      <c r="T610" s="136"/>
    </row>
    <row r="611" spans="1:22">
      <c r="A611" s="71" t="s">
        <v>7129</v>
      </c>
      <c r="B611" s="67" t="s">
        <v>7130</v>
      </c>
      <c r="C611" s="71" t="s">
        <v>509</v>
      </c>
      <c r="D611" s="78">
        <v>457.08</v>
      </c>
      <c r="E611" s="663">
        <v>2</v>
      </c>
      <c r="H611" s="178">
        <v>457.08</v>
      </c>
      <c r="J611" s="294"/>
      <c r="K611" s="295"/>
      <c r="L611" s="72"/>
      <c r="M611" s="133"/>
      <c r="N611" s="72"/>
      <c r="O611" s="224"/>
      <c r="P611" s="219"/>
      <c r="Q611" s="84"/>
      <c r="S611" s="136"/>
      <c r="T611" s="136"/>
    </row>
    <row r="612" spans="1:22">
      <c r="A612" s="71" t="s">
        <v>7131</v>
      </c>
      <c r="B612" s="67" t="s">
        <v>7132</v>
      </c>
      <c r="C612" s="71" t="s">
        <v>509</v>
      </c>
      <c r="D612" s="78">
        <v>342.1</v>
      </c>
      <c r="E612" s="663">
        <v>2</v>
      </c>
      <c r="H612" s="178">
        <v>342.1</v>
      </c>
      <c r="J612" s="294"/>
      <c r="K612" s="295"/>
      <c r="L612" s="72"/>
      <c r="M612" s="133"/>
      <c r="N612" s="72"/>
      <c r="O612" s="224"/>
      <c r="P612" s="219"/>
      <c r="Q612" s="84"/>
      <c r="S612" s="136"/>
      <c r="T612" s="136"/>
    </row>
    <row r="613" spans="1:22">
      <c r="A613" s="71" t="s">
        <v>7133</v>
      </c>
      <c r="B613" s="67" t="s">
        <v>7134</v>
      </c>
      <c r="C613" s="71" t="s">
        <v>509</v>
      </c>
      <c r="D613" s="78">
        <v>457.08</v>
      </c>
      <c r="E613" s="663">
        <v>2</v>
      </c>
      <c r="H613" s="178">
        <v>457.08</v>
      </c>
      <c r="J613" s="294"/>
      <c r="K613" s="295"/>
      <c r="L613" s="72"/>
      <c r="M613" s="133"/>
      <c r="N613" s="72"/>
      <c r="O613" s="224"/>
      <c r="P613" s="219"/>
      <c r="Q613" s="84"/>
      <c r="S613" s="136"/>
      <c r="T613" s="136"/>
    </row>
    <row r="614" spans="1:22">
      <c r="A614" s="71" t="s">
        <v>7135</v>
      </c>
      <c r="B614" s="67" t="s">
        <v>7136</v>
      </c>
      <c r="C614" s="71" t="s">
        <v>509</v>
      </c>
      <c r="D614" s="78">
        <v>631.86</v>
      </c>
      <c r="E614" s="663">
        <v>2</v>
      </c>
      <c r="H614" s="178">
        <v>631.86</v>
      </c>
      <c r="J614" s="294"/>
      <c r="K614" s="295"/>
      <c r="L614" s="72"/>
      <c r="M614" s="133"/>
      <c r="N614" s="72"/>
      <c r="O614" s="224"/>
      <c r="P614" s="219"/>
      <c r="Q614" s="84"/>
      <c r="S614" s="136"/>
      <c r="T614" s="136"/>
    </row>
    <row r="615" spans="1:22">
      <c r="A615" s="71" t="s">
        <v>7137</v>
      </c>
      <c r="B615" s="67" t="s">
        <v>7138</v>
      </c>
      <c r="C615" s="71" t="s">
        <v>509</v>
      </c>
      <c r="D615" s="78">
        <v>457.08</v>
      </c>
      <c r="E615" s="663">
        <v>2</v>
      </c>
      <c r="H615" s="178">
        <v>457.08</v>
      </c>
      <c r="J615" s="294"/>
      <c r="K615" s="295"/>
      <c r="L615" s="72"/>
      <c r="M615" s="133"/>
      <c r="N615" s="72"/>
      <c r="O615" s="224"/>
      <c r="P615" s="219"/>
      <c r="Q615" s="84"/>
      <c r="S615" s="136"/>
      <c r="T615" s="136"/>
    </row>
    <row r="616" spans="1:22">
      <c r="A616" s="71" t="s">
        <v>7139</v>
      </c>
      <c r="B616" s="67" t="s">
        <v>7140</v>
      </c>
      <c r="C616" s="71" t="s">
        <v>509</v>
      </c>
      <c r="D616" s="78">
        <v>237.4</v>
      </c>
      <c r="E616" s="663">
        <v>2</v>
      </c>
      <c r="H616" s="178">
        <v>237.4</v>
      </c>
      <c r="J616" s="294"/>
      <c r="K616" s="295"/>
      <c r="L616" s="72"/>
      <c r="M616" s="133"/>
      <c r="N616" s="72"/>
      <c r="O616" s="224"/>
      <c r="P616" s="219"/>
      <c r="Q616" s="84"/>
      <c r="S616" s="136"/>
      <c r="T616" s="136"/>
    </row>
    <row r="617" spans="1:22">
      <c r="A617" s="71" t="s">
        <v>7141</v>
      </c>
      <c r="B617" s="67" t="s">
        <v>7142</v>
      </c>
      <c r="C617" s="71" t="s">
        <v>509</v>
      </c>
      <c r="D617" s="78">
        <v>629.35</v>
      </c>
      <c r="E617" s="663">
        <v>2</v>
      </c>
      <c r="H617" s="178">
        <v>629.35</v>
      </c>
      <c r="J617" s="294"/>
      <c r="K617" s="295"/>
      <c r="L617" s="72"/>
      <c r="M617" s="133"/>
      <c r="N617" s="72"/>
      <c r="O617" s="224"/>
      <c r="P617" s="219"/>
      <c r="Q617" s="84"/>
      <c r="S617" s="136"/>
      <c r="T617" s="136"/>
    </row>
    <row r="618" spans="1:22">
      <c r="A618" s="71" t="s">
        <v>7143</v>
      </c>
      <c r="B618" s="67" t="s">
        <v>7144</v>
      </c>
      <c r="C618" s="71" t="s">
        <v>103</v>
      </c>
      <c r="D618" s="78">
        <v>1912.28</v>
      </c>
      <c r="E618" s="663">
        <v>2</v>
      </c>
      <c r="H618" s="721">
        <v>1912.28</v>
      </c>
      <c r="J618" s="294"/>
      <c r="K618" s="295"/>
      <c r="M618" s="72"/>
      <c r="N618" s="133"/>
      <c r="O618" s="72"/>
      <c r="P618" s="224"/>
      <c r="Q618" s="219"/>
      <c r="T618" s="136"/>
      <c r="V618" s="136"/>
    </row>
    <row r="619" spans="1:22">
      <c r="A619" s="71" t="s">
        <v>7145</v>
      </c>
      <c r="B619" s="67" t="s">
        <v>7146</v>
      </c>
      <c r="C619" s="71" t="s">
        <v>103</v>
      </c>
      <c r="D619" s="78">
        <v>3398.47</v>
      </c>
      <c r="E619" s="663">
        <v>2</v>
      </c>
      <c r="H619" s="178">
        <v>3398.47</v>
      </c>
      <c r="J619" s="294"/>
      <c r="K619" s="295"/>
      <c r="L619" s="72"/>
      <c r="M619" s="133"/>
      <c r="N619" s="72"/>
      <c r="O619" s="224"/>
      <c r="P619" s="219"/>
      <c r="Q619" s="84"/>
      <c r="S619" s="136"/>
      <c r="T619" s="136"/>
    </row>
    <row r="620" spans="1:22">
      <c r="A620" s="71" t="s">
        <v>7147</v>
      </c>
      <c r="B620" s="67" t="s">
        <v>7148</v>
      </c>
      <c r="C620" s="71" t="s">
        <v>103</v>
      </c>
      <c r="D620" s="78">
        <v>3880.6</v>
      </c>
      <c r="E620" s="663">
        <v>2</v>
      </c>
      <c r="H620" s="178">
        <v>3880.6</v>
      </c>
      <c r="J620" s="294"/>
      <c r="K620" s="295"/>
      <c r="L620" s="72"/>
      <c r="M620" s="133"/>
      <c r="N620" s="72"/>
      <c r="O620" s="224"/>
      <c r="P620" s="219"/>
      <c r="Q620" s="84"/>
      <c r="S620" s="136"/>
      <c r="T620" s="136"/>
    </row>
    <row r="621" spans="1:22">
      <c r="A621" s="71" t="s">
        <v>7149</v>
      </c>
      <c r="B621" s="67" t="s">
        <v>7150</v>
      </c>
      <c r="C621" s="71" t="s">
        <v>103</v>
      </c>
      <c r="D621" s="78">
        <v>5269.57</v>
      </c>
      <c r="E621" s="663">
        <v>2</v>
      </c>
      <c r="H621" s="178">
        <v>5269.57</v>
      </c>
      <c r="J621" s="294"/>
      <c r="K621" s="295"/>
      <c r="L621" s="72"/>
      <c r="M621" s="133"/>
      <c r="N621" s="72"/>
      <c r="O621" s="224"/>
      <c r="P621" s="219"/>
      <c r="Q621" s="84"/>
      <c r="S621" s="136"/>
      <c r="T621" s="136"/>
    </row>
    <row r="622" spans="1:22">
      <c r="A622" s="71" t="s">
        <v>7151</v>
      </c>
      <c r="B622" s="67" t="s">
        <v>7152</v>
      </c>
      <c r="C622" s="71" t="s">
        <v>103</v>
      </c>
      <c r="D622" s="78">
        <v>5968.65</v>
      </c>
      <c r="E622" s="663">
        <v>2</v>
      </c>
      <c r="H622" s="178">
        <v>5968.65</v>
      </c>
      <c r="J622" s="294"/>
      <c r="K622" s="295"/>
      <c r="L622" s="72"/>
      <c r="M622" s="133"/>
      <c r="N622" s="72"/>
      <c r="O622" s="224"/>
      <c r="P622" s="219"/>
      <c r="Q622" s="84"/>
      <c r="S622" s="136"/>
      <c r="T622" s="136"/>
    </row>
    <row r="623" spans="1:22">
      <c r="A623" s="71" t="s">
        <v>7153</v>
      </c>
      <c r="B623" s="67" t="s">
        <v>7154</v>
      </c>
      <c r="C623" s="71" t="s">
        <v>103</v>
      </c>
      <c r="D623" s="78">
        <v>6300.6</v>
      </c>
      <c r="E623" s="663">
        <v>2</v>
      </c>
      <c r="H623" s="178">
        <v>6300.6</v>
      </c>
      <c r="J623" s="294"/>
      <c r="K623" s="295"/>
      <c r="L623" s="72"/>
      <c r="M623" s="133"/>
      <c r="N623" s="72"/>
      <c r="O623" s="224"/>
      <c r="P623" s="219"/>
      <c r="Q623" s="84"/>
      <c r="S623" s="136"/>
      <c r="T623" s="136"/>
    </row>
    <row r="624" spans="1:22">
      <c r="A624" s="71" t="s">
        <v>7155</v>
      </c>
      <c r="B624" s="67" t="s">
        <v>7156</v>
      </c>
      <c r="C624" s="71" t="s">
        <v>103</v>
      </c>
      <c r="D624" s="78">
        <v>4475.33</v>
      </c>
      <c r="E624" s="663">
        <v>2</v>
      </c>
      <c r="H624" s="178">
        <v>4475.33</v>
      </c>
      <c r="J624" s="294"/>
      <c r="K624" s="295"/>
      <c r="L624" s="72"/>
      <c r="M624" s="133"/>
      <c r="N624" s="72"/>
      <c r="O624" s="224"/>
      <c r="P624" s="219"/>
      <c r="Q624" s="84"/>
      <c r="S624" s="136"/>
      <c r="T624" s="136"/>
    </row>
    <row r="625" spans="1:22">
      <c r="A625" s="71" t="s">
        <v>7157</v>
      </c>
      <c r="B625" s="67" t="s">
        <v>7158</v>
      </c>
      <c r="C625" s="71" t="s">
        <v>103</v>
      </c>
      <c r="D625" s="78">
        <v>1901.28</v>
      </c>
      <c r="E625" s="663">
        <v>2</v>
      </c>
      <c r="H625" s="178">
        <v>1901.28</v>
      </c>
      <c r="J625" s="294"/>
      <c r="K625" s="295"/>
      <c r="L625" s="72"/>
      <c r="M625" s="133"/>
      <c r="N625" s="72"/>
      <c r="O625" s="224"/>
      <c r="P625" s="219"/>
      <c r="Q625" s="84"/>
      <c r="S625" s="136"/>
      <c r="T625" s="136"/>
      <c r="V625" s="136"/>
    </row>
    <row r="626" spans="1:22">
      <c r="A626" s="71" t="s">
        <v>7159</v>
      </c>
      <c r="B626" s="67" t="s">
        <v>7160</v>
      </c>
      <c r="C626" s="71" t="s">
        <v>103</v>
      </c>
      <c r="D626" s="78">
        <v>1018.05</v>
      </c>
      <c r="E626" s="663">
        <v>2</v>
      </c>
      <c r="H626" s="178">
        <v>1018.05</v>
      </c>
      <c r="J626" s="294"/>
      <c r="K626" s="295"/>
      <c r="L626" s="72"/>
      <c r="M626" s="133"/>
      <c r="N626" s="72"/>
      <c r="O626" s="224"/>
      <c r="P626" s="219"/>
      <c r="Q626" s="84"/>
      <c r="S626" s="136"/>
      <c r="T626" s="136"/>
      <c r="V626" s="136"/>
    </row>
    <row r="627" spans="1:22">
      <c r="A627" s="71" t="s">
        <v>7161</v>
      </c>
      <c r="B627" s="67" t="s">
        <v>7162</v>
      </c>
      <c r="C627" s="71" t="s">
        <v>103</v>
      </c>
      <c r="D627" s="78">
        <v>2800.67</v>
      </c>
      <c r="E627" s="663">
        <v>2</v>
      </c>
      <c r="H627" s="721">
        <v>2800.67</v>
      </c>
      <c r="J627" s="294"/>
      <c r="K627" s="295"/>
      <c r="M627" s="72"/>
      <c r="N627" s="133"/>
      <c r="O627" s="72"/>
      <c r="P627" s="224"/>
      <c r="Q627" s="219"/>
      <c r="T627" s="136"/>
      <c r="V627" s="136"/>
    </row>
    <row r="628" spans="1:22">
      <c r="A628" s="71" t="s">
        <v>7163</v>
      </c>
      <c r="B628" s="67" t="s">
        <v>7164</v>
      </c>
      <c r="C628" s="71" t="s">
        <v>103</v>
      </c>
      <c r="D628" s="78">
        <v>1503.88</v>
      </c>
      <c r="E628" s="663">
        <v>2</v>
      </c>
      <c r="H628" s="721">
        <v>1503.88</v>
      </c>
      <c r="J628" s="294"/>
      <c r="K628" s="295"/>
      <c r="M628" s="72"/>
      <c r="N628" s="133"/>
      <c r="O628" s="72"/>
      <c r="P628" s="224"/>
      <c r="Q628" s="219"/>
      <c r="T628" s="136"/>
      <c r="V628" s="136"/>
    </row>
    <row r="629" spans="1:22">
      <c r="A629" s="71" t="s">
        <v>7165</v>
      </c>
      <c r="B629" s="67" t="s">
        <v>7166</v>
      </c>
      <c r="C629" s="71" t="s">
        <v>103</v>
      </c>
      <c r="D629" s="78">
        <v>3302.8</v>
      </c>
      <c r="E629" s="663">
        <v>2</v>
      </c>
      <c r="H629" s="721">
        <v>3302.8</v>
      </c>
      <c r="J629" s="311"/>
      <c r="K629" s="295"/>
      <c r="M629" s="72"/>
      <c r="N629" s="133"/>
      <c r="O629" s="72"/>
      <c r="P629" s="224"/>
      <c r="Q629" s="219"/>
      <c r="T629" s="136"/>
      <c r="V629" s="136"/>
    </row>
    <row r="630" spans="1:22">
      <c r="A630" s="71" t="s">
        <v>7167</v>
      </c>
      <c r="B630" s="67" t="s">
        <v>7168</v>
      </c>
      <c r="C630" s="71" t="s">
        <v>103</v>
      </c>
      <c r="D630" s="78">
        <v>1155.98</v>
      </c>
      <c r="E630" s="663">
        <v>2</v>
      </c>
      <c r="H630" s="178">
        <v>1155.98</v>
      </c>
      <c r="J630" s="294"/>
      <c r="K630" s="295"/>
      <c r="L630" s="72"/>
      <c r="M630" s="133"/>
      <c r="N630" s="72"/>
      <c r="O630" s="224"/>
      <c r="P630" s="219"/>
      <c r="Q630" s="84"/>
      <c r="S630" s="136"/>
      <c r="T630" s="136"/>
      <c r="V630" s="136"/>
    </row>
    <row r="631" spans="1:22">
      <c r="A631" s="71" t="s">
        <v>7169</v>
      </c>
      <c r="B631" s="67" t="s">
        <v>7170</v>
      </c>
      <c r="C631" s="71" t="s">
        <v>103</v>
      </c>
      <c r="D631" s="78">
        <v>1558.93</v>
      </c>
      <c r="E631" s="663">
        <v>2</v>
      </c>
      <c r="H631" s="178">
        <v>1558.93</v>
      </c>
      <c r="J631" s="294"/>
      <c r="K631" s="295"/>
      <c r="L631" s="72"/>
      <c r="M631" s="133"/>
      <c r="N631" s="72"/>
      <c r="O631" s="224"/>
      <c r="P631" s="219"/>
      <c r="Q631" s="84"/>
      <c r="S631" s="136"/>
      <c r="T631" s="136"/>
      <c r="V631" s="136"/>
    </row>
    <row r="632" spans="1:22">
      <c r="A632" s="71" t="s">
        <v>7171</v>
      </c>
      <c r="B632" s="67" t="s">
        <v>7172</v>
      </c>
      <c r="C632" s="71" t="s">
        <v>103</v>
      </c>
      <c r="D632" s="78">
        <v>469.04</v>
      </c>
      <c r="E632" s="663">
        <v>2</v>
      </c>
      <c r="H632" s="721">
        <v>469.04</v>
      </c>
      <c r="J632" s="294"/>
      <c r="K632" s="295"/>
      <c r="M632" s="72"/>
      <c r="N632" s="133"/>
      <c r="O632" s="72"/>
      <c r="P632" s="224"/>
      <c r="Q632" s="219"/>
      <c r="T632" s="136"/>
      <c r="V632" s="136"/>
    </row>
    <row r="633" spans="1:22">
      <c r="A633" s="71" t="s">
        <v>7173</v>
      </c>
      <c r="B633" s="67" t="s">
        <v>7174</v>
      </c>
      <c r="C633" s="71" t="s">
        <v>103</v>
      </c>
      <c r="D633" s="78">
        <v>1749.16</v>
      </c>
      <c r="E633" s="663">
        <v>2</v>
      </c>
      <c r="H633" s="721">
        <v>1749.16</v>
      </c>
      <c r="J633" s="294"/>
      <c r="K633" s="295"/>
      <c r="M633" s="72"/>
      <c r="N633" s="133"/>
      <c r="O633" s="72"/>
      <c r="P633" s="224"/>
      <c r="Q633" s="219"/>
      <c r="T633" s="136"/>
      <c r="V633" s="136"/>
    </row>
    <row r="634" spans="1:22">
      <c r="A634" s="71" t="s">
        <v>7175</v>
      </c>
      <c r="B634" s="67" t="s">
        <v>7176</v>
      </c>
      <c r="C634" s="71" t="s">
        <v>103</v>
      </c>
      <c r="D634" s="78">
        <v>3544.59</v>
      </c>
      <c r="E634" s="663">
        <v>2</v>
      </c>
      <c r="H634" s="721">
        <v>3544.59</v>
      </c>
      <c r="J634" s="294"/>
      <c r="K634" s="295"/>
      <c r="M634" s="72"/>
      <c r="N634" s="133"/>
      <c r="O634" s="72"/>
      <c r="P634" s="224"/>
      <c r="Q634" s="219"/>
      <c r="T634" s="136"/>
      <c r="V634" s="136"/>
    </row>
    <row r="635" spans="1:22">
      <c r="A635" s="71" t="s">
        <v>7177</v>
      </c>
      <c r="B635" s="67" t="s">
        <v>7178</v>
      </c>
      <c r="C635" s="71" t="s">
        <v>103</v>
      </c>
      <c r="D635" s="78">
        <v>4471.46</v>
      </c>
      <c r="E635" s="663">
        <v>2</v>
      </c>
      <c r="H635" s="721">
        <v>4471.46</v>
      </c>
      <c r="J635" s="294"/>
      <c r="K635" s="295"/>
      <c r="M635" s="72"/>
      <c r="N635" s="133"/>
      <c r="O635" s="72"/>
      <c r="P635" s="224"/>
      <c r="Q635" s="219"/>
      <c r="T635" s="136"/>
      <c r="V635" s="136"/>
    </row>
    <row r="636" spans="1:22">
      <c r="A636" s="71" t="s">
        <v>7179</v>
      </c>
      <c r="B636" s="67" t="s">
        <v>7180</v>
      </c>
      <c r="C636" s="71" t="s">
        <v>103</v>
      </c>
      <c r="D636" s="78">
        <v>752.07</v>
      </c>
      <c r="E636" s="663">
        <v>2</v>
      </c>
      <c r="H636" s="721">
        <v>752.07</v>
      </c>
      <c r="J636" s="294"/>
      <c r="K636" s="295"/>
      <c r="M636" s="72"/>
      <c r="N636" s="133"/>
      <c r="O636" s="72"/>
      <c r="P636" s="224"/>
      <c r="Q636" s="219"/>
      <c r="T636" s="136"/>
      <c r="V636" s="136"/>
    </row>
    <row r="637" spans="1:22">
      <c r="A637" s="71" t="s">
        <v>7181</v>
      </c>
      <c r="B637" s="67" t="s">
        <v>7182</v>
      </c>
      <c r="C637" s="71" t="s">
        <v>509</v>
      </c>
      <c r="D637" s="78">
        <v>1427.14</v>
      </c>
      <c r="E637" s="663">
        <v>2</v>
      </c>
      <c r="H637" s="178">
        <v>1427.14</v>
      </c>
      <c r="J637" s="294"/>
      <c r="K637" s="295"/>
      <c r="L637" s="72"/>
      <c r="M637" s="133"/>
      <c r="N637" s="72"/>
      <c r="O637" s="224"/>
      <c r="P637" s="219"/>
      <c r="Q637" s="84"/>
      <c r="S637" s="136"/>
      <c r="T637" s="136"/>
      <c r="V637" s="136"/>
    </row>
    <row r="638" spans="1:22">
      <c r="A638" s="71" t="s">
        <v>7183</v>
      </c>
      <c r="B638" s="67" t="s">
        <v>7184</v>
      </c>
      <c r="C638" s="71" t="s">
        <v>509</v>
      </c>
      <c r="D638" s="78">
        <v>1019.14</v>
      </c>
      <c r="E638" s="663">
        <v>2</v>
      </c>
      <c r="H638" s="178">
        <v>1019.14</v>
      </c>
      <c r="J638" s="294"/>
      <c r="K638" s="295"/>
      <c r="L638" s="72"/>
      <c r="M638" s="133"/>
      <c r="N638" s="72"/>
      <c r="O638" s="224"/>
      <c r="P638" s="219"/>
      <c r="Q638" s="84"/>
      <c r="S638" s="136"/>
      <c r="T638" s="136"/>
      <c r="V638" s="136"/>
    </row>
    <row r="639" spans="1:22">
      <c r="A639" s="71" t="s">
        <v>7185</v>
      </c>
      <c r="B639" s="67" t="s">
        <v>7186</v>
      </c>
      <c r="C639" s="71" t="s">
        <v>509</v>
      </c>
      <c r="D639" s="78">
        <v>1491.68</v>
      </c>
      <c r="E639" s="663">
        <v>2</v>
      </c>
      <c r="H639" s="178">
        <v>1491.68</v>
      </c>
      <c r="J639" s="294"/>
      <c r="K639" s="295"/>
      <c r="L639" s="72"/>
      <c r="M639" s="133"/>
      <c r="N639" s="72"/>
      <c r="O639" s="224"/>
      <c r="P639" s="219"/>
      <c r="Q639" s="84"/>
      <c r="S639" s="136"/>
      <c r="T639" s="136"/>
      <c r="V639" s="136"/>
    </row>
    <row r="640" spans="1:22">
      <c r="A640" s="71" t="s">
        <v>7187</v>
      </c>
      <c r="B640" s="67" t="s">
        <v>7188</v>
      </c>
      <c r="C640" s="71" t="s">
        <v>165</v>
      </c>
      <c r="D640" s="78">
        <v>52.3</v>
      </c>
      <c r="E640" s="663">
        <v>2</v>
      </c>
      <c r="H640" s="178">
        <v>52.3</v>
      </c>
      <c r="J640" s="294"/>
      <c r="K640" s="295"/>
      <c r="L640" s="72"/>
      <c r="M640" s="133"/>
      <c r="N640" s="72"/>
      <c r="O640" s="224"/>
      <c r="P640" s="219"/>
      <c r="Q640" s="84"/>
      <c r="S640" s="136"/>
      <c r="T640" s="136"/>
    </row>
    <row r="641" spans="1:22">
      <c r="A641" s="71" t="s">
        <v>7189</v>
      </c>
      <c r="B641" s="67" t="s">
        <v>7190</v>
      </c>
      <c r="C641" s="71" t="s">
        <v>165</v>
      </c>
      <c r="D641" s="78">
        <v>88.45</v>
      </c>
      <c r="E641" s="663">
        <v>2</v>
      </c>
      <c r="H641" s="178">
        <v>88.45</v>
      </c>
      <c r="J641" s="294"/>
      <c r="K641" s="295"/>
      <c r="L641" s="72"/>
      <c r="M641" s="133"/>
      <c r="N641" s="72"/>
      <c r="O641" s="224"/>
      <c r="P641" s="219"/>
      <c r="Q641" s="84"/>
      <c r="S641" s="136"/>
      <c r="T641" s="136"/>
    </row>
    <row r="642" spans="1:22">
      <c r="A642" s="71" t="s">
        <v>7191</v>
      </c>
      <c r="B642" s="67" t="s">
        <v>7192</v>
      </c>
      <c r="C642" s="71" t="s">
        <v>207</v>
      </c>
      <c r="D642" s="78">
        <v>126.4</v>
      </c>
      <c r="E642" s="663">
        <v>2</v>
      </c>
      <c r="H642" s="178">
        <v>126.4</v>
      </c>
      <c r="J642" s="294"/>
      <c r="K642" s="295"/>
      <c r="L642" s="72"/>
      <c r="M642" s="133"/>
      <c r="N642" s="72"/>
      <c r="O642" s="224"/>
      <c r="P642" s="219"/>
      <c r="Q642" s="84"/>
      <c r="S642" s="136"/>
      <c r="T642" s="136"/>
      <c r="V642" s="136"/>
    </row>
    <row r="643" spans="1:22">
      <c r="A643" s="71" t="s">
        <v>7193</v>
      </c>
      <c r="B643" s="67" t="s">
        <v>7194</v>
      </c>
      <c r="C643" s="71" t="s">
        <v>103</v>
      </c>
      <c r="D643" s="78">
        <v>1285.93</v>
      </c>
      <c r="E643" s="663">
        <v>2</v>
      </c>
      <c r="H643" s="721">
        <v>1285.93</v>
      </c>
      <c r="J643" s="294"/>
      <c r="K643" s="295"/>
      <c r="M643" s="72"/>
      <c r="N643" s="133"/>
      <c r="O643" s="72"/>
      <c r="P643" s="224"/>
      <c r="Q643" s="219"/>
      <c r="T643" s="136"/>
      <c r="V643" s="136"/>
    </row>
    <row r="644" spans="1:22">
      <c r="A644" s="71" t="s">
        <v>7195</v>
      </c>
      <c r="B644" s="67" t="s">
        <v>7196</v>
      </c>
      <c r="C644" s="71" t="s">
        <v>103</v>
      </c>
      <c r="D644" s="78">
        <v>480.12</v>
      </c>
      <c r="E644" s="663">
        <v>2</v>
      </c>
      <c r="H644" s="721">
        <v>480.12</v>
      </c>
      <c r="J644" s="294"/>
      <c r="K644" s="295"/>
      <c r="M644" s="72"/>
      <c r="N644" s="133"/>
      <c r="O644" s="72"/>
      <c r="P644" s="224"/>
      <c r="Q644" s="219"/>
      <c r="T644" s="136"/>
      <c r="V644" s="136"/>
    </row>
    <row r="645" spans="1:22">
      <c r="A645" s="71" t="s">
        <v>7197</v>
      </c>
      <c r="B645" s="67" t="s">
        <v>7198</v>
      </c>
      <c r="C645" s="71" t="s">
        <v>165</v>
      </c>
      <c r="D645" s="78">
        <v>78.34</v>
      </c>
      <c r="E645" s="663">
        <v>2</v>
      </c>
      <c r="H645" s="178">
        <v>78.34</v>
      </c>
      <c r="J645" s="294"/>
      <c r="K645" s="295"/>
      <c r="L645" s="72"/>
      <c r="M645" s="133"/>
      <c r="N645" s="72"/>
      <c r="O645" s="224"/>
      <c r="P645" s="219"/>
      <c r="Q645" s="84"/>
      <c r="S645" s="136"/>
      <c r="T645" s="136"/>
    </row>
    <row r="646" spans="1:22">
      <c r="A646" s="71" t="s">
        <v>7199</v>
      </c>
      <c r="B646" s="67" t="s">
        <v>7200</v>
      </c>
      <c r="C646" s="71" t="s">
        <v>103</v>
      </c>
      <c r="D646" s="78">
        <v>2362.42</v>
      </c>
      <c r="E646" s="663">
        <v>2</v>
      </c>
      <c r="H646" s="178">
        <v>2362.42</v>
      </c>
      <c r="J646" s="294"/>
      <c r="K646" s="295"/>
      <c r="L646" s="72"/>
      <c r="M646" s="133"/>
      <c r="N646" s="72"/>
      <c r="O646" s="224"/>
      <c r="P646" s="219"/>
      <c r="Q646" s="84"/>
      <c r="S646" s="136"/>
      <c r="T646" s="136"/>
    </row>
    <row r="647" spans="1:22">
      <c r="A647" s="71" t="s">
        <v>7201</v>
      </c>
      <c r="B647" s="67" t="s">
        <v>7202</v>
      </c>
      <c r="C647" s="71" t="s">
        <v>103</v>
      </c>
      <c r="D647" s="78">
        <v>4911.1000000000004</v>
      </c>
      <c r="E647" s="663">
        <v>2</v>
      </c>
      <c r="H647" s="178">
        <v>4911.1000000000004</v>
      </c>
      <c r="J647" s="294"/>
      <c r="K647" s="295"/>
      <c r="L647" s="72"/>
      <c r="M647" s="133"/>
      <c r="N647" s="72"/>
      <c r="O647" s="224"/>
      <c r="P647" s="219"/>
      <c r="Q647" s="84"/>
      <c r="S647" s="136"/>
      <c r="T647" s="136"/>
    </row>
    <row r="648" spans="1:22">
      <c r="A648" s="71" t="s">
        <v>7203</v>
      </c>
      <c r="B648" s="67" t="s">
        <v>7204</v>
      </c>
      <c r="C648" s="71" t="s">
        <v>103</v>
      </c>
      <c r="D648" s="78">
        <v>3001.58</v>
      </c>
      <c r="E648" s="663">
        <v>2</v>
      </c>
      <c r="H648" s="178">
        <v>3001.58</v>
      </c>
      <c r="J648" s="294"/>
      <c r="K648" s="295"/>
      <c r="L648" s="72"/>
      <c r="M648" s="133"/>
      <c r="N648" s="72"/>
      <c r="O648" s="224"/>
      <c r="P648" s="219"/>
      <c r="Q648" s="84"/>
      <c r="S648" s="136"/>
      <c r="T648" s="136"/>
    </row>
    <row r="649" spans="1:22">
      <c r="A649" s="71" t="s">
        <v>7205</v>
      </c>
      <c r="B649" s="67" t="s">
        <v>7206</v>
      </c>
      <c r="C649" s="71" t="s">
        <v>103</v>
      </c>
      <c r="D649" s="78">
        <v>1490.26</v>
      </c>
      <c r="E649" s="663">
        <v>2</v>
      </c>
      <c r="H649" s="178">
        <v>1490.26</v>
      </c>
      <c r="J649" s="294"/>
      <c r="K649" s="295"/>
      <c r="L649" s="72"/>
      <c r="M649" s="133"/>
      <c r="N649" s="72"/>
      <c r="O649" s="224"/>
      <c r="P649" s="219"/>
      <c r="Q649" s="84"/>
      <c r="S649" s="136"/>
      <c r="T649" s="136"/>
      <c r="V649" s="136"/>
    </row>
    <row r="650" spans="1:22">
      <c r="A650" s="71" t="s">
        <v>7207</v>
      </c>
      <c r="B650" s="67" t="s">
        <v>7208</v>
      </c>
      <c r="C650" s="71" t="s">
        <v>103</v>
      </c>
      <c r="D650" s="78">
        <v>2459.6799999999998</v>
      </c>
      <c r="E650" s="663">
        <v>2</v>
      </c>
      <c r="H650" s="178">
        <v>2459.6799999999998</v>
      </c>
      <c r="J650" s="294"/>
      <c r="K650" s="295"/>
      <c r="L650" s="72"/>
      <c r="M650" s="133"/>
      <c r="N650" s="72"/>
      <c r="O650" s="224"/>
      <c r="P650" s="219"/>
      <c r="Q650" s="84"/>
      <c r="S650" s="136"/>
      <c r="T650" s="136"/>
      <c r="V650" s="136"/>
    </row>
    <row r="651" spans="1:22">
      <c r="A651" s="71" t="s">
        <v>7209</v>
      </c>
      <c r="B651" s="67" t="s">
        <v>7210</v>
      </c>
      <c r="C651" s="71" t="s">
        <v>103</v>
      </c>
      <c r="D651" s="78">
        <v>3722.02</v>
      </c>
      <c r="E651" s="663">
        <v>2</v>
      </c>
      <c r="H651" s="178">
        <v>3722.02</v>
      </c>
      <c r="J651" s="294"/>
      <c r="K651" s="295"/>
      <c r="L651" s="72"/>
      <c r="M651" s="133"/>
      <c r="N651" s="72"/>
      <c r="O651" s="224"/>
      <c r="P651" s="219"/>
      <c r="Q651" s="84"/>
      <c r="S651" s="136"/>
      <c r="T651" s="136"/>
      <c r="V651" s="136"/>
    </row>
    <row r="652" spans="1:22">
      <c r="A652" s="71" t="s">
        <v>7211</v>
      </c>
      <c r="B652" s="67" t="s">
        <v>7212</v>
      </c>
      <c r="C652" s="71" t="s">
        <v>207</v>
      </c>
      <c r="D652" s="78">
        <v>43.68</v>
      </c>
      <c r="E652" s="663">
        <v>2</v>
      </c>
      <c r="H652" s="178">
        <v>43.68</v>
      </c>
      <c r="J652" s="294"/>
      <c r="K652" s="295"/>
      <c r="L652" s="72"/>
      <c r="M652" s="133"/>
      <c r="N652" s="72"/>
      <c r="O652" s="224"/>
      <c r="P652" s="219"/>
      <c r="Q652" s="84"/>
      <c r="S652" s="136"/>
      <c r="T652" s="136"/>
      <c r="V652" s="136"/>
    </row>
    <row r="653" spans="1:22">
      <c r="A653" s="71" t="s">
        <v>7213</v>
      </c>
      <c r="B653" s="67" t="s">
        <v>7214</v>
      </c>
      <c r="C653" s="71" t="s">
        <v>207</v>
      </c>
      <c r="D653" s="78">
        <v>62.75</v>
      </c>
      <c r="E653" s="663">
        <v>2</v>
      </c>
      <c r="H653" s="178">
        <v>62.75</v>
      </c>
      <c r="J653" s="294"/>
      <c r="K653" s="295"/>
      <c r="L653" s="72"/>
      <c r="M653" s="133"/>
      <c r="N653" s="72"/>
      <c r="O653" s="224"/>
      <c r="P653" s="219"/>
      <c r="Q653" s="84"/>
      <c r="S653" s="136"/>
      <c r="T653" s="136"/>
      <c r="V653" s="136"/>
    </row>
    <row r="654" spans="1:22">
      <c r="A654" s="71" t="s">
        <v>7215</v>
      </c>
      <c r="B654" s="67" t="s">
        <v>7216</v>
      </c>
      <c r="C654" s="71" t="s">
        <v>103</v>
      </c>
      <c r="D654" s="78">
        <v>772.87</v>
      </c>
      <c r="E654" s="663">
        <v>2</v>
      </c>
      <c r="H654" s="178">
        <v>772.87</v>
      </c>
      <c r="J654" s="294"/>
      <c r="K654" s="295"/>
      <c r="L654" s="72"/>
      <c r="M654" s="133"/>
      <c r="N654" s="72"/>
      <c r="O654" s="224"/>
      <c r="P654" s="219"/>
      <c r="Q654" s="84"/>
      <c r="S654" s="136"/>
      <c r="T654" s="136"/>
      <c r="V654" s="136"/>
    </row>
    <row r="655" spans="1:22">
      <c r="A655" s="71" t="s">
        <v>7217</v>
      </c>
      <c r="B655" s="67" t="s">
        <v>7218</v>
      </c>
      <c r="C655" s="71" t="s">
        <v>103</v>
      </c>
      <c r="D655" s="78">
        <v>1344.08</v>
      </c>
      <c r="E655" s="663">
        <v>2</v>
      </c>
      <c r="H655" s="178">
        <v>1344.08</v>
      </c>
      <c r="J655" s="294"/>
      <c r="K655" s="295"/>
      <c r="L655" s="72"/>
      <c r="M655" s="133"/>
      <c r="N655" s="72"/>
      <c r="O655" s="224"/>
      <c r="P655" s="219"/>
      <c r="Q655" s="84"/>
      <c r="S655" s="136"/>
      <c r="T655" s="136"/>
      <c r="V655" s="136"/>
    </row>
    <row r="656" spans="1:22">
      <c r="A656" s="71" t="s">
        <v>7219</v>
      </c>
      <c r="B656" s="67" t="s">
        <v>7220</v>
      </c>
      <c r="C656" s="71" t="s">
        <v>103</v>
      </c>
      <c r="D656" s="78">
        <v>2286.83</v>
      </c>
      <c r="E656" s="663">
        <v>2</v>
      </c>
      <c r="H656" s="178">
        <v>2286.83</v>
      </c>
      <c r="J656" s="294"/>
      <c r="K656" s="295"/>
      <c r="L656" s="72"/>
      <c r="M656" s="133"/>
      <c r="N656" s="72"/>
      <c r="O656" s="224"/>
      <c r="P656" s="219"/>
      <c r="Q656" s="84"/>
      <c r="S656" s="136"/>
      <c r="T656" s="136"/>
      <c r="V656" s="136"/>
    </row>
    <row r="657" spans="1:22">
      <c r="A657" s="71" t="s">
        <v>7221</v>
      </c>
      <c r="B657" s="67" t="s">
        <v>7222</v>
      </c>
      <c r="C657" s="71" t="s">
        <v>103</v>
      </c>
      <c r="D657" s="78">
        <v>2753.97</v>
      </c>
      <c r="E657" s="663">
        <v>2</v>
      </c>
      <c r="H657" s="178">
        <v>2753.97</v>
      </c>
      <c r="J657" s="294"/>
      <c r="K657" s="295"/>
      <c r="L657" s="72"/>
      <c r="M657" s="133"/>
      <c r="N657" s="72"/>
      <c r="O657" s="224"/>
      <c r="P657" s="219"/>
      <c r="Q657" s="84"/>
      <c r="S657" s="136"/>
      <c r="T657" s="136"/>
    </row>
    <row r="658" spans="1:22">
      <c r="A658" s="71" t="s">
        <v>7223</v>
      </c>
      <c r="B658" s="67" t="s">
        <v>7224</v>
      </c>
      <c r="C658" s="71" t="s">
        <v>103</v>
      </c>
      <c r="D658" s="78">
        <v>3575.63</v>
      </c>
      <c r="E658" s="663">
        <v>2</v>
      </c>
      <c r="H658" s="178">
        <v>3575.63</v>
      </c>
      <c r="J658" s="294"/>
      <c r="K658" s="295"/>
      <c r="L658" s="72"/>
      <c r="M658" s="133"/>
      <c r="N658" s="72"/>
      <c r="O658" s="224"/>
      <c r="P658" s="219"/>
      <c r="Q658" s="84"/>
      <c r="S658" s="136"/>
      <c r="T658" s="136"/>
    </row>
    <row r="659" spans="1:22">
      <c r="A659" s="71" t="s">
        <v>7225</v>
      </c>
      <c r="B659" s="67" t="s">
        <v>7226</v>
      </c>
      <c r="C659" s="71" t="s">
        <v>103</v>
      </c>
      <c r="D659" s="78">
        <v>2616.88</v>
      </c>
      <c r="E659" s="663">
        <v>2</v>
      </c>
      <c r="H659" s="178">
        <v>2616.88</v>
      </c>
      <c r="J659" s="294"/>
      <c r="K659" s="295"/>
      <c r="L659" s="72"/>
      <c r="M659" s="133"/>
      <c r="N659" s="72"/>
      <c r="O659" s="224"/>
      <c r="P659" s="219"/>
      <c r="Q659" s="84"/>
      <c r="S659" s="136"/>
      <c r="T659" s="136"/>
      <c r="V659" s="136"/>
    </row>
    <row r="660" spans="1:22">
      <c r="A660" s="71" t="s">
        <v>7227</v>
      </c>
      <c r="B660" s="67" t="s">
        <v>7228</v>
      </c>
      <c r="C660" s="71" t="s">
        <v>103</v>
      </c>
      <c r="D660" s="78">
        <v>3756.84</v>
      </c>
      <c r="E660" s="663">
        <v>2</v>
      </c>
      <c r="H660" s="178">
        <v>3756.84</v>
      </c>
      <c r="J660" s="294"/>
      <c r="K660" s="295"/>
      <c r="L660" s="72"/>
      <c r="M660" s="133"/>
      <c r="N660" s="72"/>
      <c r="O660" s="224"/>
      <c r="P660" s="219"/>
      <c r="Q660" s="84"/>
      <c r="S660" s="136"/>
      <c r="T660" s="136"/>
    </row>
    <row r="661" spans="1:22">
      <c r="A661" s="71" t="s">
        <v>7229</v>
      </c>
      <c r="B661" s="67" t="s">
        <v>7230</v>
      </c>
      <c r="C661" s="71" t="s">
        <v>103</v>
      </c>
      <c r="D661" s="78">
        <v>5342.88</v>
      </c>
      <c r="E661" s="663">
        <v>2</v>
      </c>
      <c r="H661" s="178">
        <v>5342.88</v>
      </c>
      <c r="J661" s="294"/>
      <c r="K661" s="295"/>
      <c r="L661" s="72"/>
      <c r="M661" s="133"/>
      <c r="N661" s="72"/>
      <c r="O661" s="224"/>
      <c r="P661" s="219"/>
      <c r="Q661" s="84"/>
      <c r="S661" s="136"/>
      <c r="T661" s="136"/>
    </row>
    <row r="662" spans="1:22">
      <c r="A662" s="71" t="s">
        <v>7231</v>
      </c>
      <c r="B662" s="67" t="s">
        <v>7232</v>
      </c>
      <c r="C662" s="71" t="s">
        <v>103</v>
      </c>
      <c r="D662" s="78">
        <v>5159.8900000000003</v>
      </c>
      <c r="E662" s="663">
        <v>2</v>
      </c>
      <c r="H662" s="178">
        <v>5159.8900000000003</v>
      </c>
      <c r="J662" s="294"/>
      <c r="K662" s="295"/>
      <c r="L662" s="72"/>
      <c r="M662" s="133"/>
      <c r="N662" s="72"/>
      <c r="O662" s="224"/>
      <c r="P662" s="219"/>
      <c r="Q662" s="84"/>
      <c r="S662" s="136"/>
      <c r="T662" s="136"/>
    </row>
    <row r="663" spans="1:22">
      <c r="A663" s="71" t="s">
        <v>7233</v>
      </c>
      <c r="B663" s="67" t="s">
        <v>7234</v>
      </c>
      <c r="C663" s="71" t="s">
        <v>509</v>
      </c>
      <c r="D663" s="78">
        <v>186.74</v>
      </c>
      <c r="E663" s="663">
        <v>2</v>
      </c>
      <c r="H663" s="178">
        <v>186.74</v>
      </c>
      <c r="J663" s="294"/>
      <c r="K663" s="295"/>
      <c r="L663" s="72"/>
      <c r="M663" s="133"/>
      <c r="N663" s="72"/>
      <c r="O663" s="224"/>
      <c r="P663" s="219"/>
      <c r="Q663" s="84"/>
      <c r="S663" s="136"/>
      <c r="T663" s="136"/>
    </row>
    <row r="664" spans="1:22">
      <c r="A664" s="71" t="s">
        <v>7235</v>
      </c>
      <c r="B664" s="67" t="s">
        <v>7236</v>
      </c>
      <c r="C664" s="71" t="s">
        <v>165</v>
      </c>
      <c r="D664" s="78">
        <v>261.98</v>
      </c>
      <c r="E664" s="663">
        <v>2</v>
      </c>
      <c r="H664" s="178">
        <v>261.98</v>
      </c>
      <c r="J664" s="294"/>
      <c r="K664" s="295"/>
      <c r="L664" s="72"/>
      <c r="M664" s="133"/>
      <c r="N664" s="72"/>
      <c r="O664" s="224"/>
      <c r="P664" s="219"/>
      <c r="Q664" s="84"/>
      <c r="S664" s="136"/>
      <c r="T664" s="136"/>
    </row>
    <row r="665" spans="1:22">
      <c r="A665" s="71" t="s">
        <v>7237</v>
      </c>
      <c r="B665" s="216" t="s">
        <v>7238</v>
      </c>
      <c r="C665" s="212" t="s">
        <v>103</v>
      </c>
      <c r="D665" s="78">
        <v>1327.1</v>
      </c>
      <c r="E665" s="663">
        <v>2</v>
      </c>
      <c r="H665" s="178">
        <v>1327.1</v>
      </c>
      <c r="J665" s="294"/>
      <c r="K665" s="295"/>
      <c r="L665" s="72"/>
      <c r="M665" s="299"/>
      <c r="N665" s="298"/>
      <c r="O665" s="224"/>
      <c r="P665" s="219"/>
      <c r="Q665" s="84"/>
      <c r="S665" s="136"/>
      <c r="T665" s="136"/>
      <c r="V665" s="136"/>
    </row>
    <row r="666" spans="1:22">
      <c r="A666" s="71" t="s">
        <v>7239</v>
      </c>
      <c r="B666" s="67" t="s">
        <v>7240</v>
      </c>
      <c r="C666" s="71" t="s">
        <v>509</v>
      </c>
      <c r="D666" s="78">
        <v>1378.53</v>
      </c>
      <c r="E666" s="663">
        <v>2</v>
      </c>
      <c r="H666" s="178">
        <v>1378.53</v>
      </c>
      <c r="J666" s="294"/>
      <c r="K666" s="295"/>
      <c r="L666" s="72"/>
      <c r="M666" s="133"/>
      <c r="N666" s="72"/>
      <c r="O666" s="224"/>
      <c r="P666" s="219"/>
      <c r="Q666" s="84"/>
      <c r="S666" s="136"/>
      <c r="T666" s="136"/>
      <c r="V666" s="136"/>
    </row>
    <row r="667" spans="1:22">
      <c r="A667" s="71" t="s">
        <v>7241</v>
      </c>
      <c r="B667" s="67" t="s">
        <v>7242</v>
      </c>
      <c r="C667" s="71" t="s">
        <v>509</v>
      </c>
      <c r="D667" s="78">
        <v>875.67</v>
      </c>
      <c r="E667" s="663">
        <v>2</v>
      </c>
      <c r="H667" s="178">
        <v>875.67</v>
      </c>
      <c r="J667" s="294"/>
      <c r="K667" s="295"/>
      <c r="L667" s="72"/>
      <c r="M667" s="133"/>
      <c r="N667" s="72"/>
      <c r="O667" s="224"/>
      <c r="P667" s="219"/>
      <c r="Q667" s="84"/>
      <c r="S667" s="136"/>
      <c r="T667" s="136"/>
      <c r="V667" s="136"/>
    </row>
    <row r="668" spans="1:22">
      <c r="A668" s="71" t="s">
        <v>7243</v>
      </c>
      <c r="B668" s="216" t="s">
        <v>7244</v>
      </c>
      <c r="C668" s="212" t="s">
        <v>103</v>
      </c>
      <c r="D668" s="78">
        <v>1555.17</v>
      </c>
      <c r="E668" s="663">
        <v>2</v>
      </c>
      <c r="H668" s="178">
        <v>1555.17</v>
      </c>
      <c r="J668" s="294"/>
      <c r="K668" s="295"/>
      <c r="L668" s="72"/>
      <c r="M668" s="299"/>
      <c r="N668" s="298"/>
      <c r="O668" s="224"/>
      <c r="P668" s="219"/>
      <c r="Q668" s="84"/>
      <c r="S668" s="136"/>
      <c r="T668" s="136"/>
      <c r="V668" s="136"/>
    </row>
    <row r="669" spans="1:22">
      <c r="A669" s="71" t="s">
        <v>7245</v>
      </c>
      <c r="B669" s="67" t="s">
        <v>7246</v>
      </c>
      <c r="C669" s="71" t="s">
        <v>103</v>
      </c>
      <c r="D669" s="78">
        <v>9864.26</v>
      </c>
      <c r="E669" s="663">
        <v>2</v>
      </c>
      <c r="H669" s="178">
        <v>9864.26</v>
      </c>
      <c r="J669" s="294"/>
      <c r="K669" s="295"/>
      <c r="L669" s="72"/>
      <c r="M669" s="133"/>
      <c r="N669" s="72"/>
      <c r="O669" s="224"/>
      <c r="P669" s="219"/>
      <c r="Q669" s="84"/>
      <c r="S669" s="136"/>
      <c r="T669" s="136"/>
    </row>
    <row r="670" spans="1:22">
      <c r="A670" s="71" t="s">
        <v>7247</v>
      </c>
      <c r="B670" s="67" t="s">
        <v>7248</v>
      </c>
      <c r="C670" s="71" t="s">
        <v>103</v>
      </c>
      <c r="D670" s="78">
        <v>19368.84</v>
      </c>
      <c r="E670" s="663">
        <v>2</v>
      </c>
      <c r="H670" s="178">
        <v>19368.84</v>
      </c>
      <c r="J670" s="294"/>
      <c r="K670" s="295"/>
      <c r="L670" s="72"/>
      <c r="M670" s="133"/>
      <c r="N670" s="72"/>
      <c r="O670" s="224"/>
      <c r="P670" s="219"/>
      <c r="Q670" s="84"/>
      <c r="S670" s="136"/>
      <c r="T670" s="136"/>
    </row>
    <row r="671" spans="1:22">
      <c r="A671" s="71" t="s">
        <v>7249</v>
      </c>
      <c r="B671" s="67" t="s">
        <v>7250</v>
      </c>
      <c r="C671" s="71" t="s">
        <v>103</v>
      </c>
      <c r="D671" s="78">
        <v>10189.780000000001</v>
      </c>
      <c r="E671" s="663">
        <v>2</v>
      </c>
      <c r="H671" s="178">
        <v>10189.780000000001</v>
      </c>
      <c r="J671" s="294"/>
      <c r="K671" s="295"/>
      <c r="L671" s="72"/>
      <c r="M671" s="133"/>
      <c r="N671" s="72"/>
      <c r="O671" s="224"/>
      <c r="P671" s="219"/>
      <c r="Q671" s="84"/>
      <c r="S671" s="136"/>
      <c r="T671" s="136"/>
    </row>
    <row r="672" spans="1:22">
      <c r="A672" s="71" t="s">
        <v>7251</v>
      </c>
      <c r="B672" s="67" t="s">
        <v>7252</v>
      </c>
      <c r="C672" s="71" t="s">
        <v>103</v>
      </c>
      <c r="D672" s="78">
        <v>19694.349999999999</v>
      </c>
      <c r="E672" s="663">
        <v>2</v>
      </c>
      <c r="H672" s="178">
        <v>19694.349999999999</v>
      </c>
      <c r="J672" s="294"/>
      <c r="K672" s="295"/>
      <c r="L672" s="72"/>
      <c r="M672" s="133"/>
      <c r="N672" s="72"/>
      <c r="O672" s="224"/>
      <c r="P672" s="219"/>
      <c r="Q672" s="84"/>
      <c r="S672" s="136"/>
      <c r="T672" s="136"/>
    </row>
    <row r="673" spans="1:22">
      <c r="A673" s="71" t="s">
        <v>7253</v>
      </c>
      <c r="B673" s="67" t="s">
        <v>7254</v>
      </c>
      <c r="C673" s="71" t="s">
        <v>103</v>
      </c>
      <c r="D673" s="78">
        <v>55967.8</v>
      </c>
      <c r="E673" s="663">
        <v>2</v>
      </c>
      <c r="H673" s="178">
        <v>55967.8</v>
      </c>
      <c r="J673" s="294"/>
      <c r="K673" s="295"/>
      <c r="L673" s="72"/>
      <c r="M673" s="133"/>
      <c r="N673" s="72"/>
      <c r="O673" s="224"/>
      <c r="P673" s="219"/>
      <c r="Q673" s="84"/>
      <c r="S673" s="136"/>
      <c r="T673" s="136"/>
    </row>
    <row r="674" spans="1:22">
      <c r="A674" s="71" t="s">
        <v>7255</v>
      </c>
      <c r="B674" s="67" t="s">
        <v>7256</v>
      </c>
      <c r="C674" s="71" t="s">
        <v>103</v>
      </c>
      <c r="D674" s="78">
        <v>36741.58</v>
      </c>
      <c r="E674" s="663">
        <v>2</v>
      </c>
      <c r="H674" s="178">
        <v>36741.58</v>
      </c>
      <c r="J674" s="294"/>
      <c r="K674" s="295"/>
      <c r="L674" s="72"/>
      <c r="M674" s="133"/>
      <c r="N674" s="72"/>
      <c r="O674" s="224"/>
      <c r="P674" s="219"/>
      <c r="Q674" s="84"/>
      <c r="S674" s="136"/>
      <c r="T674" s="136"/>
    </row>
    <row r="675" spans="1:22">
      <c r="A675" s="71" t="s">
        <v>7257</v>
      </c>
      <c r="B675" s="67" t="s">
        <v>7258</v>
      </c>
      <c r="C675" s="71" t="s">
        <v>103</v>
      </c>
      <c r="D675" s="78">
        <v>29143.200000000001</v>
      </c>
      <c r="E675" s="663">
        <v>2</v>
      </c>
      <c r="H675" s="178">
        <v>29143.200000000001</v>
      </c>
      <c r="J675" s="294"/>
      <c r="K675" s="295"/>
      <c r="L675" s="72"/>
      <c r="M675" s="133"/>
      <c r="N675" s="72"/>
      <c r="O675" s="224"/>
      <c r="P675" s="219"/>
      <c r="Q675" s="84"/>
      <c r="S675" s="136"/>
      <c r="T675" s="136"/>
    </row>
    <row r="676" spans="1:22">
      <c r="A676" s="71" t="s">
        <v>7259</v>
      </c>
      <c r="B676" s="216" t="s">
        <v>7260</v>
      </c>
      <c r="C676" s="212" t="s">
        <v>509</v>
      </c>
      <c r="D676" s="78">
        <v>1045</v>
      </c>
      <c r="E676" s="663">
        <v>2</v>
      </c>
      <c r="H676" s="178">
        <v>1045</v>
      </c>
      <c r="I676" s="731"/>
      <c r="J676" s="294"/>
      <c r="K676" s="295"/>
      <c r="L676" s="72"/>
      <c r="M676" s="299"/>
      <c r="N676" s="298"/>
      <c r="O676" s="224"/>
      <c r="P676" s="219"/>
      <c r="Q676" s="84"/>
      <c r="S676" s="136"/>
      <c r="T676" s="136"/>
      <c r="V676" s="136"/>
    </row>
    <row r="677" spans="1:22">
      <c r="A677" s="71" t="s">
        <v>7261</v>
      </c>
      <c r="B677" s="67" t="s">
        <v>7262</v>
      </c>
      <c r="C677" s="71" t="s">
        <v>509</v>
      </c>
      <c r="D677" s="78">
        <v>866.86</v>
      </c>
      <c r="E677" s="663">
        <v>2</v>
      </c>
      <c r="H677" s="178">
        <v>866.86</v>
      </c>
      <c r="J677" s="294"/>
      <c r="K677" s="295"/>
      <c r="L677" s="72"/>
      <c r="M677" s="133"/>
      <c r="N677" s="72"/>
      <c r="O677" s="224"/>
      <c r="P677" s="219"/>
      <c r="Q677" s="84"/>
      <c r="S677" s="136"/>
      <c r="T677" s="136"/>
      <c r="V677" s="136"/>
    </row>
    <row r="678" spans="1:22">
      <c r="A678" s="71" t="s">
        <v>7263</v>
      </c>
      <c r="B678" s="67" t="s">
        <v>7264</v>
      </c>
      <c r="C678" s="71" t="s">
        <v>103</v>
      </c>
      <c r="D678" s="78">
        <v>1018.73</v>
      </c>
      <c r="E678" s="663">
        <v>2</v>
      </c>
      <c r="H678" s="178">
        <v>1018.73</v>
      </c>
      <c r="J678" s="294"/>
      <c r="K678" s="295"/>
      <c r="L678" s="72"/>
      <c r="M678" s="133"/>
      <c r="N678" s="72"/>
      <c r="O678" s="224"/>
      <c r="P678" s="219"/>
      <c r="Q678" s="84"/>
      <c r="S678" s="136"/>
      <c r="T678" s="136"/>
      <c r="V678" s="136"/>
    </row>
    <row r="679" spans="1:22">
      <c r="A679" s="71" t="s">
        <v>7265</v>
      </c>
      <c r="B679" s="67" t="s">
        <v>7266</v>
      </c>
      <c r="C679" s="71" t="s">
        <v>103</v>
      </c>
      <c r="D679" s="78">
        <v>1196.6600000000001</v>
      </c>
      <c r="E679" s="663">
        <v>2</v>
      </c>
      <c r="H679" s="178">
        <v>1196.6600000000001</v>
      </c>
      <c r="J679" s="294"/>
      <c r="K679" s="295"/>
      <c r="L679" s="72"/>
      <c r="M679" s="133"/>
      <c r="N679" s="72"/>
      <c r="O679" s="224"/>
      <c r="P679" s="219"/>
      <c r="Q679" s="84"/>
      <c r="S679" s="136"/>
      <c r="T679" s="136"/>
      <c r="V679" s="136"/>
    </row>
    <row r="680" spans="1:22">
      <c r="A680" s="71" t="s">
        <v>7267</v>
      </c>
      <c r="B680" s="216" t="s">
        <v>7268</v>
      </c>
      <c r="C680" s="212" t="s">
        <v>103</v>
      </c>
      <c r="D680" s="78">
        <v>565.47</v>
      </c>
      <c r="E680" s="663">
        <v>2</v>
      </c>
      <c r="H680" s="178">
        <v>565.47</v>
      </c>
      <c r="J680" s="294"/>
      <c r="K680" s="295"/>
      <c r="L680" s="72"/>
      <c r="M680" s="299"/>
      <c r="N680" s="298"/>
      <c r="O680" s="224"/>
      <c r="P680" s="219"/>
      <c r="Q680" s="84"/>
      <c r="S680" s="136"/>
      <c r="T680" s="136"/>
      <c r="V680" s="136"/>
    </row>
    <row r="681" spans="1:22">
      <c r="A681" s="71" t="s">
        <v>7269</v>
      </c>
      <c r="B681" s="216" t="s">
        <v>7270</v>
      </c>
      <c r="C681" s="212" t="s">
        <v>103</v>
      </c>
      <c r="D681" s="78">
        <v>589.70000000000005</v>
      </c>
      <c r="E681" s="663">
        <v>2</v>
      </c>
      <c r="H681" s="178">
        <v>589.70000000000005</v>
      </c>
      <c r="J681" s="294"/>
      <c r="K681" s="295"/>
      <c r="L681" s="72"/>
      <c r="M681" s="299"/>
      <c r="N681" s="298"/>
      <c r="O681" s="224"/>
      <c r="P681" s="219"/>
      <c r="Q681" s="84"/>
      <c r="S681" s="136"/>
      <c r="T681" s="136"/>
      <c r="V681" s="136"/>
    </row>
    <row r="682" spans="1:22">
      <c r="A682" s="71" t="s">
        <v>7271</v>
      </c>
      <c r="B682" s="216" t="s">
        <v>7272</v>
      </c>
      <c r="C682" s="212" t="s">
        <v>103</v>
      </c>
      <c r="D682" s="78">
        <v>4309.58</v>
      </c>
      <c r="E682" s="663">
        <v>2</v>
      </c>
      <c r="H682" s="178">
        <v>4309.58</v>
      </c>
      <c r="J682" s="294"/>
      <c r="K682" s="295"/>
      <c r="L682" s="72"/>
      <c r="M682" s="299"/>
      <c r="N682" s="298"/>
      <c r="O682" s="224"/>
      <c r="P682" s="219"/>
      <c r="Q682" s="84"/>
      <c r="S682" s="136"/>
      <c r="T682" s="136"/>
    </row>
    <row r="683" spans="1:22">
      <c r="A683" s="71" t="s">
        <v>7273</v>
      </c>
      <c r="B683" s="67" t="s">
        <v>7274</v>
      </c>
      <c r="C683" s="71" t="s">
        <v>153</v>
      </c>
      <c r="D683" s="78">
        <v>48.9</v>
      </c>
      <c r="E683" s="663">
        <v>2</v>
      </c>
      <c r="H683" s="178">
        <v>48.9</v>
      </c>
      <c r="J683" s="294"/>
      <c r="K683" s="295"/>
      <c r="L683" s="72"/>
      <c r="M683" s="133"/>
      <c r="N683" s="72"/>
      <c r="O683" s="224"/>
      <c r="P683" s="219"/>
      <c r="Q683" s="84"/>
      <c r="S683" s="136"/>
      <c r="T683" s="136"/>
      <c r="V683" s="136"/>
    </row>
    <row r="684" spans="1:22">
      <c r="A684" s="71" t="s">
        <v>7275</v>
      </c>
      <c r="B684" s="67" t="s">
        <v>7276</v>
      </c>
      <c r="C684" s="71" t="s">
        <v>103</v>
      </c>
      <c r="D684" s="78">
        <v>1154.1400000000001</v>
      </c>
      <c r="E684" s="663">
        <v>2</v>
      </c>
      <c r="H684" s="178">
        <v>1154.1400000000001</v>
      </c>
      <c r="J684" s="294"/>
      <c r="K684" s="295"/>
      <c r="L684" s="72"/>
      <c r="M684" s="133"/>
      <c r="N684" s="72"/>
      <c r="O684" s="224"/>
      <c r="P684" s="219"/>
      <c r="Q684" s="84"/>
      <c r="S684" s="136"/>
      <c r="T684" s="136"/>
    </row>
    <row r="685" spans="1:22">
      <c r="A685" s="71" t="s">
        <v>7277</v>
      </c>
      <c r="B685" s="67" t="s">
        <v>7278</v>
      </c>
      <c r="C685" s="71" t="s">
        <v>103</v>
      </c>
      <c r="D685" s="78">
        <v>4111.1099999999997</v>
      </c>
      <c r="E685" s="663">
        <v>2</v>
      </c>
      <c r="H685" s="178">
        <v>4111.1099999999997</v>
      </c>
      <c r="J685" s="294"/>
      <c r="K685" s="295"/>
      <c r="L685" s="72"/>
      <c r="M685" s="133"/>
      <c r="N685" s="72"/>
      <c r="O685" s="224"/>
      <c r="P685" s="219"/>
      <c r="Q685" s="84"/>
      <c r="S685" s="136"/>
      <c r="T685" s="136"/>
    </row>
    <row r="686" spans="1:22">
      <c r="A686" s="71" t="s">
        <v>7279</v>
      </c>
      <c r="B686" s="67" t="s">
        <v>7280</v>
      </c>
      <c r="C686" s="71" t="s">
        <v>103</v>
      </c>
      <c r="D686" s="78">
        <v>4458.29</v>
      </c>
      <c r="E686" s="663">
        <v>2</v>
      </c>
      <c r="H686" s="178">
        <v>4458.29</v>
      </c>
      <c r="J686" s="294"/>
      <c r="K686" s="295"/>
      <c r="L686" s="72"/>
      <c r="M686" s="133"/>
      <c r="N686" s="72"/>
      <c r="O686" s="224"/>
      <c r="P686" s="219"/>
      <c r="Q686" s="84"/>
      <c r="S686" s="136"/>
      <c r="T686" s="136"/>
    </row>
    <row r="687" spans="1:22">
      <c r="A687" s="71" t="s">
        <v>7281</v>
      </c>
      <c r="B687" s="67" t="s">
        <v>7282</v>
      </c>
      <c r="C687" s="71" t="s">
        <v>103</v>
      </c>
      <c r="D687" s="78">
        <v>171.45</v>
      </c>
      <c r="E687" s="663">
        <v>2</v>
      </c>
      <c r="H687" s="178">
        <v>171.45</v>
      </c>
      <c r="J687" s="294"/>
      <c r="K687" s="295"/>
      <c r="L687" s="72"/>
      <c r="M687" s="133"/>
      <c r="N687" s="72"/>
      <c r="O687" s="224"/>
      <c r="P687" s="219"/>
      <c r="Q687" s="84"/>
      <c r="S687" s="136"/>
      <c r="T687" s="136"/>
      <c r="V687" s="136"/>
    </row>
    <row r="688" spans="1:22">
      <c r="A688" s="71" t="s">
        <v>7283</v>
      </c>
      <c r="B688" s="67" t="s">
        <v>7284</v>
      </c>
      <c r="C688" s="71" t="s">
        <v>165</v>
      </c>
      <c r="D688" s="78">
        <v>34.4</v>
      </c>
      <c r="E688" s="663">
        <v>2</v>
      </c>
      <c r="H688" s="178">
        <v>34.4</v>
      </c>
      <c r="J688" s="294"/>
      <c r="K688" s="295"/>
      <c r="L688" s="72"/>
      <c r="M688" s="133"/>
      <c r="N688" s="72"/>
      <c r="O688" s="224"/>
      <c r="P688" s="219"/>
      <c r="Q688" s="84"/>
      <c r="S688" s="136"/>
      <c r="T688" s="136"/>
      <c r="V688" s="136"/>
    </row>
    <row r="689" spans="1:22">
      <c r="A689" s="71" t="s">
        <v>7285</v>
      </c>
      <c r="B689" s="67" t="s">
        <v>7286</v>
      </c>
      <c r="C689" s="71" t="s">
        <v>165</v>
      </c>
      <c r="D689" s="78">
        <v>230.22</v>
      </c>
      <c r="E689" s="663">
        <v>2</v>
      </c>
      <c r="H689" s="178">
        <v>230.22</v>
      </c>
      <c r="J689" s="294"/>
      <c r="K689" s="295"/>
      <c r="L689" s="72"/>
      <c r="M689" s="133"/>
      <c r="N689" s="72"/>
      <c r="O689" s="224"/>
      <c r="P689" s="219"/>
      <c r="Q689" s="84"/>
      <c r="S689" s="136"/>
      <c r="T689" s="136"/>
      <c r="V689" s="136"/>
    </row>
    <row r="690" spans="1:22">
      <c r="A690" s="71" t="s">
        <v>7287</v>
      </c>
      <c r="B690" s="67" t="s">
        <v>7288</v>
      </c>
      <c r="C690" s="71" t="s">
        <v>509</v>
      </c>
      <c r="D690" s="78">
        <v>1208.49</v>
      </c>
      <c r="E690" s="663">
        <v>2</v>
      </c>
      <c r="H690" s="178">
        <v>1208.49</v>
      </c>
      <c r="J690" s="294"/>
      <c r="K690" s="295"/>
      <c r="L690" s="72"/>
      <c r="M690" s="133"/>
      <c r="N690" s="72"/>
      <c r="O690" s="224"/>
      <c r="P690" s="219"/>
      <c r="Q690" s="84"/>
      <c r="S690" s="136"/>
      <c r="T690" s="136"/>
      <c r="V690" s="136"/>
    </row>
    <row r="691" spans="1:22">
      <c r="A691" s="71" t="s">
        <v>7289</v>
      </c>
      <c r="B691" s="67" t="s">
        <v>7290</v>
      </c>
      <c r="C691" s="71" t="s">
        <v>103</v>
      </c>
      <c r="D691" s="78">
        <v>518.53</v>
      </c>
      <c r="E691" s="663">
        <v>2</v>
      </c>
      <c r="H691" s="178">
        <v>518.53</v>
      </c>
      <c r="J691" s="294"/>
      <c r="K691" s="295"/>
      <c r="L691" s="72"/>
      <c r="M691" s="133"/>
      <c r="N691" s="72"/>
      <c r="O691" s="224"/>
      <c r="P691" s="219"/>
      <c r="Q691" s="84"/>
      <c r="S691" s="136"/>
      <c r="T691" s="136"/>
    </row>
    <row r="692" spans="1:22">
      <c r="A692" s="71" t="s">
        <v>7291</v>
      </c>
      <c r="B692" s="67" t="s">
        <v>7292</v>
      </c>
      <c r="C692" s="71" t="s">
        <v>103</v>
      </c>
      <c r="D692" s="78">
        <v>294.51</v>
      </c>
      <c r="E692" s="663">
        <v>2</v>
      </c>
      <c r="H692" s="178">
        <v>294.51</v>
      </c>
      <c r="J692" s="294"/>
      <c r="K692" s="295"/>
      <c r="L692" s="72"/>
      <c r="M692" s="133"/>
      <c r="N692" s="72"/>
      <c r="O692" s="224"/>
      <c r="P692" s="219"/>
      <c r="Q692" s="84"/>
      <c r="S692" s="136"/>
      <c r="T692" s="136"/>
      <c r="V692" s="136"/>
    </row>
    <row r="693" spans="1:22">
      <c r="A693" s="71" t="s">
        <v>7293</v>
      </c>
      <c r="B693" s="67" t="s">
        <v>7294</v>
      </c>
      <c r="C693" s="71" t="s">
        <v>103</v>
      </c>
      <c r="D693" s="78">
        <v>743.14</v>
      </c>
      <c r="E693" s="663">
        <v>2</v>
      </c>
      <c r="H693" s="178">
        <v>743.14</v>
      </c>
      <c r="J693" s="294"/>
      <c r="K693" s="295"/>
      <c r="L693" s="72"/>
      <c r="M693" s="133"/>
      <c r="N693" s="72"/>
      <c r="O693" s="224"/>
      <c r="P693" s="219"/>
      <c r="Q693" s="84"/>
      <c r="S693" s="136"/>
      <c r="T693" s="136"/>
      <c r="V693" s="140"/>
    </row>
    <row r="694" spans="1:22">
      <c r="A694" s="71" t="s">
        <v>7295</v>
      </c>
      <c r="B694" s="67" t="s">
        <v>7296</v>
      </c>
      <c r="C694" s="71" t="s">
        <v>103</v>
      </c>
      <c r="D694" s="78">
        <v>753.24</v>
      </c>
      <c r="E694" s="663">
        <v>2</v>
      </c>
      <c r="H694" s="178">
        <v>753.24</v>
      </c>
      <c r="J694" s="294"/>
      <c r="K694" s="295"/>
      <c r="L694" s="72"/>
      <c r="M694" s="133"/>
      <c r="N694" s="72"/>
      <c r="O694" s="224"/>
      <c r="P694" s="219"/>
      <c r="Q694" s="84"/>
      <c r="S694" s="136"/>
      <c r="T694" s="136"/>
      <c r="V694" s="136"/>
    </row>
    <row r="695" spans="1:22">
      <c r="A695" s="71" t="s">
        <v>7297</v>
      </c>
      <c r="B695" s="67" t="s">
        <v>7298</v>
      </c>
      <c r="C695" s="71" t="s">
        <v>103</v>
      </c>
      <c r="D695" s="78">
        <v>365.06</v>
      </c>
      <c r="E695" s="663">
        <v>2</v>
      </c>
      <c r="H695" s="178">
        <v>365.06</v>
      </c>
      <c r="J695" s="294"/>
      <c r="K695" s="295"/>
      <c r="L695" s="72"/>
      <c r="M695" s="133"/>
      <c r="N695" s="72"/>
      <c r="O695" s="224"/>
      <c r="P695" s="219"/>
      <c r="Q695" s="84"/>
      <c r="S695" s="136"/>
      <c r="T695" s="136"/>
      <c r="V695" s="136"/>
    </row>
    <row r="696" spans="1:22">
      <c r="A696" s="71" t="s">
        <v>7299</v>
      </c>
      <c r="B696" s="67" t="s">
        <v>7300</v>
      </c>
      <c r="C696" s="71" t="s">
        <v>103</v>
      </c>
      <c r="D696" s="78">
        <v>376.61</v>
      </c>
      <c r="E696" s="663">
        <v>2</v>
      </c>
      <c r="H696" s="178">
        <v>376.61</v>
      </c>
      <c r="J696" s="294"/>
      <c r="K696" s="295"/>
      <c r="L696" s="72"/>
      <c r="M696" s="133"/>
      <c r="N696" s="72"/>
      <c r="O696" s="224"/>
      <c r="P696" s="219"/>
      <c r="Q696" s="84"/>
      <c r="S696" s="136"/>
      <c r="T696" s="136"/>
      <c r="V696" s="136"/>
    </row>
    <row r="697" spans="1:22">
      <c r="A697" s="71" t="s">
        <v>7301</v>
      </c>
      <c r="B697" s="67" t="s">
        <v>7302</v>
      </c>
      <c r="C697" s="71" t="s">
        <v>103</v>
      </c>
      <c r="D697" s="78">
        <v>3811.76</v>
      </c>
      <c r="E697" s="663">
        <v>2</v>
      </c>
      <c r="H697" s="178">
        <v>3811.76</v>
      </c>
      <c r="J697" s="294"/>
      <c r="K697" s="295"/>
      <c r="L697" s="72"/>
      <c r="M697" s="133"/>
      <c r="N697" s="72"/>
      <c r="O697" s="224"/>
      <c r="P697" s="219"/>
      <c r="Q697" s="84"/>
      <c r="S697" s="136"/>
      <c r="T697" s="136"/>
    </row>
    <row r="698" spans="1:22">
      <c r="A698" s="71" t="s">
        <v>7303</v>
      </c>
      <c r="B698" s="67" t="s">
        <v>7304</v>
      </c>
      <c r="C698" s="71" t="s">
        <v>103</v>
      </c>
      <c r="D698" s="78">
        <v>1558.02</v>
      </c>
      <c r="E698" s="663">
        <v>2</v>
      </c>
      <c r="H698" s="178">
        <v>1558.02</v>
      </c>
      <c r="J698" s="294"/>
      <c r="K698" s="295"/>
      <c r="L698" s="72"/>
      <c r="M698" s="133"/>
      <c r="N698" s="72"/>
      <c r="O698" s="224"/>
      <c r="P698" s="219"/>
      <c r="Q698" s="84"/>
      <c r="S698" s="136"/>
      <c r="T698" s="136"/>
      <c r="V698" s="136"/>
    </row>
    <row r="699" spans="1:22">
      <c r="A699" s="71" t="s">
        <v>7305</v>
      </c>
      <c r="B699" s="67" t="s">
        <v>7306</v>
      </c>
      <c r="C699" s="71" t="s">
        <v>103</v>
      </c>
      <c r="D699" s="78">
        <v>1407.81</v>
      </c>
      <c r="E699" s="663">
        <v>2</v>
      </c>
      <c r="H699" s="178">
        <v>1407.81</v>
      </c>
      <c r="J699" s="294"/>
      <c r="K699" s="295"/>
      <c r="L699" s="72"/>
      <c r="M699" s="133"/>
      <c r="N699" s="72"/>
      <c r="O699" s="224"/>
      <c r="P699" s="219"/>
      <c r="Q699" s="84"/>
      <c r="S699" s="136"/>
      <c r="T699" s="136"/>
      <c r="V699" s="136"/>
    </row>
    <row r="700" spans="1:22">
      <c r="A700" s="71" t="s">
        <v>7307</v>
      </c>
      <c r="B700" s="67" t="s">
        <v>7308</v>
      </c>
      <c r="C700" s="71" t="s">
        <v>509</v>
      </c>
      <c r="D700" s="78">
        <v>618.45000000000005</v>
      </c>
      <c r="E700" s="663">
        <v>2</v>
      </c>
      <c r="H700" s="178">
        <v>618.45000000000005</v>
      </c>
      <c r="J700" s="294"/>
      <c r="K700" s="295"/>
      <c r="L700" s="72"/>
      <c r="M700" s="133"/>
      <c r="N700" s="72"/>
      <c r="O700" s="224"/>
      <c r="P700" s="219"/>
      <c r="Q700" s="84"/>
      <c r="S700" s="136"/>
      <c r="T700" s="136"/>
      <c r="V700" s="136"/>
    </row>
    <row r="701" spans="1:22">
      <c r="A701" s="71" t="s">
        <v>7309</v>
      </c>
      <c r="B701" s="67" t="s">
        <v>7310</v>
      </c>
      <c r="C701" s="71" t="s">
        <v>103</v>
      </c>
      <c r="D701" s="78">
        <v>784.38</v>
      </c>
      <c r="E701" s="663">
        <v>2</v>
      </c>
      <c r="H701" s="178">
        <v>784.38</v>
      </c>
      <c r="J701" s="294"/>
      <c r="K701" s="295"/>
      <c r="L701" s="72"/>
      <c r="M701" s="133"/>
      <c r="N701" s="72"/>
      <c r="O701" s="224"/>
      <c r="P701" s="219"/>
      <c r="Q701" s="84"/>
      <c r="S701" s="136"/>
      <c r="T701" s="136"/>
      <c r="V701" s="136"/>
    </row>
    <row r="702" spans="1:22">
      <c r="A702" s="71" t="s">
        <v>7311</v>
      </c>
      <c r="B702" s="67" t="s">
        <v>7312</v>
      </c>
      <c r="C702" s="71" t="s">
        <v>103</v>
      </c>
      <c r="D702" s="78">
        <v>945.72</v>
      </c>
      <c r="E702" s="663">
        <v>2</v>
      </c>
      <c r="H702" s="178">
        <v>945.72</v>
      </c>
      <c r="J702" s="294"/>
      <c r="K702" s="295"/>
      <c r="L702" s="72"/>
      <c r="M702" s="133"/>
      <c r="N702" s="72"/>
      <c r="O702" s="224"/>
      <c r="P702" s="219"/>
      <c r="Q702" s="84"/>
      <c r="S702" s="136"/>
      <c r="T702" s="136"/>
      <c r="V702" s="136"/>
    </row>
    <row r="703" spans="1:22">
      <c r="A703" s="71" t="s">
        <v>7313</v>
      </c>
      <c r="B703" s="67" t="s">
        <v>7314</v>
      </c>
      <c r="C703" s="71" t="s">
        <v>103</v>
      </c>
      <c r="D703" s="78">
        <v>1538.59</v>
      </c>
      <c r="E703" s="663">
        <v>2</v>
      </c>
      <c r="H703" s="178">
        <v>1538.59</v>
      </c>
      <c r="J703" s="294"/>
      <c r="K703" s="295"/>
      <c r="L703" s="72"/>
      <c r="M703" s="133"/>
      <c r="N703" s="72"/>
      <c r="O703" s="224"/>
      <c r="P703" s="219"/>
      <c r="Q703" s="84"/>
      <c r="S703" s="136"/>
      <c r="T703" s="136"/>
    </row>
    <row r="704" spans="1:22">
      <c r="A704" s="71" t="s">
        <v>7315</v>
      </c>
      <c r="B704" s="67" t="s">
        <v>7316</v>
      </c>
      <c r="C704" s="71" t="s">
        <v>509</v>
      </c>
      <c r="D704" s="78">
        <v>284.81</v>
      </c>
      <c r="E704" s="663">
        <v>2</v>
      </c>
      <c r="H704" s="178">
        <v>284.81</v>
      </c>
      <c r="J704" s="294"/>
      <c r="K704" s="295"/>
      <c r="L704" s="72"/>
      <c r="M704" s="133"/>
      <c r="N704" s="72"/>
      <c r="O704" s="224"/>
      <c r="P704" s="219"/>
      <c r="Q704" s="84"/>
      <c r="S704" s="136"/>
      <c r="T704" s="136"/>
    </row>
    <row r="705" spans="1:22">
      <c r="A705" s="71" t="s">
        <v>7317</v>
      </c>
      <c r="B705" s="67" t="s">
        <v>7318</v>
      </c>
      <c r="C705" s="71" t="s">
        <v>103</v>
      </c>
      <c r="D705" s="78">
        <v>7441.16</v>
      </c>
      <c r="E705" s="663">
        <v>2</v>
      </c>
      <c r="H705" s="178">
        <v>7441.16</v>
      </c>
      <c r="J705" s="294"/>
      <c r="K705" s="295"/>
      <c r="L705" s="72"/>
      <c r="M705" s="133"/>
      <c r="N705" s="72"/>
      <c r="O705" s="224"/>
      <c r="P705" s="219"/>
      <c r="Q705" s="84"/>
      <c r="S705" s="136"/>
      <c r="T705" s="136"/>
    </row>
    <row r="706" spans="1:22">
      <c r="A706" s="71" t="s">
        <v>7319</v>
      </c>
      <c r="B706" s="67" t="s">
        <v>7320</v>
      </c>
      <c r="C706" s="71" t="s">
        <v>103</v>
      </c>
      <c r="D706" s="78">
        <v>4679.91</v>
      </c>
      <c r="E706" s="663">
        <v>2</v>
      </c>
      <c r="H706" s="178">
        <v>4679.91</v>
      </c>
      <c r="J706" s="294"/>
      <c r="K706" s="295"/>
      <c r="L706" s="72"/>
      <c r="M706" s="133"/>
      <c r="N706" s="72"/>
      <c r="O706" s="224"/>
      <c r="P706" s="219"/>
      <c r="Q706" s="84"/>
      <c r="S706" s="136"/>
      <c r="T706" s="136"/>
    </row>
    <row r="707" spans="1:22">
      <c r="A707" s="71" t="s">
        <v>7321</v>
      </c>
      <c r="B707" s="67" t="s">
        <v>7322</v>
      </c>
      <c r="C707" s="71" t="s">
        <v>165</v>
      </c>
      <c r="D707" s="78">
        <v>1348.99</v>
      </c>
      <c r="E707" s="663">
        <v>2</v>
      </c>
      <c r="H707" s="178">
        <v>1348.99</v>
      </c>
      <c r="J707" s="294"/>
      <c r="K707" s="295"/>
      <c r="L707" s="72"/>
      <c r="M707" s="133"/>
      <c r="N707" s="72"/>
      <c r="O707" s="224"/>
      <c r="P707" s="219"/>
      <c r="Q707" s="84"/>
      <c r="S707" s="136"/>
      <c r="T707" s="136"/>
      <c r="V707" s="136"/>
    </row>
    <row r="708" spans="1:22">
      <c r="A708" s="71" t="s">
        <v>7323</v>
      </c>
      <c r="B708" s="67" t="s">
        <v>7324</v>
      </c>
      <c r="C708" s="71" t="s">
        <v>165</v>
      </c>
      <c r="D708" s="78">
        <v>830.25</v>
      </c>
      <c r="E708" s="663">
        <v>2</v>
      </c>
      <c r="H708" s="178">
        <v>830.25</v>
      </c>
      <c r="J708" s="294"/>
      <c r="K708" s="295"/>
      <c r="L708" s="72"/>
      <c r="M708" s="133"/>
      <c r="N708" s="72"/>
      <c r="O708" s="224"/>
      <c r="P708" s="219"/>
      <c r="Q708" s="84"/>
      <c r="S708" s="136"/>
      <c r="T708" s="136"/>
      <c r="V708" s="136"/>
    </row>
    <row r="709" spans="1:22">
      <c r="A709" s="71" t="s">
        <v>7325</v>
      </c>
      <c r="B709" s="67" t="s">
        <v>7326</v>
      </c>
      <c r="C709" s="71" t="s">
        <v>103</v>
      </c>
      <c r="D709" s="78">
        <v>7703.09</v>
      </c>
      <c r="E709" s="663">
        <v>2</v>
      </c>
      <c r="H709" s="178">
        <v>7703.09</v>
      </c>
      <c r="J709" s="294"/>
      <c r="K709" s="295"/>
      <c r="L709" s="72"/>
      <c r="M709" s="133"/>
      <c r="N709" s="72"/>
      <c r="O709" s="224"/>
      <c r="P709" s="219"/>
      <c r="Q709" s="84"/>
      <c r="S709" s="136"/>
      <c r="T709" s="136"/>
    </row>
    <row r="710" spans="1:22">
      <c r="A710" s="71" t="s">
        <v>7327</v>
      </c>
      <c r="B710" s="67" t="s">
        <v>7328</v>
      </c>
      <c r="C710" s="71" t="s">
        <v>103</v>
      </c>
      <c r="D710" s="78">
        <v>3621.45</v>
      </c>
      <c r="E710" s="663">
        <v>2</v>
      </c>
      <c r="H710" s="178">
        <v>3621.45</v>
      </c>
      <c r="J710" s="294"/>
      <c r="K710" s="295"/>
      <c r="L710" s="72"/>
      <c r="M710" s="133"/>
      <c r="N710" s="72"/>
      <c r="O710" s="224"/>
      <c r="P710" s="219"/>
      <c r="Q710" s="84"/>
      <c r="S710" s="136"/>
      <c r="T710" s="136"/>
    </row>
    <row r="711" spans="1:22">
      <c r="A711" s="71" t="s">
        <v>7329</v>
      </c>
      <c r="B711" s="67" t="s">
        <v>7330</v>
      </c>
      <c r="C711" s="71" t="s">
        <v>103</v>
      </c>
      <c r="D711" s="78">
        <v>6918.07</v>
      </c>
      <c r="E711" s="663">
        <v>2</v>
      </c>
      <c r="H711" s="178">
        <v>6918.07</v>
      </c>
      <c r="J711" s="294"/>
      <c r="K711" s="295"/>
      <c r="L711" s="72"/>
      <c r="M711" s="133"/>
      <c r="N711" s="72"/>
      <c r="O711" s="224"/>
      <c r="P711" s="219"/>
      <c r="Q711" s="84"/>
      <c r="S711" s="136"/>
      <c r="T711" s="136"/>
    </row>
    <row r="712" spans="1:22">
      <c r="A712" s="71" t="s">
        <v>7331</v>
      </c>
      <c r="B712" s="67" t="s">
        <v>7332</v>
      </c>
      <c r="C712" s="71" t="s">
        <v>103</v>
      </c>
      <c r="D712" s="78">
        <v>6748.1</v>
      </c>
      <c r="E712" s="663">
        <v>2</v>
      </c>
      <c r="H712" s="178">
        <v>6748.1</v>
      </c>
      <c r="J712" s="294"/>
      <c r="K712" s="295"/>
      <c r="L712" s="72"/>
      <c r="M712" s="133"/>
      <c r="N712" s="72"/>
      <c r="O712" s="224"/>
      <c r="P712" s="219"/>
      <c r="Q712" s="84"/>
      <c r="S712" s="136"/>
      <c r="T712" s="136"/>
    </row>
    <row r="713" spans="1:22">
      <c r="A713" s="71" t="s">
        <v>7333</v>
      </c>
      <c r="B713" s="67" t="s">
        <v>7334</v>
      </c>
      <c r="C713" s="71" t="s">
        <v>103</v>
      </c>
      <c r="D713" s="78">
        <v>4384.6499999999996</v>
      </c>
      <c r="E713" s="663">
        <v>2</v>
      </c>
      <c r="H713" s="178">
        <v>4384.6499999999996</v>
      </c>
      <c r="J713" s="294"/>
      <c r="K713" s="295"/>
      <c r="L713" s="72"/>
      <c r="M713" s="133"/>
      <c r="N713" s="72"/>
      <c r="O713" s="224"/>
      <c r="P713" s="219"/>
      <c r="Q713" s="84"/>
      <c r="S713" s="136"/>
      <c r="T713" s="136"/>
    </row>
    <row r="714" spans="1:22">
      <c r="A714" s="71" t="s">
        <v>7335</v>
      </c>
      <c r="B714" s="67" t="s">
        <v>7336</v>
      </c>
      <c r="C714" s="71" t="s">
        <v>103</v>
      </c>
      <c r="D714" s="78">
        <v>4159.74</v>
      </c>
      <c r="E714" s="663">
        <v>2</v>
      </c>
      <c r="H714" s="178">
        <v>4159.74</v>
      </c>
      <c r="J714" s="294"/>
      <c r="K714" s="295"/>
      <c r="L714" s="72"/>
      <c r="M714" s="133"/>
      <c r="N714" s="72"/>
      <c r="O714" s="224"/>
      <c r="P714" s="219"/>
      <c r="Q714" s="84"/>
      <c r="S714" s="136"/>
      <c r="T714" s="136"/>
    </row>
    <row r="715" spans="1:22">
      <c r="A715" s="71" t="s">
        <v>7337</v>
      </c>
      <c r="B715" s="67" t="s">
        <v>7338</v>
      </c>
      <c r="C715" s="71" t="s">
        <v>103</v>
      </c>
      <c r="D715" s="78">
        <v>573.61</v>
      </c>
      <c r="E715" s="663">
        <v>2</v>
      </c>
      <c r="H715" s="178">
        <v>573.61</v>
      </c>
      <c r="J715" s="294"/>
      <c r="K715" s="295"/>
      <c r="L715" s="72"/>
      <c r="M715" s="133"/>
      <c r="N715" s="72"/>
      <c r="O715" s="224"/>
      <c r="P715" s="219"/>
      <c r="Q715" s="84"/>
      <c r="S715" s="136"/>
      <c r="T715" s="136"/>
    </row>
    <row r="716" spans="1:22">
      <c r="A716" s="71" t="s">
        <v>7339</v>
      </c>
      <c r="B716" s="67" t="s">
        <v>7340</v>
      </c>
      <c r="C716" s="71" t="s">
        <v>103</v>
      </c>
      <c r="D716" s="78">
        <v>2359.33</v>
      </c>
      <c r="E716" s="663">
        <v>2</v>
      </c>
      <c r="H716" s="178">
        <v>2359.33</v>
      </c>
      <c r="J716" s="294"/>
      <c r="K716" s="295"/>
      <c r="L716" s="72"/>
      <c r="M716" s="133"/>
      <c r="N716" s="72"/>
      <c r="O716" s="224"/>
      <c r="P716" s="219"/>
      <c r="Q716" s="84"/>
      <c r="S716" s="136"/>
      <c r="T716" s="136"/>
    </row>
    <row r="717" spans="1:22">
      <c r="A717" s="71" t="s">
        <v>7341</v>
      </c>
      <c r="B717" s="67" t="s">
        <v>7342</v>
      </c>
      <c r="C717" s="71" t="s">
        <v>103</v>
      </c>
      <c r="D717" s="78">
        <v>388.66</v>
      </c>
      <c r="E717" s="663">
        <v>2</v>
      </c>
      <c r="H717" s="178">
        <v>388.66</v>
      </c>
      <c r="J717" s="294"/>
      <c r="K717" s="295"/>
      <c r="L717" s="72"/>
      <c r="M717" s="133"/>
      <c r="N717" s="72"/>
      <c r="O717" s="224"/>
      <c r="P717" s="219"/>
      <c r="Q717" s="84"/>
      <c r="S717" s="136"/>
      <c r="T717" s="136"/>
      <c r="V717" s="136"/>
    </row>
    <row r="718" spans="1:22">
      <c r="A718" s="71" t="s">
        <v>7343</v>
      </c>
      <c r="B718" s="67" t="s">
        <v>7344</v>
      </c>
      <c r="C718" s="71" t="s">
        <v>103</v>
      </c>
      <c r="D718" s="78">
        <v>674.6</v>
      </c>
      <c r="E718" s="663">
        <v>2</v>
      </c>
      <c r="H718" s="178">
        <v>674.6</v>
      </c>
      <c r="J718" s="294"/>
      <c r="K718" s="295"/>
      <c r="L718" s="72"/>
      <c r="M718" s="133"/>
      <c r="N718" s="72"/>
      <c r="O718" s="224"/>
      <c r="P718" s="219"/>
      <c r="Q718" s="84"/>
      <c r="S718" s="136"/>
      <c r="T718" s="136"/>
      <c r="V718" s="136"/>
    </row>
    <row r="719" spans="1:22">
      <c r="A719" s="71" t="s">
        <v>7345</v>
      </c>
      <c r="B719" s="67" t="s">
        <v>7346</v>
      </c>
      <c r="C719" s="71" t="s">
        <v>103</v>
      </c>
      <c r="D719" s="78">
        <v>340.57</v>
      </c>
      <c r="E719" s="663">
        <v>2</v>
      </c>
      <c r="H719" s="178">
        <v>340.57</v>
      </c>
      <c r="J719" s="294"/>
      <c r="K719" s="295"/>
      <c r="L719" s="72"/>
      <c r="M719" s="133"/>
      <c r="N719" s="72"/>
      <c r="O719" s="224"/>
      <c r="P719" s="219"/>
      <c r="Q719" s="84"/>
      <c r="S719" s="136"/>
      <c r="T719" s="136"/>
      <c r="V719" s="136"/>
    </row>
    <row r="720" spans="1:22">
      <c r="A720" s="71" t="s">
        <v>7347</v>
      </c>
      <c r="B720" s="67" t="s">
        <v>7348</v>
      </c>
      <c r="C720" s="71" t="s">
        <v>103</v>
      </c>
      <c r="D720" s="78">
        <v>535.14</v>
      </c>
      <c r="E720" s="663">
        <v>2</v>
      </c>
      <c r="H720" s="178">
        <v>535.14</v>
      </c>
      <c r="J720" s="294"/>
      <c r="K720" s="295"/>
      <c r="L720" s="72"/>
      <c r="M720" s="133"/>
      <c r="N720" s="72"/>
      <c r="O720" s="224"/>
      <c r="P720" s="219"/>
      <c r="Q720" s="84"/>
      <c r="S720" s="136"/>
      <c r="T720" s="136"/>
      <c r="V720" s="136"/>
    </row>
    <row r="721" spans="1:22">
      <c r="A721" s="71" t="s">
        <v>7349</v>
      </c>
      <c r="B721" s="67" t="s">
        <v>7350</v>
      </c>
      <c r="C721" s="71" t="s">
        <v>103</v>
      </c>
      <c r="D721" s="78">
        <v>3811.75</v>
      </c>
      <c r="E721" s="663">
        <v>2</v>
      </c>
      <c r="H721" s="178">
        <v>3811.75</v>
      </c>
      <c r="J721" s="294"/>
      <c r="K721" s="295"/>
      <c r="L721" s="72"/>
      <c r="M721" s="133"/>
      <c r="N721" s="72"/>
      <c r="O721" s="224"/>
      <c r="P721" s="219"/>
      <c r="Q721" s="84"/>
      <c r="S721" s="136"/>
      <c r="T721" s="136"/>
    </row>
    <row r="722" spans="1:22">
      <c r="A722" s="71" t="s">
        <v>7351</v>
      </c>
      <c r="B722" s="67" t="s">
        <v>7352</v>
      </c>
      <c r="C722" s="71" t="s">
        <v>103</v>
      </c>
      <c r="D722" s="78">
        <v>1208.02</v>
      </c>
      <c r="E722" s="663">
        <v>2</v>
      </c>
      <c r="H722" s="179">
        <v>1208.02</v>
      </c>
      <c r="J722" s="294"/>
      <c r="K722" s="295"/>
      <c r="L722" s="72"/>
      <c r="M722" s="133"/>
      <c r="N722" s="72"/>
      <c r="O722" s="224"/>
      <c r="P722" s="219"/>
      <c r="Q722" s="84"/>
      <c r="S722" s="137"/>
      <c r="T722" s="137"/>
      <c r="V722" s="137"/>
    </row>
    <row r="723" spans="1:22">
      <c r="A723" s="71" t="s">
        <v>7353</v>
      </c>
      <c r="B723" s="67" t="s">
        <v>7354</v>
      </c>
      <c r="C723" s="71" t="s">
        <v>103</v>
      </c>
      <c r="D723" s="78">
        <v>1148.4000000000001</v>
      </c>
      <c r="E723" s="663">
        <v>2</v>
      </c>
      <c r="H723" s="179">
        <v>1148.4000000000001</v>
      </c>
      <c r="J723" s="294"/>
      <c r="K723" s="295"/>
      <c r="L723" s="72"/>
      <c r="M723" s="133"/>
      <c r="N723" s="72"/>
      <c r="O723" s="224"/>
      <c r="P723" s="219"/>
      <c r="Q723" s="84"/>
      <c r="S723" s="137"/>
      <c r="T723" s="137"/>
      <c r="V723" s="137"/>
    </row>
    <row r="724" spans="1:22">
      <c r="A724" s="71" t="s">
        <v>7355</v>
      </c>
      <c r="B724" s="67" t="s">
        <v>7356</v>
      </c>
      <c r="C724" s="71" t="s">
        <v>103</v>
      </c>
      <c r="D724" s="78">
        <v>266.23</v>
      </c>
      <c r="E724" s="663">
        <v>2</v>
      </c>
      <c r="H724" s="179">
        <v>266.23</v>
      </c>
      <c r="J724" s="294"/>
      <c r="K724" s="295"/>
      <c r="L724" s="72"/>
      <c r="M724" s="133"/>
      <c r="N724" s="72"/>
      <c r="O724" s="224"/>
      <c r="P724" s="219"/>
      <c r="Q724" s="84"/>
      <c r="S724" s="137"/>
      <c r="T724" s="137"/>
      <c r="V724" s="137"/>
    </row>
    <row r="725" spans="1:22">
      <c r="A725" s="71" t="s">
        <v>7357</v>
      </c>
      <c r="B725" s="67" t="s">
        <v>7358</v>
      </c>
      <c r="C725" s="71" t="s">
        <v>103</v>
      </c>
      <c r="D725" s="78">
        <v>241.83</v>
      </c>
      <c r="E725" s="663">
        <v>2</v>
      </c>
      <c r="H725" s="179">
        <v>241.83</v>
      </c>
      <c r="J725" s="294"/>
      <c r="K725" s="295"/>
      <c r="L725" s="72"/>
      <c r="M725" s="133"/>
      <c r="N725" s="72"/>
      <c r="O725" s="224"/>
      <c r="P725" s="219"/>
      <c r="Q725" s="84"/>
      <c r="S725" s="137"/>
      <c r="T725" s="137"/>
      <c r="V725" s="137"/>
    </row>
    <row r="726" spans="1:22">
      <c r="A726" s="71" t="s">
        <v>7359</v>
      </c>
      <c r="B726" s="67" t="s">
        <v>7360</v>
      </c>
      <c r="C726" s="71" t="s">
        <v>103</v>
      </c>
      <c r="D726" s="78">
        <v>827.8</v>
      </c>
      <c r="E726" s="663">
        <v>2</v>
      </c>
      <c r="H726" s="178">
        <v>827.8</v>
      </c>
      <c r="J726" s="294"/>
      <c r="K726" s="295"/>
      <c r="L726" s="72"/>
      <c r="M726" s="133"/>
      <c r="N726" s="72"/>
      <c r="O726" s="224"/>
      <c r="P726" s="219"/>
      <c r="Q726" s="84"/>
      <c r="S726" s="136"/>
      <c r="T726" s="136"/>
      <c r="V726" s="136"/>
    </row>
    <row r="727" spans="1:22">
      <c r="A727" s="71" t="s">
        <v>7361</v>
      </c>
      <c r="B727" s="216" t="s">
        <v>7362</v>
      </c>
      <c r="C727" s="212" t="s">
        <v>103</v>
      </c>
      <c r="D727" s="78">
        <v>583.15</v>
      </c>
      <c r="E727" s="663">
        <v>2</v>
      </c>
      <c r="H727" s="178">
        <v>583.15</v>
      </c>
      <c r="J727" s="294"/>
      <c r="K727" s="295"/>
      <c r="L727" s="72"/>
      <c r="M727" s="299"/>
      <c r="N727" s="298"/>
      <c r="O727" s="224"/>
      <c r="P727" s="219"/>
      <c r="Q727" s="84"/>
      <c r="S727" s="136"/>
      <c r="T727" s="136"/>
      <c r="V727" s="136"/>
    </row>
    <row r="728" spans="1:22">
      <c r="A728" s="71" t="s">
        <v>7363</v>
      </c>
      <c r="B728" s="216" t="s">
        <v>7364</v>
      </c>
      <c r="C728" s="212" t="s">
        <v>103</v>
      </c>
      <c r="D728" s="78">
        <v>953.4</v>
      </c>
      <c r="E728" s="663">
        <v>2</v>
      </c>
      <c r="H728" s="178">
        <v>953.4</v>
      </c>
      <c r="J728" s="294"/>
      <c r="K728" s="295"/>
      <c r="L728" s="72"/>
      <c r="M728" s="299"/>
      <c r="N728" s="298"/>
      <c r="O728" s="224"/>
      <c r="P728" s="219"/>
      <c r="Q728" s="84"/>
      <c r="S728" s="136"/>
      <c r="T728" s="136"/>
      <c r="V728" s="136"/>
    </row>
    <row r="729" spans="1:22">
      <c r="A729" s="71" t="s">
        <v>7365</v>
      </c>
      <c r="B729" s="216" t="s">
        <v>7366</v>
      </c>
      <c r="C729" s="212" t="s">
        <v>103</v>
      </c>
      <c r="D729" s="78">
        <v>348.18</v>
      </c>
      <c r="E729" s="663">
        <v>2</v>
      </c>
      <c r="H729" s="178">
        <v>348.18</v>
      </c>
      <c r="J729" s="294"/>
      <c r="K729" s="295"/>
      <c r="L729" s="72"/>
      <c r="M729" s="299"/>
      <c r="N729" s="298"/>
      <c r="O729" s="224"/>
      <c r="P729" s="219"/>
      <c r="Q729" s="84"/>
      <c r="S729" s="136"/>
      <c r="T729" s="136"/>
      <c r="V729" s="136"/>
    </row>
    <row r="730" spans="1:22">
      <c r="A730" s="71" t="s">
        <v>7367</v>
      </c>
      <c r="B730" s="216" t="s">
        <v>7368</v>
      </c>
      <c r="C730" s="212" t="s">
        <v>103</v>
      </c>
      <c r="D730" s="78">
        <v>349.63</v>
      </c>
      <c r="E730" s="663">
        <v>2</v>
      </c>
      <c r="H730" s="178">
        <v>349.63</v>
      </c>
      <c r="J730" s="294"/>
      <c r="K730" s="295"/>
      <c r="L730" s="72"/>
      <c r="M730" s="299"/>
      <c r="N730" s="298"/>
      <c r="O730" s="224"/>
      <c r="P730" s="219"/>
      <c r="Q730" s="84"/>
      <c r="S730" s="136"/>
      <c r="T730" s="136"/>
      <c r="V730" s="136"/>
    </row>
    <row r="731" spans="1:22">
      <c r="A731" s="71" t="s">
        <v>7369</v>
      </c>
      <c r="B731" s="216" t="s">
        <v>7370</v>
      </c>
      <c r="C731" s="212" t="s">
        <v>103</v>
      </c>
      <c r="D731" s="78">
        <v>1981.62</v>
      </c>
      <c r="E731" s="663">
        <v>2</v>
      </c>
      <c r="H731" s="178">
        <v>1981.62</v>
      </c>
      <c r="J731" s="294"/>
      <c r="K731" s="295"/>
      <c r="L731" s="72"/>
      <c r="M731" s="299"/>
      <c r="N731" s="298"/>
      <c r="O731" s="224"/>
      <c r="P731" s="219"/>
      <c r="Q731" s="84"/>
      <c r="S731" s="136"/>
      <c r="T731" s="136"/>
      <c r="V731" s="136"/>
    </row>
    <row r="732" spans="1:22">
      <c r="A732" s="71" t="s">
        <v>7371</v>
      </c>
      <c r="B732" s="216" t="s">
        <v>7372</v>
      </c>
      <c r="C732" s="212" t="s">
        <v>103</v>
      </c>
      <c r="D732" s="78">
        <v>1215.96</v>
      </c>
      <c r="E732" s="663">
        <v>2</v>
      </c>
      <c r="H732" s="178">
        <v>1215.96</v>
      </c>
      <c r="J732" s="294"/>
      <c r="K732" s="295"/>
      <c r="L732" s="72"/>
      <c r="M732" s="299"/>
      <c r="N732" s="298"/>
      <c r="O732" s="224"/>
      <c r="P732" s="219"/>
      <c r="Q732" s="84"/>
      <c r="S732" s="136"/>
      <c r="T732" s="136"/>
      <c r="V732" s="136"/>
    </row>
    <row r="733" spans="1:22">
      <c r="A733" s="71" t="s">
        <v>7373</v>
      </c>
      <c r="B733" s="216" t="s">
        <v>7374</v>
      </c>
      <c r="C733" s="212" t="s">
        <v>103</v>
      </c>
      <c r="D733" s="78">
        <v>210.08</v>
      </c>
      <c r="E733" s="663">
        <v>2</v>
      </c>
      <c r="H733" s="178">
        <v>210.08</v>
      </c>
      <c r="J733" s="294"/>
      <c r="K733" s="295"/>
      <c r="L733" s="72"/>
      <c r="M733" s="299"/>
      <c r="N733" s="298"/>
      <c r="O733" s="224"/>
      <c r="P733" s="219"/>
      <c r="Q733" s="84"/>
      <c r="S733" s="136"/>
      <c r="T733" s="136"/>
      <c r="V733" s="136"/>
    </row>
    <row r="734" spans="1:22">
      <c r="A734" s="71" t="s">
        <v>7375</v>
      </c>
      <c r="B734" s="216" t="s">
        <v>7376</v>
      </c>
      <c r="C734" s="212" t="s">
        <v>103</v>
      </c>
      <c r="D734" s="78">
        <v>33.19</v>
      </c>
      <c r="E734" s="663">
        <v>2</v>
      </c>
      <c r="H734" s="178">
        <v>33.19</v>
      </c>
      <c r="J734" s="294"/>
      <c r="K734" s="295"/>
      <c r="L734" s="72"/>
      <c r="M734" s="299"/>
      <c r="N734" s="298"/>
      <c r="O734" s="224"/>
      <c r="P734" s="219"/>
      <c r="Q734" s="84"/>
      <c r="S734" s="136"/>
      <c r="T734" s="136"/>
      <c r="V734" s="136"/>
    </row>
    <row r="735" spans="1:22">
      <c r="A735" s="71" t="s">
        <v>7377</v>
      </c>
      <c r="B735" s="216" t="s">
        <v>7378</v>
      </c>
      <c r="C735" s="212" t="s">
        <v>103</v>
      </c>
      <c r="D735" s="78">
        <v>423.82</v>
      </c>
      <c r="E735" s="663">
        <v>2</v>
      </c>
      <c r="H735" s="178">
        <v>423.82</v>
      </c>
      <c r="J735" s="294"/>
      <c r="K735" s="295"/>
      <c r="L735" s="72"/>
      <c r="M735" s="299"/>
      <c r="N735" s="298"/>
      <c r="O735" s="224"/>
      <c r="P735" s="219"/>
      <c r="Q735" s="84"/>
      <c r="S735" s="136"/>
      <c r="T735" s="136"/>
      <c r="V735" s="136"/>
    </row>
    <row r="736" spans="1:22">
      <c r="A736" s="71" t="s">
        <v>7379</v>
      </c>
      <c r="B736" s="67" t="s">
        <v>7380</v>
      </c>
      <c r="C736" s="71" t="s">
        <v>103</v>
      </c>
      <c r="D736" s="78">
        <v>1737.57</v>
      </c>
      <c r="E736" s="663">
        <v>2</v>
      </c>
      <c r="H736" s="178">
        <v>1737.57</v>
      </c>
      <c r="J736" s="294"/>
      <c r="K736" s="295"/>
      <c r="L736" s="72"/>
      <c r="M736" s="133"/>
      <c r="N736" s="72"/>
      <c r="O736" s="224"/>
      <c r="P736" s="219"/>
      <c r="Q736" s="84"/>
      <c r="S736" s="136"/>
      <c r="T736" s="136"/>
      <c r="V736" s="136"/>
    </row>
    <row r="737" spans="1:22">
      <c r="A737" s="71" t="s">
        <v>7381</v>
      </c>
      <c r="B737" s="67" t="s">
        <v>7382</v>
      </c>
      <c r="C737" s="71" t="s">
        <v>103</v>
      </c>
      <c r="D737" s="78">
        <v>1505.38</v>
      </c>
      <c r="E737" s="663">
        <v>2</v>
      </c>
      <c r="H737" s="178">
        <v>1505.38</v>
      </c>
      <c r="J737" s="294"/>
      <c r="K737" s="295"/>
      <c r="L737" s="72"/>
      <c r="M737" s="133"/>
      <c r="N737" s="72"/>
      <c r="O737" s="224"/>
      <c r="P737" s="219"/>
      <c r="Q737" s="84"/>
      <c r="S737" s="136"/>
      <c r="T737" s="136"/>
      <c r="V737" s="136"/>
    </row>
    <row r="738" spans="1:22">
      <c r="A738" s="71" t="s">
        <v>7383</v>
      </c>
      <c r="B738" s="67" t="s">
        <v>7384</v>
      </c>
      <c r="C738" s="71" t="s">
        <v>103</v>
      </c>
      <c r="D738" s="78">
        <v>361.82</v>
      </c>
      <c r="E738" s="663">
        <v>2</v>
      </c>
      <c r="H738" s="178">
        <v>361.82</v>
      </c>
      <c r="J738" s="294"/>
      <c r="K738" s="295"/>
      <c r="L738" s="72"/>
      <c r="M738" s="133"/>
      <c r="N738" s="72"/>
      <c r="O738" s="224"/>
      <c r="P738" s="219"/>
      <c r="Q738" s="84"/>
      <c r="S738" s="136"/>
      <c r="T738" s="136"/>
      <c r="V738" s="136"/>
    </row>
    <row r="739" spans="1:22">
      <c r="A739" s="71" t="s">
        <v>7385</v>
      </c>
      <c r="B739" s="67" t="s">
        <v>7386</v>
      </c>
      <c r="C739" s="71" t="s">
        <v>6786</v>
      </c>
      <c r="D739" s="78">
        <v>17.29</v>
      </c>
      <c r="E739" s="663">
        <v>2</v>
      </c>
      <c r="H739" s="178">
        <v>17.29</v>
      </c>
      <c r="J739" s="294"/>
      <c r="K739" s="295"/>
      <c r="L739" s="72"/>
      <c r="M739" s="133"/>
      <c r="N739" s="72"/>
      <c r="O739" s="224"/>
      <c r="P739" s="219"/>
      <c r="Q739" s="84"/>
      <c r="S739" s="136"/>
      <c r="T739" s="136"/>
      <c r="V739" s="136"/>
    </row>
    <row r="740" spans="1:22">
      <c r="A740" s="134" t="s">
        <v>7387</v>
      </c>
      <c r="B740" s="312" t="s">
        <v>7388</v>
      </c>
      <c r="C740" s="71" t="s">
        <v>165</v>
      </c>
      <c r="D740" s="78">
        <v>67.680000000000007</v>
      </c>
      <c r="E740" s="663">
        <v>2</v>
      </c>
      <c r="H740" s="308">
        <v>67.680000000000007</v>
      </c>
      <c r="T740" s="84"/>
    </row>
    <row r="741" spans="1:22">
      <c r="A741" s="71" t="s">
        <v>7389</v>
      </c>
      <c r="B741" s="312" t="s">
        <v>7390</v>
      </c>
      <c r="C741" s="71" t="s">
        <v>396</v>
      </c>
      <c r="D741" s="78">
        <v>363.34</v>
      </c>
      <c r="E741" s="663">
        <v>2</v>
      </c>
      <c r="H741" s="308">
        <v>363.34</v>
      </c>
      <c r="T741" s="84"/>
    </row>
    <row r="742" spans="1:22">
      <c r="A742" s="71" t="s">
        <v>7391</v>
      </c>
      <c r="B742" s="67" t="s">
        <v>7392</v>
      </c>
      <c r="C742" s="71" t="s">
        <v>103</v>
      </c>
      <c r="D742" s="78">
        <v>61.7</v>
      </c>
      <c r="E742" s="663">
        <v>2</v>
      </c>
      <c r="H742" s="178">
        <v>61.7</v>
      </c>
      <c r="J742" s="294"/>
      <c r="K742" s="295"/>
      <c r="L742" s="72"/>
      <c r="M742" s="133"/>
      <c r="N742" s="72"/>
      <c r="O742" s="224"/>
      <c r="P742" s="219"/>
      <c r="Q742" s="84"/>
      <c r="S742" s="136"/>
      <c r="T742" s="136"/>
      <c r="V742" s="136"/>
    </row>
    <row r="743" spans="1:22">
      <c r="A743" s="71" t="s">
        <v>7393</v>
      </c>
      <c r="B743" s="67" t="s">
        <v>7394</v>
      </c>
      <c r="C743" s="71" t="s">
        <v>103</v>
      </c>
      <c r="D743" s="78">
        <v>6.37</v>
      </c>
      <c r="E743" s="663">
        <v>2</v>
      </c>
      <c r="H743" s="178">
        <v>6.37</v>
      </c>
      <c r="J743" s="294"/>
      <c r="K743" s="295"/>
      <c r="L743" s="72"/>
      <c r="M743" s="133"/>
      <c r="N743" s="72"/>
      <c r="O743" s="224"/>
      <c r="P743" s="219"/>
      <c r="Q743" s="84"/>
      <c r="S743" s="226"/>
      <c r="T743" s="136"/>
      <c r="V743" s="136"/>
    </row>
    <row r="744" spans="1:22">
      <c r="A744" s="71" t="s">
        <v>7395</v>
      </c>
      <c r="B744" s="67" t="s">
        <v>7396</v>
      </c>
      <c r="C744" s="71" t="s">
        <v>165</v>
      </c>
      <c r="D744" s="78">
        <v>623.08000000000004</v>
      </c>
      <c r="E744" s="663">
        <v>2</v>
      </c>
      <c r="H744" s="178">
        <v>623.08000000000004</v>
      </c>
      <c r="J744" s="294"/>
      <c r="K744" s="295"/>
      <c r="L744" s="72"/>
      <c r="M744" s="133"/>
      <c r="N744" s="72"/>
      <c r="O744" s="224"/>
      <c r="P744" s="219"/>
      <c r="Q744" s="84"/>
      <c r="S744" s="136"/>
      <c r="T744" s="136"/>
      <c r="V744" s="136"/>
    </row>
    <row r="745" spans="1:22">
      <c r="A745" s="71" t="s">
        <v>7397</v>
      </c>
      <c r="B745" s="67" t="s">
        <v>7398</v>
      </c>
      <c r="C745" s="71" t="s">
        <v>165</v>
      </c>
      <c r="D745" s="78">
        <v>843.48</v>
      </c>
      <c r="E745" s="663">
        <v>2</v>
      </c>
      <c r="H745" s="178">
        <v>843.48</v>
      </c>
      <c r="J745" s="294"/>
      <c r="K745" s="295"/>
      <c r="L745" s="72"/>
      <c r="M745" s="133"/>
      <c r="N745" s="72"/>
      <c r="O745" s="224"/>
      <c r="P745" s="219"/>
      <c r="Q745" s="84"/>
      <c r="S745" s="136"/>
      <c r="T745" s="136"/>
      <c r="V745" s="136"/>
    </row>
    <row r="746" spans="1:22">
      <c r="A746" s="71" t="s">
        <v>7399</v>
      </c>
      <c r="B746" s="67" t="s">
        <v>7400</v>
      </c>
      <c r="C746" s="71" t="s">
        <v>165</v>
      </c>
      <c r="D746" s="78">
        <v>1058.47</v>
      </c>
      <c r="E746" s="663">
        <v>2</v>
      </c>
      <c r="H746" s="178">
        <v>1058.47</v>
      </c>
      <c r="J746" s="294"/>
      <c r="K746" s="295"/>
      <c r="L746" s="72"/>
      <c r="M746" s="133"/>
      <c r="N746" s="72"/>
      <c r="O746" s="224"/>
      <c r="P746" s="219"/>
      <c r="Q746" s="84"/>
      <c r="S746" s="136"/>
      <c r="T746" s="136"/>
      <c r="V746" s="136"/>
    </row>
    <row r="747" spans="1:22">
      <c r="A747" s="71" t="s">
        <v>7401</v>
      </c>
      <c r="B747" s="67" t="s">
        <v>7402</v>
      </c>
      <c r="C747" s="71" t="s">
        <v>103</v>
      </c>
      <c r="D747" s="78">
        <v>64.61</v>
      </c>
      <c r="E747" s="663">
        <v>2</v>
      </c>
      <c r="H747" s="178">
        <v>64.61</v>
      </c>
      <c r="J747" s="294"/>
      <c r="K747" s="295"/>
      <c r="L747" s="72"/>
      <c r="M747" s="133"/>
      <c r="N747" s="72"/>
      <c r="O747" s="224"/>
      <c r="P747" s="219"/>
      <c r="Q747" s="84"/>
      <c r="S747" s="136"/>
      <c r="T747" s="136"/>
      <c r="V747" s="136"/>
    </row>
    <row r="748" spans="1:22">
      <c r="A748" s="71" t="s">
        <v>7403</v>
      </c>
      <c r="B748" s="67" t="s">
        <v>7404</v>
      </c>
      <c r="C748" s="71" t="s">
        <v>165</v>
      </c>
      <c r="D748" s="78">
        <v>595.84</v>
      </c>
      <c r="E748" s="663">
        <v>2</v>
      </c>
      <c r="H748" s="178">
        <v>595.84</v>
      </c>
      <c r="J748" s="294"/>
      <c r="K748" s="295"/>
      <c r="L748" s="72"/>
      <c r="M748" s="133"/>
      <c r="N748" s="72"/>
      <c r="O748" s="224"/>
      <c r="P748" s="219"/>
      <c r="Q748" s="84"/>
      <c r="S748" s="136"/>
      <c r="T748" s="136"/>
      <c r="V748" s="136"/>
    </row>
    <row r="749" spans="1:22">
      <c r="A749" s="71" t="s">
        <v>7405</v>
      </c>
      <c r="B749" s="67" t="s">
        <v>7406</v>
      </c>
      <c r="C749" s="71" t="s">
        <v>165</v>
      </c>
      <c r="D749" s="78">
        <v>325.56</v>
      </c>
      <c r="E749" s="663">
        <v>2</v>
      </c>
      <c r="H749" s="178">
        <v>325.56</v>
      </c>
      <c r="J749" s="294"/>
      <c r="K749" s="295"/>
      <c r="L749" s="72"/>
      <c r="M749" s="133"/>
      <c r="N749" s="72"/>
      <c r="O749" s="224"/>
      <c r="P749" s="219"/>
      <c r="Q749" s="84"/>
      <c r="S749" s="136"/>
      <c r="T749" s="136"/>
      <c r="V749" s="136"/>
    </row>
    <row r="750" spans="1:22">
      <c r="A750" s="71" t="s">
        <v>7407</v>
      </c>
      <c r="B750" s="67" t="s">
        <v>7408</v>
      </c>
      <c r="C750" s="71" t="s">
        <v>165</v>
      </c>
      <c r="D750" s="78">
        <v>760.43</v>
      </c>
      <c r="E750" s="663">
        <v>2</v>
      </c>
      <c r="H750" s="178">
        <v>760.43</v>
      </c>
      <c r="J750" s="294"/>
      <c r="K750" s="295"/>
      <c r="L750" s="72"/>
      <c r="M750" s="133"/>
      <c r="N750" s="72"/>
      <c r="O750" s="224"/>
      <c r="P750" s="219"/>
      <c r="Q750" s="84"/>
      <c r="S750" s="136"/>
      <c r="T750" s="136"/>
      <c r="V750" s="136"/>
    </row>
    <row r="751" spans="1:22">
      <c r="A751" s="71" t="s">
        <v>7409</v>
      </c>
      <c r="B751" s="67" t="s">
        <v>7410</v>
      </c>
      <c r="C751" s="71" t="s">
        <v>165</v>
      </c>
      <c r="D751" s="78">
        <v>1057.27</v>
      </c>
      <c r="E751" s="663">
        <v>2</v>
      </c>
      <c r="H751" s="178">
        <v>1057.27</v>
      </c>
      <c r="J751" s="294"/>
      <c r="K751" s="295"/>
      <c r="L751" s="72"/>
      <c r="M751" s="133"/>
      <c r="N751" s="72"/>
      <c r="O751" s="224"/>
      <c r="P751" s="219"/>
      <c r="Q751" s="84"/>
      <c r="S751" s="136"/>
      <c r="T751" s="136"/>
      <c r="V751" s="136"/>
    </row>
    <row r="752" spans="1:22">
      <c r="A752" s="71" t="s">
        <v>7411</v>
      </c>
      <c r="B752" s="67" t="s">
        <v>7412</v>
      </c>
      <c r="C752" s="71" t="s">
        <v>165</v>
      </c>
      <c r="D752" s="78">
        <v>588.89</v>
      </c>
      <c r="E752" s="663">
        <v>2</v>
      </c>
      <c r="H752" s="178">
        <v>588.89</v>
      </c>
      <c r="J752" s="294"/>
      <c r="K752" s="295"/>
      <c r="L752" s="72"/>
      <c r="M752" s="133"/>
      <c r="N752" s="72"/>
      <c r="O752" s="224"/>
      <c r="P752" s="219"/>
      <c r="Q752" s="84"/>
      <c r="S752" s="136"/>
      <c r="T752" s="136"/>
      <c r="V752" s="136"/>
    </row>
    <row r="753" spans="1:22">
      <c r="A753" s="71" t="s">
        <v>7413</v>
      </c>
      <c r="B753" s="67" t="s">
        <v>7414</v>
      </c>
      <c r="C753" s="71" t="s">
        <v>165</v>
      </c>
      <c r="D753" s="78">
        <v>699.84</v>
      </c>
      <c r="E753" s="663">
        <v>2</v>
      </c>
      <c r="H753" s="178">
        <v>699.84</v>
      </c>
      <c r="J753" s="294"/>
      <c r="K753" s="295"/>
      <c r="L753" s="72"/>
      <c r="M753" s="133"/>
      <c r="N753" s="72"/>
      <c r="O753" s="224"/>
      <c r="P753" s="219"/>
      <c r="Q753" s="84"/>
      <c r="S753" s="136"/>
      <c r="T753" s="136"/>
      <c r="V753" s="136"/>
    </row>
    <row r="754" spans="1:22">
      <c r="A754" s="71" t="s">
        <v>7415</v>
      </c>
      <c r="B754" s="67" t="s">
        <v>7416</v>
      </c>
      <c r="C754" s="71" t="s">
        <v>103</v>
      </c>
      <c r="D754" s="78">
        <v>48.76</v>
      </c>
      <c r="E754" s="663">
        <v>2</v>
      </c>
      <c r="H754" s="178">
        <v>48.76</v>
      </c>
      <c r="J754" s="294"/>
      <c r="K754" s="295"/>
      <c r="L754" s="72"/>
      <c r="M754" s="133"/>
      <c r="N754" s="72"/>
      <c r="O754" s="224"/>
      <c r="P754" s="219"/>
      <c r="Q754" s="84"/>
      <c r="S754" s="136"/>
      <c r="T754" s="136"/>
      <c r="V754" s="136"/>
    </row>
    <row r="755" spans="1:22">
      <c r="A755" s="71" t="s">
        <v>7417</v>
      </c>
      <c r="B755" s="67" t="s">
        <v>7418</v>
      </c>
      <c r="C755" s="71" t="s">
        <v>103</v>
      </c>
      <c r="D755" s="78">
        <v>37.06</v>
      </c>
      <c r="E755" s="663">
        <v>2</v>
      </c>
      <c r="H755" s="178">
        <v>37.06</v>
      </c>
      <c r="J755" s="294"/>
      <c r="K755" s="295"/>
      <c r="L755" s="72"/>
      <c r="M755" s="133"/>
      <c r="N755" s="72"/>
      <c r="O755" s="224"/>
      <c r="P755" s="219"/>
      <c r="Q755" s="84"/>
      <c r="S755" s="136"/>
      <c r="T755" s="136"/>
      <c r="V755" s="136"/>
    </row>
    <row r="756" spans="1:22">
      <c r="A756" s="71" t="s">
        <v>7419</v>
      </c>
      <c r="B756" s="67" t="s">
        <v>7420</v>
      </c>
      <c r="C756" s="71" t="s">
        <v>165</v>
      </c>
      <c r="D756" s="78">
        <v>19.72</v>
      </c>
      <c r="E756" s="663">
        <v>2</v>
      </c>
      <c r="H756" s="178">
        <v>19.72</v>
      </c>
      <c r="J756" s="294"/>
      <c r="K756" s="295"/>
      <c r="L756" s="72"/>
      <c r="M756" s="133"/>
      <c r="N756" s="72"/>
      <c r="O756" s="224"/>
      <c r="P756" s="219"/>
      <c r="Q756" s="84"/>
      <c r="S756" s="136"/>
      <c r="T756" s="136"/>
    </row>
    <row r="757" spans="1:22">
      <c r="A757" s="71" t="s">
        <v>7421</v>
      </c>
      <c r="B757" s="67" t="s">
        <v>7422</v>
      </c>
      <c r="C757" s="71" t="s">
        <v>103</v>
      </c>
      <c r="D757" s="78">
        <v>11.82</v>
      </c>
      <c r="E757" s="663">
        <v>2</v>
      </c>
      <c r="H757" s="178">
        <v>11.82</v>
      </c>
      <c r="J757" s="294"/>
      <c r="K757" s="295"/>
      <c r="L757" s="72"/>
      <c r="M757" s="133"/>
      <c r="N757" s="72"/>
      <c r="O757" s="224"/>
      <c r="P757" s="219"/>
      <c r="Q757" s="84"/>
      <c r="S757" s="136"/>
      <c r="T757" s="136"/>
    </row>
    <row r="758" spans="1:22">
      <c r="A758" s="71" t="s">
        <v>7423</v>
      </c>
      <c r="B758" s="67" t="s">
        <v>7424</v>
      </c>
      <c r="C758" s="71" t="s">
        <v>165</v>
      </c>
      <c r="D758" s="78">
        <v>8.08</v>
      </c>
      <c r="E758" s="663">
        <v>2</v>
      </c>
      <c r="H758" s="178">
        <v>8.08</v>
      </c>
      <c r="J758" s="294"/>
      <c r="K758" s="295"/>
      <c r="L758" s="72"/>
      <c r="M758" s="133"/>
      <c r="N758" s="72"/>
      <c r="O758" s="224"/>
      <c r="P758" s="219"/>
      <c r="Q758" s="84"/>
      <c r="S758" s="136"/>
      <c r="T758" s="136"/>
    </row>
    <row r="759" spans="1:22">
      <c r="A759" s="71" t="s">
        <v>7425</v>
      </c>
      <c r="B759" s="67" t="s">
        <v>7426</v>
      </c>
      <c r="C759" s="71" t="s">
        <v>103</v>
      </c>
      <c r="D759" s="78">
        <v>50.21</v>
      </c>
      <c r="E759" s="663">
        <v>2</v>
      </c>
      <c r="H759" s="178">
        <v>50.21</v>
      </c>
      <c r="J759" s="294"/>
      <c r="K759" s="295"/>
      <c r="L759" s="72"/>
      <c r="M759" s="133"/>
      <c r="N759" s="72"/>
      <c r="O759" s="224"/>
      <c r="P759" s="219"/>
      <c r="Q759" s="84"/>
      <c r="S759" s="136"/>
      <c r="T759" s="136"/>
    </row>
    <row r="760" spans="1:22">
      <c r="A760" s="71" t="s">
        <v>7427</v>
      </c>
      <c r="B760" s="67" t="s">
        <v>7428</v>
      </c>
      <c r="C760" s="71" t="s">
        <v>165</v>
      </c>
      <c r="D760" s="78">
        <v>746.74</v>
      </c>
      <c r="E760" s="663">
        <v>2</v>
      </c>
      <c r="H760" s="178">
        <v>746.74</v>
      </c>
      <c r="J760" s="294"/>
      <c r="K760" s="295"/>
      <c r="L760" s="72"/>
      <c r="M760" s="133"/>
      <c r="N760" s="72"/>
      <c r="O760" s="224"/>
      <c r="P760" s="219"/>
      <c r="Q760" s="84"/>
      <c r="S760" s="136"/>
      <c r="T760" s="136"/>
      <c r="V760" s="136"/>
    </row>
    <row r="761" spans="1:22">
      <c r="A761" s="71" t="s">
        <v>7429</v>
      </c>
      <c r="B761" s="67" t="s">
        <v>7430</v>
      </c>
      <c r="C761" s="71" t="s">
        <v>165</v>
      </c>
      <c r="D761" s="78">
        <v>81</v>
      </c>
      <c r="E761" s="663">
        <v>2</v>
      </c>
      <c r="H761" s="178">
        <v>81</v>
      </c>
      <c r="J761" s="294"/>
      <c r="K761" s="295"/>
      <c r="L761" s="72"/>
      <c r="M761" s="133"/>
      <c r="N761" s="72"/>
      <c r="O761" s="224"/>
      <c r="P761" s="219"/>
      <c r="Q761" s="84"/>
      <c r="S761" s="136"/>
      <c r="T761" s="136"/>
    </row>
    <row r="762" spans="1:22">
      <c r="A762" s="71" t="s">
        <v>7431</v>
      </c>
      <c r="B762" s="67" t="s">
        <v>7432</v>
      </c>
      <c r="C762" s="71" t="s">
        <v>165</v>
      </c>
      <c r="D762" s="78">
        <v>55.77</v>
      </c>
      <c r="E762" s="663">
        <v>2</v>
      </c>
      <c r="H762" s="178">
        <v>55.77</v>
      </c>
      <c r="J762" s="294"/>
      <c r="K762" s="295"/>
      <c r="L762" s="72"/>
      <c r="M762" s="133"/>
      <c r="N762" s="72"/>
      <c r="O762" s="224"/>
      <c r="P762" s="219"/>
      <c r="Q762" s="84"/>
      <c r="S762" s="136"/>
      <c r="T762" s="136"/>
    </row>
    <row r="763" spans="1:22">
      <c r="A763" s="134" t="s">
        <v>7433</v>
      </c>
      <c r="B763" s="312" t="s">
        <v>7434</v>
      </c>
      <c r="C763" s="71" t="s">
        <v>165</v>
      </c>
      <c r="D763" s="78">
        <v>6.95</v>
      </c>
      <c r="E763" s="663">
        <v>2</v>
      </c>
      <c r="H763" s="308">
        <v>6.95</v>
      </c>
      <c r="T763" s="84"/>
    </row>
    <row r="764" spans="1:22">
      <c r="A764" s="71" t="s">
        <v>7435</v>
      </c>
      <c r="B764" s="67" t="s">
        <v>7436</v>
      </c>
      <c r="C764" s="71" t="s">
        <v>103</v>
      </c>
      <c r="D764" s="78">
        <v>545.51</v>
      </c>
      <c r="E764" s="663">
        <v>2</v>
      </c>
      <c r="H764" s="178">
        <v>545.51</v>
      </c>
      <c r="J764" s="294"/>
      <c r="K764" s="295"/>
      <c r="L764" s="72"/>
      <c r="M764" s="133"/>
      <c r="N764" s="72"/>
      <c r="O764" s="224"/>
      <c r="P764" s="219"/>
      <c r="Q764" s="84"/>
      <c r="S764" s="136"/>
      <c r="T764" s="136"/>
      <c r="V764" s="136"/>
    </row>
    <row r="765" spans="1:22">
      <c r="A765" s="71" t="s">
        <v>7437</v>
      </c>
      <c r="B765" s="67" t="s">
        <v>7438</v>
      </c>
      <c r="C765" s="71" t="s">
        <v>103</v>
      </c>
      <c r="D765" s="78">
        <v>1023.2</v>
      </c>
      <c r="E765" s="663">
        <v>2</v>
      </c>
      <c r="H765" s="178">
        <v>1023.2</v>
      </c>
      <c r="J765" s="294"/>
      <c r="K765" s="295"/>
      <c r="L765" s="72"/>
      <c r="M765" s="133"/>
      <c r="N765" s="72"/>
      <c r="O765" s="224"/>
      <c r="P765" s="219"/>
      <c r="Q765" s="84"/>
      <c r="S765" s="136"/>
      <c r="T765" s="136"/>
      <c r="V765" s="136"/>
    </row>
    <row r="766" spans="1:22">
      <c r="A766" s="71" t="s">
        <v>7439</v>
      </c>
      <c r="B766" s="67" t="s">
        <v>7440</v>
      </c>
      <c r="C766" s="71" t="s">
        <v>165</v>
      </c>
      <c r="D766" s="78">
        <v>354.96</v>
      </c>
      <c r="E766" s="663">
        <v>2</v>
      </c>
      <c r="H766" s="178">
        <v>354.96</v>
      </c>
      <c r="J766" s="294"/>
      <c r="K766" s="295"/>
      <c r="L766" s="72"/>
      <c r="M766" s="133"/>
      <c r="N766" s="72"/>
      <c r="O766" s="224"/>
      <c r="P766" s="219"/>
      <c r="Q766" s="84"/>
      <c r="S766" s="136"/>
      <c r="T766" s="136"/>
      <c r="V766" s="136"/>
    </row>
    <row r="767" spans="1:22">
      <c r="A767" s="71" t="s">
        <v>7441</v>
      </c>
      <c r="B767" s="67" t="s">
        <v>7442</v>
      </c>
      <c r="C767" s="71" t="s">
        <v>165</v>
      </c>
      <c r="D767" s="78">
        <v>472.91</v>
      </c>
      <c r="E767" s="663">
        <v>2</v>
      </c>
      <c r="H767" s="178">
        <v>472.91</v>
      </c>
      <c r="J767" s="294"/>
      <c r="K767" s="295"/>
      <c r="L767" s="72"/>
      <c r="M767" s="133"/>
      <c r="N767" s="72"/>
      <c r="O767" s="224"/>
      <c r="P767" s="219"/>
      <c r="Q767" s="84"/>
      <c r="S767" s="136"/>
      <c r="T767" s="136"/>
      <c r="V767" s="136"/>
    </row>
    <row r="768" spans="1:22">
      <c r="A768" s="71" t="s">
        <v>7443</v>
      </c>
      <c r="B768" s="67" t="s">
        <v>7444</v>
      </c>
      <c r="C768" s="71" t="s">
        <v>165</v>
      </c>
      <c r="D768" s="78">
        <v>759.74</v>
      </c>
      <c r="E768" s="663">
        <v>2</v>
      </c>
      <c r="H768" s="178">
        <v>759.74</v>
      </c>
      <c r="J768" s="294"/>
      <c r="K768" s="295"/>
      <c r="L768" s="72"/>
      <c r="M768" s="133"/>
      <c r="N768" s="72"/>
      <c r="O768" s="224"/>
      <c r="P768" s="219"/>
      <c r="Q768" s="84"/>
      <c r="S768" s="226"/>
      <c r="T768" s="136"/>
      <c r="V768" s="136"/>
    </row>
    <row r="769" spans="1:22">
      <c r="A769" s="71" t="s">
        <v>7445</v>
      </c>
      <c r="B769" s="67" t="s">
        <v>7446</v>
      </c>
      <c r="C769" s="71" t="s">
        <v>165</v>
      </c>
      <c r="D769" s="78">
        <v>476.93</v>
      </c>
      <c r="E769" s="663">
        <v>2</v>
      </c>
      <c r="H769" s="178">
        <v>476.93</v>
      </c>
      <c r="J769" s="294"/>
      <c r="K769" s="295"/>
      <c r="L769" s="72"/>
      <c r="M769" s="133"/>
      <c r="N769" s="72"/>
      <c r="O769" s="224"/>
      <c r="P769" s="219"/>
      <c r="Q769" s="84"/>
      <c r="S769" s="136"/>
      <c r="T769" s="136"/>
      <c r="V769" s="136"/>
    </row>
    <row r="770" spans="1:22">
      <c r="A770" s="71" t="s">
        <v>7447</v>
      </c>
      <c r="B770" s="67" t="s">
        <v>7448</v>
      </c>
      <c r="C770" s="71" t="s">
        <v>165</v>
      </c>
      <c r="D770" s="78">
        <v>1403.59</v>
      </c>
      <c r="E770" s="663">
        <v>2</v>
      </c>
      <c r="H770" s="178">
        <v>1403.59</v>
      </c>
      <c r="J770" s="294"/>
      <c r="K770" s="295"/>
      <c r="L770" s="72"/>
      <c r="M770" s="133"/>
      <c r="N770" s="72"/>
      <c r="O770" s="224"/>
      <c r="P770" s="219"/>
      <c r="Q770" s="84"/>
      <c r="S770" s="136"/>
      <c r="T770" s="136"/>
      <c r="V770" s="136"/>
    </row>
    <row r="771" spans="1:22">
      <c r="A771" s="71" t="s">
        <v>7449</v>
      </c>
      <c r="B771" s="67" t="s">
        <v>7450</v>
      </c>
      <c r="C771" s="71" t="s">
        <v>165</v>
      </c>
      <c r="D771" s="78">
        <v>1632.65</v>
      </c>
      <c r="E771" s="663">
        <v>2</v>
      </c>
      <c r="H771" s="178">
        <v>1632.65</v>
      </c>
      <c r="J771" s="294"/>
      <c r="K771" s="295"/>
      <c r="L771" s="72"/>
      <c r="M771" s="133"/>
      <c r="N771" s="72"/>
      <c r="O771" s="224"/>
      <c r="P771" s="219"/>
      <c r="Q771" s="84"/>
      <c r="S771" s="136"/>
      <c r="T771" s="136"/>
      <c r="V771" s="136"/>
    </row>
    <row r="772" spans="1:22">
      <c r="A772" s="71" t="s">
        <v>7451</v>
      </c>
      <c r="B772" s="67" t="s">
        <v>7452</v>
      </c>
      <c r="C772" s="71" t="s">
        <v>165</v>
      </c>
      <c r="D772" s="78">
        <v>916.21</v>
      </c>
      <c r="E772" s="663">
        <v>2</v>
      </c>
      <c r="H772" s="178">
        <v>916.21</v>
      </c>
      <c r="J772" s="294"/>
      <c r="K772" s="295"/>
      <c r="L772" s="72"/>
      <c r="M772" s="133"/>
      <c r="N772" s="72"/>
      <c r="O772" s="224"/>
      <c r="P772" s="219"/>
      <c r="Q772" s="84"/>
      <c r="S772" s="136"/>
      <c r="T772" s="136"/>
      <c r="V772" s="136"/>
    </row>
    <row r="773" spans="1:22">
      <c r="A773" s="71" t="s">
        <v>7453</v>
      </c>
      <c r="B773" s="67" t="s">
        <v>7454</v>
      </c>
      <c r="C773" s="71" t="s">
        <v>165</v>
      </c>
      <c r="D773" s="78">
        <v>980.46</v>
      </c>
      <c r="E773" s="663">
        <v>2</v>
      </c>
      <c r="H773" s="178">
        <v>980.46</v>
      </c>
      <c r="J773" s="294"/>
      <c r="K773" s="295"/>
      <c r="L773" s="72"/>
      <c r="M773" s="133"/>
      <c r="N773" s="72"/>
      <c r="O773" s="224"/>
      <c r="P773" s="219"/>
      <c r="Q773" s="84"/>
      <c r="S773" s="136"/>
      <c r="T773" s="136"/>
      <c r="V773" s="136"/>
    </row>
    <row r="774" spans="1:22">
      <c r="A774" s="71" t="s">
        <v>7455</v>
      </c>
      <c r="B774" s="67" t="s">
        <v>7456</v>
      </c>
      <c r="C774" s="71" t="s">
        <v>165</v>
      </c>
      <c r="D774" s="78">
        <v>856.09</v>
      </c>
      <c r="E774" s="663">
        <v>2</v>
      </c>
      <c r="H774" s="178">
        <v>856.09</v>
      </c>
      <c r="J774" s="294"/>
      <c r="K774" s="295"/>
      <c r="L774" s="72"/>
      <c r="M774" s="133"/>
      <c r="N774" s="72"/>
      <c r="O774" s="224"/>
      <c r="P774" s="219"/>
      <c r="Q774" s="84"/>
      <c r="S774" s="136"/>
      <c r="T774" s="136"/>
      <c r="V774" s="136"/>
    </row>
    <row r="775" spans="1:22">
      <c r="A775" s="71" t="s">
        <v>7457</v>
      </c>
      <c r="B775" s="67" t="s">
        <v>7458</v>
      </c>
      <c r="C775" s="71" t="s">
        <v>165</v>
      </c>
      <c r="D775" s="78">
        <v>978.7</v>
      </c>
      <c r="E775" s="663">
        <v>2</v>
      </c>
      <c r="H775" s="178">
        <v>978.7</v>
      </c>
      <c r="J775" s="294"/>
      <c r="K775" s="295"/>
      <c r="L775" s="72"/>
      <c r="M775" s="133"/>
      <c r="N775" s="72"/>
      <c r="O775" s="224"/>
      <c r="P775" s="219"/>
      <c r="Q775" s="84"/>
      <c r="S775" s="136"/>
      <c r="T775" s="136"/>
      <c r="V775" s="136"/>
    </row>
    <row r="776" spans="1:22">
      <c r="A776" s="71" t="s">
        <v>7459</v>
      </c>
      <c r="B776" s="67" t="s">
        <v>7460</v>
      </c>
      <c r="C776" s="71" t="s">
        <v>165</v>
      </c>
      <c r="D776" s="78">
        <v>576.54999999999995</v>
      </c>
      <c r="E776" s="663">
        <v>3</v>
      </c>
      <c r="H776" s="178">
        <v>576.54999999999995</v>
      </c>
      <c r="J776" s="294"/>
      <c r="K776" s="295"/>
      <c r="L776" s="72"/>
      <c r="M776" s="133"/>
      <c r="N776" s="72"/>
      <c r="O776" s="224"/>
      <c r="P776" s="219"/>
      <c r="Q776" s="84"/>
      <c r="S776" s="136"/>
      <c r="T776" s="136"/>
      <c r="V776" s="136"/>
    </row>
    <row r="777" spans="1:22">
      <c r="A777" s="71" t="s">
        <v>7461</v>
      </c>
      <c r="B777" s="67" t="s">
        <v>7462</v>
      </c>
      <c r="C777" s="71" t="s">
        <v>103</v>
      </c>
      <c r="D777" s="78">
        <v>77.819999999999993</v>
      </c>
      <c r="E777" s="663">
        <v>2</v>
      </c>
      <c r="H777" s="178">
        <v>77.819999999999993</v>
      </c>
      <c r="J777" s="294"/>
      <c r="K777" s="295"/>
      <c r="L777" s="72"/>
      <c r="M777" s="133"/>
      <c r="N777" s="72"/>
      <c r="O777" s="224"/>
      <c r="P777" s="219"/>
      <c r="Q777" s="84"/>
      <c r="S777" s="136"/>
      <c r="T777" s="136"/>
    </row>
    <row r="778" spans="1:22">
      <c r="A778" s="134" t="s">
        <v>7463</v>
      </c>
      <c r="B778" s="312" t="s">
        <v>7464</v>
      </c>
      <c r="C778" s="71" t="s">
        <v>165</v>
      </c>
      <c r="D778" s="78">
        <v>32.85</v>
      </c>
      <c r="E778" s="663">
        <v>2</v>
      </c>
      <c r="H778" s="308">
        <v>32.85</v>
      </c>
      <c r="T778" s="84"/>
    </row>
    <row r="779" spans="1:22">
      <c r="A779" s="71" t="s">
        <v>7465</v>
      </c>
      <c r="B779" s="67" t="s">
        <v>7466</v>
      </c>
      <c r="C779" s="71" t="s">
        <v>103</v>
      </c>
      <c r="D779" s="78">
        <v>30.09</v>
      </c>
      <c r="E779" s="663">
        <v>2</v>
      </c>
      <c r="H779" s="178">
        <v>30.09</v>
      </c>
      <c r="J779" s="294"/>
      <c r="K779" s="295"/>
      <c r="L779" s="72"/>
      <c r="M779" s="133"/>
      <c r="N779" s="72"/>
      <c r="O779" s="224"/>
      <c r="P779" s="219"/>
      <c r="Q779" s="84"/>
      <c r="S779" s="136"/>
      <c r="T779" s="136"/>
      <c r="V779" s="136"/>
    </row>
    <row r="780" spans="1:22">
      <c r="A780" s="71" t="s">
        <v>7467</v>
      </c>
      <c r="B780" s="67" t="s">
        <v>7468</v>
      </c>
      <c r="C780" s="71" t="s">
        <v>103</v>
      </c>
      <c r="D780" s="78">
        <v>17.739999999999998</v>
      </c>
      <c r="E780" s="663">
        <v>2</v>
      </c>
      <c r="H780" s="178">
        <v>17.739999999999998</v>
      </c>
      <c r="J780" s="294"/>
      <c r="K780" s="295"/>
      <c r="L780" s="72"/>
      <c r="M780" s="133"/>
      <c r="N780" s="72"/>
      <c r="O780" s="224"/>
      <c r="P780" s="219"/>
      <c r="Q780" s="84"/>
      <c r="S780" s="136"/>
      <c r="T780" s="136"/>
    </row>
    <row r="781" spans="1:22">
      <c r="A781" s="71" t="s">
        <v>7469</v>
      </c>
      <c r="B781" s="67" t="s">
        <v>7470</v>
      </c>
      <c r="C781" s="71" t="s">
        <v>103</v>
      </c>
      <c r="D781" s="78">
        <v>68.400000000000006</v>
      </c>
      <c r="E781" s="663">
        <v>2</v>
      </c>
      <c r="H781" s="178">
        <v>68.400000000000006</v>
      </c>
      <c r="J781" s="294"/>
      <c r="K781" s="295"/>
      <c r="L781" s="72"/>
      <c r="M781" s="133"/>
      <c r="N781" s="72"/>
      <c r="O781" s="224"/>
      <c r="P781" s="219"/>
      <c r="Q781" s="84"/>
      <c r="S781" s="136"/>
      <c r="T781" s="136"/>
      <c r="V781" s="136"/>
    </row>
    <row r="782" spans="1:22">
      <c r="A782" s="71" t="s">
        <v>7471</v>
      </c>
      <c r="B782" s="67" t="s">
        <v>7472</v>
      </c>
      <c r="C782" s="71" t="s">
        <v>509</v>
      </c>
      <c r="D782" s="78">
        <v>594.23</v>
      </c>
      <c r="E782" s="663">
        <v>2</v>
      </c>
      <c r="H782" s="178">
        <v>594.23</v>
      </c>
      <c r="J782" s="294"/>
      <c r="K782" s="295"/>
      <c r="L782" s="72"/>
      <c r="M782" s="133"/>
      <c r="N782" s="72"/>
      <c r="O782" s="224"/>
      <c r="P782" s="219"/>
      <c r="Q782" s="84"/>
      <c r="S782" s="136"/>
      <c r="T782" s="136"/>
      <c r="V782" s="136"/>
    </row>
    <row r="783" spans="1:22">
      <c r="A783" s="71" t="s">
        <v>7473</v>
      </c>
      <c r="B783" s="67" t="s">
        <v>7474</v>
      </c>
      <c r="C783" s="71" t="s">
        <v>103</v>
      </c>
      <c r="D783" s="78">
        <v>20.73</v>
      </c>
      <c r="E783" s="663">
        <v>2</v>
      </c>
      <c r="H783" s="178">
        <v>20.73</v>
      </c>
      <c r="J783" s="294"/>
      <c r="K783" s="295"/>
      <c r="L783" s="72"/>
      <c r="M783" s="133"/>
      <c r="N783" s="72"/>
      <c r="O783" s="224"/>
      <c r="P783" s="219"/>
      <c r="Q783" s="84"/>
      <c r="S783" s="136"/>
      <c r="T783" s="136"/>
    </row>
    <row r="784" spans="1:22">
      <c r="A784" s="71" t="s">
        <v>7475</v>
      </c>
      <c r="B784" s="67" t="s">
        <v>7476</v>
      </c>
      <c r="C784" s="71" t="s">
        <v>103</v>
      </c>
      <c r="D784" s="78">
        <v>5.28</v>
      </c>
      <c r="E784" s="663">
        <v>2</v>
      </c>
      <c r="H784" s="178">
        <v>5.28</v>
      </c>
      <c r="J784" s="294"/>
      <c r="K784" s="295"/>
      <c r="L784" s="72"/>
      <c r="M784" s="133"/>
      <c r="N784" s="72"/>
      <c r="O784" s="224"/>
      <c r="P784" s="219"/>
      <c r="Q784" s="84"/>
      <c r="S784" s="136"/>
      <c r="T784" s="136"/>
    </row>
    <row r="785" spans="1:22">
      <c r="A785" s="71" t="s">
        <v>7477</v>
      </c>
      <c r="B785" s="67" t="s">
        <v>7478</v>
      </c>
      <c r="C785" s="71" t="s">
        <v>103</v>
      </c>
      <c r="D785" s="78">
        <v>2.4300000000000002</v>
      </c>
      <c r="E785" s="663">
        <v>2</v>
      </c>
      <c r="H785" s="721">
        <v>2.4300000000000002</v>
      </c>
      <c r="J785" s="294"/>
      <c r="K785" s="295"/>
      <c r="M785" s="72"/>
      <c r="N785" s="133"/>
      <c r="O785" s="72"/>
      <c r="P785" s="224"/>
      <c r="Q785" s="219"/>
      <c r="T785" s="136"/>
      <c r="V785" s="136"/>
    </row>
    <row r="786" spans="1:22">
      <c r="A786" s="71" t="s">
        <v>7479</v>
      </c>
      <c r="B786" s="67" t="s">
        <v>7480</v>
      </c>
      <c r="C786" s="71" t="s">
        <v>165</v>
      </c>
      <c r="D786" s="78">
        <v>12.99</v>
      </c>
      <c r="E786" s="663">
        <v>2</v>
      </c>
      <c r="H786" s="178">
        <v>12.99</v>
      </c>
      <c r="J786" s="294"/>
      <c r="K786" s="295"/>
      <c r="L786" s="72"/>
      <c r="M786" s="133"/>
      <c r="N786" s="72"/>
      <c r="O786" s="224"/>
      <c r="P786" s="219"/>
      <c r="Q786" s="84"/>
      <c r="S786" s="136"/>
      <c r="T786" s="136"/>
      <c r="V786" s="136"/>
    </row>
    <row r="787" spans="1:22">
      <c r="A787" s="71" t="s">
        <v>7481</v>
      </c>
      <c r="B787" s="67" t="s">
        <v>7482</v>
      </c>
      <c r="C787" s="71" t="s">
        <v>165</v>
      </c>
      <c r="D787" s="78">
        <v>4.87</v>
      </c>
      <c r="E787" s="663">
        <v>2</v>
      </c>
      <c r="H787" s="178">
        <v>4.87</v>
      </c>
      <c r="J787" s="294"/>
      <c r="K787" s="295"/>
      <c r="L787" s="72"/>
      <c r="M787" s="133"/>
      <c r="N787" s="72"/>
      <c r="O787" s="224"/>
      <c r="P787" s="219"/>
      <c r="Q787" s="84"/>
      <c r="S787" s="136"/>
      <c r="T787" s="136"/>
      <c r="V787" s="136"/>
    </row>
    <row r="788" spans="1:22">
      <c r="A788" s="71" t="s">
        <v>7483</v>
      </c>
      <c r="B788" s="67" t="s">
        <v>7484</v>
      </c>
      <c r="C788" s="71" t="s">
        <v>103</v>
      </c>
      <c r="D788" s="78">
        <v>4.24</v>
      </c>
      <c r="E788" s="663">
        <v>2</v>
      </c>
      <c r="H788" s="178">
        <v>4.24</v>
      </c>
      <c r="J788" s="294"/>
      <c r="K788" s="295"/>
      <c r="L788" s="72"/>
      <c r="M788" s="133"/>
      <c r="N788" s="72"/>
      <c r="O788" s="224"/>
      <c r="P788" s="219"/>
      <c r="Q788" s="84"/>
      <c r="S788" s="136"/>
      <c r="T788" s="136"/>
    </row>
    <row r="789" spans="1:22">
      <c r="A789" s="71" t="s">
        <v>7485</v>
      </c>
      <c r="B789" s="67" t="s">
        <v>7486</v>
      </c>
      <c r="C789" s="71" t="s">
        <v>103</v>
      </c>
      <c r="D789" s="78">
        <v>10.119999999999999</v>
      </c>
      <c r="E789" s="663">
        <v>2</v>
      </c>
      <c r="H789" s="178">
        <v>10.119999999999999</v>
      </c>
      <c r="J789" s="294"/>
      <c r="K789" s="295"/>
      <c r="L789" s="72"/>
      <c r="M789" s="133"/>
      <c r="N789" s="72"/>
      <c r="O789" s="224"/>
      <c r="P789" s="219"/>
      <c r="Q789" s="84"/>
      <c r="S789" s="136"/>
      <c r="T789" s="136"/>
    </row>
    <row r="790" spans="1:22">
      <c r="A790" s="71" t="s">
        <v>7487</v>
      </c>
      <c r="B790" s="67" t="s">
        <v>7488</v>
      </c>
      <c r="C790" s="71" t="s">
        <v>103</v>
      </c>
      <c r="D790" s="78">
        <v>9.09</v>
      </c>
      <c r="E790" s="663">
        <v>2</v>
      </c>
      <c r="H790" s="178">
        <v>9.09</v>
      </c>
      <c r="J790" s="294"/>
      <c r="K790" s="295"/>
      <c r="L790" s="72"/>
      <c r="M790" s="133"/>
      <c r="N790" s="72"/>
      <c r="O790" s="224"/>
      <c r="P790" s="219"/>
      <c r="Q790" s="84"/>
      <c r="S790" s="136"/>
      <c r="T790" s="136"/>
    </row>
    <row r="791" spans="1:22">
      <c r="A791" s="71" t="s">
        <v>7489</v>
      </c>
      <c r="B791" s="67" t="s">
        <v>7490</v>
      </c>
      <c r="C791" s="71" t="s">
        <v>103</v>
      </c>
      <c r="D791" s="78">
        <v>23.21</v>
      </c>
      <c r="E791" s="663">
        <v>2</v>
      </c>
      <c r="H791" s="178">
        <v>23.21</v>
      </c>
      <c r="J791" s="294"/>
      <c r="K791" s="295"/>
      <c r="L791" s="72"/>
      <c r="M791" s="133"/>
      <c r="N791" s="72"/>
      <c r="O791" s="224"/>
      <c r="P791" s="219"/>
      <c r="Q791" s="84"/>
      <c r="S791" s="136"/>
      <c r="T791" s="136"/>
      <c r="V791" s="136"/>
    </row>
    <row r="792" spans="1:22">
      <c r="A792" s="71" t="s">
        <v>7491</v>
      </c>
      <c r="B792" s="67" t="s">
        <v>7492</v>
      </c>
      <c r="C792" s="71" t="s">
        <v>103</v>
      </c>
      <c r="D792" s="78">
        <v>460.57</v>
      </c>
      <c r="E792" s="663">
        <v>2</v>
      </c>
      <c r="H792" s="178">
        <v>460.57</v>
      </c>
      <c r="J792" s="294"/>
      <c r="K792" s="295"/>
      <c r="L792" s="72"/>
      <c r="M792" s="133"/>
      <c r="N792" s="72"/>
      <c r="O792" s="224"/>
      <c r="P792" s="219"/>
      <c r="Q792" s="84"/>
      <c r="S792" s="136"/>
      <c r="T792" s="136"/>
      <c r="V792" s="136"/>
    </row>
    <row r="793" spans="1:22">
      <c r="A793" s="71" t="s">
        <v>7493</v>
      </c>
      <c r="B793" s="67" t="s">
        <v>7494</v>
      </c>
      <c r="C793" s="71" t="s">
        <v>103</v>
      </c>
      <c r="D793" s="78">
        <v>4.4400000000000004</v>
      </c>
      <c r="E793" s="663">
        <v>2</v>
      </c>
      <c r="H793" s="178">
        <v>4.4400000000000004</v>
      </c>
      <c r="J793" s="294"/>
      <c r="K793" s="295"/>
      <c r="L793" s="72"/>
      <c r="M793" s="133"/>
      <c r="N793" s="72"/>
      <c r="O793" s="224"/>
      <c r="P793" s="219"/>
      <c r="Q793" s="84"/>
      <c r="S793" s="136"/>
      <c r="T793" s="136"/>
      <c r="V793" s="136"/>
    </row>
    <row r="794" spans="1:22">
      <c r="A794" s="71" t="s">
        <v>7495</v>
      </c>
      <c r="B794" s="67" t="s">
        <v>7496</v>
      </c>
      <c r="C794" s="71" t="s">
        <v>103</v>
      </c>
      <c r="D794" s="78">
        <v>25.29</v>
      </c>
      <c r="E794" s="663">
        <v>2</v>
      </c>
      <c r="H794" s="178">
        <v>25.29</v>
      </c>
      <c r="J794" s="294"/>
      <c r="K794" s="295"/>
      <c r="L794" s="72"/>
      <c r="M794" s="133"/>
      <c r="N794" s="72"/>
      <c r="O794" s="224"/>
      <c r="P794" s="219"/>
      <c r="Q794" s="84"/>
      <c r="S794" s="136"/>
      <c r="T794" s="136"/>
      <c r="V794" s="136"/>
    </row>
    <row r="795" spans="1:22">
      <c r="A795" s="71" t="s">
        <v>7497</v>
      </c>
      <c r="B795" s="67" t="s">
        <v>7498</v>
      </c>
      <c r="C795" s="71" t="s">
        <v>103</v>
      </c>
      <c r="D795" s="78">
        <v>326.99</v>
      </c>
      <c r="E795" s="663">
        <v>2</v>
      </c>
      <c r="H795" s="178">
        <v>326.99</v>
      </c>
      <c r="J795" s="294"/>
      <c r="K795" s="295"/>
      <c r="L795" s="72"/>
      <c r="M795" s="133"/>
      <c r="N795" s="72"/>
      <c r="O795" s="224"/>
      <c r="P795" s="219"/>
      <c r="Q795" s="84"/>
      <c r="S795" s="136"/>
      <c r="T795" s="136"/>
      <c r="V795" s="136"/>
    </row>
    <row r="796" spans="1:22">
      <c r="A796" s="71" t="s">
        <v>7499</v>
      </c>
      <c r="B796" s="67" t="s">
        <v>7500</v>
      </c>
      <c r="C796" s="71" t="s">
        <v>103</v>
      </c>
      <c r="D796" s="78">
        <v>12.33</v>
      </c>
      <c r="E796" s="663">
        <v>2</v>
      </c>
      <c r="H796" s="178">
        <v>12.33</v>
      </c>
      <c r="J796" s="294"/>
      <c r="K796" s="295"/>
      <c r="L796" s="72"/>
      <c r="M796" s="133"/>
      <c r="N796" s="72"/>
      <c r="O796" s="224"/>
      <c r="P796" s="219"/>
      <c r="Q796" s="84"/>
      <c r="S796" s="136"/>
      <c r="T796" s="136"/>
      <c r="V796" s="136"/>
    </row>
    <row r="797" spans="1:22">
      <c r="A797" s="71" t="s">
        <v>7501</v>
      </c>
      <c r="B797" s="67" t="s">
        <v>7502</v>
      </c>
      <c r="C797" s="71" t="s">
        <v>103</v>
      </c>
      <c r="D797" s="78">
        <v>96.56</v>
      </c>
      <c r="E797" s="663">
        <v>2</v>
      </c>
      <c r="H797" s="178">
        <v>96.56</v>
      </c>
      <c r="J797" s="294"/>
      <c r="K797" s="295"/>
      <c r="L797" s="72"/>
      <c r="M797" s="133"/>
      <c r="N797" s="72"/>
      <c r="O797" s="224"/>
      <c r="P797" s="219"/>
      <c r="Q797" s="84"/>
      <c r="S797" s="136"/>
      <c r="T797" s="136"/>
      <c r="V797" s="136"/>
    </row>
    <row r="798" spans="1:22">
      <c r="A798" s="71" t="s">
        <v>7503</v>
      </c>
      <c r="B798" s="67" t="s">
        <v>7504</v>
      </c>
      <c r="C798" s="71" t="s">
        <v>103</v>
      </c>
      <c r="D798" s="78">
        <v>113.6</v>
      </c>
      <c r="E798" s="663">
        <v>2</v>
      </c>
      <c r="H798" s="178">
        <v>113.6</v>
      </c>
      <c r="J798" s="294"/>
      <c r="K798" s="295"/>
      <c r="L798" s="72"/>
      <c r="M798" s="133"/>
      <c r="N798" s="72"/>
      <c r="O798" s="224"/>
      <c r="P798" s="219"/>
      <c r="Q798" s="84"/>
      <c r="S798" s="136"/>
      <c r="T798" s="136"/>
      <c r="V798" s="136"/>
    </row>
    <row r="799" spans="1:22">
      <c r="A799" s="71" t="s">
        <v>7505</v>
      </c>
      <c r="B799" s="67" t="s">
        <v>7506</v>
      </c>
      <c r="C799" s="71" t="s">
        <v>103</v>
      </c>
      <c r="D799" s="78">
        <v>245.25</v>
      </c>
      <c r="E799" s="663">
        <v>2</v>
      </c>
      <c r="H799" s="178">
        <v>245.25</v>
      </c>
      <c r="J799" s="294"/>
      <c r="K799" s="295"/>
      <c r="L799" s="72"/>
      <c r="M799" s="133"/>
      <c r="N799" s="72"/>
      <c r="O799" s="224"/>
      <c r="P799" s="219"/>
      <c r="Q799" s="84"/>
      <c r="S799" s="136"/>
      <c r="T799" s="136"/>
      <c r="V799" s="136"/>
    </row>
    <row r="800" spans="1:22">
      <c r="A800" s="71" t="s">
        <v>7507</v>
      </c>
      <c r="B800" s="67" t="s">
        <v>7508</v>
      </c>
      <c r="C800" s="71" t="s">
        <v>103</v>
      </c>
      <c r="D800" s="78">
        <v>54.59</v>
      </c>
      <c r="E800" s="663">
        <v>2</v>
      </c>
      <c r="H800" s="178">
        <v>54.59</v>
      </c>
      <c r="J800" s="294"/>
      <c r="K800" s="295"/>
      <c r="L800" s="72"/>
      <c r="M800" s="133"/>
      <c r="N800" s="72"/>
      <c r="O800" s="224"/>
      <c r="P800" s="219"/>
      <c r="Q800" s="84"/>
      <c r="S800" s="136"/>
      <c r="T800" s="136"/>
      <c r="V800" s="136"/>
    </row>
    <row r="801" spans="1:22">
      <c r="A801" s="71" t="s">
        <v>7509</v>
      </c>
      <c r="B801" s="67" t="s">
        <v>7510</v>
      </c>
      <c r="C801" s="71" t="s">
        <v>103</v>
      </c>
      <c r="D801" s="78">
        <v>13.08</v>
      </c>
      <c r="E801" s="663">
        <v>2</v>
      </c>
      <c r="H801" s="178">
        <v>13.08</v>
      </c>
      <c r="J801" s="294"/>
      <c r="K801" s="295"/>
      <c r="L801" s="72"/>
      <c r="M801" s="133"/>
      <c r="N801" s="72"/>
      <c r="O801" s="224"/>
      <c r="P801" s="219"/>
      <c r="Q801" s="84"/>
      <c r="S801" s="136"/>
      <c r="T801" s="136"/>
      <c r="V801" s="136"/>
    </row>
    <row r="802" spans="1:22">
      <c r="A802" s="71" t="s">
        <v>7511</v>
      </c>
      <c r="B802" s="67" t="s">
        <v>7512</v>
      </c>
      <c r="C802" s="71" t="s">
        <v>103</v>
      </c>
      <c r="D802" s="78">
        <v>8.0500000000000007</v>
      </c>
      <c r="E802" s="663">
        <v>2</v>
      </c>
      <c r="H802" s="178">
        <v>8.0500000000000007</v>
      </c>
      <c r="J802" s="294"/>
      <c r="K802" s="295"/>
      <c r="L802" s="72"/>
      <c r="M802" s="133"/>
      <c r="N802" s="72"/>
      <c r="O802" s="224"/>
      <c r="P802" s="219"/>
      <c r="Q802" s="84"/>
      <c r="S802" s="136"/>
      <c r="T802" s="136"/>
      <c r="V802" s="136"/>
    </row>
    <row r="803" spans="1:22">
      <c r="A803" s="71" t="s">
        <v>7513</v>
      </c>
      <c r="B803" s="67" t="s">
        <v>7514</v>
      </c>
      <c r="C803" s="71" t="s">
        <v>165</v>
      </c>
      <c r="D803" s="78">
        <v>34.090000000000003</v>
      </c>
      <c r="E803" s="663">
        <v>2</v>
      </c>
      <c r="H803" s="178">
        <v>34.090000000000003</v>
      </c>
      <c r="J803" s="294"/>
      <c r="K803" s="295"/>
      <c r="L803" s="72"/>
      <c r="M803" s="133"/>
      <c r="N803" s="72"/>
      <c r="O803" s="224"/>
      <c r="P803" s="219"/>
      <c r="Q803" s="84"/>
      <c r="S803" s="136"/>
      <c r="T803" s="136"/>
    </row>
    <row r="804" spans="1:22">
      <c r="A804" s="71" t="s">
        <v>7515</v>
      </c>
      <c r="B804" s="67" t="s">
        <v>7516</v>
      </c>
      <c r="C804" s="71" t="s">
        <v>103</v>
      </c>
      <c r="D804" s="78">
        <v>27.57</v>
      </c>
      <c r="E804" s="663">
        <v>2</v>
      </c>
      <c r="H804" s="178">
        <v>27.57</v>
      </c>
      <c r="J804" s="294"/>
      <c r="K804" s="295"/>
      <c r="L804" s="72"/>
      <c r="M804" s="133"/>
      <c r="N804" s="72"/>
      <c r="O804" s="224"/>
      <c r="P804" s="219"/>
      <c r="Q804" s="84"/>
      <c r="S804" s="136"/>
      <c r="T804" s="136"/>
    </row>
    <row r="805" spans="1:22">
      <c r="A805" s="71" t="s">
        <v>7517</v>
      </c>
      <c r="B805" s="67" t="s">
        <v>7518</v>
      </c>
      <c r="C805" s="71" t="s">
        <v>103</v>
      </c>
      <c r="D805" s="78">
        <v>84.07</v>
      </c>
      <c r="E805" s="663">
        <v>2</v>
      </c>
      <c r="H805" s="178">
        <v>84.07</v>
      </c>
      <c r="J805" s="294"/>
      <c r="K805" s="295"/>
      <c r="L805" s="72"/>
      <c r="M805" s="133"/>
      <c r="N805" s="72"/>
      <c r="O805" s="224"/>
      <c r="P805" s="219"/>
      <c r="Q805" s="84"/>
      <c r="S805" s="136"/>
      <c r="T805" s="136"/>
    </row>
    <row r="806" spans="1:22">
      <c r="A806" s="71" t="s">
        <v>7519</v>
      </c>
      <c r="B806" s="67" t="s">
        <v>7520</v>
      </c>
      <c r="C806" s="71" t="s">
        <v>165</v>
      </c>
      <c r="D806" s="78">
        <v>6.05</v>
      </c>
      <c r="E806" s="663">
        <v>2</v>
      </c>
      <c r="H806" s="178">
        <v>6.05</v>
      </c>
      <c r="J806" s="294"/>
      <c r="K806" s="295"/>
      <c r="L806" s="72"/>
      <c r="M806" s="133"/>
      <c r="N806" s="72"/>
      <c r="O806" s="224"/>
      <c r="P806" s="219"/>
      <c r="Q806" s="84"/>
      <c r="S806" s="136"/>
      <c r="T806" s="136"/>
    </row>
    <row r="807" spans="1:22">
      <c r="A807" s="71" t="s">
        <v>7521</v>
      </c>
      <c r="B807" s="67" t="s">
        <v>7522</v>
      </c>
      <c r="C807" s="71" t="s">
        <v>103</v>
      </c>
      <c r="D807" s="78">
        <v>30.93</v>
      </c>
      <c r="E807" s="663">
        <v>2</v>
      </c>
      <c r="H807" s="178">
        <v>30.93</v>
      </c>
      <c r="J807" s="294"/>
      <c r="K807" s="295"/>
      <c r="L807" s="72"/>
      <c r="M807" s="133"/>
      <c r="N807" s="72"/>
      <c r="O807" s="224"/>
      <c r="P807" s="219"/>
      <c r="Q807" s="84"/>
      <c r="S807" s="136"/>
      <c r="T807" s="136"/>
      <c r="V807" s="136"/>
    </row>
    <row r="808" spans="1:22">
      <c r="A808" s="71" t="s">
        <v>7523</v>
      </c>
      <c r="B808" s="67" t="s">
        <v>7524</v>
      </c>
      <c r="C808" s="71" t="s">
        <v>103</v>
      </c>
      <c r="D808" s="78">
        <v>19.78</v>
      </c>
      <c r="E808" s="663">
        <v>2</v>
      </c>
      <c r="H808" s="178">
        <v>19.78</v>
      </c>
      <c r="J808" s="294"/>
      <c r="K808" s="295"/>
      <c r="L808" s="72"/>
      <c r="M808" s="133"/>
      <c r="N808" s="72"/>
      <c r="O808" s="224"/>
      <c r="P808" s="219"/>
      <c r="Q808" s="84"/>
      <c r="S808" s="136"/>
      <c r="T808" s="136"/>
      <c r="V808" s="136"/>
    </row>
    <row r="809" spans="1:22">
      <c r="A809" s="71" t="s">
        <v>7525</v>
      </c>
      <c r="B809" s="67" t="s">
        <v>7526</v>
      </c>
      <c r="C809" s="71" t="s">
        <v>103</v>
      </c>
      <c r="D809" s="78">
        <v>43.14</v>
      </c>
      <c r="E809" s="663">
        <v>2</v>
      </c>
      <c r="H809" s="178">
        <v>43.14</v>
      </c>
      <c r="J809" s="294"/>
      <c r="K809" s="295"/>
      <c r="L809" s="72"/>
      <c r="M809" s="133"/>
      <c r="N809" s="72"/>
      <c r="O809" s="224"/>
      <c r="P809" s="219"/>
      <c r="Q809" s="84"/>
      <c r="S809" s="136"/>
      <c r="T809" s="136"/>
      <c r="V809" s="136"/>
    </row>
    <row r="810" spans="1:22">
      <c r="A810" s="71" t="s">
        <v>7527</v>
      </c>
      <c r="B810" s="67" t="s">
        <v>7528</v>
      </c>
      <c r="C810" s="71" t="s">
        <v>103</v>
      </c>
      <c r="D810" s="78">
        <v>50.54</v>
      </c>
      <c r="E810" s="663">
        <v>2</v>
      </c>
      <c r="H810" s="178">
        <v>50.54</v>
      </c>
      <c r="J810" s="294"/>
      <c r="K810" s="295"/>
      <c r="L810" s="72"/>
      <c r="M810" s="133"/>
      <c r="N810" s="72"/>
      <c r="O810" s="224"/>
      <c r="P810" s="219"/>
      <c r="Q810" s="84"/>
      <c r="S810" s="136"/>
      <c r="T810" s="136"/>
      <c r="V810" s="136"/>
    </row>
    <row r="811" spans="1:22">
      <c r="A811" s="71" t="s">
        <v>7529</v>
      </c>
      <c r="B811" s="67" t="s">
        <v>7530</v>
      </c>
      <c r="C811" s="71" t="s">
        <v>103</v>
      </c>
      <c r="D811" s="78">
        <v>12.56</v>
      </c>
      <c r="E811" s="663">
        <v>2</v>
      </c>
      <c r="H811" s="178">
        <v>12.56</v>
      </c>
      <c r="J811" s="294"/>
      <c r="K811" s="295"/>
      <c r="L811" s="72"/>
      <c r="M811" s="133"/>
      <c r="N811" s="72"/>
      <c r="O811" s="224"/>
      <c r="P811" s="219"/>
      <c r="Q811" s="84"/>
      <c r="S811" s="136"/>
      <c r="T811" s="136"/>
    </row>
    <row r="812" spans="1:22">
      <c r="A812" s="71" t="s">
        <v>7531</v>
      </c>
      <c r="B812" s="67" t="s">
        <v>7532</v>
      </c>
      <c r="C812" s="71" t="s">
        <v>103</v>
      </c>
      <c r="D812" s="78">
        <v>88.95</v>
      </c>
      <c r="E812" s="663">
        <v>2</v>
      </c>
      <c r="H812" s="178">
        <v>88.95</v>
      </c>
      <c r="J812" s="294"/>
      <c r="K812" s="295"/>
      <c r="L812" s="72"/>
      <c r="M812" s="133"/>
      <c r="N812" s="72"/>
      <c r="O812" s="224"/>
      <c r="P812" s="219"/>
      <c r="Q812" s="84"/>
      <c r="S812" s="136"/>
      <c r="T812" s="136"/>
    </row>
    <row r="813" spans="1:22">
      <c r="A813" s="71" t="s">
        <v>7533</v>
      </c>
      <c r="B813" s="67" t="s">
        <v>7534</v>
      </c>
      <c r="C813" s="71" t="s">
        <v>396</v>
      </c>
      <c r="D813" s="78">
        <v>208.85</v>
      </c>
      <c r="E813" s="663">
        <v>2</v>
      </c>
      <c r="H813" s="178">
        <v>208.85</v>
      </c>
      <c r="J813" s="294"/>
      <c r="K813" s="295"/>
      <c r="L813" s="72"/>
      <c r="M813" s="133"/>
      <c r="N813" s="72"/>
      <c r="O813" s="224"/>
      <c r="P813" s="219"/>
      <c r="Q813" s="84"/>
      <c r="S813" s="136"/>
      <c r="T813" s="136"/>
      <c r="V813" s="136"/>
    </row>
    <row r="814" spans="1:22">
      <c r="A814" s="212" t="s">
        <v>7535</v>
      </c>
      <c r="B814" s="216" t="s">
        <v>7536</v>
      </c>
      <c r="C814" s="212" t="s">
        <v>103</v>
      </c>
      <c r="D814" s="78">
        <v>20.94</v>
      </c>
      <c r="E814" s="663">
        <v>2</v>
      </c>
      <c r="H814" s="178">
        <v>20.94</v>
      </c>
      <c r="J814" s="294"/>
      <c r="K814" s="295"/>
      <c r="L814" s="298"/>
      <c r="M814" s="299"/>
      <c r="N814" s="298"/>
      <c r="O814" s="224"/>
      <c r="P814" s="219"/>
      <c r="Q814" s="84"/>
      <c r="S814" s="136"/>
      <c r="T814" s="136"/>
      <c r="V814" s="136"/>
    </row>
    <row r="815" spans="1:22">
      <c r="A815" s="212" t="s">
        <v>7537</v>
      </c>
      <c r="B815" s="216" t="s">
        <v>7538</v>
      </c>
      <c r="C815" s="212" t="s">
        <v>396</v>
      </c>
      <c r="D815" s="78">
        <v>21.88</v>
      </c>
      <c r="E815" s="663">
        <v>2</v>
      </c>
      <c r="H815" s="178">
        <v>21.88</v>
      </c>
      <c r="J815" s="294"/>
      <c r="K815" s="295"/>
      <c r="L815" s="298"/>
      <c r="M815" s="299"/>
      <c r="N815" s="298"/>
      <c r="O815" s="224"/>
      <c r="P815" s="219"/>
      <c r="Q815" s="84"/>
      <c r="S815" s="136"/>
      <c r="T815" s="136"/>
      <c r="V815" s="136"/>
    </row>
    <row r="816" spans="1:22">
      <c r="A816" s="71" t="s">
        <v>7539</v>
      </c>
      <c r="B816" s="67" t="s">
        <v>7540</v>
      </c>
      <c r="C816" s="71" t="s">
        <v>509</v>
      </c>
      <c r="D816" s="78">
        <v>74.400000000000006</v>
      </c>
      <c r="E816" s="663">
        <v>2</v>
      </c>
      <c r="H816" s="178">
        <v>74.400000000000006</v>
      </c>
      <c r="K816" s="295"/>
      <c r="L816" s="72"/>
      <c r="M816" s="133"/>
      <c r="N816" s="72"/>
      <c r="O816" s="224"/>
      <c r="P816" s="219"/>
      <c r="Q816" s="84"/>
      <c r="S816" s="136"/>
      <c r="T816" s="136"/>
      <c r="V816" s="136"/>
    </row>
    <row r="817" spans="1:22">
      <c r="A817" s="71" t="s">
        <v>7541</v>
      </c>
      <c r="B817" s="67" t="s">
        <v>7542</v>
      </c>
      <c r="C817" s="71" t="s">
        <v>509</v>
      </c>
      <c r="D817" s="78">
        <v>321.77999999999997</v>
      </c>
      <c r="E817" s="663">
        <v>2</v>
      </c>
      <c r="H817" s="178">
        <v>321.77999999999997</v>
      </c>
      <c r="J817" s="294"/>
      <c r="K817" s="295"/>
      <c r="L817" s="72"/>
      <c r="M817" s="133"/>
      <c r="N817" s="72"/>
      <c r="O817" s="224"/>
      <c r="P817" s="219"/>
      <c r="Q817" s="84"/>
      <c r="S817" s="136"/>
      <c r="T817" s="136"/>
    </row>
    <row r="818" spans="1:22">
      <c r="A818" s="71" t="s">
        <v>7543</v>
      </c>
      <c r="B818" s="67" t="s">
        <v>7544</v>
      </c>
      <c r="C818" s="71" t="s">
        <v>509</v>
      </c>
      <c r="D818" s="78">
        <v>218.32</v>
      </c>
      <c r="E818" s="663">
        <v>2</v>
      </c>
      <c r="H818" s="178">
        <v>218.32</v>
      </c>
      <c r="J818" s="294"/>
      <c r="K818" s="295"/>
      <c r="L818" s="72"/>
      <c r="M818" s="133"/>
      <c r="N818" s="72"/>
      <c r="O818" s="224"/>
      <c r="P818" s="219"/>
      <c r="Q818" s="84"/>
      <c r="S818" s="136"/>
      <c r="T818" s="136"/>
    </row>
    <row r="819" spans="1:22">
      <c r="A819" s="71" t="s">
        <v>7545</v>
      </c>
      <c r="B819" s="67" t="s">
        <v>7546</v>
      </c>
      <c r="C819" s="71" t="s">
        <v>509</v>
      </c>
      <c r="D819" s="78">
        <v>111.21</v>
      </c>
      <c r="E819" s="663">
        <v>2</v>
      </c>
      <c r="H819" s="178">
        <v>111.21</v>
      </c>
      <c r="J819" s="294"/>
      <c r="K819" s="295"/>
      <c r="L819" s="72"/>
      <c r="M819" s="133"/>
      <c r="N819" s="72"/>
      <c r="O819" s="224"/>
      <c r="P819" s="219"/>
      <c r="Q819" s="84"/>
      <c r="S819" s="136"/>
      <c r="T819" s="136"/>
    </row>
    <row r="820" spans="1:22">
      <c r="A820" s="71" t="s">
        <v>7547</v>
      </c>
      <c r="B820" s="67" t="s">
        <v>7548</v>
      </c>
      <c r="C820" s="71" t="s">
        <v>509</v>
      </c>
      <c r="D820" s="78">
        <v>89.21</v>
      </c>
      <c r="E820" s="663">
        <v>2</v>
      </c>
      <c r="H820" s="178">
        <v>89.21</v>
      </c>
      <c r="J820" s="294"/>
      <c r="K820" s="295"/>
      <c r="L820" s="72"/>
      <c r="M820" s="133"/>
      <c r="N820" s="72"/>
      <c r="O820" s="224"/>
      <c r="P820" s="219"/>
      <c r="Q820" s="84"/>
      <c r="S820" s="136"/>
      <c r="T820" s="136"/>
    </row>
    <row r="821" spans="1:22">
      <c r="A821" s="71" t="s">
        <v>7549</v>
      </c>
      <c r="B821" s="67" t="s">
        <v>7550</v>
      </c>
      <c r="C821" s="71" t="s">
        <v>509</v>
      </c>
      <c r="D821" s="78">
        <v>149.75</v>
      </c>
      <c r="E821" s="663">
        <v>2</v>
      </c>
      <c r="H821" s="178">
        <v>149.75</v>
      </c>
      <c r="J821" s="294"/>
      <c r="K821" s="295"/>
      <c r="L821" s="72"/>
      <c r="M821" s="133"/>
      <c r="N821" s="72"/>
      <c r="O821" s="224"/>
      <c r="P821" s="219"/>
      <c r="Q821" s="84"/>
      <c r="S821" s="136"/>
      <c r="T821" s="136"/>
    </row>
    <row r="822" spans="1:22">
      <c r="A822" s="71" t="s">
        <v>7551</v>
      </c>
      <c r="B822" s="67" t="s">
        <v>7552</v>
      </c>
      <c r="C822" s="71" t="s">
        <v>509</v>
      </c>
      <c r="D822" s="78">
        <v>185.53</v>
      </c>
      <c r="E822" s="663">
        <v>2</v>
      </c>
      <c r="H822" s="178">
        <v>185.53</v>
      </c>
      <c r="J822" s="294"/>
      <c r="K822" s="295"/>
      <c r="L822" s="72"/>
      <c r="M822" s="133"/>
      <c r="N822" s="72"/>
      <c r="O822" s="224"/>
      <c r="P822" s="219"/>
      <c r="Q822" s="84"/>
      <c r="S822" s="136"/>
      <c r="T822" s="136"/>
      <c r="V822" s="136"/>
    </row>
    <row r="823" spans="1:22">
      <c r="A823" s="71" t="s">
        <v>7553</v>
      </c>
      <c r="B823" s="67" t="s">
        <v>7554</v>
      </c>
      <c r="C823" s="71" t="s">
        <v>121</v>
      </c>
      <c r="D823" s="78">
        <v>499.34</v>
      </c>
      <c r="E823" s="663">
        <v>2</v>
      </c>
      <c r="H823" s="178">
        <v>499.34</v>
      </c>
      <c r="J823" s="294"/>
      <c r="K823" s="295"/>
      <c r="L823" s="72"/>
      <c r="M823" s="133"/>
      <c r="N823" s="72"/>
      <c r="O823" s="224"/>
      <c r="P823" s="219"/>
      <c r="Q823" s="84"/>
      <c r="S823" s="136"/>
      <c r="T823" s="136"/>
      <c r="V823" s="136"/>
    </row>
    <row r="824" spans="1:22">
      <c r="A824" s="71" t="s">
        <v>7555</v>
      </c>
      <c r="B824" s="67" t="s">
        <v>7556</v>
      </c>
      <c r="C824" s="71" t="s">
        <v>207</v>
      </c>
      <c r="D824" s="78">
        <v>11.38</v>
      </c>
      <c r="E824" s="663">
        <v>2</v>
      </c>
      <c r="H824" s="178">
        <v>11.38</v>
      </c>
      <c r="J824" s="294"/>
      <c r="K824" s="295"/>
      <c r="L824" s="72"/>
      <c r="M824" s="133"/>
      <c r="N824" s="72"/>
      <c r="O824" s="224"/>
      <c r="P824" s="219"/>
      <c r="Q824" s="84"/>
      <c r="S824" s="136"/>
      <c r="T824" s="136"/>
      <c r="V824" s="136"/>
    </row>
    <row r="825" spans="1:22">
      <c r="A825" s="71" t="s">
        <v>7557</v>
      </c>
      <c r="B825" s="67" t="s">
        <v>7558</v>
      </c>
      <c r="C825" s="71" t="s">
        <v>165</v>
      </c>
      <c r="D825" s="78">
        <v>5.47</v>
      </c>
      <c r="E825" s="663">
        <v>2</v>
      </c>
      <c r="H825" s="178">
        <v>5.47</v>
      </c>
      <c r="J825" s="294"/>
      <c r="K825" s="295"/>
      <c r="L825" s="72"/>
      <c r="M825" s="133"/>
      <c r="N825" s="72"/>
      <c r="O825" s="224"/>
      <c r="P825" s="219"/>
      <c r="Q825" s="84"/>
      <c r="S825" s="136"/>
      <c r="T825" s="136"/>
      <c r="V825" s="136"/>
    </row>
    <row r="826" spans="1:22">
      <c r="A826" s="71" t="s">
        <v>7559</v>
      </c>
      <c r="B826" s="67" t="s">
        <v>7560</v>
      </c>
      <c r="C826" s="71" t="s">
        <v>509</v>
      </c>
      <c r="D826" s="78">
        <v>50.16</v>
      </c>
      <c r="E826" s="663">
        <v>2</v>
      </c>
      <c r="H826" s="178">
        <v>50.16</v>
      </c>
      <c r="J826" s="294"/>
      <c r="K826" s="295"/>
      <c r="L826" s="72"/>
      <c r="M826" s="133"/>
      <c r="N826" s="72"/>
      <c r="O826" s="224"/>
      <c r="P826" s="219"/>
      <c r="Q826" s="84"/>
      <c r="S826" s="136"/>
      <c r="T826" s="136"/>
    </row>
    <row r="827" spans="1:22">
      <c r="A827" s="71" t="s">
        <v>7561</v>
      </c>
      <c r="B827" s="67" t="s">
        <v>7562</v>
      </c>
      <c r="C827" s="71" t="s">
        <v>509</v>
      </c>
      <c r="D827" s="78">
        <v>171.55</v>
      </c>
      <c r="E827" s="663">
        <v>2</v>
      </c>
      <c r="H827" s="178">
        <v>171.55</v>
      </c>
      <c r="J827" s="294"/>
      <c r="K827" s="295"/>
      <c r="L827" s="72"/>
      <c r="M827" s="133"/>
      <c r="N827" s="72"/>
      <c r="O827" s="224"/>
      <c r="P827" s="219"/>
      <c r="Q827" s="84"/>
      <c r="S827" s="136"/>
      <c r="T827" s="136"/>
      <c r="V827" s="136"/>
    </row>
    <row r="828" spans="1:22">
      <c r="A828" s="71" t="s">
        <v>7563</v>
      </c>
      <c r="B828" s="67" t="s">
        <v>7564</v>
      </c>
      <c r="C828" s="71" t="s">
        <v>509</v>
      </c>
      <c r="D828" s="78">
        <v>288.16000000000003</v>
      </c>
      <c r="E828" s="663">
        <v>2</v>
      </c>
      <c r="H828" s="178">
        <v>288.16000000000003</v>
      </c>
      <c r="J828" s="294"/>
      <c r="K828" s="295"/>
      <c r="L828" s="72"/>
      <c r="M828" s="133"/>
      <c r="N828" s="72"/>
      <c r="O828" s="224"/>
      <c r="P828" s="219"/>
      <c r="Q828" s="84"/>
      <c r="S828" s="136"/>
      <c r="T828" s="136"/>
      <c r="V828" s="136"/>
    </row>
    <row r="829" spans="1:22">
      <c r="A829" s="71" t="s">
        <v>7565</v>
      </c>
      <c r="B829" s="67" t="s">
        <v>7566</v>
      </c>
      <c r="C829" s="71" t="s">
        <v>509</v>
      </c>
      <c r="D829" s="78">
        <v>129.41999999999999</v>
      </c>
      <c r="E829" s="663">
        <v>2</v>
      </c>
      <c r="H829" s="178">
        <v>129.41999999999999</v>
      </c>
      <c r="J829" s="294"/>
      <c r="K829" s="295"/>
      <c r="L829" s="72"/>
      <c r="M829" s="133"/>
      <c r="N829" s="72"/>
      <c r="O829" s="224"/>
      <c r="P829" s="219"/>
      <c r="Q829" s="84"/>
      <c r="S829" s="136"/>
      <c r="T829" s="136"/>
      <c r="V829" s="136"/>
    </row>
    <row r="830" spans="1:22">
      <c r="A830" s="71" t="s">
        <v>7567</v>
      </c>
      <c r="B830" s="67" t="s">
        <v>7568</v>
      </c>
      <c r="C830" s="71" t="s">
        <v>509</v>
      </c>
      <c r="D830" s="78">
        <v>274.63</v>
      </c>
      <c r="E830" s="663">
        <v>2</v>
      </c>
      <c r="H830" s="178">
        <v>274.63</v>
      </c>
      <c r="J830" s="294"/>
      <c r="K830" s="295"/>
      <c r="L830" s="72"/>
      <c r="M830" s="133"/>
      <c r="N830" s="72"/>
      <c r="O830" s="224"/>
      <c r="P830" s="219"/>
      <c r="Q830" s="84"/>
      <c r="S830" s="136"/>
      <c r="T830" s="136"/>
      <c r="V830" s="136"/>
    </row>
    <row r="831" spans="1:22">
      <c r="A831" s="71" t="s">
        <v>7569</v>
      </c>
      <c r="B831" s="67" t="s">
        <v>7570</v>
      </c>
      <c r="C831" s="71" t="s">
        <v>509</v>
      </c>
      <c r="D831" s="78">
        <v>284.14</v>
      </c>
      <c r="E831" s="663">
        <v>2</v>
      </c>
      <c r="H831" s="178">
        <v>284.14</v>
      </c>
      <c r="J831" s="294"/>
      <c r="K831" s="295"/>
      <c r="L831" s="72"/>
      <c r="M831" s="133"/>
      <c r="N831" s="72"/>
      <c r="O831" s="224"/>
      <c r="P831" s="219"/>
      <c r="Q831" s="84"/>
      <c r="S831" s="136"/>
      <c r="T831" s="136"/>
      <c r="V831" s="136"/>
    </row>
    <row r="832" spans="1:22">
      <c r="A832" s="71" t="s">
        <v>7571</v>
      </c>
      <c r="B832" s="67" t="s">
        <v>7572</v>
      </c>
      <c r="C832" s="71" t="s">
        <v>509</v>
      </c>
      <c r="D832" s="78">
        <v>840.19</v>
      </c>
      <c r="E832" s="663">
        <v>2</v>
      </c>
      <c r="H832" s="178">
        <v>840.19</v>
      </c>
      <c r="J832" s="294"/>
      <c r="K832" s="295"/>
      <c r="L832" s="72"/>
      <c r="M832" s="133"/>
      <c r="N832" s="72"/>
      <c r="O832" s="224"/>
      <c r="P832" s="219"/>
      <c r="Q832" s="84"/>
      <c r="S832" s="136"/>
      <c r="T832" s="136"/>
      <c r="V832" s="136"/>
    </row>
    <row r="833" spans="1:36">
      <c r="A833" s="71" t="s">
        <v>7573</v>
      </c>
      <c r="B833" s="67" t="s">
        <v>7574</v>
      </c>
      <c r="C833" s="71" t="s">
        <v>509</v>
      </c>
      <c r="D833" s="78">
        <v>77.790000000000006</v>
      </c>
      <c r="E833" s="663">
        <v>2</v>
      </c>
      <c r="H833" s="178">
        <v>77.790000000000006</v>
      </c>
      <c r="J833" s="294"/>
      <c r="K833" s="295"/>
      <c r="L833" s="72"/>
      <c r="M833" s="133"/>
      <c r="N833" s="72"/>
      <c r="O833" s="224"/>
      <c r="P833" s="219"/>
      <c r="Q833" s="84"/>
      <c r="S833" s="136"/>
      <c r="T833" s="136"/>
    </row>
    <row r="834" spans="1:36">
      <c r="A834" s="71" t="s">
        <v>7575</v>
      </c>
      <c r="B834" s="67" t="s">
        <v>7576</v>
      </c>
      <c r="C834" s="71" t="s">
        <v>509</v>
      </c>
      <c r="D834" s="78">
        <v>677.22</v>
      </c>
      <c r="E834" s="663">
        <v>2</v>
      </c>
      <c r="H834" s="178">
        <v>677.22</v>
      </c>
      <c r="J834" s="294"/>
      <c r="K834" s="295"/>
      <c r="L834" s="72"/>
      <c r="M834" s="133"/>
      <c r="N834" s="72"/>
      <c r="O834" s="224"/>
      <c r="P834" s="219"/>
      <c r="Q834" s="84"/>
      <c r="S834" s="136"/>
      <c r="T834" s="136"/>
      <c r="V834" s="136"/>
    </row>
    <row r="835" spans="1:36">
      <c r="A835" s="71" t="s">
        <v>7577</v>
      </c>
      <c r="B835" s="67" t="s">
        <v>7578</v>
      </c>
      <c r="C835" s="71" t="s">
        <v>509</v>
      </c>
      <c r="D835" s="78">
        <v>280.49</v>
      </c>
      <c r="E835" s="663">
        <v>2</v>
      </c>
      <c r="H835" s="178">
        <v>280.49</v>
      </c>
      <c r="J835" s="294"/>
      <c r="K835" s="295"/>
      <c r="L835" s="72"/>
      <c r="M835" s="133"/>
      <c r="N835" s="72"/>
      <c r="O835" s="224"/>
      <c r="P835" s="219"/>
      <c r="Q835" s="84"/>
      <c r="S835" s="136"/>
      <c r="T835" s="136"/>
      <c r="V835" s="136"/>
    </row>
    <row r="836" spans="1:36">
      <c r="A836" s="71" t="s">
        <v>44198</v>
      </c>
      <c r="B836" s="67" t="s">
        <v>44199</v>
      </c>
      <c r="C836" s="71" t="s">
        <v>19874</v>
      </c>
      <c r="D836" s="78">
        <v>6.47</v>
      </c>
      <c r="E836" s="663">
        <v>2</v>
      </c>
      <c r="H836" s="178">
        <v>6.47</v>
      </c>
      <c r="J836" s="723"/>
      <c r="K836" s="724"/>
      <c r="L836" s="725"/>
      <c r="M836" s="726"/>
      <c r="N836" s="725"/>
      <c r="O836" s="727"/>
      <c r="P836" s="728"/>
      <c r="Q836" s="729"/>
      <c r="R836" s="729"/>
      <c r="S836" s="730"/>
      <c r="T836" s="730"/>
      <c r="U836" s="729"/>
      <c r="V836" s="729"/>
      <c r="W836" s="729"/>
      <c r="X836" s="729"/>
      <c r="Y836" s="729"/>
      <c r="Z836" s="729"/>
      <c r="AA836" s="729"/>
      <c r="AB836" s="729"/>
      <c r="AC836" s="729"/>
      <c r="AD836" s="729"/>
      <c r="AE836" s="729"/>
      <c r="AF836" s="729"/>
      <c r="AG836" s="729"/>
      <c r="AH836" s="729"/>
      <c r="AI836" s="729"/>
      <c r="AJ836" s="729"/>
    </row>
    <row r="837" spans="1:36">
      <c r="A837" s="71" t="s">
        <v>44200</v>
      </c>
      <c r="B837" s="67" t="s">
        <v>44201</v>
      </c>
      <c r="C837" s="71" t="s">
        <v>165</v>
      </c>
      <c r="D837" s="78">
        <v>4.58</v>
      </c>
      <c r="E837" s="663">
        <v>2</v>
      </c>
      <c r="H837" s="178">
        <v>4.58</v>
      </c>
      <c r="J837" s="723"/>
      <c r="K837" s="724"/>
      <c r="L837" s="725"/>
      <c r="M837" s="726"/>
      <c r="N837" s="725"/>
      <c r="O837" s="727"/>
      <c r="P837" s="728"/>
      <c r="Q837" s="729"/>
      <c r="R837" s="729"/>
      <c r="S837" s="730"/>
      <c r="T837" s="730"/>
      <c r="U837" s="729"/>
      <c r="V837" s="729"/>
      <c r="W837" s="729"/>
      <c r="X837" s="729"/>
      <c r="Y837" s="729"/>
      <c r="Z837" s="729"/>
      <c r="AA837" s="729"/>
      <c r="AB837" s="729"/>
      <c r="AC837" s="729"/>
      <c r="AD837" s="729"/>
      <c r="AE837" s="729"/>
      <c r="AF837" s="729"/>
      <c r="AG837" s="729"/>
      <c r="AH837" s="729"/>
      <c r="AI837" s="729"/>
      <c r="AJ837" s="729"/>
    </row>
    <row r="838" spans="1:36">
      <c r="A838" s="71" t="s">
        <v>44202</v>
      </c>
      <c r="B838" s="67" t="s">
        <v>44203</v>
      </c>
      <c r="C838" s="71" t="s">
        <v>103</v>
      </c>
      <c r="D838" s="78">
        <v>1.7</v>
      </c>
      <c r="E838" s="663">
        <v>2</v>
      </c>
      <c r="H838" s="178">
        <v>1.7</v>
      </c>
      <c r="J838" s="723"/>
      <c r="K838" s="724"/>
      <c r="L838" s="725"/>
      <c r="M838" s="726"/>
      <c r="N838" s="725"/>
      <c r="O838" s="727"/>
      <c r="P838" s="728"/>
      <c r="Q838" s="729"/>
      <c r="R838" s="729"/>
      <c r="S838" s="730"/>
      <c r="T838" s="730"/>
      <c r="U838" s="729"/>
      <c r="V838" s="729"/>
      <c r="W838" s="729"/>
      <c r="X838" s="729"/>
      <c r="Y838" s="729"/>
      <c r="Z838" s="729"/>
      <c r="AA838" s="729"/>
      <c r="AB838" s="729"/>
      <c r="AC838" s="729"/>
      <c r="AD838" s="729"/>
      <c r="AE838" s="729"/>
      <c r="AF838" s="729"/>
      <c r="AG838" s="729"/>
      <c r="AH838" s="729"/>
      <c r="AI838" s="729"/>
      <c r="AJ838" s="729"/>
    </row>
    <row r="839" spans="1:36">
      <c r="A839" s="71" t="s">
        <v>44204</v>
      </c>
      <c r="B839" s="67" t="s">
        <v>44205</v>
      </c>
      <c r="C839" s="71" t="s">
        <v>509</v>
      </c>
      <c r="D839" s="78">
        <v>107</v>
      </c>
      <c r="E839" s="663">
        <v>2</v>
      </c>
      <c r="H839" s="178">
        <v>107</v>
      </c>
      <c r="J839" s="723"/>
      <c r="K839" s="724"/>
      <c r="L839" s="725"/>
      <c r="M839" s="726"/>
      <c r="N839" s="725"/>
      <c r="O839" s="727"/>
      <c r="P839" s="728"/>
      <c r="Q839" s="729"/>
      <c r="R839" s="729"/>
      <c r="S839" s="730"/>
      <c r="T839" s="730"/>
      <c r="U839" s="729"/>
      <c r="V839" s="729"/>
      <c r="W839" s="729"/>
      <c r="X839" s="729"/>
      <c r="Y839" s="729"/>
      <c r="Z839" s="729"/>
      <c r="AA839" s="729"/>
      <c r="AB839" s="729"/>
      <c r="AC839" s="729"/>
      <c r="AD839" s="729"/>
      <c r="AE839" s="729"/>
      <c r="AF839" s="729"/>
      <c r="AG839" s="729"/>
      <c r="AH839" s="729"/>
      <c r="AI839" s="729"/>
      <c r="AJ839" s="729"/>
    </row>
    <row r="840" spans="1:36">
      <c r="A840" s="212" t="s">
        <v>7579</v>
      </c>
      <c r="B840" s="216" t="s">
        <v>7580</v>
      </c>
      <c r="C840" s="212" t="s">
        <v>509</v>
      </c>
      <c r="D840" s="78">
        <v>24.21</v>
      </c>
      <c r="E840" s="663">
        <v>2</v>
      </c>
      <c r="H840" s="178">
        <v>24.21</v>
      </c>
      <c r="J840" s="294"/>
      <c r="K840" s="295"/>
      <c r="L840" s="298"/>
      <c r="M840" s="299"/>
      <c r="N840" s="298"/>
      <c r="O840" s="224"/>
      <c r="P840" s="219"/>
      <c r="Q840" s="84"/>
      <c r="S840" s="143"/>
      <c r="T840" s="143"/>
      <c r="V840" s="143"/>
    </row>
    <row r="841" spans="1:36">
      <c r="A841" s="212" t="s">
        <v>7581</v>
      </c>
      <c r="B841" s="216" t="s">
        <v>7582</v>
      </c>
      <c r="C841" s="212" t="s">
        <v>165</v>
      </c>
      <c r="D841" s="78">
        <v>3.93</v>
      </c>
      <c r="E841" s="663">
        <v>2</v>
      </c>
      <c r="H841" s="178">
        <v>3.93</v>
      </c>
      <c r="J841" s="294"/>
      <c r="K841" s="295"/>
      <c r="L841" s="298"/>
      <c r="M841" s="299"/>
      <c r="N841" s="298"/>
      <c r="O841" s="224"/>
      <c r="P841" s="219"/>
      <c r="Q841" s="84"/>
      <c r="S841" s="143"/>
      <c r="T841" s="143"/>
      <c r="V841" s="143"/>
    </row>
    <row r="842" spans="1:36">
      <c r="A842" s="212" t="s">
        <v>7583</v>
      </c>
      <c r="B842" s="216" t="s">
        <v>7584</v>
      </c>
      <c r="C842" s="212" t="s">
        <v>207</v>
      </c>
      <c r="D842" s="78">
        <v>17.8</v>
      </c>
      <c r="E842" s="663">
        <v>2</v>
      </c>
      <c r="H842" s="178">
        <v>17.8</v>
      </c>
      <c r="J842" s="294"/>
      <c r="K842" s="295"/>
      <c r="L842" s="298"/>
      <c r="M842" s="299"/>
      <c r="N842" s="298"/>
      <c r="O842" s="224"/>
      <c r="P842" s="219"/>
      <c r="Q842" s="84"/>
      <c r="S842" s="143"/>
      <c r="T842" s="143"/>
      <c r="V842" s="143"/>
    </row>
    <row r="843" spans="1:36">
      <c r="A843" s="212" t="s">
        <v>7585</v>
      </c>
      <c r="B843" s="216" t="s">
        <v>7586</v>
      </c>
      <c r="C843" s="212" t="s">
        <v>509</v>
      </c>
      <c r="D843" s="78">
        <v>136.06</v>
      </c>
      <c r="E843" s="663">
        <v>2</v>
      </c>
      <c r="H843" s="178">
        <v>136.06</v>
      </c>
      <c r="J843" s="294"/>
      <c r="K843" s="295"/>
      <c r="L843" s="298"/>
      <c r="M843" s="299"/>
      <c r="N843" s="298"/>
      <c r="O843" s="224"/>
      <c r="P843" s="219"/>
      <c r="Q843" s="84"/>
      <c r="S843" s="143"/>
      <c r="T843" s="143"/>
      <c r="V843" s="144"/>
    </row>
    <row r="844" spans="1:36">
      <c r="A844" s="212" t="s">
        <v>7587</v>
      </c>
      <c r="B844" s="216" t="s">
        <v>7588</v>
      </c>
      <c r="C844" s="212" t="s">
        <v>509</v>
      </c>
      <c r="D844" s="78">
        <v>145.96</v>
      </c>
      <c r="E844" s="663">
        <v>2</v>
      </c>
      <c r="H844" s="179">
        <v>145.96</v>
      </c>
      <c r="J844" s="294"/>
      <c r="K844" s="295"/>
      <c r="L844" s="298"/>
      <c r="M844" s="299"/>
      <c r="N844" s="298"/>
      <c r="O844" s="224"/>
      <c r="P844" s="219"/>
      <c r="Q844" s="84"/>
      <c r="S844" s="143"/>
      <c r="T844" s="143"/>
      <c r="V844" s="143"/>
    </row>
    <row r="845" spans="1:36">
      <c r="A845" s="71" t="s">
        <v>7589</v>
      </c>
      <c r="B845" s="67" t="s">
        <v>7590</v>
      </c>
      <c r="C845" s="71" t="s">
        <v>509</v>
      </c>
      <c r="D845" s="78">
        <v>127.87</v>
      </c>
      <c r="E845" s="663">
        <v>2</v>
      </c>
      <c r="H845" s="178">
        <v>127.87</v>
      </c>
      <c r="J845" s="294"/>
      <c r="K845" s="295"/>
      <c r="L845" s="72"/>
      <c r="M845" s="133"/>
      <c r="N845" s="72"/>
      <c r="O845" s="224"/>
      <c r="P845" s="219"/>
      <c r="Q845" s="84"/>
      <c r="S845" s="136"/>
      <c r="T845" s="136"/>
      <c r="V845" s="136"/>
    </row>
    <row r="846" spans="1:36">
      <c r="A846" s="71" t="s">
        <v>7591</v>
      </c>
      <c r="B846" s="67" t="s">
        <v>7592</v>
      </c>
      <c r="C846" s="71" t="s">
        <v>103</v>
      </c>
      <c r="D846" s="78">
        <v>131.75</v>
      </c>
      <c r="E846" s="663">
        <v>2</v>
      </c>
      <c r="H846" s="179">
        <v>131.75</v>
      </c>
      <c r="J846" s="294"/>
      <c r="K846" s="295"/>
      <c r="L846" s="72"/>
      <c r="M846" s="133"/>
      <c r="N846" s="72"/>
      <c r="O846" s="224"/>
      <c r="P846" s="219"/>
      <c r="Q846" s="84"/>
      <c r="S846" s="137"/>
      <c r="T846" s="137"/>
      <c r="V846" s="137"/>
    </row>
    <row r="847" spans="1:36">
      <c r="A847" s="71" t="s">
        <v>7593</v>
      </c>
      <c r="B847" s="67" t="s">
        <v>7594</v>
      </c>
      <c r="C847" s="71" t="s">
        <v>509</v>
      </c>
      <c r="D847" s="78">
        <v>72.459999999999994</v>
      </c>
      <c r="E847" s="663">
        <v>2</v>
      </c>
      <c r="H847" s="178">
        <v>72.459999999999994</v>
      </c>
      <c r="J847" s="294"/>
      <c r="K847" s="295"/>
      <c r="L847" s="72"/>
      <c r="M847" s="133"/>
      <c r="N847" s="72"/>
      <c r="O847" s="224"/>
      <c r="P847" s="219"/>
      <c r="Q847" s="84"/>
      <c r="S847" s="136"/>
      <c r="T847" s="136"/>
      <c r="V847" s="136"/>
    </row>
    <row r="848" spans="1:36">
      <c r="A848" s="71" t="s">
        <v>7595</v>
      </c>
      <c r="B848" s="67" t="s">
        <v>7596</v>
      </c>
      <c r="C848" s="71" t="s">
        <v>509</v>
      </c>
      <c r="D848" s="78">
        <v>82.26</v>
      </c>
      <c r="E848" s="663">
        <v>2</v>
      </c>
      <c r="H848" s="178">
        <v>82.26</v>
      </c>
      <c r="J848" s="294"/>
      <c r="K848" s="295"/>
      <c r="L848" s="72"/>
      <c r="M848" s="133"/>
      <c r="N848" s="72"/>
      <c r="O848" s="224"/>
      <c r="P848" s="219"/>
      <c r="Q848" s="84"/>
      <c r="S848" s="136"/>
      <c r="T848" s="136"/>
      <c r="V848" s="136"/>
    </row>
    <row r="849" spans="1:22">
      <c r="A849" s="71" t="s">
        <v>7597</v>
      </c>
      <c r="B849" s="67" t="s">
        <v>7598</v>
      </c>
      <c r="C849" s="71" t="s">
        <v>509</v>
      </c>
      <c r="D849" s="78">
        <v>73.02</v>
      </c>
      <c r="E849" s="663">
        <v>2</v>
      </c>
      <c r="H849" s="178">
        <v>73.02</v>
      </c>
      <c r="J849" s="294"/>
      <c r="K849" s="295"/>
      <c r="L849" s="72"/>
      <c r="M849" s="133"/>
      <c r="N849" s="72"/>
      <c r="O849" s="224"/>
      <c r="P849" s="219"/>
      <c r="Q849" s="84"/>
      <c r="S849" s="136"/>
      <c r="T849" s="136"/>
      <c r="V849" s="136"/>
    </row>
    <row r="850" spans="1:22">
      <c r="A850" s="71" t="s">
        <v>7599</v>
      </c>
      <c r="B850" s="67" t="s">
        <v>7600</v>
      </c>
      <c r="C850" s="71" t="s">
        <v>509</v>
      </c>
      <c r="D850" s="78">
        <v>120.32</v>
      </c>
      <c r="E850" s="663">
        <v>2</v>
      </c>
      <c r="H850" s="178">
        <v>120.32</v>
      </c>
      <c r="J850" s="294"/>
      <c r="K850" s="295"/>
      <c r="L850" s="72"/>
      <c r="M850" s="133"/>
      <c r="N850" s="72"/>
      <c r="O850" s="224"/>
      <c r="P850" s="219"/>
      <c r="Q850" s="84"/>
      <c r="S850" s="136"/>
      <c r="T850" s="136"/>
      <c r="V850" s="136"/>
    </row>
    <row r="851" spans="1:22">
      <c r="A851" s="71" t="s">
        <v>7601</v>
      </c>
      <c r="B851" s="67" t="s">
        <v>7602</v>
      </c>
      <c r="C851" s="71" t="s">
        <v>509</v>
      </c>
      <c r="D851" s="78">
        <v>811.02</v>
      </c>
      <c r="E851" s="663">
        <v>2</v>
      </c>
      <c r="H851" s="179">
        <v>811.02</v>
      </c>
      <c r="J851" s="294"/>
      <c r="K851" s="295"/>
      <c r="L851" s="72"/>
      <c r="M851" s="133"/>
      <c r="N851" s="72"/>
      <c r="O851" s="224"/>
      <c r="P851" s="219"/>
      <c r="Q851" s="84"/>
      <c r="S851" s="137"/>
      <c r="T851" s="137"/>
    </row>
    <row r="852" spans="1:22">
      <c r="A852" s="71" t="s">
        <v>7603</v>
      </c>
      <c r="B852" s="67" t="s">
        <v>7604</v>
      </c>
      <c r="C852" s="71" t="s">
        <v>509</v>
      </c>
      <c r="D852" s="78">
        <v>695.1</v>
      </c>
      <c r="E852" s="663">
        <v>2</v>
      </c>
      <c r="H852" s="179">
        <v>695.1</v>
      </c>
      <c r="J852" s="294"/>
      <c r="K852" s="295"/>
      <c r="L852" s="72"/>
      <c r="M852" s="133"/>
      <c r="N852" s="72"/>
      <c r="O852" s="224"/>
      <c r="P852" s="219"/>
      <c r="Q852" s="84"/>
      <c r="S852" s="137"/>
      <c r="T852" s="137"/>
    </row>
    <row r="853" spans="1:22">
      <c r="A853" s="71" t="s">
        <v>7605</v>
      </c>
      <c r="B853" s="67" t="s">
        <v>7606</v>
      </c>
      <c r="C853" s="71" t="s">
        <v>509</v>
      </c>
      <c r="D853" s="78">
        <v>108.03</v>
      </c>
      <c r="E853" s="663">
        <v>2</v>
      </c>
      <c r="H853" s="178">
        <v>108.03</v>
      </c>
      <c r="J853" s="294"/>
      <c r="K853" s="295"/>
      <c r="L853" s="72"/>
      <c r="M853" s="133"/>
      <c r="N853" s="72"/>
      <c r="O853" s="224"/>
      <c r="P853" s="219"/>
      <c r="Q853" s="84"/>
      <c r="S853" s="136"/>
      <c r="T853" s="136"/>
    </row>
    <row r="854" spans="1:22">
      <c r="A854" s="212" t="s">
        <v>7607</v>
      </c>
      <c r="B854" s="216" t="s">
        <v>7608</v>
      </c>
      <c r="C854" s="212" t="s">
        <v>509</v>
      </c>
      <c r="D854" s="78">
        <v>38.42</v>
      </c>
      <c r="E854" s="663">
        <v>2</v>
      </c>
      <c r="H854" s="178">
        <v>38.42</v>
      </c>
      <c r="J854" s="294"/>
      <c r="K854" s="295"/>
      <c r="L854" s="298"/>
      <c r="M854" s="299"/>
      <c r="N854" s="298"/>
      <c r="O854" s="224"/>
      <c r="P854" s="219"/>
      <c r="Q854" s="84"/>
      <c r="S854" s="136"/>
      <c r="T854" s="136"/>
      <c r="V854" s="136"/>
    </row>
    <row r="855" spans="1:22">
      <c r="A855" s="71" t="s">
        <v>7609</v>
      </c>
      <c r="B855" s="67" t="s">
        <v>7610</v>
      </c>
      <c r="C855" s="71" t="s">
        <v>509</v>
      </c>
      <c r="D855" s="78">
        <v>40.590000000000003</v>
      </c>
      <c r="E855" s="663">
        <v>2</v>
      </c>
      <c r="H855" s="178">
        <v>40.590000000000003</v>
      </c>
      <c r="J855" s="294"/>
      <c r="K855" s="295"/>
      <c r="L855" s="72"/>
      <c r="M855" s="133"/>
      <c r="N855" s="72"/>
      <c r="O855" s="224"/>
      <c r="P855" s="219"/>
      <c r="Q855" s="84"/>
      <c r="S855" s="136"/>
      <c r="T855" s="136"/>
    </row>
    <row r="856" spans="1:22">
      <c r="A856" s="71" t="s">
        <v>32932</v>
      </c>
      <c r="B856" s="67" t="s">
        <v>32933</v>
      </c>
      <c r="C856" s="71" t="s">
        <v>165</v>
      </c>
      <c r="D856" s="78">
        <v>1832.29</v>
      </c>
      <c r="E856" s="663">
        <v>2</v>
      </c>
      <c r="H856" s="178">
        <v>1832.29</v>
      </c>
      <c r="J856" s="294"/>
      <c r="K856" s="295"/>
      <c r="L856" s="72"/>
      <c r="M856" s="133"/>
      <c r="N856" s="72"/>
      <c r="O856" s="224"/>
      <c r="P856" s="219"/>
      <c r="Q856" s="84"/>
      <c r="S856" s="136"/>
      <c r="T856" s="136"/>
    </row>
    <row r="857" spans="1:22">
      <c r="A857" s="71" t="s">
        <v>7611</v>
      </c>
      <c r="B857" s="67" t="s">
        <v>7612</v>
      </c>
      <c r="C857" s="71" t="s">
        <v>165</v>
      </c>
      <c r="D857" s="78">
        <v>182.87</v>
      </c>
      <c r="E857" s="663">
        <v>2</v>
      </c>
      <c r="H857" s="178">
        <v>182.87</v>
      </c>
      <c r="J857" s="294"/>
      <c r="K857" s="295"/>
      <c r="L857" s="72"/>
      <c r="M857" s="133"/>
      <c r="N857" s="72"/>
      <c r="O857" s="224"/>
      <c r="P857" s="219"/>
      <c r="Q857" s="84"/>
      <c r="S857" s="136"/>
      <c r="T857" s="136"/>
      <c r="V857" s="136"/>
    </row>
    <row r="858" spans="1:22">
      <c r="A858" s="71" t="s">
        <v>7613</v>
      </c>
      <c r="B858" s="67" t="s">
        <v>7614</v>
      </c>
      <c r="C858" s="71" t="s">
        <v>509</v>
      </c>
      <c r="D858" s="78">
        <v>903.35</v>
      </c>
      <c r="E858" s="663">
        <v>2</v>
      </c>
      <c r="H858" s="178">
        <v>903.35</v>
      </c>
      <c r="J858" s="294"/>
      <c r="K858" s="295"/>
      <c r="L858" s="72"/>
      <c r="M858" s="133"/>
      <c r="N858" s="72"/>
      <c r="O858" s="224"/>
      <c r="P858" s="219"/>
      <c r="Q858" s="84"/>
      <c r="S858" s="136"/>
      <c r="T858" s="136"/>
      <c r="V858" s="136"/>
    </row>
    <row r="859" spans="1:22">
      <c r="A859" s="71" t="s">
        <v>7615</v>
      </c>
      <c r="B859" s="67" t="s">
        <v>7616</v>
      </c>
      <c r="C859" s="71" t="s">
        <v>509</v>
      </c>
      <c r="D859" s="78">
        <v>883.28</v>
      </c>
      <c r="E859" s="663">
        <v>2</v>
      </c>
      <c r="H859" s="178">
        <v>883.28</v>
      </c>
      <c r="J859" s="294"/>
      <c r="K859" s="295"/>
      <c r="L859" s="72"/>
      <c r="M859" s="133"/>
      <c r="N859" s="72"/>
      <c r="O859" s="224"/>
      <c r="P859" s="219"/>
      <c r="Q859" s="84"/>
      <c r="S859" s="136"/>
      <c r="T859" s="136"/>
      <c r="V859" s="136"/>
    </row>
    <row r="860" spans="1:22">
      <c r="A860" s="71" t="s">
        <v>7617</v>
      </c>
      <c r="B860" s="67" t="s">
        <v>7618</v>
      </c>
      <c r="C860" s="71" t="s">
        <v>509</v>
      </c>
      <c r="D860" s="78">
        <v>575.53</v>
      </c>
      <c r="E860" s="663">
        <v>2</v>
      </c>
      <c r="H860" s="178">
        <v>575.53</v>
      </c>
      <c r="J860" s="294"/>
      <c r="K860" s="295"/>
      <c r="L860" s="72"/>
      <c r="M860" s="133"/>
      <c r="N860" s="72"/>
      <c r="O860" s="224"/>
      <c r="P860" s="219"/>
      <c r="Q860" s="84"/>
      <c r="S860" s="136"/>
      <c r="T860" s="136"/>
      <c r="V860" s="136"/>
    </row>
    <row r="861" spans="1:22">
      <c r="A861" s="71" t="s">
        <v>7619</v>
      </c>
      <c r="B861" s="67" t="s">
        <v>7620</v>
      </c>
      <c r="C861" s="71" t="s">
        <v>509</v>
      </c>
      <c r="D861" s="78">
        <v>58.01</v>
      </c>
      <c r="E861" s="663">
        <v>2</v>
      </c>
      <c r="H861" s="178">
        <v>58.01</v>
      </c>
      <c r="J861" s="294"/>
      <c r="K861" s="295"/>
      <c r="L861" s="72"/>
      <c r="M861" s="133"/>
      <c r="N861" s="72"/>
      <c r="O861" s="224"/>
      <c r="P861" s="219"/>
      <c r="Q861" s="84"/>
      <c r="S861" s="136"/>
      <c r="T861" s="136"/>
    </row>
    <row r="862" spans="1:22">
      <c r="A862" s="71" t="s">
        <v>7621</v>
      </c>
      <c r="B862" s="67" t="s">
        <v>7622</v>
      </c>
      <c r="C862" s="71" t="s">
        <v>509</v>
      </c>
      <c r="D862" s="78">
        <v>148.9</v>
      </c>
      <c r="E862" s="663">
        <v>2</v>
      </c>
      <c r="H862" s="178">
        <v>148.9</v>
      </c>
      <c r="J862" s="294"/>
      <c r="K862" s="295"/>
      <c r="L862" s="72"/>
      <c r="M862" s="133"/>
      <c r="N862" s="72"/>
      <c r="O862" s="224"/>
      <c r="P862" s="219"/>
      <c r="Q862" s="84"/>
      <c r="S862" s="136"/>
      <c r="T862" s="136"/>
    </row>
    <row r="863" spans="1:22">
      <c r="A863" s="71" t="s">
        <v>7623</v>
      </c>
      <c r="B863" s="67" t="s">
        <v>7624</v>
      </c>
      <c r="C863" s="71" t="s">
        <v>165</v>
      </c>
      <c r="D863" s="78">
        <v>72.930000000000007</v>
      </c>
      <c r="E863" s="663">
        <v>2</v>
      </c>
      <c r="H863" s="178">
        <v>72.930000000000007</v>
      </c>
      <c r="J863" s="294"/>
      <c r="K863" s="295"/>
      <c r="L863" s="72"/>
      <c r="M863" s="133"/>
      <c r="N863" s="72"/>
      <c r="O863" s="224"/>
      <c r="P863" s="219"/>
      <c r="Q863" s="84"/>
      <c r="S863" s="136"/>
      <c r="T863" s="136"/>
      <c r="V863" s="136"/>
    </row>
    <row r="864" spans="1:22">
      <c r="A864" s="71" t="s">
        <v>7625</v>
      </c>
      <c r="B864" s="67" t="s">
        <v>7626</v>
      </c>
      <c r="C864" s="71" t="s">
        <v>509</v>
      </c>
      <c r="D864" s="78">
        <v>761.59</v>
      </c>
      <c r="E864" s="663">
        <v>2</v>
      </c>
      <c r="H864" s="178">
        <v>761.59</v>
      </c>
      <c r="J864" s="294"/>
      <c r="K864" s="295"/>
      <c r="L864" s="72"/>
      <c r="M864" s="133"/>
      <c r="N864" s="72"/>
      <c r="O864" s="224"/>
      <c r="P864" s="219"/>
      <c r="Q864" s="84"/>
      <c r="S864" s="136"/>
      <c r="T864" s="136"/>
      <c r="V864" s="136"/>
    </row>
    <row r="865" spans="1:22">
      <c r="A865" s="71" t="s">
        <v>7627</v>
      </c>
      <c r="B865" s="67" t="s">
        <v>7628</v>
      </c>
      <c r="C865" s="71" t="s">
        <v>509</v>
      </c>
      <c r="D865" s="78">
        <v>515.87</v>
      </c>
      <c r="E865" s="663">
        <v>2</v>
      </c>
      <c r="H865" s="178">
        <v>515.87</v>
      </c>
      <c r="J865" s="294"/>
      <c r="K865" s="295"/>
      <c r="L865" s="72"/>
      <c r="M865" s="133"/>
      <c r="N865" s="72"/>
      <c r="O865" s="224"/>
      <c r="P865" s="219"/>
      <c r="Q865" s="84"/>
      <c r="S865" s="136"/>
      <c r="T865" s="136"/>
    </row>
    <row r="866" spans="1:22">
      <c r="A866" s="71" t="s">
        <v>7629</v>
      </c>
      <c r="B866" s="67" t="s">
        <v>7630</v>
      </c>
      <c r="C866" s="71" t="s">
        <v>509</v>
      </c>
      <c r="D866" s="78">
        <v>436.72</v>
      </c>
      <c r="E866" s="663">
        <v>2</v>
      </c>
      <c r="H866" s="178">
        <v>436.72</v>
      </c>
      <c r="J866" s="294"/>
      <c r="K866" s="295"/>
      <c r="L866" s="72"/>
      <c r="M866" s="133"/>
      <c r="N866" s="72"/>
      <c r="O866" s="224"/>
      <c r="P866" s="219"/>
      <c r="Q866" s="84"/>
      <c r="S866" s="136"/>
      <c r="T866" s="136"/>
    </row>
    <row r="867" spans="1:22">
      <c r="A867" s="71" t="s">
        <v>7631</v>
      </c>
      <c r="B867" s="67" t="s">
        <v>7632</v>
      </c>
      <c r="C867" s="71" t="s">
        <v>509</v>
      </c>
      <c r="D867" s="78">
        <v>356.73</v>
      </c>
      <c r="E867" s="663">
        <v>2</v>
      </c>
      <c r="H867" s="178">
        <v>356.73</v>
      </c>
      <c r="J867" s="294"/>
      <c r="K867" s="295"/>
      <c r="L867" s="72"/>
      <c r="M867" s="133"/>
      <c r="N867" s="72"/>
      <c r="O867" s="224"/>
      <c r="P867" s="219"/>
      <c r="Q867" s="84"/>
      <c r="S867" s="136"/>
      <c r="T867" s="136"/>
    </row>
    <row r="868" spans="1:22" ht="24">
      <c r="A868" s="71" t="s">
        <v>32958</v>
      </c>
      <c r="B868" s="65" t="s">
        <v>32959</v>
      </c>
      <c r="C868" s="71" t="s">
        <v>509</v>
      </c>
      <c r="D868" s="78">
        <v>750.42</v>
      </c>
      <c r="E868" s="663">
        <v>2</v>
      </c>
      <c r="H868" s="178">
        <v>750.42</v>
      </c>
      <c r="J868" s="294"/>
      <c r="K868" s="295"/>
      <c r="L868" s="72"/>
      <c r="M868" s="133"/>
      <c r="N868" s="72"/>
      <c r="O868" s="224"/>
      <c r="P868" s="219"/>
      <c r="Q868" s="84"/>
      <c r="S868" s="136"/>
      <c r="T868" s="136"/>
    </row>
    <row r="869" spans="1:22">
      <c r="A869" s="71" t="s">
        <v>7633</v>
      </c>
      <c r="B869" s="67" t="s">
        <v>7634</v>
      </c>
      <c r="C869" s="71" t="s">
        <v>509</v>
      </c>
      <c r="D869" s="78">
        <v>188.45</v>
      </c>
      <c r="E869" s="663">
        <v>2</v>
      </c>
      <c r="H869" s="178">
        <v>188.45</v>
      </c>
      <c r="J869" s="294"/>
      <c r="K869" s="295"/>
      <c r="L869" s="72"/>
      <c r="M869" s="133"/>
      <c r="N869" s="72"/>
      <c r="O869" s="224"/>
      <c r="P869" s="219"/>
      <c r="Q869" s="84"/>
      <c r="S869" s="136"/>
      <c r="T869" s="136"/>
    </row>
    <row r="870" spans="1:22" ht="12">
      <c r="A870" s="71" t="s">
        <v>32964</v>
      </c>
      <c r="B870" s="65" t="s">
        <v>32965</v>
      </c>
      <c r="C870" s="71" t="s">
        <v>509</v>
      </c>
      <c r="D870" s="78">
        <v>505.09</v>
      </c>
      <c r="E870" s="663">
        <v>2</v>
      </c>
      <c r="H870" s="178">
        <v>505.09</v>
      </c>
      <c r="J870" s="294"/>
      <c r="K870" s="295"/>
      <c r="L870" s="72"/>
      <c r="M870" s="133"/>
      <c r="N870" s="72"/>
      <c r="O870" s="224"/>
      <c r="P870" s="219"/>
      <c r="Q870" s="84"/>
      <c r="S870" s="136"/>
      <c r="T870" s="136"/>
    </row>
    <row r="871" spans="1:22">
      <c r="A871" s="71" t="s">
        <v>7635</v>
      </c>
      <c r="B871" s="67" t="s">
        <v>7636</v>
      </c>
      <c r="C871" s="71" t="s">
        <v>509</v>
      </c>
      <c r="D871" s="78">
        <v>273.48</v>
      </c>
      <c r="E871" s="663">
        <v>2</v>
      </c>
      <c r="H871" s="178">
        <v>273.48</v>
      </c>
      <c r="J871" s="294"/>
      <c r="K871" s="295"/>
      <c r="L871" s="72"/>
      <c r="M871" s="133"/>
      <c r="N871" s="72"/>
      <c r="O871" s="224"/>
      <c r="P871" s="219"/>
      <c r="Q871" s="84"/>
      <c r="S871" s="136"/>
      <c r="T871" s="136"/>
      <c r="V871" s="136"/>
    </row>
    <row r="872" spans="1:22" ht="24">
      <c r="A872" s="71" t="s">
        <v>32948</v>
      </c>
      <c r="B872" s="65" t="s">
        <v>32949</v>
      </c>
      <c r="C872" s="71" t="s">
        <v>509</v>
      </c>
      <c r="D872" s="78">
        <v>319.55</v>
      </c>
      <c r="E872" s="663">
        <v>2</v>
      </c>
      <c r="H872" s="178">
        <v>319.55</v>
      </c>
      <c r="J872" s="294"/>
      <c r="K872" s="295"/>
      <c r="L872" s="72"/>
      <c r="M872" s="133"/>
      <c r="N872" s="72"/>
      <c r="O872" s="224"/>
      <c r="P872" s="219"/>
      <c r="Q872" s="84"/>
      <c r="S872" s="136"/>
      <c r="T872" s="136"/>
    </row>
    <row r="873" spans="1:22">
      <c r="A873" s="71" t="s">
        <v>7637</v>
      </c>
      <c r="B873" s="67" t="s">
        <v>7638</v>
      </c>
      <c r="C873" s="71" t="s">
        <v>207</v>
      </c>
      <c r="D873" s="78">
        <v>105.47</v>
      </c>
      <c r="E873" s="663">
        <v>2</v>
      </c>
      <c r="H873" s="178">
        <v>105.47</v>
      </c>
      <c r="J873" s="294"/>
      <c r="K873" s="295"/>
      <c r="L873" s="72"/>
      <c r="M873" s="133"/>
      <c r="N873" s="72"/>
      <c r="O873" s="224"/>
      <c r="P873" s="219"/>
      <c r="Q873" s="84"/>
      <c r="S873" s="136"/>
      <c r="T873" s="136"/>
    </row>
    <row r="874" spans="1:22">
      <c r="A874" s="71" t="s">
        <v>7639</v>
      </c>
      <c r="B874" s="67" t="s">
        <v>7640</v>
      </c>
      <c r="C874" s="71" t="s">
        <v>7641</v>
      </c>
      <c r="D874" s="78">
        <v>285.18</v>
      </c>
      <c r="E874" s="663">
        <v>2</v>
      </c>
      <c r="H874" s="178">
        <v>285.18</v>
      </c>
      <c r="J874" s="294"/>
      <c r="K874" s="295"/>
      <c r="L874" s="72"/>
      <c r="M874" s="133"/>
      <c r="N874" s="72"/>
      <c r="O874" s="224"/>
      <c r="P874" s="219"/>
      <c r="Q874" s="84"/>
      <c r="S874" s="136"/>
      <c r="T874" s="136"/>
      <c r="V874" s="136"/>
    </row>
    <row r="875" spans="1:22">
      <c r="A875" s="71" t="s">
        <v>7642</v>
      </c>
      <c r="B875" s="67" t="s">
        <v>7643</v>
      </c>
      <c r="C875" s="71" t="s">
        <v>165</v>
      </c>
      <c r="D875" s="78">
        <v>202.4</v>
      </c>
      <c r="E875" s="663">
        <v>2</v>
      </c>
      <c r="H875" s="178">
        <v>202.4</v>
      </c>
      <c r="J875" s="294"/>
      <c r="K875" s="295"/>
      <c r="L875" s="72"/>
      <c r="M875" s="133"/>
      <c r="N875" s="72"/>
      <c r="O875" s="224"/>
      <c r="P875" s="219"/>
      <c r="Q875" s="84"/>
      <c r="S875" s="136"/>
      <c r="T875" s="136"/>
      <c r="V875" s="136"/>
    </row>
    <row r="876" spans="1:22">
      <c r="A876" s="71" t="s">
        <v>7644</v>
      </c>
      <c r="B876" s="67" t="s">
        <v>7645</v>
      </c>
      <c r="C876" s="71" t="s">
        <v>509</v>
      </c>
      <c r="D876" s="78">
        <v>261.2</v>
      </c>
      <c r="E876" s="663">
        <v>2</v>
      </c>
      <c r="H876" s="178">
        <v>261.2</v>
      </c>
      <c r="J876" s="294"/>
      <c r="K876" s="295"/>
      <c r="L876" s="72"/>
      <c r="M876" s="133"/>
      <c r="N876" s="72"/>
      <c r="O876" s="224"/>
      <c r="P876" s="219"/>
      <c r="Q876" s="84"/>
      <c r="S876" s="136"/>
      <c r="T876" s="136"/>
    </row>
    <row r="877" spans="1:22" ht="12">
      <c r="A877" s="71" t="s">
        <v>32966</v>
      </c>
      <c r="B877" s="65" t="s">
        <v>32967</v>
      </c>
      <c r="C877" s="71" t="s">
        <v>509</v>
      </c>
      <c r="D877" s="78">
        <v>180.55</v>
      </c>
      <c r="E877" s="663">
        <v>2</v>
      </c>
      <c r="H877" s="178">
        <v>180.55</v>
      </c>
      <c r="J877" s="294"/>
      <c r="K877" s="295"/>
      <c r="L877" s="72"/>
      <c r="M877" s="133"/>
      <c r="N877" s="72"/>
      <c r="O877" s="224"/>
      <c r="P877" s="219"/>
      <c r="Q877" s="84"/>
      <c r="S877" s="136"/>
      <c r="T877" s="136"/>
    </row>
    <row r="878" spans="1:22">
      <c r="A878" s="71" t="s">
        <v>7646</v>
      </c>
      <c r="B878" s="67" t="s">
        <v>7647</v>
      </c>
      <c r="C878" s="71" t="s">
        <v>165</v>
      </c>
      <c r="D878" s="78">
        <v>55.64</v>
      </c>
      <c r="E878" s="663">
        <v>2</v>
      </c>
      <c r="H878" s="178">
        <v>55.64</v>
      </c>
      <c r="J878" s="294"/>
      <c r="K878" s="295"/>
      <c r="L878" s="72"/>
      <c r="M878" s="133"/>
      <c r="N878" s="72"/>
      <c r="O878" s="224"/>
      <c r="P878" s="219"/>
      <c r="Q878" s="84"/>
      <c r="S878" s="136"/>
      <c r="T878" s="136"/>
      <c r="V878" s="136"/>
    </row>
    <row r="879" spans="1:22">
      <c r="A879" s="71" t="s">
        <v>7648</v>
      </c>
      <c r="B879" s="67" t="s">
        <v>7649</v>
      </c>
      <c r="C879" s="71" t="s">
        <v>509</v>
      </c>
      <c r="D879" s="78">
        <v>370.5</v>
      </c>
      <c r="E879" s="663">
        <v>2</v>
      </c>
      <c r="H879" s="178">
        <v>370.5</v>
      </c>
      <c r="J879" s="294"/>
      <c r="K879" s="295"/>
      <c r="L879" s="72"/>
      <c r="M879" s="133"/>
      <c r="N879" s="72"/>
      <c r="O879" s="224"/>
      <c r="P879" s="219"/>
      <c r="Q879" s="84"/>
      <c r="S879" s="136"/>
      <c r="T879" s="136"/>
    </row>
    <row r="880" spans="1:22">
      <c r="A880" s="71" t="s">
        <v>7650</v>
      </c>
      <c r="B880" s="67" t="s">
        <v>7651</v>
      </c>
      <c r="C880" s="71" t="s">
        <v>509</v>
      </c>
      <c r="D880" s="78">
        <v>494.08</v>
      </c>
      <c r="E880" s="663">
        <v>2</v>
      </c>
      <c r="H880" s="178">
        <v>494.08</v>
      </c>
      <c r="J880" s="294"/>
      <c r="K880" s="295"/>
      <c r="L880" s="72"/>
      <c r="M880" s="133"/>
      <c r="N880" s="72"/>
      <c r="O880" s="224"/>
      <c r="P880" s="219"/>
      <c r="Q880" s="84"/>
      <c r="S880" s="136"/>
      <c r="T880" s="136"/>
    </row>
    <row r="881" spans="1:22">
      <c r="A881" s="71" t="s">
        <v>7652</v>
      </c>
      <c r="B881" s="67" t="s">
        <v>7653</v>
      </c>
      <c r="C881" s="71" t="s">
        <v>509</v>
      </c>
      <c r="D881" s="78">
        <v>101.27</v>
      </c>
      <c r="E881" s="663">
        <v>2</v>
      </c>
      <c r="H881" s="178">
        <v>101.27</v>
      </c>
      <c r="J881" s="294"/>
      <c r="K881" s="295"/>
      <c r="L881" s="72"/>
      <c r="M881" s="133"/>
      <c r="N881" s="72"/>
      <c r="O881" s="224"/>
      <c r="P881" s="219"/>
      <c r="Q881" s="84"/>
      <c r="S881" s="136"/>
      <c r="T881" s="136"/>
    </row>
    <row r="882" spans="1:22">
      <c r="A882" s="71" t="s">
        <v>7654</v>
      </c>
      <c r="B882" s="67" t="s">
        <v>7655</v>
      </c>
      <c r="C882" s="71" t="s">
        <v>165</v>
      </c>
      <c r="D882" s="78">
        <v>159.44</v>
      </c>
      <c r="E882" s="663">
        <v>2</v>
      </c>
      <c r="H882" s="178">
        <v>159.44</v>
      </c>
      <c r="J882" s="294"/>
      <c r="K882" s="295"/>
      <c r="L882" s="72"/>
      <c r="M882" s="133"/>
      <c r="N882" s="72"/>
      <c r="O882" s="224"/>
      <c r="P882" s="219"/>
      <c r="Q882" s="84"/>
      <c r="S882" s="136"/>
      <c r="T882" s="136"/>
      <c r="V882" s="136"/>
    </row>
    <row r="883" spans="1:22">
      <c r="A883" s="71" t="s">
        <v>7656</v>
      </c>
      <c r="B883" s="67" t="s">
        <v>7657</v>
      </c>
      <c r="C883" s="71" t="s">
        <v>509</v>
      </c>
      <c r="D883" s="78">
        <v>416.04</v>
      </c>
      <c r="E883" s="663">
        <v>2</v>
      </c>
      <c r="H883" s="178">
        <v>416.04</v>
      </c>
      <c r="J883" s="294"/>
      <c r="K883" s="295"/>
      <c r="L883" s="72"/>
      <c r="M883" s="133"/>
      <c r="N883" s="72"/>
      <c r="O883" s="224"/>
      <c r="P883" s="219"/>
      <c r="Q883" s="84"/>
      <c r="S883" s="136"/>
      <c r="T883" s="136"/>
    </row>
    <row r="884" spans="1:22">
      <c r="A884" s="71" t="s">
        <v>7658</v>
      </c>
      <c r="B884" s="67" t="s">
        <v>7659</v>
      </c>
      <c r="C884" s="71" t="s">
        <v>509</v>
      </c>
      <c r="D884" s="78">
        <v>171.39</v>
      </c>
      <c r="E884" s="663">
        <v>2</v>
      </c>
      <c r="H884" s="178">
        <v>171.39</v>
      </c>
      <c r="J884" s="294"/>
      <c r="K884" s="295"/>
      <c r="L884" s="72"/>
      <c r="M884" s="133"/>
      <c r="N884" s="72"/>
      <c r="O884" s="224"/>
      <c r="P884" s="219"/>
      <c r="Q884" s="84"/>
      <c r="S884" s="136"/>
      <c r="T884" s="136"/>
    </row>
    <row r="885" spans="1:22">
      <c r="A885" s="71" t="s">
        <v>7660</v>
      </c>
      <c r="B885" s="67" t="s">
        <v>7661</v>
      </c>
      <c r="C885" s="71" t="s">
        <v>509</v>
      </c>
      <c r="D885" s="78">
        <v>84.66</v>
      </c>
      <c r="E885" s="663">
        <v>2</v>
      </c>
      <c r="H885" s="178">
        <v>84.66</v>
      </c>
      <c r="J885" s="294"/>
      <c r="K885" s="295"/>
      <c r="L885" s="72"/>
      <c r="M885" s="133"/>
      <c r="N885" s="72"/>
      <c r="O885" s="224"/>
      <c r="P885" s="219"/>
      <c r="Q885" s="84"/>
      <c r="S885" s="136"/>
      <c r="T885" s="136"/>
    </row>
    <row r="886" spans="1:22">
      <c r="A886" s="71" t="s">
        <v>7662</v>
      </c>
      <c r="B886" s="67" t="s">
        <v>7663</v>
      </c>
      <c r="C886" s="71" t="s">
        <v>509</v>
      </c>
      <c r="D886" s="78">
        <v>271.73</v>
      </c>
      <c r="E886" s="663">
        <v>2</v>
      </c>
      <c r="H886" s="178">
        <v>271.73</v>
      </c>
      <c r="J886" s="294"/>
      <c r="K886" s="295"/>
      <c r="L886" s="72"/>
      <c r="M886" s="133"/>
      <c r="N886" s="72"/>
      <c r="O886" s="224"/>
      <c r="P886" s="219"/>
      <c r="Q886" s="84"/>
      <c r="S886" s="136"/>
      <c r="T886" s="136"/>
    </row>
    <row r="887" spans="1:22" ht="12">
      <c r="A887" s="71" t="s">
        <v>32962</v>
      </c>
      <c r="B887" s="65" t="s">
        <v>32963</v>
      </c>
      <c r="C887" s="71" t="s">
        <v>509</v>
      </c>
      <c r="D887" s="78">
        <v>1389.51</v>
      </c>
      <c r="E887" s="663">
        <v>2</v>
      </c>
      <c r="H887" s="178">
        <v>1389.51</v>
      </c>
      <c r="J887" s="294"/>
      <c r="K887" s="295"/>
      <c r="L887" s="72"/>
      <c r="M887" s="133"/>
      <c r="N887" s="72"/>
      <c r="O887" s="224"/>
      <c r="P887" s="219"/>
      <c r="Q887" s="84"/>
      <c r="S887" s="136"/>
      <c r="T887" s="136"/>
    </row>
    <row r="888" spans="1:22">
      <c r="A888" s="71" t="s">
        <v>7664</v>
      </c>
      <c r="B888" s="67" t="s">
        <v>7665</v>
      </c>
      <c r="C888" s="71" t="s">
        <v>509</v>
      </c>
      <c r="D888" s="78">
        <v>225.09</v>
      </c>
      <c r="E888" s="663">
        <v>2</v>
      </c>
      <c r="H888" s="178">
        <v>225.09</v>
      </c>
      <c r="J888" s="294"/>
      <c r="K888" s="295"/>
      <c r="L888" s="72"/>
      <c r="M888" s="133"/>
      <c r="N888" s="72"/>
      <c r="O888" s="224"/>
      <c r="P888" s="219"/>
      <c r="Q888" s="84"/>
      <c r="S888" s="136"/>
      <c r="T888" s="136"/>
    </row>
    <row r="889" spans="1:22" ht="24">
      <c r="A889" s="71" t="s">
        <v>32960</v>
      </c>
      <c r="B889" s="65" t="s">
        <v>32961</v>
      </c>
      <c r="C889" s="71" t="s">
        <v>509</v>
      </c>
      <c r="D889" s="78">
        <v>513.03</v>
      </c>
      <c r="E889" s="663">
        <v>2</v>
      </c>
      <c r="H889" s="178">
        <v>513.03</v>
      </c>
      <c r="J889" s="294"/>
      <c r="K889" s="295"/>
      <c r="L889" s="72"/>
      <c r="M889" s="133"/>
      <c r="N889" s="72"/>
      <c r="O889" s="224"/>
      <c r="P889" s="219"/>
      <c r="Q889" s="84"/>
      <c r="S889" s="136"/>
      <c r="T889" s="136"/>
    </row>
    <row r="890" spans="1:22">
      <c r="A890" s="71" t="s">
        <v>7666</v>
      </c>
      <c r="B890" s="67" t="s">
        <v>7667</v>
      </c>
      <c r="C890" s="71" t="s">
        <v>509</v>
      </c>
      <c r="D890" s="78">
        <v>55.9</v>
      </c>
      <c r="E890" s="663">
        <v>2</v>
      </c>
      <c r="H890" s="178">
        <v>55.9</v>
      </c>
      <c r="J890" s="294"/>
      <c r="K890" s="295"/>
      <c r="L890" s="72"/>
      <c r="M890" s="133"/>
      <c r="N890" s="72"/>
      <c r="O890" s="224"/>
      <c r="P890" s="219"/>
      <c r="Q890" s="84"/>
      <c r="S890" s="136"/>
      <c r="T890" s="136"/>
    </row>
    <row r="891" spans="1:22">
      <c r="A891" s="71" t="s">
        <v>7668</v>
      </c>
      <c r="B891" s="67" t="s">
        <v>7669</v>
      </c>
      <c r="C891" s="71" t="s">
        <v>509</v>
      </c>
      <c r="D891" s="78">
        <v>166.25</v>
      </c>
      <c r="E891" s="663">
        <v>2</v>
      </c>
      <c r="H891" s="178">
        <v>166.25</v>
      </c>
      <c r="J891" s="294"/>
      <c r="K891" s="295"/>
      <c r="L891" s="72"/>
      <c r="M891" s="133"/>
      <c r="N891" s="72"/>
      <c r="O891" s="224"/>
      <c r="P891" s="219"/>
      <c r="Q891" s="84"/>
      <c r="S891" s="136"/>
      <c r="T891" s="136"/>
    </row>
    <row r="892" spans="1:22">
      <c r="A892" s="71" t="s">
        <v>7670</v>
      </c>
      <c r="B892" s="67" t="s">
        <v>7671</v>
      </c>
      <c r="C892" s="71" t="s">
        <v>509</v>
      </c>
      <c r="D892" s="78">
        <v>51.33</v>
      </c>
      <c r="E892" s="663">
        <v>2</v>
      </c>
      <c r="H892" s="178">
        <v>51.33</v>
      </c>
      <c r="J892" s="294"/>
      <c r="K892" s="295"/>
      <c r="L892" s="72"/>
      <c r="M892" s="133"/>
      <c r="N892" s="72"/>
      <c r="O892" s="224"/>
      <c r="P892" s="219"/>
      <c r="Q892" s="84"/>
      <c r="S892" s="136"/>
      <c r="T892" s="136"/>
      <c r="V892" s="136"/>
    </row>
    <row r="893" spans="1:22">
      <c r="A893" s="71" t="s">
        <v>7672</v>
      </c>
      <c r="B893" s="67" t="s">
        <v>7673</v>
      </c>
      <c r="C893" s="71" t="s">
        <v>509</v>
      </c>
      <c r="D893" s="78">
        <v>39</v>
      </c>
      <c r="E893" s="663">
        <v>2</v>
      </c>
      <c r="H893" s="178">
        <v>39</v>
      </c>
      <c r="J893" s="294"/>
      <c r="K893" s="295"/>
      <c r="L893" s="72"/>
      <c r="M893" s="133"/>
      <c r="N893" s="72"/>
      <c r="O893" s="224"/>
      <c r="P893" s="219"/>
      <c r="Q893" s="84"/>
      <c r="S893" s="136"/>
      <c r="T893" s="136"/>
      <c r="V893" s="136"/>
    </row>
    <row r="894" spans="1:22">
      <c r="A894" s="71" t="s">
        <v>7674</v>
      </c>
      <c r="B894" s="67" t="s">
        <v>7675</v>
      </c>
      <c r="C894" s="71" t="s">
        <v>165</v>
      </c>
      <c r="D894" s="78">
        <v>14.51</v>
      </c>
      <c r="E894" s="663">
        <v>2</v>
      </c>
      <c r="H894" s="178">
        <v>14.51</v>
      </c>
      <c r="J894" s="294"/>
      <c r="K894" s="295"/>
      <c r="L894" s="72"/>
      <c r="M894" s="133"/>
      <c r="N894" s="72"/>
      <c r="O894" s="137"/>
      <c r="P894" s="138"/>
      <c r="Q894" s="84"/>
      <c r="S894" s="136"/>
      <c r="T894" s="136"/>
    </row>
    <row r="895" spans="1:22">
      <c r="A895" s="71" t="s">
        <v>7676</v>
      </c>
      <c r="B895" s="67" t="s">
        <v>7677</v>
      </c>
      <c r="C895" s="71" t="s">
        <v>165</v>
      </c>
      <c r="D895" s="78">
        <v>164</v>
      </c>
      <c r="E895" s="663">
        <v>2</v>
      </c>
      <c r="H895" s="178">
        <v>164</v>
      </c>
      <c r="J895" s="294"/>
      <c r="K895" s="295"/>
      <c r="L895" s="72"/>
      <c r="M895" s="133"/>
      <c r="N895" s="72"/>
      <c r="O895" s="224"/>
      <c r="P895" s="219"/>
      <c r="Q895" s="84"/>
      <c r="S895" s="136"/>
      <c r="T895" s="136"/>
      <c r="V895" s="136"/>
    </row>
    <row r="896" spans="1:22">
      <c r="A896" s="71" t="s">
        <v>7678</v>
      </c>
      <c r="B896" s="67" t="s">
        <v>7679</v>
      </c>
      <c r="C896" s="71" t="s">
        <v>165</v>
      </c>
      <c r="D896" s="78">
        <v>44.99</v>
      </c>
      <c r="E896" s="663">
        <v>2</v>
      </c>
      <c r="H896" s="178">
        <v>44.99</v>
      </c>
      <c r="J896" s="294"/>
      <c r="K896" s="295"/>
      <c r="L896" s="72"/>
      <c r="M896" s="133"/>
      <c r="N896" s="72"/>
      <c r="O896" s="224"/>
      <c r="P896" s="219"/>
      <c r="Q896" s="84"/>
      <c r="S896" s="136"/>
      <c r="T896" s="136"/>
      <c r="V896" s="136"/>
    </row>
    <row r="897" spans="1:22">
      <c r="A897" s="71" t="s">
        <v>7680</v>
      </c>
      <c r="B897" s="67" t="s">
        <v>7681</v>
      </c>
      <c r="C897" s="71" t="s">
        <v>165</v>
      </c>
      <c r="D897" s="78">
        <v>0.84</v>
      </c>
      <c r="E897" s="663">
        <v>2</v>
      </c>
      <c r="H897" s="178">
        <v>0.84</v>
      </c>
      <c r="J897" s="294"/>
      <c r="K897" s="295"/>
      <c r="L897" s="72"/>
      <c r="M897" s="133"/>
      <c r="N897" s="72"/>
      <c r="O897" s="224"/>
      <c r="P897" s="219"/>
      <c r="Q897" s="84"/>
      <c r="S897" s="136"/>
      <c r="T897" s="136"/>
      <c r="V897" s="136"/>
    </row>
    <row r="898" spans="1:22">
      <c r="A898" s="71" t="s">
        <v>7682</v>
      </c>
      <c r="B898" s="67" t="s">
        <v>7683</v>
      </c>
      <c r="C898" s="71" t="s">
        <v>165</v>
      </c>
      <c r="D898" s="78">
        <v>91.95</v>
      </c>
      <c r="E898" s="663">
        <v>2</v>
      </c>
      <c r="H898" s="178">
        <v>91.95</v>
      </c>
      <c r="J898" s="294"/>
      <c r="K898" s="295"/>
      <c r="L898" s="72"/>
      <c r="M898" s="133"/>
      <c r="N898" s="72"/>
      <c r="O898" s="224"/>
      <c r="P898" s="219"/>
      <c r="Q898" s="84"/>
      <c r="S898" s="136"/>
      <c r="T898" s="136"/>
      <c r="V898" s="136"/>
    </row>
    <row r="899" spans="1:22">
      <c r="A899" s="71" t="s">
        <v>7684</v>
      </c>
      <c r="B899" s="67" t="s">
        <v>7685</v>
      </c>
      <c r="C899" s="71" t="s">
        <v>165</v>
      </c>
      <c r="D899" s="78">
        <v>172.47</v>
      </c>
      <c r="E899" s="663">
        <v>2</v>
      </c>
      <c r="H899" s="178">
        <v>172.47</v>
      </c>
      <c r="J899" s="294"/>
      <c r="K899" s="295"/>
      <c r="L899" s="72"/>
      <c r="M899" s="133"/>
      <c r="N899" s="72"/>
      <c r="O899" s="224"/>
      <c r="P899" s="219"/>
      <c r="Q899" s="84"/>
      <c r="S899" s="136"/>
      <c r="T899" s="136"/>
      <c r="V899" s="136"/>
    </row>
    <row r="900" spans="1:22">
      <c r="A900" s="71" t="s">
        <v>7686</v>
      </c>
      <c r="B900" s="67" t="s">
        <v>7687</v>
      </c>
      <c r="C900" s="71" t="s">
        <v>165</v>
      </c>
      <c r="D900" s="78">
        <v>8.73</v>
      </c>
      <c r="E900" s="663">
        <v>2</v>
      </c>
      <c r="H900" s="178">
        <v>8.73</v>
      </c>
      <c r="J900" s="294"/>
      <c r="K900" s="295"/>
      <c r="L900" s="72"/>
      <c r="M900" s="133"/>
      <c r="N900" s="72"/>
      <c r="O900" s="224"/>
      <c r="P900" s="219"/>
      <c r="Q900" s="84"/>
      <c r="S900" s="136"/>
      <c r="T900" s="136"/>
    </row>
    <row r="901" spans="1:22">
      <c r="A901" s="71" t="s">
        <v>7688</v>
      </c>
      <c r="B901" s="67" t="s">
        <v>7689</v>
      </c>
      <c r="C901" s="71" t="s">
        <v>165</v>
      </c>
      <c r="D901" s="78">
        <v>44.93</v>
      </c>
      <c r="E901" s="663">
        <v>2</v>
      </c>
      <c r="H901" s="178">
        <v>44.93</v>
      </c>
      <c r="J901" s="294"/>
      <c r="K901" s="295"/>
      <c r="L901" s="72"/>
      <c r="M901" s="133"/>
      <c r="N901" s="72"/>
      <c r="O901" s="224"/>
      <c r="P901" s="219"/>
      <c r="Q901" s="84"/>
      <c r="S901" s="136"/>
      <c r="T901" s="136"/>
    </row>
    <row r="902" spans="1:22">
      <c r="A902" s="71" t="s">
        <v>7690</v>
      </c>
      <c r="B902" s="67" t="s">
        <v>7691</v>
      </c>
      <c r="C902" s="71" t="s">
        <v>165</v>
      </c>
      <c r="D902" s="78">
        <v>27.45</v>
      </c>
      <c r="E902" s="663">
        <v>2</v>
      </c>
      <c r="H902" s="178">
        <v>27.45</v>
      </c>
      <c r="J902" s="294"/>
      <c r="K902" s="295"/>
      <c r="L902" s="72"/>
      <c r="M902" s="133"/>
      <c r="N902" s="72"/>
      <c r="O902" s="224"/>
      <c r="P902" s="219"/>
      <c r="Q902" s="84"/>
      <c r="S902" s="136"/>
      <c r="T902" s="136"/>
    </row>
    <row r="903" spans="1:22">
      <c r="A903" s="71" t="s">
        <v>7692</v>
      </c>
      <c r="B903" s="67" t="s">
        <v>7693</v>
      </c>
      <c r="C903" s="71" t="s">
        <v>165</v>
      </c>
      <c r="D903" s="78">
        <v>139.19999999999999</v>
      </c>
      <c r="E903" s="663">
        <v>2</v>
      </c>
      <c r="H903" s="178">
        <v>139.19999999999999</v>
      </c>
      <c r="J903" s="294"/>
      <c r="K903" s="295"/>
      <c r="L903" s="72"/>
      <c r="M903" s="133"/>
      <c r="N903" s="72"/>
      <c r="O903" s="224"/>
      <c r="P903" s="219"/>
      <c r="Q903" s="84"/>
      <c r="S903" s="136"/>
      <c r="T903" s="136"/>
      <c r="V903" s="136"/>
    </row>
    <row r="904" spans="1:22">
      <c r="A904" s="71" t="s">
        <v>7694</v>
      </c>
      <c r="B904" s="67" t="s">
        <v>7695</v>
      </c>
      <c r="C904" s="71" t="s">
        <v>165</v>
      </c>
      <c r="D904" s="78">
        <v>223.43</v>
      </c>
      <c r="E904" s="663">
        <v>2</v>
      </c>
      <c r="H904" s="178">
        <v>223.43</v>
      </c>
      <c r="J904" s="294"/>
      <c r="K904" s="295"/>
      <c r="L904" s="72"/>
      <c r="M904" s="133"/>
      <c r="N904" s="72"/>
      <c r="O904" s="224"/>
      <c r="P904" s="219"/>
      <c r="Q904" s="84"/>
      <c r="S904" s="136"/>
      <c r="T904" s="136"/>
    </row>
    <row r="905" spans="1:22">
      <c r="A905" s="71" t="s">
        <v>7696</v>
      </c>
      <c r="B905" s="67" t="s">
        <v>7697</v>
      </c>
      <c r="C905" s="71" t="s">
        <v>165</v>
      </c>
      <c r="D905" s="78">
        <v>135.37</v>
      </c>
      <c r="E905" s="663">
        <v>2</v>
      </c>
      <c r="H905" s="178">
        <v>135.37</v>
      </c>
      <c r="J905" s="294"/>
      <c r="K905" s="295"/>
      <c r="L905" s="72"/>
      <c r="M905" s="133"/>
      <c r="N905" s="72"/>
      <c r="O905" s="224"/>
      <c r="P905" s="219"/>
      <c r="Q905" s="84"/>
      <c r="S905" s="136"/>
      <c r="T905" s="136"/>
    </row>
    <row r="906" spans="1:22">
      <c r="A906" s="71" t="s">
        <v>7698</v>
      </c>
      <c r="B906" s="67" t="s">
        <v>7699</v>
      </c>
      <c r="C906" s="71" t="s">
        <v>165</v>
      </c>
      <c r="D906" s="78">
        <v>1.05</v>
      </c>
      <c r="E906" s="663">
        <v>2</v>
      </c>
      <c r="H906" s="178">
        <v>1.05</v>
      </c>
      <c r="J906" s="294"/>
      <c r="K906" s="295"/>
      <c r="L906" s="72"/>
      <c r="M906" s="133"/>
      <c r="N906" s="72"/>
      <c r="O906" s="224"/>
      <c r="P906" s="219"/>
      <c r="Q906" s="84"/>
      <c r="S906" s="136"/>
      <c r="T906" s="136"/>
      <c r="V906" s="136"/>
    </row>
    <row r="907" spans="1:22">
      <c r="A907" s="71" t="s">
        <v>7700</v>
      </c>
      <c r="B907" s="67" t="s">
        <v>7701</v>
      </c>
      <c r="C907" s="71" t="s">
        <v>165</v>
      </c>
      <c r="D907" s="78">
        <v>66.06</v>
      </c>
      <c r="E907" s="663">
        <v>2</v>
      </c>
      <c r="H907" s="178">
        <v>66.06</v>
      </c>
      <c r="J907" s="294"/>
      <c r="K907" s="295"/>
      <c r="L907" s="72"/>
      <c r="M907" s="133"/>
      <c r="N907" s="72"/>
      <c r="O907" s="224"/>
      <c r="P907" s="219"/>
      <c r="Q907" s="84"/>
      <c r="S907" s="136"/>
      <c r="T907" s="136"/>
    </row>
    <row r="908" spans="1:22">
      <c r="A908" s="71" t="s">
        <v>7702</v>
      </c>
      <c r="B908" s="67" t="s">
        <v>7703</v>
      </c>
      <c r="C908" s="71" t="s">
        <v>165</v>
      </c>
      <c r="D908" s="78">
        <v>66.06</v>
      </c>
      <c r="E908" s="663">
        <v>2</v>
      </c>
      <c r="H908" s="178">
        <v>66.06</v>
      </c>
      <c r="J908" s="294"/>
      <c r="K908" s="295"/>
      <c r="L908" s="72"/>
      <c r="M908" s="133"/>
      <c r="N908" s="72"/>
      <c r="O908" s="224"/>
      <c r="P908" s="219"/>
      <c r="Q908" s="84"/>
      <c r="S908" s="136"/>
      <c r="T908" s="136"/>
    </row>
    <row r="909" spans="1:22">
      <c r="A909" s="71" t="s">
        <v>7704</v>
      </c>
      <c r="B909" s="67" t="s">
        <v>7705</v>
      </c>
      <c r="C909" s="71" t="s">
        <v>165</v>
      </c>
      <c r="D909" s="78">
        <v>64.62</v>
      </c>
      <c r="E909" s="663">
        <v>2</v>
      </c>
      <c r="H909" s="178">
        <v>64.62</v>
      </c>
      <c r="J909" s="294"/>
      <c r="K909" s="295"/>
      <c r="L909" s="72"/>
      <c r="M909" s="133"/>
      <c r="N909" s="72"/>
      <c r="O909" s="137"/>
      <c r="P909" s="138"/>
      <c r="Q909" s="84"/>
      <c r="S909" s="136"/>
      <c r="T909" s="136"/>
    </row>
    <row r="910" spans="1:22">
      <c r="A910" s="71" t="s">
        <v>7706</v>
      </c>
      <c r="B910" s="67" t="s">
        <v>7707</v>
      </c>
      <c r="C910" s="71" t="s">
        <v>165</v>
      </c>
      <c r="D910" s="78">
        <v>64.72</v>
      </c>
      <c r="E910" s="663">
        <v>2</v>
      </c>
      <c r="H910" s="178">
        <v>64.72</v>
      </c>
      <c r="J910" s="294"/>
      <c r="K910" s="295"/>
      <c r="L910" s="72"/>
      <c r="M910" s="133"/>
      <c r="N910" s="72"/>
      <c r="O910" s="224"/>
      <c r="P910" s="219"/>
      <c r="Q910" s="84"/>
      <c r="S910" s="136"/>
      <c r="T910" s="136"/>
    </row>
    <row r="911" spans="1:22">
      <c r="A911" s="71" t="s">
        <v>7708</v>
      </c>
      <c r="B911" s="67" t="s">
        <v>7709</v>
      </c>
      <c r="C911" s="71" t="s">
        <v>165</v>
      </c>
      <c r="D911" s="78">
        <v>3.38</v>
      </c>
      <c r="E911" s="663">
        <v>2</v>
      </c>
      <c r="H911" s="178">
        <v>3.38</v>
      </c>
      <c r="J911" s="294"/>
      <c r="K911" s="295"/>
      <c r="L911" s="72"/>
      <c r="M911" s="133"/>
      <c r="N911" s="72"/>
      <c r="O911" s="224"/>
      <c r="P911" s="219"/>
      <c r="Q911" s="84"/>
      <c r="S911" s="136"/>
      <c r="T911" s="136"/>
      <c r="V911" s="136"/>
    </row>
    <row r="912" spans="1:22">
      <c r="A912" s="71" t="s">
        <v>7710</v>
      </c>
      <c r="B912" s="67" t="s">
        <v>7711</v>
      </c>
      <c r="C912" s="71" t="s">
        <v>165</v>
      </c>
      <c r="D912" s="78">
        <v>24.08</v>
      </c>
      <c r="E912" s="663">
        <v>2</v>
      </c>
      <c r="H912" s="178">
        <v>24.08</v>
      </c>
      <c r="J912" s="294"/>
      <c r="K912" s="295"/>
      <c r="L912" s="72"/>
      <c r="M912" s="133"/>
      <c r="N912" s="72"/>
      <c r="O912" s="224"/>
      <c r="P912" s="219"/>
      <c r="Q912" s="84"/>
      <c r="S912" s="136"/>
      <c r="T912" s="136"/>
    </row>
    <row r="913" spans="1:22">
      <c r="A913" s="71" t="s">
        <v>7712</v>
      </c>
      <c r="B913" s="67" t="s">
        <v>7713</v>
      </c>
      <c r="C913" s="71" t="s">
        <v>165</v>
      </c>
      <c r="D913" s="78">
        <v>38.75</v>
      </c>
      <c r="E913" s="663">
        <v>2</v>
      </c>
      <c r="H913" s="178">
        <v>38.75</v>
      </c>
      <c r="J913" s="294"/>
      <c r="K913" s="295"/>
      <c r="L913" s="72"/>
      <c r="M913" s="133"/>
      <c r="N913" s="72"/>
      <c r="O913" s="224"/>
      <c r="P913" s="219"/>
      <c r="Q913" s="84"/>
      <c r="S913" s="136"/>
      <c r="T913" s="136"/>
    </row>
    <row r="914" spans="1:22">
      <c r="A914" s="71" t="s">
        <v>7714</v>
      </c>
      <c r="B914" s="67" t="s">
        <v>7715</v>
      </c>
      <c r="C914" s="71" t="s">
        <v>165</v>
      </c>
      <c r="D914" s="78">
        <v>38.75</v>
      </c>
      <c r="E914" s="663">
        <v>2</v>
      </c>
      <c r="H914" s="178">
        <v>38.75</v>
      </c>
      <c r="J914" s="294"/>
      <c r="K914" s="295"/>
      <c r="L914" s="72"/>
      <c r="M914" s="133"/>
      <c r="N914" s="72"/>
      <c r="O914" s="224"/>
      <c r="P914" s="219"/>
      <c r="Q914" s="84"/>
      <c r="S914" s="136"/>
      <c r="T914" s="136"/>
    </row>
    <row r="915" spans="1:22">
      <c r="A915" s="71" t="s">
        <v>7716</v>
      </c>
      <c r="B915" s="67" t="s">
        <v>7717</v>
      </c>
      <c r="C915" s="71" t="s">
        <v>165</v>
      </c>
      <c r="D915" s="78">
        <v>38.75</v>
      </c>
      <c r="E915" s="663">
        <v>2</v>
      </c>
      <c r="H915" s="178">
        <v>38.75</v>
      </c>
      <c r="J915" s="294"/>
      <c r="K915" s="295"/>
      <c r="L915" s="72"/>
      <c r="M915" s="133"/>
      <c r="N915" s="72"/>
      <c r="O915" s="224"/>
      <c r="P915" s="219"/>
      <c r="Q915" s="84"/>
      <c r="S915" s="136"/>
      <c r="T915" s="136"/>
    </row>
    <row r="916" spans="1:22">
      <c r="A916" s="71" t="s">
        <v>7718</v>
      </c>
      <c r="B916" s="67" t="s">
        <v>7719</v>
      </c>
      <c r="C916" s="71" t="s">
        <v>165</v>
      </c>
      <c r="D916" s="78">
        <v>14.06</v>
      </c>
      <c r="E916" s="663">
        <v>2</v>
      </c>
      <c r="H916" s="178">
        <v>14.06</v>
      </c>
      <c r="J916" s="294"/>
      <c r="K916" s="295"/>
      <c r="L916" s="72"/>
      <c r="M916" s="133"/>
      <c r="N916" s="72"/>
      <c r="O916" s="224"/>
      <c r="P916" s="219"/>
      <c r="Q916" s="84"/>
      <c r="S916" s="136"/>
      <c r="T916" s="136"/>
    </row>
    <row r="917" spans="1:22">
      <c r="A917" s="71" t="s">
        <v>7720</v>
      </c>
      <c r="B917" s="67" t="s">
        <v>7721</v>
      </c>
      <c r="C917" s="71" t="s">
        <v>165</v>
      </c>
      <c r="D917" s="78">
        <v>14.06</v>
      </c>
      <c r="E917" s="663">
        <v>2</v>
      </c>
      <c r="H917" s="178">
        <v>14.06</v>
      </c>
      <c r="J917" s="294"/>
      <c r="K917" s="295"/>
      <c r="L917" s="72"/>
      <c r="M917" s="133"/>
      <c r="N917" s="72"/>
      <c r="O917" s="224"/>
      <c r="P917" s="219"/>
      <c r="Q917" s="84"/>
      <c r="S917" s="136"/>
      <c r="T917" s="136"/>
    </row>
    <row r="918" spans="1:22">
      <c r="A918" s="71" t="s">
        <v>7722</v>
      </c>
      <c r="B918" s="67" t="s">
        <v>7723</v>
      </c>
      <c r="C918" s="71" t="s">
        <v>165</v>
      </c>
      <c r="D918" s="78">
        <v>8.73</v>
      </c>
      <c r="E918" s="663">
        <v>2</v>
      </c>
      <c r="H918" s="178">
        <v>8.73</v>
      </c>
      <c r="J918" s="294"/>
      <c r="K918" s="295"/>
      <c r="L918" s="72"/>
      <c r="M918" s="133"/>
      <c r="N918" s="72"/>
      <c r="O918" s="224"/>
      <c r="P918" s="219"/>
      <c r="Q918" s="84"/>
      <c r="S918" s="136"/>
      <c r="T918" s="136"/>
    </row>
    <row r="919" spans="1:22">
      <c r="A919" s="71" t="s">
        <v>7724</v>
      </c>
      <c r="B919" s="67" t="s">
        <v>7725</v>
      </c>
      <c r="C919" s="71" t="s">
        <v>509</v>
      </c>
      <c r="D919" s="78">
        <v>83.02</v>
      </c>
      <c r="E919" s="663">
        <v>2</v>
      </c>
      <c r="H919" s="178">
        <v>83.02</v>
      </c>
      <c r="J919" s="294"/>
      <c r="K919" s="295"/>
      <c r="L919" s="72"/>
      <c r="M919" s="133"/>
      <c r="N919" s="72"/>
      <c r="O919" s="224"/>
      <c r="P919" s="219"/>
      <c r="Q919" s="84"/>
      <c r="S919" s="136"/>
      <c r="T919" s="136"/>
      <c r="V919" s="136"/>
    </row>
    <row r="920" spans="1:22">
      <c r="A920" s="71" t="s">
        <v>7726</v>
      </c>
      <c r="B920" s="67" t="s">
        <v>7727</v>
      </c>
      <c r="C920" s="71" t="s">
        <v>509</v>
      </c>
      <c r="D920" s="78">
        <v>96.66</v>
      </c>
      <c r="E920" s="663">
        <v>2</v>
      </c>
      <c r="H920" s="178">
        <v>96.66</v>
      </c>
      <c r="J920" s="294"/>
      <c r="K920" s="295"/>
      <c r="L920" s="72"/>
      <c r="M920" s="133"/>
      <c r="N920" s="72"/>
      <c r="O920" s="224"/>
      <c r="P920" s="219"/>
      <c r="Q920" s="84"/>
      <c r="S920" s="136"/>
      <c r="T920" s="136"/>
      <c r="V920" s="136"/>
    </row>
    <row r="921" spans="1:22">
      <c r="A921" s="71" t="s">
        <v>7728</v>
      </c>
      <c r="B921" s="67" t="s">
        <v>7729</v>
      </c>
      <c r="C921" s="71" t="s">
        <v>509</v>
      </c>
      <c r="D921" s="78">
        <v>93.21</v>
      </c>
      <c r="E921" s="663">
        <v>2</v>
      </c>
      <c r="H921" s="179">
        <v>93.21</v>
      </c>
      <c r="J921" s="294"/>
      <c r="K921" s="295"/>
      <c r="L921" s="72"/>
      <c r="M921" s="133"/>
      <c r="N921" s="72"/>
      <c r="O921" s="224"/>
      <c r="P921" s="219"/>
      <c r="Q921" s="84"/>
      <c r="S921" s="137"/>
      <c r="T921" s="137"/>
    </row>
    <row r="922" spans="1:22">
      <c r="A922" s="71" t="s">
        <v>7730</v>
      </c>
      <c r="B922" s="67" t="s">
        <v>7731</v>
      </c>
      <c r="C922" s="71" t="s">
        <v>509</v>
      </c>
      <c r="D922" s="78">
        <v>159.03</v>
      </c>
      <c r="E922" s="663">
        <v>2</v>
      </c>
      <c r="H922" s="179">
        <v>159.03</v>
      </c>
      <c r="J922" s="294"/>
      <c r="K922" s="295"/>
      <c r="L922" s="72"/>
      <c r="M922" s="133"/>
      <c r="N922" s="72"/>
      <c r="O922" s="224"/>
      <c r="P922" s="219"/>
      <c r="Q922" s="84"/>
      <c r="S922" s="137"/>
      <c r="T922" s="137"/>
    </row>
    <row r="923" spans="1:22">
      <c r="A923" s="71" t="s">
        <v>7732</v>
      </c>
      <c r="B923" s="67" t="s">
        <v>7733</v>
      </c>
      <c r="C923" s="71" t="s">
        <v>509</v>
      </c>
      <c r="D923" s="78">
        <v>56.21</v>
      </c>
      <c r="E923" s="663">
        <v>2</v>
      </c>
      <c r="H923" s="178">
        <v>56.21</v>
      </c>
      <c r="J923" s="294"/>
      <c r="K923" s="295"/>
      <c r="L923" s="72"/>
      <c r="M923" s="133"/>
      <c r="N923" s="72"/>
      <c r="O923" s="224"/>
      <c r="P923" s="219"/>
      <c r="Q923" s="84"/>
      <c r="S923" s="136"/>
      <c r="T923" s="136"/>
    </row>
    <row r="924" spans="1:22">
      <c r="A924" s="71" t="s">
        <v>7734</v>
      </c>
      <c r="B924" s="67" t="s">
        <v>39484</v>
      </c>
      <c r="C924" s="71" t="s">
        <v>165</v>
      </c>
      <c r="D924" s="78">
        <v>55.65</v>
      </c>
      <c r="E924" s="663">
        <v>2</v>
      </c>
      <c r="H924" s="178">
        <v>55.65</v>
      </c>
      <c r="J924" s="294"/>
      <c r="K924" s="295"/>
      <c r="L924" s="72"/>
      <c r="M924" s="133"/>
      <c r="N924" s="72"/>
      <c r="O924" s="224"/>
      <c r="P924" s="219"/>
      <c r="Q924" s="84"/>
      <c r="S924" s="136"/>
      <c r="T924" s="136"/>
    </row>
    <row r="925" spans="1:22">
      <c r="A925" s="71" t="s">
        <v>7735</v>
      </c>
      <c r="B925" s="67" t="s">
        <v>7736</v>
      </c>
      <c r="C925" s="71" t="s">
        <v>165</v>
      </c>
      <c r="D925" s="78">
        <v>31.4</v>
      </c>
      <c r="E925" s="663">
        <v>2</v>
      </c>
      <c r="H925" s="178">
        <v>31.4</v>
      </c>
      <c r="J925" s="294"/>
      <c r="K925" s="295"/>
      <c r="L925" s="72"/>
      <c r="M925" s="133"/>
      <c r="N925" s="72"/>
      <c r="O925" s="224"/>
      <c r="P925" s="219"/>
      <c r="Q925" s="84"/>
      <c r="S925" s="136"/>
      <c r="T925" s="136"/>
      <c r="V925" s="136"/>
    </row>
    <row r="926" spans="1:22">
      <c r="A926" s="71" t="s">
        <v>7737</v>
      </c>
      <c r="B926" s="67" t="s">
        <v>7738</v>
      </c>
      <c r="C926" s="71" t="s">
        <v>103</v>
      </c>
      <c r="D926" s="78">
        <v>47.61</v>
      </c>
      <c r="E926" s="663">
        <v>2</v>
      </c>
      <c r="H926" s="178">
        <v>47.61</v>
      </c>
      <c r="J926" s="294"/>
      <c r="K926" s="295"/>
      <c r="L926" s="72"/>
      <c r="M926" s="133"/>
      <c r="N926" s="72"/>
      <c r="O926" s="224"/>
      <c r="P926" s="219"/>
      <c r="Q926" s="84"/>
      <c r="S926" s="136"/>
      <c r="T926" s="136"/>
      <c r="V926" s="136"/>
    </row>
    <row r="927" spans="1:22">
      <c r="A927" s="71" t="s">
        <v>7739</v>
      </c>
      <c r="B927" s="67" t="s">
        <v>7740</v>
      </c>
      <c r="C927" s="71" t="s">
        <v>103</v>
      </c>
      <c r="D927" s="78">
        <v>45.72</v>
      </c>
      <c r="E927" s="663">
        <v>2</v>
      </c>
      <c r="H927" s="178">
        <v>45.72</v>
      </c>
      <c r="J927" s="294"/>
      <c r="K927" s="295"/>
      <c r="L927" s="72"/>
      <c r="M927" s="133"/>
      <c r="N927" s="72"/>
      <c r="O927" s="224"/>
      <c r="P927" s="219"/>
      <c r="Q927" s="84"/>
      <c r="S927" s="136"/>
      <c r="T927" s="136"/>
      <c r="V927" s="136"/>
    </row>
    <row r="928" spans="1:22">
      <c r="A928" s="71" t="s">
        <v>7741</v>
      </c>
      <c r="B928" s="67" t="s">
        <v>7742</v>
      </c>
      <c r="C928" s="71" t="s">
        <v>509</v>
      </c>
      <c r="D928" s="78">
        <v>113.73</v>
      </c>
      <c r="E928" s="663">
        <v>2</v>
      </c>
      <c r="H928" s="179">
        <v>113.73</v>
      </c>
      <c r="J928" s="294"/>
      <c r="K928" s="295"/>
      <c r="L928" s="72"/>
      <c r="M928" s="133"/>
      <c r="N928" s="72"/>
      <c r="O928" s="224"/>
      <c r="P928" s="219"/>
      <c r="Q928" s="84"/>
      <c r="S928" s="137"/>
      <c r="T928" s="137"/>
    </row>
    <row r="929" spans="1:22">
      <c r="A929" s="71" t="s">
        <v>7743</v>
      </c>
      <c r="B929" s="67" t="s">
        <v>7744</v>
      </c>
      <c r="C929" s="71" t="s">
        <v>509</v>
      </c>
      <c r="D929" s="78">
        <v>78.760000000000005</v>
      </c>
      <c r="E929" s="663">
        <v>2</v>
      </c>
      <c r="H929" s="178">
        <v>78.760000000000005</v>
      </c>
      <c r="J929" s="294"/>
      <c r="K929" s="295"/>
      <c r="L929" s="72"/>
      <c r="M929" s="133"/>
      <c r="N929" s="72"/>
      <c r="O929" s="224"/>
      <c r="P929" s="219"/>
      <c r="Q929" s="84"/>
      <c r="S929" s="136"/>
      <c r="T929" s="136"/>
      <c r="V929" s="136"/>
    </row>
    <row r="930" spans="1:22">
      <c r="A930" s="71" t="s">
        <v>7745</v>
      </c>
      <c r="B930" s="67" t="s">
        <v>7746</v>
      </c>
      <c r="C930" s="71" t="s">
        <v>509</v>
      </c>
      <c r="D930" s="78">
        <v>118.19</v>
      </c>
      <c r="E930" s="663">
        <v>2</v>
      </c>
      <c r="H930" s="178">
        <v>118.19</v>
      </c>
      <c r="J930" s="294"/>
      <c r="K930" s="295"/>
      <c r="L930" s="72"/>
      <c r="M930" s="133"/>
      <c r="N930" s="72"/>
      <c r="O930" s="224"/>
      <c r="P930" s="219"/>
      <c r="Q930" s="84"/>
      <c r="S930" s="136"/>
      <c r="T930" s="136"/>
      <c r="V930" s="136"/>
    </row>
    <row r="931" spans="1:22">
      <c r="A931" s="71" t="s">
        <v>7747</v>
      </c>
      <c r="B931" s="67" t="s">
        <v>7748</v>
      </c>
      <c r="C931" s="71" t="s">
        <v>509</v>
      </c>
      <c r="D931" s="78">
        <v>120.69</v>
      </c>
      <c r="E931" s="663">
        <v>2</v>
      </c>
      <c r="H931" s="178">
        <v>120.69</v>
      </c>
      <c r="J931" s="294"/>
      <c r="K931" s="295"/>
      <c r="L931" s="72"/>
      <c r="M931" s="133"/>
      <c r="N931" s="72"/>
      <c r="O931" s="224"/>
      <c r="P931" s="219"/>
      <c r="Q931" s="84"/>
      <c r="S931" s="136"/>
      <c r="T931" s="136"/>
      <c r="V931" s="136"/>
    </row>
    <row r="932" spans="1:22">
      <c r="A932" s="71" t="s">
        <v>7749</v>
      </c>
      <c r="B932" s="67" t="s">
        <v>7750</v>
      </c>
      <c r="C932" s="71" t="s">
        <v>509</v>
      </c>
      <c r="D932" s="78">
        <v>82.31</v>
      </c>
      <c r="E932" s="663">
        <v>2</v>
      </c>
      <c r="H932" s="178">
        <v>82.31</v>
      </c>
      <c r="J932" s="294"/>
      <c r="K932" s="295"/>
      <c r="L932" s="72"/>
      <c r="M932" s="133"/>
      <c r="N932" s="72"/>
      <c r="O932" s="224"/>
      <c r="P932" s="219"/>
      <c r="Q932" s="84"/>
      <c r="S932" s="136"/>
      <c r="T932" s="136"/>
      <c r="V932" s="136"/>
    </row>
    <row r="933" spans="1:22">
      <c r="A933" s="71" t="s">
        <v>7751</v>
      </c>
      <c r="B933" s="67" t="s">
        <v>7752</v>
      </c>
      <c r="C933" s="71" t="s">
        <v>509</v>
      </c>
      <c r="D933" s="78">
        <v>105.56</v>
      </c>
      <c r="E933" s="663">
        <v>2</v>
      </c>
      <c r="H933" s="178">
        <v>105.56</v>
      </c>
      <c r="J933" s="294"/>
      <c r="K933" s="295"/>
      <c r="L933" s="72"/>
      <c r="M933" s="133"/>
      <c r="N933" s="72"/>
      <c r="O933" s="224"/>
      <c r="P933" s="219"/>
      <c r="Q933" s="84"/>
      <c r="S933" s="136"/>
      <c r="T933" s="136"/>
      <c r="V933" s="136"/>
    </row>
    <row r="934" spans="1:22">
      <c r="A934" s="71" t="s">
        <v>7753</v>
      </c>
      <c r="B934" s="67" t="s">
        <v>7754</v>
      </c>
      <c r="C934" s="71" t="s">
        <v>103</v>
      </c>
      <c r="D934" s="78">
        <v>68.2</v>
      </c>
      <c r="E934" s="663">
        <v>2</v>
      </c>
      <c r="H934" s="178">
        <v>68.2</v>
      </c>
      <c r="J934" s="294"/>
      <c r="K934" s="295"/>
      <c r="L934" s="72"/>
      <c r="M934" s="133"/>
      <c r="N934" s="72"/>
      <c r="O934" s="224"/>
      <c r="P934" s="219"/>
      <c r="Q934" s="84"/>
      <c r="S934" s="136"/>
      <c r="T934" s="136"/>
    </row>
    <row r="935" spans="1:22">
      <c r="A935" s="71" t="s">
        <v>7755</v>
      </c>
      <c r="B935" s="67" t="s">
        <v>7756</v>
      </c>
      <c r="C935" s="71" t="s">
        <v>103</v>
      </c>
      <c r="D935" s="78">
        <v>102.51</v>
      </c>
      <c r="E935" s="663">
        <v>2</v>
      </c>
      <c r="H935" s="178">
        <v>102.51</v>
      </c>
      <c r="J935" s="294"/>
      <c r="K935" s="295"/>
      <c r="L935" s="72"/>
      <c r="M935" s="133"/>
      <c r="N935" s="72"/>
      <c r="O935" s="224"/>
      <c r="P935" s="219"/>
      <c r="Q935" s="84"/>
      <c r="S935" s="136"/>
      <c r="T935" s="136"/>
    </row>
    <row r="936" spans="1:22">
      <c r="A936" s="71" t="s">
        <v>7757</v>
      </c>
      <c r="B936" s="67" t="s">
        <v>7758</v>
      </c>
      <c r="C936" s="71" t="s">
        <v>103</v>
      </c>
      <c r="D936" s="78">
        <v>84.16</v>
      </c>
      <c r="E936" s="663">
        <v>2</v>
      </c>
      <c r="H936" s="178">
        <v>84.16</v>
      </c>
      <c r="J936" s="294"/>
      <c r="K936" s="295"/>
      <c r="L936" s="72"/>
      <c r="M936" s="133"/>
      <c r="N936" s="72"/>
      <c r="O936" s="224"/>
      <c r="P936" s="219"/>
      <c r="Q936" s="84"/>
      <c r="S936" s="136"/>
      <c r="T936" s="136"/>
    </row>
    <row r="937" spans="1:22">
      <c r="A937" s="71" t="s">
        <v>7759</v>
      </c>
      <c r="B937" s="67" t="s">
        <v>7760</v>
      </c>
      <c r="C937" s="71" t="s">
        <v>103</v>
      </c>
      <c r="D937" s="78">
        <v>45.01</v>
      </c>
      <c r="E937" s="663">
        <v>2</v>
      </c>
      <c r="H937" s="178">
        <v>45.01</v>
      </c>
      <c r="J937" s="294"/>
      <c r="K937" s="295"/>
      <c r="L937" s="72"/>
      <c r="M937" s="133"/>
      <c r="N937" s="72"/>
      <c r="O937" s="224"/>
      <c r="P937" s="219"/>
      <c r="Q937" s="84"/>
      <c r="S937" s="136"/>
      <c r="T937" s="136"/>
    </row>
    <row r="938" spans="1:22">
      <c r="A938" s="71" t="s">
        <v>7761</v>
      </c>
      <c r="B938" s="67" t="s">
        <v>7762</v>
      </c>
      <c r="C938" s="71" t="s">
        <v>103</v>
      </c>
      <c r="D938" s="78">
        <v>52.27</v>
      </c>
      <c r="E938" s="663">
        <v>2</v>
      </c>
      <c r="H938" s="178">
        <v>52.27</v>
      </c>
      <c r="J938" s="294"/>
      <c r="K938" s="295"/>
      <c r="L938" s="72"/>
      <c r="M938" s="133"/>
      <c r="N938" s="72"/>
      <c r="O938" s="224"/>
      <c r="P938" s="219"/>
      <c r="Q938" s="84"/>
      <c r="S938" s="136"/>
      <c r="T938" s="136"/>
    </row>
    <row r="939" spans="1:22">
      <c r="A939" s="71" t="s">
        <v>7763</v>
      </c>
      <c r="B939" s="67" t="s">
        <v>7764</v>
      </c>
      <c r="C939" s="71" t="s">
        <v>103</v>
      </c>
      <c r="D939" s="78">
        <v>99.52</v>
      </c>
      <c r="E939" s="663">
        <v>2</v>
      </c>
      <c r="H939" s="178">
        <v>99.52</v>
      </c>
      <c r="J939" s="294"/>
      <c r="K939" s="295"/>
      <c r="L939" s="72"/>
      <c r="M939" s="133"/>
      <c r="N939" s="72"/>
      <c r="O939" s="224"/>
      <c r="P939" s="219"/>
      <c r="Q939" s="84"/>
      <c r="S939" s="136"/>
      <c r="T939" s="136"/>
    </row>
    <row r="940" spans="1:22">
      <c r="A940" s="71" t="s">
        <v>7765</v>
      </c>
      <c r="B940" s="67" t="s">
        <v>7766</v>
      </c>
      <c r="C940" s="71" t="s">
        <v>103</v>
      </c>
      <c r="D940" s="78">
        <v>2785.65</v>
      </c>
      <c r="E940" s="663">
        <v>2</v>
      </c>
      <c r="H940" s="178">
        <v>2785.65</v>
      </c>
      <c r="J940" s="294"/>
      <c r="K940" s="295"/>
      <c r="L940" s="72"/>
      <c r="M940" s="133"/>
      <c r="N940" s="72"/>
      <c r="O940" s="224"/>
      <c r="P940" s="219"/>
      <c r="Q940" s="84"/>
      <c r="S940" s="136"/>
      <c r="T940" s="136"/>
      <c r="V940" s="136"/>
    </row>
    <row r="941" spans="1:22" ht="24">
      <c r="A941" s="71" t="s">
        <v>32970</v>
      </c>
      <c r="B941" s="65" t="s">
        <v>32971</v>
      </c>
      <c r="C941" s="71" t="s">
        <v>509</v>
      </c>
      <c r="D941" s="78">
        <v>1385.68</v>
      </c>
      <c r="E941" s="663">
        <v>2</v>
      </c>
      <c r="H941" s="178">
        <v>1385.68</v>
      </c>
      <c r="J941" s="294"/>
      <c r="K941" s="295"/>
      <c r="L941" s="72"/>
      <c r="M941" s="133"/>
      <c r="N941" s="72"/>
      <c r="O941" s="224"/>
      <c r="P941" s="219"/>
      <c r="Q941" s="84"/>
      <c r="S941" s="136"/>
      <c r="T941" s="136"/>
    </row>
    <row r="942" spans="1:22">
      <c r="A942" s="71" t="s">
        <v>7767</v>
      </c>
      <c r="B942" s="67" t="s">
        <v>7768</v>
      </c>
      <c r="C942" s="71" t="s">
        <v>103</v>
      </c>
      <c r="D942" s="78">
        <v>1187.5</v>
      </c>
      <c r="E942" s="663">
        <v>2</v>
      </c>
      <c r="H942" s="178">
        <v>1187.5</v>
      </c>
      <c r="J942" s="294"/>
      <c r="K942" s="295"/>
      <c r="L942" s="72"/>
      <c r="M942" s="133"/>
      <c r="N942" s="72"/>
      <c r="O942" s="224"/>
      <c r="P942" s="219"/>
      <c r="Q942" s="84"/>
      <c r="S942" s="136"/>
      <c r="T942" s="136"/>
    </row>
    <row r="943" spans="1:22">
      <c r="A943" s="71" t="s">
        <v>7769</v>
      </c>
      <c r="B943" s="67" t="s">
        <v>7770</v>
      </c>
      <c r="C943" s="71" t="s">
        <v>103</v>
      </c>
      <c r="D943" s="78">
        <v>257.44</v>
      </c>
      <c r="E943" s="663">
        <v>2</v>
      </c>
      <c r="H943" s="178">
        <v>257.44</v>
      </c>
      <c r="J943" s="294"/>
      <c r="K943" s="295"/>
      <c r="L943" s="72"/>
      <c r="M943" s="133"/>
      <c r="N943" s="72"/>
      <c r="O943" s="224"/>
      <c r="P943" s="219"/>
      <c r="Q943" s="84"/>
      <c r="S943" s="136"/>
      <c r="T943" s="136"/>
      <c r="V943" s="136"/>
    </row>
    <row r="944" spans="1:22">
      <c r="A944" s="71" t="s">
        <v>7771</v>
      </c>
      <c r="B944" s="67" t="s">
        <v>7772</v>
      </c>
      <c r="C944" s="71" t="s">
        <v>103</v>
      </c>
      <c r="D944" s="78">
        <v>11.34</v>
      </c>
      <c r="E944" s="663">
        <v>2</v>
      </c>
      <c r="H944" s="178">
        <v>11.34</v>
      </c>
      <c r="J944" s="294"/>
      <c r="K944" s="295"/>
      <c r="L944" s="72"/>
      <c r="M944" s="133"/>
      <c r="N944" s="72"/>
      <c r="O944" s="224"/>
      <c r="P944" s="219"/>
      <c r="Q944" s="84"/>
      <c r="S944" s="136"/>
      <c r="T944" s="136"/>
      <c r="V944" s="136"/>
    </row>
    <row r="945" spans="1:22">
      <c r="A945" s="71" t="s">
        <v>7773</v>
      </c>
      <c r="B945" s="67" t="s">
        <v>7774</v>
      </c>
      <c r="C945" s="71" t="s">
        <v>103</v>
      </c>
      <c r="D945" s="78">
        <v>86.63</v>
      </c>
      <c r="E945" s="663">
        <v>2</v>
      </c>
      <c r="H945" s="178">
        <v>86.63</v>
      </c>
      <c r="J945" s="294"/>
      <c r="K945" s="295"/>
      <c r="L945" s="72"/>
      <c r="M945" s="133"/>
      <c r="N945" s="72"/>
      <c r="O945" s="224"/>
      <c r="P945" s="219"/>
      <c r="Q945" s="84"/>
      <c r="S945" s="136"/>
      <c r="T945" s="136"/>
    </row>
    <row r="946" spans="1:22">
      <c r="A946" s="71" t="s">
        <v>7775</v>
      </c>
      <c r="B946" s="67" t="s">
        <v>7776</v>
      </c>
      <c r="C946" s="71" t="s">
        <v>103</v>
      </c>
      <c r="D946" s="78">
        <v>15.66</v>
      </c>
      <c r="E946" s="663">
        <v>2</v>
      </c>
      <c r="H946" s="178">
        <v>15.66</v>
      </c>
      <c r="J946" s="294"/>
      <c r="K946" s="295"/>
      <c r="L946" s="72"/>
      <c r="M946" s="133"/>
      <c r="N946" s="72"/>
      <c r="O946" s="224"/>
      <c r="P946" s="219"/>
      <c r="Q946" s="84"/>
      <c r="S946" s="136"/>
      <c r="T946" s="136"/>
    </row>
    <row r="947" spans="1:22">
      <c r="A947" s="71" t="s">
        <v>7777</v>
      </c>
      <c r="B947" s="67" t="s">
        <v>7778</v>
      </c>
      <c r="C947" s="71" t="s">
        <v>6786</v>
      </c>
      <c r="D947" s="78">
        <v>1385.19</v>
      </c>
      <c r="E947" s="663">
        <v>2</v>
      </c>
      <c r="H947" s="178">
        <v>1385.19</v>
      </c>
      <c r="J947" s="294"/>
      <c r="K947" s="295"/>
      <c r="L947" s="72"/>
      <c r="M947" s="133"/>
      <c r="N947" s="72"/>
      <c r="O947" s="224"/>
      <c r="P947" s="219"/>
      <c r="Q947" s="84"/>
      <c r="S947" s="136"/>
      <c r="T947" s="136"/>
    </row>
    <row r="948" spans="1:22">
      <c r="A948" s="71" t="s">
        <v>7779</v>
      </c>
      <c r="B948" s="67" t="s">
        <v>7780</v>
      </c>
      <c r="C948" s="71" t="s">
        <v>103</v>
      </c>
      <c r="D948" s="78">
        <v>1545.89</v>
      </c>
      <c r="E948" s="663">
        <v>2</v>
      </c>
      <c r="H948" s="178">
        <v>1545.89</v>
      </c>
      <c r="J948" s="294"/>
      <c r="K948" s="295"/>
      <c r="L948" s="72"/>
      <c r="M948" s="133"/>
      <c r="N948" s="72"/>
      <c r="O948" s="224"/>
      <c r="P948" s="219"/>
      <c r="Q948" s="84"/>
      <c r="S948" s="136"/>
      <c r="T948" s="136"/>
    </row>
    <row r="949" spans="1:22">
      <c r="A949" s="71" t="s">
        <v>7781</v>
      </c>
      <c r="B949" s="67" t="s">
        <v>7782</v>
      </c>
      <c r="C949" s="71" t="s">
        <v>103</v>
      </c>
      <c r="D949" s="78">
        <v>222.23</v>
      </c>
      <c r="E949" s="663">
        <v>2</v>
      </c>
      <c r="H949" s="178">
        <v>222.23</v>
      </c>
      <c r="J949" s="294"/>
      <c r="K949" s="295"/>
      <c r="L949" s="72"/>
      <c r="M949" s="133"/>
      <c r="N949" s="72"/>
      <c r="O949" s="224"/>
      <c r="P949" s="219"/>
      <c r="Q949" s="84"/>
      <c r="S949" s="136"/>
      <c r="T949" s="136"/>
    </row>
    <row r="950" spans="1:22">
      <c r="A950" s="71" t="s">
        <v>32946</v>
      </c>
      <c r="B950" s="67" t="s">
        <v>32947</v>
      </c>
      <c r="C950" s="71" t="s">
        <v>509</v>
      </c>
      <c r="D950" s="78">
        <v>92.77</v>
      </c>
      <c r="E950" s="663">
        <v>2</v>
      </c>
      <c r="H950" s="178">
        <v>92.77</v>
      </c>
      <c r="J950" s="294"/>
      <c r="K950" s="295"/>
      <c r="L950" s="72"/>
      <c r="M950" s="133"/>
      <c r="N950" s="72"/>
      <c r="O950" s="224"/>
      <c r="P950" s="219"/>
      <c r="Q950" s="84"/>
      <c r="S950" s="136"/>
      <c r="T950" s="136"/>
    </row>
    <row r="951" spans="1:22" ht="24">
      <c r="A951" s="71" t="s">
        <v>32837</v>
      </c>
      <c r="B951" s="65" t="s">
        <v>29995</v>
      </c>
      <c r="C951" s="71" t="s">
        <v>40937</v>
      </c>
      <c r="D951" s="78">
        <v>11545.76</v>
      </c>
      <c r="E951" s="663">
        <v>2</v>
      </c>
      <c r="H951" s="178">
        <v>11545.76</v>
      </c>
      <c r="J951" s="294"/>
      <c r="K951" s="295"/>
      <c r="L951" s="72"/>
      <c r="M951" s="133"/>
      <c r="N951" s="72"/>
      <c r="O951" s="224"/>
      <c r="P951" s="219"/>
      <c r="Q951" s="84"/>
      <c r="S951" s="136"/>
      <c r="T951" s="136"/>
    </row>
    <row r="952" spans="1:22">
      <c r="A952" s="71" t="s">
        <v>7783</v>
      </c>
      <c r="B952" s="67" t="s">
        <v>7784</v>
      </c>
      <c r="C952" s="71" t="s">
        <v>509</v>
      </c>
      <c r="D952" s="78">
        <v>33.39</v>
      </c>
      <c r="E952" s="663">
        <v>2</v>
      </c>
      <c r="H952" s="178">
        <v>33.39</v>
      </c>
      <c r="J952" s="294"/>
      <c r="K952" s="295"/>
      <c r="L952" s="72"/>
      <c r="M952" s="133"/>
      <c r="N952" s="72"/>
      <c r="O952" s="224"/>
      <c r="P952" s="219"/>
      <c r="Q952" s="84"/>
      <c r="S952" s="136"/>
      <c r="T952" s="136"/>
    </row>
    <row r="953" spans="1:22">
      <c r="A953" s="71" t="s">
        <v>7785</v>
      </c>
      <c r="B953" s="67" t="s">
        <v>7786</v>
      </c>
      <c r="C953" s="71" t="s">
        <v>509</v>
      </c>
      <c r="D953" s="78">
        <v>1716.39</v>
      </c>
      <c r="E953" s="663">
        <v>2</v>
      </c>
      <c r="H953" s="178">
        <v>1716.39</v>
      </c>
      <c r="J953" s="294"/>
      <c r="K953" s="295"/>
      <c r="L953" s="72"/>
      <c r="M953" s="133"/>
      <c r="N953" s="72"/>
      <c r="O953" s="224"/>
      <c r="P953" s="219"/>
      <c r="Q953" s="84"/>
      <c r="S953" s="136"/>
      <c r="T953" s="136"/>
      <c r="V953" s="136"/>
    </row>
    <row r="954" spans="1:22">
      <c r="A954" s="71" t="s">
        <v>7787</v>
      </c>
      <c r="B954" s="67" t="s">
        <v>7788</v>
      </c>
      <c r="C954" s="71" t="s">
        <v>207</v>
      </c>
      <c r="D954" s="78">
        <v>7.34</v>
      </c>
      <c r="E954" s="663">
        <v>2</v>
      </c>
      <c r="H954" s="178">
        <v>7.34</v>
      </c>
      <c r="J954" s="294"/>
      <c r="K954" s="295"/>
      <c r="L954" s="72"/>
      <c r="M954" s="133"/>
      <c r="N954" s="72"/>
      <c r="O954" s="224"/>
      <c r="P954" s="219"/>
      <c r="Q954" s="84"/>
      <c r="S954" s="136"/>
      <c r="T954" s="136"/>
      <c r="V954" s="136"/>
    </row>
    <row r="955" spans="1:22">
      <c r="A955" s="71" t="s">
        <v>7789</v>
      </c>
      <c r="B955" s="67" t="s">
        <v>7790</v>
      </c>
      <c r="C955" s="71" t="s">
        <v>103</v>
      </c>
      <c r="D955" s="78">
        <v>39.26</v>
      </c>
      <c r="E955" s="663">
        <v>2</v>
      </c>
      <c r="H955" s="178">
        <v>39.26</v>
      </c>
      <c r="J955" s="294"/>
      <c r="K955" s="295"/>
      <c r="L955" s="72"/>
      <c r="M955" s="133"/>
      <c r="N955" s="72"/>
      <c r="O955" s="224"/>
      <c r="P955" s="219"/>
      <c r="Q955" s="84"/>
      <c r="S955" s="136"/>
      <c r="T955" s="136"/>
      <c r="V955" s="136"/>
    </row>
    <row r="956" spans="1:22">
      <c r="A956" s="71" t="s">
        <v>7791</v>
      </c>
      <c r="B956" s="67" t="s">
        <v>7792</v>
      </c>
      <c r="C956" s="71" t="s">
        <v>509</v>
      </c>
      <c r="D956" s="78">
        <v>143.08000000000001</v>
      </c>
      <c r="E956" s="663">
        <v>2</v>
      </c>
      <c r="H956" s="178">
        <v>143.08000000000001</v>
      </c>
      <c r="J956" s="294"/>
      <c r="K956" s="295"/>
      <c r="L956" s="72"/>
      <c r="M956" s="133"/>
      <c r="N956" s="72"/>
      <c r="O956" s="224"/>
      <c r="P956" s="219"/>
      <c r="Q956" s="84"/>
      <c r="S956" s="136"/>
      <c r="T956" s="136"/>
    </row>
    <row r="957" spans="1:22">
      <c r="A957" s="71" t="s">
        <v>7793</v>
      </c>
      <c r="B957" s="67" t="s">
        <v>7794</v>
      </c>
      <c r="C957" s="71" t="s">
        <v>509</v>
      </c>
      <c r="D957" s="78">
        <v>202.82</v>
      </c>
      <c r="E957" s="663">
        <v>2</v>
      </c>
      <c r="H957" s="178">
        <v>202.82</v>
      </c>
      <c r="J957" s="294"/>
      <c r="K957" s="295"/>
      <c r="L957" s="72"/>
      <c r="M957" s="133"/>
      <c r="N957" s="72"/>
      <c r="O957" s="224"/>
      <c r="P957" s="219"/>
      <c r="Q957" s="84"/>
      <c r="S957" s="136"/>
      <c r="T957" s="136"/>
    </row>
    <row r="958" spans="1:22">
      <c r="A958" s="71" t="s">
        <v>7795</v>
      </c>
      <c r="B958" s="67" t="s">
        <v>7796</v>
      </c>
      <c r="C958" s="71" t="s">
        <v>103</v>
      </c>
      <c r="D958" s="78">
        <v>1.56</v>
      </c>
      <c r="E958" s="663">
        <v>2</v>
      </c>
      <c r="H958" s="178">
        <v>1.56</v>
      </c>
      <c r="J958" s="294"/>
      <c r="K958" s="295"/>
      <c r="L958" s="72"/>
      <c r="M958" s="133"/>
      <c r="N958" s="72"/>
      <c r="O958" s="224"/>
      <c r="P958" s="219"/>
      <c r="Q958" s="84"/>
      <c r="S958" s="136"/>
      <c r="T958" s="136"/>
      <c r="V958" s="136"/>
    </row>
    <row r="959" spans="1:22">
      <c r="A959" s="71" t="s">
        <v>7797</v>
      </c>
      <c r="B959" s="67" t="s">
        <v>7798</v>
      </c>
      <c r="C959" s="71" t="s">
        <v>509</v>
      </c>
      <c r="D959" s="78">
        <v>511.14</v>
      </c>
      <c r="E959" s="663">
        <v>2</v>
      </c>
      <c r="H959" s="178">
        <v>511.14</v>
      </c>
      <c r="J959" s="294"/>
      <c r="K959" s="295"/>
      <c r="L959" s="72"/>
      <c r="M959" s="133"/>
      <c r="N959" s="72"/>
      <c r="O959" s="224"/>
      <c r="P959" s="219"/>
      <c r="Q959" s="84"/>
      <c r="S959" s="136"/>
      <c r="T959" s="136"/>
    </row>
    <row r="960" spans="1:22">
      <c r="A960" s="71" t="s">
        <v>7799</v>
      </c>
      <c r="B960" s="67" t="s">
        <v>7800</v>
      </c>
      <c r="C960" s="71" t="s">
        <v>509</v>
      </c>
      <c r="D960" s="78">
        <v>200.17</v>
      </c>
      <c r="E960" s="663">
        <v>2</v>
      </c>
      <c r="H960" s="178">
        <v>200.17</v>
      </c>
      <c r="J960" s="294"/>
      <c r="K960" s="295"/>
      <c r="L960" s="72"/>
      <c r="M960" s="133"/>
      <c r="N960" s="72"/>
      <c r="O960" s="224"/>
      <c r="P960" s="219"/>
      <c r="Q960" s="84"/>
      <c r="S960" s="136"/>
      <c r="T960" s="136"/>
    </row>
    <row r="961" spans="1:22">
      <c r="A961" s="71" t="s">
        <v>39485</v>
      </c>
      <c r="B961" s="67" t="s">
        <v>39486</v>
      </c>
      <c r="C961" s="71" t="s">
        <v>509</v>
      </c>
      <c r="D961" s="78">
        <v>447.5</v>
      </c>
      <c r="E961" s="663">
        <v>2</v>
      </c>
      <c r="H961" s="178">
        <v>447.5</v>
      </c>
      <c r="J961" s="294"/>
      <c r="K961" s="295"/>
      <c r="L961" s="72"/>
      <c r="M961" s="133"/>
      <c r="N961" s="72"/>
      <c r="O961" s="224"/>
      <c r="P961" s="219"/>
      <c r="Q961" s="84"/>
      <c r="S961" s="136"/>
      <c r="T961" s="136"/>
    </row>
    <row r="962" spans="1:22">
      <c r="A962" s="71" t="s">
        <v>7801</v>
      </c>
      <c r="B962" s="67" t="s">
        <v>7802</v>
      </c>
      <c r="C962" s="71" t="s">
        <v>509</v>
      </c>
      <c r="D962" s="78">
        <v>79.66</v>
      </c>
      <c r="E962" s="663">
        <v>2</v>
      </c>
      <c r="H962" s="178">
        <v>79.66</v>
      </c>
      <c r="J962" s="294"/>
      <c r="K962" s="295"/>
      <c r="L962" s="72"/>
      <c r="M962" s="133"/>
      <c r="N962" s="72"/>
      <c r="O962" s="224"/>
      <c r="P962" s="219"/>
      <c r="Q962" s="84"/>
      <c r="S962" s="136"/>
      <c r="T962" s="136"/>
    </row>
    <row r="963" spans="1:22">
      <c r="A963" s="71" t="s">
        <v>7803</v>
      </c>
      <c r="B963" s="67" t="s">
        <v>7804</v>
      </c>
      <c r="C963" s="71" t="s">
        <v>509</v>
      </c>
      <c r="D963" s="78">
        <v>112.92</v>
      </c>
      <c r="E963" s="663">
        <v>2</v>
      </c>
      <c r="H963" s="178">
        <v>112.92</v>
      </c>
      <c r="J963" s="294"/>
      <c r="K963" s="295"/>
      <c r="L963" s="72"/>
      <c r="M963" s="133"/>
      <c r="N963" s="72"/>
      <c r="O963" s="224"/>
      <c r="P963" s="219"/>
      <c r="Q963" s="84"/>
      <c r="S963" s="136"/>
      <c r="T963" s="136"/>
    </row>
    <row r="964" spans="1:22">
      <c r="A964" s="71" t="s">
        <v>7805</v>
      </c>
      <c r="B964" s="67" t="s">
        <v>7806</v>
      </c>
      <c r="C964" s="71" t="s">
        <v>509</v>
      </c>
      <c r="D964" s="78">
        <v>123.85</v>
      </c>
      <c r="E964" s="663">
        <v>2</v>
      </c>
      <c r="H964" s="178">
        <v>123.85</v>
      </c>
      <c r="J964" s="294"/>
      <c r="K964" s="295"/>
      <c r="L964" s="72"/>
      <c r="M964" s="133"/>
      <c r="N964" s="72"/>
      <c r="O964" s="224"/>
      <c r="P964" s="219"/>
      <c r="Q964" s="84"/>
      <c r="S964" s="136"/>
      <c r="T964" s="136"/>
    </row>
    <row r="965" spans="1:22">
      <c r="A965" s="71" t="s">
        <v>7807</v>
      </c>
      <c r="B965" s="67" t="s">
        <v>7808</v>
      </c>
      <c r="C965" s="71" t="s">
        <v>509</v>
      </c>
      <c r="D965" s="78">
        <v>123.97</v>
      </c>
      <c r="E965" s="663">
        <v>2</v>
      </c>
      <c r="H965" s="178">
        <v>123.97</v>
      </c>
      <c r="J965" s="294"/>
      <c r="K965" s="295"/>
      <c r="L965" s="72"/>
      <c r="M965" s="133"/>
      <c r="N965" s="72"/>
      <c r="O965" s="224"/>
      <c r="P965" s="219"/>
      <c r="Q965" s="84"/>
      <c r="S965" s="136"/>
      <c r="T965" s="136"/>
    </row>
    <row r="966" spans="1:22">
      <c r="A966" s="71" t="s">
        <v>7809</v>
      </c>
      <c r="B966" s="67" t="s">
        <v>7810</v>
      </c>
      <c r="C966" s="71" t="s">
        <v>509</v>
      </c>
      <c r="D966" s="78">
        <v>237.74</v>
      </c>
      <c r="E966" s="663">
        <v>2</v>
      </c>
      <c r="H966" s="721">
        <v>237.74</v>
      </c>
      <c r="J966" s="294"/>
      <c r="K966" s="295"/>
      <c r="M966" s="72"/>
      <c r="N966" s="133"/>
      <c r="O966" s="72"/>
      <c r="P966" s="224"/>
      <c r="Q966" s="219"/>
      <c r="T966" s="136"/>
      <c r="V966" s="136"/>
    </row>
    <row r="967" spans="1:22">
      <c r="A967" s="71" t="s">
        <v>7811</v>
      </c>
      <c r="B967" s="67" t="s">
        <v>7812</v>
      </c>
      <c r="C967" s="71" t="s">
        <v>103</v>
      </c>
      <c r="D967" s="78">
        <v>467.42</v>
      </c>
      <c r="E967" s="663">
        <v>2</v>
      </c>
      <c r="H967" s="178">
        <v>467.42</v>
      </c>
      <c r="J967" s="294"/>
      <c r="K967" s="295"/>
      <c r="L967" s="72"/>
      <c r="M967" s="133"/>
      <c r="N967" s="72"/>
      <c r="O967" s="224"/>
      <c r="P967" s="219"/>
      <c r="Q967" s="84"/>
      <c r="S967" s="136"/>
      <c r="T967" s="136"/>
      <c r="V967" s="136"/>
    </row>
    <row r="968" spans="1:22">
      <c r="A968" s="71" t="s">
        <v>7813</v>
      </c>
      <c r="B968" s="67" t="s">
        <v>7814</v>
      </c>
      <c r="C968" s="71" t="s">
        <v>153</v>
      </c>
      <c r="D968" s="78">
        <v>34.56</v>
      </c>
      <c r="E968" s="663">
        <v>2</v>
      </c>
      <c r="H968" s="178">
        <v>34.56</v>
      </c>
      <c r="J968" s="294"/>
      <c r="K968" s="295"/>
      <c r="L968" s="72"/>
      <c r="M968" s="133"/>
      <c r="N968" s="72"/>
      <c r="O968" s="224"/>
      <c r="P968" s="219"/>
      <c r="Q968" s="84"/>
      <c r="S968" s="136"/>
      <c r="T968" s="136"/>
    </row>
    <row r="969" spans="1:22">
      <c r="A969" s="71" t="s">
        <v>7815</v>
      </c>
      <c r="B969" s="67" t="s">
        <v>7816</v>
      </c>
      <c r="C969" s="71" t="s">
        <v>153</v>
      </c>
      <c r="D969" s="78">
        <v>17.37</v>
      </c>
      <c r="E969" s="663">
        <v>2</v>
      </c>
      <c r="H969" s="178">
        <v>17.37</v>
      </c>
      <c r="J969" s="294"/>
      <c r="K969" s="295"/>
      <c r="L969" s="72"/>
      <c r="M969" s="133"/>
      <c r="N969" s="72"/>
      <c r="O969" s="224"/>
      <c r="P969" s="219"/>
      <c r="Q969" s="84"/>
      <c r="S969" s="136"/>
      <c r="T969" s="136"/>
    </row>
    <row r="970" spans="1:22">
      <c r="A970" s="71" t="s">
        <v>7817</v>
      </c>
      <c r="B970" s="67" t="s">
        <v>7818</v>
      </c>
      <c r="C970" s="71" t="s">
        <v>153</v>
      </c>
      <c r="D970" s="78">
        <v>20.11</v>
      </c>
      <c r="E970" s="663">
        <v>2</v>
      </c>
      <c r="H970" s="178">
        <v>20.11</v>
      </c>
      <c r="J970" s="294"/>
      <c r="K970" s="295"/>
      <c r="L970" s="72"/>
      <c r="M970" s="133"/>
      <c r="N970" s="72"/>
      <c r="O970" s="224"/>
      <c r="P970" s="219"/>
      <c r="Q970" s="84"/>
      <c r="S970" s="136"/>
      <c r="T970" s="136"/>
    </row>
    <row r="971" spans="1:22">
      <c r="A971" s="71" t="s">
        <v>7819</v>
      </c>
      <c r="B971" s="67" t="s">
        <v>7820</v>
      </c>
      <c r="C971" s="71" t="s">
        <v>153</v>
      </c>
      <c r="D971" s="78">
        <v>59.81</v>
      </c>
      <c r="E971" s="663">
        <v>2</v>
      </c>
      <c r="H971" s="178">
        <v>59.81</v>
      </c>
      <c r="J971" s="294"/>
      <c r="K971" s="295"/>
      <c r="L971" s="72"/>
      <c r="M971" s="133"/>
      <c r="N971" s="72"/>
      <c r="O971" s="224"/>
      <c r="P971" s="219"/>
      <c r="Q971" s="84"/>
      <c r="S971" s="136"/>
      <c r="T971" s="136"/>
    </row>
    <row r="972" spans="1:22">
      <c r="A972" s="71" t="s">
        <v>7821</v>
      </c>
      <c r="B972" s="67" t="s">
        <v>7822</v>
      </c>
      <c r="C972" s="71" t="s">
        <v>153</v>
      </c>
      <c r="D972" s="78">
        <v>40.880000000000003</v>
      </c>
      <c r="E972" s="663">
        <v>2</v>
      </c>
      <c r="H972" s="178">
        <v>40.880000000000003</v>
      </c>
      <c r="J972" s="294"/>
      <c r="K972" s="295"/>
      <c r="L972" s="72"/>
      <c r="M972" s="133"/>
      <c r="N972" s="72"/>
      <c r="O972" s="224"/>
      <c r="P972" s="219"/>
      <c r="Q972" s="84"/>
      <c r="S972" s="136"/>
      <c r="T972" s="136"/>
    </row>
    <row r="973" spans="1:22">
      <c r="A973" s="71" t="s">
        <v>7823</v>
      </c>
      <c r="B973" s="67" t="s">
        <v>7824</v>
      </c>
      <c r="C973" s="71" t="s">
        <v>153</v>
      </c>
      <c r="D973" s="78">
        <v>17.739999999999998</v>
      </c>
      <c r="E973" s="663">
        <v>2</v>
      </c>
      <c r="H973" s="178">
        <v>17.739999999999998</v>
      </c>
      <c r="J973" s="294"/>
      <c r="K973" s="295"/>
      <c r="L973" s="72"/>
      <c r="M973" s="133"/>
      <c r="N973" s="72"/>
      <c r="O973" s="224"/>
      <c r="P973" s="219"/>
      <c r="Q973" s="84"/>
      <c r="S973" s="136"/>
      <c r="T973" s="136"/>
    </row>
    <row r="974" spans="1:22">
      <c r="A974" s="71" t="s">
        <v>7825</v>
      </c>
      <c r="B974" s="67" t="s">
        <v>7826</v>
      </c>
      <c r="C974" s="71" t="s">
        <v>153</v>
      </c>
      <c r="D974" s="78">
        <v>11.23</v>
      </c>
      <c r="E974" s="663">
        <v>2</v>
      </c>
      <c r="H974" s="178">
        <v>11.23</v>
      </c>
      <c r="J974" s="294"/>
      <c r="K974" s="295"/>
      <c r="L974" s="72"/>
      <c r="M974" s="133"/>
      <c r="N974" s="72"/>
      <c r="O974" s="224"/>
      <c r="P974" s="219"/>
      <c r="Q974" s="84"/>
      <c r="S974" s="136"/>
      <c r="T974" s="136"/>
    </row>
    <row r="975" spans="1:22">
      <c r="A975" s="71" t="s">
        <v>7827</v>
      </c>
      <c r="B975" s="67" t="s">
        <v>7828</v>
      </c>
      <c r="C975" s="71" t="s">
        <v>207</v>
      </c>
      <c r="D975" s="78">
        <v>8.09</v>
      </c>
      <c r="E975" s="663">
        <v>2</v>
      </c>
      <c r="H975" s="178">
        <v>8.09</v>
      </c>
      <c r="J975" s="294"/>
      <c r="K975" s="295"/>
      <c r="L975" s="72"/>
      <c r="M975" s="133"/>
      <c r="N975" s="72"/>
      <c r="O975" s="224"/>
      <c r="P975" s="219"/>
      <c r="Q975" s="84"/>
      <c r="S975" s="136"/>
      <c r="T975" s="136"/>
    </row>
    <row r="976" spans="1:22">
      <c r="A976" s="71" t="s">
        <v>7829</v>
      </c>
      <c r="B976" s="67" t="s">
        <v>7830</v>
      </c>
      <c r="C976" s="71" t="s">
        <v>207</v>
      </c>
      <c r="D976" s="78">
        <v>51.25</v>
      </c>
      <c r="E976" s="663">
        <v>2</v>
      </c>
      <c r="H976" s="178">
        <v>51.25</v>
      </c>
      <c r="J976" s="294"/>
      <c r="K976" s="295"/>
      <c r="L976" s="72"/>
      <c r="M976" s="133"/>
      <c r="N976" s="72"/>
      <c r="O976" s="224"/>
      <c r="P976" s="219"/>
      <c r="Q976" s="84"/>
      <c r="S976" s="136"/>
      <c r="T976" s="136"/>
    </row>
    <row r="977" spans="1:22">
      <c r="A977" s="71" t="s">
        <v>7831</v>
      </c>
      <c r="B977" s="67" t="s">
        <v>7832</v>
      </c>
      <c r="C977" s="71" t="s">
        <v>153</v>
      </c>
      <c r="D977" s="78">
        <v>90.32</v>
      </c>
      <c r="E977" s="663">
        <v>2</v>
      </c>
      <c r="H977" s="178">
        <v>90.32</v>
      </c>
      <c r="J977" s="294"/>
      <c r="K977" s="295"/>
      <c r="L977" s="72"/>
      <c r="M977" s="133"/>
      <c r="N977" s="72"/>
      <c r="O977" s="224"/>
      <c r="P977" s="219"/>
      <c r="Q977" s="84"/>
      <c r="S977" s="136"/>
      <c r="T977" s="136"/>
    </row>
    <row r="978" spans="1:22">
      <c r="A978" s="71" t="s">
        <v>7833</v>
      </c>
      <c r="B978" s="67" t="s">
        <v>7834</v>
      </c>
      <c r="C978" s="71" t="s">
        <v>153</v>
      </c>
      <c r="D978" s="78">
        <v>46.42</v>
      </c>
      <c r="E978" s="663">
        <v>2</v>
      </c>
      <c r="H978" s="178">
        <v>46.42</v>
      </c>
      <c r="J978" s="294"/>
      <c r="K978" s="295"/>
      <c r="L978" s="72"/>
      <c r="M978" s="133"/>
      <c r="N978" s="72"/>
      <c r="O978" s="224"/>
      <c r="P978" s="219"/>
      <c r="Q978" s="84"/>
      <c r="S978" s="136"/>
      <c r="T978" s="136"/>
    </row>
    <row r="979" spans="1:22">
      <c r="A979" s="71" t="s">
        <v>32950</v>
      </c>
      <c r="B979" s="67" t="s">
        <v>32951</v>
      </c>
      <c r="C979" s="71" t="s">
        <v>165</v>
      </c>
      <c r="D979" s="78">
        <v>7.69</v>
      </c>
      <c r="E979" s="663">
        <v>2</v>
      </c>
      <c r="H979" s="178">
        <v>7.69</v>
      </c>
      <c r="J979" s="294"/>
      <c r="K979" s="295"/>
      <c r="L979" s="72"/>
      <c r="M979" s="133"/>
      <c r="N979" s="72"/>
      <c r="O979" s="224"/>
      <c r="P979" s="219"/>
      <c r="Q979" s="84"/>
      <c r="S979" s="136"/>
      <c r="T979" s="136"/>
    </row>
    <row r="980" spans="1:22">
      <c r="A980" s="71" t="s">
        <v>32952</v>
      </c>
      <c r="B980" s="67" t="s">
        <v>32953</v>
      </c>
      <c r="C980" s="71" t="s">
        <v>165</v>
      </c>
      <c r="D980" s="78">
        <v>9.58</v>
      </c>
      <c r="E980" s="663">
        <v>2</v>
      </c>
      <c r="H980" s="178">
        <v>9.58</v>
      </c>
      <c r="J980" s="294"/>
      <c r="K980" s="295"/>
      <c r="L980" s="72"/>
      <c r="M980" s="133"/>
      <c r="N980" s="72"/>
      <c r="O980" s="224"/>
      <c r="P980" s="219"/>
      <c r="Q980" s="84"/>
      <c r="S980" s="136"/>
      <c r="T980" s="136"/>
    </row>
    <row r="981" spans="1:22">
      <c r="A981" s="71" t="s">
        <v>32954</v>
      </c>
      <c r="B981" s="67" t="s">
        <v>32955</v>
      </c>
      <c r="C981" s="71" t="s">
        <v>509</v>
      </c>
      <c r="D981" s="78">
        <v>34.46</v>
      </c>
      <c r="E981" s="663">
        <v>2</v>
      </c>
      <c r="H981" s="178">
        <v>34.46</v>
      </c>
      <c r="J981" s="294"/>
      <c r="K981" s="295"/>
      <c r="L981" s="72"/>
      <c r="M981" s="133"/>
      <c r="N981" s="72"/>
      <c r="O981" s="224"/>
      <c r="P981" s="219"/>
      <c r="Q981" s="84"/>
      <c r="S981" s="136"/>
      <c r="T981" s="136"/>
    </row>
    <row r="982" spans="1:22">
      <c r="A982" s="71" t="s">
        <v>32956</v>
      </c>
      <c r="B982" s="67" t="s">
        <v>32957</v>
      </c>
      <c r="C982" s="71" t="s">
        <v>509</v>
      </c>
      <c r="D982" s="78">
        <v>44.38</v>
      </c>
      <c r="E982" s="663">
        <v>2</v>
      </c>
      <c r="H982" s="178">
        <v>44.38</v>
      </c>
      <c r="J982" s="294"/>
      <c r="K982" s="295"/>
      <c r="L982" s="72"/>
      <c r="M982" s="133"/>
      <c r="N982" s="72"/>
      <c r="O982" s="224"/>
      <c r="P982" s="219"/>
      <c r="Q982" s="84"/>
      <c r="S982" s="136"/>
      <c r="T982" s="136"/>
    </row>
    <row r="983" spans="1:22">
      <c r="A983" s="71" t="s">
        <v>7835</v>
      </c>
      <c r="B983" s="67" t="s">
        <v>7836</v>
      </c>
      <c r="C983" s="71" t="s">
        <v>153</v>
      </c>
      <c r="D983" s="78">
        <v>17.89</v>
      </c>
      <c r="E983" s="663">
        <v>2</v>
      </c>
      <c r="H983" s="178">
        <v>17.89</v>
      </c>
      <c r="J983" s="294"/>
      <c r="K983" s="295"/>
      <c r="L983" s="72"/>
      <c r="M983" s="133"/>
      <c r="N983" s="72"/>
      <c r="O983" s="224"/>
      <c r="P983" s="219"/>
      <c r="Q983" s="84"/>
      <c r="S983" s="136"/>
      <c r="T983" s="136"/>
    </row>
    <row r="984" spans="1:22">
      <c r="A984" s="71" t="s">
        <v>7837</v>
      </c>
      <c r="B984" s="67" t="s">
        <v>7838</v>
      </c>
      <c r="C984" s="71" t="s">
        <v>153</v>
      </c>
      <c r="D984" s="78">
        <v>123.57</v>
      </c>
      <c r="E984" s="663">
        <v>2</v>
      </c>
      <c r="H984" s="178">
        <v>123.57</v>
      </c>
      <c r="J984" s="294"/>
      <c r="K984" s="295"/>
      <c r="L984" s="72"/>
      <c r="M984" s="133"/>
      <c r="N984" s="72"/>
      <c r="O984" s="224"/>
      <c r="P984" s="219"/>
      <c r="Q984" s="84"/>
      <c r="S984" s="136"/>
      <c r="T984" s="136"/>
    </row>
    <row r="985" spans="1:22">
      <c r="A985" s="71" t="s">
        <v>7839</v>
      </c>
      <c r="B985" s="67" t="s">
        <v>7840</v>
      </c>
      <c r="C985" s="71" t="s">
        <v>153</v>
      </c>
      <c r="D985" s="78">
        <v>58.58</v>
      </c>
      <c r="E985" s="663">
        <v>2</v>
      </c>
      <c r="H985" s="178">
        <v>58.58</v>
      </c>
      <c r="J985" s="294"/>
      <c r="K985" s="295"/>
      <c r="L985" s="72"/>
      <c r="M985" s="133"/>
      <c r="N985" s="72"/>
      <c r="O985" s="224"/>
      <c r="P985" s="219"/>
      <c r="Q985" s="84"/>
      <c r="S985" s="136"/>
      <c r="T985" s="136"/>
      <c r="V985" s="136"/>
    </row>
    <row r="986" spans="1:22">
      <c r="A986" s="71" t="s">
        <v>7841</v>
      </c>
      <c r="B986" s="67" t="s">
        <v>7842</v>
      </c>
      <c r="C986" s="71" t="s">
        <v>153</v>
      </c>
      <c r="D986" s="78">
        <v>42.21</v>
      </c>
      <c r="E986" s="663">
        <v>2</v>
      </c>
      <c r="H986" s="178">
        <v>42.21</v>
      </c>
      <c r="J986" s="294"/>
      <c r="K986" s="295"/>
      <c r="L986" s="72"/>
      <c r="M986" s="133"/>
      <c r="N986" s="72"/>
      <c r="O986" s="224"/>
      <c r="P986" s="219"/>
      <c r="Q986" s="84"/>
      <c r="S986" s="136"/>
      <c r="T986" s="136"/>
      <c r="V986" s="136"/>
    </row>
    <row r="987" spans="1:22">
      <c r="A987" s="71" t="s">
        <v>7843</v>
      </c>
      <c r="B987" s="67" t="s">
        <v>7844</v>
      </c>
      <c r="C987" s="71" t="s">
        <v>153</v>
      </c>
      <c r="D987" s="78">
        <v>16.84</v>
      </c>
      <c r="E987" s="663">
        <v>2</v>
      </c>
      <c r="H987" s="178">
        <v>16.84</v>
      </c>
      <c r="J987" s="294"/>
      <c r="K987" s="295"/>
      <c r="L987" s="72"/>
      <c r="M987" s="133"/>
      <c r="N987" s="72"/>
      <c r="O987" s="224"/>
      <c r="P987" s="219"/>
      <c r="Q987" s="84"/>
      <c r="S987" s="136"/>
      <c r="T987" s="136"/>
    </row>
    <row r="988" spans="1:22">
      <c r="A988" s="71" t="s">
        <v>7845</v>
      </c>
      <c r="B988" s="67" t="s">
        <v>7846</v>
      </c>
      <c r="C988" s="71" t="s">
        <v>153</v>
      </c>
      <c r="D988" s="78">
        <v>312.61</v>
      </c>
      <c r="E988" s="663">
        <v>2</v>
      </c>
      <c r="H988" s="178">
        <v>312.61</v>
      </c>
      <c r="J988" s="294"/>
      <c r="K988" s="295"/>
      <c r="L988" s="72"/>
      <c r="M988" s="133"/>
      <c r="N988" s="72"/>
      <c r="O988" s="224"/>
      <c r="P988" s="219"/>
      <c r="Q988" s="84"/>
      <c r="S988" s="136"/>
      <c r="T988" s="136"/>
      <c r="V988" s="136"/>
    </row>
    <row r="989" spans="1:22" ht="12">
      <c r="A989" s="71" t="s">
        <v>33032</v>
      </c>
      <c r="B989" s="65" t="s">
        <v>33033</v>
      </c>
      <c r="C989" s="71" t="s">
        <v>153</v>
      </c>
      <c r="D989" s="78">
        <v>171.36</v>
      </c>
      <c r="E989" s="663">
        <v>2</v>
      </c>
      <c r="H989" s="178">
        <v>171.36</v>
      </c>
      <c r="J989" s="294"/>
      <c r="K989" s="295"/>
      <c r="L989" s="72"/>
      <c r="M989" s="133"/>
      <c r="N989" s="72"/>
      <c r="O989" s="224"/>
      <c r="P989" s="219"/>
      <c r="Q989" s="84"/>
      <c r="S989" s="136"/>
      <c r="T989" s="136"/>
    </row>
    <row r="990" spans="1:22">
      <c r="A990" s="71" t="s">
        <v>7847</v>
      </c>
      <c r="B990" s="67" t="s">
        <v>7848</v>
      </c>
      <c r="C990" s="71" t="s">
        <v>153</v>
      </c>
      <c r="D990" s="78">
        <v>114.8</v>
      </c>
      <c r="E990" s="663">
        <v>2</v>
      </c>
      <c r="H990" s="178">
        <v>114.8</v>
      </c>
      <c r="J990" s="294"/>
      <c r="K990" s="295"/>
      <c r="L990" s="72"/>
      <c r="M990" s="133"/>
      <c r="N990" s="72"/>
      <c r="O990" s="224"/>
      <c r="P990" s="219"/>
      <c r="Q990" s="84"/>
      <c r="S990" s="136"/>
      <c r="T990" s="136"/>
    </row>
    <row r="991" spans="1:22">
      <c r="A991" s="71" t="s">
        <v>7849</v>
      </c>
      <c r="B991" s="67" t="s">
        <v>7850</v>
      </c>
      <c r="C991" s="71" t="s">
        <v>153</v>
      </c>
      <c r="D991" s="78">
        <v>46.76</v>
      </c>
      <c r="E991" s="663">
        <v>2</v>
      </c>
      <c r="H991" s="178">
        <v>46.76</v>
      </c>
      <c r="J991" s="294"/>
      <c r="K991" s="295"/>
      <c r="L991" s="72"/>
      <c r="M991" s="133"/>
      <c r="N991" s="72"/>
      <c r="O991" s="224"/>
      <c r="P991" s="219"/>
      <c r="Q991" s="84"/>
      <c r="S991" s="136"/>
      <c r="T991" s="136"/>
      <c r="V991" s="136"/>
    </row>
    <row r="992" spans="1:22">
      <c r="A992" s="71" t="s">
        <v>7851</v>
      </c>
      <c r="B992" s="67" t="s">
        <v>7852</v>
      </c>
      <c r="C992" s="71" t="s">
        <v>509</v>
      </c>
      <c r="D992" s="78">
        <v>140.18</v>
      </c>
      <c r="E992" s="663">
        <v>2</v>
      </c>
      <c r="H992" s="178">
        <v>140.18</v>
      </c>
      <c r="J992" s="294"/>
      <c r="K992" s="295"/>
      <c r="L992" s="72"/>
      <c r="M992" s="133"/>
      <c r="N992" s="72"/>
      <c r="O992" s="224"/>
      <c r="P992" s="219"/>
      <c r="Q992" s="84"/>
      <c r="S992" s="136"/>
      <c r="T992" s="136"/>
    </row>
    <row r="993" spans="1:22">
      <c r="A993" s="71" t="s">
        <v>7853</v>
      </c>
      <c r="B993" s="67" t="s">
        <v>7854</v>
      </c>
      <c r="C993" s="71" t="s">
        <v>509</v>
      </c>
      <c r="D993" s="78">
        <v>201.97</v>
      </c>
      <c r="E993" s="663">
        <v>2</v>
      </c>
      <c r="H993" s="178">
        <v>201.97</v>
      </c>
      <c r="J993" s="294"/>
      <c r="K993" s="295"/>
      <c r="L993" s="72"/>
      <c r="M993" s="133"/>
      <c r="N993" s="72"/>
      <c r="O993" s="224"/>
      <c r="P993" s="219"/>
      <c r="Q993" s="84"/>
      <c r="S993" s="136"/>
      <c r="T993" s="136"/>
      <c r="V993" s="136"/>
    </row>
    <row r="994" spans="1:22">
      <c r="A994" s="71" t="s">
        <v>7855</v>
      </c>
      <c r="B994" s="67" t="s">
        <v>7856</v>
      </c>
      <c r="C994" s="71" t="s">
        <v>207</v>
      </c>
      <c r="D994" s="78">
        <v>5.58</v>
      </c>
      <c r="E994" s="663">
        <v>2</v>
      </c>
      <c r="H994" s="178">
        <v>5.58</v>
      </c>
      <c r="J994" s="294"/>
      <c r="K994" s="295"/>
      <c r="L994" s="72"/>
      <c r="M994" s="133"/>
      <c r="N994" s="72"/>
      <c r="O994" s="224"/>
      <c r="P994" s="219"/>
      <c r="Q994" s="84"/>
      <c r="S994" s="136"/>
      <c r="T994" s="136"/>
      <c r="V994" s="136"/>
    </row>
    <row r="995" spans="1:22">
      <c r="A995" s="71" t="s">
        <v>7857</v>
      </c>
      <c r="B995" s="67" t="s">
        <v>7858</v>
      </c>
      <c r="C995" s="71" t="s">
        <v>153</v>
      </c>
      <c r="D995" s="78">
        <v>20.89</v>
      </c>
      <c r="E995" s="663">
        <v>2</v>
      </c>
      <c r="H995" s="721">
        <v>20.89</v>
      </c>
      <c r="J995" s="294"/>
      <c r="K995" s="295"/>
      <c r="M995" s="72"/>
      <c r="N995" s="133"/>
      <c r="O995" s="72"/>
      <c r="P995" s="224"/>
      <c r="Q995" s="219"/>
      <c r="T995" s="136"/>
      <c r="V995" s="136"/>
    </row>
    <row r="996" spans="1:22">
      <c r="A996" s="71" t="s">
        <v>7859</v>
      </c>
      <c r="B996" s="67" t="s">
        <v>7860</v>
      </c>
      <c r="C996" s="71" t="s">
        <v>207</v>
      </c>
      <c r="D996" s="78">
        <v>2.33</v>
      </c>
      <c r="E996" s="663">
        <v>2</v>
      </c>
      <c r="H996" s="178">
        <v>2.33</v>
      </c>
      <c r="J996" s="294"/>
      <c r="K996" s="295"/>
      <c r="L996" s="72"/>
      <c r="M996" s="133"/>
      <c r="N996" s="72"/>
      <c r="O996" s="224"/>
      <c r="P996" s="219"/>
      <c r="Q996" s="84"/>
      <c r="S996" s="136"/>
      <c r="T996" s="136"/>
      <c r="V996" s="136"/>
    </row>
    <row r="997" spans="1:22">
      <c r="A997" s="71" t="s">
        <v>7861</v>
      </c>
      <c r="B997" s="67" t="s">
        <v>7862</v>
      </c>
      <c r="C997" s="71" t="s">
        <v>103</v>
      </c>
      <c r="D997" s="78">
        <v>23.59</v>
      </c>
      <c r="E997" s="663">
        <v>2</v>
      </c>
      <c r="H997" s="178">
        <v>23.59</v>
      </c>
      <c r="J997" s="294"/>
      <c r="K997" s="295"/>
      <c r="L997" s="72"/>
      <c r="M997" s="133"/>
      <c r="N997" s="72"/>
      <c r="O997" s="224"/>
      <c r="P997" s="219"/>
      <c r="Q997" s="84"/>
      <c r="S997" s="136"/>
      <c r="T997" s="136"/>
      <c r="V997" s="136"/>
    </row>
    <row r="998" spans="1:22">
      <c r="A998" s="71" t="s">
        <v>7863</v>
      </c>
      <c r="B998" s="67" t="s">
        <v>7864</v>
      </c>
      <c r="C998" s="71" t="s">
        <v>153</v>
      </c>
      <c r="D998" s="78">
        <v>58.52</v>
      </c>
      <c r="E998" s="663">
        <v>2</v>
      </c>
      <c r="H998" s="178">
        <v>58.52</v>
      </c>
      <c r="J998" s="294"/>
      <c r="K998" s="295"/>
      <c r="L998" s="72"/>
      <c r="M998" s="133"/>
      <c r="N998" s="72"/>
      <c r="O998" s="224"/>
      <c r="P998" s="219"/>
      <c r="Q998" s="84"/>
      <c r="S998" s="136"/>
      <c r="T998" s="136"/>
      <c r="V998" s="136"/>
    </row>
    <row r="999" spans="1:22">
      <c r="A999" s="71" t="s">
        <v>7865</v>
      </c>
      <c r="B999" s="67" t="s">
        <v>7866</v>
      </c>
      <c r="C999" s="71" t="s">
        <v>153</v>
      </c>
      <c r="D999" s="78">
        <v>14.36</v>
      </c>
      <c r="E999" s="663">
        <v>2</v>
      </c>
      <c r="H999" s="178">
        <v>14.36</v>
      </c>
      <c r="J999" s="294"/>
      <c r="K999" s="295"/>
      <c r="L999" s="72"/>
      <c r="M999" s="133"/>
      <c r="N999" s="72"/>
      <c r="O999" s="224"/>
      <c r="P999" s="219"/>
      <c r="Q999" s="84"/>
      <c r="S999" s="136"/>
      <c r="T999" s="136"/>
    </row>
    <row r="1000" spans="1:22">
      <c r="A1000" s="71" t="s">
        <v>7867</v>
      </c>
      <c r="B1000" s="67" t="s">
        <v>7868</v>
      </c>
      <c r="C1000" s="71" t="s">
        <v>153</v>
      </c>
      <c r="D1000" s="78">
        <v>29.09</v>
      </c>
      <c r="E1000" s="663">
        <v>2</v>
      </c>
      <c r="H1000" s="178">
        <v>29.09</v>
      </c>
      <c r="J1000" s="294"/>
      <c r="K1000" s="295"/>
      <c r="L1000" s="72"/>
      <c r="M1000" s="133"/>
      <c r="N1000" s="72"/>
      <c r="O1000" s="224"/>
      <c r="P1000" s="219"/>
      <c r="Q1000" s="84"/>
      <c r="S1000" s="136"/>
      <c r="T1000" s="136"/>
      <c r="V1000" s="136"/>
    </row>
    <row r="1001" spans="1:22">
      <c r="A1001" s="71" t="s">
        <v>7869</v>
      </c>
      <c r="B1001" s="67" t="s">
        <v>7870</v>
      </c>
      <c r="C1001" s="71" t="s">
        <v>103</v>
      </c>
      <c r="D1001" s="78">
        <v>6.09</v>
      </c>
      <c r="E1001" s="663">
        <v>2</v>
      </c>
      <c r="H1001" s="178">
        <v>6.09</v>
      </c>
      <c r="J1001" s="294"/>
      <c r="K1001" s="295"/>
      <c r="L1001" s="72"/>
      <c r="M1001" s="133"/>
      <c r="N1001" s="72"/>
      <c r="O1001" s="224"/>
      <c r="P1001" s="219"/>
      <c r="Q1001" s="84"/>
      <c r="S1001" s="136"/>
      <c r="T1001" s="136"/>
      <c r="V1001" s="136"/>
    </row>
    <row r="1002" spans="1:22">
      <c r="A1002" s="71" t="s">
        <v>7871</v>
      </c>
      <c r="B1002" s="67" t="s">
        <v>7872</v>
      </c>
      <c r="C1002" s="71" t="s">
        <v>103</v>
      </c>
      <c r="D1002" s="78">
        <v>3.29</v>
      </c>
      <c r="E1002" s="663">
        <v>2</v>
      </c>
      <c r="H1002" s="178">
        <v>3.29</v>
      </c>
      <c r="J1002" s="294"/>
      <c r="K1002" s="295"/>
      <c r="L1002" s="72"/>
      <c r="M1002" s="133"/>
      <c r="N1002" s="72"/>
      <c r="O1002" s="224"/>
      <c r="P1002" s="219"/>
      <c r="Q1002" s="84"/>
      <c r="S1002" s="136"/>
      <c r="T1002" s="136"/>
      <c r="V1002" s="136"/>
    </row>
    <row r="1003" spans="1:22">
      <c r="A1003" s="71" t="s">
        <v>7873</v>
      </c>
      <c r="B1003" s="67" t="s">
        <v>7874</v>
      </c>
      <c r="C1003" s="71" t="s">
        <v>153</v>
      </c>
      <c r="D1003" s="78">
        <v>12.53</v>
      </c>
      <c r="E1003" s="663">
        <v>2</v>
      </c>
      <c r="H1003" s="178">
        <v>12.53</v>
      </c>
      <c r="J1003" s="294"/>
      <c r="K1003" s="295"/>
      <c r="L1003" s="72"/>
      <c r="M1003" s="133"/>
      <c r="N1003" s="72"/>
      <c r="O1003" s="224"/>
      <c r="P1003" s="219"/>
      <c r="Q1003" s="84"/>
      <c r="S1003" s="136"/>
      <c r="T1003" s="136"/>
      <c r="V1003" s="136"/>
    </row>
    <row r="1004" spans="1:22">
      <c r="A1004" s="71" t="s">
        <v>7875</v>
      </c>
      <c r="B1004" s="67" t="s">
        <v>7876</v>
      </c>
      <c r="C1004" s="71" t="s">
        <v>153</v>
      </c>
      <c r="D1004" s="78">
        <v>6.21</v>
      </c>
      <c r="E1004" s="663">
        <v>2</v>
      </c>
      <c r="H1004" s="178">
        <v>6.21</v>
      </c>
      <c r="J1004" s="294"/>
      <c r="K1004" s="295"/>
      <c r="L1004" s="72"/>
      <c r="M1004" s="133"/>
      <c r="N1004" s="72"/>
      <c r="O1004" s="224"/>
      <c r="P1004" s="219"/>
      <c r="Q1004" s="84"/>
      <c r="S1004" s="136"/>
      <c r="T1004" s="136"/>
      <c r="V1004" s="136"/>
    </row>
    <row r="1005" spans="1:22">
      <c r="A1005" s="71" t="s">
        <v>7877</v>
      </c>
      <c r="B1005" s="67" t="s">
        <v>7878</v>
      </c>
      <c r="C1005" s="71" t="s">
        <v>153</v>
      </c>
      <c r="D1005" s="78">
        <v>39.130000000000003</v>
      </c>
      <c r="E1005" s="663">
        <v>2</v>
      </c>
      <c r="H1005" s="178">
        <v>39.130000000000003</v>
      </c>
      <c r="J1005" s="294"/>
      <c r="K1005" s="295"/>
      <c r="L1005" s="72"/>
      <c r="M1005" s="133"/>
      <c r="N1005" s="72"/>
      <c r="O1005" s="224"/>
      <c r="P1005" s="219"/>
      <c r="Q1005" s="84"/>
      <c r="S1005" s="136"/>
      <c r="T1005" s="136"/>
      <c r="V1005" s="136"/>
    </row>
    <row r="1006" spans="1:22">
      <c r="A1006" s="71" t="s">
        <v>7879</v>
      </c>
      <c r="B1006" s="67" t="s">
        <v>7880</v>
      </c>
      <c r="C1006" s="71" t="s">
        <v>153</v>
      </c>
      <c r="D1006" s="78">
        <v>47.56</v>
      </c>
      <c r="E1006" s="663">
        <v>2</v>
      </c>
      <c r="H1006" s="178">
        <v>47.56</v>
      </c>
      <c r="J1006" s="294"/>
      <c r="K1006" s="295"/>
      <c r="L1006" s="72"/>
      <c r="M1006" s="133"/>
      <c r="N1006" s="72"/>
      <c r="O1006" s="224"/>
      <c r="P1006" s="219"/>
      <c r="Q1006" s="84"/>
      <c r="S1006" s="136"/>
      <c r="T1006" s="136"/>
      <c r="V1006" s="136"/>
    </row>
    <row r="1007" spans="1:22">
      <c r="A1007" s="71" t="s">
        <v>7881</v>
      </c>
      <c r="B1007" s="67" t="s">
        <v>7882</v>
      </c>
      <c r="C1007" s="71" t="s">
        <v>153</v>
      </c>
      <c r="D1007" s="78">
        <v>86.3</v>
      </c>
      <c r="E1007" s="663">
        <v>2</v>
      </c>
      <c r="H1007" s="178">
        <v>86.3</v>
      </c>
      <c r="J1007" s="294"/>
      <c r="K1007" s="295"/>
      <c r="L1007" s="72"/>
      <c r="M1007" s="133"/>
      <c r="N1007" s="72"/>
      <c r="O1007" s="224"/>
      <c r="P1007" s="219"/>
      <c r="Q1007" s="84"/>
      <c r="S1007" s="136"/>
      <c r="T1007" s="136"/>
    </row>
    <row r="1008" spans="1:22">
      <c r="A1008" s="71" t="s">
        <v>7883</v>
      </c>
      <c r="B1008" s="67" t="s">
        <v>7884</v>
      </c>
      <c r="C1008" s="71" t="s">
        <v>153</v>
      </c>
      <c r="D1008" s="78">
        <v>117.93</v>
      </c>
      <c r="E1008" s="663">
        <v>2</v>
      </c>
      <c r="H1008" s="178">
        <v>117.93</v>
      </c>
      <c r="J1008" s="294"/>
      <c r="K1008" s="295"/>
      <c r="L1008" s="72"/>
      <c r="M1008" s="133"/>
      <c r="N1008" s="72"/>
      <c r="O1008" s="224"/>
      <c r="P1008" s="219"/>
      <c r="Q1008" s="84"/>
      <c r="S1008" s="136"/>
      <c r="T1008" s="136"/>
    </row>
    <row r="1009" spans="1:22">
      <c r="A1009" s="71" t="s">
        <v>7885</v>
      </c>
      <c r="B1009" s="67" t="s">
        <v>7886</v>
      </c>
      <c r="C1009" s="71" t="s">
        <v>7887</v>
      </c>
      <c r="D1009" s="78">
        <v>560.79999999999995</v>
      </c>
      <c r="E1009" s="663">
        <v>2</v>
      </c>
      <c r="H1009" s="178">
        <v>560.79999999999995</v>
      </c>
      <c r="J1009" s="294"/>
      <c r="K1009" s="295"/>
      <c r="L1009" s="72"/>
      <c r="M1009" s="133"/>
      <c r="N1009" s="72"/>
      <c r="O1009" s="224"/>
      <c r="P1009" s="219"/>
      <c r="Q1009" s="84"/>
      <c r="S1009" s="136"/>
      <c r="T1009" s="136"/>
    </row>
    <row r="1010" spans="1:22">
      <c r="A1010" s="71" t="s">
        <v>7888</v>
      </c>
      <c r="B1010" s="67" t="s">
        <v>7889</v>
      </c>
      <c r="C1010" s="71" t="s">
        <v>7887</v>
      </c>
      <c r="D1010" s="78">
        <v>173.85</v>
      </c>
      <c r="E1010" s="663">
        <v>2</v>
      </c>
      <c r="H1010" s="178">
        <v>173.85</v>
      </c>
      <c r="J1010" s="294"/>
      <c r="K1010" s="295"/>
      <c r="L1010" s="72"/>
      <c r="M1010" s="133"/>
      <c r="N1010" s="72"/>
      <c r="O1010" s="224"/>
      <c r="P1010" s="219"/>
      <c r="Q1010" s="84"/>
      <c r="S1010" s="136"/>
      <c r="T1010" s="136"/>
    </row>
    <row r="1011" spans="1:22">
      <c r="A1011" s="71" t="s">
        <v>7890</v>
      </c>
      <c r="B1011" s="67" t="s">
        <v>7891</v>
      </c>
      <c r="C1011" s="71" t="s">
        <v>153</v>
      </c>
      <c r="D1011" s="78">
        <v>47.92</v>
      </c>
      <c r="E1011" s="663">
        <v>2</v>
      </c>
      <c r="H1011" s="178">
        <v>47.92</v>
      </c>
      <c r="J1011" s="294"/>
      <c r="K1011" s="295"/>
      <c r="L1011" s="72"/>
      <c r="M1011" s="133"/>
      <c r="N1011" s="72"/>
      <c r="O1011" s="224"/>
      <c r="P1011" s="219"/>
      <c r="Q1011" s="84"/>
      <c r="S1011" s="136"/>
      <c r="T1011" s="136"/>
    </row>
    <row r="1012" spans="1:22">
      <c r="A1012" s="71" t="s">
        <v>7892</v>
      </c>
      <c r="B1012" s="67" t="s">
        <v>7893</v>
      </c>
      <c r="C1012" s="71" t="s">
        <v>153</v>
      </c>
      <c r="D1012" s="78">
        <v>48.26</v>
      </c>
      <c r="E1012" s="663">
        <v>2</v>
      </c>
      <c r="H1012" s="178">
        <v>48.26</v>
      </c>
      <c r="J1012" s="294"/>
      <c r="K1012" s="295"/>
      <c r="L1012" s="72"/>
      <c r="M1012" s="133"/>
      <c r="N1012" s="72"/>
      <c r="O1012" s="224"/>
      <c r="P1012" s="219"/>
      <c r="Q1012" s="84"/>
      <c r="S1012" s="136"/>
      <c r="T1012" s="136"/>
    </row>
    <row r="1013" spans="1:22">
      <c r="A1013" s="71" t="s">
        <v>7894</v>
      </c>
      <c r="B1013" s="67" t="s">
        <v>7895</v>
      </c>
      <c r="C1013" s="71" t="s">
        <v>153</v>
      </c>
      <c r="D1013" s="78">
        <v>24.93</v>
      </c>
      <c r="E1013" s="663">
        <v>2</v>
      </c>
      <c r="H1013" s="178">
        <v>24.93</v>
      </c>
      <c r="J1013" s="294"/>
      <c r="K1013" s="295"/>
      <c r="L1013" s="72"/>
      <c r="M1013" s="133"/>
      <c r="N1013" s="72"/>
      <c r="O1013" s="224"/>
      <c r="P1013" s="219"/>
      <c r="Q1013" s="84"/>
      <c r="S1013" s="136"/>
      <c r="T1013" s="136"/>
    </row>
    <row r="1014" spans="1:22">
      <c r="A1014" s="71" t="s">
        <v>7896</v>
      </c>
      <c r="B1014" s="67" t="s">
        <v>7897</v>
      </c>
      <c r="C1014" s="71" t="s">
        <v>153</v>
      </c>
      <c r="D1014" s="78">
        <v>57.7</v>
      </c>
      <c r="E1014" s="663">
        <v>2</v>
      </c>
      <c r="H1014" s="178">
        <v>57.7</v>
      </c>
      <c r="J1014" s="294"/>
      <c r="K1014" s="295"/>
      <c r="L1014" s="72"/>
      <c r="M1014" s="133"/>
      <c r="N1014" s="72"/>
      <c r="O1014" s="224"/>
      <c r="P1014" s="219"/>
      <c r="Q1014" s="84"/>
      <c r="S1014" s="136"/>
      <c r="T1014" s="136"/>
      <c r="V1014" s="136"/>
    </row>
    <row r="1015" spans="1:22">
      <c r="A1015" s="71" t="s">
        <v>7898</v>
      </c>
      <c r="B1015" s="67" t="s">
        <v>7899</v>
      </c>
      <c r="C1015" s="71" t="s">
        <v>207</v>
      </c>
      <c r="D1015" s="78">
        <v>51.39</v>
      </c>
      <c r="E1015" s="663">
        <v>2</v>
      </c>
      <c r="H1015" s="178">
        <v>51.39</v>
      </c>
      <c r="J1015" s="294"/>
      <c r="K1015" s="295"/>
      <c r="L1015" s="72"/>
      <c r="M1015" s="133"/>
      <c r="N1015" s="72"/>
      <c r="O1015" s="224"/>
      <c r="P1015" s="219"/>
      <c r="Q1015" s="84"/>
      <c r="S1015" s="136"/>
      <c r="T1015" s="136"/>
    </row>
    <row r="1016" spans="1:22">
      <c r="A1016" s="71" t="s">
        <v>7900</v>
      </c>
      <c r="B1016" s="67" t="s">
        <v>7901</v>
      </c>
      <c r="C1016" s="71" t="s">
        <v>103</v>
      </c>
      <c r="D1016" s="78">
        <v>0.77</v>
      </c>
      <c r="E1016" s="663">
        <v>2</v>
      </c>
      <c r="H1016" s="178">
        <v>0.77</v>
      </c>
      <c r="J1016" s="294"/>
      <c r="K1016" s="295"/>
      <c r="L1016" s="72"/>
      <c r="M1016" s="133"/>
      <c r="N1016" s="72"/>
      <c r="O1016" s="224"/>
      <c r="P1016" s="219"/>
      <c r="Q1016" s="84"/>
      <c r="S1016" s="136"/>
      <c r="T1016" s="136"/>
      <c r="V1016" s="136"/>
    </row>
    <row r="1017" spans="1:22">
      <c r="A1017" s="71" t="s">
        <v>7902</v>
      </c>
      <c r="B1017" s="67" t="s">
        <v>7903</v>
      </c>
      <c r="C1017" s="71" t="s">
        <v>103</v>
      </c>
      <c r="D1017" s="78">
        <v>1.85</v>
      </c>
      <c r="E1017" s="663">
        <v>2</v>
      </c>
      <c r="H1017" s="178">
        <v>1.85</v>
      </c>
      <c r="J1017" s="294"/>
      <c r="K1017" s="295"/>
      <c r="L1017" s="72"/>
      <c r="M1017" s="133"/>
      <c r="N1017" s="72"/>
      <c r="O1017" s="224"/>
      <c r="P1017" s="219"/>
      <c r="Q1017" s="84"/>
      <c r="S1017" s="136"/>
      <c r="T1017" s="136"/>
      <c r="V1017" s="136"/>
    </row>
    <row r="1018" spans="1:22">
      <c r="A1018" s="71" t="s">
        <v>7904</v>
      </c>
      <c r="B1018" s="67" t="s">
        <v>7905</v>
      </c>
      <c r="C1018" s="71" t="s">
        <v>207</v>
      </c>
      <c r="D1018" s="78">
        <v>82.56</v>
      </c>
      <c r="E1018" s="663">
        <v>2</v>
      </c>
      <c r="H1018" s="179">
        <v>82.56</v>
      </c>
      <c r="J1018" s="294"/>
      <c r="K1018" s="295"/>
      <c r="L1018" s="72"/>
      <c r="M1018" s="133"/>
      <c r="N1018" s="72"/>
      <c r="O1018" s="224"/>
      <c r="P1018" s="219"/>
      <c r="Q1018" s="84"/>
      <c r="S1018" s="137"/>
      <c r="T1018" s="137"/>
    </row>
    <row r="1019" spans="1:22">
      <c r="A1019" s="71" t="s">
        <v>7906</v>
      </c>
      <c r="B1019" s="67" t="s">
        <v>7907</v>
      </c>
      <c r="C1019" s="71" t="s">
        <v>153</v>
      </c>
      <c r="D1019" s="78">
        <v>118.14</v>
      </c>
      <c r="E1019" s="663">
        <v>2</v>
      </c>
      <c r="H1019" s="178">
        <v>118.14</v>
      </c>
      <c r="J1019" s="294"/>
      <c r="K1019" s="295"/>
      <c r="L1019" s="72"/>
      <c r="M1019" s="133"/>
      <c r="N1019" s="72"/>
      <c r="O1019" s="224"/>
      <c r="P1019" s="219"/>
      <c r="Q1019" s="84"/>
      <c r="S1019" s="136"/>
      <c r="T1019" s="136"/>
      <c r="V1019" s="136"/>
    </row>
    <row r="1020" spans="1:22">
      <c r="A1020" s="71" t="s">
        <v>7908</v>
      </c>
      <c r="B1020" s="67" t="s">
        <v>7909</v>
      </c>
      <c r="C1020" s="71" t="s">
        <v>153</v>
      </c>
      <c r="D1020" s="78">
        <v>53.48</v>
      </c>
      <c r="E1020" s="663">
        <v>2</v>
      </c>
      <c r="H1020" s="178">
        <v>53.48</v>
      </c>
      <c r="J1020" s="294"/>
      <c r="K1020" s="295"/>
      <c r="L1020" s="72"/>
      <c r="M1020" s="133"/>
      <c r="N1020" s="72"/>
      <c r="O1020" s="224"/>
      <c r="P1020" s="219"/>
      <c r="Q1020" s="84"/>
      <c r="S1020" s="136"/>
      <c r="T1020" s="136"/>
    </row>
    <row r="1021" spans="1:22">
      <c r="A1021" s="71" t="s">
        <v>7910</v>
      </c>
      <c r="B1021" s="67" t="s">
        <v>7911</v>
      </c>
      <c r="C1021" s="71" t="s">
        <v>207</v>
      </c>
      <c r="D1021" s="78">
        <v>49.42</v>
      </c>
      <c r="E1021" s="663">
        <v>2</v>
      </c>
      <c r="H1021" s="178">
        <v>49.42</v>
      </c>
      <c r="J1021" s="294"/>
      <c r="K1021" s="295"/>
      <c r="L1021" s="72"/>
      <c r="M1021" s="133"/>
      <c r="N1021" s="72"/>
      <c r="O1021" s="224"/>
      <c r="P1021" s="219"/>
      <c r="Q1021" s="84"/>
      <c r="S1021" s="136"/>
      <c r="T1021" s="136"/>
    </row>
    <row r="1022" spans="1:22">
      <c r="A1022" s="71" t="s">
        <v>7912</v>
      </c>
      <c r="B1022" s="67" t="s">
        <v>7913</v>
      </c>
      <c r="C1022" s="71" t="s">
        <v>207</v>
      </c>
      <c r="D1022" s="78">
        <v>19.32</v>
      </c>
      <c r="E1022" s="663">
        <v>2</v>
      </c>
      <c r="H1022" s="178">
        <v>19.32</v>
      </c>
      <c r="J1022" s="294"/>
      <c r="K1022" s="295"/>
      <c r="L1022" s="72"/>
      <c r="M1022" s="133"/>
      <c r="N1022" s="72"/>
      <c r="O1022" s="224"/>
      <c r="P1022" s="219"/>
      <c r="Q1022" s="84"/>
      <c r="S1022" s="136"/>
      <c r="T1022" s="136"/>
      <c r="V1022" s="136"/>
    </row>
    <row r="1023" spans="1:22">
      <c r="A1023" s="71" t="s">
        <v>7914</v>
      </c>
      <c r="B1023" s="67" t="s">
        <v>7915</v>
      </c>
      <c r="C1023" s="71" t="s">
        <v>153</v>
      </c>
      <c r="D1023" s="78">
        <v>38.590000000000003</v>
      </c>
      <c r="E1023" s="663">
        <v>2</v>
      </c>
      <c r="H1023" s="178">
        <v>38.590000000000003</v>
      </c>
      <c r="J1023" s="294"/>
      <c r="K1023" s="295"/>
      <c r="L1023" s="72"/>
      <c r="M1023" s="133"/>
      <c r="N1023" s="72"/>
      <c r="O1023" s="224"/>
      <c r="P1023" s="219"/>
      <c r="Q1023" s="84"/>
      <c r="S1023" s="136"/>
      <c r="T1023" s="136"/>
    </row>
    <row r="1024" spans="1:22">
      <c r="A1024" s="71" t="s">
        <v>7916</v>
      </c>
      <c r="B1024" s="67" t="s">
        <v>7917</v>
      </c>
      <c r="C1024" s="71" t="s">
        <v>153</v>
      </c>
      <c r="D1024" s="78">
        <v>36.99</v>
      </c>
      <c r="E1024" s="663">
        <v>2</v>
      </c>
      <c r="H1024" s="178">
        <v>36.99</v>
      </c>
      <c r="J1024" s="294"/>
      <c r="K1024" s="295"/>
      <c r="L1024" s="72"/>
      <c r="M1024" s="133"/>
      <c r="N1024" s="72"/>
      <c r="O1024" s="224"/>
      <c r="P1024" s="219"/>
      <c r="Q1024" s="84"/>
      <c r="S1024" s="136"/>
      <c r="T1024" s="136"/>
    </row>
    <row r="1025" spans="1:22">
      <c r="A1025" s="71" t="s">
        <v>7918</v>
      </c>
      <c r="B1025" s="67" t="s">
        <v>7919</v>
      </c>
      <c r="C1025" s="71" t="s">
        <v>153</v>
      </c>
      <c r="D1025" s="78">
        <v>54.36</v>
      </c>
      <c r="E1025" s="663">
        <v>2</v>
      </c>
      <c r="H1025" s="178">
        <v>54.36</v>
      </c>
      <c r="J1025" s="294"/>
      <c r="K1025" s="295"/>
      <c r="L1025" s="72"/>
      <c r="M1025" s="133"/>
      <c r="N1025" s="72"/>
      <c r="O1025" s="224"/>
      <c r="P1025" s="219"/>
      <c r="Q1025" s="84"/>
      <c r="S1025" s="136"/>
      <c r="T1025" s="136"/>
    </row>
    <row r="1026" spans="1:22">
      <c r="A1026" s="71" t="s">
        <v>7920</v>
      </c>
      <c r="B1026" s="67" t="s">
        <v>7921</v>
      </c>
      <c r="C1026" s="71" t="s">
        <v>153</v>
      </c>
      <c r="D1026" s="78">
        <v>19.87</v>
      </c>
      <c r="E1026" s="663">
        <v>2</v>
      </c>
      <c r="H1026" s="178">
        <v>19.87</v>
      </c>
      <c r="J1026" s="294"/>
      <c r="K1026" s="295"/>
      <c r="L1026" s="72"/>
      <c r="M1026" s="133"/>
      <c r="N1026" s="72"/>
      <c r="O1026" s="224"/>
      <c r="P1026" s="219"/>
      <c r="Q1026" s="84"/>
      <c r="S1026" s="136"/>
      <c r="T1026" s="136"/>
    </row>
    <row r="1027" spans="1:22">
      <c r="A1027" s="71" t="s">
        <v>7922</v>
      </c>
      <c r="B1027" s="67" t="s">
        <v>7923</v>
      </c>
      <c r="C1027" s="71" t="s">
        <v>153</v>
      </c>
      <c r="D1027" s="78">
        <v>27.84</v>
      </c>
      <c r="E1027" s="663">
        <v>2</v>
      </c>
      <c r="H1027" s="178">
        <v>27.84</v>
      </c>
      <c r="J1027" s="294"/>
      <c r="K1027" s="295"/>
      <c r="L1027" s="72"/>
      <c r="M1027" s="133"/>
      <c r="N1027" s="72"/>
      <c r="O1027" s="224"/>
      <c r="P1027" s="219"/>
      <c r="Q1027" s="84"/>
      <c r="S1027" s="136"/>
      <c r="T1027" s="136"/>
    </row>
    <row r="1028" spans="1:22">
      <c r="A1028" s="71" t="s">
        <v>7924</v>
      </c>
      <c r="B1028" s="67" t="s">
        <v>7925</v>
      </c>
      <c r="C1028" s="71" t="s">
        <v>153</v>
      </c>
      <c r="D1028" s="78">
        <v>58.95</v>
      </c>
      <c r="E1028" s="663">
        <v>2</v>
      </c>
      <c r="H1028" s="178">
        <v>58.95</v>
      </c>
      <c r="J1028" s="294"/>
      <c r="K1028" s="295"/>
      <c r="L1028" s="72"/>
      <c r="M1028" s="133"/>
      <c r="N1028" s="72"/>
      <c r="O1028" s="224"/>
      <c r="P1028" s="219"/>
      <c r="Q1028" s="84"/>
      <c r="S1028" s="136"/>
      <c r="T1028" s="136"/>
    </row>
    <row r="1029" spans="1:22">
      <c r="A1029" s="71" t="s">
        <v>7926</v>
      </c>
      <c r="B1029" s="67" t="s">
        <v>7927</v>
      </c>
      <c r="C1029" s="71" t="s">
        <v>153</v>
      </c>
      <c r="D1029" s="78">
        <v>29.09</v>
      </c>
      <c r="E1029" s="663">
        <v>2</v>
      </c>
      <c r="H1029" s="178">
        <v>29.09</v>
      </c>
      <c r="J1029" s="294"/>
      <c r="K1029" s="295"/>
      <c r="L1029" s="72"/>
      <c r="M1029" s="133"/>
      <c r="N1029" s="72"/>
      <c r="O1029" s="224"/>
      <c r="P1029" s="219"/>
      <c r="Q1029" s="84"/>
      <c r="S1029" s="136"/>
      <c r="T1029" s="136"/>
    </row>
    <row r="1030" spans="1:22">
      <c r="A1030" s="71" t="s">
        <v>7928</v>
      </c>
      <c r="B1030" s="67" t="s">
        <v>7929</v>
      </c>
      <c r="C1030" s="71" t="s">
        <v>153</v>
      </c>
      <c r="D1030" s="78">
        <v>23.61</v>
      </c>
      <c r="E1030" s="663">
        <v>2</v>
      </c>
      <c r="H1030" s="178">
        <v>23.61</v>
      </c>
      <c r="J1030" s="294"/>
      <c r="K1030" s="295"/>
      <c r="L1030" s="72"/>
      <c r="M1030" s="133"/>
      <c r="N1030" s="72"/>
      <c r="O1030" s="224"/>
      <c r="P1030" s="219"/>
      <c r="Q1030" s="84"/>
      <c r="S1030" s="136"/>
      <c r="T1030" s="136"/>
    </row>
    <row r="1031" spans="1:22">
      <c r="A1031" s="71" t="s">
        <v>7930</v>
      </c>
      <c r="B1031" s="67" t="s">
        <v>7931</v>
      </c>
      <c r="C1031" s="71" t="s">
        <v>153</v>
      </c>
      <c r="D1031" s="78">
        <v>29.09</v>
      </c>
      <c r="E1031" s="663">
        <v>2</v>
      </c>
      <c r="H1031" s="178">
        <v>29.09</v>
      </c>
      <c r="J1031" s="294"/>
      <c r="K1031" s="295"/>
      <c r="L1031" s="72"/>
      <c r="M1031" s="133"/>
      <c r="N1031" s="72"/>
      <c r="O1031" s="224"/>
      <c r="P1031" s="219"/>
      <c r="Q1031" s="84"/>
      <c r="S1031" s="136"/>
      <c r="T1031" s="136"/>
      <c r="V1031" s="136"/>
    </row>
    <row r="1032" spans="1:22">
      <c r="A1032" s="71" t="s">
        <v>7932</v>
      </c>
      <c r="B1032" s="67" t="s">
        <v>7933</v>
      </c>
      <c r="C1032" s="71" t="s">
        <v>153</v>
      </c>
      <c r="D1032" s="78">
        <v>51.19</v>
      </c>
      <c r="E1032" s="663">
        <v>2</v>
      </c>
      <c r="H1032" s="178">
        <v>51.19</v>
      </c>
      <c r="J1032" s="294"/>
      <c r="K1032" s="295"/>
      <c r="L1032" s="72"/>
      <c r="M1032" s="133"/>
      <c r="N1032" s="72"/>
      <c r="O1032" s="224"/>
      <c r="P1032" s="219"/>
      <c r="Q1032" s="84"/>
      <c r="S1032" s="136"/>
      <c r="T1032" s="136"/>
    </row>
    <row r="1033" spans="1:22">
      <c r="A1033" s="71" t="s">
        <v>7934</v>
      </c>
      <c r="B1033" s="67" t="s">
        <v>7935</v>
      </c>
      <c r="C1033" s="71" t="s">
        <v>153</v>
      </c>
      <c r="D1033" s="78">
        <v>55.09</v>
      </c>
      <c r="E1033" s="663">
        <v>2</v>
      </c>
      <c r="H1033" s="178">
        <v>55.09</v>
      </c>
      <c r="J1033" s="294"/>
      <c r="K1033" s="295"/>
      <c r="L1033" s="72"/>
      <c r="M1033" s="133"/>
      <c r="N1033" s="72"/>
      <c r="O1033" s="224"/>
      <c r="P1033" s="219"/>
      <c r="Q1033" s="84"/>
      <c r="S1033" s="136"/>
      <c r="T1033" s="136"/>
      <c r="V1033" s="136"/>
    </row>
    <row r="1034" spans="1:22">
      <c r="A1034" s="71" t="s">
        <v>7936</v>
      </c>
      <c r="B1034" s="67" t="s">
        <v>7937</v>
      </c>
      <c r="C1034" s="71" t="s">
        <v>103</v>
      </c>
      <c r="D1034" s="78">
        <v>17.32</v>
      </c>
      <c r="E1034" s="663">
        <v>2</v>
      </c>
      <c r="H1034" s="178">
        <v>17.32</v>
      </c>
      <c r="J1034" s="294"/>
      <c r="K1034" s="295"/>
      <c r="L1034" s="72"/>
      <c r="M1034" s="133"/>
      <c r="N1034" s="72"/>
      <c r="O1034" s="224"/>
      <c r="P1034" s="219"/>
      <c r="Q1034" s="84"/>
      <c r="S1034" s="136"/>
      <c r="T1034" s="136"/>
      <c r="V1034" s="136"/>
    </row>
    <row r="1035" spans="1:22">
      <c r="A1035" s="71" t="s">
        <v>7938</v>
      </c>
      <c r="B1035" s="67" t="s">
        <v>7939</v>
      </c>
      <c r="C1035" s="71" t="s">
        <v>103</v>
      </c>
      <c r="D1035" s="78">
        <v>43.65</v>
      </c>
      <c r="E1035" s="663">
        <v>2</v>
      </c>
      <c r="H1035" s="178">
        <v>43.65</v>
      </c>
      <c r="J1035" s="294"/>
      <c r="K1035" s="295"/>
      <c r="L1035" s="72"/>
      <c r="M1035" s="133"/>
      <c r="N1035" s="72"/>
      <c r="O1035" s="224"/>
      <c r="P1035" s="219"/>
      <c r="Q1035" s="84"/>
      <c r="S1035" s="136"/>
      <c r="T1035" s="136"/>
      <c r="V1035" s="136"/>
    </row>
    <row r="1036" spans="1:22">
      <c r="A1036" s="71" t="s">
        <v>7940</v>
      </c>
      <c r="B1036" s="67" t="s">
        <v>7941</v>
      </c>
      <c r="C1036" s="71" t="s">
        <v>103</v>
      </c>
      <c r="D1036" s="78">
        <v>49.63</v>
      </c>
      <c r="E1036" s="663">
        <v>2</v>
      </c>
      <c r="H1036" s="178">
        <v>49.63</v>
      </c>
      <c r="J1036" s="294"/>
      <c r="K1036" s="295"/>
      <c r="L1036" s="72"/>
      <c r="M1036" s="133"/>
      <c r="N1036" s="72"/>
      <c r="O1036" s="224"/>
      <c r="P1036" s="219"/>
      <c r="Q1036" s="84"/>
      <c r="S1036" s="136"/>
      <c r="T1036" s="136"/>
      <c r="V1036" s="136"/>
    </row>
    <row r="1037" spans="1:22">
      <c r="A1037" s="71" t="s">
        <v>7942</v>
      </c>
      <c r="B1037" s="67" t="s">
        <v>7943</v>
      </c>
      <c r="C1037" s="71" t="s">
        <v>103</v>
      </c>
      <c r="D1037" s="78">
        <v>72.47</v>
      </c>
      <c r="E1037" s="663">
        <v>2</v>
      </c>
      <c r="H1037" s="178">
        <v>72.47</v>
      </c>
      <c r="J1037" s="294"/>
      <c r="K1037" s="295"/>
      <c r="L1037" s="72"/>
      <c r="M1037" s="133"/>
      <c r="N1037" s="72"/>
      <c r="O1037" s="224"/>
      <c r="P1037" s="219"/>
      <c r="Q1037" s="84"/>
      <c r="S1037" s="136"/>
      <c r="T1037" s="136"/>
      <c r="V1037" s="136"/>
    </row>
    <row r="1038" spans="1:22">
      <c r="A1038" s="71" t="s">
        <v>7944</v>
      </c>
      <c r="B1038" s="67" t="s">
        <v>7945</v>
      </c>
      <c r="C1038" s="71" t="s">
        <v>103</v>
      </c>
      <c r="D1038" s="78">
        <v>32.1</v>
      </c>
      <c r="E1038" s="663">
        <v>2</v>
      </c>
      <c r="H1038" s="178">
        <v>32.1</v>
      </c>
      <c r="J1038" s="294"/>
      <c r="K1038" s="295"/>
      <c r="L1038" s="72"/>
      <c r="M1038" s="133"/>
      <c r="N1038" s="72"/>
      <c r="O1038" s="224"/>
      <c r="P1038" s="219"/>
      <c r="Q1038" s="84"/>
      <c r="S1038" s="136"/>
      <c r="T1038" s="136"/>
      <c r="V1038" s="136"/>
    </row>
    <row r="1039" spans="1:22">
      <c r="A1039" s="71" t="s">
        <v>7946</v>
      </c>
      <c r="B1039" s="67" t="s">
        <v>7947</v>
      </c>
      <c r="C1039" s="71" t="s">
        <v>509</v>
      </c>
      <c r="D1039" s="78">
        <v>1059.46</v>
      </c>
      <c r="E1039" s="663">
        <v>2</v>
      </c>
      <c r="H1039" s="178">
        <v>1059.46</v>
      </c>
      <c r="J1039" s="294"/>
      <c r="K1039" s="295"/>
      <c r="L1039" s="72"/>
      <c r="M1039" s="133"/>
      <c r="N1039" s="72"/>
      <c r="O1039" s="224"/>
      <c r="P1039" s="219"/>
      <c r="Q1039" s="84"/>
      <c r="S1039" s="136"/>
      <c r="T1039" s="136"/>
      <c r="V1039" s="136"/>
    </row>
    <row r="1040" spans="1:22">
      <c r="A1040" s="71" t="s">
        <v>7948</v>
      </c>
      <c r="B1040" s="67" t="s">
        <v>7949</v>
      </c>
      <c r="C1040" s="71" t="s">
        <v>103</v>
      </c>
      <c r="D1040" s="78">
        <v>70.78</v>
      </c>
      <c r="E1040" s="663">
        <v>2</v>
      </c>
      <c r="H1040" s="178">
        <v>70.78</v>
      </c>
      <c r="J1040" s="294"/>
      <c r="K1040" s="295"/>
      <c r="L1040" s="72"/>
      <c r="M1040" s="133"/>
      <c r="N1040" s="72"/>
      <c r="O1040" s="224"/>
      <c r="P1040" s="219"/>
      <c r="Q1040" s="84"/>
      <c r="S1040" s="136"/>
      <c r="T1040" s="136"/>
      <c r="V1040" s="136"/>
    </row>
    <row r="1041" spans="1:22">
      <c r="A1041" s="71" t="s">
        <v>7950</v>
      </c>
      <c r="B1041" s="67" t="s">
        <v>7951</v>
      </c>
      <c r="C1041" s="71" t="s">
        <v>103</v>
      </c>
      <c r="D1041" s="78">
        <v>27.17</v>
      </c>
      <c r="E1041" s="663">
        <v>2</v>
      </c>
      <c r="H1041" s="178">
        <v>27.17</v>
      </c>
      <c r="J1041" s="294"/>
      <c r="K1041" s="295"/>
      <c r="L1041" s="72"/>
      <c r="M1041" s="133"/>
      <c r="N1041" s="72"/>
      <c r="O1041" s="224"/>
      <c r="P1041" s="219"/>
      <c r="Q1041" s="84"/>
      <c r="S1041" s="136"/>
      <c r="T1041" s="136"/>
      <c r="V1041" s="136"/>
    </row>
    <row r="1042" spans="1:22">
      <c r="A1042" s="71" t="s">
        <v>7952</v>
      </c>
      <c r="B1042" s="67" t="s">
        <v>7953</v>
      </c>
      <c r="C1042" s="71" t="s">
        <v>103</v>
      </c>
      <c r="D1042" s="78">
        <v>53.09</v>
      </c>
      <c r="E1042" s="663">
        <v>2</v>
      </c>
      <c r="H1042" s="178">
        <v>53.09</v>
      </c>
      <c r="J1042" s="294"/>
      <c r="K1042" s="295"/>
      <c r="L1042" s="72"/>
      <c r="M1042" s="133"/>
      <c r="N1042" s="72"/>
      <c r="O1042" s="224"/>
      <c r="P1042" s="219"/>
      <c r="Q1042" s="84"/>
      <c r="S1042" s="136"/>
      <c r="T1042" s="136"/>
      <c r="V1042" s="136"/>
    </row>
    <row r="1043" spans="1:22">
      <c r="A1043" s="71" t="s">
        <v>7954</v>
      </c>
      <c r="B1043" s="67" t="s">
        <v>7955</v>
      </c>
      <c r="C1043" s="71" t="s">
        <v>103</v>
      </c>
      <c r="D1043" s="78">
        <v>57.1</v>
      </c>
      <c r="E1043" s="663">
        <v>2</v>
      </c>
      <c r="H1043" s="178">
        <v>57.1</v>
      </c>
      <c r="J1043" s="294"/>
      <c r="K1043" s="295"/>
      <c r="L1043" s="72"/>
      <c r="M1043" s="133"/>
      <c r="N1043" s="72"/>
      <c r="O1043" s="224"/>
      <c r="P1043" s="219"/>
      <c r="Q1043" s="84"/>
      <c r="S1043" s="136"/>
      <c r="T1043" s="136"/>
      <c r="V1043" s="136"/>
    </row>
    <row r="1044" spans="1:22">
      <c r="A1044" s="71" t="s">
        <v>7956</v>
      </c>
      <c r="B1044" s="67" t="s">
        <v>7957</v>
      </c>
      <c r="C1044" s="71" t="s">
        <v>103</v>
      </c>
      <c r="D1044" s="78">
        <v>63.41</v>
      </c>
      <c r="E1044" s="663">
        <v>2</v>
      </c>
      <c r="H1044" s="178">
        <v>63.41</v>
      </c>
      <c r="J1044" s="294"/>
      <c r="K1044" s="295"/>
      <c r="L1044" s="72"/>
      <c r="M1044" s="133"/>
      <c r="N1044" s="72"/>
      <c r="O1044" s="224"/>
      <c r="P1044" s="219"/>
      <c r="Q1044" s="84"/>
      <c r="S1044" s="136"/>
      <c r="T1044" s="136"/>
      <c r="V1044" s="136"/>
    </row>
    <row r="1045" spans="1:22">
      <c r="A1045" s="71" t="s">
        <v>7958</v>
      </c>
      <c r="B1045" s="67" t="s">
        <v>7959</v>
      </c>
      <c r="C1045" s="71" t="s">
        <v>103</v>
      </c>
      <c r="D1045" s="78">
        <v>26.12</v>
      </c>
      <c r="E1045" s="663">
        <v>2</v>
      </c>
      <c r="H1045" s="178">
        <v>26.12</v>
      </c>
      <c r="J1045" s="294"/>
      <c r="K1045" s="295"/>
      <c r="L1045" s="72"/>
      <c r="M1045" s="133"/>
      <c r="N1045" s="72"/>
      <c r="O1045" s="224"/>
      <c r="P1045" s="219"/>
      <c r="Q1045" s="84"/>
      <c r="S1045" s="136"/>
      <c r="T1045" s="136"/>
      <c r="V1045" s="136"/>
    </row>
    <row r="1046" spans="1:22">
      <c r="A1046" s="71" t="s">
        <v>7960</v>
      </c>
      <c r="B1046" s="67" t="s">
        <v>7961</v>
      </c>
      <c r="C1046" s="71" t="s">
        <v>103</v>
      </c>
      <c r="D1046" s="78">
        <v>30.45</v>
      </c>
      <c r="E1046" s="663">
        <v>2</v>
      </c>
      <c r="H1046" s="178">
        <v>30.45</v>
      </c>
      <c r="J1046" s="294"/>
      <c r="K1046" s="295"/>
      <c r="L1046" s="72"/>
      <c r="M1046" s="133"/>
      <c r="N1046" s="72"/>
      <c r="O1046" s="224"/>
      <c r="P1046" s="219"/>
      <c r="Q1046" s="84"/>
      <c r="S1046" s="136"/>
      <c r="T1046" s="136"/>
      <c r="V1046" s="136"/>
    </row>
    <row r="1047" spans="1:22">
      <c r="A1047" s="71" t="s">
        <v>7962</v>
      </c>
      <c r="B1047" s="67" t="s">
        <v>7963</v>
      </c>
      <c r="C1047" s="71" t="s">
        <v>103</v>
      </c>
      <c r="D1047" s="78">
        <v>79.83</v>
      </c>
      <c r="E1047" s="663">
        <v>2</v>
      </c>
      <c r="H1047" s="178">
        <v>79.83</v>
      </c>
      <c r="J1047" s="294"/>
      <c r="K1047" s="295"/>
      <c r="L1047" s="72"/>
      <c r="M1047" s="133"/>
      <c r="N1047" s="72"/>
      <c r="O1047" s="224"/>
      <c r="P1047" s="219"/>
      <c r="Q1047" s="84"/>
      <c r="S1047" s="136"/>
      <c r="T1047" s="136"/>
      <c r="V1047" s="136"/>
    </row>
    <row r="1048" spans="1:22">
      <c r="A1048" s="71" t="s">
        <v>7964</v>
      </c>
      <c r="B1048" s="67" t="s">
        <v>7965</v>
      </c>
      <c r="C1048" s="71" t="s">
        <v>103</v>
      </c>
      <c r="D1048" s="78">
        <v>35.729999999999997</v>
      </c>
      <c r="E1048" s="663">
        <v>2</v>
      </c>
      <c r="H1048" s="178">
        <v>35.729999999999997</v>
      </c>
      <c r="J1048" s="294"/>
      <c r="K1048" s="295"/>
      <c r="L1048" s="72"/>
      <c r="M1048" s="133"/>
      <c r="N1048" s="72"/>
      <c r="O1048" s="224"/>
      <c r="P1048" s="219"/>
      <c r="Q1048" s="84"/>
      <c r="S1048" s="136"/>
      <c r="T1048" s="136"/>
      <c r="V1048" s="136"/>
    </row>
    <row r="1049" spans="1:22">
      <c r="A1049" s="71" t="s">
        <v>7966</v>
      </c>
      <c r="B1049" s="67" t="s">
        <v>7967</v>
      </c>
      <c r="C1049" s="71" t="s">
        <v>103</v>
      </c>
      <c r="D1049" s="78">
        <v>38.19</v>
      </c>
      <c r="E1049" s="663">
        <v>2</v>
      </c>
      <c r="H1049" s="178">
        <v>38.19</v>
      </c>
      <c r="J1049" s="294"/>
      <c r="K1049" s="295"/>
      <c r="L1049" s="72"/>
      <c r="M1049" s="133"/>
      <c r="N1049" s="72"/>
      <c r="O1049" s="224"/>
      <c r="P1049" s="219"/>
      <c r="Q1049" s="84"/>
      <c r="S1049" s="136"/>
      <c r="T1049" s="136"/>
      <c r="V1049" s="136"/>
    </row>
    <row r="1050" spans="1:22">
      <c r="A1050" s="71" t="s">
        <v>7968</v>
      </c>
      <c r="B1050" s="67" t="s">
        <v>7969</v>
      </c>
      <c r="C1050" s="71" t="s">
        <v>103</v>
      </c>
      <c r="D1050" s="78">
        <v>38.61</v>
      </c>
      <c r="E1050" s="663">
        <v>2</v>
      </c>
      <c r="H1050" s="178">
        <v>38.61</v>
      </c>
      <c r="J1050" s="294"/>
      <c r="K1050" s="295"/>
      <c r="L1050" s="72"/>
      <c r="M1050" s="133"/>
      <c r="N1050" s="72"/>
      <c r="O1050" s="224"/>
      <c r="P1050" s="219"/>
      <c r="Q1050" s="84"/>
      <c r="S1050" s="136"/>
      <c r="T1050" s="136"/>
      <c r="V1050" s="136"/>
    </row>
    <row r="1051" spans="1:22">
      <c r="A1051" s="71" t="s">
        <v>7970</v>
      </c>
      <c r="B1051" s="67" t="s">
        <v>7971</v>
      </c>
      <c r="C1051" s="71" t="s">
        <v>103</v>
      </c>
      <c r="D1051" s="78">
        <v>43.91</v>
      </c>
      <c r="E1051" s="663">
        <v>2</v>
      </c>
      <c r="H1051" s="178">
        <v>43.91</v>
      </c>
      <c r="J1051" s="294"/>
      <c r="K1051" s="295"/>
      <c r="L1051" s="72"/>
      <c r="M1051" s="133"/>
      <c r="N1051" s="72"/>
      <c r="O1051" s="224"/>
      <c r="P1051" s="219"/>
      <c r="Q1051" s="84"/>
      <c r="S1051" s="136"/>
      <c r="T1051" s="136"/>
      <c r="V1051" s="136"/>
    </row>
    <row r="1052" spans="1:22">
      <c r="A1052" s="71" t="s">
        <v>7972</v>
      </c>
      <c r="B1052" s="67" t="s">
        <v>7973</v>
      </c>
      <c r="C1052" s="71" t="s">
        <v>103</v>
      </c>
      <c r="D1052" s="78">
        <v>95.29</v>
      </c>
      <c r="E1052" s="663">
        <v>2</v>
      </c>
      <c r="H1052" s="178">
        <v>95.29</v>
      </c>
      <c r="J1052" s="294"/>
      <c r="K1052" s="295"/>
      <c r="L1052" s="72"/>
      <c r="M1052" s="133"/>
      <c r="N1052" s="72"/>
      <c r="O1052" s="224"/>
      <c r="P1052" s="219"/>
      <c r="Q1052" s="84"/>
      <c r="S1052" s="136"/>
      <c r="T1052" s="136"/>
      <c r="V1052" s="136"/>
    </row>
    <row r="1053" spans="1:22">
      <c r="A1053" s="71" t="s">
        <v>7974</v>
      </c>
      <c r="B1053" s="67" t="s">
        <v>7975</v>
      </c>
      <c r="C1053" s="71" t="s">
        <v>103</v>
      </c>
      <c r="D1053" s="78">
        <v>30.23</v>
      </c>
      <c r="E1053" s="663">
        <v>2</v>
      </c>
      <c r="H1053" s="178">
        <v>30.23</v>
      </c>
      <c r="J1053" s="294"/>
      <c r="K1053" s="295"/>
      <c r="L1053" s="72"/>
      <c r="M1053" s="133"/>
      <c r="N1053" s="72"/>
      <c r="O1053" s="224"/>
      <c r="P1053" s="219"/>
      <c r="Q1053" s="84"/>
      <c r="S1053" s="136"/>
      <c r="T1053" s="136"/>
      <c r="V1053" s="136"/>
    </row>
    <row r="1054" spans="1:22">
      <c r="A1054" s="71" t="s">
        <v>7976</v>
      </c>
      <c r="B1054" s="67" t="s">
        <v>7977</v>
      </c>
      <c r="C1054" s="71" t="s">
        <v>103</v>
      </c>
      <c r="D1054" s="78">
        <v>50.3</v>
      </c>
      <c r="E1054" s="663">
        <v>2</v>
      </c>
      <c r="H1054" s="178">
        <v>50.3</v>
      </c>
      <c r="J1054" s="294"/>
      <c r="K1054" s="295"/>
      <c r="L1054" s="72"/>
      <c r="M1054" s="133"/>
      <c r="N1054" s="72"/>
      <c r="O1054" s="224"/>
      <c r="P1054" s="219"/>
      <c r="Q1054" s="84"/>
      <c r="S1054" s="136"/>
      <c r="T1054" s="136"/>
      <c r="V1054" s="136"/>
    </row>
    <row r="1055" spans="1:22">
      <c r="A1055" s="71" t="s">
        <v>7978</v>
      </c>
      <c r="B1055" s="67" t="s">
        <v>7979</v>
      </c>
      <c r="C1055" s="71" t="s">
        <v>103</v>
      </c>
      <c r="D1055" s="78">
        <v>54.27</v>
      </c>
      <c r="E1055" s="663">
        <v>2</v>
      </c>
      <c r="H1055" s="178">
        <v>54.27</v>
      </c>
      <c r="J1055" s="294"/>
      <c r="K1055" s="295"/>
      <c r="L1055" s="72"/>
      <c r="M1055" s="133"/>
      <c r="N1055" s="72"/>
      <c r="O1055" s="224"/>
      <c r="P1055" s="219"/>
      <c r="Q1055" s="84"/>
      <c r="S1055" s="136"/>
      <c r="T1055" s="136"/>
      <c r="V1055" s="136"/>
    </row>
    <row r="1056" spans="1:22">
      <c r="A1056" s="71" t="s">
        <v>7980</v>
      </c>
      <c r="B1056" s="67" t="s">
        <v>7981</v>
      </c>
      <c r="C1056" s="71" t="s">
        <v>103</v>
      </c>
      <c r="D1056" s="78">
        <v>29.03</v>
      </c>
      <c r="E1056" s="663">
        <v>2</v>
      </c>
      <c r="H1056" s="178">
        <v>29.03</v>
      </c>
      <c r="J1056" s="294"/>
      <c r="K1056" s="295"/>
      <c r="L1056" s="72"/>
      <c r="M1056" s="133"/>
      <c r="N1056" s="72"/>
      <c r="O1056" s="224"/>
      <c r="P1056" s="219"/>
      <c r="Q1056" s="84"/>
      <c r="S1056" s="136"/>
      <c r="T1056" s="136"/>
      <c r="V1056" s="136"/>
    </row>
    <row r="1057" spans="1:22">
      <c r="A1057" s="71" t="s">
        <v>7982</v>
      </c>
      <c r="B1057" s="67" t="s">
        <v>7983</v>
      </c>
      <c r="C1057" s="71" t="s">
        <v>103</v>
      </c>
      <c r="D1057" s="78">
        <v>104.04</v>
      </c>
      <c r="E1057" s="663">
        <v>2</v>
      </c>
      <c r="H1057" s="178">
        <v>104.04</v>
      </c>
      <c r="J1057" s="294"/>
      <c r="K1057" s="295"/>
      <c r="L1057" s="72"/>
      <c r="M1057" s="133"/>
      <c r="N1057" s="72"/>
      <c r="O1057" s="224"/>
      <c r="P1057" s="219"/>
      <c r="Q1057" s="84"/>
      <c r="S1057" s="136"/>
      <c r="T1057" s="136"/>
      <c r="V1057" s="136"/>
    </row>
    <row r="1058" spans="1:22">
      <c r="A1058" s="71" t="s">
        <v>7984</v>
      </c>
      <c r="B1058" s="67" t="s">
        <v>7985</v>
      </c>
      <c r="C1058" s="71" t="s">
        <v>103</v>
      </c>
      <c r="D1058" s="78">
        <v>94.21</v>
      </c>
      <c r="E1058" s="663">
        <v>2</v>
      </c>
      <c r="H1058" s="178">
        <v>94.21</v>
      </c>
      <c r="J1058" s="294"/>
      <c r="K1058" s="295"/>
      <c r="L1058" s="72"/>
      <c r="M1058" s="133"/>
      <c r="N1058" s="72"/>
      <c r="O1058" s="224"/>
      <c r="P1058" s="219"/>
      <c r="Q1058" s="84"/>
      <c r="S1058" s="136"/>
      <c r="T1058" s="136"/>
      <c r="V1058" s="136"/>
    </row>
    <row r="1059" spans="1:22">
      <c r="A1059" s="71" t="s">
        <v>7986</v>
      </c>
      <c r="B1059" s="67" t="s">
        <v>7987</v>
      </c>
      <c r="C1059" s="71" t="s">
        <v>103</v>
      </c>
      <c r="D1059" s="78">
        <v>98.51</v>
      </c>
      <c r="E1059" s="663">
        <v>2</v>
      </c>
      <c r="H1059" s="178">
        <v>98.51</v>
      </c>
      <c r="J1059" s="294"/>
      <c r="K1059" s="295"/>
      <c r="L1059" s="72"/>
      <c r="M1059" s="133"/>
      <c r="N1059" s="72"/>
      <c r="O1059" s="224"/>
      <c r="P1059" s="219"/>
      <c r="Q1059" s="84"/>
      <c r="S1059" s="136"/>
      <c r="T1059" s="136"/>
      <c r="V1059" s="136"/>
    </row>
    <row r="1060" spans="1:22">
      <c r="A1060" s="71" t="s">
        <v>7988</v>
      </c>
      <c r="B1060" s="67" t="s">
        <v>7989</v>
      </c>
      <c r="C1060" s="71" t="s">
        <v>103</v>
      </c>
      <c r="D1060" s="78">
        <v>107.92</v>
      </c>
      <c r="E1060" s="663">
        <v>2</v>
      </c>
      <c r="H1060" s="178">
        <v>107.92</v>
      </c>
      <c r="J1060" s="294"/>
      <c r="K1060" s="295"/>
      <c r="L1060" s="72"/>
      <c r="M1060" s="133"/>
      <c r="N1060" s="72"/>
      <c r="O1060" s="224"/>
      <c r="P1060" s="219"/>
      <c r="Q1060" s="84"/>
      <c r="S1060" s="136"/>
      <c r="T1060" s="136"/>
      <c r="V1060" s="136"/>
    </row>
    <row r="1061" spans="1:22">
      <c r="A1061" s="71" t="s">
        <v>7990</v>
      </c>
      <c r="B1061" s="67" t="s">
        <v>7991</v>
      </c>
      <c r="C1061" s="71" t="s">
        <v>103</v>
      </c>
      <c r="D1061" s="78">
        <v>252.3</v>
      </c>
      <c r="E1061" s="663">
        <v>2</v>
      </c>
      <c r="H1061" s="178">
        <v>252.3</v>
      </c>
      <c r="J1061" s="294"/>
      <c r="K1061" s="295"/>
      <c r="L1061" s="72"/>
      <c r="M1061" s="133"/>
      <c r="N1061" s="72"/>
      <c r="O1061" s="224"/>
      <c r="P1061" s="219"/>
      <c r="Q1061" s="84"/>
      <c r="S1061" s="136"/>
      <c r="T1061" s="136"/>
      <c r="V1061" s="136"/>
    </row>
    <row r="1062" spans="1:22">
      <c r="A1062" s="71" t="s">
        <v>7992</v>
      </c>
      <c r="B1062" s="67" t="s">
        <v>7993</v>
      </c>
      <c r="C1062" s="71" t="s">
        <v>103</v>
      </c>
      <c r="D1062" s="78">
        <v>131.68</v>
      </c>
      <c r="E1062" s="663">
        <v>2</v>
      </c>
      <c r="H1062" s="178">
        <v>131.68</v>
      </c>
      <c r="J1062" s="294"/>
      <c r="K1062" s="295"/>
      <c r="L1062" s="72"/>
      <c r="M1062" s="133"/>
      <c r="N1062" s="72"/>
      <c r="O1062" s="224"/>
      <c r="P1062" s="219"/>
      <c r="Q1062" s="84"/>
      <c r="S1062" s="136"/>
      <c r="T1062" s="136"/>
      <c r="V1062" s="136"/>
    </row>
    <row r="1063" spans="1:22">
      <c r="A1063" s="71" t="s">
        <v>7994</v>
      </c>
      <c r="B1063" s="67" t="s">
        <v>7995</v>
      </c>
      <c r="C1063" s="71" t="s">
        <v>103</v>
      </c>
      <c r="D1063" s="78">
        <v>194.16</v>
      </c>
      <c r="E1063" s="663">
        <v>2</v>
      </c>
      <c r="H1063" s="178">
        <v>194.16</v>
      </c>
      <c r="J1063" s="294"/>
      <c r="K1063" s="295"/>
      <c r="L1063" s="72"/>
      <c r="M1063" s="133"/>
      <c r="N1063" s="72"/>
      <c r="O1063" s="224"/>
      <c r="P1063" s="219"/>
      <c r="Q1063" s="84"/>
      <c r="S1063" s="136"/>
      <c r="T1063" s="136"/>
      <c r="V1063" s="136"/>
    </row>
    <row r="1064" spans="1:22">
      <c r="A1064" s="71" t="s">
        <v>7996</v>
      </c>
      <c r="B1064" s="67" t="s">
        <v>7997</v>
      </c>
      <c r="C1064" s="71" t="s">
        <v>103</v>
      </c>
      <c r="D1064" s="78">
        <v>60.85</v>
      </c>
      <c r="E1064" s="663">
        <v>2</v>
      </c>
      <c r="H1064" s="178">
        <v>60.85</v>
      </c>
      <c r="J1064" s="294"/>
      <c r="K1064" s="295"/>
      <c r="L1064" s="72"/>
      <c r="M1064" s="133"/>
      <c r="N1064" s="72"/>
      <c r="O1064" s="224"/>
      <c r="P1064" s="219"/>
      <c r="Q1064" s="84"/>
      <c r="S1064" s="136"/>
      <c r="T1064" s="136"/>
      <c r="V1064" s="136"/>
    </row>
    <row r="1065" spans="1:22">
      <c r="A1065" s="71" t="s">
        <v>7998</v>
      </c>
      <c r="B1065" s="67" t="s">
        <v>7999</v>
      </c>
      <c r="C1065" s="71" t="s">
        <v>103</v>
      </c>
      <c r="D1065" s="78">
        <v>270.89</v>
      </c>
      <c r="E1065" s="663">
        <v>2</v>
      </c>
      <c r="H1065" s="178">
        <v>270.89</v>
      </c>
      <c r="J1065" s="294"/>
      <c r="K1065" s="295"/>
      <c r="L1065" s="72"/>
      <c r="M1065" s="133"/>
      <c r="N1065" s="72"/>
      <c r="O1065" s="224"/>
      <c r="P1065" s="219"/>
      <c r="Q1065" s="84"/>
      <c r="S1065" s="136"/>
      <c r="T1065" s="136"/>
      <c r="V1065" s="136"/>
    </row>
    <row r="1066" spans="1:22">
      <c r="A1066" s="71" t="s">
        <v>8000</v>
      </c>
      <c r="B1066" s="67" t="s">
        <v>8001</v>
      </c>
      <c r="C1066" s="71" t="s">
        <v>103</v>
      </c>
      <c r="D1066" s="78">
        <v>188.3</v>
      </c>
      <c r="E1066" s="663">
        <v>2</v>
      </c>
      <c r="H1066" s="178">
        <v>188.3</v>
      </c>
      <c r="J1066" s="294"/>
      <c r="K1066" s="295"/>
      <c r="L1066" s="72"/>
      <c r="M1066" s="133"/>
      <c r="N1066" s="72"/>
      <c r="O1066" s="224"/>
      <c r="P1066" s="219"/>
      <c r="Q1066" s="84"/>
      <c r="S1066" s="136"/>
      <c r="T1066" s="136"/>
      <c r="V1066" s="136"/>
    </row>
    <row r="1067" spans="1:22">
      <c r="A1067" s="71" t="s">
        <v>8002</v>
      </c>
      <c r="B1067" s="67" t="s">
        <v>8003</v>
      </c>
      <c r="C1067" s="71" t="s">
        <v>103</v>
      </c>
      <c r="D1067" s="78">
        <v>173.51</v>
      </c>
      <c r="E1067" s="663">
        <v>2</v>
      </c>
      <c r="H1067" s="178">
        <v>173.51</v>
      </c>
      <c r="J1067" s="294"/>
      <c r="K1067" s="295"/>
      <c r="L1067" s="72"/>
      <c r="M1067" s="133"/>
      <c r="N1067" s="72"/>
      <c r="O1067" s="224"/>
      <c r="P1067" s="219"/>
      <c r="Q1067" s="84"/>
      <c r="S1067" s="136"/>
      <c r="T1067" s="136"/>
      <c r="V1067" s="136"/>
    </row>
    <row r="1068" spans="1:22">
      <c r="A1068" s="71" t="s">
        <v>8004</v>
      </c>
      <c r="B1068" s="67" t="s">
        <v>8005</v>
      </c>
      <c r="C1068" s="71" t="s">
        <v>103</v>
      </c>
      <c r="D1068" s="78">
        <v>160.19</v>
      </c>
      <c r="E1068" s="663">
        <v>2</v>
      </c>
      <c r="H1068" s="178">
        <v>160.19</v>
      </c>
      <c r="J1068" s="294"/>
      <c r="K1068" s="295"/>
      <c r="L1068" s="72"/>
      <c r="M1068" s="133"/>
      <c r="N1068" s="72"/>
      <c r="O1068" s="224"/>
      <c r="P1068" s="219"/>
      <c r="Q1068" s="84"/>
      <c r="S1068" s="136"/>
      <c r="T1068" s="136"/>
      <c r="V1068" s="136"/>
    </row>
    <row r="1069" spans="1:22">
      <c r="A1069" s="71" t="s">
        <v>8006</v>
      </c>
      <c r="B1069" s="67" t="s">
        <v>8007</v>
      </c>
      <c r="C1069" s="71" t="s">
        <v>103</v>
      </c>
      <c r="D1069" s="78">
        <v>229.73</v>
      </c>
      <c r="E1069" s="663">
        <v>2</v>
      </c>
      <c r="H1069" s="178">
        <v>229.73</v>
      </c>
      <c r="J1069" s="294"/>
      <c r="K1069" s="295"/>
      <c r="L1069" s="72"/>
      <c r="M1069" s="133"/>
      <c r="N1069" s="72"/>
      <c r="O1069" s="224"/>
      <c r="P1069" s="219"/>
      <c r="Q1069" s="84"/>
      <c r="S1069" s="136"/>
      <c r="T1069" s="136"/>
      <c r="V1069" s="136"/>
    </row>
    <row r="1070" spans="1:22">
      <c r="A1070" s="71" t="s">
        <v>8008</v>
      </c>
      <c r="B1070" s="67" t="s">
        <v>8009</v>
      </c>
      <c r="C1070" s="71" t="s">
        <v>103</v>
      </c>
      <c r="D1070" s="78">
        <v>112.84</v>
      </c>
      <c r="E1070" s="663">
        <v>2</v>
      </c>
      <c r="H1070" s="178">
        <v>112.84</v>
      </c>
      <c r="J1070" s="294"/>
      <c r="K1070" s="295"/>
      <c r="L1070" s="72"/>
      <c r="M1070" s="133"/>
      <c r="N1070" s="72"/>
      <c r="O1070" s="224"/>
      <c r="P1070" s="219"/>
      <c r="Q1070" s="84"/>
      <c r="S1070" s="136"/>
      <c r="T1070" s="136"/>
      <c r="V1070" s="136"/>
    </row>
    <row r="1071" spans="1:22">
      <c r="A1071" s="71" t="s">
        <v>8010</v>
      </c>
      <c r="B1071" s="67" t="s">
        <v>8011</v>
      </c>
      <c r="C1071" s="71" t="s">
        <v>103</v>
      </c>
      <c r="D1071" s="78">
        <v>83.99</v>
      </c>
      <c r="E1071" s="663">
        <v>2</v>
      </c>
      <c r="H1071" s="178">
        <v>83.99</v>
      </c>
      <c r="J1071" s="294"/>
      <c r="K1071" s="295"/>
      <c r="L1071" s="72"/>
      <c r="M1071" s="133"/>
      <c r="N1071" s="72"/>
      <c r="O1071" s="224"/>
      <c r="P1071" s="219"/>
      <c r="Q1071" s="84"/>
      <c r="S1071" s="136"/>
      <c r="T1071" s="136"/>
      <c r="V1071" s="136"/>
    </row>
    <row r="1072" spans="1:22">
      <c r="A1072" s="71" t="s">
        <v>8012</v>
      </c>
      <c r="B1072" s="67" t="s">
        <v>8013</v>
      </c>
      <c r="C1072" s="71" t="s">
        <v>103</v>
      </c>
      <c r="D1072" s="78">
        <v>186.91</v>
      </c>
      <c r="E1072" s="663">
        <v>2</v>
      </c>
      <c r="H1072" s="178">
        <v>186.91</v>
      </c>
      <c r="J1072" s="294"/>
      <c r="K1072" s="295"/>
      <c r="L1072" s="72"/>
      <c r="M1072" s="133"/>
      <c r="N1072" s="72"/>
      <c r="O1072" s="224"/>
      <c r="P1072" s="219"/>
      <c r="Q1072" s="84"/>
      <c r="S1072" s="136"/>
      <c r="T1072" s="136"/>
      <c r="V1072" s="136"/>
    </row>
    <row r="1073" spans="1:22">
      <c r="A1073" s="71" t="s">
        <v>8014</v>
      </c>
      <c r="B1073" s="67" t="s">
        <v>8015</v>
      </c>
      <c r="C1073" s="71" t="s">
        <v>103</v>
      </c>
      <c r="D1073" s="78">
        <v>83.34</v>
      </c>
      <c r="E1073" s="663">
        <v>2</v>
      </c>
      <c r="H1073" s="178">
        <v>83.34</v>
      </c>
      <c r="J1073" s="294"/>
      <c r="K1073" s="295"/>
      <c r="L1073" s="72"/>
      <c r="M1073" s="133"/>
      <c r="N1073" s="72"/>
      <c r="O1073" s="224"/>
      <c r="P1073" s="219"/>
      <c r="Q1073" s="84"/>
      <c r="S1073" s="136"/>
      <c r="T1073" s="136"/>
      <c r="V1073" s="136"/>
    </row>
    <row r="1074" spans="1:22">
      <c r="A1074" s="71" t="s">
        <v>8016</v>
      </c>
      <c r="B1074" s="67" t="s">
        <v>8017</v>
      </c>
      <c r="C1074" s="71" t="s">
        <v>103</v>
      </c>
      <c r="D1074" s="78">
        <v>94.8</v>
      </c>
      <c r="E1074" s="663">
        <v>2</v>
      </c>
      <c r="H1074" s="178">
        <v>94.8</v>
      </c>
      <c r="J1074" s="294"/>
      <c r="K1074" s="295"/>
      <c r="L1074" s="72"/>
      <c r="M1074" s="133"/>
      <c r="N1074" s="72"/>
      <c r="O1074" s="224"/>
      <c r="P1074" s="219"/>
      <c r="Q1074" s="84"/>
      <c r="S1074" s="136"/>
      <c r="T1074" s="136"/>
      <c r="V1074" s="136"/>
    </row>
    <row r="1075" spans="1:22">
      <c r="A1075" s="71" t="s">
        <v>8018</v>
      </c>
      <c r="B1075" s="67" t="s">
        <v>8019</v>
      </c>
      <c r="C1075" s="71" t="s">
        <v>103</v>
      </c>
      <c r="D1075" s="78">
        <v>98.26</v>
      </c>
      <c r="E1075" s="663">
        <v>2</v>
      </c>
      <c r="H1075" s="178">
        <v>98.26</v>
      </c>
      <c r="J1075" s="294"/>
      <c r="K1075" s="295"/>
      <c r="L1075" s="72"/>
      <c r="M1075" s="133"/>
      <c r="N1075" s="72"/>
      <c r="O1075" s="224"/>
      <c r="P1075" s="219"/>
      <c r="Q1075" s="84"/>
      <c r="S1075" s="136"/>
      <c r="T1075" s="136"/>
      <c r="V1075" s="136"/>
    </row>
    <row r="1076" spans="1:22">
      <c r="A1076" s="71" t="s">
        <v>8020</v>
      </c>
      <c r="B1076" s="67" t="s">
        <v>8021</v>
      </c>
      <c r="C1076" s="71" t="s">
        <v>103</v>
      </c>
      <c r="D1076" s="78">
        <v>404.82</v>
      </c>
      <c r="E1076" s="663">
        <v>2</v>
      </c>
      <c r="H1076" s="178">
        <v>404.82</v>
      </c>
      <c r="J1076" s="294"/>
      <c r="K1076" s="295"/>
      <c r="L1076" s="72"/>
      <c r="M1076" s="133"/>
      <c r="N1076" s="72"/>
      <c r="O1076" s="224"/>
      <c r="P1076" s="219"/>
      <c r="Q1076" s="84"/>
      <c r="S1076" s="136"/>
      <c r="T1076" s="136"/>
      <c r="V1076" s="136"/>
    </row>
    <row r="1077" spans="1:22">
      <c r="A1077" s="71" t="s">
        <v>8022</v>
      </c>
      <c r="B1077" s="67" t="s">
        <v>8023</v>
      </c>
      <c r="C1077" s="71" t="s">
        <v>103</v>
      </c>
      <c r="D1077" s="78">
        <v>86.82</v>
      </c>
      <c r="E1077" s="663">
        <v>2</v>
      </c>
      <c r="H1077" s="178">
        <v>86.82</v>
      </c>
      <c r="J1077" s="294"/>
      <c r="K1077" s="295"/>
      <c r="L1077" s="72"/>
      <c r="M1077" s="133"/>
      <c r="N1077" s="72"/>
      <c r="O1077" s="224"/>
      <c r="P1077" s="219"/>
      <c r="Q1077" s="84"/>
      <c r="S1077" s="136"/>
      <c r="T1077" s="136"/>
      <c r="V1077" s="136"/>
    </row>
    <row r="1078" spans="1:22">
      <c r="A1078" s="71" t="s">
        <v>8024</v>
      </c>
      <c r="B1078" s="67" t="s">
        <v>8025</v>
      </c>
      <c r="C1078" s="71" t="s">
        <v>103</v>
      </c>
      <c r="D1078" s="78">
        <v>112.78</v>
      </c>
      <c r="E1078" s="663">
        <v>2</v>
      </c>
      <c r="H1078" s="178">
        <v>112.78</v>
      </c>
      <c r="J1078" s="294"/>
      <c r="K1078" s="295"/>
      <c r="L1078" s="72"/>
      <c r="M1078" s="133"/>
      <c r="N1078" s="72"/>
      <c r="O1078" s="224"/>
      <c r="P1078" s="219"/>
      <c r="Q1078" s="84"/>
      <c r="S1078" s="136"/>
      <c r="T1078" s="136"/>
      <c r="V1078" s="136"/>
    </row>
    <row r="1079" spans="1:22">
      <c r="A1079" s="71" t="s">
        <v>8026</v>
      </c>
      <c r="B1079" s="67" t="s">
        <v>8027</v>
      </c>
      <c r="C1079" s="71" t="s">
        <v>103</v>
      </c>
      <c r="D1079" s="78">
        <v>390.25</v>
      </c>
      <c r="E1079" s="663">
        <v>2</v>
      </c>
      <c r="H1079" s="178">
        <v>390.25</v>
      </c>
      <c r="J1079" s="294"/>
      <c r="K1079" s="295"/>
      <c r="L1079" s="72"/>
      <c r="M1079" s="133"/>
      <c r="N1079" s="72"/>
      <c r="O1079" s="224"/>
      <c r="P1079" s="219"/>
      <c r="Q1079" s="84"/>
      <c r="S1079" s="136"/>
      <c r="T1079" s="136"/>
      <c r="V1079" s="136"/>
    </row>
    <row r="1080" spans="1:22">
      <c r="A1080" s="71" t="s">
        <v>8028</v>
      </c>
      <c r="B1080" s="67" t="s">
        <v>8029</v>
      </c>
      <c r="C1080" s="71" t="s">
        <v>103</v>
      </c>
      <c r="D1080" s="78">
        <v>106.58</v>
      </c>
      <c r="E1080" s="663">
        <v>2</v>
      </c>
      <c r="H1080" s="178">
        <v>106.58</v>
      </c>
      <c r="J1080" s="294"/>
      <c r="K1080" s="295"/>
      <c r="L1080" s="72"/>
      <c r="M1080" s="133"/>
      <c r="N1080" s="72"/>
      <c r="O1080" s="224"/>
      <c r="P1080" s="219"/>
      <c r="Q1080" s="84"/>
      <c r="S1080" s="136"/>
      <c r="T1080" s="136"/>
      <c r="V1080" s="136"/>
    </row>
    <row r="1081" spans="1:22">
      <c r="A1081" s="71" t="s">
        <v>8030</v>
      </c>
      <c r="B1081" s="67" t="s">
        <v>8031</v>
      </c>
      <c r="C1081" s="71" t="s">
        <v>103</v>
      </c>
      <c r="D1081" s="78">
        <v>359.89</v>
      </c>
      <c r="E1081" s="663">
        <v>2</v>
      </c>
      <c r="H1081" s="178">
        <v>359.89</v>
      </c>
      <c r="J1081" s="294"/>
      <c r="K1081" s="295"/>
      <c r="L1081" s="72"/>
      <c r="M1081" s="133"/>
      <c r="N1081" s="72"/>
      <c r="O1081" s="224"/>
      <c r="P1081" s="219"/>
      <c r="Q1081" s="84"/>
      <c r="S1081" s="136"/>
      <c r="T1081" s="136"/>
      <c r="V1081" s="136"/>
    </row>
    <row r="1082" spans="1:22">
      <c r="A1082" s="71" t="s">
        <v>8032</v>
      </c>
      <c r="B1082" s="67" t="s">
        <v>8033</v>
      </c>
      <c r="C1082" s="71" t="s">
        <v>103</v>
      </c>
      <c r="D1082" s="78">
        <v>54.63</v>
      </c>
      <c r="E1082" s="663">
        <v>2</v>
      </c>
      <c r="H1082" s="178">
        <v>54.63</v>
      </c>
      <c r="J1082" s="294"/>
      <c r="K1082" s="295"/>
      <c r="L1082" s="72"/>
      <c r="M1082" s="133"/>
      <c r="N1082" s="72"/>
      <c r="O1082" s="224"/>
      <c r="P1082" s="219"/>
      <c r="Q1082" s="84"/>
      <c r="S1082" s="136"/>
      <c r="T1082" s="136"/>
      <c r="V1082" s="136"/>
    </row>
    <row r="1083" spans="1:22">
      <c r="A1083" s="71" t="s">
        <v>8034</v>
      </c>
      <c r="B1083" s="67" t="s">
        <v>8035</v>
      </c>
      <c r="C1083" s="71" t="s">
        <v>103</v>
      </c>
      <c r="D1083" s="78">
        <v>49.58</v>
      </c>
      <c r="E1083" s="663">
        <v>2</v>
      </c>
      <c r="H1083" s="178">
        <v>49.58</v>
      </c>
      <c r="J1083" s="294"/>
      <c r="K1083" s="295"/>
      <c r="L1083" s="72"/>
      <c r="M1083" s="133"/>
      <c r="N1083" s="72"/>
      <c r="O1083" s="224"/>
      <c r="P1083" s="219"/>
      <c r="Q1083" s="84"/>
      <c r="S1083" s="136"/>
      <c r="T1083" s="136"/>
      <c r="V1083" s="136"/>
    </row>
    <row r="1084" spans="1:22">
      <c r="A1084" s="71" t="s">
        <v>8036</v>
      </c>
      <c r="B1084" s="67" t="s">
        <v>8037</v>
      </c>
      <c r="C1084" s="71" t="s">
        <v>103</v>
      </c>
      <c r="D1084" s="78">
        <v>66.06</v>
      </c>
      <c r="E1084" s="663">
        <v>2</v>
      </c>
      <c r="H1084" s="178">
        <v>66.06</v>
      </c>
      <c r="J1084" s="294"/>
      <c r="K1084" s="295"/>
      <c r="L1084" s="72"/>
      <c r="M1084" s="133"/>
      <c r="N1084" s="72"/>
      <c r="O1084" s="224"/>
      <c r="P1084" s="219"/>
      <c r="Q1084" s="84"/>
      <c r="S1084" s="136"/>
      <c r="T1084" s="136"/>
      <c r="V1084" s="136"/>
    </row>
    <row r="1085" spans="1:22">
      <c r="A1085" s="71" t="s">
        <v>8038</v>
      </c>
      <c r="B1085" s="67" t="s">
        <v>8039</v>
      </c>
      <c r="C1085" s="71" t="s">
        <v>103</v>
      </c>
      <c r="D1085" s="78">
        <v>270.67</v>
      </c>
      <c r="E1085" s="663">
        <v>2</v>
      </c>
      <c r="H1085" s="178">
        <v>270.67</v>
      </c>
      <c r="J1085" s="294"/>
      <c r="K1085" s="295"/>
      <c r="L1085" s="72"/>
      <c r="M1085" s="133"/>
      <c r="N1085" s="72"/>
      <c r="O1085" s="224"/>
      <c r="P1085" s="219"/>
      <c r="Q1085" s="84"/>
      <c r="S1085" s="136"/>
      <c r="T1085" s="136"/>
      <c r="V1085" s="136"/>
    </row>
    <row r="1086" spans="1:22">
      <c r="A1086" s="71" t="s">
        <v>8040</v>
      </c>
      <c r="B1086" s="67" t="s">
        <v>8041</v>
      </c>
      <c r="C1086" s="71" t="s">
        <v>103</v>
      </c>
      <c r="D1086" s="78">
        <v>188.71</v>
      </c>
      <c r="E1086" s="663">
        <v>2</v>
      </c>
      <c r="H1086" s="178">
        <v>188.71</v>
      </c>
      <c r="J1086" s="294"/>
      <c r="K1086" s="295"/>
      <c r="L1086" s="72"/>
      <c r="M1086" s="133"/>
      <c r="N1086" s="72"/>
      <c r="O1086" s="224"/>
      <c r="P1086" s="219"/>
      <c r="Q1086" s="84"/>
      <c r="S1086" s="136"/>
      <c r="T1086" s="136"/>
      <c r="V1086" s="136"/>
    </row>
    <row r="1087" spans="1:22">
      <c r="A1087" s="71" t="s">
        <v>8042</v>
      </c>
      <c r="B1087" s="67" t="s">
        <v>8043</v>
      </c>
      <c r="C1087" s="71" t="s">
        <v>103</v>
      </c>
      <c r="D1087" s="78">
        <v>154.21</v>
      </c>
      <c r="E1087" s="663">
        <v>2</v>
      </c>
      <c r="H1087" s="178">
        <v>154.21</v>
      </c>
      <c r="J1087" s="294"/>
      <c r="K1087" s="295"/>
      <c r="L1087" s="72"/>
      <c r="M1087" s="133"/>
      <c r="N1087" s="72"/>
      <c r="O1087" s="224"/>
      <c r="P1087" s="219"/>
      <c r="Q1087" s="84"/>
      <c r="S1087" s="136"/>
      <c r="T1087" s="136"/>
      <c r="V1087" s="136"/>
    </row>
    <row r="1088" spans="1:22">
      <c r="A1088" s="71" t="s">
        <v>8044</v>
      </c>
      <c r="B1088" s="67" t="s">
        <v>8045</v>
      </c>
      <c r="C1088" s="71" t="s">
        <v>103</v>
      </c>
      <c r="D1088" s="78">
        <v>169.99</v>
      </c>
      <c r="E1088" s="663">
        <v>2</v>
      </c>
      <c r="H1088" s="178">
        <v>169.99</v>
      </c>
      <c r="J1088" s="294"/>
      <c r="K1088" s="295"/>
      <c r="L1088" s="72"/>
      <c r="M1088" s="133"/>
      <c r="N1088" s="72"/>
      <c r="O1088" s="224"/>
      <c r="P1088" s="219"/>
      <c r="Q1088" s="84"/>
      <c r="S1088" s="136"/>
      <c r="T1088" s="136"/>
      <c r="V1088" s="136"/>
    </row>
    <row r="1089" spans="1:22">
      <c r="A1089" s="71" t="s">
        <v>8046</v>
      </c>
      <c r="B1089" s="67" t="s">
        <v>8047</v>
      </c>
      <c r="C1089" s="71" t="s">
        <v>103</v>
      </c>
      <c r="D1089" s="78">
        <v>148</v>
      </c>
      <c r="E1089" s="663">
        <v>2</v>
      </c>
      <c r="H1089" s="178">
        <v>148</v>
      </c>
      <c r="J1089" s="294"/>
      <c r="K1089" s="295"/>
      <c r="L1089" s="72"/>
      <c r="M1089" s="133"/>
      <c r="N1089" s="72"/>
      <c r="O1089" s="224"/>
      <c r="P1089" s="219"/>
      <c r="Q1089" s="84"/>
      <c r="S1089" s="136"/>
      <c r="T1089" s="136"/>
      <c r="V1089" s="136"/>
    </row>
    <row r="1090" spans="1:22">
      <c r="A1090" s="71" t="s">
        <v>8048</v>
      </c>
      <c r="B1090" s="67" t="s">
        <v>8049</v>
      </c>
      <c r="C1090" s="71" t="s">
        <v>103</v>
      </c>
      <c r="D1090" s="78">
        <v>172.25</v>
      </c>
      <c r="E1090" s="663">
        <v>2</v>
      </c>
      <c r="H1090" s="178">
        <v>172.25</v>
      </c>
      <c r="J1090" s="294"/>
      <c r="K1090" s="295"/>
      <c r="L1090" s="72"/>
      <c r="M1090" s="133"/>
      <c r="N1090" s="72"/>
      <c r="O1090" s="224"/>
      <c r="P1090" s="219"/>
      <c r="Q1090" s="84"/>
      <c r="S1090" s="136"/>
      <c r="T1090" s="136"/>
      <c r="V1090" s="136"/>
    </row>
    <row r="1091" spans="1:22">
      <c r="A1091" s="71" t="s">
        <v>8050</v>
      </c>
      <c r="B1091" s="67" t="s">
        <v>8051</v>
      </c>
      <c r="C1091" s="71" t="s">
        <v>103</v>
      </c>
      <c r="D1091" s="78">
        <v>213.13</v>
      </c>
      <c r="E1091" s="663">
        <v>2</v>
      </c>
      <c r="H1091" s="178">
        <v>213.13</v>
      </c>
      <c r="J1091" s="294"/>
      <c r="K1091" s="295"/>
      <c r="L1091" s="72"/>
      <c r="M1091" s="133"/>
      <c r="N1091" s="72"/>
      <c r="O1091" s="224"/>
      <c r="P1091" s="219"/>
      <c r="Q1091" s="84"/>
      <c r="S1091" s="136"/>
      <c r="T1091" s="136"/>
      <c r="V1091" s="136"/>
    </row>
    <row r="1092" spans="1:22">
      <c r="A1092" s="71" t="s">
        <v>8052</v>
      </c>
      <c r="B1092" s="67" t="s">
        <v>8053</v>
      </c>
      <c r="C1092" s="71" t="s">
        <v>103</v>
      </c>
      <c r="D1092" s="78">
        <v>125.93</v>
      </c>
      <c r="E1092" s="663">
        <v>2</v>
      </c>
      <c r="H1092" s="178">
        <v>125.93</v>
      </c>
      <c r="J1092" s="294"/>
      <c r="K1092" s="295"/>
      <c r="L1092" s="72"/>
      <c r="M1092" s="133"/>
      <c r="N1092" s="72"/>
      <c r="O1092" s="224"/>
      <c r="P1092" s="219"/>
      <c r="Q1092" s="84"/>
      <c r="S1092" s="136"/>
      <c r="T1092" s="136"/>
      <c r="V1092" s="136"/>
    </row>
    <row r="1093" spans="1:22">
      <c r="A1093" s="71" t="s">
        <v>8054</v>
      </c>
      <c r="B1093" s="67" t="s">
        <v>8055</v>
      </c>
      <c r="C1093" s="71" t="s">
        <v>103</v>
      </c>
      <c r="D1093" s="78">
        <v>178.65</v>
      </c>
      <c r="E1093" s="663">
        <v>2</v>
      </c>
      <c r="H1093" s="178">
        <v>178.65</v>
      </c>
      <c r="J1093" s="294"/>
      <c r="K1093" s="295"/>
      <c r="L1093" s="72"/>
      <c r="M1093" s="133"/>
      <c r="N1093" s="72"/>
      <c r="O1093" s="224"/>
      <c r="P1093" s="219"/>
      <c r="Q1093" s="84"/>
      <c r="S1093" s="136"/>
      <c r="T1093" s="136"/>
      <c r="V1093" s="136"/>
    </row>
    <row r="1094" spans="1:22">
      <c r="A1094" s="71" t="s">
        <v>8056</v>
      </c>
      <c r="B1094" s="67" t="s">
        <v>8057</v>
      </c>
      <c r="C1094" s="71" t="s">
        <v>103</v>
      </c>
      <c r="D1094" s="78">
        <v>253.76</v>
      </c>
      <c r="E1094" s="663">
        <v>2</v>
      </c>
      <c r="H1094" s="178">
        <v>253.76</v>
      </c>
      <c r="J1094" s="294"/>
      <c r="K1094" s="295"/>
      <c r="L1094" s="72"/>
      <c r="M1094" s="133"/>
      <c r="N1094" s="72"/>
      <c r="O1094" s="224"/>
      <c r="P1094" s="219"/>
      <c r="Q1094" s="84"/>
      <c r="S1094" s="136"/>
      <c r="T1094" s="136"/>
      <c r="V1094" s="136"/>
    </row>
    <row r="1095" spans="1:22">
      <c r="A1095" s="71" t="s">
        <v>8058</v>
      </c>
      <c r="B1095" s="67" t="s">
        <v>8059</v>
      </c>
      <c r="C1095" s="71" t="s">
        <v>103</v>
      </c>
      <c r="D1095" s="78">
        <v>144.05000000000001</v>
      </c>
      <c r="E1095" s="663">
        <v>2</v>
      </c>
      <c r="H1095" s="178">
        <v>144.05000000000001</v>
      </c>
      <c r="J1095" s="294"/>
      <c r="K1095" s="295"/>
      <c r="L1095" s="72"/>
      <c r="M1095" s="133"/>
      <c r="N1095" s="72"/>
      <c r="O1095" s="224"/>
      <c r="P1095" s="219"/>
      <c r="Q1095" s="84"/>
      <c r="S1095" s="136"/>
      <c r="T1095" s="136"/>
      <c r="V1095" s="136"/>
    </row>
    <row r="1096" spans="1:22">
      <c r="A1096" s="71" t="s">
        <v>8060</v>
      </c>
      <c r="B1096" s="67" t="s">
        <v>8061</v>
      </c>
      <c r="C1096" s="71" t="s">
        <v>103</v>
      </c>
      <c r="D1096" s="78">
        <v>207.11</v>
      </c>
      <c r="E1096" s="663">
        <v>2</v>
      </c>
      <c r="H1096" s="178">
        <v>207.11</v>
      </c>
      <c r="J1096" s="294"/>
      <c r="K1096" s="295"/>
      <c r="L1096" s="72"/>
      <c r="M1096" s="133"/>
      <c r="N1096" s="72"/>
      <c r="O1096" s="224"/>
      <c r="P1096" s="219"/>
      <c r="Q1096" s="84"/>
      <c r="S1096" s="136"/>
      <c r="T1096" s="136"/>
      <c r="V1096" s="136"/>
    </row>
    <row r="1097" spans="1:22">
      <c r="A1097" s="71" t="s">
        <v>8062</v>
      </c>
      <c r="B1097" s="67" t="s">
        <v>8063</v>
      </c>
      <c r="C1097" s="71" t="s">
        <v>103</v>
      </c>
      <c r="D1097" s="78">
        <v>34.200000000000003</v>
      </c>
      <c r="E1097" s="663">
        <v>2</v>
      </c>
      <c r="H1097" s="178">
        <v>34.200000000000003</v>
      </c>
      <c r="J1097" s="294"/>
      <c r="K1097" s="295"/>
      <c r="L1097" s="72"/>
      <c r="M1097" s="133"/>
      <c r="N1097" s="72"/>
      <c r="O1097" s="224"/>
      <c r="P1097" s="219"/>
      <c r="Q1097" s="84"/>
      <c r="S1097" s="136"/>
      <c r="T1097" s="136"/>
      <c r="V1097" s="136"/>
    </row>
    <row r="1098" spans="1:22">
      <c r="A1098" s="71" t="s">
        <v>8064</v>
      </c>
      <c r="B1098" s="67" t="s">
        <v>8065</v>
      </c>
      <c r="C1098" s="71" t="s">
        <v>103</v>
      </c>
      <c r="D1098" s="78">
        <v>239.37</v>
      </c>
      <c r="E1098" s="663">
        <v>2</v>
      </c>
      <c r="H1098" s="178">
        <v>239.37</v>
      </c>
      <c r="J1098" s="294"/>
      <c r="K1098" s="295"/>
      <c r="L1098" s="72"/>
      <c r="M1098" s="133"/>
      <c r="N1098" s="72"/>
      <c r="O1098" s="224"/>
      <c r="P1098" s="219"/>
      <c r="Q1098" s="84"/>
      <c r="S1098" s="136"/>
      <c r="T1098" s="136"/>
      <c r="V1098" s="136"/>
    </row>
    <row r="1099" spans="1:22">
      <c r="A1099" s="71" t="s">
        <v>8066</v>
      </c>
      <c r="B1099" s="67" t="s">
        <v>8067</v>
      </c>
      <c r="C1099" s="71" t="s">
        <v>103</v>
      </c>
      <c r="D1099" s="78">
        <v>532.67999999999995</v>
      </c>
      <c r="E1099" s="663">
        <v>2</v>
      </c>
      <c r="H1099" s="178">
        <v>532.67999999999995</v>
      </c>
      <c r="J1099" s="294"/>
      <c r="K1099" s="295"/>
      <c r="L1099" s="72"/>
      <c r="M1099" s="133"/>
      <c r="N1099" s="72"/>
      <c r="O1099" s="224"/>
      <c r="P1099" s="219"/>
      <c r="Q1099" s="84"/>
      <c r="S1099" s="136"/>
      <c r="T1099" s="136"/>
      <c r="V1099" s="136"/>
    </row>
    <row r="1100" spans="1:22">
      <c r="A1100" s="71" t="s">
        <v>8068</v>
      </c>
      <c r="B1100" s="67" t="s">
        <v>8069</v>
      </c>
      <c r="C1100" s="71" t="s">
        <v>509</v>
      </c>
      <c r="D1100" s="78">
        <v>204.09</v>
      </c>
      <c r="E1100" s="663">
        <v>2</v>
      </c>
      <c r="H1100" s="178">
        <v>204.09</v>
      </c>
      <c r="J1100" s="294"/>
      <c r="K1100" s="295"/>
      <c r="L1100" s="72"/>
      <c r="M1100" s="133"/>
      <c r="N1100" s="72"/>
      <c r="O1100" s="224"/>
      <c r="P1100" s="219"/>
      <c r="Q1100" s="84"/>
      <c r="S1100" s="136"/>
      <c r="T1100" s="136"/>
      <c r="V1100" s="136"/>
    </row>
    <row r="1101" spans="1:22">
      <c r="A1101" s="71" t="s">
        <v>8070</v>
      </c>
      <c r="B1101" s="67" t="s">
        <v>8071</v>
      </c>
      <c r="C1101" s="71" t="s">
        <v>509</v>
      </c>
      <c r="D1101" s="78">
        <v>227.63</v>
      </c>
      <c r="E1101" s="663">
        <v>2</v>
      </c>
      <c r="H1101" s="178">
        <v>227.63</v>
      </c>
      <c r="J1101" s="294"/>
      <c r="K1101" s="295"/>
      <c r="L1101" s="72"/>
      <c r="M1101" s="133"/>
      <c r="N1101" s="72"/>
      <c r="O1101" s="224"/>
      <c r="P1101" s="219"/>
      <c r="Q1101" s="84"/>
      <c r="S1101" s="136"/>
      <c r="T1101" s="136"/>
      <c r="V1101" s="136"/>
    </row>
    <row r="1102" spans="1:22">
      <c r="A1102" s="71" t="s">
        <v>8072</v>
      </c>
      <c r="B1102" s="67" t="s">
        <v>8073</v>
      </c>
      <c r="C1102" s="71" t="s">
        <v>509</v>
      </c>
      <c r="D1102" s="78">
        <v>58.33</v>
      </c>
      <c r="E1102" s="663">
        <v>2</v>
      </c>
      <c r="H1102" s="178">
        <v>58.33</v>
      </c>
      <c r="J1102" s="294"/>
      <c r="K1102" s="295"/>
      <c r="L1102" s="72"/>
      <c r="M1102" s="133"/>
      <c r="N1102" s="72"/>
      <c r="O1102" s="224"/>
      <c r="P1102" s="219"/>
      <c r="Q1102" s="84"/>
      <c r="S1102" s="136"/>
      <c r="T1102" s="136"/>
      <c r="V1102" s="136"/>
    </row>
    <row r="1103" spans="1:22">
      <c r="A1103" s="71" t="s">
        <v>8074</v>
      </c>
      <c r="B1103" s="67" t="s">
        <v>8075</v>
      </c>
      <c r="C1103" s="71" t="s">
        <v>509</v>
      </c>
      <c r="D1103" s="78">
        <v>16.670000000000002</v>
      </c>
      <c r="E1103" s="663">
        <v>2</v>
      </c>
      <c r="H1103" s="178">
        <v>16.670000000000002</v>
      </c>
      <c r="J1103" s="294"/>
      <c r="K1103" s="295"/>
      <c r="L1103" s="72"/>
      <c r="M1103" s="133"/>
      <c r="N1103" s="72"/>
      <c r="O1103" s="224"/>
      <c r="P1103" s="219"/>
      <c r="Q1103" s="84"/>
      <c r="S1103" s="136"/>
      <c r="T1103" s="136"/>
      <c r="V1103" s="136"/>
    </row>
    <row r="1104" spans="1:22">
      <c r="A1104" s="71" t="s">
        <v>8076</v>
      </c>
      <c r="B1104" s="67" t="s">
        <v>8077</v>
      </c>
      <c r="C1104" s="71" t="s">
        <v>509</v>
      </c>
      <c r="D1104" s="78">
        <v>180.95</v>
      </c>
      <c r="E1104" s="663">
        <v>2</v>
      </c>
      <c r="H1104" s="178">
        <v>180.95</v>
      </c>
      <c r="J1104" s="294"/>
      <c r="K1104" s="295"/>
      <c r="L1104" s="72"/>
      <c r="M1104" s="133"/>
      <c r="N1104" s="72"/>
      <c r="O1104" s="224"/>
      <c r="P1104" s="219"/>
      <c r="Q1104" s="84"/>
      <c r="S1104" s="136"/>
      <c r="T1104" s="136"/>
      <c r="V1104" s="136"/>
    </row>
    <row r="1105" spans="1:22">
      <c r="A1105" s="71" t="s">
        <v>8078</v>
      </c>
      <c r="B1105" s="67" t="s">
        <v>8079</v>
      </c>
      <c r="C1105" s="71" t="s">
        <v>509</v>
      </c>
      <c r="D1105" s="78">
        <v>75.73</v>
      </c>
      <c r="E1105" s="663">
        <v>2</v>
      </c>
      <c r="H1105" s="178">
        <v>75.73</v>
      </c>
      <c r="J1105" s="294"/>
      <c r="K1105" s="295"/>
      <c r="L1105" s="72"/>
      <c r="M1105" s="133"/>
      <c r="N1105" s="72"/>
      <c r="O1105" s="224"/>
      <c r="P1105" s="219"/>
      <c r="Q1105" s="84"/>
      <c r="S1105" s="136"/>
      <c r="T1105" s="136"/>
      <c r="V1105" s="136"/>
    </row>
    <row r="1106" spans="1:22">
      <c r="A1106" s="71" t="s">
        <v>8080</v>
      </c>
      <c r="B1106" s="67" t="s">
        <v>8081</v>
      </c>
      <c r="C1106" s="71" t="s">
        <v>509</v>
      </c>
      <c r="D1106" s="78">
        <v>34.630000000000003</v>
      </c>
      <c r="E1106" s="663">
        <v>2</v>
      </c>
      <c r="H1106" s="178">
        <v>34.630000000000003</v>
      </c>
      <c r="J1106" s="294"/>
      <c r="K1106" s="295"/>
      <c r="L1106" s="72"/>
      <c r="M1106" s="133"/>
      <c r="N1106" s="72"/>
      <c r="O1106" s="224"/>
      <c r="P1106" s="219"/>
      <c r="Q1106" s="84"/>
      <c r="S1106" s="136"/>
      <c r="T1106" s="136"/>
      <c r="V1106" s="136"/>
    </row>
    <row r="1107" spans="1:22">
      <c r="A1107" s="71" t="s">
        <v>8082</v>
      </c>
      <c r="B1107" s="67" t="s">
        <v>8083</v>
      </c>
      <c r="C1107" s="71" t="s">
        <v>509</v>
      </c>
      <c r="D1107" s="78">
        <v>12.69</v>
      </c>
      <c r="E1107" s="663">
        <v>2</v>
      </c>
      <c r="H1107" s="178">
        <v>12.69</v>
      </c>
      <c r="J1107" s="294"/>
      <c r="K1107" s="295"/>
      <c r="L1107" s="72"/>
      <c r="M1107" s="133"/>
      <c r="N1107" s="72"/>
      <c r="O1107" s="224"/>
      <c r="P1107" s="219"/>
      <c r="Q1107" s="84"/>
      <c r="S1107" s="136"/>
      <c r="T1107" s="136"/>
      <c r="V1107" s="136"/>
    </row>
    <row r="1108" spans="1:22">
      <c r="A1108" s="71" t="s">
        <v>8084</v>
      </c>
      <c r="B1108" s="67" t="s">
        <v>8085</v>
      </c>
      <c r="C1108" s="71" t="s">
        <v>509</v>
      </c>
      <c r="D1108" s="78">
        <v>114.69</v>
      </c>
      <c r="E1108" s="663">
        <v>2</v>
      </c>
      <c r="H1108" s="178">
        <v>114.69</v>
      </c>
      <c r="J1108" s="294"/>
      <c r="K1108" s="295"/>
      <c r="L1108" s="72"/>
      <c r="M1108" s="133"/>
      <c r="N1108" s="72"/>
      <c r="O1108" s="224"/>
      <c r="P1108" s="219"/>
      <c r="Q1108" s="84"/>
      <c r="S1108" s="136"/>
      <c r="T1108" s="136"/>
      <c r="V1108" s="136"/>
    </row>
    <row r="1109" spans="1:22">
      <c r="A1109" s="71" t="s">
        <v>8086</v>
      </c>
      <c r="B1109" s="67" t="s">
        <v>8087</v>
      </c>
      <c r="C1109" s="71" t="s">
        <v>509</v>
      </c>
      <c r="D1109" s="78">
        <v>454.97</v>
      </c>
      <c r="E1109" s="663">
        <v>2</v>
      </c>
      <c r="H1109" s="178">
        <v>454.97</v>
      </c>
      <c r="J1109" s="294"/>
      <c r="K1109" s="295"/>
      <c r="L1109" s="72"/>
      <c r="M1109" s="133"/>
      <c r="N1109" s="72"/>
      <c r="O1109" s="224"/>
      <c r="P1109" s="219"/>
      <c r="Q1109" s="84"/>
      <c r="S1109" s="136"/>
      <c r="T1109" s="136"/>
      <c r="V1109" s="136"/>
    </row>
    <row r="1110" spans="1:22">
      <c r="A1110" s="71" t="s">
        <v>8088</v>
      </c>
      <c r="B1110" s="67" t="s">
        <v>8089</v>
      </c>
      <c r="C1110" s="71" t="s">
        <v>509</v>
      </c>
      <c r="D1110" s="78">
        <v>602.33000000000004</v>
      </c>
      <c r="E1110" s="663">
        <v>2</v>
      </c>
      <c r="H1110" s="178">
        <v>602.33000000000004</v>
      </c>
      <c r="J1110" s="294"/>
      <c r="K1110" s="295"/>
      <c r="L1110" s="72"/>
      <c r="M1110" s="133"/>
      <c r="N1110" s="72"/>
      <c r="O1110" s="224"/>
      <c r="P1110" s="219"/>
      <c r="Q1110" s="84"/>
      <c r="S1110" s="136"/>
      <c r="T1110" s="136"/>
      <c r="V1110" s="136"/>
    </row>
    <row r="1111" spans="1:22">
      <c r="A1111" s="71" t="s">
        <v>8090</v>
      </c>
      <c r="B1111" s="67" t="s">
        <v>8091</v>
      </c>
      <c r="C1111" s="71" t="s">
        <v>509</v>
      </c>
      <c r="D1111" s="78">
        <v>210.03</v>
      </c>
      <c r="E1111" s="663">
        <v>2</v>
      </c>
      <c r="H1111" s="178">
        <v>210.03</v>
      </c>
      <c r="J1111" s="294"/>
      <c r="K1111" s="295"/>
      <c r="L1111" s="72"/>
      <c r="M1111" s="133"/>
      <c r="N1111" s="72"/>
      <c r="O1111" s="224"/>
      <c r="P1111" s="219"/>
      <c r="Q1111" s="84"/>
      <c r="S1111" s="136"/>
      <c r="T1111" s="136"/>
      <c r="V1111" s="136"/>
    </row>
    <row r="1112" spans="1:22">
      <c r="A1112" s="71" t="s">
        <v>8092</v>
      </c>
      <c r="B1112" s="67" t="s">
        <v>8093</v>
      </c>
      <c r="C1112" s="71" t="s">
        <v>103</v>
      </c>
      <c r="D1112" s="78">
        <v>90.06</v>
      </c>
      <c r="E1112" s="663">
        <v>2</v>
      </c>
      <c r="H1112" s="178">
        <v>90.06</v>
      </c>
      <c r="J1112" s="294"/>
      <c r="K1112" s="295"/>
      <c r="L1112" s="72"/>
      <c r="M1112" s="133"/>
      <c r="N1112" s="72"/>
      <c r="O1112" s="224"/>
      <c r="P1112" s="219"/>
      <c r="Q1112" s="84"/>
      <c r="S1112" s="136"/>
      <c r="T1112" s="136"/>
      <c r="V1112" s="136"/>
    </row>
    <row r="1113" spans="1:22">
      <c r="A1113" s="71" t="s">
        <v>8094</v>
      </c>
      <c r="B1113" s="67" t="s">
        <v>8095</v>
      </c>
      <c r="C1113" s="71" t="s">
        <v>509</v>
      </c>
      <c r="D1113" s="78">
        <v>477.61</v>
      </c>
      <c r="E1113" s="663">
        <v>2</v>
      </c>
      <c r="H1113" s="178">
        <v>477.61</v>
      </c>
      <c r="J1113" s="294"/>
      <c r="K1113" s="295"/>
      <c r="L1113" s="72"/>
      <c r="M1113" s="133"/>
      <c r="N1113" s="72"/>
      <c r="O1113" s="224"/>
      <c r="P1113" s="219"/>
      <c r="Q1113" s="84"/>
      <c r="S1113" s="136"/>
      <c r="T1113" s="136"/>
      <c r="V1113" s="136"/>
    </row>
    <row r="1114" spans="1:22">
      <c r="A1114" s="71" t="s">
        <v>8096</v>
      </c>
      <c r="B1114" s="67" t="s">
        <v>8097</v>
      </c>
      <c r="C1114" s="71" t="s">
        <v>509</v>
      </c>
      <c r="D1114" s="78">
        <v>79.400000000000006</v>
      </c>
      <c r="E1114" s="663">
        <v>2</v>
      </c>
      <c r="H1114" s="178">
        <v>79.400000000000006</v>
      </c>
      <c r="J1114" s="294"/>
      <c r="K1114" s="295"/>
      <c r="L1114" s="72"/>
      <c r="M1114" s="133"/>
      <c r="N1114" s="72"/>
      <c r="O1114" s="224"/>
      <c r="P1114" s="219"/>
      <c r="Q1114" s="84"/>
      <c r="S1114" s="136"/>
      <c r="T1114" s="136"/>
      <c r="V1114" s="136"/>
    </row>
    <row r="1115" spans="1:22">
      <c r="A1115" s="71" t="s">
        <v>8098</v>
      </c>
      <c r="B1115" s="67" t="s">
        <v>8099</v>
      </c>
      <c r="C1115" s="71" t="s">
        <v>509</v>
      </c>
      <c r="D1115" s="78">
        <v>772.77</v>
      </c>
      <c r="E1115" s="663">
        <v>2</v>
      </c>
      <c r="H1115" s="178">
        <v>772.77</v>
      </c>
      <c r="J1115" s="294"/>
      <c r="K1115" s="295"/>
      <c r="L1115" s="72"/>
      <c r="M1115" s="133"/>
      <c r="N1115" s="72"/>
      <c r="O1115" s="224"/>
      <c r="P1115" s="219"/>
      <c r="Q1115" s="84"/>
      <c r="S1115" s="136"/>
      <c r="T1115" s="136"/>
      <c r="V1115" s="136"/>
    </row>
    <row r="1116" spans="1:22">
      <c r="A1116" s="71" t="s">
        <v>8100</v>
      </c>
      <c r="B1116" s="67" t="s">
        <v>8101</v>
      </c>
      <c r="C1116" s="71" t="s">
        <v>509</v>
      </c>
      <c r="D1116" s="78">
        <v>19.57</v>
      </c>
      <c r="E1116" s="663">
        <v>2</v>
      </c>
      <c r="H1116" s="178">
        <v>19.57</v>
      </c>
      <c r="J1116" s="294"/>
      <c r="K1116" s="295"/>
      <c r="L1116" s="72"/>
      <c r="M1116" s="133"/>
      <c r="N1116" s="72"/>
      <c r="O1116" s="224"/>
      <c r="P1116" s="219"/>
      <c r="Q1116" s="84"/>
      <c r="S1116" s="136"/>
      <c r="T1116" s="136"/>
      <c r="V1116" s="136"/>
    </row>
    <row r="1117" spans="1:22">
      <c r="A1117" s="71" t="s">
        <v>8102</v>
      </c>
      <c r="B1117" s="67" t="s">
        <v>8103</v>
      </c>
      <c r="C1117" s="71" t="s">
        <v>509</v>
      </c>
      <c r="D1117" s="78">
        <v>205.06</v>
      </c>
      <c r="E1117" s="663">
        <v>2</v>
      </c>
      <c r="H1117" s="178">
        <v>205.06</v>
      </c>
      <c r="J1117" s="294"/>
      <c r="K1117" s="295"/>
      <c r="L1117" s="72"/>
      <c r="M1117" s="133"/>
      <c r="N1117" s="72"/>
      <c r="O1117" s="224"/>
      <c r="P1117" s="219"/>
      <c r="Q1117" s="84"/>
      <c r="S1117" s="136"/>
      <c r="T1117" s="136"/>
      <c r="V1117" s="136"/>
    </row>
    <row r="1118" spans="1:22">
      <c r="A1118" s="71" t="s">
        <v>8104</v>
      </c>
      <c r="B1118" s="67" t="s">
        <v>8105</v>
      </c>
      <c r="C1118" s="71" t="s">
        <v>509</v>
      </c>
      <c r="D1118" s="78">
        <v>581.17999999999995</v>
      </c>
      <c r="E1118" s="663">
        <v>2</v>
      </c>
      <c r="H1118" s="178">
        <v>581.17999999999995</v>
      </c>
      <c r="J1118" s="294"/>
      <c r="K1118" s="295"/>
      <c r="L1118" s="72"/>
      <c r="M1118" s="133"/>
      <c r="N1118" s="72"/>
      <c r="O1118" s="224"/>
      <c r="P1118" s="219"/>
      <c r="Q1118" s="84"/>
      <c r="S1118" s="136"/>
      <c r="T1118" s="136"/>
      <c r="V1118" s="136"/>
    </row>
    <row r="1119" spans="1:22">
      <c r="A1119" s="71" t="s">
        <v>8106</v>
      </c>
      <c r="B1119" s="67" t="s">
        <v>8107</v>
      </c>
      <c r="C1119" s="71" t="s">
        <v>103</v>
      </c>
      <c r="D1119" s="78">
        <v>87.86</v>
      </c>
      <c r="E1119" s="663">
        <v>2</v>
      </c>
      <c r="H1119" s="178">
        <v>87.86</v>
      </c>
      <c r="J1119" s="294"/>
      <c r="K1119" s="295"/>
      <c r="L1119" s="72"/>
      <c r="M1119" s="133"/>
      <c r="N1119" s="72"/>
      <c r="O1119" s="224"/>
      <c r="P1119" s="219"/>
      <c r="Q1119" s="84"/>
      <c r="S1119" s="136"/>
      <c r="T1119" s="136"/>
      <c r="V1119" s="136"/>
    </row>
    <row r="1120" spans="1:22">
      <c r="A1120" s="71" t="s">
        <v>8108</v>
      </c>
      <c r="B1120" s="67" t="s">
        <v>8109</v>
      </c>
      <c r="C1120" s="71" t="s">
        <v>103</v>
      </c>
      <c r="D1120" s="78">
        <v>282.60000000000002</v>
      </c>
      <c r="E1120" s="663">
        <v>2</v>
      </c>
      <c r="H1120" s="178">
        <v>282.60000000000002</v>
      </c>
      <c r="J1120" s="294"/>
      <c r="K1120" s="295"/>
      <c r="L1120" s="72"/>
      <c r="M1120" s="133"/>
      <c r="N1120" s="72"/>
      <c r="O1120" s="224"/>
      <c r="P1120" s="219"/>
      <c r="Q1120" s="84"/>
      <c r="S1120" s="136"/>
      <c r="T1120" s="136"/>
      <c r="V1120" s="136"/>
    </row>
    <row r="1121" spans="1:22">
      <c r="A1121" s="71" t="s">
        <v>8110</v>
      </c>
      <c r="B1121" s="67" t="s">
        <v>8111</v>
      </c>
      <c r="C1121" s="71" t="s">
        <v>103</v>
      </c>
      <c r="D1121" s="78">
        <v>168.11</v>
      </c>
      <c r="E1121" s="663">
        <v>2</v>
      </c>
      <c r="H1121" s="178">
        <v>168.11</v>
      </c>
      <c r="J1121" s="294"/>
      <c r="K1121" s="295"/>
      <c r="L1121" s="72"/>
      <c r="M1121" s="133"/>
      <c r="N1121" s="72"/>
      <c r="O1121" s="224"/>
      <c r="P1121" s="219"/>
      <c r="Q1121" s="84"/>
      <c r="S1121" s="136"/>
      <c r="T1121" s="136"/>
      <c r="V1121" s="136"/>
    </row>
    <row r="1122" spans="1:22">
      <c r="A1122" s="71" t="s">
        <v>8112</v>
      </c>
      <c r="B1122" s="67" t="s">
        <v>8113</v>
      </c>
      <c r="C1122" s="71" t="s">
        <v>103</v>
      </c>
      <c r="D1122" s="78">
        <v>83.65</v>
      </c>
      <c r="E1122" s="663">
        <v>2</v>
      </c>
      <c r="H1122" s="178">
        <v>83.65</v>
      </c>
      <c r="J1122" s="294"/>
      <c r="K1122" s="295"/>
      <c r="L1122" s="72"/>
      <c r="M1122" s="133"/>
      <c r="N1122" s="72"/>
      <c r="O1122" s="224"/>
      <c r="P1122" s="219"/>
      <c r="Q1122" s="84"/>
      <c r="S1122" s="136"/>
      <c r="T1122" s="136"/>
      <c r="V1122" s="136"/>
    </row>
    <row r="1123" spans="1:22">
      <c r="A1123" s="71" t="s">
        <v>8114</v>
      </c>
      <c r="B1123" s="67" t="s">
        <v>8115</v>
      </c>
      <c r="C1123" s="71" t="s">
        <v>103</v>
      </c>
      <c r="D1123" s="78">
        <v>218.88</v>
      </c>
      <c r="E1123" s="663">
        <v>2</v>
      </c>
      <c r="H1123" s="178">
        <v>218.88</v>
      </c>
      <c r="J1123" s="294"/>
      <c r="K1123" s="295"/>
      <c r="L1123" s="72"/>
      <c r="M1123" s="133"/>
      <c r="N1123" s="72"/>
      <c r="O1123" s="224"/>
      <c r="P1123" s="219"/>
      <c r="Q1123" s="84"/>
      <c r="S1123" s="136"/>
      <c r="T1123" s="136"/>
      <c r="V1123" s="136"/>
    </row>
    <row r="1124" spans="1:22">
      <c r="A1124" s="71" t="s">
        <v>8116</v>
      </c>
      <c r="B1124" s="67" t="s">
        <v>8117</v>
      </c>
      <c r="C1124" s="71" t="s">
        <v>103</v>
      </c>
      <c r="D1124" s="78">
        <v>307.25</v>
      </c>
      <c r="E1124" s="663">
        <v>2</v>
      </c>
      <c r="H1124" s="178">
        <v>307.25</v>
      </c>
      <c r="J1124" s="294"/>
      <c r="K1124" s="295"/>
      <c r="L1124" s="72"/>
      <c r="M1124" s="133"/>
      <c r="N1124" s="72"/>
      <c r="O1124" s="224"/>
      <c r="P1124" s="219"/>
      <c r="Q1124" s="84"/>
      <c r="S1124" s="136"/>
      <c r="T1124" s="136"/>
      <c r="V1124" s="136"/>
    </row>
    <row r="1125" spans="1:22">
      <c r="A1125" s="71" t="s">
        <v>8118</v>
      </c>
      <c r="B1125" s="67" t="s">
        <v>8119</v>
      </c>
      <c r="C1125" s="71" t="s">
        <v>103</v>
      </c>
      <c r="D1125" s="78">
        <v>282.3</v>
      </c>
      <c r="E1125" s="663">
        <v>2</v>
      </c>
      <c r="H1125" s="178">
        <v>282.3</v>
      </c>
      <c r="J1125" s="294"/>
      <c r="K1125" s="295"/>
      <c r="L1125" s="72"/>
      <c r="M1125" s="133"/>
      <c r="N1125" s="72"/>
      <c r="O1125" s="224"/>
      <c r="P1125" s="219"/>
      <c r="Q1125" s="84"/>
      <c r="S1125" s="136"/>
      <c r="T1125" s="136"/>
      <c r="V1125" s="136"/>
    </row>
    <row r="1126" spans="1:22">
      <c r="A1126" s="71" t="s">
        <v>8120</v>
      </c>
      <c r="B1126" s="67" t="s">
        <v>8121</v>
      </c>
      <c r="C1126" s="71" t="s">
        <v>103</v>
      </c>
      <c r="D1126" s="78">
        <v>410.42</v>
      </c>
      <c r="E1126" s="663">
        <v>2</v>
      </c>
      <c r="H1126" s="178">
        <v>410.42</v>
      </c>
      <c r="J1126" s="294"/>
      <c r="K1126" s="295"/>
      <c r="L1126" s="72"/>
      <c r="M1126" s="133"/>
      <c r="N1126" s="72"/>
      <c r="O1126" s="224"/>
      <c r="P1126" s="219"/>
      <c r="Q1126" s="84"/>
      <c r="S1126" s="136"/>
      <c r="T1126" s="136"/>
      <c r="V1126" s="136"/>
    </row>
    <row r="1127" spans="1:22">
      <c r="A1127" s="71" t="s">
        <v>8122</v>
      </c>
      <c r="B1127" s="67" t="s">
        <v>8123</v>
      </c>
      <c r="C1127" s="71" t="s">
        <v>207</v>
      </c>
      <c r="D1127" s="78">
        <v>7.43</v>
      </c>
      <c r="E1127" s="663">
        <v>2</v>
      </c>
      <c r="H1127" s="721">
        <v>7.43</v>
      </c>
      <c r="J1127" s="294"/>
      <c r="K1127" s="295"/>
      <c r="M1127" s="72"/>
      <c r="N1127" s="133"/>
      <c r="O1127" s="72"/>
      <c r="P1127" s="224"/>
      <c r="Q1127" s="219"/>
      <c r="T1127" s="136"/>
      <c r="V1127" s="136"/>
    </row>
    <row r="1128" spans="1:22">
      <c r="A1128" s="71" t="s">
        <v>8124</v>
      </c>
      <c r="B1128" s="67" t="s">
        <v>8125</v>
      </c>
      <c r="C1128" s="71" t="s">
        <v>207</v>
      </c>
      <c r="D1128" s="78">
        <v>1.35</v>
      </c>
      <c r="E1128" s="663">
        <v>2</v>
      </c>
      <c r="H1128" s="178">
        <v>1.35</v>
      </c>
      <c r="J1128" s="294"/>
      <c r="K1128" s="295"/>
      <c r="L1128" s="72"/>
      <c r="M1128" s="133"/>
      <c r="N1128" s="72"/>
      <c r="O1128" s="224"/>
      <c r="P1128" s="219"/>
      <c r="Q1128" s="84"/>
      <c r="S1128" s="136"/>
      <c r="T1128" s="136"/>
      <c r="V1128" s="136"/>
    </row>
    <row r="1129" spans="1:22">
      <c r="A1129" s="71" t="s">
        <v>41712</v>
      </c>
      <c r="B1129" s="67" t="s">
        <v>41713</v>
      </c>
      <c r="C1129" s="71" t="s">
        <v>103</v>
      </c>
      <c r="D1129" s="78">
        <v>837.19</v>
      </c>
      <c r="E1129" s="663">
        <v>2</v>
      </c>
      <c r="H1129" s="178">
        <v>837.19</v>
      </c>
      <c r="J1129" s="294"/>
      <c r="K1129" s="295"/>
      <c r="L1129" s="72"/>
      <c r="M1129" s="133"/>
      <c r="N1129" s="72"/>
      <c r="O1129" s="224"/>
      <c r="P1129" s="219"/>
      <c r="Q1129" s="84"/>
      <c r="S1129" s="136"/>
      <c r="T1129" s="136"/>
      <c r="V1129" s="136"/>
    </row>
    <row r="1130" spans="1:22">
      <c r="A1130" s="71" t="s">
        <v>8126</v>
      </c>
      <c r="B1130" s="67" t="s">
        <v>8127</v>
      </c>
      <c r="C1130" s="71" t="s">
        <v>121</v>
      </c>
      <c r="D1130" s="78">
        <v>286.47000000000003</v>
      </c>
      <c r="E1130" s="663">
        <v>2</v>
      </c>
      <c r="H1130" s="178">
        <v>286.47000000000003</v>
      </c>
      <c r="J1130" s="294"/>
      <c r="K1130" s="295"/>
      <c r="L1130" s="72"/>
      <c r="M1130" s="133"/>
      <c r="N1130" s="72"/>
      <c r="O1130" s="224"/>
      <c r="P1130" s="219"/>
      <c r="Q1130" s="84"/>
      <c r="S1130" s="136"/>
      <c r="T1130" s="136"/>
    </row>
    <row r="1131" spans="1:22">
      <c r="A1131" s="71" t="s">
        <v>8128</v>
      </c>
      <c r="B1131" s="67" t="s">
        <v>8129</v>
      </c>
      <c r="C1131" s="71" t="s">
        <v>153</v>
      </c>
      <c r="D1131" s="78">
        <v>0.54</v>
      </c>
      <c r="E1131" s="663">
        <v>2</v>
      </c>
      <c r="H1131" s="721">
        <v>0.54</v>
      </c>
      <c r="J1131" s="294"/>
      <c r="K1131" s="295"/>
      <c r="M1131" s="72"/>
      <c r="N1131" s="133"/>
      <c r="O1131" s="72"/>
      <c r="P1131" s="224"/>
      <c r="Q1131" s="219"/>
      <c r="T1131" s="136"/>
      <c r="V1131" s="136"/>
    </row>
    <row r="1132" spans="1:22">
      <c r="A1132" s="71" t="s">
        <v>8130</v>
      </c>
      <c r="B1132" s="67" t="s">
        <v>8131</v>
      </c>
      <c r="C1132" s="71" t="s">
        <v>103</v>
      </c>
      <c r="D1132" s="78">
        <v>204.65</v>
      </c>
      <c r="E1132" s="663">
        <v>2</v>
      </c>
      <c r="H1132" s="178">
        <v>204.65</v>
      </c>
      <c r="J1132" s="294"/>
      <c r="K1132" s="295"/>
      <c r="L1132" s="72"/>
      <c r="M1132" s="133"/>
      <c r="N1132" s="72"/>
      <c r="O1132" s="224"/>
      <c r="P1132" s="219"/>
      <c r="Q1132" s="84"/>
      <c r="S1132" s="136"/>
      <c r="T1132" s="136"/>
      <c r="V1132" s="136"/>
    </row>
    <row r="1133" spans="1:22">
      <c r="A1133" s="71" t="s">
        <v>8132</v>
      </c>
      <c r="B1133" s="67" t="s">
        <v>8133</v>
      </c>
      <c r="C1133" s="71" t="s">
        <v>103</v>
      </c>
      <c r="D1133" s="78">
        <v>271.41000000000003</v>
      </c>
      <c r="E1133" s="663">
        <v>2</v>
      </c>
      <c r="H1133" s="178">
        <v>271.41000000000003</v>
      </c>
      <c r="J1133" s="294"/>
      <c r="K1133" s="295"/>
      <c r="L1133" s="72"/>
      <c r="M1133" s="133"/>
      <c r="N1133" s="72"/>
      <c r="O1133" s="224"/>
      <c r="P1133" s="219"/>
      <c r="Q1133" s="84"/>
      <c r="S1133" s="136"/>
      <c r="T1133" s="136"/>
      <c r="V1133" s="136"/>
    </row>
    <row r="1134" spans="1:22">
      <c r="A1134" s="71" t="s">
        <v>8134</v>
      </c>
      <c r="B1134" s="67" t="s">
        <v>8135</v>
      </c>
      <c r="C1134" s="71" t="s">
        <v>103</v>
      </c>
      <c r="D1134" s="78">
        <v>285.12</v>
      </c>
      <c r="E1134" s="663">
        <v>2</v>
      </c>
      <c r="H1134" s="178">
        <v>285.12</v>
      </c>
      <c r="J1134" s="294"/>
      <c r="K1134" s="295"/>
      <c r="L1134" s="72"/>
      <c r="M1134" s="133"/>
      <c r="N1134" s="72"/>
      <c r="O1134" s="224"/>
      <c r="P1134" s="219"/>
      <c r="Q1134" s="84"/>
      <c r="S1134" s="136"/>
      <c r="T1134" s="136"/>
      <c r="V1134" s="136"/>
    </row>
    <row r="1135" spans="1:22">
      <c r="A1135" s="71" t="s">
        <v>8136</v>
      </c>
      <c r="B1135" s="67" t="s">
        <v>8137</v>
      </c>
      <c r="C1135" s="71" t="s">
        <v>103</v>
      </c>
      <c r="D1135" s="78">
        <v>59.62</v>
      </c>
      <c r="E1135" s="663">
        <v>2</v>
      </c>
      <c r="H1135" s="178">
        <v>59.62</v>
      </c>
      <c r="J1135" s="294"/>
      <c r="K1135" s="295"/>
      <c r="L1135" s="72"/>
      <c r="M1135" s="133"/>
      <c r="N1135" s="72"/>
      <c r="O1135" s="224"/>
      <c r="P1135" s="219"/>
      <c r="Q1135" s="84"/>
      <c r="S1135" s="136"/>
      <c r="T1135" s="136"/>
      <c r="V1135" s="136"/>
    </row>
    <row r="1136" spans="1:22">
      <c r="A1136" s="71" t="s">
        <v>8138</v>
      </c>
      <c r="B1136" s="67" t="s">
        <v>8139</v>
      </c>
      <c r="C1136" s="71" t="s">
        <v>103</v>
      </c>
      <c r="D1136" s="78">
        <v>85.33</v>
      </c>
      <c r="E1136" s="663">
        <v>2</v>
      </c>
      <c r="H1136" s="178">
        <v>85.33</v>
      </c>
      <c r="J1136" s="294"/>
      <c r="K1136" s="295"/>
      <c r="L1136" s="72"/>
      <c r="M1136" s="133"/>
      <c r="N1136" s="72"/>
      <c r="O1136" s="224"/>
      <c r="P1136" s="219"/>
      <c r="Q1136" s="84"/>
      <c r="S1136" s="136"/>
      <c r="T1136" s="136"/>
      <c r="V1136" s="136"/>
    </row>
    <row r="1137" spans="1:22">
      <c r="A1137" s="71" t="s">
        <v>8140</v>
      </c>
      <c r="B1137" s="67" t="s">
        <v>8141</v>
      </c>
      <c r="C1137" s="71" t="s">
        <v>103</v>
      </c>
      <c r="D1137" s="78">
        <v>110.04</v>
      </c>
      <c r="E1137" s="663">
        <v>2</v>
      </c>
      <c r="H1137" s="178">
        <v>110.04</v>
      </c>
      <c r="J1137" s="294"/>
      <c r="K1137" s="295"/>
      <c r="L1137" s="72"/>
      <c r="M1137" s="133"/>
      <c r="N1137" s="72"/>
      <c r="O1137" s="224"/>
      <c r="P1137" s="219"/>
      <c r="Q1137" s="84"/>
      <c r="S1137" s="136"/>
      <c r="T1137" s="136"/>
      <c r="V1137" s="136"/>
    </row>
    <row r="1138" spans="1:22">
      <c r="A1138" s="71" t="s">
        <v>8142</v>
      </c>
      <c r="B1138" s="67" t="s">
        <v>8143</v>
      </c>
      <c r="C1138" s="71" t="s">
        <v>103</v>
      </c>
      <c r="D1138" s="78">
        <v>120.16</v>
      </c>
      <c r="E1138" s="663">
        <v>2</v>
      </c>
      <c r="H1138" s="178">
        <v>120.16</v>
      </c>
      <c r="J1138" s="294"/>
      <c r="K1138" s="295"/>
      <c r="L1138" s="72"/>
      <c r="M1138" s="133"/>
      <c r="N1138" s="72"/>
      <c r="O1138" s="224"/>
      <c r="P1138" s="219"/>
      <c r="Q1138" s="84"/>
      <c r="S1138" s="136"/>
      <c r="T1138" s="136"/>
      <c r="V1138" s="136"/>
    </row>
    <row r="1139" spans="1:22">
      <c r="A1139" s="71" t="s">
        <v>8144</v>
      </c>
      <c r="B1139" s="67" t="s">
        <v>8145</v>
      </c>
      <c r="C1139" s="71" t="s">
        <v>103</v>
      </c>
      <c r="D1139" s="78">
        <v>151.26</v>
      </c>
      <c r="E1139" s="663">
        <v>2</v>
      </c>
      <c r="H1139" s="178">
        <v>151.26</v>
      </c>
      <c r="J1139" s="294"/>
      <c r="K1139" s="295"/>
      <c r="L1139" s="72"/>
      <c r="M1139" s="133"/>
      <c r="N1139" s="72"/>
      <c r="O1139" s="224"/>
      <c r="P1139" s="219"/>
      <c r="Q1139" s="84"/>
      <c r="S1139" s="136"/>
      <c r="T1139" s="136"/>
      <c r="V1139" s="136"/>
    </row>
    <row r="1140" spans="1:22">
      <c r="A1140" s="71" t="s">
        <v>8146</v>
      </c>
      <c r="B1140" s="67" t="s">
        <v>8147</v>
      </c>
      <c r="C1140" s="71" t="s">
        <v>103</v>
      </c>
      <c r="D1140" s="78">
        <v>53.15</v>
      </c>
      <c r="E1140" s="663">
        <v>2</v>
      </c>
      <c r="H1140" s="178">
        <v>53.15</v>
      </c>
      <c r="J1140" s="294"/>
      <c r="K1140" s="295"/>
      <c r="L1140" s="72"/>
      <c r="M1140" s="133"/>
      <c r="N1140" s="72"/>
      <c r="O1140" s="224"/>
      <c r="P1140" s="219"/>
      <c r="Q1140" s="84"/>
      <c r="S1140" s="136"/>
      <c r="T1140" s="136"/>
      <c r="V1140" s="136"/>
    </row>
    <row r="1141" spans="1:22">
      <c r="A1141" s="71" t="s">
        <v>8148</v>
      </c>
      <c r="B1141" s="67" t="s">
        <v>8149</v>
      </c>
      <c r="C1141" s="71" t="s">
        <v>103</v>
      </c>
      <c r="D1141" s="78">
        <v>58.2</v>
      </c>
      <c r="E1141" s="663">
        <v>2</v>
      </c>
      <c r="H1141" s="178">
        <v>58.2</v>
      </c>
      <c r="J1141" s="294"/>
      <c r="K1141" s="295"/>
      <c r="L1141" s="72"/>
      <c r="M1141" s="133"/>
      <c r="N1141" s="72"/>
      <c r="O1141" s="224"/>
      <c r="P1141" s="219"/>
      <c r="Q1141" s="84"/>
      <c r="S1141" s="136"/>
      <c r="T1141" s="136"/>
      <c r="V1141" s="136"/>
    </row>
    <row r="1142" spans="1:22">
      <c r="A1142" s="71" t="s">
        <v>8150</v>
      </c>
      <c r="B1142" s="67" t="s">
        <v>8151</v>
      </c>
      <c r="C1142" s="71" t="s">
        <v>103</v>
      </c>
      <c r="D1142" s="78">
        <v>48.39</v>
      </c>
      <c r="E1142" s="663">
        <v>2</v>
      </c>
      <c r="H1142" s="178">
        <v>48.39</v>
      </c>
      <c r="J1142" s="294"/>
      <c r="K1142" s="295"/>
      <c r="L1142" s="72"/>
      <c r="M1142" s="133"/>
      <c r="N1142" s="72"/>
      <c r="O1142" s="224"/>
      <c r="P1142" s="219"/>
      <c r="Q1142" s="84"/>
      <c r="S1142" s="136"/>
      <c r="T1142" s="136"/>
      <c r="V1142" s="136"/>
    </row>
    <row r="1143" spans="1:22">
      <c r="A1143" s="71" t="s">
        <v>8152</v>
      </c>
      <c r="B1143" s="67" t="s">
        <v>8153</v>
      </c>
      <c r="C1143" s="71" t="s">
        <v>103</v>
      </c>
      <c r="D1143" s="78">
        <v>165.43</v>
      </c>
      <c r="E1143" s="663">
        <v>2</v>
      </c>
      <c r="H1143" s="178">
        <v>165.43</v>
      </c>
      <c r="J1143" s="294"/>
      <c r="K1143" s="295"/>
      <c r="L1143" s="72"/>
      <c r="M1143" s="133"/>
      <c r="N1143" s="72"/>
      <c r="O1143" s="224"/>
      <c r="P1143" s="219"/>
      <c r="Q1143" s="84"/>
      <c r="S1143" s="136"/>
      <c r="T1143" s="136"/>
      <c r="V1143" s="136"/>
    </row>
    <row r="1144" spans="1:22">
      <c r="A1144" s="71" t="s">
        <v>8154</v>
      </c>
      <c r="B1144" s="67" t="s">
        <v>8155</v>
      </c>
      <c r="C1144" s="71" t="s">
        <v>103</v>
      </c>
      <c r="D1144" s="78">
        <v>146.01</v>
      </c>
      <c r="E1144" s="663">
        <v>2</v>
      </c>
      <c r="H1144" s="178">
        <v>146.01</v>
      </c>
      <c r="J1144" s="294"/>
      <c r="K1144" s="295"/>
      <c r="L1144" s="72"/>
      <c r="M1144" s="133"/>
      <c r="N1144" s="72"/>
      <c r="O1144" s="224"/>
      <c r="P1144" s="219"/>
      <c r="Q1144" s="84"/>
      <c r="S1144" s="136"/>
      <c r="T1144" s="136"/>
      <c r="V1144" s="136"/>
    </row>
    <row r="1145" spans="1:22">
      <c r="A1145" s="71" t="s">
        <v>8156</v>
      </c>
      <c r="B1145" s="67" t="s">
        <v>8157</v>
      </c>
      <c r="C1145" s="71" t="s">
        <v>103</v>
      </c>
      <c r="D1145" s="78">
        <v>134.88999999999999</v>
      </c>
      <c r="E1145" s="663">
        <v>2</v>
      </c>
      <c r="H1145" s="178">
        <v>134.88999999999999</v>
      </c>
      <c r="J1145" s="294"/>
      <c r="K1145" s="295"/>
      <c r="L1145" s="72"/>
      <c r="M1145" s="133"/>
      <c r="N1145" s="72"/>
      <c r="O1145" s="224"/>
      <c r="P1145" s="219"/>
      <c r="Q1145" s="84"/>
      <c r="S1145" s="136"/>
      <c r="T1145" s="136"/>
    </row>
    <row r="1146" spans="1:22">
      <c r="A1146" s="71" t="s">
        <v>8158</v>
      </c>
      <c r="B1146" s="67" t="s">
        <v>8159</v>
      </c>
      <c r="C1146" s="71" t="s">
        <v>103</v>
      </c>
      <c r="D1146" s="78">
        <v>24.48</v>
      </c>
      <c r="E1146" s="663">
        <v>2</v>
      </c>
      <c r="H1146" s="178">
        <v>24.48</v>
      </c>
      <c r="J1146" s="294"/>
      <c r="K1146" s="295"/>
      <c r="L1146" s="72"/>
      <c r="M1146" s="133"/>
      <c r="N1146" s="72"/>
      <c r="O1146" s="224"/>
      <c r="P1146" s="219"/>
      <c r="Q1146" s="84"/>
      <c r="S1146" s="136"/>
      <c r="T1146" s="136"/>
      <c r="V1146" s="136"/>
    </row>
    <row r="1147" spans="1:22">
      <c r="A1147" s="71" t="s">
        <v>8160</v>
      </c>
      <c r="B1147" s="67" t="s">
        <v>8161</v>
      </c>
      <c r="C1147" s="71" t="s">
        <v>509</v>
      </c>
      <c r="D1147" s="78">
        <v>10.220000000000001</v>
      </c>
      <c r="E1147" s="663">
        <v>2</v>
      </c>
      <c r="H1147" s="178">
        <v>10.220000000000001</v>
      </c>
      <c r="J1147" s="294"/>
      <c r="K1147" s="295"/>
      <c r="L1147" s="72"/>
      <c r="M1147" s="133"/>
      <c r="N1147" s="72"/>
      <c r="O1147" s="224"/>
      <c r="P1147" s="219"/>
      <c r="Q1147" s="84"/>
      <c r="S1147" s="136"/>
      <c r="T1147" s="136"/>
      <c r="V1147" s="136"/>
    </row>
    <row r="1148" spans="1:22">
      <c r="A1148" s="71" t="s">
        <v>8162</v>
      </c>
      <c r="B1148" s="67" t="s">
        <v>8163</v>
      </c>
      <c r="C1148" s="71" t="s">
        <v>509</v>
      </c>
      <c r="D1148" s="78">
        <v>121.07</v>
      </c>
      <c r="E1148" s="663">
        <v>2</v>
      </c>
      <c r="H1148" s="178">
        <v>121.07</v>
      </c>
      <c r="J1148" s="294"/>
      <c r="K1148" s="295"/>
      <c r="L1148" s="72"/>
      <c r="M1148" s="133"/>
      <c r="N1148" s="72"/>
      <c r="O1148" s="224"/>
      <c r="P1148" s="219"/>
      <c r="Q1148" s="84"/>
      <c r="S1148" s="136"/>
      <c r="T1148" s="136"/>
      <c r="V1148" s="136"/>
    </row>
    <row r="1149" spans="1:22">
      <c r="A1149" s="71" t="s">
        <v>8164</v>
      </c>
      <c r="B1149" s="67" t="s">
        <v>8165</v>
      </c>
      <c r="C1149" s="71" t="s">
        <v>103</v>
      </c>
      <c r="D1149" s="78">
        <v>44.79</v>
      </c>
      <c r="E1149" s="663">
        <v>2</v>
      </c>
      <c r="H1149" s="178">
        <v>44.79</v>
      </c>
      <c r="J1149" s="294"/>
      <c r="K1149" s="295"/>
      <c r="L1149" s="72"/>
      <c r="M1149" s="133"/>
      <c r="N1149" s="72"/>
      <c r="O1149" s="224"/>
      <c r="P1149" s="219"/>
      <c r="Q1149" s="84"/>
      <c r="S1149" s="136"/>
      <c r="T1149" s="136"/>
      <c r="V1149" s="136"/>
    </row>
    <row r="1150" spans="1:22">
      <c r="A1150" s="71" t="s">
        <v>8166</v>
      </c>
      <c r="B1150" s="67" t="s">
        <v>8167</v>
      </c>
      <c r="C1150" s="71" t="s">
        <v>103</v>
      </c>
      <c r="D1150" s="78">
        <v>63.62</v>
      </c>
      <c r="E1150" s="663">
        <v>2</v>
      </c>
      <c r="H1150" s="178">
        <v>63.62</v>
      </c>
      <c r="J1150" s="294"/>
      <c r="K1150" s="295"/>
      <c r="L1150" s="72"/>
      <c r="M1150" s="133"/>
      <c r="N1150" s="72"/>
      <c r="O1150" s="224"/>
      <c r="P1150" s="219"/>
      <c r="Q1150" s="84"/>
      <c r="S1150" s="136"/>
      <c r="T1150" s="136"/>
      <c r="V1150" s="136"/>
    </row>
    <row r="1151" spans="1:22">
      <c r="A1151" s="71" t="s">
        <v>41714</v>
      </c>
      <c r="B1151" s="67" t="s">
        <v>41715</v>
      </c>
      <c r="C1151" s="71" t="s">
        <v>103</v>
      </c>
      <c r="D1151" s="78">
        <v>1338.5</v>
      </c>
      <c r="E1151" s="663">
        <v>2</v>
      </c>
      <c r="H1151" s="178">
        <v>1338.5</v>
      </c>
      <c r="J1151" s="294"/>
      <c r="K1151" s="295"/>
      <c r="L1151" s="72"/>
      <c r="M1151" s="133"/>
      <c r="N1151" s="72"/>
      <c r="O1151" s="224"/>
      <c r="P1151" s="219"/>
      <c r="Q1151" s="84"/>
      <c r="S1151" s="136"/>
      <c r="T1151" s="136"/>
      <c r="V1151" s="136"/>
    </row>
    <row r="1152" spans="1:22">
      <c r="A1152" s="71" t="s">
        <v>8168</v>
      </c>
      <c r="B1152" s="67" t="s">
        <v>8169</v>
      </c>
      <c r="C1152" s="71" t="s">
        <v>103</v>
      </c>
      <c r="D1152" s="78">
        <v>271.72000000000003</v>
      </c>
      <c r="E1152" s="663">
        <v>2</v>
      </c>
      <c r="H1152" s="178">
        <v>271.72000000000003</v>
      </c>
      <c r="J1152" s="294"/>
      <c r="K1152" s="295"/>
      <c r="L1152" s="72"/>
      <c r="M1152" s="133"/>
      <c r="N1152" s="72"/>
      <c r="O1152" s="224"/>
      <c r="P1152" s="219"/>
      <c r="Q1152" s="84"/>
      <c r="S1152" s="136"/>
      <c r="T1152" s="136"/>
    </row>
    <row r="1153" spans="1:22">
      <c r="A1153" s="71" t="s">
        <v>8170</v>
      </c>
      <c r="B1153" s="67" t="s">
        <v>8171</v>
      </c>
      <c r="C1153" s="71" t="s">
        <v>103</v>
      </c>
      <c r="D1153" s="78">
        <v>142.78</v>
      </c>
      <c r="E1153" s="663">
        <v>2</v>
      </c>
      <c r="H1153" s="178">
        <v>142.78</v>
      </c>
      <c r="J1153" s="294"/>
      <c r="K1153" s="295"/>
      <c r="L1153" s="72"/>
      <c r="M1153" s="133"/>
      <c r="N1153" s="72"/>
      <c r="O1153" s="224"/>
      <c r="P1153" s="219"/>
      <c r="Q1153" s="84"/>
      <c r="S1153" s="136"/>
      <c r="T1153" s="136"/>
    </row>
    <row r="1154" spans="1:22">
      <c r="A1154" s="71" t="s">
        <v>8172</v>
      </c>
      <c r="B1154" s="67" t="s">
        <v>8173</v>
      </c>
      <c r="C1154" s="71" t="s">
        <v>103</v>
      </c>
      <c r="D1154" s="78">
        <v>259.69</v>
      </c>
      <c r="E1154" s="663">
        <v>2</v>
      </c>
      <c r="H1154" s="178">
        <v>259.69</v>
      </c>
      <c r="J1154" s="294"/>
      <c r="K1154" s="295"/>
      <c r="L1154" s="72"/>
      <c r="M1154" s="133"/>
      <c r="N1154" s="72"/>
      <c r="O1154" s="224"/>
      <c r="P1154" s="219"/>
      <c r="Q1154" s="84"/>
      <c r="S1154" s="136"/>
      <c r="T1154" s="136"/>
    </row>
    <row r="1155" spans="1:22">
      <c r="A1155" s="71" t="s">
        <v>8174</v>
      </c>
      <c r="B1155" s="67" t="s">
        <v>8175</v>
      </c>
      <c r="C1155" s="71" t="s">
        <v>103</v>
      </c>
      <c r="D1155" s="78">
        <v>171.43</v>
      </c>
      <c r="E1155" s="663">
        <v>2</v>
      </c>
      <c r="H1155" s="178">
        <v>171.43</v>
      </c>
      <c r="J1155" s="294"/>
      <c r="K1155" s="295"/>
      <c r="L1155" s="72"/>
      <c r="M1155" s="133"/>
      <c r="N1155" s="72"/>
      <c r="O1155" s="224"/>
      <c r="P1155" s="219"/>
      <c r="Q1155" s="84"/>
      <c r="S1155" s="136"/>
      <c r="T1155" s="136"/>
    </row>
    <row r="1156" spans="1:22">
      <c r="A1156" s="71" t="s">
        <v>8176</v>
      </c>
      <c r="B1156" s="67" t="s">
        <v>8177</v>
      </c>
      <c r="C1156" s="71" t="s">
        <v>103</v>
      </c>
      <c r="D1156" s="78">
        <v>225.92</v>
      </c>
      <c r="E1156" s="663">
        <v>2</v>
      </c>
      <c r="H1156" s="178">
        <v>225.92</v>
      </c>
      <c r="J1156" s="294"/>
      <c r="K1156" s="295"/>
      <c r="L1156" s="72"/>
      <c r="M1156" s="133"/>
      <c r="N1156" s="72"/>
      <c r="O1156" s="224"/>
      <c r="P1156" s="219"/>
      <c r="Q1156" s="84"/>
      <c r="S1156" s="136"/>
      <c r="T1156" s="136"/>
    </row>
    <row r="1157" spans="1:22">
      <c r="A1157" s="71" t="s">
        <v>8178</v>
      </c>
      <c r="B1157" s="67" t="s">
        <v>8179</v>
      </c>
      <c r="C1157" s="71" t="s">
        <v>103</v>
      </c>
      <c r="D1157" s="78">
        <v>185.88</v>
      </c>
      <c r="E1157" s="663">
        <v>2</v>
      </c>
      <c r="H1157" s="178">
        <v>185.88</v>
      </c>
      <c r="J1157" s="294"/>
      <c r="K1157" s="295"/>
      <c r="L1157" s="72"/>
      <c r="M1157" s="133"/>
      <c r="N1157" s="72"/>
      <c r="O1157" s="224"/>
      <c r="P1157" s="219"/>
      <c r="Q1157" s="84"/>
      <c r="S1157" s="136"/>
      <c r="T1157" s="136"/>
    </row>
    <row r="1158" spans="1:22">
      <c r="A1158" s="71" t="s">
        <v>8180</v>
      </c>
      <c r="B1158" s="67" t="s">
        <v>8181</v>
      </c>
      <c r="C1158" s="71" t="s">
        <v>103</v>
      </c>
      <c r="D1158" s="78">
        <v>429.21</v>
      </c>
      <c r="E1158" s="663">
        <v>2</v>
      </c>
      <c r="H1158" s="178">
        <v>429.21</v>
      </c>
      <c r="J1158" s="294"/>
      <c r="K1158" s="295"/>
      <c r="L1158" s="72"/>
      <c r="M1158" s="133"/>
      <c r="N1158" s="72"/>
      <c r="O1158" s="224"/>
      <c r="P1158" s="219"/>
      <c r="Q1158" s="84"/>
      <c r="S1158" s="136"/>
      <c r="T1158" s="136"/>
    </row>
    <row r="1159" spans="1:22">
      <c r="A1159" s="71" t="s">
        <v>8182</v>
      </c>
      <c r="B1159" s="67" t="s">
        <v>8183</v>
      </c>
      <c r="C1159" s="71" t="s">
        <v>103</v>
      </c>
      <c r="D1159" s="78">
        <v>303.51</v>
      </c>
      <c r="E1159" s="663">
        <v>2</v>
      </c>
      <c r="H1159" s="178">
        <v>303.51</v>
      </c>
      <c r="J1159" s="294"/>
      <c r="K1159" s="295"/>
      <c r="L1159" s="72"/>
      <c r="M1159" s="133"/>
      <c r="N1159" s="72"/>
      <c r="O1159" s="224"/>
      <c r="P1159" s="219"/>
      <c r="Q1159" s="84"/>
      <c r="S1159" s="136"/>
      <c r="T1159" s="136"/>
    </row>
    <row r="1160" spans="1:22">
      <c r="A1160" s="71" t="s">
        <v>8184</v>
      </c>
      <c r="B1160" s="67" t="s">
        <v>8185</v>
      </c>
      <c r="C1160" s="71" t="s">
        <v>103</v>
      </c>
      <c r="D1160" s="78">
        <v>40.42</v>
      </c>
      <c r="E1160" s="663">
        <v>2</v>
      </c>
      <c r="H1160" s="178">
        <v>40.42</v>
      </c>
      <c r="J1160" s="294"/>
      <c r="K1160" s="295"/>
      <c r="L1160" s="72"/>
      <c r="M1160" s="133"/>
      <c r="N1160" s="72"/>
      <c r="O1160" s="224"/>
      <c r="P1160" s="219"/>
      <c r="Q1160" s="84"/>
      <c r="S1160" s="136"/>
      <c r="T1160" s="136"/>
      <c r="V1160" s="136"/>
    </row>
    <row r="1161" spans="1:22">
      <c r="A1161" s="71" t="s">
        <v>8186</v>
      </c>
      <c r="B1161" s="67" t="s">
        <v>8187</v>
      </c>
      <c r="C1161" s="71" t="s">
        <v>103</v>
      </c>
      <c r="D1161" s="78">
        <v>53.85</v>
      </c>
      <c r="E1161" s="663">
        <v>2</v>
      </c>
      <c r="H1161" s="178">
        <v>53.85</v>
      </c>
      <c r="J1161" s="294"/>
      <c r="K1161" s="295"/>
      <c r="L1161" s="72"/>
      <c r="M1161" s="133"/>
      <c r="N1161" s="72"/>
      <c r="O1161" s="224"/>
      <c r="P1161" s="219"/>
      <c r="Q1161" s="84"/>
      <c r="S1161" s="136"/>
      <c r="T1161" s="136"/>
      <c r="V1161" s="136"/>
    </row>
    <row r="1162" spans="1:22">
      <c r="A1162" s="71" t="s">
        <v>8188</v>
      </c>
      <c r="B1162" s="67" t="s">
        <v>8189</v>
      </c>
      <c r="C1162" s="71" t="s">
        <v>103</v>
      </c>
      <c r="D1162" s="78">
        <v>57.35</v>
      </c>
      <c r="E1162" s="663">
        <v>2</v>
      </c>
      <c r="H1162" s="178">
        <v>57.35</v>
      </c>
      <c r="J1162" s="294"/>
      <c r="K1162" s="295"/>
      <c r="L1162" s="72"/>
      <c r="M1162" s="133"/>
      <c r="N1162" s="72"/>
      <c r="O1162" s="224"/>
      <c r="P1162" s="219"/>
      <c r="Q1162" s="84"/>
      <c r="S1162" s="136"/>
      <c r="T1162" s="136"/>
      <c r="V1162" s="136"/>
    </row>
    <row r="1163" spans="1:22">
      <c r="A1163" s="71" t="s">
        <v>8190</v>
      </c>
      <c r="B1163" s="67" t="s">
        <v>8191</v>
      </c>
      <c r="C1163" s="71" t="s">
        <v>103</v>
      </c>
      <c r="D1163" s="78">
        <v>16.23</v>
      </c>
      <c r="E1163" s="663">
        <v>2</v>
      </c>
      <c r="H1163" s="178">
        <v>16.23</v>
      </c>
      <c r="J1163" s="294"/>
      <c r="K1163" s="295"/>
      <c r="L1163" s="72"/>
      <c r="M1163" s="133"/>
      <c r="N1163" s="72"/>
      <c r="O1163" s="224"/>
      <c r="P1163" s="219"/>
      <c r="Q1163" s="84"/>
      <c r="S1163" s="136"/>
      <c r="T1163" s="136"/>
      <c r="V1163" s="136"/>
    </row>
    <row r="1164" spans="1:22">
      <c r="A1164" s="71" t="s">
        <v>8192</v>
      </c>
      <c r="B1164" s="67" t="s">
        <v>8193</v>
      </c>
      <c r="C1164" s="71" t="s">
        <v>103</v>
      </c>
      <c r="D1164" s="78">
        <v>16.04</v>
      </c>
      <c r="E1164" s="663">
        <v>2</v>
      </c>
      <c r="H1164" s="178">
        <v>16.04</v>
      </c>
      <c r="J1164" s="294"/>
      <c r="K1164" s="295"/>
      <c r="L1164" s="72"/>
      <c r="M1164" s="133"/>
      <c r="N1164" s="72"/>
      <c r="O1164" s="224"/>
      <c r="P1164" s="219"/>
      <c r="Q1164" s="84"/>
      <c r="S1164" s="136"/>
      <c r="T1164" s="136"/>
      <c r="V1164" s="136"/>
    </row>
    <row r="1165" spans="1:22">
      <c r="A1165" s="71" t="s">
        <v>8194</v>
      </c>
      <c r="B1165" s="67" t="s">
        <v>8195</v>
      </c>
      <c r="C1165" s="71" t="s">
        <v>103</v>
      </c>
      <c r="D1165" s="78">
        <v>15.33</v>
      </c>
      <c r="E1165" s="663">
        <v>2</v>
      </c>
      <c r="H1165" s="178">
        <v>15.33</v>
      </c>
      <c r="J1165" s="294"/>
      <c r="K1165" s="295"/>
      <c r="L1165" s="72"/>
      <c r="M1165" s="133"/>
      <c r="N1165" s="72"/>
      <c r="O1165" s="224"/>
      <c r="P1165" s="219"/>
      <c r="Q1165" s="84"/>
      <c r="S1165" s="136"/>
      <c r="T1165" s="136"/>
      <c r="V1165" s="136"/>
    </row>
    <row r="1166" spans="1:22">
      <c r="A1166" s="71" t="s">
        <v>8196</v>
      </c>
      <c r="B1166" s="67" t="s">
        <v>8197</v>
      </c>
      <c r="C1166" s="71" t="s">
        <v>103</v>
      </c>
      <c r="D1166" s="78">
        <v>34.28</v>
      </c>
      <c r="E1166" s="663">
        <v>2</v>
      </c>
      <c r="H1166" s="178">
        <v>34.28</v>
      </c>
      <c r="J1166" s="294"/>
      <c r="K1166" s="295"/>
      <c r="L1166" s="72"/>
      <c r="M1166" s="133"/>
      <c r="N1166" s="72"/>
      <c r="O1166" s="224"/>
      <c r="P1166" s="219"/>
      <c r="Q1166" s="84"/>
      <c r="S1166" s="136"/>
      <c r="T1166" s="136"/>
      <c r="V1166" s="136"/>
    </row>
    <row r="1167" spans="1:22">
      <c r="A1167" s="71" t="s">
        <v>8198</v>
      </c>
      <c r="B1167" s="67" t="s">
        <v>8199</v>
      </c>
      <c r="C1167" s="71" t="s">
        <v>103</v>
      </c>
      <c r="D1167" s="78">
        <v>39.44</v>
      </c>
      <c r="E1167" s="663">
        <v>2</v>
      </c>
      <c r="H1167" s="178">
        <v>39.44</v>
      </c>
      <c r="J1167" s="294"/>
      <c r="K1167" s="295"/>
      <c r="L1167" s="72"/>
      <c r="M1167" s="133"/>
      <c r="N1167" s="72"/>
      <c r="O1167" s="224"/>
      <c r="P1167" s="219"/>
      <c r="Q1167" s="84"/>
      <c r="S1167" s="136"/>
      <c r="T1167" s="136"/>
      <c r="V1167" s="136"/>
    </row>
    <row r="1168" spans="1:22">
      <c r="A1168" s="71" t="s">
        <v>8200</v>
      </c>
      <c r="B1168" s="67" t="s">
        <v>8201</v>
      </c>
      <c r="C1168" s="71" t="s">
        <v>103</v>
      </c>
      <c r="D1168" s="78">
        <v>21.62</v>
      </c>
      <c r="E1168" s="663">
        <v>2</v>
      </c>
      <c r="H1168" s="178">
        <v>21.62</v>
      </c>
      <c r="J1168" s="294"/>
      <c r="K1168" s="295"/>
      <c r="L1168" s="72"/>
      <c r="M1168" s="133"/>
      <c r="N1168" s="72"/>
      <c r="O1168" s="224"/>
      <c r="P1168" s="219"/>
      <c r="Q1168" s="84"/>
      <c r="S1168" s="136"/>
      <c r="T1168" s="136"/>
      <c r="V1168" s="136"/>
    </row>
    <row r="1169" spans="1:22">
      <c r="A1169" s="71" t="s">
        <v>8202</v>
      </c>
      <c r="B1169" s="67" t="s">
        <v>8203</v>
      </c>
      <c r="C1169" s="71" t="s">
        <v>103</v>
      </c>
      <c r="D1169" s="78">
        <v>14.74</v>
      </c>
      <c r="E1169" s="663">
        <v>2</v>
      </c>
      <c r="H1169" s="178">
        <v>14.74</v>
      </c>
      <c r="J1169" s="294"/>
      <c r="K1169" s="295"/>
      <c r="L1169" s="72"/>
      <c r="M1169" s="133"/>
      <c r="N1169" s="72"/>
      <c r="O1169" s="224"/>
      <c r="P1169" s="219"/>
      <c r="Q1169" s="84"/>
      <c r="S1169" s="136"/>
      <c r="T1169" s="136"/>
      <c r="V1169" s="136"/>
    </row>
    <row r="1170" spans="1:22">
      <c r="A1170" s="71" t="s">
        <v>8204</v>
      </c>
      <c r="B1170" s="67" t="s">
        <v>8205</v>
      </c>
      <c r="C1170" s="71" t="s">
        <v>103</v>
      </c>
      <c r="D1170" s="78">
        <v>14.88</v>
      </c>
      <c r="E1170" s="663">
        <v>2</v>
      </c>
      <c r="H1170" s="178">
        <v>14.88</v>
      </c>
      <c r="J1170" s="294"/>
      <c r="K1170" s="295"/>
      <c r="L1170" s="72"/>
      <c r="M1170" s="133"/>
      <c r="N1170" s="72"/>
      <c r="O1170" s="224"/>
      <c r="P1170" s="219"/>
      <c r="Q1170" s="84"/>
      <c r="S1170" s="136"/>
      <c r="T1170" s="136"/>
      <c r="V1170" s="136"/>
    </row>
    <row r="1171" spans="1:22">
      <c r="A1171" s="71" t="s">
        <v>8206</v>
      </c>
      <c r="B1171" s="67" t="s">
        <v>8207</v>
      </c>
      <c r="C1171" s="71" t="s">
        <v>103</v>
      </c>
      <c r="D1171" s="78">
        <v>852.52</v>
      </c>
      <c r="E1171" s="663">
        <v>2</v>
      </c>
      <c r="H1171" s="178">
        <v>852.52</v>
      </c>
      <c r="J1171" s="294"/>
      <c r="K1171" s="295"/>
      <c r="L1171" s="72"/>
      <c r="M1171" s="133"/>
      <c r="N1171" s="72"/>
      <c r="O1171" s="224"/>
      <c r="P1171" s="219"/>
      <c r="Q1171" s="84"/>
      <c r="S1171" s="136"/>
      <c r="T1171" s="136"/>
      <c r="V1171" s="136"/>
    </row>
    <row r="1172" spans="1:22">
      <c r="A1172" s="71" t="s">
        <v>8208</v>
      </c>
      <c r="B1172" s="67" t="s">
        <v>8209</v>
      </c>
      <c r="C1172" s="71" t="s">
        <v>103</v>
      </c>
      <c r="D1172" s="78">
        <v>559.41</v>
      </c>
      <c r="E1172" s="663">
        <v>2</v>
      </c>
      <c r="H1172" s="178">
        <v>559.41</v>
      </c>
      <c r="J1172" s="294"/>
      <c r="K1172" s="295"/>
      <c r="L1172" s="72"/>
      <c r="M1172" s="133"/>
      <c r="N1172" s="72"/>
      <c r="O1172" s="224"/>
      <c r="P1172" s="219"/>
      <c r="Q1172" s="84"/>
      <c r="S1172" s="136"/>
      <c r="T1172" s="136"/>
    </row>
    <row r="1173" spans="1:22">
      <c r="A1173" s="71" t="s">
        <v>8210</v>
      </c>
      <c r="B1173" s="67" t="s">
        <v>8211</v>
      </c>
      <c r="C1173" s="71" t="s">
        <v>103</v>
      </c>
      <c r="D1173" s="78">
        <v>705.11</v>
      </c>
      <c r="E1173" s="663">
        <v>2</v>
      </c>
      <c r="H1173" s="178">
        <v>705.11</v>
      </c>
      <c r="J1173" s="294"/>
      <c r="K1173" s="295"/>
      <c r="L1173" s="72"/>
      <c r="M1173" s="133"/>
      <c r="N1173" s="72"/>
      <c r="O1173" s="224"/>
      <c r="P1173" s="219"/>
      <c r="Q1173" s="84"/>
      <c r="S1173" s="136"/>
      <c r="T1173" s="136"/>
      <c r="V1173" s="136"/>
    </row>
    <row r="1174" spans="1:22">
      <c r="A1174" s="71" t="s">
        <v>8212</v>
      </c>
      <c r="B1174" s="67" t="s">
        <v>8213</v>
      </c>
      <c r="C1174" s="71" t="s">
        <v>509</v>
      </c>
      <c r="D1174" s="78">
        <v>16.43</v>
      </c>
      <c r="E1174" s="663">
        <v>2</v>
      </c>
      <c r="H1174" s="178">
        <v>16.43</v>
      </c>
      <c r="J1174" s="294"/>
      <c r="K1174" s="295"/>
      <c r="L1174" s="72"/>
      <c r="M1174" s="133"/>
      <c r="N1174" s="72"/>
      <c r="O1174" s="224"/>
      <c r="P1174" s="219"/>
      <c r="Q1174" s="84"/>
      <c r="S1174" s="136"/>
      <c r="T1174" s="136"/>
      <c r="V1174" s="136"/>
    </row>
    <row r="1175" spans="1:22">
      <c r="A1175" s="71" t="s">
        <v>8214</v>
      </c>
      <c r="B1175" s="67" t="s">
        <v>8215</v>
      </c>
      <c r="C1175" s="71" t="s">
        <v>509</v>
      </c>
      <c r="D1175" s="78">
        <v>76.86</v>
      </c>
      <c r="E1175" s="663">
        <v>2</v>
      </c>
      <c r="H1175" s="178">
        <v>76.86</v>
      </c>
      <c r="J1175" s="294"/>
      <c r="K1175" s="295"/>
      <c r="L1175" s="72"/>
      <c r="M1175" s="133"/>
      <c r="N1175" s="72"/>
      <c r="O1175" s="224"/>
      <c r="P1175" s="219"/>
      <c r="Q1175" s="84"/>
      <c r="S1175" s="136"/>
      <c r="T1175" s="136"/>
      <c r="V1175" s="136"/>
    </row>
    <row r="1176" spans="1:22">
      <c r="A1176" s="71" t="s">
        <v>8216</v>
      </c>
      <c r="B1176" s="67" t="s">
        <v>8217</v>
      </c>
      <c r="C1176" s="71" t="s">
        <v>509</v>
      </c>
      <c r="D1176" s="78">
        <v>241.65</v>
      </c>
      <c r="E1176" s="663">
        <v>2</v>
      </c>
      <c r="H1176" s="178">
        <v>241.65</v>
      </c>
      <c r="J1176" s="294"/>
      <c r="K1176" s="295"/>
      <c r="L1176" s="72"/>
      <c r="M1176" s="133"/>
      <c r="N1176" s="72"/>
      <c r="O1176" s="224"/>
      <c r="P1176" s="219"/>
      <c r="Q1176" s="84"/>
      <c r="S1176" s="136"/>
      <c r="T1176" s="136"/>
      <c r="V1176" s="136"/>
    </row>
    <row r="1177" spans="1:22">
      <c r="A1177" s="71" t="s">
        <v>8218</v>
      </c>
      <c r="B1177" s="67" t="s">
        <v>8219</v>
      </c>
      <c r="C1177" s="71" t="s">
        <v>103</v>
      </c>
      <c r="D1177" s="78">
        <v>171.81</v>
      </c>
      <c r="E1177" s="663">
        <v>2</v>
      </c>
      <c r="H1177" s="178">
        <v>171.81</v>
      </c>
      <c r="J1177" s="294"/>
      <c r="K1177" s="295"/>
      <c r="L1177" s="72"/>
      <c r="M1177" s="133"/>
      <c r="N1177" s="72"/>
      <c r="O1177" s="224"/>
      <c r="P1177" s="219"/>
      <c r="Q1177" s="84"/>
      <c r="S1177" s="136"/>
      <c r="T1177" s="136"/>
      <c r="V1177" s="136"/>
    </row>
    <row r="1178" spans="1:22">
      <c r="A1178" s="71" t="s">
        <v>8220</v>
      </c>
      <c r="B1178" s="67" t="s">
        <v>8221</v>
      </c>
      <c r="C1178" s="71" t="s">
        <v>103</v>
      </c>
      <c r="D1178" s="78">
        <v>43.18</v>
      </c>
      <c r="E1178" s="663">
        <v>2</v>
      </c>
      <c r="H1178" s="178">
        <v>43.18</v>
      </c>
      <c r="J1178" s="294"/>
      <c r="K1178" s="295"/>
      <c r="L1178" s="72"/>
      <c r="M1178" s="133"/>
      <c r="N1178" s="72"/>
      <c r="O1178" s="224"/>
      <c r="P1178" s="219"/>
      <c r="Q1178" s="84"/>
      <c r="S1178" s="136"/>
      <c r="T1178" s="136"/>
      <c r="V1178" s="136"/>
    </row>
    <row r="1179" spans="1:22">
      <c r="A1179" s="71" t="s">
        <v>8222</v>
      </c>
      <c r="B1179" s="67" t="s">
        <v>8223</v>
      </c>
      <c r="C1179" s="71" t="s">
        <v>103</v>
      </c>
      <c r="D1179" s="78">
        <v>33.42</v>
      </c>
      <c r="E1179" s="663">
        <v>2</v>
      </c>
      <c r="H1179" s="178">
        <v>33.42</v>
      </c>
      <c r="J1179" s="294"/>
      <c r="K1179" s="295"/>
      <c r="L1179" s="72"/>
      <c r="M1179" s="133"/>
      <c r="N1179" s="72"/>
      <c r="O1179" s="224"/>
      <c r="P1179" s="219"/>
      <c r="Q1179" s="84"/>
      <c r="S1179" s="136"/>
      <c r="T1179" s="136"/>
      <c r="V1179" s="136"/>
    </row>
    <row r="1180" spans="1:22">
      <c r="A1180" s="71" t="s">
        <v>8224</v>
      </c>
      <c r="B1180" s="67" t="s">
        <v>8225</v>
      </c>
      <c r="C1180" s="71" t="s">
        <v>103</v>
      </c>
      <c r="D1180" s="78">
        <v>7.67</v>
      </c>
      <c r="E1180" s="663">
        <v>2</v>
      </c>
      <c r="H1180" s="178">
        <v>7.67</v>
      </c>
      <c r="J1180" s="294"/>
      <c r="K1180" s="295"/>
      <c r="L1180" s="72"/>
      <c r="M1180" s="133"/>
      <c r="N1180" s="72"/>
      <c r="O1180" s="224"/>
      <c r="P1180" s="219"/>
      <c r="Q1180" s="84"/>
      <c r="S1180" s="136"/>
      <c r="T1180" s="136"/>
      <c r="V1180" s="136"/>
    </row>
    <row r="1181" spans="1:22">
      <c r="A1181" s="71" t="s">
        <v>8226</v>
      </c>
      <c r="B1181" s="67" t="s">
        <v>8227</v>
      </c>
      <c r="C1181" s="71" t="s">
        <v>103</v>
      </c>
      <c r="D1181" s="78">
        <v>21.39</v>
      </c>
      <c r="E1181" s="663">
        <v>2</v>
      </c>
      <c r="H1181" s="178">
        <v>21.39</v>
      </c>
      <c r="J1181" s="294"/>
      <c r="K1181" s="295"/>
      <c r="L1181" s="72"/>
      <c r="M1181" s="133"/>
      <c r="N1181" s="72"/>
      <c r="O1181" s="224"/>
      <c r="P1181" s="219"/>
      <c r="Q1181" s="84"/>
      <c r="S1181" s="136"/>
      <c r="T1181" s="136"/>
      <c r="V1181" s="136"/>
    </row>
    <row r="1182" spans="1:22">
      <c r="A1182" s="71" t="s">
        <v>8228</v>
      </c>
      <c r="B1182" s="67" t="s">
        <v>8229</v>
      </c>
      <c r="C1182" s="71" t="s">
        <v>103</v>
      </c>
      <c r="D1182" s="78">
        <v>61.09</v>
      </c>
      <c r="E1182" s="663">
        <v>2</v>
      </c>
      <c r="H1182" s="178">
        <v>61.09</v>
      </c>
      <c r="J1182" s="294"/>
      <c r="K1182" s="295"/>
      <c r="L1182" s="72"/>
      <c r="M1182" s="133"/>
      <c r="N1182" s="72"/>
      <c r="O1182" s="224"/>
      <c r="P1182" s="219"/>
      <c r="Q1182" s="84"/>
      <c r="S1182" s="136"/>
      <c r="T1182" s="136"/>
      <c r="V1182" s="136"/>
    </row>
    <row r="1183" spans="1:22">
      <c r="A1183" s="71" t="s">
        <v>8230</v>
      </c>
      <c r="B1183" s="67" t="s">
        <v>8231</v>
      </c>
      <c r="C1183" s="71" t="s">
        <v>103</v>
      </c>
      <c r="D1183" s="78">
        <v>40.56</v>
      </c>
      <c r="E1183" s="663">
        <v>2</v>
      </c>
      <c r="H1183" s="178">
        <v>40.56</v>
      </c>
      <c r="J1183" s="294"/>
      <c r="K1183" s="295"/>
      <c r="L1183" s="72"/>
      <c r="M1183" s="133"/>
      <c r="N1183" s="72"/>
      <c r="O1183" s="224"/>
      <c r="P1183" s="219"/>
      <c r="Q1183" s="84"/>
      <c r="S1183" s="136"/>
      <c r="T1183" s="136"/>
      <c r="V1183" s="136"/>
    </row>
    <row r="1184" spans="1:22">
      <c r="A1184" s="71" t="s">
        <v>8232</v>
      </c>
      <c r="B1184" s="67" t="s">
        <v>8233</v>
      </c>
      <c r="C1184" s="71" t="s">
        <v>103</v>
      </c>
      <c r="D1184" s="78">
        <v>50.37</v>
      </c>
      <c r="E1184" s="663">
        <v>2</v>
      </c>
      <c r="H1184" s="178">
        <v>50.37</v>
      </c>
      <c r="J1184" s="294"/>
      <c r="K1184" s="295"/>
      <c r="L1184" s="72"/>
      <c r="M1184" s="133"/>
      <c r="N1184" s="72"/>
      <c r="O1184" s="224"/>
      <c r="P1184" s="219"/>
      <c r="Q1184" s="84"/>
      <c r="S1184" s="136"/>
      <c r="T1184" s="136"/>
      <c r="V1184" s="136"/>
    </row>
    <row r="1185" spans="1:22">
      <c r="A1185" s="71" t="s">
        <v>8234</v>
      </c>
      <c r="B1185" s="67" t="s">
        <v>8235</v>
      </c>
      <c r="C1185" s="71" t="s">
        <v>509</v>
      </c>
      <c r="D1185" s="78">
        <v>36.86</v>
      </c>
      <c r="E1185" s="663">
        <v>2</v>
      </c>
      <c r="H1185" s="178">
        <v>36.86</v>
      </c>
      <c r="J1185" s="294"/>
      <c r="K1185" s="295"/>
      <c r="L1185" s="72"/>
      <c r="M1185" s="133"/>
      <c r="N1185" s="72"/>
      <c r="O1185" s="224"/>
      <c r="P1185" s="219"/>
      <c r="Q1185" s="84"/>
      <c r="S1185" s="136"/>
      <c r="T1185" s="136"/>
      <c r="V1185" s="136"/>
    </row>
    <row r="1186" spans="1:22">
      <c r="A1186" s="71" t="s">
        <v>8236</v>
      </c>
      <c r="B1186" s="67" t="s">
        <v>8237</v>
      </c>
      <c r="C1186" s="71" t="s">
        <v>509</v>
      </c>
      <c r="D1186" s="78">
        <v>20.420000000000002</v>
      </c>
      <c r="E1186" s="663">
        <v>2</v>
      </c>
      <c r="H1186" s="178">
        <v>20.420000000000002</v>
      </c>
      <c r="J1186" s="294"/>
      <c r="K1186" s="295"/>
      <c r="L1186" s="72"/>
      <c r="M1186" s="133"/>
      <c r="N1186" s="72"/>
      <c r="O1186" s="224"/>
      <c r="P1186" s="219"/>
      <c r="Q1186" s="84"/>
      <c r="S1186" s="136"/>
      <c r="T1186" s="136"/>
      <c r="V1186" s="136"/>
    </row>
    <row r="1187" spans="1:22">
      <c r="A1187" s="71" t="s">
        <v>8238</v>
      </c>
      <c r="B1187" s="67" t="s">
        <v>8239</v>
      </c>
      <c r="C1187" s="71" t="s">
        <v>509</v>
      </c>
      <c r="D1187" s="78">
        <v>98.01</v>
      </c>
      <c r="E1187" s="663">
        <v>2</v>
      </c>
      <c r="H1187" s="178">
        <v>98.01</v>
      </c>
      <c r="J1187" s="294"/>
      <c r="K1187" s="295"/>
      <c r="L1187" s="72"/>
      <c r="M1187" s="133"/>
      <c r="N1187" s="72"/>
      <c r="O1187" s="224"/>
      <c r="P1187" s="219"/>
      <c r="Q1187" s="84"/>
      <c r="S1187" s="136"/>
      <c r="T1187" s="136"/>
      <c r="V1187" s="136"/>
    </row>
    <row r="1188" spans="1:22">
      <c r="A1188" s="71" t="s">
        <v>8240</v>
      </c>
      <c r="B1188" s="67" t="s">
        <v>8241</v>
      </c>
      <c r="C1188" s="71" t="s">
        <v>509</v>
      </c>
      <c r="D1188" s="78">
        <v>279.93</v>
      </c>
      <c r="E1188" s="663">
        <v>2</v>
      </c>
      <c r="H1188" s="178">
        <v>279.93</v>
      </c>
      <c r="J1188" s="294"/>
      <c r="K1188" s="295"/>
      <c r="L1188" s="72"/>
      <c r="M1188" s="133"/>
      <c r="N1188" s="72"/>
      <c r="O1188" s="224"/>
      <c r="P1188" s="219"/>
      <c r="Q1188" s="84"/>
      <c r="S1188" s="136"/>
      <c r="T1188" s="136"/>
      <c r="V1188" s="136"/>
    </row>
    <row r="1189" spans="1:22">
      <c r="A1189" s="71" t="s">
        <v>8242</v>
      </c>
      <c r="B1189" s="67" t="s">
        <v>8243</v>
      </c>
      <c r="C1189" s="71" t="s">
        <v>509</v>
      </c>
      <c r="D1189" s="78">
        <v>39.19</v>
      </c>
      <c r="E1189" s="663">
        <v>2</v>
      </c>
      <c r="H1189" s="178">
        <v>39.19</v>
      </c>
      <c r="J1189" s="294"/>
      <c r="K1189" s="295"/>
      <c r="L1189" s="72"/>
      <c r="M1189" s="133"/>
      <c r="N1189" s="72"/>
      <c r="O1189" s="224"/>
      <c r="P1189" s="219"/>
      <c r="Q1189" s="84"/>
      <c r="S1189" s="136"/>
      <c r="T1189" s="136"/>
      <c r="V1189" s="136"/>
    </row>
    <row r="1190" spans="1:22">
      <c r="A1190" s="71" t="s">
        <v>8244</v>
      </c>
      <c r="B1190" s="67" t="s">
        <v>8245</v>
      </c>
      <c r="C1190" s="71" t="s">
        <v>509</v>
      </c>
      <c r="D1190" s="78">
        <v>36.35</v>
      </c>
      <c r="E1190" s="663">
        <v>2</v>
      </c>
      <c r="H1190" s="178">
        <v>36.35</v>
      </c>
      <c r="J1190" s="294"/>
      <c r="K1190" s="295"/>
      <c r="L1190" s="72"/>
      <c r="M1190" s="133"/>
      <c r="N1190" s="72"/>
      <c r="O1190" s="224"/>
      <c r="P1190" s="219"/>
      <c r="Q1190" s="84"/>
      <c r="S1190" s="136"/>
      <c r="T1190" s="136"/>
      <c r="V1190" s="136"/>
    </row>
    <row r="1191" spans="1:22">
      <c r="A1191" s="71" t="s">
        <v>8246</v>
      </c>
      <c r="B1191" s="67" t="s">
        <v>8247</v>
      </c>
      <c r="C1191" s="71" t="s">
        <v>509</v>
      </c>
      <c r="D1191" s="78">
        <v>72.8</v>
      </c>
      <c r="E1191" s="663">
        <v>2</v>
      </c>
      <c r="H1191" s="178">
        <v>72.8</v>
      </c>
      <c r="J1191" s="294"/>
      <c r="K1191" s="295"/>
      <c r="L1191" s="72"/>
      <c r="M1191" s="133"/>
      <c r="N1191" s="72"/>
      <c r="O1191" s="224"/>
      <c r="P1191" s="219"/>
      <c r="Q1191" s="84"/>
      <c r="S1191" s="136"/>
      <c r="T1191" s="136"/>
      <c r="V1191" s="136"/>
    </row>
    <row r="1192" spans="1:22">
      <c r="A1192" s="71" t="s">
        <v>8248</v>
      </c>
      <c r="B1192" s="67" t="s">
        <v>8249</v>
      </c>
      <c r="C1192" s="71" t="s">
        <v>103</v>
      </c>
      <c r="D1192" s="78">
        <v>80.97</v>
      </c>
      <c r="E1192" s="663">
        <v>2</v>
      </c>
      <c r="H1192" s="178">
        <v>80.97</v>
      </c>
      <c r="J1192" s="294"/>
      <c r="K1192" s="295"/>
      <c r="L1192" s="72"/>
      <c r="M1192" s="133"/>
      <c r="N1192" s="72"/>
      <c r="O1192" s="224"/>
      <c r="P1192" s="219"/>
      <c r="Q1192" s="84"/>
      <c r="S1192" s="136"/>
      <c r="T1192" s="136"/>
      <c r="V1192" s="136"/>
    </row>
    <row r="1193" spans="1:22">
      <c r="A1193" s="71" t="s">
        <v>8250</v>
      </c>
      <c r="B1193" s="67" t="s">
        <v>8251</v>
      </c>
      <c r="C1193" s="71" t="s">
        <v>103</v>
      </c>
      <c r="D1193" s="78">
        <v>67</v>
      </c>
      <c r="E1193" s="663">
        <v>2</v>
      </c>
      <c r="H1193" s="178">
        <v>67</v>
      </c>
      <c r="J1193" s="294"/>
      <c r="K1193" s="295"/>
      <c r="L1193" s="72"/>
      <c r="M1193" s="133"/>
      <c r="N1193" s="72"/>
      <c r="O1193" s="224"/>
      <c r="P1193" s="219"/>
      <c r="Q1193" s="84"/>
      <c r="S1193" s="136"/>
      <c r="T1193" s="136"/>
      <c r="V1193" s="136"/>
    </row>
    <row r="1194" spans="1:22">
      <c r="A1194" s="71" t="s">
        <v>8252</v>
      </c>
      <c r="B1194" s="67" t="s">
        <v>8253</v>
      </c>
      <c r="C1194" s="71" t="s">
        <v>103</v>
      </c>
      <c r="D1194" s="78">
        <v>98.07</v>
      </c>
      <c r="E1194" s="663">
        <v>2</v>
      </c>
      <c r="H1194" s="178">
        <v>98.07</v>
      </c>
      <c r="J1194" s="294"/>
      <c r="K1194" s="295"/>
      <c r="L1194" s="72"/>
      <c r="M1194" s="133"/>
      <c r="N1194" s="72"/>
      <c r="O1194" s="224"/>
      <c r="P1194" s="219"/>
      <c r="Q1194" s="84"/>
      <c r="S1194" s="136"/>
      <c r="T1194" s="136"/>
      <c r="V1194" s="136"/>
    </row>
    <row r="1195" spans="1:22">
      <c r="A1195" s="71" t="s">
        <v>8254</v>
      </c>
      <c r="B1195" s="67" t="s">
        <v>8255</v>
      </c>
      <c r="C1195" s="71" t="s">
        <v>103</v>
      </c>
      <c r="D1195" s="78">
        <v>84.23</v>
      </c>
      <c r="E1195" s="663">
        <v>2</v>
      </c>
      <c r="H1195" s="178">
        <v>84.23</v>
      </c>
      <c r="J1195" s="294"/>
      <c r="K1195" s="295"/>
      <c r="L1195" s="72"/>
      <c r="M1195" s="133"/>
      <c r="N1195" s="72"/>
      <c r="O1195" s="224"/>
      <c r="P1195" s="219"/>
      <c r="Q1195" s="84"/>
      <c r="S1195" s="136"/>
      <c r="T1195" s="136"/>
      <c r="V1195" s="136"/>
    </row>
    <row r="1196" spans="1:22">
      <c r="A1196" s="71" t="s">
        <v>8256</v>
      </c>
      <c r="B1196" s="67" t="s">
        <v>8257</v>
      </c>
      <c r="C1196" s="71" t="s">
        <v>103</v>
      </c>
      <c r="D1196" s="78">
        <v>50.94</v>
      </c>
      <c r="E1196" s="663">
        <v>2</v>
      </c>
      <c r="H1196" s="178">
        <v>50.94</v>
      </c>
      <c r="J1196" s="294"/>
      <c r="K1196" s="295"/>
      <c r="L1196" s="72"/>
      <c r="M1196" s="133"/>
      <c r="N1196" s="72"/>
      <c r="O1196" s="224"/>
      <c r="P1196" s="219"/>
      <c r="Q1196" s="84"/>
      <c r="S1196" s="136"/>
      <c r="T1196" s="136"/>
      <c r="V1196" s="136"/>
    </row>
    <row r="1197" spans="1:22">
      <c r="A1197" s="71" t="s">
        <v>8258</v>
      </c>
      <c r="B1197" s="67" t="s">
        <v>8259</v>
      </c>
      <c r="C1197" s="71" t="s">
        <v>103</v>
      </c>
      <c r="D1197" s="78">
        <v>128.66</v>
      </c>
      <c r="E1197" s="663">
        <v>2</v>
      </c>
      <c r="H1197" s="178">
        <v>128.66</v>
      </c>
      <c r="J1197" s="294"/>
      <c r="K1197" s="295"/>
      <c r="L1197" s="72"/>
      <c r="M1197" s="133"/>
      <c r="N1197" s="72"/>
      <c r="O1197" s="224"/>
      <c r="P1197" s="219"/>
      <c r="Q1197" s="84"/>
      <c r="S1197" s="136"/>
      <c r="T1197" s="136"/>
      <c r="V1197" s="136"/>
    </row>
    <row r="1198" spans="1:22">
      <c r="A1198" s="71" t="s">
        <v>8260</v>
      </c>
      <c r="B1198" s="67" t="s">
        <v>8261</v>
      </c>
      <c r="C1198" s="71" t="s">
        <v>103</v>
      </c>
      <c r="D1198" s="78">
        <v>149.06</v>
      </c>
      <c r="E1198" s="663">
        <v>2</v>
      </c>
      <c r="H1198" s="178">
        <v>149.06</v>
      </c>
      <c r="J1198" s="294"/>
      <c r="K1198" s="295"/>
      <c r="L1198" s="72"/>
      <c r="M1198" s="133"/>
      <c r="N1198" s="72"/>
      <c r="O1198" s="224"/>
      <c r="P1198" s="219"/>
      <c r="Q1198" s="84"/>
      <c r="S1198" s="136"/>
      <c r="T1198" s="136"/>
      <c r="V1198" s="136"/>
    </row>
    <row r="1199" spans="1:22">
      <c r="A1199" s="71" t="s">
        <v>8262</v>
      </c>
      <c r="B1199" s="67" t="s">
        <v>8263</v>
      </c>
      <c r="C1199" s="71" t="s">
        <v>103</v>
      </c>
      <c r="D1199" s="78">
        <v>171.03</v>
      </c>
      <c r="E1199" s="663">
        <v>2</v>
      </c>
      <c r="H1199" s="178">
        <v>171.03</v>
      </c>
      <c r="J1199" s="294"/>
      <c r="K1199" s="295"/>
      <c r="L1199" s="72"/>
      <c r="M1199" s="133"/>
      <c r="N1199" s="72"/>
      <c r="O1199" s="224"/>
      <c r="P1199" s="219"/>
      <c r="Q1199" s="84"/>
      <c r="S1199" s="136"/>
      <c r="T1199" s="136"/>
      <c r="V1199" s="136"/>
    </row>
    <row r="1200" spans="1:22">
      <c r="A1200" s="71" t="s">
        <v>8264</v>
      </c>
      <c r="B1200" s="67" t="s">
        <v>8265</v>
      </c>
      <c r="C1200" s="71" t="s">
        <v>103</v>
      </c>
      <c r="D1200" s="78">
        <v>155.93</v>
      </c>
      <c r="E1200" s="663">
        <v>2</v>
      </c>
      <c r="H1200" s="178">
        <v>155.93</v>
      </c>
      <c r="J1200" s="294"/>
      <c r="K1200" s="295"/>
      <c r="L1200" s="72"/>
      <c r="M1200" s="133"/>
      <c r="N1200" s="72"/>
      <c r="O1200" s="224"/>
      <c r="P1200" s="219"/>
      <c r="Q1200" s="84"/>
      <c r="S1200" s="136"/>
      <c r="T1200" s="136"/>
      <c r="V1200" s="136"/>
    </row>
    <row r="1201" spans="1:22">
      <c r="A1201" s="71" t="s">
        <v>8266</v>
      </c>
      <c r="B1201" s="67" t="s">
        <v>8267</v>
      </c>
      <c r="C1201" s="71" t="s">
        <v>103</v>
      </c>
      <c r="D1201" s="78">
        <v>44.28</v>
      </c>
      <c r="E1201" s="663">
        <v>2</v>
      </c>
      <c r="H1201" s="178">
        <v>44.28</v>
      </c>
      <c r="J1201" s="294"/>
      <c r="K1201" s="295"/>
      <c r="L1201" s="72"/>
      <c r="M1201" s="133"/>
      <c r="N1201" s="72"/>
      <c r="O1201" s="224"/>
      <c r="P1201" s="219"/>
      <c r="Q1201" s="84"/>
      <c r="S1201" s="136"/>
      <c r="T1201" s="136"/>
      <c r="V1201" s="136"/>
    </row>
    <row r="1202" spans="1:22">
      <c r="A1202" s="71" t="s">
        <v>8268</v>
      </c>
      <c r="B1202" s="67" t="s">
        <v>8269</v>
      </c>
      <c r="C1202" s="71" t="s">
        <v>103</v>
      </c>
      <c r="D1202" s="78">
        <v>376.7</v>
      </c>
      <c r="E1202" s="663">
        <v>2</v>
      </c>
      <c r="H1202" s="178">
        <v>376.7</v>
      </c>
      <c r="J1202" s="294"/>
      <c r="K1202" s="295"/>
      <c r="L1202" s="72"/>
      <c r="M1202" s="133"/>
      <c r="N1202" s="72"/>
      <c r="O1202" s="224"/>
      <c r="P1202" s="219"/>
      <c r="Q1202" s="84"/>
      <c r="S1202" s="136"/>
      <c r="T1202" s="136"/>
      <c r="V1202" s="136"/>
    </row>
    <row r="1203" spans="1:22">
      <c r="A1203" s="71" t="s">
        <v>8270</v>
      </c>
      <c r="B1203" s="67" t="s">
        <v>8271</v>
      </c>
      <c r="C1203" s="71" t="s">
        <v>103</v>
      </c>
      <c r="D1203" s="78">
        <v>36.47</v>
      </c>
      <c r="E1203" s="663">
        <v>2</v>
      </c>
      <c r="H1203" s="178">
        <v>36.47</v>
      </c>
      <c r="J1203" s="294"/>
      <c r="K1203" s="295"/>
      <c r="L1203" s="72"/>
      <c r="M1203" s="133"/>
      <c r="N1203" s="72"/>
      <c r="O1203" s="224"/>
      <c r="P1203" s="219"/>
      <c r="Q1203" s="84"/>
      <c r="S1203" s="136"/>
      <c r="T1203" s="136"/>
    </row>
    <row r="1204" spans="1:22">
      <c r="A1204" s="71" t="s">
        <v>8272</v>
      </c>
      <c r="B1204" s="67" t="s">
        <v>8273</v>
      </c>
      <c r="C1204" s="71" t="s">
        <v>103</v>
      </c>
      <c r="D1204" s="78">
        <v>95</v>
      </c>
      <c r="E1204" s="663">
        <v>2</v>
      </c>
      <c r="H1204" s="178">
        <v>95</v>
      </c>
      <c r="J1204" s="294"/>
      <c r="K1204" s="295"/>
      <c r="L1204" s="72"/>
      <c r="M1204" s="133"/>
      <c r="N1204" s="72"/>
      <c r="O1204" s="224"/>
      <c r="P1204" s="219"/>
      <c r="Q1204" s="84"/>
      <c r="S1204" s="136"/>
      <c r="T1204" s="136"/>
    </row>
    <row r="1205" spans="1:22">
      <c r="A1205" s="71" t="s">
        <v>8274</v>
      </c>
      <c r="B1205" s="67" t="s">
        <v>8275</v>
      </c>
      <c r="C1205" s="71" t="s">
        <v>103</v>
      </c>
      <c r="D1205" s="78">
        <v>95</v>
      </c>
      <c r="E1205" s="663">
        <v>2</v>
      </c>
      <c r="H1205" s="178">
        <v>95</v>
      </c>
      <c r="J1205" s="294"/>
      <c r="K1205" s="295"/>
      <c r="L1205" s="72"/>
      <c r="M1205" s="133"/>
      <c r="N1205" s="72"/>
      <c r="O1205" s="224"/>
      <c r="P1205" s="219"/>
      <c r="Q1205" s="84"/>
      <c r="S1205" s="136"/>
      <c r="T1205" s="136"/>
    </row>
    <row r="1206" spans="1:22">
      <c r="A1206" s="71" t="s">
        <v>8276</v>
      </c>
      <c r="B1206" s="67" t="s">
        <v>8277</v>
      </c>
      <c r="C1206" s="71" t="s">
        <v>103</v>
      </c>
      <c r="D1206" s="78">
        <v>140</v>
      </c>
      <c r="E1206" s="663">
        <v>2</v>
      </c>
      <c r="H1206" s="178">
        <v>140</v>
      </c>
      <c r="J1206" s="294"/>
      <c r="K1206" s="295"/>
      <c r="L1206" s="72"/>
      <c r="M1206" s="133"/>
      <c r="N1206" s="72"/>
      <c r="O1206" s="224"/>
      <c r="P1206" s="219"/>
      <c r="Q1206" s="84"/>
      <c r="S1206" s="136"/>
      <c r="T1206" s="136"/>
    </row>
    <row r="1207" spans="1:22">
      <c r="A1207" s="71" t="s">
        <v>8278</v>
      </c>
      <c r="B1207" s="67" t="s">
        <v>8279</v>
      </c>
      <c r="C1207" s="71" t="s">
        <v>103</v>
      </c>
      <c r="D1207" s="78">
        <v>265</v>
      </c>
      <c r="E1207" s="663">
        <v>2</v>
      </c>
      <c r="H1207" s="178">
        <v>265</v>
      </c>
      <c r="J1207" s="294"/>
      <c r="K1207" s="295"/>
      <c r="L1207" s="72"/>
      <c r="M1207" s="133"/>
      <c r="N1207" s="72"/>
      <c r="O1207" s="224"/>
      <c r="P1207" s="219"/>
      <c r="Q1207" s="84"/>
      <c r="S1207" s="136"/>
      <c r="T1207" s="136"/>
    </row>
    <row r="1208" spans="1:22">
      <c r="A1208" s="71" t="s">
        <v>8280</v>
      </c>
      <c r="B1208" s="67" t="s">
        <v>8281</v>
      </c>
      <c r="C1208" s="71" t="s">
        <v>103</v>
      </c>
      <c r="D1208" s="78">
        <v>30.95</v>
      </c>
      <c r="E1208" s="663">
        <v>2</v>
      </c>
      <c r="H1208" s="178">
        <v>30.95</v>
      </c>
      <c r="J1208" s="294"/>
      <c r="K1208" s="295"/>
      <c r="L1208" s="72"/>
      <c r="M1208" s="133"/>
      <c r="N1208" s="72"/>
      <c r="O1208" s="224"/>
      <c r="P1208" s="219"/>
      <c r="Q1208" s="84"/>
      <c r="S1208" s="136"/>
      <c r="T1208" s="136"/>
      <c r="V1208" s="136"/>
    </row>
    <row r="1209" spans="1:22">
      <c r="A1209" s="71" t="s">
        <v>8282</v>
      </c>
      <c r="B1209" s="67" t="s">
        <v>8283</v>
      </c>
      <c r="C1209" s="71" t="s">
        <v>103</v>
      </c>
      <c r="D1209" s="78">
        <v>265</v>
      </c>
      <c r="E1209" s="663">
        <v>2</v>
      </c>
      <c r="H1209" s="178">
        <v>265</v>
      </c>
      <c r="J1209" s="294"/>
      <c r="K1209" s="295"/>
      <c r="L1209" s="72"/>
      <c r="M1209" s="133"/>
      <c r="N1209" s="72"/>
      <c r="O1209" s="224"/>
      <c r="P1209" s="219"/>
      <c r="Q1209" s="84"/>
      <c r="S1209" s="136"/>
      <c r="T1209" s="136"/>
    </row>
    <row r="1210" spans="1:22">
      <c r="A1210" s="71" t="s">
        <v>8284</v>
      </c>
      <c r="B1210" s="67" t="s">
        <v>8285</v>
      </c>
      <c r="C1210" s="71" t="s">
        <v>103</v>
      </c>
      <c r="D1210" s="78">
        <v>385</v>
      </c>
      <c r="E1210" s="663">
        <v>2</v>
      </c>
      <c r="H1210" s="178">
        <v>385</v>
      </c>
      <c r="J1210" s="294"/>
      <c r="K1210" s="295"/>
      <c r="L1210" s="72"/>
      <c r="M1210" s="133"/>
      <c r="N1210" s="72"/>
      <c r="O1210" s="224"/>
      <c r="P1210" s="219"/>
      <c r="Q1210" s="84"/>
      <c r="S1210" s="136"/>
      <c r="T1210" s="136"/>
    </row>
    <row r="1211" spans="1:22">
      <c r="A1211" s="71" t="s">
        <v>8286</v>
      </c>
      <c r="B1211" s="67" t="s">
        <v>8287</v>
      </c>
      <c r="C1211" s="71" t="s">
        <v>103</v>
      </c>
      <c r="D1211" s="78">
        <v>205</v>
      </c>
      <c r="E1211" s="663">
        <v>2</v>
      </c>
      <c r="H1211" s="178">
        <v>205</v>
      </c>
      <c r="J1211" s="294"/>
      <c r="K1211" s="295"/>
      <c r="L1211" s="72"/>
      <c r="M1211" s="133"/>
      <c r="N1211" s="72"/>
      <c r="O1211" s="224"/>
      <c r="P1211" s="219"/>
      <c r="Q1211" s="84"/>
      <c r="S1211" s="136"/>
      <c r="T1211" s="136"/>
    </row>
    <row r="1212" spans="1:22">
      <c r="A1212" s="71" t="s">
        <v>8288</v>
      </c>
      <c r="B1212" s="67" t="s">
        <v>8289</v>
      </c>
      <c r="C1212" s="71" t="s">
        <v>103</v>
      </c>
      <c r="D1212" s="78">
        <v>16</v>
      </c>
      <c r="E1212" s="663">
        <v>2</v>
      </c>
      <c r="H1212" s="178">
        <v>16</v>
      </c>
      <c r="J1212" s="294"/>
      <c r="K1212" s="295"/>
      <c r="L1212" s="72"/>
      <c r="M1212" s="133"/>
      <c r="N1212" s="72"/>
      <c r="O1212" s="224"/>
      <c r="P1212" s="219"/>
      <c r="Q1212" s="84"/>
      <c r="S1212" s="136"/>
      <c r="T1212" s="136"/>
    </row>
    <row r="1213" spans="1:22">
      <c r="A1213" s="71" t="s">
        <v>8290</v>
      </c>
      <c r="B1213" s="67" t="s">
        <v>8291</v>
      </c>
      <c r="C1213" s="71" t="s">
        <v>103</v>
      </c>
      <c r="D1213" s="78">
        <v>695</v>
      </c>
      <c r="E1213" s="663">
        <v>2</v>
      </c>
      <c r="H1213" s="178">
        <v>695</v>
      </c>
      <c r="J1213" s="294"/>
      <c r="K1213" s="295"/>
      <c r="L1213" s="72"/>
      <c r="M1213" s="133"/>
      <c r="N1213" s="72"/>
      <c r="O1213" s="224"/>
      <c r="P1213" s="219"/>
      <c r="Q1213" s="84"/>
      <c r="S1213" s="136"/>
      <c r="T1213" s="136"/>
    </row>
    <row r="1214" spans="1:22">
      <c r="A1214" s="71" t="s">
        <v>8292</v>
      </c>
      <c r="B1214" s="67" t="s">
        <v>8293</v>
      </c>
      <c r="C1214" s="71" t="s">
        <v>103</v>
      </c>
      <c r="D1214" s="78">
        <v>950</v>
      </c>
      <c r="E1214" s="663">
        <v>2</v>
      </c>
      <c r="H1214" s="178">
        <v>950</v>
      </c>
      <c r="J1214" s="294"/>
      <c r="K1214" s="295"/>
      <c r="L1214" s="72"/>
      <c r="M1214" s="133"/>
      <c r="N1214" s="72"/>
      <c r="O1214" s="224"/>
      <c r="P1214" s="219"/>
      <c r="Q1214" s="84"/>
      <c r="S1214" s="136"/>
      <c r="T1214" s="136"/>
    </row>
    <row r="1215" spans="1:22">
      <c r="A1215" s="71" t="s">
        <v>8294</v>
      </c>
      <c r="B1215" s="67" t="s">
        <v>8295</v>
      </c>
      <c r="C1215" s="71" t="s">
        <v>103</v>
      </c>
      <c r="D1215" s="78">
        <v>27890.52</v>
      </c>
      <c r="E1215" s="663">
        <v>2</v>
      </c>
      <c r="H1215" s="178">
        <v>27890.52</v>
      </c>
      <c r="J1215" s="294"/>
      <c r="K1215" s="295"/>
      <c r="L1215" s="72"/>
      <c r="M1215" s="133"/>
      <c r="N1215" s="72"/>
      <c r="O1215" s="224"/>
      <c r="P1215" s="219"/>
      <c r="Q1215" s="84"/>
      <c r="S1215" s="136"/>
      <c r="T1215" s="136"/>
    </row>
    <row r="1216" spans="1:22">
      <c r="A1216" s="71" t="s">
        <v>8296</v>
      </c>
      <c r="B1216" s="67" t="s">
        <v>8297</v>
      </c>
      <c r="C1216" s="71" t="s">
        <v>103</v>
      </c>
      <c r="D1216" s="78">
        <v>215</v>
      </c>
      <c r="E1216" s="663">
        <v>2</v>
      </c>
      <c r="H1216" s="178">
        <v>215</v>
      </c>
      <c r="J1216" s="294"/>
      <c r="K1216" s="295"/>
      <c r="L1216" s="72"/>
      <c r="M1216" s="133"/>
      <c r="N1216" s="72"/>
      <c r="O1216" s="224"/>
      <c r="P1216" s="219"/>
      <c r="Q1216" s="84"/>
      <c r="S1216" s="136"/>
      <c r="T1216" s="136"/>
    </row>
    <row r="1217" spans="1:22">
      <c r="A1217" s="71" t="s">
        <v>8298</v>
      </c>
      <c r="B1217" s="67" t="s">
        <v>8299</v>
      </c>
      <c r="C1217" s="71" t="s">
        <v>103</v>
      </c>
      <c r="D1217" s="78">
        <v>260</v>
      </c>
      <c r="E1217" s="663">
        <v>2</v>
      </c>
      <c r="H1217" s="178">
        <v>260</v>
      </c>
      <c r="J1217" s="294"/>
      <c r="K1217" s="295"/>
      <c r="L1217" s="72"/>
      <c r="M1217" s="133"/>
      <c r="N1217" s="72"/>
      <c r="O1217" s="224"/>
      <c r="P1217" s="219"/>
      <c r="Q1217" s="84"/>
      <c r="S1217" s="136"/>
      <c r="T1217" s="136"/>
    </row>
    <row r="1218" spans="1:22">
      <c r="A1218" s="71" t="s">
        <v>8300</v>
      </c>
      <c r="B1218" s="67" t="s">
        <v>8301</v>
      </c>
      <c r="C1218" s="71" t="s">
        <v>509</v>
      </c>
      <c r="D1218" s="78">
        <v>325</v>
      </c>
      <c r="E1218" s="663">
        <v>2</v>
      </c>
      <c r="H1218" s="178">
        <v>325</v>
      </c>
      <c r="J1218" s="294"/>
      <c r="K1218" s="295"/>
      <c r="L1218" s="72"/>
      <c r="M1218" s="133"/>
      <c r="N1218" s="72"/>
      <c r="O1218" s="224"/>
      <c r="P1218" s="219"/>
      <c r="Q1218" s="84"/>
      <c r="S1218" s="136"/>
      <c r="T1218" s="136"/>
      <c r="V1218" s="136"/>
    </row>
    <row r="1219" spans="1:22">
      <c r="A1219" s="71" t="s">
        <v>8302</v>
      </c>
      <c r="B1219" s="67" t="s">
        <v>8303</v>
      </c>
      <c r="C1219" s="71" t="s">
        <v>103</v>
      </c>
      <c r="D1219" s="78">
        <v>95</v>
      </c>
      <c r="E1219" s="663">
        <v>2</v>
      </c>
      <c r="H1219" s="178">
        <v>95</v>
      </c>
      <c r="J1219" s="294"/>
      <c r="K1219" s="295"/>
      <c r="L1219" s="72"/>
      <c r="M1219" s="133"/>
      <c r="N1219" s="72"/>
      <c r="O1219" s="224"/>
      <c r="P1219" s="219"/>
      <c r="Q1219" s="84"/>
      <c r="S1219" s="136"/>
      <c r="T1219" s="136"/>
    </row>
    <row r="1220" spans="1:22">
      <c r="A1220" s="71" t="s">
        <v>8304</v>
      </c>
      <c r="B1220" s="67" t="s">
        <v>8305</v>
      </c>
      <c r="C1220" s="71" t="s">
        <v>103</v>
      </c>
      <c r="D1220" s="78">
        <v>385</v>
      </c>
      <c r="E1220" s="663">
        <v>2</v>
      </c>
      <c r="H1220" s="178">
        <v>385</v>
      </c>
      <c r="J1220" s="294"/>
      <c r="K1220" s="295"/>
      <c r="L1220" s="72"/>
      <c r="M1220" s="133"/>
      <c r="N1220" s="72"/>
      <c r="O1220" s="224"/>
      <c r="P1220" s="219"/>
      <c r="Q1220" s="84"/>
      <c r="S1220" s="136"/>
      <c r="T1220" s="136"/>
    </row>
    <row r="1221" spans="1:22">
      <c r="A1221" s="71" t="s">
        <v>8306</v>
      </c>
      <c r="B1221" s="67" t="s">
        <v>8307</v>
      </c>
      <c r="C1221" s="71" t="s">
        <v>103</v>
      </c>
      <c r="D1221" s="78">
        <v>95</v>
      </c>
      <c r="E1221" s="663">
        <v>2</v>
      </c>
      <c r="H1221" s="178">
        <v>95</v>
      </c>
      <c r="J1221" s="294"/>
      <c r="K1221" s="295"/>
      <c r="L1221" s="72"/>
      <c r="M1221" s="133"/>
      <c r="N1221" s="72"/>
      <c r="O1221" s="224"/>
      <c r="P1221" s="219"/>
      <c r="Q1221" s="84"/>
      <c r="S1221" s="136"/>
      <c r="T1221" s="136"/>
    </row>
    <row r="1222" spans="1:22">
      <c r="A1222" s="71" t="s">
        <v>8308</v>
      </c>
      <c r="B1222" s="67" t="s">
        <v>8309</v>
      </c>
      <c r="C1222" s="71" t="s">
        <v>103</v>
      </c>
      <c r="D1222" s="78">
        <v>10.26</v>
      </c>
      <c r="E1222" s="663">
        <v>2</v>
      </c>
      <c r="H1222" s="721">
        <v>10.26</v>
      </c>
      <c r="J1222" s="294"/>
      <c r="K1222" s="295"/>
      <c r="M1222" s="72"/>
      <c r="N1222" s="133"/>
      <c r="O1222" s="72"/>
      <c r="P1222" s="224"/>
      <c r="Q1222" s="219"/>
      <c r="T1222" s="136"/>
      <c r="V1222" s="136"/>
    </row>
    <row r="1223" spans="1:22" ht="24">
      <c r="A1223" s="71" t="s">
        <v>32936</v>
      </c>
      <c r="B1223" s="65" t="s">
        <v>32937</v>
      </c>
      <c r="C1223" s="71" t="s">
        <v>509</v>
      </c>
      <c r="D1223" s="78">
        <v>447.61</v>
      </c>
      <c r="E1223" s="663">
        <v>2</v>
      </c>
      <c r="H1223" s="178">
        <v>447.61</v>
      </c>
      <c r="J1223" s="294"/>
      <c r="K1223" s="295"/>
      <c r="L1223" s="72"/>
      <c r="M1223" s="133"/>
      <c r="N1223" s="72"/>
      <c r="O1223" s="224"/>
      <c r="P1223" s="219"/>
      <c r="Q1223" s="84"/>
      <c r="S1223" s="136"/>
      <c r="T1223" s="136"/>
    </row>
    <row r="1224" spans="1:22">
      <c r="A1224" s="71" t="s">
        <v>8310</v>
      </c>
      <c r="B1224" s="67" t="s">
        <v>8311</v>
      </c>
      <c r="C1224" s="71" t="s">
        <v>509</v>
      </c>
      <c r="D1224" s="78">
        <v>2271</v>
      </c>
      <c r="E1224" s="663">
        <v>2</v>
      </c>
      <c r="H1224" s="178">
        <v>2271</v>
      </c>
      <c r="J1224" s="294"/>
      <c r="K1224" s="295"/>
      <c r="L1224" s="72"/>
      <c r="M1224" s="133"/>
      <c r="N1224" s="72"/>
      <c r="O1224" s="224"/>
      <c r="P1224" s="219"/>
      <c r="Q1224" s="84"/>
      <c r="S1224" s="136"/>
      <c r="T1224" s="136"/>
      <c r="V1224" s="136"/>
    </row>
    <row r="1225" spans="1:22">
      <c r="A1225" s="71" t="s">
        <v>8312</v>
      </c>
      <c r="B1225" s="67" t="s">
        <v>8313</v>
      </c>
      <c r="C1225" s="71" t="s">
        <v>207</v>
      </c>
      <c r="D1225" s="78">
        <v>56.9</v>
      </c>
      <c r="E1225" s="663">
        <v>2</v>
      </c>
      <c r="H1225" s="178">
        <v>56.9</v>
      </c>
      <c r="J1225" s="294"/>
      <c r="K1225" s="295"/>
      <c r="L1225" s="72"/>
      <c r="M1225" s="133"/>
      <c r="N1225" s="72"/>
      <c r="O1225" s="224"/>
      <c r="P1225" s="219"/>
      <c r="Q1225" s="84"/>
      <c r="S1225" s="136"/>
      <c r="T1225" s="136"/>
      <c r="V1225" s="136"/>
    </row>
    <row r="1226" spans="1:22">
      <c r="A1226" s="71" t="s">
        <v>8314</v>
      </c>
      <c r="B1226" s="67" t="s">
        <v>8315</v>
      </c>
      <c r="C1226" s="71" t="s">
        <v>207</v>
      </c>
      <c r="D1226" s="78">
        <v>34.049999999999997</v>
      </c>
      <c r="E1226" s="663">
        <v>2</v>
      </c>
      <c r="H1226" s="178">
        <v>34.049999999999997</v>
      </c>
      <c r="J1226" s="294"/>
      <c r="K1226" s="295"/>
      <c r="L1226" s="72"/>
      <c r="M1226" s="133"/>
      <c r="N1226" s="72"/>
      <c r="O1226" s="224"/>
      <c r="P1226" s="219"/>
      <c r="Q1226" s="84"/>
      <c r="S1226" s="136"/>
      <c r="T1226" s="136"/>
      <c r="V1226" s="136"/>
    </row>
    <row r="1227" spans="1:22" ht="12">
      <c r="A1227" s="71" t="s">
        <v>32938</v>
      </c>
      <c r="B1227" s="65" t="s">
        <v>32939</v>
      </c>
      <c r="C1227" s="71" t="s">
        <v>121</v>
      </c>
      <c r="D1227" s="78">
        <v>10248</v>
      </c>
      <c r="E1227" s="663">
        <v>2</v>
      </c>
      <c r="H1227" s="178">
        <v>10248</v>
      </c>
      <c r="J1227" s="294"/>
      <c r="K1227" s="295"/>
      <c r="L1227" s="72"/>
      <c r="M1227" s="133"/>
      <c r="N1227" s="72"/>
      <c r="O1227" s="224"/>
      <c r="P1227" s="219"/>
      <c r="Q1227" s="84"/>
      <c r="S1227" s="136"/>
      <c r="T1227" s="136"/>
    </row>
    <row r="1228" spans="1:22">
      <c r="A1228" s="71" t="s">
        <v>8316</v>
      </c>
      <c r="B1228" s="67" t="s">
        <v>8317</v>
      </c>
      <c r="C1228" s="71" t="s">
        <v>103</v>
      </c>
      <c r="D1228" s="78">
        <v>1734.51</v>
      </c>
      <c r="E1228" s="663">
        <v>2</v>
      </c>
      <c r="H1228" s="178">
        <v>1734.51</v>
      </c>
      <c r="J1228" s="294"/>
      <c r="K1228" s="295"/>
      <c r="L1228" s="72"/>
      <c r="M1228" s="133"/>
      <c r="N1228" s="72"/>
      <c r="O1228" s="224"/>
      <c r="P1228" s="219"/>
      <c r="Q1228" s="84"/>
      <c r="S1228" s="136"/>
      <c r="T1228" s="136"/>
      <c r="V1228" s="136"/>
    </row>
    <row r="1229" spans="1:22">
      <c r="A1229" s="71" t="s">
        <v>8318</v>
      </c>
      <c r="B1229" s="67" t="s">
        <v>8319</v>
      </c>
      <c r="C1229" s="71" t="s">
        <v>103</v>
      </c>
      <c r="D1229" s="78">
        <v>38.96</v>
      </c>
      <c r="E1229" s="663">
        <v>2</v>
      </c>
      <c r="H1229" s="178">
        <v>38.96</v>
      </c>
      <c r="J1229" s="294"/>
      <c r="K1229" s="295"/>
      <c r="L1229" s="72"/>
      <c r="M1229" s="133"/>
      <c r="N1229" s="72"/>
      <c r="O1229" s="224"/>
      <c r="P1229" s="219"/>
      <c r="Q1229" s="84"/>
      <c r="S1229" s="136"/>
      <c r="T1229" s="136"/>
      <c r="V1229" s="136"/>
    </row>
    <row r="1230" spans="1:22">
      <c r="A1230" s="71" t="s">
        <v>8320</v>
      </c>
      <c r="B1230" s="67" t="s">
        <v>8321</v>
      </c>
      <c r="C1230" s="71" t="s">
        <v>103</v>
      </c>
      <c r="D1230" s="78">
        <v>685.61</v>
      </c>
      <c r="E1230" s="663">
        <v>2</v>
      </c>
      <c r="H1230" s="178">
        <v>685.61</v>
      </c>
      <c r="J1230" s="294"/>
      <c r="K1230" s="295"/>
      <c r="L1230" s="72"/>
      <c r="M1230" s="133"/>
      <c r="N1230" s="72"/>
      <c r="O1230" s="224"/>
      <c r="P1230" s="219"/>
      <c r="Q1230" s="84"/>
      <c r="S1230" s="136"/>
      <c r="T1230" s="136"/>
    </row>
    <row r="1231" spans="1:22">
      <c r="A1231" s="71" t="s">
        <v>8322</v>
      </c>
      <c r="B1231" s="67" t="s">
        <v>8323</v>
      </c>
      <c r="C1231" s="71" t="s">
        <v>103</v>
      </c>
      <c r="D1231" s="78">
        <v>944.4</v>
      </c>
      <c r="E1231" s="663">
        <v>2</v>
      </c>
      <c r="H1231" s="178">
        <v>944.4</v>
      </c>
      <c r="J1231" s="294"/>
      <c r="K1231" s="295"/>
      <c r="L1231" s="72"/>
      <c r="M1231" s="133"/>
      <c r="N1231" s="72"/>
      <c r="O1231" s="224"/>
      <c r="P1231" s="219"/>
      <c r="Q1231" s="84"/>
      <c r="S1231" s="136"/>
      <c r="T1231" s="136"/>
    </row>
    <row r="1232" spans="1:22">
      <c r="A1232" s="71" t="s">
        <v>8324</v>
      </c>
      <c r="B1232" s="67" t="s">
        <v>8325</v>
      </c>
      <c r="C1232" s="71" t="s">
        <v>103</v>
      </c>
      <c r="D1232" s="78">
        <v>1041.57</v>
      </c>
      <c r="E1232" s="663">
        <v>2</v>
      </c>
      <c r="H1232" s="178">
        <v>1041.57</v>
      </c>
      <c r="J1232" s="294"/>
      <c r="K1232" s="295"/>
      <c r="L1232" s="72"/>
      <c r="M1232" s="133"/>
      <c r="N1232" s="72"/>
      <c r="O1232" s="224"/>
      <c r="P1232" s="219"/>
      <c r="Q1232" s="84"/>
      <c r="S1232" s="136"/>
      <c r="T1232" s="136"/>
    </row>
    <row r="1233" spans="1:22">
      <c r="A1233" s="71" t="s">
        <v>8326</v>
      </c>
      <c r="B1233" s="67" t="s">
        <v>8327</v>
      </c>
      <c r="C1233" s="71" t="s">
        <v>103</v>
      </c>
      <c r="D1233" s="78">
        <v>730.18</v>
      </c>
      <c r="E1233" s="663">
        <v>2</v>
      </c>
      <c r="H1233" s="179">
        <v>730.18</v>
      </c>
      <c r="J1233" s="294"/>
      <c r="K1233" s="295"/>
      <c r="L1233" s="72"/>
      <c r="M1233" s="133"/>
      <c r="N1233" s="72"/>
      <c r="O1233" s="224"/>
      <c r="P1233" s="219"/>
      <c r="Q1233" s="84"/>
      <c r="S1233" s="137"/>
      <c r="T1233" s="137"/>
      <c r="V1233" s="137"/>
    </row>
    <row r="1234" spans="1:22">
      <c r="A1234" s="71" t="s">
        <v>8328</v>
      </c>
      <c r="B1234" s="67" t="s">
        <v>8329</v>
      </c>
      <c r="C1234" s="71" t="s">
        <v>103</v>
      </c>
      <c r="D1234" s="78">
        <v>1068.3599999999999</v>
      </c>
      <c r="E1234" s="663">
        <v>2</v>
      </c>
      <c r="H1234" s="178">
        <v>1068.3599999999999</v>
      </c>
      <c r="J1234" s="294"/>
      <c r="K1234" s="295"/>
      <c r="L1234" s="72"/>
      <c r="M1234" s="133"/>
      <c r="N1234" s="72"/>
      <c r="O1234" s="224"/>
      <c r="P1234" s="219"/>
      <c r="Q1234" s="84"/>
      <c r="S1234" s="136"/>
      <c r="T1234" s="136"/>
    </row>
    <row r="1235" spans="1:22">
      <c r="A1235" s="71" t="s">
        <v>8330</v>
      </c>
      <c r="B1235" s="67" t="s">
        <v>8331</v>
      </c>
      <c r="C1235" s="71" t="s">
        <v>103</v>
      </c>
      <c r="D1235" s="78">
        <v>1530.77</v>
      </c>
      <c r="E1235" s="663">
        <v>2</v>
      </c>
      <c r="H1235" s="178">
        <v>1530.77</v>
      </c>
      <c r="J1235" s="294"/>
      <c r="K1235" s="295"/>
      <c r="L1235" s="72"/>
      <c r="M1235" s="133"/>
      <c r="N1235" s="72"/>
      <c r="O1235" s="224"/>
      <c r="P1235" s="219"/>
      <c r="Q1235" s="84"/>
      <c r="S1235" s="136"/>
      <c r="T1235" s="136"/>
    </row>
    <row r="1236" spans="1:22">
      <c r="A1236" s="71" t="s">
        <v>8332</v>
      </c>
      <c r="B1236" s="67" t="s">
        <v>8333</v>
      </c>
      <c r="C1236" s="71" t="s">
        <v>103</v>
      </c>
      <c r="D1236" s="78">
        <v>1545</v>
      </c>
      <c r="E1236" s="663">
        <v>2</v>
      </c>
      <c r="H1236" s="178">
        <v>1545</v>
      </c>
      <c r="J1236" s="294"/>
      <c r="K1236" s="295"/>
      <c r="L1236" s="72"/>
      <c r="M1236" s="133"/>
      <c r="N1236" s="72"/>
      <c r="O1236" s="224"/>
      <c r="P1236" s="219"/>
      <c r="Q1236" s="84"/>
      <c r="S1236" s="136"/>
      <c r="T1236" s="136"/>
    </row>
    <row r="1237" spans="1:22">
      <c r="A1237" s="71" t="s">
        <v>8334</v>
      </c>
      <c r="B1237" s="67" t="s">
        <v>8335</v>
      </c>
      <c r="C1237" s="71" t="s">
        <v>103</v>
      </c>
      <c r="D1237" s="78">
        <v>2932.74</v>
      </c>
      <c r="E1237" s="663">
        <v>2</v>
      </c>
      <c r="H1237" s="178">
        <v>2932.74</v>
      </c>
      <c r="J1237" s="294"/>
      <c r="K1237" s="295"/>
      <c r="L1237" s="72"/>
      <c r="M1237" s="133"/>
      <c r="N1237" s="72"/>
      <c r="O1237" s="224"/>
      <c r="P1237" s="219"/>
      <c r="Q1237" s="84"/>
      <c r="S1237" s="136"/>
      <c r="T1237" s="136"/>
    </row>
    <row r="1238" spans="1:22">
      <c r="A1238" s="71" t="s">
        <v>41661</v>
      </c>
      <c r="B1238" s="67" t="s">
        <v>41662</v>
      </c>
      <c r="C1238" s="71" t="s">
        <v>103</v>
      </c>
      <c r="D1238" s="78">
        <v>4515.3</v>
      </c>
      <c r="E1238" s="663">
        <v>2</v>
      </c>
      <c r="H1238" s="721">
        <v>4515.3</v>
      </c>
      <c r="J1238" s="294"/>
      <c r="K1238" s="295"/>
      <c r="M1238" s="72"/>
      <c r="N1238" s="133"/>
      <c r="O1238" s="72"/>
      <c r="P1238" s="224"/>
      <c r="Q1238" s="219"/>
      <c r="T1238" s="136"/>
      <c r="V1238" s="136"/>
    </row>
    <row r="1239" spans="1:22">
      <c r="A1239" s="71" t="s">
        <v>41659</v>
      </c>
      <c r="B1239" s="67" t="s">
        <v>41660</v>
      </c>
      <c r="C1239" s="71" t="s">
        <v>103</v>
      </c>
      <c r="D1239" s="78">
        <v>6079.39</v>
      </c>
      <c r="E1239" s="663">
        <v>2</v>
      </c>
      <c r="H1239" s="721">
        <v>6079.39</v>
      </c>
      <c r="J1239" s="294"/>
      <c r="K1239" s="295"/>
      <c r="M1239" s="72"/>
      <c r="N1239" s="133"/>
      <c r="O1239" s="72"/>
      <c r="P1239" s="224"/>
      <c r="Q1239" s="219"/>
      <c r="T1239" s="136"/>
      <c r="V1239" s="136"/>
    </row>
    <row r="1240" spans="1:22">
      <c r="A1240" s="71" t="s">
        <v>8336</v>
      </c>
      <c r="B1240" s="67" t="s">
        <v>8337</v>
      </c>
      <c r="C1240" s="71" t="s">
        <v>103</v>
      </c>
      <c r="D1240" s="78">
        <v>1555</v>
      </c>
      <c r="E1240" s="663">
        <v>2</v>
      </c>
      <c r="H1240" s="178">
        <v>1555</v>
      </c>
      <c r="J1240" s="294"/>
      <c r="K1240" s="295"/>
      <c r="L1240" s="72"/>
      <c r="M1240" s="133"/>
      <c r="N1240" s="72"/>
      <c r="O1240" s="224"/>
      <c r="P1240" s="219"/>
      <c r="Q1240" s="84"/>
      <c r="S1240" s="136"/>
      <c r="T1240" s="136"/>
    </row>
    <row r="1241" spans="1:22">
      <c r="A1241" s="71" t="s">
        <v>8338</v>
      </c>
      <c r="B1241" s="67" t="s">
        <v>8339</v>
      </c>
      <c r="C1241" s="71" t="s">
        <v>103</v>
      </c>
      <c r="D1241" s="78">
        <v>1360.31</v>
      </c>
      <c r="E1241" s="663">
        <v>2</v>
      </c>
      <c r="H1241" s="178">
        <v>1360.31</v>
      </c>
      <c r="J1241" s="294"/>
      <c r="K1241" s="295"/>
      <c r="L1241" s="72"/>
      <c r="M1241" s="133"/>
      <c r="N1241" s="72"/>
      <c r="O1241" s="224"/>
      <c r="P1241" s="219"/>
      <c r="Q1241" s="84"/>
      <c r="S1241" s="136"/>
      <c r="T1241" s="136"/>
    </row>
    <row r="1242" spans="1:22">
      <c r="A1242" s="71" t="s">
        <v>8340</v>
      </c>
      <c r="B1242" s="67" t="s">
        <v>8341</v>
      </c>
      <c r="C1242" s="71" t="s">
        <v>103</v>
      </c>
      <c r="D1242" s="78">
        <v>1917.05</v>
      </c>
      <c r="E1242" s="663">
        <v>2</v>
      </c>
      <c r="H1242" s="179">
        <v>1917.05</v>
      </c>
      <c r="J1242" s="294"/>
      <c r="K1242" s="295"/>
      <c r="L1242" s="72"/>
      <c r="M1242" s="133"/>
      <c r="N1242" s="72"/>
      <c r="O1242" s="224"/>
      <c r="P1242" s="219"/>
      <c r="Q1242" s="84"/>
      <c r="S1242" s="137"/>
      <c r="T1242" s="137"/>
    </row>
    <row r="1243" spans="1:22">
      <c r="A1243" s="71" t="s">
        <v>8342</v>
      </c>
      <c r="B1243" s="67" t="s">
        <v>8343</v>
      </c>
      <c r="C1243" s="71" t="s">
        <v>103</v>
      </c>
      <c r="D1243" s="78">
        <v>1298.95</v>
      </c>
      <c r="E1243" s="663">
        <v>2</v>
      </c>
      <c r="H1243" s="178">
        <v>1298.95</v>
      </c>
      <c r="J1243" s="294"/>
      <c r="K1243" s="295"/>
      <c r="L1243" s="72"/>
      <c r="M1243" s="133"/>
      <c r="N1243" s="72"/>
      <c r="O1243" s="224"/>
      <c r="P1243" s="219"/>
      <c r="Q1243" s="84"/>
      <c r="S1243" s="136"/>
      <c r="T1243" s="136"/>
    </row>
    <row r="1244" spans="1:22">
      <c r="A1244" s="71" t="s">
        <v>8344</v>
      </c>
      <c r="B1244" s="67" t="s">
        <v>8345</v>
      </c>
      <c r="C1244" s="71" t="s">
        <v>103</v>
      </c>
      <c r="D1244" s="78">
        <v>1112.82</v>
      </c>
      <c r="E1244" s="663">
        <v>2</v>
      </c>
      <c r="H1244" s="179">
        <v>1112.82</v>
      </c>
      <c r="J1244" s="294"/>
      <c r="K1244" s="295"/>
      <c r="L1244" s="72"/>
      <c r="M1244" s="133"/>
      <c r="N1244" s="72"/>
      <c r="O1244" s="224"/>
      <c r="P1244" s="219"/>
      <c r="Q1244" s="84"/>
      <c r="S1244" s="137"/>
      <c r="T1244" s="137"/>
    </row>
    <row r="1245" spans="1:22">
      <c r="A1245" s="71" t="s">
        <v>8346</v>
      </c>
      <c r="B1245" s="67" t="s">
        <v>8347</v>
      </c>
      <c r="C1245" s="71" t="s">
        <v>103</v>
      </c>
      <c r="D1245" s="78">
        <v>2503.88</v>
      </c>
      <c r="E1245" s="663">
        <v>2</v>
      </c>
      <c r="H1245" s="179">
        <v>2503.88</v>
      </c>
      <c r="J1245" s="294"/>
      <c r="K1245" s="295"/>
      <c r="L1245" s="72"/>
      <c r="M1245" s="133"/>
      <c r="N1245" s="72"/>
      <c r="O1245" s="224"/>
      <c r="P1245" s="219"/>
      <c r="Q1245" s="84"/>
      <c r="S1245" s="137"/>
      <c r="T1245" s="137"/>
    </row>
    <row r="1246" spans="1:22">
      <c r="A1246" s="71" t="s">
        <v>8348</v>
      </c>
      <c r="B1246" s="67" t="s">
        <v>8349</v>
      </c>
      <c r="C1246" s="71" t="s">
        <v>103</v>
      </c>
      <c r="D1246" s="78">
        <v>4014.88</v>
      </c>
      <c r="E1246" s="663">
        <v>2</v>
      </c>
      <c r="H1246" s="179">
        <v>4014.88</v>
      </c>
      <c r="J1246" s="294"/>
      <c r="K1246" s="295"/>
      <c r="L1246" s="72"/>
      <c r="M1246" s="133"/>
      <c r="N1246" s="72"/>
      <c r="O1246" s="224"/>
      <c r="P1246" s="219"/>
      <c r="Q1246" s="84"/>
      <c r="S1246" s="137"/>
      <c r="T1246" s="137"/>
    </row>
    <row r="1247" spans="1:22">
      <c r="A1247" s="71" t="s">
        <v>8350</v>
      </c>
      <c r="B1247" s="67" t="s">
        <v>8351</v>
      </c>
      <c r="C1247" s="71" t="s">
        <v>103</v>
      </c>
      <c r="D1247" s="78">
        <v>6620.81</v>
      </c>
      <c r="E1247" s="663">
        <v>2</v>
      </c>
      <c r="H1247" s="179">
        <v>6620.81</v>
      </c>
      <c r="J1247" s="294"/>
      <c r="K1247" s="295"/>
      <c r="L1247" s="72"/>
      <c r="M1247" s="133"/>
      <c r="N1247" s="72"/>
      <c r="O1247" s="224"/>
      <c r="P1247" s="219"/>
      <c r="Q1247" s="84"/>
      <c r="S1247" s="137"/>
      <c r="T1247" s="137"/>
    </row>
    <row r="1248" spans="1:22">
      <c r="A1248" s="71" t="s">
        <v>8352</v>
      </c>
      <c r="B1248" s="67" t="s">
        <v>8353</v>
      </c>
      <c r="C1248" s="71" t="s">
        <v>103</v>
      </c>
      <c r="D1248" s="78">
        <v>7264.02</v>
      </c>
      <c r="E1248" s="663">
        <v>2</v>
      </c>
      <c r="H1248" s="179">
        <v>7264.02</v>
      </c>
      <c r="J1248" s="294"/>
      <c r="K1248" s="295"/>
      <c r="L1248" s="72"/>
      <c r="M1248" s="133"/>
      <c r="N1248" s="72"/>
      <c r="O1248" s="224"/>
      <c r="P1248" s="219"/>
      <c r="Q1248" s="84"/>
      <c r="S1248" s="137"/>
      <c r="T1248" s="137"/>
    </row>
    <row r="1249" spans="1:22">
      <c r="A1249" s="71" t="s">
        <v>8354</v>
      </c>
      <c r="B1249" s="67" t="s">
        <v>8355</v>
      </c>
      <c r="C1249" s="71" t="s">
        <v>103</v>
      </c>
      <c r="D1249" s="78">
        <v>7943.89</v>
      </c>
      <c r="E1249" s="663">
        <v>2</v>
      </c>
      <c r="H1249" s="179">
        <v>7943.89</v>
      </c>
      <c r="J1249" s="294"/>
      <c r="K1249" s="295"/>
      <c r="L1249" s="72"/>
      <c r="M1249" s="133"/>
      <c r="N1249" s="72"/>
      <c r="O1249" s="224"/>
      <c r="P1249" s="219"/>
      <c r="Q1249" s="84"/>
      <c r="S1249" s="137"/>
      <c r="T1249" s="137"/>
    </row>
    <row r="1250" spans="1:22">
      <c r="A1250" s="71" t="s">
        <v>8356</v>
      </c>
      <c r="B1250" s="67" t="s">
        <v>8357</v>
      </c>
      <c r="C1250" s="71" t="s">
        <v>103</v>
      </c>
      <c r="D1250" s="78">
        <v>4241.87</v>
      </c>
      <c r="E1250" s="663">
        <v>2</v>
      </c>
      <c r="H1250" s="179">
        <v>4241.87</v>
      </c>
      <c r="J1250" s="294"/>
      <c r="K1250" s="295"/>
      <c r="L1250" s="72"/>
      <c r="M1250" s="133"/>
      <c r="N1250" s="72"/>
      <c r="O1250" s="224"/>
      <c r="P1250" s="219"/>
      <c r="Q1250" s="84"/>
      <c r="S1250" s="137"/>
      <c r="T1250" s="137"/>
    </row>
    <row r="1251" spans="1:22">
      <c r="A1251" s="71" t="s">
        <v>8358</v>
      </c>
      <c r="B1251" s="67" t="s">
        <v>8359</v>
      </c>
      <c r="C1251" s="71" t="s">
        <v>103</v>
      </c>
      <c r="D1251" s="78">
        <v>4306.82</v>
      </c>
      <c r="E1251" s="663">
        <v>2</v>
      </c>
      <c r="H1251" s="179">
        <v>4306.82</v>
      </c>
      <c r="J1251" s="294"/>
      <c r="K1251" s="295"/>
      <c r="L1251" s="72"/>
      <c r="M1251" s="133"/>
      <c r="N1251" s="72"/>
      <c r="O1251" s="224"/>
      <c r="P1251" s="219"/>
      <c r="Q1251" s="84"/>
      <c r="S1251" s="137"/>
      <c r="T1251" s="137"/>
    </row>
    <row r="1252" spans="1:22">
      <c r="A1252" s="134" t="s">
        <v>8360</v>
      </c>
      <c r="B1252" s="304" t="s">
        <v>8361</v>
      </c>
      <c r="C1252" s="71" t="s">
        <v>103</v>
      </c>
      <c r="D1252" s="78">
        <v>57.06</v>
      </c>
      <c r="E1252" s="663">
        <v>2</v>
      </c>
      <c r="H1252" s="308">
        <v>57.06</v>
      </c>
      <c r="T1252" s="84"/>
    </row>
    <row r="1253" spans="1:22">
      <c r="A1253" s="71" t="s">
        <v>8362</v>
      </c>
      <c r="B1253" s="67" t="s">
        <v>8363</v>
      </c>
      <c r="C1253" s="71" t="s">
        <v>103</v>
      </c>
      <c r="D1253" s="78">
        <v>78.09</v>
      </c>
      <c r="E1253" s="663">
        <v>2</v>
      </c>
      <c r="H1253" s="178">
        <v>78.09</v>
      </c>
      <c r="J1253" s="294"/>
      <c r="K1253" s="295"/>
      <c r="L1253" s="72"/>
      <c r="M1253" s="133"/>
      <c r="N1253" s="72"/>
      <c r="O1253" s="224"/>
      <c r="P1253" s="219"/>
      <c r="Q1253" s="84"/>
      <c r="S1253" s="136"/>
      <c r="T1253" s="136"/>
      <c r="V1253" s="136"/>
    </row>
    <row r="1254" spans="1:22">
      <c r="A1254" s="71" t="s">
        <v>8364</v>
      </c>
      <c r="B1254" s="67" t="s">
        <v>8365</v>
      </c>
      <c r="C1254" s="71" t="s">
        <v>103</v>
      </c>
      <c r="D1254" s="78">
        <v>97.67</v>
      </c>
      <c r="E1254" s="663">
        <v>2</v>
      </c>
      <c r="H1254" s="178">
        <v>97.67</v>
      </c>
      <c r="J1254" s="294"/>
      <c r="K1254" s="295"/>
      <c r="L1254" s="72"/>
      <c r="M1254" s="133"/>
      <c r="N1254" s="72"/>
      <c r="O1254" s="224"/>
      <c r="P1254" s="219"/>
      <c r="Q1254" s="84"/>
      <c r="S1254" s="136"/>
      <c r="T1254" s="136"/>
      <c r="V1254" s="136"/>
    </row>
    <row r="1255" spans="1:22">
      <c r="A1255" s="134" t="s">
        <v>8366</v>
      </c>
      <c r="B1255" s="304" t="s">
        <v>8367</v>
      </c>
      <c r="C1255" s="71" t="s">
        <v>103</v>
      </c>
      <c r="D1255" s="78">
        <v>68</v>
      </c>
      <c r="E1255" s="663">
        <v>2</v>
      </c>
      <c r="H1255" s="308">
        <v>68</v>
      </c>
      <c r="T1255" s="84"/>
    </row>
    <row r="1256" spans="1:22">
      <c r="A1256" s="134" t="s">
        <v>8368</v>
      </c>
      <c r="B1256" s="304" t="s">
        <v>8369</v>
      </c>
      <c r="C1256" s="71" t="s">
        <v>103</v>
      </c>
      <c r="D1256" s="78">
        <v>16.5</v>
      </c>
      <c r="E1256" s="663">
        <v>2</v>
      </c>
      <c r="H1256" s="308">
        <v>16.5</v>
      </c>
      <c r="T1256" s="84"/>
    </row>
    <row r="1257" spans="1:22">
      <c r="A1257" s="71" t="s">
        <v>8370</v>
      </c>
      <c r="B1257" s="67" t="s">
        <v>8371</v>
      </c>
      <c r="C1257" s="71" t="s">
        <v>103</v>
      </c>
      <c r="D1257" s="78">
        <v>48.38</v>
      </c>
      <c r="E1257" s="663">
        <v>2</v>
      </c>
      <c r="H1257" s="178">
        <v>48.38</v>
      </c>
      <c r="J1257" s="294"/>
      <c r="K1257" s="295"/>
      <c r="L1257" s="72"/>
      <c r="M1257" s="133"/>
      <c r="N1257" s="72"/>
      <c r="O1257" s="224"/>
      <c r="P1257" s="219"/>
      <c r="Q1257" s="84"/>
      <c r="S1257" s="136"/>
      <c r="T1257" s="136"/>
      <c r="V1257" s="136"/>
    </row>
    <row r="1258" spans="1:22">
      <c r="A1258" s="134" t="s">
        <v>8372</v>
      </c>
      <c r="B1258" s="312" t="s">
        <v>8373</v>
      </c>
      <c r="C1258" s="306" t="s">
        <v>103</v>
      </c>
      <c r="D1258" s="78">
        <v>44.68</v>
      </c>
      <c r="E1258" s="663">
        <v>2</v>
      </c>
      <c r="H1258" s="308">
        <v>44.68</v>
      </c>
      <c r="T1258" s="84"/>
    </row>
    <row r="1259" spans="1:22">
      <c r="A1259" s="134" t="s">
        <v>8374</v>
      </c>
      <c r="B1259" s="312" t="s">
        <v>8375</v>
      </c>
      <c r="C1259" s="306" t="s">
        <v>103</v>
      </c>
      <c r="D1259" s="78">
        <v>33.979999999999997</v>
      </c>
      <c r="E1259" s="663">
        <v>2</v>
      </c>
      <c r="H1259" s="308">
        <v>33.979999999999997</v>
      </c>
      <c r="T1259" s="84"/>
    </row>
    <row r="1260" spans="1:22">
      <c r="A1260" s="71" t="s">
        <v>8376</v>
      </c>
      <c r="B1260" s="67" t="s">
        <v>8377</v>
      </c>
      <c r="C1260" s="71" t="s">
        <v>103</v>
      </c>
      <c r="D1260" s="78">
        <v>6.14</v>
      </c>
      <c r="E1260" s="663">
        <v>2</v>
      </c>
      <c r="H1260" s="178">
        <v>6.14</v>
      </c>
      <c r="J1260" s="294"/>
      <c r="K1260" s="295"/>
      <c r="L1260" s="72"/>
      <c r="M1260" s="133"/>
      <c r="N1260" s="72"/>
      <c r="O1260" s="224"/>
      <c r="P1260" s="219"/>
      <c r="Q1260" s="84"/>
      <c r="S1260" s="136"/>
      <c r="T1260" s="136"/>
      <c r="V1260" s="136"/>
    </row>
    <row r="1261" spans="1:22">
      <c r="A1261" s="71" t="s">
        <v>41673</v>
      </c>
      <c r="B1261" s="67" t="s">
        <v>41674</v>
      </c>
      <c r="C1261" s="71" t="s">
        <v>103</v>
      </c>
      <c r="D1261" s="78">
        <v>27.19</v>
      </c>
      <c r="E1261" s="663">
        <v>2</v>
      </c>
      <c r="H1261" s="178">
        <v>27.19</v>
      </c>
      <c r="J1261" s="294"/>
      <c r="K1261" s="295"/>
      <c r="M1261" s="72"/>
      <c r="N1261" s="133"/>
      <c r="O1261" s="72"/>
      <c r="P1261" s="224"/>
      <c r="Q1261" s="219"/>
      <c r="T1261" s="136"/>
      <c r="V1261" s="136"/>
    </row>
    <row r="1262" spans="1:22">
      <c r="A1262" s="71" t="s">
        <v>8378</v>
      </c>
      <c r="B1262" s="67" t="s">
        <v>8379</v>
      </c>
      <c r="C1262" s="71" t="s">
        <v>103</v>
      </c>
      <c r="D1262" s="78">
        <v>297.91000000000003</v>
      </c>
      <c r="E1262" s="663">
        <v>2</v>
      </c>
      <c r="H1262" s="179">
        <v>297.91000000000003</v>
      </c>
      <c r="J1262" s="294"/>
      <c r="K1262" s="295"/>
      <c r="L1262" s="72"/>
      <c r="M1262" s="133"/>
      <c r="N1262" s="72"/>
      <c r="O1262" s="224"/>
      <c r="P1262" s="219"/>
      <c r="Q1262" s="84"/>
      <c r="S1262" s="137"/>
      <c r="T1262" s="137"/>
      <c r="V1262" s="137"/>
    </row>
    <row r="1263" spans="1:22">
      <c r="A1263" s="71" t="s">
        <v>8380</v>
      </c>
      <c r="B1263" s="67" t="s">
        <v>8381</v>
      </c>
      <c r="C1263" s="71" t="s">
        <v>103</v>
      </c>
      <c r="D1263" s="78">
        <v>217.26</v>
      </c>
      <c r="E1263" s="663">
        <v>2</v>
      </c>
      <c r="H1263" s="179">
        <v>217.26</v>
      </c>
      <c r="J1263" s="294"/>
      <c r="K1263" s="295"/>
      <c r="L1263" s="72"/>
      <c r="M1263" s="133"/>
      <c r="N1263" s="72"/>
      <c r="O1263" s="224"/>
      <c r="P1263" s="219"/>
      <c r="Q1263" s="84"/>
      <c r="S1263" s="137"/>
      <c r="T1263" s="137"/>
      <c r="V1263" s="137"/>
    </row>
    <row r="1264" spans="1:22">
      <c r="A1264" s="71" t="s">
        <v>8382</v>
      </c>
      <c r="B1264" s="67" t="s">
        <v>8383</v>
      </c>
      <c r="C1264" s="71" t="s">
        <v>103</v>
      </c>
      <c r="D1264" s="78">
        <v>65350.74</v>
      </c>
      <c r="E1264" s="663">
        <v>2</v>
      </c>
      <c r="H1264" s="178">
        <v>65350.74</v>
      </c>
      <c r="J1264" s="294"/>
      <c r="K1264" s="295"/>
      <c r="L1264" s="72"/>
      <c r="M1264" s="133"/>
      <c r="N1264" s="72"/>
      <c r="O1264" s="224"/>
      <c r="P1264" s="219"/>
      <c r="Q1264" s="84"/>
      <c r="S1264" s="136"/>
      <c r="T1264" s="136"/>
      <c r="V1264" s="136"/>
    </row>
    <row r="1265" spans="1:20">
      <c r="A1265" s="71" t="s">
        <v>8384</v>
      </c>
      <c r="B1265" s="312" t="s">
        <v>8385</v>
      </c>
      <c r="C1265" s="306" t="s">
        <v>103</v>
      </c>
      <c r="D1265" s="78">
        <v>95994.58</v>
      </c>
      <c r="E1265" s="663">
        <v>2</v>
      </c>
      <c r="H1265" s="308">
        <v>95994.58</v>
      </c>
      <c r="T1265" s="84"/>
    </row>
    <row r="1266" spans="1:20">
      <c r="A1266" s="71" t="s">
        <v>8386</v>
      </c>
      <c r="B1266" s="67" t="s">
        <v>8387</v>
      </c>
      <c r="C1266" s="71" t="s">
        <v>103</v>
      </c>
      <c r="D1266" s="78">
        <v>14570.78</v>
      </c>
      <c r="E1266" s="663">
        <v>2</v>
      </c>
      <c r="H1266" s="179">
        <v>14570.78</v>
      </c>
      <c r="J1266" s="294"/>
      <c r="K1266" s="295"/>
      <c r="L1266" s="72"/>
      <c r="M1266" s="133"/>
      <c r="N1266" s="72"/>
      <c r="O1266" s="224"/>
      <c r="P1266" s="219"/>
      <c r="Q1266" s="84"/>
      <c r="S1266" s="137"/>
      <c r="T1266" s="137"/>
    </row>
    <row r="1267" spans="1:20">
      <c r="A1267" s="71" t="s">
        <v>8388</v>
      </c>
      <c r="B1267" s="67" t="s">
        <v>8389</v>
      </c>
      <c r="C1267" s="71" t="s">
        <v>103</v>
      </c>
      <c r="D1267" s="78">
        <v>22030.63</v>
      </c>
      <c r="E1267" s="663">
        <v>2</v>
      </c>
      <c r="H1267" s="178">
        <v>22030.63</v>
      </c>
      <c r="J1267" s="294"/>
      <c r="K1267" s="295"/>
      <c r="L1267" s="72"/>
      <c r="M1267" s="133"/>
      <c r="N1267" s="72"/>
      <c r="O1267" s="224"/>
      <c r="P1267" s="219"/>
      <c r="Q1267" s="84"/>
      <c r="S1267" s="136"/>
      <c r="T1267" s="136"/>
    </row>
    <row r="1268" spans="1:20">
      <c r="A1268" s="71" t="s">
        <v>8390</v>
      </c>
      <c r="B1268" s="67" t="s">
        <v>8391</v>
      </c>
      <c r="C1268" s="71" t="s">
        <v>103</v>
      </c>
      <c r="D1268" s="78">
        <v>20637.88</v>
      </c>
      <c r="E1268" s="663">
        <v>2</v>
      </c>
      <c r="H1268" s="178">
        <v>20637.88</v>
      </c>
      <c r="J1268" s="294"/>
      <c r="K1268" s="295"/>
      <c r="L1268" s="72"/>
      <c r="M1268" s="133"/>
      <c r="N1268" s="72"/>
      <c r="O1268" s="224"/>
      <c r="P1268" s="219"/>
      <c r="Q1268" s="84"/>
      <c r="S1268" s="136"/>
      <c r="T1268" s="136"/>
    </row>
    <row r="1269" spans="1:20">
      <c r="A1269" s="71" t="s">
        <v>8392</v>
      </c>
      <c r="B1269" s="67" t="s">
        <v>8393</v>
      </c>
      <c r="C1269" s="71" t="s">
        <v>103</v>
      </c>
      <c r="D1269" s="78">
        <v>27269.88</v>
      </c>
      <c r="E1269" s="663">
        <v>2</v>
      </c>
      <c r="H1269" s="178">
        <v>27269.88</v>
      </c>
      <c r="J1269" s="294"/>
      <c r="K1269" s="295"/>
      <c r="L1269" s="72"/>
      <c r="M1269" s="133"/>
      <c r="N1269" s="72"/>
      <c r="O1269" s="224"/>
      <c r="P1269" s="219"/>
      <c r="Q1269" s="84"/>
      <c r="S1269" s="136"/>
      <c r="T1269" s="136"/>
    </row>
    <row r="1270" spans="1:20">
      <c r="A1270" s="71" t="s">
        <v>8394</v>
      </c>
      <c r="B1270" s="67" t="s">
        <v>8395</v>
      </c>
      <c r="C1270" s="71" t="s">
        <v>103</v>
      </c>
      <c r="D1270" s="78">
        <v>35256.42</v>
      </c>
      <c r="E1270" s="663">
        <v>2</v>
      </c>
      <c r="H1270" s="179">
        <v>35256.42</v>
      </c>
      <c r="J1270" s="294"/>
      <c r="K1270" s="295"/>
      <c r="L1270" s="72"/>
      <c r="M1270" s="133"/>
      <c r="N1270" s="72"/>
      <c r="O1270" s="224"/>
      <c r="P1270" s="219"/>
      <c r="Q1270" s="84"/>
      <c r="S1270" s="137"/>
      <c r="T1270" s="137"/>
    </row>
    <row r="1271" spans="1:20">
      <c r="A1271" s="71" t="s">
        <v>8396</v>
      </c>
      <c r="B1271" s="67" t="s">
        <v>8397</v>
      </c>
      <c r="C1271" s="71" t="s">
        <v>103</v>
      </c>
      <c r="D1271" s="78">
        <v>42081.52</v>
      </c>
      <c r="E1271" s="663">
        <v>2</v>
      </c>
      <c r="H1271" s="179">
        <v>42081.52</v>
      </c>
      <c r="J1271" s="294"/>
      <c r="K1271" s="295"/>
      <c r="L1271" s="72"/>
      <c r="M1271" s="133"/>
      <c r="N1271" s="72"/>
      <c r="O1271" s="224"/>
      <c r="P1271" s="219"/>
      <c r="Q1271" s="84"/>
      <c r="S1271" s="137"/>
      <c r="T1271" s="137"/>
    </row>
    <row r="1272" spans="1:20">
      <c r="A1272" s="71" t="s">
        <v>8398</v>
      </c>
      <c r="B1272" s="67" t="s">
        <v>8399</v>
      </c>
      <c r="C1272" s="71" t="s">
        <v>103</v>
      </c>
      <c r="D1272" s="78">
        <v>75813.279999999999</v>
      </c>
      <c r="E1272" s="663">
        <v>2</v>
      </c>
      <c r="H1272" s="179">
        <v>75813.279999999999</v>
      </c>
      <c r="J1272" s="294"/>
      <c r="K1272" s="295"/>
      <c r="L1272" s="72"/>
      <c r="M1272" s="133"/>
      <c r="N1272" s="72"/>
      <c r="O1272" s="224"/>
      <c r="P1272" s="219"/>
      <c r="Q1272" s="84"/>
      <c r="S1272" s="137"/>
      <c r="T1272" s="137"/>
    </row>
    <row r="1273" spans="1:20">
      <c r="A1273" s="71" t="s">
        <v>8400</v>
      </c>
      <c r="B1273" s="67" t="s">
        <v>8401</v>
      </c>
      <c r="C1273" s="71" t="s">
        <v>103</v>
      </c>
      <c r="D1273" s="78">
        <v>3013.96</v>
      </c>
      <c r="E1273" s="663">
        <v>2</v>
      </c>
      <c r="H1273" s="179">
        <v>3013.96</v>
      </c>
      <c r="J1273" s="294"/>
      <c r="K1273" s="295"/>
      <c r="L1273" s="72"/>
      <c r="M1273" s="133"/>
      <c r="N1273" s="72"/>
      <c r="O1273" s="224"/>
      <c r="P1273" s="219"/>
      <c r="Q1273" s="84"/>
      <c r="S1273" s="137"/>
      <c r="T1273" s="137"/>
    </row>
    <row r="1274" spans="1:20">
      <c r="A1274" s="71" t="s">
        <v>8402</v>
      </c>
      <c r="B1274" s="67" t="s">
        <v>8403</v>
      </c>
      <c r="C1274" s="71" t="s">
        <v>103</v>
      </c>
      <c r="D1274" s="78">
        <v>43079.82</v>
      </c>
      <c r="E1274" s="663">
        <v>2</v>
      </c>
      <c r="H1274" s="179">
        <v>43079.82</v>
      </c>
      <c r="J1274" s="294"/>
      <c r="K1274" s="295"/>
      <c r="L1274" s="72"/>
      <c r="M1274" s="133"/>
      <c r="N1274" s="72"/>
      <c r="O1274" s="224"/>
      <c r="P1274" s="219"/>
      <c r="Q1274" s="84"/>
      <c r="S1274" s="137"/>
      <c r="T1274" s="137"/>
    </row>
    <row r="1275" spans="1:20">
      <c r="A1275" s="71" t="s">
        <v>8404</v>
      </c>
      <c r="B1275" s="67" t="s">
        <v>8405</v>
      </c>
      <c r="C1275" s="71" t="s">
        <v>103</v>
      </c>
      <c r="D1275" s="78">
        <v>48641.42</v>
      </c>
      <c r="E1275" s="663">
        <v>2</v>
      </c>
      <c r="H1275" s="179">
        <v>48641.42</v>
      </c>
      <c r="J1275" s="294"/>
      <c r="K1275" s="295"/>
      <c r="L1275" s="72"/>
      <c r="M1275" s="133"/>
      <c r="N1275" s="72"/>
      <c r="O1275" s="224"/>
      <c r="P1275" s="219"/>
      <c r="Q1275" s="84"/>
      <c r="S1275" s="137"/>
      <c r="T1275" s="137"/>
    </row>
    <row r="1276" spans="1:20">
      <c r="A1276" s="71" t="s">
        <v>8406</v>
      </c>
      <c r="B1276" s="67" t="s">
        <v>8407</v>
      </c>
      <c r="C1276" s="71" t="s">
        <v>103</v>
      </c>
      <c r="D1276" s="78">
        <v>54732.54</v>
      </c>
      <c r="E1276" s="663">
        <v>2</v>
      </c>
      <c r="H1276" s="179">
        <v>54732.54</v>
      </c>
      <c r="J1276" s="294"/>
      <c r="K1276" s="295"/>
      <c r="L1276" s="72"/>
      <c r="M1276" s="133"/>
      <c r="N1276" s="72"/>
      <c r="O1276" s="224"/>
      <c r="P1276" s="219"/>
      <c r="Q1276" s="84"/>
      <c r="S1276" s="137"/>
      <c r="T1276" s="137"/>
    </row>
    <row r="1277" spans="1:20">
      <c r="A1277" s="71" t="s">
        <v>8408</v>
      </c>
      <c r="B1277" s="67" t="s">
        <v>8409</v>
      </c>
      <c r="C1277" s="71" t="s">
        <v>103</v>
      </c>
      <c r="D1277" s="78">
        <v>62017.96</v>
      </c>
      <c r="E1277" s="663">
        <v>2</v>
      </c>
      <c r="H1277" s="179">
        <v>62017.96</v>
      </c>
      <c r="J1277" s="294"/>
      <c r="K1277" s="295"/>
      <c r="L1277" s="72"/>
      <c r="M1277" s="133"/>
      <c r="N1277" s="72"/>
      <c r="O1277" s="224"/>
      <c r="P1277" s="219"/>
      <c r="Q1277" s="84"/>
      <c r="S1277" s="137"/>
      <c r="T1277" s="137"/>
    </row>
    <row r="1278" spans="1:20">
      <c r="A1278" s="71" t="s">
        <v>8410</v>
      </c>
      <c r="B1278" s="67" t="s">
        <v>8411</v>
      </c>
      <c r="C1278" s="71" t="s">
        <v>103</v>
      </c>
      <c r="D1278" s="78">
        <v>1564.81</v>
      </c>
      <c r="E1278" s="663">
        <v>2</v>
      </c>
      <c r="H1278" s="179">
        <v>1564.81</v>
      </c>
      <c r="J1278" s="294"/>
      <c r="K1278" s="295"/>
      <c r="L1278" s="72"/>
      <c r="M1278" s="133"/>
      <c r="N1278" s="72"/>
      <c r="O1278" s="224"/>
      <c r="P1278" s="219"/>
      <c r="Q1278" s="84"/>
      <c r="S1278" s="137"/>
      <c r="T1278" s="137"/>
    </row>
    <row r="1279" spans="1:20">
      <c r="A1279" s="71" t="s">
        <v>8412</v>
      </c>
      <c r="B1279" s="67" t="s">
        <v>8413</v>
      </c>
      <c r="C1279" s="71" t="s">
        <v>103</v>
      </c>
      <c r="D1279" s="78">
        <v>241.71</v>
      </c>
      <c r="E1279" s="663">
        <v>2</v>
      </c>
      <c r="H1279" s="179">
        <v>241.71</v>
      </c>
      <c r="J1279" s="294"/>
      <c r="K1279" s="295"/>
      <c r="L1279" s="72"/>
      <c r="M1279" s="133"/>
      <c r="N1279" s="72"/>
      <c r="O1279" s="224"/>
      <c r="P1279" s="219"/>
      <c r="Q1279" s="84"/>
      <c r="S1279" s="137"/>
      <c r="T1279" s="137"/>
    </row>
    <row r="1280" spans="1:20">
      <c r="A1280" s="71" t="s">
        <v>8414</v>
      </c>
      <c r="B1280" s="67" t="s">
        <v>8415</v>
      </c>
      <c r="C1280" s="71" t="s">
        <v>103</v>
      </c>
      <c r="D1280" s="78">
        <v>302.14</v>
      </c>
      <c r="E1280" s="663">
        <v>2</v>
      </c>
      <c r="H1280" s="179">
        <v>302.14</v>
      </c>
      <c r="J1280" s="294"/>
      <c r="K1280" s="295"/>
      <c r="L1280" s="72"/>
      <c r="M1280" s="133"/>
      <c r="N1280" s="72"/>
      <c r="O1280" s="224"/>
      <c r="P1280" s="219"/>
      <c r="Q1280" s="84"/>
      <c r="S1280" s="137"/>
      <c r="T1280" s="137"/>
    </row>
    <row r="1281" spans="1:22">
      <c r="A1281" s="367" t="s">
        <v>32972</v>
      </c>
      <c r="B1281" s="368" t="s">
        <v>32973</v>
      </c>
      <c r="C1281" s="367" t="s">
        <v>103</v>
      </c>
      <c r="D1281" s="78">
        <v>36.799999999999997</v>
      </c>
      <c r="E1281" s="663">
        <v>2</v>
      </c>
      <c r="H1281" s="78">
        <v>36.799999999999997</v>
      </c>
    </row>
    <row r="1282" spans="1:22">
      <c r="A1282" s="71" t="s">
        <v>8416</v>
      </c>
      <c r="B1282" s="67" t="s">
        <v>8417</v>
      </c>
      <c r="C1282" s="71" t="s">
        <v>103</v>
      </c>
      <c r="D1282" s="78">
        <v>423.42</v>
      </c>
      <c r="E1282" s="663">
        <v>2</v>
      </c>
      <c r="H1282" s="179">
        <v>423.42</v>
      </c>
      <c r="J1282" s="294"/>
      <c r="K1282" s="295"/>
      <c r="L1282" s="72"/>
      <c r="M1282" s="133"/>
      <c r="N1282" s="72"/>
      <c r="O1282" s="224"/>
      <c r="P1282" s="219"/>
      <c r="Q1282" s="84"/>
      <c r="S1282" s="137"/>
      <c r="T1282" s="137"/>
    </row>
    <row r="1283" spans="1:22">
      <c r="A1283" s="367" t="s">
        <v>32974</v>
      </c>
      <c r="B1283" s="368" t="s">
        <v>32975</v>
      </c>
      <c r="C1283" s="367" t="s">
        <v>103</v>
      </c>
      <c r="D1283" s="78">
        <v>35.909999999999997</v>
      </c>
      <c r="E1283" s="663">
        <v>2</v>
      </c>
      <c r="H1283" s="78">
        <v>35.909999999999997</v>
      </c>
    </row>
    <row r="1284" spans="1:22">
      <c r="A1284" s="71" t="s">
        <v>8418</v>
      </c>
      <c r="B1284" s="67" t="s">
        <v>8419</v>
      </c>
      <c r="C1284" s="71" t="s">
        <v>103</v>
      </c>
      <c r="D1284" s="78">
        <v>444.97</v>
      </c>
      <c r="E1284" s="663">
        <v>2</v>
      </c>
      <c r="H1284" s="179">
        <v>444.97</v>
      </c>
      <c r="J1284" s="294"/>
      <c r="K1284" s="295"/>
      <c r="L1284" s="72"/>
      <c r="M1284" s="133"/>
      <c r="N1284" s="72"/>
      <c r="O1284" s="224"/>
      <c r="P1284" s="219"/>
      <c r="Q1284" s="84"/>
      <c r="S1284" s="137"/>
      <c r="T1284" s="137"/>
    </row>
    <row r="1285" spans="1:22">
      <c r="A1285" s="71" t="s">
        <v>8420</v>
      </c>
      <c r="B1285" s="67" t="s">
        <v>8421</v>
      </c>
      <c r="C1285" s="71" t="s">
        <v>103</v>
      </c>
      <c r="D1285" s="78">
        <v>624.94000000000005</v>
      </c>
      <c r="E1285" s="663">
        <v>2</v>
      </c>
      <c r="H1285" s="179">
        <v>624.94000000000005</v>
      </c>
      <c r="J1285" s="294"/>
      <c r="K1285" s="295"/>
      <c r="L1285" s="72"/>
      <c r="M1285" s="133"/>
      <c r="N1285" s="72"/>
      <c r="O1285" s="224"/>
      <c r="P1285" s="219"/>
      <c r="Q1285" s="84"/>
      <c r="S1285" s="137"/>
      <c r="T1285" s="137"/>
    </row>
    <row r="1286" spans="1:22">
      <c r="A1286" s="367" t="s">
        <v>33004</v>
      </c>
      <c r="B1286" s="368" t="s">
        <v>33005</v>
      </c>
      <c r="C1286" s="367" t="s">
        <v>103</v>
      </c>
      <c r="D1286" s="78">
        <v>36.799999999999997</v>
      </c>
      <c r="E1286" s="663">
        <v>2</v>
      </c>
      <c r="H1286" s="78">
        <v>36.799999999999997</v>
      </c>
    </row>
    <row r="1287" spans="1:22">
      <c r="A1287" s="367" t="s">
        <v>33002</v>
      </c>
      <c r="B1287" s="368" t="s">
        <v>33003</v>
      </c>
      <c r="C1287" s="367" t="s">
        <v>103</v>
      </c>
      <c r="D1287" s="78">
        <v>56.95</v>
      </c>
      <c r="E1287" s="663">
        <v>2</v>
      </c>
      <c r="H1287" s="78">
        <v>56.95</v>
      </c>
    </row>
    <row r="1288" spans="1:22">
      <c r="A1288" s="71" t="s">
        <v>8422</v>
      </c>
      <c r="B1288" s="67" t="s">
        <v>8423</v>
      </c>
      <c r="C1288" s="71" t="s">
        <v>103</v>
      </c>
      <c r="D1288" s="78">
        <v>79.849999999999994</v>
      </c>
      <c r="E1288" s="663">
        <v>2</v>
      </c>
      <c r="H1288" s="179">
        <v>79.849999999999994</v>
      </c>
      <c r="J1288" s="294"/>
      <c r="K1288" s="295"/>
      <c r="L1288" s="72"/>
      <c r="M1288" s="133"/>
      <c r="N1288" s="72"/>
      <c r="O1288" s="224"/>
      <c r="P1288" s="219"/>
      <c r="Q1288" s="84"/>
      <c r="S1288" s="137"/>
      <c r="T1288" s="137"/>
    </row>
    <row r="1289" spans="1:22">
      <c r="A1289" s="71" t="s">
        <v>8424</v>
      </c>
      <c r="B1289" s="67" t="s">
        <v>8425</v>
      </c>
      <c r="C1289" s="71" t="s">
        <v>103</v>
      </c>
      <c r="D1289" s="78">
        <v>163.58000000000001</v>
      </c>
      <c r="E1289" s="663">
        <v>2</v>
      </c>
      <c r="H1289" s="179">
        <v>163.58000000000001</v>
      </c>
      <c r="J1289" s="294"/>
      <c r="K1289" s="295"/>
      <c r="L1289" s="72"/>
      <c r="M1289" s="133"/>
      <c r="N1289" s="72"/>
      <c r="O1289" s="224"/>
      <c r="P1289" s="219"/>
      <c r="Q1289" s="84"/>
      <c r="S1289" s="137"/>
      <c r="T1289" s="137"/>
    </row>
    <row r="1290" spans="1:22">
      <c r="A1290" s="71" t="s">
        <v>8426</v>
      </c>
      <c r="B1290" s="67" t="s">
        <v>8427</v>
      </c>
      <c r="C1290" s="71" t="s">
        <v>103</v>
      </c>
      <c r="D1290" s="78">
        <v>276.69</v>
      </c>
      <c r="E1290" s="663">
        <v>2</v>
      </c>
      <c r="H1290" s="179">
        <v>276.69</v>
      </c>
      <c r="J1290" s="294"/>
      <c r="K1290" s="295"/>
      <c r="L1290" s="72"/>
      <c r="M1290" s="133"/>
      <c r="N1290" s="72"/>
      <c r="O1290" s="224"/>
      <c r="P1290" s="219"/>
      <c r="Q1290" s="84"/>
      <c r="S1290" s="137"/>
      <c r="T1290" s="137"/>
    </row>
    <row r="1291" spans="1:22">
      <c r="A1291" s="71" t="s">
        <v>8428</v>
      </c>
      <c r="B1291" s="67" t="s">
        <v>8429</v>
      </c>
      <c r="C1291" s="71" t="s">
        <v>103</v>
      </c>
      <c r="D1291" s="78">
        <v>604.55999999999995</v>
      </c>
      <c r="E1291" s="663">
        <v>2</v>
      </c>
      <c r="H1291" s="179">
        <v>604.55999999999995</v>
      </c>
      <c r="J1291" s="294"/>
      <c r="K1291" s="295"/>
      <c r="L1291" s="72"/>
      <c r="M1291" s="133"/>
      <c r="N1291" s="72"/>
      <c r="O1291" s="224"/>
      <c r="P1291" s="219"/>
      <c r="Q1291" s="84"/>
      <c r="S1291" s="137"/>
      <c r="T1291" s="137"/>
    </row>
    <row r="1292" spans="1:22">
      <c r="A1292" s="71" t="s">
        <v>8430</v>
      </c>
      <c r="B1292" s="67" t="s">
        <v>8431</v>
      </c>
      <c r="C1292" s="71" t="s">
        <v>103</v>
      </c>
      <c r="D1292" s="78">
        <v>71.47</v>
      </c>
      <c r="E1292" s="663">
        <v>2</v>
      </c>
      <c r="H1292" s="179">
        <v>71.47</v>
      </c>
      <c r="J1292" s="97"/>
      <c r="K1292" s="295"/>
      <c r="L1292" s="72"/>
      <c r="M1292" s="133"/>
      <c r="N1292" s="72"/>
      <c r="O1292" s="224"/>
      <c r="P1292" s="219"/>
      <c r="Q1292" s="84"/>
      <c r="S1292" s="137"/>
      <c r="T1292" s="137"/>
      <c r="V1292" s="137"/>
    </row>
    <row r="1293" spans="1:22">
      <c r="A1293" s="71" t="s">
        <v>8432</v>
      </c>
      <c r="B1293" s="67" t="s">
        <v>8433</v>
      </c>
      <c r="C1293" s="71" t="s">
        <v>103</v>
      </c>
      <c r="D1293" s="78">
        <v>3694.17</v>
      </c>
      <c r="E1293" s="663">
        <v>2</v>
      </c>
      <c r="H1293" s="179">
        <v>3694.17</v>
      </c>
      <c r="J1293" s="294"/>
      <c r="K1293" s="295"/>
      <c r="L1293" s="72"/>
      <c r="M1293" s="133"/>
      <c r="N1293" s="72"/>
      <c r="O1293" s="224"/>
      <c r="P1293" s="219"/>
      <c r="Q1293" s="84"/>
      <c r="S1293" s="137"/>
      <c r="T1293" s="137"/>
    </row>
    <row r="1294" spans="1:22">
      <c r="A1294" s="71" t="s">
        <v>8434</v>
      </c>
      <c r="B1294" s="67" t="s">
        <v>8435</v>
      </c>
      <c r="C1294" s="71" t="s">
        <v>103</v>
      </c>
      <c r="D1294" s="78">
        <v>26.08</v>
      </c>
      <c r="E1294" s="663">
        <v>2</v>
      </c>
      <c r="H1294" s="179">
        <v>26.08</v>
      </c>
      <c r="J1294" s="295"/>
      <c r="K1294" s="295"/>
      <c r="L1294" s="72"/>
      <c r="M1294" s="133"/>
      <c r="N1294" s="72"/>
      <c r="O1294" s="224"/>
      <c r="P1294" s="219"/>
      <c r="Q1294" s="84"/>
      <c r="S1294" s="137"/>
      <c r="T1294" s="137"/>
      <c r="V1294" s="137"/>
    </row>
    <row r="1295" spans="1:22">
      <c r="A1295" s="71" t="s">
        <v>8436</v>
      </c>
      <c r="B1295" s="67" t="s">
        <v>8437</v>
      </c>
      <c r="C1295" s="71" t="s">
        <v>103</v>
      </c>
      <c r="D1295" s="78">
        <v>237.48</v>
      </c>
      <c r="E1295" s="663">
        <v>2</v>
      </c>
      <c r="H1295" s="179">
        <v>237.48</v>
      </c>
      <c r="J1295" s="294"/>
      <c r="K1295" s="295"/>
      <c r="L1295" s="72"/>
      <c r="M1295" s="133"/>
      <c r="N1295" s="72"/>
      <c r="O1295" s="224"/>
      <c r="P1295" s="219"/>
      <c r="Q1295" s="84"/>
      <c r="S1295" s="137"/>
      <c r="T1295" s="137"/>
    </row>
    <row r="1296" spans="1:22">
      <c r="A1296" s="71" t="s">
        <v>8438</v>
      </c>
      <c r="B1296" s="67" t="s">
        <v>8439</v>
      </c>
      <c r="C1296" s="71" t="s">
        <v>103</v>
      </c>
      <c r="D1296" s="78">
        <v>247.26</v>
      </c>
      <c r="E1296" s="663">
        <v>2</v>
      </c>
      <c r="H1296" s="179">
        <v>247.26</v>
      </c>
      <c r="J1296" s="294"/>
      <c r="K1296" s="295"/>
      <c r="L1296" s="72"/>
      <c r="M1296" s="133"/>
      <c r="N1296" s="72"/>
      <c r="O1296" s="224"/>
      <c r="P1296" s="219"/>
      <c r="Q1296" s="84"/>
      <c r="S1296" s="137"/>
      <c r="T1296" s="137"/>
    </row>
    <row r="1297" spans="1:22">
      <c r="A1297" s="71" t="s">
        <v>8440</v>
      </c>
      <c r="B1297" s="67" t="s">
        <v>8441</v>
      </c>
      <c r="C1297" s="71" t="s">
        <v>103</v>
      </c>
      <c r="D1297" s="78">
        <v>236.84</v>
      </c>
      <c r="E1297" s="663">
        <v>2</v>
      </c>
      <c r="H1297" s="179">
        <v>236.84</v>
      </c>
      <c r="J1297" s="294"/>
      <c r="K1297" s="295"/>
      <c r="L1297" s="72"/>
      <c r="M1297" s="133"/>
      <c r="N1297" s="72"/>
      <c r="O1297" s="224"/>
      <c r="P1297" s="219"/>
      <c r="Q1297" s="84"/>
      <c r="S1297" s="137"/>
      <c r="T1297" s="137"/>
    </row>
    <row r="1298" spans="1:22">
      <c r="A1298" s="71" t="s">
        <v>8442</v>
      </c>
      <c r="B1298" s="67" t="s">
        <v>8443</v>
      </c>
      <c r="C1298" s="71" t="s">
        <v>103</v>
      </c>
      <c r="D1298" s="78">
        <v>241.44</v>
      </c>
      <c r="E1298" s="663">
        <v>2</v>
      </c>
      <c r="H1298" s="179">
        <v>241.44</v>
      </c>
      <c r="J1298" s="294"/>
      <c r="K1298" s="295"/>
      <c r="L1298" s="72"/>
      <c r="M1298" s="133"/>
      <c r="N1298" s="72"/>
      <c r="O1298" s="224"/>
      <c r="P1298" s="219"/>
      <c r="Q1298" s="84"/>
      <c r="S1298" s="137"/>
      <c r="T1298" s="137"/>
    </row>
    <row r="1299" spans="1:22">
      <c r="A1299" s="71" t="s">
        <v>8444</v>
      </c>
      <c r="B1299" s="67" t="s">
        <v>8445</v>
      </c>
      <c r="C1299" s="71" t="s">
        <v>103</v>
      </c>
      <c r="D1299" s="78">
        <v>277.95</v>
      </c>
      <c r="E1299" s="663">
        <v>2</v>
      </c>
      <c r="H1299" s="179">
        <v>277.95</v>
      </c>
      <c r="J1299" s="294"/>
      <c r="K1299" s="295"/>
      <c r="L1299" s="72"/>
      <c r="M1299" s="133"/>
      <c r="N1299" s="72"/>
      <c r="O1299" s="224"/>
      <c r="P1299" s="219"/>
      <c r="Q1299" s="84"/>
      <c r="S1299" s="137"/>
      <c r="T1299" s="137"/>
    </row>
    <row r="1300" spans="1:22">
      <c r="A1300" s="71" t="s">
        <v>8446</v>
      </c>
      <c r="B1300" s="67" t="s">
        <v>8447</v>
      </c>
      <c r="C1300" s="71" t="s">
        <v>103</v>
      </c>
      <c r="D1300" s="78">
        <v>302.06</v>
      </c>
      <c r="E1300" s="663">
        <v>2</v>
      </c>
      <c r="H1300" s="179">
        <v>302.06</v>
      </c>
      <c r="J1300" s="294"/>
      <c r="K1300" s="295"/>
      <c r="L1300" s="72"/>
      <c r="M1300" s="133"/>
      <c r="N1300" s="72"/>
      <c r="O1300" s="224"/>
      <c r="P1300" s="219"/>
      <c r="Q1300" s="84"/>
      <c r="S1300" s="137"/>
      <c r="T1300" s="137"/>
    </row>
    <row r="1301" spans="1:22">
      <c r="A1301" s="71" t="s">
        <v>8448</v>
      </c>
      <c r="B1301" s="67" t="s">
        <v>8449</v>
      </c>
      <c r="C1301" s="71" t="s">
        <v>103</v>
      </c>
      <c r="D1301" s="78">
        <v>323.77999999999997</v>
      </c>
      <c r="E1301" s="663">
        <v>2</v>
      </c>
      <c r="H1301" s="179">
        <v>323.77999999999997</v>
      </c>
      <c r="I1301" s="731"/>
      <c r="J1301" s="294"/>
      <c r="K1301" s="295"/>
      <c r="L1301" s="72"/>
      <c r="M1301" s="133"/>
      <c r="N1301" s="72"/>
      <c r="O1301" s="224"/>
      <c r="P1301" s="219"/>
      <c r="Q1301" s="84"/>
      <c r="S1301" s="137"/>
      <c r="T1301" s="137"/>
      <c r="V1301" s="137"/>
    </row>
    <row r="1302" spans="1:22">
      <c r="A1302" s="71" t="s">
        <v>8450</v>
      </c>
      <c r="B1302" s="67" t="s">
        <v>8451</v>
      </c>
      <c r="C1302" s="71" t="s">
        <v>103</v>
      </c>
      <c r="D1302" s="78">
        <v>305.17</v>
      </c>
      <c r="E1302" s="663">
        <v>2</v>
      </c>
      <c r="H1302" s="179">
        <v>305.17</v>
      </c>
      <c r="J1302" s="294"/>
      <c r="K1302" s="295"/>
      <c r="L1302" s="72"/>
      <c r="M1302" s="133"/>
      <c r="N1302" s="72"/>
      <c r="O1302" s="224"/>
      <c r="P1302" s="219"/>
      <c r="Q1302" s="84"/>
      <c r="S1302" s="137"/>
      <c r="T1302" s="137"/>
      <c r="V1302" s="137"/>
    </row>
    <row r="1303" spans="1:22">
      <c r="A1303" s="71" t="s">
        <v>8452</v>
      </c>
      <c r="B1303" s="67" t="s">
        <v>8453</v>
      </c>
      <c r="C1303" s="71" t="s">
        <v>103</v>
      </c>
      <c r="D1303" s="78">
        <v>290.22000000000003</v>
      </c>
      <c r="E1303" s="663">
        <v>2</v>
      </c>
      <c r="H1303" s="179">
        <v>290.22000000000003</v>
      </c>
      <c r="J1303" s="294"/>
      <c r="K1303" s="295"/>
      <c r="L1303" s="72"/>
      <c r="M1303" s="133"/>
      <c r="N1303" s="72"/>
      <c r="O1303" s="224"/>
      <c r="P1303" s="219"/>
      <c r="Q1303" s="84"/>
      <c r="S1303" s="137"/>
      <c r="T1303" s="137"/>
      <c r="V1303" s="137"/>
    </row>
    <row r="1304" spans="1:22">
      <c r="A1304" s="71" t="s">
        <v>8454</v>
      </c>
      <c r="B1304" s="67" t="s">
        <v>8455</v>
      </c>
      <c r="C1304" s="71" t="s">
        <v>103</v>
      </c>
      <c r="D1304" s="78">
        <v>346.44</v>
      </c>
      <c r="E1304" s="663">
        <v>2</v>
      </c>
      <c r="H1304" s="179">
        <v>346.44</v>
      </c>
      <c r="J1304" s="294"/>
      <c r="K1304" s="295"/>
      <c r="L1304" s="72"/>
      <c r="M1304" s="133"/>
      <c r="N1304" s="72"/>
      <c r="O1304" s="224"/>
      <c r="P1304" s="219"/>
      <c r="Q1304" s="84"/>
      <c r="S1304" s="137"/>
      <c r="T1304" s="137"/>
      <c r="V1304" s="137"/>
    </row>
    <row r="1305" spans="1:22">
      <c r="A1305" s="71" t="s">
        <v>8456</v>
      </c>
      <c r="B1305" s="67" t="s">
        <v>8457</v>
      </c>
      <c r="C1305" s="71" t="s">
        <v>103</v>
      </c>
      <c r="D1305" s="78">
        <v>537.88</v>
      </c>
      <c r="E1305" s="663">
        <v>2</v>
      </c>
      <c r="H1305" s="179">
        <v>537.88</v>
      </c>
      <c r="J1305" s="294"/>
      <c r="K1305" s="295"/>
      <c r="L1305" s="72"/>
      <c r="M1305" s="133"/>
      <c r="N1305" s="72"/>
      <c r="O1305" s="224"/>
      <c r="P1305" s="219"/>
      <c r="Q1305" s="84"/>
      <c r="S1305" s="137"/>
      <c r="T1305" s="137"/>
      <c r="V1305" s="137"/>
    </row>
    <row r="1306" spans="1:22">
      <c r="A1306" s="134" t="s">
        <v>8458</v>
      </c>
      <c r="B1306" s="312" t="s">
        <v>8459</v>
      </c>
      <c r="C1306" s="71" t="s">
        <v>165</v>
      </c>
      <c r="D1306" s="78">
        <v>9.08</v>
      </c>
      <c r="E1306" s="663">
        <v>2</v>
      </c>
      <c r="H1306" s="308">
        <v>9.08</v>
      </c>
      <c r="T1306" s="84"/>
    </row>
    <row r="1307" spans="1:22">
      <c r="A1307" s="134" t="s">
        <v>8460</v>
      </c>
      <c r="B1307" s="312" t="s">
        <v>8461</v>
      </c>
      <c r="C1307" s="71" t="s">
        <v>165</v>
      </c>
      <c r="D1307" s="78">
        <v>24.13</v>
      </c>
      <c r="E1307" s="663">
        <v>2</v>
      </c>
      <c r="H1307" s="308">
        <v>24.13</v>
      </c>
      <c r="T1307" s="84"/>
    </row>
    <row r="1308" spans="1:22">
      <c r="A1308" s="134" t="s">
        <v>8462</v>
      </c>
      <c r="B1308" s="312" t="s">
        <v>8463</v>
      </c>
      <c r="C1308" s="71" t="s">
        <v>165</v>
      </c>
      <c r="D1308" s="78">
        <v>32.07</v>
      </c>
      <c r="E1308" s="663">
        <v>2</v>
      </c>
      <c r="H1308" s="308">
        <v>32.07</v>
      </c>
      <c r="T1308" s="84"/>
    </row>
    <row r="1309" spans="1:22">
      <c r="A1309" s="134" t="s">
        <v>8464</v>
      </c>
      <c r="B1309" s="312" t="s">
        <v>8465</v>
      </c>
      <c r="C1309" s="71" t="s">
        <v>165</v>
      </c>
      <c r="D1309" s="78">
        <v>34.85</v>
      </c>
      <c r="E1309" s="663">
        <v>2</v>
      </c>
      <c r="H1309" s="308">
        <v>34.85</v>
      </c>
      <c r="T1309" s="84"/>
    </row>
    <row r="1310" spans="1:22">
      <c r="A1310" s="134" t="s">
        <v>8466</v>
      </c>
      <c r="B1310" s="312" t="s">
        <v>8467</v>
      </c>
      <c r="C1310" s="71" t="s">
        <v>165</v>
      </c>
      <c r="D1310" s="78">
        <v>4.28</v>
      </c>
      <c r="E1310" s="663">
        <v>2</v>
      </c>
      <c r="H1310" s="308">
        <v>4.28</v>
      </c>
      <c r="T1310" s="84"/>
    </row>
    <row r="1311" spans="1:22">
      <c r="A1311" s="134" t="s">
        <v>8468</v>
      </c>
      <c r="B1311" s="312" t="s">
        <v>8469</v>
      </c>
      <c r="C1311" s="71" t="s">
        <v>165</v>
      </c>
      <c r="D1311" s="78">
        <v>11.9</v>
      </c>
      <c r="E1311" s="663">
        <v>2</v>
      </c>
      <c r="H1311" s="308">
        <v>11.9</v>
      </c>
      <c r="T1311" s="84"/>
    </row>
    <row r="1312" spans="1:22">
      <c r="A1312" s="134" t="s">
        <v>8470</v>
      </c>
      <c r="B1312" s="312" t="s">
        <v>8471</v>
      </c>
      <c r="C1312" s="71" t="s">
        <v>165</v>
      </c>
      <c r="D1312" s="78">
        <v>16.829999999999998</v>
      </c>
      <c r="E1312" s="663">
        <v>2</v>
      </c>
      <c r="H1312" s="308">
        <v>16.829999999999998</v>
      </c>
      <c r="T1312" s="84"/>
    </row>
    <row r="1313" spans="1:22">
      <c r="A1313" s="134" t="s">
        <v>8472</v>
      </c>
      <c r="B1313" s="312" t="s">
        <v>8473</v>
      </c>
      <c r="C1313" s="71" t="s">
        <v>165</v>
      </c>
      <c r="D1313" s="78">
        <v>21.68</v>
      </c>
      <c r="E1313" s="663">
        <v>2</v>
      </c>
      <c r="H1313" s="308">
        <v>21.68</v>
      </c>
      <c r="T1313" s="84"/>
    </row>
    <row r="1314" spans="1:22">
      <c r="A1314" s="71" t="s">
        <v>8474</v>
      </c>
      <c r="B1314" s="67" t="s">
        <v>8475</v>
      </c>
      <c r="C1314" s="71" t="s">
        <v>103</v>
      </c>
      <c r="D1314" s="78">
        <v>6.72</v>
      </c>
      <c r="E1314" s="663">
        <v>2</v>
      </c>
      <c r="H1314" s="179">
        <v>6.72</v>
      </c>
      <c r="J1314" s="294"/>
      <c r="K1314" s="295"/>
      <c r="L1314" s="72"/>
      <c r="M1314" s="133"/>
      <c r="N1314" s="72"/>
      <c r="O1314" s="224"/>
      <c r="P1314" s="219"/>
      <c r="Q1314" s="84"/>
      <c r="S1314" s="137"/>
      <c r="T1314" s="137"/>
      <c r="V1314" s="137"/>
    </row>
    <row r="1315" spans="1:22">
      <c r="A1315" s="71" t="s">
        <v>8476</v>
      </c>
      <c r="B1315" s="67" t="s">
        <v>8477</v>
      </c>
      <c r="C1315" s="71" t="s">
        <v>103</v>
      </c>
      <c r="D1315" s="78">
        <v>8.51</v>
      </c>
      <c r="E1315" s="663">
        <v>2</v>
      </c>
      <c r="H1315" s="178">
        <v>8.51</v>
      </c>
      <c r="J1315" s="294"/>
      <c r="K1315" s="295"/>
      <c r="L1315" s="72"/>
      <c r="M1315" s="133"/>
      <c r="N1315" s="72"/>
      <c r="O1315" s="224"/>
      <c r="P1315" s="219"/>
      <c r="Q1315" s="84"/>
      <c r="S1315" s="136"/>
      <c r="T1315" s="136"/>
      <c r="V1315" s="136"/>
    </row>
    <row r="1316" spans="1:22">
      <c r="A1316" s="71" t="s">
        <v>8478</v>
      </c>
      <c r="B1316" s="67" t="s">
        <v>8479</v>
      </c>
      <c r="C1316" s="71" t="s">
        <v>103</v>
      </c>
      <c r="D1316" s="78">
        <v>5</v>
      </c>
      <c r="E1316" s="663">
        <v>2</v>
      </c>
      <c r="H1316" s="178">
        <v>5</v>
      </c>
      <c r="J1316" s="294"/>
      <c r="K1316" s="295"/>
      <c r="L1316" s="72"/>
      <c r="M1316" s="133"/>
      <c r="N1316" s="72"/>
      <c r="O1316" s="224"/>
      <c r="P1316" s="219"/>
      <c r="Q1316" s="84"/>
      <c r="S1316" s="136"/>
      <c r="T1316" s="136"/>
      <c r="V1316" s="136"/>
    </row>
    <row r="1317" spans="1:22">
      <c r="A1317" s="71" t="s">
        <v>8480</v>
      </c>
      <c r="B1317" s="67" t="s">
        <v>8481</v>
      </c>
      <c r="C1317" s="71" t="s">
        <v>103</v>
      </c>
      <c r="D1317" s="78">
        <v>17.39</v>
      </c>
      <c r="E1317" s="663">
        <v>2</v>
      </c>
      <c r="H1317" s="179">
        <v>17.39</v>
      </c>
      <c r="J1317" s="294"/>
      <c r="K1317" s="295"/>
      <c r="L1317" s="72"/>
      <c r="M1317" s="133"/>
      <c r="N1317" s="72"/>
      <c r="O1317" s="224"/>
      <c r="P1317" s="219"/>
      <c r="Q1317" s="84"/>
      <c r="S1317" s="137"/>
      <c r="T1317" s="137"/>
      <c r="V1317" s="137"/>
    </row>
    <row r="1318" spans="1:22">
      <c r="A1318" s="71" t="s">
        <v>8482</v>
      </c>
      <c r="B1318" s="67" t="s">
        <v>8483</v>
      </c>
      <c r="C1318" s="71" t="s">
        <v>103</v>
      </c>
      <c r="D1318" s="78">
        <v>24.95</v>
      </c>
      <c r="E1318" s="663">
        <v>2</v>
      </c>
      <c r="H1318" s="179">
        <v>24.95</v>
      </c>
      <c r="J1318" s="294"/>
      <c r="K1318" s="295"/>
      <c r="L1318" s="72"/>
      <c r="M1318" s="133"/>
      <c r="N1318" s="72"/>
      <c r="O1318" s="224"/>
      <c r="P1318" s="219"/>
      <c r="Q1318" s="84"/>
      <c r="S1318" s="137"/>
      <c r="T1318" s="137"/>
      <c r="V1318" s="137"/>
    </row>
    <row r="1319" spans="1:22">
      <c r="A1319" s="134" t="s">
        <v>8484</v>
      </c>
      <c r="B1319" s="304" t="s">
        <v>8485</v>
      </c>
      <c r="C1319" s="71" t="s">
        <v>103</v>
      </c>
      <c r="D1319" s="78">
        <v>198.17</v>
      </c>
      <c r="E1319" s="663">
        <v>2</v>
      </c>
      <c r="H1319" s="308">
        <v>198.17</v>
      </c>
      <c r="T1319" s="84"/>
    </row>
    <row r="1320" spans="1:22">
      <c r="A1320" s="71" t="s">
        <v>8486</v>
      </c>
      <c r="B1320" s="67" t="s">
        <v>8487</v>
      </c>
      <c r="C1320" s="71" t="s">
        <v>103</v>
      </c>
      <c r="D1320" s="78">
        <v>39.92</v>
      </c>
      <c r="E1320" s="663">
        <v>2</v>
      </c>
      <c r="H1320" s="179">
        <v>39.92</v>
      </c>
      <c r="J1320" s="294"/>
      <c r="K1320" s="295"/>
      <c r="L1320" s="72"/>
      <c r="M1320" s="133"/>
      <c r="N1320" s="72"/>
      <c r="O1320" s="224"/>
      <c r="P1320" s="219"/>
      <c r="Q1320" s="84"/>
      <c r="S1320" s="137"/>
      <c r="T1320" s="137"/>
      <c r="V1320" s="137"/>
    </row>
    <row r="1321" spans="1:22">
      <c r="A1321" s="71" t="s">
        <v>8488</v>
      </c>
      <c r="B1321" s="67" t="s">
        <v>8489</v>
      </c>
      <c r="C1321" s="71" t="s">
        <v>103</v>
      </c>
      <c r="D1321" s="78">
        <v>95.01</v>
      </c>
      <c r="E1321" s="663">
        <v>2</v>
      </c>
      <c r="H1321" s="179">
        <v>95.01</v>
      </c>
      <c r="J1321" s="294"/>
      <c r="K1321" s="295"/>
      <c r="L1321" s="72"/>
      <c r="M1321" s="133"/>
      <c r="N1321" s="72"/>
      <c r="O1321" s="224"/>
      <c r="P1321" s="219"/>
      <c r="Q1321" s="84"/>
      <c r="S1321" s="137"/>
      <c r="T1321" s="137"/>
      <c r="V1321" s="137"/>
    </row>
    <row r="1322" spans="1:22">
      <c r="A1322" s="71" t="s">
        <v>8490</v>
      </c>
      <c r="B1322" s="67" t="s">
        <v>8491</v>
      </c>
      <c r="C1322" s="71" t="s">
        <v>103</v>
      </c>
      <c r="D1322" s="78">
        <v>131.63999999999999</v>
      </c>
      <c r="E1322" s="663">
        <v>2</v>
      </c>
      <c r="H1322" s="179">
        <v>131.63999999999999</v>
      </c>
      <c r="J1322" s="294"/>
      <c r="K1322" s="295"/>
      <c r="L1322" s="72"/>
      <c r="M1322" s="133"/>
      <c r="N1322" s="72"/>
      <c r="O1322" s="224"/>
      <c r="P1322" s="219"/>
      <c r="Q1322" s="84"/>
      <c r="S1322" s="137"/>
      <c r="T1322" s="137"/>
      <c r="V1322" s="137"/>
    </row>
    <row r="1323" spans="1:22">
      <c r="A1323" s="71" t="s">
        <v>8492</v>
      </c>
      <c r="B1323" s="67" t="s">
        <v>8493</v>
      </c>
      <c r="C1323" s="71" t="s">
        <v>103</v>
      </c>
      <c r="D1323" s="78">
        <v>11.92</v>
      </c>
      <c r="E1323" s="663">
        <v>2</v>
      </c>
      <c r="H1323" s="178">
        <v>11.92</v>
      </c>
      <c r="J1323" s="294"/>
      <c r="K1323" s="295"/>
      <c r="L1323" s="72"/>
      <c r="M1323" s="133"/>
      <c r="N1323" s="72"/>
      <c r="O1323" s="224"/>
      <c r="P1323" s="219"/>
      <c r="Q1323" s="84"/>
      <c r="S1323" s="136"/>
      <c r="T1323" s="136"/>
      <c r="V1323" s="136"/>
    </row>
    <row r="1324" spans="1:22">
      <c r="A1324" s="71" t="s">
        <v>8494</v>
      </c>
      <c r="B1324" s="67" t="s">
        <v>8495</v>
      </c>
      <c r="C1324" s="71" t="s">
        <v>103</v>
      </c>
      <c r="D1324" s="78">
        <v>30.38</v>
      </c>
      <c r="E1324" s="663">
        <v>2</v>
      </c>
      <c r="H1324" s="179">
        <v>30.38</v>
      </c>
      <c r="J1324" s="294"/>
      <c r="K1324" s="295"/>
      <c r="L1324" s="72"/>
      <c r="M1324" s="133"/>
      <c r="N1324" s="72"/>
      <c r="O1324" s="224"/>
      <c r="P1324" s="219"/>
      <c r="Q1324" s="84"/>
      <c r="S1324" s="137"/>
      <c r="T1324" s="137"/>
      <c r="V1324" s="137"/>
    </row>
    <row r="1325" spans="1:22">
      <c r="A1325" s="71" t="s">
        <v>8496</v>
      </c>
      <c r="B1325" s="67" t="s">
        <v>8497</v>
      </c>
      <c r="C1325" s="71" t="s">
        <v>103</v>
      </c>
      <c r="D1325" s="78">
        <v>48.37</v>
      </c>
      <c r="E1325" s="663">
        <v>2</v>
      </c>
      <c r="H1325" s="179">
        <v>48.37</v>
      </c>
      <c r="J1325" s="294"/>
      <c r="K1325" s="295"/>
      <c r="L1325" s="72"/>
      <c r="M1325" s="133"/>
      <c r="N1325" s="72"/>
      <c r="O1325" s="224"/>
      <c r="P1325" s="219"/>
      <c r="Q1325" s="84"/>
      <c r="S1325" s="137"/>
      <c r="T1325" s="137"/>
      <c r="V1325" s="137"/>
    </row>
    <row r="1326" spans="1:22">
      <c r="A1326" s="71" t="s">
        <v>8498</v>
      </c>
      <c r="B1326" s="67" t="s">
        <v>8499</v>
      </c>
      <c r="C1326" s="71" t="s">
        <v>103</v>
      </c>
      <c r="D1326" s="78">
        <v>67.55</v>
      </c>
      <c r="E1326" s="663">
        <v>2</v>
      </c>
      <c r="H1326" s="179">
        <v>67.55</v>
      </c>
      <c r="J1326" s="294"/>
      <c r="K1326" s="295"/>
      <c r="L1326" s="72"/>
      <c r="M1326" s="133"/>
      <c r="N1326" s="72"/>
      <c r="O1326" s="224"/>
      <c r="P1326" s="219"/>
      <c r="Q1326" s="84"/>
      <c r="S1326" s="137"/>
      <c r="T1326" s="137"/>
      <c r="V1326" s="137"/>
    </row>
    <row r="1327" spans="1:22">
      <c r="A1327" s="71" t="s">
        <v>8500</v>
      </c>
      <c r="B1327" s="67" t="s">
        <v>8501</v>
      </c>
      <c r="C1327" s="71" t="s">
        <v>103</v>
      </c>
      <c r="D1327" s="78">
        <v>135.07</v>
      </c>
      <c r="E1327" s="663">
        <v>2</v>
      </c>
      <c r="H1327" s="179">
        <v>135.07</v>
      </c>
      <c r="J1327" s="294"/>
      <c r="K1327" s="295"/>
      <c r="L1327" s="72"/>
      <c r="M1327" s="133"/>
      <c r="N1327" s="72"/>
      <c r="O1327" s="224"/>
      <c r="P1327" s="219"/>
      <c r="Q1327" s="84"/>
      <c r="S1327" s="137"/>
      <c r="T1327" s="137"/>
      <c r="V1327" s="137"/>
    </row>
    <row r="1328" spans="1:22">
      <c r="A1328" s="71" t="s">
        <v>8502</v>
      </c>
      <c r="B1328" s="67" t="s">
        <v>8503</v>
      </c>
      <c r="C1328" s="71" t="s">
        <v>103</v>
      </c>
      <c r="D1328" s="78">
        <v>176.6</v>
      </c>
      <c r="E1328" s="663">
        <v>2</v>
      </c>
      <c r="H1328" s="179">
        <v>176.6</v>
      </c>
      <c r="J1328" s="294"/>
      <c r="K1328" s="295"/>
      <c r="L1328" s="72"/>
      <c r="M1328" s="133"/>
      <c r="N1328" s="72"/>
      <c r="O1328" s="224"/>
      <c r="P1328" s="219"/>
      <c r="Q1328" s="84"/>
      <c r="S1328" s="137"/>
      <c r="T1328" s="137"/>
      <c r="V1328" s="137"/>
    </row>
    <row r="1329" spans="1:22">
      <c r="A1329" s="71" t="s">
        <v>8504</v>
      </c>
      <c r="B1329" s="67" t="s">
        <v>8505</v>
      </c>
      <c r="C1329" s="71" t="s">
        <v>103</v>
      </c>
      <c r="D1329" s="78">
        <v>15.26</v>
      </c>
      <c r="E1329" s="663">
        <v>2</v>
      </c>
      <c r="H1329" s="178">
        <v>15.26</v>
      </c>
      <c r="J1329" s="294"/>
      <c r="K1329" s="295"/>
      <c r="L1329" s="72"/>
      <c r="M1329" s="133"/>
      <c r="N1329" s="72"/>
      <c r="O1329" s="224"/>
      <c r="P1329" s="219"/>
      <c r="Q1329" s="84"/>
      <c r="S1329" s="136"/>
      <c r="T1329" s="136"/>
      <c r="V1329" s="136"/>
    </row>
    <row r="1330" spans="1:22">
      <c r="A1330" s="71" t="s">
        <v>8506</v>
      </c>
      <c r="B1330" s="67" t="s">
        <v>8507</v>
      </c>
      <c r="C1330" s="71" t="s">
        <v>103</v>
      </c>
      <c r="D1330" s="78">
        <v>21.49</v>
      </c>
      <c r="E1330" s="663">
        <v>2</v>
      </c>
      <c r="H1330" s="178">
        <v>21.49</v>
      </c>
      <c r="J1330" s="294"/>
      <c r="K1330" s="295"/>
      <c r="L1330" s="72"/>
      <c r="M1330" s="133"/>
      <c r="N1330" s="72"/>
      <c r="O1330" s="224"/>
      <c r="P1330" s="219"/>
      <c r="Q1330" s="84"/>
      <c r="S1330" s="136"/>
      <c r="T1330" s="136"/>
      <c r="V1330" s="136"/>
    </row>
    <row r="1331" spans="1:22">
      <c r="A1331" s="134" t="s">
        <v>8508</v>
      </c>
      <c r="B1331" s="304" t="s">
        <v>8509</v>
      </c>
      <c r="C1331" s="71" t="s">
        <v>103</v>
      </c>
      <c r="D1331" s="78">
        <v>31.43</v>
      </c>
      <c r="E1331" s="663">
        <v>2</v>
      </c>
      <c r="H1331" s="308">
        <v>31.43</v>
      </c>
      <c r="T1331" s="84"/>
    </row>
    <row r="1332" spans="1:22">
      <c r="A1332" s="71" t="s">
        <v>8510</v>
      </c>
      <c r="B1332" s="67" t="s">
        <v>8511</v>
      </c>
      <c r="C1332" s="71" t="s">
        <v>103</v>
      </c>
      <c r="D1332" s="78">
        <v>1.46</v>
      </c>
      <c r="E1332" s="663">
        <v>2</v>
      </c>
      <c r="H1332" s="178">
        <v>1.46</v>
      </c>
      <c r="J1332" s="294"/>
      <c r="K1332" s="295"/>
      <c r="L1332" s="72"/>
      <c r="M1332" s="133"/>
      <c r="N1332" s="72"/>
      <c r="O1332" s="224"/>
      <c r="P1332" s="219"/>
      <c r="Q1332" s="84"/>
      <c r="S1332" s="136"/>
      <c r="T1332" s="136"/>
      <c r="V1332" s="136"/>
    </row>
    <row r="1333" spans="1:22">
      <c r="A1333" s="71" t="s">
        <v>8512</v>
      </c>
      <c r="B1333" s="67" t="s">
        <v>8513</v>
      </c>
      <c r="C1333" s="71" t="s">
        <v>103</v>
      </c>
      <c r="D1333" s="78">
        <v>1.58</v>
      </c>
      <c r="E1333" s="663">
        <v>2</v>
      </c>
      <c r="H1333" s="179">
        <v>1.58</v>
      </c>
      <c r="J1333" s="294"/>
      <c r="K1333" s="295"/>
      <c r="L1333" s="72"/>
      <c r="M1333" s="133"/>
      <c r="N1333" s="72"/>
      <c r="O1333" s="224"/>
      <c r="P1333" s="219"/>
      <c r="Q1333" s="84"/>
      <c r="S1333" s="137"/>
      <c r="T1333" s="137"/>
      <c r="V1333" s="137"/>
    </row>
    <row r="1334" spans="1:22">
      <c r="A1334" s="71" t="s">
        <v>8514</v>
      </c>
      <c r="B1334" s="67" t="s">
        <v>8515</v>
      </c>
      <c r="C1334" s="71" t="s">
        <v>103</v>
      </c>
      <c r="D1334" s="78">
        <v>2.08</v>
      </c>
      <c r="E1334" s="663">
        <v>2</v>
      </c>
      <c r="H1334" s="178">
        <v>2.08</v>
      </c>
      <c r="J1334" s="294"/>
      <c r="K1334" s="295"/>
      <c r="L1334" s="72"/>
      <c r="M1334" s="133"/>
      <c r="N1334" s="72"/>
      <c r="O1334" s="224"/>
      <c r="P1334" s="219"/>
      <c r="Q1334" s="84"/>
      <c r="S1334" s="136"/>
      <c r="T1334" s="136"/>
      <c r="V1334" s="136"/>
    </row>
    <row r="1335" spans="1:22">
      <c r="A1335" s="71" t="s">
        <v>8516</v>
      </c>
      <c r="B1335" s="67" t="s">
        <v>8517</v>
      </c>
      <c r="C1335" s="71" t="s">
        <v>103</v>
      </c>
      <c r="D1335" s="78">
        <v>3.46</v>
      </c>
      <c r="E1335" s="663">
        <v>2</v>
      </c>
      <c r="H1335" s="179">
        <v>3.46</v>
      </c>
      <c r="J1335" s="294"/>
      <c r="K1335" s="295"/>
      <c r="L1335" s="72"/>
      <c r="M1335" s="133"/>
      <c r="N1335" s="72"/>
      <c r="O1335" s="224"/>
      <c r="P1335" s="219"/>
      <c r="Q1335" s="84"/>
      <c r="S1335" s="137"/>
      <c r="T1335" s="137"/>
      <c r="V1335" s="137"/>
    </row>
    <row r="1336" spans="1:22">
      <c r="A1336" s="71" t="s">
        <v>8518</v>
      </c>
      <c r="B1336" s="67" t="s">
        <v>8519</v>
      </c>
      <c r="C1336" s="71" t="s">
        <v>103</v>
      </c>
      <c r="D1336" s="78">
        <v>4.5</v>
      </c>
      <c r="E1336" s="663">
        <v>2</v>
      </c>
      <c r="H1336" s="179">
        <v>4.5</v>
      </c>
      <c r="J1336" s="294"/>
      <c r="K1336" s="295"/>
      <c r="L1336" s="72"/>
      <c r="M1336" s="133"/>
      <c r="N1336" s="72"/>
      <c r="O1336" s="224"/>
      <c r="P1336" s="219"/>
      <c r="Q1336" s="84"/>
      <c r="S1336" s="137"/>
      <c r="T1336" s="137"/>
      <c r="V1336" s="137"/>
    </row>
    <row r="1337" spans="1:22">
      <c r="A1337" s="71" t="s">
        <v>8520</v>
      </c>
      <c r="B1337" s="67" t="s">
        <v>8521</v>
      </c>
      <c r="C1337" s="71" t="s">
        <v>103</v>
      </c>
      <c r="D1337" s="78">
        <v>6.19</v>
      </c>
      <c r="E1337" s="663">
        <v>2</v>
      </c>
      <c r="H1337" s="179">
        <v>6.19</v>
      </c>
      <c r="J1337" s="294"/>
      <c r="K1337" s="295"/>
      <c r="L1337" s="72"/>
      <c r="M1337" s="133"/>
      <c r="N1337" s="72"/>
      <c r="O1337" s="224"/>
      <c r="P1337" s="219"/>
      <c r="Q1337" s="84"/>
      <c r="S1337" s="137"/>
      <c r="T1337" s="137"/>
      <c r="V1337" s="137"/>
    </row>
    <row r="1338" spans="1:22">
      <c r="A1338" s="71" t="s">
        <v>8522</v>
      </c>
      <c r="B1338" s="67" t="s">
        <v>8523</v>
      </c>
      <c r="C1338" s="71" t="s">
        <v>103</v>
      </c>
      <c r="D1338" s="78">
        <v>9.2799999999999994</v>
      </c>
      <c r="E1338" s="663">
        <v>2</v>
      </c>
      <c r="H1338" s="179">
        <v>9.2799999999999994</v>
      </c>
      <c r="J1338" s="294"/>
      <c r="K1338" s="295"/>
      <c r="L1338" s="72"/>
      <c r="M1338" s="133"/>
      <c r="N1338" s="72"/>
      <c r="O1338" s="224"/>
      <c r="P1338" s="219"/>
      <c r="Q1338" s="84"/>
      <c r="S1338" s="137"/>
      <c r="T1338" s="137"/>
      <c r="V1338" s="137"/>
    </row>
    <row r="1339" spans="1:22">
      <c r="A1339" s="71" t="s">
        <v>8524</v>
      </c>
      <c r="B1339" s="67" t="s">
        <v>8525</v>
      </c>
      <c r="C1339" s="71" t="s">
        <v>103</v>
      </c>
      <c r="D1339" s="78">
        <v>12.43</v>
      </c>
      <c r="E1339" s="663">
        <v>2</v>
      </c>
      <c r="H1339" s="179">
        <v>12.43</v>
      </c>
      <c r="J1339" s="294"/>
      <c r="K1339" s="295"/>
      <c r="L1339" s="72"/>
      <c r="M1339" s="133"/>
      <c r="N1339" s="72"/>
      <c r="O1339" s="224"/>
      <c r="P1339" s="219"/>
      <c r="Q1339" s="84"/>
      <c r="S1339" s="137"/>
      <c r="T1339" s="137"/>
      <c r="V1339" s="137"/>
    </row>
    <row r="1340" spans="1:22">
      <c r="A1340" s="134" t="s">
        <v>8526</v>
      </c>
      <c r="B1340" s="304" t="s">
        <v>8527</v>
      </c>
      <c r="C1340" s="71" t="s">
        <v>103</v>
      </c>
      <c r="D1340" s="78">
        <v>19.64</v>
      </c>
      <c r="E1340" s="663">
        <v>2</v>
      </c>
      <c r="H1340" s="308">
        <v>19.64</v>
      </c>
      <c r="T1340" s="84"/>
    </row>
    <row r="1341" spans="1:22">
      <c r="A1341" s="71" t="s">
        <v>8528</v>
      </c>
      <c r="B1341" s="67" t="s">
        <v>8529</v>
      </c>
      <c r="C1341" s="71" t="s">
        <v>165</v>
      </c>
      <c r="D1341" s="78">
        <v>15.78</v>
      </c>
      <c r="E1341" s="663">
        <v>2</v>
      </c>
      <c r="H1341" s="178">
        <v>15.78</v>
      </c>
      <c r="J1341" s="294"/>
      <c r="K1341" s="295"/>
      <c r="L1341" s="72"/>
      <c r="M1341" s="133"/>
      <c r="N1341" s="72"/>
      <c r="O1341" s="224"/>
      <c r="P1341" s="219"/>
      <c r="Q1341" s="84"/>
      <c r="S1341" s="136"/>
      <c r="T1341" s="136"/>
      <c r="V1341" s="136"/>
    </row>
    <row r="1342" spans="1:22">
      <c r="A1342" s="71" t="s">
        <v>8530</v>
      </c>
      <c r="B1342" s="67" t="s">
        <v>8531</v>
      </c>
      <c r="C1342" s="71" t="s">
        <v>165</v>
      </c>
      <c r="D1342" s="78">
        <v>17.940000000000001</v>
      </c>
      <c r="E1342" s="663">
        <v>2</v>
      </c>
      <c r="H1342" s="179">
        <v>17.940000000000001</v>
      </c>
      <c r="J1342" s="294"/>
      <c r="K1342" s="295"/>
      <c r="L1342" s="72"/>
      <c r="M1342" s="133"/>
      <c r="N1342" s="72"/>
      <c r="O1342" s="224"/>
      <c r="P1342" s="219"/>
      <c r="Q1342" s="84"/>
      <c r="S1342" s="137"/>
      <c r="T1342" s="137"/>
      <c r="V1342" s="137"/>
    </row>
    <row r="1343" spans="1:22">
      <c r="A1343" s="71" t="s">
        <v>8532</v>
      </c>
      <c r="B1343" s="67" t="s">
        <v>8533</v>
      </c>
      <c r="C1343" s="71" t="s">
        <v>165</v>
      </c>
      <c r="D1343" s="78">
        <v>22.74</v>
      </c>
      <c r="E1343" s="663">
        <v>2</v>
      </c>
      <c r="H1343" s="178">
        <v>22.74</v>
      </c>
      <c r="J1343" s="294"/>
      <c r="K1343" s="295"/>
      <c r="L1343" s="72"/>
      <c r="M1343" s="133"/>
      <c r="N1343" s="72"/>
      <c r="O1343" s="224"/>
      <c r="P1343" s="219"/>
      <c r="Q1343" s="84"/>
      <c r="S1343" s="136"/>
      <c r="T1343" s="136"/>
      <c r="V1343" s="136"/>
    </row>
    <row r="1344" spans="1:22">
      <c r="A1344" s="71" t="s">
        <v>8534</v>
      </c>
      <c r="B1344" s="67" t="s">
        <v>8535</v>
      </c>
      <c r="C1344" s="71" t="s">
        <v>165</v>
      </c>
      <c r="D1344" s="78">
        <v>36.58</v>
      </c>
      <c r="E1344" s="663">
        <v>2</v>
      </c>
      <c r="H1344" s="179">
        <v>36.58</v>
      </c>
      <c r="J1344" s="294"/>
      <c r="K1344" s="295"/>
      <c r="L1344" s="72"/>
      <c r="M1344" s="133"/>
      <c r="N1344" s="72"/>
      <c r="O1344" s="224"/>
      <c r="P1344" s="219"/>
      <c r="Q1344" s="84"/>
      <c r="S1344" s="137"/>
      <c r="T1344" s="137"/>
      <c r="V1344" s="137"/>
    </row>
    <row r="1345" spans="1:22">
      <c r="A1345" s="71" t="s">
        <v>8536</v>
      </c>
      <c r="B1345" s="67" t="s">
        <v>8537</v>
      </c>
      <c r="C1345" s="71" t="s">
        <v>165</v>
      </c>
      <c r="D1345" s="78">
        <v>42.77</v>
      </c>
      <c r="E1345" s="663">
        <v>2</v>
      </c>
      <c r="H1345" s="178">
        <v>42.77</v>
      </c>
      <c r="J1345" s="294"/>
      <c r="K1345" s="295"/>
      <c r="L1345" s="72"/>
      <c r="M1345" s="133"/>
      <c r="N1345" s="72"/>
      <c r="O1345" s="224"/>
      <c r="P1345" s="219"/>
      <c r="Q1345" s="84"/>
      <c r="S1345" s="136"/>
      <c r="T1345" s="136"/>
      <c r="V1345" s="136"/>
    </row>
    <row r="1346" spans="1:22">
      <c r="A1346" s="71" t="s">
        <v>8538</v>
      </c>
      <c r="B1346" s="67" t="s">
        <v>8539</v>
      </c>
      <c r="C1346" s="71" t="s">
        <v>165</v>
      </c>
      <c r="D1346" s="78">
        <v>54.39</v>
      </c>
      <c r="E1346" s="663">
        <v>2</v>
      </c>
      <c r="H1346" s="179">
        <v>54.39</v>
      </c>
      <c r="J1346" s="294"/>
      <c r="K1346" s="295"/>
      <c r="L1346" s="72"/>
      <c r="M1346" s="133"/>
      <c r="N1346" s="72"/>
      <c r="O1346" s="224"/>
      <c r="P1346" s="219"/>
      <c r="Q1346" s="84"/>
      <c r="S1346" s="137"/>
      <c r="T1346" s="137"/>
      <c r="V1346" s="137"/>
    </row>
    <row r="1347" spans="1:22">
      <c r="A1347" s="71" t="s">
        <v>8540</v>
      </c>
      <c r="B1347" s="67" t="s">
        <v>8541</v>
      </c>
      <c r="C1347" s="71" t="s">
        <v>165</v>
      </c>
      <c r="D1347" s="78">
        <v>80.900000000000006</v>
      </c>
      <c r="E1347" s="663">
        <v>2</v>
      </c>
      <c r="H1347" s="178">
        <v>80.900000000000006</v>
      </c>
      <c r="J1347" s="294"/>
      <c r="K1347" s="295"/>
      <c r="L1347" s="72"/>
      <c r="M1347" s="133"/>
      <c r="N1347" s="72"/>
      <c r="O1347" s="224"/>
      <c r="P1347" s="219"/>
      <c r="Q1347" s="84"/>
      <c r="S1347" s="136"/>
      <c r="T1347" s="136"/>
      <c r="V1347" s="136"/>
    </row>
    <row r="1348" spans="1:22">
      <c r="A1348" s="71" t="s">
        <v>8542</v>
      </c>
      <c r="B1348" s="67" t="s">
        <v>8543</v>
      </c>
      <c r="C1348" s="71" t="s">
        <v>165</v>
      </c>
      <c r="D1348" s="78">
        <v>88.73</v>
      </c>
      <c r="E1348" s="663">
        <v>2</v>
      </c>
      <c r="H1348" s="178">
        <v>88.73</v>
      </c>
      <c r="J1348" s="294"/>
      <c r="K1348" s="295"/>
      <c r="L1348" s="72"/>
      <c r="M1348" s="133"/>
      <c r="N1348" s="72"/>
      <c r="O1348" s="224"/>
      <c r="P1348" s="219"/>
      <c r="Q1348" s="84"/>
      <c r="S1348" s="136"/>
      <c r="T1348" s="136"/>
      <c r="V1348" s="136"/>
    </row>
    <row r="1349" spans="1:22">
      <c r="A1349" s="134" t="s">
        <v>8544</v>
      </c>
      <c r="B1349" s="304" t="s">
        <v>8545</v>
      </c>
      <c r="C1349" s="71" t="s">
        <v>165</v>
      </c>
      <c r="D1349" s="78">
        <v>121.8</v>
      </c>
      <c r="E1349" s="663">
        <v>2</v>
      </c>
      <c r="H1349" s="308">
        <v>121.8</v>
      </c>
      <c r="T1349" s="84"/>
    </row>
    <row r="1350" spans="1:22">
      <c r="A1350" s="71" t="s">
        <v>8546</v>
      </c>
      <c r="B1350" s="312" t="s">
        <v>8547</v>
      </c>
      <c r="C1350" s="71" t="s">
        <v>165</v>
      </c>
      <c r="D1350" s="78">
        <v>4.74</v>
      </c>
      <c r="E1350" s="663">
        <v>2</v>
      </c>
      <c r="H1350" s="308">
        <v>4.74</v>
      </c>
      <c r="T1350" s="84"/>
    </row>
    <row r="1351" spans="1:22">
      <c r="A1351" s="71" t="s">
        <v>8548</v>
      </c>
      <c r="B1351" s="67" t="s">
        <v>8549</v>
      </c>
      <c r="C1351" s="71" t="s">
        <v>165</v>
      </c>
      <c r="D1351" s="78">
        <v>7.41</v>
      </c>
      <c r="E1351" s="663">
        <v>2</v>
      </c>
      <c r="H1351" s="178">
        <v>7.41</v>
      </c>
      <c r="J1351" s="294"/>
      <c r="K1351" s="295"/>
      <c r="L1351" s="72"/>
      <c r="M1351" s="133"/>
      <c r="N1351" s="72"/>
      <c r="O1351" s="224"/>
      <c r="P1351" s="219"/>
      <c r="Q1351" s="84"/>
      <c r="S1351" s="136"/>
      <c r="T1351" s="136"/>
      <c r="V1351" s="136"/>
    </row>
    <row r="1352" spans="1:22">
      <c r="A1352" s="71" t="s">
        <v>8550</v>
      </c>
      <c r="B1352" s="67" t="s">
        <v>8551</v>
      </c>
      <c r="C1352" s="71" t="s">
        <v>165</v>
      </c>
      <c r="D1352" s="78">
        <v>10.55</v>
      </c>
      <c r="E1352" s="663">
        <v>2</v>
      </c>
      <c r="H1352" s="179">
        <v>10.55</v>
      </c>
      <c r="J1352" s="294"/>
      <c r="K1352" s="295"/>
      <c r="L1352" s="72"/>
      <c r="M1352" s="133"/>
      <c r="N1352" s="72"/>
      <c r="O1352" s="224"/>
      <c r="P1352" s="219"/>
      <c r="Q1352" s="84"/>
      <c r="S1352" s="137"/>
      <c r="T1352" s="137"/>
      <c r="V1352" s="137"/>
    </row>
    <row r="1353" spans="1:22">
      <c r="A1353" s="71" t="s">
        <v>8552</v>
      </c>
      <c r="B1353" s="67" t="s">
        <v>8553</v>
      </c>
      <c r="C1353" s="71" t="s">
        <v>165</v>
      </c>
      <c r="D1353" s="78">
        <v>16.8</v>
      </c>
      <c r="E1353" s="663">
        <v>2</v>
      </c>
      <c r="H1353" s="178">
        <v>16.8</v>
      </c>
      <c r="J1353" s="294"/>
      <c r="K1353" s="295"/>
      <c r="L1353" s="72"/>
      <c r="M1353" s="133"/>
      <c r="N1353" s="72"/>
      <c r="O1353" s="224"/>
      <c r="P1353" s="219"/>
      <c r="Q1353" s="84"/>
      <c r="S1353" s="136"/>
      <c r="T1353" s="136"/>
      <c r="V1353" s="136"/>
    </row>
    <row r="1354" spans="1:22">
      <c r="A1354" s="71" t="s">
        <v>8554</v>
      </c>
      <c r="B1354" s="67" t="s">
        <v>8555</v>
      </c>
      <c r="C1354" s="71" t="s">
        <v>165</v>
      </c>
      <c r="D1354" s="78">
        <v>17.86</v>
      </c>
      <c r="E1354" s="663">
        <v>2</v>
      </c>
      <c r="H1354" s="179">
        <v>17.86</v>
      </c>
      <c r="J1354" s="294"/>
      <c r="K1354" s="295"/>
      <c r="L1354" s="72"/>
      <c r="M1354" s="133"/>
      <c r="N1354" s="72"/>
      <c r="O1354" s="224"/>
      <c r="P1354" s="219"/>
      <c r="Q1354" s="84"/>
      <c r="S1354" s="137"/>
      <c r="T1354" s="137"/>
      <c r="V1354" s="137"/>
    </row>
    <row r="1355" spans="1:22">
      <c r="A1355" s="71" t="s">
        <v>8556</v>
      </c>
      <c r="B1355" s="67" t="s">
        <v>8557</v>
      </c>
      <c r="C1355" s="71" t="s">
        <v>165</v>
      </c>
      <c r="D1355" s="78">
        <v>22.11</v>
      </c>
      <c r="E1355" s="663">
        <v>2</v>
      </c>
      <c r="H1355" s="179">
        <v>22.11</v>
      </c>
      <c r="J1355" s="294"/>
      <c r="K1355" s="295"/>
      <c r="L1355" s="72"/>
      <c r="M1355" s="133"/>
      <c r="N1355" s="72"/>
      <c r="O1355" s="224"/>
      <c r="P1355" s="219"/>
      <c r="Q1355" s="84"/>
      <c r="S1355" s="137"/>
      <c r="T1355" s="137"/>
      <c r="V1355" s="137"/>
    </row>
    <row r="1356" spans="1:22">
      <c r="A1356" s="71" t="s">
        <v>8558</v>
      </c>
      <c r="B1356" s="67" t="s">
        <v>8559</v>
      </c>
      <c r="C1356" s="71" t="s">
        <v>165</v>
      </c>
      <c r="D1356" s="78">
        <v>44.59</v>
      </c>
      <c r="E1356" s="663">
        <v>2</v>
      </c>
      <c r="H1356" s="179">
        <v>44.59</v>
      </c>
      <c r="J1356" s="294"/>
      <c r="K1356" s="295"/>
      <c r="L1356" s="72"/>
      <c r="M1356" s="133"/>
      <c r="N1356" s="72"/>
      <c r="O1356" s="224"/>
      <c r="P1356" s="219"/>
      <c r="Q1356" s="84"/>
      <c r="S1356" s="137"/>
      <c r="T1356" s="137"/>
      <c r="V1356" s="137"/>
    </row>
    <row r="1357" spans="1:22">
      <c r="A1357" s="71" t="s">
        <v>8560</v>
      </c>
      <c r="B1357" s="67" t="s">
        <v>8561</v>
      </c>
      <c r="C1357" s="71" t="s">
        <v>165</v>
      </c>
      <c r="D1357" s="78">
        <v>53.09</v>
      </c>
      <c r="E1357" s="663">
        <v>2</v>
      </c>
      <c r="H1357" s="179">
        <v>53.09</v>
      </c>
      <c r="J1357" s="294"/>
      <c r="K1357" s="295"/>
      <c r="L1357" s="72"/>
      <c r="M1357" s="133"/>
      <c r="N1357" s="72"/>
      <c r="O1357" s="224"/>
      <c r="P1357" s="219"/>
      <c r="Q1357" s="84"/>
      <c r="S1357" s="137"/>
      <c r="T1357" s="137"/>
      <c r="V1357" s="137"/>
    </row>
    <row r="1358" spans="1:22">
      <c r="A1358" s="71" t="s">
        <v>8562</v>
      </c>
      <c r="B1358" s="67" t="s">
        <v>8563</v>
      </c>
      <c r="C1358" s="71" t="s">
        <v>165</v>
      </c>
      <c r="D1358" s="78">
        <v>78.08</v>
      </c>
      <c r="E1358" s="663">
        <v>2</v>
      </c>
      <c r="H1358" s="179">
        <v>78.08</v>
      </c>
      <c r="J1358" s="294"/>
      <c r="K1358" s="295"/>
      <c r="L1358" s="72"/>
      <c r="M1358" s="133"/>
      <c r="N1358" s="72"/>
      <c r="O1358" s="224"/>
      <c r="P1358" s="219"/>
      <c r="Q1358" s="84"/>
      <c r="S1358" s="137"/>
      <c r="T1358" s="137"/>
      <c r="V1358" s="137"/>
    </row>
    <row r="1359" spans="1:22">
      <c r="A1359" s="71" t="s">
        <v>8564</v>
      </c>
      <c r="B1359" s="67" t="s">
        <v>8565</v>
      </c>
      <c r="C1359" s="71" t="s">
        <v>165</v>
      </c>
      <c r="D1359" s="78">
        <v>2.66</v>
      </c>
      <c r="E1359" s="663">
        <v>2</v>
      </c>
      <c r="H1359" s="179">
        <v>2.66</v>
      </c>
      <c r="J1359" s="294"/>
      <c r="K1359" s="295"/>
      <c r="L1359" s="72"/>
      <c r="M1359" s="133"/>
      <c r="N1359" s="72"/>
      <c r="O1359" s="224"/>
      <c r="P1359" s="219"/>
      <c r="Q1359" s="84"/>
      <c r="S1359" s="137"/>
      <c r="T1359" s="137"/>
      <c r="V1359" s="137"/>
    </row>
    <row r="1360" spans="1:22">
      <c r="A1360" s="71" t="s">
        <v>8566</v>
      </c>
      <c r="B1360" s="67" t="s">
        <v>8567</v>
      </c>
      <c r="C1360" s="71" t="s">
        <v>165</v>
      </c>
      <c r="D1360" s="78">
        <v>2.0699999999999998</v>
      </c>
      <c r="E1360" s="663">
        <v>2</v>
      </c>
      <c r="H1360" s="179">
        <v>2.0699999999999998</v>
      </c>
      <c r="J1360" s="294"/>
      <c r="K1360" s="295"/>
      <c r="L1360" s="72"/>
      <c r="M1360" s="133"/>
      <c r="N1360" s="72"/>
      <c r="O1360" s="224"/>
      <c r="P1360" s="219"/>
      <c r="Q1360" s="84"/>
      <c r="S1360" s="137"/>
      <c r="T1360" s="137"/>
      <c r="V1360" s="137"/>
    </row>
    <row r="1361" spans="1:22">
      <c r="A1361" s="71" t="s">
        <v>8568</v>
      </c>
      <c r="B1361" s="216" t="s">
        <v>8569</v>
      </c>
      <c r="C1361" s="212" t="s">
        <v>165</v>
      </c>
      <c r="D1361" s="78">
        <v>2.14</v>
      </c>
      <c r="E1361" s="663">
        <v>2</v>
      </c>
      <c r="H1361" s="178">
        <v>2.14</v>
      </c>
      <c r="J1361" s="294"/>
      <c r="K1361" s="295"/>
      <c r="L1361" s="72"/>
      <c r="M1361" s="299"/>
      <c r="N1361" s="298"/>
      <c r="O1361" s="224"/>
      <c r="P1361" s="219"/>
      <c r="Q1361" s="84"/>
      <c r="S1361" s="136"/>
      <c r="T1361" s="136"/>
      <c r="V1361" s="136"/>
    </row>
    <row r="1362" spans="1:22">
      <c r="A1362" s="71" t="s">
        <v>8570</v>
      </c>
      <c r="B1362" s="67" t="s">
        <v>8571</v>
      </c>
      <c r="C1362" s="71" t="s">
        <v>165</v>
      </c>
      <c r="D1362" s="78">
        <v>3.06</v>
      </c>
      <c r="E1362" s="663">
        <v>2</v>
      </c>
      <c r="H1362" s="179">
        <v>3.06</v>
      </c>
      <c r="J1362" s="294"/>
      <c r="K1362" s="295"/>
      <c r="L1362" s="72"/>
      <c r="M1362" s="133"/>
      <c r="N1362" s="72"/>
      <c r="O1362" s="224"/>
      <c r="P1362" s="219"/>
      <c r="Q1362" s="84"/>
      <c r="S1362" s="137"/>
      <c r="T1362" s="137"/>
      <c r="V1362" s="137"/>
    </row>
    <row r="1363" spans="1:22">
      <c r="A1363" s="71" t="s">
        <v>8572</v>
      </c>
      <c r="B1363" s="67" t="s">
        <v>32863</v>
      </c>
      <c r="C1363" s="71" t="s">
        <v>165</v>
      </c>
      <c r="D1363" s="78">
        <v>1.62</v>
      </c>
      <c r="E1363" s="663">
        <v>2</v>
      </c>
      <c r="H1363" s="178">
        <v>1.62</v>
      </c>
      <c r="J1363" s="294"/>
      <c r="K1363" s="295"/>
      <c r="L1363" s="72"/>
      <c r="M1363" s="133"/>
      <c r="N1363" s="72"/>
      <c r="O1363" s="224"/>
      <c r="P1363" s="219"/>
      <c r="Q1363" s="84"/>
      <c r="S1363" s="136"/>
      <c r="T1363" s="136"/>
      <c r="V1363" s="136"/>
    </row>
    <row r="1364" spans="1:22">
      <c r="A1364" s="71" t="s">
        <v>8573</v>
      </c>
      <c r="B1364" s="67" t="s">
        <v>8574</v>
      </c>
      <c r="C1364" s="71" t="s">
        <v>165</v>
      </c>
      <c r="D1364" s="78">
        <v>1.46</v>
      </c>
      <c r="E1364" s="663">
        <v>2</v>
      </c>
      <c r="H1364" s="178">
        <v>1.46</v>
      </c>
      <c r="J1364" s="294"/>
      <c r="K1364" s="295"/>
      <c r="L1364" s="72"/>
      <c r="M1364" s="133"/>
      <c r="N1364" s="72"/>
      <c r="O1364" s="224"/>
      <c r="P1364" s="219"/>
      <c r="Q1364" s="84"/>
      <c r="S1364" s="136"/>
      <c r="T1364" s="136"/>
      <c r="V1364" s="136"/>
    </row>
    <row r="1365" spans="1:22">
      <c r="A1365" s="71" t="s">
        <v>8575</v>
      </c>
      <c r="B1365" s="67" t="s">
        <v>8576</v>
      </c>
      <c r="C1365" s="71" t="s">
        <v>165</v>
      </c>
      <c r="D1365" s="78">
        <v>2.27</v>
      </c>
      <c r="E1365" s="663">
        <v>2</v>
      </c>
      <c r="H1365" s="178">
        <v>2.27</v>
      </c>
      <c r="J1365" s="294"/>
      <c r="K1365" s="295"/>
      <c r="L1365" s="72"/>
      <c r="M1365" s="133"/>
      <c r="N1365" s="72"/>
      <c r="O1365" s="224"/>
      <c r="P1365" s="219"/>
      <c r="Q1365" s="84"/>
      <c r="S1365" s="136"/>
      <c r="T1365" s="136"/>
      <c r="V1365" s="136"/>
    </row>
    <row r="1366" spans="1:22">
      <c r="A1366" s="71" t="s">
        <v>8577</v>
      </c>
      <c r="B1366" s="67" t="s">
        <v>8578</v>
      </c>
      <c r="C1366" s="71" t="s">
        <v>165</v>
      </c>
      <c r="D1366" s="78">
        <v>3.62</v>
      </c>
      <c r="E1366" s="663">
        <v>2</v>
      </c>
      <c r="H1366" s="179">
        <v>3.62</v>
      </c>
      <c r="J1366" s="294"/>
      <c r="K1366" s="295"/>
      <c r="L1366" s="72"/>
      <c r="M1366" s="133"/>
      <c r="N1366" s="72"/>
      <c r="O1366" s="224"/>
      <c r="P1366" s="219"/>
      <c r="Q1366" s="84"/>
      <c r="S1366" s="137"/>
      <c r="T1366" s="137"/>
      <c r="V1366" s="137"/>
    </row>
    <row r="1367" spans="1:22">
      <c r="A1367" s="71" t="s">
        <v>8579</v>
      </c>
      <c r="B1367" s="67" t="s">
        <v>8580</v>
      </c>
      <c r="C1367" s="71" t="s">
        <v>165</v>
      </c>
      <c r="D1367" s="78">
        <v>5.34</v>
      </c>
      <c r="E1367" s="663">
        <v>2</v>
      </c>
      <c r="H1367" s="179">
        <v>5.34</v>
      </c>
      <c r="J1367" s="294"/>
      <c r="K1367" s="295"/>
      <c r="L1367" s="72"/>
      <c r="M1367" s="133"/>
      <c r="N1367" s="72"/>
      <c r="O1367" s="224"/>
      <c r="P1367" s="219"/>
      <c r="Q1367" s="84"/>
      <c r="S1367" s="137"/>
      <c r="T1367" s="137"/>
      <c r="V1367" s="137"/>
    </row>
    <row r="1368" spans="1:22">
      <c r="A1368" s="71" t="s">
        <v>8581</v>
      </c>
      <c r="B1368" s="67" t="s">
        <v>32869</v>
      </c>
      <c r="C1368" s="71" t="s">
        <v>165</v>
      </c>
      <c r="D1368" s="78">
        <v>2.54</v>
      </c>
      <c r="E1368" s="663">
        <v>2</v>
      </c>
      <c r="H1368" s="179">
        <v>2.54</v>
      </c>
      <c r="J1368" s="294"/>
      <c r="K1368" s="295"/>
      <c r="L1368" s="72"/>
      <c r="M1368" s="133"/>
      <c r="N1368" s="72"/>
      <c r="O1368" s="224"/>
      <c r="P1368" s="219"/>
      <c r="Q1368" s="84"/>
      <c r="S1368" s="137"/>
      <c r="T1368" s="137"/>
      <c r="V1368" s="137"/>
    </row>
    <row r="1369" spans="1:22">
      <c r="A1369" s="71" t="s">
        <v>8582</v>
      </c>
      <c r="B1369" s="67" t="s">
        <v>32873</v>
      </c>
      <c r="C1369" s="71" t="s">
        <v>165</v>
      </c>
      <c r="D1369" s="78">
        <v>4</v>
      </c>
      <c r="E1369" s="663">
        <v>2</v>
      </c>
      <c r="H1369" s="179">
        <v>4</v>
      </c>
      <c r="J1369" s="294"/>
      <c r="K1369" s="295"/>
      <c r="L1369" s="72"/>
      <c r="M1369" s="133"/>
      <c r="N1369" s="72"/>
      <c r="O1369" s="224"/>
      <c r="P1369" s="219"/>
      <c r="Q1369" s="84"/>
      <c r="S1369" s="137"/>
      <c r="T1369" s="137"/>
      <c r="V1369" s="137"/>
    </row>
    <row r="1370" spans="1:22">
      <c r="A1370" s="71" t="s">
        <v>8583</v>
      </c>
      <c r="B1370" s="67" t="s">
        <v>32864</v>
      </c>
      <c r="C1370" s="71" t="s">
        <v>165</v>
      </c>
      <c r="D1370" s="78">
        <v>9.9</v>
      </c>
      <c r="E1370" s="663">
        <v>2</v>
      </c>
      <c r="H1370" s="178">
        <v>9.9</v>
      </c>
      <c r="J1370" s="294"/>
      <c r="K1370" s="295"/>
      <c r="L1370" s="72"/>
      <c r="M1370" s="133"/>
      <c r="N1370" s="72"/>
      <c r="O1370" s="224"/>
      <c r="P1370" s="219"/>
      <c r="Q1370" s="84"/>
      <c r="S1370" s="136"/>
      <c r="T1370" s="136"/>
      <c r="V1370" s="136"/>
    </row>
    <row r="1371" spans="1:22">
      <c r="A1371" s="71" t="s">
        <v>8584</v>
      </c>
      <c r="B1371" s="67" t="s">
        <v>32867</v>
      </c>
      <c r="C1371" s="71" t="s">
        <v>165</v>
      </c>
      <c r="D1371" s="78">
        <v>15.57</v>
      </c>
      <c r="E1371" s="663">
        <v>2</v>
      </c>
      <c r="H1371" s="178">
        <v>15.57</v>
      </c>
      <c r="J1371" s="294"/>
      <c r="K1371" s="295"/>
      <c r="L1371" s="72"/>
      <c r="M1371" s="133"/>
      <c r="N1371" s="72"/>
      <c r="O1371" s="224"/>
      <c r="P1371" s="219"/>
      <c r="Q1371" s="84"/>
      <c r="S1371" s="136"/>
      <c r="T1371" s="136"/>
      <c r="V1371" s="136"/>
    </row>
    <row r="1372" spans="1:22">
      <c r="A1372" s="71" t="s">
        <v>8585</v>
      </c>
      <c r="B1372" s="67" t="s">
        <v>32871</v>
      </c>
      <c r="C1372" s="71" t="s">
        <v>165</v>
      </c>
      <c r="D1372" s="78">
        <v>24.19</v>
      </c>
      <c r="E1372" s="663">
        <v>2</v>
      </c>
      <c r="H1372" s="178">
        <v>24.19</v>
      </c>
      <c r="J1372" s="294"/>
      <c r="K1372" s="295"/>
      <c r="L1372" s="72"/>
      <c r="M1372" s="133"/>
      <c r="N1372" s="72"/>
      <c r="O1372" s="224"/>
      <c r="P1372" s="219"/>
      <c r="Q1372" s="84"/>
      <c r="S1372" s="136"/>
      <c r="T1372" s="136"/>
      <c r="V1372" s="136"/>
    </row>
    <row r="1373" spans="1:22">
      <c r="A1373" s="71" t="s">
        <v>8586</v>
      </c>
      <c r="B1373" s="67" t="s">
        <v>32872</v>
      </c>
      <c r="C1373" s="71" t="s">
        <v>165</v>
      </c>
      <c r="D1373" s="78">
        <v>32.880000000000003</v>
      </c>
      <c r="E1373" s="663">
        <v>2</v>
      </c>
      <c r="H1373" s="179">
        <v>32.880000000000003</v>
      </c>
      <c r="J1373" s="294"/>
      <c r="K1373" s="295"/>
      <c r="L1373" s="72"/>
      <c r="M1373" s="133"/>
      <c r="N1373" s="72"/>
      <c r="O1373" s="224"/>
      <c r="P1373" s="219"/>
      <c r="Q1373" s="84"/>
      <c r="S1373" s="137"/>
      <c r="T1373" s="137"/>
      <c r="V1373" s="137"/>
    </row>
    <row r="1374" spans="1:22">
      <c r="A1374" s="71" t="s">
        <v>8587</v>
      </c>
      <c r="B1374" s="67" t="s">
        <v>32874</v>
      </c>
      <c r="C1374" s="71" t="s">
        <v>165</v>
      </c>
      <c r="D1374" s="78">
        <v>47.56</v>
      </c>
      <c r="E1374" s="663">
        <v>2</v>
      </c>
      <c r="H1374" s="179">
        <v>47.56</v>
      </c>
      <c r="J1374" s="294"/>
      <c r="K1374" s="295"/>
      <c r="L1374" s="72"/>
      <c r="M1374" s="133"/>
      <c r="N1374" s="72"/>
      <c r="O1374" s="224"/>
      <c r="P1374" s="219"/>
      <c r="Q1374" s="84"/>
      <c r="S1374" s="137"/>
      <c r="T1374" s="137"/>
      <c r="V1374" s="137"/>
    </row>
    <row r="1375" spans="1:22">
      <c r="A1375" s="71" t="s">
        <v>8588</v>
      </c>
      <c r="B1375" s="67" t="s">
        <v>32876</v>
      </c>
      <c r="C1375" s="71" t="s">
        <v>165</v>
      </c>
      <c r="D1375" s="78">
        <v>67.12</v>
      </c>
      <c r="E1375" s="663">
        <v>2</v>
      </c>
      <c r="H1375" s="178">
        <v>67.12</v>
      </c>
      <c r="J1375" s="294"/>
      <c r="K1375" s="295"/>
      <c r="L1375" s="72"/>
      <c r="M1375" s="133"/>
      <c r="N1375" s="72"/>
      <c r="O1375" s="224"/>
      <c r="P1375" s="219"/>
      <c r="Q1375" s="84"/>
      <c r="S1375" s="136"/>
      <c r="T1375" s="136"/>
      <c r="V1375" s="136"/>
    </row>
    <row r="1376" spans="1:22">
      <c r="A1376" s="71" t="s">
        <v>8589</v>
      </c>
      <c r="B1376" s="67" t="s">
        <v>32877</v>
      </c>
      <c r="C1376" s="71" t="s">
        <v>165</v>
      </c>
      <c r="D1376" s="78">
        <v>88.78</v>
      </c>
      <c r="E1376" s="663">
        <v>2</v>
      </c>
      <c r="H1376" s="178">
        <v>88.78</v>
      </c>
      <c r="J1376" s="294"/>
      <c r="K1376" s="295"/>
      <c r="L1376" s="72"/>
      <c r="M1376" s="133"/>
      <c r="N1376" s="72"/>
      <c r="O1376" s="224"/>
      <c r="P1376" s="219"/>
      <c r="Q1376" s="84"/>
      <c r="S1376" s="136"/>
      <c r="T1376" s="136"/>
      <c r="V1376" s="136"/>
    </row>
    <row r="1377" spans="1:22">
      <c r="A1377" s="71" t="s">
        <v>8590</v>
      </c>
      <c r="B1377" s="67" t="s">
        <v>32865</v>
      </c>
      <c r="C1377" s="71" t="s">
        <v>165</v>
      </c>
      <c r="D1377" s="78">
        <v>112.37</v>
      </c>
      <c r="E1377" s="663">
        <v>2</v>
      </c>
      <c r="H1377" s="178">
        <v>112.37</v>
      </c>
      <c r="J1377" s="294"/>
      <c r="K1377" s="295"/>
      <c r="L1377" s="72"/>
      <c r="M1377" s="133"/>
      <c r="N1377" s="72"/>
      <c r="O1377" s="224"/>
      <c r="P1377" s="219"/>
      <c r="Q1377" s="84"/>
      <c r="S1377" s="136"/>
      <c r="T1377" s="136"/>
      <c r="V1377" s="136"/>
    </row>
    <row r="1378" spans="1:22">
      <c r="A1378" s="71" t="s">
        <v>8591</v>
      </c>
      <c r="B1378" s="67" t="s">
        <v>32866</v>
      </c>
      <c r="C1378" s="71" t="s">
        <v>165</v>
      </c>
      <c r="D1378" s="78">
        <v>140.77000000000001</v>
      </c>
      <c r="E1378" s="663">
        <v>2</v>
      </c>
      <c r="H1378" s="179">
        <v>140.77000000000001</v>
      </c>
      <c r="J1378" s="294"/>
      <c r="K1378" s="295"/>
      <c r="L1378" s="72"/>
      <c r="M1378" s="133"/>
      <c r="N1378" s="72"/>
      <c r="O1378" s="224"/>
      <c r="P1378" s="219"/>
      <c r="Q1378" s="84"/>
      <c r="S1378" s="137"/>
      <c r="T1378" s="137"/>
      <c r="V1378" s="137"/>
    </row>
    <row r="1379" spans="1:22">
      <c r="A1379" s="71" t="s">
        <v>8592</v>
      </c>
      <c r="B1379" s="67" t="s">
        <v>32868</v>
      </c>
      <c r="C1379" s="71" t="s">
        <v>165</v>
      </c>
      <c r="D1379" s="78">
        <v>169.75</v>
      </c>
      <c r="E1379" s="663">
        <v>2</v>
      </c>
      <c r="H1379" s="178">
        <v>169.75</v>
      </c>
      <c r="J1379" s="294"/>
      <c r="K1379" s="295"/>
      <c r="L1379" s="72"/>
      <c r="M1379" s="133"/>
      <c r="N1379" s="72"/>
      <c r="O1379" s="224"/>
      <c r="P1379" s="219"/>
      <c r="Q1379" s="84"/>
      <c r="S1379" s="136"/>
      <c r="T1379" s="136"/>
      <c r="V1379" s="136"/>
    </row>
    <row r="1380" spans="1:22">
      <c r="A1380" s="71" t="s">
        <v>8593</v>
      </c>
      <c r="B1380" s="67" t="s">
        <v>32870</v>
      </c>
      <c r="C1380" s="71" t="s">
        <v>165</v>
      </c>
      <c r="D1380" s="78">
        <v>225.01</v>
      </c>
      <c r="E1380" s="663">
        <v>2</v>
      </c>
      <c r="H1380" s="179">
        <v>225.01</v>
      </c>
      <c r="J1380" s="294"/>
      <c r="K1380" s="295"/>
      <c r="L1380" s="72"/>
      <c r="M1380" s="133"/>
      <c r="N1380" s="72"/>
      <c r="O1380" s="224"/>
      <c r="P1380" s="219"/>
      <c r="Q1380" s="84"/>
      <c r="S1380" s="137"/>
      <c r="T1380" s="137"/>
      <c r="V1380" s="137"/>
    </row>
    <row r="1381" spans="1:22">
      <c r="A1381" s="71" t="s">
        <v>8594</v>
      </c>
      <c r="B1381" s="67" t="s">
        <v>32875</v>
      </c>
      <c r="C1381" s="71" t="s">
        <v>165</v>
      </c>
      <c r="D1381" s="78">
        <v>5.88</v>
      </c>
      <c r="E1381" s="663">
        <v>2</v>
      </c>
      <c r="H1381" s="179">
        <v>5.88</v>
      </c>
      <c r="J1381" s="294"/>
      <c r="K1381" s="295"/>
      <c r="L1381" s="72"/>
      <c r="M1381" s="133"/>
      <c r="N1381" s="72"/>
      <c r="O1381" s="224"/>
      <c r="P1381" s="219"/>
      <c r="Q1381" s="84"/>
      <c r="S1381" s="137"/>
      <c r="T1381" s="137"/>
      <c r="V1381" s="137"/>
    </row>
    <row r="1382" spans="1:22">
      <c r="A1382" s="71" t="s">
        <v>8595</v>
      </c>
      <c r="B1382" s="312" t="s">
        <v>32860</v>
      </c>
      <c r="C1382" s="71" t="s">
        <v>165</v>
      </c>
      <c r="D1382" s="78">
        <v>79.06</v>
      </c>
      <c r="E1382" s="663">
        <v>2</v>
      </c>
      <c r="H1382" s="308">
        <v>79.06</v>
      </c>
      <c r="T1382" s="84"/>
    </row>
    <row r="1383" spans="1:22">
      <c r="A1383" s="71" t="s">
        <v>41706</v>
      </c>
      <c r="B1383" s="67" t="s">
        <v>41707</v>
      </c>
      <c r="C1383" s="71" t="s">
        <v>165</v>
      </c>
      <c r="D1383" s="78">
        <v>8.15</v>
      </c>
      <c r="E1383" s="663">
        <v>2</v>
      </c>
      <c r="H1383" s="178">
        <v>8.15</v>
      </c>
      <c r="J1383" s="294"/>
      <c r="K1383" s="295"/>
      <c r="M1383" s="72"/>
      <c r="N1383" s="133"/>
      <c r="O1383" s="72"/>
      <c r="P1383" s="224"/>
      <c r="Q1383" s="219"/>
      <c r="T1383" s="136"/>
      <c r="V1383" s="136"/>
    </row>
    <row r="1384" spans="1:22">
      <c r="A1384" s="71" t="s">
        <v>8596</v>
      </c>
      <c r="B1384" s="67" t="s">
        <v>32857</v>
      </c>
      <c r="C1384" s="71" t="s">
        <v>165</v>
      </c>
      <c r="D1384" s="78">
        <v>6.15</v>
      </c>
      <c r="E1384" s="663">
        <v>2</v>
      </c>
      <c r="H1384" s="179">
        <v>6.15</v>
      </c>
      <c r="J1384" s="294"/>
      <c r="K1384" s="295"/>
      <c r="L1384" s="72"/>
      <c r="M1384" s="133"/>
      <c r="N1384" s="72"/>
      <c r="O1384" s="224"/>
      <c r="P1384" s="219"/>
      <c r="Q1384" s="84"/>
      <c r="S1384" s="137"/>
      <c r="T1384" s="137"/>
      <c r="V1384" s="137"/>
    </row>
    <row r="1385" spans="1:22">
      <c r="A1385" s="71" t="s">
        <v>8597</v>
      </c>
      <c r="B1385" s="67" t="s">
        <v>32852</v>
      </c>
      <c r="C1385" s="71" t="s">
        <v>165</v>
      </c>
      <c r="D1385" s="78">
        <v>9.56</v>
      </c>
      <c r="E1385" s="663">
        <v>2</v>
      </c>
      <c r="H1385" s="178">
        <v>9.56</v>
      </c>
      <c r="J1385" s="294"/>
      <c r="K1385" s="295"/>
      <c r="L1385" s="72"/>
      <c r="M1385" s="133"/>
      <c r="N1385" s="72"/>
      <c r="O1385" s="224"/>
      <c r="P1385" s="219"/>
      <c r="Q1385" s="84"/>
      <c r="S1385" s="136"/>
      <c r="T1385" s="136"/>
      <c r="V1385" s="136"/>
    </row>
    <row r="1386" spans="1:22">
      <c r="A1386" s="71" t="s">
        <v>8598</v>
      </c>
      <c r="B1386" s="67" t="s">
        <v>32854</v>
      </c>
      <c r="C1386" s="71" t="s">
        <v>165</v>
      </c>
      <c r="D1386" s="78">
        <v>15.65</v>
      </c>
      <c r="E1386" s="663">
        <v>2</v>
      </c>
      <c r="H1386" s="178">
        <v>15.65</v>
      </c>
      <c r="J1386" s="294"/>
      <c r="K1386" s="295"/>
      <c r="L1386" s="72"/>
      <c r="M1386" s="133"/>
      <c r="N1386" s="72"/>
      <c r="O1386" s="224"/>
      <c r="P1386" s="219"/>
      <c r="Q1386" s="84"/>
      <c r="S1386" s="136"/>
      <c r="T1386" s="136"/>
      <c r="V1386" s="136"/>
    </row>
    <row r="1387" spans="1:22">
      <c r="A1387" s="71" t="s">
        <v>8599</v>
      </c>
      <c r="B1387" s="67" t="s">
        <v>32859</v>
      </c>
      <c r="C1387" s="71" t="s">
        <v>165</v>
      </c>
      <c r="D1387" s="78">
        <v>98.98</v>
      </c>
      <c r="E1387" s="663">
        <v>2</v>
      </c>
      <c r="H1387" s="179">
        <v>98.98</v>
      </c>
      <c r="J1387" s="294"/>
      <c r="K1387" s="295"/>
      <c r="L1387" s="72"/>
      <c r="M1387" s="133"/>
      <c r="N1387" s="72"/>
      <c r="O1387" s="224"/>
      <c r="P1387" s="219"/>
      <c r="Q1387" s="84"/>
      <c r="S1387" s="137"/>
      <c r="T1387" s="137"/>
      <c r="V1387" s="137"/>
    </row>
    <row r="1388" spans="1:22">
      <c r="A1388" s="71" t="s">
        <v>8600</v>
      </c>
      <c r="B1388" s="67" t="s">
        <v>32855</v>
      </c>
      <c r="C1388" s="71" t="s">
        <v>165</v>
      </c>
      <c r="D1388" s="78">
        <v>23.51</v>
      </c>
      <c r="E1388" s="663">
        <v>2</v>
      </c>
      <c r="H1388" s="179">
        <v>23.51</v>
      </c>
      <c r="J1388" s="294"/>
      <c r="K1388" s="295"/>
      <c r="L1388" s="72"/>
      <c r="M1388" s="133"/>
      <c r="N1388" s="72"/>
      <c r="O1388" s="224"/>
      <c r="P1388" s="219"/>
      <c r="Q1388" s="84"/>
      <c r="S1388" s="137"/>
      <c r="T1388" s="137"/>
      <c r="V1388" s="137"/>
    </row>
    <row r="1389" spans="1:22">
      <c r="A1389" s="71" t="s">
        <v>8601</v>
      </c>
      <c r="B1389" s="67" t="s">
        <v>32856</v>
      </c>
      <c r="C1389" s="71" t="s">
        <v>165</v>
      </c>
      <c r="D1389" s="78">
        <v>36.6</v>
      </c>
      <c r="E1389" s="663">
        <v>2</v>
      </c>
      <c r="H1389" s="178">
        <v>36.6</v>
      </c>
      <c r="J1389" s="294"/>
      <c r="K1389" s="295"/>
      <c r="L1389" s="72"/>
      <c r="M1389" s="133"/>
      <c r="N1389" s="72"/>
      <c r="O1389" s="224"/>
      <c r="P1389" s="219"/>
      <c r="Q1389" s="84"/>
      <c r="S1389" s="136"/>
      <c r="T1389" s="136"/>
      <c r="V1389" s="136"/>
    </row>
    <row r="1390" spans="1:22">
      <c r="A1390" s="71" t="s">
        <v>8602</v>
      </c>
      <c r="B1390" s="67" t="s">
        <v>32853</v>
      </c>
      <c r="C1390" s="71" t="s">
        <v>165</v>
      </c>
      <c r="D1390" s="78">
        <v>128.31</v>
      </c>
      <c r="E1390" s="663">
        <v>2</v>
      </c>
      <c r="H1390" s="179">
        <v>128.31</v>
      </c>
      <c r="J1390" s="294"/>
      <c r="K1390" s="295"/>
      <c r="L1390" s="72"/>
      <c r="M1390" s="133"/>
      <c r="N1390" s="72"/>
      <c r="O1390" s="224"/>
      <c r="P1390" s="219"/>
      <c r="Q1390" s="84"/>
      <c r="S1390" s="137"/>
      <c r="T1390" s="137"/>
      <c r="V1390" s="137"/>
    </row>
    <row r="1391" spans="1:22">
      <c r="A1391" s="71" t="s">
        <v>8603</v>
      </c>
      <c r="B1391" s="67" t="s">
        <v>32858</v>
      </c>
      <c r="C1391" s="71" t="s">
        <v>165</v>
      </c>
      <c r="D1391" s="78">
        <v>63.5</v>
      </c>
      <c r="E1391" s="663">
        <v>2</v>
      </c>
      <c r="H1391" s="178">
        <v>63.5</v>
      </c>
      <c r="J1391" s="294"/>
      <c r="K1391" s="295"/>
      <c r="L1391" s="72"/>
      <c r="M1391" s="133"/>
      <c r="N1391" s="72"/>
      <c r="O1391" s="224"/>
      <c r="P1391" s="219"/>
      <c r="Q1391" s="84"/>
      <c r="S1391" s="136"/>
      <c r="T1391" s="136"/>
      <c r="V1391" s="136"/>
    </row>
    <row r="1392" spans="1:22">
      <c r="A1392" s="71" t="s">
        <v>44206</v>
      </c>
      <c r="B1392" s="67" t="s">
        <v>44207</v>
      </c>
      <c r="C1392" s="71" t="s">
        <v>165</v>
      </c>
      <c r="D1392" s="78">
        <v>195.32</v>
      </c>
      <c r="E1392" s="663">
        <v>2</v>
      </c>
      <c r="H1392" s="179">
        <v>195.32</v>
      </c>
      <c r="J1392" s="294"/>
      <c r="K1392" s="295"/>
      <c r="L1392" s="72"/>
      <c r="M1392" s="133"/>
      <c r="N1392" s="72"/>
      <c r="O1392" s="224"/>
      <c r="P1392" s="219"/>
      <c r="Q1392" s="84"/>
      <c r="S1392" s="137"/>
      <c r="T1392" s="137"/>
    </row>
    <row r="1393" spans="1:22">
      <c r="A1393" s="71" t="s">
        <v>8604</v>
      </c>
      <c r="B1393" s="67" t="s">
        <v>32851</v>
      </c>
      <c r="C1393" s="71" t="s">
        <v>165</v>
      </c>
      <c r="D1393" s="78">
        <v>49.92</v>
      </c>
      <c r="E1393" s="663">
        <v>2</v>
      </c>
      <c r="H1393" s="178">
        <v>49.92</v>
      </c>
      <c r="J1393" s="294"/>
      <c r="K1393" s="295"/>
      <c r="L1393" s="72"/>
      <c r="M1393" s="133"/>
      <c r="N1393" s="72"/>
      <c r="O1393" s="224"/>
      <c r="P1393" s="219"/>
      <c r="Q1393" s="84"/>
      <c r="S1393" s="136"/>
      <c r="T1393" s="136"/>
      <c r="V1393" s="136"/>
    </row>
    <row r="1394" spans="1:22">
      <c r="A1394" s="71" t="s">
        <v>8605</v>
      </c>
      <c r="B1394" s="67" t="s">
        <v>8606</v>
      </c>
      <c r="C1394" s="71" t="s">
        <v>165</v>
      </c>
      <c r="D1394" s="78">
        <v>1.45</v>
      </c>
      <c r="E1394" s="663">
        <v>2</v>
      </c>
      <c r="H1394" s="179">
        <v>1.45</v>
      </c>
      <c r="J1394" s="294"/>
      <c r="K1394" s="295"/>
      <c r="L1394" s="72"/>
      <c r="M1394" s="133"/>
      <c r="N1394" s="72"/>
      <c r="O1394" s="224"/>
      <c r="P1394" s="219"/>
      <c r="Q1394" s="84"/>
      <c r="S1394" s="137"/>
      <c r="T1394" s="137"/>
      <c r="V1394" s="137"/>
    </row>
    <row r="1395" spans="1:22">
      <c r="A1395" s="71" t="s">
        <v>8607</v>
      </c>
      <c r="B1395" s="67" t="s">
        <v>8608</v>
      </c>
      <c r="C1395" s="71" t="s">
        <v>165</v>
      </c>
      <c r="D1395" s="78">
        <v>4.4000000000000004</v>
      </c>
      <c r="E1395" s="663">
        <v>2</v>
      </c>
      <c r="H1395" s="179">
        <v>4.4000000000000004</v>
      </c>
      <c r="J1395" s="294"/>
      <c r="K1395" s="295"/>
      <c r="L1395" s="72"/>
      <c r="M1395" s="133"/>
      <c r="N1395" s="72"/>
      <c r="O1395" s="224"/>
      <c r="P1395" s="219"/>
      <c r="Q1395" s="84"/>
      <c r="S1395" s="137"/>
      <c r="T1395" s="137"/>
      <c r="V1395" s="137"/>
    </row>
    <row r="1396" spans="1:22">
      <c r="A1396" s="71" t="s">
        <v>8609</v>
      </c>
      <c r="B1396" s="67" t="s">
        <v>32861</v>
      </c>
      <c r="C1396" s="71" t="s">
        <v>165</v>
      </c>
      <c r="D1396" s="78">
        <v>55.77</v>
      </c>
      <c r="E1396" s="663">
        <v>2</v>
      </c>
      <c r="H1396" s="179">
        <v>55.77</v>
      </c>
      <c r="J1396" s="294"/>
      <c r="K1396" s="295"/>
      <c r="L1396" s="72"/>
      <c r="M1396" s="133"/>
      <c r="N1396" s="72"/>
      <c r="O1396" s="224"/>
      <c r="P1396" s="219"/>
      <c r="Q1396" s="84"/>
      <c r="S1396" s="137"/>
      <c r="T1396" s="137"/>
      <c r="V1396" s="137"/>
    </row>
    <row r="1397" spans="1:22">
      <c r="A1397" s="71" t="s">
        <v>8610</v>
      </c>
      <c r="B1397" s="67" t="s">
        <v>32862</v>
      </c>
      <c r="C1397" s="71" t="s">
        <v>165</v>
      </c>
      <c r="D1397" s="78">
        <v>64.02</v>
      </c>
      <c r="E1397" s="663">
        <v>2</v>
      </c>
      <c r="H1397" s="179">
        <v>64.02</v>
      </c>
      <c r="J1397" s="294"/>
      <c r="K1397" s="295"/>
      <c r="L1397" s="72"/>
      <c r="M1397" s="133"/>
      <c r="N1397" s="72"/>
      <c r="O1397" s="224"/>
      <c r="P1397" s="219"/>
      <c r="Q1397" s="84"/>
      <c r="S1397" s="137"/>
      <c r="T1397" s="137"/>
      <c r="V1397" s="137"/>
    </row>
    <row r="1398" spans="1:22">
      <c r="A1398" s="71" t="s">
        <v>8611</v>
      </c>
      <c r="B1398" s="67" t="s">
        <v>8612</v>
      </c>
      <c r="C1398" s="71" t="s">
        <v>165</v>
      </c>
      <c r="D1398" s="78">
        <v>6.12</v>
      </c>
      <c r="E1398" s="663">
        <v>2</v>
      </c>
      <c r="H1398" s="178">
        <v>6.12</v>
      </c>
      <c r="J1398" s="294"/>
      <c r="K1398" s="295"/>
      <c r="L1398" s="72"/>
      <c r="M1398" s="133"/>
      <c r="N1398" s="72"/>
      <c r="O1398" s="224"/>
      <c r="P1398" s="219"/>
      <c r="Q1398" s="84"/>
      <c r="S1398" s="136"/>
      <c r="T1398" s="136"/>
      <c r="V1398" s="136"/>
    </row>
    <row r="1399" spans="1:22">
      <c r="A1399" s="71" t="s">
        <v>8613</v>
      </c>
      <c r="B1399" s="67" t="s">
        <v>32878</v>
      </c>
      <c r="C1399" s="71" t="s">
        <v>165</v>
      </c>
      <c r="D1399" s="78">
        <v>9.2200000000000006</v>
      </c>
      <c r="E1399" s="663">
        <v>2</v>
      </c>
      <c r="H1399" s="178">
        <v>9.2200000000000006</v>
      </c>
      <c r="J1399" s="294"/>
      <c r="K1399" s="295"/>
      <c r="L1399" s="72"/>
      <c r="M1399" s="133"/>
      <c r="N1399" s="72"/>
      <c r="O1399" s="224"/>
      <c r="P1399" s="219"/>
      <c r="Q1399" s="84"/>
      <c r="S1399" s="136"/>
      <c r="T1399" s="136"/>
      <c r="V1399" s="136"/>
    </row>
    <row r="1400" spans="1:22">
      <c r="A1400" s="71" t="s">
        <v>8614</v>
      </c>
      <c r="B1400" s="67" t="s">
        <v>29742</v>
      </c>
      <c r="C1400" s="71" t="s">
        <v>165</v>
      </c>
      <c r="D1400" s="78">
        <v>13.67</v>
      </c>
      <c r="E1400" s="663">
        <v>2</v>
      </c>
      <c r="H1400" s="178">
        <v>13.67</v>
      </c>
      <c r="J1400" s="294"/>
      <c r="K1400" s="295"/>
      <c r="L1400" s="72"/>
      <c r="M1400" s="133"/>
      <c r="N1400" s="72"/>
      <c r="O1400" s="224"/>
      <c r="P1400" s="219"/>
      <c r="Q1400" s="84"/>
      <c r="S1400" s="136"/>
      <c r="T1400" s="136"/>
      <c r="V1400" s="136"/>
    </row>
    <row r="1401" spans="1:22">
      <c r="A1401" s="71" t="s">
        <v>8615</v>
      </c>
      <c r="B1401" s="67" t="s">
        <v>29741</v>
      </c>
      <c r="C1401" s="71" t="s">
        <v>165</v>
      </c>
      <c r="D1401" s="78">
        <v>19.48</v>
      </c>
      <c r="E1401" s="663">
        <v>2</v>
      </c>
      <c r="H1401" s="178">
        <v>19.48</v>
      </c>
      <c r="J1401" s="294"/>
      <c r="K1401" s="295"/>
      <c r="L1401" s="72"/>
      <c r="M1401" s="133"/>
      <c r="N1401" s="72"/>
      <c r="O1401" s="224"/>
      <c r="P1401" s="219"/>
      <c r="Q1401" s="84"/>
      <c r="S1401" s="136"/>
      <c r="T1401" s="136"/>
      <c r="V1401" s="140"/>
    </row>
    <row r="1402" spans="1:22">
      <c r="A1402" s="71" t="s">
        <v>8616</v>
      </c>
      <c r="B1402" s="67" t="s">
        <v>29740</v>
      </c>
      <c r="C1402" s="71" t="s">
        <v>165</v>
      </c>
      <c r="D1402" s="78">
        <v>32.01</v>
      </c>
      <c r="E1402" s="663">
        <v>2</v>
      </c>
      <c r="H1402" s="178">
        <v>32.01</v>
      </c>
      <c r="J1402" s="294"/>
      <c r="K1402" s="295"/>
      <c r="L1402" s="72"/>
      <c r="M1402" s="133"/>
      <c r="N1402" s="72"/>
      <c r="O1402" s="224"/>
      <c r="P1402" s="219"/>
      <c r="Q1402" s="84"/>
      <c r="S1402" s="136"/>
      <c r="T1402" s="136"/>
      <c r="V1402" s="140"/>
    </row>
    <row r="1403" spans="1:22">
      <c r="A1403" s="71" t="s">
        <v>8617</v>
      </c>
      <c r="B1403" s="67" t="s">
        <v>29739</v>
      </c>
      <c r="C1403" s="71" t="s">
        <v>165</v>
      </c>
      <c r="D1403" s="78">
        <v>49.72</v>
      </c>
      <c r="E1403" s="663">
        <v>2</v>
      </c>
      <c r="H1403" s="178">
        <v>49.72</v>
      </c>
      <c r="J1403" s="294"/>
      <c r="K1403" s="295"/>
      <c r="L1403" s="72"/>
      <c r="M1403" s="133"/>
      <c r="N1403" s="72"/>
      <c r="O1403" s="224"/>
      <c r="P1403" s="219"/>
      <c r="Q1403" s="84"/>
      <c r="S1403" s="136"/>
      <c r="T1403" s="136"/>
      <c r="V1403" s="140"/>
    </row>
    <row r="1404" spans="1:22">
      <c r="A1404" s="134" t="s">
        <v>8618</v>
      </c>
      <c r="B1404" s="304" t="s">
        <v>8619</v>
      </c>
      <c r="C1404" s="306" t="s">
        <v>165</v>
      </c>
      <c r="D1404" s="78">
        <v>28.64</v>
      </c>
      <c r="E1404" s="663">
        <v>2</v>
      </c>
      <c r="H1404" s="308">
        <v>28.64</v>
      </c>
      <c r="T1404" s="84"/>
    </row>
    <row r="1405" spans="1:22">
      <c r="A1405" s="71" t="s">
        <v>8620</v>
      </c>
      <c r="B1405" s="67" t="s">
        <v>8621</v>
      </c>
      <c r="C1405" s="71" t="s">
        <v>165</v>
      </c>
      <c r="D1405" s="78">
        <v>13.57</v>
      </c>
      <c r="E1405" s="663">
        <v>2</v>
      </c>
      <c r="H1405" s="179">
        <v>13.57</v>
      </c>
      <c r="J1405" s="294"/>
      <c r="K1405" s="295"/>
      <c r="L1405" s="72"/>
      <c r="M1405" s="133"/>
      <c r="N1405" s="72"/>
      <c r="O1405" s="224"/>
      <c r="P1405" s="219"/>
      <c r="Q1405" s="84"/>
      <c r="S1405" s="137"/>
      <c r="T1405" s="137"/>
      <c r="V1405" s="137"/>
    </row>
    <row r="1406" spans="1:22">
      <c r="A1406" s="71" t="s">
        <v>8622</v>
      </c>
      <c r="B1406" s="67" t="s">
        <v>8623</v>
      </c>
      <c r="C1406" s="71" t="s">
        <v>165</v>
      </c>
      <c r="D1406" s="78">
        <v>16.89</v>
      </c>
      <c r="E1406" s="663">
        <v>2</v>
      </c>
      <c r="H1406" s="179">
        <v>16.89</v>
      </c>
      <c r="J1406" s="294"/>
      <c r="K1406" s="295"/>
      <c r="L1406" s="72"/>
      <c r="M1406" s="133"/>
      <c r="N1406" s="72"/>
      <c r="O1406" s="224"/>
      <c r="P1406" s="219"/>
      <c r="Q1406" s="84"/>
      <c r="S1406" s="137"/>
      <c r="T1406" s="137"/>
      <c r="V1406" s="137"/>
    </row>
    <row r="1407" spans="1:22">
      <c r="A1407" s="71" t="s">
        <v>8624</v>
      </c>
      <c r="B1407" s="67" t="s">
        <v>29622</v>
      </c>
      <c r="C1407" s="71" t="s">
        <v>165</v>
      </c>
      <c r="D1407" s="78">
        <v>4.46</v>
      </c>
      <c r="E1407" s="663">
        <v>2</v>
      </c>
      <c r="H1407" s="178">
        <v>4.46</v>
      </c>
      <c r="J1407" s="294"/>
      <c r="K1407" s="295"/>
      <c r="L1407" s="72"/>
      <c r="M1407" s="133"/>
      <c r="N1407" s="72"/>
      <c r="O1407" s="224"/>
      <c r="P1407" s="219"/>
      <c r="Q1407" s="84"/>
      <c r="S1407" s="136"/>
      <c r="T1407" s="136"/>
      <c r="V1407" s="136"/>
    </row>
    <row r="1408" spans="1:22">
      <c r="A1408" s="71" t="s">
        <v>8625</v>
      </c>
      <c r="B1408" s="67" t="s">
        <v>29623</v>
      </c>
      <c r="C1408" s="71" t="s">
        <v>165</v>
      </c>
      <c r="D1408" s="78">
        <v>6.31</v>
      </c>
      <c r="E1408" s="663">
        <v>2</v>
      </c>
      <c r="H1408" s="178">
        <v>6.31</v>
      </c>
      <c r="J1408" s="294"/>
      <c r="K1408" s="295"/>
      <c r="L1408" s="72"/>
      <c r="M1408" s="133"/>
      <c r="N1408" s="72"/>
      <c r="O1408" s="224"/>
      <c r="P1408" s="219"/>
      <c r="Q1408" s="84"/>
      <c r="S1408" s="136"/>
      <c r="T1408" s="136"/>
      <c r="V1408" s="136"/>
    </row>
    <row r="1409" spans="1:22">
      <c r="A1409" s="71" t="s">
        <v>8626</v>
      </c>
      <c r="B1409" s="67" t="s">
        <v>29624</v>
      </c>
      <c r="C1409" s="71" t="s">
        <v>165</v>
      </c>
      <c r="D1409" s="78">
        <v>9.99</v>
      </c>
      <c r="E1409" s="663">
        <v>2</v>
      </c>
      <c r="H1409" s="178">
        <v>9.99</v>
      </c>
      <c r="J1409" s="294"/>
      <c r="K1409" s="295"/>
      <c r="L1409" s="72"/>
      <c r="M1409" s="133"/>
      <c r="N1409" s="72"/>
      <c r="O1409" s="224"/>
      <c r="P1409" s="219"/>
      <c r="Q1409" s="84"/>
      <c r="S1409" s="136"/>
      <c r="T1409" s="136"/>
      <c r="V1409" s="136"/>
    </row>
    <row r="1410" spans="1:22">
      <c r="A1410" s="71" t="s">
        <v>8627</v>
      </c>
      <c r="B1410" s="67" t="s">
        <v>29625</v>
      </c>
      <c r="C1410" s="71" t="s">
        <v>165</v>
      </c>
      <c r="D1410" s="78">
        <v>15.46</v>
      </c>
      <c r="E1410" s="663">
        <v>2</v>
      </c>
      <c r="H1410" s="178">
        <v>15.46</v>
      </c>
      <c r="J1410" s="294"/>
      <c r="K1410" s="295"/>
      <c r="L1410" s="72"/>
      <c r="M1410" s="133"/>
      <c r="N1410" s="72"/>
      <c r="O1410" s="224"/>
      <c r="P1410" s="219"/>
      <c r="Q1410" s="84"/>
      <c r="S1410" s="136"/>
      <c r="T1410" s="136"/>
      <c r="V1410" s="136"/>
    </row>
    <row r="1411" spans="1:22">
      <c r="A1411" s="71" t="s">
        <v>8628</v>
      </c>
      <c r="B1411" s="67" t="s">
        <v>29626</v>
      </c>
      <c r="C1411" s="71" t="s">
        <v>165</v>
      </c>
      <c r="D1411" s="78">
        <v>23.74</v>
      </c>
      <c r="E1411" s="663">
        <v>2</v>
      </c>
      <c r="H1411" s="178">
        <v>23.74</v>
      </c>
      <c r="J1411" s="294"/>
      <c r="K1411" s="295"/>
      <c r="L1411" s="72"/>
      <c r="M1411" s="133"/>
      <c r="N1411" s="72"/>
      <c r="O1411" s="224"/>
      <c r="P1411" s="219"/>
      <c r="Q1411" s="84"/>
      <c r="S1411" s="136"/>
      <c r="T1411" s="136"/>
      <c r="V1411" s="136"/>
    </row>
    <row r="1412" spans="1:22">
      <c r="A1412" s="71" t="s">
        <v>8629</v>
      </c>
      <c r="B1412" s="67" t="s">
        <v>29627</v>
      </c>
      <c r="C1412" s="71" t="s">
        <v>165</v>
      </c>
      <c r="D1412" s="78">
        <v>32.869999999999997</v>
      </c>
      <c r="E1412" s="663">
        <v>2</v>
      </c>
      <c r="H1412" s="178">
        <v>32.869999999999997</v>
      </c>
      <c r="J1412" s="294"/>
      <c r="K1412" s="295"/>
      <c r="L1412" s="72"/>
      <c r="M1412" s="133"/>
      <c r="N1412" s="72"/>
      <c r="O1412" s="224"/>
      <c r="P1412" s="219"/>
      <c r="Q1412" s="84"/>
      <c r="S1412" s="136"/>
      <c r="T1412" s="136"/>
      <c r="V1412" s="136"/>
    </row>
    <row r="1413" spans="1:22">
      <c r="A1413" s="71" t="s">
        <v>8630</v>
      </c>
      <c r="B1413" s="67" t="s">
        <v>29628</v>
      </c>
      <c r="C1413" s="71" t="s">
        <v>165</v>
      </c>
      <c r="D1413" s="78">
        <v>47.19</v>
      </c>
      <c r="E1413" s="663">
        <v>2</v>
      </c>
      <c r="H1413" s="178">
        <v>47.19</v>
      </c>
      <c r="J1413" s="294"/>
      <c r="K1413" s="295"/>
      <c r="L1413" s="72"/>
      <c r="M1413" s="133"/>
      <c r="N1413" s="72"/>
      <c r="O1413" s="224"/>
      <c r="P1413" s="219"/>
      <c r="Q1413" s="84"/>
      <c r="S1413" s="136"/>
      <c r="T1413" s="136"/>
      <c r="V1413" s="136"/>
    </row>
    <row r="1414" spans="1:22">
      <c r="A1414" s="71" t="s">
        <v>8631</v>
      </c>
      <c r="B1414" s="67" t="s">
        <v>29629</v>
      </c>
      <c r="C1414" s="71" t="s">
        <v>165</v>
      </c>
      <c r="D1414" s="78">
        <v>65.8</v>
      </c>
      <c r="E1414" s="663">
        <v>2</v>
      </c>
      <c r="H1414" s="178">
        <v>65.8</v>
      </c>
      <c r="J1414" s="294"/>
      <c r="K1414" s="295"/>
      <c r="L1414" s="72"/>
      <c r="M1414" s="133"/>
      <c r="N1414" s="72"/>
      <c r="O1414" s="224"/>
      <c r="P1414" s="219"/>
      <c r="Q1414" s="84"/>
      <c r="S1414" s="136"/>
      <c r="T1414" s="136"/>
      <c r="V1414" s="136"/>
    </row>
    <row r="1415" spans="1:22">
      <c r="A1415" s="71" t="s">
        <v>8632</v>
      </c>
      <c r="B1415" s="67" t="s">
        <v>29630</v>
      </c>
      <c r="C1415" s="71" t="s">
        <v>165</v>
      </c>
      <c r="D1415" s="78">
        <v>87.09</v>
      </c>
      <c r="E1415" s="663">
        <v>2</v>
      </c>
      <c r="H1415" s="178">
        <v>87.09</v>
      </c>
      <c r="J1415" s="294"/>
      <c r="K1415" s="295"/>
      <c r="L1415" s="72"/>
      <c r="M1415" s="133"/>
      <c r="N1415" s="72"/>
      <c r="O1415" s="224"/>
      <c r="P1415" s="219"/>
      <c r="Q1415" s="84"/>
      <c r="S1415" s="136"/>
      <c r="T1415" s="136"/>
      <c r="V1415" s="136"/>
    </row>
    <row r="1416" spans="1:22">
      <c r="A1416" s="71" t="s">
        <v>8633</v>
      </c>
      <c r="B1416" s="67" t="s">
        <v>29631</v>
      </c>
      <c r="C1416" s="71" t="s">
        <v>165</v>
      </c>
      <c r="D1416" s="78">
        <v>110.64</v>
      </c>
      <c r="E1416" s="663">
        <v>2</v>
      </c>
      <c r="H1416" s="178">
        <v>110.64</v>
      </c>
      <c r="J1416" s="294"/>
      <c r="K1416" s="295"/>
      <c r="L1416" s="72"/>
      <c r="M1416" s="133"/>
      <c r="N1416" s="72"/>
      <c r="O1416" s="224"/>
      <c r="P1416" s="219"/>
      <c r="Q1416" s="84"/>
      <c r="S1416" s="136"/>
      <c r="T1416" s="136"/>
      <c r="V1416" s="136"/>
    </row>
    <row r="1417" spans="1:22">
      <c r="A1417" s="71" t="s">
        <v>8634</v>
      </c>
      <c r="B1417" s="67" t="s">
        <v>29632</v>
      </c>
      <c r="C1417" s="71" t="s">
        <v>165</v>
      </c>
      <c r="D1417" s="78">
        <v>138.5</v>
      </c>
      <c r="E1417" s="663">
        <v>2</v>
      </c>
      <c r="H1417" s="178">
        <v>138.5</v>
      </c>
      <c r="J1417" s="294"/>
      <c r="K1417" s="295"/>
      <c r="L1417" s="72"/>
      <c r="M1417" s="133"/>
      <c r="N1417" s="72"/>
      <c r="O1417" s="224"/>
      <c r="P1417" s="219"/>
      <c r="Q1417" s="84"/>
      <c r="S1417" s="136"/>
      <c r="T1417" s="136"/>
      <c r="V1417" s="136"/>
    </row>
    <row r="1418" spans="1:22">
      <c r="A1418" s="71" t="s">
        <v>8635</v>
      </c>
      <c r="B1418" s="67" t="s">
        <v>29633</v>
      </c>
      <c r="C1418" s="71" t="s">
        <v>165</v>
      </c>
      <c r="D1418" s="78">
        <v>166.37</v>
      </c>
      <c r="E1418" s="663">
        <v>2</v>
      </c>
      <c r="H1418" s="178">
        <v>166.37</v>
      </c>
      <c r="J1418" s="294"/>
      <c r="K1418" s="295"/>
      <c r="L1418" s="72"/>
      <c r="M1418" s="133"/>
      <c r="N1418" s="72"/>
      <c r="O1418" s="224"/>
      <c r="P1418" s="219"/>
      <c r="Q1418" s="84"/>
      <c r="S1418" s="136"/>
      <c r="T1418" s="136"/>
      <c r="V1418" s="136"/>
    </row>
    <row r="1419" spans="1:22">
      <c r="A1419" s="71" t="s">
        <v>8636</v>
      </c>
      <c r="B1419" s="67" t="s">
        <v>29634</v>
      </c>
      <c r="C1419" s="71" t="s">
        <v>165</v>
      </c>
      <c r="D1419" s="78">
        <v>220.62</v>
      </c>
      <c r="E1419" s="663">
        <v>2</v>
      </c>
      <c r="H1419" s="178">
        <v>220.62</v>
      </c>
      <c r="J1419" s="294"/>
      <c r="K1419" s="295"/>
      <c r="L1419" s="72"/>
      <c r="M1419" s="133"/>
      <c r="N1419" s="72"/>
      <c r="O1419" s="224"/>
      <c r="P1419" s="219"/>
      <c r="Q1419" s="84"/>
      <c r="S1419" s="136"/>
      <c r="T1419" s="136"/>
      <c r="V1419" s="136"/>
    </row>
    <row r="1420" spans="1:22">
      <c r="A1420" s="71" t="s">
        <v>8637</v>
      </c>
      <c r="B1420" s="67" t="s">
        <v>29635</v>
      </c>
      <c r="C1420" s="71" t="s">
        <v>165</v>
      </c>
      <c r="D1420" s="78">
        <v>282.29000000000002</v>
      </c>
      <c r="E1420" s="663">
        <v>2</v>
      </c>
      <c r="H1420" s="178">
        <v>282.29000000000002</v>
      </c>
      <c r="J1420" s="294"/>
      <c r="K1420" s="295"/>
      <c r="L1420" s="72"/>
      <c r="M1420" s="133"/>
      <c r="N1420" s="72"/>
      <c r="O1420" s="224"/>
      <c r="P1420" s="219"/>
      <c r="Q1420" s="84"/>
      <c r="S1420" s="136"/>
      <c r="T1420" s="136"/>
      <c r="V1420" s="136"/>
    </row>
    <row r="1421" spans="1:22">
      <c r="A1421" s="71" t="s">
        <v>8638</v>
      </c>
      <c r="B1421" s="67" t="s">
        <v>44208</v>
      </c>
      <c r="C1421" s="71" t="s">
        <v>165</v>
      </c>
      <c r="D1421" s="78">
        <v>285.86</v>
      </c>
      <c r="E1421" s="663">
        <v>2</v>
      </c>
      <c r="H1421" s="179">
        <v>285.86</v>
      </c>
      <c r="J1421" s="294"/>
      <c r="K1421" s="295"/>
      <c r="L1421" s="72"/>
      <c r="M1421" s="133"/>
      <c r="N1421" s="72"/>
      <c r="O1421" s="224"/>
      <c r="P1421" s="219"/>
      <c r="Q1421" s="84"/>
      <c r="S1421" s="137"/>
      <c r="T1421" s="137"/>
      <c r="V1421" s="137"/>
    </row>
    <row r="1422" spans="1:22">
      <c r="A1422" s="71" t="s">
        <v>8639</v>
      </c>
      <c r="B1422" s="67" t="s">
        <v>8640</v>
      </c>
      <c r="C1422" s="71" t="s">
        <v>103</v>
      </c>
      <c r="D1422" s="78">
        <v>156.82</v>
      </c>
      <c r="E1422" s="663">
        <v>2</v>
      </c>
      <c r="H1422" s="179">
        <v>156.82</v>
      </c>
      <c r="J1422" s="294"/>
      <c r="K1422" s="295"/>
      <c r="L1422" s="72"/>
      <c r="M1422" s="133"/>
      <c r="N1422" s="72"/>
      <c r="O1422" s="224"/>
      <c r="P1422" s="219"/>
      <c r="Q1422" s="84"/>
      <c r="S1422" s="137"/>
      <c r="T1422" s="137"/>
      <c r="V1422" s="137"/>
    </row>
    <row r="1423" spans="1:22">
      <c r="A1423" s="71" t="s">
        <v>41688</v>
      </c>
      <c r="B1423" s="67" t="s">
        <v>41689</v>
      </c>
      <c r="C1423" s="71" t="s">
        <v>103</v>
      </c>
      <c r="D1423" s="78">
        <v>979.26</v>
      </c>
      <c r="E1423" s="663">
        <v>2</v>
      </c>
      <c r="H1423" s="178">
        <v>979.26</v>
      </c>
      <c r="J1423" s="294"/>
      <c r="K1423" s="295"/>
      <c r="M1423" s="72"/>
      <c r="N1423" s="133"/>
      <c r="O1423" s="72"/>
      <c r="P1423" s="137"/>
      <c r="Q1423" s="138"/>
      <c r="T1423" s="136"/>
      <c r="V1423" s="136"/>
    </row>
    <row r="1424" spans="1:22">
      <c r="A1424" s="71" t="s">
        <v>8641</v>
      </c>
      <c r="B1424" s="67" t="s">
        <v>8642</v>
      </c>
      <c r="C1424" s="71" t="s">
        <v>103</v>
      </c>
      <c r="D1424" s="78">
        <v>2902.55</v>
      </c>
      <c r="E1424" s="663">
        <v>2</v>
      </c>
      <c r="H1424" s="179">
        <v>2902.55</v>
      </c>
      <c r="J1424" s="294"/>
      <c r="K1424" s="295"/>
      <c r="L1424" s="72"/>
      <c r="M1424" s="133"/>
      <c r="N1424" s="72"/>
      <c r="O1424" s="224"/>
      <c r="P1424" s="219"/>
      <c r="Q1424" s="84"/>
      <c r="S1424" s="137"/>
      <c r="T1424" s="137"/>
      <c r="V1424" s="137"/>
    </row>
    <row r="1425" spans="1:22">
      <c r="A1425" s="71" t="s">
        <v>8643</v>
      </c>
      <c r="B1425" s="67" t="s">
        <v>8644</v>
      </c>
      <c r="C1425" s="71" t="s">
        <v>103</v>
      </c>
      <c r="D1425" s="78">
        <v>495.87</v>
      </c>
      <c r="E1425" s="663">
        <v>2</v>
      </c>
      <c r="H1425" s="179">
        <v>495.87</v>
      </c>
      <c r="J1425" s="294"/>
      <c r="K1425" s="295"/>
      <c r="L1425" s="72"/>
      <c r="M1425" s="133"/>
      <c r="N1425" s="72"/>
      <c r="O1425" s="224"/>
      <c r="P1425" s="219"/>
      <c r="Q1425" s="84"/>
      <c r="S1425" s="137"/>
      <c r="T1425" s="137"/>
      <c r="V1425" s="137"/>
    </row>
    <row r="1426" spans="1:22">
      <c r="A1426" s="71" t="s">
        <v>8645</v>
      </c>
      <c r="B1426" s="67" t="s">
        <v>8646</v>
      </c>
      <c r="C1426" s="71" t="s">
        <v>103</v>
      </c>
      <c r="D1426" s="78">
        <v>1345.7</v>
      </c>
      <c r="E1426" s="663">
        <v>2</v>
      </c>
      <c r="H1426" s="179">
        <v>1345.7</v>
      </c>
      <c r="J1426" s="294"/>
      <c r="K1426" s="295"/>
      <c r="L1426" s="72"/>
      <c r="M1426" s="133"/>
      <c r="N1426" s="72"/>
      <c r="O1426" s="224"/>
      <c r="P1426" s="219"/>
      <c r="Q1426" s="84"/>
      <c r="S1426" s="137"/>
      <c r="T1426" s="137"/>
      <c r="V1426" s="137"/>
    </row>
    <row r="1427" spans="1:22">
      <c r="A1427" s="71" t="s">
        <v>8647</v>
      </c>
      <c r="B1427" s="67" t="s">
        <v>8648</v>
      </c>
      <c r="C1427" s="71" t="s">
        <v>103</v>
      </c>
      <c r="D1427" s="78">
        <v>1878.65</v>
      </c>
      <c r="E1427" s="663">
        <v>2</v>
      </c>
      <c r="H1427" s="179">
        <v>1878.65</v>
      </c>
      <c r="J1427" s="294"/>
      <c r="K1427" s="295"/>
      <c r="L1427" s="72"/>
      <c r="M1427" s="133"/>
      <c r="N1427" s="72"/>
      <c r="O1427" s="224"/>
      <c r="P1427" s="219"/>
      <c r="Q1427" s="84"/>
      <c r="S1427" s="137"/>
      <c r="T1427" s="137"/>
      <c r="V1427" s="137"/>
    </row>
    <row r="1428" spans="1:22">
      <c r="A1428" s="71" t="s">
        <v>8649</v>
      </c>
      <c r="B1428" s="67" t="s">
        <v>8650</v>
      </c>
      <c r="C1428" s="71" t="s">
        <v>103</v>
      </c>
      <c r="D1428" s="78">
        <v>4016.22</v>
      </c>
      <c r="E1428" s="663">
        <v>2</v>
      </c>
      <c r="H1428" s="179">
        <v>4016.22</v>
      </c>
      <c r="J1428" s="294"/>
      <c r="K1428" s="295"/>
      <c r="L1428" s="72"/>
      <c r="M1428" s="133"/>
      <c r="N1428" s="72"/>
      <c r="O1428" s="224"/>
      <c r="P1428" s="219"/>
      <c r="Q1428" s="84"/>
      <c r="S1428" s="137"/>
      <c r="T1428" s="137"/>
      <c r="V1428" s="137"/>
    </row>
    <row r="1429" spans="1:22">
      <c r="A1429" s="71" t="s">
        <v>8651</v>
      </c>
      <c r="B1429" s="67" t="s">
        <v>8652</v>
      </c>
      <c r="C1429" s="71" t="s">
        <v>103</v>
      </c>
      <c r="D1429" s="78">
        <v>73.23</v>
      </c>
      <c r="E1429" s="663">
        <v>2</v>
      </c>
      <c r="H1429" s="179">
        <v>73.23</v>
      </c>
      <c r="J1429" s="294"/>
      <c r="K1429" s="295"/>
      <c r="L1429" s="72"/>
      <c r="M1429" s="133"/>
      <c r="N1429" s="72"/>
      <c r="O1429" s="224"/>
      <c r="P1429" s="219"/>
      <c r="Q1429" s="84"/>
      <c r="S1429" s="137"/>
      <c r="T1429" s="137"/>
      <c r="V1429" s="137"/>
    </row>
    <row r="1430" spans="1:22">
      <c r="A1430" s="71" t="s">
        <v>8653</v>
      </c>
      <c r="B1430" s="67" t="s">
        <v>8654</v>
      </c>
      <c r="C1430" s="71" t="s">
        <v>103</v>
      </c>
      <c r="D1430" s="78">
        <v>14.7</v>
      </c>
      <c r="E1430" s="663">
        <v>2</v>
      </c>
      <c r="H1430" s="179">
        <v>14.7</v>
      </c>
      <c r="J1430" s="294"/>
      <c r="K1430" s="295"/>
      <c r="L1430" s="72"/>
      <c r="M1430" s="133"/>
      <c r="N1430" s="72"/>
      <c r="O1430" s="224"/>
      <c r="P1430" s="219"/>
      <c r="Q1430" s="84"/>
      <c r="S1430" s="137"/>
      <c r="T1430" s="137"/>
      <c r="V1430" s="137"/>
    </row>
    <row r="1431" spans="1:22">
      <c r="A1431" s="71" t="s">
        <v>8655</v>
      </c>
      <c r="B1431" s="67" t="s">
        <v>8656</v>
      </c>
      <c r="C1431" s="71" t="s">
        <v>103</v>
      </c>
      <c r="D1431" s="78">
        <v>20.94</v>
      </c>
      <c r="E1431" s="663">
        <v>2</v>
      </c>
      <c r="H1431" s="179">
        <v>20.94</v>
      </c>
      <c r="J1431" s="294"/>
      <c r="K1431" s="295"/>
      <c r="L1431" s="72"/>
      <c r="M1431" s="133"/>
      <c r="N1431" s="72"/>
      <c r="O1431" s="224"/>
      <c r="P1431" s="219"/>
      <c r="Q1431" s="84"/>
      <c r="S1431" s="137"/>
      <c r="T1431" s="137"/>
      <c r="V1431" s="137"/>
    </row>
    <row r="1432" spans="1:22">
      <c r="A1432" s="71" t="s">
        <v>8657</v>
      </c>
      <c r="B1432" s="67" t="s">
        <v>8658</v>
      </c>
      <c r="C1432" s="71" t="s">
        <v>103</v>
      </c>
      <c r="D1432" s="78">
        <v>54.71</v>
      </c>
      <c r="E1432" s="663">
        <v>2</v>
      </c>
      <c r="H1432" s="179">
        <v>54.71</v>
      </c>
      <c r="J1432" s="294"/>
      <c r="K1432" s="295"/>
      <c r="L1432" s="72"/>
      <c r="M1432" s="133"/>
      <c r="N1432" s="72"/>
      <c r="O1432" s="224"/>
      <c r="P1432" s="219"/>
      <c r="Q1432" s="84"/>
      <c r="S1432" s="137"/>
      <c r="T1432" s="137"/>
      <c r="V1432" s="137"/>
    </row>
    <row r="1433" spans="1:22">
      <c r="A1433" s="71" t="s">
        <v>8659</v>
      </c>
      <c r="B1433" s="67" t="s">
        <v>8660</v>
      </c>
      <c r="C1433" s="71" t="s">
        <v>103</v>
      </c>
      <c r="D1433" s="78">
        <v>1076.4100000000001</v>
      </c>
      <c r="E1433" s="663">
        <v>2</v>
      </c>
      <c r="H1433" s="179">
        <v>1076.4100000000001</v>
      </c>
      <c r="J1433" s="294"/>
      <c r="K1433" s="295"/>
      <c r="L1433" s="72"/>
      <c r="M1433" s="133"/>
      <c r="N1433" s="72"/>
      <c r="O1433" s="224"/>
      <c r="P1433" s="219"/>
      <c r="Q1433" s="84"/>
      <c r="S1433" s="137"/>
      <c r="T1433" s="137"/>
      <c r="V1433" s="137"/>
    </row>
    <row r="1434" spans="1:22">
      <c r="A1434" s="71" t="s">
        <v>8661</v>
      </c>
      <c r="B1434" s="67" t="s">
        <v>8662</v>
      </c>
      <c r="C1434" s="71" t="s">
        <v>103</v>
      </c>
      <c r="D1434" s="78">
        <v>2039.1</v>
      </c>
      <c r="E1434" s="663">
        <v>2</v>
      </c>
      <c r="H1434" s="179">
        <v>2039.1</v>
      </c>
      <c r="J1434" s="294"/>
      <c r="K1434" s="295"/>
      <c r="L1434" s="72"/>
      <c r="M1434" s="133"/>
      <c r="N1434" s="72"/>
      <c r="O1434" s="224"/>
      <c r="P1434" s="219"/>
      <c r="Q1434" s="84"/>
      <c r="S1434" s="137"/>
      <c r="T1434" s="137"/>
      <c r="V1434" s="137"/>
    </row>
    <row r="1435" spans="1:22">
      <c r="A1435" s="71" t="s">
        <v>8663</v>
      </c>
      <c r="B1435" s="67" t="s">
        <v>8664</v>
      </c>
      <c r="C1435" s="71" t="s">
        <v>103</v>
      </c>
      <c r="D1435" s="78">
        <v>244.89</v>
      </c>
      <c r="E1435" s="663">
        <v>2</v>
      </c>
      <c r="H1435" s="179">
        <v>244.89</v>
      </c>
      <c r="J1435" s="294"/>
      <c r="K1435" s="295"/>
      <c r="L1435" s="72"/>
      <c r="M1435" s="133"/>
      <c r="N1435" s="72"/>
      <c r="O1435" s="224"/>
      <c r="P1435" s="219"/>
      <c r="Q1435" s="84"/>
      <c r="S1435" s="137"/>
      <c r="T1435" s="137"/>
      <c r="V1435" s="137"/>
    </row>
    <row r="1436" spans="1:22">
      <c r="A1436" s="71" t="s">
        <v>8665</v>
      </c>
      <c r="B1436" s="67" t="s">
        <v>8666</v>
      </c>
      <c r="C1436" s="71" t="s">
        <v>103</v>
      </c>
      <c r="D1436" s="78">
        <v>421.05</v>
      </c>
      <c r="E1436" s="663">
        <v>2</v>
      </c>
      <c r="H1436" s="179">
        <v>421.05</v>
      </c>
      <c r="J1436" s="294"/>
      <c r="K1436" s="295"/>
      <c r="L1436" s="72"/>
      <c r="M1436" s="133"/>
      <c r="N1436" s="72"/>
      <c r="O1436" s="224"/>
      <c r="P1436" s="219"/>
      <c r="Q1436" s="84"/>
      <c r="S1436" s="137"/>
      <c r="T1436" s="137"/>
      <c r="V1436" s="137"/>
    </row>
    <row r="1437" spans="1:22">
      <c r="A1437" s="71" t="s">
        <v>8667</v>
      </c>
      <c r="B1437" s="67" t="s">
        <v>8668</v>
      </c>
      <c r="C1437" s="71" t="s">
        <v>103</v>
      </c>
      <c r="D1437" s="78">
        <v>2384.59</v>
      </c>
      <c r="E1437" s="663">
        <v>2</v>
      </c>
      <c r="H1437" s="179">
        <v>2384.59</v>
      </c>
      <c r="J1437" s="294"/>
      <c r="K1437" s="295"/>
      <c r="L1437" s="72"/>
      <c r="M1437" s="133"/>
      <c r="N1437" s="72"/>
      <c r="O1437" s="224"/>
      <c r="P1437" s="219"/>
      <c r="Q1437" s="84"/>
      <c r="S1437" s="137"/>
      <c r="T1437" s="137"/>
      <c r="V1437" s="137"/>
    </row>
    <row r="1438" spans="1:22">
      <c r="A1438" s="71" t="s">
        <v>8669</v>
      </c>
      <c r="B1438" s="67" t="s">
        <v>8670</v>
      </c>
      <c r="C1438" s="71" t="s">
        <v>103</v>
      </c>
      <c r="D1438" s="78">
        <v>289.73</v>
      </c>
      <c r="E1438" s="663">
        <v>2</v>
      </c>
      <c r="H1438" s="179">
        <v>289.73</v>
      </c>
      <c r="J1438" s="294"/>
      <c r="K1438" s="295"/>
      <c r="L1438" s="72"/>
      <c r="M1438" s="133"/>
      <c r="N1438" s="72"/>
      <c r="O1438" s="224"/>
      <c r="P1438" s="219"/>
      <c r="Q1438" s="84"/>
      <c r="S1438" s="137"/>
      <c r="T1438" s="137"/>
      <c r="V1438" s="137"/>
    </row>
    <row r="1439" spans="1:22">
      <c r="A1439" s="71" t="s">
        <v>8671</v>
      </c>
      <c r="B1439" s="67" t="s">
        <v>8672</v>
      </c>
      <c r="C1439" s="71" t="s">
        <v>103</v>
      </c>
      <c r="D1439" s="78">
        <v>1793.06</v>
      </c>
      <c r="E1439" s="663">
        <v>2</v>
      </c>
      <c r="H1439" s="179">
        <v>1793.06</v>
      </c>
      <c r="J1439" s="294"/>
      <c r="K1439" s="295"/>
      <c r="L1439" s="72"/>
      <c r="M1439" s="133"/>
      <c r="N1439" s="72"/>
      <c r="O1439" s="224"/>
      <c r="P1439" s="219"/>
      <c r="Q1439" s="84"/>
      <c r="S1439" s="137"/>
      <c r="T1439" s="137"/>
      <c r="V1439" s="145"/>
    </row>
    <row r="1440" spans="1:22">
      <c r="A1440" s="71" t="s">
        <v>8673</v>
      </c>
      <c r="B1440" s="67" t="s">
        <v>8674</v>
      </c>
      <c r="C1440" s="71" t="s">
        <v>103</v>
      </c>
      <c r="D1440" s="78">
        <v>1685.15</v>
      </c>
      <c r="E1440" s="663">
        <v>2</v>
      </c>
      <c r="H1440" s="179">
        <v>1685.15</v>
      </c>
      <c r="J1440" s="294"/>
      <c r="K1440" s="295"/>
      <c r="L1440" s="72"/>
      <c r="M1440" s="133"/>
      <c r="N1440" s="72"/>
      <c r="O1440" s="224"/>
      <c r="P1440" s="219"/>
      <c r="Q1440" s="84"/>
      <c r="S1440" s="137"/>
      <c r="T1440" s="137"/>
      <c r="V1440" s="137"/>
    </row>
    <row r="1441" spans="1:22">
      <c r="A1441" s="71" t="s">
        <v>8675</v>
      </c>
      <c r="B1441" s="67" t="s">
        <v>8676</v>
      </c>
      <c r="C1441" s="71" t="s">
        <v>153</v>
      </c>
      <c r="D1441" s="78">
        <v>358.92</v>
      </c>
      <c r="E1441" s="663">
        <v>2</v>
      </c>
      <c r="H1441" s="178">
        <v>358.92</v>
      </c>
      <c r="J1441" s="294"/>
      <c r="K1441" s="295"/>
      <c r="L1441" s="72"/>
      <c r="M1441" s="133"/>
      <c r="N1441" s="72"/>
      <c r="O1441" s="224"/>
      <c r="P1441" s="219"/>
      <c r="Q1441" s="84"/>
      <c r="S1441" s="136"/>
      <c r="T1441" s="136"/>
    </row>
    <row r="1442" spans="1:22">
      <c r="A1442" s="71" t="s">
        <v>8677</v>
      </c>
      <c r="B1442" s="67" t="s">
        <v>8678</v>
      </c>
      <c r="C1442" s="71" t="s">
        <v>103</v>
      </c>
      <c r="D1442" s="78">
        <v>53.91</v>
      </c>
      <c r="E1442" s="663">
        <v>2</v>
      </c>
      <c r="H1442" s="179">
        <v>53.91</v>
      </c>
      <c r="J1442" s="294"/>
      <c r="K1442" s="295"/>
      <c r="L1442" s="72"/>
      <c r="M1442" s="133"/>
      <c r="N1442" s="72"/>
      <c r="O1442" s="224"/>
      <c r="P1442" s="219"/>
      <c r="Q1442" s="84"/>
      <c r="S1442" s="137"/>
      <c r="T1442" s="137"/>
      <c r="V1442" s="137"/>
    </row>
    <row r="1443" spans="1:22">
      <c r="A1443" s="71" t="s">
        <v>8679</v>
      </c>
      <c r="B1443" s="67" t="s">
        <v>8680</v>
      </c>
      <c r="C1443" s="71" t="s">
        <v>103</v>
      </c>
      <c r="D1443" s="78">
        <v>59.39</v>
      </c>
      <c r="E1443" s="663">
        <v>2</v>
      </c>
      <c r="H1443" s="179">
        <v>59.39</v>
      </c>
      <c r="J1443" s="294"/>
      <c r="K1443" s="295"/>
      <c r="L1443" s="72"/>
      <c r="M1443" s="133"/>
      <c r="N1443" s="72"/>
      <c r="O1443" s="224"/>
      <c r="P1443" s="219"/>
      <c r="Q1443" s="84"/>
      <c r="S1443" s="137"/>
      <c r="T1443" s="137"/>
      <c r="V1443" s="137"/>
    </row>
    <row r="1444" spans="1:22">
      <c r="A1444" s="71" t="s">
        <v>8681</v>
      </c>
      <c r="B1444" s="67" t="s">
        <v>8682</v>
      </c>
      <c r="C1444" s="71" t="s">
        <v>103</v>
      </c>
      <c r="D1444" s="78">
        <v>4.4400000000000004</v>
      </c>
      <c r="E1444" s="663">
        <v>2</v>
      </c>
      <c r="H1444" s="179">
        <v>4.4400000000000004</v>
      </c>
      <c r="J1444" s="294"/>
      <c r="K1444" s="295"/>
      <c r="L1444" s="72"/>
      <c r="M1444" s="133"/>
      <c r="N1444" s="72"/>
      <c r="O1444" s="224"/>
      <c r="P1444" s="219"/>
      <c r="Q1444" s="84"/>
      <c r="S1444" s="137"/>
      <c r="T1444" s="137"/>
      <c r="V1444" s="137"/>
    </row>
    <row r="1445" spans="1:22">
      <c r="A1445" s="71" t="s">
        <v>8683</v>
      </c>
      <c r="B1445" s="67" t="s">
        <v>8684</v>
      </c>
      <c r="C1445" s="71" t="s">
        <v>509</v>
      </c>
      <c r="D1445" s="78">
        <v>149.87</v>
      </c>
      <c r="E1445" s="663">
        <v>2</v>
      </c>
      <c r="H1445" s="179">
        <v>149.87</v>
      </c>
      <c r="J1445" s="294"/>
      <c r="K1445" s="295"/>
      <c r="L1445" s="72"/>
      <c r="M1445" s="133"/>
      <c r="N1445" s="72"/>
      <c r="O1445" s="224"/>
      <c r="P1445" s="219"/>
      <c r="Q1445" s="84"/>
      <c r="S1445" s="137"/>
      <c r="T1445" s="137"/>
      <c r="V1445" s="137"/>
    </row>
    <row r="1446" spans="1:22">
      <c r="A1446" s="71" t="s">
        <v>8685</v>
      </c>
      <c r="B1446" s="67" t="s">
        <v>8686</v>
      </c>
      <c r="C1446" s="71" t="s">
        <v>103</v>
      </c>
      <c r="D1446" s="78">
        <v>6.38</v>
      </c>
      <c r="E1446" s="663">
        <v>2</v>
      </c>
      <c r="H1446" s="179">
        <v>6.38</v>
      </c>
      <c r="J1446" s="294"/>
      <c r="K1446" s="295"/>
      <c r="L1446" s="72"/>
      <c r="M1446" s="133"/>
      <c r="N1446" s="72"/>
      <c r="O1446" s="224"/>
      <c r="P1446" s="219"/>
      <c r="Q1446" s="84"/>
      <c r="S1446" s="137"/>
      <c r="T1446" s="137"/>
      <c r="V1446" s="137"/>
    </row>
    <row r="1447" spans="1:22">
      <c r="A1447" s="71" t="s">
        <v>41702</v>
      </c>
      <c r="B1447" s="67" t="s">
        <v>41703</v>
      </c>
      <c r="C1447" s="71" t="s">
        <v>165</v>
      </c>
      <c r="D1447" s="78">
        <v>46.92</v>
      </c>
      <c r="E1447" s="663">
        <v>2</v>
      </c>
      <c r="H1447" s="178">
        <v>46.92</v>
      </c>
      <c r="J1447" s="294"/>
      <c r="K1447" s="295"/>
      <c r="M1447" s="72"/>
      <c r="N1447" s="133"/>
      <c r="O1447" s="72"/>
      <c r="P1447" s="137"/>
      <c r="Q1447" s="138"/>
      <c r="T1447" s="136"/>
      <c r="V1447" s="136"/>
    </row>
    <row r="1448" spans="1:22">
      <c r="A1448" s="71" t="s">
        <v>41700</v>
      </c>
      <c r="B1448" s="67" t="s">
        <v>41701</v>
      </c>
      <c r="C1448" s="71" t="s">
        <v>165</v>
      </c>
      <c r="D1448" s="78">
        <v>80.36</v>
      </c>
      <c r="E1448" s="663">
        <v>2</v>
      </c>
      <c r="H1448" s="178">
        <v>80.36</v>
      </c>
      <c r="J1448" s="294"/>
      <c r="K1448" s="295"/>
      <c r="M1448" s="72"/>
      <c r="N1448" s="133"/>
      <c r="O1448" s="72"/>
      <c r="P1448" s="137"/>
      <c r="Q1448" s="138"/>
      <c r="T1448" s="136"/>
      <c r="V1448" s="136"/>
    </row>
    <row r="1449" spans="1:22">
      <c r="A1449" s="71" t="s">
        <v>8687</v>
      </c>
      <c r="B1449" s="67" t="s">
        <v>8688</v>
      </c>
      <c r="C1449" s="71" t="s">
        <v>103</v>
      </c>
      <c r="D1449" s="78">
        <v>191.76</v>
      </c>
      <c r="E1449" s="663">
        <v>2</v>
      </c>
      <c r="H1449" s="178">
        <v>191.76</v>
      </c>
      <c r="J1449" s="294"/>
      <c r="K1449" s="295"/>
      <c r="L1449" s="72"/>
      <c r="M1449" s="133"/>
      <c r="N1449" s="72"/>
      <c r="O1449" s="224"/>
      <c r="P1449" s="219"/>
      <c r="Q1449" s="84"/>
      <c r="S1449" s="136"/>
      <c r="T1449" s="136"/>
      <c r="V1449" s="136"/>
    </row>
    <row r="1450" spans="1:22">
      <c r="A1450" s="71" t="s">
        <v>8689</v>
      </c>
      <c r="B1450" s="67" t="s">
        <v>8690</v>
      </c>
      <c r="C1450" s="71" t="s">
        <v>103</v>
      </c>
      <c r="D1450" s="78">
        <v>98.82</v>
      </c>
      <c r="E1450" s="663">
        <v>2</v>
      </c>
      <c r="H1450" s="179">
        <v>98.82</v>
      </c>
      <c r="J1450" s="294"/>
      <c r="K1450" s="295"/>
      <c r="L1450" s="72"/>
      <c r="M1450" s="133"/>
      <c r="N1450" s="72"/>
      <c r="O1450" s="224"/>
      <c r="P1450" s="219"/>
      <c r="Q1450" s="84"/>
      <c r="S1450" s="137"/>
      <c r="T1450" s="137"/>
      <c r="V1450" s="137"/>
    </row>
    <row r="1451" spans="1:22">
      <c r="A1451" s="71" t="s">
        <v>8691</v>
      </c>
      <c r="B1451" s="67" t="s">
        <v>8692</v>
      </c>
      <c r="C1451" s="71" t="s">
        <v>103</v>
      </c>
      <c r="D1451" s="78">
        <v>27.67</v>
      </c>
      <c r="E1451" s="663">
        <v>2</v>
      </c>
      <c r="H1451" s="179">
        <v>27.67</v>
      </c>
      <c r="J1451" s="294"/>
      <c r="K1451" s="295"/>
      <c r="L1451" s="72"/>
      <c r="M1451" s="133"/>
      <c r="N1451" s="72"/>
      <c r="O1451" s="224"/>
      <c r="P1451" s="219"/>
      <c r="Q1451" s="84"/>
      <c r="S1451" s="137"/>
      <c r="T1451" s="137"/>
      <c r="V1451" s="137"/>
    </row>
    <row r="1452" spans="1:22">
      <c r="A1452" s="71" t="s">
        <v>8693</v>
      </c>
      <c r="B1452" s="67" t="s">
        <v>8694</v>
      </c>
      <c r="C1452" s="71" t="s">
        <v>103</v>
      </c>
      <c r="D1452" s="78">
        <v>60.89</v>
      </c>
      <c r="E1452" s="663">
        <v>2</v>
      </c>
      <c r="H1452" s="179">
        <v>60.89</v>
      </c>
      <c r="J1452" s="294"/>
      <c r="K1452" s="295"/>
      <c r="L1452" s="72"/>
      <c r="M1452" s="133"/>
      <c r="N1452" s="72"/>
      <c r="O1452" s="224"/>
      <c r="P1452" s="219"/>
      <c r="Q1452" s="84"/>
      <c r="S1452" s="137"/>
      <c r="T1452" s="137"/>
      <c r="V1452" s="137"/>
    </row>
    <row r="1453" spans="1:22">
      <c r="A1453" s="71" t="s">
        <v>8695</v>
      </c>
      <c r="B1453" s="67" t="s">
        <v>8696</v>
      </c>
      <c r="C1453" s="71" t="s">
        <v>103</v>
      </c>
      <c r="D1453" s="78">
        <v>317.44</v>
      </c>
      <c r="E1453" s="663">
        <v>2</v>
      </c>
      <c r="H1453" s="179">
        <v>317.44</v>
      </c>
      <c r="J1453" s="294"/>
      <c r="K1453" s="295"/>
      <c r="L1453" s="72"/>
      <c r="M1453" s="133"/>
      <c r="N1453" s="72"/>
      <c r="O1453" s="224"/>
      <c r="P1453" s="219"/>
      <c r="Q1453" s="84"/>
      <c r="S1453" s="137"/>
      <c r="T1453" s="137"/>
      <c r="V1453" s="137"/>
    </row>
    <row r="1454" spans="1:22">
      <c r="A1454" s="71" t="s">
        <v>8697</v>
      </c>
      <c r="B1454" s="67" t="s">
        <v>8698</v>
      </c>
      <c r="C1454" s="71" t="s">
        <v>103</v>
      </c>
      <c r="D1454" s="78">
        <v>346.7</v>
      </c>
      <c r="E1454" s="663">
        <v>2</v>
      </c>
      <c r="H1454" s="179">
        <v>346.7</v>
      </c>
      <c r="J1454" s="294"/>
      <c r="K1454" s="295"/>
      <c r="L1454" s="72"/>
      <c r="M1454" s="133"/>
      <c r="N1454" s="72"/>
      <c r="O1454" s="224"/>
      <c r="P1454" s="219"/>
      <c r="Q1454" s="84"/>
      <c r="S1454" s="137"/>
      <c r="T1454" s="137"/>
      <c r="V1454" s="137"/>
    </row>
    <row r="1455" spans="1:22">
      <c r="A1455" s="71" t="s">
        <v>8699</v>
      </c>
      <c r="B1455" s="67" t="s">
        <v>8700</v>
      </c>
      <c r="C1455" s="71" t="s">
        <v>103</v>
      </c>
      <c r="D1455" s="78">
        <v>339.28</v>
      </c>
      <c r="E1455" s="663">
        <v>2</v>
      </c>
      <c r="H1455" s="179">
        <v>339.28</v>
      </c>
      <c r="J1455" s="294"/>
      <c r="K1455" s="295"/>
      <c r="L1455" s="72"/>
      <c r="M1455" s="133"/>
      <c r="N1455" s="72"/>
      <c r="O1455" s="224"/>
      <c r="P1455" s="219"/>
      <c r="Q1455" s="84"/>
      <c r="S1455" s="137"/>
      <c r="T1455" s="137"/>
      <c r="V1455" s="137"/>
    </row>
    <row r="1456" spans="1:22">
      <c r="A1456" s="71" t="s">
        <v>8701</v>
      </c>
      <c r="B1456" s="67" t="s">
        <v>8702</v>
      </c>
      <c r="C1456" s="71" t="s">
        <v>103</v>
      </c>
      <c r="D1456" s="78">
        <v>346.75</v>
      </c>
      <c r="E1456" s="663">
        <v>2</v>
      </c>
      <c r="H1456" s="179">
        <v>346.75</v>
      </c>
      <c r="J1456" s="294"/>
      <c r="K1456" s="295"/>
      <c r="L1456" s="72"/>
      <c r="M1456" s="133"/>
      <c r="N1456" s="72"/>
      <c r="O1456" s="224"/>
      <c r="P1456" s="219"/>
      <c r="Q1456" s="84"/>
      <c r="S1456" s="137"/>
      <c r="T1456" s="137"/>
      <c r="V1456" s="137"/>
    </row>
    <row r="1457" spans="1:22">
      <c r="A1457" s="71" t="s">
        <v>8703</v>
      </c>
      <c r="B1457" s="67" t="s">
        <v>8704</v>
      </c>
      <c r="C1457" s="71" t="s">
        <v>103</v>
      </c>
      <c r="D1457" s="78">
        <v>56.67</v>
      </c>
      <c r="E1457" s="663">
        <v>2</v>
      </c>
      <c r="H1457" s="179">
        <v>56.67</v>
      </c>
      <c r="J1457" s="294"/>
      <c r="K1457" s="295"/>
      <c r="L1457" s="72"/>
      <c r="M1457" s="133"/>
      <c r="N1457" s="72"/>
      <c r="O1457" s="224"/>
      <c r="P1457" s="219"/>
      <c r="Q1457" s="84"/>
      <c r="S1457" s="137"/>
      <c r="T1457" s="137"/>
      <c r="V1457" s="137"/>
    </row>
    <row r="1458" spans="1:22">
      <c r="A1458" s="71" t="s">
        <v>8705</v>
      </c>
      <c r="B1458" s="67" t="s">
        <v>8706</v>
      </c>
      <c r="C1458" s="71" t="s">
        <v>103</v>
      </c>
      <c r="D1458" s="78">
        <v>86.93</v>
      </c>
      <c r="E1458" s="663">
        <v>2</v>
      </c>
      <c r="H1458" s="179">
        <v>86.93</v>
      </c>
      <c r="J1458" s="294"/>
      <c r="K1458" s="295"/>
      <c r="L1458" s="72"/>
      <c r="M1458" s="133"/>
      <c r="N1458" s="72"/>
      <c r="O1458" s="224"/>
      <c r="P1458" s="219"/>
      <c r="Q1458" s="84"/>
      <c r="S1458" s="137"/>
      <c r="T1458" s="137"/>
      <c r="V1458" s="137"/>
    </row>
    <row r="1459" spans="1:22">
      <c r="A1459" s="71" t="s">
        <v>8707</v>
      </c>
      <c r="B1459" s="67" t="s">
        <v>8708</v>
      </c>
      <c r="C1459" s="71" t="s">
        <v>103</v>
      </c>
      <c r="D1459" s="78">
        <v>278.95999999999998</v>
      </c>
      <c r="E1459" s="663">
        <v>2</v>
      </c>
      <c r="H1459" s="179">
        <v>278.95999999999998</v>
      </c>
      <c r="J1459" s="295"/>
      <c r="K1459" s="295"/>
      <c r="L1459" s="72"/>
      <c r="M1459" s="133"/>
      <c r="N1459" s="72"/>
      <c r="O1459" s="224"/>
      <c r="P1459" s="219"/>
      <c r="Q1459" s="84"/>
      <c r="S1459" s="137"/>
      <c r="T1459" s="137"/>
      <c r="V1459" s="137"/>
    </row>
    <row r="1460" spans="1:22">
      <c r="A1460" s="71" t="s">
        <v>8709</v>
      </c>
      <c r="B1460" s="67" t="s">
        <v>8710</v>
      </c>
      <c r="C1460" s="71" t="s">
        <v>103</v>
      </c>
      <c r="D1460" s="78">
        <v>70.680000000000007</v>
      </c>
      <c r="E1460" s="663">
        <v>2</v>
      </c>
      <c r="H1460" s="179">
        <v>70.680000000000007</v>
      </c>
      <c r="J1460" s="294"/>
      <c r="K1460" s="295"/>
      <c r="L1460" s="72"/>
      <c r="M1460" s="133"/>
      <c r="N1460" s="72"/>
      <c r="O1460" s="224"/>
      <c r="P1460" s="219"/>
      <c r="Q1460" s="84"/>
      <c r="S1460" s="137"/>
      <c r="T1460" s="137"/>
      <c r="V1460" s="137"/>
    </row>
    <row r="1461" spans="1:22">
      <c r="A1461" s="71" t="s">
        <v>8711</v>
      </c>
      <c r="B1461" s="67" t="s">
        <v>8712</v>
      </c>
      <c r="C1461" s="71" t="s">
        <v>103</v>
      </c>
      <c r="D1461" s="78">
        <v>10.53</v>
      </c>
      <c r="E1461" s="663">
        <v>2</v>
      </c>
      <c r="H1461" s="179">
        <v>10.53</v>
      </c>
      <c r="J1461" s="294"/>
      <c r="K1461" s="295"/>
      <c r="L1461" s="72"/>
      <c r="M1461" s="133"/>
      <c r="N1461" s="72"/>
      <c r="O1461" s="224"/>
      <c r="P1461" s="219"/>
      <c r="Q1461" s="84"/>
      <c r="S1461" s="137"/>
      <c r="T1461" s="137"/>
      <c r="V1461" s="137"/>
    </row>
    <row r="1462" spans="1:22">
      <c r="A1462" s="71" t="s">
        <v>8713</v>
      </c>
      <c r="B1462" s="67" t="s">
        <v>8714</v>
      </c>
      <c r="C1462" s="71" t="s">
        <v>103</v>
      </c>
      <c r="D1462" s="78">
        <v>17.66</v>
      </c>
      <c r="E1462" s="663">
        <v>2</v>
      </c>
      <c r="H1462" s="179">
        <v>17.66</v>
      </c>
      <c r="J1462" s="294"/>
      <c r="K1462" s="295"/>
      <c r="L1462" s="72"/>
      <c r="M1462" s="133"/>
      <c r="N1462" s="72"/>
      <c r="O1462" s="224"/>
      <c r="P1462" s="219"/>
      <c r="Q1462" s="84"/>
      <c r="S1462" s="137"/>
      <c r="T1462" s="137"/>
      <c r="V1462" s="137"/>
    </row>
    <row r="1463" spans="1:22">
      <c r="A1463" s="71" t="s">
        <v>8715</v>
      </c>
      <c r="B1463" s="67" t="s">
        <v>8716</v>
      </c>
      <c r="C1463" s="71" t="s">
        <v>103</v>
      </c>
      <c r="D1463" s="78">
        <v>99.59</v>
      </c>
      <c r="E1463" s="663">
        <v>2</v>
      </c>
      <c r="H1463" s="179">
        <v>99.59</v>
      </c>
      <c r="J1463" s="294"/>
      <c r="K1463" s="295"/>
      <c r="L1463" s="72"/>
      <c r="M1463" s="133"/>
      <c r="N1463" s="72"/>
      <c r="O1463" s="224"/>
      <c r="P1463" s="219"/>
      <c r="Q1463" s="84"/>
      <c r="S1463" s="137"/>
      <c r="T1463" s="137"/>
      <c r="V1463" s="137"/>
    </row>
    <row r="1464" spans="1:22">
      <c r="A1464" s="71" t="s">
        <v>8717</v>
      </c>
      <c r="B1464" s="67" t="s">
        <v>8718</v>
      </c>
      <c r="C1464" s="71" t="s">
        <v>103</v>
      </c>
      <c r="D1464" s="78">
        <v>21608.880000000001</v>
      </c>
      <c r="E1464" s="663">
        <v>2</v>
      </c>
      <c r="H1464" s="179">
        <v>21608.880000000001</v>
      </c>
      <c r="J1464" s="294"/>
      <c r="K1464" s="295"/>
      <c r="L1464" s="72"/>
      <c r="M1464" s="133"/>
      <c r="N1464" s="72"/>
      <c r="O1464" s="224"/>
      <c r="P1464" s="219"/>
      <c r="Q1464" s="84"/>
      <c r="S1464" s="137"/>
      <c r="T1464" s="137"/>
      <c r="V1464" s="137"/>
    </row>
    <row r="1465" spans="1:22">
      <c r="A1465" s="71" t="s">
        <v>8719</v>
      </c>
      <c r="B1465" s="67" t="s">
        <v>8720</v>
      </c>
      <c r="C1465" s="71" t="s">
        <v>103</v>
      </c>
      <c r="D1465" s="78">
        <v>430.87</v>
      </c>
      <c r="E1465" s="663">
        <v>2</v>
      </c>
      <c r="H1465" s="179">
        <v>430.87</v>
      </c>
      <c r="J1465" s="294"/>
      <c r="K1465" s="295"/>
      <c r="L1465" s="72"/>
      <c r="M1465" s="133"/>
      <c r="N1465" s="72"/>
      <c r="O1465" s="224"/>
      <c r="P1465" s="219"/>
      <c r="Q1465" s="84"/>
      <c r="S1465" s="137"/>
      <c r="T1465" s="137"/>
      <c r="V1465" s="137"/>
    </row>
    <row r="1466" spans="1:22">
      <c r="A1466" s="71" t="s">
        <v>8721</v>
      </c>
      <c r="B1466" s="67" t="s">
        <v>8722</v>
      </c>
      <c r="C1466" s="71" t="s">
        <v>103</v>
      </c>
      <c r="D1466" s="78">
        <v>1569.4</v>
      </c>
      <c r="E1466" s="663">
        <v>2</v>
      </c>
      <c r="H1466" s="179">
        <v>1569.4</v>
      </c>
      <c r="J1466" s="294"/>
      <c r="K1466" s="295"/>
      <c r="L1466" s="72"/>
      <c r="M1466" s="133"/>
      <c r="N1466" s="72"/>
      <c r="O1466" s="224"/>
      <c r="P1466" s="219"/>
      <c r="Q1466" s="84"/>
      <c r="S1466" s="137"/>
      <c r="T1466" s="137"/>
      <c r="V1466" s="137"/>
    </row>
    <row r="1467" spans="1:22">
      <c r="A1467" s="71" t="s">
        <v>8723</v>
      </c>
      <c r="B1467" s="67" t="s">
        <v>8724</v>
      </c>
      <c r="C1467" s="71" t="s">
        <v>103</v>
      </c>
      <c r="D1467" s="78">
        <v>170.1</v>
      </c>
      <c r="E1467" s="663">
        <v>2</v>
      </c>
      <c r="H1467" s="179">
        <v>170.1</v>
      </c>
      <c r="J1467" s="294"/>
      <c r="K1467" s="295"/>
      <c r="L1467" s="72"/>
      <c r="M1467" s="133"/>
      <c r="N1467" s="72"/>
      <c r="O1467" s="224"/>
      <c r="P1467" s="219"/>
      <c r="Q1467" s="84"/>
      <c r="S1467" s="137"/>
      <c r="T1467" s="137"/>
      <c r="V1467" s="137"/>
    </row>
    <row r="1468" spans="1:22">
      <c r="A1468" s="71" t="s">
        <v>8725</v>
      </c>
      <c r="B1468" s="67" t="s">
        <v>8726</v>
      </c>
      <c r="C1468" s="71" t="s">
        <v>153</v>
      </c>
      <c r="D1468" s="78">
        <v>22.46</v>
      </c>
      <c r="E1468" s="663">
        <v>2</v>
      </c>
      <c r="H1468" s="179">
        <v>22.46</v>
      </c>
      <c r="J1468" s="294"/>
      <c r="K1468" s="295"/>
      <c r="L1468" s="72"/>
      <c r="M1468" s="133"/>
      <c r="N1468" s="72"/>
      <c r="O1468" s="224"/>
      <c r="P1468" s="219"/>
      <c r="Q1468" s="84"/>
      <c r="S1468" s="137"/>
      <c r="T1468" s="137"/>
      <c r="V1468" s="137"/>
    </row>
    <row r="1469" spans="1:22">
      <c r="A1469" s="71" t="s">
        <v>8727</v>
      </c>
      <c r="B1469" s="67" t="s">
        <v>8728</v>
      </c>
      <c r="C1469" s="71" t="s">
        <v>103</v>
      </c>
      <c r="D1469" s="78">
        <v>7.28</v>
      </c>
      <c r="E1469" s="663">
        <v>2</v>
      </c>
      <c r="H1469" s="179">
        <v>7.28</v>
      </c>
      <c r="J1469" s="294"/>
      <c r="K1469" s="295"/>
      <c r="L1469" s="72"/>
      <c r="M1469" s="133"/>
      <c r="N1469" s="72"/>
      <c r="O1469" s="224"/>
      <c r="P1469" s="219"/>
      <c r="Q1469" s="84"/>
      <c r="S1469" s="137"/>
      <c r="T1469" s="137"/>
      <c r="V1469" s="137"/>
    </row>
    <row r="1470" spans="1:22">
      <c r="A1470" s="71" t="s">
        <v>8729</v>
      </c>
      <c r="B1470" s="67" t="s">
        <v>8730</v>
      </c>
      <c r="C1470" s="71" t="s">
        <v>103</v>
      </c>
      <c r="D1470" s="78">
        <v>12.41</v>
      </c>
      <c r="E1470" s="663">
        <v>2</v>
      </c>
      <c r="H1470" s="179">
        <v>12.41</v>
      </c>
      <c r="J1470" s="294"/>
      <c r="K1470" s="295"/>
      <c r="L1470" s="72"/>
      <c r="M1470" s="133"/>
      <c r="N1470" s="72"/>
      <c r="O1470" s="224"/>
      <c r="P1470" s="219"/>
      <c r="Q1470" s="84"/>
      <c r="S1470" s="137"/>
      <c r="T1470" s="137"/>
      <c r="V1470" s="137"/>
    </row>
    <row r="1471" spans="1:22">
      <c r="A1471" s="71" t="s">
        <v>8731</v>
      </c>
      <c r="B1471" s="67" t="s">
        <v>8732</v>
      </c>
      <c r="C1471" s="71" t="s">
        <v>103</v>
      </c>
      <c r="D1471" s="78">
        <v>20.3</v>
      </c>
      <c r="E1471" s="663">
        <v>2</v>
      </c>
      <c r="H1471" s="179">
        <v>20.3</v>
      </c>
      <c r="J1471" s="294"/>
      <c r="K1471" s="295"/>
      <c r="L1471" s="72"/>
      <c r="M1471" s="133"/>
      <c r="N1471" s="72"/>
      <c r="O1471" s="224"/>
      <c r="P1471" s="219"/>
      <c r="Q1471" s="84"/>
      <c r="S1471" s="137"/>
      <c r="T1471" s="137"/>
      <c r="V1471" s="137"/>
    </row>
    <row r="1472" spans="1:22">
      <c r="A1472" s="71" t="s">
        <v>8733</v>
      </c>
      <c r="B1472" s="67" t="s">
        <v>8734</v>
      </c>
      <c r="C1472" s="71" t="s">
        <v>103</v>
      </c>
      <c r="D1472" s="78">
        <v>39.06</v>
      </c>
      <c r="E1472" s="663">
        <v>2</v>
      </c>
      <c r="H1472" s="179">
        <v>39.06</v>
      </c>
      <c r="J1472" s="294"/>
      <c r="K1472" s="295"/>
      <c r="L1472" s="72"/>
      <c r="M1472" s="133"/>
      <c r="N1472" s="72"/>
      <c r="O1472" s="224"/>
      <c r="P1472" s="219"/>
      <c r="Q1472" s="84"/>
      <c r="S1472" s="137"/>
      <c r="T1472" s="137"/>
      <c r="V1472" s="137"/>
    </row>
    <row r="1473" spans="1:22">
      <c r="A1473" s="71" t="s">
        <v>8735</v>
      </c>
      <c r="B1473" s="67" t="s">
        <v>8736</v>
      </c>
      <c r="C1473" s="71" t="s">
        <v>103</v>
      </c>
      <c r="D1473" s="78">
        <v>64.39</v>
      </c>
      <c r="E1473" s="663">
        <v>2</v>
      </c>
      <c r="H1473" s="179">
        <v>64.39</v>
      </c>
      <c r="J1473" s="294"/>
      <c r="K1473" s="295"/>
      <c r="L1473" s="72"/>
      <c r="M1473" s="133"/>
      <c r="N1473" s="72"/>
      <c r="O1473" s="224"/>
      <c r="P1473" s="219"/>
      <c r="Q1473" s="84"/>
      <c r="S1473" s="137"/>
      <c r="T1473" s="137"/>
      <c r="V1473" s="137"/>
    </row>
    <row r="1474" spans="1:22">
      <c r="A1474" s="71" t="s">
        <v>8737</v>
      </c>
      <c r="B1474" s="67" t="s">
        <v>8738</v>
      </c>
      <c r="C1474" s="71" t="s">
        <v>103</v>
      </c>
      <c r="D1474" s="78">
        <v>95.72</v>
      </c>
      <c r="E1474" s="663">
        <v>2</v>
      </c>
      <c r="H1474" s="179">
        <v>95.72</v>
      </c>
      <c r="J1474" s="294"/>
      <c r="K1474" s="295"/>
      <c r="L1474" s="72"/>
      <c r="M1474" s="133"/>
      <c r="N1474" s="72"/>
      <c r="O1474" s="224"/>
      <c r="P1474" s="219"/>
      <c r="Q1474" s="84"/>
      <c r="S1474" s="137"/>
      <c r="T1474" s="137"/>
      <c r="V1474" s="137"/>
    </row>
    <row r="1475" spans="1:22">
      <c r="A1475" s="71" t="s">
        <v>41663</v>
      </c>
      <c r="B1475" s="67" t="s">
        <v>41664</v>
      </c>
      <c r="C1475" s="71" t="s">
        <v>103</v>
      </c>
      <c r="D1475" s="78">
        <v>45.19</v>
      </c>
      <c r="E1475" s="663">
        <v>2</v>
      </c>
      <c r="H1475" s="178">
        <v>45.19</v>
      </c>
      <c r="J1475" s="294"/>
      <c r="K1475" s="295"/>
      <c r="M1475" s="72"/>
      <c r="N1475" s="133"/>
      <c r="O1475" s="72"/>
      <c r="P1475" s="224"/>
      <c r="Q1475" s="219"/>
      <c r="T1475" s="136"/>
      <c r="V1475" s="136"/>
    </row>
    <row r="1476" spans="1:22">
      <c r="A1476" s="71" t="s">
        <v>8739</v>
      </c>
      <c r="B1476" s="67" t="s">
        <v>8740</v>
      </c>
      <c r="C1476" s="71" t="s">
        <v>103</v>
      </c>
      <c r="D1476" s="78">
        <v>24.76</v>
      </c>
      <c r="E1476" s="663">
        <v>2</v>
      </c>
      <c r="H1476" s="179">
        <v>24.76</v>
      </c>
      <c r="J1476" s="294"/>
      <c r="K1476" s="295"/>
      <c r="L1476" s="72"/>
      <c r="M1476" s="133"/>
      <c r="N1476" s="72"/>
      <c r="O1476" s="224"/>
      <c r="P1476" s="219"/>
      <c r="Q1476" s="84"/>
      <c r="S1476" s="137"/>
      <c r="T1476" s="137"/>
      <c r="V1476" s="137"/>
    </row>
    <row r="1477" spans="1:22">
      <c r="A1477" s="71" t="s">
        <v>8741</v>
      </c>
      <c r="B1477" s="67" t="s">
        <v>8742</v>
      </c>
      <c r="C1477" s="71" t="s">
        <v>103</v>
      </c>
      <c r="D1477" s="78">
        <v>52.26</v>
      </c>
      <c r="E1477" s="663">
        <v>2</v>
      </c>
      <c r="H1477" s="179">
        <v>52.26</v>
      </c>
      <c r="J1477" s="294"/>
      <c r="K1477" s="295"/>
      <c r="L1477" s="72"/>
      <c r="M1477" s="133"/>
      <c r="N1477" s="72"/>
      <c r="O1477" s="224"/>
      <c r="P1477" s="219"/>
      <c r="Q1477" s="84"/>
      <c r="S1477" s="137"/>
      <c r="T1477" s="137"/>
      <c r="V1477" s="137"/>
    </row>
    <row r="1478" spans="1:22">
      <c r="A1478" s="71" t="s">
        <v>8743</v>
      </c>
      <c r="B1478" s="67" t="s">
        <v>8744</v>
      </c>
      <c r="C1478" s="71" t="s">
        <v>103</v>
      </c>
      <c r="D1478" s="78">
        <v>78.27</v>
      </c>
      <c r="E1478" s="663">
        <v>2</v>
      </c>
      <c r="H1478" s="179">
        <v>78.27</v>
      </c>
      <c r="J1478" s="294"/>
      <c r="K1478" s="295"/>
      <c r="L1478" s="72"/>
      <c r="M1478" s="133"/>
      <c r="N1478" s="72"/>
      <c r="O1478" s="224"/>
      <c r="P1478" s="219"/>
      <c r="Q1478" s="84"/>
      <c r="S1478" s="137"/>
      <c r="T1478" s="137"/>
      <c r="V1478" s="137"/>
    </row>
    <row r="1479" spans="1:22">
      <c r="A1479" s="71" t="s">
        <v>8745</v>
      </c>
      <c r="B1479" s="67" t="s">
        <v>8746</v>
      </c>
      <c r="C1479" s="71" t="s">
        <v>103</v>
      </c>
      <c r="D1479" s="78">
        <v>205.79</v>
      </c>
      <c r="E1479" s="663">
        <v>2</v>
      </c>
      <c r="H1479" s="179">
        <v>205.79</v>
      </c>
      <c r="J1479" s="294"/>
      <c r="K1479" s="295"/>
      <c r="L1479" s="72"/>
      <c r="M1479" s="133"/>
      <c r="N1479" s="72"/>
      <c r="O1479" s="224"/>
      <c r="P1479" s="219"/>
      <c r="Q1479" s="84"/>
      <c r="S1479" s="137"/>
      <c r="T1479" s="137"/>
      <c r="V1479" s="137"/>
    </row>
    <row r="1480" spans="1:22">
      <c r="A1480" s="71" t="s">
        <v>8747</v>
      </c>
      <c r="B1480" s="67" t="s">
        <v>8748</v>
      </c>
      <c r="C1480" s="71" t="s">
        <v>103</v>
      </c>
      <c r="D1480" s="78">
        <v>552.69000000000005</v>
      </c>
      <c r="E1480" s="663">
        <v>2</v>
      </c>
      <c r="H1480" s="179">
        <v>552.69000000000005</v>
      </c>
      <c r="J1480" s="294"/>
      <c r="K1480" s="295"/>
      <c r="L1480" s="72"/>
      <c r="M1480" s="133"/>
      <c r="N1480" s="72"/>
      <c r="O1480" s="224"/>
      <c r="P1480" s="219"/>
      <c r="Q1480" s="84"/>
      <c r="S1480" s="137"/>
      <c r="T1480" s="137"/>
      <c r="V1480" s="137"/>
    </row>
    <row r="1481" spans="1:22">
      <c r="A1481" s="71" t="s">
        <v>8749</v>
      </c>
      <c r="B1481" s="67" t="s">
        <v>8750</v>
      </c>
      <c r="C1481" s="71" t="s">
        <v>103</v>
      </c>
      <c r="D1481" s="78">
        <v>5620.68</v>
      </c>
      <c r="E1481" s="663">
        <v>2</v>
      </c>
      <c r="H1481" s="179">
        <v>5620.68</v>
      </c>
      <c r="J1481" s="294"/>
      <c r="K1481" s="295"/>
      <c r="L1481" s="72"/>
      <c r="M1481" s="133"/>
      <c r="N1481" s="72"/>
      <c r="O1481" s="224"/>
      <c r="P1481" s="219"/>
      <c r="Q1481" s="84"/>
      <c r="S1481" s="137"/>
      <c r="T1481" s="137"/>
    </row>
    <row r="1482" spans="1:22">
      <c r="A1482" s="71" t="s">
        <v>8751</v>
      </c>
      <c r="B1482" s="67" t="s">
        <v>8752</v>
      </c>
      <c r="C1482" s="71" t="s">
        <v>103</v>
      </c>
      <c r="D1482" s="78">
        <v>3337.27</v>
      </c>
      <c r="E1482" s="663">
        <v>2</v>
      </c>
      <c r="H1482" s="179">
        <v>3337.27</v>
      </c>
      <c r="J1482" s="294"/>
      <c r="K1482" s="295"/>
      <c r="L1482" s="72"/>
      <c r="M1482" s="133"/>
      <c r="N1482" s="72"/>
      <c r="O1482" s="224"/>
      <c r="P1482" s="219"/>
      <c r="Q1482" s="84"/>
      <c r="S1482" s="137"/>
      <c r="T1482" s="137"/>
    </row>
    <row r="1483" spans="1:22">
      <c r="A1483" s="71" t="s">
        <v>8753</v>
      </c>
      <c r="B1483" s="67" t="s">
        <v>8754</v>
      </c>
      <c r="C1483" s="71" t="s">
        <v>103</v>
      </c>
      <c r="D1483" s="78">
        <v>3290.97</v>
      </c>
      <c r="E1483" s="663">
        <v>2</v>
      </c>
      <c r="H1483" s="178">
        <v>3290.97</v>
      </c>
      <c r="J1483" s="294"/>
      <c r="K1483" s="295"/>
      <c r="L1483" s="72"/>
      <c r="M1483" s="133"/>
      <c r="N1483" s="72"/>
      <c r="O1483" s="224"/>
      <c r="P1483" s="219"/>
      <c r="Q1483" s="84"/>
      <c r="S1483" s="136"/>
      <c r="T1483" s="136"/>
      <c r="V1483" s="136"/>
    </row>
    <row r="1484" spans="1:22">
      <c r="A1484" s="71" t="s">
        <v>8755</v>
      </c>
      <c r="B1484" s="67" t="s">
        <v>8756</v>
      </c>
      <c r="C1484" s="71" t="s">
        <v>103</v>
      </c>
      <c r="D1484" s="78">
        <v>117.72</v>
      </c>
      <c r="E1484" s="663">
        <v>2</v>
      </c>
      <c r="H1484" s="178">
        <v>117.72</v>
      </c>
      <c r="J1484" s="294"/>
      <c r="K1484" s="295"/>
      <c r="L1484" s="72"/>
      <c r="M1484" s="133"/>
      <c r="N1484" s="72"/>
      <c r="O1484" s="224"/>
      <c r="P1484" s="219"/>
      <c r="Q1484" s="84"/>
      <c r="S1484" s="136"/>
      <c r="T1484" s="136"/>
      <c r="V1484" s="136"/>
    </row>
    <row r="1485" spans="1:22">
      <c r="A1485" s="71" t="s">
        <v>8757</v>
      </c>
      <c r="B1485" s="67" t="s">
        <v>8758</v>
      </c>
      <c r="C1485" s="71" t="s">
        <v>103</v>
      </c>
      <c r="D1485" s="78">
        <v>1875.84</v>
      </c>
      <c r="E1485" s="663">
        <v>2</v>
      </c>
      <c r="H1485" s="179">
        <v>1875.84</v>
      </c>
      <c r="J1485" s="294"/>
      <c r="K1485" s="295"/>
      <c r="L1485" s="72"/>
      <c r="M1485" s="133"/>
      <c r="N1485" s="72"/>
      <c r="O1485" s="224"/>
      <c r="P1485" s="219"/>
      <c r="Q1485" s="84"/>
      <c r="S1485" s="137"/>
      <c r="T1485" s="137"/>
      <c r="V1485" s="137"/>
    </row>
    <row r="1486" spans="1:22">
      <c r="A1486" s="71" t="s">
        <v>8759</v>
      </c>
      <c r="B1486" s="67" t="s">
        <v>8760</v>
      </c>
      <c r="C1486" s="71" t="s">
        <v>103</v>
      </c>
      <c r="D1486" s="78">
        <v>576</v>
      </c>
      <c r="E1486" s="663">
        <v>2</v>
      </c>
      <c r="H1486" s="179">
        <v>576</v>
      </c>
      <c r="J1486" s="294"/>
      <c r="K1486" s="295"/>
      <c r="L1486" s="72"/>
      <c r="M1486" s="133"/>
      <c r="N1486" s="72"/>
      <c r="O1486" s="224"/>
      <c r="P1486" s="219"/>
      <c r="Q1486" s="84"/>
      <c r="S1486" s="137"/>
      <c r="T1486" s="137"/>
      <c r="V1486" s="137"/>
    </row>
    <row r="1487" spans="1:22">
      <c r="A1487" s="71" t="s">
        <v>8761</v>
      </c>
      <c r="B1487" s="67" t="s">
        <v>8762</v>
      </c>
      <c r="C1487" s="71" t="s">
        <v>103</v>
      </c>
      <c r="D1487" s="78">
        <v>1111.07</v>
      </c>
      <c r="E1487" s="663">
        <v>2</v>
      </c>
      <c r="H1487" s="178">
        <v>1111.07</v>
      </c>
      <c r="J1487" s="294"/>
      <c r="K1487" s="295"/>
      <c r="L1487" s="72"/>
      <c r="M1487" s="133"/>
      <c r="N1487" s="72"/>
      <c r="O1487" s="224"/>
      <c r="P1487" s="219"/>
      <c r="Q1487" s="84"/>
      <c r="S1487" s="136"/>
      <c r="T1487" s="136"/>
      <c r="V1487" s="136"/>
    </row>
    <row r="1488" spans="1:22">
      <c r="A1488" s="71" t="s">
        <v>8763</v>
      </c>
      <c r="B1488" s="67" t="s">
        <v>8764</v>
      </c>
      <c r="C1488" s="71" t="s">
        <v>103</v>
      </c>
      <c r="D1488" s="78">
        <v>464.47</v>
      </c>
      <c r="E1488" s="663">
        <v>2</v>
      </c>
      <c r="H1488" s="179">
        <v>464.47</v>
      </c>
      <c r="J1488" s="294"/>
      <c r="K1488" s="295"/>
      <c r="L1488" s="72"/>
      <c r="M1488" s="133"/>
      <c r="N1488" s="72"/>
      <c r="O1488" s="224"/>
      <c r="P1488" s="219"/>
      <c r="Q1488" s="84"/>
      <c r="S1488" s="137"/>
      <c r="T1488" s="137"/>
      <c r="V1488" s="137"/>
    </row>
    <row r="1489" spans="1:22">
      <c r="A1489" s="71" t="s">
        <v>8765</v>
      </c>
      <c r="B1489" s="67" t="s">
        <v>8766</v>
      </c>
      <c r="C1489" s="71" t="s">
        <v>103</v>
      </c>
      <c r="D1489" s="78">
        <v>215.9</v>
      </c>
      <c r="E1489" s="663">
        <v>2</v>
      </c>
      <c r="H1489" s="179">
        <v>215.9</v>
      </c>
      <c r="J1489" s="294"/>
      <c r="K1489" s="295"/>
      <c r="L1489" s="72"/>
      <c r="M1489" s="133"/>
      <c r="N1489" s="72"/>
      <c r="O1489" s="224"/>
      <c r="P1489" s="219"/>
      <c r="Q1489" s="84"/>
      <c r="S1489" s="137"/>
      <c r="T1489" s="137"/>
      <c r="V1489" s="137"/>
    </row>
    <row r="1490" spans="1:22">
      <c r="A1490" s="71" t="s">
        <v>8767</v>
      </c>
      <c r="B1490" s="67" t="s">
        <v>8768</v>
      </c>
      <c r="C1490" s="71" t="s">
        <v>103</v>
      </c>
      <c r="D1490" s="78">
        <v>291.77999999999997</v>
      </c>
      <c r="E1490" s="663">
        <v>2</v>
      </c>
      <c r="H1490" s="179">
        <v>291.77999999999997</v>
      </c>
      <c r="J1490" s="294"/>
      <c r="K1490" s="295"/>
      <c r="L1490" s="72"/>
      <c r="M1490" s="133"/>
      <c r="N1490" s="72"/>
      <c r="O1490" s="224"/>
      <c r="P1490" s="219"/>
      <c r="Q1490" s="84"/>
      <c r="S1490" s="137"/>
      <c r="T1490" s="137"/>
      <c r="V1490" s="137"/>
    </row>
    <row r="1491" spans="1:22">
      <c r="A1491" s="71" t="s">
        <v>8769</v>
      </c>
      <c r="B1491" s="67" t="s">
        <v>8770</v>
      </c>
      <c r="C1491" s="71" t="s">
        <v>103</v>
      </c>
      <c r="D1491" s="78">
        <v>183.62</v>
      </c>
      <c r="E1491" s="663">
        <v>2</v>
      </c>
      <c r="H1491" s="179">
        <v>183.62</v>
      </c>
      <c r="J1491" s="294"/>
      <c r="K1491" s="295"/>
      <c r="L1491" s="72"/>
      <c r="M1491" s="133"/>
      <c r="N1491" s="72"/>
      <c r="O1491" s="224"/>
      <c r="P1491" s="219"/>
      <c r="Q1491" s="84"/>
      <c r="S1491" s="137"/>
      <c r="T1491" s="137"/>
      <c r="V1491" s="137"/>
    </row>
    <row r="1492" spans="1:22">
      <c r="A1492" s="71" t="s">
        <v>8771</v>
      </c>
      <c r="B1492" s="67" t="s">
        <v>8772</v>
      </c>
      <c r="C1492" s="71" t="s">
        <v>103</v>
      </c>
      <c r="D1492" s="78">
        <v>253.16</v>
      </c>
      <c r="E1492" s="663">
        <v>2</v>
      </c>
      <c r="H1492" s="178">
        <v>253.16</v>
      </c>
      <c r="J1492" s="294"/>
      <c r="K1492" s="295"/>
      <c r="L1492" s="72"/>
      <c r="M1492" s="133"/>
      <c r="N1492" s="72"/>
      <c r="O1492" s="224"/>
      <c r="P1492" s="219"/>
      <c r="Q1492" s="84"/>
      <c r="S1492" s="136"/>
      <c r="T1492" s="136"/>
      <c r="V1492" s="136"/>
    </row>
    <row r="1493" spans="1:22">
      <c r="A1493" s="71" t="s">
        <v>8773</v>
      </c>
      <c r="B1493" s="67" t="s">
        <v>8774</v>
      </c>
      <c r="C1493" s="71" t="s">
        <v>103</v>
      </c>
      <c r="D1493" s="78">
        <v>2241.38</v>
      </c>
      <c r="E1493" s="663">
        <v>2</v>
      </c>
      <c r="H1493" s="179">
        <v>2241.38</v>
      </c>
      <c r="J1493" s="294"/>
      <c r="K1493" s="295"/>
      <c r="L1493" s="72"/>
      <c r="M1493" s="133"/>
      <c r="N1493" s="72"/>
      <c r="O1493" s="224"/>
      <c r="P1493" s="219"/>
      <c r="Q1493" s="84"/>
      <c r="S1493" s="137"/>
      <c r="T1493" s="137"/>
      <c r="V1493" s="137"/>
    </row>
    <row r="1494" spans="1:22">
      <c r="A1494" s="71" t="s">
        <v>8775</v>
      </c>
      <c r="B1494" s="67" t="s">
        <v>8776</v>
      </c>
      <c r="C1494" s="71" t="s">
        <v>103</v>
      </c>
      <c r="D1494" s="78">
        <v>747.29</v>
      </c>
      <c r="E1494" s="663">
        <v>2</v>
      </c>
      <c r="H1494" s="178">
        <v>747.29</v>
      </c>
      <c r="J1494" s="294"/>
      <c r="K1494" s="295"/>
      <c r="L1494" s="72"/>
      <c r="M1494" s="133"/>
      <c r="N1494" s="72"/>
      <c r="O1494" s="224"/>
      <c r="P1494" s="219"/>
      <c r="Q1494" s="84"/>
      <c r="S1494" s="136"/>
      <c r="T1494" s="136"/>
      <c r="V1494" s="136"/>
    </row>
    <row r="1495" spans="1:22">
      <c r="A1495" s="71" t="s">
        <v>41696</v>
      </c>
      <c r="B1495" s="67" t="s">
        <v>41697</v>
      </c>
      <c r="C1495" s="71" t="s">
        <v>103</v>
      </c>
      <c r="D1495" s="78">
        <v>108.25</v>
      </c>
      <c r="E1495" s="663">
        <v>2</v>
      </c>
      <c r="H1495" s="178">
        <v>108.25</v>
      </c>
      <c r="J1495" s="294"/>
      <c r="K1495" s="295"/>
      <c r="M1495" s="72"/>
      <c r="N1495" s="133"/>
      <c r="O1495" s="72"/>
      <c r="P1495" s="137"/>
      <c r="Q1495" s="138"/>
      <c r="T1495" s="136"/>
      <c r="V1495" s="136"/>
    </row>
    <row r="1496" spans="1:22">
      <c r="A1496" s="71" t="s">
        <v>8777</v>
      </c>
      <c r="B1496" s="67" t="s">
        <v>8778</v>
      </c>
      <c r="C1496" s="71" t="s">
        <v>103</v>
      </c>
      <c r="D1496" s="78">
        <v>796.79</v>
      </c>
      <c r="E1496" s="663">
        <v>2</v>
      </c>
      <c r="H1496" s="178">
        <v>796.79</v>
      </c>
      <c r="J1496" s="294"/>
      <c r="K1496" s="295"/>
      <c r="L1496" s="72"/>
      <c r="M1496" s="133"/>
      <c r="N1496" s="72"/>
      <c r="O1496" s="224"/>
      <c r="P1496" s="219"/>
      <c r="Q1496" s="84"/>
      <c r="S1496" s="136"/>
      <c r="T1496" s="136"/>
      <c r="V1496" s="136"/>
    </row>
    <row r="1497" spans="1:22">
      <c r="A1497" s="71" t="s">
        <v>8779</v>
      </c>
      <c r="B1497" s="67" t="s">
        <v>8780</v>
      </c>
      <c r="C1497" s="71" t="s">
        <v>103</v>
      </c>
      <c r="D1497" s="78">
        <v>2723.52</v>
      </c>
      <c r="E1497" s="663">
        <v>2</v>
      </c>
      <c r="H1497" s="178">
        <v>2723.52</v>
      </c>
      <c r="J1497" s="294"/>
      <c r="K1497" s="295"/>
      <c r="L1497" s="72"/>
      <c r="M1497" s="133"/>
      <c r="N1497" s="72"/>
      <c r="O1497" s="224"/>
      <c r="P1497" s="219"/>
      <c r="Q1497" s="84"/>
      <c r="S1497" s="136"/>
      <c r="T1497" s="136"/>
      <c r="V1497" s="136"/>
    </row>
    <row r="1498" spans="1:22">
      <c r="A1498" s="71" t="s">
        <v>8781</v>
      </c>
      <c r="B1498" s="67" t="s">
        <v>8782</v>
      </c>
      <c r="C1498" s="71" t="s">
        <v>103</v>
      </c>
      <c r="D1498" s="78">
        <v>4694.99</v>
      </c>
      <c r="E1498" s="663">
        <v>2</v>
      </c>
      <c r="H1498" s="178">
        <v>4694.99</v>
      </c>
      <c r="J1498" s="294"/>
      <c r="K1498" s="295"/>
      <c r="L1498" s="72"/>
      <c r="M1498" s="133"/>
      <c r="N1498" s="72"/>
      <c r="O1498" s="224"/>
      <c r="P1498" s="219"/>
      <c r="Q1498" s="84"/>
      <c r="S1498" s="136"/>
      <c r="T1498" s="136"/>
    </row>
    <row r="1499" spans="1:22">
      <c r="A1499" s="134" t="s">
        <v>8783</v>
      </c>
      <c r="B1499" s="304" t="s">
        <v>8784</v>
      </c>
      <c r="C1499" s="71" t="s">
        <v>103</v>
      </c>
      <c r="D1499" s="78">
        <v>2070.25</v>
      </c>
      <c r="E1499" s="663">
        <v>2</v>
      </c>
      <c r="H1499" s="308">
        <v>2070.25</v>
      </c>
      <c r="T1499" s="84"/>
    </row>
    <row r="1500" spans="1:22">
      <c r="A1500" s="71" t="s">
        <v>41694</v>
      </c>
      <c r="B1500" s="67" t="s">
        <v>41695</v>
      </c>
      <c r="C1500" s="71" t="s">
        <v>103</v>
      </c>
      <c r="D1500" s="78">
        <v>1042.73</v>
      </c>
      <c r="E1500" s="663">
        <v>2</v>
      </c>
      <c r="H1500" s="178">
        <v>1042.73</v>
      </c>
      <c r="J1500" s="294"/>
      <c r="K1500" s="295"/>
      <c r="M1500" s="72"/>
      <c r="N1500" s="133"/>
      <c r="O1500" s="72"/>
      <c r="P1500" s="137"/>
      <c r="Q1500" s="138"/>
      <c r="T1500" s="136"/>
      <c r="V1500" s="136"/>
    </row>
    <row r="1501" spans="1:22">
      <c r="A1501" s="71" t="s">
        <v>8785</v>
      </c>
      <c r="B1501" s="67" t="s">
        <v>8786</v>
      </c>
      <c r="C1501" s="71" t="s">
        <v>103</v>
      </c>
      <c r="D1501" s="78">
        <v>73.75</v>
      </c>
      <c r="E1501" s="663">
        <v>2</v>
      </c>
      <c r="H1501" s="179">
        <v>73.75</v>
      </c>
      <c r="J1501" s="294"/>
      <c r="K1501" s="295"/>
      <c r="L1501" s="72"/>
      <c r="M1501" s="133"/>
      <c r="N1501" s="72"/>
      <c r="O1501" s="224"/>
      <c r="P1501" s="219"/>
      <c r="Q1501" s="84"/>
      <c r="S1501" s="137"/>
      <c r="T1501" s="137"/>
      <c r="V1501" s="137"/>
    </row>
    <row r="1502" spans="1:22">
      <c r="A1502" s="71" t="s">
        <v>41708</v>
      </c>
      <c r="B1502" s="67" t="s">
        <v>41709</v>
      </c>
      <c r="C1502" s="71" t="s">
        <v>509</v>
      </c>
      <c r="D1502" s="78">
        <v>1492.59</v>
      </c>
      <c r="E1502" s="663">
        <v>2</v>
      </c>
      <c r="H1502" s="178">
        <v>1492.59</v>
      </c>
      <c r="J1502" s="294"/>
      <c r="K1502" s="295"/>
      <c r="M1502" s="72"/>
      <c r="N1502" s="133"/>
      <c r="O1502" s="72"/>
      <c r="P1502" s="224"/>
      <c r="Q1502" s="219"/>
      <c r="T1502" s="136"/>
      <c r="V1502" s="136"/>
    </row>
    <row r="1503" spans="1:22">
      <c r="A1503" s="71" t="s">
        <v>41692</v>
      </c>
      <c r="B1503" s="67" t="s">
        <v>41693</v>
      </c>
      <c r="C1503" s="71" t="s">
        <v>103</v>
      </c>
      <c r="D1503" s="78">
        <v>1053.75</v>
      </c>
      <c r="E1503" s="663">
        <v>2</v>
      </c>
      <c r="H1503" s="178">
        <v>1053.75</v>
      </c>
      <c r="J1503" s="294"/>
      <c r="K1503" s="295"/>
      <c r="M1503" s="72"/>
      <c r="N1503" s="133"/>
      <c r="O1503" s="72"/>
      <c r="P1503" s="137"/>
      <c r="Q1503" s="138"/>
      <c r="T1503" s="136"/>
      <c r="V1503" s="136"/>
    </row>
    <row r="1504" spans="1:22">
      <c r="A1504" s="71" t="s">
        <v>8787</v>
      </c>
      <c r="B1504" s="67" t="s">
        <v>8788</v>
      </c>
      <c r="C1504" s="71" t="s">
        <v>103</v>
      </c>
      <c r="D1504" s="78">
        <v>4.6500000000000004</v>
      </c>
      <c r="E1504" s="663">
        <v>2</v>
      </c>
      <c r="H1504" s="178">
        <v>4.6500000000000004</v>
      </c>
      <c r="J1504" s="294"/>
      <c r="K1504" s="295"/>
      <c r="L1504" s="72"/>
      <c r="M1504" s="133"/>
      <c r="N1504" s="72"/>
      <c r="O1504" s="224"/>
      <c r="P1504" s="219"/>
      <c r="Q1504" s="84"/>
      <c r="S1504" s="136"/>
      <c r="T1504" s="136"/>
      <c r="V1504" s="136"/>
    </row>
    <row r="1505" spans="1:22">
      <c r="A1505" s="71" t="s">
        <v>8789</v>
      </c>
      <c r="B1505" s="67" t="s">
        <v>8790</v>
      </c>
      <c r="C1505" s="71" t="s">
        <v>103</v>
      </c>
      <c r="D1505" s="78">
        <v>4.21</v>
      </c>
      <c r="E1505" s="663">
        <v>2</v>
      </c>
      <c r="H1505" s="179">
        <v>4.21</v>
      </c>
      <c r="J1505" s="294"/>
      <c r="K1505" s="295"/>
      <c r="L1505" s="72"/>
      <c r="M1505" s="133"/>
      <c r="N1505" s="72"/>
      <c r="O1505" s="224"/>
      <c r="P1505" s="219"/>
      <c r="Q1505" s="84"/>
      <c r="S1505" s="137"/>
      <c r="T1505" s="137"/>
      <c r="V1505" s="137"/>
    </row>
    <row r="1506" spans="1:22">
      <c r="A1506" s="71" t="s">
        <v>8791</v>
      </c>
      <c r="B1506" s="67" t="s">
        <v>8792</v>
      </c>
      <c r="C1506" s="71" t="s">
        <v>103</v>
      </c>
      <c r="D1506" s="78">
        <v>7.75</v>
      </c>
      <c r="E1506" s="663">
        <v>2</v>
      </c>
      <c r="H1506" s="179">
        <v>7.75</v>
      </c>
      <c r="J1506" s="294"/>
      <c r="K1506" s="295"/>
      <c r="L1506" s="72"/>
      <c r="M1506" s="133"/>
      <c r="N1506" s="72"/>
      <c r="O1506" s="224"/>
      <c r="P1506" s="219"/>
      <c r="Q1506" s="84"/>
      <c r="S1506" s="137"/>
      <c r="T1506" s="137"/>
      <c r="V1506" s="137"/>
    </row>
    <row r="1507" spans="1:22">
      <c r="A1507" s="71" t="s">
        <v>41690</v>
      </c>
      <c r="B1507" s="67" t="s">
        <v>41691</v>
      </c>
      <c r="C1507" s="71" t="s">
        <v>103</v>
      </c>
      <c r="D1507" s="78">
        <v>1413.7</v>
      </c>
      <c r="E1507" s="663">
        <v>2</v>
      </c>
      <c r="H1507" s="178">
        <v>1413.7</v>
      </c>
      <c r="J1507" s="294"/>
      <c r="K1507" s="295"/>
      <c r="M1507" s="72"/>
      <c r="N1507" s="133"/>
      <c r="O1507" s="72"/>
      <c r="P1507" s="137"/>
      <c r="Q1507" s="138"/>
      <c r="T1507" s="136"/>
      <c r="V1507" s="136"/>
    </row>
    <row r="1508" spans="1:22">
      <c r="A1508" s="71" t="s">
        <v>41698</v>
      </c>
      <c r="B1508" s="67" t="s">
        <v>41699</v>
      </c>
      <c r="C1508" s="71" t="s">
        <v>103</v>
      </c>
      <c r="D1508" s="78">
        <v>330.86</v>
      </c>
      <c r="E1508" s="663">
        <v>2</v>
      </c>
      <c r="H1508" s="178">
        <v>330.86</v>
      </c>
      <c r="J1508" s="294"/>
      <c r="K1508" s="295"/>
      <c r="M1508" s="72"/>
      <c r="N1508" s="133"/>
      <c r="O1508" s="72"/>
      <c r="P1508" s="137"/>
      <c r="Q1508" s="138"/>
      <c r="T1508" s="136"/>
      <c r="V1508" s="136"/>
    </row>
    <row r="1509" spans="1:22">
      <c r="A1509" s="71" t="s">
        <v>8793</v>
      </c>
      <c r="B1509" s="67" t="s">
        <v>8794</v>
      </c>
      <c r="C1509" s="71" t="s">
        <v>103</v>
      </c>
      <c r="D1509" s="78">
        <v>7.75</v>
      </c>
      <c r="E1509" s="663">
        <v>2</v>
      </c>
      <c r="H1509" s="179">
        <v>7.75</v>
      </c>
      <c r="J1509" s="294"/>
      <c r="K1509" s="295"/>
      <c r="L1509" s="72"/>
      <c r="M1509" s="133"/>
      <c r="N1509" s="72"/>
      <c r="O1509" s="224"/>
      <c r="P1509" s="219"/>
      <c r="Q1509" s="84"/>
      <c r="S1509" s="137"/>
      <c r="T1509" s="137"/>
      <c r="V1509" s="137"/>
    </row>
    <row r="1510" spans="1:22">
      <c r="A1510" s="71" t="s">
        <v>41665</v>
      </c>
      <c r="B1510" s="67" t="s">
        <v>41666</v>
      </c>
      <c r="C1510" s="71" t="s">
        <v>103</v>
      </c>
      <c r="D1510" s="78">
        <v>842.89</v>
      </c>
      <c r="E1510" s="663">
        <v>2</v>
      </c>
      <c r="H1510" s="178">
        <v>842.89</v>
      </c>
      <c r="J1510" s="294"/>
      <c r="K1510" s="295"/>
      <c r="M1510" s="72"/>
      <c r="N1510" s="133"/>
      <c r="O1510" s="72"/>
      <c r="P1510" s="224"/>
      <c r="Q1510" s="219"/>
      <c r="T1510" s="136"/>
      <c r="V1510" s="136"/>
    </row>
    <row r="1511" spans="1:22">
      <c r="A1511" s="71" t="s">
        <v>41667</v>
      </c>
      <c r="B1511" s="67" t="s">
        <v>41668</v>
      </c>
      <c r="C1511" s="71" t="s">
        <v>103</v>
      </c>
      <c r="D1511" s="78">
        <v>780.61</v>
      </c>
      <c r="E1511" s="663">
        <v>2</v>
      </c>
      <c r="H1511" s="178">
        <v>780.61</v>
      </c>
      <c r="J1511" s="294"/>
      <c r="K1511" s="295"/>
      <c r="M1511" s="72"/>
      <c r="N1511" s="133"/>
      <c r="O1511" s="72"/>
      <c r="P1511" s="224"/>
      <c r="Q1511" s="219"/>
      <c r="T1511" s="136"/>
      <c r="V1511" s="136"/>
    </row>
    <row r="1512" spans="1:22">
      <c r="A1512" s="71" t="s">
        <v>41669</v>
      </c>
      <c r="B1512" s="67" t="s">
        <v>41670</v>
      </c>
      <c r="C1512" s="71" t="s">
        <v>103</v>
      </c>
      <c r="D1512" s="78">
        <v>697.56</v>
      </c>
      <c r="E1512" s="663">
        <v>2</v>
      </c>
      <c r="H1512" s="178">
        <v>697.56</v>
      </c>
      <c r="J1512" s="294"/>
      <c r="K1512" s="295"/>
      <c r="M1512" s="72"/>
      <c r="N1512" s="133"/>
      <c r="O1512" s="72"/>
      <c r="P1512" s="224"/>
      <c r="Q1512" s="219"/>
      <c r="T1512" s="136"/>
      <c r="V1512" s="136"/>
    </row>
    <row r="1513" spans="1:22">
      <c r="A1513" s="71" t="s">
        <v>8795</v>
      </c>
      <c r="B1513" s="67" t="s">
        <v>8796</v>
      </c>
      <c r="C1513" s="71" t="s">
        <v>103</v>
      </c>
      <c r="D1513" s="78">
        <v>22.26</v>
      </c>
      <c r="E1513" s="663">
        <v>2</v>
      </c>
      <c r="H1513" s="179">
        <v>22.26</v>
      </c>
      <c r="J1513" s="294"/>
      <c r="K1513" s="295"/>
      <c r="L1513" s="72"/>
      <c r="M1513" s="133"/>
      <c r="N1513" s="72"/>
      <c r="O1513" s="224"/>
      <c r="P1513" s="219"/>
      <c r="Q1513" s="84"/>
      <c r="S1513" s="137"/>
      <c r="T1513" s="137"/>
      <c r="V1513" s="137"/>
    </row>
    <row r="1514" spans="1:22">
      <c r="A1514" s="71" t="s">
        <v>8797</v>
      </c>
      <c r="B1514" s="67" t="s">
        <v>8798</v>
      </c>
      <c r="C1514" s="71" t="s">
        <v>103</v>
      </c>
      <c r="D1514" s="78">
        <v>23.04</v>
      </c>
      <c r="E1514" s="663">
        <v>2</v>
      </c>
      <c r="H1514" s="179">
        <v>23.04</v>
      </c>
      <c r="J1514" s="294"/>
      <c r="K1514" s="295"/>
      <c r="L1514" s="72"/>
      <c r="M1514" s="133"/>
      <c r="N1514" s="72"/>
      <c r="O1514" s="224"/>
      <c r="P1514" s="219"/>
      <c r="Q1514" s="84"/>
      <c r="S1514" s="137"/>
      <c r="T1514" s="137"/>
      <c r="V1514" s="137"/>
    </row>
    <row r="1515" spans="1:22">
      <c r="A1515" s="71" t="s">
        <v>8799</v>
      </c>
      <c r="B1515" s="67" t="s">
        <v>8800</v>
      </c>
      <c r="C1515" s="71" t="s">
        <v>103</v>
      </c>
      <c r="D1515" s="78">
        <v>43.22</v>
      </c>
      <c r="E1515" s="663">
        <v>2</v>
      </c>
      <c r="H1515" s="179">
        <v>43.22</v>
      </c>
      <c r="J1515" s="294"/>
      <c r="K1515" s="295"/>
      <c r="L1515" s="72"/>
      <c r="M1515" s="133"/>
      <c r="N1515" s="72"/>
      <c r="O1515" s="224"/>
      <c r="P1515" s="219"/>
      <c r="Q1515" s="84"/>
      <c r="S1515" s="137"/>
      <c r="T1515" s="137"/>
      <c r="V1515" s="137"/>
    </row>
    <row r="1516" spans="1:22">
      <c r="A1516" s="71" t="s">
        <v>8801</v>
      </c>
      <c r="B1516" s="67" t="s">
        <v>8802</v>
      </c>
      <c r="C1516" s="71" t="s">
        <v>103</v>
      </c>
      <c r="D1516" s="78">
        <v>54.07</v>
      </c>
      <c r="E1516" s="663">
        <v>2</v>
      </c>
      <c r="H1516" s="179">
        <v>54.07</v>
      </c>
      <c r="J1516" s="294"/>
      <c r="K1516" s="295"/>
      <c r="L1516" s="72"/>
      <c r="M1516" s="133"/>
      <c r="N1516" s="72"/>
      <c r="O1516" s="224"/>
      <c r="P1516" s="219"/>
      <c r="Q1516" s="84"/>
      <c r="S1516" s="137"/>
      <c r="T1516" s="137"/>
      <c r="V1516" s="137"/>
    </row>
    <row r="1517" spans="1:22">
      <c r="A1517" s="71" t="s">
        <v>8803</v>
      </c>
      <c r="B1517" s="67" t="s">
        <v>8804</v>
      </c>
      <c r="C1517" s="71" t="s">
        <v>103</v>
      </c>
      <c r="D1517" s="78">
        <v>73.760000000000005</v>
      </c>
      <c r="E1517" s="663">
        <v>2</v>
      </c>
      <c r="H1517" s="179">
        <v>73.760000000000005</v>
      </c>
      <c r="J1517" s="294"/>
      <c r="K1517" s="295"/>
      <c r="L1517" s="72"/>
      <c r="M1517" s="133"/>
      <c r="N1517" s="72"/>
      <c r="O1517" s="224"/>
      <c r="P1517" s="219"/>
      <c r="Q1517" s="84"/>
      <c r="S1517" s="137"/>
      <c r="T1517" s="137"/>
      <c r="V1517" s="137"/>
    </row>
    <row r="1518" spans="1:22">
      <c r="A1518" s="71" t="s">
        <v>8805</v>
      </c>
      <c r="B1518" s="67" t="s">
        <v>8806</v>
      </c>
      <c r="C1518" s="71" t="s">
        <v>103</v>
      </c>
      <c r="D1518" s="78">
        <v>8.56</v>
      </c>
      <c r="E1518" s="663">
        <v>2</v>
      </c>
      <c r="H1518" s="179">
        <v>8.56</v>
      </c>
      <c r="J1518" s="294"/>
      <c r="K1518" s="295"/>
      <c r="L1518" s="72"/>
      <c r="M1518" s="133"/>
      <c r="N1518" s="72"/>
      <c r="O1518" s="224"/>
      <c r="P1518" s="219"/>
      <c r="Q1518" s="84"/>
      <c r="S1518" s="137"/>
      <c r="T1518" s="137"/>
      <c r="V1518" s="137"/>
    </row>
    <row r="1519" spans="1:22">
      <c r="A1519" s="71" t="s">
        <v>8807</v>
      </c>
      <c r="B1519" s="67" t="s">
        <v>8808</v>
      </c>
      <c r="C1519" s="71" t="s">
        <v>103</v>
      </c>
      <c r="D1519" s="78">
        <v>358</v>
      </c>
      <c r="E1519" s="663">
        <v>2</v>
      </c>
      <c r="H1519" s="178">
        <v>358</v>
      </c>
      <c r="J1519" s="294"/>
      <c r="K1519" s="295"/>
      <c r="L1519" s="72"/>
      <c r="M1519" s="133"/>
      <c r="N1519" s="72"/>
      <c r="O1519" s="224"/>
      <c r="P1519" s="219"/>
      <c r="Q1519" s="84"/>
      <c r="S1519" s="136"/>
      <c r="T1519" s="136"/>
      <c r="V1519" s="136"/>
    </row>
    <row r="1520" spans="1:22">
      <c r="A1520" s="71" t="s">
        <v>8809</v>
      </c>
      <c r="B1520" s="67" t="s">
        <v>8810</v>
      </c>
      <c r="C1520" s="71" t="s">
        <v>103</v>
      </c>
      <c r="D1520" s="78">
        <v>29.61</v>
      </c>
      <c r="E1520" s="663">
        <v>2</v>
      </c>
      <c r="H1520" s="179">
        <v>29.61</v>
      </c>
      <c r="J1520" s="294"/>
      <c r="K1520" s="295"/>
      <c r="L1520" s="72"/>
      <c r="M1520" s="133"/>
      <c r="N1520" s="72"/>
      <c r="O1520" s="224"/>
      <c r="P1520" s="219"/>
      <c r="Q1520" s="84"/>
      <c r="S1520" s="137"/>
      <c r="T1520" s="137"/>
      <c r="V1520" s="137"/>
    </row>
    <row r="1521" spans="1:22">
      <c r="A1521" s="71" t="s">
        <v>8811</v>
      </c>
      <c r="B1521" s="67" t="s">
        <v>8812</v>
      </c>
      <c r="C1521" s="71" t="s">
        <v>103</v>
      </c>
      <c r="D1521" s="78">
        <v>18.260000000000002</v>
      </c>
      <c r="E1521" s="663">
        <v>2</v>
      </c>
      <c r="H1521" s="179">
        <v>18.260000000000002</v>
      </c>
      <c r="J1521" s="294"/>
      <c r="K1521" s="295"/>
      <c r="L1521" s="72"/>
      <c r="M1521" s="133"/>
      <c r="N1521" s="72"/>
      <c r="O1521" s="224"/>
      <c r="P1521" s="219"/>
      <c r="Q1521" s="84"/>
      <c r="S1521" s="137"/>
      <c r="T1521" s="137"/>
      <c r="V1521" s="137"/>
    </row>
    <row r="1522" spans="1:22">
      <c r="A1522" s="71" t="s">
        <v>8813</v>
      </c>
      <c r="B1522" s="67" t="s">
        <v>8814</v>
      </c>
      <c r="C1522" s="71" t="s">
        <v>103</v>
      </c>
      <c r="D1522" s="78">
        <v>19.96</v>
      </c>
      <c r="E1522" s="663">
        <v>2</v>
      </c>
      <c r="H1522" s="178">
        <v>19.96</v>
      </c>
      <c r="J1522" s="294"/>
      <c r="K1522" s="295"/>
      <c r="L1522" s="72"/>
      <c r="M1522" s="133"/>
      <c r="N1522" s="72"/>
      <c r="O1522" s="224"/>
      <c r="P1522" s="219"/>
      <c r="Q1522" s="84"/>
      <c r="S1522" s="136"/>
      <c r="T1522" s="136"/>
      <c r="V1522" s="136"/>
    </row>
    <row r="1523" spans="1:22">
      <c r="A1523" s="71" t="s">
        <v>8815</v>
      </c>
      <c r="B1523" s="67" t="s">
        <v>8816</v>
      </c>
      <c r="C1523" s="71" t="s">
        <v>103</v>
      </c>
      <c r="D1523" s="78">
        <v>25.46</v>
      </c>
      <c r="E1523" s="663">
        <v>2</v>
      </c>
      <c r="H1523" s="179">
        <v>25.46</v>
      </c>
      <c r="J1523" s="294"/>
      <c r="K1523" s="295"/>
      <c r="L1523" s="72"/>
      <c r="M1523" s="133"/>
      <c r="N1523" s="72"/>
      <c r="O1523" s="224"/>
      <c r="P1523" s="219"/>
      <c r="Q1523" s="84"/>
      <c r="S1523" s="137"/>
      <c r="T1523" s="137"/>
      <c r="V1523" s="137"/>
    </row>
    <row r="1524" spans="1:22" ht="12">
      <c r="A1524" s="71" t="s">
        <v>32879</v>
      </c>
      <c r="B1524" s="65" t="s">
        <v>32880</v>
      </c>
      <c r="C1524" s="71" t="s">
        <v>103</v>
      </c>
      <c r="D1524" s="78">
        <v>3.29</v>
      </c>
      <c r="E1524" s="663">
        <v>2</v>
      </c>
      <c r="H1524" s="178">
        <v>3.29</v>
      </c>
      <c r="J1524" s="294"/>
      <c r="K1524" s="295"/>
      <c r="L1524" s="72"/>
      <c r="M1524" s="133"/>
      <c r="N1524" s="72"/>
      <c r="O1524" s="224"/>
      <c r="P1524" s="219"/>
      <c r="Q1524" s="84"/>
      <c r="S1524" s="136"/>
      <c r="T1524" s="136"/>
    </row>
    <row r="1525" spans="1:22" ht="12">
      <c r="A1525" s="71" t="s">
        <v>32881</v>
      </c>
      <c r="B1525" s="65" t="s">
        <v>32882</v>
      </c>
      <c r="C1525" s="71" t="s">
        <v>103</v>
      </c>
      <c r="D1525" s="78">
        <v>3.29</v>
      </c>
      <c r="E1525" s="663">
        <v>2</v>
      </c>
      <c r="H1525" s="178">
        <v>3.29</v>
      </c>
      <c r="J1525" s="294"/>
      <c r="K1525" s="295"/>
      <c r="L1525" s="72"/>
      <c r="M1525" s="133"/>
      <c r="N1525" s="72"/>
      <c r="O1525" s="224"/>
      <c r="P1525" s="219"/>
      <c r="Q1525" s="84"/>
      <c r="S1525" s="136"/>
      <c r="T1525" s="136"/>
    </row>
    <row r="1526" spans="1:22" ht="12">
      <c r="A1526" s="71" t="s">
        <v>32883</v>
      </c>
      <c r="B1526" s="65" t="s">
        <v>32884</v>
      </c>
      <c r="C1526" s="71" t="s">
        <v>103</v>
      </c>
      <c r="D1526" s="78">
        <v>3.29</v>
      </c>
      <c r="E1526" s="663">
        <v>2</v>
      </c>
      <c r="H1526" s="178">
        <v>3.29</v>
      </c>
      <c r="J1526" s="294"/>
      <c r="K1526" s="295"/>
      <c r="L1526" s="72"/>
      <c r="M1526" s="133"/>
      <c r="N1526" s="72"/>
      <c r="O1526" s="224"/>
      <c r="P1526" s="219"/>
      <c r="Q1526" s="84"/>
      <c r="S1526" s="136"/>
      <c r="T1526" s="136"/>
    </row>
    <row r="1527" spans="1:22" ht="12">
      <c r="A1527" s="71" t="s">
        <v>32885</v>
      </c>
      <c r="B1527" s="65" t="s">
        <v>32886</v>
      </c>
      <c r="C1527" s="71" t="s">
        <v>103</v>
      </c>
      <c r="D1527" s="78">
        <v>3.29</v>
      </c>
      <c r="E1527" s="663">
        <v>2</v>
      </c>
      <c r="H1527" s="178">
        <v>3.29</v>
      </c>
      <c r="J1527" s="294"/>
      <c r="K1527" s="295"/>
      <c r="L1527" s="72"/>
      <c r="M1527" s="133"/>
      <c r="N1527" s="72"/>
      <c r="O1527" s="224"/>
      <c r="P1527" s="219"/>
      <c r="Q1527" s="84"/>
      <c r="S1527" s="136"/>
      <c r="T1527" s="136"/>
    </row>
    <row r="1528" spans="1:22" ht="12">
      <c r="A1528" s="71" t="s">
        <v>32887</v>
      </c>
      <c r="B1528" s="65" t="s">
        <v>32888</v>
      </c>
      <c r="C1528" s="71" t="s">
        <v>103</v>
      </c>
      <c r="D1528" s="78">
        <v>4.32</v>
      </c>
      <c r="E1528" s="663">
        <v>2</v>
      </c>
      <c r="H1528" s="178">
        <v>4.32</v>
      </c>
      <c r="J1528" s="294"/>
      <c r="K1528" s="295"/>
      <c r="L1528" s="72"/>
      <c r="M1528" s="133"/>
      <c r="N1528" s="72"/>
      <c r="O1528" s="224"/>
      <c r="P1528" s="219"/>
      <c r="Q1528" s="84"/>
      <c r="S1528" s="136"/>
      <c r="T1528" s="136"/>
    </row>
    <row r="1529" spans="1:22" ht="12">
      <c r="A1529" s="71" t="s">
        <v>32889</v>
      </c>
      <c r="B1529" s="65" t="s">
        <v>32890</v>
      </c>
      <c r="C1529" s="71" t="s">
        <v>103</v>
      </c>
      <c r="D1529" s="78">
        <v>4.32</v>
      </c>
      <c r="E1529" s="663">
        <v>2</v>
      </c>
      <c r="H1529" s="178">
        <v>4.32</v>
      </c>
      <c r="J1529" s="294"/>
      <c r="K1529" s="295"/>
      <c r="L1529" s="72"/>
      <c r="M1529" s="133"/>
      <c r="N1529" s="72"/>
      <c r="O1529" s="224"/>
      <c r="P1529" s="219"/>
      <c r="Q1529" s="84"/>
      <c r="S1529" s="136"/>
      <c r="T1529" s="136"/>
    </row>
    <row r="1530" spans="1:22" ht="12">
      <c r="A1530" s="71" t="s">
        <v>32891</v>
      </c>
      <c r="B1530" s="65" t="s">
        <v>32892</v>
      </c>
      <c r="C1530" s="71" t="s">
        <v>103</v>
      </c>
      <c r="D1530" s="78">
        <v>4.32</v>
      </c>
      <c r="E1530" s="663">
        <v>2</v>
      </c>
      <c r="H1530" s="178">
        <v>4.32</v>
      </c>
      <c r="J1530" s="294"/>
      <c r="K1530" s="295"/>
      <c r="L1530" s="72"/>
      <c r="M1530" s="133"/>
      <c r="N1530" s="72"/>
      <c r="O1530" s="224"/>
      <c r="P1530" s="219"/>
      <c r="Q1530" s="84"/>
      <c r="S1530" s="136"/>
      <c r="T1530" s="136"/>
    </row>
    <row r="1531" spans="1:22" ht="12">
      <c r="A1531" s="71" t="s">
        <v>32893</v>
      </c>
      <c r="B1531" s="65" t="s">
        <v>32894</v>
      </c>
      <c r="C1531" s="71" t="s">
        <v>103</v>
      </c>
      <c r="D1531" s="78">
        <v>4.32</v>
      </c>
      <c r="E1531" s="663">
        <v>2</v>
      </c>
      <c r="H1531" s="178">
        <v>4.32</v>
      </c>
      <c r="J1531" s="294"/>
      <c r="K1531" s="295"/>
      <c r="L1531" s="72"/>
      <c r="M1531" s="133"/>
      <c r="N1531" s="72"/>
      <c r="O1531" s="224"/>
      <c r="P1531" s="219"/>
      <c r="Q1531" s="84"/>
      <c r="S1531" s="136"/>
      <c r="T1531" s="136"/>
    </row>
    <row r="1532" spans="1:22" ht="12">
      <c r="A1532" s="71" t="s">
        <v>32899</v>
      </c>
      <c r="B1532" s="65" t="s">
        <v>32900</v>
      </c>
      <c r="C1532" s="71" t="s">
        <v>103</v>
      </c>
      <c r="D1532" s="78">
        <v>3.07</v>
      </c>
      <c r="E1532" s="663">
        <v>2</v>
      </c>
      <c r="H1532" s="178">
        <v>3.07</v>
      </c>
      <c r="J1532" s="294"/>
      <c r="K1532" s="295"/>
      <c r="L1532" s="72"/>
      <c r="M1532" s="133"/>
      <c r="N1532" s="72"/>
      <c r="O1532" s="224"/>
      <c r="P1532" s="219"/>
      <c r="Q1532" s="84"/>
      <c r="S1532" s="136"/>
      <c r="T1532" s="136"/>
    </row>
    <row r="1533" spans="1:22" ht="12">
      <c r="A1533" s="71" t="s">
        <v>32897</v>
      </c>
      <c r="B1533" s="65" t="s">
        <v>32898</v>
      </c>
      <c r="C1533" s="71" t="s">
        <v>103</v>
      </c>
      <c r="D1533" s="78">
        <v>3.58</v>
      </c>
      <c r="E1533" s="663">
        <v>2</v>
      </c>
      <c r="H1533" s="178">
        <v>3.58</v>
      </c>
      <c r="J1533" s="294"/>
      <c r="K1533" s="295"/>
      <c r="L1533" s="72"/>
      <c r="M1533" s="133"/>
      <c r="N1533" s="72"/>
      <c r="O1533" s="224"/>
      <c r="P1533" s="219"/>
      <c r="Q1533" s="84"/>
      <c r="S1533" s="136"/>
      <c r="T1533" s="136"/>
    </row>
    <row r="1534" spans="1:22" ht="12">
      <c r="A1534" s="71" t="s">
        <v>32895</v>
      </c>
      <c r="B1534" s="65" t="s">
        <v>32896</v>
      </c>
      <c r="C1534" s="71" t="s">
        <v>103</v>
      </c>
      <c r="D1534" s="78">
        <v>4.1100000000000003</v>
      </c>
      <c r="E1534" s="663">
        <v>2</v>
      </c>
      <c r="H1534" s="178">
        <v>4.1100000000000003</v>
      </c>
      <c r="J1534" s="294"/>
      <c r="K1534" s="295"/>
      <c r="L1534" s="72"/>
      <c r="M1534" s="133"/>
      <c r="N1534" s="72"/>
      <c r="O1534" s="224"/>
      <c r="P1534" s="219"/>
      <c r="Q1534" s="84"/>
      <c r="S1534" s="136"/>
      <c r="T1534" s="136"/>
    </row>
    <row r="1535" spans="1:22" ht="12">
      <c r="A1535" s="71" t="s">
        <v>32968</v>
      </c>
      <c r="B1535" s="65" t="s">
        <v>32969</v>
      </c>
      <c r="C1535" s="71" t="s">
        <v>103</v>
      </c>
      <c r="D1535" s="78">
        <v>1.44</v>
      </c>
      <c r="E1535" s="663">
        <v>2</v>
      </c>
      <c r="H1535" s="178">
        <v>1.44</v>
      </c>
      <c r="J1535" s="294"/>
      <c r="K1535" s="295"/>
      <c r="L1535" s="72"/>
      <c r="M1535" s="133"/>
      <c r="N1535" s="72"/>
      <c r="O1535" s="224"/>
      <c r="P1535" s="219"/>
      <c r="Q1535" s="84"/>
      <c r="S1535" s="136"/>
      <c r="T1535" s="136"/>
    </row>
    <row r="1536" spans="1:22">
      <c r="A1536" s="71" t="s">
        <v>8817</v>
      </c>
      <c r="B1536" s="67" t="s">
        <v>8818</v>
      </c>
      <c r="C1536" s="71" t="s">
        <v>103</v>
      </c>
      <c r="D1536" s="78">
        <v>9.2100000000000009</v>
      </c>
      <c r="E1536" s="663">
        <v>2</v>
      </c>
      <c r="H1536" s="179">
        <v>9.2100000000000009</v>
      </c>
      <c r="J1536" s="294"/>
      <c r="K1536" s="295"/>
      <c r="L1536" s="72"/>
      <c r="M1536" s="133"/>
      <c r="N1536" s="72"/>
      <c r="O1536" s="224"/>
      <c r="P1536" s="219"/>
      <c r="Q1536" s="84"/>
      <c r="S1536" s="137"/>
      <c r="T1536" s="137"/>
    </row>
    <row r="1537" spans="1:22">
      <c r="A1537" s="71" t="s">
        <v>8819</v>
      </c>
      <c r="B1537" s="67" t="s">
        <v>8820</v>
      </c>
      <c r="C1537" s="71" t="s">
        <v>103</v>
      </c>
      <c r="D1537" s="78">
        <v>4.12</v>
      </c>
      <c r="E1537" s="663">
        <v>2</v>
      </c>
      <c r="H1537" s="179">
        <v>4.12</v>
      </c>
      <c r="J1537" s="294"/>
      <c r="K1537" s="295"/>
      <c r="L1537" s="72"/>
      <c r="M1537" s="133"/>
      <c r="N1537" s="72"/>
      <c r="O1537" s="224"/>
      <c r="P1537" s="219"/>
      <c r="Q1537" s="84"/>
      <c r="S1537" s="137"/>
      <c r="T1537" s="137"/>
      <c r="V1537" s="137"/>
    </row>
    <row r="1538" spans="1:22">
      <c r="A1538" s="71" t="s">
        <v>8821</v>
      </c>
      <c r="B1538" s="67" t="s">
        <v>8822</v>
      </c>
      <c r="C1538" s="71" t="s">
        <v>103</v>
      </c>
      <c r="D1538" s="78">
        <v>10.210000000000001</v>
      </c>
      <c r="E1538" s="663">
        <v>2</v>
      </c>
      <c r="H1538" s="179">
        <v>10.210000000000001</v>
      </c>
      <c r="J1538" s="294"/>
      <c r="K1538" s="295"/>
      <c r="L1538" s="72"/>
      <c r="M1538" s="133"/>
      <c r="N1538" s="72"/>
      <c r="O1538" s="224"/>
      <c r="P1538" s="219"/>
      <c r="Q1538" s="84"/>
      <c r="S1538" s="137"/>
      <c r="T1538" s="137"/>
      <c r="V1538" s="137"/>
    </row>
    <row r="1539" spans="1:22">
      <c r="A1539" s="71" t="s">
        <v>8823</v>
      </c>
      <c r="B1539" s="67" t="s">
        <v>8824</v>
      </c>
      <c r="C1539" s="71" t="s">
        <v>103</v>
      </c>
      <c r="D1539" s="78">
        <v>45.56</v>
      </c>
      <c r="E1539" s="663">
        <v>2</v>
      </c>
      <c r="H1539" s="179">
        <v>45.56</v>
      </c>
      <c r="J1539" s="294"/>
      <c r="K1539" s="295"/>
      <c r="L1539" s="72"/>
      <c r="M1539" s="133"/>
      <c r="N1539" s="72"/>
      <c r="O1539" s="224"/>
      <c r="P1539" s="219"/>
      <c r="Q1539" s="84"/>
      <c r="S1539" s="137"/>
      <c r="T1539" s="137"/>
      <c r="V1539" s="137"/>
    </row>
    <row r="1540" spans="1:22">
      <c r="A1540" s="71" t="s">
        <v>8825</v>
      </c>
      <c r="B1540" s="67" t="s">
        <v>8826</v>
      </c>
      <c r="C1540" s="71" t="s">
        <v>103</v>
      </c>
      <c r="D1540" s="78">
        <v>76.84</v>
      </c>
      <c r="E1540" s="663">
        <v>2</v>
      </c>
      <c r="H1540" s="179">
        <v>76.84</v>
      </c>
      <c r="J1540" s="294"/>
      <c r="K1540" s="295"/>
      <c r="L1540" s="72"/>
      <c r="M1540" s="133"/>
      <c r="N1540" s="72"/>
      <c r="O1540" s="224"/>
      <c r="P1540" s="219"/>
      <c r="Q1540" s="84"/>
      <c r="S1540" s="137"/>
      <c r="T1540" s="137"/>
      <c r="V1540" s="137"/>
    </row>
    <row r="1541" spans="1:22">
      <c r="A1541" s="71" t="s">
        <v>8827</v>
      </c>
      <c r="B1541" s="67" t="s">
        <v>8828</v>
      </c>
      <c r="C1541" s="71" t="s">
        <v>103</v>
      </c>
      <c r="D1541" s="78">
        <v>13.78</v>
      </c>
      <c r="E1541" s="663">
        <v>2</v>
      </c>
      <c r="H1541" s="179">
        <v>13.78</v>
      </c>
      <c r="J1541" s="294"/>
      <c r="K1541" s="295"/>
      <c r="L1541" s="72"/>
      <c r="M1541" s="133"/>
      <c r="N1541" s="72"/>
      <c r="O1541" s="224"/>
      <c r="P1541" s="219"/>
      <c r="Q1541" s="84"/>
      <c r="S1541" s="137"/>
      <c r="T1541" s="137"/>
    </row>
    <row r="1542" spans="1:22">
      <c r="A1542" s="71" t="s">
        <v>8829</v>
      </c>
      <c r="B1542" s="67" t="s">
        <v>8830</v>
      </c>
      <c r="C1542" s="71" t="s">
        <v>103</v>
      </c>
      <c r="D1542" s="78">
        <v>77.81</v>
      </c>
      <c r="E1542" s="663">
        <v>2</v>
      </c>
      <c r="H1542" s="179">
        <v>77.81</v>
      </c>
      <c r="J1542" s="294"/>
      <c r="K1542" s="295"/>
      <c r="L1542" s="72"/>
      <c r="M1542" s="133"/>
      <c r="N1542" s="72"/>
      <c r="O1542" s="224"/>
      <c r="P1542" s="219"/>
      <c r="Q1542" s="84"/>
      <c r="S1542" s="137"/>
      <c r="T1542" s="137"/>
    </row>
    <row r="1543" spans="1:22">
      <c r="A1543" s="71" t="s">
        <v>8831</v>
      </c>
      <c r="B1543" s="67" t="s">
        <v>8832</v>
      </c>
      <c r="C1543" s="71" t="s">
        <v>103</v>
      </c>
      <c r="D1543" s="78">
        <v>78.67</v>
      </c>
      <c r="E1543" s="663">
        <v>2</v>
      </c>
      <c r="H1543" s="179">
        <v>78.67</v>
      </c>
      <c r="J1543" s="294"/>
      <c r="K1543" s="295"/>
      <c r="L1543" s="72"/>
      <c r="M1543" s="133"/>
      <c r="N1543" s="72"/>
      <c r="O1543" s="224"/>
      <c r="P1543" s="219"/>
      <c r="Q1543" s="84"/>
      <c r="S1543" s="137"/>
      <c r="T1543" s="137"/>
    </row>
    <row r="1544" spans="1:22">
      <c r="A1544" s="71" t="s">
        <v>8833</v>
      </c>
      <c r="B1544" s="216" t="s">
        <v>8834</v>
      </c>
      <c r="C1544" s="212" t="s">
        <v>103</v>
      </c>
      <c r="D1544" s="78">
        <v>717.18</v>
      </c>
      <c r="E1544" s="663">
        <v>2</v>
      </c>
      <c r="H1544" s="178">
        <v>717.18</v>
      </c>
      <c r="J1544" s="294"/>
      <c r="K1544" s="295"/>
      <c r="L1544" s="72"/>
      <c r="M1544" s="299"/>
      <c r="N1544" s="298"/>
      <c r="O1544" s="224"/>
      <c r="P1544" s="219"/>
      <c r="Q1544" s="84"/>
      <c r="S1544" s="136"/>
      <c r="T1544" s="136"/>
    </row>
    <row r="1545" spans="1:22">
      <c r="A1545" s="71" t="s">
        <v>8835</v>
      </c>
      <c r="B1545" s="67" t="s">
        <v>8836</v>
      </c>
      <c r="C1545" s="71" t="s">
        <v>103</v>
      </c>
      <c r="D1545" s="78">
        <v>9.2100000000000009</v>
      </c>
      <c r="E1545" s="663">
        <v>2</v>
      </c>
      <c r="H1545" s="179">
        <v>9.2100000000000009</v>
      </c>
      <c r="J1545" s="294"/>
      <c r="K1545" s="295"/>
      <c r="L1545" s="72"/>
      <c r="M1545" s="133"/>
      <c r="N1545" s="72"/>
      <c r="O1545" s="224"/>
      <c r="P1545" s="219"/>
      <c r="Q1545" s="84"/>
      <c r="S1545" s="137"/>
      <c r="T1545" s="137"/>
    </row>
    <row r="1546" spans="1:22">
      <c r="A1546" s="71" t="s">
        <v>8837</v>
      </c>
      <c r="B1546" s="67" t="s">
        <v>8838</v>
      </c>
      <c r="C1546" s="71" t="s">
        <v>103</v>
      </c>
      <c r="D1546" s="78">
        <v>11.63</v>
      </c>
      <c r="E1546" s="663">
        <v>2</v>
      </c>
      <c r="H1546" s="179">
        <v>11.63</v>
      </c>
      <c r="J1546" s="294"/>
      <c r="K1546" s="295"/>
      <c r="L1546" s="72"/>
      <c r="M1546" s="133"/>
      <c r="N1546" s="72"/>
      <c r="O1546" s="224"/>
      <c r="P1546" s="219"/>
      <c r="Q1546" s="84"/>
      <c r="S1546" s="137"/>
      <c r="T1546" s="137"/>
    </row>
    <row r="1547" spans="1:22">
      <c r="A1547" s="71" t="s">
        <v>8839</v>
      </c>
      <c r="B1547" s="67" t="s">
        <v>8840</v>
      </c>
      <c r="C1547" s="71" t="s">
        <v>103</v>
      </c>
      <c r="D1547" s="78">
        <v>17.8</v>
      </c>
      <c r="E1547" s="663">
        <v>2</v>
      </c>
      <c r="H1547" s="179">
        <v>17.8</v>
      </c>
      <c r="J1547" s="294"/>
      <c r="K1547" s="295"/>
      <c r="L1547" s="72"/>
      <c r="M1547" s="133"/>
      <c r="N1547" s="72"/>
      <c r="O1547" s="224"/>
      <c r="P1547" s="219"/>
      <c r="Q1547" s="84"/>
      <c r="S1547" s="137"/>
      <c r="T1547" s="137"/>
      <c r="V1547" s="137"/>
    </row>
    <row r="1548" spans="1:22">
      <c r="A1548" s="71" t="s">
        <v>8841</v>
      </c>
      <c r="B1548" s="67" t="s">
        <v>8842</v>
      </c>
      <c r="C1548" s="71" t="s">
        <v>103</v>
      </c>
      <c r="D1548" s="78">
        <v>26.69</v>
      </c>
      <c r="E1548" s="663">
        <v>2</v>
      </c>
      <c r="H1548" s="179">
        <v>26.69</v>
      </c>
      <c r="J1548" s="294"/>
      <c r="K1548" s="295"/>
      <c r="L1548" s="72"/>
      <c r="M1548" s="133"/>
      <c r="N1548" s="72"/>
      <c r="O1548" s="224"/>
      <c r="P1548" s="219"/>
      <c r="Q1548" s="84"/>
      <c r="S1548" s="137"/>
      <c r="T1548" s="137"/>
      <c r="V1548" s="137"/>
    </row>
    <row r="1549" spans="1:22">
      <c r="A1549" s="71" t="s">
        <v>8843</v>
      </c>
      <c r="B1549" s="67" t="s">
        <v>8844</v>
      </c>
      <c r="C1549" s="71" t="s">
        <v>103</v>
      </c>
      <c r="D1549" s="78">
        <v>18.760000000000002</v>
      </c>
      <c r="E1549" s="663">
        <v>2</v>
      </c>
      <c r="H1549" s="179">
        <v>18.760000000000002</v>
      </c>
      <c r="J1549" s="294"/>
      <c r="K1549" s="295"/>
      <c r="L1549" s="72"/>
      <c r="M1549" s="133"/>
      <c r="N1549" s="72"/>
      <c r="O1549" s="224"/>
      <c r="P1549" s="219"/>
      <c r="Q1549" s="84"/>
      <c r="S1549" s="137"/>
      <c r="T1549" s="137"/>
      <c r="V1549" s="137"/>
    </row>
    <row r="1550" spans="1:22">
      <c r="A1550" s="71" t="s">
        <v>8845</v>
      </c>
      <c r="B1550" s="67" t="s">
        <v>8846</v>
      </c>
      <c r="C1550" s="71" t="s">
        <v>103</v>
      </c>
      <c r="D1550" s="78">
        <v>14.5</v>
      </c>
      <c r="E1550" s="663">
        <v>2</v>
      </c>
      <c r="H1550" s="179">
        <v>14.5</v>
      </c>
      <c r="J1550" s="294"/>
      <c r="K1550" s="295"/>
      <c r="L1550" s="72"/>
      <c r="M1550" s="133"/>
      <c r="N1550" s="72"/>
      <c r="O1550" s="224"/>
      <c r="P1550" s="219"/>
      <c r="Q1550" s="84"/>
      <c r="S1550" s="137"/>
      <c r="T1550" s="137"/>
      <c r="V1550" s="137"/>
    </row>
    <row r="1551" spans="1:22">
      <c r="A1551" s="71" t="s">
        <v>8847</v>
      </c>
      <c r="B1551" s="67" t="s">
        <v>8848</v>
      </c>
      <c r="C1551" s="71" t="s">
        <v>103</v>
      </c>
      <c r="D1551" s="78">
        <v>25.23</v>
      </c>
      <c r="E1551" s="663">
        <v>2</v>
      </c>
      <c r="H1551" s="179">
        <v>25.23</v>
      </c>
      <c r="J1551" s="294"/>
      <c r="K1551" s="295"/>
      <c r="L1551" s="72"/>
      <c r="M1551" s="133"/>
      <c r="N1551" s="72"/>
      <c r="O1551" s="224"/>
      <c r="P1551" s="219"/>
      <c r="Q1551" s="84"/>
      <c r="S1551" s="137"/>
      <c r="T1551" s="137"/>
      <c r="V1551" s="137"/>
    </row>
    <row r="1552" spans="1:22">
      <c r="A1552" s="71" t="s">
        <v>8849</v>
      </c>
      <c r="B1552" s="67" t="s">
        <v>8850</v>
      </c>
      <c r="C1552" s="71" t="s">
        <v>103</v>
      </c>
      <c r="D1552" s="78">
        <v>36.18</v>
      </c>
      <c r="E1552" s="663">
        <v>2</v>
      </c>
      <c r="H1552" s="179">
        <v>36.18</v>
      </c>
      <c r="J1552" s="294"/>
      <c r="K1552" s="295"/>
      <c r="L1552" s="72"/>
      <c r="M1552" s="133"/>
      <c r="N1552" s="72"/>
      <c r="O1552" s="224"/>
      <c r="P1552" s="219"/>
      <c r="Q1552" s="84"/>
      <c r="S1552" s="137"/>
      <c r="T1552" s="137"/>
      <c r="V1552" s="137"/>
    </row>
    <row r="1553" spans="1:22">
      <c r="A1553" s="71" t="s">
        <v>8851</v>
      </c>
      <c r="B1553" s="67" t="s">
        <v>8852</v>
      </c>
      <c r="C1553" s="71" t="s">
        <v>103</v>
      </c>
      <c r="D1553" s="78">
        <v>52.72</v>
      </c>
      <c r="E1553" s="663">
        <v>2</v>
      </c>
      <c r="H1553" s="179">
        <v>52.72</v>
      </c>
      <c r="J1553" s="294"/>
      <c r="K1553" s="295"/>
      <c r="L1553" s="72"/>
      <c r="M1553" s="133"/>
      <c r="N1553" s="72"/>
      <c r="O1553" s="224"/>
      <c r="P1553" s="219"/>
      <c r="Q1553" s="84"/>
      <c r="S1553" s="137"/>
      <c r="T1553" s="137"/>
      <c r="V1553" s="137"/>
    </row>
    <row r="1554" spans="1:22">
      <c r="A1554" s="71" t="s">
        <v>8853</v>
      </c>
      <c r="B1554" s="67" t="s">
        <v>8854</v>
      </c>
      <c r="C1554" s="71" t="s">
        <v>103</v>
      </c>
      <c r="D1554" s="78">
        <v>6.95</v>
      </c>
      <c r="E1554" s="663">
        <v>2</v>
      </c>
      <c r="H1554" s="179">
        <v>6.95</v>
      </c>
      <c r="J1554" s="294"/>
      <c r="K1554" s="295"/>
      <c r="L1554" s="72"/>
      <c r="M1554" s="133"/>
      <c r="N1554" s="72"/>
      <c r="O1554" s="224"/>
      <c r="P1554" s="219"/>
      <c r="Q1554" s="84"/>
      <c r="S1554" s="137"/>
      <c r="T1554" s="137"/>
      <c r="V1554" s="137"/>
    </row>
    <row r="1555" spans="1:22">
      <c r="A1555" s="71" t="s">
        <v>8855</v>
      </c>
      <c r="B1555" s="67" t="s">
        <v>8856</v>
      </c>
      <c r="C1555" s="71" t="s">
        <v>103</v>
      </c>
      <c r="D1555" s="78">
        <v>9.9700000000000006</v>
      </c>
      <c r="E1555" s="663">
        <v>2</v>
      </c>
      <c r="H1555" s="179">
        <v>9.9700000000000006</v>
      </c>
      <c r="J1555" s="294"/>
      <c r="K1555" s="295"/>
      <c r="L1555" s="72"/>
      <c r="M1555" s="133"/>
      <c r="N1555" s="72"/>
      <c r="O1555" s="224"/>
      <c r="P1555" s="219"/>
      <c r="Q1555" s="84"/>
      <c r="S1555" s="137"/>
      <c r="T1555" s="137"/>
      <c r="V1555" s="137"/>
    </row>
    <row r="1556" spans="1:22">
      <c r="A1556" s="71" t="s">
        <v>8857</v>
      </c>
      <c r="B1556" s="67" t="s">
        <v>8858</v>
      </c>
      <c r="C1556" s="71" t="s">
        <v>103</v>
      </c>
      <c r="D1556" s="78">
        <v>45.81</v>
      </c>
      <c r="E1556" s="663">
        <v>2</v>
      </c>
      <c r="H1556" s="178">
        <v>45.81</v>
      </c>
      <c r="J1556" s="294"/>
      <c r="K1556" s="295"/>
      <c r="L1556" s="72"/>
      <c r="M1556" s="133"/>
      <c r="N1556" s="72"/>
      <c r="O1556" s="224"/>
      <c r="P1556" s="219"/>
      <c r="Q1556" s="84"/>
      <c r="S1556" s="136"/>
      <c r="T1556" s="136"/>
      <c r="V1556" s="136"/>
    </row>
    <row r="1557" spans="1:22">
      <c r="A1557" s="71" t="s">
        <v>8859</v>
      </c>
      <c r="B1557" s="67" t="s">
        <v>8860</v>
      </c>
      <c r="C1557" s="71" t="s">
        <v>103</v>
      </c>
      <c r="D1557" s="78">
        <v>30.33</v>
      </c>
      <c r="E1557" s="663">
        <v>2</v>
      </c>
      <c r="H1557" s="179">
        <v>30.33</v>
      </c>
      <c r="J1557" s="294"/>
      <c r="K1557" s="295"/>
      <c r="L1557" s="72"/>
      <c r="M1557" s="133"/>
      <c r="N1557" s="72"/>
      <c r="O1557" s="224"/>
      <c r="P1557" s="219"/>
      <c r="Q1557" s="84"/>
      <c r="S1557" s="137"/>
      <c r="T1557" s="137"/>
      <c r="V1557" s="137"/>
    </row>
    <row r="1558" spans="1:22">
      <c r="A1558" s="71" t="s">
        <v>8861</v>
      </c>
      <c r="B1558" s="67" t="s">
        <v>8862</v>
      </c>
      <c r="C1558" s="71" t="s">
        <v>103</v>
      </c>
      <c r="D1558" s="78">
        <v>11.19</v>
      </c>
      <c r="E1558" s="663">
        <v>2</v>
      </c>
      <c r="H1558" s="179">
        <v>11.19</v>
      </c>
      <c r="J1558" s="294"/>
      <c r="K1558" s="295"/>
      <c r="L1558" s="72"/>
      <c r="M1558" s="133"/>
      <c r="N1558" s="72"/>
      <c r="O1558" s="224"/>
      <c r="P1558" s="219"/>
      <c r="Q1558" s="84"/>
      <c r="S1558" s="137"/>
      <c r="T1558" s="137"/>
      <c r="V1558" s="137"/>
    </row>
    <row r="1559" spans="1:22">
      <c r="A1559" s="71" t="s">
        <v>8863</v>
      </c>
      <c r="B1559" s="67" t="s">
        <v>8864</v>
      </c>
      <c r="C1559" s="71" t="s">
        <v>103</v>
      </c>
      <c r="D1559" s="78">
        <v>14.94</v>
      </c>
      <c r="E1559" s="663">
        <v>2</v>
      </c>
      <c r="H1559" s="179">
        <v>14.94</v>
      </c>
      <c r="J1559" s="294"/>
      <c r="K1559" s="295"/>
      <c r="L1559" s="72"/>
      <c r="M1559" s="133"/>
      <c r="N1559" s="72"/>
      <c r="O1559" s="224"/>
      <c r="P1559" s="219"/>
      <c r="Q1559" s="84"/>
      <c r="S1559" s="137"/>
      <c r="T1559" s="137"/>
      <c r="V1559" s="137"/>
    </row>
    <row r="1560" spans="1:22">
      <c r="A1560" s="71" t="s">
        <v>8865</v>
      </c>
      <c r="B1560" s="67" t="s">
        <v>8866</v>
      </c>
      <c r="C1560" s="71" t="s">
        <v>103</v>
      </c>
      <c r="D1560" s="78">
        <v>30.33</v>
      </c>
      <c r="E1560" s="663">
        <v>2</v>
      </c>
      <c r="H1560" s="179">
        <v>30.33</v>
      </c>
      <c r="J1560" s="294"/>
      <c r="K1560" s="295"/>
      <c r="L1560" s="72"/>
      <c r="M1560" s="133"/>
      <c r="N1560" s="72"/>
      <c r="O1560" s="224"/>
      <c r="P1560" s="219"/>
      <c r="Q1560" s="84"/>
      <c r="S1560" s="137"/>
      <c r="T1560" s="137"/>
      <c r="V1560" s="137"/>
    </row>
    <row r="1561" spans="1:22">
      <c r="A1561" s="71" t="s">
        <v>8867</v>
      </c>
      <c r="B1561" s="67" t="s">
        <v>8868</v>
      </c>
      <c r="C1561" s="71" t="s">
        <v>103</v>
      </c>
      <c r="D1561" s="78">
        <v>21.85</v>
      </c>
      <c r="E1561" s="663">
        <v>2</v>
      </c>
      <c r="H1561" s="179">
        <v>21.85</v>
      </c>
      <c r="J1561" s="294"/>
      <c r="K1561" s="295"/>
      <c r="L1561" s="72"/>
      <c r="M1561" s="133"/>
      <c r="N1561" s="72"/>
      <c r="O1561" s="224"/>
      <c r="P1561" s="219"/>
      <c r="Q1561" s="84"/>
      <c r="S1561" s="137"/>
      <c r="T1561" s="137"/>
      <c r="V1561" s="137"/>
    </row>
    <row r="1562" spans="1:22">
      <c r="A1562" s="71" t="s">
        <v>8869</v>
      </c>
      <c r="B1562" s="67" t="s">
        <v>8870</v>
      </c>
      <c r="C1562" s="71" t="s">
        <v>103</v>
      </c>
      <c r="D1562" s="78">
        <v>25.08</v>
      </c>
      <c r="E1562" s="663">
        <v>2</v>
      </c>
      <c r="H1562" s="179">
        <v>25.08</v>
      </c>
      <c r="J1562" s="294"/>
      <c r="K1562" s="295"/>
      <c r="L1562" s="72"/>
      <c r="M1562" s="133"/>
      <c r="N1562" s="72"/>
      <c r="O1562" s="224"/>
      <c r="P1562" s="219"/>
      <c r="Q1562" s="84"/>
      <c r="S1562" s="137"/>
      <c r="T1562" s="137"/>
      <c r="V1562" s="137"/>
    </row>
    <row r="1563" spans="1:22">
      <c r="A1563" s="71" t="s">
        <v>8871</v>
      </c>
      <c r="B1563" s="67" t="s">
        <v>8872</v>
      </c>
      <c r="C1563" s="71" t="s">
        <v>103</v>
      </c>
      <c r="D1563" s="78">
        <v>41.74</v>
      </c>
      <c r="E1563" s="663">
        <v>2</v>
      </c>
      <c r="H1563" s="179">
        <v>41.74</v>
      </c>
      <c r="J1563" s="294"/>
      <c r="K1563" s="295"/>
      <c r="L1563" s="72"/>
      <c r="M1563" s="133"/>
      <c r="N1563" s="72"/>
      <c r="O1563" s="224"/>
      <c r="P1563" s="219"/>
      <c r="Q1563" s="84"/>
      <c r="S1563" s="137"/>
      <c r="T1563" s="137"/>
      <c r="V1563" s="137"/>
    </row>
    <row r="1564" spans="1:22">
      <c r="A1564" s="71" t="s">
        <v>44209</v>
      </c>
      <c r="B1564" s="67" t="s">
        <v>44210</v>
      </c>
      <c r="C1564" s="71" t="s">
        <v>103</v>
      </c>
      <c r="D1564" s="78">
        <v>12.94</v>
      </c>
      <c r="E1564" s="663">
        <v>2</v>
      </c>
      <c r="H1564" s="721">
        <v>12.94</v>
      </c>
      <c r="J1564" s="294"/>
      <c r="K1564" s="295"/>
      <c r="M1564" s="72"/>
      <c r="N1564" s="133"/>
      <c r="O1564" s="72"/>
      <c r="P1564" s="224"/>
      <c r="Q1564" s="219"/>
      <c r="T1564" s="136"/>
      <c r="V1564" s="136"/>
    </row>
    <row r="1565" spans="1:22">
      <c r="A1565" s="71" t="s">
        <v>44211</v>
      </c>
      <c r="B1565" s="67" t="s">
        <v>44212</v>
      </c>
      <c r="C1565" s="71" t="s">
        <v>103</v>
      </c>
      <c r="D1565" s="78">
        <v>18.670000000000002</v>
      </c>
      <c r="E1565" s="663">
        <v>2</v>
      </c>
      <c r="H1565" s="721">
        <v>18.670000000000002</v>
      </c>
      <c r="J1565" s="294"/>
      <c r="K1565" s="295"/>
      <c r="M1565" s="72"/>
      <c r="N1565" s="133"/>
      <c r="O1565" s="72"/>
      <c r="P1565" s="224"/>
      <c r="Q1565" s="219"/>
      <c r="T1565" s="136"/>
      <c r="V1565" s="136"/>
    </row>
    <row r="1566" spans="1:22">
      <c r="A1566" s="71" t="s">
        <v>44213</v>
      </c>
      <c r="B1566" s="67" t="s">
        <v>44214</v>
      </c>
      <c r="C1566" s="71" t="s">
        <v>103</v>
      </c>
      <c r="D1566" s="78">
        <v>38.04</v>
      </c>
      <c r="E1566" s="663">
        <v>2</v>
      </c>
      <c r="H1566" s="721">
        <v>38.04</v>
      </c>
      <c r="J1566" s="294"/>
      <c r="K1566" s="295"/>
      <c r="M1566" s="72"/>
      <c r="N1566" s="133"/>
      <c r="O1566" s="72"/>
      <c r="P1566" s="224"/>
      <c r="Q1566" s="219"/>
      <c r="T1566" s="136"/>
      <c r="V1566" s="136"/>
    </row>
    <row r="1567" spans="1:22">
      <c r="A1567" s="71" t="s">
        <v>44215</v>
      </c>
      <c r="B1567" s="67" t="s">
        <v>44216</v>
      </c>
      <c r="C1567" s="71" t="s">
        <v>103</v>
      </c>
      <c r="D1567" s="78">
        <v>59.02</v>
      </c>
      <c r="E1567" s="663">
        <v>2</v>
      </c>
      <c r="H1567" s="721">
        <v>59.02</v>
      </c>
      <c r="J1567" s="294"/>
      <c r="K1567" s="295"/>
      <c r="M1567" s="72"/>
      <c r="N1567" s="133"/>
      <c r="O1567" s="72"/>
      <c r="P1567" s="224"/>
      <c r="Q1567" s="219"/>
      <c r="T1567" s="136"/>
      <c r="V1567" s="136"/>
    </row>
    <row r="1568" spans="1:22">
      <c r="A1568" s="71" t="s">
        <v>44217</v>
      </c>
      <c r="B1568" s="67" t="s">
        <v>44218</v>
      </c>
      <c r="C1568" s="71" t="s">
        <v>103</v>
      </c>
      <c r="D1568" s="78">
        <v>12.94</v>
      </c>
      <c r="E1568" s="663">
        <v>2</v>
      </c>
      <c r="H1568" s="721">
        <v>12.94</v>
      </c>
      <c r="J1568" s="294"/>
      <c r="K1568" s="295"/>
      <c r="M1568" s="72"/>
      <c r="N1568" s="133"/>
      <c r="O1568" s="72"/>
      <c r="P1568" s="224"/>
      <c r="Q1568" s="219"/>
      <c r="T1568" s="136"/>
      <c r="V1568" s="136"/>
    </row>
    <row r="1569" spans="1:22">
      <c r="A1569" s="71" t="s">
        <v>44219</v>
      </c>
      <c r="B1569" s="67" t="s">
        <v>44220</v>
      </c>
      <c r="C1569" s="71" t="s">
        <v>103</v>
      </c>
      <c r="D1569" s="78">
        <v>1.4</v>
      </c>
      <c r="E1569" s="663">
        <v>2</v>
      </c>
      <c r="H1569" s="721">
        <v>1.4</v>
      </c>
      <c r="J1569" s="294"/>
      <c r="K1569" s="295"/>
      <c r="M1569" s="72"/>
      <c r="N1569" s="133"/>
      <c r="O1569" s="72"/>
      <c r="P1569" s="224"/>
      <c r="Q1569" s="219"/>
      <c r="T1569" s="136"/>
      <c r="V1569" s="136"/>
    </row>
    <row r="1570" spans="1:22">
      <c r="A1570" s="71" t="s">
        <v>44221</v>
      </c>
      <c r="B1570" s="67" t="s">
        <v>44222</v>
      </c>
      <c r="C1570" s="71" t="s">
        <v>103</v>
      </c>
      <c r="D1570" s="78">
        <v>2.23</v>
      </c>
      <c r="E1570" s="663">
        <v>2</v>
      </c>
      <c r="H1570" s="721">
        <v>2.23</v>
      </c>
      <c r="J1570" s="294"/>
      <c r="K1570" s="295"/>
      <c r="M1570" s="72"/>
      <c r="N1570" s="133"/>
      <c r="O1570" s="72"/>
      <c r="P1570" s="224"/>
      <c r="Q1570" s="219"/>
      <c r="T1570" s="136"/>
      <c r="V1570" s="136"/>
    </row>
    <row r="1571" spans="1:22">
      <c r="A1571" s="71" t="s">
        <v>44223</v>
      </c>
      <c r="B1571" s="67" t="s">
        <v>44224</v>
      </c>
      <c r="C1571" s="71" t="s">
        <v>103</v>
      </c>
      <c r="D1571" s="78">
        <v>3.61</v>
      </c>
      <c r="E1571" s="663">
        <v>2</v>
      </c>
      <c r="H1571" s="721">
        <v>3.61</v>
      </c>
      <c r="J1571" s="294"/>
      <c r="K1571" s="295"/>
      <c r="M1571" s="72"/>
      <c r="N1571" s="133"/>
      <c r="O1571" s="72"/>
      <c r="P1571" s="224"/>
      <c r="Q1571" s="219"/>
      <c r="T1571" s="136"/>
      <c r="V1571" s="136"/>
    </row>
    <row r="1572" spans="1:22">
      <c r="A1572" s="71" t="s">
        <v>44225</v>
      </c>
      <c r="B1572" s="67" t="s">
        <v>44226</v>
      </c>
      <c r="C1572" s="71" t="s">
        <v>103</v>
      </c>
      <c r="D1572" s="78">
        <v>5.58</v>
      </c>
      <c r="E1572" s="663">
        <v>2</v>
      </c>
      <c r="H1572" s="721">
        <v>5.58</v>
      </c>
      <c r="J1572" s="294"/>
      <c r="K1572" s="295"/>
      <c r="M1572" s="72"/>
      <c r="N1572" s="133"/>
      <c r="O1572" s="72"/>
      <c r="P1572" s="224"/>
      <c r="Q1572" s="219"/>
      <c r="T1572" s="136"/>
      <c r="V1572" s="136"/>
    </row>
    <row r="1573" spans="1:22">
      <c r="A1573" s="71" t="s">
        <v>44227</v>
      </c>
      <c r="B1573" s="67" t="s">
        <v>44228</v>
      </c>
      <c r="C1573" s="71" t="s">
        <v>103</v>
      </c>
      <c r="D1573" s="78">
        <v>10.08</v>
      </c>
      <c r="E1573" s="663">
        <v>2</v>
      </c>
      <c r="H1573" s="721">
        <v>10.08</v>
      </c>
      <c r="J1573" s="294"/>
      <c r="K1573" s="295"/>
      <c r="M1573" s="72"/>
      <c r="N1573" s="133"/>
      <c r="O1573" s="72"/>
      <c r="P1573" s="224"/>
      <c r="Q1573" s="219"/>
      <c r="T1573" s="136"/>
      <c r="V1573" s="136"/>
    </row>
    <row r="1574" spans="1:22">
      <c r="A1574" s="71" t="s">
        <v>44229</v>
      </c>
      <c r="B1574" s="67" t="s">
        <v>44230</v>
      </c>
      <c r="C1574" s="71" t="s">
        <v>103</v>
      </c>
      <c r="D1574" s="78">
        <v>6.35</v>
      </c>
      <c r="E1574" s="663">
        <v>2</v>
      </c>
      <c r="H1574" s="721">
        <v>6.35</v>
      </c>
      <c r="J1574" s="294"/>
      <c r="K1574" s="295"/>
      <c r="M1574" s="72"/>
      <c r="N1574" s="133"/>
      <c r="O1574" s="72"/>
      <c r="P1574" s="224"/>
      <c r="Q1574" s="219"/>
      <c r="T1574" s="136"/>
      <c r="V1574" s="136"/>
    </row>
    <row r="1575" spans="1:22">
      <c r="A1575" s="71" t="s">
        <v>44231</v>
      </c>
      <c r="B1575" s="67" t="s">
        <v>44232</v>
      </c>
      <c r="C1575" s="71" t="s">
        <v>103</v>
      </c>
      <c r="D1575" s="78">
        <v>13.23</v>
      </c>
      <c r="E1575" s="663">
        <v>2</v>
      </c>
      <c r="H1575" s="721">
        <v>13.23</v>
      </c>
      <c r="J1575" s="294"/>
      <c r="K1575" s="295"/>
      <c r="M1575" s="72"/>
      <c r="N1575" s="133"/>
      <c r="O1575" s="72"/>
      <c r="P1575" s="224"/>
      <c r="Q1575" s="219"/>
      <c r="T1575" s="136"/>
      <c r="V1575" s="136"/>
    </row>
    <row r="1576" spans="1:22">
      <c r="A1576" s="71" t="s">
        <v>8873</v>
      </c>
      <c r="B1576" s="67" t="s">
        <v>8874</v>
      </c>
      <c r="C1576" s="71" t="s">
        <v>103</v>
      </c>
      <c r="D1576" s="78">
        <v>466.13</v>
      </c>
      <c r="E1576" s="663">
        <v>2</v>
      </c>
      <c r="H1576" s="179">
        <v>466.13</v>
      </c>
      <c r="J1576" s="294"/>
      <c r="K1576" s="295"/>
      <c r="L1576" s="72"/>
      <c r="M1576" s="133"/>
      <c r="N1576" s="72"/>
      <c r="O1576" s="224"/>
      <c r="P1576" s="219"/>
      <c r="Q1576" s="84"/>
      <c r="S1576" s="137"/>
      <c r="T1576" s="137"/>
      <c r="V1576" s="137"/>
    </row>
    <row r="1577" spans="1:22">
      <c r="A1577" s="71" t="s">
        <v>8875</v>
      </c>
      <c r="B1577" s="67" t="s">
        <v>8876</v>
      </c>
      <c r="C1577" s="71" t="s">
        <v>103</v>
      </c>
      <c r="D1577" s="78">
        <v>442.17</v>
      </c>
      <c r="E1577" s="663">
        <v>2</v>
      </c>
      <c r="H1577" s="179">
        <v>442.17</v>
      </c>
      <c r="J1577" s="294"/>
      <c r="K1577" s="295"/>
      <c r="L1577" s="72"/>
      <c r="M1577" s="133"/>
      <c r="N1577" s="72"/>
      <c r="O1577" s="224"/>
      <c r="P1577" s="219"/>
      <c r="Q1577" s="84"/>
      <c r="S1577" s="137"/>
      <c r="T1577" s="137"/>
      <c r="V1577" s="137"/>
    </row>
    <row r="1578" spans="1:22">
      <c r="A1578" s="71" t="s">
        <v>8877</v>
      </c>
      <c r="B1578" s="67" t="s">
        <v>8878</v>
      </c>
      <c r="C1578" s="71" t="s">
        <v>103</v>
      </c>
      <c r="D1578" s="78">
        <v>1276.45</v>
      </c>
      <c r="E1578" s="663">
        <v>2</v>
      </c>
      <c r="H1578" s="179">
        <v>1276.45</v>
      </c>
      <c r="J1578" s="294"/>
      <c r="K1578" s="295"/>
      <c r="L1578" s="72"/>
      <c r="M1578" s="133"/>
      <c r="N1578" s="72"/>
      <c r="O1578" s="224"/>
      <c r="P1578" s="219"/>
      <c r="Q1578" s="84"/>
      <c r="S1578" s="137"/>
      <c r="T1578" s="137"/>
      <c r="V1578" s="137"/>
    </row>
    <row r="1579" spans="1:22">
      <c r="A1579" s="71" t="s">
        <v>8879</v>
      </c>
      <c r="B1579" s="67" t="s">
        <v>8880</v>
      </c>
      <c r="C1579" s="71" t="s">
        <v>103</v>
      </c>
      <c r="D1579" s="78">
        <v>1195.1300000000001</v>
      </c>
      <c r="E1579" s="663">
        <v>2</v>
      </c>
      <c r="H1579" s="179">
        <v>1195.1300000000001</v>
      </c>
      <c r="J1579" s="294"/>
      <c r="K1579" s="295"/>
      <c r="L1579" s="72"/>
      <c r="M1579" s="133"/>
      <c r="N1579" s="72"/>
      <c r="O1579" s="224"/>
      <c r="P1579" s="219"/>
      <c r="Q1579" s="84"/>
      <c r="S1579" s="137"/>
      <c r="T1579" s="137"/>
      <c r="V1579" s="137"/>
    </row>
    <row r="1580" spans="1:22">
      <c r="A1580" s="71" t="s">
        <v>8881</v>
      </c>
      <c r="B1580" s="67" t="s">
        <v>8882</v>
      </c>
      <c r="C1580" s="71" t="s">
        <v>103</v>
      </c>
      <c r="D1580" s="78">
        <v>126.12</v>
      </c>
      <c r="E1580" s="663">
        <v>2</v>
      </c>
      <c r="H1580" s="179">
        <v>126.12</v>
      </c>
      <c r="J1580" s="294"/>
      <c r="K1580" s="295"/>
      <c r="L1580" s="72"/>
      <c r="M1580" s="133"/>
      <c r="N1580" s="72"/>
      <c r="O1580" s="224"/>
      <c r="P1580" s="219"/>
      <c r="Q1580" s="84"/>
      <c r="S1580" s="137"/>
      <c r="T1580" s="137"/>
      <c r="V1580" s="137"/>
    </row>
    <row r="1581" spans="1:22">
      <c r="A1581" s="71" t="s">
        <v>8883</v>
      </c>
      <c r="B1581" s="67" t="s">
        <v>8884</v>
      </c>
      <c r="C1581" s="71" t="s">
        <v>103</v>
      </c>
      <c r="D1581" s="78">
        <v>159.04</v>
      </c>
      <c r="E1581" s="663">
        <v>2</v>
      </c>
      <c r="H1581" s="179">
        <v>159.04</v>
      </c>
      <c r="J1581" s="294"/>
      <c r="K1581" s="295"/>
      <c r="L1581" s="72"/>
      <c r="M1581" s="133"/>
      <c r="N1581" s="72"/>
      <c r="O1581" s="224"/>
      <c r="P1581" s="219"/>
      <c r="Q1581" s="84"/>
      <c r="S1581" s="137"/>
      <c r="T1581" s="137"/>
      <c r="V1581" s="137"/>
    </row>
    <row r="1582" spans="1:22">
      <c r="A1582" s="71" t="s">
        <v>8885</v>
      </c>
      <c r="B1582" s="67" t="s">
        <v>8886</v>
      </c>
      <c r="C1582" s="71" t="s">
        <v>103</v>
      </c>
      <c r="D1582" s="78">
        <v>26.79</v>
      </c>
      <c r="E1582" s="663">
        <v>2</v>
      </c>
      <c r="H1582" s="179">
        <v>26.79</v>
      </c>
      <c r="J1582" s="294"/>
      <c r="K1582" s="295"/>
      <c r="L1582" s="72"/>
      <c r="M1582" s="133"/>
      <c r="N1582" s="72"/>
      <c r="O1582" s="224"/>
      <c r="P1582" s="219"/>
      <c r="Q1582" s="84"/>
      <c r="S1582" s="137"/>
      <c r="T1582" s="137"/>
      <c r="V1582" s="137"/>
    </row>
    <row r="1583" spans="1:22">
      <c r="A1583" s="71" t="s">
        <v>8887</v>
      </c>
      <c r="B1583" s="67" t="s">
        <v>8888</v>
      </c>
      <c r="C1583" s="71" t="s">
        <v>103</v>
      </c>
      <c r="D1583" s="78">
        <v>1548.28</v>
      </c>
      <c r="E1583" s="663">
        <v>2</v>
      </c>
      <c r="H1583" s="179">
        <v>1548.28</v>
      </c>
      <c r="J1583" s="294"/>
      <c r="K1583" s="295"/>
      <c r="L1583" s="72"/>
      <c r="M1583" s="133"/>
      <c r="N1583" s="72"/>
      <c r="O1583" s="224"/>
      <c r="P1583" s="219"/>
      <c r="Q1583" s="84"/>
      <c r="S1583" s="137"/>
      <c r="T1583" s="137"/>
      <c r="V1583" s="137"/>
    </row>
    <row r="1584" spans="1:22">
      <c r="A1584" s="71" t="s">
        <v>8889</v>
      </c>
      <c r="B1584" s="67" t="s">
        <v>8890</v>
      </c>
      <c r="C1584" s="71" t="s">
        <v>103</v>
      </c>
      <c r="D1584" s="78">
        <v>231.61</v>
      </c>
      <c r="E1584" s="663">
        <v>2</v>
      </c>
      <c r="H1584" s="179">
        <v>231.61</v>
      </c>
      <c r="J1584" s="294"/>
      <c r="K1584" s="295"/>
      <c r="L1584" s="72"/>
      <c r="M1584" s="133"/>
      <c r="N1584" s="72"/>
      <c r="O1584" s="224"/>
      <c r="P1584" s="219"/>
      <c r="Q1584" s="84"/>
      <c r="S1584" s="137"/>
      <c r="T1584" s="137"/>
      <c r="V1584" s="137"/>
    </row>
    <row r="1585" spans="1:22">
      <c r="A1585" s="71" t="s">
        <v>8891</v>
      </c>
      <c r="B1585" s="67" t="s">
        <v>8892</v>
      </c>
      <c r="C1585" s="71" t="s">
        <v>103</v>
      </c>
      <c r="D1585" s="78">
        <v>109.7</v>
      </c>
      <c r="E1585" s="663">
        <v>2</v>
      </c>
      <c r="H1585" s="179">
        <v>109.7</v>
      </c>
      <c r="J1585" s="294"/>
      <c r="K1585" s="295"/>
      <c r="L1585" s="72"/>
      <c r="M1585" s="133"/>
      <c r="N1585" s="72"/>
      <c r="O1585" s="224"/>
      <c r="P1585" s="219"/>
      <c r="Q1585" s="84"/>
      <c r="S1585" s="137"/>
      <c r="T1585" s="137"/>
      <c r="V1585" s="137"/>
    </row>
    <row r="1586" spans="1:22">
      <c r="A1586" s="71" t="s">
        <v>8893</v>
      </c>
      <c r="B1586" s="67" t="s">
        <v>8894</v>
      </c>
      <c r="C1586" s="71" t="s">
        <v>103</v>
      </c>
      <c r="D1586" s="78">
        <v>267.48</v>
      </c>
      <c r="E1586" s="663">
        <v>2</v>
      </c>
      <c r="H1586" s="179">
        <v>267.48</v>
      </c>
      <c r="J1586" s="294"/>
      <c r="K1586" s="295"/>
      <c r="L1586" s="72"/>
      <c r="M1586" s="133"/>
      <c r="N1586" s="72"/>
      <c r="O1586" s="224"/>
      <c r="P1586" s="219"/>
      <c r="Q1586" s="84"/>
      <c r="S1586" s="137"/>
      <c r="T1586" s="137"/>
      <c r="V1586" s="137"/>
    </row>
    <row r="1587" spans="1:22">
      <c r="A1587" s="71" t="s">
        <v>8895</v>
      </c>
      <c r="B1587" s="67" t="s">
        <v>8896</v>
      </c>
      <c r="C1587" s="71" t="s">
        <v>103</v>
      </c>
      <c r="D1587" s="78">
        <v>393.71</v>
      </c>
      <c r="E1587" s="663">
        <v>2</v>
      </c>
      <c r="H1587" s="179">
        <v>393.71</v>
      </c>
      <c r="J1587" s="294"/>
      <c r="K1587" s="295"/>
      <c r="L1587" s="72"/>
      <c r="M1587" s="133"/>
      <c r="N1587" s="72"/>
      <c r="O1587" s="224"/>
      <c r="P1587" s="219"/>
      <c r="Q1587" s="84"/>
      <c r="S1587" s="137"/>
      <c r="T1587" s="137"/>
      <c r="V1587" s="137"/>
    </row>
    <row r="1588" spans="1:22">
      <c r="A1588" s="71" t="s">
        <v>8897</v>
      </c>
      <c r="B1588" s="67" t="s">
        <v>8898</v>
      </c>
      <c r="C1588" s="71" t="s">
        <v>103</v>
      </c>
      <c r="D1588" s="78">
        <v>466.13</v>
      </c>
      <c r="E1588" s="663">
        <v>2</v>
      </c>
      <c r="H1588" s="179">
        <v>466.13</v>
      </c>
      <c r="J1588" s="294"/>
      <c r="K1588" s="295"/>
      <c r="L1588" s="72"/>
      <c r="M1588" s="133"/>
      <c r="N1588" s="72"/>
      <c r="O1588" s="224"/>
      <c r="P1588" s="219"/>
      <c r="Q1588" s="84"/>
      <c r="S1588" s="137"/>
      <c r="T1588" s="137"/>
      <c r="V1588" s="137"/>
    </row>
    <row r="1589" spans="1:22">
      <c r="A1589" s="71" t="s">
        <v>8899</v>
      </c>
      <c r="B1589" s="67" t="s">
        <v>8900</v>
      </c>
      <c r="C1589" s="71" t="s">
        <v>103</v>
      </c>
      <c r="D1589" s="78">
        <v>166.57</v>
      </c>
      <c r="E1589" s="663">
        <v>2</v>
      </c>
      <c r="H1589" s="179">
        <v>166.57</v>
      </c>
      <c r="J1589" s="294"/>
      <c r="K1589" s="295"/>
      <c r="L1589" s="72"/>
      <c r="M1589" s="133"/>
      <c r="N1589" s="72"/>
      <c r="O1589" s="224"/>
      <c r="P1589" s="219"/>
      <c r="Q1589" s="84"/>
      <c r="S1589" s="137"/>
      <c r="T1589" s="137"/>
      <c r="V1589" s="137"/>
    </row>
    <row r="1590" spans="1:22">
      <c r="A1590" s="71" t="s">
        <v>8901</v>
      </c>
      <c r="B1590" s="67" t="s">
        <v>8902</v>
      </c>
      <c r="C1590" s="71" t="s">
        <v>103</v>
      </c>
      <c r="D1590" s="78">
        <v>274.73</v>
      </c>
      <c r="E1590" s="663">
        <v>2</v>
      </c>
      <c r="H1590" s="179">
        <v>274.73</v>
      </c>
      <c r="J1590" s="294"/>
      <c r="K1590" s="295"/>
      <c r="L1590" s="72"/>
      <c r="M1590" s="133"/>
      <c r="N1590" s="72"/>
      <c r="O1590" s="224"/>
      <c r="P1590" s="219"/>
      <c r="Q1590" s="84"/>
      <c r="S1590" s="137"/>
      <c r="T1590" s="137"/>
      <c r="V1590" s="137"/>
    </row>
    <row r="1591" spans="1:22">
      <c r="A1591" s="71" t="s">
        <v>8903</v>
      </c>
      <c r="B1591" s="67" t="s">
        <v>8904</v>
      </c>
      <c r="C1591" s="71" t="s">
        <v>103</v>
      </c>
      <c r="D1591" s="78">
        <v>270.73</v>
      </c>
      <c r="E1591" s="663">
        <v>2</v>
      </c>
      <c r="H1591" s="179">
        <v>270.73</v>
      </c>
      <c r="J1591" s="294"/>
      <c r="K1591" s="295"/>
      <c r="L1591" s="72"/>
      <c r="M1591" s="133"/>
      <c r="N1591" s="72"/>
      <c r="O1591" s="224"/>
      <c r="P1591" s="219"/>
      <c r="Q1591" s="84"/>
      <c r="S1591" s="137"/>
      <c r="T1591" s="137"/>
      <c r="V1591" s="137"/>
    </row>
    <row r="1592" spans="1:22">
      <c r="A1592" s="71" t="s">
        <v>8905</v>
      </c>
      <c r="B1592" s="67" t="s">
        <v>8906</v>
      </c>
      <c r="C1592" s="71" t="s">
        <v>103</v>
      </c>
      <c r="D1592" s="78">
        <v>530.96</v>
      </c>
      <c r="E1592" s="663">
        <v>2</v>
      </c>
      <c r="H1592" s="179">
        <v>530.96</v>
      </c>
      <c r="J1592" s="294"/>
      <c r="K1592" s="295"/>
      <c r="L1592" s="72"/>
      <c r="M1592" s="133"/>
      <c r="N1592" s="72"/>
      <c r="O1592" s="224"/>
      <c r="P1592" s="219"/>
      <c r="Q1592" s="84"/>
      <c r="S1592" s="137"/>
      <c r="T1592" s="137"/>
      <c r="V1592" s="137"/>
    </row>
    <row r="1593" spans="1:22">
      <c r="A1593" s="71" t="s">
        <v>8907</v>
      </c>
      <c r="B1593" s="67" t="s">
        <v>28478</v>
      </c>
      <c r="C1593" s="71" t="s">
        <v>103</v>
      </c>
      <c r="D1593" s="78">
        <v>423.69</v>
      </c>
      <c r="E1593" s="663">
        <v>2</v>
      </c>
      <c r="H1593" s="179">
        <v>423.69</v>
      </c>
      <c r="J1593" s="294"/>
      <c r="K1593" s="295"/>
      <c r="L1593" s="72"/>
      <c r="M1593" s="133"/>
      <c r="N1593" s="72"/>
      <c r="O1593" s="224"/>
      <c r="P1593" s="219"/>
      <c r="Q1593" s="84"/>
      <c r="S1593" s="137"/>
      <c r="T1593" s="137"/>
      <c r="V1593" s="137"/>
    </row>
    <row r="1594" spans="1:22">
      <c r="A1594" s="71" t="s">
        <v>8908</v>
      </c>
      <c r="B1594" s="67" t="s">
        <v>8909</v>
      </c>
      <c r="C1594" s="71" t="s">
        <v>103</v>
      </c>
      <c r="D1594" s="78">
        <v>204.44</v>
      </c>
      <c r="E1594" s="663">
        <v>2</v>
      </c>
      <c r="H1594" s="179">
        <v>204.44</v>
      </c>
      <c r="J1594" s="294"/>
      <c r="K1594" s="295"/>
      <c r="L1594" s="72"/>
      <c r="M1594" s="133"/>
      <c r="N1594" s="72"/>
      <c r="O1594" s="224"/>
      <c r="P1594" s="219"/>
      <c r="Q1594" s="84"/>
      <c r="S1594" s="137"/>
      <c r="T1594" s="137"/>
      <c r="V1594" s="137"/>
    </row>
    <row r="1595" spans="1:22">
      <c r="A1595" s="71" t="s">
        <v>8910</v>
      </c>
      <c r="B1595" s="67" t="s">
        <v>8911</v>
      </c>
      <c r="C1595" s="71" t="s">
        <v>103</v>
      </c>
      <c r="D1595" s="78">
        <v>254.14</v>
      </c>
      <c r="E1595" s="663">
        <v>2</v>
      </c>
      <c r="H1595" s="179">
        <v>254.14</v>
      </c>
      <c r="J1595" s="294"/>
      <c r="K1595" s="295"/>
      <c r="L1595" s="72"/>
      <c r="M1595" s="133"/>
      <c r="N1595" s="72"/>
      <c r="O1595" s="224"/>
      <c r="P1595" s="219"/>
      <c r="Q1595" s="84"/>
      <c r="S1595" s="137"/>
      <c r="T1595" s="137"/>
      <c r="V1595" s="137"/>
    </row>
    <row r="1596" spans="1:22">
      <c r="A1596" s="71" t="s">
        <v>8912</v>
      </c>
      <c r="B1596" s="67" t="s">
        <v>8913</v>
      </c>
      <c r="C1596" s="71" t="s">
        <v>103</v>
      </c>
      <c r="D1596" s="78">
        <v>6.91</v>
      </c>
      <c r="E1596" s="663">
        <v>2</v>
      </c>
      <c r="H1596" s="178">
        <v>6.91</v>
      </c>
      <c r="J1596" s="294"/>
      <c r="K1596" s="295"/>
      <c r="L1596" s="72"/>
      <c r="M1596" s="133"/>
      <c r="N1596" s="72"/>
      <c r="O1596" s="224"/>
      <c r="P1596" s="219"/>
      <c r="Q1596" s="84"/>
      <c r="S1596" s="136"/>
      <c r="T1596" s="136"/>
      <c r="V1596" s="136"/>
    </row>
    <row r="1597" spans="1:22">
      <c r="A1597" s="71" t="s">
        <v>8914</v>
      </c>
      <c r="B1597" s="67" t="s">
        <v>8915</v>
      </c>
      <c r="C1597" s="71" t="s">
        <v>103</v>
      </c>
      <c r="D1597" s="78">
        <v>134.94999999999999</v>
      </c>
      <c r="E1597" s="663">
        <v>2</v>
      </c>
      <c r="H1597" s="178">
        <v>134.94999999999999</v>
      </c>
      <c r="J1597" s="294"/>
      <c r="K1597" s="295"/>
      <c r="L1597" s="72"/>
      <c r="M1597" s="133"/>
      <c r="N1597" s="72"/>
      <c r="O1597" s="224"/>
      <c r="P1597" s="219"/>
      <c r="Q1597" s="84"/>
      <c r="S1597" s="136"/>
      <c r="T1597" s="136"/>
      <c r="V1597" s="136"/>
    </row>
    <row r="1598" spans="1:22">
      <c r="A1598" s="71" t="s">
        <v>8916</v>
      </c>
      <c r="B1598" s="67" t="s">
        <v>8917</v>
      </c>
      <c r="C1598" s="71" t="s">
        <v>103</v>
      </c>
      <c r="D1598" s="78">
        <v>267.48</v>
      </c>
      <c r="E1598" s="663">
        <v>2</v>
      </c>
      <c r="H1598" s="178">
        <v>267.48</v>
      </c>
      <c r="J1598" s="294"/>
      <c r="K1598" s="295"/>
      <c r="L1598" s="72"/>
      <c r="M1598" s="133"/>
      <c r="N1598" s="72"/>
      <c r="O1598" s="224"/>
      <c r="P1598" s="219"/>
      <c r="Q1598" s="84"/>
      <c r="S1598" s="136"/>
      <c r="T1598" s="136"/>
      <c r="V1598" s="136"/>
    </row>
    <row r="1599" spans="1:22">
      <c r="A1599" s="71" t="s">
        <v>8918</v>
      </c>
      <c r="B1599" s="67" t="s">
        <v>8919</v>
      </c>
      <c r="C1599" s="71" t="s">
        <v>103</v>
      </c>
      <c r="D1599" s="78">
        <v>290.74</v>
      </c>
      <c r="E1599" s="663">
        <v>2</v>
      </c>
      <c r="H1599" s="178">
        <v>290.74</v>
      </c>
      <c r="J1599" s="294"/>
      <c r="K1599" s="295"/>
      <c r="L1599" s="72"/>
      <c r="M1599" s="133"/>
      <c r="N1599" s="72"/>
      <c r="O1599" s="224"/>
      <c r="P1599" s="219"/>
      <c r="Q1599" s="84"/>
      <c r="S1599" s="136"/>
      <c r="T1599" s="136"/>
      <c r="V1599" s="136"/>
    </row>
    <row r="1600" spans="1:22">
      <c r="A1600" s="71" t="s">
        <v>8920</v>
      </c>
      <c r="B1600" s="67" t="s">
        <v>8921</v>
      </c>
      <c r="C1600" s="71" t="s">
        <v>103</v>
      </c>
      <c r="D1600" s="78">
        <v>402.72</v>
      </c>
      <c r="E1600" s="663">
        <v>2</v>
      </c>
      <c r="H1600" s="178">
        <v>402.72</v>
      </c>
      <c r="J1600" s="294"/>
      <c r="K1600" s="295"/>
      <c r="L1600" s="72"/>
      <c r="M1600" s="133"/>
      <c r="N1600" s="72"/>
      <c r="O1600" s="224"/>
      <c r="P1600" s="219"/>
      <c r="Q1600" s="84"/>
      <c r="S1600" s="136"/>
      <c r="T1600" s="136"/>
      <c r="V1600" s="136"/>
    </row>
    <row r="1601" spans="1:22">
      <c r="A1601" s="71" t="s">
        <v>8922</v>
      </c>
      <c r="B1601" s="67" t="s">
        <v>8923</v>
      </c>
      <c r="C1601" s="71" t="s">
        <v>103</v>
      </c>
      <c r="D1601" s="78">
        <v>4.97</v>
      </c>
      <c r="E1601" s="663">
        <v>2</v>
      </c>
      <c r="H1601" s="179">
        <v>4.97</v>
      </c>
      <c r="J1601" s="294"/>
      <c r="K1601" s="295"/>
      <c r="L1601" s="72"/>
      <c r="M1601" s="133"/>
      <c r="N1601" s="72"/>
      <c r="O1601" s="224"/>
      <c r="P1601" s="219"/>
      <c r="Q1601" s="84"/>
      <c r="S1601" s="137"/>
      <c r="T1601" s="137"/>
    </row>
    <row r="1602" spans="1:22">
      <c r="A1602" s="212" t="s">
        <v>8924</v>
      </c>
      <c r="B1602" s="216" t="s">
        <v>8925</v>
      </c>
      <c r="C1602" s="212" t="s">
        <v>103</v>
      </c>
      <c r="D1602" s="78">
        <v>270.73</v>
      </c>
      <c r="E1602" s="663">
        <v>2</v>
      </c>
      <c r="H1602" s="178">
        <v>270.73</v>
      </c>
      <c r="J1602" s="294"/>
      <c r="K1602" s="295"/>
      <c r="L1602" s="298"/>
      <c r="M1602" s="299"/>
      <c r="N1602" s="298"/>
      <c r="O1602" s="224"/>
      <c r="P1602" s="219"/>
      <c r="Q1602" s="84"/>
      <c r="S1602" s="136"/>
      <c r="T1602" s="136"/>
      <c r="V1602" s="136"/>
    </row>
    <row r="1603" spans="1:22">
      <c r="A1603" s="212" t="s">
        <v>8926</v>
      </c>
      <c r="B1603" s="216" t="s">
        <v>8927</v>
      </c>
      <c r="C1603" s="212" t="s">
        <v>103</v>
      </c>
      <c r="D1603" s="78">
        <v>14.64</v>
      </c>
      <c r="E1603" s="663">
        <v>2</v>
      </c>
      <c r="H1603" s="178">
        <v>14.64</v>
      </c>
      <c r="J1603" s="294"/>
      <c r="K1603" s="295"/>
      <c r="L1603" s="298"/>
      <c r="M1603" s="299"/>
      <c r="N1603" s="298"/>
      <c r="O1603" s="224"/>
      <c r="P1603" s="219"/>
      <c r="Q1603" s="84"/>
      <c r="S1603" s="136"/>
      <c r="T1603" s="136"/>
      <c r="V1603" s="136"/>
    </row>
    <row r="1604" spans="1:22">
      <c r="A1604" s="71" t="s">
        <v>8928</v>
      </c>
      <c r="B1604" s="67" t="s">
        <v>8929</v>
      </c>
      <c r="C1604" s="71" t="s">
        <v>103</v>
      </c>
      <c r="D1604" s="78">
        <v>120.53</v>
      </c>
      <c r="E1604" s="663">
        <v>2</v>
      </c>
      <c r="H1604" s="179">
        <v>120.53</v>
      </c>
      <c r="J1604" s="294"/>
      <c r="K1604" s="295"/>
      <c r="L1604" s="72"/>
      <c r="M1604" s="133"/>
      <c r="N1604" s="72"/>
      <c r="O1604" s="224"/>
      <c r="P1604" s="219"/>
      <c r="Q1604" s="84"/>
      <c r="S1604" s="137"/>
      <c r="T1604" s="137"/>
      <c r="V1604" s="137"/>
    </row>
    <row r="1605" spans="1:22">
      <c r="A1605" s="71" t="s">
        <v>8930</v>
      </c>
      <c r="B1605" s="67" t="s">
        <v>8931</v>
      </c>
      <c r="C1605" s="71" t="s">
        <v>103</v>
      </c>
      <c r="D1605" s="78">
        <v>160.81</v>
      </c>
      <c r="E1605" s="663">
        <v>2</v>
      </c>
      <c r="H1605" s="179">
        <v>160.81</v>
      </c>
      <c r="J1605" s="294"/>
      <c r="K1605" s="295"/>
      <c r="L1605" s="72"/>
      <c r="M1605" s="133"/>
      <c r="N1605" s="72"/>
      <c r="O1605" s="224"/>
      <c r="P1605" s="219"/>
      <c r="Q1605" s="84"/>
      <c r="S1605" s="137"/>
      <c r="T1605" s="137"/>
      <c r="V1605" s="137"/>
    </row>
    <row r="1606" spans="1:22">
      <c r="A1606" s="71" t="s">
        <v>8932</v>
      </c>
      <c r="B1606" s="67" t="s">
        <v>8933</v>
      </c>
      <c r="C1606" s="71" t="s">
        <v>103</v>
      </c>
      <c r="D1606" s="78">
        <v>341.93</v>
      </c>
      <c r="E1606" s="663">
        <v>2</v>
      </c>
      <c r="H1606" s="178">
        <v>341.93</v>
      </c>
      <c r="J1606" s="294"/>
      <c r="K1606" s="295"/>
      <c r="L1606" s="72"/>
      <c r="M1606" s="133"/>
      <c r="N1606" s="72"/>
      <c r="O1606" s="224"/>
      <c r="P1606" s="219"/>
      <c r="Q1606" s="84"/>
      <c r="S1606" s="136"/>
      <c r="T1606" s="136"/>
      <c r="V1606" s="136"/>
    </row>
    <row r="1607" spans="1:22">
      <c r="A1607" s="71" t="s">
        <v>8934</v>
      </c>
      <c r="B1607" s="67" t="s">
        <v>8935</v>
      </c>
      <c r="C1607" s="71" t="s">
        <v>103</v>
      </c>
      <c r="D1607" s="78">
        <v>305.35000000000002</v>
      </c>
      <c r="E1607" s="663">
        <v>2</v>
      </c>
      <c r="H1607" s="178">
        <v>305.35000000000002</v>
      </c>
      <c r="J1607" s="294"/>
      <c r="K1607" s="295"/>
      <c r="L1607" s="72"/>
      <c r="M1607" s="133"/>
      <c r="N1607" s="72"/>
      <c r="O1607" s="224"/>
      <c r="P1607" s="219"/>
      <c r="Q1607" s="84"/>
      <c r="S1607" s="136"/>
      <c r="T1607" s="136"/>
      <c r="V1607" s="136"/>
    </row>
    <row r="1608" spans="1:22">
      <c r="A1608" s="71" t="s">
        <v>8936</v>
      </c>
      <c r="B1608" s="67" t="s">
        <v>8937</v>
      </c>
      <c r="C1608" s="71" t="s">
        <v>103</v>
      </c>
      <c r="D1608" s="78">
        <v>330.51</v>
      </c>
      <c r="E1608" s="663">
        <v>2</v>
      </c>
      <c r="H1608" s="178">
        <v>330.51</v>
      </c>
      <c r="J1608" s="294"/>
      <c r="K1608" s="295"/>
      <c r="L1608" s="72"/>
      <c r="M1608" s="133"/>
      <c r="N1608" s="72"/>
      <c r="O1608" s="224"/>
      <c r="P1608" s="219"/>
      <c r="Q1608" s="84"/>
      <c r="S1608" s="136"/>
      <c r="T1608" s="136"/>
      <c r="V1608" s="136"/>
    </row>
    <row r="1609" spans="1:22">
      <c r="A1609" s="71" t="s">
        <v>8938</v>
      </c>
      <c r="B1609" s="67" t="s">
        <v>32910</v>
      </c>
      <c r="C1609" s="71" t="s">
        <v>103</v>
      </c>
      <c r="D1609" s="78">
        <v>100.75</v>
      </c>
      <c r="E1609" s="663">
        <v>2</v>
      </c>
      <c r="H1609" s="179">
        <v>100.75</v>
      </c>
      <c r="J1609" s="294"/>
      <c r="K1609" s="295"/>
      <c r="L1609" s="72"/>
      <c r="M1609" s="133"/>
      <c r="N1609" s="72"/>
      <c r="O1609" s="224"/>
      <c r="P1609" s="219"/>
      <c r="Q1609" s="84"/>
      <c r="S1609" s="137"/>
      <c r="T1609" s="137"/>
      <c r="V1609" s="137"/>
    </row>
    <row r="1610" spans="1:22">
      <c r="A1610" s="71" t="s">
        <v>8939</v>
      </c>
      <c r="B1610" s="67" t="s">
        <v>32909</v>
      </c>
      <c r="C1610" s="71" t="s">
        <v>103</v>
      </c>
      <c r="D1610" s="78">
        <v>92.03</v>
      </c>
      <c r="E1610" s="663">
        <v>2</v>
      </c>
      <c r="H1610" s="179">
        <v>92.03</v>
      </c>
      <c r="J1610" s="294"/>
      <c r="K1610" s="295"/>
      <c r="L1610" s="72"/>
      <c r="M1610" s="133"/>
      <c r="N1610" s="72"/>
      <c r="O1610" s="224"/>
      <c r="P1610" s="219"/>
      <c r="Q1610" s="84"/>
      <c r="S1610" s="137"/>
      <c r="T1610" s="137"/>
      <c r="V1610" s="137"/>
    </row>
    <row r="1611" spans="1:22">
      <c r="A1611" s="71" t="s">
        <v>8940</v>
      </c>
      <c r="B1611" s="67" t="s">
        <v>8941</v>
      </c>
      <c r="C1611" s="71" t="s">
        <v>103</v>
      </c>
      <c r="D1611" s="78">
        <v>126.12</v>
      </c>
      <c r="E1611" s="663">
        <v>2</v>
      </c>
      <c r="H1611" s="179">
        <v>126.12</v>
      </c>
      <c r="J1611" s="97"/>
      <c r="K1611" s="295"/>
      <c r="L1611" s="72"/>
      <c r="M1611" s="133"/>
      <c r="N1611" s="72"/>
      <c r="O1611" s="224"/>
      <c r="P1611" s="219"/>
      <c r="Q1611" s="84"/>
      <c r="S1611" s="137"/>
      <c r="T1611" s="137"/>
      <c r="V1611" s="137"/>
    </row>
    <row r="1612" spans="1:22">
      <c r="A1612" s="71" t="s">
        <v>8942</v>
      </c>
      <c r="B1612" s="67" t="s">
        <v>8943</v>
      </c>
      <c r="C1612" s="71" t="s">
        <v>103</v>
      </c>
      <c r="D1612" s="78">
        <v>141.34</v>
      </c>
      <c r="E1612" s="663">
        <v>2</v>
      </c>
      <c r="H1612" s="179">
        <v>141.34</v>
      </c>
      <c r="J1612" s="294"/>
      <c r="K1612" s="295"/>
      <c r="L1612" s="72"/>
      <c r="M1612" s="133"/>
      <c r="N1612" s="72"/>
      <c r="O1612" s="224"/>
      <c r="P1612" s="219"/>
      <c r="Q1612" s="84"/>
      <c r="S1612" s="137"/>
      <c r="T1612" s="137"/>
      <c r="V1612" s="137"/>
    </row>
    <row r="1613" spans="1:22">
      <c r="A1613" s="71" t="s">
        <v>8944</v>
      </c>
      <c r="B1613" s="67" t="s">
        <v>8945</v>
      </c>
      <c r="C1613" s="71" t="s">
        <v>103</v>
      </c>
      <c r="D1613" s="78">
        <v>54.4</v>
      </c>
      <c r="E1613" s="663">
        <v>2</v>
      </c>
      <c r="H1613" s="179">
        <v>54.4</v>
      </c>
      <c r="J1613" s="294"/>
      <c r="K1613" s="295"/>
      <c r="L1613" s="72"/>
      <c r="M1613" s="133"/>
      <c r="N1613" s="72"/>
      <c r="O1613" s="224"/>
      <c r="P1613" s="219"/>
      <c r="Q1613" s="84"/>
      <c r="S1613" s="137"/>
      <c r="T1613" s="137"/>
    </row>
    <row r="1614" spans="1:22">
      <c r="A1614" s="71" t="s">
        <v>8946</v>
      </c>
      <c r="B1614" s="67" t="s">
        <v>8947</v>
      </c>
      <c r="C1614" s="71" t="s">
        <v>103</v>
      </c>
      <c r="D1614" s="78">
        <v>137.6</v>
      </c>
      <c r="E1614" s="663">
        <v>2</v>
      </c>
      <c r="H1614" s="179">
        <v>137.6</v>
      </c>
      <c r="J1614" s="294"/>
      <c r="K1614" s="295"/>
      <c r="L1614" s="72"/>
      <c r="M1614" s="133"/>
      <c r="N1614" s="72"/>
      <c r="O1614" s="224"/>
      <c r="P1614" s="219"/>
      <c r="Q1614" s="84"/>
      <c r="S1614" s="137"/>
      <c r="T1614" s="137"/>
      <c r="V1614" s="137"/>
    </row>
    <row r="1615" spans="1:22">
      <c r="A1615" s="71" t="s">
        <v>8948</v>
      </c>
      <c r="B1615" s="67" t="s">
        <v>8949</v>
      </c>
      <c r="C1615" s="71" t="s">
        <v>103</v>
      </c>
      <c r="D1615" s="78">
        <v>482.51</v>
      </c>
      <c r="E1615" s="663">
        <v>2</v>
      </c>
      <c r="H1615" s="179">
        <v>482.51</v>
      </c>
      <c r="J1615" s="294"/>
      <c r="K1615" s="295"/>
      <c r="L1615" s="72"/>
      <c r="M1615" s="133"/>
      <c r="N1615" s="72"/>
      <c r="O1615" s="224"/>
      <c r="P1615" s="219"/>
      <c r="Q1615" s="84"/>
      <c r="S1615" s="137"/>
      <c r="T1615" s="137"/>
      <c r="V1615" s="137"/>
    </row>
    <row r="1616" spans="1:22">
      <c r="A1616" s="71" t="s">
        <v>8950</v>
      </c>
      <c r="B1616" s="67" t="s">
        <v>8951</v>
      </c>
      <c r="C1616" s="71" t="s">
        <v>103</v>
      </c>
      <c r="D1616" s="78">
        <v>799.23</v>
      </c>
      <c r="E1616" s="663">
        <v>2</v>
      </c>
      <c r="H1616" s="179">
        <v>799.23</v>
      </c>
      <c r="J1616" s="294"/>
      <c r="K1616" s="295"/>
      <c r="L1616" s="72"/>
      <c r="M1616" s="133"/>
      <c r="N1616" s="72"/>
      <c r="O1616" s="224"/>
      <c r="P1616" s="219"/>
      <c r="Q1616" s="84"/>
      <c r="S1616" s="137"/>
      <c r="T1616" s="137"/>
      <c r="V1616" s="137"/>
    </row>
    <row r="1617" spans="1:22">
      <c r="A1617" s="71" t="s">
        <v>8952</v>
      </c>
      <c r="B1617" s="67" t="s">
        <v>8953</v>
      </c>
      <c r="C1617" s="71" t="s">
        <v>103</v>
      </c>
      <c r="D1617" s="78">
        <v>1844.34</v>
      </c>
      <c r="E1617" s="663">
        <v>2</v>
      </c>
      <c r="H1617" s="179">
        <v>1844.34</v>
      </c>
      <c r="J1617" s="294"/>
      <c r="K1617" s="295"/>
      <c r="L1617" s="72"/>
      <c r="M1617" s="133"/>
      <c r="N1617" s="72"/>
      <c r="O1617" s="224"/>
      <c r="P1617" s="219"/>
      <c r="Q1617" s="84"/>
      <c r="S1617" s="137"/>
      <c r="T1617" s="137"/>
      <c r="V1617" s="137"/>
    </row>
    <row r="1618" spans="1:22">
      <c r="A1618" s="71" t="s">
        <v>8954</v>
      </c>
      <c r="B1618" s="67" t="s">
        <v>8955</v>
      </c>
      <c r="C1618" s="71" t="s">
        <v>103</v>
      </c>
      <c r="D1618" s="78">
        <v>128.72</v>
      </c>
      <c r="E1618" s="663">
        <v>2</v>
      </c>
      <c r="H1618" s="179">
        <v>128.72</v>
      </c>
      <c r="J1618" s="294"/>
      <c r="K1618" s="295"/>
      <c r="L1618" s="72"/>
      <c r="M1618" s="133"/>
      <c r="N1618" s="72"/>
      <c r="O1618" s="224"/>
      <c r="P1618" s="219"/>
      <c r="Q1618" s="84"/>
      <c r="S1618" s="137"/>
      <c r="T1618" s="137"/>
      <c r="V1618" s="137"/>
    </row>
    <row r="1619" spans="1:22">
      <c r="A1619" s="71" t="s">
        <v>8956</v>
      </c>
      <c r="B1619" s="67" t="s">
        <v>8957</v>
      </c>
      <c r="C1619" s="71" t="s">
        <v>103</v>
      </c>
      <c r="D1619" s="78">
        <v>338.37</v>
      </c>
      <c r="E1619" s="663">
        <v>2</v>
      </c>
      <c r="H1619" s="178">
        <v>338.37</v>
      </c>
      <c r="J1619" s="97"/>
      <c r="K1619" s="295"/>
      <c r="L1619" s="72"/>
      <c r="M1619" s="133"/>
      <c r="N1619" s="72"/>
      <c r="O1619" s="224"/>
      <c r="P1619" s="219"/>
      <c r="Q1619" s="84"/>
      <c r="S1619" s="136"/>
      <c r="T1619" s="136"/>
      <c r="V1619" s="136"/>
    </row>
    <row r="1620" spans="1:22">
      <c r="A1620" s="71" t="s">
        <v>8958</v>
      </c>
      <c r="B1620" s="67" t="s">
        <v>8959</v>
      </c>
      <c r="C1620" s="71" t="s">
        <v>103</v>
      </c>
      <c r="D1620" s="78">
        <v>105.21</v>
      </c>
      <c r="E1620" s="663">
        <v>2</v>
      </c>
      <c r="H1620" s="178">
        <v>105.21</v>
      </c>
      <c r="J1620" s="97"/>
      <c r="K1620" s="295"/>
      <c r="L1620" s="72"/>
      <c r="M1620" s="133"/>
      <c r="N1620" s="72"/>
      <c r="O1620" s="224"/>
      <c r="P1620" s="219"/>
      <c r="Q1620" s="84"/>
      <c r="S1620" s="136"/>
      <c r="T1620" s="136"/>
      <c r="V1620" s="136"/>
    </row>
    <row r="1621" spans="1:22">
      <c r="A1621" s="71" t="s">
        <v>8960</v>
      </c>
      <c r="B1621" s="67" t="s">
        <v>8961</v>
      </c>
      <c r="C1621" s="71" t="s">
        <v>103</v>
      </c>
      <c r="D1621" s="78">
        <v>526.89</v>
      </c>
      <c r="E1621" s="663">
        <v>2</v>
      </c>
      <c r="H1621" s="178">
        <v>526.89</v>
      </c>
      <c r="J1621" s="97"/>
      <c r="K1621" s="295"/>
      <c r="L1621" s="72"/>
      <c r="M1621" s="133"/>
      <c r="N1621" s="72"/>
      <c r="O1621" s="224"/>
      <c r="P1621" s="219"/>
      <c r="Q1621" s="84"/>
      <c r="S1621" s="136"/>
      <c r="T1621" s="136"/>
      <c r="V1621" s="136"/>
    </row>
    <row r="1622" spans="1:22">
      <c r="A1622" s="71" t="s">
        <v>8962</v>
      </c>
      <c r="B1622" s="67" t="s">
        <v>8963</v>
      </c>
      <c r="C1622" s="71" t="s">
        <v>103</v>
      </c>
      <c r="D1622" s="78">
        <v>245.23</v>
      </c>
      <c r="E1622" s="663">
        <v>2</v>
      </c>
      <c r="H1622" s="179">
        <v>245.23</v>
      </c>
      <c r="J1622" s="294"/>
      <c r="K1622" s="295"/>
      <c r="L1622" s="72"/>
      <c r="M1622" s="133"/>
      <c r="N1622" s="72"/>
      <c r="O1622" s="224"/>
      <c r="P1622" s="219"/>
      <c r="Q1622" s="84"/>
      <c r="S1622" s="137"/>
      <c r="T1622" s="137"/>
      <c r="V1622" s="137"/>
    </row>
    <row r="1623" spans="1:22">
      <c r="A1623" s="71" t="s">
        <v>8964</v>
      </c>
      <c r="B1623" s="67" t="s">
        <v>8965</v>
      </c>
      <c r="C1623" s="71" t="s">
        <v>103</v>
      </c>
      <c r="D1623" s="78">
        <v>562.92999999999995</v>
      </c>
      <c r="E1623" s="663">
        <v>2</v>
      </c>
      <c r="H1623" s="179">
        <v>562.92999999999995</v>
      </c>
      <c r="J1623" s="294"/>
      <c r="K1623" s="295"/>
      <c r="L1623" s="72"/>
      <c r="M1623" s="133"/>
      <c r="N1623" s="72"/>
      <c r="O1623" s="224"/>
      <c r="P1623" s="219"/>
      <c r="Q1623" s="84"/>
      <c r="S1623" s="137"/>
      <c r="T1623" s="137"/>
      <c r="V1623" s="137"/>
    </row>
    <row r="1624" spans="1:22">
      <c r="A1624" s="71" t="s">
        <v>8966</v>
      </c>
      <c r="B1624" s="67" t="s">
        <v>8967</v>
      </c>
      <c r="C1624" s="71" t="s">
        <v>396</v>
      </c>
      <c r="D1624" s="78">
        <v>91.76</v>
      </c>
      <c r="E1624" s="663">
        <v>2</v>
      </c>
      <c r="H1624" s="179">
        <v>91.76</v>
      </c>
      <c r="J1624" s="294"/>
      <c r="K1624" s="295"/>
      <c r="L1624" s="72"/>
      <c r="M1624" s="133"/>
      <c r="N1624" s="72"/>
      <c r="O1624" s="224"/>
      <c r="P1624" s="219"/>
      <c r="Q1624" s="84"/>
      <c r="S1624" s="137"/>
      <c r="T1624" s="137"/>
      <c r="V1624" s="137"/>
    </row>
    <row r="1625" spans="1:22">
      <c r="A1625" s="71" t="s">
        <v>8968</v>
      </c>
      <c r="B1625" s="67" t="s">
        <v>8969</v>
      </c>
      <c r="C1625" s="71" t="s">
        <v>103</v>
      </c>
      <c r="D1625" s="78">
        <v>466.13</v>
      </c>
      <c r="E1625" s="663">
        <v>2</v>
      </c>
      <c r="H1625" s="179">
        <v>466.13</v>
      </c>
      <c r="J1625" s="294"/>
      <c r="K1625" s="295"/>
      <c r="L1625" s="72"/>
      <c r="M1625" s="133"/>
      <c r="N1625" s="72"/>
      <c r="O1625" s="224"/>
      <c r="P1625" s="219"/>
      <c r="Q1625" s="84"/>
      <c r="S1625" s="137"/>
      <c r="T1625" s="137"/>
      <c r="V1625" s="137"/>
    </row>
    <row r="1626" spans="1:22">
      <c r="A1626" s="71" t="s">
        <v>8970</v>
      </c>
      <c r="B1626" s="67" t="s">
        <v>8971</v>
      </c>
      <c r="C1626" s="71" t="s">
        <v>103</v>
      </c>
      <c r="D1626" s="78">
        <v>441.7</v>
      </c>
      <c r="E1626" s="663">
        <v>2</v>
      </c>
      <c r="H1626" s="179">
        <v>441.7</v>
      </c>
      <c r="J1626" s="294"/>
      <c r="K1626" s="295"/>
      <c r="L1626" s="72"/>
      <c r="M1626" s="133"/>
      <c r="N1626" s="72"/>
      <c r="O1626" s="224"/>
      <c r="P1626" s="219"/>
      <c r="Q1626" s="84"/>
      <c r="S1626" s="137"/>
      <c r="T1626" s="137"/>
      <c r="V1626" s="137"/>
    </row>
    <row r="1627" spans="1:22">
      <c r="A1627" s="71" t="s">
        <v>8972</v>
      </c>
      <c r="B1627" s="67" t="s">
        <v>8973</v>
      </c>
      <c r="C1627" s="71" t="s">
        <v>103</v>
      </c>
      <c r="D1627" s="78">
        <v>3.74</v>
      </c>
      <c r="E1627" s="663">
        <v>2</v>
      </c>
      <c r="H1627" s="179">
        <v>3.74</v>
      </c>
      <c r="J1627" s="294"/>
      <c r="K1627" s="295"/>
      <c r="L1627" s="72"/>
      <c r="M1627" s="133"/>
      <c r="N1627" s="72"/>
      <c r="O1627" s="224"/>
      <c r="P1627" s="219"/>
      <c r="Q1627" s="84"/>
      <c r="S1627" s="137"/>
      <c r="T1627" s="137"/>
    </row>
    <row r="1628" spans="1:22">
      <c r="A1628" s="71" t="s">
        <v>8974</v>
      </c>
      <c r="B1628" s="67" t="s">
        <v>8975</v>
      </c>
      <c r="C1628" s="71" t="s">
        <v>103</v>
      </c>
      <c r="D1628" s="78">
        <v>0.67</v>
      </c>
      <c r="E1628" s="663">
        <v>2</v>
      </c>
      <c r="H1628" s="179">
        <v>0.67</v>
      </c>
      <c r="J1628" s="294"/>
      <c r="K1628" s="295"/>
      <c r="L1628" s="72"/>
      <c r="M1628" s="133"/>
      <c r="N1628" s="72"/>
      <c r="O1628" s="224"/>
      <c r="P1628" s="219"/>
      <c r="Q1628" s="84"/>
      <c r="S1628" s="137"/>
      <c r="T1628" s="137"/>
      <c r="V1628" s="137"/>
    </row>
    <row r="1629" spans="1:22">
      <c r="A1629" s="71" t="s">
        <v>8976</v>
      </c>
      <c r="B1629" s="67" t="s">
        <v>8977</v>
      </c>
      <c r="C1629" s="71" t="s">
        <v>103</v>
      </c>
      <c r="D1629" s="78">
        <v>466.13</v>
      </c>
      <c r="E1629" s="663">
        <v>2</v>
      </c>
      <c r="H1629" s="179">
        <v>466.13</v>
      </c>
      <c r="J1629" s="294"/>
      <c r="K1629" s="295"/>
      <c r="L1629" s="72"/>
      <c r="M1629" s="133"/>
      <c r="N1629" s="72"/>
      <c r="O1629" s="224"/>
      <c r="P1629" s="219"/>
      <c r="Q1629" s="84"/>
      <c r="S1629" s="137"/>
      <c r="T1629" s="137"/>
      <c r="V1629" s="137"/>
    </row>
    <row r="1630" spans="1:22">
      <c r="A1630" s="71" t="s">
        <v>8978</v>
      </c>
      <c r="B1630" s="67" t="s">
        <v>8979</v>
      </c>
      <c r="C1630" s="71" t="s">
        <v>103</v>
      </c>
      <c r="D1630" s="78">
        <v>1276.45</v>
      </c>
      <c r="E1630" s="663">
        <v>2</v>
      </c>
      <c r="H1630" s="179">
        <v>1276.45</v>
      </c>
      <c r="J1630" s="294"/>
      <c r="K1630" s="295"/>
      <c r="L1630" s="72"/>
      <c r="M1630" s="133"/>
      <c r="N1630" s="72"/>
      <c r="O1630" s="224"/>
      <c r="P1630" s="219"/>
      <c r="Q1630" s="84"/>
      <c r="S1630" s="137"/>
      <c r="T1630" s="137"/>
      <c r="V1630" s="137"/>
    </row>
    <row r="1631" spans="1:22">
      <c r="A1631" s="71" t="s">
        <v>8980</v>
      </c>
      <c r="B1631" s="67" t="s">
        <v>8981</v>
      </c>
      <c r="C1631" s="71" t="s">
        <v>103</v>
      </c>
      <c r="D1631" s="78">
        <v>85.56</v>
      </c>
      <c r="E1631" s="663">
        <v>2</v>
      </c>
      <c r="H1631" s="179">
        <v>85.56</v>
      </c>
      <c r="J1631" s="294"/>
      <c r="K1631" s="295"/>
      <c r="L1631" s="72"/>
      <c r="M1631" s="133"/>
      <c r="N1631" s="72"/>
      <c r="O1631" s="224"/>
      <c r="P1631" s="219"/>
      <c r="Q1631" s="84"/>
      <c r="S1631" s="137"/>
      <c r="T1631" s="137"/>
    </row>
    <row r="1632" spans="1:22">
      <c r="A1632" s="71" t="s">
        <v>8982</v>
      </c>
      <c r="B1632" s="67" t="s">
        <v>8983</v>
      </c>
      <c r="C1632" s="71" t="s">
        <v>103</v>
      </c>
      <c r="D1632" s="78">
        <v>436.07</v>
      </c>
      <c r="E1632" s="663">
        <v>2</v>
      </c>
      <c r="H1632" s="179">
        <v>436.07</v>
      </c>
      <c r="J1632" s="97"/>
      <c r="K1632" s="295"/>
      <c r="L1632" s="72"/>
      <c r="M1632" s="133"/>
      <c r="N1632" s="72"/>
      <c r="O1632" s="224"/>
      <c r="P1632" s="219"/>
      <c r="Q1632" s="84"/>
      <c r="S1632" s="137"/>
      <c r="T1632" s="137"/>
      <c r="V1632" s="137"/>
    </row>
    <row r="1633" spans="1:22">
      <c r="A1633" s="71" t="s">
        <v>8984</v>
      </c>
      <c r="B1633" s="67" t="s">
        <v>8985</v>
      </c>
      <c r="C1633" s="71" t="s">
        <v>103</v>
      </c>
      <c r="D1633" s="78">
        <v>201.86</v>
      </c>
      <c r="E1633" s="663">
        <v>2</v>
      </c>
      <c r="H1633" s="179">
        <v>201.86</v>
      </c>
      <c r="J1633" s="294"/>
      <c r="K1633" s="295"/>
      <c r="L1633" s="72"/>
      <c r="M1633" s="133"/>
      <c r="N1633" s="72"/>
      <c r="O1633" s="224"/>
      <c r="P1633" s="219"/>
      <c r="Q1633" s="84"/>
      <c r="S1633" s="137"/>
      <c r="T1633" s="137"/>
      <c r="V1633" s="137"/>
    </row>
    <row r="1634" spans="1:22">
      <c r="A1634" s="71" t="s">
        <v>8986</v>
      </c>
      <c r="B1634" s="67" t="s">
        <v>32903</v>
      </c>
      <c r="C1634" s="71" t="s">
        <v>103</v>
      </c>
      <c r="D1634" s="78">
        <v>148.36000000000001</v>
      </c>
      <c r="E1634" s="663">
        <v>2</v>
      </c>
      <c r="H1634" s="179">
        <v>148.36000000000001</v>
      </c>
      <c r="J1634" s="294"/>
      <c r="K1634" s="295"/>
      <c r="L1634" s="72"/>
      <c r="M1634" s="133"/>
      <c r="N1634" s="72"/>
      <c r="O1634" s="224"/>
      <c r="P1634" s="219"/>
      <c r="Q1634" s="84"/>
      <c r="S1634" s="137"/>
      <c r="T1634" s="137"/>
      <c r="V1634" s="137"/>
    </row>
    <row r="1635" spans="1:22">
      <c r="A1635" s="71" t="s">
        <v>8987</v>
      </c>
      <c r="B1635" s="67" t="s">
        <v>32913</v>
      </c>
      <c r="C1635" s="71" t="s">
        <v>103</v>
      </c>
      <c r="D1635" s="78">
        <v>292.02999999999997</v>
      </c>
      <c r="E1635" s="663">
        <v>2</v>
      </c>
      <c r="H1635" s="179">
        <v>292.02999999999997</v>
      </c>
      <c r="J1635" s="294"/>
      <c r="K1635" s="295"/>
      <c r="L1635" s="72"/>
      <c r="M1635" s="133"/>
      <c r="N1635" s="72"/>
      <c r="O1635" s="224"/>
      <c r="P1635" s="219"/>
      <c r="Q1635" s="84"/>
      <c r="S1635" s="137"/>
      <c r="T1635" s="137"/>
      <c r="V1635" s="137"/>
    </row>
    <row r="1636" spans="1:22">
      <c r="A1636" s="71" t="s">
        <v>8988</v>
      </c>
      <c r="B1636" s="67" t="s">
        <v>32904</v>
      </c>
      <c r="C1636" s="71" t="s">
        <v>103</v>
      </c>
      <c r="D1636" s="78">
        <v>166.67</v>
      </c>
      <c r="E1636" s="663">
        <v>2</v>
      </c>
      <c r="H1636" s="179">
        <v>166.67</v>
      </c>
      <c r="J1636" s="294"/>
      <c r="K1636" s="295"/>
      <c r="L1636" s="72"/>
      <c r="M1636" s="133"/>
      <c r="N1636" s="72"/>
      <c r="O1636" s="224"/>
      <c r="P1636" s="219"/>
      <c r="Q1636" s="84"/>
      <c r="S1636" s="137"/>
      <c r="T1636" s="137"/>
      <c r="V1636" s="137"/>
    </row>
    <row r="1637" spans="1:22">
      <c r="A1637" s="71" t="s">
        <v>8989</v>
      </c>
      <c r="B1637" s="67" t="s">
        <v>32906</v>
      </c>
      <c r="C1637" s="71" t="s">
        <v>103</v>
      </c>
      <c r="D1637" s="78">
        <v>117.98</v>
      </c>
      <c r="E1637" s="663">
        <v>2</v>
      </c>
      <c r="H1637" s="179">
        <v>117.98</v>
      </c>
      <c r="J1637" s="294"/>
      <c r="K1637" s="295"/>
      <c r="L1637" s="72"/>
      <c r="M1637" s="133"/>
      <c r="N1637" s="72"/>
      <c r="O1637" s="224"/>
      <c r="P1637" s="219"/>
      <c r="Q1637" s="84"/>
      <c r="S1637" s="137"/>
      <c r="T1637" s="137"/>
      <c r="V1637" s="137"/>
    </row>
    <row r="1638" spans="1:22">
      <c r="A1638" s="71" t="s">
        <v>8990</v>
      </c>
      <c r="B1638" s="67" t="s">
        <v>32907</v>
      </c>
      <c r="C1638" s="71" t="s">
        <v>103</v>
      </c>
      <c r="D1638" s="78">
        <v>132.66999999999999</v>
      </c>
      <c r="E1638" s="663">
        <v>2</v>
      </c>
      <c r="H1638" s="179">
        <v>132.66999999999999</v>
      </c>
      <c r="J1638" s="294"/>
      <c r="K1638" s="295"/>
      <c r="L1638" s="72"/>
      <c r="M1638" s="133"/>
      <c r="N1638" s="72"/>
      <c r="O1638" s="224"/>
      <c r="P1638" s="219"/>
      <c r="Q1638" s="84"/>
      <c r="S1638" s="137"/>
      <c r="T1638" s="137"/>
      <c r="V1638" s="137"/>
    </row>
    <row r="1639" spans="1:22">
      <c r="A1639" s="71" t="s">
        <v>8991</v>
      </c>
      <c r="B1639" s="67" t="s">
        <v>32901</v>
      </c>
      <c r="C1639" s="71" t="s">
        <v>103</v>
      </c>
      <c r="D1639" s="78">
        <v>120.46</v>
      </c>
      <c r="E1639" s="663">
        <v>2</v>
      </c>
      <c r="H1639" s="179">
        <v>120.46</v>
      </c>
      <c r="J1639" s="294"/>
      <c r="K1639" s="295"/>
      <c r="L1639" s="72"/>
      <c r="M1639" s="133"/>
      <c r="N1639" s="72"/>
      <c r="O1639" s="224"/>
      <c r="P1639" s="219"/>
      <c r="Q1639" s="84"/>
      <c r="S1639" s="137"/>
      <c r="T1639" s="137"/>
      <c r="V1639" s="137"/>
    </row>
    <row r="1640" spans="1:22">
      <c r="A1640" s="71" t="s">
        <v>8992</v>
      </c>
      <c r="B1640" s="67" t="s">
        <v>32902</v>
      </c>
      <c r="C1640" s="71" t="s">
        <v>103</v>
      </c>
      <c r="D1640" s="78">
        <v>169.49</v>
      </c>
      <c r="E1640" s="663">
        <v>2</v>
      </c>
      <c r="H1640" s="179">
        <v>169.49</v>
      </c>
      <c r="J1640" s="294"/>
      <c r="K1640" s="295"/>
      <c r="L1640" s="72"/>
      <c r="M1640" s="133"/>
      <c r="N1640" s="72"/>
      <c r="O1640" s="224"/>
      <c r="P1640" s="219"/>
      <c r="Q1640" s="84"/>
      <c r="S1640" s="137"/>
      <c r="T1640" s="137"/>
      <c r="V1640" s="137"/>
    </row>
    <row r="1641" spans="1:22">
      <c r="A1641" s="71" t="s">
        <v>8993</v>
      </c>
      <c r="B1641" s="67" t="s">
        <v>8994</v>
      </c>
      <c r="C1641" s="71" t="s">
        <v>103</v>
      </c>
      <c r="D1641" s="78">
        <v>74.78</v>
      </c>
      <c r="E1641" s="663">
        <v>2</v>
      </c>
      <c r="H1641" s="179">
        <v>74.78</v>
      </c>
      <c r="J1641" s="294"/>
      <c r="K1641" s="295"/>
      <c r="L1641" s="72"/>
      <c r="M1641" s="133"/>
      <c r="N1641" s="72"/>
      <c r="O1641" s="224"/>
      <c r="P1641" s="219"/>
      <c r="Q1641" s="84"/>
      <c r="S1641" s="137"/>
      <c r="T1641" s="137"/>
      <c r="V1641" s="137"/>
    </row>
    <row r="1642" spans="1:22">
      <c r="A1642" s="71" t="s">
        <v>8995</v>
      </c>
      <c r="B1642" s="67" t="s">
        <v>8996</v>
      </c>
      <c r="C1642" s="71" t="s">
        <v>103</v>
      </c>
      <c r="D1642" s="78">
        <v>86.62</v>
      </c>
      <c r="E1642" s="663">
        <v>2</v>
      </c>
      <c r="H1642" s="179">
        <v>86.62</v>
      </c>
      <c r="J1642" s="294"/>
      <c r="K1642" s="295"/>
      <c r="L1642" s="72"/>
      <c r="M1642" s="133"/>
      <c r="N1642" s="72"/>
      <c r="O1642" s="224"/>
      <c r="P1642" s="219"/>
      <c r="Q1642" s="84"/>
      <c r="S1642" s="137"/>
      <c r="T1642" s="137"/>
      <c r="V1642" s="137"/>
    </row>
    <row r="1643" spans="1:22">
      <c r="A1643" s="71" t="s">
        <v>8997</v>
      </c>
      <c r="B1643" s="67" t="s">
        <v>32911</v>
      </c>
      <c r="C1643" s="71" t="s">
        <v>103</v>
      </c>
      <c r="D1643" s="78">
        <v>156.19</v>
      </c>
      <c r="E1643" s="663">
        <v>2</v>
      </c>
      <c r="H1643" s="179">
        <v>156.19</v>
      </c>
      <c r="J1643" s="294"/>
      <c r="K1643" s="295"/>
      <c r="L1643" s="72"/>
      <c r="M1643" s="133"/>
      <c r="N1643" s="72"/>
      <c r="O1643" s="224"/>
      <c r="P1643" s="219"/>
      <c r="Q1643" s="84"/>
      <c r="S1643" s="137"/>
      <c r="T1643" s="137"/>
      <c r="V1643" s="137"/>
    </row>
    <row r="1644" spans="1:22">
      <c r="A1644" s="71" t="s">
        <v>8998</v>
      </c>
      <c r="B1644" s="67" t="s">
        <v>32912</v>
      </c>
      <c r="C1644" s="71" t="s">
        <v>103</v>
      </c>
      <c r="D1644" s="78">
        <v>156.18</v>
      </c>
      <c r="E1644" s="663">
        <v>2</v>
      </c>
      <c r="H1644" s="179">
        <v>156.18</v>
      </c>
      <c r="J1644" s="294"/>
      <c r="K1644" s="295"/>
      <c r="L1644" s="72"/>
      <c r="M1644" s="133"/>
      <c r="N1644" s="72"/>
      <c r="O1644" s="224"/>
      <c r="P1644" s="219"/>
      <c r="Q1644" s="84"/>
      <c r="S1644" s="137"/>
      <c r="T1644" s="137"/>
      <c r="V1644" s="137"/>
    </row>
    <row r="1645" spans="1:22">
      <c r="A1645" s="71" t="s">
        <v>8999</v>
      </c>
      <c r="B1645" s="67" t="s">
        <v>32916</v>
      </c>
      <c r="C1645" s="71" t="s">
        <v>103</v>
      </c>
      <c r="D1645" s="78">
        <v>86.43</v>
      </c>
      <c r="E1645" s="663">
        <v>2</v>
      </c>
      <c r="H1645" s="179">
        <v>86.43</v>
      </c>
      <c r="J1645" s="294"/>
      <c r="K1645" s="295"/>
      <c r="L1645" s="72"/>
      <c r="M1645" s="133"/>
      <c r="N1645" s="72"/>
      <c r="O1645" s="224"/>
      <c r="P1645" s="219"/>
      <c r="Q1645" s="84"/>
      <c r="S1645" s="137"/>
      <c r="T1645" s="137"/>
      <c r="V1645" s="137"/>
    </row>
    <row r="1646" spans="1:22">
      <c r="A1646" s="71" t="s">
        <v>9000</v>
      </c>
      <c r="B1646" s="67" t="s">
        <v>9001</v>
      </c>
      <c r="C1646" s="71" t="s">
        <v>103</v>
      </c>
      <c r="D1646" s="78">
        <v>189.67</v>
      </c>
      <c r="E1646" s="663">
        <v>2</v>
      </c>
      <c r="H1646" s="179">
        <v>189.67</v>
      </c>
      <c r="J1646" s="294"/>
      <c r="K1646" s="295"/>
      <c r="L1646" s="72"/>
      <c r="M1646" s="133"/>
      <c r="N1646" s="72"/>
      <c r="O1646" s="224"/>
      <c r="P1646" s="219"/>
      <c r="Q1646" s="84"/>
      <c r="S1646" s="137"/>
      <c r="T1646" s="137"/>
      <c r="V1646" s="137"/>
    </row>
    <row r="1647" spans="1:22">
      <c r="A1647" s="71" t="s">
        <v>9002</v>
      </c>
      <c r="B1647" s="67" t="s">
        <v>32915</v>
      </c>
      <c r="C1647" s="71" t="s">
        <v>103</v>
      </c>
      <c r="D1647" s="78">
        <v>95.07</v>
      </c>
      <c r="E1647" s="663">
        <v>2</v>
      </c>
      <c r="H1647" s="179">
        <v>95.07</v>
      </c>
      <c r="J1647" s="294"/>
      <c r="K1647" s="295"/>
      <c r="L1647" s="72"/>
      <c r="M1647" s="133"/>
      <c r="N1647" s="72"/>
      <c r="O1647" s="224"/>
      <c r="P1647" s="219"/>
      <c r="Q1647" s="84"/>
      <c r="S1647" s="137"/>
      <c r="T1647" s="137"/>
      <c r="V1647" s="137"/>
    </row>
    <row r="1648" spans="1:22">
      <c r="A1648" s="71" t="s">
        <v>9003</v>
      </c>
      <c r="B1648" s="67" t="s">
        <v>32917</v>
      </c>
      <c r="C1648" s="71" t="s">
        <v>103</v>
      </c>
      <c r="D1648" s="78">
        <v>117.43</v>
      </c>
      <c r="E1648" s="663">
        <v>2</v>
      </c>
      <c r="H1648" s="179">
        <v>117.43</v>
      </c>
      <c r="J1648" s="294"/>
      <c r="K1648" s="295"/>
      <c r="L1648" s="72"/>
      <c r="M1648" s="133"/>
      <c r="N1648" s="72"/>
      <c r="O1648" s="224"/>
      <c r="P1648" s="219"/>
      <c r="Q1648" s="84"/>
      <c r="S1648" s="137"/>
      <c r="T1648" s="137"/>
      <c r="V1648" s="137"/>
    </row>
    <row r="1649" spans="1:22">
      <c r="A1649" s="71" t="s">
        <v>9004</v>
      </c>
      <c r="B1649" s="67" t="s">
        <v>32914</v>
      </c>
      <c r="C1649" s="71" t="s">
        <v>103</v>
      </c>
      <c r="D1649" s="78">
        <v>216.93</v>
      </c>
      <c r="E1649" s="663">
        <v>2</v>
      </c>
      <c r="H1649" s="179">
        <v>216.93</v>
      </c>
      <c r="J1649" s="294"/>
      <c r="K1649" s="295"/>
      <c r="L1649" s="72"/>
      <c r="M1649" s="133"/>
      <c r="N1649" s="72"/>
      <c r="O1649" s="224"/>
      <c r="P1649" s="219"/>
      <c r="Q1649" s="84"/>
      <c r="S1649" s="137"/>
      <c r="T1649" s="137"/>
      <c r="V1649" s="137"/>
    </row>
    <row r="1650" spans="1:22">
      <c r="A1650" s="71" t="s">
        <v>9005</v>
      </c>
      <c r="B1650" s="67" t="s">
        <v>32918</v>
      </c>
      <c r="C1650" s="71" t="s">
        <v>103</v>
      </c>
      <c r="D1650" s="78">
        <v>150.43</v>
      </c>
      <c r="E1650" s="663">
        <v>2</v>
      </c>
      <c r="H1650" s="179">
        <v>150.43</v>
      </c>
      <c r="J1650" s="294"/>
      <c r="K1650" s="295"/>
      <c r="L1650" s="72"/>
      <c r="M1650" s="133"/>
      <c r="N1650" s="72"/>
      <c r="O1650" s="224"/>
      <c r="P1650" s="219"/>
      <c r="Q1650" s="84"/>
      <c r="S1650" s="137"/>
      <c r="T1650" s="137"/>
      <c r="V1650" s="137"/>
    </row>
    <row r="1651" spans="1:22">
      <c r="A1651" s="71" t="s">
        <v>9006</v>
      </c>
      <c r="B1651" s="67" t="s">
        <v>32905</v>
      </c>
      <c r="C1651" s="71" t="s">
        <v>103</v>
      </c>
      <c r="D1651" s="78">
        <v>209.36</v>
      </c>
      <c r="E1651" s="663">
        <v>2</v>
      </c>
      <c r="H1651" s="179">
        <v>209.36</v>
      </c>
      <c r="J1651" s="294"/>
      <c r="K1651" s="295"/>
      <c r="L1651" s="72"/>
      <c r="M1651" s="133"/>
      <c r="N1651" s="72"/>
      <c r="O1651" s="224"/>
      <c r="P1651" s="219"/>
      <c r="Q1651" s="84"/>
      <c r="S1651" s="137"/>
      <c r="T1651" s="137"/>
      <c r="V1651" s="137"/>
    </row>
    <row r="1652" spans="1:22">
      <c r="A1652" s="71" t="s">
        <v>9007</v>
      </c>
      <c r="B1652" s="67" t="s">
        <v>40938</v>
      </c>
      <c r="C1652" s="71" t="s">
        <v>103</v>
      </c>
      <c r="D1652" s="78">
        <v>152.04</v>
      </c>
      <c r="E1652" s="663">
        <v>2</v>
      </c>
      <c r="H1652" s="179">
        <v>152.04</v>
      </c>
      <c r="J1652" s="294"/>
      <c r="K1652" s="295"/>
      <c r="L1652" s="72"/>
      <c r="M1652" s="133"/>
      <c r="N1652" s="72"/>
      <c r="O1652" s="224"/>
      <c r="P1652" s="219"/>
      <c r="Q1652" s="84"/>
      <c r="S1652" s="137"/>
      <c r="T1652" s="137"/>
      <c r="V1652" s="137"/>
    </row>
    <row r="1653" spans="1:22">
      <c r="A1653" s="71" t="s">
        <v>9008</v>
      </c>
      <c r="B1653" s="67" t="s">
        <v>32908</v>
      </c>
      <c r="C1653" s="71" t="s">
        <v>103</v>
      </c>
      <c r="D1653" s="78">
        <v>141.80000000000001</v>
      </c>
      <c r="E1653" s="663">
        <v>2</v>
      </c>
      <c r="H1653" s="179">
        <v>141.80000000000001</v>
      </c>
      <c r="J1653" s="294"/>
      <c r="K1653" s="295"/>
      <c r="L1653" s="72"/>
      <c r="M1653" s="133"/>
      <c r="N1653" s="72"/>
      <c r="O1653" s="224"/>
      <c r="P1653" s="219"/>
      <c r="Q1653" s="84"/>
      <c r="S1653" s="137"/>
      <c r="T1653" s="137"/>
      <c r="V1653" s="137"/>
    </row>
    <row r="1654" spans="1:22">
      <c r="A1654" s="71" t="s">
        <v>9009</v>
      </c>
      <c r="B1654" s="67" t="s">
        <v>9010</v>
      </c>
      <c r="C1654" s="71" t="s">
        <v>103</v>
      </c>
      <c r="D1654" s="78">
        <v>15.43</v>
      </c>
      <c r="E1654" s="663">
        <v>2</v>
      </c>
      <c r="H1654" s="179">
        <v>15.43</v>
      </c>
      <c r="J1654" s="294"/>
      <c r="K1654" s="295"/>
      <c r="L1654" s="72"/>
      <c r="M1654" s="133"/>
      <c r="N1654" s="72"/>
      <c r="O1654" s="224"/>
      <c r="P1654" s="219"/>
      <c r="Q1654" s="84"/>
      <c r="S1654" s="137"/>
      <c r="T1654" s="137"/>
      <c r="V1654" s="137"/>
    </row>
    <row r="1655" spans="1:22">
      <c r="A1655" s="71" t="s">
        <v>9011</v>
      </c>
      <c r="B1655" s="67" t="s">
        <v>9012</v>
      </c>
      <c r="C1655" s="71" t="s">
        <v>103</v>
      </c>
      <c r="D1655" s="78">
        <v>261.91000000000003</v>
      </c>
      <c r="E1655" s="663">
        <v>2</v>
      </c>
      <c r="H1655" s="179">
        <v>261.91000000000003</v>
      </c>
      <c r="J1655" s="294"/>
      <c r="K1655" s="295"/>
      <c r="L1655" s="72"/>
      <c r="M1655" s="133"/>
      <c r="N1655" s="72"/>
      <c r="O1655" s="224"/>
      <c r="P1655" s="219"/>
      <c r="Q1655" s="84"/>
      <c r="S1655" s="137"/>
      <c r="T1655" s="137"/>
      <c r="V1655" s="137"/>
    </row>
    <row r="1656" spans="1:22">
      <c r="A1656" s="71" t="s">
        <v>9013</v>
      </c>
      <c r="B1656" s="67" t="s">
        <v>9014</v>
      </c>
      <c r="C1656" s="71" t="s">
        <v>103</v>
      </c>
      <c r="D1656" s="78">
        <v>363.78</v>
      </c>
      <c r="E1656" s="663">
        <v>2</v>
      </c>
      <c r="H1656" s="179">
        <v>363.78</v>
      </c>
      <c r="J1656" s="294"/>
      <c r="K1656" s="295"/>
      <c r="L1656" s="72"/>
      <c r="M1656" s="133"/>
      <c r="N1656" s="72"/>
      <c r="O1656" s="224"/>
      <c r="P1656" s="219"/>
      <c r="Q1656" s="84"/>
      <c r="S1656" s="137"/>
      <c r="T1656" s="137"/>
      <c r="V1656" s="137"/>
    </row>
    <row r="1657" spans="1:22">
      <c r="A1657" s="71" t="s">
        <v>9015</v>
      </c>
      <c r="B1657" s="67" t="s">
        <v>9016</v>
      </c>
      <c r="C1657" s="71" t="s">
        <v>103</v>
      </c>
      <c r="D1657" s="78">
        <v>5.97</v>
      </c>
      <c r="E1657" s="663">
        <v>2</v>
      </c>
      <c r="H1657" s="179">
        <v>5.97</v>
      </c>
      <c r="J1657" s="294"/>
      <c r="K1657" s="295"/>
      <c r="L1657" s="72"/>
      <c r="M1657" s="133"/>
      <c r="N1657" s="72"/>
      <c r="O1657" s="224"/>
      <c r="P1657" s="219"/>
      <c r="Q1657" s="84"/>
      <c r="S1657" s="137"/>
      <c r="T1657" s="137"/>
      <c r="V1657" s="137"/>
    </row>
    <row r="1658" spans="1:22">
      <c r="A1658" s="71" t="s">
        <v>9017</v>
      </c>
      <c r="B1658" s="67" t="s">
        <v>9018</v>
      </c>
      <c r="C1658" s="71" t="s">
        <v>103</v>
      </c>
      <c r="D1658" s="78">
        <v>203.83</v>
      </c>
      <c r="E1658" s="663">
        <v>2</v>
      </c>
      <c r="H1658" s="179">
        <v>203.83</v>
      </c>
      <c r="J1658" s="294"/>
      <c r="K1658" s="295"/>
      <c r="L1658" s="72"/>
      <c r="M1658" s="133"/>
      <c r="N1658" s="72"/>
      <c r="O1658" s="224"/>
      <c r="P1658" s="219"/>
      <c r="Q1658" s="84"/>
      <c r="S1658" s="137"/>
      <c r="T1658" s="137"/>
      <c r="V1658" s="137"/>
    </row>
    <row r="1659" spans="1:22">
      <c r="A1659" s="71" t="s">
        <v>9019</v>
      </c>
      <c r="B1659" s="67" t="s">
        <v>9020</v>
      </c>
      <c r="C1659" s="71" t="s">
        <v>103</v>
      </c>
      <c r="D1659" s="78">
        <v>203.83</v>
      </c>
      <c r="E1659" s="663">
        <v>2</v>
      </c>
      <c r="H1659" s="178">
        <v>203.83</v>
      </c>
      <c r="J1659" s="294"/>
      <c r="K1659" s="295"/>
      <c r="L1659" s="72"/>
      <c r="M1659" s="133"/>
      <c r="N1659" s="72"/>
      <c r="O1659" s="224"/>
      <c r="P1659" s="219"/>
      <c r="Q1659" s="84"/>
      <c r="S1659" s="136"/>
      <c r="T1659" s="136"/>
      <c r="V1659" s="136"/>
    </row>
    <row r="1660" spans="1:22">
      <c r="A1660" s="71" t="s">
        <v>9021</v>
      </c>
      <c r="B1660" s="67" t="s">
        <v>9022</v>
      </c>
      <c r="C1660" s="71" t="s">
        <v>103</v>
      </c>
      <c r="D1660" s="78">
        <v>343.92</v>
      </c>
      <c r="E1660" s="663">
        <v>2</v>
      </c>
      <c r="H1660" s="732">
        <v>343.92</v>
      </c>
      <c r="J1660" s="294"/>
      <c r="K1660" s="295"/>
      <c r="M1660" s="72"/>
      <c r="N1660" s="133"/>
      <c r="O1660" s="72"/>
      <c r="P1660" s="224"/>
      <c r="Q1660" s="219"/>
      <c r="T1660" s="137"/>
      <c r="V1660" s="137"/>
    </row>
    <row r="1661" spans="1:22">
      <c r="A1661" s="71" t="s">
        <v>9023</v>
      </c>
      <c r="B1661" s="67" t="s">
        <v>9024</v>
      </c>
      <c r="C1661" s="71" t="s">
        <v>103</v>
      </c>
      <c r="D1661" s="78">
        <v>1625.05</v>
      </c>
      <c r="E1661" s="663">
        <v>2</v>
      </c>
      <c r="H1661" s="721">
        <v>1625.05</v>
      </c>
      <c r="J1661" s="294"/>
      <c r="K1661" s="295"/>
      <c r="M1661" s="72"/>
      <c r="N1661" s="133"/>
      <c r="O1661" s="72"/>
      <c r="P1661" s="224"/>
      <c r="Q1661" s="219"/>
      <c r="T1661" s="136"/>
      <c r="V1661" s="136"/>
    </row>
    <row r="1662" spans="1:22">
      <c r="A1662" s="71" t="s">
        <v>9025</v>
      </c>
      <c r="B1662" s="67" t="s">
        <v>9026</v>
      </c>
      <c r="C1662" s="71" t="s">
        <v>103</v>
      </c>
      <c r="D1662" s="78">
        <v>24.62</v>
      </c>
      <c r="E1662" s="663">
        <v>2</v>
      </c>
      <c r="H1662" s="179">
        <v>24.62</v>
      </c>
      <c r="J1662" s="294"/>
      <c r="K1662" s="295"/>
      <c r="L1662" s="72"/>
      <c r="M1662" s="133"/>
      <c r="N1662" s="72"/>
      <c r="O1662" s="224"/>
      <c r="P1662" s="219"/>
      <c r="Q1662" s="84"/>
      <c r="S1662" s="137"/>
      <c r="T1662" s="137"/>
      <c r="V1662" s="137"/>
    </row>
    <row r="1663" spans="1:22">
      <c r="A1663" s="71" t="s">
        <v>9027</v>
      </c>
      <c r="B1663" s="67" t="s">
        <v>9028</v>
      </c>
      <c r="C1663" s="71" t="s">
        <v>103</v>
      </c>
      <c r="D1663" s="78">
        <v>30.94</v>
      </c>
      <c r="E1663" s="663">
        <v>2</v>
      </c>
      <c r="H1663" s="178">
        <v>30.94</v>
      </c>
      <c r="J1663" s="294"/>
      <c r="K1663" s="295"/>
      <c r="L1663" s="72"/>
      <c r="M1663" s="133"/>
      <c r="N1663" s="72"/>
      <c r="O1663" s="224"/>
      <c r="P1663" s="219"/>
      <c r="Q1663" s="84"/>
      <c r="S1663" s="136"/>
      <c r="T1663" s="136"/>
      <c r="V1663" s="136"/>
    </row>
    <row r="1664" spans="1:22">
      <c r="A1664" s="71" t="s">
        <v>9029</v>
      </c>
      <c r="B1664" s="67" t="s">
        <v>9030</v>
      </c>
      <c r="C1664" s="71" t="s">
        <v>103</v>
      </c>
      <c r="D1664" s="78">
        <v>17.649999999999999</v>
      </c>
      <c r="E1664" s="663">
        <v>2</v>
      </c>
      <c r="H1664" s="179">
        <v>17.649999999999999</v>
      </c>
      <c r="J1664" s="294"/>
      <c r="K1664" s="295"/>
      <c r="L1664" s="72"/>
      <c r="M1664" s="133"/>
      <c r="N1664" s="72"/>
      <c r="O1664" s="224"/>
      <c r="P1664" s="219"/>
      <c r="Q1664" s="84"/>
      <c r="S1664" s="137"/>
      <c r="T1664" s="137"/>
      <c r="V1664" s="137"/>
    </row>
    <row r="1665" spans="1:22">
      <c r="A1665" s="71" t="s">
        <v>9031</v>
      </c>
      <c r="B1665" s="67" t="s">
        <v>9032</v>
      </c>
      <c r="C1665" s="71" t="s">
        <v>103</v>
      </c>
      <c r="D1665" s="78">
        <v>21.94</v>
      </c>
      <c r="E1665" s="663">
        <v>2</v>
      </c>
      <c r="H1665" s="179">
        <v>21.94</v>
      </c>
      <c r="J1665" s="294"/>
      <c r="K1665" s="295"/>
      <c r="L1665" s="72"/>
      <c r="M1665" s="133"/>
      <c r="N1665" s="72"/>
      <c r="O1665" s="224"/>
      <c r="P1665" s="219"/>
      <c r="Q1665" s="84"/>
      <c r="S1665" s="137"/>
      <c r="T1665" s="137"/>
      <c r="V1665" s="137"/>
    </row>
    <row r="1666" spans="1:22">
      <c r="A1666" s="71" t="s">
        <v>9033</v>
      </c>
      <c r="B1666" s="67" t="s">
        <v>9034</v>
      </c>
      <c r="C1666" s="71" t="s">
        <v>103</v>
      </c>
      <c r="D1666" s="78">
        <v>13.01</v>
      </c>
      <c r="E1666" s="663">
        <v>2</v>
      </c>
      <c r="H1666" s="179">
        <v>13.01</v>
      </c>
      <c r="J1666" s="295"/>
      <c r="K1666" s="295"/>
      <c r="L1666" s="72"/>
      <c r="M1666" s="133"/>
      <c r="N1666" s="72"/>
      <c r="O1666" s="224"/>
      <c r="P1666" s="219"/>
      <c r="Q1666" s="84"/>
      <c r="S1666" s="137"/>
      <c r="T1666" s="137"/>
      <c r="V1666" s="137"/>
    </row>
    <row r="1667" spans="1:22">
      <c r="A1667" s="71" t="s">
        <v>9035</v>
      </c>
      <c r="B1667" s="67" t="s">
        <v>9036</v>
      </c>
      <c r="C1667" s="71" t="s">
        <v>103</v>
      </c>
      <c r="D1667" s="78">
        <v>23.56</v>
      </c>
      <c r="E1667" s="663">
        <v>2</v>
      </c>
      <c r="H1667" s="179">
        <v>23.56</v>
      </c>
      <c r="J1667" s="294"/>
      <c r="K1667" s="295"/>
      <c r="L1667" s="72"/>
      <c r="M1667" s="133"/>
      <c r="N1667" s="72"/>
      <c r="O1667" s="224"/>
      <c r="P1667" s="219"/>
      <c r="Q1667" s="84"/>
      <c r="S1667" s="137"/>
      <c r="T1667" s="137"/>
      <c r="V1667" s="137"/>
    </row>
    <row r="1668" spans="1:22">
      <c r="A1668" s="71" t="s">
        <v>9037</v>
      </c>
      <c r="B1668" s="67" t="s">
        <v>9038</v>
      </c>
      <c r="C1668" s="71" t="s">
        <v>103</v>
      </c>
      <c r="D1668" s="78">
        <v>11.23</v>
      </c>
      <c r="E1668" s="663">
        <v>2</v>
      </c>
      <c r="H1668" s="179">
        <v>11.23</v>
      </c>
      <c r="J1668" s="294"/>
      <c r="K1668" s="295"/>
      <c r="L1668" s="72"/>
      <c r="M1668" s="133"/>
      <c r="N1668" s="72"/>
      <c r="O1668" s="224"/>
      <c r="P1668" s="219"/>
      <c r="Q1668" s="84"/>
      <c r="S1668" s="137"/>
      <c r="T1668" s="137"/>
      <c r="V1668" s="137"/>
    </row>
    <row r="1669" spans="1:22">
      <c r="A1669" s="71" t="s">
        <v>9039</v>
      </c>
      <c r="B1669" s="67" t="s">
        <v>9040</v>
      </c>
      <c r="C1669" s="71" t="s">
        <v>103</v>
      </c>
      <c r="D1669" s="78">
        <v>19.78</v>
      </c>
      <c r="E1669" s="663">
        <v>2</v>
      </c>
      <c r="H1669" s="179">
        <v>19.78</v>
      </c>
      <c r="J1669" s="294"/>
      <c r="K1669" s="295"/>
      <c r="L1669" s="72"/>
      <c r="M1669" s="133"/>
      <c r="N1669" s="72"/>
      <c r="O1669" s="224"/>
      <c r="P1669" s="219"/>
      <c r="Q1669" s="84"/>
      <c r="S1669" s="137"/>
      <c r="T1669" s="137"/>
      <c r="V1669" s="137"/>
    </row>
    <row r="1670" spans="1:22">
      <c r="A1670" s="71" t="s">
        <v>9041</v>
      </c>
      <c r="B1670" s="67" t="s">
        <v>9042</v>
      </c>
      <c r="C1670" s="71" t="s">
        <v>103</v>
      </c>
      <c r="D1670" s="78">
        <v>28.08</v>
      </c>
      <c r="E1670" s="663">
        <v>2</v>
      </c>
      <c r="H1670" s="179">
        <v>28.08</v>
      </c>
      <c r="J1670" s="294"/>
      <c r="K1670" s="295"/>
      <c r="L1670" s="72"/>
      <c r="M1670" s="133"/>
      <c r="N1670" s="72"/>
      <c r="O1670" s="224"/>
      <c r="P1670" s="219"/>
      <c r="Q1670" s="84"/>
      <c r="S1670" s="137"/>
      <c r="T1670" s="137"/>
      <c r="V1670" s="137"/>
    </row>
    <row r="1671" spans="1:22">
      <c r="A1671" s="71" t="s">
        <v>9043</v>
      </c>
      <c r="B1671" s="67" t="s">
        <v>9044</v>
      </c>
      <c r="C1671" s="71" t="s">
        <v>103</v>
      </c>
      <c r="D1671" s="78">
        <v>14.24</v>
      </c>
      <c r="E1671" s="663">
        <v>2</v>
      </c>
      <c r="H1671" s="179">
        <v>14.24</v>
      </c>
      <c r="J1671" s="294"/>
      <c r="K1671" s="295"/>
      <c r="L1671" s="72"/>
      <c r="M1671" s="133"/>
      <c r="N1671" s="72"/>
      <c r="O1671" s="224"/>
      <c r="P1671" s="219"/>
      <c r="Q1671" s="84"/>
      <c r="S1671" s="137"/>
      <c r="T1671" s="137"/>
      <c r="V1671" s="137"/>
    </row>
    <row r="1672" spans="1:22">
      <c r="A1672" s="71" t="s">
        <v>9045</v>
      </c>
      <c r="B1672" s="67" t="s">
        <v>9046</v>
      </c>
      <c r="C1672" s="71" t="s">
        <v>103</v>
      </c>
      <c r="D1672" s="78">
        <v>34.22</v>
      </c>
      <c r="E1672" s="663">
        <v>2</v>
      </c>
      <c r="H1672" s="179">
        <v>34.22</v>
      </c>
      <c r="J1672" s="294"/>
      <c r="K1672" s="295"/>
      <c r="L1672" s="72"/>
      <c r="M1672" s="133"/>
      <c r="N1672" s="72"/>
      <c r="O1672" s="224"/>
      <c r="P1672" s="219"/>
      <c r="Q1672" s="84"/>
      <c r="S1672" s="137"/>
      <c r="T1672" s="137"/>
      <c r="V1672" s="137"/>
    </row>
    <row r="1673" spans="1:22">
      <c r="A1673" s="71" t="s">
        <v>9047</v>
      </c>
      <c r="B1673" s="67" t="s">
        <v>9048</v>
      </c>
      <c r="C1673" s="71" t="s">
        <v>103</v>
      </c>
      <c r="D1673" s="78">
        <v>11.38</v>
      </c>
      <c r="E1673" s="663">
        <v>2</v>
      </c>
      <c r="H1673" s="179">
        <v>11.38</v>
      </c>
      <c r="J1673" s="294"/>
      <c r="K1673" s="295"/>
      <c r="L1673" s="72"/>
      <c r="M1673" s="133"/>
      <c r="N1673" s="72"/>
      <c r="O1673" s="224"/>
      <c r="P1673" s="219"/>
      <c r="Q1673" s="84"/>
      <c r="S1673" s="137"/>
      <c r="T1673" s="137"/>
      <c r="V1673" s="137"/>
    </row>
    <row r="1674" spans="1:22">
      <c r="A1674" s="71" t="s">
        <v>9049</v>
      </c>
      <c r="B1674" s="67" t="s">
        <v>9050</v>
      </c>
      <c r="C1674" s="71" t="s">
        <v>103</v>
      </c>
      <c r="D1674" s="78">
        <v>454.1</v>
      </c>
      <c r="E1674" s="663">
        <v>2</v>
      </c>
      <c r="H1674" s="179">
        <v>454.1</v>
      </c>
      <c r="J1674" s="294"/>
      <c r="K1674" s="295"/>
      <c r="L1674" s="72"/>
      <c r="M1674" s="133"/>
      <c r="N1674" s="72"/>
      <c r="O1674" s="224"/>
      <c r="P1674" s="219"/>
      <c r="Q1674" s="84"/>
      <c r="S1674" s="137"/>
      <c r="T1674" s="137"/>
      <c r="V1674" s="137"/>
    </row>
    <row r="1675" spans="1:22">
      <c r="A1675" s="71" t="s">
        <v>9051</v>
      </c>
      <c r="B1675" s="67" t="s">
        <v>9052</v>
      </c>
      <c r="C1675" s="71" t="s">
        <v>103</v>
      </c>
      <c r="D1675" s="78">
        <v>84.04</v>
      </c>
      <c r="E1675" s="663">
        <v>2</v>
      </c>
      <c r="H1675" s="178">
        <v>84.04</v>
      </c>
      <c r="J1675" s="294"/>
      <c r="K1675" s="295"/>
      <c r="L1675" s="72"/>
      <c r="M1675" s="133"/>
      <c r="N1675" s="72"/>
      <c r="O1675" s="224"/>
      <c r="P1675" s="219"/>
      <c r="Q1675" s="84"/>
      <c r="S1675" s="136"/>
      <c r="T1675" s="136"/>
      <c r="V1675" s="136"/>
    </row>
    <row r="1676" spans="1:22">
      <c r="A1676" s="71" t="s">
        <v>9053</v>
      </c>
      <c r="B1676" s="67" t="s">
        <v>9054</v>
      </c>
      <c r="C1676" s="71" t="s">
        <v>103</v>
      </c>
      <c r="D1676" s="78">
        <v>45.61</v>
      </c>
      <c r="E1676" s="663">
        <v>2</v>
      </c>
      <c r="H1676" s="178">
        <v>45.61</v>
      </c>
      <c r="J1676" s="294"/>
      <c r="K1676" s="295"/>
      <c r="L1676" s="72"/>
      <c r="M1676" s="133"/>
      <c r="N1676" s="72"/>
      <c r="O1676" s="224"/>
      <c r="P1676" s="219"/>
      <c r="Q1676" s="84"/>
      <c r="S1676" s="136"/>
      <c r="T1676" s="136"/>
      <c r="V1676" s="136"/>
    </row>
    <row r="1677" spans="1:22">
      <c r="A1677" s="71" t="s">
        <v>9055</v>
      </c>
      <c r="B1677" s="67" t="s">
        <v>9056</v>
      </c>
      <c r="C1677" s="71" t="s">
        <v>103</v>
      </c>
      <c r="D1677" s="78">
        <v>51.62</v>
      </c>
      <c r="E1677" s="663">
        <v>2</v>
      </c>
      <c r="H1677" s="179">
        <v>51.62</v>
      </c>
      <c r="J1677" s="294"/>
      <c r="K1677" s="295"/>
      <c r="L1677" s="72"/>
      <c r="M1677" s="133"/>
      <c r="N1677" s="72"/>
      <c r="O1677" s="224"/>
      <c r="P1677" s="219"/>
      <c r="Q1677" s="84"/>
      <c r="S1677" s="137"/>
      <c r="T1677" s="137"/>
      <c r="V1677" s="137"/>
    </row>
    <row r="1678" spans="1:22">
      <c r="A1678" s="71" t="s">
        <v>9057</v>
      </c>
      <c r="B1678" s="67" t="s">
        <v>9058</v>
      </c>
      <c r="C1678" s="71" t="s">
        <v>103</v>
      </c>
      <c r="D1678" s="78">
        <v>355.24</v>
      </c>
      <c r="E1678" s="663">
        <v>2</v>
      </c>
      <c r="H1678" s="179">
        <v>355.24</v>
      </c>
      <c r="J1678" s="294"/>
      <c r="K1678" s="295"/>
      <c r="L1678" s="72"/>
      <c r="M1678" s="133"/>
      <c r="N1678" s="72"/>
      <c r="O1678" s="224"/>
      <c r="P1678" s="219"/>
      <c r="Q1678" s="84"/>
      <c r="S1678" s="137"/>
      <c r="T1678" s="137"/>
      <c r="V1678" s="137"/>
    </row>
    <row r="1679" spans="1:22">
      <c r="A1679" s="71" t="s">
        <v>9059</v>
      </c>
      <c r="B1679" s="67" t="s">
        <v>9060</v>
      </c>
      <c r="C1679" s="71" t="s">
        <v>103</v>
      </c>
      <c r="D1679" s="78">
        <v>35.86</v>
      </c>
      <c r="E1679" s="663">
        <v>2</v>
      </c>
      <c r="H1679" s="179">
        <v>35.86</v>
      </c>
      <c r="J1679" s="294"/>
      <c r="K1679" s="295"/>
      <c r="L1679" s="72"/>
      <c r="M1679" s="133"/>
      <c r="N1679" s="72"/>
      <c r="O1679" s="224"/>
      <c r="P1679" s="219"/>
      <c r="Q1679" s="84"/>
      <c r="S1679" s="137"/>
      <c r="T1679" s="137"/>
      <c r="V1679" s="137"/>
    </row>
    <row r="1680" spans="1:22">
      <c r="A1680" s="71" t="s">
        <v>9061</v>
      </c>
      <c r="B1680" s="67" t="s">
        <v>9062</v>
      </c>
      <c r="C1680" s="71" t="s">
        <v>103</v>
      </c>
      <c r="D1680" s="78">
        <v>828.44</v>
      </c>
      <c r="E1680" s="663">
        <v>2</v>
      </c>
      <c r="H1680" s="179">
        <v>828.44</v>
      </c>
      <c r="J1680" s="294"/>
      <c r="K1680" s="295"/>
      <c r="L1680" s="72"/>
      <c r="M1680" s="133"/>
      <c r="N1680" s="72"/>
      <c r="O1680" s="224"/>
      <c r="P1680" s="219"/>
      <c r="Q1680" s="84"/>
      <c r="S1680" s="137"/>
      <c r="T1680" s="137"/>
      <c r="V1680" s="137"/>
    </row>
    <row r="1681" spans="1:22">
      <c r="A1681" s="71" t="s">
        <v>9063</v>
      </c>
      <c r="B1681" s="216" t="s">
        <v>9064</v>
      </c>
      <c r="C1681" s="212" t="s">
        <v>103</v>
      </c>
      <c r="D1681" s="78">
        <v>3326.09</v>
      </c>
      <c r="E1681" s="663">
        <v>2</v>
      </c>
      <c r="H1681" s="178">
        <v>3326.09</v>
      </c>
      <c r="J1681" s="294"/>
      <c r="K1681" s="295"/>
      <c r="L1681" s="72"/>
      <c r="M1681" s="299"/>
      <c r="N1681" s="298"/>
      <c r="O1681" s="224"/>
      <c r="P1681" s="219"/>
      <c r="Q1681" s="84"/>
      <c r="S1681" s="136"/>
      <c r="T1681" s="136"/>
      <c r="V1681" s="136"/>
    </row>
    <row r="1682" spans="1:22">
      <c r="A1682" s="71" t="s">
        <v>9065</v>
      </c>
      <c r="B1682" s="67" t="s">
        <v>9066</v>
      </c>
      <c r="C1682" s="71" t="s">
        <v>103</v>
      </c>
      <c r="D1682" s="78">
        <v>1481.45</v>
      </c>
      <c r="E1682" s="663">
        <v>2</v>
      </c>
      <c r="H1682" s="179">
        <v>1481.45</v>
      </c>
      <c r="J1682" s="294"/>
      <c r="K1682" s="295"/>
      <c r="L1682" s="72"/>
      <c r="M1682" s="133"/>
      <c r="N1682" s="72"/>
      <c r="O1682" s="224"/>
      <c r="P1682" s="219"/>
      <c r="Q1682" s="84"/>
      <c r="S1682" s="137"/>
      <c r="T1682" s="137"/>
      <c r="V1682" s="137"/>
    </row>
    <row r="1683" spans="1:22">
      <c r="A1683" s="71" t="s">
        <v>9067</v>
      </c>
      <c r="B1683" s="67" t="s">
        <v>9068</v>
      </c>
      <c r="C1683" s="71" t="s">
        <v>103</v>
      </c>
      <c r="D1683" s="78">
        <v>173.18</v>
      </c>
      <c r="E1683" s="663">
        <v>2</v>
      </c>
      <c r="H1683" s="179">
        <v>173.18</v>
      </c>
      <c r="J1683" s="294"/>
      <c r="K1683" s="295"/>
      <c r="L1683" s="72"/>
      <c r="M1683" s="133"/>
      <c r="N1683" s="72"/>
      <c r="O1683" s="224"/>
      <c r="P1683" s="219"/>
      <c r="Q1683" s="84"/>
      <c r="S1683" s="137"/>
      <c r="T1683" s="137"/>
    </row>
    <row r="1684" spans="1:22">
      <c r="A1684" s="71" t="s">
        <v>9069</v>
      </c>
      <c r="B1684" s="67" t="s">
        <v>9070</v>
      </c>
      <c r="C1684" s="71" t="s">
        <v>103</v>
      </c>
      <c r="D1684" s="78">
        <v>1120.33</v>
      </c>
      <c r="E1684" s="663">
        <v>2</v>
      </c>
      <c r="H1684" s="179">
        <v>1120.33</v>
      </c>
      <c r="J1684" s="294"/>
      <c r="K1684" s="295"/>
      <c r="L1684" s="72"/>
      <c r="M1684" s="133"/>
      <c r="N1684" s="72"/>
      <c r="O1684" s="224"/>
      <c r="P1684" s="219"/>
      <c r="Q1684" s="84"/>
      <c r="S1684" s="137"/>
      <c r="T1684" s="137"/>
      <c r="V1684" s="137"/>
    </row>
    <row r="1685" spans="1:22">
      <c r="A1685" s="71" t="s">
        <v>9071</v>
      </c>
      <c r="B1685" s="67" t="s">
        <v>9072</v>
      </c>
      <c r="C1685" s="71" t="s">
        <v>103</v>
      </c>
      <c r="D1685" s="78">
        <v>502.29</v>
      </c>
      <c r="E1685" s="663">
        <v>2</v>
      </c>
      <c r="H1685" s="179">
        <v>502.29</v>
      </c>
      <c r="J1685" s="294"/>
      <c r="K1685" s="295"/>
      <c r="L1685" s="72"/>
      <c r="M1685" s="133"/>
      <c r="N1685" s="72"/>
      <c r="O1685" s="224"/>
      <c r="P1685" s="219"/>
      <c r="Q1685" s="84"/>
      <c r="S1685" s="137"/>
      <c r="T1685" s="137"/>
      <c r="V1685" s="137"/>
    </row>
    <row r="1686" spans="1:22">
      <c r="A1686" s="71" t="s">
        <v>9073</v>
      </c>
      <c r="B1686" s="67" t="s">
        <v>9074</v>
      </c>
      <c r="C1686" s="71" t="s">
        <v>103</v>
      </c>
      <c r="D1686" s="78">
        <v>374.4</v>
      </c>
      <c r="E1686" s="663">
        <v>2</v>
      </c>
      <c r="H1686" s="179">
        <v>374.4</v>
      </c>
      <c r="J1686" s="294"/>
      <c r="K1686" s="295"/>
      <c r="L1686" s="72"/>
      <c r="M1686" s="133"/>
      <c r="N1686" s="72"/>
      <c r="O1686" s="224"/>
      <c r="P1686" s="219"/>
      <c r="Q1686" s="84"/>
      <c r="S1686" s="137"/>
      <c r="T1686" s="137"/>
    </row>
    <row r="1687" spans="1:22">
      <c r="A1687" s="71" t="s">
        <v>9075</v>
      </c>
      <c r="B1687" s="67" t="s">
        <v>9076</v>
      </c>
      <c r="C1687" s="71" t="s">
        <v>103</v>
      </c>
      <c r="D1687" s="78">
        <v>58.31</v>
      </c>
      <c r="E1687" s="663">
        <v>2</v>
      </c>
      <c r="H1687" s="179">
        <v>58.31</v>
      </c>
      <c r="J1687" s="294"/>
      <c r="K1687" s="295"/>
      <c r="L1687" s="72"/>
      <c r="M1687" s="133"/>
      <c r="N1687" s="72"/>
      <c r="O1687" s="224"/>
      <c r="P1687" s="219"/>
      <c r="Q1687" s="84"/>
      <c r="S1687" s="137"/>
      <c r="T1687" s="137"/>
      <c r="V1687" s="137"/>
    </row>
    <row r="1688" spans="1:22">
      <c r="A1688" s="71" t="s">
        <v>9077</v>
      </c>
      <c r="B1688" s="67" t="s">
        <v>9078</v>
      </c>
      <c r="C1688" s="71" t="s">
        <v>165</v>
      </c>
      <c r="D1688" s="78">
        <v>77.06</v>
      </c>
      <c r="E1688" s="663">
        <v>2</v>
      </c>
      <c r="H1688" s="179">
        <v>77.06</v>
      </c>
      <c r="J1688" s="294"/>
      <c r="K1688" s="295"/>
      <c r="L1688" s="72"/>
      <c r="M1688" s="133"/>
      <c r="N1688" s="72"/>
      <c r="O1688" s="224"/>
      <c r="P1688" s="219"/>
      <c r="Q1688" s="84"/>
      <c r="S1688" s="137"/>
      <c r="T1688" s="137"/>
      <c r="V1688" s="137"/>
    </row>
    <row r="1689" spans="1:22" ht="24">
      <c r="A1689" s="71" t="s">
        <v>32942</v>
      </c>
      <c r="B1689" s="65" t="s">
        <v>32943</v>
      </c>
      <c r="C1689" s="71" t="s">
        <v>103</v>
      </c>
      <c r="D1689" s="78">
        <v>3247</v>
      </c>
      <c r="E1689" s="663">
        <v>2</v>
      </c>
      <c r="H1689" s="178">
        <v>3247</v>
      </c>
      <c r="J1689" s="294"/>
      <c r="K1689" s="295"/>
      <c r="L1689" s="72"/>
      <c r="M1689" s="133"/>
      <c r="N1689" s="72"/>
      <c r="O1689" s="224"/>
      <c r="P1689" s="219"/>
      <c r="Q1689" s="84"/>
      <c r="S1689" s="136"/>
      <c r="T1689" s="136"/>
    </row>
    <row r="1690" spans="1:22">
      <c r="A1690" s="71" t="s">
        <v>9079</v>
      </c>
      <c r="B1690" s="67" t="s">
        <v>9080</v>
      </c>
      <c r="C1690" s="71" t="s">
        <v>103</v>
      </c>
      <c r="D1690" s="78">
        <v>756.23</v>
      </c>
      <c r="E1690" s="663">
        <v>2</v>
      </c>
      <c r="H1690" s="179">
        <v>756.23</v>
      </c>
      <c r="J1690" s="294"/>
      <c r="K1690" s="295"/>
      <c r="L1690" s="72"/>
      <c r="M1690" s="133"/>
      <c r="N1690" s="72"/>
      <c r="O1690" s="224"/>
      <c r="P1690" s="219"/>
      <c r="Q1690" s="84"/>
      <c r="S1690" s="137"/>
      <c r="T1690" s="137"/>
      <c r="V1690" s="137"/>
    </row>
    <row r="1691" spans="1:22">
      <c r="A1691" s="71" t="s">
        <v>9081</v>
      </c>
      <c r="B1691" s="67" t="s">
        <v>9082</v>
      </c>
      <c r="C1691" s="71" t="s">
        <v>103</v>
      </c>
      <c r="D1691" s="78">
        <v>1148.69</v>
      </c>
      <c r="E1691" s="663">
        <v>2</v>
      </c>
      <c r="H1691" s="179">
        <v>1148.69</v>
      </c>
      <c r="J1691" s="294"/>
      <c r="K1691" s="295"/>
      <c r="L1691" s="72"/>
      <c r="M1691" s="133"/>
      <c r="N1691" s="72"/>
      <c r="O1691" s="224"/>
      <c r="P1691" s="219"/>
      <c r="Q1691" s="84"/>
      <c r="S1691" s="137"/>
      <c r="T1691" s="137"/>
      <c r="V1691" s="137"/>
    </row>
    <row r="1692" spans="1:22" ht="24">
      <c r="A1692" s="71" t="s">
        <v>32835</v>
      </c>
      <c r="B1692" s="65" t="s">
        <v>32836</v>
      </c>
      <c r="C1692" s="71" t="s">
        <v>396</v>
      </c>
      <c r="D1692" s="78">
        <v>3673.53</v>
      </c>
      <c r="E1692" s="663">
        <v>2</v>
      </c>
      <c r="H1692" s="178">
        <v>3673.53</v>
      </c>
      <c r="J1692" s="294"/>
      <c r="K1692" s="295"/>
      <c r="L1692" s="72"/>
      <c r="M1692" s="133"/>
      <c r="N1692" s="72"/>
      <c r="O1692" s="224"/>
      <c r="P1692" s="219"/>
      <c r="Q1692" s="84"/>
      <c r="S1692" s="136"/>
      <c r="T1692" s="136"/>
    </row>
    <row r="1693" spans="1:22" ht="24">
      <c r="A1693" s="71" t="s">
        <v>32827</v>
      </c>
      <c r="B1693" s="65" t="s">
        <v>32828</v>
      </c>
      <c r="C1693" s="71" t="s">
        <v>396</v>
      </c>
      <c r="D1693" s="78">
        <v>3961.89</v>
      </c>
      <c r="E1693" s="663">
        <v>2</v>
      </c>
      <c r="H1693" s="178">
        <v>3961.89</v>
      </c>
      <c r="J1693" s="294"/>
      <c r="K1693" s="295"/>
      <c r="L1693" s="72"/>
      <c r="M1693" s="133"/>
      <c r="N1693" s="72"/>
      <c r="O1693" s="224"/>
      <c r="P1693" s="219"/>
      <c r="Q1693" s="84"/>
      <c r="S1693" s="136"/>
      <c r="T1693" s="136"/>
    </row>
    <row r="1694" spans="1:22" ht="24">
      <c r="A1694" s="71" t="s">
        <v>32829</v>
      </c>
      <c r="B1694" s="65" t="s">
        <v>32830</v>
      </c>
      <c r="C1694" s="71" t="s">
        <v>396</v>
      </c>
      <c r="D1694" s="78">
        <v>5454.76</v>
      </c>
      <c r="E1694" s="663">
        <v>2</v>
      </c>
      <c r="H1694" s="178">
        <v>5454.76</v>
      </c>
      <c r="J1694" s="294"/>
      <c r="K1694" s="295"/>
      <c r="L1694" s="72"/>
      <c r="M1694" s="133"/>
      <c r="N1694" s="72"/>
      <c r="O1694" s="224"/>
      <c r="P1694" s="219"/>
      <c r="Q1694" s="84"/>
      <c r="S1694" s="136"/>
      <c r="T1694" s="136"/>
    </row>
    <row r="1695" spans="1:22" ht="24">
      <c r="A1695" s="71" t="s">
        <v>32831</v>
      </c>
      <c r="B1695" s="65" t="s">
        <v>32832</v>
      </c>
      <c r="C1695" s="71" t="s">
        <v>396</v>
      </c>
      <c r="D1695" s="78">
        <v>6877.75</v>
      </c>
      <c r="E1695" s="663">
        <v>2</v>
      </c>
      <c r="H1695" s="178">
        <v>6877.75</v>
      </c>
      <c r="J1695" s="294"/>
      <c r="K1695" s="295"/>
      <c r="L1695" s="72"/>
      <c r="M1695" s="133"/>
      <c r="N1695" s="72"/>
      <c r="O1695" s="224"/>
      <c r="P1695" s="219"/>
      <c r="Q1695" s="84"/>
      <c r="S1695" s="136"/>
      <c r="T1695" s="136"/>
    </row>
    <row r="1696" spans="1:22" ht="24">
      <c r="A1696" s="71" t="s">
        <v>32833</v>
      </c>
      <c r="B1696" s="65" t="s">
        <v>32834</v>
      </c>
      <c r="C1696" s="71" t="s">
        <v>396</v>
      </c>
      <c r="D1696" s="78">
        <v>10403.290000000001</v>
      </c>
      <c r="E1696" s="663">
        <v>2</v>
      </c>
      <c r="H1696" s="178">
        <v>10403.290000000001</v>
      </c>
      <c r="J1696" s="294"/>
      <c r="K1696" s="295"/>
      <c r="L1696" s="72"/>
      <c r="M1696" s="133"/>
      <c r="N1696" s="72"/>
      <c r="O1696" s="224"/>
      <c r="P1696" s="219"/>
      <c r="Q1696" s="84"/>
      <c r="S1696" s="136"/>
      <c r="T1696" s="136"/>
    </row>
    <row r="1697" spans="1:22" ht="24">
      <c r="A1697" s="71" t="s">
        <v>32826</v>
      </c>
      <c r="B1697" s="65" t="s">
        <v>41710</v>
      </c>
      <c r="C1697" s="71" t="s">
        <v>396</v>
      </c>
      <c r="D1697" s="78">
        <v>11038.2</v>
      </c>
      <c r="E1697" s="663">
        <v>2</v>
      </c>
      <c r="H1697" s="178">
        <v>11038.2</v>
      </c>
      <c r="J1697" s="294"/>
      <c r="K1697" s="295"/>
      <c r="L1697" s="72"/>
      <c r="M1697" s="133"/>
      <c r="N1697" s="72"/>
      <c r="O1697" s="224"/>
      <c r="P1697" s="219"/>
      <c r="Q1697" s="84"/>
      <c r="S1697" s="136"/>
      <c r="T1697" s="136"/>
    </row>
    <row r="1698" spans="1:22">
      <c r="A1698" s="71" t="s">
        <v>9083</v>
      </c>
      <c r="B1698" s="67" t="s">
        <v>9084</v>
      </c>
      <c r="C1698" s="71" t="s">
        <v>103</v>
      </c>
      <c r="D1698" s="78">
        <v>189.59</v>
      </c>
      <c r="E1698" s="663">
        <v>2</v>
      </c>
      <c r="H1698" s="179">
        <v>189.59</v>
      </c>
      <c r="J1698" s="294"/>
      <c r="K1698" s="295"/>
      <c r="L1698" s="72"/>
      <c r="M1698" s="133"/>
      <c r="N1698" s="72"/>
      <c r="O1698" s="224"/>
      <c r="P1698" s="219"/>
      <c r="Q1698" s="84"/>
      <c r="S1698" s="137"/>
      <c r="T1698" s="137"/>
      <c r="V1698" s="137"/>
    </row>
    <row r="1699" spans="1:22">
      <c r="A1699" s="71" t="s">
        <v>9085</v>
      </c>
      <c r="B1699" s="67" t="s">
        <v>9086</v>
      </c>
      <c r="C1699" s="71" t="s">
        <v>103</v>
      </c>
      <c r="D1699" s="78">
        <v>217.23</v>
      </c>
      <c r="E1699" s="663">
        <v>2</v>
      </c>
      <c r="H1699" s="178">
        <v>217.23</v>
      </c>
      <c r="J1699" s="294"/>
      <c r="K1699" s="295"/>
      <c r="L1699" s="72"/>
      <c r="M1699" s="133"/>
      <c r="N1699" s="72"/>
      <c r="O1699" s="224"/>
      <c r="P1699" s="219"/>
      <c r="Q1699" s="84"/>
      <c r="S1699" s="136"/>
      <c r="T1699" s="136"/>
    </row>
    <row r="1700" spans="1:22">
      <c r="A1700" s="71" t="s">
        <v>9087</v>
      </c>
      <c r="B1700" s="67" t="s">
        <v>9088</v>
      </c>
      <c r="C1700" s="71" t="s">
        <v>103</v>
      </c>
      <c r="D1700" s="78">
        <v>270.79000000000002</v>
      </c>
      <c r="E1700" s="663">
        <v>2</v>
      </c>
      <c r="H1700" s="178">
        <v>270.79000000000002</v>
      </c>
      <c r="J1700" s="294"/>
      <c r="K1700" s="295"/>
      <c r="L1700" s="72"/>
      <c r="M1700" s="133"/>
      <c r="N1700" s="72"/>
      <c r="O1700" s="224"/>
      <c r="P1700" s="219"/>
      <c r="Q1700" s="84"/>
      <c r="S1700" s="136"/>
      <c r="T1700" s="136"/>
      <c r="V1700" s="136"/>
    </row>
    <row r="1701" spans="1:22">
      <c r="A1701" s="71" t="s">
        <v>9089</v>
      </c>
      <c r="B1701" s="67" t="s">
        <v>9090</v>
      </c>
      <c r="C1701" s="71" t="s">
        <v>103</v>
      </c>
      <c r="D1701" s="78">
        <v>12.38</v>
      </c>
      <c r="E1701" s="663">
        <v>2</v>
      </c>
      <c r="H1701" s="178">
        <v>12.38</v>
      </c>
      <c r="J1701" s="294"/>
      <c r="K1701" s="295"/>
      <c r="L1701" s="72"/>
      <c r="M1701" s="133"/>
      <c r="N1701" s="72"/>
      <c r="O1701" s="224"/>
      <c r="P1701" s="219"/>
      <c r="Q1701" s="84"/>
      <c r="S1701" s="136"/>
      <c r="T1701" s="136"/>
      <c r="V1701" s="136"/>
    </row>
    <row r="1702" spans="1:22">
      <c r="A1702" s="134" t="s">
        <v>9091</v>
      </c>
      <c r="B1702" s="304" t="s">
        <v>9092</v>
      </c>
      <c r="C1702" s="71" t="s">
        <v>103</v>
      </c>
      <c r="D1702" s="78">
        <v>192.87</v>
      </c>
      <c r="E1702" s="663">
        <v>2</v>
      </c>
      <c r="H1702" s="308">
        <v>192.87</v>
      </c>
      <c r="T1702" s="84"/>
    </row>
    <row r="1703" spans="1:22">
      <c r="A1703" s="71" t="s">
        <v>9093</v>
      </c>
      <c r="B1703" s="67" t="s">
        <v>9094</v>
      </c>
      <c r="C1703" s="71" t="s">
        <v>103</v>
      </c>
      <c r="D1703" s="78">
        <v>9.64</v>
      </c>
      <c r="E1703" s="663">
        <v>2</v>
      </c>
      <c r="H1703" s="178">
        <v>9.64</v>
      </c>
      <c r="J1703" s="294"/>
      <c r="K1703" s="295"/>
      <c r="L1703" s="72"/>
      <c r="M1703" s="133"/>
      <c r="N1703" s="72"/>
      <c r="O1703" s="224"/>
      <c r="P1703" s="219"/>
      <c r="Q1703" s="84"/>
      <c r="S1703" s="136"/>
      <c r="T1703" s="136"/>
      <c r="V1703" s="136"/>
    </row>
    <row r="1704" spans="1:22">
      <c r="A1704" s="71" t="s">
        <v>9095</v>
      </c>
      <c r="B1704" s="67" t="s">
        <v>9096</v>
      </c>
      <c r="C1704" s="71" t="s">
        <v>103</v>
      </c>
      <c r="D1704" s="78">
        <v>9.58</v>
      </c>
      <c r="E1704" s="663">
        <v>2</v>
      </c>
      <c r="H1704" s="179">
        <v>9.58</v>
      </c>
      <c r="J1704" s="294"/>
      <c r="K1704" s="295"/>
      <c r="L1704" s="72"/>
      <c r="M1704" s="133"/>
      <c r="N1704" s="72"/>
      <c r="O1704" s="224"/>
      <c r="P1704" s="219"/>
      <c r="Q1704" s="84"/>
      <c r="S1704" s="137"/>
      <c r="T1704" s="137"/>
    </row>
    <row r="1705" spans="1:22">
      <c r="A1705" s="71" t="s">
        <v>9097</v>
      </c>
      <c r="B1705" s="67" t="s">
        <v>9098</v>
      </c>
      <c r="C1705" s="71" t="s">
        <v>103</v>
      </c>
      <c r="D1705" s="78">
        <v>9.58</v>
      </c>
      <c r="E1705" s="663">
        <v>2</v>
      </c>
      <c r="H1705" s="179">
        <v>9.58</v>
      </c>
      <c r="J1705" s="294"/>
      <c r="K1705" s="295"/>
      <c r="L1705" s="72"/>
      <c r="M1705" s="133"/>
      <c r="N1705" s="72"/>
      <c r="O1705" s="224"/>
      <c r="P1705" s="219"/>
      <c r="Q1705" s="84"/>
      <c r="S1705" s="137"/>
      <c r="T1705" s="137"/>
    </row>
    <row r="1706" spans="1:22">
      <c r="A1706" s="71" t="s">
        <v>9099</v>
      </c>
      <c r="B1706" s="67" t="s">
        <v>9100</v>
      </c>
      <c r="C1706" s="71" t="s">
        <v>103</v>
      </c>
      <c r="D1706" s="78">
        <v>66.02</v>
      </c>
      <c r="E1706" s="663">
        <v>2</v>
      </c>
      <c r="H1706" s="178">
        <v>66.02</v>
      </c>
      <c r="J1706" s="294"/>
      <c r="K1706" s="295"/>
      <c r="L1706" s="72"/>
      <c r="M1706" s="133"/>
      <c r="N1706" s="72"/>
      <c r="O1706" s="224"/>
      <c r="P1706" s="219"/>
      <c r="Q1706" s="84"/>
      <c r="S1706" s="136"/>
      <c r="T1706" s="136"/>
      <c r="V1706" s="136"/>
    </row>
    <row r="1707" spans="1:22">
      <c r="A1707" s="134" t="s">
        <v>9101</v>
      </c>
      <c r="B1707" s="304" t="s">
        <v>41711</v>
      </c>
      <c r="C1707" s="71" t="s">
        <v>103</v>
      </c>
      <c r="D1707" s="78">
        <v>77.87</v>
      </c>
      <c r="E1707" s="663">
        <v>2</v>
      </c>
      <c r="H1707" s="308">
        <v>77.87</v>
      </c>
      <c r="T1707" s="84"/>
    </row>
    <row r="1708" spans="1:22">
      <c r="A1708" s="71" t="s">
        <v>9102</v>
      </c>
      <c r="B1708" s="67" t="s">
        <v>9103</v>
      </c>
      <c r="C1708" s="71" t="s">
        <v>103</v>
      </c>
      <c r="D1708" s="78">
        <v>250.71</v>
      </c>
      <c r="E1708" s="663">
        <v>2</v>
      </c>
      <c r="H1708" s="179">
        <v>250.71</v>
      </c>
      <c r="J1708" s="294"/>
      <c r="K1708" s="295"/>
      <c r="L1708" s="72"/>
      <c r="M1708" s="133"/>
      <c r="N1708" s="72"/>
      <c r="O1708" s="224"/>
      <c r="P1708" s="219"/>
      <c r="Q1708" s="84"/>
      <c r="S1708" s="137"/>
      <c r="T1708" s="137"/>
      <c r="V1708" s="137"/>
    </row>
    <row r="1709" spans="1:22">
      <c r="A1709" s="71" t="s">
        <v>9104</v>
      </c>
      <c r="B1709" s="67" t="s">
        <v>9105</v>
      </c>
      <c r="C1709" s="71" t="s">
        <v>103</v>
      </c>
      <c r="D1709" s="78">
        <v>90.35</v>
      </c>
      <c r="E1709" s="663">
        <v>2</v>
      </c>
      <c r="H1709" s="179">
        <v>90.35</v>
      </c>
      <c r="J1709" s="294"/>
      <c r="K1709" s="295"/>
      <c r="L1709" s="72"/>
      <c r="M1709" s="133"/>
      <c r="N1709" s="72"/>
      <c r="O1709" s="224"/>
      <c r="P1709" s="219"/>
      <c r="Q1709" s="84"/>
      <c r="S1709" s="137"/>
      <c r="T1709" s="137"/>
      <c r="V1709" s="137"/>
    </row>
    <row r="1710" spans="1:22">
      <c r="A1710" s="71" t="s">
        <v>9106</v>
      </c>
      <c r="B1710" s="67" t="s">
        <v>9107</v>
      </c>
      <c r="C1710" s="71" t="s">
        <v>103</v>
      </c>
      <c r="D1710" s="78">
        <v>15.64</v>
      </c>
      <c r="E1710" s="663">
        <v>2</v>
      </c>
      <c r="H1710" s="179">
        <v>15.64</v>
      </c>
      <c r="J1710" s="295"/>
      <c r="K1710" s="295"/>
      <c r="L1710" s="72"/>
      <c r="M1710" s="133"/>
      <c r="N1710" s="72"/>
      <c r="O1710" s="224"/>
      <c r="P1710" s="219"/>
      <c r="Q1710" s="84"/>
      <c r="S1710" s="137"/>
      <c r="T1710" s="137"/>
    </row>
    <row r="1711" spans="1:22">
      <c r="A1711" s="71" t="s">
        <v>9108</v>
      </c>
      <c r="B1711" s="67" t="s">
        <v>9109</v>
      </c>
      <c r="C1711" s="71" t="s">
        <v>103</v>
      </c>
      <c r="D1711" s="78">
        <v>2.77</v>
      </c>
      <c r="E1711" s="663">
        <v>2</v>
      </c>
      <c r="H1711" s="732">
        <v>2.77</v>
      </c>
      <c r="J1711" s="295"/>
      <c r="K1711" s="295"/>
      <c r="M1711" s="72"/>
      <c r="N1711" s="133"/>
      <c r="O1711" s="72"/>
      <c r="P1711" s="224"/>
      <c r="Q1711" s="219"/>
      <c r="T1711" s="137"/>
      <c r="V1711" s="137"/>
    </row>
    <row r="1712" spans="1:22">
      <c r="A1712" s="71" t="s">
        <v>9110</v>
      </c>
      <c r="B1712" s="67" t="s">
        <v>9111</v>
      </c>
      <c r="C1712" s="71" t="s">
        <v>103</v>
      </c>
      <c r="D1712" s="78">
        <v>46.7</v>
      </c>
      <c r="E1712" s="663">
        <v>2</v>
      </c>
      <c r="H1712" s="179">
        <v>46.7</v>
      </c>
      <c r="J1712" s="295"/>
      <c r="K1712" s="295"/>
      <c r="L1712" s="72"/>
      <c r="M1712" s="133"/>
      <c r="N1712" s="72"/>
      <c r="O1712" s="224"/>
      <c r="P1712" s="219"/>
      <c r="Q1712" s="84"/>
      <c r="S1712" s="137"/>
      <c r="T1712" s="137"/>
      <c r="V1712" s="137"/>
    </row>
    <row r="1713" spans="1:22">
      <c r="A1713" s="71" t="s">
        <v>9112</v>
      </c>
      <c r="B1713" s="67" t="s">
        <v>9113</v>
      </c>
      <c r="C1713" s="71" t="s">
        <v>103</v>
      </c>
      <c r="D1713" s="78">
        <v>18.13</v>
      </c>
      <c r="E1713" s="663">
        <v>2</v>
      </c>
      <c r="H1713" s="179">
        <v>18.13</v>
      </c>
      <c r="J1713" s="295"/>
      <c r="K1713" s="295"/>
      <c r="L1713" s="72"/>
      <c r="M1713" s="133"/>
      <c r="N1713" s="72"/>
      <c r="O1713" s="224"/>
      <c r="P1713" s="219"/>
      <c r="Q1713" s="84"/>
      <c r="S1713" s="137"/>
      <c r="T1713" s="137"/>
      <c r="V1713" s="137"/>
    </row>
    <row r="1714" spans="1:22">
      <c r="A1714" s="71" t="s">
        <v>9114</v>
      </c>
      <c r="B1714" s="67" t="s">
        <v>9115</v>
      </c>
      <c r="C1714" s="71" t="s">
        <v>103</v>
      </c>
      <c r="D1714" s="78">
        <v>52.26</v>
      </c>
      <c r="E1714" s="663">
        <v>2</v>
      </c>
      <c r="H1714" s="179">
        <v>52.26</v>
      </c>
      <c r="J1714" s="295"/>
      <c r="K1714" s="295"/>
      <c r="L1714" s="72"/>
      <c r="M1714" s="133"/>
      <c r="N1714" s="72"/>
      <c r="O1714" s="224"/>
      <c r="P1714" s="219"/>
      <c r="Q1714" s="84"/>
      <c r="S1714" s="137"/>
      <c r="T1714" s="137"/>
      <c r="V1714" s="137"/>
    </row>
    <row r="1715" spans="1:22">
      <c r="A1715" s="71" t="s">
        <v>9116</v>
      </c>
      <c r="B1715" s="67" t="s">
        <v>9117</v>
      </c>
      <c r="C1715" s="71" t="s">
        <v>103</v>
      </c>
      <c r="D1715" s="78">
        <v>2828.69</v>
      </c>
      <c r="E1715" s="663">
        <v>2</v>
      </c>
      <c r="H1715" s="179">
        <v>2828.69</v>
      </c>
      <c r="J1715" s="295"/>
      <c r="K1715" s="295"/>
      <c r="L1715" s="72"/>
      <c r="M1715" s="133"/>
      <c r="N1715" s="72"/>
      <c r="O1715" s="224"/>
      <c r="P1715" s="219"/>
      <c r="Q1715" s="84"/>
      <c r="S1715" s="137"/>
      <c r="T1715" s="137"/>
      <c r="V1715" s="137"/>
    </row>
    <row r="1716" spans="1:22">
      <c r="A1716" s="71" t="s">
        <v>9118</v>
      </c>
      <c r="B1716" s="67" t="s">
        <v>9119</v>
      </c>
      <c r="C1716" s="71" t="s">
        <v>103</v>
      </c>
      <c r="D1716" s="78">
        <v>217.23</v>
      </c>
      <c r="E1716" s="663">
        <v>2</v>
      </c>
      <c r="H1716" s="178">
        <v>217.23</v>
      </c>
      <c r="J1716" s="294"/>
      <c r="K1716" s="295"/>
      <c r="L1716" s="72"/>
      <c r="M1716" s="133"/>
      <c r="N1716" s="72"/>
      <c r="O1716" s="224"/>
      <c r="P1716" s="219"/>
      <c r="Q1716" s="84"/>
      <c r="S1716" s="136"/>
      <c r="T1716" s="136"/>
    </row>
    <row r="1717" spans="1:22">
      <c r="A1717" s="71" t="s">
        <v>9120</v>
      </c>
      <c r="B1717" s="67" t="s">
        <v>9121</v>
      </c>
      <c r="C1717" s="71" t="s">
        <v>103</v>
      </c>
      <c r="D1717" s="78">
        <v>296.12</v>
      </c>
      <c r="E1717" s="663">
        <v>2</v>
      </c>
      <c r="H1717" s="178">
        <v>296.12</v>
      </c>
      <c r="J1717" s="294"/>
      <c r="K1717" s="295"/>
      <c r="L1717" s="72"/>
      <c r="M1717" s="133"/>
      <c r="N1717" s="72"/>
      <c r="O1717" s="224"/>
      <c r="P1717" s="219"/>
      <c r="Q1717" s="84"/>
      <c r="S1717" s="136"/>
      <c r="T1717" s="136"/>
    </row>
    <row r="1718" spans="1:22">
      <c r="A1718" s="71" t="s">
        <v>9122</v>
      </c>
      <c r="B1718" s="67" t="s">
        <v>9123</v>
      </c>
      <c r="C1718" s="71" t="s">
        <v>103</v>
      </c>
      <c r="D1718" s="78">
        <v>63.83</v>
      </c>
      <c r="E1718" s="663">
        <v>2</v>
      </c>
      <c r="H1718" s="178">
        <v>63.83</v>
      </c>
      <c r="J1718" s="294"/>
      <c r="K1718" s="295"/>
      <c r="L1718" s="72"/>
      <c r="M1718" s="133"/>
      <c r="N1718" s="72"/>
      <c r="O1718" s="224"/>
      <c r="P1718" s="219"/>
      <c r="Q1718" s="84"/>
      <c r="S1718" s="136"/>
      <c r="T1718" s="136"/>
      <c r="V1718" s="136"/>
    </row>
    <row r="1719" spans="1:22">
      <c r="A1719" s="71" t="s">
        <v>9124</v>
      </c>
      <c r="B1719" s="67" t="s">
        <v>9125</v>
      </c>
      <c r="C1719" s="71" t="s">
        <v>103</v>
      </c>
      <c r="D1719" s="78">
        <v>58.18</v>
      </c>
      <c r="E1719" s="663">
        <v>2</v>
      </c>
      <c r="H1719" s="178">
        <v>58.18</v>
      </c>
      <c r="J1719" s="294"/>
      <c r="K1719" s="295"/>
      <c r="L1719" s="72"/>
      <c r="M1719" s="133"/>
      <c r="N1719" s="72"/>
      <c r="O1719" s="224"/>
      <c r="P1719" s="219"/>
      <c r="Q1719" s="84"/>
      <c r="S1719" s="136"/>
      <c r="T1719" s="136"/>
      <c r="V1719" s="136"/>
    </row>
    <row r="1720" spans="1:22">
      <c r="A1720" s="71" t="s">
        <v>9126</v>
      </c>
      <c r="B1720" s="312" t="s">
        <v>9127</v>
      </c>
      <c r="C1720" s="306" t="s">
        <v>103</v>
      </c>
      <c r="D1720" s="78">
        <v>104.2</v>
      </c>
      <c r="E1720" s="663">
        <v>2</v>
      </c>
      <c r="H1720" s="308">
        <v>104.2</v>
      </c>
      <c r="T1720" s="84"/>
    </row>
    <row r="1721" spans="1:22">
      <c r="A1721" s="71" t="s">
        <v>9128</v>
      </c>
      <c r="B1721" s="67" t="s">
        <v>9129</v>
      </c>
      <c r="C1721" s="71" t="s">
        <v>103</v>
      </c>
      <c r="D1721" s="78">
        <v>1.1299999999999999</v>
      </c>
      <c r="E1721" s="663">
        <v>2</v>
      </c>
      <c r="H1721" s="179">
        <v>1.1299999999999999</v>
      </c>
      <c r="J1721" s="294"/>
      <c r="K1721" s="295"/>
      <c r="L1721" s="72"/>
      <c r="M1721" s="133"/>
      <c r="N1721" s="72"/>
      <c r="O1721" s="224"/>
      <c r="P1721" s="219"/>
      <c r="Q1721" s="84"/>
      <c r="S1721" s="137"/>
      <c r="T1721" s="137"/>
      <c r="V1721" s="137"/>
    </row>
    <row r="1722" spans="1:22">
      <c r="A1722" s="71" t="s">
        <v>9130</v>
      </c>
      <c r="B1722" s="67" t="s">
        <v>9131</v>
      </c>
      <c r="C1722" s="71" t="s">
        <v>103</v>
      </c>
      <c r="D1722" s="78">
        <v>1.88</v>
      </c>
      <c r="E1722" s="663">
        <v>2</v>
      </c>
      <c r="H1722" s="178">
        <v>1.88</v>
      </c>
      <c r="J1722" s="294"/>
      <c r="K1722" s="295"/>
      <c r="L1722" s="72"/>
      <c r="M1722" s="133"/>
      <c r="N1722" s="72"/>
      <c r="O1722" s="224"/>
      <c r="P1722" s="219"/>
      <c r="Q1722" s="84"/>
      <c r="S1722" s="136"/>
      <c r="T1722" s="136"/>
      <c r="V1722" s="136"/>
    </row>
    <row r="1723" spans="1:22">
      <c r="A1723" s="71" t="s">
        <v>9132</v>
      </c>
      <c r="B1723" s="67" t="s">
        <v>9133</v>
      </c>
      <c r="C1723" s="71" t="s">
        <v>103</v>
      </c>
      <c r="D1723" s="78">
        <v>2.63</v>
      </c>
      <c r="E1723" s="663">
        <v>2</v>
      </c>
      <c r="H1723" s="179">
        <v>2.63</v>
      </c>
      <c r="J1723" s="294"/>
      <c r="K1723" s="295"/>
      <c r="L1723" s="72"/>
      <c r="M1723" s="133"/>
      <c r="N1723" s="72"/>
      <c r="O1723" s="224"/>
      <c r="P1723" s="219"/>
      <c r="Q1723" s="84"/>
      <c r="S1723" s="137"/>
      <c r="T1723" s="137"/>
      <c r="V1723" s="137"/>
    </row>
    <row r="1724" spans="1:22">
      <c r="A1724" s="71" t="s">
        <v>9134</v>
      </c>
      <c r="B1724" s="67" t="s">
        <v>9135</v>
      </c>
      <c r="C1724" s="71" t="s">
        <v>103</v>
      </c>
      <c r="D1724" s="78">
        <v>3.09</v>
      </c>
      <c r="E1724" s="663">
        <v>2</v>
      </c>
      <c r="H1724" s="179">
        <v>3.09</v>
      </c>
      <c r="J1724" s="294"/>
      <c r="K1724" s="295"/>
      <c r="L1724" s="72"/>
      <c r="M1724" s="133"/>
      <c r="N1724" s="72"/>
      <c r="O1724" s="224"/>
      <c r="P1724" s="219"/>
      <c r="Q1724" s="84"/>
      <c r="S1724" s="137"/>
      <c r="T1724" s="137"/>
      <c r="V1724" s="137"/>
    </row>
    <row r="1725" spans="1:22">
      <c r="A1725" s="71" t="s">
        <v>9136</v>
      </c>
      <c r="B1725" s="67" t="s">
        <v>9137</v>
      </c>
      <c r="C1725" s="71" t="s">
        <v>103</v>
      </c>
      <c r="D1725" s="78">
        <v>4.57</v>
      </c>
      <c r="E1725" s="663">
        <v>2</v>
      </c>
      <c r="H1725" s="179">
        <v>4.57</v>
      </c>
      <c r="J1725" s="294"/>
      <c r="K1725" s="295"/>
      <c r="L1725" s="72"/>
      <c r="M1725" s="133"/>
      <c r="N1725" s="72"/>
      <c r="O1725" s="224"/>
      <c r="P1725" s="219"/>
      <c r="Q1725" s="84"/>
      <c r="S1725" s="137"/>
      <c r="T1725" s="137"/>
      <c r="V1725" s="137"/>
    </row>
    <row r="1726" spans="1:22">
      <c r="A1726" s="71" t="s">
        <v>9138</v>
      </c>
      <c r="B1726" s="67" t="s">
        <v>9139</v>
      </c>
      <c r="C1726" s="71" t="s">
        <v>103</v>
      </c>
      <c r="D1726" s="78">
        <v>6.75</v>
      </c>
      <c r="E1726" s="663">
        <v>2</v>
      </c>
      <c r="H1726" s="179">
        <v>6.75</v>
      </c>
      <c r="J1726" s="294"/>
      <c r="K1726" s="295"/>
      <c r="L1726" s="72"/>
      <c r="M1726" s="133"/>
      <c r="N1726" s="72"/>
      <c r="O1726" s="224"/>
      <c r="P1726" s="219"/>
      <c r="Q1726" s="84"/>
      <c r="S1726" s="137"/>
      <c r="T1726" s="137"/>
      <c r="V1726" s="137"/>
    </row>
    <row r="1727" spans="1:22">
      <c r="A1727" s="71" t="s">
        <v>9140</v>
      </c>
      <c r="B1727" s="67" t="s">
        <v>9141</v>
      </c>
      <c r="C1727" s="71" t="s">
        <v>103</v>
      </c>
      <c r="D1727" s="78">
        <v>9.07</v>
      </c>
      <c r="E1727" s="663">
        <v>2</v>
      </c>
      <c r="H1727" s="178">
        <v>9.07</v>
      </c>
      <c r="J1727" s="294"/>
      <c r="K1727" s="295"/>
      <c r="L1727" s="72"/>
      <c r="M1727" s="133"/>
      <c r="N1727" s="72"/>
      <c r="O1727" s="224"/>
      <c r="P1727" s="219"/>
      <c r="Q1727" s="84"/>
      <c r="S1727" s="136"/>
      <c r="T1727" s="136"/>
      <c r="V1727" s="136"/>
    </row>
    <row r="1728" spans="1:22">
      <c r="A1728" s="134" t="s">
        <v>9142</v>
      </c>
      <c r="B1728" s="304" t="s">
        <v>9143</v>
      </c>
      <c r="C1728" s="71" t="s">
        <v>103</v>
      </c>
      <c r="D1728" s="78">
        <v>16.21</v>
      </c>
      <c r="E1728" s="663">
        <v>2</v>
      </c>
      <c r="H1728" s="308">
        <v>16.21</v>
      </c>
      <c r="T1728" s="84"/>
    </row>
    <row r="1729" spans="1:22">
      <c r="A1729" s="71" t="s">
        <v>9144</v>
      </c>
      <c r="B1729" s="67" t="s">
        <v>9145</v>
      </c>
      <c r="C1729" s="71" t="s">
        <v>103</v>
      </c>
      <c r="D1729" s="78">
        <v>544.57000000000005</v>
      </c>
      <c r="E1729" s="663">
        <v>2</v>
      </c>
      <c r="H1729" s="179">
        <v>544.57000000000005</v>
      </c>
      <c r="J1729" s="294"/>
      <c r="K1729" s="295"/>
      <c r="L1729" s="72"/>
      <c r="M1729" s="133"/>
      <c r="N1729" s="72"/>
      <c r="O1729" s="224"/>
      <c r="P1729" s="219"/>
      <c r="Q1729" s="84"/>
      <c r="S1729" s="137"/>
      <c r="T1729" s="137"/>
      <c r="V1729" s="137"/>
    </row>
    <row r="1730" spans="1:22">
      <c r="A1730" s="71" t="s">
        <v>9146</v>
      </c>
      <c r="B1730" s="67" t="s">
        <v>9147</v>
      </c>
      <c r="C1730" s="71" t="s">
        <v>103</v>
      </c>
      <c r="D1730" s="78">
        <v>0.56999999999999995</v>
      </c>
      <c r="E1730" s="663">
        <v>2</v>
      </c>
      <c r="H1730" s="179">
        <v>0.56999999999999995</v>
      </c>
      <c r="J1730" s="294"/>
      <c r="K1730" s="295"/>
      <c r="L1730" s="72"/>
      <c r="M1730" s="133"/>
      <c r="N1730" s="72"/>
      <c r="O1730" s="224"/>
      <c r="P1730" s="219"/>
      <c r="Q1730" s="84"/>
      <c r="S1730" s="137"/>
      <c r="T1730" s="137"/>
      <c r="V1730" s="137"/>
    </row>
    <row r="1731" spans="1:22">
      <c r="A1731" s="71" t="s">
        <v>9148</v>
      </c>
      <c r="B1731" s="67" t="s">
        <v>9149</v>
      </c>
      <c r="C1731" s="71" t="s">
        <v>103</v>
      </c>
      <c r="D1731" s="78">
        <v>1.75</v>
      </c>
      <c r="E1731" s="663">
        <v>2</v>
      </c>
      <c r="H1731" s="179">
        <v>1.75</v>
      </c>
      <c r="J1731" s="294"/>
      <c r="K1731" s="295"/>
      <c r="L1731" s="72"/>
      <c r="M1731" s="133"/>
      <c r="N1731" s="72"/>
      <c r="O1731" s="224"/>
      <c r="P1731" s="219"/>
      <c r="Q1731" s="84"/>
      <c r="S1731" s="137"/>
      <c r="T1731" s="137"/>
      <c r="V1731" s="137"/>
    </row>
    <row r="1732" spans="1:22">
      <c r="A1732" s="71" t="s">
        <v>9150</v>
      </c>
      <c r="B1732" s="67" t="s">
        <v>9151</v>
      </c>
      <c r="C1732" s="71" t="s">
        <v>103</v>
      </c>
      <c r="D1732" s="78">
        <v>1.85</v>
      </c>
      <c r="E1732" s="663">
        <v>2</v>
      </c>
      <c r="H1732" s="179">
        <v>1.85</v>
      </c>
      <c r="J1732" s="294"/>
      <c r="K1732" s="295"/>
      <c r="L1732" s="72"/>
      <c r="M1732" s="133"/>
      <c r="N1732" s="72"/>
      <c r="O1732" s="224"/>
      <c r="P1732" s="219"/>
      <c r="Q1732" s="84"/>
      <c r="S1732" s="137"/>
      <c r="T1732" s="137"/>
      <c r="V1732" s="137"/>
    </row>
    <row r="1733" spans="1:22">
      <c r="A1733" s="71" t="s">
        <v>9152</v>
      </c>
      <c r="B1733" s="67" t="s">
        <v>9153</v>
      </c>
      <c r="C1733" s="71" t="s">
        <v>103</v>
      </c>
      <c r="D1733" s="78">
        <v>145.4</v>
      </c>
      <c r="E1733" s="663">
        <v>2</v>
      </c>
      <c r="H1733" s="179">
        <v>145.4</v>
      </c>
      <c r="J1733" s="294"/>
      <c r="K1733" s="295"/>
      <c r="L1733" s="72"/>
      <c r="M1733" s="133"/>
      <c r="N1733" s="72"/>
      <c r="O1733" s="224"/>
      <c r="P1733" s="219"/>
      <c r="Q1733" s="84"/>
      <c r="S1733" s="137"/>
      <c r="T1733" s="137"/>
      <c r="V1733" s="137"/>
    </row>
    <row r="1734" spans="1:22">
      <c r="A1734" s="71" t="s">
        <v>9154</v>
      </c>
      <c r="B1734" s="67" t="s">
        <v>9155</v>
      </c>
      <c r="C1734" s="71" t="s">
        <v>103</v>
      </c>
      <c r="D1734" s="78">
        <v>197.02</v>
      </c>
      <c r="E1734" s="663">
        <v>2</v>
      </c>
      <c r="H1734" s="179">
        <v>197.02</v>
      </c>
      <c r="J1734" s="294"/>
      <c r="K1734" s="295"/>
      <c r="L1734" s="72"/>
      <c r="M1734" s="133"/>
      <c r="N1734" s="72"/>
      <c r="O1734" s="224"/>
      <c r="P1734" s="219"/>
      <c r="Q1734" s="84"/>
      <c r="S1734" s="137"/>
      <c r="T1734" s="137"/>
      <c r="V1734" s="137"/>
    </row>
    <row r="1735" spans="1:22">
      <c r="A1735" s="71" t="s">
        <v>9156</v>
      </c>
      <c r="B1735" s="67" t="s">
        <v>9157</v>
      </c>
      <c r="C1735" s="71" t="s">
        <v>103</v>
      </c>
      <c r="D1735" s="78">
        <v>1.56</v>
      </c>
      <c r="E1735" s="663">
        <v>2</v>
      </c>
      <c r="H1735" s="179">
        <v>1.56</v>
      </c>
      <c r="J1735" s="294"/>
      <c r="K1735" s="295"/>
      <c r="L1735" s="72"/>
      <c r="M1735" s="133"/>
      <c r="N1735" s="72"/>
      <c r="O1735" s="224"/>
      <c r="P1735" s="219"/>
      <c r="Q1735" s="84"/>
      <c r="S1735" s="137"/>
      <c r="T1735" s="137"/>
      <c r="V1735" s="137"/>
    </row>
    <row r="1736" spans="1:22">
      <c r="A1736" s="71" t="s">
        <v>9158</v>
      </c>
      <c r="B1736" s="67" t="s">
        <v>9159</v>
      </c>
      <c r="C1736" s="71" t="s">
        <v>103</v>
      </c>
      <c r="D1736" s="78">
        <v>85.58</v>
      </c>
      <c r="E1736" s="663">
        <v>2</v>
      </c>
      <c r="H1736" s="178">
        <v>85.58</v>
      </c>
      <c r="J1736" s="294"/>
      <c r="K1736" s="295"/>
      <c r="L1736" s="72"/>
      <c r="M1736" s="133"/>
      <c r="N1736" s="72"/>
      <c r="O1736" s="224"/>
      <c r="P1736" s="219"/>
      <c r="Q1736" s="84"/>
      <c r="S1736" s="136"/>
      <c r="T1736" s="136"/>
      <c r="V1736" s="136"/>
    </row>
    <row r="1737" spans="1:22">
      <c r="A1737" s="71" t="s">
        <v>9160</v>
      </c>
      <c r="B1737" s="67" t="s">
        <v>9161</v>
      </c>
      <c r="C1737" s="71" t="s">
        <v>103</v>
      </c>
      <c r="D1737" s="78">
        <v>3.14</v>
      </c>
      <c r="E1737" s="663">
        <v>2</v>
      </c>
      <c r="H1737" s="178">
        <v>3.14</v>
      </c>
      <c r="J1737" s="294"/>
      <c r="K1737" s="295"/>
      <c r="L1737" s="72"/>
      <c r="M1737" s="133"/>
      <c r="N1737" s="72"/>
      <c r="O1737" s="224"/>
      <c r="P1737" s="219"/>
      <c r="Q1737" s="84"/>
      <c r="S1737" s="136"/>
      <c r="T1737" s="136"/>
      <c r="V1737" s="140"/>
    </row>
    <row r="1738" spans="1:22">
      <c r="A1738" s="71" t="s">
        <v>9162</v>
      </c>
      <c r="B1738" s="67" t="s">
        <v>9163</v>
      </c>
      <c r="C1738" s="71" t="s">
        <v>103</v>
      </c>
      <c r="D1738" s="78">
        <v>1.18</v>
      </c>
      <c r="E1738" s="663">
        <v>2</v>
      </c>
      <c r="H1738" s="721">
        <v>1.18</v>
      </c>
      <c r="J1738" s="294"/>
      <c r="K1738" s="295"/>
      <c r="M1738" s="72"/>
      <c r="N1738" s="133"/>
      <c r="O1738" s="72"/>
      <c r="P1738" s="224"/>
      <c r="Q1738" s="219"/>
      <c r="T1738" s="136"/>
      <c r="V1738" s="136"/>
    </row>
    <row r="1739" spans="1:22">
      <c r="A1739" s="71" t="s">
        <v>9164</v>
      </c>
      <c r="B1739" s="67" t="s">
        <v>9165</v>
      </c>
      <c r="C1739" s="71" t="s">
        <v>103</v>
      </c>
      <c r="D1739" s="78">
        <v>0.84</v>
      </c>
      <c r="E1739" s="663">
        <v>2</v>
      </c>
      <c r="H1739" s="178">
        <v>0.84</v>
      </c>
      <c r="J1739" s="294"/>
      <c r="K1739" s="295"/>
      <c r="L1739" s="72"/>
      <c r="M1739" s="133"/>
      <c r="N1739" s="72"/>
      <c r="O1739" s="224"/>
      <c r="P1739" s="219"/>
      <c r="Q1739" s="84"/>
      <c r="S1739" s="136"/>
      <c r="T1739" s="136"/>
      <c r="V1739" s="136"/>
    </row>
    <row r="1740" spans="1:22">
      <c r="A1740" s="71" t="s">
        <v>9166</v>
      </c>
      <c r="B1740" s="67" t="s">
        <v>9167</v>
      </c>
      <c r="C1740" s="71" t="s">
        <v>103</v>
      </c>
      <c r="D1740" s="78">
        <v>1228.03</v>
      </c>
      <c r="E1740" s="663">
        <v>2</v>
      </c>
      <c r="H1740" s="179">
        <v>1228.03</v>
      </c>
      <c r="J1740" s="294"/>
      <c r="K1740" s="295"/>
      <c r="L1740" s="72"/>
      <c r="M1740" s="133"/>
      <c r="N1740" s="72"/>
      <c r="O1740" s="224"/>
      <c r="P1740" s="219"/>
      <c r="Q1740" s="84"/>
      <c r="S1740" s="137"/>
      <c r="T1740" s="137"/>
      <c r="V1740" s="137"/>
    </row>
    <row r="1741" spans="1:22">
      <c r="A1741" s="71" t="s">
        <v>9168</v>
      </c>
      <c r="B1741" s="67" t="s">
        <v>9169</v>
      </c>
      <c r="C1741" s="71" t="s">
        <v>103</v>
      </c>
      <c r="D1741" s="78">
        <v>40.6</v>
      </c>
      <c r="E1741" s="663">
        <v>2</v>
      </c>
      <c r="H1741" s="179">
        <v>40.6</v>
      </c>
      <c r="J1741" s="294"/>
      <c r="K1741" s="295"/>
      <c r="L1741" s="72"/>
      <c r="M1741" s="133"/>
      <c r="N1741" s="72"/>
      <c r="O1741" s="224"/>
      <c r="P1741" s="219"/>
      <c r="Q1741" s="84"/>
      <c r="S1741" s="137"/>
      <c r="T1741" s="137"/>
    </row>
    <row r="1742" spans="1:22">
      <c r="A1742" s="71" t="s">
        <v>9170</v>
      </c>
      <c r="B1742" s="67" t="s">
        <v>9171</v>
      </c>
      <c r="C1742" s="71" t="s">
        <v>103</v>
      </c>
      <c r="D1742" s="78">
        <v>3.24</v>
      </c>
      <c r="E1742" s="663">
        <v>2</v>
      </c>
      <c r="H1742" s="179">
        <v>3.24</v>
      </c>
      <c r="J1742" s="294"/>
      <c r="K1742" s="295"/>
      <c r="L1742" s="72"/>
      <c r="M1742" s="133"/>
      <c r="N1742" s="72"/>
      <c r="O1742" s="224"/>
      <c r="P1742" s="219"/>
      <c r="Q1742" s="84"/>
      <c r="S1742" s="137"/>
      <c r="T1742" s="137"/>
    </row>
    <row r="1743" spans="1:22">
      <c r="A1743" s="71" t="s">
        <v>9172</v>
      </c>
      <c r="B1743" s="67" t="s">
        <v>9173</v>
      </c>
      <c r="C1743" s="71" t="s">
        <v>103</v>
      </c>
      <c r="D1743" s="78">
        <v>8.43</v>
      </c>
      <c r="E1743" s="663">
        <v>2</v>
      </c>
      <c r="H1743" s="179">
        <v>8.43</v>
      </c>
      <c r="J1743" s="294"/>
      <c r="K1743" s="295"/>
      <c r="L1743" s="72"/>
      <c r="M1743" s="133"/>
      <c r="N1743" s="72"/>
      <c r="O1743" s="224"/>
      <c r="P1743" s="219"/>
      <c r="Q1743" s="84"/>
      <c r="S1743" s="137"/>
      <c r="T1743" s="137"/>
    </row>
    <row r="1744" spans="1:22">
      <c r="A1744" s="71" t="s">
        <v>9174</v>
      </c>
      <c r="B1744" s="67" t="s">
        <v>9175</v>
      </c>
      <c r="C1744" s="71" t="s">
        <v>103</v>
      </c>
      <c r="D1744" s="78">
        <v>9.1999999999999993</v>
      </c>
      <c r="E1744" s="663">
        <v>2</v>
      </c>
      <c r="H1744" s="179">
        <v>9.1999999999999993</v>
      </c>
      <c r="J1744" s="294"/>
      <c r="K1744" s="295"/>
      <c r="L1744" s="72"/>
      <c r="M1744" s="133"/>
      <c r="N1744" s="72"/>
      <c r="O1744" s="224"/>
      <c r="P1744" s="219"/>
      <c r="Q1744" s="84"/>
      <c r="S1744" s="137"/>
      <c r="T1744" s="137"/>
    </row>
    <row r="1745" spans="1:22">
      <c r="A1745" s="71" t="s">
        <v>9176</v>
      </c>
      <c r="B1745" s="67" t="s">
        <v>9177</v>
      </c>
      <c r="C1745" s="71" t="s">
        <v>103</v>
      </c>
      <c r="D1745" s="78">
        <v>16.47</v>
      </c>
      <c r="E1745" s="663">
        <v>2</v>
      </c>
      <c r="H1745" s="179">
        <v>16.47</v>
      </c>
      <c r="J1745" s="294"/>
      <c r="K1745" s="295"/>
      <c r="L1745" s="72"/>
      <c r="M1745" s="133"/>
      <c r="N1745" s="72"/>
      <c r="O1745" s="224"/>
      <c r="P1745" s="219"/>
      <c r="Q1745" s="84"/>
      <c r="S1745" s="137"/>
      <c r="T1745" s="137"/>
    </row>
    <row r="1746" spans="1:22">
      <c r="A1746" s="71" t="s">
        <v>9178</v>
      </c>
      <c r="B1746" s="67" t="s">
        <v>9179</v>
      </c>
      <c r="C1746" s="71" t="s">
        <v>103</v>
      </c>
      <c r="D1746" s="78">
        <v>15.7</v>
      </c>
      <c r="E1746" s="663">
        <v>2</v>
      </c>
      <c r="H1746" s="178">
        <v>15.7</v>
      </c>
      <c r="J1746" s="294"/>
      <c r="K1746" s="295"/>
      <c r="L1746" s="72"/>
      <c r="M1746" s="133"/>
      <c r="N1746" s="72"/>
      <c r="O1746" s="224"/>
      <c r="P1746" s="219"/>
      <c r="Q1746" s="84"/>
      <c r="S1746" s="136"/>
      <c r="T1746" s="136"/>
    </row>
    <row r="1747" spans="1:22">
      <c r="A1747" s="71" t="s">
        <v>9180</v>
      </c>
      <c r="B1747" s="67" t="s">
        <v>9181</v>
      </c>
      <c r="C1747" s="71" t="s">
        <v>103</v>
      </c>
      <c r="D1747" s="78">
        <v>23.34</v>
      </c>
      <c r="E1747" s="663">
        <v>2</v>
      </c>
      <c r="H1747" s="178">
        <v>23.34</v>
      </c>
      <c r="J1747" s="294"/>
      <c r="K1747" s="295"/>
      <c r="L1747" s="72"/>
      <c r="M1747" s="133"/>
      <c r="N1747" s="72"/>
      <c r="O1747" s="224"/>
      <c r="P1747" s="219"/>
      <c r="Q1747" s="84"/>
      <c r="S1747" s="136"/>
      <c r="T1747" s="136"/>
    </row>
    <row r="1748" spans="1:22">
      <c r="A1748" s="71" t="s">
        <v>9182</v>
      </c>
      <c r="B1748" s="67" t="s">
        <v>9183</v>
      </c>
      <c r="C1748" s="71" t="s">
        <v>103</v>
      </c>
      <c r="D1748" s="78">
        <v>33.28</v>
      </c>
      <c r="E1748" s="663">
        <v>2</v>
      </c>
      <c r="H1748" s="179">
        <v>33.28</v>
      </c>
      <c r="J1748" s="294"/>
      <c r="K1748" s="295"/>
      <c r="L1748" s="72"/>
      <c r="M1748" s="133"/>
      <c r="N1748" s="72"/>
      <c r="O1748" s="224"/>
      <c r="P1748" s="219"/>
      <c r="Q1748" s="84"/>
      <c r="S1748" s="137"/>
      <c r="T1748" s="137"/>
    </row>
    <row r="1749" spans="1:22">
      <c r="A1749" s="71" t="s">
        <v>9184</v>
      </c>
      <c r="B1749" s="67" t="s">
        <v>9185</v>
      </c>
      <c r="C1749" s="71" t="s">
        <v>103</v>
      </c>
      <c r="D1749" s="78">
        <v>41.9</v>
      </c>
      <c r="E1749" s="663">
        <v>2</v>
      </c>
      <c r="H1749" s="178">
        <v>41.9</v>
      </c>
      <c r="J1749" s="294"/>
      <c r="K1749" s="295"/>
      <c r="L1749" s="72"/>
      <c r="M1749" s="133"/>
      <c r="N1749" s="72"/>
      <c r="O1749" s="224"/>
      <c r="P1749" s="219"/>
      <c r="Q1749" s="84"/>
      <c r="S1749" s="136"/>
      <c r="T1749" s="136"/>
    </row>
    <row r="1750" spans="1:22">
      <c r="A1750" s="367" t="s">
        <v>33024</v>
      </c>
      <c r="B1750" s="368" t="s">
        <v>33025</v>
      </c>
      <c r="C1750" s="367" t="s">
        <v>103</v>
      </c>
      <c r="D1750" s="78">
        <v>1.43</v>
      </c>
      <c r="E1750" s="663">
        <v>2</v>
      </c>
      <c r="H1750" s="78">
        <v>1.43</v>
      </c>
    </row>
    <row r="1751" spans="1:22">
      <c r="A1751" s="134" t="s">
        <v>9186</v>
      </c>
      <c r="B1751" s="307" t="s">
        <v>9187</v>
      </c>
      <c r="C1751" s="71" t="s">
        <v>103</v>
      </c>
      <c r="D1751" s="78">
        <v>1.88</v>
      </c>
      <c r="E1751" s="663">
        <v>2</v>
      </c>
      <c r="H1751" s="308">
        <v>1.88</v>
      </c>
      <c r="O1751" s="217"/>
      <c r="P1751" s="217"/>
      <c r="T1751" s="84"/>
    </row>
    <row r="1752" spans="1:22">
      <c r="A1752" s="71" t="s">
        <v>9188</v>
      </c>
      <c r="B1752" s="312" t="s">
        <v>9189</v>
      </c>
      <c r="C1752" s="306" t="s">
        <v>103</v>
      </c>
      <c r="D1752" s="78">
        <v>5.22</v>
      </c>
      <c r="E1752" s="663">
        <v>2</v>
      </c>
      <c r="H1752" s="308">
        <v>5.22</v>
      </c>
      <c r="T1752" s="84"/>
    </row>
    <row r="1753" spans="1:22">
      <c r="A1753" s="367" t="s">
        <v>33030</v>
      </c>
      <c r="B1753" s="368" t="s">
        <v>33031</v>
      </c>
      <c r="C1753" s="367" t="s">
        <v>103</v>
      </c>
      <c r="D1753" s="78">
        <v>4.03</v>
      </c>
      <c r="E1753" s="663">
        <v>2</v>
      </c>
      <c r="H1753" s="78">
        <v>4.03</v>
      </c>
    </row>
    <row r="1754" spans="1:22">
      <c r="A1754" s="367" t="s">
        <v>33022</v>
      </c>
      <c r="B1754" s="368" t="s">
        <v>33023</v>
      </c>
      <c r="C1754" s="367" t="s">
        <v>103</v>
      </c>
      <c r="D1754" s="78">
        <v>6.2</v>
      </c>
      <c r="E1754" s="663">
        <v>2</v>
      </c>
      <c r="H1754" s="78">
        <v>6.2</v>
      </c>
    </row>
    <row r="1755" spans="1:22">
      <c r="A1755" s="134" t="s">
        <v>9190</v>
      </c>
      <c r="B1755" s="307" t="s">
        <v>9191</v>
      </c>
      <c r="C1755" s="71" t="s">
        <v>103</v>
      </c>
      <c r="D1755" s="78">
        <v>7.59</v>
      </c>
      <c r="E1755" s="663">
        <v>2</v>
      </c>
      <c r="H1755" s="308">
        <v>7.59</v>
      </c>
      <c r="O1755" s="217"/>
      <c r="P1755" s="217"/>
      <c r="T1755" s="84"/>
    </row>
    <row r="1756" spans="1:22">
      <c r="A1756" s="367" t="s">
        <v>33026</v>
      </c>
      <c r="B1756" s="368" t="s">
        <v>33027</v>
      </c>
      <c r="C1756" s="367" t="s">
        <v>103</v>
      </c>
      <c r="D1756" s="78">
        <v>10.46</v>
      </c>
      <c r="E1756" s="663">
        <v>2</v>
      </c>
      <c r="H1756" s="78">
        <v>10.46</v>
      </c>
    </row>
    <row r="1757" spans="1:22">
      <c r="A1757" s="367" t="s">
        <v>33028</v>
      </c>
      <c r="B1757" s="368" t="s">
        <v>33029</v>
      </c>
      <c r="C1757" s="367" t="s">
        <v>103</v>
      </c>
      <c r="D1757" s="78">
        <v>16.440000000000001</v>
      </c>
      <c r="E1757" s="663">
        <v>2</v>
      </c>
      <c r="H1757" s="78">
        <v>16.440000000000001</v>
      </c>
    </row>
    <row r="1758" spans="1:22">
      <c r="A1758" s="134" t="s">
        <v>9192</v>
      </c>
      <c r="B1758" s="307" t="s">
        <v>9193</v>
      </c>
      <c r="C1758" s="71" t="s">
        <v>103</v>
      </c>
      <c r="D1758" s="78">
        <v>18.93</v>
      </c>
      <c r="E1758" s="663">
        <v>2</v>
      </c>
      <c r="H1758" s="308">
        <v>18.93</v>
      </c>
      <c r="O1758" s="217"/>
      <c r="P1758" s="217"/>
      <c r="T1758" s="84"/>
    </row>
    <row r="1759" spans="1:22">
      <c r="A1759" s="71" t="s">
        <v>41657</v>
      </c>
      <c r="B1759" s="67" t="s">
        <v>41658</v>
      </c>
      <c r="C1759" s="71" t="s">
        <v>103</v>
      </c>
      <c r="D1759" s="78">
        <v>39.950000000000003</v>
      </c>
      <c r="E1759" s="663">
        <v>2</v>
      </c>
      <c r="H1759" s="721">
        <v>39.950000000000003</v>
      </c>
      <c r="J1759" s="294"/>
      <c r="K1759" s="295"/>
      <c r="M1759" s="72"/>
      <c r="N1759" s="133"/>
      <c r="O1759" s="72"/>
      <c r="P1759" s="224"/>
      <c r="Q1759" s="219"/>
      <c r="T1759" s="136"/>
      <c r="V1759" s="136"/>
    </row>
    <row r="1760" spans="1:22">
      <c r="A1760" s="71" t="s">
        <v>9194</v>
      </c>
      <c r="B1760" s="67" t="s">
        <v>9195</v>
      </c>
      <c r="C1760" s="71" t="s">
        <v>103</v>
      </c>
      <c r="D1760" s="78">
        <v>44.7</v>
      </c>
      <c r="E1760" s="663">
        <v>2</v>
      </c>
      <c r="H1760" s="179">
        <v>44.7</v>
      </c>
      <c r="J1760" s="294"/>
      <c r="K1760" s="295"/>
      <c r="L1760" s="72"/>
      <c r="M1760" s="133"/>
      <c r="N1760" s="72"/>
      <c r="O1760" s="224"/>
      <c r="P1760" s="219"/>
      <c r="Q1760" s="84"/>
      <c r="S1760" s="137"/>
      <c r="T1760" s="137"/>
    </row>
    <row r="1761" spans="1:22">
      <c r="A1761" s="71" t="s">
        <v>9196</v>
      </c>
      <c r="B1761" s="312" t="s">
        <v>9197</v>
      </c>
      <c r="C1761" s="306" t="s">
        <v>103</v>
      </c>
      <c r="D1761" s="78">
        <v>325.60000000000002</v>
      </c>
      <c r="E1761" s="663">
        <v>2</v>
      </c>
      <c r="H1761" s="308">
        <v>325.60000000000002</v>
      </c>
      <c r="T1761" s="84"/>
    </row>
    <row r="1762" spans="1:22">
      <c r="A1762" s="71" t="s">
        <v>9198</v>
      </c>
      <c r="B1762" s="67" t="s">
        <v>9199</v>
      </c>
      <c r="C1762" s="71" t="s">
        <v>103</v>
      </c>
      <c r="D1762" s="78">
        <v>188.91</v>
      </c>
      <c r="E1762" s="663">
        <v>2</v>
      </c>
      <c r="H1762" s="178">
        <v>188.91</v>
      </c>
      <c r="J1762" s="294"/>
      <c r="K1762" s="295"/>
      <c r="L1762" s="72"/>
      <c r="M1762" s="133"/>
      <c r="N1762" s="72"/>
      <c r="O1762" s="224"/>
      <c r="P1762" s="219"/>
      <c r="Q1762" s="84"/>
      <c r="S1762" s="136"/>
      <c r="T1762" s="136"/>
      <c r="V1762" s="136"/>
    </row>
    <row r="1763" spans="1:22">
      <c r="A1763" s="134" t="s">
        <v>9200</v>
      </c>
      <c r="B1763" s="307" t="s">
        <v>9201</v>
      </c>
      <c r="C1763" s="71" t="s">
        <v>103</v>
      </c>
      <c r="D1763" s="78">
        <v>190.48</v>
      </c>
      <c r="E1763" s="663">
        <v>2</v>
      </c>
      <c r="H1763" s="308">
        <v>190.48</v>
      </c>
      <c r="T1763" s="84"/>
    </row>
    <row r="1764" spans="1:22">
      <c r="A1764" s="71" t="s">
        <v>9202</v>
      </c>
      <c r="B1764" s="312" t="s">
        <v>9203</v>
      </c>
      <c r="C1764" s="306" t="s">
        <v>103</v>
      </c>
      <c r="D1764" s="78">
        <v>8.84</v>
      </c>
      <c r="E1764" s="663">
        <v>2</v>
      </c>
      <c r="H1764" s="308">
        <v>8.84</v>
      </c>
      <c r="T1764" s="84"/>
    </row>
    <row r="1765" spans="1:22">
      <c r="A1765" s="71" t="s">
        <v>9204</v>
      </c>
      <c r="B1765" s="307" t="s">
        <v>9205</v>
      </c>
      <c r="C1765" s="306" t="s">
        <v>103</v>
      </c>
      <c r="D1765" s="78">
        <v>8.8699999999999992</v>
      </c>
      <c r="E1765" s="663">
        <v>2</v>
      </c>
      <c r="H1765" s="308">
        <v>8.8699999999999992</v>
      </c>
      <c r="T1765" s="84"/>
    </row>
    <row r="1766" spans="1:22">
      <c r="A1766" s="134" t="s">
        <v>9206</v>
      </c>
      <c r="B1766" s="307" t="s">
        <v>9207</v>
      </c>
      <c r="C1766" s="306" t="s">
        <v>103</v>
      </c>
      <c r="D1766" s="78">
        <v>8.99</v>
      </c>
      <c r="E1766" s="663">
        <v>2</v>
      </c>
      <c r="H1766" s="308">
        <v>8.99</v>
      </c>
      <c r="T1766" s="84"/>
    </row>
    <row r="1767" spans="1:22">
      <c r="A1767" s="134" t="s">
        <v>9208</v>
      </c>
      <c r="B1767" s="307" t="s">
        <v>9209</v>
      </c>
      <c r="C1767" s="71" t="s">
        <v>103</v>
      </c>
      <c r="D1767" s="78">
        <v>8.89</v>
      </c>
      <c r="E1767" s="663">
        <v>2</v>
      </c>
      <c r="H1767" s="308">
        <v>8.89</v>
      </c>
      <c r="T1767" s="84"/>
    </row>
    <row r="1768" spans="1:22">
      <c r="A1768" s="71" t="s">
        <v>41671</v>
      </c>
      <c r="B1768" s="67" t="s">
        <v>41672</v>
      </c>
      <c r="C1768" s="71" t="s">
        <v>103</v>
      </c>
      <c r="D1768" s="78">
        <v>367.23</v>
      </c>
      <c r="E1768" s="663">
        <v>2</v>
      </c>
      <c r="H1768" s="178">
        <v>367.23</v>
      </c>
      <c r="J1768" s="294"/>
      <c r="K1768" s="295"/>
      <c r="M1768" s="72"/>
      <c r="N1768" s="133"/>
      <c r="O1768" s="72"/>
      <c r="P1768" s="224"/>
      <c r="Q1768" s="219"/>
      <c r="T1768" s="136"/>
      <c r="V1768" s="136"/>
    </row>
    <row r="1769" spans="1:22">
      <c r="A1769" s="71" t="s">
        <v>9210</v>
      </c>
      <c r="B1769" s="67" t="s">
        <v>9211</v>
      </c>
      <c r="C1769" s="71" t="s">
        <v>165</v>
      </c>
      <c r="D1769" s="78">
        <v>32.659999999999997</v>
      </c>
      <c r="E1769" s="663">
        <v>2</v>
      </c>
      <c r="H1769" s="179">
        <v>32.659999999999997</v>
      </c>
      <c r="J1769" s="294"/>
      <c r="K1769" s="295"/>
      <c r="L1769" s="72"/>
      <c r="M1769" s="133"/>
      <c r="N1769" s="72"/>
      <c r="O1769" s="224"/>
      <c r="P1769" s="219"/>
      <c r="Q1769" s="84"/>
      <c r="S1769" s="137"/>
      <c r="T1769" s="137"/>
      <c r="V1769" s="137"/>
    </row>
    <row r="1770" spans="1:22">
      <c r="A1770" s="71" t="s">
        <v>9212</v>
      </c>
      <c r="B1770" s="67" t="s">
        <v>9213</v>
      </c>
      <c r="C1770" s="71" t="s">
        <v>165</v>
      </c>
      <c r="D1770" s="78">
        <v>21.53</v>
      </c>
      <c r="E1770" s="663">
        <v>2</v>
      </c>
      <c r="H1770" s="179">
        <v>21.53</v>
      </c>
      <c r="J1770" s="294"/>
      <c r="K1770" s="295"/>
      <c r="L1770" s="72"/>
      <c r="M1770" s="133"/>
      <c r="N1770" s="72"/>
      <c r="O1770" s="224"/>
      <c r="P1770" s="219"/>
      <c r="Q1770" s="84"/>
      <c r="S1770" s="137"/>
      <c r="T1770" s="137"/>
    </row>
    <row r="1771" spans="1:22">
      <c r="A1771" s="71" t="s">
        <v>9214</v>
      </c>
      <c r="B1771" s="67" t="s">
        <v>9215</v>
      </c>
      <c r="C1771" s="71" t="s">
        <v>103</v>
      </c>
      <c r="D1771" s="78">
        <v>4.74</v>
      </c>
      <c r="E1771" s="663">
        <v>2</v>
      </c>
      <c r="H1771" s="179">
        <v>4.74</v>
      </c>
      <c r="J1771" s="294"/>
      <c r="K1771" s="295"/>
      <c r="L1771" s="72"/>
      <c r="M1771" s="133"/>
      <c r="N1771" s="72"/>
      <c r="O1771" s="224"/>
      <c r="P1771" s="219"/>
      <c r="Q1771" s="84"/>
      <c r="S1771" s="137"/>
      <c r="T1771" s="137"/>
    </row>
    <row r="1772" spans="1:22">
      <c r="A1772" s="71" t="s">
        <v>9216</v>
      </c>
      <c r="B1772" s="67" t="s">
        <v>9217</v>
      </c>
      <c r="C1772" s="71" t="s">
        <v>103</v>
      </c>
      <c r="D1772" s="78">
        <v>13.7</v>
      </c>
      <c r="E1772" s="663">
        <v>2</v>
      </c>
      <c r="H1772" s="732">
        <v>13.7</v>
      </c>
      <c r="J1772" s="294"/>
      <c r="K1772" s="295"/>
      <c r="M1772" s="72"/>
      <c r="N1772" s="133"/>
      <c r="O1772" s="72"/>
      <c r="P1772" s="224"/>
      <c r="Q1772" s="219"/>
      <c r="T1772" s="137"/>
      <c r="V1772" s="137"/>
    </row>
    <row r="1773" spans="1:22">
      <c r="A1773" s="71" t="s">
        <v>44233</v>
      </c>
      <c r="B1773" s="67" t="s">
        <v>44234</v>
      </c>
      <c r="C1773" s="71" t="s">
        <v>103</v>
      </c>
      <c r="D1773" s="78">
        <v>121.43</v>
      </c>
      <c r="E1773" s="663">
        <v>2</v>
      </c>
      <c r="H1773" s="721">
        <v>121.43</v>
      </c>
      <c r="J1773" s="294"/>
      <c r="K1773" s="295"/>
      <c r="M1773" s="72"/>
      <c r="N1773" s="133"/>
      <c r="O1773" s="72"/>
      <c r="P1773" s="224"/>
      <c r="Q1773" s="219"/>
      <c r="T1773" s="136"/>
      <c r="V1773" s="136"/>
    </row>
    <row r="1774" spans="1:22">
      <c r="A1774" s="71" t="s">
        <v>9218</v>
      </c>
      <c r="B1774" s="216" t="s">
        <v>9219</v>
      </c>
      <c r="C1774" s="212" t="s">
        <v>103</v>
      </c>
      <c r="D1774" s="78">
        <v>120.23</v>
      </c>
      <c r="E1774" s="663">
        <v>2</v>
      </c>
      <c r="H1774" s="178">
        <v>120.23</v>
      </c>
      <c r="J1774" s="294"/>
      <c r="K1774" s="295"/>
      <c r="L1774" s="72"/>
      <c r="M1774" s="299"/>
      <c r="N1774" s="298"/>
      <c r="O1774" s="224"/>
      <c r="P1774" s="219"/>
      <c r="Q1774" s="84"/>
      <c r="S1774" s="136"/>
      <c r="T1774" s="136"/>
      <c r="V1774" s="136"/>
    </row>
    <row r="1775" spans="1:22">
      <c r="A1775" s="71" t="s">
        <v>9220</v>
      </c>
      <c r="B1775" s="67" t="s">
        <v>9221</v>
      </c>
      <c r="C1775" s="71" t="s">
        <v>103</v>
      </c>
      <c r="D1775" s="78">
        <v>35.04</v>
      </c>
      <c r="E1775" s="663">
        <v>2</v>
      </c>
      <c r="H1775" s="179">
        <v>35.04</v>
      </c>
      <c r="J1775" s="294"/>
      <c r="K1775" s="295"/>
      <c r="L1775" s="72"/>
      <c r="M1775" s="133"/>
      <c r="N1775" s="72"/>
      <c r="O1775" s="224"/>
      <c r="P1775" s="219"/>
      <c r="Q1775" s="84"/>
      <c r="S1775" s="137"/>
      <c r="T1775" s="137"/>
    </row>
    <row r="1776" spans="1:22">
      <c r="A1776" s="71" t="s">
        <v>9222</v>
      </c>
      <c r="B1776" s="67" t="s">
        <v>9223</v>
      </c>
      <c r="C1776" s="71" t="s">
        <v>103</v>
      </c>
      <c r="D1776" s="78">
        <v>63.91</v>
      </c>
      <c r="E1776" s="663">
        <v>2</v>
      </c>
      <c r="H1776" s="179">
        <v>63.91</v>
      </c>
      <c r="J1776" s="294"/>
      <c r="K1776" s="295"/>
      <c r="L1776" s="72"/>
      <c r="M1776" s="133"/>
      <c r="N1776" s="72"/>
      <c r="O1776" s="224"/>
      <c r="P1776" s="219"/>
      <c r="Q1776" s="84"/>
      <c r="S1776" s="137"/>
      <c r="T1776" s="137"/>
    </row>
    <row r="1777" spans="1:22">
      <c r="A1777" s="71" t="s">
        <v>44235</v>
      </c>
      <c r="B1777" s="67" t="s">
        <v>44236</v>
      </c>
      <c r="C1777" s="71" t="s">
        <v>103</v>
      </c>
      <c r="D1777" s="78">
        <v>133.34</v>
      </c>
      <c r="E1777" s="663">
        <v>2</v>
      </c>
      <c r="H1777" s="721">
        <v>133.34</v>
      </c>
      <c r="J1777" s="294"/>
      <c r="K1777" s="295"/>
      <c r="M1777" s="72"/>
      <c r="N1777" s="133"/>
      <c r="O1777" s="72"/>
      <c r="P1777" s="224"/>
      <c r="Q1777" s="219"/>
      <c r="T1777" s="136"/>
      <c r="V1777" s="136"/>
    </row>
    <row r="1778" spans="1:22">
      <c r="A1778" s="71" t="s">
        <v>9224</v>
      </c>
      <c r="B1778" s="67" t="s">
        <v>9225</v>
      </c>
      <c r="C1778" s="71" t="s">
        <v>103</v>
      </c>
      <c r="D1778" s="78">
        <v>240.89</v>
      </c>
      <c r="E1778" s="663">
        <v>2</v>
      </c>
      <c r="H1778" s="179">
        <v>240.89</v>
      </c>
      <c r="J1778" s="294"/>
      <c r="K1778" s="295"/>
      <c r="L1778" s="72"/>
      <c r="M1778" s="133"/>
      <c r="N1778" s="72"/>
      <c r="O1778" s="224"/>
      <c r="P1778" s="219"/>
      <c r="Q1778" s="84"/>
      <c r="S1778" s="137"/>
      <c r="T1778" s="137"/>
    </row>
    <row r="1779" spans="1:22">
      <c r="A1779" s="71" t="s">
        <v>9226</v>
      </c>
      <c r="B1779" s="67" t="s">
        <v>9227</v>
      </c>
      <c r="C1779" s="71" t="s">
        <v>103</v>
      </c>
      <c r="D1779" s="78">
        <v>0.47</v>
      </c>
      <c r="E1779" s="663">
        <v>2</v>
      </c>
      <c r="H1779" s="178">
        <v>0.47</v>
      </c>
      <c r="J1779" s="294"/>
      <c r="K1779" s="295"/>
      <c r="L1779" s="72"/>
      <c r="M1779" s="133"/>
      <c r="N1779" s="72"/>
      <c r="O1779" s="224"/>
      <c r="P1779" s="219"/>
      <c r="Q1779" s="84"/>
      <c r="S1779" s="136"/>
      <c r="T1779" s="136"/>
    </row>
    <row r="1780" spans="1:22">
      <c r="A1780" s="71" t="s">
        <v>9228</v>
      </c>
      <c r="B1780" s="67" t="s">
        <v>9229</v>
      </c>
      <c r="C1780" s="71" t="s">
        <v>103</v>
      </c>
      <c r="D1780" s="78">
        <v>216.62</v>
      </c>
      <c r="E1780" s="663">
        <v>2</v>
      </c>
      <c r="H1780" s="179">
        <v>216.62</v>
      </c>
      <c r="J1780" s="294"/>
      <c r="K1780" s="295"/>
      <c r="L1780" s="72"/>
      <c r="M1780" s="133"/>
      <c r="N1780" s="72"/>
      <c r="O1780" s="224"/>
      <c r="P1780" s="219"/>
      <c r="Q1780" s="84"/>
      <c r="S1780" s="137"/>
      <c r="T1780" s="137"/>
      <c r="V1780" s="137"/>
    </row>
    <row r="1781" spans="1:22">
      <c r="A1781" s="71" t="s">
        <v>9230</v>
      </c>
      <c r="B1781" s="67" t="s">
        <v>9231</v>
      </c>
      <c r="C1781" s="71" t="s">
        <v>103</v>
      </c>
      <c r="D1781" s="78">
        <v>74.87</v>
      </c>
      <c r="E1781" s="663">
        <v>2</v>
      </c>
      <c r="H1781" s="178">
        <v>74.87</v>
      </c>
      <c r="J1781" s="294"/>
      <c r="K1781" s="295"/>
      <c r="L1781" s="72"/>
      <c r="M1781" s="133"/>
      <c r="N1781" s="72"/>
      <c r="O1781" s="224"/>
      <c r="P1781" s="219"/>
      <c r="Q1781" s="84"/>
      <c r="S1781" s="136"/>
      <c r="T1781" s="136"/>
    </row>
    <row r="1782" spans="1:22">
      <c r="A1782" s="71" t="s">
        <v>9232</v>
      </c>
      <c r="B1782" s="312" t="s">
        <v>9233</v>
      </c>
      <c r="C1782" s="306" t="s">
        <v>103</v>
      </c>
      <c r="D1782" s="78">
        <v>97.44</v>
      </c>
      <c r="E1782" s="663">
        <v>2</v>
      </c>
      <c r="H1782" s="308">
        <v>97.44</v>
      </c>
      <c r="T1782" s="84"/>
    </row>
    <row r="1783" spans="1:22">
      <c r="A1783" s="71" t="s">
        <v>44237</v>
      </c>
      <c r="B1783" s="67" t="s">
        <v>44238</v>
      </c>
      <c r="C1783" s="71" t="s">
        <v>103</v>
      </c>
      <c r="D1783" s="78">
        <v>13475</v>
      </c>
      <c r="E1783" s="663">
        <v>2</v>
      </c>
      <c r="H1783" s="721">
        <v>13475</v>
      </c>
      <c r="J1783" s="294"/>
      <c r="K1783" s="295"/>
      <c r="M1783" s="72"/>
      <c r="N1783" s="133"/>
      <c r="O1783" s="72"/>
      <c r="P1783" s="224"/>
      <c r="Q1783" s="219"/>
      <c r="T1783" s="136"/>
      <c r="V1783" s="136"/>
    </row>
    <row r="1784" spans="1:22">
      <c r="A1784" s="71" t="s">
        <v>9234</v>
      </c>
      <c r="B1784" s="67" t="s">
        <v>9235</v>
      </c>
      <c r="C1784" s="71" t="s">
        <v>103</v>
      </c>
      <c r="D1784" s="78">
        <v>2.71</v>
      </c>
      <c r="E1784" s="663">
        <v>2</v>
      </c>
      <c r="H1784" s="178">
        <v>2.71</v>
      </c>
      <c r="J1784" s="294"/>
      <c r="K1784" s="295"/>
      <c r="L1784" s="72"/>
      <c r="M1784" s="133"/>
      <c r="N1784" s="72"/>
      <c r="O1784" s="224"/>
      <c r="P1784" s="219"/>
      <c r="Q1784" s="84"/>
      <c r="S1784" s="136"/>
      <c r="T1784" s="136"/>
    </row>
    <row r="1785" spans="1:22">
      <c r="A1785" s="71" t="s">
        <v>9236</v>
      </c>
      <c r="B1785" s="67" t="s">
        <v>9237</v>
      </c>
      <c r="C1785" s="71" t="s">
        <v>103</v>
      </c>
      <c r="D1785" s="78">
        <v>10.18</v>
      </c>
      <c r="E1785" s="663">
        <v>2</v>
      </c>
      <c r="H1785" s="179">
        <v>10.18</v>
      </c>
      <c r="J1785" s="294"/>
      <c r="K1785" s="295"/>
      <c r="L1785" s="72"/>
      <c r="M1785" s="133"/>
      <c r="N1785" s="72"/>
      <c r="O1785" s="224"/>
      <c r="P1785" s="219"/>
      <c r="Q1785" s="84"/>
      <c r="S1785" s="137"/>
      <c r="T1785" s="137"/>
      <c r="V1785" s="137"/>
    </row>
    <row r="1786" spans="1:22">
      <c r="A1786" s="71" t="s">
        <v>9238</v>
      </c>
      <c r="B1786" s="67" t="s">
        <v>9239</v>
      </c>
      <c r="C1786" s="71" t="s">
        <v>103</v>
      </c>
      <c r="D1786" s="78">
        <v>16.48</v>
      </c>
      <c r="E1786" s="663">
        <v>2</v>
      </c>
      <c r="H1786" s="179">
        <v>16.48</v>
      </c>
      <c r="J1786" s="294"/>
      <c r="K1786" s="295"/>
      <c r="L1786" s="72"/>
      <c r="M1786" s="133"/>
      <c r="N1786" s="72"/>
      <c r="O1786" s="224"/>
      <c r="P1786" s="219"/>
      <c r="Q1786" s="84"/>
      <c r="S1786" s="137"/>
      <c r="T1786" s="137"/>
      <c r="V1786" s="137"/>
    </row>
    <row r="1787" spans="1:22">
      <c r="A1787" s="71" t="s">
        <v>9240</v>
      </c>
      <c r="B1787" s="67" t="s">
        <v>9241</v>
      </c>
      <c r="C1787" s="71" t="s">
        <v>103</v>
      </c>
      <c r="D1787" s="78">
        <v>280.39</v>
      </c>
      <c r="E1787" s="663">
        <v>2</v>
      </c>
      <c r="H1787" s="178">
        <v>280.39</v>
      </c>
      <c r="J1787" s="294"/>
      <c r="K1787" s="295"/>
      <c r="L1787" s="72"/>
      <c r="M1787" s="133"/>
      <c r="N1787" s="72"/>
      <c r="O1787" s="224"/>
      <c r="P1787" s="219"/>
      <c r="Q1787" s="84"/>
      <c r="S1787" s="136"/>
      <c r="T1787" s="136"/>
      <c r="V1787" s="136"/>
    </row>
    <row r="1788" spans="1:22">
      <c r="A1788" s="71" t="s">
        <v>9242</v>
      </c>
      <c r="B1788" s="67" t="s">
        <v>9243</v>
      </c>
      <c r="C1788" s="71" t="s">
        <v>103</v>
      </c>
      <c r="D1788" s="78">
        <v>22.66</v>
      </c>
      <c r="E1788" s="663">
        <v>2</v>
      </c>
      <c r="H1788" s="178">
        <v>22.66</v>
      </c>
      <c r="J1788" s="294"/>
      <c r="K1788" s="295"/>
      <c r="L1788" s="72"/>
      <c r="M1788" s="133"/>
      <c r="N1788" s="72"/>
      <c r="O1788" s="224"/>
      <c r="P1788" s="219"/>
      <c r="Q1788" s="84"/>
      <c r="S1788" s="136"/>
      <c r="T1788" s="136"/>
      <c r="V1788" s="136"/>
    </row>
    <row r="1789" spans="1:22">
      <c r="A1789" s="71" t="s">
        <v>9244</v>
      </c>
      <c r="B1789" s="67" t="s">
        <v>9245</v>
      </c>
      <c r="C1789" s="71" t="s">
        <v>103</v>
      </c>
      <c r="D1789" s="78">
        <v>45.81</v>
      </c>
      <c r="E1789" s="663">
        <v>2</v>
      </c>
      <c r="H1789" s="178">
        <v>45.81</v>
      </c>
      <c r="J1789" s="294"/>
      <c r="K1789" s="295"/>
      <c r="L1789" s="72"/>
      <c r="M1789" s="133"/>
      <c r="N1789" s="72"/>
      <c r="O1789" s="224"/>
      <c r="P1789" s="219"/>
      <c r="Q1789" s="84"/>
      <c r="S1789" s="136"/>
      <c r="T1789" s="136"/>
      <c r="V1789" s="136"/>
    </row>
    <row r="1790" spans="1:22">
      <c r="A1790" s="71" t="s">
        <v>9246</v>
      </c>
      <c r="B1790" s="67" t="s">
        <v>9247</v>
      </c>
      <c r="C1790" s="71" t="s">
        <v>103</v>
      </c>
      <c r="D1790" s="78">
        <v>26.99</v>
      </c>
      <c r="E1790" s="663">
        <v>2</v>
      </c>
      <c r="H1790" s="178">
        <v>26.99</v>
      </c>
      <c r="J1790" s="294"/>
      <c r="K1790" s="295"/>
      <c r="L1790" s="72"/>
      <c r="M1790" s="133"/>
      <c r="N1790" s="72"/>
      <c r="O1790" s="224"/>
      <c r="P1790" s="219"/>
      <c r="Q1790" s="84"/>
      <c r="S1790" s="136"/>
      <c r="T1790" s="136"/>
      <c r="V1790" s="136"/>
    </row>
    <row r="1791" spans="1:22">
      <c r="A1791" s="71" t="s">
        <v>9248</v>
      </c>
      <c r="B1791" s="67" t="s">
        <v>9249</v>
      </c>
      <c r="C1791" s="71" t="s">
        <v>103</v>
      </c>
      <c r="D1791" s="78">
        <v>19.309999999999999</v>
      </c>
      <c r="E1791" s="663">
        <v>2</v>
      </c>
      <c r="H1791" s="178">
        <v>19.309999999999999</v>
      </c>
      <c r="J1791" s="294"/>
      <c r="K1791" s="295"/>
      <c r="L1791" s="72"/>
      <c r="M1791" s="133"/>
      <c r="N1791" s="72"/>
      <c r="O1791" s="224"/>
      <c r="P1791" s="219"/>
      <c r="Q1791" s="84"/>
      <c r="S1791" s="136"/>
      <c r="T1791" s="136"/>
    </row>
    <row r="1792" spans="1:22">
      <c r="A1792" s="71" t="s">
        <v>41675</v>
      </c>
      <c r="B1792" s="67" t="s">
        <v>41676</v>
      </c>
      <c r="C1792" s="71" t="s">
        <v>103</v>
      </c>
      <c r="D1792" s="78">
        <v>25.7</v>
      </c>
      <c r="E1792" s="663">
        <v>2</v>
      </c>
      <c r="H1792" s="178">
        <v>25.7</v>
      </c>
      <c r="J1792" s="294"/>
      <c r="K1792" s="295"/>
      <c r="M1792" s="72"/>
      <c r="N1792" s="133"/>
      <c r="O1792" s="72"/>
      <c r="P1792" s="137"/>
      <c r="Q1792" s="138"/>
      <c r="T1792" s="136"/>
      <c r="V1792" s="136"/>
    </row>
    <row r="1793" spans="1:22">
      <c r="A1793" s="71" t="s">
        <v>9250</v>
      </c>
      <c r="B1793" s="67" t="s">
        <v>9251</v>
      </c>
      <c r="C1793" s="71" t="s">
        <v>103</v>
      </c>
      <c r="D1793" s="78">
        <v>23.51</v>
      </c>
      <c r="E1793" s="663">
        <v>2</v>
      </c>
      <c r="H1793" s="178">
        <v>23.51</v>
      </c>
      <c r="J1793" s="294"/>
      <c r="K1793" s="295"/>
      <c r="L1793" s="72"/>
      <c r="M1793" s="133"/>
      <c r="N1793" s="72"/>
      <c r="O1793" s="224"/>
      <c r="P1793" s="219"/>
      <c r="Q1793" s="84"/>
      <c r="S1793" s="136"/>
      <c r="T1793" s="136"/>
      <c r="V1793" s="136"/>
    </row>
    <row r="1794" spans="1:22">
      <c r="A1794" s="71" t="s">
        <v>9252</v>
      </c>
      <c r="B1794" s="67" t="s">
        <v>9253</v>
      </c>
      <c r="C1794" s="71" t="s">
        <v>103</v>
      </c>
      <c r="D1794" s="78">
        <v>51.78</v>
      </c>
      <c r="E1794" s="663">
        <v>2</v>
      </c>
      <c r="H1794" s="178">
        <v>51.78</v>
      </c>
      <c r="J1794" s="294"/>
      <c r="K1794" s="295"/>
      <c r="L1794" s="72"/>
      <c r="M1794" s="133"/>
      <c r="N1794" s="72"/>
      <c r="O1794" s="224"/>
      <c r="P1794" s="219"/>
      <c r="Q1794" s="84"/>
      <c r="S1794" s="136"/>
      <c r="T1794" s="136"/>
      <c r="V1794" s="136"/>
    </row>
    <row r="1795" spans="1:22">
      <c r="A1795" s="71" t="s">
        <v>9254</v>
      </c>
      <c r="B1795" s="67" t="s">
        <v>9255</v>
      </c>
      <c r="C1795" s="71" t="s">
        <v>103</v>
      </c>
      <c r="D1795" s="78">
        <v>22.58</v>
      </c>
      <c r="E1795" s="663">
        <v>2</v>
      </c>
      <c r="H1795" s="179">
        <v>22.58</v>
      </c>
      <c r="J1795" s="294"/>
      <c r="K1795" s="295"/>
      <c r="L1795" s="72"/>
      <c r="M1795" s="133"/>
      <c r="N1795" s="72"/>
      <c r="O1795" s="224"/>
      <c r="P1795" s="219"/>
      <c r="Q1795" s="84"/>
      <c r="S1795" s="137"/>
      <c r="T1795" s="137"/>
    </row>
    <row r="1796" spans="1:22">
      <c r="A1796" s="71" t="s">
        <v>9256</v>
      </c>
      <c r="B1796" s="67" t="s">
        <v>9257</v>
      </c>
      <c r="C1796" s="71" t="s">
        <v>103</v>
      </c>
      <c r="D1796" s="78">
        <v>9.58</v>
      </c>
      <c r="E1796" s="663">
        <v>2</v>
      </c>
      <c r="H1796" s="178">
        <v>9.58</v>
      </c>
      <c r="J1796" s="294"/>
      <c r="K1796" s="295"/>
      <c r="L1796" s="72"/>
      <c r="M1796" s="133"/>
      <c r="N1796" s="72"/>
      <c r="O1796" s="224"/>
      <c r="P1796" s="219"/>
      <c r="Q1796" s="84"/>
      <c r="S1796" s="136"/>
      <c r="T1796" s="136"/>
    </row>
    <row r="1797" spans="1:22">
      <c r="A1797" s="71" t="s">
        <v>41677</v>
      </c>
      <c r="B1797" s="67" t="s">
        <v>41678</v>
      </c>
      <c r="C1797" s="71" t="s">
        <v>103</v>
      </c>
      <c r="D1797" s="78">
        <v>17.899999999999999</v>
      </c>
      <c r="E1797" s="663">
        <v>2</v>
      </c>
      <c r="H1797" s="178">
        <v>17.899999999999999</v>
      </c>
      <c r="J1797" s="294"/>
      <c r="K1797" s="295"/>
      <c r="M1797" s="72"/>
      <c r="N1797" s="133"/>
      <c r="O1797" s="72"/>
      <c r="P1797" s="137"/>
      <c r="Q1797" s="138"/>
      <c r="T1797" s="136"/>
      <c r="V1797" s="136"/>
    </row>
    <row r="1798" spans="1:22">
      <c r="A1798" s="71" t="s">
        <v>9258</v>
      </c>
      <c r="B1798" s="67" t="s">
        <v>9259</v>
      </c>
      <c r="C1798" s="71" t="s">
        <v>103</v>
      </c>
      <c r="D1798" s="78">
        <v>68.88</v>
      </c>
      <c r="E1798" s="663">
        <v>2</v>
      </c>
      <c r="H1798" s="178">
        <v>68.88</v>
      </c>
      <c r="J1798" s="294"/>
      <c r="K1798" s="295"/>
      <c r="L1798" s="72"/>
      <c r="M1798" s="133"/>
      <c r="N1798" s="72"/>
      <c r="O1798" s="224"/>
      <c r="P1798" s="219"/>
      <c r="Q1798" s="84"/>
      <c r="S1798" s="136"/>
      <c r="T1798" s="136"/>
    </row>
    <row r="1799" spans="1:22">
      <c r="A1799" s="71" t="s">
        <v>9260</v>
      </c>
      <c r="B1799" s="67" t="s">
        <v>28477</v>
      </c>
      <c r="C1799" s="71" t="s">
        <v>103</v>
      </c>
      <c r="D1799" s="78">
        <v>20.59</v>
      </c>
      <c r="E1799" s="663">
        <v>2</v>
      </c>
      <c r="H1799" s="178">
        <v>20.59</v>
      </c>
      <c r="J1799" s="294"/>
      <c r="K1799" s="295"/>
      <c r="L1799" s="72"/>
      <c r="M1799" s="133"/>
      <c r="N1799" s="72"/>
      <c r="O1799" s="224"/>
      <c r="P1799" s="219"/>
      <c r="Q1799" s="84"/>
      <c r="S1799" s="136"/>
      <c r="T1799" s="136"/>
      <c r="V1799" s="136"/>
    </row>
    <row r="1800" spans="1:22">
      <c r="A1800" s="71" t="s">
        <v>9261</v>
      </c>
      <c r="B1800" s="67" t="s">
        <v>9262</v>
      </c>
      <c r="C1800" s="71" t="s">
        <v>103</v>
      </c>
      <c r="D1800" s="78">
        <v>6.3</v>
      </c>
      <c r="E1800" s="663">
        <v>2</v>
      </c>
      <c r="H1800" s="178">
        <v>6.3</v>
      </c>
      <c r="J1800" s="294"/>
      <c r="K1800" s="295"/>
      <c r="L1800" s="72"/>
      <c r="M1800" s="133"/>
      <c r="N1800" s="72"/>
      <c r="O1800" s="224"/>
      <c r="P1800" s="219"/>
      <c r="Q1800" s="84"/>
      <c r="S1800" s="136"/>
      <c r="T1800" s="136"/>
    </row>
    <row r="1801" spans="1:22">
      <c r="A1801" s="71" t="s">
        <v>9263</v>
      </c>
      <c r="B1801" s="67" t="s">
        <v>9264</v>
      </c>
      <c r="C1801" s="71" t="s">
        <v>103</v>
      </c>
      <c r="D1801" s="78">
        <v>4.41</v>
      </c>
      <c r="E1801" s="663">
        <v>2</v>
      </c>
      <c r="H1801" s="178">
        <v>4.41</v>
      </c>
      <c r="J1801" s="294"/>
      <c r="K1801" s="295"/>
      <c r="L1801" s="72"/>
      <c r="M1801" s="133"/>
      <c r="N1801" s="72"/>
      <c r="O1801" s="224"/>
      <c r="P1801" s="219"/>
      <c r="Q1801" s="84"/>
      <c r="S1801" s="136"/>
      <c r="T1801" s="136"/>
    </row>
    <row r="1802" spans="1:22">
      <c r="A1802" s="71" t="s">
        <v>9265</v>
      </c>
      <c r="B1802" s="67" t="s">
        <v>9266</v>
      </c>
      <c r="C1802" s="71" t="s">
        <v>103</v>
      </c>
      <c r="D1802" s="78">
        <v>7.28</v>
      </c>
      <c r="E1802" s="663">
        <v>2</v>
      </c>
      <c r="H1802" s="178">
        <v>7.28</v>
      </c>
      <c r="J1802" s="294"/>
      <c r="K1802" s="295"/>
      <c r="L1802" s="72"/>
      <c r="M1802" s="133"/>
      <c r="N1802" s="72"/>
      <c r="O1802" s="224"/>
      <c r="P1802" s="219"/>
      <c r="Q1802" s="84"/>
      <c r="S1802" s="136"/>
      <c r="T1802" s="136"/>
    </row>
    <row r="1803" spans="1:22">
      <c r="A1803" s="71" t="s">
        <v>9267</v>
      </c>
      <c r="B1803" s="67" t="s">
        <v>9268</v>
      </c>
      <c r="C1803" s="71" t="s">
        <v>103</v>
      </c>
      <c r="D1803" s="78">
        <v>10.79</v>
      </c>
      <c r="E1803" s="663">
        <v>2</v>
      </c>
      <c r="H1803" s="178">
        <v>10.79</v>
      </c>
      <c r="J1803" s="294"/>
      <c r="K1803" s="295"/>
      <c r="L1803" s="72"/>
      <c r="M1803" s="133"/>
      <c r="N1803" s="72"/>
      <c r="O1803" s="224"/>
      <c r="P1803" s="219"/>
      <c r="Q1803" s="84"/>
      <c r="S1803" s="136"/>
      <c r="T1803" s="136"/>
    </row>
    <row r="1804" spans="1:22">
      <c r="A1804" s="71" t="s">
        <v>9269</v>
      </c>
      <c r="B1804" s="67" t="s">
        <v>9270</v>
      </c>
      <c r="C1804" s="71" t="s">
        <v>103</v>
      </c>
      <c r="D1804" s="78">
        <v>1.29</v>
      </c>
      <c r="E1804" s="663">
        <v>2</v>
      </c>
      <c r="H1804" s="178">
        <v>1.29</v>
      </c>
      <c r="J1804" s="294"/>
      <c r="K1804" s="295"/>
      <c r="L1804" s="72"/>
      <c r="M1804" s="133"/>
      <c r="N1804" s="72"/>
      <c r="O1804" s="224"/>
      <c r="P1804" s="219"/>
      <c r="Q1804" s="84"/>
      <c r="S1804" s="136"/>
      <c r="T1804" s="136"/>
      <c r="V1804" s="136"/>
    </row>
    <row r="1805" spans="1:22">
      <c r="A1805" s="71" t="s">
        <v>9271</v>
      </c>
      <c r="B1805" s="67" t="s">
        <v>9272</v>
      </c>
      <c r="C1805" s="71" t="s">
        <v>103</v>
      </c>
      <c r="D1805" s="78">
        <v>3.94</v>
      </c>
      <c r="E1805" s="663">
        <v>2</v>
      </c>
      <c r="H1805" s="178">
        <v>3.94</v>
      </c>
      <c r="J1805" s="294"/>
      <c r="K1805" s="295"/>
      <c r="L1805" s="72"/>
      <c r="M1805" s="133"/>
      <c r="N1805" s="72"/>
      <c r="O1805" s="224"/>
      <c r="P1805" s="219"/>
      <c r="Q1805" s="84"/>
      <c r="S1805" s="136"/>
      <c r="T1805" s="136"/>
      <c r="V1805" s="136"/>
    </row>
    <row r="1806" spans="1:22">
      <c r="A1806" s="134" t="s">
        <v>9273</v>
      </c>
      <c r="B1806" s="304" t="s">
        <v>9274</v>
      </c>
      <c r="C1806" s="71" t="s">
        <v>103</v>
      </c>
      <c r="D1806" s="78">
        <v>7.2</v>
      </c>
      <c r="E1806" s="663">
        <v>2</v>
      </c>
      <c r="H1806" s="308">
        <v>7.2</v>
      </c>
      <c r="T1806" s="84"/>
    </row>
    <row r="1807" spans="1:22">
      <c r="A1807" s="71" t="s">
        <v>9275</v>
      </c>
      <c r="B1807" s="67" t="s">
        <v>9276</v>
      </c>
      <c r="C1807" s="71" t="s">
        <v>103</v>
      </c>
      <c r="D1807" s="78">
        <v>33.090000000000003</v>
      </c>
      <c r="E1807" s="663">
        <v>2</v>
      </c>
      <c r="H1807" s="179">
        <v>33.090000000000003</v>
      </c>
      <c r="J1807" s="294"/>
      <c r="K1807" s="295"/>
      <c r="L1807" s="72"/>
      <c r="M1807" s="133"/>
      <c r="N1807" s="72"/>
      <c r="O1807" s="224"/>
      <c r="P1807" s="219"/>
      <c r="Q1807" s="84"/>
      <c r="S1807" s="137"/>
      <c r="T1807" s="137"/>
    </row>
    <row r="1808" spans="1:22">
      <c r="A1808" s="71" t="s">
        <v>9277</v>
      </c>
      <c r="B1808" s="67" t="s">
        <v>9278</v>
      </c>
      <c r="C1808" s="71" t="s">
        <v>103</v>
      </c>
      <c r="D1808" s="78">
        <v>46.98</v>
      </c>
      <c r="E1808" s="663">
        <v>2</v>
      </c>
      <c r="H1808" s="179">
        <v>46.98</v>
      </c>
      <c r="J1808" s="294"/>
      <c r="K1808" s="295"/>
      <c r="L1808" s="72"/>
      <c r="M1808" s="133"/>
      <c r="N1808" s="72"/>
      <c r="O1808" s="224"/>
      <c r="P1808" s="219"/>
      <c r="Q1808" s="84"/>
      <c r="S1808" s="137"/>
      <c r="T1808" s="137"/>
    </row>
    <row r="1809" spans="1:22">
      <c r="A1809" s="71" t="s">
        <v>9279</v>
      </c>
      <c r="B1809" s="67" t="s">
        <v>9280</v>
      </c>
      <c r="C1809" s="71" t="s">
        <v>103</v>
      </c>
      <c r="D1809" s="78">
        <v>9.01</v>
      </c>
      <c r="E1809" s="663">
        <v>2</v>
      </c>
      <c r="H1809" s="178">
        <v>9.01</v>
      </c>
      <c r="J1809" s="294"/>
      <c r="K1809" s="295"/>
      <c r="L1809" s="72"/>
      <c r="M1809" s="133"/>
      <c r="N1809" s="72"/>
      <c r="O1809" s="224"/>
      <c r="P1809" s="219"/>
      <c r="Q1809" s="84"/>
      <c r="S1809" s="136"/>
      <c r="T1809" s="136"/>
      <c r="V1809" s="136"/>
    </row>
    <row r="1810" spans="1:22">
      <c r="A1810" s="134" t="s">
        <v>9281</v>
      </c>
      <c r="B1810" s="304" t="s">
        <v>9282</v>
      </c>
      <c r="C1810" s="306" t="s">
        <v>207</v>
      </c>
      <c r="D1810" s="78">
        <v>27.88</v>
      </c>
      <c r="E1810" s="663">
        <v>2</v>
      </c>
      <c r="H1810" s="308">
        <v>27.88</v>
      </c>
      <c r="T1810" s="84"/>
    </row>
    <row r="1811" spans="1:22">
      <c r="A1811" s="71" t="s">
        <v>9283</v>
      </c>
      <c r="B1811" s="67" t="s">
        <v>9284</v>
      </c>
      <c r="C1811" s="71" t="s">
        <v>103</v>
      </c>
      <c r="D1811" s="78">
        <v>6.61</v>
      </c>
      <c r="E1811" s="663">
        <v>2</v>
      </c>
      <c r="H1811" s="178">
        <v>6.61</v>
      </c>
      <c r="J1811" s="294"/>
      <c r="K1811" s="295"/>
      <c r="L1811" s="72"/>
      <c r="M1811" s="133"/>
      <c r="N1811" s="72"/>
      <c r="O1811" s="224"/>
      <c r="P1811" s="219"/>
      <c r="Q1811" s="84"/>
      <c r="S1811" s="136"/>
      <c r="T1811" s="136"/>
      <c r="V1811" s="136"/>
    </row>
    <row r="1812" spans="1:22">
      <c r="A1812" s="71" t="s">
        <v>9285</v>
      </c>
      <c r="B1812" s="67" t="s">
        <v>9286</v>
      </c>
      <c r="C1812" s="71" t="s">
        <v>103</v>
      </c>
      <c r="D1812" s="78">
        <v>8.51</v>
      </c>
      <c r="E1812" s="663">
        <v>2</v>
      </c>
      <c r="H1812" s="178">
        <v>8.51</v>
      </c>
      <c r="J1812" s="294"/>
      <c r="K1812" s="295"/>
      <c r="L1812" s="72"/>
      <c r="M1812" s="133"/>
      <c r="N1812" s="72"/>
      <c r="O1812" s="224"/>
      <c r="P1812" s="219"/>
      <c r="Q1812" s="84"/>
      <c r="S1812" s="136"/>
      <c r="T1812" s="136"/>
    </row>
    <row r="1813" spans="1:22">
      <c r="A1813" s="71" t="s">
        <v>9287</v>
      </c>
      <c r="B1813" s="67" t="s">
        <v>9288</v>
      </c>
      <c r="C1813" s="71" t="s">
        <v>103</v>
      </c>
      <c r="D1813" s="78">
        <v>33.869999999999997</v>
      </c>
      <c r="E1813" s="663">
        <v>2</v>
      </c>
      <c r="H1813" s="178">
        <v>33.869999999999997</v>
      </c>
      <c r="J1813" s="294"/>
      <c r="K1813" s="295"/>
      <c r="L1813" s="72"/>
      <c r="M1813" s="133"/>
      <c r="N1813" s="72"/>
      <c r="O1813" s="224"/>
      <c r="P1813" s="219"/>
      <c r="Q1813" s="84"/>
      <c r="S1813" s="136"/>
      <c r="T1813" s="136"/>
      <c r="V1813" s="136"/>
    </row>
    <row r="1814" spans="1:22">
      <c r="A1814" s="71" t="s">
        <v>9289</v>
      </c>
      <c r="B1814" s="67" t="s">
        <v>9290</v>
      </c>
      <c r="C1814" s="71" t="s">
        <v>103</v>
      </c>
      <c r="D1814" s="78">
        <v>33.6</v>
      </c>
      <c r="E1814" s="663">
        <v>2</v>
      </c>
      <c r="H1814" s="178">
        <v>33.6</v>
      </c>
      <c r="J1814" s="294"/>
      <c r="K1814" s="295"/>
      <c r="L1814" s="72"/>
      <c r="M1814" s="133"/>
      <c r="N1814" s="72"/>
      <c r="O1814" s="224"/>
      <c r="P1814" s="219"/>
      <c r="Q1814" s="84"/>
      <c r="S1814" s="136"/>
      <c r="T1814" s="136"/>
    </row>
    <row r="1815" spans="1:22">
      <c r="A1815" s="71" t="s">
        <v>9291</v>
      </c>
      <c r="B1815" s="67" t="s">
        <v>9292</v>
      </c>
      <c r="C1815" s="71" t="s">
        <v>103</v>
      </c>
      <c r="D1815" s="78">
        <v>283.12</v>
      </c>
      <c r="E1815" s="663">
        <v>2</v>
      </c>
      <c r="H1815" s="179">
        <v>283.12</v>
      </c>
      <c r="J1815" s="294"/>
      <c r="K1815" s="295"/>
      <c r="L1815" s="72"/>
      <c r="M1815" s="133"/>
      <c r="N1815" s="72"/>
      <c r="O1815" s="224"/>
      <c r="P1815" s="219"/>
      <c r="Q1815" s="84"/>
      <c r="S1815" s="137"/>
      <c r="T1815" s="137"/>
    </row>
    <row r="1816" spans="1:22">
      <c r="A1816" s="71" t="s">
        <v>9293</v>
      </c>
      <c r="B1816" s="67" t="s">
        <v>9294</v>
      </c>
      <c r="C1816" s="71" t="s">
        <v>103</v>
      </c>
      <c r="D1816" s="78">
        <v>9.84</v>
      </c>
      <c r="E1816" s="663">
        <v>2</v>
      </c>
      <c r="H1816" s="179">
        <v>9.84</v>
      </c>
      <c r="J1816" s="294"/>
      <c r="K1816" s="295"/>
      <c r="L1816" s="72"/>
      <c r="M1816" s="133"/>
      <c r="N1816" s="72"/>
      <c r="O1816" s="224"/>
      <c r="P1816" s="219"/>
      <c r="Q1816" s="84"/>
      <c r="S1816" s="137"/>
      <c r="T1816" s="137"/>
      <c r="V1816" s="137"/>
    </row>
    <row r="1817" spans="1:22">
      <c r="A1817" s="71" t="s">
        <v>9295</v>
      </c>
      <c r="B1817" s="67" t="s">
        <v>9296</v>
      </c>
      <c r="C1817" s="71" t="s">
        <v>103</v>
      </c>
      <c r="D1817" s="78">
        <v>11.6</v>
      </c>
      <c r="E1817" s="663">
        <v>2</v>
      </c>
      <c r="H1817" s="178">
        <v>11.6</v>
      </c>
      <c r="J1817" s="294"/>
      <c r="K1817" s="295"/>
      <c r="L1817" s="72"/>
      <c r="M1817" s="133"/>
      <c r="N1817" s="72"/>
      <c r="O1817" s="224"/>
      <c r="P1817" s="219"/>
      <c r="Q1817" s="84"/>
      <c r="S1817" s="136"/>
      <c r="T1817" s="136"/>
      <c r="V1817" s="136"/>
    </row>
    <row r="1818" spans="1:22">
      <c r="A1818" s="71" t="s">
        <v>9297</v>
      </c>
      <c r="B1818" s="67" t="s">
        <v>9298</v>
      </c>
      <c r="C1818" s="71" t="s">
        <v>103</v>
      </c>
      <c r="D1818" s="78">
        <v>35.25</v>
      </c>
      <c r="E1818" s="663">
        <v>2</v>
      </c>
      <c r="H1818" s="178">
        <v>35.25</v>
      </c>
      <c r="J1818" s="294"/>
      <c r="K1818" s="295"/>
      <c r="M1818" s="72"/>
      <c r="N1818" s="133"/>
      <c r="O1818" s="72"/>
      <c r="P1818" s="137"/>
      <c r="Q1818" s="138"/>
      <c r="T1818" s="136"/>
      <c r="V1818" s="136"/>
    </row>
    <row r="1819" spans="1:22">
      <c r="A1819" s="71" t="s">
        <v>9297</v>
      </c>
      <c r="B1819" s="67" t="s">
        <v>9298</v>
      </c>
      <c r="C1819" s="71" t="s">
        <v>103</v>
      </c>
      <c r="D1819" s="78">
        <v>35.25</v>
      </c>
      <c r="E1819" s="663">
        <v>2</v>
      </c>
      <c r="H1819" s="178">
        <v>35.25</v>
      </c>
      <c r="J1819" s="294"/>
      <c r="K1819" s="295"/>
      <c r="L1819" s="72"/>
      <c r="M1819" s="133"/>
      <c r="N1819" s="72"/>
      <c r="O1819" s="224"/>
      <c r="P1819" s="219"/>
      <c r="Q1819" s="84"/>
      <c r="S1819" s="136"/>
      <c r="T1819" s="136"/>
      <c r="V1819" s="136"/>
    </row>
    <row r="1820" spans="1:22">
      <c r="A1820" s="71" t="s">
        <v>41679</v>
      </c>
      <c r="B1820" s="67" t="s">
        <v>41680</v>
      </c>
      <c r="C1820" s="71" t="s">
        <v>103</v>
      </c>
      <c r="D1820" s="78">
        <v>18.170000000000002</v>
      </c>
      <c r="E1820" s="663">
        <v>2</v>
      </c>
      <c r="H1820" s="178">
        <v>18.170000000000002</v>
      </c>
      <c r="J1820" s="294"/>
      <c r="K1820" s="295"/>
      <c r="M1820" s="72"/>
      <c r="N1820" s="133"/>
      <c r="O1820" s="72"/>
      <c r="P1820" s="137"/>
      <c r="Q1820" s="138"/>
      <c r="T1820" s="136"/>
      <c r="V1820" s="136"/>
    </row>
    <row r="1821" spans="1:22">
      <c r="A1821" s="71" t="s">
        <v>41681</v>
      </c>
      <c r="B1821" s="67" t="s">
        <v>41682</v>
      </c>
      <c r="C1821" s="71" t="s">
        <v>103</v>
      </c>
      <c r="D1821" s="78">
        <v>20.149999999999999</v>
      </c>
      <c r="E1821" s="663">
        <v>2</v>
      </c>
      <c r="H1821" s="178">
        <v>20.149999999999999</v>
      </c>
      <c r="J1821" s="294"/>
      <c r="K1821" s="295"/>
      <c r="M1821" s="72"/>
      <c r="N1821" s="133"/>
      <c r="O1821" s="72"/>
      <c r="P1821" s="137"/>
      <c r="Q1821" s="138"/>
      <c r="T1821" s="136"/>
      <c r="V1821" s="136"/>
    </row>
    <row r="1822" spans="1:22">
      <c r="A1822" s="71" t="s">
        <v>41683</v>
      </c>
      <c r="B1822" s="67" t="s">
        <v>41684</v>
      </c>
      <c r="C1822" s="71" t="s">
        <v>103</v>
      </c>
      <c r="D1822" s="78">
        <v>86.25</v>
      </c>
      <c r="E1822" s="663">
        <v>2</v>
      </c>
      <c r="H1822" s="178">
        <v>86.25</v>
      </c>
      <c r="J1822" s="294"/>
      <c r="K1822" s="295"/>
      <c r="M1822" s="72"/>
      <c r="N1822" s="133"/>
      <c r="O1822" s="72"/>
      <c r="P1822" s="137"/>
      <c r="Q1822" s="138"/>
      <c r="T1822" s="136"/>
      <c r="V1822" s="136"/>
    </row>
    <row r="1823" spans="1:22">
      <c r="A1823" s="71" t="s">
        <v>9299</v>
      </c>
      <c r="B1823" s="67" t="s">
        <v>41687</v>
      </c>
      <c r="C1823" s="71" t="s">
        <v>103</v>
      </c>
      <c r="D1823" s="78">
        <v>27.43</v>
      </c>
      <c r="E1823" s="663">
        <v>2</v>
      </c>
      <c r="H1823" s="178">
        <v>27.43</v>
      </c>
      <c r="J1823" s="294"/>
      <c r="K1823" s="295"/>
      <c r="M1823" s="72"/>
      <c r="N1823" s="133"/>
      <c r="O1823" s="72"/>
      <c r="P1823" s="137"/>
      <c r="Q1823" s="138"/>
      <c r="T1823" s="136"/>
      <c r="V1823" s="136"/>
    </row>
    <row r="1824" spans="1:22">
      <c r="A1824" s="71" t="s">
        <v>41685</v>
      </c>
      <c r="B1824" s="67" t="s">
        <v>41686</v>
      </c>
      <c r="C1824" s="71" t="s">
        <v>103</v>
      </c>
      <c r="D1824" s="78">
        <v>88</v>
      </c>
      <c r="E1824" s="663">
        <v>2</v>
      </c>
      <c r="H1824" s="178">
        <v>88</v>
      </c>
      <c r="J1824" s="294"/>
      <c r="K1824" s="295"/>
      <c r="M1824" s="72"/>
      <c r="N1824" s="133"/>
      <c r="O1824" s="72"/>
      <c r="P1824" s="137"/>
      <c r="Q1824" s="138"/>
      <c r="T1824" s="136"/>
      <c r="V1824" s="136"/>
    </row>
    <row r="1825" spans="1:22">
      <c r="A1825" s="71" t="s">
        <v>9300</v>
      </c>
      <c r="B1825" s="67" t="s">
        <v>9301</v>
      </c>
      <c r="C1825" s="71" t="s">
        <v>103</v>
      </c>
      <c r="D1825" s="78">
        <v>56</v>
      </c>
      <c r="E1825" s="663">
        <v>2</v>
      </c>
      <c r="H1825" s="178">
        <v>56</v>
      </c>
      <c r="J1825" s="294"/>
      <c r="K1825" s="295"/>
      <c r="M1825" s="72"/>
      <c r="N1825" s="133"/>
      <c r="O1825" s="72"/>
      <c r="P1825" s="137"/>
      <c r="Q1825" s="138"/>
      <c r="T1825" s="136"/>
      <c r="V1825" s="136"/>
    </row>
    <row r="1826" spans="1:22">
      <c r="A1826" s="71" t="s">
        <v>9302</v>
      </c>
      <c r="B1826" s="67" t="s">
        <v>9303</v>
      </c>
      <c r="C1826" s="71" t="s">
        <v>103</v>
      </c>
      <c r="D1826" s="78">
        <v>175.43</v>
      </c>
      <c r="E1826" s="663">
        <v>2</v>
      </c>
      <c r="H1826" s="179">
        <v>175.43</v>
      </c>
      <c r="J1826" s="294"/>
      <c r="K1826" s="295"/>
      <c r="L1826" s="72"/>
      <c r="M1826" s="133"/>
      <c r="N1826" s="72"/>
      <c r="O1826" s="224"/>
      <c r="P1826" s="219"/>
      <c r="Q1826" s="84"/>
      <c r="S1826" s="137"/>
      <c r="T1826" s="137"/>
      <c r="V1826" s="137"/>
    </row>
    <row r="1827" spans="1:22">
      <c r="A1827" s="71" t="s">
        <v>9304</v>
      </c>
      <c r="B1827" s="67" t="s">
        <v>9305</v>
      </c>
      <c r="C1827" s="71" t="s">
        <v>165</v>
      </c>
      <c r="D1827" s="78">
        <v>10.050000000000001</v>
      </c>
      <c r="E1827" s="663">
        <v>2</v>
      </c>
      <c r="H1827" s="179">
        <v>10.050000000000001</v>
      </c>
      <c r="J1827" s="294"/>
      <c r="K1827" s="295"/>
      <c r="L1827" s="72"/>
      <c r="M1827" s="133"/>
      <c r="N1827" s="72"/>
      <c r="O1827" s="224"/>
      <c r="P1827" s="219"/>
      <c r="Q1827" s="84"/>
      <c r="S1827" s="137"/>
      <c r="T1827" s="137"/>
      <c r="V1827" s="137"/>
    </row>
    <row r="1828" spans="1:22">
      <c r="A1828" s="71" t="s">
        <v>9306</v>
      </c>
      <c r="B1828" s="67" t="s">
        <v>9307</v>
      </c>
      <c r="C1828" s="71" t="s">
        <v>165</v>
      </c>
      <c r="D1828" s="78">
        <v>16.489999999999998</v>
      </c>
      <c r="E1828" s="663">
        <v>2</v>
      </c>
      <c r="H1828" s="178">
        <v>16.489999999999998</v>
      </c>
      <c r="J1828" s="294"/>
      <c r="K1828" s="295"/>
      <c r="L1828" s="72"/>
      <c r="M1828" s="133"/>
      <c r="N1828" s="72"/>
      <c r="O1828" s="224"/>
      <c r="P1828" s="219"/>
      <c r="Q1828" s="84"/>
      <c r="S1828" s="136"/>
      <c r="T1828" s="136"/>
      <c r="V1828" s="136"/>
    </row>
    <row r="1829" spans="1:22">
      <c r="A1829" s="71" t="s">
        <v>9308</v>
      </c>
      <c r="B1829" s="67" t="s">
        <v>9309</v>
      </c>
      <c r="C1829" s="71" t="s">
        <v>165</v>
      </c>
      <c r="D1829" s="78">
        <v>32.72</v>
      </c>
      <c r="E1829" s="663">
        <v>2</v>
      </c>
      <c r="H1829" s="179">
        <v>32.72</v>
      </c>
      <c r="J1829" s="294"/>
      <c r="K1829" s="295"/>
      <c r="L1829" s="72"/>
      <c r="M1829" s="133"/>
      <c r="N1829" s="72"/>
      <c r="O1829" s="224"/>
      <c r="P1829" s="219"/>
      <c r="Q1829" s="84"/>
      <c r="S1829" s="137"/>
      <c r="T1829" s="137"/>
      <c r="V1829" s="137"/>
    </row>
    <row r="1830" spans="1:22">
      <c r="A1830" s="71" t="s">
        <v>9310</v>
      </c>
      <c r="B1830" s="67" t="s">
        <v>9311</v>
      </c>
      <c r="C1830" s="71" t="s">
        <v>165</v>
      </c>
      <c r="D1830" s="78">
        <v>43.02</v>
      </c>
      <c r="E1830" s="663">
        <v>2</v>
      </c>
      <c r="H1830" s="179">
        <v>43.02</v>
      </c>
      <c r="J1830" s="294"/>
      <c r="K1830" s="295"/>
      <c r="L1830" s="72"/>
      <c r="M1830" s="133"/>
      <c r="N1830" s="72"/>
      <c r="O1830" s="224"/>
      <c r="P1830" s="219"/>
      <c r="Q1830" s="84"/>
      <c r="S1830" s="137"/>
      <c r="T1830" s="137"/>
      <c r="V1830" s="137"/>
    </row>
    <row r="1831" spans="1:22">
      <c r="A1831" s="71" t="s">
        <v>9312</v>
      </c>
      <c r="B1831" s="67" t="s">
        <v>9313</v>
      </c>
      <c r="C1831" s="71" t="s">
        <v>165</v>
      </c>
      <c r="D1831" s="78">
        <v>65.38</v>
      </c>
      <c r="E1831" s="663">
        <v>2</v>
      </c>
      <c r="H1831" s="179">
        <v>65.38</v>
      </c>
      <c r="J1831" s="294"/>
      <c r="K1831" s="295"/>
      <c r="L1831" s="72"/>
      <c r="M1831" s="133"/>
      <c r="N1831" s="72"/>
      <c r="O1831" s="224"/>
      <c r="P1831" s="219"/>
      <c r="Q1831" s="84"/>
      <c r="S1831" s="137"/>
      <c r="T1831" s="137"/>
      <c r="V1831" s="137"/>
    </row>
    <row r="1832" spans="1:22">
      <c r="A1832" s="71" t="s">
        <v>9314</v>
      </c>
      <c r="B1832" s="67" t="s">
        <v>9315</v>
      </c>
      <c r="C1832" s="71" t="s">
        <v>165</v>
      </c>
      <c r="D1832" s="78">
        <v>253.14</v>
      </c>
      <c r="E1832" s="663">
        <v>2</v>
      </c>
      <c r="H1832" s="179">
        <v>253.14</v>
      </c>
      <c r="J1832" s="294"/>
      <c r="K1832" s="295"/>
      <c r="L1832" s="72"/>
      <c r="M1832" s="133"/>
      <c r="N1832" s="72"/>
      <c r="O1832" s="224"/>
      <c r="P1832" s="219"/>
      <c r="Q1832" s="84"/>
      <c r="S1832" s="137"/>
      <c r="T1832" s="137"/>
      <c r="V1832" s="137"/>
    </row>
    <row r="1833" spans="1:22">
      <c r="A1833" s="71" t="s">
        <v>9316</v>
      </c>
      <c r="B1833" s="67" t="s">
        <v>9317</v>
      </c>
      <c r="C1833" s="71" t="s">
        <v>165</v>
      </c>
      <c r="D1833" s="78">
        <v>338.44</v>
      </c>
      <c r="E1833" s="663">
        <v>2</v>
      </c>
      <c r="H1833" s="178">
        <v>338.44</v>
      </c>
      <c r="J1833" s="294"/>
      <c r="K1833" s="295"/>
      <c r="L1833" s="72"/>
      <c r="M1833" s="133"/>
      <c r="N1833" s="72"/>
      <c r="O1833" s="224"/>
      <c r="P1833" s="219"/>
      <c r="Q1833" s="84"/>
      <c r="S1833" s="136"/>
      <c r="T1833" s="136"/>
      <c r="V1833" s="136"/>
    </row>
    <row r="1834" spans="1:22">
      <c r="A1834" s="71" t="s">
        <v>9318</v>
      </c>
      <c r="B1834" s="67" t="s">
        <v>9319</v>
      </c>
      <c r="C1834" s="71" t="s">
        <v>165</v>
      </c>
      <c r="D1834" s="78">
        <v>496.21</v>
      </c>
      <c r="E1834" s="663">
        <v>2</v>
      </c>
      <c r="H1834" s="179">
        <v>496.21</v>
      </c>
      <c r="J1834" s="294"/>
      <c r="K1834" s="295"/>
      <c r="L1834" s="72"/>
      <c r="M1834" s="133"/>
      <c r="N1834" s="72"/>
      <c r="O1834" s="224"/>
      <c r="P1834" s="219"/>
      <c r="Q1834" s="84"/>
      <c r="S1834" s="137"/>
      <c r="T1834" s="137"/>
      <c r="V1834" s="137"/>
    </row>
    <row r="1835" spans="1:22">
      <c r="A1835" s="71" t="s">
        <v>9320</v>
      </c>
      <c r="B1835" s="67" t="s">
        <v>9321</v>
      </c>
      <c r="C1835" s="71" t="s">
        <v>165</v>
      </c>
      <c r="D1835" s="78">
        <v>254.24</v>
      </c>
      <c r="E1835" s="663">
        <v>2</v>
      </c>
      <c r="H1835" s="179">
        <v>254.24</v>
      </c>
      <c r="J1835" s="294"/>
      <c r="K1835" s="295"/>
      <c r="L1835" s="72"/>
      <c r="M1835" s="133"/>
      <c r="N1835" s="72"/>
      <c r="O1835" s="224"/>
      <c r="P1835" s="219"/>
      <c r="Q1835" s="84"/>
      <c r="S1835" s="137"/>
      <c r="T1835" s="137"/>
      <c r="V1835" s="137"/>
    </row>
    <row r="1836" spans="1:22">
      <c r="A1836" s="71" t="s">
        <v>9322</v>
      </c>
      <c r="B1836" s="67" t="s">
        <v>9323</v>
      </c>
      <c r="C1836" s="71" t="s">
        <v>165</v>
      </c>
      <c r="D1836" s="78">
        <v>74.91</v>
      </c>
      <c r="E1836" s="663">
        <v>2</v>
      </c>
      <c r="H1836" s="179">
        <v>74.91</v>
      </c>
      <c r="J1836" s="294"/>
      <c r="K1836" s="295"/>
      <c r="L1836" s="72"/>
      <c r="M1836" s="133"/>
      <c r="N1836" s="72"/>
      <c r="O1836" s="224"/>
      <c r="P1836" s="219"/>
      <c r="Q1836" s="84"/>
      <c r="S1836" s="137"/>
      <c r="T1836" s="137"/>
    </row>
    <row r="1837" spans="1:22">
      <c r="A1837" s="71" t="s">
        <v>9324</v>
      </c>
      <c r="B1837" s="67" t="s">
        <v>9325</v>
      </c>
      <c r="C1837" s="71" t="s">
        <v>165</v>
      </c>
      <c r="D1837" s="78">
        <v>143.1</v>
      </c>
      <c r="E1837" s="663">
        <v>2</v>
      </c>
      <c r="H1837" s="179">
        <v>143.1</v>
      </c>
      <c r="J1837" s="294"/>
      <c r="K1837" s="295"/>
      <c r="L1837" s="72"/>
      <c r="M1837" s="133"/>
      <c r="N1837" s="72"/>
      <c r="O1837" s="224"/>
      <c r="P1837" s="219"/>
      <c r="Q1837" s="84"/>
      <c r="S1837" s="137"/>
      <c r="T1837" s="137"/>
    </row>
    <row r="1838" spans="1:22">
      <c r="A1838" s="71" t="s">
        <v>9326</v>
      </c>
      <c r="B1838" s="67" t="s">
        <v>9327</v>
      </c>
      <c r="C1838" s="71" t="s">
        <v>165</v>
      </c>
      <c r="D1838" s="78">
        <v>8.0500000000000007</v>
      </c>
      <c r="E1838" s="663">
        <v>2</v>
      </c>
      <c r="H1838" s="179">
        <v>8.0500000000000007</v>
      </c>
      <c r="J1838" s="294"/>
      <c r="K1838" s="295"/>
      <c r="L1838" s="72"/>
      <c r="M1838" s="133"/>
      <c r="N1838" s="72"/>
      <c r="O1838" s="224"/>
      <c r="P1838" s="219"/>
      <c r="Q1838" s="84"/>
      <c r="S1838" s="137"/>
      <c r="T1838" s="137"/>
    </row>
    <row r="1839" spans="1:22">
      <c r="A1839" s="71" t="s">
        <v>9328</v>
      </c>
      <c r="B1839" s="67" t="s">
        <v>9329</v>
      </c>
      <c r="C1839" s="71" t="s">
        <v>103</v>
      </c>
      <c r="D1839" s="78">
        <v>11.4</v>
      </c>
      <c r="E1839" s="663">
        <v>2</v>
      </c>
      <c r="H1839" s="178">
        <v>11.4</v>
      </c>
      <c r="J1839" s="294"/>
      <c r="K1839" s="295"/>
      <c r="L1839" s="72"/>
      <c r="M1839" s="133"/>
      <c r="N1839" s="72"/>
      <c r="O1839" s="224"/>
      <c r="P1839" s="219"/>
      <c r="Q1839" s="84"/>
      <c r="S1839" s="136"/>
      <c r="T1839" s="136"/>
      <c r="V1839" s="136"/>
    </row>
    <row r="1840" spans="1:22">
      <c r="A1840" s="71" t="s">
        <v>9330</v>
      </c>
      <c r="B1840" s="67" t="s">
        <v>9331</v>
      </c>
      <c r="C1840" s="71" t="s">
        <v>103</v>
      </c>
      <c r="D1840" s="78">
        <v>20.86</v>
      </c>
      <c r="E1840" s="663">
        <v>2</v>
      </c>
      <c r="H1840" s="179">
        <v>20.86</v>
      </c>
      <c r="J1840" s="294"/>
      <c r="K1840" s="295"/>
      <c r="L1840" s="72"/>
      <c r="M1840" s="133"/>
      <c r="N1840" s="72"/>
      <c r="O1840" s="224"/>
      <c r="P1840" s="219"/>
      <c r="Q1840" s="84"/>
      <c r="S1840" s="137"/>
      <c r="T1840" s="137"/>
      <c r="V1840" s="137"/>
    </row>
    <row r="1841" spans="1:22">
      <c r="A1841" s="71" t="s">
        <v>9332</v>
      </c>
      <c r="B1841" s="67" t="s">
        <v>9333</v>
      </c>
      <c r="C1841" s="71" t="s">
        <v>103</v>
      </c>
      <c r="D1841" s="78">
        <v>9.5500000000000007</v>
      </c>
      <c r="E1841" s="663">
        <v>2</v>
      </c>
      <c r="H1841" s="179">
        <v>9.5500000000000007</v>
      </c>
      <c r="J1841" s="294"/>
      <c r="K1841" s="295"/>
      <c r="L1841" s="72"/>
      <c r="M1841" s="133"/>
      <c r="N1841" s="72"/>
      <c r="O1841" s="224"/>
      <c r="P1841" s="219"/>
      <c r="Q1841" s="84"/>
      <c r="S1841" s="137"/>
      <c r="T1841" s="137"/>
      <c r="V1841" s="137"/>
    </row>
    <row r="1842" spans="1:22">
      <c r="A1842" s="71" t="s">
        <v>9334</v>
      </c>
      <c r="B1842" s="67" t="s">
        <v>9335</v>
      </c>
      <c r="C1842" s="71" t="s">
        <v>103</v>
      </c>
      <c r="D1842" s="78">
        <v>68</v>
      </c>
      <c r="E1842" s="663">
        <v>2</v>
      </c>
      <c r="H1842" s="178">
        <v>68</v>
      </c>
      <c r="J1842" s="294"/>
      <c r="K1842" s="295"/>
      <c r="L1842" s="72"/>
      <c r="M1842" s="133"/>
      <c r="N1842" s="72"/>
      <c r="O1842" s="224"/>
      <c r="P1842" s="219"/>
      <c r="Q1842" s="84"/>
      <c r="S1842" s="136"/>
      <c r="T1842" s="136"/>
      <c r="V1842" s="136"/>
    </row>
    <row r="1843" spans="1:22">
      <c r="A1843" s="367" t="s">
        <v>32847</v>
      </c>
      <c r="B1843" s="368" t="s">
        <v>32848</v>
      </c>
      <c r="C1843" s="367" t="s">
        <v>165</v>
      </c>
      <c r="D1843" s="78">
        <v>17.329999999999998</v>
      </c>
      <c r="E1843" s="663">
        <v>2</v>
      </c>
      <c r="H1843" s="78">
        <v>17.329999999999998</v>
      </c>
    </row>
    <row r="1844" spans="1:22">
      <c r="A1844" s="367" t="s">
        <v>32849</v>
      </c>
      <c r="B1844" s="368" t="s">
        <v>32850</v>
      </c>
      <c r="C1844" s="367" t="s">
        <v>165</v>
      </c>
      <c r="D1844" s="78">
        <v>36.6</v>
      </c>
      <c r="E1844" s="663">
        <v>2</v>
      </c>
      <c r="H1844" s="78">
        <v>36.6</v>
      </c>
    </row>
    <row r="1845" spans="1:22">
      <c r="A1845" s="367" t="s">
        <v>32840</v>
      </c>
      <c r="B1845" s="368" t="s">
        <v>32841</v>
      </c>
      <c r="C1845" s="367" t="s">
        <v>165</v>
      </c>
      <c r="D1845" s="78">
        <v>62.85</v>
      </c>
      <c r="E1845" s="663">
        <v>2</v>
      </c>
      <c r="H1845" s="78">
        <v>62.85</v>
      </c>
    </row>
    <row r="1846" spans="1:22">
      <c r="A1846" s="71" t="s">
        <v>32844</v>
      </c>
      <c r="B1846" s="67" t="s">
        <v>41704</v>
      </c>
      <c r="C1846" s="71" t="s">
        <v>165</v>
      </c>
      <c r="D1846" s="78">
        <v>101.51</v>
      </c>
      <c r="E1846" s="663">
        <v>2</v>
      </c>
      <c r="H1846" s="178">
        <v>101.51</v>
      </c>
      <c r="J1846" s="294"/>
      <c r="K1846" s="295"/>
      <c r="M1846" s="72"/>
      <c r="N1846" s="133"/>
      <c r="O1846" s="72"/>
      <c r="P1846" s="137"/>
      <c r="Q1846" s="138"/>
      <c r="T1846" s="136"/>
      <c r="V1846" s="136"/>
    </row>
    <row r="1847" spans="1:22">
      <c r="A1847" s="367" t="s">
        <v>32845</v>
      </c>
      <c r="B1847" s="368" t="s">
        <v>32846</v>
      </c>
      <c r="C1847" s="367" t="s">
        <v>165</v>
      </c>
      <c r="D1847" s="78">
        <v>148.25</v>
      </c>
      <c r="E1847" s="663">
        <v>2</v>
      </c>
      <c r="H1847" s="78">
        <v>148.25</v>
      </c>
    </row>
    <row r="1848" spans="1:22">
      <c r="A1848" s="134" t="s">
        <v>9336</v>
      </c>
      <c r="B1848" s="304" t="s">
        <v>9337</v>
      </c>
      <c r="C1848" s="71" t="s">
        <v>165</v>
      </c>
      <c r="D1848" s="78">
        <v>183.7</v>
      </c>
      <c r="E1848" s="663">
        <v>2</v>
      </c>
      <c r="H1848" s="308">
        <v>183.7</v>
      </c>
      <c r="T1848" s="84"/>
    </row>
    <row r="1849" spans="1:22">
      <c r="A1849" s="71" t="s">
        <v>9336</v>
      </c>
      <c r="B1849" s="67" t="s">
        <v>41705</v>
      </c>
      <c r="C1849" s="71" t="s">
        <v>165</v>
      </c>
      <c r="D1849" s="78">
        <v>183.7</v>
      </c>
      <c r="E1849" s="663">
        <v>2</v>
      </c>
      <c r="H1849" s="178">
        <v>183.7</v>
      </c>
      <c r="J1849" s="294"/>
      <c r="K1849" s="295"/>
      <c r="M1849" s="72"/>
      <c r="N1849" s="133"/>
      <c r="O1849" s="72"/>
      <c r="P1849" s="137"/>
      <c r="Q1849" s="138"/>
      <c r="T1849" s="136"/>
      <c r="V1849" s="136"/>
    </row>
    <row r="1850" spans="1:22">
      <c r="A1850" s="71" t="s">
        <v>9338</v>
      </c>
      <c r="B1850" s="312" t="s">
        <v>9339</v>
      </c>
      <c r="C1850" s="306" t="s">
        <v>165</v>
      </c>
      <c r="D1850" s="78">
        <v>232.16</v>
      </c>
      <c r="E1850" s="663">
        <v>2</v>
      </c>
      <c r="H1850" s="308">
        <v>232.16</v>
      </c>
      <c r="T1850" s="84"/>
    </row>
    <row r="1851" spans="1:22">
      <c r="A1851" s="134" t="s">
        <v>9340</v>
      </c>
      <c r="B1851" s="312" t="s">
        <v>9341</v>
      </c>
      <c r="C1851" s="71" t="s">
        <v>165</v>
      </c>
      <c r="D1851" s="78">
        <v>374.95</v>
      </c>
      <c r="E1851" s="663">
        <v>2</v>
      </c>
      <c r="H1851" s="308">
        <v>374.95</v>
      </c>
      <c r="T1851" s="84"/>
    </row>
    <row r="1852" spans="1:22">
      <c r="A1852" s="71" t="s">
        <v>9342</v>
      </c>
      <c r="B1852" s="312" t="s">
        <v>9343</v>
      </c>
      <c r="C1852" s="306" t="s">
        <v>165</v>
      </c>
      <c r="D1852" s="78">
        <v>416.54</v>
      </c>
      <c r="E1852" s="663">
        <v>2</v>
      </c>
      <c r="H1852" s="308">
        <v>416.54</v>
      </c>
      <c r="T1852" s="84"/>
    </row>
    <row r="1853" spans="1:22">
      <c r="A1853" s="367" t="s">
        <v>32842</v>
      </c>
      <c r="B1853" s="368" t="s">
        <v>32843</v>
      </c>
      <c r="C1853" s="367" t="s">
        <v>165</v>
      </c>
      <c r="D1853" s="78">
        <v>611.49</v>
      </c>
      <c r="E1853" s="663">
        <v>2</v>
      </c>
      <c r="H1853" s="78">
        <v>611.49</v>
      </c>
    </row>
    <row r="1854" spans="1:22">
      <c r="A1854" s="71" t="s">
        <v>9344</v>
      </c>
      <c r="B1854" s="67" t="s">
        <v>9345</v>
      </c>
      <c r="C1854" s="71" t="s">
        <v>103</v>
      </c>
      <c r="D1854" s="78">
        <v>10.58</v>
      </c>
      <c r="E1854" s="663">
        <v>2</v>
      </c>
      <c r="H1854" s="179">
        <v>10.58</v>
      </c>
      <c r="J1854" s="294"/>
      <c r="K1854" s="295"/>
      <c r="L1854" s="72"/>
      <c r="M1854" s="133"/>
      <c r="N1854" s="72"/>
      <c r="O1854" s="224"/>
      <c r="P1854" s="219"/>
      <c r="Q1854" s="84"/>
      <c r="S1854" s="137"/>
      <c r="T1854" s="137"/>
    </row>
    <row r="1855" spans="1:22">
      <c r="A1855" s="71" t="s">
        <v>9346</v>
      </c>
      <c r="B1855" s="67" t="s">
        <v>9347</v>
      </c>
      <c r="C1855" s="71" t="s">
        <v>103</v>
      </c>
      <c r="D1855" s="78">
        <v>28.23</v>
      </c>
      <c r="E1855" s="663">
        <v>2</v>
      </c>
      <c r="H1855" s="179">
        <v>28.23</v>
      </c>
      <c r="J1855" s="294"/>
      <c r="K1855" s="295"/>
      <c r="L1855" s="72"/>
      <c r="M1855" s="133"/>
      <c r="N1855" s="72"/>
      <c r="O1855" s="224"/>
      <c r="P1855" s="219"/>
      <c r="Q1855" s="84"/>
      <c r="S1855" s="137"/>
      <c r="T1855" s="137"/>
    </row>
    <row r="1856" spans="1:22">
      <c r="A1856" s="71" t="s">
        <v>9348</v>
      </c>
      <c r="B1856" s="67" t="s">
        <v>9349</v>
      </c>
      <c r="C1856" s="71" t="s">
        <v>165</v>
      </c>
      <c r="D1856" s="78">
        <v>1.91</v>
      </c>
      <c r="E1856" s="663">
        <v>2</v>
      </c>
      <c r="H1856" s="179">
        <v>1.91</v>
      </c>
      <c r="J1856" s="294"/>
      <c r="K1856" s="295"/>
      <c r="L1856" s="72"/>
      <c r="M1856" s="133"/>
      <c r="N1856" s="72"/>
      <c r="O1856" s="224"/>
      <c r="P1856" s="219"/>
      <c r="Q1856" s="84"/>
      <c r="S1856" s="137"/>
      <c r="T1856" s="137"/>
      <c r="V1856" s="137"/>
    </row>
    <row r="1857" spans="1:22">
      <c r="A1857" s="71" t="s">
        <v>9350</v>
      </c>
      <c r="B1857" s="67" t="s">
        <v>9351</v>
      </c>
      <c r="C1857" s="71" t="s">
        <v>103</v>
      </c>
      <c r="D1857" s="78">
        <v>7.13</v>
      </c>
      <c r="E1857" s="663">
        <v>2</v>
      </c>
      <c r="H1857" s="179">
        <v>7.13</v>
      </c>
      <c r="J1857" s="294"/>
      <c r="K1857" s="295"/>
      <c r="L1857" s="72"/>
      <c r="M1857" s="133"/>
      <c r="N1857" s="72"/>
      <c r="O1857" s="224"/>
      <c r="P1857" s="219"/>
      <c r="Q1857" s="84"/>
      <c r="S1857" s="137"/>
      <c r="T1857" s="137"/>
    </row>
    <row r="1858" spans="1:22">
      <c r="A1858" s="71" t="s">
        <v>9352</v>
      </c>
      <c r="B1858" s="67" t="s">
        <v>9353</v>
      </c>
      <c r="C1858" s="71" t="s">
        <v>103</v>
      </c>
      <c r="D1858" s="78">
        <v>46.26</v>
      </c>
      <c r="E1858" s="663">
        <v>2</v>
      </c>
      <c r="H1858" s="179">
        <v>46.26</v>
      </c>
      <c r="J1858" s="294"/>
      <c r="K1858" s="295"/>
      <c r="L1858" s="72"/>
      <c r="M1858" s="133"/>
      <c r="N1858" s="72"/>
      <c r="O1858" s="224"/>
      <c r="P1858" s="219"/>
      <c r="Q1858" s="84"/>
      <c r="S1858" s="137"/>
      <c r="T1858" s="137"/>
    </row>
    <row r="1859" spans="1:22">
      <c r="A1859" s="134" t="s">
        <v>9354</v>
      </c>
      <c r="B1859" s="312" t="s">
        <v>9355</v>
      </c>
      <c r="C1859" s="306" t="s">
        <v>6786</v>
      </c>
      <c r="D1859" s="78">
        <v>41.24</v>
      </c>
      <c r="E1859" s="663">
        <v>2</v>
      </c>
      <c r="H1859" s="308">
        <v>41.24</v>
      </c>
      <c r="T1859" s="84"/>
    </row>
    <row r="1860" spans="1:22">
      <c r="A1860" s="134" t="s">
        <v>9356</v>
      </c>
      <c r="B1860" s="312" t="s">
        <v>9357</v>
      </c>
      <c r="C1860" s="306" t="s">
        <v>6786</v>
      </c>
      <c r="D1860" s="78">
        <v>1243.5</v>
      </c>
      <c r="E1860" s="663">
        <v>2</v>
      </c>
      <c r="H1860" s="308">
        <v>1243.5</v>
      </c>
      <c r="T1860" s="84"/>
    </row>
    <row r="1861" spans="1:22">
      <c r="A1861" s="134" t="s">
        <v>9358</v>
      </c>
      <c r="B1861" s="312" t="s">
        <v>9359</v>
      </c>
      <c r="C1861" s="306" t="s">
        <v>103</v>
      </c>
      <c r="D1861" s="78">
        <v>74.56</v>
      </c>
      <c r="E1861" s="663">
        <v>2</v>
      </c>
      <c r="H1861" s="308">
        <v>74.56</v>
      </c>
      <c r="T1861" s="84"/>
    </row>
    <row r="1862" spans="1:22">
      <c r="A1862" s="71" t="s">
        <v>9360</v>
      </c>
      <c r="B1862" s="67" t="s">
        <v>9361</v>
      </c>
      <c r="C1862" s="71" t="s">
        <v>103</v>
      </c>
      <c r="D1862" s="78">
        <v>242.29</v>
      </c>
      <c r="E1862" s="663">
        <v>2</v>
      </c>
      <c r="H1862" s="179">
        <v>242.29</v>
      </c>
      <c r="J1862" s="294"/>
      <c r="K1862" s="295"/>
      <c r="L1862" s="72"/>
      <c r="M1862" s="133"/>
      <c r="N1862" s="72"/>
      <c r="O1862" s="224"/>
      <c r="P1862" s="219"/>
      <c r="Q1862" s="84"/>
      <c r="S1862" s="137"/>
      <c r="T1862" s="137"/>
      <c r="V1862" s="140"/>
    </row>
    <row r="1863" spans="1:22">
      <c r="A1863" s="71" t="s">
        <v>9362</v>
      </c>
      <c r="B1863" s="67" t="s">
        <v>9363</v>
      </c>
      <c r="C1863" s="71" t="s">
        <v>103</v>
      </c>
      <c r="D1863" s="78">
        <v>92.42</v>
      </c>
      <c r="E1863" s="663">
        <v>2</v>
      </c>
      <c r="H1863" s="179">
        <v>92.42</v>
      </c>
      <c r="J1863" s="294"/>
      <c r="K1863" s="295"/>
      <c r="L1863" s="72"/>
      <c r="M1863" s="133"/>
      <c r="N1863" s="72"/>
      <c r="O1863" s="224"/>
      <c r="P1863" s="219"/>
      <c r="Q1863" s="84"/>
      <c r="S1863" s="137"/>
      <c r="T1863" s="137"/>
    </row>
    <row r="1864" spans="1:22">
      <c r="A1864" s="71" t="s">
        <v>9364</v>
      </c>
      <c r="B1864" s="67" t="s">
        <v>9365</v>
      </c>
      <c r="C1864" s="71" t="s">
        <v>103</v>
      </c>
      <c r="D1864" s="78">
        <v>138.18</v>
      </c>
      <c r="E1864" s="663">
        <v>2</v>
      </c>
      <c r="H1864" s="178">
        <v>138.18</v>
      </c>
      <c r="J1864" s="294"/>
      <c r="K1864" s="295"/>
      <c r="L1864" s="72"/>
      <c r="M1864" s="133"/>
      <c r="N1864" s="72"/>
      <c r="O1864" s="224"/>
      <c r="P1864" s="219"/>
      <c r="Q1864" s="84"/>
      <c r="S1864" s="136"/>
      <c r="T1864" s="136"/>
    </row>
    <row r="1865" spans="1:22">
      <c r="A1865" s="71" t="s">
        <v>9366</v>
      </c>
      <c r="B1865" s="67" t="s">
        <v>9367</v>
      </c>
      <c r="C1865" s="71" t="s">
        <v>103</v>
      </c>
      <c r="D1865" s="78">
        <v>107.9</v>
      </c>
      <c r="E1865" s="663">
        <v>2</v>
      </c>
      <c r="H1865" s="178">
        <v>107.9</v>
      </c>
      <c r="J1865" s="294"/>
      <c r="K1865" s="295"/>
      <c r="L1865" s="72"/>
      <c r="M1865" s="133"/>
      <c r="N1865" s="72"/>
      <c r="O1865" s="224"/>
      <c r="P1865" s="219"/>
      <c r="Q1865" s="84"/>
      <c r="S1865" s="136"/>
      <c r="T1865" s="136"/>
    </row>
    <row r="1866" spans="1:22">
      <c r="A1866" s="71" t="s">
        <v>9368</v>
      </c>
      <c r="B1866" s="67" t="s">
        <v>9369</v>
      </c>
      <c r="C1866" s="71" t="s">
        <v>103</v>
      </c>
      <c r="D1866" s="78">
        <v>126.54</v>
      </c>
      <c r="E1866" s="663">
        <v>2</v>
      </c>
      <c r="H1866" s="179">
        <v>126.54</v>
      </c>
      <c r="J1866" s="294"/>
      <c r="K1866" s="295"/>
      <c r="L1866" s="72"/>
      <c r="M1866" s="133"/>
      <c r="N1866" s="72"/>
      <c r="O1866" s="224"/>
      <c r="P1866" s="219"/>
      <c r="Q1866" s="84"/>
      <c r="S1866" s="137"/>
      <c r="T1866" s="137"/>
    </row>
    <row r="1867" spans="1:22">
      <c r="A1867" s="71" t="s">
        <v>9370</v>
      </c>
      <c r="B1867" s="67" t="s">
        <v>9371</v>
      </c>
      <c r="C1867" s="71" t="s">
        <v>103</v>
      </c>
      <c r="D1867" s="78">
        <v>66.97</v>
      </c>
      <c r="E1867" s="663">
        <v>2</v>
      </c>
      <c r="H1867" s="179">
        <v>66.97</v>
      </c>
      <c r="J1867" s="294"/>
      <c r="K1867" s="295"/>
      <c r="L1867" s="72"/>
      <c r="M1867" s="133"/>
      <c r="N1867" s="72"/>
      <c r="O1867" s="224"/>
      <c r="P1867" s="219"/>
      <c r="Q1867" s="84"/>
      <c r="S1867" s="137"/>
      <c r="T1867" s="137"/>
    </row>
    <row r="1868" spans="1:22">
      <c r="A1868" s="71" t="s">
        <v>9372</v>
      </c>
      <c r="B1868" s="67" t="s">
        <v>9373</v>
      </c>
      <c r="C1868" s="71" t="s">
        <v>103</v>
      </c>
      <c r="D1868" s="78">
        <v>73.06</v>
      </c>
      <c r="E1868" s="663">
        <v>2</v>
      </c>
      <c r="H1868" s="179">
        <v>73.06</v>
      </c>
      <c r="J1868" s="294"/>
      <c r="K1868" s="295"/>
      <c r="L1868" s="72"/>
      <c r="M1868" s="133"/>
      <c r="N1868" s="72"/>
      <c r="O1868" s="224"/>
      <c r="P1868" s="219"/>
      <c r="Q1868" s="84"/>
      <c r="S1868" s="137"/>
      <c r="T1868" s="137"/>
    </row>
    <row r="1869" spans="1:22">
      <c r="A1869" s="71" t="s">
        <v>9374</v>
      </c>
      <c r="B1869" s="67" t="s">
        <v>9375</v>
      </c>
      <c r="C1869" s="71" t="s">
        <v>103</v>
      </c>
      <c r="D1869" s="78">
        <v>57.61</v>
      </c>
      <c r="E1869" s="663">
        <v>2</v>
      </c>
      <c r="H1869" s="179">
        <v>57.61</v>
      </c>
      <c r="J1869" s="294"/>
      <c r="K1869" s="295"/>
      <c r="L1869" s="72"/>
      <c r="M1869" s="133"/>
      <c r="N1869" s="72"/>
      <c r="O1869" s="224"/>
      <c r="P1869" s="219"/>
      <c r="Q1869" s="84"/>
      <c r="S1869" s="137"/>
      <c r="T1869" s="137"/>
    </row>
    <row r="1870" spans="1:22">
      <c r="A1870" s="134" t="s">
        <v>9376</v>
      </c>
      <c r="B1870" s="312" t="s">
        <v>9377</v>
      </c>
      <c r="C1870" s="306" t="s">
        <v>103</v>
      </c>
      <c r="D1870" s="78">
        <v>626.84</v>
      </c>
      <c r="E1870" s="663">
        <v>2</v>
      </c>
      <c r="H1870" s="308">
        <v>626.84</v>
      </c>
      <c r="T1870" s="84"/>
    </row>
    <row r="1871" spans="1:22">
      <c r="A1871" s="134" t="s">
        <v>9378</v>
      </c>
      <c r="B1871" s="312" t="s">
        <v>9379</v>
      </c>
      <c r="C1871" s="306" t="s">
        <v>103</v>
      </c>
      <c r="D1871" s="78">
        <v>69.98</v>
      </c>
      <c r="E1871" s="663">
        <v>2</v>
      </c>
      <c r="H1871" s="308">
        <v>69.98</v>
      </c>
      <c r="T1871" s="84"/>
    </row>
    <row r="1872" spans="1:22">
      <c r="A1872" s="71" t="s">
        <v>9380</v>
      </c>
      <c r="B1872" s="67" t="s">
        <v>9381</v>
      </c>
      <c r="C1872" s="71" t="s">
        <v>103</v>
      </c>
      <c r="D1872" s="78">
        <v>62.55</v>
      </c>
      <c r="E1872" s="663">
        <v>2</v>
      </c>
      <c r="H1872" s="179">
        <v>62.55</v>
      </c>
      <c r="J1872" s="294"/>
      <c r="K1872" s="295"/>
      <c r="L1872" s="72"/>
      <c r="M1872" s="133"/>
      <c r="N1872" s="72"/>
      <c r="O1872" s="224"/>
      <c r="P1872" s="219"/>
      <c r="Q1872" s="84"/>
      <c r="S1872" s="137"/>
      <c r="T1872" s="137"/>
    </row>
    <row r="1873" spans="1:22">
      <c r="A1873" s="71" t="s">
        <v>9382</v>
      </c>
      <c r="B1873" s="67" t="s">
        <v>9383</v>
      </c>
      <c r="C1873" s="71" t="s">
        <v>103</v>
      </c>
      <c r="D1873" s="78">
        <v>165.94</v>
      </c>
      <c r="E1873" s="663">
        <v>2</v>
      </c>
      <c r="H1873" s="179">
        <v>165.94</v>
      </c>
      <c r="J1873" s="294"/>
      <c r="K1873" s="295"/>
      <c r="L1873" s="72"/>
      <c r="M1873" s="133"/>
      <c r="N1873" s="72"/>
      <c r="O1873" s="224"/>
      <c r="P1873" s="219"/>
      <c r="Q1873" s="84"/>
      <c r="S1873" s="137"/>
      <c r="T1873" s="137"/>
    </row>
    <row r="1874" spans="1:22">
      <c r="A1874" s="71" t="s">
        <v>9384</v>
      </c>
      <c r="B1874" s="67" t="s">
        <v>9385</v>
      </c>
      <c r="C1874" s="71" t="s">
        <v>103</v>
      </c>
      <c r="D1874" s="78">
        <v>617.88</v>
      </c>
      <c r="E1874" s="663">
        <v>2</v>
      </c>
      <c r="H1874" s="179">
        <v>617.88</v>
      </c>
      <c r="J1874" s="294"/>
      <c r="K1874" s="295"/>
      <c r="L1874" s="72"/>
      <c r="M1874" s="133"/>
      <c r="N1874" s="72"/>
      <c r="O1874" s="224"/>
      <c r="P1874" s="219"/>
      <c r="Q1874" s="84"/>
      <c r="S1874" s="137"/>
      <c r="T1874" s="137"/>
    </row>
    <row r="1875" spans="1:22">
      <c r="A1875" s="71" t="s">
        <v>9386</v>
      </c>
      <c r="B1875" s="67" t="s">
        <v>9387</v>
      </c>
      <c r="C1875" s="71" t="s">
        <v>6786</v>
      </c>
      <c r="D1875" s="78">
        <v>612.6</v>
      </c>
      <c r="E1875" s="663">
        <v>2</v>
      </c>
      <c r="H1875" s="179">
        <v>612.6</v>
      </c>
      <c r="J1875" s="294"/>
      <c r="K1875" s="295"/>
      <c r="L1875" s="72"/>
      <c r="M1875" s="133"/>
      <c r="N1875" s="72"/>
      <c r="O1875" s="224"/>
      <c r="P1875" s="219"/>
      <c r="Q1875" s="84"/>
      <c r="S1875" s="137"/>
      <c r="T1875" s="137"/>
      <c r="V1875" s="137"/>
    </row>
    <row r="1876" spans="1:22">
      <c r="A1876" s="71" t="s">
        <v>9388</v>
      </c>
      <c r="B1876" s="67" t="s">
        <v>9389</v>
      </c>
      <c r="C1876" s="71" t="s">
        <v>165</v>
      </c>
      <c r="D1876" s="78">
        <v>86.33</v>
      </c>
      <c r="E1876" s="663">
        <v>2</v>
      </c>
      <c r="H1876" s="178">
        <v>86.33</v>
      </c>
      <c r="J1876" s="294"/>
      <c r="K1876" s="295"/>
      <c r="L1876" s="72"/>
      <c r="M1876" s="133"/>
      <c r="N1876" s="72"/>
      <c r="O1876" s="224"/>
      <c r="P1876" s="219"/>
      <c r="Q1876" s="84"/>
      <c r="S1876" s="136"/>
      <c r="T1876" s="136"/>
    </row>
    <row r="1877" spans="1:22">
      <c r="A1877" s="71" t="s">
        <v>9390</v>
      </c>
      <c r="B1877" s="67" t="s">
        <v>9391</v>
      </c>
      <c r="C1877" s="71" t="s">
        <v>165</v>
      </c>
      <c r="D1877" s="78">
        <v>98.7</v>
      </c>
      <c r="E1877" s="663">
        <v>2</v>
      </c>
      <c r="H1877" s="178">
        <v>98.7</v>
      </c>
      <c r="J1877" s="294"/>
      <c r="K1877" s="295"/>
      <c r="L1877" s="72"/>
      <c r="M1877" s="133"/>
      <c r="N1877" s="72"/>
      <c r="O1877" s="224"/>
      <c r="P1877" s="219"/>
      <c r="Q1877" s="84"/>
      <c r="S1877" s="136"/>
      <c r="T1877" s="136"/>
    </row>
    <row r="1878" spans="1:22">
      <c r="A1878" s="71" t="s">
        <v>9392</v>
      </c>
      <c r="B1878" s="67" t="s">
        <v>9393</v>
      </c>
      <c r="C1878" s="71" t="s">
        <v>165</v>
      </c>
      <c r="D1878" s="78">
        <v>128.53</v>
      </c>
      <c r="E1878" s="663">
        <v>2</v>
      </c>
      <c r="H1878" s="178">
        <v>128.53</v>
      </c>
      <c r="J1878" s="294"/>
      <c r="K1878" s="295"/>
      <c r="L1878" s="72"/>
      <c r="M1878" s="133"/>
      <c r="N1878" s="72"/>
      <c r="O1878" s="224"/>
      <c r="P1878" s="219"/>
      <c r="Q1878" s="84"/>
      <c r="S1878" s="136"/>
      <c r="T1878" s="136"/>
    </row>
    <row r="1879" spans="1:22">
      <c r="A1879" s="71" t="s">
        <v>9394</v>
      </c>
      <c r="B1879" s="67" t="s">
        <v>9395</v>
      </c>
      <c r="C1879" s="71" t="s">
        <v>165</v>
      </c>
      <c r="D1879" s="78">
        <v>159.08000000000001</v>
      </c>
      <c r="E1879" s="663">
        <v>2</v>
      </c>
      <c r="H1879" s="178">
        <v>159.08000000000001</v>
      </c>
      <c r="J1879" s="294"/>
      <c r="K1879" s="295"/>
      <c r="L1879" s="72"/>
      <c r="M1879" s="133"/>
      <c r="N1879" s="72"/>
      <c r="O1879" s="224"/>
      <c r="P1879" s="219"/>
      <c r="Q1879" s="84"/>
      <c r="S1879" s="136"/>
      <c r="T1879" s="136"/>
    </row>
    <row r="1880" spans="1:22">
      <c r="A1880" s="71" t="s">
        <v>9396</v>
      </c>
      <c r="B1880" s="67" t="s">
        <v>9397</v>
      </c>
      <c r="C1880" s="71" t="s">
        <v>165</v>
      </c>
      <c r="D1880" s="78">
        <v>341.61</v>
      </c>
      <c r="E1880" s="663">
        <v>2</v>
      </c>
      <c r="H1880" s="178">
        <v>341.61</v>
      </c>
      <c r="J1880" s="294"/>
      <c r="K1880" s="295"/>
      <c r="L1880" s="72"/>
      <c r="M1880" s="133"/>
      <c r="N1880" s="72"/>
      <c r="O1880" s="224"/>
      <c r="P1880" s="219"/>
      <c r="Q1880" s="84"/>
      <c r="S1880" s="136"/>
      <c r="T1880" s="136"/>
    </row>
    <row r="1881" spans="1:22">
      <c r="A1881" s="71" t="s">
        <v>9398</v>
      </c>
      <c r="B1881" s="67" t="s">
        <v>9399</v>
      </c>
      <c r="C1881" s="71" t="s">
        <v>165</v>
      </c>
      <c r="D1881" s="78">
        <v>499.55</v>
      </c>
      <c r="E1881" s="663">
        <v>2</v>
      </c>
      <c r="H1881" s="178">
        <v>499.55</v>
      </c>
      <c r="J1881" s="294"/>
      <c r="K1881" s="295"/>
      <c r="L1881" s="72"/>
      <c r="M1881" s="133"/>
      <c r="N1881" s="72"/>
      <c r="O1881" s="224"/>
      <c r="P1881" s="219"/>
      <c r="Q1881" s="84"/>
      <c r="S1881" s="136"/>
      <c r="T1881" s="136"/>
    </row>
    <row r="1882" spans="1:22">
      <c r="A1882" s="71" t="s">
        <v>9400</v>
      </c>
      <c r="B1882" s="67" t="s">
        <v>9401</v>
      </c>
      <c r="C1882" s="71" t="s">
        <v>165</v>
      </c>
      <c r="D1882" s="78">
        <v>760.97</v>
      </c>
      <c r="E1882" s="663">
        <v>2</v>
      </c>
      <c r="H1882" s="178">
        <v>760.97</v>
      </c>
      <c r="J1882" s="294"/>
      <c r="K1882" s="295"/>
      <c r="L1882" s="72"/>
      <c r="M1882" s="133"/>
      <c r="N1882" s="72"/>
      <c r="O1882" s="224"/>
      <c r="P1882" s="219"/>
      <c r="Q1882" s="84"/>
      <c r="S1882" s="136"/>
      <c r="T1882" s="136"/>
    </row>
    <row r="1883" spans="1:22">
      <c r="A1883" s="71" t="s">
        <v>9402</v>
      </c>
      <c r="B1883" s="67" t="s">
        <v>9403</v>
      </c>
      <c r="C1883" s="71" t="s">
        <v>103</v>
      </c>
      <c r="D1883" s="78">
        <v>8763.7000000000007</v>
      </c>
      <c r="E1883" s="663">
        <v>2</v>
      </c>
      <c r="H1883" s="178">
        <v>8763.7000000000007</v>
      </c>
      <c r="J1883" s="294"/>
      <c r="K1883" s="295"/>
      <c r="L1883" s="72"/>
      <c r="M1883" s="133"/>
      <c r="N1883" s="72"/>
      <c r="O1883" s="224"/>
      <c r="P1883" s="219"/>
      <c r="Q1883" s="84"/>
      <c r="S1883" s="136"/>
      <c r="T1883" s="136"/>
      <c r="V1883" s="136"/>
    </row>
    <row r="1884" spans="1:22">
      <c r="A1884" s="71" t="s">
        <v>9404</v>
      </c>
      <c r="B1884" s="67" t="s">
        <v>9405</v>
      </c>
      <c r="C1884" s="71" t="s">
        <v>103</v>
      </c>
      <c r="D1884" s="78">
        <v>11413.52</v>
      </c>
      <c r="E1884" s="663">
        <v>2</v>
      </c>
      <c r="H1884" s="179">
        <v>11413.52</v>
      </c>
      <c r="J1884" s="294"/>
      <c r="K1884" s="295"/>
      <c r="L1884" s="72"/>
      <c r="M1884" s="133"/>
      <c r="N1884" s="72"/>
      <c r="O1884" s="224"/>
      <c r="P1884" s="219"/>
      <c r="Q1884" s="84"/>
      <c r="S1884" s="137"/>
      <c r="T1884" s="137"/>
      <c r="V1884" s="137"/>
    </row>
    <row r="1885" spans="1:22">
      <c r="A1885" s="71" t="s">
        <v>9406</v>
      </c>
      <c r="B1885" s="67" t="s">
        <v>9407</v>
      </c>
      <c r="C1885" s="71" t="s">
        <v>165</v>
      </c>
      <c r="D1885" s="78">
        <v>104.32</v>
      </c>
      <c r="E1885" s="663">
        <v>2</v>
      </c>
      <c r="H1885" s="179">
        <v>104.32</v>
      </c>
      <c r="J1885" s="294"/>
      <c r="K1885" s="295"/>
      <c r="L1885" s="72"/>
      <c r="M1885" s="133"/>
      <c r="N1885" s="72"/>
      <c r="O1885" s="224"/>
      <c r="P1885" s="219"/>
      <c r="Q1885" s="84"/>
      <c r="S1885" s="137"/>
      <c r="T1885" s="137"/>
      <c r="V1885" s="137"/>
    </row>
    <row r="1886" spans="1:22">
      <c r="A1886" s="71" t="s">
        <v>9408</v>
      </c>
      <c r="B1886" s="67" t="s">
        <v>9409</v>
      </c>
      <c r="C1886" s="71" t="s">
        <v>103</v>
      </c>
      <c r="D1886" s="78">
        <v>1762.69</v>
      </c>
      <c r="E1886" s="663">
        <v>2</v>
      </c>
      <c r="H1886" s="179">
        <v>1762.69</v>
      </c>
      <c r="J1886" s="294"/>
      <c r="K1886" s="295"/>
      <c r="L1886" s="72"/>
      <c r="M1886" s="133"/>
      <c r="N1886" s="72"/>
      <c r="O1886" s="224"/>
      <c r="P1886" s="219"/>
      <c r="Q1886" s="84"/>
      <c r="S1886" s="137"/>
      <c r="T1886" s="137"/>
      <c r="V1886" s="137"/>
    </row>
    <row r="1887" spans="1:22">
      <c r="A1887" s="71" t="s">
        <v>9410</v>
      </c>
      <c r="B1887" s="67" t="s">
        <v>9411</v>
      </c>
      <c r="C1887" s="71" t="s">
        <v>103</v>
      </c>
      <c r="D1887" s="78">
        <v>3222.66</v>
      </c>
      <c r="E1887" s="663">
        <v>2</v>
      </c>
      <c r="H1887" s="179">
        <v>3222.66</v>
      </c>
      <c r="J1887" s="294"/>
      <c r="K1887" s="295"/>
      <c r="L1887" s="72"/>
      <c r="M1887" s="133"/>
      <c r="N1887" s="72"/>
      <c r="O1887" s="224"/>
      <c r="P1887" s="219"/>
      <c r="Q1887" s="84"/>
      <c r="S1887" s="137"/>
      <c r="T1887" s="137"/>
      <c r="V1887" s="137"/>
    </row>
    <row r="1888" spans="1:22">
      <c r="A1888" s="71" t="s">
        <v>9412</v>
      </c>
      <c r="B1888" s="67" t="s">
        <v>9413</v>
      </c>
      <c r="C1888" s="71" t="s">
        <v>103</v>
      </c>
      <c r="D1888" s="78">
        <v>1452.57</v>
      </c>
      <c r="E1888" s="663">
        <v>2</v>
      </c>
      <c r="H1888" s="178">
        <v>1452.57</v>
      </c>
      <c r="J1888" s="294"/>
      <c r="K1888" s="295"/>
      <c r="L1888" s="72"/>
      <c r="M1888" s="133"/>
      <c r="N1888" s="72"/>
      <c r="O1888" s="224"/>
      <c r="P1888" s="219"/>
      <c r="Q1888" s="84"/>
      <c r="S1888" s="136"/>
      <c r="T1888" s="136"/>
      <c r="V1888" s="136"/>
    </row>
    <row r="1889" spans="1:22">
      <c r="A1889" s="71" t="s">
        <v>9414</v>
      </c>
      <c r="B1889" s="67" t="s">
        <v>9415</v>
      </c>
      <c r="C1889" s="71" t="s">
        <v>103</v>
      </c>
      <c r="D1889" s="78">
        <v>4258.24</v>
      </c>
      <c r="E1889" s="663">
        <v>2</v>
      </c>
      <c r="H1889" s="179">
        <v>4258.24</v>
      </c>
      <c r="J1889" s="294"/>
      <c r="K1889" s="295"/>
      <c r="L1889" s="72"/>
      <c r="M1889" s="133"/>
      <c r="N1889" s="72"/>
      <c r="O1889" s="224"/>
      <c r="P1889" s="219"/>
      <c r="Q1889" s="84"/>
      <c r="S1889" s="137"/>
      <c r="T1889" s="137"/>
      <c r="V1889" s="137"/>
    </row>
    <row r="1890" spans="1:22">
      <c r="A1890" s="71" t="s">
        <v>9416</v>
      </c>
      <c r="B1890" s="67" t="s">
        <v>9417</v>
      </c>
      <c r="C1890" s="71" t="s">
        <v>103</v>
      </c>
      <c r="D1890" s="78">
        <v>5022.45</v>
      </c>
      <c r="E1890" s="663">
        <v>2</v>
      </c>
      <c r="H1890" s="179">
        <v>5022.45</v>
      </c>
      <c r="J1890" s="294"/>
      <c r="K1890" s="295"/>
      <c r="L1890" s="72"/>
      <c r="M1890" s="133"/>
      <c r="N1890" s="72"/>
      <c r="O1890" s="224"/>
      <c r="P1890" s="219"/>
      <c r="Q1890" s="84"/>
      <c r="S1890" s="137"/>
      <c r="T1890" s="137"/>
      <c r="V1890" s="137"/>
    </row>
    <row r="1891" spans="1:22">
      <c r="A1891" s="71" t="s">
        <v>9418</v>
      </c>
      <c r="B1891" s="67" t="s">
        <v>9419</v>
      </c>
      <c r="C1891" s="71" t="s">
        <v>103</v>
      </c>
      <c r="D1891" s="78">
        <v>5786.65</v>
      </c>
      <c r="E1891" s="663">
        <v>2</v>
      </c>
      <c r="H1891" s="179">
        <v>5786.65</v>
      </c>
      <c r="J1891" s="294"/>
      <c r="K1891" s="295"/>
      <c r="L1891" s="72"/>
      <c r="M1891" s="133"/>
      <c r="N1891" s="72"/>
      <c r="O1891" s="224"/>
      <c r="P1891" s="219"/>
      <c r="Q1891" s="84"/>
      <c r="S1891" s="137"/>
      <c r="T1891" s="137"/>
      <c r="V1891" s="137"/>
    </row>
    <row r="1892" spans="1:22">
      <c r="A1892" s="71" t="s">
        <v>9420</v>
      </c>
      <c r="B1892" s="67" t="s">
        <v>9421</v>
      </c>
      <c r="C1892" s="71" t="s">
        <v>103</v>
      </c>
      <c r="D1892" s="78">
        <v>7789.96</v>
      </c>
      <c r="E1892" s="663">
        <v>2</v>
      </c>
      <c r="H1892" s="179">
        <v>7789.96</v>
      </c>
      <c r="J1892" s="294"/>
      <c r="K1892" s="295"/>
      <c r="L1892" s="72"/>
      <c r="M1892" s="133"/>
      <c r="N1892" s="72"/>
      <c r="O1892" s="224"/>
      <c r="P1892" s="219"/>
      <c r="Q1892" s="84"/>
      <c r="S1892" s="137"/>
      <c r="T1892" s="137"/>
      <c r="V1892" s="137"/>
    </row>
    <row r="1893" spans="1:22">
      <c r="A1893" s="71" t="s">
        <v>9422</v>
      </c>
      <c r="B1893" s="67" t="s">
        <v>9423</v>
      </c>
      <c r="C1893" s="71" t="s">
        <v>103</v>
      </c>
      <c r="D1893" s="78">
        <v>8844.15</v>
      </c>
      <c r="E1893" s="663">
        <v>2</v>
      </c>
      <c r="H1893" s="179">
        <v>8844.15</v>
      </c>
      <c r="J1893" s="294"/>
      <c r="K1893" s="295"/>
      <c r="L1893" s="72"/>
      <c r="M1893" s="133"/>
      <c r="N1893" s="72"/>
      <c r="O1893" s="224"/>
      <c r="P1893" s="219"/>
      <c r="Q1893" s="84"/>
      <c r="S1893" s="137"/>
      <c r="T1893" s="137"/>
      <c r="V1893" s="137"/>
    </row>
    <row r="1894" spans="1:22">
      <c r="A1894" s="71" t="s">
        <v>9424</v>
      </c>
      <c r="B1894" s="67" t="s">
        <v>9425</v>
      </c>
      <c r="C1894" s="71" t="s">
        <v>103</v>
      </c>
      <c r="D1894" s="78">
        <v>848.73</v>
      </c>
      <c r="E1894" s="663">
        <v>2</v>
      </c>
      <c r="H1894" s="179">
        <v>848.73</v>
      </c>
      <c r="J1894" s="294"/>
      <c r="K1894" s="295"/>
      <c r="L1894" s="72"/>
      <c r="M1894" s="133"/>
      <c r="N1894" s="72"/>
      <c r="O1894" s="224"/>
      <c r="P1894" s="219"/>
      <c r="Q1894" s="84"/>
      <c r="S1894" s="137"/>
      <c r="T1894" s="137"/>
    </row>
    <row r="1895" spans="1:22">
      <c r="A1895" s="71" t="s">
        <v>9426</v>
      </c>
      <c r="B1895" s="67" t="s">
        <v>9427</v>
      </c>
      <c r="C1895" s="71" t="s">
        <v>103</v>
      </c>
      <c r="D1895" s="78">
        <v>1608.36</v>
      </c>
      <c r="E1895" s="663">
        <v>2</v>
      </c>
      <c r="H1895" s="179">
        <v>1608.36</v>
      </c>
      <c r="J1895" s="294"/>
      <c r="K1895" s="295"/>
      <c r="L1895" s="72"/>
      <c r="M1895" s="133"/>
      <c r="N1895" s="72"/>
      <c r="O1895" s="224"/>
      <c r="P1895" s="219"/>
      <c r="Q1895" s="84"/>
      <c r="S1895" s="137"/>
      <c r="T1895" s="137"/>
    </row>
    <row r="1896" spans="1:22">
      <c r="A1896" s="71" t="s">
        <v>9428</v>
      </c>
      <c r="B1896" s="67" t="s">
        <v>9429</v>
      </c>
      <c r="C1896" s="71" t="s">
        <v>103</v>
      </c>
      <c r="D1896" s="78">
        <v>848.73</v>
      </c>
      <c r="E1896" s="663">
        <v>2</v>
      </c>
      <c r="H1896" s="179">
        <v>848.73</v>
      </c>
      <c r="J1896" s="294"/>
      <c r="K1896" s="295"/>
      <c r="L1896" s="72"/>
      <c r="M1896" s="133"/>
      <c r="N1896" s="72"/>
      <c r="O1896" s="224"/>
      <c r="P1896" s="219"/>
      <c r="Q1896" s="84"/>
      <c r="S1896" s="137"/>
      <c r="T1896" s="137"/>
    </row>
    <row r="1897" spans="1:22">
      <c r="A1897" s="71" t="s">
        <v>9430</v>
      </c>
      <c r="B1897" s="67" t="s">
        <v>9431</v>
      </c>
      <c r="C1897" s="71" t="s">
        <v>103</v>
      </c>
      <c r="D1897" s="78">
        <v>1608.36</v>
      </c>
      <c r="E1897" s="663">
        <v>2</v>
      </c>
      <c r="H1897" s="179">
        <v>1608.36</v>
      </c>
      <c r="J1897" s="294"/>
      <c r="K1897" s="295"/>
      <c r="L1897" s="72"/>
      <c r="M1897" s="133"/>
      <c r="N1897" s="72"/>
      <c r="O1897" s="224"/>
      <c r="P1897" s="219"/>
      <c r="Q1897" s="84"/>
      <c r="S1897" s="137"/>
      <c r="T1897" s="137"/>
    </row>
    <row r="1898" spans="1:22">
      <c r="A1898" s="71" t="s">
        <v>9432</v>
      </c>
      <c r="B1898" s="67" t="s">
        <v>9433</v>
      </c>
      <c r="C1898" s="71" t="s">
        <v>165</v>
      </c>
      <c r="D1898" s="78">
        <v>1528.41</v>
      </c>
      <c r="E1898" s="663">
        <v>2</v>
      </c>
      <c r="H1898" s="179">
        <v>1528.41</v>
      </c>
      <c r="J1898" s="294"/>
      <c r="K1898" s="295"/>
      <c r="L1898" s="72"/>
      <c r="M1898" s="133"/>
      <c r="N1898" s="72"/>
      <c r="O1898" s="224"/>
      <c r="P1898" s="219"/>
      <c r="Q1898" s="84"/>
      <c r="S1898" s="137"/>
      <c r="T1898" s="137"/>
      <c r="V1898" s="137"/>
    </row>
    <row r="1899" spans="1:22">
      <c r="A1899" s="71" t="s">
        <v>9434</v>
      </c>
      <c r="B1899" s="67" t="s">
        <v>9435</v>
      </c>
      <c r="C1899" s="71" t="s">
        <v>165</v>
      </c>
      <c r="D1899" s="78">
        <v>2108.37</v>
      </c>
      <c r="E1899" s="663">
        <v>2</v>
      </c>
      <c r="H1899" s="179">
        <v>2108.37</v>
      </c>
      <c r="J1899" s="294"/>
      <c r="K1899" s="295"/>
      <c r="L1899" s="72"/>
      <c r="M1899" s="133"/>
      <c r="N1899" s="72"/>
      <c r="O1899" s="224"/>
      <c r="P1899" s="219"/>
      <c r="Q1899" s="84"/>
      <c r="S1899" s="137"/>
      <c r="T1899" s="137"/>
      <c r="V1899" s="137"/>
    </row>
    <row r="1900" spans="1:22">
      <c r="A1900" s="71" t="s">
        <v>9436</v>
      </c>
      <c r="B1900" s="67" t="s">
        <v>9437</v>
      </c>
      <c r="C1900" s="71" t="s">
        <v>103</v>
      </c>
      <c r="D1900" s="78">
        <v>17.77</v>
      </c>
      <c r="E1900" s="663">
        <v>2</v>
      </c>
      <c r="H1900" s="721">
        <v>17.77</v>
      </c>
      <c r="J1900" s="294"/>
      <c r="K1900" s="295"/>
      <c r="M1900" s="72"/>
      <c r="N1900" s="133"/>
      <c r="O1900" s="72"/>
      <c r="P1900" s="224"/>
      <c r="Q1900" s="219"/>
      <c r="T1900" s="136"/>
      <c r="V1900" s="136"/>
    </row>
    <row r="1901" spans="1:22">
      <c r="A1901" s="71" t="s">
        <v>9438</v>
      </c>
      <c r="B1901" s="67" t="s">
        <v>9439</v>
      </c>
      <c r="C1901" s="71" t="s">
        <v>103</v>
      </c>
      <c r="D1901" s="78">
        <v>32.64</v>
      </c>
      <c r="E1901" s="663">
        <v>2</v>
      </c>
      <c r="H1901" s="721">
        <v>32.64</v>
      </c>
      <c r="J1901" s="294"/>
      <c r="K1901" s="295"/>
      <c r="M1901" s="72"/>
      <c r="N1901" s="133"/>
      <c r="O1901" s="72"/>
      <c r="P1901" s="224"/>
      <c r="Q1901" s="219"/>
      <c r="T1901" s="136"/>
      <c r="V1901" s="136"/>
    </row>
    <row r="1902" spans="1:22">
      <c r="A1902" s="71" t="s">
        <v>9440</v>
      </c>
      <c r="B1902" s="67" t="s">
        <v>9441</v>
      </c>
      <c r="C1902" s="71" t="s">
        <v>103</v>
      </c>
      <c r="D1902" s="78">
        <v>71.260000000000005</v>
      </c>
      <c r="E1902" s="663">
        <v>2</v>
      </c>
      <c r="H1902" s="721">
        <v>71.260000000000005</v>
      </c>
      <c r="J1902" s="294"/>
      <c r="K1902" s="295"/>
      <c r="M1902" s="72"/>
      <c r="N1902" s="133"/>
      <c r="O1902" s="72"/>
      <c r="P1902" s="224"/>
      <c r="Q1902" s="219"/>
      <c r="T1902" s="136"/>
      <c r="V1902" s="136"/>
    </row>
    <row r="1903" spans="1:22">
      <c r="A1903" s="71" t="s">
        <v>9442</v>
      </c>
      <c r="B1903" s="67" t="s">
        <v>9443</v>
      </c>
      <c r="C1903" s="71" t="s">
        <v>103</v>
      </c>
      <c r="D1903" s="78">
        <v>13.37</v>
      </c>
      <c r="E1903" s="663">
        <v>2</v>
      </c>
      <c r="H1903" s="179">
        <v>13.37</v>
      </c>
      <c r="J1903" s="294"/>
      <c r="K1903" s="295"/>
      <c r="L1903" s="72"/>
      <c r="M1903" s="133"/>
      <c r="N1903" s="72"/>
      <c r="O1903" s="224"/>
      <c r="P1903" s="219"/>
      <c r="Q1903" s="84"/>
      <c r="S1903" s="137"/>
      <c r="T1903" s="137"/>
      <c r="V1903" s="137"/>
    </row>
    <row r="1904" spans="1:22">
      <c r="A1904" s="71" t="s">
        <v>9444</v>
      </c>
      <c r="B1904" s="67" t="s">
        <v>9445</v>
      </c>
      <c r="C1904" s="71" t="s">
        <v>165</v>
      </c>
      <c r="D1904" s="78">
        <v>22.09</v>
      </c>
      <c r="E1904" s="663">
        <v>2</v>
      </c>
      <c r="H1904" s="179">
        <v>22.09</v>
      </c>
      <c r="J1904" s="294"/>
      <c r="K1904" s="295"/>
      <c r="L1904" s="72"/>
      <c r="M1904" s="133"/>
      <c r="N1904" s="72"/>
      <c r="O1904" s="224"/>
      <c r="P1904" s="219"/>
      <c r="Q1904" s="84"/>
      <c r="S1904" s="137"/>
      <c r="T1904" s="137"/>
    </row>
    <row r="1905" spans="1:22">
      <c r="A1905" s="71" t="s">
        <v>9446</v>
      </c>
      <c r="B1905" s="67" t="s">
        <v>9447</v>
      </c>
      <c r="C1905" s="71" t="s">
        <v>165</v>
      </c>
      <c r="D1905" s="78">
        <v>24.68</v>
      </c>
      <c r="E1905" s="663">
        <v>2</v>
      </c>
      <c r="H1905" s="179">
        <v>24.68</v>
      </c>
      <c r="J1905" s="294"/>
      <c r="K1905" s="295"/>
      <c r="L1905" s="72"/>
      <c r="M1905" s="133"/>
      <c r="N1905" s="72"/>
      <c r="O1905" s="224"/>
      <c r="P1905" s="219"/>
      <c r="Q1905" s="84"/>
      <c r="S1905" s="137"/>
      <c r="T1905" s="137"/>
    </row>
    <row r="1906" spans="1:22">
      <c r="A1906" s="71" t="s">
        <v>9448</v>
      </c>
      <c r="B1906" s="67" t="s">
        <v>9449</v>
      </c>
      <c r="C1906" s="71" t="s">
        <v>165</v>
      </c>
      <c r="D1906" s="78">
        <v>35.409999999999997</v>
      </c>
      <c r="E1906" s="663">
        <v>2</v>
      </c>
      <c r="H1906" s="179">
        <v>35.409999999999997</v>
      </c>
      <c r="J1906" s="294"/>
      <c r="K1906" s="295"/>
      <c r="L1906" s="72"/>
      <c r="M1906" s="133"/>
      <c r="N1906" s="72"/>
      <c r="O1906" s="224"/>
      <c r="P1906" s="219"/>
      <c r="Q1906" s="84"/>
      <c r="S1906" s="137"/>
      <c r="T1906" s="137"/>
    </row>
    <row r="1907" spans="1:22">
      <c r="A1907" s="71" t="s">
        <v>9450</v>
      </c>
      <c r="B1907" s="67" t="s">
        <v>9451</v>
      </c>
      <c r="C1907" s="71" t="s">
        <v>165</v>
      </c>
      <c r="D1907" s="78">
        <v>46</v>
      </c>
      <c r="E1907" s="663">
        <v>2</v>
      </c>
      <c r="H1907" s="178">
        <v>46</v>
      </c>
      <c r="J1907" s="294"/>
      <c r="K1907" s="295"/>
      <c r="L1907" s="72"/>
      <c r="M1907" s="133"/>
      <c r="N1907" s="72"/>
      <c r="O1907" s="224"/>
      <c r="P1907" s="219"/>
      <c r="Q1907" s="84"/>
      <c r="S1907" s="136"/>
      <c r="T1907" s="136"/>
    </row>
    <row r="1908" spans="1:22">
      <c r="A1908" s="71" t="s">
        <v>9452</v>
      </c>
      <c r="B1908" s="67" t="s">
        <v>9453</v>
      </c>
      <c r="C1908" s="71" t="s">
        <v>165</v>
      </c>
      <c r="D1908" s="78">
        <v>55.59</v>
      </c>
      <c r="E1908" s="663">
        <v>2</v>
      </c>
      <c r="H1908" s="179">
        <v>55.59</v>
      </c>
      <c r="J1908" s="294"/>
      <c r="K1908" s="295"/>
      <c r="L1908" s="72"/>
      <c r="M1908" s="133"/>
      <c r="N1908" s="72"/>
      <c r="O1908" s="224"/>
      <c r="P1908" s="219"/>
      <c r="Q1908" s="84"/>
      <c r="S1908" s="137"/>
      <c r="T1908" s="137"/>
    </row>
    <row r="1909" spans="1:22">
      <c r="A1909" s="71" t="s">
        <v>9454</v>
      </c>
      <c r="B1909" s="67" t="s">
        <v>9455</v>
      </c>
      <c r="C1909" s="71" t="s">
        <v>165</v>
      </c>
      <c r="D1909" s="78">
        <v>74.069999999999993</v>
      </c>
      <c r="E1909" s="663">
        <v>2</v>
      </c>
      <c r="H1909" s="179">
        <v>74.069999999999993</v>
      </c>
      <c r="J1909" s="294"/>
      <c r="K1909" s="295"/>
      <c r="L1909" s="72"/>
      <c r="M1909" s="133"/>
      <c r="N1909" s="72"/>
      <c r="O1909" s="224"/>
      <c r="P1909" s="219"/>
      <c r="Q1909" s="84"/>
      <c r="S1909" s="137"/>
      <c r="T1909" s="137"/>
    </row>
    <row r="1910" spans="1:22">
      <c r="A1910" s="71" t="s">
        <v>9456</v>
      </c>
      <c r="B1910" s="67" t="s">
        <v>9457</v>
      </c>
      <c r="C1910" s="71" t="s">
        <v>165</v>
      </c>
      <c r="D1910" s="78">
        <v>94.67</v>
      </c>
      <c r="E1910" s="663">
        <v>2</v>
      </c>
      <c r="H1910" s="179">
        <v>94.67</v>
      </c>
      <c r="J1910" s="294"/>
      <c r="K1910" s="295"/>
      <c r="L1910" s="72"/>
      <c r="M1910" s="133"/>
      <c r="N1910" s="72"/>
      <c r="O1910" s="224"/>
      <c r="P1910" s="219"/>
      <c r="Q1910" s="84"/>
      <c r="S1910" s="137"/>
      <c r="T1910" s="137"/>
    </row>
    <row r="1911" spans="1:22">
      <c r="A1911" s="71" t="s">
        <v>9458</v>
      </c>
      <c r="B1911" s="67" t="s">
        <v>9459</v>
      </c>
      <c r="C1911" s="71" t="s">
        <v>165</v>
      </c>
      <c r="D1911" s="78">
        <v>114.33</v>
      </c>
      <c r="E1911" s="663">
        <v>2</v>
      </c>
      <c r="H1911" s="179">
        <v>114.33</v>
      </c>
      <c r="J1911" s="294"/>
      <c r="K1911" s="295"/>
      <c r="L1911" s="72"/>
      <c r="M1911" s="133"/>
      <c r="N1911" s="72"/>
      <c r="O1911" s="224"/>
      <c r="P1911" s="219"/>
      <c r="Q1911" s="84"/>
      <c r="S1911" s="137"/>
      <c r="T1911" s="137"/>
    </row>
    <row r="1912" spans="1:22">
      <c r="A1912" s="71" t="s">
        <v>9460</v>
      </c>
      <c r="B1912" s="67" t="s">
        <v>9461</v>
      </c>
      <c r="C1912" s="71" t="s">
        <v>165</v>
      </c>
      <c r="D1912" s="78">
        <v>171.13</v>
      </c>
      <c r="E1912" s="663">
        <v>2</v>
      </c>
      <c r="H1912" s="179">
        <v>171.13</v>
      </c>
      <c r="J1912" s="294"/>
      <c r="K1912" s="295"/>
      <c r="L1912" s="72"/>
      <c r="M1912" s="133"/>
      <c r="N1912" s="72"/>
      <c r="O1912" s="224"/>
      <c r="P1912" s="219"/>
      <c r="Q1912" s="84"/>
      <c r="S1912" s="137"/>
      <c r="T1912" s="137"/>
    </row>
    <row r="1913" spans="1:22">
      <c r="A1913" s="71" t="s">
        <v>9462</v>
      </c>
      <c r="B1913" s="67" t="s">
        <v>9463</v>
      </c>
      <c r="C1913" s="71" t="s">
        <v>165</v>
      </c>
      <c r="D1913" s="78">
        <v>333.56</v>
      </c>
      <c r="E1913" s="663">
        <v>2</v>
      </c>
      <c r="H1913" s="179">
        <v>333.56</v>
      </c>
      <c r="J1913" s="294"/>
      <c r="K1913" s="295"/>
      <c r="L1913" s="72"/>
      <c r="M1913" s="133"/>
      <c r="N1913" s="72"/>
      <c r="O1913" s="224"/>
      <c r="P1913" s="219"/>
      <c r="Q1913" s="84"/>
      <c r="S1913" s="137"/>
      <c r="T1913" s="137"/>
    </row>
    <row r="1914" spans="1:22">
      <c r="A1914" s="71" t="s">
        <v>9464</v>
      </c>
      <c r="B1914" s="67" t="s">
        <v>9465</v>
      </c>
      <c r="C1914" s="71" t="s">
        <v>165</v>
      </c>
      <c r="D1914" s="78">
        <v>26.49</v>
      </c>
      <c r="E1914" s="663">
        <v>2</v>
      </c>
      <c r="H1914" s="179">
        <v>26.49</v>
      </c>
      <c r="J1914" s="294"/>
      <c r="K1914" s="295"/>
      <c r="L1914" s="72"/>
      <c r="M1914" s="133"/>
      <c r="N1914" s="72"/>
      <c r="O1914" s="224"/>
      <c r="P1914" s="219"/>
      <c r="Q1914" s="84"/>
      <c r="S1914" s="137"/>
      <c r="T1914" s="137"/>
    </row>
    <row r="1915" spans="1:22">
      <c r="A1915" s="71" t="s">
        <v>9466</v>
      </c>
      <c r="B1915" s="67" t="s">
        <v>9467</v>
      </c>
      <c r="C1915" s="71" t="s">
        <v>165</v>
      </c>
      <c r="D1915" s="78">
        <v>42.07</v>
      </c>
      <c r="E1915" s="663">
        <v>2</v>
      </c>
      <c r="H1915" s="179">
        <v>42.07</v>
      </c>
      <c r="J1915" s="294"/>
      <c r="K1915" s="295"/>
      <c r="L1915" s="72"/>
      <c r="M1915" s="133"/>
      <c r="N1915" s="72"/>
      <c r="O1915" s="224"/>
      <c r="P1915" s="219"/>
      <c r="Q1915" s="84"/>
      <c r="S1915" s="137"/>
      <c r="T1915" s="137"/>
    </row>
    <row r="1916" spans="1:22">
      <c r="A1916" s="71" t="s">
        <v>9468</v>
      </c>
      <c r="B1916" s="67" t="s">
        <v>9469</v>
      </c>
      <c r="C1916" s="71" t="s">
        <v>103</v>
      </c>
      <c r="D1916" s="78">
        <v>8.59</v>
      </c>
      <c r="E1916" s="663">
        <v>2</v>
      </c>
      <c r="H1916" s="179">
        <v>8.59</v>
      </c>
      <c r="J1916" s="294"/>
      <c r="K1916" s="295"/>
      <c r="L1916" s="72"/>
      <c r="M1916" s="133"/>
      <c r="N1916" s="72"/>
      <c r="O1916" s="224"/>
      <c r="P1916" s="219"/>
      <c r="Q1916" s="84"/>
      <c r="S1916" s="137"/>
      <c r="T1916" s="137"/>
      <c r="V1916" s="137"/>
    </row>
    <row r="1917" spans="1:22">
      <c r="A1917" s="71" t="s">
        <v>9470</v>
      </c>
      <c r="B1917" s="67" t="s">
        <v>9471</v>
      </c>
      <c r="C1917" s="71" t="s">
        <v>103</v>
      </c>
      <c r="D1917" s="78">
        <v>13.19</v>
      </c>
      <c r="E1917" s="663">
        <v>2</v>
      </c>
      <c r="H1917" s="179">
        <v>13.19</v>
      </c>
      <c r="J1917" s="294"/>
      <c r="K1917" s="295"/>
      <c r="L1917" s="72"/>
      <c r="M1917" s="133"/>
      <c r="N1917" s="72"/>
      <c r="O1917" s="224"/>
      <c r="P1917" s="219"/>
      <c r="Q1917" s="84"/>
      <c r="S1917" s="137"/>
      <c r="T1917" s="137"/>
      <c r="V1917" s="137"/>
    </row>
    <row r="1918" spans="1:22">
      <c r="A1918" s="212" t="s">
        <v>9472</v>
      </c>
      <c r="B1918" s="216" t="s">
        <v>9473</v>
      </c>
      <c r="C1918" s="212" t="s">
        <v>165</v>
      </c>
      <c r="D1918" s="78">
        <v>154.69</v>
      </c>
      <c r="E1918" s="663">
        <v>2</v>
      </c>
      <c r="H1918" s="178">
        <v>154.69</v>
      </c>
      <c r="J1918" s="294"/>
      <c r="K1918" s="295"/>
      <c r="L1918" s="298"/>
      <c r="M1918" s="299"/>
      <c r="N1918" s="298"/>
      <c r="O1918" s="224"/>
      <c r="P1918" s="219"/>
      <c r="Q1918" s="84"/>
      <c r="S1918" s="136"/>
      <c r="T1918" s="136"/>
      <c r="V1918" s="136"/>
    </row>
    <row r="1919" spans="1:22">
      <c r="A1919" s="212" t="s">
        <v>9474</v>
      </c>
      <c r="B1919" s="216" t="s">
        <v>9475</v>
      </c>
      <c r="C1919" s="212" t="s">
        <v>165</v>
      </c>
      <c r="D1919" s="78">
        <v>16.23</v>
      </c>
      <c r="E1919" s="663">
        <v>2</v>
      </c>
      <c r="H1919" s="178">
        <v>16.23</v>
      </c>
      <c r="J1919" s="294"/>
      <c r="K1919" s="295"/>
      <c r="L1919" s="298"/>
      <c r="M1919" s="299"/>
      <c r="N1919" s="298"/>
      <c r="O1919" s="224"/>
      <c r="P1919" s="219"/>
      <c r="Q1919" s="84"/>
      <c r="S1919" s="136"/>
      <c r="T1919" s="136"/>
      <c r="V1919" s="136"/>
    </row>
    <row r="1920" spans="1:22">
      <c r="A1920" s="71" t="s">
        <v>9476</v>
      </c>
      <c r="B1920" s="67" t="s">
        <v>9477</v>
      </c>
      <c r="C1920" s="71" t="s">
        <v>103</v>
      </c>
      <c r="D1920" s="78">
        <v>8.18</v>
      </c>
      <c r="E1920" s="663">
        <v>2</v>
      </c>
      <c r="H1920" s="179">
        <v>8.18</v>
      </c>
      <c r="J1920" s="294"/>
      <c r="K1920" s="295"/>
      <c r="L1920" s="72"/>
      <c r="M1920" s="133"/>
      <c r="N1920" s="72"/>
      <c r="O1920" s="224"/>
      <c r="P1920" s="219"/>
      <c r="Q1920" s="84"/>
      <c r="S1920" s="137"/>
      <c r="T1920" s="137"/>
      <c r="V1920" s="137"/>
    </row>
    <row r="1921" spans="1:22">
      <c r="A1921" s="71" t="s">
        <v>9478</v>
      </c>
      <c r="B1921" s="67" t="s">
        <v>9479</v>
      </c>
      <c r="C1921" s="71" t="s">
        <v>103</v>
      </c>
      <c r="D1921" s="78">
        <v>77.91</v>
      </c>
      <c r="E1921" s="663">
        <v>2</v>
      </c>
      <c r="H1921" s="179">
        <v>77.91</v>
      </c>
      <c r="J1921" s="294"/>
      <c r="K1921" s="295"/>
      <c r="L1921" s="72"/>
      <c r="M1921" s="133"/>
      <c r="N1921" s="72"/>
      <c r="O1921" s="224"/>
      <c r="P1921" s="219"/>
      <c r="Q1921" s="84"/>
      <c r="S1921" s="137"/>
      <c r="T1921" s="137"/>
    </row>
    <row r="1922" spans="1:22">
      <c r="A1922" s="71" t="s">
        <v>9480</v>
      </c>
      <c r="B1922" s="67" t="s">
        <v>9481</v>
      </c>
      <c r="C1922" s="71" t="s">
        <v>103</v>
      </c>
      <c r="D1922" s="78">
        <v>7465.38</v>
      </c>
      <c r="E1922" s="663">
        <v>2</v>
      </c>
      <c r="H1922" s="179">
        <v>7465.38</v>
      </c>
      <c r="J1922" s="294"/>
      <c r="K1922" s="295"/>
      <c r="L1922" s="72"/>
      <c r="M1922" s="133"/>
      <c r="N1922" s="72"/>
      <c r="O1922" s="224"/>
      <c r="P1922" s="219"/>
      <c r="Q1922" s="84"/>
      <c r="S1922" s="137"/>
      <c r="T1922" s="137"/>
      <c r="V1922" s="137"/>
    </row>
    <row r="1923" spans="1:22">
      <c r="A1923" s="71" t="s">
        <v>9482</v>
      </c>
      <c r="B1923" s="67" t="s">
        <v>9483</v>
      </c>
      <c r="C1923" s="71" t="s">
        <v>103</v>
      </c>
      <c r="D1923" s="78">
        <v>9.58</v>
      </c>
      <c r="E1923" s="663">
        <v>2</v>
      </c>
      <c r="H1923" s="179">
        <v>9.58</v>
      </c>
      <c r="J1923" s="294"/>
      <c r="K1923" s="295"/>
      <c r="L1923" s="72"/>
      <c r="M1923" s="133"/>
      <c r="N1923" s="72"/>
      <c r="O1923" s="224"/>
      <c r="P1923" s="219"/>
      <c r="Q1923" s="84"/>
      <c r="S1923" s="137"/>
      <c r="T1923" s="137"/>
    </row>
    <row r="1924" spans="1:22">
      <c r="A1924" s="71" t="s">
        <v>9484</v>
      </c>
      <c r="B1924" s="67" t="s">
        <v>9485</v>
      </c>
      <c r="C1924" s="71" t="s">
        <v>103</v>
      </c>
      <c r="D1924" s="78">
        <v>8.5299999999999994</v>
      </c>
      <c r="E1924" s="663">
        <v>2</v>
      </c>
      <c r="H1924" s="179">
        <v>8.5299999999999994</v>
      </c>
      <c r="J1924" s="294"/>
      <c r="K1924" s="295"/>
      <c r="L1924" s="72"/>
      <c r="M1924" s="133"/>
      <c r="N1924" s="72"/>
      <c r="O1924" s="224"/>
      <c r="P1924" s="219"/>
      <c r="Q1924" s="84"/>
      <c r="S1924" s="137"/>
      <c r="T1924" s="137"/>
    </row>
    <row r="1925" spans="1:22">
      <c r="A1925" s="71" t="s">
        <v>9486</v>
      </c>
      <c r="B1925" s="67" t="s">
        <v>9487</v>
      </c>
      <c r="C1925" s="71" t="s">
        <v>103</v>
      </c>
      <c r="D1925" s="78">
        <v>6.21</v>
      </c>
      <c r="E1925" s="663">
        <v>2</v>
      </c>
      <c r="H1925" s="179">
        <v>6.21</v>
      </c>
      <c r="J1925" s="294"/>
      <c r="K1925" s="295"/>
      <c r="L1925" s="72"/>
      <c r="M1925" s="133"/>
      <c r="N1925" s="72"/>
      <c r="O1925" s="224"/>
      <c r="P1925" s="219"/>
      <c r="Q1925" s="84"/>
      <c r="S1925" s="137"/>
      <c r="T1925" s="137"/>
      <c r="V1925" s="137"/>
    </row>
    <row r="1926" spans="1:22">
      <c r="A1926" s="71" t="s">
        <v>9488</v>
      </c>
      <c r="B1926" s="67" t="s">
        <v>9489</v>
      </c>
      <c r="C1926" s="71" t="s">
        <v>165</v>
      </c>
      <c r="D1926" s="78">
        <v>82.75</v>
      </c>
      <c r="E1926" s="663">
        <v>2</v>
      </c>
      <c r="H1926" s="179">
        <v>82.75</v>
      </c>
      <c r="J1926" s="294"/>
      <c r="K1926" s="295"/>
      <c r="L1926" s="72"/>
      <c r="M1926" s="133"/>
      <c r="N1926" s="72"/>
      <c r="O1926" s="224"/>
      <c r="P1926" s="219"/>
      <c r="Q1926" s="84"/>
      <c r="S1926" s="137"/>
      <c r="T1926" s="137"/>
    </row>
    <row r="1927" spans="1:22">
      <c r="A1927" s="71" t="s">
        <v>9490</v>
      </c>
      <c r="B1927" s="67" t="s">
        <v>9491</v>
      </c>
      <c r="C1927" s="71" t="s">
        <v>165</v>
      </c>
      <c r="D1927" s="78">
        <v>94.34</v>
      </c>
      <c r="E1927" s="663">
        <v>2</v>
      </c>
      <c r="H1927" s="179">
        <v>94.34</v>
      </c>
      <c r="J1927" s="294"/>
      <c r="K1927" s="295"/>
      <c r="L1927" s="72"/>
      <c r="M1927" s="133"/>
      <c r="N1927" s="72"/>
      <c r="O1927" s="224"/>
      <c r="P1927" s="219"/>
      <c r="Q1927" s="84"/>
      <c r="S1927" s="137"/>
      <c r="T1927" s="137"/>
    </row>
    <row r="1928" spans="1:22">
      <c r="A1928" s="71" t="s">
        <v>9492</v>
      </c>
      <c r="B1928" s="67" t="s">
        <v>9493</v>
      </c>
      <c r="C1928" s="71" t="s">
        <v>165</v>
      </c>
      <c r="D1928" s="78">
        <v>117.83</v>
      </c>
      <c r="E1928" s="663">
        <v>2</v>
      </c>
      <c r="H1928" s="179">
        <v>117.83</v>
      </c>
      <c r="J1928" s="294"/>
      <c r="K1928" s="295"/>
      <c r="L1928" s="72"/>
      <c r="M1928" s="133"/>
      <c r="N1928" s="72"/>
      <c r="O1928" s="224"/>
      <c r="P1928" s="219"/>
      <c r="Q1928" s="84"/>
      <c r="S1928" s="137"/>
      <c r="T1928" s="137"/>
    </row>
    <row r="1929" spans="1:22">
      <c r="A1929" s="71" t="s">
        <v>9494</v>
      </c>
      <c r="B1929" s="67" t="s">
        <v>9495</v>
      </c>
      <c r="C1929" s="71" t="s">
        <v>165</v>
      </c>
      <c r="D1929" s="78">
        <v>134.78</v>
      </c>
      <c r="E1929" s="663">
        <v>2</v>
      </c>
      <c r="H1929" s="179">
        <v>134.78</v>
      </c>
      <c r="J1929" s="294"/>
      <c r="K1929" s="295"/>
      <c r="L1929" s="72"/>
      <c r="M1929" s="133"/>
      <c r="N1929" s="72"/>
      <c r="O1929" s="224"/>
      <c r="P1929" s="219"/>
      <c r="Q1929" s="84"/>
      <c r="S1929" s="137"/>
      <c r="T1929" s="137"/>
    </row>
    <row r="1930" spans="1:22">
      <c r="A1930" s="71" t="s">
        <v>9496</v>
      </c>
      <c r="B1930" s="67" t="s">
        <v>9497</v>
      </c>
      <c r="C1930" s="71" t="s">
        <v>103</v>
      </c>
      <c r="D1930" s="78">
        <v>17.93</v>
      </c>
      <c r="E1930" s="663">
        <v>2</v>
      </c>
      <c r="H1930" s="179">
        <v>17.93</v>
      </c>
      <c r="J1930" s="294"/>
      <c r="K1930" s="295"/>
      <c r="L1930" s="72"/>
      <c r="M1930" s="133"/>
      <c r="N1930" s="72"/>
      <c r="O1930" s="224"/>
      <c r="P1930" s="219"/>
      <c r="Q1930" s="84"/>
      <c r="S1930" s="137"/>
      <c r="T1930" s="137"/>
      <c r="V1930" s="137"/>
    </row>
    <row r="1931" spans="1:22">
      <c r="A1931" s="71" t="s">
        <v>9498</v>
      </c>
      <c r="B1931" s="67" t="s">
        <v>9499</v>
      </c>
      <c r="C1931" s="71" t="s">
        <v>165</v>
      </c>
      <c r="D1931" s="78">
        <v>169.74</v>
      </c>
      <c r="E1931" s="663">
        <v>2</v>
      </c>
      <c r="H1931" s="179">
        <v>169.74</v>
      </c>
      <c r="J1931" s="294"/>
      <c r="K1931" s="295"/>
      <c r="L1931" s="72"/>
      <c r="M1931" s="133"/>
      <c r="N1931" s="72"/>
      <c r="O1931" s="224"/>
      <c r="P1931" s="219"/>
      <c r="Q1931" s="84"/>
      <c r="S1931" s="137"/>
      <c r="T1931" s="137"/>
    </row>
    <row r="1932" spans="1:22">
      <c r="A1932" s="71" t="s">
        <v>9500</v>
      </c>
      <c r="B1932" s="67" t="s">
        <v>9501</v>
      </c>
      <c r="C1932" s="71" t="s">
        <v>165</v>
      </c>
      <c r="D1932" s="78">
        <v>254.56</v>
      </c>
      <c r="E1932" s="663">
        <v>2</v>
      </c>
      <c r="H1932" s="178">
        <v>254.56</v>
      </c>
      <c r="J1932" s="294"/>
      <c r="K1932" s="295"/>
      <c r="L1932" s="72"/>
      <c r="M1932" s="133"/>
      <c r="N1932" s="72"/>
      <c r="O1932" s="224"/>
      <c r="P1932" s="219"/>
      <c r="Q1932" s="84"/>
      <c r="S1932" s="136"/>
      <c r="T1932" s="136"/>
    </row>
    <row r="1933" spans="1:22">
      <c r="A1933" s="71" t="s">
        <v>9502</v>
      </c>
      <c r="B1933" s="67" t="s">
        <v>9503</v>
      </c>
      <c r="C1933" s="71" t="s">
        <v>165</v>
      </c>
      <c r="D1933" s="78">
        <v>268.89</v>
      </c>
      <c r="E1933" s="663">
        <v>2</v>
      </c>
      <c r="H1933" s="179">
        <v>268.89</v>
      </c>
      <c r="J1933" s="294"/>
      <c r="K1933" s="295"/>
      <c r="L1933" s="72"/>
      <c r="M1933" s="133"/>
      <c r="N1933" s="72"/>
      <c r="O1933" s="224"/>
      <c r="P1933" s="219"/>
      <c r="Q1933" s="84"/>
      <c r="S1933" s="137"/>
      <c r="T1933" s="137"/>
    </row>
    <row r="1934" spans="1:22">
      <c r="A1934" s="71" t="s">
        <v>9504</v>
      </c>
      <c r="B1934" s="67" t="s">
        <v>9505</v>
      </c>
      <c r="C1934" s="71" t="s">
        <v>165</v>
      </c>
      <c r="D1934" s="78">
        <v>360.43</v>
      </c>
      <c r="E1934" s="663">
        <v>2</v>
      </c>
      <c r="H1934" s="179">
        <v>360.43</v>
      </c>
      <c r="J1934" s="294"/>
      <c r="K1934" s="295"/>
      <c r="L1934" s="72"/>
      <c r="M1934" s="133"/>
      <c r="N1934" s="72"/>
      <c r="O1934" s="224"/>
      <c r="P1934" s="219"/>
      <c r="Q1934" s="84"/>
      <c r="S1934" s="137"/>
      <c r="T1934" s="137"/>
    </row>
    <row r="1935" spans="1:22">
      <c r="A1935" s="71" t="s">
        <v>9506</v>
      </c>
      <c r="B1935" s="216" t="s">
        <v>9507</v>
      </c>
      <c r="C1935" s="212" t="s">
        <v>103</v>
      </c>
      <c r="D1935" s="78">
        <v>859.49</v>
      </c>
      <c r="E1935" s="663">
        <v>2</v>
      </c>
      <c r="H1935" s="178">
        <v>859.49</v>
      </c>
      <c r="J1935" s="294"/>
      <c r="K1935" s="295"/>
      <c r="L1935" s="72"/>
      <c r="M1935" s="299"/>
      <c r="N1935" s="298"/>
      <c r="O1935" s="224"/>
      <c r="P1935" s="219"/>
      <c r="Q1935" s="84"/>
      <c r="S1935" s="136"/>
      <c r="T1935" s="136"/>
    </row>
    <row r="1936" spans="1:22">
      <c r="A1936" s="71" t="s">
        <v>9508</v>
      </c>
      <c r="B1936" s="216" t="s">
        <v>9509</v>
      </c>
      <c r="C1936" s="212" t="s">
        <v>103</v>
      </c>
      <c r="D1936" s="78">
        <v>1331.01</v>
      </c>
      <c r="E1936" s="663">
        <v>2</v>
      </c>
      <c r="H1936" s="178">
        <v>1331.01</v>
      </c>
      <c r="J1936" s="294"/>
      <c r="K1936" s="295"/>
      <c r="L1936" s="72"/>
      <c r="M1936" s="299"/>
      <c r="N1936" s="298"/>
      <c r="O1936" s="224"/>
      <c r="P1936" s="219"/>
      <c r="Q1936" s="84"/>
      <c r="S1936" s="136"/>
      <c r="T1936" s="136"/>
    </row>
    <row r="1937" spans="1:22">
      <c r="A1937" s="71" t="s">
        <v>9510</v>
      </c>
      <c r="B1937" s="67" t="s">
        <v>9511</v>
      </c>
      <c r="C1937" s="71" t="s">
        <v>103</v>
      </c>
      <c r="D1937" s="78">
        <v>3.61</v>
      </c>
      <c r="E1937" s="663">
        <v>2</v>
      </c>
      <c r="H1937" s="179">
        <v>3.61</v>
      </c>
      <c r="J1937" s="294"/>
      <c r="K1937" s="295"/>
      <c r="L1937" s="72"/>
      <c r="M1937" s="133"/>
      <c r="N1937" s="72"/>
      <c r="O1937" s="224"/>
      <c r="P1937" s="219"/>
      <c r="Q1937" s="84"/>
      <c r="S1937" s="137"/>
      <c r="T1937" s="137"/>
      <c r="V1937" s="137"/>
    </row>
    <row r="1938" spans="1:22">
      <c r="A1938" s="71" t="s">
        <v>9512</v>
      </c>
      <c r="B1938" s="67" t="s">
        <v>9513</v>
      </c>
      <c r="C1938" s="71" t="s">
        <v>103</v>
      </c>
      <c r="D1938" s="78">
        <v>4.3899999999999997</v>
      </c>
      <c r="E1938" s="663">
        <v>2</v>
      </c>
      <c r="H1938" s="178">
        <v>4.3899999999999997</v>
      </c>
      <c r="J1938" s="294"/>
      <c r="K1938" s="295"/>
      <c r="L1938" s="72"/>
      <c r="M1938" s="133"/>
      <c r="N1938" s="72"/>
      <c r="O1938" s="224"/>
      <c r="P1938" s="219"/>
      <c r="Q1938" s="84"/>
      <c r="S1938" s="136"/>
      <c r="T1938" s="136"/>
      <c r="V1938" s="136"/>
    </row>
    <row r="1939" spans="1:22">
      <c r="A1939" s="71" t="s">
        <v>9514</v>
      </c>
      <c r="B1939" s="67" t="s">
        <v>9515</v>
      </c>
      <c r="C1939" s="71" t="s">
        <v>103</v>
      </c>
      <c r="D1939" s="78">
        <v>4.99</v>
      </c>
      <c r="E1939" s="663">
        <v>2</v>
      </c>
      <c r="H1939" s="179">
        <v>4.99</v>
      </c>
      <c r="J1939" s="294"/>
      <c r="K1939" s="295"/>
      <c r="L1939" s="72"/>
      <c r="M1939" s="133"/>
      <c r="N1939" s="72"/>
      <c r="O1939" s="224"/>
      <c r="P1939" s="219"/>
      <c r="Q1939" s="84"/>
      <c r="S1939" s="137"/>
      <c r="T1939" s="137"/>
      <c r="V1939" s="137"/>
    </row>
    <row r="1940" spans="1:22">
      <c r="A1940" s="71" t="s">
        <v>9516</v>
      </c>
      <c r="B1940" s="67" t="s">
        <v>9517</v>
      </c>
      <c r="C1940" s="71" t="s">
        <v>103</v>
      </c>
      <c r="D1940" s="78">
        <v>9.86</v>
      </c>
      <c r="E1940" s="663">
        <v>2</v>
      </c>
      <c r="H1940" s="179">
        <v>9.86</v>
      </c>
      <c r="J1940" s="294"/>
      <c r="K1940" s="295"/>
      <c r="L1940" s="72"/>
      <c r="M1940" s="133"/>
      <c r="N1940" s="72"/>
      <c r="O1940" s="224"/>
      <c r="P1940" s="219"/>
      <c r="Q1940" s="84"/>
      <c r="S1940" s="137"/>
      <c r="T1940" s="137"/>
      <c r="V1940" s="137"/>
    </row>
    <row r="1941" spans="1:22">
      <c r="A1941" s="71" t="s">
        <v>9518</v>
      </c>
      <c r="B1941" s="67" t="s">
        <v>9519</v>
      </c>
      <c r="C1941" s="71" t="s">
        <v>103</v>
      </c>
      <c r="D1941" s="78">
        <v>31.38</v>
      </c>
      <c r="E1941" s="663">
        <v>2</v>
      </c>
      <c r="H1941" s="179">
        <v>31.38</v>
      </c>
      <c r="J1941" s="294"/>
      <c r="K1941" s="295"/>
      <c r="L1941" s="72"/>
      <c r="M1941" s="133"/>
      <c r="N1941" s="72"/>
      <c r="O1941" s="224"/>
      <c r="P1941" s="219"/>
      <c r="Q1941" s="84"/>
      <c r="S1941" s="137"/>
      <c r="T1941" s="137"/>
    </row>
    <row r="1942" spans="1:22">
      <c r="A1942" s="71" t="s">
        <v>9520</v>
      </c>
      <c r="B1942" s="67" t="s">
        <v>9521</v>
      </c>
      <c r="C1942" s="71" t="s">
        <v>103</v>
      </c>
      <c r="D1942" s="78">
        <v>27.24</v>
      </c>
      <c r="E1942" s="663">
        <v>2</v>
      </c>
      <c r="H1942" s="179">
        <v>27.24</v>
      </c>
      <c r="J1942" s="294"/>
      <c r="K1942" s="295"/>
      <c r="L1942" s="72"/>
      <c r="M1942" s="133"/>
      <c r="N1942" s="72"/>
      <c r="O1942" s="224"/>
      <c r="P1942" s="219"/>
      <c r="Q1942" s="84"/>
      <c r="S1942" s="137"/>
      <c r="T1942" s="137"/>
    </row>
    <row r="1943" spans="1:22">
      <c r="A1943" s="71" t="s">
        <v>9522</v>
      </c>
      <c r="B1943" s="67" t="s">
        <v>9523</v>
      </c>
      <c r="C1943" s="71" t="s">
        <v>103</v>
      </c>
      <c r="D1943" s="78">
        <v>12.18</v>
      </c>
      <c r="E1943" s="663">
        <v>2</v>
      </c>
      <c r="H1943" s="179">
        <v>12.18</v>
      </c>
      <c r="J1943" s="294"/>
      <c r="K1943" s="295"/>
      <c r="L1943" s="72"/>
      <c r="M1943" s="133"/>
      <c r="N1943" s="72"/>
      <c r="O1943" s="224"/>
      <c r="P1943" s="219"/>
      <c r="Q1943" s="84"/>
      <c r="S1943" s="137"/>
      <c r="T1943" s="137"/>
    </row>
    <row r="1944" spans="1:22">
      <c r="A1944" s="71" t="s">
        <v>9524</v>
      </c>
      <c r="B1944" s="67" t="s">
        <v>9525</v>
      </c>
      <c r="C1944" s="71" t="s">
        <v>103</v>
      </c>
      <c r="D1944" s="78">
        <v>2.46</v>
      </c>
      <c r="E1944" s="663">
        <v>2</v>
      </c>
      <c r="H1944" s="179">
        <v>2.46</v>
      </c>
      <c r="J1944" s="294"/>
      <c r="K1944" s="295"/>
      <c r="L1944" s="72"/>
      <c r="M1944" s="133"/>
      <c r="N1944" s="72"/>
      <c r="O1944" s="224"/>
      <c r="P1944" s="219"/>
      <c r="Q1944" s="84"/>
      <c r="S1944" s="137"/>
      <c r="T1944" s="137"/>
      <c r="V1944" s="137"/>
    </row>
    <row r="1945" spans="1:22">
      <c r="A1945" s="71" t="s">
        <v>9526</v>
      </c>
      <c r="B1945" s="67" t="s">
        <v>9527</v>
      </c>
      <c r="C1945" s="71" t="s">
        <v>103</v>
      </c>
      <c r="D1945" s="78">
        <v>1.1200000000000001</v>
      </c>
      <c r="E1945" s="663">
        <v>2</v>
      </c>
      <c r="H1945" s="732">
        <v>1.1200000000000001</v>
      </c>
      <c r="J1945" s="294"/>
      <c r="K1945" s="295"/>
      <c r="M1945" s="72"/>
      <c r="N1945" s="133"/>
      <c r="O1945" s="72"/>
      <c r="P1945" s="224"/>
      <c r="Q1945" s="219"/>
      <c r="T1945" s="137"/>
      <c r="V1945" s="137"/>
    </row>
    <row r="1946" spans="1:22">
      <c r="A1946" s="71" t="s">
        <v>9528</v>
      </c>
      <c r="B1946" s="67" t="s">
        <v>9529</v>
      </c>
      <c r="C1946" s="71" t="s">
        <v>165</v>
      </c>
      <c r="D1946" s="78">
        <v>3.74</v>
      </c>
      <c r="E1946" s="663">
        <v>2</v>
      </c>
      <c r="H1946" s="178">
        <v>3.74</v>
      </c>
      <c r="J1946" s="294"/>
      <c r="K1946" s="295"/>
      <c r="L1946" s="72"/>
      <c r="M1946" s="133"/>
      <c r="N1946" s="72"/>
      <c r="O1946" s="224"/>
      <c r="P1946" s="219"/>
      <c r="Q1946" s="84"/>
      <c r="S1946" s="136"/>
      <c r="T1946" s="136"/>
    </row>
    <row r="1947" spans="1:22">
      <c r="A1947" s="71" t="s">
        <v>9530</v>
      </c>
      <c r="B1947" s="67" t="s">
        <v>9531</v>
      </c>
      <c r="C1947" s="71" t="s">
        <v>165</v>
      </c>
      <c r="D1947" s="78">
        <v>3.82</v>
      </c>
      <c r="E1947" s="663">
        <v>2</v>
      </c>
      <c r="H1947" s="178">
        <v>3.82</v>
      </c>
      <c r="J1947" s="294"/>
      <c r="K1947" s="295"/>
      <c r="L1947" s="72"/>
      <c r="M1947" s="133"/>
      <c r="N1947" s="72"/>
      <c r="O1947" s="224"/>
      <c r="P1947" s="219"/>
      <c r="Q1947" s="84"/>
      <c r="S1947" s="136"/>
      <c r="T1947" s="136"/>
    </row>
    <row r="1948" spans="1:22">
      <c r="A1948" s="71" t="s">
        <v>9532</v>
      </c>
      <c r="B1948" s="67" t="s">
        <v>9533</v>
      </c>
      <c r="C1948" s="71" t="s">
        <v>165</v>
      </c>
      <c r="D1948" s="78">
        <v>8.2799999999999994</v>
      </c>
      <c r="E1948" s="663">
        <v>2</v>
      </c>
      <c r="H1948" s="179">
        <v>8.2799999999999994</v>
      </c>
      <c r="J1948" s="294"/>
      <c r="K1948" s="295"/>
      <c r="L1948" s="72"/>
      <c r="M1948" s="133"/>
      <c r="N1948" s="72"/>
      <c r="O1948" s="224"/>
      <c r="P1948" s="219"/>
      <c r="Q1948" s="84"/>
      <c r="S1948" s="137"/>
      <c r="T1948" s="137"/>
    </row>
    <row r="1949" spans="1:22">
      <c r="A1949" s="71" t="s">
        <v>9534</v>
      </c>
      <c r="B1949" s="67" t="s">
        <v>9535</v>
      </c>
      <c r="C1949" s="71" t="s">
        <v>165</v>
      </c>
      <c r="D1949" s="78">
        <v>15.47</v>
      </c>
      <c r="E1949" s="663">
        <v>2</v>
      </c>
      <c r="H1949" s="179">
        <v>15.47</v>
      </c>
      <c r="J1949" s="294"/>
      <c r="K1949" s="295"/>
      <c r="L1949" s="72"/>
      <c r="M1949" s="133"/>
      <c r="N1949" s="72"/>
      <c r="O1949" s="224"/>
      <c r="P1949" s="219"/>
      <c r="Q1949" s="84"/>
      <c r="S1949" s="137"/>
      <c r="T1949" s="137"/>
    </row>
    <row r="1950" spans="1:22">
      <c r="A1950" s="71" t="s">
        <v>9536</v>
      </c>
      <c r="B1950" s="67" t="s">
        <v>9537</v>
      </c>
      <c r="C1950" s="71" t="s">
        <v>165</v>
      </c>
      <c r="D1950" s="78">
        <v>14.13</v>
      </c>
      <c r="E1950" s="663">
        <v>2</v>
      </c>
      <c r="H1950" s="179">
        <v>14.13</v>
      </c>
      <c r="J1950" s="294"/>
      <c r="K1950" s="295"/>
      <c r="L1950" s="72"/>
      <c r="M1950" s="133"/>
      <c r="N1950" s="72"/>
      <c r="O1950" s="224"/>
      <c r="P1950" s="219"/>
      <c r="Q1950" s="84"/>
      <c r="S1950" s="137"/>
      <c r="T1950" s="137"/>
    </row>
    <row r="1951" spans="1:22">
      <c r="A1951" s="71" t="s">
        <v>9538</v>
      </c>
      <c r="B1951" s="67" t="s">
        <v>9539</v>
      </c>
      <c r="C1951" s="71" t="s">
        <v>165</v>
      </c>
      <c r="D1951" s="78">
        <v>31.74</v>
      </c>
      <c r="E1951" s="663">
        <v>2</v>
      </c>
      <c r="H1951" s="179">
        <v>31.74</v>
      </c>
      <c r="J1951" s="294"/>
      <c r="K1951" s="295"/>
      <c r="L1951" s="72"/>
      <c r="M1951" s="133"/>
      <c r="N1951" s="72"/>
      <c r="O1951" s="224"/>
      <c r="P1951" s="219"/>
      <c r="Q1951" s="84"/>
      <c r="S1951" s="137"/>
      <c r="T1951" s="137"/>
    </row>
    <row r="1952" spans="1:22">
      <c r="A1952" s="71" t="s">
        <v>9540</v>
      </c>
      <c r="B1952" s="67" t="s">
        <v>9541</v>
      </c>
      <c r="C1952" s="71" t="s">
        <v>165</v>
      </c>
      <c r="D1952" s="78">
        <v>44.1</v>
      </c>
      <c r="E1952" s="663">
        <v>2</v>
      </c>
      <c r="H1952" s="179">
        <v>44.1</v>
      </c>
      <c r="J1952" s="294"/>
      <c r="K1952" s="295"/>
      <c r="L1952" s="72"/>
      <c r="M1952" s="133"/>
      <c r="N1952" s="72"/>
      <c r="O1952" s="224"/>
      <c r="P1952" s="219"/>
      <c r="Q1952" s="84"/>
      <c r="S1952" s="137"/>
      <c r="T1952" s="137"/>
    </row>
    <row r="1953" spans="1:22">
      <c r="A1953" s="71" t="s">
        <v>9542</v>
      </c>
      <c r="B1953" s="67" t="s">
        <v>9543</v>
      </c>
      <c r="C1953" s="71" t="s">
        <v>165</v>
      </c>
      <c r="D1953" s="78">
        <v>55.33</v>
      </c>
      <c r="E1953" s="663">
        <v>2</v>
      </c>
      <c r="H1953" s="178">
        <v>55.33</v>
      </c>
      <c r="J1953" s="294"/>
      <c r="K1953" s="295"/>
      <c r="L1953" s="72"/>
      <c r="M1953" s="133"/>
      <c r="N1953" s="72"/>
      <c r="O1953" s="224"/>
      <c r="P1953" s="219"/>
      <c r="Q1953" s="84"/>
      <c r="S1953" s="136"/>
      <c r="T1953" s="136"/>
    </row>
    <row r="1954" spans="1:22">
      <c r="A1954" s="71" t="s">
        <v>9544</v>
      </c>
      <c r="B1954" s="67" t="s">
        <v>9545</v>
      </c>
      <c r="C1954" s="71" t="s">
        <v>165</v>
      </c>
      <c r="D1954" s="78">
        <v>95.87</v>
      </c>
      <c r="E1954" s="663">
        <v>2</v>
      </c>
      <c r="H1954" s="179">
        <v>95.87</v>
      </c>
      <c r="J1954" s="294"/>
      <c r="K1954" s="295"/>
      <c r="L1954" s="72"/>
      <c r="M1954" s="133"/>
      <c r="N1954" s="72"/>
      <c r="O1954" s="224"/>
      <c r="P1954" s="219"/>
      <c r="Q1954" s="84"/>
      <c r="S1954" s="137"/>
      <c r="T1954" s="137"/>
    </row>
    <row r="1955" spans="1:22">
      <c r="A1955" s="71" t="s">
        <v>9546</v>
      </c>
      <c r="B1955" s="67" t="s">
        <v>9547</v>
      </c>
      <c r="C1955" s="71" t="s">
        <v>103</v>
      </c>
      <c r="D1955" s="78">
        <v>10.25</v>
      </c>
      <c r="E1955" s="663">
        <v>2</v>
      </c>
      <c r="H1955" s="179">
        <v>10.25</v>
      </c>
      <c r="J1955" s="294"/>
      <c r="K1955" s="295"/>
      <c r="L1955" s="72"/>
      <c r="M1955" s="133"/>
      <c r="N1955" s="72"/>
      <c r="O1955" s="224"/>
      <c r="P1955" s="219"/>
      <c r="Q1955" s="84"/>
      <c r="S1955" s="137"/>
      <c r="T1955" s="137"/>
    </row>
    <row r="1956" spans="1:22">
      <c r="A1956" s="71" t="s">
        <v>9548</v>
      </c>
      <c r="B1956" s="67" t="s">
        <v>9549</v>
      </c>
      <c r="C1956" s="71" t="s">
        <v>165</v>
      </c>
      <c r="D1956" s="78">
        <v>7.01</v>
      </c>
      <c r="E1956" s="663">
        <v>2</v>
      </c>
      <c r="H1956" s="179">
        <v>7.01</v>
      </c>
      <c r="J1956" s="294"/>
      <c r="K1956" s="295"/>
      <c r="L1956" s="72"/>
      <c r="M1956" s="133"/>
      <c r="N1956" s="72"/>
      <c r="O1956" s="224"/>
      <c r="P1956" s="219"/>
      <c r="Q1956" s="84"/>
      <c r="S1956" s="137"/>
      <c r="T1956" s="137"/>
    </row>
    <row r="1957" spans="1:22">
      <c r="A1957" s="71" t="s">
        <v>9550</v>
      </c>
      <c r="B1957" s="67" t="s">
        <v>9551</v>
      </c>
      <c r="C1957" s="71" t="s">
        <v>165</v>
      </c>
      <c r="D1957" s="78">
        <v>9.84</v>
      </c>
      <c r="E1957" s="663">
        <v>2</v>
      </c>
      <c r="H1957" s="178">
        <v>9.84</v>
      </c>
      <c r="J1957" s="294"/>
      <c r="K1957" s="295"/>
      <c r="L1957" s="72"/>
      <c r="M1957" s="133"/>
      <c r="N1957" s="72"/>
      <c r="O1957" s="224"/>
      <c r="P1957" s="219"/>
      <c r="Q1957" s="84"/>
      <c r="S1957" s="136"/>
      <c r="T1957" s="136"/>
    </row>
    <row r="1958" spans="1:22">
      <c r="A1958" s="71" t="s">
        <v>9552</v>
      </c>
      <c r="B1958" s="67" t="s">
        <v>9553</v>
      </c>
      <c r="C1958" s="71" t="s">
        <v>165</v>
      </c>
      <c r="D1958" s="78">
        <v>15.49</v>
      </c>
      <c r="E1958" s="663">
        <v>2</v>
      </c>
      <c r="H1958" s="179">
        <v>15.49</v>
      </c>
      <c r="J1958" s="294"/>
      <c r="K1958" s="295"/>
      <c r="L1958" s="72"/>
      <c r="M1958" s="133"/>
      <c r="N1958" s="72"/>
      <c r="O1958" s="224"/>
      <c r="P1958" s="219"/>
      <c r="Q1958" s="84"/>
      <c r="S1958" s="137"/>
      <c r="T1958" s="137"/>
    </row>
    <row r="1959" spans="1:22">
      <c r="A1959" s="71" t="s">
        <v>9554</v>
      </c>
      <c r="B1959" s="67" t="s">
        <v>9555</v>
      </c>
      <c r="C1959" s="71" t="s">
        <v>165</v>
      </c>
      <c r="D1959" s="78">
        <v>14.43</v>
      </c>
      <c r="E1959" s="663">
        <v>2</v>
      </c>
      <c r="H1959" s="178">
        <v>14.43</v>
      </c>
      <c r="J1959" s="294"/>
      <c r="K1959" s="295"/>
      <c r="L1959" s="72"/>
      <c r="M1959" s="133"/>
      <c r="N1959" s="72"/>
      <c r="O1959" s="224"/>
      <c r="P1959" s="219"/>
      <c r="Q1959" s="84"/>
      <c r="S1959" s="136"/>
      <c r="T1959" s="136"/>
    </row>
    <row r="1960" spans="1:22">
      <c r="A1960" s="71" t="s">
        <v>9556</v>
      </c>
      <c r="B1960" s="67" t="s">
        <v>9557</v>
      </c>
      <c r="C1960" s="71" t="s">
        <v>165</v>
      </c>
      <c r="D1960" s="78">
        <v>35.1</v>
      </c>
      <c r="E1960" s="663">
        <v>2</v>
      </c>
      <c r="H1960" s="178">
        <v>35.1</v>
      </c>
      <c r="J1960" s="294"/>
      <c r="K1960" s="295"/>
      <c r="L1960" s="72"/>
      <c r="M1960" s="133"/>
      <c r="N1960" s="72"/>
      <c r="O1960" s="224"/>
      <c r="P1960" s="219"/>
      <c r="Q1960" s="84"/>
      <c r="S1960" s="136"/>
      <c r="T1960" s="136"/>
    </row>
    <row r="1961" spans="1:22">
      <c r="A1961" s="71" t="s">
        <v>9558</v>
      </c>
      <c r="B1961" s="67" t="s">
        <v>9559</v>
      </c>
      <c r="C1961" s="71" t="s">
        <v>165</v>
      </c>
      <c r="D1961" s="78">
        <v>12.88</v>
      </c>
      <c r="E1961" s="663">
        <v>2</v>
      </c>
      <c r="H1961" s="179">
        <v>12.88</v>
      </c>
      <c r="J1961" s="294"/>
      <c r="K1961" s="295"/>
      <c r="L1961" s="72"/>
      <c r="M1961" s="133"/>
      <c r="N1961" s="72"/>
      <c r="O1961" s="224"/>
      <c r="P1961" s="219"/>
      <c r="Q1961" s="84"/>
      <c r="S1961" s="137"/>
      <c r="T1961" s="137"/>
    </row>
    <row r="1962" spans="1:22">
      <c r="A1962" s="71" t="s">
        <v>9560</v>
      </c>
      <c r="B1962" s="67" t="s">
        <v>9561</v>
      </c>
      <c r="C1962" s="71" t="s">
        <v>165</v>
      </c>
      <c r="D1962" s="78">
        <v>16.25</v>
      </c>
      <c r="E1962" s="663">
        <v>2</v>
      </c>
      <c r="H1962" s="179">
        <v>16.25</v>
      </c>
      <c r="J1962" s="294"/>
      <c r="K1962" s="295"/>
      <c r="L1962" s="72"/>
      <c r="M1962" s="133"/>
      <c r="N1962" s="72"/>
      <c r="O1962" s="224"/>
      <c r="P1962" s="219"/>
      <c r="Q1962" s="84"/>
      <c r="S1962" s="137"/>
      <c r="T1962" s="137"/>
    </row>
    <row r="1963" spans="1:22">
      <c r="A1963" s="71" t="s">
        <v>9562</v>
      </c>
      <c r="B1963" s="67" t="s">
        <v>9563</v>
      </c>
      <c r="C1963" s="71" t="s">
        <v>165</v>
      </c>
      <c r="D1963" s="78">
        <v>27.88</v>
      </c>
      <c r="E1963" s="663">
        <v>2</v>
      </c>
      <c r="H1963" s="179">
        <v>27.88</v>
      </c>
      <c r="J1963" s="294"/>
      <c r="K1963" s="295"/>
      <c r="L1963" s="72"/>
      <c r="M1963" s="133"/>
      <c r="N1963" s="72"/>
      <c r="O1963" s="224"/>
      <c r="P1963" s="219"/>
      <c r="Q1963" s="84"/>
      <c r="S1963" s="137"/>
      <c r="T1963" s="137"/>
    </row>
    <row r="1964" spans="1:22">
      <c r="A1964" s="71" t="s">
        <v>9564</v>
      </c>
      <c r="B1964" s="67" t="s">
        <v>9565</v>
      </c>
      <c r="C1964" s="71" t="s">
        <v>165</v>
      </c>
      <c r="D1964" s="78">
        <v>40.85</v>
      </c>
      <c r="E1964" s="663">
        <v>2</v>
      </c>
      <c r="H1964" s="179">
        <v>40.85</v>
      </c>
      <c r="J1964" s="294"/>
      <c r="K1964" s="295"/>
      <c r="L1964" s="72"/>
      <c r="M1964" s="133"/>
      <c r="N1964" s="72"/>
      <c r="O1964" s="224"/>
      <c r="P1964" s="219"/>
      <c r="Q1964" s="84"/>
      <c r="S1964" s="137"/>
      <c r="T1964" s="137"/>
    </row>
    <row r="1965" spans="1:22">
      <c r="A1965" s="71" t="s">
        <v>9566</v>
      </c>
      <c r="B1965" s="67" t="s">
        <v>9567</v>
      </c>
      <c r="C1965" s="71" t="s">
        <v>165</v>
      </c>
      <c r="D1965" s="78">
        <v>73.819999999999993</v>
      </c>
      <c r="E1965" s="663">
        <v>2</v>
      </c>
      <c r="H1965" s="179">
        <v>73.819999999999993</v>
      </c>
      <c r="J1965" s="294"/>
      <c r="K1965" s="295"/>
      <c r="L1965" s="72"/>
      <c r="M1965" s="133"/>
      <c r="N1965" s="72"/>
      <c r="O1965" s="224"/>
      <c r="P1965" s="219"/>
      <c r="Q1965" s="84"/>
      <c r="S1965" s="137"/>
      <c r="T1965" s="137"/>
    </row>
    <row r="1966" spans="1:22">
      <c r="A1966" s="71" t="s">
        <v>9568</v>
      </c>
      <c r="B1966" s="67" t="s">
        <v>9569</v>
      </c>
      <c r="C1966" s="71" t="s">
        <v>103</v>
      </c>
      <c r="D1966" s="78">
        <v>1.59</v>
      </c>
      <c r="E1966" s="663">
        <v>2</v>
      </c>
      <c r="H1966" s="179">
        <v>1.59</v>
      </c>
      <c r="J1966" s="294"/>
      <c r="K1966" s="295"/>
      <c r="L1966" s="72"/>
      <c r="M1966" s="133"/>
      <c r="N1966" s="72"/>
      <c r="O1966" s="224"/>
      <c r="P1966" s="219"/>
      <c r="Q1966" s="84"/>
      <c r="S1966" s="137"/>
      <c r="T1966" s="137"/>
      <c r="V1966" s="137"/>
    </row>
    <row r="1967" spans="1:22">
      <c r="A1967" s="71" t="s">
        <v>9570</v>
      </c>
      <c r="B1967" s="67" t="s">
        <v>9571</v>
      </c>
      <c r="C1967" s="71" t="s">
        <v>103</v>
      </c>
      <c r="D1967" s="78">
        <v>1.69</v>
      </c>
      <c r="E1967" s="663">
        <v>2</v>
      </c>
      <c r="H1967" s="179">
        <v>1.69</v>
      </c>
      <c r="J1967" s="294"/>
      <c r="K1967" s="295"/>
      <c r="L1967" s="72"/>
      <c r="M1967" s="133"/>
      <c r="N1967" s="72"/>
      <c r="O1967" s="224"/>
      <c r="P1967" s="219"/>
      <c r="Q1967" s="84"/>
      <c r="S1967" s="137"/>
      <c r="T1967" s="137"/>
      <c r="V1967" s="137"/>
    </row>
    <row r="1968" spans="1:22">
      <c r="A1968" s="71" t="s">
        <v>9572</v>
      </c>
      <c r="B1968" s="67" t="s">
        <v>9573</v>
      </c>
      <c r="C1968" s="71" t="s">
        <v>103</v>
      </c>
      <c r="D1968" s="78">
        <v>2.54</v>
      </c>
      <c r="E1968" s="663">
        <v>2</v>
      </c>
      <c r="H1968" s="179">
        <v>2.54</v>
      </c>
      <c r="J1968" s="294"/>
      <c r="K1968" s="295"/>
      <c r="L1968" s="72"/>
      <c r="M1968" s="133"/>
      <c r="N1968" s="72"/>
      <c r="O1968" s="224"/>
      <c r="P1968" s="219"/>
      <c r="Q1968" s="84"/>
      <c r="S1968" s="137"/>
      <c r="T1968" s="137"/>
      <c r="V1968" s="137"/>
    </row>
    <row r="1969" spans="1:22">
      <c r="A1969" s="71" t="s">
        <v>9574</v>
      </c>
      <c r="B1969" s="67" t="s">
        <v>9575</v>
      </c>
      <c r="C1969" s="71" t="s">
        <v>103</v>
      </c>
      <c r="D1969" s="78">
        <v>2.9</v>
      </c>
      <c r="E1969" s="663">
        <v>2</v>
      </c>
      <c r="H1969" s="179">
        <v>2.9</v>
      </c>
      <c r="J1969" s="294"/>
      <c r="K1969" s="295"/>
      <c r="L1969" s="72"/>
      <c r="M1969" s="133"/>
      <c r="N1969" s="72"/>
      <c r="O1969" s="224"/>
      <c r="P1969" s="219"/>
      <c r="Q1969" s="84"/>
      <c r="S1969" s="137"/>
      <c r="T1969" s="137"/>
      <c r="V1969" s="137"/>
    </row>
    <row r="1970" spans="1:22">
      <c r="A1970" s="71" t="s">
        <v>9576</v>
      </c>
      <c r="B1970" s="67" t="s">
        <v>9577</v>
      </c>
      <c r="C1970" s="71" t="s">
        <v>103</v>
      </c>
      <c r="D1970" s="78">
        <v>12.58</v>
      </c>
      <c r="E1970" s="663">
        <v>2</v>
      </c>
      <c r="H1970" s="178">
        <v>12.58</v>
      </c>
      <c r="J1970" s="294"/>
      <c r="K1970" s="295"/>
      <c r="L1970" s="72"/>
      <c r="M1970" s="133"/>
      <c r="N1970" s="72"/>
      <c r="O1970" s="224"/>
      <c r="P1970" s="219"/>
      <c r="Q1970" s="84"/>
      <c r="S1970" s="136"/>
      <c r="T1970" s="136"/>
      <c r="V1970" s="136"/>
    </row>
    <row r="1971" spans="1:22">
      <c r="A1971" s="71" t="s">
        <v>9578</v>
      </c>
      <c r="B1971" s="67" t="s">
        <v>9579</v>
      </c>
      <c r="C1971" s="71" t="s">
        <v>103</v>
      </c>
      <c r="D1971" s="78">
        <v>17.850000000000001</v>
      </c>
      <c r="E1971" s="663">
        <v>2</v>
      </c>
      <c r="H1971" s="178">
        <v>17.850000000000001</v>
      </c>
      <c r="J1971" s="294"/>
      <c r="K1971" s="295"/>
      <c r="L1971" s="72"/>
      <c r="M1971" s="133"/>
      <c r="N1971" s="72"/>
      <c r="O1971" s="224"/>
      <c r="P1971" s="219"/>
      <c r="Q1971" s="84"/>
      <c r="S1971" s="136"/>
      <c r="T1971" s="136"/>
      <c r="V1971" s="136"/>
    </row>
    <row r="1972" spans="1:22">
      <c r="A1972" s="71" t="s">
        <v>9580</v>
      </c>
      <c r="B1972" s="67" t="s">
        <v>9581</v>
      </c>
      <c r="C1972" s="212" t="s">
        <v>103</v>
      </c>
      <c r="D1972" s="78">
        <v>3.39</v>
      </c>
      <c r="E1972" s="663">
        <v>2</v>
      </c>
      <c r="H1972" s="721">
        <v>3.39</v>
      </c>
      <c r="J1972" s="294"/>
      <c r="K1972" s="295"/>
      <c r="M1972" s="72"/>
      <c r="N1972" s="133"/>
      <c r="O1972" s="298"/>
      <c r="P1972" s="224"/>
      <c r="Q1972" s="219"/>
      <c r="T1972" s="136"/>
      <c r="V1972" s="136"/>
    </row>
    <row r="1973" spans="1:22">
      <c r="A1973" s="71" t="s">
        <v>9582</v>
      </c>
      <c r="B1973" s="67" t="s">
        <v>9583</v>
      </c>
      <c r="C1973" s="212" t="s">
        <v>103</v>
      </c>
      <c r="D1973" s="78">
        <v>3.97</v>
      </c>
      <c r="E1973" s="663">
        <v>2</v>
      </c>
      <c r="H1973" s="721">
        <v>3.97</v>
      </c>
      <c r="J1973" s="294"/>
      <c r="K1973" s="295"/>
      <c r="M1973" s="72"/>
      <c r="N1973" s="133"/>
      <c r="O1973" s="298"/>
      <c r="P1973" s="224"/>
      <c r="Q1973" s="219"/>
      <c r="T1973" s="136"/>
      <c r="V1973" s="136"/>
    </row>
    <row r="1974" spans="1:22">
      <c r="A1974" s="71" t="s">
        <v>9584</v>
      </c>
      <c r="B1974" s="216" t="s">
        <v>9585</v>
      </c>
      <c r="C1974" s="71" t="s">
        <v>165</v>
      </c>
      <c r="D1974" s="78">
        <v>1.69</v>
      </c>
      <c r="E1974" s="663">
        <v>2</v>
      </c>
      <c r="H1974" s="178">
        <v>1.69</v>
      </c>
      <c r="J1974" s="294"/>
      <c r="K1974" s="295"/>
      <c r="L1974" s="72"/>
      <c r="M1974" s="299"/>
      <c r="N1974" s="72"/>
      <c r="O1974" s="224"/>
      <c r="P1974" s="219"/>
      <c r="Q1974" s="84"/>
      <c r="S1974" s="136"/>
      <c r="T1974" s="136"/>
      <c r="V1974" s="136"/>
    </row>
    <row r="1975" spans="1:22">
      <c r="A1975" s="71" t="s">
        <v>9586</v>
      </c>
      <c r="B1975" s="67" t="s">
        <v>9587</v>
      </c>
      <c r="C1975" s="71" t="s">
        <v>165</v>
      </c>
      <c r="D1975" s="78">
        <v>96.04</v>
      </c>
      <c r="E1975" s="663">
        <v>2</v>
      </c>
      <c r="H1975" s="178">
        <v>96.04</v>
      </c>
      <c r="J1975" s="294"/>
      <c r="K1975" s="295"/>
      <c r="L1975" s="72"/>
      <c r="M1975" s="133"/>
      <c r="N1975" s="72"/>
      <c r="O1975" s="224"/>
      <c r="P1975" s="219"/>
      <c r="Q1975" s="84"/>
      <c r="S1975" s="136"/>
      <c r="T1975" s="136"/>
    </row>
    <row r="1976" spans="1:22">
      <c r="A1976" s="71" t="s">
        <v>9588</v>
      </c>
      <c r="B1976" s="67" t="s">
        <v>9589</v>
      </c>
      <c r="C1976" s="71" t="s">
        <v>165</v>
      </c>
      <c r="D1976" s="78">
        <v>179.95</v>
      </c>
      <c r="E1976" s="663">
        <v>2</v>
      </c>
      <c r="H1976" s="179">
        <v>179.95</v>
      </c>
      <c r="J1976" s="294"/>
      <c r="K1976" s="295"/>
      <c r="L1976" s="72"/>
      <c r="M1976" s="133"/>
      <c r="N1976" s="72"/>
      <c r="O1976" s="224"/>
      <c r="P1976" s="219"/>
      <c r="Q1976" s="84"/>
      <c r="S1976" s="137"/>
      <c r="T1976" s="137"/>
    </row>
    <row r="1977" spans="1:22">
      <c r="A1977" s="212" t="s">
        <v>9590</v>
      </c>
      <c r="B1977" s="216" t="s">
        <v>9591</v>
      </c>
      <c r="C1977" s="212" t="s">
        <v>165</v>
      </c>
      <c r="D1977" s="78">
        <v>64.569999999999993</v>
      </c>
      <c r="E1977" s="663">
        <v>2</v>
      </c>
      <c r="H1977" s="178">
        <v>64.569999999999993</v>
      </c>
      <c r="J1977" s="294"/>
      <c r="K1977" s="295"/>
      <c r="L1977" s="298"/>
      <c r="M1977" s="299"/>
      <c r="N1977" s="298"/>
      <c r="O1977" s="224"/>
      <c r="P1977" s="219"/>
      <c r="Q1977" s="84"/>
      <c r="S1977" s="136"/>
      <c r="T1977" s="136"/>
      <c r="V1977" s="136"/>
    </row>
    <row r="1978" spans="1:22">
      <c r="A1978" s="212" t="s">
        <v>9592</v>
      </c>
      <c r="B1978" s="216" t="s">
        <v>9593</v>
      </c>
      <c r="C1978" s="212" t="s">
        <v>165</v>
      </c>
      <c r="D1978" s="78">
        <v>27.49</v>
      </c>
      <c r="E1978" s="663">
        <v>2</v>
      </c>
      <c r="H1978" s="178">
        <v>27.49</v>
      </c>
      <c r="J1978" s="294"/>
      <c r="K1978" s="295"/>
      <c r="L1978" s="298"/>
      <c r="M1978" s="299"/>
      <c r="N1978" s="298"/>
      <c r="O1978" s="224"/>
      <c r="P1978" s="219"/>
      <c r="Q1978" s="84"/>
      <c r="S1978" s="136"/>
      <c r="T1978" s="136"/>
    </row>
    <row r="1979" spans="1:22">
      <c r="A1979" s="212" t="s">
        <v>9594</v>
      </c>
      <c r="B1979" s="216" t="s">
        <v>9595</v>
      </c>
      <c r="C1979" s="212" t="s">
        <v>165</v>
      </c>
      <c r="D1979" s="78">
        <v>54.46</v>
      </c>
      <c r="E1979" s="663">
        <v>2</v>
      </c>
      <c r="H1979" s="178">
        <v>54.46</v>
      </c>
      <c r="J1979" s="294"/>
      <c r="K1979" s="295"/>
      <c r="L1979" s="298"/>
      <c r="M1979" s="299"/>
      <c r="N1979" s="298"/>
      <c r="O1979" s="224"/>
      <c r="P1979" s="219"/>
      <c r="Q1979" s="84"/>
      <c r="S1979" s="136"/>
      <c r="T1979" s="136"/>
    </row>
    <row r="1980" spans="1:22" ht="12">
      <c r="A1980" s="71" t="s">
        <v>9596</v>
      </c>
      <c r="B1980" s="733" t="s">
        <v>9597</v>
      </c>
      <c r="C1980" s="71" t="s">
        <v>165</v>
      </c>
      <c r="D1980" s="78">
        <v>88.12</v>
      </c>
      <c r="E1980" s="663">
        <v>2</v>
      </c>
      <c r="H1980" s="308">
        <v>88.12</v>
      </c>
      <c r="T1980" s="84"/>
    </row>
    <row r="1981" spans="1:22">
      <c r="A1981" s="71" t="s">
        <v>9598</v>
      </c>
      <c r="B1981" s="312" t="s">
        <v>9599</v>
      </c>
      <c r="C1981" s="71" t="s">
        <v>165</v>
      </c>
      <c r="D1981" s="78">
        <v>157.57</v>
      </c>
      <c r="E1981" s="663">
        <v>2</v>
      </c>
      <c r="H1981" s="308">
        <v>157.57</v>
      </c>
      <c r="T1981" s="84"/>
    </row>
    <row r="1982" spans="1:22">
      <c r="A1982" s="71" t="s">
        <v>9600</v>
      </c>
      <c r="B1982" s="312" t="s">
        <v>9601</v>
      </c>
      <c r="C1982" s="71" t="s">
        <v>165</v>
      </c>
      <c r="D1982" s="78">
        <v>243.32</v>
      </c>
      <c r="E1982" s="663">
        <v>2</v>
      </c>
      <c r="H1982" s="308">
        <v>243.32</v>
      </c>
      <c r="T1982" s="84"/>
    </row>
    <row r="1983" spans="1:22">
      <c r="A1983" s="71" t="s">
        <v>9602</v>
      </c>
      <c r="B1983" s="67" t="s">
        <v>9603</v>
      </c>
      <c r="C1983" s="71" t="s">
        <v>165</v>
      </c>
      <c r="D1983" s="78">
        <v>47.16</v>
      </c>
      <c r="E1983" s="663">
        <v>2</v>
      </c>
      <c r="H1983" s="179">
        <v>47.16</v>
      </c>
      <c r="J1983" s="294"/>
      <c r="K1983" s="295"/>
      <c r="L1983" s="72"/>
      <c r="M1983" s="133"/>
      <c r="N1983" s="72"/>
      <c r="O1983" s="224"/>
      <c r="P1983" s="219"/>
      <c r="Q1983" s="84"/>
      <c r="S1983" s="137"/>
      <c r="T1983" s="137"/>
    </row>
    <row r="1984" spans="1:22">
      <c r="A1984" s="71" t="s">
        <v>9604</v>
      </c>
      <c r="B1984" s="67" t="s">
        <v>9605</v>
      </c>
      <c r="C1984" s="71" t="s">
        <v>165</v>
      </c>
      <c r="D1984" s="78">
        <v>74.709999999999994</v>
      </c>
      <c r="E1984" s="663">
        <v>2</v>
      </c>
      <c r="H1984" s="179">
        <v>74.709999999999994</v>
      </c>
      <c r="J1984" s="294"/>
      <c r="K1984" s="295"/>
      <c r="L1984" s="72"/>
      <c r="M1984" s="133"/>
      <c r="N1984" s="72"/>
      <c r="O1984" s="224"/>
      <c r="P1984" s="219"/>
      <c r="Q1984" s="84"/>
      <c r="S1984" s="137"/>
      <c r="T1984" s="137"/>
    </row>
    <row r="1985" spans="1:22">
      <c r="A1985" s="71" t="s">
        <v>9606</v>
      </c>
      <c r="B1985" s="67" t="s">
        <v>9607</v>
      </c>
      <c r="C1985" s="71" t="s">
        <v>165</v>
      </c>
      <c r="D1985" s="78">
        <v>96.47</v>
      </c>
      <c r="E1985" s="663">
        <v>2</v>
      </c>
      <c r="H1985" s="179">
        <v>96.47</v>
      </c>
      <c r="J1985" s="294"/>
      <c r="K1985" s="295"/>
      <c r="L1985" s="72"/>
      <c r="M1985" s="133"/>
      <c r="N1985" s="72"/>
      <c r="O1985" s="224"/>
      <c r="P1985" s="219"/>
      <c r="Q1985" s="84"/>
      <c r="S1985" s="137"/>
      <c r="T1985" s="137"/>
    </row>
    <row r="1986" spans="1:22">
      <c r="A1986" s="71" t="s">
        <v>9608</v>
      </c>
      <c r="B1986" s="67" t="s">
        <v>9609</v>
      </c>
      <c r="C1986" s="71" t="s">
        <v>165</v>
      </c>
      <c r="D1986" s="78">
        <v>162.71</v>
      </c>
      <c r="E1986" s="663">
        <v>2</v>
      </c>
      <c r="H1986" s="179">
        <v>162.71</v>
      </c>
      <c r="J1986" s="294"/>
      <c r="K1986" s="295"/>
      <c r="L1986" s="72"/>
      <c r="M1986" s="133"/>
      <c r="N1986" s="72"/>
      <c r="O1986" s="224"/>
      <c r="P1986" s="219"/>
      <c r="Q1986" s="84"/>
      <c r="S1986" s="137"/>
      <c r="T1986" s="137"/>
    </row>
    <row r="1987" spans="1:22">
      <c r="A1987" s="71" t="s">
        <v>9610</v>
      </c>
      <c r="B1987" s="67" t="s">
        <v>9611</v>
      </c>
      <c r="C1987" s="71" t="s">
        <v>165</v>
      </c>
      <c r="D1987" s="78">
        <v>199.74</v>
      </c>
      <c r="E1987" s="663">
        <v>2</v>
      </c>
      <c r="H1987" s="179">
        <v>199.74</v>
      </c>
      <c r="J1987" s="294"/>
      <c r="K1987" s="295"/>
      <c r="L1987" s="72"/>
      <c r="M1987" s="133"/>
      <c r="N1987" s="72"/>
      <c r="O1987" s="224"/>
      <c r="P1987" s="219"/>
      <c r="Q1987" s="84"/>
      <c r="S1987" s="137"/>
      <c r="T1987" s="137"/>
    </row>
    <row r="1988" spans="1:22">
      <c r="A1988" s="71" t="s">
        <v>9612</v>
      </c>
      <c r="B1988" s="67" t="s">
        <v>9613</v>
      </c>
      <c r="C1988" s="71" t="s">
        <v>207</v>
      </c>
      <c r="D1988" s="78">
        <v>188.27</v>
      </c>
      <c r="E1988" s="663">
        <v>2</v>
      </c>
      <c r="H1988" s="179">
        <v>188.27</v>
      </c>
      <c r="J1988" s="294"/>
      <c r="K1988" s="295"/>
      <c r="L1988" s="72"/>
      <c r="M1988" s="133"/>
      <c r="N1988" s="72"/>
      <c r="O1988" s="224"/>
      <c r="P1988" s="219"/>
      <c r="Q1988" s="84"/>
      <c r="S1988" s="137"/>
      <c r="T1988" s="137"/>
    </row>
    <row r="1989" spans="1:22">
      <c r="A1989" s="71" t="s">
        <v>9614</v>
      </c>
      <c r="B1989" s="67" t="s">
        <v>9615</v>
      </c>
      <c r="C1989" s="71" t="s">
        <v>207</v>
      </c>
      <c r="D1989" s="78">
        <v>74.489999999999995</v>
      </c>
      <c r="E1989" s="663">
        <v>2</v>
      </c>
      <c r="H1989" s="179">
        <v>74.489999999999995</v>
      </c>
      <c r="J1989" s="294"/>
      <c r="K1989" s="295"/>
      <c r="L1989" s="72"/>
      <c r="M1989" s="133"/>
      <c r="N1989" s="72"/>
      <c r="O1989" s="224"/>
      <c r="P1989" s="219"/>
      <c r="Q1989" s="84"/>
      <c r="S1989" s="137"/>
      <c r="T1989" s="137"/>
    </row>
    <row r="1990" spans="1:22">
      <c r="A1990" s="71" t="s">
        <v>9616</v>
      </c>
      <c r="B1990" s="67" t="s">
        <v>9617</v>
      </c>
      <c r="C1990" s="71" t="s">
        <v>165</v>
      </c>
      <c r="D1990" s="78">
        <v>31.24</v>
      </c>
      <c r="E1990" s="663">
        <v>2</v>
      </c>
      <c r="H1990" s="179">
        <v>31.24</v>
      </c>
      <c r="J1990" s="294"/>
      <c r="K1990" s="295"/>
      <c r="L1990" s="72"/>
      <c r="M1990" s="133"/>
      <c r="N1990" s="72"/>
      <c r="O1990" s="224"/>
      <c r="P1990" s="219"/>
      <c r="Q1990" s="84"/>
      <c r="S1990" s="137"/>
      <c r="T1990" s="137"/>
    </row>
    <row r="1991" spans="1:22">
      <c r="A1991" s="71" t="s">
        <v>9618</v>
      </c>
      <c r="B1991" s="67" t="s">
        <v>9619</v>
      </c>
      <c r="C1991" s="71" t="s">
        <v>165</v>
      </c>
      <c r="D1991" s="78">
        <v>53.01</v>
      </c>
      <c r="E1991" s="663">
        <v>2</v>
      </c>
      <c r="H1991" s="179">
        <v>53.01</v>
      </c>
      <c r="J1991" s="294"/>
      <c r="K1991" s="295"/>
      <c r="L1991" s="72"/>
      <c r="M1991" s="133"/>
      <c r="N1991" s="72"/>
      <c r="O1991" s="224"/>
      <c r="P1991" s="219"/>
      <c r="Q1991" s="84"/>
      <c r="S1991" s="137"/>
      <c r="T1991" s="137"/>
    </row>
    <row r="1992" spans="1:22">
      <c r="A1992" s="71" t="s">
        <v>9620</v>
      </c>
      <c r="B1992" s="67" t="s">
        <v>9621</v>
      </c>
      <c r="C1992" s="71" t="s">
        <v>165</v>
      </c>
      <c r="D1992" s="78">
        <v>70.709999999999994</v>
      </c>
      <c r="E1992" s="663">
        <v>2</v>
      </c>
      <c r="H1992" s="179">
        <v>70.709999999999994</v>
      </c>
      <c r="J1992" s="294"/>
      <c r="K1992" s="295"/>
      <c r="L1992" s="72"/>
      <c r="M1992" s="133"/>
      <c r="N1992" s="72"/>
      <c r="O1992" s="224"/>
      <c r="P1992" s="219"/>
      <c r="Q1992" s="84"/>
      <c r="S1992" s="137"/>
      <c r="T1992" s="137"/>
    </row>
    <row r="1993" spans="1:22">
      <c r="A1993" s="71" t="s">
        <v>9622</v>
      </c>
      <c r="B1993" s="67" t="s">
        <v>9623</v>
      </c>
      <c r="C1993" s="71" t="s">
        <v>165</v>
      </c>
      <c r="D1993" s="78">
        <v>130.6</v>
      </c>
      <c r="E1993" s="663">
        <v>2</v>
      </c>
      <c r="H1993" s="179">
        <v>130.6</v>
      </c>
      <c r="J1993" s="294"/>
      <c r="K1993" s="295"/>
      <c r="L1993" s="72"/>
      <c r="M1993" s="133"/>
      <c r="N1993" s="72"/>
      <c r="O1993" s="224"/>
      <c r="P1993" s="219"/>
      <c r="Q1993" s="84"/>
      <c r="S1993" s="137"/>
      <c r="T1993" s="137"/>
    </row>
    <row r="1994" spans="1:22">
      <c r="A1994" s="71" t="s">
        <v>9624</v>
      </c>
      <c r="B1994" s="67" t="s">
        <v>9625</v>
      </c>
      <c r="C1994" s="71" t="s">
        <v>103</v>
      </c>
      <c r="D1994" s="78">
        <v>2.71</v>
      </c>
      <c r="E1994" s="663">
        <v>2</v>
      </c>
      <c r="H1994" s="179">
        <v>2.71</v>
      </c>
      <c r="J1994" s="294"/>
      <c r="K1994" s="295"/>
      <c r="L1994" s="72"/>
      <c r="M1994" s="133"/>
      <c r="N1994" s="72"/>
      <c r="O1994" s="224"/>
      <c r="P1994" s="219"/>
      <c r="Q1994" s="84"/>
      <c r="S1994" s="137"/>
      <c r="T1994" s="137"/>
      <c r="V1994" s="137"/>
    </row>
    <row r="1995" spans="1:22">
      <c r="A1995" s="71" t="s">
        <v>9626</v>
      </c>
      <c r="B1995" s="67" t="s">
        <v>9627</v>
      </c>
      <c r="C1995" s="71" t="s">
        <v>165</v>
      </c>
      <c r="D1995" s="78">
        <v>2.71</v>
      </c>
      <c r="E1995" s="663">
        <v>2</v>
      </c>
      <c r="H1995" s="179">
        <v>2.71</v>
      </c>
      <c r="J1995" s="294"/>
      <c r="K1995" s="295"/>
      <c r="L1995" s="72"/>
      <c r="M1995" s="133"/>
      <c r="N1995" s="72"/>
      <c r="O1995" s="224"/>
      <c r="P1995" s="219"/>
      <c r="Q1995" s="84"/>
      <c r="S1995" s="137"/>
      <c r="T1995" s="137"/>
      <c r="V1995" s="137"/>
    </row>
    <row r="1996" spans="1:22">
      <c r="A1996" s="71" t="s">
        <v>9628</v>
      </c>
      <c r="B1996" s="67" t="s">
        <v>9629</v>
      </c>
      <c r="C1996" s="71" t="s">
        <v>165</v>
      </c>
      <c r="D1996" s="78">
        <v>2.87</v>
      </c>
      <c r="E1996" s="663">
        <v>2</v>
      </c>
      <c r="H1996" s="179">
        <v>2.87</v>
      </c>
      <c r="J1996" s="294"/>
      <c r="K1996" s="295"/>
      <c r="L1996" s="72"/>
      <c r="M1996" s="133"/>
      <c r="N1996" s="72"/>
      <c r="O1996" s="224"/>
      <c r="P1996" s="219"/>
      <c r="Q1996" s="84"/>
      <c r="S1996" s="137"/>
      <c r="T1996" s="137"/>
      <c r="V1996" s="137"/>
    </row>
    <row r="1997" spans="1:22">
      <c r="A1997" s="71" t="s">
        <v>9630</v>
      </c>
      <c r="B1997" s="67" t="s">
        <v>9631</v>
      </c>
      <c r="C1997" s="71" t="s">
        <v>165</v>
      </c>
      <c r="D1997" s="78">
        <v>4.09</v>
      </c>
      <c r="E1997" s="663">
        <v>2</v>
      </c>
      <c r="H1997" s="179">
        <v>4.09</v>
      </c>
      <c r="J1997" s="294"/>
      <c r="K1997" s="295"/>
      <c r="L1997" s="72"/>
      <c r="M1997" s="133"/>
      <c r="N1997" s="72"/>
      <c r="O1997" s="224"/>
      <c r="P1997" s="219"/>
      <c r="Q1997" s="84"/>
      <c r="S1997" s="137"/>
      <c r="T1997" s="137"/>
      <c r="V1997" s="137"/>
    </row>
    <row r="1998" spans="1:22">
      <c r="A1998" s="71" t="s">
        <v>9632</v>
      </c>
      <c r="B1998" s="67" t="s">
        <v>9633</v>
      </c>
      <c r="C1998" s="71" t="s">
        <v>165</v>
      </c>
      <c r="D1998" s="78">
        <v>20.12</v>
      </c>
      <c r="E1998" s="663">
        <v>2</v>
      </c>
      <c r="H1998" s="179">
        <v>20.12</v>
      </c>
      <c r="J1998" s="294"/>
      <c r="K1998" s="295"/>
      <c r="L1998" s="72"/>
      <c r="M1998" s="133"/>
      <c r="N1998" s="72"/>
      <c r="O1998" s="224"/>
      <c r="P1998" s="219"/>
      <c r="Q1998" s="84"/>
      <c r="S1998" s="137"/>
      <c r="T1998" s="137"/>
    </row>
    <row r="1999" spans="1:22">
      <c r="A1999" s="71" t="s">
        <v>9634</v>
      </c>
      <c r="B1999" s="67" t="s">
        <v>9635</v>
      </c>
      <c r="C1999" s="71" t="s">
        <v>103</v>
      </c>
      <c r="D1999" s="78">
        <v>142.66</v>
      </c>
      <c r="E1999" s="663">
        <v>2</v>
      </c>
      <c r="H1999" s="178">
        <v>142.66</v>
      </c>
      <c r="J1999" s="294"/>
      <c r="K1999" s="295"/>
      <c r="L1999" s="72"/>
      <c r="M1999" s="133"/>
      <c r="N1999" s="72"/>
      <c r="O1999" s="224"/>
      <c r="P1999" s="219"/>
      <c r="Q1999" s="84"/>
      <c r="S1999" s="136"/>
      <c r="T1999" s="136"/>
    </row>
    <row r="2000" spans="1:22">
      <c r="A2000" s="71" t="s">
        <v>9636</v>
      </c>
      <c r="B2000" s="67" t="s">
        <v>9637</v>
      </c>
      <c r="C2000" s="71" t="s">
        <v>103</v>
      </c>
      <c r="D2000" s="78">
        <v>64.8</v>
      </c>
      <c r="E2000" s="663">
        <v>2</v>
      </c>
      <c r="H2000" s="179">
        <v>64.8</v>
      </c>
      <c r="J2000" s="294"/>
      <c r="K2000" s="295"/>
      <c r="L2000" s="72"/>
      <c r="M2000" s="133"/>
      <c r="N2000" s="72"/>
      <c r="O2000" s="224"/>
      <c r="P2000" s="219"/>
      <c r="Q2000" s="84"/>
      <c r="S2000" s="137"/>
      <c r="T2000" s="137"/>
    </row>
    <row r="2001" spans="1:20">
      <c r="A2001" s="71" t="s">
        <v>9638</v>
      </c>
      <c r="B2001" s="67" t="s">
        <v>9639</v>
      </c>
      <c r="C2001" s="71" t="s">
        <v>103</v>
      </c>
      <c r="D2001" s="78">
        <v>59.48</v>
      </c>
      <c r="E2001" s="663">
        <v>2</v>
      </c>
      <c r="H2001" s="179">
        <v>59.48</v>
      </c>
      <c r="J2001" s="294"/>
      <c r="K2001" s="295"/>
      <c r="L2001" s="72"/>
      <c r="M2001" s="133"/>
      <c r="N2001" s="72"/>
      <c r="O2001" s="224"/>
      <c r="P2001" s="219"/>
      <c r="Q2001" s="84"/>
      <c r="S2001" s="137"/>
      <c r="T2001" s="137"/>
    </row>
    <row r="2002" spans="1:20">
      <c r="A2002" s="71" t="s">
        <v>9640</v>
      </c>
      <c r="B2002" s="67" t="s">
        <v>9641</v>
      </c>
      <c r="C2002" s="71" t="s">
        <v>103</v>
      </c>
      <c r="D2002" s="78">
        <v>46.47</v>
      </c>
      <c r="E2002" s="663">
        <v>2</v>
      </c>
      <c r="H2002" s="179">
        <v>46.47</v>
      </c>
      <c r="J2002" s="294"/>
      <c r="K2002" s="295"/>
      <c r="L2002" s="72"/>
      <c r="M2002" s="133"/>
      <c r="N2002" s="72"/>
      <c r="O2002" s="224"/>
      <c r="P2002" s="219"/>
      <c r="Q2002" s="84"/>
      <c r="S2002" s="137"/>
      <c r="T2002" s="137"/>
    </row>
    <row r="2003" spans="1:20">
      <c r="A2003" s="71" t="s">
        <v>9642</v>
      </c>
      <c r="B2003" s="67" t="s">
        <v>9643</v>
      </c>
      <c r="C2003" s="71" t="s">
        <v>103</v>
      </c>
      <c r="D2003" s="78">
        <v>68.040000000000006</v>
      </c>
      <c r="E2003" s="663">
        <v>2</v>
      </c>
      <c r="H2003" s="179">
        <v>68.040000000000006</v>
      </c>
      <c r="J2003" s="294"/>
      <c r="K2003" s="295"/>
      <c r="L2003" s="72"/>
      <c r="M2003" s="133"/>
      <c r="N2003" s="72"/>
      <c r="O2003" s="224"/>
      <c r="P2003" s="219"/>
      <c r="Q2003" s="84"/>
      <c r="S2003" s="137"/>
      <c r="T2003" s="137"/>
    </row>
    <row r="2004" spans="1:20">
      <c r="A2004" s="71" t="s">
        <v>9644</v>
      </c>
      <c r="B2004" s="67" t="s">
        <v>9645</v>
      </c>
      <c r="C2004" s="71" t="s">
        <v>103</v>
      </c>
      <c r="D2004" s="78">
        <v>57.16</v>
      </c>
      <c r="E2004" s="663">
        <v>2</v>
      </c>
      <c r="H2004" s="179">
        <v>57.16</v>
      </c>
      <c r="J2004" s="294"/>
      <c r="K2004" s="295"/>
      <c r="L2004" s="72"/>
      <c r="M2004" s="133"/>
      <c r="N2004" s="72"/>
      <c r="O2004" s="224"/>
      <c r="P2004" s="219"/>
      <c r="Q2004" s="84"/>
      <c r="S2004" s="137"/>
      <c r="T2004" s="137"/>
    </row>
    <row r="2005" spans="1:20">
      <c r="A2005" s="71" t="s">
        <v>9646</v>
      </c>
      <c r="B2005" s="67" t="s">
        <v>9647</v>
      </c>
      <c r="C2005" s="71" t="s">
        <v>103</v>
      </c>
      <c r="D2005" s="78">
        <v>53</v>
      </c>
      <c r="E2005" s="663">
        <v>2</v>
      </c>
      <c r="H2005" s="179">
        <v>53</v>
      </c>
      <c r="J2005" s="294"/>
      <c r="K2005" s="295"/>
      <c r="L2005" s="72"/>
      <c r="M2005" s="133"/>
      <c r="N2005" s="72"/>
      <c r="O2005" s="224"/>
      <c r="P2005" s="219"/>
      <c r="Q2005" s="84"/>
      <c r="S2005" s="137"/>
      <c r="T2005" s="137"/>
    </row>
    <row r="2006" spans="1:20">
      <c r="A2006" s="71" t="s">
        <v>9648</v>
      </c>
      <c r="B2006" s="67" t="s">
        <v>9649</v>
      </c>
      <c r="C2006" s="71" t="s">
        <v>103</v>
      </c>
      <c r="D2006" s="78">
        <v>87.28</v>
      </c>
      <c r="E2006" s="663">
        <v>2</v>
      </c>
      <c r="H2006" s="179">
        <v>87.28</v>
      </c>
      <c r="J2006" s="294"/>
      <c r="K2006" s="295"/>
      <c r="L2006" s="72"/>
      <c r="M2006" s="133"/>
      <c r="N2006" s="72"/>
      <c r="O2006" s="224"/>
      <c r="P2006" s="219"/>
      <c r="Q2006" s="84"/>
      <c r="S2006" s="137"/>
      <c r="T2006" s="137"/>
    </row>
    <row r="2007" spans="1:20">
      <c r="A2007" s="71" t="s">
        <v>9650</v>
      </c>
      <c r="B2007" s="67" t="s">
        <v>9651</v>
      </c>
      <c r="C2007" s="71" t="s">
        <v>103</v>
      </c>
      <c r="D2007" s="78">
        <v>104</v>
      </c>
      <c r="E2007" s="663">
        <v>2</v>
      </c>
      <c r="H2007" s="179">
        <v>104</v>
      </c>
      <c r="J2007" s="294"/>
      <c r="K2007" s="295"/>
      <c r="L2007" s="72"/>
      <c r="M2007" s="133"/>
      <c r="N2007" s="72"/>
      <c r="O2007" s="224"/>
      <c r="P2007" s="219"/>
      <c r="Q2007" s="84"/>
      <c r="S2007" s="137"/>
      <c r="T2007" s="137"/>
    </row>
    <row r="2008" spans="1:20">
      <c r="A2008" s="71" t="s">
        <v>9652</v>
      </c>
      <c r="B2008" s="67" t="s">
        <v>9653</v>
      </c>
      <c r="C2008" s="71" t="s">
        <v>103</v>
      </c>
      <c r="D2008" s="78">
        <v>144.49</v>
      </c>
      <c r="E2008" s="663">
        <v>2</v>
      </c>
      <c r="H2008" s="179">
        <v>144.49</v>
      </c>
      <c r="J2008" s="294"/>
      <c r="K2008" s="295"/>
      <c r="L2008" s="72"/>
      <c r="M2008" s="133"/>
      <c r="N2008" s="72"/>
      <c r="O2008" s="224"/>
      <c r="P2008" s="219"/>
      <c r="Q2008" s="84"/>
      <c r="S2008" s="137"/>
      <c r="T2008" s="137"/>
    </row>
    <row r="2009" spans="1:20">
      <c r="A2009" s="71" t="s">
        <v>9654</v>
      </c>
      <c r="B2009" s="67" t="s">
        <v>9655</v>
      </c>
      <c r="C2009" s="71" t="s">
        <v>103</v>
      </c>
      <c r="D2009" s="78">
        <v>42.73</v>
      </c>
      <c r="E2009" s="663">
        <v>2</v>
      </c>
      <c r="H2009" s="179">
        <v>42.73</v>
      </c>
      <c r="J2009" s="294"/>
      <c r="K2009" s="295"/>
      <c r="L2009" s="72"/>
      <c r="M2009" s="133"/>
      <c r="N2009" s="72"/>
      <c r="O2009" s="224"/>
      <c r="P2009" s="219"/>
      <c r="Q2009" s="84"/>
      <c r="S2009" s="137"/>
      <c r="T2009" s="137"/>
    </row>
    <row r="2010" spans="1:20">
      <c r="A2010" s="71" t="s">
        <v>9656</v>
      </c>
      <c r="B2010" s="67" t="s">
        <v>9657</v>
      </c>
      <c r="C2010" s="71" t="s">
        <v>103</v>
      </c>
      <c r="D2010" s="78">
        <v>56.88</v>
      </c>
      <c r="E2010" s="663">
        <v>2</v>
      </c>
      <c r="H2010" s="179">
        <v>56.88</v>
      </c>
      <c r="J2010" s="294"/>
      <c r="K2010" s="295"/>
      <c r="L2010" s="72"/>
      <c r="M2010" s="133"/>
      <c r="N2010" s="72"/>
      <c r="O2010" s="224"/>
      <c r="P2010" s="219"/>
      <c r="Q2010" s="84"/>
      <c r="S2010" s="137"/>
      <c r="T2010" s="137"/>
    </row>
    <row r="2011" spans="1:20">
      <c r="A2011" s="71" t="s">
        <v>9658</v>
      </c>
      <c r="B2011" s="67" t="s">
        <v>9659</v>
      </c>
      <c r="C2011" s="71" t="s">
        <v>103</v>
      </c>
      <c r="D2011" s="78">
        <v>66.77</v>
      </c>
      <c r="E2011" s="663">
        <v>2</v>
      </c>
      <c r="H2011" s="179">
        <v>66.77</v>
      </c>
      <c r="J2011" s="294"/>
      <c r="K2011" s="295"/>
      <c r="L2011" s="72"/>
      <c r="M2011" s="133"/>
      <c r="N2011" s="72"/>
      <c r="O2011" s="224"/>
      <c r="P2011" s="219"/>
      <c r="Q2011" s="84"/>
      <c r="S2011" s="137"/>
      <c r="T2011" s="137"/>
    </row>
    <row r="2012" spans="1:20">
      <c r="A2012" s="71" t="s">
        <v>9660</v>
      </c>
      <c r="B2012" s="67" t="s">
        <v>9661</v>
      </c>
      <c r="C2012" s="71" t="s">
        <v>103</v>
      </c>
      <c r="D2012" s="78">
        <v>92.05</v>
      </c>
      <c r="E2012" s="663">
        <v>2</v>
      </c>
      <c r="H2012" s="179">
        <v>92.05</v>
      </c>
      <c r="J2012" s="294"/>
      <c r="K2012" s="295"/>
      <c r="L2012" s="72"/>
      <c r="M2012" s="133"/>
      <c r="N2012" s="72"/>
      <c r="O2012" s="224"/>
      <c r="P2012" s="219"/>
      <c r="Q2012" s="84"/>
      <c r="S2012" s="137"/>
      <c r="T2012" s="137"/>
    </row>
    <row r="2013" spans="1:20">
      <c r="A2013" s="71" t="s">
        <v>9662</v>
      </c>
      <c r="B2013" s="67" t="s">
        <v>9663</v>
      </c>
      <c r="C2013" s="71" t="s">
        <v>103</v>
      </c>
      <c r="D2013" s="78">
        <v>110.73</v>
      </c>
      <c r="E2013" s="663">
        <v>2</v>
      </c>
      <c r="H2013" s="179">
        <v>110.73</v>
      </c>
      <c r="J2013" s="294"/>
      <c r="K2013" s="295"/>
      <c r="L2013" s="72"/>
      <c r="M2013" s="133"/>
      <c r="N2013" s="72"/>
      <c r="O2013" s="224"/>
      <c r="P2013" s="219"/>
      <c r="Q2013" s="84"/>
      <c r="S2013" s="137"/>
      <c r="T2013" s="137"/>
    </row>
    <row r="2014" spans="1:20">
      <c r="A2014" s="71" t="s">
        <v>9664</v>
      </c>
      <c r="B2014" s="67" t="s">
        <v>9665</v>
      </c>
      <c r="C2014" s="71" t="s">
        <v>103</v>
      </c>
      <c r="D2014" s="78">
        <v>181.07</v>
      </c>
      <c r="E2014" s="663">
        <v>2</v>
      </c>
      <c r="H2014" s="179">
        <v>181.07</v>
      </c>
      <c r="J2014" s="294"/>
      <c r="K2014" s="295"/>
      <c r="L2014" s="72"/>
      <c r="M2014" s="133"/>
      <c r="N2014" s="72"/>
      <c r="O2014" s="224"/>
      <c r="P2014" s="219"/>
      <c r="Q2014" s="84"/>
      <c r="S2014" s="137"/>
      <c r="T2014" s="137"/>
    </row>
    <row r="2015" spans="1:20">
      <c r="A2015" s="71" t="s">
        <v>9666</v>
      </c>
      <c r="B2015" s="67" t="s">
        <v>9667</v>
      </c>
      <c r="C2015" s="71" t="s">
        <v>103</v>
      </c>
      <c r="D2015" s="78">
        <v>385</v>
      </c>
      <c r="E2015" s="663">
        <v>2</v>
      </c>
      <c r="H2015" s="179">
        <v>385</v>
      </c>
      <c r="J2015" s="294"/>
      <c r="K2015" s="295"/>
      <c r="L2015" s="72"/>
      <c r="M2015" s="133"/>
      <c r="N2015" s="72"/>
      <c r="O2015" s="224"/>
      <c r="P2015" s="219"/>
      <c r="Q2015" s="84"/>
      <c r="S2015" s="137"/>
      <c r="T2015" s="137"/>
    </row>
    <row r="2016" spans="1:20">
      <c r="A2016" s="71" t="s">
        <v>9668</v>
      </c>
      <c r="B2016" s="67" t="s">
        <v>9669</v>
      </c>
      <c r="C2016" s="71" t="s">
        <v>103</v>
      </c>
      <c r="D2016" s="78">
        <v>647.41</v>
      </c>
      <c r="E2016" s="663">
        <v>2</v>
      </c>
      <c r="H2016" s="179">
        <v>647.41</v>
      </c>
      <c r="J2016" s="294"/>
      <c r="K2016" s="295"/>
      <c r="L2016" s="72"/>
      <c r="M2016" s="133"/>
      <c r="N2016" s="72"/>
      <c r="O2016" s="224"/>
      <c r="P2016" s="219"/>
      <c r="Q2016" s="84"/>
      <c r="S2016" s="137"/>
      <c r="T2016" s="137"/>
    </row>
    <row r="2017" spans="1:20">
      <c r="A2017" s="71" t="s">
        <v>9670</v>
      </c>
      <c r="B2017" s="67" t="s">
        <v>9671</v>
      </c>
      <c r="C2017" s="71" t="s">
        <v>103</v>
      </c>
      <c r="D2017" s="78">
        <v>1123.74</v>
      </c>
      <c r="E2017" s="663">
        <v>2</v>
      </c>
      <c r="H2017" s="179">
        <v>1123.74</v>
      </c>
      <c r="J2017" s="294"/>
      <c r="K2017" s="295"/>
      <c r="L2017" s="72"/>
      <c r="M2017" s="133"/>
      <c r="N2017" s="72"/>
      <c r="O2017" s="224"/>
      <c r="P2017" s="219"/>
      <c r="Q2017" s="84"/>
      <c r="S2017" s="137"/>
      <c r="T2017" s="137"/>
    </row>
    <row r="2018" spans="1:20">
      <c r="A2018" s="71" t="s">
        <v>9672</v>
      </c>
      <c r="B2018" s="67" t="s">
        <v>9673</v>
      </c>
      <c r="C2018" s="71" t="s">
        <v>103</v>
      </c>
      <c r="D2018" s="78">
        <v>93.13</v>
      </c>
      <c r="E2018" s="663">
        <v>2</v>
      </c>
      <c r="H2018" s="178">
        <v>93.13</v>
      </c>
      <c r="J2018" s="294"/>
      <c r="K2018" s="295"/>
      <c r="L2018" s="72"/>
      <c r="M2018" s="133"/>
      <c r="N2018" s="72"/>
      <c r="O2018" s="224"/>
      <c r="P2018" s="219"/>
      <c r="Q2018" s="84"/>
      <c r="S2018" s="136"/>
      <c r="T2018" s="136"/>
    </row>
    <row r="2019" spans="1:20">
      <c r="A2019" s="71" t="s">
        <v>9674</v>
      </c>
      <c r="B2019" s="67" t="s">
        <v>9675</v>
      </c>
      <c r="C2019" s="71" t="s">
        <v>103</v>
      </c>
      <c r="D2019" s="78">
        <v>73.650000000000006</v>
      </c>
      <c r="E2019" s="663">
        <v>2</v>
      </c>
      <c r="H2019" s="179">
        <v>73.650000000000006</v>
      </c>
      <c r="J2019" s="294"/>
      <c r="K2019" s="295"/>
      <c r="L2019" s="72"/>
      <c r="M2019" s="133"/>
      <c r="N2019" s="72"/>
      <c r="O2019" s="224"/>
      <c r="P2019" s="219"/>
      <c r="Q2019" s="84"/>
      <c r="S2019" s="137"/>
      <c r="T2019" s="137"/>
    </row>
    <row r="2020" spans="1:20">
      <c r="A2020" s="71" t="s">
        <v>9676</v>
      </c>
      <c r="B2020" s="67" t="s">
        <v>9677</v>
      </c>
      <c r="C2020" s="71" t="s">
        <v>103</v>
      </c>
      <c r="D2020" s="78">
        <v>320.24</v>
      </c>
      <c r="E2020" s="663">
        <v>2</v>
      </c>
      <c r="H2020" s="179">
        <v>320.24</v>
      </c>
      <c r="J2020" s="294"/>
      <c r="K2020" s="295"/>
      <c r="L2020" s="72"/>
      <c r="M2020" s="133"/>
      <c r="N2020" s="72"/>
      <c r="O2020" s="224"/>
      <c r="P2020" s="219"/>
      <c r="Q2020" s="84"/>
      <c r="S2020" s="137"/>
      <c r="T2020" s="137"/>
    </row>
    <row r="2021" spans="1:20">
      <c r="A2021" s="71" t="s">
        <v>9678</v>
      </c>
      <c r="B2021" s="67" t="s">
        <v>9679</v>
      </c>
      <c r="C2021" s="71" t="s">
        <v>103</v>
      </c>
      <c r="D2021" s="78">
        <v>342.12</v>
      </c>
      <c r="E2021" s="663">
        <v>2</v>
      </c>
      <c r="H2021" s="179">
        <v>342.12</v>
      </c>
      <c r="J2021" s="294"/>
      <c r="K2021" s="295"/>
      <c r="L2021" s="72"/>
      <c r="M2021" s="133"/>
      <c r="N2021" s="72"/>
      <c r="O2021" s="224"/>
      <c r="P2021" s="219"/>
      <c r="Q2021" s="84"/>
      <c r="S2021" s="137"/>
      <c r="T2021" s="137"/>
    </row>
    <row r="2022" spans="1:20">
      <c r="A2022" s="71" t="s">
        <v>9680</v>
      </c>
      <c r="B2022" s="67" t="s">
        <v>9681</v>
      </c>
      <c r="C2022" s="71" t="s">
        <v>103</v>
      </c>
      <c r="D2022" s="78">
        <v>386.88</v>
      </c>
      <c r="E2022" s="663">
        <v>2</v>
      </c>
      <c r="H2022" s="179">
        <v>386.88</v>
      </c>
      <c r="J2022" s="294"/>
      <c r="K2022" s="295"/>
      <c r="L2022" s="72"/>
      <c r="M2022" s="133"/>
      <c r="N2022" s="72"/>
      <c r="O2022" s="224"/>
      <c r="P2022" s="219"/>
      <c r="Q2022" s="84"/>
      <c r="S2022" s="137"/>
      <c r="T2022" s="137"/>
    </row>
    <row r="2023" spans="1:20">
      <c r="A2023" s="71" t="s">
        <v>9682</v>
      </c>
      <c r="B2023" s="67" t="s">
        <v>9683</v>
      </c>
      <c r="C2023" s="71" t="s">
        <v>103</v>
      </c>
      <c r="D2023" s="78">
        <v>554.98</v>
      </c>
      <c r="E2023" s="663">
        <v>2</v>
      </c>
      <c r="H2023" s="179">
        <v>554.98</v>
      </c>
      <c r="J2023" s="294"/>
      <c r="K2023" s="295"/>
      <c r="L2023" s="72"/>
      <c r="M2023" s="133"/>
      <c r="N2023" s="72"/>
      <c r="O2023" s="224"/>
      <c r="P2023" s="219"/>
      <c r="Q2023" s="84"/>
      <c r="S2023" s="137"/>
      <c r="T2023" s="137"/>
    </row>
    <row r="2024" spans="1:20">
      <c r="A2024" s="71" t="s">
        <v>9684</v>
      </c>
      <c r="B2024" s="67" t="s">
        <v>9685</v>
      </c>
      <c r="C2024" s="71" t="s">
        <v>103</v>
      </c>
      <c r="D2024" s="78">
        <v>149.03</v>
      </c>
      <c r="E2024" s="663">
        <v>2</v>
      </c>
      <c r="H2024" s="179">
        <v>149.03</v>
      </c>
      <c r="J2024" s="294"/>
      <c r="K2024" s="295"/>
      <c r="L2024" s="72"/>
      <c r="M2024" s="133"/>
      <c r="N2024" s="72"/>
      <c r="O2024" s="224"/>
      <c r="P2024" s="219"/>
      <c r="Q2024" s="84"/>
      <c r="S2024" s="137"/>
      <c r="T2024" s="137"/>
    </row>
    <row r="2025" spans="1:20">
      <c r="A2025" s="71" t="s">
        <v>9686</v>
      </c>
      <c r="B2025" s="67" t="s">
        <v>9687</v>
      </c>
      <c r="C2025" s="71" t="s">
        <v>103</v>
      </c>
      <c r="D2025" s="78">
        <v>207.97</v>
      </c>
      <c r="E2025" s="663">
        <v>2</v>
      </c>
      <c r="H2025" s="179">
        <v>207.97</v>
      </c>
      <c r="J2025" s="294"/>
      <c r="K2025" s="295"/>
      <c r="L2025" s="72"/>
      <c r="M2025" s="133"/>
      <c r="N2025" s="72"/>
      <c r="O2025" s="224"/>
      <c r="P2025" s="219"/>
      <c r="Q2025" s="84"/>
      <c r="S2025" s="137"/>
      <c r="T2025" s="137"/>
    </row>
    <row r="2026" spans="1:20">
      <c r="A2026" s="71" t="s">
        <v>9688</v>
      </c>
      <c r="B2026" s="67" t="s">
        <v>9689</v>
      </c>
      <c r="C2026" s="71" t="s">
        <v>103</v>
      </c>
      <c r="D2026" s="78">
        <v>244.8</v>
      </c>
      <c r="E2026" s="663">
        <v>2</v>
      </c>
      <c r="H2026" s="179">
        <v>244.8</v>
      </c>
      <c r="J2026" s="294"/>
      <c r="K2026" s="295"/>
      <c r="L2026" s="72"/>
      <c r="M2026" s="133"/>
      <c r="N2026" s="72"/>
      <c r="O2026" s="224"/>
      <c r="P2026" s="219"/>
      <c r="Q2026" s="84"/>
      <c r="S2026" s="137"/>
      <c r="T2026" s="137"/>
    </row>
    <row r="2027" spans="1:20">
      <c r="A2027" s="71" t="s">
        <v>9690</v>
      </c>
      <c r="B2027" s="67" t="s">
        <v>9691</v>
      </c>
      <c r="C2027" s="71" t="s">
        <v>103</v>
      </c>
      <c r="D2027" s="78">
        <v>368.25</v>
      </c>
      <c r="E2027" s="663">
        <v>2</v>
      </c>
      <c r="H2027" s="179">
        <v>368.25</v>
      </c>
      <c r="J2027" s="294"/>
      <c r="K2027" s="295"/>
      <c r="L2027" s="72"/>
      <c r="M2027" s="133"/>
      <c r="N2027" s="72"/>
      <c r="O2027" s="224"/>
      <c r="P2027" s="219"/>
      <c r="Q2027" s="84"/>
      <c r="S2027" s="137"/>
      <c r="T2027" s="137"/>
    </row>
    <row r="2028" spans="1:20">
      <c r="A2028" s="71" t="s">
        <v>9692</v>
      </c>
      <c r="B2028" s="67" t="s">
        <v>9693</v>
      </c>
      <c r="C2028" s="71" t="s">
        <v>103</v>
      </c>
      <c r="D2028" s="78">
        <v>640.85</v>
      </c>
      <c r="E2028" s="663">
        <v>2</v>
      </c>
      <c r="H2028" s="179">
        <v>640.85</v>
      </c>
      <c r="J2028" s="294"/>
      <c r="K2028" s="295"/>
      <c r="L2028" s="72"/>
      <c r="M2028" s="133"/>
      <c r="N2028" s="72"/>
      <c r="O2028" s="224"/>
      <c r="P2028" s="219"/>
      <c r="Q2028" s="84"/>
      <c r="S2028" s="137"/>
      <c r="T2028" s="137"/>
    </row>
    <row r="2029" spans="1:20">
      <c r="A2029" s="71" t="s">
        <v>9694</v>
      </c>
      <c r="B2029" s="67" t="s">
        <v>9695</v>
      </c>
      <c r="C2029" s="71" t="s">
        <v>103</v>
      </c>
      <c r="D2029" s="78">
        <v>772.02</v>
      </c>
      <c r="E2029" s="663">
        <v>2</v>
      </c>
      <c r="H2029" s="179">
        <v>772.02</v>
      </c>
      <c r="J2029" s="294"/>
      <c r="K2029" s="295"/>
      <c r="L2029" s="72"/>
      <c r="M2029" s="133"/>
      <c r="N2029" s="72"/>
      <c r="O2029" s="224"/>
      <c r="P2029" s="219"/>
      <c r="Q2029" s="84"/>
      <c r="S2029" s="137"/>
      <c r="T2029" s="137"/>
    </row>
    <row r="2030" spans="1:20">
      <c r="A2030" s="71" t="s">
        <v>9696</v>
      </c>
      <c r="B2030" s="67" t="s">
        <v>9697</v>
      </c>
      <c r="C2030" s="71" t="s">
        <v>103</v>
      </c>
      <c r="D2030" s="78">
        <v>1353.32</v>
      </c>
      <c r="E2030" s="663">
        <v>2</v>
      </c>
      <c r="H2030" s="179">
        <v>1353.32</v>
      </c>
      <c r="J2030" s="294"/>
      <c r="K2030" s="295"/>
      <c r="L2030" s="72"/>
      <c r="M2030" s="133"/>
      <c r="N2030" s="72"/>
      <c r="O2030" s="224"/>
      <c r="P2030" s="219"/>
      <c r="Q2030" s="84"/>
      <c r="S2030" s="137"/>
      <c r="T2030" s="137"/>
    </row>
    <row r="2031" spans="1:20">
      <c r="A2031" s="71" t="s">
        <v>9698</v>
      </c>
      <c r="B2031" s="67" t="s">
        <v>9699</v>
      </c>
      <c r="C2031" s="71" t="s">
        <v>103</v>
      </c>
      <c r="D2031" s="78">
        <v>87.09</v>
      </c>
      <c r="E2031" s="663">
        <v>2</v>
      </c>
      <c r="H2031" s="179">
        <v>87.09</v>
      </c>
      <c r="J2031" s="294"/>
      <c r="K2031" s="295"/>
      <c r="L2031" s="72"/>
      <c r="M2031" s="133"/>
      <c r="N2031" s="72"/>
      <c r="O2031" s="224"/>
      <c r="P2031" s="219"/>
      <c r="Q2031" s="84"/>
      <c r="S2031" s="137"/>
      <c r="T2031" s="137"/>
    </row>
    <row r="2032" spans="1:20">
      <c r="A2032" s="71" t="s">
        <v>9700</v>
      </c>
      <c r="B2032" s="67" t="s">
        <v>9701</v>
      </c>
      <c r="C2032" s="71" t="s">
        <v>103</v>
      </c>
      <c r="D2032" s="78">
        <v>128.13999999999999</v>
      </c>
      <c r="E2032" s="663">
        <v>2</v>
      </c>
      <c r="H2032" s="179">
        <v>128.13999999999999</v>
      </c>
      <c r="J2032" s="294"/>
      <c r="K2032" s="295"/>
      <c r="L2032" s="72"/>
      <c r="M2032" s="133"/>
      <c r="N2032" s="72"/>
      <c r="O2032" s="224"/>
      <c r="P2032" s="219"/>
      <c r="Q2032" s="84"/>
      <c r="S2032" s="137"/>
      <c r="T2032" s="137"/>
    </row>
    <row r="2033" spans="1:20">
      <c r="A2033" s="71" t="s">
        <v>9702</v>
      </c>
      <c r="B2033" s="67" t="s">
        <v>9703</v>
      </c>
      <c r="C2033" s="71" t="s">
        <v>103</v>
      </c>
      <c r="D2033" s="78">
        <v>158.5</v>
      </c>
      <c r="E2033" s="663">
        <v>2</v>
      </c>
      <c r="H2033" s="179">
        <v>158.5</v>
      </c>
      <c r="J2033" s="294"/>
      <c r="K2033" s="295"/>
      <c r="L2033" s="72"/>
      <c r="M2033" s="133"/>
      <c r="N2033" s="72"/>
      <c r="O2033" s="224"/>
      <c r="P2033" s="219"/>
      <c r="Q2033" s="84"/>
      <c r="S2033" s="137"/>
      <c r="T2033" s="137"/>
    </row>
    <row r="2034" spans="1:20">
      <c r="A2034" s="71" t="s">
        <v>9704</v>
      </c>
      <c r="B2034" s="67" t="s">
        <v>9705</v>
      </c>
      <c r="C2034" s="71" t="s">
        <v>103</v>
      </c>
      <c r="D2034" s="78">
        <v>203.05</v>
      </c>
      <c r="E2034" s="663">
        <v>2</v>
      </c>
      <c r="H2034" s="179">
        <v>203.05</v>
      </c>
      <c r="J2034" s="294"/>
      <c r="K2034" s="295"/>
      <c r="L2034" s="72"/>
      <c r="M2034" s="133"/>
      <c r="N2034" s="72"/>
      <c r="O2034" s="224"/>
      <c r="P2034" s="219"/>
      <c r="Q2034" s="84"/>
      <c r="S2034" s="137"/>
      <c r="T2034" s="137"/>
    </row>
    <row r="2035" spans="1:20">
      <c r="A2035" s="71" t="s">
        <v>9706</v>
      </c>
      <c r="B2035" s="67" t="s">
        <v>9707</v>
      </c>
      <c r="C2035" s="71" t="s">
        <v>103</v>
      </c>
      <c r="D2035" s="78">
        <v>366.46</v>
      </c>
      <c r="E2035" s="663">
        <v>2</v>
      </c>
      <c r="H2035" s="179">
        <v>366.46</v>
      </c>
      <c r="J2035" s="294"/>
      <c r="K2035" s="295"/>
      <c r="L2035" s="72"/>
      <c r="M2035" s="133"/>
      <c r="N2035" s="72"/>
      <c r="O2035" s="224"/>
      <c r="P2035" s="219"/>
      <c r="Q2035" s="84"/>
      <c r="S2035" s="137"/>
      <c r="T2035" s="137"/>
    </row>
    <row r="2036" spans="1:20">
      <c r="A2036" s="71" t="s">
        <v>9708</v>
      </c>
      <c r="B2036" s="67" t="s">
        <v>9709</v>
      </c>
      <c r="C2036" s="71" t="s">
        <v>103</v>
      </c>
      <c r="D2036" s="78">
        <v>538.61</v>
      </c>
      <c r="E2036" s="663">
        <v>2</v>
      </c>
      <c r="H2036" s="179">
        <v>538.61</v>
      </c>
      <c r="J2036" s="294"/>
      <c r="K2036" s="295"/>
      <c r="L2036" s="72"/>
      <c r="M2036" s="133"/>
      <c r="N2036" s="72"/>
      <c r="O2036" s="224"/>
      <c r="P2036" s="219"/>
      <c r="Q2036" s="84"/>
      <c r="S2036" s="137"/>
      <c r="T2036" s="137"/>
    </row>
    <row r="2037" spans="1:20">
      <c r="A2037" s="71" t="s">
        <v>9710</v>
      </c>
      <c r="B2037" s="67" t="s">
        <v>9711</v>
      </c>
      <c r="C2037" s="71" t="s">
        <v>103</v>
      </c>
      <c r="D2037" s="78">
        <v>402.95</v>
      </c>
      <c r="E2037" s="663">
        <v>2</v>
      </c>
      <c r="H2037" s="179">
        <v>402.95</v>
      </c>
      <c r="J2037" s="294"/>
      <c r="K2037" s="295"/>
      <c r="L2037" s="72"/>
      <c r="M2037" s="133"/>
      <c r="N2037" s="72"/>
      <c r="O2037" s="224"/>
      <c r="P2037" s="219"/>
      <c r="Q2037" s="84"/>
      <c r="S2037" s="137"/>
      <c r="T2037" s="137"/>
    </row>
    <row r="2038" spans="1:20">
      <c r="A2038" s="71" t="s">
        <v>9712</v>
      </c>
      <c r="B2038" s="67" t="s">
        <v>9713</v>
      </c>
      <c r="C2038" s="71" t="s">
        <v>103</v>
      </c>
      <c r="D2038" s="78">
        <v>465.78</v>
      </c>
      <c r="E2038" s="663">
        <v>2</v>
      </c>
      <c r="H2038" s="179">
        <v>465.78</v>
      </c>
      <c r="J2038" s="294"/>
      <c r="K2038" s="295"/>
      <c r="L2038" s="72"/>
      <c r="M2038" s="133"/>
      <c r="N2038" s="72"/>
      <c r="O2038" s="224"/>
      <c r="P2038" s="219"/>
      <c r="Q2038" s="84"/>
      <c r="S2038" s="137"/>
      <c r="T2038" s="137"/>
    </row>
    <row r="2039" spans="1:20">
      <c r="A2039" s="71" t="s">
        <v>9714</v>
      </c>
      <c r="B2039" s="67" t="s">
        <v>9715</v>
      </c>
      <c r="C2039" s="71" t="s">
        <v>103</v>
      </c>
      <c r="D2039" s="78">
        <v>240.67</v>
      </c>
      <c r="E2039" s="663">
        <v>2</v>
      </c>
      <c r="H2039" s="179">
        <v>240.67</v>
      </c>
      <c r="J2039" s="294"/>
      <c r="K2039" s="295"/>
      <c r="L2039" s="72"/>
      <c r="M2039" s="133"/>
      <c r="N2039" s="72"/>
      <c r="O2039" s="224"/>
      <c r="P2039" s="219"/>
      <c r="Q2039" s="84"/>
      <c r="S2039" s="137"/>
      <c r="T2039" s="137"/>
    </row>
    <row r="2040" spans="1:20">
      <c r="A2040" s="71" t="s">
        <v>9716</v>
      </c>
      <c r="B2040" s="67" t="s">
        <v>9717</v>
      </c>
      <c r="C2040" s="71" t="s">
        <v>103</v>
      </c>
      <c r="D2040" s="78">
        <v>36.29</v>
      </c>
      <c r="E2040" s="663">
        <v>2</v>
      </c>
      <c r="H2040" s="178">
        <v>36.29</v>
      </c>
      <c r="J2040" s="294"/>
      <c r="K2040" s="295"/>
      <c r="L2040" s="72"/>
      <c r="M2040" s="133"/>
      <c r="N2040" s="72"/>
      <c r="O2040" s="224"/>
      <c r="P2040" s="219"/>
      <c r="Q2040" s="84"/>
      <c r="S2040" s="136"/>
      <c r="T2040" s="136"/>
    </row>
    <row r="2041" spans="1:20">
      <c r="A2041" s="71" t="s">
        <v>9718</v>
      </c>
      <c r="B2041" s="67" t="s">
        <v>9719</v>
      </c>
      <c r="C2041" s="71" t="s">
        <v>103</v>
      </c>
      <c r="D2041" s="78">
        <v>89.38</v>
      </c>
      <c r="E2041" s="663">
        <v>2</v>
      </c>
      <c r="H2041" s="179">
        <v>89.38</v>
      </c>
      <c r="J2041" s="294"/>
      <c r="K2041" s="295"/>
      <c r="L2041" s="72"/>
      <c r="M2041" s="133"/>
      <c r="N2041" s="72"/>
      <c r="O2041" s="224"/>
      <c r="P2041" s="219"/>
      <c r="Q2041" s="84"/>
      <c r="S2041" s="137"/>
      <c r="T2041" s="137"/>
    </row>
    <row r="2042" spans="1:20">
      <c r="A2042" s="71" t="s">
        <v>9720</v>
      </c>
      <c r="B2042" s="67" t="s">
        <v>9721</v>
      </c>
      <c r="C2042" s="71" t="s">
        <v>103</v>
      </c>
      <c r="D2042" s="78">
        <v>95.05</v>
      </c>
      <c r="E2042" s="663">
        <v>2</v>
      </c>
      <c r="H2042" s="179">
        <v>95.05</v>
      </c>
      <c r="J2042" s="294"/>
      <c r="K2042" s="295"/>
      <c r="L2042" s="72"/>
      <c r="M2042" s="133"/>
      <c r="N2042" s="72"/>
      <c r="O2042" s="224"/>
      <c r="P2042" s="219"/>
      <c r="Q2042" s="84"/>
      <c r="S2042" s="137"/>
      <c r="T2042" s="137"/>
    </row>
    <row r="2043" spans="1:20">
      <c r="A2043" s="71" t="s">
        <v>9722</v>
      </c>
      <c r="B2043" s="67" t="s">
        <v>9723</v>
      </c>
      <c r="C2043" s="71" t="s">
        <v>103</v>
      </c>
      <c r="D2043" s="78">
        <v>144.93</v>
      </c>
      <c r="E2043" s="663">
        <v>2</v>
      </c>
      <c r="H2043" s="179">
        <v>144.93</v>
      </c>
      <c r="J2043" s="294"/>
      <c r="K2043" s="295"/>
      <c r="L2043" s="72"/>
      <c r="M2043" s="133"/>
      <c r="N2043" s="72"/>
      <c r="O2043" s="224"/>
      <c r="P2043" s="219"/>
      <c r="Q2043" s="84"/>
      <c r="S2043" s="137"/>
      <c r="T2043" s="137"/>
    </row>
    <row r="2044" spans="1:20">
      <c r="A2044" s="71" t="s">
        <v>9724</v>
      </c>
      <c r="B2044" s="67" t="s">
        <v>9725</v>
      </c>
      <c r="C2044" s="71" t="s">
        <v>103</v>
      </c>
      <c r="D2044" s="78">
        <v>169.25</v>
      </c>
      <c r="E2044" s="663">
        <v>2</v>
      </c>
      <c r="H2044" s="179">
        <v>169.25</v>
      </c>
      <c r="J2044" s="294"/>
      <c r="K2044" s="295"/>
      <c r="L2044" s="72"/>
      <c r="M2044" s="133"/>
      <c r="N2044" s="72"/>
      <c r="O2044" s="224"/>
      <c r="P2044" s="219"/>
      <c r="Q2044" s="84"/>
      <c r="S2044" s="137"/>
      <c r="T2044" s="137"/>
    </row>
    <row r="2045" spans="1:20">
      <c r="A2045" s="71" t="s">
        <v>9726</v>
      </c>
      <c r="B2045" s="67" t="s">
        <v>9727</v>
      </c>
      <c r="C2045" s="71" t="s">
        <v>103</v>
      </c>
      <c r="D2045" s="78">
        <v>243.8</v>
      </c>
      <c r="E2045" s="663">
        <v>2</v>
      </c>
      <c r="H2045" s="179">
        <v>243.8</v>
      </c>
      <c r="J2045" s="294"/>
      <c r="K2045" s="295"/>
      <c r="L2045" s="72"/>
      <c r="M2045" s="133"/>
      <c r="N2045" s="72"/>
      <c r="O2045" s="224"/>
      <c r="P2045" s="219"/>
      <c r="Q2045" s="84"/>
      <c r="S2045" s="137"/>
      <c r="T2045" s="137"/>
    </row>
    <row r="2046" spans="1:20">
      <c r="A2046" s="71" t="s">
        <v>9728</v>
      </c>
      <c r="B2046" s="67" t="s">
        <v>9729</v>
      </c>
      <c r="C2046" s="71" t="s">
        <v>103</v>
      </c>
      <c r="D2046" s="78">
        <v>404.89</v>
      </c>
      <c r="E2046" s="663">
        <v>2</v>
      </c>
      <c r="H2046" s="179">
        <v>404.89</v>
      </c>
      <c r="J2046" s="294"/>
      <c r="K2046" s="295"/>
      <c r="L2046" s="72"/>
      <c r="M2046" s="133"/>
      <c r="N2046" s="72"/>
      <c r="O2046" s="224"/>
      <c r="P2046" s="219"/>
      <c r="Q2046" s="84"/>
      <c r="S2046" s="137"/>
      <c r="T2046" s="137"/>
    </row>
    <row r="2047" spans="1:20">
      <c r="A2047" s="71" t="s">
        <v>9730</v>
      </c>
      <c r="B2047" s="67" t="s">
        <v>9731</v>
      </c>
      <c r="C2047" s="71" t="s">
        <v>103</v>
      </c>
      <c r="D2047" s="78">
        <v>574.49</v>
      </c>
      <c r="E2047" s="663">
        <v>2</v>
      </c>
      <c r="H2047" s="179">
        <v>574.49</v>
      </c>
      <c r="J2047" s="294"/>
      <c r="K2047" s="295"/>
      <c r="L2047" s="72"/>
      <c r="M2047" s="133"/>
      <c r="N2047" s="72"/>
      <c r="O2047" s="224"/>
      <c r="P2047" s="219"/>
      <c r="Q2047" s="84"/>
      <c r="S2047" s="137"/>
      <c r="T2047" s="137"/>
    </row>
    <row r="2048" spans="1:20">
      <c r="A2048" s="71" t="s">
        <v>9732</v>
      </c>
      <c r="B2048" s="67" t="s">
        <v>9733</v>
      </c>
      <c r="C2048" s="71" t="s">
        <v>103</v>
      </c>
      <c r="D2048" s="78">
        <v>994.56</v>
      </c>
      <c r="E2048" s="663">
        <v>2</v>
      </c>
      <c r="H2048" s="179">
        <v>994.56</v>
      </c>
      <c r="J2048" s="294"/>
      <c r="K2048" s="295"/>
      <c r="L2048" s="72"/>
      <c r="M2048" s="133"/>
      <c r="N2048" s="72"/>
      <c r="O2048" s="224"/>
      <c r="P2048" s="219"/>
      <c r="Q2048" s="84"/>
      <c r="S2048" s="137"/>
      <c r="T2048" s="137"/>
    </row>
    <row r="2049" spans="1:22">
      <c r="A2049" s="71" t="s">
        <v>9734</v>
      </c>
      <c r="B2049" s="67" t="s">
        <v>9735</v>
      </c>
      <c r="C2049" s="71" t="s">
        <v>103</v>
      </c>
      <c r="D2049" s="78">
        <v>271.14</v>
      </c>
      <c r="E2049" s="663">
        <v>2</v>
      </c>
      <c r="H2049" s="732">
        <v>271.14</v>
      </c>
      <c r="J2049" s="294"/>
      <c r="K2049" s="295"/>
      <c r="M2049" s="72"/>
      <c r="N2049" s="133"/>
      <c r="O2049" s="72"/>
      <c r="P2049" s="224"/>
      <c r="Q2049" s="219"/>
      <c r="T2049" s="137"/>
      <c r="V2049" s="137"/>
    </row>
    <row r="2050" spans="1:22">
      <c r="A2050" s="71" t="s">
        <v>9736</v>
      </c>
      <c r="B2050" s="67" t="s">
        <v>9737</v>
      </c>
      <c r="C2050" s="71" t="s">
        <v>103</v>
      </c>
      <c r="D2050" s="78">
        <v>429.86</v>
      </c>
      <c r="E2050" s="663">
        <v>2</v>
      </c>
      <c r="H2050" s="179">
        <v>429.86</v>
      </c>
      <c r="J2050" s="294"/>
      <c r="K2050" s="295"/>
      <c r="L2050" s="72"/>
      <c r="M2050" s="133"/>
      <c r="N2050" s="72"/>
      <c r="O2050" s="224"/>
      <c r="P2050" s="219"/>
      <c r="Q2050" s="84"/>
      <c r="S2050" s="137"/>
      <c r="T2050" s="137"/>
      <c r="V2050" s="137"/>
    </row>
    <row r="2051" spans="1:22">
      <c r="A2051" s="71" t="s">
        <v>9738</v>
      </c>
      <c r="B2051" s="67" t="s">
        <v>9739</v>
      </c>
      <c r="C2051" s="71" t="s">
        <v>103</v>
      </c>
      <c r="D2051" s="78">
        <v>106.51</v>
      </c>
      <c r="E2051" s="663">
        <v>2</v>
      </c>
      <c r="H2051" s="179">
        <v>106.51</v>
      </c>
      <c r="J2051" s="294"/>
      <c r="K2051" s="295"/>
      <c r="L2051" s="72"/>
      <c r="M2051" s="133"/>
      <c r="N2051" s="72"/>
      <c r="O2051" s="224"/>
      <c r="P2051" s="219"/>
      <c r="Q2051" s="84"/>
      <c r="S2051" s="137"/>
      <c r="T2051" s="137"/>
      <c r="V2051" s="137"/>
    </row>
    <row r="2052" spans="1:22">
      <c r="A2052" s="71" t="s">
        <v>9740</v>
      </c>
      <c r="B2052" s="67" t="s">
        <v>9741</v>
      </c>
      <c r="C2052" s="71" t="s">
        <v>103</v>
      </c>
      <c r="D2052" s="78">
        <v>78.61</v>
      </c>
      <c r="E2052" s="663">
        <v>2</v>
      </c>
      <c r="H2052" s="179">
        <v>78.61</v>
      </c>
      <c r="J2052" s="294"/>
      <c r="K2052" s="295"/>
      <c r="L2052" s="72"/>
      <c r="M2052" s="133"/>
      <c r="N2052" s="72"/>
      <c r="O2052" s="224"/>
      <c r="P2052" s="219"/>
      <c r="Q2052" s="84"/>
      <c r="S2052" s="137"/>
      <c r="T2052" s="137"/>
      <c r="V2052" s="137"/>
    </row>
    <row r="2053" spans="1:22">
      <c r="A2053" s="71" t="s">
        <v>9742</v>
      </c>
      <c r="B2053" s="67" t="s">
        <v>9743</v>
      </c>
      <c r="C2053" s="71" t="s">
        <v>103</v>
      </c>
      <c r="D2053" s="78">
        <v>246.97</v>
      </c>
      <c r="E2053" s="663">
        <v>2</v>
      </c>
      <c r="H2053" s="179">
        <v>246.97</v>
      </c>
      <c r="J2053" s="294"/>
      <c r="K2053" s="295"/>
      <c r="L2053" s="72"/>
      <c r="M2053" s="133"/>
      <c r="N2053" s="72"/>
      <c r="O2053" s="224"/>
      <c r="P2053" s="219"/>
      <c r="Q2053" s="84"/>
      <c r="S2053" s="137"/>
      <c r="T2053" s="137"/>
      <c r="V2053" s="137"/>
    </row>
    <row r="2054" spans="1:22">
      <c r="A2054" s="71" t="s">
        <v>9744</v>
      </c>
      <c r="B2054" s="67" t="s">
        <v>9745</v>
      </c>
      <c r="C2054" s="71" t="s">
        <v>103</v>
      </c>
      <c r="D2054" s="78">
        <v>3924.28</v>
      </c>
      <c r="E2054" s="663">
        <v>2</v>
      </c>
      <c r="H2054" s="179">
        <v>3924.28</v>
      </c>
      <c r="J2054" s="294"/>
      <c r="K2054" s="295"/>
      <c r="L2054" s="72"/>
      <c r="M2054" s="133"/>
      <c r="N2054" s="72"/>
      <c r="O2054" s="224"/>
      <c r="P2054" s="219"/>
      <c r="Q2054" s="84"/>
      <c r="S2054" s="137"/>
      <c r="T2054" s="137"/>
    </row>
    <row r="2055" spans="1:22">
      <c r="A2055" s="71" t="s">
        <v>9746</v>
      </c>
      <c r="B2055" s="67" t="s">
        <v>9747</v>
      </c>
      <c r="C2055" s="71" t="s">
        <v>103</v>
      </c>
      <c r="D2055" s="78">
        <v>183.08</v>
      </c>
      <c r="E2055" s="663">
        <v>2</v>
      </c>
      <c r="H2055" s="178">
        <v>183.08</v>
      </c>
      <c r="J2055" s="294"/>
      <c r="K2055" s="295"/>
      <c r="L2055" s="72"/>
      <c r="M2055" s="133"/>
      <c r="N2055" s="72"/>
      <c r="O2055" s="224"/>
      <c r="P2055" s="219"/>
      <c r="Q2055" s="84"/>
      <c r="S2055" s="136"/>
      <c r="T2055" s="136"/>
    </row>
    <row r="2056" spans="1:22">
      <c r="A2056" s="71" t="s">
        <v>9748</v>
      </c>
      <c r="B2056" s="67" t="s">
        <v>9749</v>
      </c>
      <c r="C2056" s="71" t="s">
        <v>103</v>
      </c>
      <c r="D2056" s="78">
        <v>17.98</v>
      </c>
      <c r="E2056" s="663">
        <v>2</v>
      </c>
      <c r="H2056" s="179">
        <v>17.98</v>
      </c>
      <c r="J2056" s="294"/>
      <c r="K2056" s="295"/>
      <c r="L2056" s="72"/>
      <c r="M2056" s="133"/>
      <c r="N2056" s="72"/>
      <c r="O2056" s="224"/>
      <c r="P2056" s="219"/>
      <c r="Q2056" s="84"/>
      <c r="S2056" s="137"/>
      <c r="T2056" s="137"/>
    </row>
    <row r="2057" spans="1:22">
      <c r="A2057" s="71" t="s">
        <v>9750</v>
      </c>
      <c r="B2057" s="67" t="s">
        <v>9751</v>
      </c>
      <c r="C2057" s="71" t="s">
        <v>103</v>
      </c>
      <c r="D2057" s="78">
        <v>93.43</v>
      </c>
      <c r="E2057" s="663">
        <v>2</v>
      </c>
      <c r="H2057" s="179">
        <v>93.43</v>
      </c>
      <c r="J2057" s="294"/>
      <c r="K2057" s="295"/>
      <c r="L2057" s="72"/>
      <c r="M2057" s="133"/>
      <c r="N2057" s="72"/>
      <c r="O2057" s="224"/>
      <c r="P2057" s="219"/>
      <c r="Q2057" s="84"/>
      <c r="S2057" s="137"/>
      <c r="T2057" s="137"/>
    </row>
    <row r="2058" spans="1:22">
      <c r="A2058" s="71" t="s">
        <v>9752</v>
      </c>
      <c r="B2058" s="67" t="s">
        <v>9753</v>
      </c>
      <c r="C2058" s="71" t="s">
        <v>103</v>
      </c>
      <c r="D2058" s="78">
        <v>10.54</v>
      </c>
      <c r="E2058" s="663">
        <v>2</v>
      </c>
      <c r="H2058" s="179">
        <v>10.54</v>
      </c>
      <c r="J2058" s="294"/>
      <c r="K2058" s="295"/>
      <c r="L2058" s="72"/>
      <c r="M2058" s="133"/>
      <c r="N2058" s="72"/>
      <c r="O2058" s="224"/>
      <c r="P2058" s="219"/>
      <c r="Q2058" s="84"/>
      <c r="S2058" s="137"/>
      <c r="T2058" s="137"/>
    </row>
    <row r="2059" spans="1:22">
      <c r="A2059" s="71" t="s">
        <v>9754</v>
      </c>
      <c r="B2059" s="67" t="s">
        <v>9755</v>
      </c>
      <c r="C2059" s="71" t="s">
        <v>103</v>
      </c>
      <c r="D2059" s="78">
        <v>171.84</v>
      </c>
      <c r="E2059" s="663">
        <v>2</v>
      </c>
      <c r="H2059" s="179">
        <v>171.84</v>
      </c>
      <c r="J2059" s="294"/>
      <c r="K2059" s="295"/>
      <c r="L2059" s="72"/>
      <c r="M2059" s="133"/>
      <c r="N2059" s="72"/>
      <c r="O2059" s="224"/>
      <c r="P2059" s="219"/>
      <c r="Q2059" s="84"/>
      <c r="S2059" s="137"/>
      <c r="T2059" s="137"/>
    </row>
    <row r="2060" spans="1:22">
      <c r="A2060" s="71" t="s">
        <v>9756</v>
      </c>
      <c r="B2060" s="67" t="s">
        <v>9757</v>
      </c>
      <c r="C2060" s="71" t="s">
        <v>103</v>
      </c>
      <c r="D2060" s="78">
        <v>216.3</v>
      </c>
      <c r="E2060" s="663">
        <v>2</v>
      </c>
      <c r="H2060" s="179">
        <v>216.3</v>
      </c>
      <c r="J2060" s="294"/>
      <c r="K2060" s="295"/>
      <c r="L2060" s="72"/>
      <c r="M2060" s="133"/>
      <c r="N2060" s="72"/>
      <c r="O2060" s="224"/>
      <c r="P2060" s="219"/>
      <c r="Q2060" s="84"/>
      <c r="S2060" s="137"/>
      <c r="T2060" s="137"/>
    </row>
    <row r="2061" spans="1:22">
      <c r="A2061" s="71" t="s">
        <v>9758</v>
      </c>
      <c r="B2061" s="67" t="s">
        <v>9759</v>
      </c>
      <c r="C2061" s="71" t="s">
        <v>103</v>
      </c>
      <c r="D2061" s="78">
        <v>33.619999999999997</v>
      </c>
      <c r="E2061" s="663">
        <v>2</v>
      </c>
      <c r="H2061" s="179">
        <v>33.619999999999997</v>
      </c>
      <c r="J2061" s="294"/>
      <c r="K2061" s="295"/>
      <c r="L2061" s="72"/>
      <c r="M2061" s="133"/>
      <c r="N2061" s="72"/>
      <c r="O2061" s="224"/>
      <c r="P2061" s="219"/>
      <c r="Q2061" s="84"/>
      <c r="S2061" s="137"/>
      <c r="T2061" s="137"/>
    </row>
    <row r="2062" spans="1:22">
      <c r="A2062" s="71" t="s">
        <v>9760</v>
      </c>
      <c r="B2062" s="67" t="s">
        <v>9761</v>
      </c>
      <c r="C2062" s="71" t="s">
        <v>103</v>
      </c>
      <c r="D2062" s="78">
        <v>299.45</v>
      </c>
      <c r="E2062" s="663">
        <v>2</v>
      </c>
      <c r="H2062" s="178">
        <v>299.45</v>
      </c>
      <c r="J2062" s="294"/>
      <c r="K2062" s="295"/>
      <c r="L2062" s="72"/>
      <c r="M2062" s="133"/>
      <c r="N2062" s="72"/>
      <c r="O2062" s="224"/>
      <c r="P2062" s="219"/>
      <c r="Q2062" s="84"/>
      <c r="S2062" s="136"/>
      <c r="T2062" s="136"/>
      <c r="V2062" s="136"/>
    </row>
    <row r="2063" spans="1:22">
      <c r="A2063" s="71" t="s">
        <v>9762</v>
      </c>
      <c r="B2063" s="67" t="s">
        <v>9763</v>
      </c>
      <c r="C2063" s="71" t="s">
        <v>103</v>
      </c>
      <c r="D2063" s="78">
        <v>457.12</v>
      </c>
      <c r="E2063" s="663">
        <v>2</v>
      </c>
      <c r="H2063" s="179">
        <v>457.12</v>
      </c>
      <c r="J2063" s="294"/>
      <c r="K2063" s="295"/>
      <c r="L2063" s="72"/>
      <c r="M2063" s="133"/>
      <c r="N2063" s="72"/>
      <c r="O2063" s="224"/>
      <c r="P2063" s="219"/>
      <c r="Q2063" s="84"/>
      <c r="S2063" s="137"/>
      <c r="T2063" s="137"/>
      <c r="V2063" s="137"/>
    </row>
    <row r="2064" spans="1:22">
      <c r="A2064" s="71" t="s">
        <v>9764</v>
      </c>
      <c r="B2064" s="67" t="s">
        <v>9765</v>
      </c>
      <c r="C2064" s="71" t="s">
        <v>103</v>
      </c>
      <c r="D2064" s="78">
        <v>167.95</v>
      </c>
      <c r="E2064" s="663">
        <v>2</v>
      </c>
      <c r="H2064" s="179">
        <v>167.95</v>
      </c>
      <c r="J2064" s="294"/>
      <c r="K2064" s="295"/>
      <c r="L2064" s="72"/>
      <c r="M2064" s="133"/>
      <c r="N2064" s="72"/>
      <c r="O2064" s="224"/>
      <c r="P2064" s="219"/>
      <c r="Q2064" s="84"/>
      <c r="S2064" s="137"/>
      <c r="T2064" s="137"/>
      <c r="V2064" s="137"/>
    </row>
    <row r="2065" spans="1:22">
      <c r="A2065" s="71" t="s">
        <v>9766</v>
      </c>
      <c r="B2065" s="67" t="s">
        <v>9767</v>
      </c>
      <c r="C2065" s="71" t="s">
        <v>103</v>
      </c>
      <c r="D2065" s="78">
        <v>1021.2</v>
      </c>
      <c r="E2065" s="663">
        <v>2</v>
      </c>
      <c r="H2065" s="179">
        <v>1021.2</v>
      </c>
      <c r="J2065" s="294"/>
      <c r="K2065" s="295"/>
      <c r="L2065" s="72"/>
      <c r="M2065" s="133"/>
      <c r="N2065" s="72"/>
      <c r="O2065" s="224"/>
      <c r="P2065" s="219"/>
      <c r="Q2065" s="84"/>
      <c r="S2065" s="137"/>
      <c r="T2065" s="137"/>
      <c r="V2065" s="137"/>
    </row>
    <row r="2066" spans="1:22">
      <c r="A2066" s="71" t="s">
        <v>9768</v>
      </c>
      <c r="B2066" s="67" t="s">
        <v>9769</v>
      </c>
      <c r="C2066" s="71" t="s">
        <v>103</v>
      </c>
      <c r="D2066" s="78">
        <v>8.9499999999999993</v>
      </c>
      <c r="E2066" s="663">
        <v>2</v>
      </c>
      <c r="H2066" s="178">
        <v>8.9499999999999993</v>
      </c>
      <c r="J2066" s="294"/>
      <c r="K2066" s="295"/>
      <c r="L2066" s="72"/>
      <c r="M2066" s="133"/>
      <c r="N2066" s="72"/>
      <c r="O2066" s="224"/>
      <c r="P2066" s="219"/>
      <c r="Q2066" s="84"/>
      <c r="S2066" s="136"/>
      <c r="T2066" s="136"/>
      <c r="V2066" s="136"/>
    </row>
    <row r="2067" spans="1:22">
      <c r="A2067" s="71" t="s">
        <v>9770</v>
      </c>
      <c r="B2067" s="67" t="s">
        <v>9771</v>
      </c>
      <c r="C2067" s="71" t="s">
        <v>103</v>
      </c>
      <c r="D2067" s="78">
        <v>112.7</v>
      </c>
      <c r="E2067" s="663">
        <v>2</v>
      </c>
      <c r="H2067" s="179">
        <v>112.7</v>
      </c>
      <c r="J2067" s="294"/>
      <c r="K2067" s="295"/>
      <c r="L2067" s="72"/>
      <c r="M2067" s="133"/>
      <c r="N2067" s="72"/>
      <c r="O2067" s="224"/>
      <c r="P2067" s="219"/>
      <c r="Q2067" s="84"/>
      <c r="S2067" s="137"/>
      <c r="T2067" s="137"/>
      <c r="V2067" s="137"/>
    </row>
    <row r="2068" spans="1:22">
      <c r="A2068" s="71" t="s">
        <v>9772</v>
      </c>
      <c r="B2068" s="67" t="s">
        <v>9773</v>
      </c>
      <c r="C2068" s="71" t="s">
        <v>103</v>
      </c>
      <c r="D2068" s="78">
        <v>739.15</v>
      </c>
      <c r="E2068" s="663">
        <v>2</v>
      </c>
      <c r="H2068" s="179">
        <v>739.15</v>
      </c>
      <c r="J2068" s="294"/>
      <c r="K2068" s="295"/>
      <c r="L2068" s="72"/>
      <c r="M2068" s="133"/>
      <c r="N2068" s="72"/>
      <c r="O2068" s="224"/>
      <c r="P2068" s="219"/>
      <c r="Q2068" s="84"/>
      <c r="S2068" s="137"/>
      <c r="T2068" s="137"/>
      <c r="V2068" s="137"/>
    </row>
    <row r="2069" spans="1:22">
      <c r="A2069" s="71" t="s">
        <v>9774</v>
      </c>
      <c r="B2069" s="67" t="s">
        <v>9775</v>
      </c>
      <c r="C2069" s="71" t="s">
        <v>103</v>
      </c>
      <c r="D2069" s="78">
        <v>231.63</v>
      </c>
      <c r="E2069" s="663">
        <v>2</v>
      </c>
      <c r="H2069" s="179">
        <v>231.63</v>
      </c>
      <c r="J2069" s="294"/>
      <c r="K2069" s="295"/>
      <c r="L2069" s="72"/>
      <c r="M2069" s="133"/>
      <c r="N2069" s="72"/>
      <c r="O2069" s="224"/>
      <c r="P2069" s="219"/>
      <c r="Q2069" s="84"/>
      <c r="S2069" s="137"/>
      <c r="T2069" s="137"/>
      <c r="V2069" s="137"/>
    </row>
    <row r="2070" spans="1:22">
      <c r="A2070" s="71" t="s">
        <v>9776</v>
      </c>
      <c r="B2070" s="67" t="s">
        <v>9777</v>
      </c>
      <c r="C2070" s="71" t="s">
        <v>103</v>
      </c>
      <c r="D2070" s="78">
        <v>62.1</v>
      </c>
      <c r="E2070" s="663">
        <v>2</v>
      </c>
      <c r="H2070" s="179">
        <v>62.1</v>
      </c>
      <c r="J2070" s="294"/>
      <c r="K2070" s="295"/>
      <c r="L2070" s="72"/>
      <c r="M2070" s="133"/>
      <c r="N2070" s="72"/>
      <c r="O2070" s="224"/>
      <c r="P2070" s="219"/>
      <c r="Q2070" s="84"/>
      <c r="S2070" s="137"/>
      <c r="T2070" s="137"/>
    </row>
    <row r="2071" spans="1:22">
      <c r="A2071" s="71" t="s">
        <v>9778</v>
      </c>
      <c r="B2071" s="67" t="s">
        <v>9779</v>
      </c>
      <c r="C2071" s="71" t="s">
        <v>103</v>
      </c>
      <c r="D2071" s="78">
        <v>31.07</v>
      </c>
      <c r="E2071" s="663">
        <v>2</v>
      </c>
      <c r="H2071" s="179">
        <v>31.07</v>
      </c>
      <c r="J2071" s="294"/>
      <c r="K2071" s="295"/>
      <c r="L2071" s="72"/>
      <c r="M2071" s="133"/>
      <c r="N2071" s="72"/>
      <c r="O2071" s="224"/>
      <c r="P2071" s="219"/>
      <c r="Q2071" s="84"/>
      <c r="S2071" s="137"/>
      <c r="T2071" s="137"/>
    </row>
    <row r="2072" spans="1:22">
      <c r="A2072" s="71" t="s">
        <v>9780</v>
      </c>
      <c r="B2072" s="67" t="s">
        <v>9781</v>
      </c>
      <c r="C2072" s="71" t="s">
        <v>103</v>
      </c>
      <c r="D2072" s="78">
        <v>46.42</v>
      </c>
      <c r="E2072" s="663">
        <v>2</v>
      </c>
      <c r="H2072" s="179">
        <v>46.42</v>
      </c>
      <c r="J2072" s="294"/>
      <c r="K2072" s="295"/>
      <c r="L2072" s="72"/>
      <c r="M2072" s="133"/>
      <c r="N2072" s="72"/>
      <c r="O2072" s="224"/>
      <c r="P2072" s="219"/>
      <c r="Q2072" s="84"/>
      <c r="S2072" s="137"/>
      <c r="T2072" s="137"/>
    </row>
    <row r="2073" spans="1:22">
      <c r="A2073" s="212" t="s">
        <v>9782</v>
      </c>
      <c r="B2073" s="216" t="s">
        <v>9783</v>
      </c>
      <c r="C2073" s="212" t="s">
        <v>103</v>
      </c>
      <c r="D2073" s="78">
        <v>515.08000000000004</v>
      </c>
      <c r="E2073" s="663">
        <v>2</v>
      </c>
      <c r="H2073" s="178">
        <v>515.08000000000004</v>
      </c>
      <c r="J2073" s="294"/>
      <c r="K2073" s="295"/>
      <c r="L2073" s="298"/>
      <c r="M2073" s="299"/>
      <c r="N2073" s="298"/>
      <c r="O2073" s="224"/>
      <c r="P2073" s="219"/>
      <c r="Q2073" s="84"/>
      <c r="S2073" s="136"/>
      <c r="T2073" s="136"/>
    </row>
    <row r="2074" spans="1:22">
      <c r="A2074" s="212" t="s">
        <v>9784</v>
      </c>
      <c r="B2074" s="216" t="s">
        <v>9785</v>
      </c>
      <c r="C2074" s="212" t="s">
        <v>103</v>
      </c>
      <c r="D2074" s="78">
        <v>151.43</v>
      </c>
      <c r="E2074" s="663">
        <v>2</v>
      </c>
      <c r="H2074" s="178">
        <v>151.43</v>
      </c>
      <c r="J2074" s="294"/>
      <c r="K2074" s="295"/>
      <c r="L2074" s="298"/>
      <c r="M2074" s="299"/>
      <c r="N2074" s="298"/>
      <c r="O2074" s="224"/>
      <c r="P2074" s="219"/>
      <c r="Q2074" s="84"/>
      <c r="S2074" s="136"/>
      <c r="T2074" s="136"/>
      <c r="V2074" s="136"/>
    </row>
    <row r="2075" spans="1:22">
      <c r="A2075" s="71" t="s">
        <v>9786</v>
      </c>
      <c r="B2075" s="67" t="s">
        <v>9787</v>
      </c>
      <c r="C2075" s="71" t="s">
        <v>103</v>
      </c>
      <c r="D2075" s="78">
        <v>486.02</v>
      </c>
      <c r="E2075" s="663">
        <v>2</v>
      </c>
      <c r="H2075" s="179">
        <v>486.02</v>
      </c>
      <c r="J2075" s="294"/>
      <c r="K2075" s="295"/>
      <c r="L2075" s="72"/>
      <c r="M2075" s="133"/>
      <c r="N2075" s="72"/>
      <c r="O2075" s="224"/>
      <c r="P2075" s="219"/>
      <c r="Q2075" s="84"/>
      <c r="S2075" s="137"/>
      <c r="T2075" s="137"/>
      <c r="V2075" s="137"/>
    </row>
    <row r="2076" spans="1:22">
      <c r="A2076" s="71" t="s">
        <v>9788</v>
      </c>
      <c r="B2076" s="67" t="s">
        <v>9789</v>
      </c>
      <c r="C2076" s="71" t="s">
        <v>103</v>
      </c>
      <c r="D2076" s="78">
        <v>99.07</v>
      </c>
      <c r="E2076" s="663">
        <v>2</v>
      </c>
      <c r="H2076" s="178">
        <v>99.07</v>
      </c>
      <c r="J2076" s="294"/>
      <c r="K2076" s="295"/>
      <c r="L2076" s="72"/>
      <c r="M2076" s="133"/>
      <c r="N2076" s="72"/>
      <c r="O2076" s="224"/>
      <c r="P2076" s="219"/>
      <c r="Q2076" s="84"/>
      <c r="S2076" s="136"/>
      <c r="T2076" s="136"/>
      <c r="V2076" s="136"/>
    </row>
    <row r="2077" spans="1:22">
      <c r="A2077" s="71" t="s">
        <v>9790</v>
      </c>
      <c r="B2077" s="67" t="s">
        <v>9791</v>
      </c>
      <c r="C2077" s="71" t="s">
        <v>103</v>
      </c>
      <c r="D2077" s="78">
        <v>356.19</v>
      </c>
      <c r="E2077" s="663">
        <v>2</v>
      </c>
      <c r="H2077" s="179">
        <v>356.19</v>
      </c>
      <c r="J2077" s="294"/>
      <c r="K2077" s="295"/>
      <c r="L2077" s="72"/>
      <c r="M2077" s="133"/>
      <c r="N2077" s="72"/>
      <c r="O2077" s="224"/>
      <c r="P2077" s="219"/>
      <c r="Q2077" s="84"/>
      <c r="S2077" s="137"/>
      <c r="T2077" s="137"/>
      <c r="V2077" s="137"/>
    </row>
    <row r="2078" spans="1:22">
      <c r="A2078" s="71" t="s">
        <v>9792</v>
      </c>
      <c r="B2078" s="67" t="s">
        <v>9793</v>
      </c>
      <c r="C2078" s="71" t="s">
        <v>103</v>
      </c>
      <c r="D2078" s="78">
        <v>430.55</v>
      </c>
      <c r="E2078" s="663">
        <v>2</v>
      </c>
      <c r="H2078" s="179">
        <v>430.55</v>
      </c>
      <c r="J2078" s="294"/>
      <c r="K2078" s="295"/>
      <c r="L2078" s="72"/>
      <c r="M2078" s="133"/>
      <c r="N2078" s="72"/>
      <c r="O2078" s="224"/>
      <c r="P2078" s="219"/>
      <c r="Q2078" s="84"/>
      <c r="S2078" s="137"/>
      <c r="T2078" s="137"/>
      <c r="V2078" s="137"/>
    </row>
    <row r="2079" spans="1:22">
      <c r="A2079" s="71" t="s">
        <v>9794</v>
      </c>
      <c r="B2079" s="67" t="s">
        <v>9795</v>
      </c>
      <c r="C2079" s="71" t="s">
        <v>165</v>
      </c>
      <c r="D2079" s="78">
        <v>1112.0999999999999</v>
      </c>
      <c r="E2079" s="663">
        <v>2</v>
      </c>
      <c r="H2079" s="179">
        <v>1112.0999999999999</v>
      </c>
      <c r="J2079" s="294"/>
      <c r="K2079" s="295"/>
      <c r="L2079" s="72"/>
      <c r="M2079" s="133"/>
      <c r="N2079" s="72"/>
      <c r="O2079" s="224"/>
      <c r="P2079" s="219"/>
      <c r="Q2079" s="84"/>
      <c r="S2079" s="137"/>
      <c r="T2079" s="137"/>
      <c r="V2079" s="137"/>
    </row>
    <row r="2080" spans="1:22">
      <c r="A2080" s="71" t="s">
        <v>9796</v>
      </c>
      <c r="B2080" s="216" t="s">
        <v>9797</v>
      </c>
      <c r="C2080" s="212" t="s">
        <v>103</v>
      </c>
      <c r="D2080" s="78">
        <v>876.76</v>
      </c>
      <c r="E2080" s="663">
        <v>2</v>
      </c>
      <c r="H2080" s="178">
        <v>876.76</v>
      </c>
      <c r="J2080" s="294"/>
      <c r="K2080" s="295"/>
      <c r="L2080" s="72"/>
      <c r="M2080" s="299"/>
      <c r="N2080" s="298"/>
      <c r="O2080" s="224"/>
      <c r="P2080" s="219"/>
      <c r="Q2080" s="84"/>
      <c r="S2080" s="136"/>
      <c r="T2080" s="136"/>
    </row>
    <row r="2081" spans="1:22">
      <c r="A2081" s="212" t="s">
        <v>9798</v>
      </c>
      <c r="B2081" s="216" t="s">
        <v>9799</v>
      </c>
      <c r="C2081" s="212" t="s">
        <v>103</v>
      </c>
      <c r="D2081" s="78">
        <v>169.53</v>
      </c>
      <c r="E2081" s="663">
        <v>2</v>
      </c>
      <c r="H2081" s="178">
        <v>169.53</v>
      </c>
      <c r="J2081" s="294"/>
      <c r="K2081" s="295"/>
      <c r="L2081" s="298"/>
      <c r="M2081" s="299"/>
      <c r="N2081" s="298"/>
      <c r="O2081" s="224"/>
      <c r="P2081" s="219"/>
      <c r="Q2081" s="84"/>
      <c r="S2081" s="136"/>
      <c r="T2081" s="136"/>
      <c r="V2081" s="136"/>
    </row>
    <row r="2082" spans="1:22">
      <c r="A2082" s="71" t="s">
        <v>9800</v>
      </c>
      <c r="B2082" s="67" t="s">
        <v>9801</v>
      </c>
      <c r="C2082" s="71" t="s">
        <v>103</v>
      </c>
      <c r="D2082" s="78">
        <v>2142.6799999999998</v>
      </c>
      <c r="E2082" s="663">
        <v>2</v>
      </c>
      <c r="H2082" s="179">
        <v>2142.6799999999998</v>
      </c>
      <c r="J2082" s="294"/>
      <c r="K2082" s="295"/>
      <c r="L2082" s="72"/>
      <c r="M2082" s="133"/>
      <c r="N2082" s="72"/>
      <c r="O2082" s="224"/>
      <c r="P2082" s="219"/>
      <c r="Q2082" s="84"/>
      <c r="S2082" s="137"/>
      <c r="T2082" s="137"/>
      <c r="V2082" s="137"/>
    </row>
    <row r="2083" spans="1:22">
      <c r="A2083" s="71" t="s">
        <v>9802</v>
      </c>
      <c r="B2083" s="67" t="s">
        <v>9803</v>
      </c>
      <c r="C2083" s="71" t="s">
        <v>103</v>
      </c>
      <c r="D2083" s="78">
        <v>376.9</v>
      </c>
      <c r="E2083" s="663">
        <v>2</v>
      </c>
      <c r="H2083" s="179">
        <v>376.9</v>
      </c>
      <c r="J2083" s="294"/>
      <c r="K2083" s="295"/>
      <c r="L2083" s="72"/>
      <c r="M2083" s="133"/>
      <c r="N2083" s="72"/>
      <c r="O2083" s="224"/>
      <c r="P2083" s="219"/>
      <c r="Q2083" s="84"/>
      <c r="S2083" s="137"/>
      <c r="T2083" s="137"/>
      <c r="V2083" s="137"/>
    </row>
    <row r="2084" spans="1:22">
      <c r="A2084" s="71" t="s">
        <v>9804</v>
      </c>
      <c r="B2084" s="67" t="s">
        <v>9805</v>
      </c>
      <c r="C2084" s="71" t="s">
        <v>103</v>
      </c>
      <c r="D2084" s="78">
        <v>219.43</v>
      </c>
      <c r="E2084" s="663">
        <v>2</v>
      </c>
      <c r="H2084" s="179">
        <v>219.43</v>
      </c>
      <c r="J2084" s="294"/>
      <c r="K2084" s="295"/>
      <c r="L2084" s="72"/>
      <c r="M2084" s="133"/>
      <c r="N2084" s="72"/>
      <c r="O2084" s="224"/>
      <c r="P2084" s="219"/>
      <c r="Q2084" s="84"/>
      <c r="S2084" s="137"/>
      <c r="T2084" s="137"/>
      <c r="V2084" s="137"/>
    </row>
    <row r="2085" spans="1:22">
      <c r="A2085" s="71" t="s">
        <v>9806</v>
      </c>
      <c r="B2085" s="67" t="s">
        <v>9807</v>
      </c>
      <c r="C2085" s="71" t="s">
        <v>103</v>
      </c>
      <c r="D2085" s="78">
        <v>239.16</v>
      </c>
      <c r="E2085" s="663">
        <v>2</v>
      </c>
      <c r="H2085" s="179">
        <v>239.16</v>
      </c>
      <c r="J2085" s="294"/>
      <c r="K2085" s="295"/>
      <c r="L2085" s="72"/>
      <c r="M2085" s="133"/>
      <c r="N2085" s="72"/>
      <c r="O2085" s="224"/>
      <c r="P2085" s="219"/>
      <c r="Q2085" s="84"/>
      <c r="S2085" s="137"/>
      <c r="T2085" s="137"/>
      <c r="V2085" s="137"/>
    </row>
    <row r="2086" spans="1:22">
      <c r="A2086" s="71" t="s">
        <v>9808</v>
      </c>
      <c r="B2086" s="67" t="s">
        <v>9809</v>
      </c>
      <c r="C2086" s="71" t="s">
        <v>103</v>
      </c>
      <c r="D2086" s="78">
        <v>750.21</v>
      </c>
      <c r="E2086" s="663">
        <v>2</v>
      </c>
      <c r="H2086" s="179">
        <v>750.21</v>
      </c>
      <c r="J2086" s="294"/>
      <c r="K2086" s="295"/>
      <c r="L2086" s="72"/>
      <c r="M2086" s="133"/>
      <c r="N2086" s="72"/>
      <c r="O2086" s="224"/>
      <c r="P2086" s="219"/>
      <c r="Q2086" s="84"/>
      <c r="S2086" s="137"/>
      <c r="T2086" s="137"/>
      <c r="V2086" s="137"/>
    </row>
    <row r="2087" spans="1:22">
      <c r="A2087" s="71" t="s">
        <v>9810</v>
      </c>
      <c r="B2087" s="67" t="s">
        <v>9811</v>
      </c>
      <c r="C2087" s="71" t="s">
        <v>103</v>
      </c>
      <c r="D2087" s="78">
        <v>1089.68</v>
      </c>
      <c r="E2087" s="663">
        <v>2</v>
      </c>
      <c r="H2087" s="179">
        <v>1089.68</v>
      </c>
      <c r="J2087" s="294"/>
      <c r="K2087" s="295"/>
      <c r="L2087" s="72"/>
      <c r="M2087" s="133"/>
      <c r="N2087" s="72"/>
      <c r="O2087" s="224"/>
      <c r="P2087" s="219"/>
      <c r="Q2087" s="84"/>
      <c r="S2087" s="137"/>
      <c r="T2087" s="137"/>
      <c r="V2087" s="137"/>
    </row>
    <row r="2088" spans="1:22">
      <c r="A2088" s="71" t="s">
        <v>9812</v>
      </c>
      <c r="B2088" s="67" t="s">
        <v>9813</v>
      </c>
      <c r="C2088" s="71" t="s">
        <v>103</v>
      </c>
      <c r="D2088" s="78">
        <v>219.99</v>
      </c>
      <c r="E2088" s="663">
        <v>2</v>
      </c>
      <c r="H2088" s="179">
        <v>219.99</v>
      </c>
      <c r="J2088" s="294"/>
      <c r="K2088" s="295"/>
      <c r="L2088" s="72"/>
      <c r="M2088" s="133"/>
      <c r="N2088" s="72"/>
      <c r="O2088" s="224"/>
      <c r="P2088" s="219"/>
      <c r="Q2088" s="84"/>
      <c r="S2088" s="137"/>
      <c r="T2088" s="137"/>
      <c r="V2088" s="137"/>
    </row>
    <row r="2089" spans="1:22">
      <c r="A2089" s="71" t="s">
        <v>9814</v>
      </c>
      <c r="B2089" s="67" t="s">
        <v>9815</v>
      </c>
      <c r="C2089" s="71" t="s">
        <v>103</v>
      </c>
      <c r="D2089" s="78">
        <v>412.52</v>
      </c>
      <c r="E2089" s="663">
        <v>2</v>
      </c>
      <c r="H2089" s="179">
        <v>412.52</v>
      </c>
      <c r="J2089" s="294"/>
      <c r="K2089" s="295"/>
      <c r="L2089" s="72"/>
      <c r="M2089" s="133"/>
      <c r="N2089" s="72"/>
      <c r="O2089" s="224"/>
      <c r="P2089" s="219"/>
      <c r="Q2089" s="84"/>
      <c r="S2089" s="137"/>
      <c r="T2089" s="137"/>
      <c r="V2089" s="137"/>
    </row>
    <row r="2090" spans="1:22">
      <c r="A2090" s="71" t="s">
        <v>9816</v>
      </c>
      <c r="B2090" s="67" t="s">
        <v>9817</v>
      </c>
      <c r="C2090" s="71" t="s">
        <v>103</v>
      </c>
      <c r="D2090" s="78">
        <v>2278.91</v>
      </c>
      <c r="E2090" s="663">
        <v>2</v>
      </c>
      <c r="H2090" s="179">
        <v>2278.91</v>
      </c>
      <c r="J2090" s="294"/>
      <c r="K2090" s="295"/>
      <c r="L2090" s="72"/>
      <c r="M2090" s="133"/>
      <c r="N2090" s="72"/>
      <c r="O2090" s="224"/>
      <c r="P2090" s="219"/>
      <c r="Q2090" s="84"/>
      <c r="S2090" s="137"/>
      <c r="T2090" s="137"/>
    </row>
    <row r="2091" spans="1:22">
      <c r="A2091" s="71" t="s">
        <v>9818</v>
      </c>
      <c r="B2091" s="67" t="s">
        <v>9819</v>
      </c>
      <c r="C2091" s="71" t="s">
        <v>103</v>
      </c>
      <c r="D2091" s="78">
        <v>3289.73</v>
      </c>
      <c r="E2091" s="663">
        <v>2</v>
      </c>
      <c r="H2091" s="179">
        <v>3289.73</v>
      </c>
      <c r="J2091" s="294"/>
      <c r="K2091" s="295"/>
      <c r="L2091" s="72"/>
      <c r="M2091" s="133"/>
      <c r="N2091" s="72"/>
      <c r="O2091" s="224"/>
      <c r="P2091" s="219"/>
      <c r="Q2091" s="84"/>
      <c r="S2091" s="137"/>
      <c r="T2091" s="137"/>
    </row>
    <row r="2092" spans="1:22">
      <c r="A2092" s="71" t="s">
        <v>9820</v>
      </c>
      <c r="B2092" s="67" t="s">
        <v>9821</v>
      </c>
      <c r="C2092" s="71" t="s">
        <v>509</v>
      </c>
      <c r="D2092" s="78">
        <v>1275.72</v>
      </c>
      <c r="E2092" s="663">
        <v>2</v>
      </c>
      <c r="H2092" s="179">
        <v>1275.72</v>
      </c>
      <c r="J2092" s="294"/>
      <c r="K2092" s="295"/>
      <c r="L2092" s="72"/>
      <c r="M2092" s="133"/>
      <c r="N2092" s="72"/>
      <c r="O2092" s="224"/>
      <c r="P2092" s="219"/>
      <c r="Q2092" s="84"/>
      <c r="S2092" s="137"/>
      <c r="T2092" s="137"/>
    </row>
    <row r="2093" spans="1:22">
      <c r="A2093" s="71" t="s">
        <v>9822</v>
      </c>
      <c r="B2093" s="67" t="s">
        <v>9823</v>
      </c>
      <c r="C2093" s="71" t="s">
        <v>509</v>
      </c>
      <c r="D2093" s="78">
        <v>1155.3399999999999</v>
      </c>
      <c r="E2093" s="663">
        <v>2</v>
      </c>
      <c r="H2093" s="179">
        <v>1155.3399999999999</v>
      </c>
      <c r="J2093" s="294"/>
      <c r="K2093" s="295"/>
      <c r="L2093" s="72"/>
      <c r="M2093" s="133"/>
      <c r="N2093" s="72"/>
      <c r="O2093" s="224"/>
      <c r="P2093" s="219"/>
      <c r="Q2093" s="84"/>
      <c r="S2093" s="137"/>
      <c r="T2093" s="137"/>
    </row>
    <row r="2094" spans="1:22">
      <c r="A2094" s="71" t="s">
        <v>9824</v>
      </c>
      <c r="B2094" s="67" t="s">
        <v>9825</v>
      </c>
      <c r="C2094" s="71" t="s">
        <v>509</v>
      </c>
      <c r="D2094" s="78">
        <v>497.95</v>
      </c>
      <c r="E2094" s="663">
        <v>2</v>
      </c>
      <c r="H2094" s="179">
        <v>497.95</v>
      </c>
      <c r="J2094" s="294"/>
      <c r="K2094" s="295"/>
      <c r="L2094" s="72"/>
      <c r="M2094" s="133"/>
      <c r="N2094" s="72"/>
      <c r="O2094" s="224"/>
      <c r="P2094" s="219"/>
      <c r="Q2094" s="84"/>
      <c r="S2094" s="137"/>
      <c r="T2094" s="137"/>
    </row>
    <row r="2095" spans="1:22">
      <c r="A2095" s="71" t="s">
        <v>9826</v>
      </c>
      <c r="B2095" s="67" t="s">
        <v>9827</v>
      </c>
      <c r="C2095" s="71" t="s">
        <v>509</v>
      </c>
      <c r="D2095" s="78">
        <v>327.45999999999998</v>
      </c>
      <c r="E2095" s="663">
        <v>2</v>
      </c>
      <c r="H2095" s="178">
        <v>327.45999999999998</v>
      </c>
      <c r="J2095" s="294"/>
      <c r="K2095" s="295"/>
      <c r="L2095" s="72"/>
      <c r="M2095" s="133"/>
      <c r="N2095" s="72"/>
      <c r="O2095" s="224"/>
      <c r="P2095" s="219"/>
      <c r="Q2095" s="84"/>
      <c r="S2095" s="136"/>
      <c r="T2095" s="136"/>
      <c r="V2095" s="136"/>
    </row>
    <row r="2096" spans="1:22">
      <c r="A2096" s="71" t="s">
        <v>9828</v>
      </c>
      <c r="B2096" s="67" t="s">
        <v>9829</v>
      </c>
      <c r="C2096" s="71" t="s">
        <v>6786</v>
      </c>
      <c r="D2096" s="78">
        <v>193.72</v>
      </c>
      <c r="E2096" s="663">
        <v>2</v>
      </c>
      <c r="H2096" s="178">
        <v>193.72</v>
      </c>
      <c r="J2096" s="294"/>
      <c r="K2096" s="295"/>
      <c r="L2096" s="72"/>
      <c r="M2096" s="133"/>
      <c r="N2096" s="72"/>
      <c r="O2096" s="224"/>
      <c r="P2096" s="219"/>
      <c r="Q2096" s="84"/>
      <c r="S2096" s="136"/>
      <c r="T2096" s="136"/>
      <c r="V2096" s="136"/>
    </row>
    <row r="2097" spans="1:22">
      <c r="A2097" s="71" t="s">
        <v>9830</v>
      </c>
      <c r="B2097" s="67" t="s">
        <v>9831</v>
      </c>
      <c r="C2097" s="71" t="s">
        <v>103</v>
      </c>
      <c r="D2097" s="78">
        <v>27.68</v>
      </c>
      <c r="E2097" s="663">
        <v>2</v>
      </c>
      <c r="H2097" s="179">
        <v>27.68</v>
      </c>
      <c r="J2097" s="294"/>
      <c r="K2097" s="295"/>
      <c r="L2097" s="72"/>
      <c r="M2097" s="133"/>
      <c r="N2097" s="72"/>
      <c r="O2097" s="224"/>
      <c r="P2097" s="219"/>
      <c r="Q2097" s="84"/>
      <c r="S2097" s="137"/>
      <c r="T2097" s="137"/>
    </row>
    <row r="2098" spans="1:22">
      <c r="A2098" s="71" t="s">
        <v>9832</v>
      </c>
      <c r="B2098" s="67" t="s">
        <v>9833</v>
      </c>
      <c r="C2098" s="71" t="s">
        <v>103</v>
      </c>
      <c r="D2098" s="78">
        <v>28.47</v>
      </c>
      <c r="E2098" s="663">
        <v>2</v>
      </c>
      <c r="H2098" s="178">
        <v>28.47</v>
      </c>
      <c r="J2098" s="294"/>
      <c r="K2098" s="295"/>
      <c r="L2098" s="72"/>
      <c r="M2098" s="133"/>
      <c r="N2098" s="72"/>
      <c r="O2098" s="224"/>
      <c r="P2098" s="219"/>
      <c r="Q2098" s="84"/>
      <c r="S2098" s="136"/>
      <c r="T2098" s="136"/>
    </row>
    <row r="2099" spans="1:22">
      <c r="A2099" s="71" t="s">
        <v>9834</v>
      </c>
      <c r="B2099" s="67" t="s">
        <v>9835</v>
      </c>
      <c r="C2099" s="71" t="s">
        <v>103</v>
      </c>
      <c r="D2099" s="78">
        <v>44.82</v>
      </c>
      <c r="E2099" s="663">
        <v>2</v>
      </c>
      <c r="H2099" s="179">
        <v>44.82</v>
      </c>
      <c r="J2099" s="294"/>
      <c r="K2099" s="295"/>
      <c r="L2099" s="72"/>
      <c r="M2099" s="133"/>
      <c r="N2099" s="72"/>
      <c r="O2099" s="224"/>
      <c r="P2099" s="219"/>
      <c r="Q2099" s="84"/>
      <c r="S2099" s="137"/>
      <c r="T2099" s="137"/>
      <c r="V2099" s="137"/>
    </row>
    <row r="2100" spans="1:22">
      <c r="A2100" s="71" t="s">
        <v>9836</v>
      </c>
      <c r="B2100" s="67" t="s">
        <v>9837</v>
      </c>
      <c r="C2100" s="71" t="s">
        <v>103</v>
      </c>
      <c r="D2100" s="78">
        <v>25.27</v>
      </c>
      <c r="E2100" s="663">
        <v>2</v>
      </c>
      <c r="H2100" s="179">
        <v>25.27</v>
      </c>
      <c r="J2100" s="294"/>
      <c r="K2100" s="295"/>
      <c r="L2100" s="72"/>
      <c r="M2100" s="133"/>
      <c r="N2100" s="72"/>
      <c r="O2100" s="224"/>
      <c r="P2100" s="219"/>
      <c r="Q2100" s="84"/>
      <c r="S2100" s="137"/>
      <c r="T2100" s="137"/>
    </row>
    <row r="2101" spans="1:22">
      <c r="A2101" s="71" t="s">
        <v>9838</v>
      </c>
      <c r="B2101" s="67" t="s">
        <v>9839</v>
      </c>
      <c r="C2101" s="71" t="s">
        <v>103</v>
      </c>
      <c r="D2101" s="78">
        <v>55.75</v>
      </c>
      <c r="E2101" s="663">
        <v>2</v>
      </c>
      <c r="H2101" s="179">
        <v>55.75</v>
      </c>
      <c r="J2101" s="294"/>
      <c r="K2101" s="295"/>
      <c r="L2101" s="72"/>
      <c r="M2101" s="133"/>
      <c r="N2101" s="72"/>
      <c r="O2101" s="224"/>
      <c r="P2101" s="219"/>
      <c r="Q2101" s="84"/>
      <c r="S2101" s="137"/>
      <c r="T2101" s="137"/>
      <c r="V2101" s="137"/>
    </row>
    <row r="2102" spans="1:22">
      <c r="A2102" s="71" t="s">
        <v>9840</v>
      </c>
      <c r="B2102" s="67" t="s">
        <v>9841</v>
      </c>
      <c r="C2102" s="71" t="s">
        <v>103</v>
      </c>
      <c r="D2102" s="78">
        <v>205.84</v>
      </c>
      <c r="E2102" s="663">
        <v>2</v>
      </c>
      <c r="H2102" s="179">
        <v>205.84</v>
      </c>
      <c r="J2102" s="294"/>
      <c r="K2102" s="295"/>
      <c r="L2102" s="72"/>
      <c r="M2102" s="133"/>
      <c r="N2102" s="72"/>
      <c r="O2102" s="224"/>
      <c r="P2102" s="219"/>
      <c r="Q2102" s="84"/>
      <c r="S2102" s="137"/>
      <c r="T2102" s="137"/>
      <c r="V2102" s="137"/>
    </row>
    <row r="2103" spans="1:22">
      <c r="A2103" s="71" t="s">
        <v>9842</v>
      </c>
      <c r="B2103" s="67" t="s">
        <v>9843</v>
      </c>
      <c r="C2103" s="71" t="s">
        <v>103</v>
      </c>
      <c r="D2103" s="78">
        <v>627.24</v>
      </c>
      <c r="E2103" s="663">
        <v>2</v>
      </c>
      <c r="H2103" s="179">
        <v>627.24</v>
      </c>
      <c r="J2103" s="294"/>
      <c r="K2103" s="295"/>
      <c r="L2103" s="72"/>
      <c r="M2103" s="133"/>
      <c r="N2103" s="72"/>
      <c r="O2103" s="224"/>
      <c r="P2103" s="219"/>
      <c r="Q2103" s="84"/>
      <c r="S2103" s="137"/>
      <c r="T2103" s="137"/>
      <c r="V2103" s="137"/>
    </row>
    <row r="2104" spans="1:22">
      <c r="A2104" s="71" t="s">
        <v>9844</v>
      </c>
      <c r="B2104" s="67" t="s">
        <v>9845</v>
      </c>
      <c r="C2104" s="71" t="s">
        <v>103</v>
      </c>
      <c r="D2104" s="78">
        <v>1254.08</v>
      </c>
      <c r="E2104" s="663">
        <v>2</v>
      </c>
      <c r="H2104" s="179">
        <v>1254.08</v>
      </c>
      <c r="J2104" s="294"/>
      <c r="K2104" s="295"/>
      <c r="L2104" s="72"/>
      <c r="M2104" s="133"/>
      <c r="N2104" s="72"/>
      <c r="O2104" s="224"/>
      <c r="P2104" s="219"/>
      <c r="Q2104" s="84"/>
      <c r="S2104" s="137"/>
      <c r="T2104" s="137"/>
      <c r="V2104" s="137"/>
    </row>
    <row r="2105" spans="1:22">
      <c r="A2105" s="71" t="s">
        <v>9846</v>
      </c>
      <c r="B2105" s="67" t="s">
        <v>9847</v>
      </c>
      <c r="C2105" s="71" t="s">
        <v>103</v>
      </c>
      <c r="D2105" s="78">
        <v>168.87</v>
      </c>
      <c r="E2105" s="663">
        <v>2</v>
      </c>
      <c r="H2105" s="179">
        <v>168.87</v>
      </c>
      <c r="J2105" s="294"/>
      <c r="K2105" s="295"/>
      <c r="L2105" s="72"/>
      <c r="M2105" s="133"/>
      <c r="N2105" s="72"/>
      <c r="O2105" s="224"/>
      <c r="P2105" s="219"/>
      <c r="Q2105" s="84"/>
      <c r="S2105" s="137"/>
      <c r="T2105" s="137"/>
      <c r="V2105" s="137"/>
    </row>
    <row r="2106" spans="1:22">
      <c r="A2106" s="71" t="s">
        <v>9848</v>
      </c>
      <c r="B2106" s="67" t="s">
        <v>9849</v>
      </c>
      <c r="C2106" s="71" t="s">
        <v>103</v>
      </c>
      <c r="D2106" s="78">
        <v>319.82</v>
      </c>
      <c r="E2106" s="663">
        <v>2</v>
      </c>
      <c r="H2106" s="179">
        <v>319.82</v>
      </c>
      <c r="J2106" s="294"/>
      <c r="K2106" s="295"/>
      <c r="L2106" s="72"/>
      <c r="M2106" s="133"/>
      <c r="N2106" s="72"/>
      <c r="O2106" s="224"/>
      <c r="P2106" s="219"/>
      <c r="Q2106" s="84"/>
      <c r="S2106" s="137"/>
      <c r="T2106" s="137"/>
    </row>
    <row r="2107" spans="1:22">
      <c r="A2107" s="71" t="s">
        <v>9850</v>
      </c>
      <c r="B2107" s="67" t="s">
        <v>9851</v>
      </c>
      <c r="C2107" s="71" t="s">
        <v>103</v>
      </c>
      <c r="D2107" s="78">
        <v>167.14</v>
      </c>
      <c r="E2107" s="663">
        <v>2</v>
      </c>
      <c r="H2107" s="179">
        <v>167.14</v>
      </c>
      <c r="J2107" s="294"/>
      <c r="K2107" s="295"/>
      <c r="L2107" s="72"/>
      <c r="M2107" s="133"/>
      <c r="N2107" s="72"/>
      <c r="O2107" s="224"/>
      <c r="P2107" s="219"/>
      <c r="Q2107" s="84"/>
      <c r="S2107" s="137"/>
      <c r="T2107" s="137"/>
    </row>
    <row r="2108" spans="1:22">
      <c r="A2108" s="71" t="s">
        <v>9852</v>
      </c>
      <c r="B2108" s="67" t="s">
        <v>9853</v>
      </c>
      <c r="C2108" s="71" t="s">
        <v>103</v>
      </c>
      <c r="D2108" s="78">
        <v>51.97</v>
      </c>
      <c r="E2108" s="663">
        <v>2</v>
      </c>
      <c r="H2108" s="179">
        <v>51.97</v>
      </c>
      <c r="J2108" s="294"/>
      <c r="K2108" s="295"/>
      <c r="L2108" s="72"/>
      <c r="M2108" s="133"/>
      <c r="N2108" s="72"/>
      <c r="O2108" s="224"/>
      <c r="P2108" s="219"/>
      <c r="Q2108" s="84"/>
      <c r="S2108" s="137"/>
      <c r="T2108" s="137"/>
    </row>
    <row r="2109" spans="1:22">
      <c r="A2109" s="71" t="s">
        <v>9854</v>
      </c>
      <c r="B2109" s="67" t="s">
        <v>9855</v>
      </c>
      <c r="C2109" s="71" t="s">
        <v>103</v>
      </c>
      <c r="D2109" s="78">
        <v>51.51</v>
      </c>
      <c r="E2109" s="663">
        <v>2</v>
      </c>
      <c r="H2109" s="179">
        <v>51.51</v>
      </c>
      <c r="J2109" s="294"/>
      <c r="K2109" s="295"/>
      <c r="L2109" s="72"/>
      <c r="M2109" s="133"/>
      <c r="N2109" s="72"/>
      <c r="O2109" s="224"/>
      <c r="P2109" s="219"/>
      <c r="Q2109" s="84"/>
      <c r="S2109" s="137"/>
      <c r="T2109" s="137"/>
    </row>
    <row r="2110" spans="1:22">
      <c r="A2110" s="71" t="s">
        <v>9856</v>
      </c>
      <c r="B2110" s="67" t="s">
        <v>9857</v>
      </c>
      <c r="C2110" s="71" t="s">
        <v>103</v>
      </c>
      <c r="D2110" s="78">
        <v>94.14</v>
      </c>
      <c r="E2110" s="663">
        <v>2</v>
      </c>
      <c r="H2110" s="179">
        <v>94.14</v>
      </c>
      <c r="J2110" s="294"/>
      <c r="K2110" s="295"/>
      <c r="L2110" s="72"/>
      <c r="M2110" s="133"/>
      <c r="N2110" s="72"/>
      <c r="O2110" s="224"/>
      <c r="P2110" s="219"/>
      <c r="Q2110" s="84"/>
      <c r="S2110" s="137"/>
      <c r="T2110" s="137"/>
    </row>
    <row r="2111" spans="1:22">
      <c r="A2111" s="71" t="s">
        <v>9858</v>
      </c>
      <c r="B2111" s="67" t="s">
        <v>9859</v>
      </c>
      <c r="C2111" s="71" t="s">
        <v>103</v>
      </c>
      <c r="D2111" s="78">
        <v>319.82</v>
      </c>
      <c r="E2111" s="663">
        <v>2</v>
      </c>
      <c r="H2111" s="178">
        <v>319.82</v>
      </c>
      <c r="J2111" s="294"/>
      <c r="K2111" s="295"/>
      <c r="L2111" s="72"/>
      <c r="M2111" s="133"/>
      <c r="N2111" s="72"/>
      <c r="O2111" s="224"/>
      <c r="P2111" s="219"/>
      <c r="Q2111" s="84"/>
      <c r="S2111" s="136"/>
      <c r="T2111" s="136"/>
    </row>
    <row r="2112" spans="1:22">
      <c r="A2112" s="71" t="s">
        <v>9860</v>
      </c>
      <c r="B2112" s="67" t="s">
        <v>9861</v>
      </c>
      <c r="C2112" s="71" t="s">
        <v>103</v>
      </c>
      <c r="D2112" s="78">
        <v>34.130000000000003</v>
      </c>
      <c r="E2112" s="663">
        <v>2</v>
      </c>
      <c r="H2112" s="179">
        <v>34.130000000000003</v>
      </c>
      <c r="J2112" s="294"/>
      <c r="K2112" s="295"/>
      <c r="L2112" s="72"/>
      <c r="M2112" s="133"/>
      <c r="N2112" s="72"/>
      <c r="O2112" s="224"/>
      <c r="P2112" s="219"/>
      <c r="Q2112" s="84"/>
      <c r="S2112" s="137"/>
      <c r="T2112" s="137"/>
    </row>
    <row r="2113" spans="1:22">
      <c r="A2113" s="71" t="s">
        <v>9862</v>
      </c>
      <c r="B2113" s="67" t="s">
        <v>9863</v>
      </c>
      <c r="C2113" s="71" t="s">
        <v>103</v>
      </c>
      <c r="D2113" s="78">
        <v>32.880000000000003</v>
      </c>
      <c r="E2113" s="663">
        <v>2</v>
      </c>
      <c r="H2113" s="179">
        <v>32.880000000000003</v>
      </c>
      <c r="J2113" s="294"/>
      <c r="K2113" s="295"/>
      <c r="L2113" s="72"/>
      <c r="M2113" s="133"/>
      <c r="N2113" s="72"/>
      <c r="O2113" s="224"/>
      <c r="P2113" s="219"/>
      <c r="Q2113" s="84"/>
      <c r="S2113" s="137"/>
      <c r="T2113" s="137"/>
    </row>
    <row r="2114" spans="1:22">
      <c r="A2114" s="71" t="s">
        <v>9864</v>
      </c>
      <c r="B2114" s="67" t="s">
        <v>9865</v>
      </c>
      <c r="C2114" s="71" t="s">
        <v>396</v>
      </c>
      <c r="D2114" s="78">
        <v>15.78</v>
      </c>
      <c r="E2114" s="663">
        <v>2</v>
      </c>
      <c r="H2114" s="179">
        <v>15.78</v>
      </c>
      <c r="J2114" s="294"/>
      <c r="K2114" s="295"/>
      <c r="L2114" s="72"/>
      <c r="M2114" s="133"/>
      <c r="N2114" s="72"/>
      <c r="O2114" s="224"/>
      <c r="P2114" s="219"/>
      <c r="Q2114" s="84"/>
      <c r="S2114" s="137"/>
      <c r="T2114" s="137"/>
      <c r="V2114" s="137"/>
    </row>
    <row r="2115" spans="1:22">
      <c r="A2115" s="71" t="s">
        <v>9866</v>
      </c>
      <c r="B2115" s="216" t="s">
        <v>9867</v>
      </c>
      <c r="C2115" s="71" t="s">
        <v>396</v>
      </c>
      <c r="D2115" s="78">
        <v>64.37</v>
      </c>
      <c r="E2115" s="663">
        <v>2</v>
      </c>
      <c r="H2115" s="178">
        <v>64.37</v>
      </c>
      <c r="J2115" s="294"/>
      <c r="K2115" s="295"/>
      <c r="L2115" s="72"/>
      <c r="M2115" s="299"/>
      <c r="N2115" s="298"/>
      <c r="O2115" s="224"/>
      <c r="P2115" s="219"/>
      <c r="Q2115" s="84"/>
      <c r="S2115" s="136"/>
      <c r="T2115" s="136"/>
      <c r="V2115" s="136"/>
    </row>
    <row r="2116" spans="1:22">
      <c r="A2116" s="71" t="s">
        <v>9868</v>
      </c>
      <c r="B2116" s="216" t="s">
        <v>9869</v>
      </c>
      <c r="C2116" s="71" t="s">
        <v>396</v>
      </c>
      <c r="D2116" s="78">
        <v>17.420000000000002</v>
      </c>
      <c r="E2116" s="663">
        <v>2</v>
      </c>
      <c r="H2116" s="178">
        <v>17.420000000000002</v>
      </c>
      <c r="J2116" s="294"/>
      <c r="K2116" s="295"/>
      <c r="L2116" s="72"/>
      <c r="M2116" s="299"/>
      <c r="N2116" s="298"/>
      <c r="O2116" s="224"/>
      <c r="P2116" s="219"/>
      <c r="Q2116" s="84"/>
      <c r="S2116" s="136"/>
      <c r="T2116" s="136"/>
      <c r="V2116" s="136"/>
    </row>
    <row r="2117" spans="1:22">
      <c r="A2117" s="71" t="s">
        <v>9870</v>
      </c>
      <c r="B2117" s="67" t="s">
        <v>9871</v>
      </c>
      <c r="C2117" s="71" t="s">
        <v>103</v>
      </c>
      <c r="D2117" s="78">
        <v>145.21</v>
      </c>
      <c r="E2117" s="663">
        <v>2</v>
      </c>
      <c r="H2117" s="179">
        <v>145.21</v>
      </c>
      <c r="J2117" s="294"/>
      <c r="K2117" s="295"/>
      <c r="L2117" s="72"/>
      <c r="M2117" s="133"/>
      <c r="N2117" s="72"/>
      <c r="O2117" s="224"/>
      <c r="P2117" s="219"/>
      <c r="Q2117" s="84"/>
      <c r="S2117" s="137"/>
      <c r="T2117" s="137"/>
    </row>
    <row r="2118" spans="1:22">
      <c r="A2118" s="71" t="s">
        <v>9872</v>
      </c>
      <c r="B2118" s="67" t="s">
        <v>9873</v>
      </c>
      <c r="C2118" s="71" t="s">
        <v>103</v>
      </c>
      <c r="D2118" s="78">
        <v>564.74</v>
      </c>
      <c r="E2118" s="663">
        <v>2</v>
      </c>
      <c r="H2118" s="178">
        <v>564.74</v>
      </c>
      <c r="J2118" s="294"/>
      <c r="K2118" s="295"/>
      <c r="L2118" s="72"/>
      <c r="M2118" s="133"/>
      <c r="N2118" s="72"/>
      <c r="O2118" s="224"/>
      <c r="P2118" s="219"/>
      <c r="Q2118" s="84"/>
      <c r="S2118" s="136"/>
      <c r="T2118" s="136"/>
    </row>
    <row r="2119" spans="1:22">
      <c r="A2119" s="71" t="s">
        <v>9874</v>
      </c>
      <c r="B2119" s="67" t="s">
        <v>9875</v>
      </c>
      <c r="C2119" s="71" t="s">
        <v>103</v>
      </c>
      <c r="D2119" s="78">
        <v>585.94000000000005</v>
      </c>
      <c r="E2119" s="663">
        <v>2</v>
      </c>
      <c r="H2119" s="179">
        <v>585.94000000000005</v>
      </c>
      <c r="J2119" s="294"/>
      <c r="K2119" s="295"/>
      <c r="L2119" s="72"/>
      <c r="M2119" s="133"/>
      <c r="N2119" s="72"/>
      <c r="O2119" s="224"/>
      <c r="P2119" s="219"/>
      <c r="Q2119" s="84"/>
      <c r="S2119" s="137"/>
      <c r="T2119" s="137"/>
    </row>
    <row r="2120" spans="1:22">
      <c r="A2120" s="71" t="s">
        <v>9876</v>
      </c>
      <c r="B2120" s="67" t="s">
        <v>9877</v>
      </c>
      <c r="C2120" s="71" t="s">
        <v>103</v>
      </c>
      <c r="D2120" s="78">
        <v>634.04</v>
      </c>
      <c r="E2120" s="663">
        <v>2</v>
      </c>
      <c r="H2120" s="179">
        <v>634.04</v>
      </c>
      <c r="J2120" s="294"/>
      <c r="K2120" s="295"/>
      <c r="L2120" s="72"/>
      <c r="M2120" s="133"/>
      <c r="N2120" s="72"/>
      <c r="O2120" s="224"/>
      <c r="P2120" s="219"/>
      <c r="Q2120" s="84"/>
      <c r="S2120" s="137"/>
      <c r="T2120" s="137"/>
    </row>
    <row r="2121" spans="1:22">
      <c r="A2121" s="71" t="s">
        <v>9878</v>
      </c>
      <c r="B2121" s="67" t="s">
        <v>9879</v>
      </c>
      <c r="C2121" s="71" t="s">
        <v>103</v>
      </c>
      <c r="D2121" s="78">
        <v>590.95000000000005</v>
      </c>
      <c r="E2121" s="663">
        <v>2</v>
      </c>
      <c r="H2121" s="178">
        <v>590.95000000000005</v>
      </c>
      <c r="J2121" s="294"/>
      <c r="K2121" s="295"/>
      <c r="L2121" s="72"/>
      <c r="M2121" s="133"/>
      <c r="N2121" s="72"/>
      <c r="O2121" s="224"/>
      <c r="P2121" s="219"/>
      <c r="Q2121" s="84"/>
      <c r="S2121" s="136"/>
      <c r="T2121" s="136"/>
    </row>
    <row r="2122" spans="1:22">
      <c r="A2122" s="71" t="s">
        <v>9880</v>
      </c>
      <c r="B2122" s="67" t="s">
        <v>9881</v>
      </c>
      <c r="C2122" s="71" t="s">
        <v>103</v>
      </c>
      <c r="D2122" s="78">
        <v>848.47</v>
      </c>
      <c r="E2122" s="663">
        <v>2</v>
      </c>
      <c r="H2122" s="179">
        <v>848.47</v>
      </c>
      <c r="J2122" s="294"/>
      <c r="K2122" s="295"/>
      <c r="L2122" s="72"/>
      <c r="M2122" s="133"/>
      <c r="N2122" s="72"/>
      <c r="O2122" s="224"/>
      <c r="P2122" s="219"/>
      <c r="Q2122" s="84"/>
      <c r="S2122" s="137"/>
      <c r="T2122" s="137"/>
      <c r="V2122" s="137"/>
    </row>
    <row r="2123" spans="1:22">
      <c r="A2123" s="71" t="s">
        <v>9882</v>
      </c>
      <c r="B2123" s="67" t="s">
        <v>9883</v>
      </c>
      <c r="C2123" s="71" t="s">
        <v>103</v>
      </c>
      <c r="D2123" s="78">
        <v>404.94</v>
      </c>
      <c r="E2123" s="663">
        <v>2</v>
      </c>
      <c r="H2123" s="179">
        <v>404.94</v>
      </c>
      <c r="J2123" s="294"/>
      <c r="K2123" s="295"/>
      <c r="L2123" s="72"/>
      <c r="M2123" s="133"/>
      <c r="N2123" s="72"/>
      <c r="O2123" s="224"/>
      <c r="P2123" s="219"/>
      <c r="Q2123" s="84"/>
      <c r="S2123" s="137"/>
      <c r="T2123" s="137"/>
    </row>
    <row r="2124" spans="1:22">
      <c r="A2124" s="71" t="s">
        <v>9884</v>
      </c>
      <c r="B2124" s="67" t="s">
        <v>9885</v>
      </c>
      <c r="C2124" s="71" t="s">
        <v>103</v>
      </c>
      <c r="D2124" s="78">
        <v>370.35</v>
      </c>
      <c r="E2124" s="663">
        <v>2</v>
      </c>
      <c r="H2124" s="179">
        <v>370.35</v>
      </c>
      <c r="J2124" s="294"/>
      <c r="K2124" s="295"/>
      <c r="L2124" s="72"/>
      <c r="M2124" s="133"/>
      <c r="N2124" s="72"/>
      <c r="O2124" s="224"/>
      <c r="P2124" s="219"/>
      <c r="Q2124" s="84"/>
      <c r="S2124" s="137"/>
      <c r="T2124" s="137"/>
    </row>
    <row r="2125" spans="1:22">
      <c r="A2125" s="71" t="s">
        <v>9886</v>
      </c>
      <c r="B2125" s="67" t="s">
        <v>9887</v>
      </c>
      <c r="C2125" s="71" t="s">
        <v>103</v>
      </c>
      <c r="D2125" s="78">
        <v>210.99</v>
      </c>
      <c r="E2125" s="663">
        <v>2</v>
      </c>
      <c r="H2125" s="179">
        <v>210.99</v>
      </c>
      <c r="J2125" s="294"/>
      <c r="K2125" s="295"/>
      <c r="L2125" s="72"/>
      <c r="M2125" s="133"/>
      <c r="N2125" s="72"/>
      <c r="O2125" s="224"/>
      <c r="P2125" s="219"/>
      <c r="Q2125" s="84"/>
      <c r="S2125" s="137"/>
      <c r="T2125" s="137"/>
    </row>
    <row r="2126" spans="1:22">
      <c r="A2126" s="71" t="s">
        <v>9888</v>
      </c>
      <c r="B2126" s="67" t="s">
        <v>9889</v>
      </c>
      <c r="C2126" s="71" t="s">
        <v>103</v>
      </c>
      <c r="D2126" s="78">
        <v>310.86</v>
      </c>
      <c r="E2126" s="663">
        <v>2</v>
      </c>
      <c r="H2126" s="179">
        <v>310.86</v>
      </c>
      <c r="J2126" s="294"/>
      <c r="K2126" s="295"/>
      <c r="L2126" s="72"/>
      <c r="M2126" s="133"/>
      <c r="N2126" s="72"/>
      <c r="O2126" s="224"/>
      <c r="P2126" s="219"/>
      <c r="Q2126" s="84"/>
      <c r="S2126" s="137"/>
      <c r="T2126" s="137"/>
      <c r="V2126" s="137"/>
    </row>
    <row r="2127" spans="1:22">
      <c r="A2127" s="71" t="s">
        <v>9890</v>
      </c>
      <c r="B2127" s="67" t="s">
        <v>9891</v>
      </c>
      <c r="C2127" s="71" t="s">
        <v>103</v>
      </c>
      <c r="D2127" s="78">
        <v>202.39</v>
      </c>
      <c r="E2127" s="663">
        <v>2</v>
      </c>
      <c r="H2127" s="178">
        <v>202.39</v>
      </c>
      <c r="J2127" s="294"/>
      <c r="K2127" s="295"/>
      <c r="L2127" s="72"/>
      <c r="M2127" s="133"/>
      <c r="N2127" s="72"/>
      <c r="O2127" s="224"/>
      <c r="P2127" s="219"/>
      <c r="Q2127" s="84"/>
      <c r="S2127" s="136"/>
      <c r="T2127" s="136"/>
      <c r="V2127" s="136"/>
    </row>
    <row r="2128" spans="1:22">
      <c r="A2128" s="71" t="s">
        <v>9892</v>
      </c>
      <c r="B2128" s="67" t="s">
        <v>9893</v>
      </c>
      <c r="C2128" s="71" t="s">
        <v>396</v>
      </c>
      <c r="D2128" s="78">
        <v>621.45000000000005</v>
      </c>
      <c r="E2128" s="663">
        <v>2</v>
      </c>
      <c r="H2128" s="178">
        <v>621.45000000000005</v>
      </c>
      <c r="J2128" s="294"/>
      <c r="K2128" s="295"/>
      <c r="L2128" s="72"/>
      <c r="M2128" s="133"/>
      <c r="N2128" s="72"/>
      <c r="O2128" s="224"/>
      <c r="P2128" s="219"/>
      <c r="Q2128" s="84"/>
      <c r="S2128" s="136"/>
      <c r="T2128" s="136"/>
      <c r="V2128" s="136"/>
    </row>
    <row r="2129" spans="1:22">
      <c r="A2129" s="71" t="s">
        <v>9894</v>
      </c>
      <c r="B2129" s="67" t="s">
        <v>9895</v>
      </c>
      <c r="C2129" s="71" t="s">
        <v>103</v>
      </c>
      <c r="D2129" s="78">
        <v>49.66</v>
      </c>
      <c r="E2129" s="663">
        <v>2</v>
      </c>
      <c r="H2129" s="178">
        <v>49.66</v>
      </c>
      <c r="J2129" s="294"/>
      <c r="K2129" s="295"/>
      <c r="L2129" s="72"/>
      <c r="M2129" s="133"/>
      <c r="N2129" s="72"/>
      <c r="O2129" s="224"/>
      <c r="P2129" s="219"/>
      <c r="Q2129" s="84"/>
      <c r="S2129" s="136"/>
      <c r="T2129" s="136"/>
    </row>
    <row r="2130" spans="1:22">
      <c r="A2130" s="71" t="s">
        <v>9896</v>
      </c>
      <c r="B2130" s="67" t="s">
        <v>9897</v>
      </c>
      <c r="C2130" s="71" t="s">
        <v>103</v>
      </c>
      <c r="D2130" s="78">
        <v>1445.2</v>
      </c>
      <c r="E2130" s="663">
        <v>2</v>
      </c>
      <c r="H2130" s="179">
        <v>1445.2</v>
      </c>
      <c r="J2130" s="294"/>
      <c r="K2130" s="295"/>
      <c r="L2130" s="72"/>
      <c r="M2130" s="133"/>
      <c r="N2130" s="72"/>
      <c r="O2130" s="224"/>
      <c r="P2130" s="219"/>
      <c r="Q2130" s="84"/>
      <c r="S2130" s="137"/>
      <c r="T2130" s="137"/>
      <c r="V2130" s="137"/>
    </row>
    <row r="2131" spans="1:22">
      <c r="A2131" s="71" t="s">
        <v>9898</v>
      </c>
      <c r="B2131" s="67" t="s">
        <v>9899</v>
      </c>
      <c r="C2131" s="71" t="s">
        <v>103</v>
      </c>
      <c r="D2131" s="78">
        <v>1655.67</v>
      </c>
      <c r="E2131" s="663">
        <v>2</v>
      </c>
      <c r="H2131" s="179">
        <v>1655.67</v>
      </c>
      <c r="J2131" s="294"/>
      <c r="K2131" s="295"/>
      <c r="L2131" s="72"/>
      <c r="M2131" s="133"/>
      <c r="N2131" s="72"/>
      <c r="O2131" s="224"/>
      <c r="P2131" s="219"/>
      <c r="Q2131" s="84"/>
      <c r="S2131" s="137"/>
      <c r="T2131" s="137"/>
      <c r="V2131" s="137"/>
    </row>
    <row r="2132" spans="1:22">
      <c r="A2132" s="71" t="s">
        <v>9900</v>
      </c>
      <c r="B2132" s="67" t="s">
        <v>9901</v>
      </c>
      <c r="C2132" s="71" t="s">
        <v>103</v>
      </c>
      <c r="D2132" s="78">
        <v>1688</v>
      </c>
      <c r="E2132" s="663">
        <v>2</v>
      </c>
      <c r="H2132" s="179">
        <v>1688</v>
      </c>
      <c r="J2132" s="294"/>
      <c r="K2132" s="295"/>
      <c r="L2132" s="72"/>
      <c r="M2132" s="133"/>
      <c r="N2132" s="72"/>
      <c r="O2132" s="224"/>
      <c r="P2132" s="219"/>
      <c r="Q2132" s="84"/>
      <c r="S2132" s="137"/>
      <c r="T2132" s="137"/>
      <c r="V2132" s="137"/>
    </row>
    <row r="2133" spans="1:22">
      <c r="A2133" s="71" t="s">
        <v>9902</v>
      </c>
      <c r="B2133" s="67" t="s">
        <v>9903</v>
      </c>
      <c r="C2133" s="71" t="s">
        <v>103</v>
      </c>
      <c r="D2133" s="78">
        <v>1533.92</v>
      </c>
      <c r="E2133" s="663">
        <v>2</v>
      </c>
      <c r="H2133" s="179">
        <v>1533.92</v>
      </c>
      <c r="J2133" s="294"/>
      <c r="K2133" s="295"/>
      <c r="L2133" s="72"/>
      <c r="M2133" s="133"/>
      <c r="N2133" s="72"/>
      <c r="O2133" s="224"/>
      <c r="P2133" s="219"/>
      <c r="Q2133" s="84"/>
      <c r="S2133" s="137"/>
      <c r="T2133" s="137"/>
      <c r="V2133" s="137"/>
    </row>
    <row r="2134" spans="1:22">
      <c r="A2134" s="71" t="s">
        <v>9904</v>
      </c>
      <c r="B2134" s="67" t="s">
        <v>9905</v>
      </c>
      <c r="C2134" s="71" t="s">
        <v>103</v>
      </c>
      <c r="D2134" s="78">
        <v>201668.27</v>
      </c>
      <c r="E2134" s="663">
        <v>2</v>
      </c>
      <c r="H2134" s="179">
        <v>201668.27</v>
      </c>
      <c r="J2134" s="294"/>
      <c r="K2134" s="295"/>
      <c r="L2134" s="72"/>
      <c r="M2134" s="133"/>
      <c r="N2134" s="72"/>
      <c r="O2134" s="224"/>
      <c r="P2134" s="219"/>
      <c r="Q2134" s="84"/>
      <c r="S2134" s="137"/>
      <c r="T2134" s="137"/>
      <c r="V2134" s="137"/>
    </row>
    <row r="2135" spans="1:22">
      <c r="A2135" s="71" t="s">
        <v>9906</v>
      </c>
      <c r="B2135" s="67" t="s">
        <v>9907</v>
      </c>
      <c r="C2135" s="71" t="s">
        <v>103</v>
      </c>
      <c r="D2135" s="78">
        <v>203033.33</v>
      </c>
      <c r="E2135" s="663">
        <v>2</v>
      </c>
      <c r="H2135" s="179">
        <v>203033.33</v>
      </c>
      <c r="J2135" s="294"/>
      <c r="K2135" s="295"/>
      <c r="L2135" s="72"/>
      <c r="M2135" s="133"/>
      <c r="N2135" s="72"/>
      <c r="O2135" s="224"/>
      <c r="P2135" s="219"/>
      <c r="Q2135" s="84"/>
      <c r="S2135" s="137"/>
      <c r="T2135" s="137"/>
      <c r="V2135" s="137"/>
    </row>
    <row r="2136" spans="1:22">
      <c r="A2136" s="71" t="s">
        <v>9908</v>
      </c>
      <c r="B2136" s="67" t="s">
        <v>9909</v>
      </c>
      <c r="C2136" s="71" t="s">
        <v>103</v>
      </c>
      <c r="D2136" s="78">
        <v>213633.33</v>
      </c>
      <c r="E2136" s="663">
        <v>2</v>
      </c>
      <c r="H2136" s="179">
        <v>213633.33</v>
      </c>
      <c r="J2136" s="294"/>
      <c r="K2136" s="295"/>
      <c r="L2136" s="72"/>
      <c r="M2136" s="133"/>
      <c r="N2136" s="72"/>
      <c r="O2136" s="224"/>
      <c r="P2136" s="219"/>
      <c r="Q2136" s="84"/>
      <c r="S2136" s="137"/>
      <c r="T2136" s="137"/>
      <c r="V2136" s="137"/>
    </row>
    <row r="2137" spans="1:22">
      <c r="A2137" s="71" t="s">
        <v>9910</v>
      </c>
      <c r="B2137" s="67" t="s">
        <v>9911</v>
      </c>
      <c r="C2137" s="71" t="s">
        <v>103</v>
      </c>
      <c r="D2137" s="78">
        <v>249100</v>
      </c>
      <c r="E2137" s="663">
        <v>2</v>
      </c>
      <c r="H2137" s="179">
        <v>249100</v>
      </c>
      <c r="J2137" s="294"/>
      <c r="K2137" s="295"/>
      <c r="L2137" s="72"/>
      <c r="M2137" s="133"/>
      <c r="N2137" s="72"/>
      <c r="O2137" s="224"/>
      <c r="P2137" s="219"/>
      <c r="Q2137" s="84"/>
      <c r="S2137" s="137"/>
      <c r="T2137" s="137"/>
      <c r="V2137" s="137"/>
    </row>
    <row r="2138" spans="1:22">
      <c r="A2138" s="71" t="s">
        <v>9912</v>
      </c>
      <c r="B2138" s="67" t="s">
        <v>9913</v>
      </c>
      <c r="C2138" s="71" t="s">
        <v>103</v>
      </c>
      <c r="D2138" s="78">
        <v>224200</v>
      </c>
      <c r="E2138" s="663">
        <v>2</v>
      </c>
      <c r="H2138" s="179">
        <v>224200</v>
      </c>
      <c r="J2138" s="294"/>
      <c r="K2138" s="295"/>
      <c r="L2138" s="72"/>
      <c r="M2138" s="133"/>
      <c r="N2138" s="72"/>
      <c r="O2138" s="224"/>
      <c r="P2138" s="219"/>
      <c r="Q2138" s="84"/>
      <c r="S2138" s="137"/>
      <c r="T2138" s="137"/>
      <c r="V2138" s="137"/>
    </row>
    <row r="2139" spans="1:22">
      <c r="A2139" s="71" t="s">
        <v>9914</v>
      </c>
      <c r="B2139" s="67" t="s">
        <v>9915</v>
      </c>
      <c r="C2139" s="71" t="s">
        <v>103</v>
      </c>
      <c r="D2139" s="78">
        <v>230553.53</v>
      </c>
      <c r="E2139" s="663">
        <v>2</v>
      </c>
      <c r="H2139" s="179">
        <v>230553.53</v>
      </c>
      <c r="J2139" s="294"/>
      <c r="K2139" s="295"/>
      <c r="L2139" s="72"/>
      <c r="M2139" s="133"/>
      <c r="N2139" s="72"/>
      <c r="O2139" s="224"/>
      <c r="P2139" s="219"/>
      <c r="Q2139" s="84"/>
      <c r="S2139" s="137"/>
      <c r="T2139" s="137"/>
      <c r="V2139" s="137"/>
    </row>
    <row r="2140" spans="1:22">
      <c r="A2140" s="71" t="s">
        <v>9916</v>
      </c>
      <c r="B2140" s="67" t="s">
        <v>9917</v>
      </c>
      <c r="C2140" s="71" t="s">
        <v>103</v>
      </c>
      <c r="D2140" s="78">
        <v>244829.05</v>
      </c>
      <c r="E2140" s="663">
        <v>2</v>
      </c>
      <c r="H2140" s="179">
        <v>244829.05</v>
      </c>
      <c r="J2140" s="294"/>
      <c r="K2140" s="295"/>
      <c r="L2140" s="72"/>
      <c r="M2140" s="133"/>
      <c r="N2140" s="72"/>
      <c r="O2140" s="224"/>
      <c r="P2140" s="219"/>
      <c r="Q2140" s="84"/>
      <c r="S2140" s="137"/>
      <c r="T2140" s="137"/>
      <c r="V2140" s="137"/>
    </row>
    <row r="2141" spans="1:22">
      <c r="A2141" s="71" t="s">
        <v>9918</v>
      </c>
      <c r="B2141" s="67" t="s">
        <v>9919</v>
      </c>
      <c r="C2141" s="71" t="s">
        <v>103</v>
      </c>
      <c r="D2141" s="78">
        <v>2726.64</v>
      </c>
      <c r="E2141" s="663">
        <v>3</v>
      </c>
      <c r="H2141" s="179">
        <v>2726.64</v>
      </c>
      <c r="J2141" s="294"/>
      <c r="K2141" s="295"/>
      <c r="L2141" s="72"/>
      <c r="M2141" s="133"/>
      <c r="N2141" s="72"/>
      <c r="O2141" s="139"/>
      <c r="P2141" s="219"/>
      <c r="Q2141" s="84"/>
      <c r="S2141" s="137"/>
      <c r="T2141" s="137"/>
      <c r="V2141" s="137"/>
    </row>
    <row r="2142" spans="1:22">
      <c r="A2142" s="71" t="s">
        <v>9920</v>
      </c>
      <c r="B2142" s="67" t="s">
        <v>9921</v>
      </c>
      <c r="C2142" s="71" t="s">
        <v>396</v>
      </c>
      <c r="D2142" s="78">
        <v>1540.48</v>
      </c>
      <c r="E2142" s="663">
        <v>3</v>
      </c>
      <c r="H2142" s="179">
        <v>1540.48</v>
      </c>
      <c r="J2142" s="294"/>
      <c r="K2142" s="295"/>
      <c r="L2142" s="72"/>
      <c r="M2142" s="133"/>
      <c r="N2142" s="72"/>
      <c r="O2142" s="139"/>
      <c r="P2142" s="219"/>
      <c r="Q2142" s="84"/>
      <c r="S2142" s="137"/>
      <c r="T2142" s="137"/>
      <c r="V2142" s="137"/>
    </row>
    <row r="2143" spans="1:22">
      <c r="A2143" s="71" t="s">
        <v>9922</v>
      </c>
      <c r="B2143" s="67" t="s">
        <v>9923</v>
      </c>
      <c r="C2143" s="71" t="s">
        <v>396</v>
      </c>
      <c r="D2143" s="78">
        <v>1735.22</v>
      </c>
      <c r="E2143" s="663">
        <v>3</v>
      </c>
      <c r="H2143" s="179">
        <v>1735.22</v>
      </c>
      <c r="J2143" s="294"/>
      <c r="K2143" s="295"/>
      <c r="L2143" s="72"/>
      <c r="M2143" s="133"/>
      <c r="N2143" s="72"/>
      <c r="O2143" s="139"/>
      <c r="P2143" s="219"/>
      <c r="Q2143" s="84"/>
      <c r="S2143" s="137"/>
      <c r="T2143" s="137"/>
      <c r="V2143" s="137"/>
    </row>
    <row r="2144" spans="1:22">
      <c r="A2144" s="71" t="s">
        <v>9924</v>
      </c>
      <c r="B2144" s="67" t="s">
        <v>9925</v>
      </c>
      <c r="C2144" s="71" t="s">
        <v>396</v>
      </c>
      <c r="D2144" s="78">
        <v>1977.8</v>
      </c>
      <c r="E2144" s="663">
        <v>3</v>
      </c>
      <c r="H2144" s="179">
        <v>1977.8</v>
      </c>
      <c r="J2144" s="294"/>
      <c r="K2144" s="295"/>
      <c r="L2144" s="72"/>
      <c r="M2144" s="133"/>
      <c r="N2144" s="72"/>
      <c r="O2144" s="139"/>
      <c r="P2144" s="219"/>
      <c r="Q2144" s="84"/>
      <c r="S2144" s="137"/>
      <c r="T2144" s="137"/>
      <c r="V2144" s="137"/>
    </row>
    <row r="2145" spans="1:22">
      <c r="A2145" s="71" t="s">
        <v>9926</v>
      </c>
      <c r="B2145" s="67" t="s">
        <v>9927</v>
      </c>
      <c r="C2145" s="71" t="s">
        <v>396</v>
      </c>
      <c r="D2145" s="78">
        <v>3874.15</v>
      </c>
      <c r="E2145" s="663">
        <v>3</v>
      </c>
      <c r="H2145" s="179">
        <v>3874.15</v>
      </c>
      <c r="J2145" s="294"/>
      <c r="K2145" s="295"/>
      <c r="L2145" s="72"/>
      <c r="M2145" s="133"/>
      <c r="N2145" s="72"/>
      <c r="O2145" s="139"/>
      <c r="P2145" s="219"/>
      <c r="Q2145" s="84"/>
      <c r="S2145" s="137"/>
      <c r="T2145" s="137"/>
      <c r="V2145" s="137"/>
    </row>
    <row r="2146" spans="1:22">
      <c r="A2146" s="71" t="s">
        <v>9928</v>
      </c>
      <c r="B2146" s="67" t="s">
        <v>9929</v>
      </c>
      <c r="C2146" s="71" t="s">
        <v>396</v>
      </c>
      <c r="D2146" s="78">
        <v>4163.21</v>
      </c>
      <c r="E2146" s="663">
        <v>3</v>
      </c>
      <c r="H2146" s="179">
        <v>4163.21</v>
      </c>
      <c r="J2146" s="294"/>
      <c r="K2146" s="295"/>
      <c r="L2146" s="72"/>
      <c r="M2146" s="133"/>
      <c r="N2146" s="72"/>
      <c r="O2146" s="139"/>
      <c r="P2146" s="219"/>
      <c r="Q2146" s="84"/>
      <c r="S2146" s="137"/>
      <c r="T2146" s="137"/>
      <c r="V2146" s="137"/>
    </row>
    <row r="2147" spans="1:22">
      <c r="A2147" s="71" t="s">
        <v>9930</v>
      </c>
      <c r="B2147" s="67" t="s">
        <v>9931</v>
      </c>
      <c r="C2147" s="71" t="s">
        <v>396</v>
      </c>
      <c r="D2147" s="78">
        <v>4510.41</v>
      </c>
      <c r="E2147" s="663">
        <v>3</v>
      </c>
      <c r="H2147" s="179">
        <v>4510.41</v>
      </c>
      <c r="J2147" s="294"/>
      <c r="K2147" s="295"/>
      <c r="L2147" s="72"/>
      <c r="M2147" s="133"/>
      <c r="N2147" s="72"/>
      <c r="O2147" s="139"/>
      <c r="P2147" s="219"/>
      <c r="Q2147" s="84"/>
      <c r="S2147" s="137"/>
      <c r="T2147" s="137"/>
      <c r="V2147" s="137"/>
    </row>
    <row r="2148" spans="1:22">
      <c r="A2148" s="71" t="s">
        <v>9932</v>
      </c>
      <c r="B2148" s="67" t="s">
        <v>9933</v>
      </c>
      <c r="C2148" s="71" t="s">
        <v>396</v>
      </c>
      <c r="D2148" s="78">
        <v>5377.98</v>
      </c>
      <c r="E2148" s="663">
        <v>3</v>
      </c>
      <c r="H2148" s="179">
        <v>5377.98</v>
      </c>
      <c r="J2148" s="294"/>
      <c r="K2148" s="295"/>
      <c r="L2148" s="72"/>
      <c r="M2148" s="133"/>
      <c r="N2148" s="72"/>
      <c r="O2148" s="139"/>
      <c r="P2148" s="219"/>
      <c r="Q2148" s="84"/>
      <c r="S2148" s="137"/>
      <c r="T2148" s="137"/>
      <c r="V2148" s="137"/>
    </row>
    <row r="2149" spans="1:22">
      <c r="A2149" s="71" t="s">
        <v>9934</v>
      </c>
      <c r="B2149" s="67" t="s">
        <v>9935</v>
      </c>
      <c r="C2149" s="71" t="s">
        <v>396</v>
      </c>
      <c r="D2149" s="78">
        <v>6646.35</v>
      </c>
      <c r="E2149" s="663">
        <v>3</v>
      </c>
      <c r="H2149" s="179">
        <v>6646.35</v>
      </c>
      <c r="J2149" s="294"/>
      <c r="K2149" s="295"/>
      <c r="L2149" s="72"/>
      <c r="M2149" s="133"/>
      <c r="N2149" s="72"/>
      <c r="O2149" s="139"/>
      <c r="P2149" s="219"/>
      <c r="Q2149" s="84"/>
      <c r="S2149" s="137"/>
      <c r="T2149" s="137"/>
      <c r="V2149" s="137"/>
    </row>
    <row r="2150" spans="1:22">
      <c r="A2150" s="71" t="s">
        <v>9936</v>
      </c>
      <c r="B2150" s="67" t="s">
        <v>9937</v>
      </c>
      <c r="C2150" s="71" t="s">
        <v>396</v>
      </c>
      <c r="D2150" s="78">
        <v>2365.62</v>
      </c>
      <c r="E2150" s="663">
        <v>3</v>
      </c>
      <c r="H2150" s="179">
        <v>2365.62</v>
      </c>
      <c r="J2150" s="294"/>
      <c r="K2150" s="295"/>
      <c r="L2150" s="72"/>
      <c r="M2150" s="133"/>
      <c r="N2150" s="72"/>
      <c r="O2150" s="139"/>
      <c r="P2150" s="219"/>
      <c r="Q2150" s="84"/>
      <c r="S2150" s="137"/>
      <c r="T2150" s="137"/>
      <c r="V2150" s="137"/>
    </row>
    <row r="2151" spans="1:22">
      <c r="A2151" s="71" t="s">
        <v>9938</v>
      </c>
      <c r="B2151" s="67" t="s">
        <v>9939</v>
      </c>
      <c r="C2151" s="71" t="s">
        <v>103</v>
      </c>
      <c r="D2151" s="78">
        <v>3579.56</v>
      </c>
      <c r="E2151" s="663">
        <v>3</v>
      </c>
      <c r="H2151" s="178">
        <v>3579.56</v>
      </c>
      <c r="J2151" s="294"/>
      <c r="K2151" s="295"/>
      <c r="L2151" s="72"/>
      <c r="M2151" s="133"/>
      <c r="N2151" s="72"/>
      <c r="O2151" s="139"/>
      <c r="P2151" s="219"/>
      <c r="Q2151" s="84"/>
      <c r="S2151" s="136"/>
      <c r="T2151" s="136"/>
      <c r="V2151" s="136"/>
    </row>
    <row r="2152" spans="1:22">
      <c r="A2152" s="71" t="s">
        <v>9940</v>
      </c>
      <c r="B2152" s="67" t="s">
        <v>9941</v>
      </c>
      <c r="C2152" s="71" t="s">
        <v>103</v>
      </c>
      <c r="D2152" s="78">
        <v>4066.51</v>
      </c>
      <c r="E2152" s="663">
        <v>3</v>
      </c>
      <c r="H2152" s="178">
        <v>4066.51</v>
      </c>
      <c r="J2152" s="294"/>
      <c r="K2152" s="295"/>
      <c r="L2152" s="72"/>
      <c r="M2152" s="133"/>
      <c r="N2152" s="72"/>
      <c r="O2152" s="139"/>
      <c r="P2152" s="219"/>
      <c r="Q2152" s="84"/>
      <c r="S2152" s="136"/>
      <c r="T2152" s="136"/>
      <c r="V2152" s="136"/>
    </row>
    <row r="2153" spans="1:22">
      <c r="A2153" s="71" t="s">
        <v>9942</v>
      </c>
      <c r="B2153" s="67" t="s">
        <v>9943</v>
      </c>
      <c r="C2153" s="71" t="s">
        <v>103</v>
      </c>
      <c r="D2153" s="78">
        <v>4043.04</v>
      </c>
      <c r="E2153" s="663">
        <v>3</v>
      </c>
      <c r="H2153" s="178">
        <v>4043.04</v>
      </c>
      <c r="J2153" s="294"/>
      <c r="K2153" s="295"/>
      <c r="L2153" s="72"/>
      <c r="M2153" s="133"/>
      <c r="N2153" s="72"/>
      <c r="O2153" s="139"/>
      <c r="P2153" s="219"/>
      <c r="Q2153" s="84"/>
      <c r="S2153" s="136"/>
      <c r="T2153" s="136"/>
      <c r="V2153" s="136"/>
    </row>
    <row r="2154" spans="1:22">
      <c r="A2154" s="71" t="s">
        <v>9944</v>
      </c>
      <c r="B2154" s="67" t="s">
        <v>9945</v>
      </c>
      <c r="C2154" s="71" t="s">
        <v>103</v>
      </c>
      <c r="D2154" s="78">
        <v>4885.7700000000004</v>
      </c>
      <c r="E2154" s="663">
        <v>3</v>
      </c>
      <c r="H2154" s="178">
        <v>4885.7700000000004</v>
      </c>
      <c r="J2154" s="294"/>
      <c r="K2154" s="295"/>
      <c r="L2154" s="72"/>
      <c r="M2154" s="133"/>
      <c r="N2154" s="72"/>
      <c r="O2154" s="139"/>
      <c r="P2154" s="219"/>
      <c r="Q2154" s="84"/>
      <c r="S2154" s="136"/>
      <c r="T2154" s="136"/>
      <c r="V2154" s="136"/>
    </row>
    <row r="2155" spans="1:22">
      <c r="A2155" s="71" t="s">
        <v>9946</v>
      </c>
      <c r="B2155" s="67" t="s">
        <v>9947</v>
      </c>
      <c r="C2155" s="71" t="s">
        <v>103</v>
      </c>
      <c r="D2155" s="78">
        <v>5156.5600000000004</v>
      </c>
      <c r="E2155" s="663">
        <v>3</v>
      </c>
      <c r="H2155" s="178">
        <v>5156.5600000000004</v>
      </c>
      <c r="J2155" s="294"/>
      <c r="K2155" s="295"/>
      <c r="L2155" s="72"/>
      <c r="M2155" s="133"/>
      <c r="N2155" s="72"/>
      <c r="O2155" s="139"/>
      <c r="P2155" s="219"/>
      <c r="Q2155" s="84"/>
      <c r="S2155" s="136"/>
      <c r="T2155" s="136"/>
      <c r="V2155" s="136"/>
    </row>
    <row r="2156" spans="1:22">
      <c r="A2156" s="71" t="s">
        <v>9948</v>
      </c>
      <c r="B2156" s="67" t="s">
        <v>9949</v>
      </c>
      <c r="C2156" s="71" t="s">
        <v>396</v>
      </c>
      <c r="D2156" s="78">
        <v>2295.35</v>
      </c>
      <c r="E2156" s="663">
        <v>3</v>
      </c>
      <c r="H2156" s="179">
        <v>2295.35</v>
      </c>
      <c r="J2156" s="294"/>
      <c r="K2156" s="295"/>
      <c r="L2156" s="72"/>
      <c r="M2156" s="133"/>
      <c r="N2156" s="72"/>
      <c r="O2156" s="139"/>
      <c r="P2156" s="219"/>
      <c r="Q2156" s="84"/>
      <c r="S2156" s="137"/>
      <c r="T2156" s="137"/>
      <c r="V2156" s="137"/>
    </row>
    <row r="2157" spans="1:22">
      <c r="A2157" s="71" t="s">
        <v>9950</v>
      </c>
      <c r="B2157" s="67" t="s">
        <v>9951</v>
      </c>
      <c r="C2157" s="71" t="s">
        <v>396</v>
      </c>
      <c r="D2157" s="78">
        <v>2606.88</v>
      </c>
      <c r="E2157" s="663">
        <v>3</v>
      </c>
      <c r="H2157" s="179">
        <v>2606.88</v>
      </c>
      <c r="J2157" s="294"/>
      <c r="K2157" s="295"/>
      <c r="L2157" s="72"/>
      <c r="M2157" s="133"/>
      <c r="N2157" s="72"/>
      <c r="O2157" s="139"/>
      <c r="P2157" s="219"/>
      <c r="Q2157" s="84"/>
      <c r="S2157" s="137"/>
      <c r="T2157" s="137"/>
      <c r="V2157" s="137"/>
    </row>
    <row r="2158" spans="1:22">
      <c r="A2158" s="71" t="s">
        <v>9952</v>
      </c>
      <c r="B2158" s="67" t="s">
        <v>9953</v>
      </c>
      <c r="C2158" s="71" t="s">
        <v>396</v>
      </c>
      <c r="D2158" s="78">
        <v>9555.89</v>
      </c>
      <c r="E2158" s="663">
        <v>3</v>
      </c>
      <c r="H2158" s="179">
        <v>9555.89</v>
      </c>
      <c r="J2158" s="294"/>
      <c r="K2158" s="295"/>
      <c r="L2158" s="72"/>
      <c r="M2158" s="133"/>
      <c r="N2158" s="72"/>
      <c r="O2158" s="139"/>
      <c r="P2158" s="219"/>
      <c r="Q2158" s="84"/>
      <c r="S2158" s="137"/>
      <c r="T2158" s="137"/>
      <c r="V2158" s="137"/>
    </row>
    <row r="2159" spans="1:22">
      <c r="A2159" s="71" t="s">
        <v>9954</v>
      </c>
      <c r="B2159" s="67" t="s">
        <v>9955</v>
      </c>
      <c r="C2159" s="71" t="s">
        <v>396</v>
      </c>
      <c r="D2159" s="78">
        <v>3584.66</v>
      </c>
      <c r="E2159" s="663">
        <v>3</v>
      </c>
      <c r="H2159" s="179">
        <v>3584.66</v>
      </c>
      <c r="J2159" s="294"/>
      <c r="K2159" s="295"/>
      <c r="L2159" s="72"/>
      <c r="M2159" s="133"/>
      <c r="N2159" s="72"/>
      <c r="O2159" s="139"/>
      <c r="P2159" s="219"/>
      <c r="Q2159" s="84"/>
      <c r="S2159" s="137"/>
      <c r="T2159" s="137"/>
      <c r="V2159" s="137"/>
    </row>
    <row r="2160" spans="1:22">
      <c r="A2160" s="71" t="s">
        <v>9956</v>
      </c>
      <c r="B2160" s="67" t="s">
        <v>9957</v>
      </c>
      <c r="C2160" s="71" t="s">
        <v>103</v>
      </c>
      <c r="D2160" s="78">
        <v>1021.9</v>
      </c>
      <c r="E2160" s="663">
        <v>3</v>
      </c>
      <c r="H2160" s="179">
        <v>1021.9</v>
      </c>
      <c r="J2160" s="294"/>
      <c r="K2160" s="295"/>
      <c r="L2160" s="72"/>
      <c r="M2160" s="133"/>
      <c r="N2160" s="72"/>
      <c r="O2160" s="139"/>
      <c r="P2160" s="219"/>
      <c r="Q2160" s="84"/>
      <c r="S2160" s="137"/>
      <c r="T2160" s="137"/>
      <c r="V2160" s="137"/>
    </row>
    <row r="2161" spans="1:22">
      <c r="A2161" s="71" t="s">
        <v>9958</v>
      </c>
      <c r="B2161" s="67" t="s">
        <v>9959</v>
      </c>
      <c r="C2161" s="71" t="s">
        <v>103</v>
      </c>
      <c r="D2161" s="78">
        <v>1192.1500000000001</v>
      </c>
      <c r="E2161" s="663">
        <v>3</v>
      </c>
      <c r="H2161" s="179">
        <v>1192.1500000000001</v>
      </c>
      <c r="J2161" s="294"/>
      <c r="K2161" s="295"/>
      <c r="L2161" s="72"/>
      <c r="M2161" s="133"/>
      <c r="N2161" s="72"/>
      <c r="O2161" s="139"/>
      <c r="P2161" s="219"/>
      <c r="Q2161" s="84"/>
      <c r="S2161" s="137"/>
      <c r="T2161" s="137"/>
      <c r="V2161" s="137"/>
    </row>
    <row r="2162" spans="1:22">
      <c r="A2162" s="71" t="s">
        <v>9960</v>
      </c>
      <c r="B2162" s="67" t="s">
        <v>9961</v>
      </c>
      <c r="C2162" s="71" t="s">
        <v>103</v>
      </c>
      <c r="D2162" s="78">
        <v>1332.57</v>
      </c>
      <c r="E2162" s="663">
        <v>3</v>
      </c>
      <c r="H2162" s="179">
        <v>1332.57</v>
      </c>
      <c r="J2162" s="294"/>
      <c r="K2162" s="295"/>
      <c r="L2162" s="72"/>
      <c r="M2162" s="133"/>
      <c r="N2162" s="72"/>
      <c r="O2162" s="139"/>
      <c r="P2162" s="219"/>
      <c r="Q2162" s="84"/>
      <c r="S2162" s="137"/>
      <c r="T2162" s="137"/>
      <c r="V2162" s="145"/>
    </row>
    <row r="2163" spans="1:22">
      <c r="A2163" s="71" t="s">
        <v>9962</v>
      </c>
      <c r="B2163" s="67" t="s">
        <v>9963</v>
      </c>
      <c r="C2163" s="71" t="s">
        <v>103</v>
      </c>
      <c r="D2163" s="78">
        <v>1213.1600000000001</v>
      </c>
      <c r="E2163" s="663">
        <v>3</v>
      </c>
      <c r="H2163" s="179">
        <v>1213.1600000000001</v>
      </c>
      <c r="J2163" s="294"/>
      <c r="K2163" s="295"/>
      <c r="L2163" s="72"/>
      <c r="M2163" s="133"/>
      <c r="N2163" s="72"/>
      <c r="O2163" s="139"/>
      <c r="P2163" s="219"/>
      <c r="Q2163" s="84"/>
      <c r="S2163" s="137"/>
      <c r="T2163" s="137"/>
      <c r="V2163" s="137"/>
    </row>
    <row r="2164" spans="1:22">
      <c r="A2164" s="71" t="s">
        <v>9964</v>
      </c>
      <c r="B2164" s="67" t="s">
        <v>9965</v>
      </c>
      <c r="C2164" s="71" t="s">
        <v>103</v>
      </c>
      <c r="D2164" s="78">
        <v>1468.43</v>
      </c>
      <c r="E2164" s="663">
        <v>3</v>
      </c>
      <c r="H2164" s="179">
        <v>1468.43</v>
      </c>
      <c r="J2164" s="294"/>
      <c r="K2164" s="295"/>
      <c r="L2164" s="72"/>
      <c r="M2164" s="133"/>
      <c r="N2164" s="72"/>
      <c r="O2164" s="139"/>
      <c r="P2164" s="219"/>
      <c r="Q2164" s="84"/>
      <c r="S2164" s="137"/>
      <c r="T2164" s="137"/>
      <c r="V2164" s="137"/>
    </row>
    <row r="2165" spans="1:22">
      <c r="A2165" s="71" t="s">
        <v>9966</v>
      </c>
      <c r="B2165" s="67" t="s">
        <v>9967</v>
      </c>
      <c r="C2165" s="71" t="s">
        <v>103</v>
      </c>
      <c r="D2165" s="78">
        <v>3533.64</v>
      </c>
      <c r="E2165" s="663">
        <v>3</v>
      </c>
      <c r="H2165" s="179">
        <v>3533.64</v>
      </c>
      <c r="J2165" s="294"/>
      <c r="K2165" s="295"/>
      <c r="L2165" s="72"/>
      <c r="M2165" s="133"/>
      <c r="N2165" s="72"/>
      <c r="O2165" s="139"/>
      <c r="P2165" s="219"/>
      <c r="Q2165" s="84"/>
      <c r="S2165" s="137"/>
      <c r="T2165" s="137"/>
      <c r="V2165" s="137"/>
    </row>
    <row r="2166" spans="1:22">
      <c r="A2166" s="71" t="s">
        <v>9968</v>
      </c>
      <c r="B2166" s="67" t="s">
        <v>9969</v>
      </c>
      <c r="C2166" s="71" t="s">
        <v>103</v>
      </c>
      <c r="D2166" s="78">
        <v>521.04</v>
      </c>
      <c r="E2166" s="663">
        <v>2</v>
      </c>
      <c r="H2166" s="179">
        <v>521.04</v>
      </c>
      <c r="J2166" s="294"/>
      <c r="K2166" s="295"/>
      <c r="L2166" s="72"/>
      <c r="M2166" s="133"/>
      <c r="N2166" s="72"/>
      <c r="O2166" s="224"/>
      <c r="P2166" s="219"/>
      <c r="Q2166" s="84"/>
      <c r="S2166" s="137"/>
      <c r="T2166" s="137"/>
      <c r="V2166" s="137"/>
    </row>
    <row r="2167" spans="1:22">
      <c r="A2167" s="71" t="s">
        <v>9970</v>
      </c>
      <c r="B2167" s="67" t="s">
        <v>9971</v>
      </c>
      <c r="C2167" s="71" t="s">
        <v>103</v>
      </c>
      <c r="D2167" s="78">
        <v>2915.34</v>
      </c>
      <c r="E2167" s="663">
        <v>2</v>
      </c>
      <c r="H2167" s="179">
        <v>2915.34</v>
      </c>
      <c r="J2167" s="294"/>
      <c r="K2167" s="295"/>
      <c r="L2167" s="72"/>
      <c r="M2167" s="133"/>
      <c r="N2167" s="72"/>
      <c r="O2167" s="224"/>
      <c r="P2167" s="219"/>
      <c r="Q2167" s="84"/>
      <c r="S2167" s="137"/>
      <c r="T2167" s="137"/>
    </row>
    <row r="2168" spans="1:22">
      <c r="A2168" s="212" t="s">
        <v>9972</v>
      </c>
      <c r="B2168" s="216" t="s">
        <v>9973</v>
      </c>
      <c r="C2168" s="212" t="s">
        <v>207</v>
      </c>
      <c r="D2168" s="78">
        <v>48.45</v>
      </c>
      <c r="E2168" s="663">
        <v>2</v>
      </c>
      <c r="H2168" s="178">
        <v>48.45</v>
      </c>
      <c r="J2168" s="294"/>
      <c r="K2168" s="295"/>
      <c r="L2168" s="298"/>
      <c r="M2168" s="299"/>
      <c r="N2168" s="298"/>
      <c r="O2168" s="224"/>
      <c r="P2168" s="219"/>
      <c r="Q2168" s="84"/>
      <c r="S2168" s="136"/>
      <c r="T2168" s="136"/>
      <c r="V2168" s="136"/>
    </row>
    <row r="2169" spans="1:22">
      <c r="A2169" s="71" t="s">
        <v>9974</v>
      </c>
      <c r="B2169" s="67" t="s">
        <v>9975</v>
      </c>
      <c r="C2169" s="71" t="s">
        <v>103</v>
      </c>
      <c r="D2169" s="78">
        <v>39053.370000000003</v>
      </c>
      <c r="E2169" s="663">
        <v>2</v>
      </c>
      <c r="H2169" s="179">
        <v>39053.370000000003</v>
      </c>
      <c r="J2169" s="294"/>
      <c r="K2169" s="295"/>
      <c r="L2169" s="72"/>
      <c r="M2169" s="133"/>
      <c r="N2169" s="72"/>
      <c r="O2169" s="224"/>
      <c r="P2169" s="219"/>
      <c r="Q2169" s="84"/>
      <c r="S2169" s="137"/>
      <c r="T2169" s="137"/>
      <c r="V2169" s="137"/>
    </row>
    <row r="2170" spans="1:22">
      <c r="A2170" s="71" t="s">
        <v>9976</v>
      </c>
      <c r="B2170" s="312" t="s">
        <v>9977</v>
      </c>
      <c r="C2170" s="306" t="s">
        <v>103</v>
      </c>
      <c r="D2170" s="78">
        <v>93803.35</v>
      </c>
      <c r="E2170" s="663">
        <v>2</v>
      </c>
      <c r="H2170" s="308">
        <v>93803.35</v>
      </c>
      <c r="T2170" s="84"/>
    </row>
    <row r="2171" spans="1:22">
      <c r="A2171" s="71" t="s">
        <v>9978</v>
      </c>
      <c r="B2171" s="67" t="s">
        <v>9979</v>
      </c>
      <c r="C2171" s="71" t="s">
        <v>103</v>
      </c>
      <c r="D2171" s="78">
        <v>589.89</v>
      </c>
      <c r="E2171" s="663">
        <v>2</v>
      </c>
      <c r="H2171" s="179">
        <v>589.89</v>
      </c>
      <c r="J2171" s="294"/>
      <c r="K2171" s="295"/>
      <c r="L2171" s="72"/>
      <c r="M2171" s="133"/>
      <c r="N2171" s="72"/>
      <c r="O2171" s="224"/>
      <c r="P2171" s="219"/>
      <c r="Q2171" s="84"/>
      <c r="S2171" s="137"/>
      <c r="T2171" s="137"/>
      <c r="V2171" s="137"/>
    </row>
    <row r="2172" spans="1:22">
      <c r="A2172" s="71" t="s">
        <v>9980</v>
      </c>
      <c r="B2172" s="67" t="s">
        <v>9981</v>
      </c>
      <c r="C2172" s="71" t="s">
        <v>103</v>
      </c>
      <c r="D2172" s="78">
        <v>365.86</v>
      </c>
      <c r="E2172" s="663">
        <v>2</v>
      </c>
      <c r="H2172" s="721">
        <v>365.86</v>
      </c>
      <c r="J2172" s="294"/>
      <c r="K2172" s="295"/>
      <c r="M2172" s="72"/>
      <c r="N2172" s="133"/>
      <c r="O2172" s="72"/>
      <c r="P2172" s="224"/>
      <c r="Q2172" s="219"/>
      <c r="T2172" s="136"/>
      <c r="V2172" s="136"/>
    </row>
    <row r="2173" spans="1:22">
      <c r="A2173" s="71" t="s">
        <v>9982</v>
      </c>
      <c r="B2173" s="67" t="s">
        <v>9983</v>
      </c>
      <c r="C2173" s="71" t="s">
        <v>103</v>
      </c>
      <c r="D2173" s="78">
        <v>92.36</v>
      </c>
      <c r="E2173" s="663">
        <v>2</v>
      </c>
      <c r="H2173" s="732">
        <v>92.36</v>
      </c>
      <c r="J2173" s="294"/>
      <c r="K2173" s="295"/>
      <c r="M2173" s="72"/>
      <c r="N2173" s="133"/>
      <c r="O2173" s="72"/>
      <c r="P2173" s="224"/>
      <c r="Q2173" s="219"/>
      <c r="T2173" s="137"/>
      <c r="V2173" s="137"/>
    </row>
    <row r="2174" spans="1:22">
      <c r="A2174" s="71" t="s">
        <v>9984</v>
      </c>
      <c r="B2174" s="67" t="s">
        <v>9985</v>
      </c>
      <c r="C2174" s="71" t="s">
        <v>103</v>
      </c>
      <c r="D2174" s="78">
        <v>147.63999999999999</v>
      </c>
      <c r="E2174" s="663">
        <v>2</v>
      </c>
      <c r="H2174" s="179">
        <v>147.63999999999999</v>
      </c>
      <c r="J2174" s="294"/>
      <c r="K2174" s="295"/>
      <c r="L2174" s="72"/>
      <c r="M2174" s="133"/>
      <c r="N2174" s="72"/>
      <c r="O2174" s="224"/>
      <c r="P2174" s="219"/>
      <c r="Q2174" s="84"/>
      <c r="S2174" s="137"/>
      <c r="T2174" s="137"/>
      <c r="V2174" s="137"/>
    </row>
    <row r="2175" spans="1:22">
      <c r="A2175" s="71" t="s">
        <v>9986</v>
      </c>
      <c r="B2175" s="67" t="s">
        <v>9987</v>
      </c>
      <c r="C2175" s="71" t="s">
        <v>103</v>
      </c>
      <c r="D2175" s="78">
        <v>185.96</v>
      </c>
      <c r="E2175" s="663">
        <v>2</v>
      </c>
      <c r="H2175" s="179">
        <v>185.96</v>
      </c>
      <c r="J2175" s="294"/>
      <c r="K2175" s="295"/>
      <c r="L2175" s="72"/>
      <c r="M2175" s="133"/>
      <c r="N2175" s="72"/>
      <c r="O2175" s="224"/>
      <c r="P2175" s="219"/>
      <c r="Q2175" s="84"/>
      <c r="S2175" s="137"/>
      <c r="T2175" s="137"/>
      <c r="V2175" s="137"/>
    </row>
    <row r="2176" spans="1:22">
      <c r="A2176" s="71" t="s">
        <v>9988</v>
      </c>
      <c r="B2176" s="67" t="s">
        <v>9989</v>
      </c>
      <c r="C2176" s="71" t="s">
        <v>103</v>
      </c>
      <c r="D2176" s="78">
        <v>251.42</v>
      </c>
      <c r="E2176" s="663">
        <v>2</v>
      </c>
      <c r="H2176" s="179">
        <v>251.42</v>
      </c>
      <c r="J2176" s="294"/>
      <c r="K2176" s="295"/>
      <c r="L2176" s="72"/>
      <c r="M2176" s="133"/>
      <c r="N2176" s="72"/>
      <c r="O2176" s="224"/>
      <c r="P2176" s="219"/>
      <c r="Q2176" s="84"/>
      <c r="S2176" s="137"/>
      <c r="T2176" s="137"/>
      <c r="V2176" s="137"/>
    </row>
    <row r="2177" spans="1:22">
      <c r="A2177" s="71" t="s">
        <v>9990</v>
      </c>
      <c r="B2177" s="67" t="s">
        <v>9991</v>
      </c>
      <c r="C2177" s="71" t="s">
        <v>103</v>
      </c>
      <c r="D2177" s="78">
        <v>599.13</v>
      </c>
      <c r="E2177" s="663">
        <v>2</v>
      </c>
      <c r="H2177" s="179">
        <v>599.13</v>
      </c>
      <c r="J2177" s="294"/>
      <c r="K2177" s="295"/>
      <c r="L2177" s="72"/>
      <c r="M2177" s="133"/>
      <c r="N2177" s="72"/>
      <c r="O2177" s="224"/>
      <c r="P2177" s="219"/>
      <c r="Q2177" s="84"/>
      <c r="S2177" s="137"/>
      <c r="T2177" s="137"/>
      <c r="V2177" s="137"/>
    </row>
    <row r="2178" spans="1:22">
      <c r="A2178" s="71" t="s">
        <v>9992</v>
      </c>
      <c r="B2178" s="67" t="s">
        <v>9993</v>
      </c>
      <c r="C2178" s="71" t="s">
        <v>103</v>
      </c>
      <c r="D2178" s="78">
        <v>177.08</v>
      </c>
      <c r="E2178" s="663">
        <v>2</v>
      </c>
      <c r="H2178" s="179">
        <v>177.08</v>
      </c>
      <c r="J2178" s="294"/>
      <c r="K2178" s="295"/>
      <c r="L2178" s="72"/>
      <c r="M2178" s="133"/>
      <c r="N2178" s="72"/>
      <c r="O2178" s="224"/>
      <c r="P2178" s="219"/>
      <c r="Q2178" s="84"/>
      <c r="S2178" s="137"/>
      <c r="T2178" s="137"/>
      <c r="V2178" s="137"/>
    </row>
    <row r="2179" spans="1:22">
      <c r="A2179" s="71" t="s">
        <v>9994</v>
      </c>
      <c r="B2179" s="67" t="s">
        <v>9995</v>
      </c>
      <c r="C2179" s="71" t="s">
        <v>103</v>
      </c>
      <c r="D2179" s="78">
        <v>220.29</v>
      </c>
      <c r="E2179" s="663">
        <v>2</v>
      </c>
      <c r="H2179" s="179">
        <v>220.29</v>
      </c>
      <c r="J2179" s="294"/>
      <c r="K2179" s="295"/>
      <c r="L2179" s="72"/>
      <c r="M2179" s="133"/>
      <c r="N2179" s="72"/>
      <c r="O2179" s="224"/>
      <c r="P2179" s="219"/>
      <c r="Q2179" s="84"/>
      <c r="S2179" s="137"/>
      <c r="T2179" s="137"/>
      <c r="V2179" s="137"/>
    </row>
    <row r="2180" spans="1:22">
      <c r="A2180" s="71" t="s">
        <v>9996</v>
      </c>
      <c r="B2180" s="67" t="s">
        <v>9997</v>
      </c>
      <c r="C2180" s="71" t="s">
        <v>103</v>
      </c>
      <c r="D2180" s="78">
        <v>697.8</v>
      </c>
      <c r="E2180" s="663">
        <v>2</v>
      </c>
      <c r="H2180" s="178">
        <v>697.8</v>
      </c>
      <c r="J2180" s="294"/>
      <c r="K2180" s="295"/>
      <c r="L2180" s="72"/>
      <c r="M2180" s="133"/>
      <c r="N2180" s="72"/>
      <c r="O2180" s="224"/>
      <c r="P2180" s="219"/>
      <c r="Q2180" s="84"/>
      <c r="S2180" s="136"/>
      <c r="T2180" s="136"/>
      <c r="V2180" s="136"/>
    </row>
    <row r="2181" spans="1:22">
      <c r="A2181" s="71" t="s">
        <v>9998</v>
      </c>
      <c r="B2181" s="67" t="s">
        <v>9999</v>
      </c>
      <c r="C2181" s="71" t="s">
        <v>165</v>
      </c>
      <c r="D2181" s="78">
        <v>6.78</v>
      </c>
      <c r="E2181" s="663">
        <v>2</v>
      </c>
      <c r="H2181" s="178">
        <v>6.78</v>
      </c>
      <c r="J2181" s="294"/>
      <c r="K2181" s="295"/>
      <c r="L2181" s="72"/>
      <c r="M2181" s="133"/>
      <c r="N2181" s="72"/>
      <c r="O2181" s="224"/>
      <c r="P2181" s="219"/>
      <c r="Q2181" s="84"/>
      <c r="S2181" s="136"/>
      <c r="T2181" s="136"/>
      <c r="V2181" s="136"/>
    </row>
    <row r="2182" spans="1:22">
      <c r="A2182" s="71" t="s">
        <v>10000</v>
      </c>
      <c r="B2182" s="67" t="s">
        <v>10001</v>
      </c>
      <c r="C2182" s="71" t="s">
        <v>103</v>
      </c>
      <c r="D2182" s="78">
        <v>429</v>
      </c>
      <c r="E2182" s="663">
        <v>2</v>
      </c>
      <c r="H2182" s="179">
        <v>429</v>
      </c>
      <c r="J2182" s="294"/>
      <c r="K2182" s="295"/>
      <c r="L2182" s="72"/>
      <c r="M2182" s="133"/>
      <c r="N2182" s="72"/>
      <c r="O2182" s="224"/>
      <c r="P2182" s="219"/>
      <c r="Q2182" s="84"/>
      <c r="S2182" s="137"/>
      <c r="T2182" s="137"/>
      <c r="V2182" s="137"/>
    </row>
    <row r="2183" spans="1:22">
      <c r="A2183" s="71" t="s">
        <v>10002</v>
      </c>
      <c r="B2183" s="67" t="s">
        <v>10003</v>
      </c>
      <c r="C2183" s="71" t="s">
        <v>165</v>
      </c>
      <c r="D2183" s="78">
        <v>21.05</v>
      </c>
      <c r="E2183" s="663">
        <v>2</v>
      </c>
      <c r="H2183" s="179">
        <v>21.05</v>
      </c>
      <c r="J2183" s="294"/>
      <c r="K2183" s="295"/>
      <c r="L2183" s="72"/>
      <c r="M2183" s="133"/>
      <c r="N2183" s="72"/>
      <c r="O2183" s="224"/>
      <c r="P2183" s="219"/>
      <c r="Q2183" s="84"/>
      <c r="S2183" s="137"/>
      <c r="T2183" s="137"/>
      <c r="V2183" s="137"/>
    </row>
    <row r="2184" spans="1:22">
      <c r="A2184" s="71" t="s">
        <v>10004</v>
      </c>
      <c r="B2184" s="67" t="s">
        <v>10005</v>
      </c>
      <c r="C2184" s="71" t="s">
        <v>165</v>
      </c>
      <c r="D2184" s="78">
        <v>30.62</v>
      </c>
      <c r="E2184" s="663">
        <v>2</v>
      </c>
      <c r="H2184" s="179">
        <v>30.62</v>
      </c>
      <c r="J2184" s="294"/>
      <c r="K2184" s="295"/>
      <c r="L2184" s="72"/>
      <c r="M2184" s="133"/>
      <c r="N2184" s="72"/>
      <c r="O2184" s="224"/>
      <c r="P2184" s="219"/>
      <c r="Q2184" s="84"/>
      <c r="S2184" s="137"/>
      <c r="T2184" s="137"/>
      <c r="V2184" s="137"/>
    </row>
    <row r="2185" spans="1:22">
      <c r="A2185" s="71" t="s">
        <v>10006</v>
      </c>
      <c r="B2185" s="67" t="s">
        <v>10007</v>
      </c>
      <c r="C2185" s="71" t="s">
        <v>103</v>
      </c>
      <c r="D2185" s="78">
        <v>76.63</v>
      </c>
      <c r="E2185" s="663">
        <v>2</v>
      </c>
      <c r="H2185" s="179">
        <v>76.63</v>
      </c>
      <c r="J2185" s="294"/>
      <c r="K2185" s="295"/>
      <c r="L2185" s="72"/>
      <c r="M2185" s="133"/>
      <c r="N2185" s="72"/>
      <c r="O2185" s="224"/>
      <c r="P2185" s="219"/>
      <c r="Q2185" s="84"/>
      <c r="S2185" s="137"/>
      <c r="T2185" s="137"/>
      <c r="V2185" s="137"/>
    </row>
    <row r="2186" spans="1:22">
      <c r="A2186" s="71" t="s">
        <v>10008</v>
      </c>
      <c r="B2186" s="67" t="s">
        <v>10009</v>
      </c>
      <c r="C2186" s="71" t="s">
        <v>103</v>
      </c>
      <c r="D2186" s="78">
        <v>55.22</v>
      </c>
      <c r="E2186" s="663">
        <v>2</v>
      </c>
      <c r="H2186" s="179">
        <v>55.22</v>
      </c>
      <c r="J2186" s="294"/>
      <c r="K2186" s="295"/>
      <c r="L2186" s="72"/>
      <c r="M2186" s="133"/>
      <c r="N2186" s="72"/>
      <c r="O2186" s="224"/>
      <c r="P2186" s="219"/>
      <c r="Q2186" s="84"/>
      <c r="S2186" s="137"/>
      <c r="T2186" s="137"/>
      <c r="V2186" s="137"/>
    </row>
    <row r="2187" spans="1:22">
      <c r="A2187" s="71" t="s">
        <v>10010</v>
      </c>
      <c r="B2187" s="67" t="s">
        <v>10011</v>
      </c>
      <c r="C2187" s="71" t="s">
        <v>103</v>
      </c>
      <c r="D2187" s="78">
        <v>137.97999999999999</v>
      </c>
      <c r="E2187" s="663">
        <v>2</v>
      </c>
      <c r="H2187" s="179">
        <v>137.97999999999999</v>
      </c>
      <c r="J2187" s="294"/>
      <c r="K2187" s="295"/>
      <c r="L2187" s="72"/>
      <c r="M2187" s="133"/>
      <c r="N2187" s="72"/>
      <c r="O2187" s="224"/>
      <c r="P2187" s="219"/>
      <c r="Q2187" s="84"/>
      <c r="S2187" s="137"/>
      <c r="T2187" s="137"/>
      <c r="V2187" s="137"/>
    </row>
    <row r="2188" spans="1:22">
      <c r="A2188" s="71" t="s">
        <v>10012</v>
      </c>
      <c r="B2188" s="67" t="s">
        <v>10013</v>
      </c>
      <c r="C2188" s="71" t="s">
        <v>103</v>
      </c>
      <c r="D2188" s="78">
        <v>236.21</v>
      </c>
      <c r="E2188" s="663">
        <v>2</v>
      </c>
      <c r="H2188" s="178">
        <v>236.21</v>
      </c>
      <c r="J2188" s="294"/>
      <c r="K2188" s="295"/>
      <c r="L2188" s="72"/>
      <c r="M2188" s="133"/>
      <c r="N2188" s="72"/>
      <c r="O2188" s="224"/>
      <c r="P2188" s="219"/>
      <c r="Q2188" s="84"/>
      <c r="S2188" s="136"/>
      <c r="T2188" s="136"/>
      <c r="V2188" s="136"/>
    </row>
    <row r="2189" spans="1:22">
      <c r="A2189" s="71" t="s">
        <v>10014</v>
      </c>
      <c r="B2189" s="67" t="s">
        <v>10015</v>
      </c>
      <c r="C2189" s="71" t="s">
        <v>103</v>
      </c>
      <c r="D2189" s="78">
        <v>66.81</v>
      </c>
      <c r="E2189" s="663">
        <v>2</v>
      </c>
      <c r="H2189" s="178">
        <v>66.81</v>
      </c>
      <c r="J2189" s="294"/>
      <c r="K2189" s="295"/>
      <c r="L2189" s="72"/>
      <c r="M2189" s="133"/>
      <c r="N2189" s="72"/>
      <c r="O2189" s="224"/>
      <c r="P2189" s="219"/>
      <c r="Q2189" s="84"/>
      <c r="S2189" s="136"/>
      <c r="T2189" s="136"/>
      <c r="V2189" s="136"/>
    </row>
    <row r="2190" spans="1:22">
      <c r="A2190" s="71" t="s">
        <v>10016</v>
      </c>
      <c r="B2190" s="67" t="s">
        <v>10017</v>
      </c>
      <c r="C2190" s="71" t="s">
        <v>103</v>
      </c>
      <c r="D2190" s="78">
        <v>159.22999999999999</v>
      </c>
      <c r="E2190" s="663">
        <v>2</v>
      </c>
      <c r="H2190" s="179">
        <v>159.22999999999999</v>
      </c>
      <c r="J2190" s="294"/>
      <c r="K2190" s="295"/>
      <c r="L2190" s="72"/>
      <c r="M2190" s="133"/>
      <c r="N2190" s="72"/>
      <c r="O2190" s="224"/>
      <c r="P2190" s="219"/>
      <c r="Q2190" s="84"/>
      <c r="S2190" s="137"/>
      <c r="T2190" s="137"/>
    </row>
    <row r="2191" spans="1:22">
      <c r="A2191" s="71" t="s">
        <v>10018</v>
      </c>
      <c r="B2191" s="67" t="s">
        <v>10019</v>
      </c>
      <c r="C2191" s="71" t="s">
        <v>103</v>
      </c>
      <c r="D2191" s="78">
        <v>393.36</v>
      </c>
      <c r="E2191" s="663">
        <v>2</v>
      </c>
      <c r="H2191" s="179">
        <v>393.36</v>
      </c>
      <c r="J2191" s="294"/>
      <c r="K2191" s="295"/>
      <c r="L2191" s="72"/>
      <c r="M2191" s="133"/>
      <c r="N2191" s="72"/>
      <c r="O2191" s="224"/>
      <c r="P2191" s="219"/>
      <c r="Q2191" s="84"/>
      <c r="S2191" s="137"/>
      <c r="T2191" s="137"/>
    </row>
    <row r="2192" spans="1:22">
      <c r="A2192" s="71" t="s">
        <v>10020</v>
      </c>
      <c r="B2192" s="67" t="s">
        <v>10021</v>
      </c>
      <c r="C2192" s="71" t="s">
        <v>103</v>
      </c>
      <c r="D2192" s="78">
        <v>10.43</v>
      </c>
      <c r="E2192" s="663">
        <v>2</v>
      </c>
      <c r="H2192" s="178">
        <v>10.43</v>
      </c>
      <c r="J2192" s="294"/>
      <c r="K2192" s="295"/>
      <c r="L2192" s="72"/>
      <c r="M2192" s="133"/>
      <c r="N2192" s="72"/>
      <c r="O2192" s="224"/>
      <c r="P2192" s="219"/>
      <c r="Q2192" s="84"/>
      <c r="S2192" s="136"/>
      <c r="T2192" s="136"/>
      <c r="V2192" s="136"/>
    </row>
    <row r="2193" spans="1:22">
      <c r="A2193" s="71" t="s">
        <v>10022</v>
      </c>
      <c r="B2193" s="67" t="s">
        <v>10023</v>
      </c>
      <c r="C2193" s="71" t="s">
        <v>103</v>
      </c>
      <c r="D2193" s="78">
        <v>12.65</v>
      </c>
      <c r="E2193" s="663">
        <v>2</v>
      </c>
      <c r="H2193" s="179">
        <v>12.65</v>
      </c>
      <c r="J2193" s="294"/>
      <c r="K2193" s="295"/>
      <c r="L2193" s="72"/>
      <c r="M2193" s="133"/>
      <c r="N2193" s="72"/>
      <c r="O2193" s="224"/>
      <c r="P2193" s="219"/>
      <c r="Q2193" s="84"/>
      <c r="S2193" s="137"/>
      <c r="T2193" s="137"/>
      <c r="V2193" s="137"/>
    </row>
    <row r="2194" spans="1:22">
      <c r="A2194" s="71" t="s">
        <v>10024</v>
      </c>
      <c r="B2194" s="67" t="s">
        <v>10025</v>
      </c>
      <c r="C2194" s="71" t="s">
        <v>103</v>
      </c>
      <c r="D2194" s="78">
        <v>31.61</v>
      </c>
      <c r="E2194" s="663">
        <v>2</v>
      </c>
      <c r="H2194" s="179">
        <v>31.61</v>
      </c>
      <c r="J2194" s="294"/>
      <c r="K2194" s="295"/>
      <c r="L2194" s="72"/>
      <c r="M2194" s="133"/>
      <c r="N2194" s="72"/>
      <c r="O2194" s="224"/>
      <c r="P2194" s="219"/>
      <c r="Q2194" s="84"/>
      <c r="S2194" s="137"/>
      <c r="T2194" s="137"/>
      <c r="V2194" s="137"/>
    </row>
    <row r="2195" spans="1:22">
      <c r="A2195" s="71" t="s">
        <v>10026</v>
      </c>
      <c r="B2195" s="67" t="s">
        <v>10027</v>
      </c>
      <c r="C2195" s="71" t="s">
        <v>103</v>
      </c>
      <c r="D2195" s="78">
        <v>22.46</v>
      </c>
      <c r="E2195" s="663">
        <v>2</v>
      </c>
      <c r="H2195" s="179">
        <v>22.46</v>
      </c>
      <c r="J2195" s="294"/>
      <c r="K2195" s="295"/>
      <c r="L2195" s="72"/>
      <c r="M2195" s="133"/>
      <c r="N2195" s="72"/>
      <c r="O2195" s="224"/>
      <c r="P2195" s="219"/>
      <c r="Q2195" s="84"/>
      <c r="S2195" s="137"/>
      <c r="T2195" s="137"/>
    </row>
    <row r="2196" spans="1:22">
      <c r="A2196" s="71" t="s">
        <v>10028</v>
      </c>
      <c r="B2196" s="67" t="s">
        <v>10029</v>
      </c>
      <c r="C2196" s="71" t="s">
        <v>103</v>
      </c>
      <c r="D2196" s="78">
        <v>62.76</v>
      </c>
      <c r="E2196" s="663">
        <v>2</v>
      </c>
      <c r="H2196" s="179">
        <v>62.76</v>
      </c>
      <c r="J2196" s="294"/>
      <c r="K2196" s="295"/>
      <c r="L2196" s="72"/>
      <c r="M2196" s="133"/>
      <c r="N2196" s="72"/>
      <c r="O2196" s="224"/>
      <c r="P2196" s="219"/>
      <c r="Q2196" s="84"/>
      <c r="S2196" s="137"/>
      <c r="T2196" s="137"/>
      <c r="V2196" s="137"/>
    </row>
    <row r="2197" spans="1:22">
      <c r="A2197" s="71" t="s">
        <v>10030</v>
      </c>
      <c r="B2197" s="67" t="s">
        <v>10031</v>
      </c>
      <c r="C2197" s="71" t="s">
        <v>103</v>
      </c>
      <c r="D2197" s="78">
        <v>47.82</v>
      </c>
      <c r="E2197" s="663">
        <v>2</v>
      </c>
      <c r="H2197" s="179">
        <v>47.82</v>
      </c>
      <c r="J2197" s="294"/>
      <c r="K2197" s="295"/>
      <c r="L2197" s="72"/>
      <c r="M2197" s="133"/>
      <c r="N2197" s="72"/>
      <c r="O2197" s="224"/>
      <c r="P2197" s="219"/>
      <c r="Q2197" s="84"/>
      <c r="S2197" s="137"/>
      <c r="T2197" s="137"/>
      <c r="V2197" s="137"/>
    </row>
    <row r="2198" spans="1:22">
      <c r="A2198" s="71" t="s">
        <v>10032</v>
      </c>
      <c r="B2198" s="216" t="s">
        <v>10033</v>
      </c>
      <c r="C2198" s="212" t="s">
        <v>103</v>
      </c>
      <c r="D2198" s="78">
        <v>99.68</v>
      </c>
      <c r="E2198" s="663">
        <v>2</v>
      </c>
      <c r="H2198" s="178">
        <v>99.68</v>
      </c>
      <c r="J2198" s="294"/>
      <c r="K2198" s="295"/>
      <c r="L2198" s="72"/>
      <c r="M2198" s="299"/>
      <c r="N2198" s="298"/>
      <c r="O2198" s="224"/>
      <c r="P2198" s="219"/>
      <c r="Q2198" s="84"/>
      <c r="S2198" s="136"/>
      <c r="T2198" s="136"/>
      <c r="V2198" s="136"/>
    </row>
    <row r="2199" spans="1:22">
      <c r="A2199" s="71" t="s">
        <v>10034</v>
      </c>
      <c r="B2199" s="67" t="s">
        <v>10035</v>
      </c>
      <c r="C2199" s="71" t="s">
        <v>103</v>
      </c>
      <c r="D2199" s="78">
        <v>24.13</v>
      </c>
      <c r="E2199" s="663">
        <v>2</v>
      </c>
      <c r="H2199" s="179">
        <v>24.13</v>
      </c>
      <c r="J2199" s="294"/>
      <c r="K2199" s="295"/>
      <c r="L2199" s="72"/>
      <c r="M2199" s="133"/>
      <c r="N2199" s="72"/>
      <c r="O2199" s="224"/>
      <c r="P2199" s="219"/>
      <c r="Q2199" s="84"/>
      <c r="S2199" s="137"/>
      <c r="T2199" s="137"/>
    </row>
    <row r="2200" spans="1:22">
      <c r="A2200" s="71" t="s">
        <v>10036</v>
      </c>
      <c r="B2200" s="216" t="s">
        <v>10037</v>
      </c>
      <c r="C2200" s="212" t="s">
        <v>103</v>
      </c>
      <c r="D2200" s="78">
        <v>92.35</v>
      </c>
      <c r="E2200" s="663">
        <v>2</v>
      </c>
      <c r="H2200" s="178">
        <v>92.35</v>
      </c>
      <c r="J2200" s="294"/>
      <c r="K2200" s="295"/>
      <c r="L2200" s="72"/>
      <c r="M2200" s="299"/>
      <c r="N2200" s="298"/>
      <c r="O2200" s="224"/>
      <c r="P2200" s="219"/>
      <c r="Q2200" s="84"/>
      <c r="S2200" s="136"/>
      <c r="T2200" s="136"/>
      <c r="V2200" s="136"/>
    </row>
    <row r="2201" spans="1:22">
      <c r="A2201" s="212" t="s">
        <v>10038</v>
      </c>
      <c r="B2201" s="216" t="s">
        <v>10039</v>
      </c>
      <c r="C2201" s="212" t="s">
        <v>103</v>
      </c>
      <c r="D2201" s="78">
        <v>31.34</v>
      </c>
      <c r="E2201" s="663">
        <v>2</v>
      </c>
      <c r="H2201" s="178">
        <v>31.34</v>
      </c>
      <c r="J2201" s="294"/>
      <c r="K2201" s="295"/>
      <c r="L2201" s="298"/>
      <c r="M2201" s="299"/>
      <c r="N2201" s="298"/>
      <c r="O2201" s="224"/>
      <c r="P2201" s="219"/>
      <c r="Q2201" s="84"/>
      <c r="S2201" s="136"/>
      <c r="T2201" s="136"/>
      <c r="V2201" s="136"/>
    </row>
    <row r="2202" spans="1:22">
      <c r="A2202" s="212" t="s">
        <v>10040</v>
      </c>
      <c r="B2202" s="216" t="s">
        <v>10041</v>
      </c>
      <c r="C2202" s="212" t="s">
        <v>103</v>
      </c>
      <c r="D2202" s="78">
        <v>39.76</v>
      </c>
      <c r="E2202" s="663">
        <v>2</v>
      </c>
      <c r="H2202" s="178">
        <v>39.76</v>
      </c>
      <c r="J2202" s="294"/>
      <c r="K2202" s="295"/>
      <c r="L2202" s="298"/>
      <c r="M2202" s="299"/>
      <c r="N2202" s="298"/>
      <c r="O2202" s="224"/>
      <c r="P2202" s="219"/>
      <c r="Q2202" s="84"/>
      <c r="S2202" s="136"/>
      <c r="T2202" s="136"/>
      <c r="V2202" s="136"/>
    </row>
    <row r="2203" spans="1:22">
      <c r="A2203" s="212" t="s">
        <v>10042</v>
      </c>
      <c r="B2203" s="216" t="s">
        <v>10043</v>
      </c>
      <c r="C2203" s="212" t="s">
        <v>103</v>
      </c>
      <c r="D2203" s="78">
        <v>10.53</v>
      </c>
      <c r="E2203" s="663">
        <v>2</v>
      </c>
      <c r="H2203" s="178">
        <v>10.53</v>
      </c>
      <c r="J2203" s="294"/>
      <c r="K2203" s="295"/>
      <c r="L2203" s="298"/>
      <c r="M2203" s="299"/>
      <c r="N2203" s="298"/>
      <c r="O2203" s="224"/>
      <c r="P2203" s="219"/>
      <c r="Q2203" s="84"/>
      <c r="S2203" s="136"/>
      <c r="T2203" s="136"/>
      <c r="V2203" s="136"/>
    </row>
    <row r="2204" spans="1:22">
      <c r="A2204" s="212" t="s">
        <v>10044</v>
      </c>
      <c r="B2204" s="216" t="s">
        <v>10045</v>
      </c>
      <c r="C2204" s="212" t="s">
        <v>103</v>
      </c>
      <c r="D2204" s="78">
        <v>22.52</v>
      </c>
      <c r="E2204" s="663">
        <v>2</v>
      </c>
      <c r="H2204" s="178">
        <v>22.52</v>
      </c>
      <c r="J2204" s="294"/>
      <c r="K2204" s="295"/>
      <c r="L2204" s="298"/>
      <c r="M2204" s="299"/>
      <c r="N2204" s="298"/>
      <c r="O2204" s="224"/>
      <c r="P2204" s="219"/>
      <c r="Q2204" s="84"/>
      <c r="S2204" s="136"/>
      <c r="T2204" s="136"/>
      <c r="V2204" s="136"/>
    </row>
    <row r="2205" spans="1:22">
      <c r="A2205" s="71" t="s">
        <v>10046</v>
      </c>
      <c r="B2205" s="67" t="s">
        <v>10047</v>
      </c>
      <c r="C2205" s="71" t="s">
        <v>103</v>
      </c>
      <c r="D2205" s="78">
        <v>33.99</v>
      </c>
      <c r="E2205" s="663">
        <v>2</v>
      </c>
      <c r="H2205" s="179">
        <v>33.99</v>
      </c>
      <c r="J2205" s="294"/>
      <c r="K2205" s="295"/>
      <c r="L2205" s="72"/>
      <c r="M2205" s="133"/>
      <c r="N2205" s="72"/>
      <c r="O2205" s="224"/>
      <c r="P2205" s="219"/>
      <c r="Q2205" s="84"/>
      <c r="S2205" s="137"/>
      <c r="T2205" s="137"/>
    </row>
    <row r="2206" spans="1:22">
      <c r="A2206" s="71" t="s">
        <v>10048</v>
      </c>
      <c r="B2206" s="67" t="s">
        <v>10049</v>
      </c>
      <c r="C2206" s="71" t="s">
        <v>103</v>
      </c>
      <c r="D2206" s="78">
        <v>52.72</v>
      </c>
      <c r="E2206" s="663">
        <v>2</v>
      </c>
      <c r="H2206" s="179">
        <v>52.72</v>
      </c>
      <c r="J2206" s="294"/>
      <c r="K2206" s="295"/>
      <c r="L2206" s="72"/>
      <c r="M2206" s="133"/>
      <c r="N2206" s="72"/>
      <c r="O2206" s="224"/>
      <c r="P2206" s="219"/>
      <c r="Q2206" s="84"/>
      <c r="S2206" s="137"/>
      <c r="T2206" s="137"/>
      <c r="V2206" s="137"/>
    </row>
    <row r="2207" spans="1:22">
      <c r="A2207" s="71" t="s">
        <v>10050</v>
      </c>
      <c r="B2207" s="67" t="s">
        <v>10051</v>
      </c>
      <c r="C2207" s="71" t="s">
        <v>103</v>
      </c>
      <c r="D2207" s="78">
        <v>31.4</v>
      </c>
      <c r="E2207" s="663">
        <v>2</v>
      </c>
      <c r="H2207" s="179">
        <v>31.4</v>
      </c>
      <c r="J2207" s="294"/>
      <c r="K2207" s="295"/>
      <c r="L2207" s="72"/>
      <c r="M2207" s="133"/>
      <c r="N2207" s="72"/>
      <c r="O2207" s="224"/>
      <c r="P2207" s="219"/>
      <c r="Q2207" s="84"/>
      <c r="S2207" s="137"/>
      <c r="T2207" s="137"/>
      <c r="V2207" s="137"/>
    </row>
    <row r="2208" spans="1:22">
      <c r="A2208" s="71" t="s">
        <v>10052</v>
      </c>
      <c r="B2208" s="67" t="s">
        <v>10053</v>
      </c>
      <c r="C2208" s="71" t="s">
        <v>103</v>
      </c>
      <c r="D2208" s="78">
        <v>21.55</v>
      </c>
      <c r="E2208" s="663">
        <v>2</v>
      </c>
      <c r="H2208" s="179">
        <v>21.55</v>
      </c>
      <c r="J2208" s="294"/>
      <c r="K2208" s="295"/>
      <c r="L2208" s="72"/>
      <c r="M2208" s="133"/>
      <c r="N2208" s="72"/>
      <c r="O2208" s="224"/>
      <c r="P2208" s="219"/>
      <c r="Q2208" s="84"/>
      <c r="S2208" s="137"/>
      <c r="T2208" s="137"/>
      <c r="V2208" s="137"/>
    </row>
    <row r="2209" spans="1:22">
      <c r="A2209" s="71" t="s">
        <v>10054</v>
      </c>
      <c r="B2209" s="67" t="s">
        <v>10055</v>
      </c>
      <c r="C2209" s="71" t="s">
        <v>103</v>
      </c>
      <c r="D2209" s="78">
        <v>48.77</v>
      </c>
      <c r="E2209" s="663">
        <v>2</v>
      </c>
      <c r="H2209" s="179">
        <v>48.77</v>
      </c>
      <c r="J2209" s="294"/>
      <c r="K2209" s="295"/>
      <c r="L2209" s="72"/>
      <c r="M2209" s="133"/>
      <c r="N2209" s="72"/>
      <c r="O2209" s="224"/>
      <c r="P2209" s="219"/>
      <c r="Q2209" s="84"/>
      <c r="S2209" s="137"/>
      <c r="T2209" s="137"/>
      <c r="V2209" s="137"/>
    </row>
    <row r="2210" spans="1:22">
      <c r="A2210" s="71" t="s">
        <v>10056</v>
      </c>
      <c r="B2210" s="67" t="s">
        <v>10057</v>
      </c>
      <c r="C2210" s="71" t="s">
        <v>103</v>
      </c>
      <c r="D2210" s="78">
        <v>690.68</v>
      </c>
      <c r="E2210" s="663">
        <v>2</v>
      </c>
      <c r="H2210" s="179">
        <v>690.68</v>
      </c>
      <c r="J2210" s="294"/>
      <c r="K2210" s="295"/>
      <c r="L2210" s="72"/>
      <c r="M2210" s="133"/>
      <c r="N2210" s="72"/>
      <c r="O2210" s="224"/>
      <c r="P2210" s="219"/>
      <c r="Q2210" s="84"/>
      <c r="S2210" s="137"/>
      <c r="T2210" s="137"/>
      <c r="V2210" s="145"/>
    </row>
    <row r="2211" spans="1:22">
      <c r="A2211" s="71" t="s">
        <v>10058</v>
      </c>
      <c r="B2211" s="67" t="s">
        <v>10059</v>
      </c>
      <c r="C2211" s="71" t="s">
        <v>103</v>
      </c>
      <c r="D2211" s="78">
        <v>778.49</v>
      </c>
      <c r="E2211" s="663">
        <v>2</v>
      </c>
      <c r="H2211" s="179">
        <v>778.49</v>
      </c>
      <c r="J2211" s="294"/>
      <c r="K2211" s="295"/>
      <c r="L2211" s="72"/>
      <c r="M2211" s="133"/>
      <c r="N2211" s="72"/>
      <c r="O2211" s="224"/>
      <c r="P2211" s="219"/>
      <c r="Q2211" s="84"/>
      <c r="S2211" s="137"/>
      <c r="T2211" s="137"/>
      <c r="V2211" s="145"/>
    </row>
    <row r="2212" spans="1:22">
      <c r="A2212" s="71" t="s">
        <v>10060</v>
      </c>
      <c r="B2212" s="67" t="s">
        <v>10061</v>
      </c>
      <c r="C2212" s="71" t="s">
        <v>103</v>
      </c>
      <c r="D2212" s="78">
        <v>10.53</v>
      </c>
      <c r="E2212" s="663">
        <v>2</v>
      </c>
      <c r="H2212" s="179">
        <v>10.53</v>
      </c>
      <c r="J2212" s="294"/>
      <c r="K2212" s="295"/>
      <c r="L2212" s="72"/>
      <c r="M2212" s="133"/>
      <c r="N2212" s="72"/>
      <c r="O2212" s="224"/>
      <c r="P2212" s="219"/>
      <c r="Q2212" s="84"/>
      <c r="S2212" s="137"/>
      <c r="T2212" s="137"/>
      <c r="V2212" s="137"/>
    </row>
    <row r="2213" spans="1:22">
      <c r="A2213" s="71" t="s">
        <v>10062</v>
      </c>
      <c r="B2213" s="67" t="s">
        <v>10063</v>
      </c>
      <c r="C2213" s="71" t="s">
        <v>103</v>
      </c>
      <c r="D2213" s="78">
        <v>22.52</v>
      </c>
      <c r="E2213" s="663">
        <v>2</v>
      </c>
      <c r="H2213" s="179">
        <v>22.52</v>
      </c>
      <c r="J2213" s="294"/>
      <c r="K2213" s="295"/>
      <c r="L2213" s="72"/>
      <c r="M2213" s="133"/>
      <c r="N2213" s="72"/>
      <c r="O2213" s="224"/>
      <c r="P2213" s="219"/>
      <c r="Q2213" s="84"/>
      <c r="S2213" s="137"/>
      <c r="T2213" s="137"/>
      <c r="V2213" s="137"/>
    </row>
    <row r="2214" spans="1:22">
      <c r="A2214" s="71" t="s">
        <v>10064</v>
      </c>
      <c r="B2214" s="67" t="s">
        <v>10065</v>
      </c>
      <c r="C2214" s="71" t="s">
        <v>165</v>
      </c>
      <c r="D2214" s="78">
        <v>557.25</v>
      </c>
      <c r="E2214" s="663">
        <v>2</v>
      </c>
      <c r="H2214" s="178">
        <v>557.25</v>
      </c>
      <c r="J2214" s="294"/>
      <c r="K2214" s="295"/>
      <c r="L2214" s="72"/>
      <c r="M2214" s="133"/>
      <c r="N2214" s="72"/>
      <c r="O2214" s="224"/>
      <c r="P2214" s="219"/>
      <c r="Q2214" s="84"/>
      <c r="S2214" s="136"/>
      <c r="T2214" s="136"/>
    </row>
    <row r="2215" spans="1:22">
      <c r="A2215" s="71" t="s">
        <v>10066</v>
      </c>
      <c r="B2215" s="67" t="s">
        <v>10067</v>
      </c>
      <c r="C2215" s="71" t="s">
        <v>165</v>
      </c>
      <c r="D2215" s="78">
        <v>677.91</v>
      </c>
      <c r="E2215" s="663">
        <v>2</v>
      </c>
      <c r="H2215" s="178">
        <v>677.91</v>
      </c>
      <c r="J2215" s="294"/>
      <c r="K2215" s="295"/>
      <c r="L2215" s="72"/>
      <c r="M2215" s="133"/>
      <c r="N2215" s="72"/>
      <c r="O2215" s="224"/>
      <c r="P2215" s="219"/>
      <c r="Q2215" s="84"/>
      <c r="S2215" s="136"/>
      <c r="T2215" s="136"/>
    </row>
    <row r="2216" spans="1:22">
      <c r="A2216" s="71" t="s">
        <v>10068</v>
      </c>
      <c r="B2216" s="67" t="s">
        <v>10069</v>
      </c>
      <c r="C2216" s="71" t="s">
        <v>165</v>
      </c>
      <c r="D2216" s="78">
        <v>791.8</v>
      </c>
      <c r="E2216" s="663">
        <v>2</v>
      </c>
      <c r="H2216" s="178">
        <v>791.8</v>
      </c>
      <c r="J2216" s="294"/>
      <c r="K2216" s="295"/>
      <c r="L2216" s="72"/>
      <c r="M2216" s="133"/>
      <c r="N2216" s="72"/>
      <c r="O2216" s="224"/>
      <c r="P2216" s="219"/>
      <c r="Q2216" s="84"/>
      <c r="S2216" s="136"/>
      <c r="T2216" s="136"/>
    </row>
    <row r="2217" spans="1:22">
      <c r="A2217" s="71" t="s">
        <v>10070</v>
      </c>
      <c r="B2217" s="67" t="s">
        <v>10071</v>
      </c>
      <c r="C2217" s="71" t="s">
        <v>103</v>
      </c>
      <c r="D2217" s="78">
        <v>236.51</v>
      </c>
      <c r="E2217" s="663">
        <v>2</v>
      </c>
      <c r="H2217" s="179">
        <v>236.51</v>
      </c>
      <c r="J2217" s="294"/>
      <c r="K2217" s="295"/>
      <c r="L2217" s="72"/>
      <c r="M2217" s="133"/>
      <c r="N2217" s="72"/>
      <c r="O2217" s="224"/>
      <c r="P2217" s="219"/>
      <c r="Q2217" s="84"/>
      <c r="S2217" s="137"/>
      <c r="T2217" s="137"/>
      <c r="V2217" s="137"/>
    </row>
    <row r="2218" spans="1:22">
      <c r="A2218" s="71" t="s">
        <v>10072</v>
      </c>
      <c r="B2218" s="67" t="s">
        <v>10073</v>
      </c>
      <c r="C2218" s="71" t="s">
        <v>165</v>
      </c>
      <c r="D2218" s="78">
        <v>36.369999999999997</v>
      </c>
      <c r="E2218" s="663">
        <v>2</v>
      </c>
      <c r="H2218" s="179">
        <v>36.369999999999997</v>
      </c>
      <c r="J2218" s="294"/>
      <c r="K2218" s="295"/>
      <c r="L2218" s="72"/>
      <c r="M2218" s="133"/>
      <c r="N2218" s="72"/>
      <c r="O2218" s="224"/>
      <c r="P2218" s="219"/>
      <c r="Q2218" s="84"/>
      <c r="S2218" s="137"/>
      <c r="T2218" s="137"/>
      <c r="V2218" s="137"/>
    </row>
    <row r="2219" spans="1:22">
      <c r="A2219" s="71" t="s">
        <v>10074</v>
      </c>
      <c r="B2219" s="67" t="s">
        <v>10075</v>
      </c>
      <c r="C2219" s="71" t="s">
        <v>165</v>
      </c>
      <c r="D2219" s="78">
        <v>55.06</v>
      </c>
      <c r="E2219" s="663">
        <v>2</v>
      </c>
      <c r="H2219" s="179">
        <v>55.06</v>
      </c>
      <c r="J2219" s="294"/>
      <c r="K2219" s="295"/>
      <c r="L2219" s="72"/>
      <c r="M2219" s="133"/>
      <c r="N2219" s="72"/>
      <c r="O2219" s="224"/>
      <c r="P2219" s="219"/>
      <c r="Q2219" s="84"/>
      <c r="S2219" s="137"/>
      <c r="T2219" s="137"/>
      <c r="V2219" s="137"/>
    </row>
    <row r="2220" spans="1:22">
      <c r="A2220" s="71" t="s">
        <v>10076</v>
      </c>
      <c r="B2220" s="67" t="s">
        <v>10077</v>
      </c>
      <c r="C2220" s="71" t="s">
        <v>165</v>
      </c>
      <c r="D2220" s="78">
        <v>35.57</v>
      </c>
      <c r="E2220" s="663">
        <v>2</v>
      </c>
      <c r="H2220" s="179">
        <v>35.57</v>
      </c>
      <c r="J2220" s="294"/>
      <c r="K2220" s="295"/>
      <c r="L2220" s="72"/>
      <c r="M2220" s="133"/>
      <c r="N2220" s="72"/>
      <c r="O2220" s="224"/>
      <c r="P2220" s="219"/>
      <c r="Q2220" s="84"/>
      <c r="S2220" s="137"/>
      <c r="T2220" s="137"/>
      <c r="V2220" s="137"/>
    </row>
    <row r="2221" spans="1:22">
      <c r="A2221" s="71" t="s">
        <v>10078</v>
      </c>
      <c r="B2221" s="67" t="s">
        <v>10079</v>
      </c>
      <c r="C2221" s="71" t="s">
        <v>103</v>
      </c>
      <c r="D2221" s="78">
        <v>15.76</v>
      </c>
      <c r="E2221" s="663">
        <v>2</v>
      </c>
      <c r="H2221" s="179">
        <v>15.76</v>
      </c>
      <c r="J2221" s="294"/>
      <c r="K2221" s="295"/>
      <c r="L2221" s="72"/>
      <c r="M2221" s="133"/>
      <c r="N2221" s="72"/>
      <c r="O2221" s="224"/>
      <c r="P2221" s="219"/>
      <c r="Q2221" s="84"/>
      <c r="S2221" s="137"/>
      <c r="T2221" s="137"/>
      <c r="V2221" s="137"/>
    </row>
    <row r="2222" spans="1:22">
      <c r="A2222" s="71" t="s">
        <v>10080</v>
      </c>
      <c r="B2222" s="67" t="s">
        <v>10081</v>
      </c>
      <c r="C2222" s="71" t="s">
        <v>103</v>
      </c>
      <c r="D2222" s="78">
        <v>20.7</v>
      </c>
      <c r="E2222" s="663">
        <v>2</v>
      </c>
      <c r="H2222" s="179">
        <v>20.7</v>
      </c>
      <c r="J2222" s="294"/>
      <c r="K2222" s="295"/>
      <c r="L2222" s="72"/>
      <c r="M2222" s="133"/>
      <c r="N2222" s="72"/>
      <c r="O2222" s="224"/>
      <c r="P2222" s="219"/>
      <c r="Q2222" s="84"/>
      <c r="S2222" s="137"/>
      <c r="T2222" s="137"/>
      <c r="V2222" s="137"/>
    </row>
    <row r="2223" spans="1:22">
      <c r="A2223" s="71" t="s">
        <v>10082</v>
      </c>
      <c r="B2223" s="67" t="s">
        <v>10083</v>
      </c>
      <c r="C2223" s="71" t="s">
        <v>509</v>
      </c>
      <c r="D2223" s="78">
        <v>347.01</v>
      </c>
      <c r="E2223" s="663">
        <v>2</v>
      </c>
      <c r="H2223" s="179">
        <v>347.01</v>
      </c>
      <c r="J2223" s="294"/>
      <c r="K2223" s="295"/>
      <c r="L2223" s="72"/>
      <c r="M2223" s="133"/>
      <c r="N2223" s="72"/>
      <c r="O2223" s="224"/>
      <c r="P2223" s="219"/>
      <c r="Q2223" s="84"/>
      <c r="S2223" s="137"/>
      <c r="T2223" s="137"/>
      <c r="V2223" s="137"/>
    </row>
    <row r="2224" spans="1:22">
      <c r="A2224" s="71" t="s">
        <v>10084</v>
      </c>
      <c r="B2224" s="67" t="s">
        <v>10085</v>
      </c>
      <c r="C2224" s="71" t="s">
        <v>165</v>
      </c>
      <c r="D2224" s="78">
        <v>45.58</v>
      </c>
      <c r="E2224" s="663">
        <v>2</v>
      </c>
      <c r="H2224" s="179">
        <v>45.58</v>
      </c>
      <c r="J2224" s="294"/>
      <c r="K2224" s="295"/>
      <c r="L2224" s="72"/>
      <c r="M2224" s="133"/>
      <c r="N2224" s="72"/>
      <c r="O2224" s="224"/>
      <c r="P2224" s="219"/>
      <c r="Q2224" s="84"/>
      <c r="S2224" s="137"/>
      <c r="T2224" s="137"/>
      <c r="V2224" s="137"/>
    </row>
    <row r="2225" spans="1:22">
      <c r="A2225" s="71" t="s">
        <v>10086</v>
      </c>
      <c r="B2225" s="67" t="s">
        <v>10087</v>
      </c>
      <c r="C2225" s="71" t="s">
        <v>165</v>
      </c>
      <c r="D2225" s="78">
        <v>69.17</v>
      </c>
      <c r="E2225" s="663">
        <v>2</v>
      </c>
      <c r="H2225" s="179">
        <v>69.17</v>
      </c>
      <c r="J2225" s="294"/>
      <c r="K2225" s="295"/>
      <c r="L2225" s="72"/>
      <c r="M2225" s="133"/>
      <c r="N2225" s="72"/>
      <c r="O2225" s="224"/>
      <c r="P2225" s="219"/>
      <c r="Q2225" s="84"/>
      <c r="S2225" s="137"/>
      <c r="T2225" s="137"/>
      <c r="V2225" s="137"/>
    </row>
    <row r="2226" spans="1:22">
      <c r="A2226" s="71" t="s">
        <v>10088</v>
      </c>
      <c r="B2226" s="67" t="s">
        <v>10089</v>
      </c>
      <c r="C2226" s="71" t="s">
        <v>165</v>
      </c>
      <c r="D2226" s="78">
        <v>127.37</v>
      </c>
      <c r="E2226" s="663">
        <v>2</v>
      </c>
      <c r="H2226" s="179">
        <v>127.37</v>
      </c>
      <c r="J2226" s="294"/>
      <c r="K2226" s="295"/>
      <c r="L2226" s="72"/>
      <c r="M2226" s="133"/>
      <c r="N2226" s="72"/>
      <c r="O2226" s="224"/>
      <c r="P2226" s="219"/>
      <c r="Q2226" s="84"/>
      <c r="S2226" s="137"/>
      <c r="T2226" s="137"/>
      <c r="V2226" s="137"/>
    </row>
    <row r="2227" spans="1:22">
      <c r="A2227" s="71" t="s">
        <v>10090</v>
      </c>
      <c r="B2227" s="67" t="s">
        <v>10091</v>
      </c>
      <c r="C2227" s="71" t="s">
        <v>165</v>
      </c>
      <c r="D2227" s="78">
        <v>110.14</v>
      </c>
      <c r="E2227" s="663">
        <v>2</v>
      </c>
      <c r="H2227" s="179">
        <v>110.14</v>
      </c>
      <c r="J2227" s="294"/>
      <c r="K2227" s="295"/>
      <c r="L2227" s="72"/>
      <c r="M2227" s="133"/>
      <c r="N2227" s="72"/>
      <c r="O2227" s="224"/>
      <c r="P2227" s="219"/>
      <c r="Q2227" s="84"/>
      <c r="S2227" s="137"/>
      <c r="T2227" s="137"/>
      <c r="V2227" s="137"/>
    </row>
    <row r="2228" spans="1:22">
      <c r="A2228" s="71" t="s">
        <v>10092</v>
      </c>
      <c r="B2228" s="67" t="s">
        <v>10093</v>
      </c>
      <c r="C2228" s="71" t="s">
        <v>165</v>
      </c>
      <c r="D2228" s="78">
        <v>44.88</v>
      </c>
      <c r="E2228" s="663">
        <v>2</v>
      </c>
      <c r="H2228" s="179">
        <v>44.88</v>
      </c>
      <c r="J2228" s="294"/>
      <c r="K2228" s="295"/>
      <c r="L2228" s="72"/>
      <c r="M2228" s="133"/>
      <c r="N2228" s="72"/>
      <c r="O2228" s="224"/>
      <c r="P2228" s="219"/>
      <c r="Q2228" s="84"/>
      <c r="S2228" s="137"/>
      <c r="T2228" s="137"/>
      <c r="V2228" s="137"/>
    </row>
    <row r="2229" spans="1:22">
      <c r="A2229" s="71" t="s">
        <v>10094</v>
      </c>
      <c r="B2229" s="67" t="s">
        <v>10095</v>
      </c>
      <c r="C2229" s="71" t="s">
        <v>165</v>
      </c>
      <c r="D2229" s="78">
        <v>34.6</v>
      </c>
      <c r="E2229" s="663">
        <v>2</v>
      </c>
      <c r="H2229" s="179">
        <v>34.6</v>
      </c>
      <c r="J2229" s="294"/>
      <c r="K2229" s="295"/>
      <c r="L2229" s="72"/>
      <c r="M2229" s="133"/>
      <c r="N2229" s="72"/>
      <c r="O2229" s="224"/>
      <c r="P2229" s="219"/>
      <c r="Q2229" s="84"/>
      <c r="S2229" s="137"/>
      <c r="T2229" s="137"/>
      <c r="V2229" s="137"/>
    </row>
    <row r="2230" spans="1:22">
      <c r="A2230" s="71" t="s">
        <v>10096</v>
      </c>
      <c r="B2230" s="67" t="s">
        <v>10097</v>
      </c>
      <c r="C2230" s="71" t="s">
        <v>165</v>
      </c>
      <c r="D2230" s="78">
        <v>28.03</v>
      </c>
      <c r="E2230" s="663">
        <v>2</v>
      </c>
      <c r="H2230" s="179">
        <v>28.03</v>
      </c>
      <c r="J2230" s="294"/>
      <c r="K2230" s="295"/>
      <c r="L2230" s="72"/>
      <c r="M2230" s="133"/>
      <c r="N2230" s="72"/>
      <c r="O2230" s="224"/>
      <c r="P2230" s="219"/>
      <c r="Q2230" s="84"/>
      <c r="S2230" s="137"/>
      <c r="T2230" s="137"/>
      <c r="V2230" s="137"/>
    </row>
    <row r="2231" spans="1:22">
      <c r="A2231" s="71" t="s">
        <v>10098</v>
      </c>
      <c r="B2231" s="67" t="s">
        <v>10099</v>
      </c>
      <c r="C2231" s="71" t="s">
        <v>103</v>
      </c>
      <c r="D2231" s="78">
        <v>47.43</v>
      </c>
      <c r="E2231" s="663">
        <v>2</v>
      </c>
      <c r="H2231" s="179">
        <v>47.43</v>
      </c>
      <c r="J2231" s="294"/>
      <c r="K2231" s="295"/>
      <c r="L2231" s="72"/>
      <c r="M2231" s="133"/>
      <c r="N2231" s="72"/>
      <c r="O2231" s="224"/>
      <c r="P2231" s="219"/>
      <c r="Q2231" s="84"/>
      <c r="S2231" s="137"/>
      <c r="T2231" s="137"/>
      <c r="V2231" s="137"/>
    </row>
    <row r="2232" spans="1:22">
      <c r="A2232" s="71" t="s">
        <v>10100</v>
      </c>
      <c r="B2232" s="67" t="s">
        <v>10101</v>
      </c>
      <c r="C2232" s="71" t="s">
        <v>103</v>
      </c>
      <c r="D2232" s="78">
        <v>36.54</v>
      </c>
      <c r="E2232" s="663">
        <v>2</v>
      </c>
      <c r="H2232" s="179">
        <v>36.54</v>
      </c>
      <c r="J2232" s="294"/>
      <c r="K2232" s="295"/>
      <c r="L2232" s="72"/>
      <c r="M2232" s="133"/>
      <c r="N2232" s="72"/>
      <c r="O2232" s="224"/>
      <c r="P2232" s="219"/>
      <c r="Q2232" s="84"/>
      <c r="S2232" s="137"/>
      <c r="T2232" s="137"/>
      <c r="V2232" s="137"/>
    </row>
    <row r="2233" spans="1:22">
      <c r="A2233" s="71" t="s">
        <v>10102</v>
      </c>
      <c r="B2233" s="67" t="s">
        <v>10103</v>
      </c>
      <c r="C2233" s="71" t="s">
        <v>165</v>
      </c>
      <c r="D2233" s="78">
        <v>22.37</v>
      </c>
      <c r="E2233" s="663">
        <v>2</v>
      </c>
      <c r="H2233" s="179">
        <v>22.37</v>
      </c>
      <c r="J2233" s="294"/>
      <c r="K2233" s="295"/>
      <c r="L2233" s="72"/>
      <c r="M2233" s="133"/>
      <c r="N2233" s="72"/>
      <c r="O2233" s="224"/>
      <c r="P2233" s="219"/>
      <c r="Q2233" s="84"/>
      <c r="S2233" s="137"/>
      <c r="T2233" s="137"/>
    </row>
    <row r="2234" spans="1:22">
      <c r="A2234" s="71" t="s">
        <v>10104</v>
      </c>
      <c r="B2234" s="67" t="s">
        <v>10105</v>
      </c>
      <c r="C2234" s="71" t="s">
        <v>165</v>
      </c>
      <c r="D2234" s="78">
        <v>33.96</v>
      </c>
      <c r="E2234" s="663">
        <v>2</v>
      </c>
      <c r="H2234" s="179">
        <v>33.96</v>
      </c>
      <c r="J2234" s="294"/>
      <c r="K2234" s="295"/>
      <c r="L2234" s="72"/>
      <c r="M2234" s="133"/>
      <c r="N2234" s="72"/>
      <c r="O2234" s="224"/>
      <c r="P2234" s="219"/>
      <c r="Q2234" s="84"/>
      <c r="S2234" s="137"/>
      <c r="T2234" s="137"/>
    </row>
    <row r="2235" spans="1:22">
      <c r="A2235" s="71" t="s">
        <v>10106</v>
      </c>
      <c r="B2235" s="67" t="s">
        <v>10107</v>
      </c>
      <c r="C2235" s="71" t="s">
        <v>165</v>
      </c>
      <c r="D2235" s="78">
        <v>44.94</v>
      </c>
      <c r="E2235" s="663">
        <v>2</v>
      </c>
      <c r="H2235" s="179">
        <v>44.94</v>
      </c>
      <c r="J2235" s="294"/>
      <c r="K2235" s="295"/>
      <c r="L2235" s="72"/>
      <c r="M2235" s="133"/>
      <c r="N2235" s="72"/>
      <c r="O2235" s="224"/>
      <c r="P2235" s="219"/>
      <c r="Q2235" s="84"/>
      <c r="S2235" s="137"/>
      <c r="T2235" s="137"/>
    </row>
    <row r="2236" spans="1:22">
      <c r="A2236" s="71" t="s">
        <v>10108</v>
      </c>
      <c r="B2236" s="67" t="s">
        <v>10109</v>
      </c>
      <c r="C2236" s="71" t="s">
        <v>165</v>
      </c>
      <c r="D2236" s="78">
        <v>68.5</v>
      </c>
      <c r="E2236" s="663">
        <v>2</v>
      </c>
      <c r="H2236" s="179">
        <v>68.5</v>
      </c>
      <c r="J2236" s="294"/>
      <c r="K2236" s="295"/>
      <c r="L2236" s="72"/>
      <c r="M2236" s="133"/>
      <c r="N2236" s="72"/>
      <c r="O2236" s="224"/>
      <c r="P2236" s="219"/>
      <c r="Q2236" s="84"/>
      <c r="S2236" s="137"/>
      <c r="T2236" s="137"/>
    </row>
    <row r="2237" spans="1:22">
      <c r="A2237" s="71" t="s">
        <v>10110</v>
      </c>
      <c r="B2237" s="67" t="s">
        <v>10111</v>
      </c>
      <c r="C2237" s="71" t="s">
        <v>165</v>
      </c>
      <c r="D2237" s="78">
        <v>125.71</v>
      </c>
      <c r="E2237" s="663">
        <v>2</v>
      </c>
      <c r="H2237" s="179">
        <v>125.71</v>
      </c>
      <c r="J2237" s="294"/>
      <c r="K2237" s="295"/>
      <c r="L2237" s="72"/>
      <c r="M2237" s="133"/>
      <c r="N2237" s="72"/>
      <c r="O2237" s="224"/>
      <c r="P2237" s="219"/>
      <c r="Q2237" s="84"/>
      <c r="S2237" s="137"/>
      <c r="T2237" s="137"/>
    </row>
    <row r="2238" spans="1:22">
      <c r="A2238" s="71" t="s">
        <v>10112</v>
      </c>
      <c r="B2238" s="67" t="s">
        <v>10113</v>
      </c>
      <c r="C2238" s="71" t="s">
        <v>165</v>
      </c>
      <c r="D2238" s="78">
        <v>18.66</v>
      </c>
      <c r="E2238" s="663">
        <v>2</v>
      </c>
      <c r="H2238" s="179">
        <v>18.66</v>
      </c>
      <c r="J2238" s="294"/>
      <c r="K2238" s="295"/>
      <c r="L2238" s="72"/>
      <c r="M2238" s="133"/>
      <c r="N2238" s="72"/>
      <c r="O2238" s="224"/>
      <c r="P2238" s="219"/>
      <c r="Q2238" s="84"/>
      <c r="S2238" s="137"/>
      <c r="T2238" s="137"/>
    </row>
    <row r="2239" spans="1:22">
      <c r="A2239" s="71" t="s">
        <v>10114</v>
      </c>
      <c r="B2239" s="67" t="s">
        <v>10115</v>
      </c>
      <c r="C2239" s="71" t="s">
        <v>165</v>
      </c>
      <c r="D2239" s="78">
        <v>28.3</v>
      </c>
      <c r="E2239" s="663">
        <v>2</v>
      </c>
      <c r="H2239" s="179">
        <v>28.3</v>
      </c>
      <c r="J2239" s="294"/>
      <c r="K2239" s="295"/>
      <c r="L2239" s="72"/>
      <c r="M2239" s="133"/>
      <c r="N2239" s="72"/>
      <c r="O2239" s="224"/>
      <c r="P2239" s="219"/>
      <c r="Q2239" s="84"/>
      <c r="S2239" s="137"/>
      <c r="T2239" s="137"/>
    </row>
    <row r="2240" spans="1:22">
      <c r="A2240" s="71" t="s">
        <v>10116</v>
      </c>
      <c r="B2240" s="67" t="s">
        <v>10117</v>
      </c>
      <c r="C2240" s="71" t="s">
        <v>165</v>
      </c>
      <c r="D2240" s="78">
        <v>37.14</v>
      </c>
      <c r="E2240" s="663">
        <v>2</v>
      </c>
      <c r="H2240" s="179">
        <v>37.14</v>
      </c>
      <c r="J2240" s="294"/>
      <c r="K2240" s="295"/>
      <c r="L2240" s="72"/>
      <c r="M2240" s="133"/>
      <c r="N2240" s="72"/>
      <c r="O2240" s="224"/>
      <c r="P2240" s="219"/>
      <c r="Q2240" s="84"/>
      <c r="S2240" s="137"/>
      <c r="T2240" s="137"/>
    </row>
    <row r="2241" spans="1:22">
      <c r="A2241" s="71" t="s">
        <v>10118</v>
      </c>
      <c r="B2241" s="67" t="s">
        <v>10119</v>
      </c>
      <c r="C2241" s="71" t="s">
        <v>165</v>
      </c>
      <c r="D2241" s="78">
        <v>56.42</v>
      </c>
      <c r="E2241" s="663">
        <v>2</v>
      </c>
      <c r="H2241" s="179">
        <v>56.42</v>
      </c>
      <c r="J2241" s="294"/>
      <c r="K2241" s="295"/>
      <c r="L2241" s="72"/>
      <c r="M2241" s="133"/>
      <c r="N2241" s="72"/>
      <c r="O2241" s="224"/>
      <c r="P2241" s="219"/>
      <c r="Q2241" s="84"/>
      <c r="S2241" s="137"/>
      <c r="T2241" s="137"/>
    </row>
    <row r="2242" spans="1:22">
      <c r="A2242" s="71" t="s">
        <v>10120</v>
      </c>
      <c r="B2242" s="67" t="s">
        <v>10121</v>
      </c>
      <c r="C2242" s="71" t="s">
        <v>165</v>
      </c>
      <c r="D2242" s="78">
        <v>112.82</v>
      </c>
      <c r="E2242" s="663">
        <v>2</v>
      </c>
      <c r="H2242" s="179">
        <v>112.82</v>
      </c>
      <c r="J2242" s="294"/>
      <c r="K2242" s="295"/>
      <c r="L2242" s="72"/>
      <c r="M2242" s="133"/>
      <c r="N2242" s="72"/>
      <c r="O2242" s="224"/>
      <c r="P2242" s="219"/>
      <c r="Q2242" s="84"/>
      <c r="S2242" s="137"/>
      <c r="T2242" s="137"/>
    </row>
    <row r="2243" spans="1:22">
      <c r="A2243" s="71" t="s">
        <v>10122</v>
      </c>
      <c r="B2243" s="67" t="s">
        <v>10123</v>
      </c>
      <c r="C2243" s="71" t="s">
        <v>165</v>
      </c>
      <c r="D2243" s="78">
        <v>61.68</v>
      </c>
      <c r="E2243" s="663">
        <v>2</v>
      </c>
      <c r="H2243" s="179">
        <v>61.68</v>
      </c>
      <c r="J2243" s="294"/>
      <c r="K2243" s="295"/>
      <c r="L2243" s="72"/>
      <c r="M2243" s="133"/>
      <c r="N2243" s="72"/>
      <c r="O2243" s="224"/>
      <c r="P2243" s="219"/>
      <c r="Q2243" s="84"/>
      <c r="S2243" s="137"/>
      <c r="T2243" s="137"/>
      <c r="V2243" s="137"/>
    </row>
    <row r="2244" spans="1:22">
      <c r="A2244" s="71" t="s">
        <v>10124</v>
      </c>
      <c r="B2244" s="67" t="s">
        <v>10125</v>
      </c>
      <c r="C2244" s="71" t="s">
        <v>165</v>
      </c>
      <c r="D2244" s="78">
        <v>84.41</v>
      </c>
      <c r="E2244" s="663">
        <v>2</v>
      </c>
      <c r="H2244" s="179">
        <v>84.41</v>
      </c>
      <c r="J2244" s="294"/>
      <c r="K2244" s="295"/>
      <c r="L2244" s="72"/>
      <c r="M2244" s="133"/>
      <c r="N2244" s="72"/>
      <c r="O2244" s="224"/>
      <c r="P2244" s="219"/>
      <c r="Q2244" s="84"/>
      <c r="S2244" s="137"/>
      <c r="T2244" s="137"/>
      <c r="V2244" s="137"/>
    </row>
    <row r="2245" spans="1:22">
      <c r="A2245" s="71" t="s">
        <v>10126</v>
      </c>
      <c r="B2245" s="67" t="s">
        <v>10127</v>
      </c>
      <c r="C2245" s="71" t="s">
        <v>165</v>
      </c>
      <c r="D2245" s="78">
        <v>75.92</v>
      </c>
      <c r="E2245" s="663">
        <v>2</v>
      </c>
      <c r="H2245" s="179">
        <v>75.92</v>
      </c>
      <c r="J2245" s="294"/>
      <c r="K2245" s="295"/>
      <c r="L2245" s="72"/>
      <c r="M2245" s="133"/>
      <c r="N2245" s="72"/>
      <c r="O2245" s="224"/>
      <c r="P2245" s="219"/>
      <c r="Q2245" s="84"/>
      <c r="S2245" s="137"/>
      <c r="T2245" s="137"/>
    </row>
    <row r="2246" spans="1:22">
      <c r="A2246" s="71" t="s">
        <v>10128</v>
      </c>
      <c r="B2246" s="67" t="s">
        <v>10129</v>
      </c>
      <c r="C2246" s="71" t="s">
        <v>165</v>
      </c>
      <c r="D2246" s="78">
        <v>97.58</v>
      </c>
      <c r="E2246" s="663">
        <v>2</v>
      </c>
      <c r="H2246" s="179">
        <v>97.58</v>
      </c>
      <c r="J2246" s="294"/>
      <c r="K2246" s="295"/>
      <c r="L2246" s="72"/>
      <c r="M2246" s="133"/>
      <c r="N2246" s="72"/>
      <c r="O2246" s="224"/>
      <c r="P2246" s="219"/>
      <c r="Q2246" s="84"/>
      <c r="S2246" s="137"/>
      <c r="T2246" s="137"/>
    </row>
    <row r="2247" spans="1:22">
      <c r="A2247" s="71" t="s">
        <v>10130</v>
      </c>
      <c r="B2247" s="67" t="s">
        <v>10131</v>
      </c>
      <c r="C2247" s="71" t="s">
        <v>165</v>
      </c>
      <c r="D2247" s="78">
        <v>7.41</v>
      </c>
      <c r="E2247" s="663">
        <v>2</v>
      </c>
      <c r="H2247" s="179">
        <v>7.41</v>
      </c>
      <c r="J2247" s="294"/>
      <c r="K2247" s="295"/>
      <c r="L2247" s="72"/>
      <c r="M2247" s="133"/>
      <c r="N2247" s="72"/>
      <c r="O2247" s="224"/>
      <c r="P2247" s="219"/>
      <c r="Q2247" s="84"/>
      <c r="S2247" s="137"/>
      <c r="T2247" s="137"/>
    </row>
    <row r="2248" spans="1:22">
      <c r="A2248" s="71" t="s">
        <v>10132</v>
      </c>
      <c r="B2248" s="67" t="s">
        <v>10133</v>
      </c>
      <c r="C2248" s="71" t="s">
        <v>165</v>
      </c>
      <c r="D2248" s="78">
        <v>8.4700000000000006</v>
      </c>
      <c r="E2248" s="663">
        <v>2</v>
      </c>
      <c r="H2248" s="179">
        <v>8.4700000000000006</v>
      </c>
      <c r="J2248" s="294"/>
      <c r="K2248" s="295"/>
      <c r="L2248" s="72"/>
      <c r="M2248" s="133"/>
      <c r="N2248" s="72"/>
      <c r="O2248" s="224"/>
      <c r="P2248" s="219"/>
      <c r="Q2248" s="84"/>
      <c r="S2248" s="137"/>
      <c r="T2248" s="137"/>
    </row>
    <row r="2249" spans="1:22">
      <c r="A2249" s="71" t="s">
        <v>10134</v>
      </c>
      <c r="B2249" s="67" t="s">
        <v>10135</v>
      </c>
      <c r="C2249" s="71" t="s">
        <v>165</v>
      </c>
      <c r="D2249" s="78">
        <v>10.58</v>
      </c>
      <c r="E2249" s="663">
        <v>2</v>
      </c>
      <c r="H2249" s="179">
        <v>10.58</v>
      </c>
      <c r="J2249" s="294"/>
      <c r="K2249" s="295"/>
      <c r="L2249" s="72"/>
      <c r="M2249" s="133"/>
      <c r="N2249" s="72"/>
      <c r="O2249" s="224"/>
      <c r="P2249" s="219"/>
      <c r="Q2249" s="84"/>
      <c r="S2249" s="137"/>
      <c r="T2249" s="137"/>
    </row>
    <row r="2250" spans="1:22">
      <c r="A2250" s="71" t="s">
        <v>10136</v>
      </c>
      <c r="B2250" s="67" t="s">
        <v>10137</v>
      </c>
      <c r="C2250" s="71" t="s">
        <v>165</v>
      </c>
      <c r="D2250" s="78">
        <v>21.66</v>
      </c>
      <c r="E2250" s="663">
        <v>2</v>
      </c>
      <c r="H2250" s="179">
        <v>21.66</v>
      </c>
      <c r="J2250" s="294"/>
      <c r="K2250" s="295"/>
      <c r="L2250" s="72"/>
      <c r="M2250" s="133"/>
      <c r="N2250" s="72"/>
      <c r="O2250" s="224"/>
      <c r="P2250" s="219"/>
      <c r="Q2250" s="84"/>
      <c r="S2250" s="137"/>
      <c r="T2250" s="137"/>
    </row>
    <row r="2251" spans="1:22">
      <c r="A2251" s="71" t="s">
        <v>10138</v>
      </c>
      <c r="B2251" s="67" t="s">
        <v>10139</v>
      </c>
      <c r="C2251" s="71" t="s">
        <v>165</v>
      </c>
      <c r="D2251" s="78">
        <v>5.39</v>
      </c>
      <c r="E2251" s="663">
        <v>2</v>
      </c>
      <c r="H2251" s="179">
        <v>5.39</v>
      </c>
      <c r="J2251" s="294"/>
      <c r="K2251" s="295"/>
      <c r="L2251" s="72"/>
      <c r="M2251" s="133"/>
      <c r="N2251" s="72"/>
      <c r="O2251" s="224"/>
      <c r="P2251" s="219"/>
      <c r="Q2251" s="84"/>
      <c r="S2251" s="137"/>
      <c r="T2251" s="137"/>
    </row>
    <row r="2252" spans="1:22">
      <c r="A2252" s="71" t="s">
        <v>10140</v>
      </c>
      <c r="B2252" s="67" t="s">
        <v>10141</v>
      </c>
      <c r="C2252" s="71" t="s">
        <v>165</v>
      </c>
      <c r="D2252" s="78">
        <v>8.32</v>
      </c>
      <c r="E2252" s="663">
        <v>2</v>
      </c>
      <c r="H2252" s="179">
        <v>8.32</v>
      </c>
      <c r="J2252" s="294"/>
      <c r="K2252" s="295"/>
      <c r="L2252" s="72"/>
      <c r="M2252" s="133"/>
      <c r="N2252" s="72"/>
      <c r="O2252" s="224"/>
      <c r="P2252" s="219"/>
      <c r="Q2252" s="84"/>
      <c r="S2252" s="137"/>
      <c r="T2252" s="137"/>
    </row>
    <row r="2253" spans="1:22">
      <c r="A2253" s="71" t="s">
        <v>10142</v>
      </c>
      <c r="B2253" s="67" t="s">
        <v>10143</v>
      </c>
      <c r="C2253" s="71" t="s">
        <v>103</v>
      </c>
      <c r="D2253" s="78">
        <v>28.94</v>
      </c>
      <c r="E2253" s="663">
        <v>2</v>
      </c>
      <c r="H2253" s="178">
        <v>28.94</v>
      </c>
      <c r="J2253" s="294"/>
      <c r="K2253" s="295"/>
      <c r="L2253" s="72"/>
      <c r="M2253" s="133"/>
      <c r="N2253" s="72"/>
      <c r="O2253" s="224"/>
      <c r="P2253" s="219"/>
      <c r="Q2253" s="84"/>
      <c r="S2253" s="136"/>
      <c r="T2253" s="136"/>
      <c r="V2253" s="136"/>
    </row>
    <row r="2254" spans="1:22">
      <c r="A2254" s="71" t="s">
        <v>10144</v>
      </c>
      <c r="B2254" s="67" t="s">
        <v>10145</v>
      </c>
      <c r="C2254" s="71" t="s">
        <v>103</v>
      </c>
      <c r="D2254" s="78">
        <v>1058.8800000000001</v>
      </c>
      <c r="E2254" s="663">
        <v>2</v>
      </c>
      <c r="H2254" s="178">
        <v>1058.8800000000001</v>
      </c>
      <c r="J2254" s="294"/>
      <c r="K2254" s="295"/>
      <c r="L2254" s="72"/>
      <c r="M2254" s="133"/>
      <c r="N2254" s="72"/>
      <c r="O2254" s="224"/>
      <c r="P2254" s="219"/>
      <c r="Q2254" s="84"/>
      <c r="S2254" s="136"/>
      <c r="T2254" s="136"/>
      <c r="V2254" s="136"/>
    </row>
    <row r="2255" spans="1:22">
      <c r="A2255" s="71" t="s">
        <v>10146</v>
      </c>
      <c r="B2255" s="67" t="s">
        <v>10147</v>
      </c>
      <c r="C2255" s="71" t="s">
        <v>103</v>
      </c>
      <c r="D2255" s="78">
        <v>13.53</v>
      </c>
      <c r="E2255" s="663">
        <v>2</v>
      </c>
      <c r="H2255" s="178">
        <v>13.53</v>
      </c>
      <c r="J2255" s="294"/>
      <c r="K2255" s="295"/>
      <c r="L2255" s="72"/>
      <c r="M2255" s="133"/>
      <c r="N2255" s="72"/>
      <c r="O2255" s="224"/>
      <c r="P2255" s="219"/>
      <c r="Q2255" s="84"/>
      <c r="S2255" s="136"/>
      <c r="T2255" s="136"/>
      <c r="V2255" s="136"/>
    </row>
    <row r="2256" spans="1:22">
      <c r="A2256" s="71" t="s">
        <v>10148</v>
      </c>
      <c r="B2256" s="67" t="s">
        <v>10149</v>
      </c>
      <c r="C2256" s="71" t="s">
        <v>103</v>
      </c>
      <c r="D2256" s="78">
        <v>28.59</v>
      </c>
      <c r="E2256" s="663">
        <v>2</v>
      </c>
      <c r="F2256" s="397"/>
      <c r="H2256" s="178">
        <v>28.59</v>
      </c>
      <c r="J2256" s="294"/>
      <c r="K2256" s="295"/>
      <c r="L2256" s="72"/>
      <c r="M2256" s="133"/>
      <c r="N2256" s="72"/>
      <c r="O2256" s="224"/>
      <c r="P2256" s="219"/>
      <c r="Q2256" s="84"/>
      <c r="S2256" s="136"/>
      <c r="T2256" s="136"/>
    </row>
    <row r="2257" spans="1:22">
      <c r="A2257" s="71" t="s">
        <v>10150</v>
      </c>
      <c r="B2257" s="67" t="s">
        <v>10151</v>
      </c>
      <c r="C2257" s="71" t="s">
        <v>103</v>
      </c>
      <c r="D2257" s="78">
        <v>95.98</v>
      </c>
      <c r="E2257" s="663">
        <v>2</v>
      </c>
      <c r="F2257" s="397"/>
      <c r="H2257" s="178">
        <v>95.98</v>
      </c>
      <c r="J2257" s="294"/>
      <c r="K2257" s="295"/>
      <c r="L2257" s="72"/>
      <c r="M2257" s="133"/>
      <c r="N2257" s="72"/>
      <c r="O2257" s="224"/>
      <c r="P2257" s="219"/>
      <c r="Q2257" s="84"/>
      <c r="S2257" s="136"/>
      <c r="T2257" s="136"/>
    </row>
    <row r="2258" spans="1:22">
      <c r="A2258" s="71" t="s">
        <v>10152</v>
      </c>
      <c r="B2258" s="67" t="s">
        <v>10153</v>
      </c>
      <c r="C2258" s="71" t="s">
        <v>103</v>
      </c>
      <c r="D2258" s="78">
        <v>71.83</v>
      </c>
      <c r="E2258" s="663">
        <v>2</v>
      </c>
      <c r="F2258" s="397"/>
      <c r="H2258" s="178">
        <v>71.83</v>
      </c>
      <c r="J2258" s="294"/>
      <c r="K2258" s="295"/>
      <c r="L2258" s="72"/>
      <c r="M2258" s="133"/>
      <c r="N2258" s="72"/>
      <c r="O2258" s="224"/>
      <c r="P2258" s="219"/>
      <c r="Q2258" s="84"/>
      <c r="S2258" s="136"/>
      <c r="T2258" s="136"/>
    </row>
    <row r="2259" spans="1:22">
      <c r="A2259" s="71" t="s">
        <v>10154</v>
      </c>
      <c r="B2259" s="67" t="s">
        <v>10155</v>
      </c>
      <c r="C2259" s="71" t="s">
        <v>396</v>
      </c>
      <c r="D2259" s="78">
        <v>47.57</v>
      </c>
      <c r="E2259" s="663">
        <v>2</v>
      </c>
      <c r="F2259" s="397"/>
      <c r="H2259" s="179">
        <v>47.57</v>
      </c>
      <c r="J2259" s="294"/>
      <c r="K2259" s="295"/>
      <c r="L2259" s="72"/>
      <c r="M2259" s="133"/>
      <c r="N2259" s="72"/>
      <c r="O2259" s="224"/>
      <c r="P2259" s="219"/>
      <c r="Q2259" s="84"/>
      <c r="S2259" s="137"/>
      <c r="T2259" s="137"/>
    </row>
    <row r="2260" spans="1:22">
      <c r="A2260" s="71" t="s">
        <v>10156</v>
      </c>
      <c r="B2260" s="67" t="s">
        <v>10157</v>
      </c>
      <c r="C2260" s="71" t="s">
        <v>103</v>
      </c>
      <c r="D2260" s="78">
        <v>8.67</v>
      </c>
      <c r="E2260" s="663">
        <v>2</v>
      </c>
      <c r="F2260" s="397"/>
      <c r="H2260" s="179">
        <v>8.67</v>
      </c>
      <c r="J2260" s="294"/>
      <c r="K2260" s="295"/>
      <c r="L2260" s="72"/>
      <c r="M2260" s="133"/>
      <c r="N2260" s="72"/>
      <c r="O2260" s="224"/>
      <c r="P2260" s="219"/>
      <c r="Q2260" s="84"/>
      <c r="S2260" s="137"/>
      <c r="T2260" s="137"/>
      <c r="V2260" s="137"/>
    </row>
    <row r="2261" spans="1:22">
      <c r="A2261" s="71" t="s">
        <v>10158</v>
      </c>
      <c r="B2261" s="67" t="s">
        <v>10159</v>
      </c>
      <c r="C2261" s="71" t="s">
        <v>103</v>
      </c>
      <c r="D2261" s="78">
        <v>68.209999999999994</v>
      </c>
      <c r="E2261" s="663">
        <v>2</v>
      </c>
      <c r="F2261" s="397"/>
      <c r="H2261" s="178">
        <v>68.209999999999994</v>
      </c>
      <c r="J2261" s="294"/>
      <c r="K2261" s="295"/>
      <c r="L2261" s="72"/>
      <c r="M2261" s="133"/>
      <c r="N2261" s="72"/>
      <c r="O2261" s="224"/>
      <c r="P2261" s="219"/>
      <c r="Q2261" s="84"/>
      <c r="S2261" s="136"/>
      <c r="T2261" s="136"/>
    </row>
    <row r="2262" spans="1:22">
      <c r="A2262" s="71" t="s">
        <v>10160</v>
      </c>
      <c r="B2262" s="67" t="s">
        <v>10161</v>
      </c>
      <c r="C2262" s="71" t="s">
        <v>103</v>
      </c>
      <c r="D2262" s="78">
        <v>371.7</v>
      </c>
      <c r="E2262" s="663">
        <v>2</v>
      </c>
      <c r="F2262" s="397"/>
      <c r="H2262" s="179">
        <v>371.7</v>
      </c>
      <c r="J2262" s="294"/>
      <c r="K2262" s="295"/>
      <c r="L2262" s="72"/>
      <c r="M2262" s="133"/>
      <c r="N2262" s="72"/>
      <c r="O2262" s="224"/>
      <c r="P2262" s="219"/>
      <c r="Q2262" s="84"/>
      <c r="S2262" s="137"/>
      <c r="T2262" s="137"/>
    </row>
    <row r="2263" spans="1:22">
      <c r="A2263" s="71" t="s">
        <v>10162</v>
      </c>
      <c r="B2263" s="67" t="s">
        <v>10163</v>
      </c>
      <c r="C2263" s="71" t="s">
        <v>103</v>
      </c>
      <c r="D2263" s="78">
        <v>737.93</v>
      </c>
      <c r="E2263" s="663">
        <v>2</v>
      </c>
      <c r="F2263" s="397"/>
      <c r="H2263" s="178">
        <v>737.93</v>
      </c>
      <c r="J2263" s="294"/>
      <c r="K2263" s="295"/>
      <c r="L2263" s="72"/>
      <c r="M2263" s="133"/>
      <c r="N2263" s="72"/>
      <c r="O2263" s="224"/>
      <c r="P2263" s="219"/>
      <c r="Q2263" s="84"/>
      <c r="S2263" s="136"/>
      <c r="T2263" s="136"/>
    </row>
    <row r="2264" spans="1:22">
      <c r="A2264" s="71" t="s">
        <v>10164</v>
      </c>
      <c r="B2264" s="67" t="s">
        <v>10165</v>
      </c>
      <c r="C2264" s="71" t="s">
        <v>103</v>
      </c>
      <c r="D2264" s="78">
        <v>202.44</v>
      </c>
      <c r="E2264" s="663">
        <v>2</v>
      </c>
      <c r="F2264" s="397"/>
      <c r="H2264" s="178">
        <v>202.44</v>
      </c>
      <c r="J2264" s="294"/>
      <c r="K2264" s="295"/>
      <c r="L2264" s="72"/>
      <c r="M2264" s="133"/>
      <c r="N2264" s="72"/>
      <c r="O2264" s="224"/>
      <c r="P2264" s="219"/>
      <c r="Q2264" s="84"/>
      <c r="S2264" s="136"/>
      <c r="T2264" s="136"/>
    </row>
    <row r="2265" spans="1:22">
      <c r="A2265" s="212" t="s">
        <v>10166</v>
      </c>
      <c r="B2265" s="216" t="s">
        <v>10167</v>
      </c>
      <c r="C2265" s="212" t="s">
        <v>103</v>
      </c>
      <c r="D2265" s="78">
        <v>1894.75</v>
      </c>
      <c r="E2265" s="663">
        <v>2</v>
      </c>
      <c r="F2265" s="397"/>
      <c r="H2265" s="178">
        <v>1894.75</v>
      </c>
      <c r="J2265" s="294"/>
      <c r="K2265" s="295"/>
      <c r="L2265" s="298"/>
      <c r="M2265" s="299"/>
      <c r="N2265" s="298"/>
      <c r="O2265" s="224"/>
      <c r="P2265" s="219"/>
      <c r="Q2265" s="84"/>
      <c r="S2265" s="136"/>
      <c r="T2265" s="136"/>
    </row>
    <row r="2266" spans="1:22">
      <c r="A2266" s="71" t="s">
        <v>10168</v>
      </c>
      <c r="B2266" s="67" t="s">
        <v>10169</v>
      </c>
      <c r="C2266" s="71" t="s">
        <v>103</v>
      </c>
      <c r="D2266" s="78">
        <v>349.12</v>
      </c>
      <c r="E2266" s="663">
        <v>2</v>
      </c>
      <c r="F2266" s="397"/>
      <c r="H2266" s="179">
        <v>349.12</v>
      </c>
      <c r="J2266" s="294"/>
      <c r="K2266" s="295"/>
      <c r="L2266" s="72"/>
      <c r="M2266" s="133"/>
      <c r="N2266" s="72"/>
      <c r="O2266" s="224"/>
      <c r="P2266" s="219"/>
      <c r="Q2266" s="84"/>
      <c r="S2266" s="137"/>
      <c r="T2266" s="137"/>
      <c r="V2266" s="137"/>
    </row>
    <row r="2267" spans="1:22">
      <c r="A2267" s="71" t="s">
        <v>10170</v>
      </c>
      <c r="B2267" s="67" t="s">
        <v>10171</v>
      </c>
      <c r="C2267" s="71" t="s">
        <v>103</v>
      </c>
      <c r="D2267" s="78">
        <v>274.79000000000002</v>
      </c>
      <c r="E2267" s="663">
        <v>2</v>
      </c>
      <c r="F2267" s="397"/>
      <c r="H2267" s="179">
        <v>274.79000000000002</v>
      </c>
      <c r="J2267" s="294"/>
      <c r="K2267" s="295"/>
      <c r="L2267" s="72"/>
      <c r="M2267" s="133"/>
      <c r="N2267" s="72"/>
      <c r="O2267" s="224"/>
      <c r="P2267" s="219"/>
      <c r="Q2267" s="84"/>
      <c r="S2267" s="137"/>
      <c r="T2267" s="137"/>
      <c r="V2267" s="137"/>
    </row>
    <row r="2268" spans="1:22">
      <c r="A2268" s="71" t="s">
        <v>10172</v>
      </c>
      <c r="B2268" s="67" t="s">
        <v>10173</v>
      </c>
      <c r="C2268" s="71" t="s">
        <v>103</v>
      </c>
      <c r="D2268" s="78">
        <v>9.27</v>
      </c>
      <c r="E2268" s="663">
        <v>2</v>
      </c>
      <c r="F2268" s="397"/>
      <c r="H2268" s="179">
        <v>9.27</v>
      </c>
      <c r="J2268" s="294"/>
      <c r="K2268" s="295"/>
      <c r="L2268" s="72"/>
      <c r="M2268" s="133"/>
      <c r="N2268" s="72"/>
      <c r="O2268" s="224"/>
      <c r="P2268" s="219"/>
      <c r="Q2268" s="84"/>
      <c r="S2268" s="137"/>
      <c r="T2268" s="137"/>
      <c r="V2268" s="137"/>
    </row>
    <row r="2269" spans="1:22">
      <c r="A2269" s="71" t="s">
        <v>10174</v>
      </c>
      <c r="B2269" s="67" t="s">
        <v>10175</v>
      </c>
      <c r="C2269" s="71" t="s">
        <v>207</v>
      </c>
      <c r="D2269" s="78">
        <v>211.89</v>
      </c>
      <c r="E2269" s="663">
        <v>2</v>
      </c>
      <c r="F2269" s="397"/>
      <c r="H2269" s="179">
        <v>211.89</v>
      </c>
      <c r="J2269" s="294"/>
      <c r="K2269" s="295"/>
      <c r="L2269" s="72"/>
      <c r="M2269" s="133"/>
      <c r="N2269" s="72"/>
      <c r="O2269" s="224"/>
      <c r="P2269" s="219"/>
      <c r="Q2269" s="84"/>
      <c r="S2269" s="137"/>
      <c r="T2269" s="137"/>
    </row>
    <row r="2270" spans="1:22">
      <c r="A2270" s="71" t="s">
        <v>10176</v>
      </c>
      <c r="B2270" s="67" t="s">
        <v>10177</v>
      </c>
      <c r="C2270" s="71" t="s">
        <v>153</v>
      </c>
      <c r="D2270" s="78">
        <v>65.569999999999993</v>
      </c>
      <c r="E2270" s="663">
        <v>2</v>
      </c>
      <c r="F2270" s="397"/>
      <c r="H2270" s="721">
        <v>65.569999999999993</v>
      </c>
      <c r="J2270" s="294"/>
      <c r="K2270" s="295"/>
      <c r="M2270" s="72"/>
      <c r="N2270" s="133"/>
      <c r="O2270" s="72"/>
      <c r="P2270" s="224"/>
      <c r="Q2270" s="219"/>
      <c r="T2270" s="136"/>
      <c r="V2270" s="136"/>
    </row>
    <row r="2271" spans="1:22">
      <c r="A2271" s="71" t="s">
        <v>10178</v>
      </c>
      <c r="B2271" s="67" t="s">
        <v>10179</v>
      </c>
      <c r="C2271" s="71" t="s">
        <v>153</v>
      </c>
      <c r="D2271" s="78">
        <v>51.26</v>
      </c>
      <c r="E2271" s="663">
        <v>2</v>
      </c>
      <c r="F2271" s="397"/>
      <c r="H2271" s="178">
        <v>51.26</v>
      </c>
      <c r="J2271" s="294"/>
      <c r="K2271" s="295"/>
      <c r="L2271" s="72"/>
      <c r="M2271" s="133"/>
      <c r="N2271" s="72"/>
      <c r="O2271" s="224"/>
      <c r="P2271" s="219"/>
      <c r="Q2271" s="84"/>
      <c r="S2271" s="136"/>
      <c r="T2271" s="136"/>
    </row>
    <row r="2272" spans="1:22">
      <c r="A2272" s="71" t="s">
        <v>10180</v>
      </c>
      <c r="B2272" s="67" t="s">
        <v>10181</v>
      </c>
      <c r="C2272" s="71" t="s">
        <v>103</v>
      </c>
      <c r="D2272" s="78">
        <v>93.34</v>
      </c>
      <c r="E2272" s="663">
        <v>2</v>
      </c>
      <c r="F2272" s="397"/>
      <c r="H2272" s="179">
        <v>93.34</v>
      </c>
      <c r="J2272" s="294"/>
      <c r="K2272" s="295"/>
      <c r="L2272" s="72"/>
      <c r="M2272" s="133"/>
      <c r="N2272" s="72"/>
      <c r="O2272" s="224"/>
      <c r="P2272" s="219"/>
      <c r="Q2272" s="84"/>
      <c r="S2272" s="137"/>
      <c r="T2272" s="137"/>
    </row>
    <row r="2273" spans="1:22">
      <c r="A2273" s="71" t="s">
        <v>10182</v>
      </c>
      <c r="B2273" s="67" t="s">
        <v>10183</v>
      </c>
      <c r="C2273" s="71" t="s">
        <v>103</v>
      </c>
      <c r="D2273" s="78">
        <v>119.83</v>
      </c>
      <c r="E2273" s="663">
        <v>2</v>
      </c>
      <c r="F2273" s="397"/>
      <c r="H2273" s="179">
        <v>119.83</v>
      </c>
      <c r="J2273" s="294"/>
      <c r="K2273" s="295"/>
      <c r="L2273" s="72"/>
      <c r="M2273" s="133"/>
      <c r="N2273" s="72"/>
      <c r="O2273" s="224"/>
      <c r="P2273" s="219"/>
      <c r="Q2273" s="84"/>
      <c r="S2273" s="137"/>
      <c r="T2273" s="137"/>
    </row>
    <row r="2274" spans="1:22">
      <c r="A2274" s="71" t="s">
        <v>10184</v>
      </c>
      <c r="B2274" s="67" t="s">
        <v>10185</v>
      </c>
      <c r="C2274" s="71" t="s">
        <v>103</v>
      </c>
      <c r="D2274" s="78">
        <v>316.29000000000002</v>
      </c>
      <c r="E2274" s="663">
        <v>2</v>
      </c>
      <c r="F2274" s="397"/>
      <c r="H2274" s="179">
        <v>316.29000000000002</v>
      </c>
      <c r="J2274" s="294"/>
      <c r="K2274" s="295"/>
      <c r="L2274" s="72"/>
      <c r="M2274" s="133"/>
      <c r="N2274" s="72"/>
      <c r="O2274" s="224"/>
      <c r="P2274" s="219"/>
      <c r="Q2274" s="84"/>
      <c r="S2274" s="137"/>
      <c r="T2274" s="137"/>
    </row>
    <row r="2275" spans="1:22">
      <c r="A2275" s="71" t="s">
        <v>10186</v>
      </c>
      <c r="B2275" s="67" t="s">
        <v>10187</v>
      </c>
      <c r="C2275" s="71" t="s">
        <v>165</v>
      </c>
      <c r="D2275" s="78">
        <v>6.32</v>
      </c>
      <c r="E2275" s="663">
        <v>2</v>
      </c>
      <c r="F2275" s="397"/>
      <c r="H2275" s="179">
        <v>6.32</v>
      </c>
      <c r="J2275" s="294"/>
      <c r="K2275" s="295"/>
      <c r="L2275" s="72"/>
      <c r="M2275" s="133"/>
      <c r="N2275" s="72"/>
      <c r="O2275" s="224"/>
      <c r="P2275" s="219"/>
      <c r="Q2275" s="84"/>
      <c r="S2275" s="137"/>
      <c r="T2275" s="137"/>
      <c r="V2275" s="137"/>
    </row>
    <row r="2276" spans="1:22">
      <c r="A2276" s="71" t="s">
        <v>10188</v>
      </c>
      <c r="B2276" s="67" t="s">
        <v>10189</v>
      </c>
      <c r="C2276" s="71" t="s">
        <v>207</v>
      </c>
      <c r="D2276" s="78">
        <v>17.96</v>
      </c>
      <c r="E2276" s="663">
        <v>2</v>
      </c>
      <c r="F2276" s="397"/>
      <c r="H2276" s="178">
        <v>17.96</v>
      </c>
      <c r="J2276" s="294"/>
      <c r="K2276" s="295"/>
      <c r="L2276" s="72"/>
      <c r="M2276" s="133"/>
      <c r="N2276" s="72"/>
      <c r="O2276" s="224"/>
      <c r="P2276" s="219"/>
      <c r="Q2276" s="84"/>
      <c r="S2276" s="136"/>
      <c r="T2276" s="136"/>
      <c r="V2276" s="136"/>
    </row>
    <row r="2277" spans="1:22">
      <c r="A2277" s="71" t="s">
        <v>10190</v>
      </c>
      <c r="B2277" s="67" t="s">
        <v>10191</v>
      </c>
      <c r="C2277" s="71" t="s">
        <v>103</v>
      </c>
      <c r="D2277" s="78">
        <v>147.59</v>
      </c>
      <c r="E2277" s="663">
        <v>2</v>
      </c>
      <c r="F2277" s="397"/>
      <c r="H2277" s="179">
        <v>147.59</v>
      </c>
      <c r="J2277" s="294"/>
      <c r="K2277" s="295"/>
      <c r="L2277" s="72"/>
      <c r="M2277" s="133"/>
      <c r="N2277" s="72"/>
      <c r="O2277" s="224"/>
      <c r="P2277" s="219"/>
      <c r="Q2277" s="84"/>
      <c r="S2277" s="137"/>
      <c r="T2277" s="137"/>
      <c r="V2277" s="137"/>
    </row>
    <row r="2278" spans="1:22">
      <c r="A2278" s="71" t="s">
        <v>10192</v>
      </c>
      <c r="B2278" s="67" t="s">
        <v>10193</v>
      </c>
      <c r="C2278" s="71" t="s">
        <v>103</v>
      </c>
      <c r="D2278" s="78">
        <v>114.65</v>
      </c>
      <c r="E2278" s="663">
        <v>2</v>
      </c>
      <c r="F2278" s="397"/>
      <c r="H2278" s="179">
        <v>114.65</v>
      </c>
      <c r="J2278" s="294"/>
      <c r="K2278" s="295"/>
      <c r="L2278" s="72"/>
      <c r="M2278" s="133"/>
      <c r="N2278" s="72"/>
      <c r="O2278" s="224"/>
      <c r="P2278" s="219"/>
      <c r="Q2278" s="84"/>
      <c r="S2278" s="137"/>
      <c r="T2278" s="137"/>
    </row>
    <row r="2279" spans="1:22">
      <c r="A2279" s="71" t="s">
        <v>10194</v>
      </c>
      <c r="B2279" s="67" t="s">
        <v>10195</v>
      </c>
      <c r="C2279" s="71" t="s">
        <v>103</v>
      </c>
      <c r="D2279" s="78">
        <v>105.05</v>
      </c>
      <c r="E2279" s="663">
        <v>2</v>
      </c>
      <c r="F2279" s="397"/>
      <c r="H2279" s="179">
        <v>105.05</v>
      </c>
      <c r="J2279" s="294"/>
      <c r="K2279" s="295"/>
      <c r="L2279" s="72"/>
      <c r="M2279" s="133"/>
      <c r="N2279" s="72"/>
      <c r="O2279" s="224"/>
      <c r="P2279" s="219"/>
      <c r="Q2279" s="84"/>
      <c r="S2279" s="137"/>
      <c r="T2279" s="137"/>
    </row>
    <row r="2280" spans="1:22">
      <c r="A2280" s="71" t="s">
        <v>10196</v>
      </c>
      <c r="B2280" s="67" t="s">
        <v>10197</v>
      </c>
      <c r="C2280" s="71" t="s">
        <v>396</v>
      </c>
      <c r="D2280" s="78">
        <v>107.69</v>
      </c>
      <c r="E2280" s="663">
        <v>2</v>
      </c>
      <c r="H2280" s="179">
        <v>107.69</v>
      </c>
      <c r="J2280" s="294"/>
      <c r="K2280" s="295"/>
      <c r="L2280" s="72"/>
      <c r="M2280" s="133"/>
      <c r="N2280" s="72"/>
      <c r="O2280" s="224"/>
      <c r="P2280" s="219"/>
      <c r="Q2280" s="84"/>
      <c r="S2280" s="137"/>
      <c r="T2280" s="137"/>
      <c r="V2280" s="137"/>
    </row>
    <row r="2281" spans="1:22">
      <c r="A2281" s="71" t="s">
        <v>10198</v>
      </c>
      <c r="B2281" s="67" t="s">
        <v>10199</v>
      </c>
      <c r="C2281" s="71" t="s">
        <v>103</v>
      </c>
      <c r="D2281" s="78">
        <v>38.32</v>
      </c>
      <c r="E2281" s="663">
        <v>2</v>
      </c>
      <c r="H2281" s="179">
        <v>38.32</v>
      </c>
      <c r="J2281" s="294"/>
      <c r="K2281" s="295"/>
      <c r="L2281" s="72"/>
      <c r="M2281" s="133"/>
      <c r="N2281" s="72"/>
      <c r="O2281" s="224"/>
      <c r="P2281" s="219"/>
      <c r="Q2281" s="84"/>
      <c r="S2281" s="137"/>
      <c r="T2281" s="137"/>
      <c r="V2281" s="137"/>
    </row>
    <row r="2282" spans="1:22">
      <c r="A2282" s="71" t="s">
        <v>10200</v>
      </c>
      <c r="B2282" s="67" t="s">
        <v>10201</v>
      </c>
      <c r="C2282" s="71" t="s">
        <v>103</v>
      </c>
      <c r="D2282" s="78">
        <v>9.85</v>
      </c>
      <c r="E2282" s="663">
        <v>2</v>
      </c>
      <c r="H2282" s="178">
        <v>9.85</v>
      </c>
      <c r="J2282" s="294"/>
      <c r="K2282" s="295"/>
      <c r="L2282" s="72"/>
      <c r="M2282" s="133"/>
      <c r="N2282" s="72"/>
      <c r="O2282" s="224"/>
      <c r="P2282" s="219"/>
      <c r="Q2282" s="84"/>
      <c r="S2282" s="136"/>
      <c r="T2282" s="136"/>
      <c r="V2282" s="136"/>
    </row>
    <row r="2283" spans="1:22">
      <c r="A2283" s="71" t="s">
        <v>10202</v>
      </c>
      <c r="B2283" s="67" t="s">
        <v>10203</v>
      </c>
      <c r="C2283" s="71" t="s">
        <v>103</v>
      </c>
      <c r="D2283" s="78">
        <v>1.6</v>
      </c>
      <c r="E2283" s="663">
        <v>2</v>
      </c>
      <c r="H2283" s="179">
        <v>1.6</v>
      </c>
      <c r="J2283" s="294"/>
      <c r="K2283" s="295"/>
      <c r="L2283" s="72"/>
      <c r="M2283" s="133"/>
      <c r="N2283" s="72"/>
      <c r="O2283" s="224"/>
      <c r="P2283" s="219"/>
      <c r="Q2283" s="84"/>
      <c r="S2283" s="137"/>
      <c r="T2283" s="137"/>
      <c r="V2283" s="137"/>
    </row>
    <row r="2284" spans="1:22">
      <c r="A2284" s="71" t="s">
        <v>10204</v>
      </c>
      <c r="B2284" s="67" t="s">
        <v>10205</v>
      </c>
      <c r="C2284" s="71" t="s">
        <v>103</v>
      </c>
      <c r="D2284" s="78">
        <v>49.36</v>
      </c>
      <c r="E2284" s="663">
        <v>2</v>
      </c>
      <c r="F2284" s="397"/>
      <c r="H2284" s="179">
        <v>49.36</v>
      </c>
      <c r="J2284" s="294"/>
      <c r="K2284" s="295"/>
      <c r="L2284" s="72"/>
      <c r="M2284" s="133"/>
      <c r="N2284" s="72"/>
      <c r="O2284" s="224"/>
      <c r="P2284" s="219"/>
      <c r="Q2284" s="84"/>
      <c r="S2284" s="137"/>
      <c r="T2284" s="137"/>
      <c r="V2284" s="137"/>
    </row>
    <row r="2285" spans="1:22">
      <c r="A2285" s="71" t="s">
        <v>10206</v>
      </c>
      <c r="B2285" s="67" t="s">
        <v>10207</v>
      </c>
      <c r="C2285" s="71" t="s">
        <v>103</v>
      </c>
      <c r="D2285" s="78">
        <v>133.09</v>
      </c>
      <c r="E2285" s="663">
        <v>2</v>
      </c>
      <c r="H2285" s="179">
        <v>133.09</v>
      </c>
      <c r="J2285" s="294"/>
      <c r="K2285" s="295"/>
      <c r="L2285" s="72"/>
      <c r="M2285" s="133"/>
      <c r="N2285" s="72"/>
      <c r="O2285" s="224"/>
      <c r="P2285" s="219"/>
      <c r="Q2285" s="84"/>
      <c r="S2285" s="137"/>
      <c r="T2285" s="137"/>
      <c r="V2285" s="137"/>
    </row>
    <row r="2286" spans="1:22">
      <c r="A2286" s="71" t="s">
        <v>10208</v>
      </c>
      <c r="B2286" s="67" t="s">
        <v>10209</v>
      </c>
      <c r="C2286" s="71" t="s">
        <v>103</v>
      </c>
      <c r="D2286" s="78">
        <v>79.41</v>
      </c>
      <c r="E2286" s="663">
        <v>2</v>
      </c>
      <c r="H2286" s="179">
        <v>79.41</v>
      </c>
      <c r="J2286" s="294"/>
      <c r="K2286" s="295"/>
      <c r="L2286" s="72"/>
      <c r="M2286" s="133"/>
      <c r="N2286" s="72"/>
      <c r="O2286" s="224"/>
      <c r="P2286" s="219"/>
      <c r="Q2286" s="84"/>
      <c r="S2286" s="137"/>
      <c r="T2286" s="137"/>
      <c r="V2286" s="137"/>
    </row>
    <row r="2287" spans="1:22">
      <c r="A2287" s="71" t="s">
        <v>10210</v>
      </c>
      <c r="B2287" s="67" t="s">
        <v>10211</v>
      </c>
      <c r="C2287" s="71" t="s">
        <v>103</v>
      </c>
      <c r="D2287" s="78">
        <v>22.93</v>
      </c>
      <c r="E2287" s="663">
        <v>2</v>
      </c>
      <c r="H2287" s="179">
        <v>22.93</v>
      </c>
      <c r="J2287" s="294"/>
      <c r="K2287" s="295"/>
      <c r="L2287" s="72"/>
      <c r="M2287" s="133"/>
      <c r="N2287" s="72"/>
      <c r="O2287" s="224"/>
      <c r="P2287" s="219"/>
      <c r="Q2287" s="84"/>
      <c r="S2287" s="137"/>
      <c r="T2287" s="137"/>
    </row>
    <row r="2288" spans="1:22">
      <c r="A2288" s="71" t="s">
        <v>10212</v>
      </c>
      <c r="B2288" s="67" t="s">
        <v>10213</v>
      </c>
      <c r="C2288" s="71" t="s">
        <v>207</v>
      </c>
      <c r="D2288" s="78">
        <v>72.650000000000006</v>
      </c>
      <c r="E2288" s="663">
        <v>2</v>
      </c>
      <c r="H2288" s="178">
        <v>72.650000000000006</v>
      </c>
      <c r="J2288" s="294"/>
      <c r="K2288" s="295"/>
      <c r="L2288" s="72"/>
      <c r="M2288" s="133"/>
      <c r="N2288" s="72"/>
      <c r="O2288" s="224"/>
      <c r="P2288" s="219"/>
      <c r="Q2288" s="84"/>
      <c r="S2288" s="136"/>
      <c r="T2288" s="136"/>
    </row>
    <row r="2289" spans="1:22">
      <c r="A2289" s="71" t="s">
        <v>10214</v>
      </c>
      <c r="B2289" s="67" t="s">
        <v>10215</v>
      </c>
      <c r="C2289" s="71" t="s">
        <v>10216</v>
      </c>
      <c r="D2289" s="78">
        <v>577.26</v>
      </c>
      <c r="E2289" s="663">
        <v>2</v>
      </c>
      <c r="H2289" s="178">
        <v>577.26</v>
      </c>
      <c r="J2289" s="294"/>
      <c r="K2289" s="295"/>
      <c r="L2289" s="72"/>
      <c r="M2289" s="133"/>
      <c r="N2289" s="72"/>
      <c r="O2289" s="224"/>
      <c r="P2289" s="219"/>
      <c r="Q2289" s="84"/>
      <c r="S2289" s="136"/>
      <c r="T2289" s="140"/>
      <c r="V2289" s="140"/>
    </row>
    <row r="2290" spans="1:22">
      <c r="A2290" s="71" t="s">
        <v>10217</v>
      </c>
      <c r="B2290" s="67" t="s">
        <v>10218</v>
      </c>
      <c r="C2290" s="71" t="s">
        <v>103</v>
      </c>
      <c r="D2290" s="78">
        <v>285.67</v>
      </c>
      <c r="E2290" s="663">
        <v>2</v>
      </c>
      <c r="H2290" s="179">
        <v>285.67</v>
      </c>
      <c r="J2290" s="294"/>
      <c r="K2290" s="295"/>
      <c r="L2290" s="72"/>
      <c r="M2290" s="133"/>
      <c r="N2290" s="72"/>
      <c r="O2290" s="224"/>
      <c r="P2290" s="219"/>
      <c r="Q2290" s="84"/>
      <c r="S2290" s="137"/>
      <c r="T2290" s="137"/>
    </row>
    <row r="2291" spans="1:22">
      <c r="A2291" s="71" t="s">
        <v>10219</v>
      </c>
      <c r="B2291" s="67" t="s">
        <v>10220</v>
      </c>
      <c r="C2291" s="71" t="s">
        <v>103</v>
      </c>
      <c r="D2291" s="78">
        <v>144.33000000000001</v>
      </c>
      <c r="E2291" s="663">
        <v>2</v>
      </c>
      <c r="F2291" s="397"/>
      <c r="H2291" s="179">
        <v>144.33000000000001</v>
      </c>
      <c r="J2291" s="294"/>
      <c r="K2291" s="295"/>
      <c r="L2291" s="72"/>
      <c r="M2291" s="133"/>
      <c r="N2291" s="72"/>
      <c r="O2291" s="224"/>
      <c r="P2291" s="219"/>
      <c r="Q2291" s="84"/>
      <c r="S2291" s="137"/>
      <c r="T2291" s="137"/>
    </row>
    <row r="2292" spans="1:22">
      <c r="A2292" s="71" t="s">
        <v>10221</v>
      </c>
      <c r="B2292" s="67" t="s">
        <v>10222</v>
      </c>
      <c r="C2292" s="71" t="s">
        <v>11</v>
      </c>
      <c r="D2292" s="78">
        <v>3.02</v>
      </c>
      <c r="E2292" s="663">
        <v>3</v>
      </c>
      <c r="H2292" s="178">
        <v>3.02</v>
      </c>
      <c r="J2292" s="294"/>
      <c r="K2292" s="295"/>
      <c r="L2292" s="72"/>
      <c r="M2292" s="133"/>
      <c r="N2292" s="72"/>
      <c r="O2292" s="139"/>
      <c r="P2292" s="219"/>
      <c r="Q2292" s="84"/>
      <c r="S2292" s="136"/>
      <c r="T2292" s="136"/>
      <c r="V2292" s="136"/>
    </row>
    <row r="2293" spans="1:22">
      <c r="A2293" s="71" t="s">
        <v>10223</v>
      </c>
      <c r="B2293" s="67" t="s">
        <v>10224</v>
      </c>
      <c r="C2293" s="71" t="s">
        <v>103</v>
      </c>
      <c r="D2293" s="78">
        <v>490.41</v>
      </c>
      <c r="E2293" s="663">
        <v>2</v>
      </c>
      <c r="H2293" s="721">
        <v>490.41</v>
      </c>
      <c r="J2293" s="294"/>
      <c r="K2293" s="295"/>
      <c r="M2293" s="72"/>
      <c r="N2293" s="133"/>
      <c r="O2293" s="72"/>
      <c r="P2293" s="224"/>
      <c r="Q2293" s="219"/>
      <c r="T2293" s="136"/>
      <c r="V2293" s="136"/>
    </row>
    <row r="2294" spans="1:22">
      <c r="A2294" s="71" t="s">
        <v>10225</v>
      </c>
      <c r="B2294" s="67" t="s">
        <v>10226</v>
      </c>
      <c r="C2294" s="71" t="s">
        <v>165</v>
      </c>
      <c r="D2294" s="78">
        <v>95.51</v>
      </c>
      <c r="E2294" s="663">
        <v>2</v>
      </c>
      <c r="H2294" s="179">
        <v>95.51</v>
      </c>
      <c r="J2294" s="294"/>
      <c r="K2294" s="295"/>
      <c r="L2294" s="72"/>
      <c r="M2294" s="133"/>
      <c r="N2294" s="72"/>
      <c r="O2294" s="224"/>
      <c r="P2294" s="219"/>
      <c r="Q2294" s="84"/>
      <c r="S2294" s="137"/>
      <c r="T2294" s="137"/>
      <c r="V2294" s="137"/>
    </row>
    <row r="2295" spans="1:22">
      <c r="A2295" s="71" t="s">
        <v>10227</v>
      </c>
      <c r="B2295" s="216" t="s">
        <v>10228</v>
      </c>
      <c r="C2295" s="212" t="s">
        <v>11</v>
      </c>
      <c r="D2295" s="78">
        <v>378.17</v>
      </c>
      <c r="E2295" s="663">
        <v>3</v>
      </c>
      <c r="H2295" s="178">
        <v>378.17</v>
      </c>
      <c r="J2295" s="294"/>
      <c r="K2295" s="295"/>
      <c r="L2295" s="72"/>
      <c r="M2295" s="299"/>
      <c r="N2295" s="298"/>
      <c r="O2295" s="139"/>
      <c r="P2295" s="219"/>
      <c r="Q2295" s="84"/>
      <c r="S2295" s="136"/>
      <c r="T2295" s="136"/>
    </row>
    <row r="2296" spans="1:22">
      <c r="A2296" s="212" t="s">
        <v>10229</v>
      </c>
      <c r="B2296" s="216" t="s">
        <v>10230</v>
      </c>
      <c r="C2296" s="212" t="s">
        <v>11</v>
      </c>
      <c r="D2296" s="78">
        <v>240.17</v>
      </c>
      <c r="E2296" s="663">
        <v>3</v>
      </c>
      <c r="H2296" s="178">
        <v>240.17</v>
      </c>
      <c r="J2296" s="294"/>
      <c r="K2296" s="295"/>
      <c r="L2296" s="298"/>
      <c r="M2296" s="299"/>
      <c r="N2296" s="298"/>
      <c r="O2296" s="139"/>
      <c r="P2296" s="219"/>
      <c r="Q2296" s="84"/>
      <c r="S2296" s="136"/>
      <c r="T2296" s="140"/>
    </row>
    <row r="2297" spans="1:22">
      <c r="A2297" s="212" t="s">
        <v>10231</v>
      </c>
      <c r="B2297" s="216" t="s">
        <v>10232</v>
      </c>
      <c r="C2297" s="212" t="s">
        <v>103</v>
      </c>
      <c r="D2297" s="78">
        <v>1581.44</v>
      </c>
      <c r="E2297" s="663">
        <v>2</v>
      </c>
      <c r="H2297" s="178">
        <v>1581.44</v>
      </c>
      <c r="J2297" s="294"/>
      <c r="K2297" s="295"/>
      <c r="L2297" s="298"/>
      <c r="M2297" s="299"/>
      <c r="N2297" s="298"/>
      <c r="O2297" s="224"/>
      <c r="P2297" s="219"/>
      <c r="Q2297" s="84"/>
      <c r="S2297" s="136"/>
      <c r="T2297" s="136"/>
      <c r="V2297" s="136"/>
    </row>
    <row r="2298" spans="1:22">
      <c r="A2298" s="212" t="s">
        <v>10233</v>
      </c>
      <c r="B2298" s="216" t="s">
        <v>10234</v>
      </c>
      <c r="C2298" s="212" t="s">
        <v>103</v>
      </c>
      <c r="D2298" s="78">
        <v>259.47000000000003</v>
      </c>
      <c r="E2298" s="663">
        <v>2</v>
      </c>
      <c r="F2298" s="397"/>
      <c r="H2298" s="178">
        <v>259.47000000000003</v>
      </c>
      <c r="J2298" s="294"/>
      <c r="K2298" s="295"/>
      <c r="L2298" s="298"/>
      <c r="M2298" s="299"/>
      <c r="N2298" s="298"/>
      <c r="O2298" s="224"/>
      <c r="P2298" s="219"/>
      <c r="Q2298" s="84"/>
      <c r="S2298" s="136"/>
      <c r="T2298" s="136"/>
    </row>
    <row r="2299" spans="1:22">
      <c r="A2299" s="212" t="s">
        <v>10235</v>
      </c>
      <c r="B2299" s="216" t="s">
        <v>10236</v>
      </c>
      <c r="C2299" s="212" t="s">
        <v>11</v>
      </c>
      <c r="D2299" s="78">
        <v>3.37</v>
      </c>
      <c r="E2299" s="663">
        <v>3</v>
      </c>
      <c r="F2299" s="397"/>
      <c r="H2299" s="178">
        <v>3.37</v>
      </c>
      <c r="J2299" s="294"/>
      <c r="K2299" s="295"/>
      <c r="L2299" s="298"/>
      <c r="M2299" s="299"/>
      <c r="N2299" s="298"/>
      <c r="O2299" s="139"/>
      <c r="P2299" s="219"/>
      <c r="Q2299" s="84"/>
      <c r="S2299" s="136"/>
      <c r="T2299" s="136"/>
      <c r="V2299" s="136"/>
    </row>
    <row r="2300" spans="1:22">
      <c r="A2300" s="212" t="s">
        <v>10237</v>
      </c>
      <c r="B2300" s="216" t="s">
        <v>10238</v>
      </c>
      <c r="C2300" s="212" t="s">
        <v>11</v>
      </c>
      <c r="D2300" s="78">
        <v>65.95</v>
      </c>
      <c r="E2300" s="663">
        <v>3</v>
      </c>
      <c r="F2300" s="397"/>
      <c r="H2300" s="178">
        <v>65.95</v>
      </c>
      <c r="J2300" s="294"/>
      <c r="K2300" s="295"/>
      <c r="L2300" s="298"/>
      <c r="M2300" s="299"/>
      <c r="N2300" s="298"/>
      <c r="O2300" s="139"/>
      <c r="P2300" s="219"/>
      <c r="Q2300" s="84"/>
      <c r="S2300" s="136"/>
      <c r="T2300" s="136"/>
    </row>
    <row r="2301" spans="1:22">
      <c r="A2301" s="71" t="s">
        <v>10239</v>
      </c>
      <c r="B2301" s="67" t="s">
        <v>10240</v>
      </c>
      <c r="C2301" s="71" t="s">
        <v>11</v>
      </c>
      <c r="D2301" s="78">
        <v>32.61</v>
      </c>
      <c r="E2301" s="663">
        <v>3</v>
      </c>
      <c r="F2301" s="397"/>
      <c r="H2301" s="179">
        <v>32.61</v>
      </c>
      <c r="J2301" s="294"/>
      <c r="K2301" s="295"/>
      <c r="L2301" s="72"/>
      <c r="M2301" s="133"/>
      <c r="N2301" s="72"/>
      <c r="O2301" s="139"/>
      <c r="P2301" s="219"/>
      <c r="Q2301" s="84"/>
      <c r="S2301" s="137"/>
      <c r="T2301" s="137"/>
    </row>
    <row r="2302" spans="1:22">
      <c r="A2302" s="71" t="s">
        <v>10241</v>
      </c>
      <c r="B2302" s="67" t="s">
        <v>10242</v>
      </c>
      <c r="C2302" s="71" t="s">
        <v>11</v>
      </c>
      <c r="D2302" s="78">
        <v>4.34</v>
      </c>
      <c r="E2302" s="663">
        <v>3</v>
      </c>
      <c r="F2302" s="397"/>
      <c r="H2302" s="179">
        <v>4.34</v>
      </c>
      <c r="J2302" s="294"/>
      <c r="K2302" s="295"/>
      <c r="L2302" s="72"/>
      <c r="M2302" s="133"/>
      <c r="N2302" s="72"/>
      <c r="O2302" s="139"/>
      <c r="P2302" s="219"/>
      <c r="Q2302" s="84"/>
      <c r="S2302" s="137"/>
      <c r="T2302" s="137"/>
    </row>
    <row r="2303" spans="1:22">
      <c r="A2303" s="71" t="s">
        <v>10243</v>
      </c>
      <c r="B2303" s="67" t="s">
        <v>10244</v>
      </c>
      <c r="C2303" s="71" t="s">
        <v>11</v>
      </c>
      <c r="D2303" s="78">
        <v>2.42</v>
      </c>
      <c r="E2303" s="663">
        <v>3</v>
      </c>
      <c r="F2303" s="397"/>
      <c r="H2303" s="179">
        <v>2.42</v>
      </c>
      <c r="J2303" s="294"/>
      <c r="K2303" s="295"/>
      <c r="L2303" s="72"/>
      <c r="M2303" s="133"/>
      <c r="N2303" s="72"/>
      <c r="O2303" s="139"/>
      <c r="P2303" s="219"/>
      <c r="Q2303" s="84"/>
      <c r="S2303" s="137"/>
      <c r="T2303" s="137"/>
    </row>
    <row r="2304" spans="1:22">
      <c r="A2304" s="71" t="s">
        <v>10245</v>
      </c>
      <c r="B2304" s="67" t="s">
        <v>10246</v>
      </c>
      <c r="C2304" s="71" t="s">
        <v>11</v>
      </c>
      <c r="D2304" s="78">
        <v>6.61</v>
      </c>
      <c r="E2304" s="663">
        <v>3</v>
      </c>
      <c r="F2304" s="397"/>
      <c r="H2304" s="179">
        <v>6.61</v>
      </c>
      <c r="J2304" s="294"/>
      <c r="K2304" s="295"/>
      <c r="L2304" s="72"/>
      <c r="M2304" s="133"/>
      <c r="N2304" s="72"/>
      <c r="O2304" s="139"/>
      <c r="P2304" s="219"/>
      <c r="Q2304" s="84"/>
      <c r="S2304" s="137"/>
      <c r="T2304" s="137"/>
      <c r="V2304" s="137"/>
    </row>
    <row r="2305" spans="1:22">
      <c r="A2305" s="212" t="s">
        <v>10247</v>
      </c>
      <c r="B2305" s="216" t="s">
        <v>10248</v>
      </c>
      <c r="C2305" s="212" t="s">
        <v>11</v>
      </c>
      <c r="D2305" s="78">
        <v>19.68</v>
      </c>
      <c r="E2305" s="663">
        <v>3</v>
      </c>
      <c r="F2305" s="397"/>
      <c r="H2305" s="178">
        <v>19.68</v>
      </c>
      <c r="J2305" s="294"/>
      <c r="K2305" s="295"/>
      <c r="L2305" s="298"/>
      <c r="M2305" s="299"/>
      <c r="N2305" s="298"/>
      <c r="O2305" s="142"/>
      <c r="P2305" s="138"/>
      <c r="Q2305" s="84"/>
      <c r="S2305" s="136"/>
      <c r="T2305" s="136"/>
    </row>
    <row r="2306" spans="1:22">
      <c r="A2306" s="212" t="s">
        <v>10249</v>
      </c>
      <c r="B2306" s="216" t="s">
        <v>10250</v>
      </c>
      <c r="C2306" s="212" t="s">
        <v>11</v>
      </c>
      <c r="D2306" s="78">
        <v>4.04</v>
      </c>
      <c r="E2306" s="663">
        <v>3</v>
      </c>
      <c r="F2306" s="397"/>
      <c r="H2306" s="178">
        <v>4.04</v>
      </c>
      <c r="J2306" s="294"/>
      <c r="K2306" s="295"/>
      <c r="L2306" s="298"/>
      <c r="M2306" s="299"/>
      <c r="N2306" s="298"/>
      <c r="O2306" s="139"/>
      <c r="P2306" s="219"/>
      <c r="Q2306" s="84"/>
      <c r="S2306" s="136"/>
      <c r="T2306" s="136"/>
      <c r="V2306" s="136"/>
    </row>
    <row r="2307" spans="1:22">
      <c r="A2307" s="212" t="s">
        <v>10251</v>
      </c>
      <c r="B2307" s="216" t="s">
        <v>10252</v>
      </c>
      <c r="C2307" s="212" t="s">
        <v>11</v>
      </c>
      <c r="D2307" s="78">
        <v>197.76</v>
      </c>
      <c r="E2307" s="663">
        <v>3</v>
      </c>
      <c r="H2307" s="178">
        <v>197.76</v>
      </c>
      <c r="J2307" s="294"/>
      <c r="K2307" s="295"/>
      <c r="L2307" s="298"/>
      <c r="M2307" s="299"/>
      <c r="N2307" s="298"/>
      <c r="O2307" s="139"/>
      <c r="P2307" s="219"/>
      <c r="Q2307" s="84"/>
      <c r="S2307" s="136"/>
      <c r="T2307" s="136"/>
      <c r="V2307" s="136"/>
    </row>
    <row r="2308" spans="1:22">
      <c r="A2308" s="212" t="s">
        <v>10253</v>
      </c>
      <c r="B2308" s="216" t="s">
        <v>10254</v>
      </c>
      <c r="C2308" s="212" t="s">
        <v>11</v>
      </c>
      <c r="D2308" s="78">
        <v>231.39</v>
      </c>
      <c r="E2308" s="663">
        <v>3</v>
      </c>
      <c r="H2308" s="178">
        <v>231.39</v>
      </c>
      <c r="J2308" s="294"/>
      <c r="K2308" s="295"/>
      <c r="L2308" s="298"/>
      <c r="M2308" s="299"/>
      <c r="N2308" s="298"/>
      <c r="O2308" s="139"/>
      <c r="P2308" s="219"/>
      <c r="Q2308" s="84"/>
      <c r="S2308" s="136"/>
      <c r="T2308" s="136"/>
      <c r="V2308" s="136"/>
    </row>
    <row r="2309" spans="1:22">
      <c r="A2309" s="212" t="s">
        <v>10255</v>
      </c>
      <c r="B2309" s="216" t="s">
        <v>10256</v>
      </c>
      <c r="C2309" s="212" t="s">
        <v>11</v>
      </c>
      <c r="D2309" s="78">
        <v>329.07</v>
      </c>
      <c r="E2309" s="663">
        <v>3</v>
      </c>
      <c r="F2309" s="397"/>
      <c r="H2309" s="178">
        <v>329.07</v>
      </c>
      <c r="J2309" s="294"/>
      <c r="K2309" s="295"/>
      <c r="L2309" s="298"/>
      <c r="M2309" s="299"/>
      <c r="N2309" s="298"/>
      <c r="O2309" s="139"/>
      <c r="P2309" s="219"/>
      <c r="Q2309" s="84"/>
      <c r="S2309" s="136"/>
      <c r="T2309" s="136"/>
      <c r="V2309" s="136"/>
    </row>
    <row r="2310" spans="1:22">
      <c r="A2310" s="212" t="s">
        <v>10257</v>
      </c>
      <c r="B2310" s="216" t="s">
        <v>10258</v>
      </c>
      <c r="C2310" s="212" t="s">
        <v>11</v>
      </c>
      <c r="D2310" s="78">
        <v>41.17</v>
      </c>
      <c r="E2310" s="663">
        <v>3</v>
      </c>
      <c r="F2310" s="397"/>
      <c r="H2310" s="178">
        <v>41.17</v>
      </c>
      <c r="J2310" s="294"/>
      <c r="K2310" s="295"/>
      <c r="L2310" s="298"/>
      <c r="M2310" s="299"/>
      <c r="N2310" s="298"/>
      <c r="O2310" s="139"/>
      <c r="P2310" s="219"/>
      <c r="Q2310" s="84"/>
      <c r="S2310" s="136"/>
      <c r="T2310" s="136"/>
      <c r="V2310" s="136"/>
    </row>
    <row r="2311" spans="1:22">
      <c r="A2311" s="212" t="s">
        <v>10259</v>
      </c>
      <c r="B2311" s="216" t="s">
        <v>10260</v>
      </c>
      <c r="C2311" s="212" t="s">
        <v>11</v>
      </c>
      <c r="D2311" s="78">
        <v>315.83</v>
      </c>
      <c r="E2311" s="663">
        <v>3</v>
      </c>
      <c r="F2311" s="397"/>
      <c r="H2311" s="178">
        <v>315.83</v>
      </c>
      <c r="J2311" s="294"/>
      <c r="K2311" s="295"/>
      <c r="L2311" s="298"/>
      <c r="M2311" s="299"/>
      <c r="N2311" s="298"/>
      <c r="O2311" s="139"/>
      <c r="P2311" s="219"/>
      <c r="Q2311" s="84"/>
      <c r="S2311" s="136"/>
      <c r="T2311" s="136"/>
    </row>
    <row r="2312" spans="1:22">
      <c r="A2312" s="212" t="s">
        <v>10261</v>
      </c>
      <c r="B2312" s="216" t="s">
        <v>10262</v>
      </c>
      <c r="C2312" s="212" t="s">
        <v>11</v>
      </c>
      <c r="D2312" s="78">
        <v>242.5</v>
      </c>
      <c r="E2312" s="663">
        <v>3</v>
      </c>
      <c r="F2312" s="397"/>
      <c r="H2312" s="178">
        <v>242.5</v>
      </c>
      <c r="J2312" s="294"/>
      <c r="K2312" s="295"/>
      <c r="L2312" s="298"/>
      <c r="M2312" s="299"/>
      <c r="N2312" s="298"/>
      <c r="O2312" s="139"/>
      <c r="P2312" s="219"/>
      <c r="Q2312" s="84"/>
      <c r="S2312" s="136"/>
      <c r="T2312" s="140"/>
      <c r="V2312" s="140"/>
    </row>
    <row r="2313" spans="1:22">
      <c r="A2313" s="212" t="s">
        <v>10263</v>
      </c>
      <c r="B2313" s="216" t="s">
        <v>10264</v>
      </c>
      <c r="C2313" s="212" t="s">
        <v>11</v>
      </c>
      <c r="D2313" s="78">
        <v>177.42</v>
      </c>
      <c r="E2313" s="663">
        <v>3</v>
      </c>
      <c r="F2313" s="397"/>
      <c r="H2313" s="178">
        <v>177.42</v>
      </c>
      <c r="J2313" s="294"/>
      <c r="K2313" s="295"/>
      <c r="L2313" s="298"/>
      <c r="M2313" s="299"/>
      <c r="N2313" s="298"/>
      <c r="O2313" s="139"/>
      <c r="P2313" s="219"/>
      <c r="Q2313" s="84"/>
      <c r="S2313" s="136"/>
      <c r="T2313" s="136"/>
      <c r="V2313" s="136"/>
    </row>
    <row r="2314" spans="1:22">
      <c r="A2314" s="212" t="s">
        <v>10265</v>
      </c>
      <c r="B2314" s="216" t="s">
        <v>10266</v>
      </c>
      <c r="C2314" s="212" t="s">
        <v>11</v>
      </c>
      <c r="D2314" s="78">
        <v>297.64999999999998</v>
      </c>
      <c r="E2314" s="663">
        <v>3</v>
      </c>
      <c r="F2314" s="397"/>
      <c r="H2314" s="178">
        <v>297.64999999999998</v>
      </c>
      <c r="J2314" s="294"/>
      <c r="K2314" s="295"/>
      <c r="L2314" s="298"/>
      <c r="M2314" s="299"/>
      <c r="N2314" s="298"/>
      <c r="O2314" s="139"/>
      <c r="P2314" s="219"/>
      <c r="Q2314" s="84"/>
      <c r="S2314" s="136"/>
      <c r="T2314" s="136"/>
      <c r="V2314" s="136"/>
    </row>
    <row r="2315" spans="1:22">
      <c r="A2315" s="212" t="s">
        <v>10267</v>
      </c>
      <c r="B2315" s="216" t="s">
        <v>10268</v>
      </c>
      <c r="C2315" s="212" t="s">
        <v>11</v>
      </c>
      <c r="D2315" s="78">
        <v>333.8</v>
      </c>
      <c r="E2315" s="663">
        <v>3</v>
      </c>
      <c r="F2315" s="397"/>
      <c r="H2315" s="178">
        <v>333.8</v>
      </c>
      <c r="J2315" s="294"/>
      <c r="K2315" s="295"/>
      <c r="L2315" s="298"/>
      <c r="M2315" s="299"/>
      <c r="N2315" s="298"/>
      <c r="O2315" s="139"/>
      <c r="P2315" s="219"/>
      <c r="Q2315" s="84"/>
      <c r="S2315" s="136"/>
      <c r="T2315" s="136"/>
    </row>
    <row r="2316" spans="1:22">
      <c r="A2316" s="212" t="s">
        <v>10269</v>
      </c>
      <c r="B2316" s="216" t="s">
        <v>10270</v>
      </c>
      <c r="C2316" s="212" t="s">
        <v>11</v>
      </c>
      <c r="D2316" s="78">
        <v>415.33</v>
      </c>
      <c r="E2316" s="663">
        <v>3</v>
      </c>
      <c r="F2316" s="397"/>
      <c r="H2316" s="178">
        <v>415.33</v>
      </c>
      <c r="J2316" s="294"/>
      <c r="K2316" s="295"/>
      <c r="L2316" s="298"/>
      <c r="M2316" s="299"/>
      <c r="N2316" s="298"/>
      <c r="O2316" s="139"/>
      <c r="P2316" s="219"/>
      <c r="Q2316" s="84"/>
      <c r="S2316" s="136"/>
      <c r="T2316" s="136"/>
      <c r="V2316" s="136"/>
    </row>
    <row r="2317" spans="1:22">
      <c r="A2317" s="212" t="s">
        <v>10271</v>
      </c>
      <c r="B2317" s="216" t="s">
        <v>10272</v>
      </c>
      <c r="C2317" s="212" t="s">
        <v>11</v>
      </c>
      <c r="D2317" s="78">
        <v>312.02</v>
      </c>
      <c r="E2317" s="663">
        <v>3</v>
      </c>
      <c r="F2317" s="397"/>
      <c r="H2317" s="178">
        <v>312.02</v>
      </c>
      <c r="J2317" s="294"/>
      <c r="K2317" s="295"/>
      <c r="L2317" s="298"/>
      <c r="M2317" s="299"/>
      <c r="N2317" s="298"/>
      <c r="O2317" s="139"/>
      <c r="P2317" s="219"/>
      <c r="Q2317" s="84"/>
      <c r="S2317" s="136"/>
      <c r="T2317" s="140"/>
      <c r="V2317" s="140"/>
    </row>
    <row r="2318" spans="1:22">
      <c r="A2318" s="212" t="s">
        <v>10273</v>
      </c>
      <c r="B2318" s="216" t="s">
        <v>10274</v>
      </c>
      <c r="C2318" s="212" t="s">
        <v>11</v>
      </c>
      <c r="D2318" s="78">
        <v>343.07</v>
      </c>
      <c r="E2318" s="663">
        <v>3</v>
      </c>
      <c r="F2318" s="397"/>
      <c r="H2318" s="178">
        <v>343.07</v>
      </c>
      <c r="J2318" s="294"/>
      <c r="K2318" s="295"/>
      <c r="L2318" s="298"/>
      <c r="M2318" s="299"/>
      <c r="N2318" s="298"/>
      <c r="O2318" s="139"/>
      <c r="P2318" s="219"/>
      <c r="Q2318" s="84"/>
      <c r="S2318" s="136"/>
      <c r="T2318" s="140"/>
      <c r="V2318" s="140"/>
    </row>
    <row r="2319" spans="1:22">
      <c r="A2319" s="212" t="s">
        <v>10275</v>
      </c>
      <c r="B2319" s="216" t="s">
        <v>10276</v>
      </c>
      <c r="C2319" s="212" t="s">
        <v>11</v>
      </c>
      <c r="D2319" s="78">
        <v>667.34</v>
      </c>
      <c r="E2319" s="663">
        <v>3</v>
      </c>
      <c r="F2319" s="397"/>
      <c r="H2319" s="178">
        <v>667.34</v>
      </c>
      <c r="J2319" s="294"/>
      <c r="K2319" s="295"/>
      <c r="L2319" s="298"/>
      <c r="M2319" s="299"/>
      <c r="N2319" s="298"/>
      <c r="O2319" s="139"/>
      <c r="P2319" s="219"/>
      <c r="Q2319" s="84"/>
      <c r="S2319" s="136"/>
      <c r="T2319" s="136"/>
      <c r="V2319" s="136"/>
    </row>
    <row r="2320" spans="1:22">
      <c r="A2320" s="212" t="s">
        <v>10277</v>
      </c>
      <c r="B2320" s="216" t="s">
        <v>10278</v>
      </c>
      <c r="C2320" s="212" t="s">
        <v>103</v>
      </c>
      <c r="D2320" s="78">
        <v>5611.69</v>
      </c>
      <c r="E2320" s="663">
        <v>3</v>
      </c>
      <c r="F2320" s="397"/>
      <c r="H2320" s="178">
        <v>5611.69</v>
      </c>
      <c r="J2320" s="294"/>
      <c r="K2320" s="295"/>
      <c r="L2320" s="298"/>
      <c r="M2320" s="299"/>
      <c r="N2320" s="298"/>
      <c r="O2320" s="139"/>
      <c r="P2320" s="219"/>
      <c r="Q2320" s="84"/>
      <c r="S2320" s="136"/>
      <c r="T2320" s="136"/>
    </row>
    <row r="2321" spans="1:22">
      <c r="A2321" s="71" t="s">
        <v>10279</v>
      </c>
      <c r="B2321" s="67" t="s">
        <v>10280</v>
      </c>
      <c r="C2321" s="71" t="s">
        <v>11</v>
      </c>
      <c r="D2321" s="78">
        <v>132.94</v>
      </c>
      <c r="E2321" s="663">
        <v>2</v>
      </c>
      <c r="F2321" s="397"/>
      <c r="H2321" s="179">
        <v>132.94</v>
      </c>
      <c r="J2321" s="294"/>
      <c r="K2321" s="295"/>
      <c r="L2321" s="72"/>
      <c r="M2321" s="133"/>
      <c r="N2321" s="72"/>
      <c r="O2321" s="224"/>
      <c r="P2321" s="219"/>
      <c r="Q2321" s="84"/>
      <c r="S2321" s="137"/>
      <c r="T2321" s="137"/>
    </row>
    <row r="2322" spans="1:22">
      <c r="A2322" s="212" t="s">
        <v>10281</v>
      </c>
      <c r="B2322" s="216" t="s">
        <v>10282</v>
      </c>
      <c r="C2322" s="212" t="s">
        <v>103</v>
      </c>
      <c r="D2322" s="78">
        <v>1.1000000000000001</v>
      </c>
      <c r="E2322" s="663">
        <v>2</v>
      </c>
      <c r="F2322" s="397"/>
      <c r="H2322" s="178">
        <v>1.1000000000000001</v>
      </c>
      <c r="J2322" s="294"/>
      <c r="K2322" s="295"/>
      <c r="L2322" s="298"/>
      <c r="M2322" s="299"/>
      <c r="N2322" s="298"/>
      <c r="O2322" s="224"/>
      <c r="P2322" s="219"/>
      <c r="Q2322" s="84"/>
      <c r="S2322" s="136"/>
      <c r="T2322" s="136"/>
      <c r="V2322" s="136"/>
    </row>
    <row r="2323" spans="1:22">
      <c r="A2323" s="212" t="s">
        <v>10283</v>
      </c>
      <c r="B2323" s="216" t="s">
        <v>10284</v>
      </c>
      <c r="C2323" s="212" t="s">
        <v>11</v>
      </c>
      <c r="D2323" s="78">
        <v>2.4300000000000002</v>
      </c>
      <c r="E2323" s="663">
        <v>2</v>
      </c>
      <c r="F2323" s="397"/>
      <c r="H2323" s="178">
        <v>2.4300000000000002</v>
      </c>
      <c r="J2323" s="294"/>
      <c r="K2323" s="295"/>
      <c r="L2323" s="298"/>
      <c r="M2323" s="299"/>
      <c r="N2323" s="298"/>
      <c r="O2323" s="224"/>
      <c r="P2323" s="219"/>
      <c r="Q2323" s="84"/>
      <c r="S2323" s="136"/>
      <c r="T2323" s="136"/>
    </row>
    <row r="2324" spans="1:22">
      <c r="A2324" s="71" t="s">
        <v>10285</v>
      </c>
      <c r="B2324" s="67" t="s">
        <v>10286</v>
      </c>
      <c r="C2324" s="71" t="s">
        <v>103</v>
      </c>
      <c r="D2324" s="78">
        <v>77.849999999999994</v>
      </c>
      <c r="E2324" s="663">
        <v>2</v>
      </c>
      <c r="F2324" s="397"/>
      <c r="H2324" s="179">
        <v>77.849999999999994</v>
      </c>
      <c r="J2324" s="294"/>
      <c r="K2324" s="295"/>
      <c r="L2324" s="72"/>
      <c r="M2324" s="133"/>
      <c r="N2324" s="72"/>
      <c r="O2324" s="224"/>
      <c r="P2324" s="219"/>
      <c r="Q2324" s="84"/>
      <c r="S2324" s="137"/>
      <c r="T2324" s="137"/>
      <c r="V2324" s="137"/>
    </row>
    <row r="2325" spans="1:22">
      <c r="A2325" s="212" t="s">
        <v>10287</v>
      </c>
      <c r="B2325" s="216" t="s">
        <v>10288</v>
      </c>
      <c r="C2325" s="212" t="s">
        <v>103</v>
      </c>
      <c r="D2325" s="78">
        <v>42.1</v>
      </c>
      <c r="E2325" s="663">
        <v>2</v>
      </c>
      <c r="F2325" s="397"/>
      <c r="H2325" s="178">
        <v>42.1</v>
      </c>
      <c r="J2325" s="294"/>
      <c r="K2325" s="295"/>
      <c r="L2325" s="298"/>
      <c r="M2325" s="299"/>
      <c r="N2325" s="298"/>
      <c r="O2325" s="224"/>
      <c r="P2325" s="219"/>
      <c r="Q2325" s="84"/>
      <c r="S2325" s="136"/>
      <c r="T2325" s="136"/>
      <c r="V2325" s="136"/>
    </row>
    <row r="2326" spans="1:22">
      <c r="A2326" s="71" t="s">
        <v>10289</v>
      </c>
      <c r="B2326" s="67" t="s">
        <v>10290</v>
      </c>
      <c r="C2326" s="71" t="s">
        <v>153</v>
      </c>
      <c r="D2326" s="78">
        <v>6.09</v>
      </c>
      <c r="E2326" s="663">
        <v>2</v>
      </c>
      <c r="F2326" s="397"/>
      <c r="H2326" s="178">
        <v>6.09</v>
      </c>
      <c r="J2326" s="294"/>
      <c r="K2326" s="295"/>
      <c r="L2326" s="72"/>
      <c r="M2326" s="133"/>
      <c r="N2326" s="72"/>
      <c r="O2326" s="224"/>
      <c r="P2326" s="219"/>
      <c r="Q2326" s="84"/>
      <c r="S2326" s="136"/>
      <c r="T2326" s="136"/>
      <c r="V2326" s="136"/>
    </row>
    <row r="2327" spans="1:22">
      <c r="A2327" s="71" t="s">
        <v>10291</v>
      </c>
      <c r="B2327" s="67" t="s">
        <v>10292</v>
      </c>
      <c r="C2327" s="71" t="s">
        <v>153</v>
      </c>
      <c r="D2327" s="78">
        <v>6.04</v>
      </c>
      <c r="E2327" s="663">
        <v>2</v>
      </c>
      <c r="F2327" s="397"/>
      <c r="H2327" s="178">
        <v>6.04</v>
      </c>
      <c r="J2327" s="294"/>
      <c r="K2327" s="295"/>
      <c r="L2327" s="72"/>
      <c r="M2327" s="133"/>
      <c r="N2327" s="72"/>
      <c r="O2327" s="224"/>
      <c r="P2327" s="219"/>
      <c r="Q2327" s="84"/>
      <c r="S2327" s="136"/>
      <c r="T2327" s="136"/>
      <c r="V2327" s="136"/>
    </row>
    <row r="2328" spans="1:22">
      <c r="A2328" s="212" t="s">
        <v>10293</v>
      </c>
      <c r="B2328" s="216" t="s">
        <v>10294</v>
      </c>
      <c r="C2328" s="212" t="s">
        <v>11</v>
      </c>
      <c r="D2328" s="78">
        <v>1.06</v>
      </c>
      <c r="E2328" s="663">
        <v>3</v>
      </c>
      <c r="F2328" s="397"/>
      <c r="H2328" s="178">
        <v>1.06</v>
      </c>
      <c r="J2328" s="294"/>
      <c r="K2328" s="295"/>
      <c r="L2328" s="298"/>
      <c r="M2328" s="299"/>
      <c r="N2328" s="298"/>
      <c r="O2328" s="224"/>
      <c r="P2328" s="219"/>
      <c r="Q2328" s="84"/>
      <c r="S2328" s="136"/>
      <c r="T2328" s="136"/>
    </row>
    <row r="2329" spans="1:22">
      <c r="A2329" s="212" t="s">
        <v>10295</v>
      </c>
      <c r="B2329" s="216" t="s">
        <v>10296</v>
      </c>
      <c r="C2329" s="212" t="s">
        <v>11</v>
      </c>
      <c r="D2329" s="78">
        <v>1.34</v>
      </c>
      <c r="E2329" s="663">
        <v>2</v>
      </c>
      <c r="F2329" s="397"/>
      <c r="H2329" s="178">
        <v>1.34</v>
      </c>
      <c r="J2329" s="294"/>
      <c r="K2329" s="295"/>
      <c r="L2329" s="298"/>
      <c r="M2329" s="299"/>
      <c r="N2329" s="298"/>
      <c r="O2329" s="224"/>
      <c r="P2329" s="219"/>
      <c r="Q2329" s="84"/>
      <c r="S2329" s="136"/>
      <c r="T2329" s="136"/>
      <c r="V2329" s="136"/>
    </row>
    <row r="2330" spans="1:22">
      <c r="A2330" s="212" t="s">
        <v>10297</v>
      </c>
      <c r="B2330" s="216" t="s">
        <v>10298</v>
      </c>
      <c r="C2330" s="212" t="s">
        <v>11</v>
      </c>
      <c r="D2330" s="78">
        <v>2.75</v>
      </c>
      <c r="E2330" s="663">
        <v>2</v>
      </c>
      <c r="F2330" s="397"/>
      <c r="H2330" s="178">
        <v>2.75</v>
      </c>
      <c r="J2330" s="294"/>
      <c r="K2330" s="295"/>
      <c r="L2330" s="298"/>
      <c r="M2330" s="299"/>
      <c r="N2330" s="298"/>
      <c r="O2330" s="224"/>
      <c r="P2330" s="219"/>
      <c r="Q2330" s="84"/>
      <c r="S2330" s="136"/>
      <c r="T2330" s="136"/>
    </row>
    <row r="2331" spans="1:22">
      <c r="A2331" s="212" t="s">
        <v>10299</v>
      </c>
      <c r="B2331" s="216" t="s">
        <v>10300</v>
      </c>
      <c r="C2331" s="212" t="s">
        <v>11</v>
      </c>
      <c r="D2331" s="78">
        <v>50.6</v>
      </c>
      <c r="E2331" s="663">
        <v>3</v>
      </c>
      <c r="F2331" s="397"/>
      <c r="H2331" s="178">
        <v>50.6</v>
      </c>
      <c r="J2331" s="294"/>
      <c r="K2331" s="295"/>
      <c r="L2331" s="298"/>
      <c r="M2331" s="299"/>
      <c r="N2331" s="298"/>
      <c r="O2331" s="139"/>
      <c r="P2331" s="219"/>
      <c r="Q2331" s="84"/>
      <c r="S2331" s="136"/>
      <c r="T2331" s="136"/>
      <c r="V2331" s="136"/>
    </row>
    <row r="2332" spans="1:22">
      <c r="A2332" s="71" t="s">
        <v>10301</v>
      </c>
      <c r="B2332" s="67" t="s">
        <v>10302</v>
      </c>
      <c r="C2332" s="71" t="s">
        <v>11</v>
      </c>
      <c r="D2332" s="78">
        <v>1.84</v>
      </c>
      <c r="E2332" s="663">
        <v>2</v>
      </c>
      <c r="F2332" s="397"/>
      <c r="H2332" s="179">
        <v>1.84</v>
      </c>
      <c r="J2332" s="294"/>
      <c r="K2332" s="295"/>
      <c r="L2332" s="72"/>
      <c r="M2332" s="133"/>
      <c r="N2332" s="72"/>
      <c r="O2332" s="224"/>
      <c r="P2332" s="219"/>
      <c r="Q2332" s="84"/>
      <c r="S2332" s="137"/>
      <c r="T2332" s="137"/>
    </row>
    <row r="2333" spans="1:22">
      <c r="A2333" s="71" t="s">
        <v>10303</v>
      </c>
      <c r="B2333" s="216" t="s">
        <v>10304</v>
      </c>
      <c r="C2333" s="212" t="s">
        <v>11</v>
      </c>
      <c r="D2333" s="78">
        <v>7.61</v>
      </c>
      <c r="E2333" s="663">
        <v>3</v>
      </c>
      <c r="F2333" s="397"/>
      <c r="H2333" s="178">
        <v>7.61</v>
      </c>
      <c r="J2333" s="294"/>
      <c r="K2333" s="295"/>
      <c r="L2333" s="72"/>
      <c r="M2333" s="299"/>
      <c r="N2333" s="298"/>
      <c r="O2333" s="224"/>
      <c r="P2333" s="219"/>
      <c r="Q2333" s="84"/>
      <c r="S2333" s="136"/>
      <c r="T2333" s="136"/>
      <c r="V2333" s="136"/>
    </row>
    <row r="2334" spans="1:22">
      <c r="A2334" s="71" t="s">
        <v>10305</v>
      </c>
      <c r="B2334" s="216" t="s">
        <v>10306</v>
      </c>
      <c r="C2334" s="212" t="s">
        <v>11</v>
      </c>
      <c r="D2334" s="78">
        <v>3.17</v>
      </c>
      <c r="E2334" s="663">
        <v>3</v>
      </c>
      <c r="F2334" s="397"/>
      <c r="H2334" s="178">
        <v>3.17</v>
      </c>
      <c r="J2334" s="294"/>
      <c r="K2334" s="295"/>
      <c r="L2334" s="72"/>
      <c r="M2334" s="299"/>
      <c r="N2334" s="298"/>
      <c r="O2334" s="139"/>
      <c r="P2334" s="219"/>
      <c r="Q2334" s="84"/>
      <c r="S2334" s="136"/>
      <c r="T2334" s="136"/>
      <c r="V2334" s="136"/>
    </row>
    <row r="2335" spans="1:22">
      <c r="A2335" s="71" t="s">
        <v>10307</v>
      </c>
      <c r="B2335" s="216" t="s">
        <v>10308</v>
      </c>
      <c r="C2335" s="212" t="s">
        <v>11</v>
      </c>
      <c r="D2335" s="78">
        <v>11.93</v>
      </c>
      <c r="E2335" s="663">
        <v>3</v>
      </c>
      <c r="F2335" s="397"/>
      <c r="H2335" s="178">
        <v>11.93</v>
      </c>
      <c r="J2335" s="294"/>
      <c r="K2335" s="295"/>
      <c r="L2335" s="72"/>
      <c r="M2335" s="299"/>
      <c r="N2335" s="298"/>
      <c r="O2335" s="139"/>
      <c r="P2335" s="219"/>
      <c r="Q2335" s="84"/>
      <c r="S2335" s="136"/>
      <c r="T2335" s="136"/>
      <c r="V2335" s="136"/>
    </row>
    <row r="2336" spans="1:22">
      <c r="A2336" s="71" t="s">
        <v>10309</v>
      </c>
      <c r="B2336" s="216" t="s">
        <v>10310</v>
      </c>
      <c r="C2336" s="212" t="s">
        <v>11</v>
      </c>
      <c r="D2336" s="78">
        <v>35.21</v>
      </c>
      <c r="E2336" s="663">
        <v>3</v>
      </c>
      <c r="F2336" s="397"/>
      <c r="H2336" s="178">
        <v>35.21</v>
      </c>
      <c r="J2336" s="294"/>
      <c r="K2336" s="295"/>
      <c r="L2336" s="72"/>
      <c r="M2336" s="299"/>
      <c r="N2336" s="298"/>
      <c r="O2336" s="139"/>
      <c r="P2336" s="219"/>
      <c r="Q2336" s="84"/>
      <c r="S2336" s="136"/>
      <c r="T2336" s="136"/>
      <c r="V2336" s="136"/>
    </row>
    <row r="2337" spans="1:22">
      <c r="A2337" s="71" t="s">
        <v>10311</v>
      </c>
      <c r="B2337" s="67" t="s">
        <v>10312</v>
      </c>
      <c r="C2337" s="71" t="s">
        <v>103</v>
      </c>
      <c r="D2337" s="78">
        <v>843.87</v>
      </c>
      <c r="E2337" s="663">
        <v>2</v>
      </c>
      <c r="F2337" s="397"/>
      <c r="H2337" s="179">
        <v>843.87</v>
      </c>
      <c r="J2337" s="294"/>
      <c r="K2337" s="295"/>
      <c r="L2337" s="72"/>
      <c r="M2337" s="133"/>
      <c r="N2337" s="72"/>
      <c r="O2337" s="224"/>
      <c r="P2337" s="219"/>
      <c r="Q2337" s="84"/>
      <c r="S2337" s="137"/>
      <c r="T2337" s="137"/>
      <c r="V2337" s="137"/>
    </row>
    <row r="2338" spans="1:22">
      <c r="A2338" s="71" t="s">
        <v>10313</v>
      </c>
      <c r="B2338" s="67" t="s">
        <v>10314</v>
      </c>
      <c r="C2338" s="71" t="s">
        <v>165</v>
      </c>
      <c r="D2338" s="78">
        <v>225.13</v>
      </c>
      <c r="E2338" s="663">
        <v>2</v>
      </c>
      <c r="F2338" s="397"/>
      <c r="H2338" s="179">
        <v>225.13</v>
      </c>
      <c r="J2338" s="294"/>
      <c r="K2338" s="295"/>
      <c r="L2338" s="72"/>
      <c r="M2338" s="133"/>
      <c r="N2338" s="72"/>
      <c r="O2338" s="224"/>
      <c r="P2338" s="219"/>
      <c r="Q2338" s="84"/>
      <c r="S2338" s="137"/>
      <c r="T2338" s="137"/>
      <c r="V2338" s="137"/>
    </row>
    <row r="2339" spans="1:22">
      <c r="A2339" s="71" t="s">
        <v>10315</v>
      </c>
      <c r="B2339" s="67" t="s">
        <v>10316</v>
      </c>
      <c r="C2339" s="71" t="s">
        <v>11</v>
      </c>
      <c r="D2339" s="78">
        <v>34.380000000000003</v>
      </c>
      <c r="E2339" s="663">
        <v>2</v>
      </c>
      <c r="F2339" s="397"/>
      <c r="H2339" s="179">
        <v>34.380000000000003</v>
      </c>
      <c r="J2339" s="294"/>
      <c r="K2339" s="295"/>
      <c r="L2339" s="72"/>
      <c r="M2339" s="133"/>
      <c r="N2339" s="72"/>
      <c r="O2339" s="224"/>
      <c r="P2339" s="219"/>
      <c r="Q2339" s="84"/>
      <c r="S2339" s="137"/>
      <c r="T2339" s="137"/>
      <c r="V2339" s="137"/>
    </row>
    <row r="2340" spans="1:22">
      <c r="A2340" s="71" t="s">
        <v>10317</v>
      </c>
      <c r="B2340" s="67" t="s">
        <v>10318</v>
      </c>
      <c r="C2340" s="71" t="s">
        <v>103</v>
      </c>
      <c r="D2340" s="78">
        <v>450.54</v>
      </c>
      <c r="E2340" s="663">
        <v>2</v>
      </c>
      <c r="F2340" s="397"/>
      <c r="H2340" s="179">
        <v>450.54</v>
      </c>
      <c r="J2340" s="294"/>
      <c r="K2340" s="295"/>
      <c r="L2340" s="72"/>
      <c r="M2340" s="133"/>
      <c r="N2340" s="72"/>
      <c r="O2340" s="224"/>
      <c r="P2340" s="219"/>
      <c r="Q2340" s="84"/>
      <c r="S2340" s="137"/>
      <c r="T2340" s="137"/>
      <c r="V2340" s="137"/>
    </row>
    <row r="2341" spans="1:22">
      <c r="A2341" s="71" t="s">
        <v>10319</v>
      </c>
      <c r="B2341" s="67" t="s">
        <v>10320</v>
      </c>
      <c r="C2341" s="71" t="s">
        <v>103</v>
      </c>
      <c r="D2341" s="78">
        <v>334.86</v>
      </c>
      <c r="E2341" s="663">
        <v>2</v>
      </c>
      <c r="F2341" s="397"/>
      <c r="H2341" s="179">
        <v>334.86</v>
      </c>
      <c r="J2341" s="294"/>
      <c r="K2341" s="295"/>
      <c r="L2341" s="72"/>
      <c r="M2341" s="133"/>
      <c r="N2341" s="72"/>
      <c r="O2341" s="224"/>
      <c r="P2341" s="219"/>
      <c r="Q2341" s="84"/>
      <c r="S2341" s="137"/>
      <c r="T2341" s="137"/>
      <c r="V2341" s="137"/>
    </row>
    <row r="2342" spans="1:22">
      <c r="A2342" s="71" t="s">
        <v>10321</v>
      </c>
      <c r="B2342" s="67" t="s">
        <v>10322</v>
      </c>
      <c r="C2342" s="71" t="s">
        <v>103</v>
      </c>
      <c r="D2342" s="78">
        <v>334.86</v>
      </c>
      <c r="E2342" s="663">
        <v>2</v>
      </c>
      <c r="F2342" s="397"/>
      <c r="H2342" s="179">
        <v>334.86</v>
      </c>
      <c r="J2342" s="294"/>
      <c r="K2342" s="295"/>
      <c r="L2342" s="72"/>
      <c r="M2342" s="133"/>
      <c r="N2342" s="72"/>
      <c r="O2342" s="224"/>
      <c r="P2342" s="219"/>
      <c r="Q2342" s="84"/>
      <c r="S2342" s="137"/>
      <c r="T2342" s="137"/>
      <c r="V2342" s="137"/>
    </row>
    <row r="2343" spans="1:22">
      <c r="A2343" s="71" t="s">
        <v>10323</v>
      </c>
      <c r="B2343" s="216" t="s">
        <v>10324</v>
      </c>
      <c r="C2343" s="212" t="s">
        <v>11</v>
      </c>
      <c r="D2343" s="78">
        <v>8.1</v>
      </c>
      <c r="E2343" s="663">
        <v>2</v>
      </c>
      <c r="F2343" s="397"/>
      <c r="H2343" s="178">
        <v>8.1</v>
      </c>
      <c r="J2343" s="294"/>
      <c r="K2343" s="295"/>
      <c r="L2343" s="72"/>
      <c r="M2343" s="299"/>
      <c r="N2343" s="298"/>
      <c r="O2343" s="224"/>
      <c r="P2343" s="219"/>
      <c r="Q2343" s="84"/>
      <c r="S2343" s="136"/>
      <c r="T2343" s="136"/>
      <c r="V2343" s="136"/>
    </row>
    <row r="2344" spans="1:22">
      <c r="A2344" s="71" t="s">
        <v>10325</v>
      </c>
      <c r="B2344" s="67" t="s">
        <v>10326</v>
      </c>
      <c r="C2344" s="71" t="s">
        <v>11</v>
      </c>
      <c r="D2344" s="78">
        <v>1.76</v>
      </c>
      <c r="E2344" s="663">
        <v>3</v>
      </c>
      <c r="F2344" s="397"/>
      <c r="H2344" s="179">
        <v>1.76</v>
      </c>
      <c r="J2344" s="294"/>
      <c r="K2344" s="295"/>
      <c r="L2344" s="72"/>
      <c r="M2344" s="133"/>
      <c r="N2344" s="72"/>
      <c r="O2344" s="139"/>
      <c r="P2344" s="219"/>
      <c r="Q2344" s="84"/>
      <c r="S2344" s="137"/>
      <c r="T2344" s="137"/>
      <c r="V2344" s="137"/>
    </row>
    <row r="2345" spans="1:22">
      <c r="A2345" s="212" t="s">
        <v>10327</v>
      </c>
      <c r="B2345" s="216" t="s">
        <v>10328</v>
      </c>
      <c r="C2345" s="212" t="s">
        <v>11</v>
      </c>
      <c r="D2345" s="78">
        <v>2.2999999999999998</v>
      </c>
      <c r="E2345" s="663">
        <v>3</v>
      </c>
      <c r="F2345" s="397"/>
      <c r="H2345" s="178">
        <v>2.2999999999999998</v>
      </c>
      <c r="J2345" s="294"/>
      <c r="K2345" s="295"/>
      <c r="L2345" s="298"/>
      <c r="M2345" s="299"/>
      <c r="N2345" s="298"/>
      <c r="O2345" s="139"/>
      <c r="P2345" s="219"/>
      <c r="Q2345" s="84"/>
      <c r="S2345" s="136"/>
      <c r="T2345" s="136"/>
      <c r="V2345" s="136"/>
    </row>
    <row r="2346" spans="1:22">
      <c r="A2346" s="71" t="s">
        <v>10329</v>
      </c>
      <c r="B2346" s="216" t="s">
        <v>10330</v>
      </c>
      <c r="C2346" s="212" t="s">
        <v>103</v>
      </c>
      <c r="D2346" s="78">
        <v>300.08</v>
      </c>
      <c r="E2346" s="663">
        <v>3</v>
      </c>
      <c r="F2346" s="397"/>
      <c r="H2346" s="178">
        <v>300.08</v>
      </c>
      <c r="J2346" s="294"/>
      <c r="K2346" s="295"/>
      <c r="L2346" s="72"/>
      <c r="M2346" s="299"/>
      <c r="N2346" s="298"/>
      <c r="O2346" s="139"/>
      <c r="P2346" s="219"/>
      <c r="Q2346" s="84"/>
      <c r="S2346" s="136"/>
      <c r="T2346" s="136"/>
    </row>
    <row r="2347" spans="1:22">
      <c r="A2347" s="212" t="s">
        <v>10331</v>
      </c>
      <c r="B2347" s="216" t="s">
        <v>10332</v>
      </c>
      <c r="C2347" s="212" t="s">
        <v>11</v>
      </c>
      <c r="D2347" s="78">
        <v>23.1</v>
      </c>
      <c r="E2347" s="663">
        <v>3</v>
      </c>
      <c r="F2347" s="397"/>
      <c r="H2347" s="178">
        <v>23.1</v>
      </c>
      <c r="J2347" s="294"/>
      <c r="K2347" s="295"/>
      <c r="L2347" s="298"/>
      <c r="M2347" s="299"/>
      <c r="N2347" s="298"/>
      <c r="O2347" s="139"/>
      <c r="P2347" s="219"/>
      <c r="Q2347" s="84"/>
      <c r="S2347" s="136"/>
      <c r="T2347" s="136"/>
      <c r="V2347" s="136"/>
    </row>
    <row r="2348" spans="1:22">
      <c r="A2348" s="212" t="s">
        <v>10333</v>
      </c>
      <c r="B2348" s="216" t="s">
        <v>10334</v>
      </c>
      <c r="C2348" s="212" t="s">
        <v>11</v>
      </c>
      <c r="D2348" s="78">
        <v>33.86</v>
      </c>
      <c r="E2348" s="663">
        <v>3</v>
      </c>
      <c r="F2348" s="397"/>
      <c r="H2348" s="178">
        <v>33.86</v>
      </c>
      <c r="J2348" s="294"/>
      <c r="K2348" s="295"/>
      <c r="L2348" s="298"/>
      <c r="M2348" s="299"/>
      <c r="N2348" s="298"/>
      <c r="O2348" s="139"/>
      <c r="P2348" s="219"/>
      <c r="Q2348" s="84"/>
      <c r="S2348" s="136"/>
      <c r="T2348" s="136"/>
    </row>
    <row r="2349" spans="1:22">
      <c r="A2349" s="212" t="s">
        <v>10335</v>
      </c>
      <c r="B2349" s="216" t="s">
        <v>10336</v>
      </c>
      <c r="C2349" s="212" t="s">
        <v>11</v>
      </c>
      <c r="D2349" s="78">
        <v>37.4</v>
      </c>
      <c r="E2349" s="663">
        <v>3</v>
      </c>
      <c r="F2349" s="397"/>
      <c r="H2349" s="178">
        <v>37.4</v>
      </c>
      <c r="J2349" s="294"/>
      <c r="K2349" s="295"/>
      <c r="L2349" s="298"/>
      <c r="M2349" s="299"/>
      <c r="N2349" s="298"/>
      <c r="O2349" s="139"/>
      <c r="P2349" s="219"/>
      <c r="Q2349" s="84"/>
      <c r="S2349" s="136"/>
      <c r="T2349" s="136"/>
    </row>
    <row r="2350" spans="1:22">
      <c r="A2350" s="212" t="s">
        <v>10337</v>
      </c>
      <c r="B2350" s="216" t="s">
        <v>10338</v>
      </c>
      <c r="C2350" s="212" t="s">
        <v>11</v>
      </c>
      <c r="D2350" s="78">
        <v>33.99</v>
      </c>
      <c r="E2350" s="663">
        <v>3</v>
      </c>
      <c r="F2350" s="397"/>
      <c r="H2350" s="178">
        <v>33.99</v>
      </c>
      <c r="J2350" s="294"/>
      <c r="K2350" s="295"/>
      <c r="L2350" s="298"/>
      <c r="M2350" s="299"/>
      <c r="N2350" s="298"/>
      <c r="O2350" s="139"/>
      <c r="P2350" s="219"/>
      <c r="Q2350" s="84"/>
      <c r="S2350" s="136"/>
      <c r="T2350" s="136"/>
      <c r="V2350" s="136"/>
    </row>
    <row r="2351" spans="1:22">
      <c r="A2351" s="212" t="s">
        <v>10339</v>
      </c>
      <c r="B2351" s="216" t="s">
        <v>10340</v>
      </c>
      <c r="C2351" s="212" t="s">
        <v>165</v>
      </c>
      <c r="D2351" s="78">
        <v>52.02</v>
      </c>
      <c r="E2351" s="663">
        <v>2</v>
      </c>
      <c r="F2351" s="397"/>
      <c r="H2351" s="178">
        <v>52.02</v>
      </c>
      <c r="J2351" s="294"/>
      <c r="K2351" s="295"/>
      <c r="L2351" s="298"/>
      <c r="M2351" s="299"/>
      <c r="N2351" s="298"/>
      <c r="O2351" s="224"/>
      <c r="P2351" s="219"/>
      <c r="Q2351" s="84"/>
      <c r="S2351" s="136"/>
      <c r="T2351" s="136"/>
      <c r="V2351" s="136"/>
    </row>
    <row r="2352" spans="1:22">
      <c r="A2352" s="212" t="s">
        <v>10341</v>
      </c>
      <c r="B2352" s="216" t="s">
        <v>10342</v>
      </c>
      <c r="C2352" s="212" t="s">
        <v>165</v>
      </c>
      <c r="D2352" s="78">
        <v>69.510000000000005</v>
      </c>
      <c r="E2352" s="663">
        <v>2</v>
      </c>
      <c r="F2352" s="397"/>
      <c r="H2352" s="178">
        <v>69.510000000000005</v>
      </c>
      <c r="J2352" s="294"/>
      <c r="K2352" s="295"/>
      <c r="L2352" s="298"/>
      <c r="M2352" s="299"/>
      <c r="N2352" s="298"/>
      <c r="O2352" s="224"/>
      <c r="P2352" s="219"/>
      <c r="Q2352" s="84"/>
      <c r="S2352" s="136"/>
      <c r="T2352" s="136"/>
      <c r="V2352" s="136"/>
    </row>
    <row r="2353" spans="1:22">
      <c r="A2353" s="212" t="s">
        <v>10343</v>
      </c>
      <c r="B2353" s="216" t="s">
        <v>10344</v>
      </c>
      <c r="C2353" s="212" t="s">
        <v>165</v>
      </c>
      <c r="D2353" s="78">
        <v>92.33</v>
      </c>
      <c r="E2353" s="663">
        <v>2</v>
      </c>
      <c r="F2353" s="397"/>
      <c r="H2353" s="178">
        <v>92.33</v>
      </c>
      <c r="J2353" s="294"/>
      <c r="K2353" s="295"/>
      <c r="L2353" s="298"/>
      <c r="M2353" s="299"/>
      <c r="N2353" s="298"/>
      <c r="O2353" s="224"/>
      <c r="P2353" s="219"/>
      <c r="Q2353" s="84"/>
      <c r="S2353" s="136"/>
      <c r="T2353" s="136"/>
      <c r="V2353" s="136"/>
    </row>
    <row r="2354" spans="1:22">
      <c r="A2354" s="212" t="s">
        <v>10345</v>
      </c>
      <c r="B2354" s="216" t="s">
        <v>10346</v>
      </c>
      <c r="C2354" s="212" t="s">
        <v>165</v>
      </c>
      <c r="D2354" s="78">
        <v>115.93</v>
      </c>
      <c r="E2354" s="663">
        <v>2</v>
      </c>
      <c r="F2354" s="397"/>
      <c r="H2354" s="178">
        <v>115.93</v>
      </c>
      <c r="J2354" s="294"/>
      <c r="K2354" s="295"/>
      <c r="L2354" s="298"/>
      <c r="M2354" s="299"/>
      <c r="N2354" s="298"/>
      <c r="O2354" s="224"/>
      <c r="P2354" s="219"/>
      <c r="Q2354" s="84"/>
      <c r="S2354" s="136"/>
      <c r="T2354" s="136"/>
      <c r="V2354" s="136"/>
    </row>
    <row r="2355" spans="1:22">
      <c r="A2355" s="212" t="s">
        <v>10347</v>
      </c>
      <c r="B2355" s="216" t="s">
        <v>10348</v>
      </c>
      <c r="C2355" s="212" t="s">
        <v>165</v>
      </c>
      <c r="D2355" s="78">
        <v>147.9</v>
      </c>
      <c r="E2355" s="663">
        <v>2</v>
      </c>
      <c r="F2355" s="397"/>
      <c r="H2355" s="178">
        <v>147.9</v>
      </c>
      <c r="J2355" s="294"/>
      <c r="K2355" s="295"/>
      <c r="L2355" s="298"/>
      <c r="M2355" s="299"/>
      <c r="N2355" s="298"/>
      <c r="O2355" s="224"/>
      <c r="P2355" s="219"/>
      <c r="Q2355" s="84"/>
      <c r="S2355" s="136"/>
      <c r="T2355" s="136"/>
      <c r="V2355" s="136"/>
    </row>
    <row r="2356" spans="1:22">
      <c r="A2356" s="212" t="s">
        <v>10349</v>
      </c>
      <c r="B2356" s="216" t="s">
        <v>10350</v>
      </c>
      <c r="C2356" s="212" t="s">
        <v>103</v>
      </c>
      <c r="D2356" s="78">
        <v>376.61</v>
      </c>
      <c r="E2356" s="663">
        <v>2</v>
      </c>
      <c r="F2356" s="397"/>
      <c r="H2356" s="178">
        <v>376.61</v>
      </c>
      <c r="J2356" s="294"/>
      <c r="K2356" s="295"/>
      <c r="L2356" s="298"/>
      <c r="M2356" s="299"/>
      <c r="N2356" s="298"/>
      <c r="O2356" s="224"/>
      <c r="P2356" s="219"/>
      <c r="Q2356" s="84"/>
      <c r="S2356" s="136"/>
      <c r="T2356" s="136"/>
    </row>
    <row r="2357" spans="1:22">
      <c r="A2357" s="71" t="s">
        <v>10351</v>
      </c>
      <c r="B2357" s="67" t="s">
        <v>10352</v>
      </c>
      <c r="C2357" s="71" t="s">
        <v>103</v>
      </c>
      <c r="D2357" s="78">
        <v>9.3000000000000007</v>
      </c>
      <c r="E2357" s="663">
        <v>2</v>
      </c>
      <c r="F2357" s="397"/>
      <c r="H2357" s="179">
        <v>9.3000000000000007</v>
      </c>
      <c r="J2357" s="294"/>
      <c r="K2357" s="295"/>
      <c r="L2357" s="72"/>
      <c r="M2357" s="133"/>
      <c r="N2357" s="72"/>
      <c r="O2357" s="224"/>
      <c r="P2357" s="219"/>
      <c r="Q2357" s="84"/>
      <c r="S2357" s="137"/>
      <c r="T2357" s="137"/>
      <c r="V2357" s="137"/>
    </row>
    <row r="2358" spans="1:22">
      <c r="A2358" s="71" t="s">
        <v>10353</v>
      </c>
      <c r="B2358" s="67" t="s">
        <v>10354</v>
      </c>
      <c r="C2358" s="71" t="s">
        <v>103</v>
      </c>
      <c r="D2358" s="78">
        <v>5.71</v>
      </c>
      <c r="E2358" s="663">
        <v>2</v>
      </c>
      <c r="F2358" s="397"/>
      <c r="H2358" s="179">
        <v>5.71</v>
      </c>
      <c r="J2358" s="294"/>
      <c r="K2358" s="295"/>
      <c r="L2358" s="72"/>
      <c r="M2358" s="133"/>
      <c r="N2358" s="72"/>
      <c r="O2358" s="224"/>
      <c r="P2358" s="219"/>
      <c r="Q2358" s="84"/>
      <c r="S2358" s="137"/>
      <c r="T2358" s="137"/>
      <c r="V2358" s="137"/>
    </row>
    <row r="2359" spans="1:22">
      <c r="A2359" s="71" t="s">
        <v>10355</v>
      </c>
      <c r="B2359" s="67" t="s">
        <v>10356</v>
      </c>
      <c r="C2359" s="71" t="s">
        <v>103</v>
      </c>
      <c r="D2359" s="78">
        <v>242.82</v>
      </c>
      <c r="E2359" s="663">
        <v>2</v>
      </c>
      <c r="F2359" s="397"/>
      <c r="H2359" s="178">
        <v>242.82</v>
      </c>
      <c r="J2359" s="294"/>
      <c r="K2359" s="295"/>
      <c r="L2359" s="72"/>
      <c r="M2359" s="133"/>
      <c r="N2359" s="72"/>
      <c r="O2359" s="224"/>
      <c r="P2359" s="219"/>
      <c r="Q2359" s="84"/>
      <c r="S2359" s="136"/>
      <c r="T2359" s="136"/>
      <c r="V2359" s="136"/>
    </row>
    <row r="2360" spans="1:22">
      <c r="A2360" s="71" t="s">
        <v>10357</v>
      </c>
      <c r="B2360" s="67" t="s">
        <v>10358</v>
      </c>
      <c r="C2360" s="71" t="s">
        <v>207</v>
      </c>
      <c r="D2360" s="78">
        <v>9.75</v>
      </c>
      <c r="E2360" s="663">
        <v>2</v>
      </c>
      <c r="F2360" s="397"/>
      <c r="H2360" s="179">
        <v>9.75</v>
      </c>
      <c r="J2360" s="294"/>
      <c r="K2360" s="295"/>
      <c r="L2360" s="72"/>
      <c r="M2360" s="133"/>
      <c r="N2360" s="72"/>
      <c r="O2360" s="224"/>
      <c r="P2360" s="219"/>
      <c r="Q2360" s="84"/>
      <c r="S2360" s="137"/>
      <c r="T2360" s="137"/>
      <c r="V2360" s="137"/>
    </row>
    <row r="2361" spans="1:22">
      <c r="A2361" s="71" t="s">
        <v>10359</v>
      </c>
      <c r="B2361" s="67" t="s">
        <v>10360</v>
      </c>
      <c r="C2361" s="71" t="s">
        <v>153</v>
      </c>
      <c r="D2361" s="78">
        <v>27.7</v>
      </c>
      <c r="E2361" s="663">
        <v>2</v>
      </c>
      <c r="F2361" s="397"/>
      <c r="H2361" s="179">
        <v>27.7</v>
      </c>
      <c r="J2361" s="294"/>
      <c r="K2361" s="295"/>
      <c r="L2361" s="72"/>
      <c r="M2361" s="133"/>
      <c r="N2361" s="72"/>
      <c r="O2361" s="224"/>
      <c r="P2361" s="219"/>
      <c r="Q2361" s="84"/>
      <c r="S2361" s="137"/>
      <c r="T2361" s="137"/>
    </row>
    <row r="2362" spans="1:22">
      <c r="A2362" s="71" t="s">
        <v>10361</v>
      </c>
      <c r="B2362" s="67" t="s">
        <v>10362</v>
      </c>
      <c r="C2362" s="71" t="s">
        <v>153</v>
      </c>
      <c r="D2362" s="78">
        <v>2.58</v>
      </c>
      <c r="E2362" s="663">
        <v>2</v>
      </c>
      <c r="F2362" s="397"/>
      <c r="H2362" s="178">
        <v>2.58</v>
      </c>
      <c r="J2362" s="294"/>
      <c r="K2362" s="295"/>
      <c r="L2362" s="72"/>
      <c r="M2362" s="133"/>
      <c r="N2362" s="72"/>
      <c r="O2362" s="224"/>
      <c r="P2362" s="219"/>
      <c r="Q2362" s="84"/>
      <c r="S2362" s="136"/>
      <c r="T2362" s="136"/>
    </row>
    <row r="2363" spans="1:22">
      <c r="A2363" s="71" t="s">
        <v>10363</v>
      </c>
      <c r="B2363" s="67" t="s">
        <v>10364</v>
      </c>
      <c r="C2363" s="71" t="s">
        <v>153</v>
      </c>
      <c r="D2363" s="78">
        <v>30.19</v>
      </c>
      <c r="E2363" s="663">
        <v>2</v>
      </c>
      <c r="F2363" s="397"/>
      <c r="H2363" s="178">
        <v>30.19</v>
      </c>
      <c r="J2363" s="294"/>
      <c r="K2363" s="295"/>
      <c r="L2363" s="72"/>
      <c r="M2363" s="133"/>
      <c r="N2363" s="72"/>
      <c r="O2363" s="224"/>
      <c r="P2363" s="219"/>
      <c r="Q2363" s="84"/>
      <c r="S2363" s="136"/>
      <c r="T2363" s="136"/>
    </row>
    <row r="2364" spans="1:22">
      <c r="A2364" s="71" t="s">
        <v>10365</v>
      </c>
      <c r="B2364" s="67" t="s">
        <v>10366</v>
      </c>
      <c r="C2364" s="71" t="s">
        <v>153</v>
      </c>
      <c r="D2364" s="78">
        <v>4.6900000000000004</v>
      </c>
      <c r="E2364" s="663">
        <v>2</v>
      </c>
      <c r="F2364" s="397"/>
      <c r="H2364" s="179">
        <v>4.6900000000000004</v>
      </c>
      <c r="J2364" s="294"/>
      <c r="K2364" s="295"/>
      <c r="L2364" s="72"/>
      <c r="M2364" s="133"/>
      <c r="N2364" s="72"/>
      <c r="O2364" s="224"/>
      <c r="P2364" s="219"/>
      <c r="Q2364" s="84"/>
      <c r="S2364" s="137"/>
      <c r="T2364" s="137"/>
    </row>
    <row r="2365" spans="1:22">
      <c r="A2365" s="71" t="s">
        <v>10367</v>
      </c>
      <c r="B2365" s="67" t="s">
        <v>10368</v>
      </c>
      <c r="C2365" s="71" t="s">
        <v>153</v>
      </c>
      <c r="D2365" s="78">
        <v>0.18</v>
      </c>
      <c r="E2365" s="663">
        <v>2</v>
      </c>
      <c r="F2365" s="397"/>
      <c r="H2365" s="179">
        <v>0.18</v>
      </c>
      <c r="J2365" s="294"/>
      <c r="K2365" s="295"/>
      <c r="L2365" s="72"/>
      <c r="M2365" s="133"/>
      <c r="N2365" s="72"/>
      <c r="O2365" s="224"/>
      <c r="P2365" s="219"/>
      <c r="Q2365" s="84"/>
      <c r="S2365" s="137"/>
      <c r="T2365" s="137"/>
    </row>
    <row r="2366" spans="1:22">
      <c r="A2366" s="71" t="s">
        <v>10369</v>
      </c>
      <c r="B2366" s="67" t="s">
        <v>10370</v>
      </c>
      <c r="C2366" s="71" t="s">
        <v>153</v>
      </c>
      <c r="D2366" s="78">
        <v>34.57</v>
      </c>
      <c r="E2366" s="663">
        <v>2</v>
      </c>
      <c r="F2366" s="397"/>
      <c r="H2366" s="732">
        <v>34.57</v>
      </c>
      <c r="J2366" s="294"/>
      <c r="K2366" s="295"/>
      <c r="M2366" s="72"/>
      <c r="N2366" s="133"/>
      <c r="O2366" s="72"/>
      <c r="P2366" s="224"/>
      <c r="Q2366" s="219"/>
      <c r="T2366" s="137"/>
      <c r="V2366" s="137"/>
    </row>
    <row r="2367" spans="1:22">
      <c r="A2367" s="71" t="s">
        <v>10371</v>
      </c>
      <c r="B2367" s="67" t="s">
        <v>10372</v>
      </c>
      <c r="C2367" s="71" t="s">
        <v>207</v>
      </c>
      <c r="D2367" s="78">
        <v>23.75</v>
      </c>
      <c r="E2367" s="663">
        <v>2</v>
      </c>
      <c r="F2367" s="397"/>
      <c r="H2367" s="179">
        <v>23.75</v>
      </c>
      <c r="J2367" s="294"/>
      <c r="K2367" s="295"/>
      <c r="L2367" s="72"/>
      <c r="M2367" s="133"/>
      <c r="N2367" s="72"/>
      <c r="O2367" s="224"/>
      <c r="P2367" s="219"/>
      <c r="Q2367" s="84"/>
      <c r="S2367" s="137"/>
      <c r="T2367" s="137"/>
      <c r="V2367" s="137"/>
    </row>
    <row r="2368" spans="1:22">
      <c r="A2368" s="71" t="s">
        <v>10373</v>
      </c>
      <c r="B2368" s="67" t="s">
        <v>10374</v>
      </c>
      <c r="C2368" s="71" t="s">
        <v>207</v>
      </c>
      <c r="D2368" s="78">
        <v>56.98</v>
      </c>
      <c r="E2368" s="663">
        <v>2</v>
      </c>
      <c r="F2368" s="397"/>
      <c r="H2368" s="732">
        <v>56.98</v>
      </c>
      <c r="J2368" s="294"/>
      <c r="K2368" s="295"/>
      <c r="M2368" s="72"/>
      <c r="N2368" s="133"/>
      <c r="O2368" s="72"/>
      <c r="P2368" s="224"/>
      <c r="Q2368" s="219"/>
      <c r="T2368" s="137"/>
      <c r="V2368" s="137"/>
    </row>
    <row r="2369" spans="1:22">
      <c r="A2369" s="71" t="s">
        <v>10375</v>
      </c>
      <c r="B2369" s="67" t="s">
        <v>10376</v>
      </c>
      <c r="C2369" s="71" t="s">
        <v>103</v>
      </c>
      <c r="D2369" s="78">
        <v>2.92</v>
      </c>
      <c r="E2369" s="663">
        <v>2</v>
      </c>
      <c r="F2369" s="397"/>
      <c r="H2369" s="179">
        <v>2.92</v>
      </c>
      <c r="J2369" s="294"/>
      <c r="K2369" s="295"/>
      <c r="L2369" s="72"/>
      <c r="M2369" s="133"/>
      <c r="N2369" s="72"/>
      <c r="O2369" s="224"/>
      <c r="P2369" s="219"/>
      <c r="Q2369" s="84"/>
      <c r="S2369" s="137"/>
      <c r="T2369" s="137"/>
    </row>
    <row r="2370" spans="1:22">
      <c r="A2370" s="71" t="s">
        <v>10377</v>
      </c>
      <c r="B2370" s="67" t="s">
        <v>10378</v>
      </c>
      <c r="C2370" s="71" t="s">
        <v>207</v>
      </c>
      <c r="D2370" s="78">
        <v>2.75</v>
      </c>
      <c r="E2370" s="663">
        <v>2</v>
      </c>
      <c r="F2370" s="397"/>
      <c r="H2370" s="179">
        <v>2.75</v>
      </c>
      <c r="J2370" s="294"/>
      <c r="K2370" s="295"/>
      <c r="L2370" s="72"/>
      <c r="M2370" s="133"/>
      <c r="N2370" s="72"/>
      <c r="O2370" s="224"/>
      <c r="P2370" s="219"/>
      <c r="Q2370" s="84"/>
      <c r="S2370" s="137"/>
      <c r="T2370" s="137"/>
      <c r="V2370" s="145"/>
    </row>
    <row r="2371" spans="1:22">
      <c r="A2371" s="71" t="s">
        <v>10379</v>
      </c>
      <c r="B2371" s="67" t="s">
        <v>10380</v>
      </c>
      <c r="C2371" s="71" t="s">
        <v>207</v>
      </c>
      <c r="D2371" s="78">
        <v>21.41</v>
      </c>
      <c r="E2371" s="663">
        <v>2</v>
      </c>
      <c r="F2371" s="397"/>
      <c r="H2371" s="179">
        <v>21.41</v>
      </c>
      <c r="J2371" s="294"/>
      <c r="K2371" s="295"/>
      <c r="L2371" s="72"/>
      <c r="M2371" s="133"/>
      <c r="N2371" s="72"/>
      <c r="O2371" s="224"/>
      <c r="P2371" s="219"/>
      <c r="Q2371" s="84"/>
      <c r="S2371" s="137"/>
      <c r="T2371" s="137"/>
      <c r="V2371" s="137"/>
    </row>
    <row r="2372" spans="1:22">
      <c r="A2372" s="71" t="s">
        <v>10381</v>
      </c>
      <c r="B2372" s="67" t="s">
        <v>10382</v>
      </c>
      <c r="C2372" s="71" t="s">
        <v>153</v>
      </c>
      <c r="D2372" s="78">
        <v>51.88</v>
      </c>
      <c r="E2372" s="663">
        <v>2</v>
      </c>
      <c r="F2372" s="397"/>
      <c r="H2372" s="178">
        <v>51.88</v>
      </c>
      <c r="J2372" s="294"/>
      <c r="K2372" s="295"/>
      <c r="L2372" s="72"/>
      <c r="M2372" s="133"/>
      <c r="N2372" s="72"/>
      <c r="O2372" s="224"/>
      <c r="P2372" s="219"/>
      <c r="Q2372" s="84"/>
      <c r="S2372" s="136"/>
      <c r="T2372" s="136"/>
    </row>
    <row r="2373" spans="1:22">
      <c r="A2373" s="71" t="s">
        <v>10383</v>
      </c>
      <c r="B2373" s="67" t="s">
        <v>10384</v>
      </c>
      <c r="C2373" s="71" t="s">
        <v>207</v>
      </c>
      <c r="D2373" s="78">
        <v>12.87</v>
      </c>
      <c r="E2373" s="663">
        <v>2</v>
      </c>
      <c r="F2373" s="397"/>
      <c r="H2373" s="179">
        <v>12.87</v>
      </c>
      <c r="J2373" s="294"/>
      <c r="K2373" s="295"/>
      <c r="L2373" s="72"/>
      <c r="M2373" s="133"/>
      <c r="N2373" s="72"/>
      <c r="O2373" s="224"/>
      <c r="P2373" s="219"/>
      <c r="Q2373" s="84"/>
      <c r="S2373" s="137"/>
      <c r="T2373" s="137"/>
    </row>
    <row r="2374" spans="1:22">
      <c r="A2374" s="71" t="s">
        <v>10385</v>
      </c>
      <c r="B2374" s="67" t="s">
        <v>10386</v>
      </c>
      <c r="C2374" s="71" t="s">
        <v>207</v>
      </c>
      <c r="D2374" s="78">
        <v>4.79</v>
      </c>
      <c r="E2374" s="663">
        <v>2</v>
      </c>
      <c r="F2374" s="397"/>
      <c r="H2374" s="178">
        <v>4.79</v>
      </c>
      <c r="J2374" s="294"/>
      <c r="K2374" s="295"/>
      <c r="L2374" s="72"/>
      <c r="M2374" s="133"/>
      <c r="N2374" s="72"/>
      <c r="O2374" s="224"/>
      <c r="P2374" s="219"/>
      <c r="Q2374" s="84"/>
      <c r="S2374" s="136"/>
      <c r="T2374" s="136"/>
      <c r="V2374" s="136"/>
    </row>
    <row r="2375" spans="1:22">
      <c r="A2375" s="71" t="s">
        <v>10387</v>
      </c>
      <c r="B2375" s="67" t="s">
        <v>10388</v>
      </c>
      <c r="C2375" s="71" t="s">
        <v>153</v>
      </c>
      <c r="D2375" s="78">
        <v>203.58</v>
      </c>
      <c r="E2375" s="663">
        <v>2</v>
      </c>
      <c r="F2375" s="397"/>
      <c r="H2375" s="179">
        <v>203.58</v>
      </c>
      <c r="J2375" s="294"/>
      <c r="K2375" s="295"/>
      <c r="L2375" s="72"/>
      <c r="M2375" s="133"/>
      <c r="N2375" s="72"/>
      <c r="O2375" s="224"/>
      <c r="P2375" s="219"/>
      <c r="Q2375" s="84"/>
      <c r="S2375" s="137"/>
      <c r="T2375" s="137"/>
    </row>
    <row r="2376" spans="1:22">
      <c r="A2376" s="71" t="s">
        <v>10389</v>
      </c>
      <c r="B2376" s="67" t="s">
        <v>10390</v>
      </c>
      <c r="C2376" s="71" t="s">
        <v>207</v>
      </c>
      <c r="D2376" s="78">
        <v>30.49</v>
      </c>
      <c r="E2376" s="663">
        <v>2</v>
      </c>
      <c r="F2376" s="397"/>
      <c r="H2376" s="179">
        <v>30.49</v>
      </c>
      <c r="J2376" s="294"/>
      <c r="K2376" s="295"/>
      <c r="L2376" s="72"/>
      <c r="M2376" s="133"/>
      <c r="N2376" s="72"/>
      <c r="O2376" s="224"/>
      <c r="P2376" s="219"/>
      <c r="Q2376" s="84"/>
      <c r="S2376" s="137"/>
      <c r="T2376" s="137"/>
      <c r="V2376" s="137"/>
    </row>
    <row r="2377" spans="1:22">
      <c r="A2377" s="71" t="s">
        <v>10391</v>
      </c>
      <c r="B2377" s="67" t="s">
        <v>10392</v>
      </c>
      <c r="C2377" s="71" t="s">
        <v>207</v>
      </c>
      <c r="D2377" s="78">
        <v>72.650000000000006</v>
      </c>
      <c r="E2377" s="663">
        <v>2</v>
      </c>
      <c r="F2377" s="397"/>
      <c r="H2377" s="178">
        <v>72.650000000000006</v>
      </c>
      <c r="J2377" s="294"/>
      <c r="K2377" s="295"/>
      <c r="L2377" s="72"/>
      <c r="M2377" s="133"/>
      <c r="N2377" s="72"/>
      <c r="O2377" s="224"/>
      <c r="P2377" s="219"/>
      <c r="Q2377" s="84"/>
      <c r="S2377" s="136"/>
      <c r="T2377" s="136"/>
      <c r="V2377" s="136"/>
    </row>
    <row r="2378" spans="1:22">
      <c r="A2378" s="71" t="s">
        <v>10393</v>
      </c>
      <c r="B2378" s="67" t="s">
        <v>10394</v>
      </c>
      <c r="C2378" s="71" t="s">
        <v>207</v>
      </c>
      <c r="D2378" s="78">
        <v>28.11</v>
      </c>
      <c r="E2378" s="663">
        <v>2</v>
      </c>
      <c r="F2378" s="397"/>
      <c r="H2378" s="179">
        <v>28.11</v>
      </c>
      <c r="J2378" s="294"/>
      <c r="K2378" s="295"/>
      <c r="L2378" s="72"/>
      <c r="M2378" s="133"/>
      <c r="N2378" s="72"/>
      <c r="O2378" s="224"/>
      <c r="P2378" s="219"/>
      <c r="Q2378" s="84"/>
      <c r="S2378" s="137"/>
      <c r="T2378" s="137"/>
      <c r="V2378" s="137"/>
    </row>
    <row r="2379" spans="1:22">
      <c r="A2379" s="71" t="s">
        <v>10395</v>
      </c>
      <c r="B2379" s="67" t="s">
        <v>10396</v>
      </c>
      <c r="C2379" s="71" t="s">
        <v>165</v>
      </c>
      <c r="D2379" s="78">
        <v>4.67</v>
      </c>
      <c r="E2379" s="663">
        <v>2</v>
      </c>
      <c r="F2379" s="397"/>
      <c r="H2379" s="178">
        <v>4.67</v>
      </c>
      <c r="J2379" s="294"/>
      <c r="K2379" s="295"/>
      <c r="L2379" s="72"/>
      <c r="M2379" s="133"/>
      <c r="N2379" s="72"/>
      <c r="O2379" s="224"/>
      <c r="P2379" s="219"/>
      <c r="Q2379" s="84"/>
      <c r="S2379" s="136"/>
      <c r="T2379" s="136"/>
    </row>
    <row r="2380" spans="1:22">
      <c r="A2380" s="71" t="s">
        <v>10397</v>
      </c>
      <c r="B2380" s="67" t="s">
        <v>10398</v>
      </c>
      <c r="C2380" s="71" t="s">
        <v>207</v>
      </c>
      <c r="D2380" s="78">
        <v>112.94</v>
      </c>
      <c r="E2380" s="663">
        <v>2</v>
      </c>
      <c r="F2380" s="397"/>
      <c r="H2380" s="178">
        <v>112.94</v>
      </c>
      <c r="J2380" s="294"/>
      <c r="K2380" s="295"/>
      <c r="L2380" s="72"/>
      <c r="M2380" s="133"/>
      <c r="N2380" s="72"/>
      <c r="O2380" s="224"/>
      <c r="P2380" s="219"/>
      <c r="Q2380" s="84"/>
      <c r="S2380" s="136"/>
      <c r="T2380" s="136"/>
    </row>
    <row r="2381" spans="1:22">
      <c r="A2381" s="71" t="s">
        <v>10399</v>
      </c>
      <c r="B2381" s="67" t="s">
        <v>10400</v>
      </c>
      <c r="C2381" s="71" t="s">
        <v>207</v>
      </c>
      <c r="D2381" s="78">
        <v>155.33000000000001</v>
      </c>
      <c r="E2381" s="663">
        <v>2</v>
      </c>
      <c r="F2381" s="397"/>
      <c r="H2381" s="178">
        <v>155.33000000000001</v>
      </c>
      <c r="J2381" s="294"/>
      <c r="K2381" s="295"/>
      <c r="L2381" s="72"/>
      <c r="M2381" s="133"/>
      <c r="N2381" s="72"/>
      <c r="O2381" s="224"/>
      <c r="P2381" s="219"/>
      <c r="Q2381" s="84"/>
      <c r="S2381" s="136"/>
      <c r="T2381" s="136"/>
    </row>
    <row r="2382" spans="1:22">
      <c r="A2382" s="71" t="s">
        <v>32928</v>
      </c>
      <c r="B2382" s="67" t="s">
        <v>32929</v>
      </c>
      <c r="C2382" s="71" t="s">
        <v>153</v>
      </c>
      <c r="D2382" s="78">
        <v>12.73</v>
      </c>
      <c r="E2382" s="663">
        <v>2</v>
      </c>
      <c r="F2382" s="397"/>
      <c r="H2382" s="179">
        <v>12.73</v>
      </c>
      <c r="J2382" s="294"/>
      <c r="K2382" s="295"/>
      <c r="L2382" s="72"/>
      <c r="M2382" s="133"/>
      <c r="N2382" s="72"/>
      <c r="O2382" s="224"/>
      <c r="P2382" s="219"/>
      <c r="Q2382" s="84"/>
      <c r="S2382" s="137"/>
      <c r="T2382" s="137"/>
      <c r="V2382" s="137"/>
    </row>
    <row r="2383" spans="1:22">
      <c r="A2383" s="71" t="s">
        <v>10401</v>
      </c>
      <c r="B2383" s="67" t="s">
        <v>10402</v>
      </c>
      <c r="C2383" s="71" t="s">
        <v>207</v>
      </c>
      <c r="D2383" s="78">
        <v>14.57</v>
      </c>
      <c r="E2383" s="663">
        <v>2</v>
      </c>
      <c r="F2383" s="397"/>
      <c r="H2383" s="179">
        <v>14.57</v>
      </c>
      <c r="J2383" s="294"/>
      <c r="K2383" s="295"/>
      <c r="L2383" s="72"/>
      <c r="M2383" s="133"/>
      <c r="N2383" s="72"/>
      <c r="O2383" s="224"/>
      <c r="P2383" s="219"/>
      <c r="Q2383" s="84"/>
      <c r="S2383" s="137"/>
      <c r="T2383" s="137"/>
    </row>
    <row r="2384" spans="1:22">
      <c r="A2384" s="71" t="s">
        <v>10403</v>
      </c>
      <c r="B2384" s="67" t="s">
        <v>10404</v>
      </c>
      <c r="C2384" s="71" t="s">
        <v>103</v>
      </c>
      <c r="D2384" s="78">
        <v>85.46</v>
      </c>
      <c r="E2384" s="663">
        <v>2</v>
      </c>
      <c r="F2384" s="397"/>
      <c r="H2384" s="178">
        <v>85.46</v>
      </c>
      <c r="J2384" s="294"/>
      <c r="K2384" s="295"/>
      <c r="L2384" s="72"/>
      <c r="M2384" s="133"/>
      <c r="N2384" s="72"/>
      <c r="O2384" s="224"/>
      <c r="P2384" s="219"/>
      <c r="Q2384" s="84"/>
      <c r="S2384" s="136"/>
      <c r="T2384" s="136"/>
      <c r="V2384" s="136"/>
    </row>
    <row r="2385" spans="1:22">
      <c r="A2385" s="71" t="s">
        <v>10405</v>
      </c>
      <c r="B2385" s="67" t="s">
        <v>10406</v>
      </c>
      <c r="C2385" s="71" t="s">
        <v>103</v>
      </c>
      <c r="D2385" s="78">
        <v>188.17</v>
      </c>
      <c r="E2385" s="663">
        <v>2</v>
      </c>
      <c r="F2385" s="397"/>
      <c r="H2385" s="179">
        <v>188.17</v>
      </c>
      <c r="J2385" s="294"/>
      <c r="K2385" s="295"/>
      <c r="L2385" s="72"/>
      <c r="M2385" s="133"/>
      <c r="N2385" s="72"/>
      <c r="O2385" s="224"/>
      <c r="P2385" s="219"/>
      <c r="Q2385" s="84"/>
      <c r="S2385" s="137"/>
      <c r="T2385" s="137"/>
      <c r="V2385" s="137"/>
    </row>
    <row r="2386" spans="1:22">
      <c r="A2386" s="71" t="s">
        <v>10407</v>
      </c>
      <c r="B2386" s="67" t="s">
        <v>10408</v>
      </c>
      <c r="C2386" s="71" t="s">
        <v>103</v>
      </c>
      <c r="D2386" s="78">
        <v>373.58</v>
      </c>
      <c r="E2386" s="663">
        <v>2</v>
      </c>
      <c r="F2386" s="397"/>
      <c r="H2386" s="178">
        <v>373.58</v>
      </c>
      <c r="J2386" s="294"/>
      <c r="K2386" s="295"/>
      <c r="L2386" s="72"/>
      <c r="M2386" s="133"/>
      <c r="N2386" s="72"/>
      <c r="O2386" s="224"/>
      <c r="P2386" s="219"/>
      <c r="Q2386" s="84"/>
      <c r="S2386" s="136"/>
      <c r="T2386" s="136"/>
      <c r="V2386" s="136"/>
    </row>
    <row r="2387" spans="1:22">
      <c r="A2387" s="71" t="s">
        <v>10409</v>
      </c>
      <c r="B2387" s="67" t="s">
        <v>10410</v>
      </c>
      <c r="C2387" s="71" t="s">
        <v>103</v>
      </c>
      <c r="D2387" s="78">
        <v>72.09</v>
      </c>
      <c r="E2387" s="663">
        <v>2</v>
      </c>
      <c r="F2387" s="397"/>
      <c r="H2387" s="179">
        <v>72.09</v>
      </c>
      <c r="J2387" s="294"/>
      <c r="K2387" s="295"/>
      <c r="L2387" s="72"/>
      <c r="M2387" s="133"/>
      <c r="N2387" s="72"/>
      <c r="O2387" s="224"/>
      <c r="P2387" s="219"/>
      <c r="Q2387" s="84"/>
      <c r="S2387" s="137"/>
      <c r="T2387" s="137"/>
      <c r="V2387" s="137"/>
    </row>
    <row r="2388" spans="1:22">
      <c r="A2388" s="71" t="s">
        <v>10411</v>
      </c>
      <c r="B2388" s="67" t="s">
        <v>10412</v>
      </c>
      <c r="C2388" s="71" t="s">
        <v>103</v>
      </c>
      <c r="D2388" s="78">
        <v>124.93</v>
      </c>
      <c r="E2388" s="663">
        <v>2</v>
      </c>
      <c r="F2388" s="397"/>
      <c r="H2388" s="179">
        <v>124.93</v>
      </c>
      <c r="J2388" s="294"/>
      <c r="K2388" s="295"/>
      <c r="L2388" s="72"/>
      <c r="M2388" s="133"/>
      <c r="N2388" s="72"/>
      <c r="O2388" s="224"/>
      <c r="P2388" s="219"/>
      <c r="Q2388" s="84"/>
      <c r="S2388" s="137"/>
      <c r="T2388" s="137"/>
      <c r="V2388" s="137"/>
    </row>
    <row r="2389" spans="1:22">
      <c r="A2389" s="71" t="s">
        <v>10413</v>
      </c>
      <c r="B2389" s="67" t="s">
        <v>10414</v>
      </c>
      <c r="C2389" s="71" t="s">
        <v>103</v>
      </c>
      <c r="D2389" s="78">
        <v>358.05</v>
      </c>
      <c r="E2389" s="663">
        <v>2</v>
      </c>
      <c r="F2389" s="397"/>
      <c r="H2389" s="179">
        <v>358.05</v>
      </c>
      <c r="J2389" s="294"/>
      <c r="K2389" s="295"/>
      <c r="L2389" s="72"/>
      <c r="M2389" s="133"/>
      <c r="N2389" s="72"/>
      <c r="O2389" s="224"/>
      <c r="P2389" s="219"/>
      <c r="Q2389" s="84"/>
      <c r="S2389" s="137"/>
      <c r="T2389" s="137"/>
      <c r="V2389" s="137"/>
    </row>
    <row r="2390" spans="1:22">
      <c r="A2390" s="71" t="s">
        <v>10415</v>
      </c>
      <c r="B2390" s="67" t="s">
        <v>10416</v>
      </c>
      <c r="C2390" s="71" t="s">
        <v>103</v>
      </c>
      <c r="D2390" s="78">
        <v>24.98</v>
      </c>
      <c r="E2390" s="663">
        <v>2</v>
      </c>
      <c r="F2390" s="397"/>
      <c r="H2390" s="179">
        <v>24.98</v>
      </c>
      <c r="J2390" s="294"/>
      <c r="K2390" s="295"/>
      <c r="L2390" s="72"/>
      <c r="M2390" s="133"/>
      <c r="N2390" s="72"/>
      <c r="O2390" s="224"/>
      <c r="P2390" s="219"/>
      <c r="Q2390" s="84"/>
      <c r="S2390" s="137"/>
      <c r="T2390" s="137"/>
      <c r="V2390" s="137"/>
    </row>
    <row r="2391" spans="1:22">
      <c r="A2391" s="71" t="s">
        <v>10417</v>
      </c>
      <c r="B2391" s="67" t="s">
        <v>10418</v>
      </c>
      <c r="C2391" s="71" t="s">
        <v>103</v>
      </c>
      <c r="D2391" s="78">
        <v>58.88</v>
      </c>
      <c r="E2391" s="663">
        <v>2</v>
      </c>
      <c r="F2391" s="397"/>
      <c r="H2391" s="179">
        <v>58.88</v>
      </c>
      <c r="J2391" s="294"/>
      <c r="K2391" s="295"/>
      <c r="L2391" s="72"/>
      <c r="M2391" s="133"/>
      <c r="N2391" s="72"/>
      <c r="O2391" s="224"/>
      <c r="P2391" s="219"/>
      <c r="Q2391" s="84"/>
      <c r="S2391" s="137"/>
      <c r="T2391" s="137"/>
      <c r="V2391" s="137"/>
    </row>
    <row r="2392" spans="1:22">
      <c r="A2392" s="71" t="s">
        <v>10419</v>
      </c>
      <c r="B2392" s="67" t="s">
        <v>10420</v>
      </c>
      <c r="C2392" s="71" t="s">
        <v>103</v>
      </c>
      <c r="D2392" s="78">
        <v>301.08</v>
      </c>
      <c r="E2392" s="663">
        <v>2</v>
      </c>
      <c r="H2392" s="179">
        <v>301.08</v>
      </c>
      <c r="J2392" s="294"/>
      <c r="K2392" s="295"/>
      <c r="L2392" s="72"/>
      <c r="M2392" s="133"/>
      <c r="N2392" s="72"/>
      <c r="O2392" s="224"/>
      <c r="P2392" s="219"/>
      <c r="Q2392" s="84"/>
      <c r="S2392" s="137"/>
      <c r="T2392" s="137"/>
      <c r="V2392" s="137"/>
    </row>
    <row r="2393" spans="1:22">
      <c r="A2393" s="71" t="s">
        <v>10421</v>
      </c>
      <c r="B2393" s="67" t="s">
        <v>10422</v>
      </c>
      <c r="C2393" s="71" t="s">
        <v>103</v>
      </c>
      <c r="D2393" s="78">
        <v>14.18</v>
      </c>
      <c r="E2393" s="663">
        <v>2</v>
      </c>
      <c r="H2393" s="179">
        <v>14.18</v>
      </c>
      <c r="J2393" s="294"/>
      <c r="K2393" s="295"/>
      <c r="L2393" s="72"/>
      <c r="M2393" s="133"/>
      <c r="N2393" s="72"/>
      <c r="O2393" s="224"/>
      <c r="P2393" s="219"/>
      <c r="Q2393" s="84"/>
      <c r="S2393" s="137"/>
      <c r="T2393" s="137"/>
      <c r="V2393" s="137"/>
    </row>
    <row r="2394" spans="1:22">
      <c r="A2394" s="71" t="s">
        <v>10423</v>
      </c>
      <c r="B2394" s="67" t="s">
        <v>10424</v>
      </c>
      <c r="C2394" s="71" t="s">
        <v>103</v>
      </c>
      <c r="D2394" s="78">
        <v>36.68</v>
      </c>
      <c r="E2394" s="663">
        <v>2</v>
      </c>
      <c r="H2394" s="179">
        <v>36.68</v>
      </c>
      <c r="J2394" s="294"/>
      <c r="K2394" s="295"/>
      <c r="L2394" s="72"/>
      <c r="M2394" s="133"/>
      <c r="N2394" s="72"/>
      <c r="O2394" s="224"/>
      <c r="P2394" s="219"/>
      <c r="Q2394" s="84"/>
      <c r="S2394" s="137"/>
      <c r="T2394" s="137"/>
      <c r="V2394" s="137"/>
    </row>
    <row r="2395" spans="1:22">
      <c r="A2395" s="71" t="s">
        <v>10425</v>
      </c>
      <c r="B2395" s="67" t="s">
        <v>10426</v>
      </c>
      <c r="C2395" s="71" t="s">
        <v>103</v>
      </c>
      <c r="D2395" s="78">
        <v>499.86</v>
      </c>
      <c r="E2395" s="663">
        <v>2</v>
      </c>
      <c r="H2395" s="179">
        <v>499.86</v>
      </c>
      <c r="J2395" s="294"/>
      <c r="K2395" s="295"/>
      <c r="L2395" s="72"/>
      <c r="M2395" s="133"/>
      <c r="N2395" s="72"/>
      <c r="O2395" s="224"/>
      <c r="P2395" s="219"/>
      <c r="Q2395" s="84"/>
      <c r="S2395" s="225"/>
      <c r="T2395" s="137"/>
      <c r="V2395" s="137"/>
    </row>
    <row r="2396" spans="1:22">
      <c r="A2396" s="71" t="s">
        <v>10427</v>
      </c>
      <c r="B2396" s="67" t="s">
        <v>10428</v>
      </c>
      <c r="C2396" s="71" t="s">
        <v>103</v>
      </c>
      <c r="D2396" s="78">
        <v>7.98</v>
      </c>
      <c r="E2396" s="663">
        <v>2</v>
      </c>
      <c r="H2396" s="179">
        <v>7.98</v>
      </c>
      <c r="J2396" s="294"/>
      <c r="K2396" s="295"/>
      <c r="L2396" s="72"/>
      <c r="M2396" s="133"/>
      <c r="N2396" s="72"/>
      <c r="O2396" s="224"/>
      <c r="P2396" s="219"/>
      <c r="Q2396" s="84"/>
      <c r="S2396" s="137"/>
      <c r="T2396" s="137"/>
    </row>
    <row r="2397" spans="1:22">
      <c r="A2397" s="71" t="s">
        <v>10429</v>
      </c>
      <c r="B2397" s="67" t="s">
        <v>10430</v>
      </c>
      <c r="C2397" s="71" t="s">
        <v>103</v>
      </c>
      <c r="D2397" s="78">
        <v>2.4300000000000002</v>
      </c>
      <c r="E2397" s="663">
        <v>2</v>
      </c>
      <c r="H2397" s="179">
        <v>2.4300000000000002</v>
      </c>
      <c r="J2397" s="294"/>
      <c r="K2397" s="295"/>
      <c r="L2397" s="72"/>
      <c r="M2397" s="133"/>
      <c r="N2397" s="72"/>
      <c r="O2397" s="224"/>
      <c r="P2397" s="219"/>
      <c r="Q2397" s="84"/>
      <c r="S2397" s="137"/>
      <c r="T2397" s="137"/>
    </row>
    <row r="2398" spans="1:22">
      <c r="A2398" s="71" t="s">
        <v>10431</v>
      </c>
      <c r="B2398" s="67" t="s">
        <v>10432</v>
      </c>
      <c r="C2398" s="71" t="s">
        <v>103</v>
      </c>
      <c r="D2398" s="78">
        <v>28.46</v>
      </c>
      <c r="E2398" s="663">
        <v>2</v>
      </c>
      <c r="H2398" s="179">
        <v>28.46</v>
      </c>
      <c r="J2398" s="294"/>
      <c r="K2398" s="295"/>
      <c r="L2398" s="72"/>
      <c r="M2398" s="133"/>
      <c r="N2398" s="72"/>
      <c r="O2398" s="224"/>
      <c r="P2398" s="219"/>
      <c r="Q2398" s="84"/>
      <c r="S2398" s="137"/>
      <c r="T2398" s="137"/>
      <c r="V2398" s="137"/>
    </row>
    <row r="2399" spans="1:22">
      <c r="A2399" s="71" t="s">
        <v>10433</v>
      </c>
      <c r="B2399" s="67" t="s">
        <v>10434</v>
      </c>
      <c r="C2399" s="71" t="s">
        <v>103</v>
      </c>
      <c r="D2399" s="78">
        <v>13.04</v>
      </c>
      <c r="E2399" s="663">
        <v>2</v>
      </c>
      <c r="H2399" s="179">
        <v>13.04</v>
      </c>
      <c r="J2399" s="294"/>
      <c r="K2399" s="295"/>
      <c r="L2399" s="72"/>
      <c r="M2399" s="133"/>
      <c r="N2399" s="72"/>
      <c r="O2399" s="224"/>
      <c r="P2399" s="219"/>
      <c r="Q2399" s="84"/>
      <c r="S2399" s="137"/>
      <c r="T2399" s="137"/>
      <c r="V2399" s="137"/>
    </row>
    <row r="2400" spans="1:22">
      <c r="A2400" s="71" t="s">
        <v>10435</v>
      </c>
      <c r="B2400" s="67" t="s">
        <v>10436</v>
      </c>
      <c r="C2400" s="71" t="s">
        <v>103</v>
      </c>
      <c r="D2400" s="78">
        <v>10.53</v>
      </c>
      <c r="E2400" s="663">
        <v>2</v>
      </c>
      <c r="H2400" s="179">
        <v>10.53</v>
      </c>
      <c r="J2400" s="294"/>
      <c r="K2400" s="295"/>
      <c r="L2400" s="72"/>
      <c r="M2400" s="133"/>
      <c r="N2400" s="72"/>
      <c r="O2400" s="224"/>
      <c r="P2400" s="219"/>
      <c r="Q2400" s="84"/>
      <c r="S2400" s="137"/>
      <c r="T2400" s="137"/>
      <c r="V2400" s="137"/>
    </row>
    <row r="2401" spans="1:36">
      <c r="A2401" s="71" t="s">
        <v>10437</v>
      </c>
      <c r="B2401" s="67" t="s">
        <v>10438</v>
      </c>
      <c r="C2401" s="71" t="s">
        <v>103</v>
      </c>
      <c r="D2401" s="78">
        <v>22.44</v>
      </c>
      <c r="E2401" s="663">
        <v>2</v>
      </c>
      <c r="H2401" s="179">
        <v>22.44</v>
      </c>
      <c r="J2401" s="294"/>
      <c r="K2401" s="295"/>
      <c r="L2401" s="72"/>
      <c r="M2401" s="133"/>
      <c r="N2401" s="72"/>
      <c r="O2401" s="224"/>
      <c r="P2401" s="219"/>
      <c r="Q2401" s="84"/>
      <c r="S2401" s="137"/>
      <c r="T2401" s="137"/>
      <c r="V2401" s="137"/>
    </row>
    <row r="2402" spans="1:36">
      <c r="A2402" s="71" t="s">
        <v>10439</v>
      </c>
      <c r="B2402" s="67" t="s">
        <v>10440</v>
      </c>
      <c r="C2402" s="71" t="s">
        <v>103</v>
      </c>
      <c r="D2402" s="78">
        <v>6.5</v>
      </c>
      <c r="E2402" s="663">
        <v>2</v>
      </c>
      <c r="H2402" s="179">
        <v>6.5</v>
      </c>
      <c r="J2402" s="294"/>
      <c r="K2402" s="295"/>
      <c r="L2402" s="72"/>
      <c r="M2402" s="133"/>
      <c r="N2402" s="72"/>
      <c r="O2402" s="224"/>
      <c r="P2402" s="219"/>
      <c r="Q2402" s="84"/>
      <c r="S2402" s="137"/>
      <c r="T2402" s="137"/>
      <c r="V2402" s="137"/>
    </row>
    <row r="2403" spans="1:36">
      <c r="A2403" s="71" t="s">
        <v>10441</v>
      </c>
      <c r="B2403" s="67" t="s">
        <v>10442</v>
      </c>
      <c r="C2403" s="71" t="s">
        <v>103</v>
      </c>
      <c r="D2403" s="78">
        <v>2.77</v>
      </c>
      <c r="E2403" s="663">
        <v>2</v>
      </c>
      <c r="H2403" s="178">
        <v>2.77</v>
      </c>
      <c r="J2403" s="294"/>
      <c r="K2403" s="295"/>
      <c r="L2403" s="72"/>
      <c r="M2403" s="133"/>
      <c r="N2403" s="72"/>
      <c r="O2403" s="224"/>
      <c r="P2403" s="219"/>
      <c r="Q2403" s="84"/>
      <c r="S2403" s="136"/>
      <c r="T2403" s="136"/>
      <c r="V2403" s="136"/>
    </row>
    <row r="2404" spans="1:36">
      <c r="A2404" s="71" t="s">
        <v>10443</v>
      </c>
      <c r="B2404" s="67" t="s">
        <v>10444</v>
      </c>
      <c r="C2404" s="71" t="s">
        <v>103</v>
      </c>
      <c r="D2404" s="78">
        <v>8.4499999999999993</v>
      </c>
      <c r="E2404" s="663">
        <v>2</v>
      </c>
      <c r="H2404" s="179">
        <v>8.4499999999999993</v>
      </c>
      <c r="J2404" s="294"/>
      <c r="K2404" s="295"/>
      <c r="L2404" s="72"/>
      <c r="M2404" s="133"/>
      <c r="N2404" s="72"/>
      <c r="O2404" s="224"/>
      <c r="P2404" s="219"/>
      <c r="Q2404" s="84"/>
      <c r="S2404" s="137"/>
      <c r="T2404" s="137"/>
      <c r="V2404" s="137"/>
    </row>
    <row r="2405" spans="1:36">
      <c r="A2405" s="71" t="s">
        <v>10445</v>
      </c>
      <c r="B2405" s="67" t="s">
        <v>10446</v>
      </c>
      <c r="C2405" s="71" t="s">
        <v>207</v>
      </c>
      <c r="D2405" s="78">
        <v>9.7799999999999994</v>
      </c>
      <c r="E2405" s="663">
        <v>2</v>
      </c>
      <c r="H2405" s="179">
        <v>9.7799999999999994</v>
      </c>
      <c r="J2405" s="294"/>
      <c r="K2405" s="295"/>
      <c r="L2405" s="72"/>
      <c r="M2405" s="133"/>
      <c r="N2405" s="72"/>
      <c r="O2405" s="224"/>
      <c r="P2405" s="219"/>
      <c r="Q2405" s="84"/>
      <c r="S2405" s="137"/>
      <c r="T2405" s="137"/>
      <c r="V2405" s="137"/>
    </row>
    <row r="2406" spans="1:36">
      <c r="A2406" s="71" t="s">
        <v>10447</v>
      </c>
      <c r="B2406" s="67" t="s">
        <v>10448</v>
      </c>
      <c r="C2406" s="71" t="s">
        <v>153</v>
      </c>
      <c r="D2406" s="78">
        <v>29.92</v>
      </c>
      <c r="E2406" s="663">
        <v>2</v>
      </c>
      <c r="H2406" s="179">
        <v>29.92</v>
      </c>
      <c r="J2406" s="294"/>
      <c r="K2406" s="295"/>
      <c r="L2406" s="72"/>
      <c r="M2406" s="133"/>
      <c r="N2406" s="72"/>
      <c r="O2406" s="224"/>
      <c r="P2406" s="219"/>
      <c r="Q2406" s="84"/>
      <c r="S2406" s="137"/>
      <c r="T2406" s="137"/>
    </row>
    <row r="2407" spans="1:36">
      <c r="A2407" s="71" t="s">
        <v>10449</v>
      </c>
      <c r="B2407" s="67" t="s">
        <v>10450</v>
      </c>
      <c r="C2407" s="71" t="s">
        <v>153</v>
      </c>
      <c r="D2407" s="78">
        <v>86.3</v>
      </c>
      <c r="E2407" s="663">
        <v>2</v>
      </c>
      <c r="H2407" s="179">
        <v>86.3</v>
      </c>
      <c r="J2407" s="294"/>
      <c r="K2407" s="295"/>
      <c r="L2407" s="72"/>
      <c r="M2407" s="133"/>
      <c r="N2407" s="72"/>
      <c r="O2407" s="224"/>
      <c r="P2407" s="219"/>
      <c r="Q2407" s="84"/>
      <c r="S2407" s="137"/>
      <c r="T2407" s="137"/>
    </row>
    <row r="2408" spans="1:36">
      <c r="A2408" s="71" t="s">
        <v>10451</v>
      </c>
      <c r="B2408" s="67" t="s">
        <v>10452</v>
      </c>
      <c r="C2408" s="71" t="s">
        <v>153</v>
      </c>
      <c r="D2408" s="78">
        <v>29.52</v>
      </c>
      <c r="E2408" s="663">
        <v>2</v>
      </c>
      <c r="F2408" s="397"/>
      <c r="H2408" s="179">
        <v>29.52</v>
      </c>
      <c r="J2408" s="294"/>
      <c r="K2408" s="295"/>
      <c r="L2408" s="72"/>
      <c r="M2408" s="133"/>
      <c r="N2408" s="72"/>
      <c r="O2408" s="224"/>
      <c r="P2408" s="219"/>
      <c r="Q2408" s="84"/>
      <c r="S2408" s="137"/>
      <c r="T2408" s="137"/>
    </row>
    <row r="2409" spans="1:36">
      <c r="A2409" s="71" t="s">
        <v>10453</v>
      </c>
      <c r="B2409" s="67" t="s">
        <v>10454</v>
      </c>
      <c r="C2409" s="71" t="s">
        <v>153</v>
      </c>
      <c r="D2409" s="78">
        <v>29.96</v>
      </c>
      <c r="E2409" s="663">
        <v>2</v>
      </c>
      <c r="F2409" s="397"/>
      <c r="H2409" s="179">
        <v>29.96</v>
      </c>
      <c r="J2409" s="294"/>
      <c r="K2409" s="295"/>
      <c r="L2409" s="72"/>
      <c r="M2409" s="133"/>
      <c r="N2409" s="72"/>
      <c r="O2409" s="224"/>
      <c r="P2409" s="219"/>
      <c r="Q2409" s="84"/>
      <c r="S2409" s="137"/>
      <c r="T2409" s="137"/>
    </row>
    <row r="2410" spans="1:36">
      <c r="A2410" s="71" t="s">
        <v>10455</v>
      </c>
      <c r="B2410" s="67" t="s">
        <v>10456</v>
      </c>
      <c r="C2410" s="71" t="s">
        <v>153</v>
      </c>
      <c r="D2410" s="78">
        <v>60.81</v>
      </c>
      <c r="E2410" s="663">
        <v>2</v>
      </c>
      <c r="F2410" s="397"/>
      <c r="H2410" s="179">
        <v>60.81</v>
      </c>
      <c r="J2410" s="294"/>
      <c r="K2410" s="295"/>
      <c r="L2410" s="72"/>
      <c r="M2410" s="133"/>
      <c r="N2410" s="72"/>
      <c r="O2410" s="224"/>
      <c r="P2410" s="219"/>
      <c r="Q2410" s="84"/>
      <c r="S2410" s="137"/>
      <c r="T2410" s="137"/>
    </row>
    <row r="2411" spans="1:36">
      <c r="A2411" s="71" t="s">
        <v>10457</v>
      </c>
      <c r="B2411" s="67" t="s">
        <v>10458</v>
      </c>
      <c r="C2411" s="71" t="s">
        <v>207</v>
      </c>
      <c r="D2411" s="78">
        <v>91.16</v>
      </c>
      <c r="E2411" s="663">
        <v>2</v>
      </c>
      <c r="F2411" s="397"/>
      <c r="H2411" s="179">
        <v>91.16</v>
      </c>
      <c r="J2411" s="294"/>
      <c r="K2411" s="295"/>
      <c r="L2411" s="72"/>
      <c r="M2411" s="133"/>
      <c r="N2411" s="72"/>
      <c r="O2411" s="224"/>
      <c r="P2411" s="219"/>
      <c r="Q2411" s="84"/>
      <c r="S2411" s="137"/>
      <c r="T2411" s="137"/>
    </row>
    <row r="2412" spans="1:36" s="729" customFormat="1">
      <c r="A2412" s="71" t="s">
        <v>10459</v>
      </c>
      <c r="B2412" s="67" t="s">
        <v>10460</v>
      </c>
      <c r="C2412" s="71" t="s">
        <v>153</v>
      </c>
      <c r="D2412" s="78">
        <v>124.2</v>
      </c>
      <c r="E2412" s="663">
        <v>2</v>
      </c>
      <c r="F2412" s="397"/>
      <c r="G2412" s="84"/>
      <c r="H2412" s="179">
        <v>124.2</v>
      </c>
      <c r="I2412" s="664"/>
      <c r="J2412" s="294"/>
      <c r="K2412" s="295"/>
      <c r="L2412" s="72"/>
      <c r="M2412" s="133"/>
      <c r="N2412" s="72"/>
      <c r="O2412" s="224"/>
      <c r="P2412" s="219"/>
      <c r="Q2412" s="84"/>
      <c r="R2412" s="84"/>
      <c r="S2412" s="137"/>
      <c r="T2412" s="137"/>
      <c r="U2412" s="84"/>
      <c r="V2412" s="84"/>
      <c r="W2412" s="84"/>
      <c r="X2412" s="84"/>
      <c r="Y2412" s="84"/>
      <c r="Z2412" s="84"/>
      <c r="AA2412" s="84"/>
      <c r="AB2412" s="84"/>
      <c r="AC2412" s="84"/>
      <c r="AD2412" s="84"/>
      <c r="AE2412" s="84"/>
      <c r="AF2412" s="84"/>
      <c r="AG2412" s="84"/>
      <c r="AH2412" s="84"/>
      <c r="AI2412" s="84"/>
      <c r="AJ2412" s="84"/>
    </row>
    <row r="2413" spans="1:36" s="729" customFormat="1">
      <c r="A2413" s="71" t="s">
        <v>10461</v>
      </c>
      <c r="B2413" s="67" t="s">
        <v>10462</v>
      </c>
      <c r="C2413" s="71" t="s">
        <v>153</v>
      </c>
      <c r="D2413" s="78">
        <v>40.24</v>
      </c>
      <c r="E2413" s="663">
        <v>2</v>
      </c>
      <c r="F2413" s="397"/>
      <c r="G2413" s="84"/>
      <c r="H2413" s="179">
        <v>40.24</v>
      </c>
      <c r="I2413" s="664"/>
      <c r="J2413" s="294"/>
      <c r="K2413" s="295"/>
      <c r="L2413" s="72"/>
      <c r="M2413" s="133"/>
      <c r="N2413" s="72"/>
      <c r="O2413" s="224"/>
      <c r="P2413" s="219"/>
      <c r="Q2413" s="84"/>
      <c r="R2413" s="84"/>
      <c r="S2413" s="137"/>
      <c r="T2413" s="137"/>
      <c r="U2413" s="84"/>
      <c r="V2413" s="84"/>
      <c r="W2413" s="84"/>
      <c r="X2413" s="84"/>
      <c r="Y2413" s="84"/>
      <c r="Z2413" s="84"/>
      <c r="AA2413" s="84"/>
      <c r="AB2413" s="84"/>
      <c r="AC2413" s="84"/>
      <c r="AD2413" s="84"/>
      <c r="AE2413" s="84"/>
      <c r="AF2413" s="84"/>
      <c r="AG2413" s="84"/>
      <c r="AH2413" s="84"/>
      <c r="AI2413" s="84"/>
      <c r="AJ2413" s="84"/>
    </row>
    <row r="2414" spans="1:36" s="729" customFormat="1">
      <c r="A2414" s="71" t="s">
        <v>10463</v>
      </c>
      <c r="B2414" s="67" t="s">
        <v>10464</v>
      </c>
      <c r="C2414" s="71" t="s">
        <v>207</v>
      </c>
      <c r="D2414" s="78">
        <v>7.14</v>
      </c>
      <c r="E2414" s="663">
        <v>2</v>
      </c>
      <c r="F2414" s="397"/>
      <c r="G2414" s="84"/>
      <c r="H2414" s="179">
        <v>7.14</v>
      </c>
      <c r="I2414" s="664"/>
      <c r="J2414" s="294"/>
      <c r="K2414" s="295"/>
      <c r="L2414" s="72"/>
      <c r="M2414" s="133"/>
      <c r="N2414" s="72"/>
      <c r="O2414" s="224"/>
      <c r="P2414" s="219"/>
      <c r="Q2414" s="84"/>
      <c r="R2414" s="84"/>
      <c r="S2414" s="137"/>
      <c r="T2414" s="137"/>
      <c r="U2414" s="84"/>
      <c r="V2414" s="84"/>
      <c r="W2414" s="84"/>
      <c r="X2414" s="84"/>
      <c r="Y2414" s="84"/>
      <c r="Z2414" s="84"/>
      <c r="AA2414" s="84"/>
      <c r="AB2414" s="84"/>
      <c r="AC2414" s="84"/>
      <c r="AD2414" s="84"/>
      <c r="AE2414" s="84"/>
      <c r="AF2414" s="84"/>
      <c r="AG2414" s="84"/>
      <c r="AH2414" s="84"/>
      <c r="AI2414" s="84"/>
      <c r="AJ2414" s="84"/>
    </row>
    <row r="2415" spans="1:36" s="729" customFormat="1">
      <c r="A2415" s="71" t="s">
        <v>10465</v>
      </c>
      <c r="B2415" s="67" t="s">
        <v>10466</v>
      </c>
      <c r="C2415" s="71" t="s">
        <v>103</v>
      </c>
      <c r="D2415" s="78">
        <v>26.27</v>
      </c>
      <c r="E2415" s="663">
        <v>2</v>
      </c>
      <c r="F2415" s="397"/>
      <c r="G2415" s="84"/>
      <c r="H2415" s="179">
        <v>26.27</v>
      </c>
      <c r="I2415" s="664"/>
      <c r="J2415" s="294"/>
      <c r="K2415" s="295"/>
      <c r="L2415" s="72"/>
      <c r="M2415" s="133"/>
      <c r="N2415" s="72"/>
      <c r="O2415" s="224"/>
      <c r="P2415" s="219"/>
      <c r="Q2415" s="84"/>
      <c r="R2415" s="84"/>
      <c r="S2415" s="137"/>
      <c r="T2415" s="137"/>
      <c r="U2415" s="84"/>
      <c r="V2415" s="84"/>
      <c r="W2415" s="84"/>
      <c r="X2415" s="84"/>
      <c r="Y2415" s="84"/>
      <c r="Z2415" s="84"/>
      <c r="AA2415" s="84"/>
      <c r="AB2415" s="84"/>
      <c r="AC2415" s="84"/>
      <c r="AD2415" s="84"/>
      <c r="AE2415" s="84"/>
      <c r="AF2415" s="84"/>
      <c r="AG2415" s="84"/>
      <c r="AH2415" s="84"/>
      <c r="AI2415" s="84"/>
      <c r="AJ2415" s="84"/>
    </row>
    <row r="2416" spans="1:36" s="729" customFormat="1">
      <c r="A2416" s="71" t="s">
        <v>10467</v>
      </c>
      <c r="B2416" s="67" t="s">
        <v>10468</v>
      </c>
      <c r="C2416" s="71" t="s">
        <v>207</v>
      </c>
      <c r="D2416" s="78">
        <v>22.7</v>
      </c>
      <c r="E2416" s="663">
        <v>2</v>
      </c>
      <c r="F2416" s="397"/>
      <c r="G2416" s="84"/>
      <c r="H2416" s="732">
        <v>22.7</v>
      </c>
      <c r="I2416" s="664"/>
      <c r="J2416" s="294"/>
      <c r="K2416" s="295"/>
      <c r="L2416" s="84"/>
      <c r="M2416" s="72"/>
      <c r="N2416" s="133"/>
      <c r="O2416" s="72"/>
      <c r="P2416" s="224"/>
      <c r="Q2416" s="219"/>
      <c r="R2416" s="84"/>
      <c r="S2416" s="84"/>
      <c r="T2416" s="137"/>
      <c r="U2416" s="84"/>
      <c r="V2416" s="137"/>
      <c r="W2416" s="84"/>
      <c r="X2416" s="84"/>
      <c r="Y2416" s="84"/>
      <c r="Z2416" s="84"/>
      <c r="AA2416" s="84"/>
      <c r="AB2416" s="84"/>
      <c r="AC2416" s="84"/>
      <c r="AD2416" s="84"/>
      <c r="AE2416" s="84"/>
      <c r="AF2416" s="84"/>
      <c r="AG2416" s="84"/>
      <c r="AH2416" s="84"/>
      <c r="AI2416" s="84"/>
      <c r="AJ2416" s="84"/>
    </row>
    <row r="2417" spans="1:36" s="729" customFormat="1">
      <c r="A2417" s="71" t="s">
        <v>10469</v>
      </c>
      <c r="B2417" s="67" t="s">
        <v>10470</v>
      </c>
      <c r="C2417" s="71" t="s">
        <v>207</v>
      </c>
      <c r="D2417" s="78">
        <v>65.180000000000007</v>
      </c>
      <c r="E2417" s="663">
        <v>2</v>
      </c>
      <c r="F2417" s="397"/>
      <c r="G2417" s="84"/>
      <c r="H2417" s="732">
        <v>65.180000000000007</v>
      </c>
      <c r="I2417" s="664"/>
      <c r="J2417" s="294"/>
      <c r="K2417" s="295"/>
      <c r="L2417" s="84"/>
      <c r="M2417" s="72"/>
      <c r="N2417" s="133"/>
      <c r="O2417" s="72"/>
      <c r="P2417" s="224"/>
      <c r="Q2417" s="219"/>
      <c r="R2417" s="84"/>
      <c r="S2417" s="84"/>
      <c r="T2417" s="137"/>
      <c r="U2417" s="84"/>
      <c r="V2417" s="137"/>
      <c r="W2417" s="84"/>
      <c r="X2417" s="84"/>
      <c r="Y2417" s="84"/>
      <c r="Z2417" s="84"/>
      <c r="AA2417" s="84"/>
      <c r="AB2417" s="84"/>
      <c r="AC2417" s="84"/>
      <c r="AD2417" s="84"/>
      <c r="AE2417" s="84"/>
      <c r="AF2417" s="84"/>
      <c r="AG2417" s="84"/>
      <c r="AH2417" s="84"/>
      <c r="AI2417" s="84"/>
      <c r="AJ2417" s="84"/>
    </row>
    <row r="2418" spans="1:36" s="729" customFormat="1">
      <c r="A2418" s="71" t="s">
        <v>10471</v>
      </c>
      <c r="B2418" s="67" t="s">
        <v>10472</v>
      </c>
      <c r="C2418" s="71" t="s">
        <v>153</v>
      </c>
      <c r="D2418" s="78">
        <v>21.22</v>
      </c>
      <c r="E2418" s="663">
        <v>2</v>
      </c>
      <c r="F2418" s="397"/>
      <c r="G2418" s="84"/>
      <c r="H2418" s="179">
        <v>21.22</v>
      </c>
      <c r="I2418" s="664"/>
      <c r="J2418" s="294"/>
      <c r="K2418" s="295"/>
      <c r="L2418" s="72"/>
      <c r="M2418" s="133"/>
      <c r="N2418" s="72"/>
      <c r="O2418" s="224"/>
      <c r="P2418" s="219"/>
      <c r="Q2418" s="84"/>
      <c r="R2418" s="84"/>
      <c r="S2418" s="137"/>
      <c r="T2418" s="137"/>
      <c r="U2418" s="84"/>
      <c r="V2418" s="84"/>
      <c r="W2418" s="84"/>
      <c r="X2418" s="84"/>
      <c r="Y2418" s="84"/>
      <c r="Z2418" s="84"/>
      <c r="AA2418" s="84"/>
      <c r="AB2418" s="84"/>
      <c r="AC2418" s="84"/>
      <c r="AD2418" s="84"/>
      <c r="AE2418" s="84"/>
      <c r="AF2418" s="84"/>
      <c r="AG2418" s="84"/>
      <c r="AH2418" s="84"/>
      <c r="AI2418" s="84"/>
      <c r="AJ2418" s="84"/>
    </row>
    <row r="2419" spans="1:36" s="729" customFormat="1">
      <c r="A2419" s="71" t="s">
        <v>10473</v>
      </c>
      <c r="B2419" s="67" t="s">
        <v>10474</v>
      </c>
      <c r="C2419" s="71" t="s">
        <v>207</v>
      </c>
      <c r="D2419" s="78">
        <v>5.76</v>
      </c>
      <c r="E2419" s="663">
        <v>2</v>
      </c>
      <c r="F2419" s="397"/>
      <c r="G2419" s="84"/>
      <c r="H2419" s="179">
        <v>5.76</v>
      </c>
      <c r="I2419" s="664"/>
      <c r="J2419" s="294"/>
      <c r="K2419" s="295"/>
      <c r="L2419" s="72"/>
      <c r="M2419" s="133"/>
      <c r="N2419" s="72"/>
      <c r="O2419" s="224"/>
      <c r="P2419" s="219"/>
      <c r="Q2419" s="84"/>
      <c r="R2419" s="84"/>
      <c r="S2419" s="137"/>
      <c r="T2419" s="137"/>
      <c r="U2419" s="84"/>
      <c r="V2419" s="145"/>
      <c r="W2419" s="84"/>
      <c r="X2419" s="84"/>
      <c r="Y2419" s="84"/>
      <c r="Z2419" s="84"/>
      <c r="AA2419" s="84"/>
      <c r="AB2419" s="84"/>
      <c r="AC2419" s="84"/>
      <c r="AD2419" s="84"/>
      <c r="AE2419" s="84"/>
      <c r="AF2419" s="84"/>
      <c r="AG2419" s="84"/>
      <c r="AH2419" s="84"/>
      <c r="AI2419" s="84"/>
      <c r="AJ2419" s="84"/>
    </row>
    <row r="2420" spans="1:36" s="729" customFormat="1">
      <c r="A2420" s="71" t="s">
        <v>10475</v>
      </c>
      <c r="B2420" s="67" t="s">
        <v>10476</v>
      </c>
      <c r="C2420" s="71" t="s">
        <v>207</v>
      </c>
      <c r="D2420" s="78">
        <v>6.48</v>
      </c>
      <c r="E2420" s="663">
        <v>2</v>
      </c>
      <c r="F2420" s="397"/>
      <c r="G2420" s="84"/>
      <c r="H2420" s="179">
        <v>6.48</v>
      </c>
      <c r="I2420" s="664"/>
      <c r="J2420" s="294"/>
      <c r="K2420" s="295"/>
      <c r="L2420" s="72"/>
      <c r="M2420" s="133"/>
      <c r="N2420" s="72"/>
      <c r="O2420" s="224"/>
      <c r="P2420" s="219"/>
      <c r="Q2420" s="84"/>
      <c r="R2420" s="84"/>
      <c r="S2420" s="137"/>
      <c r="T2420" s="137"/>
      <c r="U2420" s="84"/>
      <c r="V2420" s="145"/>
      <c r="W2420" s="84"/>
      <c r="X2420" s="84"/>
      <c r="Y2420" s="84"/>
      <c r="Z2420" s="84"/>
      <c r="AA2420" s="84"/>
      <c r="AB2420" s="84"/>
      <c r="AC2420" s="84"/>
      <c r="AD2420" s="84"/>
      <c r="AE2420" s="84"/>
      <c r="AF2420" s="84"/>
      <c r="AG2420" s="84"/>
      <c r="AH2420" s="84"/>
      <c r="AI2420" s="84"/>
      <c r="AJ2420" s="84"/>
    </row>
    <row r="2421" spans="1:36">
      <c r="A2421" s="71" t="s">
        <v>10477</v>
      </c>
      <c r="B2421" s="67" t="s">
        <v>10478</v>
      </c>
      <c r="C2421" s="71" t="s">
        <v>207</v>
      </c>
      <c r="D2421" s="78">
        <v>6.06</v>
      </c>
      <c r="E2421" s="663">
        <v>2</v>
      </c>
      <c r="F2421" s="397"/>
      <c r="H2421" s="732">
        <v>6.06</v>
      </c>
      <c r="J2421" s="294"/>
      <c r="K2421" s="295"/>
      <c r="M2421" s="72"/>
      <c r="N2421" s="133"/>
      <c r="O2421" s="72"/>
      <c r="P2421" s="224"/>
      <c r="Q2421" s="219"/>
      <c r="T2421" s="137"/>
      <c r="V2421" s="137"/>
    </row>
    <row r="2422" spans="1:36">
      <c r="A2422" s="71" t="s">
        <v>10479</v>
      </c>
      <c r="B2422" s="67" t="s">
        <v>10480</v>
      </c>
      <c r="C2422" s="71" t="s">
        <v>207</v>
      </c>
      <c r="D2422" s="78">
        <v>2.1</v>
      </c>
      <c r="E2422" s="663">
        <v>2</v>
      </c>
      <c r="F2422" s="397"/>
      <c r="H2422" s="179">
        <v>2.1</v>
      </c>
      <c r="J2422" s="294"/>
      <c r="K2422" s="295"/>
      <c r="L2422" s="72"/>
      <c r="M2422" s="133"/>
      <c r="N2422" s="72"/>
      <c r="O2422" s="224"/>
      <c r="P2422" s="219"/>
      <c r="Q2422" s="84"/>
      <c r="S2422" s="137"/>
      <c r="T2422" s="137"/>
      <c r="V2422" s="137"/>
    </row>
    <row r="2423" spans="1:36">
      <c r="A2423" s="71" t="s">
        <v>32924</v>
      </c>
      <c r="B2423" s="67" t="s">
        <v>32925</v>
      </c>
      <c r="C2423" s="71" t="s">
        <v>153</v>
      </c>
      <c r="D2423" s="78">
        <v>9.7100000000000009</v>
      </c>
      <c r="E2423" s="663">
        <v>2</v>
      </c>
      <c r="F2423" s="397"/>
      <c r="H2423" s="178">
        <v>9.7100000000000009</v>
      </c>
      <c r="J2423" s="294"/>
      <c r="K2423" s="295"/>
      <c r="L2423" s="72"/>
      <c r="M2423" s="133"/>
      <c r="N2423" s="72"/>
      <c r="O2423" s="224"/>
      <c r="P2423" s="219"/>
      <c r="Q2423" s="84"/>
      <c r="S2423" s="136"/>
      <c r="T2423" s="136"/>
      <c r="V2423" s="136"/>
    </row>
    <row r="2424" spans="1:36">
      <c r="A2424" s="297" t="s">
        <v>32940</v>
      </c>
      <c r="B2424" s="309" t="s">
        <v>32941</v>
      </c>
      <c r="C2424" s="297" t="s">
        <v>153</v>
      </c>
      <c r="D2424" s="475">
        <v>18.66</v>
      </c>
      <c r="E2424" s="734">
        <v>2</v>
      </c>
      <c r="F2424" s="397"/>
      <c r="H2424" s="178">
        <v>18.66</v>
      </c>
      <c r="J2424" s="294"/>
      <c r="K2424" s="295"/>
      <c r="L2424" s="72"/>
      <c r="M2424" s="133"/>
      <c r="N2424" s="72"/>
      <c r="O2424" s="224"/>
      <c r="P2424" s="219"/>
      <c r="Q2424" s="84"/>
      <c r="S2424" s="136"/>
      <c r="T2424" s="136"/>
      <c r="V2424" s="136"/>
    </row>
  </sheetData>
  <mergeCells count="2">
    <mergeCell ref="L5:P5"/>
    <mergeCell ref="Q5:R5"/>
  </mergeCells>
  <conditionalFormatting sqref="A7:E10000">
    <cfRule type="expression" dxfId="2023" priority="1">
      <formula>ROW()=CELL("lin")</formula>
    </cfRule>
  </conditionalFormatting>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4"/>
  <dimension ref="A3:D20"/>
  <sheetViews>
    <sheetView workbookViewId="0">
      <selection activeCell="B22" sqref="B22"/>
    </sheetView>
  </sheetViews>
  <sheetFormatPr baseColWidth="10" defaultColWidth="8.83203125" defaultRowHeight="15"/>
  <cols>
    <col min="1" max="1" width="28.6640625" bestFit="1" customWidth="1"/>
    <col min="2" max="2" width="79.33203125" customWidth="1"/>
    <col min="4" max="4" width="13.1640625" bestFit="1" customWidth="1"/>
  </cols>
  <sheetData>
    <row r="3" spans="1:4" ht="16" thickBot="1">
      <c r="A3" t="s">
        <v>10493</v>
      </c>
      <c r="B3" t="s">
        <v>10494</v>
      </c>
      <c r="C3" t="s">
        <v>27911</v>
      </c>
      <c r="D3" t="s">
        <v>30420</v>
      </c>
    </row>
    <row r="4" spans="1:4" ht="16" thickBot="1">
      <c r="A4" s="364" t="s">
        <v>30421</v>
      </c>
      <c r="B4" s="365" t="s">
        <v>30422</v>
      </c>
      <c r="C4" s="365" t="s">
        <v>30423</v>
      </c>
      <c r="D4" s="366">
        <v>10.8</v>
      </c>
    </row>
    <row r="5" spans="1:4" ht="16" thickBot="1">
      <c r="A5" s="364" t="s">
        <v>30424</v>
      </c>
      <c r="B5" s="365" t="s">
        <v>30425</v>
      </c>
      <c r="C5" s="365" t="s">
        <v>30423</v>
      </c>
      <c r="D5" s="366">
        <v>6.78</v>
      </c>
    </row>
    <row r="6" spans="1:4" ht="16" thickBot="1">
      <c r="A6" s="364" t="s">
        <v>30426</v>
      </c>
      <c r="B6" s="365" t="s">
        <v>30427</v>
      </c>
      <c r="C6" s="365" t="s">
        <v>30423</v>
      </c>
      <c r="D6" s="366">
        <v>23.59</v>
      </c>
    </row>
    <row r="7" spans="1:4" ht="16" thickBot="1">
      <c r="A7" s="364" t="s">
        <v>30428</v>
      </c>
      <c r="B7" s="365" t="s">
        <v>30429</v>
      </c>
      <c r="C7" s="365" t="s">
        <v>30423</v>
      </c>
      <c r="D7" s="366">
        <v>53.81</v>
      </c>
    </row>
    <row r="8" spans="1:4" ht="16" thickBot="1">
      <c r="A8" s="364" t="s">
        <v>30431</v>
      </c>
      <c r="B8" s="365" t="s">
        <v>30430</v>
      </c>
      <c r="C8" s="365" t="s">
        <v>30423</v>
      </c>
      <c r="D8" s="366">
        <v>193.75</v>
      </c>
    </row>
    <row r="9" spans="1:4" ht="16" thickBot="1">
      <c r="A9" s="364" t="s">
        <v>30426</v>
      </c>
      <c r="B9" s="365" t="s">
        <v>30427</v>
      </c>
      <c r="C9" s="365" t="s">
        <v>30423</v>
      </c>
      <c r="D9" s="366">
        <v>23.59</v>
      </c>
    </row>
    <row r="10" spans="1:4" ht="16" thickBot="1">
      <c r="A10" s="364" t="s">
        <v>32797</v>
      </c>
      <c r="B10" s="365" t="s">
        <v>32798</v>
      </c>
      <c r="C10" s="365" t="s">
        <v>30423</v>
      </c>
      <c r="D10" s="366">
        <v>69.28</v>
      </c>
    </row>
    <row r="11" spans="1:4" ht="16" thickBot="1">
      <c r="A11" s="364" t="s">
        <v>32799</v>
      </c>
      <c r="B11" s="365" t="s">
        <v>32800</v>
      </c>
      <c r="C11" s="365" t="s">
        <v>30423</v>
      </c>
      <c r="D11" s="366">
        <v>20.87</v>
      </c>
    </row>
    <row r="12" spans="1:4" ht="16" thickBot="1">
      <c r="A12" s="364" t="s">
        <v>32801</v>
      </c>
      <c r="B12" s="365" t="s">
        <v>32802</v>
      </c>
      <c r="C12" s="365" t="s">
        <v>30423</v>
      </c>
      <c r="D12" s="366">
        <v>37.89</v>
      </c>
    </row>
    <row r="13" spans="1:4" ht="16" thickBot="1">
      <c r="A13" s="364" t="s">
        <v>32803</v>
      </c>
      <c r="B13" s="365" t="s">
        <v>32804</v>
      </c>
      <c r="C13" s="365" t="s">
        <v>30423</v>
      </c>
      <c r="D13" s="366">
        <v>10.51</v>
      </c>
    </row>
    <row r="14" spans="1:4" ht="16" thickBot="1">
      <c r="A14" s="364" t="s">
        <v>32805</v>
      </c>
      <c r="B14" s="365" t="s">
        <v>32806</v>
      </c>
      <c r="C14" s="365" t="s">
        <v>30423</v>
      </c>
      <c r="D14" s="366">
        <v>124.42</v>
      </c>
    </row>
    <row r="15" spans="1:4" ht="16" thickBot="1">
      <c r="A15" s="364" t="s">
        <v>32807</v>
      </c>
      <c r="B15" s="365" t="s">
        <v>32808</v>
      </c>
      <c r="C15" s="365" t="s">
        <v>30423</v>
      </c>
      <c r="D15" s="366">
        <v>140.74</v>
      </c>
    </row>
    <row r="16" spans="1:4" ht="16" thickBot="1">
      <c r="A16" s="364" t="s">
        <v>32809</v>
      </c>
      <c r="B16" s="365" t="s">
        <v>32810</v>
      </c>
      <c r="C16" s="365" t="s">
        <v>32811</v>
      </c>
      <c r="D16" s="366">
        <v>18.43</v>
      </c>
    </row>
    <row r="17" spans="1:4" ht="16" thickBot="1">
      <c r="A17" s="364" t="s">
        <v>32812</v>
      </c>
      <c r="B17" s="365" t="s">
        <v>32813</v>
      </c>
      <c r="C17" s="365" t="s">
        <v>32811</v>
      </c>
      <c r="D17" s="366">
        <v>7.93</v>
      </c>
    </row>
    <row r="18" spans="1:4" ht="16" thickBot="1">
      <c r="A18" s="364" t="s">
        <v>32815</v>
      </c>
      <c r="B18" s="365" t="s">
        <v>32814</v>
      </c>
      <c r="C18" s="365" t="s">
        <v>30423</v>
      </c>
      <c r="D18" s="366">
        <v>3.71</v>
      </c>
    </row>
    <row r="19" spans="1:4" ht="16" thickBot="1"/>
    <row r="20" spans="1:4" ht="16" thickBot="1">
      <c r="A20" s="364" t="s">
        <v>32823</v>
      </c>
      <c r="B20" s="365" t="s">
        <v>32824</v>
      </c>
      <c r="C20" s="365" t="s">
        <v>32825</v>
      </c>
      <c r="D20" s="366">
        <v>161.19999999999999</v>
      </c>
    </row>
  </sheetData>
  <hyperlinks>
    <hyperlink ref="A8" r:id="rId1" display="javascript:__doPostBack('ctl00$MainContent$gvServicos$ctl16$lnkBtnCodigo','')" xr:uid="{A1375D4C-05BC-4ECF-9206-339B3B554344}"/>
    <hyperlink ref="A18" r:id="rId2" display="javascript:__doPostBack('ctl00$MainContent$gvServicos$ctl28$lnkBtnCodigo','')" xr:uid="{6F911582-7BD5-49C7-88CD-24B7311BAEBC}"/>
  </hyperlink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26">
    <tabColor theme="0"/>
  </sheetPr>
  <dimension ref="A1:D2511"/>
  <sheetViews>
    <sheetView workbookViewId="0">
      <selection activeCell="F19" sqref="F19"/>
    </sheetView>
  </sheetViews>
  <sheetFormatPr baseColWidth="10" defaultColWidth="8.83203125" defaultRowHeight="15"/>
  <cols>
    <col min="2" max="2" width="65.6640625" customWidth="1"/>
    <col min="4" max="4" width="9.6640625" customWidth="1"/>
  </cols>
  <sheetData>
    <row r="1" spans="1:4" ht="42">
      <c r="A1" s="427" t="s">
        <v>10493</v>
      </c>
      <c r="B1" s="428" t="s">
        <v>10494</v>
      </c>
      <c r="C1" s="429" t="s">
        <v>27911</v>
      </c>
      <c r="D1" s="430" t="s">
        <v>30432</v>
      </c>
    </row>
    <row r="2" spans="1:4">
      <c r="A2" s="431">
        <v>10000</v>
      </c>
      <c r="B2" s="432" t="s">
        <v>30433</v>
      </c>
      <c r="C2" s="433"/>
      <c r="D2" s="434" t="s">
        <v>30434</v>
      </c>
    </row>
    <row r="3" spans="1:4">
      <c r="A3" s="435">
        <v>10008</v>
      </c>
      <c r="B3" s="436" t="s">
        <v>30435</v>
      </c>
      <c r="C3" s="437" t="s">
        <v>165</v>
      </c>
      <c r="D3" s="438">
        <v>27.46</v>
      </c>
    </row>
    <row r="4" spans="1:4">
      <c r="A4" s="435">
        <v>10009</v>
      </c>
      <c r="B4" s="436" t="s">
        <v>30436</v>
      </c>
      <c r="C4" s="437" t="s">
        <v>165</v>
      </c>
      <c r="D4" s="438">
        <v>58.8</v>
      </c>
    </row>
    <row r="5" spans="1:4">
      <c r="A5" s="435">
        <v>10010</v>
      </c>
      <c r="B5" s="436" t="s">
        <v>30437</v>
      </c>
      <c r="C5" s="437" t="s">
        <v>165</v>
      </c>
      <c r="D5" s="438">
        <v>39.299999999999997</v>
      </c>
    </row>
    <row r="6" spans="1:4">
      <c r="A6" s="435">
        <v>10011</v>
      </c>
      <c r="B6" s="436" t="s">
        <v>30438</v>
      </c>
      <c r="C6" s="437" t="s">
        <v>165</v>
      </c>
      <c r="D6" s="438">
        <v>46.4</v>
      </c>
    </row>
    <row r="7" spans="1:4">
      <c r="A7" s="435">
        <v>10012</v>
      </c>
      <c r="B7" s="436" t="s">
        <v>30439</v>
      </c>
      <c r="C7" s="437" t="s">
        <v>165</v>
      </c>
      <c r="D7" s="438">
        <v>51.4</v>
      </c>
    </row>
    <row r="8" spans="1:4">
      <c r="A8" s="435">
        <v>10013</v>
      </c>
      <c r="B8" s="436" t="s">
        <v>30440</v>
      </c>
      <c r="C8" s="437" t="s">
        <v>165</v>
      </c>
      <c r="D8" s="438">
        <v>71.78</v>
      </c>
    </row>
    <row r="9" spans="1:4">
      <c r="A9" s="435">
        <v>10017</v>
      </c>
      <c r="B9" s="436" t="s">
        <v>30441</v>
      </c>
      <c r="C9" s="437" t="s">
        <v>165</v>
      </c>
      <c r="D9" s="438">
        <v>16.670000000000002</v>
      </c>
    </row>
    <row r="10" spans="1:4">
      <c r="A10" s="435">
        <v>10018</v>
      </c>
      <c r="B10" s="436" t="s">
        <v>30442</v>
      </c>
      <c r="C10" s="437" t="s">
        <v>165</v>
      </c>
      <c r="D10" s="438">
        <v>19.350000000000001</v>
      </c>
    </row>
    <row r="11" spans="1:4">
      <c r="A11" s="435">
        <v>10019</v>
      </c>
      <c r="B11" s="436" t="s">
        <v>30443</v>
      </c>
      <c r="C11" s="437" t="s">
        <v>165</v>
      </c>
      <c r="D11" s="438">
        <v>22.4</v>
      </c>
    </row>
    <row r="12" spans="1:4">
      <c r="A12" s="435">
        <v>10034</v>
      </c>
      <c r="B12" s="436" t="s">
        <v>30444</v>
      </c>
      <c r="C12" s="437" t="s">
        <v>30445</v>
      </c>
      <c r="D12" s="438">
        <v>183.8</v>
      </c>
    </row>
    <row r="13" spans="1:4">
      <c r="A13" s="435">
        <v>10035</v>
      </c>
      <c r="B13" s="436" t="s">
        <v>30446</v>
      </c>
      <c r="C13" s="437" t="s">
        <v>30445</v>
      </c>
      <c r="D13" s="438">
        <v>215.26</v>
      </c>
    </row>
    <row r="14" spans="1:4">
      <c r="A14" s="435">
        <v>10036</v>
      </c>
      <c r="B14" s="436" t="s">
        <v>30447</v>
      </c>
      <c r="C14" s="437" t="s">
        <v>30445</v>
      </c>
      <c r="D14" s="438">
        <v>217.09</v>
      </c>
    </row>
    <row r="15" spans="1:4">
      <c r="A15" s="435">
        <v>10045</v>
      </c>
      <c r="B15" s="436" t="s">
        <v>30448</v>
      </c>
      <c r="C15" s="437" t="s">
        <v>30445</v>
      </c>
      <c r="D15" s="438">
        <v>608.94000000000005</v>
      </c>
    </row>
    <row r="16" spans="1:4">
      <c r="A16" s="435">
        <v>10046</v>
      </c>
      <c r="B16" s="436" t="s">
        <v>30449</v>
      </c>
      <c r="C16" s="437" t="s">
        <v>30445</v>
      </c>
      <c r="D16" s="438">
        <v>696.84</v>
      </c>
    </row>
    <row r="17" spans="1:4">
      <c r="A17" s="435">
        <v>10047</v>
      </c>
      <c r="B17" s="436" t="s">
        <v>30450</v>
      </c>
      <c r="C17" s="437" t="s">
        <v>30445</v>
      </c>
      <c r="D17" s="438">
        <v>795.96</v>
      </c>
    </row>
    <row r="18" spans="1:4">
      <c r="A18" s="435">
        <v>10060</v>
      </c>
      <c r="B18" s="436" t="s">
        <v>30451</v>
      </c>
      <c r="C18" s="437" t="s">
        <v>30445</v>
      </c>
      <c r="D18" s="438">
        <v>39.4</v>
      </c>
    </row>
    <row r="19" spans="1:4">
      <c r="A19" s="435">
        <v>10061</v>
      </c>
      <c r="B19" s="436" t="s">
        <v>30452</v>
      </c>
      <c r="C19" s="437" t="s">
        <v>30445</v>
      </c>
      <c r="D19" s="438">
        <v>43.99</v>
      </c>
    </row>
    <row r="20" spans="1:4">
      <c r="A20" s="435">
        <v>10062</v>
      </c>
      <c r="B20" s="436" t="s">
        <v>30453</v>
      </c>
      <c r="C20" s="437" t="s">
        <v>30445</v>
      </c>
      <c r="D20" s="438">
        <v>50.28</v>
      </c>
    </row>
    <row r="21" spans="1:4">
      <c r="A21" s="435">
        <v>10063</v>
      </c>
      <c r="B21" s="436" t="s">
        <v>30454</v>
      </c>
      <c r="C21" s="437" t="s">
        <v>30445</v>
      </c>
      <c r="D21" s="438">
        <v>63.8</v>
      </c>
    </row>
    <row r="22" spans="1:4">
      <c r="A22" s="435">
        <v>10064</v>
      </c>
      <c r="B22" s="436" t="s">
        <v>30455</v>
      </c>
      <c r="C22" s="437" t="s">
        <v>30445</v>
      </c>
      <c r="D22" s="438">
        <v>71.62</v>
      </c>
    </row>
    <row r="23" spans="1:4">
      <c r="A23" s="435">
        <v>10070</v>
      </c>
      <c r="B23" s="436" t="s">
        <v>30456</v>
      </c>
      <c r="C23" s="437" t="s">
        <v>165</v>
      </c>
      <c r="D23" s="438">
        <v>38.97</v>
      </c>
    </row>
    <row r="24" spans="1:4">
      <c r="A24" s="435">
        <v>10071</v>
      </c>
      <c r="B24" s="436" t="s">
        <v>30457</v>
      </c>
      <c r="C24" s="437" t="s">
        <v>165</v>
      </c>
      <c r="D24" s="438">
        <v>48.64</v>
      </c>
    </row>
    <row r="25" spans="1:4">
      <c r="A25" s="435">
        <v>10072</v>
      </c>
      <c r="B25" s="436" t="s">
        <v>30458</v>
      </c>
      <c r="C25" s="437" t="s">
        <v>165</v>
      </c>
      <c r="D25" s="438">
        <v>56.65</v>
      </c>
    </row>
    <row r="26" spans="1:4">
      <c r="A26" s="435">
        <v>10073</v>
      </c>
      <c r="B26" s="436" t="s">
        <v>30459</v>
      </c>
      <c r="C26" s="437" t="s">
        <v>165</v>
      </c>
      <c r="D26" s="438">
        <v>65.09</v>
      </c>
    </row>
    <row r="27" spans="1:4">
      <c r="A27" s="435">
        <v>10074</v>
      </c>
      <c r="B27" s="436" t="s">
        <v>30460</v>
      </c>
      <c r="C27" s="437" t="s">
        <v>165</v>
      </c>
      <c r="D27" s="438">
        <v>80.59</v>
      </c>
    </row>
    <row r="28" spans="1:4">
      <c r="A28" s="435">
        <v>10075</v>
      </c>
      <c r="B28" s="436" t="s">
        <v>30461</v>
      </c>
      <c r="C28" s="437" t="s">
        <v>165</v>
      </c>
      <c r="D28" s="438">
        <v>97.54</v>
      </c>
    </row>
    <row r="29" spans="1:4">
      <c r="A29" s="435">
        <v>10098</v>
      </c>
      <c r="B29" s="436" t="s">
        <v>30462</v>
      </c>
      <c r="C29" s="437" t="s">
        <v>30463</v>
      </c>
      <c r="D29" s="438">
        <v>2.86</v>
      </c>
    </row>
    <row r="30" spans="1:4" ht="25">
      <c r="A30" s="435">
        <v>10100</v>
      </c>
      <c r="B30" s="436" t="s">
        <v>30464</v>
      </c>
      <c r="C30" s="437" t="s">
        <v>165</v>
      </c>
      <c r="D30" s="438">
        <v>595.45000000000005</v>
      </c>
    </row>
    <row r="31" spans="1:4" ht="25">
      <c r="A31" s="435">
        <v>10101</v>
      </c>
      <c r="B31" s="436" t="s">
        <v>30465</v>
      </c>
      <c r="C31" s="437" t="s">
        <v>165</v>
      </c>
      <c r="D31" s="438">
        <v>652.23</v>
      </c>
    </row>
    <row r="32" spans="1:4" ht="25">
      <c r="A32" s="435">
        <v>10102</v>
      </c>
      <c r="B32" s="436" t="s">
        <v>30466</v>
      </c>
      <c r="C32" s="437" t="s">
        <v>165</v>
      </c>
      <c r="D32" s="438">
        <v>756.12</v>
      </c>
    </row>
    <row r="33" spans="1:4" ht="25">
      <c r="A33" s="435">
        <v>10103</v>
      </c>
      <c r="B33" s="436" t="s">
        <v>30467</v>
      </c>
      <c r="C33" s="437" t="s">
        <v>165</v>
      </c>
      <c r="D33" s="438">
        <v>768.34</v>
      </c>
    </row>
    <row r="34" spans="1:4" ht="25">
      <c r="A34" s="435">
        <v>10104</v>
      </c>
      <c r="B34" s="436" t="s">
        <v>30468</v>
      </c>
      <c r="C34" s="437" t="s">
        <v>165</v>
      </c>
      <c r="D34" s="438">
        <v>869.22</v>
      </c>
    </row>
    <row r="35" spans="1:4" ht="25">
      <c r="A35" s="435">
        <v>10105</v>
      </c>
      <c r="B35" s="436" t="s">
        <v>30469</v>
      </c>
      <c r="C35" s="437" t="s">
        <v>165</v>
      </c>
      <c r="D35" s="438">
        <v>957.82</v>
      </c>
    </row>
    <row r="36" spans="1:4" ht="25">
      <c r="A36" s="435">
        <v>10106</v>
      </c>
      <c r="B36" s="436" t="s">
        <v>30470</v>
      </c>
      <c r="C36" s="437" t="s">
        <v>165</v>
      </c>
      <c r="D36" s="438">
        <v>1124.5899999999999</v>
      </c>
    </row>
    <row r="37" spans="1:4" ht="25">
      <c r="A37" s="435">
        <v>10107</v>
      </c>
      <c r="B37" s="436" t="s">
        <v>30471</v>
      </c>
      <c r="C37" s="437" t="s">
        <v>165</v>
      </c>
      <c r="D37" s="438">
        <v>1314.57</v>
      </c>
    </row>
    <row r="38" spans="1:4" ht="25">
      <c r="A38" s="435">
        <v>10120</v>
      </c>
      <c r="B38" s="436" t="s">
        <v>30472</v>
      </c>
      <c r="C38" s="437" t="s">
        <v>165</v>
      </c>
      <c r="D38" s="438">
        <v>189.88</v>
      </c>
    </row>
    <row r="39" spans="1:4" ht="25">
      <c r="A39" s="435">
        <v>10121</v>
      </c>
      <c r="B39" s="436" t="s">
        <v>30473</v>
      </c>
      <c r="C39" s="437" t="s">
        <v>165</v>
      </c>
      <c r="D39" s="438">
        <v>204.81</v>
      </c>
    </row>
    <row r="40" spans="1:4" ht="25">
      <c r="A40" s="435">
        <v>10122</v>
      </c>
      <c r="B40" s="436" t="s">
        <v>30474</v>
      </c>
      <c r="C40" s="437" t="s">
        <v>165</v>
      </c>
      <c r="D40" s="438">
        <v>250.83</v>
      </c>
    </row>
    <row r="41" spans="1:4" ht="25">
      <c r="A41" s="435">
        <v>10123</v>
      </c>
      <c r="B41" s="436" t="s">
        <v>30475</v>
      </c>
      <c r="C41" s="437" t="s">
        <v>165</v>
      </c>
      <c r="D41" s="438">
        <v>256.42</v>
      </c>
    </row>
    <row r="42" spans="1:4" ht="25">
      <c r="A42" s="435">
        <v>10124</v>
      </c>
      <c r="B42" s="436" t="s">
        <v>30476</v>
      </c>
      <c r="C42" s="437" t="s">
        <v>165</v>
      </c>
      <c r="D42" s="438">
        <v>284.33</v>
      </c>
    </row>
    <row r="43" spans="1:4" ht="25">
      <c r="A43" s="435">
        <v>10125</v>
      </c>
      <c r="B43" s="436" t="s">
        <v>30477</v>
      </c>
      <c r="C43" s="437" t="s">
        <v>165</v>
      </c>
      <c r="D43" s="438">
        <v>310.89999999999998</v>
      </c>
    </row>
    <row r="44" spans="1:4" ht="25">
      <c r="A44" s="435">
        <v>10126</v>
      </c>
      <c r="B44" s="436" t="s">
        <v>30478</v>
      </c>
      <c r="C44" s="437" t="s">
        <v>165</v>
      </c>
      <c r="D44" s="438">
        <v>367.38</v>
      </c>
    </row>
    <row r="45" spans="1:4" ht="25">
      <c r="A45" s="435">
        <v>10127</v>
      </c>
      <c r="B45" s="436" t="s">
        <v>30479</v>
      </c>
      <c r="C45" s="437" t="s">
        <v>165</v>
      </c>
      <c r="D45" s="438">
        <v>452.8</v>
      </c>
    </row>
    <row r="46" spans="1:4">
      <c r="A46" s="431">
        <v>10500</v>
      </c>
      <c r="B46" s="432" t="s">
        <v>30480</v>
      </c>
      <c r="C46" s="433"/>
      <c r="D46" s="434" t="s">
        <v>30434</v>
      </c>
    </row>
    <row r="47" spans="1:4">
      <c r="A47" s="435">
        <v>10501</v>
      </c>
      <c r="B47" s="436" t="s">
        <v>30481</v>
      </c>
      <c r="C47" s="437" t="s">
        <v>121</v>
      </c>
      <c r="D47" s="438">
        <v>170.09</v>
      </c>
    </row>
    <row r="48" spans="1:4">
      <c r="A48" s="435">
        <v>10502</v>
      </c>
      <c r="B48" s="436" t="s">
        <v>30482</v>
      </c>
      <c r="C48" s="437" t="s">
        <v>121</v>
      </c>
      <c r="D48" s="438">
        <v>81.47</v>
      </c>
    </row>
    <row r="49" spans="1:4">
      <c r="A49" s="435">
        <v>10503</v>
      </c>
      <c r="B49" s="436" t="s">
        <v>30483</v>
      </c>
      <c r="C49" s="437" t="s">
        <v>121</v>
      </c>
      <c r="D49" s="438">
        <v>169.12</v>
      </c>
    </row>
    <row r="50" spans="1:4">
      <c r="A50" s="435">
        <v>10504</v>
      </c>
      <c r="B50" s="436" t="s">
        <v>30484</v>
      </c>
      <c r="C50" s="437" t="s">
        <v>121</v>
      </c>
      <c r="D50" s="438">
        <v>173.98</v>
      </c>
    </row>
    <row r="51" spans="1:4">
      <c r="A51" s="435">
        <v>10505</v>
      </c>
      <c r="B51" s="436" t="s">
        <v>30485</v>
      </c>
      <c r="C51" s="437" t="s">
        <v>121</v>
      </c>
      <c r="D51" s="438">
        <v>586.66</v>
      </c>
    </row>
    <row r="52" spans="1:4">
      <c r="A52" s="435">
        <v>10506</v>
      </c>
      <c r="B52" s="436" t="s">
        <v>30486</v>
      </c>
      <c r="C52" s="437" t="s">
        <v>121</v>
      </c>
      <c r="D52" s="438">
        <v>167.7</v>
      </c>
    </row>
    <row r="53" spans="1:4">
      <c r="A53" s="435">
        <v>10508</v>
      </c>
      <c r="B53" s="436" t="s">
        <v>30487</v>
      </c>
      <c r="C53" s="437" t="s">
        <v>30463</v>
      </c>
      <c r="D53" s="438">
        <v>0.88</v>
      </c>
    </row>
    <row r="54" spans="1:4">
      <c r="A54" s="435">
        <v>10509</v>
      </c>
      <c r="B54" s="436" t="s">
        <v>30488</v>
      </c>
      <c r="C54" s="437" t="s">
        <v>30463</v>
      </c>
      <c r="D54" s="438">
        <v>0.99</v>
      </c>
    </row>
    <row r="55" spans="1:4">
      <c r="A55" s="435">
        <v>10510</v>
      </c>
      <c r="B55" s="436" t="s">
        <v>30489</v>
      </c>
      <c r="C55" s="437" t="s">
        <v>30463</v>
      </c>
      <c r="D55" s="438">
        <v>2.27</v>
      </c>
    </row>
    <row r="56" spans="1:4">
      <c r="A56" s="435">
        <v>10511</v>
      </c>
      <c r="B56" s="436" t="s">
        <v>30490</v>
      </c>
      <c r="C56" s="437" t="s">
        <v>30463</v>
      </c>
      <c r="D56" s="438">
        <v>1</v>
      </c>
    </row>
    <row r="57" spans="1:4">
      <c r="A57" s="435">
        <v>10512</v>
      </c>
      <c r="B57" s="436" t="s">
        <v>30491</v>
      </c>
      <c r="C57" s="437" t="s">
        <v>30463</v>
      </c>
      <c r="D57" s="438">
        <v>0</v>
      </c>
    </row>
    <row r="58" spans="1:4">
      <c r="A58" s="435">
        <v>10515</v>
      </c>
      <c r="B58" s="436" t="s">
        <v>30492</v>
      </c>
      <c r="C58" s="437" t="s">
        <v>30463</v>
      </c>
      <c r="D58" s="438">
        <v>2.76</v>
      </c>
    </row>
    <row r="59" spans="1:4">
      <c r="A59" s="435">
        <v>10516</v>
      </c>
      <c r="B59" s="436" t="s">
        <v>30493</v>
      </c>
      <c r="C59" s="437" t="s">
        <v>30463</v>
      </c>
      <c r="D59" s="438">
        <v>25.66</v>
      </c>
    </row>
    <row r="60" spans="1:4">
      <c r="A60" s="435">
        <v>10517</v>
      </c>
      <c r="B60" s="436" t="s">
        <v>30494</v>
      </c>
      <c r="C60" s="437" t="s">
        <v>30463</v>
      </c>
      <c r="D60" s="438">
        <v>0.59</v>
      </c>
    </row>
    <row r="61" spans="1:4">
      <c r="A61" s="435">
        <v>10520</v>
      </c>
      <c r="B61" s="436" t="s">
        <v>30495</v>
      </c>
      <c r="C61" s="437" t="s">
        <v>121</v>
      </c>
      <c r="D61" s="438">
        <v>422.19</v>
      </c>
    </row>
    <row r="62" spans="1:4">
      <c r="A62" s="435">
        <v>10521</v>
      </c>
      <c r="B62" s="436" t="s">
        <v>30496</v>
      </c>
      <c r="C62" s="437" t="s">
        <v>121</v>
      </c>
      <c r="D62" s="438">
        <v>425.06</v>
      </c>
    </row>
    <row r="63" spans="1:4">
      <c r="A63" s="435">
        <v>10522</v>
      </c>
      <c r="B63" s="436" t="s">
        <v>30497</v>
      </c>
      <c r="C63" s="437" t="s">
        <v>121</v>
      </c>
      <c r="D63" s="438">
        <v>442.74</v>
      </c>
    </row>
    <row r="64" spans="1:4">
      <c r="A64" s="435">
        <v>10523</v>
      </c>
      <c r="B64" s="436" t="s">
        <v>30498</v>
      </c>
      <c r="C64" s="437" t="s">
        <v>121</v>
      </c>
      <c r="D64" s="438">
        <v>445.76</v>
      </c>
    </row>
    <row r="65" spans="1:4">
      <c r="A65" s="435">
        <v>10524</v>
      </c>
      <c r="B65" s="436" t="s">
        <v>30499</v>
      </c>
      <c r="C65" s="437" t="s">
        <v>121</v>
      </c>
      <c r="D65" s="438">
        <v>464.71</v>
      </c>
    </row>
    <row r="66" spans="1:4">
      <c r="A66" s="435">
        <v>10525</v>
      </c>
      <c r="B66" s="436" t="s">
        <v>30500</v>
      </c>
      <c r="C66" s="437" t="s">
        <v>121</v>
      </c>
      <c r="D66" s="438">
        <v>469.26</v>
      </c>
    </row>
    <row r="67" spans="1:4">
      <c r="A67" s="435">
        <v>10526</v>
      </c>
      <c r="B67" s="436" t="s">
        <v>30501</v>
      </c>
      <c r="C67" s="437" t="s">
        <v>121</v>
      </c>
      <c r="D67" s="438">
        <v>469.26</v>
      </c>
    </row>
    <row r="68" spans="1:4">
      <c r="A68" s="435">
        <v>10527</v>
      </c>
      <c r="B68" s="436" t="s">
        <v>30502</v>
      </c>
      <c r="C68" s="437" t="s">
        <v>121</v>
      </c>
      <c r="D68" s="438">
        <v>487.33</v>
      </c>
    </row>
    <row r="69" spans="1:4">
      <c r="A69" s="435">
        <v>10528</v>
      </c>
      <c r="B69" s="436" t="s">
        <v>30503</v>
      </c>
      <c r="C69" s="437" t="s">
        <v>121</v>
      </c>
      <c r="D69" s="438">
        <v>490.21</v>
      </c>
    </row>
    <row r="70" spans="1:4">
      <c r="A70" s="435">
        <v>10529</v>
      </c>
      <c r="B70" s="436" t="s">
        <v>30504</v>
      </c>
      <c r="C70" s="437" t="s">
        <v>121</v>
      </c>
      <c r="D70" s="438">
        <v>511.05</v>
      </c>
    </row>
    <row r="71" spans="1:4">
      <c r="A71" s="435">
        <v>10530</v>
      </c>
      <c r="B71" s="436" t="s">
        <v>30505</v>
      </c>
      <c r="C71" s="437" t="s">
        <v>121</v>
      </c>
      <c r="D71" s="438">
        <v>514.07000000000005</v>
      </c>
    </row>
    <row r="72" spans="1:4">
      <c r="A72" s="435">
        <v>10531</v>
      </c>
      <c r="B72" s="436" t="s">
        <v>30506</v>
      </c>
      <c r="C72" s="437" t="s">
        <v>121</v>
      </c>
      <c r="D72" s="438">
        <v>535.92999999999995</v>
      </c>
    </row>
    <row r="73" spans="1:4">
      <c r="A73" s="435">
        <v>10532</v>
      </c>
      <c r="B73" s="436" t="s">
        <v>30507</v>
      </c>
      <c r="C73" s="437" t="s">
        <v>121</v>
      </c>
      <c r="D73" s="438">
        <v>539.1</v>
      </c>
    </row>
    <row r="74" spans="1:4">
      <c r="A74" s="435">
        <v>10533</v>
      </c>
      <c r="B74" s="436" t="s">
        <v>30508</v>
      </c>
      <c r="C74" s="437" t="s">
        <v>121</v>
      </c>
      <c r="D74" s="438">
        <v>562.02</v>
      </c>
    </row>
    <row r="75" spans="1:4">
      <c r="A75" s="435">
        <v>10534</v>
      </c>
      <c r="B75" s="436" t="s">
        <v>30509</v>
      </c>
      <c r="C75" s="437" t="s">
        <v>121</v>
      </c>
      <c r="D75" s="438">
        <v>567.52</v>
      </c>
    </row>
    <row r="76" spans="1:4">
      <c r="A76" s="435">
        <v>10535</v>
      </c>
      <c r="B76" s="436" t="s">
        <v>30510</v>
      </c>
      <c r="C76" s="437" t="s">
        <v>121</v>
      </c>
      <c r="D76" s="438">
        <v>526.01</v>
      </c>
    </row>
    <row r="77" spans="1:4">
      <c r="A77" s="435">
        <v>10536</v>
      </c>
      <c r="B77" s="436" t="s">
        <v>30511</v>
      </c>
      <c r="C77" s="437" t="s">
        <v>121</v>
      </c>
      <c r="D77" s="438">
        <v>573.49</v>
      </c>
    </row>
    <row r="78" spans="1:4">
      <c r="A78" s="435">
        <v>10542</v>
      </c>
      <c r="B78" s="436" t="s">
        <v>30512</v>
      </c>
      <c r="C78" s="437" t="s">
        <v>121</v>
      </c>
      <c r="D78" s="438">
        <v>145.66</v>
      </c>
    </row>
    <row r="79" spans="1:4">
      <c r="A79" s="435">
        <v>10543</v>
      </c>
      <c r="B79" s="436" t="s">
        <v>30513</v>
      </c>
      <c r="C79" s="437" t="s">
        <v>121</v>
      </c>
      <c r="D79" s="438">
        <v>145.66</v>
      </c>
    </row>
    <row r="80" spans="1:4">
      <c r="A80" s="435">
        <v>10544</v>
      </c>
      <c r="B80" s="436" t="s">
        <v>30514</v>
      </c>
      <c r="C80" s="437" t="s">
        <v>121</v>
      </c>
      <c r="D80" s="438">
        <v>145.66</v>
      </c>
    </row>
    <row r="81" spans="1:4">
      <c r="A81" s="435">
        <v>10545</v>
      </c>
      <c r="B81" s="436" t="s">
        <v>30515</v>
      </c>
      <c r="C81" s="437" t="s">
        <v>121</v>
      </c>
      <c r="D81" s="438">
        <v>151.91999999999999</v>
      </c>
    </row>
    <row r="82" spans="1:4">
      <c r="A82" s="435">
        <v>10546</v>
      </c>
      <c r="B82" s="436" t="s">
        <v>30516</v>
      </c>
      <c r="C82" s="437" t="s">
        <v>121</v>
      </c>
      <c r="D82" s="438">
        <v>167.96</v>
      </c>
    </row>
    <row r="83" spans="1:4">
      <c r="A83" s="435">
        <v>10547</v>
      </c>
      <c r="B83" s="436" t="s">
        <v>6225</v>
      </c>
      <c r="C83" s="437" t="s">
        <v>121</v>
      </c>
      <c r="D83" s="438">
        <v>176.27</v>
      </c>
    </row>
    <row r="84" spans="1:4">
      <c r="A84" s="435">
        <v>10548</v>
      </c>
      <c r="B84" s="436" t="s">
        <v>30517</v>
      </c>
      <c r="C84" s="437" t="s">
        <v>121</v>
      </c>
      <c r="D84" s="438">
        <v>148.26</v>
      </c>
    </row>
    <row r="85" spans="1:4">
      <c r="A85" s="435">
        <v>10550</v>
      </c>
      <c r="B85" s="436" t="s">
        <v>30518</v>
      </c>
      <c r="C85" s="437" t="s">
        <v>121</v>
      </c>
      <c r="D85" s="438">
        <v>176.1</v>
      </c>
    </row>
    <row r="86" spans="1:4">
      <c r="A86" s="435">
        <v>10552</v>
      </c>
      <c r="B86" s="436" t="s">
        <v>30519</v>
      </c>
      <c r="C86" s="437" t="s">
        <v>121</v>
      </c>
      <c r="D86" s="438">
        <v>159</v>
      </c>
    </row>
    <row r="87" spans="1:4">
      <c r="A87" s="435">
        <v>10553</v>
      </c>
      <c r="B87" s="436" t="s">
        <v>30520</v>
      </c>
      <c r="C87" s="437" t="s">
        <v>121</v>
      </c>
      <c r="D87" s="438">
        <v>166.14</v>
      </c>
    </row>
    <row r="88" spans="1:4">
      <c r="A88" s="435">
        <v>10554</v>
      </c>
      <c r="B88" s="436" t="s">
        <v>30521</v>
      </c>
      <c r="C88" s="437" t="s">
        <v>121</v>
      </c>
      <c r="D88" s="438">
        <v>163.05000000000001</v>
      </c>
    </row>
    <row r="89" spans="1:4">
      <c r="A89" s="435">
        <v>10555</v>
      </c>
      <c r="B89" s="436" t="s">
        <v>30522</v>
      </c>
      <c r="C89" s="437" t="s">
        <v>121</v>
      </c>
      <c r="D89" s="438">
        <v>148.79</v>
      </c>
    </row>
    <row r="90" spans="1:4">
      <c r="A90" s="435">
        <v>10558</v>
      </c>
      <c r="B90" s="436" t="s">
        <v>30523</v>
      </c>
      <c r="C90" s="437" t="s">
        <v>121</v>
      </c>
      <c r="D90" s="438">
        <v>228.73</v>
      </c>
    </row>
    <row r="91" spans="1:4">
      <c r="A91" s="435">
        <v>10561</v>
      </c>
      <c r="B91" s="436" t="s">
        <v>30524</v>
      </c>
      <c r="C91" s="437" t="s">
        <v>30463</v>
      </c>
      <c r="D91" s="438">
        <v>0.84</v>
      </c>
    </row>
    <row r="92" spans="1:4">
      <c r="A92" s="435">
        <v>10562</v>
      </c>
      <c r="B92" s="436" t="s">
        <v>30525</v>
      </c>
      <c r="C92" s="437" t="s">
        <v>30463</v>
      </c>
      <c r="D92" s="438">
        <v>1.05</v>
      </c>
    </row>
    <row r="93" spans="1:4">
      <c r="A93" s="435">
        <v>10564</v>
      </c>
      <c r="B93" s="436" t="s">
        <v>30526</v>
      </c>
      <c r="C93" s="437" t="s">
        <v>30463</v>
      </c>
      <c r="D93" s="438">
        <v>1.91</v>
      </c>
    </row>
    <row r="94" spans="1:4" ht="37">
      <c r="A94" s="435">
        <v>10565</v>
      </c>
      <c r="B94" s="436" t="s">
        <v>39333</v>
      </c>
      <c r="C94" s="437" t="s">
        <v>30463</v>
      </c>
      <c r="D94" s="438">
        <v>24.79</v>
      </c>
    </row>
    <row r="95" spans="1:4">
      <c r="A95" s="435">
        <v>10570</v>
      </c>
      <c r="B95" s="436" t="s">
        <v>30527</v>
      </c>
      <c r="C95" s="437" t="s">
        <v>30463</v>
      </c>
      <c r="D95" s="438">
        <v>1.1200000000000001</v>
      </c>
    </row>
    <row r="96" spans="1:4">
      <c r="A96" s="435">
        <v>10580</v>
      </c>
      <c r="B96" s="436" t="s">
        <v>30528</v>
      </c>
      <c r="C96" s="437" t="s">
        <v>121</v>
      </c>
      <c r="D96" s="438">
        <v>1153.94</v>
      </c>
    </row>
    <row r="97" spans="1:4">
      <c r="A97" s="435">
        <v>10600</v>
      </c>
      <c r="B97" s="436" t="s">
        <v>30529</v>
      </c>
      <c r="C97" s="437" t="s">
        <v>121</v>
      </c>
      <c r="D97" s="438">
        <v>246.96</v>
      </c>
    </row>
    <row r="98" spans="1:4">
      <c r="A98" s="435">
        <v>10601</v>
      </c>
      <c r="B98" s="436" t="s">
        <v>30530</v>
      </c>
      <c r="C98" s="437" t="s">
        <v>121</v>
      </c>
      <c r="D98" s="438">
        <v>306.01</v>
      </c>
    </row>
    <row r="99" spans="1:4">
      <c r="A99" s="435">
        <v>10602</v>
      </c>
      <c r="B99" s="436" t="s">
        <v>30531</v>
      </c>
      <c r="C99" s="437" t="s">
        <v>121</v>
      </c>
      <c r="D99" s="438">
        <v>306.01</v>
      </c>
    </row>
    <row r="100" spans="1:4">
      <c r="A100" s="435">
        <v>10603</v>
      </c>
      <c r="B100" s="436" t="s">
        <v>30532</v>
      </c>
      <c r="C100" s="437" t="s">
        <v>121</v>
      </c>
      <c r="D100" s="438">
        <v>280.69</v>
      </c>
    </row>
    <row r="101" spans="1:4">
      <c r="A101" s="435">
        <v>10604</v>
      </c>
      <c r="B101" s="436" t="s">
        <v>30533</v>
      </c>
      <c r="C101" s="437" t="s">
        <v>121</v>
      </c>
      <c r="D101" s="438">
        <v>335.26</v>
      </c>
    </row>
    <row r="102" spans="1:4">
      <c r="A102" s="435">
        <v>10605</v>
      </c>
      <c r="B102" s="436" t="s">
        <v>30534</v>
      </c>
      <c r="C102" s="437" t="s">
        <v>121</v>
      </c>
      <c r="D102" s="438">
        <v>335.26</v>
      </c>
    </row>
    <row r="103" spans="1:4">
      <c r="A103" s="435">
        <v>10606</v>
      </c>
      <c r="B103" s="436" t="s">
        <v>30535</v>
      </c>
      <c r="C103" s="437" t="s">
        <v>121</v>
      </c>
      <c r="D103" s="438">
        <v>364.68</v>
      </c>
    </row>
    <row r="104" spans="1:4">
      <c r="A104" s="435">
        <v>10607</v>
      </c>
      <c r="B104" s="436" t="s">
        <v>30536</v>
      </c>
      <c r="C104" s="437" t="s">
        <v>121</v>
      </c>
      <c r="D104" s="438">
        <v>415.39</v>
      </c>
    </row>
    <row r="105" spans="1:4">
      <c r="A105" s="435">
        <v>10608</v>
      </c>
      <c r="B105" s="436" t="s">
        <v>30537</v>
      </c>
      <c r="C105" s="437" t="s">
        <v>121</v>
      </c>
      <c r="D105" s="438">
        <v>415.39</v>
      </c>
    </row>
    <row r="106" spans="1:4">
      <c r="A106" s="435">
        <v>10609</v>
      </c>
      <c r="B106" s="436" t="s">
        <v>30538</v>
      </c>
      <c r="C106" s="437" t="s">
        <v>121</v>
      </c>
      <c r="D106" s="438">
        <v>415.39</v>
      </c>
    </row>
    <row r="107" spans="1:4">
      <c r="A107" s="435">
        <v>10610</v>
      </c>
      <c r="B107" s="436" t="s">
        <v>30539</v>
      </c>
      <c r="C107" s="437" t="s">
        <v>121</v>
      </c>
      <c r="D107" s="438">
        <v>381.01</v>
      </c>
    </row>
    <row r="108" spans="1:4">
      <c r="A108" s="435">
        <v>10611</v>
      </c>
      <c r="B108" s="436" t="s">
        <v>30540</v>
      </c>
      <c r="C108" s="437" t="s">
        <v>121</v>
      </c>
      <c r="D108" s="438">
        <v>431.08</v>
      </c>
    </row>
    <row r="109" spans="1:4">
      <c r="A109" s="435">
        <v>10612</v>
      </c>
      <c r="B109" s="436" t="s">
        <v>30541</v>
      </c>
      <c r="C109" s="437" t="s">
        <v>121</v>
      </c>
      <c r="D109" s="438">
        <v>431.08</v>
      </c>
    </row>
    <row r="110" spans="1:4">
      <c r="A110" s="435">
        <v>10613</v>
      </c>
      <c r="B110" s="436" t="s">
        <v>30542</v>
      </c>
      <c r="C110" s="437" t="s">
        <v>121</v>
      </c>
      <c r="D110" s="438">
        <v>431.08</v>
      </c>
    </row>
    <row r="111" spans="1:4">
      <c r="A111" s="435">
        <v>10614</v>
      </c>
      <c r="B111" s="436" t="s">
        <v>30543</v>
      </c>
      <c r="C111" s="437" t="s">
        <v>121</v>
      </c>
      <c r="D111" s="438">
        <v>398.52</v>
      </c>
    </row>
    <row r="112" spans="1:4">
      <c r="A112" s="435">
        <v>10615</v>
      </c>
      <c r="B112" s="436" t="s">
        <v>30544</v>
      </c>
      <c r="C112" s="437" t="s">
        <v>121</v>
      </c>
      <c r="D112" s="438">
        <v>447.94</v>
      </c>
    </row>
    <row r="113" spans="1:4">
      <c r="A113" s="435">
        <v>10616</v>
      </c>
      <c r="B113" s="436" t="s">
        <v>30545</v>
      </c>
      <c r="C113" s="437" t="s">
        <v>121</v>
      </c>
      <c r="D113" s="438">
        <v>447.94</v>
      </c>
    </row>
    <row r="114" spans="1:4">
      <c r="A114" s="435">
        <v>10617</v>
      </c>
      <c r="B114" s="436" t="s">
        <v>30546</v>
      </c>
      <c r="C114" s="437" t="s">
        <v>121</v>
      </c>
      <c r="D114" s="438">
        <v>447.94</v>
      </c>
    </row>
    <row r="115" spans="1:4">
      <c r="A115" s="435">
        <v>10618</v>
      </c>
      <c r="B115" s="436" t="s">
        <v>30547</v>
      </c>
      <c r="C115" s="437" t="s">
        <v>121</v>
      </c>
      <c r="D115" s="438">
        <v>461.33</v>
      </c>
    </row>
    <row r="116" spans="1:4">
      <c r="A116" s="435">
        <v>10619</v>
      </c>
      <c r="B116" s="436" t="s">
        <v>30548</v>
      </c>
      <c r="C116" s="437" t="s">
        <v>121</v>
      </c>
      <c r="D116" s="438">
        <v>461.33</v>
      </c>
    </row>
    <row r="117" spans="1:4">
      <c r="A117" s="435">
        <v>10620</v>
      </c>
      <c r="B117" s="436" t="s">
        <v>30549</v>
      </c>
      <c r="C117" s="437" t="s">
        <v>121</v>
      </c>
      <c r="D117" s="438">
        <v>461.33</v>
      </c>
    </row>
    <row r="118" spans="1:4">
      <c r="A118" s="435">
        <v>10621</v>
      </c>
      <c r="B118" s="436" t="s">
        <v>30550</v>
      </c>
      <c r="C118" s="437" t="s">
        <v>121</v>
      </c>
      <c r="D118" s="438">
        <v>480.49</v>
      </c>
    </row>
    <row r="119" spans="1:4">
      <c r="A119" s="435">
        <v>10622</v>
      </c>
      <c r="B119" s="436" t="s">
        <v>30551</v>
      </c>
      <c r="C119" s="437" t="s">
        <v>121</v>
      </c>
      <c r="D119" s="438">
        <v>480.49</v>
      </c>
    </row>
    <row r="120" spans="1:4">
      <c r="A120" s="435">
        <v>10623</v>
      </c>
      <c r="B120" s="436" t="s">
        <v>30552</v>
      </c>
      <c r="C120" s="437" t="s">
        <v>121</v>
      </c>
      <c r="D120" s="438">
        <v>480.49</v>
      </c>
    </row>
    <row r="121" spans="1:4">
      <c r="A121" s="435">
        <v>10624</v>
      </c>
      <c r="B121" s="436" t="s">
        <v>30553</v>
      </c>
      <c r="C121" s="437" t="s">
        <v>121</v>
      </c>
      <c r="D121" s="438">
        <v>478.29</v>
      </c>
    </row>
    <row r="122" spans="1:4">
      <c r="A122" s="435">
        <v>10625</v>
      </c>
      <c r="B122" s="436" t="s">
        <v>30554</v>
      </c>
      <c r="C122" s="437" t="s">
        <v>121</v>
      </c>
      <c r="D122" s="438">
        <v>478.29</v>
      </c>
    </row>
    <row r="123" spans="1:4">
      <c r="A123" s="435">
        <v>10626</v>
      </c>
      <c r="B123" s="436" t="s">
        <v>30555</v>
      </c>
      <c r="C123" s="437" t="s">
        <v>121</v>
      </c>
      <c r="D123" s="438">
        <v>478.29</v>
      </c>
    </row>
    <row r="124" spans="1:4">
      <c r="A124" s="435">
        <v>10627</v>
      </c>
      <c r="B124" s="436" t="s">
        <v>30556</v>
      </c>
      <c r="C124" s="437" t="s">
        <v>121</v>
      </c>
      <c r="D124" s="438">
        <v>387.74</v>
      </c>
    </row>
    <row r="125" spans="1:4">
      <c r="A125" s="435">
        <v>10628</v>
      </c>
      <c r="B125" s="436" t="s">
        <v>30557</v>
      </c>
      <c r="C125" s="437" t="s">
        <v>121</v>
      </c>
      <c r="D125" s="438">
        <v>800.01</v>
      </c>
    </row>
    <row r="126" spans="1:4">
      <c r="A126" s="435">
        <v>10629</v>
      </c>
      <c r="B126" s="436" t="s">
        <v>30558</v>
      </c>
      <c r="C126" s="437" t="s">
        <v>121</v>
      </c>
      <c r="D126" s="438">
        <v>731.7</v>
      </c>
    </row>
    <row r="127" spans="1:4">
      <c r="A127" s="435">
        <v>10630</v>
      </c>
      <c r="B127" s="436" t="s">
        <v>30559</v>
      </c>
      <c r="C127" s="437" t="s">
        <v>121</v>
      </c>
      <c r="D127" s="438">
        <v>739.34</v>
      </c>
    </row>
    <row r="128" spans="1:4">
      <c r="A128" s="435">
        <v>10631</v>
      </c>
      <c r="B128" s="436" t="s">
        <v>30560</v>
      </c>
      <c r="C128" s="437" t="s">
        <v>121</v>
      </c>
      <c r="D128" s="438">
        <v>660.31</v>
      </c>
    </row>
    <row r="129" spans="1:4">
      <c r="A129" s="435">
        <v>10632</v>
      </c>
      <c r="B129" s="436" t="s">
        <v>30561</v>
      </c>
      <c r="C129" s="437" t="s">
        <v>121</v>
      </c>
      <c r="D129" s="438">
        <v>667.95</v>
      </c>
    </row>
    <row r="130" spans="1:4">
      <c r="A130" s="435">
        <v>10633</v>
      </c>
      <c r="B130" s="436" t="s">
        <v>30562</v>
      </c>
      <c r="C130" s="437" t="s">
        <v>121</v>
      </c>
      <c r="D130" s="438">
        <v>617.24</v>
      </c>
    </row>
    <row r="131" spans="1:4">
      <c r="A131" s="435">
        <v>10634</v>
      </c>
      <c r="B131" s="436" t="s">
        <v>30563</v>
      </c>
      <c r="C131" s="437" t="s">
        <v>121</v>
      </c>
      <c r="D131" s="438">
        <v>624.88</v>
      </c>
    </row>
    <row r="132" spans="1:4">
      <c r="A132" s="435">
        <v>10635</v>
      </c>
      <c r="B132" s="436" t="s">
        <v>30564</v>
      </c>
      <c r="C132" s="437" t="s">
        <v>121</v>
      </c>
      <c r="D132" s="438">
        <v>588.33000000000004</v>
      </c>
    </row>
    <row r="133" spans="1:4">
      <c r="A133" s="435">
        <v>10636</v>
      </c>
      <c r="B133" s="436" t="s">
        <v>30565</v>
      </c>
      <c r="C133" s="437" t="s">
        <v>121</v>
      </c>
      <c r="D133" s="438">
        <v>595.97</v>
      </c>
    </row>
    <row r="134" spans="1:4">
      <c r="A134" s="435">
        <v>10637</v>
      </c>
      <c r="B134" s="436" t="s">
        <v>30566</v>
      </c>
      <c r="C134" s="437" t="s">
        <v>121</v>
      </c>
      <c r="D134" s="438">
        <v>567.67999999999995</v>
      </c>
    </row>
    <row r="135" spans="1:4">
      <c r="A135" s="435">
        <v>10638</v>
      </c>
      <c r="B135" s="436" t="s">
        <v>30567</v>
      </c>
      <c r="C135" s="437" t="s">
        <v>121</v>
      </c>
      <c r="D135" s="438">
        <v>575.32000000000005</v>
      </c>
    </row>
    <row r="136" spans="1:4">
      <c r="A136" s="435">
        <v>10639</v>
      </c>
      <c r="B136" s="436" t="s">
        <v>30568</v>
      </c>
      <c r="C136" s="437" t="s">
        <v>121</v>
      </c>
      <c r="D136" s="438">
        <v>612.32000000000005</v>
      </c>
    </row>
    <row r="137" spans="1:4">
      <c r="A137" s="435">
        <v>10640</v>
      </c>
      <c r="B137" s="436" t="s">
        <v>30569</v>
      </c>
      <c r="C137" s="437" t="s">
        <v>121</v>
      </c>
      <c r="D137" s="438">
        <v>610.59</v>
      </c>
    </row>
    <row r="138" spans="1:4">
      <c r="A138" s="435">
        <v>10641</v>
      </c>
      <c r="B138" s="436" t="s">
        <v>30570</v>
      </c>
      <c r="C138" s="437" t="s">
        <v>121</v>
      </c>
      <c r="D138" s="438">
        <v>558.64</v>
      </c>
    </row>
    <row r="139" spans="1:4">
      <c r="A139" s="435">
        <v>10642</v>
      </c>
      <c r="B139" s="436" t="s">
        <v>30571</v>
      </c>
      <c r="C139" s="437" t="s">
        <v>121</v>
      </c>
      <c r="D139" s="438">
        <v>556.91</v>
      </c>
    </row>
    <row r="140" spans="1:4">
      <c r="A140" s="435">
        <v>10643</v>
      </c>
      <c r="B140" s="436" t="s">
        <v>30572</v>
      </c>
      <c r="C140" s="437" t="s">
        <v>121</v>
      </c>
      <c r="D140" s="438">
        <v>793.02</v>
      </c>
    </row>
    <row r="141" spans="1:4">
      <c r="A141" s="435">
        <v>10644</v>
      </c>
      <c r="B141" s="436" t="s">
        <v>30573</v>
      </c>
      <c r="C141" s="437" t="s">
        <v>121</v>
      </c>
      <c r="D141" s="438">
        <v>681.48</v>
      </c>
    </row>
    <row r="142" spans="1:4">
      <c r="A142" s="435">
        <v>10645</v>
      </c>
      <c r="B142" s="436" t="s">
        <v>30574</v>
      </c>
      <c r="C142" s="437" t="s">
        <v>121</v>
      </c>
      <c r="D142" s="438">
        <v>600.46</v>
      </c>
    </row>
    <row r="143" spans="1:4">
      <c r="A143" s="435">
        <v>10646</v>
      </c>
      <c r="B143" s="436" t="s">
        <v>30575</v>
      </c>
      <c r="C143" s="437" t="s">
        <v>121</v>
      </c>
      <c r="D143" s="438">
        <v>836.21</v>
      </c>
    </row>
    <row r="144" spans="1:4">
      <c r="A144" s="435">
        <v>10647</v>
      </c>
      <c r="B144" s="436" t="s">
        <v>30576</v>
      </c>
      <c r="C144" s="437" t="s">
        <v>121</v>
      </c>
      <c r="D144" s="438">
        <v>828.11</v>
      </c>
    </row>
    <row r="145" spans="1:4">
      <c r="A145" s="435">
        <v>10648</v>
      </c>
      <c r="B145" s="436" t="s">
        <v>30577</v>
      </c>
      <c r="C145" s="437" t="s">
        <v>121</v>
      </c>
      <c r="D145" s="438">
        <v>720.14</v>
      </c>
    </row>
    <row r="146" spans="1:4">
      <c r="A146" s="435">
        <v>10649</v>
      </c>
      <c r="B146" s="436" t="s">
        <v>30578</v>
      </c>
      <c r="C146" s="437" t="s">
        <v>121</v>
      </c>
      <c r="D146" s="438">
        <v>683.1</v>
      </c>
    </row>
    <row r="147" spans="1:4">
      <c r="A147" s="431">
        <v>10700</v>
      </c>
      <c r="B147" s="432" t="s">
        <v>30579</v>
      </c>
      <c r="C147" s="433"/>
      <c r="D147" s="434" t="s">
        <v>30434</v>
      </c>
    </row>
    <row r="148" spans="1:4">
      <c r="A148" s="435">
        <v>10705</v>
      </c>
      <c r="B148" s="436" t="s">
        <v>30580</v>
      </c>
      <c r="C148" s="437" t="s">
        <v>30463</v>
      </c>
      <c r="D148" s="438">
        <v>7.97</v>
      </c>
    </row>
    <row r="149" spans="1:4">
      <c r="A149" s="435">
        <v>10710</v>
      </c>
      <c r="B149" s="436" t="s">
        <v>30581</v>
      </c>
      <c r="C149" s="437" t="s">
        <v>30463</v>
      </c>
      <c r="D149" s="438">
        <v>156.9</v>
      </c>
    </row>
    <row r="150" spans="1:4">
      <c r="A150" s="435">
        <v>10715</v>
      </c>
      <c r="B150" s="436" t="s">
        <v>30582</v>
      </c>
      <c r="C150" s="437" t="s">
        <v>30463</v>
      </c>
      <c r="D150" s="438">
        <v>12.46</v>
      </c>
    </row>
    <row r="151" spans="1:4">
      <c r="A151" s="435">
        <v>10720</v>
      </c>
      <c r="B151" s="436" t="s">
        <v>30583</v>
      </c>
      <c r="C151" s="437" t="s">
        <v>30463</v>
      </c>
      <c r="D151" s="438">
        <v>5.55</v>
      </c>
    </row>
    <row r="152" spans="1:4" ht="25">
      <c r="A152" s="435">
        <v>10730</v>
      </c>
      <c r="B152" s="436" t="s">
        <v>30584</v>
      </c>
      <c r="C152" s="437" t="s">
        <v>30463</v>
      </c>
      <c r="D152" s="438">
        <v>31.36</v>
      </c>
    </row>
    <row r="153" spans="1:4">
      <c r="A153" s="435">
        <v>10731</v>
      </c>
      <c r="B153" s="436" t="s">
        <v>30585</v>
      </c>
      <c r="C153" s="437" t="s">
        <v>30463</v>
      </c>
      <c r="D153" s="438">
        <v>13.82</v>
      </c>
    </row>
    <row r="154" spans="1:4">
      <c r="A154" s="431">
        <v>11000</v>
      </c>
      <c r="B154" s="432" t="s">
        <v>30586</v>
      </c>
      <c r="C154" s="433"/>
      <c r="D154" s="434" t="s">
        <v>30434</v>
      </c>
    </row>
    <row r="155" spans="1:4">
      <c r="A155" s="435">
        <v>11001</v>
      </c>
      <c r="B155" s="436" t="s">
        <v>30587</v>
      </c>
      <c r="C155" s="437" t="s">
        <v>153</v>
      </c>
      <c r="D155" s="438">
        <v>14.09</v>
      </c>
    </row>
    <row r="156" spans="1:4">
      <c r="A156" s="435">
        <v>11010</v>
      </c>
      <c r="B156" s="436" t="s">
        <v>30588</v>
      </c>
      <c r="C156" s="437" t="s">
        <v>509</v>
      </c>
      <c r="D156" s="438">
        <v>36.880000000000003</v>
      </c>
    </row>
    <row r="157" spans="1:4">
      <c r="A157" s="435">
        <v>11011</v>
      </c>
      <c r="B157" s="436" t="s">
        <v>30589</v>
      </c>
      <c r="C157" s="437" t="s">
        <v>509</v>
      </c>
      <c r="D157" s="438">
        <v>40.5</v>
      </c>
    </row>
    <row r="158" spans="1:4">
      <c r="A158" s="435">
        <v>11012</v>
      </c>
      <c r="B158" s="436" t="s">
        <v>30590</v>
      </c>
      <c r="C158" s="437" t="s">
        <v>509</v>
      </c>
      <c r="D158" s="438">
        <v>49.1</v>
      </c>
    </row>
    <row r="159" spans="1:4">
      <c r="A159" s="435">
        <v>11019</v>
      </c>
      <c r="B159" s="436" t="s">
        <v>30591</v>
      </c>
      <c r="C159" s="437" t="s">
        <v>509</v>
      </c>
      <c r="D159" s="438">
        <v>15.14</v>
      </c>
    </row>
    <row r="160" spans="1:4">
      <c r="A160" s="435">
        <v>11020</v>
      </c>
      <c r="B160" s="436" t="s">
        <v>30592</v>
      </c>
      <c r="C160" s="437" t="s">
        <v>509</v>
      </c>
      <c r="D160" s="438">
        <v>22.89</v>
      </c>
    </row>
    <row r="161" spans="1:4">
      <c r="A161" s="435">
        <v>11021</v>
      </c>
      <c r="B161" s="436" t="s">
        <v>30593</v>
      </c>
      <c r="C161" s="437" t="s">
        <v>509</v>
      </c>
      <c r="D161" s="438">
        <v>27.9</v>
      </c>
    </row>
    <row r="162" spans="1:4">
      <c r="A162" s="435">
        <v>11037</v>
      </c>
      <c r="B162" s="436" t="s">
        <v>30594</v>
      </c>
      <c r="C162" s="437" t="s">
        <v>165</v>
      </c>
      <c r="D162" s="438">
        <v>93.52</v>
      </c>
    </row>
    <row r="163" spans="1:4">
      <c r="A163" s="435">
        <v>11044</v>
      </c>
      <c r="B163" s="436" t="s">
        <v>30595</v>
      </c>
      <c r="C163" s="437" t="s">
        <v>165</v>
      </c>
      <c r="D163" s="438">
        <v>2</v>
      </c>
    </row>
    <row r="164" spans="1:4">
      <c r="A164" s="435">
        <v>11046</v>
      </c>
      <c r="B164" s="436" t="s">
        <v>30596</v>
      </c>
      <c r="C164" s="437" t="s">
        <v>165</v>
      </c>
      <c r="D164" s="438">
        <v>7.58</v>
      </c>
    </row>
    <row r="165" spans="1:4" ht="25">
      <c r="A165" s="435">
        <v>11048</v>
      </c>
      <c r="B165" s="436" t="s">
        <v>30597</v>
      </c>
      <c r="C165" s="437" t="s">
        <v>165</v>
      </c>
      <c r="D165" s="438">
        <v>148.41999999999999</v>
      </c>
    </row>
    <row r="166" spans="1:4">
      <c r="A166" s="435">
        <v>11050</v>
      </c>
      <c r="B166" s="436" t="s">
        <v>30598</v>
      </c>
      <c r="C166" s="437" t="s">
        <v>165</v>
      </c>
      <c r="D166" s="438">
        <v>34.29</v>
      </c>
    </row>
    <row r="167" spans="1:4">
      <c r="A167" s="435">
        <v>11063</v>
      </c>
      <c r="B167" s="436" t="s">
        <v>30599</v>
      </c>
      <c r="C167" s="437" t="s">
        <v>165</v>
      </c>
      <c r="D167" s="438">
        <v>4.47</v>
      </c>
    </row>
    <row r="168" spans="1:4">
      <c r="A168" s="435">
        <v>11064</v>
      </c>
      <c r="B168" s="436" t="s">
        <v>30600</v>
      </c>
      <c r="C168" s="437" t="s">
        <v>165</v>
      </c>
      <c r="D168" s="438">
        <v>1.63</v>
      </c>
    </row>
    <row r="169" spans="1:4">
      <c r="A169" s="435">
        <v>11066</v>
      </c>
      <c r="B169" s="436" t="s">
        <v>30601</v>
      </c>
      <c r="C169" s="437" t="s">
        <v>165</v>
      </c>
      <c r="D169" s="438">
        <v>3.34</v>
      </c>
    </row>
    <row r="170" spans="1:4">
      <c r="A170" s="435">
        <v>11068</v>
      </c>
      <c r="B170" s="436" t="s">
        <v>30602</v>
      </c>
      <c r="C170" s="437" t="s">
        <v>165</v>
      </c>
      <c r="D170" s="438">
        <v>2.5499999999999998</v>
      </c>
    </row>
    <row r="171" spans="1:4">
      <c r="A171" s="435">
        <v>11070</v>
      </c>
      <c r="B171" s="436" t="s">
        <v>30603</v>
      </c>
      <c r="C171" s="437" t="s">
        <v>165</v>
      </c>
      <c r="D171" s="438">
        <v>11.66</v>
      </c>
    </row>
    <row r="172" spans="1:4">
      <c r="A172" s="431">
        <v>11200</v>
      </c>
      <c r="B172" s="432" t="s">
        <v>30604</v>
      </c>
      <c r="C172" s="433"/>
      <c r="D172" s="434" t="s">
        <v>30434</v>
      </c>
    </row>
    <row r="173" spans="1:4">
      <c r="A173" s="435">
        <v>11202</v>
      </c>
      <c r="B173" s="436" t="s">
        <v>30605</v>
      </c>
      <c r="C173" s="437" t="s">
        <v>509</v>
      </c>
      <c r="D173" s="438">
        <v>127.94</v>
      </c>
    </row>
    <row r="174" spans="1:4">
      <c r="A174" s="435">
        <v>11205</v>
      </c>
      <c r="B174" s="436" t="s">
        <v>30606</v>
      </c>
      <c r="C174" s="437" t="s">
        <v>30607</v>
      </c>
      <c r="D174" s="438">
        <v>23.53</v>
      </c>
    </row>
    <row r="175" spans="1:4">
      <c r="A175" s="435">
        <v>11230</v>
      </c>
      <c r="B175" s="436" t="s">
        <v>30608</v>
      </c>
      <c r="C175" s="437" t="s">
        <v>30463</v>
      </c>
      <c r="D175" s="438">
        <v>11.92</v>
      </c>
    </row>
    <row r="176" spans="1:4">
      <c r="A176" s="435">
        <v>11235</v>
      </c>
      <c r="B176" s="436" t="s">
        <v>30609</v>
      </c>
      <c r="C176" s="437" t="s">
        <v>30610</v>
      </c>
      <c r="D176" s="438">
        <v>1.07</v>
      </c>
    </row>
    <row r="177" spans="1:4">
      <c r="A177" s="435">
        <v>11240</v>
      </c>
      <c r="B177" s="436" t="s">
        <v>30611</v>
      </c>
      <c r="C177" s="437" t="s">
        <v>30607</v>
      </c>
      <c r="D177" s="438">
        <v>17.48</v>
      </c>
    </row>
    <row r="178" spans="1:4">
      <c r="A178" s="435">
        <v>11245</v>
      </c>
      <c r="B178" s="436" t="s">
        <v>30612</v>
      </c>
      <c r="C178" s="437" t="s">
        <v>30607</v>
      </c>
      <c r="D178" s="438">
        <v>9.01</v>
      </c>
    </row>
    <row r="179" spans="1:4">
      <c r="A179" s="431">
        <v>11500</v>
      </c>
      <c r="B179" s="432" t="s">
        <v>30613</v>
      </c>
      <c r="C179" s="433"/>
      <c r="D179" s="434" t="s">
        <v>30434</v>
      </c>
    </row>
    <row r="180" spans="1:4">
      <c r="A180" s="435">
        <v>11501</v>
      </c>
      <c r="B180" s="436" t="s">
        <v>30614</v>
      </c>
      <c r="C180" s="437" t="s">
        <v>207</v>
      </c>
      <c r="D180" s="438">
        <v>7.77</v>
      </c>
    </row>
    <row r="181" spans="1:4">
      <c r="A181" s="435">
        <v>11502</v>
      </c>
      <c r="B181" s="436" t="s">
        <v>30615</v>
      </c>
      <c r="C181" s="437" t="s">
        <v>30463</v>
      </c>
      <c r="D181" s="438">
        <v>8.23</v>
      </c>
    </row>
    <row r="182" spans="1:4">
      <c r="A182" s="435">
        <v>11503</v>
      </c>
      <c r="B182" s="436" t="s">
        <v>30616</v>
      </c>
      <c r="C182" s="437" t="s">
        <v>30463</v>
      </c>
      <c r="D182" s="438">
        <v>8.23</v>
      </c>
    </row>
    <row r="183" spans="1:4">
      <c r="A183" s="435">
        <v>11504</v>
      </c>
      <c r="B183" s="436" t="s">
        <v>30617</v>
      </c>
      <c r="C183" s="437" t="s">
        <v>30463</v>
      </c>
      <c r="D183" s="438">
        <v>7.9</v>
      </c>
    </row>
    <row r="184" spans="1:4">
      <c r="A184" s="435">
        <v>11505</v>
      </c>
      <c r="B184" s="436" t="s">
        <v>30618</v>
      </c>
      <c r="C184" s="437" t="s">
        <v>30463</v>
      </c>
      <c r="D184" s="438">
        <v>7.63</v>
      </c>
    </row>
    <row r="185" spans="1:4">
      <c r="A185" s="435">
        <v>11506</v>
      </c>
      <c r="B185" s="436" t="s">
        <v>30619</v>
      </c>
      <c r="C185" s="437" t="s">
        <v>30463</v>
      </c>
      <c r="D185" s="438">
        <v>7.63</v>
      </c>
    </row>
    <row r="186" spans="1:4">
      <c r="A186" s="435">
        <v>11507</v>
      </c>
      <c r="B186" s="436" t="s">
        <v>30620</v>
      </c>
      <c r="C186" s="437" t="s">
        <v>30463</v>
      </c>
      <c r="D186" s="438">
        <v>7.63</v>
      </c>
    </row>
    <row r="187" spans="1:4">
      <c r="A187" s="435">
        <v>11508</v>
      </c>
      <c r="B187" s="436" t="s">
        <v>30621</v>
      </c>
      <c r="C187" s="437" t="s">
        <v>30463</v>
      </c>
      <c r="D187" s="438">
        <v>7.47</v>
      </c>
    </row>
    <row r="188" spans="1:4">
      <c r="A188" s="435">
        <v>11510</v>
      </c>
      <c r="B188" s="436" t="s">
        <v>30622</v>
      </c>
      <c r="C188" s="437" t="s">
        <v>207</v>
      </c>
      <c r="D188" s="438">
        <v>6.81</v>
      </c>
    </row>
    <row r="189" spans="1:4">
      <c r="A189" s="435">
        <v>11511</v>
      </c>
      <c r="B189" s="436" t="s">
        <v>30623</v>
      </c>
      <c r="C189" s="437" t="s">
        <v>30463</v>
      </c>
      <c r="D189" s="438">
        <v>7.23</v>
      </c>
    </row>
    <row r="190" spans="1:4">
      <c r="A190" s="435">
        <v>11512</v>
      </c>
      <c r="B190" s="436" t="s">
        <v>30624</v>
      </c>
      <c r="C190" s="437" t="s">
        <v>30463</v>
      </c>
      <c r="D190" s="438">
        <v>7.29</v>
      </c>
    </row>
    <row r="191" spans="1:4">
      <c r="A191" s="435">
        <v>11513</v>
      </c>
      <c r="B191" s="436" t="s">
        <v>30625</v>
      </c>
      <c r="C191" s="437" t="s">
        <v>30463</v>
      </c>
      <c r="D191" s="438">
        <v>6.91</v>
      </c>
    </row>
    <row r="192" spans="1:4">
      <c r="A192" s="435">
        <v>11514</v>
      </c>
      <c r="B192" s="436" t="s">
        <v>30626</v>
      </c>
      <c r="C192" s="437" t="s">
        <v>30463</v>
      </c>
      <c r="D192" s="438">
        <v>6.45</v>
      </c>
    </row>
    <row r="193" spans="1:4">
      <c r="A193" s="435">
        <v>11515</v>
      </c>
      <c r="B193" s="436" t="s">
        <v>30627</v>
      </c>
      <c r="C193" s="437" t="s">
        <v>30463</v>
      </c>
      <c r="D193" s="438">
        <v>6.42</v>
      </c>
    </row>
    <row r="194" spans="1:4">
      <c r="A194" s="435">
        <v>11516</v>
      </c>
      <c r="B194" s="436" t="s">
        <v>30628</v>
      </c>
      <c r="C194" s="437" t="s">
        <v>30463</v>
      </c>
      <c r="D194" s="438">
        <v>6.83</v>
      </c>
    </row>
    <row r="195" spans="1:4">
      <c r="A195" s="435">
        <v>11517</v>
      </c>
      <c r="B195" s="436" t="s">
        <v>30629</v>
      </c>
      <c r="C195" s="437" t="s">
        <v>30463</v>
      </c>
      <c r="D195" s="438">
        <v>6.87</v>
      </c>
    </row>
    <row r="196" spans="1:4">
      <c r="A196" s="435">
        <v>11520</v>
      </c>
      <c r="B196" s="436" t="s">
        <v>30630</v>
      </c>
      <c r="C196" s="437" t="s">
        <v>207</v>
      </c>
      <c r="D196" s="438">
        <v>7.41</v>
      </c>
    </row>
    <row r="197" spans="1:4">
      <c r="A197" s="435">
        <v>11521</v>
      </c>
      <c r="B197" s="436" t="s">
        <v>30631</v>
      </c>
      <c r="C197" s="437" t="s">
        <v>30463</v>
      </c>
      <c r="D197" s="438">
        <v>7.45</v>
      </c>
    </row>
    <row r="198" spans="1:4">
      <c r="A198" s="435">
        <v>11522</v>
      </c>
      <c r="B198" s="436" t="s">
        <v>30632</v>
      </c>
      <c r="C198" s="437" t="s">
        <v>30463</v>
      </c>
      <c r="D198" s="438">
        <v>7.45</v>
      </c>
    </row>
    <row r="199" spans="1:4">
      <c r="A199" s="435">
        <v>11523</v>
      </c>
      <c r="B199" s="436" t="s">
        <v>30633</v>
      </c>
      <c r="C199" s="437" t="s">
        <v>30463</v>
      </c>
      <c r="D199" s="438">
        <v>7.42</v>
      </c>
    </row>
    <row r="200" spans="1:4">
      <c r="A200" s="435">
        <v>11524</v>
      </c>
      <c r="B200" s="436" t="s">
        <v>30634</v>
      </c>
      <c r="C200" s="437" t="s">
        <v>30463</v>
      </c>
      <c r="D200" s="438">
        <v>7.35</v>
      </c>
    </row>
    <row r="201" spans="1:4">
      <c r="A201" s="435">
        <v>11530</v>
      </c>
      <c r="B201" s="436" t="s">
        <v>30635</v>
      </c>
      <c r="C201" s="437" t="s">
        <v>509</v>
      </c>
      <c r="D201" s="438">
        <v>8.6</v>
      </c>
    </row>
    <row r="202" spans="1:4">
      <c r="A202" s="431">
        <v>12000</v>
      </c>
      <c r="B202" s="432" t="s">
        <v>30636</v>
      </c>
      <c r="C202" s="433"/>
      <c r="D202" s="434" t="s">
        <v>30434</v>
      </c>
    </row>
    <row r="203" spans="1:4">
      <c r="A203" s="435">
        <v>12050</v>
      </c>
      <c r="B203" s="436" t="s">
        <v>30637</v>
      </c>
      <c r="C203" s="437" t="s">
        <v>509</v>
      </c>
      <c r="D203" s="438">
        <v>47.36</v>
      </c>
    </row>
    <row r="204" spans="1:4">
      <c r="A204" s="435">
        <v>12051</v>
      </c>
      <c r="B204" s="436" t="s">
        <v>30638</v>
      </c>
      <c r="C204" s="437" t="s">
        <v>509</v>
      </c>
      <c r="D204" s="438">
        <v>55.45</v>
      </c>
    </row>
    <row r="205" spans="1:4">
      <c r="A205" s="435">
        <v>12052</v>
      </c>
      <c r="B205" s="436" t="s">
        <v>30639</v>
      </c>
      <c r="C205" s="437" t="s">
        <v>509</v>
      </c>
      <c r="D205" s="438">
        <v>75.2</v>
      </c>
    </row>
    <row r="206" spans="1:4">
      <c r="A206" s="435">
        <v>12053</v>
      </c>
      <c r="B206" s="436" t="s">
        <v>30640</v>
      </c>
      <c r="C206" s="437" t="s">
        <v>509</v>
      </c>
      <c r="D206" s="438">
        <v>99.97</v>
      </c>
    </row>
    <row r="207" spans="1:4">
      <c r="A207" s="435">
        <v>12055</v>
      </c>
      <c r="B207" s="436" t="s">
        <v>30641</v>
      </c>
      <c r="C207" s="437" t="s">
        <v>509</v>
      </c>
      <c r="D207" s="438">
        <v>116.93</v>
      </c>
    </row>
    <row r="208" spans="1:4">
      <c r="A208" s="435">
        <v>12057</v>
      </c>
      <c r="B208" s="436" t="s">
        <v>30642</v>
      </c>
      <c r="C208" s="437" t="s">
        <v>509</v>
      </c>
      <c r="D208" s="438">
        <v>175.67</v>
      </c>
    </row>
    <row r="209" spans="1:4">
      <c r="A209" s="431">
        <v>12500</v>
      </c>
      <c r="B209" s="432" t="s">
        <v>30643</v>
      </c>
      <c r="C209" s="433"/>
      <c r="D209" s="434" t="s">
        <v>30434</v>
      </c>
    </row>
    <row r="210" spans="1:4">
      <c r="A210" s="435">
        <v>12511</v>
      </c>
      <c r="B210" s="436" t="s">
        <v>30644</v>
      </c>
      <c r="C210" s="437" t="s">
        <v>509</v>
      </c>
      <c r="D210" s="438">
        <v>132.55000000000001</v>
      </c>
    </row>
    <row r="211" spans="1:4">
      <c r="A211" s="435">
        <v>12512</v>
      </c>
      <c r="B211" s="436" t="s">
        <v>30645</v>
      </c>
      <c r="C211" s="437" t="s">
        <v>509</v>
      </c>
      <c r="D211" s="438">
        <v>164.63</v>
      </c>
    </row>
    <row r="212" spans="1:4">
      <c r="A212" s="435">
        <v>12520</v>
      </c>
      <c r="B212" s="436" t="s">
        <v>30646</v>
      </c>
      <c r="C212" s="437" t="s">
        <v>30445</v>
      </c>
      <c r="D212" s="438">
        <v>3.34</v>
      </c>
    </row>
    <row r="213" spans="1:4">
      <c r="A213" s="435">
        <v>12522</v>
      </c>
      <c r="B213" s="436" t="s">
        <v>30647</v>
      </c>
      <c r="C213" s="437" t="s">
        <v>30445</v>
      </c>
      <c r="D213" s="438">
        <v>4.21</v>
      </c>
    </row>
    <row r="214" spans="1:4">
      <c r="A214" s="435">
        <v>12524</v>
      </c>
      <c r="B214" s="436" t="s">
        <v>30648</v>
      </c>
      <c r="C214" s="437" t="s">
        <v>30445</v>
      </c>
      <c r="D214" s="438">
        <v>5.49</v>
      </c>
    </row>
    <row r="215" spans="1:4">
      <c r="A215" s="435">
        <v>12532</v>
      </c>
      <c r="B215" s="436" t="s">
        <v>30649</v>
      </c>
      <c r="C215" s="437" t="s">
        <v>30445</v>
      </c>
      <c r="D215" s="438">
        <v>4.21</v>
      </c>
    </row>
    <row r="216" spans="1:4">
      <c r="A216" s="435">
        <v>12534</v>
      </c>
      <c r="B216" s="436" t="s">
        <v>30650</v>
      </c>
      <c r="C216" s="437" t="s">
        <v>30445</v>
      </c>
      <c r="D216" s="438">
        <v>5.49</v>
      </c>
    </row>
    <row r="217" spans="1:4">
      <c r="A217" s="435">
        <v>12535</v>
      </c>
      <c r="B217" s="436" t="s">
        <v>30651</v>
      </c>
      <c r="C217" s="437" t="s">
        <v>30445</v>
      </c>
      <c r="D217" s="438">
        <v>3.19</v>
      </c>
    </row>
    <row r="218" spans="1:4">
      <c r="A218" s="435">
        <v>12540</v>
      </c>
      <c r="B218" s="436" t="s">
        <v>30652</v>
      </c>
      <c r="C218" s="437" t="s">
        <v>30445</v>
      </c>
      <c r="D218" s="438">
        <v>4.8</v>
      </c>
    </row>
    <row r="219" spans="1:4">
      <c r="A219" s="435">
        <v>12542</v>
      </c>
      <c r="B219" s="436" t="s">
        <v>30653</v>
      </c>
      <c r="C219" s="437" t="s">
        <v>30445</v>
      </c>
      <c r="D219" s="438">
        <v>6.12</v>
      </c>
    </row>
    <row r="220" spans="1:4">
      <c r="A220" s="435">
        <v>12547</v>
      </c>
      <c r="B220" s="436" t="s">
        <v>30654</v>
      </c>
      <c r="C220" s="437" t="s">
        <v>30445</v>
      </c>
      <c r="D220" s="438">
        <v>3.23</v>
      </c>
    </row>
    <row r="221" spans="1:4">
      <c r="A221" s="435">
        <v>12548</v>
      </c>
      <c r="B221" s="436" t="s">
        <v>30655</v>
      </c>
      <c r="C221" s="437" t="s">
        <v>30445</v>
      </c>
      <c r="D221" s="438">
        <v>3.88</v>
      </c>
    </row>
    <row r="222" spans="1:4">
      <c r="A222" s="435">
        <v>12550</v>
      </c>
      <c r="B222" s="436" t="s">
        <v>30656</v>
      </c>
      <c r="C222" s="437" t="s">
        <v>30445</v>
      </c>
      <c r="D222" s="438">
        <v>1.31</v>
      </c>
    </row>
    <row r="223" spans="1:4">
      <c r="A223" s="435">
        <v>12560</v>
      </c>
      <c r="B223" s="436" t="s">
        <v>30657</v>
      </c>
      <c r="C223" s="437" t="s">
        <v>30445</v>
      </c>
      <c r="D223" s="438">
        <v>3.74</v>
      </c>
    </row>
    <row r="224" spans="1:4">
      <c r="A224" s="435">
        <v>12570</v>
      </c>
      <c r="B224" s="436" t="s">
        <v>30658</v>
      </c>
      <c r="C224" s="437" t="s">
        <v>30445</v>
      </c>
      <c r="D224" s="438">
        <v>27.59</v>
      </c>
    </row>
    <row r="225" spans="1:4">
      <c r="A225" s="435">
        <v>12572</v>
      </c>
      <c r="B225" s="436" t="s">
        <v>30659</v>
      </c>
      <c r="C225" s="437" t="s">
        <v>30445</v>
      </c>
      <c r="D225" s="438">
        <v>38.08</v>
      </c>
    </row>
    <row r="226" spans="1:4">
      <c r="A226" s="435">
        <v>12574</v>
      </c>
      <c r="B226" s="436" t="s">
        <v>30660</v>
      </c>
      <c r="C226" s="437" t="s">
        <v>30445</v>
      </c>
      <c r="D226" s="438">
        <v>36.29</v>
      </c>
    </row>
    <row r="227" spans="1:4">
      <c r="A227" s="435">
        <v>12580</v>
      </c>
      <c r="B227" s="436" t="s">
        <v>30661</v>
      </c>
      <c r="C227" s="437" t="s">
        <v>30445</v>
      </c>
      <c r="D227" s="438">
        <v>0.63</v>
      </c>
    </row>
    <row r="228" spans="1:4">
      <c r="A228" s="435">
        <v>12601</v>
      </c>
      <c r="B228" s="436" t="s">
        <v>30662</v>
      </c>
      <c r="C228" s="437" t="s">
        <v>30445</v>
      </c>
      <c r="D228" s="438">
        <v>5.33</v>
      </c>
    </row>
    <row r="229" spans="1:4">
      <c r="A229" s="435">
        <v>12602</v>
      </c>
      <c r="B229" s="436" t="s">
        <v>30663</v>
      </c>
      <c r="C229" s="437" t="s">
        <v>30445</v>
      </c>
      <c r="D229" s="438">
        <v>5.84</v>
      </c>
    </row>
    <row r="230" spans="1:4">
      <c r="A230" s="435">
        <v>12603</v>
      </c>
      <c r="B230" s="436" t="s">
        <v>30664</v>
      </c>
      <c r="C230" s="437" t="s">
        <v>30445</v>
      </c>
      <c r="D230" s="438">
        <v>6.23</v>
      </c>
    </row>
    <row r="231" spans="1:4">
      <c r="A231" s="435">
        <v>12604</v>
      </c>
      <c r="B231" s="436" t="s">
        <v>30665</v>
      </c>
      <c r="C231" s="437" t="s">
        <v>30445</v>
      </c>
      <c r="D231" s="438">
        <v>6.54</v>
      </c>
    </row>
    <row r="232" spans="1:4">
      <c r="A232" s="435">
        <v>12611</v>
      </c>
      <c r="B232" s="436" t="s">
        <v>30666</v>
      </c>
      <c r="C232" s="437" t="s">
        <v>30445</v>
      </c>
      <c r="D232" s="438">
        <v>6.94</v>
      </c>
    </row>
    <row r="233" spans="1:4">
      <c r="A233" s="435">
        <v>12612</v>
      </c>
      <c r="B233" s="436" t="s">
        <v>30667</v>
      </c>
      <c r="C233" s="437" t="s">
        <v>30445</v>
      </c>
      <c r="D233" s="438">
        <v>7.56</v>
      </c>
    </row>
    <row r="234" spans="1:4">
      <c r="A234" s="435">
        <v>12613</v>
      </c>
      <c r="B234" s="436" t="s">
        <v>30668</v>
      </c>
      <c r="C234" s="437" t="s">
        <v>30445</v>
      </c>
      <c r="D234" s="438">
        <v>8.08</v>
      </c>
    </row>
    <row r="235" spans="1:4">
      <c r="A235" s="435">
        <v>12614</v>
      </c>
      <c r="B235" s="436" t="s">
        <v>30669</v>
      </c>
      <c r="C235" s="437" t="s">
        <v>30445</v>
      </c>
      <c r="D235" s="438">
        <v>8.74</v>
      </c>
    </row>
    <row r="236" spans="1:4">
      <c r="A236" s="431">
        <v>13000</v>
      </c>
      <c r="B236" s="432" t="s">
        <v>30670</v>
      </c>
      <c r="C236" s="433"/>
      <c r="D236" s="434" t="s">
        <v>30434</v>
      </c>
    </row>
    <row r="237" spans="1:4">
      <c r="A237" s="431">
        <v>13500</v>
      </c>
      <c r="B237" s="432" t="s">
        <v>30671</v>
      </c>
      <c r="C237" s="433"/>
      <c r="D237" s="434" t="s">
        <v>30434</v>
      </c>
    </row>
    <row r="238" spans="1:4">
      <c r="A238" s="435">
        <v>13510</v>
      </c>
      <c r="B238" s="436" t="s">
        <v>30672</v>
      </c>
      <c r="C238" s="437" t="s">
        <v>509</v>
      </c>
      <c r="D238" s="438">
        <v>251.88</v>
      </c>
    </row>
    <row r="239" spans="1:4">
      <c r="A239" s="435">
        <v>13512</v>
      </c>
      <c r="B239" s="436" t="s">
        <v>30673</v>
      </c>
      <c r="C239" s="437" t="s">
        <v>509</v>
      </c>
      <c r="D239" s="438">
        <v>261.26</v>
      </c>
    </row>
    <row r="240" spans="1:4">
      <c r="A240" s="435">
        <v>13513</v>
      </c>
      <c r="B240" s="436" t="s">
        <v>30674</v>
      </c>
      <c r="C240" s="437" t="s">
        <v>509</v>
      </c>
      <c r="D240" s="438">
        <v>223.4</v>
      </c>
    </row>
    <row r="241" spans="1:4">
      <c r="A241" s="435">
        <v>13514</v>
      </c>
      <c r="B241" s="436" t="s">
        <v>30675</v>
      </c>
      <c r="C241" s="437" t="s">
        <v>509</v>
      </c>
      <c r="D241" s="438">
        <v>544.86</v>
      </c>
    </row>
    <row r="242" spans="1:4">
      <c r="A242" s="431">
        <v>13700</v>
      </c>
      <c r="B242" s="432" t="s">
        <v>29900</v>
      </c>
      <c r="C242" s="433"/>
      <c r="D242" s="434" t="s">
        <v>30434</v>
      </c>
    </row>
    <row r="243" spans="1:4" ht="25">
      <c r="A243" s="435">
        <v>13751</v>
      </c>
      <c r="B243" s="436" t="s">
        <v>30676</v>
      </c>
      <c r="C243" s="437" t="s">
        <v>509</v>
      </c>
      <c r="D243" s="438">
        <v>162.81</v>
      </c>
    </row>
    <row r="244" spans="1:4" ht="25">
      <c r="A244" s="435">
        <v>13752</v>
      </c>
      <c r="B244" s="436" t="s">
        <v>30677</v>
      </c>
      <c r="C244" s="437" t="s">
        <v>509</v>
      </c>
      <c r="D244" s="438">
        <v>155.32</v>
      </c>
    </row>
    <row r="245" spans="1:4" ht="25">
      <c r="A245" s="435">
        <v>13753</v>
      </c>
      <c r="B245" s="436" t="s">
        <v>30678</v>
      </c>
      <c r="C245" s="437" t="s">
        <v>509</v>
      </c>
      <c r="D245" s="438">
        <v>214.06</v>
      </c>
    </row>
    <row r="246" spans="1:4" ht="25">
      <c r="A246" s="435">
        <v>13754</v>
      </c>
      <c r="B246" s="436" t="s">
        <v>30679</v>
      </c>
      <c r="C246" s="437" t="s">
        <v>509</v>
      </c>
      <c r="D246" s="438">
        <v>180.28</v>
      </c>
    </row>
    <row r="247" spans="1:4" ht="25">
      <c r="A247" s="435">
        <v>13755</v>
      </c>
      <c r="B247" s="436" t="s">
        <v>30680</v>
      </c>
      <c r="C247" s="437" t="s">
        <v>509</v>
      </c>
      <c r="D247" s="438">
        <v>317.55</v>
      </c>
    </row>
    <row r="248" spans="1:4" ht="25">
      <c r="A248" s="435">
        <v>13756</v>
      </c>
      <c r="B248" s="436" t="s">
        <v>30681</v>
      </c>
      <c r="C248" s="437" t="s">
        <v>509</v>
      </c>
      <c r="D248" s="438">
        <v>183.33</v>
      </c>
    </row>
    <row r="249" spans="1:4" ht="25">
      <c r="A249" s="435">
        <v>13757</v>
      </c>
      <c r="B249" s="436" t="s">
        <v>30682</v>
      </c>
      <c r="C249" s="437" t="s">
        <v>509</v>
      </c>
      <c r="D249" s="438">
        <v>198.82</v>
      </c>
    </row>
    <row r="250" spans="1:4" ht="25">
      <c r="A250" s="435">
        <v>13758</v>
      </c>
      <c r="B250" s="436" t="s">
        <v>30683</v>
      </c>
      <c r="C250" s="437" t="s">
        <v>509</v>
      </c>
      <c r="D250" s="438">
        <v>236.03</v>
      </c>
    </row>
    <row r="251" spans="1:4" ht="25">
      <c r="A251" s="435">
        <v>13759</v>
      </c>
      <c r="B251" s="436" t="s">
        <v>30684</v>
      </c>
      <c r="C251" s="437" t="s">
        <v>509</v>
      </c>
      <c r="D251" s="438">
        <v>336.81</v>
      </c>
    </row>
    <row r="252" spans="1:4">
      <c r="A252" s="431">
        <v>14000</v>
      </c>
      <c r="B252" s="432" t="s">
        <v>30685</v>
      </c>
      <c r="C252" s="433"/>
      <c r="D252" s="434" t="s">
        <v>30434</v>
      </c>
    </row>
    <row r="253" spans="1:4">
      <c r="A253" s="435">
        <v>14005</v>
      </c>
      <c r="B253" s="436" t="s">
        <v>30686</v>
      </c>
      <c r="C253" s="437" t="s">
        <v>30463</v>
      </c>
      <c r="D253" s="438">
        <v>13.9</v>
      </c>
    </row>
    <row r="254" spans="1:4">
      <c r="A254" s="435">
        <v>14007</v>
      </c>
      <c r="B254" s="436" t="s">
        <v>30687</v>
      </c>
      <c r="C254" s="437" t="s">
        <v>509</v>
      </c>
      <c r="D254" s="438">
        <v>79.2</v>
      </c>
    </row>
    <row r="255" spans="1:4" ht="25">
      <c r="A255" s="435">
        <v>14008</v>
      </c>
      <c r="B255" s="436" t="s">
        <v>30688</v>
      </c>
      <c r="C255" s="437" t="s">
        <v>509</v>
      </c>
      <c r="D255" s="438">
        <v>77.84</v>
      </c>
    </row>
    <row r="256" spans="1:4" ht="25">
      <c r="A256" s="435">
        <v>14015</v>
      </c>
      <c r="B256" s="436" t="s">
        <v>30689</v>
      </c>
      <c r="C256" s="437" t="s">
        <v>509</v>
      </c>
      <c r="D256" s="438">
        <v>139.91</v>
      </c>
    </row>
    <row r="257" spans="1:4" ht="25">
      <c r="A257" s="435">
        <v>14017</v>
      </c>
      <c r="B257" s="436" t="s">
        <v>30690</v>
      </c>
      <c r="C257" s="437" t="s">
        <v>509</v>
      </c>
      <c r="D257" s="438">
        <v>112.08</v>
      </c>
    </row>
    <row r="258" spans="1:4" ht="25">
      <c r="A258" s="435">
        <v>14019</v>
      </c>
      <c r="B258" s="436" t="s">
        <v>30691</v>
      </c>
      <c r="C258" s="437" t="s">
        <v>509</v>
      </c>
      <c r="D258" s="438">
        <v>143.01</v>
      </c>
    </row>
    <row r="259" spans="1:4" ht="25">
      <c r="A259" s="435">
        <v>14022</v>
      </c>
      <c r="B259" s="436" t="s">
        <v>30692</v>
      </c>
      <c r="C259" s="437" t="s">
        <v>30463</v>
      </c>
      <c r="D259" s="438">
        <v>94.25</v>
      </c>
    </row>
    <row r="260" spans="1:4">
      <c r="A260" s="435">
        <v>14023</v>
      </c>
      <c r="B260" s="436" t="s">
        <v>30693</v>
      </c>
      <c r="C260" s="437" t="s">
        <v>153</v>
      </c>
      <c r="D260" s="438">
        <v>25.67</v>
      </c>
    </row>
    <row r="261" spans="1:4">
      <c r="A261" s="435">
        <v>14024</v>
      </c>
      <c r="B261" s="436" t="s">
        <v>30694</v>
      </c>
      <c r="C261" s="437" t="s">
        <v>153</v>
      </c>
      <c r="D261" s="438">
        <v>25.72</v>
      </c>
    </row>
    <row r="262" spans="1:4" ht="25">
      <c r="A262" s="435">
        <v>14037</v>
      </c>
      <c r="B262" s="436" t="s">
        <v>30695</v>
      </c>
      <c r="C262" s="437" t="s">
        <v>509</v>
      </c>
      <c r="D262" s="438">
        <v>139.33000000000001</v>
      </c>
    </row>
    <row r="263" spans="1:4" ht="25">
      <c r="A263" s="435">
        <v>14038</v>
      </c>
      <c r="B263" s="436" t="s">
        <v>30696</v>
      </c>
      <c r="C263" s="437" t="s">
        <v>509</v>
      </c>
      <c r="D263" s="438">
        <v>145.82</v>
      </c>
    </row>
    <row r="264" spans="1:4" ht="25">
      <c r="A264" s="435">
        <v>14039</v>
      </c>
      <c r="B264" s="436" t="s">
        <v>30697</v>
      </c>
      <c r="C264" s="437" t="s">
        <v>509</v>
      </c>
      <c r="D264" s="438">
        <v>151.33000000000001</v>
      </c>
    </row>
    <row r="265" spans="1:4">
      <c r="A265" s="435">
        <v>14040</v>
      </c>
      <c r="B265" s="436" t="s">
        <v>30698</v>
      </c>
      <c r="C265" s="437" t="s">
        <v>153</v>
      </c>
      <c r="D265" s="438">
        <v>21.63</v>
      </c>
    </row>
    <row r="266" spans="1:4">
      <c r="A266" s="435">
        <v>14042</v>
      </c>
      <c r="B266" s="436" t="s">
        <v>30699</v>
      </c>
      <c r="C266" s="437" t="s">
        <v>30463</v>
      </c>
      <c r="D266" s="438">
        <v>4.87</v>
      </c>
    </row>
    <row r="267" spans="1:4">
      <c r="A267" s="431">
        <v>14500</v>
      </c>
      <c r="B267" s="432" t="s">
        <v>30700</v>
      </c>
      <c r="C267" s="433"/>
      <c r="D267" s="434" t="s">
        <v>30434</v>
      </c>
    </row>
    <row r="268" spans="1:4">
      <c r="A268" s="435">
        <v>14530</v>
      </c>
      <c r="B268" s="436" t="s">
        <v>30701</v>
      </c>
      <c r="C268" s="437" t="s">
        <v>509</v>
      </c>
      <c r="D268" s="438">
        <v>21</v>
      </c>
    </row>
    <row r="269" spans="1:4">
      <c r="A269" s="435">
        <v>14550</v>
      </c>
      <c r="B269" s="436" t="s">
        <v>30702</v>
      </c>
      <c r="C269" s="437" t="s">
        <v>30463</v>
      </c>
      <c r="D269" s="438">
        <v>21.67</v>
      </c>
    </row>
    <row r="270" spans="1:4">
      <c r="A270" s="431">
        <v>15000</v>
      </c>
      <c r="B270" s="432" t="s">
        <v>30004</v>
      </c>
      <c r="C270" s="433"/>
      <c r="D270" s="434" t="s">
        <v>30434</v>
      </c>
    </row>
    <row r="271" spans="1:4">
      <c r="A271" s="435">
        <v>15005</v>
      </c>
      <c r="B271" s="436" t="s">
        <v>30703</v>
      </c>
      <c r="C271" s="437" t="s">
        <v>165</v>
      </c>
      <c r="D271" s="438">
        <v>48.2</v>
      </c>
    </row>
    <row r="272" spans="1:4">
      <c r="A272" s="435">
        <v>15010</v>
      </c>
      <c r="B272" s="436" t="s">
        <v>30704</v>
      </c>
      <c r="C272" s="437" t="s">
        <v>165</v>
      </c>
      <c r="D272" s="438">
        <v>94.87</v>
      </c>
    </row>
    <row r="273" spans="1:4">
      <c r="A273" s="435">
        <v>15030</v>
      </c>
      <c r="B273" s="436" t="s">
        <v>30705</v>
      </c>
      <c r="C273" s="437" t="s">
        <v>153</v>
      </c>
      <c r="D273" s="438">
        <v>157.31</v>
      </c>
    </row>
    <row r="274" spans="1:4">
      <c r="A274" s="435">
        <v>15040</v>
      </c>
      <c r="B274" s="436" t="s">
        <v>30706</v>
      </c>
      <c r="C274" s="437" t="s">
        <v>153</v>
      </c>
      <c r="D274" s="438">
        <v>79.08</v>
      </c>
    </row>
    <row r="275" spans="1:4">
      <c r="A275" s="435">
        <v>15056</v>
      </c>
      <c r="B275" s="436" t="s">
        <v>30707</v>
      </c>
      <c r="C275" s="437" t="s">
        <v>165</v>
      </c>
      <c r="D275" s="438">
        <v>7.91</v>
      </c>
    </row>
    <row r="276" spans="1:4">
      <c r="A276" s="435">
        <v>15057</v>
      </c>
      <c r="B276" s="436" t="s">
        <v>30708</v>
      </c>
      <c r="C276" s="437" t="s">
        <v>165</v>
      </c>
      <c r="D276" s="438">
        <v>16.32</v>
      </c>
    </row>
    <row r="277" spans="1:4">
      <c r="A277" s="435">
        <v>15060</v>
      </c>
      <c r="B277" s="436" t="s">
        <v>30709</v>
      </c>
      <c r="C277" s="437" t="s">
        <v>165</v>
      </c>
      <c r="D277" s="438">
        <v>6.91</v>
      </c>
    </row>
    <row r="278" spans="1:4" ht="25">
      <c r="A278" s="435">
        <v>15073</v>
      </c>
      <c r="B278" s="436" t="s">
        <v>30710</v>
      </c>
      <c r="C278" s="437" t="s">
        <v>165</v>
      </c>
      <c r="D278" s="438">
        <v>36.11</v>
      </c>
    </row>
    <row r="279" spans="1:4" ht="25">
      <c r="A279" s="435">
        <v>15074</v>
      </c>
      <c r="B279" s="436" t="s">
        <v>30711</v>
      </c>
      <c r="C279" s="437" t="s">
        <v>165</v>
      </c>
      <c r="D279" s="438">
        <v>164</v>
      </c>
    </row>
    <row r="280" spans="1:4" ht="25">
      <c r="A280" s="435">
        <v>15076</v>
      </c>
      <c r="B280" s="436" t="s">
        <v>30712</v>
      </c>
      <c r="C280" s="437" t="s">
        <v>165</v>
      </c>
      <c r="D280" s="438">
        <v>1102.73</v>
      </c>
    </row>
    <row r="281" spans="1:4" ht="25">
      <c r="A281" s="435">
        <v>15077</v>
      </c>
      <c r="B281" s="436" t="s">
        <v>30713</v>
      </c>
      <c r="C281" s="437" t="s">
        <v>165</v>
      </c>
      <c r="D281" s="438">
        <v>1377.88</v>
      </c>
    </row>
    <row r="282" spans="1:4" ht="25">
      <c r="A282" s="435">
        <v>15090</v>
      </c>
      <c r="B282" s="436" t="s">
        <v>30714</v>
      </c>
      <c r="C282" s="437" t="s">
        <v>165</v>
      </c>
      <c r="D282" s="438">
        <v>1027.3399999999999</v>
      </c>
    </row>
    <row r="283" spans="1:4" ht="25">
      <c r="A283" s="435">
        <v>15091</v>
      </c>
      <c r="B283" s="436" t="s">
        <v>30715</v>
      </c>
      <c r="C283" s="437" t="s">
        <v>165</v>
      </c>
      <c r="D283" s="438">
        <v>541.97</v>
      </c>
    </row>
    <row r="284" spans="1:4" ht="25">
      <c r="A284" s="435">
        <v>15092</v>
      </c>
      <c r="B284" s="436" t="s">
        <v>30716</v>
      </c>
      <c r="C284" s="437" t="s">
        <v>165</v>
      </c>
      <c r="D284" s="438">
        <v>960</v>
      </c>
    </row>
    <row r="285" spans="1:4">
      <c r="A285" s="431">
        <v>15500</v>
      </c>
      <c r="B285" s="432" t="s">
        <v>30717</v>
      </c>
      <c r="C285" s="433"/>
      <c r="D285" s="434" t="s">
        <v>30434</v>
      </c>
    </row>
    <row r="286" spans="1:4">
      <c r="A286" s="435">
        <v>15505</v>
      </c>
      <c r="B286" s="436" t="s">
        <v>30718</v>
      </c>
      <c r="C286" s="437" t="s">
        <v>207</v>
      </c>
      <c r="D286" s="438">
        <v>15.61</v>
      </c>
    </row>
    <row r="287" spans="1:4">
      <c r="A287" s="435">
        <v>15506</v>
      </c>
      <c r="B287" s="436" t="s">
        <v>30719</v>
      </c>
      <c r="C287" s="437" t="s">
        <v>207</v>
      </c>
      <c r="D287" s="438">
        <v>2.37</v>
      </c>
    </row>
    <row r="288" spans="1:4">
      <c r="A288" s="435">
        <v>15510</v>
      </c>
      <c r="B288" s="436" t="s">
        <v>30720</v>
      </c>
      <c r="C288" s="437" t="s">
        <v>121</v>
      </c>
      <c r="D288" s="438">
        <v>6416.25</v>
      </c>
    </row>
    <row r="289" spans="1:4">
      <c r="A289" s="435">
        <v>15512</v>
      </c>
      <c r="B289" s="436" t="s">
        <v>30721</v>
      </c>
      <c r="C289" s="437" t="s">
        <v>207</v>
      </c>
      <c r="D289" s="438">
        <v>3.39</v>
      </c>
    </row>
    <row r="290" spans="1:4">
      <c r="A290" s="435">
        <v>15515</v>
      </c>
      <c r="B290" s="436" t="s">
        <v>30722</v>
      </c>
      <c r="C290" s="437" t="s">
        <v>165</v>
      </c>
      <c r="D290" s="438">
        <v>46.2</v>
      </c>
    </row>
    <row r="291" spans="1:4">
      <c r="A291" s="435">
        <v>15516</v>
      </c>
      <c r="B291" s="436" t="s">
        <v>30723</v>
      </c>
      <c r="C291" s="437" t="s">
        <v>165</v>
      </c>
      <c r="D291" s="438">
        <v>61.6</v>
      </c>
    </row>
    <row r="292" spans="1:4">
      <c r="A292" s="435">
        <v>15520</v>
      </c>
      <c r="B292" s="436" t="s">
        <v>30724</v>
      </c>
      <c r="C292" s="437" t="s">
        <v>165</v>
      </c>
      <c r="D292" s="438">
        <v>15.9</v>
      </c>
    </row>
    <row r="293" spans="1:4">
      <c r="A293" s="435">
        <v>15525</v>
      </c>
      <c r="B293" s="436" t="s">
        <v>30725</v>
      </c>
      <c r="C293" s="437" t="s">
        <v>165</v>
      </c>
      <c r="D293" s="438">
        <v>4.7</v>
      </c>
    </row>
    <row r="294" spans="1:4">
      <c r="A294" s="431">
        <v>16000</v>
      </c>
      <c r="B294" s="432" t="s">
        <v>30726</v>
      </c>
      <c r="C294" s="433"/>
      <c r="D294" s="434" t="s">
        <v>30434</v>
      </c>
    </row>
    <row r="295" spans="1:4">
      <c r="A295" s="435">
        <v>16005</v>
      </c>
      <c r="B295" s="436" t="s">
        <v>30727</v>
      </c>
      <c r="C295" s="437" t="s">
        <v>509</v>
      </c>
      <c r="D295" s="438">
        <v>817.97</v>
      </c>
    </row>
    <row r="296" spans="1:4" ht="25">
      <c r="A296" s="435">
        <v>16010</v>
      </c>
      <c r="B296" s="436" t="s">
        <v>30728</v>
      </c>
      <c r="C296" s="437" t="s">
        <v>509</v>
      </c>
      <c r="D296" s="438">
        <v>560.45000000000005</v>
      </c>
    </row>
    <row r="297" spans="1:4">
      <c r="A297" s="435">
        <v>16020</v>
      </c>
      <c r="B297" s="436" t="s">
        <v>30729</v>
      </c>
      <c r="C297" s="437" t="s">
        <v>30445</v>
      </c>
      <c r="D297" s="438">
        <v>3.79</v>
      </c>
    </row>
    <row r="298" spans="1:4">
      <c r="A298" s="435">
        <v>16025</v>
      </c>
      <c r="B298" s="436" t="s">
        <v>30730</v>
      </c>
      <c r="C298" s="437" t="s">
        <v>30445</v>
      </c>
      <c r="D298" s="438">
        <v>3.22</v>
      </c>
    </row>
    <row r="299" spans="1:4">
      <c r="A299" s="435">
        <v>16030</v>
      </c>
      <c r="B299" s="436" t="s">
        <v>30731</v>
      </c>
      <c r="C299" s="437" t="s">
        <v>30445</v>
      </c>
      <c r="D299" s="438">
        <v>3.81</v>
      </c>
    </row>
    <row r="300" spans="1:4">
      <c r="A300" s="435">
        <v>16090</v>
      </c>
      <c r="B300" s="436" t="s">
        <v>6765</v>
      </c>
      <c r="C300" s="437" t="s">
        <v>509</v>
      </c>
      <c r="D300" s="438">
        <v>27.32</v>
      </c>
    </row>
    <row r="301" spans="1:4">
      <c r="A301" s="435">
        <v>16091</v>
      </c>
      <c r="B301" s="436" t="s">
        <v>6767</v>
      </c>
      <c r="C301" s="437" t="s">
        <v>509</v>
      </c>
      <c r="D301" s="438">
        <v>52.09</v>
      </c>
    </row>
    <row r="302" spans="1:4">
      <c r="A302" s="435">
        <v>16092</v>
      </c>
      <c r="B302" s="436" t="s">
        <v>30732</v>
      </c>
      <c r="C302" s="437" t="s">
        <v>509</v>
      </c>
      <c r="D302" s="438">
        <v>128.84</v>
      </c>
    </row>
    <row r="303" spans="1:4">
      <c r="A303" s="435">
        <v>16093</v>
      </c>
      <c r="B303" s="436" t="s">
        <v>30733</v>
      </c>
      <c r="C303" s="437" t="s">
        <v>509</v>
      </c>
      <c r="D303" s="438">
        <v>106.43</v>
      </c>
    </row>
    <row r="304" spans="1:4">
      <c r="A304" s="435">
        <v>16411</v>
      </c>
      <c r="B304" s="436" t="s">
        <v>30734</v>
      </c>
      <c r="C304" s="437" t="s">
        <v>509</v>
      </c>
      <c r="D304" s="438">
        <v>62.16</v>
      </c>
    </row>
    <row r="305" spans="1:4">
      <c r="A305" s="435">
        <v>16412</v>
      </c>
      <c r="B305" s="436" t="s">
        <v>30735</v>
      </c>
      <c r="C305" s="437" t="s">
        <v>509</v>
      </c>
      <c r="D305" s="438">
        <v>65.47</v>
      </c>
    </row>
    <row r="306" spans="1:4" ht="25">
      <c r="A306" s="435">
        <v>16413</v>
      </c>
      <c r="B306" s="436" t="s">
        <v>30736</v>
      </c>
      <c r="C306" s="437" t="s">
        <v>509</v>
      </c>
      <c r="D306" s="438">
        <v>148.68</v>
      </c>
    </row>
    <row r="307" spans="1:4">
      <c r="A307" s="435">
        <v>16414</v>
      </c>
      <c r="B307" s="436" t="s">
        <v>30737</v>
      </c>
      <c r="C307" s="437" t="s">
        <v>509</v>
      </c>
      <c r="D307" s="438">
        <v>79.61</v>
      </c>
    </row>
    <row r="308" spans="1:4">
      <c r="A308" s="435">
        <v>16416</v>
      </c>
      <c r="B308" s="436" t="s">
        <v>30738</v>
      </c>
      <c r="C308" s="437" t="s">
        <v>509</v>
      </c>
      <c r="D308" s="438">
        <v>49.73</v>
      </c>
    </row>
    <row r="309" spans="1:4" ht="25">
      <c r="A309" s="435">
        <v>16417</v>
      </c>
      <c r="B309" s="436" t="s">
        <v>30739</v>
      </c>
      <c r="C309" s="437" t="s">
        <v>509</v>
      </c>
      <c r="D309" s="438">
        <v>174.8</v>
      </c>
    </row>
    <row r="310" spans="1:4" ht="25">
      <c r="A310" s="435">
        <v>16418</v>
      </c>
      <c r="B310" s="436" t="s">
        <v>30740</v>
      </c>
      <c r="C310" s="437" t="s">
        <v>509</v>
      </c>
      <c r="D310" s="438">
        <v>276.74</v>
      </c>
    </row>
    <row r="311" spans="1:4" ht="25">
      <c r="A311" s="435">
        <v>16420</v>
      </c>
      <c r="B311" s="436" t="s">
        <v>30741</v>
      </c>
      <c r="C311" s="437" t="s">
        <v>509</v>
      </c>
      <c r="D311" s="438">
        <v>146.31</v>
      </c>
    </row>
    <row r="312" spans="1:4">
      <c r="A312" s="435">
        <v>16430</v>
      </c>
      <c r="B312" s="436" t="s">
        <v>30742</v>
      </c>
      <c r="C312" s="437" t="s">
        <v>165</v>
      </c>
      <c r="D312" s="438">
        <v>71</v>
      </c>
    </row>
    <row r="313" spans="1:4">
      <c r="A313" s="435">
        <v>16431</v>
      </c>
      <c r="B313" s="436" t="s">
        <v>30743</v>
      </c>
      <c r="C313" s="437" t="s">
        <v>165</v>
      </c>
      <c r="D313" s="438">
        <v>62.22</v>
      </c>
    </row>
    <row r="314" spans="1:4">
      <c r="A314" s="435">
        <v>16432</v>
      </c>
      <c r="B314" s="436" t="s">
        <v>30744</v>
      </c>
      <c r="C314" s="437" t="s">
        <v>165</v>
      </c>
      <c r="D314" s="438">
        <v>88.33</v>
      </c>
    </row>
    <row r="315" spans="1:4" ht="25">
      <c r="A315" s="435">
        <v>16433</v>
      </c>
      <c r="B315" s="436" t="s">
        <v>30745</v>
      </c>
      <c r="C315" s="437" t="s">
        <v>165</v>
      </c>
      <c r="D315" s="438">
        <v>79.53</v>
      </c>
    </row>
    <row r="316" spans="1:4">
      <c r="A316" s="431">
        <v>16500</v>
      </c>
      <c r="B316" s="432" t="s">
        <v>30746</v>
      </c>
      <c r="C316" s="433"/>
      <c r="D316" s="434" t="s">
        <v>30434</v>
      </c>
    </row>
    <row r="317" spans="1:4">
      <c r="A317" s="435">
        <v>16508</v>
      </c>
      <c r="B317" s="436" t="s">
        <v>30747</v>
      </c>
      <c r="C317" s="437" t="s">
        <v>30445</v>
      </c>
      <c r="D317" s="438">
        <v>60.64</v>
      </c>
    </row>
    <row r="318" spans="1:4">
      <c r="A318" s="435">
        <v>16509</v>
      </c>
      <c r="B318" s="436" t="s">
        <v>30748</v>
      </c>
      <c r="C318" s="437" t="s">
        <v>30445</v>
      </c>
      <c r="D318" s="438">
        <v>39.909999999999997</v>
      </c>
    </row>
    <row r="319" spans="1:4">
      <c r="A319" s="435">
        <v>16510</v>
      </c>
      <c r="B319" s="436" t="s">
        <v>30749</v>
      </c>
      <c r="C319" s="437" t="s">
        <v>30445</v>
      </c>
      <c r="D319" s="438">
        <v>212.65</v>
      </c>
    </row>
    <row r="320" spans="1:4" ht="25">
      <c r="A320" s="435">
        <v>16530</v>
      </c>
      <c r="B320" s="436" t="s">
        <v>30750</v>
      </c>
      <c r="C320" s="437" t="s">
        <v>30445</v>
      </c>
      <c r="D320" s="438">
        <v>101.88</v>
      </c>
    </row>
    <row r="321" spans="1:4" ht="25">
      <c r="A321" s="435">
        <v>16531</v>
      </c>
      <c r="B321" s="436" t="s">
        <v>30751</v>
      </c>
      <c r="C321" s="437" t="s">
        <v>30445</v>
      </c>
      <c r="D321" s="438">
        <v>100.66</v>
      </c>
    </row>
    <row r="322" spans="1:4">
      <c r="A322" s="435">
        <v>16532</v>
      </c>
      <c r="B322" s="436" t="s">
        <v>30752</v>
      </c>
      <c r="C322" s="437" t="s">
        <v>30445</v>
      </c>
      <c r="D322" s="438">
        <v>102.71</v>
      </c>
    </row>
    <row r="323" spans="1:4">
      <c r="A323" s="435">
        <v>16533</v>
      </c>
      <c r="B323" s="436" t="s">
        <v>30753</v>
      </c>
      <c r="C323" s="437" t="s">
        <v>30445</v>
      </c>
      <c r="D323" s="438">
        <v>101.86</v>
      </c>
    </row>
    <row r="324" spans="1:4">
      <c r="A324" s="435">
        <v>16534</v>
      </c>
      <c r="B324" s="436" t="s">
        <v>30754</v>
      </c>
      <c r="C324" s="437" t="s">
        <v>30445</v>
      </c>
      <c r="D324" s="438">
        <v>3.72</v>
      </c>
    </row>
    <row r="325" spans="1:4">
      <c r="A325" s="435">
        <v>16554</v>
      </c>
      <c r="B325" s="436" t="s">
        <v>30755</v>
      </c>
      <c r="C325" s="437" t="s">
        <v>30445</v>
      </c>
      <c r="D325" s="438">
        <v>1.06</v>
      </c>
    </row>
    <row r="326" spans="1:4">
      <c r="A326" s="435">
        <v>16556</v>
      </c>
      <c r="B326" s="436" t="s">
        <v>30756</v>
      </c>
      <c r="C326" s="437" t="s">
        <v>30445</v>
      </c>
      <c r="D326" s="438">
        <v>0.73</v>
      </c>
    </row>
    <row r="327" spans="1:4">
      <c r="A327" s="435">
        <v>16560</v>
      </c>
      <c r="B327" s="436" t="s">
        <v>30757</v>
      </c>
      <c r="C327" s="437" t="s">
        <v>30445</v>
      </c>
      <c r="D327" s="438">
        <v>4.54</v>
      </c>
    </row>
    <row r="328" spans="1:4">
      <c r="A328" s="435">
        <v>16562</v>
      </c>
      <c r="B328" s="436" t="s">
        <v>30758</v>
      </c>
      <c r="C328" s="437" t="s">
        <v>30445</v>
      </c>
      <c r="D328" s="438">
        <v>10.72</v>
      </c>
    </row>
    <row r="329" spans="1:4">
      <c r="A329" s="435">
        <v>16568</v>
      </c>
      <c r="B329" s="436" t="s">
        <v>30759</v>
      </c>
      <c r="C329" s="437" t="s">
        <v>30445</v>
      </c>
      <c r="D329" s="438">
        <v>3.37</v>
      </c>
    </row>
    <row r="330" spans="1:4">
      <c r="A330" s="435">
        <v>16570</v>
      </c>
      <c r="B330" s="436" t="s">
        <v>30760</v>
      </c>
      <c r="C330" s="437" t="s">
        <v>509</v>
      </c>
      <c r="D330" s="438">
        <v>7.54</v>
      </c>
    </row>
    <row r="331" spans="1:4">
      <c r="A331" s="431">
        <v>17000</v>
      </c>
      <c r="B331" s="432" t="s">
        <v>30761</v>
      </c>
      <c r="C331" s="433"/>
      <c r="D331" s="434" t="s">
        <v>30434</v>
      </c>
    </row>
    <row r="332" spans="1:4" ht="25">
      <c r="A332" s="435">
        <v>17010</v>
      </c>
      <c r="B332" s="436" t="s">
        <v>30762</v>
      </c>
      <c r="C332" s="437" t="s">
        <v>30445</v>
      </c>
      <c r="D332" s="438">
        <v>0.13</v>
      </c>
    </row>
    <row r="333" spans="1:4">
      <c r="A333" s="435">
        <v>17016</v>
      </c>
      <c r="B333" s="436" t="s">
        <v>30763</v>
      </c>
      <c r="C333" s="437" t="s">
        <v>207</v>
      </c>
      <c r="D333" s="438">
        <v>36.43</v>
      </c>
    </row>
    <row r="334" spans="1:4">
      <c r="A334" s="435">
        <v>17020</v>
      </c>
      <c r="B334" s="436" t="s">
        <v>30764</v>
      </c>
      <c r="C334" s="437" t="s">
        <v>30445</v>
      </c>
      <c r="D334" s="438">
        <v>2.4700000000000002</v>
      </c>
    </row>
    <row r="335" spans="1:4" ht="25">
      <c r="A335" s="435">
        <v>17039</v>
      </c>
      <c r="B335" s="436" t="s">
        <v>30765</v>
      </c>
      <c r="C335" s="437" t="s">
        <v>30445</v>
      </c>
      <c r="D335" s="438">
        <v>0.8</v>
      </c>
    </row>
    <row r="336" spans="1:4" ht="25">
      <c r="A336" s="435">
        <v>17040</v>
      </c>
      <c r="B336" s="436" t="s">
        <v>30766</v>
      </c>
      <c r="C336" s="437" t="s">
        <v>30445</v>
      </c>
      <c r="D336" s="438">
        <v>0.81</v>
      </c>
    </row>
    <row r="337" spans="1:4">
      <c r="A337" s="435">
        <v>17041</v>
      </c>
      <c r="B337" s="436" t="s">
        <v>30767</v>
      </c>
      <c r="C337" s="437" t="s">
        <v>30445</v>
      </c>
      <c r="D337" s="438">
        <v>0.37</v>
      </c>
    </row>
    <row r="338" spans="1:4">
      <c r="A338" s="435">
        <v>17044</v>
      </c>
      <c r="B338" s="436" t="s">
        <v>30768</v>
      </c>
      <c r="C338" s="437" t="s">
        <v>30445</v>
      </c>
      <c r="D338" s="438">
        <v>7.21</v>
      </c>
    </row>
    <row r="339" spans="1:4" ht="25">
      <c r="A339" s="435">
        <v>17046</v>
      </c>
      <c r="B339" s="436" t="s">
        <v>30769</v>
      </c>
      <c r="C339" s="437" t="s">
        <v>30445</v>
      </c>
      <c r="D339" s="438">
        <v>2.2799999999999998</v>
      </c>
    </row>
    <row r="340" spans="1:4">
      <c r="A340" s="435">
        <v>17065</v>
      </c>
      <c r="B340" s="436" t="s">
        <v>30770</v>
      </c>
      <c r="C340" s="437" t="s">
        <v>30445</v>
      </c>
      <c r="D340" s="438">
        <v>48.6</v>
      </c>
    </row>
    <row r="341" spans="1:4">
      <c r="A341" s="431">
        <v>17500</v>
      </c>
      <c r="B341" s="432" t="s">
        <v>30771</v>
      </c>
      <c r="C341" s="433"/>
      <c r="D341" s="434" t="s">
        <v>30434</v>
      </c>
    </row>
    <row r="342" spans="1:4">
      <c r="A342" s="435">
        <v>17515</v>
      </c>
      <c r="B342" s="436" t="s">
        <v>30772</v>
      </c>
      <c r="C342" s="437" t="s">
        <v>30463</v>
      </c>
      <c r="D342" s="438">
        <v>11.57</v>
      </c>
    </row>
    <row r="343" spans="1:4">
      <c r="A343" s="435">
        <v>17516</v>
      </c>
      <c r="B343" s="436" t="s">
        <v>30773</v>
      </c>
      <c r="C343" s="437" t="s">
        <v>30463</v>
      </c>
      <c r="D343" s="438">
        <v>16.14</v>
      </c>
    </row>
    <row r="344" spans="1:4">
      <c r="A344" s="435">
        <v>17520</v>
      </c>
      <c r="B344" s="436" t="s">
        <v>30774</v>
      </c>
      <c r="C344" s="437" t="s">
        <v>30463</v>
      </c>
      <c r="D344" s="438">
        <v>16.670000000000002</v>
      </c>
    </row>
    <row r="345" spans="1:4">
      <c r="A345" s="435">
        <v>17525</v>
      </c>
      <c r="B345" s="436" t="s">
        <v>30775</v>
      </c>
      <c r="C345" s="437" t="s">
        <v>30463</v>
      </c>
      <c r="D345" s="438">
        <v>18.170000000000002</v>
      </c>
    </row>
    <row r="346" spans="1:4">
      <c r="A346" s="435">
        <v>17530</v>
      </c>
      <c r="B346" s="436" t="s">
        <v>30776</v>
      </c>
      <c r="C346" s="437" t="s">
        <v>30463</v>
      </c>
      <c r="D346" s="438">
        <v>95.46</v>
      </c>
    </row>
    <row r="347" spans="1:4">
      <c r="A347" s="435">
        <v>17545</v>
      </c>
      <c r="B347" s="436" t="s">
        <v>30777</v>
      </c>
      <c r="C347" s="437" t="s">
        <v>30445</v>
      </c>
      <c r="D347" s="438">
        <v>3.64</v>
      </c>
    </row>
    <row r="348" spans="1:4">
      <c r="A348" s="435">
        <v>17550</v>
      </c>
      <c r="B348" s="436" t="s">
        <v>30778</v>
      </c>
      <c r="C348" s="437" t="s">
        <v>30445</v>
      </c>
      <c r="D348" s="438">
        <v>4.59</v>
      </c>
    </row>
    <row r="349" spans="1:4" ht="25">
      <c r="A349" s="435">
        <v>17555</v>
      </c>
      <c r="B349" s="436" t="s">
        <v>30779</v>
      </c>
      <c r="C349" s="437" t="s">
        <v>396</v>
      </c>
      <c r="D349" s="438">
        <v>1.66</v>
      </c>
    </row>
    <row r="350" spans="1:4" ht="25">
      <c r="A350" s="435">
        <v>17560</v>
      </c>
      <c r="B350" s="436" t="s">
        <v>30780</v>
      </c>
      <c r="C350" s="437" t="s">
        <v>30445</v>
      </c>
      <c r="D350" s="438">
        <v>0.31</v>
      </c>
    </row>
    <row r="351" spans="1:4">
      <c r="A351" s="431">
        <v>17700</v>
      </c>
      <c r="B351" s="432" t="s">
        <v>30781</v>
      </c>
      <c r="C351" s="433"/>
      <c r="D351" s="434" t="s">
        <v>30434</v>
      </c>
    </row>
    <row r="352" spans="1:4">
      <c r="A352" s="435">
        <v>17710</v>
      </c>
      <c r="B352" s="436" t="s">
        <v>30782</v>
      </c>
      <c r="C352" s="437" t="s">
        <v>30463</v>
      </c>
      <c r="D352" s="438">
        <v>12.25</v>
      </c>
    </row>
    <row r="353" spans="1:4">
      <c r="A353" s="435">
        <v>17715</v>
      </c>
      <c r="B353" s="436" t="s">
        <v>30783</v>
      </c>
      <c r="C353" s="437" t="s">
        <v>30463</v>
      </c>
      <c r="D353" s="438">
        <v>14.14</v>
      </c>
    </row>
    <row r="354" spans="1:4">
      <c r="A354" s="435">
        <v>17725</v>
      </c>
      <c r="B354" s="436" t="s">
        <v>30784</v>
      </c>
      <c r="C354" s="437" t="s">
        <v>30463</v>
      </c>
      <c r="D354" s="438">
        <v>18.37</v>
      </c>
    </row>
    <row r="355" spans="1:4">
      <c r="A355" s="435">
        <v>17740</v>
      </c>
      <c r="B355" s="436" t="s">
        <v>30785</v>
      </c>
      <c r="C355" s="437" t="s">
        <v>30463</v>
      </c>
      <c r="D355" s="438">
        <v>13.35</v>
      </c>
    </row>
    <row r="356" spans="1:4">
      <c r="A356" s="435">
        <v>17750</v>
      </c>
      <c r="B356" s="436" t="s">
        <v>30786</v>
      </c>
      <c r="C356" s="437" t="s">
        <v>30463</v>
      </c>
      <c r="D356" s="438">
        <v>12.6</v>
      </c>
    </row>
    <row r="357" spans="1:4">
      <c r="A357" s="435">
        <v>17752</v>
      </c>
      <c r="B357" s="436" t="s">
        <v>30787</v>
      </c>
      <c r="C357" s="437" t="s">
        <v>30463</v>
      </c>
      <c r="D357" s="438">
        <v>14.1</v>
      </c>
    </row>
    <row r="358" spans="1:4">
      <c r="A358" s="435">
        <v>17753</v>
      </c>
      <c r="B358" s="436" t="s">
        <v>30788</v>
      </c>
      <c r="C358" s="437" t="s">
        <v>30445</v>
      </c>
      <c r="D358" s="438">
        <v>24.49</v>
      </c>
    </row>
    <row r="359" spans="1:4">
      <c r="A359" s="435">
        <v>17754</v>
      </c>
      <c r="B359" s="436" t="s">
        <v>30789</v>
      </c>
      <c r="C359" s="437" t="s">
        <v>30445</v>
      </c>
      <c r="D359" s="438">
        <v>24.49</v>
      </c>
    </row>
    <row r="360" spans="1:4">
      <c r="A360" s="435">
        <v>17755</v>
      </c>
      <c r="B360" s="436" t="s">
        <v>30790</v>
      </c>
      <c r="C360" s="437" t="s">
        <v>30445</v>
      </c>
      <c r="D360" s="438">
        <v>24.49</v>
      </c>
    </row>
    <row r="361" spans="1:4">
      <c r="A361" s="435">
        <v>17756</v>
      </c>
      <c r="B361" s="436" t="s">
        <v>30791</v>
      </c>
      <c r="C361" s="437" t="s">
        <v>30463</v>
      </c>
      <c r="D361" s="438">
        <v>33.53</v>
      </c>
    </row>
    <row r="362" spans="1:4">
      <c r="A362" s="431">
        <v>18000</v>
      </c>
      <c r="B362" s="432" t="s">
        <v>30792</v>
      </c>
      <c r="C362" s="433"/>
      <c r="D362" s="434" t="s">
        <v>30434</v>
      </c>
    </row>
    <row r="363" spans="1:4">
      <c r="A363" s="435">
        <v>18035</v>
      </c>
      <c r="B363" s="436" t="s">
        <v>30793</v>
      </c>
      <c r="C363" s="437" t="s">
        <v>509</v>
      </c>
      <c r="D363" s="438">
        <v>68.22</v>
      </c>
    </row>
    <row r="364" spans="1:4">
      <c r="A364" s="431">
        <v>19000</v>
      </c>
      <c r="B364" s="432" t="s">
        <v>30794</v>
      </c>
      <c r="C364" s="433"/>
      <c r="D364" s="434" t="s">
        <v>30434</v>
      </c>
    </row>
    <row r="365" spans="1:4">
      <c r="A365" s="435">
        <v>19005</v>
      </c>
      <c r="B365" s="436" t="s">
        <v>30795</v>
      </c>
      <c r="C365" s="437" t="s">
        <v>121</v>
      </c>
      <c r="D365" s="438">
        <v>60.6</v>
      </c>
    </row>
    <row r="366" spans="1:4">
      <c r="A366" s="435">
        <v>19015</v>
      </c>
      <c r="B366" s="436" t="s">
        <v>30796</v>
      </c>
      <c r="C366" s="437" t="s">
        <v>30463</v>
      </c>
      <c r="D366" s="438">
        <v>38.56</v>
      </c>
    </row>
    <row r="367" spans="1:4">
      <c r="A367" s="435">
        <v>19021</v>
      </c>
      <c r="B367" s="436" t="s">
        <v>30797</v>
      </c>
      <c r="C367" s="437" t="s">
        <v>30463</v>
      </c>
      <c r="D367" s="438">
        <v>29.82</v>
      </c>
    </row>
    <row r="368" spans="1:4">
      <c r="A368" s="435">
        <v>19030</v>
      </c>
      <c r="B368" s="436" t="s">
        <v>30798</v>
      </c>
      <c r="C368" s="437" t="s">
        <v>30463</v>
      </c>
      <c r="D368" s="438">
        <v>26.58</v>
      </c>
    </row>
    <row r="369" spans="1:4">
      <c r="A369" s="435">
        <v>19035</v>
      </c>
      <c r="B369" s="436" t="s">
        <v>30799</v>
      </c>
      <c r="C369" s="437" t="s">
        <v>509</v>
      </c>
      <c r="D369" s="438">
        <v>4.53</v>
      </c>
    </row>
    <row r="370" spans="1:4">
      <c r="A370" s="435">
        <v>19045</v>
      </c>
      <c r="B370" s="436" t="s">
        <v>30800</v>
      </c>
      <c r="C370" s="437" t="s">
        <v>165</v>
      </c>
      <c r="D370" s="438">
        <v>6.11</v>
      </c>
    </row>
    <row r="371" spans="1:4">
      <c r="A371" s="435">
        <v>19060</v>
      </c>
      <c r="B371" s="436" t="s">
        <v>30801</v>
      </c>
      <c r="C371" s="437" t="s">
        <v>165</v>
      </c>
      <c r="D371" s="438">
        <v>4.34</v>
      </c>
    </row>
    <row r="372" spans="1:4">
      <c r="A372" s="435">
        <v>19065</v>
      </c>
      <c r="B372" s="436" t="s">
        <v>30802</v>
      </c>
      <c r="C372" s="437" t="s">
        <v>165</v>
      </c>
      <c r="D372" s="438">
        <v>26.99</v>
      </c>
    </row>
    <row r="373" spans="1:4">
      <c r="A373" s="435">
        <v>19070</v>
      </c>
      <c r="B373" s="436" t="s">
        <v>30803</v>
      </c>
      <c r="C373" s="437" t="s">
        <v>30463</v>
      </c>
      <c r="D373" s="438">
        <v>72.59</v>
      </c>
    </row>
    <row r="374" spans="1:4">
      <c r="A374" s="435">
        <v>19510</v>
      </c>
      <c r="B374" s="436" t="s">
        <v>30804</v>
      </c>
      <c r="C374" s="437" t="s">
        <v>30463</v>
      </c>
      <c r="D374" s="438">
        <v>157.61000000000001</v>
      </c>
    </row>
    <row r="375" spans="1:4">
      <c r="A375" s="435">
        <v>19511</v>
      </c>
      <c r="B375" s="436" t="s">
        <v>30805</v>
      </c>
      <c r="C375" s="437" t="s">
        <v>30463</v>
      </c>
      <c r="D375" s="438">
        <v>149.32</v>
      </c>
    </row>
    <row r="376" spans="1:4">
      <c r="A376" s="431">
        <v>20400</v>
      </c>
      <c r="B376" s="432" t="s">
        <v>30806</v>
      </c>
      <c r="C376" s="433"/>
      <c r="D376" s="434" t="s">
        <v>30434</v>
      </c>
    </row>
    <row r="377" spans="1:4">
      <c r="A377" s="435">
        <v>20457</v>
      </c>
      <c r="B377" s="436" t="s">
        <v>30807</v>
      </c>
      <c r="C377" s="437" t="s">
        <v>165</v>
      </c>
      <c r="D377" s="438">
        <v>8.2200000000000006</v>
      </c>
    </row>
    <row r="378" spans="1:4">
      <c r="A378" s="435">
        <v>20459</v>
      </c>
      <c r="B378" s="436" t="s">
        <v>30808</v>
      </c>
      <c r="C378" s="437" t="s">
        <v>165</v>
      </c>
      <c r="D378" s="438">
        <v>10.54</v>
      </c>
    </row>
    <row r="379" spans="1:4">
      <c r="A379" s="435">
        <v>20462</v>
      </c>
      <c r="B379" s="436" t="s">
        <v>30809</v>
      </c>
      <c r="C379" s="437" t="s">
        <v>509</v>
      </c>
      <c r="D379" s="438">
        <v>34.020000000000003</v>
      </c>
    </row>
    <row r="380" spans="1:4">
      <c r="A380" s="435">
        <v>20463</v>
      </c>
      <c r="B380" s="436" t="s">
        <v>30810</v>
      </c>
      <c r="C380" s="437" t="s">
        <v>509</v>
      </c>
      <c r="D380" s="438">
        <v>46.96</v>
      </c>
    </row>
    <row r="381" spans="1:4" ht="49">
      <c r="A381" s="435">
        <v>20470</v>
      </c>
      <c r="B381" s="436" t="s">
        <v>30811</v>
      </c>
      <c r="C381" s="437" t="s">
        <v>509</v>
      </c>
      <c r="D381" s="438">
        <v>466.27</v>
      </c>
    </row>
    <row r="382" spans="1:4" ht="49">
      <c r="A382" s="435">
        <v>20471</v>
      </c>
      <c r="B382" s="436" t="s">
        <v>30812</v>
      </c>
      <c r="C382" s="437" t="s">
        <v>509</v>
      </c>
      <c r="D382" s="438">
        <v>466.27</v>
      </c>
    </row>
    <row r="383" spans="1:4" ht="49">
      <c r="A383" s="435">
        <v>20472</v>
      </c>
      <c r="B383" s="436" t="s">
        <v>30813</v>
      </c>
      <c r="C383" s="437" t="s">
        <v>509</v>
      </c>
      <c r="D383" s="438">
        <v>466.27</v>
      </c>
    </row>
    <row r="384" spans="1:4">
      <c r="A384" s="431">
        <v>21000</v>
      </c>
      <c r="B384" s="432" t="s">
        <v>30814</v>
      </c>
      <c r="C384" s="433"/>
      <c r="D384" s="434" t="s">
        <v>30434</v>
      </c>
    </row>
    <row r="385" spans="1:4">
      <c r="A385" s="435">
        <v>21051</v>
      </c>
      <c r="B385" s="436" t="s">
        <v>30815</v>
      </c>
      <c r="C385" s="437" t="s">
        <v>165</v>
      </c>
      <c r="D385" s="438">
        <v>4.66</v>
      </c>
    </row>
    <row r="386" spans="1:4">
      <c r="A386" s="435">
        <v>21053</v>
      </c>
      <c r="B386" s="436" t="s">
        <v>30816</v>
      </c>
      <c r="C386" s="437" t="s">
        <v>165</v>
      </c>
      <c r="D386" s="438">
        <v>4.8099999999999996</v>
      </c>
    </row>
    <row r="387" spans="1:4" ht="25">
      <c r="A387" s="435">
        <v>21054</v>
      </c>
      <c r="B387" s="436" t="s">
        <v>30817</v>
      </c>
      <c r="C387" s="437" t="s">
        <v>165</v>
      </c>
      <c r="D387" s="438">
        <v>62.17</v>
      </c>
    </row>
    <row r="388" spans="1:4">
      <c r="A388" s="435">
        <v>21081</v>
      </c>
      <c r="B388" s="436" t="s">
        <v>30818</v>
      </c>
      <c r="C388" s="437" t="s">
        <v>165</v>
      </c>
      <c r="D388" s="438">
        <v>7.22</v>
      </c>
    </row>
    <row r="389" spans="1:4">
      <c r="A389" s="431">
        <v>22000</v>
      </c>
      <c r="B389" s="432" t="s">
        <v>30003</v>
      </c>
      <c r="C389" s="433"/>
      <c r="D389" s="434" t="s">
        <v>30434</v>
      </c>
    </row>
    <row r="390" spans="1:4">
      <c r="A390" s="435">
        <v>22010</v>
      </c>
      <c r="B390" s="436" t="s">
        <v>30819</v>
      </c>
      <c r="C390" s="437" t="s">
        <v>121</v>
      </c>
      <c r="D390" s="438">
        <v>422.02</v>
      </c>
    </row>
    <row r="391" spans="1:4">
      <c r="A391" s="435">
        <v>22015</v>
      </c>
      <c r="B391" s="436" t="s">
        <v>30820</v>
      </c>
      <c r="C391" s="437" t="s">
        <v>121</v>
      </c>
      <c r="D391" s="438">
        <v>401.12</v>
      </c>
    </row>
    <row r="392" spans="1:4">
      <c r="A392" s="435">
        <v>22020</v>
      </c>
      <c r="B392" s="436" t="s">
        <v>30821</v>
      </c>
      <c r="C392" s="437" t="s">
        <v>121</v>
      </c>
      <c r="D392" s="438">
        <v>544.72</v>
      </c>
    </row>
    <row r="393" spans="1:4">
      <c r="A393" s="435">
        <v>22030</v>
      </c>
      <c r="B393" s="436" t="s">
        <v>30822</v>
      </c>
      <c r="C393" s="437" t="s">
        <v>121</v>
      </c>
      <c r="D393" s="438">
        <v>565.61</v>
      </c>
    </row>
    <row r="394" spans="1:4">
      <c r="A394" s="435">
        <v>22040</v>
      </c>
      <c r="B394" s="436" t="s">
        <v>30823</v>
      </c>
      <c r="C394" s="437" t="s">
        <v>509</v>
      </c>
      <c r="D394" s="438">
        <v>182.51</v>
      </c>
    </row>
    <row r="395" spans="1:4">
      <c r="A395" s="435">
        <v>22050</v>
      </c>
      <c r="B395" s="436" t="s">
        <v>30824</v>
      </c>
      <c r="C395" s="437" t="s">
        <v>509</v>
      </c>
      <c r="D395" s="438">
        <v>202.62</v>
      </c>
    </row>
    <row r="396" spans="1:4">
      <c r="A396" s="435">
        <v>22060</v>
      </c>
      <c r="B396" s="436" t="s">
        <v>30825</v>
      </c>
      <c r="C396" s="437" t="s">
        <v>121</v>
      </c>
      <c r="D396" s="438">
        <v>442.56</v>
      </c>
    </row>
    <row r="397" spans="1:4">
      <c r="A397" s="435">
        <v>22075</v>
      </c>
      <c r="B397" s="436" t="s">
        <v>30826</v>
      </c>
      <c r="C397" s="437" t="s">
        <v>30445</v>
      </c>
      <c r="D397" s="438">
        <v>5117.45</v>
      </c>
    </row>
    <row r="398" spans="1:4">
      <c r="A398" s="435">
        <v>22076</v>
      </c>
      <c r="B398" s="436" t="s">
        <v>30827</v>
      </c>
      <c r="C398" s="437" t="s">
        <v>30445</v>
      </c>
      <c r="D398" s="438">
        <v>3497.52</v>
      </c>
    </row>
    <row r="399" spans="1:4">
      <c r="A399" s="431">
        <v>24000</v>
      </c>
      <c r="B399" s="432" t="s">
        <v>30828</v>
      </c>
      <c r="C399" s="433"/>
      <c r="D399" s="434" t="s">
        <v>30434</v>
      </c>
    </row>
    <row r="400" spans="1:4">
      <c r="A400" s="435">
        <v>24105</v>
      </c>
      <c r="B400" s="436" t="s">
        <v>30829</v>
      </c>
      <c r="C400" s="437" t="s">
        <v>509</v>
      </c>
      <c r="D400" s="438">
        <v>4.04</v>
      </c>
    </row>
    <row r="401" spans="1:4">
      <c r="A401" s="435">
        <v>24106</v>
      </c>
      <c r="B401" s="436" t="s">
        <v>30830</v>
      </c>
      <c r="C401" s="437" t="s">
        <v>509</v>
      </c>
      <c r="D401" s="438">
        <v>4.7699999999999996</v>
      </c>
    </row>
    <row r="402" spans="1:4">
      <c r="A402" s="435">
        <v>24107</v>
      </c>
      <c r="B402" s="436" t="s">
        <v>30831</v>
      </c>
      <c r="C402" s="437" t="s">
        <v>509</v>
      </c>
      <c r="D402" s="438">
        <v>5.64</v>
      </c>
    </row>
    <row r="403" spans="1:4">
      <c r="A403" s="435">
        <v>24108</v>
      </c>
      <c r="B403" s="436" t="s">
        <v>30832</v>
      </c>
      <c r="C403" s="437" t="s">
        <v>509</v>
      </c>
      <c r="D403" s="438">
        <v>6.68</v>
      </c>
    </row>
    <row r="404" spans="1:4">
      <c r="A404" s="435">
        <v>24109</v>
      </c>
      <c r="B404" s="436" t="s">
        <v>30833</v>
      </c>
      <c r="C404" s="437" t="s">
        <v>509</v>
      </c>
      <c r="D404" s="438">
        <v>7.81</v>
      </c>
    </row>
    <row r="405" spans="1:4">
      <c r="A405" s="435">
        <v>24110</v>
      </c>
      <c r="B405" s="436" t="s">
        <v>30834</v>
      </c>
      <c r="C405" s="437" t="s">
        <v>509</v>
      </c>
      <c r="D405" s="438">
        <v>9.16</v>
      </c>
    </row>
    <row r="406" spans="1:4">
      <c r="A406" s="435">
        <v>24111</v>
      </c>
      <c r="B406" s="436" t="s">
        <v>30835</v>
      </c>
      <c r="C406" s="437" t="s">
        <v>509</v>
      </c>
      <c r="D406" s="438">
        <v>11.97</v>
      </c>
    </row>
    <row r="407" spans="1:4">
      <c r="A407" s="435">
        <v>24112</v>
      </c>
      <c r="B407" s="436" t="s">
        <v>30836</v>
      </c>
      <c r="C407" s="437" t="s">
        <v>509</v>
      </c>
      <c r="D407" s="438">
        <v>12.62</v>
      </c>
    </row>
    <row r="408" spans="1:4">
      <c r="A408" s="435">
        <v>24113</v>
      </c>
      <c r="B408" s="436" t="s">
        <v>30837</v>
      </c>
      <c r="C408" s="437" t="s">
        <v>509</v>
      </c>
      <c r="D408" s="438">
        <v>17.97</v>
      </c>
    </row>
    <row r="409" spans="1:4">
      <c r="A409" s="435">
        <v>24120</v>
      </c>
      <c r="B409" s="436" t="s">
        <v>30838</v>
      </c>
      <c r="C409" s="437" t="s">
        <v>509</v>
      </c>
      <c r="D409" s="438">
        <v>26.75</v>
      </c>
    </row>
    <row r="410" spans="1:4" ht="25">
      <c r="A410" s="435">
        <v>24121</v>
      </c>
      <c r="B410" s="436" t="s">
        <v>30839</v>
      </c>
      <c r="C410" s="437" t="s">
        <v>509</v>
      </c>
      <c r="D410" s="438">
        <v>19.89</v>
      </c>
    </row>
    <row r="411" spans="1:4" ht="25">
      <c r="A411" s="435">
        <v>24122</v>
      </c>
      <c r="B411" s="436" t="s">
        <v>30840</v>
      </c>
      <c r="C411" s="437" t="s">
        <v>509</v>
      </c>
      <c r="D411" s="438">
        <v>35.299999999999997</v>
      </c>
    </row>
    <row r="412" spans="1:4">
      <c r="A412" s="435">
        <v>24140</v>
      </c>
      <c r="B412" s="436" t="s">
        <v>30841</v>
      </c>
      <c r="C412" s="437" t="s">
        <v>165</v>
      </c>
      <c r="D412" s="438">
        <v>38.43</v>
      </c>
    </row>
    <row r="413" spans="1:4">
      <c r="A413" s="431">
        <v>24300</v>
      </c>
      <c r="B413" s="432" t="s">
        <v>30842</v>
      </c>
      <c r="C413" s="433"/>
      <c r="D413" s="434" t="s">
        <v>30434</v>
      </c>
    </row>
    <row r="414" spans="1:4">
      <c r="A414" s="435">
        <v>24309</v>
      </c>
      <c r="B414" s="436" t="s">
        <v>30843</v>
      </c>
      <c r="C414" s="437" t="s">
        <v>207</v>
      </c>
      <c r="D414" s="438">
        <v>2.57</v>
      </c>
    </row>
    <row r="415" spans="1:4">
      <c r="A415" s="435">
        <v>24310</v>
      </c>
      <c r="B415" s="436" t="s">
        <v>30844</v>
      </c>
      <c r="C415" s="437" t="s">
        <v>103</v>
      </c>
      <c r="D415" s="438">
        <v>25643.42</v>
      </c>
    </row>
    <row r="416" spans="1:4">
      <c r="A416" s="431">
        <v>24500</v>
      </c>
      <c r="B416" s="432" t="s">
        <v>30845</v>
      </c>
      <c r="C416" s="433"/>
      <c r="D416" s="434" t="s">
        <v>30434</v>
      </c>
    </row>
    <row r="417" spans="1:4">
      <c r="A417" s="435">
        <v>24502</v>
      </c>
      <c r="B417" s="436" t="s">
        <v>30846</v>
      </c>
      <c r="C417" s="437" t="s">
        <v>165</v>
      </c>
      <c r="D417" s="438">
        <v>5964.06</v>
      </c>
    </row>
    <row r="418" spans="1:4">
      <c r="A418" s="435">
        <v>24504</v>
      </c>
      <c r="B418" s="436" t="s">
        <v>30847</v>
      </c>
      <c r="C418" s="437" t="s">
        <v>165</v>
      </c>
      <c r="D418" s="438">
        <v>6810.82</v>
      </c>
    </row>
    <row r="419" spans="1:4">
      <c r="A419" s="435">
        <v>24506</v>
      </c>
      <c r="B419" s="436" t="s">
        <v>30848</v>
      </c>
      <c r="C419" s="437" t="s">
        <v>165</v>
      </c>
      <c r="D419" s="438">
        <v>7473.49</v>
      </c>
    </row>
    <row r="420" spans="1:4">
      <c r="A420" s="435">
        <v>24508</v>
      </c>
      <c r="B420" s="436" t="s">
        <v>30849</v>
      </c>
      <c r="C420" s="437" t="s">
        <v>165</v>
      </c>
      <c r="D420" s="438">
        <v>8283.42</v>
      </c>
    </row>
    <row r="421" spans="1:4">
      <c r="A421" s="435">
        <v>24510</v>
      </c>
      <c r="B421" s="436" t="s">
        <v>30850</v>
      </c>
      <c r="C421" s="437" t="s">
        <v>165</v>
      </c>
      <c r="D421" s="438">
        <v>8982.91</v>
      </c>
    </row>
    <row r="422" spans="1:4">
      <c r="A422" s="435">
        <v>24512</v>
      </c>
      <c r="B422" s="436" t="s">
        <v>30851</v>
      </c>
      <c r="C422" s="437" t="s">
        <v>165</v>
      </c>
      <c r="D422" s="438">
        <v>9792.85</v>
      </c>
    </row>
    <row r="423" spans="1:4">
      <c r="A423" s="435">
        <v>24514</v>
      </c>
      <c r="B423" s="436" t="s">
        <v>30852</v>
      </c>
      <c r="C423" s="437" t="s">
        <v>165</v>
      </c>
      <c r="D423" s="438">
        <v>10455.52</v>
      </c>
    </row>
    <row r="424" spans="1:4">
      <c r="A424" s="435">
        <v>24516</v>
      </c>
      <c r="B424" s="436" t="s">
        <v>30853</v>
      </c>
      <c r="C424" s="437" t="s">
        <v>165</v>
      </c>
      <c r="D424" s="438">
        <v>11265.46</v>
      </c>
    </row>
    <row r="425" spans="1:4">
      <c r="A425" s="435">
        <v>24518</v>
      </c>
      <c r="B425" s="436" t="s">
        <v>30854</v>
      </c>
      <c r="C425" s="437" t="s">
        <v>165</v>
      </c>
      <c r="D425" s="438">
        <v>11964.95</v>
      </c>
    </row>
    <row r="426" spans="1:4">
      <c r="A426" s="435">
        <v>24520</v>
      </c>
      <c r="B426" s="436" t="s">
        <v>30855</v>
      </c>
      <c r="C426" s="437" t="s">
        <v>165</v>
      </c>
      <c r="D426" s="438">
        <v>8767.65</v>
      </c>
    </row>
    <row r="427" spans="1:4">
      <c r="A427" s="435">
        <v>24522</v>
      </c>
      <c r="B427" s="436" t="s">
        <v>30856</v>
      </c>
      <c r="C427" s="437" t="s">
        <v>165</v>
      </c>
      <c r="D427" s="438">
        <v>9714.56</v>
      </c>
    </row>
    <row r="428" spans="1:4">
      <c r="A428" s="435">
        <v>24524</v>
      </c>
      <c r="B428" s="436" t="s">
        <v>30857</v>
      </c>
      <c r="C428" s="437" t="s">
        <v>165</v>
      </c>
      <c r="D428" s="438">
        <v>10521.18</v>
      </c>
    </row>
    <row r="429" spans="1:4">
      <c r="A429" s="435">
        <v>24526</v>
      </c>
      <c r="B429" s="436" t="s">
        <v>30858</v>
      </c>
      <c r="C429" s="437" t="s">
        <v>165</v>
      </c>
      <c r="D429" s="438">
        <v>11468.09</v>
      </c>
    </row>
    <row r="430" spans="1:4">
      <c r="A430" s="435">
        <v>24528</v>
      </c>
      <c r="B430" s="436" t="s">
        <v>30859</v>
      </c>
      <c r="C430" s="437" t="s">
        <v>165</v>
      </c>
      <c r="D430" s="438">
        <v>12274.72</v>
      </c>
    </row>
    <row r="431" spans="1:4">
      <c r="A431" s="435">
        <v>24530</v>
      </c>
      <c r="B431" s="436" t="s">
        <v>30860</v>
      </c>
      <c r="C431" s="437" t="s">
        <v>165</v>
      </c>
      <c r="D431" s="438">
        <v>13221.62</v>
      </c>
    </row>
    <row r="432" spans="1:4">
      <c r="A432" s="435">
        <v>24532</v>
      </c>
      <c r="B432" s="436" t="s">
        <v>30861</v>
      </c>
      <c r="C432" s="437" t="s">
        <v>165</v>
      </c>
      <c r="D432" s="438">
        <v>14028.25</v>
      </c>
    </row>
    <row r="433" spans="1:4">
      <c r="A433" s="435">
        <v>24534</v>
      </c>
      <c r="B433" s="436" t="s">
        <v>30862</v>
      </c>
      <c r="C433" s="437" t="s">
        <v>165</v>
      </c>
      <c r="D433" s="438">
        <v>4167.0600000000004</v>
      </c>
    </row>
    <row r="434" spans="1:4">
      <c r="A434" s="435">
        <v>24536</v>
      </c>
      <c r="B434" s="436" t="s">
        <v>30863</v>
      </c>
      <c r="C434" s="437" t="s">
        <v>165</v>
      </c>
      <c r="D434" s="438">
        <v>4758.5200000000004</v>
      </c>
    </row>
    <row r="435" spans="1:4">
      <c r="A435" s="435">
        <v>24538</v>
      </c>
      <c r="B435" s="436" t="s">
        <v>30864</v>
      </c>
      <c r="C435" s="437" t="s">
        <v>165</v>
      </c>
      <c r="D435" s="438">
        <v>5242.4399999999996</v>
      </c>
    </row>
    <row r="436" spans="1:4">
      <c r="A436" s="435">
        <v>24540</v>
      </c>
      <c r="B436" s="436" t="s">
        <v>30865</v>
      </c>
      <c r="C436" s="437" t="s">
        <v>165</v>
      </c>
      <c r="D436" s="438">
        <v>5833.89</v>
      </c>
    </row>
    <row r="437" spans="1:4">
      <c r="A437" s="435">
        <v>24542</v>
      </c>
      <c r="B437" s="436" t="s">
        <v>30866</v>
      </c>
      <c r="C437" s="437" t="s">
        <v>165</v>
      </c>
      <c r="D437" s="438">
        <v>6290.92</v>
      </c>
    </row>
    <row r="438" spans="1:4">
      <c r="A438" s="435">
        <v>24544</v>
      </c>
      <c r="B438" s="436" t="s">
        <v>30867</v>
      </c>
      <c r="C438" s="437" t="s">
        <v>165</v>
      </c>
      <c r="D438" s="438">
        <v>6828.61</v>
      </c>
    </row>
    <row r="439" spans="1:4">
      <c r="A439" s="435">
        <v>24546</v>
      </c>
      <c r="B439" s="436" t="s">
        <v>30868</v>
      </c>
      <c r="C439" s="437" t="s">
        <v>165</v>
      </c>
      <c r="D439" s="438">
        <v>7285.64</v>
      </c>
    </row>
    <row r="440" spans="1:4">
      <c r="A440" s="435">
        <v>24548</v>
      </c>
      <c r="B440" s="436" t="s">
        <v>30869</v>
      </c>
      <c r="C440" s="437" t="s">
        <v>165</v>
      </c>
      <c r="D440" s="438">
        <v>7877.1</v>
      </c>
    </row>
    <row r="441" spans="1:4">
      <c r="A441" s="435">
        <v>24550</v>
      </c>
      <c r="B441" s="436" t="s">
        <v>30870</v>
      </c>
      <c r="C441" s="437" t="s">
        <v>165</v>
      </c>
      <c r="D441" s="438">
        <v>8361.02</v>
      </c>
    </row>
    <row r="442" spans="1:4">
      <c r="A442" s="435">
        <v>24552</v>
      </c>
      <c r="B442" s="436" t="s">
        <v>30871</v>
      </c>
      <c r="C442" s="437" t="s">
        <v>165</v>
      </c>
      <c r="D442" s="438">
        <v>6363.27</v>
      </c>
    </row>
    <row r="443" spans="1:4">
      <c r="A443" s="435">
        <v>24554</v>
      </c>
      <c r="B443" s="436" t="s">
        <v>30872</v>
      </c>
      <c r="C443" s="437" t="s">
        <v>165</v>
      </c>
      <c r="D443" s="438">
        <v>7049.77</v>
      </c>
    </row>
    <row r="444" spans="1:4">
      <c r="A444" s="435">
        <v>24556</v>
      </c>
      <c r="B444" s="436" t="s">
        <v>30873</v>
      </c>
      <c r="C444" s="437" t="s">
        <v>165</v>
      </c>
      <c r="D444" s="438">
        <v>7630.64</v>
      </c>
    </row>
    <row r="445" spans="1:4">
      <c r="A445" s="435">
        <v>24558</v>
      </c>
      <c r="B445" s="436" t="s">
        <v>30874</v>
      </c>
      <c r="C445" s="437" t="s">
        <v>165</v>
      </c>
      <c r="D445" s="438">
        <v>8317.14</v>
      </c>
    </row>
    <row r="446" spans="1:4">
      <c r="A446" s="435">
        <v>24560</v>
      </c>
      <c r="B446" s="436" t="s">
        <v>30875</v>
      </c>
      <c r="C446" s="437" t="s">
        <v>165</v>
      </c>
      <c r="D446" s="438">
        <v>8898.02</v>
      </c>
    </row>
    <row r="447" spans="1:4">
      <c r="A447" s="435">
        <v>24562</v>
      </c>
      <c r="B447" s="436" t="s">
        <v>30876</v>
      </c>
      <c r="C447" s="437" t="s">
        <v>165</v>
      </c>
      <c r="D447" s="438">
        <v>9584.51</v>
      </c>
    </row>
    <row r="448" spans="1:4">
      <c r="A448" s="435">
        <v>24564</v>
      </c>
      <c r="B448" s="436" t="s">
        <v>30877</v>
      </c>
      <c r="C448" s="437" t="s">
        <v>165</v>
      </c>
      <c r="D448" s="438">
        <v>10165.39</v>
      </c>
    </row>
    <row r="449" spans="1:4">
      <c r="A449" s="431">
        <v>25000</v>
      </c>
      <c r="B449" s="432" t="s">
        <v>30878</v>
      </c>
      <c r="C449" s="433"/>
      <c r="D449" s="434" t="s">
        <v>30434</v>
      </c>
    </row>
    <row r="450" spans="1:4" ht="25">
      <c r="A450" s="435">
        <v>25010</v>
      </c>
      <c r="B450" s="436" t="s">
        <v>30879</v>
      </c>
      <c r="C450" s="437" t="s">
        <v>30445</v>
      </c>
      <c r="D450" s="438">
        <v>908.39</v>
      </c>
    </row>
    <row r="451" spans="1:4" ht="25">
      <c r="A451" s="435">
        <v>25020</v>
      </c>
      <c r="B451" s="436" t="s">
        <v>30880</v>
      </c>
      <c r="C451" s="437" t="s">
        <v>30445</v>
      </c>
      <c r="D451" s="438">
        <v>327.12</v>
      </c>
    </row>
    <row r="452" spans="1:4" ht="25">
      <c r="A452" s="435">
        <v>25030</v>
      </c>
      <c r="B452" s="436" t="s">
        <v>30881</v>
      </c>
      <c r="C452" s="437" t="s">
        <v>30445</v>
      </c>
      <c r="D452" s="438">
        <v>474.52</v>
      </c>
    </row>
    <row r="453" spans="1:4">
      <c r="A453" s="435">
        <v>25040</v>
      </c>
      <c r="B453" s="436" t="s">
        <v>30882</v>
      </c>
      <c r="C453" s="437" t="s">
        <v>30445</v>
      </c>
      <c r="D453" s="438">
        <v>1736.72</v>
      </c>
    </row>
    <row r="454" spans="1:4">
      <c r="A454" s="435">
        <v>25100</v>
      </c>
      <c r="B454" s="436" t="s">
        <v>30883</v>
      </c>
      <c r="C454" s="437" t="s">
        <v>165</v>
      </c>
      <c r="D454" s="438">
        <v>14.91</v>
      </c>
    </row>
    <row r="455" spans="1:4">
      <c r="A455" s="435">
        <v>25110</v>
      </c>
      <c r="B455" s="436" t="s">
        <v>30884</v>
      </c>
      <c r="C455" s="437" t="s">
        <v>165</v>
      </c>
      <c r="D455" s="438">
        <v>18.420000000000002</v>
      </c>
    </row>
    <row r="456" spans="1:4">
      <c r="A456" s="435">
        <v>25120</v>
      </c>
      <c r="B456" s="436" t="s">
        <v>30885</v>
      </c>
      <c r="C456" s="437" t="s">
        <v>165</v>
      </c>
      <c r="D456" s="438">
        <v>16.190000000000001</v>
      </c>
    </row>
    <row r="457" spans="1:4">
      <c r="A457" s="435">
        <v>25130</v>
      </c>
      <c r="B457" s="436" t="s">
        <v>30886</v>
      </c>
      <c r="C457" s="437" t="s">
        <v>165</v>
      </c>
      <c r="D457" s="438">
        <v>22.97</v>
      </c>
    </row>
    <row r="458" spans="1:4">
      <c r="A458" s="435">
        <v>25200</v>
      </c>
      <c r="B458" s="436" t="s">
        <v>30887</v>
      </c>
      <c r="C458" s="437" t="s">
        <v>30463</v>
      </c>
      <c r="D458" s="438">
        <v>10.98</v>
      </c>
    </row>
    <row r="459" spans="1:4">
      <c r="A459" s="435">
        <v>25210</v>
      </c>
      <c r="B459" s="436" t="s">
        <v>30888</v>
      </c>
      <c r="C459" s="437" t="s">
        <v>30463</v>
      </c>
      <c r="D459" s="438">
        <v>10.98</v>
      </c>
    </row>
    <row r="460" spans="1:4">
      <c r="A460" s="435">
        <v>25221</v>
      </c>
      <c r="B460" s="436" t="s">
        <v>30889</v>
      </c>
      <c r="C460" s="437" t="s">
        <v>18452</v>
      </c>
      <c r="D460" s="438">
        <v>21.55</v>
      </c>
    </row>
    <row r="461" spans="1:4">
      <c r="A461" s="435">
        <v>25222</v>
      </c>
      <c r="B461" s="436" t="s">
        <v>30890</v>
      </c>
      <c r="C461" s="437" t="s">
        <v>18452</v>
      </c>
      <c r="D461" s="438">
        <v>25.24</v>
      </c>
    </row>
    <row r="462" spans="1:4">
      <c r="A462" s="435">
        <v>25223</v>
      </c>
      <c r="B462" s="436" t="s">
        <v>30891</v>
      </c>
      <c r="C462" s="437" t="s">
        <v>18452</v>
      </c>
      <c r="D462" s="438">
        <v>23.19</v>
      </c>
    </row>
    <row r="463" spans="1:4">
      <c r="A463" s="435">
        <v>25228</v>
      </c>
      <c r="B463" s="436" t="s">
        <v>30892</v>
      </c>
      <c r="C463" s="437" t="s">
        <v>18452</v>
      </c>
      <c r="D463" s="438">
        <v>21.86</v>
      </c>
    </row>
    <row r="464" spans="1:4">
      <c r="A464" s="431">
        <v>26800</v>
      </c>
      <c r="B464" s="432" t="s">
        <v>30893</v>
      </c>
      <c r="C464" s="433"/>
      <c r="D464" s="434" t="s">
        <v>30434</v>
      </c>
    </row>
    <row r="465" spans="1:4">
      <c r="A465" s="435">
        <v>26862</v>
      </c>
      <c r="B465" s="436" t="s">
        <v>30894</v>
      </c>
      <c r="C465" s="437" t="s">
        <v>103</v>
      </c>
      <c r="D465" s="438">
        <v>21.49</v>
      </c>
    </row>
    <row r="466" spans="1:4" ht="25">
      <c r="A466" s="435">
        <v>26864</v>
      </c>
      <c r="B466" s="436" t="s">
        <v>30895</v>
      </c>
      <c r="C466" s="437" t="s">
        <v>165</v>
      </c>
      <c r="D466" s="438">
        <v>4.6500000000000004</v>
      </c>
    </row>
    <row r="467" spans="1:4">
      <c r="A467" s="435">
        <v>26865</v>
      </c>
      <c r="B467" s="436" t="s">
        <v>30896</v>
      </c>
      <c r="C467" s="437" t="s">
        <v>165</v>
      </c>
      <c r="D467" s="438">
        <v>15.15</v>
      </c>
    </row>
    <row r="468" spans="1:4">
      <c r="A468" s="431">
        <v>27500</v>
      </c>
      <c r="B468" s="432" t="s">
        <v>30897</v>
      </c>
      <c r="C468" s="433"/>
      <c r="D468" s="434" t="s">
        <v>30434</v>
      </c>
    </row>
    <row r="469" spans="1:4">
      <c r="A469" s="435">
        <v>27534</v>
      </c>
      <c r="B469" s="436" t="s">
        <v>30898</v>
      </c>
      <c r="C469" s="437" t="s">
        <v>509</v>
      </c>
      <c r="D469" s="438">
        <v>244.55</v>
      </c>
    </row>
    <row r="470" spans="1:4">
      <c r="A470" s="435">
        <v>27540</v>
      </c>
      <c r="B470" s="436" t="s">
        <v>30899</v>
      </c>
      <c r="C470" s="437" t="s">
        <v>30463</v>
      </c>
      <c r="D470" s="438">
        <v>8.1300000000000008</v>
      </c>
    </row>
    <row r="471" spans="1:4">
      <c r="A471" s="435">
        <v>28006</v>
      </c>
      <c r="B471" s="436" t="s">
        <v>30900</v>
      </c>
      <c r="C471" s="437" t="s">
        <v>30463</v>
      </c>
      <c r="D471" s="438">
        <v>51.91</v>
      </c>
    </row>
    <row r="472" spans="1:4">
      <c r="A472" s="435">
        <v>28010</v>
      </c>
      <c r="B472" s="436" t="s">
        <v>30901</v>
      </c>
      <c r="C472" s="437" t="s">
        <v>509</v>
      </c>
      <c r="D472" s="438">
        <v>35.229999999999997</v>
      </c>
    </row>
    <row r="473" spans="1:4">
      <c r="A473" s="435">
        <v>28082</v>
      </c>
      <c r="B473" s="436" t="s">
        <v>30902</v>
      </c>
      <c r="C473" s="437" t="s">
        <v>509</v>
      </c>
      <c r="D473" s="438">
        <v>9.5399999999999991</v>
      </c>
    </row>
    <row r="474" spans="1:4">
      <c r="A474" s="435">
        <v>28090</v>
      </c>
      <c r="B474" s="436" t="s">
        <v>30903</v>
      </c>
      <c r="C474" s="437" t="s">
        <v>165</v>
      </c>
      <c r="D474" s="438">
        <v>8.35</v>
      </c>
    </row>
    <row r="475" spans="1:4">
      <c r="A475" s="435">
        <v>28091</v>
      </c>
      <c r="B475" s="436" t="s">
        <v>30904</v>
      </c>
      <c r="C475" s="437" t="s">
        <v>30445</v>
      </c>
      <c r="D475" s="438">
        <v>5.17</v>
      </c>
    </row>
    <row r="476" spans="1:4">
      <c r="A476" s="431">
        <v>30000</v>
      </c>
      <c r="B476" s="432" t="s">
        <v>30905</v>
      </c>
      <c r="C476" s="433"/>
      <c r="D476" s="434" t="s">
        <v>30434</v>
      </c>
    </row>
    <row r="477" spans="1:4">
      <c r="A477" s="435">
        <v>30010</v>
      </c>
      <c r="B477" s="436" t="s">
        <v>30906</v>
      </c>
      <c r="C477" s="437" t="s">
        <v>396</v>
      </c>
      <c r="D477" s="438">
        <v>702</v>
      </c>
    </row>
    <row r="478" spans="1:4">
      <c r="A478" s="435">
        <v>30014</v>
      </c>
      <c r="B478" s="436" t="s">
        <v>30907</v>
      </c>
      <c r="C478" s="437" t="s">
        <v>396</v>
      </c>
      <c r="D478" s="438">
        <v>622.36</v>
      </c>
    </row>
    <row r="479" spans="1:4" ht="25">
      <c r="A479" s="435">
        <v>30016</v>
      </c>
      <c r="B479" s="436" t="s">
        <v>30908</v>
      </c>
      <c r="C479" s="437" t="s">
        <v>396</v>
      </c>
      <c r="D479" s="438">
        <v>524.09</v>
      </c>
    </row>
    <row r="480" spans="1:4">
      <c r="A480" s="435">
        <v>30018</v>
      </c>
      <c r="B480" s="436" t="s">
        <v>30909</v>
      </c>
      <c r="C480" s="437" t="s">
        <v>396</v>
      </c>
      <c r="D480" s="438">
        <v>670.4</v>
      </c>
    </row>
    <row r="481" spans="1:4">
      <c r="A481" s="435">
        <v>30020</v>
      </c>
      <c r="B481" s="436" t="s">
        <v>30910</v>
      </c>
      <c r="C481" s="437" t="s">
        <v>396</v>
      </c>
      <c r="D481" s="438">
        <v>990.1</v>
      </c>
    </row>
    <row r="482" spans="1:4">
      <c r="A482" s="435">
        <v>30022</v>
      </c>
      <c r="B482" s="436" t="s">
        <v>30911</v>
      </c>
      <c r="C482" s="437" t="s">
        <v>396</v>
      </c>
      <c r="D482" s="438">
        <v>1274.18</v>
      </c>
    </row>
    <row r="483" spans="1:4">
      <c r="A483" s="435">
        <v>30030</v>
      </c>
      <c r="B483" s="436" t="s">
        <v>30912</v>
      </c>
      <c r="C483" s="437" t="s">
        <v>165</v>
      </c>
      <c r="D483" s="438">
        <v>10.11</v>
      </c>
    </row>
    <row r="484" spans="1:4">
      <c r="A484" s="435">
        <v>30031</v>
      </c>
      <c r="B484" s="436" t="s">
        <v>30913</v>
      </c>
      <c r="C484" s="437" t="s">
        <v>165</v>
      </c>
      <c r="D484" s="438">
        <v>14.09</v>
      </c>
    </row>
    <row r="485" spans="1:4">
      <c r="A485" s="435">
        <v>30032</v>
      </c>
      <c r="B485" s="436" t="s">
        <v>30914</v>
      </c>
      <c r="C485" s="437" t="s">
        <v>165</v>
      </c>
      <c r="D485" s="438">
        <v>15.61</v>
      </c>
    </row>
    <row r="486" spans="1:4">
      <c r="A486" s="435">
        <v>30033</v>
      </c>
      <c r="B486" s="436" t="s">
        <v>30915</v>
      </c>
      <c r="C486" s="437" t="s">
        <v>165</v>
      </c>
      <c r="D486" s="438">
        <v>30.09</v>
      </c>
    </row>
    <row r="487" spans="1:4" ht="25">
      <c r="A487" s="435">
        <v>30060</v>
      </c>
      <c r="B487" s="436" t="s">
        <v>30916</v>
      </c>
      <c r="C487" s="437" t="s">
        <v>30445</v>
      </c>
      <c r="D487" s="438">
        <v>244.34</v>
      </c>
    </row>
    <row r="488" spans="1:4" ht="25">
      <c r="A488" s="435">
        <v>30061</v>
      </c>
      <c r="B488" s="436" t="s">
        <v>30917</v>
      </c>
      <c r="C488" s="437" t="s">
        <v>30445</v>
      </c>
      <c r="D488" s="438">
        <v>243.36</v>
      </c>
    </row>
    <row r="489" spans="1:4" ht="25">
      <c r="A489" s="435">
        <v>30062</v>
      </c>
      <c r="B489" s="436" t="s">
        <v>30918</v>
      </c>
      <c r="C489" s="437" t="s">
        <v>30445</v>
      </c>
      <c r="D489" s="438">
        <v>243.71</v>
      </c>
    </row>
    <row r="490" spans="1:4" ht="25">
      <c r="A490" s="435">
        <v>30063</v>
      </c>
      <c r="B490" s="436" t="s">
        <v>30919</v>
      </c>
      <c r="C490" s="437" t="s">
        <v>30445</v>
      </c>
      <c r="D490" s="438">
        <v>306.02999999999997</v>
      </c>
    </row>
    <row r="491" spans="1:4" ht="25">
      <c r="A491" s="435">
        <v>30064</v>
      </c>
      <c r="B491" s="436" t="s">
        <v>30920</v>
      </c>
      <c r="C491" s="437" t="s">
        <v>30445</v>
      </c>
      <c r="D491" s="438">
        <v>333.65</v>
      </c>
    </row>
    <row r="492" spans="1:4" ht="25">
      <c r="A492" s="435">
        <v>30071</v>
      </c>
      <c r="B492" s="436" t="s">
        <v>30921</v>
      </c>
      <c r="C492" s="437" t="s">
        <v>30445</v>
      </c>
      <c r="D492" s="438">
        <v>412.74</v>
      </c>
    </row>
    <row r="493" spans="1:4" ht="25">
      <c r="A493" s="435">
        <v>30073</v>
      </c>
      <c r="B493" s="436" t="s">
        <v>30922</v>
      </c>
      <c r="C493" s="437" t="s">
        <v>30445</v>
      </c>
      <c r="D493" s="438">
        <v>431.36</v>
      </c>
    </row>
    <row r="494" spans="1:4" ht="25">
      <c r="A494" s="435">
        <v>30074</v>
      </c>
      <c r="B494" s="436" t="s">
        <v>30923</v>
      </c>
      <c r="C494" s="437" t="s">
        <v>30445</v>
      </c>
      <c r="D494" s="438">
        <v>474.19</v>
      </c>
    </row>
    <row r="495" spans="1:4" ht="25">
      <c r="A495" s="435">
        <v>30075</v>
      </c>
      <c r="B495" s="436" t="s">
        <v>30924</v>
      </c>
      <c r="C495" s="437" t="s">
        <v>30445</v>
      </c>
      <c r="D495" s="438">
        <v>542.63</v>
      </c>
    </row>
    <row r="496" spans="1:4">
      <c r="A496" s="435">
        <v>30087</v>
      </c>
      <c r="B496" s="436" t="s">
        <v>30925</v>
      </c>
      <c r="C496" s="437" t="s">
        <v>30445</v>
      </c>
      <c r="D496" s="438">
        <v>1121.33</v>
      </c>
    </row>
    <row r="497" spans="1:4">
      <c r="A497" s="435">
        <v>30090</v>
      </c>
      <c r="B497" s="436" t="s">
        <v>30926</v>
      </c>
      <c r="C497" s="437" t="s">
        <v>30445</v>
      </c>
      <c r="D497" s="438">
        <v>1001.17</v>
      </c>
    </row>
    <row r="498" spans="1:4">
      <c r="A498" s="431">
        <v>30100</v>
      </c>
      <c r="B498" s="432" t="s">
        <v>30927</v>
      </c>
      <c r="C498" s="433"/>
      <c r="D498" s="434" t="s">
        <v>30434</v>
      </c>
    </row>
    <row r="499" spans="1:4">
      <c r="A499" s="435">
        <v>30133</v>
      </c>
      <c r="B499" s="436" t="s">
        <v>30928</v>
      </c>
      <c r="C499" s="437" t="s">
        <v>509</v>
      </c>
      <c r="D499" s="438">
        <v>51.49</v>
      </c>
    </row>
    <row r="500" spans="1:4">
      <c r="A500" s="435">
        <v>30134</v>
      </c>
      <c r="B500" s="436" t="s">
        <v>30929</v>
      </c>
      <c r="C500" s="437" t="s">
        <v>509</v>
      </c>
      <c r="D500" s="438">
        <v>66.87</v>
      </c>
    </row>
    <row r="501" spans="1:4">
      <c r="A501" s="431">
        <v>30200</v>
      </c>
      <c r="B501" s="432" t="s">
        <v>30930</v>
      </c>
      <c r="C501" s="433"/>
      <c r="D501" s="434" t="s">
        <v>30434</v>
      </c>
    </row>
    <row r="502" spans="1:4">
      <c r="A502" s="435">
        <v>30250</v>
      </c>
      <c r="B502" s="436" t="s">
        <v>30931</v>
      </c>
      <c r="C502" s="437" t="s">
        <v>30445</v>
      </c>
      <c r="D502" s="438">
        <v>2228.25</v>
      </c>
    </row>
    <row r="503" spans="1:4">
      <c r="A503" s="435">
        <v>30251</v>
      </c>
      <c r="B503" s="436" t="s">
        <v>30932</v>
      </c>
      <c r="C503" s="437" t="s">
        <v>30445</v>
      </c>
      <c r="D503" s="438">
        <v>2239.56</v>
      </c>
    </row>
    <row r="504" spans="1:4">
      <c r="A504" s="435">
        <v>30252</v>
      </c>
      <c r="B504" s="436" t="s">
        <v>30933</v>
      </c>
      <c r="C504" s="437" t="s">
        <v>30445</v>
      </c>
      <c r="D504" s="438">
        <v>2476.94</v>
      </c>
    </row>
    <row r="505" spans="1:4">
      <c r="A505" s="431">
        <v>30400</v>
      </c>
      <c r="B505" s="432" t="s">
        <v>30794</v>
      </c>
      <c r="C505" s="433"/>
      <c r="D505" s="434" t="s">
        <v>30434</v>
      </c>
    </row>
    <row r="506" spans="1:4">
      <c r="A506" s="435">
        <v>30488</v>
      </c>
      <c r="B506" s="436" t="s">
        <v>30934</v>
      </c>
      <c r="C506" s="437" t="s">
        <v>165</v>
      </c>
      <c r="D506" s="438">
        <v>147.47999999999999</v>
      </c>
    </row>
    <row r="507" spans="1:4">
      <c r="A507" s="431">
        <v>30500</v>
      </c>
      <c r="B507" s="432" t="s">
        <v>30935</v>
      </c>
      <c r="C507" s="433"/>
      <c r="D507" s="434" t="s">
        <v>30434</v>
      </c>
    </row>
    <row r="508" spans="1:4">
      <c r="A508" s="435">
        <v>30501</v>
      </c>
      <c r="B508" s="436" t="s">
        <v>30936</v>
      </c>
      <c r="C508" s="437" t="s">
        <v>165</v>
      </c>
      <c r="D508" s="438">
        <v>196.9</v>
      </c>
    </row>
    <row r="509" spans="1:4" ht="25">
      <c r="A509" s="435">
        <v>30502</v>
      </c>
      <c r="B509" s="436" t="s">
        <v>30937</v>
      </c>
      <c r="C509" s="437" t="s">
        <v>509</v>
      </c>
      <c r="D509" s="438">
        <v>1581.41</v>
      </c>
    </row>
    <row r="510" spans="1:4" ht="25">
      <c r="A510" s="435">
        <v>30504</v>
      </c>
      <c r="B510" s="436" t="s">
        <v>30938</v>
      </c>
      <c r="C510" s="437" t="s">
        <v>509</v>
      </c>
      <c r="D510" s="438">
        <v>1000.68</v>
      </c>
    </row>
    <row r="511" spans="1:4" ht="25">
      <c r="A511" s="435">
        <v>30506</v>
      </c>
      <c r="B511" s="436" t="s">
        <v>30939</v>
      </c>
      <c r="C511" s="437" t="s">
        <v>509</v>
      </c>
      <c r="D511" s="438">
        <v>576.49</v>
      </c>
    </row>
    <row r="512" spans="1:4">
      <c r="A512" s="435">
        <v>30508</v>
      </c>
      <c r="B512" s="436" t="s">
        <v>30940</v>
      </c>
      <c r="C512" s="437" t="s">
        <v>509</v>
      </c>
      <c r="D512" s="438">
        <v>877.05</v>
      </c>
    </row>
    <row r="513" spans="1:4" ht="25">
      <c r="A513" s="435">
        <v>30510</v>
      </c>
      <c r="B513" s="436" t="s">
        <v>30941</v>
      </c>
      <c r="C513" s="437" t="s">
        <v>509</v>
      </c>
      <c r="D513" s="438">
        <v>981.37</v>
      </c>
    </row>
    <row r="514" spans="1:4">
      <c r="A514" s="435">
        <v>30512</v>
      </c>
      <c r="B514" s="436" t="s">
        <v>30942</v>
      </c>
      <c r="C514" s="437" t="s">
        <v>509</v>
      </c>
      <c r="D514" s="438">
        <v>1370.89</v>
      </c>
    </row>
    <row r="515" spans="1:4" ht="25">
      <c r="A515" s="435">
        <v>30516</v>
      </c>
      <c r="B515" s="436" t="s">
        <v>30943</v>
      </c>
      <c r="C515" s="437" t="s">
        <v>509</v>
      </c>
      <c r="D515" s="438">
        <v>580.12</v>
      </c>
    </row>
    <row r="516" spans="1:4" ht="25">
      <c r="A516" s="435">
        <v>30518</v>
      </c>
      <c r="B516" s="436" t="s">
        <v>30944</v>
      </c>
      <c r="C516" s="437" t="s">
        <v>509</v>
      </c>
      <c r="D516" s="438">
        <v>494.49</v>
      </c>
    </row>
    <row r="517" spans="1:4" ht="25">
      <c r="A517" s="435">
        <v>30520</v>
      </c>
      <c r="B517" s="436" t="s">
        <v>30945</v>
      </c>
      <c r="C517" s="437" t="s">
        <v>509</v>
      </c>
      <c r="D517" s="438">
        <v>870.1</v>
      </c>
    </row>
    <row r="518" spans="1:4">
      <c r="A518" s="435">
        <v>30522</v>
      </c>
      <c r="B518" s="436" t="s">
        <v>30946</v>
      </c>
      <c r="C518" s="437" t="s">
        <v>509</v>
      </c>
      <c r="D518" s="438">
        <v>817.03</v>
      </c>
    </row>
    <row r="519" spans="1:4">
      <c r="A519" s="435">
        <v>30524</v>
      </c>
      <c r="B519" s="436" t="s">
        <v>30947</v>
      </c>
      <c r="C519" s="437" t="s">
        <v>509</v>
      </c>
      <c r="D519" s="438">
        <v>957.35</v>
      </c>
    </row>
    <row r="520" spans="1:4" ht="25">
      <c r="A520" s="435">
        <v>30526</v>
      </c>
      <c r="B520" s="436" t="s">
        <v>30948</v>
      </c>
      <c r="C520" s="437" t="s">
        <v>509</v>
      </c>
      <c r="D520" s="438">
        <v>1368.38</v>
      </c>
    </row>
    <row r="521" spans="1:4" ht="25">
      <c r="A521" s="435">
        <v>30528</v>
      </c>
      <c r="B521" s="436" t="s">
        <v>30949</v>
      </c>
      <c r="C521" s="437" t="s">
        <v>509</v>
      </c>
      <c r="D521" s="438">
        <v>1295.02</v>
      </c>
    </row>
    <row r="522" spans="1:4" ht="25">
      <c r="A522" s="435">
        <v>30539</v>
      </c>
      <c r="B522" s="436" t="s">
        <v>30950</v>
      </c>
      <c r="C522" s="437" t="s">
        <v>509</v>
      </c>
      <c r="D522" s="438">
        <v>1102.6199999999999</v>
      </c>
    </row>
    <row r="523" spans="1:4">
      <c r="A523" s="435">
        <v>30540</v>
      </c>
      <c r="B523" s="436" t="s">
        <v>30951</v>
      </c>
      <c r="C523" s="437" t="s">
        <v>165</v>
      </c>
      <c r="D523" s="438">
        <v>203.59</v>
      </c>
    </row>
    <row r="524" spans="1:4">
      <c r="A524" s="435">
        <v>30542</v>
      </c>
      <c r="B524" s="436" t="s">
        <v>30952</v>
      </c>
      <c r="C524" s="437" t="s">
        <v>207</v>
      </c>
      <c r="D524" s="438">
        <v>15.03</v>
      </c>
    </row>
    <row r="525" spans="1:4" ht="25">
      <c r="A525" s="435">
        <v>30543</v>
      </c>
      <c r="B525" s="436" t="s">
        <v>30953</v>
      </c>
      <c r="C525" s="437" t="s">
        <v>30463</v>
      </c>
      <c r="D525" s="438">
        <v>95.36</v>
      </c>
    </row>
    <row r="526" spans="1:4">
      <c r="A526" s="435">
        <v>30545</v>
      </c>
      <c r="B526" s="436" t="s">
        <v>30954</v>
      </c>
      <c r="C526" s="437" t="s">
        <v>30445</v>
      </c>
      <c r="D526" s="438">
        <v>287.57</v>
      </c>
    </row>
    <row r="527" spans="1:4">
      <c r="A527" s="435">
        <v>30549</v>
      </c>
      <c r="B527" s="436" t="s">
        <v>30955</v>
      </c>
      <c r="C527" s="437" t="s">
        <v>509</v>
      </c>
      <c r="D527" s="438">
        <v>97.71</v>
      </c>
    </row>
    <row r="528" spans="1:4">
      <c r="A528" s="435">
        <v>30550</v>
      </c>
      <c r="B528" s="436" t="s">
        <v>30956</v>
      </c>
      <c r="C528" s="437" t="s">
        <v>509</v>
      </c>
      <c r="D528" s="438">
        <v>102.22</v>
      </c>
    </row>
    <row r="529" spans="1:4" ht="25">
      <c r="A529" s="435">
        <v>30551</v>
      </c>
      <c r="B529" s="436" t="s">
        <v>30957</v>
      </c>
      <c r="C529" s="437" t="s">
        <v>509</v>
      </c>
      <c r="D529" s="438">
        <v>239.74</v>
      </c>
    </row>
    <row r="530" spans="1:4" ht="25">
      <c r="A530" s="435">
        <v>30552</v>
      </c>
      <c r="B530" s="436" t="s">
        <v>30958</v>
      </c>
      <c r="C530" s="437" t="s">
        <v>509</v>
      </c>
      <c r="D530" s="438">
        <v>956.38</v>
      </c>
    </row>
    <row r="531" spans="1:4" ht="25">
      <c r="A531" s="435">
        <v>30554</v>
      </c>
      <c r="B531" s="436" t="s">
        <v>30959</v>
      </c>
      <c r="C531" s="437" t="s">
        <v>509</v>
      </c>
      <c r="D531" s="438">
        <v>992.45</v>
      </c>
    </row>
    <row r="532" spans="1:4" ht="25">
      <c r="A532" s="435">
        <v>30556</v>
      </c>
      <c r="B532" s="436" t="s">
        <v>30960</v>
      </c>
      <c r="C532" s="437" t="s">
        <v>509</v>
      </c>
      <c r="D532" s="438">
        <v>990.66</v>
      </c>
    </row>
    <row r="533" spans="1:4" ht="25">
      <c r="A533" s="435">
        <v>30558</v>
      </c>
      <c r="B533" s="436" t="s">
        <v>30961</v>
      </c>
      <c r="C533" s="437" t="s">
        <v>509</v>
      </c>
      <c r="D533" s="438">
        <v>750.17</v>
      </c>
    </row>
    <row r="534" spans="1:4">
      <c r="A534" s="435">
        <v>30560</v>
      </c>
      <c r="B534" s="436" t="s">
        <v>30962</v>
      </c>
      <c r="C534" s="437" t="s">
        <v>509</v>
      </c>
      <c r="D534" s="438">
        <v>821.23</v>
      </c>
    </row>
    <row r="535" spans="1:4" ht="25">
      <c r="A535" s="435">
        <v>30564</v>
      </c>
      <c r="B535" s="436" t="s">
        <v>30963</v>
      </c>
      <c r="C535" s="437" t="s">
        <v>509</v>
      </c>
      <c r="D535" s="438">
        <v>735.98</v>
      </c>
    </row>
    <row r="536" spans="1:4" ht="25">
      <c r="A536" s="435">
        <v>30569</v>
      </c>
      <c r="B536" s="436" t="s">
        <v>30964</v>
      </c>
      <c r="C536" s="437" t="s">
        <v>509</v>
      </c>
      <c r="D536" s="438">
        <v>821.23</v>
      </c>
    </row>
    <row r="537" spans="1:4" ht="25">
      <c r="A537" s="435">
        <v>30570</v>
      </c>
      <c r="B537" s="436" t="s">
        <v>30965</v>
      </c>
      <c r="C537" s="437" t="s">
        <v>509</v>
      </c>
      <c r="D537" s="438">
        <v>432.61</v>
      </c>
    </row>
    <row r="538" spans="1:4" ht="25">
      <c r="A538" s="435">
        <v>30572</v>
      </c>
      <c r="B538" s="436" t="s">
        <v>30966</v>
      </c>
      <c r="C538" s="437" t="s">
        <v>509</v>
      </c>
      <c r="D538" s="438">
        <v>502.81</v>
      </c>
    </row>
    <row r="539" spans="1:4" ht="25">
      <c r="A539" s="435">
        <v>30574</v>
      </c>
      <c r="B539" s="436" t="s">
        <v>30967</v>
      </c>
      <c r="C539" s="437" t="s">
        <v>509</v>
      </c>
      <c r="D539" s="438">
        <v>988.94</v>
      </c>
    </row>
    <row r="540" spans="1:4" ht="25">
      <c r="A540" s="435">
        <v>30578</v>
      </c>
      <c r="B540" s="436" t="s">
        <v>30968</v>
      </c>
      <c r="C540" s="437" t="s">
        <v>509</v>
      </c>
      <c r="D540" s="438">
        <v>638.24</v>
      </c>
    </row>
    <row r="541" spans="1:4" ht="25">
      <c r="A541" s="435">
        <v>30580</v>
      </c>
      <c r="B541" s="436" t="s">
        <v>30969</v>
      </c>
      <c r="C541" s="437" t="s">
        <v>509</v>
      </c>
      <c r="D541" s="438">
        <v>761.14</v>
      </c>
    </row>
    <row r="542" spans="1:4" ht="25">
      <c r="A542" s="435">
        <v>30582</v>
      </c>
      <c r="B542" s="436" t="s">
        <v>30970</v>
      </c>
      <c r="C542" s="437" t="s">
        <v>509</v>
      </c>
      <c r="D542" s="438">
        <v>1340.37</v>
      </c>
    </row>
    <row r="543" spans="1:4" ht="25">
      <c r="A543" s="435">
        <v>30584</v>
      </c>
      <c r="B543" s="436" t="s">
        <v>30971</v>
      </c>
      <c r="C543" s="437" t="s">
        <v>509</v>
      </c>
      <c r="D543" s="438">
        <v>1519.2</v>
      </c>
    </row>
    <row r="544" spans="1:4">
      <c r="A544" s="435">
        <v>30590</v>
      </c>
      <c r="B544" s="436" t="s">
        <v>30972</v>
      </c>
      <c r="C544" s="437" t="s">
        <v>509</v>
      </c>
      <c r="D544" s="438">
        <v>146.02000000000001</v>
      </c>
    </row>
    <row r="545" spans="1:4">
      <c r="A545" s="435">
        <v>30591</v>
      </c>
      <c r="B545" s="436" t="s">
        <v>30973</v>
      </c>
      <c r="C545" s="437" t="s">
        <v>509</v>
      </c>
      <c r="D545" s="438">
        <v>50.3</v>
      </c>
    </row>
    <row r="546" spans="1:4">
      <c r="A546" s="435">
        <v>30592</v>
      </c>
      <c r="B546" s="436" t="s">
        <v>30974</v>
      </c>
      <c r="C546" s="437" t="s">
        <v>509</v>
      </c>
      <c r="D546" s="438">
        <v>103.15</v>
      </c>
    </row>
    <row r="547" spans="1:4">
      <c r="A547" s="435">
        <v>30594</v>
      </c>
      <c r="B547" s="436" t="s">
        <v>30975</v>
      </c>
      <c r="C547" s="437" t="s">
        <v>30445</v>
      </c>
      <c r="D547" s="438">
        <v>706.98</v>
      </c>
    </row>
    <row r="548" spans="1:4">
      <c r="A548" s="435">
        <v>30595</v>
      </c>
      <c r="B548" s="436" t="s">
        <v>30976</v>
      </c>
      <c r="C548" s="437" t="s">
        <v>30463</v>
      </c>
      <c r="D548" s="438">
        <v>10.36</v>
      </c>
    </row>
    <row r="549" spans="1:4">
      <c r="A549" s="431">
        <v>30600</v>
      </c>
      <c r="B549" s="432" t="s">
        <v>30977</v>
      </c>
      <c r="C549" s="433"/>
      <c r="D549" s="434" t="s">
        <v>30434</v>
      </c>
    </row>
    <row r="550" spans="1:4" ht="25">
      <c r="A550" s="435">
        <v>30601</v>
      </c>
      <c r="B550" s="436" t="s">
        <v>30978</v>
      </c>
      <c r="C550" s="437" t="s">
        <v>396</v>
      </c>
      <c r="D550" s="438">
        <v>450.8</v>
      </c>
    </row>
    <row r="551" spans="1:4" ht="25">
      <c r="A551" s="435">
        <v>30602</v>
      </c>
      <c r="B551" s="436" t="s">
        <v>30979</v>
      </c>
      <c r="C551" s="437" t="s">
        <v>396</v>
      </c>
      <c r="D551" s="438">
        <v>559</v>
      </c>
    </row>
    <row r="552" spans="1:4">
      <c r="A552" s="435">
        <v>30610</v>
      </c>
      <c r="B552" s="436" t="s">
        <v>30980</v>
      </c>
      <c r="C552" s="437" t="s">
        <v>30463</v>
      </c>
      <c r="D552" s="438">
        <v>8.49</v>
      </c>
    </row>
    <row r="553" spans="1:4">
      <c r="A553" s="435">
        <v>30611</v>
      </c>
      <c r="B553" s="436" t="s">
        <v>30981</v>
      </c>
      <c r="C553" s="437" t="s">
        <v>30463</v>
      </c>
      <c r="D553" s="438">
        <v>8.59</v>
      </c>
    </row>
    <row r="554" spans="1:4">
      <c r="A554" s="435">
        <v>30612</v>
      </c>
      <c r="B554" s="436" t="s">
        <v>30982</v>
      </c>
      <c r="C554" s="437" t="s">
        <v>30463</v>
      </c>
      <c r="D554" s="438">
        <v>10.45</v>
      </c>
    </row>
    <row r="555" spans="1:4">
      <c r="A555" s="435">
        <v>30613</v>
      </c>
      <c r="B555" s="436" t="s">
        <v>30983</v>
      </c>
      <c r="C555" s="437" t="s">
        <v>509</v>
      </c>
      <c r="D555" s="438">
        <v>125.69</v>
      </c>
    </row>
    <row r="556" spans="1:4">
      <c r="A556" s="435">
        <v>30615</v>
      </c>
      <c r="B556" s="436" t="s">
        <v>30984</v>
      </c>
      <c r="C556" s="437" t="s">
        <v>30463</v>
      </c>
      <c r="D556" s="438">
        <v>8.81</v>
      </c>
    </row>
    <row r="557" spans="1:4">
      <c r="A557" s="435">
        <v>30616</v>
      </c>
      <c r="B557" s="436" t="s">
        <v>30985</v>
      </c>
      <c r="C557" s="437" t="s">
        <v>30463</v>
      </c>
      <c r="D557" s="438">
        <v>9.0500000000000007</v>
      </c>
    </row>
    <row r="558" spans="1:4">
      <c r="A558" s="435">
        <v>30617</v>
      </c>
      <c r="B558" s="436" t="s">
        <v>30986</v>
      </c>
      <c r="C558" s="437" t="s">
        <v>30463</v>
      </c>
      <c r="D558" s="438">
        <v>8.83</v>
      </c>
    </row>
    <row r="559" spans="1:4">
      <c r="A559" s="435">
        <v>30640</v>
      </c>
      <c r="B559" s="436" t="s">
        <v>30987</v>
      </c>
      <c r="C559" s="437" t="s">
        <v>207</v>
      </c>
      <c r="D559" s="438">
        <v>9.35</v>
      </c>
    </row>
    <row r="560" spans="1:4" ht="25">
      <c r="A560" s="435">
        <v>30650</v>
      </c>
      <c r="B560" s="436" t="s">
        <v>30988</v>
      </c>
      <c r="C560" s="437" t="s">
        <v>396</v>
      </c>
      <c r="D560" s="438">
        <v>262.37</v>
      </c>
    </row>
    <row r="561" spans="1:4">
      <c r="A561" s="435">
        <v>30670</v>
      </c>
      <c r="B561" s="436" t="s">
        <v>30989</v>
      </c>
      <c r="C561" s="437" t="s">
        <v>30445</v>
      </c>
      <c r="D561" s="438">
        <v>1454.29</v>
      </c>
    </row>
    <row r="562" spans="1:4">
      <c r="A562" s="435">
        <v>30680</v>
      </c>
      <c r="B562" s="436" t="s">
        <v>30990</v>
      </c>
      <c r="C562" s="437" t="s">
        <v>30463</v>
      </c>
      <c r="D562" s="438">
        <v>9.5</v>
      </c>
    </row>
    <row r="563" spans="1:4">
      <c r="A563" s="435">
        <v>30681</v>
      </c>
      <c r="B563" s="436" t="s">
        <v>30991</v>
      </c>
      <c r="C563" s="437" t="s">
        <v>30463</v>
      </c>
      <c r="D563" s="438">
        <v>9.1999999999999993</v>
      </c>
    </row>
    <row r="564" spans="1:4">
      <c r="A564" s="435">
        <v>30687</v>
      </c>
      <c r="B564" s="436" t="s">
        <v>30992</v>
      </c>
      <c r="C564" s="437" t="s">
        <v>30463</v>
      </c>
      <c r="D564" s="438">
        <v>20.440000000000001</v>
      </c>
    </row>
    <row r="565" spans="1:4" ht="25">
      <c r="A565" s="435">
        <v>30688</v>
      </c>
      <c r="B565" s="436" t="s">
        <v>30993</v>
      </c>
      <c r="C565" s="437" t="s">
        <v>30463</v>
      </c>
      <c r="D565" s="438">
        <v>28.15</v>
      </c>
    </row>
    <row r="566" spans="1:4" ht="25">
      <c r="A566" s="435">
        <v>30689</v>
      </c>
      <c r="B566" s="436" t="s">
        <v>30994</v>
      </c>
      <c r="C566" s="437" t="s">
        <v>30463</v>
      </c>
      <c r="D566" s="438">
        <v>28.16</v>
      </c>
    </row>
    <row r="567" spans="1:4">
      <c r="A567" s="435">
        <v>30690</v>
      </c>
      <c r="B567" s="436" t="s">
        <v>30995</v>
      </c>
      <c r="C567" s="437" t="s">
        <v>30445</v>
      </c>
      <c r="D567" s="438">
        <v>1385.91</v>
      </c>
    </row>
    <row r="568" spans="1:4">
      <c r="A568" s="431">
        <v>30700</v>
      </c>
      <c r="B568" s="432" t="s">
        <v>30996</v>
      </c>
      <c r="C568" s="433"/>
      <c r="D568" s="434" t="s">
        <v>30434</v>
      </c>
    </row>
    <row r="569" spans="1:4" ht="25">
      <c r="A569" s="435">
        <v>30701</v>
      </c>
      <c r="B569" s="436" t="s">
        <v>30997</v>
      </c>
      <c r="C569" s="437" t="s">
        <v>509</v>
      </c>
      <c r="D569" s="438">
        <v>191.78</v>
      </c>
    </row>
    <row r="570" spans="1:4" ht="25">
      <c r="A570" s="435">
        <v>30702</v>
      </c>
      <c r="B570" s="436" t="s">
        <v>30998</v>
      </c>
      <c r="C570" s="437" t="s">
        <v>509</v>
      </c>
      <c r="D570" s="438">
        <v>254.74</v>
      </c>
    </row>
    <row r="571" spans="1:4" ht="25">
      <c r="A571" s="435">
        <v>30740</v>
      </c>
      <c r="B571" s="436" t="s">
        <v>30999</v>
      </c>
      <c r="C571" s="437" t="s">
        <v>509</v>
      </c>
      <c r="D571" s="438">
        <v>819.07</v>
      </c>
    </row>
    <row r="572" spans="1:4" ht="25">
      <c r="A572" s="435">
        <v>30741</v>
      </c>
      <c r="B572" s="436" t="s">
        <v>31000</v>
      </c>
      <c r="C572" s="437" t="s">
        <v>509</v>
      </c>
      <c r="D572" s="438">
        <v>1366.3</v>
      </c>
    </row>
    <row r="573" spans="1:4" ht="25">
      <c r="A573" s="435">
        <v>30742</v>
      </c>
      <c r="B573" s="436" t="s">
        <v>31001</v>
      </c>
      <c r="C573" s="437" t="s">
        <v>509</v>
      </c>
      <c r="D573" s="438">
        <v>794.25</v>
      </c>
    </row>
    <row r="574" spans="1:4" ht="25">
      <c r="A574" s="435">
        <v>30743</v>
      </c>
      <c r="B574" s="436" t="s">
        <v>31002</v>
      </c>
      <c r="C574" s="437" t="s">
        <v>509</v>
      </c>
      <c r="D574" s="438">
        <v>1232.71</v>
      </c>
    </row>
    <row r="575" spans="1:4" ht="25">
      <c r="A575" s="435">
        <v>30744</v>
      </c>
      <c r="B575" s="436" t="s">
        <v>31003</v>
      </c>
      <c r="C575" s="437" t="s">
        <v>509</v>
      </c>
      <c r="D575" s="438">
        <v>928.78</v>
      </c>
    </row>
    <row r="576" spans="1:4" ht="25">
      <c r="A576" s="435">
        <v>30745</v>
      </c>
      <c r="B576" s="436" t="s">
        <v>31004</v>
      </c>
      <c r="C576" s="437" t="s">
        <v>509</v>
      </c>
      <c r="D576" s="438">
        <v>1546.67</v>
      </c>
    </row>
    <row r="577" spans="1:4">
      <c r="A577" s="435">
        <v>30746</v>
      </c>
      <c r="B577" s="436" t="s">
        <v>31005</v>
      </c>
      <c r="C577" s="437" t="s">
        <v>509</v>
      </c>
      <c r="D577" s="438">
        <v>432.66</v>
      </c>
    </row>
    <row r="578" spans="1:4">
      <c r="A578" s="435">
        <v>30747</v>
      </c>
      <c r="B578" s="436" t="s">
        <v>31006</v>
      </c>
      <c r="C578" s="437" t="s">
        <v>509</v>
      </c>
      <c r="D578" s="438">
        <v>398.14</v>
      </c>
    </row>
    <row r="579" spans="1:4">
      <c r="A579" s="435">
        <v>30750</v>
      </c>
      <c r="B579" s="436" t="s">
        <v>31007</v>
      </c>
      <c r="C579" s="437" t="s">
        <v>18452</v>
      </c>
      <c r="D579" s="438">
        <v>1077.1300000000001</v>
      </c>
    </row>
    <row r="580" spans="1:4">
      <c r="A580" s="431">
        <v>31000</v>
      </c>
      <c r="B580" s="432" t="s">
        <v>31008</v>
      </c>
      <c r="C580" s="433"/>
      <c r="D580" s="434" t="s">
        <v>30434</v>
      </c>
    </row>
    <row r="581" spans="1:4">
      <c r="A581" s="435">
        <v>31006</v>
      </c>
      <c r="B581" s="436" t="s">
        <v>31009</v>
      </c>
      <c r="C581" s="437" t="s">
        <v>30445</v>
      </c>
      <c r="D581" s="438">
        <v>31.08</v>
      </c>
    </row>
    <row r="582" spans="1:4">
      <c r="A582" s="435">
        <v>31008</v>
      </c>
      <c r="B582" s="436" t="s">
        <v>31010</v>
      </c>
      <c r="C582" s="437" t="s">
        <v>30445</v>
      </c>
      <c r="D582" s="438">
        <v>26.48</v>
      </c>
    </row>
    <row r="583" spans="1:4">
      <c r="A583" s="435">
        <v>31014</v>
      </c>
      <c r="B583" s="436" t="s">
        <v>31011</v>
      </c>
      <c r="C583" s="437" t="s">
        <v>30445</v>
      </c>
      <c r="D583" s="438">
        <v>8.32</v>
      </c>
    </row>
    <row r="584" spans="1:4">
      <c r="A584" s="435">
        <v>31018</v>
      </c>
      <c r="B584" s="436" t="s">
        <v>31012</v>
      </c>
      <c r="C584" s="437" t="s">
        <v>31013</v>
      </c>
      <c r="D584" s="438">
        <v>127.99</v>
      </c>
    </row>
    <row r="585" spans="1:4" ht="25">
      <c r="A585" s="435">
        <v>31020</v>
      </c>
      <c r="B585" s="436" t="s">
        <v>31014</v>
      </c>
      <c r="C585" s="437" t="s">
        <v>30445</v>
      </c>
      <c r="D585" s="438">
        <v>122.86</v>
      </c>
    </row>
    <row r="586" spans="1:4">
      <c r="A586" s="435">
        <v>31022</v>
      </c>
      <c r="B586" s="436" t="s">
        <v>31015</v>
      </c>
      <c r="C586" s="437" t="s">
        <v>30445</v>
      </c>
      <c r="D586" s="438">
        <v>285.12</v>
      </c>
    </row>
    <row r="587" spans="1:4">
      <c r="A587" s="435">
        <v>31024</v>
      </c>
      <c r="B587" s="436" t="s">
        <v>31016</v>
      </c>
      <c r="C587" s="437" t="s">
        <v>30445</v>
      </c>
      <c r="D587" s="438">
        <v>351.91</v>
      </c>
    </row>
    <row r="588" spans="1:4" ht="25">
      <c r="A588" s="435">
        <v>31028</v>
      </c>
      <c r="B588" s="436" t="s">
        <v>31017</v>
      </c>
      <c r="C588" s="437" t="s">
        <v>396</v>
      </c>
      <c r="D588" s="438">
        <v>301.33</v>
      </c>
    </row>
    <row r="589" spans="1:4">
      <c r="A589" s="435">
        <v>31032</v>
      </c>
      <c r="B589" s="436" t="s">
        <v>31018</v>
      </c>
      <c r="C589" s="437" t="s">
        <v>30445</v>
      </c>
      <c r="D589" s="438">
        <v>342.52</v>
      </c>
    </row>
    <row r="590" spans="1:4" ht="25">
      <c r="A590" s="435">
        <v>31038</v>
      </c>
      <c r="B590" s="436" t="s">
        <v>31019</v>
      </c>
      <c r="C590" s="437" t="s">
        <v>30445</v>
      </c>
      <c r="D590" s="438">
        <v>182.45</v>
      </c>
    </row>
    <row r="591" spans="1:4">
      <c r="A591" s="435">
        <v>31042</v>
      </c>
      <c r="B591" s="436" t="s">
        <v>31020</v>
      </c>
      <c r="C591" s="437" t="s">
        <v>30445</v>
      </c>
      <c r="D591" s="438">
        <v>197.53</v>
      </c>
    </row>
    <row r="592" spans="1:4">
      <c r="A592" s="435">
        <v>31044</v>
      </c>
      <c r="B592" s="436" t="s">
        <v>31021</v>
      </c>
      <c r="C592" s="437" t="s">
        <v>30445</v>
      </c>
      <c r="D592" s="438">
        <v>271.86</v>
      </c>
    </row>
    <row r="593" spans="1:4">
      <c r="A593" s="435">
        <v>31045</v>
      </c>
      <c r="B593" s="436" t="s">
        <v>31022</v>
      </c>
      <c r="C593" s="437" t="s">
        <v>30445</v>
      </c>
      <c r="D593" s="438">
        <v>19.670000000000002</v>
      </c>
    </row>
    <row r="594" spans="1:4">
      <c r="A594" s="435">
        <v>31048</v>
      </c>
      <c r="B594" s="436" t="s">
        <v>31023</v>
      </c>
      <c r="C594" s="437" t="s">
        <v>31013</v>
      </c>
      <c r="D594" s="438">
        <v>233.52</v>
      </c>
    </row>
    <row r="595" spans="1:4">
      <c r="A595" s="435">
        <v>31050</v>
      </c>
      <c r="B595" s="436" t="s">
        <v>31024</v>
      </c>
      <c r="C595" s="437" t="s">
        <v>30445</v>
      </c>
      <c r="D595" s="438">
        <v>266.22000000000003</v>
      </c>
    </row>
    <row r="596" spans="1:4">
      <c r="A596" s="435">
        <v>31052</v>
      </c>
      <c r="B596" s="436" t="s">
        <v>31025</v>
      </c>
      <c r="C596" s="437" t="s">
        <v>30445</v>
      </c>
      <c r="D596" s="438">
        <v>334.68</v>
      </c>
    </row>
    <row r="597" spans="1:4">
      <c r="A597" s="435">
        <v>31054</v>
      </c>
      <c r="B597" s="436" t="s">
        <v>31026</v>
      </c>
      <c r="C597" s="437" t="s">
        <v>30445</v>
      </c>
      <c r="D597" s="438">
        <v>558.91</v>
      </c>
    </row>
    <row r="598" spans="1:4">
      <c r="A598" s="435">
        <v>31056</v>
      </c>
      <c r="B598" s="436" t="s">
        <v>31027</v>
      </c>
      <c r="C598" s="437" t="s">
        <v>30445</v>
      </c>
      <c r="D598" s="438">
        <v>3.67</v>
      </c>
    </row>
    <row r="599" spans="1:4">
      <c r="A599" s="435">
        <v>31058</v>
      </c>
      <c r="B599" s="436" t="s">
        <v>31028</v>
      </c>
      <c r="C599" s="437" t="s">
        <v>30445</v>
      </c>
      <c r="D599" s="438">
        <v>8.9499999999999993</v>
      </c>
    </row>
    <row r="600" spans="1:4">
      <c r="A600" s="435">
        <v>31062</v>
      </c>
      <c r="B600" s="436" t="s">
        <v>31029</v>
      </c>
      <c r="C600" s="437" t="s">
        <v>30445</v>
      </c>
      <c r="D600" s="438">
        <v>16.309999999999999</v>
      </c>
    </row>
    <row r="601" spans="1:4">
      <c r="A601" s="435">
        <v>31066</v>
      </c>
      <c r="B601" s="436" t="s">
        <v>31030</v>
      </c>
      <c r="C601" s="437" t="s">
        <v>31013</v>
      </c>
      <c r="D601" s="438">
        <v>22.29</v>
      </c>
    </row>
    <row r="602" spans="1:4">
      <c r="A602" s="435">
        <v>31068</v>
      </c>
      <c r="B602" s="436" t="s">
        <v>31031</v>
      </c>
      <c r="C602" s="437" t="s">
        <v>30445</v>
      </c>
      <c r="D602" s="438">
        <v>162.54</v>
      </c>
    </row>
    <row r="603" spans="1:4">
      <c r="A603" s="435">
        <v>31076</v>
      </c>
      <c r="B603" s="436" t="s">
        <v>31032</v>
      </c>
      <c r="C603" s="437" t="s">
        <v>30445</v>
      </c>
      <c r="D603" s="438">
        <v>15.13</v>
      </c>
    </row>
    <row r="604" spans="1:4">
      <c r="A604" s="435">
        <v>31078</v>
      </c>
      <c r="B604" s="436" t="s">
        <v>31033</v>
      </c>
      <c r="C604" s="437" t="s">
        <v>165</v>
      </c>
      <c r="D604" s="438">
        <v>5.0599999999999996</v>
      </c>
    </row>
    <row r="605" spans="1:4">
      <c r="A605" s="435">
        <v>31090</v>
      </c>
      <c r="B605" s="436" t="s">
        <v>31034</v>
      </c>
      <c r="C605" s="437" t="s">
        <v>165</v>
      </c>
      <c r="D605" s="438">
        <v>68.87</v>
      </c>
    </row>
    <row r="606" spans="1:4" ht="25">
      <c r="A606" s="435">
        <v>31091</v>
      </c>
      <c r="B606" s="436" t="s">
        <v>31035</v>
      </c>
      <c r="C606" s="437" t="s">
        <v>30445</v>
      </c>
      <c r="D606" s="438">
        <v>47.29</v>
      </c>
    </row>
    <row r="607" spans="1:4">
      <c r="A607" s="435">
        <v>31092</v>
      </c>
      <c r="B607" s="436" t="s">
        <v>31036</v>
      </c>
      <c r="C607" s="437" t="s">
        <v>30445</v>
      </c>
      <c r="D607" s="438">
        <v>8.82</v>
      </c>
    </row>
    <row r="608" spans="1:4">
      <c r="A608" s="435">
        <v>31094</v>
      </c>
      <c r="B608" s="436" t="s">
        <v>31037</v>
      </c>
      <c r="C608" s="437" t="s">
        <v>165</v>
      </c>
      <c r="D608" s="438">
        <v>5.91</v>
      </c>
    </row>
    <row r="609" spans="1:4">
      <c r="A609" s="435">
        <v>31095</v>
      </c>
      <c r="B609" s="436" t="s">
        <v>31038</v>
      </c>
      <c r="C609" s="437" t="s">
        <v>30445</v>
      </c>
      <c r="D609" s="438">
        <v>1143.54</v>
      </c>
    </row>
    <row r="610" spans="1:4">
      <c r="A610" s="435">
        <v>31097</v>
      </c>
      <c r="B610" s="436" t="s">
        <v>31039</v>
      </c>
      <c r="C610" s="437" t="s">
        <v>30445</v>
      </c>
      <c r="D610" s="438">
        <v>59.46</v>
      </c>
    </row>
    <row r="611" spans="1:4">
      <c r="A611" s="431">
        <v>31100</v>
      </c>
      <c r="B611" s="432" t="s">
        <v>30002</v>
      </c>
      <c r="C611" s="433"/>
      <c r="D611" s="434" t="s">
        <v>30434</v>
      </c>
    </row>
    <row r="612" spans="1:4">
      <c r="A612" s="435">
        <v>31166</v>
      </c>
      <c r="B612" s="436" t="s">
        <v>31040</v>
      </c>
      <c r="C612" s="437" t="s">
        <v>165</v>
      </c>
      <c r="D612" s="438">
        <v>156.1</v>
      </c>
    </row>
    <row r="613" spans="1:4">
      <c r="A613" s="435">
        <v>31167</v>
      </c>
      <c r="B613" s="436" t="s">
        <v>31041</v>
      </c>
      <c r="C613" s="437" t="s">
        <v>165</v>
      </c>
      <c r="D613" s="438">
        <v>392.26</v>
      </c>
    </row>
    <row r="614" spans="1:4">
      <c r="A614" s="435">
        <v>31168</v>
      </c>
      <c r="B614" s="436" t="s">
        <v>31042</v>
      </c>
      <c r="C614" s="437" t="s">
        <v>165</v>
      </c>
      <c r="D614" s="438">
        <v>130.08000000000001</v>
      </c>
    </row>
    <row r="615" spans="1:4">
      <c r="A615" s="431">
        <v>31500</v>
      </c>
      <c r="B615" s="432" t="s">
        <v>31043</v>
      </c>
      <c r="C615" s="433"/>
      <c r="D615" s="434" t="s">
        <v>30434</v>
      </c>
    </row>
    <row r="616" spans="1:4">
      <c r="A616" s="435">
        <v>31505</v>
      </c>
      <c r="B616" s="436" t="s">
        <v>31044</v>
      </c>
      <c r="C616" s="437" t="s">
        <v>509</v>
      </c>
      <c r="D616" s="438">
        <v>47.88</v>
      </c>
    </row>
    <row r="617" spans="1:4">
      <c r="A617" s="435">
        <v>31530</v>
      </c>
      <c r="B617" s="436" t="s">
        <v>31045</v>
      </c>
      <c r="C617" s="437" t="s">
        <v>509</v>
      </c>
      <c r="D617" s="438">
        <v>115.2</v>
      </c>
    </row>
    <row r="618" spans="1:4">
      <c r="A618" s="435">
        <v>31540</v>
      </c>
      <c r="B618" s="436" t="s">
        <v>31046</v>
      </c>
      <c r="C618" s="437" t="s">
        <v>509</v>
      </c>
      <c r="D618" s="438">
        <v>57.6</v>
      </c>
    </row>
    <row r="619" spans="1:4">
      <c r="A619" s="435">
        <v>31550</v>
      </c>
      <c r="B619" s="436" t="s">
        <v>31047</v>
      </c>
      <c r="C619" s="437" t="s">
        <v>509</v>
      </c>
      <c r="D619" s="438">
        <v>76.489999999999995</v>
      </c>
    </row>
    <row r="620" spans="1:4">
      <c r="A620" s="431">
        <v>32000</v>
      </c>
      <c r="B620" s="432" t="s">
        <v>31048</v>
      </c>
      <c r="C620" s="433"/>
      <c r="D620" s="434" t="s">
        <v>30434</v>
      </c>
    </row>
    <row r="621" spans="1:4">
      <c r="A621" s="431">
        <v>32500</v>
      </c>
      <c r="B621" s="432" t="s">
        <v>31049</v>
      </c>
      <c r="C621" s="433"/>
      <c r="D621" s="434" t="s">
        <v>30434</v>
      </c>
    </row>
    <row r="622" spans="1:4" ht="25">
      <c r="A622" s="435">
        <v>32520</v>
      </c>
      <c r="B622" s="436" t="s">
        <v>31050</v>
      </c>
      <c r="C622" s="437" t="s">
        <v>509</v>
      </c>
      <c r="D622" s="438">
        <v>102.88</v>
      </c>
    </row>
    <row r="623" spans="1:4" ht="25">
      <c r="A623" s="435">
        <v>32530</v>
      </c>
      <c r="B623" s="436" t="s">
        <v>31051</v>
      </c>
      <c r="C623" s="437" t="s">
        <v>509</v>
      </c>
      <c r="D623" s="438">
        <v>96.1</v>
      </c>
    </row>
    <row r="624" spans="1:4" ht="25">
      <c r="A624" s="435">
        <v>32540</v>
      </c>
      <c r="B624" s="436" t="s">
        <v>31052</v>
      </c>
      <c r="C624" s="437" t="s">
        <v>509</v>
      </c>
      <c r="D624" s="438">
        <v>126.35</v>
      </c>
    </row>
    <row r="625" spans="1:4">
      <c r="A625" s="431">
        <v>33000</v>
      </c>
      <c r="B625" s="432" t="s">
        <v>31053</v>
      </c>
      <c r="C625" s="433"/>
      <c r="D625" s="434" t="s">
        <v>30434</v>
      </c>
    </row>
    <row r="626" spans="1:4">
      <c r="A626" s="435">
        <v>33005</v>
      </c>
      <c r="B626" s="436" t="s">
        <v>31054</v>
      </c>
      <c r="C626" s="437" t="s">
        <v>165</v>
      </c>
      <c r="D626" s="438">
        <v>6.54</v>
      </c>
    </row>
    <row r="627" spans="1:4">
      <c r="A627" s="435">
        <v>33020</v>
      </c>
      <c r="B627" s="436" t="s">
        <v>31055</v>
      </c>
      <c r="C627" s="437" t="s">
        <v>165</v>
      </c>
      <c r="D627" s="438">
        <v>7.65</v>
      </c>
    </row>
    <row r="628" spans="1:4">
      <c r="A628" s="435">
        <v>33053</v>
      </c>
      <c r="B628" s="436" t="s">
        <v>31056</v>
      </c>
      <c r="C628" s="437" t="s">
        <v>165</v>
      </c>
      <c r="D628" s="438">
        <v>243.47</v>
      </c>
    </row>
    <row r="629" spans="1:4">
      <c r="A629" s="435">
        <v>33055</v>
      </c>
      <c r="B629" s="436" t="s">
        <v>31057</v>
      </c>
      <c r="C629" s="437" t="s">
        <v>165</v>
      </c>
      <c r="D629" s="438">
        <v>97.05</v>
      </c>
    </row>
    <row r="630" spans="1:4">
      <c r="A630" s="435">
        <v>33085</v>
      </c>
      <c r="B630" s="436" t="s">
        <v>31058</v>
      </c>
      <c r="C630" s="437" t="s">
        <v>165</v>
      </c>
      <c r="D630" s="438">
        <v>15.43</v>
      </c>
    </row>
    <row r="631" spans="1:4">
      <c r="A631" s="435">
        <v>33090</v>
      </c>
      <c r="B631" s="436" t="s">
        <v>31059</v>
      </c>
      <c r="C631" s="437" t="s">
        <v>165</v>
      </c>
      <c r="D631" s="438">
        <v>10.28</v>
      </c>
    </row>
    <row r="632" spans="1:4">
      <c r="A632" s="435">
        <v>33091</v>
      </c>
      <c r="B632" s="436" t="s">
        <v>31060</v>
      </c>
      <c r="C632" s="437" t="s">
        <v>165</v>
      </c>
      <c r="D632" s="438">
        <v>13.32</v>
      </c>
    </row>
    <row r="633" spans="1:4">
      <c r="A633" s="431">
        <v>33500</v>
      </c>
      <c r="B633" s="432" t="s">
        <v>22049</v>
      </c>
      <c r="C633" s="433"/>
      <c r="D633" s="434" t="s">
        <v>30434</v>
      </c>
    </row>
    <row r="634" spans="1:4">
      <c r="A634" s="435">
        <v>33530</v>
      </c>
      <c r="B634" s="436" t="s">
        <v>31061</v>
      </c>
      <c r="C634" s="437" t="s">
        <v>509</v>
      </c>
      <c r="D634" s="438">
        <v>114.92</v>
      </c>
    </row>
    <row r="635" spans="1:4">
      <c r="A635" s="435">
        <v>33531</v>
      </c>
      <c r="B635" s="436" t="s">
        <v>31062</v>
      </c>
      <c r="C635" s="437" t="s">
        <v>509</v>
      </c>
      <c r="D635" s="438">
        <v>135.65</v>
      </c>
    </row>
    <row r="636" spans="1:4">
      <c r="A636" s="435">
        <v>33532</v>
      </c>
      <c r="B636" s="436" t="s">
        <v>31063</v>
      </c>
      <c r="C636" s="437" t="s">
        <v>509</v>
      </c>
      <c r="D636" s="438">
        <v>109.12</v>
      </c>
    </row>
    <row r="637" spans="1:4">
      <c r="A637" s="435">
        <v>33560</v>
      </c>
      <c r="B637" s="436" t="s">
        <v>31064</v>
      </c>
      <c r="C637" s="437" t="s">
        <v>509</v>
      </c>
      <c r="D637" s="438">
        <v>110.43</v>
      </c>
    </row>
    <row r="638" spans="1:4" ht="25">
      <c r="A638" s="435">
        <v>33570</v>
      </c>
      <c r="B638" s="436" t="s">
        <v>31065</v>
      </c>
      <c r="C638" s="437" t="s">
        <v>509</v>
      </c>
      <c r="D638" s="438">
        <v>165.97</v>
      </c>
    </row>
    <row r="639" spans="1:4">
      <c r="A639" s="431">
        <v>34000</v>
      </c>
      <c r="B639" s="432" t="s">
        <v>31066</v>
      </c>
      <c r="C639" s="433"/>
      <c r="D639" s="434" t="s">
        <v>30434</v>
      </c>
    </row>
    <row r="640" spans="1:4">
      <c r="A640" s="435">
        <v>34011</v>
      </c>
      <c r="B640" s="436" t="s">
        <v>31067</v>
      </c>
      <c r="C640" s="437" t="s">
        <v>509</v>
      </c>
      <c r="D640" s="438">
        <v>55.18</v>
      </c>
    </row>
    <row r="641" spans="1:4">
      <c r="A641" s="435">
        <v>34050</v>
      </c>
      <c r="B641" s="436" t="s">
        <v>31068</v>
      </c>
      <c r="C641" s="437" t="s">
        <v>509</v>
      </c>
      <c r="D641" s="438">
        <v>168.96</v>
      </c>
    </row>
    <row r="642" spans="1:4">
      <c r="A642" s="435">
        <v>34057</v>
      </c>
      <c r="B642" s="436" t="s">
        <v>31069</v>
      </c>
      <c r="C642" s="437" t="s">
        <v>153</v>
      </c>
      <c r="D642" s="438">
        <v>22.82</v>
      </c>
    </row>
    <row r="643" spans="1:4">
      <c r="A643" s="435">
        <v>34083</v>
      </c>
      <c r="B643" s="436" t="s">
        <v>31070</v>
      </c>
      <c r="C643" s="437" t="s">
        <v>509</v>
      </c>
      <c r="D643" s="438">
        <v>125.53</v>
      </c>
    </row>
    <row r="644" spans="1:4">
      <c r="A644" s="435">
        <v>34201</v>
      </c>
      <c r="B644" s="436" t="s">
        <v>31071</v>
      </c>
      <c r="C644" s="437" t="s">
        <v>509</v>
      </c>
      <c r="D644" s="438">
        <v>95.9</v>
      </c>
    </row>
    <row r="645" spans="1:4">
      <c r="A645" s="435">
        <v>34203</v>
      </c>
      <c r="B645" s="436" t="s">
        <v>31072</v>
      </c>
      <c r="C645" s="437" t="s">
        <v>509</v>
      </c>
      <c r="D645" s="438">
        <v>161.80000000000001</v>
      </c>
    </row>
    <row r="646" spans="1:4">
      <c r="A646" s="435">
        <v>34204</v>
      </c>
      <c r="B646" s="436" t="s">
        <v>31073</v>
      </c>
      <c r="C646" s="437" t="s">
        <v>509</v>
      </c>
      <c r="D646" s="438">
        <v>370.44</v>
      </c>
    </row>
    <row r="647" spans="1:4">
      <c r="A647" s="435">
        <v>34207</v>
      </c>
      <c r="B647" s="436" t="s">
        <v>31074</v>
      </c>
      <c r="C647" s="437" t="s">
        <v>509</v>
      </c>
      <c r="D647" s="438">
        <v>108.84</v>
      </c>
    </row>
    <row r="648" spans="1:4">
      <c r="A648" s="431">
        <v>34500</v>
      </c>
      <c r="B648" s="432" t="s">
        <v>31075</v>
      </c>
      <c r="C648" s="433"/>
      <c r="D648" s="434" t="s">
        <v>30434</v>
      </c>
    </row>
    <row r="649" spans="1:4">
      <c r="A649" s="435">
        <v>34539</v>
      </c>
      <c r="B649" s="436" t="s">
        <v>31076</v>
      </c>
      <c r="C649" s="437" t="s">
        <v>509</v>
      </c>
      <c r="D649" s="438">
        <v>445.64</v>
      </c>
    </row>
    <row r="650" spans="1:4">
      <c r="A650" s="435">
        <v>34545</v>
      </c>
      <c r="B650" s="436" t="s">
        <v>31077</v>
      </c>
      <c r="C650" s="437" t="s">
        <v>509</v>
      </c>
      <c r="D650" s="438">
        <v>394.5</v>
      </c>
    </row>
    <row r="651" spans="1:4">
      <c r="A651" s="435">
        <v>34550</v>
      </c>
      <c r="B651" s="436" t="s">
        <v>31078</v>
      </c>
      <c r="C651" s="437" t="s">
        <v>509</v>
      </c>
      <c r="D651" s="438">
        <v>515.04</v>
      </c>
    </row>
    <row r="652" spans="1:4">
      <c r="A652" s="431">
        <v>35000</v>
      </c>
      <c r="B652" s="432" t="s">
        <v>31079</v>
      </c>
      <c r="C652" s="433"/>
      <c r="D652" s="434" t="s">
        <v>30434</v>
      </c>
    </row>
    <row r="653" spans="1:4" ht="25">
      <c r="A653" s="435">
        <v>35005</v>
      </c>
      <c r="B653" s="436" t="s">
        <v>31080</v>
      </c>
      <c r="C653" s="437" t="s">
        <v>165</v>
      </c>
      <c r="D653" s="438">
        <v>130.30000000000001</v>
      </c>
    </row>
    <row r="654" spans="1:4">
      <c r="A654" s="435">
        <v>35010</v>
      </c>
      <c r="B654" s="436" t="s">
        <v>31081</v>
      </c>
      <c r="C654" s="437" t="s">
        <v>165</v>
      </c>
      <c r="D654" s="438">
        <v>29.14</v>
      </c>
    </row>
    <row r="655" spans="1:4">
      <c r="A655" s="435">
        <v>35030</v>
      </c>
      <c r="B655" s="436" t="s">
        <v>31082</v>
      </c>
      <c r="C655" s="437" t="s">
        <v>509</v>
      </c>
      <c r="D655" s="438">
        <v>257.86</v>
      </c>
    </row>
    <row r="656" spans="1:4">
      <c r="A656" s="435">
        <v>35035</v>
      </c>
      <c r="B656" s="436" t="s">
        <v>31083</v>
      </c>
      <c r="C656" s="437" t="s">
        <v>509</v>
      </c>
      <c r="D656" s="438">
        <v>231.63</v>
      </c>
    </row>
    <row r="657" spans="1:4">
      <c r="A657" s="435">
        <v>35040</v>
      </c>
      <c r="B657" s="436" t="s">
        <v>31084</v>
      </c>
      <c r="C657" s="437" t="s">
        <v>509</v>
      </c>
      <c r="D657" s="438">
        <v>93.82</v>
      </c>
    </row>
    <row r="658" spans="1:4">
      <c r="A658" s="435">
        <v>35045</v>
      </c>
      <c r="B658" s="436" t="s">
        <v>31085</v>
      </c>
      <c r="C658" s="437" t="s">
        <v>509</v>
      </c>
      <c r="D658" s="438">
        <v>80.75</v>
      </c>
    </row>
    <row r="659" spans="1:4">
      <c r="A659" s="435">
        <v>35055</v>
      </c>
      <c r="B659" s="436" t="s">
        <v>31086</v>
      </c>
      <c r="C659" s="437" t="s">
        <v>509</v>
      </c>
      <c r="D659" s="438">
        <v>89.34</v>
      </c>
    </row>
    <row r="660" spans="1:4">
      <c r="A660" s="435">
        <v>35060</v>
      </c>
      <c r="B660" s="436" t="s">
        <v>31087</v>
      </c>
      <c r="C660" s="437" t="s">
        <v>509</v>
      </c>
      <c r="D660" s="438">
        <v>82.07</v>
      </c>
    </row>
    <row r="661" spans="1:4">
      <c r="A661" s="435">
        <v>35065</v>
      </c>
      <c r="B661" s="436" t="s">
        <v>31088</v>
      </c>
      <c r="C661" s="437" t="s">
        <v>509</v>
      </c>
      <c r="D661" s="438">
        <v>120.8</v>
      </c>
    </row>
    <row r="662" spans="1:4">
      <c r="A662" s="435">
        <v>35072</v>
      </c>
      <c r="B662" s="436" t="s">
        <v>31089</v>
      </c>
      <c r="C662" s="437" t="s">
        <v>509</v>
      </c>
      <c r="D662" s="438">
        <v>470.31</v>
      </c>
    </row>
    <row r="663" spans="1:4">
      <c r="A663" s="435">
        <v>35081</v>
      </c>
      <c r="B663" s="436" t="s">
        <v>31090</v>
      </c>
      <c r="C663" s="437" t="s">
        <v>509</v>
      </c>
      <c r="D663" s="438">
        <v>344.33</v>
      </c>
    </row>
    <row r="664" spans="1:4">
      <c r="A664" s="431">
        <v>35500</v>
      </c>
      <c r="B664" s="432" t="s">
        <v>31091</v>
      </c>
      <c r="C664" s="433"/>
      <c r="D664" s="434" t="s">
        <v>30434</v>
      </c>
    </row>
    <row r="665" spans="1:4">
      <c r="A665" s="435">
        <v>35515</v>
      </c>
      <c r="B665" s="436" t="s">
        <v>31092</v>
      </c>
      <c r="C665" s="437" t="s">
        <v>165</v>
      </c>
      <c r="D665" s="438">
        <v>1.43</v>
      </c>
    </row>
    <row r="666" spans="1:4">
      <c r="A666" s="435">
        <v>35521</v>
      </c>
      <c r="B666" s="436" t="s">
        <v>31093</v>
      </c>
      <c r="C666" s="437" t="s">
        <v>509</v>
      </c>
      <c r="D666" s="438">
        <v>108.37</v>
      </c>
    </row>
    <row r="667" spans="1:4">
      <c r="A667" s="435">
        <v>35522</v>
      </c>
      <c r="B667" s="436" t="s">
        <v>31094</v>
      </c>
      <c r="C667" s="437" t="s">
        <v>509</v>
      </c>
      <c r="D667" s="438">
        <v>194.13</v>
      </c>
    </row>
    <row r="668" spans="1:4">
      <c r="A668" s="435">
        <v>35535</v>
      </c>
      <c r="B668" s="436" t="s">
        <v>31095</v>
      </c>
      <c r="C668" s="437" t="s">
        <v>165</v>
      </c>
      <c r="D668" s="438">
        <v>37.14</v>
      </c>
    </row>
    <row r="669" spans="1:4">
      <c r="A669" s="435">
        <v>35545</v>
      </c>
      <c r="B669" s="436" t="s">
        <v>31096</v>
      </c>
      <c r="C669" s="437" t="s">
        <v>165</v>
      </c>
      <c r="D669" s="438">
        <v>19.89</v>
      </c>
    </row>
    <row r="670" spans="1:4">
      <c r="A670" s="435">
        <v>35555</v>
      </c>
      <c r="B670" s="436" t="s">
        <v>31097</v>
      </c>
      <c r="C670" s="437" t="s">
        <v>165</v>
      </c>
      <c r="D670" s="438">
        <v>14.4</v>
      </c>
    </row>
    <row r="671" spans="1:4">
      <c r="A671" s="435">
        <v>35560</v>
      </c>
      <c r="B671" s="436" t="s">
        <v>31098</v>
      </c>
      <c r="C671" s="437" t="s">
        <v>165</v>
      </c>
      <c r="D671" s="438">
        <v>58.98</v>
      </c>
    </row>
    <row r="672" spans="1:4">
      <c r="A672" s="435">
        <v>35565</v>
      </c>
      <c r="B672" s="436" t="s">
        <v>31099</v>
      </c>
      <c r="C672" s="437" t="s">
        <v>165</v>
      </c>
      <c r="D672" s="438">
        <v>39.159999999999997</v>
      </c>
    </row>
    <row r="673" spans="1:4">
      <c r="A673" s="435">
        <v>35571</v>
      </c>
      <c r="B673" s="436" t="s">
        <v>31100</v>
      </c>
      <c r="C673" s="437" t="s">
        <v>165</v>
      </c>
      <c r="D673" s="438">
        <v>35.159999999999997</v>
      </c>
    </row>
    <row r="674" spans="1:4">
      <c r="A674" s="435">
        <v>35576</v>
      </c>
      <c r="B674" s="436" t="s">
        <v>31101</v>
      </c>
      <c r="C674" s="437" t="s">
        <v>165</v>
      </c>
      <c r="D674" s="438">
        <v>69.930000000000007</v>
      </c>
    </row>
    <row r="675" spans="1:4" ht="25">
      <c r="A675" s="435">
        <v>35596</v>
      </c>
      <c r="B675" s="436" t="s">
        <v>31102</v>
      </c>
      <c r="C675" s="437" t="s">
        <v>165</v>
      </c>
      <c r="D675" s="438">
        <v>20.18</v>
      </c>
    </row>
    <row r="676" spans="1:4">
      <c r="A676" s="435">
        <v>35610</v>
      </c>
      <c r="B676" s="436" t="s">
        <v>31103</v>
      </c>
      <c r="C676" s="437" t="s">
        <v>165</v>
      </c>
      <c r="D676" s="438">
        <v>99.15</v>
      </c>
    </row>
    <row r="677" spans="1:4">
      <c r="A677" s="431">
        <v>36000</v>
      </c>
      <c r="B677" s="432" t="s">
        <v>31104</v>
      </c>
      <c r="C677" s="433"/>
      <c r="D677" s="434" t="s">
        <v>30434</v>
      </c>
    </row>
    <row r="678" spans="1:4">
      <c r="A678" s="435">
        <v>36010</v>
      </c>
      <c r="B678" s="436" t="s">
        <v>31105</v>
      </c>
      <c r="C678" s="437" t="s">
        <v>509</v>
      </c>
      <c r="D678" s="438">
        <v>59.22</v>
      </c>
    </row>
    <row r="679" spans="1:4">
      <c r="A679" s="435">
        <v>36030</v>
      </c>
      <c r="B679" s="436" t="s">
        <v>31106</v>
      </c>
      <c r="C679" s="437" t="s">
        <v>509</v>
      </c>
      <c r="D679" s="438">
        <v>94.64</v>
      </c>
    </row>
    <row r="680" spans="1:4">
      <c r="A680" s="435">
        <v>36053</v>
      </c>
      <c r="B680" s="436" t="s">
        <v>31107</v>
      </c>
      <c r="C680" s="437" t="s">
        <v>509</v>
      </c>
      <c r="D680" s="438">
        <v>132.26</v>
      </c>
    </row>
    <row r="681" spans="1:4">
      <c r="A681" s="435">
        <v>36054</v>
      </c>
      <c r="B681" s="436" t="s">
        <v>31108</v>
      </c>
      <c r="C681" s="437" t="s">
        <v>509</v>
      </c>
      <c r="D681" s="438">
        <v>127.32</v>
      </c>
    </row>
    <row r="682" spans="1:4">
      <c r="A682" s="435">
        <v>36055</v>
      </c>
      <c r="B682" s="436" t="s">
        <v>31109</v>
      </c>
      <c r="C682" s="437" t="s">
        <v>509</v>
      </c>
      <c r="D682" s="438">
        <v>129.79</v>
      </c>
    </row>
    <row r="683" spans="1:4">
      <c r="A683" s="435">
        <v>36060</v>
      </c>
      <c r="B683" s="436" t="s">
        <v>31110</v>
      </c>
      <c r="C683" s="437" t="s">
        <v>30445</v>
      </c>
      <c r="D683" s="438">
        <v>8.86</v>
      </c>
    </row>
    <row r="684" spans="1:4">
      <c r="A684" s="435">
        <v>36061</v>
      </c>
      <c r="B684" s="436" t="s">
        <v>31111</v>
      </c>
      <c r="C684" s="437" t="s">
        <v>31112</v>
      </c>
      <c r="D684" s="438">
        <v>633.48</v>
      </c>
    </row>
    <row r="685" spans="1:4">
      <c r="A685" s="435">
        <v>36062</v>
      </c>
      <c r="B685" s="436" t="s">
        <v>31113</v>
      </c>
      <c r="C685" s="437" t="s">
        <v>30463</v>
      </c>
      <c r="D685" s="438">
        <v>7.54</v>
      </c>
    </row>
    <row r="686" spans="1:4">
      <c r="A686" s="435">
        <v>36063</v>
      </c>
      <c r="B686" s="436" t="s">
        <v>31114</v>
      </c>
      <c r="C686" s="437" t="s">
        <v>30463</v>
      </c>
      <c r="D686" s="438">
        <v>9.69</v>
      </c>
    </row>
    <row r="687" spans="1:4">
      <c r="A687" s="435">
        <v>36064</v>
      </c>
      <c r="B687" s="436" t="s">
        <v>31115</v>
      </c>
      <c r="C687" s="437" t="s">
        <v>30463</v>
      </c>
      <c r="D687" s="438">
        <v>7.11</v>
      </c>
    </row>
    <row r="688" spans="1:4">
      <c r="A688" s="435">
        <v>36065</v>
      </c>
      <c r="B688" s="436" t="s">
        <v>31116</v>
      </c>
      <c r="C688" s="437" t="s">
        <v>30463</v>
      </c>
      <c r="D688" s="438">
        <v>5.61</v>
      </c>
    </row>
    <row r="689" spans="1:4" ht="25">
      <c r="A689" s="435">
        <v>36066</v>
      </c>
      <c r="B689" s="436" t="s">
        <v>31117</v>
      </c>
      <c r="C689" s="437" t="s">
        <v>31112</v>
      </c>
      <c r="D689" s="438">
        <v>680</v>
      </c>
    </row>
    <row r="690" spans="1:4" ht="25">
      <c r="A690" s="435">
        <v>36067</v>
      </c>
      <c r="B690" s="436" t="s">
        <v>31119</v>
      </c>
      <c r="C690" s="437" t="s">
        <v>30463</v>
      </c>
      <c r="D690" s="438">
        <v>11.64</v>
      </c>
    </row>
    <row r="691" spans="1:4">
      <c r="A691" s="435">
        <v>36068</v>
      </c>
      <c r="B691" s="436" t="s">
        <v>31120</v>
      </c>
      <c r="C691" s="437" t="s">
        <v>509</v>
      </c>
      <c r="D691" s="438">
        <v>55.74</v>
      </c>
    </row>
    <row r="692" spans="1:4" ht="25">
      <c r="A692" s="435">
        <v>36077</v>
      </c>
      <c r="B692" s="436" t="s">
        <v>31121</v>
      </c>
      <c r="C692" s="437" t="s">
        <v>31112</v>
      </c>
      <c r="D692" s="438">
        <v>663.98</v>
      </c>
    </row>
    <row r="693" spans="1:4">
      <c r="A693" s="435">
        <v>36078</v>
      </c>
      <c r="B693" s="436" t="s">
        <v>31122</v>
      </c>
      <c r="C693" s="437" t="s">
        <v>30463</v>
      </c>
      <c r="D693" s="438">
        <v>6.83</v>
      </c>
    </row>
    <row r="694" spans="1:4">
      <c r="A694" s="435">
        <v>36079</v>
      </c>
      <c r="B694" s="436" t="s">
        <v>31123</v>
      </c>
      <c r="C694" s="437" t="s">
        <v>30463</v>
      </c>
      <c r="D694" s="438">
        <v>5.57</v>
      </c>
    </row>
    <row r="695" spans="1:4" ht="25">
      <c r="A695" s="435">
        <v>36090</v>
      </c>
      <c r="B695" s="436" t="s">
        <v>31124</v>
      </c>
      <c r="C695" s="437" t="s">
        <v>509</v>
      </c>
      <c r="D695" s="438">
        <v>77.680000000000007</v>
      </c>
    </row>
    <row r="696" spans="1:4" ht="25">
      <c r="A696" s="435">
        <v>36091</v>
      </c>
      <c r="B696" s="436" t="s">
        <v>31125</v>
      </c>
      <c r="C696" s="437" t="s">
        <v>509</v>
      </c>
      <c r="D696" s="438">
        <v>78.36</v>
      </c>
    </row>
    <row r="697" spans="1:4" ht="25">
      <c r="A697" s="435">
        <v>36092</v>
      </c>
      <c r="B697" s="436" t="s">
        <v>31126</v>
      </c>
      <c r="C697" s="437" t="s">
        <v>509</v>
      </c>
      <c r="D697" s="438">
        <v>106.45</v>
      </c>
    </row>
    <row r="698" spans="1:4">
      <c r="A698" s="435">
        <v>36093</v>
      </c>
      <c r="B698" s="436" t="s">
        <v>31127</v>
      </c>
      <c r="C698" s="437" t="s">
        <v>509</v>
      </c>
      <c r="D698" s="438">
        <v>88.29</v>
      </c>
    </row>
    <row r="699" spans="1:4">
      <c r="A699" s="435">
        <v>36094</v>
      </c>
      <c r="B699" s="436" t="s">
        <v>31128</v>
      </c>
      <c r="C699" s="437" t="s">
        <v>509</v>
      </c>
      <c r="D699" s="438">
        <v>112.91</v>
      </c>
    </row>
    <row r="700" spans="1:4" ht="25">
      <c r="A700" s="435">
        <v>36095</v>
      </c>
      <c r="B700" s="436" t="s">
        <v>31129</v>
      </c>
      <c r="C700" s="437" t="s">
        <v>31112</v>
      </c>
      <c r="D700" s="438">
        <v>763.95</v>
      </c>
    </row>
    <row r="701" spans="1:4" ht="25">
      <c r="A701" s="435">
        <v>36096</v>
      </c>
      <c r="B701" s="436" t="s">
        <v>31130</v>
      </c>
      <c r="C701" s="437" t="s">
        <v>31112</v>
      </c>
      <c r="D701" s="438">
        <v>601.15</v>
      </c>
    </row>
    <row r="702" spans="1:4" ht="25">
      <c r="A702" s="435">
        <v>36097</v>
      </c>
      <c r="B702" s="436" t="s">
        <v>31131</v>
      </c>
      <c r="C702" s="437" t="s">
        <v>31112</v>
      </c>
      <c r="D702" s="438">
        <v>536.71</v>
      </c>
    </row>
    <row r="703" spans="1:4" ht="25">
      <c r="A703" s="435">
        <v>36098</v>
      </c>
      <c r="B703" s="436" t="s">
        <v>31132</v>
      </c>
      <c r="C703" s="437" t="s">
        <v>31112</v>
      </c>
      <c r="D703" s="438">
        <v>592.35</v>
      </c>
    </row>
    <row r="704" spans="1:4" ht="25">
      <c r="A704" s="435">
        <v>36099</v>
      </c>
      <c r="B704" s="436" t="s">
        <v>31133</v>
      </c>
      <c r="C704" s="437" t="s">
        <v>31112</v>
      </c>
      <c r="D704" s="438">
        <v>564.55999999999995</v>
      </c>
    </row>
    <row r="705" spans="1:4" ht="37">
      <c r="A705" s="435">
        <v>36100</v>
      </c>
      <c r="B705" s="436" t="s">
        <v>31134</v>
      </c>
      <c r="C705" s="437" t="s">
        <v>31112</v>
      </c>
      <c r="D705" s="438">
        <v>232.76</v>
      </c>
    </row>
    <row r="706" spans="1:4" ht="37">
      <c r="A706" s="435">
        <v>36101</v>
      </c>
      <c r="B706" s="436" t="s">
        <v>31135</v>
      </c>
      <c r="C706" s="437" t="s">
        <v>31112</v>
      </c>
      <c r="D706" s="438">
        <v>287.06</v>
      </c>
    </row>
    <row r="707" spans="1:4">
      <c r="A707" s="435">
        <v>36102</v>
      </c>
      <c r="B707" s="436" t="s">
        <v>31136</v>
      </c>
      <c r="C707" s="437" t="s">
        <v>30463</v>
      </c>
      <c r="D707" s="438">
        <v>26.57</v>
      </c>
    </row>
    <row r="708" spans="1:4">
      <c r="A708" s="435">
        <v>36110</v>
      </c>
      <c r="B708" s="436" t="s">
        <v>31137</v>
      </c>
      <c r="C708" s="437" t="s">
        <v>30463</v>
      </c>
      <c r="D708" s="438">
        <v>4.74</v>
      </c>
    </row>
    <row r="709" spans="1:4">
      <c r="A709" s="435">
        <v>36111</v>
      </c>
      <c r="B709" s="436" t="s">
        <v>31138</v>
      </c>
      <c r="C709" s="437" t="s">
        <v>30463</v>
      </c>
      <c r="D709" s="438">
        <v>4.3600000000000003</v>
      </c>
    </row>
    <row r="710" spans="1:4">
      <c r="A710" s="435">
        <v>36112</v>
      </c>
      <c r="B710" s="436" t="s">
        <v>31139</v>
      </c>
      <c r="C710" s="437" t="s">
        <v>30463</v>
      </c>
      <c r="D710" s="438">
        <v>6.13</v>
      </c>
    </row>
    <row r="711" spans="1:4">
      <c r="A711" s="435">
        <v>36113</v>
      </c>
      <c r="B711" s="436" t="s">
        <v>31140</v>
      </c>
      <c r="C711" s="437" t="s">
        <v>30463</v>
      </c>
      <c r="D711" s="438">
        <v>5.3</v>
      </c>
    </row>
    <row r="712" spans="1:4">
      <c r="A712" s="435">
        <v>36115</v>
      </c>
      <c r="B712" s="436" t="s">
        <v>31141</v>
      </c>
      <c r="C712" s="437" t="s">
        <v>31112</v>
      </c>
      <c r="D712" s="438">
        <v>607.64</v>
      </c>
    </row>
    <row r="713" spans="1:4">
      <c r="A713" s="435">
        <v>36116</v>
      </c>
      <c r="B713" s="436" t="s">
        <v>31142</v>
      </c>
      <c r="C713" s="437" t="s">
        <v>31112</v>
      </c>
      <c r="D713" s="438">
        <v>659.35</v>
      </c>
    </row>
    <row r="714" spans="1:4">
      <c r="A714" s="435">
        <v>36117</v>
      </c>
      <c r="B714" s="436" t="s">
        <v>31143</v>
      </c>
      <c r="C714" s="437" t="s">
        <v>31112</v>
      </c>
      <c r="D714" s="438">
        <v>457.38</v>
      </c>
    </row>
    <row r="715" spans="1:4">
      <c r="A715" s="435">
        <v>36118</v>
      </c>
      <c r="B715" s="436" t="s">
        <v>31144</v>
      </c>
      <c r="C715" s="437" t="s">
        <v>31112</v>
      </c>
      <c r="D715" s="438">
        <v>536.89</v>
      </c>
    </row>
    <row r="716" spans="1:4" ht="25">
      <c r="A716" s="435">
        <v>36119</v>
      </c>
      <c r="B716" s="436" t="s">
        <v>31145</v>
      </c>
      <c r="C716" s="437" t="s">
        <v>31112</v>
      </c>
      <c r="D716" s="438">
        <v>573.86</v>
      </c>
    </row>
    <row r="717" spans="1:4">
      <c r="A717" s="435">
        <v>36120</v>
      </c>
      <c r="B717" s="436" t="s">
        <v>31146</v>
      </c>
      <c r="C717" s="437" t="s">
        <v>30463</v>
      </c>
      <c r="D717" s="438">
        <v>554.74</v>
      </c>
    </row>
    <row r="718" spans="1:4">
      <c r="A718" s="431">
        <v>36200</v>
      </c>
      <c r="B718" s="432" t="s">
        <v>31147</v>
      </c>
      <c r="C718" s="433"/>
      <c r="D718" s="434" t="s">
        <v>30434</v>
      </c>
    </row>
    <row r="719" spans="1:4">
      <c r="A719" s="435">
        <v>36205</v>
      </c>
      <c r="B719" s="436" t="s">
        <v>31148</v>
      </c>
      <c r="C719" s="437" t="s">
        <v>30445</v>
      </c>
      <c r="D719" s="438">
        <v>55.03</v>
      </c>
    </row>
    <row r="720" spans="1:4">
      <c r="A720" s="435">
        <v>36210</v>
      </c>
      <c r="B720" s="436" t="s">
        <v>31149</v>
      </c>
      <c r="C720" s="437" t="s">
        <v>165</v>
      </c>
      <c r="D720" s="438">
        <v>29.5</v>
      </c>
    </row>
    <row r="721" spans="1:4">
      <c r="A721" s="435">
        <v>36215</v>
      </c>
      <c r="B721" s="436" t="s">
        <v>31150</v>
      </c>
      <c r="C721" s="437" t="s">
        <v>165</v>
      </c>
      <c r="D721" s="438">
        <v>31.07</v>
      </c>
    </row>
    <row r="722" spans="1:4">
      <c r="A722" s="435">
        <v>36220</v>
      </c>
      <c r="B722" s="436" t="s">
        <v>31151</v>
      </c>
      <c r="C722" s="437" t="s">
        <v>165</v>
      </c>
      <c r="D722" s="438">
        <v>28.77</v>
      </c>
    </row>
    <row r="723" spans="1:4">
      <c r="A723" s="435">
        <v>36226</v>
      </c>
      <c r="B723" s="436" t="s">
        <v>31152</v>
      </c>
      <c r="C723" s="437" t="s">
        <v>30445</v>
      </c>
      <c r="D723" s="438">
        <v>342.22</v>
      </c>
    </row>
    <row r="724" spans="1:4" ht="25">
      <c r="A724" s="435">
        <v>36235</v>
      </c>
      <c r="B724" s="436" t="s">
        <v>31153</v>
      </c>
      <c r="C724" s="437" t="s">
        <v>30445</v>
      </c>
      <c r="D724" s="438">
        <v>487.1</v>
      </c>
    </row>
    <row r="725" spans="1:4" ht="25">
      <c r="A725" s="435">
        <v>36236</v>
      </c>
      <c r="B725" s="436" t="s">
        <v>31154</v>
      </c>
      <c r="C725" s="437" t="s">
        <v>30445</v>
      </c>
      <c r="D725" s="438">
        <v>556.45000000000005</v>
      </c>
    </row>
    <row r="726" spans="1:4" ht="25">
      <c r="A726" s="435">
        <v>36237</v>
      </c>
      <c r="B726" s="436" t="s">
        <v>31155</v>
      </c>
      <c r="C726" s="437" t="s">
        <v>30445</v>
      </c>
      <c r="D726" s="438">
        <v>1496.36</v>
      </c>
    </row>
    <row r="727" spans="1:4" ht="25">
      <c r="A727" s="435">
        <v>36240</v>
      </c>
      <c r="B727" s="436" t="s">
        <v>31156</v>
      </c>
      <c r="C727" s="437" t="s">
        <v>30445</v>
      </c>
      <c r="D727" s="438">
        <v>479.54</v>
      </c>
    </row>
    <row r="728" spans="1:4" ht="25">
      <c r="A728" s="435">
        <v>36241</v>
      </c>
      <c r="B728" s="436" t="s">
        <v>31157</v>
      </c>
      <c r="C728" s="437" t="s">
        <v>30445</v>
      </c>
      <c r="D728" s="438">
        <v>501</v>
      </c>
    </row>
    <row r="729" spans="1:4">
      <c r="A729" s="435">
        <v>36250</v>
      </c>
      <c r="B729" s="436" t="s">
        <v>31158</v>
      </c>
      <c r="C729" s="437" t="s">
        <v>165</v>
      </c>
      <c r="D729" s="438">
        <v>53.32</v>
      </c>
    </row>
    <row r="730" spans="1:4" ht="25">
      <c r="A730" s="435">
        <v>36280</v>
      </c>
      <c r="B730" s="436" t="s">
        <v>31159</v>
      </c>
      <c r="C730" s="437" t="s">
        <v>30445</v>
      </c>
      <c r="D730" s="438">
        <v>332.44</v>
      </c>
    </row>
    <row r="731" spans="1:4" ht="25">
      <c r="A731" s="435">
        <v>36281</v>
      </c>
      <c r="B731" s="436" t="s">
        <v>31160</v>
      </c>
      <c r="C731" s="437" t="s">
        <v>30445</v>
      </c>
      <c r="D731" s="438">
        <v>431.35</v>
      </c>
    </row>
    <row r="732" spans="1:4" ht="25">
      <c r="A732" s="435">
        <v>36282</v>
      </c>
      <c r="B732" s="436" t="s">
        <v>31161</v>
      </c>
      <c r="C732" s="437" t="s">
        <v>30445</v>
      </c>
      <c r="D732" s="438">
        <v>474.33</v>
      </c>
    </row>
    <row r="733" spans="1:4" ht="25">
      <c r="A733" s="435">
        <v>36283</v>
      </c>
      <c r="B733" s="436" t="s">
        <v>31162</v>
      </c>
      <c r="C733" s="437" t="s">
        <v>30445</v>
      </c>
      <c r="D733" s="438">
        <v>1379.24</v>
      </c>
    </row>
    <row r="734" spans="1:4" ht="25">
      <c r="A734" s="435">
        <v>36285</v>
      </c>
      <c r="B734" s="436" t="s">
        <v>31163</v>
      </c>
      <c r="C734" s="437" t="s">
        <v>30445</v>
      </c>
      <c r="D734" s="438">
        <v>326.33999999999997</v>
      </c>
    </row>
    <row r="735" spans="1:4" ht="25">
      <c r="A735" s="435">
        <v>36286</v>
      </c>
      <c r="B735" s="436" t="s">
        <v>31164</v>
      </c>
      <c r="C735" s="437" t="s">
        <v>30445</v>
      </c>
      <c r="D735" s="438">
        <v>407.47</v>
      </c>
    </row>
    <row r="736" spans="1:4" ht="25">
      <c r="A736" s="435">
        <v>36300</v>
      </c>
      <c r="B736" s="436" t="s">
        <v>31165</v>
      </c>
      <c r="C736" s="437" t="s">
        <v>165</v>
      </c>
      <c r="D736" s="438">
        <v>526.21</v>
      </c>
    </row>
    <row r="737" spans="1:4" ht="25">
      <c r="A737" s="435">
        <v>36301</v>
      </c>
      <c r="B737" s="436" t="s">
        <v>31166</v>
      </c>
      <c r="C737" s="437" t="s">
        <v>165</v>
      </c>
      <c r="D737" s="438">
        <v>958.55</v>
      </c>
    </row>
    <row r="738" spans="1:4" ht="25">
      <c r="A738" s="435">
        <v>36302</v>
      </c>
      <c r="B738" s="436" t="s">
        <v>31167</v>
      </c>
      <c r="C738" s="437" t="s">
        <v>165</v>
      </c>
      <c r="D738" s="438">
        <v>802.58</v>
      </c>
    </row>
    <row r="739" spans="1:4" ht="25">
      <c r="A739" s="435">
        <v>36303</v>
      </c>
      <c r="B739" s="436" t="s">
        <v>31168</v>
      </c>
      <c r="C739" s="437" t="s">
        <v>165</v>
      </c>
      <c r="D739" s="438">
        <v>917.76</v>
      </c>
    </row>
    <row r="740" spans="1:4" ht="25">
      <c r="A740" s="435">
        <v>36304</v>
      </c>
      <c r="B740" s="436" t="s">
        <v>31169</v>
      </c>
      <c r="C740" s="437" t="s">
        <v>165</v>
      </c>
      <c r="D740" s="438">
        <v>1581.06</v>
      </c>
    </row>
    <row r="741" spans="1:4" ht="25">
      <c r="A741" s="435">
        <v>36305</v>
      </c>
      <c r="B741" s="436" t="s">
        <v>31170</v>
      </c>
      <c r="C741" s="437" t="s">
        <v>30445</v>
      </c>
      <c r="D741" s="438">
        <v>6959.52</v>
      </c>
    </row>
    <row r="742" spans="1:4">
      <c r="A742" s="431">
        <v>36500</v>
      </c>
      <c r="B742" s="432" t="s">
        <v>31171</v>
      </c>
      <c r="C742" s="433"/>
      <c r="D742" s="434" t="s">
        <v>30434</v>
      </c>
    </row>
    <row r="743" spans="1:4">
      <c r="A743" s="435">
        <v>36505</v>
      </c>
      <c r="B743" s="436" t="s">
        <v>31172</v>
      </c>
      <c r="C743" s="437" t="s">
        <v>509</v>
      </c>
      <c r="D743" s="438">
        <v>159.30000000000001</v>
      </c>
    </row>
    <row r="744" spans="1:4">
      <c r="A744" s="435">
        <v>36507</v>
      </c>
      <c r="B744" s="436" t="s">
        <v>31173</v>
      </c>
      <c r="C744" s="437" t="s">
        <v>509</v>
      </c>
      <c r="D744" s="438">
        <v>924.07</v>
      </c>
    </row>
    <row r="745" spans="1:4">
      <c r="A745" s="435">
        <v>36525</v>
      </c>
      <c r="B745" s="436" t="s">
        <v>31174</v>
      </c>
      <c r="C745" s="437" t="s">
        <v>509</v>
      </c>
      <c r="D745" s="438">
        <v>167.45</v>
      </c>
    </row>
    <row r="746" spans="1:4">
      <c r="A746" s="435">
        <v>36527</v>
      </c>
      <c r="B746" s="436" t="s">
        <v>31175</v>
      </c>
      <c r="C746" s="437" t="s">
        <v>509</v>
      </c>
      <c r="D746" s="438">
        <v>219.4</v>
      </c>
    </row>
    <row r="747" spans="1:4">
      <c r="A747" s="435">
        <v>36535</v>
      </c>
      <c r="B747" s="436" t="s">
        <v>31176</v>
      </c>
      <c r="C747" s="437" t="s">
        <v>509</v>
      </c>
      <c r="D747" s="438">
        <v>116.09</v>
      </c>
    </row>
    <row r="748" spans="1:4">
      <c r="A748" s="435">
        <v>36540</v>
      </c>
      <c r="B748" s="436" t="s">
        <v>31177</v>
      </c>
      <c r="C748" s="437" t="s">
        <v>509</v>
      </c>
      <c r="D748" s="438">
        <v>171.55</v>
      </c>
    </row>
    <row r="749" spans="1:4">
      <c r="A749" s="435">
        <v>36545</v>
      </c>
      <c r="B749" s="436" t="s">
        <v>31178</v>
      </c>
      <c r="C749" s="437" t="s">
        <v>509</v>
      </c>
      <c r="D749" s="438">
        <v>393.75</v>
      </c>
    </row>
    <row r="750" spans="1:4">
      <c r="A750" s="435">
        <v>36550</v>
      </c>
      <c r="B750" s="436" t="s">
        <v>31179</v>
      </c>
      <c r="C750" s="437" t="s">
        <v>509</v>
      </c>
      <c r="D750" s="438">
        <v>59.13</v>
      </c>
    </row>
    <row r="751" spans="1:4">
      <c r="A751" s="435">
        <v>36551</v>
      </c>
      <c r="B751" s="436" t="s">
        <v>31180</v>
      </c>
      <c r="C751" s="437" t="s">
        <v>509</v>
      </c>
      <c r="D751" s="438">
        <v>101.92</v>
      </c>
    </row>
    <row r="752" spans="1:4">
      <c r="A752" s="435">
        <v>36552</v>
      </c>
      <c r="B752" s="436" t="s">
        <v>31181</v>
      </c>
      <c r="C752" s="437" t="s">
        <v>509</v>
      </c>
      <c r="D752" s="438">
        <v>123.01</v>
      </c>
    </row>
    <row r="753" spans="1:4">
      <c r="A753" s="435">
        <v>36553</v>
      </c>
      <c r="B753" s="436" t="s">
        <v>31182</v>
      </c>
      <c r="C753" s="437" t="s">
        <v>509</v>
      </c>
      <c r="D753" s="438">
        <v>129.07</v>
      </c>
    </row>
    <row r="754" spans="1:4" ht="25">
      <c r="A754" s="435">
        <v>36580</v>
      </c>
      <c r="B754" s="436" t="s">
        <v>31183</v>
      </c>
      <c r="C754" s="437" t="s">
        <v>509</v>
      </c>
      <c r="D754" s="438">
        <v>232.49</v>
      </c>
    </row>
    <row r="755" spans="1:4">
      <c r="A755" s="431">
        <v>37000</v>
      </c>
      <c r="B755" s="432" t="s">
        <v>31184</v>
      </c>
      <c r="C755" s="433"/>
      <c r="D755" s="434" t="s">
        <v>30434</v>
      </c>
    </row>
    <row r="756" spans="1:4">
      <c r="A756" s="435">
        <v>37005</v>
      </c>
      <c r="B756" s="436" t="s">
        <v>31185</v>
      </c>
      <c r="C756" s="437" t="s">
        <v>153</v>
      </c>
      <c r="D756" s="438">
        <v>40.04</v>
      </c>
    </row>
    <row r="757" spans="1:4">
      <c r="A757" s="435">
        <v>37015</v>
      </c>
      <c r="B757" s="436" t="s">
        <v>31186</v>
      </c>
      <c r="C757" s="437" t="s">
        <v>153</v>
      </c>
      <c r="D757" s="438">
        <v>63.79</v>
      </c>
    </row>
    <row r="758" spans="1:4">
      <c r="A758" s="435">
        <v>37020</v>
      </c>
      <c r="B758" s="436" t="s">
        <v>31187</v>
      </c>
      <c r="C758" s="437" t="s">
        <v>153</v>
      </c>
      <c r="D758" s="438">
        <v>23.57</v>
      </c>
    </row>
    <row r="759" spans="1:4">
      <c r="A759" s="435">
        <v>37025</v>
      </c>
      <c r="B759" s="436" t="s">
        <v>31188</v>
      </c>
      <c r="C759" s="437" t="s">
        <v>153</v>
      </c>
      <c r="D759" s="438">
        <v>20.87</v>
      </c>
    </row>
    <row r="760" spans="1:4">
      <c r="A760" s="435">
        <v>37030</v>
      </c>
      <c r="B760" s="436" t="s">
        <v>31189</v>
      </c>
      <c r="C760" s="437" t="s">
        <v>153</v>
      </c>
      <c r="D760" s="438">
        <v>124.39</v>
      </c>
    </row>
    <row r="761" spans="1:4">
      <c r="A761" s="435">
        <v>37040</v>
      </c>
      <c r="B761" s="436" t="s">
        <v>31190</v>
      </c>
      <c r="C761" s="437" t="s">
        <v>153</v>
      </c>
      <c r="D761" s="438">
        <v>25.79</v>
      </c>
    </row>
    <row r="762" spans="1:4">
      <c r="A762" s="435">
        <v>37041</v>
      </c>
      <c r="B762" s="436" t="s">
        <v>31191</v>
      </c>
      <c r="C762" s="437" t="s">
        <v>153</v>
      </c>
      <c r="D762" s="438">
        <v>19.28</v>
      </c>
    </row>
    <row r="763" spans="1:4">
      <c r="A763" s="435">
        <v>37045</v>
      </c>
      <c r="B763" s="436" t="s">
        <v>31192</v>
      </c>
      <c r="C763" s="437" t="s">
        <v>153</v>
      </c>
      <c r="D763" s="438">
        <v>44.33</v>
      </c>
    </row>
    <row r="764" spans="1:4" ht="25">
      <c r="A764" s="435">
        <v>37055</v>
      </c>
      <c r="B764" s="436" t="s">
        <v>31193</v>
      </c>
      <c r="C764" s="437" t="s">
        <v>30463</v>
      </c>
      <c r="D764" s="438">
        <v>2.82</v>
      </c>
    </row>
    <row r="765" spans="1:4">
      <c r="A765" s="435">
        <v>37065</v>
      </c>
      <c r="B765" s="436" t="s">
        <v>31194</v>
      </c>
      <c r="C765" s="437" t="s">
        <v>153</v>
      </c>
      <c r="D765" s="438">
        <v>232.01</v>
      </c>
    </row>
    <row r="766" spans="1:4">
      <c r="A766" s="431">
        <v>37500</v>
      </c>
      <c r="B766" s="432" t="s">
        <v>31195</v>
      </c>
      <c r="C766" s="433"/>
      <c r="D766" s="434" t="s">
        <v>30434</v>
      </c>
    </row>
    <row r="767" spans="1:4" ht="25">
      <c r="A767" s="435">
        <v>37502</v>
      </c>
      <c r="B767" s="436" t="s">
        <v>31196</v>
      </c>
      <c r="C767" s="437" t="s">
        <v>30463</v>
      </c>
      <c r="D767" s="438">
        <v>4.4400000000000004</v>
      </c>
    </row>
    <row r="768" spans="1:4">
      <c r="A768" s="435">
        <v>37503</v>
      </c>
      <c r="B768" s="436" t="s">
        <v>31197</v>
      </c>
      <c r="C768" s="437" t="s">
        <v>509</v>
      </c>
      <c r="D768" s="438">
        <v>7.87</v>
      </c>
    </row>
    <row r="769" spans="1:4">
      <c r="A769" s="435">
        <v>37504</v>
      </c>
      <c r="B769" s="436" t="s">
        <v>31198</v>
      </c>
      <c r="C769" s="437" t="s">
        <v>509</v>
      </c>
      <c r="D769" s="438">
        <v>128.91999999999999</v>
      </c>
    </row>
    <row r="770" spans="1:4">
      <c r="A770" s="435">
        <v>37505</v>
      </c>
      <c r="B770" s="436" t="s">
        <v>31199</v>
      </c>
      <c r="C770" s="437" t="s">
        <v>509</v>
      </c>
      <c r="D770" s="438">
        <v>9.4700000000000006</v>
      </c>
    </row>
    <row r="771" spans="1:4">
      <c r="A771" s="435">
        <v>37506</v>
      </c>
      <c r="B771" s="436" t="s">
        <v>31200</v>
      </c>
      <c r="C771" s="437" t="s">
        <v>509</v>
      </c>
      <c r="D771" s="438">
        <v>7.6</v>
      </c>
    </row>
    <row r="772" spans="1:4" ht="25">
      <c r="A772" s="435">
        <v>37507</v>
      </c>
      <c r="B772" s="436" t="s">
        <v>31201</v>
      </c>
      <c r="C772" s="437" t="s">
        <v>509</v>
      </c>
      <c r="D772" s="438">
        <v>25.76</v>
      </c>
    </row>
    <row r="773" spans="1:4">
      <c r="A773" s="435">
        <v>37509</v>
      </c>
      <c r="B773" s="436" t="s">
        <v>31202</v>
      </c>
      <c r="C773" s="437" t="s">
        <v>153</v>
      </c>
      <c r="D773" s="438">
        <v>47.99</v>
      </c>
    </row>
    <row r="774" spans="1:4">
      <c r="A774" s="435">
        <v>37520</v>
      </c>
      <c r="B774" s="436" t="s">
        <v>31203</v>
      </c>
      <c r="C774" s="437" t="s">
        <v>153</v>
      </c>
      <c r="D774" s="438">
        <v>89.56</v>
      </c>
    </row>
    <row r="775" spans="1:4">
      <c r="A775" s="435">
        <v>37525</v>
      </c>
      <c r="B775" s="436" t="s">
        <v>31204</v>
      </c>
      <c r="C775" s="437" t="s">
        <v>153</v>
      </c>
      <c r="D775" s="438">
        <v>13.86</v>
      </c>
    </row>
    <row r="776" spans="1:4">
      <c r="A776" s="435">
        <v>37529</v>
      </c>
      <c r="B776" s="436" t="s">
        <v>31205</v>
      </c>
      <c r="C776" s="437" t="s">
        <v>30445</v>
      </c>
      <c r="D776" s="438">
        <v>16.670000000000002</v>
      </c>
    </row>
    <row r="777" spans="1:4">
      <c r="A777" s="435">
        <v>37530</v>
      </c>
      <c r="B777" s="436" t="s">
        <v>31206</v>
      </c>
      <c r="C777" s="437" t="s">
        <v>30445</v>
      </c>
      <c r="D777" s="438">
        <v>1.7</v>
      </c>
    </row>
    <row r="778" spans="1:4">
      <c r="A778" s="435">
        <v>37535</v>
      </c>
      <c r="B778" s="436" t="s">
        <v>31207</v>
      </c>
      <c r="C778" s="437" t="s">
        <v>30445</v>
      </c>
      <c r="D778" s="438">
        <v>3.15</v>
      </c>
    </row>
    <row r="779" spans="1:4">
      <c r="A779" s="435">
        <v>37538</v>
      </c>
      <c r="B779" s="436" t="s">
        <v>31208</v>
      </c>
      <c r="C779" s="437" t="s">
        <v>30445</v>
      </c>
      <c r="D779" s="438">
        <v>11.48</v>
      </c>
    </row>
    <row r="780" spans="1:4">
      <c r="A780" s="435">
        <v>37539</v>
      </c>
      <c r="B780" s="436" t="s">
        <v>31209</v>
      </c>
      <c r="C780" s="437" t="s">
        <v>30445</v>
      </c>
      <c r="D780" s="438">
        <v>15.28</v>
      </c>
    </row>
    <row r="781" spans="1:4">
      <c r="A781" s="435">
        <v>37540</v>
      </c>
      <c r="B781" s="436" t="s">
        <v>31210</v>
      </c>
      <c r="C781" s="437" t="s">
        <v>30445</v>
      </c>
      <c r="D781" s="438">
        <v>0.74</v>
      </c>
    </row>
    <row r="782" spans="1:4">
      <c r="A782" s="435">
        <v>37541</v>
      </c>
      <c r="B782" s="436" t="s">
        <v>31211</v>
      </c>
      <c r="C782" s="437" t="s">
        <v>30445</v>
      </c>
      <c r="D782" s="438">
        <v>5.73</v>
      </c>
    </row>
    <row r="783" spans="1:4" ht="25">
      <c r="A783" s="435">
        <v>37542</v>
      </c>
      <c r="B783" s="436" t="s">
        <v>31212</v>
      </c>
      <c r="C783" s="437" t="s">
        <v>30445</v>
      </c>
      <c r="D783" s="438">
        <v>21.32</v>
      </c>
    </row>
    <row r="784" spans="1:4">
      <c r="A784" s="435">
        <v>37543</v>
      </c>
      <c r="B784" s="436" t="s">
        <v>31213</v>
      </c>
      <c r="C784" s="437" t="s">
        <v>30445</v>
      </c>
      <c r="D784" s="438">
        <v>55.76</v>
      </c>
    </row>
    <row r="785" spans="1:4">
      <c r="A785" s="435">
        <v>37544</v>
      </c>
      <c r="B785" s="436" t="s">
        <v>31214</v>
      </c>
      <c r="C785" s="437" t="s">
        <v>30445</v>
      </c>
      <c r="D785" s="438">
        <v>5.39</v>
      </c>
    </row>
    <row r="786" spans="1:4">
      <c r="A786" s="435">
        <v>37545</v>
      </c>
      <c r="B786" s="436" t="s">
        <v>31215</v>
      </c>
      <c r="C786" s="437" t="s">
        <v>153</v>
      </c>
      <c r="D786" s="438">
        <v>30.53</v>
      </c>
    </row>
    <row r="787" spans="1:4">
      <c r="A787" s="435">
        <v>37550</v>
      </c>
      <c r="B787" s="436" t="s">
        <v>31216</v>
      </c>
      <c r="C787" s="437" t="s">
        <v>153</v>
      </c>
      <c r="D787" s="438">
        <v>6.08</v>
      </c>
    </row>
    <row r="788" spans="1:4">
      <c r="A788" s="435">
        <v>37555</v>
      </c>
      <c r="B788" s="436" t="s">
        <v>31217</v>
      </c>
      <c r="C788" s="437" t="s">
        <v>153</v>
      </c>
      <c r="D788" s="438">
        <v>67.62</v>
      </c>
    </row>
    <row r="789" spans="1:4">
      <c r="A789" s="435">
        <v>37560</v>
      </c>
      <c r="B789" s="436" t="s">
        <v>31218</v>
      </c>
      <c r="C789" s="437" t="s">
        <v>153</v>
      </c>
      <c r="D789" s="438">
        <v>11.68</v>
      </c>
    </row>
    <row r="790" spans="1:4">
      <c r="A790" s="435">
        <v>37565</v>
      </c>
      <c r="B790" s="436" t="s">
        <v>31219</v>
      </c>
      <c r="C790" s="437" t="s">
        <v>153</v>
      </c>
      <c r="D790" s="438">
        <v>30.13</v>
      </c>
    </row>
    <row r="791" spans="1:4">
      <c r="A791" s="435">
        <v>37570</v>
      </c>
      <c r="B791" s="436" t="s">
        <v>31220</v>
      </c>
      <c r="C791" s="437" t="s">
        <v>30463</v>
      </c>
      <c r="D791" s="438">
        <v>47.46</v>
      </c>
    </row>
    <row r="792" spans="1:4">
      <c r="A792" s="435">
        <v>37575</v>
      </c>
      <c r="B792" s="436" t="s">
        <v>31221</v>
      </c>
      <c r="C792" s="437" t="s">
        <v>153</v>
      </c>
      <c r="D792" s="438">
        <v>45.28</v>
      </c>
    </row>
    <row r="793" spans="1:4">
      <c r="A793" s="435">
        <v>37580</v>
      </c>
      <c r="B793" s="436" t="s">
        <v>31222</v>
      </c>
      <c r="C793" s="437" t="s">
        <v>30463</v>
      </c>
      <c r="D793" s="438">
        <v>176.74</v>
      </c>
    </row>
    <row r="794" spans="1:4">
      <c r="A794" s="435">
        <v>37581</v>
      </c>
      <c r="B794" s="436" t="s">
        <v>31223</v>
      </c>
      <c r="C794" s="437" t="s">
        <v>153</v>
      </c>
      <c r="D794" s="438">
        <v>21.45</v>
      </c>
    </row>
    <row r="795" spans="1:4">
      <c r="A795" s="435">
        <v>37582</v>
      </c>
      <c r="B795" s="436" t="s">
        <v>31224</v>
      </c>
      <c r="C795" s="437" t="s">
        <v>153</v>
      </c>
      <c r="D795" s="438">
        <v>72.05</v>
      </c>
    </row>
    <row r="796" spans="1:4">
      <c r="A796" s="435">
        <v>37585</v>
      </c>
      <c r="B796" s="436" t="s">
        <v>31225</v>
      </c>
      <c r="C796" s="437" t="s">
        <v>153</v>
      </c>
      <c r="D796" s="438">
        <v>37.630000000000003</v>
      </c>
    </row>
    <row r="797" spans="1:4">
      <c r="A797" s="435">
        <v>37587</v>
      </c>
      <c r="B797" s="436" t="s">
        <v>31226</v>
      </c>
      <c r="C797" s="437" t="s">
        <v>153</v>
      </c>
      <c r="D797" s="438">
        <v>115.82</v>
      </c>
    </row>
    <row r="798" spans="1:4" ht="25">
      <c r="A798" s="435">
        <v>37590</v>
      </c>
      <c r="B798" s="436" t="s">
        <v>31227</v>
      </c>
      <c r="C798" s="437" t="s">
        <v>153</v>
      </c>
      <c r="D798" s="438">
        <v>241.96</v>
      </c>
    </row>
    <row r="799" spans="1:4">
      <c r="A799" s="435">
        <v>37595</v>
      </c>
      <c r="B799" s="436" t="s">
        <v>31228</v>
      </c>
      <c r="C799" s="437" t="s">
        <v>153</v>
      </c>
      <c r="D799" s="438">
        <v>49.81</v>
      </c>
    </row>
    <row r="800" spans="1:4">
      <c r="A800" s="435">
        <v>37596</v>
      </c>
      <c r="B800" s="436" t="s">
        <v>31229</v>
      </c>
      <c r="C800" s="437" t="s">
        <v>153</v>
      </c>
      <c r="D800" s="438">
        <v>29.65</v>
      </c>
    </row>
    <row r="801" spans="1:4">
      <c r="A801" s="431">
        <v>38000</v>
      </c>
      <c r="B801" s="432" t="s">
        <v>31230</v>
      </c>
      <c r="C801" s="433"/>
      <c r="D801" s="434" t="s">
        <v>30434</v>
      </c>
    </row>
    <row r="802" spans="1:4">
      <c r="A802" s="435">
        <v>38016</v>
      </c>
      <c r="B802" s="436" t="s">
        <v>31231</v>
      </c>
      <c r="C802" s="437" t="s">
        <v>509</v>
      </c>
      <c r="D802" s="438">
        <v>11.66</v>
      </c>
    </row>
    <row r="803" spans="1:4">
      <c r="A803" s="435">
        <v>38024</v>
      </c>
      <c r="B803" s="436" t="s">
        <v>31232</v>
      </c>
      <c r="C803" s="437" t="s">
        <v>30445</v>
      </c>
      <c r="D803" s="438">
        <v>1873.48</v>
      </c>
    </row>
    <row r="804" spans="1:4">
      <c r="A804" s="435">
        <v>38025</v>
      </c>
      <c r="B804" s="436" t="s">
        <v>31233</v>
      </c>
      <c r="C804" s="437" t="s">
        <v>30445</v>
      </c>
      <c r="D804" s="438">
        <v>2690.64</v>
      </c>
    </row>
    <row r="805" spans="1:4">
      <c r="A805" s="435">
        <v>38030</v>
      </c>
      <c r="B805" s="436" t="s">
        <v>31234</v>
      </c>
      <c r="C805" s="437" t="s">
        <v>31013</v>
      </c>
      <c r="D805" s="438">
        <v>1646.52</v>
      </c>
    </row>
    <row r="806" spans="1:4">
      <c r="A806" s="435">
        <v>38035</v>
      </c>
      <c r="B806" s="436" t="s">
        <v>31235</v>
      </c>
      <c r="C806" s="437" t="s">
        <v>30445</v>
      </c>
      <c r="D806" s="438">
        <v>96.07</v>
      </c>
    </row>
    <row r="807" spans="1:4">
      <c r="A807" s="435">
        <v>38040</v>
      </c>
      <c r="B807" s="436" t="s">
        <v>31236</v>
      </c>
      <c r="C807" s="437" t="s">
        <v>30445</v>
      </c>
      <c r="D807" s="438">
        <v>288.45</v>
      </c>
    </row>
    <row r="808" spans="1:4" ht="25">
      <c r="A808" s="435">
        <v>38042</v>
      </c>
      <c r="B808" s="436" t="s">
        <v>31237</v>
      </c>
      <c r="C808" s="437" t="s">
        <v>509</v>
      </c>
      <c r="D808" s="438">
        <v>15.5</v>
      </c>
    </row>
    <row r="809" spans="1:4">
      <c r="A809" s="435">
        <v>38043</v>
      </c>
      <c r="B809" s="436" t="s">
        <v>31238</v>
      </c>
      <c r="C809" s="437" t="s">
        <v>509</v>
      </c>
      <c r="D809" s="438">
        <v>3.38</v>
      </c>
    </row>
    <row r="810" spans="1:4">
      <c r="A810" s="435">
        <v>38050</v>
      </c>
      <c r="B810" s="436" t="s">
        <v>31239</v>
      </c>
      <c r="C810" s="437" t="s">
        <v>30445</v>
      </c>
      <c r="D810" s="438">
        <v>1194.8900000000001</v>
      </c>
    </row>
    <row r="811" spans="1:4">
      <c r="A811" s="435">
        <v>38055</v>
      </c>
      <c r="B811" s="436" t="s">
        <v>31240</v>
      </c>
      <c r="C811" s="437" t="s">
        <v>30445</v>
      </c>
      <c r="D811" s="438">
        <v>22.72</v>
      </c>
    </row>
    <row r="812" spans="1:4">
      <c r="A812" s="431">
        <v>38100</v>
      </c>
      <c r="B812" s="432" t="s">
        <v>31241</v>
      </c>
      <c r="C812" s="433"/>
      <c r="D812" s="434" t="s">
        <v>30434</v>
      </c>
    </row>
    <row r="813" spans="1:4">
      <c r="A813" s="435">
        <v>38150</v>
      </c>
      <c r="B813" s="436" t="s">
        <v>31242</v>
      </c>
      <c r="C813" s="437" t="s">
        <v>30445</v>
      </c>
      <c r="D813" s="438">
        <v>4295.72</v>
      </c>
    </row>
    <row r="814" spans="1:4">
      <c r="A814" s="435">
        <v>38151</v>
      </c>
      <c r="B814" s="436" t="s">
        <v>31243</v>
      </c>
      <c r="C814" s="437" t="s">
        <v>30445</v>
      </c>
      <c r="D814" s="438">
        <v>2171.04</v>
      </c>
    </row>
    <row r="815" spans="1:4">
      <c r="A815" s="435">
        <v>38152</v>
      </c>
      <c r="B815" s="436" t="s">
        <v>31244</v>
      </c>
      <c r="C815" s="437" t="s">
        <v>30445</v>
      </c>
      <c r="D815" s="438">
        <v>3489.6</v>
      </c>
    </row>
    <row r="816" spans="1:4">
      <c r="A816" s="435">
        <v>38153</v>
      </c>
      <c r="B816" s="436" t="s">
        <v>31245</v>
      </c>
      <c r="C816" s="437" t="s">
        <v>30445</v>
      </c>
      <c r="D816" s="438">
        <v>2417.52</v>
      </c>
    </row>
    <row r="817" spans="1:4">
      <c r="A817" s="435">
        <v>38154</v>
      </c>
      <c r="B817" s="436" t="s">
        <v>31246</v>
      </c>
      <c r="C817" s="437" t="s">
        <v>30445</v>
      </c>
      <c r="D817" s="438">
        <v>2394.1799999999998</v>
      </c>
    </row>
    <row r="818" spans="1:4">
      <c r="A818" s="435">
        <v>38155</v>
      </c>
      <c r="B818" s="436" t="s">
        <v>31247</v>
      </c>
      <c r="C818" s="437" t="s">
        <v>30445</v>
      </c>
      <c r="D818" s="438">
        <v>2999.65</v>
      </c>
    </row>
    <row r="819" spans="1:4">
      <c r="A819" s="435">
        <v>38156</v>
      </c>
      <c r="B819" s="436" t="s">
        <v>31248</v>
      </c>
      <c r="C819" s="437" t="s">
        <v>30445</v>
      </c>
      <c r="D819" s="438">
        <v>14455.43</v>
      </c>
    </row>
    <row r="820" spans="1:4" ht="25">
      <c r="A820" s="435">
        <v>38160</v>
      </c>
      <c r="B820" s="436" t="s">
        <v>31249</v>
      </c>
      <c r="C820" s="437" t="s">
        <v>509</v>
      </c>
      <c r="D820" s="438">
        <v>88.42</v>
      </c>
    </row>
    <row r="821" spans="1:4">
      <c r="A821" s="431">
        <v>38500</v>
      </c>
      <c r="B821" s="432" t="s">
        <v>31250</v>
      </c>
      <c r="C821" s="433"/>
      <c r="D821" s="434" t="s">
        <v>30434</v>
      </c>
    </row>
    <row r="822" spans="1:4">
      <c r="A822" s="435">
        <v>38502</v>
      </c>
      <c r="B822" s="436" t="s">
        <v>31251</v>
      </c>
      <c r="C822" s="437" t="s">
        <v>30463</v>
      </c>
      <c r="D822" s="438">
        <v>9.02</v>
      </c>
    </row>
    <row r="823" spans="1:4">
      <c r="A823" s="435">
        <v>38503</v>
      </c>
      <c r="B823" s="436" t="s">
        <v>31252</v>
      </c>
      <c r="C823" s="437" t="s">
        <v>30463</v>
      </c>
      <c r="D823" s="438">
        <v>1.18</v>
      </c>
    </row>
    <row r="824" spans="1:4">
      <c r="A824" s="435">
        <v>38511</v>
      </c>
      <c r="B824" s="436" t="s">
        <v>31253</v>
      </c>
      <c r="C824" s="437" t="s">
        <v>30445</v>
      </c>
      <c r="D824" s="438">
        <v>117.49</v>
      </c>
    </row>
    <row r="825" spans="1:4" ht="25">
      <c r="A825" s="435">
        <v>38512</v>
      </c>
      <c r="B825" s="436" t="s">
        <v>31254</v>
      </c>
      <c r="C825" s="437" t="s">
        <v>30445</v>
      </c>
      <c r="D825" s="438">
        <v>117.27</v>
      </c>
    </row>
    <row r="826" spans="1:4">
      <c r="A826" s="435">
        <v>38513</v>
      </c>
      <c r="B826" s="436" t="s">
        <v>31255</v>
      </c>
      <c r="C826" s="437" t="s">
        <v>30445</v>
      </c>
      <c r="D826" s="438">
        <v>120.26</v>
      </c>
    </row>
    <row r="827" spans="1:4">
      <c r="A827" s="435">
        <v>38523</v>
      </c>
      <c r="B827" s="436" t="s">
        <v>31256</v>
      </c>
      <c r="C827" s="437" t="s">
        <v>31257</v>
      </c>
      <c r="D827" s="438">
        <v>28.47</v>
      </c>
    </row>
    <row r="828" spans="1:4">
      <c r="A828" s="435">
        <v>38524</v>
      </c>
      <c r="B828" s="436" t="s">
        <v>31258</v>
      </c>
      <c r="C828" s="437" t="s">
        <v>31257</v>
      </c>
      <c r="D828" s="438">
        <v>24.71</v>
      </c>
    </row>
    <row r="829" spans="1:4">
      <c r="A829" s="435">
        <v>38525</v>
      </c>
      <c r="B829" s="436" t="s">
        <v>31259</v>
      </c>
      <c r="C829" s="437" t="s">
        <v>31257</v>
      </c>
      <c r="D829" s="438">
        <v>60.19</v>
      </c>
    </row>
    <row r="830" spans="1:4">
      <c r="A830" s="435">
        <v>38526</v>
      </c>
      <c r="B830" s="436" t="s">
        <v>31260</v>
      </c>
      <c r="C830" s="437" t="s">
        <v>31257</v>
      </c>
      <c r="D830" s="438">
        <v>28.32</v>
      </c>
    </row>
    <row r="831" spans="1:4">
      <c r="A831" s="435">
        <v>38527</v>
      </c>
      <c r="B831" s="436" t="s">
        <v>31261</v>
      </c>
      <c r="C831" s="437" t="s">
        <v>30445</v>
      </c>
      <c r="D831" s="438">
        <v>63.45</v>
      </c>
    </row>
    <row r="832" spans="1:4">
      <c r="A832" s="435">
        <v>38528</v>
      </c>
      <c r="B832" s="436" t="s">
        <v>31262</v>
      </c>
      <c r="C832" s="437" t="s">
        <v>30445</v>
      </c>
      <c r="D832" s="438">
        <v>80.290000000000006</v>
      </c>
    </row>
    <row r="833" spans="1:4">
      <c r="A833" s="435">
        <v>38529</v>
      </c>
      <c r="B833" s="436" t="s">
        <v>31263</v>
      </c>
      <c r="C833" s="437" t="s">
        <v>30445</v>
      </c>
      <c r="D833" s="438">
        <v>22.29</v>
      </c>
    </row>
    <row r="834" spans="1:4">
      <c r="A834" s="435">
        <v>38531</v>
      </c>
      <c r="B834" s="436" t="s">
        <v>31264</v>
      </c>
      <c r="C834" s="437" t="s">
        <v>30445</v>
      </c>
      <c r="D834" s="438">
        <v>26.14</v>
      </c>
    </row>
    <row r="835" spans="1:4">
      <c r="A835" s="435">
        <v>38533</v>
      </c>
      <c r="B835" s="436" t="s">
        <v>31265</v>
      </c>
      <c r="C835" s="437" t="s">
        <v>30445</v>
      </c>
      <c r="D835" s="438">
        <v>15</v>
      </c>
    </row>
    <row r="836" spans="1:4">
      <c r="A836" s="435">
        <v>38534</v>
      </c>
      <c r="B836" s="436" t="s">
        <v>31266</v>
      </c>
      <c r="C836" s="437" t="s">
        <v>30445</v>
      </c>
      <c r="D836" s="438">
        <v>7.92</v>
      </c>
    </row>
    <row r="837" spans="1:4">
      <c r="A837" s="435">
        <v>38535</v>
      </c>
      <c r="B837" s="436" t="s">
        <v>31267</v>
      </c>
      <c r="C837" s="437" t="s">
        <v>30445</v>
      </c>
      <c r="D837" s="438">
        <v>26.75</v>
      </c>
    </row>
    <row r="838" spans="1:4">
      <c r="A838" s="435">
        <v>38536</v>
      </c>
      <c r="B838" s="436" t="s">
        <v>31268</v>
      </c>
      <c r="C838" s="437" t="s">
        <v>30445</v>
      </c>
      <c r="D838" s="438">
        <v>14.41</v>
      </c>
    </row>
    <row r="839" spans="1:4">
      <c r="A839" s="435">
        <v>38537</v>
      </c>
      <c r="B839" s="436" t="s">
        <v>31269</v>
      </c>
      <c r="C839" s="437" t="s">
        <v>30445</v>
      </c>
      <c r="D839" s="438">
        <v>40.1</v>
      </c>
    </row>
    <row r="840" spans="1:4">
      <c r="A840" s="435">
        <v>38538</v>
      </c>
      <c r="B840" s="436" t="s">
        <v>31270</v>
      </c>
      <c r="C840" s="437" t="s">
        <v>30445</v>
      </c>
      <c r="D840" s="438">
        <v>26.02</v>
      </c>
    </row>
    <row r="841" spans="1:4">
      <c r="A841" s="435">
        <v>38540</v>
      </c>
      <c r="B841" s="436" t="s">
        <v>31271</v>
      </c>
      <c r="C841" s="437" t="s">
        <v>30445</v>
      </c>
      <c r="D841" s="438">
        <v>48.91</v>
      </c>
    </row>
    <row r="842" spans="1:4">
      <c r="A842" s="435">
        <v>38543</v>
      </c>
      <c r="B842" s="436" t="s">
        <v>31272</v>
      </c>
      <c r="C842" s="437" t="s">
        <v>30445</v>
      </c>
      <c r="D842" s="438">
        <v>61.53</v>
      </c>
    </row>
    <row r="843" spans="1:4">
      <c r="A843" s="435">
        <v>38545</v>
      </c>
      <c r="B843" s="436" t="s">
        <v>31273</v>
      </c>
      <c r="C843" s="437" t="s">
        <v>30445</v>
      </c>
      <c r="D843" s="438">
        <v>66.540000000000006</v>
      </c>
    </row>
    <row r="844" spans="1:4">
      <c r="A844" s="435">
        <v>38546</v>
      </c>
      <c r="B844" s="436" t="s">
        <v>31274</v>
      </c>
      <c r="C844" s="437" t="s">
        <v>30445</v>
      </c>
      <c r="D844" s="438">
        <v>74.38</v>
      </c>
    </row>
    <row r="845" spans="1:4">
      <c r="A845" s="435">
        <v>38547</v>
      </c>
      <c r="B845" s="436" t="s">
        <v>31275</v>
      </c>
      <c r="C845" s="437" t="s">
        <v>30445</v>
      </c>
      <c r="D845" s="438">
        <v>74.7</v>
      </c>
    </row>
    <row r="846" spans="1:4">
      <c r="A846" s="435">
        <v>38548</v>
      </c>
      <c r="B846" s="436" t="s">
        <v>31276</v>
      </c>
      <c r="C846" s="437" t="s">
        <v>30445</v>
      </c>
      <c r="D846" s="438">
        <v>51.44</v>
      </c>
    </row>
    <row r="847" spans="1:4" ht="25">
      <c r="A847" s="435">
        <v>38549</v>
      </c>
      <c r="B847" s="436" t="s">
        <v>31277</v>
      </c>
      <c r="C847" s="437" t="s">
        <v>509</v>
      </c>
      <c r="D847" s="438">
        <v>127.85</v>
      </c>
    </row>
    <row r="848" spans="1:4">
      <c r="A848" s="435">
        <v>38550</v>
      </c>
      <c r="B848" s="436" t="s">
        <v>31278</v>
      </c>
      <c r="C848" s="437" t="s">
        <v>509</v>
      </c>
      <c r="D848" s="438">
        <v>7.9</v>
      </c>
    </row>
    <row r="849" spans="1:4">
      <c r="A849" s="435">
        <v>38552</v>
      </c>
      <c r="B849" s="436" t="s">
        <v>31279</v>
      </c>
      <c r="C849" s="437" t="s">
        <v>509</v>
      </c>
      <c r="D849" s="438">
        <v>47.95</v>
      </c>
    </row>
    <row r="850" spans="1:4" ht="25">
      <c r="A850" s="435">
        <v>38554</v>
      </c>
      <c r="B850" s="436" t="s">
        <v>31280</v>
      </c>
      <c r="C850" s="437" t="s">
        <v>509</v>
      </c>
      <c r="D850" s="438">
        <v>16.36</v>
      </c>
    </row>
    <row r="851" spans="1:4">
      <c r="A851" s="435">
        <v>38555</v>
      </c>
      <c r="B851" s="436" t="s">
        <v>31281</v>
      </c>
      <c r="C851" s="437" t="s">
        <v>121</v>
      </c>
      <c r="D851" s="438">
        <v>262.89</v>
      </c>
    </row>
    <row r="852" spans="1:4">
      <c r="A852" s="435">
        <v>38556</v>
      </c>
      <c r="B852" s="436" t="s">
        <v>31282</v>
      </c>
      <c r="C852" s="437" t="s">
        <v>121</v>
      </c>
      <c r="D852" s="438">
        <v>157.81</v>
      </c>
    </row>
    <row r="853" spans="1:4">
      <c r="A853" s="435">
        <v>38557</v>
      </c>
      <c r="B853" s="436" t="s">
        <v>31283</v>
      </c>
      <c r="C853" s="437" t="s">
        <v>121</v>
      </c>
      <c r="D853" s="438">
        <v>285.91000000000003</v>
      </c>
    </row>
    <row r="854" spans="1:4" ht="25">
      <c r="A854" s="435">
        <v>38561</v>
      </c>
      <c r="B854" s="436" t="s">
        <v>31284</v>
      </c>
      <c r="C854" s="437" t="s">
        <v>30445</v>
      </c>
      <c r="D854" s="438">
        <v>53.94</v>
      </c>
    </row>
    <row r="855" spans="1:4">
      <c r="A855" s="435">
        <v>38562</v>
      </c>
      <c r="B855" s="436" t="s">
        <v>31285</v>
      </c>
      <c r="C855" s="437" t="s">
        <v>30445</v>
      </c>
      <c r="D855" s="438">
        <v>167.14</v>
      </c>
    </row>
    <row r="856" spans="1:4">
      <c r="A856" s="435">
        <v>38563</v>
      </c>
      <c r="B856" s="436" t="s">
        <v>31286</v>
      </c>
      <c r="C856" s="437" t="s">
        <v>30445</v>
      </c>
      <c r="D856" s="438">
        <v>145.96</v>
      </c>
    </row>
    <row r="857" spans="1:4">
      <c r="A857" s="435">
        <v>38564</v>
      </c>
      <c r="B857" s="436" t="s">
        <v>31287</v>
      </c>
      <c r="C857" s="437" t="s">
        <v>30445</v>
      </c>
      <c r="D857" s="438">
        <v>108.61</v>
      </c>
    </row>
    <row r="858" spans="1:4">
      <c r="A858" s="435">
        <v>38565</v>
      </c>
      <c r="B858" s="436" t="s">
        <v>31288</v>
      </c>
      <c r="C858" s="437" t="s">
        <v>30445</v>
      </c>
      <c r="D858" s="438">
        <v>230.04</v>
      </c>
    </row>
    <row r="859" spans="1:4">
      <c r="A859" s="435">
        <v>38566</v>
      </c>
      <c r="B859" s="436" t="s">
        <v>31289</v>
      </c>
      <c r="C859" s="437" t="s">
        <v>30445</v>
      </c>
      <c r="D859" s="438">
        <v>250.45</v>
      </c>
    </row>
    <row r="860" spans="1:4">
      <c r="A860" s="435">
        <v>38567</v>
      </c>
      <c r="B860" s="436" t="s">
        <v>31290</v>
      </c>
      <c r="C860" s="437" t="s">
        <v>30445</v>
      </c>
      <c r="D860" s="438">
        <v>35.770000000000003</v>
      </c>
    </row>
    <row r="861" spans="1:4">
      <c r="A861" s="435">
        <v>38568</v>
      </c>
      <c r="B861" s="436" t="s">
        <v>31291</v>
      </c>
      <c r="C861" s="437" t="s">
        <v>30445</v>
      </c>
      <c r="D861" s="438">
        <v>32.03</v>
      </c>
    </row>
    <row r="862" spans="1:4">
      <c r="A862" s="435">
        <v>38569</v>
      </c>
      <c r="B862" s="436" t="s">
        <v>31292</v>
      </c>
      <c r="C862" s="437" t="s">
        <v>30445</v>
      </c>
      <c r="D862" s="438">
        <v>47.78</v>
      </c>
    </row>
    <row r="863" spans="1:4">
      <c r="A863" s="435">
        <v>38570</v>
      </c>
      <c r="B863" s="436" t="s">
        <v>31293</v>
      </c>
      <c r="C863" s="437" t="s">
        <v>30445</v>
      </c>
      <c r="D863" s="438">
        <v>2.2599999999999998</v>
      </c>
    </row>
    <row r="864" spans="1:4">
      <c r="A864" s="435">
        <v>38571</v>
      </c>
      <c r="B864" s="436" t="s">
        <v>31294</v>
      </c>
      <c r="C864" s="437" t="s">
        <v>31257</v>
      </c>
      <c r="D864" s="438">
        <v>23.08</v>
      </c>
    </row>
    <row r="865" spans="1:4">
      <c r="A865" s="435">
        <v>38572</v>
      </c>
      <c r="B865" s="436" t="s">
        <v>31295</v>
      </c>
      <c r="C865" s="437" t="s">
        <v>31257</v>
      </c>
      <c r="D865" s="438">
        <v>29.69</v>
      </c>
    </row>
    <row r="866" spans="1:4">
      <c r="A866" s="435">
        <v>38573</v>
      </c>
      <c r="B866" s="436" t="s">
        <v>31296</v>
      </c>
      <c r="C866" s="437" t="s">
        <v>31257</v>
      </c>
      <c r="D866" s="438">
        <v>24.57</v>
      </c>
    </row>
    <row r="867" spans="1:4">
      <c r="A867" s="435">
        <v>38574</v>
      </c>
      <c r="B867" s="436" t="s">
        <v>31297</v>
      </c>
      <c r="C867" s="437" t="s">
        <v>31257</v>
      </c>
      <c r="D867" s="438">
        <v>33.369999999999997</v>
      </c>
    </row>
    <row r="868" spans="1:4" ht="25">
      <c r="A868" s="435">
        <v>38575</v>
      </c>
      <c r="B868" s="436" t="s">
        <v>31298</v>
      </c>
      <c r="C868" s="437" t="s">
        <v>30445</v>
      </c>
      <c r="D868" s="438">
        <v>26.08</v>
      </c>
    </row>
    <row r="869" spans="1:4">
      <c r="A869" s="435">
        <v>38576</v>
      </c>
      <c r="B869" s="436" t="s">
        <v>31299</v>
      </c>
      <c r="C869" s="437" t="s">
        <v>30445</v>
      </c>
      <c r="D869" s="438">
        <v>25.94</v>
      </c>
    </row>
    <row r="870" spans="1:4">
      <c r="A870" s="435">
        <v>38577</v>
      </c>
      <c r="B870" s="436" t="s">
        <v>31300</v>
      </c>
      <c r="C870" s="437" t="s">
        <v>30445</v>
      </c>
      <c r="D870" s="438">
        <v>31.88</v>
      </c>
    </row>
    <row r="871" spans="1:4">
      <c r="A871" s="435">
        <v>38578</v>
      </c>
      <c r="B871" s="436" t="s">
        <v>31301</v>
      </c>
      <c r="C871" s="437" t="s">
        <v>30445</v>
      </c>
      <c r="D871" s="438">
        <v>13.32</v>
      </c>
    </row>
    <row r="872" spans="1:4">
      <c r="A872" s="435">
        <v>38579</v>
      </c>
      <c r="B872" s="436" t="s">
        <v>31302</v>
      </c>
      <c r="C872" s="437" t="s">
        <v>30445</v>
      </c>
      <c r="D872" s="438">
        <v>2.41</v>
      </c>
    </row>
    <row r="873" spans="1:4" ht="25">
      <c r="A873" s="435">
        <v>38580</v>
      </c>
      <c r="B873" s="436" t="s">
        <v>31303</v>
      </c>
      <c r="C873" s="437" t="s">
        <v>30445</v>
      </c>
      <c r="D873" s="438">
        <v>19.059999999999999</v>
      </c>
    </row>
    <row r="874" spans="1:4">
      <c r="A874" s="435">
        <v>38581</v>
      </c>
      <c r="B874" s="436" t="s">
        <v>31304</v>
      </c>
      <c r="C874" s="437" t="s">
        <v>30445</v>
      </c>
      <c r="D874" s="438">
        <v>46.03</v>
      </c>
    </row>
    <row r="875" spans="1:4">
      <c r="A875" s="435">
        <v>38587</v>
      </c>
      <c r="B875" s="436" t="s">
        <v>31305</v>
      </c>
      <c r="C875" s="437" t="s">
        <v>30445</v>
      </c>
      <c r="D875" s="438">
        <v>79.44</v>
      </c>
    </row>
    <row r="876" spans="1:4">
      <c r="A876" s="435">
        <v>38588</v>
      </c>
      <c r="B876" s="436" t="s">
        <v>31306</v>
      </c>
      <c r="C876" s="437" t="s">
        <v>30445</v>
      </c>
      <c r="D876" s="438">
        <v>40.75</v>
      </c>
    </row>
    <row r="877" spans="1:4">
      <c r="A877" s="435">
        <v>38590</v>
      </c>
      <c r="B877" s="436" t="s">
        <v>31307</v>
      </c>
      <c r="C877" s="437" t="s">
        <v>509</v>
      </c>
      <c r="D877" s="438">
        <v>90.44</v>
      </c>
    </row>
    <row r="878" spans="1:4">
      <c r="A878" s="435">
        <v>38593</v>
      </c>
      <c r="B878" s="436" t="s">
        <v>31308</v>
      </c>
      <c r="C878" s="437" t="s">
        <v>30445</v>
      </c>
      <c r="D878" s="438">
        <v>99.12</v>
      </c>
    </row>
    <row r="879" spans="1:4">
      <c r="A879" s="435">
        <v>38594</v>
      </c>
      <c r="B879" s="436" t="s">
        <v>31309</v>
      </c>
      <c r="C879" s="437" t="s">
        <v>30445</v>
      </c>
      <c r="D879" s="438">
        <v>34.92</v>
      </c>
    </row>
    <row r="880" spans="1:4">
      <c r="A880" s="435">
        <v>38595</v>
      </c>
      <c r="B880" s="436" t="s">
        <v>31310</v>
      </c>
      <c r="C880" s="437" t="s">
        <v>30445</v>
      </c>
      <c r="D880" s="438">
        <v>127.94</v>
      </c>
    </row>
    <row r="881" spans="1:4">
      <c r="A881" s="435">
        <v>38596</v>
      </c>
      <c r="B881" s="436" t="s">
        <v>31311</v>
      </c>
      <c r="C881" s="437" t="s">
        <v>30445</v>
      </c>
      <c r="D881" s="438">
        <v>54.5</v>
      </c>
    </row>
    <row r="882" spans="1:4">
      <c r="A882" s="435">
        <v>38597</v>
      </c>
      <c r="B882" s="436" t="s">
        <v>31312</v>
      </c>
      <c r="C882" s="437" t="s">
        <v>30445</v>
      </c>
      <c r="D882" s="438">
        <v>80.39</v>
      </c>
    </row>
    <row r="883" spans="1:4">
      <c r="A883" s="435">
        <v>38598</v>
      </c>
      <c r="B883" s="436" t="s">
        <v>31313</v>
      </c>
      <c r="C883" s="437" t="s">
        <v>30445</v>
      </c>
      <c r="D883" s="438">
        <v>48.76</v>
      </c>
    </row>
    <row r="884" spans="1:4">
      <c r="A884" s="435">
        <v>38599</v>
      </c>
      <c r="B884" s="436" t="s">
        <v>31314</v>
      </c>
      <c r="C884" s="437" t="s">
        <v>30445</v>
      </c>
      <c r="D884" s="438">
        <v>294.7</v>
      </c>
    </row>
    <row r="885" spans="1:4">
      <c r="A885" s="435">
        <v>38600</v>
      </c>
      <c r="B885" s="436" t="s">
        <v>31315</v>
      </c>
      <c r="C885" s="437" t="s">
        <v>30445</v>
      </c>
      <c r="D885" s="438">
        <v>266.52</v>
      </c>
    </row>
    <row r="886" spans="1:4">
      <c r="A886" s="435">
        <v>38601</v>
      </c>
      <c r="B886" s="436" t="s">
        <v>31316</v>
      </c>
      <c r="C886" s="437" t="s">
        <v>30445</v>
      </c>
      <c r="D886" s="438">
        <v>248.7</v>
      </c>
    </row>
    <row r="887" spans="1:4">
      <c r="A887" s="435">
        <v>38602</v>
      </c>
      <c r="B887" s="436" t="s">
        <v>31317</v>
      </c>
      <c r="C887" s="437" t="s">
        <v>30445</v>
      </c>
      <c r="D887" s="438">
        <v>211.57</v>
      </c>
    </row>
    <row r="888" spans="1:4">
      <c r="A888" s="435">
        <v>38603</v>
      </c>
      <c r="B888" s="436" t="s">
        <v>31318</v>
      </c>
      <c r="C888" s="437" t="s">
        <v>30445</v>
      </c>
      <c r="D888" s="438">
        <v>236.38</v>
      </c>
    </row>
    <row r="889" spans="1:4">
      <c r="A889" s="435">
        <v>38604</v>
      </c>
      <c r="B889" s="436" t="s">
        <v>31319</v>
      </c>
      <c r="C889" s="437" t="s">
        <v>30445</v>
      </c>
      <c r="D889" s="438">
        <v>241.44</v>
      </c>
    </row>
    <row r="890" spans="1:4">
      <c r="A890" s="435">
        <v>38605</v>
      </c>
      <c r="B890" s="436" t="s">
        <v>31320</v>
      </c>
      <c r="C890" s="437" t="s">
        <v>30445</v>
      </c>
      <c r="D890" s="438">
        <v>159.63999999999999</v>
      </c>
    </row>
    <row r="891" spans="1:4">
      <c r="A891" s="435">
        <v>38606</v>
      </c>
      <c r="B891" s="436" t="s">
        <v>31321</v>
      </c>
      <c r="C891" s="437" t="s">
        <v>30445</v>
      </c>
      <c r="D891" s="438">
        <v>269.98</v>
      </c>
    </row>
    <row r="892" spans="1:4">
      <c r="A892" s="435">
        <v>38607</v>
      </c>
      <c r="B892" s="436" t="s">
        <v>31322</v>
      </c>
      <c r="C892" s="437" t="s">
        <v>30445</v>
      </c>
      <c r="D892" s="438">
        <v>262.37</v>
      </c>
    </row>
    <row r="893" spans="1:4">
      <c r="A893" s="435">
        <v>38608</v>
      </c>
      <c r="B893" s="436" t="s">
        <v>31323</v>
      </c>
      <c r="C893" s="437" t="s">
        <v>30445</v>
      </c>
      <c r="D893" s="438">
        <v>229.94</v>
      </c>
    </row>
    <row r="894" spans="1:4">
      <c r="A894" s="435">
        <v>38609</v>
      </c>
      <c r="B894" s="436" t="s">
        <v>31324</v>
      </c>
      <c r="C894" s="437" t="s">
        <v>30445</v>
      </c>
      <c r="D894" s="438">
        <v>138.19999999999999</v>
      </c>
    </row>
    <row r="895" spans="1:4">
      <c r="A895" s="435">
        <v>38610</v>
      </c>
      <c r="B895" s="436" t="s">
        <v>31325</v>
      </c>
      <c r="C895" s="437" t="s">
        <v>30445</v>
      </c>
      <c r="D895" s="438">
        <v>261.47000000000003</v>
      </c>
    </row>
    <row r="896" spans="1:4">
      <c r="A896" s="435">
        <v>38611</v>
      </c>
      <c r="B896" s="436" t="s">
        <v>31326</v>
      </c>
      <c r="C896" s="437" t="s">
        <v>30445</v>
      </c>
      <c r="D896" s="438">
        <v>386.13</v>
      </c>
    </row>
    <row r="897" spans="1:4">
      <c r="A897" s="435">
        <v>38612</v>
      </c>
      <c r="B897" s="436" t="s">
        <v>31327</v>
      </c>
      <c r="C897" s="437" t="s">
        <v>30445</v>
      </c>
      <c r="D897" s="438">
        <v>252.04</v>
      </c>
    </row>
    <row r="898" spans="1:4">
      <c r="A898" s="435">
        <v>38613</v>
      </c>
      <c r="B898" s="436" t="s">
        <v>31328</v>
      </c>
      <c r="C898" s="437" t="s">
        <v>30445</v>
      </c>
      <c r="D898" s="438">
        <v>269.51</v>
      </c>
    </row>
    <row r="899" spans="1:4">
      <c r="A899" s="435">
        <v>38614</v>
      </c>
      <c r="B899" s="436" t="s">
        <v>31329</v>
      </c>
      <c r="C899" s="437" t="s">
        <v>30445</v>
      </c>
      <c r="D899" s="438">
        <v>289.32</v>
      </c>
    </row>
    <row r="900" spans="1:4">
      <c r="A900" s="435">
        <v>38615</v>
      </c>
      <c r="B900" s="436" t="s">
        <v>31330</v>
      </c>
      <c r="C900" s="437" t="s">
        <v>30445</v>
      </c>
      <c r="D900" s="438">
        <v>253.78</v>
      </c>
    </row>
    <row r="901" spans="1:4">
      <c r="A901" s="435">
        <v>38616</v>
      </c>
      <c r="B901" s="436" t="s">
        <v>31331</v>
      </c>
      <c r="C901" s="437" t="s">
        <v>30445</v>
      </c>
      <c r="D901" s="438">
        <v>272.26</v>
      </c>
    </row>
    <row r="902" spans="1:4">
      <c r="A902" s="435">
        <v>38617</v>
      </c>
      <c r="B902" s="436" t="s">
        <v>31332</v>
      </c>
      <c r="C902" s="437" t="s">
        <v>30445</v>
      </c>
      <c r="D902" s="438">
        <v>227.29</v>
      </c>
    </row>
    <row r="903" spans="1:4">
      <c r="A903" s="435">
        <v>38618</v>
      </c>
      <c r="B903" s="436" t="s">
        <v>31333</v>
      </c>
      <c r="C903" s="437" t="s">
        <v>30445</v>
      </c>
      <c r="D903" s="438">
        <v>247.67</v>
      </c>
    </row>
    <row r="904" spans="1:4">
      <c r="A904" s="435">
        <v>38619</v>
      </c>
      <c r="B904" s="436" t="s">
        <v>31334</v>
      </c>
      <c r="C904" s="437" t="s">
        <v>30445</v>
      </c>
      <c r="D904" s="438">
        <v>148.34</v>
      </c>
    </row>
    <row r="905" spans="1:4">
      <c r="A905" s="435">
        <v>38620</v>
      </c>
      <c r="B905" s="436" t="s">
        <v>31335</v>
      </c>
      <c r="C905" s="437" t="s">
        <v>30445</v>
      </c>
      <c r="D905" s="438">
        <v>245.5</v>
      </c>
    </row>
    <row r="906" spans="1:4">
      <c r="A906" s="435">
        <v>38621</v>
      </c>
      <c r="B906" s="436" t="s">
        <v>31336</v>
      </c>
      <c r="C906" s="437" t="s">
        <v>30445</v>
      </c>
      <c r="D906" s="438">
        <v>225.52</v>
      </c>
    </row>
    <row r="907" spans="1:4">
      <c r="A907" s="435">
        <v>38622</v>
      </c>
      <c r="B907" s="436" t="s">
        <v>31337</v>
      </c>
      <c r="C907" s="437" t="s">
        <v>30445</v>
      </c>
      <c r="D907" s="438">
        <v>168.61</v>
      </c>
    </row>
    <row r="908" spans="1:4">
      <c r="A908" s="435">
        <v>38623</v>
      </c>
      <c r="B908" s="436" t="s">
        <v>31338</v>
      </c>
      <c r="C908" s="437" t="s">
        <v>30445</v>
      </c>
      <c r="D908" s="438">
        <v>188.13</v>
      </c>
    </row>
    <row r="909" spans="1:4">
      <c r="A909" s="435">
        <v>38624</v>
      </c>
      <c r="B909" s="436" t="s">
        <v>31339</v>
      </c>
      <c r="C909" s="437" t="s">
        <v>30445</v>
      </c>
      <c r="D909" s="438">
        <v>239.19</v>
      </c>
    </row>
    <row r="910" spans="1:4">
      <c r="A910" s="435">
        <v>38625</v>
      </c>
      <c r="B910" s="436" t="s">
        <v>31340</v>
      </c>
      <c r="C910" s="437" t="s">
        <v>30445</v>
      </c>
      <c r="D910" s="438">
        <v>205.75</v>
      </c>
    </row>
    <row r="911" spans="1:4">
      <c r="A911" s="435">
        <v>38626</v>
      </c>
      <c r="B911" s="436" t="s">
        <v>31341</v>
      </c>
      <c r="C911" s="437" t="s">
        <v>30445</v>
      </c>
      <c r="D911" s="438">
        <v>225.2</v>
      </c>
    </row>
    <row r="912" spans="1:4">
      <c r="A912" s="435">
        <v>38627</v>
      </c>
      <c r="B912" s="436" t="s">
        <v>31342</v>
      </c>
      <c r="C912" s="437" t="s">
        <v>30445</v>
      </c>
      <c r="D912" s="438">
        <v>286.82</v>
      </c>
    </row>
    <row r="913" spans="1:4">
      <c r="A913" s="435">
        <v>38628</v>
      </c>
      <c r="B913" s="436" t="s">
        <v>31343</v>
      </c>
      <c r="C913" s="437" t="s">
        <v>30445</v>
      </c>
      <c r="D913" s="438">
        <v>312.88</v>
      </c>
    </row>
    <row r="914" spans="1:4">
      <c r="A914" s="435">
        <v>38629</v>
      </c>
      <c r="B914" s="436" t="s">
        <v>31344</v>
      </c>
      <c r="C914" s="437" t="s">
        <v>30445</v>
      </c>
      <c r="D914" s="438">
        <v>283.89999999999998</v>
      </c>
    </row>
    <row r="915" spans="1:4">
      <c r="A915" s="435">
        <v>38630</v>
      </c>
      <c r="B915" s="436" t="s">
        <v>31345</v>
      </c>
      <c r="C915" s="437" t="s">
        <v>30445</v>
      </c>
      <c r="D915" s="438">
        <v>279.74</v>
      </c>
    </row>
    <row r="916" spans="1:4">
      <c r="A916" s="435">
        <v>38631</v>
      </c>
      <c r="B916" s="436" t="s">
        <v>31346</v>
      </c>
      <c r="C916" s="437" t="s">
        <v>30445</v>
      </c>
      <c r="D916" s="438">
        <v>384.76</v>
      </c>
    </row>
    <row r="917" spans="1:4">
      <c r="A917" s="435">
        <v>38632</v>
      </c>
      <c r="B917" s="436" t="s">
        <v>31347</v>
      </c>
      <c r="C917" s="437" t="s">
        <v>30445</v>
      </c>
      <c r="D917" s="438">
        <v>415.22</v>
      </c>
    </row>
    <row r="918" spans="1:4">
      <c r="A918" s="435">
        <v>38633</v>
      </c>
      <c r="B918" s="436" t="s">
        <v>31348</v>
      </c>
      <c r="C918" s="437" t="s">
        <v>30445</v>
      </c>
      <c r="D918" s="438">
        <v>389.68</v>
      </c>
    </row>
    <row r="919" spans="1:4">
      <c r="A919" s="435">
        <v>38634</v>
      </c>
      <c r="B919" s="436" t="s">
        <v>31349</v>
      </c>
      <c r="C919" s="437" t="s">
        <v>30445</v>
      </c>
      <c r="D919" s="438">
        <v>747.54</v>
      </c>
    </row>
    <row r="920" spans="1:4">
      <c r="A920" s="435">
        <v>38635</v>
      </c>
      <c r="B920" s="436" t="s">
        <v>31350</v>
      </c>
      <c r="C920" s="437" t="s">
        <v>30445</v>
      </c>
      <c r="D920" s="438">
        <v>491.65</v>
      </c>
    </row>
    <row r="921" spans="1:4">
      <c r="A921" s="435">
        <v>38636</v>
      </c>
      <c r="B921" s="436" t="s">
        <v>31351</v>
      </c>
      <c r="C921" s="437" t="s">
        <v>30445</v>
      </c>
      <c r="D921" s="438">
        <v>912.52</v>
      </c>
    </row>
    <row r="922" spans="1:4">
      <c r="A922" s="435">
        <v>38637</v>
      </c>
      <c r="B922" s="436" t="s">
        <v>31352</v>
      </c>
      <c r="C922" s="437" t="s">
        <v>30445</v>
      </c>
      <c r="D922" s="438">
        <v>649.36</v>
      </c>
    </row>
    <row r="923" spans="1:4">
      <c r="A923" s="435">
        <v>38638</v>
      </c>
      <c r="B923" s="436" t="s">
        <v>31353</v>
      </c>
      <c r="C923" s="437" t="s">
        <v>30445</v>
      </c>
      <c r="D923" s="438">
        <v>757.35</v>
      </c>
    </row>
    <row r="924" spans="1:4">
      <c r="A924" s="435">
        <v>38639</v>
      </c>
      <c r="B924" s="436" t="s">
        <v>31354</v>
      </c>
      <c r="C924" s="437" t="s">
        <v>30445</v>
      </c>
      <c r="D924" s="438">
        <v>580.69000000000005</v>
      </c>
    </row>
    <row r="925" spans="1:4">
      <c r="A925" s="435">
        <v>38640</v>
      </c>
      <c r="B925" s="436" t="s">
        <v>31355</v>
      </c>
      <c r="C925" s="437" t="s">
        <v>30445</v>
      </c>
      <c r="D925" s="438">
        <v>1363.51</v>
      </c>
    </row>
    <row r="926" spans="1:4">
      <c r="A926" s="435">
        <v>38641</v>
      </c>
      <c r="B926" s="436" t="s">
        <v>31356</v>
      </c>
      <c r="C926" s="437" t="s">
        <v>30445</v>
      </c>
      <c r="D926" s="438">
        <v>602.54999999999995</v>
      </c>
    </row>
    <row r="927" spans="1:4">
      <c r="A927" s="435">
        <v>38642</v>
      </c>
      <c r="B927" s="436" t="s">
        <v>31357</v>
      </c>
      <c r="C927" s="437" t="s">
        <v>30445</v>
      </c>
      <c r="D927" s="438">
        <v>834.15</v>
      </c>
    </row>
    <row r="928" spans="1:4">
      <c r="A928" s="435">
        <v>38643</v>
      </c>
      <c r="B928" s="436" t="s">
        <v>31358</v>
      </c>
      <c r="C928" s="437" t="s">
        <v>30445</v>
      </c>
      <c r="D928" s="438">
        <v>510.05</v>
      </c>
    </row>
    <row r="929" spans="1:4">
      <c r="A929" s="435">
        <v>38644</v>
      </c>
      <c r="B929" s="436" t="s">
        <v>31359</v>
      </c>
      <c r="C929" s="437" t="s">
        <v>30445</v>
      </c>
      <c r="D929" s="438">
        <v>695.71</v>
      </c>
    </row>
    <row r="930" spans="1:4">
      <c r="A930" s="435">
        <v>38645</v>
      </c>
      <c r="B930" s="436" t="s">
        <v>31360</v>
      </c>
      <c r="C930" s="437" t="s">
        <v>30445</v>
      </c>
      <c r="D930" s="438">
        <v>499.39</v>
      </c>
    </row>
    <row r="931" spans="1:4">
      <c r="A931" s="435">
        <v>38646</v>
      </c>
      <c r="B931" s="436" t="s">
        <v>31361</v>
      </c>
      <c r="C931" s="437" t="s">
        <v>30445</v>
      </c>
      <c r="D931" s="438">
        <v>1156.27</v>
      </c>
    </row>
    <row r="932" spans="1:4">
      <c r="A932" s="435">
        <v>38647</v>
      </c>
      <c r="B932" s="436" t="s">
        <v>31362</v>
      </c>
      <c r="C932" s="437" t="s">
        <v>30445</v>
      </c>
      <c r="D932" s="438">
        <v>622.9</v>
      </c>
    </row>
    <row r="933" spans="1:4">
      <c r="A933" s="435">
        <v>38648</v>
      </c>
      <c r="B933" s="436" t="s">
        <v>31363</v>
      </c>
      <c r="C933" s="437" t="s">
        <v>30445</v>
      </c>
      <c r="D933" s="438">
        <v>1287.24</v>
      </c>
    </row>
    <row r="934" spans="1:4">
      <c r="A934" s="435">
        <v>38649</v>
      </c>
      <c r="B934" s="436" t="s">
        <v>31364</v>
      </c>
      <c r="C934" s="437" t="s">
        <v>30445</v>
      </c>
      <c r="D934" s="438">
        <v>486.17</v>
      </c>
    </row>
    <row r="935" spans="1:4">
      <c r="A935" s="435">
        <v>38650</v>
      </c>
      <c r="B935" s="436" t="s">
        <v>31365</v>
      </c>
      <c r="C935" s="437" t="s">
        <v>30445</v>
      </c>
      <c r="D935" s="438">
        <v>746.88</v>
      </c>
    </row>
    <row r="936" spans="1:4">
      <c r="A936" s="435">
        <v>38651</v>
      </c>
      <c r="B936" s="436" t="s">
        <v>31366</v>
      </c>
      <c r="C936" s="437" t="s">
        <v>30445</v>
      </c>
      <c r="D936" s="438">
        <v>396.33</v>
      </c>
    </row>
    <row r="937" spans="1:4">
      <c r="A937" s="435">
        <v>38652</v>
      </c>
      <c r="B937" s="436" t="s">
        <v>31367</v>
      </c>
      <c r="C937" s="437" t="s">
        <v>30445</v>
      </c>
      <c r="D937" s="438">
        <v>646.46</v>
      </c>
    </row>
    <row r="938" spans="1:4">
      <c r="A938" s="435">
        <v>38653</v>
      </c>
      <c r="B938" s="436" t="s">
        <v>31368</v>
      </c>
      <c r="C938" s="437" t="s">
        <v>30445</v>
      </c>
      <c r="D938" s="438">
        <v>543.62</v>
      </c>
    </row>
    <row r="939" spans="1:4">
      <c r="A939" s="435">
        <v>38654</v>
      </c>
      <c r="B939" s="436" t="s">
        <v>31369</v>
      </c>
      <c r="C939" s="437" t="s">
        <v>30445</v>
      </c>
      <c r="D939" s="438">
        <v>588.28</v>
      </c>
    </row>
    <row r="940" spans="1:4">
      <c r="A940" s="435">
        <v>38655</v>
      </c>
      <c r="B940" s="436" t="s">
        <v>31370</v>
      </c>
      <c r="C940" s="437" t="s">
        <v>30445</v>
      </c>
      <c r="D940" s="438">
        <v>623.53</v>
      </c>
    </row>
    <row r="941" spans="1:4">
      <c r="A941" s="435">
        <v>38656</v>
      </c>
      <c r="B941" s="436" t="s">
        <v>31371</v>
      </c>
      <c r="C941" s="437" t="s">
        <v>30445</v>
      </c>
      <c r="D941" s="438">
        <v>1122.01</v>
      </c>
    </row>
    <row r="942" spans="1:4">
      <c r="A942" s="435">
        <v>38657</v>
      </c>
      <c r="B942" s="436" t="s">
        <v>31372</v>
      </c>
      <c r="C942" s="437" t="s">
        <v>30445</v>
      </c>
      <c r="D942" s="438">
        <v>485.95</v>
      </c>
    </row>
    <row r="943" spans="1:4">
      <c r="A943" s="435">
        <v>38658</v>
      </c>
      <c r="B943" s="436" t="s">
        <v>31373</v>
      </c>
      <c r="C943" s="437" t="s">
        <v>30445</v>
      </c>
      <c r="D943" s="438">
        <v>968.1</v>
      </c>
    </row>
    <row r="944" spans="1:4">
      <c r="A944" s="435">
        <v>38659</v>
      </c>
      <c r="B944" s="436" t="s">
        <v>31374</v>
      </c>
      <c r="C944" s="437" t="s">
        <v>30445</v>
      </c>
      <c r="D944" s="438">
        <v>453.79</v>
      </c>
    </row>
    <row r="945" spans="1:4">
      <c r="A945" s="435">
        <v>38660</v>
      </c>
      <c r="B945" s="436" t="s">
        <v>31375</v>
      </c>
      <c r="C945" s="437" t="s">
        <v>30445</v>
      </c>
      <c r="D945" s="438">
        <v>1303.01</v>
      </c>
    </row>
    <row r="946" spans="1:4">
      <c r="A946" s="435">
        <v>38661</v>
      </c>
      <c r="B946" s="436" t="s">
        <v>31376</v>
      </c>
      <c r="C946" s="437" t="s">
        <v>30445</v>
      </c>
      <c r="D946" s="438">
        <v>516.87</v>
      </c>
    </row>
    <row r="947" spans="1:4">
      <c r="A947" s="435">
        <v>38662</v>
      </c>
      <c r="B947" s="436" t="s">
        <v>31377</v>
      </c>
      <c r="C947" s="437" t="s">
        <v>30445</v>
      </c>
      <c r="D947" s="438">
        <v>734.52</v>
      </c>
    </row>
    <row r="948" spans="1:4">
      <c r="A948" s="435">
        <v>38663</v>
      </c>
      <c r="B948" s="436" t="s">
        <v>31378</v>
      </c>
      <c r="C948" s="437" t="s">
        <v>30445</v>
      </c>
      <c r="D948" s="438">
        <v>585.65</v>
      </c>
    </row>
    <row r="949" spans="1:4">
      <c r="A949" s="435">
        <v>38664</v>
      </c>
      <c r="B949" s="436" t="s">
        <v>31379</v>
      </c>
      <c r="C949" s="437" t="s">
        <v>30445</v>
      </c>
      <c r="D949" s="438">
        <v>1153.3599999999999</v>
      </c>
    </row>
    <row r="950" spans="1:4">
      <c r="A950" s="435">
        <v>38665</v>
      </c>
      <c r="B950" s="436" t="s">
        <v>31380</v>
      </c>
      <c r="C950" s="437" t="s">
        <v>30445</v>
      </c>
      <c r="D950" s="438">
        <v>493.17</v>
      </c>
    </row>
    <row r="951" spans="1:4">
      <c r="A951" s="435">
        <v>38666</v>
      </c>
      <c r="B951" s="436" t="s">
        <v>31381</v>
      </c>
      <c r="C951" s="437" t="s">
        <v>30445</v>
      </c>
      <c r="D951" s="438">
        <v>1203.97</v>
      </c>
    </row>
    <row r="952" spans="1:4">
      <c r="A952" s="435">
        <v>38667</v>
      </c>
      <c r="B952" s="436" t="s">
        <v>31382</v>
      </c>
      <c r="C952" s="437" t="s">
        <v>30445</v>
      </c>
      <c r="D952" s="438">
        <v>323.20999999999998</v>
      </c>
    </row>
    <row r="953" spans="1:4">
      <c r="A953" s="435">
        <v>38668</v>
      </c>
      <c r="B953" s="436" t="s">
        <v>31383</v>
      </c>
      <c r="C953" s="437" t="s">
        <v>30445</v>
      </c>
      <c r="D953" s="438">
        <v>846.73</v>
      </c>
    </row>
    <row r="954" spans="1:4">
      <c r="A954" s="435">
        <v>38669</v>
      </c>
      <c r="B954" s="436" t="s">
        <v>31384</v>
      </c>
      <c r="C954" s="437" t="s">
        <v>30445</v>
      </c>
      <c r="D954" s="438">
        <v>595.41999999999996</v>
      </c>
    </row>
    <row r="955" spans="1:4">
      <c r="A955" s="435">
        <v>38670</v>
      </c>
      <c r="B955" s="436" t="s">
        <v>31385</v>
      </c>
      <c r="C955" s="437" t="s">
        <v>30445</v>
      </c>
      <c r="D955" s="438">
        <v>690.54</v>
      </c>
    </row>
    <row r="956" spans="1:4">
      <c r="A956" s="435">
        <v>38671</v>
      </c>
      <c r="B956" s="436" t="s">
        <v>31386</v>
      </c>
      <c r="C956" s="437" t="s">
        <v>30445</v>
      </c>
      <c r="D956" s="438">
        <v>356.15</v>
      </c>
    </row>
    <row r="957" spans="1:4">
      <c r="A957" s="435">
        <v>38672</v>
      </c>
      <c r="B957" s="436" t="s">
        <v>31387</v>
      </c>
      <c r="C957" s="437" t="s">
        <v>30445</v>
      </c>
      <c r="D957" s="438">
        <v>571.24</v>
      </c>
    </row>
    <row r="958" spans="1:4">
      <c r="A958" s="435">
        <v>38673</v>
      </c>
      <c r="B958" s="436" t="s">
        <v>31388</v>
      </c>
      <c r="C958" s="437" t="s">
        <v>30445</v>
      </c>
      <c r="D958" s="438">
        <v>584.95000000000005</v>
      </c>
    </row>
    <row r="959" spans="1:4">
      <c r="A959" s="435">
        <v>38674</v>
      </c>
      <c r="B959" s="436" t="s">
        <v>31389</v>
      </c>
      <c r="C959" s="437" t="s">
        <v>30445</v>
      </c>
      <c r="D959" s="438">
        <v>564.82000000000005</v>
      </c>
    </row>
    <row r="960" spans="1:4">
      <c r="A960" s="435">
        <v>38675</v>
      </c>
      <c r="B960" s="436" t="s">
        <v>31390</v>
      </c>
      <c r="C960" s="437" t="s">
        <v>30445</v>
      </c>
      <c r="D960" s="438">
        <v>655.44</v>
      </c>
    </row>
    <row r="961" spans="1:4">
      <c r="A961" s="435">
        <v>38676</v>
      </c>
      <c r="B961" s="436" t="s">
        <v>31391</v>
      </c>
      <c r="C961" s="437" t="s">
        <v>30445</v>
      </c>
      <c r="D961" s="438">
        <v>1054.6099999999999</v>
      </c>
    </row>
    <row r="962" spans="1:4">
      <c r="A962" s="435">
        <v>38677</v>
      </c>
      <c r="B962" s="436" t="s">
        <v>31392</v>
      </c>
      <c r="C962" s="437" t="s">
        <v>30445</v>
      </c>
      <c r="D962" s="438">
        <v>520.39</v>
      </c>
    </row>
    <row r="963" spans="1:4">
      <c r="A963" s="435">
        <v>38678</v>
      </c>
      <c r="B963" s="436" t="s">
        <v>31393</v>
      </c>
      <c r="C963" s="437" t="s">
        <v>30445</v>
      </c>
      <c r="D963" s="438">
        <v>879.72</v>
      </c>
    </row>
    <row r="964" spans="1:4">
      <c r="A964" s="435">
        <v>38679</v>
      </c>
      <c r="B964" s="436" t="s">
        <v>31394</v>
      </c>
      <c r="C964" s="437" t="s">
        <v>30445</v>
      </c>
      <c r="D964" s="438">
        <v>468.12</v>
      </c>
    </row>
    <row r="965" spans="1:4">
      <c r="A965" s="435">
        <v>38680</v>
      </c>
      <c r="B965" s="436" t="s">
        <v>31395</v>
      </c>
      <c r="C965" s="437" t="s">
        <v>30445</v>
      </c>
      <c r="D965" s="438">
        <v>637.73</v>
      </c>
    </row>
    <row r="966" spans="1:4">
      <c r="A966" s="435">
        <v>38681</v>
      </c>
      <c r="B966" s="436" t="s">
        <v>31396</v>
      </c>
      <c r="C966" s="437" t="s">
        <v>30445</v>
      </c>
      <c r="D966" s="438">
        <v>498.83</v>
      </c>
    </row>
    <row r="967" spans="1:4">
      <c r="A967" s="435">
        <v>38682</v>
      </c>
      <c r="B967" s="436" t="s">
        <v>31397</v>
      </c>
      <c r="C967" s="437" t="s">
        <v>30445</v>
      </c>
      <c r="D967" s="438">
        <v>644.12</v>
      </c>
    </row>
    <row r="968" spans="1:4">
      <c r="A968" s="435">
        <v>38683</v>
      </c>
      <c r="B968" s="436" t="s">
        <v>31398</v>
      </c>
      <c r="C968" s="437" t="s">
        <v>30445</v>
      </c>
      <c r="D968" s="438">
        <v>424.92</v>
      </c>
    </row>
    <row r="969" spans="1:4">
      <c r="A969" s="435">
        <v>38684</v>
      </c>
      <c r="B969" s="436" t="s">
        <v>31399</v>
      </c>
      <c r="C969" s="437" t="s">
        <v>30445</v>
      </c>
      <c r="D969" s="438">
        <v>1044.3599999999999</v>
      </c>
    </row>
    <row r="970" spans="1:4">
      <c r="A970" s="435">
        <v>38685</v>
      </c>
      <c r="B970" s="436" t="s">
        <v>31400</v>
      </c>
      <c r="C970" s="437" t="s">
        <v>30445</v>
      </c>
      <c r="D970" s="438">
        <v>541.89</v>
      </c>
    </row>
    <row r="971" spans="1:4">
      <c r="A971" s="435">
        <v>38686</v>
      </c>
      <c r="B971" s="436" t="s">
        <v>31401</v>
      </c>
      <c r="C971" s="437" t="s">
        <v>30445</v>
      </c>
      <c r="D971" s="438">
        <v>480.34</v>
      </c>
    </row>
    <row r="972" spans="1:4">
      <c r="A972" s="435">
        <v>38687</v>
      </c>
      <c r="B972" s="436" t="s">
        <v>31402</v>
      </c>
      <c r="C972" s="437" t="s">
        <v>30445</v>
      </c>
      <c r="D972" s="438">
        <v>488.87</v>
      </c>
    </row>
    <row r="973" spans="1:4">
      <c r="A973" s="435">
        <v>38688</v>
      </c>
      <c r="B973" s="436" t="s">
        <v>31403</v>
      </c>
      <c r="C973" s="437" t="s">
        <v>30445</v>
      </c>
      <c r="D973" s="438">
        <v>552.74</v>
      </c>
    </row>
    <row r="974" spans="1:4">
      <c r="A974" s="435">
        <v>38689</v>
      </c>
      <c r="B974" s="436" t="s">
        <v>31404</v>
      </c>
      <c r="C974" s="437" t="s">
        <v>30445</v>
      </c>
      <c r="D974" s="438">
        <v>430.88</v>
      </c>
    </row>
    <row r="975" spans="1:4">
      <c r="A975" s="435">
        <v>38690</v>
      </c>
      <c r="B975" s="436" t="s">
        <v>31405</v>
      </c>
      <c r="C975" s="437" t="s">
        <v>30445</v>
      </c>
      <c r="D975" s="438">
        <v>1056.76</v>
      </c>
    </row>
    <row r="976" spans="1:4">
      <c r="A976" s="435">
        <v>38691</v>
      </c>
      <c r="B976" s="436" t="s">
        <v>31406</v>
      </c>
      <c r="C976" s="437" t="s">
        <v>30445</v>
      </c>
      <c r="D976" s="438">
        <v>583.16</v>
      </c>
    </row>
    <row r="977" spans="1:4">
      <c r="A977" s="435">
        <v>38692</v>
      </c>
      <c r="B977" s="436" t="s">
        <v>31407</v>
      </c>
      <c r="C977" s="437" t="s">
        <v>30445</v>
      </c>
      <c r="D977" s="438">
        <v>454.77</v>
      </c>
    </row>
    <row r="978" spans="1:4">
      <c r="A978" s="435">
        <v>38693</v>
      </c>
      <c r="B978" s="436" t="s">
        <v>31408</v>
      </c>
      <c r="C978" s="437" t="s">
        <v>30445</v>
      </c>
      <c r="D978" s="438">
        <v>543.28</v>
      </c>
    </row>
    <row r="979" spans="1:4">
      <c r="A979" s="435">
        <v>38694</v>
      </c>
      <c r="B979" s="436" t="s">
        <v>31409</v>
      </c>
      <c r="C979" s="437" t="s">
        <v>30445</v>
      </c>
      <c r="D979" s="438">
        <v>457.36</v>
      </c>
    </row>
    <row r="980" spans="1:4">
      <c r="A980" s="431">
        <v>39000</v>
      </c>
      <c r="B980" s="432" t="s">
        <v>30794</v>
      </c>
      <c r="C980" s="433"/>
      <c r="D980" s="434" t="s">
        <v>30434</v>
      </c>
    </row>
    <row r="981" spans="1:4">
      <c r="A981" s="435">
        <v>39010</v>
      </c>
      <c r="B981" s="436" t="s">
        <v>31410</v>
      </c>
      <c r="C981" s="437" t="s">
        <v>30463</v>
      </c>
      <c r="D981" s="438">
        <v>56.35</v>
      </c>
    </row>
    <row r="982" spans="1:4">
      <c r="A982" s="435">
        <v>39020</v>
      </c>
      <c r="B982" s="436" t="s">
        <v>31411</v>
      </c>
      <c r="C982" s="437" t="s">
        <v>30463</v>
      </c>
      <c r="D982" s="438">
        <v>4.9800000000000004</v>
      </c>
    </row>
    <row r="983" spans="1:4">
      <c r="A983" s="435">
        <v>39024</v>
      </c>
      <c r="B983" s="436" t="s">
        <v>31412</v>
      </c>
      <c r="C983" s="437" t="s">
        <v>509</v>
      </c>
      <c r="D983" s="438">
        <v>7.22</v>
      </c>
    </row>
    <row r="984" spans="1:4">
      <c r="A984" s="435">
        <v>39025</v>
      </c>
      <c r="B984" s="436" t="s">
        <v>31413</v>
      </c>
      <c r="C984" s="437" t="s">
        <v>509</v>
      </c>
      <c r="D984" s="438">
        <v>7.12</v>
      </c>
    </row>
    <row r="985" spans="1:4">
      <c r="A985" s="435">
        <v>39031</v>
      </c>
      <c r="B985" s="436" t="s">
        <v>31414</v>
      </c>
      <c r="C985" s="437" t="s">
        <v>153</v>
      </c>
      <c r="D985" s="438">
        <v>24.81</v>
      </c>
    </row>
    <row r="986" spans="1:4">
      <c r="A986" s="435">
        <v>39032</v>
      </c>
      <c r="B986" s="436" t="s">
        <v>39334</v>
      </c>
      <c r="C986" s="437" t="s">
        <v>153</v>
      </c>
      <c r="D986" s="438">
        <v>99.35</v>
      </c>
    </row>
    <row r="987" spans="1:4">
      <c r="A987" s="435">
        <v>39033</v>
      </c>
      <c r="B987" s="436" t="s">
        <v>31415</v>
      </c>
      <c r="C987" s="437" t="s">
        <v>153</v>
      </c>
      <c r="D987" s="438">
        <v>102.36</v>
      </c>
    </row>
    <row r="988" spans="1:4">
      <c r="A988" s="435">
        <v>39046</v>
      </c>
      <c r="B988" s="436" t="s">
        <v>31416</v>
      </c>
      <c r="C988" s="437" t="s">
        <v>103</v>
      </c>
      <c r="D988" s="438">
        <v>705.54</v>
      </c>
    </row>
    <row r="989" spans="1:4">
      <c r="A989" s="435">
        <v>39050</v>
      </c>
      <c r="B989" s="436" t="s">
        <v>31417</v>
      </c>
      <c r="C989" s="437" t="s">
        <v>30463</v>
      </c>
      <c r="D989" s="438">
        <v>6.62</v>
      </c>
    </row>
    <row r="990" spans="1:4">
      <c r="A990" s="435">
        <v>39055</v>
      </c>
      <c r="B990" s="436" t="s">
        <v>31418</v>
      </c>
      <c r="C990" s="437" t="s">
        <v>30463</v>
      </c>
      <c r="D990" s="438">
        <v>65.349999999999994</v>
      </c>
    </row>
    <row r="991" spans="1:4">
      <c r="A991" s="435">
        <v>39060</v>
      </c>
      <c r="B991" s="436" t="s">
        <v>31419</v>
      </c>
      <c r="C991" s="437" t="s">
        <v>509</v>
      </c>
      <c r="D991" s="438">
        <v>244.55</v>
      </c>
    </row>
    <row r="992" spans="1:4">
      <c r="A992" s="435">
        <v>39061</v>
      </c>
      <c r="B992" s="436" t="s">
        <v>31420</v>
      </c>
      <c r="C992" s="437" t="s">
        <v>509</v>
      </c>
      <c r="D992" s="438">
        <v>333.5</v>
      </c>
    </row>
    <row r="993" spans="1:4">
      <c r="A993" s="435">
        <v>39062</v>
      </c>
      <c r="B993" s="436" t="s">
        <v>31421</v>
      </c>
      <c r="C993" s="437" t="s">
        <v>509</v>
      </c>
      <c r="D993" s="438">
        <v>245.38</v>
      </c>
    </row>
    <row r="994" spans="1:4">
      <c r="A994" s="431">
        <v>45000</v>
      </c>
      <c r="B994" s="432" t="s">
        <v>31422</v>
      </c>
      <c r="C994" s="433"/>
      <c r="D994" s="434" t="s">
        <v>30434</v>
      </c>
    </row>
    <row r="995" spans="1:4">
      <c r="A995" s="435">
        <v>45001</v>
      </c>
      <c r="B995" s="436" t="s">
        <v>31423</v>
      </c>
      <c r="C995" s="437" t="s">
        <v>509</v>
      </c>
      <c r="D995" s="438">
        <v>983.09</v>
      </c>
    </row>
    <row r="996" spans="1:4">
      <c r="A996" s="435">
        <v>45004</v>
      </c>
      <c r="B996" s="436" t="s">
        <v>31424</v>
      </c>
      <c r="C996" s="437" t="s">
        <v>509</v>
      </c>
      <c r="D996" s="438">
        <v>362.61</v>
      </c>
    </row>
    <row r="997" spans="1:4" ht="25">
      <c r="A997" s="435">
        <v>45008</v>
      </c>
      <c r="B997" s="436" t="s">
        <v>31425</v>
      </c>
      <c r="C997" s="437" t="s">
        <v>153</v>
      </c>
      <c r="D997" s="438">
        <v>9.76</v>
      </c>
    </row>
    <row r="998" spans="1:4" ht="25">
      <c r="A998" s="435">
        <v>45010</v>
      </c>
      <c r="B998" s="436" t="s">
        <v>31426</v>
      </c>
      <c r="C998" s="437" t="s">
        <v>153</v>
      </c>
      <c r="D998" s="438">
        <v>15.64</v>
      </c>
    </row>
    <row r="999" spans="1:4" ht="25">
      <c r="A999" s="435">
        <v>45012</v>
      </c>
      <c r="B999" s="436" t="s">
        <v>31427</v>
      </c>
      <c r="C999" s="437" t="s">
        <v>153</v>
      </c>
      <c r="D999" s="438">
        <v>16.079999999999998</v>
      </c>
    </row>
    <row r="1000" spans="1:4" ht="25">
      <c r="A1000" s="435">
        <v>45013</v>
      </c>
      <c r="B1000" s="436" t="s">
        <v>31428</v>
      </c>
      <c r="C1000" s="437" t="s">
        <v>153</v>
      </c>
      <c r="D1000" s="438">
        <v>15.67</v>
      </c>
    </row>
    <row r="1001" spans="1:4">
      <c r="A1001" s="435">
        <v>45015</v>
      </c>
      <c r="B1001" s="436" t="s">
        <v>31429</v>
      </c>
      <c r="C1001" s="437" t="s">
        <v>30445</v>
      </c>
      <c r="D1001" s="438">
        <v>986.99</v>
      </c>
    </row>
    <row r="1002" spans="1:4" ht="25">
      <c r="A1002" s="435">
        <v>45023</v>
      </c>
      <c r="B1002" s="436" t="s">
        <v>31430</v>
      </c>
      <c r="C1002" s="437" t="s">
        <v>30445</v>
      </c>
      <c r="D1002" s="438">
        <v>659.5</v>
      </c>
    </row>
    <row r="1003" spans="1:4" ht="25">
      <c r="A1003" s="435">
        <v>45025</v>
      </c>
      <c r="B1003" s="436" t="s">
        <v>31431</v>
      </c>
      <c r="C1003" s="437" t="s">
        <v>396</v>
      </c>
      <c r="D1003" s="438">
        <v>13065.89</v>
      </c>
    </row>
    <row r="1004" spans="1:4">
      <c r="A1004" s="431">
        <v>50000</v>
      </c>
      <c r="B1004" s="432" t="s">
        <v>31432</v>
      </c>
      <c r="C1004" s="433"/>
      <c r="D1004" s="434" t="s">
        <v>30434</v>
      </c>
    </row>
    <row r="1005" spans="1:4">
      <c r="A1005" s="435">
        <v>50008</v>
      </c>
      <c r="B1005" s="436" t="s">
        <v>31433</v>
      </c>
      <c r="C1005" s="437" t="s">
        <v>30445</v>
      </c>
      <c r="D1005" s="438">
        <v>1148.22</v>
      </c>
    </row>
    <row r="1006" spans="1:4">
      <c r="A1006" s="435">
        <v>50009</v>
      </c>
      <c r="B1006" s="436" t="s">
        <v>31434</v>
      </c>
      <c r="C1006" s="437" t="s">
        <v>30445</v>
      </c>
      <c r="D1006" s="438">
        <v>732.38</v>
      </c>
    </row>
    <row r="1007" spans="1:4">
      <c r="A1007" s="435">
        <v>50010</v>
      </c>
      <c r="B1007" s="436" t="s">
        <v>31435</v>
      </c>
      <c r="C1007" s="437" t="s">
        <v>30445</v>
      </c>
      <c r="D1007" s="438">
        <v>965.7</v>
      </c>
    </row>
    <row r="1008" spans="1:4">
      <c r="A1008" s="435">
        <v>50030</v>
      </c>
      <c r="B1008" s="436" t="s">
        <v>31436</v>
      </c>
      <c r="C1008" s="437" t="s">
        <v>30445</v>
      </c>
      <c r="D1008" s="438">
        <v>1230.6400000000001</v>
      </c>
    </row>
    <row r="1009" spans="1:4">
      <c r="A1009" s="435">
        <v>50031</v>
      </c>
      <c r="B1009" s="436" t="s">
        <v>31437</v>
      </c>
      <c r="C1009" s="437" t="s">
        <v>30445</v>
      </c>
      <c r="D1009" s="438">
        <v>1454.92</v>
      </c>
    </row>
    <row r="1010" spans="1:4">
      <c r="A1010" s="435">
        <v>50032</v>
      </c>
      <c r="B1010" s="436" t="s">
        <v>31438</v>
      </c>
      <c r="C1010" s="437" t="s">
        <v>30445</v>
      </c>
      <c r="D1010" s="438">
        <v>1657.7</v>
      </c>
    </row>
    <row r="1011" spans="1:4">
      <c r="A1011" s="435">
        <v>50033</v>
      </c>
      <c r="B1011" s="436" t="s">
        <v>31439</v>
      </c>
      <c r="C1011" s="437" t="s">
        <v>30445</v>
      </c>
      <c r="D1011" s="438">
        <v>1898.6</v>
      </c>
    </row>
    <row r="1012" spans="1:4">
      <c r="A1012" s="431">
        <v>50800</v>
      </c>
      <c r="B1012" s="432" t="s">
        <v>31440</v>
      </c>
      <c r="C1012" s="433"/>
      <c r="D1012" s="434" t="s">
        <v>30434</v>
      </c>
    </row>
    <row r="1013" spans="1:4">
      <c r="A1013" s="435">
        <v>50826</v>
      </c>
      <c r="B1013" s="436" t="s">
        <v>31441</v>
      </c>
      <c r="C1013" s="437" t="s">
        <v>30445</v>
      </c>
      <c r="D1013" s="438">
        <v>1721.96</v>
      </c>
    </row>
    <row r="1014" spans="1:4">
      <c r="A1014" s="435">
        <v>50827</v>
      </c>
      <c r="B1014" s="436" t="s">
        <v>31442</v>
      </c>
      <c r="C1014" s="437" t="s">
        <v>30445</v>
      </c>
      <c r="D1014" s="438">
        <v>611.72</v>
      </c>
    </row>
    <row r="1015" spans="1:4">
      <c r="A1015" s="435">
        <v>50830</v>
      </c>
      <c r="B1015" s="436" t="s">
        <v>31443</v>
      </c>
      <c r="C1015" s="437" t="s">
        <v>30445</v>
      </c>
      <c r="D1015" s="438">
        <v>95.02</v>
      </c>
    </row>
    <row r="1016" spans="1:4">
      <c r="A1016" s="431">
        <v>51200</v>
      </c>
      <c r="B1016" s="432" t="s">
        <v>31444</v>
      </c>
      <c r="C1016" s="433"/>
      <c r="D1016" s="434" t="s">
        <v>30434</v>
      </c>
    </row>
    <row r="1017" spans="1:4" ht="25">
      <c r="A1017" s="435">
        <v>51216</v>
      </c>
      <c r="B1017" s="436" t="s">
        <v>31445</v>
      </c>
      <c r="C1017" s="437" t="s">
        <v>30445</v>
      </c>
      <c r="D1017" s="438">
        <v>565.70000000000005</v>
      </c>
    </row>
    <row r="1018" spans="1:4" ht="25">
      <c r="A1018" s="435">
        <v>51222</v>
      </c>
      <c r="B1018" s="436" t="s">
        <v>31446</v>
      </c>
      <c r="C1018" s="437" t="s">
        <v>30445</v>
      </c>
      <c r="D1018" s="438">
        <v>1219.74</v>
      </c>
    </row>
    <row r="1019" spans="1:4" ht="25">
      <c r="A1019" s="435">
        <v>51228</v>
      </c>
      <c r="B1019" s="436" t="s">
        <v>31447</v>
      </c>
      <c r="C1019" s="437" t="s">
        <v>30445</v>
      </c>
      <c r="D1019" s="438">
        <v>780.3</v>
      </c>
    </row>
    <row r="1020" spans="1:4" ht="25">
      <c r="A1020" s="435">
        <v>51232</v>
      </c>
      <c r="B1020" s="436" t="s">
        <v>31448</v>
      </c>
      <c r="C1020" s="437" t="s">
        <v>30445</v>
      </c>
      <c r="D1020" s="438">
        <v>1322.5</v>
      </c>
    </row>
    <row r="1021" spans="1:4" ht="25">
      <c r="A1021" s="435">
        <v>51239</v>
      </c>
      <c r="B1021" s="436" t="s">
        <v>31449</v>
      </c>
      <c r="C1021" s="437" t="s">
        <v>30445</v>
      </c>
      <c r="D1021" s="438">
        <v>1615.92</v>
      </c>
    </row>
    <row r="1022" spans="1:4" ht="25">
      <c r="A1022" s="435">
        <v>51241</v>
      </c>
      <c r="B1022" s="436" t="s">
        <v>31450</v>
      </c>
      <c r="C1022" s="437" t="s">
        <v>30445</v>
      </c>
      <c r="D1022" s="438">
        <v>2969.08</v>
      </c>
    </row>
    <row r="1023" spans="1:4">
      <c r="A1023" s="435">
        <v>51245</v>
      </c>
      <c r="B1023" s="436" t="s">
        <v>31451</v>
      </c>
      <c r="C1023" s="437" t="s">
        <v>30445</v>
      </c>
      <c r="D1023" s="438">
        <v>744.33</v>
      </c>
    </row>
    <row r="1024" spans="1:4">
      <c r="A1024" s="435">
        <v>51250</v>
      </c>
      <c r="B1024" s="436" t="s">
        <v>31452</v>
      </c>
      <c r="C1024" s="437" t="s">
        <v>30445</v>
      </c>
      <c r="D1024" s="438">
        <v>2159.5300000000002</v>
      </c>
    </row>
    <row r="1025" spans="1:4">
      <c r="A1025" s="435">
        <v>51264</v>
      </c>
      <c r="B1025" s="436" t="s">
        <v>31453</v>
      </c>
      <c r="C1025" s="437" t="s">
        <v>30445</v>
      </c>
      <c r="D1025" s="438">
        <v>225.24</v>
      </c>
    </row>
    <row r="1026" spans="1:4">
      <c r="A1026" s="435">
        <v>51266</v>
      </c>
      <c r="B1026" s="436" t="s">
        <v>31454</v>
      </c>
      <c r="C1026" s="437" t="s">
        <v>30445</v>
      </c>
      <c r="D1026" s="438">
        <v>85.05</v>
      </c>
    </row>
    <row r="1027" spans="1:4">
      <c r="A1027" s="435">
        <v>51267</v>
      </c>
      <c r="B1027" s="436" t="s">
        <v>31455</v>
      </c>
      <c r="C1027" s="437" t="s">
        <v>30445</v>
      </c>
      <c r="D1027" s="438">
        <v>198.61</v>
      </c>
    </row>
    <row r="1028" spans="1:4">
      <c r="A1028" s="435">
        <v>51268</v>
      </c>
      <c r="B1028" s="436" t="s">
        <v>31456</v>
      </c>
      <c r="C1028" s="437" t="s">
        <v>30445</v>
      </c>
      <c r="D1028" s="438">
        <v>350.73</v>
      </c>
    </row>
    <row r="1029" spans="1:4">
      <c r="A1029" s="435">
        <v>51269</v>
      </c>
      <c r="B1029" s="436" t="s">
        <v>31457</v>
      </c>
      <c r="C1029" s="437" t="s">
        <v>30445</v>
      </c>
      <c r="D1029" s="438">
        <v>612.80999999999995</v>
      </c>
    </row>
    <row r="1030" spans="1:4">
      <c r="A1030" s="435">
        <v>51270</v>
      </c>
      <c r="B1030" s="436" t="s">
        <v>31458</v>
      </c>
      <c r="C1030" s="437" t="s">
        <v>30445</v>
      </c>
      <c r="D1030" s="438">
        <v>1439.35</v>
      </c>
    </row>
    <row r="1031" spans="1:4">
      <c r="A1031" s="435">
        <v>51271</v>
      </c>
      <c r="B1031" s="436" t="s">
        <v>31459</v>
      </c>
      <c r="C1031" s="437" t="s">
        <v>30445</v>
      </c>
      <c r="D1031" s="438">
        <v>3435.43</v>
      </c>
    </row>
    <row r="1032" spans="1:4">
      <c r="A1032" s="431">
        <v>51600</v>
      </c>
      <c r="B1032" s="432" t="s">
        <v>31460</v>
      </c>
      <c r="C1032" s="433"/>
      <c r="D1032" s="434" t="s">
        <v>30434</v>
      </c>
    </row>
    <row r="1033" spans="1:4">
      <c r="A1033" s="435">
        <v>51602</v>
      </c>
      <c r="B1033" s="436" t="s">
        <v>31461</v>
      </c>
      <c r="C1033" s="437" t="s">
        <v>30445</v>
      </c>
      <c r="D1033" s="438">
        <v>6.54</v>
      </c>
    </row>
    <row r="1034" spans="1:4">
      <c r="A1034" s="435">
        <v>51605</v>
      </c>
      <c r="B1034" s="436" t="s">
        <v>31462</v>
      </c>
      <c r="C1034" s="437" t="s">
        <v>30445</v>
      </c>
      <c r="D1034" s="438">
        <v>23.69</v>
      </c>
    </row>
    <row r="1035" spans="1:4">
      <c r="A1035" s="435">
        <v>51606</v>
      </c>
      <c r="B1035" s="436" t="s">
        <v>31463</v>
      </c>
      <c r="C1035" s="437" t="s">
        <v>30445</v>
      </c>
      <c r="D1035" s="438">
        <v>40.86</v>
      </c>
    </row>
    <row r="1036" spans="1:4">
      <c r="A1036" s="435">
        <v>51607</v>
      </c>
      <c r="B1036" s="436" t="s">
        <v>31464</v>
      </c>
      <c r="C1036" s="437" t="s">
        <v>30445</v>
      </c>
      <c r="D1036" s="438">
        <v>91.27</v>
      </c>
    </row>
    <row r="1037" spans="1:4">
      <c r="A1037" s="435">
        <v>51608</v>
      </c>
      <c r="B1037" s="436" t="s">
        <v>31465</v>
      </c>
      <c r="C1037" s="437" t="s">
        <v>30445</v>
      </c>
      <c r="D1037" s="438">
        <v>132.56</v>
      </c>
    </row>
    <row r="1038" spans="1:4">
      <c r="A1038" s="435">
        <v>51610</v>
      </c>
      <c r="B1038" s="436" t="s">
        <v>31466</v>
      </c>
      <c r="C1038" s="437" t="s">
        <v>30445</v>
      </c>
      <c r="D1038" s="438">
        <v>181.97</v>
      </c>
    </row>
    <row r="1039" spans="1:4" ht="25">
      <c r="A1039" s="435">
        <v>51631</v>
      </c>
      <c r="B1039" s="436" t="s">
        <v>31467</v>
      </c>
      <c r="C1039" s="437" t="s">
        <v>165</v>
      </c>
      <c r="D1039" s="438">
        <v>9.98</v>
      </c>
    </row>
    <row r="1040" spans="1:4" ht="25">
      <c r="A1040" s="435">
        <v>51632</v>
      </c>
      <c r="B1040" s="436" t="s">
        <v>31468</v>
      </c>
      <c r="C1040" s="437" t="s">
        <v>165</v>
      </c>
      <c r="D1040" s="438">
        <v>12.6</v>
      </c>
    </row>
    <row r="1041" spans="1:4" ht="25">
      <c r="A1041" s="435">
        <v>51633</v>
      </c>
      <c r="B1041" s="436" t="s">
        <v>31469</v>
      </c>
      <c r="C1041" s="437" t="s">
        <v>165</v>
      </c>
      <c r="D1041" s="438">
        <v>15.58</v>
      </c>
    </row>
    <row r="1042" spans="1:4" ht="25">
      <c r="A1042" s="435">
        <v>51634</v>
      </c>
      <c r="B1042" s="436" t="s">
        <v>31470</v>
      </c>
      <c r="C1042" s="437" t="s">
        <v>165</v>
      </c>
      <c r="D1042" s="438">
        <v>18.07</v>
      </c>
    </row>
    <row r="1043" spans="1:4" ht="25">
      <c r="A1043" s="435">
        <v>51635</v>
      </c>
      <c r="B1043" s="436" t="s">
        <v>31471</v>
      </c>
      <c r="C1043" s="437" t="s">
        <v>165</v>
      </c>
      <c r="D1043" s="438">
        <v>31.99</v>
      </c>
    </row>
    <row r="1044" spans="1:4" ht="25">
      <c r="A1044" s="435">
        <v>51636</v>
      </c>
      <c r="B1044" s="436" t="s">
        <v>31472</v>
      </c>
      <c r="C1044" s="437" t="s">
        <v>165</v>
      </c>
      <c r="D1044" s="438">
        <v>41.63</v>
      </c>
    </row>
    <row r="1045" spans="1:4" ht="25">
      <c r="A1045" s="435">
        <v>51637</v>
      </c>
      <c r="B1045" s="436" t="s">
        <v>31473</v>
      </c>
      <c r="C1045" s="437" t="s">
        <v>165</v>
      </c>
      <c r="D1045" s="438">
        <v>48.89</v>
      </c>
    </row>
    <row r="1046" spans="1:4" ht="25">
      <c r="A1046" s="435">
        <v>51639</v>
      </c>
      <c r="B1046" s="436" t="s">
        <v>31474</v>
      </c>
      <c r="C1046" s="437" t="s">
        <v>165</v>
      </c>
      <c r="D1046" s="438">
        <v>65.989999999999995</v>
      </c>
    </row>
    <row r="1047" spans="1:4" ht="25">
      <c r="A1047" s="435">
        <v>51640</v>
      </c>
      <c r="B1047" s="436" t="s">
        <v>31475</v>
      </c>
      <c r="C1047" s="437" t="s">
        <v>165</v>
      </c>
      <c r="D1047" s="438">
        <v>15.67</v>
      </c>
    </row>
    <row r="1048" spans="1:4" ht="25">
      <c r="A1048" s="435">
        <v>51641</v>
      </c>
      <c r="B1048" s="436" t="s">
        <v>31476</v>
      </c>
      <c r="C1048" s="437" t="s">
        <v>165</v>
      </c>
      <c r="D1048" s="438">
        <v>18.13</v>
      </c>
    </row>
    <row r="1049" spans="1:4" ht="25">
      <c r="A1049" s="435">
        <v>51642</v>
      </c>
      <c r="B1049" s="436" t="s">
        <v>31477</v>
      </c>
      <c r="C1049" s="437" t="s">
        <v>165</v>
      </c>
      <c r="D1049" s="438">
        <v>23.22</v>
      </c>
    </row>
    <row r="1050" spans="1:4">
      <c r="A1050" s="435">
        <v>51643</v>
      </c>
      <c r="B1050" s="436" t="s">
        <v>31478</v>
      </c>
      <c r="C1050" s="437" t="s">
        <v>165</v>
      </c>
      <c r="D1050" s="438">
        <v>21.67</v>
      </c>
    </row>
    <row r="1051" spans="1:4">
      <c r="A1051" s="435">
        <v>51644</v>
      </c>
      <c r="B1051" s="436" t="s">
        <v>31479</v>
      </c>
      <c r="C1051" s="437" t="s">
        <v>165</v>
      </c>
      <c r="D1051" s="438">
        <v>25.27</v>
      </c>
    </row>
    <row r="1052" spans="1:4">
      <c r="A1052" s="435">
        <v>51645</v>
      </c>
      <c r="B1052" s="436" t="s">
        <v>31480</v>
      </c>
      <c r="C1052" s="437" t="s">
        <v>165</v>
      </c>
      <c r="D1052" s="438">
        <v>31.13</v>
      </c>
    </row>
    <row r="1053" spans="1:4">
      <c r="A1053" s="435">
        <v>51646</v>
      </c>
      <c r="B1053" s="436" t="s">
        <v>31481</v>
      </c>
      <c r="C1053" s="437" t="s">
        <v>165</v>
      </c>
      <c r="D1053" s="438">
        <v>56.65</v>
      </c>
    </row>
    <row r="1054" spans="1:4" ht="25">
      <c r="A1054" s="435">
        <v>51647</v>
      </c>
      <c r="B1054" s="436" t="s">
        <v>31482</v>
      </c>
      <c r="C1054" s="437" t="s">
        <v>165</v>
      </c>
      <c r="D1054" s="438">
        <v>64.739999999999995</v>
      </c>
    </row>
    <row r="1055" spans="1:4" ht="25">
      <c r="A1055" s="435">
        <v>51649</v>
      </c>
      <c r="B1055" s="436" t="s">
        <v>31483</v>
      </c>
      <c r="C1055" s="437" t="s">
        <v>165</v>
      </c>
      <c r="D1055" s="438">
        <v>89.2</v>
      </c>
    </row>
    <row r="1056" spans="1:4">
      <c r="A1056" s="435">
        <v>51651</v>
      </c>
      <c r="B1056" s="436" t="s">
        <v>31484</v>
      </c>
      <c r="C1056" s="437" t="s">
        <v>30445</v>
      </c>
      <c r="D1056" s="438">
        <v>1.57</v>
      </c>
    </row>
    <row r="1057" spans="1:4">
      <c r="A1057" s="435">
        <v>51652</v>
      </c>
      <c r="B1057" s="436" t="s">
        <v>31485</v>
      </c>
      <c r="C1057" s="437" t="s">
        <v>30445</v>
      </c>
      <c r="D1057" s="438">
        <v>2.06</v>
      </c>
    </row>
    <row r="1058" spans="1:4">
      <c r="A1058" s="435">
        <v>51654</v>
      </c>
      <c r="B1058" s="436" t="s">
        <v>31486</v>
      </c>
      <c r="C1058" s="437" t="s">
        <v>30445</v>
      </c>
      <c r="D1058" s="438">
        <v>4.45</v>
      </c>
    </row>
    <row r="1059" spans="1:4">
      <c r="A1059" s="435">
        <v>51655</v>
      </c>
      <c r="B1059" s="436" t="s">
        <v>31487</v>
      </c>
      <c r="C1059" s="437" t="s">
        <v>30445</v>
      </c>
      <c r="D1059" s="438">
        <v>6.17</v>
      </c>
    </row>
    <row r="1060" spans="1:4">
      <c r="A1060" s="435">
        <v>51656</v>
      </c>
      <c r="B1060" s="436" t="s">
        <v>31488</v>
      </c>
      <c r="C1060" s="437" t="s">
        <v>30445</v>
      </c>
      <c r="D1060" s="438">
        <v>9.26</v>
      </c>
    </row>
    <row r="1061" spans="1:4">
      <c r="A1061" s="435">
        <v>51659</v>
      </c>
      <c r="B1061" s="436" t="s">
        <v>31489</v>
      </c>
      <c r="C1061" s="437" t="s">
        <v>30445</v>
      </c>
      <c r="D1061" s="438">
        <v>19.86</v>
      </c>
    </row>
    <row r="1062" spans="1:4">
      <c r="A1062" s="435">
        <v>51674</v>
      </c>
      <c r="B1062" s="436" t="s">
        <v>31490</v>
      </c>
      <c r="C1062" s="437" t="s">
        <v>30445</v>
      </c>
      <c r="D1062" s="438">
        <v>49.32</v>
      </c>
    </row>
    <row r="1063" spans="1:4">
      <c r="A1063" s="435">
        <v>51675</v>
      </c>
      <c r="B1063" s="436" t="s">
        <v>31491</v>
      </c>
      <c r="C1063" s="437" t="s">
        <v>30445</v>
      </c>
      <c r="D1063" s="438">
        <v>75.86</v>
      </c>
    </row>
    <row r="1064" spans="1:4">
      <c r="A1064" s="435">
        <v>51676</v>
      </c>
      <c r="B1064" s="436" t="s">
        <v>31492</v>
      </c>
      <c r="C1064" s="437" t="s">
        <v>30445</v>
      </c>
      <c r="D1064" s="438">
        <v>120.4</v>
      </c>
    </row>
    <row r="1065" spans="1:4">
      <c r="A1065" s="435">
        <v>51677</v>
      </c>
      <c r="B1065" s="436" t="s">
        <v>31493</v>
      </c>
      <c r="C1065" s="437" t="s">
        <v>30445</v>
      </c>
      <c r="D1065" s="438">
        <v>162.38</v>
      </c>
    </row>
    <row r="1066" spans="1:4">
      <c r="A1066" s="435">
        <v>51678</v>
      </c>
      <c r="B1066" s="436" t="s">
        <v>31494</v>
      </c>
      <c r="C1066" s="437" t="s">
        <v>30445</v>
      </c>
      <c r="D1066" s="438">
        <v>273.16000000000003</v>
      </c>
    </row>
    <row r="1067" spans="1:4">
      <c r="A1067" s="435">
        <v>52301</v>
      </c>
      <c r="B1067" s="436" t="s">
        <v>31495</v>
      </c>
      <c r="C1067" s="437" t="s">
        <v>165</v>
      </c>
      <c r="D1067" s="438">
        <v>2.42</v>
      </c>
    </row>
    <row r="1068" spans="1:4">
      <c r="A1068" s="435">
        <v>52302</v>
      </c>
      <c r="B1068" s="436" t="s">
        <v>31496</v>
      </c>
      <c r="C1068" s="437" t="s">
        <v>165</v>
      </c>
      <c r="D1068" s="438">
        <v>2.87</v>
      </c>
    </row>
    <row r="1069" spans="1:4">
      <c r="A1069" s="431">
        <v>52400</v>
      </c>
      <c r="B1069" s="432" t="s">
        <v>31497</v>
      </c>
      <c r="C1069" s="433"/>
      <c r="D1069" s="434" t="s">
        <v>30434</v>
      </c>
    </row>
    <row r="1070" spans="1:4">
      <c r="A1070" s="435">
        <v>52410</v>
      </c>
      <c r="B1070" s="436" t="s">
        <v>31498</v>
      </c>
      <c r="C1070" s="437" t="s">
        <v>165</v>
      </c>
      <c r="D1070" s="438">
        <v>2.42</v>
      </c>
    </row>
    <row r="1071" spans="1:4">
      <c r="A1071" s="435">
        <v>52430</v>
      </c>
      <c r="B1071" s="436" t="s">
        <v>31499</v>
      </c>
      <c r="C1071" s="437" t="s">
        <v>165</v>
      </c>
      <c r="D1071" s="438">
        <v>5.26</v>
      </c>
    </row>
    <row r="1072" spans="1:4">
      <c r="A1072" s="435">
        <v>52431</v>
      </c>
      <c r="B1072" s="436" t="s">
        <v>31500</v>
      </c>
      <c r="C1072" s="437" t="s">
        <v>165</v>
      </c>
      <c r="D1072" s="438">
        <v>6.57</v>
      </c>
    </row>
    <row r="1073" spans="1:4">
      <c r="A1073" s="435">
        <v>52432</v>
      </c>
      <c r="B1073" s="436" t="s">
        <v>31501</v>
      </c>
      <c r="C1073" s="437" t="s">
        <v>165</v>
      </c>
      <c r="D1073" s="438">
        <v>8.91</v>
      </c>
    </row>
    <row r="1074" spans="1:4">
      <c r="A1074" s="435">
        <v>52433</v>
      </c>
      <c r="B1074" s="436" t="s">
        <v>31502</v>
      </c>
      <c r="C1074" s="437" t="s">
        <v>165</v>
      </c>
      <c r="D1074" s="438">
        <v>14.01</v>
      </c>
    </row>
    <row r="1075" spans="1:4">
      <c r="A1075" s="435">
        <v>52434</v>
      </c>
      <c r="B1075" s="436" t="s">
        <v>31503</v>
      </c>
      <c r="C1075" s="437" t="s">
        <v>165</v>
      </c>
      <c r="D1075" s="438">
        <v>15.47</v>
      </c>
    </row>
    <row r="1076" spans="1:4">
      <c r="A1076" s="435">
        <v>52435</v>
      </c>
      <c r="B1076" s="436" t="s">
        <v>31504</v>
      </c>
      <c r="C1076" s="437" t="s">
        <v>165</v>
      </c>
      <c r="D1076" s="438">
        <v>19.149999999999999</v>
      </c>
    </row>
    <row r="1077" spans="1:4">
      <c r="A1077" s="435">
        <v>52436</v>
      </c>
      <c r="B1077" s="436" t="s">
        <v>31505</v>
      </c>
      <c r="C1077" s="437" t="s">
        <v>165</v>
      </c>
      <c r="D1077" s="438">
        <v>32.07</v>
      </c>
    </row>
    <row r="1078" spans="1:4">
      <c r="A1078" s="435">
        <v>52437</v>
      </c>
      <c r="B1078" s="436" t="s">
        <v>31506</v>
      </c>
      <c r="C1078" s="437" t="s">
        <v>165</v>
      </c>
      <c r="D1078" s="438">
        <v>43.55</v>
      </c>
    </row>
    <row r="1079" spans="1:4">
      <c r="A1079" s="435">
        <v>52438</v>
      </c>
      <c r="B1079" s="436" t="s">
        <v>31507</v>
      </c>
      <c r="C1079" s="437" t="s">
        <v>165</v>
      </c>
      <c r="D1079" s="438">
        <v>67.489999999999995</v>
      </c>
    </row>
    <row r="1080" spans="1:4">
      <c r="A1080" s="435">
        <v>52449</v>
      </c>
      <c r="B1080" s="436" t="s">
        <v>31508</v>
      </c>
      <c r="C1080" s="437" t="s">
        <v>165</v>
      </c>
      <c r="D1080" s="438">
        <v>9.0500000000000007</v>
      </c>
    </row>
    <row r="1081" spans="1:4">
      <c r="A1081" s="435">
        <v>52451</v>
      </c>
      <c r="B1081" s="436" t="s">
        <v>31509</v>
      </c>
      <c r="C1081" s="437" t="s">
        <v>165</v>
      </c>
      <c r="D1081" s="438">
        <v>13.6</v>
      </c>
    </row>
    <row r="1082" spans="1:4">
      <c r="A1082" s="435">
        <v>52452</v>
      </c>
      <c r="B1082" s="436" t="s">
        <v>31510</v>
      </c>
      <c r="C1082" s="437" t="s">
        <v>165</v>
      </c>
      <c r="D1082" s="438">
        <v>20.21</v>
      </c>
    </row>
    <row r="1083" spans="1:4">
      <c r="A1083" s="435">
        <v>52461</v>
      </c>
      <c r="B1083" s="436" t="s">
        <v>31511</v>
      </c>
      <c r="C1083" s="437" t="s">
        <v>165</v>
      </c>
      <c r="D1083" s="438">
        <v>9.14</v>
      </c>
    </row>
    <row r="1084" spans="1:4">
      <c r="A1084" s="435">
        <v>52462</v>
      </c>
      <c r="B1084" s="436" t="s">
        <v>31512</v>
      </c>
      <c r="C1084" s="437" t="s">
        <v>165</v>
      </c>
      <c r="D1084" s="438">
        <v>12.21</v>
      </c>
    </row>
    <row r="1085" spans="1:4">
      <c r="A1085" s="435">
        <v>52463</v>
      </c>
      <c r="B1085" s="436" t="s">
        <v>31513</v>
      </c>
      <c r="C1085" s="437" t="s">
        <v>165</v>
      </c>
      <c r="D1085" s="438">
        <v>21.57</v>
      </c>
    </row>
    <row r="1086" spans="1:4">
      <c r="A1086" s="435">
        <v>52471</v>
      </c>
      <c r="B1086" s="436" t="s">
        <v>31514</v>
      </c>
      <c r="C1086" s="437" t="s">
        <v>30445</v>
      </c>
      <c r="D1086" s="438">
        <v>6.14</v>
      </c>
    </row>
    <row r="1087" spans="1:4">
      <c r="A1087" s="431">
        <v>52800</v>
      </c>
      <c r="B1087" s="432" t="s">
        <v>28484</v>
      </c>
      <c r="C1087" s="433"/>
      <c r="D1087" s="434" t="s">
        <v>30434</v>
      </c>
    </row>
    <row r="1088" spans="1:4">
      <c r="A1088" s="435">
        <v>52805</v>
      </c>
      <c r="B1088" s="436" t="s">
        <v>31515</v>
      </c>
      <c r="C1088" s="437" t="s">
        <v>165</v>
      </c>
      <c r="D1088" s="438">
        <v>9.75</v>
      </c>
    </row>
    <row r="1089" spans="1:4">
      <c r="A1089" s="435">
        <v>52806</v>
      </c>
      <c r="B1089" s="436" t="s">
        <v>31516</v>
      </c>
      <c r="C1089" s="437" t="s">
        <v>165</v>
      </c>
      <c r="D1089" s="438">
        <v>15.85</v>
      </c>
    </row>
    <row r="1090" spans="1:4">
      <c r="A1090" s="435">
        <v>52807</v>
      </c>
      <c r="B1090" s="436" t="s">
        <v>31517</v>
      </c>
      <c r="C1090" s="437" t="s">
        <v>165</v>
      </c>
      <c r="D1090" s="438">
        <v>23.6</v>
      </c>
    </row>
    <row r="1091" spans="1:4">
      <c r="A1091" s="435">
        <v>52808</v>
      </c>
      <c r="B1091" s="436" t="s">
        <v>31518</v>
      </c>
      <c r="C1091" s="437" t="s">
        <v>165</v>
      </c>
      <c r="D1091" s="438">
        <v>34.049999999999997</v>
      </c>
    </row>
    <row r="1092" spans="1:4">
      <c r="A1092" s="435">
        <v>52809</v>
      </c>
      <c r="B1092" s="436" t="s">
        <v>31519</v>
      </c>
      <c r="C1092" s="437" t="s">
        <v>165</v>
      </c>
      <c r="D1092" s="438">
        <v>50.92</v>
      </c>
    </row>
    <row r="1093" spans="1:4">
      <c r="A1093" s="435">
        <v>52810</v>
      </c>
      <c r="B1093" s="436" t="s">
        <v>31520</v>
      </c>
      <c r="C1093" s="437" t="s">
        <v>165</v>
      </c>
      <c r="D1093" s="438">
        <v>67.19</v>
      </c>
    </row>
    <row r="1094" spans="1:4">
      <c r="A1094" s="435">
        <v>52811</v>
      </c>
      <c r="B1094" s="436" t="s">
        <v>31521</v>
      </c>
      <c r="C1094" s="437" t="s">
        <v>165</v>
      </c>
      <c r="D1094" s="438">
        <v>89.6</v>
      </c>
    </row>
    <row r="1095" spans="1:4">
      <c r="A1095" s="435">
        <v>52812</v>
      </c>
      <c r="B1095" s="436" t="s">
        <v>31522</v>
      </c>
      <c r="C1095" s="437" t="s">
        <v>165</v>
      </c>
      <c r="D1095" s="438">
        <v>110.63</v>
      </c>
    </row>
    <row r="1096" spans="1:4">
      <c r="A1096" s="435">
        <v>52813</v>
      </c>
      <c r="B1096" s="436" t="s">
        <v>31523</v>
      </c>
      <c r="C1096" s="437" t="s">
        <v>165</v>
      </c>
      <c r="D1096" s="438">
        <v>142.22</v>
      </c>
    </row>
    <row r="1097" spans="1:4">
      <c r="A1097" s="435">
        <v>52814</v>
      </c>
      <c r="B1097" s="436" t="s">
        <v>31524</v>
      </c>
      <c r="C1097" s="437" t="s">
        <v>165</v>
      </c>
      <c r="D1097" s="438">
        <v>174.96</v>
      </c>
    </row>
    <row r="1098" spans="1:4">
      <c r="A1098" s="435">
        <v>52815</v>
      </c>
      <c r="B1098" s="436" t="s">
        <v>31525</v>
      </c>
      <c r="C1098" s="437" t="s">
        <v>165</v>
      </c>
      <c r="D1098" s="438">
        <v>222.98</v>
      </c>
    </row>
    <row r="1099" spans="1:4">
      <c r="A1099" s="435">
        <v>52816</v>
      </c>
      <c r="B1099" s="436" t="s">
        <v>31526</v>
      </c>
      <c r="C1099" s="437" t="s">
        <v>165</v>
      </c>
      <c r="D1099" s="438">
        <v>315.77</v>
      </c>
    </row>
    <row r="1100" spans="1:4">
      <c r="A1100" s="435">
        <v>52825</v>
      </c>
      <c r="B1100" s="436" t="s">
        <v>31527</v>
      </c>
      <c r="C1100" s="437" t="s">
        <v>165</v>
      </c>
      <c r="D1100" s="438">
        <v>7.84</v>
      </c>
    </row>
    <row r="1101" spans="1:4">
      <c r="A1101" s="435">
        <v>52826</v>
      </c>
      <c r="B1101" s="436" t="s">
        <v>31528</v>
      </c>
      <c r="C1101" s="437" t="s">
        <v>165</v>
      </c>
      <c r="D1101" s="438">
        <v>10.51</v>
      </c>
    </row>
    <row r="1102" spans="1:4">
      <c r="A1102" s="435">
        <v>52827</v>
      </c>
      <c r="B1102" s="436" t="s">
        <v>31529</v>
      </c>
      <c r="C1102" s="437" t="s">
        <v>165</v>
      </c>
      <c r="D1102" s="438">
        <v>18.690000000000001</v>
      </c>
    </row>
    <row r="1103" spans="1:4">
      <c r="A1103" s="435">
        <v>52828</v>
      </c>
      <c r="B1103" s="436" t="s">
        <v>31530</v>
      </c>
      <c r="C1103" s="437" t="s">
        <v>165</v>
      </c>
      <c r="D1103" s="438">
        <v>25.74</v>
      </c>
    </row>
    <row r="1104" spans="1:4">
      <c r="A1104" s="435">
        <v>52829</v>
      </c>
      <c r="B1104" s="436" t="s">
        <v>31531</v>
      </c>
      <c r="C1104" s="437" t="s">
        <v>165</v>
      </c>
      <c r="D1104" s="438">
        <v>37.29</v>
      </c>
    </row>
    <row r="1105" spans="1:4">
      <c r="A1105" s="435">
        <v>52830</v>
      </c>
      <c r="B1105" s="436" t="s">
        <v>31532</v>
      </c>
      <c r="C1105" s="437" t="s">
        <v>165</v>
      </c>
      <c r="D1105" s="438">
        <v>52.88</v>
      </c>
    </row>
    <row r="1106" spans="1:4">
      <c r="A1106" s="435">
        <v>52831</v>
      </c>
      <c r="B1106" s="436" t="s">
        <v>31533</v>
      </c>
      <c r="C1106" s="437" t="s">
        <v>165</v>
      </c>
      <c r="D1106" s="438">
        <v>69.42</v>
      </c>
    </row>
    <row r="1107" spans="1:4">
      <c r="A1107" s="435">
        <v>52832</v>
      </c>
      <c r="B1107" s="436" t="s">
        <v>31534</v>
      </c>
      <c r="C1107" s="437" t="s">
        <v>165</v>
      </c>
      <c r="D1107" s="438">
        <v>93.01</v>
      </c>
    </row>
    <row r="1108" spans="1:4">
      <c r="A1108" s="435">
        <v>52833</v>
      </c>
      <c r="B1108" s="436" t="s">
        <v>31535</v>
      </c>
      <c r="C1108" s="437" t="s">
        <v>165</v>
      </c>
      <c r="D1108" s="438">
        <v>109.76</v>
      </c>
    </row>
    <row r="1109" spans="1:4">
      <c r="A1109" s="435">
        <v>52834</v>
      </c>
      <c r="B1109" s="436" t="s">
        <v>31536</v>
      </c>
      <c r="C1109" s="437" t="s">
        <v>165</v>
      </c>
      <c r="D1109" s="438">
        <v>133.27000000000001</v>
      </c>
    </row>
    <row r="1110" spans="1:4">
      <c r="A1110" s="435">
        <v>52835</v>
      </c>
      <c r="B1110" s="436" t="s">
        <v>31537</v>
      </c>
      <c r="C1110" s="437" t="s">
        <v>165</v>
      </c>
      <c r="D1110" s="438">
        <v>169.37</v>
      </c>
    </row>
    <row r="1111" spans="1:4">
      <c r="A1111" s="435">
        <v>52836</v>
      </c>
      <c r="B1111" s="436" t="s">
        <v>31538</v>
      </c>
      <c r="C1111" s="437" t="s">
        <v>165</v>
      </c>
      <c r="D1111" s="438">
        <v>278.86</v>
      </c>
    </row>
    <row r="1112" spans="1:4">
      <c r="A1112" s="435">
        <v>52844</v>
      </c>
      <c r="B1112" s="436" t="s">
        <v>31539</v>
      </c>
      <c r="C1112" s="437" t="s">
        <v>165</v>
      </c>
      <c r="D1112" s="438">
        <v>6.53</v>
      </c>
    </row>
    <row r="1113" spans="1:4">
      <c r="A1113" s="435">
        <v>52845</v>
      </c>
      <c r="B1113" s="436" t="s">
        <v>31540</v>
      </c>
      <c r="C1113" s="437" t="s">
        <v>165</v>
      </c>
      <c r="D1113" s="438">
        <v>9.32</v>
      </c>
    </row>
    <row r="1114" spans="1:4">
      <c r="A1114" s="435">
        <v>52846</v>
      </c>
      <c r="B1114" s="436" t="s">
        <v>31541</v>
      </c>
      <c r="C1114" s="437" t="s">
        <v>165</v>
      </c>
      <c r="D1114" s="438">
        <v>15.43</v>
      </c>
    </row>
    <row r="1115" spans="1:4">
      <c r="A1115" s="435">
        <v>52847</v>
      </c>
      <c r="B1115" s="436" t="s">
        <v>31542</v>
      </c>
      <c r="C1115" s="437" t="s">
        <v>165</v>
      </c>
      <c r="D1115" s="438">
        <v>22.54</v>
      </c>
    </row>
    <row r="1116" spans="1:4">
      <c r="A1116" s="435">
        <v>52848</v>
      </c>
      <c r="B1116" s="436" t="s">
        <v>31543</v>
      </c>
      <c r="C1116" s="437" t="s">
        <v>165</v>
      </c>
      <c r="D1116" s="438">
        <v>37.46</v>
      </c>
    </row>
    <row r="1117" spans="1:4">
      <c r="A1117" s="435">
        <v>52849</v>
      </c>
      <c r="B1117" s="436" t="s">
        <v>31544</v>
      </c>
      <c r="C1117" s="437" t="s">
        <v>165</v>
      </c>
      <c r="D1117" s="438">
        <v>49.49</v>
      </c>
    </row>
    <row r="1118" spans="1:4">
      <c r="A1118" s="435">
        <v>52850</v>
      </c>
      <c r="B1118" s="436" t="s">
        <v>31545</v>
      </c>
      <c r="C1118" s="437" t="s">
        <v>165</v>
      </c>
      <c r="D1118" s="438">
        <v>61.7</v>
      </c>
    </row>
    <row r="1119" spans="1:4">
      <c r="A1119" s="435">
        <v>52851</v>
      </c>
      <c r="B1119" s="436" t="s">
        <v>31546</v>
      </c>
      <c r="C1119" s="437" t="s">
        <v>165</v>
      </c>
      <c r="D1119" s="438">
        <v>99.64</v>
      </c>
    </row>
    <row r="1120" spans="1:4">
      <c r="A1120" s="435">
        <v>52852</v>
      </c>
      <c r="B1120" s="436" t="s">
        <v>31547</v>
      </c>
      <c r="C1120" s="437" t="s">
        <v>165</v>
      </c>
      <c r="D1120" s="438">
        <v>121.48</v>
      </c>
    </row>
    <row r="1121" spans="1:4">
      <c r="A1121" s="435">
        <v>52863</v>
      </c>
      <c r="B1121" s="436" t="s">
        <v>31548</v>
      </c>
      <c r="C1121" s="437" t="s">
        <v>165</v>
      </c>
      <c r="D1121" s="438">
        <v>1.32</v>
      </c>
    </row>
    <row r="1122" spans="1:4">
      <c r="A1122" s="435">
        <v>52864</v>
      </c>
      <c r="B1122" s="436" t="s">
        <v>31549</v>
      </c>
      <c r="C1122" s="437" t="s">
        <v>165</v>
      </c>
      <c r="D1122" s="438">
        <v>1.66</v>
      </c>
    </row>
    <row r="1123" spans="1:4">
      <c r="A1123" s="435">
        <v>52865</v>
      </c>
      <c r="B1123" s="436" t="s">
        <v>31550</v>
      </c>
      <c r="C1123" s="437" t="s">
        <v>165</v>
      </c>
      <c r="D1123" s="438">
        <v>2.5099999999999998</v>
      </c>
    </row>
    <row r="1124" spans="1:4">
      <c r="A1124" s="435">
        <v>52866</v>
      </c>
      <c r="B1124" s="436" t="s">
        <v>31551</v>
      </c>
      <c r="C1124" s="437" t="s">
        <v>165</v>
      </c>
      <c r="D1124" s="438">
        <v>4.1399999999999997</v>
      </c>
    </row>
    <row r="1125" spans="1:4">
      <c r="A1125" s="435">
        <v>52867</v>
      </c>
      <c r="B1125" s="436" t="s">
        <v>31552</v>
      </c>
      <c r="C1125" s="437" t="s">
        <v>165</v>
      </c>
      <c r="D1125" s="438">
        <v>6.13</v>
      </c>
    </row>
    <row r="1126" spans="1:4" ht="25">
      <c r="A1126" s="435">
        <v>52868</v>
      </c>
      <c r="B1126" s="436" t="s">
        <v>31553</v>
      </c>
      <c r="C1126" s="437" t="s">
        <v>165</v>
      </c>
      <c r="D1126" s="438">
        <v>1.53</v>
      </c>
    </row>
    <row r="1127" spans="1:4" ht="25">
      <c r="A1127" s="435">
        <v>52869</v>
      </c>
      <c r="B1127" s="436" t="s">
        <v>31554</v>
      </c>
      <c r="C1127" s="437" t="s">
        <v>165</v>
      </c>
      <c r="D1127" s="438">
        <v>2.37</v>
      </c>
    </row>
    <row r="1128" spans="1:4" ht="25">
      <c r="A1128" s="435">
        <v>52870</v>
      </c>
      <c r="B1128" s="436" t="s">
        <v>31555</v>
      </c>
      <c r="C1128" s="437" t="s">
        <v>165</v>
      </c>
      <c r="D1128" s="438">
        <v>3.71</v>
      </c>
    </row>
    <row r="1129" spans="1:4" ht="25">
      <c r="A1129" s="435">
        <v>52871</v>
      </c>
      <c r="B1129" s="436" t="s">
        <v>31556</v>
      </c>
      <c r="C1129" s="437" t="s">
        <v>165</v>
      </c>
      <c r="D1129" s="438">
        <v>5.5</v>
      </c>
    </row>
    <row r="1130" spans="1:4">
      <c r="A1130" s="435">
        <v>52874</v>
      </c>
      <c r="B1130" s="436" t="s">
        <v>31557</v>
      </c>
      <c r="C1130" s="437" t="s">
        <v>165</v>
      </c>
      <c r="D1130" s="438">
        <v>1.17</v>
      </c>
    </row>
    <row r="1131" spans="1:4">
      <c r="A1131" s="435">
        <v>52875</v>
      </c>
      <c r="B1131" s="436" t="s">
        <v>31558</v>
      </c>
      <c r="C1131" s="437" t="s">
        <v>165</v>
      </c>
      <c r="D1131" s="438">
        <v>2.02</v>
      </c>
    </row>
    <row r="1132" spans="1:4">
      <c r="A1132" s="435">
        <v>52876</v>
      </c>
      <c r="B1132" s="436" t="s">
        <v>31559</v>
      </c>
      <c r="C1132" s="437" t="s">
        <v>165</v>
      </c>
      <c r="D1132" s="438">
        <v>2.83</v>
      </c>
    </row>
    <row r="1133" spans="1:4">
      <c r="A1133" s="435">
        <v>52877</v>
      </c>
      <c r="B1133" s="436" t="s">
        <v>31560</v>
      </c>
      <c r="C1133" s="437" t="s">
        <v>165</v>
      </c>
      <c r="D1133" s="438">
        <v>4.1100000000000003</v>
      </c>
    </row>
    <row r="1134" spans="1:4">
      <c r="A1134" s="435">
        <v>52883</v>
      </c>
      <c r="B1134" s="436" t="s">
        <v>31561</v>
      </c>
      <c r="C1134" s="437" t="s">
        <v>165</v>
      </c>
      <c r="D1134" s="438">
        <v>2.15</v>
      </c>
    </row>
    <row r="1135" spans="1:4">
      <c r="A1135" s="435">
        <v>52898</v>
      </c>
      <c r="B1135" s="436" t="s">
        <v>31562</v>
      </c>
      <c r="C1135" s="437" t="s">
        <v>165</v>
      </c>
      <c r="D1135" s="438">
        <v>78.45</v>
      </c>
    </row>
    <row r="1136" spans="1:4">
      <c r="A1136" s="431">
        <v>52900</v>
      </c>
      <c r="B1136" s="432" t="s">
        <v>31563</v>
      </c>
      <c r="C1136" s="433"/>
      <c r="D1136" s="434" t="s">
        <v>30434</v>
      </c>
    </row>
    <row r="1137" spans="1:4">
      <c r="A1137" s="435">
        <v>52910</v>
      </c>
      <c r="B1137" s="436" t="s">
        <v>31564</v>
      </c>
      <c r="C1137" s="437" t="s">
        <v>165</v>
      </c>
      <c r="D1137" s="438">
        <v>3.94</v>
      </c>
    </row>
    <row r="1138" spans="1:4">
      <c r="A1138" s="435">
        <v>52912</v>
      </c>
      <c r="B1138" s="436" t="s">
        <v>31565</v>
      </c>
      <c r="C1138" s="437" t="s">
        <v>165</v>
      </c>
      <c r="D1138" s="438">
        <v>9.1199999999999992</v>
      </c>
    </row>
    <row r="1139" spans="1:4">
      <c r="A1139" s="435">
        <v>52915</v>
      </c>
      <c r="B1139" s="436" t="s">
        <v>31566</v>
      </c>
      <c r="C1139" s="437" t="s">
        <v>165</v>
      </c>
      <c r="D1139" s="438">
        <v>5.31</v>
      </c>
    </row>
    <row r="1140" spans="1:4">
      <c r="A1140" s="435">
        <v>52916</v>
      </c>
      <c r="B1140" s="436" t="s">
        <v>31567</v>
      </c>
      <c r="C1140" s="437" t="s">
        <v>165</v>
      </c>
      <c r="D1140" s="438">
        <v>8.49</v>
      </c>
    </row>
    <row r="1141" spans="1:4">
      <c r="A1141" s="435">
        <v>52920</v>
      </c>
      <c r="B1141" s="436" t="s">
        <v>31568</v>
      </c>
      <c r="C1141" s="437" t="s">
        <v>165</v>
      </c>
      <c r="D1141" s="438">
        <v>7.15</v>
      </c>
    </row>
    <row r="1142" spans="1:4">
      <c r="A1142" s="431">
        <v>53200</v>
      </c>
      <c r="B1142" s="432" t="s">
        <v>31569</v>
      </c>
      <c r="C1142" s="433"/>
      <c r="D1142" s="434" t="s">
        <v>30434</v>
      </c>
    </row>
    <row r="1143" spans="1:4">
      <c r="A1143" s="435">
        <v>53250</v>
      </c>
      <c r="B1143" s="436" t="s">
        <v>31570</v>
      </c>
      <c r="C1143" s="437" t="s">
        <v>30445</v>
      </c>
      <c r="D1143" s="438">
        <v>274.54000000000002</v>
      </c>
    </row>
    <row r="1144" spans="1:4">
      <c r="A1144" s="435">
        <v>53261</v>
      </c>
      <c r="B1144" s="436" t="s">
        <v>31571</v>
      </c>
      <c r="C1144" s="437" t="s">
        <v>30445</v>
      </c>
      <c r="D1144" s="438">
        <v>302.14999999999998</v>
      </c>
    </row>
    <row r="1145" spans="1:4">
      <c r="A1145" s="435">
        <v>53263</v>
      </c>
      <c r="B1145" s="436" t="s">
        <v>31572</v>
      </c>
      <c r="C1145" s="437" t="s">
        <v>30445</v>
      </c>
      <c r="D1145" s="438">
        <v>852.71</v>
      </c>
    </row>
    <row r="1146" spans="1:4">
      <c r="A1146" s="435">
        <v>53265</v>
      </c>
      <c r="B1146" s="436" t="s">
        <v>31573</v>
      </c>
      <c r="C1146" s="437" t="s">
        <v>30445</v>
      </c>
      <c r="D1146" s="438">
        <v>1198.23</v>
      </c>
    </row>
    <row r="1147" spans="1:4">
      <c r="A1147" s="435">
        <v>53266</v>
      </c>
      <c r="B1147" s="436" t="s">
        <v>31574</v>
      </c>
      <c r="C1147" s="437" t="s">
        <v>30445</v>
      </c>
      <c r="D1147" s="438">
        <v>1633.54</v>
      </c>
    </row>
    <row r="1148" spans="1:4">
      <c r="A1148" s="435">
        <v>53268</v>
      </c>
      <c r="B1148" s="436" t="s">
        <v>31575</v>
      </c>
      <c r="C1148" s="437" t="s">
        <v>30445</v>
      </c>
      <c r="D1148" s="438">
        <v>271.45</v>
      </c>
    </row>
    <row r="1149" spans="1:4">
      <c r="A1149" s="435">
        <v>53270</v>
      </c>
      <c r="B1149" s="436" t="s">
        <v>31576</v>
      </c>
      <c r="C1149" s="437" t="s">
        <v>30445</v>
      </c>
      <c r="D1149" s="438">
        <v>154.94</v>
      </c>
    </row>
    <row r="1150" spans="1:4">
      <c r="A1150" s="435">
        <v>53271</v>
      </c>
      <c r="B1150" s="436" t="s">
        <v>31577</v>
      </c>
      <c r="C1150" s="437" t="s">
        <v>30445</v>
      </c>
      <c r="D1150" s="438">
        <v>169.84</v>
      </c>
    </row>
    <row r="1151" spans="1:4">
      <c r="A1151" s="435">
        <v>53275</v>
      </c>
      <c r="B1151" s="436" t="s">
        <v>31578</v>
      </c>
      <c r="C1151" s="437" t="s">
        <v>30445</v>
      </c>
      <c r="D1151" s="438">
        <v>306.52999999999997</v>
      </c>
    </row>
    <row r="1152" spans="1:4">
      <c r="A1152" s="435">
        <v>53277</v>
      </c>
      <c r="B1152" s="436" t="s">
        <v>31579</v>
      </c>
      <c r="C1152" s="437" t="s">
        <v>30445</v>
      </c>
      <c r="D1152" s="438">
        <v>862.25</v>
      </c>
    </row>
    <row r="1153" spans="1:4">
      <c r="A1153" s="435">
        <v>53279</v>
      </c>
      <c r="B1153" s="436" t="s">
        <v>31580</v>
      </c>
      <c r="C1153" s="437" t="s">
        <v>30445</v>
      </c>
      <c r="D1153" s="438">
        <v>1111.33</v>
      </c>
    </row>
    <row r="1154" spans="1:4">
      <c r="A1154" s="435">
        <v>53280</v>
      </c>
      <c r="B1154" s="436" t="s">
        <v>31581</v>
      </c>
      <c r="C1154" s="437" t="s">
        <v>30445</v>
      </c>
      <c r="D1154" s="438">
        <v>1618.99</v>
      </c>
    </row>
    <row r="1155" spans="1:4">
      <c r="A1155" s="435">
        <v>53281</v>
      </c>
      <c r="B1155" s="436" t="s">
        <v>31582</v>
      </c>
      <c r="C1155" s="437" t="s">
        <v>30445</v>
      </c>
      <c r="D1155" s="438">
        <v>34.94</v>
      </c>
    </row>
    <row r="1156" spans="1:4">
      <c r="A1156" s="435">
        <v>53288</v>
      </c>
      <c r="B1156" s="436" t="s">
        <v>31583</v>
      </c>
      <c r="C1156" s="437" t="s">
        <v>30445</v>
      </c>
      <c r="D1156" s="438">
        <v>2201.0100000000002</v>
      </c>
    </row>
    <row r="1157" spans="1:4">
      <c r="A1157" s="435">
        <v>53289</v>
      </c>
      <c r="B1157" s="436" t="s">
        <v>31584</v>
      </c>
      <c r="C1157" s="437" t="s">
        <v>30445</v>
      </c>
      <c r="D1157" s="438">
        <v>2528.06</v>
      </c>
    </row>
    <row r="1158" spans="1:4">
      <c r="A1158" s="435">
        <v>53290</v>
      </c>
      <c r="B1158" s="436" t="s">
        <v>31585</v>
      </c>
      <c r="C1158" s="437" t="s">
        <v>30445</v>
      </c>
      <c r="D1158" s="438">
        <v>4335.6899999999996</v>
      </c>
    </row>
    <row r="1159" spans="1:4">
      <c r="A1159" s="431">
        <v>53600</v>
      </c>
      <c r="B1159" s="432" t="s">
        <v>31586</v>
      </c>
      <c r="C1159" s="433"/>
      <c r="D1159" s="434" t="s">
        <v>30434</v>
      </c>
    </row>
    <row r="1160" spans="1:4">
      <c r="A1160" s="435">
        <v>53622</v>
      </c>
      <c r="B1160" s="436" t="s">
        <v>31587</v>
      </c>
      <c r="C1160" s="437" t="s">
        <v>30445</v>
      </c>
      <c r="D1160" s="438">
        <v>30.01</v>
      </c>
    </row>
    <row r="1161" spans="1:4">
      <c r="A1161" s="435">
        <v>53625</v>
      </c>
      <c r="B1161" s="436" t="s">
        <v>31588</v>
      </c>
      <c r="C1161" s="437" t="s">
        <v>30445</v>
      </c>
      <c r="D1161" s="438">
        <v>72.58</v>
      </c>
    </row>
    <row r="1162" spans="1:4">
      <c r="A1162" s="435">
        <v>53628</v>
      </c>
      <c r="B1162" s="436" t="s">
        <v>31589</v>
      </c>
      <c r="C1162" s="437" t="s">
        <v>30445</v>
      </c>
      <c r="D1162" s="438">
        <v>104.16</v>
      </c>
    </row>
    <row r="1163" spans="1:4">
      <c r="A1163" s="435">
        <v>53631</v>
      </c>
      <c r="B1163" s="436" t="s">
        <v>31590</v>
      </c>
      <c r="C1163" s="437" t="s">
        <v>30445</v>
      </c>
      <c r="D1163" s="438">
        <v>78.849999999999994</v>
      </c>
    </row>
    <row r="1164" spans="1:4">
      <c r="A1164" s="435">
        <v>53632</v>
      </c>
      <c r="B1164" s="436" t="s">
        <v>31591</v>
      </c>
      <c r="C1164" s="437" t="s">
        <v>30445</v>
      </c>
      <c r="D1164" s="438">
        <v>107.81</v>
      </c>
    </row>
    <row r="1165" spans="1:4">
      <c r="A1165" s="435">
        <v>53633</v>
      </c>
      <c r="B1165" s="436" t="s">
        <v>31592</v>
      </c>
      <c r="C1165" s="437" t="s">
        <v>30445</v>
      </c>
      <c r="D1165" s="438">
        <v>154.6</v>
      </c>
    </row>
    <row r="1166" spans="1:4">
      <c r="A1166" s="435">
        <v>53634</v>
      </c>
      <c r="B1166" s="436" t="s">
        <v>31593</v>
      </c>
      <c r="C1166" s="437" t="s">
        <v>30445</v>
      </c>
      <c r="D1166" s="438">
        <v>768.74</v>
      </c>
    </row>
    <row r="1167" spans="1:4">
      <c r="A1167" s="435">
        <v>53645</v>
      </c>
      <c r="B1167" s="436" t="s">
        <v>31594</v>
      </c>
      <c r="C1167" s="437" t="s">
        <v>30445</v>
      </c>
      <c r="D1167" s="438">
        <v>5.74</v>
      </c>
    </row>
    <row r="1168" spans="1:4">
      <c r="A1168" s="435">
        <v>53646</v>
      </c>
      <c r="B1168" s="436" t="s">
        <v>31595</v>
      </c>
      <c r="C1168" s="437" t="s">
        <v>30445</v>
      </c>
      <c r="D1168" s="438">
        <v>14.1</v>
      </c>
    </row>
    <row r="1169" spans="1:4">
      <c r="A1169" s="435">
        <v>53660</v>
      </c>
      <c r="B1169" s="436" t="s">
        <v>31596</v>
      </c>
      <c r="C1169" s="437" t="s">
        <v>30445</v>
      </c>
      <c r="D1169" s="438">
        <v>26.9</v>
      </c>
    </row>
    <row r="1170" spans="1:4">
      <c r="A1170" s="435">
        <v>53662</v>
      </c>
      <c r="B1170" s="436" t="s">
        <v>31597</v>
      </c>
      <c r="C1170" s="437" t="s">
        <v>30445</v>
      </c>
      <c r="D1170" s="438">
        <v>47.68</v>
      </c>
    </row>
    <row r="1171" spans="1:4">
      <c r="A1171" s="435">
        <v>53670</v>
      </c>
      <c r="B1171" s="436" t="s">
        <v>31598</v>
      </c>
      <c r="C1171" s="437" t="s">
        <v>30445</v>
      </c>
      <c r="D1171" s="438">
        <v>38.08</v>
      </c>
    </row>
    <row r="1172" spans="1:4">
      <c r="A1172" s="435">
        <v>53675</v>
      </c>
      <c r="B1172" s="436" t="s">
        <v>31599</v>
      </c>
      <c r="C1172" s="437" t="s">
        <v>30445</v>
      </c>
      <c r="D1172" s="438">
        <v>131.11000000000001</v>
      </c>
    </row>
    <row r="1173" spans="1:4">
      <c r="A1173" s="435">
        <v>53680</v>
      </c>
      <c r="B1173" s="436" t="s">
        <v>31600</v>
      </c>
      <c r="C1173" s="437" t="s">
        <v>30445</v>
      </c>
      <c r="D1173" s="438">
        <v>205.42</v>
      </c>
    </row>
    <row r="1174" spans="1:4">
      <c r="A1174" s="435">
        <v>53681</v>
      </c>
      <c r="B1174" s="436" t="s">
        <v>31601</v>
      </c>
      <c r="C1174" s="437" t="s">
        <v>30445</v>
      </c>
      <c r="D1174" s="438">
        <v>260.48</v>
      </c>
    </row>
    <row r="1175" spans="1:4">
      <c r="A1175" s="435">
        <v>53682</v>
      </c>
      <c r="B1175" s="436" t="s">
        <v>31602</v>
      </c>
      <c r="C1175" s="437" t="s">
        <v>30445</v>
      </c>
      <c r="D1175" s="438">
        <v>929.43</v>
      </c>
    </row>
    <row r="1176" spans="1:4">
      <c r="A1176" s="435">
        <v>53683</v>
      </c>
      <c r="B1176" s="436" t="s">
        <v>31603</v>
      </c>
      <c r="C1176" s="437" t="s">
        <v>30445</v>
      </c>
      <c r="D1176" s="438">
        <v>6.51</v>
      </c>
    </row>
    <row r="1177" spans="1:4">
      <c r="A1177" s="435">
        <v>53684</v>
      </c>
      <c r="B1177" s="436" t="s">
        <v>31604</v>
      </c>
      <c r="C1177" s="437" t="s">
        <v>30445</v>
      </c>
      <c r="D1177" s="438">
        <v>27.93</v>
      </c>
    </row>
    <row r="1178" spans="1:4">
      <c r="A1178" s="435">
        <v>53685</v>
      </c>
      <c r="B1178" s="436" t="s">
        <v>31605</v>
      </c>
      <c r="C1178" s="437" t="s">
        <v>30445</v>
      </c>
      <c r="D1178" s="438">
        <v>34.06</v>
      </c>
    </row>
    <row r="1179" spans="1:4">
      <c r="A1179" s="435">
        <v>53686</v>
      </c>
      <c r="B1179" s="436" t="s">
        <v>31606</v>
      </c>
      <c r="C1179" s="437" t="s">
        <v>30445</v>
      </c>
      <c r="D1179" s="438">
        <v>37.82</v>
      </c>
    </row>
    <row r="1180" spans="1:4">
      <c r="A1180" s="431">
        <v>54000</v>
      </c>
      <c r="B1180" s="432" t="s">
        <v>31607</v>
      </c>
      <c r="C1180" s="433"/>
      <c r="D1180" s="434" t="s">
        <v>30434</v>
      </c>
    </row>
    <row r="1181" spans="1:4">
      <c r="A1181" s="435">
        <v>54020</v>
      </c>
      <c r="B1181" s="436" t="s">
        <v>31608</v>
      </c>
      <c r="C1181" s="437" t="s">
        <v>165</v>
      </c>
      <c r="D1181" s="438">
        <v>9.41</v>
      </c>
    </row>
    <row r="1182" spans="1:4">
      <c r="A1182" s="435">
        <v>54022</v>
      </c>
      <c r="B1182" s="436" t="s">
        <v>31609</v>
      </c>
      <c r="C1182" s="437" t="s">
        <v>165</v>
      </c>
      <c r="D1182" s="438">
        <v>22.56</v>
      </c>
    </row>
    <row r="1183" spans="1:4">
      <c r="A1183" s="435">
        <v>54024</v>
      </c>
      <c r="B1183" s="436" t="s">
        <v>31610</v>
      </c>
      <c r="C1183" s="437" t="s">
        <v>165</v>
      </c>
      <c r="D1183" s="438">
        <v>56.17</v>
      </c>
    </row>
    <row r="1184" spans="1:4">
      <c r="A1184" s="435">
        <v>54026</v>
      </c>
      <c r="B1184" s="436" t="s">
        <v>31611</v>
      </c>
      <c r="C1184" s="437" t="s">
        <v>165</v>
      </c>
      <c r="D1184" s="438">
        <v>125.33</v>
      </c>
    </row>
    <row r="1185" spans="1:4">
      <c r="A1185" s="435">
        <v>54028</v>
      </c>
      <c r="B1185" s="436" t="s">
        <v>31612</v>
      </c>
      <c r="C1185" s="437" t="s">
        <v>165</v>
      </c>
      <c r="D1185" s="438">
        <v>144.54</v>
      </c>
    </row>
    <row r="1186" spans="1:4">
      <c r="A1186" s="435">
        <v>54030</v>
      </c>
      <c r="B1186" s="436" t="s">
        <v>31613</v>
      </c>
      <c r="C1186" s="437" t="s">
        <v>165</v>
      </c>
      <c r="D1186" s="438">
        <v>366.83</v>
      </c>
    </row>
    <row r="1187" spans="1:4">
      <c r="A1187" s="435">
        <v>54031</v>
      </c>
      <c r="B1187" s="436" t="s">
        <v>31614</v>
      </c>
      <c r="C1187" s="437" t="s">
        <v>165</v>
      </c>
      <c r="D1187" s="438">
        <v>603.88</v>
      </c>
    </row>
    <row r="1188" spans="1:4">
      <c r="A1188" s="435">
        <v>54032</v>
      </c>
      <c r="B1188" s="436" t="s">
        <v>31615</v>
      </c>
      <c r="C1188" s="437" t="s">
        <v>165</v>
      </c>
      <c r="D1188" s="438">
        <v>857.4</v>
      </c>
    </row>
    <row r="1189" spans="1:4">
      <c r="A1189" s="435">
        <v>54033</v>
      </c>
      <c r="B1189" s="436" t="s">
        <v>31616</v>
      </c>
      <c r="C1189" s="437" t="s">
        <v>165</v>
      </c>
      <c r="D1189" s="438">
        <v>1064.53</v>
      </c>
    </row>
    <row r="1190" spans="1:4">
      <c r="A1190" s="435">
        <v>54034</v>
      </c>
      <c r="B1190" s="436" t="s">
        <v>31617</v>
      </c>
      <c r="C1190" s="437" t="s">
        <v>165</v>
      </c>
      <c r="D1190" s="438">
        <v>1202.99</v>
      </c>
    </row>
    <row r="1191" spans="1:4">
      <c r="A1191" s="435">
        <v>54035</v>
      </c>
      <c r="B1191" s="436" t="s">
        <v>31618</v>
      </c>
      <c r="C1191" s="437" t="s">
        <v>165</v>
      </c>
      <c r="D1191" s="438">
        <v>1466.07</v>
      </c>
    </row>
    <row r="1192" spans="1:4">
      <c r="A1192" s="431">
        <v>54100</v>
      </c>
      <c r="B1192" s="432" t="s">
        <v>31619</v>
      </c>
      <c r="C1192" s="433"/>
      <c r="D1192" s="434" t="s">
        <v>30434</v>
      </c>
    </row>
    <row r="1193" spans="1:4">
      <c r="A1193" s="435">
        <v>54101</v>
      </c>
      <c r="B1193" s="436" t="s">
        <v>31620</v>
      </c>
      <c r="C1193" s="437" t="s">
        <v>30445</v>
      </c>
      <c r="D1193" s="438">
        <v>735.38</v>
      </c>
    </row>
    <row r="1194" spans="1:4">
      <c r="A1194" s="435">
        <v>54102</v>
      </c>
      <c r="B1194" s="436" t="s">
        <v>31621</v>
      </c>
      <c r="C1194" s="437" t="s">
        <v>30445</v>
      </c>
      <c r="D1194" s="438">
        <v>609.54</v>
      </c>
    </row>
    <row r="1195" spans="1:4">
      <c r="A1195" s="435">
        <v>54103</v>
      </c>
      <c r="B1195" s="436" t="s">
        <v>31622</v>
      </c>
      <c r="C1195" s="437" t="s">
        <v>30445</v>
      </c>
      <c r="D1195" s="438">
        <v>603.61</v>
      </c>
    </row>
    <row r="1196" spans="1:4">
      <c r="A1196" s="435">
        <v>54104</v>
      </c>
      <c r="B1196" s="436" t="s">
        <v>31623</v>
      </c>
      <c r="C1196" s="437" t="s">
        <v>30445</v>
      </c>
      <c r="D1196" s="438">
        <v>486.5</v>
      </c>
    </row>
    <row r="1197" spans="1:4">
      <c r="A1197" s="435">
        <v>54106</v>
      </c>
      <c r="B1197" s="436" t="s">
        <v>31624</v>
      </c>
      <c r="C1197" s="437" t="s">
        <v>30445</v>
      </c>
      <c r="D1197" s="438">
        <v>832.54</v>
      </c>
    </row>
    <row r="1198" spans="1:4">
      <c r="A1198" s="435">
        <v>54107</v>
      </c>
      <c r="B1198" s="436" t="s">
        <v>31625</v>
      </c>
      <c r="C1198" s="437" t="s">
        <v>30445</v>
      </c>
      <c r="D1198" s="438">
        <v>919.65</v>
      </c>
    </row>
    <row r="1199" spans="1:4">
      <c r="A1199" s="435">
        <v>54111</v>
      </c>
      <c r="B1199" s="436" t="s">
        <v>31626</v>
      </c>
      <c r="C1199" s="437" t="s">
        <v>30445</v>
      </c>
      <c r="D1199" s="438">
        <v>1319.9</v>
      </c>
    </row>
    <row r="1200" spans="1:4">
      <c r="A1200" s="435">
        <v>54112</v>
      </c>
      <c r="B1200" s="436" t="s">
        <v>31627</v>
      </c>
      <c r="C1200" s="437" t="s">
        <v>30445</v>
      </c>
      <c r="D1200" s="438">
        <v>283.24</v>
      </c>
    </row>
    <row r="1201" spans="1:4">
      <c r="A1201" s="435">
        <v>54115</v>
      </c>
      <c r="B1201" s="436" t="s">
        <v>31628</v>
      </c>
      <c r="C1201" s="437" t="s">
        <v>30445</v>
      </c>
      <c r="D1201" s="438">
        <v>162.37</v>
      </c>
    </row>
    <row r="1202" spans="1:4">
      <c r="A1202" s="435">
        <v>54116</v>
      </c>
      <c r="B1202" s="436" t="s">
        <v>31629</v>
      </c>
      <c r="C1202" s="437" t="s">
        <v>30445</v>
      </c>
      <c r="D1202" s="438">
        <v>349.41</v>
      </c>
    </row>
    <row r="1203" spans="1:4">
      <c r="A1203" s="435">
        <v>54117</v>
      </c>
      <c r="B1203" s="436" t="s">
        <v>31630</v>
      </c>
      <c r="C1203" s="437" t="s">
        <v>30445</v>
      </c>
      <c r="D1203" s="438">
        <v>444.54</v>
      </c>
    </row>
    <row r="1204" spans="1:4">
      <c r="A1204" s="435">
        <v>54118</v>
      </c>
      <c r="B1204" s="436" t="s">
        <v>31631</v>
      </c>
      <c r="C1204" s="437" t="s">
        <v>30445</v>
      </c>
      <c r="D1204" s="438">
        <v>322.11</v>
      </c>
    </row>
    <row r="1205" spans="1:4">
      <c r="A1205" s="435">
        <v>54119</v>
      </c>
      <c r="B1205" s="436" t="s">
        <v>31632</v>
      </c>
      <c r="C1205" s="437" t="s">
        <v>30445</v>
      </c>
      <c r="D1205" s="438">
        <v>1895.6</v>
      </c>
    </row>
    <row r="1206" spans="1:4">
      <c r="A1206" s="435">
        <v>54126</v>
      </c>
      <c r="B1206" s="436" t="s">
        <v>31633</v>
      </c>
      <c r="C1206" s="437" t="s">
        <v>30445</v>
      </c>
      <c r="D1206" s="438">
        <v>384.57</v>
      </c>
    </row>
    <row r="1207" spans="1:4">
      <c r="A1207" s="435">
        <v>54127</v>
      </c>
      <c r="B1207" s="436" t="s">
        <v>31634</v>
      </c>
      <c r="C1207" s="437" t="s">
        <v>30445</v>
      </c>
      <c r="D1207" s="438">
        <v>360.57</v>
      </c>
    </row>
    <row r="1208" spans="1:4">
      <c r="A1208" s="435">
        <v>54128</v>
      </c>
      <c r="B1208" s="436" t="s">
        <v>31635</v>
      </c>
      <c r="C1208" s="437" t="s">
        <v>30445</v>
      </c>
      <c r="D1208" s="438">
        <v>313.5</v>
      </c>
    </row>
    <row r="1209" spans="1:4">
      <c r="A1209" s="435">
        <v>54129</v>
      </c>
      <c r="B1209" s="436" t="s">
        <v>31636</v>
      </c>
      <c r="C1209" s="437" t="s">
        <v>30445</v>
      </c>
      <c r="D1209" s="438">
        <v>891.7</v>
      </c>
    </row>
    <row r="1210" spans="1:4">
      <c r="A1210" s="431">
        <v>54400</v>
      </c>
      <c r="B1210" s="432" t="s">
        <v>28483</v>
      </c>
      <c r="C1210" s="433"/>
      <c r="D1210" s="434" t="s">
        <v>30434</v>
      </c>
    </row>
    <row r="1211" spans="1:4">
      <c r="A1211" s="435">
        <v>54410</v>
      </c>
      <c r="B1211" s="436" t="s">
        <v>31637</v>
      </c>
      <c r="C1211" s="437" t="s">
        <v>30445</v>
      </c>
      <c r="D1211" s="438">
        <v>147.29</v>
      </c>
    </row>
    <row r="1212" spans="1:4">
      <c r="A1212" s="435">
        <v>54450</v>
      </c>
      <c r="B1212" s="436" t="s">
        <v>31638</v>
      </c>
      <c r="C1212" s="437" t="s">
        <v>30445</v>
      </c>
      <c r="D1212" s="438">
        <v>16.489999999999998</v>
      </c>
    </row>
    <row r="1213" spans="1:4">
      <c r="A1213" s="435">
        <v>54451</v>
      </c>
      <c r="B1213" s="436" t="s">
        <v>31639</v>
      </c>
      <c r="C1213" s="437" t="s">
        <v>30445</v>
      </c>
      <c r="D1213" s="438">
        <v>12.64</v>
      </c>
    </row>
    <row r="1214" spans="1:4">
      <c r="A1214" s="435">
        <v>54452</v>
      </c>
      <c r="B1214" s="436" t="s">
        <v>31640</v>
      </c>
      <c r="C1214" s="437" t="s">
        <v>30445</v>
      </c>
      <c r="D1214" s="438">
        <v>54.43</v>
      </c>
    </row>
    <row r="1215" spans="1:4">
      <c r="A1215" s="435">
        <v>54453</v>
      </c>
      <c r="B1215" s="436" t="s">
        <v>31641</v>
      </c>
      <c r="C1215" s="437" t="s">
        <v>30445</v>
      </c>
      <c r="D1215" s="438">
        <v>44.02</v>
      </c>
    </row>
    <row r="1216" spans="1:4">
      <c r="A1216" s="435">
        <v>54454</v>
      </c>
      <c r="B1216" s="436" t="s">
        <v>31642</v>
      </c>
      <c r="C1216" s="437" t="s">
        <v>30445</v>
      </c>
      <c r="D1216" s="438">
        <v>75.37</v>
      </c>
    </row>
    <row r="1217" spans="1:4">
      <c r="A1217" s="435">
        <v>54455</v>
      </c>
      <c r="B1217" s="436" t="s">
        <v>31643</v>
      </c>
      <c r="C1217" s="437" t="s">
        <v>30445</v>
      </c>
      <c r="D1217" s="438">
        <v>56.54</v>
      </c>
    </row>
    <row r="1218" spans="1:4">
      <c r="A1218" s="435">
        <v>54456</v>
      </c>
      <c r="B1218" s="436" t="s">
        <v>31644</v>
      </c>
      <c r="C1218" s="437" t="s">
        <v>30445</v>
      </c>
      <c r="D1218" s="438">
        <v>33472.83</v>
      </c>
    </row>
    <row r="1219" spans="1:4">
      <c r="A1219" s="435">
        <v>54457</v>
      </c>
      <c r="B1219" s="436" t="s">
        <v>31645</v>
      </c>
      <c r="C1219" s="437" t="s">
        <v>30445</v>
      </c>
      <c r="D1219" s="438">
        <v>81986.59</v>
      </c>
    </row>
    <row r="1220" spans="1:4">
      <c r="A1220" s="435">
        <v>54458</v>
      </c>
      <c r="B1220" s="436" t="s">
        <v>31646</v>
      </c>
      <c r="C1220" s="437" t="s">
        <v>30445</v>
      </c>
      <c r="D1220" s="438">
        <v>24484.05</v>
      </c>
    </row>
    <row r="1221" spans="1:4">
      <c r="A1221" s="435">
        <v>54459</v>
      </c>
      <c r="B1221" s="436" t="s">
        <v>31647</v>
      </c>
      <c r="C1221" s="437" t="s">
        <v>30445</v>
      </c>
      <c r="D1221" s="438">
        <v>43241.86</v>
      </c>
    </row>
    <row r="1222" spans="1:4">
      <c r="A1222" s="435">
        <v>54460</v>
      </c>
      <c r="B1222" s="436" t="s">
        <v>31648</v>
      </c>
      <c r="C1222" s="437" t="s">
        <v>30445</v>
      </c>
      <c r="D1222" s="438">
        <v>30908.31</v>
      </c>
    </row>
    <row r="1223" spans="1:4">
      <c r="A1223" s="435">
        <v>54461</v>
      </c>
      <c r="B1223" s="436" t="s">
        <v>31649</v>
      </c>
      <c r="C1223" s="437" t="s">
        <v>30445</v>
      </c>
      <c r="D1223" s="438">
        <v>52825.74</v>
      </c>
    </row>
    <row r="1224" spans="1:4">
      <c r="A1224" s="435">
        <v>54462</v>
      </c>
      <c r="B1224" s="436" t="s">
        <v>31650</v>
      </c>
      <c r="C1224" s="437" t="s">
        <v>30445</v>
      </c>
      <c r="D1224" s="438">
        <v>62974.879999999997</v>
      </c>
    </row>
    <row r="1225" spans="1:4">
      <c r="A1225" s="435">
        <v>54470</v>
      </c>
      <c r="B1225" s="436" t="s">
        <v>31651</v>
      </c>
      <c r="C1225" s="437" t="s">
        <v>30445</v>
      </c>
      <c r="D1225" s="438">
        <v>421.58</v>
      </c>
    </row>
    <row r="1226" spans="1:4">
      <c r="A1226" s="435">
        <v>54472</v>
      </c>
      <c r="B1226" s="436" t="s">
        <v>31652</v>
      </c>
      <c r="C1226" s="437" t="s">
        <v>30445</v>
      </c>
      <c r="D1226" s="438">
        <v>2543.38</v>
      </c>
    </row>
    <row r="1227" spans="1:4">
      <c r="A1227" s="435">
        <v>54474</v>
      </c>
      <c r="B1227" s="436" t="s">
        <v>31653</v>
      </c>
      <c r="C1227" s="437" t="s">
        <v>30445</v>
      </c>
      <c r="D1227" s="438">
        <v>5542.91</v>
      </c>
    </row>
    <row r="1228" spans="1:4">
      <c r="A1228" s="435">
        <v>54476</v>
      </c>
      <c r="B1228" s="436" t="s">
        <v>31654</v>
      </c>
      <c r="C1228" s="437" t="s">
        <v>30445</v>
      </c>
      <c r="D1228" s="438">
        <v>5507.99</v>
      </c>
    </row>
    <row r="1229" spans="1:4">
      <c r="A1229" s="435">
        <v>54485</v>
      </c>
      <c r="B1229" s="436" t="s">
        <v>31655</v>
      </c>
      <c r="C1229" s="437" t="s">
        <v>30445</v>
      </c>
      <c r="D1229" s="438">
        <v>1247.18</v>
      </c>
    </row>
    <row r="1230" spans="1:4">
      <c r="A1230" s="435">
        <v>54486</v>
      </c>
      <c r="B1230" s="436" t="s">
        <v>31656</v>
      </c>
      <c r="C1230" s="437" t="s">
        <v>30445</v>
      </c>
      <c r="D1230" s="438">
        <v>1247.18</v>
      </c>
    </row>
    <row r="1231" spans="1:4">
      <c r="A1231" s="435">
        <v>54487</v>
      </c>
      <c r="B1231" s="436" t="s">
        <v>31657</v>
      </c>
      <c r="C1231" s="437" t="s">
        <v>30445</v>
      </c>
      <c r="D1231" s="438">
        <v>1253.79</v>
      </c>
    </row>
    <row r="1232" spans="1:4">
      <c r="A1232" s="435">
        <v>54489</v>
      </c>
      <c r="B1232" s="436" t="s">
        <v>31658</v>
      </c>
      <c r="C1232" s="437" t="s">
        <v>30445</v>
      </c>
      <c r="D1232" s="438">
        <v>2400.98</v>
      </c>
    </row>
    <row r="1233" spans="1:4">
      <c r="A1233" s="435">
        <v>54491</v>
      </c>
      <c r="B1233" s="436" t="s">
        <v>31659</v>
      </c>
      <c r="C1233" s="437" t="s">
        <v>30445</v>
      </c>
      <c r="D1233" s="438">
        <v>2360</v>
      </c>
    </row>
    <row r="1234" spans="1:4">
      <c r="A1234" s="435">
        <v>54492</v>
      </c>
      <c r="B1234" s="436" t="s">
        <v>31660</v>
      </c>
      <c r="C1234" s="437" t="s">
        <v>30445</v>
      </c>
      <c r="D1234" s="438">
        <v>2346.56</v>
      </c>
    </row>
    <row r="1235" spans="1:4">
      <c r="A1235" s="435">
        <v>54494</v>
      </c>
      <c r="B1235" s="436" t="s">
        <v>31661</v>
      </c>
      <c r="C1235" s="437" t="s">
        <v>30445</v>
      </c>
      <c r="D1235" s="438">
        <v>2337.7600000000002</v>
      </c>
    </row>
    <row r="1236" spans="1:4">
      <c r="A1236" s="435">
        <v>54495</v>
      </c>
      <c r="B1236" s="436" t="s">
        <v>31662</v>
      </c>
      <c r="C1236" s="437" t="s">
        <v>30445</v>
      </c>
      <c r="D1236" s="438">
        <v>4179.25</v>
      </c>
    </row>
    <row r="1237" spans="1:4">
      <c r="A1237" s="435">
        <v>54497</v>
      </c>
      <c r="B1237" s="436" t="s">
        <v>31663</v>
      </c>
      <c r="C1237" s="437" t="s">
        <v>30445</v>
      </c>
      <c r="D1237" s="438">
        <v>4166.54</v>
      </c>
    </row>
    <row r="1238" spans="1:4">
      <c r="A1238" s="431">
        <v>54500</v>
      </c>
      <c r="B1238" s="432" t="s">
        <v>31664</v>
      </c>
      <c r="C1238" s="433"/>
      <c r="D1238" s="434" t="s">
        <v>30434</v>
      </c>
    </row>
    <row r="1239" spans="1:4">
      <c r="A1239" s="435">
        <v>54501</v>
      </c>
      <c r="B1239" s="436" t="s">
        <v>31665</v>
      </c>
      <c r="C1239" s="437" t="s">
        <v>30445</v>
      </c>
      <c r="D1239" s="438">
        <v>990.8</v>
      </c>
    </row>
    <row r="1240" spans="1:4">
      <c r="A1240" s="435">
        <v>54502</v>
      </c>
      <c r="B1240" s="436" t="s">
        <v>31666</v>
      </c>
      <c r="C1240" s="437" t="s">
        <v>30445</v>
      </c>
      <c r="D1240" s="438">
        <v>875.83</v>
      </c>
    </row>
    <row r="1241" spans="1:4">
      <c r="A1241" s="435">
        <v>54511</v>
      </c>
      <c r="B1241" s="436" t="s">
        <v>31667</v>
      </c>
      <c r="C1241" s="437" t="s">
        <v>30445</v>
      </c>
      <c r="D1241" s="438">
        <v>139.80000000000001</v>
      </c>
    </row>
    <row r="1242" spans="1:4">
      <c r="A1242" s="435">
        <v>54533</v>
      </c>
      <c r="B1242" s="436" t="s">
        <v>31668</v>
      </c>
      <c r="C1242" s="437" t="s">
        <v>30445</v>
      </c>
      <c r="D1242" s="438">
        <v>144.87</v>
      </c>
    </row>
    <row r="1243" spans="1:4">
      <c r="A1243" s="435">
        <v>54534</v>
      </c>
      <c r="B1243" s="436" t="s">
        <v>31669</v>
      </c>
      <c r="C1243" s="437" t="s">
        <v>30445</v>
      </c>
      <c r="D1243" s="438">
        <v>162.09</v>
      </c>
    </row>
    <row r="1244" spans="1:4">
      <c r="A1244" s="435">
        <v>54540</v>
      </c>
      <c r="B1244" s="436" t="s">
        <v>31670</v>
      </c>
      <c r="C1244" s="437" t="s">
        <v>30445</v>
      </c>
      <c r="D1244" s="438">
        <v>329.76</v>
      </c>
    </row>
    <row r="1245" spans="1:4">
      <c r="A1245" s="435">
        <v>54541</v>
      </c>
      <c r="B1245" s="436" t="s">
        <v>31671</v>
      </c>
      <c r="C1245" s="437" t="s">
        <v>30445</v>
      </c>
      <c r="D1245" s="438">
        <v>400.81</v>
      </c>
    </row>
    <row r="1246" spans="1:4">
      <c r="A1246" s="435">
        <v>54542</v>
      </c>
      <c r="B1246" s="436" t="s">
        <v>31672</v>
      </c>
      <c r="C1246" s="437" t="s">
        <v>30445</v>
      </c>
      <c r="D1246" s="438">
        <v>796.07</v>
      </c>
    </row>
    <row r="1247" spans="1:4">
      <c r="A1247" s="435">
        <v>54543</v>
      </c>
      <c r="B1247" s="436" t="s">
        <v>31673</v>
      </c>
      <c r="C1247" s="437" t="s">
        <v>30445</v>
      </c>
      <c r="D1247" s="438">
        <v>1620.98</v>
      </c>
    </row>
    <row r="1248" spans="1:4">
      <c r="A1248" s="435">
        <v>54550</v>
      </c>
      <c r="B1248" s="436" t="s">
        <v>31674</v>
      </c>
      <c r="C1248" s="437" t="s">
        <v>30445</v>
      </c>
      <c r="D1248" s="438">
        <v>207.92</v>
      </c>
    </row>
    <row r="1249" spans="1:4">
      <c r="A1249" s="435">
        <v>54551</v>
      </c>
      <c r="B1249" s="436" t="s">
        <v>31675</v>
      </c>
      <c r="C1249" s="437" t="s">
        <v>30445</v>
      </c>
      <c r="D1249" s="438">
        <v>351.54</v>
      </c>
    </row>
    <row r="1250" spans="1:4">
      <c r="A1250" s="435">
        <v>54552</v>
      </c>
      <c r="B1250" s="436" t="s">
        <v>31676</v>
      </c>
      <c r="C1250" s="437" t="s">
        <v>30445</v>
      </c>
      <c r="D1250" s="438">
        <v>277.63</v>
      </c>
    </row>
    <row r="1251" spans="1:4">
      <c r="A1251" s="435">
        <v>54560</v>
      </c>
      <c r="B1251" s="436" t="s">
        <v>31677</v>
      </c>
      <c r="C1251" s="437" t="s">
        <v>30445</v>
      </c>
      <c r="D1251" s="438">
        <v>107.74</v>
      </c>
    </row>
    <row r="1252" spans="1:4">
      <c r="A1252" s="435">
        <v>54576</v>
      </c>
      <c r="B1252" s="436" t="s">
        <v>31678</v>
      </c>
      <c r="C1252" s="437" t="s">
        <v>30445</v>
      </c>
      <c r="D1252" s="438">
        <v>4.08</v>
      </c>
    </row>
    <row r="1253" spans="1:4">
      <c r="A1253" s="435">
        <v>54580</v>
      </c>
      <c r="B1253" s="436" t="s">
        <v>31679</v>
      </c>
      <c r="C1253" s="437" t="s">
        <v>30445</v>
      </c>
      <c r="D1253" s="438">
        <v>45.67</v>
      </c>
    </row>
    <row r="1254" spans="1:4" ht="25">
      <c r="A1254" s="435">
        <v>54581</v>
      </c>
      <c r="B1254" s="436" t="s">
        <v>31680</v>
      </c>
      <c r="C1254" s="437" t="s">
        <v>30445</v>
      </c>
      <c r="D1254" s="438">
        <v>152.12</v>
      </c>
    </row>
    <row r="1255" spans="1:4" ht="25">
      <c r="A1255" s="435">
        <v>54582</v>
      </c>
      <c r="B1255" s="436" t="s">
        <v>31681</v>
      </c>
      <c r="C1255" s="437" t="s">
        <v>30445</v>
      </c>
      <c r="D1255" s="438">
        <v>273.39</v>
      </c>
    </row>
    <row r="1256" spans="1:4">
      <c r="A1256" s="435">
        <v>54583</v>
      </c>
      <c r="B1256" s="436" t="s">
        <v>31682</v>
      </c>
      <c r="C1256" s="437" t="s">
        <v>30445</v>
      </c>
      <c r="D1256" s="438">
        <v>304.07</v>
      </c>
    </row>
    <row r="1257" spans="1:4">
      <c r="A1257" s="431">
        <v>54800</v>
      </c>
      <c r="B1257" s="432" t="s">
        <v>31683</v>
      </c>
      <c r="C1257" s="433"/>
      <c r="D1257" s="434" t="s">
        <v>30434</v>
      </c>
    </row>
    <row r="1258" spans="1:4">
      <c r="A1258" s="435">
        <v>54801</v>
      </c>
      <c r="B1258" s="436" t="s">
        <v>31684</v>
      </c>
      <c r="C1258" s="437" t="s">
        <v>30445</v>
      </c>
      <c r="D1258" s="438">
        <v>4.59</v>
      </c>
    </row>
    <row r="1259" spans="1:4">
      <c r="A1259" s="435">
        <v>54802</v>
      </c>
      <c r="B1259" s="436" t="s">
        <v>31685</v>
      </c>
      <c r="C1259" s="437" t="s">
        <v>30445</v>
      </c>
      <c r="D1259" s="438">
        <v>8</v>
      </c>
    </row>
    <row r="1260" spans="1:4">
      <c r="A1260" s="435">
        <v>54803</v>
      </c>
      <c r="B1260" s="436" t="s">
        <v>31686</v>
      </c>
      <c r="C1260" s="437" t="s">
        <v>30445</v>
      </c>
      <c r="D1260" s="438">
        <v>4.6399999999999997</v>
      </c>
    </row>
    <row r="1261" spans="1:4">
      <c r="A1261" s="435">
        <v>54804</v>
      </c>
      <c r="B1261" s="436" t="s">
        <v>31687</v>
      </c>
      <c r="C1261" s="437" t="s">
        <v>30445</v>
      </c>
      <c r="D1261" s="438">
        <v>3.22</v>
      </c>
    </row>
    <row r="1262" spans="1:4">
      <c r="A1262" s="435">
        <v>54805</v>
      </c>
      <c r="B1262" s="436" t="s">
        <v>31688</v>
      </c>
      <c r="C1262" s="437" t="s">
        <v>30445</v>
      </c>
      <c r="D1262" s="438">
        <v>61.64</v>
      </c>
    </row>
    <row r="1263" spans="1:4">
      <c r="A1263" s="435">
        <v>54810</v>
      </c>
      <c r="B1263" s="436" t="s">
        <v>31689</v>
      </c>
      <c r="C1263" s="437" t="s">
        <v>30445</v>
      </c>
      <c r="D1263" s="438">
        <v>6.67</v>
      </c>
    </row>
    <row r="1264" spans="1:4">
      <c r="A1264" s="435">
        <v>54811</v>
      </c>
      <c r="B1264" s="436" t="s">
        <v>31690</v>
      </c>
      <c r="C1264" s="437" t="s">
        <v>30445</v>
      </c>
      <c r="D1264" s="438">
        <v>6.89</v>
      </c>
    </row>
    <row r="1265" spans="1:4">
      <c r="A1265" s="435">
        <v>54812</v>
      </c>
      <c r="B1265" s="436" t="s">
        <v>31691</v>
      </c>
      <c r="C1265" s="437" t="s">
        <v>30445</v>
      </c>
      <c r="D1265" s="438">
        <v>6.3</v>
      </c>
    </row>
    <row r="1266" spans="1:4">
      <c r="A1266" s="435">
        <v>54813</v>
      </c>
      <c r="B1266" s="436" t="s">
        <v>31692</v>
      </c>
      <c r="C1266" s="437" t="s">
        <v>30445</v>
      </c>
      <c r="D1266" s="438">
        <v>3.37</v>
      </c>
    </row>
    <row r="1267" spans="1:4" ht="25">
      <c r="A1267" s="435">
        <v>54824</v>
      </c>
      <c r="B1267" s="436" t="s">
        <v>31693</v>
      </c>
      <c r="C1267" s="437" t="s">
        <v>30445</v>
      </c>
      <c r="D1267" s="438">
        <v>313.23</v>
      </c>
    </row>
    <row r="1268" spans="1:4" ht="25">
      <c r="A1268" s="435">
        <v>54826</v>
      </c>
      <c r="B1268" s="436" t="s">
        <v>31694</v>
      </c>
      <c r="C1268" s="437" t="s">
        <v>30445</v>
      </c>
      <c r="D1268" s="438">
        <v>324.11</v>
      </c>
    </row>
    <row r="1269" spans="1:4">
      <c r="A1269" s="435">
        <v>54840</v>
      </c>
      <c r="B1269" s="436" t="s">
        <v>31695</v>
      </c>
      <c r="C1269" s="437" t="s">
        <v>30445</v>
      </c>
      <c r="D1269" s="438">
        <v>39.53</v>
      </c>
    </row>
    <row r="1270" spans="1:4" ht="25">
      <c r="A1270" s="435">
        <v>54842</v>
      </c>
      <c r="B1270" s="436" t="s">
        <v>31696</v>
      </c>
      <c r="C1270" s="437" t="s">
        <v>30445</v>
      </c>
      <c r="D1270" s="438">
        <v>63.49</v>
      </c>
    </row>
    <row r="1271" spans="1:4" ht="25">
      <c r="A1271" s="435">
        <v>54844</v>
      </c>
      <c r="B1271" s="436" t="s">
        <v>31697</v>
      </c>
      <c r="C1271" s="437" t="s">
        <v>30445</v>
      </c>
      <c r="D1271" s="438">
        <v>130.34</v>
      </c>
    </row>
    <row r="1272" spans="1:4">
      <c r="A1272" s="435">
        <v>54845</v>
      </c>
      <c r="B1272" s="436" t="s">
        <v>31698</v>
      </c>
      <c r="C1272" s="437" t="s">
        <v>30445</v>
      </c>
      <c r="D1272" s="438">
        <v>74</v>
      </c>
    </row>
    <row r="1273" spans="1:4">
      <c r="A1273" s="435">
        <v>54846</v>
      </c>
      <c r="B1273" s="436" t="s">
        <v>31699</v>
      </c>
      <c r="C1273" s="437" t="s">
        <v>30445</v>
      </c>
      <c r="D1273" s="438">
        <v>180.55</v>
      </c>
    </row>
    <row r="1274" spans="1:4">
      <c r="A1274" s="435">
        <v>54847</v>
      </c>
      <c r="B1274" s="436" t="s">
        <v>31700</v>
      </c>
      <c r="C1274" s="437" t="s">
        <v>30445</v>
      </c>
      <c r="D1274" s="438">
        <v>516.89</v>
      </c>
    </row>
    <row r="1275" spans="1:4">
      <c r="A1275" s="435">
        <v>54850</v>
      </c>
      <c r="B1275" s="436" t="s">
        <v>31701</v>
      </c>
      <c r="C1275" s="437" t="s">
        <v>30445</v>
      </c>
      <c r="D1275" s="438">
        <v>131.07</v>
      </c>
    </row>
    <row r="1276" spans="1:4">
      <c r="A1276" s="435">
        <v>54851</v>
      </c>
      <c r="B1276" s="436" t="s">
        <v>31702</v>
      </c>
      <c r="C1276" s="437" t="s">
        <v>30445</v>
      </c>
      <c r="D1276" s="438">
        <v>125.47</v>
      </c>
    </row>
    <row r="1277" spans="1:4">
      <c r="A1277" s="435">
        <v>54852</v>
      </c>
      <c r="B1277" s="436" t="s">
        <v>31703</v>
      </c>
      <c r="C1277" s="437" t="s">
        <v>30445</v>
      </c>
      <c r="D1277" s="438">
        <v>146.56</v>
      </c>
    </row>
    <row r="1278" spans="1:4">
      <c r="A1278" s="435">
        <v>54853</v>
      </c>
      <c r="B1278" s="436" t="s">
        <v>31704</v>
      </c>
      <c r="C1278" s="437" t="s">
        <v>30445</v>
      </c>
      <c r="D1278" s="438">
        <v>207.92</v>
      </c>
    </row>
    <row r="1279" spans="1:4">
      <c r="A1279" s="435">
        <v>54854</v>
      </c>
      <c r="B1279" s="436" t="s">
        <v>31705</v>
      </c>
      <c r="C1279" s="437" t="s">
        <v>30445</v>
      </c>
      <c r="D1279" s="438">
        <v>278.94</v>
      </c>
    </row>
    <row r="1280" spans="1:4">
      <c r="A1280" s="435">
        <v>54855</v>
      </c>
      <c r="B1280" s="436" t="s">
        <v>31706</v>
      </c>
      <c r="C1280" s="437" t="s">
        <v>30445</v>
      </c>
      <c r="D1280" s="438">
        <v>852.69</v>
      </c>
    </row>
    <row r="1281" spans="1:4">
      <c r="A1281" s="435">
        <v>54860</v>
      </c>
      <c r="B1281" s="436" t="s">
        <v>31707</v>
      </c>
      <c r="C1281" s="437" t="s">
        <v>30445</v>
      </c>
      <c r="D1281" s="438">
        <v>25.44</v>
      </c>
    </row>
    <row r="1282" spans="1:4">
      <c r="A1282" s="435">
        <v>54862</v>
      </c>
      <c r="B1282" s="436" t="s">
        <v>31708</v>
      </c>
      <c r="C1282" s="437" t="s">
        <v>30445</v>
      </c>
      <c r="D1282" s="438">
        <v>19.84</v>
      </c>
    </row>
    <row r="1283" spans="1:4">
      <c r="A1283" s="435">
        <v>54863</v>
      </c>
      <c r="B1283" s="436" t="s">
        <v>31709</v>
      </c>
      <c r="C1283" s="437" t="s">
        <v>30445</v>
      </c>
      <c r="D1283" s="438">
        <v>15.29</v>
      </c>
    </row>
    <row r="1284" spans="1:4">
      <c r="A1284" s="435">
        <v>54864</v>
      </c>
      <c r="B1284" s="436" t="s">
        <v>31710</v>
      </c>
      <c r="C1284" s="437" t="s">
        <v>30445</v>
      </c>
      <c r="D1284" s="438">
        <v>20.85</v>
      </c>
    </row>
    <row r="1285" spans="1:4">
      <c r="A1285" s="435">
        <v>54865</v>
      </c>
      <c r="B1285" s="436" t="s">
        <v>31711</v>
      </c>
      <c r="C1285" s="437" t="s">
        <v>30445</v>
      </c>
      <c r="D1285" s="438">
        <v>44.14</v>
      </c>
    </row>
    <row r="1286" spans="1:4">
      <c r="A1286" s="435">
        <v>54866</v>
      </c>
      <c r="B1286" s="436" t="s">
        <v>31712</v>
      </c>
      <c r="C1286" s="437" t="s">
        <v>30445</v>
      </c>
      <c r="D1286" s="438">
        <v>52.13</v>
      </c>
    </row>
    <row r="1287" spans="1:4">
      <c r="A1287" s="435">
        <v>54867</v>
      </c>
      <c r="B1287" s="436" t="s">
        <v>31713</v>
      </c>
      <c r="C1287" s="437" t="s">
        <v>30445</v>
      </c>
      <c r="D1287" s="438">
        <v>78.38</v>
      </c>
    </row>
    <row r="1288" spans="1:4">
      <c r="A1288" s="435">
        <v>54868</v>
      </c>
      <c r="B1288" s="436" t="s">
        <v>31714</v>
      </c>
      <c r="C1288" s="437" t="s">
        <v>30445</v>
      </c>
      <c r="D1288" s="438">
        <v>204.03</v>
      </c>
    </row>
    <row r="1289" spans="1:4">
      <c r="A1289" s="435">
        <v>54869</v>
      </c>
      <c r="B1289" s="436" t="s">
        <v>31715</v>
      </c>
      <c r="C1289" s="437" t="s">
        <v>30445</v>
      </c>
      <c r="D1289" s="438">
        <v>261.31</v>
      </c>
    </row>
    <row r="1290" spans="1:4">
      <c r="A1290" s="435">
        <v>54871</v>
      </c>
      <c r="B1290" s="436" t="s">
        <v>31716</v>
      </c>
      <c r="C1290" s="437" t="s">
        <v>30445</v>
      </c>
      <c r="D1290" s="438">
        <v>486.51</v>
      </c>
    </row>
    <row r="1291" spans="1:4">
      <c r="A1291" s="431">
        <v>54900</v>
      </c>
      <c r="B1291" s="432" t="s">
        <v>31717</v>
      </c>
      <c r="C1291" s="433"/>
      <c r="D1291" s="434" t="s">
        <v>30434</v>
      </c>
    </row>
    <row r="1292" spans="1:4">
      <c r="A1292" s="435">
        <v>54910</v>
      </c>
      <c r="B1292" s="436" t="s">
        <v>31718</v>
      </c>
      <c r="C1292" s="437" t="s">
        <v>165</v>
      </c>
      <c r="D1292" s="438">
        <v>19.670000000000002</v>
      </c>
    </row>
    <row r="1293" spans="1:4">
      <c r="A1293" s="435">
        <v>54912</v>
      </c>
      <c r="B1293" s="436" t="s">
        <v>31719</v>
      </c>
      <c r="C1293" s="437" t="s">
        <v>165</v>
      </c>
      <c r="D1293" s="438">
        <v>27.65</v>
      </c>
    </row>
    <row r="1294" spans="1:4">
      <c r="A1294" s="435">
        <v>54913</v>
      </c>
      <c r="B1294" s="436" t="s">
        <v>31720</v>
      </c>
      <c r="C1294" s="437" t="s">
        <v>165</v>
      </c>
      <c r="D1294" s="438">
        <v>45.88</v>
      </c>
    </row>
    <row r="1295" spans="1:4">
      <c r="A1295" s="435">
        <v>54915</v>
      </c>
      <c r="B1295" s="436" t="s">
        <v>31721</v>
      </c>
      <c r="C1295" s="437" t="s">
        <v>165</v>
      </c>
      <c r="D1295" s="438">
        <v>19.04</v>
      </c>
    </row>
    <row r="1296" spans="1:4">
      <c r="A1296" s="435">
        <v>54917</v>
      </c>
      <c r="B1296" s="436" t="s">
        <v>31722</v>
      </c>
      <c r="C1296" s="437" t="s">
        <v>165</v>
      </c>
      <c r="D1296" s="438">
        <v>26.32</v>
      </c>
    </row>
    <row r="1297" spans="1:4">
      <c r="A1297" s="435">
        <v>54918</v>
      </c>
      <c r="B1297" s="436" t="s">
        <v>31723</v>
      </c>
      <c r="C1297" s="437" t="s">
        <v>165</v>
      </c>
      <c r="D1297" s="438">
        <v>44.05</v>
      </c>
    </row>
    <row r="1298" spans="1:4">
      <c r="A1298" s="435">
        <v>54920</v>
      </c>
      <c r="B1298" s="436" t="s">
        <v>31724</v>
      </c>
      <c r="C1298" s="437" t="s">
        <v>165</v>
      </c>
      <c r="D1298" s="438">
        <v>3.87</v>
      </c>
    </row>
    <row r="1299" spans="1:4">
      <c r="A1299" s="435">
        <v>54921</v>
      </c>
      <c r="B1299" s="436" t="s">
        <v>31725</v>
      </c>
      <c r="C1299" s="437" t="s">
        <v>165</v>
      </c>
      <c r="D1299" s="438">
        <v>4.75</v>
      </c>
    </row>
    <row r="1300" spans="1:4">
      <c r="A1300" s="435">
        <v>54925</v>
      </c>
      <c r="B1300" s="436" t="s">
        <v>31726</v>
      </c>
      <c r="C1300" s="437" t="s">
        <v>30445</v>
      </c>
      <c r="D1300" s="438">
        <v>1.71</v>
      </c>
    </row>
    <row r="1301" spans="1:4">
      <c r="A1301" s="435">
        <v>54927</v>
      </c>
      <c r="B1301" s="436" t="s">
        <v>31727</v>
      </c>
      <c r="C1301" s="437" t="s">
        <v>30445</v>
      </c>
      <c r="D1301" s="438">
        <v>1.84</v>
      </c>
    </row>
    <row r="1302" spans="1:4">
      <c r="A1302" s="435">
        <v>54928</v>
      </c>
      <c r="B1302" s="436" t="s">
        <v>31728</v>
      </c>
      <c r="C1302" s="437" t="s">
        <v>30445</v>
      </c>
      <c r="D1302" s="438">
        <v>2.4700000000000002</v>
      </c>
    </row>
    <row r="1303" spans="1:4">
      <c r="A1303" s="435">
        <v>54930</v>
      </c>
      <c r="B1303" s="436" t="s">
        <v>31729</v>
      </c>
      <c r="C1303" s="437" t="s">
        <v>30445</v>
      </c>
      <c r="D1303" s="438">
        <v>2.4</v>
      </c>
    </row>
    <row r="1304" spans="1:4">
      <c r="A1304" s="435">
        <v>54932</v>
      </c>
      <c r="B1304" s="436" t="s">
        <v>31730</v>
      </c>
      <c r="C1304" s="437" t="s">
        <v>30445</v>
      </c>
      <c r="D1304" s="438">
        <v>3.96</v>
      </c>
    </row>
    <row r="1305" spans="1:4">
      <c r="A1305" s="435">
        <v>54941</v>
      </c>
      <c r="B1305" s="436" t="s">
        <v>31731</v>
      </c>
      <c r="C1305" s="437" t="s">
        <v>30445</v>
      </c>
      <c r="D1305" s="438">
        <v>13.46</v>
      </c>
    </row>
    <row r="1306" spans="1:4">
      <c r="A1306" s="435">
        <v>54942</v>
      </c>
      <c r="B1306" s="436" t="s">
        <v>31732</v>
      </c>
      <c r="C1306" s="437" t="s">
        <v>30445</v>
      </c>
      <c r="D1306" s="438">
        <v>13.46</v>
      </c>
    </row>
    <row r="1307" spans="1:4">
      <c r="A1307" s="435">
        <v>54944</v>
      </c>
      <c r="B1307" s="436" t="s">
        <v>31733</v>
      </c>
      <c r="C1307" s="437" t="s">
        <v>30445</v>
      </c>
      <c r="D1307" s="438">
        <v>36.49</v>
      </c>
    </row>
    <row r="1308" spans="1:4">
      <c r="A1308" s="435">
        <v>54945</v>
      </c>
      <c r="B1308" s="436" t="s">
        <v>31734</v>
      </c>
      <c r="C1308" s="437" t="s">
        <v>30445</v>
      </c>
      <c r="D1308" s="438">
        <v>26.87</v>
      </c>
    </row>
    <row r="1309" spans="1:4">
      <c r="A1309" s="435">
        <v>54946</v>
      </c>
      <c r="B1309" s="436" t="s">
        <v>31735</v>
      </c>
      <c r="C1309" s="437" t="s">
        <v>30445</v>
      </c>
      <c r="D1309" s="438">
        <v>26.4</v>
      </c>
    </row>
    <row r="1310" spans="1:4">
      <c r="A1310" s="435">
        <v>54949</v>
      </c>
      <c r="B1310" s="436" t="s">
        <v>31736</v>
      </c>
      <c r="C1310" s="437" t="s">
        <v>30445</v>
      </c>
      <c r="D1310" s="438">
        <v>89.01</v>
      </c>
    </row>
    <row r="1311" spans="1:4">
      <c r="A1311" s="435">
        <v>54950</v>
      </c>
      <c r="B1311" s="436" t="s">
        <v>31737</v>
      </c>
      <c r="C1311" s="437" t="s">
        <v>30445</v>
      </c>
      <c r="D1311" s="438">
        <v>4.16</v>
      </c>
    </row>
    <row r="1312" spans="1:4">
      <c r="A1312" s="435">
        <v>54952</v>
      </c>
      <c r="B1312" s="436" t="s">
        <v>31738</v>
      </c>
      <c r="C1312" s="437" t="s">
        <v>165</v>
      </c>
      <c r="D1312" s="438">
        <v>5.33</v>
      </c>
    </row>
    <row r="1313" spans="1:4">
      <c r="A1313" s="435">
        <v>54965</v>
      </c>
      <c r="B1313" s="436" t="s">
        <v>31739</v>
      </c>
      <c r="C1313" s="437" t="s">
        <v>30445</v>
      </c>
      <c r="D1313" s="438">
        <v>1.96</v>
      </c>
    </row>
    <row r="1314" spans="1:4">
      <c r="A1314" s="431">
        <v>55000</v>
      </c>
      <c r="B1314" s="432" t="s">
        <v>31619</v>
      </c>
      <c r="C1314" s="433"/>
      <c r="D1314" s="434" t="s">
        <v>30434</v>
      </c>
    </row>
    <row r="1315" spans="1:4">
      <c r="A1315" s="435">
        <v>55002</v>
      </c>
      <c r="B1315" s="436" t="s">
        <v>31740</v>
      </c>
      <c r="C1315" s="437" t="s">
        <v>165</v>
      </c>
      <c r="D1315" s="438">
        <v>39.43</v>
      </c>
    </row>
    <row r="1316" spans="1:4">
      <c r="A1316" s="435">
        <v>55004</v>
      </c>
      <c r="B1316" s="436" t="s">
        <v>31741</v>
      </c>
      <c r="C1316" s="437" t="s">
        <v>165</v>
      </c>
      <c r="D1316" s="438">
        <v>44.71</v>
      </c>
    </row>
    <row r="1317" spans="1:4">
      <c r="A1317" s="435">
        <v>55006</v>
      </c>
      <c r="B1317" s="436" t="s">
        <v>31742</v>
      </c>
      <c r="C1317" s="437" t="s">
        <v>165</v>
      </c>
      <c r="D1317" s="438">
        <v>51.05</v>
      </c>
    </row>
    <row r="1318" spans="1:4">
      <c r="A1318" s="435">
        <v>55008</v>
      </c>
      <c r="B1318" s="436" t="s">
        <v>31743</v>
      </c>
      <c r="C1318" s="437" t="s">
        <v>165</v>
      </c>
      <c r="D1318" s="438">
        <v>54.32</v>
      </c>
    </row>
    <row r="1319" spans="1:4">
      <c r="A1319" s="435">
        <v>55010</v>
      </c>
      <c r="B1319" s="436" t="s">
        <v>31744</v>
      </c>
      <c r="C1319" s="437" t="s">
        <v>165</v>
      </c>
      <c r="D1319" s="438">
        <v>59.16</v>
      </c>
    </row>
    <row r="1320" spans="1:4">
      <c r="A1320" s="435">
        <v>55012</v>
      </c>
      <c r="B1320" s="436" t="s">
        <v>31745</v>
      </c>
      <c r="C1320" s="437" t="s">
        <v>165</v>
      </c>
      <c r="D1320" s="438">
        <v>70.66</v>
      </c>
    </row>
    <row r="1321" spans="1:4">
      <c r="A1321" s="435">
        <v>55014</v>
      </c>
      <c r="B1321" s="436" t="s">
        <v>31746</v>
      </c>
      <c r="C1321" s="437" t="s">
        <v>165</v>
      </c>
      <c r="D1321" s="438">
        <v>81.47</v>
      </c>
    </row>
    <row r="1322" spans="1:4">
      <c r="A1322" s="435">
        <v>55016</v>
      </c>
      <c r="B1322" s="436" t="s">
        <v>31747</v>
      </c>
      <c r="C1322" s="437" t="s">
        <v>165</v>
      </c>
      <c r="D1322" s="438">
        <v>70.069999999999993</v>
      </c>
    </row>
    <row r="1323" spans="1:4">
      <c r="A1323" s="435">
        <v>55018</v>
      </c>
      <c r="B1323" s="436" t="s">
        <v>31748</v>
      </c>
      <c r="C1323" s="437" t="s">
        <v>165</v>
      </c>
      <c r="D1323" s="438">
        <v>81.010000000000005</v>
      </c>
    </row>
    <row r="1324" spans="1:4">
      <c r="A1324" s="435">
        <v>55020</v>
      </c>
      <c r="B1324" s="436" t="s">
        <v>31749</v>
      </c>
      <c r="C1324" s="437" t="s">
        <v>165</v>
      </c>
      <c r="D1324" s="438">
        <v>88.88</v>
      </c>
    </row>
    <row r="1325" spans="1:4">
      <c r="A1325" s="435">
        <v>55022</v>
      </c>
      <c r="B1325" s="436" t="s">
        <v>31750</v>
      </c>
      <c r="C1325" s="437" t="s">
        <v>165</v>
      </c>
      <c r="D1325" s="438">
        <v>97.96</v>
      </c>
    </row>
    <row r="1326" spans="1:4">
      <c r="A1326" s="435">
        <v>55024</v>
      </c>
      <c r="B1326" s="436" t="s">
        <v>31751</v>
      </c>
      <c r="C1326" s="437" t="s">
        <v>165</v>
      </c>
      <c r="D1326" s="438">
        <v>119.47</v>
      </c>
    </row>
    <row r="1327" spans="1:4">
      <c r="A1327" s="435">
        <v>55025</v>
      </c>
      <c r="B1327" s="436" t="s">
        <v>31752</v>
      </c>
      <c r="C1327" s="437" t="s">
        <v>165</v>
      </c>
      <c r="D1327" s="438">
        <v>14.25</v>
      </c>
    </row>
    <row r="1328" spans="1:4">
      <c r="A1328" s="435">
        <v>55026</v>
      </c>
      <c r="B1328" s="436" t="s">
        <v>31753</v>
      </c>
      <c r="C1328" s="437" t="s">
        <v>165</v>
      </c>
      <c r="D1328" s="438">
        <v>17.12</v>
      </c>
    </row>
    <row r="1329" spans="1:4">
      <c r="A1329" s="435">
        <v>55027</v>
      </c>
      <c r="B1329" s="436" t="s">
        <v>31754</v>
      </c>
      <c r="C1329" s="437" t="s">
        <v>165</v>
      </c>
      <c r="D1329" s="438">
        <v>17.23</v>
      </c>
    </row>
    <row r="1330" spans="1:4">
      <c r="A1330" s="435">
        <v>55028</v>
      </c>
      <c r="B1330" s="436" t="s">
        <v>31755</v>
      </c>
      <c r="C1330" s="437" t="s">
        <v>165</v>
      </c>
      <c r="D1330" s="438">
        <v>19.190000000000001</v>
      </c>
    </row>
    <row r="1331" spans="1:4">
      <c r="A1331" s="435">
        <v>55029</v>
      </c>
      <c r="B1331" s="436" t="s">
        <v>31756</v>
      </c>
      <c r="C1331" s="437" t="s">
        <v>165</v>
      </c>
      <c r="D1331" s="438">
        <v>25.75</v>
      </c>
    </row>
    <row r="1332" spans="1:4">
      <c r="A1332" s="435">
        <v>55030</v>
      </c>
      <c r="B1332" s="436" t="s">
        <v>31757</v>
      </c>
      <c r="C1332" s="437" t="s">
        <v>165</v>
      </c>
      <c r="D1332" s="438">
        <v>29.68</v>
      </c>
    </row>
    <row r="1333" spans="1:4">
      <c r="A1333" s="435">
        <v>55031</v>
      </c>
      <c r="B1333" s="436" t="s">
        <v>31758</v>
      </c>
      <c r="C1333" s="437" t="s">
        <v>165</v>
      </c>
      <c r="D1333" s="438">
        <v>32.53</v>
      </c>
    </row>
    <row r="1334" spans="1:4">
      <c r="A1334" s="435">
        <v>55032</v>
      </c>
      <c r="B1334" s="436" t="s">
        <v>31759</v>
      </c>
      <c r="C1334" s="437" t="s">
        <v>165</v>
      </c>
      <c r="D1334" s="438">
        <v>44.53</v>
      </c>
    </row>
    <row r="1335" spans="1:4">
      <c r="A1335" s="435">
        <v>55033</v>
      </c>
      <c r="B1335" s="436" t="s">
        <v>31760</v>
      </c>
      <c r="C1335" s="437" t="s">
        <v>165</v>
      </c>
      <c r="D1335" s="438">
        <v>36.61</v>
      </c>
    </row>
    <row r="1336" spans="1:4">
      <c r="A1336" s="435">
        <v>55034</v>
      </c>
      <c r="B1336" s="436" t="s">
        <v>31761</v>
      </c>
      <c r="C1336" s="437" t="s">
        <v>165</v>
      </c>
      <c r="D1336" s="438">
        <v>39.450000000000003</v>
      </c>
    </row>
    <row r="1337" spans="1:4">
      <c r="A1337" s="435">
        <v>55036</v>
      </c>
      <c r="B1337" s="436" t="s">
        <v>31762</v>
      </c>
      <c r="C1337" s="437" t="s">
        <v>165</v>
      </c>
      <c r="D1337" s="438">
        <v>47.3</v>
      </c>
    </row>
    <row r="1338" spans="1:4">
      <c r="A1338" s="435">
        <v>55038</v>
      </c>
      <c r="B1338" s="436" t="s">
        <v>31763</v>
      </c>
      <c r="C1338" s="437" t="s">
        <v>165</v>
      </c>
      <c r="D1338" s="438">
        <v>53.55</v>
      </c>
    </row>
    <row r="1339" spans="1:4">
      <c r="A1339" s="435">
        <v>55040</v>
      </c>
      <c r="B1339" s="436" t="s">
        <v>31764</v>
      </c>
      <c r="C1339" s="437" t="s">
        <v>165</v>
      </c>
      <c r="D1339" s="438">
        <v>61.66</v>
      </c>
    </row>
    <row r="1340" spans="1:4">
      <c r="A1340" s="435">
        <v>55042</v>
      </c>
      <c r="B1340" s="436" t="s">
        <v>31765</v>
      </c>
      <c r="C1340" s="437" t="s">
        <v>165</v>
      </c>
      <c r="D1340" s="438">
        <v>69.39</v>
      </c>
    </row>
    <row r="1341" spans="1:4">
      <c r="A1341" s="435">
        <v>55044</v>
      </c>
      <c r="B1341" s="436" t="s">
        <v>31766</v>
      </c>
      <c r="C1341" s="437" t="s">
        <v>165</v>
      </c>
      <c r="D1341" s="438">
        <v>79.66</v>
      </c>
    </row>
    <row r="1342" spans="1:4">
      <c r="A1342" s="435">
        <v>55046</v>
      </c>
      <c r="B1342" s="436" t="s">
        <v>31767</v>
      </c>
      <c r="C1342" s="437" t="s">
        <v>165</v>
      </c>
      <c r="D1342" s="438">
        <v>60.16</v>
      </c>
    </row>
    <row r="1343" spans="1:4">
      <c r="A1343" s="435">
        <v>55048</v>
      </c>
      <c r="B1343" s="436" t="s">
        <v>31768</v>
      </c>
      <c r="C1343" s="437" t="s">
        <v>165</v>
      </c>
      <c r="D1343" s="438">
        <v>76.36</v>
      </c>
    </row>
    <row r="1344" spans="1:4">
      <c r="A1344" s="435">
        <v>55050</v>
      </c>
      <c r="B1344" s="436" t="s">
        <v>31769</v>
      </c>
      <c r="C1344" s="437" t="s">
        <v>165</v>
      </c>
      <c r="D1344" s="438">
        <v>86.97</v>
      </c>
    </row>
    <row r="1345" spans="1:4">
      <c r="A1345" s="435">
        <v>55054</v>
      </c>
      <c r="B1345" s="436" t="s">
        <v>31770</v>
      </c>
      <c r="C1345" s="437" t="s">
        <v>165</v>
      </c>
      <c r="D1345" s="438">
        <v>115.74</v>
      </c>
    </row>
    <row r="1346" spans="1:4">
      <c r="A1346" s="431">
        <v>55200</v>
      </c>
      <c r="B1346" s="432" t="s">
        <v>31771</v>
      </c>
      <c r="C1346" s="433"/>
      <c r="D1346" s="434" t="s">
        <v>30434</v>
      </c>
    </row>
    <row r="1347" spans="1:4">
      <c r="A1347" s="435">
        <v>55201</v>
      </c>
      <c r="B1347" s="436" t="s">
        <v>31772</v>
      </c>
      <c r="C1347" s="437" t="s">
        <v>30445</v>
      </c>
      <c r="D1347" s="438">
        <v>14.12</v>
      </c>
    </row>
    <row r="1348" spans="1:4">
      <c r="A1348" s="435">
        <v>55210</v>
      </c>
      <c r="B1348" s="436" t="s">
        <v>31773</v>
      </c>
      <c r="C1348" s="437" t="s">
        <v>30445</v>
      </c>
      <c r="D1348" s="438">
        <v>4.22</v>
      </c>
    </row>
    <row r="1349" spans="1:4">
      <c r="A1349" s="435">
        <v>55211</v>
      </c>
      <c r="B1349" s="436" t="s">
        <v>31774</v>
      </c>
      <c r="C1349" s="437" t="s">
        <v>30445</v>
      </c>
      <c r="D1349" s="438">
        <v>9.69</v>
      </c>
    </row>
    <row r="1350" spans="1:4">
      <c r="A1350" s="435">
        <v>55212</v>
      </c>
      <c r="B1350" s="436" t="s">
        <v>31775</v>
      </c>
      <c r="C1350" s="437" t="s">
        <v>30445</v>
      </c>
      <c r="D1350" s="438">
        <v>2.3199999999999998</v>
      </c>
    </row>
    <row r="1351" spans="1:4">
      <c r="A1351" s="435">
        <v>55219</v>
      </c>
      <c r="B1351" s="436" t="s">
        <v>31776</v>
      </c>
      <c r="C1351" s="437" t="s">
        <v>30445</v>
      </c>
      <c r="D1351" s="438">
        <v>288.27</v>
      </c>
    </row>
    <row r="1352" spans="1:4">
      <c r="A1352" s="435">
        <v>55220</v>
      </c>
      <c r="B1352" s="436" t="s">
        <v>31777</v>
      </c>
      <c r="C1352" s="437" t="s">
        <v>30445</v>
      </c>
      <c r="D1352" s="438">
        <v>9.67</v>
      </c>
    </row>
    <row r="1353" spans="1:4">
      <c r="A1353" s="435">
        <v>55225</v>
      </c>
      <c r="B1353" s="436" t="s">
        <v>31778</v>
      </c>
      <c r="C1353" s="437" t="s">
        <v>30445</v>
      </c>
      <c r="D1353" s="438">
        <v>41.74</v>
      </c>
    </row>
    <row r="1354" spans="1:4">
      <c r="A1354" s="435">
        <v>55230</v>
      </c>
      <c r="B1354" s="436" t="s">
        <v>31779</v>
      </c>
      <c r="C1354" s="437" t="s">
        <v>30445</v>
      </c>
      <c r="D1354" s="438">
        <v>7.84</v>
      </c>
    </row>
    <row r="1355" spans="1:4">
      <c r="A1355" s="435">
        <v>55235</v>
      </c>
      <c r="B1355" s="436" t="s">
        <v>31780</v>
      </c>
      <c r="C1355" s="437" t="s">
        <v>30445</v>
      </c>
      <c r="D1355" s="438">
        <v>22.2</v>
      </c>
    </row>
    <row r="1356" spans="1:4">
      <c r="A1356" s="435">
        <v>55240</v>
      </c>
      <c r="B1356" s="436" t="s">
        <v>31781</v>
      </c>
      <c r="C1356" s="437" t="s">
        <v>30445</v>
      </c>
      <c r="D1356" s="438">
        <v>25.84</v>
      </c>
    </row>
    <row r="1357" spans="1:4">
      <c r="A1357" s="435">
        <v>55245</v>
      </c>
      <c r="B1357" s="436" t="s">
        <v>31782</v>
      </c>
      <c r="C1357" s="437" t="s">
        <v>30445</v>
      </c>
      <c r="D1357" s="438">
        <v>28.92</v>
      </c>
    </row>
    <row r="1358" spans="1:4">
      <c r="A1358" s="435">
        <v>55250</v>
      </c>
      <c r="B1358" s="436" t="s">
        <v>31783</v>
      </c>
      <c r="C1358" s="437" t="s">
        <v>30445</v>
      </c>
      <c r="D1358" s="438">
        <v>43.68</v>
      </c>
    </row>
    <row r="1359" spans="1:4">
      <c r="A1359" s="435">
        <v>55252</v>
      </c>
      <c r="B1359" s="436" t="s">
        <v>31784</v>
      </c>
      <c r="C1359" s="437" t="s">
        <v>30445</v>
      </c>
      <c r="D1359" s="438">
        <v>108.86</v>
      </c>
    </row>
    <row r="1360" spans="1:4">
      <c r="A1360" s="435">
        <v>55253</v>
      </c>
      <c r="B1360" s="436" t="s">
        <v>31785</v>
      </c>
      <c r="C1360" s="437" t="s">
        <v>30445</v>
      </c>
      <c r="D1360" s="438">
        <v>74.760000000000005</v>
      </c>
    </row>
    <row r="1361" spans="1:4">
      <c r="A1361" s="435">
        <v>55254</v>
      </c>
      <c r="B1361" s="436" t="s">
        <v>31786</v>
      </c>
      <c r="C1361" s="437" t="s">
        <v>30445</v>
      </c>
      <c r="D1361" s="438">
        <v>359.69</v>
      </c>
    </row>
    <row r="1362" spans="1:4">
      <c r="A1362" s="435">
        <v>55255</v>
      </c>
      <c r="B1362" s="436" t="s">
        <v>31787</v>
      </c>
      <c r="C1362" s="437" t="s">
        <v>30445</v>
      </c>
      <c r="D1362" s="438">
        <v>10.91</v>
      </c>
    </row>
    <row r="1363" spans="1:4">
      <c r="A1363" s="435">
        <v>55268</v>
      </c>
      <c r="B1363" s="436" t="s">
        <v>31788</v>
      </c>
      <c r="C1363" s="437" t="s">
        <v>30445</v>
      </c>
      <c r="D1363" s="438">
        <v>7.67</v>
      </c>
    </row>
    <row r="1364" spans="1:4">
      <c r="A1364" s="435">
        <v>55269</v>
      </c>
      <c r="B1364" s="436" t="s">
        <v>31789</v>
      </c>
      <c r="C1364" s="437" t="s">
        <v>30445</v>
      </c>
      <c r="D1364" s="438">
        <v>71.73</v>
      </c>
    </row>
    <row r="1365" spans="1:4">
      <c r="A1365" s="435">
        <v>55271</v>
      </c>
      <c r="B1365" s="436" t="s">
        <v>31790</v>
      </c>
      <c r="C1365" s="437" t="s">
        <v>30445</v>
      </c>
      <c r="D1365" s="438">
        <v>180.58</v>
      </c>
    </row>
    <row r="1366" spans="1:4">
      <c r="A1366" s="435">
        <v>55272</v>
      </c>
      <c r="B1366" s="436" t="s">
        <v>31791</v>
      </c>
      <c r="C1366" s="437" t="s">
        <v>30445</v>
      </c>
      <c r="D1366" s="438">
        <v>213.89</v>
      </c>
    </row>
    <row r="1367" spans="1:4">
      <c r="A1367" s="435">
        <v>55273</v>
      </c>
      <c r="B1367" s="436" t="s">
        <v>31792</v>
      </c>
      <c r="C1367" s="437" t="s">
        <v>30445</v>
      </c>
      <c r="D1367" s="438">
        <v>524.79999999999995</v>
      </c>
    </row>
    <row r="1368" spans="1:4">
      <c r="A1368" s="435">
        <v>55274</v>
      </c>
      <c r="B1368" s="436" t="s">
        <v>31793</v>
      </c>
      <c r="C1368" s="437" t="s">
        <v>30445</v>
      </c>
      <c r="D1368" s="438">
        <v>11.3</v>
      </c>
    </row>
    <row r="1369" spans="1:4">
      <c r="A1369" s="435">
        <v>55275</v>
      </c>
      <c r="B1369" s="436" t="s">
        <v>31794</v>
      </c>
      <c r="C1369" s="437" t="s">
        <v>30445</v>
      </c>
      <c r="D1369" s="438">
        <v>0.68</v>
      </c>
    </row>
    <row r="1370" spans="1:4">
      <c r="A1370" s="431">
        <v>55600</v>
      </c>
      <c r="B1370" s="432" t="s">
        <v>31795</v>
      </c>
      <c r="C1370" s="433"/>
      <c r="D1370" s="434" t="s">
        <v>30434</v>
      </c>
    </row>
    <row r="1371" spans="1:4">
      <c r="A1371" s="435">
        <v>55603</v>
      </c>
      <c r="B1371" s="436" t="s">
        <v>31796</v>
      </c>
      <c r="C1371" s="437" t="s">
        <v>30445</v>
      </c>
      <c r="D1371" s="438">
        <v>344.64</v>
      </c>
    </row>
    <row r="1372" spans="1:4">
      <c r="A1372" s="435">
        <v>55604</v>
      </c>
      <c r="B1372" s="436" t="s">
        <v>31797</v>
      </c>
      <c r="C1372" s="437" t="s">
        <v>30445</v>
      </c>
      <c r="D1372" s="438">
        <v>190.15</v>
      </c>
    </row>
    <row r="1373" spans="1:4" ht="25">
      <c r="A1373" s="435">
        <v>55624</v>
      </c>
      <c r="B1373" s="436" t="s">
        <v>31798</v>
      </c>
      <c r="C1373" s="437" t="s">
        <v>30445</v>
      </c>
      <c r="D1373" s="438">
        <v>67.91</v>
      </c>
    </row>
    <row r="1374" spans="1:4" ht="25">
      <c r="A1374" s="435">
        <v>55627</v>
      </c>
      <c r="B1374" s="436" t="s">
        <v>31799</v>
      </c>
      <c r="C1374" s="437" t="s">
        <v>30445</v>
      </c>
      <c r="D1374" s="438">
        <v>124.14</v>
      </c>
    </row>
    <row r="1375" spans="1:4" ht="25">
      <c r="A1375" s="435">
        <v>55652</v>
      </c>
      <c r="B1375" s="436" t="s">
        <v>31800</v>
      </c>
      <c r="C1375" s="437" t="s">
        <v>30445</v>
      </c>
      <c r="D1375" s="438">
        <v>205.53</v>
      </c>
    </row>
    <row r="1376" spans="1:4" ht="37">
      <c r="A1376" s="435">
        <v>55660</v>
      </c>
      <c r="B1376" s="436" t="s">
        <v>31801</v>
      </c>
      <c r="C1376" s="437" t="s">
        <v>30445</v>
      </c>
      <c r="D1376" s="438">
        <v>378.6</v>
      </c>
    </row>
    <row r="1377" spans="1:4" ht="25">
      <c r="A1377" s="435">
        <v>55661</v>
      </c>
      <c r="B1377" s="436" t="s">
        <v>31802</v>
      </c>
      <c r="C1377" s="437" t="s">
        <v>30445</v>
      </c>
      <c r="D1377" s="438">
        <v>608.28</v>
      </c>
    </row>
    <row r="1378" spans="1:4" ht="25">
      <c r="A1378" s="435">
        <v>55672</v>
      </c>
      <c r="B1378" s="436" t="s">
        <v>31803</v>
      </c>
      <c r="C1378" s="437" t="s">
        <v>30445</v>
      </c>
      <c r="D1378" s="438">
        <v>640.73</v>
      </c>
    </row>
    <row r="1379" spans="1:4">
      <c r="A1379" s="435">
        <v>55675</v>
      </c>
      <c r="B1379" s="436" t="s">
        <v>31804</v>
      </c>
      <c r="C1379" s="437" t="s">
        <v>30445</v>
      </c>
      <c r="D1379" s="438">
        <v>880.68</v>
      </c>
    </row>
    <row r="1380" spans="1:4" ht="25">
      <c r="A1380" s="435">
        <v>55676</v>
      </c>
      <c r="B1380" s="436" t="s">
        <v>31805</v>
      </c>
      <c r="C1380" s="437" t="s">
        <v>30445</v>
      </c>
      <c r="D1380" s="438">
        <v>1070.9000000000001</v>
      </c>
    </row>
    <row r="1381" spans="1:4" ht="25">
      <c r="A1381" s="435">
        <v>55677</v>
      </c>
      <c r="B1381" s="436" t="s">
        <v>31806</v>
      </c>
      <c r="C1381" s="437" t="s">
        <v>30445</v>
      </c>
      <c r="D1381" s="438">
        <v>142.24</v>
      </c>
    </row>
    <row r="1382" spans="1:4" ht="25">
      <c r="A1382" s="435">
        <v>55678</v>
      </c>
      <c r="B1382" s="436" t="s">
        <v>31807</v>
      </c>
      <c r="C1382" s="437" t="s">
        <v>30445</v>
      </c>
      <c r="D1382" s="438">
        <v>213.72</v>
      </c>
    </row>
    <row r="1383" spans="1:4" ht="25">
      <c r="A1383" s="435">
        <v>55699</v>
      </c>
      <c r="B1383" s="436" t="s">
        <v>31808</v>
      </c>
      <c r="C1383" s="437" t="s">
        <v>30445</v>
      </c>
      <c r="D1383" s="438">
        <v>77.56</v>
      </c>
    </row>
    <row r="1384" spans="1:4" ht="25">
      <c r="A1384" s="435">
        <v>55700</v>
      </c>
      <c r="B1384" s="436" t="s">
        <v>31809</v>
      </c>
      <c r="C1384" s="437" t="s">
        <v>30445</v>
      </c>
      <c r="D1384" s="438">
        <v>68.22</v>
      </c>
    </row>
    <row r="1385" spans="1:4" ht="25">
      <c r="A1385" s="435">
        <v>55702</v>
      </c>
      <c r="B1385" s="436" t="s">
        <v>31810</v>
      </c>
      <c r="C1385" s="437" t="s">
        <v>30445</v>
      </c>
      <c r="D1385" s="438">
        <v>106.83</v>
      </c>
    </row>
    <row r="1386" spans="1:4" ht="25">
      <c r="A1386" s="435">
        <v>55703</v>
      </c>
      <c r="B1386" s="436" t="s">
        <v>31811</v>
      </c>
      <c r="C1386" s="437" t="s">
        <v>30445</v>
      </c>
      <c r="D1386" s="438">
        <v>85.66</v>
      </c>
    </row>
    <row r="1387" spans="1:4" ht="25">
      <c r="A1387" s="435">
        <v>55704</v>
      </c>
      <c r="B1387" s="436" t="s">
        <v>31812</v>
      </c>
      <c r="C1387" s="437" t="s">
        <v>30445</v>
      </c>
      <c r="D1387" s="438">
        <v>158.97</v>
      </c>
    </row>
    <row r="1388" spans="1:4" ht="25">
      <c r="A1388" s="435">
        <v>55705</v>
      </c>
      <c r="B1388" s="436" t="s">
        <v>31813</v>
      </c>
      <c r="C1388" s="437" t="s">
        <v>30445</v>
      </c>
      <c r="D1388" s="438">
        <v>256.06</v>
      </c>
    </row>
    <row r="1389" spans="1:4" ht="25">
      <c r="A1389" s="435">
        <v>55706</v>
      </c>
      <c r="B1389" s="436" t="s">
        <v>31814</v>
      </c>
      <c r="C1389" s="437" t="s">
        <v>30445</v>
      </c>
      <c r="D1389" s="438">
        <v>165.74</v>
      </c>
    </row>
    <row r="1390" spans="1:4" ht="25">
      <c r="A1390" s="435">
        <v>55707</v>
      </c>
      <c r="B1390" s="436" t="s">
        <v>31815</v>
      </c>
      <c r="C1390" s="437" t="s">
        <v>30445</v>
      </c>
      <c r="D1390" s="438">
        <v>165.82</v>
      </c>
    </row>
    <row r="1391" spans="1:4" ht="25">
      <c r="A1391" s="435">
        <v>55708</v>
      </c>
      <c r="B1391" s="436" t="s">
        <v>31816</v>
      </c>
      <c r="C1391" s="437" t="s">
        <v>30445</v>
      </c>
      <c r="D1391" s="438">
        <v>120.72</v>
      </c>
    </row>
    <row r="1392" spans="1:4" ht="25">
      <c r="A1392" s="435">
        <v>55709</v>
      </c>
      <c r="B1392" s="436" t="s">
        <v>31817</v>
      </c>
      <c r="C1392" s="437" t="s">
        <v>30445</v>
      </c>
      <c r="D1392" s="438">
        <v>103.35</v>
      </c>
    </row>
    <row r="1393" spans="1:4" ht="25">
      <c r="A1393" s="435">
        <v>55715</v>
      </c>
      <c r="B1393" s="436" t="s">
        <v>31818</v>
      </c>
      <c r="C1393" s="437" t="s">
        <v>30445</v>
      </c>
      <c r="D1393" s="438">
        <v>150.86000000000001</v>
      </c>
    </row>
    <row r="1394" spans="1:4" ht="25">
      <c r="A1394" s="435">
        <v>55801</v>
      </c>
      <c r="B1394" s="436" t="s">
        <v>31819</v>
      </c>
      <c r="C1394" s="437" t="s">
        <v>30445</v>
      </c>
      <c r="D1394" s="438">
        <v>150.86000000000001</v>
      </c>
    </row>
    <row r="1395" spans="1:4" ht="25">
      <c r="A1395" s="435">
        <v>55802</v>
      </c>
      <c r="B1395" s="436" t="s">
        <v>31820</v>
      </c>
      <c r="C1395" s="437" t="s">
        <v>30445</v>
      </c>
      <c r="D1395" s="438">
        <v>150.24</v>
      </c>
    </row>
    <row r="1396" spans="1:4" ht="37">
      <c r="A1396" s="435">
        <v>55803</v>
      </c>
      <c r="B1396" s="436" t="s">
        <v>31821</v>
      </c>
      <c r="C1396" s="437" t="s">
        <v>30445</v>
      </c>
      <c r="D1396" s="438">
        <v>135.38999999999999</v>
      </c>
    </row>
    <row r="1397" spans="1:4" ht="37">
      <c r="A1397" s="435">
        <v>55804</v>
      </c>
      <c r="B1397" s="436" t="s">
        <v>31822</v>
      </c>
      <c r="C1397" s="437" t="s">
        <v>30445</v>
      </c>
      <c r="D1397" s="438">
        <v>198.17</v>
      </c>
    </row>
    <row r="1398" spans="1:4">
      <c r="A1398" s="435">
        <v>55805</v>
      </c>
      <c r="B1398" s="436" t="s">
        <v>31823</v>
      </c>
      <c r="C1398" s="437" t="s">
        <v>30445</v>
      </c>
      <c r="D1398" s="438">
        <v>11.45</v>
      </c>
    </row>
    <row r="1399" spans="1:4">
      <c r="A1399" s="431">
        <v>56000</v>
      </c>
      <c r="B1399" s="432" t="s">
        <v>31824</v>
      </c>
      <c r="C1399" s="433"/>
      <c r="D1399" s="434" t="s">
        <v>30434</v>
      </c>
    </row>
    <row r="1400" spans="1:4" ht="25">
      <c r="A1400" s="435">
        <v>56001</v>
      </c>
      <c r="B1400" s="436" t="s">
        <v>31825</v>
      </c>
      <c r="C1400" s="437" t="s">
        <v>30445</v>
      </c>
      <c r="D1400" s="438">
        <v>22.03</v>
      </c>
    </row>
    <row r="1401" spans="1:4" ht="25">
      <c r="A1401" s="435">
        <v>56002</v>
      </c>
      <c r="B1401" s="436" t="s">
        <v>31826</v>
      </c>
      <c r="C1401" s="437" t="s">
        <v>30445</v>
      </c>
      <c r="D1401" s="438">
        <v>46.84</v>
      </c>
    </row>
    <row r="1402" spans="1:4">
      <c r="A1402" s="435">
        <v>56050</v>
      </c>
      <c r="B1402" s="436" t="s">
        <v>31827</v>
      </c>
      <c r="C1402" s="437" t="s">
        <v>30445</v>
      </c>
      <c r="D1402" s="438">
        <v>74.19</v>
      </c>
    </row>
    <row r="1403" spans="1:4">
      <c r="A1403" s="435">
        <v>56051</v>
      </c>
      <c r="B1403" s="436" t="s">
        <v>31828</v>
      </c>
      <c r="C1403" s="437" t="s">
        <v>30445</v>
      </c>
      <c r="D1403" s="438">
        <v>91.85</v>
      </c>
    </row>
    <row r="1404" spans="1:4">
      <c r="A1404" s="435">
        <v>56052</v>
      </c>
      <c r="B1404" s="436" t="s">
        <v>31829</v>
      </c>
      <c r="C1404" s="437" t="s">
        <v>30445</v>
      </c>
      <c r="D1404" s="438">
        <v>121.56</v>
      </c>
    </row>
    <row r="1405" spans="1:4">
      <c r="A1405" s="435">
        <v>56053</v>
      </c>
      <c r="B1405" s="436" t="s">
        <v>31830</v>
      </c>
      <c r="C1405" s="437" t="s">
        <v>30445</v>
      </c>
      <c r="D1405" s="438">
        <v>164.85</v>
      </c>
    </row>
    <row r="1406" spans="1:4">
      <c r="A1406" s="435">
        <v>56054</v>
      </c>
      <c r="B1406" s="436" t="s">
        <v>31831</v>
      </c>
      <c r="C1406" s="437" t="s">
        <v>30445</v>
      </c>
      <c r="D1406" s="438">
        <v>11.78</v>
      </c>
    </row>
    <row r="1407" spans="1:4">
      <c r="A1407" s="435">
        <v>56061</v>
      </c>
      <c r="B1407" s="436" t="s">
        <v>31832</v>
      </c>
      <c r="C1407" s="437" t="s">
        <v>30445</v>
      </c>
      <c r="D1407" s="438">
        <v>90.86</v>
      </c>
    </row>
    <row r="1408" spans="1:4">
      <c r="A1408" s="435">
        <v>56062</v>
      </c>
      <c r="B1408" s="436" t="s">
        <v>31833</v>
      </c>
      <c r="C1408" s="437" t="s">
        <v>30445</v>
      </c>
      <c r="D1408" s="438">
        <v>88.23</v>
      </c>
    </row>
    <row r="1409" spans="1:4">
      <c r="A1409" s="435">
        <v>56063</v>
      </c>
      <c r="B1409" s="436" t="s">
        <v>31834</v>
      </c>
      <c r="C1409" s="437" t="s">
        <v>30445</v>
      </c>
      <c r="D1409" s="438">
        <v>150.94999999999999</v>
      </c>
    </row>
    <row r="1410" spans="1:4">
      <c r="A1410" s="435">
        <v>56064</v>
      </c>
      <c r="B1410" s="436" t="s">
        <v>31835</v>
      </c>
      <c r="C1410" s="437" t="s">
        <v>30445</v>
      </c>
      <c r="D1410" s="438">
        <v>147.62</v>
      </c>
    </row>
    <row r="1411" spans="1:4">
      <c r="A1411" s="435">
        <v>56067</v>
      </c>
      <c r="B1411" s="436" t="s">
        <v>31836</v>
      </c>
      <c r="C1411" s="437" t="s">
        <v>30445</v>
      </c>
      <c r="D1411" s="438">
        <v>51.02</v>
      </c>
    </row>
    <row r="1412" spans="1:4">
      <c r="A1412" s="435">
        <v>56068</v>
      </c>
      <c r="B1412" s="436" t="s">
        <v>31837</v>
      </c>
      <c r="C1412" s="437" t="s">
        <v>30445</v>
      </c>
      <c r="D1412" s="438">
        <v>57.1</v>
      </c>
    </row>
    <row r="1413" spans="1:4">
      <c r="A1413" s="435">
        <v>56075</v>
      </c>
      <c r="B1413" s="436" t="s">
        <v>31838</v>
      </c>
      <c r="C1413" s="437" t="s">
        <v>30445</v>
      </c>
      <c r="D1413" s="438">
        <v>113.84</v>
      </c>
    </row>
    <row r="1414" spans="1:4">
      <c r="A1414" s="435">
        <v>56076</v>
      </c>
      <c r="B1414" s="436" t="s">
        <v>31839</v>
      </c>
      <c r="C1414" s="437" t="s">
        <v>30445</v>
      </c>
      <c r="D1414" s="438">
        <v>144.51</v>
      </c>
    </row>
    <row r="1415" spans="1:4">
      <c r="A1415" s="435">
        <v>56078</v>
      </c>
      <c r="B1415" s="436" t="s">
        <v>31840</v>
      </c>
      <c r="C1415" s="437" t="s">
        <v>30445</v>
      </c>
      <c r="D1415" s="438">
        <v>99.56</v>
      </c>
    </row>
    <row r="1416" spans="1:4">
      <c r="A1416" s="435">
        <v>56080</v>
      </c>
      <c r="B1416" s="436" t="s">
        <v>31841</v>
      </c>
      <c r="C1416" s="437" t="s">
        <v>30445</v>
      </c>
      <c r="D1416" s="438">
        <v>99.56</v>
      </c>
    </row>
    <row r="1417" spans="1:4">
      <c r="A1417" s="431">
        <v>56100</v>
      </c>
      <c r="B1417" s="432" t="s">
        <v>31842</v>
      </c>
      <c r="C1417" s="433"/>
      <c r="D1417" s="434" t="s">
        <v>30434</v>
      </c>
    </row>
    <row r="1418" spans="1:4">
      <c r="A1418" s="435">
        <v>56104</v>
      </c>
      <c r="B1418" s="436" t="s">
        <v>31843</v>
      </c>
      <c r="C1418" s="437" t="s">
        <v>30445</v>
      </c>
      <c r="D1418" s="438">
        <v>145.16</v>
      </c>
    </row>
    <row r="1419" spans="1:4">
      <c r="A1419" s="435">
        <v>56111</v>
      </c>
      <c r="B1419" s="436" t="s">
        <v>31844</v>
      </c>
      <c r="C1419" s="437" t="s">
        <v>165</v>
      </c>
      <c r="D1419" s="438">
        <v>66.33</v>
      </c>
    </row>
    <row r="1420" spans="1:4">
      <c r="A1420" s="435">
        <v>56113</v>
      </c>
      <c r="B1420" s="436" t="s">
        <v>31845</v>
      </c>
      <c r="C1420" s="437" t="s">
        <v>30445</v>
      </c>
      <c r="D1420" s="438">
        <v>208.99</v>
      </c>
    </row>
    <row r="1421" spans="1:4">
      <c r="A1421" s="435">
        <v>56114</v>
      </c>
      <c r="B1421" s="436" t="s">
        <v>31846</v>
      </c>
      <c r="C1421" s="437" t="s">
        <v>30445</v>
      </c>
      <c r="D1421" s="438">
        <v>296.32</v>
      </c>
    </row>
    <row r="1422" spans="1:4">
      <c r="A1422" s="435">
        <v>56115</v>
      </c>
      <c r="B1422" s="436" t="s">
        <v>31847</v>
      </c>
      <c r="C1422" s="437" t="s">
        <v>30445</v>
      </c>
      <c r="D1422" s="438">
        <v>647.66999999999996</v>
      </c>
    </row>
    <row r="1423" spans="1:4">
      <c r="A1423" s="435">
        <v>56116</v>
      </c>
      <c r="B1423" s="436" t="s">
        <v>31848</v>
      </c>
      <c r="C1423" s="437" t="s">
        <v>30445</v>
      </c>
      <c r="D1423" s="438">
        <v>1113.04</v>
      </c>
    </row>
    <row r="1424" spans="1:4">
      <c r="A1424" s="435">
        <v>56128</v>
      </c>
      <c r="B1424" s="436" t="s">
        <v>31849</v>
      </c>
      <c r="C1424" s="437" t="s">
        <v>30445</v>
      </c>
      <c r="D1424" s="438">
        <v>3422.25</v>
      </c>
    </row>
    <row r="1425" spans="1:4">
      <c r="A1425" s="435">
        <v>56138</v>
      </c>
      <c r="B1425" s="436" t="s">
        <v>31850</v>
      </c>
      <c r="C1425" s="437" t="s">
        <v>31013</v>
      </c>
      <c r="D1425" s="438">
        <v>606.23</v>
      </c>
    </row>
    <row r="1426" spans="1:4">
      <c r="A1426" s="435">
        <v>56146</v>
      </c>
      <c r="B1426" s="436" t="s">
        <v>31851</v>
      </c>
      <c r="C1426" s="437" t="s">
        <v>30445</v>
      </c>
      <c r="D1426" s="438">
        <v>1255.53</v>
      </c>
    </row>
    <row r="1427" spans="1:4">
      <c r="A1427" s="435">
        <v>56150</v>
      </c>
      <c r="B1427" s="436" t="s">
        <v>31852</v>
      </c>
      <c r="C1427" s="437" t="s">
        <v>30445</v>
      </c>
      <c r="D1427" s="438">
        <v>42.41</v>
      </c>
    </row>
    <row r="1428" spans="1:4">
      <c r="A1428" s="435">
        <v>56156</v>
      </c>
      <c r="B1428" s="436" t="s">
        <v>31853</v>
      </c>
      <c r="C1428" s="437" t="s">
        <v>30445</v>
      </c>
      <c r="D1428" s="438">
        <v>69.900000000000006</v>
      </c>
    </row>
    <row r="1429" spans="1:4">
      <c r="A1429" s="435">
        <v>56159</v>
      </c>
      <c r="B1429" s="436" t="s">
        <v>31854</v>
      </c>
      <c r="C1429" s="437" t="s">
        <v>30445</v>
      </c>
      <c r="D1429" s="438">
        <v>9.07</v>
      </c>
    </row>
    <row r="1430" spans="1:4">
      <c r="A1430" s="435">
        <v>56161</v>
      </c>
      <c r="B1430" s="436" t="s">
        <v>31855</v>
      </c>
      <c r="C1430" s="437" t="s">
        <v>30445</v>
      </c>
      <c r="D1430" s="438">
        <v>1653.47</v>
      </c>
    </row>
    <row r="1431" spans="1:4">
      <c r="A1431" s="435">
        <v>56163</v>
      </c>
      <c r="B1431" s="436" t="s">
        <v>31856</v>
      </c>
      <c r="C1431" s="437" t="s">
        <v>30445</v>
      </c>
      <c r="D1431" s="438">
        <v>2939.87</v>
      </c>
    </row>
    <row r="1432" spans="1:4">
      <c r="A1432" s="431">
        <v>56200</v>
      </c>
      <c r="B1432" s="432" t="s">
        <v>31857</v>
      </c>
      <c r="C1432" s="433"/>
      <c r="D1432" s="434" t="s">
        <v>30434</v>
      </c>
    </row>
    <row r="1433" spans="1:4">
      <c r="A1433" s="435">
        <v>56260</v>
      </c>
      <c r="B1433" s="436" t="s">
        <v>31858</v>
      </c>
      <c r="C1433" s="437" t="s">
        <v>30445</v>
      </c>
      <c r="D1433" s="438">
        <v>84983.85</v>
      </c>
    </row>
    <row r="1434" spans="1:4">
      <c r="A1434" s="435">
        <v>56261</v>
      </c>
      <c r="B1434" s="436" t="s">
        <v>31859</v>
      </c>
      <c r="C1434" s="437" t="s">
        <v>30445</v>
      </c>
      <c r="D1434" s="438">
        <v>62970.77</v>
      </c>
    </row>
    <row r="1435" spans="1:4" ht="25">
      <c r="A1435" s="435">
        <v>56262</v>
      </c>
      <c r="B1435" s="436" t="s">
        <v>31860</v>
      </c>
      <c r="C1435" s="437" t="s">
        <v>30445</v>
      </c>
      <c r="D1435" s="438">
        <v>5378.01</v>
      </c>
    </row>
    <row r="1436" spans="1:4" ht="25">
      <c r="A1436" s="435">
        <v>56304</v>
      </c>
      <c r="B1436" s="436" t="s">
        <v>31861</v>
      </c>
      <c r="C1436" s="437" t="s">
        <v>30445</v>
      </c>
      <c r="D1436" s="438">
        <v>16175.74</v>
      </c>
    </row>
    <row r="1437" spans="1:4" ht="25">
      <c r="A1437" s="435">
        <v>56305</v>
      </c>
      <c r="B1437" s="436" t="s">
        <v>31862</v>
      </c>
      <c r="C1437" s="437" t="s">
        <v>30445</v>
      </c>
      <c r="D1437" s="438">
        <v>25720.92</v>
      </c>
    </row>
    <row r="1438" spans="1:4" ht="25">
      <c r="A1438" s="435">
        <v>56306</v>
      </c>
      <c r="B1438" s="436" t="s">
        <v>31863</v>
      </c>
      <c r="C1438" s="437" t="s">
        <v>30445</v>
      </c>
      <c r="D1438" s="438">
        <v>34088.400000000001</v>
      </c>
    </row>
    <row r="1439" spans="1:4">
      <c r="A1439" s="431">
        <v>56400</v>
      </c>
      <c r="B1439" s="432" t="s">
        <v>31864</v>
      </c>
      <c r="C1439" s="433"/>
      <c r="D1439" s="434" t="s">
        <v>30434</v>
      </c>
    </row>
    <row r="1440" spans="1:4">
      <c r="A1440" s="435">
        <v>56410</v>
      </c>
      <c r="B1440" s="436" t="s">
        <v>31865</v>
      </c>
      <c r="C1440" s="437" t="s">
        <v>30445</v>
      </c>
      <c r="D1440" s="438">
        <v>10.9</v>
      </c>
    </row>
    <row r="1441" spans="1:4">
      <c r="A1441" s="435">
        <v>56411</v>
      </c>
      <c r="B1441" s="436" t="s">
        <v>31866</v>
      </c>
      <c r="C1441" s="437" t="s">
        <v>30445</v>
      </c>
      <c r="D1441" s="438">
        <v>15.91</v>
      </c>
    </row>
    <row r="1442" spans="1:4">
      <c r="A1442" s="435">
        <v>56412</v>
      </c>
      <c r="B1442" s="436" t="s">
        <v>31867</v>
      </c>
      <c r="C1442" s="437" t="s">
        <v>30445</v>
      </c>
      <c r="D1442" s="438">
        <v>19.920000000000002</v>
      </c>
    </row>
    <row r="1443" spans="1:4">
      <c r="A1443" s="435">
        <v>56414</v>
      </c>
      <c r="B1443" s="436" t="s">
        <v>31868</v>
      </c>
      <c r="C1443" s="437" t="s">
        <v>30445</v>
      </c>
      <c r="D1443" s="438">
        <v>17.61</v>
      </c>
    </row>
    <row r="1444" spans="1:4">
      <c r="A1444" s="435">
        <v>56418</v>
      </c>
      <c r="B1444" s="436" t="s">
        <v>31869</v>
      </c>
      <c r="C1444" s="437" t="s">
        <v>30445</v>
      </c>
      <c r="D1444" s="438">
        <v>72.73</v>
      </c>
    </row>
    <row r="1445" spans="1:4">
      <c r="A1445" s="435">
        <v>56450</v>
      </c>
      <c r="B1445" s="436" t="s">
        <v>31870</v>
      </c>
      <c r="C1445" s="437" t="s">
        <v>30445</v>
      </c>
      <c r="D1445" s="438">
        <v>53.93</v>
      </c>
    </row>
    <row r="1446" spans="1:4">
      <c r="A1446" s="435">
        <v>56451</v>
      </c>
      <c r="B1446" s="436" t="s">
        <v>31871</v>
      </c>
      <c r="C1446" s="437" t="s">
        <v>30445</v>
      </c>
      <c r="D1446" s="438">
        <v>48.12</v>
      </c>
    </row>
    <row r="1447" spans="1:4">
      <c r="A1447" s="435">
        <v>56452</v>
      </c>
      <c r="B1447" s="436" t="s">
        <v>31872</v>
      </c>
      <c r="C1447" s="437" t="s">
        <v>30445</v>
      </c>
      <c r="D1447" s="438">
        <v>90.87</v>
      </c>
    </row>
    <row r="1448" spans="1:4">
      <c r="A1448" s="435">
        <v>56453</v>
      </c>
      <c r="B1448" s="436" t="s">
        <v>31873</v>
      </c>
      <c r="C1448" s="437" t="s">
        <v>30445</v>
      </c>
      <c r="D1448" s="438">
        <v>78.81</v>
      </c>
    </row>
    <row r="1449" spans="1:4">
      <c r="A1449" s="435">
        <v>56460</v>
      </c>
      <c r="B1449" s="436" t="s">
        <v>31874</v>
      </c>
      <c r="C1449" s="437" t="s">
        <v>30445</v>
      </c>
      <c r="D1449" s="438">
        <v>10.31</v>
      </c>
    </row>
    <row r="1450" spans="1:4">
      <c r="A1450" s="435">
        <v>56464</v>
      </c>
      <c r="B1450" s="436" t="s">
        <v>31875</v>
      </c>
      <c r="C1450" s="437" t="s">
        <v>30445</v>
      </c>
      <c r="D1450" s="438">
        <v>79.41</v>
      </c>
    </row>
    <row r="1451" spans="1:4">
      <c r="A1451" s="435">
        <v>56466</v>
      </c>
      <c r="B1451" s="436" t="s">
        <v>31876</v>
      </c>
      <c r="C1451" s="437" t="s">
        <v>30445</v>
      </c>
      <c r="D1451" s="438">
        <v>15.28</v>
      </c>
    </row>
    <row r="1452" spans="1:4">
      <c r="A1452" s="435">
        <v>56467</v>
      </c>
      <c r="B1452" s="436" t="s">
        <v>31877</v>
      </c>
      <c r="C1452" s="437" t="s">
        <v>30445</v>
      </c>
      <c r="D1452" s="438">
        <v>29.71</v>
      </c>
    </row>
    <row r="1453" spans="1:4">
      <c r="A1453" s="435">
        <v>56468</v>
      </c>
      <c r="B1453" s="436" t="s">
        <v>31878</v>
      </c>
      <c r="C1453" s="437" t="s">
        <v>30445</v>
      </c>
      <c r="D1453" s="438">
        <v>15.19</v>
      </c>
    </row>
    <row r="1454" spans="1:4">
      <c r="A1454" s="435">
        <v>56480</v>
      </c>
      <c r="B1454" s="436" t="s">
        <v>31879</v>
      </c>
      <c r="C1454" s="437" t="s">
        <v>30445</v>
      </c>
      <c r="D1454" s="438">
        <v>34.75</v>
      </c>
    </row>
    <row r="1455" spans="1:4">
      <c r="A1455" s="435">
        <v>56481</v>
      </c>
      <c r="B1455" s="436" t="s">
        <v>31880</v>
      </c>
      <c r="C1455" s="437" t="s">
        <v>30445</v>
      </c>
      <c r="D1455" s="438">
        <v>23.42</v>
      </c>
    </row>
    <row r="1456" spans="1:4">
      <c r="A1456" s="435">
        <v>56482</v>
      </c>
      <c r="B1456" s="436" t="s">
        <v>31881</v>
      </c>
      <c r="C1456" s="437" t="s">
        <v>30445</v>
      </c>
      <c r="D1456" s="438">
        <v>97.68</v>
      </c>
    </row>
    <row r="1457" spans="1:4">
      <c r="A1457" s="435">
        <v>56483</v>
      </c>
      <c r="B1457" s="436" t="s">
        <v>31882</v>
      </c>
      <c r="C1457" s="437" t="s">
        <v>30445</v>
      </c>
      <c r="D1457" s="438">
        <v>101.28</v>
      </c>
    </row>
    <row r="1458" spans="1:4">
      <c r="A1458" s="435">
        <v>56492</v>
      </c>
      <c r="B1458" s="436" t="s">
        <v>31883</v>
      </c>
      <c r="C1458" s="437" t="s">
        <v>30445</v>
      </c>
      <c r="D1458" s="438">
        <v>20.16</v>
      </c>
    </row>
    <row r="1459" spans="1:4">
      <c r="A1459" s="435">
        <v>56493</v>
      </c>
      <c r="B1459" s="436" t="s">
        <v>31884</v>
      </c>
      <c r="C1459" s="437" t="s">
        <v>30445</v>
      </c>
      <c r="D1459" s="438">
        <v>4.41</v>
      </c>
    </row>
    <row r="1460" spans="1:4">
      <c r="A1460" s="435">
        <v>56494</v>
      </c>
      <c r="B1460" s="436" t="s">
        <v>31885</v>
      </c>
      <c r="C1460" s="437" t="s">
        <v>30445</v>
      </c>
      <c r="D1460" s="438">
        <v>45.76</v>
      </c>
    </row>
    <row r="1461" spans="1:4">
      <c r="A1461" s="435">
        <v>56495</v>
      </c>
      <c r="B1461" s="436" t="s">
        <v>31886</v>
      </c>
      <c r="C1461" s="437" t="s">
        <v>30445</v>
      </c>
      <c r="D1461" s="438">
        <v>85.78</v>
      </c>
    </row>
    <row r="1462" spans="1:4">
      <c r="A1462" s="435">
        <v>56496</v>
      </c>
      <c r="B1462" s="436" t="s">
        <v>31887</v>
      </c>
      <c r="C1462" s="437" t="s">
        <v>30445</v>
      </c>
      <c r="D1462" s="438">
        <v>126.71</v>
      </c>
    </row>
    <row r="1463" spans="1:4">
      <c r="A1463" s="435">
        <v>56497</v>
      </c>
      <c r="B1463" s="436" t="s">
        <v>31888</v>
      </c>
      <c r="C1463" s="437" t="s">
        <v>30445</v>
      </c>
      <c r="D1463" s="438">
        <v>159.85</v>
      </c>
    </row>
    <row r="1464" spans="1:4" ht="25">
      <c r="A1464" s="435">
        <v>56498</v>
      </c>
      <c r="B1464" s="436" t="s">
        <v>31889</v>
      </c>
      <c r="C1464" s="437" t="s">
        <v>30445</v>
      </c>
      <c r="D1464" s="438">
        <v>730.98</v>
      </c>
    </row>
    <row r="1465" spans="1:4" ht="25">
      <c r="A1465" s="435">
        <v>56499</v>
      </c>
      <c r="B1465" s="436" t="s">
        <v>31890</v>
      </c>
      <c r="C1465" s="437" t="s">
        <v>30445</v>
      </c>
      <c r="D1465" s="438">
        <v>1087.1199999999999</v>
      </c>
    </row>
    <row r="1466" spans="1:4">
      <c r="A1466" s="431">
        <v>56500</v>
      </c>
      <c r="B1466" s="432" t="s">
        <v>31891</v>
      </c>
      <c r="C1466" s="433"/>
      <c r="D1466" s="434" t="s">
        <v>30434</v>
      </c>
    </row>
    <row r="1467" spans="1:4">
      <c r="A1467" s="435">
        <v>56535</v>
      </c>
      <c r="B1467" s="436" t="s">
        <v>39335</v>
      </c>
      <c r="C1467" s="437" t="s">
        <v>30445</v>
      </c>
      <c r="D1467" s="438">
        <v>252.15</v>
      </c>
    </row>
    <row r="1468" spans="1:4">
      <c r="A1468" s="435">
        <v>56536</v>
      </c>
      <c r="B1468" s="436" t="s">
        <v>31892</v>
      </c>
      <c r="C1468" s="437" t="s">
        <v>30445</v>
      </c>
      <c r="D1468" s="438">
        <v>615.29</v>
      </c>
    </row>
    <row r="1469" spans="1:4">
      <c r="A1469" s="435">
        <v>56539</v>
      </c>
      <c r="B1469" s="436" t="s">
        <v>31893</v>
      </c>
      <c r="C1469" s="437" t="s">
        <v>30445</v>
      </c>
      <c r="D1469" s="438">
        <v>218.41</v>
      </c>
    </row>
    <row r="1470" spans="1:4">
      <c r="A1470" s="435">
        <v>56540</v>
      </c>
      <c r="B1470" s="436" t="s">
        <v>31894</v>
      </c>
      <c r="C1470" s="437" t="s">
        <v>30445</v>
      </c>
      <c r="D1470" s="438">
        <v>15.64</v>
      </c>
    </row>
    <row r="1471" spans="1:4">
      <c r="A1471" s="435">
        <v>56542</v>
      </c>
      <c r="B1471" s="436" t="s">
        <v>31895</v>
      </c>
      <c r="C1471" s="437" t="s">
        <v>30445</v>
      </c>
      <c r="D1471" s="438">
        <v>515.73</v>
      </c>
    </row>
    <row r="1472" spans="1:4">
      <c r="A1472" s="435">
        <v>56551</v>
      </c>
      <c r="B1472" s="436" t="s">
        <v>31896</v>
      </c>
      <c r="C1472" s="437" t="s">
        <v>30445</v>
      </c>
      <c r="D1472" s="438">
        <v>597.76</v>
      </c>
    </row>
    <row r="1473" spans="1:4">
      <c r="A1473" s="435">
        <v>56554</v>
      </c>
      <c r="B1473" s="436" t="s">
        <v>31897</v>
      </c>
      <c r="C1473" s="437" t="s">
        <v>30445</v>
      </c>
      <c r="D1473" s="438">
        <v>666.95</v>
      </c>
    </row>
    <row r="1474" spans="1:4">
      <c r="A1474" s="435">
        <v>56555</v>
      </c>
      <c r="B1474" s="436" t="s">
        <v>31898</v>
      </c>
      <c r="C1474" s="437" t="s">
        <v>30445</v>
      </c>
      <c r="D1474" s="438">
        <v>660.82</v>
      </c>
    </row>
    <row r="1475" spans="1:4">
      <c r="A1475" s="435">
        <v>56559</v>
      </c>
      <c r="B1475" s="436" t="s">
        <v>31899</v>
      </c>
      <c r="C1475" s="437" t="s">
        <v>30445</v>
      </c>
      <c r="D1475" s="438">
        <v>80.27</v>
      </c>
    </row>
    <row r="1476" spans="1:4">
      <c r="A1476" s="435">
        <v>56560</v>
      </c>
      <c r="B1476" s="436" t="s">
        <v>31900</v>
      </c>
      <c r="C1476" s="437" t="s">
        <v>30445</v>
      </c>
      <c r="D1476" s="438">
        <v>71.13</v>
      </c>
    </row>
    <row r="1477" spans="1:4">
      <c r="A1477" s="435">
        <v>56561</v>
      </c>
      <c r="B1477" s="436" t="s">
        <v>31901</v>
      </c>
      <c r="C1477" s="437" t="s">
        <v>30445</v>
      </c>
      <c r="D1477" s="438">
        <v>141.44999999999999</v>
      </c>
    </row>
    <row r="1478" spans="1:4" ht="25">
      <c r="A1478" s="435">
        <v>56563</v>
      </c>
      <c r="B1478" s="436" t="s">
        <v>31902</v>
      </c>
      <c r="C1478" s="437" t="s">
        <v>30445</v>
      </c>
      <c r="D1478" s="438">
        <v>93.76</v>
      </c>
    </row>
    <row r="1479" spans="1:4">
      <c r="A1479" s="435">
        <v>56564</v>
      </c>
      <c r="B1479" s="436" t="s">
        <v>31903</v>
      </c>
      <c r="C1479" s="437" t="s">
        <v>30445</v>
      </c>
      <c r="D1479" s="438">
        <v>152.22999999999999</v>
      </c>
    </row>
    <row r="1480" spans="1:4">
      <c r="A1480" s="435">
        <v>56566</v>
      </c>
      <c r="B1480" s="436" t="s">
        <v>31904</v>
      </c>
      <c r="C1480" s="437" t="s">
        <v>30445</v>
      </c>
      <c r="D1480" s="438">
        <v>184.19</v>
      </c>
    </row>
    <row r="1481" spans="1:4">
      <c r="A1481" s="435">
        <v>56570</v>
      </c>
      <c r="B1481" s="436" t="s">
        <v>31905</v>
      </c>
      <c r="C1481" s="437" t="s">
        <v>30445</v>
      </c>
      <c r="D1481" s="438">
        <v>44.24</v>
      </c>
    </row>
    <row r="1482" spans="1:4">
      <c r="A1482" s="435">
        <v>56575</v>
      </c>
      <c r="B1482" s="436" t="s">
        <v>31906</v>
      </c>
      <c r="C1482" s="437" t="s">
        <v>30445</v>
      </c>
      <c r="D1482" s="438">
        <v>45400.66</v>
      </c>
    </row>
    <row r="1483" spans="1:4">
      <c r="A1483" s="435">
        <v>56576</v>
      </c>
      <c r="B1483" s="436" t="s">
        <v>31907</v>
      </c>
      <c r="C1483" s="437" t="s">
        <v>30445</v>
      </c>
      <c r="D1483" s="438">
        <v>23933.93</v>
      </c>
    </row>
    <row r="1484" spans="1:4" ht="25">
      <c r="A1484" s="435">
        <v>56577</v>
      </c>
      <c r="B1484" s="436" t="s">
        <v>31908</v>
      </c>
      <c r="C1484" s="437" t="s">
        <v>30445</v>
      </c>
      <c r="D1484" s="438">
        <v>24093.68</v>
      </c>
    </row>
    <row r="1485" spans="1:4">
      <c r="A1485" s="435">
        <v>56585</v>
      </c>
      <c r="B1485" s="436" t="s">
        <v>31909</v>
      </c>
      <c r="C1485" s="437" t="s">
        <v>30445</v>
      </c>
      <c r="D1485" s="438">
        <v>144602.98000000001</v>
      </c>
    </row>
    <row r="1486" spans="1:4">
      <c r="A1486" s="435">
        <v>56587</v>
      </c>
      <c r="B1486" s="436" t="s">
        <v>31910</v>
      </c>
      <c r="C1486" s="437" t="s">
        <v>30445</v>
      </c>
      <c r="D1486" s="438">
        <v>122604.86</v>
      </c>
    </row>
    <row r="1487" spans="1:4">
      <c r="A1487" s="435">
        <v>56588</v>
      </c>
      <c r="B1487" s="436" t="s">
        <v>31911</v>
      </c>
      <c r="C1487" s="437" t="s">
        <v>30445</v>
      </c>
      <c r="D1487" s="438">
        <v>188215.17</v>
      </c>
    </row>
    <row r="1488" spans="1:4" ht="25">
      <c r="A1488" s="435">
        <v>56601</v>
      </c>
      <c r="B1488" s="436" t="s">
        <v>31912</v>
      </c>
      <c r="C1488" s="437" t="s">
        <v>30445</v>
      </c>
      <c r="D1488" s="438">
        <v>22207.96</v>
      </c>
    </row>
    <row r="1489" spans="1:4" ht="25">
      <c r="A1489" s="435">
        <v>56602</v>
      </c>
      <c r="B1489" s="436" t="s">
        <v>31913</v>
      </c>
      <c r="C1489" s="437" t="s">
        <v>30445</v>
      </c>
      <c r="D1489" s="438">
        <v>12045.67</v>
      </c>
    </row>
    <row r="1490" spans="1:4" ht="25">
      <c r="A1490" s="435">
        <v>56701</v>
      </c>
      <c r="B1490" s="436" t="s">
        <v>31914</v>
      </c>
      <c r="C1490" s="437" t="s">
        <v>30445</v>
      </c>
      <c r="D1490" s="438">
        <v>923.84</v>
      </c>
    </row>
    <row r="1491" spans="1:4">
      <c r="A1491" s="431">
        <v>56800</v>
      </c>
      <c r="B1491" s="432" t="s">
        <v>31915</v>
      </c>
      <c r="C1491" s="433"/>
      <c r="D1491" s="434" t="s">
        <v>30434</v>
      </c>
    </row>
    <row r="1492" spans="1:4">
      <c r="A1492" s="435">
        <v>56810</v>
      </c>
      <c r="B1492" s="436" t="s">
        <v>31916</v>
      </c>
      <c r="C1492" s="437" t="s">
        <v>30445</v>
      </c>
      <c r="D1492" s="438">
        <v>1373.92</v>
      </c>
    </row>
    <row r="1493" spans="1:4">
      <c r="A1493" s="435">
        <v>56811</v>
      </c>
      <c r="B1493" s="436" t="s">
        <v>31917</v>
      </c>
      <c r="C1493" s="437" t="s">
        <v>30445</v>
      </c>
      <c r="D1493" s="438">
        <v>2835.47</v>
      </c>
    </row>
    <row r="1494" spans="1:4">
      <c r="A1494" s="435">
        <v>56815</v>
      </c>
      <c r="B1494" s="436" t="s">
        <v>31918</v>
      </c>
      <c r="C1494" s="437" t="s">
        <v>30445</v>
      </c>
      <c r="D1494" s="438">
        <v>1706.75</v>
      </c>
    </row>
    <row r="1495" spans="1:4">
      <c r="A1495" s="435">
        <v>56820</v>
      </c>
      <c r="B1495" s="436" t="s">
        <v>31919</v>
      </c>
      <c r="C1495" s="437" t="s">
        <v>30445</v>
      </c>
      <c r="D1495" s="438">
        <v>233.48</v>
      </c>
    </row>
    <row r="1496" spans="1:4">
      <c r="A1496" s="435">
        <v>56827</v>
      </c>
      <c r="B1496" s="436" t="s">
        <v>31920</v>
      </c>
      <c r="C1496" s="437" t="s">
        <v>30445</v>
      </c>
      <c r="D1496" s="438">
        <v>154.16999999999999</v>
      </c>
    </row>
    <row r="1497" spans="1:4">
      <c r="A1497" s="435">
        <v>56829</v>
      </c>
      <c r="B1497" s="436" t="s">
        <v>31921</v>
      </c>
      <c r="C1497" s="437" t="s">
        <v>30445</v>
      </c>
      <c r="D1497" s="438">
        <v>607.72</v>
      </c>
    </row>
    <row r="1498" spans="1:4">
      <c r="A1498" s="435">
        <v>56832</v>
      </c>
      <c r="B1498" s="436" t="s">
        <v>31922</v>
      </c>
      <c r="C1498" s="437" t="s">
        <v>30445</v>
      </c>
      <c r="D1498" s="438">
        <v>1936.23</v>
      </c>
    </row>
    <row r="1499" spans="1:4" ht="25">
      <c r="A1499" s="435">
        <v>56834</v>
      </c>
      <c r="B1499" s="436" t="s">
        <v>31923</v>
      </c>
      <c r="C1499" s="437" t="s">
        <v>30445</v>
      </c>
      <c r="D1499" s="438">
        <v>732.52</v>
      </c>
    </row>
    <row r="1500" spans="1:4">
      <c r="A1500" s="435">
        <v>56840</v>
      </c>
      <c r="B1500" s="436" t="s">
        <v>31924</v>
      </c>
      <c r="C1500" s="437" t="s">
        <v>30445</v>
      </c>
      <c r="D1500" s="438">
        <v>174.42</v>
      </c>
    </row>
    <row r="1501" spans="1:4">
      <c r="A1501" s="431">
        <v>57200</v>
      </c>
      <c r="B1501" s="432" t="s">
        <v>31925</v>
      </c>
      <c r="C1501" s="433"/>
      <c r="D1501" s="434" t="s">
        <v>30434</v>
      </c>
    </row>
    <row r="1502" spans="1:4">
      <c r="A1502" s="435">
        <v>57210</v>
      </c>
      <c r="B1502" s="436" t="s">
        <v>31926</v>
      </c>
      <c r="C1502" s="437" t="s">
        <v>396</v>
      </c>
      <c r="D1502" s="438">
        <v>203.86</v>
      </c>
    </row>
    <row r="1503" spans="1:4">
      <c r="A1503" s="435">
        <v>57212</v>
      </c>
      <c r="B1503" s="436" t="s">
        <v>31927</v>
      </c>
      <c r="C1503" s="437" t="s">
        <v>30445</v>
      </c>
      <c r="D1503" s="438">
        <v>11.03</v>
      </c>
    </row>
    <row r="1504" spans="1:4">
      <c r="A1504" s="435">
        <v>57213</v>
      </c>
      <c r="B1504" s="436" t="s">
        <v>31928</v>
      </c>
      <c r="C1504" s="437" t="s">
        <v>30445</v>
      </c>
      <c r="D1504" s="438">
        <v>13.46</v>
      </c>
    </row>
    <row r="1505" spans="1:4">
      <c r="A1505" s="435">
        <v>57214</v>
      </c>
      <c r="B1505" s="436" t="s">
        <v>31929</v>
      </c>
      <c r="C1505" s="437" t="s">
        <v>30445</v>
      </c>
      <c r="D1505" s="438">
        <v>64.09</v>
      </c>
    </row>
    <row r="1506" spans="1:4">
      <c r="A1506" s="435">
        <v>57215</v>
      </c>
      <c r="B1506" s="436" t="s">
        <v>31930</v>
      </c>
      <c r="C1506" s="437" t="s">
        <v>30445</v>
      </c>
      <c r="D1506" s="438">
        <v>17.059999999999999</v>
      </c>
    </row>
    <row r="1507" spans="1:4">
      <c r="A1507" s="435">
        <v>57216</v>
      </c>
      <c r="B1507" s="436" t="s">
        <v>31931</v>
      </c>
      <c r="C1507" s="437" t="s">
        <v>30445</v>
      </c>
      <c r="D1507" s="438">
        <v>60.67</v>
      </c>
    </row>
    <row r="1508" spans="1:4">
      <c r="A1508" s="435">
        <v>57217</v>
      </c>
      <c r="B1508" s="436" t="s">
        <v>31932</v>
      </c>
      <c r="C1508" s="437" t="s">
        <v>30445</v>
      </c>
      <c r="D1508" s="438">
        <v>141.13999999999999</v>
      </c>
    </row>
    <row r="1509" spans="1:4">
      <c r="A1509" s="435">
        <v>57220</v>
      </c>
      <c r="B1509" s="436" t="s">
        <v>31933</v>
      </c>
      <c r="C1509" s="437" t="s">
        <v>30445</v>
      </c>
      <c r="D1509" s="438">
        <v>121.91</v>
      </c>
    </row>
    <row r="1510" spans="1:4" ht="25">
      <c r="A1510" s="435">
        <v>57247</v>
      </c>
      <c r="B1510" s="436" t="s">
        <v>31934</v>
      </c>
      <c r="C1510" s="437" t="s">
        <v>30445</v>
      </c>
      <c r="D1510" s="438">
        <v>6.63</v>
      </c>
    </row>
    <row r="1511" spans="1:4">
      <c r="A1511" s="431">
        <v>57600</v>
      </c>
      <c r="B1511" s="432" t="s">
        <v>31935</v>
      </c>
      <c r="C1511" s="433"/>
      <c r="D1511" s="434" t="s">
        <v>30434</v>
      </c>
    </row>
    <row r="1512" spans="1:4">
      <c r="A1512" s="435">
        <v>57610</v>
      </c>
      <c r="B1512" s="436" t="s">
        <v>31936</v>
      </c>
      <c r="C1512" s="437" t="s">
        <v>30445</v>
      </c>
      <c r="D1512" s="438">
        <v>165.65</v>
      </c>
    </row>
    <row r="1513" spans="1:4">
      <c r="A1513" s="435">
        <v>57611</v>
      </c>
      <c r="B1513" s="436" t="s">
        <v>31937</v>
      </c>
      <c r="C1513" s="437" t="s">
        <v>30445</v>
      </c>
      <c r="D1513" s="438">
        <v>259.02</v>
      </c>
    </row>
    <row r="1514" spans="1:4">
      <c r="A1514" s="435">
        <v>57630</v>
      </c>
      <c r="B1514" s="436" t="s">
        <v>31938</v>
      </c>
      <c r="C1514" s="437" t="s">
        <v>30445</v>
      </c>
      <c r="D1514" s="438">
        <v>207.35</v>
      </c>
    </row>
    <row r="1515" spans="1:4">
      <c r="A1515" s="435">
        <v>57847</v>
      </c>
      <c r="B1515" s="436" t="s">
        <v>31939</v>
      </c>
      <c r="C1515" s="437" t="s">
        <v>30445</v>
      </c>
      <c r="D1515" s="438">
        <v>16.05</v>
      </c>
    </row>
    <row r="1516" spans="1:4">
      <c r="A1516" s="431">
        <v>58000</v>
      </c>
      <c r="B1516" s="432" t="s">
        <v>31940</v>
      </c>
      <c r="C1516" s="433"/>
      <c r="D1516" s="434" t="s">
        <v>30434</v>
      </c>
    </row>
    <row r="1517" spans="1:4">
      <c r="A1517" s="435">
        <v>58004</v>
      </c>
      <c r="B1517" s="436" t="s">
        <v>31941</v>
      </c>
      <c r="C1517" s="437" t="s">
        <v>30445</v>
      </c>
      <c r="D1517" s="438">
        <v>6.25</v>
      </c>
    </row>
    <row r="1518" spans="1:4">
      <c r="A1518" s="435">
        <v>58005</v>
      </c>
      <c r="B1518" s="436" t="s">
        <v>31942</v>
      </c>
      <c r="C1518" s="437" t="s">
        <v>30445</v>
      </c>
      <c r="D1518" s="438">
        <v>8.42</v>
      </c>
    </row>
    <row r="1519" spans="1:4">
      <c r="A1519" s="435">
        <v>58006</v>
      </c>
      <c r="B1519" s="436" t="s">
        <v>31943</v>
      </c>
      <c r="C1519" s="437" t="s">
        <v>30445</v>
      </c>
      <c r="D1519" s="438">
        <v>10.16</v>
      </c>
    </row>
    <row r="1520" spans="1:4">
      <c r="A1520" s="435">
        <v>58007</v>
      </c>
      <c r="B1520" s="436" t="s">
        <v>31944</v>
      </c>
      <c r="C1520" s="437" t="s">
        <v>30445</v>
      </c>
      <c r="D1520" s="438">
        <v>10.6</v>
      </c>
    </row>
    <row r="1521" spans="1:4">
      <c r="A1521" s="435">
        <v>58008</v>
      </c>
      <c r="B1521" s="436" t="s">
        <v>31945</v>
      </c>
      <c r="C1521" s="437" t="s">
        <v>30445</v>
      </c>
      <c r="D1521" s="438">
        <v>10.47</v>
      </c>
    </row>
    <row r="1522" spans="1:4">
      <c r="A1522" s="435">
        <v>58009</v>
      </c>
      <c r="B1522" s="436" t="s">
        <v>31946</v>
      </c>
      <c r="C1522" s="437" t="s">
        <v>30445</v>
      </c>
      <c r="D1522" s="438">
        <v>16.46</v>
      </c>
    </row>
    <row r="1523" spans="1:4">
      <c r="A1523" s="435">
        <v>58010</v>
      </c>
      <c r="B1523" s="436" t="s">
        <v>31947</v>
      </c>
      <c r="C1523" s="437" t="s">
        <v>30445</v>
      </c>
      <c r="D1523" s="438">
        <v>16.57</v>
      </c>
    </row>
    <row r="1524" spans="1:4">
      <c r="A1524" s="435">
        <v>58011</v>
      </c>
      <c r="B1524" s="436" t="s">
        <v>31948</v>
      </c>
      <c r="C1524" s="437" t="s">
        <v>30445</v>
      </c>
      <c r="D1524" s="438">
        <v>23.4</v>
      </c>
    </row>
    <row r="1525" spans="1:4">
      <c r="A1525" s="435">
        <v>58012</v>
      </c>
      <c r="B1525" s="436" t="s">
        <v>31949</v>
      </c>
      <c r="C1525" s="437" t="s">
        <v>30445</v>
      </c>
      <c r="D1525" s="438">
        <v>33.32</v>
      </c>
    </row>
    <row r="1526" spans="1:4">
      <c r="A1526" s="435">
        <v>58013</v>
      </c>
      <c r="B1526" s="436" t="s">
        <v>31950</v>
      </c>
      <c r="C1526" s="437" t="s">
        <v>30445</v>
      </c>
      <c r="D1526" s="438">
        <v>34.47</v>
      </c>
    </row>
    <row r="1527" spans="1:4">
      <c r="A1527" s="435">
        <v>58014</v>
      </c>
      <c r="B1527" s="436" t="s">
        <v>31951</v>
      </c>
      <c r="C1527" s="437" t="s">
        <v>30445</v>
      </c>
      <c r="D1527" s="438">
        <v>43.6</v>
      </c>
    </row>
    <row r="1528" spans="1:4">
      <c r="A1528" s="435">
        <v>58015</v>
      </c>
      <c r="B1528" s="436" t="s">
        <v>31952</v>
      </c>
      <c r="C1528" s="437" t="s">
        <v>30445</v>
      </c>
      <c r="D1528" s="438">
        <v>48.26</v>
      </c>
    </row>
    <row r="1529" spans="1:4">
      <c r="A1529" s="435">
        <v>58016</v>
      </c>
      <c r="B1529" s="436" t="s">
        <v>31953</v>
      </c>
      <c r="C1529" s="437" t="s">
        <v>30445</v>
      </c>
      <c r="D1529" s="438">
        <v>53.89</v>
      </c>
    </row>
    <row r="1530" spans="1:4">
      <c r="A1530" s="435">
        <v>58020</v>
      </c>
      <c r="B1530" s="436" t="s">
        <v>31954</v>
      </c>
      <c r="C1530" s="437" t="s">
        <v>30445</v>
      </c>
      <c r="D1530" s="438">
        <v>49.49</v>
      </c>
    </row>
    <row r="1531" spans="1:4">
      <c r="A1531" s="435">
        <v>58025</v>
      </c>
      <c r="B1531" s="436" t="s">
        <v>31955</v>
      </c>
      <c r="C1531" s="437" t="s">
        <v>30445</v>
      </c>
      <c r="D1531" s="438">
        <v>8.1999999999999993</v>
      </c>
    </row>
    <row r="1532" spans="1:4">
      <c r="A1532" s="435">
        <v>58030</v>
      </c>
      <c r="B1532" s="436" t="s">
        <v>31956</v>
      </c>
      <c r="C1532" s="437" t="s">
        <v>30445</v>
      </c>
      <c r="D1532" s="438">
        <v>9.7799999999999994</v>
      </c>
    </row>
    <row r="1533" spans="1:4">
      <c r="A1533" s="435">
        <v>58031</v>
      </c>
      <c r="B1533" s="436" t="s">
        <v>31957</v>
      </c>
      <c r="C1533" s="437" t="s">
        <v>30445</v>
      </c>
      <c r="D1533" s="438">
        <v>11.16</v>
      </c>
    </row>
    <row r="1534" spans="1:4">
      <c r="A1534" s="435">
        <v>58032</v>
      </c>
      <c r="B1534" s="436" t="s">
        <v>31958</v>
      </c>
      <c r="C1534" s="437" t="s">
        <v>30445</v>
      </c>
      <c r="D1534" s="438">
        <v>20.55</v>
      </c>
    </row>
    <row r="1535" spans="1:4">
      <c r="A1535" s="435">
        <v>58033</v>
      </c>
      <c r="B1535" s="436" t="s">
        <v>31959</v>
      </c>
      <c r="C1535" s="437" t="s">
        <v>30445</v>
      </c>
      <c r="D1535" s="438">
        <v>34.049999999999997</v>
      </c>
    </row>
    <row r="1536" spans="1:4">
      <c r="A1536" s="435">
        <v>58034</v>
      </c>
      <c r="B1536" s="436" t="s">
        <v>31960</v>
      </c>
      <c r="C1536" s="437" t="s">
        <v>30445</v>
      </c>
      <c r="D1536" s="438">
        <v>13.99</v>
      </c>
    </row>
    <row r="1537" spans="1:4">
      <c r="A1537" s="435">
        <v>58035</v>
      </c>
      <c r="B1537" s="436" t="s">
        <v>31961</v>
      </c>
      <c r="C1537" s="437" t="s">
        <v>30445</v>
      </c>
      <c r="D1537" s="438">
        <v>34.520000000000003</v>
      </c>
    </row>
    <row r="1538" spans="1:4">
      <c r="A1538" s="435">
        <v>58036</v>
      </c>
      <c r="B1538" s="436" t="s">
        <v>31962</v>
      </c>
      <c r="C1538" s="437" t="s">
        <v>30445</v>
      </c>
      <c r="D1538" s="438">
        <v>54.55</v>
      </c>
    </row>
    <row r="1539" spans="1:4">
      <c r="A1539" s="435">
        <v>58037</v>
      </c>
      <c r="B1539" s="436" t="s">
        <v>31963</v>
      </c>
      <c r="C1539" s="437" t="s">
        <v>30445</v>
      </c>
      <c r="D1539" s="438">
        <v>67.31</v>
      </c>
    </row>
    <row r="1540" spans="1:4">
      <c r="A1540" s="435">
        <v>58038</v>
      </c>
      <c r="B1540" s="436" t="s">
        <v>31964</v>
      </c>
      <c r="C1540" s="437" t="s">
        <v>30445</v>
      </c>
      <c r="D1540" s="438">
        <v>82.14</v>
      </c>
    </row>
    <row r="1541" spans="1:4">
      <c r="A1541" s="435">
        <v>58039</v>
      </c>
      <c r="B1541" s="436" t="s">
        <v>31965</v>
      </c>
      <c r="C1541" s="437" t="s">
        <v>30445</v>
      </c>
      <c r="D1541" s="438">
        <v>170.83</v>
      </c>
    </row>
    <row r="1542" spans="1:4">
      <c r="A1542" s="435">
        <v>58050</v>
      </c>
      <c r="B1542" s="436" t="s">
        <v>31966</v>
      </c>
      <c r="C1542" s="437" t="s">
        <v>30445</v>
      </c>
      <c r="D1542" s="438">
        <v>5.73</v>
      </c>
    </row>
    <row r="1543" spans="1:4">
      <c r="A1543" s="435">
        <v>58051</v>
      </c>
      <c r="B1543" s="436" t="s">
        <v>31967</v>
      </c>
      <c r="C1543" s="437" t="s">
        <v>30445</v>
      </c>
      <c r="D1543" s="438">
        <v>7.77</v>
      </c>
    </row>
    <row r="1544" spans="1:4">
      <c r="A1544" s="435">
        <v>58052</v>
      </c>
      <c r="B1544" s="436" t="s">
        <v>31968</v>
      </c>
      <c r="C1544" s="437" t="s">
        <v>30445</v>
      </c>
      <c r="D1544" s="438">
        <v>9.83</v>
      </c>
    </row>
    <row r="1545" spans="1:4">
      <c r="A1545" s="435">
        <v>58053</v>
      </c>
      <c r="B1545" s="436" t="s">
        <v>31969</v>
      </c>
      <c r="C1545" s="437" t="s">
        <v>30445</v>
      </c>
      <c r="D1545" s="438">
        <v>14.12</v>
      </c>
    </row>
    <row r="1546" spans="1:4">
      <c r="A1546" s="431">
        <v>58400</v>
      </c>
      <c r="B1546" s="432" t="s">
        <v>31970</v>
      </c>
      <c r="C1546" s="433"/>
      <c r="D1546" s="434" t="s">
        <v>30434</v>
      </c>
    </row>
    <row r="1547" spans="1:4">
      <c r="A1547" s="435">
        <v>58407</v>
      </c>
      <c r="B1547" s="436" t="s">
        <v>31971</v>
      </c>
      <c r="C1547" s="437" t="s">
        <v>30445</v>
      </c>
      <c r="D1547" s="438">
        <v>0.6</v>
      </c>
    </row>
    <row r="1548" spans="1:4">
      <c r="A1548" s="435">
        <v>58410</v>
      </c>
      <c r="B1548" s="436" t="s">
        <v>31972</v>
      </c>
      <c r="C1548" s="437" t="s">
        <v>30445</v>
      </c>
      <c r="D1548" s="438">
        <v>4.66</v>
      </c>
    </row>
    <row r="1549" spans="1:4">
      <c r="A1549" s="435">
        <v>58411</v>
      </c>
      <c r="B1549" s="436" t="s">
        <v>31973</v>
      </c>
      <c r="C1549" s="437" t="s">
        <v>30445</v>
      </c>
      <c r="D1549" s="438">
        <v>0.94</v>
      </c>
    </row>
    <row r="1550" spans="1:4">
      <c r="A1550" s="435">
        <v>58412</v>
      </c>
      <c r="B1550" s="436" t="s">
        <v>31974</v>
      </c>
      <c r="C1550" s="437" t="s">
        <v>30445</v>
      </c>
      <c r="D1550" s="438">
        <v>1.0900000000000001</v>
      </c>
    </row>
    <row r="1551" spans="1:4">
      <c r="A1551" s="435">
        <v>58415</v>
      </c>
      <c r="B1551" s="436" t="s">
        <v>31975</v>
      </c>
      <c r="C1551" s="437" t="s">
        <v>30445</v>
      </c>
      <c r="D1551" s="438">
        <v>2.91</v>
      </c>
    </row>
    <row r="1552" spans="1:4">
      <c r="A1552" s="435">
        <v>58417</v>
      </c>
      <c r="B1552" s="436" t="s">
        <v>31976</v>
      </c>
      <c r="C1552" s="437" t="s">
        <v>30445</v>
      </c>
      <c r="D1552" s="438">
        <v>6.72</v>
      </c>
    </row>
    <row r="1553" spans="1:4">
      <c r="A1553" s="435">
        <v>58418</v>
      </c>
      <c r="B1553" s="436" t="s">
        <v>31977</v>
      </c>
      <c r="C1553" s="437" t="s">
        <v>30445</v>
      </c>
      <c r="D1553" s="438">
        <v>8.7799999999999994</v>
      </c>
    </row>
    <row r="1554" spans="1:4">
      <c r="A1554" s="435">
        <v>58420</v>
      </c>
      <c r="B1554" s="436" t="s">
        <v>31978</v>
      </c>
      <c r="C1554" s="437" t="s">
        <v>30445</v>
      </c>
      <c r="D1554" s="438">
        <v>15.62</v>
      </c>
    </row>
    <row r="1555" spans="1:4">
      <c r="A1555" s="435">
        <v>58421</v>
      </c>
      <c r="B1555" s="436" t="s">
        <v>31979</v>
      </c>
      <c r="C1555" s="437" t="s">
        <v>30445</v>
      </c>
      <c r="D1555" s="438">
        <v>0.27</v>
      </c>
    </row>
    <row r="1556" spans="1:4">
      <c r="A1556" s="435">
        <v>58422</v>
      </c>
      <c r="B1556" s="436" t="s">
        <v>31980</v>
      </c>
      <c r="C1556" s="437" t="s">
        <v>30445</v>
      </c>
      <c r="D1556" s="438">
        <v>0.34</v>
      </c>
    </row>
    <row r="1557" spans="1:4">
      <c r="A1557" s="435">
        <v>58426</v>
      </c>
      <c r="B1557" s="436" t="s">
        <v>31981</v>
      </c>
      <c r="C1557" s="437" t="s">
        <v>30445</v>
      </c>
      <c r="D1557" s="438">
        <v>1.65</v>
      </c>
    </row>
    <row r="1558" spans="1:4">
      <c r="A1558" s="431">
        <v>58600</v>
      </c>
      <c r="B1558" s="432" t="s">
        <v>31432</v>
      </c>
      <c r="C1558" s="433"/>
      <c r="D1558" s="434" t="s">
        <v>30434</v>
      </c>
    </row>
    <row r="1559" spans="1:4">
      <c r="A1559" s="435">
        <v>58602</v>
      </c>
      <c r="B1559" s="436" t="s">
        <v>31982</v>
      </c>
      <c r="C1559" s="437" t="s">
        <v>30445</v>
      </c>
      <c r="D1559" s="438">
        <v>615.64</v>
      </c>
    </row>
    <row r="1560" spans="1:4">
      <c r="A1560" s="435">
        <v>58604</v>
      </c>
      <c r="B1560" s="436" t="s">
        <v>31983</v>
      </c>
      <c r="C1560" s="437" t="s">
        <v>30445</v>
      </c>
      <c r="D1560" s="438">
        <v>876.94</v>
      </c>
    </row>
    <row r="1561" spans="1:4">
      <c r="A1561" s="435">
        <v>58606</v>
      </c>
      <c r="B1561" s="436" t="s">
        <v>31984</v>
      </c>
      <c r="C1561" s="437" t="s">
        <v>30445</v>
      </c>
      <c r="D1561" s="438">
        <v>983.87</v>
      </c>
    </row>
    <row r="1562" spans="1:4">
      <c r="A1562" s="435">
        <v>58634</v>
      </c>
      <c r="B1562" s="436" t="s">
        <v>31985</v>
      </c>
      <c r="C1562" s="437" t="s">
        <v>30445</v>
      </c>
      <c r="D1562" s="438">
        <v>1732.14</v>
      </c>
    </row>
    <row r="1563" spans="1:4">
      <c r="A1563" s="435">
        <v>58635</v>
      </c>
      <c r="B1563" s="436" t="s">
        <v>31986</v>
      </c>
      <c r="C1563" s="437" t="s">
        <v>30445</v>
      </c>
      <c r="D1563" s="438">
        <v>12205.65</v>
      </c>
    </row>
    <row r="1564" spans="1:4">
      <c r="A1564" s="431">
        <v>59000</v>
      </c>
      <c r="B1564" s="432" t="s">
        <v>30794</v>
      </c>
      <c r="C1564" s="433"/>
      <c r="D1564" s="434" t="s">
        <v>30434</v>
      </c>
    </row>
    <row r="1565" spans="1:4">
      <c r="A1565" s="435">
        <v>59001</v>
      </c>
      <c r="B1565" s="436" t="s">
        <v>31987</v>
      </c>
      <c r="C1565" s="437" t="s">
        <v>30445</v>
      </c>
      <c r="D1565" s="438">
        <v>175.44</v>
      </c>
    </row>
    <row r="1566" spans="1:4">
      <c r="A1566" s="435">
        <v>59002</v>
      </c>
      <c r="B1566" s="436" t="s">
        <v>31988</v>
      </c>
      <c r="C1566" s="437" t="s">
        <v>30445</v>
      </c>
      <c r="D1566" s="438">
        <v>47.56</v>
      </c>
    </row>
    <row r="1567" spans="1:4">
      <c r="A1567" s="435">
        <v>59005</v>
      </c>
      <c r="B1567" s="436" t="s">
        <v>31989</v>
      </c>
      <c r="C1567" s="437" t="s">
        <v>30445</v>
      </c>
      <c r="D1567" s="438">
        <v>33.9</v>
      </c>
    </row>
    <row r="1568" spans="1:4">
      <c r="A1568" s="435">
        <v>59010</v>
      </c>
      <c r="B1568" s="436" t="s">
        <v>31990</v>
      </c>
      <c r="C1568" s="437" t="s">
        <v>30445</v>
      </c>
      <c r="D1568" s="438">
        <v>55.06</v>
      </c>
    </row>
    <row r="1569" spans="1:4" ht="25">
      <c r="A1569" s="435">
        <v>59020</v>
      </c>
      <c r="B1569" s="436" t="s">
        <v>31991</v>
      </c>
      <c r="C1569" s="437" t="s">
        <v>30445</v>
      </c>
      <c r="D1569" s="438">
        <v>7.46</v>
      </c>
    </row>
    <row r="1570" spans="1:4">
      <c r="A1570" s="435">
        <v>59021</v>
      </c>
      <c r="B1570" s="436" t="s">
        <v>31992</v>
      </c>
      <c r="C1570" s="437" t="s">
        <v>30445</v>
      </c>
      <c r="D1570" s="438">
        <v>57.21</v>
      </c>
    </row>
    <row r="1571" spans="1:4">
      <c r="A1571" s="435">
        <v>59025</v>
      </c>
      <c r="B1571" s="436" t="s">
        <v>31993</v>
      </c>
      <c r="C1571" s="437" t="s">
        <v>30445</v>
      </c>
      <c r="D1571" s="438">
        <v>95.96</v>
      </c>
    </row>
    <row r="1572" spans="1:4">
      <c r="A1572" s="435">
        <v>59030</v>
      </c>
      <c r="B1572" s="436" t="s">
        <v>31994</v>
      </c>
      <c r="C1572" s="437" t="s">
        <v>165</v>
      </c>
      <c r="D1572" s="438">
        <v>0.51</v>
      </c>
    </row>
    <row r="1573" spans="1:4">
      <c r="A1573" s="435">
        <v>59032</v>
      </c>
      <c r="B1573" s="436" t="s">
        <v>31995</v>
      </c>
      <c r="C1573" s="437" t="s">
        <v>30445</v>
      </c>
      <c r="D1573" s="438">
        <v>3.29</v>
      </c>
    </row>
    <row r="1574" spans="1:4">
      <c r="A1574" s="435">
        <v>59038</v>
      </c>
      <c r="B1574" s="436" t="s">
        <v>31996</v>
      </c>
      <c r="C1574" s="437" t="s">
        <v>30445</v>
      </c>
      <c r="D1574" s="438">
        <v>1.8</v>
      </c>
    </row>
    <row r="1575" spans="1:4">
      <c r="A1575" s="435">
        <v>59040</v>
      </c>
      <c r="B1575" s="436" t="s">
        <v>31997</v>
      </c>
      <c r="C1575" s="437" t="s">
        <v>30445</v>
      </c>
      <c r="D1575" s="438">
        <v>102.94</v>
      </c>
    </row>
    <row r="1576" spans="1:4">
      <c r="A1576" s="435">
        <v>59051</v>
      </c>
      <c r="B1576" s="436" t="s">
        <v>31998</v>
      </c>
      <c r="C1576" s="437" t="s">
        <v>30445</v>
      </c>
      <c r="D1576" s="438">
        <v>39.049999999999997</v>
      </c>
    </row>
    <row r="1577" spans="1:4">
      <c r="A1577" s="435">
        <v>60183</v>
      </c>
      <c r="B1577" s="436" t="s">
        <v>31999</v>
      </c>
      <c r="C1577" s="437" t="s">
        <v>30445</v>
      </c>
      <c r="D1577" s="438">
        <v>7095.92</v>
      </c>
    </row>
    <row r="1578" spans="1:4">
      <c r="A1578" s="435">
        <v>61001</v>
      </c>
      <c r="B1578" s="436" t="s">
        <v>32000</v>
      </c>
      <c r="C1578" s="437" t="s">
        <v>30445</v>
      </c>
      <c r="D1578" s="438">
        <v>212.07</v>
      </c>
    </row>
    <row r="1579" spans="1:4">
      <c r="A1579" s="435">
        <v>61003</v>
      </c>
      <c r="B1579" s="436" t="s">
        <v>32001</v>
      </c>
      <c r="C1579" s="437" t="s">
        <v>30445</v>
      </c>
      <c r="D1579" s="438">
        <v>177.01</v>
      </c>
    </row>
    <row r="1580" spans="1:4">
      <c r="A1580" s="435">
        <v>61004</v>
      </c>
      <c r="B1580" s="436" t="s">
        <v>32002</v>
      </c>
      <c r="C1580" s="437" t="s">
        <v>30445</v>
      </c>
      <c r="D1580" s="438">
        <v>247.45</v>
      </c>
    </row>
    <row r="1581" spans="1:4">
      <c r="A1581" s="435">
        <v>61007</v>
      </c>
      <c r="B1581" s="436" t="s">
        <v>32003</v>
      </c>
      <c r="C1581" s="437" t="s">
        <v>165</v>
      </c>
      <c r="D1581" s="438">
        <v>203.33</v>
      </c>
    </row>
    <row r="1582" spans="1:4">
      <c r="A1582" s="435">
        <v>61008</v>
      </c>
      <c r="B1582" s="436" t="s">
        <v>32004</v>
      </c>
      <c r="C1582" s="437" t="s">
        <v>165</v>
      </c>
      <c r="D1582" s="438">
        <v>263.57</v>
      </c>
    </row>
    <row r="1583" spans="1:4">
      <c r="A1583" s="435">
        <v>61009</v>
      </c>
      <c r="B1583" s="436" t="s">
        <v>32005</v>
      </c>
      <c r="C1583" s="437" t="s">
        <v>30445</v>
      </c>
      <c r="D1583" s="438">
        <v>67.33</v>
      </c>
    </row>
    <row r="1584" spans="1:4">
      <c r="A1584" s="435">
        <v>61010</v>
      </c>
      <c r="B1584" s="436" t="s">
        <v>32006</v>
      </c>
      <c r="C1584" s="437" t="s">
        <v>153</v>
      </c>
      <c r="D1584" s="438">
        <v>26.66</v>
      </c>
    </row>
    <row r="1585" spans="1:4">
      <c r="A1585" s="435">
        <v>61012</v>
      </c>
      <c r="B1585" s="436" t="s">
        <v>32007</v>
      </c>
      <c r="C1585" s="437" t="s">
        <v>30445</v>
      </c>
      <c r="D1585" s="438">
        <v>169.7</v>
      </c>
    </row>
    <row r="1586" spans="1:4">
      <c r="A1586" s="435">
        <v>61013</v>
      </c>
      <c r="B1586" s="436" t="s">
        <v>32008</v>
      </c>
      <c r="C1586" s="437" t="s">
        <v>30445</v>
      </c>
      <c r="D1586" s="438">
        <v>60.52</v>
      </c>
    </row>
    <row r="1587" spans="1:4">
      <c r="A1587" s="435">
        <v>61014</v>
      </c>
      <c r="B1587" s="436" t="s">
        <v>32009</v>
      </c>
      <c r="C1587" s="437" t="s">
        <v>30445</v>
      </c>
      <c r="D1587" s="438">
        <v>14.57</v>
      </c>
    </row>
    <row r="1588" spans="1:4">
      <c r="A1588" s="435">
        <v>61015</v>
      </c>
      <c r="B1588" s="436" t="s">
        <v>32010</v>
      </c>
      <c r="C1588" s="437" t="s">
        <v>509</v>
      </c>
      <c r="D1588" s="438">
        <v>1489</v>
      </c>
    </row>
    <row r="1589" spans="1:4">
      <c r="A1589" s="435">
        <v>61017</v>
      </c>
      <c r="B1589" s="436" t="s">
        <v>32011</v>
      </c>
      <c r="C1589" s="437" t="s">
        <v>30445</v>
      </c>
      <c r="D1589" s="438">
        <v>23.27</v>
      </c>
    </row>
    <row r="1590" spans="1:4">
      <c r="A1590" s="435">
        <v>61019</v>
      </c>
      <c r="B1590" s="436" t="s">
        <v>32012</v>
      </c>
      <c r="C1590" s="437" t="s">
        <v>30445</v>
      </c>
      <c r="D1590" s="438">
        <v>1851.75</v>
      </c>
    </row>
    <row r="1591" spans="1:4">
      <c r="A1591" s="435">
        <v>61020</v>
      </c>
      <c r="B1591" s="436" t="s">
        <v>32013</v>
      </c>
      <c r="C1591" s="437" t="s">
        <v>30445</v>
      </c>
      <c r="D1591" s="438">
        <v>3617.4</v>
      </c>
    </row>
    <row r="1592" spans="1:4">
      <c r="A1592" s="435">
        <v>61021</v>
      </c>
      <c r="B1592" s="436" t="s">
        <v>32014</v>
      </c>
      <c r="C1592" s="437" t="s">
        <v>30445</v>
      </c>
      <c r="D1592" s="438">
        <v>522.80999999999995</v>
      </c>
    </row>
    <row r="1593" spans="1:4">
      <c r="A1593" s="435">
        <v>61022</v>
      </c>
      <c r="B1593" s="436" t="s">
        <v>32015</v>
      </c>
      <c r="C1593" s="437" t="s">
        <v>30445</v>
      </c>
      <c r="D1593" s="438">
        <v>101.06</v>
      </c>
    </row>
    <row r="1594" spans="1:4">
      <c r="A1594" s="435">
        <v>61023</v>
      </c>
      <c r="B1594" s="436" t="s">
        <v>32016</v>
      </c>
      <c r="C1594" s="437" t="s">
        <v>30445</v>
      </c>
      <c r="D1594" s="438">
        <v>265.39999999999998</v>
      </c>
    </row>
    <row r="1595" spans="1:4">
      <c r="A1595" s="435">
        <v>61024</v>
      </c>
      <c r="B1595" s="436" t="s">
        <v>32017</v>
      </c>
      <c r="C1595" s="437" t="s">
        <v>30445</v>
      </c>
      <c r="D1595" s="438">
        <v>1150</v>
      </c>
    </row>
    <row r="1596" spans="1:4">
      <c r="A1596" s="435">
        <v>61025</v>
      </c>
      <c r="B1596" s="436" t="s">
        <v>32018</v>
      </c>
      <c r="C1596" s="437" t="s">
        <v>30445</v>
      </c>
      <c r="D1596" s="438">
        <v>31.25</v>
      </c>
    </row>
    <row r="1597" spans="1:4">
      <c r="A1597" s="435">
        <v>61026</v>
      </c>
      <c r="B1597" s="436" t="s">
        <v>32019</v>
      </c>
      <c r="C1597" s="437" t="s">
        <v>30445</v>
      </c>
      <c r="D1597" s="438">
        <v>391.89</v>
      </c>
    </row>
    <row r="1598" spans="1:4">
      <c r="A1598" s="435">
        <v>61027</v>
      </c>
      <c r="B1598" s="436" t="s">
        <v>32020</v>
      </c>
      <c r="C1598" s="437" t="s">
        <v>30445</v>
      </c>
      <c r="D1598" s="438">
        <v>440.12</v>
      </c>
    </row>
    <row r="1599" spans="1:4">
      <c r="A1599" s="435">
        <v>61028</v>
      </c>
      <c r="B1599" s="436" t="s">
        <v>32021</v>
      </c>
      <c r="C1599" s="437" t="s">
        <v>30445</v>
      </c>
      <c r="D1599" s="438">
        <v>455.4</v>
      </c>
    </row>
    <row r="1600" spans="1:4">
      <c r="A1600" s="435">
        <v>61029</v>
      </c>
      <c r="B1600" s="436" t="s">
        <v>32022</v>
      </c>
      <c r="C1600" s="437" t="s">
        <v>30445</v>
      </c>
      <c r="D1600" s="438">
        <v>439.74</v>
      </c>
    </row>
    <row r="1601" spans="1:4">
      <c r="A1601" s="435">
        <v>61030</v>
      </c>
      <c r="B1601" s="436" t="s">
        <v>32023</v>
      </c>
      <c r="C1601" s="437" t="s">
        <v>30445</v>
      </c>
      <c r="D1601" s="438">
        <v>394.35</v>
      </c>
    </row>
    <row r="1602" spans="1:4">
      <c r="A1602" s="435">
        <v>61031</v>
      </c>
      <c r="B1602" s="436" t="s">
        <v>32024</v>
      </c>
      <c r="C1602" s="437" t="s">
        <v>30445</v>
      </c>
      <c r="D1602" s="438">
        <v>33.700000000000003</v>
      </c>
    </row>
    <row r="1603" spans="1:4">
      <c r="A1603" s="435">
        <v>61032</v>
      </c>
      <c r="B1603" s="436" t="s">
        <v>32025</v>
      </c>
      <c r="C1603" s="437" t="s">
        <v>30445</v>
      </c>
      <c r="D1603" s="438">
        <v>33654.46</v>
      </c>
    </row>
    <row r="1604" spans="1:4">
      <c r="A1604" s="435">
        <v>61033</v>
      </c>
      <c r="B1604" s="436" t="s">
        <v>32026</v>
      </c>
      <c r="C1604" s="437" t="s">
        <v>30445</v>
      </c>
      <c r="D1604" s="438">
        <v>22155.49</v>
      </c>
    </row>
    <row r="1605" spans="1:4">
      <c r="A1605" s="435">
        <v>61034</v>
      </c>
      <c r="B1605" s="436" t="s">
        <v>32027</v>
      </c>
      <c r="C1605" s="437" t="s">
        <v>30445</v>
      </c>
      <c r="D1605" s="438">
        <v>35771</v>
      </c>
    </row>
    <row r="1606" spans="1:4">
      <c r="A1606" s="435">
        <v>61036</v>
      </c>
      <c r="B1606" s="436" t="s">
        <v>32028</v>
      </c>
      <c r="C1606" s="437" t="s">
        <v>30445</v>
      </c>
      <c r="D1606" s="438">
        <v>1577.33</v>
      </c>
    </row>
    <row r="1607" spans="1:4">
      <c r="A1607" s="435">
        <v>61037</v>
      </c>
      <c r="B1607" s="436" t="s">
        <v>32029</v>
      </c>
      <c r="C1607" s="437" t="s">
        <v>30445</v>
      </c>
      <c r="D1607" s="438">
        <v>606.98</v>
      </c>
    </row>
    <row r="1608" spans="1:4">
      <c r="A1608" s="435">
        <v>61038</v>
      </c>
      <c r="B1608" s="436" t="s">
        <v>32030</v>
      </c>
      <c r="C1608" s="437" t="s">
        <v>30445</v>
      </c>
      <c r="D1608" s="438">
        <v>212.22</v>
      </c>
    </row>
    <row r="1609" spans="1:4">
      <c r="A1609" s="435">
        <v>61039</v>
      </c>
      <c r="B1609" s="436" t="s">
        <v>32031</v>
      </c>
      <c r="C1609" s="437" t="s">
        <v>30445</v>
      </c>
      <c r="D1609" s="438">
        <v>635.28</v>
      </c>
    </row>
    <row r="1610" spans="1:4">
      <c r="A1610" s="435">
        <v>61040</v>
      </c>
      <c r="B1610" s="436" t="s">
        <v>32032</v>
      </c>
      <c r="C1610" s="437" t="s">
        <v>30445</v>
      </c>
      <c r="D1610" s="438">
        <v>776.66</v>
      </c>
    </row>
    <row r="1611" spans="1:4">
      <c r="A1611" s="435">
        <v>61041</v>
      </c>
      <c r="B1611" s="436" t="s">
        <v>32033</v>
      </c>
      <c r="C1611" s="437" t="s">
        <v>30445</v>
      </c>
      <c r="D1611" s="438">
        <v>68.209999999999994</v>
      </c>
    </row>
    <row r="1612" spans="1:4">
      <c r="A1612" s="435">
        <v>61042</v>
      </c>
      <c r="B1612" s="436" t="s">
        <v>32034</v>
      </c>
      <c r="C1612" s="437" t="s">
        <v>31013</v>
      </c>
      <c r="D1612" s="438">
        <v>38.81</v>
      </c>
    </row>
    <row r="1613" spans="1:4">
      <c r="A1613" s="435">
        <v>61043</v>
      </c>
      <c r="B1613" s="436" t="s">
        <v>32035</v>
      </c>
      <c r="C1613" s="437" t="s">
        <v>30445</v>
      </c>
      <c r="D1613" s="438">
        <v>38.99</v>
      </c>
    </row>
    <row r="1614" spans="1:4">
      <c r="A1614" s="435">
        <v>61044</v>
      </c>
      <c r="B1614" s="436" t="s">
        <v>32036</v>
      </c>
      <c r="C1614" s="437" t="s">
        <v>30445</v>
      </c>
      <c r="D1614" s="438">
        <v>2258.09</v>
      </c>
    </row>
    <row r="1615" spans="1:4" ht="25">
      <c r="A1615" s="435">
        <v>61045</v>
      </c>
      <c r="B1615" s="436" t="s">
        <v>32037</v>
      </c>
      <c r="C1615" s="437" t="s">
        <v>30445</v>
      </c>
      <c r="D1615" s="438">
        <v>1229.26</v>
      </c>
    </row>
    <row r="1616" spans="1:4">
      <c r="A1616" s="435">
        <v>61046</v>
      </c>
      <c r="B1616" s="436" t="s">
        <v>32038</v>
      </c>
      <c r="C1616" s="437" t="s">
        <v>30445</v>
      </c>
      <c r="D1616" s="438">
        <v>23925.47</v>
      </c>
    </row>
    <row r="1617" spans="1:4">
      <c r="A1617" s="435">
        <v>61047</v>
      </c>
      <c r="B1617" s="436" t="s">
        <v>32039</v>
      </c>
      <c r="C1617" s="437" t="s">
        <v>30445</v>
      </c>
      <c r="D1617" s="438">
        <v>30138.11</v>
      </c>
    </row>
    <row r="1618" spans="1:4">
      <c r="A1618" s="435">
        <v>61048</v>
      </c>
      <c r="B1618" s="436" t="s">
        <v>32040</v>
      </c>
      <c r="C1618" s="437" t="s">
        <v>30445</v>
      </c>
      <c r="D1618" s="438">
        <v>41468.75</v>
      </c>
    </row>
    <row r="1619" spans="1:4">
      <c r="A1619" s="435">
        <v>61049</v>
      </c>
      <c r="B1619" s="436" t="s">
        <v>32041</v>
      </c>
      <c r="C1619" s="437" t="s">
        <v>30445</v>
      </c>
      <c r="D1619" s="438">
        <v>49967.59</v>
      </c>
    </row>
    <row r="1620" spans="1:4">
      <c r="A1620" s="435">
        <v>61050</v>
      </c>
      <c r="B1620" s="436" t="s">
        <v>32042</v>
      </c>
      <c r="C1620" s="437" t="s">
        <v>30445</v>
      </c>
      <c r="D1620" s="438">
        <v>48009.23</v>
      </c>
    </row>
    <row r="1621" spans="1:4">
      <c r="A1621" s="435">
        <v>61051</v>
      </c>
      <c r="B1621" s="436" t="s">
        <v>32043</v>
      </c>
      <c r="C1621" s="437" t="s">
        <v>30445</v>
      </c>
      <c r="D1621" s="438">
        <v>55252.43</v>
      </c>
    </row>
    <row r="1622" spans="1:4" ht="25">
      <c r="A1622" s="435">
        <v>61052</v>
      </c>
      <c r="B1622" s="436" t="s">
        <v>32044</v>
      </c>
      <c r="C1622" s="437" t="s">
        <v>30445</v>
      </c>
      <c r="D1622" s="438">
        <v>1481.95</v>
      </c>
    </row>
    <row r="1623" spans="1:4">
      <c r="A1623" s="435">
        <v>61053</v>
      </c>
      <c r="B1623" s="436" t="s">
        <v>32045</v>
      </c>
      <c r="C1623" s="437" t="s">
        <v>30445</v>
      </c>
      <c r="D1623" s="438">
        <v>8134.51</v>
      </c>
    </row>
    <row r="1624" spans="1:4">
      <c r="A1624" s="435">
        <v>61055</v>
      </c>
      <c r="B1624" s="436" t="s">
        <v>32046</v>
      </c>
      <c r="C1624" s="437" t="s">
        <v>30445</v>
      </c>
      <c r="D1624" s="438">
        <v>437.32</v>
      </c>
    </row>
    <row r="1625" spans="1:4">
      <c r="A1625" s="435">
        <v>61057</v>
      </c>
      <c r="B1625" s="436" t="s">
        <v>32047</v>
      </c>
      <c r="C1625" s="437" t="s">
        <v>30445</v>
      </c>
      <c r="D1625" s="438">
        <v>1035.9100000000001</v>
      </c>
    </row>
    <row r="1626" spans="1:4">
      <c r="A1626" s="435">
        <v>61059</v>
      </c>
      <c r="B1626" s="436" t="s">
        <v>32048</v>
      </c>
      <c r="C1626" s="437" t="s">
        <v>30445</v>
      </c>
      <c r="D1626" s="438">
        <v>1711.77</v>
      </c>
    </row>
    <row r="1627" spans="1:4">
      <c r="A1627" s="435">
        <v>61061</v>
      </c>
      <c r="B1627" s="436" t="s">
        <v>32049</v>
      </c>
      <c r="C1627" s="437" t="s">
        <v>30445</v>
      </c>
      <c r="D1627" s="438">
        <v>2197.5300000000002</v>
      </c>
    </row>
    <row r="1628" spans="1:4">
      <c r="A1628" s="435">
        <v>61064</v>
      </c>
      <c r="B1628" s="436" t="s">
        <v>32050</v>
      </c>
      <c r="C1628" s="437" t="s">
        <v>30445</v>
      </c>
      <c r="D1628" s="438">
        <v>2873.3</v>
      </c>
    </row>
    <row r="1629" spans="1:4">
      <c r="A1629" s="435">
        <v>61066</v>
      </c>
      <c r="B1629" s="436" t="s">
        <v>32051</v>
      </c>
      <c r="C1629" s="437" t="s">
        <v>30445</v>
      </c>
      <c r="D1629" s="438">
        <v>3736.67</v>
      </c>
    </row>
    <row r="1630" spans="1:4">
      <c r="A1630" s="435">
        <v>61068</v>
      </c>
      <c r="B1630" s="436" t="s">
        <v>32052</v>
      </c>
      <c r="C1630" s="437" t="s">
        <v>30445</v>
      </c>
      <c r="D1630" s="438">
        <v>5930.55</v>
      </c>
    </row>
    <row r="1631" spans="1:4">
      <c r="A1631" s="435">
        <v>61069</v>
      </c>
      <c r="B1631" s="436" t="s">
        <v>32053</v>
      </c>
      <c r="C1631" s="437" t="s">
        <v>30445</v>
      </c>
      <c r="D1631" s="438">
        <v>124.85</v>
      </c>
    </row>
    <row r="1632" spans="1:4">
      <c r="A1632" s="435">
        <v>61070</v>
      </c>
      <c r="B1632" s="436" t="s">
        <v>32054</v>
      </c>
      <c r="C1632" s="437" t="s">
        <v>30445</v>
      </c>
      <c r="D1632" s="438">
        <v>131.94</v>
      </c>
    </row>
    <row r="1633" spans="1:4">
      <c r="A1633" s="435">
        <v>61071</v>
      </c>
      <c r="B1633" s="436" t="s">
        <v>32055</v>
      </c>
      <c r="C1633" s="437" t="s">
        <v>30445</v>
      </c>
      <c r="D1633" s="438">
        <v>131.94</v>
      </c>
    </row>
    <row r="1634" spans="1:4">
      <c r="A1634" s="435">
        <v>61072</v>
      </c>
      <c r="B1634" s="436" t="s">
        <v>32056</v>
      </c>
      <c r="C1634" s="437" t="s">
        <v>30445</v>
      </c>
      <c r="D1634" s="438">
        <v>97.38</v>
      </c>
    </row>
    <row r="1635" spans="1:4">
      <c r="A1635" s="435">
        <v>61073</v>
      </c>
      <c r="B1635" s="436" t="s">
        <v>32057</v>
      </c>
      <c r="C1635" s="437" t="s">
        <v>30445</v>
      </c>
      <c r="D1635" s="438">
        <v>136.80000000000001</v>
      </c>
    </row>
    <row r="1636" spans="1:4">
      <c r="A1636" s="435">
        <v>61074</v>
      </c>
      <c r="B1636" s="436" t="s">
        <v>32058</v>
      </c>
      <c r="C1636" s="437" t="s">
        <v>30445</v>
      </c>
      <c r="D1636" s="438">
        <v>76.069999999999993</v>
      </c>
    </row>
    <row r="1637" spans="1:4">
      <c r="A1637" s="435">
        <v>61075</v>
      </c>
      <c r="B1637" s="436" t="s">
        <v>32059</v>
      </c>
      <c r="C1637" s="437" t="s">
        <v>30445</v>
      </c>
      <c r="D1637" s="438">
        <v>123.27</v>
      </c>
    </row>
    <row r="1638" spans="1:4">
      <c r="A1638" s="435">
        <v>61076</v>
      </c>
      <c r="B1638" s="436" t="s">
        <v>32060</v>
      </c>
      <c r="C1638" s="437" t="s">
        <v>30445</v>
      </c>
      <c r="D1638" s="438">
        <v>64.42</v>
      </c>
    </row>
    <row r="1639" spans="1:4">
      <c r="A1639" s="435">
        <v>61080</v>
      </c>
      <c r="B1639" s="436" t="s">
        <v>32061</v>
      </c>
      <c r="C1639" s="437" t="s">
        <v>30445</v>
      </c>
      <c r="D1639" s="438">
        <v>185.47</v>
      </c>
    </row>
    <row r="1640" spans="1:4">
      <c r="A1640" s="435">
        <v>61081</v>
      </c>
      <c r="B1640" s="436" t="s">
        <v>32062</v>
      </c>
      <c r="C1640" s="437" t="s">
        <v>30445</v>
      </c>
      <c r="D1640" s="438">
        <v>50.44</v>
      </c>
    </row>
    <row r="1641" spans="1:4">
      <c r="A1641" s="435">
        <v>61082</v>
      </c>
      <c r="B1641" s="436" t="s">
        <v>32063</v>
      </c>
      <c r="C1641" s="437" t="s">
        <v>30445</v>
      </c>
      <c r="D1641" s="438">
        <v>126.78</v>
      </c>
    </row>
    <row r="1642" spans="1:4">
      <c r="A1642" s="435">
        <v>61083</v>
      </c>
      <c r="B1642" s="436" t="s">
        <v>32064</v>
      </c>
      <c r="C1642" s="437" t="s">
        <v>30445</v>
      </c>
      <c r="D1642" s="438">
        <v>179.86</v>
      </c>
    </row>
    <row r="1643" spans="1:4">
      <c r="A1643" s="435">
        <v>61084</v>
      </c>
      <c r="B1643" s="436" t="s">
        <v>32065</v>
      </c>
      <c r="C1643" s="437" t="s">
        <v>30445</v>
      </c>
      <c r="D1643" s="438">
        <v>67.59</v>
      </c>
    </row>
    <row r="1644" spans="1:4">
      <c r="A1644" s="435">
        <v>61100</v>
      </c>
      <c r="B1644" s="436" t="s">
        <v>32066</v>
      </c>
      <c r="C1644" s="437" t="s">
        <v>30445</v>
      </c>
      <c r="D1644" s="438">
        <v>1353.12</v>
      </c>
    </row>
    <row r="1645" spans="1:4">
      <c r="A1645" s="435">
        <v>61101</v>
      </c>
      <c r="B1645" s="436" t="s">
        <v>32067</v>
      </c>
      <c r="C1645" s="437" t="s">
        <v>30445</v>
      </c>
      <c r="D1645" s="438">
        <v>1314.31</v>
      </c>
    </row>
    <row r="1646" spans="1:4">
      <c r="A1646" s="435">
        <v>61102</v>
      </c>
      <c r="B1646" s="436" t="s">
        <v>32068</v>
      </c>
      <c r="C1646" s="437" t="s">
        <v>30445</v>
      </c>
      <c r="D1646" s="438">
        <v>1376.43</v>
      </c>
    </row>
    <row r="1647" spans="1:4">
      <c r="A1647" s="435">
        <v>61103</v>
      </c>
      <c r="B1647" s="436" t="s">
        <v>32069</v>
      </c>
      <c r="C1647" s="437" t="s">
        <v>30445</v>
      </c>
      <c r="D1647" s="438">
        <v>3540.84</v>
      </c>
    </row>
    <row r="1648" spans="1:4">
      <c r="A1648" s="431">
        <v>65000</v>
      </c>
      <c r="B1648" s="432" t="s">
        <v>32070</v>
      </c>
      <c r="C1648" s="433"/>
      <c r="D1648" s="434" t="s">
        <v>30434</v>
      </c>
    </row>
    <row r="1649" spans="1:4">
      <c r="A1649" s="435">
        <v>65001</v>
      </c>
      <c r="B1649" s="436" t="s">
        <v>32071</v>
      </c>
      <c r="C1649" s="437" t="s">
        <v>30445</v>
      </c>
      <c r="D1649" s="438">
        <v>377.29</v>
      </c>
    </row>
    <row r="1650" spans="1:4">
      <c r="A1650" s="435">
        <v>65002</v>
      </c>
      <c r="B1650" s="436" t="s">
        <v>32072</v>
      </c>
      <c r="C1650" s="437" t="s">
        <v>30445</v>
      </c>
      <c r="D1650" s="438">
        <v>79.010000000000005</v>
      </c>
    </row>
    <row r="1651" spans="1:4">
      <c r="A1651" s="435">
        <v>65003</v>
      </c>
      <c r="B1651" s="436" t="s">
        <v>32073</v>
      </c>
      <c r="C1651" s="437" t="s">
        <v>30445</v>
      </c>
      <c r="D1651" s="438">
        <v>84.09</v>
      </c>
    </row>
    <row r="1652" spans="1:4">
      <c r="A1652" s="435">
        <v>65004</v>
      </c>
      <c r="B1652" s="436" t="s">
        <v>32074</v>
      </c>
      <c r="C1652" s="437" t="s">
        <v>30445</v>
      </c>
      <c r="D1652" s="438">
        <v>284.32</v>
      </c>
    </row>
    <row r="1653" spans="1:4">
      <c r="A1653" s="435">
        <v>65005</v>
      </c>
      <c r="B1653" s="436" t="s">
        <v>32075</v>
      </c>
      <c r="C1653" s="437" t="s">
        <v>30445</v>
      </c>
      <c r="D1653" s="438">
        <v>435.87</v>
      </c>
    </row>
    <row r="1654" spans="1:4">
      <c r="A1654" s="435">
        <v>65007</v>
      </c>
      <c r="B1654" s="436" t="s">
        <v>32076</v>
      </c>
      <c r="C1654" s="437" t="s">
        <v>30445</v>
      </c>
      <c r="D1654" s="438">
        <v>455.3</v>
      </c>
    </row>
    <row r="1655" spans="1:4">
      <c r="A1655" s="435">
        <v>65010</v>
      </c>
      <c r="B1655" s="436" t="s">
        <v>32077</v>
      </c>
      <c r="C1655" s="437" t="s">
        <v>30445</v>
      </c>
      <c r="D1655" s="438">
        <v>23.51</v>
      </c>
    </row>
    <row r="1656" spans="1:4">
      <c r="A1656" s="435">
        <v>65031</v>
      </c>
      <c r="B1656" s="436" t="s">
        <v>32078</v>
      </c>
      <c r="C1656" s="437" t="s">
        <v>30445</v>
      </c>
      <c r="D1656" s="438">
        <v>15.01</v>
      </c>
    </row>
    <row r="1657" spans="1:4">
      <c r="A1657" s="435">
        <v>65033</v>
      </c>
      <c r="B1657" s="436" t="s">
        <v>32079</v>
      </c>
      <c r="C1657" s="437" t="s">
        <v>30445</v>
      </c>
      <c r="D1657" s="438">
        <v>25.05</v>
      </c>
    </row>
    <row r="1658" spans="1:4">
      <c r="A1658" s="435">
        <v>65038</v>
      </c>
      <c r="B1658" s="436" t="s">
        <v>32080</v>
      </c>
      <c r="C1658" s="437" t="s">
        <v>165</v>
      </c>
      <c r="D1658" s="438">
        <v>4.6399999999999997</v>
      </c>
    </row>
    <row r="1659" spans="1:4">
      <c r="A1659" s="435">
        <v>65040</v>
      </c>
      <c r="B1659" s="436" t="s">
        <v>28527</v>
      </c>
      <c r="C1659" s="437" t="s">
        <v>32081</v>
      </c>
      <c r="D1659" s="438">
        <v>2144.59</v>
      </c>
    </row>
    <row r="1660" spans="1:4">
      <c r="A1660" s="435">
        <v>65041</v>
      </c>
      <c r="B1660" s="436" t="s">
        <v>30418</v>
      </c>
      <c r="C1660" s="437" t="s">
        <v>32082</v>
      </c>
      <c r="D1660" s="438">
        <v>37.26</v>
      </c>
    </row>
    <row r="1661" spans="1:4">
      <c r="A1661" s="431">
        <v>69600</v>
      </c>
      <c r="B1661" s="432" t="s">
        <v>30794</v>
      </c>
      <c r="C1661" s="433"/>
      <c r="D1661" s="434" t="s">
        <v>30434</v>
      </c>
    </row>
    <row r="1662" spans="1:4">
      <c r="A1662" s="435">
        <v>69666</v>
      </c>
      <c r="B1662" s="436" t="s">
        <v>32083</v>
      </c>
      <c r="C1662" s="437" t="s">
        <v>103</v>
      </c>
      <c r="D1662" s="438">
        <v>214.68</v>
      </c>
    </row>
    <row r="1663" spans="1:4">
      <c r="A1663" s="435">
        <v>69667</v>
      </c>
      <c r="B1663" s="436" t="s">
        <v>32084</v>
      </c>
      <c r="C1663" s="437" t="s">
        <v>103</v>
      </c>
      <c r="D1663" s="438">
        <v>78.540000000000006</v>
      </c>
    </row>
    <row r="1664" spans="1:4">
      <c r="A1664" s="431">
        <v>70000</v>
      </c>
      <c r="B1664" s="432" t="s">
        <v>32085</v>
      </c>
      <c r="C1664" s="433"/>
      <c r="D1664" s="434" t="s">
        <v>30434</v>
      </c>
    </row>
    <row r="1665" spans="1:4">
      <c r="A1665" s="435">
        <v>70002</v>
      </c>
      <c r="B1665" s="436" t="s">
        <v>32086</v>
      </c>
      <c r="C1665" s="437" t="s">
        <v>165</v>
      </c>
      <c r="D1665" s="438">
        <v>69.41</v>
      </c>
    </row>
    <row r="1666" spans="1:4">
      <c r="A1666" s="435">
        <v>70003</v>
      </c>
      <c r="B1666" s="436" t="s">
        <v>32087</v>
      </c>
      <c r="C1666" s="437" t="s">
        <v>165</v>
      </c>
      <c r="D1666" s="438">
        <v>85.7</v>
      </c>
    </row>
    <row r="1667" spans="1:4">
      <c r="A1667" s="435">
        <v>70004</v>
      </c>
      <c r="B1667" s="436" t="s">
        <v>32088</v>
      </c>
      <c r="C1667" s="437" t="s">
        <v>165</v>
      </c>
      <c r="D1667" s="438">
        <v>114.84</v>
      </c>
    </row>
    <row r="1668" spans="1:4">
      <c r="A1668" s="435">
        <v>70005</v>
      </c>
      <c r="B1668" s="436" t="s">
        <v>32089</v>
      </c>
      <c r="C1668" s="437" t="s">
        <v>165</v>
      </c>
      <c r="D1668" s="438">
        <v>149.38</v>
      </c>
    </row>
    <row r="1669" spans="1:4">
      <c r="A1669" s="435">
        <v>70020</v>
      </c>
      <c r="B1669" s="436" t="s">
        <v>32090</v>
      </c>
      <c r="C1669" s="437" t="s">
        <v>165</v>
      </c>
      <c r="D1669" s="438">
        <v>441.97</v>
      </c>
    </row>
    <row r="1670" spans="1:4">
      <c r="A1670" s="435">
        <v>70023</v>
      </c>
      <c r="B1670" s="436" t="s">
        <v>32091</v>
      </c>
      <c r="C1670" s="437" t="s">
        <v>165</v>
      </c>
      <c r="D1670" s="438">
        <v>796.91</v>
      </c>
    </row>
    <row r="1671" spans="1:4">
      <c r="A1671" s="435">
        <v>70025</v>
      </c>
      <c r="B1671" s="436" t="s">
        <v>32092</v>
      </c>
      <c r="C1671" s="437" t="s">
        <v>165</v>
      </c>
      <c r="D1671" s="438">
        <v>179.28</v>
      </c>
    </row>
    <row r="1672" spans="1:4">
      <c r="A1672" s="435">
        <v>70026</v>
      </c>
      <c r="B1672" s="436" t="s">
        <v>32093</v>
      </c>
      <c r="C1672" s="437" t="s">
        <v>165</v>
      </c>
      <c r="D1672" s="438">
        <v>246.39</v>
      </c>
    </row>
    <row r="1673" spans="1:4">
      <c r="A1673" s="435">
        <v>70027</v>
      </c>
      <c r="B1673" s="436" t="s">
        <v>32094</v>
      </c>
      <c r="C1673" s="437" t="s">
        <v>165</v>
      </c>
      <c r="D1673" s="438">
        <v>373.99</v>
      </c>
    </row>
    <row r="1674" spans="1:4">
      <c r="A1674" s="435">
        <v>70028</v>
      </c>
      <c r="B1674" s="436" t="s">
        <v>32095</v>
      </c>
      <c r="C1674" s="437" t="s">
        <v>165</v>
      </c>
      <c r="D1674" s="438">
        <v>447.69</v>
      </c>
    </row>
    <row r="1675" spans="1:4">
      <c r="A1675" s="435">
        <v>70029</v>
      </c>
      <c r="B1675" s="436" t="s">
        <v>32096</v>
      </c>
      <c r="C1675" s="437" t="s">
        <v>165</v>
      </c>
      <c r="D1675" s="438">
        <v>507.71</v>
      </c>
    </row>
    <row r="1676" spans="1:4">
      <c r="A1676" s="435">
        <v>70031</v>
      </c>
      <c r="B1676" s="436" t="s">
        <v>32097</v>
      </c>
      <c r="C1676" s="437" t="s">
        <v>165</v>
      </c>
      <c r="D1676" s="438">
        <v>773.59</v>
      </c>
    </row>
    <row r="1677" spans="1:4">
      <c r="A1677" s="435">
        <v>70032</v>
      </c>
      <c r="B1677" s="436" t="s">
        <v>32098</v>
      </c>
      <c r="C1677" s="437" t="s">
        <v>165</v>
      </c>
      <c r="D1677" s="438">
        <v>968.4</v>
      </c>
    </row>
    <row r="1678" spans="1:4">
      <c r="A1678" s="435">
        <v>70036</v>
      </c>
      <c r="B1678" s="436" t="s">
        <v>32099</v>
      </c>
      <c r="C1678" s="437" t="s">
        <v>165</v>
      </c>
      <c r="D1678" s="438">
        <v>291.97000000000003</v>
      </c>
    </row>
    <row r="1679" spans="1:4">
      <c r="A1679" s="435">
        <v>70037</v>
      </c>
      <c r="B1679" s="436" t="s">
        <v>32100</v>
      </c>
      <c r="C1679" s="437" t="s">
        <v>165</v>
      </c>
      <c r="D1679" s="438">
        <v>674</v>
      </c>
    </row>
    <row r="1680" spans="1:4">
      <c r="A1680" s="435">
        <v>70038</v>
      </c>
      <c r="B1680" s="436" t="s">
        <v>32101</v>
      </c>
      <c r="C1680" s="437" t="s">
        <v>165</v>
      </c>
      <c r="D1680" s="438">
        <v>984.67</v>
      </c>
    </row>
    <row r="1681" spans="1:4">
      <c r="A1681" s="435">
        <v>70039</v>
      </c>
      <c r="B1681" s="436" t="s">
        <v>32102</v>
      </c>
      <c r="C1681" s="437" t="s">
        <v>165</v>
      </c>
      <c r="D1681" s="438">
        <v>1380.59</v>
      </c>
    </row>
    <row r="1682" spans="1:4">
      <c r="A1682" s="435">
        <v>70040</v>
      </c>
      <c r="B1682" s="436" t="s">
        <v>32103</v>
      </c>
      <c r="C1682" s="437" t="s">
        <v>165</v>
      </c>
      <c r="D1682" s="438">
        <v>470.31</v>
      </c>
    </row>
    <row r="1683" spans="1:4">
      <c r="A1683" s="435">
        <v>70041</v>
      </c>
      <c r="B1683" s="436" t="s">
        <v>32104</v>
      </c>
      <c r="C1683" s="437" t="s">
        <v>165</v>
      </c>
      <c r="D1683" s="438">
        <v>293.45999999999998</v>
      </c>
    </row>
    <row r="1684" spans="1:4">
      <c r="A1684" s="435">
        <v>70042</v>
      </c>
      <c r="B1684" s="436" t="s">
        <v>32105</v>
      </c>
      <c r="C1684" s="437" t="s">
        <v>165</v>
      </c>
      <c r="D1684" s="438">
        <v>492.54</v>
      </c>
    </row>
    <row r="1685" spans="1:4" ht="37">
      <c r="A1685" s="435">
        <v>70050</v>
      </c>
      <c r="B1685" s="436" t="s">
        <v>32106</v>
      </c>
      <c r="C1685" s="437" t="s">
        <v>165</v>
      </c>
      <c r="D1685" s="438">
        <v>129.22999999999999</v>
      </c>
    </row>
    <row r="1686" spans="1:4" ht="37">
      <c r="A1686" s="435">
        <v>70051</v>
      </c>
      <c r="B1686" s="436" t="s">
        <v>32107</v>
      </c>
      <c r="C1686" s="437" t="s">
        <v>165</v>
      </c>
      <c r="D1686" s="438">
        <v>222.16</v>
      </c>
    </row>
    <row r="1687" spans="1:4" ht="37">
      <c r="A1687" s="435">
        <v>70052</v>
      </c>
      <c r="B1687" s="436" t="s">
        <v>32108</v>
      </c>
      <c r="C1687" s="437" t="s">
        <v>165</v>
      </c>
      <c r="D1687" s="438">
        <v>318.81</v>
      </c>
    </row>
    <row r="1688" spans="1:4" ht="37">
      <c r="A1688" s="435">
        <v>70053</v>
      </c>
      <c r="B1688" s="436" t="s">
        <v>32109</v>
      </c>
      <c r="C1688" s="437" t="s">
        <v>165</v>
      </c>
      <c r="D1688" s="438">
        <v>472.44</v>
      </c>
    </row>
    <row r="1689" spans="1:4" ht="37">
      <c r="A1689" s="435">
        <v>70054</v>
      </c>
      <c r="B1689" s="436" t="s">
        <v>32110</v>
      </c>
      <c r="C1689" s="437" t="s">
        <v>165</v>
      </c>
      <c r="D1689" s="438">
        <v>754.43</v>
      </c>
    </row>
    <row r="1690" spans="1:4" ht="37">
      <c r="A1690" s="435">
        <v>70055</v>
      </c>
      <c r="B1690" s="436" t="s">
        <v>32111</v>
      </c>
      <c r="C1690" s="437" t="s">
        <v>165</v>
      </c>
      <c r="D1690" s="438">
        <v>1148.3399999999999</v>
      </c>
    </row>
    <row r="1691" spans="1:4" ht="37">
      <c r="A1691" s="435">
        <v>70056</v>
      </c>
      <c r="B1691" s="436" t="s">
        <v>32112</v>
      </c>
      <c r="C1691" s="437" t="s">
        <v>165</v>
      </c>
      <c r="D1691" s="438">
        <v>1650.39</v>
      </c>
    </row>
    <row r="1692" spans="1:4">
      <c r="A1692" s="431">
        <v>70400</v>
      </c>
      <c r="B1692" s="432" t="s">
        <v>32113</v>
      </c>
      <c r="C1692" s="433"/>
      <c r="D1692" s="434" t="s">
        <v>30434</v>
      </c>
    </row>
    <row r="1693" spans="1:4">
      <c r="A1693" s="435">
        <v>70403</v>
      </c>
      <c r="B1693" s="436" t="s">
        <v>32114</v>
      </c>
      <c r="C1693" s="437" t="s">
        <v>165</v>
      </c>
      <c r="D1693" s="438">
        <v>36.08</v>
      </c>
    </row>
    <row r="1694" spans="1:4">
      <c r="A1694" s="435">
        <v>70405</v>
      </c>
      <c r="B1694" s="436" t="s">
        <v>32115</v>
      </c>
      <c r="C1694" s="437" t="s">
        <v>165</v>
      </c>
      <c r="D1694" s="438">
        <v>58.72</v>
      </c>
    </row>
    <row r="1695" spans="1:4">
      <c r="A1695" s="435">
        <v>70407</v>
      </c>
      <c r="B1695" s="436" t="s">
        <v>32116</v>
      </c>
      <c r="C1695" s="437" t="s">
        <v>165</v>
      </c>
      <c r="D1695" s="438">
        <v>95.66</v>
      </c>
    </row>
    <row r="1696" spans="1:4">
      <c r="A1696" s="435">
        <v>70408</v>
      </c>
      <c r="B1696" s="436" t="s">
        <v>32117</v>
      </c>
      <c r="C1696" s="437" t="s">
        <v>165</v>
      </c>
      <c r="D1696" s="438">
        <v>119.9</v>
      </c>
    </row>
    <row r="1697" spans="1:4">
      <c r="A1697" s="435">
        <v>70410</v>
      </c>
      <c r="B1697" s="436" t="s">
        <v>32118</v>
      </c>
      <c r="C1697" s="437" t="s">
        <v>165</v>
      </c>
      <c r="D1697" s="438">
        <v>178.31</v>
      </c>
    </row>
    <row r="1698" spans="1:4">
      <c r="A1698" s="435">
        <v>70413</v>
      </c>
      <c r="B1698" s="436" t="s">
        <v>32119</v>
      </c>
      <c r="C1698" s="437" t="s">
        <v>165</v>
      </c>
      <c r="D1698" s="438">
        <v>322.43</v>
      </c>
    </row>
    <row r="1699" spans="1:4">
      <c r="A1699" s="431">
        <v>70800</v>
      </c>
      <c r="B1699" s="432" t="s">
        <v>32120</v>
      </c>
      <c r="C1699" s="433"/>
      <c r="D1699" s="434" t="s">
        <v>30434</v>
      </c>
    </row>
    <row r="1700" spans="1:4">
      <c r="A1700" s="435">
        <v>70802</v>
      </c>
      <c r="B1700" s="436" t="s">
        <v>32121</v>
      </c>
      <c r="C1700" s="437" t="s">
        <v>30445</v>
      </c>
      <c r="D1700" s="438">
        <v>10.71</v>
      </c>
    </row>
    <row r="1701" spans="1:4">
      <c r="A1701" s="435">
        <v>70803</v>
      </c>
      <c r="B1701" s="436" t="s">
        <v>32122</v>
      </c>
      <c r="C1701" s="437" t="s">
        <v>30445</v>
      </c>
      <c r="D1701" s="438">
        <v>21.68</v>
      </c>
    </row>
    <row r="1702" spans="1:4">
      <c r="A1702" s="435">
        <v>70806</v>
      </c>
      <c r="B1702" s="436" t="s">
        <v>32123</v>
      </c>
      <c r="C1702" s="437" t="s">
        <v>30445</v>
      </c>
      <c r="D1702" s="438">
        <v>56.98</v>
      </c>
    </row>
    <row r="1703" spans="1:4">
      <c r="A1703" s="435">
        <v>70822</v>
      </c>
      <c r="B1703" s="436" t="s">
        <v>32124</v>
      </c>
      <c r="C1703" s="437" t="s">
        <v>165</v>
      </c>
      <c r="D1703" s="438">
        <v>20.55</v>
      </c>
    </row>
    <row r="1704" spans="1:4">
      <c r="A1704" s="435">
        <v>70823</v>
      </c>
      <c r="B1704" s="436" t="s">
        <v>32125</v>
      </c>
      <c r="C1704" s="437" t="s">
        <v>165</v>
      </c>
      <c r="D1704" s="438">
        <v>28.29</v>
      </c>
    </row>
    <row r="1705" spans="1:4">
      <c r="A1705" s="435">
        <v>70824</v>
      </c>
      <c r="B1705" s="436" t="s">
        <v>32126</v>
      </c>
      <c r="C1705" s="437" t="s">
        <v>165</v>
      </c>
      <c r="D1705" s="438">
        <v>36.21</v>
      </c>
    </row>
    <row r="1706" spans="1:4">
      <c r="A1706" s="435">
        <v>70825</v>
      </c>
      <c r="B1706" s="436" t="s">
        <v>32127</v>
      </c>
      <c r="C1706" s="437" t="s">
        <v>165</v>
      </c>
      <c r="D1706" s="438">
        <v>45.9</v>
      </c>
    </row>
    <row r="1707" spans="1:4">
      <c r="A1707" s="435">
        <v>70826</v>
      </c>
      <c r="B1707" s="436" t="s">
        <v>32128</v>
      </c>
      <c r="C1707" s="437" t="s">
        <v>165</v>
      </c>
      <c r="D1707" s="438">
        <v>58.09</v>
      </c>
    </row>
    <row r="1708" spans="1:4">
      <c r="A1708" s="435">
        <v>70827</v>
      </c>
      <c r="B1708" s="436" t="s">
        <v>32129</v>
      </c>
      <c r="C1708" s="437" t="s">
        <v>165</v>
      </c>
      <c r="D1708" s="438">
        <v>81.59</v>
      </c>
    </row>
    <row r="1709" spans="1:4">
      <c r="A1709" s="435">
        <v>70828</v>
      </c>
      <c r="B1709" s="436" t="s">
        <v>32130</v>
      </c>
      <c r="C1709" s="437" t="s">
        <v>165</v>
      </c>
      <c r="D1709" s="438">
        <v>96.05</v>
      </c>
    </row>
    <row r="1710" spans="1:4">
      <c r="A1710" s="435">
        <v>70830</v>
      </c>
      <c r="B1710" s="436" t="s">
        <v>32131</v>
      </c>
      <c r="C1710" s="437" t="s">
        <v>165</v>
      </c>
      <c r="D1710" s="438">
        <v>140.66999999999999</v>
      </c>
    </row>
    <row r="1711" spans="1:4">
      <c r="A1711" s="431">
        <v>71200</v>
      </c>
      <c r="B1711" s="432" t="s">
        <v>32132</v>
      </c>
      <c r="C1711" s="433"/>
      <c r="D1711" s="434" t="s">
        <v>30434</v>
      </c>
    </row>
    <row r="1712" spans="1:4">
      <c r="A1712" s="435">
        <v>71201</v>
      </c>
      <c r="B1712" s="436" t="s">
        <v>32133</v>
      </c>
      <c r="C1712" s="437" t="s">
        <v>30445</v>
      </c>
      <c r="D1712" s="438">
        <v>4.13</v>
      </c>
    </row>
    <row r="1713" spans="1:4">
      <c r="A1713" s="435">
        <v>71202</v>
      </c>
      <c r="B1713" s="436" t="s">
        <v>32134</v>
      </c>
      <c r="C1713" s="437" t="s">
        <v>30445</v>
      </c>
      <c r="D1713" s="438">
        <v>5.88</v>
      </c>
    </row>
    <row r="1714" spans="1:4">
      <c r="A1714" s="435">
        <v>71203</v>
      </c>
      <c r="B1714" s="436" t="s">
        <v>32135</v>
      </c>
      <c r="C1714" s="437" t="s">
        <v>30445</v>
      </c>
      <c r="D1714" s="438">
        <v>6.84</v>
      </c>
    </row>
    <row r="1715" spans="1:4">
      <c r="A1715" s="435">
        <v>71204</v>
      </c>
      <c r="B1715" s="436" t="s">
        <v>32136</v>
      </c>
      <c r="C1715" s="437" t="s">
        <v>30445</v>
      </c>
      <c r="D1715" s="438">
        <v>10.57</v>
      </c>
    </row>
    <row r="1716" spans="1:4">
      <c r="A1716" s="435">
        <v>71221</v>
      </c>
      <c r="B1716" s="436" t="s">
        <v>32137</v>
      </c>
      <c r="C1716" s="437" t="s">
        <v>30445</v>
      </c>
      <c r="D1716" s="438">
        <v>181.44</v>
      </c>
    </row>
    <row r="1717" spans="1:4">
      <c r="A1717" s="435">
        <v>71222</v>
      </c>
      <c r="B1717" s="436" t="s">
        <v>32138</v>
      </c>
      <c r="C1717" s="437" t="s">
        <v>30445</v>
      </c>
      <c r="D1717" s="438">
        <v>189.67</v>
      </c>
    </row>
    <row r="1718" spans="1:4">
      <c r="A1718" s="435">
        <v>71223</v>
      </c>
      <c r="B1718" s="436" t="s">
        <v>32139</v>
      </c>
      <c r="C1718" s="437" t="s">
        <v>30445</v>
      </c>
      <c r="D1718" s="438">
        <v>192.34</v>
      </c>
    </row>
    <row r="1719" spans="1:4">
      <c r="A1719" s="435">
        <v>71224</v>
      </c>
      <c r="B1719" s="436" t="s">
        <v>32140</v>
      </c>
      <c r="C1719" s="437" t="s">
        <v>30445</v>
      </c>
      <c r="D1719" s="438">
        <v>244.34</v>
      </c>
    </row>
    <row r="1720" spans="1:4">
      <c r="A1720" s="435">
        <v>71231</v>
      </c>
      <c r="B1720" s="436" t="s">
        <v>32141</v>
      </c>
      <c r="C1720" s="437" t="s">
        <v>165</v>
      </c>
      <c r="D1720" s="438">
        <v>160.24</v>
      </c>
    </row>
    <row r="1721" spans="1:4">
      <c r="A1721" s="435">
        <v>71232</v>
      </c>
      <c r="B1721" s="436" t="s">
        <v>32142</v>
      </c>
      <c r="C1721" s="437" t="s">
        <v>165</v>
      </c>
      <c r="D1721" s="438">
        <v>203.54</v>
      </c>
    </row>
    <row r="1722" spans="1:4">
      <c r="A1722" s="435">
        <v>71233</v>
      </c>
      <c r="B1722" s="436" t="s">
        <v>32143</v>
      </c>
      <c r="C1722" s="437" t="s">
        <v>165</v>
      </c>
      <c r="D1722" s="438">
        <v>235.36</v>
      </c>
    </row>
    <row r="1723" spans="1:4">
      <c r="A1723" s="435">
        <v>71234</v>
      </c>
      <c r="B1723" s="436" t="s">
        <v>32144</v>
      </c>
      <c r="C1723" s="437" t="s">
        <v>165</v>
      </c>
      <c r="D1723" s="438">
        <v>344.39</v>
      </c>
    </row>
    <row r="1724" spans="1:4">
      <c r="A1724" s="431">
        <v>72000</v>
      </c>
      <c r="B1724" s="432" t="s">
        <v>32145</v>
      </c>
      <c r="C1724" s="433"/>
      <c r="D1724" s="434" t="s">
        <v>30434</v>
      </c>
    </row>
    <row r="1725" spans="1:4">
      <c r="A1725" s="435">
        <v>72008</v>
      </c>
      <c r="B1725" s="436" t="s">
        <v>32146</v>
      </c>
      <c r="C1725" s="437" t="s">
        <v>30445</v>
      </c>
      <c r="D1725" s="438">
        <v>140.05000000000001</v>
      </c>
    </row>
    <row r="1726" spans="1:4">
      <c r="A1726" s="435">
        <v>72009</v>
      </c>
      <c r="B1726" s="436" t="s">
        <v>32147</v>
      </c>
      <c r="C1726" s="437" t="s">
        <v>165</v>
      </c>
      <c r="D1726" s="438">
        <v>39.43</v>
      </c>
    </row>
    <row r="1727" spans="1:4">
      <c r="A1727" s="435">
        <v>72010</v>
      </c>
      <c r="B1727" s="436" t="s">
        <v>32148</v>
      </c>
      <c r="C1727" s="437" t="s">
        <v>165</v>
      </c>
      <c r="D1727" s="438">
        <v>23.28</v>
      </c>
    </row>
    <row r="1728" spans="1:4">
      <c r="A1728" s="435">
        <v>72011</v>
      </c>
      <c r="B1728" s="436" t="s">
        <v>32149</v>
      </c>
      <c r="C1728" s="437" t="s">
        <v>165</v>
      </c>
      <c r="D1728" s="438">
        <v>20.72</v>
      </c>
    </row>
    <row r="1729" spans="1:4">
      <c r="A1729" s="435">
        <v>72020</v>
      </c>
      <c r="B1729" s="436" t="s">
        <v>32150</v>
      </c>
      <c r="C1729" s="437" t="s">
        <v>30445</v>
      </c>
      <c r="D1729" s="438">
        <v>18.5</v>
      </c>
    </row>
    <row r="1730" spans="1:4">
      <c r="A1730" s="431">
        <v>72400</v>
      </c>
      <c r="B1730" s="432" t="s">
        <v>32151</v>
      </c>
      <c r="C1730" s="433"/>
      <c r="D1730" s="434" t="s">
        <v>30434</v>
      </c>
    </row>
    <row r="1731" spans="1:4">
      <c r="A1731" s="435">
        <v>72401</v>
      </c>
      <c r="B1731" s="436" t="s">
        <v>32152</v>
      </c>
      <c r="C1731" s="437" t="s">
        <v>30445</v>
      </c>
      <c r="D1731" s="438">
        <v>1.54</v>
      </c>
    </row>
    <row r="1732" spans="1:4">
      <c r="A1732" s="435">
        <v>72402</v>
      </c>
      <c r="B1732" s="436" t="s">
        <v>32153</v>
      </c>
      <c r="C1732" s="437" t="s">
        <v>30445</v>
      </c>
      <c r="D1732" s="438">
        <v>1.66</v>
      </c>
    </row>
    <row r="1733" spans="1:4">
      <c r="A1733" s="435">
        <v>72403</v>
      </c>
      <c r="B1733" s="436" t="s">
        <v>32154</v>
      </c>
      <c r="C1733" s="437" t="s">
        <v>30445</v>
      </c>
      <c r="D1733" s="438">
        <v>2.48</v>
      </c>
    </row>
    <row r="1734" spans="1:4">
      <c r="A1734" s="435">
        <v>72404</v>
      </c>
      <c r="B1734" s="436" t="s">
        <v>32155</v>
      </c>
      <c r="C1734" s="437" t="s">
        <v>30445</v>
      </c>
      <c r="D1734" s="438">
        <v>2.86</v>
      </c>
    </row>
    <row r="1735" spans="1:4">
      <c r="A1735" s="435">
        <v>72405</v>
      </c>
      <c r="B1735" s="436" t="s">
        <v>32156</v>
      </c>
      <c r="C1735" s="437" t="s">
        <v>30445</v>
      </c>
      <c r="D1735" s="438">
        <v>12.14</v>
      </c>
    </row>
    <row r="1736" spans="1:4">
      <c r="A1736" s="435">
        <v>72406</v>
      </c>
      <c r="B1736" s="436" t="s">
        <v>32157</v>
      </c>
      <c r="C1736" s="437" t="s">
        <v>30445</v>
      </c>
      <c r="D1736" s="438">
        <v>16.489999999999998</v>
      </c>
    </row>
    <row r="1737" spans="1:4">
      <c r="A1737" s="435">
        <v>72411</v>
      </c>
      <c r="B1737" s="436" t="s">
        <v>32158</v>
      </c>
      <c r="C1737" s="437" t="s">
        <v>165</v>
      </c>
      <c r="D1737" s="438">
        <v>3.83</v>
      </c>
    </row>
    <row r="1738" spans="1:4">
      <c r="A1738" s="435">
        <v>72412</v>
      </c>
      <c r="B1738" s="436" t="s">
        <v>32159</v>
      </c>
      <c r="C1738" s="437" t="s">
        <v>165</v>
      </c>
      <c r="D1738" s="438">
        <v>8.8000000000000007</v>
      </c>
    </row>
    <row r="1739" spans="1:4">
      <c r="A1739" s="435">
        <v>72413</v>
      </c>
      <c r="B1739" s="436" t="s">
        <v>32160</v>
      </c>
      <c r="C1739" s="437" t="s">
        <v>165</v>
      </c>
      <c r="D1739" s="438">
        <v>14.58</v>
      </c>
    </row>
    <row r="1740" spans="1:4">
      <c r="A1740" s="435">
        <v>72414</v>
      </c>
      <c r="B1740" s="436" t="s">
        <v>32161</v>
      </c>
      <c r="C1740" s="437" t="s">
        <v>165</v>
      </c>
      <c r="D1740" s="438">
        <v>14.46</v>
      </c>
    </row>
    <row r="1741" spans="1:4">
      <c r="A1741" s="435">
        <v>72415</v>
      </c>
      <c r="B1741" s="436" t="s">
        <v>32162</v>
      </c>
      <c r="C1741" s="437" t="s">
        <v>165</v>
      </c>
      <c r="D1741" s="438">
        <v>29.51</v>
      </c>
    </row>
    <row r="1742" spans="1:4">
      <c r="A1742" s="435">
        <v>72416</v>
      </c>
      <c r="B1742" s="436" t="s">
        <v>32163</v>
      </c>
      <c r="C1742" s="437" t="s">
        <v>165</v>
      </c>
      <c r="D1742" s="438">
        <v>44.16</v>
      </c>
    </row>
    <row r="1743" spans="1:4">
      <c r="A1743" s="435">
        <v>72417</v>
      </c>
      <c r="B1743" s="436" t="s">
        <v>32164</v>
      </c>
      <c r="C1743" s="437" t="s">
        <v>165</v>
      </c>
      <c r="D1743" s="438">
        <v>57.65</v>
      </c>
    </row>
    <row r="1744" spans="1:4">
      <c r="A1744" s="435">
        <v>72418</v>
      </c>
      <c r="B1744" s="436" t="s">
        <v>32165</v>
      </c>
      <c r="C1744" s="437" t="s">
        <v>165</v>
      </c>
      <c r="D1744" s="438">
        <v>90.84</v>
      </c>
    </row>
    <row r="1745" spans="1:4">
      <c r="A1745" s="435">
        <v>72430</v>
      </c>
      <c r="B1745" s="436" t="s">
        <v>32166</v>
      </c>
      <c r="C1745" s="437" t="s">
        <v>165</v>
      </c>
      <c r="D1745" s="438">
        <v>6.43</v>
      </c>
    </row>
    <row r="1746" spans="1:4">
      <c r="A1746" s="435">
        <v>72431</v>
      </c>
      <c r="B1746" s="436" t="s">
        <v>32167</v>
      </c>
      <c r="C1746" s="437" t="s">
        <v>165</v>
      </c>
      <c r="D1746" s="438">
        <v>9.7899999999999991</v>
      </c>
    </row>
    <row r="1747" spans="1:4">
      <c r="A1747" s="435">
        <v>72432</v>
      </c>
      <c r="B1747" s="436" t="s">
        <v>32168</v>
      </c>
      <c r="C1747" s="437" t="s">
        <v>165</v>
      </c>
      <c r="D1747" s="438">
        <v>15.82</v>
      </c>
    </row>
    <row r="1748" spans="1:4">
      <c r="A1748" s="435">
        <v>72433</v>
      </c>
      <c r="B1748" s="436" t="s">
        <v>32169</v>
      </c>
      <c r="C1748" s="437" t="s">
        <v>165</v>
      </c>
      <c r="D1748" s="438">
        <v>14.77</v>
      </c>
    </row>
    <row r="1749" spans="1:4">
      <c r="A1749" s="435">
        <v>72434</v>
      </c>
      <c r="B1749" s="436" t="s">
        <v>32170</v>
      </c>
      <c r="C1749" s="437" t="s">
        <v>165</v>
      </c>
      <c r="D1749" s="438">
        <v>34.950000000000003</v>
      </c>
    </row>
    <row r="1750" spans="1:4">
      <c r="A1750" s="435">
        <v>72435</v>
      </c>
      <c r="B1750" s="436" t="s">
        <v>32171</v>
      </c>
      <c r="C1750" s="437" t="s">
        <v>165</v>
      </c>
      <c r="D1750" s="438">
        <v>89.93</v>
      </c>
    </row>
    <row r="1751" spans="1:4">
      <c r="A1751" s="435">
        <v>72442</v>
      </c>
      <c r="B1751" s="436" t="s">
        <v>32172</v>
      </c>
      <c r="C1751" s="437" t="s">
        <v>165</v>
      </c>
      <c r="D1751" s="438">
        <v>71.08</v>
      </c>
    </row>
    <row r="1752" spans="1:4">
      <c r="A1752" s="435">
        <v>72444</v>
      </c>
      <c r="B1752" s="436" t="s">
        <v>32173</v>
      </c>
      <c r="C1752" s="437" t="s">
        <v>165</v>
      </c>
      <c r="D1752" s="438">
        <v>94.07</v>
      </c>
    </row>
    <row r="1753" spans="1:4" ht="25">
      <c r="A1753" s="435">
        <v>72445</v>
      </c>
      <c r="B1753" s="436" t="s">
        <v>32174</v>
      </c>
      <c r="C1753" s="437" t="s">
        <v>165</v>
      </c>
      <c r="D1753" s="438">
        <v>7.3</v>
      </c>
    </row>
    <row r="1754" spans="1:4" ht="25">
      <c r="A1754" s="435">
        <v>72446</v>
      </c>
      <c r="B1754" s="436" t="s">
        <v>32175</v>
      </c>
      <c r="C1754" s="437" t="s">
        <v>165</v>
      </c>
      <c r="D1754" s="438">
        <v>8.08</v>
      </c>
    </row>
    <row r="1755" spans="1:4" ht="25">
      <c r="A1755" s="435">
        <v>72447</v>
      </c>
      <c r="B1755" s="436" t="s">
        <v>32176</v>
      </c>
      <c r="C1755" s="437" t="s">
        <v>165</v>
      </c>
      <c r="D1755" s="438">
        <v>10.73</v>
      </c>
    </row>
    <row r="1756" spans="1:4" ht="25">
      <c r="A1756" s="435">
        <v>72448</v>
      </c>
      <c r="B1756" s="436" t="s">
        <v>32177</v>
      </c>
      <c r="C1756" s="437" t="s">
        <v>165</v>
      </c>
      <c r="D1756" s="438">
        <v>23.48</v>
      </c>
    </row>
    <row r="1757" spans="1:4">
      <c r="A1757" s="431">
        <v>72800</v>
      </c>
      <c r="B1757" s="432" t="s">
        <v>32178</v>
      </c>
      <c r="C1757" s="433"/>
      <c r="D1757" s="434" t="s">
        <v>30434</v>
      </c>
    </row>
    <row r="1758" spans="1:4">
      <c r="A1758" s="435">
        <v>72821</v>
      </c>
      <c r="B1758" s="436" t="s">
        <v>32179</v>
      </c>
      <c r="C1758" s="437" t="s">
        <v>165</v>
      </c>
      <c r="D1758" s="438">
        <v>29.08</v>
      </c>
    </row>
    <row r="1759" spans="1:4">
      <c r="A1759" s="435">
        <v>72822</v>
      </c>
      <c r="B1759" s="436" t="s">
        <v>32180</v>
      </c>
      <c r="C1759" s="437" t="s">
        <v>165</v>
      </c>
      <c r="D1759" s="438">
        <v>47.57</v>
      </c>
    </row>
    <row r="1760" spans="1:4">
      <c r="A1760" s="435">
        <v>72823</v>
      </c>
      <c r="B1760" s="436" t="s">
        <v>32181</v>
      </c>
      <c r="C1760" s="437" t="s">
        <v>165</v>
      </c>
      <c r="D1760" s="438">
        <v>57.97</v>
      </c>
    </row>
    <row r="1761" spans="1:4">
      <c r="A1761" s="435">
        <v>72824</v>
      </c>
      <c r="B1761" s="436" t="s">
        <v>32182</v>
      </c>
      <c r="C1761" s="437" t="s">
        <v>165</v>
      </c>
      <c r="D1761" s="438">
        <v>105.34</v>
      </c>
    </row>
    <row r="1762" spans="1:4">
      <c r="A1762" s="435">
        <v>72825</v>
      </c>
      <c r="B1762" s="436" t="s">
        <v>32183</v>
      </c>
      <c r="C1762" s="437" t="s">
        <v>165</v>
      </c>
      <c r="D1762" s="438">
        <v>154.06</v>
      </c>
    </row>
    <row r="1763" spans="1:4">
      <c r="A1763" s="435">
        <v>72826</v>
      </c>
      <c r="B1763" s="436" t="s">
        <v>32184</v>
      </c>
      <c r="C1763" s="437" t="s">
        <v>165</v>
      </c>
      <c r="D1763" s="438">
        <v>40.380000000000003</v>
      </c>
    </row>
    <row r="1764" spans="1:4">
      <c r="A1764" s="435">
        <v>72827</v>
      </c>
      <c r="B1764" s="436" t="s">
        <v>32185</v>
      </c>
      <c r="C1764" s="437" t="s">
        <v>165</v>
      </c>
      <c r="D1764" s="438">
        <v>65.12</v>
      </c>
    </row>
    <row r="1765" spans="1:4">
      <c r="A1765" s="435">
        <v>72828</v>
      </c>
      <c r="B1765" s="436" t="s">
        <v>32186</v>
      </c>
      <c r="C1765" s="437" t="s">
        <v>165</v>
      </c>
      <c r="D1765" s="438">
        <v>84.54</v>
      </c>
    </row>
    <row r="1766" spans="1:4">
      <c r="A1766" s="435">
        <v>72829</v>
      </c>
      <c r="B1766" s="436" t="s">
        <v>32187</v>
      </c>
      <c r="C1766" s="437" t="s">
        <v>165</v>
      </c>
      <c r="D1766" s="438">
        <v>140.65</v>
      </c>
    </row>
    <row r="1767" spans="1:4">
      <c r="A1767" s="435">
        <v>72830</v>
      </c>
      <c r="B1767" s="436" t="s">
        <v>32188</v>
      </c>
      <c r="C1767" s="437" t="s">
        <v>165</v>
      </c>
      <c r="D1767" s="438">
        <v>178.09</v>
      </c>
    </row>
    <row r="1768" spans="1:4">
      <c r="A1768" s="431">
        <v>73200</v>
      </c>
      <c r="B1768" s="432" t="s">
        <v>32189</v>
      </c>
      <c r="C1768" s="433"/>
      <c r="D1768" s="434" t="s">
        <v>30434</v>
      </c>
    </row>
    <row r="1769" spans="1:4">
      <c r="A1769" s="435">
        <v>73202</v>
      </c>
      <c r="B1769" s="436" t="s">
        <v>32190</v>
      </c>
      <c r="C1769" s="437" t="s">
        <v>165</v>
      </c>
      <c r="D1769" s="438">
        <v>19.09</v>
      </c>
    </row>
    <row r="1770" spans="1:4">
      <c r="A1770" s="435">
        <v>73203</v>
      </c>
      <c r="B1770" s="436" t="s">
        <v>32191</v>
      </c>
      <c r="C1770" s="437" t="s">
        <v>165</v>
      </c>
      <c r="D1770" s="438">
        <v>27.76</v>
      </c>
    </row>
    <row r="1771" spans="1:4">
      <c r="A1771" s="435">
        <v>73204</v>
      </c>
      <c r="B1771" s="436" t="s">
        <v>32192</v>
      </c>
      <c r="C1771" s="437" t="s">
        <v>165</v>
      </c>
      <c r="D1771" s="438">
        <v>33.880000000000003</v>
      </c>
    </row>
    <row r="1772" spans="1:4">
      <c r="A1772" s="435">
        <v>73205</v>
      </c>
      <c r="B1772" s="436" t="s">
        <v>32193</v>
      </c>
      <c r="C1772" s="437" t="s">
        <v>165</v>
      </c>
      <c r="D1772" s="438">
        <v>43.16</v>
      </c>
    </row>
    <row r="1773" spans="1:4">
      <c r="A1773" s="435">
        <v>73612</v>
      </c>
      <c r="B1773" s="436" t="s">
        <v>32194</v>
      </c>
      <c r="C1773" s="437" t="s">
        <v>165</v>
      </c>
      <c r="D1773" s="438">
        <v>5.67</v>
      </c>
    </row>
    <row r="1774" spans="1:4">
      <c r="A1774" s="431">
        <v>73700</v>
      </c>
      <c r="B1774" s="432" t="s">
        <v>30794</v>
      </c>
      <c r="C1774" s="433"/>
      <c r="D1774" s="434" t="s">
        <v>30434</v>
      </c>
    </row>
    <row r="1775" spans="1:4">
      <c r="A1775" s="435">
        <v>73701</v>
      </c>
      <c r="B1775" s="436" t="s">
        <v>32195</v>
      </c>
      <c r="C1775" s="437" t="s">
        <v>30445</v>
      </c>
      <c r="D1775" s="438">
        <v>14.09</v>
      </c>
    </row>
    <row r="1776" spans="1:4">
      <c r="A1776" s="435">
        <v>73730</v>
      </c>
      <c r="B1776" s="436" t="s">
        <v>32196</v>
      </c>
      <c r="C1776" s="437" t="s">
        <v>30445</v>
      </c>
      <c r="D1776" s="438">
        <v>14.89</v>
      </c>
    </row>
    <row r="1777" spans="1:4">
      <c r="A1777" s="435">
        <v>73740</v>
      </c>
      <c r="B1777" s="436" t="s">
        <v>32197</v>
      </c>
      <c r="C1777" s="437" t="s">
        <v>30445</v>
      </c>
      <c r="D1777" s="438">
        <v>30.73</v>
      </c>
    </row>
    <row r="1778" spans="1:4">
      <c r="A1778" s="435">
        <v>73801</v>
      </c>
      <c r="B1778" s="436" t="s">
        <v>32198</v>
      </c>
      <c r="C1778" s="437" t="s">
        <v>165</v>
      </c>
      <c r="D1778" s="438">
        <v>55.2</v>
      </c>
    </row>
    <row r="1779" spans="1:4">
      <c r="A1779" s="435">
        <v>73802</v>
      </c>
      <c r="B1779" s="436" t="s">
        <v>32199</v>
      </c>
      <c r="C1779" s="437" t="s">
        <v>165</v>
      </c>
      <c r="D1779" s="438">
        <v>72.62</v>
      </c>
    </row>
    <row r="1780" spans="1:4">
      <c r="A1780" s="435">
        <v>73804</v>
      </c>
      <c r="B1780" s="436" t="s">
        <v>32200</v>
      </c>
      <c r="C1780" s="437" t="s">
        <v>165</v>
      </c>
      <c r="D1780" s="438">
        <v>84.32</v>
      </c>
    </row>
    <row r="1781" spans="1:4">
      <c r="A1781" s="431">
        <v>74400</v>
      </c>
      <c r="B1781" s="432" t="s">
        <v>32201</v>
      </c>
      <c r="C1781" s="433"/>
      <c r="D1781" s="434" t="s">
        <v>30434</v>
      </c>
    </row>
    <row r="1782" spans="1:4">
      <c r="A1782" s="435">
        <v>74402</v>
      </c>
      <c r="B1782" s="436" t="s">
        <v>32202</v>
      </c>
      <c r="C1782" s="437" t="s">
        <v>30445</v>
      </c>
      <c r="D1782" s="438">
        <v>57.89</v>
      </c>
    </row>
    <row r="1783" spans="1:4">
      <c r="A1783" s="435">
        <v>74403</v>
      </c>
      <c r="B1783" s="436" t="s">
        <v>32203</v>
      </c>
      <c r="C1783" s="437" t="s">
        <v>30445</v>
      </c>
      <c r="D1783" s="438">
        <v>74.260000000000005</v>
      </c>
    </row>
    <row r="1784" spans="1:4">
      <c r="A1784" s="435">
        <v>74404</v>
      </c>
      <c r="B1784" s="436" t="s">
        <v>32204</v>
      </c>
      <c r="C1784" s="437" t="s">
        <v>30445</v>
      </c>
      <c r="D1784" s="438">
        <v>90.3</v>
      </c>
    </row>
    <row r="1785" spans="1:4">
      <c r="A1785" s="435">
        <v>74405</v>
      </c>
      <c r="B1785" s="436" t="s">
        <v>32205</v>
      </c>
      <c r="C1785" s="437" t="s">
        <v>30445</v>
      </c>
      <c r="D1785" s="438">
        <v>111.83</v>
      </c>
    </row>
    <row r="1786" spans="1:4">
      <c r="A1786" s="435">
        <v>74406</v>
      </c>
      <c r="B1786" s="436" t="s">
        <v>32206</v>
      </c>
      <c r="C1786" s="437" t="s">
        <v>30445</v>
      </c>
      <c r="D1786" s="438">
        <v>152.16999999999999</v>
      </c>
    </row>
    <row r="1787" spans="1:4">
      <c r="A1787" s="435">
        <v>74407</v>
      </c>
      <c r="B1787" s="436" t="s">
        <v>32207</v>
      </c>
      <c r="C1787" s="437" t="s">
        <v>30445</v>
      </c>
      <c r="D1787" s="438">
        <v>368.99</v>
      </c>
    </row>
    <row r="1788" spans="1:4">
      <c r="A1788" s="435">
        <v>74408</v>
      </c>
      <c r="B1788" s="436" t="s">
        <v>32208</v>
      </c>
      <c r="C1788" s="437" t="s">
        <v>30445</v>
      </c>
      <c r="D1788" s="438">
        <v>619.4</v>
      </c>
    </row>
    <row r="1789" spans="1:4">
      <c r="A1789" s="435">
        <v>74410</v>
      </c>
      <c r="B1789" s="436" t="s">
        <v>32209</v>
      </c>
      <c r="C1789" s="437" t="s">
        <v>30445</v>
      </c>
      <c r="D1789" s="438">
        <v>1035.3900000000001</v>
      </c>
    </row>
    <row r="1790" spans="1:4">
      <c r="A1790" s="435">
        <v>74422</v>
      </c>
      <c r="B1790" s="436" t="s">
        <v>32210</v>
      </c>
      <c r="C1790" s="437" t="s">
        <v>30445</v>
      </c>
      <c r="D1790" s="438">
        <v>81.459999999999994</v>
      </c>
    </row>
    <row r="1791" spans="1:4">
      <c r="A1791" s="435">
        <v>74423</v>
      </c>
      <c r="B1791" s="436" t="s">
        <v>32211</v>
      </c>
      <c r="C1791" s="437" t="s">
        <v>30445</v>
      </c>
      <c r="D1791" s="438">
        <v>114.63</v>
      </c>
    </row>
    <row r="1792" spans="1:4">
      <c r="A1792" s="435">
        <v>74424</v>
      </c>
      <c r="B1792" s="436" t="s">
        <v>32212</v>
      </c>
      <c r="C1792" s="437" t="s">
        <v>30445</v>
      </c>
      <c r="D1792" s="438">
        <v>121.16</v>
      </c>
    </row>
    <row r="1793" spans="1:4">
      <c r="A1793" s="435">
        <v>74425</v>
      </c>
      <c r="B1793" s="436" t="s">
        <v>32213</v>
      </c>
      <c r="C1793" s="437" t="s">
        <v>30445</v>
      </c>
      <c r="D1793" s="438">
        <v>172.54</v>
      </c>
    </row>
    <row r="1794" spans="1:4">
      <c r="A1794" s="435">
        <v>74431</v>
      </c>
      <c r="B1794" s="436" t="s">
        <v>32214</v>
      </c>
      <c r="C1794" s="437" t="s">
        <v>30445</v>
      </c>
      <c r="D1794" s="438">
        <v>72.77</v>
      </c>
    </row>
    <row r="1795" spans="1:4">
      <c r="A1795" s="435">
        <v>74432</v>
      </c>
      <c r="B1795" s="436" t="s">
        <v>32215</v>
      </c>
      <c r="C1795" s="437" t="s">
        <v>30445</v>
      </c>
      <c r="D1795" s="438">
        <v>73.290000000000006</v>
      </c>
    </row>
    <row r="1796" spans="1:4">
      <c r="A1796" s="435">
        <v>74442</v>
      </c>
      <c r="B1796" s="436" t="s">
        <v>32216</v>
      </c>
      <c r="C1796" s="437" t="s">
        <v>30445</v>
      </c>
      <c r="D1796" s="438">
        <v>89.26</v>
      </c>
    </row>
    <row r="1797" spans="1:4" ht="25">
      <c r="A1797" s="435">
        <v>74457</v>
      </c>
      <c r="B1797" s="436" t="s">
        <v>32217</v>
      </c>
      <c r="C1797" s="437" t="s">
        <v>30445</v>
      </c>
      <c r="D1797" s="438">
        <v>431.1</v>
      </c>
    </row>
    <row r="1798" spans="1:4">
      <c r="A1798" s="435">
        <v>74460</v>
      </c>
      <c r="B1798" s="436" t="s">
        <v>32218</v>
      </c>
      <c r="C1798" s="437" t="s">
        <v>30445</v>
      </c>
      <c r="D1798" s="438">
        <v>71.25</v>
      </c>
    </row>
    <row r="1799" spans="1:4">
      <c r="A1799" s="435">
        <v>74465</v>
      </c>
      <c r="B1799" s="436" t="s">
        <v>32219</v>
      </c>
      <c r="C1799" s="437" t="s">
        <v>30445</v>
      </c>
      <c r="D1799" s="438">
        <v>85.43</v>
      </c>
    </row>
    <row r="1800" spans="1:4">
      <c r="A1800" s="431">
        <v>74800</v>
      </c>
      <c r="B1800" s="432" t="s">
        <v>32220</v>
      </c>
      <c r="C1800" s="433"/>
      <c r="D1800" s="434" t="s">
        <v>30434</v>
      </c>
    </row>
    <row r="1801" spans="1:4">
      <c r="A1801" s="435">
        <v>74801</v>
      </c>
      <c r="B1801" s="436" t="s">
        <v>32221</v>
      </c>
      <c r="C1801" s="437" t="s">
        <v>30445</v>
      </c>
      <c r="D1801" s="438">
        <v>2190.73</v>
      </c>
    </row>
    <row r="1802" spans="1:4">
      <c r="A1802" s="435">
        <v>74802</v>
      </c>
      <c r="B1802" s="436" t="s">
        <v>32222</v>
      </c>
      <c r="C1802" s="437" t="s">
        <v>30445</v>
      </c>
      <c r="D1802" s="438">
        <v>541.61</v>
      </c>
    </row>
    <row r="1803" spans="1:4">
      <c r="A1803" s="435">
        <v>74810</v>
      </c>
      <c r="B1803" s="436" t="s">
        <v>32223</v>
      </c>
      <c r="C1803" s="437" t="s">
        <v>30445</v>
      </c>
      <c r="D1803" s="438">
        <v>63.29</v>
      </c>
    </row>
    <row r="1804" spans="1:4">
      <c r="A1804" s="435">
        <v>74820</v>
      </c>
      <c r="B1804" s="436" t="s">
        <v>32224</v>
      </c>
      <c r="C1804" s="437" t="s">
        <v>30445</v>
      </c>
      <c r="D1804" s="438">
        <v>71.34</v>
      </c>
    </row>
    <row r="1805" spans="1:4">
      <c r="A1805" s="435">
        <v>74825</v>
      </c>
      <c r="B1805" s="436" t="s">
        <v>32225</v>
      </c>
      <c r="C1805" s="437" t="s">
        <v>30445</v>
      </c>
      <c r="D1805" s="438">
        <v>28.2</v>
      </c>
    </row>
    <row r="1806" spans="1:4">
      <c r="A1806" s="435">
        <v>74837</v>
      </c>
      <c r="B1806" s="436" t="s">
        <v>32226</v>
      </c>
      <c r="C1806" s="437" t="s">
        <v>30445</v>
      </c>
      <c r="D1806" s="438">
        <v>323.83</v>
      </c>
    </row>
    <row r="1807" spans="1:4">
      <c r="A1807" s="435">
        <v>74842</v>
      </c>
      <c r="B1807" s="436" t="s">
        <v>32227</v>
      </c>
      <c r="C1807" s="437" t="s">
        <v>30445</v>
      </c>
      <c r="D1807" s="438">
        <v>212.02</v>
      </c>
    </row>
    <row r="1808" spans="1:4">
      <c r="A1808" s="435">
        <v>74863</v>
      </c>
      <c r="B1808" s="436" t="s">
        <v>32228</v>
      </c>
      <c r="C1808" s="437" t="s">
        <v>30445</v>
      </c>
      <c r="D1808" s="438">
        <v>139.87</v>
      </c>
    </row>
    <row r="1809" spans="1:4">
      <c r="A1809" s="435">
        <v>74865</v>
      </c>
      <c r="B1809" s="436" t="s">
        <v>32229</v>
      </c>
      <c r="C1809" s="437" t="s">
        <v>30445</v>
      </c>
      <c r="D1809" s="438">
        <v>230.32</v>
      </c>
    </row>
    <row r="1810" spans="1:4">
      <c r="A1810" s="435">
        <v>74866</v>
      </c>
      <c r="B1810" s="436" t="s">
        <v>32230</v>
      </c>
      <c r="C1810" s="437" t="s">
        <v>30445</v>
      </c>
      <c r="D1810" s="438">
        <v>333.84</v>
      </c>
    </row>
    <row r="1811" spans="1:4">
      <c r="A1811" s="435">
        <v>74867</v>
      </c>
      <c r="B1811" s="436" t="s">
        <v>32231</v>
      </c>
      <c r="C1811" s="437" t="s">
        <v>30445</v>
      </c>
      <c r="D1811" s="438">
        <v>586.45000000000005</v>
      </c>
    </row>
    <row r="1812" spans="1:4">
      <c r="A1812" s="435">
        <v>74868</v>
      </c>
      <c r="B1812" s="436" t="s">
        <v>32232</v>
      </c>
      <c r="C1812" s="437" t="s">
        <v>30445</v>
      </c>
      <c r="D1812" s="438">
        <v>710.05</v>
      </c>
    </row>
    <row r="1813" spans="1:4">
      <c r="A1813" s="435">
        <v>74870</v>
      </c>
      <c r="B1813" s="436" t="s">
        <v>32233</v>
      </c>
      <c r="C1813" s="437" t="s">
        <v>30445</v>
      </c>
      <c r="D1813" s="438">
        <v>1222.1099999999999</v>
      </c>
    </row>
    <row r="1814" spans="1:4">
      <c r="A1814" s="435">
        <v>74883</v>
      </c>
      <c r="B1814" s="436" t="s">
        <v>32234</v>
      </c>
      <c r="C1814" s="437" t="s">
        <v>30445</v>
      </c>
      <c r="D1814" s="438">
        <v>84.41</v>
      </c>
    </row>
    <row r="1815" spans="1:4">
      <c r="A1815" s="435">
        <v>74884</v>
      </c>
      <c r="B1815" s="436" t="s">
        <v>32235</v>
      </c>
      <c r="C1815" s="437" t="s">
        <v>30445</v>
      </c>
      <c r="D1815" s="438">
        <v>142.94</v>
      </c>
    </row>
    <row r="1816" spans="1:4">
      <c r="A1816" s="435">
        <v>74885</v>
      </c>
      <c r="B1816" s="436" t="s">
        <v>32236</v>
      </c>
      <c r="C1816" s="437" t="s">
        <v>30445</v>
      </c>
      <c r="D1816" s="438">
        <v>158.15</v>
      </c>
    </row>
    <row r="1817" spans="1:4">
      <c r="A1817" s="435">
        <v>74886</v>
      </c>
      <c r="B1817" s="436" t="s">
        <v>32237</v>
      </c>
      <c r="C1817" s="437" t="s">
        <v>30445</v>
      </c>
      <c r="D1817" s="438">
        <v>223.63</v>
      </c>
    </row>
    <row r="1818" spans="1:4">
      <c r="A1818" s="435">
        <v>74887</v>
      </c>
      <c r="B1818" s="436" t="s">
        <v>32238</v>
      </c>
      <c r="C1818" s="437" t="s">
        <v>30445</v>
      </c>
      <c r="D1818" s="438">
        <v>392.56</v>
      </c>
    </row>
    <row r="1819" spans="1:4">
      <c r="A1819" s="435">
        <v>74888</v>
      </c>
      <c r="B1819" s="436" t="s">
        <v>32239</v>
      </c>
      <c r="C1819" s="437" t="s">
        <v>30445</v>
      </c>
      <c r="D1819" s="438">
        <v>532.64</v>
      </c>
    </row>
    <row r="1820" spans="1:4">
      <c r="A1820" s="435">
        <v>74890</v>
      </c>
      <c r="B1820" s="436" t="s">
        <v>32240</v>
      </c>
      <c r="C1820" s="437" t="s">
        <v>30445</v>
      </c>
      <c r="D1820" s="438">
        <v>931.67</v>
      </c>
    </row>
    <row r="1821" spans="1:4">
      <c r="A1821" s="435">
        <v>74901</v>
      </c>
      <c r="B1821" s="436" t="s">
        <v>32241</v>
      </c>
      <c r="C1821" s="437" t="s">
        <v>30445</v>
      </c>
      <c r="D1821" s="438">
        <v>25.32</v>
      </c>
    </row>
    <row r="1822" spans="1:4">
      <c r="A1822" s="435">
        <v>74930</v>
      </c>
      <c r="B1822" s="436" t="s">
        <v>32242</v>
      </c>
      <c r="C1822" s="437" t="s">
        <v>30445</v>
      </c>
      <c r="D1822" s="438">
        <v>16.93</v>
      </c>
    </row>
    <row r="1823" spans="1:4">
      <c r="A1823" s="435">
        <v>74950</v>
      </c>
      <c r="B1823" s="436" t="s">
        <v>32243</v>
      </c>
      <c r="C1823" s="437" t="s">
        <v>30445</v>
      </c>
      <c r="D1823" s="438">
        <v>44.15</v>
      </c>
    </row>
    <row r="1824" spans="1:4">
      <c r="A1824" s="431">
        <v>75200</v>
      </c>
      <c r="B1824" s="432" t="s">
        <v>32244</v>
      </c>
      <c r="C1824" s="433"/>
      <c r="D1824" s="434" t="s">
        <v>30434</v>
      </c>
    </row>
    <row r="1825" spans="1:4">
      <c r="A1825" s="435">
        <v>75240</v>
      </c>
      <c r="B1825" s="436" t="s">
        <v>32245</v>
      </c>
      <c r="C1825" s="437" t="s">
        <v>30445</v>
      </c>
      <c r="D1825" s="438">
        <v>27.41</v>
      </c>
    </row>
    <row r="1826" spans="1:4">
      <c r="A1826" s="435">
        <v>75245</v>
      </c>
      <c r="B1826" s="436" t="s">
        <v>32246</v>
      </c>
      <c r="C1826" s="437" t="s">
        <v>30445</v>
      </c>
      <c r="D1826" s="438">
        <v>34.380000000000003</v>
      </c>
    </row>
    <row r="1827" spans="1:4">
      <c r="A1827" s="435">
        <v>75248</v>
      </c>
      <c r="B1827" s="436" t="s">
        <v>32247</v>
      </c>
      <c r="C1827" s="437" t="s">
        <v>30445</v>
      </c>
      <c r="D1827" s="438">
        <v>58.72</v>
      </c>
    </row>
    <row r="1828" spans="1:4">
      <c r="A1828" s="435">
        <v>75275</v>
      </c>
      <c r="B1828" s="436" t="s">
        <v>32248</v>
      </c>
      <c r="C1828" s="437" t="s">
        <v>30445</v>
      </c>
      <c r="D1828" s="438">
        <v>142.47999999999999</v>
      </c>
    </row>
    <row r="1829" spans="1:4">
      <c r="A1829" s="435">
        <v>75280</v>
      </c>
      <c r="B1829" s="436" t="s">
        <v>32249</v>
      </c>
      <c r="C1829" s="437" t="s">
        <v>30445</v>
      </c>
      <c r="D1829" s="438">
        <v>25.73</v>
      </c>
    </row>
    <row r="1830" spans="1:4">
      <c r="A1830" s="435">
        <v>75281</v>
      </c>
      <c r="B1830" s="436" t="s">
        <v>32250</v>
      </c>
      <c r="C1830" s="437" t="s">
        <v>30445</v>
      </c>
      <c r="D1830" s="438">
        <v>366.73</v>
      </c>
    </row>
    <row r="1831" spans="1:4">
      <c r="A1831" s="431">
        <v>75600</v>
      </c>
      <c r="B1831" s="432" t="s">
        <v>32251</v>
      </c>
      <c r="C1831" s="433"/>
      <c r="D1831" s="434" t="s">
        <v>30434</v>
      </c>
    </row>
    <row r="1832" spans="1:4" ht="25">
      <c r="A1832" s="435">
        <v>75602</v>
      </c>
      <c r="B1832" s="436" t="s">
        <v>32252</v>
      </c>
      <c r="C1832" s="437" t="s">
        <v>165</v>
      </c>
      <c r="D1832" s="438">
        <v>76.540000000000006</v>
      </c>
    </row>
    <row r="1833" spans="1:4" ht="25">
      <c r="A1833" s="435">
        <v>75603</v>
      </c>
      <c r="B1833" s="436" t="s">
        <v>32253</v>
      </c>
      <c r="C1833" s="437" t="s">
        <v>165</v>
      </c>
      <c r="D1833" s="438">
        <v>82.32</v>
      </c>
    </row>
    <row r="1834" spans="1:4">
      <c r="A1834" s="435">
        <v>75606</v>
      </c>
      <c r="B1834" s="436" t="s">
        <v>32254</v>
      </c>
      <c r="C1834" s="437" t="s">
        <v>165</v>
      </c>
      <c r="D1834" s="438">
        <v>223.62</v>
      </c>
    </row>
    <row r="1835" spans="1:4">
      <c r="A1835" s="435">
        <v>75608</v>
      </c>
      <c r="B1835" s="436" t="s">
        <v>32255</v>
      </c>
      <c r="C1835" s="437" t="s">
        <v>30445</v>
      </c>
      <c r="D1835" s="438">
        <v>711.98</v>
      </c>
    </row>
    <row r="1836" spans="1:4">
      <c r="A1836" s="435">
        <v>75611</v>
      </c>
      <c r="B1836" s="436" t="s">
        <v>32256</v>
      </c>
      <c r="C1836" s="437" t="s">
        <v>30445</v>
      </c>
      <c r="D1836" s="438">
        <v>803.77</v>
      </c>
    </row>
    <row r="1837" spans="1:4">
      <c r="A1837" s="435">
        <v>75614</v>
      </c>
      <c r="B1837" s="436" t="s">
        <v>32257</v>
      </c>
      <c r="C1837" s="437" t="s">
        <v>30445</v>
      </c>
      <c r="D1837" s="438">
        <v>10.46</v>
      </c>
    </row>
    <row r="1838" spans="1:4">
      <c r="A1838" s="435">
        <v>75617</v>
      </c>
      <c r="B1838" s="436" t="s">
        <v>32258</v>
      </c>
      <c r="C1838" s="437" t="s">
        <v>30445</v>
      </c>
      <c r="D1838" s="438">
        <v>14.17</v>
      </c>
    </row>
    <row r="1839" spans="1:4">
      <c r="A1839" s="435">
        <v>75620</v>
      </c>
      <c r="B1839" s="436" t="s">
        <v>32259</v>
      </c>
      <c r="C1839" s="437" t="s">
        <v>30445</v>
      </c>
      <c r="D1839" s="438">
        <v>31.51</v>
      </c>
    </row>
    <row r="1840" spans="1:4">
      <c r="A1840" s="435">
        <v>75636</v>
      </c>
      <c r="B1840" s="436" t="s">
        <v>32260</v>
      </c>
      <c r="C1840" s="437" t="s">
        <v>30445</v>
      </c>
      <c r="D1840" s="438">
        <v>43.18</v>
      </c>
    </row>
    <row r="1841" spans="1:4">
      <c r="A1841" s="435">
        <v>75638</v>
      </c>
      <c r="B1841" s="436" t="s">
        <v>32261</v>
      </c>
      <c r="C1841" s="437" t="s">
        <v>30445</v>
      </c>
      <c r="D1841" s="438">
        <v>10.35</v>
      </c>
    </row>
    <row r="1842" spans="1:4">
      <c r="A1842" s="435">
        <v>75641</v>
      </c>
      <c r="B1842" s="436" t="s">
        <v>32262</v>
      </c>
      <c r="C1842" s="437" t="s">
        <v>30445</v>
      </c>
      <c r="D1842" s="438">
        <v>22.19</v>
      </c>
    </row>
    <row r="1843" spans="1:4">
      <c r="A1843" s="435">
        <v>75653</v>
      </c>
      <c r="B1843" s="436" t="s">
        <v>32263</v>
      </c>
      <c r="C1843" s="437" t="s">
        <v>30445</v>
      </c>
      <c r="D1843" s="438">
        <v>166.43</v>
      </c>
    </row>
    <row r="1844" spans="1:4">
      <c r="A1844" s="435">
        <v>75656</v>
      </c>
      <c r="B1844" s="436" t="s">
        <v>32264</v>
      </c>
      <c r="C1844" s="437" t="s">
        <v>30445</v>
      </c>
      <c r="D1844" s="438">
        <v>208.63</v>
      </c>
    </row>
    <row r="1845" spans="1:4">
      <c r="A1845" s="435">
        <v>75657</v>
      </c>
      <c r="B1845" s="436" t="s">
        <v>32265</v>
      </c>
      <c r="C1845" s="437" t="s">
        <v>30445</v>
      </c>
      <c r="D1845" s="438">
        <v>122.86</v>
      </c>
    </row>
    <row r="1846" spans="1:4">
      <c r="A1846" s="435">
        <v>75663</v>
      </c>
      <c r="B1846" s="436" t="s">
        <v>32266</v>
      </c>
      <c r="C1846" s="437" t="s">
        <v>30445</v>
      </c>
      <c r="D1846" s="438">
        <v>17.97</v>
      </c>
    </row>
    <row r="1847" spans="1:4" ht="25">
      <c r="A1847" s="435">
        <v>75953</v>
      </c>
      <c r="B1847" s="436" t="s">
        <v>32267</v>
      </c>
      <c r="C1847" s="437" t="s">
        <v>30445</v>
      </c>
      <c r="D1847" s="438">
        <v>415.69</v>
      </c>
    </row>
    <row r="1848" spans="1:4">
      <c r="A1848" s="435">
        <v>75954</v>
      </c>
      <c r="B1848" s="436" t="s">
        <v>32268</v>
      </c>
      <c r="C1848" s="437" t="s">
        <v>30445</v>
      </c>
      <c r="D1848" s="438">
        <v>1135.0899999999999</v>
      </c>
    </row>
    <row r="1849" spans="1:4">
      <c r="A1849" s="435">
        <v>75955</v>
      </c>
      <c r="B1849" s="436" t="s">
        <v>32269</v>
      </c>
      <c r="C1849" s="437" t="s">
        <v>30445</v>
      </c>
      <c r="D1849" s="438">
        <v>1007.6</v>
      </c>
    </row>
    <row r="1850" spans="1:4" ht="25">
      <c r="A1850" s="435">
        <v>75956</v>
      </c>
      <c r="B1850" s="436" t="s">
        <v>32270</v>
      </c>
      <c r="C1850" s="437" t="s">
        <v>30445</v>
      </c>
      <c r="D1850" s="438">
        <v>669.92</v>
      </c>
    </row>
    <row r="1851" spans="1:4" ht="25">
      <c r="A1851" s="435">
        <v>75957</v>
      </c>
      <c r="B1851" s="436" t="s">
        <v>32271</v>
      </c>
      <c r="C1851" s="437" t="s">
        <v>30445</v>
      </c>
      <c r="D1851" s="438">
        <v>794.61</v>
      </c>
    </row>
    <row r="1852" spans="1:4" ht="25">
      <c r="A1852" s="435">
        <v>75958</v>
      </c>
      <c r="B1852" s="436" t="s">
        <v>32272</v>
      </c>
      <c r="C1852" s="437" t="s">
        <v>30445</v>
      </c>
      <c r="D1852" s="438">
        <v>708.13</v>
      </c>
    </row>
    <row r="1853" spans="1:4">
      <c r="A1853" s="435">
        <v>75959</v>
      </c>
      <c r="B1853" s="436" t="s">
        <v>32273</v>
      </c>
      <c r="C1853" s="437" t="s">
        <v>30445</v>
      </c>
      <c r="D1853" s="438">
        <v>243.74</v>
      </c>
    </row>
    <row r="1854" spans="1:4">
      <c r="A1854" s="431">
        <v>76000</v>
      </c>
      <c r="B1854" s="432" t="s">
        <v>32274</v>
      </c>
      <c r="C1854" s="433"/>
      <c r="D1854" s="434" t="s">
        <v>30434</v>
      </c>
    </row>
    <row r="1855" spans="1:4">
      <c r="A1855" s="435">
        <v>76030</v>
      </c>
      <c r="B1855" s="436" t="s">
        <v>32275</v>
      </c>
      <c r="C1855" s="437" t="s">
        <v>30445</v>
      </c>
      <c r="D1855" s="438">
        <v>638.49</v>
      </c>
    </row>
    <row r="1856" spans="1:4">
      <c r="A1856" s="435">
        <v>76034</v>
      </c>
      <c r="B1856" s="436" t="s">
        <v>32276</v>
      </c>
      <c r="C1856" s="437" t="s">
        <v>30445</v>
      </c>
      <c r="D1856" s="438">
        <v>1073.02</v>
      </c>
    </row>
    <row r="1857" spans="1:4">
      <c r="A1857" s="435">
        <v>76037</v>
      </c>
      <c r="B1857" s="436" t="s">
        <v>32277</v>
      </c>
      <c r="C1857" s="437" t="s">
        <v>30445</v>
      </c>
      <c r="D1857" s="438">
        <v>2733.79</v>
      </c>
    </row>
    <row r="1858" spans="1:4">
      <c r="A1858" s="435">
        <v>76038</v>
      </c>
      <c r="B1858" s="436" t="s">
        <v>32278</v>
      </c>
      <c r="C1858" s="437" t="s">
        <v>30445</v>
      </c>
      <c r="D1858" s="438">
        <v>5340.87</v>
      </c>
    </row>
    <row r="1859" spans="1:4">
      <c r="A1859" s="435">
        <v>76039</v>
      </c>
      <c r="B1859" s="436" t="s">
        <v>32279</v>
      </c>
      <c r="C1859" s="437" t="s">
        <v>30445</v>
      </c>
      <c r="D1859" s="438">
        <v>8252.32</v>
      </c>
    </row>
    <row r="1860" spans="1:4">
      <c r="A1860" s="431">
        <v>76400</v>
      </c>
      <c r="B1860" s="432" t="s">
        <v>32280</v>
      </c>
      <c r="C1860" s="433"/>
      <c r="D1860" s="434" t="s">
        <v>30434</v>
      </c>
    </row>
    <row r="1861" spans="1:4">
      <c r="A1861" s="435">
        <v>76402</v>
      </c>
      <c r="B1861" s="436" t="s">
        <v>32281</v>
      </c>
      <c r="C1861" s="437" t="s">
        <v>30445</v>
      </c>
      <c r="D1861" s="438">
        <v>827.21</v>
      </c>
    </row>
    <row r="1862" spans="1:4">
      <c r="A1862" s="435">
        <v>76405</v>
      </c>
      <c r="B1862" s="436" t="s">
        <v>32282</v>
      </c>
      <c r="C1862" s="437" t="s">
        <v>30445</v>
      </c>
      <c r="D1862" s="438">
        <v>166.59</v>
      </c>
    </row>
    <row r="1863" spans="1:4">
      <c r="A1863" s="435">
        <v>76407</v>
      </c>
      <c r="B1863" s="436" t="s">
        <v>20457</v>
      </c>
      <c r="C1863" s="437" t="s">
        <v>30445</v>
      </c>
      <c r="D1863" s="438">
        <v>399.02</v>
      </c>
    </row>
    <row r="1864" spans="1:4">
      <c r="A1864" s="435">
        <v>76408</v>
      </c>
      <c r="B1864" s="436" t="s">
        <v>32283</v>
      </c>
      <c r="C1864" s="437" t="s">
        <v>30445</v>
      </c>
      <c r="D1864" s="438">
        <v>695.4</v>
      </c>
    </row>
    <row r="1865" spans="1:4">
      <c r="A1865" s="435">
        <v>76425</v>
      </c>
      <c r="B1865" s="436" t="s">
        <v>32284</v>
      </c>
      <c r="C1865" s="437" t="s">
        <v>30445</v>
      </c>
      <c r="D1865" s="438">
        <v>504.92</v>
      </c>
    </row>
    <row r="1866" spans="1:4">
      <c r="A1866" s="435">
        <v>76431</v>
      </c>
      <c r="B1866" s="436" t="s">
        <v>32285</v>
      </c>
      <c r="C1866" s="437" t="s">
        <v>30445</v>
      </c>
      <c r="D1866" s="438">
        <v>111.89</v>
      </c>
    </row>
    <row r="1867" spans="1:4">
      <c r="A1867" s="435">
        <v>76433</v>
      </c>
      <c r="B1867" s="436" t="s">
        <v>32286</v>
      </c>
      <c r="C1867" s="437" t="s">
        <v>30445</v>
      </c>
      <c r="D1867" s="438">
        <v>95.53</v>
      </c>
    </row>
    <row r="1868" spans="1:4">
      <c r="A1868" s="435">
        <v>76441</v>
      </c>
      <c r="B1868" s="436" t="s">
        <v>32287</v>
      </c>
      <c r="C1868" s="437" t="s">
        <v>30445</v>
      </c>
      <c r="D1868" s="438">
        <v>377.95</v>
      </c>
    </row>
    <row r="1869" spans="1:4" ht="25">
      <c r="A1869" s="435">
        <v>76461</v>
      </c>
      <c r="B1869" s="436" t="s">
        <v>32288</v>
      </c>
      <c r="C1869" s="437" t="s">
        <v>30445</v>
      </c>
      <c r="D1869" s="438">
        <v>55.99</v>
      </c>
    </row>
    <row r="1870" spans="1:4">
      <c r="A1870" s="435">
        <v>76468</v>
      </c>
      <c r="B1870" s="436" t="s">
        <v>32289</v>
      </c>
      <c r="C1870" s="437" t="s">
        <v>30445</v>
      </c>
      <c r="D1870" s="438">
        <v>593.11</v>
      </c>
    </row>
    <row r="1871" spans="1:4">
      <c r="A1871" s="431">
        <v>76700</v>
      </c>
      <c r="B1871" s="432" t="s">
        <v>32290</v>
      </c>
      <c r="C1871" s="433"/>
      <c r="D1871" s="434" t="s">
        <v>30434</v>
      </c>
    </row>
    <row r="1872" spans="1:4">
      <c r="A1872" s="435">
        <v>76701</v>
      </c>
      <c r="B1872" s="436" t="s">
        <v>32291</v>
      </c>
      <c r="C1872" s="437" t="s">
        <v>30445</v>
      </c>
      <c r="D1872" s="438">
        <v>4028.67</v>
      </c>
    </row>
    <row r="1873" spans="1:4">
      <c r="A1873" s="435">
        <v>76710</v>
      </c>
      <c r="B1873" s="436" t="s">
        <v>32292</v>
      </c>
      <c r="C1873" s="437" t="s">
        <v>30445</v>
      </c>
      <c r="D1873" s="438">
        <v>146.19</v>
      </c>
    </row>
    <row r="1874" spans="1:4">
      <c r="A1874" s="435">
        <v>76711</v>
      </c>
      <c r="B1874" s="436" t="s">
        <v>32293</v>
      </c>
      <c r="C1874" s="437" t="s">
        <v>30445</v>
      </c>
      <c r="D1874" s="438">
        <v>175.5</v>
      </c>
    </row>
    <row r="1875" spans="1:4">
      <c r="A1875" s="435">
        <v>76712</v>
      </c>
      <c r="B1875" s="436" t="s">
        <v>32294</v>
      </c>
      <c r="C1875" s="437" t="s">
        <v>30445</v>
      </c>
      <c r="D1875" s="438">
        <v>187.79</v>
      </c>
    </row>
    <row r="1876" spans="1:4">
      <c r="A1876" s="435">
        <v>76713</v>
      </c>
      <c r="B1876" s="436" t="s">
        <v>32295</v>
      </c>
      <c r="C1876" s="437" t="s">
        <v>30445</v>
      </c>
      <c r="D1876" s="438">
        <v>293.7</v>
      </c>
    </row>
    <row r="1877" spans="1:4" ht="25">
      <c r="A1877" s="435">
        <v>76714</v>
      </c>
      <c r="B1877" s="436" t="s">
        <v>32296</v>
      </c>
      <c r="C1877" s="437" t="s">
        <v>30445</v>
      </c>
      <c r="D1877" s="438">
        <v>526.77</v>
      </c>
    </row>
    <row r="1878" spans="1:4">
      <c r="A1878" s="435">
        <v>76716</v>
      </c>
      <c r="B1878" s="436" t="s">
        <v>32297</v>
      </c>
      <c r="C1878" s="437" t="s">
        <v>30445</v>
      </c>
      <c r="D1878" s="438">
        <v>351.5</v>
      </c>
    </row>
    <row r="1879" spans="1:4">
      <c r="A1879" s="435">
        <v>76717</v>
      </c>
      <c r="B1879" s="436" t="s">
        <v>32298</v>
      </c>
      <c r="C1879" s="437" t="s">
        <v>30445</v>
      </c>
      <c r="D1879" s="438">
        <v>22.51</v>
      </c>
    </row>
    <row r="1880" spans="1:4">
      <c r="A1880" s="431">
        <v>76800</v>
      </c>
      <c r="B1880" s="432" t="s">
        <v>32299</v>
      </c>
      <c r="C1880" s="433"/>
      <c r="D1880" s="434" t="s">
        <v>30434</v>
      </c>
    </row>
    <row r="1881" spans="1:4">
      <c r="A1881" s="435">
        <v>76803</v>
      </c>
      <c r="B1881" s="436" t="s">
        <v>32300</v>
      </c>
      <c r="C1881" s="437" t="s">
        <v>30445</v>
      </c>
      <c r="D1881" s="438">
        <v>804.49</v>
      </c>
    </row>
    <row r="1882" spans="1:4">
      <c r="A1882" s="435">
        <v>76807</v>
      </c>
      <c r="B1882" s="436" t="s">
        <v>32301</v>
      </c>
      <c r="C1882" s="437" t="s">
        <v>30445</v>
      </c>
      <c r="D1882" s="438">
        <v>1142.94</v>
      </c>
    </row>
    <row r="1883" spans="1:4">
      <c r="A1883" s="435">
        <v>76818</v>
      </c>
      <c r="B1883" s="436" t="s">
        <v>32302</v>
      </c>
      <c r="C1883" s="437" t="s">
        <v>30445</v>
      </c>
      <c r="D1883" s="438">
        <v>598.04</v>
      </c>
    </row>
    <row r="1884" spans="1:4">
      <c r="A1884" s="435">
        <v>76821</v>
      </c>
      <c r="B1884" s="436" t="s">
        <v>32303</v>
      </c>
      <c r="C1884" s="437" t="s">
        <v>30445</v>
      </c>
      <c r="D1884" s="438">
        <v>466.63</v>
      </c>
    </row>
    <row r="1885" spans="1:4" ht="25">
      <c r="A1885" s="435">
        <v>76822</v>
      </c>
      <c r="B1885" s="436" t="s">
        <v>32304</v>
      </c>
      <c r="C1885" s="437" t="s">
        <v>30445</v>
      </c>
      <c r="D1885" s="438">
        <v>1461.08</v>
      </c>
    </row>
    <row r="1886" spans="1:4" ht="25">
      <c r="A1886" s="435">
        <v>76823</v>
      </c>
      <c r="B1886" s="436" t="s">
        <v>32305</v>
      </c>
      <c r="C1886" s="437" t="s">
        <v>30445</v>
      </c>
      <c r="D1886" s="438">
        <v>1602.92</v>
      </c>
    </row>
    <row r="1887" spans="1:4" ht="25">
      <c r="A1887" s="435">
        <v>76824</v>
      </c>
      <c r="B1887" s="436" t="s">
        <v>32306</v>
      </c>
      <c r="C1887" s="437" t="s">
        <v>30445</v>
      </c>
      <c r="D1887" s="438">
        <v>1872.34</v>
      </c>
    </row>
    <row r="1888" spans="1:4">
      <c r="A1888" s="435">
        <v>76826</v>
      </c>
      <c r="B1888" s="436" t="s">
        <v>32307</v>
      </c>
      <c r="C1888" s="437" t="s">
        <v>30445</v>
      </c>
      <c r="D1888" s="438">
        <v>574.26</v>
      </c>
    </row>
    <row r="1889" spans="1:4">
      <c r="A1889" s="435">
        <v>76827</v>
      </c>
      <c r="B1889" s="436" t="s">
        <v>32308</v>
      </c>
      <c r="C1889" s="437" t="s">
        <v>30445</v>
      </c>
      <c r="D1889" s="438">
        <v>424.58</v>
      </c>
    </row>
    <row r="1890" spans="1:4">
      <c r="A1890" s="435">
        <v>76836</v>
      </c>
      <c r="B1890" s="436" t="s">
        <v>32309</v>
      </c>
      <c r="C1890" s="437" t="s">
        <v>165</v>
      </c>
      <c r="D1890" s="438">
        <v>1062.45</v>
      </c>
    </row>
    <row r="1891" spans="1:4">
      <c r="A1891" s="435">
        <v>76890</v>
      </c>
      <c r="B1891" s="436" t="s">
        <v>32310</v>
      </c>
      <c r="C1891" s="437" t="s">
        <v>30445</v>
      </c>
      <c r="D1891" s="438">
        <v>67.069999999999993</v>
      </c>
    </row>
    <row r="1892" spans="1:4">
      <c r="A1892" s="435">
        <v>76891</v>
      </c>
      <c r="B1892" s="436" t="s">
        <v>32311</v>
      </c>
      <c r="C1892" s="437" t="s">
        <v>30445</v>
      </c>
      <c r="D1892" s="438">
        <v>68.81</v>
      </c>
    </row>
    <row r="1893" spans="1:4">
      <c r="A1893" s="435">
        <v>76895</v>
      </c>
      <c r="B1893" s="436" t="s">
        <v>32312</v>
      </c>
      <c r="C1893" s="437" t="s">
        <v>30445</v>
      </c>
      <c r="D1893" s="438">
        <v>27.53</v>
      </c>
    </row>
    <row r="1894" spans="1:4">
      <c r="A1894" s="435">
        <v>76896</v>
      </c>
      <c r="B1894" s="436" t="s">
        <v>32313</v>
      </c>
      <c r="C1894" s="437" t="s">
        <v>30445</v>
      </c>
      <c r="D1894" s="438">
        <v>60.4</v>
      </c>
    </row>
    <row r="1895" spans="1:4" ht="25">
      <c r="A1895" s="435">
        <v>76898</v>
      </c>
      <c r="B1895" s="436" t="s">
        <v>32314</v>
      </c>
      <c r="C1895" s="437" t="s">
        <v>30445</v>
      </c>
      <c r="D1895" s="438">
        <v>248.84</v>
      </c>
    </row>
    <row r="1896" spans="1:4">
      <c r="A1896" s="431">
        <v>76900</v>
      </c>
      <c r="B1896" s="432" t="s">
        <v>32315</v>
      </c>
      <c r="C1896" s="433"/>
      <c r="D1896" s="434" t="s">
        <v>30434</v>
      </c>
    </row>
    <row r="1897" spans="1:4">
      <c r="A1897" s="435">
        <v>76901</v>
      </c>
      <c r="B1897" s="436" t="s">
        <v>32316</v>
      </c>
      <c r="C1897" s="437" t="s">
        <v>30445</v>
      </c>
      <c r="D1897" s="438">
        <v>655.12</v>
      </c>
    </row>
    <row r="1898" spans="1:4">
      <c r="A1898" s="431">
        <v>77200</v>
      </c>
      <c r="B1898" s="432" t="s">
        <v>32317</v>
      </c>
      <c r="C1898" s="433"/>
      <c r="D1898" s="434" t="s">
        <v>30434</v>
      </c>
    </row>
    <row r="1899" spans="1:4">
      <c r="A1899" s="435">
        <v>77215</v>
      </c>
      <c r="B1899" s="436" t="s">
        <v>32318</v>
      </c>
      <c r="C1899" s="437" t="s">
        <v>30445</v>
      </c>
      <c r="D1899" s="438">
        <v>143.08000000000001</v>
      </c>
    </row>
    <row r="1900" spans="1:4">
      <c r="A1900" s="435">
        <v>77223</v>
      </c>
      <c r="B1900" s="436" t="s">
        <v>32319</v>
      </c>
      <c r="C1900" s="437" t="s">
        <v>30445</v>
      </c>
      <c r="D1900" s="438">
        <v>594.25</v>
      </c>
    </row>
    <row r="1901" spans="1:4">
      <c r="A1901" s="435">
        <v>77226</v>
      </c>
      <c r="B1901" s="436" t="s">
        <v>32320</v>
      </c>
      <c r="C1901" s="437" t="s">
        <v>30445</v>
      </c>
      <c r="D1901" s="438">
        <v>310.98</v>
      </c>
    </row>
    <row r="1902" spans="1:4">
      <c r="A1902" s="435">
        <v>77227</v>
      </c>
      <c r="B1902" s="436" t="s">
        <v>32321</v>
      </c>
      <c r="C1902" s="437" t="s">
        <v>30445</v>
      </c>
      <c r="D1902" s="438">
        <v>299.02</v>
      </c>
    </row>
    <row r="1903" spans="1:4" ht="25">
      <c r="A1903" s="435">
        <v>77232</v>
      </c>
      <c r="B1903" s="436" t="s">
        <v>32322</v>
      </c>
      <c r="C1903" s="437" t="s">
        <v>30445</v>
      </c>
      <c r="D1903" s="438">
        <v>48.2</v>
      </c>
    </row>
    <row r="1904" spans="1:4">
      <c r="A1904" s="435">
        <v>77236</v>
      </c>
      <c r="B1904" s="436" t="s">
        <v>32323</v>
      </c>
      <c r="C1904" s="437" t="s">
        <v>30445</v>
      </c>
      <c r="D1904" s="438">
        <v>38.229999999999997</v>
      </c>
    </row>
    <row r="1905" spans="1:4">
      <c r="A1905" s="435">
        <v>77237</v>
      </c>
      <c r="B1905" s="436" t="s">
        <v>32324</v>
      </c>
      <c r="C1905" s="437" t="s">
        <v>30445</v>
      </c>
      <c r="D1905" s="438">
        <v>39.700000000000003</v>
      </c>
    </row>
    <row r="1906" spans="1:4">
      <c r="A1906" s="435">
        <v>77238</v>
      </c>
      <c r="B1906" s="436" t="s">
        <v>32325</v>
      </c>
      <c r="C1906" s="437" t="s">
        <v>30445</v>
      </c>
      <c r="D1906" s="438">
        <v>41.32</v>
      </c>
    </row>
    <row r="1907" spans="1:4">
      <c r="A1907" s="435">
        <v>77240</v>
      </c>
      <c r="B1907" s="436" t="s">
        <v>32326</v>
      </c>
      <c r="C1907" s="437" t="s">
        <v>30445</v>
      </c>
      <c r="D1907" s="438">
        <v>50.23</v>
      </c>
    </row>
    <row r="1908" spans="1:4">
      <c r="A1908" s="435">
        <v>77241</v>
      </c>
      <c r="B1908" s="436" t="s">
        <v>32327</v>
      </c>
      <c r="C1908" s="437" t="s">
        <v>30445</v>
      </c>
      <c r="D1908" s="438">
        <v>258.7</v>
      </c>
    </row>
    <row r="1909" spans="1:4">
      <c r="A1909" s="435">
        <v>77242</v>
      </c>
      <c r="B1909" s="436" t="s">
        <v>32328</v>
      </c>
      <c r="C1909" s="437" t="s">
        <v>30445</v>
      </c>
      <c r="D1909" s="438">
        <v>516.86</v>
      </c>
    </row>
    <row r="1910" spans="1:4" ht="25">
      <c r="A1910" s="435">
        <v>77243</v>
      </c>
      <c r="B1910" s="436" t="s">
        <v>32329</v>
      </c>
      <c r="C1910" s="437" t="s">
        <v>30445</v>
      </c>
      <c r="D1910" s="438">
        <v>2273.08</v>
      </c>
    </row>
    <row r="1911" spans="1:4">
      <c r="A1911" s="435">
        <v>77244</v>
      </c>
      <c r="B1911" s="436" t="s">
        <v>32330</v>
      </c>
      <c r="C1911" s="437" t="s">
        <v>30445</v>
      </c>
      <c r="D1911" s="438">
        <v>381.55</v>
      </c>
    </row>
    <row r="1912" spans="1:4" ht="25">
      <c r="A1912" s="435">
        <v>77245</v>
      </c>
      <c r="B1912" s="436" t="s">
        <v>32331</v>
      </c>
      <c r="C1912" s="437" t="s">
        <v>30445</v>
      </c>
      <c r="D1912" s="438">
        <v>527.79</v>
      </c>
    </row>
    <row r="1913" spans="1:4">
      <c r="A1913" s="435">
        <v>77246</v>
      </c>
      <c r="B1913" s="436" t="s">
        <v>32332</v>
      </c>
      <c r="C1913" s="437" t="s">
        <v>30445</v>
      </c>
      <c r="D1913" s="438">
        <v>269.33999999999997</v>
      </c>
    </row>
    <row r="1914" spans="1:4">
      <c r="A1914" s="431">
        <v>77600</v>
      </c>
      <c r="B1914" s="432" t="s">
        <v>32333</v>
      </c>
      <c r="C1914" s="433"/>
      <c r="D1914" s="434" t="s">
        <v>30434</v>
      </c>
    </row>
    <row r="1915" spans="1:4">
      <c r="A1915" s="435">
        <v>77605</v>
      </c>
      <c r="B1915" s="436" t="s">
        <v>32334</v>
      </c>
      <c r="C1915" s="437" t="s">
        <v>509</v>
      </c>
      <c r="D1915" s="438">
        <v>1399.05</v>
      </c>
    </row>
    <row r="1916" spans="1:4">
      <c r="A1916" s="435">
        <v>77615</v>
      </c>
      <c r="B1916" s="436" t="s">
        <v>32335</v>
      </c>
      <c r="C1916" s="437" t="s">
        <v>509</v>
      </c>
      <c r="D1916" s="438">
        <v>757.19</v>
      </c>
    </row>
    <row r="1917" spans="1:4">
      <c r="A1917" s="435">
        <v>77619</v>
      </c>
      <c r="B1917" s="436" t="s">
        <v>32336</v>
      </c>
      <c r="C1917" s="437" t="s">
        <v>509</v>
      </c>
      <c r="D1917" s="438">
        <v>517.12</v>
      </c>
    </row>
    <row r="1918" spans="1:4">
      <c r="A1918" s="435">
        <v>77620</v>
      </c>
      <c r="B1918" s="436" t="s">
        <v>32337</v>
      </c>
      <c r="C1918" s="437" t="s">
        <v>509</v>
      </c>
      <c r="D1918" s="438">
        <v>573.26</v>
      </c>
    </row>
    <row r="1919" spans="1:4">
      <c r="A1919" s="435">
        <v>77622</v>
      </c>
      <c r="B1919" s="436" t="s">
        <v>32338</v>
      </c>
      <c r="C1919" s="437" t="s">
        <v>509</v>
      </c>
      <c r="D1919" s="438">
        <v>578.57000000000005</v>
      </c>
    </row>
    <row r="1920" spans="1:4">
      <c r="A1920" s="435">
        <v>77624</v>
      </c>
      <c r="B1920" s="436" t="s">
        <v>32339</v>
      </c>
      <c r="C1920" s="437" t="s">
        <v>509</v>
      </c>
      <c r="D1920" s="438">
        <v>847.39</v>
      </c>
    </row>
    <row r="1921" spans="1:4">
      <c r="A1921" s="435">
        <v>77630</v>
      </c>
      <c r="B1921" s="436" t="s">
        <v>32340</v>
      </c>
      <c r="C1921" s="437" t="s">
        <v>165</v>
      </c>
      <c r="D1921" s="438">
        <v>103.89</v>
      </c>
    </row>
    <row r="1922" spans="1:4">
      <c r="A1922" s="435">
        <v>77631</v>
      </c>
      <c r="B1922" s="436" t="s">
        <v>32341</v>
      </c>
      <c r="C1922" s="437" t="s">
        <v>30445</v>
      </c>
      <c r="D1922" s="438">
        <v>74.42</v>
      </c>
    </row>
    <row r="1923" spans="1:4">
      <c r="A1923" s="431">
        <v>78000</v>
      </c>
      <c r="B1923" s="432" t="s">
        <v>32342</v>
      </c>
      <c r="C1923" s="433"/>
      <c r="D1923" s="434" t="s">
        <v>30434</v>
      </c>
    </row>
    <row r="1924" spans="1:4">
      <c r="A1924" s="435">
        <v>78014</v>
      </c>
      <c r="B1924" s="436" t="s">
        <v>32343</v>
      </c>
      <c r="C1924" s="437" t="s">
        <v>30445</v>
      </c>
      <c r="D1924" s="438">
        <v>331.06</v>
      </c>
    </row>
    <row r="1925" spans="1:4">
      <c r="A1925" s="435">
        <v>78045</v>
      </c>
      <c r="B1925" s="436" t="s">
        <v>32344</v>
      </c>
      <c r="C1925" s="437" t="s">
        <v>30445</v>
      </c>
      <c r="D1925" s="438">
        <v>197.3</v>
      </c>
    </row>
    <row r="1926" spans="1:4">
      <c r="A1926" s="435">
        <v>78046</v>
      </c>
      <c r="B1926" s="436" t="s">
        <v>32345</v>
      </c>
      <c r="C1926" s="437" t="s">
        <v>30445</v>
      </c>
      <c r="D1926" s="438">
        <v>279.72000000000003</v>
      </c>
    </row>
    <row r="1927" spans="1:4">
      <c r="A1927" s="435">
        <v>78051</v>
      </c>
      <c r="B1927" s="436" t="s">
        <v>32346</v>
      </c>
      <c r="C1927" s="437" t="s">
        <v>30445</v>
      </c>
      <c r="D1927" s="438">
        <v>2220.4</v>
      </c>
    </row>
    <row r="1928" spans="1:4">
      <c r="A1928" s="435">
        <v>78052</v>
      </c>
      <c r="B1928" s="436" t="s">
        <v>32347</v>
      </c>
      <c r="C1928" s="437" t="s">
        <v>30445</v>
      </c>
      <c r="D1928" s="438">
        <v>2774.1</v>
      </c>
    </row>
    <row r="1929" spans="1:4">
      <c r="A1929" s="435">
        <v>78060</v>
      </c>
      <c r="B1929" s="436" t="s">
        <v>32348</v>
      </c>
      <c r="C1929" s="437" t="s">
        <v>30445</v>
      </c>
      <c r="D1929" s="438">
        <v>2877.37</v>
      </c>
    </row>
    <row r="1930" spans="1:4">
      <c r="A1930" s="435">
        <v>78062</v>
      </c>
      <c r="B1930" s="436" t="s">
        <v>32349</v>
      </c>
      <c r="C1930" s="437" t="s">
        <v>30445</v>
      </c>
      <c r="D1930" s="438">
        <v>3941.72</v>
      </c>
    </row>
    <row r="1931" spans="1:4">
      <c r="A1931" s="435">
        <v>78071</v>
      </c>
      <c r="B1931" s="436" t="s">
        <v>32350</v>
      </c>
      <c r="C1931" s="437" t="s">
        <v>165</v>
      </c>
      <c r="D1931" s="438">
        <v>261.81</v>
      </c>
    </row>
    <row r="1932" spans="1:4">
      <c r="A1932" s="435">
        <v>78080</v>
      </c>
      <c r="B1932" s="436" t="s">
        <v>32351</v>
      </c>
      <c r="C1932" s="437" t="s">
        <v>30445</v>
      </c>
      <c r="D1932" s="438">
        <v>345.95</v>
      </c>
    </row>
    <row r="1933" spans="1:4">
      <c r="A1933" s="435">
        <v>78081</v>
      </c>
      <c r="B1933" s="436" t="s">
        <v>32352</v>
      </c>
      <c r="C1933" s="437" t="s">
        <v>30445</v>
      </c>
      <c r="D1933" s="438">
        <v>1054.1199999999999</v>
      </c>
    </row>
    <row r="1934" spans="1:4">
      <c r="A1934" s="431">
        <v>78400</v>
      </c>
      <c r="B1934" s="432" t="s">
        <v>32353</v>
      </c>
      <c r="C1934" s="433"/>
      <c r="D1934" s="434" t="s">
        <v>30434</v>
      </c>
    </row>
    <row r="1935" spans="1:4">
      <c r="A1935" s="435">
        <v>78405</v>
      </c>
      <c r="B1935" s="436" t="s">
        <v>32354</v>
      </c>
      <c r="C1935" s="437" t="s">
        <v>30445</v>
      </c>
      <c r="D1935" s="438">
        <v>366.56</v>
      </c>
    </row>
    <row r="1936" spans="1:4">
      <c r="A1936" s="435">
        <v>78407</v>
      </c>
      <c r="B1936" s="436" t="s">
        <v>32355</v>
      </c>
      <c r="C1936" s="437" t="s">
        <v>30445</v>
      </c>
      <c r="D1936" s="438">
        <v>18.72</v>
      </c>
    </row>
    <row r="1937" spans="1:4">
      <c r="A1937" s="435">
        <v>78410</v>
      </c>
      <c r="B1937" s="436" t="s">
        <v>32356</v>
      </c>
      <c r="C1937" s="437" t="s">
        <v>30445</v>
      </c>
      <c r="D1937" s="438">
        <v>72.16</v>
      </c>
    </row>
    <row r="1938" spans="1:4">
      <c r="A1938" s="435">
        <v>78415</v>
      </c>
      <c r="B1938" s="436" t="s">
        <v>32357</v>
      </c>
      <c r="C1938" s="437" t="s">
        <v>30445</v>
      </c>
      <c r="D1938" s="438">
        <v>131.22</v>
      </c>
    </row>
    <row r="1939" spans="1:4">
      <c r="A1939" s="435">
        <v>78420</v>
      </c>
      <c r="B1939" s="436" t="s">
        <v>32358</v>
      </c>
      <c r="C1939" s="437" t="s">
        <v>30445</v>
      </c>
      <c r="D1939" s="438">
        <v>210.79</v>
      </c>
    </row>
    <row r="1940" spans="1:4">
      <c r="A1940" s="435">
        <v>78425</v>
      </c>
      <c r="B1940" s="436" t="s">
        <v>32359</v>
      </c>
      <c r="C1940" s="437" t="s">
        <v>30445</v>
      </c>
      <c r="D1940" s="438">
        <v>762.48</v>
      </c>
    </row>
    <row r="1941" spans="1:4">
      <c r="A1941" s="435">
        <v>78430</v>
      </c>
      <c r="B1941" s="436" t="s">
        <v>32360</v>
      </c>
      <c r="C1941" s="437" t="s">
        <v>30445</v>
      </c>
      <c r="D1941" s="438">
        <v>604.16</v>
      </c>
    </row>
    <row r="1942" spans="1:4">
      <c r="A1942" s="435">
        <v>78435</v>
      </c>
      <c r="B1942" s="436" t="s">
        <v>32361</v>
      </c>
      <c r="C1942" s="437" t="s">
        <v>30445</v>
      </c>
      <c r="D1942" s="438">
        <v>671.25</v>
      </c>
    </row>
    <row r="1943" spans="1:4">
      <c r="A1943" s="435">
        <v>78440</v>
      </c>
      <c r="B1943" s="436" t="s">
        <v>32362</v>
      </c>
      <c r="C1943" s="437" t="s">
        <v>30445</v>
      </c>
      <c r="D1943" s="438">
        <v>1526.06</v>
      </c>
    </row>
    <row r="1944" spans="1:4">
      <c r="A1944" s="435">
        <v>78445</v>
      </c>
      <c r="B1944" s="436" t="s">
        <v>32363</v>
      </c>
      <c r="C1944" s="437" t="s">
        <v>30445</v>
      </c>
      <c r="D1944" s="438">
        <v>186.41</v>
      </c>
    </row>
    <row r="1945" spans="1:4">
      <c r="A1945" s="435">
        <v>78450</v>
      </c>
      <c r="B1945" s="436" t="s">
        <v>32364</v>
      </c>
      <c r="C1945" s="437" t="s">
        <v>30445</v>
      </c>
      <c r="D1945" s="438">
        <v>263.55</v>
      </c>
    </row>
    <row r="1946" spans="1:4">
      <c r="A1946" s="435">
        <v>78455</v>
      </c>
      <c r="B1946" s="436" t="s">
        <v>32365</v>
      </c>
      <c r="C1946" s="437" t="s">
        <v>30445</v>
      </c>
      <c r="D1946" s="438">
        <v>303.07</v>
      </c>
    </row>
    <row r="1947" spans="1:4" ht="25">
      <c r="A1947" s="435">
        <v>78460</v>
      </c>
      <c r="B1947" s="436" t="s">
        <v>32366</v>
      </c>
      <c r="C1947" s="437" t="s">
        <v>30445</v>
      </c>
      <c r="D1947" s="438">
        <v>382.49</v>
      </c>
    </row>
    <row r="1948" spans="1:4">
      <c r="A1948" s="435">
        <v>78465</v>
      </c>
      <c r="B1948" s="436" t="s">
        <v>32367</v>
      </c>
      <c r="C1948" s="437" t="s">
        <v>30445</v>
      </c>
      <c r="D1948" s="438">
        <v>378.22</v>
      </c>
    </row>
    <row r="1949" spans="1:4">
      <c r="A1949" s="435">
        <v>78470</v>
      </c>
      <c r="B1949" s="436" t="s">
        <v>32368</v>
      </c>
      <c r="C1949" s="437" t="s">
        <v>30445</v>
      </c>
      <c r="D1949" s="438">
        <v>590.91</v>
      </c>
    </row>
    <row r="1950" spans="1:4">
      <c r="A1950" s="435">
        <v>78475</v>
      </c>
      <c r="B1950" s="436" t="s">
        <v>32369</v>
      </c>
      <c r="C1950" s="437" t="s">
        <v>30445</v>
      </c>
      <c r="D1950" s="438">
        <v>928.2</v>
      </c>
    </row>
    <row r="1951" spans="1:4">
      <c r="A1951" s="431">
        <v>78800</v>
      </c>
      <c r="B1951" s="432" t="s">
        <v>32370</v>
      </c>
      <c r="C1951" s="433"/>
      <c r="D1951" s="434" t="s">
        <v>30434</v>
      </c>
    </row>
    <row r="1952" spans="1:4">
      <c r="A1952" s="435">
        <v>78801</v>
      </c>
      <c r="B1952" s="436" t="s">
        <v>32371</v>
      </c>
      <c r="C1952" s="437" t="s">
        <v>165</v>
      </c>
      <c r="D1952" s="438">
        <v>46.5</v>
      </c>
    </row>
    <row r="1953" spans="1:4">
      <c r="A1953" s="435">
        <v>78804</v>
      </c>
      <c r="B1953" s="436" t="s">
        <v>32372</v>
      </c>
      <c r="C1953" s="437" t="s">
        <v>165</v>
      </c>
      <c r="D1953" s="438">
        <v>70.790000000000006</v>
      </c>
    </row>
    <row r="1954" spans="1:4">
      <c r="A1954" s="435">
        <v>78807</v>
      </c>
      <c r="B1954" s="436" t="s">
        <v>32373</v>
      </c>
      <c r="C1954" s="437" t="s">
        <v>165</v>
      </c>
      <c r="D1954" s="438">
        <v>129.16</v>
      </c>
    </row>
    <row r="1955" spans="1:4">
      <c r="A1955" s="435">
        <v>78810</v>
      </c>
      <c r="B1955" s="436" t="s">
        <v>32374</v>
      </c>
      <c r="C1955" s="437" t="s">
        <v>165</v>
      </c>
      <c r="D1955" s="438">
        <v>102.1</v>
      </c>
    </row>
    <row r="1956" spans="1:4">
      <c r="A1956" s="435">
        <v>78811</v>
      </c>
      <c r="B1956" s="436" t="s">
        <v>32375</v>
      </c>
      <c r="C1956" s="437" t="s">
        <v>165</v>
      </c>
      <c r="D1956" s="438">
        <v>203.1</v>
      </c>
    </row>
    <row r="1957" spans="1:4">
      <c r="A1957" s="435">
        <v>78812</v>
      </c>
      <c r="B1957" s="436" t="s">
        <v>32376</v>
      </c>
      <c r="C1957" s="437" t="s">
        <v>165</v>
      </c>
      <c r="D1957" s="438">
        <v>115.98</v>
      </c>
    </row>
    <row r="1958" spans="1:4">
      <c r="A1958" s="435">
        <v>78813</v>
      </c>
      <c r="B1958" s="436" t="s">
        <v>32377</v>
      </c>
      <c r="C1958" s="437" t="s">
        <v>165</v>
      </c>
      <c r="D1958" s="438">
        <v>230.2</v>
      </c>
    </row>
    <row r="1959" spans="1:4">
      <c r="A1959" s="435">
        <v>78814</v>
      </c>
      <c r="B1959" s="436" t="s">
        <v>32378</v>
      </c>
      <c r="C1959" s="437" t="s">
        <v>165</v>
      </c>
      <c r="D1959" s="438">
        <v>68.569999999999993</v>
      </c>
    </row>
    <row r="1960" spans="1:4">
      <c r="A1960" s="435">
        <v>78871</v>
      </c>
      <c r="B1960" s="436" t="s">
        <v>32379</v>
      </c>
      <c r="C1960" s="437" t="s">
        <v>165</v>
      </c>
      <c r="D1960" s="438">
        <v>31.78</v>
      </c>
    </row>
    <row r="1961" spans="1:4">
      <c r="A1961" s="435">
        <v>78873</v>
      </c>
      <c r="B1961" s="436" t="s">
        <v>32380</v>
      </c>
      <c r="C1961" s="437" t="s">
        <v>165</v>
      </c>
      <c r="D1961" s="438">
        <v>34.770000000000003</v>
      </c>
    </row>
    <row r="1962" spans="1:4">
      <c r="A1962" s="435">
        <v>78875</v>
      </c>
      <c r="B1962" s="436" t="s">
        <v>32381</v>
      </c>
      <c r="C1962" s="437" t="s">
        <v>165</v>
      </c>
      <c r="D1962" s="438">
        <v>46</v>
      </c>
    </row>
    <row r="1963" spans="1:4">
      <c r="A1963" s="435">
        <v>78877</v>
      </c>
      <c r="B1963" s="436" t="s">
        <v>32382</v>
      </c>
      <c r="C1963" s="437" t="s">
        <v>165</v>
      </c>
      <c r="D1963" s="438">
        <v>68.5</v>
      </c>
    </row>
    <row r="1964" spans="1:4">
      <c r="A1964" s="435">
        <v>78878</v>
      </c>
      <c r="B1964" s="436" t="s">
        <v>32383</v>
      </c>
      <c r="C1964" s="437" t="s">
        <v>165</v>
      </c>
      <c r="D1964" s="438">
        <v>139.69999999999999</v>
      </c>
    </row>
    <row r="1965" spans="1:4">
      <c r="A1965" s="435">
        <v>78879</v>
      </c>
      <c r="B1965" s="436" t="s">
        <v>32384</v>
      </c>
      <c r="C1965" s="437" t="s">
        <v>165</v>
      </c>
      <c r="D1965" s="438">
        <v>179.42</v>
      </c>
    </row>
    <row r="1966" spans="1:4">
      <c r="A1966" s="435">
        <v>78880</v>
      </c>
      <c r="B1966" s="436" t="s">
        <v>32385</v>
      </c>
      <c r="C1966" s="437" t="s">
        <v>165</v>
      </c>
      <c r="D1966" s="438">
        <v>179.46</v>
      </c>
    </row>
    <row r="1967" spans="1:4">
      <c r="A1967" s="431">
        <v>79200</v>
      </c>
      <c r="B1967" s="432" t="s">
        <v>32386</v>
      </c>
      <c r="C1967" s="433"/>
      <c r="D1967" s="434" t="s">
        <v>30434</v>
      </c>
    </row>
    <row r="1968" spans="1:4">
      <c r="A1968" s="435">
        <v>79215</v>
      </c>
      <c r="B1968" s="436" t="s">
        <v>32387</v>
      </c>
      <c r="C1968" s="437" t="s">
        <v>30445</v>
      </c>
      <c r="D1968" s="438">
        <v>369.58</v>
      </c>
    </row>
    <row r="1969" spans="1:4">
      <c r="A1969" s="435">
        <v>79220</v>
      </c>
      <c r="B1969" s="436" t="s">
        <v>32388</v>
      </c>
      <c r="C1969" s="437" t="s">
        <v>30445</v>
      </c>
      <c r="D1969" s="438">
        <v>955.33</v>
      </c>
    </row>
    <row r="1970" spans="1:4">
      <c r="A1970" s="435">
        <v>79223</v>
      </c>
      <c r="B1970" s="436" t="s">
        <v>32389</v>
      </c>
      <c r="C1970" s="437" t="s">
        <v>30445</v>
      </c>
      <c r="D1970" s="438">
        <v>798.08</v>
      </c>
    </row>
    <row r="1971" spans="1:4">
      <c r="A1971" s="435">
        <v>79225</v>
      </c>
      <c r="B1971" s="436" t="s">
        <v>32390</v>
      </c>
      <c r="C1971" s="437" t="s">
        <v>30445</v>
      </c>
      <c r="D1971" s="438">
        <v>1318.05</v>
      </c>
    </row>
    <row r="1972" spans="1:4">
      <c r="A1972" s="435">
        <v>79230</v>
      </c>
      <c r="B1972" s="436" t="s">
        <v>32391</v>
      </c>
      <c r="C1972" s="437" t="s">
        <v>121</v>
      </c>
      <c r="D1972" s="438">
        <v>185.61</v>
      </c>
    </row>
    <row r="1973" spans="1:4">
      <c r="A1973" s="435">
        <v>79235</v>
      </c>
      <c r="B1973" s="436" t="s">
        <v>32392</v>
      </c>
      <c r="C1973" s="437" t="s">
        <v>32393</v>
      </c>
      <c r="D1973" s="438">
        <v>1419.9</v>
      </c>
    </row>
    <row r="1974" spans="1:4">
      <c r="A1974" s="435">
        <v>79240</v>
      </c>
      <c r="B1974" s="436" t="s">
        <v>32394</v>
      </c>
      <c r="C1974" s="437" t="s">
        <v>30445</v>
      </c>
      <c r="D1974" s="438">
        <v>842.25</v>
      </c>
    </row>
    <row r="1975" spans="1:4">
      <c r="A1975" s="435">
        <v>79245</v>
      </c>
      <c r="B1975" s="436" t="s">
        <v>32395</v>
      </c>
      <c r="C1975" s="437" t="s">
        <v>30445</v>
      </c>
      <c r="D1975" s="438">
        <v>363</v>
      </c>
    </row>
    <row r="1976" spans="1:4">
      <c r="A1976" s="431">
        <v>79600</v>
      </c>
      <c r="B1976" s="432" t="s">
        <v>30794</v>
      </c>
      <c r="C1976" s="433"/>
      <c r="D1976" s="434" t="s">
        <v>30434</v>
      </c>
    </row>
    <row r="1977" spans="1:4">
      <c r="A1977" s="435">
        <v>79608</v>
      </c>
      <c r="B1977" s="436" t="s">
        <v>32396</v>
      </c>
      <c r="C1977" s="437" t="s">
        <v>30445</v>
      </c>
      <c r="D1977" s="438">
        <v>16.66</v>
      </c>
    </row>
    <row r="1978" spans="1:4">
      <c r="A1978" s="435">
        <v>79617</v>
      </c>
      <c r="B1978" s="436" t="s">
        <v>32397</v>
      </c>
      <c r="C1978" s="437" t="s">
        <v>30445</v>
      </c>
      <c r="D1978" s="438">
        <v>9.2100000000000009</v>
      </c>
    </row>
    <row r="1979" spans="1:4">
      <c r="A1979" s="435">
        <v>79629</v>
      </c>
      <c r="B1979" s="436" t="s">
        <v>32398</v>
      </c>
      <c r="C1979" s="437" t="s">
        <v>30445</v>
      </c>
      <c r="D1979" s="438">
        <v>46.74</v>
      </c>
    </row>
    <row r="1980" spans="1:4">
      <c r="A1980" s="435">
        <v>79630</v>
      </c>
      <c r="B1980" s="436" t="s">
        <v>32399</v>
      </c>
      <c r="C1980" s="437" t="s">
        <v>30463</v>
      </c>
      <c r="D1980" s="438">
        <v>72.08</v>
      </c>
    </row>
    <row r="1981" spans="1:4">
      <c r="A1981" s="435">
        <v>79636</v>
      </c>
      <c r="B1981" s="436" t="s">
        <v>32400</v>
      </c>
      <c r="C1981" s="437" t="s">
        <v>30463</v>
      </c>
      <c r="D1981" s="438">
        <v>29.36</v>
      </c>
    </row>
    <row r="1982" spans="1:4">
      <c r="A1982" s="435">
        <v>79639</v>
      </c>
      <c r="B1982" s="436" t="s">
        <v>32401</v>
      </c>
      <c r="C1982" s="437" t="s">
        <v>165</v>
      </c>
      <c r="D1982" s="438">
        <v>0.12</v>
      </c>
    </row>
    <row r="1983" spans="1:4">
      <c r="A1983" s="435">
        <v>79640</v>
      </c>
      <c r="B1983" s="436" t="s">
        <v>32402</v>
      </c>
      <c r="C1983" s="437" t="s">
        <v>165</v>
      </c>
      <c r="D1983" s="438">
        <v>0.18</v>
      </c>
    </row>
    <row r="1984" spans="1:4">
      <c r="A1984" s="435">
        <v>79641</v>
      </c>
      <c r="B1984" s="436" t="s">
        <v>32403</v>
      </c>
      <c r="C1984" s="437" t="s">
        <v>165</v>
      </c>
      <c r="D1984" s="438">
        <v>0.3</v>
      </c>
    </row>
    <row r="1985" spans="1:4">
      <c r="A1985" s="435">
        <v>79653</v>
      </c>
      <c r="B1985" s="436" t="s">
        <v>32404</v>
      </c>
      <c r="C1985" s="437" t="s">
        <v>30463</v>
      </c>
      <c r="D1985" s="438">
        <v>244.73</v>
      </c>
    </row>
    <row r="1986" spans="1:4">
      <c r="A1986" s="435">
        <v>79656</v>
      </c>
      <c r="B1986" s="436" t="s">
        <v>32405</v>
      </c>
      <c r="C1986" s="437" t="s">
        <v>30463</v>
      </c>
      <c r="D1986" s="438">
        <v>185.13</v>
      </c>
    </row>
    <row r="1987" spans="1:4">
      <c r="A1987" s="435">
        <v>79659</v>
      </c>
      <c r="B1987" s="436" t="s">
        <v>32406</v>
      </c>
      <c r="C1987" s="437" t="s">
        <v>153</v>
      </c>
      <c r="D1987" s="438">
        <v>48.02</v>
      </c>
    </row>
    <row r="1988" spans="1:4">
      <c r="A1988" s="435">
        <v>79662</v>
      </c>
      <c r="B1988" s="436" t="s">
        <v>32407</v>
      </c>
      <c r="C1988" s="437" t="s">
        <v>30445</v>
      </c>
      <c r="D1988" s="438">
        <v>22.16</v>
      </c>
    </row>
    <row r="1989" spans="1:4">
      <c r="A1989" s="435">
        <v>79665</v>
      </c>
      <c r="B1989" s="436" t="s">
        <v>32408</v>
      </c>
      <c r="C1989" s="437" t="s">
        <v>30445</v>
      </c>
      <c r="D1989" s="438">
        <v>59.11</v>
      </c>
    </row>
    <row r="1990" spans="1:4">
      <c r="A1990" s="435">
        <v>79668</v>
      </c>
      <c r="B1990" s="436" t="s">
        <v>32409</v>
      </c>
      <c r="C1990" s="437" t="s">
        <v>30445</v>
      </c>
      <c r="D1990" s="438">
        <v>51.75</v>
      </c>
    </row>
    <row r="1991" spans="1:4">
      <c r="A1991" s="435">
        <v>79670</v>
      </c>
      <c r="B1991" s="436" t="s">
        <v>32410</v>
      </c>
      <c r="C1991" s="437" t="s">
        <v>30445</v>
      </c>
      <c r="D1991" s="438">
        <v>144.80000000000001</v>
      </c>
    </row>
    <row r="1992" spans="1:4">
      <c r="A1992" s="435">
        <v>79672</v>
      </c>
      <c r="B1992" s="436" t="s">
        <v>32411</v>
      </c>
      <c r="C1992" s="437" t="s">
        <v>30445</v>
      </c>
      <c r="D1992" s="438">
        <v>91.9</v>
      </c>
    </row>
    <row r="1993" spans="1:4">
      <c r="A1993" s="435">
        <v>79673</v>
      </c>
      <c r="B1993" s="436" t="s">
        <v>32412</v>
      </c>
      <c r="C1993" s="437" t="s">
        <v>30445</v>
      </c>
      <c r="D1993" s="438">
        <v>120.92</v>
      </c>
    </row>
    <row r="1994" spans="1:4">
      <c r="A1994" s="435">
        <v>79675</v>
      </c>
      <c r="B1994" s="436" t="s">
        <v>32413</v>
      </c>
      <c r="C1994" s="437" t="s">
        <v>30445</v>
      </c>
      <c r="D1994" s="438">
        <v>247.16</v>
      </c>
    </row>
    <row r="1995" spans="1:4">
      <c r="A1995" s="435">
        <v>79676</v>
      </c>
      <c r="B1995" s="436" t="s">
        <v>32414</v>
      </c>
      <c r="C1995" s="437" t="s">
        <v>30445</v>
      </c>
      <c r="D1995" s="438">
        <v>317.62</v>
      </c>
    </row>
    <row r="1996" spans="1:4">
      <c r="A1996" s="435">
        <v>79680</v>
      </c>
      <c r="B1996" s="436" t="s">
        <v>32415</v>
      </c>
      <c r="C1996" s="437" t="s">
        <v>30445</v>
      </c>
      <c r="D1996" s="438">
        <v>20.99</v>
      </c>
    </row>
    <row r="1997" spans="1:4">
      <c r="A1997" s="435">
        <v>79681</v>
      </c>
      <c r="B1997" s="436" t="s">
        <v>32416</v>
      </c>
      <c r="C1997" s="437" t="s">
        <v>30445</v>
      </c>
      <c r="D1997" s="438">
        <v>6.84</v>
      </c>
    </row>
    <row r="1998" spans="1:4">
      <c r="A1998" s="435">
        <v>79683</v>
      </c>
      <c r="B1998" s="436" t="s">
        <v>32417</v>
      </c>
      <c r="C1998" s="437" t="s">
        <v>30445</v>
      </c>
      <c r="D1998" s="438">
        <v>30.59</v>
      </c>
    </row>
    <row r="1999" spans="1:4">
      <c r="A1999" s="435">
        <v>79686</v>
      </c>
      <c r="B1999" s="436" t="s">
        <v>32418</v>
      </c>
      <c r="C1999" s="437" t="s">
        <v>30445</v>
      </c>
      <c r="D1999" s="438">
        <v>25.56</v>
      </c>
    </row>
    <row r="2000" spans="1:4">
      <c r="A2000" s="431">
        <v>79700</v>
      </c>
      <c r="B2000" s="432" t="s">
        <v>32419</v>
      </c>
      <c r="C2000" s="433"/>
      <c r="D2000" s="434" t="s">
        <v>30434</v>
      </c>
    </row>
    <row r="2001" spans="1:4">
      <c r="A2001" s="435">
        <v>79708</v>
      </c>
      <c r="B2001" s="436" t="s">
        <v>32420</v>
      </c>
      <c r="C2001" s="437" t="s">
        <v>165</v>
      </c>
      <c r="D2001" s="438">
        <v>58.85</v>
      </c>
    </row>
    <row r="2002" spans="1:4">
      <c r="A2002" s="435">
        <v>79709</v>
      </c>
      <c r="B2002" s="436" t="s">
        <v>32421</v>
      </c>
      <c r="C2002" s="437" t="s">
        <v>165</v>
      </c>
      <c r="D2002" s="438">
        <v>45.23</v>
      </c>
    </row>
    <row r="2003" spans="1:4">
      <c r="A2003" s="435">
        <v>79710</v>
      </c>
      <c r="B2003" s="436" t="s">
        <v>32422</v>
      </c>
      <c r="C2003" s="437" t="s">
        <v>165</v>
      </c>
      <c r="D2003" s="438">
        <v>34.979999999999997</v>
      </c>
    </row>
    <row r="2004" spans="1:4">
      <c r="A2004" s="435">
        <v>79711</v>
      </c>
      <c r="B2004" s="436" t="s">
        <v>32423</v>
      </c>
      <c r="C2004" s="437" t="s">
        <v>30445</v>
      </c>
      <c r="D2004" s="438">
        <v>8.2799999999999994</v>
      </c>
    </row>
    <row r="2005" spans="1:4">
      <c r="A2005" s="435">
        <v>79720</v>
      </c>
      <c r="B2005" s="436" t="s">
        <v>32424</v>
      </c>
      <c r="C2005" s="437" t="s">
        <v>30445</v>
      </c>
      <c r="D2005" s="438">
        <v>317.14</v>
      </c>
    </row>
    <row r="2006" spans="1:4">
      <c r="A2006" s="435">
        <v>79722</v>
      </c>
      <c r="B2006" s="436" t="s">
        <v>32425</v>
      </c>
      <c r="C2006" s="437" t="s">
        <v>30445</v>
      </c>
      <c r="D2006" s="438">
        <v>457.45</v>
      </c>
    </row>
    <row r="2007" spans="1:4">
      <c r="A2007" s="431">
        <v>79800</v>
      </c>
      <c r="B2007" s="432" t="s">
        <v>30794</v>
      </c>
      <c r="C2007" s="433"/>
      <c r="D2007" s="434" t="s">
        <v>30434</v>
      </c>
    </row>
    <row r="2008" spans="1:4">
      <c r="A2008" s="435">
        <v>79801</v>
      </c>
      <c r="B2008" s="436" t="s">
        <v>32426</v>
      </c>
      <c r="C2008" s="437" t="s">
        <v>30445</v>
      </c>
      <c r="D2008" s="438">
        <v>3695.05</v>
      </c>
    </row>
    <row r="2009" spans="1:4" ht="25">
      <c r="A2009" s="435">
        <v>79802</v>
      </c>
      <c r="B2009" s="436" t="s">
        <v>32427</v>
      </c>
      <c r="C2009" s="437" t="s">
        <v>30445</v>
      </c>
      <c r="D2009" s="438">
        <v>834.2</v>
      </c>
    </row>
    <row r="2010" spans="1:4">
      <c r="A2010" s="435">
        <v>79803</v>
      </c>
      <c r="B2010" s="436" t="s">
        <v>32428</v>
      </c>
      <c r="C2010" s="437" t="s">
        <v>30445</v>
      </c>
      <c r="D2010" s="438">
        <v>53.85</v>
      </c>
    </row>
    <row r="2011" spans="1:4" ht="25">
      <c r="A2011" s="435">
        <v>79804</v>
      </c>
      <c r="B2011" s="436" t="s">
        <v>32429</v>
      </c>
      <c r="C2011" s="437" t="s">
        <v>30445</v>
      </c>
      <c r="D2011" s="438">
        <v>183.76</v>
      </c>
    </row>
    <row r="2012" spans="1:4">
      <c r="A2012" s="435">
        <v>79805</v>
      </c>
      <c r="B2012" s="436" t="s">
        <v>32430</v>
      </c>
      <c r="C2012" s="437" t="s">
        <v>30445</v>
      </c>
      <c r="D2012" s="438">
        <v>11.96</v>
      </c>
    </row>
    <row r="2013" spans="1:4">
      <c r="A2013" s="435">
        <v>79806</v>
      </c>
      <c r="B2013" s="436" t="s">
        <v>32431</v>
      </c>
      <c r="C2013" s="437" t="s">
        <v>30445</v>
      </c>
      <c r="D2013" s="438">
        <v>11.3</v>
      </c>
    </row>
    <row r="2014" spans="1:4">
      <c r="A2014" s="435">
        <v>79807</v>
      </c>
      <c r="B2014" s="436" t="s">
        <v>32432</v>
      </c>
      <c r="C2014" s="437" t="s">
        <v>30445</v>
      </c>
      <c r="D2014" s="438">
        <v>31.01</v>
      </c>
    </row>
    <row r="2015" spans="1:4">
      <c r="A2015" s="435">
        <v>79811</v>
      </c>
      <c r="B2015" s="436" t="s">
        <v>32433</v>
      </c>
      <c r="C2015" s="437" t="s">
        <v>30445</v>
      </c>
      <c r="D2015" s="438">
        <v>1889.85</v>
      </c>
    </row>
    <row r="2016" spans="1:4" ht="25">
      <c r="A2016" s="435">
        <v>79820</v>
      </c>
      <c r="B2016" s="436" t="s">
        <v>32434</v>
      </c>
      <c r="C2016" s="437" t="s">
        <v>30445</v>
      </c>
      <c r="D2016" s="438">
        <v>8076.87</v>
      </c>
    </row>
    <row r="2017" spans="1:4" ht="25">
      <c r="A2017" s="435">
        <v>79821</v>
      </c>
      <c r="B2017" s="436" t="s">
        <v>32435</v>
      </c>
      <c r="C2017" s="437" t="s">
        <v>30445</v>
      </c>
      <c r="D2017" s="438">
        <v>8033.26</v>
      </c>
    </row>
    <row r="2018" spans="1:4" ht="25">
      <c r="A2018" s="435">
        <v>79822</v>
      </c>
      <c r="B2018" s="436" t="s">
        <v>32436</v>
      </c>
      <c r="C2018" s="437" t="s">
        <v>30445</v>
      </c>
      <c r="D2018" s="438">
        <v>7406.56</v>
      </c>
    </row>
    <row r="2019" spans="1:4" ht="25">
      <c r="A2019" s="435">
        <v>79823</v>
      </c>
      <c r="B2019" s="436" t="s">
        <v>32437</v>
      </c>
      <c r="C2019" s="437" t="s">
        <v>30445</v>
      </c>
      <c r="D2019" s="438">
        <v>3975.72</v>
      </c>
    </row>
    <row r="2020" spans="1:4" ht="25">
      <c r="A2020" s="435">
        <v>79824</v>
      </c>
      <c r="B2020" s="436" t="s">
        <v>32438</v>
      </c>
      <c r="C2020" s="437" t="s">
        <v>30445</v>
      </c>
      <c r="D2020" s="438">
        <v>3864.51</v>
      </c>
    </row>
    <row r="2021" spans="1:4">
      <c r="A2021" s="435">
        <v>79825</v>
      </c>
      <c r="B2021" s="436" t="s">
        <v>32439</v>
      </c>
      <c r="C2021" s="437" t="s">
        <v>30445</v>
      </c>
      <c r="D2021" s="438">
        <v>1551.75</v>
      </c>
    </row>
    <row r="2022" spans="1:4" ht="25">
      <c r="A2022" s="435">
        <v>79826</v>
      </c>
      <c r="B2022" s="436" t="s">
        <v>32440</v>
      </c>
      <c r="C2022" s="437" t="s">
        <v>30445</v>
      </c>
      <c r="D2022" s="438">
        <v>1792.08</v>
      </c>
    </row>
    <row r="2023" spans="1:4" ht="25">
      <c r="A2023" s="435">
        <v>79827</v>
      </c>
      <c r="B2023" s="436" t="s">
        <v>32441</v>
      </c>
      <c r="C2023" s="437" t="s">
        <v>30445</v>
      </c>
      <c r="D2023" s="438">
        <v>2704.88</v>
      </c>
    </row>
    <row r="2024" spans="1:4">
      <c r="A2024" s="435">
        <v>79828</v>
      </c>
      <c r="B2024" s="436" t="s">
        <v>32442</v>
      </c>
      <c r="C2024" s="437" t="s">
        <v>30445</v>
      </c>
      <c r="D2024" s="438">
        <v>1789.79</v>
      </c>
    </row>
    <row r="2025" spans="1:4">
      <c r="A2025" s="435">
        <v>79840</v>
      </c>
      <c r="B2025" s="436" t="s">
        <v>32443</v>
      </c>
      <c r="C2025" s="437" t="s">
        <v>30445</v>
      </c>
      <c r="D2025" s="438">
        <v>1419.95</v>
      </c>
    </row>
    <row r="2026" spans="1:4">
      <c r="A2026" s="435">
        <v>79841</v>
      </c>
      <c r="B2026" s="436" t="s">
        <v>32444</v>
      </c>
      <c r="C2026" s="437" t="s">
        <v>30445</v>
      </c>
      <c r="D2026" s="438">
        <v>2050.4699999999998</v>
      </c>
    </row>
    <row r="2027" spans="1:4">
      <c r="A2027" s="435">
        <v>79842</v>
      </c>
      <c r="B2027" s="436" t="s">
        <v>32445</v>
      </c>
      <c r="C2027" s="437" t="s">
        <v>30445</v>
      </c>
      <c r="D2027" s="438">
        <v>1461.97</v>
      </c>
    </row>
    <row r="2028" spans="1:4">
      <c r="A2028" s="435">
        <v>79843</v>
      </c>
      <c r="B2028" s="436" t="s">
        <v>32446</v>
      </c>
      <c r="C2028" s="437" t="s">
        <v>30445</v>
      </c>
      <c r="D2028" s="438">
        <v>2311.79</v>
      </c>
    </row>
    <row r="2029" spans="1:4" ht="25">
      <c r="A2029" s="435">
        <v>79844</v>
      </c>
      <c r="B2029" s="436" t="s">
        <v>32447</v>
      </c>
      <c r="C2029" s="437" t="s">
        <v>30445</v>
      </c>
      <c r="D2029" s="438">
        <v>1908.24</v>
      </c>
    </row>
    <row r="2030" spans="1:4" ht="25">
      <c r="A2030" s="435">
        <v>79845</v>
      </c>
      <c r="B2030" s="436" t="s">
        <v>32448</v>
      </c>
      <c r="C2030" s="437" t="s">
        <v>30445</v>
      </c>
      <c r="D2030" s="438">
        <v>6698.48</v>
      </c>
    </row>
    <row r="2031" spans="1:4">
      <c r="A2031" s="435">
        <v>79846</v>
      </c>
      <c r="B2031" s="436" t="s">
        <v>32449</v>
      </c>
      <c r="C2031" s="437" t="s">
        <v>30445</v>
      </c>
      <c r="D2031" s="438">
        <v>4080.2</v>
      </c>
    </row>
    <row r="2032" spans="1:4">
      <c r="A2032" s="435">
        <v>79847</v>
      </c>
      <c r="B2032" s="436" t="s">
        <v>32450</v>
      </c>
      <c r="C2032" s="437" t="s">
        <v>30445</v>
      </c>
      <c r="D2032" s="438">
        <v>5974.56</v>
      </c>
    </row>
    <row r="2033" spans="1:4" ht="25">
      <c r="A2033" s="435">
        <v>79848</v>
      </c>
      <c r="B2033" s="436" t="s">
        <v>32451</v>
      </c>
      <c r="C2033" s="437" t="s">
        <v>30445</v>
      </c>
      <c r="D2033" s="438">
        <v>2636.58</v>
      </c>
    </row>
    <row r="2034" spans="1:4" ht="25">
      <c r="A2034" s="435">
        <v>79849</v>
      </c>
      <c r="B2034" s="436" t="s">
        <v>32452</v>
      </c>
      <c r="C2034" s="437" t="s">
        <v>30445</v>
      </c>
      <c r="D2034" s="438">
        <v>3787.11</v>
      </c>
    </row>
    <row r="2035" spans="1:4">
      <c r="A2035" s="435">
        <v>79850</v>
      </c>
      <c r="B2035" s="436" t="s">
        <v>32453</v>
      </c>
      <c r="C2035" s="437" t="s">
        <v>30445</v>
      </c>
      <c r="D2035" s="438">
        <v>2213.37</v>
      </c>
    </row>
    <row r="2036" spans="1:4" ht="25">
      <c r="A2036" s="435">
        <v>79851</v>
      </c>
      <c r="B2036" s="436" t="s">
        <v>32454</v>
      </c>
      <c r="C2036" s="437" t="s">
        <v>30445</v>
      </c>
      <c r="D2036" s="438">
        <v>3851.89</v>
      </c>
    </row>
    <row r="2037" spans="1:4" ht="25">
      <c r="A2037" s="435">
        <v>79852</v>
      </c>
      <c r="B2037" s="436" t="s">
        <v>32455</v>
      </c>
      <c r="C2037" s="437" t="s">
        <v>30445</v>
      </c>
      <c r="D2037" s="438">
        <v>5423.15</v>
      </c>
    </row>
    <row r="2038" spans="1:4">
      <c r="A2038" s="435">
        <v>79853</v>
      </c>
      <c r="B2038" s="436" t="s">
        <v>32456</v>
      </c>
      <c r="C2038" s="437" t="s">
        <v>30445</v>
      </c>
      <c r="D2038" s="438">
        <v>1402.99</v>
      </c>
    </row>
    <row r="2039" spans="1:4" ht="25">
      <c r="A2039" s="435">
        <v>79854</v>
      </c>
      <c r="B2039" s="436" t="s">
        <v>32457</v>
      </c>
      <c r="C2039" s="437" t="s">
        <v>30445</v>
      </c>
      <c r="D2039" s="438">
        <v>1942.58</v>
      </c>
    </row>
    <row r="2040" spans="1:4">
      <c r="A2040" s="435">
        <v>79855</v>
      </c>
      <c r="B2040" s="436" t="s">
        <v>32458</v>
      </c>
      <c r="C2040" s="437" t="s">
        <v>30445</v>
      </c>
      <c r="D2040" s="438">
        <v>4994.54</v>
      </c>
    </row>
    <row r="2041" spans="1:4">
      <c r="A2041" s="435">
        <v>79856</v>
      </c>
      <c r="B2041" s="436" t="s">
        <v>32459</v>
      </c>
      <c r="C2041" s="437" t="s">
        <v>30445</v>
      </c>
      <c r="D2041" s="438">
        <v>6905.02</v>
      </c>
    </row>
    <row r="2042" spans="1:4">
      <c r="A2042" s="435">
        <v>79857</v>
      </c>
      <c r="B2042" s="436" t="s">
        <v>32460</v>
      </c>
      <c r="C2042" s="437" t="s">
        <v>30445</v>
      </c>
      <c r="D2042" s="438">
        <v>1940.23</v>
      </c>
    </row>
    <row r="2043" spans="1:4">
      <c r="A2043" s="435">
        <v>79858</v>
      </c>
      <c r="B2043" s="436" t="s">
        <v>32461</v>
      </c>
      <c r="C2043" s="437" t="s">
        <v>30445</v>
      </c>
      <c r="D2043" s="438">
        <v>5572.98</v>
      </c>
    </row>
    <row r="2044" spans="1:4">
      <c r="A2044" s="435">
        <v>79859</v>
      </c>
      <c r="B2044" s="436" t="s">
        <v>32462</v>
      </c>
      <c r="C2044" s="437" t="s">
        <v>30445</v>
      </c>
      <c r="D2044" s="438">
        <v>3690.96</v>
      </c>
    </row>
    <row r="2045" spans="1:4">
      <c r="A2045" s="435">
        <v>79860</v>
      </c>
      <c r="B2045" s="436" t="s">
        <v>32463</v>
      </c>
      <c r="C2045" s="437" t="s">
        <v>30445</v>
      </c>
      <c r="D2045" s="438">
        <v>3005.35</v>
      </c>
    </row>
    <row r="2046" spans="1:4" ht="25">
      <c r="A2046" s="435">
        <v>79861</v>
      </c>
      <c r="B2046" s="436" t="s">
        <v>32464</v>
      </c>
      <c r="C2046" s="437" t="s">
        <v>30445</v>
      </c>
      <c r="D2046" s="438">
        <v>3488.32</v>
      </c>
    </row>
    <row r="2047" spans="1:4">
      <c r="A2047" s="435">
        <v>79862</v>
      </c>
      <c r="B2047" s="436" t="s">
        <v>32465</v>
      </c>
      <c r="C2047" s="437" t="s">
        <v>30445</v>
      </c>
      <c r="D2047" s="438">
        <v>1363.56</v>
      </c>
    </row>
    <row r="2048" spans="1:4" ht="37">
      <c r="A2048" s="435">
        <v>80001</v>
      </c>
      <c r="B2048" s="436" t="s">
        <v>39336</v>
      </c>
      <c r="C2048" s="437" t="s">
        <v>32466</v>
      </c>
      <c r="D2048" s="438">
        <v>30.29</v>
      </c>
    </row>
    <row r="2049" spans="1:4" ht="37">
      <c r="A2049" s="435">
        <v>80002</v>
      </c>
      <c r="B2049" s="436" t="s">
        <v>32467</v>
      </c>
      <c r="C2049" s="437" t="s">
        <v>32466</v>
      </c>
      <c r="D2049" s="438">
        <v>17.48</v>
      </c>
    </row>
    <row r="2050" spans="1:4">
      <c r="A2050" s="435">
        <v>80004</v>
      </c>
      <c r="B2050" s="436" t="s">
        <v>32468</v>
      </c>
      <c r="C2050" s="437" t="s">
        <v>30445</v>
      </c>
      <c r="D2050" s="438">
        <v>4202.9399999999996</v>
      </c>
    </row>
    <row r="2051" spans="1:4" ht="25">
      <c r="A2051" s="435">
        <v>80005</v>
      </c>
      <c r="B2051" s="436" t="s">
        <v>39337</v>
      </c>
      <c r="C2051" s="437" t="s">
        <v>30445</v>
      </c>
      <c r="D2051" s="438">
        <v>996.63</v>
      </c>
    </row>
    <row r="2052" spans="1:4">
      <c r="A2052" s="435">
        <v>80010</v>
      </c>
      <c r="B2052" s="436" t="s">
        <v>39338</v>
      </c>
      <c r="C2052" s="437" t="s">
        <v>30445</v>
      </c>
      <c r="D2052" s="438">
        <v>8261.4</v>
      </c>
    </row>
    <row r="2053" spans="1:4" ht="25">
      <c r="A2053" s="435">
        <v>80011</v>
      </c>
      <c r="B2053" s="436" t="s">
        <v>39339</v>
      </c>
      <c r="C2053" s="437" t="s">
        <v>30445</v>
      </c>
      <c r="D2053" s="438">
        <v>7476.3</v>
      </c>
    </row>
    <row r="2054" spans="1:4" ht="25">
      <c r="A2054" s="435">
        <v>80013</v>
      </c>
      <c r="B2054" s="436" t="s">
        <v>39340</v>
      </c>
      <c r="C2054" s="437" t="s">
        <v>30445</v>
      </c>
      <c r="D2054" s="438">
        <v>5258.64</v>
      </c>
    </row>
    <row r="2055" spans="1:4">
      <c r="A2055" s="435">
        <v>80014</v>
      </c>
      <c r="B2055" s="436" t="s">
        <v>32469</v>
      </c>
      <c r="C2055" s="437" t="s">
        <v>30445</v>
      </c>
      <c r="D2055" s="438">
        <v>285.17</v>
      </c>
    </row>
    <row r="2056" spans="1:4" ht="37">
      <c r="A2056" s="435">
        <v>80015</v>
      </c>
      <c r="B2056" s="436" t="s">
        <v>39341</v>
      </c>
      <c r="C2056" s="437" t="s">
        <v>32470</v>
      </c>
      <c r="D2056" s="438">
        <v>3.68</v>
      </c>
    </row>
    <row r="2057" spans="1:4">
      <c r="A2057" s="435">
        <v>80022</v>
      </c>
      <c r="B2057" s="436" t="s">
        <v>32471</v>
      </c>
      <c r="C2057" s="437" t="s">
        <v>30463</v>
      </c>
      <c r="D2057" s="438">
        <v>3.85</v>
      </c>
    </row>
    <row r="2058" spans="1:4">
      <c r="A2058" s="435">
        <v>80026</v>
      </c>
      <c r="B2058" s="436" t="s">
        <v>39342</v>
      </c>
      <c r="C2058" s="437" t="s">
        <v>32748</v>
      </c>
      <c r="D2058" s="438">
        <v>19980.28</v>
      </c>
    </row>
    <row r="2059" spans="1:4">
      <c r="A2059" s="435">
        <v>80027</v>
      </c>
      <c r="B2059" s="436" t="s">
        <v>39343</v>
      </c>
      <c r="C2059" s="437" t="s">
        <v>32748</v>
      </c>
      <c r="D2059" s="438">
        <v>19185.77</v>
      </c>
    </row>
    <row r="2060" spans="1:4">
      <c r="A2060" s="435">
        <v>80028</v>
      </c>
      <c r="B2060" s="436" t="s">
        <v>39344</v>
      </c>
      <c r="C2060" s="437" t="s">
        <v>32748</v>
      </c>
      <c r="D2060" s="438">
        <v>6921.07</v>
      </c>
    </row>
    <row r="2061" spans="1:4" ht="25">
      <c r="A2061" s="435">
        <v>80031</v>
      </c>
      <c r="B2061" s="436" t="s">
        <v>32472</v>
      </c>
      <c r="C2061" s="437" t="s">
        <v>31118</v>
      </c>
      <c r="D2061" s="438">
        <v>395.13</v>
      </c>
    </row>
    <row r="2062" spans="1:4" ht="25">
      <c r="A2062" s="435">
        <v>80032</v>
      </c>
      <c r="B2062" s="436" t="s">
        <v>32473</v>
      </c>
      <c r="C2062" s="437" t="s">
        <v>31118</v>
      </c>
      <c r="D2062" s="438">
        <v>129.94999999999999</v>
      </c>
    </row>
    <row r="2063" spans="1:4" ht="25">
      <c r="A2063" s="435">
        <v>80033</v>
      </c>
      <c r="B2063" s="436" t="s">
        <v>32474</v>
      </c>
      <c r="C2063" s="437" t="s">
        <v>31118</v>
      </c>
      <c r="D2063" s="438">
        <v>125.1</v>
      </c>
    </row>
    <row r="2064" spans="1:4">
      <c r="A2064" s="435">
        <v>80034</v>
      </c>
      <c r="B2064" s="436" t="s">
        <v>32475</v>
      </c>
      <c r="C2064" s="437" t="s">
        <v>31118</v>
      </c>
      <c r="D2064" s="438">
        <v>235.26</v>
      </c>
    </row>
    <row r="2065" spans="1:4">
      <c r="A2065" s="431">
        <v>82000</v>
      </c>
      <c r="B2065" s="432" t="s">
        <v>32476</v>
      </c>
      <c r="C2065" s="433"/>
      <c r="D2065" s="434" t="s">
        <v>30434</v>
      </c>
    </row>
    <row r="2066" spans="1:4">
      <c r="A2066" s="435">
        <v>82030</v>
      </c>
      <c r="B2066" s="436" t="s">
        <v>32477</v>
      </c>
      <c r="C2066" s="437" t="s">
        <v>32478</v>
      </c>
      <c r="D2066" s="438">
        <v>6.67</v>
      </c>
    </row>
    <row r="2067" spans="1:4">
      <c r="A2067" s="431">
        <v>84000</v>
      </c>
      <c r="B2067" s="432" t="s">
        <v>30794</v>
      </c>
      <c r="C2067" s="433"/>
      <c r="D2067" s="434" t="s">
        <v>30434</v>
      </c>
    </row>
    <row r="2068" spans="1:4" ht="25">
      <c r="A2068" s="435">
        <v>84001</v>
      </c>
      <c r="B2068" s="436" t="s">
        <v>32479</v>
      </c>
      <c r="C2068" s="437" t="s">
        <v>121</v>
      </c>
      <c r="D2068" s="438">
        <v>65.42</v>
      </c>
    </row>
    <row r="2069" spans="1:4" ht="25">
      <c r="A2069" s="435">
        <v>84002</v>
      </c>
      <c r="B2069" s="436" t="s">
        <v>32480</v>
      </c>
      <c r="C2069" s="437" t="s">
        <v>121</v>
      </c>
      <c r="D2069" s="438">
        <v>2.54</v>
      </c>
    </row>
    <row r="2070" spans="1:4" ht="25">
      <c r="A2070" s="435">
        <v>84003</v>
      </c>
      <c r="B2070" s="436" t="s">
        <v>32481</v>
      </c>
      <c r="C2070" s="437" t="s">
        <v>121</v>
      </c>
      <c r="D2070" s="438">
        <v>46.03</v>
      </c>
    </row>
    <row r="2071" spans="1:4">
      <c r="A2071" s="435">
        <v>84005</v>
      </c>
      <c r="B2071" s="436" t="s">
        <v>32482</v>
      </c>
      <c r="C2071" s="437" t="s">
        <v>32483</v>
      </c>
      <c r="D2071" s="438">
        <v>149.54</v>
      </c>
    </row>
    <row r="2072" spans="1:4">
      <c r="A2072" s="435">
        <v>84006</v>
      </c>
      <c r="B2072" s="436" t="s">
        <v>32484</v>
      </c>
      <c r="C2072" s="437" t="s">
        <v>32483</v>
      </c>
      <c r="D2072" s="438">
        <v>48.98</v>
      </c>
    </row>
    <row r="2073" spans="1:4">
      <c r="A2073" s="435">
        <v>84009</v>
      </c>
      <c r="B2073" s="436" t="s">
        <v>32485</v>
      </c>
      <c r="C2073" s="437" t="s">
        <v>30463</v>
      </c>
      <c r="D2073" s="438">
        <v>66.290000000000006</v>
      </c>
    </row>
    <row r="2074" spans="1:4">
      <c r="A2074" s="435">
        <v>84010</v>
      </c>
      <c r="B2074" s="436" t="s">
        <v>32486</v>
      </c>
      <c r="C2074" s="437" t="s">
        <v>30445</v>
      </c>
      <c r="D2074" s="438">
        <v>3.55</v>
      </c>
    </row>
    <row r="2075" spans="1:4" ht="25">
      <c r="A2075" s="435">
        <v>84011</v>
      </c>
      <c r="B2075" s="436" t="s">
        <v>32487</v>
      </c>
      <c r="C2075" s="437" t="s">
        <v>30463</v>
      </c>
      <c r="D2075" s="438">
        <v>13.73</v>
      </c>
    </row>
    <row r="2076" spans="1:4">
      <c r="A2076" s="435">
        <v>84020</v>
      </c>
      <c r="B2076" s="436" t="s">
        <v>32488</v>
      </c>
      <c r="C2076" s="437" t="s">
        <v>165</v>
      </c>
      <c r="D2076" s="438">
        <v>5.46</v>
      </c>
    </row>
    <row r="2077" spans="1:4" ht="25">
      <c r="A2077" s="435">
        <v>84021</v>
      </c>
      <c r="B2077" s="436" t="s">
        <v>32489</v>
      </c>
      <c r="C2077" s="437" t="s">
        <v>165</v>
      </c>
      <c r="D2077" s="438">
        <v>82.59</v>
      </c>
    </row>
    <row r="2078" spans="1:4" ht="25">
      <c r="A2078" s="435">
        <v>84082</v>
      </c>
      <c r="B2078" s="436" t="s">
        <v>32490</v>
      </c>
      <c r="C2078" s="437" t="s">
        <v>30445</v>
      </c>
      <c r="D2078" s="438">
        <v>1.55</v>
      </c>
    </row>
    <row r="2079" spans="1:4" ht="25">
      <c r="A2079" s="435">
        <v>84083</v>
      </c>
      <c r="B2079" s="436" t="s">
        <v>32491</v>
      </c>
      <c r="C2079" s="437" t="s">
        <v>30445</v>
      </c>
      <c r="D2079" s="438">
        <v>2.4300000000000002</v>
      </c>
    </row>
    <row r="2080" spans="1:4" ht="25">
      <c r="A2080" s="435">
        <v>84084</v>
      </c>
      <c r="B2080" s="436" t="s">
        <v>32492</v>
      </c>
      <c r="C2080" s="437" t="s">
        <v>30445</v>
      </c>
      <c r="D2080" s="438">
        <v>1.56</v>
      </c>
    </row>
    <row r="2081" spans="1:4" ht="25">
      <c r="A2081" s="435">
        <v>84085</v>
      </c>
      <c r="B2081" s="436" t="s">
        <v>32493</v>
      </c>
      <c r="C2081" s="437" t="s">
        <v>30445</v>
      </c>
      <c r="D2081" s="438">
        <v>5.51</v>
      </c>
    </row>
    <row r="2082" spans="1:4">
      <c r="A2082" s="435">
        <v>84086</v>
      </c>
      <c r="B2082" s="436" t="s">
        <v>32494</v>
      </c>
      <c r="C2082" s="437" t="s">
        <v>509</v>
      </c>
      <c r="D2082" s="438">
        <v>15.55</v>
      </c>
    </row>
    <row r="2083" spans="1:4">
      <c r="A2083" s="435">
        <v>84088</v>
      </c>
      <c r="B2083" s="436" t="s">
        <v>32495</v>
      </c>
      <c r="C2083" s="437" t="s">
        <v>30445</v>
      </c>
      <c r="D2083" s="438">
        <v>11.36</v>
      </c>
    </row>
    <row r="2084" spans="1:4">
      <c r="A2084" s="435">
        <v>84089</v>
      </c>
      <c r="B2084" s="436" t="s">
        <v>32496</v>
      </c>
      <c r="C2084" s="437" t="s">
        <v>30445</v>
      </c>
      <c r="D2084" s="438">
        <v>13.98</v>
      </c>
    </row>
    <row r="2085" spans="1:4">
      <c r="A2085" s="435">
        <v>84090</v>
      </c>
      <c r="B2085" s="436" t="s">
        <v>32497</v>
      </c>
      <c r="C2085" s="437" t="s">
        <v>30445</v>
      </c>
      <c r="D2085" s="438">
        <v>14.73</v>
      </c>
    </row>
    <row r="2086" spans="1:4">
      <c r="A2086" s="435">
        <v>84091</v>
      </c>
      <c r="B2086" s="436" t="s">
        <v>32498</v>
      </c>
      <c r="C2086" s="437" t="s">
        <v>30445</v>
      </c>
      <c r="D2086" s="438">
        <v>19.72</v>
      </c>
    </row>
    <row r="2087" spans="1:4" ht="25">
      <c r="A2087" s="435">
        <v>84096</v>
      </c>
      <c r="B2087" s="436" t="s">
        <v>32499</v>
      </c>
      <c r="C2087" s="437" t="s">
        <v>30463</v>
      </c>
      <c r="D2087" s="438">
        <v>19.07</v>
      </c>
    </row>
    <row r="2088" spans="1:4">
      <c r="A2088" s="435">
        <v>84102</v>
      </c>
      <c r="B2088" s="436" t="s">
        <v>32500</v>
      </c>
      <c r="C2088" s="437" t="s">
        <v>30463</v>
      </c>
      <c r="D2088" s="438">
        <v>11.57</v>
      </c>
    </row>
    <row r="2089" spans="1:4">
      <c r="A2089" s="435">
        <v>84103</v>
      </c>
      <c r="B2089" s="436" t="s">
        <v>32501</v>
      </c>
      <c r="C2089" s="437" t="s">
        <v>30445</v>
      </c>
      <c r="D2089" s="438">
        <v>3.32</v>
      </c>
    </row>
    <row r="2090" spans="1:4">
      <c r="A2090" s="435">
        <v>84104</v>
      </c>
      <c r="B2090" s="436" t="s">
        <v>32502</v>
      </c>
      <c r="C2090" s="437" t="s">
        <v>165</v>
      </c>
      <c r="D2090" s="438">
        <v>3.36</v>
      </c>
    </row>
    <row r="2091" spans="1:4">
      <c r="A2091" s="435">
        <v>84110</v>
      </c>
      <c r="B2091" s="436" t="s">
        <v>32503</v>
      </c>
      <c r="C2091" s="437" t="s">
        <v>30445</v>
      </c>
      <c r="D2091" s="438">
        <v>1.46</v>
      </c>
    </row>
    <row r="2092" spans="1:4" ht="25">
      <c r="A2092" s="435">
        <v>84201</v>
      </c>
      <c r="B2092" s="436" t="s">
        <v>32504</v>
      </c>
      <c r="C2092" s="437" t="s">
        <v>32470</v>
      </c>
      <c r="D2092" s="438">
        <v>0.49</v>
      </c>
    </row>
    <row r="2093" spans="1:4" ht="25">
      <c r="A2093" s="435">
        <v>84203</v>
      </c>
      <c r="B2093" s="436" t="s">
        <v>32505</v>
      </c>
      <c r="C2093" s="437" t="s">
        <v>32470</v>
      </c>
      <c r="D2093" s="438">
        <v>0.66</v>
      </c>
    </row>
    <row r="2094" spans="1:4" ht="25">
      <c r="A2094" s="435">
        <v>84205</v>
      </c>
      <c r="B2094" s="436" t="s">
        <v>32506</v>
      </c>
      <c r="C2094" s="437" t="s">
        <v>32470</v>
      </c>
      <c r="D2094" s="438">
        <v>0.88</v>
      </c>
    </row>
    <row r="2095" spans="1:4" ht="25">
      <c r="A2095" s="435">
        <v>84207</v>
      </c>
      <c r="B2095" s="436" t="s">
        <v>32507</v>
      </c>
      <c r="C2095" s="437" t="s">
        <v>32470</v>
      </c>
      <c r="D2095" s="438">
        <v>1.1499999999999999</v>
      </c>
    </row>
    <row r="2096" spans="1:4" ht="25">
      <c r="A2096" s="435">
        <v>84209</v>
      </c>
      <c r="B2096" s="436" t="s">
        <v>32508</v>
      </c>
      <c r="C2096" s="437" t="s">
        <v>32470</v>
      </c>
      <c r="D2096" s="438">
        <v>1.4</v>
      </c>
    </row>
    <row r="2097" spans="1:4" ht="25">
      <c r="A2097" s="435">
        <v>84211</v>
      </c>
      <c r="B2097" s="436" t="s">
        <v>32509</v>
      </c>
      <c r="C2097" s="437" t="s">
        <v>32470</v>
      </c>
      <c r="D2097" s="438">
        <v>4</v>
      </c>
    </row>
    <row r="2098" spans="1:4" ht="25">
      <c r="A2098" s="435">
        <v>84213</v>
      </c>
      <c r="B2098" s="436" t="s">
        <v>32510</v>
      </c>
      <c r="C2098" s="437" t="s">
        <v>32470</v>
      </c>
      <c r="D2098" s="438">
        <v>4</v>
      </c>
    </row>
    <row r="2099" spans="1:4" ht="25">
      <c r="A2099" s="435">
        <v>84215</v>
      </c>
      <c r="B2099" s="436" t="s">
        <v>32511</v>
      </c>
      <c r="C2099" s="437" t="s">
        <v>32470</v>
      </c>
      <c r="D2099" s="438">
        <v>4.51</v>
      </c>
    </row>
    <row r="2100" spans="1:4" ht="25">
      <c r="A2100" s="435">
        <v>84217</v>
      </c>
      <c r="B2100" s="436" t="s">
        <v>32512</v>
      </c>
      <c r="C2100" s="437" t="s">
        <v>32470</v>
      </c>
      <c r="D2100" s="438">
        <v>4.5999999999999996</v>
      </c>
    </row>
    <row r="2101" spans="1:4" ht="25">
      <c r="A2101" s="435">
        <v>84219</v>
      </c>
      <c r="B2101" s="436" t="s">
        <v>32513</v>
      </c>
      <c r="C2101" s="437" t="s">
        <v>32470</v>
      </c>
      <c r="D2101" s="438">
        <v>4.83</v>
      </c>
    </row>
    <row r="2102" spans="1:4" ht="25">
      <c r="A2102" s="435">
        <v>84221</v>
      </c>
      <c r="B2102" s="436" t="s">
        <v>32514</v>
      </c>
      <c r="C2102" s="437" t="s">
        <v>32470</v>
      </c>
      <c r="D2102" s="438">
        <v>5.16</v>
      </c>
    </row>
    <row r="2103" spans="1:4" ht="25">
      <c r="A2103" s="435">
        <v>84223</v>
      </c>
      <c r="B2103" s="436" t="s">
        <v>32515</v>
      </c>
      <c r="C2103" s="437" t="s">
        <v>32470</v>
      </c>
      <c r="D2103" s="438">
        <v>5.86</v>
      </c>
    </row>
    <row r="2104" spans="1:4" ht="25">
      <c r="A2104" s="435">
        <v>84225</v>
      </c>
      <c r="B2104" s="436" t="s">
        <v>32516</v>
      </c>
      <c r="C2104" s="437" t="s">
        <v>32470</v>
      </c>
      <c r="D2104" s="438">
        <v>7.83</v>
      </c>
    </row>
    <row r="2105" spans="1:4">
      <c r="A2105" s="435">
        <v>84510</v>
      </c>
      <c r="B2105" s="436" t="s">
        <v>32517</v>
      </c>
      <c r="C2105" s="437" t="s">
        <v>30445</v>
      </c>
      <c r="D2105" s="438">
        <v>6.65</v>
      </c>
    </row>
    <row r="2106" spans="1:4" ht="25">
      <c r="A2106" s="435">
        <v>84520</v>
      </c>
      <c r="B2106" s="436" t="s">
        <v>32518</v>
      </c>
      <c r="C2106" s="437" t="s">
        <v>509</v>
      </c>
      <c r="D2106" s="438">
        <v>1.48</v>
      </c>
    </row>
    <row r="2107" spans="1:4">
      <c r="A2107" s="435">
        <v>84530</v>
      </c>
      <c r="B2107" s="436" t="s">
        <v>32519</v>
      </c>
      <c r="C2107" s="437" t="s">
        <v>165</v>
      </c>
      <c r="D2107" s="438">
        <v>328.66</v>
      </c>
    </row>
    <row r="2108" spans="1:4">
      <c r="A2108" s="435">
        <v>85001</v>
      </c>
      <c r="B2108" s="436" t="s">
        <v>32520</v>
      </c>
      <c r="C2108" s="437" t="s">
        <v>30445</v>
      </c>
      <c r="D2108" s="438">
        <v>87.7</v>
      </c>
    </row>
    <row r="2109" spans="1:4">
      <c r="A2109" s="435">
        <v>85002</v>
      </c>
      <c r="B2109" s="436" t="s">
        <v>32521</v>
      </c>
      <c r="C2109" s="437" t="s">
        <v>30445</v>
      </c>
      <c r="D2109" s="438">
        <v>288.77999999999997</v>
      </c>
    </row>
    <row r="2110" spans="1:4" ht="25">
      <c r="A2110" s="435">
        <v>85003</v>
      </c>
      <c r="B2110" s="436" t="s">
        <v>32522</v>
      </c>
      <c r="C2110" s="437" t="s">
        <v>30445</v>
      </c>
      <c r="D2110" s="438">
        <v>578.73</v>
      </c>
    </row>
    <row r="2111" spans="1:4" ht="25">
      <c r="A2111" s="435">
        <v>86010</v>
      </c>
      <c r="B2111" s="436" t="s">
        <v>32523</v>
      </c>
      <c r="C2111" s="437" t="s">
        <v>30445</v>
      </c>
      <c r="D2111" s="438">
        <v>2715.37</v>
      </c>
    </row>
    <row r="2112" spans="1:4" ht="25">
      <c r="A2112" s="435">
        <v>86020</v>
      </c>
      <c r="B2112" s="436" t="s">
        <v>32524</v>
      </c>
      <c r="C2112" s="437" t="s">
        <v>30445</v>
      </c>
      <c r="D2112" s="438">
        <v>21.15</v>
      </c>
    </row>
    <row r="2113" spans="1:4">
      <c r="A2113" s="435">
        <v>86029</v>
      </c>
      <c r="B2113" s="436" t="s">
        <v>32525</v>
      </c>
      <c r="C2113" s="437" t="s">
        <v>30445</v>
      </c>
      <c r="D2113" s="438">
        <v>19.7</v>
      </c>
    </row>
    <row r="2114" spans="1:4">
      <c r="A2114" s="435">
        <v>86030</v>
      </c>
      <c r="B2114" s="436" t="s">
        <v>32526</v>
      </c>
      <c r="C2114" s="437" t="s">
        <v>30445</v>
      </c>
      <c r="D2114" s="438">
        <v>76.209999999999994</v>
      </c>
    </row>
    <row r="2115" spans="1:4">
      <c r="A2115" s="435">
        <v>86040</v>
      </c>
      <c r="B2115" s="436" t="s">
        <v>32527</v>
      </c>
      <c r="C2115" s="437" t="s">
        <v>30445</v>
      </c>
      <c r="D2115" s="438">
        <v>19.3</v>
      </c>
    </row>
    <row r="2116" spans="1:4" ht="25">
      <c r="A2116" s="435">
        <v>86050</v>
      </c>
      <c r="B2116" s="436" t="s">
        <v>32528</v>
      </c>
      <c r="C2116" s="437" t="s">
        <v>32393</v>
      </c>
      <c r="D2116" s="438">
        <v>295.12</v>
      </c>
    </row>
    <row r="2117" spans="1:4" ht="25">
      <c r="A2117" s="435">
        <v>86060</v>
      </c>
      <c r="B2117" s="436" t="s">
        <v>32529</v>
      </c>
      <c r="C2117" s="437" t="s">
        <v>32530</v>
      </c>
      <c r="D2117" s="438">
        <v>1927.99</v>
      </c>
    </row>
    <row r="2118" spans="1:4" ht="25">
      <c r="A2118" s="435">
        <v>86070</v>
      </c>
      <c r="B2118" s="436" t="s">
        <v>32531</v>
      </c>
      <c r="C2118" s="437" t="s">
        <v>32532</v>
      </c>
      <c r="D2118" s="438">
        <v>243.12</v>
      </c>
    </row>
    <row r="2119" spans="1:4">
      <c r="A2119" s="435">
        <v>86080</v>
      </c>
      <c r="B2119" s="436" t="s">
        <v>32533</v>
      </c>
      <c r="C2119" s="437" t="s">
        <v>30445</v>
      </c>
      <c r="D2119" s="438">
        <v>3447.11</v>
      </c>
    </row>
    <row r="2120" spans="1:4">
      <c r="A2120" s="435">
        <v>86081</v>
      </c>
      <c r="B2120" s="436" t="s">
        <v>32534</v>
      </c>
      <c r="C2120" s="437" t="s">
        <v>30445</v>
      </c>
      <c r="D2120" s="438">
        <v>2764.9</v>
      </c>
    </row>
    <row r="2121" spans="1:4">
      <c r="A2121" s="435">
        <v>86082</v>
      </c>
      <c r="B2121" s="436" t="s">
        <v>32535</v>
      </c>
      <c r="C2121" s="437" t="s">
        <v>30445</v>
      </c>
      <c r="D2121" s="438">
        <v>2291.5</v>
      </c>
    </row>
    <row r="2122" spans="1:4">
      <c r="A2122" s="435">
        <v>86083</v>
      </c>
      <c r="B2122" s="436" t="s">
        <v>32536</v>
      </c>
      <c r="C2122" s="437" t="s">
        <v>30445</v>
      </c>
      <c r="D2122" s="438">
        <v>3405.34</v>
      </c>
    </row>
    <row r="2123" spans="1:4">
      <c r="A2123" s="435">
        <v>86084</v>
      </c>
      <c r="B2123" s="436" t="s">
        <v>32537</v>
      </c>
      <c r="C2123" s="437" t="s">
        <v>30445</v>
      </c>
      <c r="D2123" s="438">
        <v>2397.06</v>
      </c>
    </row>
    <row r="2124" spans="1:4">
      <c r="A2124" s="431">
        <v>87000</v>
      </c>
      <c r="B2124" s="432" t="s">
        <v>32538</v>
      </c>
      <c r="C2124" s="433"/>
      <c r="D2124" s="434" t="s">
        <v>30434</v>
      </c>
    </row>
    <row r="2125" spans="1:4">
      <c r="A2125" s="435">
        <v>87010</v>
      </c>
      <c r="B2125" s="436" t="s">
        <v>32539</v>
      </c>
      <c r="C2125" s="437" t="s">
        <v>30463</v>
      </c>
      <c r="D2125" s="438">
        <v>104.04</v>
      </c>
    </row>
    <row r="2126" spans="1:4">
      <c r="A2126" s="435">
        <v>87020</v>
      </c>
      <c r="B2126" s="436" t="s">
        <v>32540</v>
      </c>
      <c r="C2126" s="437" t="s">
        <v>153</v>
      </c>
      <c r="D2126" s="438">
        <v>6.43</v>
      </c>
    </row>
    <row r="2127" spans="1:4">
      <c r="A2127" s="435">
        <v>87030</v>
      </c>
      <c r="B2127" s="436" t="s">
        <v>32541</v>
      </c>
      <c r="C2127" s="437" t="s">
        <v>153</v>
      </c>
      <c r="D2127" s="438">
        <v>20.36</v>
      </c>
    </row>
    <row r="2128" spans="1:4">
      <c r="A2128" s="435">
        <v>87040</v>
      </c>
      <c r="B2128" s="436" t="s">
        <v>32542</v>
      </c>
      <c r="C2128" s="437" t="s">
        <v>121</v>
      </c>
      <c r="D2128" s="438">
        <v>15.43</v>
      </c>
    </row>
    <row r="2129" spans="1:4">
      <c r="A2129" s="435">
        <v>87050</v>
      </c>
      <c r="B2129" s="436" t="s">
        <v>32543</v>
      </c>
      <c r="C2129" s="437" t="s">
        <v>153</v>
      </c>
      <c r="D2129" s="438">
        <v>48.85</v>
      </c>
    </row>
    <row r="2130" spans="1:4">
      <c r="A2130" s="435">
        <v>87060</v>
      </c>
      <c r="B2130" s="436" t="s">
        <v>32544</v>
      </c>
      <c r="C2130" s="437" t="s">
        <v>153</v>
      </c>
      <c r="D2130" s="438">
        <v>51.37</v>
      </c>
    </row>
    <row r="2131" spans="1:4">
      <c r="A2131" s="435">
        <v>88001</v>
      </c>
      <c r="B2131" s="436" t="s">
        <v>32545</v>
      </c>
      <c r="C2131" s="437" t="s">
        <v>165</v>
      </c>
      <c r="D2131" s="438">
        <v>571.03</v>
      </c>
    </row>
    <row r="2132" spans="1:4">
      <c r="A2132" s="435">
        <v>88003</v>
      </c>
      <c r="B2132" s="436" t="s">
        <v>39345</v>
      </c>
      <c r="C2132" s="437" t="s">
        <v>30463</v>
      </c>
      <c r="D2132" s="438">
        <v>15.49</v>
      </c>
    </row>
    <row r="2133" spans="1:4">
      <c r="A2133" s="435">
        <v>88004</v>
      </c>
      <c r="B2133" s="436" t="s">
        <v>32546</v>
      </c>
      <c r="C2133" s="437" t="s">
        <v>30463</v>
      </c>
      <c r="D2133" s="438">
        <v>38.29</v>
      </c>
    </row>
    <row r="2134" spans="1:4">
      <c r="A2134" s="435">
        <v>88005</v>
      </c>
      <c r="B2134" s="436" t="s">
        <v>32547</v>
      </c>
      <c r="C2134" s="437" t="s">
        <v>30463</v>
      </c>
      <c r="D2134" s="438">
        <v>129.13</v>
      </c>
    </row>
    <row r="2135" spans="1:4">
      <c r="A2135" s="435">
        <v>88006</v>
      </c>
      <c r="B2135" s="436" t="s">
        <v>32548</v>
      </c>
      <c r="C2135" s="437" t="s">
        <v>30463</v>
      </c>
      <c r="D2135" s="438">
        <v>59.7</v>
      </c>
    </row>
    <row r="2136" spans="1:4">
      <c r="A2136" s="435">
        <v>88007</v>
      </c>
      <c r="B2136" s="436" t="s">
        <v>39346</v>
      </c>
      <c r="C2136" s="437" t="s">
        <v>30463</v>
      </c>
      <c r="D2136" s="438">
        <v>122.98</v>
      </c>
    </row>
    <row r="2137" spans="1:4" ht="37">
      <c r="A2137" s="435">
        <v>88008</v>
      </c>
      <c r="B2137" s="436" t="s">
        <v>39347</v>
      </c>
      <c r="C2137" s="437" t="s">
        <v>30463</v>
      </c>
      <c r="D2137" s="438">
        <v>22.82</v>
      </c>
    </row>
    <row r="2138" spans="1:4">
      <c r="A2138" s="435">
        <v>88009</v>
      </c>
      <c r="B2138" s="436" t="s">
        <v>39348</v>
      </c>
      <c r="C2138" s="437" t="s">
        <v>30463</v>
      </c>
      <c r="D2138" s="438">
        <v>29.82</v>
      </c>
    </row>
    <row r="2139" spans="1:4">
      <c r="A2139" s="435">
        <v>88010</v>
      </c>
      <c r="B2139" s="436" t="s">
        <v>39349</v>
      </c>
      <c r="C2139" s="437" t="s">
        <v>30463</v>
      </c>
      <c r="D2139" s="438">
        <v>194.8</v>
      </c>
    </row>
    <row r="2140" spans="1:4" ht="37">
      <c r="A2140" s="435">
        <v>88014</v>
      </c>
      <c r="B2140" s="436" t="s">
        <v>39350</v>
      </c>
      <c r="C2140" s="437" t="s">
        <v>30445</v>
      </c>
      <c r="D2140" s="438">
        <v>3136.37</v>
      </c>
    </row>
    <row r="2141" spans="1:4" ht="37">
      <c r="A2141" s="435">
        <v>88018</v>
      </c>
      <c r="B2141" s="436" t="s">
        <v>39351</v>
      </c>
      <c r="C2141" s="437" t="s">
        <v>30445</v>
      </c>
      <c r="D2141" s="438">
        <v>3561.33</v>
      </c>
    </row>
    <row r="2142" spans="1:4" ht="37">
      <c r="A2142" s="435">
        <v>88022</v>
      </c>
      <c r="B2142" s="436" t="s">
        <v>39352</v>
      </c>
      <c r="C2142" s="437" t="s">
        <v>30445</v>
      </c>
      <c r="D2142" s="438">
        <v>3972.36</v>
      </c>
    </row>
    <row r="2143" spans="1:4" ht="37">
      <c r="A2143" s="435">
        <v>88027</v>
      </c>
      <c r="B2143" s="436" t="s">
        <v>39353</v>
      </c>
      <c r="C2143" s="437" t="s">
        <v>30445</v>
      </c>
      <c r="D2143" s="438">
        <v>4690.28</v>
      </c>
    </row>
    <row r="2144" spans="1:4" ht="37">
      <c r="A2144" s="435">
        <v>88031</v>
      </c>
      <c r="B2144" s="436" t="s">
        <v>39354</v>
      </c>
      <c r="C2144" s="437" t="s">
        <v>30445</v>
      </c>
      <c r="D2144" s="438">
        <v>4744.66</v>
      </c>
    </row>
    <row r="2145" spans="1:4" ht="37">
      <c r="A2145" s="435">
        <v>88035</v>
      </c>
      <c r="B2145" s="436" t="s">
        <v>39355</v>
      </c>
      <c r="C2145" s="437" t="s">
        <v>30445</v>
      </c>
      <c r="D2145" s="438">
        <v>6533.3</v>
      </c>
    </row>
    <row r="2146" spans="1:4" ht="25">
      <c r="A2146" s="435">
        <v>88039</v>
      </c>
      <c r="B2146" s="436" t="s">
        <v>39356</v>
      </c>
      <c r="C2146" s="437" t="s">
        <v>30445</v>
      </c>
      <c r="D2146" s="438">
        <v>7084.89</v>
      </c>
    </row>
    <row r="2147" spans="1:4" ht="37">
      <c r="A2147" s="435">
        <v>88043</v>
      </c>
      <c r="B2147" s="436" t="s">
        <v>39357</v>
      </c>
      <c r="C2147" s="437" t="s">
        <v>30445</v>
      </c>
      <c r="D2147" s="438">
        <v>7717.89</v>
      </c>
    </row>
    <row r="2148" spans="1:4">
      <c r="A2148" s="435">
        <v>88046</v>
      </c>
      <c r="B2148" s="436" t="s">
        <v>39358</v>
      </c>
      <c r="C2148" s="437" t="s">
        <v>30445</v>
      </c>
      <c r="D2148" s="438">
        <v>80.959999999999994</v>
      </c>
    </row>
    <row r="2149" spans="1:4">
      <c r="A2149" s="435">
        <v>88047</v>
      </c>
      <c r="B2149" s="436" t="s">
        <v>39359</v>
      </c>
      <c r="C2149" s="437" t="s">
        <v>30445</v>
      </c>
      <c r="D2149" s="438">
        <v>2463.73</v>
      </c>
    </row>
    <row r="2150" spans="1:4">
      <c r="A2150" s="435">
        <v>88048</v>
      </c>
      <c r="B2150" s="436" t="s">
        <v>39360</v>
      </c>
      <c r="C2150" s="437" t="s">
        <v>30445</v>
      </c>
      <c r="D2150" s="438">
        <v>2709.85</v>
      </c>
    </row>
    <row r="2151" spans="1:4">
      <c r="A2151" s="435">
        <v>88049</v>
      </c>
      <c r="B2151" s="436" t="s">
        <v>39361</v>
      </c>
      <c r="C2151" s="437" t="s">
        <v>30445</v>
      </c>
      <c r="D2151" s="438">
        <v>4273.18</v>
      </c>
    </row>
    <row r="2152" spans="1:4">
      <c r="A2152" s="435">
        <v>88050</v>
      </c>
      <c r="B2152" s="436" t="s">
        <v>39362</v>
      </c>
      <c r="C2152" s="437" t="s">
        <v>30445</v>
      </c>
      <c r="D2152" s="438">
        <v>3960.1</v>
      </c>
    </row>
    <row r="2153" spans="1:4">
      <c r="A2153" s="435">
        <v>88051</v>
      </c>
      <c r="B2153" s="436" t="s">
        <v>39363</v>
      </c>
      <c r="C2153" s="437" t="s">
        <v>30445</v>
      </c>
      <c r="D2153" s="438">
        <v>5244.69</v>
      </c>
    </row>
    <row r="2154" spans="1:4">
      <c r="A2154" s="435">
        <v>88052</v>
      </c>
      <c r="B2154" s="436" t="s">
        <v>39364</v>
      </c>
      <c r="C2154" s="437" t="s">
        <v>30445</v>
      </c>
      <c r="D2154" s="438">
        <v>4594.07</v>
      </c>
    </row>
    <row r="2155" spans="1:4">
      <c r="A2155" s="435">
        <v>88053</v>
      </c>
      <c r="B2155" s="436" t="s">
        <v>39365</v>
      </c>
      <c r="C2155" s="437" t="s">
        <v>30445</v>
      </c>
      <c r="D2155" s="438">
        <v>4279.6000000000004</v>
      </c>
    </row>
    <row r="2156" spans="1:4">
      <c r="A2156" s="435">
        <v>88054</v>
      </c>
      <c r="B2156" s="436" t="s">
        <v>39366</v>
      </c>
      <c r="C2156" s="437" t="s">
        <v>30445</v>
      </c>
      <c r="D2156" s="438">
        <v>6668.67</v>
      </c>
    </row>
    <row r="2157" spans="1:4">
      <c r="A2157" s="435">
        <v>88055</v>
      </c>
      <c r="B2157" s="436" t="s">
        <v>39367</v>
      </c>
      <c r="C2157" s="437" t="s">
        <v>30445</v>
      </c>
      <c r="D2157" s="438">
        <v>4930.22</v>
      </c>
    </row>
    <row r="2158" spans="1:4">
      <c r="A2158" s="435">
        <v>88056</v>
      </c>
      <c r="B2158" s="436" t="s">
        <v>39368</v>
      </c>
      <c r="C2158" s="437" t="s">
        <v>30445</v>
      </c>
      <c r="D2158" s="438">
        <v>7496.02</v>
      </c>
    </row>
    <row r="2159" spans="1:4">
      <c r="A2159" s="435">
        <v>88057</v>
      </c>
      <c r="B2159" s="436" t="s">
        <v>39369</v>
      </c>
      <c r="C2159" s="437" t="s">
        <v>30445</v>
      </c>
      <c r="D2159" s="438">
        <v>8238.9500000000007</v>
      </c>
    </row>
    <row r="2160" spans="1:4">
      <c r="A2160" s="435">
        <v>88058</v>
      </c>
      <c r="B2160" s="436" t="s">
        <v>39370</v>
      </c>
      <c r="C2160" s="437" t="s">
        <v>30445</v>
      </c>
      <c r="D2160" s="438">
        <v>7215.66</v>
      </c>
    </row>
    <row r="2161" spans="1:4">
      <c r="A2161" s="435">
        <v>88059</v>
      </c>
      <c r="B2161" s="436" t="s">
        <v>39371</v>
      </c>
      <c r="C2161" s="437" t="s">
        <v>30445</v>
      </c>
      <c r="D2161" s="438">
        <v>9627.4599999999991</v>
      </c>
    </row>
    <row r="2162" spans="1:4">
      <c r="A2162" s="435">
        <v>88060</v>
      </c>
      <c r="B2162" s="436" t="s">
        <v>39372</v>
      </c>
      <c r="C2162" s="437" t="s">
        <v>30445</v>
      </c>
      <c r="D2162" s="438">
        <v>10967.82</v>
      </c>
    </row>
    <row r="2163" spans="1:4">
      <c r="A2163" s="435">
        <v>88061</v>
      </c>
      <c r="B2163" s="436" t="s">
        <v>39373</v>
      </c>
      <c r="C2163" s="437" t="s">
        <v>30445</v>
      </c>
      <c r="D2163" s="438">
        <v>17137.77</v>
      </c>
    </row>
    <row r="2164" spans="1:4">
      <c r="A2164" s="435">
        <v>88075</v>
      </c>
      <c r="B2164" s="436" t="s">
        <v>39374</v>
      </c>
      <c r="C2164" s="437" t="s">
        <v>121</v>
      </c>
      <c r="D2164" s="438">
        <v>136.22999999999999</v>
      </c>
    </row>
    <row r="2165" spans="1:4">
      <c r="A2165" s="435">
        <v>88076</v>
      </c>
      <c r="B2165" s="436" t="s">
        <v>39375</v>
      </c>
      <c r="C2165" s="437" t="s">
        <v>121</v>
      </c>
      <c r="D2165" s="438">
        <v>141.1</v>
      </c>
    </row>
    <row r="2166" spans="1:4">
      <c r="A2166" s="435">
        <v>88080</v>
      </c>
      <c r="B2166" s="436" t="s">
        <v>32549</v>
      </c>
      <c r="C2166" s="437" t="s">
        <v>121</v>
      </c>
      <c r="D2166" s="438">
        <v>142.56</v>
      </c>
    </row>
    <row r="2167" spans="1:4" ht="37">
      <c r="A2167" s="435">
        <v>88082</v>
      </c>
      <c r="B2167" s="436" t="s">
        <v>39376</v>
      </c>
      <c r="C2167" s="437" t="s">
        <v>30445</v>
      </c>
      <c r="D2167" s="438">
        <v>8222.14</v>
      </c>
    </row>
    <row r="2168" spans="1:4" ht="25">
      <c r="A2168" s="435">
        <v>88083</v>
      </c>
      <c r="B2168" s="436" t="s">
        <v>32550</v>
      </c>
      <c r="C2168" s="437" t="s">
        <v>30445</v>
      </c>
      <c r="D2168" s="438">
        <v>12223.17</v>
      </c>
    </row>
    <row r="2169" spans="1:4" ht="37">
      <c r="A2169" s="435">
        <v>88084</v>
      </c>
      <c r="B2169" s="436" t="s">
        <v>39377</v>
      </c>
      <c r="C2169" s="437" t="s">
        <v>30445</v>
      </c>
      <c r="D2169" s="438">
        <v>13514.48</v>
      </c>
    </row>
    <row r="2170" spans="1:4" ht="37">
      <c r="A2170" s="435">
        <v>88085</v>
      </c>
      <c r="B2170" s="436" t="s">
        <v>39378</v>
      </c>
      <c r="C2170" s="437" t="s">
        <v>30445</v>
      </c>
      <c r="D2170" s="438">
        <v>2453.27</v>
      </c>
    </row>
    <row r="2171" spans="1:4" ht="25">
      <c r="A2171" s="435">
        <v>88086</v>
      </c>
      <c r="B2171" s="436" t="s">
        <v>32551</v>
      </c>
      <c r="C2171" s="437" t="s">
        <v>30445</v>
      </c>
      <c r="D2171" s="438">
        <v>2796.1</v>
      </c>
    </row>
    <row r="2172" spans="1:4" ht="37">
      <c r="A2172" s="435">
        <v>88087</v>
      </c>
      <c r="B2172" s="436" t="s">
        <v>39379</v>
      </c>
      <c r="C2172" s="437" t="s">
        <v>30445</v>
      </c>
      <c r="D2172" s="438">
        <v>4007.25</v>
      </c>
    </row>
    <row r="2173" spans="1:4" ht="37">
      <c r="A2173" s="435">
        <v>88088</v>
      </c>
      <c r="B2173" s="436" t="s">
        <v>39380</v>
      </c>
      <c r="C2173" s="437" t="s">
        <v>30445</v>
      </c>
      <c r="D2173" s="438">
        <v>4973.7</v>
      </c>
    </row>
    <row r="2174" spans="1:4" ht="25">
      <c r="A2174" s="435">
        <v>88089</v>
      </c>
      <c r="B2174" s="436" t="s">
        <v>39381</v>
      </c>
      <c r="C2174" s="437" t="s">
        <v>30445</v>
      </c>
      <c r="D2174" s="438">
        <v>9681.06</v>
      </c>
    </row>
    <row r="2175" spans="1:4" ht="25">
      <c r="A2175" s="435">
        <v>88091</v>
      </c>
      <c r="B2175" s="436" t="s">
        <v>32552</v>
      </c>
      <c r="C2175" s="437" t="s">
        <v>30445</v>
      </c>
      <c r="D2175" s="438">
        <v>5759.94</v>
      </c>
    </row>
    <row r="2176" spans="1:4" ht="25">
      <c r="A2176" s="435">
        <v>88092</v>
      </c>
      <c r="B2176" s="436" t="s">
        <v>32553</v>
      </c>
      <c r="C2176" s="437" t="s">
        <v>30445</v>
      </c>
      <c r="D2176" s="438">
        <v>8838.66</v>
      </c>
    </row>
    <row r="2177" spans="1:4" ht="25">
      <c r="A2177" s="435">
        <v>88097</v>
      </c>
      <c r="B2177" s="436" t="s">
        <v>32554</v>
      </c>
      <c r="C2177" s="437" t="s">
        <v>30445</v>
      </c>
      <c r="D2177" s="438">
        <v>540.92999999999995</v>
      </c>
    </row>
    <row r="2178" spans="1:4" ht="25">
      <c r="A2178" s="435">
        <v>88098</v>
      </c>
      <c r="B2178" s="436" t="s">
        <v>32555</v>
      </c>
      <c r="C2178" s="437" t="s">
        <v>30445</v>
      </c>
      <c r="D2178" s="438">
        <v>1038.6099999999999</v>
      </c>
    </row>
    <row r="2179" spans="1:4" ht="25">
      <c r="A2179" s="435">
        <v>88099</v>
      </c>
      <c r="B2179" s="436" t="s">
        <v>32556</v>
      </c>
      <c r="C2179" s="437" t="s">
        <v>30445</v>
      </c>
      <c r="D2179" s="438">
        <v>1263.81</v>
      </c>
    </row>
    <row r="2180" spans="1:4">
      <c r="A2180" s="435">
        <v>88112</v>
      </c>
      <c r="B2180" s="436" t="s">
        <v>32557</v>
      </c>
      <c r="C2180" s="437" t="s">
        <v>30463</v>
      </c>
      <c r="D2180" s="438">
        <v>2.89</v>
      </c>
    </row>
    <row r="2181" spans="1:4">
      <c r="A2181" s="435">
        <v>88114</v>
      </c>
      <c r="B2181" s="436" t="s">
        <v>32558</v>
      </c>
      <c r="C2181" s="437" t="s">
        <v>30463</v>
      </c>
      <c r="D2181" s="438">
        <v>1.91</v>
      </c>
    </row>
    <row r="2182" spans="1:4">
      <c r="A2182" s="435">
        <v>88115</v>
      </c>
      <c r="B2182" s="436" t="s">
        <v>35008</v>
      </c>
      <c r="C2182" s="437" t="s">
        <v>30463</v>
      </c>
      <c r="D2182" s="438">
        <v>2.59</v>
      </c>
    </row>
    <row r="2183" spans="1:4">
      <c r="A2183" s="435">
        <v>88116</v>
      </c>
      <c r="B2183" s="436" t="s">
        <v>32559</v>
      </c>
      <c r="C2183" s="437" t="s">
        <v>30463</v>
      </c>
      <c r="D2183" s="438">
        <v>4.59</v>
      </c>
    </row>
    <row r="2184" spans="1:4" ht="25">
      <c r="A2184" s="435">
        <v>88118</v>
      </c>
      <c r="B2184" s="436" t="s">
        <v>39382</v>
      </c>
      <c r="C2184" s="437" t="s">
        <v>30463</v>
      </c>
      <c r="D2184" s="438">
        <v>2.82</v>
      </c>
    </row>
    <row r="2185" spans="1:4">
      <c r="A2185" s="435">
        <v>88119</v>
      </c>
      <c r="B2185" s="436" t="s">
        <v>32560</v>
      </c>
      <c r="C2185" s="437" t="s">
        <v>30463</v>
      </c>
      <c r="D2185" s="438">
        <v>4.4800000000000004</v>
      </c>
    </row>
    <row r="2186" spans="1:4">
      <c r="A2186" s="435">
        <v>88120</v>
      </c>
      <c r="B2186" s="436" t="s">
        <v>32561</v>
      </c>
      <c r="C2186" s="437" t="s">
        <v>30463</v>
      </c>
      <c r="D2186" s="438">
        <v>2.99</v>
      </c>
    </row>
    <row r="2187" spans="1:4">
      <c r="A2187" s="435">
        <v>88121</v>
      </c>
      <c r="B2187" s="436" t="s">
        <v>32562</v>
      </c>
      <c r="C2187" s="437" t="s">
        <v>30463</v>
      </c>
      <c r="D2187" s="438">
        <v>1.06</v>
      </c>
    </row>
    <row r="2188" spans="1:4" ht="25">
      <c r="A2188" s="435">
        <v>88122</v>
      </c>
      <c r="B2188" s="436" t="s">
        <v>39383</v>
      </c>
      <c r="C2188" s="437" t="s">
        <v>121</v>
      </c>
      <c r="D2188" s="438">
        <v>579.85</v>
      </c>
    </row>
    <row r="2189" spans="1:4">
      <c r="A2189" s="435">
        <v>88123</v>
      </c>
      <c r="B2189" s="436" t="s">
        <v>32563</v>
      </c>
      <c r="C2189" s="437" t="s">
        <v>30463</v>
      </c>
      <c r="D2189" s="438">
        <v>7.26</v>
      </c>
    </row>
    <row r="2190" spans="1:4">
      <c r="A2190" s="435">
        <v>88125</v>
      </c>
      <c r="B2190" s="436" t="s">
        <v>32564</v>
      </c>
      <c r="C2190" s="437" t="s">
        <v>121</v>
      </c>
      <c r="D2190" s="438">
        <v>475.71</v>
      </c>
    </row>
    <row r="2191" spans="1:4" ht="25">
      <c r="A2191" s="435">
        <v>88126</v>
      </c>
      <c r="B2191" s="436" t="s">
        <v>32565</v>
      </c>
      <c r="C2191" s="437" t="s">
        <v>121</v>
      </c>
      <c r="D2191" s="438">
        <v>817.41</v>
      </c>
    </row>
    <row r="2192" spans="1:4">
      <c r="A2192" s="435">
        <v>88127</v>
      </c>
      <c r="B2192" s="436" t="s">
        <v>32566</v>
      </c>
      <c r="C2192" s="437" t="s">
        <v>121</v>
      </c>
      <c r="D2192" s="438">
        <v>527.54</v>
      </c>
    </row>
    <row r="2193" spans="1:4">
      <c r="A2193" s="435">
        <v>88129</v>
      </c>
      <c r="B2193" s="436" t="s">
        <v>32567</v>
      </c>
      <c r="C2193" s="437" t="s">
        <v>121</v>
      </c>
      <c r="D2193" s="438">
        <v>550.52</v>
      </c>
    </row>
    <row r="2194" spans="1:4">
      <c r="A2194" s="435">
        <v>88130</v>
      </c>
      <c r="B2194" s="436" t="s">
        <v>32568</v>
      </c>
      <c r="C2194" s="437" t="s">
        <v>121</v>
      </c>
      <c r="D2194" s="438">
        <v>583.11</v>
      </c>
    </row>
    <row r="2195" spans="1:4">
      <c r="A2195" s="435">
        <v>88131</v>
      </c>
      <c r="B2195" s="436" t="s">
        <v>39384</v>
      </c>
      <c r="C2195" s="437" t="s">
        <v>121</v>
      </c>
      <c r="D2195" s="438">
        <v>598.32000000000005</v>
      </c>
    </row>
    <row r="2196" spans="1:4">
      <c r="A2196" s="435">
        <v>88139</v>
      </c>
      <c r="B2196" s="436" t="s">
        <v>32569</v>
      </c>
      <c r="C2196" s="437" t="s">
        <v>30463</v>
      </c>
      <c r="D2196" s="438">
        <v>11.7</v>
      </c>
    </row>
    <row r="2197" spans="1:4">
      <c r="A2197" s="435">
        <v>88140</v>
      </c>
      <c r="B2197" s="436" t="s">
        <v>32570</v>
      </c>
      <c r="C2197" s="437" t="s">
        <v>30445</v>
      </c>
      <c r="D2197" s="438">
        <v>904.81</v>
      </c>
    </row>
    <row r="2198" spans="1:4">
      <c r="A2198" s="435">
        <v>88142</v>
      </c>
      <c r="B2198" s="436" t="s">
        <v>32571</v>
      </c>
      <c r="C2198" s="437" t="s">
        <v>30445</v>
      </c>
      <c r="D2198" s="438">
        <v>1888.12</v>
      </c>
    </row>
    <row r="2199" spans="1:4">
      <c r="A2199" s="435">
        <v>88143</v>
      </c>
      <c r="B2199" s="436" t="s">
        <v>32572</v>
      </c>
      <c r="C2199" s="437" t="s">
        <v>30445</v>
      </c>
      <c r="D2199" s="438">
        <v>2960.98</v>
      </c>
    </row>
    <row r="2200" spans="1:4">
      <c r="A2200" s="435">
        <v>88146</v>
      </c>
      <c r="B2200" s="436" t="s">
        <v>32573</v>
      </c>
      <c r="C2200" s="437" t="s">
        <v>30445</v>
      </c>
      <c r="D2200" s="438">
        <v>187.16</v>
      </c>
    </row>
    <row r="2201" spans="1:4">
      <c r="A2201" s="435">
        <v>88151</v>
      </c>
      <c r="B2201" s="436" t="s">
        <v>32575</v>
      </c>
      <c r="C2201" s="437" t="s">
        <v>30445</v>
      </c>
      <c r="D2201" s="438">
        <v>104.13</v>
      </c>
    </row>
    <row r="2202" spans="1:4" ht="37">
      <c r="A2202" s="435">
        <v>88160</v>
      </c>
      <c r="B2202" s="436" t="s">
        <v>39385</v>
      </c>
      <c r="C2202" s="437" t="s">
        <v>30445</v>
      </c>
      <c r="D2202" s="438">
        <v>10.4</v>
      </c>
    </row>
    <row r="2203" spans="1:4">
      <c r="A2203" s="435">
        <v>88179</v>
      </c>
      <c r="B2203" s="436" t="s">
        <v>39386</v>
      </c>
      <c r="C2203" s="437" t="s">
        <v>30445</v>
      </c>
      <c r="D2203" s="438">
        <v>13.51</v>
      </c>
    </row>
    <row r="2204" spans="1:4">
      <c r="A2204" s="435">
        <v>88180</v>
      </c>
      <c r="B2204" s="436" t="s">
        <v>39387</v>
      </c>
      <c r="C2204" s="437" t="s">
        <v>30445</v>
      </c>
      <c r="D2204" s="438">
        <v>11.98</v>
      </c>
    </row>
    <row r="2205" spans="1:4">
      <c r="A2205" s="435">
        <v>88181</v>
      </c>
      <c r="B2205" s="436" t="s">
        <v>39388</v>
      </c>
      <c r="C2205" s="437" t="s">
        <v>30445</v>
      </c>
      <c r="D2205" s="438">
        <v>29.92</v>
      </c>
    </row>
    <row r="2206" spans="1:4">
      <c r="A2206" s="435">
        <v>88182</v>
      </c>
      <c r="B2206" s="436" t="s">
        <v>39389</v>
      </c>
      <c r="C2206" s="437" t="s">
        <v>30445</v>
      </c>
      <c r="D2206" s="438">
        <v>28.8</v>
      </c>
    </row>
    <row r="2207" spans="1:4" ht="37">
      <c r="A2207" s="435">
        <v>88183</v>
      </c>
      <c r="B2207" s="436" t="s">
        <v>39390</v>
      </c>
      <c r="C2207" s="437" t="s">
        <v>30445</v>
      </c>
      <c r="D2207" s="438">
        <v>1535.79</v>
      </c>
    </row>
    <row r="2208" spans="1:4">
      <c r="A2208" s="435">
        <v>88187</v>
      </c>
      <c r="B2208" s="436" t="s">
        <v>32576</v>
      </c>
      <c r="C2208" s="437" t="s">
        <v>30445</v>
      </c>
      <c r="D2208" s="438">
        <v>7.32</v>
      </c>
    </row>
    <row r="2209" spans="1:4">
      <c r="A2209" s="435">
        <v>88188</v>
      </c>
      <c r="B2209" s="436" t="s">
        <v>32577</v>
      </c>
      <c r="C2209" s="437" t="s">
        <v>30445</v>
      </c>
      <c r="D2209" s="438">
        <v>23.57</v>
      </c>
    </row>
    <row r="2210" spans="1:4">
      <c r="A2210" s="435">
        <v>88189</v>
      </c>
      <c r="B2210" s="436" t="s">
        <v>32578</v>
      </c>
      <c r="C2210" s="437" t="s">
        <v>30445</v>
      </c>
      <c r="D2210" s="438">
        <v>1.26</v>
      </c>
    </row>
    <row r="2211" spans="1:4">
      <c r="A2211" s="435">
        <v>88190</v>
      </c>
      <c r="B2211" s="436" t="s">
        <v>39391</v>
      </c>
      <c r="C2211" s="437" t="s">
        <v>30445</v>
      </c>
      <c r="D2211" s="438">
        <v>25.94</v>
      </c>
    </row>
    <row r="2212" spans="1:4">
      <c r="A2212" s="435">
        <v>88191</v>
      </c>
      <c r="B2212" s="436" t="s">
        <v>39392</v>
      </c>
      <c r="C2212" s="437" t="s">
        <v>30445</v>
      </c>
      <c r="D2212" s="438">
        <v>462.94</v>
      </c>
    </row>
    <row r="2213" spans="1:4" ht="25">
      <c r="A2213" s="435">
        <v>88192</v>
      </c>
      <c r="B2213" s="436" t="s">
        <v>39393</v>
      </c>
      <c r="C2213" s="437" t="s">
        <v>30445</v>
      </c>
      <c r="D2213" s="438">
        <v>129282.4</v>
      </c>
    </row>
    <row r="2214" spans="1:4" ht="25">
      <c r="A2214" s="435">
        <v>88193</v>
      </c>
      <c r="B2214" s="436" t="s">
        <v>39394</v>
      </c>
      <c r="C2214" s="437" t="s">
        <v>30445</v>
      </c>
      <c r="D2214" s="438">
        <v>132046.42000000001</v>
      </c>
    </row>
    <row r="2215" spans="1:4" ht="25">
      <c r="A2215" s="435">
        <v>88195</v>
      </c>
      <c r="B2215" s="436" t="s">
        <v>39395</v>
      </c>
      <c r="C2215" s="437" t="s">
        <v>30445</v>
      </c>
      <c r="D2215" s="438">
        <v>54654.75</v>
      </c>
    </row>
    <row r="2216" spans="1:4" ht="25">
      <c r="A2216" s="435">
        <v>88196</v>
      </c>
      <c r="B2216" s="436" t="s">
        <v>39396</v>
      </c>
      <c r="C2216" s="437" t="s">
        <v>30445</v>
      </c>
      <c r="D2216" s="438">
        <v>24565.08</v>
      </c>
    </row>
    <row r="2217" spans="1:4" ht="25">
      <c r="A2217" s="435">
        <v>88197</v>
      </c>
      <c r="B2217" s="436" t="s">
        <v>39397</v>
      </c>
      <c r="C2217" s="437" t="s">
        <v>30445</v>
      </c>
      <c r="D2217" s="438">
        <v>14537.25</v>
      </c>
    </row>
    <row r="2218" spans="1:4">
      <c r="A2218" s="435">
        <v>88198</v>
      </c>
      <c r="B2218" s="436" t="s">
        <v>39398</v>
      </c>
      <c r="C2218" s="437" t="s">
        <v>30445</v>
      </c>
      <c r="D2218" s="438">
        <v>32154.09</v>
      </c>
    </row>
    <row r="2219" spans="1:4">
      <c r="A2219" s="435">
        <v>88199</v>
      </c>
      <c r="B2219" s="436" t="s">
        <v>32579</v>
      </c>
      <c r="C2219" s="437" t="s">
        <v>165</v>
      </c>
      <c r="D2219" s="438">
        <v>2.11</v>
      </c>
    </row>
    <row r="2220" spans="1:4" ht="25">
      <c r="A2220" s="435">
        <v>88201</v>
      </c>
      <c r="B2220" s="436" t="s">
        <v>32580</v>
      </c>
      <c r="C2220" s="437" t="s">
        <v>165</v>
      </c>
      <c r="D2220" s="438">
        <v>2.14</v>
      </c>
    </row>
    <row r="2221" spans="1:4">
      <c r="A2221" s="435">
        <v>88202</v>
      </c>
      <c r="B2221" s="436" t="s">
        <v>32581</v>
      </c>
      <c r="C2221" s="437" t="s">
        <v>165</v>
      </c>
      <c r="D2221" s="438">
        <v>3.29</v>
      </c>
    </row>
    <row r="2222" spans="1:4" ht="37">
      <c r="A2222" s="435">
        <v>88204</v>
      </c>
      <c r="B2222" s="436" t="s">
        <v>39399</v>
      </c>
      <c r="C2222" s="437" t="s">
        <v>165</v>
      </c>
      <c r="D2222" s="438">
        <v>3.34</v>
      </c>
    </row>
    <row r="2223" spans="1:4" ht="37">
      <c r="A2223" s="435">
        <v>88207</v>
      </c>
      <c r="B2223" s="436" t="s">
        <v>39400</v>
      </c>
      <c r="C2223" s="437" t="s">
        <v>165</v>
      </c>
      <c r="D2223" s="438">
        <v>4.53</v>
      </c>
    </row>
    <row r="2224" spans="1:4">
      <c r="A2224" s="435">
        <v>88208</v>
      </c>
      <c r="B2224" s="436" t="s">
        <v>32582</v>
      </c>
      <c r="C2224" s="437" t="s">
        <v>165</v>
      </c>
      <c r="D2224" s="438">
        <v>6.51</v>
      </c>
    </row>
    <row r="2225" spans="1:4" ht="25">
      <c r="A2225" s="435">
        <v>88210</v>
      </c>
      <c r="B2225" s="436" t="s">
        <v>32583</v>
      </c>
      <c r="C2225" s="437" t="s">
        <v>165</v>
      </c>
      <c r="D2225" s="438">
        <v>6.02</v>
      </c>
    </row>
    <row r="2226" spans="1:4">
      <c r="A2226" s="435">
        <v>88211</v>
      </c>
      <c r="B2226" s="436" t="s">
        <v>39401</v>
      </c>
      <c r="C2226" s="437" t="s">
        <v>165</v>
      </c>
      <c r="D2226" s="438">
        <v>20.07</v>
      </c>
    </row>
    <row r="2227" spans="1:4">
      <c r="A2227" s="435">
        <v>88212</v>
      </c>
      <c r="B2227" s="436" t="s">
        <v>39402</v>
      </c>
      <c r="C2227" s="437" t="s">
        <v>165</v>
      </c>
      <c r="D2227" s="438">
        <v>36.729999999999997</v>
      </c>
    </row>
    <row r="2228" spans="1:4">
      <c r="A2228" s="435">
        <v>88213</v>
      </c>
      <c r="B2228" s="436" t="s">
        <v>32584</v>
      </c>
      <c r="C2228" s="437" t="s">
        <v>165</v>
      </c>
      <c r="D2228" s="438">
        <v>10.25</v>
      </c>
    </row>
    <row r="2229" spans="1:4">
      <c r="A2229" s="435">
        <v>88215</v>
      </c>
      <c r="B2229" s="436" t="s">
        <v>32585</v>
      </c>
      <c r="C2229" s="437" t="s">
        <v>165</v>
      </c>
      <c r="D2229" s="438">
        <v>15.6</v>
      </c>
    </row>
    <row r="2230" spans="1:4">
      <c r="A2230" s="435">
        <v>88217</v>
      </c>
      <c r="B2230" s="436" t="s">
        <v>32586</v>
      </c>
      <c r="C2230" s="437" t="s">
        <v>165</v>
      </c>
      <c r="D2230" s="438">
        <v>23.95</v>
      </c>
    </row>
    <row r="2231" spans="1:4">
      <c r="A2231" s="435">
        <v>88219</v>
      </c>
      <c r="B2231" s="436" t="s">
        <v>32587</v>
      </c>
      <c r="C2231" s="437" t="s">
        <v>165</v>
      </c>
      <c r="D2231" s="438">
        <v>32.840000000000003</v>
      </c>
    </row>
    <row r="2232" spans="1:4">
      <c r="A2232" s="435">
        <v>88221</v>
      </c>
      <c r="B2232" s="436" t="s">
        <v>32588</v>
      </c>
      <c r="C2232" s="437" t="s">
        <v>165</v>
      </c>
      <c r="D2232" s="438">
        <v>46.42</v>
      </c>
    </row>
    <row r="2233" spans="1:4">
      <c r="A2233" s="435">
        <v>88223</v>
      </c>
      <c r="B2233" s="436" t="s">
        <v>32589</v>
      </c>
      <c r="C2233" s="437" t="s">
        <v>165</v>
      </c>
      <c r="D2233" s="438">
        <v>64.39</v>
      </c>
    </row>
    <row r="2234" spans="1:4">
      <c r="A2234" s="435">
        <v>88226</v>
      </c>
      <c r="B2234" s="436" t="s">
        <v>32590</v>
      </c>
      <c r="C2234" s="437" t="s">
        <v>165</v>
      </c>
      <c r="D2234" s="438">
        <v>88.2</v>
      </c>
    </row>
    <row r="2235" spans="1:4">
      <c r="A2235" s="435">
        <v>88228</v>
      </c>
      <c r="B2235" s="436" t="s">
        <v>32591</v>
      </c>
      <c r="C2235" s="437" t="s">
        <v>165</v>
      </c>
      <c r="D2235" s="438">
        <v>111.05</v>
      </c>
    </row>
    <row r="2236" spans="1:4">
      <c r="A2236" s="435">
        <v>88230</v>
      </c>
      <c r="B2236" s="436" t="s">
        <v>32592</v>
      </c>
      <c r="C2236" s="437" t="s">
        <v>165</v>
      </c>
      <c r="D2236" s="438">
        <v>137.26</v>
      </c>
    </row>
    <row r="2237" spans="1:4">
      <c r="A2237" s="435">
        <v>88232</v>
      </c>
      <c r="B2237" s="436" t="s">
        <v>32593</v>
      </c>
      <c r="C2237" s="437" t="s">
        <v>165</v>
      </c>
      <c r="D2237" s="438">
        <v>166.81</v>
      </c>
    </row>
    <row r="2238" spans="1:4">
      <c r="A2238" s="435">
        <v>88234</v>
      </c>
      <c r="B2238" s="436" t="s">
        <v>32594</v>
      </c>
      <c r="C2238" s="437" t="s">
        <v>165</v>
      </c>
      <c r="D2238" s="438">
        <v>212.04</v>
      </c>
    </row>
    <row r="2239" spans="1:4" ht="25">
      <c r="A2239" s="435">
        <v>88235</v>
      </c>
      <c r="B2239" s="436" t="s">
        <v>32595</v>
      </c>
      <c r="C2239" s="437" t="s">
        <v>165</v>
      </c>
      <c r="D2239" s="438">
        <v>4.24</v>
      </c>
    </row>
    <row r="2240" spans="1:4" ht="25">
      <c r="A2240" s="435">
        <v>88236</v>
      </c>
      <c r="B2240" s="436" t="s">
        <v>32596</v>
      </c>
      <c r="C2240" s="437" t="s">
        <v>165</v>
      </c>
      <c r="D2240" s="438">
        <v>5.28</v>
      </c>
    </row>
    <row r="2241" spans="1:4" ht="25">
      <c r="A2241" s="435">
        <v>88237</v>
      </c>
      <c r="B2241" s="436" t="s">
        <v>32597</v>
      </c>
      <c r="C2241" s="437" t="s">
        <v>165</v>
      </c>
      <c r="D2241" s="438">
        <v>7.02</v>
      </c>
    </row>
    <row r="2242" spans="1:4" ht="25">
      <c r="A2242" s="435">
        <v>88238</v>
      </c>
      <c r="B2242" s="436" t="s">
        <v>32598</v>
      </c>
      <c r="C2242" s="437" t="s">
        <v>165</v>
      </c>
      <c r="D2242" s="438">
        <v>4.8499999999999996</v>
      </c>
    </row>
    <row r="2243" spans="1:4" ht="25">
      <c r="A2243" s="435">
        <v>88239</v>
      </c>
      <c r="B2243" s="436" t="s">
        <v>32599</v>
      </c>
      <c r="C2243" s="437" t="s">
        <v>165</v>
      </c>
      <c r="D2243" s="438">
        <v>7.62</v>
      </c>
    </row>
    <row r="2244" spans="1:4" ht="25">
      <c r="A2244" s="435">
        <v>88240</v>
      </c>
      <c r="B2244" s="436" t="s">
        <v>32600</v>
      </c>
      <c r="C2244" s="437" t="s">
        <v>165</v>
      </c>
      <c r="D2244" s="438">
        <v>6.86</v>
      </c>
    </row>
    <row r="2245" spans="1:4">
      <c r="A2245" s="435">
        <v>88241</v>
      </c>
      <c r="B2245" s="436" t="s">
        <v>32601</v>
      </c>
      <c r="C2245" s="437" t="s">
        <v>165</v>
      </c>
      <c r="D2245" s="438">
        <v>69.099999999999994</v>
      </c>
    </row>
    <row r="2246" spans="1:4">
      <c r="A2246" s="435">
        <v>88242</v>
      </c>
      <c r="B2246" s="436" t="s">
        <v>32602</v>
      </c>
      <c r="C2246" s="437" t="s">
        <v>165</v>
      </c>
      <c r="D2246" s="438">
        <v>106.41</v>
      </c>
    </row>
    <row r="2247" spans="1:4">
      <c r="A2247" s="435">
        <v>88244</v>
      </c>
      <c r="B2247" s="436" t="s">
        <v>32603</v>
      </c>
      <c r="C2247" s="437" t="s">
        <v>165</v>
      </c>
      <c r="D2247" s="438">
        <v>28.59</v>
      </c>
    </row>
    <row r="2248" spans="1:4">
      <c r="A2248" s="435">
        <v>88246</v>
      </c>
      <c r="B2248" s="436" t="s">
        <v>32604</v>
      </c>
      <c r="C2248" s="437" t="s">
        <v>165</v>
      </c>
      <c r="D2248" s="438">
        <v>4.55</v>
      </c>
    </row>
    <row r="2249" spans="1:4">
      <c r="A2249" s="435">
        <v>88247</v>
      </c>
      <c r="B2249" s="436" t="s">
        <v>32605</v>
      </c>
      <c r="C2249" s="437" t="s">
        <v>30445</v>
      </c>
      <c r="D2249" s="438">
        <v>448.57</v>
      </c>
    </row>
    <row r="2250" spans="1:4">
      <c r="A2250" s="435">
        <v>88248</v>
      </c>
      <c r="B2250" s="436" t="s">
        <v>32606</v>
      </c>
      <c r="C2250" s="437" t="s">
        <v>30445</v>
      </c>
      <c r="D2250" s="438">
        <v>251.79</v>
      </c>
    </row>
    <row r="2251" spans="1:4">
      <c r="A2251" s="435">
        <v>88249</v>
      </c>
      <c r="B2251" s="436" t="s">
        <v>32607</v>
      </c>
      <c r="C2251" s="437" t="s">
        <v>30445</v>
      </c>
      <c r="D2251" s="438">
        <v>300.08999999999997</v>
      </c>
    </row>
    <row r="2252" spans="1:4">
      <c r="A2252" s="435">
        <v>88250</v>
      </c>
      <c r="B2252" s="436" t="s">
        <v>32608</v>
      </c>
      <c r="C2252" s="437" t="s">
        <v>30445</v>
      </c>
      <c r="D2252" s="438">
        <v>1536.3</v>
      </c>
    </row>
    <row r="2253" spans="1:4">
      <c r="A2253" s="435">
        <v>88251</v>
      </c>
      <c r="B2253" s="436" t="s">
        <v>32609</v>
      </c>
      <c r="C2253" s="437" t="s">
        <v>30445</v>
      </c>
      <c r="D2253" s="438">
        <v>2241.4899999999998</v>
      </c>
    </row>
    <row r="2254" spans="1:4" ht="37">
      <c r="A2254" s="435">
        <v>88253</v>
      </c>
      <c r="B2254" s="436" t="s">
        <v>39403</v>
      </c>
      <c r="C2254" s="437" t="s">
        <v>32610</v>
      </c>
      <c r="D2254" s="438">
        <v>1410.19</v>
      </c>
    </row>
    <row r="2255" spans="1:4">
      <c r="A2255" s="435">
        <v>88255</v>
      </c>
      <c r="B2255" s="436" t="s">
        <v>32611</v>
      </c>
      <c r="C2255" s="437" t="s">
        <v>509</v>
      </c>
      <c r="D2255" s="438">
        <v>25.93</v>
      </c>
    </row>
    <row r="2256" spans="1:4">
      <c r="A2256" s="435">
        <v>88256</v>
      </c>
      <c r="B2256" s="436" t="s">
        <v>32612</v>
      </c>
      <c r="C2256" s="437" t="s">
        <v>509</v>
      </c>
      <c r="D2256" s="438">
        <v>35.89</v>
      </c>
    </row>
    <row r="2257" spans="1:4">
      <c r="A2257" s="435">
        <v>88257</v>
      </c>
      <c r="B2257" s="436" t="s">
        <v>32613</v>
      </c>
      <c r="C2257" s="437" t="s">
        <v>30463</v>
      </c>
      <c r="D2257" s="438">
        <v>9.41</v>
      </c>
    </row>
    <row r="2258" spans="1:4" ht="37">
      <c r="A2258" s="435">
        <v>88258</v>
      </c>
      <c r="B2258" s="436" t="s">
        <v>39404</v>
      </c>
      <c r="C2258" s="437" t="s">
        <v>165</v>
      </c>
      <c r="D2258" s="438">
        <v>5.26</v>
      </c>
    </row>
    <row r="2259" spans="1:4">
      <c r="A2259" s="435">
        <v>88259</v>
      </c>
      <c r="B2259" s="436" t="s">
        <v>32614</v>
      </c>
      <c r="C2259" s="437" t="s">
        <v>509</v>
      </c>
      <c r="D2259" s="438">
        <v>46.26</v>
      </c>
    </row>
    <row r="2260" spans="1:4">
      <c r="A2260" s="435">
        <v>88261</v>
      </c>
      <c r="B2260" s="436" t="s">
        <v>32615</v>
      </c>
      <c r="C2260" s="437" t="s">
        <v>509</v>
      </c>
      <c r="D2260" s="438">
        <v>20.09</v>
      </c>
    </row>
    <row r="2261" spans="1:4">
      <c r="A2261" s="435">
        <v>88263</v>
      </c>
      <c r="B2261" s="436" t="s">
        <v>32616</v>
      </c>
      <c r="C2261" s="437" t="s">
        <v>509</v>
      </c>
      <c r="D2261" s="438">
        <v>19</v>
      </c>
    </row>
    <row r="2262" spans="1:4">
      <c r="A2262" s="435">
        <v>88264</v>
      </c>
      <c r="B2262" s="436" t="s">
        <v>32617</v>
      </c>
      <c r="C2262" s="437" t="s">
        <v>30445</v>
      </c>
      <c r="D2262" s="438">
        <v>3.16</v>
      </c>
    </row>
    <row r="2263" spans="1:4" ht="25">
      <c r="A2263" s="435">
        <v>88265</v>
      </c>
      <c r="B2263" s="436" t="s">
        <v>32618</v>
      </c>
      <c r="C2263" s="437" t="s">
        <v>30445</v>
      </c>
      <c r="D2263" s="438">
        <v>12.39</v>
      </c>
    </row>
    <row r="2264" spans="1:4">
      <c r="A2264" s="435">
        <v>88268</v>
      </c>
      <c r="B2264" s="436" t="s">
        <v>32619</v>
      </c>
      <c r="C2264" s="437" t="s">
        <v>30445</v>
      </c>
      <c r="D2264" s="438">
        <v>5224.66</v>
      </c>
    </row>
    <row r="2265" spans="1:4">
      <c r="A2265" s="435">
        <v>88269</v>
      </c>
      <c r="B2265" s="436" t="s">
        <v>32620</v>
      </c>
      <c r="C2265" s="437" t="s">
        <v>30445</v>
      </c>
      <c r="D2265" s="438">
        <v>2179.87</v>
      </c>
    </row>
    <row r="2266" spans="1:4">
      <c r="A2266" s="435">
        <v>88270</v>
      </c>
      <c r="B2266" s="436" t="s">
        <v>32621</v>
      </c>
      <c r="C2266" s="437" t="s">
        <v>30445</v>
      </c>
      <c r="D2266" s="438">
        <v>36.82</v>
      </c>
    </row>
    <row r="2267" spans="1:4" ht="25">
      <c r="A2267" s="435">
        <v>88271</v>
      </c>
      <c r="B2267" s="436" t="s">
        <v>39405</v>
      </c>
      <c r="C2267" s="437" t="s">
        <v>30445</v>
      </c>
      <c r="D2267" s="438">
        <v>573.74</v>
      </c>
    </row>
    <row r="2268" spans="1:4" ht="25">
      <c r="A2268" s="435">
        <v>88272</v>
      </c>
      <c r="B2268" s="436" t="s">
        <v>39406</v>
      </c>
      <c r="C2268" s="437" t="s">
        <v>30445</v>
      </c>
      <c r="D2268" s="438">
        <v>591.26</v>
      </c>
    </row>
    <row r="2269" spans="1:4">
      <c r="A2269" s="435">
        <v>88275</v>
      </c>
      <c r="B2269" s="436" t="s">
        <v>32622</v>
      </c>
      <c r="C2269" s="437" t="s">
        <v>165</v>
      </c>
      <c r="D2269" s="438">
        <v>2.42</v>
      </c>
    </row>
    <row r="2270" spans="1:4">
      <c r="A2270" s="435">
        <v>88276</v>
      </c>
      <c r="B2270" s="436" t="s">
        <v>32623</v>
      </c>
      <c r="C2270" s="437" t="s">
        <v>165</v>
      </c>
      <c r="D2270" s="438">
        <v>2.29</v>
      </c>
    </row>
    <row r="2271" spans="1:4">
      <c r="A2271" s="435">
        <v>88277</v>
      </c>
      <c r="B2271" s="436" t="s">
        <v>32624</v>
      </c>
      <c r="C2271" s="437" t="s">
        <v>165</v>
      </c>
      <c r="D2271" s="438">
        <v>4.51</v>
      </c>
    </row>
    <row r="2272" spans="1:4">
      <c r="A2272" s="435">
        <v>88278</v>
      </c>
      <c r="B2272" s="436" t="s">
        <v>32625</v>
      </c>
      <c r="C2272" s="437" t="s">
        <v>165</v>
      </c>
      <c r="D2272" s="438">
        <v>4.91</v>
      </c>
    </row>
    <row r="2273" spans="1:4">
      <c r="A2273" s="435">
        <v>88279</v>
      </c>
      <c r="B2273" s="436" t="s">
        <v>32626</v>
      </c>
      <c r="C2273" s="437" t="s">
        <v>165</v>
      </c>
      <c r="D2273" s="438">
        <v>5.73</v>
      </c>
    </row>
    <row r="2274" spans="1:4">
      <c r="A2274" s="435">
        <v>88282</v>
      </c>
      <c r="B2274" s="436" t="s">
        <v>39407</v>
      </c>
      <c r="C2274" s="437" t="s">
        <v>165</v>
      </c>
      <c r="D2274" s="438">
        <v>5.7</v>
      </c>
    </row>
    <row r="2275" spans="1:4">
      <c r="A2275" s="435">
        <v>88283</v>
      </c>
      <c r="B2275" s="436" t="s">
        <v>39408</v>
      </c>
      <c r="C2275" s="437" t="s">
        <v>165</v>
      </c>
      <c r="D2275" s="438">
        <v>3.56</v>
      </c>
    </row>
    <row r="2276" spans="1:4">
      <c r="A2276" s="435">
        <v>88284</v>
      </c>
      <c r="B2276" s="436" t="s">
        <v>39409</v>
      </c>
      <c r="C2276" s="437" t="s">
        <v>165</v>
      </c>
      <c r="D2276" s="438">
        <v>2.39</v>
      </c>
    </row>
    <row r="2277" spans="1:4" ht="37">
      <c r="A2277" s="435">
        <v>88285</v>
      </c>
      <c r="B2277" s="436" t="s">
        <v>39410</v>
      </c>
      <c r="C2277" s="437" t="s">
        <v>509</v>
      </c>
      <c r="D2277" s="438">
        <v>822.94</v>
      </c>
    </row>
    <row r="2278" spans="1:4">
      <c r="A2278" s="435">
        <v>88286</v>
      </c>
      <c r="B2278" s="436" t="s">
        <v>39411</v>
      </c>
      <c r="C2278" s="437" t="s">
        <v>153</v>
      </c>
      <c r="D2278" s="438">
        <v>72.3</v>
      </c>
    </row>
    <row r="2279" spans="1:4">
      <c r="A2279" s="435">
        <v>88287</v>
      </c>
      <c r="B2279" s="436" t="s">
        <v>32627</v>
      </c>
      <c r="C2279" s="437" t="s">
        <v>30445</v>
      </c>
      <c r="D2279" s="438">
        <v>948.94</v>
      </c>
    </row>
    <row r="2280" spans="1:4" ht="37">
      <c r="A2280" s="435">
        <v>88289</v>
      </c>
      <c r="B2280" s="436" t="s">
        <v>39412</v>
      </c>
      <c r="C2280" s="437" t="s">
        <v>30445</v>
      </c>
      <c r="D2280" s="438">
        <v>1.73</v>
      </c>
    </row>
    <row r="2281" spans="1:4" ht="25">
      <c r="A2281" s="435">
        <v>88290</v>
      </c>
      <c r="B2281" s="436" t="s">
        <v>39413</v>
      </c>
      <c r="C2281" s="437" t="s">
        <v>30445</v>
      </c>
      <c r="D2281" s="438">
        <v>50.51</v>
      </c>
    </row>
    <row r="2282" spans="1:4">
      <c r="A2282" s="435">
        <v>88291</v>
      </c>
      <c r="B2282" s="436" t="s">
        <v>32629</v>
      </c>
      <c r="C2282" s="437" t="s">
        <v>30445</v>
      </c>
      <c r="D2282" s="438">
        <v>104.56</v>
      </c>
    </row>
    <row r="2283" spans="1:4">
      <c r="A2283" s="435">
        <v>88292</v>
      </c>
      <c r="B2283" s="436" t="s">
        <v>32630</v>
      </c>
      <c r="C2283" s="437" t="s">
        <v>30445</v>
      </c>
      <c r="D2283" s="438">
        <v>280.77</v>
      </c>
    </row>
    <row r="2284" spans="1:4" ht="25">
      <c r="A2284" s="435">
        <v>88293</v>
      </c>
      <c r="B2284" s="436" t="s">
        <v>39414</v>
      </c>
      <c r="C2284" s="437" t="s">
        <v>30445</v>
      </c>
      <c r="D2284" s="438">
        <v>306.35000000000002</v>
      </c>
    </row>
    <row r="2285" spans="1:4" ht="25">
      <c r="A2285" s="435">
        <v>88294</v>
      </c>
      <c r="B2285" s="436" t="s">
        <v>39415</v>
      </c>
      <c r="C2285" s="437" t="s">
        <v>30445</v>
      </c>
      <c r="D2285" s="438">
        <v>471.12</v>
      </c>
    </row>
    <row r="2286" spans="1:4" ht="25">
      <c r="A2286" s="435">
        <v>88295</v>
      </c>
      <c r="B2286" s="436" t="s">
        <v>39416</v>
      </c>
      <c r="C2286" s="437" t="s">
        <v>30445</v>
      </c>
      <c r="D2286" s="438">
        <v>518.76</v>
      </c>
    </row>
    <row r="2287" spans="1:4" ht="37">
      <c r="A2287" s="435">
        <v>88297</v>
      </c>
      <c r="B2287" s="436" t="s">
        <v>39417</v>
      </c>
      <c r="C2287" s="437" t="s">
        <v>509</v>
      </c>
      <c r="D2287" s="438">
        <v>822.94</v>
      </c>
    </row>
    <row r="2288" spans="1:4">
      <c r="A2288" s="435">
        <v>88298</v>
      </c>
      <c r="B2288" s="436" t="s">
        <v>32631</v>
      </c>
      <c r="C2288" s="437" t="s">
        <v>30445</v>
      </c>
      <c r="D2288" s="438">
        <v>35.979999999999997</v>
      </c>
    </row>
    <row r="2289" spans="1:4">
      <c r="A2289" s="435">
        <v>88299</v>
      </c>
      <c r="B2289" s="436" t="s">
        <v>32632</v>
      </c>
      <c r="C2289" s="437" t="s">
        <v>30445</v>
      </c>
      <c r="D2289" s="438">
        <v>8.69</v>
      </c>
    </row>
    <row r="2290" spans="1:4">
      <c r="A2290" s="435">
        <v>88304</v>
      </c>
      <c r="B2290" s="436" t="s">
        <v>39418</v>
      </c>
      <c r="C2290" s="437" t="s">
        <v>509</v>
      </c>
      <c r="D2290" s="438">
        <v>279.64</v>
      </c>
    </row>
    <row r="2291" spans="1:4">
      <c r="A2291" s="435">
        <v>88305</v>
      </c>
      <c r="B2291" s="436" t="s">
        <v>39419</v>
      </c>
      <c r="C2291" s="437" t="s">
        <v>509</v>
      </c>
      <c r="D2291" s="438">
        <v>300.35000000000002</v>
      </c>
    </row>
    <row r="2292" spans="1:4">
      <c r="A2292" s="435">
        <v>88306</v>
      </c>
      <c r="B2292" s="436" t="s">
        <v>39420</v>
      </c>
      <c r="C2292" s="437" t="s">
        <v>509</v>
      </c>
      <c r="D2292" s="438">
        <v>375.94</v>
      </c>
    </row>
    <row r="2293" spans="1:4" ht="25">
      <c r="A2293" s="435">
        <v>88312</v>
      </c>
      <c r="B2293" s="436" t="s">
        <v>32633</v>
      </c>
      <c r="C2293" s="437" t="s">
        <v>30445</v>
      </c>
      <c r="D2293" s="438">
        <v>517.22</v>
      </c>
    </row>
    <row r="2294" spans="1:4">
      <c r="A2294" s="435">
        <v>88314</v>
      </c>
      <c r="B2294" s="436" t="s">
        <v>32634</v>
      </c>
      <c r="C2294" s="437" t="s">
        <v>509</v>
      </c>
      <c r="D2294" s="438">
        <v>136.79</v>
      </c>
    </row>
    <row r="2295" spans="1:4">
      <c r="A2295" s="435">
        <v>88318</v>
      </c>
      <c r="B2295" s="436" t="s">
        <v>32635</v>
      </c>
      <c r="C2295" s="437" t="s">
        <v>165</v>
      </c>
      <c r="D2295" s="438">
        <v>0.3</v>
      </c>
    </row>
    <row r="2296" spans="1:4">
      <c r="A2296" s="435">
        <v>88319</v>
      </c>
      <c r="B2296" s="436" t="s">
        <v>32636</v>
      </c>
      <c r="C2296" s="437" t="s">
        <v>165</v>
      </c>
      <c r="D2296" s="438">
        <v>0.4</v>
      </c>
    </row>
    <row r="2297" spans="1:4" ht="49">
      <c r="A2297" s="435">
        <v>88320</v>
      </c>
      <c r="B2297" s="436" t="s">
        <v>39421</v>
      </c>
      <c r="C2297" s="437" t="s">
        <v>165</v>
      </c>
      <c r="D2297" s="438">
        <v>648.37</v>
      </c>
    </row>
    <row r="2298" spans="1:4">
      <c r="A2298" s="435">
        <v>88321</v>
      </c>
      <c r="B2298" s="436" t="s">
        <v>32637</v>
      </c>
      <c r="C2298" s="437" t="s">
        <v>30445</v>
      </c>
      <c r="D2298" s="438">
        <v>1173.96</v>
      </c>
    </row>
    <row r="2299" spans="1:4">
      <c r="A2299" s="435">
        <v>88322</v>
      </c>
      <c r="B2299" s="436" t="s">
        <v>32638</v>
      </c>
      <c r="C2299" s="437" t="s">
        <v>30445</v>
      </c>
      <c r="D2299" s="438">
        <v>164.54</v>
      </c>
    </row>
    <row r="2300" spans="1:4">
      <c r="A2300" s="435">
        <v>88323</v>
      </c>
      <c r="B2300" s="436" t="s">
        <v>32639</v>
      </c>
      <c r="C2300" s="437" t="s">
        <v>30445</v>
      </c>
      <c r="D2300" s="438">
        <v>168.6</v>
      </c>
    </row>
    <row r="2301" spans="1:4">
      <c r="A2301" s="435">
        <v>88324</v>
      </c>
      <c r="B2301" s="436" t="s">
        <v>32640</v>
      </c>
      <c r="C2301" s="437" t="s">
        <v>30445</v>
      </c>
      <c r="D2301" s="438">
        <v>168.6</v>
      </c>
    </row>
    <row r="2302" spans="1:4">
      <c r="A2302" s="435">
        <v>88325</v>
      </c>
      <c r="B2302" s="436" t="s">
        <v>32641</v>
      </c>
      <c r="C2302" s="437" t="s">
        <v>30445</v>
      </c>
      <c r="D2302" s="438">
        <v>199.58</v>
      </c>
    </row>
    <row r="2303" spans="1:4">
      <c r="A2303" s="435">
        <v>88326</v>
      </c>
      <c r="B2303" s="436" t="s">
        <v>32642</v>
      </c>
      <c r="C2303" s="437" t="s">
        <v>30445</v>
      </c>
      <c r="D2303" s="438">
        <v>186.89</v>
      </c>
    </row>
    <row r="2304" spans="1:4">
      <c r="A2304" s="435">
        <v>88327</v>
      </c>
      <c r="B2304" s="436" t="s">
        <v>32643</v>
      </c>
      <c r="C2304" s="437" t="s">
        <v>32644</v>
      </c>
      <c r="D2304" s="438">
        <v>576.91</v>
      </c>
    </row>
    <row r="2305" spans="1:4">
      <c r="A2305" s="435">
        <v>88328</v>
      </c>
      <c r="B2305" s="436" t="s">
        <v>39422</v>
      </c>
      <c r="C2305" s="437" t="s">
        <v>32644</v>
      </c>
      <c r="D2305" s="438">
        <v>707.89</v>
      </c>
    </row>
    <row r="2306" spans="1:4">
      <c r="A2306" s="435">
        <v>88329</v>
      </c>
      <c r="B2306" s="436" t="s">
        <v>32645</v>
      </c>
      <c r="C2306" s="437" t="s">
        <v>32644</v>
      </c>
      <c r="D2306" s="438">
        <v>777.51</v>
      </c>
    </row>
    <row r="2307" spans="1:4">
      <c r="A2307" s="435">
        <v>88330</v>
      </c>
      <c r="B2307" s="436" t="s">
        <v>39423</v>
      </c>
      <c r="C2307" s="437" t="s">
        <v>32644</v>
      </c>
      <c r="D2307" s="438">
        <v>890.06</v>
      </c>
    </row>
    <row r="2308" spans="1:4" ht="37">
      <c r="A2308" s="435">
        <v>88331</v>
      </c>
      <c r="B2308" s="436" t="s">
        <v>39424</v>
      </c>
      <c r="C2308" s="437" t="s">
        <v>121</v>
      </c>
      <c r="D2308" s="438">
        <v>837.39</v>
      </c>
    </row>
    <row r="2309" spans="1:4">
      <c r="A2309" s="435">
        <v>88332</v>
      </c>
      <c r="B2309" s="436" t="s">
        <v>32646</v>
      </c>
      <c r="C2309" s="437" t="s">
        <v>30445</v>
      </c>
      <c r="D2309" s="438">
        <v>145683.54</v>
      </c>
    </row>
    <row r="2310" spans="1:4">
      <c r="A2310" s="435">
        <v>88333</v>
      </c>
      <c r="B2310" s="436" t="s">
        <v>32647</v>
      </c>
      <c r="C2310" s="437" t="s">
        <v>30445</v>
      </c>
      <c r="D2310" s="438">
        <v>231277.75</v>
      </c>
    </row>
    <row r="2311" spans="1:4">
      <c r="A2311" s="435">
        <v>88334</v>
      </c>
      <c r="B2311" s="436" t="s">
        <v>32648</v>
      </c>
      <c r="C2311" s="437" t="s">
        <v>30445</v>
      </c>
      <c r="D2311" s="438">
        <v>93323.43</v>
      </c>
    </row>
    <row r="2312" spans="1:4">
      <c r="A2312" s="435">
        <v>88335</v>
      </c>
      <c r="B2312" s="436" t="s">
        <v>32649</v>
      </c>
      <c r="C2312" s="437" t="s">
        <v>30463</v>
      </c>
      <c r="D2312" s="438">
        <v>3.01</v>
      </c>
    </row>
    <row r="2313" spans="1:4">
      <c r="A2313" s="435">
        <v>88337</v>
      </c>
      <c r="B2313" s="436" t="s">
        <v>32650</v>
      </c>
      <c r="C2313" s="437" t="s">
        <v>30463</v>
      </c>
      <c r="D2313" s="438">
        <v>4.08</v>
      </c>
    </row>
    <row r="2314" spans="1:4">
      <c r="A2314" s="435">
        <v>88338</v>
      </c>
      <c r="B2314" s="436" t="s">
        <v>32651</v>
      </c>
      <c r="C2314" s="437" t="s">
        <v>165</v>
      </c>
      <c r="D2314" s="438">
        <v>3.86</v>
      </c>
    </row>
    <row r="2315" spans="1:4">
      <c r="A2315" s="435">
        <v>88340</v>
      </c>
      <c r="B2315" s="436" t="s">
        <v>32652</v>
      </c>
      <c r="C2315" s="437" t="s">
        <v>165</v>
      </c>
      <c r="D2315" s="438">
        <v>33.01</v>
      </c>
    </row>
    <row r="2316" spans="1:4">
      <c r="A2316" s="435">
        <v>88353</v>
      </c>
      <c r="B2316" s="436" t="s">
        <v>32653</v>
      </c>
      <c r="C2316" s="437" t="s">
        <v>30445</v>
      </c>
      <c r="D2316" s="438">
        <v>424.92</v>
      </c>
    </row>
    <row r="2317" spans="1:4">
      <c r="A2317" s="435">
        <v>88354</v>
      </c>
      <c r="B2317" s="436" t="s">
        <v>39425</v>
      </c>
      <c r="C2317" s="437" t="s">
        <v>30445</v>
      </c>
      <c r="D2317" s="438">
        <v>483.36</v>
      </c>
    </row>
    <row r="2318" spans="1:4">
      <c r="A2318" s="435">
        <v>88356</v>
      </c>
      <c r="B2318" s="436" t="s">
        <v>32654</v>
      </c>
      <c r="C2318" s="437" t="s">
        <v>30445</v>
      </c>
      <c r="D2318" s="438">
        <v>219.41</v>
      </c>
    </row>
    <row r="2319" spans="1:4">
      <c r="A2319" s="435">
        <v>88357</v>
      </c>
      <c r="B2319" s="436" t="s">
        <v>32655</v>
      </c>
      <c r="C2319" s="437" t="s">
        <v>30445</v>
      </c>
      <c r="D2319" s="438">
        <v>6.8</v>
      </c>
    </row>
    <row r="2320" spans="1:4">
      <c r="A2320" s="435">
        <v>88358</v>
      </c>
      <c r="B2320" s="436" t="s">
        <v>32656</v>
      </c>
      <c r="C2320" s="437" t="s">
        <v>30445</v>
      </c>
      <c r="D2320" s="438">
        <v>28.15</v>
      </c>
    </row>
    <row r="2321" spans="1:4" ht="25">
      <c r="A2321" s="435">
        <v>88360</v>
      </c>
      <c r="B2321" s="436" t="s">
        <v>32657</v>
      </c>
      <c r="C2321" s="437" t="s">
        <v>30445</v>
      </c>
      <c r="D2321" s="438">
        <v>551.65</v>
      </c>
    </row>
    <row r="2322" spans="1:4" ht="25">
      <c r="A2322" s="435">
        <v>88361</v>
      </c>
      <c r="B2322" s="436" t="s">
        <v>32658</v>
      </c>
      <c r="C2322" s="437" t="s">
        <v>30445</v>
      </c>
      <c r="D2322" s="438">
        <v>81.97</v>
      </c>
    </row>
    <row r="2323" spans="1:4">
      <c r="A2323" s="435">
        <v>88362</v>
      </c>
      <c r="B2323" s="436" t="s">
        <v>32659</v>
      </c>
      <c r="C2323" s="437" t="s">
        <v>30445</v>
      </c>
      <c r="D2323" s="438">
        <v>85.72</v>
      </c>
    </row>
    <row r="2324" spans="1:4">
      <c r="A2324" s="435">
        <v>88364</v>
      </c>
      <c r="B2324" s="436" t="s">
        <v>32660</v>
      </c>
      <c r="C2324" s="437" t="s">
        <v>30445</v>
      </c>
      <c r="D2324" s="438">
        <v>1.66</v>
      </c>
    </row>
    <row r="2325" spans="1:4">
      <c r="A2325" s="435">
        <v>88365</v>
      </c>
      <c r="B2325" s="436" t="s">
        <v>32661</v>
      </c>
      <c r="C2325" s="437" t="s">
        <v>30445</v>
      </c>
      <c r="D2325" s="438">
        <v>29.47</v>
      </c>
    </row>
    <row r="2326" spans="1:4">
      <c r="A2326" s="435">
        <v>88367</v>
      </c>
      <c r="B2326" s="436" t="s">
        <v>32662</v>
      </c>
      <c r="C2326" s="437" t="s">
        <v>30445</v>
      </c>
      <c r="D2326" s="438">
        <v>9.44</v>
      </c>
    </row>
    <row r="2327" spans="1:4">
      <c r="A2327" s="435">
        <v>88368</v>
      </c>
      <c r="B2327" s="436" t="s">
        <v>39426</v>
      </c>
      <c r="C2327" s="437" t="s">
        <v>30445</v>
      </c>
      <c r="D2327" s="438">
        <v>21.32</v>
      </c>
    </row>
    <row r="2328" spans="1:4">
      <c r="A2328" s="435">
        <v>88369</v>
      </c>
      <c r="B2328" s="436" t="s">
        <v>39427</v>
      </c>
      <c r="C2328" s="437" t="s">
        <v>30445</v>
      </c>
      <c r="D2328" s="438">
        <v>35.590000000000003</v>
      </c>
    </row>
    <row r="2329" spans="1:4">
      <c r="A2329" s="435">
        <v>88371</v>
      </c>
      <c r="B2329" s="436" t="s">
        <v>32663</v>
      </c>
      <c r="C2329" s="437" t="s">
        <v>30445</v>
      </c>
      <c r="D2329" s="438">
        <v>27.21</v>
      </c>
    </row>
    <row r="2330" spans="1:4">
      <c r="A2330" s="435">
        <v>88372</v>
      </c>
      <c r="B2330" s="436" t="s">
        <v>32664</v>
      </c>
      <c r="C2330" s="437" t="s">
        <v>30445</v>
      </c>
      <c r="D2330" s="438">
        <v>22.19</v>
      </c>
    </row>
    <row r="2331" spans="1:4">
      <c r="A2331" s="435">
        <v>88377</v>
      </c>
      <c r="B2331" s="436" t="s">
        <v>32665</v>
      </c>
      <c r="C2331" s="437" t="s">
        <v>165</v>
      </c>
      <c r="D2331" s="438">
        <v>45.92</v>
      </c>
    </row>
    <row r="2332" spans="1:4">
      <c r="A2332" s="435">
        <v>88378</v>
      </c>
      <c r="B2332" s="436" t="s">
        <v>32666</v>
      </c>
      <c r="C2332" s="437" t="s">
        <v>165</v>
      </c>
      <c r="D2332" s="438">
        <v>23.9</v>
      </c>
    </row>
    <row r="2333" spans="1:4">
      <c r="A2333" s="435">
        <v>88379</v>
      </c>
      <c r="B2333" s="436" t="s">
        <v>32667</v>
      </c>
      <c r="C2333" s="437" t="s">
        <v>165</v>
      </c>
      <c r="D2333" s="438">
        <v>11.48</v>
      </c>
    </row>
    <row r="2334" spans="1:4">
      <c r="A2334" s="435">
        <v>88380</v>
      </c>
      <c r="B2334" s="436" t="s">
        <v>32668</v>
      </c>
      <c r="C2334" s="437" t="s">
        <v>165</v>
      </c>
      <c r="D2334" s="438">
        <v>37.78</v>
      </c>
    </row>
    <row r="2335" spans="1:4">
      <c r="A2335" s="435">
        <v>88381</v>
      </c>
      <c r="B2335" s="436" t="s">
        <v>32669</v>
      </c>
      <c r="C2335" s="437" t="s">
        <v>165</v>
      </c>
      <c r="D2335" s="438">
        <v>17.98</v>
      </c>
    </row>
    <row r="2336" spans="1:4">
      <c r="A2336" s="435">
        <v>88382</v>
      </c>
      <c r="B2336" s="436" t="s">
        <v>32670</v>
      </c>
      <c r="C2336" s="437" t="s">
        <v>165</v>
      </c>
      <c r="D2336" s="438">
        <v>30.79</v>
      </c>
    </row>
    <row r="2337" spans="1:4">
      <c r="A2337" s="435">
        <v>88383</v>
      </c>
      <c r="B2337" s="436" t="s">
        <v>32671</v>
      </c>
      <c r="C2337" s="437" t="s">
        <v>165</v>
      </c>
      <c r="D2337" s="438">
        <v>234.62</v>
      </c>
    </row>
    <row r="2338" spans="1:4">
      <c r="A2338" s="435">
        <v>88384</v>
      </c>
      <c r="B2338" s="436" t="s">
        <v>32672</v>
      </c>
      <c r="C2338" s="437" t="s">
        <v>165</v>
      </c>
      <c r="D2338" s="438">
        <v>305.49</v>
      </c>
    </row>
    <row r="2339" spans="1:4">
      <c r="A2339" s="435">
        <v>88385</v>
      </c>
      <c r="B2339" s="436" t="s">
        <v>39428</v>
      </c>
      <c r="C2339" s="437" t="s">
        <v>165</v>
      </c>
      <c r="D2339" s="438">
        <v>425.82</v>
      </c>
    </row>
    <row r="2340" spans="1:4">
      <c r="A2340" s="435">
        <v>88387</v>
      </c>
      <c r="B2340" s="436" t="s">
        <v>32673</v>
      </c>
      <c r="C2340" s="437" t="s">
        <v>165</v>
      </c>
      <c r="D2340" s="438">
        <v>176.9</v>
      </c>
    </row>
    <row r="2341" spans="1:4">
      <c r="A2341" s="435">
        <v>88388</v>
      </c>
      <c r="B2341" s="436" t="s">
        <v>32674</v>
      </c>
      <c r="C2341" s="437" t="s">
        <v>165</v>
      </c>
      <c r="D2341" s="438">
        <v>242.21</v>
      </c>
    </row>
    <row r="2342" spans="1:4" ht="25">
      <c r="A2342" s="435">
        <v>88391</v>
      </c>
      <c r="B2342" s="436" t="s">
        <v>39429</v>
      </c>
      <c r="C2342" s="437" t="s">
        <v>165</v>
      </c>
      <c r="D2342" s="438">
        <v>3.38</v>
      </c>
    </row>
    <row r="2343" spans="1:4">
      <c r="A2343" s="435">
        <v>88392</v>
      </c>
      <c r="B2343" s="436" t="s">
        <v>32675</v>
      </c>
      <c r="C2343" s="437" t="s">
        <v>165</v>
      </c>
      <c r="D2343" s="438">
        <v>499.91</v>
      </c>
    </row>
    <row r="2344" spans="1:4">
      <c r="A2344" s="435">
        <v>88393</v>
      </c>
      <c r="B2344" s="436" t="s">
        <v>32676</v>
      </c>
      <c r="C2344" s="437" t="s">
        <v>165</v>
      </c>
      <c r="D2344" s="438">
        <v>530.71</v>
      </c>
    </row>
    <row r="2345" spans="1:4">
      <c r="A2345" s="435">
        <v>88394</v>
      </c>
      <c r="B2345" s="436" t="s">
        <v>32677</v>
      </c>
      <c r="C2345" s="437" t="s">
        <v>165</v>
      </c>
      <c r="D2345" s="438">
        <v>568.79999999999995</v>
      </c>
    </row>
    <row r="2346" spans="1:4">
      <c r="A2346" s="435">
        <v>88395</v>
      </c>
      <c r="B2346" s="436" t="s">
        <v>32678</v>
      </c>
      <c r="C2346" s="437" t="s">
        <v>165</v>
      </c>
      <c r="D2346" s="438">
        <v>488.58</v>
      </c>
    </row>
    <row r="2347" spans="1:4">
      <c r="A2347" s="435">
        <v>88400</v>
      </c>
      <c r="B2347" s="436" t="s">
        <v>32679</v>
      </c>
      <c r="C2347" s="437" t="s">
        <v>165</v>
      </c>
      <c r="D2347" s="438">
        <v>1085.44</v>
      </c>
    </row>
    <row r="2348" spans="1:4">
      <c r="A2348" s="435">
        <v>88401</v>
      </c>
      <c r="B2348" s="436" t="s">
        <v>32680</v>
      </c>
      <c r="C2348" s="437" t="s">
        <v>165</v>
      </c>
      <c r="D2348" s="438">
        <v>88.03</v>
      </c>
    </row>
    <row r="2349" spans="1:4">
      <c r="A2349" s="435">
        <v>88402</v>
      </c>
      <c r="B2349" s="436" t="s">
        <v>32681</v>
      </c>
      <c r="C2349" s="437" t="s">
        <v>165</v>
      </c>
      <c r="D2349" s="438">
        <v>136.68</v>
      </c>
    </row>
    <row r="2350" spans="1:4">
      <c r="A2350" s="435">
        <v>88403</v>
      </c>
      <c r="B2350" s="436" t="s">
        <v>32682</v>
      </c>
      <c r="C2350" s="437" t="s">
        <v>165</v>
      </c>
      <c r="D2350" s="438">
        <v>26.8</v>
      </c>
    </row>
    <row r="2351" spans="1:4">
      <c r="A2351" s="435">
        <v>88404</v>
      </c>
      <c r="B2351" s="436" t="s">
        <v>32683</v>
      </c>
      <c r="C2351" s="437" t="s">
        <v>165</v>
      </c>
      <c r="D2351" s="438">
        <v>48.59</v>
      </c>
    </row>
    <row r="2352" spans="1:4">
      <c r="A2352" s="435">
        <v>88405</v>
      </c>
      <c r="B2352" s="436" t="s">
        <v>32684</v>
      </c>
      <c r="C2352" s="437" t="s">
        <v>165</v>
      </c>
      <c r="D2352" s="438">
        <v>89.85</v>
      </c>
    </row>
    <row r="2353" spans="1:4">
      <c r="A2353" s="435">
        <v>88406</v>
      </c>
      <c r="B2353" s="436" t="s">
        <v>32685</v>
      </c>
      <c r="C2353" s="437" t="s">
        <v>165</v>
      </c>
      <c r="D2353" s="438">
        <v>28.37</v>
      </c>
    </row>
    <row r="2354" spans="1:4">
      <c r="A2354" s="435">
        <v>88407</v>
      </c>
      <c r="B2354" s="436" t="s">
        <v>32686</v>
      </c>
      <c r="C2354" s="437" t="s">
        <v>165</v>
      </c>
      <c r="D2354" s="438">
        <v>53.7</v>
      </c>
    </row>
    <row r="2355" spans="1:4">
      <c r="A2355" s="435">
        <v>88408</v>
      </c>
      <c r="B2355" s="436" t="s">
        <v>32687</v>
      </c>
      <c r="C2355" s="437" t="s">
        <v>165</v>
      </c>
      <c r="D2355" s="438">
        <v>132.11000000000001</v>
      </c>
    </row>
    <row r="2356" spans="1:4">
      <c r="A2356" s="435">
        <v>88409</v>
      </c>
      <c r="B2356" s="436" t="s">
        <v>32688</v>
      </c>
      <c r="C2356" s="437" t="s">
        <v>165</v>
      </c>
      <c r="D2356" s="438">
        <v>27.94</v>
      </c>
    </row>
    <row r="2357" spans="1:4">
      <c r="A2357" s="435">
        <v>88410</v>
      </c>
      <c r="B2357" s="436" t="s">
        <v>32689</v>
      </c>
      <c r="C2357" s="437" t="s">
        <v>165</v>
      </c>
      <c r="D2357" s="438">
        <v>48.63</v>
      </c>
    </row>
    <row r="2358" spans="1:4">
      <c r="A2358" s="435">
        <v>88411</v>
      </c>
      <c r="B2358" s="436" t="s">
        <v>32690</v>
      </c>
      <c r="C2358" s="437" t="s">
        <v>165</v>
      </c>
      <c r="D2358" s="438">
        <v>234.19</v>
      </c>
    </row>
    <row r="2359" spans="1:4">
      <c r="A2359" s="435">
        <v>88412</v>
      </c>
      <c r="B2359" s="436" t="s">
        <v>32691</v>
      </c>
      <c r="C2359" s="437" t="s">
        <v>165</v>
      </c>
      <c r="D2359" s="438">
        <v>86.59</v>
      </c>
    </row>
    <row r="2360" spans="1:4">
      <c r="A2360" s="435">
        <v>88413</v>
      </c>
      <c r="B2360" s="436" t="s">
        <v>32692</v>
      </c>
      <c r="C2360" s="437" t="s">
        <v>165</v>
      </c>
      <c r="D2360" s="438">
        <v>129.99</v>
      </c>
    </row>
    <row r="2361" spans="1:4">
      <c r="A2361" s="435">
        <v>88414</v>
      </c>
      <c r="B2361" s="436" t="s">
        <v>32693</v>
      </c>
      <c r="C2361" s="437" t="s">
        <v>165</v>
      </c>
      <c r="D2361" s="438">
        <v>203.54</v>
      </c>
    </row>
    <row r="2362" spans="1:4">
      <c r="A2362" s="435">
        <v>88415</v>
      </c>
      <c r="B2362" s="436" t="s">
        <v>32694</v>
      </c>
      <c r="C2362" s="437" t="s">
        <v>165</v>
      </c>
      <c r="D2362" s="438">
        <v>330.9</v>
      </c>
    </row>
    <row r="2363" spans="1:4">
      <c r="A2363" s="435">
        <v>88416</v>
      </c>
      <c r="B2363" s="436" t="s">
        <v>32695</v>
      </c>
      <c r="C2363" s="437" t="s">
        <v>165</v>
      </c>
      <c r="D2363" s="438">
        <v>482.99</v>
      </c>
    </row>
    <row r="2364" spans="1:4">
      <c r="A2364" s="435">
        <v>88417</v>
      </c>
      <c r="B2364" s="436" t="s">
        <v>32696</v>
      </c>
      <c r="C2364" s="437" t="s">
        <v>165</v>
      </c>
      <c r="D2364" s="438">
        <v>887.67</v>
      </c>
    </row>
    <row r="2365" spans="1:4">
      <c r="A2365" s="435">
        <v>88418</v>
      </c>
      <c r="B2365" s="436" t="s">
        <v>32697</v>
      </c>
      <c r="C2365" s="437" t="s">
        <v>30445</v>
      </c>
      <c r="D2365" s="438">
        <v>285.2</v>
      </c>
    </row>
    <row r="2366" spans="1:4">
      <c r="A2366" s="435">
        <v>88419</v>
      </c>
      <c r="B2366" s="436" t="s">
        <v>32698</v>
      </c>
      <c r="C2366" s="437" t="s">
        <v>30445</v>
      </c>
      <c r="D2366" s="438">
        <v>28.85</v>
      </c>
    </row>
    <row r="2367" spans="1:4">
      <c r="A2367" s="435">
        <v>88420</v>
      </c>
      <c r="B2367" s="436" t="s">
        <v>32699</v>
      </c>
      <c r="C2367" s="437" t="s">
        <v>509</v>
      </c>
      <c r="D2367" s="438">
        <v>2.5099999999999998</v>
      </c>
    </row>
    <row r="2368" spans="1:4">
      <c r="A2368" s="435">
        <v>88422</v>
      </c>
      <c r="B2368" s="436" t="s">
        <v>39430</v>
      </c>
      <c r="C2368" s="437" t="s">
        <v>30445</v>
      </c>
      <c r="D2368" s="438">
        <v>660.82</v>
      </c>
    </row>
    <row r="2369" spans="1:4">
      <c r="A2369" s="435">
        <v>88423</v>
      </c>
      <c r="B2369" s="436" t="s">
        <v>32700</v>
      </c>
      <c r="C2369" s="437" t="s">
        <v>30445</v>
      </c>
      <c r="D2369" s="438">
        <v>180.13</v>
      </c>
    </row>
    <row r="2370" spans="1:4">
      <c r="A2370" s="435">
        <v>88424</v>
      </c>
      <c r="B2370" s="436" t="s">
        <v>32701</v>
      </c>
      <c r="C2370" s="437" t="s">
        <v>30445</v>
      </c>
      <c r="D2370" s="438">
        <v>29.74</v>
      </c>
    </row>
    <row r="2371" spans="1:4">
      <c r="A2371" s="435">
        <v>88426</v>
      </c>
      <c r="B2371" s="436" t="s">
        <v>39431</v>
      </c>
      <c r="C2371" s="437" t="s">
        <v>165</v>
      </c>
      <c r="D2371" s="438">
        <v>520.66</v>
      </c>
    </row>
    <row r="2372" spans="1:4">
      <c r="A2372" s="435">
        <v>88427</v>
      </c>
      <c r="B2372" s="436" t="s">
        <v>39432</v>
      </c>
      <c r="C2372" s="437" t="s">
        <v>165</v>
      </c>
      <c r="D2372" s="438">
        <v>818.35</v>
      </c>
    </row>
    <row r="2373" spans="1:4">
      <c r="A2373" s="435">
        <v>88428</v>
      </c>
      <c r="B2373" s="436" t="s">
        <v>39433</v>
      </c>
      <c r="C2373" s="437" t="s">
        <v>165</v>
      </c>
      <c r="D2373" s="438">
        <v>678.67</v>
      </c>
    </row>
    <row r="2374" spans="1:4">
      <c r="A2374" s="435">
        <v>88429</v>
      </c>
      <c r="B2374" s="436" t="s">
        <v>39434</v>
      </c>
      <c r="C2374" s="437" t="s">
        <v>165</v>
      </c>
      <c r="D2374" s="438">
        <v>877.54</v>
      </c>
    </row>
    <row r="2375" spans="1:4">
      <c r="A2375" s="435">
        <v>88430</v>
      </c>
      <c r="B2375" s="436" t="s">
        <v>39435</v>
      </c>
      <c r="C2375" s="437" t="s">
        <v>165</v>
      </c>
      <c r="D2375" s="438">
        <v>432.71</v>
      </c>
    </row>
    <row r="2376" spans="1:4">
      <c r="A2376" s="435">
        <v>88431</v>
      </c>
      <c r="B2376" s="436" t="s">
        <v>39436</v>
      </c>
      <c r="C2376" s="437" t="s">
        <v>165</v>
      </c>
      <c r="D2376" s="438">
        <v>785.87</v>
      </c>
    </row>
    <row r="2377" spans="1:4">
      <c r="A2377" s="435">
        <v>88432</v>
      </c>
      <c r="B2377" s="436" t="s">
        <v>39437</v>
      </c>
      <c r="C2377" s="437" t="s">
        <v>165</v>
      </c>
      <c r="D2377" s="438">
        <v>707.26</v>
      </c>
    </row>
    <row r="2378" spans="1:4">
      <c r="A2378" s="435">
        <v>88434</v>
      </c>
      <c r="B2378" s="436" t="s">
        <v>32702</v>
      </c>
      <c r="C2378" s="437" t="s">
        <v>509</v>
      </c>
      <c r="D2378" s="438">
        <v>12.69</v>
      </c>
    </row>
    <row r="2379" spans="1:4" ht="37">
      <c r="A2379" s="435">
        <v>88436</v>
      </c>
      <c r="B2379" s="436" t="s">
        <v>39438</v>
      </c>
      <c r="C2379" s="437" t="s">
        <v>509</v>
      </c>
      <c r="D2379" s="438">
        <v>1014.24</v>
      </c>
    </row>
    <row r="2380" spans="1:4" ht="37">
      <c r="A2380" s="435">
        <v>88437</v>
      </c>
      <c r="B2380" s="436" t="s">
        <v>39439</v>
      </c>
      <c r="C2380" s="437" t="s">
        <v>509</v>
      </c>
      <c r="D2380" s="438">
        <v>1014.24</v>
      </c>
    </row>
    <row r="2381" spans="1:4" ht="37">
      <c r="A2381" s="435">
        <v>88438</v>
      </c>
      <c r="B2381" s="436" t="s">
        <v>39440</v>
      </c>
      <c r="C2381" s="437" t="s">
        <v>509</v>
      </c>
      <c r="D2381" s="438">
        <v>1041.67</v>
      </c>
    </row>
    <row r="2382" spans="1:4" ht="25">
      <c r="A2382" s="435">
        <v>88439</v>
      </c>
      <c r="B2382" s="436" t="s">
        <v>32703</v>
      </c>
      <c r="C2382" s="437" t="s">
        <v>509</v>
      </c>
      <c r="D2382" s="438">
        <v>1041.67</v>
      </c>
    </row>
    <row r="2383" spans="1:4" ht="37">
      <c r="A2383" s="435">
        <v>88440</v>
      </c>
      <c r="B2383" s="436" t="s">
        <v>39441</v>
      </c>
      <c r="C2383" s="437" t="s">
        <v>509</v>
      </c>
      <c r="D2383" s="438">
        <v>1041.67</v>
      </c>
    </row>
    <row r="2384" spans="1:4" ht="37">
      <c r="A2384" s="435">
        <v>88441</v>
      </c>
      <c r="B2384" s="436" t="s">
        <v>39442</v>
      </c>
      <c r="C2384" s="437" t="s">
        <v>509</v>
      </c>
      <c r="D2384" s="438">
        <v>1470.15</v>
      </c>
    </row>
    <row r="2385" spans="1:4" ht="25">
      <c r="A2385" s="435">
        <v>88442</v>
      </c>
      <c r="B2385" s="436" t="s">
        <v>32704</v>
      </c>
      <c r="C2385" s="437" t="s">
        <v>509</v>
      </c>
      <c r="D2385" s="438">
        <v>1620.47</v>
      </c>
    </row>
    <row r="2386" spans="1:4" ht="37">
      <c r="A2386" s="435">
        <v>88443</v>
      </c>
      <c r="B2386" s="436" t="s">
        <v>39443</v>
      </c>
      <c r="C2386" s="437" t="s">
        <v>509</v>
      </c>
      <c r="D2386" s="438">
        <v>1773.27</v>
      </c>
    </row>
    <row r="2387" spans="1:4" ht="37">
      <c r="A2387" s="435">
        <v>88444</v>
      </c>
      <c r="B2387" s="436" t="s">
        <v>39444</v>
      </c>
      <c r="C2387" s="437" t="s">
        <v>509</v>
      </c>
      <c r="D2387" s="438">
        <v>1372.37</v>
      </c>
    </row>
    <row r="2388" spans="1:4">
      <c r="A2388" s="435">
        <v>88446</v>
      </c>
      <c r="B2388" s="436" t="s">
        <v>32705</v>
      </c>
      <c r="C2388" s="437" t="s">
        <v>165</v>
      </c>
      <c r="D2388" s="438">
        <v>106.58</v>
      </c>
    </row>
    <row r="2389" spans="1:4">
      <c r="A2389" s="435">
        <v>88447</v>
      </c>
      <c r="B2389" s="436" t="s">
        <v>32706</v>
      </c>
      <c r="C2389" s="437" t="s">
        <v>165</v>
      </c>
      <c r="D2389" s="438">
        <v>340.84</v>
      </c>
    </row>
    <row r="2390" spans="1:4">
      <c r="A2390" s="435">
        <v>88448</v>
      </c>
      <c r="B2390" s="436" t="s">
        <v>32707</v>
      </c>
      <c r="C2390" s="437" t="s">
        <v>165</v>
      </c>
      <c r="D2390" s="438">
        <v>76.02</v>
      </c>
    </row>
    <row r="2391" spans="1:4">
      <c r="A2391" s="435">
        <v>88449</v>
      </c>
      <c r="B2391" s="436" t="s">
        <v>32708</v>
      </c>
      <c r="C2391" s="437" t="s">
        <v>165</v>
      </c>
      <c r="D2391" s="438">
        <v>632.27</v>
      </c>
    </row>
    <row r="2392" spans="1:4">
      <c r="A2392" s="435">
        <v>88450</v>
      </c>
      <c r="B2392" s="436" t="s">
        <v>32709</v>
      </c>
      <c r="C2392" s="437" t="s">
        <v>165</v>
      </c>
      <c r="D2392" s="438">
        <v>314.11</v>
      </c>
    </row>
    <row r="2393" spans="1:4">
      <c r="A2393" s="435">
        <v>88451</v>
      </c>
      <c r="B2393" s="436" t="s">
        <v>32710</v>
      </c>
      <c r="C2393" s="437" t="s">
        <v>165</v>
      </c>
      <c r="D2393" s="438">
        <v>645.44000000000005</v>
      </c>
    </row>
    <row r="2394" spans="1:4">
      <c r="A2394" s="435">
        <v>88452</v>
      </c>
      <c r="B2394" s="436" t="s">
        <v>32711</v>
      </c>
      <c r="C2394" s="437" t="s">
        <v>165</v>
      </c>
      <c r="D2394" s="438">
        <v>684.33</v>
      </c>
    </row>
    <row r="2395" spans="1:4">
      <c r="A2395" s="435">
        <v>88453</v>
      </c>
      <c r="B2395" s="436" t="s">
        <v>32712</v>
      </c>
      <c r="C2395" s="437" t="s">
        <v>165</v>
      </c>
      <c r="D2395" s="438">
        <v>929.22</v>
      </c>
    </row>
    <row r="2396" spans="1:4">
      <c r="A2396" s="435">
        <v>88454</v>
      </c>
      <c r="B2396" s="436" t="s">
        <v>32713</v>
      </c>
      <c r="C2396" s="437" t="s">
        <v>165</v>
      </c>
      <c r="D2396" s="438">
        <v>849.62</v>
      </c>
    </row>
    <row r="2397" spans="1:4">
      <c r="A2397" s="435">
        <v>88455</v>
      </c>
      <c r="B2397" s="436" t="s">
        <v>32714</v>
      </c>
      <c r="C2397" s="437" t="s">
        <v>165</v>
      </c>
      <c r="D2397" s="438">
        <v>54.66</v>
      </c>
    </row>
    <row r="2398" spans="1:4">
      <c r="A2398" s="435">
        <v>88456</v>
      </c>
      <c r="B2398" s="436" t="s">
        <v>32715</v>
      </c>
      <c r="C2398" s="437" t="s">
        <v>165</v>
      </c>
      <c r="D2398" s="438">
        <v>91.19</v>
      </c>
    </row>
    <row r="2399" spans="1:4" ht="25">
      <c r="A2399" s="435">
        <v>88457</v>
      </c>
      <c r="B2399" s="436" t="s">
        <v>39445</v>
      </c>
      <c r="C2399" s="437" t="s">
        <v>30445</v>
      </c>
      <c r="D2399" s="438">
        <v>36.61</v>
      </c>
    </row>
    <row r="2400" spans="1:4" ht="37">
      <c r="A2400" s="435">
        <v>88458</v>
      </c>
      <c r="B2400" s="436" t="s">
        <v>39446</v>
      </c>
      <c r="C2400" s="437" t="s">
        <v>30445</v>
      </c>
      <c r="D2400" s="438">
        <v>46.85</v>
      </c>
    </row>
    <row r="2401" spans="1:4">
      <c r="A2401" s="369">
        <v>88460</v>
      </c>
      <c r="B2401" s="436" t="s">
        <v>32716</v>
      </c>
      <c r="C2401" s="371" t="s">
        <v>30445</v>
      </c>
      <c r="D2401" s="372">
        <v>6.99</v>
      </c>
    </row>
    <row r="2402" spans="1:4">
      <c r="A2402" s="435">
        <v>88461</v>
      </c>
      <c r="B2402" s="370" t="s">
        <v>39447</v>
      </c>
      <c r="C2402" s="437" t="s">
        <v>30445</v>
      </c>
      <c r="D2402" s="438">
        <v>10.84</v>
      </c>
    </row>
    <row r="2403" spans="1:4" ht="25">
      <c r="A2403" s="435">
        <v>88462</v>
      </c>
      <c r="B2403" s="436" t="s">
        <v>39448</v>
      </c>
      <c r="C2403" s="437" t="s">
        <v>30445</v>
      </c>
      <c r="D2403" s="438">
        <v>92.32</v>
      </c>
    </row>
    <row r="2404" spans="1:4">
      <c r="A2404" s="435">
        <v>88464</v>
      </c>
      <c r="B2404" s="436" t="s">
        <v>32717</v>
      </c>
      <c r="C2404" s="437" t="s">
        <v>30445</v>
      </c>
      <c r="D2404" s="438">
        <v>16.649999999999999</v>
      </c>
    </row>
    <row r="2405" spans="1:4" ht="37">
      <c r="A2405" s="435">
        <v>88465</v>
      </c>
      <c r="B2405" s="436" t="s">
        <v>32718</v>
      </c>
      <c r="C2405" s="437" t="s">
        <v>30445</v>
      </c>
      <c r="D2405" s="438">
        <v>209.95</v>
      </c>
    </row>
    <row r="2406" spans="1:4" ht="25">
      <c r="A2406" s="435">
        <v>88466</v>
      </c>
      <c r="B2406" s="436" t="s">
        <v>39449</v>
      </c>
      <c r="C2406" s="437" t="s">
        <v>30445</v>
      </c>
      <c r="D2406" s="438">
        <v>220.97</v>
      </c>
    </row>
    <row r="2407" spans="1:4">
      <c r="A2407" s="435">
        <v>88468</v>
      </c>
      <c r="B2407" s="436" t="s">
        <v>39450</v>
      </c>
      <c r="C2407" s="437" t="s">
        <v>30445</v>
      </c>
      <c r="D2407" s="438">
        <v>76.510000000000005</v>
      </c>
    </row>
    <row r="2408" spans="1:4" ht="25">
      <c r="A2408" s="435">
        <v>88470</v>
      </c>
      <c r="B2408" s="436" t="s">
        <v>32719</v>
      </c>
      <c r="C2408" s="437" t="s">
        <v>30445</v>
      </c>
      <c r="D2408" s="438">
        <v>26.59</v>
      </c>
    </row>
    <row r="2409" spans="1:4">
      <c r="A2409" s="435">
        <v>88471</v>
      </c>
      <c r="B2409" s="436" t="s">
        <v>32720</v>
      </c>
      <c r="C2409" s="437" t="s">
        <v>30445</v>
      </c>
      <c r="D2409" s="438">
        <v>259.66000000000003</v>
      </c>
    </row>
    <row r="2410" spans="1:4" ht="37">
      <c r="A2410" s="435">
        <v>88472</v>
      </c>
      <c r="B2410" s="436" t="s">
        <v>39451</v>
      </c>
      <c r="C2410" s="437" t="s">
        <v>30445</v>
      </c>
      <c r="D2410" s="438">
        <v>238.36</v>
      </c>
    </row>
    <row r="2411" spans="1:4" ht="25">
      <c r="A2411" s="435">
        <v>88473</v>
      </c>
      <c r="B2411" s="436" t="s">
        <v>39452</v>
      </c>
      <c r="C2411" s="437" t="s">
        <v>30445</v>
      </c>
      <c r="D2411" s="438">
        <v>206.66</v>
      </c>
    </row>
    <row r="2412" spans="1:4" ht="37">
      <c r="A2412" s="435">
        <v>88474</v>
      </c>
      <c r="B2412" s="436" t="s">
        <v>39453</v>
      </c>
      <c r="C2412" s="437" t="s">
        <v>30445</v>
      </c>
      <c r="D2412" s="438">
        <v>96.74</v>
      </c>
    </row>
    <row r="2413" spans="1:4" ht="37">
      <c r="A2413" s="435">
        <v>88475</v>
      </c>
      <c r="B2413" s="436" t="s">
        <v>39454</v>
      </c>
      <c r="C2413" s="437" t="s">
        <v>30445</v>
      </c>
      <c r="D2413" s="438">
        <v>91.01</v>
      </c>
    </row>
    <row r="2414" spans="1:4" ht="25">
      <c r="A2414" s="435">
        <v>88476</v>
      </c>
      <c r="B2414" s="436" t="s">
        <v>39455</v>
      </c>
      <c r="C2414" s="437" t="s">
        <v>30445</v>
      </c>
      <c r="D2414" s="438">
        <v>205.96</v>
      </c>
    </row>
    <row r="2415" spans="1:4" ht="37">
      <c r="A2415" s="435">
        <v>88477</v>
      </c>
      <c r="B2415" s="436" t="s">
        <v>39456</v>
      </c>
      <c r="C2415" s="437" t="s">
        <v>30445</v>
      </c>
      <c r="D2415" s="438">
        <v>150.33000000000001</v>
      </c>
    </row>
    <row r="2416" spans="1:4" ht="37">
      <c r="A2416" s="435">
        <v>88478</v>
      </c>
      <c r="B2416" s="436" t="s">
        <v>39457</v>
      </c>
      <c r="C2416" s="437" t="s">
        <v>30445</v>
      </c>
      <c r="D2416" s="438">
        <v>252.79</v>
      </c>
    </row>
    <row r="2417" spans="1:4" ht="25">
      <c r="A2417" s="435">
        <v>88479</v>
      </c>
      <c r="B2417" s="436" t="s">
        <v>39458</v>
      </c>
      <c r="C2417" s="437" t="s">
        <v>30445</v>
      </c>
      <c r="D2417" s="438">
        <v>188.32</v>
      </c>
    </row>
    <row r="2418" spans="1:4" ht="37">
      <c r="A2418" s="435">
        <v>88480</v>
      </c>
      <c r="B2418" s="436" t="s">
        <v>39459</v>
      </c>
      <c r="C2418" s="437" t="s">
        <v>30445</v>
      </c>
      <c r="D2418" s="438">
        <v>175.05</v>
      </c>
    </row>
    <row r="2419" spans="1:4" ht="25">
      <c r="A2419" s="435">
        <v>88482</v>
      </c>
      <c r="B2419" s="436" t="s">
        <v>39460</v>
      </c>
      <c r="C2419" s="437" t="s">
        <v>30445</v>
      </c>
      <c r="D2419" s="438">
        <v>81.53</v>
      </c>
    </row>
    <row r="2420" spans="1:4">
      <c r="A2420" s="435">
        <v>88484</v>
      </c>
      <c r="B2420" s="436" t="s">
        <v>39461</v>
      </c>
      <c r="C2420" s="437" t="s">
        <v>165</v>
      </c>
      <c r="D2420" s="438">
        <v>5.79</v>
      </c>
    </row>
    <row r="2421" spans="1:4">
      <c r="A2421" s="435">
        <v>88485</v>
      </c>
      <c r="B2421" s="436" t="s">
        <v>32721</v>
      </c>
      <c r="C2421" s="437" t="s">
        <v>509</v>
      </c>
      <c r="D2421" s="438">
        <v>65.150000000000006</v>
      </c>
    </row>
    <row r="2422" spans="1:4">
      <c r="A2422" s="435">
        <v>88490</v>
      </c>
      <c r="B2422" s="436" t="s">
        <v>32722</v>
      </c>
      <c r="C2422" s="437" t="s">
        <v>30445</v>
      </c>
      <c r="D2422" s="438">
        <v>15.18</v>
      </c>
    </row>
    <row r="2423" spans="1:4" ht="37">
      <c r="A2423" s="435">
        <v>88494</v>
      </c>
      <c r="B2423" s="436" t="s">
        <v>39462</v>
      </c>
      <c r="C2423" s="437" t="s">
        <v>30445</v>
      </c>
      <c r="D2423" s="438">
        <v>0.05</v>
      </c>
    </row>
    <row r="2424" spans="1:4">
      <c r="A2424" s="435">
        <v>88497</v>
      </c>
      <c r="B2424" s="436" t="s">
        <v>39463</v>
      </c>
      <c r="C2424" s="437" t="s">
        <v>30445</v>
      </c>
      <c r="D2424" s="438">
        <v>19.420000000000002</v>
      </c>
    </row>
    <row r="2425" spans="1:4">
      <c r="A2425" s="435">
        <v>88499</v>
      </c>
      <c r="B2425" s="436" t="s">
        <v>39464</v>
      </c>
      <c r="C2425" s="437" t="s">
        <v>30445</v>
      </c>
      <c r="D2425" s="438">
        <v>1.74</v>
      </c>
    </row>
    <row r="2426" spans="1:4" ht="37">
      <c r="A2426" s="435">
        <v>88500</v>
      </c>
      <c r="B2426" s="436" t="s">
        <v>39465</v>
      </c>
      <c r="C2426" s="437" t="s">
        <v>30445</v>
      </c>
      <c r="D2426" s="438">
        <v>0.3</v>
      </c>
    </row>
    <row r="2427" spans="1:4">
      <c r="A2427" s="435">
        <v>88501</v>
      </c>
      <c r="B2427" s="436" t="s">
        <v>32723</v>
      </c>
      <c r="C2427" s="437" t="s">
        <v>30445</v>
      </c>
      <c r="D2427" s="438">
        <v>0.47</v>
      </c>
    </row>
    <row r="2428" spans="1:4">
      <c r="A2428" s="435">
        <v>88506</v>
      </c>
      <c r="B2428" s="436" t="s">
        <v>32724</v>
      </c>
      <c r="C2428" s="437" t="s">
        <v>509</v>
      </c>
      <c r="D2428" s="438">
        <v>148.72999999999999</v>
      </c>
    </row>
    <row r="2429" spans="1:4">
      <c r="A2429" s="435">
        <v>88507</v>
      </c>
      <c r="B2429" s="436" t="s">
        <v>32725</v>
      </c>
      <c r="C2429" s="437" t="s">
        <v>509</v>
      </c>
      <c r="D2429" s="438">
        <v>33.479999999999997</v>
      </c>
    </row>
    <row r="2430" spans="1:4">
      <c r="A2430" s="435">
        <v>88508</v>
      </c>
      <c r="B2430" s="436" t="s">
        <v>32726</v>
      </c>
      <c r="C2430" s="437" t="s">
        <v>165</v>
      </c>
      <c r="D2430" s="438">
        <v>160.78</v>
      </c>
    </row>
    <row r="2431" spans="1:4">
      <c r="A2431" s="435">
        <v>88509</v>
      </c>
      <c r="B2431" s="436" t="s">
        <v>32727</v>
      </c>
      <c r="C2431" s="437" t="s">
        <v>165</v>
      </c>
      <c r="D2431" s="438">
        <v>216.46</v>
      </c>
    </row>
    <row r="2432" spans="1:4" ht="25">
      <c r="A2432" s="435">
        <v>88511</v>
      </c>
      <c r="B2432" s="436" t="s">
        <v>39466</v>
      </c>
      <c r="C2432" s="437" t="s">
        <v>509</v>
      </c>
      <c r="D2432" s="438">
        <v>228.54</v>
      </c>
    </row>
    <row r="2433" spans="1:4" ht="37">
      <c r="A2433" s="435">
        <v>88512</v>
      </c>
      <c r="B2433" s="436" t="s">
        <v>39467</v>
      </c>
      <c r="C2433" s="437" t="s">
        <v>509</v>
      </c>
      <c r="D2433" s="438">
        <v>313.22000000000003</v>
      </c>
    </row>
    <row r="2434" spans="1:4">
      <c r="A2434" s="435">
        <v>88519</v>
      </c>
      <c r="B2434" s="436" t="s">
        <v>32728</v>
      </c>
      <c r="C2434" s="437" t="s">
        <v>165</v>
      </c>
      <c r="D2434" s="438">
        <v>73.28</v>
      </c>
    </row>
    <row r="2435" spans="1:4">
      <c r="A2435" s="435">
        <v>88522</v>
      </c>
      <c r="B2435" s="436" t="s">
        <v>32729</v>
      </c>
      <c r="C2435" s="437" t="s">
        <v>165</v>
      </c>
      <c r="D2435" s="438">
        <v>2.84</v>
      </c>
    </row>
    <row r="2436" spans="1:4">
      <c r="A2436" s="435">
        <v>88523</v>
      </c>
      <c r="B2436" s="436" t="s">
        <v>39468</v>
      </c>
      <c r="C2436" s="437" t="s">
        <v>30445</v>
      </c>
      <c r="D2436" s="438">
        <v>7.12</v>
      </c>
    </row>
    <row r="2437" spans="1:4">
      <c r="A2437" s="435">
        <v>88524</v>
      </c>
      <c r="B2437" s="436" t="s">
        <v>32730</v>
      </c>
      <c r="C2437" s="437" t="s">
        <v>30445</v>
      </c>
      <c r="D2437" s="438">
        <v>9.49</v>
      </c>
    </row>
    <row r="2438" spans="1:4">
      <c r="A2438" s="435">
        <v>88526</v>
      </c>
      <c r="B2438" s="436" t="s">
        <v>32731</v>
      </c>
      <c r="C2438" s="437" t="s">
        <v>30445</v>
      </c>
      <c r="D2438" s="438">
        <v>2.64</v>
      </c>
    </row>
    <row r="2439" spans="1:4">
      <c r="A2439" s="435">
        <v>88528</v>
      </c>
      <c r="B2439" s="436" t="s">
        <v>32732</v>
      </c>
      <c r="C2439" s="437" t="s">
        <v>30445</v>
      </c>
      <c r="D2439" s="438">
        <v>86.15</v>
      </c>
    </row>
    <row r="2440" spans="1:4">
      <c r="A2440" s="435">
        <v>88529</v>
      </c>
      <c r="B2440" s="436" t="s">
        <v>32733</v>
      </c>
      <c r="C2440" s="437" t="s">
        <v>30445</v>
      </c>
      <c r="D2440" s="438">
        <v>96.35</v>
      </c>
    </row>
    <row r="2441" spans="1:4">
      <c r="A2441" s="435">
        <v>88530</v>
      </c>
      <c r="B2441" s="436" t="s">
        <v>32734</v>
      </c>
      <c r="C2441" s="437" t="s">
        <v>30445</v>
      </c>
      <c r="D2441" s="438">
        <v>26.36</v>
      </c>
    </row>
    <row r="2442" spans="1:4">
      <c r="A2442" s="435">
        <v>88531</v>
      </c>
      <c r="B2442" s="436" t="s">
        <v>39469</v>
      </c>
      <c r="C2442" s="437" t="s">
        <v>30445</v>
      </c>
      <c r="D2442" s="438">
        <v>2.96</v>
      </c>
    </row>
    <row r="2443" spans="1:4">
      <c r="A2443" s="435">
        <v>88532</v>
      </c>
      <c r="B2443" s="436" t="s">
        <v>39470</v>
      </c>
      <c r="C2443" s="437" t="s">
        <v>30445</v>
      </c>
      <c r="D2443" s="438">
        <v>4.79</v>
      </c>
    </row>
    <row r="2444" spans="1:4">
      <c r="A2444" s="435">
        <v>88537</v>
      </c>
      <c r="B2444" s="436" t="s">
        <v>39471</v>
      </c>
      <c r="C2444" s="437" t="s">
        <v>30445</v>
      </c>
      <c r="D2444" s="438">
        <v>3.69</v>
      </c>
    </row>
    <row r="2445" spans="1:4">
      <c r="A2445" s="435">
        <v>88538</v>
      </c>
      <c r="B2445" s="436" t="s">
        <v>32735</v>
      </c>
      <c r="C2445" s="437" t="s">
        <v>30445</v>
      </c>
      <c r="D2445" s="438">
        <v>3.36</v>
      </c>
    </row>
    <row r="2446" spans="1:4">
      <c r="A2446" s="435">
        <v>88539</v>
      </c>
      <c r="B2446" s="436" t="s">
        <v>39472</v>
      </c>
      <c r="C2446" s="437" t="s">
        <v>30445</v>
      </c>
      <c r="D2446" s="438">
        <v>1.56</v>
      </c>
    </row>
    <row r="2447" spans="1:4">
      <c r="A2447" s="435">
        <v>88542</v>
      </c>
      <c r="B2447" s="436" t="s">
        <v>32736</v>
      </c>
      <c r="C2447" s="437" t="s">
        <v>30445</v>
      </c>
      <c r="D2447" s="438">
        <v>63.31</v>
      </c>
    </row>
    <row r="2448" spans="1:4">
      <c r="A2448" s="435">
        <v>88543</v>
      </c>
      <c r="B2448" s="436" t="s">
        <v>32737</v>
      </c>
      <c r="C2448" s="437" t="s">
        <v>30445</v>
      </c>
      <c r="D2448" s="438">
        <v>144.88</v>
      </c>
    </row>
    <row r="2449" spans="1:4">
      <c r="A2449" s="435">
        <v>88544</v>
      </c>
      <c r="B2449" s="436" t="s">
        <v>32738</v>
      </c>
      <c r="C2449" s="437" t="s">
        <v>30445</v>
      </c>
      <c r="D2449" s="438">
        <v>1.78</v>
      </c>
    </row>
    <row r="2450" spans="1:4">
      <c r="A2450" s="435">
        <v>88545</v>
      </c>
      <c r="B2450" s="436" t="s">
        <v>32739</v>
      </c>
      <c r="C2450" s="437" t="s">
        <v>30445</v>
      </c>
      <c r="D2450" s="438">
        <v>148.88</v>
      </c>
    </row>
    <row r="2451" spans="1:4">
      <c r="A2451" s="435">
        <v>88547</v>
      </c>
      <c r="B2451" s="436" t="s">
        <v>39473</v>
      </c>
      <c r="C2451" s="437" t="s">
        <v>30445</v>
      </c>
      <c r="D2451" s="438">
        <v>19.73</v>
      </c>
    </row>
    <row r="2452" spans="1:4">
      <c r="A2452" s="435">
        <v>88555</v>
      </c>
      <c r="B2452" s="436" t="s">
        <v>32740</v>
      </c>
      <c r="C2452" s="437" t="s">
        <v>30445</v>
      </c>
      <c r="D2452" s="438">
        <v>1.76</v>
      </c>
    </row>
    <row r="2453" spans="1:4">
      <c r="A2453" s="435">
        <v>88557</v>
      </c>
      <c r="B2453" s="436" t="s">
        <v>32741</v>
      </c>
      <c r="C2453" s="437" t="s">
        <v>30445</v>
      </c>
      <c r="D2453" s="438">
        <v>25.97</v>
      </c>
    </row>
    <row r="2454" spans="1:4" ht="25">
      <c r="A2454" s="435">
        <v>88560</v>
      </c>
      <c r="B2454" s="436" t="s">
        <v>32742</v>
      </c>
      <c r="C2454" s="437" t="s">
        <v>509</v>
      </c>
      <c r="D2454" s="438">
        <v>97.33</v>
      </c>
    </row>
    <row r="2455" spans="1:4" ht="37">
      <c r="A2455" s="435">
        <v>88561</v>
      </c>
      <c r="B2455" s="436" t="s">
        <v>39474</v>
      </c>
      <c r="C2455" s="437" t="s">
        <v>509</v>
      </c>
      <c r="D2455" s="438">
        <v>81.03</v>
      </c>
    </row>
    <row r="2456" spans="1:4">
      <c r="A2456" s="435">
        <v>88563</v>
      </c>
      <c r="B2456" s="436" t="s">
        <v>39475</v>
      </c>
      <c r="C2456" s="437" t="s">
        <v>165</v>
      </c>
      <c r="D2456" s="438">
        <v>2.95</v>
      </c>
    </row>
    <row r="2457" spans="1:4">
      <c r="A2457" s="435">
        <v>88565</v>
      </c>
      <c r="B2457" s="436" t="s">
        <v>32743</v>
      </c>
      <c r="C2457" s="437" t="s">
        <v>30445</v>
      </c>
      <c r="D2457" s="438">
        <v>555.88</v>
      </c>
    </row>
    <row r="2458" spans="1:4">
      <c r="A2458" s="435">
        <v>88566</v>
      </c>
      <c r="B2458" s="436" t="s">
        <v>32744</v>
      </c>
      <c r="C2458" s="437" t="s">
        <v>30445</v>
      </c>
      <c r="D2458" s="438">
        <v>168.08</v>
      </c>
    </row>
    <row r="2459" spans="1:4" ht="37">
      <c r="A2459" s="435">
        <v>88567</v>
      </c>
      <c r="B2459" s="436" t="s">
        <v>39476</v>
      </c>
      <c r="C2459" s="437" t="s">
        <v>30445</v>
      </c>
      <c r="D2459" s="438">
        <v>273.58999999999997</v>
      </c>
    </row>
    <row r="2460" spans="1:4">
      <c r="A2460" s="435">
        <v>88568</v>
      </c>
      <c r="B2460" s="436" t="s">
        <v>39477</v>
      </c>
      <c r="C2460" s="437" t="s">
        <v>30445</v>
      </c>
      <c r="D2460" s="438">
        <v>25.84</v>
      </c>
    </row>
    <row r="2461" spans="1:4">
      <c r="A2461" s="435">
        <v>88570</v>
      </c>
      <c r="B2461" s="436" t="s">
        <v>32745</v>
      </c>
      <c r="C2461" s="437" t="s">
        <v>30463</v>
      </c>
      <c r="D2461" s="438">
        <v>62.75</v>
      </c>
    </row>
    <row r="2462" spans="1:4">
      <c r="A2462" s="435">
        <v>88571</v>
      </c>
      <c r="B2462" s="436" t="s">
        <v>39478</v>
      </c>
      <c r="C2462" s="437" t="s">
        <v>30445</v>
      </c>
      <c r="D2462" s="438">
        <v>1444.36</v>
      </c>
    </row>
    <row r="2463" spans="1:4">
      <c r="A2463" s="435">
        <v>88572</v>
      </c>
      <c r="B2463" s="436" t="s">
        <v>32746</v>
      </c>
      <c r="C2463" s="437" t="s">
        <v>30445</v>
      </c>
      <c r="D2463" s="438">
        <v>520.48</v>
      </c>
    </row>
    <row r="2464" spans="1:4">
      <c r="A2464" s="435">
        <v>88576</v>
      </c>
      <c r="B2464" s="436" t="s">
        <v>32747</v>
      </c>
      <c r="C2464" s="437" t="s">
        <v>32748</v>
      </c>
      <c r="D2464" s="438">
        <v>9096.2999999999993</v>
      </c>
    </row>
    <row r="2465" spans="1:4">
      <c r="A2465" s="435">
        <v>88577</v>
      </c>
      <c r="B2465" s="436" t="s">
        <v>32749</v>
      </c>
      <c r="C2465" s="437" t="s">
        <v>32748</v>
      </c>
      <c r="D2465" s="438">
        <v>7988.6</v>
      </c>
    </row>
    <row r="2466" spans="1:4">
      <c r="A2466" s="435">
        <v>88578</v>
      </c>
      <c r="B2466" s="436" t="s">
        <v>32750</v>
      </c>
      <c r="C2466" s="437" t="s">
        <v>30445</v>
      </c>
      <c r="D2466" s="438">
        <v>1204.47</v>
      </c>
    </row>
    <row r="2467" spans="1:4">
      <c r="A2467" s="435">
        <v>88579</v>
      </c>
      <c r="B2467" s="436" t="s">
        <v>32751</v>
      </c>
      <c r="C2467" s="437" t="s">
        <v>30445</v>
      </c>
      <c r="D2467" s="438">
        <v>3687.15</v>
      </c>
    </row>
    <row r="2468" spans="1:4">
      <c r="A2468" s="435">
        <v>88582</v>
      </c>
      <c r="B2468" s="436" t="s">
        <v>32752</v>
      </c>
      <c r="C2468" s="437" t="s">
        <v>509</v>
      </c>
      <c r="D2468" s="438">
        <v>13.02</v>
      </c>
    </row>
    <row r="2469" spans="1:4">
      <c r="A2469" s="435">
        <v>88585</v>
      </c>
      <c r="B2469" s="436" t="s">
        <v>32753</v>
      </c>
      <c r="C2469" s="437" t="s">
        <v>153</v>
      </c>
      <c r="D2469" s="438">
        <v>37.17</v>
      </c>
    </row>
    <row r="2470" spans="1:4">
      <c r="A2470" s="435">
        <v>88590</v>
      </c>
      <c r="B2470" s="436" t="s">
        <v>32754</v>
      </c>
      <c r="C2470" s="437" t="s">
        <v>30445</v>
      </c>
      <c r="D2470" s="438">
        <v>120111.55</v>
      </c>
    </row>
    <row r="2471" spans="1:4">
      <c r="A2471" s="435">
        <v>88591</v>
      </c>
      <c r="B2471" s="436" t="s">
        <v>32755</v>
      </c>
      <c r="C2471" s="437" t="s">
        <v>30445</v>
      </c>
      <c r="D2471" s="438">
        <v>122753.3</v>
      </c>
    </row>
    <row r="2472" spans="1:4">
      <c r="A2472" s="435">
        <v>88592</v>
      </c>
      <c r="B2472" s="436" t="s">
        <v>32756</v>
      </c>
      <c r="C2472" s="437" t="s">
        <v>30445</v>
      </c>
      <c r="D2472" s="438">
        <v>76009.69</v>
      </c>
    </row>
    <row r="2473" spans="1:4">
      <c r="A2473" s="435">
        <v>88593</v>
      </c>
      <c r="B2473" s="436" t="s">
        <v>32757</v>
      </c>
      <c r="C2473" s="437" t="s">
        <v>30445</v>
      </c>
      <c r="D2473" s="438">
        <v>95517.28</v>
      </c>
    </row>
    <row r="2474" spans="1:4">
      <c r="A2474" s="435">
        <v>88594</v>
      </c>
      <c r="B2474" s="436" t="s">
        <v>32758</v>
      </c>
      <c r="C2474" s="437" t="s">
        <v>30445</v>
      </c>
      <c r="D2474" s="438">
        <v>136007.14000000001</v>
      </c>
    </row>
    <row r="2475" spans="1:4">
      <c r="A2475" s="431">
        <v>90000</v>
      </c>
      <c r="B2475" s="432" t="s">
        <v>32759</v>
      </c>
      <c r="C2475" s="433"/>
      <c r="D2475" s="434" t="s">
        <v>30434</v>
      </c>
    </row>
    <row r="2476" spans="1:4">
      <c r="A2476" s="435">
        <v>94295</v>
      </c>
      <c r="B2476" s="436" t="s">
        <v>32760</v>
      </c>
      <c r="C2476" s="437" t="s">
        <v>11</v>
      </c>
      <c r="D2476" s="438">
        <v>50.74</v>
      </c>
    </row>
    <row r="2477" spans="1:4">
      <c r="A2477" s="435">
        <v>94298</v>
      </c>
      <c r="B2477" s="436" t="s">
        <v>32761</v>
      </c>
      <c r="C2477" s="437" t="s">
        <v>11</v>
      </c>
      <c r="D2477" s="438">
        <v>89.41</v>
      </c>
    </row>
    <row r="2478" spans="1:4">
      <c r="A2478" s="435">
        <v>94302</v>
      </c>
      <c r="B2478" s="436" t="s">
        <v>32762</v>
      </c>
      <c r="C2478" s="437" t="s">
        <v>11</v>
      </c>
      <c r="D2478" s="438">
        <v>40.409999999999997</v>
      </c>
    </row>
    <row r="2479" spans="1:4">
      <c r="A2479" s="435">
        <v>94323</v>
      </c>
      <c r="B2479" s="436" t="s">
        <v>32763</v>
      </c>
      <c r="C2479" s="437" t="s">
        <v>11</v>
      </c>
      <c r="D2479" s="438">
        <v>64.81</v>
      </c>
    </row>
    <row r="2480" spans="1:4">
      <c r="A2480" s="435">
        <v>94531</v>
      </c>
      <c r="B2480" s="436" t="s">
        <v>32764</v>
      </c>
      <c r="C2480" s="437" t="s">
        <v>30445</v>
      </c>
      <c r="D2480" s="438">
        <v>86.58</v>
      </c>
    </row>
    <row r="2481" spans="1:4" ht="25">
      <c r="A2481" s="435">
        <v>95001</v>
      </c>
      <c r="B2481" s="436" t="s">
        <v>32765</v>
      </c>
      <c r="C2481" s="437" t="s">
        <v>30445</v>
      </c>
      <c r="D2481" s="438">
        <v>135440.01999999999</v>
      </c>
    </row>
    <row r="2482" spans="1:4" ht="25">
      <c r="A2482" s="435">
        <v>95002</v>
      </c>
      <c r="B2482" s="436" t="s">
        <v>32766</v>
      </c>
      <c r="C2482" s="437" t="s">
        <v>30445</v>
      </c>
      <c r="D2482" s="438">
        <v>141404.75</v>
      </c>
    </row>
    <row r="2483" spans="1:4" ht="25">
      <c r="A2483" s="435">
        <v>95003</v>
      </c>
      <c r="B2483" s="436" t="s">
        <v>32767</v>
      </c>
      <c r="C2483" s="437" t="s">
        <v>30445</v>
      </c>
      <c r="D2483" s="438">
        <v>150520.84</v>
      </c>
    </row>
    <row r="2484" spans="1:4" ht="25">
      <c r="A2484" s="435">
        <v>95004</v>
      </c>
      <c r="B2484" s="436" t="s">
        <v>32768</v>
      </c>
      <c r="C2484" s="437" t="s">
        <v>30445</v>
      </c>
      <c r="D2484" s="438">
        <v>161852.85999999999</v>
      </c>
    </row>
    <row r="2485" spans="1:4" ht="25">
      <c r="A2485" s="435">
        <v>95010</v>
      </c>
      <c r="B2485" s="436" t="s">
        <v>32769</v>
      </c>
      <c r="C2485" s="437" t="s">
        <v>30445</v>
      </c>
      <c r="D2485" s="438">
        <v>52.39</v>
      </c>
    </row>
    <row r="2486" spans="1:4">
      <c r="A2486" s="435">
        <v>95014</v>
      </c>
      <c r="B2486" s="436" t="s">
        <v>32770</v>
      </c>
      <c r="C2486" s="437" t="s">
        <v>30445</v>
      </c>
      <c r="D2486" s="438">
        <v>312.22000000000003</v>
      </c>
    </row>
    <row r="2487" spans="1:4" ht="25">
      <c r="A2487" s="435">
        <v>95021</v>
      </c>
      <c r="B2487" s="436" t="s">
        <v>32771</v>
      </c>
      <c r="C2487" s="437" t="s">
        <v>30445</v>
      </c>
      <c r="D2487" s="438">
        <v>1494.85</v>
      </c>
    </row>
    <row r="2488" spans="1:4" ht="25">
      <c r="A2488" s="435">
        <v>95022</v>
      </c>
      <c r="B2488" s="436" t="s">
        <v>32772</v>
      </c>
      <c r="C2488" s="437" t="s">
        <v>30445</v>
      </c>
      <c r="D2488" s="438">
        <v>1830.25</v>
      </c>
    </row>
    <row r="2489" spans="1:4" ht="25">
      <c r="A2489" s="435">
        <v>95023</v>
      </c>
      <c r="B2489" s="436" t="s">
        <v>32773</v>
      </c>
      <c r="C2489" s="437" t="s">
        <v>30445</v>
      </c>
      <c r="D2489" s="438">
        <v>1874.26</v>
      </c>
    </row>
    <row r="2490" spans="1:4" ht="25">
      <c r="A2490" s="435">
        <v>95026</v>
      </c>
      <c r="B2490" s="436" t="s">
        <v>32774</v>
      </c>
      <c r="C2490" s="437" t="s">
        <v>30445</v>
      </c>
      <c r="D2490" s="438">
        <v>2545.27</v>
      </c>
    </row>
    <row r="2491" spans="1:4" ht="25">
      <c r="A2491" s="435">
        <v>95028</v>
      </c>
      <c r="B2491" s="436" t="s">
        <v>32775</v>
      </c>
      <c r="C2491" s="437" t="s">
        <v>30445</v>
      </c>
      <c r="D2491" s="438">
        <v>2640.11</v>
      </c>
    </row>
    <row r="2492" spans="1:4" ht="25">
      <c r="A2492" s="435">
        <v>95030</v>
      </c>
      <c r="B2492" s="436" t="s">
        <v>32776</v>
      </c>
      <c r="C2492" s="437" t="s">
        <v>30445</v>
      </c>
      <c r="D2492" s="438">
        <v>3718.08</v>
      </c>
    </row>
    <row r="2493" spans="1:4" ht="25">
      <c r="A2493" s="435">
        <v>95032</v>
      </c>
      <c r="B2493" s="436" t="s">
        <v>32777</v>
      </c>
      <c r="C2493" s="437" t="s">
        <v>30445</v>
      </c>
      <c r="D2493" s="438">
        <v>4468.6000000000004</v>
      </c>
    </row>
    <row r="2494" spans="1:4">
      <c r="A2494" s="435">
        <v>95033</v>
      </c>
      <c r="B2494" s="436" t="s">
        <v>32778</v>
      </c>
      <c r="C2494" s="437" t="s">
        <v>30445</v>
      </c>
      <c r="D2494" s="438">
        <v>9862.3799999999992</v>
      </c>
    </row>
    <row r="2495" spans="1:4">
      <c r="A2495" s="435">
        <v>95034</v>
      </c>
      <c r="B2495" s="436" t="s">
        <v>32779</v>
      </c>
      <c r="C2495" s="437" t="s">
        <v>30445</v>
      </c>
      <c r="D2495" s="438">
        <v>8658.35</v>
      </c>
    </row>
    <row r="2496" spans="1:4">
      <c r="A2496" s="435">
        <v>95035</v>
      </c>
      <c r="B2496" s="436" t="s">
        <v>32780</v>
      </c>
      <c r="C2496" s="437" t="s">
        <v>30445</v>
      </c>
      <c r="D2496" s="438">
        <v>12372.25</v>
      </c>
    </row>
    <row r="2497" spans="1:4">
      <c r="A2497" s="435">
        <v>95036</v>
      </c>
      <c r="B2497" s="436" t="s">
        <v>32781</v>
      </c>
      <c r="C2497" s="437" t="s">
        <v>30445</v>
      </c>
      <c r="D2497" s="438">
        <v>17126.71</v>
      </c>
    </row>
    <row r="2498" spans="1:4">
      <c r="A2498" s="435">
        <v>95037</v>
      </c>
      <c r="B2498" s="436" t="s">
        <v>32782</v>
      </c>
      <c r="C2498" s="437" t="s">
        <v>30445</v>
      </c>
      <c r="D2498" s="438">
        <v>22766.78</v>
      </c>
    </row>
    <row r="2499" spans="1:4">
      <c r="A2499" s="435">
        <v>95070</v>
      </c>
      <c r="B2499" s="436" t="s">
        <v>32783</v>
      </c>
      <c r="C2499" s="437" t="s">
        <v>30445</v>
      </c>
      <c r="D2499" s="438">
        <v>21859.25</v>
      </c>
    </row>
    <row r="2500" spans="1:4" ht="25">
      <c r="A2500" s="435">
        <v>95100</v>
      </c>
      <c r="B2500" s="436" t="s">
        <v>32784</v>
      </c>
      <c r="C2500" s="437" t="s">
        <v>30445</v>
      </c>
      <c r="D2500" s="438">
        <v>966.19</v>
      </c>
    </row>
    <row r="2501" spans="1:4">
      <c r="A2501" s="435">
        <v>95153</v>
      </c>
      <c r="B2501" s="436" t="s">
        <v>32785</v>
      </c>
      <c r="C2501" s="437" t="s">
        <v>30445</v>
      </c>
      <c r="D2501" s="438">
        <v>1222.77</v>
      </c>
    </row>
    <row r="2502" spans="1:4">
      <c r="A2502" s="435">
        <v>95154</v>
      </c>
      <c r="B2502" s="436" t="s">
        <v>32786</v>
      </c>
      <c r="C2502" s="437" t="s">
        <v>30445</v>
      </c>
      <c r="D2502" s="438">
        <v>1352.88</v>
      </c>
    </row>
    <row r="2503" spans="1:4">
      <c r="A2503" s="435">
        <v>95155</v>
      </c>
      <c r="B2503" s="436" t="s">
        <v>32787</v>
      </c>
      <c r="C2503" s="437" t="s">
        <v>30445</v>
      </c>
      <c r="D2503" s="438">
        <v>1908.44</v>
      </c>
    </row>
    <row r="2504" spans="1:4">
      <c r="A2504" s="435">
        <v>95156</v>
      </c>
      <c r="B2504" s="436" t="s">
        <v>32788</v>
      </c>
      <c r="C2504" s="437" t="s">
        <v>30445</v>
      </c>
      <c r="D2504" s="438">
        <v>2426.0100000000002</v>
      </c>
    </row>
    <row r="2505" spans="1:4" ht="25">
      <c r="A2505" s="435">
        <v>95170</v>
      </c>
      <c r="B2505" s="436" t="s">
        <v>32789</v>
      </c>
      <c r="C2505" s="437" t="s">
        <v>396</v>
      </c>
      <c r="D2505" s="438">
        <v>4083.67</v>
      </c>
    </row>
    <row r="2506" spans="1:4" ht="25">
      <c r="A2506" s="435">
        <v>95171</v>
      </c>
      <c r="B2506" s="436" t="s">
        <v>32790</v>
      </c>
      <c r="C2506" s="437" t="s">
        <v>396</v>
      </c>
      <c r="D2506" s="438">
        <v>46362.79</v>
      </c>
    </row>
    <row r="2507" spans="1:4">
      <c r="A2507" s="435">
        <v>99001</v>
      </c>
      <c r="B2507" s="436" t="s">
        <v>32791</v>
      </c>
      <c r="C2507" s="437" t="s">
        <v>153</v>
      </c>
      <c r="D2507" s="438">
        <v>3.74</v>
      </c>
    </row>
    <row r="2508" spans="1:4">
      <c r="A2508" s="435">
        <v>99002</v>
      </c>
      <c r="B2508" s="436" t="s">
        <v>32792</v>
      </c>
      <c r="C2508" s="437" t="s">
        <v>153</v>
      </c>
      <c r="D2508" s="438">
        <v>6</v>
      </c>
    </row>
    <row r="2509" spans="1:4">
      <c r="A2509" s="435">
        <v>99003</v>
      </c>
      <c r="B2509" s="436" t="s">
        <v>32793</v>
      </c>
      <c r="C2509" s="437" t="s">
        <v>153</v>
      </c>
      <c r="D2509" s="438">
        <v>6.72</v>
      </c>
    </row>
    <row r="2510" spans="1:4">
      <c r="A2510" s="435">
        <v>99004</v>
      </c>
      <c r="B2510" s="436" t="s">
        <v>32794</v>
      </c>
      <c r="C2510" s="437" t="s">
        <v>153</v>
      </c>
      <c r="D2510" s="438">
        <v>5.97</v>
      </c>
    </row>
    <row r="2511" spans="1:4">
      <c r="A2511" s="435">
        <v>99005</v>
      </c>
      <c r="B2511" s="436" t="s">
        <v>32795</v>
      </c>
      <c r="C2511" s="437" t="s">
        <v>32796</v>
      </c>
      <c r="D2511" s="438">
        <v>0.87</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
  <dimension ref="A1:P3233"/>
  <sheetViews>
    <sheetView topLeftCell="A304" workbookViewId="0">
      <selection activeCell="A1116" sqref="A1116"/>
    </sheetView>
  </sheetViews>
  <sheetFormatPr baseColWidth="10" defaultColWidth="9.1640625" defaultRowHeight="11"/>
  <cols>
    <col min="1" max="1" width="12.83203125" style="236" bestFit="1" customWidth="1"/>
    <col min="2" max="2" width="63.33203125" style="9" customWidth="1"/>
    <col min="3" max="3" width="6.5" style="72" customWidth="1"/>
    <col min="4" max="4" width="17.1640625" style="80" customWidth="1"/>
    <col min="5" max="5" width="18.5" style="61" customWidth="1"/>
    <col min="6" max="6" width="12.6640625" style="236" customWidth="1"/>
    <col min="7" max="7" width="4.5" style="236" customWidth="1"/>
    <col min="8" max="14" width="9.1640625" style="236" customWidth="1"/>
    <col min="15" max="15" width="9.1640625" style="238" customWidth="1"/>
    <col min="16" max="16" width="9.1640625" style="236" customWidth="1"/>
    <col min="17" max="16384" width="9.1640625" style="236"/>
  </cols>
  <sheetData>
    <row r="1" spans="1:16" ht="16.25" customHeight="1">
      <c r="E1" s="235" t="s">
        <v>40986</v>
      </c>
      <c r="F1" s="516">
        <v>1</v>
      </c>
      <c r="H1" s="236" t="s">
        <v>40987</v>
      </c>
    </row>
    <row r="2" spans="1:16">
      <c r="E2" s="235" t="s">
        <v>1</v>
      </c>
      <c r="F2" s="486">
        <v>14500461.17</v>
      </c>
      <c r="H2" s="236" t="s">
        <v>3</v>
      </c>
    </row>
    <row r="3" spans="1:16">
      <c r="E3" s="235" t="s">
        <v>2</v>
      </c>
      <c r="F3" s="190">
        <v>9.9999999999999994E-12</v>
      </c>
      <c r="H3" s="236" t="s">
        <v>8</v>
      </c>
    </row>
    <row r="4" spans="1:16" ht="12">
      <c r="B4" s="62" t="s">
        <v>0</v>
      </c>
      <c r="E4" s="235" t="s">
        <v>7</v>
      </c>
      <c r="F4" s="190">
        <v>128.22999999999999</v>
      </c>
      <c r="H4" s="236" t="s">
        <v>12</v>
      </c>
    </row>
    <row r="5" spans="1:16">
      <c r="B5" s="73" t="s">
        <v>42028</v>
      </c>
      <c r="D5" s="81" t="s">
        <v>30419</v>
      </c>
      <c r="E5" s="235"/>
      <c r="F5" s="190"/>
      <c r="H5" s="236" t="s">
        <v>28068</v>
      </c>
    </row>
    <row r="6" spans="1:16" ht="24">
      <c r="A6" s="707" t="s">
        <v>4</v>
      </c>
      <c r="B6" s="708" t="s">
        <v>5</v>
      </c>
      <c r="C6" s="709" t="s">
        <v>6</v>
      </c>
      <c r="D6" s="698" t="s">
        <v>40878</v>
      </c>
      <c r="E6" s="235"/>
      <c r="F6" s="698" t="s">
        <v>42039</v>
      </c>
      <c r="G6" s="239"/>
      <c r="H6" s="236" t="s">
        <v>40988</v>
      </c>
    </row>
    <row r="7" spans="1:16">
      <c r="A7" s="318" t="s">
        <v>101</v>
      </c>
      <c r="B7" s="318" t="s">
        <v>102</v>
      </c>
      <c r="C7" s="319" t="s">
        <v>103</v>
      </c>
      <c r="D7" s="82">
        <v>2.15</v>
      </c>
      <c r="F7" s="82">
        <v>2.15</v>
      </c>
    </row>
    <row r="8" spans="1:16">
      <c r="A8" s="259" t="s">
        <v>104</v>
      </c>
      <c r="B8" s="259" t="s">
        <v>105</v>
      </c>
      <c r="C8" s="260" t="s">
        <v>103</v>
      </c>
      <c r="D8" s="79">
        <v>7.49</v>
      </c>
      <c r="F8" s="79">
        <v>7.49</v>
      </c>
    </row>
    <row r="9" spans="1:16">
      <c r="A9" s="259" t="s">
        <v>106</v>
      </c>
      <c r="B9" s="259" t="s">
        <v>107</v>
      </c>
      <c r="C9" s="260" t="s">
        <v>108</v>
      </c>
      <c r="D9" s="79">
        <v>31824.45</v>
      </c>
      <c r="F9" s="79">
        <v>31824.45</v>
      </c>
    </row>
    <row r="10" spans="1:16">
      <c r="A10" s="259" t="s">
        <v>109</v>
      </c>
      <c r="B10" s="259" t="s">
        <v>110</v>
      </c>
      <c r="C10" s="260" t="s">
        <v>108</v>
      </c>
      <c r="D10" s="79">
        <v>12930.43</v>
      </c>
      <c r="F10" s="79">
        <v>12930.43</v>
      </c>
    </row>
    <row r="11" spans="1:16">
      <c r="A11" s="259" t="s">
        <v>111</v>
      </c>
      <c r="B11" s="259" t="s">
        <v>112</v>
      </c>
      <c r="C11" s="260" t="s">
        <v>113</v>
      </c>
      <c r="D11" s="79">
        <v>845.54</v>
      </c>
      <c r="F11" s="79">
        <v>845.54</v>
      </c>
    </row>
    <row r="12" spans="1:16">
      <c r="A12" s="259" t="s">
        <v>114</v>
      </c>
      <c r="B12" s="259" t="s">
        <v>115</v>
      </c>
      <c r="C12" s="260" t="s">
        <v>103</v>
      </c>
      <c r="D12" s="79">
        <v>742.73</v>
      </c>
      <c r="F12" s="79">
        <v>742.73</v>
      </c>
    </row>
    <row r="13" spans="1:16">
      <c r="A13" s="259" t="s">
        <v>116</v>
      </c>
      <c r="B13" s="259" t="s">
        <v>117</v>
      </c>
      <c r="C13" s="260" t="s">
        <v>118</v>
      </c>
      <c r="D13" s="79">
        <v>48.06</v>
      </c>
      <c r="F13" s="79">
        <v>48.06</v>
      </c>
    </row>
    <row r="14" spans="1:16" ht="12">
      <c r="A14" s="256" t="s">
        <v>119</v>
      </c>
      <c r="B14" s="64" t="s">
        <v>120</v>
      </c>
      <c r="C14" s="71" t="s">
        <v>121</v>
      </c>
      <c r="D14" s="79">
        <v>31.05</v>
      </c>
      <c r="F14" s="79">
        <v>31.05</v>
      </c>
    </row>
    <row r="15" spans="1:16" ht="12">
      <c r="A15" s="256" t="s">
        <v>28069</v>
      </c>
      <c r="B15" s="64" t="s">
        <v>39261</v>
      </c>
      <c r="C15" s="71" t="s">
        <v>118</v>
      </c>
      <c r="D15" s="79">
        <v>922.99</v>
      </c>
      <c r="F15" s="79">
        <v>922.99</v>
      </c>
    </row>
    <row r="16" spans="1:16" ht="24">
      <c r="A16" s="63" t="s">
        <v>122</v>
      </c>
      <c r="B16" s="64" t="s">
        <v>123</v>
      </c>
      <c r="C16" s="258" t="s">
        <v>121</v>
      </c>
      <c r="D16" s="79">
        <v>99.03</v>
      </c>
      <c r="F16" s="79">
        <v>99.03</v>
      </c>
      <c r="G16" s="81"/>
      <c r="N16" s="61"/>
      <c r="O16" s="241"/>
      <c r="P16" s="213"/>
    </row>
    <row r="17" spans="1:16" ht="24">
      <c r="A17" s="83" t="s">
        <v>124</v>
      </c>
      <c r="B17" s="257" t="s">
        <v>125</v>
      </c>
      <c r="C17" s="258" t="s">
        <v>121</v>
      </c>
      <c r="D17" s="79">
        <v>122.6</v>
      </c>
      <c r="F17" s="79">
        <v>122.6</v>
      </c>
      <c r="G17" s="81"/>
      <c r="N17" s="240"/>
      <c r="O17" s="241"/>
      <c r="P17" s="213"/>
    </row>
    <row r="18" spans="1:16" ht="12">
      <c r="A18" s="83" t="s">
        <v>126</v>
      </c>
      <c r="B18" s="257" t="s">
        <v>28070</v>
      </c>
      <c r="C18" s="258" t="s">
        <v>118</v>
      </c>
      <c r="D18" s="79">
        <v>208.5</v>
      </c>
      <c r="F18" s="79">
        <v>208.5</v>
      </c>
      <c r="G18" s="81"/>
      <c r="N18" s="240"/>
      <c r="O18" s="241"/>
      <c r="P18" s="213"/>
    </row>
    <row r="19" spans="1:16" ht="24">
      <c r="A19" s="63" t="s">
        <v>127</v>
      </c>
      <c r="B19" s="64" t="s">
        <v>128</v>
      </c>
      <c r="C19" s="71" t="s">
        <v>121</v>
      </c>
      <c r="D19" s="79">
        <v>125.4</v>
      </c>
      <c r="F19" s="79">
        <v>125.4</v>
      </c>
      <c r="G19" s="81"/>
      <c r="N19" s="61"/>
      <c r="O19" s="241"/>
      <c r="P19" s="213"/>
    </row>
    <row r="20" spans="1:16" ht="12">
      <c r="A20" s="63" t="s">
        <v>129</v>
      </c>
      <c r="B20" s="64" t="s">
        <v>130</v>
      </c>
      <c r="C20" s="71" t="s">
        <v>121</v>
      </c>
      <c r="D20" s="79">
        <v>123.15</v>
      </c>
      <c r="F20" s="79">
        <v>123.15</v>
      </c>
      <c r="G20" s="81"/>
      <c r="N20" s="61"/>
      <c r="O20" s="241"/>
      <c r="P20" s="213"/>
    </row>
    <row r="21" spans="1:16" ht="12">
      <c r="A21" s="63" t="s">
        <v>131</v>
      </c>
      <c r="B21" s="257" t="s">
        <v>132</v>
      </c>
      <c r="C21" s="258" t="s">
        <v>133</v>
      </c>
      <c r="D21" s="79">
        <v>95.51</v>
      </c>
      <c r="F21" s="79">
        <v>95.51</v>
      </c>
      <c r="G21" s="81"/>
      <c r="N21" s="61"/>
      <c r="O21" s="241"/>
      <c r="P21" s="213"/>
    </row>
    <row r="22" spans="1:16" ht="24">
      <c r="A22" s="83" t="s">
        <v>134</v>
      </c>
      <c r="B22" s="257" t="s">
        <v>29743</v>
      </c>
      <c r="C22" s="258" t="s">
        <v>135</v>
      </c>
      <c r="D22" s="79">
        <v>24</v>
      </c>
      <c r="F22" s="79">
        <v>24</v>
      </c>
      <c r="G22" s="81"/>
      <c r="N22" s="240"/>
      <c r="O22" s="241"/>
      <c r="P22" s="213"/>
    </row>
    <row r="23" spans="1:16" ht="24">
      <c r="A23" s="83" t="s">
        <v>136</v>
      </c>
      <c r="B23" s="257" t="s">
        <v>137</v>
      </c>
      <c r="C23" s="258" t="s">
        <v>103</v>
      </c>
      <c r="D23" s="79">
        <v>153694.35999999999</v>
      </c>
      <c r="F23" s="79">
        <v>153694.35999999999</v>
      </c>
      <c r="G23" s="81"/>
      <c r="N23" s="240"/>
      <c r="O23" s="241"/>
      <c r="P23" s="213"/>
    </row>
    <row r="24" spans="1:16" ht="12">
      <c r="A24" s="83" t="s">
        <v>138</v>
      </c>
      <c r="B24" s="257" t="s">
        <v>139</v>
      </c>
      <c r="C24" s="258" t="s">
        <v>11</v>
      </c>
      <c r="D24" s="79">
        <v>2.59</v>
      </c>
      <c r="F24" s="79">
        <v>2.59</v>
      </c>
      <c r="G24" s="81"/>
      <c r="N24" s="240"/>
      <c r="O24" s="241"/>
      <c r="P24" s="213"/>
    </row>
    <row r="25" spans="1:16" ht="24">
      <c r="A25" s="67" t="s">
        <v>140</v>
      </c>
      <c r="B25" s="65" t="s">
        <v>141</v>
      </c>
      <c r="C25" s="71" t="s">
        <v>142</v>
      </c>
      <c r="D25" s="79">
        <v>2134.14</v>
      </c>
      <c r="F25" s="79">
        <v>2134.14</v>
      </c>
      <c r="G25" s="81"/>
      <c r="N25" s="133"/>
      <c r="O25" s="241"/>
      <c r="P25" s="213"/>
    </row>
    <row r="26" spans="1:16" ht="12">
      <c r="A26" s="63" t="s">
        <v>143</v>
      </c>
      <c r="B26" s="64" t="s">
        <v>144</v>
      </c>
      <c r="C26" s="71" t="s">
        <v>11</v>
      </c>
      <c r="D26" s="79">
        <v>76.42</v>
      </c>
      <c r="F26" s="79">
        <v>76.42</v>
      </c>
      <c r="G26" s="81"/>
      <c r="N26" s="61"/>
      <c r="O26" s="241"/>
      <c r="P26" s="213"/>
    </row>
    <row r="27" spans="1:16" ht="24">
      <c r="A27" s="63" t="s">
        <v>145</v>
      </c>
      <c r="B27" s="64" t="s">
        <v>146</v>
      </c>
      <c r="C27" s="71" t="s">
        <v>142</v>
      </c>
      <c r="D27" s="79">
        <v>9490.9</v>
      </c>
      <c r="F27" s="79">
        <v>9490.9</v>
      </c>
      <c r="G27" s="81"/>
      <c r="N27" s="61"/>
      <c r="O27" s="241"/>
      <c r="P27" s="213"/>
    </row>
    <row r="28" spans="1:16" ht="24">
      <c r="A28" s="63" t="s">
        <v>147</v>
      </c>
      <c r="B28" s="64" t="s">
        <v>148</v>
      </c>
      <c r="C28" s="71" t="s">
        <v>142</v>
      </c>
      <c r="D28" s="79">
        <v>17851.5</v>
      </c>
      <c r="F28" s="79">
        <v>17851.5</v>
      </c>
      <c r="G28" s="81"/>
      <c r="N28" s="61"/>
      <c r="O28" s="241"/>
      <c r="P28" s="213"/>
    </row>
    <row r="29" spans="1:16" ht="12">
      <c r="A29" s="83" t="s">
        <v>149</v>
      </c>
      <c r="B29" s="257" t="s">
        <v>150</v>
      </c>
      <c r="C29" s="258" t="s">
        <v>121</v>
      </c>
      <c r="D29" s="79">
        <v>38.51</v>
      </c>
      <c r="F29" s="79">
        <v>38.51</v>
      </c>
      <c r="G29" s="81"/>
      <c r="N29" s="240"/>
      <c r="O29" s="241"/>
      <c r="P29" s="213"/>
    </row>
    <row r="30" spans="1:16" ht="12">
      <c r="A30" s="83" t="s">
        <v>151</v>
      </c>
      <c r="B30" s="257" t="s">
        <v>152</v>
      </c>
      <c r="C30" s="258" t="s">
        <v>153</v>
      </c>
      <c r="D30" s="79">
        <v>22.46</v>
      </c>
      <c r="F30" s="79">
        <v>22.46</v>
      </c>
      <c r="G30" s="81"/>
      <c r="N30" s="240"/>
      <c r="O30" s="241"/>
      <c r="P30" s="213"/>
    </row>
    <row r="31" spans="1:16" ht="12">
      <c r="A31" s="83" t="s">
        <v>154</v>
      </c>
      <c r="B31" s="257" t="s">
        <v>155</v>
      </c>
      <c r="C31" s="258" t="s">
        <v>103</v>
      </c>
      <c r="D31" s="79">
        <v>1058.8800000000001</v>
      </c>
      <c r="F31" s="79">
        <v>1058.8800000000001</v>
      </c>
      <c r="G31" s="81"/>
      <c r="N31" s="240"/>
      <c r="O31" s="241"/>
      <c r="P31" s="213"/>
    </row>
    <row r="32" spans="1:16" ht="12">
      <c r="A32" s="83" t="s">
        <v>156</v>
      </c>
      <c r="B32" s="257" t="s">
        <v>39262</v>
      </c>
      <c r="C32" s="258" t="s">
        <v>103</v>
      </c>
      <c r="D32" s="79">
        <v>348.43</v>
      </c>
      <c r="F32" s="79">
        <v>348.43</v>
      </c>
      <c r="G32" s="81"/>
      <c r="N32" s="240"/>
      <c r="O32" s="241"/>
      <c r="P32" s="213"/>
    </row>
    <row r="33" spans="1:16" ht="12">
      <c r="A33" s="83" t="s">
        <v>157</v>
      </c>
      <c r="B33" s="257" t="s">
        <v>158</v>
      </c>
      <c r="C33" s="258" t="s">
        <v>108</v>
      </c>
      <c r="D33" s="79">
        <v>7060.48</v>
      </c>
      <c r="F33" s="79">
        <v>7060.48</v>
      </c>
      <c r="G33" s="81"/>
      <c r="N33" s="240"/>
      <c r="O33" s="241"/>
      <c r="P33" s="213"/>
    </row>
    <row r="34" spans="1:16" ht="12">
      <c r="A34" s="83" t="s">
        <v>159</v>
      </c>
      <c r="B34" s="257" t="s">
        <v>160</v>
      </c>
      <c r="C34" s="258" t="s">
        <v>108</v>
      </c>
      <c r="D34" s="79">
        <v>1120.06</v>
      </c>
      <c r="F34" s="79">
        <v>1120.06</v>
      </c>
      <c r="G34" s="81"/>
      <c r="N34" s="240"/>
      <c r="O34" s="241"/>
      <c r="P34" s="213"/>
    </row>
    <row r="35" spans="1:16" ht="12">
      <c r="A35" s="83" t="s">
        <v>161</v>
      </c>
      <c r="B35" s="257" t="s">
        <v>162</v>
      </c>
      <c r="C35" s="258" t="s">
        <v>108</v>
      </c>
      <c r="D35" s="79">
        <v>1379.3</v>
      </c>
      <c r="F35" s="79">
        <v>1379.3</v>
      </c>
      <c r="G35" s="81"/>
      <c r="N35" s="240"/>
      <c r="O35" s="241"/>
      <c r="P35" s="213"/>
    </row>
    <row r="36" spans="1:16" ht="12">
      <c r="A36" s="83" t="s">
        <v>163</v>
      </c>
      <c r="B36" s="257" t="s">
        <v>164</v>
      </c>
      <c r="C36" s="258" t="s">
        <v>165</v>
      </c>
      <c r="D36" s="79">
        <v>93.86</v>
      </c>
      <c r="F36" s="79">
        <v>93.86</v>
      </c>
      <c r="G36" s="81"/>
      <c r="N36" s="240"/>
      <c r="O36" s="241"/>
      <c r="P36" s="213"/>
    </row>
    <row r="37" spans="1:16" ht="12">
      <c r="A37" s="83" t="s">
        <v>166</v>
      </c>
      <c r="B37" s="257" t="s">
        <v>167</v>
      </c>
      <c r="C37" s="258" t="s">
        <v>165</v>
      </c>
      <c r="D37" s="79">
        <v>424.89</v>
      </c>
      <c r="F37" s="79">
        <v>424.89</v>
      </c>
      <c r="G37" s="81"/>
      <c r="N37" s="240"/>
      <c r="O37" s="241"/>
      <c r="P37" s="213"/>
    </row>
    <row r="38" spans="1:16" ht="12">
      <c r="A38" s="83" t="s">
        <v>168</v>
      </c>
      <c r="B38" s="257" t="s">
        <v>169</v>
      </c>
      <c r="C38" s="258" t="s">
        <v>165</v>
      </c>
      <c r="D38" s="79">
        <v>674.53</v>
      </c>
      <c r="F38" s="79">
        <v>674.53</v>
      </c>
      <c r="G38" s="81"/>
      <c r="N38" s="240"/>
      <c r="O38" s="241"/>
      <c r="P38" s="213"/>
    </row>
    <row r="39" spans="1:16" ht="24">
      <c r="A39" s="83" t="s">
        <v>170</v>
      </c>
      <c r="B39" s="257" t="s">
        <v>171</v>
      </c>
      <c r="C39" s="258" t="s">
        <v>165</v>
      </c>
      <c r="D39" s="79">
        <v>107.18</v>
      </c>
      <c r="F39" s="79">
        <v>107.18</v>
      </c>
      <c r="G39" s="81"/>
      <c r="N39" s="240"/>
      <c r="O39" s="241"/>
      <c r="P39" s="213"/>
    </row>
    <row r="40" spans="1:16" ht="24">
      <c r="A40" s="83" t="s">
        <v>172</v>
      </c>
      <c r="B40" s="257" t="s">
        <v>173</v>
      </c>
      <c r="C40" s="258" t="s">
        <v>165</v>
      </c>
      <c r="D40" s="79">
        <v>104.16</v>
      </c>
      <c r="F40" s="79">
        <v>104.16</v>
      </c>
      <c r="G40" s="81"/>
      <c r="N40" s="240"/>
      <c r="O40" s="241"/>
      <c r="P40" s="213"/>
    </row>
    <row r="41" spans="1:16" ht="12">
      <c r="A41" s="96" t="s">
        <v>174</v>
      </c>
      <c r="B41" s="265" t="s">
        <v>175</v>
      </c>
      <c r="C41" s="212" t="s">
        <v>108</v>
      </c>
      <c r="D41" s="79">
        <v>29336.400000000001</v>
      </c>
      <c r="F41" s="517">
        <v>29336.400000000001</v>
      </c>
    </row>
    <row r="42" spans="1:16" ht="12">
      <c r="A42" s="96" t="s">
        <v>176</v>
      </c>
      <c r="B42" s="265" t="s">
        <v>177</v>
      </c>
      <c r="C42" s="212" t="s">
        <v>165</v>
      </c>
      <c r="D42" s="79">
        <v>77.86</v>
      </c>
      <c r="F42" s="517">
        <v>77.86</v>
      </c>
    </row>
    <row r="43" spans="1:16" ht="12">
      <c r="A43" s="96" t="s">
        <v>178</v>
      </c>
      <c r="B43" s="265" t="s">
        <v>28226</v>
      </c>
      <c r="C43" s="212" t="s">
        <v>165</v>
      </c>
      <c r="D43" s="79">
        <v>92.85</v>
      </c>
      <c r="F43" s="517">
        <v>92.85</v>
      </c>
    </row>
    <row r="44" spans="1:16" ht="12">
      <c r="A44" s="96" t="s">
        <v>179</v>
      </c>
      <c r="B44" s="265" t="s">
        <v>180</v>
      </c>
      <c r="C44" s="212" t="s">
        <v>165</v>
      </c>
      <c r="D44" s="79">
        <v>89.97</v>
      </c>
      <c r="F44" s="517">
        <v>89.97</v>
      </c>
    </row>
    <row r="45" spans="1:16" ht="12">
      <c r="A45" s="96" t="s">
        <v>181</v>
      </c>
      <c r="B45" s="265" t="s">
        <v>28227</v>
      </c>
      <c r="C45" s="212" t="s">
        <v>165</v>
      </c>
      <c r="D45" s="79">
        <v>93.66</v>
      </c>
      <c r="F45" s="517">
        <v>93.66</v>
      </c>
    </row>
    <row r="46" spans="1:16" ht="12">
      <c r="A46" s="96" t="s">
        <v>182</v>
      </c>
      <c r="B46" s="265" t="s">
        <v>183</v>
      </c>
      <c r="C46" s="212" t="s">
        <v>165</v>
      </c>
      <c r="D46" s="79">
        <v>99.53</v>
      </c>
      <c r="F46" s="517">
        <v>99.53</v>
      </c>
    </row>
    <row r="47" spans="1:16" ht="12">
      <c r="A47" s="96" t="s">
        <v>184</v>
      </c>
      <c r="B47" s="265" t="s">
        <v>28228</v>
      </c>
      <c r="C47" s="212" t="s">
        <v>165</v>
      </c>
      <c r="D47" s="79">
        <v>93.78</v>
      </c>
      <c r="F47" s="517">
        <v>93.78</v>
      </c>
    </row>
    <row r="48" spans="1:16" ht="12">
      <c r="A48" s="96" t="s">
        <v>185</v>
      </c>
      <c r="B48" s="265" t="s">
        <v>186</v>
      </c>
      <c r="C48" s="212" t="s">
        <v>165</v>
      </c>
      <c r="D48" s="79">
        <v>111.72</v>
      </c>
      <c r="F48" s="517">
        <v>111.72</v>
      </c>
    </row>
    <row r="49" spans="1:16" ht="12">
      <c r="A49" s="96" t="s">
        <v>187</v>
      </c>
      <c r="B49" s="265" t="s">
        <v>28229</v>
      </c>
      <c r="C49" s="212" t="s">
        <v>165</v>
      </c>
      <c r="D49" s="79">
        <v>93.47</v>
      </c>
      <c r="F49" s="517">
        <v>93.47</v>
      </c>
    </row>
    <row r="50" spans="1:16" ht="12">
      <c r="A50" s="96" t="s">
        <v>188</v>
      </c>
      <c r="B50" s="265" t="s">
        <v>189</v>
      </c>
      <c r="C50" s="212" t="s">
        <v>165</v>
      </c>
      <c r="D50" s="79">
        <v>139.96</v>
      </c>
      <c r="F50" s="517">
        <v>139.96</v>
      </c>
    </row>
    <row r="51" spans="1:16" ht="12">
      <c r="A51" s="96" t="s">
        <v>190</v>
      </c>
      <c r="B51" s="265" t="s">
        <v>28230</v>
      </c>
      <c r="C51" s="212" t="s">
        <v>165</v>
      </c>
      <c r="D51" s="79">
        <v>93.66</v>
      </c>
      <c r="F51" s="517">
        <v>93.66</v>
      </c>
    </row>
    <row r="52" spans="1:16" ht="12">
      <c r="A52" s="83" t="s">
        <v>191</v>
      </c>
      <c r="B52" s="257" t="s">
        <v>192</v>
      </c>
      <c r="C52" s="258" t="s">
        <v>108</v>
      </c>
      <c r="D52" s="79">
        <v>2765.37</v>
      </c>
      <c r="F52" s="79">
        <v>2765.37</v>
      </c>
      <c r="G52" s="81"/>
      <c r="N52" s="240"/>
      <c r="O52" s="241"/>
      <c r="P52" s="213"/>
    </row>
    <row r="53" spans="1:16" ht="12">
      <c r="A53" s="83" t="s">
        <v>193</v>
      </c>
      <c r="B53" s="257" t="s">
        <v>194</v>
      </c>
      <c r="C53" s="258" t="s">
        <v>108</v>
      </c>
      <c r="D53" s="79">
        <v>3099.83</v>
      </c>
      <c r="F53" s="79">
        <v>3099.83</v>
      </c>
      <c r="G53" s="81"/>
      <c r="N53" s="240"/>
      <c r="O53" s="241"/>
      <c r="P53" s="213"/>
    </row>
    <row r="54" spans="1:16" ht="12">
      <c r="A54" s="83" t="s">
        <v>195</v>
      </c>
      <c r="B54" s="257" t="s">
        <v>196</v>
      </c>
      <c r="C54" s="258" t="s">
        <v>108</v>
      </c>
      <c r="D54" s="79">
        <v>32657.79</v>
      </c>
      <c r="F54" s="79">
        <v>32657.79</v>
      </c>
      <c r="G54" s="81"/>
      <c r="N54" s="240"/>
      <c r="O54" s="241"/>
      <c r="P54" s="213"/>
    </row>
    <row r="55" spans="1:16" ht="24">
      <c r="A55" s="83" t="s">
        <v>197</v>
      </c>
      <c r="B55" s="257" t="s">
        <v>198</v>
      </c>
      <c r="C55" s="258" t="s">
        <v>108</v>
      </c>
      <c r="D55" s="79">
        <v>1917.98</v>
      </c>
      <c r="F55" s="79">
        <v>1917.98</v>
      </c>
      <c r="G55" s="81"/>
      <c r="N55" s="240"/>
      <c r="O55" s="241"/>
      <c r="P55" s="213"/>
    </row>
    <row r="56" spans="1:16" ht="12">
      <c r="A56" s="83" t="s">
        <v>199</v>
      </c>
      <c r="B56" s="257" t="s">
        <v>200</v>
      </c>
      <c r="C56" s="258" t="s">
        <v>165</v>
      </c>
      <c r="D56" s="79">
        <v>36.78</v>
      </c>
      <c r="F56" s="79">
        <v>36.78</v>
      </c>
      <c r="G56" s="81"/>
      <c r="N56" s="240"/>
      <c r="O56" s="241"/>
      <c r="P56" s="213"/>
    </row>
    <row r="57" spans="1:16" ht="12">
      <c r="A57" s="83" t="s">
        <v>201</v>
      </c>
      <c r="B57" s="257" t="s">
        <v>202</v>
      </c>
      <c r="C57" s="258" t="s">
        <v>165</v>
      </c>
      <c r="D57" s="79">
        <v>44.32</v>
      </c>
      <c r="F57" s="79">
        <v>44.32</v>
      </c>
      <c r="G57" s="81"/>
      <c r="N57" s="240"/>
      <c r="O57" s="241"/>
      <c r="P57" s="213"/>
    </row>
    <row r="58" spans="1:16" ht="12">
      <c r="A58" s="83" t="s">
        <v>203</v>
      </c>
      <c r="B58" s="257" t="s">
        <v>204</v>
      </c>
      <c r="C58" s="258" t="s">
        <v>165</v>
      </c>
      <c r="D58" s="79">
        <v>52.74</v>
      </c>
      <c r="F58" s="79">
        <v>52.74</v>
      </c>
      <c r="G58" s="81"/>
      <c r="N58" s="240"/>
      <c r="O58" s="241"/>
      <c r="P58" s="213"/>
    </row>
    <row r="59" spans="1:16" ht="12">
      <c r="A59" s="83" t="s">
        <v>205</v>
      </c>
      <c r="B59" s="257" t="s">
        <v>206</v>
      </c>
      <c r="C59" s="258" t="s">
        <v>207</v>
      </c>
      <c r="D59" s="79">
        <v>20.420000000000002</v>
      </c>
      <c r="F59" s="79">
        <v>20.420000000000002</v>
      </c>
      <c r="G59" s="81"/>
      <c r="N59" s="240"/>
      <c r="O59" s="241"/>
      <c r="P59" s="213"/>
    </row>
    <row r="60" spans="1:16" ht="12">
      <c r="A60" s="83" t="s">
        <v>208</v>
      </c>
      <c r="B60" s="257" t="s">
        <v>209</v>
      </c>
      <c r="C60" s="258" t="s">
        <v>165</v>
      </c>
      <c r="D60" s="79">
        <v>38.92</v>
      </c>
      <c r="F60" s="79">
        <v>38.92</v>
      </c>
      <c r="G60" s="81"/>
      <c r="N60" s="240"/>
      <c r="O60" s="241"/>
      <c r="P60" s="213"/>
    </row>
    <row r="61" spans="1:16" ht="12">
      <c r="A61" s="83" t="s">
        <v>210</v>
      </c>
      <c r="B61" s="257" t="s">
        <v>211</v>
      </c>
      <c r="C61" s="258" t="s">
        <v>165</v>
      </c>
      <c r="D61" s="79">
        <v>45.63</v>
      </c>
      <c r="F61" s="79">
        <v>45.63</v>
      </c>
      <c r="G61" s="81"/>
      <c r="N61" s="240"/>
      <c r="O61" s="241"/>
      <c r="P61" s="213"/>
    </row>
    <row r="62" spans="1:16" ht="12">
      <c r="A62" s="83" t="s">
        <v>212</v>
      </c>
      <c r="B62" s="257" t="s">
        <v>213</v>
      </c>
      <c r="C62" s="258" t="s">
        <v>165</v>
      </c>
      <c r="D62" s="79">
        <v>73.459999999999994</v>
      </c>
      <c r="F62" s="79">
        <v>73.459999999999994</v>
      </c>
      <c r="G62" s="81"/>
      <c r="N62" s="240"/>
      <c r="O62" s="241"/>
      <c r="P62" s="213"/>
    </row>
    <row r="63" spans="1:16" ht="24">
      <c r="A63" s="83" t="s">
        <v>214</v>
      </c>
      <c r="B63" s="257" t="s">
        <v>215</v>
      </c>
      <c r="C63" s="258" t="s">
        <v>108</v>
      </c>
      <c r="D63" s="79">
        <v>43853.17</v>
      </c>
      <c r="F63" s="79">
        <v>43853.17</v>
      </c>
      <c r="G63" s="81"/>
      <c r="N63" s="240"/>
      <c r="O63" s="241"/>
      <c r="P63" s="213"/>
    </row>
    <row r="64" spans="1:16" ht="12">
      <c r="A64" s="83" t="s">
        <v>216</v>
      </c>
      <c r="B64" s="257" t="s">
        <v>217</v>
      </c>
      <c r="C64" s="258" t="s">
        <v>165</v>
      </c>
      <c r="D64" s="79">
        <v>53.3</v>
      </c>
      <c r="F64" s="79">
        <v>53.3</v>
      </c>
      <c r="G64" s="81"/>
      <c r="N64" s="240"/>
      <c r="O64" s="241"/>
      <c r="P64" s="213"/>
    </row>
    <row r="65" spans="1:16" ht="12">
      <c r="A65" s="83" t="s">
        <v>218</v>
      </c>
      <c r="B65" s="257" t="s">
        <v>219</v>
      </c>
      <c r="C65" s="258" t="s">
        <v>165</v>
      </c>
      <c r="D65" s="79">
        <v>97.01</v>
      </c>
      <c r="F65" s="79">
        <v>97.01</v>
      </c>
      <c r="G65" s="81"/>
      <c r="N65" s="240"/>
      <c r="O65" s="241"/>
      <c r="P65" s="213"/>
    </row>
    <row r="66" spans="1:16" ht="12">
      <c r="A66" s="83" t="s">
        <v>220</v>
      </c>
      <c r="B66" s="257" t="s">
        <v>221</v>
      </c>
      <c r="C66" s="258" t="s">
        <v>165</v>
      </c>
      <c r="D66" s="79">
        <v>51.1</v>
      </c>
      <c r="F66" s="79">
        <v>51.1</v>
      </c>
      <c r="G66" s="81"/>
      <c r="N66" s="240"/>
      <c r="O66" s="241"/>
      <c r="P66" s="213"/>
    </row>
    <row r="67" spans="1:16" ht="12">
      <c r="A67" s="83" t="s">
        <v>222</v>
      </c>
      <c r="B67" s="257" t="s">
        <v>223</v>
      </c>
      <c r="C67" s="258" t="s">
        <v>165</v>
      </c>
      <c r="D67" s="79">
        <v>17.88</v>
      </c>
      <c r="F67" s="79">
        <v>17.88</v>
      </c>
      <c r="G67" s="81"/>
      <c r="N67" s="240"/>
      <c r="O67" s="241"/>
      <c r="P67" s="213"/>
    </row>
    <row r="68" spans="1:16" ht="12">
      <c r="A68" s="83" t="s">
        <v>224</v>
      </c>
      <c r="B68" s="257" t="s">
        <v>225</v>
      </c>
      <c r="C68" s="258" t="s">
        <v>165</v>
      </c>
      <c r="D68" s="79">
        <v>19.760000000000002</v>
      </c>
      <c r="F68" s="79">
        <v>19.760000000000002</v>
      </c>
      <c r="G68" s="81"/>
      <c r="N68" s="240"/>
      <c r="O68" s="241"/>
      <c r="P68" s="213"/>
    </row>
    <row r="69" spans="1:16" ht="12">
      <c r="A69" s="83" t="s">
        <v>226</v>
      </c>
      <c r="B69" s="257" t="s">
        <v>227</v>
      </c>
      <c r="C69" s="258" t="s">
        <v>165</v>
      </c>
      <c r="D69" s="79">
        <v>23.43</v>
      </c>
      <c r="F69" s="79">
        <v>23.43</v>
      </c>
      <c r="G69" s="81"/>
      <c r="N69" s="240"/>
      <c r="O69" s="241"/>
      <c r="P69" s="213"/>
    </row>
    <row r="70" spans="1:16" ht="12">
      <c r="A70" s="83" t="s">
        <v>228</v>
      </c>
      <c r="B70" s="257" t="s">
        <v>229</v>
      </c>
      <c r="C70" s="258" t="s">
        <v>165</v>
      </c>
      <c r="D70" s="79">
        <v>27.84</v>
      </c>
      <c r="F70" s="79">
        <v>27.84</v>
      </c>
      <c r="G70" s="81"/>
      <c r="N70" s="240"/>
      <c r="O70" s="241"/>
      <c r="P70" s="213"/>
    </row>
    <row r="71" spans="1:16" ht="12">
      <c r="A71" s="83" t="s">
        <v>230</v>
      </c>
      <c r="B71" s="257" t="s">
        <v>231</v>
      </c>
      <c r="C71" s="258" t="s">
        <v>165</v>
      </c>
      <c r="D71" s="79">
        <v>40.04</v>
      </c>
      <c r="F71" s="79">
        <v>40.04</v>
      </c>
      <c r="G71" s="81"/>
      <c r="N71" s="240"/>
      <c r="O71" s="241"/>
      <c r="P71" s="213"/>
    </row>
    <row r="72" spans="1:16" ht="12">
      <c r="A72" s="83" t="s">
        <v>232</v>
      </c>
      <c r="B72" s="257" t="s">
        <v>233</v>
      </c>
      <c r="C72" s="258" t="s">
        <v>165</v>
      </c>
      <c r="D72" s="79">
        <v>63.21</v>
      </c>
      <c r="F72" s="79">
        <v>63.21</v>
      </c>
      <c r="G72" s="81"/>
      <c r="N72" s="240"/>
      <c r="O72" s="241"/>
      <c r="P72" s="213"/>
    </row>
    <row r="73" spans="1:16" ht="12">
      <c r="A73" s="83" t="s">
        <v>234</v>
      </c>
      <c r="B73" s="257" t="s">
        <v>235</v>
      </c>
      <c r="C73" s="258" t="s">
        <v>165</v>
      </c>
      <c r="D73" s="79">
        <v>84.62</v>
      </c>
      <c r="F73" s="79">
        <v>84.62</v>
      </c>
      <c r="G73" s="81"/>
      <c r="N73" s="240"/>
      <c r="O73" s="241"/>
      <c r="P73" s="213"/>
    </row>
    <row r="74" spans="1:16" ht="12">
      <c r="A74" s="83" t="s">
        <v>236</v>
      </c>
      <c r="B74" s="257" t="s">
        <v>237</v>
      </c>
      <c r="C74" s="258" t="s">
        <v>165</v>
      </c>
      <c r="D74" s="79">
        <v>160.86000000000001</v>
      </c>
      <c r="F74" s="79">
        <v>160.86000000000001</v>
      </c>
      <c r="G74" s="81"/>
      <c r="N74" s="240"/>
      <c r="O74" s="241"/>
      <c r="P74" s="213"/>
    </row>
    <row r="75" spans="1:16" ht="12">
      <c r="A75" s="83" t="s">
        <v>238</v>
      </c>
      <c r="B75" s="257" t="s">
        <v>239</v>
      </c>
      <c r="C75" s="258" t="s">
        <v>165</v>
      </c>
      <c r="D75" s="79">
        <v>76.67</v>
      </c>
      <c r="F75" s="79">
        <v>76.67</v>
      </c>
      <c r="G75" s="81"/>
      <c r="N75" s="240"/>
      <c r="O75" s="241"/>
      <c r="P75" s="213"/>
    </row>
    <row r="76" spans="1:16" ht="12">
      <c r="A76" s="83" t="s">
        <v>240</v>
      </c>
      <c r="B76" s="257" t="s">
        <v>241</v>
      </c>
      <c r="C76" s="258" t="s">
        <v>165</v>
      </c>
      <c r="D76" s="79">
        <v>131.22999999999999</v>
      </c>
      <c r="F76" s="79">
        <v>131.22999999999999</v>
      </c>
      <c r="G76" s="81"/>
      <c r="N76" s="240"/>
      <c r="O76" s="241"/>
      <c r="P76" s="213"/>
    </row>
    <row r="77" spans="1:16" ht="12">
      <c r="A77" s="83" t="s">
        <v>242</v>
      </c>
      <c r="B77" s="257" t="s">
        <v>243</v>
      </c>
      <c r="C77" s="258" t="s">
        <v>108</v>
      </c>
      <c r="D77" s="79">
        <v>32657.79</v>
      </c>
      <c r="F77" s="79">
        <v>32657.79</v>
      </c>
      <c r="G77" s="81"/>
      <c r="N77" s="240"/>
      <c r="O77" s="241"/>
      <c r="P77" s="213"/>
    </row>
    <row r="78" spans="1:16" ht="12">
      <c r="A78" s="83" t="s">
        <v>244</v>
      </c>
      <c r="B78" s="257" t="s">
        <v>245</v>
      </c>
      <c r="C78" s="258" t="s">
        <v>165</v>
      </c>
      <c r="D78" s="79">
        <v>235.6</v>
      </c>
      <c r="F78" s="79">
        <v>235.6</v>
      </c>
      <c r="G78" s="81"/>
      <c r="N78" s="240"/>
      <c r="O78" s="241"/>
      <c r="P78" s="213"/>
    </row>
    <row r="79" spans="1:16" ht="12">
      <c r="A79" s="83" t="s">
        <v>246</v>
      </c>
      <c r="B79" s="257" t="s">
        <v>247</v>
      </c>
      <c r="C79" s="258" t="s">
        <v>165</v>
      </c>
      <c r="D79" s="79">
        <v>402.19</v>
      </c>
      <c r="F79" s="79">
        <v>402.19</v>
      </c>
      <c r="G79" s="81"/>
      <c r="N79" s="240"/>
      <c r="O79" s="241"/>
      <c r="P79" s="213"/>
    </row>
    <row r="80" spans="1:16" ht="12">
      <c r="A80" s="83" t="s">
        <v>248</v>
      </c>
      <c r="B80" s="257" t="s">
        <v>249</v>
      </c>
      <c r="C80" s="258" t="s">
        <v>165</v>
      </c>
      <c r="D80" s="79">
        <v>452.22</v>
      </c>
      <c r="F80" s="79">
        <v>452.22</v>
      </c>
      <c r="G80" s="81"/>
      <c r="N80" s="240"/>
      <c r="O80" s="241"/>
      <c r="P80" s="213"/>
    </row>
    <row r="81" spans="1:16" ht="12">
      <c r="A81" s="83" t="s">
        <v>250</v>
      </c>
      <c r="B81" s="257" t="s">
        <v>251</v>
      </c>
      <c r="C81" s="258" t="s">
        <v>165</v>
      </c>
      <c r="D81" s="79">
        <v>249.27</v>
      </c>
      <c r="F81" s="79">
        <v>249.27</v>
      </c>
      <c r="G81" s="81"/>
      <c r="N81" s="240"/>
      <c r="O81" s="241"/>
      <c r="P81" s="213"/>
    </row>
    <row r="82" spans="1:16" ht="12">
      <c r="A82" s="83" t="s">
        <v>252</v>
      </c>
      <c r="B82" s="257" t="s">
        <v>253</v>
      </c>
      <c r="C82" s="258" t="s">
        <v>165</v>
      </c>
      <c r="D82" s="79">
        <v>291.97000000000003</v>
      </c>
      <c r="F82" s="79">
        <v>291.97000000000003</v>
      </c>
      <c r="G82" s="81"/>
      <c r="N82" s="240"/>
      <c r="O82" s="241"/>
      <c r="P82" s="213"/>
    </row>
    <row r="83" spans="1:16" ht="12">
      <c r="A83" s="83" t="s">
        <v>254</v>
      </c>
      <c r="B83" s="257" t="s">
        <v>255</v>
      </c>
      <c r="C83" s="258" t="s">
        <v>165</v>
      </c>
      <c r="D83" s="79">
        <v>296.12</v>
      </c>
      <c r="F83" s="79">
        <v>296.12</v>
      </c>
      <c r="G83" s="81"/>
      <c r="N83" s="240"/>
      <c r="O83" s="241"/>
      <c r="P83" s="213"/>
    </row>
    <row r="84" spans="1:16" ht="12">
      <c r="A84" s="83" t="s">
        <v>256</v>
      </c>
      <c r="B84" s="257" t="s">
        <v>257</v>
      </c>
      <c r="C84" s="258" t="s">
        <v>165</v>
      </c>
      <c r="D84" s="79">
        <v>306.36</v>
      </c>
      <c r="F84" s="79">
        <v>306.36</v>
      </c>
      <c r="G84" s="81"/>
      <c r="N84" s="240"/>
      <c r="O84" s="241"/>
      <c r="P84" s="213"/>
    </row>
    <row r="85" spans="1:16" ht="12">
      <c r="A85" s="83" t="s">
        <v>258</v>
      </c>
      <c r="B85" s="257" t="s">
        <v>259</v>
      </c>
      <c r="C85" s="258" t="s">
        <v>165</v>
      </c>
      <c r="D85" s="79">
        <v>336.63</v>
      </c>
      <c r="F85" s="79">
        <v>336.63</v>
      </c>
      <c r="G85" s="81"/>
      <c r="N85" s="240"/>
      <c r="O85" s="241"/>
      <c r="P85" s="213"/>
    </row>
    <row r="86" spans="1:16" ht="12">
      <c r="A86" s="83" t="s">
        <v>260</v>
      </c>
      <c r="B86" s="257" t="s">
        <v>261</v>
      </c>
      <c r="C86" s="258" t="s">
        <v>165</v>
      </c>
      <c r="D86" s="79">
        <v>532.14</v>
      </c>
      <c r="F86" s="79">
        <v>532.14</v>
      </c>
      <c r="G86" s="81"/>
      <c r="N86" s="240"/>
      <c r="O86" s="241"/>
      <c r="P86" s="213"/>
    </row>
    <row r="87" spans="1:16" ht="12">
      <c r="A87" s="83" t="s">
        <v>262</v>
      </c>
      <c r="B87" s="257" t="s">
        <v>263</v>
      </c>
      <c r="C87" s="258" t="s">
        <v>165</v>
      </c>
      <c r="D87" s="79">
        <v>1296.7</v>
      </c>
      <c r="F87" s="79">
        <v>1296.7</v>
      </c>
      <c r="G87" s="81"/>
      <c r="N87" s="240"/>
      <c r="O87" s="241"/>
      <c r="P87" s="213"/>
    </row>
    <row r="88" spans="1:16" ht="12">
      <c r="A88" s="83" t="s">
        <v>264</v>
      </c>
      <c r="B88" s="257" t="s">
        <v>265</v>
      </c>
      <c r="C88" s="258" t="s">
        <v>165</v>
      </c>
      <c r="D88" s="79">
        <v>1484.19</v>
      </c>
      <c r="F88" s="79">
        <v>1484.19</v>
      </c>
      <c r="G88" s="81"/>
      <c r="N88" s="240"/>
      <c r="O88" s="241"/>
      <c r="P88" s="213"/>
    </row>
    <row r="89" spans="1:16" ht="12">
      <c r="A89" s="83" t="s">
        <v>266</v>
      </c>
      <c r="B89" s="257" t="s">
        <v>267</v>
      </c>
      <c r="C89" s="258" t="s">
        <v>165</v>
      </c>
      <c r="D89" s="79">
        <v>1731.17</v>
      </c>
      <c r="F89" s="79">
        <v>1731.17</v>
      </c>
      <c r="G89" s="81"/>
      <c r="N89" s="240"/>
      <c r="O89" s="241"/>
      <c r="P89" s="213"/>
    </row>
    <row r="90" spans="1:16" ht="12">
      <c r="A90" s="256" t="s">
        <v>268</v>
      </c>
      <c r="B90" s="261" t="s">
        <v>269</v>
      </c>
      <c r="C90" s="262" t="s">
        <v>121</v>
      </c>
      <c r="D90" s="79">
        <v>664.44</v>
      </c>
      <c r="F90" s="517">
        <v>664.44</v>
      </c>
    </row>
    <row r="91" spans="1:16" ht="12">
      <c r="A91" s="83" t="s">
        <v>270</v>
      </c>
      <c r="B91" s="257" t="s">
        <v>271</v>
      </c>
      <c r="C91" s="258" t="s">
        <v>165</v>
      </c>
      <c r="D91" s="79">
        <v>321.45999999999998</v>
      </c>
      <c r="F91" s="79">
        <v>321.45999999999998</v>
      </c>
      <c r="G91" s="81"/>
      <c r="N91" s="240"/>
      <c r="O91" s="241"/>
      <c r="P91" s="213"/>
    </row>
    <row r="92" spans="1:16" ht="12">
      <c r="A92" s="83" t="s">
        <v>272</v>
      </c>
      <c r="B92" s="257" t="s">
        <v>273</v>
      </c>
      <c r="C92" s="258" t="s">
        <v>165</v>
      </c>
      <c r="D92" s="79">
        <v>365</v>
      </c>
      <c r="F92" s="79">
        <v>365</v>
      </c>
      <c r="G92" s="81"/>
      <c r="N92" s="240"/>
      <c r="O92" s="241"/>
      <c r="P92" s="213"/>
    </row>
    <row r="93" spans="1:16" ht="12">
      <c r="A93" s="83" t="s">
        <v>274</v>
      </c>
      <c r="B93" s="257" t="s">
        <v>275</v>
      </c>
      <c r="C93" s="258" t="s">
        <v>165</v>
      </c>
      <c r="D93" s="79">
        <v>392.04</v>
      </c>
      <c r="F93" s="79">
        <v>392.04</v>
      </c>
      <c r="G93" s="81"/>
      <c r="N93" s="240"/>
      <c r="O93" s="241"/>
      <c r="P93" s="213"/>
    </row>
    <row r="94" spans="1:16" ht="24">
      <c r="A94" s="83" t="s">
        <v>276</v>
      </c>
      <c r="B94" s="257" t="s">
        <v>277</v>
      </c>
      <c r="C94" s="258" t="s">
        <v>165</v>
      </c>
      <c r="D94" s="79">
        <v>2844.21</v>
      </c>
      <c r="F94" s="79">
        <v>2844.21</v>
      </c>
      <c r="G94" s="81"/>
      <c r="N94" s="240"/>
      <c r="O94" s="241"/>
      <c r="P94" s="213"/>
    </row>
    <row r="95" spans="1:16" ht="12">
      <c r="A95" s="83" t="s">
        <v>278</v>
      </c>
      <c r="B95" s="257" t="s">
        <v>279</v>
      </c>
      <c r="C95" s="258" t="s">
        <v>165</v>
      </c>
      <c r="D95" s="79">
        <v>1261.25</v>
      </c>
      <c r="F95" s="79">
        <v>1261.25</v>
      </c>
      <c r="G95" s="81"/>
      <c r="N95" s="240"/>
      <c r="O95" s="241"/>
      <c r="P95" s="213"/>
    </row>
    <row r="96" spans="1:16" ht="12">
      <c r="A96" s="83" t="s">
        <v>280</v>
      </c>
      <c r="B96" s="257" t="s">
        <v>281</v>
      </c>
      <c r="C96" s="258" t="s">
        <v>103</v>
      </c>
      <c r="D96" s="79">
        <v>3337.85</v>
      </c>
      <c r="F96" s="79">
        <v>3337.85</v>
      </c>
      <c r="G96" s="81"/>
      <c r="N96" s="240"/>
      <c r="O96" s="241"/>
      <c r="P96" s="213"/>
    </row>
    <row r="97" spans="1:16" ht="12">
      <c r="A97" s="83" t="s">
        <v>282</v>
      </c>
      <c r="B97" s="257" t="s">
        <v>283</v>
      </c>
      <c r="C97" s="258" t="s">
        <v>121</v>
      </c>
      <c r="D97" s="79">
        <v>3028.39</v>
      </c>
      <c r="F97" s="79">
        <v>3028.39</v>
      </c>
      <c r="G97" s="81"/>
      <c r="N97" s="240"/>
      <c r="O97" s="241"/>
      <c r="P97" s="213"/>
    </row>
    <row r="98" spans="1:16" ht="24">
      <c r="A98" s="83" t="s">
        <v>284</v>
      </c>
      <c r="B98" s="257" t="s">
        <v>285</v>
      </c>
      <c r="C98" s="258" t="s">
        <v>11</v>
      </c>
      <c r="D98" s="79">
        <v>437.94</v>
      </c>
      <c r="F98" s="79">
        <v>437.94</v>
      </c>
      <c r="G98" s="81"/>
      <c r="N98" s="240"/>
      <c r="O98" s="241"/>
      <c r="P98" s="213"/>
    </row>
    <row r="99" spans="1:16" ht="12">
      <c r="A99" s="83" t="s">
        <v>286</v>
      </c>
      <c r="B99" s="257" t="s">
        <v>287</v>
      </c>
      <c r="C99" s="258" t="s">
        <v>165</v>
      </c>
      <c r="D99" s="79">
        <v>1119.6600000000001</v>
      </c>
      <c r="F99" s="79">
        <v>1119.6600000000001</v>
      </c>
      <c r="G99" s="81"/>
      <c r="N99" s="240"/>
      <c r="O99" s="241"/>
      <c r="P99" s="213"/>
    </row>
    <row r="100" spans="1:16" ht="12">
      <c r="A100" s="83" t="s">
        <v>288</v>
      </c>
      <c r="B100" s="257" t="s">
        <v>289</v>
      </c>
      <c r="C100" s="258" t="s">
        <v>11</v>
      </c>
      <c r="D100" s="79">
        <v>565.22</v>
      </c>
      <c r="F100" s="79">
        <v>565.22</v>
      </c>
      <c r="G100" s="81"/>
      <c r="N100" s="240"/>
      <c r="O100" s="241"/>
      <c r="P100" s="213"/>
    </row>
    <row r="101" spans="1:16" ht="24">
      <c r="A101" s="83" t="s">
        <v>290</v>
      </c>
      <c r="B101" s="257" t="s">
        <v>291</v>
      </c>
      <c r="C101" s="258" t="s">
        <v>165</v>
      </c>
      <c r="D101" s="79">
        <v>1384.07</v>
      </c>
      <c r="F101" s="79">
        <v>1384.07</v>
      </c>
      <c r="G101" s="81"/>
      <c r="N101" s="240"/>
      <c r="O101" s="241"/>
      <c r="P101" s="213"/>
    </row>
    <row r="102" spans="1:16" ht="24">
      <c r="A102" s="83" t="s">
        <v>292</v>
      </c>
      <c r="B102" s="257" t="s">
        <v>293</v>
      </c>
      <c r="C102" s="258" t="s">
        <v>165</v>
      </c>
      <c r="D102" s="79">
        <v>1720.88</v>
      </c>
      <c r="F102" s="79">
        <v>1720.88</v>
      </c>
      <c r="G102" s="81"/>
      <c r="N102" s="240"/>
      <c r="O102" s="241"/>
      <c r="P102" s="213"/>
    </row>
    <row r="103" spans="1:16" ht="24">
      <c r="A103" s="83" t="s">
        <v>294</v>
      </c>
      <c r="B103" s="257" t="s">
        <v>295</v>
      </c>
      <c r="C103" s="258" t="s">
        <v>165</v>
      </c>
      <c r="D103" s="79">
        <v>2202.7399999999998</v>
      </c>
      <c r="F103" s="79">
        <v>2202.7399999999998</v>
      </c>
      <c r="G103" s="81"/>
      <c r="N103" s="240"/>
      <c r="O103" s="241"/>
      <c r="P103" s="213"/>
    </row>
    <row r="104" spans="1:16" ht="24">
      <c r="A104" s="83" t="s">
        <v>296</v>
      </c>
      <c r="B104" s="257" t="s">
        <v>297</v>
      </c>
      <c r="C104" s="258" t="s">
        <v>165</v>
      </c>
      <c r="D104" s="79">
        <v>510.79</v>
      </c>
      <c r="F104" s="79">
        <v>510.79</v>
      </c>
      <c r="G104" s="81"/>
      <c r="N104" s="240"/>
      <c r="O104" s="241"/>
      <c r="P104" s="213"/>
    </row>
    <row r="105" spans="1:16" ht="24">
      <c r="A105" s="83" t="s">
        <v>298</v>
      </c>
      <c r="B105" s="257" t="s">
        <v>299</v>
      </c>
      <c r="C105" s="258" t="s">
        <v>165</v>
      </c>
      <c r="D105" s="79">
        <v>1278.32</v>
      </c>
      <c r="F105" s="79">
        <v>1278.32</v>
      </c>
      <c r="G105" s="81"/>
      <c r="N105" s="240"/>
      <c r="O105" s="241"/>
      <c r="P105" s="213"/>
    </row>
    <row r="106" spans="1:16" ht="12">
      <c r="A106" s="83" t="s">
        <v>300</v>
      </c>
      <c r="B106" s="257" t="s">
        <v>301</v>
      </c>
      <c r="C106" s="258" t="s">
        <v>165</v>
      </c>
      <c r="D106" s="79">
        <v>387.72</v>
      </c>
      <c r="F106" s="79">
        <v>387.72</v>
      </c>
      <c r="G106" s="81"/>
      <c r="N106" s="240"/>
      <c r="O106" s="241"/>
      <c r="P106" s="213"/>
    </row>
    <row r="107" spans="1:16" ht="12">
      <c r="A107" s="83" t="s">
        <v>302</v>
      </c>
      <c r="B107" s="257" t="s">
        <v>303</v>
      </c>
      <c r="C107" s="258" t="s">
        <v>165</v>
      </c>
      <c r="D107" s="79">
        <v>505.41</v>
      </c>
      <c r="F107" s="79">
        <v>505.41</v>
      </c>
      <c r="G107" s="81"/>
      <c r="N107" s="240"/>
      <c r="O107" s="241"/>
      <c r="P107" s="213"/>
    </row>
    <row r="108" spans="1:16" ht="12">
      <c r="A108" s="83" t="s">
        <v>304</v>
      </c>
      <c r="B108" s="257" t="s">
        <v>305</v>
      </c>
      <c r="C108" s="258" t="s">
        <v>165</v>
      </c>
      <c r="D108" s="79">
        <v>594.73</v>
      </c>
      <c r="F108" s="79">
        <v>594.73</v>
      </c>
      <c r="G108" s="81"/>
      <c r="N108" s="240"/>
      <c r="O108" s="241"/>
      <c r="P108" s="213"/>
    </row>
    <row r="109" spans="1:16" ht="12">
      <c r="A109" s="83" t="s">
        <v>306</v>
      </c>
      <c r="B109" s="257" t="s">
        <v>307</v>
      </c>
      <c r="C109" s="258" t="s">
        <v>165</v>
      </c>
      <c r="D109" s="79">
        <v>341.21</v>
      </c>
      <c r="F109" s="79">
        <v>341.21</v>
      </c>
      <c r="G109" s="81"/>
      <c r="N109" s="240"/>
      <c r="O109" s="241"/>
      <c r="P109" s="213"/>
    </row>
    <row r="110" spans="1:16" ht="12">
      <c r="A110" s="83" t="s">
        <v>308</v>
      </c>
      <c r="B110" s="257" t="s">
        <v>309</v>
      </c>
      <c r="C110" s="258" t="s">
        <v>165</v>
      </c>
      <c r="D110" s="79">
        <v>577.63</v>
      </c>
      <c r="F110" s="79">
        <v>577.63</v>
      </c>
      <c r="G110" s="81"/>
      <c r="N110" s="240"/>
      <c r="O110" s="241"/>
      <c r="P110" s="213"/>
    </row>
    <row r="111" spans="1:16" ht="12">
      <c r="A111" s="83" t="s">
        <v>310</v>
      </c>
      <c r="B111" s="257" t="s">
        <v>311</v>
      </c>
      <c r="C111" s="258" t="s">
        <v>165</v>
      </c>
      <c r="D111" s="79">
        <v>851.57</v>
      </c>
      <c r="F111" s="79">
        <v>851.57</v>
      </c>
      <c r="G111" s="81"/>
      <c r="N111" s="240"/>
      <c r="O111" s="241"/>
      <c r="P111" s="213"/>
    </row>
    <row r="112" spans="1:16" ht="24">
      <c r="A112" s="83" t="s">
        <v>312</v>
      </c>
      <c r="B112" s="257" t="s">
        <v>313</v>
      </c>
      <c r="C112" s="258" t="s">
        <v>108</v>
      </c>
      <c r="D112" s="79">
        <v>4147.43</v>
      </c>
      <c r="F112" s="79">
        <v>4147.43</v>
      </c>
      <c r="G112" s="81"/>
      <c r="N112" s="240"/>
      <c r="O112" s="241"/>
      <c r="P112" s="213"/>
    </row>
    <row r="113" spans="1:16" ht="24">
      <c r="A113" s="83" t="s">
        <v>314</v>
      </c>
      <c r="B113" s="257" t="s">
        <v>315</v>
      </c>
      <c r="C113" s="258" t="s">
        <v>108</v>
      </c>
      <c r="D113" s="79">
        <v>8405.0300000000007</v>
      </c>
      <c r="F113" s="79">
        <v>8405.0300000000007</v>
      </c>
      <c r="G113" s="81"/>
      <c r="N113" s="240"/>
      <c r="O113" s="241"/>
      <c r="P113" s="213"/>
    </row>
    <row r="114" spans="1:16" ht="24">
      <c r="A114" s="83" t="s">
        <v>316</v>
      </c>
      <c r="B114" s="257" t="s">
        <v>317</v>
      </c>
      <c r="C114" s="258" t="s">
        <v>165</v>
      </c>
      <c r="D114" s="79">
        <v>1935.48</v>
      </c>
      <c r="F114" s="79">
        <v>1935.48</v>
      </c>
      <c r="G114" s="81"/>
      <c r="N114" s="240"/>
      <c r="O114" s="241"/>
      <c r="P114" s="213"/>
    </row>
    <row r="115" spans="1:16" ht="24">
      <c r="A115" s="83" t="s">
        <v>318</v>
      </c>
      <c r="B115" s="257" t="s">
        <v>319</v>
      </c>
      <c r="C115" s="258" t="s">
        <v>165</v>
      </c>
      <c r="D115" s="79">
        <v>2236.62</v>
      </c>
      <c r="F115" s="79">
        <v>2236.62</v>
      </c>
      <c r="G115" s="81"/>
      <c r="N115" s="240"/>
      <c r="O115" s="241"/>
      <c r="P115" s="213"/>
    </row>
    <row r="116" spans="1:16" ht="24">
      <c r="A116" s="83" t="s">
        <v>320</v>
      </c>
      <c r="B116" s="257" t="s">
        <v>321</v>
      </c>
      <c r="C116" s="258" t="s">
        <v>165</v>
      </c>
      <c r="D116" s="79">
        <v>2721.73</v>
      </c>
      <c r="F116" s="79">
        <v>2721.73</v>
      </c>
      <c r="G116" s="81"/>
      <c r="N116" s="240"/>
      <c r="O116" s="241"/>
      <c r="P116" s="213"/>
    </row>
    <row r="117" spans="1:16" ht="24">
      <c r="A117" s="83" t="s">
        <v>322</v>
      </c>
      <c r="B117" s="257" t="s">
        <v>323</v>
      </c>
      <c r="C117" s="258" t="s">
        <v>165</v>
      </c>
      <c r="D117" s="79">
        <v>651.9</v>
      </c>
      <c r="F117" s="79">
        <v>651.9</v>
      </c>
      <c r="G117" s="81"/>
      <c r="N117" s="240"/>
      <c r="O117" s="241"/>
      <c r="P117" s="213"/>
    </row>
    <row r="118" spans="1:16" ht="24">
      <c r="A118" s="83" t="s">
        <v>324</v>
      </c>
      <c r="B118" s="257" t="s">
        <v>325</v>
      </c>
      <c r="C118" s="258" t="s">
        <v>165</v>
      </c>
      <c r="D118" s="79">
        <v>986.45</v>
      </c>
      <c r="F118" s="79">
        <v>986.45</v>
      </c>
      <c r="G118" s="81"/>
      <c r="N118" s="240"/>
      <c r="O118" s="241"/>
      <c r="P118" s="213"/>
    </row>
    <row r="119" spans="1:16" ht="24">
      <c r="A119" s="83" t="s">
        <v>326</v>
      </c>
      <c r="B119" s="257" t="s">
        <v>327</v>
      </c>
      <c r="C119" s="258" t="s">
        <v>165</v>
      </c>
      <c r="D119" s="79">
        <v>3362.59</v>
      </c>
      <c r="F119" s="79">
        <v>3362.59</v>
      </c>
      <c r="G119" s="81"/>
      <c r="N119" s="240"/>
      <c r="O119" s="241"/>
      <c r="P119" s="213"/>
    </row>
    <row r="120" spans="1:16" ht="12">
      <c r="A120" s="83" t="s">
        <v>328</v>
      </c>
      <c r="B120" s="257" t="s">
        <v>329</v>
      </c>
      <c r="C120" s="258" t="s">
        <v>165</v>
      </c>
      <c r="D120" s="79">
        <v>2135.4</v>
      </c>
      <c r="F120" s="79">
        <v>2135.4</v>
      </c>
      <c r="G120" s="81"/>
      <c r="N120" s="240"/>
      <c r="O120" s="241"/>
      <c r="P120" s="213"/>
    </row>
    <row r="121" spans="1:16" ht="24">
      <c r="A121" s="83" t="s">
        <v>330</v>
      </c>
      <c r="B121" s="257" t="s">
        <v>331</v>
      </c>
      <c r="C121" s="258" t="s">
        <v>165</v>
      </c>
      <c r="D121" s="79">
        <v>2573.9299999999998</v>
      </c>
      <c r="F121" s="79">
        <v>2573.9299999999998</v>
      </c>
      <c r="G121" s="81"/>
      <c r="N121" s="240"/>
      <c r="O121" s="241"/>
      <c r="P121" s="213"/>
    </row>
    <row r="122" spans="1:16" ht="12">
      <c r="A122" s="83" t="s">
        <v>332</v>
      </c>
      <c r="B122" s="257" t="s">
        <v>333</v>
      </c>
      <c r="C122" s="258" t="s">
        <v>165</v>
      </c>
      <c r="D122" s="79">
        <v>2978.3</v>
      </c>
      <c r="F122" s="79">
        <v>2978.3</v>
      </c>
      <c r="G122" s="81"/>
      <c r="N122" s="240"/>
      <c r="O122" s="241"/>
      <c r="P122" s="213"/>
    </row>
    <row r="123" spans="1:16" ht="24">
      <c r="A123" s="83" t="s">
        <v>334</v>
      </c>
      <c r="B123" s="257" t="s">
        <v>335</v>
      </c>
      <c r="C123" s="258" t="s">
        <v>165</v>
      </c>
      <c r="D123" s="79">
        <v>517.63</v>
      </c>
      <c r="F123" s="79">
        <v>517.63</v>
      </c>
      <c r="G123" s="81"/>
      <c r="N123" s="240"/>
      <c r="O123" s="241"/>
      <c r="P123" s="213"/>
    </row>
    <row r="124" spans="1:16" ht="12">
      <c r="A124" s="83" t="s">
        <v>336</v>
      </c>
      <c r="B124" s="257" t="s">
        <v>337</v>
      </c>
      <c r="C124" s="258" t="s">
        <v>121</v>
      </c>
      <c r="D124" s="79">
        <v>2558.9699999999998</v>
      </c>
      <c r="F124" s="79">
        <v>2558.9699999999998</v>
      </c>
      <c r="G124" s="81"/>
      <c r="N124" s="240"/>
      <c r="O124" s="241"/>
      <c r="P124" s="213"/>
    </row>
    <row r="125" spans="1:16" ht="12">
      <c r="A125" s="83" t="s">
        <v>338</v>
      </c>
      <c r="B125" s="257" t="s">
        <v>339</v>
      </c>
      <c r="C125" s="258" t="s">
        <v>165</v>
      </c>
      <c r="D125" s="79">
        <v>474.67</v>
      </c>
      <c r="F125" s="79">
        <v>474.67</v>
      </c>
      <c r="G125" s="81"/>
      <c r="N125" s="240"/>
      <c r="O125" s="241"/>
      <c r="P125" s="213"/>
    </row>
    <row r="126" spans="1:16" ht="24">
      <c r="A126" s="83" t="s">
        <v>340</v>
      </c>
      <c r="B126" s="257" t="s">
        <v>341</v>
      </c>
      <c r="C126" s="258" t="s">
        <v>165</v>
      </c>
      <c r="D126" s="79">
        <v>920.97</v>
      </c>
      <c r="F126" s="79">
        <v>920.97</v>
      </c>
      <c r="G126" s="81"/>
      <c r="N126" s="240"/>
      <c r="O126" s="241"/>
      <c r="P126" s="213"/>
    </row>
    <row r="127" spans="1:16" ht="12">
      <c r="A127" s="83" t="s">
        <v>342</v>
      </c>
      <c r="B127" s="257" t="s">
        <v>343</v>
      </c>
      <c r="C127" s="258" t="s">
        <v>165</v>
      </c>
      <c r="D127" s="79">
        <v>910.02</v>
      </c>
      <c r="F127" s="79">
        <v>910.02</v>
      </c>
      <c r="G127" s="81"/>
      <c r="N127" s="240"/>
      <c r="O127" s="241"/>
      <c r="P127" s="213"/>
    </row>
    <row r="128" spans="1:16" ht="12">
      <c r="A128" s="83" t="s">
        <v>344</v>
      </c>
      <c r="B128" s="257" t="s">
        <v>345</v>
      </c>
      <c r="C128" s="258" t="s">
        <v>165</v>
      </c>
      <c r="D128" s="79">
        <v>7532.21</v>
      </c>
      <c r="F128" s="79">
        <v>7532.21</v>
      </c>
      <c r="G128" s="81"/>
      <c r="N128" s="240"/>
      <c r="O128" s="241"/>
      <c r="P128" s="213"/>
    </row>
    <row r="129" spans="1:16" ht="24">
      <c r="A129" s="83" t="s">
        <v>346</v>
      </c>
      <c r="B129" s="257" t="s">
        <v>347</v>
      </c>
      <c r="C129" s="258" t="s">
        <v>108</v>
      </c>
      <c r="D129" s="79">
        <v>13425.34</v>
      </c>
      <c r="F129" s="79">
        <v>13425.34</v>
      </c>
      <c r="G129" s="81"/>
      <c r="N129" s="240"/>
      <c r="O129" s="241"/>
      <c r="P129" s="213"/>
    </row>
    <row r="130" spans="1:16" ht="24">
      <c r="A130" s="83" t="s">
        <v>348</v>
      </c>
      <c r="B130" s="257" t="s">
        <v>349</v>
      </c>
      <c r="C130" s="258" t="s">
        <v>108</v>
      </c>
      <c r="D130" s="79">
        <v>13545.24</v>
      </c>
      <c r="F130" s="79">
        <v>13545.24</v>
      </c>
      <c r="G130" s="81"/>
      <c r="N130" s="240"/>
      <c r="O130" s="241"/>
      <c r="P130" s="213"/>
    </row>
    <row r="131" spans="1:16" ht="24">
      <c r="A131" s="83" t="s">
        <v>350</v>
      </c>
      <c r="B131" s="257" t="s">
        <v>351</v>
      </c>
      <c r="C131" s="258" t="s">
        <v>165</v>
      </c>
      <c r="D131" s="79">
        <v>2770.2</v>
      </c>
      <c r="F131" s="79">
        <v>2770.2</v>
      </c>
      <c r="G131" s="81"/>
      <c r="N131" s="240"/>
      <c r="O131" s="241"/>
      <c r="P131" s="213"/>
    </row>
    <row r="132" spans="1:16" ht="12">
      <c r="A132" s="83" t="s">
        <v>352</v>
      </c>
      <c r="B132" s="257" t="s">
        <v>353</v>
      </c>
      <c r="C132" s="258" t="s">
        <v>165</v>
      </c>
      <c r="D132" s="79">
        <v>2721.57</v>
      </c>
      <c r="F132" s="79">
        <v>2721.57</v>
      </c>
      <c r="G132" s="81"/>
      <c r="N132" s="240"/>
      <c r="O132" s="241"/>
      <c r="P132" s="213"/>
    </row>
    <row r="133" spans="1:16" ht="24">
      <c r="A133" s="83" t="s">
        <v>354</v>
      </c>
      <c r="B133" s="257" t="s">
        <v>355</v>
      </c>
      <c r="C133" s="258" t="s">
        <v>165</v>
      </c>
      <c r="D133" s="79">
        <v>2868.42</v>
      </c>
      <c r="F133" s="79">
        <v>2868.42</v>
      </c>
      <c r="G133" s="81"/>
      <c r="N133" s="240"/>
      <c r="O133" s="241"/>
      <c r="P133" s="213"/>
    </row>
    <row r="134" spans="1:16" ht="24">
      <c r="A134" s="83" t="s">
        <v>356</v>
      </c>
      <c r="B134" s="257" t="s">
        <v>357</v>
      </c>
      <c r="C134" s="258" t="s">
        <v>103</v>
      </c>
      <c r="D134" s="79">
        <v>4478.78</v>
      </c>
      <c r="F134" s="79">
        <v>4478.78</v>
      </c>
      <c r="G134" s="81"/>
      <c r="N134" s="240"/>
      <c r="O134" s="241"/>
      <c r="P134" s="213"/>
    </row>
    <row r="135" spans="1:16" ht="24">
      <c r="A135" s="83" t="s">
        <v>358</v>
      </c>
      <c r="B135" s="257" t="s">
        <v>359</v>
      </c>
      <c r="C135" s="258" t="s">
        <v>103</v>
      </c>
      <c r="D135" s="79">
        <v>4974.1000000000004</v>
      </c>
      <c r="F135" s="79">
        <v>4974.1000000000004</v>
      </c>
      <c r="G135" s="81"/>
      <c r="N135" s="240"/>
      <c r="O135" s="241"/>
      <c r="P135" s="213"/>
    </row>
    <row r="136" spans="1:16" ht="12">
      <c r="A136" s="83" t="s">
        <v>360</v>
      </c>
      <c r="B136" s="257" t="s">
        <v>361</v>
      </c>
      <c r="C136" s="258" t="s">
        <v>165</v>
      </c>
      <c r="D136" s="79">
        <v>726.17</v>
      </c>
      <c r="F136" s="79">
        <v>726.17</v>
      </c>
      <c r="G136" s="81"/>
      <c r="N136" s="240"/>
      <c r="O136" s="241"/>
      <c r="P136" s="213"/>
    </row>
    <row r="137" spans="1:16" ht="24">
      <c r="A137" s="83" t="s">
        <v>362</v>
      </c>
      <c r="B137" s="257" t="s">
        <v>363</v>
      </c>
      <c r="C137" s="258" t="s">
        <v>165</v>
      </c>
      <c r="D137" s="79">
        <v>825.23</v>
      </c>
      <c r="F137" s="79">
        <v>825.23</v>
      </c>
      <c r="G137" s="81"/>
      <c r="N137" s="240"/>
      <c r="O137" s="241"/>
      <c r="P137" s="213"/>
    </row>
    <row r="138" spans="1:16" ht="24">
      <c r="A138" s="83" t="s">
        <v>364</v>
      </c>
      <c r="B138" s="257" t="s">
        <v>365</v>
      </c>
      <c r="C138" s="258" t="s">
        <v>165</v>
      </c>
      <c r="D138" s="79">
        <v>1566.55</v>
      </c>
      <c r="F138" s="79">
        <v>1566.55</v>
      </c>
      <c r="G138" s="81"/>
      <c r="N138" s="240"/>
      <c r="O138" s="241"/>
      <c r="P138" s="213"/>
    </row>
    <row r="139" spans="1:16" ht="24">
      <c r="A139" s="83" t="s">
        <v>366</v>
      </c>
      <c r="B139" s="257" t="s">
        <v>367</v>
      </c>
      <c r="C139" s="258" t="s">
        <v>165</v>
      </c>
      <c r="D139" s="79">
        <v>396.53</v>
      </c>
      <c r="F139" s="79">
        <v>396.53</v>
      </c>
      <c r="G139" s="81"/>
      <c r="N139" s="240"/>
      <c r="O139" s="241"/>
      <c r="P139" s="213"/>
    </row>
    <row r="140" spans="1:16" ht="24">
      <c r="A140" s="83" t="s">
        <v>368</v>
      </c>
      <c r="B140" s="257" t="s">
        <v>369</v>
      </c>
      <c r="C140" s="258" t="s">
        <v>165</v>
      </c>
      <c r="D140" s="79">
        <v>1912.29</v>
      </c>
      <c r="F140" s="79">
        <v>1912.29</v>
      </c>
      <c r="G140" s="81"/>
      <c r="N140" s="240"/>
      <c r="O140" s="241"/>
      <c r="P140" s="213"/>
    </row>
    <row r="141" spans="1:16" ht="24">
      <c r="A141" s="83" t="s">
        <v>370</v>
      </c>
      <c r="B141" s="257" t="s">
        <v>371</v>
      </c>
      <c r="C141" s="258" t="s">
        <v>165</v>
      </c>
      <c r="D141" s="79">
        <v>865.85</v>
      </c>
      <c r="F141" s="79">
        <v>865.85</v>
      </c>
      <c r="G141" s="81"/>
      <c r="N141" s="240"/>
      <c r="O141" s="241"/>
      <c r="P141" s="213"/>
    </row>
    <row r="142" spans="1:16" ht="24">
      <c r="A142" s="63" t="s">
        <v>372</v>
      </c>
      <c r="B142" s="64" t="s">
        <v>373</v>
      </c>
      <c r="C142" s="71" t="s">
        <v>165</v>
      </c>
      <c r="D142" s="79">
        <v>2857.51</v>
      </c>
      <c r="F142" s="79">
        <v>2857.51</v>
      </c>
      <c r="G142" s="81"/>
      <c r="N142" s="61"/>
      <c r="O142" s="241"/>
      <c r="P142" s="213"/>
    </row>
    <row r="143" spans="1:16" ht="12">
      <c r="A143" s="63" t="s">
        <v>374</v>
      </c>
      <c r="B143" s="64" t="s">
        <v>375</v>
      </c>
      <c r="C143" s="71" t="s">
        <v>103</v>
      </c>
      <c r="D143" s="79">
        <v>353.08</v>
      </c>
      <c r="F143" s="79">
        <v>353.08</v>
      </c>
      <c r="G143" s="81"/>
      <c r="N143" s="61"/>
      <c r="O143" s="241"/>
      <c r="P143" s="213"/>
    </row>
    <row r="144" spans="1:16" ht="12">
      <c r="A144" s="63" t="s">
        <v>376</v>
      </c>
      <c r="B144" s="64" t="s">
        <v>377</v>
      </c>
      <c r="C144" s="71" t="s">
        <v>11</v>
      </c>
      <c r="D144" s="79">
        <v>368.46</v>
      </c>
      <c r="F144" s="79">
        <v>368.46</v>
      </c>
      <c r="G144" s="81"/>
      <c r="N144" s="61"/>
      <c r="O144" s="241"/>
      <c r="P144" s="213"/>
    </row>
    <row r="145" spans="1:16" ht="12">
      <c r="A145" s="63" t="s">
        <v>378</v>
      </c>
      <c r="B145" s="64" t="s">
        <v>379</v>
      </c>
      <c r="C145" s="71" t="s">
        <v>11</v>
      </c>
      <c r="D145" s="79">
        <v>358.32</v>
      </c>
      <c r="F145" s="79">
        <v>358.32</v>
      </c>
      <c r="G145" s="81"/>
      <c r="N145" s="61"/>
      <c r="O145" s="241"/>
      <c r="P145" s="213"/>
    </row>
    <row r="146" spans="1:16" ht="24">
      <c r="A146" s="63" t="s">
        <v>380</v>
      </c>
      <c r="B146" s="64" t="s">
        <v>381</v>
      </c>
      <c r="C146" s="71" t="s">
        <v>103</v>
      </c>
      <c r="D146" s="79">
        <v>1103.68</v>
      </c>
      <c r="F146" s="79">
        <v>1103.68</v>
      </c>
      <c r="G146" s="81"/>
      <c r="N146" s="61"/>
      <c r="O146" s="241"/>
      <c r="P146" s="213"/>
    </row>
    <row r="147" spans="1:16" ht="24">
      <c r="A147" s="63" t="s">
        <v>382</v>
      </c>
      <c r="B147" s="64" t="s">
        <v>383</v>
      </c>
      <c r="C147" s="71" t="s">
        <v>103</v>
      </c>
      <c r="D147" s="79">
        <v>16764.75</v>
      </c>
      <c r="F147" s="79">
        <v>16764.75</v>
      </c>
      <c r="G147" s="81"/>
      <c r="N147" s="61"/>
      <c r="O147" s="241"/>
      <c r="P147" s="213"/>
    </row>
    <row r="148" spans="1:16" ht="12">
      <c r="A148" s="83" t="s">
        <v>384</v>
      </c>
      <c r="B148" s="257" t="s">
        <v>385</v>
      </c>
      <c r="C148" s="258" t="s">
        <v>121</v>
      </c>
      <c r="D148" s="79">
        <v>2226.63</v>
      </c>
      <c r="F148" s="79">
        <v>2226.63</v>
      </c>
      <c r="G148" s="81"/>
      <c r="N148" s="240"/>
      <c r="O148" s="241"/>
      <c r="P148" s="213"/>
    </row>
    <row r="149" spans="1:16" ht="12">
      <c r="A149" s="83" t="s">
        <v>386</v>
      </c>
      <c r="B149" s="257" t="s">
        <v>387</v>
      </c>
      <c r="C149" s="258" t="s">
        <v>165</v>
      </c>
      <c r="D149" s="79">
        <v>220.87</v>
      </c>
      <c r="F149" s="79">
        <v>220.87</v>
      </c>
      <c r="G149" s="81"/>
      <c r="N149" s="240"/>
      <c r="O149" s="241"/>
      <c r="P149" s="213"/>
    </row>
    <row r="150" spans="1:16" ht="12">
      <c r="A150" s="83" t="s">
        <v>388</v>
      </c>
      <c r="B150" s="257" t="s">
        <v>389</v>
      </c>
      <c r="C150" s="258" t="s">
        <v>165</v>
      </c>
      <c r="D150" s="79">
        <v>94.4</v>
      </c>
      <c r="F150" s="79">
        <v>94.4</v>
      </c>
      <c r="G150" s="81"/>
      <c r="N150" s="240"/>
      <c r="O150" s="241"/>
      <c r="P150" s="213"/>
    </row>
    <row r="151" spans="1:16" ht="12">
      <c r="A151" s="83" t="s">
        <v>390</v>
      </c>
      <c r="B151" s="257" t="s">
        <v>391</v>
      </c>
      <c r="C151" s="258" t="s">
        <v>103</v>
      </c>
      <c r="D151" s="79">
        <v>467.69</v>
      </c>
      <c r="F151" s="79">
        <v>467.69</v>
      </c>
      <c r="G151" s="81"/>
      <c r="N151" s="240"/>
      <c r="O151" s="241"/>
      <c r="P151" s="213"/>
    </row>
    <row r="152" spans="1:16" ht="12">
      <c r="A152" s="83" t="s">
        <v>392</v>
      </c>
      <c r="B152" s="257" t="s">
        <v>393</v>
      </c>
      <c r="C152" s="258" t="s">
        <v>103</v>
      </c>
      <c r="D152" s="79">
        <v>228.48</v>
      </c>
      <c r="F152" s="79">
        <v>228.48</v>
      </c>
      <c r="G152" s="81"/>
      <c r="N152" s="240"/>
      <c r="O152" s="241"/>
      <c r="P152" s="213"/>
    </row>
    <row r="153" spans="1:16" ht="24">
      <c r="A153" s="83" t="s">
        <v>394</v>
      </c>
      <c r="B153" s="257" t="s">
        <v>395</v>
      </c>
      <c r="C153" s="258" t="s">
        <v>396</v>
      </c>
      <c r="D153" s="79">
        <v>23797.99</v>
      </c>
      <c r="F153" s="79">
        <v>23797.99</v>
      </c>
      <c r="G153" s="81"/>
      <c r="N153" s="240"/>
      <c r="O153" s="241"/>
      <c r="P153" s="213"/>
    </row>
    <row r="154" spans="1:16" ht="24">
      <c r="A154" s="83" t="s">
        <v>397</v>
      </c>
      <c r="B154" s="257" t="s">
        <v>398</v>
      </c>
      <c r="C154" s="258" t="s">
        <v>396</v>
      </c>
      <c r="D154" s="79">
        <v>8971.27</v>
      </c>
      <c r="F154" s="79">
        <v>8971.27</v>
      </c>
      <c r="G154" s="81"/>
      <c r="N154" s="240"/>
      <c r="O154" s="241"/>
      <c r="P154" s="213"/>
    </row>
    <row r="155" spans="1:16" ht="24">
      <c r="A155" s="83" t="s">
        <v>399</v>
      </c>
      <c r="B155" s="257" t="s">
        <v>400</v>
      </c>
      <c r="C155" s="258" t="s">
        <v>396</v>
      </c>
      <c r="D155" s="79">
        <v>6481.51</v>
      </c>
      <c r="F155" s="79">
        <v>6481.51</v>
      </c>
      <c r="G155" s="81"/>
      <c r="N155" s="240"/>
      <c r="O155" s="241"/>
      <c r="P155" s="213"/>
    </row>
    <row r="156" spans="1:16" ht="24">
      <c r="A156" s="83" t="s">
        <v>401</v>
      </c>
      <c r="B156" s="257" t="s">
        <v>402</v>
      </c>
      <c r="C156" s="258" t="s">
        <v>103</v>
      </c>
      <c r="D156" s="79">
        <v>3106.69</v>
      </c>
      <c r="F156" s="79">
        <v>3106.69</v>
      </c>
      <c r="G156" s="81"/>
      <c r="N156" s="240"/>
      <c r="O156" s="241"/>
      <c r="P156" s="213"/>
    </row>
    <row r="157" spans="1:16" ht="12">
      <c r="A157" s="83" t="s">
        <v>403</v>
      </c>
      <c r="B157" s="257" t="s">
        <v>404</v>
      </c>
      <c r="C157" s="258" t="s">
        <v>405</v>
      </c>
      <c r="D157" s="79">
        <v>1.48</v>
      </c>
      <c r="F157" s="79">
        <v>1.48</v>
      </c>
      <c r="G157" s="81"/>
      <c r="N157" s="240"/>
      <c r="O157" s="241"/>
      <c r="P157" s="213"/>
    </row>
    <row r="158" spans="1:16" ht="24">
      <c r="A158" s="83" t="s">
        <v>406</v>
      </c>
      <c r="B158" s="257" t="s">
        <v>407</v>
      </c>
      <c r="C158" s="258" t="s">
        <v>142</v>
      </c>
      <c r="D158" s="79">
        <v>41.45</v>
      </c>
      <c r="F158" s="79">
        <v>41.45</v>
      </c>
      <c r="G158" s="81"/>
      <c r="N158" s="240"/>
      <c r="O158" s="241"/>
      <c r="P158" s="213"/>
    </row>
    <row r="159" spans="1:16" ht="24">
      <c r="A159" s="83" t="s">
        <v>408</v>
      </c>
      <c r="B159" s="64" t="s">
        <v>409</v>
      </c>
      <c r="C159" s="258" t="s">
        <v>142</v>
      </c>
      <c r="D159" s="79">
        <v>986.51</v>
      </c>
      <c r="F159" s="79">
        <v>986.51</v>
      </c>
      <c r="G159" s="81"/>
      <c r="N159" s="240"/>
      <c r="O159" s="241"/>
      <c r="P159" s="213"/>
    </row>
    <row r="160" spans="1:16" ht="24">
      <c r="A160" s="63" t="s">
        <v>410</v>
      </c>
      <c r="B160" s="257" t="s">
        <v>411</v>
      </c>
      <c r="C160" s="258" t="s">
        <v>142</v>
      </c>
      <c r="D160" s="79">
        <v>916.42</v>
      </c>
      <c r="F160" s="79">
        <v>916.42</v>
      </c>
      <c r="G160" s="81"/>
      <c r="N160" s="61"/>
      <c r="O160" s="241"/>
      <c r="P160" s="213"/>
    </row>
    <row r="161" spans="1:16" ht="24">
      <c r="A161" s="63" t="s">
        <v>412</v>
      </c>
      <c r="B161" s="257" t="s">
        <v>413</v>
      </c>
      <c r="C161" s="258" t="s">
        <v>142</v>
      </c>
      <c r="D161" s="79">
        <v>1376.53</v>
      </c>
      <c r="F161" s="79">
        <v>1376.53</v>
      </c>
      <c r="G161" s="81"/>
      <c r="N161" s="61"/>
      <c r="O161" s="241"/>
      <c r="P161" s="213"/>
    </row>
    <row r="162" spans="1:16" ht="24">
      <c r="A162" s="63" t="s">
        <v>414</v>
      </c>
      <c r="B162" s="257" t="s">
        <v>415</v>
      </c>
      <c r="C162" s="258" t="s">
        <v>142</v>
      </c>
      <c r="D162" s="79">
        <v>906.77</v>
      </c>
      <c r="F162" s="79">
        <v>906.77</v>
      </c>
      <c r="G162" s="81"/>
      <c r="N162" s="61"/>
      <c r="O162" s="241"/>
      <c r="P162" s="213"/>
    </row>
    <row r="163" spans="1:16" ht="24">
      <c r="A163" s="63" t="s">
        <v>416</v>
      </c>
      <c r="B163" s="257" t="s">
        <v>417</v>
      </c>
      <c r="C163" s="258" t="s">
        <v>142</v>
      </c>
      <c r="D163" s="79">
        <v>1433.14</v>
      </c>
      <c r="F163" s="79">
        <v>1433.14</v>
      </c>
      <c r="G163" s="81"/>
      <c r="N163" s="61"/>
      <c r="O163" s="241"/>
      <c r="P163" s="213"/>
    </row>
    <row r="164" spans="1:16" ht="24">
      <c r="A164" s="83" t="s">
        <v>418</v>
      </c>
      <c r="B164" s="257" t="s">
        <v>42040</v>
      </c>
      <c r="C164" s="258" t="s">
        <v>396</v>
      </c>
      <c r="D164" s="79">
        <v>2883.05</v>
      </c>
      <c r="F164" s="79">
        <v>2883.05</v>
      </c>
      <c r="G164" s="81"/>
      <c r="N164" s="240"/>
      <c r="O164" s="241"/>
      <c r="P164" s="213"/>
    </row>
    <row r="165" spans="1:16" ht="12">
      <c r="A165" s="261" t="s">
        <v>28485</v>
      </c>
      <c r="B165" s="261" t="s">
        <v>28486</v>
      </c>
      <c r="C165" s="266" t="s">
        <v>103</v>
      </c>
      <c r="D165" s="79">
        <v>67.22</v>
      </c>
      <c r="F165" s="518">
        <v>67.22</v>
      </c>
    </row>
    <row r="166" spans="1:16" ht="12">
      <c r="A166" s="83" t="s">
        <v>419</v>
      </c>
      <c r="B166" s="257" t="s">
        <v>420</v>
      </c>
      <c r="C166" s="258" t="s">
        <v>103</v>
      </c>
      <c r="D166" s="79">
        <v>2.94</v>
      </c>
      <c r="F166" s="79">
        <v>2.94</v>
      </c>
      <c r="G166" s="81"/>
      <c r="N166" s="240"/>
      <c r="O166" s="241"/>
      <c r="P166" s="213"/>
    </row>
    <row r="167" spans="1:16" ht="24">
      <c r="A167" s="67" t="s">
        <v>421</v>
      </c>
      <c r="B167" s="65" t="s">
        <v>422</v>
      </c>
      <c r="C167" s="71" t="s">
        <v>142</v>
      </c>
      <c r="D167" s="79">
        <v>1213.99</v>
      </c>
      <c r="F167" s="79">
        <v>1213.99</v>
      </c>
      <c r="G167" s="81"/>
      <c r="N167" s="133"/>
      <c r="O167" s="241"/>
      <c r="P167" s="213"/>
    </row>
    <row r="168" spans="1:16" ht="12">
      <c r="A168" s="83" t="s">
        <v>9</v>
      </c>
      <c r="B168" s="257" t="s">
        <v>10</v>
      </c>
      <c r="C168" s="258" t="s">
        <v>11</v>
      </c>
      <c r="D168" s="79">
        <v>9.9499999999999993</v>
      </c>
      <c r="F168" s="79">
        <v>9.9499999999999993</v>
      </c>
      <c r="G168" s="81"/>
      <c r="N168" s="240"/>
      <c r="O168" s="241"/>
      <c r="P168" s="213"/>
    </row>
    <row r="169" spans="1:16" ht="12">
      <c r="A169" s="83" t="s">
        <v>13</v>
      </c>
      <c r="B169" s="257" t="s">
        <v>14</v>
      </c>
      <c r="C169" s="258" t="s">
        <v>11</v>
      </c>
      <c r="D169" s="79">
        <v>12.11</v>
      </c>
      <c r="F169" s="79">
        <v>12.11</v>
      </c>
      <c r="G169" s="81"/>
      <c r="N169" s="240"/>
      <c r="O169" s="241"/>
      <c r="P169" s="213"/>
    </row>
    <row r="170" spans="1:16" ht="12">
      <c r="A170" s="83" t="s">
        <v>15</v>
      </c>
      <c r="B170" s="257" t="s">
        <v>16</v>
      </c>
      <c r="C170" s="258" t="s">
        <v>11</v>
      </c>
      <c r="D170" s="79">
        <v>12.11</v>
      </c>
      <c r="F170" s="79">
        <v>12.11</v>
      </c>
      <c r="G170" s="81"/>
      <c r="N170" s="240"/>
      <c r="O170" s="241"/>
      <c r="P170" s="213"/>
    </row>
    <row r="171" spans="1:16" ht="12">
      <c r="A171" s="83" t="s">
        <v>17</v>
      </c>
      <c r="B171" s="257" t="s">
        <v>18</v>
      </c>
      <c r="C171" s="258" t="s">
        <v>11</v>
      </c>
      <c r="D171" s="79">
        <v>12.11</v>
      </c>
      <c r="F171" s="79">
        <v>12.11</v>
      </c>
      <c r="G171" s="81"/>
      <c r="N171" s="240"/>
      <c r="O171" s="241"/>
      <c r="P171" s="213"/>
    </row>
    <row r="172" spans="1:16" ht="12">
      <c r="A172" s="83" t="s">
        <v>19</v>
      </c>
      <c r="B172" s="257" t="s">
        <v>20</v>
      </c>
      <c r="C172" s="258" t="s">
        <v>11</v>
      </c>
      <c r="D172" s="79">
        <v>9.9499999999999993</v>
      </c>
      <c r="F172" s="79">
        <v>9.9499999999999993</v>
      </c>
      <c r="G172" s="81"/>
      <c r="N172" s="240"/>
      <c r="O172" s="241"/>
      <c r="P172" s="213"/>
    </row>
    <row r="173" spans="1:16" ht="12">
      <c r="A173" s="83" t="s">
        <v>21</v>
      </c>
      <c r="B173" s="257" t="s">
        <v>22</v>
      </c>
      <c r="C173" s="258" t="s">
        <v>11</v>
      </c>
      <c r="D173" s="79">
        <v>14.51</v>
      </c>
      <c r="F173" s="79">
        <v>14.51</v>
      </c>
      <c r="G173" s="81"/>
      <c r="N173" s="240"/>
      <c r="O173" s="241"/>
      <c r="P173" s="213"/>
    </row>
    <row r="174" spans="1:16" ht="12">
      <c r="A174" s="83" t="s">
        <v>23</v>
      </c>
      <c r="B174" s="257" t="s">
        <v>24</v>
      </c>
      <c r="C174" s="258" t="s">
        <v>11</v>
      </c>
      <c r="D174" s="79">
        <v>9.9499999999999993</v>
      </c>
      <c r="F174" s="79">
        <v>9.9499999999999993</v>
      </c>
      <c r="G174" s="81"/>
      <c r="N174" s="240"/>
      <c r="O174" s="241"/>
      <c r="P174" s="213"/>
    </row>
    <row r="175" spans="1:16" ht="12">
      <c r="A175" s="83" t="s">
        <v>25</v>
      </c>
      <c r="B175" s="257" t="s">
        <v>26</v>
      </c>
      <c r="C175" s="258" t="s">
        <v>11</v>
      </c>
      <c r="D175" s="79">
        <v>31.66</v>
      </c>
      <c r="F175" s="79">
        <v>31.66</v>
      </c>
      <c r="G175" s="81"/>
      <c r="N175" s="240"/>
      <c r="O175" s="241"/>
      <c r="P175" s="213"/>
    </row>
    <row r="176" spans="1:16" ht="12">
      <c r="A176" s="83" t="s">
        <v>27</v>
      </c>
      <c r="B176" s="257" t="s">
        <v>28</v>
      </c>
      <c r="C176" s="258" t="s">
        <v>11</v>
      </c>
      <c r="D176" s="79">
        <v>14.51</v>
      </c>
      <c r="F176" s="79">
        <v>14.51</v>
      </c>
      <c r="G176" s="81"/>
      <c r="N176" s="240"/>
      <c r="O176" s="241"/>
      <c r="P176" s="213"/>
    </row>
    <row r="177" spans="1:16" ht="12">
      <c r="A177" s="83" t="s">
        <v>29</v>
      </c>
      <c r="B177" s="257" t="s">
        <v>30</v>
      </c>
      <c r="C177" s="258" t="s">
        <v>11</v>
      </c>
      <c r="D177" s="79">
        <v>9.9499999999999993</v>
      </c>
      <c r="F177" s="79">
        <v>9.9499999999999993</v>
      </c>
      <c r="G177" s="81"/>
      <c r="N177" s="240"/>
      <c r="O177" s="241"/>
      <c r="P177" s="213"/>
    </row>
    <row r="178" spans="1:16" ht="12">
      <c r="A178" s="83" t="s">
        <v>31</v>
      </c>
      <c r="B178" s="257" t="s">
        <v>32</v>
      </c>
      <c r="C178" s="258" t="s">
        <v>11</v>
      </c>
      <c r="D178" s="79">
        <v>12.11</v>
      </c>
      <c r="F178" s="79">
        <v>12.11</v>
      </c>
      <c r="G178" s="81"/>
      <c r="N178" s="240"/>
      <c r="O178" s="241"/>
      <c r="P178" s="213"/>
    </row>
    <row r="179" spans="1:16" ht="12">
      <c r="A179" s="83" t="s">
        <v>33</v>
      </c>
      <c r="B179" s="257" t="s">
        <v>34</v>
      </c>
      <c r="C179" s="258" t="s">
        <v>11</v>
      </c>
      <c r="D179" s="79">
        <v>9.9499999999999993</v>
      </c>
      <c r="F179" s="79">
        <v>9.9499999999999993</v>
      </c>
      <c r="G179" s="81"/>
      <c r="N179" s="240"/>
      <c r="O179" s="241"/>
      <c r="P179" s="213"/>
    </row>
    <row r="180" spans="1:16" ht="12">
      <c r="A180" s="83" t="s">
        <v>35</v>
      </c>
      <c r="B180" s="257" t="s">
        <v>36</v>
      </c>
      <c r="C180" s="258" t="s">
        <v>11</v>
      </c>
      <c r="D180" s="79">
        <v>12.11</v>
      </c>
      <c r="F180" s="79">
        <v>12.11</v>
      </c>
      <c r="G180" s="81"/>
      <c r="N180" s="240"/>
      <c r="O180" s="241"/>
      <c r="P180" s="213"/>
    </row>
    <row r="181" spans="1:16" ht="12">
      <c r="A181" s="83" t="s">
        <v>37</v>
      </c>
      <c r="B181" s="257" t="s">
        <v>38</v>
      </c>
      <c r="C181" s="258" t="s">
        <v>11</v>
      </c>
      <c r="D181" s="79">
        <v>14.51</v>
      </c>
      <c r="F181" s="79">
        <v>14.51</v>
      </c>
      <c r="G181" s="81"/>
      <c r="N181" s="240"/>
      <c r="O181" s="241"/>
      <c r="P181" s="213"/>
    </row>
    <row r="182" spans="1:16" ht="12">
      <c r="A182" s="83" t="s">
        <v>39</v>
      </c>
      <c r="B182" s="257" t="s">
        <v>40</v>
      </c>
      <c r="C182" s="258" t="s">
        <v>11</v>
      </c>
      <c r="D182" s="79">
        <v>12.11</v>
      </c>
      <c r="F182" s="79">
        <v>12.11</v>
      </c>
      <c r="G182" s="81"/>
      <c r="N182" s="240"/>
      <c r="O182" s="241"/>
      <c r="P182" s="213"/>
    </row>
    <row r="183" spans="1:16" ht="12">
      <c r="A183" s="83" t="s">
        <v>41</v>
      </c>
      <c r="B183" s="257" t="s">
        <v>42</v>
      </c>
      <c r="C183" s="258" t="s">
        <v>11</v>
      </c>
      <c r="D183" s="79">
        <v>18.48</v>
      </c>
      <c r="F183" s="79">
        <v>18.48</v>
      </c>
      <c r="G183" s="81"/>
      <c r="N183" s="240"/>
      <c r="O183" s="241"/>
      <c r="P183" s="213"/>
    </row>
    <row r="184" spans="1:16" ht="12">
      <c r="A184" s="83" t="s">
        <v>43</v>
      </c>
      <c r="B184" s="257" t="s">
        <v>44</v>
      </c>
      <c r="C184" s="258" t="s">
        <v>11</v>
      </c>
      <c r="D184" s="79">
        <v>12.11</v>
      </c>
      <c r="F184" s="79">
        <v>12.11</v>
      </c>
      <c r="G184" s="81"/>
      <c r="N184" s="240"/>
      <c r="O184" s="241"/>
      <c r="P184" s="213"/>
    </row>
    <row r="185" spans="1:16" ht="12">
      <c r="A185" s="83" t="s">
        <v>45</v>
      </c>
      <c r="B185" s="257" t="s">
        <v>46</v>
      </c>
      <c r="C185" s="258" t="s">
        <v>11</v>
      </c>
      <c r="D185" s="79">
        <v>14.51</v>
      </c>
      <c r="F185" s="79">
        <v>14.51</v>
      </c>
      <c r="G185" s="81"/>
      <c r="N185" s="240"/>
      <c r="O185" s="241"/>
      <c r="P185" s="213"/>
    </row>
    <row r="186" spans="1:16" ht="12">
      <c r="A186" s="83" t="s">
        <v>47</v>
      </c>
      <c r="B186" s="257" t="s">
        <v>48</v>
      </c>
      <c r="C186" s="258" t="s">
        <v>11</v>
      </c>
      <c r="D186" s="79">
        <v>9.9499999999999993</v>
      </c>
      <c r="F186" s="79">
        <v>9.9499999999999993</v>
      </c>
      <c r="G186" s="81"/>
      <c r="N186" s="240"/>
      <c r="O186" s="241"/>
      <c r="P186" s="213"/>
    </row>
    <row r="187" spans="1:16" ht="12">
      <c r="A187" s="83" t="s">
        <v>49</v>
      </c>
      <c r="B187" s="257" t="s">
        <v>50</v>
      </c>
      <c r="C187" s="258" t="s">
        <v>11</v>
      </c>
      <c r="D187" s="79">
        <v>14.51</v>
      </c>
      <c r="F187" s="79">
        <v>14.51</v>
      </c>
      <c r="G187" s="81"/>
      <c r="N187" s="240"/>
      <c r="O187" s="241"/>
      <c r="P187" s="213"/>
    </row>
    <row r="188" spans="1:16" ht="12">
      <c r="A188" s="83" t="s">
        <v>51</v>
      </c>
      <c r="B188" s="257" t="s">
        <v>52</v>
      </c>
      <c r="C188" s="258" t="s">
        <v>11</v>
      </c>
      <c r="D188" s="79">
        <v>18.8</v>
      </c>
      <c r="F188" s="79">
        <v>18.8</v>
      </c>
      <c r="G188" s="81"/>
      <c r="N188" s="240"/>
      <c r="O188" s="241"/>
      <c r="P188" s="213"/>
    </row>
    <row r="189" spans="1:16" ht="12">
      <c r="A189" s="83" t="s">
        <v>53</v>
      </c>
      <c r="B189" s="257" t="s">
        <v>54</v>
      </c>
      <c r="C189" s="258" t="s">
        <v>11</v>
      </c>
      <c r="D189" s="79">
        <v>15.8</v>
      </c>
      <c r="F189" s="79">
        <v>15.8</v>
      </c>
      <c r="G189" s="81"/>
      <c r="N189" s="240"/>
      <c r="O189" s="241"/>
      <c r="P189" s="213"/>
    </row>
    <row r="190" spans="1:16" ht="12">
      <c r="A190" s="83" t="s">
        <v>55</v>
      </c>
      <c r="B190" s="257" t="s">
        <v>56</v>
      </c>
      <c r="C190" s="258" t="s">
        <v>11</v>
      </c>
      <c r="D190" s="79">
        <v>9.9499999999999993</v>
      </c>
      <c r="F190" s="79">
        <v>9.9499999999999993</v>
      </c>
      <c r="G190" s="81"/>
      <c r="N190" s="240"/>
      <c r="O190" s="241"/>
      <c r="P190" s="213"/>
    </row>
    <row r="191" spans="1:16" ht="12">
      <c r="A191" s="83" t="s">
        <v>57</v>
      </c>
      <c r="B191" s="257" t="s">
        <v>58</v>
      </c>
      <c r="C191" s="258" t="s">
        <v>11</v>
      </c>
      <c r="D191" s="79">
        <v>9.9499999999999993</v>
      </c>
      <c r="F191" s="79">
        <v>9.9499999999999993</v>
      </c>
      <c r="G191" s="81"/>
      <c r="N191" s="240"/>
      <c r="O191" s="241"/>
      <c r="P191" s="213"/>
    </row>
    <row r="192" spans="1:16" ht="12">
      <c r="A192" s="83" t="s">
        <v>59</v>
      </c>
      <c r="B192" s="257" t="s">
        <v>60</v>
      </c>
      <c r="C192" s="258" t="s">
        <v>11</v>
      </c>
      <c r="D192" s="79">
        <v>14.51</v>
      </c>
      <c r="F192" s="79">
        <v>14.51</v>
      </c>
      <c r="G192" s="81"/>
      <c r="N192" s="240"/>
      <c r="O192" s="241"/>
      <c r="P192" s="213"/>
    </row>
    <row r="193" spans="1:16" ht="12">
      <c r="A193" s="83" t="s">
        <v>61</v>
      </c>
      <c r="B193" s="257" t="s">
        <v>62</v>
      </c>
      <c r="C193" s="258" t="s">
        <v>11</v>
      </c>
      <c r="D193" s="79">
        <v>9.9499999999999993</v>
      </c>
      <c r="F193" s="79">
        <v>9.9499999999999993</v>
      </c>
      <c r="G193" s="81"/>
      <c r="N193" s="240"/>
      <c r="O193" s="241"/>
      <c r="P193" s="213"/>
    </row>
    <row r="194" spans="1:16" ht="12">
      <c r="A194" s="83" t="s">
        <v>63</v>
      </c>
      <c r="B194" s="257" t="s">
        <v>64</v>
      </c>
      <c r="C194" s="258" t="s">
        <v>11</v>
      </c>
      <c r="D194" s="79">
        <v>20.92</v>
      </c>
      <c r="F194" s="79">
        <v>20.92</v>
      </c>
      <c r="G194" s="81"/>
      <c r="N194" s="240"/>
      <c r="O194" s="241"/>
      <c r="P194" s="213"/>
    </row>
    <row r="195" spans="1:16" ht="12">
      <c r="A195" s="83" t="s">
        <v>65</v>
      </c>
      <c r="B195" s="257" t="s">
        <v>66</v>
      </c>
      <c r="C195" s="258" t="s">
        <v>11</v>
      </c>
      <c r="D195" s="79">
        <v>14.51</v>
      </c>
      <c r="F195" s="79">
        <v>14.51</v>
      </c>
      <c r="G195" s="81"/>
      <c r="N195" s="240"/>
      <c r="O195" s="241"/>
      <c r="P195" s="213"/>
    </row>
    <row r="196" spans="1:16" ht="12">
      <c r="A196" s="83" t="s">
        <v>67</v>
      </c>
      <c r="B196" s="64" t="s">
        <v>68</v>
      </c>
      <c r="C196" s="258" t="s">
        <v>11</v>
      </c>
      <c r="D196" s="79">
        <v>18.649999999999999</v>
      </c>
      <c r="F196" s="79">
        <v>18.649999999999999</v>
      </c>
      <c r="G196" s="81"/>
      <c r="N196" s="240"/>
      <c r="O196" s="241"/>
      <c r="P196" s="213"/>
    </row>
    <row r="197" spans="1:16" ht="12">
      <c r="A197" s="83" t="s">
        <v>69</v>
      </c>
      <c r="B197" s="257" t="s">
        <v>70</v>
      </c>
      <c r="C197" s="258" t="s">
        <v>11</v>
      </c>
      <c r="D197" s="79">
        <v>9.9499999999999993</v>
      </c>
      <c r="F197" s="79">
        <v>9.9499999999999993</v>
      </c>
      <c r="G197" s="81"/>
      <c r="N197" s="240"/>
      <c r="O197" s="241"/>
      <c r="P197" s="213"/>
    </row>
    <row r="198" spans="1:16" ht="12">
      <c r="A198" s="83" t="s">
        <v>71</v>
      </c>
      <c r="B198" s="257" t="s">
        <v>72</v>
      </c>
      <c r="C198" s="258" t="s">
        <v>11</v>
      </c>
      <c r="D198" s="79">
        <v>24.93</v>
      </c>
      <c r="F198" s="79">
        <v>24.93</v>
      </c>
      <c r="G198" s="81"/>
      <c r="N198" s="240"/>
      <c r="O198" s="241"/>
      <c r="P198" s="213"/>
    </row>
    <row r="199" spans="1:16" ht="12">
      <c r="A199" s="83" t="s">
        <v>73</v>
      </c>
      <c r="B199" s="257" t="s">
        <v>74</v>
      </c>
      <c r="C199" s="258" t="s">
        <v>11</v>
      </c>
      <c r="D199" s="79">
        <v>17.97</v>
      </c>
      <c r="F199" s="79">
        <v>17.97</v>
      </c>
      <c r="G199" s="81"/>
      <c r="N199" s="240"/>
      <c r="O199" s="241"/>
      <c r="P199" s="213"/>
    </row>
    <row r="200" spans="1:16" ht="12">
      <c r="A200" s="83" t="s">
        <v>75</v>
      </c>
      <c r="B200" s="257" t="s">
        <v>76</v>
      </c>
      <c r="C200" s="258" t="s">
        <v>11</v>
      </c>
      <c r="D200" s="79">
        <v>17.95</v>
      </c>
      <c r="F200" s="79">
        <v>17.95</v>
      </c>
      <c r="G200" s="81"/>
      <c r="N200" s="240"/>
      <c r="O200" s="241"/>
      <c r="P200" s="213"/>
    </row>
    <row r="201" spans="1:16" ht="12">
      <c r="A201" s="83" t="s">
        <v>77</v>
      </c>
      <c r="B201" s="257" t="s">
        <v>78</v>
      </c>
      <c r="C201" s="258" t="s">
        <v>11</v>
      </c>
      <c r="D201" s="79">
        <v>34.619999999999997</v>
      </c>
      <c r="F201" s="79">
        <v>34.619999999999997</v>
      </c>
      <c r="G201" s="81"/>
      <c r="N201" s="240"/>
      <c r="O201" s="241"/>
      <c r="P201" s="213"/>
    </row>
    <row r="202" spans="1:16" ht="12">
      <c r="A202" s="83" t="s">
        <v>79</v>
      </c>
      <c r="B202" s="257" t="s">
        <v>80</v>
      </c>
      <c r="C202" s="258" t="s">
        <v>11</v>
      </c>
      <c r="D202" s="79">
        <v>165.81</v>
      </c>
      <c r="F202" s="79">
        <v>165.81</v>
      </c>
      <c r="G202" s="81"/>
      <c r="N202" s="240"/>
      <c r="O202" s="241"/>
      <c r="P202" s="213"/>
    </row>
    <row r="203" spans="1:16" ht="12">
      <c r="A203" s="83" t="s">
        <v>81</v>
      </c>
      <c r="B203" s="257" t="s">
        <v>82</v>
      </c>
      <c r="C203" s="258" t="s">
        <v>11</v>
      </c>
      <c r="D203" s="79">
        <v>55.36</v>
      </c>
      <c r="F203" s="79">
        <v>55.36</v>
      </c>
      <c r="G203" s="81"/>
      <c r="N203" s="240"/>
      <c r="O203" s="241"/>
      <c r="P203" s="213"/>
    </row>
    <row r="204" spans="1:16" ht="12">
      <c r="A204" s="83" t="s">
        <v>83</v>
      </c>
      <c r="B204" s="257" t="s">
        <v>84</v>
      </c>
      <c r="C204" s="258" t="s">
        <v>11</v>
      </c>
      <c r="D204" s="79">
        <v>66.930000000000007</v>
      </c>
      <c r="F204" s="79">
        <v>66.930000000000007</v>
      </c>
      <c r="G204" s="81"/>
      <c r="N204" s="240"/>
      <c r="O204" s="241"/>
      <c r="P204" s="213"/>
    </row>
    <row r="205" spans="1:16" ht="12">
      <c r="A205" s="83" t="s">
        <v>85</v>
      </c>
      <c r="B205" s="257" t="s">
        <v>86</v>
      </c>
      <c r="C205" s="258" t="s">
        <v>11</v>
      </c>
      <c r="D205" s="79">
        <v>58.3</v>
      </c>
      <c r="F205" s="79">
        <v>58.3</v>
      </c>
      <c r="G205" s="81"/>
      <c r="N205" s="240"/>
      <c r="O205" s="241"/>
      <c r="P205" s="213"/>
    </row>
    <row r="206" spans="1:16" ht="12">
      <c r="A206" s="83" t="s">
        <v>87</v>
      </c>
      <c r="B206" s="257" t="s">
        <v>88</v>
      </c>
      <c r="C206" s="258" t="s">
        <v>11</v>
      </c>
      <c r="D206" s="79">
        <v>62.19</v>
      </c>
      <c r="F206" s="79">
        <v>62.19</v>
      </c>
      <c r="G206" s="81"/>
      <c r="N206" s="240"/>
      <c r="O206" s="241"/>
      <c r="P206" s="213"/>
    </row>
    <row r="207" spans="1:16" ht="12">
      <c r="A207" s="83" t="s">
        <v>89</v>
      </c>
      <c r="B207" s="257" t="s">
        <v>90</v>
      </c>
      <c r="C207" s="258" t="s">
        <v>11</v>
      </c>
      <c r="D207" s="79">
        <v>52.49</v>
      </c>
      <c r="F207" s="79">
        <v>52.49</v>
      </c>
      <c r="G207" s="81"/>
      <c r="N207" s="240"/>
      <c r="O207" s="241"/>
      <c r="P207" s="213"/>
    </row>
    <row r="208" spans="1:16" ht="12">
      <c r="A208" s="83" t="s">
        <v>91</v>
      </c>
      <c r="B208" s="257" t="s">
        <v>92</v>
      </c>
      <c r="C208" s="258" t="s">
        <v>11</v>
      </c>
      <c r="D208" s="79">
        <v>97.74</v>
      </c>
      <c r="F208" s="79">
        <v>97.74</v>
      </c>
      <c r="G208" s="81"/>
      <c r="N208" s="240"/>
      <c r="O208" s="241"/>
      <c r="P208" s="213"/>
    </row>
    <row r="209" spans="1:16" ht="12">
      <c r="A209" s="83" t="s">
        <v>93</v>
      </c>
      <c r="B209" s="257" t="s">
        <v>94</v>
      </c>
      <c r="C209" s="258" t="s">
        <v>11</v>
      </c>
      <c r="D209" s="79">
        <v>98.13</v>
      </c>
      <c r="F209" s="79">
        <v>98.13</v>
      </c>
      <c r="G209" s="81"/>
      <c r="N209" s="240"/>
      <c r="O209" s="241"/>
      <c r="P209" s="213"/>
    </row>
    <row r="210" spans="1:16" ht="12">
      <c r="A210" s="83" t="s">
        <v>95</v>
      </c>
      <c r="B210" s="257" t="s">
        <v>96</v>
      </c>
      <c r="C210" s="258" t="s">
        <v>11</v>
      </c>
      <c r="D210" s="79">
        <v>124.48</v>
      </c>
      <c r="F210" s="79">
        <v>124.48</v>
      </c>
      <c r="G210" s="81"/>
      <c r="N210" s="240"/>
      <c r="O210" s="241"/>
      <c r="P210" s="213"/>
    </row>
    <row r="211" spans="1:16" ht="12">
      <c r="A211" s="83" t="s">
        <v>97</v>
      </c>
      <c r="B211" s="257" t="s">
        <v>98</v>
      </c>
      <c r="C211" s="258" t="s">
        <v>11</v>
      </c>
      <c r="D211" s="79">
        <v>53.93</v>
      </c>
      <c r="F211" s="79">
        <v>53.93</v>
      </c>
      <c r="G211" s="81"/>
      <c r="N211" s="240"/>
      <c r="O211" s="241"/>
      <c r="P211" s="213"/>
    </row>
    <row r="212" spans="1:16" ht="12">
      <c r="A212" s="83" t="s">
        <v>99</v>
      </c>
      <c r="B212" s="257" t="s">
        <v>100</v>
      </c>
      <c r="C212" s="258" t="s">
        <v>11</v>
      </c>
      <c r="D212" s="79">
        <v>24.97</v>
      </c>
      <c r="F212" s="79">
        <v>24.97</v>
      </c>
      <c r="G212" s="81"/>
      <c r="N212" s="240"/>
      <c r="O212" s="241"/>
      <c r="P212" s="213"/>
    </row>
    <row r="213" spans="1:16" ht="12">
      <c r="A213" s="83" t="s">
        <v>423</v>
      </c>
      <c r="B213" s="257" t="s">
        <v>424</v>
      </c>
      <c r="C213" s="258" t="s">
        <v>207</v>
      </c>
      <c r="D213" s="79">
        <v>0.67</v>
      </c>
      <c r="F213" s="79">
        <v>0.67</v>
      </c>
      <c r="G213" s="81"/>
      <c r="N213" s="240"/>
      <c r="O213" s="241"/>
      <c r="P213" s="213"/>
    </row>
    <row r="214" spans="1:16" ht="12">
      <c r="A214" s="83" t="s">
        <v>425</v>
      </c>
      <c r="B214" s="257" t="s">
        <v>426</v>
      </c>
      <c r="C214" s="258" t="s">
        <v>207</v>
      </c>
      <c r="D214" s="79">
        <v>2.81</v>
      </c>
      <c r="F214" s="79">
        <v>2.81</v>
      </c>
      <c r="G214" s="81"/>
      <c r="N214" s="240"/>
      <c r="O214" s="241"/>
      <c r="P214" s="213"/>
    </row>
    <row r="215" spans="1:16" ht="12">
      <c r="A215" s="83" t="s">
        <v>427</v>
      </c>
      <c r="B215" s="257" t="s">
        <v>428</v>
      </c>
      <c r="C215" s="258" t="s">
        <v>207</v>
      </c>
      <c r="D215" s="79">
        <v>2.54</v>
      </c>
      <c r="F215" s="79">
        <v>2.54</v>
      </c>
      <c r="G215" s="81"/>
      <c r="N215" s="240"/>
      <c r="O215" s="241"/>
      <c r="P215" s="213"/>
    </row>
    <row r="216" spans="1:16" ht="12">
      <c r="A216" s="83" t="s">
        <v>429</v>
      </c>
      <c r="B216" s="257" t="s">
        <v>28071</v>
      </c>
      <c r="C216" s="258" t="s">
        <v>207</v>
      </c>
      <c r="D216" s="79">
        <v>47.18</v>
      </c>
      <c r="F216" s="79">
        <v>47.18</v>
      </c>
      <c r="G216" s="81"/>
      <c r="N216" s="240"/>
      <c r="O216" s="241"/>
      <c r="P216" s="213"/>
    </row>
    <row r="217" spans="1:16" ht="24">
      <c r="A217" s="83" t="s">
        <v>430</v>
      </c>
      <c r="B217" s="257" t="s">
        <v>28072</v>
      </c>
      <c r="C217" s="258" t="s">
        <v>207</v>
      </c>
      <c r="D217" s="79">
        <v>17.07</v>
      </c>
      <c r="F217" s="79">
        <v>17.07</v>
      </c>
      <c r="G217" s="81"/>
      <c r="N217" s="240"/>
      <c r="O217" s="241"/>
      <c r="P217" s="213"/>
    </row>
    <row r="218" spans="1:16" ht="24">
      <c r="A218" s="67" t="s">
        <v>431</v>
      </c>
      <c r="B218" s="65" t="s">
        <v>432</v>
      </c>
      <c r="C218" s="71" t="s">
        <v>207</v>
      </c>
      <c r="D218" s="79">
        <v>36.29</v>
      </c>
      <c r="F218" s="79">
        <v>36.29</v>
      </c>
      <c r="G218" s="81"/>
      <c r="N218" s="133"/>
      <c r="O218" s="241"/>
      <c r="P218" s="213"/>
    </row>
    <row r="219" spans="1:16" ht="12">
      <c r="A219" s="83" t="s">
        <v>433</v>
      </c>
      <c r="B219" s="257" t="s">
        <v>434</v>
      </c>
      <c r="C219" s="258" t="s">
        <v>207</v>
      </c>
      <c r="D219" s="79">
        <v>7.5</v>
      </c>
      <c r="F219" s="79">
        <v>7.5</v>
      </c>
      <c r="G219" s="81"/>
      <c r="N219" s="240"/>
      <c r="O219" s="241"/>
      <c r="P219" s="213"/>
    </row>
    <row r="220" spans="1:16" ht="12">
      <c r="A220" s="83" t="s">
        <v>435</v>
      </c>
      <c r="B220" s="257" t="s">
        <v>436</v>
      </c>
      <c r="C220" s="258" t="s">
        <v>207</v>
      </c>
      <c r="D220" s="79">
        <v>43.3</v>
      </c>
      <c r="F220" s="79">
        <v>43.3</v>
      </c>
      <c r="G220" s="81"/>
      <c r="N220" s="240"/>
      <c r="O220" s="241"/>
      <c r="P220" s="213"/>
    </row>
    <row r="221" spans="1:16" ht="24">
      <c r="A221" s="83" t="s">
        <v>437</v>
      </c>
      <c r="B221" s="257" t="s">
        <v>438</v>
      </c>
      <c r="C221" s="258" t="s">
        <v>207</v>
      </c>
      <c r="D221" s="79">
        <v>4.3899999999999997</v>
      </c>
      <c r="F221" s="79">
        <v>4.3899999999999997</v>
      </c>
      <c r="G221" s="81"/>
      <c r="N221" s="240"/>
      <c r="O221" s="241"/>
      <c r="P221" s="213"/>
    </row>
    <row r="222" spans="1:16" ht="24">
      <c r="A222" s="83" t="s">
        <v>439</v>
      </c>
      <c r="B222" s="257" t="s">
        <v>440</v>
      </c>
      <c r="C222" s="258" t="s">
        <v>207</v>
      </c>
      <c r="D222" s="79">
        <v>2.95</v>
      </c>
      <c r="F222" s="79">
        <v>2.95</v>
      </c>
      <c r="G222" s="81"/>
      <c r="N222" s="240"/>
      <c r="O222" s="241"/>
      <c r="P222" s="213"/>
    </row>
    <row r="223" spans="1:16" ht="24">
      <c r="A223" s="83" t="s">
        <v>441</v>
      </c>
      <c r="B223" s="257" t="s">
        <v>442</v>
      </c>
      <c r="C223" s="258" t="s">
        <v>207</v>
      </c>
      <c r="D223" s="79">
        <v>11.48</v>
      </c>
      <c r="F223" s="79">
        <v>11.48</v>
      </c>
      <c r="G223" s="81"/>
      <c r="N223" s="240"/>
      <c r="O223" s="241"/>
      <c r="P223" s="213"/>
    </row>
    <row r="224" spans="1:16" ht="12">
      <c r="A224" s="83" t="s">
        <v>443</v>
      </c>
      <c r="B224" s="257" t="s">
        <v>444</v>
      </c>
      <c r="C224" s="258" t="s">
        <v>207</v>
      </c>
      <c r="D224" s="79">
        <v>7.44</v>
      </c>
      <c r="F224" s="79">
        <v>7.44</v>
      </c>
      <c r="G224" s="81"/>
      <c r="N224" s="240"/>
      <c r="O224" s="241"/>
      <c r="P224" s="213"/>
    </row>
    <row r="225" spans="1:16" ht="24">
      <c r="A225" s="83" t="s">
        <v>445</v>
      </c>
      <c r="B225" s="257" t="s">
        <v>446</v>
      </c>
      <c r="C225" s="258" t="s">
        <v>207</v>
      </c>
      <c r="D225" s="79">
        <v>37.520000000000003</v>
      </c>
      <c r="F225" s="79">
        <v>37.520000000000003</v>
      </c>
      <c r="G225" s="81"/>
      <c r="N225" s="240"/>
      <c r="O225" s="241"/>
      <c r="P225" s="213"/>
    </row>
    <row r="226" spans="1:16" ht="12">
      <c r="A226" s="83" t="s">
        <v>447</v>
      </c>
      <c r="B226" s="257" t="s">
        <v>448</v>
      </c>
      <c r="C226" s="258" t="s">
        <v>207</v>
      </c>
      <c r="D226" s="79">
        <v>0.89</v>
      </c>
      <c r="F226" s="79">
        <v>0.89</v>
      </c>
      <c r="G226" s="81"/>
      <c r="N226" s="240"/>
      <c r="O226" s="241"/>
      <c r="P226" s="213"/>
    </row>
    <row r="227" spans="1:16" ht="36">
      <c r="A227" s="83" t="s">
        <v>449</v>
      </c>
      <c r="B227" s="257" t="s">
        <v>450</v>
      </c>
      <c r="C227" s="258" t="s">
        <v>207</v>
      </c>
      <c r="D227" s="79">
        <v>1.75</v>
      </c>
      <c r="F227" s="79">
        <v>1.75</v>
      </c>
      <c r="G227" s="81"/>
      <c r="N227" s="240"/>
      <c r="O227" s="241"/>
      <c r="P227" s="213"/>
    </row>
    <row r="228" spans="1:16" ht="24">
      <c r="A228" s="83" t="s">
        <v>451</v>
      </c>
      <c r="B228" s="257" t="s">
        <v>452</v>
      </c>
      <c r="C228" s="258" t="s">
        <v>207</v>
      </c>
      <c r="D228" s="79">
        <v>9.16</v>
      </c>
      <c r="F228" s="79">
        <v>9.16</v>
      </c>
      <c r="G228" s="81"/>
      <c r="N228" s="240"/>
      <c r="O228" s="241"/>
      <c r="P228" s="213"/>
    </row>
    <row r="229" spans="1:16" ht="36">
      <c r="A229" s="83" t="s">
        <v>453</v>
      </c>
      <c r="B229" s="257" t="s">
        <v>454</v>
      </c>
      <c r="C229" s="258" t="s">
        <v>207</v>
      </c>
      <c r="D229" s="79">
        <v>34.630000000000003</v>
      </c>
      <c r="F229" s="79">
        <v>34.630000000000003</v>
      </c>
      <c r="G229" s="81"/>
      <c r="N229" s="240"/>
      <c r="O229" s="241"/>
      <c r="P229" s="213"/>
    </row>
    <row r="230" spans="1:16" ht="24">
      <c r="A230" s="83" t="s">
        <v>455</v>
      </c>
      <c r="B230" s="257" t="s">
        <v>456</v>
      </c>
      <c r="C230" s="258" t="s">
        <v>207</v>
      </c>
      <c r="D230" s="79">
        <v>10.85</v>
      </c>
      <c r="F230" s="79">
        <v>10.85</v>
      </c>
      <c r="G230" s="81"/>
      <c r="N230" s="240"/>
      <c r="O230" s="241"/>
      <c r="P230" s="213"/>
    </row>
    <row r="231" spans="1:16" ht="36">
      <c r="A231" s="67" t="s">
        <v>457</v>
      </c>
      <c r="B231" s="65" t="s">
        <v>458</v>
      </c>
      <c r="C231" s="71" t="s">
        <v>207</v>
      </c>
      <c r="D231" s="79">
        <v>34.380000000000003</v>
      </c>
      <c r="F231" s="79">
        <v>34.380000000000003</v>
      </c>
      <c r="G231" s="81"/>
      <c r="N231" s="133"/>
      <c r="O231" s="241"/>
      <c r="P231" s="213"/>
    </row>
    <row r="232" spans="1:16" ht="12">
      <c r="A232" s="263" t="s">
        <v>459</v>
      </c>
      <c r="B232" s="263" t="s">
        <v>460</v>
      </c>
      <c r="C232" s="264" t="s">
        <v>207</v>
      </c>
      <c r="D232" s="79">
        <v>4.28</v>
      </c>
      <c r="E232" s="182"/>
      <c r="F232" s="519">
        <v>4.28</v>
      </c>
      <c r="G232" s="242"/>
      <c r="H232" s="242"/>
      <c r="I232" s="242"/>
      <c r="J232" s="242"/>
      <c r="K232" s="242"/>
      <c r="L232" s="242"/>
      <c r="M232" s="242"/>
      <c r="N232" s="242"/>
      <c r="O232" s="242"/>
      <c r="P232" s="242"/>
    </row>
    <row r="233" spans="1:16" ht="12">
      <c r="A233" s="83" t="s">
        <v>461</v>
      </c>
      <c r="B233" s="257" t="s">
        <v>462</v>
      </c>
      <c r="C233" s="258" t="s">
        <v>207</v>
      </c>
      <c r="D233" s="79">
        <v>1.22</v>
      </c>
      <c r="F233" s="79">
        <v>1.22</v>
      </c>
      <c r="G233" s="81"/>
      <c r="N233" s="240"/>
      <c r="O233" s="241"/>
      <c r="P233" s="213"/>
    </row>
    <row r="234" spans="1:16" ht="24">
      <c r="A234" s="83" t="s">
        <v>463</v>
      </c>
      <c r="B234" s="257" t="s">
        <v>464</v>
      </c>
      <c r="C234" s="258" t="s">
        <v>207</v>
      </c>
      <c r="D234" s="79">
        <v>3.79</v>
      </c>
      <c r="F234" s="79">
        <v>3.79</v>
      </c>
      <c r="G234" s="81"/>
      <c r="N234" s="240"/>
      <c r="O234" s="241"/>
      <c r="P234" s="213"/>
    </row>
    <row r="235" spans="1:16" ht="12">
      <c r="A235" s="83" t="s">
        <v>465</v>
      </c>
      <c r="B235" s="257" t="s">
        <v>29744</v>
      </c>
      <c r="C235" s="258" t="s">
        <v>207</v>
      </c>
      <c r="D235" s="79">
        <v>65.180000000000007</v>
      </c>
      <c r="F235" s="79">
        <v>65.180000000000007</v>
      </c>
      <c r="G235" s="81"/>
      <c r="N235" s="240"/>
      <c r="O235" s="241"/>
      <c r="P235" s="213"/>
    </row>
    <row r="236" spans="1:16" ht="24">
      <c r="A236" s="83" t="s">
        <v>466</v>
      </c>
      <c r="B236" s="257" t="s">
        <v>39263</v>
      </c>
      <c r="C236" s="258" t="s">
        <v>207</v>
      </c>
      <c r="D236" s="79">
        <v>1.92</v>
      </c>
      <c r="F236" s="79">
        <v>1.92</v>
      </c>
      <c r="G236" s="81"/>
      <c r="N236" s="240"/>
      <c r="O236" s="241"/>
      <c r="P236" s="213"/>
    </row>
    <row r="237" spans="1:16" ht="24">
      <c r="A237" s="83" t="s">
        <v>467</v>
      </c>
      <c r="B237" s="257" t="s">
        <v>468</v>
      </c>
      <c r="C237" s="258" t="s">
        <v>207</v>
      </c>
      <c r="D237" s="79">
        <v>8.02</v>
      </c>
      <c r="F237" s="79">
        <v>8.02</v>
      </c>
      <c r="G237" s="81"/>
      <c r="N237" s="240"/>
      <c r="O237" s="241"/>
      <c r="P237" s="213"/>
    </row>
    <row r="238" spans="1:16" ht="12">
      <c r="A238" s="83" t="s">
        <v>469</v>
      </c>
      <c r="B238" s="257" t="s">
        <v>470</v>
      </c>
      <c r="C238" s="258" t="s">
        <v>207</v>
      </c>
      <c r="D238" s="79">
        <v>0.88</v>
      </c>
      <c r="F238" s="79">
        <v>0.88</v>
      </c>
      <c r="G238" s="81"/>
      <c r="N238" s="240"/>
      <c r="O238" s="241"/>
      <c r="P238" s="213"/>
    </row>
    <row r="239" spans="1:16" ht="12">
      <c r="A239" s="83" t="s">
        <v>471</v>
      </c>
      <c r="B239" s="257" t="s">
        <v>472</v>
      </c>
      <c r="C239" s="258" t="s">
        <v>207</v>
      </c>
      <c r="D239" s="79">
        <v>1.03</v>
      </c>
      <c r="F239" s="79">
        <v>1.03</v>
      </c>
      <c r="G239" s="81"/>
      <c r="N239" s="240"/>
      <c r="O239" s="241"/>
      <c r="P239" s="213"/>
    </row>
    <row r="240" spans="1:16" ht="12">
      <c r="A240" s="83" t="s">
        <v>473</v>
      </c>
      <c r="B240" s="257" t="s">
        <v>474</v>
      </c>
      <c r="C240" s="258" t="s">
        <v>207</v>
      </c>
      <c r="D240" s="79">
        <v>2.33</v>
      </c>
      <c r="F240" s="79">
        <v>2.33</v>
      </c>
      <c r="G240" s="81"/>
      <c r="N240" s="240"/>
      <c r="O240" s="241"/>
      <c r="P240" s="213"/>
    </row>
    <row r="241" spans="1:16" ht="12">
      <c r="A241" s="83" t="s">
        <v>475</v>
      </c>
      <c r="B241" s="257" t="s">
        <v>476</v>
      </c>
      <c r="C241" s="258" t="s">
        <v>121</v>
      </c>
      <c r="D241" s="79">
        <v>170.72</v>
      </c>
      <c r="F241" s="79">
        <v>170.72</v>
      </c>
      <c r="G241" s="81"/>
      <c r="N241" s="240"/>
      <c r="O241" s="241"/>
      <c r="P241" s="213"/>
    </row>
    <row r="242" spans="1:16" ht="12">
      <c r="A242" s="83" t="s">
        <v>477</v>
      </c>
      <c r="B242" s="257" t="s">
        <v>478</v>
      </c>
      <c r="C242" s="258" t="s">
        <v>121</v>
      </c>
      <c r="D242" s="79">
        <v>178.86</v>
      </c>
      <c r="F242" s="79">
        <v>178.86</v>
      </c>
      <c r="G242" s="81"/>
      <c r="N242" s="240"/>
      <c r="O242" s="241"/>
      <c r="P242" s="213"/>
    </row>
    <row r="243" spans="1:16" ht="12">
      <c r="A243" s="83" t="s">
        <v>479</v>
      </c>
      <c r="B243" s="257" t="s">
        <v>480</v>
      </c>
      <c r="C243" s="258" t="s">
        <v>121</v>
      </c>
      <c r="D243" s="79">
        <v>154.97</v>
      </c>
      <c r="F243" s="79">
        <v>154.97</v>
      </c>
      <c r="G243" s="81"/>
      <c r="N243" s="240"/>
      <c r="O243" s="241"/>
      <c r="P243" s="213"/>
    </row>
    <row r="244" spans="1:16" ht="12">
      <c r="A244" s="83" t="s">
        <v>481</v>
      </c>
      <c r="B244" s="257" t="s">
        <v>482</v>
      </c>
      <c r="C244" s="258" t="s">
        <v>121</v>
      </c>
      <c r="D244" s="79">
        <v>154.97</v>
      </c>
      <c r="F244" s="79">
        <v>154.97</v>
      </c>
      <c r="G244" s="81"/>
      <c r="N244" s="240"/>
      <c r="O244" s="241"/>
      <c r="P244" s="213"/>
    </row>
    <row r="245" spans="1:16" ht="12">
      <c r="A245" s="83" t="s">
        <v>483</v>
      </c>
      <c r="B245" s="257" t="s">
        <v>484</v>
      </c>
      <c r="C245" s="258" t="s">
        <v>121</v>
      </c>
      <c r="D245" s="79">
        <v>160.94999999999999</v>
      </c>
      <c r="F245" s="79">
        <v>160.94999999999999</v>
      </c>
      <c r="G245" s="81"/>
      <c r="N245" s="240"/>
      <c r="O245" s="241"/>
      <c r="P245" s="213"/>
    </row>
    <row r="246" spans="1:16" ht="12">
      <c r="A246" s="83" t="s">
        <v>485</v>
      </c>
      <c r="B246" s="257" t="s">
        <v>486</v>
      </c>
      <c r="C246" s="258" t="s">
        <v>121</v>
      </c>
      <c r="D246" s="79">
        <v>184.84</v>
      </c>
      <c r="F246" s="79">
        <v>184.84</v>
      </c>
      <c r="G246" s="81"/>
      <c r="N246" s="240"/>
      <c r="O246" s="241"/>
      <c r="P246" s="213"/>
    </row>
    <row r="247" spans="1:16" ht="12">
      <c r="A247" s="83" t="s">
        <v>487</v>
      </c>
      <c r="B247" s="257" t="s">
        <v>488</v>
      </c>
      <c r="C247" s="258" t="s">
        <v>121</v>
      </c>
      <c r="D247" s="79">
        <v>156.22999999999999</v>
      </c>
      <c r="F247" s="79">
        <v>156.22999999999999</v>
      </c>
      <c r="G247" s="81"/>
      <c r="N247" s="240"/>
      <c r="O247" s="241"/>
      <c r="P247" s="213"/>
    </row>
    <row r="248" spans="1:16" ht="12">
      <c r="A248" s="83" t="s">
        <v>489</v>
      </c>
      <c r="B248" s="257" t="s">
        <v>490</v>
      </c>
      <c r="C248" s="258" t="s">
        <v>121</v>
      </c>
      <c r="D248" s="79">
        <v>154.97</v>
      </c>
      <c r="F248" s="79">
        <v>154.97</v>
      </c>
      <c r="G248" s="81"/>
      <c r="N248" s="240"/>
      <c r="O248" s="241"/>
      <c r="P248" s="213"/>
    </row>
    <row r="249" spans="1:16" ht="12">
      <c r="A249" s="83" t="s">
        <v>491</v>
      </c>
      <c r="B249" s="257" t="s">
        <v>492</v>
      </c>
      <c r="C249" s="258" t="s">
        <v>121</v>
      </c>
      <c r="D249" s="79">
        <v>177.76</v>
      </c>
      <c r="F249" s="79">
        <v>177.76</v>
      </c>
      <c r="G249" s="81"/>
      <c r="N249" s="240"/>
      <c r="O249" s="241"/>
      <c r="P249" s="213"/>
    </row>
    <row r="250" spans="1:16" ht="12">
      <c r="A250" s="83" t="s">
        <v>493</v>
      </c>
      <c r="B250" s="257" t="s">
        <v>494</v>
      </c>
      <c r="C250" s="258" t="s">
        <v>121</v>
      </c>
      <c r="D250" s="79">
        <v>178.9</v>
      </c>
      <c r="F250" s="79">
        <v>178.9</v>
      </c>
      <c r="G250" s="81"/>
      <c r="N250" s="240"/>
      <c r="O250" s="241"/>
      <c r="P250" s="213"/>
    </row>
    <row r="251" spans="1:16" ht="12">
      <c r="A251" s="83" t="s">
        <v>495</v>
      </c>
      <c r="B251" s="257" t="s">
        <v>496</v>
      </c>
      <c r="C251" s="258" t="s">
        <v>121</v>
      </c>
      <c r="D251" s="79">
        <v>161.09</v>
      </c>
      <c r="F251" s="79">
        <v>161.09</v>
      </c>
      <c r="G251" s="81"/>
      <c r="N251" s="240"/>
      <c r="O251" s="241"/>
      <c r="P251" s="213"/>
    </row>
    <row r="252" spans="1:16" ht="12">
      <c r="A252" s="83" t="s">
        <v>497</v>
      </c>
      <c r="B252" s="257" t="s">
        <v>498</v>
      </c>
      <c r="C252" s="258" t="s">
        <v>121</v>
      </c>
      <c r="D252" s="79">
        <v>159.05000000000001</v>
      </c>
      <c r="F252" s="79">
        <v>159.05000000000001</v>
      </c>
      <c r="G252" s="81"/>
      <c r="N252" s="240"/>
      <c r="O252" s="241"/>
      <c r="P252" s="213"/>
    </row>
    <row r="253" spans="1:16" ht="12">
      <c r="A253" s="83" t="s">
        <v>499</v>
      </c>
      <c r="B253" s="257" t="s">
        <v>500</v>
      </c>
      <c r="C253" s="258" t="s">
        <v>207</v>
      </c>
      <c r="D253" s="79">
        <v>7.4</v>
      </c>
      <c r="F253" s="79">
        <v>7.4</v>
      </c>
      <c r="G253" s="81"/>
      <c r="N253" s="240"/>
      <c r="O253" s="241"/>
      <c r="P253" s="213"/>
    </row>
    <row r="254" spans="1:16" ht="12">
      <c r="A254" s="83" t="s">
        <v>501</v>
      </c>
      <c r="B254" s="257" t="s">
        <v>502</v>
      </c>
      <c r="C254" s="258" t="s">
        <v>207</v>
      </c>
      <c r="D254" s="79">
        <v>6.22</v>
      </c>
      <c r="F254" s="79">
        <v>6.22</v>
      </c>
      <c r="G254" s="81"/>
      <c r="N254" s="240"/>
      <c r="O254" s="241"/>
      <c r="P254" s="213"/>
    </row>
    <row r="255" spans="1:16" ht="12">
      <c r="A255" s="83" t="s">
        <v>503</v>
      </c>
      <c r="B255" s="257" t="s">
        <v>504</v>
      </c>
      <c r="C255" s="258" t="s">
        <v>207</v>
      </c>
      <c r="D255" s="79">
        <v>6.81</v>
      </c>
      <c r="F255" s="79">
        <v>6.81</v>
      </c>
      <c r="G255" s="81"/>
      <c r="N255" s="240"/>
      <c r="O255" s="241"/>
      <c r="P255" s="213"/>
    </row>
    <row r="256" spans="1:16" ht="12">
      <c r="A256" s="83" t="s">
        <v>505</v>
      </c>
      <c r="B256" s="257" t="s">
        <v>506</v>
      </c>
      <c r="C256" s="258" t="s">
        <v>207</v>
      </c>
      <c r="D256" s="79">
        <v>7.54</v>
      </c>
      <c r="F256" s="79">
        <v>7.54</v>
      </c>
      <c r="G256" s="81"/>
      <c r="N256" s="240"/>
      <c r="O256" s="241"/>
      <c r="P256" s="213"/>
    </row>
    <row r="257" spans="1:16" ht="24">
      <c r="A257" s="83" t="s">
        <v>507</v>
      </c>
      <c r="B257" s="257" t="s">
        <v>508</v>
      </c>
      <c r="C257" s="258" t="s">
        <v>509</v>
      </c>
      <c r="D257" s="79">
        <v>7.41</v>
      </c>
      <c r="F257" s="79">
        <v>7.41</v>
      </c>
      <c r="G257" s="81"/>
      <c r="N257" s="240"/>
      <c r="O257" s="241"/>
      <c r="P257" s="213"/>
    </row>
    <row r="258" spans="1:16" ht="12">
      <c r="A258" s="83" t="s">
        <v>510</v>
      </c>
      <c r="B258" s="257" t="s">
        <v>511</v>
      </c>
      <c r="C258" s="258" t="s">
        <v>103</v>
      </c>
      <c r="D258" s="79">
        <v>18.100000000000001</v>
      </c>
      <c r="F258" s="79">
        <v>18.100000000000001</v>
      </c>
      <c r="G258" s="81"/>
      <c r="N258" s="240"/>
      <c r="O258" s="241"/>
      <c r="P258" s="213"/>
    </row>
    <row r="259" spans="1:16" ht="36">
      <c r="A259" s="83" t="s">
        <v>512</v>
      </c>
      <c r="B259" s="257" t="s">
        <v>513</v>
      </c>
      <c r="C259" s="258" t="s">
        <v>165</v>
      </c>
      <c r="D259" s="79">
        <v>16.739999999999998</v>
      </c>
      <c r="F259" s="79">
        <v>16.739999999999998</v>
      </c>
      <c r="G259" s="81"/>
      <c r="N259" s="240"/>
      <c r="O259" s="241"/>
      <c r="P259" s="213"/>
    </row>
    <row r="260" spans="1:16" ht="24">
      <c r="A260" s="83" t="s">
        <v>514</v>
      </c>
      <c r="B260" s="257" t="s">
        <v>515</v>
      </c>
      <c r="C260" s="258" t="s">
        <v>103</v>
      </c>
      <c r="D260" s="79">
        <v>3.29</v>
      </c>
      <c r="F260" s="79">
        <v>3.29</v>
      </c>
      <c r="G260" s="81"/>
      <c r="N260" s="240"/>
      <c r="O260" s="241"/>
      <c r="P260" s="213"/>
    </row>
    <row r="261" spans="1:16" ht="12">
      <c r="A261" s="83" t="s">
        <v>516</v>
      </c>
      <c r="B261" s="257" t="s">
        <v>517</v>
      </c>
      <c r="C261" s="258" t="s">
        <v>121</v>
      </c>
      <c r="D261" s="79">
        <v>666.11</v>
      </c>
      <c r="F261" s="79">
        <v>666.11</v>
      </c>
      <c r="G261" s="81"/>
      <c r="N261" s="240"/>
      <c r="O261" s="241"/>
      <c r="P261" s="213"/>
    </row>
    <row r="262" spans="1:16" ht="24">
      <c r="A262" s="83" t="s">
        <v>518</v>
      </c>
      <c r="B262" s="257" t="s">
        <v>28073</v>
      </c>
      <c r="C262" s="258" t="s">
        <v>207</v>
      </c>
      <c r="D262" s="79">
        <v>157.27000000000001</v>
      </c>
      <c r="F262" s="79">
        <v>157.27000000000001</v>
      </c>
      <c r="G262" s="81"/>
      <c r="N262" s="240"/>
      <c r="O262" s="241"/>
      <c r="P262" s="213"/>
    </row>
    <row r="263" spans="1:16" ht="12">
      <c r="A263" s="83" t="s">
        <v>519</v>
      </c>
      <c r="B263" s="257" t="s">
        <v>520</v>
      </c>
      <c r="C263" s="258" t="s">
        <v>103</v>
      </c>
      <c r="D263" s="79">
        <v>25.15</v>
      </c>
      <c r="F263" s="79">
        <v>25.15</v>
      </c>
      <c r="G263" s="81"/>
      <c r="N263" s="240"/>
      <c r="O263" s="241"/>
      <c r="P263" s="213"/>
    </row>
    <row r="264" spans="1:16" ht="12">
      <c r="A264" s="83" t="s">
        <v>41601</v>
      </c>
      <c r="B264" s="257" t="s">
        <v>30000</v>
      </c>
      <c r="C264" s="258" t="s">
        <v>509</v>
      </c>
      <c r="D264" s="79">
        <v>1.46</v>
      </c>
      <c r="F264" s="79">
        <v>1.46</v>
      </c>
      <c r="G264" s="81"/>
      <c r="N264" s="240"/>
      <c r="O264" s="241"/>
      <c r="P264" s="213"/>
    </row>
    <row r="265" spans="1:16" ht="12">
      <c r="A265" s="83" t="s">
        <v>521</v>
      </c>
      <c r="B265" s="257" t="s">
        <v>522</v>
      </c>
      <c r="C265" s="258" t="s">
        <v>103</v>
      </c>
      <c r="D265" s="79">
        <v>32.049999999999997</v>
      </c>
      <c r="F265" s="79">
        <v>32.049999999999997</v>
      </c>
      <c r="G265" s="81"/>
      <c r="N265" s="240"/>
      <c r="O265" s="241"/>
      <c r="P265" s="213"/>
    </row>
    <row r="266" spans="1:16" ht="12">
      <c r="A266" s="83" t="s">
        <v>523</v>
      </c>
      <c r="B266" s="257" t="s">
        <v>524</v>
      </c>
      <c r="C266" s="258" t="s">
        <v>525</v>
      </c>
      <c r="D266" s="79">
        <v>457.13</v>
      </c>
      <c r="F266" s="79">
        <v>457.13</v>
      </c>
      <c r="G266" s="81"/>
      <c r="N266" s="240"/>
      <c r="O266" s="241"/>
      <c r="P266" s="213"/>
    </row>
    <row r="267" spans="1:16" ht="12">
      <c r="A267" s="83" t="s">
        <v>526</v>
      </c>
      <c r="B267" s="257" t="s">
        <v>527</v>
      </c>
      <c r="C267" s="258" t="s">
        <v>525</v>
      </c>
      <c r="D267" s="79">
        <v>39.659999999999997</v>
      </c>
      <c r="F267" s="79">
        <v>39.659999999999997</v>
      </c>
      <c r="G267" s="81"/>
      <c r="N267" s="240"/>
      <c r="O267" s="241"/>
      <c r="P267" s="213"/>
    </row>
    <row r="268" spans="1:16" ht="12">
      <c r="A268" s="83" t="s">
        <v>528</v>
      </c>
      <c r="B268" s="257" t="s">
        <v>529</v>
      </c>
      <c r="C268" s="258" t="s">
        <v>103</v>
      </c>
      <c r="D268" s="79">
        <v>73.41</v>
      </c>
      <c r="F268" s="79">
        <v>73.41</v>
      </c>
      <c r="G268" s="81"/>
      <c r="N268" s="240"/>
      <c r="O268" s="241"/>
      <c r="P268" s="213"/>
    </row>
    <row r="269" spans="1:16" ht="12">
      <c r="A269" s="83" t="s">
        <v>530</v>
      </c>
      <c r="B269" s="257" t="s">
        <v>531</v>
      </c>
      <c r="C269" s="258" t="s">
        <v>525</v>
      </c>
      <c r="D269" s="79">
        <v>613.80999999999995</v>
      </c>
      <c r="F269" s="79">
        <v>613.80999999999995</v>
      </c>
      <c r="G269" s="81"/>
      <c r="N269" s="240"/>
      <c r="O269" s="241"/>
      <c r="P269" s="213"/>
    </row>
    <row r="270" spans="1:16" ht="12">
      <c r="A270" s="83" t="s">
        <v>532</v>
      </c>
      <c r="B270" s="257" t="s">
        <v>533</v>
      </c>
      <c r="C270" s="258" t="s">
        <v>165</v>
      </c>
      <c r="D270" s="79">
        <v>6.78</v>
      </c>
      <c r="F270" s="79">
        <v>6.78</v>
      </c>
      <c r="G270" s="81"/>
      <c r="N270" s="240"/>
      <c r="O270" s="241"/>
      <c r="P270" s="213"/>
    </row>
    <row r="271" spans="1:16" ht="12">
      <c r="A271" s="83" t="s">
        <v>534</v>
      </c>
      <c r="B271" s="257" t="s">
        <v>535</v>
      </c>
      <c r="C271" s="258" t="s">
        <v>165</v>
      </c>
      <c r="D271" s="79">
        <v>0.2</v>
      </c>
      <c r="F271" s="79">
        <v>0.2</v>
      </c>
      <c r="G271" s="81"/>
      <c r="N271" s="240"/>
      <c r="O271" s="241"/>
      <c r="P271" s="213"/>
    </row>
    <row r="272" spans="1:16" ht="24">
      <c r="A272" s="83" t="s">
        <v>536</v>
      </c>
      <c r="B272" s="257" t="s">
        <v>537</v>
      </c>
      <c r="C272" s="258" t="s">
        <v>165</v>
      </c>
      <c r="D272" s="79">
        <v>16.489999999999998</v>
      </c>
      <c r="F272" s="79">
        <v>16.489999999999998</v>
      </c>
      <c r="G272" s="81"/>
      <c r="N272" s="240"/>
      <c r="O272" s="241"/>
      <c r="P272" s="213"/>
    </row>
    <row r="273" spans="1:16" ht="12">
      <c r="A273" s="83" t="s">
        <v>538</v>
      </c>
      <c r="B273" s="257" t="s">
        <v>539</v>
      </c>
      <c r="C273" s="258" t="s">
        <v>103</v>
      </c>
      <c r="D273" s="79">
        <v>17.809999999999999</v>
      </c>
      <c r="F273" s="79">
        <v>17.809999999999999</v>
      </c>
      <c r="G273" s="81"/>
      <c r="N273" s="240"/>
      <c r="O273" s="241"/>
      <c r="P273" s="213"/>
    </row>
    <row r="274" spans="1:16" ht="24">
      <c r="A274" s="83" t="s">
        <v>540</v>
      </c>
      <c r="B274" s="257" t="s">
        <v>28074</v>
      </c>
      <c r="C274" s="258" t="s">
        <v>207</v>
      </c>
      <c r="D274" s="79">
        <v>8.3000000000000007</v>
      </c>
      <c r="F274" s="79">
        <v>8.3000000000000007</v>
      </c>
      <c r="G274" s="81"/>
      <c r="N274" s="240"/>
      <c r="O274" s="241"/>
      <c r="P274" s="213"/>
    </row>
    <row r="275" spans="1:16" ht="12">
      <c r="A275" s="83" t="s">
        <v>541</v>
      </c>
      <c r="B275" s="257" t="s">
        <v>28075</v>
      </c>
      <c r="C275" s="258" t="s">
        <v>153</v>
      </c>
      <c r="D275" s="79">
        <v>5.99</v>
      </c>
      <c r="F275" s="79">
        <v>5.99</v>
      </c>
      <c r="G275" s="81"/>
      <c r="N275" s="240"/>
      <c r="O275" s="241"/>
      <c r="P275" s="213"/>
    </row>
    <row r="276" spans="1:16" ht="12">
      <c r="A276" s="83" t="s">
        <v>542</v>
      </c>
      <c r="B276" s="257" t="s">
        <v>543</v>
      </c>
      <c r="C276" s="258" t="s">
        <v>544</v>
      </c>
      <c r="D276" s="79">
        <v>35.54</v>
      </c>
      <c r="F276" s="79">
        <v>35.54</v>
      </c>
      <c r="G276" s="81"/>
      <c r="N276" s="240"/>
      <c r="O276" s="241"/>
      <c r="P276" s="213"/>
    </row>
    <row r="277" spans="1:16" ht="24">
      <c r="A277" s="83" t="s">
        <v>545</v>
      </c>
      <c r="B277" s="257" t="s">
        <v>546</v>
      </c>
      <c r="C277" s="258" t="s">
        <v>207</v>
      </c>
      <c r="D277" s="79">
        <v>17.559999999999999</v>
      </c>
      <c r="F277" s="79">
        <v>17.559999999999999</v>
      </c>
      <c r="G277" s="81"/>
      <c r="N277" s="240"/>
      <c r="O277" s="241"/>
      <c r="P277" s="213"/>
    </row>
    <row r="278" spans="1:16" ht="12">
      <c r="A278" s="261" t="s">
        <v>547</v>
      </c>
      <c r="B278" s="261" t="s">
        <v>548</v>
      </c>
      <c r="C278" s="266" t="s">
        <v>103</v>
      </c>
      <c r="D278" s="79">
        <v>28.86</v>
      </c>
      <c r="F278" s="518">
        <v>28.86</v>
      </c>
    </row>
    <row r="279" spans="1:16" ht="12">
      <c r="A279" s="83" t="s">
        <v>28076</v>
      </c>
      <c r="B279" s="257" t="s">
        <v>28077</v>
      </c>
      <c r="C279" s="258" t="s">
        <v>207</v>
      </c>
      <c r="D279" s="79">
        <v>25.97</v>
      </c>
      <c r="F279" s="79">
        <v>25.97</v>
      </c>
      <c r="G279" s="81"/>
      <c r="N279" s="240"/>
      <c r="O279" s="241"/>
      <c r="P279" s="213"/>
    </row>
    <row r="280" spans="1:16" ht="12">
      <c r="A280" s="83" t="s">
        <v>549</v>
      </c>
      <c r="B280" s="257" t="s">
        <v>550</v>
      </c>
      <c r="C280" s="258" t="s">
        <v>207</v>
      </c>
      <c r="D280" s="79">
        <v>71</v>
      </c>
      <c r="F280" s="79">
        <v>71</v>
      </c>
      <c r="G280" s="81"/>
      <c r="N280" s="240"/>
      <c r="O280" s="241"/>
      <c r="P280" s="213"/>
    </row>
    <row r="281" spans="1:16" ht="12">
      <c r="A281" s="83" t="s">
        <v>551</v>
      </c>
      <c r="B281" s="257" t="s">
        <v>28078</v>
      </c>
      <c r="C281" s="258" t="s">
        <v>207</v>
      </c>
      <c r="D281" s="79">
        <v>27.65</v>
      </c>
      <c r="F281" s="79">
        <v>27.65</v>
      </c>
      <c r="G281" s="81"/>
      <c r="N281" s="240"/>
      <c r="O281" s="241"/>
      <c r="P281" s="213"/>
    </row>
    <row r="282" spans="1:16" ht="12">
      <c r="A282" s="83" t="s">
        <v>552</v>
      </c>
      <c r="B282" s="257" t="s">
        <v>553</v>
      </c>
      <c r="C282" s="258" t="s">
        <v>207</v>
      </c>
      <c r="D282" s="79">
        <v>73.06</v>
      </c>
      <c r="F282" s="79">
        <v>73.06</v>
      </c>
      <c r="G282" s="81"/>
      <c r="N282" s="240"/>
      <c r="O282" s="241"/>
      <c r="P282" s="213"/>
    </row>
    <row r="283" spans="1:16" ht="12">
      <c r="A283" s="83" t="s">
        <v>554</v>
      </c>
      <c r="B283" s="257" t="s">
        <v>555</v>
      </c>
      <c r="C283" s="258" t="s">
        <v>165</v>
      </c>
      <c r="D283" s="79">
        <v>276.25</v>
      </c>
      <c r="F283" s="79">
        <v>276.25</v>
      </c>
      <c r="G283" s="81"/>
      <c r="N283" s="240"/>
      <c r="O283" s="241"/>
      <c r="P283" s="213"/>
    </row>
    <row r="284" spans="1:16" ht="12">
      <c r="A284" s="83" t="s">
        <v>556</v>
      </c>
      <c r="B284" s="257" t="s">
        <v>557</v>
      </c>
      <c r="C284" s="258" t="s">
        <v>165</v>
      </c>
      <c r="D284" s="79">
        <v>279.41000000000003</v>
      </c>
      <c r="F284" s="79">
        <v>279.41000000000003</v>
      </c>
      <c r="G284" s="81"/>
      <c r="N284" s="240"/>
      <c r="O284" s="241"/>
      <c r="P284" s="213"/>
    </row>
    <row r="285" spans="1:16" ht="12">
      <c r="A285" s="83" t="s">
        <v>558</v>
      </c>
      <c r="B285" s="257" t="s">
        <v>559</v>
      </c>
      <c r="C285" s="258" t="s">
        <v>165</v>
      </c>
      <c r="D285" s="79">
        <v>386.38</v>
      </c>
      <c r="F285" s="79">
        <v>386.38</v>
      </c>
      <c r="G285" s="81"/>
      <c r="N285" s="240"/>
      <c r="O285" s="241"/>
      <c r="P285" s="213"/>
    </row>
    <row r="286" spans="1:16" ht="24">
      <c r="A286" s="83" t="s">
        <v>560</v>
      </c>
      <c r="B286" s="257" t="s">
        <v>561</v>
      </c>
      <c r="C286" s="258" t="s">
        <v>103</v>
      </c>
      <c r="D286" s="79">
        <v>13.55</v>
      </c>
      <c r="F286" s="79">
        <v>13.55</v>
      </c>
      <c r="G286" s="81"/>
      <c r="N286" s="240"/>
      <c r="O286" s="241"/>
      <c r="P286" s="213"/>
    </row>
    <row r="287" spans="1:16" ht="24">
      <c r="A287" s="83" t="s">
        <v>562</v>
      </c>
      <c r="B287" s="257" t="s">
        <v>563</v>
      </c>
      <c r="C287" s="258" t="s">
        <v>103</v>
      </c>
      <c r="D287" s="79">
        <v>25.3</v>
      </c>
      <c r="F287" s="79">
        <v>25.3</v>
      </c>
      <c r="G287" s="81"/>
      <c r="N287" s="240"/>
      <c r="O287" s="241"/>
      <c r="P287" s="213"/>
    </row>
    <row r="288" spans="1:16" ht="24">
      <c r="A288" s="83" t="s">
        <v>564</v>
      </c>
      <c r="B288" s="257" t="s">
        <v>565</v>
      </c>
      <c r="C288" s="258" t="s">
        <v>103</v>
      </c>
      <c r="D288" s="79">
        <v>27.4</v>
      </c>
      <c r="F288" s="79">
        <v>27.4</v>
      </c>
      <c r="G288" s="81"/>
      <c r="N288" s="240"/>
      <c r="O288" s="241"/>
      <c r="P288" s="213"/>
    </row>
    <row r="289" spans="1:16" ht="24">
      <c r="A289" s="83" t="s">
        <v>566</v>
      </c>
      <c r="B289" s="257" t="s">
        <v>567</v>
      </c>
      <c r="C289" s="258" t="s">
        <v>103</v>
      </c>
      <c r="D289" s="79">
        <v>30.02</v>
      </c>
      <c r="F289" s="79">
        <v>30.02</v>
      </c>
      <c r="G289" s="81"/>
      <c r="N289" s="240"/>
      <c r="O289" s="241"/>
      <c r="P289" s="213"/>
    </row>
    <row r="290" spans="1:16" ht="24">
      <c r="A290" s="83" t="s">
        <v>568</v>
      </c>
      <c r="B290" s="257" t="s">
        <v>569</v>
      </c>
      <c r="C290" s="258" t="s">
        <v>103</v>
      </c>
      <c r="D290" s="79">
        <v>15.6</v>
      </c>
      <c r="F290" s="79">
        <v>15.6</v>
      </c>
      <c r="G290" s="81"/>
      <c r="N290" s="240"/>
      <c r="O290" s="241"/>
      <c r="P290" s="213"/>
    </row>
    <row r="291" spans="1:16" ht="24">
      <c r="A291" s="83" t="s">
        <v>570</v>
      </c>
      <c r="B291" s="257" t="s">
        <v>571</v>
      </c>
      <c r="C291" s="258" t="s">
        <v>103</v>
      </c>
      <c r="D291" s="79">
        <v>16.25</v>
      </c>
      <c r="F291" s="79">
        <v>16.25</v>
      </c>
      <c r="G291" s="81"/>
      <c r="N291" s="240"/>
      <c r="O291" s="241"/>
      <c r="P291" s="213"/>
    </row>
    <row r="292" spans="1:16" ht="24">
      <c r="A292" s="83" t="s">
        <v>572</v>
      </c>
      <c r="B292" s="257" t="s">
        <v>573</v>
      </c>
      <c r="C292" s="258" t="s">
        <v>103</v>
      </c>
      <c r="D292" s="79">
        <v>20.92</v>
      </c>
      <c r="F292" s="79">
        <v>20.92</v>
      </c>
      <c r="G292" s="81"/>
      <c r="N292" s="240"/>
      <c r="O292" s="241"/>
      <c r="P292" s="213"/>
    </row>
    <row r="293" spans="1:16" ht="24">
      <c r="A293" s="83" t="s">
        <v>574</v>
      </c>
      <c r="B293" s="257" t="s">
        <v>575</v>
      </c>
      <c r="C293" s="258" t="s">
        <v>103</v>
      </c>
      <c r="D293" s="79">
        <v>21.79</v>
      </c>
      <c r="F293" s="79">
        <v>21.79</v>
      </c>
      <c r="G293" s="81"/>
      <c r="N293" s="240"/>
      <c r="O293" s="241"/>
      <c r="P293" s="213"/>
    </row>
    <row r="294" spans="1:16" ht="24">
      <c r="A294" s="83" t="s">
        <v>576</v>
      </c>
      <c r="B294" s="257" t="s">
        <v>577</v>
      </c>
      <c r="C294" s="258" t="s">
        <v>103</v>
      </c>
      <c r="D294" s="79">
        <v>27.21</v>
      </c>
      <c r="F294" s="79">
        <v>27.21</v>
      </c>
      <c r="G294" s="81"/>
      <c r="N294" s="240"/>
      <c r="O294" s="241"/>
      <c r="P294" s="213"/>
    </row>
    <row r="295" spans="1:16" ht="24">
      <c r="A295" s="83" t="s">
        <v>578</v>
      </c>
      <c r="B295" s="257" t="s">
        <v>579</v>
      </c>
      <c r="C295" s="258" t="s">
        <v>103</v>
      </c>
      <c r="D295" s="79">
        <v>31.29</v>
      </c>
      <c r="F295" s="79">
        <v>31.29</v>
      </c>
      <c r="G295" s="81"/>
      <c r="N295" s="240"/>
      <c r="O295" s="241"/>
      <c r="P295" s="213"/>
    </row>
    <row r="296" spans="1:16" ht="24">
      <c r="A296" s="83" t="s">
        <v>580</v>
      </c>
      <c r="B296" s="257" t="s">
        <v>581</v>
      </c>
      <c r="C296" s="258" t="s">
        <v>103</v>
      </c>
      <c r="D296" s="79">
        <v>36.53</v>
      </c>
      <c r="F296" s="79">
        <v>36.53</v>
      </c>
      <c r="G296" s="81"/>
      <c r="N296" s="240"/>
      <c r="O296" s="241"/>
      <c r="P296" s="213"/>
    </row>
    <row r="297" spans="1:16" ht="12">
      <c r="A297" s="96" t="s">
        <v>582</v>
      </c>
      <c r="B297" s="265" t="s">
        <v>583</v>
      </c>
      <c r="C297" s="212" t="s">
        <v>165</v>
      </c>
      <c r="D297" s="79">
        <v>12772.05</v>
      </c>
      <c r="F297" s="517">
        <v>12772.05</v>
      </c>
    </row>
    <row r="298" spans="1:16" ht="12">
      <c r="A298" s="96" t="s">
        <v>584</v>
      </c>
      <c r="B298" s="265" t="s">
        <v>585</v>
      </c>
      <c r="C298" s="212" t="s">
        <v>165</v>
      </c>
      <c r="D298" s="79">
        <v>7728.28</v>
      </c>
      <c r="F298" s="517">
        <v>7728.28</v>
      </c>
    </row>
    <row r="299" spans="1:16" ht="12">
      <c r="A299" s="83" t="s">
        <v>586</v>
      </c>
      <c r="B299" s="257" t="s">
        <v>587</v>
      </c>
      <c r="C299" s="258" t="s">
        <v>165</v>
      </c>
      <c r="D299" s="79">
        <v>397.97</v>
      </c>
      <c r="F299" s="79">
        <v>397.97</v>
      </c>
      <c r="G299" s="81"/>
      <c r="N299" s="240"/>
      <c r="O299" s="241"/>
      <c r="P299" s="213"/>
    </row>
    <row r="300" spans="1:16" ht="12">
      <c r="A300" s="83" t="s">
        <v>588</v>
      </c>
      <c r="B300" s="257" t="s">
        <v>589</v>
      </c>
      <c r="C300" s="258" t="s">
        <v>165</v>
      </c>
      <c r="D300" s="79">
        <v>270.37</v>
      </c>
      <c r="F300" s="79">
        <v>270.37</v>
      </c>
      <c r="G300" s="81"/>
      <c r="N300" s="240"/>
      <c r="O300" s="241"/>
      <c r="P300" s="213"/>
    </row>
    <row r="301" spans="1:16" ht="12">
      <c r="A301" s="83" t="s">
        <v>590</v>
      </c>
      <c r="B301" s="257" t="s">
        <v>591</v>
      </c>
      <c r="C301" s="258" t="s">
        <v>165</v>
      </c>
      <c r="D301" s="79">
        <v>411.94</v>
      </c>
      <c r="F301" s="79">
        <v>411.94</v>
      </c>
      <c r="G301" s="81"/>
      <c r="N301" s="240"/>
      <c r="O301" s="241"/>
      <c r="P301" s="213"/>
    </row>
    <row r="302" spans="1:16" ht="12">
      <c r="A302" s="83" t="s">
        <v>592</v>
      </c>
      <c r="B302" s="257" t="s">
        <v>593</v>
      </c>
      <c r="C302" s="258" t="s">
        <v>165</v>
      </c>
      <c r="D302" s="79">
        <v>452.54</v>
      </c>
      <c r="F302" s="79">
        <v>452.54</v>
      </c>
      <c r="G302" s="81"/>
      <c r="N302" s="240"/>
      <c r="O302" s="241"/>
      <c r="P302" s="213"/>
    </row>
    <row r="303" spans="1:16" ht="12">
      <c r="A303" s="83" t="s">
        <v>594</v>
      </c>
      <c r="B303" s="257" t="s">
        <v>595</v>
      </c>
      <c r="C303" s="258" t="s">
        <v>108</v>
      </c>
      <c r="D303" s="79">
        <v>443.61</v>
      </c>
      <c r="F303" s="79">
        <v>443.61</v>
      </c>
      <c r="G303" s="81"/>
      <c r="N303" s="240"/>
      <c r="O303" s="241"/>
      <c r="P303" s="213"/>
    </row>
    <row r="304" spans="1:16" ht="24">
      <c r="A304" s="83" t="s">
        <v>596</v>
      </c>
      <c r="B304" s="257" t="s">
        <v>597</v>
      </c>
      <c r="C304" s="71" t="s">
        <v>509</v>
      </c>
      <c r="D304" s="79">
        <v>130.37</v>
      </c>
      <c r="F304" s="79">
        <v>130.37</v>
      </c>
      <c r="G304" s="81"/>
      <c r="N304" s="240"/>
      <c r="O304" s="241"/>
      <c r="P304" s="213"/>
    </row>
    <row r="305" spans="1:16" ht="12">
      <c r="A305" s="83" t="s">
        <v>598</v>
      </c>
      <c r="B305" s="257" t="s">
        <v>599</v>
      </c>
      <c r="C305" s="258" t="s">
        <v>165</v>
      </c>
      <c r="D305" s="79">
        <v>232.22</v>
      </c>
      <c r="F305" s="79">
        <v>232.22</v>
      </c>
      <c r="G305" s="81"/>
      <c r="N305" s="240"/>
      <c r="O305" s="241"/>
      <c r="P305" s="213"/>
    </row>
    <row r="306" spans="1:16" ht="24">
      <c r="A306" s="83" t="s">
        <v>600</v>
      </c>
      <c r="B306" s="257" t="s">
        <v>601</v>
      </c>
      <c r="C306" s="258" t="s">
        <v>108</v>
      </c>
      <c r="D306" s="79">
        <v>231.93</v>
      </c>
      <c r="F306" s="79">
        <v>231.93</v>
      </c>
      <c r="G306" s="81"/>
      <c r="N306" s="240"/>
      <c r="O306" s="241"/>
      <c r="P306" s="213"/>
    </row>
    <row r="307" spans="1:16" ht="12">
      <c r="A307" s="83" t="s">
        <v>602</v>
      </c>
      <c r="B307" s="257" t="s">
        <v>603</v>
      </c>
      <c r="C307" s="258" t="s">
        <v>165</v>
      </c>
      <c r="D307" s="79">
        <v>401.51</v>
      </c>
      <c r="F307" s="79">
        <v>401.51</v>
      </c>
      <c r="G307" s="81"/>
      <c r="N307" s="240"/>
      <c r="O307" s="241"/>
      <c r="P307" s="213"/>
    </row>
    <row r="308" spans="1:16" ht="12">
      <c r="A308" s="83" t="s">
        <v>604</v>
      </c>
      <c r="B308" s="257" t="s">
        <v>605</v>
      </c>
      <c r="C308" s="258" t="s">
        <v>165</v>
      </c>
      <c r="D308" s="79">
        <v>431.64</v>
      </c>
      <c r="F308" s="79">
        <v>431.64</v>
      </c>
      <c r="G308" s="81"/>
      <c r="N308" s="240"/>
      <c r="O308" s="241"/>
      <c r="P308" s="213"/>
    </row>
    <row r="309" spans="1:16" ht="12">
      <c r="A309" s="83" t="s">
        <v>606</v>
      </c>
      <c r="B309" s="257" t="s">
        <v>607</v>
      </c>
      <c r="C309" s="258" t="s">
        <v>165</v>
      </c>
      <c r="D309" s="79">
        <v>579.04999999999995</v>
      </c>
      <c r="F309" s="79">
        <v>579.04999999999995</v>
      </c>
      <c r="G309" s="81"/>
      <c r="N309" s="240"/>
      <c r="O309" s="241"/>
      <c r="P309" s="213"/>
    </row>
    <row r="310" spans="1:16" ht="24">
      <c r="A310" s="83" t="s">
        <v>608</v>
      </c>
      <c r="B310" s="257" t="s">
        <v>609</v>
      </c>
      <c r="C310" s="258" t="s">
        <v>165</v>
      </c>
      <c r="D310" s="79">
        <v>11.91</v>
      </c>
      <c r="F310" s="79">
        <v>11.91</v>
      </c>
      <c r="G310" s="81"/>
      <c r="N310" s="240"/>
      <c r="O310" s="241"/>
      <c r="P310" s="213"/>
    </row>
    <row r="311" spans="1:16" ht="24">
      <c r="A311" s="83" t="s">
        <v>610</v>
      </c>
      <c r="B311" s="257" t="s">
        <v>611</v>
      </c>
      <c r="C311" s="258" t="s">
        <v>509</v>
      </c>
      <c r="D311" s="79">
        <v>16.66</v>
      </c>
      <c r="F311" s="79">
        <v>16.66</v>
      </c>
      <c r="G311" s="81"/>
      <c r="N311" s="240"/>
      <c r="O311" s="241"/>
      <c r="P311" s="213"/>
    </row>
    <row r="312" spans="1:16" ht="12">
      <c r="A312" s="256" t="s">
        <v>32817</v>
      </c>
      <c r="B312" s="261" t="s">
        <v>32818</v>
      </c>
      <c r="C312" s="262" t="s">
        <v>103</v>
      </c>
      <c r="D312" s="79">
        <v>113.04</v>
      </c>
      <c r="F312" s="520">
        <v>113.04</v>
      </c>
      <c r="G312" s="81"/>
      <c r="N312" s="61"/>
      <c r="O312" s="241"/>
      <c r="P312" s="213"/>
    </row>
    <row r="313" spans="1:16" ht="24">
      <c r="A313" s="83" t="s">
        <v>612</v>
      </c>
      <c r="B313" s="257" t="s">
        <v>28079</v>
      </c>
      <c r="C313" s="258" t="s">
        <v>509</v>
      </c>
      <c r="D313" s="79">
        <v>112.31</v>
      </c>
      <c r="F313" s="79">
        <v>112.31</v>
      </c>
      <c r="G313" s="81"/>
      <c r="N313" s="240"/>
      <c r="O313" s="241"/>
      <c r="P313" s="213"/>
    </row>
    <row r="314" spans="1:16" ht="24">
      <c r="A314" s="83" t="s">
        <v>613</v>
      </c>
      <c r="B314" s="257" t="s">
        <v>614</v>
      </c>
      <c r="C314" s="258" t="s">
        <v>509</v>
      </c>
      <c r="D314" s="79">
        <v>119.92</v>
      </c>
      <c r="F314" s="79">
        <v>119.92</v>
      </c>
      <c r="G314" s="81"/>
      <c r="N314" s="240"/>
      <c r="O314" s="241"/>
      <c r="P314" s="213"/>
    </row>
    <row r="315" spans="1:16" ht="12">
      <c r="A315" s="83" t="s">
        <v>615</v>
      </c>
      <c r="B315" s="257" t="s">
        <v>28080</v>
      </c>
      <c r="C315" s="258" t="s">
        <v>121</v>
      </c>
      <c r="D315" s="79">
        <v>448.27</v>
      </c>
      <c r="F315" s="79">
        <v>448.27</v>
      </c>
      <c r="G315" s="81"/>
      <c r="N315" s="240"/>
      <c r="O315" s="241"/>
      <c r="P315" s="213"/>
    </row>
    <row r="316" spans="1:16" ht="12">
      <c r="A316" s="83" t="s">
        <v>616</v>
      </c>
      <c r="B316" s="257" t="s">
        <v>42041</v>
      </c>
      <c r="C316" s="258" t="s">
        <v>121</v>
      </c>
      <c r="D316" s="79">
        <v>532.16999999999996</v>
      </c>
      <c r="F316" s="79">
        <v>532.16999999999996</v>
      </c>
      <c r="G316" s="81"/>
      <c r="N316" s="240"/>
      <c r="O316" s="241"/>
      <c r="P316" s="213"/>
    </row>
    <row r="317" spans="1:16" ht="12">
      <c r="A317" s="83" t="s">
        <v>617</v>
      </c>
      <c r="B317" s="257" t="s">
        <v>28081</v>
      </c>
      <c r="C317" s="258" t="s">
        <v>121</v>
      </c>
      <c r="D317" s="79">
        <v>469.91</v>
      </c>
      <c r="F317" s="79">
        <v>469.91</v>
      </c>
      <c r="G317" s="81"/>
      <c r="N317" s="240"/>
      <c r="O317" s="241"/>
      <c r="P317" s="213"/>
    </row>
    <row r="318" spans="1:16" ht="12">
      <c r="A318" s="83" t="s">
        <v>618</v>
      </c>
      <c r="B318" s="257" t="s">
        <v>28082</v>
      </c>
      <c r="C318" s="258" t="s">
        <v>121</v>
      </c>
      <c r="D318" s="79">
        <v>492.34</v>
      </c>
      <c r="F318" s="79">
        <v>492.34</v>
      </c>
      <c r="G318" s="81"/>
      <c r="N318" s="240"/>
      <c r="O318" s="241"/>
      <c r="P318" s="213"/>
    </row>
    <row r="319" spans="1:16" ht="12">
      <c r="A319" s="83" t="s">
        <v>619</v>
      </c>
      <c r="B319" s="257" t="s">
        <v>28083</v>
      </c>
      <c r="C319" s="258" t="s">
        <v>121</v>
      </c>
      <c r="D319" s="79">
        <v>540.47</v>
      </c>
      <c r="F319" s="79">
        <v>540.47</v>
      </c>
      <c r="G319" s="81"/>
      <c r="N319" s="240"/>
      <c r="O319" s="241"/>
      <c r="P319" s="213"/>
    </row>
    <row r="320" spans="1:16" ht="12">
      <c r="A320" s="83" t="s">
        <v>620</v>
      </c>
      <c r="B320" s="257" t="s">
        <v>28084</v>
      </c>
      <c r="C320" s="258" t="s">
        <v>121</v>
      </c>
      <c r="D320" s="79">
        <v>515.85</v>
      </c>
      <c r="F320" s="79">
        <v>515.85</v>
      </c>
      <c r="G320" s="81"/>
      <c r="N320" s="240"/>
      <c r="O320" s="241"/>
      <c r="P320" s="213"/>
    </row>
    <row r="321" spans="1:16" ht="12">
      <c r="A321" s="83" t="s">
        <v>621</v>
      </c>
      <c r="B321" s="257" t="s">
        <v>28085</v>
      </c>
      <c r="C321" s="258" t="s">
        <v>121</v>
      </c>
      <c r="D321" s="79">
        <v>633.98</v>
      </c>
      <c r="F321" s="79">
        <v>633.98</v>
      </c>
      <c r="G321" s="81"/>
      <c r="N321" s="240"/>
      <c r="O321" s="241"/>
      <c r="P321" s="213"/>
    </row>
    <row r="322" spans="1:16" ht="12">
      <c r="A322" s="83" t="s">
        <v>622</v>
      </c>
      <c r="B322" s="257" t="s">
        <v>28086</v>
      </c>
      <c r="C322" s="258" t="s">
        <v>121</v>
      </c>
      <c r="D322" s="79">
        <v>566.27</v>
      </c>
      <c r="F322" s="79">
        <v>566.27</v>
      </c>
      <c r="G322" s="81"/>
      <c r="N322" s="240"/>
      <c r="O322" s="241"/>
      <c r="P322" s="213"/>
    </row>
    <row r="323" spans="1:16" ht="12">
      <c r="A323" s="83" t="s">
        <v>623</v>
      </c>
      <c r="B323" s="257" t="s">
        <v>28087</v>
      </c>
      <c r="C323" s="258" t="s">
        <v>121</v>
      </c>
      <c r="D323" s="79">
        <v>536.92999999999995</v>
      </c>
      <c r="F323" s="79">
        <v>536.92999999999995</v>
      </c>
      <c r="G323" s="81"/>
      <c r="N323" s="240"/>
      <c r="O323" s="241"/>
      <c r="P323" s="213"/>
    </row>
    <row r="324" spans="1:16" ht="12">
      <c r="A324" s="83" t="s">
        <v>624</v>
      </c>
      <c r="B324" s="257" t="s">
        <v>28088</v>
      </c>
      <c r="C324" s="258" t="s">
        <v>121</v>
      </c>
      <c r="D324" s="79">
        <v>557.41999999999996</v>
      </c>
      <c r="F324" s="79">
        <v>557.41999999999996</v>
      </c>
      <c r="G324" s="81"/>
      <c r="N324" s="240"/>
      <c r="O324" s="241"/>
      <c r="P324" s="213"/>
    </row>
    <row r="325" spans="1:16" ht="12">
      <c r="A325" s="83" t="s">
        <v>625</v>
      </c>
      <c r="B325" s="257" t="s">
        <v>28089</v>
      </c>
      <c r="C325" s="258" t="s">
        <v>121</v>
      </c>
      <c r="D325" s="79">
        <v>605.69000000000005</v>
      </c>
      <c r="F325" s="79">
        <v>605.69000000000005</v>
      </c>
      <c r="G325" s="81"/>
      <c r="N325" s="240"/>
      <c r="O325" s="241"/>
      <c r="P325" s="213"/>
    </row>
    <row r="326" spans="1:16" ht="12">
      <c r="A326" s="83" t="s">
        <v>626</v>
      </c>
      <c r="B326" s="257" t="s">
        <v>28090</v>
      </c>
      <c r="C326" s="258" t="s">
        <v>121</v>
      </c>
      <c r="D326" s="79">
        <v>580.99</v>
      </c>
      <c r="F326" s="79">
        <v>580.99</v>
      </c>
      <c r="G326" s="81"/>
      <c r="N326" s="240"/>
      <c r="O326" s="241"/>
      <c r="P326" s="213"/>
    </row>
    <row r="327" spans="1:16" ht="12">
      <c r="A327" s="256" t="s">
        <v>627</v>
      </c>
      <c r="B327" s="261" t="s">
        <v>628</v>
      </c>
      <c r="C327" s="262" t="s">
        <v>121</v>
      </c>
      <c r="D327" s="79">
        <v>558.47</v>
      </c>
      <c r="F327" s="517">
        <v>558.47</v>
      </c>
    </row>
    <row r="328" spans="1:16" ht="12">
      <c r="A328" s="83" t="s">
        <v>629</v>
      </c>
      <c r="B328" s="257" t="s">
        <v>630</v>
      </c>
      <c r="C328" s="258" t="s">
        <v>121</v>
      </c>
      <c r="D328" s="79">
        <v>592.54</v>
      </c>
      <c r="F328" s="79">
        <v>592.54</v>
      </c>
      <c r="G328" s="81"/>
      <c r="N328" s="240"/>
      <c r="O328" s="241"/>
      <c r="P328" s="213"/>
    </row>
    <row r="329" spans="1:16" ht="12">
      <c r="A329" s="83" t="s">
        <v>631</v>
      </c>
      <c r="B329" s="257" t="s">
        <v>632</v>
      </c>
      <c r="C329" s="258" t="s">
        <v>121</v>
      </c>
      <c r="D329" s="79">
        <v>652</v>
      </c>
      <c r="F329" s="79">
        <v>652</v>
      </c>
      <c r="G329" s="81"/>
      <c r="N329" s="240"/>
      <c r="O329" s="241"/>
      <c r="P329" s="213"/>
    </row>
    <row r="330" spans="1:16" ht="12">
      <c r="A330" s="83" t="s">
        <v>633</v>
      </c>
      <c r="B330" s="257" t="s">
        <v>634</v>
      </c>
      <c r="C330" s="258" t="s">
        <v>121</v>
      </c>
      <c r="D330" s="79">
        <v>676</v>
      </c>
      <c r="F330" s="79">
        <v>676</v>
      </c>
      <c r="G330" s="81"/>
      <c r="N330" s="240"/>
      <c r="O330" s="241"/>
      <c r="P330" s="213"/>
    </row>
    <row r="331" spans="1:16" ht="12">
      <c r="A331" s="83" t="s">
        <v>635</v>
      </c>
      <c r="B331" s="257" t="s">
        <v>636</v>
      </c>
      <c r="C331" s="258" t="s">
        <v>121</v>
      </c>
      <c r="D331" s="79">
        <v>581.53</v>
      </c>
      <c r="F331" s="79">
        <v>581.53</v>
      </c>
      <c r="G331" s="81"/>
      <c r="N331" s="240"/>
      <c r="O331" s="241"/>
      <c r="P331" s="213"/>
    </row>
    <row r="332" spans="1:16" ht="12">
      <c r="A332" s="83" t="s">
        <v>637</v>
      </c>
      <c r="B332" s="257" t="s">
        <v>638</v>
      </c>
      <c r="C332" s="258" t="s">
        <v>121</v>
      </c>
      <c r="D332" s="79">
        <v>63.7</v>
      </c>
      <c r="F332" s="79">
        <v>63.7</v>
      </c>
      <c r="G332" s="81"/>
      <c r="N332" s="240"/>
      <c r="O332" s="241"/>
      <c r="P332" s="213"/>
    </row>
    <row r="333" spans="1:16" ht="12">
      <c r="A333" s="83" t="s">
        <v>639</v>
      </c>
      <c r="B333" s="257" t="s">
        <v>640</v>
      </c>
      <c r="C333" s="258" t="s">
        <v>121</v>
      </c>
      <c r="D333" s="79">
        <v>1147.7</v>
      </c>
      <c r="F333" s="79">
        <v>1147.7</v>
      </c>
      <c r="G333" s="81"/>
      <c r="N333" s="240"/>
      <c r="O333" s="241"/>
      <c r="P333" s="213"/>
    </row>
    <row r="334" spans="1:16" ht="12">
      <c r="A334" s="261" t="s">
        <v>641</v>
      </c>
      <c r="B334" s="261" t="s">
        <v>642</v>
      </c>
      <c r="C334" s="266" t="s">
        <v>509</v>
      </c>
      <c r="D334" s="79">
        <v>68.34</v>
      </c>
      <c r="F334" s="518">
        <v>68.34</v>
      </c>
      <c r="N334" s="133"/>
      <c r="O334" s="236"/>
    </row>
    <row r="335" spans="1:16" ht="12">
      <c r="A335" s="261" t="s">
        <v>643</v>
      </c>
      <c r="B335" s="261" t="s">
        <v>644</v>
      </c>
      <c r="C335" s="266" t="s">
        <v>509</v>
      </c>
      <c r="D335" s="79">
        <v>87.92</v>
      </c>
      <c r="F335" s="518">
        <v>87.92</v>
      </c>
      <c r="N335" s="133"/>
      <c r="O335" s="236"/>
    </row>
    <row r="336" spans="1:16" ht="12">
      <c r="A336" s="261" t="s">
        <v>645</v>
      </c>
      <c r="B336" s="261" t="s">
        <v>646</v>
      </c>
      <c r="C336" s="266" t="s">
        <v>509</v>
      </c>
      <c r="D336" s="79">
        <v>122.96</v>
      </c>
      <c r="F336" s="518">
        <v>122.96</v>
      </c>
      <c r="N336" s="133"/>
      <c r="O336" s="236"/>
    </row>
    <row r="337" spans="1:16" ht="12">
      <c r="A337" s="261" t="s">
        <v>647</v>
      </c>
      <c r="B337" s="261" t="s">
        <v>648</v>
      </c>
      <c r="C337" s="266" t="s">
        <v>509</v>
      </c>
      <c r="D337" s="79">
        <v>136.41</v>
      </c>
      <c r="F337" s="518">
        <v>136.41</v>
      </c>
      <c r="N337" s="133"/>
      <c r="O337" s="236"/>
    </row>
    <row r="338" spans="1:16" ht="12">
      <c r="A338" s="261" t="s">
        <v>649</v>
      </c>
      <c r="B338" s="261" t="s">
        <v>650</v>
      </c>
      <c r="C338" s="266" t="s">
        <v>509</v>
      </c>
      <c r="D338" s="79">
        <v>136.94999999999999</v>
      </c>
      <c r="F338" s="518">
        <v>136.94999999999999</v>
      </c>
      <c r="N338" s="133"/>
      <c r="O338" s="236"/>
    </row>
    <row r="339" spans="1:16" ht="12">
      <c r="A339" s="83" t="s">
        <v>651</v>
      </c>
      <c r="B339" s="257" t="s">
        <v>652</v>
      </c>
      <c r="C339" s="258" t="s">
        <v>509</v>
      </c>
      <c r="D339" s="79">
        <v>91.87</v>
      </c>
      <c r="F339" s="79">
        <v>91.87</v>
      </c>
      <c r="G339" s="81"/>
      <c r="N339" s="240"/>
      <c r="O339" s="241"/>
      <c r="P339" s="213"/>
    </row>
    <row r="340" spans="1:16" ht="12">
      <c r="A340" s="83" t="s">
        <v>653</v>
      </c>
      <c r="B340" s="257" t="s">
        <v>654</v>
      </c>
      <c r="C340" s="258" t="s">
        <v>509</v>
      </c>
      <c r="D340" s="79">
        <v>111.29</v>
      </c>
      <c r="F340" s="79">
        <v>111.29</v>
      </c>
      <c r="G340" s="81"/>
      <c r="N340" s="240"/>
      <c r="O340" s="241"/>
      <c r="P340" s="213"/>
    </row>
    <row r="341" spans="1:16" ht="24">
      <c r="A341" s="83" t="s">
        <v>655</v>
      </c>
      <c r="B341" s="257" t="s">
        <v>656</v>
      </c>
      <c r="C341" s="258" t="s">
        <v>509</v>
      </c>
      <c r="D341" s="79">
        <v>84.62</v>
      </c>
      <c r="F341" s="79">
        <v>84.62</v>
      </c>
      <c r="G341" s="81"/>
      <c r="N341" s="240"/>
      <c r="O341" s="241"/>
      <c r="P341" s="213"/>
    </row>
    <row r="342" spans="1:16" ht="24">
      <c r="A342" s="83" t="s">
        <v>657</v>
      </c>
      <c r="B342" s="257" t="s">
        <v>658</v>
      </c>
      <c r="C342" s="258" t="s">
        <v>509</v>
      </c>
      <c r="D342" s="79">
        <v>180.3</v>
      </c>
      <c r="F342" s="79">
        <v>180.3</v>
      </c>
      <c r="G342" s="81"/>
      <c r="N342" s="240"/>
      <c r="O342" s="241"/>
      <c r="P342" s="213"/>
    </row>
    <row r="343" spans="1:16" ht="24">
      <c r="A343" s="83" t="s">
        <v>659</v>
      </c>
      <c r="B343" s="257" t="s">
        <v>660</v>
      </c>
      <c r="C343" s="258" t="s">
        <v>509</v>
      </c>
      <c r="D343" s="79">
        <v>110.83</v>
      </c>
      <c r="F343" s="79">
        <v>110.83</v>
      </c>
      <c r="G343" s="81"/>
      <c r="N343" s="240"/>
      <c r="O343" s="241"/>
      <c r="P343" s="213"/>
    </row>
    <row r="344" spans="1:16" ht="24">
      <c r="A344" s="83" t="s">
        <v>661</v>
      </c>
      <c r="B344" s="257" t="s">
        <v>662</v>
      </c>
      <c r="C344" s="258" t="s">
        <v>509</v>
      </c>
      <c r="D344" s="79">
        <v>99.23</v>
      </c>
      <c r="F344" s="79">
        <v>99.23</v>
      </c>
      <c r="G344" s="81"/>
      <c r="N344" s="240"/>
      <c r="O344" s="241"/>
      <c r="P344" s="213"/>
    </row>
    <row r="345" spans="1:16" ht="12">
      <c r="A345" s="83" t="s">
        <v>663</v>
      </c>
      <c r="B345" s="257" t="s">
        <v>664</v>
      </c>
      <c r="C345" s="258" t="s">
        <v>509</v>
      </c>
      <c r="D345" s="79">
        <v>125.76</v>
      </c>
      <c r="F345" s="79">
        <v>125.76</v>
      </c>
      <c r="G345" s="81"/>
      <c r="N345" s="240"/>
      <c r="O345" s="241"/>
      <c r="P345" s="213"/>
    </row>
    <row r="346" spans="1:16" ht="12">
      <c r="A346" s="83" t="s">
        <v>665</v>
      </c>
      <c r="B346" s="257" t="s">
        <v>666</v>
      </c>
      <c r="C346" s="258" t="s">
        <v>509</v>
      </c>
      <c r="D346" s="79">
        <v>47.19</v>
      </c>
      <c r="F346" s="79">
        <v>47.19</v>
      </c>
      <c r="G346" s="81"/>
      <c r="N346" s="240"/>
      <c r="O346" s="241"/>
      <c r="P346" s="213"/>
    </row>
    <row r="347" spans="1:16" ht="12">
      <c r="A347" s="83" t="s">
        <v>667</v>
      </c>
      <c r="B347" s="257" t="s">
        <v>668</v>
      </c>
      <c r="C347" s="258" t="s">
        <v>509</v>
      </c>
      <c r="D347" s="79">
        <v>54.28</v>
      </c>
      <c r="F347" s="79">
        <v>54.28</v>
      </c>
      <c r="G347" s="81"/>
      <c r="N347" s="240"/>
      <c r="O347" s="241"/>
      <c r="P347" s="213"/>
    </row>
    <row r="348" spans="1:16" ht="12">
      <c r="A348" s="83" t="s">
        <v>669</v>
      </c>
      <c r="B348" s="257" t="s">
        <v>670</v>
      </c>
      <c r="C348" s="258" t="s">
        <v>509</v>
      </c>
      <c r="D348" s="79">
        <v>83.54</v>
      </c>
      <c r="F348" s="79">
        <v>83.54</v>
      </c>
      <c r="G348" s="81"/>
      <c r="N348" s="240"/>
      <c r="O348" s="241"/>
      <c r="P348" s="213"/>
    </row>
    <row r="349" spans="1:16" ht="12">
      <c r="A349" s="83" t="s">
        <v>671</v>
      </c>
      <c r="B349" s="257" t="s">
        <v>672</v>
      </c>
      <c r="C349" s="258" t="s">
        <v>509</v>
      </c>
      <c r="D349" s="79">
        <v>91.04</v>
      </c>
      <c r="F349" s="79">
        <v>91.04</v>
      </c>
      <c r="G349" s="81"/>
      <c r="N349" s="240"/>
      <c r="O349" s="241"/>
      <c r="P349" s="213"/>
    </row>
    <row r="350" spans="1:16" ht="12">
      <c r="A350" s="83" t="s">
        <v>673</v>
      </c>
      <c r="B350" s="257" t="s">
        <v>674</v>
      </c>
      <c r="C350" s="258" t="s">
        <v>509</v>
      </c>
      <c r="D350" s="79">
        <v>110.65</v>
      </c>
      <c r="F350" s="79">
        <v>110.65</v>
      </c>
      <c r="G350" s="81"/>
      <c r="N350" s="240"/>
      <c r="O350" s="241"/>
      <c r="P350" s="213"/>
    </row>
    <row r="351" spans="1:16" ht="12">
      <c r="A351" s="83" t="s">
        <v>675</v>
      </c>
      <c r="B351" s="257" t="s">
        <v>676</v>
      </c>
      <c r="C351" s="258" t="s">
        <v>509</v>
      </c>
      <c r="D351" s="79">
        <v>125.16</v>
      </c>
      <c r="F351" s="79">
        <v>125.16</v>
      </c>
      <c r="G351" s="81"/>
      <c r="N351" s="240"/>
      <c r="O351" s="241"/>
      <c r="P351" s="213"/>
    </row>
    <row r="352" spans="1:16" ht="12">
      <c r="A352" s="83" t="s">
        <v>677</v>
      </c>
      <c r="B352" s="257" t="s">
        <v>678</v>
      </c>
      <c r="C352" s="258" t="s">
        <v>509</v>
      </c>
      <c r="D352" s="79">
        <v>86.81</v>
      </c>
      <c r="F352" s="79">
        <v>86.81</v>
      </c>
      <c r="G352" s="81"/>
      <c r="N352" s="240"/>
      <c r="O352" s="241"/>
      <c r="P352" s="213"/>
    </row>
    <row r="353" spans="1:16" ht="12">
      <c r="A353" s="83" t="s">
        <v>679</v>
      </c>
      <c r="B353" s="257" t="s">
        <v>680</v>
      </c>
      <c r="C353" s="258" t="s">
        <v>509</v>
      </c>
      <c r="D353" s="79">
        <v>90.6</v>
      </c>
      <c r="F353" s="79">
        <v>90.6</v>
      </c>
      <c r="G353" s="81"/>
      <c r="N353" s="240"/>
      <c r="O353" s="241"/>
      <c r="P353" s="213"/>
    </row>
    <row r="354" spans="1:16" ht="24">
      <c r="A354" s="83" t="s">
        <v>681</v>
      </c>
      <c r="B354" s="257" t="s">
        <v>682</v>
      </c>
      <c r="C354" s="258" t="s">
        <v>103</v>
      </c>
      <c r="D354" s="79">
        <v>14.64</v>
      </c>
      <c r="F354" s="79">
        <v>14.64</v>
      </c>
      <c r="G354" s="81"/>
      <c r="N354" s="240"/>
      <c r="O354" s="241"/>
      <c r="P354" s="213"/>
    </row>
    <row r="355" spans="1:16" ht="24">
      <c r="A355" s="83" t="s">
        <v>683</v>
      </c>
      <c r="B355" s="257" t="s">
        <v>684</v>
      </c>
      <c r="C355" s="258" t="s">
        <v>103</v>
      </c>
      <c r="D355" s="79">
        <v>16.72</v>
      </c>
      <c r="F355" s="79">
        <v>16.72</v>
      </c>
      <c r="G355" s="81"/>
      <c r="N355" s="240"/>
      <c r="O355" s="241"/>
      <c r="P355" s="213"/>
    </row>
    <row r="356" spans="1:16" ht="24">
      <c r="A356" s="256" t="s">
        <v>685</v>
      </c>
      <c r="B356" s="64" t="s">
        <v>686</v>
      </c>
      <c r="C356" s="71" t="s">
        <v>103</v>
      </c>
      <c r="D356" s="79">
        <v>17.899999999999999</v>
      </c>
      <c r="F356" s="79">
        <v>17.899999999999999</v>
      </c>
    </row>
    <row r="357" spans="1:16" ht="12">
      <c r="A357" s="83" t="s">
        <v>687</v>
      </c>
      <c r="B357" s="257" t="s">
        <v>688</v>
      </c>
      <c r="C357" s="258" t="s">
        <v>103</v>
      </c>
      <c r="D357" s="79">
        <v>3.56</v>
      </c>
      <c r="F357" s="79">
        <v>3.56</v>
      </c>
      <c r="G357" s="81"/>
      <c r="N357" s="240"/>
      <c r="O357" s="241"/>
      <c r="P357" s="213"/>
    </row>
    <row r="358" spans="1:16" ht="12">
      <c r="A358" s="83" t="s">
        <v>689</v>
      </c>
      <c r="B358" s="257" t="s">
        <v>690</v>
      </c>
      <c r="C358" s="258" t="s">
        <v>103</v>
      </c>
      <c r="D358" s="79">
        <v>4.37</v>
      </c>
      <c r="F358" s="79">
        <v>4.37</v>
      </c>
      <c r="G358" s="81"/>
      <c r="N358" s="240"/>
      <c r="O358" s="241"/>
      <c r="P358" s="213"/>
    </row>
    <row r="359" spans="1:16" ht="12">
      <c r="A359" s="83" t="s">
        <v>691</v>
      </c>
      <c r="B359" s="257" t="s">
        <v>692</v>
      </c>
      <c r="C359" s="258" t="s">
        <v>103</v>
      </c>
      <c r="D359" s="79">
        <v>5.69</v>
      </c>
      <c r="F359" s="79">
        <v>5.69</v>
      </c>
      <c r="G359" s="81"/>
      <c r="N359" s="240"/>
      <c r="O359" s="241"/>
      <c r="P359" s="213"/>
    </row>
    <row r="360" spans="1:16" ht="12">
      <c r="A360" s="83" t="s">
        <v>693</v>
      </c>
      <c r="B360" s="257" t="s">
        <v>28091</v>
      </c>
      <c r="C360" s="258" t="s">
        <v>103</v>
      </c>
      <c r="D360" s="79">
        <v>5.28</v>
      </c>
      <c r="F360" s="79">
        <v>5.28</v>
      </c>
      <c r="G360" s="81"/>
      <c r="N360" s="240"/>
      <c r="O360" s="241"/>
      <c r="P360" s="213"/>
    </row>
    <row r="361" spans="1:16" ht="12">
      <c r="A361" s="83" t="s">
        <v>694</v>
      </c>
      <c r="B361" s="257" t="s">
        <v>28092</v>
      </c>
      <c r="C361" s="258" t="s">
        <v>103</v>
      </c>
      <c r="D361" s="79">
        <v>6.04</v>
      </c>
      <c r="F361" s="79">
        <v>6.04</v>
      </c>
      <c r="G361" s="81"/>
      <c r="N361" s="240"/>
      <c r="O361" s="241"/>
      <c r="P361" s="213"/>
    </row>
    <row r="362" spans="1:16" ht="12">
      <c r="A362" s="83" t="s">
        <v>695</v>
      </c>
      <c r="B362" s="257" t="s">
        <v>28093</v>
      </c>
      <c r="C362" s="258" t="s">
        <v>103</v>
      </c>
      <c r="D362" s="79">
        <v>5.58</v>
      </c>
      <c r="F362" s="79">
        <v>5.58</v>
      </c>
      <c r="G362" s="81"/>
      <c r="N362" s="240"/>
      <c r="O362" s="241"/>
      <c r="P362" s="213"/>
    </row>
    <row r="363" spans="1:16" ht="12">
      <c r="A363" s="83" t="s">
        <v>696</v>
      </c>
      <c r="B363" s="257" t="s">
        <v>28094</v>
      </c>
      <c r="C363" s="258" t="s">
        <v>103</v>
      </c>
      <c r="D363" s="79">
        <v>7.5</v>
      </c>
      <c r="F363" s="79">
        <v>7.5</v>
      </c>
      <c r="G363" s="81"/>
      <c r="N363" s="240"/>
      <c r="O363" s="241"/>
      <c r="P363" s="213"/>
    </row>
    <row r="364" spans="1:16" ht="24">
      <c r="A364" s="83" t="s">
        <v>697</v>
      </c>
      <c r="B364" s="257" t="s">
        <v>29745</v>
      </c>
      <c r="C364" s="258" t="s">
        <v>103</v>
      </c>
      <c r="D364" s="79">
        <v>49.22</v>
      </c>
      <c r="F364" s="79">
        <v>49.22</v>
      </c>
      <c r="G364" s="81"/>
      <c r="N364" s="240"/>
      <c r="O364" s="241"/>
      <c r="P364" s="213"/>
    </row>
    <row r="365" spans="1:16" ht="24">
      <c r="A365" s="83" t="s">
        <v>698</v>
      </c>
      <c r="B365" s="257" t="s">
        <v>699</v>
      </c>
      <c r="C365" s="258" t="s">
        <v>103</v>
      </c>
      <c r="D365" s="79">
        <v>21.84</v>
      </c>
      <c r="F365" s="79">
        <v>21.84</v>
      </c>
      <c r="G365" s="81"/>
      <c r="N365" s="240"/>
      <c r="O365" s="241"/>
      <c r="P365" s="213"/>
    </row>
    <row r="366" spans="1:16" ht="24">
      <c r="A366" s="83" t="s">
        <v>700</v>
      </c>
      <c r="B366" s="257" t="s">
        <v>701</v>
      </c>
      <c r="C366" s="258" t="s">
        <v>103</v>
      </c>
      <c r="D366" s="79">
        <v>83.65</v>
      </c>
      <c r="F366" s="79">
        <v>83.65</v>
      </c>
      <c r="G366" s="81"/>
      <c r="N366" s="240"/>
      <c r="O366" s="241"/>
      <c r="P366" s="213"/>
    </row>
    <row r="367" spans="1:16" ht="12">
      <c r="A367" s="83" t="s">
        <v>702</v>
      </c>
      <c r="B367" s="257" t="s">
        <v>703</v>
      </c>
      <c r="C367" s="258" t="s">
        <v>103</v>
      </c>
      <c r="D367" s="79">
        <v>21.79</v>
      </c>
      <c r="F367" s="79">
        <v>21.79</v>
      </c>
      <c r="G367" s="81"/>
      <c r="N367" s="240"/>
      <c r="O367" s="241"/>
      <c r="P367" s="213"/>
    </row>
    <row r="368" spans="1:16" ht="24">
      <c r="A368" s="83" t="s">
        <v>704</v>
      </c>
      <c r="B368" s="257" t="s">
        <v>705</v>
      </c>
      <c r="C368" s="258" t="s">
        <v>103</v>
      </c>
      <c r="D368" s="79">
        <v>532.49</v>
      </c>
      <c r="F368" s="79">
        <v>532.49</v>
      </c>
      <c r="G368" s="81"/>
      <c r="N368" s="240"/>
      <c r="O368" s="241"/>
      <c r="P368" s="213"/>
    </row>
    <row r="369" spans="1:16" ht="24">
      <c r="A369" s="83" t="s">
        <v>706</v>
      </c>
      <c r="B369" s="64" t="s">
        <v>707</v>
      </c>
      <c r="C369" s="134" t="s">
        <v>103</v>
      </c>
      <c r="D369" s="79">
        <v>609.55999999999995</v>
      </c>
      <c r="F369" s="79">
        <v>609.55999999999995</v>
      </c>
      <c r="G369" s="81"/>
      <c r="N369" s="240"/>
      <c r="O369" s="241"/>
      <c r="P369" s="213"/>
    </row>
    <row r="370" spans="1:16" ht="24">
      <c r="A370" s="83" t="s">
        <v>708</v>
      </c>
      <c r="B370" s="64" t="s">
        <v>29746</v>
      </c>
      <c r="C370" s="134" t="s">
        <v>103</v>
      </c>
      <c r="D370" s="79">
        <v>987.44</v>
      </c>
      <c r="F370" s="79">
        <v>987.44</v>
      </c>
      <c r="G370" s="81"/>
      <c r="N370" s="240"/>
      <c r="O370" s="241"/>
      <c r="P370" s="213"/>
    </row>
    <row r="371" spans="1:16" ht="12">
      <c r="A371" s="83" t="s">
        <v>709</v>
      </c>
      <c r="B371" s="257" t="s">
        <v>710</v>
      </c>
      <c r="C371" s="258" t="s">
        <v>103</v>
      </c>
      <c r="D371" s="79">
        <v>81.16</v>
      </c>
      <c r="F371" s="79">
        <v>81.16</v>
      </c>
      <c r="G371" s="81"/>
      <c r="N371" s="240"/>
      <c r="O371" s="241"/>
      <c r="P371" s="213"/>
    </row>
    <row r="372" spans="1:16" ht="12">
      <c r="A372" s="83" t="s">
        <v>711</v>
      </c>
      <c r="B372" s="257" t="s">
        <v>28095</v>
      </c>
      <c r="C372" s="258" t="s">
        <v>103</v>
      </c>
      <c r="D372" s="79">
        <v>57.26</v>
      </c>
      <c r="F372" s="79">
        <v>57.26</v>
      </c>
      <c r="G372" s="81"/>
      <c r="N372" s="240"/>
      <c r="O372" s="241"/>
      <c r="P372" s="213"/>
    </row>
    <row r="373" spans="1:16" ht="12">
      <c r="A373" s="83" t="s">
        <v>712</v>
      </c>
      <c r="B373" s="257" t="s">
        <v>713</v>
      </c>
      <c r="C373" s="258" t="s">
        <v>103</v>
      </c>
      <c r="D373" s="79">
        <v>78.78</v>
      </c>
      <c r="F373" s="79">
        <v>78.78</v>
      </c>
      <c r="G373" s="81"/>
      <c r="N373" s="240"/>
      <c r="O373" s="241"/>
      <c r="P373" s="213"/>
    </row>
    <row r="374" spans="1:16" ht="24">
      <c r="A374" s="83" t="s">
        <v>714</v>
      </c>
      <c r="B374" s="257" t="s">
        <v>715</v>
      </c>
      <c r="C374" s="258" t="s">
        <v>509</v>
      </c>
      <c r="D374" s="79">
        <v>80.31</v>
      </c>
      <c r="F374" s="79">
        <v>80.31</v>
      </c>
      <c r="G374" s="81"/>
      <c r="N374" s="240"/>
      <c r="O374" s="241"/>
      <c r="P374" s="213"/>
    </row>
    <row r="375" spans="1:16" ht="12">
      <c r="A375" s="83" t="s">
        <v>716</v>
      </c>
      <c r="B375" s="257" t="s">
        <v>717</v>
      </c>
      <c r="C375" s="258" t="s">
        <v>509</v>
      </c>
      <c r="D375" s="79">
        <v>84.62</v>
      </c>
      <c r="F375" s="79">
        <v>84.62</v>
      </c>
      <c r="G375" s="81"/>
      <c r="N375" s="240"/>
      <c r="O375" s="241"/>
      <c r="P375" s="213"/>
    </row>
    <row r="376" spans="1:16" ht="24">
      <c r="A376" s="261" t="s">
        <v>718</v>
      </c>
      <c r="B376" s="261" t="s">
        <v>719</v>
      </c>
      <c r="C376" s="266" t="s">
        <v>509</v>
      </c>
      <c r="D376" s="79">
        <v>85.18</v>
      </c>
      <c r="F376" s="518">
        <v>85.18</v>
      </c>
      <c r="N376" s="133"/>
      <c r="O376" s="236"/>
    </row>
    <row r="377" spans="1:16" ht="24">
      <c r="A377" s="261" t="s">
        <v>28096</v>
      </c>
      <c r="B377" s="261" t="s">
        <v>28097</v>
      </c>
      <c r="C377" s="266" t="s">
        <v>509</v>
      </c>
      <c r="D377" s="79">
        <v>116.49</v>
      </c>
      <c r="F377" s="518">
        <v>116.49</v>
      </c>
      <c r="N377" s="133"/>
      <c r="O377" s="236"/>
    </row>
    <row r="378" spans="1:16" ht="12">
      <c r="A378" s="83" t="s">
        <v>720</v>
      </c>
      <c r="B378" s="257" t="s">
        <v>721</v>
      </c>
      <c r="C378" s="258" t="s">
        <v>509</v>
      </c>
      <c r="D378" s="79">
        <v>92.94</v>
      </c>
      <c r="F378" s="79">
        <v>92.94</v>
      </c>
      <c r="G378" s="81"/>
      <c r="N378" s="240"/>
      <c r="O378" s="241"/>
      <c r="P378" s="213"/>
    </row>
    <row r="379" spans="1:16" ht="12">
      <c r="A379" s="83" t="s">
        <v>722</v>
      </c>
      <c r="B379" s="257" t="s">
        <v>723</v>
      </c>
      <c r="C379" s="258" t="s">
        <v>509</v>
      </c>
      <c r="D379" s="79">
        <v>114.11</v>
      </c>
      <c r="F379" s="79">
        <v>114.11</v>
      </c>
      <c r="G379" s="81"/>
      <c r="N379" s="240"/>
      <c r="O379" s="241"/>
      <c r="P379" s="213"/>
    </row>
    <row r="380" spans="1:16" ht="12">
      <c r="A380" s="83" t="s">
        <v>724</v>
      </c>
      <c r="B380" s="257" t="s">
        <v>725</v>
      </c>
      <c r="C380" s="258" t="s">
        <v>509</v>
      </c>
      <c r="D380" s="79">
        <v>140.18</v>
      </c>
      <c r="F380" s="79">
        <v>140.18</v>
      </c>
      <c r="G380" s="81"/>
      <c r="N380" s="240"/>
      <c r="O380" s="241"/>
      <c r="P380" s="213"/>
    </row>
    <row r="381" spans="1:16" ht="12">
      <c r="A381" s="83" t="s">
        <v>726</v>
      </c>
      <c r="B381" s="257" t="s">
        <v>727</v>
      </c>
      <c r="C381" s="258" t="s">
        <v>509</v>
      </c>
      <c r="D381" s="79">
        <v>180.21</v>
      </c>
      <c r="F381" s="79">
        <v>180.21</v>
      </c>
      <c r="G381" s="81"/>
      <c r="N381" s="240"/>
      <c r="O381" s="241"/>
      <c r="P381" s="213"/>
    </row>
    <row r="382" spans="1:16" ht="12">
      <c r="A382" s="83" t="s">
        <v>728</v>
      </c>
      <c r="B382" s="257" t="s">
        <v>729</v>
      </c>
      <c r="C382" s="258" t="s">
        <v>103</v>
      </c>
      <c r="D382" s="79">
        <v>58.26</v>
      </c>
      <c r="F382" s="79">
        <v>58.26</v>
      </c>
      <c r="G382" s="81"/>
      <c r="N382" s="240"/>
      <c r="O382" s="241"/>
      <c r="P382" s="213"/>
    </row>
    <row r="383" spans="1:16" ht="12">
      <c r="A383" s="83" t="s">
        <v>730</v>
      </c>
      <c r="B383" s="257" t="s">
        <v>731</v>
      </c>
      <c r="C383" s="258" t="s">
        <v>103</v>
      </c>
      <c r="D383" s="79">
        <v>151.25</v>
      </c>
      <c r="F383" s="79">
        <v>151.25</v>
      </c>
      <c r="G383" s="81"/>
      <c r="N383" s="240"/>
      <c r="O383" s="241"/>
      <c r="P383" s="213"/>
    </row>
    <row r="384" spans="1:16" ht="24">
      <c r="A384" s="67" t="s">
        <v>732</v>
      </c>
      <c r="B384" s="65" t="s">
        <v>733</v>
      </c>
      <c r="C384" s="71" t="s">
        <v>165</v>
      </c>
      <c r="D384" s="79">
        <v>67.790000000000006</v>
      </c>
      <c r="F384" s="79">
        <v>67.790000000000006</v>
      </c>
      <c r="G384" s="81"/>
      <c r="N384" s="133"/>
      <c r="O384" s="241"/>
      <c r="P384" s="213"/>
    </row>
    <row r="385" spans="1:16" ht="24">
      <c r="A385" s="83" t="s">
        <v>734</v>
      </c>
      <c r="B385" s="257" t="s">
        <v>29747</v>
      </c>
      <c r="C385" s="258" t="s">
        <v>509</v>
      </c>
      <c r="D385" s="79">
        <v>81.33</v>
      </c>
      <c r="F385" s="79">
        <v>81.33</v>
      </c>
      <c r="G385" s="81"/>
      <c r="N385" s="240"/>
      <c r="O385" s="241"/>
      <c r="P385" s="213"/>
    </row>
    <row r="386" spans="1:16" ht="12">
      <c r="A386" s="83" t="s">
        <v>735</v>
      </c>
      <c r="B386" s="257" t="s">
        <v>736</v>
      </c>
      <c r="C386" s="258" t="s">
        <v>165</v>
      </c>
      <c r="D386" s="79">
        <v>36.11</v>
      </c>
      <c r="F386" s="79">
        <v>36.11</v>
      </c>
      <c r="G386" s="81"/>
      <c r="N386" s="240"/>
      <c r="O386" s="241"/>
      <c r="P386" s="213"/>
    </row>
    <row r="387" spans="1:16" ht="12">
      <c r="A387" s="83" t="s">
        <v>737</v>
      </c>
      <c r="B387" s="257" t="s">
        <v>738</v>
      </c>
      <c r="C387" s="258" t="s">
        <v>165</v>
      </c>
      <c r="D387" s="79">
        <v>39.81</v>
      </c>
      <c r="F387" s="79">
        <v>39.81</v>
      </c>
      <c r="G387" s="81"/>
      <c r="N387" s="240"/>
      <c r="O387" s="241"/>
      <c r="P387" s="213"/>
    </row>
    <row r="388" spans="1:16" ht="24">
      <c r="A388" s="83" t="s">
        <v>739</v>
      </c>
      <c r="B388" s="257" t="s">
        <v>28098</v>
      </c>
      <c r="C388" s="258" t="s">
        <v>509</v>
      </c>
      <c r="D388" s="79">
        <v>111.51</v>
      </c>
      <c r="F388" s="79">
        <v>111.51</v>
      </c>
      <c r="G388" s="81"/>
      <c r="N388" s="240"/>
      <c r="O388" s="241"/>
      <c r="P388" s="213"/>
    </row>
    <row r="389" spans="1:16" ht="24">
      <c r="A389" s="256" t="s">
        <v>740</v>
      </c>
      <c r="B389" s="64" t="s">
        <v>741</v>
      </c>
      <c r="C389" s="71" t="s">
        <v>509</v>
      </c>
      <c r="D389" s="79">
        <v>170.19</v>
      </c>
      <c r="F389" s="79">
        <v>170.19</v>
      </c>
    </row>
    <row r="390" spans="1:16" ht="12">
      <c r="A390" s="83" t="s">
        <v>742</v>
      </c>
      <c r="B390" s="257" t="s">
        <v>743</v>
      </c>
      <c r="C390" s="258" t="s">
        <v>509</v>
      </c>
      <c r="D390" s="79">
        <v>140.19</v>
      </c>
      <c r="F390" s="79">
        <v>140.19</v>
      </c>
      <c r="G390" s="81"/>
      <c r="N390" s="240"/>
      <c r="O390" s="241"/>
      <c r="P390" s="213"/>
    </row>
    <row r="391" spans="1:16" ht="12">
      <c r="A391" s="83" t="s">
        <v>744</v>
      </c>
      <c r="B391" s="257" t="s">
        <v>745</v>
      </c>
      <c r="C391" s="258" t="s">
        <v>165</v>
      </c>
      <c r="D391" s="79">
        <v>25.1</v>
      </c>
      <c r="F391" s="79">
        <v>25.1</v>
      </c>
      <c r="G391" s="81"/>
      <c r="N391" s="240"/>
      <c r="O391" s="241"/>
      <c r="P391" s="213"/>
    </row>
    <row r="392" spans="1:16" ht="12">
      <c r="A392" s="83" t="s">
        <v>746</v>
      </c>
      <c r="B392" s="257" t="s">
        <v>747</v>
      </c>
      <c r="C392" s="258" t="s">
        <v>165</v>
      </c>
      <c r="D392" s="79">
        <v>62.28</v>
      </c>
      <c r="F392" s="79">
        <v>62.28</v>
      </c>
      <c r="G392" s="81"/>
      <c r="N392" s="240"/>
      <c r="O392" s="241"/>
      <c r="P392" s="213"/>
    </row>
    <row r="393" spans="1:16" ht="12">
      <c r="A393" s="83" t="s">
        <v>748</v>
      </c>
      <c r="B393" s="257" t="s">
        <v>749</v>
      </c>
      <c r="C393" s="258" t="s">
        <v>165</v>
      </c>
      <c r="D393" s="79">
        <v>13.31</v>
      </c>
      <c r="F393" s="79">
        <v>13.31</v>
      </c>
      <c r="G393" s="81"/>
      <c r="N393" s="240"/>
      <c r="O393" s="241"/>
      <c r="P393" s="213"/>
    </row>
    <row r="394" spans="1:16" ht="24">
      <c r="A394" s="83" t="s">
        <v>750</v>
      </c>
      <c r="B394" s="257" t="s">
        <v>751</v>
      </c>
      <c r="C394" s="258" t="s">
        <v>121</v>
      </c>
      <c r="D394" s="79">
        <v>3937.54</v>
      </c>
      <c r="F394" s="79">
        <v>3937.54</v>
      </c>
      <c r="G394" s="81"/>
      <c r="N394" s="240"/>
      <c r="O394" s="241"/>
      <c r="P394" s="213"/>
    </row>
    <row r="395" spans="1:16" ht="12">
      <c r="A395" s="83" t="s">
        <v>752</v>
      </c>
      <c r="B395" s="257" t="s">
        <v>753</v>
      </c>
      <c r="C395" s="258" t="s">
        <v>165</v>
      </c>
      <c r="D395" s="79">
        <v>22.76</v>
      </c>
      <c r="F395" s="79">
        <v>22.76</v>
      </c>
      <c r="G395" s="81"/>
      <c r="N395" s="240"/>
      <c r="O395" s="241"/>
      <c r="P395" s="213"/>
    </row>
    <row r="396" spans="1:16" ht="12">
      <c r="A396" s="83" t="s">
        <v>754</v>
      </c>
      <c r="B396" s="257" t="s">
        <v>755</v>
      </c>
      <c r="C396" s="258" t="s">
        <v>165</v>
      </c>
      <c r="D396" s="79">
        <v>3.55</v>
      </c>
      <c r="F396" s="79">
        <v>3.55</v>
      </c>
      <c r="G396" s="81"/>
      <c r="N396" s="240"/>
      <c r="O396" s="241"/>
      <c r="P396" s="213"/>
    </row>
    <row r="397" spans="1:16" ht="12">
      <c r="A397" s="83" t="s">
        <v>756</v>
      </c>
      <c r="B397" s="257" t="s">
        <v>757</v>
      </c>
      <c r="C397" s="258" t="s">
        <v>165</v>
      </c>
      <c r="D397" s="79">
        <v>7.82</v>
      </c>
      <c r="F397" s="79">
        <v>7.82</v>
      </c>
      <c r="G397" s="81"/>
      <c r="N397" s="240"/>
      <c r="O397" s="241"/>
      <c r="P397" s="213"/>
    </row>
    <row r="398" spans="1:16" ht="12">
      <c r="A398" s="83" t="s">
        <v>758</v>
      </c>
      <c r="B398" s="257" t="s">
        <v>759</v>
      </c>
      <c r="C398" s="258" t="s">
        <v>165</v>
      </c>
      <c r="D398" s="79">
        <v>5.8</v>
      </c>
      <c r="F398" s="79">
        <v>5.8</v>
      </c>
      <c r="G398" s="81"/>
      <c r="N398" s="240"/>
      <c r="O398" s="241"/>
      <c r="P398" s="213"/>
    </row>
    <row r="399" spans="1:16" ht="12">
      <c r="A399" s="83" t="s">
        <v>760</v>
      </c>
      <c r="B399" s="257" t="s">
        <v>761</v>
      </c>
      <c r="C399" s="258" t="s">
        <v>509</v>
      </c>
      <c r="D399" s="79">
        <v>110.72</v>
      </c>
      <c r="F399" s="79">
        <v>110.72</v>
      </c>
      <c r="G399" s="81"/>
      <c r="N399" s="240"/>
      <c r="O399" s="241"/>
      <c r="P399" s="213"/>
    </row>
    <row r="400" spans="1:16" ht="12">
      <c r="A400" s="83" t="s">
        <v>762</v>
      </c>
      <c r="B400" s="257" t="s">
        <v>763</v>
      </c>
      <c r="C400" s="258" t="s">
        <v>121</v>
      </c>
      <c r="D400" s="79">
        <v>4719.1499999999996</v>
      </c>
      <c r="F400" s="79">
        <v>4719.1499999999996</v>
      </c>
      <c r="G400" s="81"/>
      <c r="N400" s="240"/>
      <c r="O400" s="241"/>
      <c r="P400" s="213"/>
    </row>
    <row r="401" spans="1:16" ht="12">
      <c r="A401" s="83" t="s">
        <v>764</v>
      </c>
      <c r="B401" s="257" t="s">
        <v>765</v>
      </c>
      <c r="C401" s="258" t="s">
        <v>165</v>
      </c>
      <c r="D401" s="79">
        <v>41.82</v>
      </c>
      <c r="F401" s="79">
        <v>41.82</v>
      </c>
      <c r="G401" s="81"/>
      <c r="N401" s="240"/>
      <c r="O401" s="241"/>
      <c r="P401" s="213"/>
    </row>
    <row r="402" spans="1:16" ht="24">
      <c r="A402" s="83" t="s">
        <v>766</v>
      </c>
      <c r="B402" s="257" t="s">
        <v>767</v>
      </c>
      <c r="C402" s="258" t="s">
        <v>165</v>
      </c>
      <c r="D402" s="79">
        <v>3.22</v>
      </c>
      <c r="F402" s="79">
        <v>3.22</v>
      </c>
      <c r="G402" s="81"/>
      <c r="N402" s="240"/>
      <c r="O402" s="241"/>
      <c r="P402" s="213"/>
    </row>
    <row r="403" spans="1:16" ht="12">
      <c r="A403" s="83" t="s">
        <v>768</v>
      </c>
      <c r="B403" s="257" t="s">
        <v>769</v>
      </c>
      <c r="C403" s="258" t="s">
        <v>165</v>
      </c>
      <c r="D403" s="79">
        <v>4.1900000000000004</v>
      </c>
      <c r="F403" s="79">
        <v>4.1900000000000004</v>
      </c>
      <c r="G403" s="81"/>
      <c r="N403" s="240"/>
      <c r="O403" s="241"/>
      <c r="P403" s="213"/>
    </row>
    <row r="404" spans="1:16" ht="12">
      <c r="A404" s="83" t="s">
        <v>770</v>
      </c>
      <c r="B404" s="257" t="s">
        <v>29748</v>
      </c>
      <c r="C404" s="258" t="s">
        <v>103</v>
      </c>
      <c r="D404" s="79">
        <v>102.08</v>
      </c>
      <c r="F404" s="79">
        <v>102.08</v>
      </c>
      <c r="G404" s="81"/>
      <c r="N404" s="240"/>
      <c r="O404" s="241"/>
      <c r="P404" s="213"/>
    </row>
    <row r="405" spans="1:16" ht="12">
      <c r="A405" s="83" t="s">
        <v>771</v>
      </c>
      <c r="B405" s="257" t="s">
        <v>29749</v>
      </c>
      <c r="C405" s="258" t="s">
        <v>103</v>
      </c>
      <c r="D405" s="79">
        <v>120.67</v>
      </c>
      <c r="F405" s="79">
        <v>120.67</v>
      </c>
      <c r="G405" s="81"/>
      <c r="N405" s="240"/>
      <c r="O405" s="241"/>
      <c r="P405" s="213"/>
    </row>
    <row r="406" spans="1:16" ht="24">
      <c r="A406" s="83" t="s">
        <v>772</v>
      </c>
      <c r="B406" s="257" t="s">
        <v>773</v>
      </c>
      <c r="C406" s="258" t="s">
        <v>165</v>
      </c>
      <c r="D406" s="79">
        <v>19.079999999999998</v>
      </c>
      <c r="F406" s="79">
        <v>19.079999999999998</v>
      </c>
      <c r="G406" s="81"/>
      <c r="N406" s="240"/>
      <c r="O406" s="241"/>
      <c r="P406" s="213"/>
    </row>
    <row r="407" spans="1:16" ht="24">
      <c r="A407" s="83" t="s">
        <v>774</v>
      </c>
      <c r="B407" s="257" t="s">
        <v>775</v>
      </c>
      <c r="C407" s="258" t="s">
        <v>165</v>
      </c>
      <c r="D407" s="79">
        <v>43.68</v>
      </c>
      <c r="F407" s="79">
        <v>43.68</v>
      </c>
      <c r="G407" s="81"/>
      <c r="N407" s="240"/>
      <c r="O407" s="241"/>
      <c r="P407" s="213"/>
    </row>
    <row r="408" spans="1:16" ht="12">
      <c r="A408" s="83" t="s">
        <v>776</v>
      </c>
      <c r="B408" s="257" t="s">
        <v>777</v>
      </c>
      <c r="C408" s="258" t="s">
        <v>509</v>
      </c>
      <c r="D408" s="79">
        <v>15.3</v>
      </c>
      <c r="F408" s="79">
        <v>15.3</v>
      </c>
      <c r="G408" s="81"/>
      <c r="N408" s="240"/>
      <c r="O408" s="241"/>
      <c r="P408" s="213"/>
    </row>
    <row r="409" spans="1:16" ht="12">
      <c r="A409" s="83" t="s">
        <v>778</v>
      </c>
      <c r="B409" s="257" t="s">
        <v>779</v>
      </c>
      <c r="C409" s="258" t="s">
        <v>509</v>
      </c>
      <c r="D409" s="79">
        <v>24.06</v>
      </c>
      <c r="F409" s="79">
        <v>24.06</v>
      </c>
      <c r="G409" s="81"/>
      <c r="N409" s="240"/>
      <c r="O409" s="241"/>
      <c r="P409" s="213"/>
    </row>
    <row r="410" spans="1:16" ht="12">
      <c r="A410" s="83" t="s">
        <v>780</v>
      </c>
      <c r="B410" s="257" t="s">
        <v>781</v>
      </c>
      <c r="C410" s="258" t="s">
        <v>509</v>
      </c>
      <c r="D410" s="79">
        <v>28.48</v>
      </c>
      <c r="F410" s="79">
        <v>28.48</v>
      </c>
      <c r="G410" s="81"/>
      <c r="N410" s="240"/>
      <c r="O410" s="241"/>
      <c r="P410" s="213"/>
    </row>
    <row r="411" spans="1:16" ht="12">
      <c r="A411" s="83" t="s">
        <v>782</v>
      </c>
      <c r="B411" s="257" t="s">
        <v>783</v>
      </c>
      <c r="C411" s="258" t="s">
        <v>509</v>
      </c>
      <c r="D411" s="79">
        <v>39.270000000000003</v>
      </c>
      <c r="F411" s="79">
        <v>39.270000000000003</v>
      </c>
      <c r="G411" s="81"/>
      <c r="N411" s="240"/>
      <c r="O411" s="241"/>
      <c r="P411" s="213"/>
    </row>
    <row r="412" spans="1:16" ht="12">
      <c r="A412" s="83" t="s">
        <v>784</v>
      </c>
      <c r="B412" s="257" t="s">
        <v>785</v>
      </c>
      <c r="C412" s="258" t="s">
        <v>509</v>
      </c>
      <c r="D412" s="79">
        <v>56.87</v>
      </c>
      <c r="F412" s="79">
        <v>56.87</v>
      </c>
      <c r="G412" s="81"/>
      <c r="N412" s="240"/>
      <c r="O412" s="241"/>
      <c r="P412" s="213"/>
    </row>
    <row r="413" spans="1:16" ht="12">
      <c r="A413" s="83" t="s">
        <v>786</v>
      </c>
      <c r="B413" s="257" t="s">
        <v>787</v>
      </c>
      <c r="C413" s="258" t="s">
        <v>509</v>
      </c>
      <c r="D413" s="79">
        <v>117.56</v>
      </c>
      <c r="F413" s="79">
        <v>117.56</v>
      </c>
      <c r="G413" s="81"/>
      <c r="N413" s="240"/>
      <c r="O413" s="241"/>
      <c r="P413" s="213"/>
    </row>
    <row r="414" spans="1:16" ht="12">
      <c r="A414" s="83" t="s">
        <v>788</v>
      </c>
      <c r="B414" s="257" t="s">
        <v>789</v>
      </c>
      <c r="C414" s="258" t="s">
        <v>509</v>
      </c>
      <c r="D414" s="79">
        <v>33.82</v>
      </c>
      <c r="F414" s="79">
        <v>33.82</v>
      </c>
      <c r="G414" s="81"/>
      <c r="N414" s="240"/>
      <c r="O414" s="241"/>
      <c r="P414" s="213"/>
    </row>
    <row r="415" spans="1:16" ht="12">
      <c r="A415" s="63" t="s">
        <v>790</v>
      </c>
      <c r="B415" s="257" t="s">
        <v>791</v>
      </c>
      <c r="C415" s="258" t="s">
        <v>792</v>
      </c>
      <c r="D415" s="79">
        <v>339.63</v>
      </c>
      <c r="F415" s="79">
        <v>339.63</v>
      </c>
      <c r="G415" s="81"/>
      <c r="N415" s="61"/>
      <c r="O415" s="241"/>
      <c r="P415" s="213"/>
    </row>
    <row r="416" spans="1:16" ht="24">
      <c r="A416" s="83" t="s">
        <v>793</v>
      </c>
      <c r="B416" s="257" t="s">
        <v>794</v>
      </c>
      <c r="C416" s="258" t="s">
        <v>165</v>
      </c>
      <c r="D416" s="79">
        <v>6.59</v>
      </c>
      <c r="F416" s="79">
        <v>6.59</v>
      </c>
      <c r="G416" s="81"/>
      <c r="N416" s="240"/>
      <c r="O416" s="241"/>
      <c r="P416" s="213"/>
    </row>
    <row r="417" spans="1:16" ht="12">
      <c r="A417" s="83" t="s">
        <v>795</v>
      </c>
      <c r="B417" s="257" t="s">
        <v>796</v>
      </c>
      <c r="C417" s="258" t="s">
        <v>509</v>
      </c>
      <c r="D417" s="79">
        <v>435.4</v>
      </c>
      <c r="F417" s="79">
        <v>435.4</v>
      </c>
      <c r="G417" s="81"/>
      <c r="N417" s="240"/>
      <c r="O417" s="241"/>
      <c r="P417" s="213"/>
    </row>
    <row r="418" spans="1:16" ht="12">
      <c r="A418" s="83" t="s">
        <v>797</v>
      </c>
      <c r="B418" s="257" t="s">
        <v>798</v>
      </c>
      <c r="C418" s="258" t="s">
        <v>509</v>
      </c>
      <c r="D418" s="79">
        <v>925.02</v>
      </c>
      <c r="F418" s="79">
        <v>925.02</v>
      </c>
      <c r="G418" s="81"/>
      <c r="N418" s="240"/>
      <c r="O418" s="241"/>
      <c r="P418" s="213"/>
    </row>
    <row r="419" spans="1:16" ht="36">
      <c r="A419" s="83" t="s">
        <v>799</v>
      </c>
      <c r="B419" s="257" t="s">
        <v>800</v>
      </c>
      <c r="C419" s="258" t="s">
        <v>103</v>
      </c>
      <c r="D419" s="79">
        <v>627.58000000000004</v>
      </c>
      <c r="F419" s="79">
        <v>627.58000000000004</v>
      </c>
      <c r="G419" s="81"/>
      <c r="N419" s="240"/>
      <c r="O419" s="241"/>
      <c r="P419" s="213"/>
    </row>
    <row r="420" spans="1:16" ht="36">
      <c r="A420" s="83" t="s">
        <v>801</v>
      </c>
      <c r="B420" s="257" t="s">
        <v>802</v>
      </c>
      <c r="C420" s="258" t="s">
        <v>103</v>
      </c>
      <c r="D420" s="79">
        <v>627.58000000000004</v>
      </c>
      <c r="F420" s="79">
        <v>627.58000000000004</v>
      </c>
      <c r="G420" s="81"/>
      <c r="N420" s="240"/>
      <c r="O420" s="241"/>
      <c r="P420" s="213"/>
    </row>
    <row r="421" spans="1:16" ht="36">
      <c r="A421" s="83" t="s">
        <v>803</v>
      </c>
      <c r="B421" s="257" t="s">
        <v>804</v>
      </c>
      <c r="C421" s="258" t="s">
        <v>103</v>
      </c>
      <c r="D421" s="79">
        <v>645.22</v>
      </c>
      <c r="F421" s="79">
        <v>645.22</v>
      </c>
      <c r="G421" s="81"/>
      <c r="N421" s="240"/>
      <c r="O421" s="241"/>
      <c r="P421" s="213"/>
    </row>
    <row r="422" spans="1:16" ht="36">
      <c r="A422" s="83" t="s">
        <v>805</v>
      </c>
      <c r="B422" s="257" t="s">
        <v>806</v>
      </c>
      <c r="C422" s="258" t="s">
        <v>103</v>
      </c>
      <c r="D422" s="79">
        <v>627.58000000000004</v>
      </c>
      <c r="F422" s="79">
        <v>627.58000000000004</v>
      </c>
      <c r="G422" s="81"/>
      <c r="N422" s="240"/>
      <c r="O422" s="241"/>
      <c r="P422" s="213"/>
    </row>
    <row r="423" spans="1:16" ht="36">
      <c r="A423" s="83" t="s">
        <v>807</v>
      </c>
      <c r="B423" s="257" t="s">
        <v>808</v>
      </c>
      <c r="C423" s="258" t="s">
        <v>103</v>
      </c>
      <c r="D423" s="79">
        <v>779.61</v>
      </c>
      <c r="F423" s="79">
        <v>779.61</v>
      </c>
      <c r="G423" s="81"/>
      <c r="N423" s="240"/>
      <c r="O423" s="241"/>
      <c r="P423" s="213"/>
    </row>
    <row r="424" spans="1:16" ht="36">
      <c r="A424" s="83" t="s">
        <v>809</v>
      </c>
      <c r="B424" s="257" t="s">
        <v>810</v>
      </c>
      <c r="C424" s="258" t="s">
        <v>103</v>
      </c>
      <c r="D424" s="79">
        <v>817.04</v>
      </c>
      <c r="F424" s="79">
        <v>817.04</v>
      </c>
      <c r="G424" s="81"/>
      <c r="N424" s="240"/>
      <c r="O424" s="241"/>
      <c r="P424" s="213"/>
    </row>
    <row r="425" spans="1:16" ht="36">
      <c r="A425" s="83" t="s">
        <v>811</v>
      </c>
      <c r="B425" s="257" t="s">
        <v>812</v>
      </c>
      <c r="C425" s="258" t="s">
        <v>103</v>
      </c>
      <c r="D425" s="79">
        <v>913.27</v>
      </c>
      <c r="F425" s="79">
        <v>913.27</v>
      </c>
      <c r="G425" s="81"/>
      <c r="N425" s="240"/>
      <c r="O425" s="241"/>
      <c r="P425" s="213"/>
    </row>
    <row r="426" spans="1:16" ht="12">
      <c r="A426" s="83" t="s">
        <v>813</v>
      </c>
      <c r="B426" s="257" t="s">
        <v>814</v>
      </c>
      <c r="C426" s="258" t="s">
        <v>509</v>
      </c>
      <c r="D426" s="79">
        <v>132.41</v>
      </c>
      <c r="F426" s="79">
        <v>132.41</v>
      </c>
      <c r="G426" s="81"/>
      <c r="N426" s="240"/>
      <c r="O426" s="241"/>
      <c r="P426" s="213"/>
    </row>
    <row r="427" spans="1:16" ht="12">
      <c r="A427" s="67" t="s">
        <v>815</v>
      </c>
      <c r="B427" s="65" t="s">
        <v>816</v>
      </c>
      <c r="C427" s="71" t="s">
        <v>103</v>
      </c>
      <c r="D427" s="79">
        <v>238.1</v>
      </c>
      <c r="F427" s="79">
        <v>238.1</v>
      </c>
      <c r="G427" s="81"/>
      <c r="N427" s="133"/>
      <c r="O427" s="241"/>
      <c r="P427" s="213"/>
    </row>
    <row r="428" spans="1:16" ht="12">
      <c r="A428" s="67" t="s">
        <v>817</v>
      </c>
      <c r="B428" s="65" t="s">
        <v>818</v>
      </c>
      <c r="C428" s="71" t="s">
        <v>103</v>
      </c>
      <c r="D428" s="79">
        <v>246.92</v>
      </c>
      <c r="F428" s="79">
        <v>246.92</v>
      </c>
      <c r="G428" s="81"/>
      <c r="N428" s="133"/>
      <c r="O428" s="241"/>
      <c r="P428" s="213"/>
    </row>
    <row r="429" spans="1:16" ht="12">
      <c r="A429" s="67" t="s">
        <v>819</v>
      </c>
      <c r="B429" s="65" t="s">
        <v>820</v>
      </c>
      <c r="C429" s="71" t="s">
        <v>103</v>
      </c>
      <c r="D429" s="79">
        <v>279.11</v>
      </c>
      <c r="F429" s="79">
        <v>279.11</v>
      </c>
      <c r="G429" s="81"/>
      <c r="N429" s="133"/>
      <c r="O429" s="241"/>
      <c r="P429" s="213"/>
    </row>
    <row r="430" spans="1:16" ht="12">
      <c r="A430" s="83" t="s">
        <v>821</v>
      </c>
      <c r="B430" s="257" t="s">
        <v>822</v>
      </c>
      <c r="C430" s="258" t="s">
        <v>103</v>
      </c>
      <c r="D430" s="79">
        <v>193.88</v>
      </c>
      <c r="F430" s="79">
        <v>193.88</v>
      </c>
      <c r="G430" s="81"/>
      <c r="N430" s="240"/>
      <c r="O430" s="241"/>
      <c r="P430" s="213"/>
    </row>
    <row r="431" spans="1:16" ht="12">
      <c r="A431" s="83" t="s">
        <v>823</v>
      </c>
      <c r="B431" s="257" t="s">
        <v>824</v>
      </c>
      <c r="C431" s="258" t="s">
        <v>103</v>
      </c>
      <c r="D431" s="79">
        <v>318.33999999999997</v>
      </c>
      <c r="F431" s="79">
        <v>318.33999999999997</v>
      </c>
      <c r="G431" s="81"/>
      <c r="N431" s="240"/>
      <c r="O431" s="241"/>
      <c r="P431" s="213"/>
    </row>
    <row r="432" spans="1:16" ht="12">
      <c r="A432" s="83" t="s">
        <v>825</v>
      </c>
      <c r="B432" s="257" t="s">
        <v>826</v>
      </c>
      <c r="C432" s="258" t="s">
        <v>103</v>
      </c>
      <c r="D432" s="79">
        <v>33.729999999999997</v>
      </c>
      <c r="F432" s="79">
        <v>33.729999999999997</v>
      </c>
      <c r="G432" s="81"/>
      <c r="N432" s="240"/>
      <c r="O432" s="241"/>
      <c r="P432" s="213"/>
    </row>
    <row r="433" spans="1:16" ht="12">
      <c r="A433" s="83" t="s">
        <v>827</v>
      </c>
      <c r="B433" s="257" t="s">
        <v>828</v>
      </c>
      <c r="C433" s="258" t="s">
        <v>103</v>
      </c>
      <c r="D433" s="79">
        <v>992.69</v>
      </c>
      <c r="F433" s="79">
        <v>992.69</v>
      </c>
      <c r="G433" s="81"/>
      <c r="N433" s="240"/>
      <c r="O433" s="241"/>
      <c r="P433" s="213"/>
    </row>
    <row r="434" spans="1:16" ht="12">
      <c r="A434" s="83" t="s">
        <v>829</v>
      </c>
      <c r="B434" s="257" t="s">
        <v>830</v>
      </c>
      <c r="C434" s="258" t="s">
        <v>103</v>
      </c>
      <c r="D434" s="79">
        <v>1071.08</v>
      </c>
      <c r="F434" s="79">
        <v>1071.08</v>
      </c>
      <c r="G434" s="81"/>
      <c r="N434" s="240"/>
      <c r="O434" s="241"/>
      <c r="P434" s="213"/>
    </row>
    <row r="435" spans="1:16" ht="12">
      <c r="A435" s="83" t="s">
        <v>831</v>
      </c>
      <c r="B435" s="257" t="s">
        <v>832</v>
      </c>
      <c r="C435" s="258" t="s">
        <v>103</v>
      </c>
      <c r="D435" s="79">
        <v>1186.04</v>
      </c>
      <c r="F435" s="79">
        <v>1186.04</v>
      </c>
      <c r="G435" s="81"/>
      <c r="N435" s="240"/>
      <c r="O435" s="241"/>
      <c r="P435" s="213"/>
    </row>
    <row r="436" spans="1:16" ht="12">
      <c r="A436" s="83" t="s">
        <v>833</v>
      </c>
      <c r="B436" s="257" t="s">
        <v>834</v>
      </c>
      <c r="C436" s="258" t="s">
        <v>103</v>
      </c>
      <c r="D436" s="79">
        <v>1196.1600000000001</v>
      </c>
      <c r="F436" s="79">
        <v>1196.1600000000001</v>
      </c>
      <c r="G436" s="81"/>
      <c r="N436" s="240"/>
      <c r="O436" s="241"/>
      <c r="P436" s="213"/>
    </row>
    <row r="437" spans="1:16" ht="12">
      <c r="A437" s="256" t="s">
        <v>29996</v>
      </c>
      <c r="B437" s="261" t="s">
        <v>29997</v>
      </c>
      <c r="C437" s="262" t="s">
        <v>509</v>
      </c>
      <c r="D437" s="79">
        <v>632.89</v>
      </c>
      <c r="F437" s="520">
        <v>632.89</v>
      </c>
    </row>
    <row r="438" spans="1:16" ht="12">
      <c r="A438" s="83" t="s">
        <v>835</v>
      </c>
      <c r="B438" s="257" t="s">
        <v>836</v>
      </c>
      <c r="C438" s="258" t="s">
        <v>103</v>
      </c>
      <c r="D438" s="79">
        <v>239.13</v>
      </c>
      <c r="F438" s="79">
        <v>239.13</v>
      </c>
      <c r="G438" s="81"/>
      <c r="N438" s="240"/>
      <c r="O438" s="241"/>
      <c r="P438" s="213"/>
    </row>
    <row r="439" spans="1:16" ht="12">
      <c r="A439" s="83" t="s">
        <v>837</v>
      </c>
      <c r="B439" s="257" t="s">
        <v>838</v>
      </c>
      <c r="C439" s="258" t="s">
        <v>103</v>
      </c>
      <c r="D439" s="79">
        <v>236.84</v>
      </c>
      <c r="F439" s="79">
        <v>236.84</v>
      </c>
      <c r="G439" s="81"/>
      <c r="N439" s="240"/>
      <c r="O439" s="241"/>
      <c r="P439" s="213"/>
    </row>
    <row r="440" spans="1:16" ht="12">
      <c r="A440" s="83" t="s">
        <v>839</v>
      </c>
      <c r="B440" s="257" t="s">
        <v>840</v>
      </c>
      <c r="C440" s="258" t="s">
        <v>103</v>
      </c>
      <c r="D440" s="79">
        <v>243.29</v>
      </c>
      <c r="F440" s="79">
        <v>243.29</v>
      </c>
      <c r="G440" s="81"/>
      <c r="N440" s="240"/>
      <c r="O440" s="241"/>
      <c r="P440" s="213"/>
    </row>
    <row r="441" spans="1:16" ht="12">
      <c r="A441" s="83" t="s">
        <v>841</v>
      </c>
      <c r="B441" s="257" t="s">
        <v>842</v>
      </c>
      <c r="C441" s="258" t="s">
        <v>103</v>
      </c>
      <c r="D441" s="79">
        <v>272.47000000000003</v>
      </c>
      <c r="F441" s="79">
        <v>272.47000000000003</v>
      </c>
      <c r="G441" s="81"/>
      <c r="N441" s="240"/>
      <c r="O441" s="241"/>
      <c r="P441" s="213"/>
    </row>
    <row r="442" spans="1:16" ht="12">
      <c r="A442" s="83" t="s">
        <v>843</v>
      </c>
      <c r="B442" s="257" t="s">
        <v>844</v>
      </c>
      <c r="C442" s="258" t="s">
        <v>103</v>
      </c>
      <c r="D442" s="79">
        <v>1095.6199999999999</v>
      </c>
      <c r="F442" s="79">
        <v>1095.6199999999999</v>
      </c>
      <c r="G442" s="81"/>
      <c r="N442" s="240"/>
      <c r="O442" s="241"/>
      <c r="P442" s="213"/>
    </row>
    <row r="443" spans="1:16" ht="12">
      <c r="A443" s="83" t="s">
        <v>845</v>
      </c>
      <c r="B443" s="257" t="s">
        <v>846</v>
      </c>
      <c r="C443" s="258" t="s">
        <v>103</v>
      </c>
      <c r="D443" s="79">
        <v>1109.67</v>
      </c>
      <c r="F443" s="79">
        <v>1109.67</v>
      </c>
      <c r="G443" s="81"/>
      <c r="N443" s="240"/>
      <c r="O443" s="241"/>
      <c r="P443" s="213"/>
    </row>
    <row r="444" spans="1:16" ht="12">
      <c r="A444" s="83" t="s">
        <v>847</v>
      </c>
      <c r="B444" s="257" t="s">
        <v>848</v>
      </c>
      <c r="C444" s="258" t="s">
        <v>103</v>
      </c>
      <c r="D444" s="79">
        <v>1214.05</v>
      </c>
      <c r="F444" s="79">
        <v>1214.05</v>
      </c>
      <c r="G444" s="81"/>
      <c r="N444" s="240"/>
      <c r="O444" s="241"/>
      <c r="P444" s="213"/>
    </row>
    <row r="445" spans="1:16" ht="12">
      <c r="A445" s="83" t="s">
        <v>849</v>
      </c>
      <c r="B445" s="257" t="s">
        <v>850</v>
      </c>
      <c r="C445" s="258" t="s">
        <v>103</v>
      </c>
      <c r="D445" s="79">
        <v>1086.3699999999999</v>
      </c>
      <c r="F445" s="79">
        <v>1086.3699999999999</v>
      </c>
      <c r="G445" s="81"/>
      <c r="N445" s="240"/>
      <c r="O445" s="241"/>
      <c r="P445" s="213"/>
    </row>
    <row r="446" spans="1:16" ht="12">
      <c r="A446" s="83" t="s">
        <v>851</v>
      </c>
      <c r="B446" s="257" t="s">
        <v>28099</v>
      </c>
      <c r="C446" s="258" t="s">
        <v>103</v>
      </c>
      <c r="D446" s="79">
        <v>468.16</v>
      </c>
      <c r="F446" s="79">
        <v>468.16</v>
      </c>
      <c r="G446" s="81"/>
      <c r="N446" s="240"/>
      <c r="O446" s="241"/>
      <c r="P446" s="213"/>
    </row>
    <row r="447" spans="1:16" ht="12">
      <c r="A447" s="83" t="s">
        <v>852</v>
      </c>
      <c r="B447" s="257" t="s">
        <v>853</v>
      </c>
      <c r="C447" s="258" t="s">
        <v>509</v>
      </c>
      <c r="D447" s="79">
        <v>98.37</v>
      </c>
      <c r="F447" s="79">
        <v>98.37</v>
      </c>
      <c r="G447" s="81"/>
      <c r="N447" s="240"/>
      <c r="O447" s="241"/>
      <c r="P447" s="213"/>
    </row>
    <row r="448" spans="1:16" ht="12">
      <c r="A448" s="83" t="s">
        <v>854</v>
      </c>
      <c r="B448" s="257" t="s">
        <v>855</v>
      </c>
      <c r="C448" s="258" t="s">
        <v>165</v>
      </c>
      <c r="D448" s="79">
        <v>12.52</v>
      </c>
      <c r="F448" s="79">
        <v>12.52</v>
      </c>
      <c r="G448" s="81"/>
      <c r="N448" s="240"/>
      <c r="O448" s="241"/>
      <c r="P448" s="213"/>
    </row>
    <row r="449" spans="1:16" ht="24">
      <c r="A449" s="83" t="s">
        <v>856</v>
      </c>
      <c r="B449" s="257" t="s">
        <v>857</v>
      </c>
      <c r="C449" s="258" t="s">
        <v>165</v>
      </c>
      <c r="D449" s="79">
        <v>290.58999999999997</v>
      </c>
      <c r="F449" s="79">
        <v>290.58999999999997</v>
      </c>
      <c r="G449" s="81"/>
      <c r="N449" s="240"/>
      <c r="O449" s="241"/>
      <c r="P449" s="213"/>
    </row>
    <row r="450" spans="1:16" ht="12">
      <c r="A450" s="83" t="s">
        <v>858</v>
      </c>
      <c r="B450" s="257" t="s">
        <v>859</v>
      </c>
      <c r="C450" s="258" t="s">
        <v>509</v>
      </c>
      <c r="D450" s="79">
        <v>38.14</v>
      </c>
      <c r="F450" s="79">
        <v>38.14</v>
      </c>
      <c r="G450" s="81"/>
      <c r="N450" s="240"/>
      <c r="O450" s="241"/>
      <c r="P450" s="213"/>
    </row>
    <row r="451" spans="1:16" ht="24">
      <c r="A451" s="83" t="s">
        <v>860</v>
      </c>
      <c r="B451" s="257" t="s">
        <v>861</v>
      </c>
      <c r="C451" s="258" t="s">
        <v>509</v>
      </c>
      <c r="D451" s="79">
        <v>80.88</v>
      </c>
      <c r="F451" s="79">
        <v>80.88</v>
      </c>
      <c r="G451" s="81"/>
      <c r="N451" s="240"/>
      <c r="O451" s="241"/>
      <c r="P451" s="213"/>
    </row>
    <row r="452" spans="1:16" ht="12">
      <c r="A452" s="83" t="s">
        <v>862</v>
      </c>
      <c r="B452" s="257" t="s">
        <v>863</v>
      </c>
      <c r="C452" s="258" t="s">
        <v>509</v>
      </c>
      <c r="D452" s="79">
        <v>355.84</v>
      </c>
      <c r="F452" s="79">
        <v>355.84</v>
      </c>
      <c r="G452" s="81"/>
      <c r="N452" s="240"/>
      <c r="O452" s="241"/>
      <c r="P452" s="213"/>
    </row>
    <row r="453" spans="1:16" ht="12">
      <c r="A453" s="83" t="s">
        <v>864</v>
      </c>
      <c r="B453" s="257" t="s">
        <v>865</v>
      </c>
      <c r="C453" s="258" t="s">
        <v>509</v>
      </c>
      <c r="D453" s="79">
        <v>554.44000000000005</v>
      </c>
      <c r="F453" s="79">
        <v>554.44000000000005</v>
      </c>
      <c r="G453" s="81"/>
      <c r="N453" s="240"/>
      <c r="O453" s="241"/>
      <c r="P453" s="213"/>
    </row>
    <row r="454" spans="1:16" ht="12">
      <c r="A454" s="83" t="s">
        <v>866</v>
      </c>
      <c r="B454" s="257" t="s">
        <v>28100</v>
      </c>
      <c r="C454" s="258" t="s">
        <v>165</v>
      </c>
      <c r="D454" s="79">
        <v>4.1100000000000003</v>
      </c>
      <c r="F454" s="79">
        <v>4.1100000000000003</v>
      </c>
      <c r="G454" s="81"/>
      <c r="N454" s="240"/>
      <c r="O454" s="241"/>
      <c r="P454" s="213"/>
    </row>
    <row r="455" spans="1:16" ht="12">
      <c r="A455" s="83" t="s">
        <v>867</v>
      </c>
      <c r="B455" s="257" t="s">
        <v>12884</v>
      </c>
      <c r="C455" s="258" t="s">
        <v>509</v>
      </c>
      <c r="D455" s="79">
        <v>285.85000000000002</v>
      </c>
      <c r="F455" s="79">
        <v>285.85000000000002</v>
      </c>
      <c r="G455" s="81"/>
      <c r="N455" s="240"/>
      <c r="O455" s="241"/>
      <c r="P455" s="213"/>
    </row>
    <row r="456" spans="1:16" ht="12">
      <c r="A456" s="83" t="s">
        <v>868</v>
      </c>
      <c r="B456" s="257" t="s">
        <v>29750</v>
      </c>
      <c r="C456" s="258" t="s">
        <v>509</v>
      </c>
      <c r="D456" s="79">
        <v>223.54</v>
      </c>
      <c r="F456" s="79">
        <v>223.54</v>
      </c>
      <c r="G456" s="81"/>
      <c r="N456" s="240"/>
      <c r="O456" s="241"/>
      <c r="P456" s="213"/>
    </row>
    <row r="457" spans="1:16" ht="24">
      <c r="A457" s="83" t="s">
        <v>869</v>
      </c>
      <c r="B457" s="257" t="s">
        <v>28101</v>
      </c>
      <c r="C457" s="258" t="s">
        <v>509</v>
      </c>
      <c r="D457" s="79">
        <v>839.86</v>
      </c>
      <c r="F457" s="79">
        <v>839.86</v>
      </c>
      <c r="G457" s="81"/>
      <c r="N457" s="240"/>
      <c r="O457" s="241"/>
      <c r="P457" s="213"/>
    </row>
    <row r="458" spans="1:16" ht="12">
      <c r="A458" s="83" t="s">
        <v>870</v>
      </c>
      <c r="B458" s="257" t="s">
        <v>29751</v>
      </c>
      <c r="C458" s="258" t="s">
        <v>509</v>
      </c>
      <c r="D458" s="79">
        <v>195.03</v>
      </c>
      <c r="F458" s="79">
        <v>195.03</v>
      </c>
      <c r="G458" s="81"/>
      <c r="N458" s="240"/>
      <c r="O458" s="241"/>
      <c r="P458" s="213"/>
    </row>
    <row r="459" spans="1:16" ht="12">
      <c r="A459" s="83" t="s">
        <v>871</v>
      </c>
      <c r="B459" s="257" t="s">
        <v>29752</v>
      </c>
      <c r="C459" s="258" t="s">
        <v>509</v>
      </c>
      <c r="D459" s="79">
        <v>195.73</v>
      </c>
      <c r="F459" s="79">
        <v>195.73</v>
      </c>
      <c r="G459" s="81"/>
      <c r="N459" s="240"/>
      <c r="O459" s="241"/>
      <c r="P459" s="213"/>
    </row>
    <row r="460" spans="1:16" ht="24">
      <c r="A460" s="83" t="s">
        <v>872</v>
      </c>
      <c r="B460" s="257" t="s">
        <v>28102</v>
      </c>
      <c r="C460" s="258" t="s">
        <v>509</v>
      </c>
      <c r="D460" s="79">
        <v>1634.25</v>
      </c>
      <c r="F460" s="79">
        <v>1634.25</v>
      </c>
      <c r="G460" s="81"/>
      <c r="N460" s="240"/>
      <c r="O460" s="241"/>
      <c r="P460" s="213"/>
    </row>
    <row r="461" spans="1:16" ht="24">
      <c r="A461" s="83" t="s">
        <v>874</v>
      </c>
      <c r="B461" s="257" t="s">
        <v>28103</v>
      </c>
      <c r="C461" s="258" t="s">
        <v>509</v>
      </c>
      <c r="D461" s="79">
        <v>918.72</v>
      </c>
      <c r="F461" s="79">
        <v>918.72</v>
      </c>
      <c r="G461" s="81"/>
      <c r="N461" s="240"/>
      <c r="O461" s="241"/>
      <c r="P461" s="213"/>
    </row>
    <row r="462" spans="1:16" ht="24">
      <c r="A462" s="83" t="s">
        <v>875</v>
      </c>
      <c r="B462" s="257" t="s">
        <v>28104</v>
      </c>
      <c r="C462" s="258" t="s">
        <v>509</v>
      </c>
      <c r="D462" s="79">
        <v>1466.28</v>
      </c>
      <c r="F462" s="79">
        <v>1466.28</v>
      </c>
      <c r="G462" s="81"/>
      <c r="N462" s="240"/>
      <c r="O462" s="241"/>
      <c r="P462" s="213"/>
    </row>
    <row r="463" spans="1:16" ht="12">
      <c r="A463" s="83" t="s">
        <v>876</v>
      </c>
      <c r="B463" s="257" t="s">
        <v>877</v>
      </c>
      <c r="C463" s="258" t="s">
        <v>207</v>
      </c>
      <c r="D463" s="79">
        <v>4.5599999999999996</v>
      </c>
      <c r="F463" s="79">
        <v>4.5599999999999996</v>
      </c>
      <c r="G463" s="81"/>
      <c r="N463" s="240"/>
      <c r="O463" s="241"/>
      <c r="P463" s="213"/>
    </row>
    <row r="464" spans="1:16" ht="12">
      <c r="A464" s="83" t="s">
        <v>878</v>
      </c>
      <c r="B464" s="257" t="s">
        <v>879</v>
      </c>
      <c r="C464" s="258" t="s">
        <v>207</v>
      </c>
      <c r="D464" s="79">
        <v>4.5</v>
      </c>
      <c r="F464" s="79">
        <v>4.5</v>
      </c>
      <c r="G464" s="81"/>
      <c r="N464" s="240"/>
      <c r="O464" s="241"/>
      <c r="P464" s="213"/>
    </row>
    <row r="465" spans="1:16" ht="12">
      <c r="A465" s="83" t="s">
        <v>880</v>
      </c>
      <c r="B465" s="257" t="s">
        <v>881</v>
      </c>
      <c r="C465" s="258" t="s">
        <v>153</v>
      </c>
      <c r="D465" s="79">
        <v>81.819999999999993</v>
      </c>
      <c r="F465" s="79">
        <v>81.819999999999993</v>
      </c>
      <c r="G465" s="81"/>
      <c r="N465" s="240"/>
      <c r="O465" s="241"/>
      <c r="P465" s="213"/>
    </row>
    <row r="466" spans="1:16" ht="24">
      <c r="A466" s="83" t="s">
        <v>882</v>
      </c>
      <c r="B466" s="257" t="s">
        <v>883</v>
      </c>
      <c r="C466" s="258" t="s">
        <v>153</v>
      </c>
      <c r="D466" s="79">
        <v>118.52</v>
      </c>
      <c r="F466" s="79">
        <v>118.52</v>
      </c>
      <c r="G466" s="81"/>
      <c r="N466" s="240"/>
      <c r="O466" s="241"/>
      <c r="P466" s="213"/>
    </row>
    <row r="467" spans="1:16" ht="12">
      <c r="A467" s="83" t="s">
        <v>884</v>
      </c>
      <c r="B467" s="257" t="s">
        <v>885</v>
      </c>
      <c r="C467" s="258" t="s">
        <v>207</v>
      </c>
      <c r="D467" s="79">
        <v>9.9</v>
      </c>
      <c r="F467" s="79">
        <v>9.9</v>
      </c>
      <c r="G467" s="81"/>
      <c r="N467" s="240"/>
      <c r="O467" s="241"/>
      <c r="P467" s="213"/>
    </row>
    <row r="468" spans="1:16" ht="12">
      <c r="A468" s="83" t="s">
        <v>886</v>
      </c>
      <c r="B468" s="257" t="s">
        <v>887</v>
      </c>
      <c r="C468" s="258" t="s">
        <v>207</v>
      </c>
      <c r="D468" s="79">
        <v>12.66</v>
      </c>
      <c r="F468" s="79">
        <v>12.66</v>
      </c>
      <c r="G468" s="81"/>
      <c r="N468" s="240"/>
      <c r="O468" s="241"/>
      <c r="P468" s="213"/>
    </row>
    <row r="469" spans="1:16" ht="12">
      <c r="A469" s="83" t="s">
        <v>888</v>
      </c>
      <c r="B469" s="257" t="s">
        <v>889</v>
      </c>
      <c r="C469" s="258" t="s">
        <v>207</v>
      </c>
      <c r="D469" s="79">
        <v>17.3</v>
      </c>
      <c r="F469" s="79">
        <v>17.3</v>
      </c>
      <c r="G469" s="81"/>
      <c r="N469" s="240"/>
      <c r="O469" s="241"/>
      <c r="P469" s="213"/>
    </row>
    <row r="470" spans="1:16" ht="12">
      <c r="A470" s="83" t="s">
        <v>890</v>
      </c>
      <c r="B470" s="257" t="s">
        <v>891</v>
      </c>
      <c r="C470" s="258" t="s">
        <v>165</v>
      </c>
      <c r="D470" s="79">
        <v>0.74</v>
      </c>
      <c r="F470" s="79">
        <v>0.74</v>
      </c>
      <c r="G470" s="81"/>
      <c r="N470" s="240"/>
      <c r="O470" s="241"/>
      <c r="P470" s="213"/>
    </row>
    <row r="471" spans="1:16" ht="12">
      <c r="A471" s="83" t="s">
        <v>892</v>
      </c>
      <c r="B471" s="257" t="s">
        <v>893</v>
      </c>
      <c r="C471" s="258" t="s">
        <v>207</v>
      </c>
      <c r="D471" s="79">
        <v>15</v>
      </c>
      <c r="F471" s="79">
        <v>15</v>
      </c>
      <c r="G471" s="81"/>
      <c r="N471" s="240"/>
      <c r="O471" s="241"/>
      <c r="P471" s="213"/>
    </row>
    <row r="472" spans="1:16" ht="12">
      <c r="A472" s="83" t="s">
        <v>894</v>
      </c>
      <c r="B472" s="257" t="s">
        <v>895</v>
      </c>
      <c r="C472" s="258" t="s">
        <v>207</v>
      </c>
      <c r="D472" s="79">
        <v>13.45</v>
      </c>
      <c r="F472" s="79">
        <v>13.45</v>
      </c>
      <c r="G472" s="81"/>
      <c r="N472" s="240"/>
      <c r="O472" s="241"/>
      <c r="P472" s="213"/>
    </row>
    <row r="473" spans="1:16" ht="12">
      <c r="A473" s="83" t="s">
        <v>896</v>
      </c>
      <c r="B473" s="257" t="s">
        <v>897</v>
      </c>
      <c r="C473" s="258" t="s">
        <v>103</v>
      </c>
      <c r="D473" s="79">
        <v>3.15</v>
      </c>
      <c r="F473" s="79">
        <v>3.15</v>
      </c>
      <c r="G473" s="81"/>
      <c r="N473" s="240"/>
      <c r="O473" s="241"/>
      <c r="P473" s="213"/>
    </row>
    <row r="474" spans="1:16" ht="12">
      <c r="A474" s="83" t="s">
        <v>898</v>
      </c>
      <c r="B474" s="257" t="s">
        <v>899</v>
      </c>
      <c r="C474" s="258" t="s">
        <v>103</v>
      </c>
      <c r="D474" s="79">
        <v>3.85</v>
      </c>
      <c r="F474" s="79">
        <v>3.85</v>
      </c>
      <c r="G474" s="81"/>
      <c r="N474" s="240"/>
      <c r="O474" s="241"/>
      <c r="P474" s="213"/>
    </row>
    <row r="475" spans="1:16" ht="12">
      <c r="A475" s="83" t="s">
        <v>900</v>
      </c>
      <c r="B475" s="257" t="s">
        <v>901</v>
      </c>
      <c r="C475" s="258" t="s">
        <v>103</v>
      </c>
      <c r="D475" s="79">
        <v>8.09</v>
      </c>
      <c r="F475" s="79">
        <v>8.09</v>
      </c>
      <c r="G475" s="81"/>
      <c r="N475" s="240"/>
      <c r="O475" s="241"/>
      <c r="P475" s="213"/>
    </row>
    <row r="476" spans="1:16" ht="12">
      <c r="A476" s="83" t="s">
        <v>902</v>
      </c>
      <c r="B476" s="257" t="s">
        <v>903</v>
      </c>
      <c r="C476" s="258" t="s">
        <v>103</v>
      </c>
      <c r="D476" s="79">
        <v>0.44</v>
      </c>
      <c r="F476" s="79">
        <v>0.44</v>
      </c>
      <c r="G476" s="81"/>
      <c r="N476" s="240"/>
      <c r="O476" s="241"/>
      <c r="P476" s="213"/>
    </row>
    <row r="477" spans="1:16" ht="12">
      <c r="A477" s="83" t="s">
        <v>904</v>
      </c>
      <c r="B477" s="257" t="s">
        <v>905</v>
      </c>
      <c r="C477" s="258" t="s">
        <v>103</v>
      </c>
      <c r="D477" s="79">
        <v>1.54</v>
      </c>
      <c r="F477" s="79">
        <v>1.54</v>
      </c>
      <c r="G477" s="81"/>
      <c r="N477" s="240"/>
      <c r="O477" s="241"/>
      <c r="P477" s="213"/>
    </row>
    <row r="478" spans="1:16" ht="12">
      <c r="A478" s="83" t="s">
        <v>906</v>
      </c>
      <c r="B478" s="257" t="s">
        <v>907</v>
      </c>
      <c r="C478" s="258" t="s">
        <v>165</v>
      </c>
      <c r="D478" s="79">
        <v>8.07</v>
      </c>
      <c r="F478" s="79">
        <v>8.07</v>
      </c>
      <c r="G478" s="81"/>
      <c r="N478" s="240"/>
      <c r="O478" s="241"/>
      <c r="P478" s="213"/>
    </row>
    <row r="479" spans="1:16" ht="12">
      <c r="A479" s="83" t="s">
        <v>908</v>
      </c>
      <c r="B479" s="257" t="s">
        <v>909</v>
      </c>
      <c r="C479" s="258" t="s">
        <v>165</v>
      </c>
      <c r="D479" s="79">
        <v>2.91</v>
      </c>
      <c r="F479" s="79">
        <v>2.91</v>
      </c>
      <c r="G479" s="81"/>
      <c r="N479" s="240"/>
      <c r="O479" s="241"/>
      <c r="P479" s="213"/>
    </row>
    <row r="480" spans="1:16" ht="24">
      <c r="A480" s="83" t="s">
        <v>910</v>
      </c>
      <c r="B480" s="257" t="s">
        <v>911</v>
      </c>
      <c r="C480" s="258" t="s">
        <v>103</v>
      </c>
      <c r="D480" s="79">
        <v>0.28999999999999998</v>
      </c>
      <c r="F480" s="79">
        <v>0.28999999999999998</v>
      </c>
      <c r="G480" s="81"/>
      <c r="N480" s="240"/>
      <c r="O480" s="241"/>
      <c r="P480" s="213"/>
    </row>
    <row r="481" spans="1:16" ht="12">
      <c r="A481" s="83" t="s">
        <v>912</v>
      </c>
      <c r="B481" s="257" t="s">
        <v>913</v>
      </c>
      <c r="C481" s="258" t="s">
        <v>103</v>
      </c>
      <c r="D481" s="79">
        <v>5.42</v>
      </c>
      <c r="F481" s="79">
        <v>5.42</v>
      </c>
      <c r="G481" s="81"/>
      <c r="N481" s="240"/>
      <c r="O481" s="241"/>
      <c r="P481" s="213"/>
    </row>
    <row r="482" spans="1:16" ht="12">
      <c r="A482" s="83" t="s">
        <v>914</v>
      </c>
      <c r="B482" s="257" t="s">
        <v>915</v>
      </c>
      <c r="C482" s="258" t="s">
        <v>103</v>
      </c>
      <c r="D482" s="79">
        <v>0.74</v>
      </c>
      <c r="F482" s="79">
        <v>0.74</v>
      </c>
      <c r="G482" s="81"/>
      <c r="N482" s="240"/>
      <c r="O482" s="241"/>
      <c r="P482" s="213"/>
    </row>
    <row r="483" spans="1:16" ht="12">
      <c r="A483" s="83" t="s">
        <v>916</v>
      </c>
      <c r="B483" s="257" t="s">
        <v>917</v>
      </c>
      <c r="C483" s="258" t="s">
        <v>103</v>
      </c>
      <c r="D483" s="79">
        <v>7.89</v>
      </c>
      <c r="F483" s="79">
        <v>7.89</v>
      </c>
      <c r="G483" s="81"/>
      <c r="N483" s="240"/>
      <c r="O483" s="241"/>
      <c r="P483" s="213"/>
    </row>
    <row r="484" spans="1:16" ht="24">
      <c r="A484" s="83" t="s">
        <v>918</v>
      </c>
      <c r="B484" s="257" t="s">
        <v>919</v>
      </c>
      <c r="C484" s="258" t="s">
        <v>396</v>
      </c>
      <c r="D484" s="79">
        <v>17.420000000000002</v>
      </c>
      <c r="F484" s="79">
        <v>17.420000000000002</v>
      </c>
      <c r="G484" s="81"/>
      <c r="N484" s="240"/>
      <c r="O484" s="241"/>
      <c r="P484" s="213"/>
    </row>
    <row r="485" spans="1:16" ht="12">
      <c r="A485" s="83" t="s">
        <v>920</v>
      </c>
      <c r="B485" s="257" t="s">
        <v>921</v>
      </c>
      <c r="C485" s="258" t="s">
        <v>207</v>
      </c>
      <c r="D485" s="79">
        <v>43.66</v>
      </c>
      <c r="F485" s="79">
        <v>43.66</v>
      </c>
      <c r="G485" s="81"/>
      <c r="N485" s="240"/>
      <c r="O485" s="241"/>
      <c r="P485" s="213"/>
    </row>
    <row r="486" spans="1:16" ht="12">
      <c r="A486" s="83" t="s">
        <v>922</v>
      </c>
      <c r="B486" s="257" t="s">
        <v>923</v>
      </c>
      <c r="C486" s="258" t="s">
        <v>103</v>
      </c>
      <c r="D486" s="79">
        <v>2.75</v>
      </c>
      <c r="F486" s="79">
        <v>2.75</v>
      </c>
      <c r="G486" s="81"/>
      <c r="N486" s="240"/>
      <c r="O486" s="241"/>
      <c r="P486" s="213"/>
    </row>
    <row r="487" spans="1:16" ht="12">
      <c r="A487" s="83" t="s">
        <v>924</v>
      </c>
      <c r="B487" s="257" t="s">
        <v>925</v>
      </c>
      <c r="C487" s="258" t="s">
        <v>103</v>
      </c>
      <c r="D487" s="79">
        <v>6.39</v>
      </c>
      <c r="F487" s="79">
        <v>6.39</v>
      </c>
      <c r="G487" s="81"/>
      <c r="N487" s="240"/>
      <c r="O487" s="241"/>
      <c r="P487" s="213"/>
    </row>
    <row r="488" spans="1:16" ht="12">
      <c r="A488" s="83" t="s">
        <v>926</v>
      </c>
      <c r="B488" s="257" t="s">
        <v>927</v>
      </c>
      <c r="C488" s="258" t="s">
        <v>103</v>
      </c>
      <c r="D488" s="79">
        <v>2.38</v>
      </c>
      <c r="F488" s="79">
        <v>2.38</v>
      </c>
      <c r="G488" s="81"/>
      <c r="N488" s="240"/>
      <c r="O488" s="241"/>
      <c r="P488" s="213"/>
    </row>
    <row r="489" spans="1:16" ht="12">
      <c r="A489" s="83" t="s">
        <v>928</v>
      </c>
      <c r="B489" s="257" t="s">
        <v>929</v>
      </c>
      <c r="C489" s="258" t="s">
        <v>103</v>
      </c>
      <c r="D489" s="79">
        <v>9.16</v>
      </c>
      <c r="F489" s="79">
        <v>9.16</v>
      </c>
      <c r="G489" s="81"/>
      <c r="N489" s="240"/>
      <c r="O489" s="241"/>
      <c r="P489" s="213"/>
    </row>
    <row r="490" spans="1:16" ht="12">
      <c r="A490" s="83" t="s">
        <v>930</v>
      </c>
      <c r="B490" s="257" t="s">
        <v>931</v>
      </c>
      <c r="C490" s="258" t="s">
        <v>103</v>
      </c>
      <c r="D490" s="79">
        <v>10.72</v>
      </c>
      <c r="F490" s="79">
        <v>10.72</v>
      </c>
      <c r="G490" s="81"/>
      <c r="N490" s="240"/>
      <c r="O490" s="241"/>
      <c r="P490" s="213"/>
    </row>
    <row r="491" spans="1:16" ht="12">
      <c r="A491" s="83" t="s">
        <v>932</v>
      </c>
      <c r="B491" s="257" t="s">
        <v>933</v>
      </c>
      <c r="C491" s="258" t="s">
        <v>103</v>
      </c>
      <c r="D491" s="79">
        <v>10.76</v>
      </c>
      <c r="F491" s="79">
        <v>10.76</v>
      </c>
      <c r="G491" s="81"/>
      <c r="N491" s="240"/>
      <c r="O491" s="241"/>
      <c r="P491" s="213"/>
    </row>
    <row r="492" spans="1:16" ht="12">
      <c r="A492" s="83" t="s">
        <v>934</v>
      </c>
      <c r="B492" s="257" t="s">
        <v>935</v>
      </c>
      <c r="C492" s="258" t="s">
        <v>103</v>
      </c>
      <c r="D492" s="79">
        <v>26.31</v>
      </c>
      <c r="F492" s="79">
        <v>26.31</v>
      </c>
      <c r="G492" s="81"/>
      <c r="N492" s="240"/>
      <c r="O492" s="241"/>
      <c r="P492" s="213"/>
    </row>
    <row r="493" spans="1:16" ht="12">
      <c r="A493" s="83" t="s">
        <v>936</v>
      </c>
      <c r="B493" s="257" t="s">
        <v>937</v>
      </c>
      <c r="C493" s="258" t="s">
        <v>103</v>
      </c>
      <c r="D493" s="79">
        <v>28.74</v>
      </c>
      <c r="F493" s="79">
        <v>28.74</v>
      </c>
      <c r="G493" s="81"/>
      <c r="N493" s="240"/>
      <c r="O493" s="241"/>
      <c r="P493" s="213"/>
    </row>
    <row r="494" spans="1:16" ht="24">
      <c r="A494" s="83" t="s">
        <v>938</v>
      </c>
      <c r="B494" s="257" t="s">
        <v>42042</v>
      </c>
      <c r="C494" s="258" t="s">
        <v>103</v>
      </c>
      <c r="D494" s="79">
        <v>64.37</v>
      </c>
      <c r="F494" s="79">
        <v>64.37</v>
      </c>
      <c r="G494" s="81"/>
      <c r="N494" s="240"/>
      <c r="O494" s="241"/>
      <c r="P494" s="213"/>
    </row>
    <row r="495" spans="1:16" ht="12">
      <c r="A495" s="83" t="s">
        <v>939</v>
      </c>
      <c r="B495" s="257" t="s">
        <v>940</v>
      </c>
      <c r="C495" s="258" t="s">
        <v>525</v>
      </c>
      <c r="D495" s="79">
        <v>14.89</v>
      </c>
      <c r="F495" s="79">
        <v>14.89</v>
      </c>
      <c r="G495" s="81"/>
      <c r="N495" s="240"/>
      <c r="O495" s="241"/>
      <c r="P495" s="213"/>
    </row>
    <row r="496" spans="1:16" ht="24">
      <c r="A496" s="83" t="s">
        <v>941</v>
      </c>
      <c r="B496" s="257" t="s">
        <v>942</v>
      </c>
      <c r="C496" s="258" t="s">
        <v>103</v>
      </c>
      <c r="D496" s="79">
        <v>0.53</v>
      </c>
      <c r="F496" s="79">
        <v>0.53</v>
      </c>
      <c r="G496" s="81"/>
      <c r="N496" s="240"/>
      <c r="O496" s="241"/>
      <c r="P496" s="213"/>
    </row>
    <row r="497" spans="1:16" ht="24">
      <c r="A497" s="83" t="s">
        <v>943</v>
      </c>
      <c r="B497" s="257" t="s">
        <v>944</v>
      </c>
      <c r="C497" s="258" t="s">
        <v>103</v>
      </c>
      <c r="D497" s="79">
        <v>0.3</v>
      </c>
      <c r="F497" s="79">
        <v>0.3</v>
      </c>
      <c r="G497" s="81"/>
      <c r="N497" s="240"/>
      <c r="O497" s="241"/>
      <c r="P497" s="213"/>
    </row>
    <row r="498" spans="1:16" ht="24">
      <c r="A498" s="83" t="s">
        <v>945</v>
      </c>
      <c r="B498" s="257" t="s">
        <v>946</v>
      </c>
      <c r="C498" s="258" t="s">
        <v>103</v>
      </c>
      <c r="D498" s="79">
        <v>0.21</v>
      </c>
      <c r="F498" s="79">
        <v>0.21</v>
      </c>
      <c r="G498" s="81"/>
      <c r="N498" s="240"/>
      <c r="O498" s="241"/>
      <c r="P498" s="213"/>
    </row>
    <row r="499" spans="1:16" ht="12">
      <c r="A499" s="83" t="s">
        <v>947</v>
      </c>
      <c r="B499" s="257" t="s">
        <v>948</v>
      </c>
      <c r="C499" s="258" t="s">
        <v>207</v>
      </c>
      <c r="D499" s="79">
        <v>30</v>
      </c>
      <c r="F499" s="79">
        <v>30</v>
      </c>
      <c r="G499" s="81"/>
      <c r="N499" s="240"/>
      <c r="O499" s="241"/>
      <c r="P499" s="213"/>
    </row>
    <row r="500" spans="1:16" ht="12">
      <c r="A500" s="83" t="s">
        <v>949</v>
      </c>
      <c r="B500" s="257" t="s">
        <v>950</v>
      </c>
      <c r="C500" s="258" t="s">
        <v>207</v>
      </c>
      <c r="D500" s="79">
        <v>30.92</v>
      </c>
      <c r="F500" s="79">
        <v>30.92</v>
      </c>
      <c r="G500" s="81"/>
      <c r="N500" s="240"/>
      <c r="O500" s="241"/>
      <c r="P500" s="213"/>
    </row>
    <row r="501" spans="1:16" ht="12">
      <c r="A501" s="83" t="s">
        <v>951</v>
      </c>
      <c r="B501" s="257" t="s">
        <v>952</v>
      </c>
      <c r="C501" s="258" t="s">
        <v>207</v>
      </c>
      <c r="D501" s="79">
        <v>33.15</v>
      </c>
      <c r="F501" s="79">
        <v>33.15</v>
      </c>
      <c r="G501" s="81"/>
      <c r="N501" s="240"/>
      <c r="O501" s="241"/>
      <c r="P501" s="213"/>
    </row>
    <row r="502" spans="1:16" ht="12">
      <c r="A502" s="261" t="s">
        <v>953</v>
      </c>
      <c r="B502" s="261" t="s">
        <v>954</v>
      </c>
      <c r="C502" s="266" t="s">
        <v>165</v>
      </c>
      <c r="D502" s="79">
        <v>63.01</v>
      </c>
      <c r="F502" s="518">
        <v>63.01</v>
      </c>
      <c r="N502" s="133"/>
      <c r="O502" s="236"/>
    </row>
    <row r="503" spans="1:16" ht="12">
      <c r="A503" s="83" t="s">
        <v>955</v>
      </c>
      <c r="B503" s="257" t="s">
        <v>956</v>
      </c>
      <c r="C503" s="258" t="s">
        <v>207</v>
      </c>
      <c r="D503" s="79">
        <v>29.12</v>
      </c>
      <c r="F503" s="79">
        <v>29.12</v>
      </c>
      <c r="G503" s="81"/>
      <c r="N503" s="240"/>
      <c r="O503" s="241"/>
      <c r="P503" s="213"/>
    </row>
    <row r="504" spans="1:16" ht="24">
      <c r="A504" s="83" t="s">
        <v>957</v>
      </c>
      <c r="B504" s="257" t="s">
        <v>958</v>
      </c>
      <c r="C504" s="258" t="s">
        <v>509</v>
      </c>
      <c r="D504" s="79">
        <v>492.54</v>
      </c>
      <c r="F504" s="79">
        <v>492.54</v>
      </c>
      <c r="G504" s="81"/>
      <c r="N504" s="240"/>
      <c r="O504" s="241"/>
      <c r="P504" s="213"/>
    </row>
    <row r="505" spans="1:16" ht="12">
      <c r="A505" s="83" t="s">
        <v>959</v>
      </c>
      <c r="B505" s="257" t="s">
        <v>960</v>
      </c>
      <c r="C505" s="258" t="s">
        <v>165</v>
      </c>
      <c r="D505" s="79">
        <v>10.17</v>
      </c>
      <c r="F505" s="79">
        <v>10.17</v>
      </c>
      <c r="G505" s="81"/>
      <c r="N505" s="240"/>
      <c r="O505" s="241"/>
      <c r="P505" s="213"/>
    </row>
    <row r="506" spans="1:16" ht="12">
      <c r="A506" s="83" t="s">
        <v>961</v>
      </c>
      <c r="B506" s="257" t="s">
        <v>962</v>
      </c>
      <c r="C506" s="258" t="s">
        <v>207</v>
      </c>
      <c r="D506" s="79">
        <v>9.24</v>
      </c>
      <c r="F506" s="79">
        <v>9.24</v>
      </c>
      <c r="G506" s="81"/>
      <c r="N506" s="240"/>
      <c r="O506" s="241"/>
      <c r="P506" s="213"/>
    </row>
    <row r="507" spans="1:16" ht="12">
      <c r="A507" s="83" t="s">
        <v>963</v>
      </c>
      <c r="B507" s="257" t="s">
        <v>964</v>
      </c>
      <c r="C507" s="258" t="s">
        <v>207</v>
      </c>
      <c r="D507" s="79">
        <v>8.5500000000000007</v>
      </c>
      <c r="F507" s="79">
        <v>8.5500000000000007</v>
      </c>
      <c r="G507" s="81"/>
      <c r="N507" s="240"/>
      <c r="O507" s="241"/>
      <c r="P507" s="213"/>
    </row>
    <row r="508" spans="1:16" ht="12">
      <c r="A508" s="83" t="s">
        <v>965</v>
      </c>
      <c r="B508" s="257" t="s">
        <v>966</v>
      </c>
      <c r="C508" s="258" t="s">
        <v>207</v>
      </c>
      <c r="D508" s="79">
        <v>12.87</v>
      </c>
      <c r="F508" s="79">
        <v>12.87</v>
      </c>
      <c r="G508" s="81"/>
      <c r="N508" s="240"/>
      <c r="O508" s="241"/>
      <c r="P508" s="213"/>
    </row>
    <row r="509" spans="1:16" ht="24">
      <c r="A509" s="83" t="s">
        <v>967</v>
      </c>
      <c r="B509" s="257" t="s">
        <v>968</v>
      </c>
      <c r="C509" s="258" t="s">
        <v>103</v>
      </c>
      <c r="D509" s="79">
        <v>27.27</v>
      </c>
      <c r="F509" s="79">
        <v>27.27</v>
      </c>
      <c r="G509" s="81"/>
      <c r="N509" s="240"/>
      <c r="O509" s="241"/>
      <c r="P509" s="213"/>
    </row>
    <row r="510" spans="1:16" ht="12">
      <c r="A510" s="83" t="s">
        <v>969</v>
      </c>
      <c r="B510" s="257" t="s">
        <v>39264</v>
      </c>
      <c r="C510" s="258" t="s">
        <v>103</v>
      </c>
      <c r="D510" s="79">
        <v>1034.74</v>
      </c>
      <c r="F510" s="79">
        <v>1034.74</v>
      </c>
      <c r="G510" s="81"/>
      <c r="N510" s="240"/>
      <c r="O510" s="241"/>
      <c r="P510" s="213"/>
    </row>
    <row r="511" spans="1:16" ht="12">
      <c r="A511" s="83" t="s">
        <v>970</v>
      </c>
      <c r="B511" s="257" t="s">
        <v>971</v>
      </c>
      <c r="C511" s="258" t="s">
        <v>207</v>
      </c>
      <c r="D511" s="79">
        <v>9.83</v>
      </c>
      <c r="F511" s="79">
        <v>9.83</v>
      </c>
      <c r="G511" s="81"/>
      <c r="N511" s="240"/>
      <c r="O511" s="241"/>
      <c r="P511" s="213"/>
    </row>
    <row r="512" spans="1:16" ht="12">
      <c r="A512" s="83" t="s">
        <v>972</v>
      </c>
      <c r="B512" s="257" t="s">
        <v>973</v>
      </c>
      <c r="C512" s="258" t="s">
        <v>103</v>
      </c>
      <c r="D512" s="79">
        <v>55.98</v>
      </c>
      <c r="F512" s="79">
        <v>55.98</v>
      </c>
      <c r="G512" s="81"/>
      <c r="N512" s="240"/>
      <c r="O512" s="241"/>
      <c r="P512" s="213"/>
    </row>
    <row r="513" spans="1:16" ht="12">
      <c r="A513" s="83" t="s">
        <v>974</v>
      </c>
      <c r="B513" s="65" t="s">
        <v>975</v>
      </c>
      <c r="C513" s="71" t="s">
        <v>103</v>
      </c>
      <c r="D513" s="79">
        <v>0.98</v>
      </c>
      <c r="E513" s="66"/>
      <c r="F513" s="79">
        <v>0.98</v>
      </c>
      <c r="G513" s="81"/>
      <c r="H513" s="73"/>
      <c r="I513" s="73"/>
      <c r="J513" s="73"/>
      <c r="K513" s="73"/>
      <c r="L513" s="73"/>
      <c r="N513" s="135"/>
      <c r="O513" s="241"/>
      <c r="P513" s="213"/>
    </row>
    <row r="514" spans="1:16" ht="12">
      <c r="A514" s="83" t="s">
        <v>976</v>
      </c>
      <c r="B514" s="65" t="s">
        <v>977</v>
      </c>
      <c r="C514" s="71" t="s">
        <v>103</v>
      </c>
      <c r="D514" s="79">
        <v>1.1499999999999999</v>
      </c>
      <c r="E514" s="66"/>
      <c r="F514" s="79">
        <v>1.1499999999999999</v>
      </c>
      <c r="G514" s="81"/>
      <c r="H514" s="73"/>
      <c r="I514" s="73"/>
      <c r="J514" s="73"/>
      <c r="K514" s="73"/>
      <c r="L514" s="73"/>
      <c r="N514" s="135"/>
      <c r="O514" s="241"/>
      <c r="P514" s="213"/>
    </row>
    <row r="515" spans="1:16" ht="12">
      <c r="A515" s="83" t="s">
        <v>978</v>
      </c>
      <c r="B515" s="65" t="s">
        <v>979</v>
      </c>
      <c r="C515" s="71" t="s">
        <v>103</v>
      </c>
      <c r="D515" s="79">
        <v>1.61</v>
      </c>
      <c r="E515" s="66"/>
      <c r="F515" s="79">
        <v>1.61</v>
      </c>
      <c r="G515" s="81"/>
      <c r="H515" s="73"/>
      <c r="I515" s="73"/>
      <c r="J515" s="73"/>
      <c r="K515" s="73"/>
      <c r="L515" s="73"/>
      <c r="N515" s="135"/>
      <c r="O515" s="241"/>
      <c r="P515" s="213"/>
    </row>
    <row r="516" spans="1:16" ht="12">
      <c r="A516" s="83" t="s">
        <v>980</v>
      </c>
      <c r="B516" s="65" t="s">
        <v>981</v>
      </c>
      <c r="C516" s="71" t="s">
        <v>103</v>
      </c>
      <c r="D516" s="79">
        <v>1.77</v>
      </c>
      <c r="E516" s="66"/>
      <c r="F516" s="79">
        <v>1.77</v>
      </c>
      <c r="G516" s="81"/>
      <c r="H516" s="73"/>
      <c r="I516" s="73"/>
      <c r="J516" s="73"/>
      <c r="K516" s="73"/>
      <c r="L516" s="73"/>
      <c r="N516" s="135"/>
      <c r="O516" s="241"/>
      <c r="P516" s="213"/>
    </row>
    <row r="517" spans="1:16" ht="12">
      <c r="A517" s="83" t="s">
        <v>982</v>
      </c>
      <c r="B517" s="65" t="s">
        <v>983</v>
      </c>
      <c r="C517" s="71" t="s">
        <v>103</v>
      </c>
      <c r="D517" s="79">
        <v>2.79</v>
      </c>
      <c r="E517" s="66"/>
      <c r="F517" s="79">
        <v>2.79</v>
      </c>
      <c r="G517" s="81"/>
      <c r="H517" s="73"/>
      <c r="I517" s="73"/>
      <c r="J517" s="73"/>
      <c r="K517" s="73"/>
      <c r="L517" s="73"/>
      <c r="N517" s="135"/>
      <c r="O517" s="241"/>
      <c r="P517" s="213"/>
    </row>
    <row r="518" spans="1:16" ht="12">
      <c r="A518" s="63" t="s">
        <v>984</v>
      </c>
      <c r="B518" s="257" t="s">
        <v>985</v>
      </c>
      <c r="C518" s="258" t="s">
        <v>103</v>
      </c>
      <c r="D518" s="79">
        <v>0.49</v>
      </c>
      <c r="F518" s="79">
        <v>0.49</v>
      </c>
      <c r="G518" s="81"/>
      <c r="N518" s="61"/>
      <c r="O518" s="241"/>
      <c r="P518" s="213"/>
    </row>
    <row r="519" spans="1:16" ht="12">
      <c r="A519" s="83" t="s">
        <v>986</v>
      </c>
      <c r="B519" s="257" t="s">
        <v>987</v>
      </c>
      <c r="C519" s="258" t="s">
        <v>103</v>
      </c>
      <c r="D519" s="79">
        <v>2.71</v>
      </c>
      <c r="F519" s="79">
        <v>2.71</v>
      </c>
      <c r="G519" s="81"/>
      <c r="N519" s="240"/>
      <c r="O519" s="241"/>
      <c r="P519" s="213"/>
    </row>
    <row r="520" spans="1:16" ht="12">
      <c r="A520" s="83" t="s">
        <v>988</v>
      </c>
      <c r="B520" s="257" t="s">
        <v>989</v>
      </c>
      <c r="C520" s="258" t="s">
        <v>396</v>
      </c>
      <c r="D520" s="79">
        <v>13134.17</v>
      </c>
      <c r="F520" s="79">
        <v>13134.17</v>
      </c>
      <c r="G520" s="81"/>
      <c r="N520" s="240"/>
      <c r="O520" s="241"/>
      <c r="P520" s="213"/>
    </row>
    <row r="521" spans="1:16" ht="12">
      <c r="A521" s="83" t="s">
        <v>990</v>
      </c>
      <c r="B521" s="257" t="s">
        <v>991</v>
      </c>
      <c r="C521" s="258" t="s">
        <v>396</v>
      </c>
      <c r="D521" s="79">
        <v>7103.47</v>
      </c>
      <c r="F521" s="79">
        <v>7103.47</v>
      </c>
      <c r="G521" s="81"/>
      <c r="N521" s="240"/>
      <c r="O521" s="241"/>
      <c r="P521" s="213"/>
    </row>
    <row r="522" spans="1:16" ht="12">
      <c r="A522" s="83" t="s">
        <v>992</v>
      </c>
      <c r="B522" s="257" t="s">
        <v>993</v>
      </c>
      <c r="C522" s="258" t="s">
        <v>396</v>
      </c>
      <c r="D522" s="79">
        <v>5097.1000000000004</v>
      </c>
      <c r="F522" s="79">
        <v>5097.1000000000004</v>
      </c>
      <c r="G522" s="81"/>
      <c r="N522" s="240"/>
      <c r="O522" s="241"/>
      <c r="P522" s="213"/>
    </row>
    <row r="523" spans="1:16" ht="12">
      <c r="A523" s="256" t="s">
        <v>994</v>
      </c>
      <c r="B523" s="261" t="s">
        <v>995</v>
      </c>
      <c r="C523" s="262" t="s">
        <v>165</v>
      </c>
      <c r="D523" s="79">
        <v>6.32</v>
      </c>
      <c r="F523" s="79">
        <v>6.32</v>
      </c>
    </row>
    <row r="524" spans="1:16" ht="12">
      <c r="A524" s="256" t="s">
        <v>996</v>
      </c>
      <c r="B524" s="261" t="s">
        <v>997</v>
      </c>
      <c r="C524" s="262" t="s">
        <v>165</v>
      </c>
      <c r="D524" s="79">
        <v>38.32</v>
      </c>
      <c r="F524" s="79">
        <v>38.32</v>
      </c>
    </row>
    <row r="525" spans="1:16" ht="12">
      <c r="A525" s="83" t="s">
        <v>998</v>
      </c>
      <c r="B525" s="257" t="s">
        <v>999</v>
      </c>
      <c r="C525" s="258" t="s">
        <v>207</v>
      </c>
      <c r="D525" s="79">
        <v>48.07</v>
      </c>
      <c r="F525" s="79">
        <v>48.07</v>
      </c>
      <c r="G525" s="81"/>
      <c r="N525" s="240"/>
      <c r="O525" s="241"/>
      <c r="P525" s="213"/>
    </row>
    <row r="526" spans="1:16" ht="24">
      <c r="A526" s="261" t="s">
        <v>1000</v>
      </c>
      <c r="B526" s="261" t="s">
        <v>1001</v>
      </c>
      <c r="C526" s="266" t="s">
        <v>165</v>
      </c>
      <c r="D526" s="79">
        <v>38.93</v>
      </c>
      <c r="F526" s="518">
        <v>38.93</v>
      </c>
      <c r="N526" s="133"/>
    </row>
    <row r="527" spans="1:16" ht="12">
      <c r="A527" s="83" t="s">
        <v>1002</v>
      </c>
      <c r="B527" s="257" t="s">
        <v>1003</v>
      </c>
      <c r="C527" s="258" t="s">
        <v>207</v>
      </c>
      <c r="D527" s="79">
        <v>47.01</v>
      </c>
      <c r="F527" s="79">
        <v>47.01</v>
      </c>
      <c r="G527" s="81"/>
      <c r="N527" s="240"/>
      <c r="O527" s="241"/>
      <c r="P527" s="213"/>
    </row>
    <row r="528" spans="1:16" ht="24">
      <c r="A528" s="83" t="s">
        <v>1004</v>
      </c>
      <c r="B528" s="257" t="s">
        <v>29753</v>
      </c>
      <c r="C528" s="258" t="s">
        <v>165</v>
      </c>
      <c r="D528" s="79">
        <v>6.35</v>
      </c>
      <c r="F528" s="79">
        <v>6.35</v>
      </c>
      <c r="G528" s="81"/>
      <c r="N528" s="240"/>
      <c r="O528" s="241"/>
      <c r="P528" s="213"/>
    </row>
    <row r="529" spans="1:16" ht="12">
      <c r="A529" s="83" t="s">
        <v>1005</v>
      </c>
      <c r="B529" s="64" t="s">
        <v>1006</v>
      </c>
      <c r="C529" s="134" t="s">
        <v>509</v>
      </c>
      <c r="D529" s="79">
        <v>883.12</v>
      </c>
      <c r="F529" s="79">
        <v>883.12</v>
      </c>
      <c r="G529" s="81"/>
      <c r="N529" s="240"/>
      <c r="O529" s="241"/>
      <c r="P529" s="213"/>
    </row>
    <row r="530" spans="1:16" ht="24">
      <c r="A530" s="83" t="s">
        <v>1007</v>
      </c>
      <c r="B530" s="257" t="s">
        <v>28105</v>
      </c>
      <c r="C530" s="258" t="s">
        <v>165</v>
      </c>
      <c r="D530" s="79">
        <v>8.92</v>
      </c>
      <c r="F530" s="79">
        <v>8.92</v>
      </c>
      <c r="G530" s="81"/>
      <c r="N530" s="240"/>
      <c r="O530" s="241"/>
      <c r="P530" s="213"/>
    </row>
    <row r="531" spans="1:16" ht="12">
      <c r="A531" s="83" t="s">
        <v>1008</v>
      </c>
      <c r="B531" s="257" t="s">
        <v>1009</v>
      </c>
      <c r="C531" s="258" t="s">
        <v>165</v>
      </c>
      <c r="D531" s="79">
        <v>1.01</v>
      </c>
      <c r="F531" s="79">
        <v>1.01</v>
      </c>
      <c r="G531" s="81"/>
      <c r="N531" s="240"/>
      <c r="O531" s="241"/>
      <c r="P531" s="213"/>
    </row>
    <row r="532" spans="1:16" ht="12">
      <c r="A532" s="83" t="s">
        <v>1010</v>
      </c>
      <c r="B532" s="257" t="s">
        <v>1011</v>
      </c>
      <c r="C532" s="258" t="s">
        <v>103</v>
      </c>
      <c r="D532" s="79">
        <v>28.01</v>
      </c>
      <c r="F532" s="79">
        <v>28.01</v>
      </c>
      <c r="G532" s="81"/>
      <c r="N532" s="240"/>
      <c r="O532" s="241"/>
      <c r="P532" s="213"/>
    </row>
    <row r="533" spans="1:16" ht="12">
      <c r="A533" s="83" t="s">
        <v>1012</v>
      </c>
      <c r="B533" s="257" t="s">
        <v>41602</v>
      </c>
      <c r="C533" s="258" t="s">
        <v>165</v>
      </c>
      <c r="D533" s="79">
        <v>5.14</v>
      </c>
      <c r="F533" s="79">
        <v>5.14</v>
      </c>
      <c r="G533" s="81"/>
      <c r="N533" s="240"/>
      <c r="O533" s="241"/>
      <c r="P533" s="213"/>
    </row>
    <row r="534" spans="1:16" ht="12">
      <c r="A534" s="83" t="s">
        <v>1013</v>
      </c>
      <c r="B534" s="257" t="s">
        <v>28106</v>
      </c>
      <c r="C534" s="258" t="s">
        <v>509</v>
      </c>
      <c r="D534" s="79">
        <v>464.6</v>
      </c>
      <c r="F534" s="79">
        <v>464.6</v>
      </c>
      <c r="G534" s="81"/>
      <c r="N534" s="240"/>
      <c r="O534" s="241"/>
      <c r="P534" s="213"/>
    </row>
    <row r="535" spans="1:16" ht="36">
      <c r="A535" s="83" t="s">
        <v>1014</v>
      </c>
      <c r="B535" s="257" t="s">
        <v>29754</v>
      </c>
      <c r="C535" s="258" t="s">
        <v>509</v>
      </c>
      <c r="D535" s="79">
        <v>1090.83</v>
      </c>
      <c r="F535" s="79">
        <v>1090.83</v>
      </c>
      <c r="G535" s="81"/>
      <c r="N535" s="240"/>
      <c r="O535" s="241"/>
      <c r="P535" s="213"/>
    </row>
    <row r="536" spans="1:16" ht="24">
      <c r="A536" s="83" t="s">
        <v>1015</v>
      </c>
      <c r="B536" s="257" t="s">
        <v>29755</v>
      </c>
      <c r="C536" s="258" t="s">
        <v>509</v>
      </c>
      <c r="D536" s="79">
        <v>654.5</v>
      </c>
      <c r="F536" s="79">
        <v>654.5</v>
      </c>
      <c r="G536" s="81"/>
      <c r="N536" s="240"/>
      <c r="O536" s="241"/>
      <c r="P536" s="213"/>
    </row>
    <row r="537" spans="1:16" ht="12">
      <c r="A537" s="83" t="s">
        <v>1016</v>
      </c>
      <c r="B537" s="257" t="s">
        <v>28107</v>
      </c>
      <c r="C537" s="258" t="s">
        <v>509</v>
      </c>
      <c r="D537" s="79">
        <v>242.13</v>
      </c>
      <c r="F537" s="79">
        <v>242.13</v>
      </c>
      <c r="G537" s="81"/>
      <c r="N537" s="240"/>
      <c r="O537" s="241"/>
      <c r="P537" s="213"/>
    </row>
    <row r="538" spans="1:16" ht="12">
      <c r="A538" s="83" t="s">
        <v>1017</v>
      </c>
      <c r="B538" s="257" t="s">
        <v>28108</v>
      </c>
      <c r="C538" s="258" t="s">
        <v>509</v>
      </c>
      <c r="D538" s="79">
        <v>96.61</v>
      </c>
      <c r="F538" s="79">
        <v>96.61</v>
      </c>
      <c r="G538" s="81"/>
      <c r="N538" s="240"/>
      <c r="O538" s="241"/>
      <c r="P538" s="213"/>
    </row>
    <row r="539" spans="1:16" ht="24">
      <c r="A539" s="83" t="s">
        <v>1018</v>
      </c>
      <c r="B539" s="257" t="s">
        <v>1019</v>
      </c>
      <c r="C539" s="258" t="s">
        <v>103</v>
      </c>
      <c r="D539" s="79">
        <v>410.98</v>
      </c>
      <c r="F539" s="79">
        <v>410.98</v>
      </c>
      <c r="G539" s="81"/>
      <c r="N539" s="240"/>
      <c r="O539" s="241"/>
      <c r="P539" s="213"/>
    </row>
    <row r="540" spans="1:16" ht="12">
      <c r="A540" s="83" t="s">
        <v>1020</v>
      </c>
      <c r="B540" s="257" t="s">
        <v>1021</v>
      </c>
      <c r="C540" s="258" t="s">
        <v>165</v>
      </c>
      <c r="D540" s="79">
        <v>24.93</v>
      </c>
      <c r="F540" s="79">
        <v>24.93</v>
      </c>
      <c r="G540" s="81"/>
      <c r="N540" s="240"/>
      <c r="O540" s="241"/>
      <c r="P540" s="213"/>
    </row>
    <row r="541" spans="1:16" ht="12">
      <c r="A541" s="83" t="s">
        <v>1022</v>
      </c>
      <c r="B541" s="257" t="s">
        <v>28109</v>
      </c>
      <c r="C541" s="258" t="s">
        <v>103</v>
      </c>
      <c r="D541" s="79">
        <v>47.47</v>
      </c>
      <c r="F541" s="79">
        <v>47.47</v>
      </c>
      <c r="G541" s="81"/>
      <c r="N541" s="240"/>
      <c r="O541" s="241"/>
      <c r="P541" s="213"/>
    </row>
    <row r="542" spans="1:16" ht="12">
      <c r="A542" s="83" t="s">
        <v>1023</v>
      </c>
      <c r="B542" s="257" t="s">
        <v>1024</v>
      </c>
      <c r="C542" s="258" t="s">
        <v>103</v>
      </c>
      <c r="D542" s="79">
        <v>6.05</v>
      </c>
      <c r="F542" s="79">
        <v>6.05</v>
      </c>
      <c r="G542" s="81"/>
      <c r="N542" s="240"/>
      <c r="O542" s="241"/>
      <c r="P542" s="213"/>
    </row>
    <row r="543" spans="1:16" ht="12">
      <c r="A543" s="83" t="s">
        <v>1025</v>
      </c>
      <c r="B543" s="257" t="s">
        <v>1026</v>
      </c>
      <c r="C543" s="258" t="s">
        <v>103</v>
      </c>
      <c r="D543" s="79">
        <v>15.77</v>
      </c>
      <c r="F543" s="79">
        <v>15.77</v>
      </c>
      <c r="G543" s="81"/>
      <c r="N543" s="240"/>
      <c r="O543" s="241"/>
      <c r="P543" s="213"/>
    </row>
    <row r="544" spans="1:16" ht="12">
      <c r="A544" s="83" t="s">
        <v>1027</v>
      </c>
      <c r="B544" s="257" t="s">
        <v>1028</v>
      </c>
      <c r="C544" s="258" t="s">
        <v>509</v>
      </c>
      <c r="D544" s="79">
        <v>12.53</v>
      </c>
      <c r="F544" s="79">
        <v>12.53</v>
      </c>
      <c r="G544" s="81"/>
      <c r="N544" s="240"/>
      <c r="O544" s="241"/>
      <c r="P544" s="213"/>
    </row>
    <row r="545" spans="1:16" ht="36">
      <c r="A545" s="83" t="s">
        <v>1029</v>
      </c>
      <c r="B545" s="257" t="s">
        <v>1030</v>
      </c>
      <c r="C545" s="258" t="s">
        <v>121</v>
      </c>
      <c r="D545" s="79">
        <v>537.16999999999996</v>
      </c>
      <c r="F545" s="79">
        <v>537.16999999999996</v>
      </c>
      <c r="G545" s="81"/>
      <c r="N545" s="240"/>
      <c r="O545" s="241"/>
      <c r="P545" s="213"/>
    </row>
    <row r="546" spans="1:16" ht="36">
      <c r="A546" s="83" t="s">
        <v>1031</v>
      </c>
      <c r="B546" s="257" t="s">
        <v>1032</v>
      </c>
      <c r="C546" s="258" t="s">
        <v>121</v>
      </c>
      <c r="D546" s="79">
        <v>362.06</v>
      </c>
      <c r="F546" s="79">
        <v>362.06</v>
      </c>
      <c r="G546" s="81"/>
      <c r="N546" s="240"/>
      <c r="O546" s="241"/>
      <c r="P546" s="213"/>
    </row>
    <row r="547" spans="1:16" ht="12">
      <c r="A547" s="83" t="s">
        <v>1033</v>
      </c>
      <c r="B547" s="257" t="s">
        <v>1034</v>
      </c>
      <c r="C547" s="258" t="s">
        <v>509</v>
      </c>
      <c r="D547" s="79">
        <v>62.79</v>
      </c>
      <c r="F547" s="79">
        <v>62.79</v>
      </c>
      <c r="G547" s="81"/>
      <c r="N547" s="240"/>
      <c r="O547" s="241"/>
      <c r="P547" s="213"/>
    </row>
    <row r="548" spans="1:16" ht="12">
      <c r="A548" s="83" t="s">
        <v>1035</v>
      </c>
      <c r="B548" s="257" t="s">
        <v>1036</v>
      </c>
      <c r="C548" s="258" t="s">
        <v>509</v>
      </c>
      <c r="D548" s="79">
        <v>36.46</v>
      </c>
      <c r="F548" s="79">
        <v>36.46</v>
      </c>
      <c r="G548" s="81"/>
      <c r="N548" s="240"/>
      <c r="O548" s="241"/>
      <c r="P548" s="213"/>
    </row>
    <row r="549" spans="1:16" ht="12">
      <c r="A549" s="83" t="s">
        <v>1037</v>
      </c>
      <c r="B549" s="257" t="s">
        <v>1038</v>
      </c>
      <c r="C549" s="258" t="s">
        <v>509</v>
      </c>
      <c r="D549" s="79">
        <v>6.88</v>
      </c>
      <c r="F549" s="79">
        <v>6.88</v>
      </c>
      <c r="G549" s="81"/>
      <c r="N549" s="240"/>
      <c r="O549" s="241"/>
      <c r="P549" s="213"/>
    </row>
    <row r="550" spans="1:16" ht="12">
      <c r="A550" s="83" t="s">
        <v>1039</v>
      </c>
      <c r="B550" s="257" t="s">
        <v>29756</v>
      </c>
      <c r="C550" s="258" t="s">
        <v>509</v>
      </c>
      <c r="D550" s="79">
        <v>101.04</v>
      </c>
      <c r="F550" s="79">
        <v>101.04</v>
      </c>
      <c r="G550" s="81"/>
      <c r="N550" s="240"/>
      <c r="O550" s="241"/>
      <c r="P550" s="213"/>
    </row>
    <row r="551" spans="1:16" ht="12">
      <c r="A551" s="83" t="s">
        <v>1040</v>
      </c>
      <c r="B551" s="257" t="s">
        <v>29757</v>
      </c>
      <c r="C551" s="258" t="s">
        <v>509</v>
      </c>
      <c r="D551" s="79">
        <v>33.69</v>
      </c>
      <c r="F551" s="79">
        <v>33.69</v>
      </c>
      <c r="G551" s="81"/>
      <c r="N551" s="240"/>
      <c r="O551" s="241"/>
      <c r="P551" s="213"/>
    </row>
    <row r="552" spans="1:16" ht="12">
      <c r="A552" s="83" t="s">
        <v>1041</v>
      </c>
      <c r="B552" s="257" t="s">
        <v>1042</v>
      </c>
      <c r="C552" s="258" t="s">
        <v>165</v>
      </c>
      <c r="D552" s="79">
        <v>13.59</v>
      </c>
      <c r="F552" s="79">
        <v>13.59</v>
      </c>
      <c r="G552" s="81"/>
      <c r="N552" s="240"/>
      <c r="O552" s="241"/>
      <c r="P552" s="213"/>
    </row>
    <row r="553" spans="1:16" ht="12">
      <c r="A553" s="83" t="s">
        <v>1043</v>
      </c>
      <c r="B553" s="257" t="s">
        <v>1044</v>
      </c>
      <c r="C553" s="258" t="s">
        <v>103</v>
      </c>
      <c r="D553" s="79">
        <v>22.08</v>
      </c>
      <c r="F553" s="79">
        <v>22.08</v>
      </c>
      <c r="G553" s="81"/>
      <c r="N553" s="240"/>
      <c r="O553" s="241"/>
      <c r="P553" s="213"/>
    </row>
    <row r="554" spans="1:16" ht="12">
      <c r="A554" s="83" t="s">
        <v>1045</v>
      </c>
      <c r="B554" s="257" t="s">
        <v>1046</v>
      </c>
      <c r="C554" s="258" t="s">
        <v>165</v>
      </c>
      <c r="D554" s="79">
        <v>8.67</v>
      </c>
      <c r="F554" s="79">
        <v>8.67</v>
      </c>
      <c r="G554" s="81"/>
      <c r="N554" s="240"/>
      <c r="O554" s="241"/>
      <c r="P554" s="213"/>
    </row>
    <row r="555" spans="1:16" ht="12">
      <c r="A555" s="83" t="s">
        <v>1047</v>
      </c>
      <c r="B555" s="257" t="s">
        <v>1048</v>
      </c>
      <c r="C555" s="258" t="s">
        <v>165</v>
      </c>
      <c r="D555" s="79">
        <v>6.35</v>
      </c>
      <c r="F555" s="79">
        <v>6.35</v>
      </c>
      <c r="G555" s="81"/>
      <c r="N555" s="240"/>
      <c r="O555" s="241"/>
      <c r="P555" s="213"/>
    </row>
    <row r="556" spans="1:16" ht="12">
      <c r="A556" s="83" t="s">
        <v>1049</v>
      </c>
      <c r="B556" s="257" t="s">
        <v>1050</v>
      </c>
      <c r="C556" s="258" t="s">
        <v>165</v>
      </c>
      <c r="D556" s="79">
        <v>7.48</v>
      </c>
      <c r="F556" s="79">
        <v>7.48</v>
      </c>
      <c r="G556" s="81"/>
      <c r="N556" s="240"/>
      <c r="O556" s="241"/>
      <c r="P556" s="213"/>
    </row>
    <row r="557" spans="1:16" ht="12">
      <c r="A557" s="83" t="s">
        <v>1051</v>
      </c>
      <c r="B557" s="257" t="s">
        <v>1052</v>
      </c>
      <c r="C557" s="258" t="s">
        <v>165</v>
      </c>
      <c r="D557" s="79">
        <v>12.19</v>
      </c>
      <c r="F557" s="79">
        <v>12.19</v>
      </c>
      <c r="G557" s="81"/>
      <c r="N557" s="240"/>
      <c r="O557" s="241"/>
      <c r="P557" s="213"/>
    </row>
    <row r="558" spans="1:16" ht="24">
      <c r="A558" s="83" t="s">
        <v>39329</v>
      </c>
      <c r="B558" s="257" t="s">
        <v>41603</v>
      </c>
      <c r="C558" s="258" t="s">
        <v>103</v>
      </c>
      <c r="D558" s="79">
        <v>540.42999999999995</v>
      </c>
      <c r="F558" s="79">
        <v>540.42999999999995</v>
      </c>
      <c r="G558" s="81"/>
      <c r="N558" s="240"/>
      <c r="O558" s="241"/>
      <c r="P558" s="213"/>
    </row>
    <row r="559" spans="1:16" ht="24">
      <c r="A559" s="83" t="s">
        <v>1053</v>
      </c>
      <c r="B559" s="257" t="s">
        <v>1054</v>
      </c>
      <c r="C559" s="258" t="s">
        <v>103</v>
      </c>
      <c r="D559" s="79">
        <v>172.31</v>
      </c>
      <c r="F559" s="79">
        <v>172.31</v>
      </c>
      <c r="G559" s="81"/>
      <c r="N559" s="240"/>
      <c r="O559" s="241"/>
      <c r="P559" s="213"/>
    </row>
    <row r="560" spans="1:16" ht="24">
      <c r="A560" s="83" t="s">
        <v>1055</v>
      </c>
      <c r="B560" s="257" t="s">
        <v>1056</v>
      </c>
      <c r="C560" s="258" t="s">
        <v>165</v>
      </c>
      <c r="D560" s="79">
        <v>45.66</v>
      </c>
      <c r="F560" s="79">
        <v>45.66</v>
      </c>
      <c r="G560" s="81"/>
      <c r="N560" s="240"/>
      <c r="O560" s="241"/>
      <c r="P560" s="213"/>
    </row>
    <row r="561" spans="1:16" ht="12">
      <c r="A561" s="83" t="s">
        <v>1057</v>
      </c>
      <c r="B561" s="257" t="s">
        <v>1058</v>
      </c>
      <c r="C561" s="258" t="s">
        <v>165</v>
      </c>
      <c r="D561" s="79">
        <v>9.98</v>
      </c>
      <c r="F561" s="79">
        <v>9.98</v>
      </c>
      <c r="G561" s="81"/>
      <c r="N561" s="240"/>
      <c r="O561" s="241"/>
      <c r="P561" s="213"/>
    </row>
    <row r="562" spans="1:16" ht="24">
      <c r="A562" s="83" t="s">
        <v>1059</v>
      </c>
      <c r="B562" s="257" t="s">
        <v>1060</v>
      </c>
      <c r="C562" s="258" t="s">
        <v>103</v>
      </c>
      <c r="D562" s="79">
        <v>156.02000000000001</v>
      </c>
      <c r="F562" s="79">
        <v>156.02000000000001</v>
      </c>
      <c r="G562" s="81"/>
      <c r="N562" s="240"/>
      <c r="O562" s="241"/>
      <c r="P562" s="213"/>
    </row>
    <row r="563" spans="1:16" ht="12">
      <c r="A563" s="83" t="s">
        <v>1061</v>
      </c>
      <c r="B563" s="257" t="s">
        <v>1062</v>
      </c>
      <c r="C563" s="258" t="s">
        <v>103</v>
      </c>
      <c r="D563" s="79">
        <v>132.62</v>
      </c>
      <c r="F563" s="79">
        <v>132.62</v>
      </c>
      <c r="G563" s="81"/>
      <c r="N563" s="240"/>
      <c r="O563" s="241"/>
      <c r="P563" s="213"/>
    </row>
    <row r="564" spans="1:16" ht="12">
      <c r="A564" s="83" t="s">
        <v>1063</v>
      </c>
      <c r="B564" s="257" t="s">
        <v>1064</v>
      </c>
      <c r="C564" s="258" t="s">
        <v>103</v>
      </c>
      <c r="D564" s="79">
        <v>172.7</v>
      </c>
      <c r="F564" s="79">
        <v>172.7</v>
      </c>
      <c r="G564" s="81"/>
      <c r="N564" s="240"/>
      <c r="O564" s="241"/>
      <c r="P564" s="213"/>
    </row>
    <row r="565" spans="1:16" ht="12">
      <c r="A565" s="83" t="s">
        <v>1065</v>
      </c>
      <c r="B565" s="257" t="s">
        <v>1066</v>
      </c>
      <c r="C565" s="258" t="s">
        <v>103</v>
      </c>
      <c r="D565" s="79">
        <v>349.75</v>
      </c>
      <c r="F565" s="79">
        <v>349.75</v>
      </c>
      <c r="G565" s="81"/>
      <c r="N565" s="240"/>
      <c r="O565" s="241"/>
      <c r="P565" s="213"/>
    </row>
    <row r="566" spans="1:16" ht="36">
      <c r="A566" s="83" t="s">
        <v>1067</v>
      </c>
      <c r="B566" s="257" t="s">
        <v>1068</v>
      </c>
      <c r="C566" s="258" t="s">
        <v>165</v>
      </c>
      <c r="D566" s="79">
        <v>566.22</v>
      </c>
      <c r="F566" s="79">
        <v>566.22</v>
      </c>
      <c r="G566" s="81"/>
      <c r="N566" s="240"/>
      <c r="O566" s="241"/>
      <c r="P566" s="213"/>
    </row>
    <row r="567" spans="1:16" ht="24">
      <c r="A567" s="83" t="s">
        <v>1069</v>
      </c>
      <c r="B567" s="257" t="s">
        <v>1070</v>
      </c>
      <c r="C567" s="258" t="s">
        <v>165</v>
      </c>
      <c r="D567" s="79">
        <v>675.89</v>
      </c>
      <c r="F567" s="79">
        <v>675.89</v>
      </c>
      <c r="G567" s="81"/>
      <c r="N567" s="240"/>
      <c r="O567" s="241"/>
      <c r="P567" s="213"/>
    </row>
    <row r="568" spans="1:16" ht="24">
      <c r="A568" s="83" t="s">
        <v>1071</v>
      </c>
      <c r="B568" s="257" t="s">
        <v>1072</v>
      </c>
      <c r="C568" s="258" t="s">
        <v>165</v>
      </c>
      <c r="D568" s="79">
        <v>578.47</v>
      </c>
      <c r="F568" s="79">
        <v>578.47</v>
      </c>
      <c r="G568" s="81"/>
      <c r="N568" s="240"/>
      <c r="O568" s="241"/>
      <c r="P568" s="213"/>
    </row>
    <row r="569" spans="1:16" ht="24">
      <c r="A569" s="83" t="s">
        <v>1073</v>
      </c>
      <c r="B569" s="257" t="s">
        <v>29758</v>
      </c>
      <c r="C569" s="258" t="s">
        <v>509</v>
      </c>
      <c r="D569" s="79">
        <v>1485</v>
      </c>
      <c r="F569" s="79">
        <v>1485</v>
      </c>
      <c r="G569" s="81"/>
      <c r="N569" s="240"/>
      <c r="O569" s="241"/>
      <c r="P569" s="213"/>
    </row>
    <row r="570" spans="1:16" ht="24">
      <c r="A570" s="83" t="s">
        <v>1074</v>
      </c>
      <c r="B570" s="257" t="s">
        <v>1075</v>
      </c>
      <c r="C570" s="258" t="s">
        <v>103</v>
      </c>
      <c r="D570" s="79">
        <v>2134.54</v>
      </c>
      <c r="F570" s="79">
        <v>2134.54</v>
      </c>
      <c r="G570" s="81"/>
      <c r="N570" s="240"/>
      <c r="O570" s="241"/>
      <c r="P570" s="213"/>
    </row>
    <row r="571" spans="1:16" ht="12">
      <c r="A571" s="83" t="s">
        <v>1076</v>
      </c>
      <c r="B571" s="257" t="s">
        <v>1077</v>
      </c>
      <c r="C571" s="258" t="s">
        <v>165</v>
      </c>
      <c r="D571" s="79">
        <v>2725.94</v>
      </c>
      <c r="F571" s="79">
        <v>2725.94</v>
      </c>
      <c r="G571" s="81"/>
      <c r="N571" s="240"/>
      <c r="O571" s="241"/>
      <c r="P571" s="213"/>
    </row>
    <row r="572" spans="1:16" ht="24">
      <c r="A572" s="83" t="s">
        <v>1078</v>
      </c>
      <c r="B572" s="257" t="s">
        <v>1079</v>
      </c>
      <c r="C572" s="258" t="s">
        <v>103</v>
      </c>
      <c r="D572" s="79">
        <v>2205.4899999999998</v>
      </c>
      <c r="F572" s="79">
        <v>2205.4899999999998</v>
      </c>
      <c r="G572" s="81"/>
      <c r="N572" s="240"/>
      <c r="O572" s="241"/>
      <c r="P572" s="213"/>
    </row>
    <row r="573" spans="1:16" ht="24">
      <c r="A573" s="83" t="s">
        <v>1080</v>
      </c>
      <c r="B573" s="257" t="s">
        <v>1081</v>
      </c>
      <c r="C573" s="258" t="s">
        <v>103</v>
      </c>
      <c r="D573" s="79">
        <v>4267.38</v>
      </c>
      <c r="F573" s="79">
        <v>4267.38</v>
      </c>
      <c r="G573" s="81"/>
      <c r="N573" s="240"/>
      <c r="O573" s="241"/>
      <c r="P573" s="213"/>
    </row>
    <row r="574" spans="1:16" ht="24">
      <c r="A574" s="83" t="s">
        <v>1082</v>
      </c>
      <c r="B574" s="257" t="s">
        <v>1083</v>
      </c>
      <c r="C574" s="258" t="s">
        <v>103</v>
      </c>
      <c r="D574" s="79">
        <v>5222.7700000000004</v>
      </c>
      <c r="F574" s="79">
        <v>5222.7700000000004</v>
      </c>
      <c r="G574" s="81"/>
      <c r="N574" s="240"/>
      <c r="O574" s="241"/>
      <c r="P574" s="213"/>
    </row>
    <row r="575" spans="1:16" ht="24">
      <c r="A575" s="67" t="s">
        <v>1084</v>
      </c>
      <c r="B575" s="65" t="s">
        <v>1085</v>
      </c>
      <c r="C575" s="71" t="s">
        <v>103</v>
      </c>
      <c r="D575" s="79">
        <v>124.97</v>
      </c>
      <c r="F575" s="79">
        <v>124.97</v>
      </c>
      <c r="G575" s="81"/>
      <c r="N575" s="133"/>
      <c r="O575" s="241"/>
      <c r="P575" s="213"/>
    </row>
    <row r="576" spans="1:16" ht="36">
      <c r="A576" s="83" t="s">
        <v>1086</v>
      </c>
      <c r="B576" s="65" t="s">
        <v>29759</v>
      </c>
      <c r="C576" s="71" t="s">
        <v>509</v>
      </c>
      <c r="D576" s="79">
        <v>831.31</v>
      </c>
      <c r="F576" s="79">
        <v>831.31</v>
      </c>
      <c r="G576" s="81"/>
      <c r="N576" s="240"/>
      <c r="O576" s="241"/>
      <c r="P576" s="213"/>
    </row>
    <row r="577" spans="1:16" ht="12">
      <c r="A577" s="83" t="s">
        <v>41604</v>
      </c>
      <c r="B577" s="65" t="s">
        <v>41605</v>
      </c>
      <c r="C577" s="71" t="s">
        <v>118</v>
      </c>
      <c r="D577" s="79">
        <v>675.66</v>
      </c>
      <c r="F577" s="79">
        <v>675.66</v>
      </c>
      <c r="G577" s="81"/>
      <c r="N577" s="240"/>
      <c r="O577" s="241"/>
      <c r="P577" s="213"/>
    </row>
    <row r="578" spans="1:16" ht="12">
      <c r="A578" s="83" t="s">
        <v>1087</v>
      </c>
      <c r="B578" s="257" t="s">
        <v>1088</v>
      </c>
      <c r="C578" s="258" t="s">
        <v>118</v>
      </c>
      <c r="D578" s="79">
        <v>588.08000000000004</v>
      </c>
      <c r="F578" s="79">
        <v>588.08000000000004</v>
      </c>
      <c r="G578" s="81"/>
      <c r="N578" s="240"/>
      <c r="O578" s="241"/>
      <c r="P578" s="213"/>
    </row>
    <row r="579" spans="1:16" ht="12">
      <c r="A579" s="83" t="s">
        <v>1089</v>
      </c>
      <c r="B579" s="257" t="s">
        <v>1090</v>
      </c>
      <c r="C579" s="258" t="s">
        <v>118</v>
      </c>
      <c r="D579" s="79">
        <v>449.53</v>
      </c>
      <c r="F579" s="79">
        <v>449.53</v>
      </c>
      <c r="G579" s="81"/>
      <c r="N579" s="240"/>
      <c r="O579" s="241"/>
      <c r="P579" s="213"/>
    </row>
    <row r="580" spans="1:16" ht="24">
      <c r="A580" s="83" t="s">
        <v>1091</v>
      </c>
      <c r="B580" s="257" t="s">
        <v>1092</v>
      </c>
      <c r="C580" s="258" t="s">
        <v>509</v>
      </c>
      <c r="D580" s="79">
        <v>61.64</v>
      </c>
      <c r="F580" s="79">
        <v>61.64</v>
      </c>
      <c r="G580" s="81"/>
      <c r="N580" s="240"/>
      <c r="O580" s="241"/>
      <c r="P580" s="213"/>
    </row>
    <row r="581" spans="1:16" ht="12">
      <c r="A581" s="83" t="s">
        <v>1093</v>
      </c>
      <c r="B581" s="257" t="s">
        <v>1094</v>
      </c>
      <c r="C581" s="258" t="s">
        <v>509</v>
      </c>
      <c r="D581" s="79">
        <v>5</v>
      </c>
      <c r="F581" s="79">
        <v>5</v>
      </c>
      <c r="G581" s="81"/>
      <c r="N581" s="240"/>
      <c r="O581" s="241"/>
      <c r="P581" s="213"/>
    </row>
    <row r="582" spans="1:16" ht="12">
      <c r="A582" s="83" t="s">
        <v>1095</v>
      </c>
      <c r="B582" s="257" t="s">
        <v>1096</v>
      </c>
      <c r="C582" s="258" t="s">
        <v>207</v>
      </c>
      <c r="D582" s="79">
        <v>13.93</v>
      </c>
      <c r="F582" s="79">
        <v>13.93</v>
      </c>
      <c r="G582" s="81"/>
      <c r="N582" s="240"/>
      <c r="O582" s="241"/>
      <c r="P582" s="213"/>
    </row>
    <row r="583" spans="1:16" ht="24">
      <c r="A583" s="83" t="s">
        <v>1097</v>
      </c>
      <c r="B583" s="257" t="s">
        <v>1098</v>
      </c>
      <c r="C583" s="258" t="s">
        <v>207</v>
      </c>
      <c r="D583" s="79">
        <v>17.29</v>
      </c>
      <c r="F583" s="79">
        <v>17.29</v>
      </c>
      <c r="G583" s="81"/>
      <c r="N583" s="240"/>
      <c r="O583" s="241"/>
      <c r="P583" s="213"/>
    </row>
    <row r="584" spans="1:16" ht="24">
      <c r="A584" s="83" t="s">
        <v>1099</v>
      </c>
      <c r="B584" s="257" t="s">
        <v>1100</v>
      </c>
      <c r="C584" s="258" t="s">
        <v>207</v>
      </c>
      <c r="D584" s="79">
        <v>20.23</v>
      </c>
      <c r="F584" s="79">
        <v>20.23</v>
      </c>
      <c r="G584" s="81"/>
      <c r="N584" s="240"/>
      <c r="O584" s="241"/>
      <c r="P584" s="213"/>
    </row>
    <row r="585" spans="1:16" ht="24">
      <c r="A585" s="83" t="s">
        <v>1101</v>
      </c>
      <c r="B585" s="257" t="s">
        <v>1102</v>
      </c>
      <c r="C585" s="258" t="s">
        <v>509</v>
      </c>
      <c r="D585" s="79">
        <v>50.74</v>
      </c>
      <c r="F585" s="79">
        <v>50.74</v>
      </c>
      <c r="G585" s="81"/>
      <c r="N585" s="240"/>
      <c r="O585" s="241"/>
      <c r="P585" s="213"/>
    </row>
    <row r="586" spans="1:16" ht="24">
      <c r="A586" s="83" t="s">
        <v>1103</v>
      </c>
      <c r="B586" s="257" t="s">
        <v>1104</v>
      </c>
      <c r="C586" s="258" t="s">
        <v>509</v>
      </c>
      <c r="D586" s="79">
        <v>57.91</v>
      </c>
      <c r="F586" s="79">
        <v>57.91</v>
      </c>
      <c r="G586" s="81"/>
      <c r="N586" s="240"/>
      <c r="O586" s="241"/>
      <c r="P586" s="213"/>
    </row>
    <row r="587" spans="1:16" ht="24">
      <c r="A587" s="83" t="s">
        <v>1105</v>
      </c>
      <c r="B587" s="257" t="s">
        <v>1106</v>
      </c>
      <c r="C587" s="258" t="s">
        <v>509</v>
      </c>
      <c r="D587" s="79">
        <v>55.2</v>
      </c>
      <c r="F587" s="79">
        <v>55.2</v>
      </c>
      <c r="G587" s="81"/>
      <c r="N587" s="240"/>
      <c r="O587" s="241"/>
      <c r="P587" s="213"/>
    </row>
    <row r="588" spans="1:16" ht="24">
      <c r="A588" s="83" t="s">
        <v>1107</v>
      </c>
      <c r="B588" s="257" t="s">
        <v>1108</v>
      </c>
      <c r="C588" s="258" t="s">
        <v>165</v>
      </c>
      <c r="D588" s="79">
        <v>4.18</v>
      </c>
      <c r="F588" s="79">
        <v>4.18</v>
      </c>
      <c r="G588" s="81"/>
      <c r="N588" s="240"/>
      <c r="O588" s="241"/>
      <c r="P588" s="213"/>
    </row>
    <row r="589" spans="1:16" ht="24">
      <c r="A589" s="83" t="s">
        <v>1109</v>
      </c>
      <c r="B589" s="257" t="s">
        <v>1110</v>
      </c>
      <c r="C589" s="258" t="s">
        <v>165</v>
      </c>
      <c r="D589" s="79">
        <v>5.64</v>
      </c>
      <c r="F589" s="79">
        <v>5.64</v>
      </c>
      <c r="G589" s="81"/>
      <c r="N589" s="240"/>
      <c r="O589" s="241"/>
      <c r="P589" s="213"/>
    </row>
    <row r="590" spans="1:16" ht="12">
      <c r="A590" s="83" t="s">
        <v>1111</v>
      </c>
      <c r="B590" s="257" t="s">
        <v>1112</v>
      </c>
      <c r="C590" s="258" t="s">
        <v>509</v>
      </c>
      <c r="D590" s="79">
        <v>184.51</v>
      </c>
      <c r="F590" s="79">
        <v>184.51</v>
      </c>
      <c r="G590" s="81"/>
      <c r="N590" s="240"/>
      <c r="O590" s="241"/>
      <c r="P590" s="213"/>
    </row>
    <row r="591" spans="1:16" ht="24">
      <c r="A591" s="83" t="s">
        <v>1113</v>
      </c>
      <c r="B591" s="257" t="s">
        <v>1114</v>
      </c>
      <c r="C591" s="258" t="s">
        <v>165</v>
      </c>
      <c r="D591" s="79">
        <v>13.92</v>
      </c>
      <c r="F591" s="79">
        <v>13.92</v>
      </c>
      <c r="G591" s="81"/>
      <c r="N591" s="240"/>
      <c r="O591" s="241"/>
      <c r="P591" s="213"/>
    </row>
    <row r="592" spans="1:16" ht="24">
      <c r="A592" s="83" t="s">
        <v>1115</v>
      </c>
      <c r="B592" s="257" t="s">
        <v>1116</v>
      </c>
      <c r="C592" s="258" t="s">
        <v>165</v>
      </c>
      <c r="D592" s="79">
        <v>16.149999999999999</v>
      </c>
      <c r="F592" s="79">
        <v>16.149999999999999</v>
      </c>
      <c r="G592" s="81"/>
      <c r="N592" s="240"/>
      <c r="O592" s="241"/>
      <c r="P592" s="213"/>
    </row>
    <row r="593" spans="1:16" ht="12">
      <c r="A593" s="83" t="s">
        <v>1117</v>
      </c>
      <c r="B593" s="257" t="s">
        <v>1118</v>
      </c>
      <c r="C593" s="258" t="s">
        <v>207</v>
      </c>
      <c r="D593" s="79">
        <v>7.01</v>
      </c>
      <c r="F593" s="79">
        <v>7.01</v>
      </c>
      <c r="G593" s="81"/>
      <c r="N593" s="240"/>
      <c r="O593" s="241"/>
      <c r="P593" s="213"/>
    </row>
    <row r="594" spans="1:16" ht="12">
      <c r="A594" s="83" t="s">
        <v>1119</v>
      </c>
      <c r="B594" s="257" t="s">
        <v>1120</v>
      </c>
      <c r="C594" s="258" t="s">
        <v>207</v>
      </c>
      <c r="D594" s="79">
        <v>4.41</v>
      </c>
      <c r="F594" s="79">
        <v>4.41</v>
      </c>
      <c r="G594" s="81"/>
      <c r="N594" s="240"/>
      <c r="O594" s="241"/>
      <c r="P594" s="213"/>
    </row>
    <row r="595" spans="1:16" ht="12">
      <c r="A595" s="83" t="s">
        <v>1121</v>
      </c>
      <c r="B595" s="257" t="s">
        <v>1122</v>
      </c>
      <c r="C595" s="258" t="s">
        <v>207</v>
      </c>
      <c r="D595" s="79">
        <v>7.66</v>
      </c>
      <c r="F595" s="79">
        <v>7.66</v>
      </c>
      <c r="G595" s="81"/>
      <c r="N595" s="240"/>
      <c r="O595" s="241"/>
      <c r="P595" s="213"/>
    </row>
    <row r="596" spans="1:16" ht="24">
      <c r="A596" s="83" t="s">
        <v>1123</v>
      </c>
      <c r="B596" s="257" t="s">
        <v>29760</v>
      </c>
      <c r="C596" s="258" t="s">
        <v>153</v>
      </c>
      <c r="D596" s="79">
        <v>21.28</v>
      </c>
      <c r="F596" s="79">
        <v>21.28</v>
      </c>
      <c r="G596" s="81"/>
      <c r="N596" s="240"/>
      <c r="O596" s="241"/>
      <c r="P596" s="213"/>
    </row>
    <row r="597" spans="1:16" ht="24">
      <c r="A597" s="83" t="s">
        <v>1124</v>
      </c>
      <c r="B597" s="257" t="s">
        <v>1125</v>
      </c>
      <c r="C597" s="258" t="s">
        <v>165</v>
      </c>
      <c r="D597" s="79">
        <v>133.77000000000001</v>
      </c>
      <c r="F597" s="79">
        <v>133.77000000000001</v>
      </c>
      <c r="G597" s="81"/>
      <c r="N597" s="240"/>
      <c r="O597" s="241"/>
      <c r="P597" s="213"/>
    </row>
    <row r="598" spans="1:16" ht="24">
      <c r="A598" s="83" t="s">
        <v>1126</v>
      </c>
      <c r="B598" s="257" t="s">
        <v>1127</v>
      </c>
      <c r="C598" s="258" t="s">
        <v>103</v>
      </c>
      <c r="D598" s="79">
        <v>1058.32</v>
      </c>
      <c r="F598" s="79">
        <v>1058.32</v>
      </c>
      <c r="G598" s="81"/>
      <c r="N598" s="240"/>
      <c r="O598" s="241"/>
      <c r="P598" s="213"/>
    </row>
    <row r="599" spans="1:16" ht="12">
      <c r="A599" s="67" t="s">
        <v>1128</v>
      </c>
      <c r="B599" s="65" t="s">
        <v>1129</v>
      </c>
      <c r="C599" s="71" t="s">
        <v>103</v>
      </c>
      <c r="D599" s="79">
        <v>332.01</v>
      </c>
      <c r="F599" s="79">
        <v>332.01</v>
      </c>
      <c r="G599" s="81"/>
      <c r="N599" s="133"/>
      <c r="O599" s="241"/>
      <c r="P599" s="213"/>
    </row>
    <row r="600" spans="1:16" ht="12">
      <c r="A600" s="67" t="s">
        <v>1130</v>
      </c>
      <c r="B600" s="65" t="s">
        <v>1131</v>
      </c>
      <c r="C600" s="71" t="s">
        <v>509</v>
      </c>
      <c r="D600" s="79">
        <v>364.99</v>
      </c>
      <c r="F600" s="79">
        <v>364.99</v>
      </c>
      <c r="G600" s="81"/>
      <c r="N600" s="133"/>
      <c r="O600" s="241"/>
      <c r="P600" s="213"/>
    </row>
    <row r="601" spans="1:16" ht="12">
      <c r="A601" s="67" t="s">
        <v>1132</v>
      </c>
      <c r="B601" s="65" t="s">
        <v>1133</v>
      </c>
      <c r="C601" s="71" t="s">
        <v>509</v>
      </c>
      <c r="D601" s="79">
        <v>345.77</v>
      </c>
      <c r="F601" s="79">
        <v>345.77</v>
      </c>
      <c r="G601" s="81"/>
      <c r="N601" s="133"/>
      <c r="O601" s="241"/>
      <c r="P601" s="213"/>
    </row>
    <row r="602" spans="1:16" ht="12">
      <c r="A602" s="67" t="s">
        <v>1134</v>
      </c>
      <c r="B602" s="65" t="s">
        <v>1135</v>
      </c>
      <c r="C602" s="71" t="s">
        <v>509</v>
      </c>
      <c r="D602" s="79">
        <v>542.14</v>
      </c>
      <c r="F602" s="79">
        <v>542.14</v>
      </c>
      <c r="G602" s="81"/>
      <c r="N602" s="133"/>
      <c r="O602" s="241"/>
      <c r="P602" s="213"/>
    </row>
    <row r="603" spans="1:16" ht="24">
      <c r="A603" s="83" t="s">
        <v>1136</v>
      </c>
      <c r="B603" s="257" t="s">
        <v>1137</v>
      </c>
      <c r="C603" s="258" t="s">
        <v>509</v>
      </c>
      <c r="D603" s="79">
        <v>80.709999999999994</v>
      </c>
      <c r="F603" s="79">
        <v>80.709999999999994</v>
      </c>
      <c r="G603" s="81"/>
      <c r="N603" s="240"/>
      <c r="O603" s="241"/>
      <c r="P603" s="213"/>
    </row>
    <row r="604" spans="1:16" ht="12">
      <c r="A604" s="83" t="s">
        <v>1138</v>
      </c>
      <c r="B604" s="257" t="s">
        <v>1139</v>
      </c>
      <c r="C604" s="258" t="s">
        <v>103</v>
      </c>
      <c r="D604" s="79">
        <v>815.27</v>
      </c>
      <c r="F604" s="79">
        <v>815.27</v>
      </c>
      <c r="G604" s="81"/>
      <c r="N604" s="240"/>
      <c r="O604" s="241"/>
      <c r="P604" s="213"/>
    </row>
    <row r="605" spans="1:16" ht="12">
      <c r="A605" s="83" t="s">
        <v>1140</v>
      </c>
      <c r="B605" s="257" t="s">
        <v>1141</v>
      </c>
      <c r="C605" s="258" t="s">
        <v>103</v>
      </c>
      <c r="D605" s="79">
        <v>829.66</v>
      </c>
      <c r="F605" s="79">
        <v>829.66</v>
      </c>
      <c r="G605" s="81"/>
      <c r="N605" s="240"/>
      <c r="O605" s="241"/>
      <c r="P605" s="213"/>
    </row>
    <row r="606" spans="1:16" ht="12">
      <c r="A606" s="83" t="s">
        <v>1142</v>
      </c>
      <c r="B606" s="257" t="s">
        <v>1143</v>
      </c>
      <c r="C606" s="258" t="s">
        <v>103</v>
      </c>
      <c r="D606" s="79">
        <v>1.37</v>
      </c>
      <c r="F606" s="79">
        <v>1.37</v>
      </c>
      <c r="G606" s="81"/>
      <c r="N606" s="240"/>
      <c r="O606" s="241"/>
      <c r="P606" s="213"/>
    </row>
    <row r="607" spans="1:16" ht="12">
      <c r="A607" s="83" t="s">
        <v>1144</v>
      </c>
      <c r="B607" s="257" t="s">
        <v>1145</v>
      </c>
      <c r="C607" s="258" t="s">
        <v>103</v>
      </c>
      <c r="D607" s="79">
        <v>1.35</v>
      </c>
      <c r="F607" s="79">
        <v>1.35</v>
      </c>
      <c r="G607" s="81"/>
      <c r="N607" s="240"/>
      <c r="O607" s="241"/>
      <c r="P607" s="213"/>
    </row>
    <row r="608" spans="1:16" ht="12">
      <c r="A608" s="96" t="s">
        <v>1146</v>
      </c>
      <c r="B608" s="265" t="s">
        <v>1147</v>
      </c>
      <c r="C608" s="212" t="s">
        <v>509</v>
      </c>
      <c r="D608" s="79">
        <v>56.01</v>
      </c>
      <c r="F608" s="517">
        <v>56.01</v>
      </c>
    </row>
    <row r="609" spans="1:16" ht="12">
      <c r="A609" s="83" t="s">
        <v>1148</v>
      </c>
      <c r="B609" s="65" t="s">
        <v>1149</v>
      </c>
      <c r="C609" s="71" t="s">
        <v>121</v>
      </c>
      <c r="D609" s="79">
        <v>375.07</v>
      </c>
      <c r="E609" s="66"/>
      <c r="F609" s="79">
        <v>375.07</v>
      </c>
      <c r="G609" s="81"/>
      <c r="H609" s="73"/>
      <c r="I609" s="73"/>
      <c r="J609" s="73"/>
      <c r="K609" s="73"/>
      <c r="L609" s="73"/>
      <c r="N609" s="135"/>
      <c r="O609" s="241"/>
      <c r="P609" s="213"/>
    </row>
    <row r="610" spans="1:16" ht="24">
      <c r="A610" s="263" t="s">
        <v>1150</v>
      </c>
      <c r="B610" s="263" t="s">
        <v>1151</v>
      </c>
      <c r="C610" s="264" t="s">
        <v>121</v>
      </c>
      <c r="D610" s="79">
        <v>1112.06</v>
      </c>
      <c r="E610" s="182"/>
      <c r="F610" s="519">
        <v>1112.06</v>
      </c>
      <c r="G610" s="242"/>
      <c r="H610" s="242"/>
      <c r="I610" s="242"/>
      <c r="J610" s="242"/>
      <c r="K610" s="242"/>
      <c r="L610" s="242"/>
      <c r="M610" s="242"/>
      <c r="N610" s="242"/>
      <c r="O610" s="242"/>
      <c r="P610" s="242"/>
    </row>
    <row r="611" spans="1:16" ht="12">
      <c r="A611" s="83" t="s">
        <v>1152</v>
      </c>
      <c r="B611" s="257" t="s">
        <v>1153</v>
      </c>
      <c r="C611" s="258" t="s">
        <v>509</v>
      </c>
      <c r="D611" s="79">
        <v>30.36</v>
      </c>
      <c r="F611" s="79">
        <v>30.36</v>
      </c>
      <c r="G611" s="81"/>
      <c r="N611" s="240"/>
      <c r="O611" s="241"/>
      <c r="P611" s="213"/>
    </row>
    <row r="612" spans="1:16" ht="12">
      <c r="A612" s="83" t="s">
        <v>1154</v>
      </c>
      <c r="B612" s="257" t="s">
        <v>42043</v>
      </c>
      <c r="C612" s="258" t="s">
        <v>509</v>
      </c>
      <c r="D612" s="79">
        <v>7.13</v>
      </c>
      <c r="F612" s="79">
        <v>7.13</v>
      </c>
      <c r="G612" s="81"/>
      <c r="N612" s="240"/>
      <c r="O612" s="241"/>
      <c r="P612" s="213"/>
    </row>
    <row r="613" spans="1:16" ht="12">
      <c r="A613" s="83" t="s">
        <v>1155</v>
      </c>
      <c r="B613" s="257" t="s">
        <v>42044</v>
      </c>
      <c r="C613" s="258" t="s">
        <v>509</v>
      </c>
      <c r="D613" s="79">
        <v>22.38</v>
      </c>
      <c r="F613" s="79">
        <v>22.38</v>
      </c>
      <c r="G613" s="81"/>
      <c r="N613" s="240"/>
      <c r="O613" s="241"/>
      <c r="P613" s="213"/>
    </row>
    <row r="614" spans="1:16" ht="24">
      <c r="A614" s="83" t="s">
        <v>1156</v>
      </c>
      <c r="B614" s="257" t="s">
        <v>1157</v>
      </c>
      <c r="C614" s="258" t="s">
        <v>165</v>
      </c>
      <c r="D614" s="79">
        <v>5.18</v>
      </c>
      <c r="F614" s="79">
        <v>5.18</v>
      </c>
      <c r="G614" s="81"/>
      <c r="N614" s="240"/>
      <c r="O614" s="241"/>
      <c r="P614" s="213"/>
    </row>
    <row r="615" spans="1:16" ht="24">
      <c r="A615" s="83" t="s">
        <v>1158</v>
      </c>
      <c r="B615" s="257" t="s">
        <v>1159</v>
      </c>
      <c r="C615" s="258" t="s">
        <v>165</v>
      </c>
      <c r="D615" s="79">
        <v>7.16</v>
      </c>
      <c r="F615" s="79">
        <v>7.16</v>
      </c>
      <c r="G615" s="81"/>
      <c r="N615" s="240"/>
      <c r="O615" s="241"/>
      <c r="P615" s="213"/>
    </row>
    <row r="616" spans="1:16" ht="24">
      <c r="A616" s="83" t="s">
        <v>1160</v>
      </c>
      <c r="B616" s="257" t="s">
        <v>1161</v>
      </c>
      <c r="C616" s="258" t="s">
        <v>165</v>
      </c>
      <c r="D616" s="79">
        <v>17.68</v>
      </c>
      <c r="F616" s="79">
        <v>17.68</v>
      </c>
      <c r="G616" s="81"/>
      <c r="N616" s="240"/>
      <c r="O616" s="241"/>
      <c r="P616" s="213"/>
    </row>
    <row r="617" spans="1:16" ht="24">
      <c r="A617" s="83" t="s">
        <v>1162</v>
      </c>
      <c r="B617" s="257" t="s">
        <v>1163</v>
      </c>
      <c r="C617" s="258" t="s">
        <v>165</v>
      </c>
      <c r="D617" s="79">
        <v>21.94</v>
      </c>
      <c r="F617" s="79">
        <v>21.94</v>
      </c>
      <c r="G617" s="81"/>
      <c r="N617" s="240"/>
      <c r="O617" s="241"/>
      <c r="P617" s="213"/>
    </row>
    <row r="618" spans="1:16" ht="24">
      <c r="A618" s="83" t="s">
        <v>1164</v>
      </c>
      <c r="B618" s="257" t="s">
        <v>1165</v>
      </c>
      <c r="C618" s="258" t="s">
        <v>165</v>
      </c>
      <c r="D618" s="79">
        <v>23.35</v>
      </c>
      <c r="F618" s="79">
        <v>23.35</v>
      </c>
      <c r="G618" s="81"/>
      <c r="N618" s="240"/>
      <c r="O618" s="241"/>
      <c r="P618" s="213"/>
    </row>
    <row r="619" spans="1:16" ht="24">
      <c r="A619" s="83" t="s">
        <v>1166</v>
      </c>
      <c r="B619" s="257" t="s">
        <v>1167</v>
      </c>
      <c r="C619" s="258" t="s">
        <v>165</v>
      </c>
      <c r="D619" s="79">
        <v>30.43</v>
      </c>
      <c r="F619" s="79">
        <v>30.43</v>
      </c>
      <c r="G619" s="81"/>
      <c r="N619" s="240"/>
      <c r="O619" s="241"/>
      <c r="P619" s="213"/>
    </row>
    <row r="620" spans="1:16" ht="24">
      <c r="A620" s="83" t="s">
        <v>1168</v>
      </c>
      <c r="B620" s="257" t="s">
        <v>1169</v>
      </c>
      <c r="C620" s="258" t="s">
        <v>165</v>
      </c>
      <c r="D620" s="79">
        <v>30.57</v>
      </c>
      <c r="F620" s="79">
        <v>30.57</v>
      </c>
      <c r="G620" s="81"/>
      <c r="N620" s="240"/>
      <c r="O620" s="241"/>
      <c r="P620" s="213"/>
    </row>
    <row r="621" spans="1:16" ht="24">
      <c r="A621" s="83" t="s">
        <v>1170</v>
      </c>
      <c r="B621" s="257" t="s">
        <v>1171</v>
      </c>
      <c r="C621" s="258" t="s">
        <v>165</v>
      </c>
      <c r="D621" s="79">
        <v>41.41</v>
      </c>
      <c r="F621" s="79">
        <v>41.41</v>
      </c>
      <c r="G621" s="81"/>
      <c r="N621" s="240"/>
      <c r="O621" s="241"/>
      <c r="P621" s="213"/>
    </row>
    <row r="622" spans="1:16" ht="24">
      <c r="A622" s="83" t="s">
        <v>1172</v>
      </c>
      <c r="B622" s="257" t="s">
        <v>1173</v>
      </c>
      <c r="C622" s="258" t="s">
        <v>165</v>
      </c>
      <c r="D622" s="79">
        <v>55.06</v>
      </c>
      <c r="F622" s="79">
        <v>55.06</v>
      </c>
      <c r="G622" s="81"/>
      <c r="N622" s="240"/>
      <c r="O622" s="241"/>
      <c r="P622" s="213"/>
    </row>
    <row r="623" spans="1:16" ht="24">
      <c r="A623" s="83" t="s">
        <v>1174</v>
      </c>
      <c r="B623" s="257" t="s">
        <v>1175</v>
      </c>
      <c r="C623" s="258" t="s">
        <v>165</v>
      </c>
      <c r="D623" s="79">
        <v>57.23</v>
      </c>
      <c r="F623" s="79">
        <v>57.23</v>
      </c>
      <c r="G623" s="81"/>
      <c r="N623" s="240"/>
      <c r="O623" s="241"/>
      <c r="P623" s="213"/>
    </row>
    <row r="624" spans="1:16" ht="24">
      <c r="A624" s="83" t="s">
        <v>1176</v>
      </c>
      <c r="B624" s="257" t="s">
        <v>1177</v>
      </c>
      <c r="C624" s="258" t="s">
        <v>165</v>
      </c>
      <c r="D624" s="79">
        <v>106.9</v>
      </c>
      <c r="F624" s="79">
        <v>106.9</v>
      </c>
      <c r="G624" s="81"/>
      <c r="N624" s="240"/>
      <c r="O624" s="241"/>
      <c r="P624" s="213"/>
    </row>
    <row r="625" spans="1:16" ht="24">
      <c r="A625" s="83" t="s">
        <v>1178</v>
      </c>
      <c r="B625" s="257" t="s">
        <v>1179</v>
      </c>
      <c r="C625" s="258" t="s">
        <v>165</v>
      </c>
      <c r="D625" s="79">
        <v>116.16</v>
      </c>
      <c r="F625" s="79">
        <v>116.16</v>
      </c>
      <c r="G625" s="81"/>
      <c r="N625" s="240"/>
      <c r="O625" s="241"/>
      <c r="P625" s="213"/>
    </row>
    <row r="626" spans="1:16" ht="24">
      <c r="A626" s="83" t="s">
        <v>1180</v>
      </c>
      <c r="B626" s="257" t="s">
        <v>1181</v>
      </c>
      <c r="C626" s="258" t="s">
        <v>165</v>
      </c>
      <c r="D626" s="79">
        <v>148.79</v>
      </c>
      <c r="F626" s="79">
        <v>148.79</v>
      </c>
      <c r="G626" s="81"/>
      <c r="N626" s="240"/>
      <c r="O626" s="241"/>
      <c r="P626" s="213"/>
    </row>
    <row r="627" spans="1:16" ht="24">
      <c r="A627" s="83" t="s">
        <v>1182</v>
      </c>
      <c r="B627" s="257" t="s">
        <v>1183</v>
      </c>
      <c r="C627" s="258" t="s">
        <v>509</v>
      </c>
      <c r="D627" s="79">
        <v>66.11</v>
      </c>
      <c r="F627" s="79">
        <v>66.11</v>
      </c>
      <c r="G627" s="81"/>
      <c r="N627" s="240"/>
      <c r="O627" s="241"/>
      <c r="P627" s="213"/>
    </row>
    <row r="628" spans="1:16" ht="12">
      <c r="A628" s="83" t="s">
        <v>1184</v>
      </c>
      <c r="B628" s="257" t="s">
        <v>1185</v>
      </c>
      <c r="C628" s="258" t="s">
        <v>509</v>
      </c>
      <c r="D628" s="79">
        <v>18.059999999999999</v>
      </c>
      <c r="F628" s="79">
        <v>18.059999999999999</v>
      </c>
      <c r="G628" s="81"/>
      <c r="N628" s="240"/>
      <c r="O628" s="241"/>
      <c r="P628" s="213"/>
    </row>
    <row r="629" spans="1:16" ht="24">
      <c r="A629" s="83" t="s">
        <v>1186</v>
      </c>
      <c r="B629" s="257" t="s">
        <v>39265</v>
      </c>
      <c r="C629" s="258" t="s">
        <v>1187</v>
      </c>
      <c r="D629" s="79">
        <v>200.29</v>
      </c>
      <c r="F629" s="79">
        <v>200.29</v>
      </c>
      <c r="G629" s="81"/>
      <c r="N629" s="240"/>
      <c r="O629" s="241"/>
      <c r="P629" s="213"/>
    </row>
    <row r="630" spans="1:16" ht="12">
      <c r="A630" s="83" t="s">
        <v>1188</v>
      </c>
      <c r="B630" s="257" t="s">
        <v>28110</v>
      </c>
      <c r="C630" s="258" t="s">
        <v>544</v>
      </c>
      <c r="D630" s="79">
        <v>43.73</v>
      </c>
      <c r="F630" s="79">
        <v>43.73</v>
      </c>
      <c r="G630" s="81"/>
      <c r="N630" s="240"/>
      <c r="O630" s="241"/>
      <c r="P630" s="213"/>
    </row>
    <row r="631" spans="1:16" ht="12">
      <c r="A631" s="261" t="s">
        <v>28487</v>
      </c>
      <c r="B631" s="261" t="s">
        <v>28488</v>
      </c>
      <c r="C631" s="266" t="s">
        <v>509</v>
      </c>
      <c r="D631" s="79">
        <v>17.77</v>
      </c>
      <c r="F631" s="518">
        <v>17.77</v>
      </c>
    </row>
    <row r="632" spans="1:16" ht="24">
      <c r="A632" s="67" t="s">
        <v>1189</v>
      </c>
      <c r="B632" s="65" t="s">
        <v>1190</v>
      </c>
      <c r="C632" s="71" t="s">
        <v>165</v>
      </c>
      <c r="D632" s="79">
        <v>237.26</v>
      </c>
      <c r="F632" s="79">
        <v>237.26</v>
      </c>
      <c r="G632" s="81"/>
      <c r="N632" s="133"/>
      <c r="O632" s="241"/>
      <c r="P632" s="213"/>
    </row>
    <row r="633" spans="1:16" ht="24">
      <c r="A633" s="67" t="s">
        <v>1191</v>
      </c>
      <c r="B633" s="65" t="s">
        <v>1192</v>
      </c>
      <c r="C633" s="71" t="s">
        <v>165</v>
      </c>
      <c r="D633" s="79">
        <v>278.60000000000002</v>
      </c>
      <c r="F633" s="79">
        <v>278.60000000000002</v>
      </c>
      <c r="G633" s="81"/>
      <c r="N633" s="133"/>
      <c r="O633" s="241"/>
      <c r="P633" s="213"/>
    </row>
    <row r="634" spans="1:16" ht="24">
      <c r="A634" s="67" t="s">
        <v>1193</v>
      </c>
      <c r="B634" s="65" t="s">
        <v>1194</v>
      </c>
      <c r="C634" s="71" t="s">
        <v>165</v>
      </c>
      <c r="D634" s="79">
        <v>111.3</v>
      </c>
      <c r="F634" s="79">
        <v>111.3</v>
      </c>
      <c r="G634" s="81"/>
      <c r="N634" s="133"/>
      <c r="O634" s="241"/>
      <c r="P634" s="213"/>
    </row>
    <row r="635" spans="1:16" ht="24">
      <c r="A635" s="67" t="s">
        <v>1195</v>
      </c>
      <c r="B635" s="65" t="s">
        <v>1196</v>
      </c>
      <c r="C635" s="71" t="s">
        <v>165</v>
      </c>
      <c r="D635" s="79">
        <v>104.07</v>
      </c>
      <c r="F635" s="79">
        <v>104.07</v>
      </c>
      <c r="G635" s="81"/>
      <c r="N635" s="133"/>
      <c r="O635" s="241"/>
      <c r="P635" s="213"/>
    </row>
    <row r="636" spans="1:16" ht="24">
      <c r="A636" s="83" t="s">
        <v>1197</v>
      </c>
      <c r="B636" s="257" t="s">
        <v>1198</v>
      </c>
      <c r="C636" s="258" t="s">
        <v>544</v>
      </c>
      <c r="D636" s="79">
        <v>49.35</v>
      </c>
      <c r="F636" s="79">
        <v>49.35</v>
      </c>
      <c r="G636" s="81"/>
      <c r="N636" s="240"/>
      <c r="O636" s="241"/>
      <c r="P636" s="213"/>
    </row>
    <row r="637" spans="1:16" ht="12">
      <c r="A637" s="83" t="s">
        <v>1199</v>
      </c>
      <c r="B637" s="257" t="s">
        <v>1200</v>
      </c>
      <c r="C637" s="258" t="s">
        <v>165</v>
      </c>
      <c r="D637" s="79">
        <v>10.94</v>
      </c>
      <c r="F637" s="79">
        <v>10.94</v>
      </c>
      <c r="G637" s="81"/>
      <c r="N637" s="240"/>
      <c r="O637" s="241"/>
      <c r="P637" s="213"/>
    </row>
    <row r="638" spans="1:16" ht="12">
      <c r="A638" s="83" t="s">
        <v>1201</v>
      </c>
      <c r="B638" s="257" t="s">
        <v>1202</v>
      </c>
      <c r="C638" s="258" t="s">
        <v>165</v>
      </c>
      <c r="D638" s="79">
        <v>135.21</v>
      </c>
      <c r="F638" s="79">
        <v>135.21</v>
      </c>
      <c r="G638" s="81"/>
      <c r="N638" s="240"/>
      <c r="O638" s="241"/>
      <c r="P638" s="213"/>
    </row>
    <row r="639" spans="1:16" ht="12">
      <c r="A639" s="83" t="s">
        <v>1203</v>
      </c>
      <c r="B639" s="257" t="s">
        <v>1204</v>
      </c>
      <c r="C639" s="258" t="s">
        <v>165</v>
      </c>
      <c r="D639" s="79">
        <v>399.7</v>
      </c>
      <c r="F639" s="79">
        <v>399.7</v>
      </c>
      <c r="G639" s="81"/>
      <c r="N639" s="240"/>
      <c r="O639" s="241"/>
      <c r="P639" s="213"/>
    </row>
    <row r="640" spans="1:16" ht="12">
      <c r="A640" s="83" t="s">
        <v>1205</v>
      </c>
      <c r="B640" s="257" t="s">
        <v>1206</v>
      </c>
      <c r="C640" s="258" t="s">
        <v>165</v>
      </c>
      <c r="D640" s="79">
        <v>915.14</v>
      </c>
      <c r="F640" s="79">
        <v>915.14</v>
      </c>
      <c r="G640" s="81"/>
      <c r="N640" s="240"/>
      <c r="O640" s="241"/>
      <c r="P640" s="213"/>
    </row>
    <row r="641" spans="1:16" ht="12">
      <c r="A641" s="83" t="s">
        <v>1207</v>
      </c>
      <c r="B641" s="257" t="s">
        <v>1208</v>
      </c>
      <c r="C641" s="258" t="s">
        <v>165</v>
      </c>
      <c r="D641" s="79">
        <v>1215.8399999999999</v>
      </c>
      <c r="F641" s="79">
        <v>1215.8399999999999</v>
      </c>
      <c r="G641" s="81"/>
      <c r="N641" s="240"/>
      <c r="O641" s="241"/>
      <c r="P641" s="213"/>
    </row>
    <row r="642" spans="1:16" ht="12">
      <c r="A642" s="83" t="s">
        <v>1209</v>
      </c>
      <c r="B642" s="257" t="s">
        <v>29761</v>
      </c>
      <c r="C642" s="258" t="s">
        <v>165</v>
      </c>
      <c r="D642" s="79">
        <v>44.36</v>
      </c>
      <c r="F642" s="79">
        <v>44.36</v>
      </c>
      <c r="G642" s="81"/>
      <c r="N642" s="240"/>
      <c r="O642" s="241"/>
      <c r="P642" s="213"/>
    </row>
    <row r="643" spans="1:16" ht="12">
      <c r="A643" s="83" t="s">
        <v>1210</v>
      </c>
      <c r="B643" s="257" t="s">
        <v>29762</v>
      </c>
      <c r="C643" s="258" t="s">
        <v>165</v>
      </c>
      <c r="D643" s="79">
        <v>90.41</v>
      </c>
      <c r="F643" s="79">
        <v>90.41</v>
      </c>
      <c r="G643" s="81"/>
      <c r="N643" s="240"/>
      <c r="O643" s="241"/>
      <c r="P643" s="213"/>
    </row>
    <row r="644" spans="1:16" ht="12">
      <c r="A644" s="83" t="s">
        <v>1211</v>
      </c>
      <c r="B644" s="257" t="s">
        <v>1212</v>
      </c>
      <c r="C644" s="258" t="s">
        <v>165</v>
      </c>
      <c r="D644" s="79">
        <v>81.7</v>
      </c>
      <c r="F644" s="79">
        <v>81.7</v>
      </c>
      <c r="G644" s="81"/>
      <c r="N644" s="240"/>
      <c r="O644" s="241"/>
      <c r="P644" s="213"/>
    </row>
    <row r="645" spans="1:16" ht="12">
      <c r="A645" s="83" t="s">
        <v>1213</v>
      </c>
      <c r="B645" s="64" t="s">
        <v>1214</v>
      </c>
      <c r="C645" s="258" t="s">
        <v>165</v>
      </c>
      <c r="D645" s="79">
        <v>0.55000000000000004</v>
      </c>
      <c r="F645" s="79">
        <v>0.55000000000000004</v>
      </c>
      <c r="G645" s="81"/>
      <c r="N645" s="240"/>
      <c r="O645" s="241"/>
      <c r="P645" s="213"/>
    </row>
    <row r="646" spans="1:16" ht="12">
      <c r="A646" s="83" t="s">
        <v>1215</v>
      </c>
      <c r="B646" s="64" t="s">
        <v>1216</v>
      </c>
      <c r="C646" s="258" t="s">
        <v>165</v>
      </c>
      <c r="D646" s="79">
        <v>0.54</v>
      </c>
      <c r="F646" s="79">
        <v>0.54</v>
      </c>
      <c r="G646" s="81"/>
      <c r="N646" s="240"/>
      <c r="O646" s="241"/>
      <c r="P646" s="213"/>
    </row>
    <row r="647" spans="1:16" ht="24">
      <c r="A647" s="83" t="s">
        <v>1217</v>
      </c>
      <c r="B647" s="257" t="s">
        <v>1218</v>
      </c>
      <c r="C647" s="258" t="s">
        <v>509</v>
      </c>
      <c r="D647" s="79">
        <v>19.59</v>
      </c>
      <c r="F647" s="79">
        <v>19.59</v>
      </c>
      <c r="G647" s="81"/>
      <c r="N647" s="240"/>
      <c r="O647" s="241"/>
      <c r="P647" s="213"/>
    </row>
    <row r="648" spans="1:16" ht="24">
      <c r="A648" s="83" t="s">
        <v>1219</v>
      </c>
      <c r="B648" s="257" t="s">
        <v>1220</v>
      </c>
      <c r="C648" s="258" t="s">
        <v>509</v>
      </c>
      <c r="D648" s="79">
        <v>9.84</v>
      </c>
      <c r="F648" s="79">
        <v>9.84</v>
      </c>
      <c r="G648" s="81"/>
      <c r="N648" s="240"/>
      <c r="O648" s="241"/>
      <c r="P648" s="213"/>
    </row>
    <row r="649" spans="1:16" ht="24">
      <c r="A649" s="83" t="s">
        <v>1221</v>
      </c>
      <c r="B649" s="257" t="s">
        <v>1222</v>
      </c>
      <c r="C649" s="258" t="s">
        <v>509</v>
      </c>
      <c r="D649" s="79">
        <v>7.38</v>
      </c>
      <c r="F649" s="79">
        <v>7.38</v>
      </c>
      <c r="G649" s="81"/>
      <c r="N649" s="240"/>
      <c r="O649" s="241"/>
      <c r="P649" s="213"/>
    </row>
    <row r="650" spans="1:16" ht="12">
      <c r="A650" s="83" t="s">
        <v>1223</v>
      </c>
      <c r="B650" s="257" t="s">
        <v>1224</v>
      </c>
      <c r="C650" s="258" t="s">
        <v>509</v>
      </c>
      <c r="D650" s="79">
        <v>6.59</v>
      </c>
      <c r="F650" s="79">
        <v>6.59</v>
      </c>
      <c r="G650" s="81"/>
      <c r="N650" s="240"/>
      <c r="O650" s="241"/>
      <c r="P650" s="213"/>
    </row>
    <row r="651" spans="1:16" ht="24">
      <c r="A651" s="83" t="s">
        <v>1225</v>
      </c>
      <c r="B651" s="257" t="s">
        <v>29763</v>
      </c>
      <c r="C651" s="258" t="s">
        <v>509</v>
      </c>
      <c r="D651" s="79">
        <v>124.26</v>
      </c>
      <c r="F651" s="79">
        <v>124.26</v>
      </c>
      <c r="G651" s="81"/>
      <c r="N651" s="240"/>
      <c r="O651" s="241"/>
      <c r="P651" s="213"/>
    </row>
    <row r="652" spans="1:16" ht="36">
      <c r="A652" s="83" t="s">
        <v>1226</v>
      </c>
      <c r="B652" s="257" t="s">
        <v>1227</v>
      </c>
      <c r="C652" s="258" t="s">
        <v>509</v>
      </c>
      <c r="D652" s="79">
        <v>12.01</v>
      </c>
      <c r="F652" s="79">
        <v>12.01</v>
      </c>
      <c r="G652" s="81"/>
      <c r="N652" s="240"/>
      <c r="O652" s="241"/>
      <c r="P652" s="213"/>
    </row>
    <row r="653" spans="1:16" ht="36">
      <c r="A653" s="83" t="s">
        <v>1228</v>
      </c>
      <c r="B653" s="257" t="s">
        <v>1229</v>
      </c>
      <c r="C653" s="258" t="s">
        <v>509</v>
      </c>
      <c r="D653" s="79">
        <v>163.88</v>
      </c>
      <c r="F653" s="79">
        <v>163.88</v>
      </c>
      <c r="G653" s="81"/>
      <c r="N653" s="240"/>
      <c r="O653" s="241"/>
      <c r="P653" s="213"/>
    </row>
    <row r="654" spans="1:16" ht="12">
      <c r="A654" s="83" t="s">
        <v>1230</v>
      </c>
      <c r="B654" s="257" t="s">
        <v>1231</v>
      </c>
      <c r="C654" s="258" t="s">
        <v>509</v>
      </c>
      <c r="D654" s="79">
        <v>48.29</v>
      </c>
      <c r="F654" s="79">
        <v>48.29</v>
      </c>
      <c r="G654" s="81"/>
      <c r="N654" s="240"/>
      <c r="O654" s="241"/>
      <c r="P654" s="213"/>
    </row>
    <row r="655" spans="1:16" ht="12">
      <c r="A655" s="83" t="s">
        <v>1232</v>
      </c>
      <c r="B655" s="257" t="s">
        <v>1233</v>
      </c>
      <c r="C655" s="258" t="s">
        <v>103</v>
      </c>
      <c r="D655" s="79">
        <v>79.37</v>
      </c>
      <c r="F655" s="79">
        <v>79.37</v>
      </c>
      <c r="G655" s="81"/>
      <c r="N655" s="240"/>
      <c r="O655" s="241"/>
      <c r="P655" s="213"/>
    </row>
    <row r="656" spans="1:16" ht="12">
      <c r="A656" s="83" t="s">
        <v>1234</v>
      </c>
      <c r="B656" s="257" t="s">
        <v>1235</v>
      </c>
      <c r="C656" s="258" t="s">
        <v>165</v>
      </c>
      <c r="D656" s="79">
        <v>4.8099999999999996</v>
      </c>
      <c r="F656" s="79">
        <v>4.8099999999999996</v>
      </c>
      <c r="G656" s="81"/>
      <c r="N656" s="240"/>
      <c r="O656" s="241"/>
      <c r="P656" s="213"/>
    </row>
    <row r="657" spans="1:16" ht="24">
      <c r="A657" s="83" t="s">
        <v>1236</v>
      </c>
      <c r="B657" s="257" t="s">
        <v>1237</v>
      </c>
      <c r="C657" s="258" t="s">
        <v>153</v>
      </c>
      <c r="D657" s="79">
        <v>13.6</v>
      </c>
      <c r="F657" s="79">
        <v>13.6</v>
      </c>
      <c r="G657" s="81"/>
      <c r="N657" s="240"/>
      <c r="O657" s="241"/>
      <c r="P657" s="213"/>
    </row>
    <row r="658" spans="1:16" ht="24">
      <c r="A658" s="256" t="s">
        <v>29998</v>
      </c>
      <c r="B658" s="261" t="s">
        <v>29999</v>
      </c>
      <c r="C658" s="262" t="s">
        <v>207</v>
      </c>
      <c r="D658" s="79">
        <v>7.62</v>
      </c>
      <c r="F658" s="520">
        <v>7.62</v>
      </c>
    </row>
    <row r="659" spans="1:16" ht="12">
      <c r="A659" s="83" t="s">
        <v>1238</v>
      </c>
      <c r="B659" s="257" t="s">
        <v>1239</v>
      </c>
      <c r="C659" s="258" t="s">
        <v>509</v>
      </c>
      <c r="D659" s="79">
        <v>27.33</v>
      </c>
      <c r="F659" s="79">
        <v>27.33</v>
      </c>
      <c r="G659" s="81"/>
      <c r="N659" s="240"/>
      <c r="O659" s="241"/>
      <c r="P659" s="213"/>
    </row>
    <row r="660" spans="1:16" ht="12">
      <c r="A660" s="83" t="s">
        <v>1240</v>
      </c>
      <c r="B660" s="257" t="s">
        <v>1241</v>
      </c>
      <c r="C660" s="258" t="s">
        <v>153</v>
      </c>
      <c r="D660" s="79">
        <v>13.82</v>
      </c>
      <c r="F660" s="79">
        <v>13.82</v>
      </c>
      <c r="G660" s="81"/>
      <c r="N660" s="240"/>
      <c r="O660" s="241"/>
      <c r="P660" s="213"/>
    </row>
    <row r="661" spans="1:16" ht="24">
      <c r="A661" s="83" t="s">
        <v>1242</v>
      </c>
      <c r="B661" s="257" t="s">
        <v>39266</v>
      </c>
      <c r="C661" s="258" t="s">
        <v>544</v>
      </c>
      <c r="D661" s="79">
        <v>44.05</v>
      </c>
      <c r="F661" s="79">
        <v>44.05</v>
      </c>
      <c r="G661" s="81"/>
      <c r="N661" s="240"/>
      <c r="O661" s="241"/>
      <c r="P661" s="213"/>
    </row>
    <row r="662" spans="1:16" ht="24">
      <c r="A662" s="83" t="s">
        <v>1243</v>
      </c>
      <c r="B662" s="257" t="s">
        <v>1244</v>
      </c>
      <c r="C662" s="258" t="s">
        <v>153</v>
      </c>
      <c r="D662" s="79">
        <v>146.69</v>
      </c>
      <c r="F662" s="79">
        <v>146.69</v>
      </c>
      <c r="G662" s="81"/>
      <c r="N662" s="240"/>
      <c r="O662" s="241"/>
      <c r="P662" s="213"/>
    </row>
    <row r="663" spans="1:16" ht="12">
      <c r="A663" s="83" t="s">
        <v>1245</v>
      </c>
      <c r="B663" s="257" t="s">
        <v>1246</v>
      </c>
      <c r="C663" s="258" t="s">
        <v>509</v>
      </c>
      <c r="D663" s="79">
        <v>2.4300000000000002</v>
      </c>
      <c r="F663" s="79">
        <v>2.4300000000000002</v>
      </c>
      <c r="G663" s="81"/>
      <c r="N663" s="240"/>
      <c r="O663" s="241"/>
      <c r="P663" s="213"/>
    </row>
    <row r="664" spans="1:16" ht="12">
      <c r="A664" s="83" t="s">
        <v>1247</v>
      </c>
      <c r="B664" s="257" t="s">
        <v>1248</v>
      </c>
      <c r="C664" s="258" t="s">
        <v>509</v>
      </c>
      <c r="D664" s="79">
        <v>50.14</v>
      </c>
      <c r="F664" s="79">
        <v>50.14</v>
      </c>
      <c r="G664" s="81"/>
      <c r="N664" s="240"/>
      <c r="O664" s="241"/>
      <c r="P664" s="213"/>
    </row>
    <row r="665" spans="1:16" ht="12">
      <c r="A665" s="83" t="s">
        <v>1249</v>
      </c>
      <c r="B665" s="257" t="s">
        <v>1250</v>
      </c>
      <c r="C665" s="258" t="s">
        <v>103</v>
      </c>
      <c r="D665" s="79">
        <v>61.68</v>
      </c>
      <c r="F665" s="79">
        <v>61.68</v>
      </c>
      <c r="G665" s="81"/>
      <c r="N665" s="240"/>
      <c r="O665" s="241"/>
      <c r="P665" s="213"/>
    </row>
    <row r="666" spans="1:16" ht="12">
      <c r="A666" s="83" t="s">
        <v>1251</v>
      </c>
      <c r="B666" s="257" t="s">
        <v>1252</v>
      </c>
      <c r="C666" s="258" t="s">
        <v>509</v>
      </c>
      <c r="D666" s="79">
        <v>130.86000000000001</v>
      </c>
      <c r="F666" s="79">
        <v>130.86000000000001</v>
      </c>
      <c r="G666" s="81"/>
      <c r="N666" s="240"/>
      <c r="O666" s="241"/>
      <c r="P666" s="213"/>
    </row>
    <row r="667" spans="1:16" ht="12">
      <c r="A667" s="83" t="s">
        <v>1253</v>
      </c>
      <c r="B667" s="257" t="s">
        <v>1254</v>
      </c>
      <c r="C667" s="258" t="s">
        <v>165</v>
      </c>
      <c r="D667" s="79">
        <v>57.01</v>
      </c>
      <c r="F667" s="79">
        <v>57.01</v>
      </c>
      <c r="G667" s="81"/>
      <c r="N667" s="240"/>
      <c r="O667" s="241"/>
      <c r="P667" s="213"/>
    </row>
    <row r="668" spans="1:16" ht="12">
      <c r="A668" s="83" t="s">
        <v>1255</v>
      </c>
      <c r="B668" s="257" t="s">
        <v>1256</v>
      </c>
      <c r="C668" s="258" t="s">
        <v>103</v>
      </c>
      <c r="D668" s="79">
        <v>66.05</v>
      </c>
      <c r="F668" s="79">
        <v>66.05</v>
      </c>
      <c r="G668" s="81"/>
      <c r="N668" s="240"/>
      <c r="O668" s="241"/>
      <c r="P668" s="213"/>
    </row>
    <row r="669" spans="1:16" ht="12">
      <c r="A669" s="83" t="s">
        <v>1257</v>
      </c>
      <c r="B669" s="257" t="s">
        <v>1258</v>
      </c>
      <c r="C669" s="258" t="s">
        <v>509</v>
      </c>
      <c r="D669" s="79">
        <v>31.79</v>
      </c>
      <c r="F669" s="79">
        <v>31.79</v>
      </c>
      <c r="G669" s="81"/>
      <c r="N669" s="240"/>
      <c r="O669" s="241"/>
      <c r="P669" s="213"/>
    </row>
    <row r="670" spans="1:16" ht="12">
      <c r="A670" s="83" t="s">
        <v>1259</v>
      </c>
      <c r="B670" s="257" t="s">
        <v>1260</v>
      </c>
      <c r="C670" s="258" t="s">
        <v>103</v>
      </c>
      <c r="D670" s="79">
        <v>42.16</v>
      </c>
      <c r="F670" s="79">
        <v>42.16</v>
      </c>
      <c r="G670" s="81"/>
      <c r="N670" s="240"/>
      <c r="O670" s="241"/>
      <c r="P670" s="213"/>
    </row>
    <row r="671" spans="1:16" ht="12">
      <c r="A671" s="83" t="s">
        <v>1261</v>
      </c>
      <c r="B671" s="257" t="s">
        <v>1262</v>
      </c>
      <c r="C671" s="258" t="s">
        <v>509</v>
      </c>
      <c r="D671" s="79">
        <v>139.83000000000001</v>
      </c>
      <c r="F671" s="79">
        <v>139.83000000000001</v>
      </c>
      <c r="G671" s="81"/>
      <c r="N671" s="240"/>
      <c r="O671" s="241"/>
      <c r="P671" s="213"/>
    </row>
    <row r="672" spans="1:16" ht="12">
      <c r="A672" s="83" t="s">
        <v>1263</v>
      </c>
      <c r="B672" s="257" t="s">
        <v>1264</v>
      </c>
      <c r="C672" s="258" t="s">
        <v>103</v>
      </c>
      <c r="D672" s="79">
        <v>68.599999999999994</v>
      </c>
      <c r="F672" s="79">
        <v>68.599999999999994</v>
      </c>
      <c r="G672" s="81"/>
      <c r="N672" s="240"/>
      <c r="O672" s="241"/>
      <c r="P672" s="213"/>
    </row>
    <row r="673" spans="1:16" ht="12">
      <c r="A673" s="83" t="s">
        <v>1265</v>
      </c>
      <c r="B673" s="257" t="s">
        <v>1266</v>
      </c>
      <c r="C673" s="258" t="s">
        <v>103</v>
      </c>
      <c r="D673" s="79">
        <v>102.63</v>
      </c>
      <c r="F673" s="79">
        <v>102.63</v>
      </c>
      <c r="G673" s="81"/>
      <c r="N673" s="240"/>
      <c r="O673" s="241"/>
      <c r="P673" s="213"/>
    </row>
    <row r="674" spans="1:16" ht="12">
      <c r="A674" s="83" t="s">
        <v>1267</v>
      </c>
      <c r="B674" s="257" t="s">
        <v>1268</v>
      </c>
      <c r="C674" s="258" t="s">
        <v>103</v>
      </c>
      <c r="D674" s="79">
        <v>62.36</v>
      </c>
      <c r="F674" s="79">
        <v>62.36</v>
      </c>
      <c r="G674" s="81"/>
      <c r="N674" s="240"/>
      <c r="O674" s="241"/>
      <c r="P674" s="213"/>
    </row>
    <row r="675" spans="1:16" ht="36">
      <c r="A675" s="83" t="s">
        <v>1269</v>
      </c>
      <c r="B675" s="257" t="s">
        <v>42045</v>
      </c>
      <c r="C675" s="258" t="s">
        <v>509</v>
      </c>
      <c r="D675" s="79">
        <v>66.95</v>
      </c>
      <c r="F675" s="79">
        <v>66.95</v>
      </c>
      <c r="G675" s="81"/>
      <c r="N675" s="240"/>
      <c r="O675" s="241"/>
      <c r="P675" s="213"/>
    </row>
    <row r="676" spans="1:16" ht="24">
      <c r="A676" s="83" t="s">
        <v>1270</v>
      </c>
      <c r="B676" s="257" t="s">
        <v>42046</v>
      </c>
      <c r="C676" s="258" t="s">
        <v>165</v>
      </c>
      <c r="D676" s="79">
        <v>62.53</v>
      </c>
      <c r="F676" s="79">
        <v>62.53</v>
      </c>
      <c r="G676" s="81"/>
      <c r="N676" s="240"/>
      <c r="O676" s="241"/>
      <c r="P676" s="213"/>
    </row>
    <row r="677" spans="1:16" ht="24">
      <c r="A677" s="83" t="s">
        <v>1271</v>
      </c>
      <c r="B677" s="257" t="s">
        <v>42047</v>
      </c>
      <c r="C677" s="258" t="s">
        <v>165</v>
      </c>
      <c r="D677" s="79">
        <v>62.27</v>
      </c>
      <c r="F677" s="79">
        <v>62.27</v>
      </c>
      <c r="G677" s="81"/>
      <c r="N677" s="240"/>
      <c r="O677" s="241"/>
      <c r="P677" s="213"/>
    </row>
    <row r="678" spans="1:16" ht="24">
      <c r="A678" s="83" t="s">
        <v>1272</v>
      </c>
      <c r="B678" s="257" t="s">
        <v>42048</v>
      </c>
      <c r="C678" s="258" t="s">
        <v>509</v>
      </c>
      <c r="D678" s="79">
        <v>96.78</v>
      </c>
      <c r="F678" s="79">
        <v>96.78</v>
      </c>
      <c r="G678" s="81"/>
      <c r="N678" s="240"/>
      <c r="O678" s="241"/>
      <c r="P678" s="213"/>
    </row>
    <row r="679" spans="1:16" ht="36">
      <c r="A679" s="83" t="s">
        <v>1273</v>
      </c>
      <c r="B679" s="257" t="s">
        <v>42049</v>
      </c>
      <c r="C679" s="258" t="s">
        <v>509</v>
      </c>
      <c r="D679" s="79">
        <v>117.82</v>
      </c>
      <c r="F679" s="79">
        <v>117.82</v>
      </c>
      <c r="G679" s="81"/>
      <c r="N679" s="240"/>
      <c r="O679" s="241"/>
      <c r="P679" s="213"/>
    </row>
    <row r="680" spans="1:16" ht="24">
      <c r="A680" s="83" t="s">
        <v>1274</v>
      </c>
      <c r="B680" s="257" t="s">
        <v>42050</v>
      </c>
      <c r="C680" s="258" t="s">
        <v>509</v>
      </c>
      <c r="D680" s="79">
        <v>135.66</v>
      </c>
      <c r="F680" s="79">
        <v>135.66</v>
      </c>
      <c r="G680" s="81"/>
      <c r="N680" s="240"/>
      <c r="O680" s="241"/>
      <c r="P680" s="213"/>
    </row>
    <row r="681" spans="1:16" ht="36">
      <c r="A681" s="83" t="s">
        <v>1275</v>
      </c>
      <c r="B681" s="257" t="s">
        <v>42051</v>
      </c>
      <c r="C681" s="258" t="s">
        <v>509</v>
      </c>
      <c r="D681" s="79">
        <v>67.47</v>
      </c>
      <c r="F681" s="79">
        <v>67.47</v>
      </c>
      <c r="G681" s="81"/>
      <c r="N681" s="240"/>
      <c r="O681" s="241"/>
      <c r="P681" s="213"/>
    </row>
    <row r="682" spans="1:16" ht="36">
      <c r="A682" s="83" t="s">
        <v>1276</v>
      </c>
      <c r="B682" s="257" t="s">
        <v>42052</v>
      </c>
      <c r="C682" s="258" t="s">
        <v>509</v>
      </c>
      <c r="D682" s="79">
        <v>130.35</v>
      </c>
      <c r="F682" s="79">
        <v>130.35</v>
      </c>
      <c r="G682" s="81"/>
      <c r="N682" s="240"/>
      <c r="O682" s="241"/>
      <c r="P682" s="213"/>
    </row>
    <row r="683" spans="1:16" ht="12">
      <c r="A683" s="83" t="s">
        <v>1277</v>
      </c>
      <c r="B683" s="257" t="s">
        <v>1278</v>
      </c>
      <c r="C683" s="258" t="s">
        <v>165</v>
      </c>
      <c r="D683" s="79">
        <v>33.450000000000003</v>
      </c>
      <c r="F683" s="79">
        <v>33.450000000000003</v>
      </c>
      <c r="G683" s="81"/>
      <c r="N683" s="240"/>
      <c r="O683" s="241"/>
      <c r="P683" s="213"/>
    </row>
    <row r="684" spans="1:16" ht="12">
      <c r="A684" s="83" t="s">
        <v>1279</v>
      </c>
      <c r="B684" s="257" t="s">
        <v>1280</v>
      </c>
      <c r="C684" s="258" t="s">
        <v>165</v>
      </c>
      <c r="D684" s="79">
        <v>49.24</v>
      </c>
      <c r="F684" s="79">
        <v>49.24</v>
      </c>
      <c r="G684" s="81"/>
      <c r="N684" s="240"/>
      <c r="O684" s="241"/>
      <c r="P684" s="213"/>
    </row>
    <row r="685" spans="1:16" ht="12">
      <c r="A685" s="83" t="s">
        <v>1281</v>
      </c>
      <c r="B685" s="257" t="s">
        <v>1282</v>
      </c>
      <c r="C685" s="258" t="s">
        <v>165</v>
      </c>
      <c r="D685" s="79">
        <v>45.58</v>
      </c>
      <c r="F685" s="79">
        <v>45.58</v>
      </c>
      <c r="G685" s="81"/>
      <c r="N685" s="240"/>
      <c r="O685" s="241"/>
      <c r="P685" s="213"/>
    </row>
    <row r="686" spans="1:16" ht="12">
      <c r="A686" s="83" t="s">
        <v>1283</v>
      </c>
      <c r="B686" s="257" t="s">
        <v>1284</v>
      </c>
      <c r="C686" s="258" t="s">
        <v>165</v>
      </c>
      <c r="D686" s="79">
        <v>69.17</v>
      </c>
      <c r="F686" s="79">
        <v>69.17</v>
      </c>
      <c r="G686" s="81"/>
      <c r="N686" s="240"/>
      <c r="O686" s="241"/>
      <c r="P686" s="213"/>
    </row>
    <row r="687" spans="1:16" ht="12">
      <c r="A687" s="83" t="s">
        <v>1285</v>
      </c>
      <c r="B687" s="257" t="s">
        <v>1286</v>
      </c>
      <c r="C687" s="258" t="s">
        <v>165</v>
      </c>
      <c r="D687" s="79">
        <v>127.37</v>
      </c>
      <c r="F687" s="79">
        <v>127.37</v>
      </c>
      <c r="G687" s="81"/>
      <c r="N687" s="240"/>
      <c r="O687" s="241"/>
      <c r="P687" s="213"/>
    </row>
    <row r="688" spans="1:16" ht="36">
      <c r="A688" s="83" t="s">
        <v>1287</v>
      </c>
      <c r="B688" s="257" t="s">
        <v>42053</v>
      </c>
      <c r="C688" s="258" t="s">
        <v>509</v>
      </c>
      <c r="D688" s="79">
        <v>161.30000000000001</v>
      </c>
      <c r="F688" s="79">
        <v>161.30000000000001</v>
      </c>
      <c r="G688" s="81"/>
      <c r="N688" s="240"/>
      <c r="O688" s="241"/>
      <c r="P688" s="213"/>
    </row>
    <row r="689" spans="1:16" ht="36">
      <c r="A689" s="83" t="s">
        <v>1288</v>
      </c>
      <c r="B689" s="257" t="s">
        <v>42054</v>
      </c>
      <c r="C689" s="258" t="s">
        <v>509</v>
      </c>
      <c r="D689" s="79">
        <v>161.77000000000001</v>
      </c>
      <c r="F689" s="79">
        <v>161.77000000000001</v>
      </c>
      <c r="G689" s="81"/>
      <c r="N689" s="240"/>
      <c r="O689" s="241"/>
      <c r="P689" s="213"/>
    </row>
    <row r="690" spans="1:16" ht="12">
      <c r="A690" s="256" t="s">
        <v>1289</v>
      </c>
      <c r="B690" s="261" t="s">
        <v>1290</v>
      </c>
      <c r="C690" s="262" t="s">
        <v>103</v>
      </c>
      <c r="D690" s="79">
        <v>5.09</v>
      </c>
      <c r="F690" s="79">
        <v>5.09</v>
      </c>
    </row>
    <row r="691" spans="1:16" ht="12">
      <c r="A691" s="83" t="s">
        <v>1291</v>
      </c>
      <c r="B691" s="257" t="s">
        <v>1292</v>
      </c>
      <c r="C691" s="258" t="s">
        <v>103</v>
      </c>
      <c r="D691" s="79">
        <v>1.59</v>
      </c>
      <c r="F691" s="79">
        <v>1.59</v>
      </c>
      <c r="G691" s="81"/>
      <c r="N691" s="240"/>
      <c r="O691" s="241"/>
      <c r="P691" s="213"/>
    </row>
    <row r="692" spans="1:16" ht="12">
      <c r="A692" s="83" t="s">
        <v>1293</v>
      </c>
      <c r="B692" s="257" t="s">
        <v>1294</v>
      </c>
      <c r="C692" s="258" t="s">
        <v>103</v>
      </c>
      <c r="D692" s="79">
        <v>0.69</v>
      </c>
      <c r="F692" s="79">
        <v>0.69</v>
      </c>
      <c r="G692" s="81"/>
      <c r="N692" s="240"/>
      <c r="O692" s="241"/>
      <c r="P692" s="213"/>
    </row>
    <row r="693" spans="1:16" ht="12">
      <c r="A693" s="83" t="s">
        <v>1295</v>
      </c>
      <c r="B693" s="257" t="s">
        <v>1296</v>
      </c>
      <c r="C693" s="258" t="s">
        <v>103</v>
      </c>
      <c r="D693" s="79">
        <v>1.3</v>
      </c>
      <c r="F693" s="79">
        <v>1.3</v>
      </c>
      <c r="G693" s="81"/>
      <c r="N693" s="240"/>
      <c r="O693" s="241"/>
      <c r="P693" s="213"/>
    </row>
    <row r="694" spans="1:16" ht="12">
      <c r="A694" s="83" t="s">
        <v>1297</v>
      </c>
      <c r="B694" s="257" t="s">
        <v>1298</v>
      </c>
      <c r="C694" s="258" t="s">
        <v>103</v>
      </c>
      <c r="D694" s="79">
        <v>4.25</v>
      </c>
      <c r="F694" s="79">
        <v>4.25</v>
      </c>
      <c r="G694" s="81"/>
      <c r="N694" s="240"/>
      <c r="O694" s="241"/>
      <c r="P694" s="213"/>
    </row>
    <row r="695" spans="1:16" ht="12">
      <c r="A695" s="83" t="s">
        <v>1299</v>
      </c>
      <c r="B695" s="257" t="s">
        <v>28111</v>
      </c>
      <c r="C695" s="258" t="s">
        <v>103</v>
      </c>
      <c r="D695" s="79">
        <v>2.86</v>
      </c>
      <c r="F695" s="79">
        <v>2.86</v>
      </c>
      <c r="G695" s="81"/>
      <c r="N695" s="240"/>
      <c r="O695" s="241"/>
      <c r="P695" s="213"/>
    </row>
    <row r="696" spans="1:16" ht="12">
      <c r="A696" s="83" t="s">
        <v>1300</v>
      </c>
      <c r="B696" s="257" t="s">
        <v>1301</v>
      </c>
      <c r="C696" s="258" t="s">
        <v>103</v>
      </c>
      <c r="D696" s="79">
        <v>3.19</v>
      </c>
      <c r="F696" s="79">
        <v>3.19</v>
      </c>
      <c r="G696" s="81"/>
      <c r="N696" s="240"/>
      <c r="O696" s="241"/>
      <c r="P696" s="213"/>
    </row>
    <row r="697" spans="1:16" ht="12">
      <c r="A697" s="83" t="s">
        <v>1302</v>
      </c>
      <c r="B697" s="257" t="s">
        <v>28112</v>
      </c>
      <c r="C697" s="258" t="s">
        <v>103</v>
      </c>
      <c r="D697" s="79">
        <v>4.03</v>
      </c>
      <c r="F697" s="79">
        <v>4.03</v>
      </c>
      <c r="G697" s="81"/>
      <c r="N697" s="240"/>
      <c r="O697" s="241"/>
      <c r="P697" s="213"/>
    </row>
    <row r="698" spans="1:16" ht="12">
      <c r="A698" s="83" t="s">
        <v>1303</v>
      </c>
      <c r="B698" s="257" t="s">
        <v>28113</v>
      </c>
      <c r="C698" s="258" t="s">
        <v>103</v>
      </c>
      <c r="D698" s="79">
        <v>3.3</v>
      </c>
      <c r="F698" s="79">
        <v>3.3</v>
      </c>
      <c r="G698" s="81"/>
      <c r="N698" s="240"/>
      <c r="O698" s="241"/>
      <c r="P698" s="213"/>
    </row>
    <row r="699" spans="1:16" ht="12">
      <c r="A699" s="83" t="s">
        <v>1304</v>
      </c>
      <c r="B699" s="257" t="s">
        <v>28114</v>
      </c>
      <c r="C699" s="258" t="s">
        <v>103</v>
      </c>
      <c r="D699" s="79">
        <v>4.38</v>
      </c>
      <c r="F699" s="79">
        <v>4.38</v>
      </c>
      <c r="G699" s="81"/>
      <c r="N699" s="240"/>
      <c r="O699" s="241"/>
      <c r="P699" s="213"/>
    </row>
    <row r="700" spans="1:16" ht="12">
      <c r="A700" s="83" t="s">
        <v>1305</v>
      </c>
      <c r="B700" s="257" t="s">
        <v>1306</v>
      </c>
      <c r="C700" s="258" t="s">
        <v>103</v>
      </c>
      <c r="D700" s="79">
        <v>3.94</v>
      </c>
      <c r="F700" s="79">
        <v>3.94</v>
      </c>
      <c r="G700" s="81"/>
      <c r="N700" s="240"/>
      <c r="O700" s="241"/>
      <c r="P700" s="213"/>
    </row>
    <row r="701" spans="1:16" ht="12">
      <c r="A701" s="83" t="s">
        <v>1307</v>
      </c>
      <c r="B701" s="257" t="s">
        <v>1308</v>
      </c>
      <c r="C701" s="258" t="s">
        <v>103</v>
      </c>
      <c r="D701" s="79">
        <v>3.95</v>
      </c>
      <c r="F701" s="79">
        <v>3.95</v>
      </c>
      <c r="G701" s="81"/>
      <c r="N701" s="240"/>
      <c r="O701" s="241"/>
      <c r="P701" s="213"/>
    </row>
    <row r="702" spans="1:16" ht="12">
      <c r="A702" s="83" t="s">
        <v>1309</v>
      </c>
      <c r="B702" s="257" t="s">
        <v>1310</v>
      </c>
      <c r="C702" s="258" t="s">
        <v>103</v>
      </c>
      <c r="D702" s="79">
        <v>3.47</v>
      </c>
      <c r="F702" s="79">
        <v>3.47</v>
      </c>
      <c r="G702" s="81"/>
      <c r="N702" s="240"/>
      <c r="O702" s="241"/>
      <c r="P702" s="213"/>
    </row>
    <row r="703" spans="1:16" ht="12">
      <c r="A703" s="83" t="s">
        <v>1311</v>
      </c>
      <c r="B703" s="257" t="s">
        <v>1312</v>
      </c>
      <c r="C703" s="258" t="s">
        <v>103</v>
      </c>
      <c r="D703" s="79">
        <v>2.21</v>
      </c>
      <c r="F703" s="79">
        <v>2.21</v>
      </c>
      <c r="G703" s="81"/>
      <c r="N703" s="240"/>
      <c r="O703" s="241"/>
      <c r="P703" s="213"/>
    </row>
    <row r="704" spans="1:16" ht="12">
      <c r="A704" s="83" t="s">
        <v>1313</v>
      </c>
      <c r="B704" s="257" t="s">
        <v>1314</v>
      </c>
      <c r="C704" s="258" t="s">
        <v>103</v>
      </c>
      <c r="D704" s="79">
        <v>3.81</v>
      </c>
      <c r="F704" s="79">
        <v>3.81</v>
      </c>
      <c r="G704" s="81"/>
      <c r="N704" s="240"/>
      <c r="O704" s="241"/>
      <c r="P704" s="213"/>
    </row>
    <row r="705" spans="1:16" s="237" customFormat="1" ht="12">
      <c r="A705" s="83" t="s">
        <v>1315</v>
      </c>
      <c r="B705" s="257" t="s">
        <v>1316</v>
      </c>
      <c r="C705" s="258" t="s">
        <v>103</v>
      </c>
      <c r="D705" s="79">
        <v>42.4</v>
      </c>
      <c r="E705" s="61"/>
      <c r="F705" s="79">
        <v>42.4</v>
      </c>
      <c r="G705" s="81"/>
      <c r="H705" s="236"/>
      <c r="I705" s="236"/>
      <c r="J705" s="236"/>
      <c r="K705" s="236"/>
      <c r="L705" s="236"/>
      <c r="M705" s="236"/>
      <c r="N705" s="240"/>
      <c r="O705" s="241"/>
      <c r="P705" s="213"/>
    </row>
    <row r="706" spans="1:16" ht="12">
      <c r="A706" s="83" t="s">
        <v>1317</v>
      </c>
      <c r="B706" s="257" t="s">
        <v>1318</v>
      </c>
      <c r="C706" s="258" t="s">
        <v>103</v>
      </c>
      <c r="D706" s="79">
        <v>3.38</v>
      </c>
      <c r="F706" s="79">
        <v>3.38</v>
      </c>
      <c r="G706" s="81"/>
      <c r="N706" s="240"/>
      <c r="O706" s="241"/>
      <c r="P706" s="213"/>
    </row>
    <row r="707" spans="1:16" ht="24">
      <c r="A707" s="83" t="s">
        <v>1319</v>
      </c>
      <c r="B707" s="257" t="s">
        <v>39267</v>
      </c>
      <c r="C707" s="258" t="s">
        <v>509</v>
      </c>
      <c r="D707" s="79">
        <v>227.72</v>
      </c>
      <c r="F707" s="79">
        <v>227.72</v>
      </c>
      <c r="G707" s="81"/>
      <c r="N707" s="240"/>
      <c r="O707" s="241"/>
      <c r="P707" s="213"/>
    </row>
    <row r="708" spans="1:16" ht="36">
      <c r="A708" s="83" t="s">
        <v>1320</v>
      </c>
      <c r="B708" s="257" t="s">
        <v>1321</v>
      </c>
      <c r="C708" s="258" t="s">
        <v>509</v>
      </c>
      <c r="D708" s="79">
        <v>119.28</v>
      </c>
      <c r="F708" s="79">
        <v>119.28</v>
      </c>
      <c r="G708" s="81"/>
      <c r="N708" s="240"/>
      <c r="O708" s="241"/>
      <c r="P708" s="213"/>
    </row>
    <row r="709" spans="1:16" ht="24">
      <c r="A709" s="63" t="s">
        <v>1322</v>
      </c>
      <c r="B709" s="257" t="s">
        <v>1323</v>
      </c>
      <c r="C709" s="258" t="s">
        <v>509</v>
      </c>
      <c r="D709" s="79">
        <v>101.21</v>
      </c>
      <c r="F709" s="79">
        <v>101.21</v>
      </c>
      <c r="G709" s="81"/>
      <c r="N709" s="61"/>
      <c r="O709" s="241"/>
      <c r="P709" s="213"/>
    </row>
    <row r="710" spans="1:16" ht="24">
      <c r="A710" s="63" t="s">
        <v>1324</v>
      </c>
      <c r="B710" s="257" t="s">
        <v>29764</v>
      </c>
      <c r="C710" s="258" t="s">
        <v>509</v>
      </c>
      <c r="D710" s="79">
        <v>85.14</v>
      </c>
      <c r="F710" s="79">
        <v>85.14</v>
      </c>
      <c r="G710" s="81"/>
      <c r="N710" s="61"/>
      <c r="O710" s="241"/>
      <c r="P710" s="213"/>
    </row>
    <row r="711" spans="1:16" ht="24">
      <c r="A711" s="63" t="s">
        <v>1325</v>
      </c>
      <c r="B711" s="257" t="s">
        <v>1326</v>
      </c>
      <c r="C711" s="258" t="s">
        <v>509</v>
      </c>
      <c r="D711" s="79">
        <v>123.37</v>
      </c>
      <c r="F711" s="79">
        <v>123.37</v>
      </c>
      <c r="G711" s="81"/>
      <c r="N711" s="61"/>
      <c r="O711" s="241"/>
      <c r="P711" s="213"/>
    </row>
    <row r="712" spans="1:16" ht="24">
      <c r="A712" s="63" t="s">
        <v>1327</v>
      </c>
      <c r="B712" s="257" t="s">
        <v>1328</v>
      </c>
      <c r="C712" s="258" t="s">
        <v>509</v>
      </c>
      <c r="D712" s="79">
        <v>116.28</v>
      </c>
      <c r="F712" s="79">
        <v>116.28</v>
      </c>
      <c r="G712" s="81"/>
      <c r="N712" s="61"/>
      <c r="O712" s="241"/>
      <c r="P712" s="213"/>
    </row>
    <row r="713" spans="1:16" ht="24">
      <c r="A713" s="63" t="s">
        <v>1329</v>
      </c>
      <c r="B713" s="257" t="s">
        <v>1330</v>
      </c>
      <c r="C713" s="258" t="s">
        <v>509</v>
      </c>
      <c r="D713" s="79">
        <v>96.47</v>
      </c>
      <c r="F713" s="79">
        <v>96.47</v>
      </c>
      <c r="G713" s="81"/>
      <c r="N713" s="61"/>
      <c r="O713" s="241"/>
      <c r="P713" s="213"/>
    </row>
    <row r="714" spans="1:16" ht="24">
      <c r="A714" s="63" t="s">
        <v>1331</v>
      </c>
      <c r="B714" s="257" t="s">
        <v>1332</v>
      </c>
      <c r="C714" s="258" t="s">
        <v>509</v>
      </c>
      <c r="D714" s="79">
        <v>73.45</v>
      </c>
      <c r="F714" s="79">
        <v>73.45</v>
      </c>
      <c r="G714" s="81"/>
      <c r="N714" s="61"/>
      <c r="O714" s="241"/>
      <c r="P714" s="213"/>
    </row>
    <row r="715" spans="1:16" ht="24">
      <c r="A715" s="63" t="s">
        <v>1333</v>
      </c>
      <c r="B715" s="257" t="s">
        <v>1334</v>
      </c>
      <c r="C715" s="258" t="s">
        <v>509</v>
      </c>
      <c r="D715" s="79">
        <v>62.21</v>
      </c>
      <c r="F715" s="79">
        <v>62.21</v>
      </c>
      <c r="G715" s="81"/>
      <c r="N715" s="61"/>
      <c r="O715" s="241"/>
      <c r="P715" s="213"/>
    </row>
    <row r="716" spans="1:16" ht="24">
      <c r="A716" s="63" t="s">
        <v>1335</v>
      </c>
      <c r="B716" s="257" t="s">
        <v>1336</v>
      </c>
      <c r="C716" s="258" t="s">
        <v>509</v>
      </c>
      <c r="D716" s="79">
        <v>75.36</v>
      </c>
      <c r="F716" s="79">
        <v>75.36</v>
      </c>
      <c r="G716" s="81"/>
      <c r="N716" s="61"/>
      <c r="O716" s="241"/>
      <c r="P716" s="213"/>
    </row>
    <row r="717" spans="1:16" ht="24">
      <c r="A717" s="63" t="s">
        <v>1337</v>
      </c>
      <c r="B717" s="257" t="s">
        <v>1338</v>
      </c>
      <c r="C717" s="258" t="s">
        <v>509</v>
      </c>
      <c r="D717" s="79">
        <v>130.59</v>
      </c>
      <c r="F717" s="79">
        <v>130.59</v>
      </c>
      <c r="G717" s="81"/>
      <c r="N717" s="61"/>
      <c r="O717" s="241"/>
      <c r="P717" s="213"/>
    </row>
    <row r="718" spans="1:16" ht="36">
      <c r="A718" s="63" t="s">
        <v>1339</v>
      </c>
      <c r="B718" s="257" t="s">
        <v>1340</v>
      </c>
      <c r="C718" s="258" t="s">
        <v>165</v>
      </c>
      <c r="D718" s="79">
        <v>41.08</v>
      </c>
      <c r="F718" s="79">
        <v>41.08</v>
      </c>
      <c r="G718" s="81"/>
      <c r="N718" s="61"/>
      <c r="O718" s="241"/>
      <c r="P718" s="213"/>
    </row>
    <row r="719" spans="1:16" ht="24">
      <c r="A719" s="146" t="s">
        <v>28115</v>
      </c>
      <c r="B719" s="257" t="s">
        <v>28116</v>
      </c>
      <c r="C719" s="267" t="s">
        <v>509</v>
      </c>
      <c r="D719" s="79">
        <v>129.82</v>
      </c>
      <c r="E719" s="9"/>
      <c r="F719" s="521">
        <v>129.82</v>
      </c>
      <c r="G719" s="214"/>
      <c r="H719" s="237"/>
      <c r="I719" s="237"/>
      <c r="J719" s="237"/>
      <c r="K719" s="237"/>
      <c r="L719" s="237"/>
      <c r="M719" s="237"/>
      <c r="N719" s="268"/>
      <c r="O719" s="269"/>
      <c r="P719" s="215"/>
    </row>
    <row r="720" spans="1:16" ht="24">
      <c r="A720" s="83" t="s">
        <v>1341</v>
      </c>
      <c r="B720" s="257" t="s">
        <v>1342</v>
      </c>
      <c r="C720" s="258" t="s">
        <v>509</v>
      </c>
      <c r="D720" s="79">
        <v>88.1</v>
      </c>
      <c r="F720" s="79">
        <v>88.1</v>
      </c>
      <c r="G720" s="81"/>
      <c r="N720" s="240"/>
      <c r="O720" s="241"/>
      <c r="P720" s="213"/>
    </row>
    <row r="721" spans="1:16" ht="24">
      <c r="A721" s="263" t="s">
        <v>1343</v>
      </c>
      <c r="B721" s="263" t="s">
        <v>1344</v>
      </c>
      <c r="C721" s="264" t="s">
        <v>509</v>
      </c>
      <c r="D721" s="79">
        <v>156.63</v>
      </c>
      <c r="E721" s="182"/>
      <c r="F721" s="519">
        <v>156.63</v>
      </c>
      <c r="G721" s="242"/>
      <c r="H721" s="242"/>
      <c r="I721" s="242"/>
      <c r="J721" s="242"/>
      <c r="K721" s="242"/>
      <c r="L721" s="242"/>
      <c r="M721" s="242"/>
      <c r="N721" s="242"/>
      <c r="O721" s="242"/>
      <c r="P721" s="242"/>
    </row>
    <row r="722" spans="1:16" ht="24">
      <c r="A722" s="83" t="s">
        <v>1345</v>
      </c>
      <c r="B722" s="257" t="s">
        <v>1346</v>
      </c>
      <c r="C722" s="258" t="s">
        <v>509</v>
      </c>
      <c r="D722" s="79">
        <v>98.65</v>
      </c>
      <c r="F722" s="79">
        <v>98.65</v>
      </c>
      <c r="G722" s="81"/>
      <c r="N722" s="240"/>
      <c r="O722" s="241"/>
      <c r="P722" s="213"/>
    </row>
    <row r="723" spans="1:16" ht="24">
      <c r="A723" s="83" t="s">
        <v>1347</v>
      </c>
      <c r="B723" s="257" t="s">
        <v>1348</v>
      </c>
      <c r="C723" s="258" t="s">
        <v>509</v>
      </c>
      <c r="D723" s="79">
        <v>27.34</v>
      </c>
      <c r="F723" s="79">
        <v>27.34</v>
      </c>
      <c r="G723" s="81"/>
      <c r="N723" s="240"/>
      <c r="O723" s="241"/>
      <c r="P723" s="213"/>
    </row>
    <row r="724" spans="1:16" ht="24">
      <c r="A724" s="83" t="s">
        <v>1349</v>
      </c>
      <c r="B724" s="257" t="s">
        <v>29765</v>
      </c>
      <c r="C724" s="258" t="s">
        <v>509</v>
      </c>
      <c r="D724" s="79">
        <v>25.54</v>
      </c>
      <c r="F724" s="79">
        <v>25.54</v>
      </c>
      <c r="G724" s="81"/>
      <c r="N724" s="240"/>
      <c r="O724" s="241"/>
      <c r="P724" s="213"/>
    </row>
    <row r="725" spans="1:16" ht="24">
      <c r="A725" s="83" t="s">
        <v>1350</v>
      </c>
      <c r="B725" s="257" t="s">
        <v>39268</v>
      </c>
      <c r="C725" s="258" t="s">
        <v>509</v>
      </c>
      <c r="D725" s="79">
        <v>149.75</v>
      </c>
      <c r="F725" s="79">
        <v>149.75</v>
      </c>
      <c r="G725" s="81"/>
      <c r="N725" s="240"/>
      <c r="O725" s="241"/>
      <c r="P725" s="213"/>
    </row>
    <row r="726" spans="1:16" ht="24">
      <c r="A726" s="83" t="s">
        <v>1351</v>
      </c>
      <c r="B726" s="257" t="s">
        <v>39269</v>
      </c>
      <c r="C726" s="258" t="s">
        <v>509</v>
      </c>
      <c r="D726" s="79">
        <v>150.59</v>
      </c>
      <c r="F726" s="79">
        <v>150.59</v>
      </c>
      <c r="G726" s="81"/>
      <c r="N726" s="240"/>
      <c r="O726" s="241"/>
      <c r="P726" s="213"/>
    </row>
    <row r="727" spans="1:16" ht="24">
      <c r="A727" s="83" t="s">
        <v>1352</v>
      </c>
      <c r="B727" s="257" t="s">
        <v>1353</v>
      </c>
      <c r="C727" s="258" t="s">
        <v>509</v>
      </c>
      <c r="D727" s="79">
        <v>112.45</v>
      </c>
      <c r="F727" s="79">
        <v>112.45</v>
      </c>
      <c r="G727" s="81"/>
      <c r="N727" s="240"/>
      <c r="O727" s="241"/>
      <c r="P727" s="213"/>
    </row>
    <row r="728" spans="1:16" ht="24">
      <c r="A728" s="83" t="s">
        <v>1354</v>
      </c>
      <c r="B728" s="257" t="s">
        <v>1355</v>
      </c>
      <c r="C728" s="258" t="s">
        <v>509</v>
      </c>
      <c r="D728" s="79">
        <v>130.59</v>
      </c>
      <c r="F728" s="79">
        <v>130.59</v>
      </c>
      <c r="G728" s="81"/>
      <c r="N728" s="240"/>
      <c r="O728" s="241"/>
      <c r="P728" s="213"/>
    </row>
    <row r="729" spans="1:16" ht="24">
      <c r="A729" s="83" t="s">
        <v>1356</v>
      </c>
      <c r="B729" s="257" t="s">
        <v>1357</v>
      </c>
      <c r="C729" s="258" t="s">
        <v>165</v>
      </c>
      <c r="D729" s="79">
        <v>40.64</v>
      </c>
      <c r="F729" s="79">
        <v>40.64</v>
      </c>
      <c r="G729" s="81"/>
      <c r="N729" s="240"/>
      <c r="O729" s="241"/>
      <c r="P729" s="213"/>
    </row>
    <row r="730" spans="1:16" ht="24">
      <c r="A730" s="256" t="s">
        <v>1358</v>
      </c>
      <c r="B730" s="261" t="s">
        <v>39270</v>
      </c>
      <c r="C730" s="262" t="s">
        <v>509</v>
      </c>
      <c r="D730" s="79">
        <v>30.29</v>
      </c>
      <c r="F730" s="79">
        <v>30.29</v>
      </c>
    </row>
    <row r="731" spans="1:16" ht="36">
      <c r="A731" s="83" t="s">
        <v>1359</v>
      </c>
      <c r="B731" s="257" t="s">
        <v>1360</v>
      </c>
      <c r="C731" s="258" t="s">
        <v>509</v>
      </c>
      <c r="D731" s="79">
        <v>120.49</v>
      </c>
      <c r="F731" s="79">
        <v>120.49</v>
      </c>
      <c r="G731" s="81"/>
      <c r="N731" s="240"/>
      <c r="O731" s="241"/>
      <c r="P731" s="213"/>
    </row>
    <row r="732" spans="1:16" ht="36">
      <c r="A732" s="83" t="s">
        <v>1361</v>
      </c>
      <c r="B732" s="257" t="s">
        <v>1362</v>
      </c>
      <c r="C732" s="258" t="s">
        <v>509</v>
      </c>
      <c r="D732" s="79">
        <v>88.28</v>
      </c>
      <c r="F732" s="79">
        <v>88.28</v>
      </c>
      <c r="G732" s="81"/>
      <c r="N732" s="240"/>
      <c r="O732" s="241"/>
      <c r="P732" s="213"/>
    </row>
    <row r="733" spans="1:16" ht="24">
      <c r="A733" s="83" t="s">
        <v>1363</v>
      </c>
      <c r="B733" s="257" t="s">
        <v>1364</v>
      </c>
      <c r="C733" s="258" t="s">
        <v>509</v>
      </c>
      <c r="D733" s="79">
        <v>122.3</v>
      </c>
      <c r="F733" s="79">
        <v>122.3</v>
      </c>
      <c r="G733" s="81"/>
      <c r="N733" s="240"/>
      <c r="O733" s="241"/>
      <c r="P733" s="213"/>
    </row>
    <row r="734" spans="1:16" ht="24">
      <c r="A734" s="83" t="s">
        <v>1365</v>
      </c>
      <c r="B734" s="257" t="s">
        <v>1366</v>
      </c>
      <c r="C734" s="258" t="s">
        <v>509</v>
      </c>
      <c r="D734" s="79">
        <v>170.11</v>
      </c>
      <c r="F734" s="79">
        <v>170.11</v>
      </c>
      <c r="G734" s="81"/>
      <c r="N734" s="240"/>
      <c r="O734" s="241"/>
      <c r="P734" s="213"/>
    </row>
    <row r="735" spans="1:16" ht="24">
      <c r="A735" s="83" t="s">
        <v>1367</v>
      </c>
      <c r="B735" s="65" t="s">
        <v>1368</v>
      </c>
      <c r="C735" s="71" t="s">
        <v>396</v>
      </c>
      <c r="D735" s="79">
        <v>1257.73</v>
      </c>
      <c r="F735" s="79">
        <v>1257.73</v>
      </c>
      <c r="G735" s="81"/>
      <c r="N735" s="240"/>
      <c r="O735" s="241"/>
      <c r="P735" s="213"/>
    </row>
    <row r="736" spans="1:16" ht="24">
      <c r="A736" s="83" t="s">
        <v>1369</v>
      </c>
      <c r="B736" s="65" t="s">
        <v>1370</v>
      </c>
      <c r="C736" s="71" t="s">
        <v>396</v>
      </c>
      <c r="D736" s="79">
        <v>1486.98</v>
      </c>
      <c r="F736" s="79">
        <v>1486.98</v>
      </c>
      <c r="G736" s="81"/>
      <c r="N736" s="240"/>
      <c r="O736" s="241"/>
      <c r="P736" s="213"/>
    </row>
    <row r="737" spans="1:16" ht="24">
      <c r="A737" s="83" t="s">
        <v>1371</v>
      </c>
      <c r="B737" s="257" t="s">
        <v>1372</v>
      </c>
      <c r="C737" s="258" t="s">
        <v>103</v>
      </c>
      <c r="D737" s="79">
        <v>2574.59</v>
      </c>
      <c r="F737" s="79">
        <v>2574.59</v>
      </c>
      <c r="G737" s="81"/>
      <c r="N737" s="240"/>
      <c r="O737" s="241"/>
      <c r="P737" s="213"/>
    </row>
    <row r="738" spans="1:16" ht="24">
      <c r="A738" s="83" t="s">
        <v>1373</v>
      </c>
      <c r="B738" s="257" t="s">
        <v>1374</v>
      </c>
      <c r="C738" s="258" t="s">
        <v>509</v>
      </c>
      <c r="D738" s="79">
        <v>1148.97</v>
      </c>
      <c r="F738" s="79">
        <v>1148.97</v>
      </c>
      <c r="G738" s="81"/>
      <c r="N738" s="240"/>
      <c r="O738" s="241"/>
      <c r="P738" s="213"/>
    </row>
    <row r="739" spans="1:16" ht="24">
      <c r="A739" s="83" t="s">
        <v>1375</v>
      </c>
      <c r="B739" s="257" t="s">
        <v>1376</v>
      </c>
      <c r="C739" s="258" t="s">
        <v>103</v>
      </c>
      <c r="D739" s="79">
        <v>2442.21</v>
      </c>
      <c r="F739" s="79">
        <v>2442.21</v>
      </c>
      <c r="G739" s="81"/>
      <c r="N739" s="240"/>
      <c r="O739" s="241"/>
      <c r="P739" s="213"/>
    </row>
    <row r="740" spans="1:16" ht="24">
      <c r="A740" s="83" t="s">
        <v>1377</v>
      </c>
      <c r="B740" s="257" t="s">
        <v>1378</v>
      </c>
      <c r="C740" s="258" t="s">
        <v>103</v>
      </c>
      <c r="D740" s="79">
        <v>1422.4</v>
      </c>
      <c r="F740" s="79">
        <v>1422.4</v>
      </c>
      <c r="G740" s="81"/>
      <c r="N740" s="240"/>
      <c r="O740" s="241"/>
      <c r="P740" s="213"/>
    </row>
    <row r="741" spans="1:16" ht="24">
      <c r="A741" s="83" t="s">
        <v>1379</v>
      </c>
      <c r="B741" s="257" t="s">
        <v>1380</v>
      </c>
      <c r="C741" s="258" t="s">
        <v>103</v>
      </c>
      <c r="D741" s="79">
        <v>1486.35</v>
      </c>
      <c r="F741" s="79">
        <v>1486.35</v>
      </c>
      <c r="G741" s="81"/>
      <c r="N741" s="240"/>
      <c r="O741" s="241"/>
      <c r="P741" s="213"/>
    </row>
    <row r="742" spans="1:16" ht="24">
      <c r="A742" s="83" t="s">
        <v>1381</v>
      </c>
      <c r="B742" s="257" t="s">
        <v>1382</v>
      </c>
      <c r="C742" s="258" t="s">
        <v>396</v>
      </c>
      <c r="D742" s="79">
        <v>478.46</v>
      </c>
      <c r="F742" s="79">
        <v>478.46</v>
      </c>
      <c r="G742" s="81"/>
      <c r="N742" s="240"/>
      <c r="O742" s="241"/>
      <c r="P742" s="213"/>
    </row>
    <row r="743" spans="1:16" ht="24">
      <c r="A743" s="67" t="s">
        <v>1383</v>
      </c>
      <c r="B743" s="65" t="s">
        <v>1384</v>
      </c>
      <c r="C743" s="71" t="s">
        <v>396</v>
      </c>
      <c r="D743" s="79">
        <v>1220.95</v>
      </c>
      <c r="F743" s="79">
        <v>1220.95</v>
      </c>
      <c r="G743" s="81"/>
      <c r="N743" s="133"/>
      <c r="O743" s="241"/>
      <c r="P743" s="213"/>
    </row>
    <row r="744" spans="1:16" ht="12">
      <c r="A744" s="83" t="s">
        <v>1385</v>
      </c>
      <c r="B744" s="257" t="s">
        <v>1386</v>
      </c>
      <c r="C744" s="258" t="s">
        <v>509</v>
      </c>
      <c r="D744" s="79">
        <v>1201.51</v>
      </c>
      <c r="F744" s="79">
        <v>1201.51</v>
      </c>
      <c r="G744" s="81"/>
      <c r="N744" s="240"/>
      <c r="O744" s="241"/>
      <c r="P744" s="213"/>
    </row>
    <row r="745" spans="1:16" ht="24">
      <c r="A745" s="83" t="s">
        <v>1387</v>
      </c>
      <c r="B745" s="257" t="s">
        <v>1388</v>
      </c>
      <c r="C745" s="258" t="s">
        <v>509</v>
      </c>
      <c r="D745" s="79">
        <v>2180.71</v>
      </c>
      <c r="F745" s="79">
        <v>2180.71</v>
      </c>
      <c r="G745" s="81"/>
      <c r="N745" s="240"/>
      <c r="O745" s="241"/>
      <c r="P745" s="213"/>
    </row>
    <row r="746" spans="1:16" ht="24">
      <c r="A746" s="83" t="s">
        <v>1389</v>
      </c>
      <c r="B746" s="257" t="s">
        <v>1390</v>
      </c>
      <c r="C746" s="258" t="s">
        <v>509</v>
      </c>
      <c r="D746" s="79">
        <v>2066.7399999999998</v>
      </c>
      <c r="F746" s="79">
        <v>2066.7399999999998</v>
      </c>
      <c r="G746" s="81"/>
      <c r="N746" s="240"/>
      <c r="O746" s="241"/>
      <c r="P746" s="213"/>
    </row>
    <row r="747" spans="1:16" ht="12">
      <c r="A747" s="83" t="s">
        <v>1391</v>
      </c>
      <c r="B747" s="257" t="s">
        <v>1392</v>
      </c>
      <c r="C747" s="258" t="s">
        <v>509</v>
      </c>
      <c r="D747" s="79">
        <v>487.23</v>
      </c>
      <c r="F747" s="79">
        <v>487.23</v>
      </c>
      <c r="G747" s="81"/>
      <c r="N747" s="240"/>
      <c r="O747" s="241"/>
      <c r="P747" s="213"/>
    </row>
    <row r="748" spans="1:16" ht="12">
      <c r="A748" s="83" t="s">
        <v>1393</v>
      </c>
      <c r="B748" s="257" t="s">
        <v>1394</v>
      </c>
      <c r="C748" s="258" t="s">
        <v>509</v>
      </c>
      <c r="D748" s="79">
        <v>1035.21</v>
      </c>
      <c r="F748" s="79">
        <v>1035.21</v>
      </c>
      <c r="G748" s="81"/>
      <c r="N748" s="240"/>
      <c r="O748" s="241"/>
      <c r="P748" s="213"/>
    </row>
    <row r="749" spans="1:16" ht="12">
      <c r="A749" s="83" t="s">
        <v>1395</v>
      </c>
      <c r="B749" s="257" t="s">
        <v>29766</v>
      </c>
      <c r="C749" s="258" t="s">
        <v>103</v>
      </c>
      <c r="D749" s="79">
        <v>330.94</v>
      </c>
      <c r="F749" s="79">
        <v>330.94</v>
      </c>
      <c r="G749" s="81"/>
      <c r="N749" s="240"/>
      <c r="O749" s="241"/>
      <c r="P749" s="213"/>
    </row>
    <row r="750" spans="1:16" ht="24">
      <c r="A750" s="83" t="s">
        <v>1396</v>
      </c>
      <c r="B750" s="257" t="s">
        <v>1397</v>
      </c>
      <c r="C750" s="258" t="s">
        <v>509</v>
      </c>
      <c r="D750" s="79">
        <v>661.91</v>
      </c>
      <c r="F750" s="79">
        <v>661.91</v>
      </c>
      <c r="G750" s="81"/>
      <c r="N750" s="240"/>
      <c r="O750" s="241"/>
      <c r="P750" s="213"/>
    </row>
    <row r="751" spans="1:16" ht="12">
      <c r="A751" s="83" t="s">
        <v>1398</v>
      </c>
      <c r="B751" s="257" t="s">
        <v>1399</v>
      </c>
      <c r="C751" s="258" t="s">
        <v>509</v>
      </c>
      <c r="D751" s="79">
        <v>2356.9499999999998</v>
      </c>
      <c r="F751" s="79">
        <v>2356.9499999999998</v>
      </c>
      <c r="G751" s="81"/>
      <c r="N751" s="240"/>
      <c r="O751" s="241"/>
      <c r="P751" s="213"/>
    </row>
    <row r="752" spans="1:16" ht="24">
      <c r="A752" s="83" t="s">
        <v>1400</v>
      </c>
      <c r="B752" s="257" t="s">
        <v>1401</v>
      </c>
      <c r="C752" s="258" t="s">
        <v>165</v>
      </c>
      <c r="D752" s="79">
        <v>544.39</v>
      </c>
      <c r="F752" s="79">
        <v>544.39</v>
      </c>
      <c r="G752" s="81"/>
      <c r="N752" s="240"/>
      <c r="O752" s="241"/>
      <c r="P752" s="213"/>
    </row>
    <row r="753" spans="1:16" ht="24">
      <c r="A753" s="83" t="s">
        <v>1402</v>
      </c>
      <c r="B753" s="257" t="s">
        <v>1403</v>
      </c>
      <c r="C753" s="258" t="s">
        <v>509</v>
      </c>
      <c r="D753" s="79">
        <v>2690.4</v>
      </c>
      <c r="F753" s="79">
        <v>2690.4</v>
      </c>
      <c r="G753" s="81"/>
      <c r="N753" s="240"/>
      <c r="O753" s="241"/>
      <c r="P753" s="213"/>
    </row>
    <row r="754" spans="1:16" ht="24">
      <c r="A754" s="83" t="s">
        <v>1404</v>
      </c>
      <c r="B754" s="257" t="s">
        <v>1405</v>
      </c>
      <c r="C754" s="258" t="s">
        <v>509</v>
      </c>
      <c r="D754" s="79">
        <v>777.37</v>
      </c>
      <c r="F754" s="79">
        <v>777.37</v>
      </c>
      <c r="G754" s="81"/>
      <c r="N754" s="240"/>
      <c r="O754" s="241"/>
      <c r="P754" s="213"/>
    </row>
    <row r="755" spans="1:16" ht="24">
      <c r="A755" s="83" t="s">
        <v>1406</v>
      </c>
      <c r="B755" s="257" t="s">
        <v>1407</v>
      </c>
      <c r="C755" s="258" t="s">
        <v>509</v>
      </c>
      <c r="D755" s="79">
        <v>1051.9000000000001</v>
      </c>
      <c r="F755" s="79">
        <v>1051.9000000000001</v>
      </c>
      <c r="G755" s="81"/>
      <c r="N755" s="240"/>
      <c r="O755" s="241"/>
      <c r="P755" s="213"/>
    </row>
    <row r="756" spans="1:16" ht="24">
      <c r="A756" s="256" t="s">
        <v>1408</v>
      </c>
      <c r="B756" s="261" t="s">
        <v>1409</v>
      </c>
      <c r="C756" s="262" t="s">
        <v>509</v>
      </c>
      <c r="D756" s="79">
        <v>6788.75</v>
      </c>
      <c r="F756" s="517">
        <v>6788.75</v>
      </c>
    </row>
    <row r="757" spans="1:16" ht="12">
      <c r="A757" s="83" t="s">
        <v>1410</v>
      </c>
      <c r="B757" s="257" t="s">
        <v>1411</v>
      </c>
      <c r="C757" s="258" t="s">
        <v>509</v>
      </c>
      <c r="D757" s="79">
        <v>1591.88</v>
      </c>
      <c r="F757" s="79">
        <v>1591.88</v>
      </c>
      <c r="G757" s="81"/>
      <c r="N757" s="240"/>
      <c r="O757" s="241"/>
      <c r="P757" s="213"/>
    </row>
    <row r="758" spans="1:16" ht="12">
      <c r="A758" s="83" t="s">
        <v>1412</v>
      </c>
      <c r="B758" s="257" t="s">
        <v>1413</v>
      </c>
      <c r="C758" s="258" t="s">
        <v>509</v>
      </c>
      <c r="D758" s="79">
        <v>983.86</v>
      </c>
      <c r="F758" s="79">
        <v>983.86</v>
      </c>
      <c r="G758" s="81"/>
      <c r="N758" s="240"/>
      <c r="O758" s="241"/>
      <c r="P758" s="213"/>
    </row>
    <row r="759" spans="1:16" ht="24">
      <c r="A759" s="83" t="s">
        <v>1414</v>
      </c>
      <c r="B759" s="257" t="s">
        <v>1415</v>
      </c>
      <c r="C759" s="258" t="s">
        <v>509</v>
      </c>
      <c r="D759" s="79">
        <v>961.97</v>
      </c>
      <c r="F759" s="79">
        <v>961.97</v>
      </c>
      <c r="G759" s="81"/>
      <c r="N759" s="240"/>
      <c r="O759" s="241"/>
      <c r="P759" s="213"/>
    </row>
    <row r="760" spans="1:16" ht="24">
      <c r="A760" s="83" t="s">
        <v>1416</v>
      </c>
      <c r="B760" s="257" t="s">
        <v>1417</v>
      </c>
      <c r="C760" s="258" t="s">
        <v>509</v>
      </c>
      <c r="D760" s="79">
        <v>384.16</v>
      </c>
      <c r="F760" s="79">
        <v>384.16</v>
      </c>
      <c r="G760" s="81"/>
      <c r="N760" s="240"/>
      <c r="O760" s="241"/>
      <c r="P760" s="213"/>
    </row>
    <row r="761" spans="1:16" ht="24">
      <c r="A761" s="83" t="s">
        <v>1418</v>
      </c>
      <c r="B761" s="257" t="s">
        <v>1419</v>
      </c>
      <c r="C761" s="258" t="s">
        <v>509</v>
      </c>
      <c r="D761" s="79">
        <v>315.66000000000003</v>
      </c>
      <c r="F761" s="79">
        <v>315.66000000000003</v>
      </c>
      <c r="G761" s="81"/>
      <c r="N761" s="240"/>
      <c r="O761" s="241"/>
      <c r="P761" s="213"/>
    </row>
    <row r="762" spans="1:16" ht="12">
      <c r="A762" s="83" t="s">
        <v>1420</v>
      </c>
      <c r="B762" s="257" t="s">
        <v>1421</v>
      </c>
      <c r="C762" s="258" t="s">
        <v>509</v>
      </c>
      <c r="D762" s="79">
        <v>963.76</v>
      </c>
      <c r="F762" s="79">
        <v>963.76</v>
      </c>
      <c r="G762" s="81"/>
      <c r="N762" s="240"/>
      <c r="O762" s="241"/>
      <c r="P762" s="213"/>
    </row>
    <row r="763" spans="1:16" ht="12">
      <c r="A763" s="83" t="s">
        <v>1422</v>
      </c>
      <c r="B763" s="257" t="s">
        <v>1423</v>
      </c>
      <c r="C763" s="258" t="s">
        <v>509</v>
      </c>
      <c r="D763" s="79">
        <v>1297.83</v>
      </c>
      <c r="F763" s="79">
        <v>1297.83</v>
      </c>
      <c r="G763" s="81"/>
      <c r="N763" s="240"/>
      <c r="O763" s="241"/>
      <c r="P763" s="213"/>
    </row>
    <row r="764" spans="1:16" ht="12">
      <c r="A764" s="83" t="s">
        <v>1424</v>
      </c>
      <c r="B764" s="257" t="s">
        <v>1425</v>
      </c>
      <c r="C764" s="258" t="s">
        <v>509</v>
      </c>
      <c r="D764" s="79">
        <v>923.33</v>
      </c>
      <c r="F764" s="79">
        <v>923.33</v>
      </c>
      <c r="G764" s="81"/>
      <c r="N764" s="240"/>
      <c r="O764" s="241"/>
      <c r="P764" s="213"/>
    </row>
    <row r="765" spans="1:16" ht="12">
      <c r="A765" s="83" t="s">
        <v>1426</v>
      </c>
      <c r="B765" s="257" t="s">
        <v>1427</v>
      </c>
      <c r="C765" s="258" t="s">
        <v>509</v>
      </c>
      <c r="D765" s="79">
        <v>1659.85</v>
      </c>
      <c r="F765" s="79">
        <v>1659.85</v>
      </c>
      <c r="G765" s="81"/>
      <c r="N765" s="240"/>
      <c r="O765" s="241"/>
      <c r="P765" s="213"/>
    </row>
    <row r="766" spans="1:16" ht="24">
      <c r="A766" s="83" t="s">
        <v>1428</v>
      </c>
      <c r="B766" s="257" t="s">
        <v>1429</v>
      </c>
      <c r="C766" s="258" t="s">
        <v>509</v>
      </c>
      <c r="D766" s="79">
        <v>551.71</v>
      </c>
      <c r="F766" s="79">
        <v>551.71</v>
      </c>
      <c r="G766" s="81"/>
      <c r="N766" s="240"/>
      <c r="O766" s="241"/>
      <c r="P766" s="213"/>
    </row>
    <row r="767" spans="1:16" ht="12">
      <c r="A767" s="83" t="s">
        <v>1430</v>
      </c>
      <c r="B767" s="257" t="s">
        <v>1431</v>
      </c>
      <c r="C767" s="258" t="s">
        <v>509</v>
      </c>
      <c r="D767" s="79">
        <v>838.92</v>
      </c>
      <c r="F767" s="79">
        <v>838.92</v>
      </c>
      <c r="G767" s="81"/>
      <c r="N767" s="240"/>
      <c r="O767" s="241"/>
      <c r="P767" s="213"/>
    </row>
    <row r="768" spans="1:16" ht="12">
      <c r="A768" s="83" t="s">
        <v>1432</v>
      </c>
      <c r="B768" s="257" t="s">
        <v>1433</v>
      </c>
      <c r="C768" s="258" t="s">
        <v>509</v>
      </c>
      <c r="D768" s="79">
        <v>1496.91</v>
      </c>
      <c r="F768" s="79">
        <v>1496.91</v>
      </c>
      <c r="G768" s="81"/>
      <c r="N768" s="240"/>
      <c r="O768" s="241"/>
      <c r="P768" s="213"/>
    </row>
    <row r="769" spans="1:16" ht="12">
      <c r="A769" s="83" t="s">
        <v>1434</v>
      </c>
      <c r="B769" s="257" t="s">
        <v>1435</v>
      </c>
      <c r="C769" s="258" t="s">
        <v>509</v>
      </c>
      <c r="D769" s="79">
        <v>795.14</v>
      </c>
      <c r="F769" s="79">
        <v>795.14</v>
      </c>
      <c r="G769" s="81"/>
      <c r="N769" s="240"/>
      <c r="O769" s="241"/>
      <c r="P769" s="213"/>
    </row>
    <row r="770" spans="1:16" ht="12">
      <c r="A770" s="83" t="s">
        <v>1436</v>
      </c>
      <c r="B770" s="257" t="s">
        <v>1437</v>
      </c>
      <c r="C770" s="258" t="s">
        <v>509</v>
      </c>
      <c r="D770" s="79">
        <v>1852.89</v>
      </c>
      <c r="F770" s="79">
        <v>1852.89</v>
      </c>
      <c r="G770" s="81"/>
      <c r="N770" s="240"/>
      <c r="O770" s="241"/>
      <c r="P770" s="213"/>
    </row>
    <row r="771" spans="1:16" ht="12">
      <c r="A771" s="83" t="s">
        <v>1438</v>
      </c>
      <c r="B771" s="257" t="s">
        <v>1439</v>
      </c>
      <c r="C771" s="258" t="s">
        <v>509</v>
      </c>
      <c r="D771" s="79">
        <v>2033.3</v>
      </c>
      <c r="F771" s="79">
        <v>2033.3</v>
      </c>
      <c r="G771" s="81"/>
      <c r="N771" s="240"/>
      <c r="O771" s="241"/>
      <c r="P771" s="213"/>
    </row>
    <row r="772" spans="1:16" ht="12">
      <c r="A772" s="83" t="s">
        <v>1440</v>
      </c>
      <c r="B772" s="257" t="s">
        <v>1441</v>
      </c>
      <c r="C772" s="258" t="s">
        <v>509</v>
      </c>
      <c r="D772" s="79">
        <v>1453.25</v>
      </c>
      <c r="F772" s="79">
        <v>1453.25</v>
      </c>
      <c r="G772" s="81"/>
      <c r="N772" s="240"/>
      <c r="O772" s="241"/>
      <c r="P772" s="213"/>
    </row>
    <row r="773" spans="1:16" ht="12">
      <c r="A773" s="83" t="s">
        <v>1442</v>
      </c>
      <c r="B773" s="257" t="s">
        <v>1443</v>
      </c>
      <c r="C773" s="258" t="s">
        <v>509</v>
      </c>
      <c r="D773" s="79">
        <v>4042.74</v>
      </c>
      <c r="F773" s="79">
        <v>4042.74</v>
      </c>
      <c r="G773" s="81"/>
      <c r="N773" s="240"/>
      <c r="O773" s="241"/>
      <c r="P773" s="213"/>
    </row>
    <row r="774" spans="1:16" ht="12">
      <c r="A774" s="83" t="s">
        <v>1444</v>
      </c>
      <c r="B774" s="257" t="s">
        <v>1445</v>
      </c>
      <c r="C774" s="258" t="s">
        <v>509</v>
      </c>
      <c r="D774" s="79">
        <v>858.82</v>
      </c>
      <c r="F774" s="79">
        <v>858.82</v>
      </c>
      <c r="G774" s="81"/>
      <c r="N774" s="240"/>
      <c r="O774" s="241"/>
      <c r="P774" s="213"/>
    </row>
    <row r="775" spans="1:16" ht="12">
      <c r="A775" s="83" t="s">
        <v>1446</v>
      </c>
      <c r="B775" s="257" t="s">
        <v>1447</v>
      </c>
      <c r="C775" s="258" t="s">
        <v>509</v>
      </c>
      <c r="D775" s="79">
        <v>1717.17</v>
      </c>
      <c r="F775" s="79">
        <v>1717.17</v>
      </c>
      <c r="G775" s="81"/>
      <c r="N775" s="240"/>
      <c r="O775" s="241"/>
      <c r="P775" s="213"/>
    </row>
    <row r="776" spans="1:16" ht="12">
      <c r="A776" s="67" t="s">
        <v>1448</v>
      </c>
      <c r="B776" s="65" t="s">
        <v>1449</v>
      </c>
      <c r="C776" s="71" t="s">
        <v>509</v>
      </c>
      <c r="D776" s="79">
        <v>1533.7</v>
      </c>
      <c r="F776" s="79">
        <v>1533.7</v>
      </c>
      <c r="G776" s="81"/>
      <c r="N776" s="133"/>
      <c r="O776" s="241"/>
      <c r="P776" s="213"/>
    </row>
    <row r="777" spans="1:16" ht="24">
      <c r="A777" s="83" t="s">
        <v>1450</v>
      </c>
      <c r="B777" s="257" t="s">
        <v>1451</v>
      </c>
      <c r="C777" s="258" t="s">
        <v>509</v>
      </c>
      <c r="D777" s="79">
        <v>982.38</v>
      </c>
      <c r="F777" s="79">
        <v>982.38</v>
      </c>
      <c r="G777" s="81"/>
      <c r="N777" s="240"/>
      <c r="O777" s="241"/>
      <c r="P777" s="213"/>
    </row>
    <row r="778" spans="1:16" ht="12">
      <c r="A778" s="83" t="s">
        <v>1452</v>
      </c>
      <c r="B778" s="257" t="s">
        <v>1453</v>
      </c>
      <c r="C778" s="258" t="s">
        <v>509</v>
      </c>
      <c r="D778" s="79">
        <v>613.98</v>
      </c>
      <c r="F778" s="79">
        <v>613.98</v>
      </c>
      <c r="G778" s="81"/>
      <c r="N778" s="240"/>
      <c r="O778" s="241"/>
      <c r="P778" s="213"/>
    </row>
    <row r="779" spans="1:16" ht="12">
      <c r="A779" s="83" t="s">
        <v>1454</v>
      </c>
      <c r="B779" s="257" t="s">
        <v>1455</v>
      </c>
      <c r="C779" s="258" t="s">
        <v>509</v>
      </c>
      <c r="D779" s="79">
        <v>825.37</v>
      </c>
      <c r="F779" s="79">
        <v>825.37</v>
      </c>
      <c r="G779" s="81"/>
      <c r="N779" s="240"/>
      <c r="O779" s="241"/>
      <c r="P779" s="213"/>
    </row>
    <row r="780" spans="1:16" ht="24">
      <c r="A780" s="83" t="s">
        <v>29767</v>
      </c>
      <c r="B780" s="257" t="s">
        <v>29768</v>
      </c>
      <c r="C780" s="258" t="s">
        <v>509</v>
      </c>
      <c r="D780" s="79">
        <v>92.54</v>
      </c>
      <c r="F780" s="79">
        <v>92.54</v>
      </c>
      <c r="G780" s="81"/>
      <c r="N780" s="240"/>
      <c r="O780" s="241"/>
      <c r="P780" s="213"/>
    </row>
    <row r="781" spans="1:16" ht="24">
      <c r="A781" s="83" t="s">
        <v>1456</v>
      </c>
      <c r="B781" s="64" t="s">
        <v>1457</v>
      </c>
      <c r="C781" s="134" t="s">
        <v>509</v>
      </c>
      <c r="D781" s="79">
        <v>1418.92</v>
      </c>
      <c r="F781" s="79">
        <v>1418.92</v>
      </c>
      <c r="G781" s="81"/>
      <c r="N781" s="240"/>
      <c r="O781" s="241"/>
      <c r="P781" s="213"/>
    </row>
    <row r="782" spans="1:16" ht="24">
      <c r="A782" s="83" t="s">
        <v>1458</v>
      </c>
      <c r="B782" s="64" t="s">
        <v>1459</v>
      </c>
      <c r="C782" s="134" t="s">
        <v>509</v>
      </c>
      <c r="D782" s="79">
        <v>675.65</v>
      </c>
      <c r="F782" s="79">
        <v>675.65</v>
      </c>
      <c r="G782" s="81"/>
      <c r="N782" s="240"/>
      <c r="O782" s="241"/>
      <c r="P782" s="213"/>
    </row>
    <row r="783" spans="1:16" ht="12">
      <c r="A783" s="83" t="s">
        <v>1460</v>
      </c>
      <c r="B783" s="64" t="s">
        <v>1461</v>
      </c>
      <c r="C783" s="134" t="s">
        <v>165</v>
      </c>
      <c r="D783" s="79">
        <v>646.71</v>
      </c>
      <c r="F783" s="79">
        <v>646.71</v>
      </c>
      <c r="G783" s="81"/>
      <c r="N783" s="240"/>
      <c r="O783" s="241"/>
      <c r="P783" s="213"/>
    </row>
    <row r="784" spans="1:16" ht="24">
      <c r="A784" s="83" t="s">
        <v>1462</v>
      </c>
      <c r="B784" s="257" t="s">
        <v>1463</v>
      </c>
      <c r="C784" s="258" t="s">
        <v>509</v>
      </c>
      <c r="D784" s="79">
        <v>1361.83</v>
      </c>
      <c r="F784" s="79">
        <v>1361.83</v>
      </c>
      <c r="G784" s="81"/>
      <c r="N784" s="240"/>
      <c r="O784" s="241"/>
      <c r="P784" s="213"/>
    </row>
    <row r="785" spans="1:16" ht="12">
      <c r="A785" s="83" t="s">
        <v>1464</v>
      </c>
      <c r="B785" s="257" t="s">
        <v>1465</v>
      </c>
      <c r="C785" s="258" t="s">
        <v>509</v>
      </c>
      <c r="D785" s="79">
        <v>238.03</v>
      </c>
      <c r="F785" s="79">
        <v>238.03</v>
      </c>
      <c r="G785" s="81"/>
      <c r="N785" s="240"/>
      <c r="O785" s="241"/>
      <c r="P785" s="213"/>
    </row>
    <row r="786" spans="1:16" ht="24">
      <c r="A786" s="83" t="s">
        <v>1466</v>
      </c>
      <c r="B786" s="257" t="s">
        <v>1467</v>
      </c>
      <c r="C786" s="258" t="s">
        <v>509</v>
      </c>
      <c r="D786" s="79">
        <v>220.89</v>
      </c>
      <c r="F786" s="79">
        <v>220.89</v>
      </c>
      <c r="G786" s="81"/>
      <c r="N786" s="240"/>
      <c r="O786" s="241"/>
      <c r="P786" s="213"/>
    </row>
    <row r="787" spans="1:16" ht="12">
      <c r="A787" s="83" t="s">
        <v>1468</v>
      </c>
      <c r="B787" s="257" t="s">
        <v>1469</v>
      </c>
      <c r="C787" s="258" t="s">
        <v>509</v>
      </c>
      <c r="D787" s="79">
        <v>1104.73</v>
      </c>
      <c r="F787" s="79">
        <v>1104.73</v>
      </c>
      <c r="G787" s="81"/>
      <c r="N787" s="240"/>
      <c r="O787" s="241"/>
      <c r="P787" s="213"/>
    </row>
    <row r="788" spans="1:16" ht="24">
      <c r="A788" s="83" t="s">
        <v>1470</v>
      </c>
      <c r="B788" s="257" t="s">
        <v>29769</v>
      </c>
      <c r="C788" s="258" t="s">
        <v>509</v>
      </c>
      <c r="D788" s="79">
        <v>330.25</v>
      </c>
      <c r="F788" s="79">
        <v>330.25</v>
      </c>
      <c r="G788" s="81"/>
      <c r="N788" s="240"/>
      <c r="O788" s="241"/>
      <c r="P788" s="213"/>
    </row>
    <row r="789" spans="1:16" ht="12">
      <c r="A789" s="83" t="s">
        <v>1471</v>
      </c>
      <c r="B789" s="257" t="s">
        <v>1472</v>
      </c>
      <c r="C789" s="258" t="s">
        <v>165</v>
      </c>
      <c r="D789" s="79">
        <v>220.3</v>
      </c>
      <c r="F789" s="79">
        <v>220.3</v>
      </c>
      <c r="G789" s="81"/>
      <c r="N789" s="240"/>
      <c r="O789" s="241"/>
      <c r="P789" s="213"/>
    </row>
    <row r="790" spans="1:16" ht="12">
      <c r="A790" s="83" t="s">
        <v>1473</v>
      </c>
      <c r="B790" s="257" t="s">
        <v>1474</v>
      </c>
      <c r="C790" s="258" t="s">
        <v>165</v>
      </c>
      <c r="D790" s="79">
        <v>255.96</v>
      </c>
      <c r="F790" s="79">
        <v>255.96</v>
      </c>
      <c r="G790" s="81"/>
      <c r="N790" s="240"/>
      <c r="O790" s="241"/>
      <c r="P790" s="213"/>
    </row>
    <row r="791" spans="1:16" ht="12">
      <c r="A791" s="83" t="s">
        <v>1475</v>
      </c>
      <c r="B791" s="257" t="s">
        <v>1476</v>
      </c>
      <c r="C791" s="258" t="s">
        <v>509</v>
      </c>
      <c r="D791" s="79">
        <v>284.67</v>
      </c>
      <c r="F791" s="79">
        <v>284.67</v>
      </c>
      <c r="G791" s="81"/>
      <c r="N791" s="240"/>
      <c r="O791" s="241"/>
      <c r="P791" s="213"/>
    </row>
    <row r="792" spans="1:16" ht="24">
      <c r="A792" s="83" t="s">
        <v>1477</v>
      </c>
      <c r="B792" s="257" t="s">
        <v>1478</v>
      </c>
      <c r="C792" s="258" t="s">
        <v>509</v>
      </c>
      <c r="D792" s="79">
        <v>42.78</v>
      </c>
      <c r="F792" s="79">
        <v>42.78</v>
      </c>
      <c r="G792" s="81"/>
      <c r="N792" s="240"/>
      <c r="O792" s="241"/>
      <c r="P792" s="213"/>
    </row>
    <row r="793" spans="1:16" ht="12">
      <c r="A793" s="261" t="s">
        <v>28117</v>
      </c>
      <c r="B793" s="261" t="s">
        <v>28118</v>
      </c>
      <c r="C793" s="266" t="s">
        <v>103</v>
      </c>
      <c r="D793" s="79">
        <v>562.32000000000005</v>
      </c>
      <c r="F793" s="518">
        <v>562.32000000000005</v>
      </c>
    </row>
    <row r="794" spans="1:16" ht="12">
      <c r="A794" s="83" t="s">
        <v>1479</v>
      </c>
      <c r="B794" s="257" t="s">
        <v>29770</v>
      </c>
      <c r="C794" s="258" t="s">
        <v>509</v>
      </c>
      <c r="D794" s="79">
        <v>697.28</v>
      </c>
      <c r="F794" s="79">
        <v>697.28</v>
      </c>
      <c r="G794" s="81"/>
      <c r="N794" s="240"/>
      <c r="O794" s="241"/>
      <c r="P794" s="213"/>
    </row>
    <row r="795" spans="1:16" ht="12">
      <c r="A795" s="83" t="s">
        <v>1480</v>
      </c>
      <c r="B795" s="257" t="s">
        <v>29771</v>
      </c>
      <c r="C795" s="258" t="s">
        <v>509</v>
      </c>
      <c r="D795" s="79">
        <v>1424.75</v>
      </c>
      <c r="F795" s="79">
        <v>1424.75</v>
      </c>
      <c r="G795" s="81"/>
      <c r="N795" s="240"/>
      <c r="O795" s="241"/>
      <c r="P795" s="213"/>
    </row>
    <row r="796" spans="1:16" ht="24">
      <c r="A796" s="83" t="s">
        <v>1481</v>
      </c>
      <c r="B796" s="257" t="s">
        <v>1482</v>
      </c>
      <c r="C796" s="258" t="s">
        <v>509</v>
      </c>
      <c r="D796" s="79">
        <v>718.64</v>
      </c>
      <c r="F796" s="79">
        <v>718.64</v>
      </c>
      <c r="G796" s="81"/>
      <c r="N796" s="240"/>
      <c r="O796" s="241"/>
      <c r="P796" s="213"/>
    </row>
    <row r="797" spans="1:16" ht="24">
      <c r="A797" s="83" t="s">
        <v>1483</v>
      </c>
      <c r="B797" s="257" t="s">
        <v>1484</v>
      </c>
      <c r="C797" s="258" t="s">
        <v>509</v>
      </c>
      <c r="D797" s="79">
        <v>874.24</v>
      </c>
      <c r="F797" s="79">
        <v>874.24</v>
      </c>
      <c r="G797" s="81"/>
      <c r="N797" s="240"/>
      <c r="O797" s="241"/>
      <c r="P797" s="213"/>
    </row>
    <row r="798" spans="1:16" ht="12">
      <c r="A798" s="83" t="s">
        <v>1485</v>
      </c>
      <c r="B798" s="257" t="s">
        <v>1486</v>
      </c>
      <c r="C798" s="258" t="s">
        <v>509</v>
      </c>
      <c r="D798" s="79">
        <v>1257.53</v>
      </c>
      <c r="F798" s="79">
        <v>1257.53</v>
      </c>
      <c r="G798" s="81"/>
      <c r="N798" s="240"/>
      <c r="O798" s="241"/>
      <c r="P798" s="213"/>
    </row>
    <row r="799" spans="1:16" ht="12">
      <c r="A799" s="83" t="s">
        <v>1487</v>
      </c>
      <c r="B799" s="257" t="s">
        <v>1488</v>
      </c>
      <c r="C799" s="258" t="s">
        <v>509</v>
      </c>
      <c r="D799" s="79">
        <v>2119.13</v>
      </c>
      <c r="F799" s="79">
        <v>2119.13</v>
      </c>
      <c r="G799" s="81"/>
      <c r="N799" s="240"/>
      <c r="O799" s="241"/>
      <c r="P799" s="213"/>
    </row>
    <row r="800" spans="1:16" ht="12">
      <c r="A800" s="83" t="s">
        <v>1489</v>
      </c>
      <c r="B800" s="257" t="s">
        <v>28119</v>
      </c>
      <c r="C800" s="258" t="s">
        <v>165</v>
      </c>
      <c r="D800" s="79">
        <v>230.34</v>
      </c>
      <c r="F800" s="79">
        <v>230.34</v>
      </c>
      <c r="G800" s="81"/>
      <c r="N800" s="240"/>
      <c r="O800" s="241"/>
      <c r="P800" s="213"/>
    </row>
    <row r="801" spans="1:16" ht="12">
      <c r="A801" s="83" t="s">
        <v>1490</v>
      </c>
      <c r="B801" s="257" t="s">
        <v>1491</v>
      </c>
      <c r="C801" s="258" t="s">
        <v>165</v>
      </c>
      <c r="D801" s="79">
        <v>781.6</v>
      </c>
      <c r="F801" s="79">
        <v>781.6</v>
      </c>
      <c r="G801" s="81"/>
      <c r="N801" s="240"/>
      <c r="O801" s="241"/>
      <c r="P801" s="213"/>
    </row>
    <row r="802" spans="1:16" ht="12">
      <c r="A802" s="83" t="s">
        <v>1492</v>
      </c>
      <c r="B802" s="257" t="s">
        <v>1493</v>
      </c>
      <c r="C802" s="258" t="s">
        <v>165</v>
      </c>
      <c r="D802" s="79">
        <v>1348.99</v>
      </c>
      <c r="F802" s="79">
        <v>1348.99</v>
      </c>
      <c r="G802" s="81"/>
      <c r="N802" s="240"/>
      <c r="O802" s="241"/>
      <c r="P802" s="213"/>
    </row>
    <row r="803" spans="1:16" ht="12">
      <c r="A803" s="83" t="s">
        <v>1494</v>
      </c>
      <c r="B803" s="257" t="s">
        <v>1495</v>
      </c>
      <c r="C803" s="258" t="s">
        <v>165</v>
      </c>
      <c r="D803" s="79">
        <v>830.25</v>
      </c>
      <c r="F803" s="79">
        <v>830.25</v>
      </c>
      <c r="G803" s="81"/>
      <c r="N803" s="240"/>
      <c r="O803" s="241"/>
      <c r="P803" s="213"/>
    </row>
    <row r="804" spans="1:16" ht="12">
      <c r="A804" s="83" t="s">
        <v>1496</v>
      </c>
      <c r="B804" s="257" t="s">
        <v>1497</v>
      </c>
      <c r="C804" s="258" t="s">
        <v>103</v>
      </c>
      <c r="D804" s="79">
        <v>849.16</v>
      </c>
      <c r="F804" s="79">
        <v>849.16</v>
      </c>
      <c r="G804" s="81"/>
      <c r="N804" s="240"/>
      <c r="O804" s="241"/>
      <c r="P804" s="213"/>
    </row>
    <row r="805" spans="1:16" ht="24">
      <c r="A805" s="83" t="s">
        <v>1498</v>
      </c>
      <c r="B805" s="257" t="s">
        <v>1499</v>
      </c>
      <c r="C805" s="258" t="s">
        <v>509</v>
      </c>
      <c r="D805" s="79">
        <v>830.39</v>
      </c>
      <c r="F805" s="79">
        <v>830.39</v>
      </c>
      <c r="G805" s="81"/>
      <c r="N805" s="240"/>
      <c r="O805" s="241"/>
      <c r="P805" s="213"/>
    </row>
    <row r="806" spans="1:16" ht="24">
      <c r="A806" s="83" t="s">
        <v>1500</v>
      </c>
      <c r="B806" s="257" t="s">
        <v>1501</v>
      </c>
      <c r="C806" s="258" t="s">
        <v>103</v>
      </c>
      <c r="D806" s="79">
        <v>2609.67</v>
      </c>
      <c r="F806" s="79">
        <v>2609.67</v>
      </c>
      <c r="G806" s="81"/>
      <c r="N806" s="240"/>
      <c r="O806" s="241"/>
      <c r="P806" s="213"/>
    </row>
    <row r="807" spans="1:16" ht="24">
      <c r="A807" s="83" t="s">
        <v>1502</v>
      </c>
      <c r="B807" s="257" t="s">
        <v>1503</v>
      </c>
      <c r="C807" s="258" t="s">
        <v>103</v>
      </c>
      <c r="D807" s="79">
        <v>6469.08</v>
      </c>
      <c r="F807" s="79">
        <v>6469.08</v>
      </c>
      <c r="G807" s="81"/>
      <c r="N807" s="240"/>
      <c r="O807" s="241"/>
      <c r="P807" s="213"/>
    </row>
    <row r="808" spans="1:16" ht="24">
      <c r="A808" s="83" t="s">
        <v>1504</v>
      </c>
      <c r="B808" s="257" t="s">
        <v>1505</v>
      </c>
      <c r="C808" s="258" t="s">
        <v>103</v>
      </c>
      <c r="D808" s="79">
        <v>638.51</v>
      </c>
      <c r="F808" s="79">
        <v>638.51</v>
      </c>
      <c r="G808" s="81"/>
      <c r="N808" s="240"/>
      <c r="O808" s="241"/>
      <c r="P808" s="213"/>
    </row>
    <row r="809" spans="1:16" ht="24">
      <c r="A809" s="83" t="s">
        <v>1506</v>
      </c>
      <c r="B809" s="257" t="s">
        <v>1507</v>
      </c>
      <c r="C809" s="258" t="s">
        <v>103</v>
      </c>
      <c r="D809" s="79">
        <v>267.75</v>
      </c>
      <c r="F809" s="79">
        <v>267.75</v>
      </c>
      <c r="G809" s="81"/>
      <c r="N809" s="240"/>
      <c r="O809" s="241"/>
      <c r="P809" s="213"/>
    </row>
    <row r="810" spans="1:16" ht="24">
      <c r="A810" s="83" t="s">
        <v>1508</v>
      </c>
      <c r="B810" s="257" t="s">
        <v>1509</v>
      </c>
      <c r="C810" s="258" t="s">
        <v>103</v>
      </c>
      <c r="D810" s="79">
        <v>3571.06</v>
      </c>
      <c r="F810" s="79">
        <v>3571.06</v>
      </c>
      <c r="G810" s="81"/>
      <c r="N810" s="240"/>
      <c r="O810" s="241"/>
      <c r="P810" s="213"/>
    </row>
    <row r="811" spans="1:16" ht="24">
      <c r="A811" s="83" t="s">
        <v>1510</v>
      </c>
      <c r="B811" s="257" t="s">
        <v>1511</v>
      </c>
      <c r="C811" s="258" t="s">
        <v>509</v>
      </c>
      <c r="D811" s="79">
        <v>694.03</v>
      </c>
      <c r="F811" s="79">
        <v>694.03</v>
      </c>
      <c r="G811" s="81"/>
      <c r="N811" s="240"/>
      <c r="O811" s="241"/>
      <c r="P811" s="213"/>
    </row>
    <row r="812" spans="1:16" ht="12">
      <c r="A812" s="83" t="s">
        <v>1512</v>
      </c>
      <c r="B812" s="257" t="s">
        <v>1513</v>
      </c>
      <c r="C812" s="258" t="s">
        <v>509</v>
      </c>
      <c r="D812" s="79">
        <v>972.81</v>
      </c>
      <c r="F812" s="79">
        <v>972.81</v>
      </c>
      <c r="G812" s="81"/>
      <c r="N812" s="240"/>
      <c r="O812" s="241"/>
      <c r="P812" s="213"/>
    </row>
    <row r="813" spans="1:16" ht="24">
      <c r="A813" s="83" t="s">
        <v>1514</v>
      </c>
      <c r="B813" s="257" t="s">
        <v>1515</v>
      </c>
      <c r="C813" s="258" t="s">
        <v>509</v>
      </c>
      <c r="D813" s="79">
        <v>238.41</v>
      </c>
      <c r="F813" s="79">
        <v>238.41</v>
      </c>
      <c r="G813" s="81"/>
      <c r="N813" s="240"/>
      <c r="O813" s="241"/>
      <c r="P813" s="213"/>
    </row>
    <row r="814" spans="1:16" ht="12">
      <c r="A814" s="83" t="s">
        <v>1516</v>
      </c>
      <c r="B814" s="257" t="s">
        <v>1517</v>
      </c>
      <c r="C814" s="258" t="s">
        <v>509</v>
      </c>
      <c r="D814" s="79">
        <v>780.45</v>
      </c>
      <c r="F814" s="79">
        <v>780.45</v>
      </c>
      <c r="G814" s="81"/>
      <c r="N814" s="240"/>
      <c r="O814" s="241"/>
      <c r="P814" s="213"/>
    </row>
    <row r="815" spans="1:16" ht="24">
      <c r="A815" s="83" t="s">
        <v>1518</v>
      </c>
      <c r="B815" s="257" t="s">
        <v>1519</v>
      </c>
      <c r="C815" s="258" t="s">
        <v>509</v>
      </c>
      <c r="D815" s="79">
        <v>248.96</v>
      </c>
      <c r="F815" s="79">
        <v>248.96</v>
      </c>
      <c r="G815" s="81"/>
      <c r="N815" s="240"/>
      <c r="O815" s="241"/>
      <c r="P815" s="213"/>
    </row>
    <row r="816" spans="1:16" ht="24">
      <c r="A816" s="83" t="s">
        <v>1520</v>
      </c>
      <c r="B816" s="257" t="s">
        <v>42055</v>
      </c>
      <c r="C816" s="258" t="s">
        <v>509</v>
      </c>
      <c r="D816" s="79">
        <v>733.85</v>
      </c>
      <c r="F816" s="79">
        <v>733.85</v>
      </c>
      <c r="G816" s="81"/>
      <c r="N816" s="240"/>
      <c r="O816" s="241"/>
      <c r="P816" s="213"/>
    </row>
    <row r="817" spans="1:16" ht="36">
      <c r="A817" s="83" t="s">
        <v>1521</v>
      </c>
      <c r="B817" s="257" t="s">
        <v>42056</v>
      </c>
      <c r="C817" s="258" t="s">
        <v>509</v>
      </c>
      <c r="D817" s="79">
        <v>869.36</v>
      </c>
      <c r="F817" s="79">
        <v>869.36</v>
      </c>
      <c r="G817" s="81"/>
      <c r="N817" s="240"/>
      <c r="O817" s="241"/>
      <c r="P817" s="213"/>
    </row>
    <row r="818" spans="1:16" ht="12">
      <c r="A818" s="83" t="s">
        <v>1522</v>
      </c>
      <c r="B818" s="257" t="s">
        <v>1523</v>
      </c>
      <c r="C818" s="258" t="s">
        <v>509</v>
      </c>
      <c r="D818" s="79">
        <v>940.45</v>
      </c>
      <c r="F818" s="79">
        <v>940.45</v>
      </c>
      <c r="G818" s="81"/>
      <c r="N818" s="240"/>
      <c r="O818" s="241"/>
      <c r="P818" s="213"/>
    </row>
    <row r="819" spans="1:16" ht="12">
      <c r="A819" s="83" t="s">
        <v>1524</v>
      </c>
      <c r="B819" s="257" t="s">
        <v>39271</v>
      </c>
      <c r="C819" s="258" t="s">
        <v>509</v>
      </c>
      <c r="D819" s="79">
        <v>1003.67</v>
      </c>
      <c r="F819" s="79">
        <v>1003.67</v>
      </c>
      <c r="G819" s="81"/>
      <c r="N819" s="240"/>
      <c r="O819" s="241"/>
      <c r="P819" s="213"/>
    </row>
    <row r="820" spans="1:16" ht="12">
      <c r="A820" s="83" t="s">
        <v>1525</v>
      </c>
      <c r="B820" s="257" t="s">
        <v>39272</v>
      </c>
      <c r="C820" s="258" t="s">
        <v>509</v>
      </c>
      <c r="D820" s="79">
        <v>1391.78</v>
      </c>
      <c r="F820" s="79">
        <v>1391.78</v>
      </c>
      <c r="G820" s="81"/>
      <c r="N820" s="240"/>
      <c r="O820" s="241"/>
      <c r="P820" s="213"/>
    </row>
    <row r="821" spans="1:16" ht="12">
      <c r="A821" s="83" t="s">
        <v>1526</v>
      </c>
      <c r="B821" s="257" t="s">
        <v>1527</v>
      </c>
      <c r="C821" s="258" t="s">
        <v>509</v>
      </c>
      <c r="D821" s="79">
        <v>1032.3499999999999</v>
      </c>
      <c r="F821" s="79">
        <v>1032.3499999999999</v>
      </c>
      <c r="G821" s="81"/>
      <c r="N821" s="240"/>
      <c r="O821" s="241"/>
      <c r="P821" s="213"/>
    </row>
    <row r="822" spans="1:16" ht="12">
      <c r="A822" s="83" t="s">
        <v>1528</v>
      </c>
      <c r="B822" s="257" t="s">
        <v>1529</v>
      </c>
      <c r="C822" s="258" t="s">
        <v>509</v>
      </c>
      <c r="D822" s="79">
        <v>1153.4000000000001</v>
      </c>
      <c r="F822" s="79">
        <v>1153.4000000000001</v>
      </c>
      <c r="G822" s="81"/>
      <c r="N822" s="240"/>
      <c r="O822" s="241"/>
      <c r="P822" s="213"/>
    </row>
    <row r="823" spans="1:16" ht="12">
      <c r="A823" s="83" t="s">
        <v>1530</v>
      </c>
      <c r="B823" s="257" t="s">
        <v>1531</v>
      </c>
      <c r="C823" s="258" t="s">
        <v>509</v>
      </c>
      <c r="D823" s="79">
        <v>1229.7</v>
      </c>
      <c r="F823" s="79">
        <v>1229.7</v>
      </c>
      <c r="G823" s="81"/>
      <c r="N823" s="240"/>
      <c r="O823" s="241"/>
      <c r="P823" s="213"/>
    </row>
    <row r="824" spans="1:16" ht="12">
      <c r="A824" s="83" t="s">
        <v>1532</v>
      </c>
      <c r="B824" s="257" t="s">
        <v>1533</v>
      </c>
      <c r="C824" s="258" t="s">
        <v>509</v>
      </c>
      <c r="D824" s="79">
        <v>1179.29</v>
      </c>
      <c r="F824" s="79">
        <v>1179.29</v>
      </c>
      <c r="G824" s="81"/>
      <c r="N824" s="240"/>
      <c r="O824" s="241"/>
      <c r="P824" s="213"/>
    </row>
    <row r="825" spans="1:16" ht="12">
      <c r="A825" s="83" t="s">
        <v>1534</v>
      </c>
      <c r="B825" s="257" t="s">
        <v>1535</v>
      </c>
      <c r="C825" s="258" t="s">
        <v>509</v>
      </c>
      <c r="D825" s="79">
        <v>1026.3399999999999</v>
      </c>
      <c r="F825" s="79">
        <v>1026.3399999999999</v>
      </c>
      <c r="G825" s="81"/>
      <c r="N825" s="240"/>
      <c r="O825" s="241"/>
      <c r="P825" s="213"/>
    </row>
    <row r="826" spans="1:16" ht="12">
      <c r="A826" s="83" t="s">
        <v>1536</v>
      </c>
      <c r="B826" s="257" t="s">
        <v>1537</v>
      </c>
      <c r="C826" s="258" t="s">
        <v>509</v>
      </c>
      <c r="D826" s="79">
        <v>969.79</v>
      </c>
      <c r="F826" s="79">
        <v>969.79</v>
      </c>
      <c r="G826" s="81"/>
      <c r="N826" s="240"/>
      <c r="O826" s="241"/>
      <c r="P826" s="213"/>
    </row>
    <row r="827" spans="1:16" ht="12">
      <c r="A827" s="83" t="s">
        <v>1538</v>
      </c>
      <c r="B827" s="257" t="s">
        <v>1539</v>
      </c>
      <c r="C827" s="258" t="s">
        <v>509</v>
      </c>
      <c r="D827" s="79">
        <v>936.89</v>
      </c>
      <c r="F827" s="79">
        <v>936.89</v>
      </c>
      <c r="G827" s="81"/>
      <c r="N827" s="240"/>
      <c r="O827" s="241"/>
      <c r="P827" s="213"/>
    </row>
    <row r="828" spans="1:16" ht="12">
      <c r="A828" s="83" t="s">
        <v>1540</v>
      </c>
      <c r="B828" s="257" t="s">
        <v>1541</v>
      </c>
      <c r="C828" s="258" t="s">
        <v>509</v>
      </c>
      <c r="D828" s="79">
        <v>1356.06</v>
      </c>
      <c r="F828" s="79">
        <v>1356.06</v>
      </c>
      <c r="G828" s="81"/>
      <c r="N828" s="240"/>
      <c r="O828" s="241"/>
      <c r="P828" s="213"/>
    </row>
    <row r="829" spans="1:16" ht="12">
      <c r="A829" s="63" t="s">
        <v>1542</v>
      </c>
      <c r="B829" s="257" t="s">
        <v>29772</v>
      </c>
      <c r="C829" s="258" t="s">
        <v>509</v>
      </c>
      <c r="D829" s="79">
        <v>1406.8</v>
      </c>
      <c r="F829" s="79">
        <v>1406.8</v>
      </c>
      <c r="G829" s="81"/>
      <c r="N829" s="61"/>
      <c r="O829" s="241"/>
      <c r="P829" s="213"/>
    </row>
    <row r="830" spans="1:16" ht="24">
      <c r="A830" s="63" t="s">
        <v>1543</v>
      </c>
      <c r="B830" s="257" t="s">
        <v>39273</v>
      </c>
      <c r="C830" s="258" t="s">
        <v>509</v>
      </c>
      <c r="D830" s="79">
        <v>1376.26</v>
      </c>
      <c r="F830" s="79">
        <v>1376.26</v>
      </c>
      <c r="G830" s="81"/>
      <c r="N830" s="61"/>
      <c r="O830" s="241"/>
      <c r="P830" s="213"/>
    </row>
    <row r="831" spans="1:16" ht="12">
      <c r="A831" s="263" t="s">
        <v>1544</v>
      </c>
      <c r="B831" s="263" t="s">
        <v>1545</v>
      </c>
      <c r="C831" s="264" t="s">
        <v>509</v>
      </c>
      <c r="D831" s="79">
        <v>981.51</v>
      </c>
      <c r="E831" s="182"/>
      <c r="F831" s="519">
        <v>981.51</v>
      </c>
      <c r="G831" s="242"/>
      <c r="H831" s="242"/>
      <c r="I831" s="242"/>
      <c r="J831" s="242"/>
      <c r="K831" s="242"/>
      <c r="L831" s="242"/>
      <c r="M831" s="242"/>
      <c r="N831" s="242"/>
      <c r="O831" s="242"/>
      <c r="P831" s="242"/>
    </row>
    <row r="832" spans="1:16" ht="12">
      <c r="A832" s="83" t="s">
        <v>1546</v>
      </c>
      <c r="B832" s="257" t="s">
        <v>1547</v>
      </c>
      <c r="C832" s="258" t="s">
        <v>509</v>
      </c>
      <c r="D832" s="79">
        <v>875.33</v>
      </c>
      <c r="F832" s="79">
        <v>875.33</v>
      </c>
      <c r="G832" s="81"/>
      <c r="N832" s="240"/>
      <c r="O832" s="241"/>
      <c r="P832" s="213"/>
    </row>
    <row r="833" spans="1:16" ht="12">
      <c r="A833" s="83" t="s">
        <v>1548</v>
      </c>
      <c r="B833" s="64" t="s">
        <v>1549</v>
      </c>
      <c r="C833" s="134" t="s">
        <v>509</v>
      </c>
      <c r="D833" s="79">
        <v>1490.69</v>
      </c>
      <c r="F833" s="79">
        <v>1490.69</v>
      </c>
      <c r="G833" s="81"/>
      <c r="N833" s="240"/>
      <c r="O833" s="241"/>
      <c r="P833" s="213"/>
    </row>
    <row r="834" spans="1:16" ht="12">
      <c r="A834" s="83" t="s">
        <v>1550</v>
      </c>
      <c r="B834" s="257" t="s">
        <v>1551</v>
      </c>
      <c r="C834" s="258" t="s">
        <v>509</v>
      </c>
      <c r="D834" s="79">
        <v>822.87</v>
      </c>
      <c r="F834" s="79">
        <v>822.87</v>
      </c>
      <c r="G834" s="81"/>
      <c r="N834" s="240"/>
      <c r="O834" s="241"/>
      <c r="P834" s="213"/>
    </row>
    <row r="835" spans="1:16" ht="24">
      <c r="A835" s="83" t="s">
        <v>1552</v>
      </c>
      <c r="B835" s="257" t="s">
        <v>1553</v>
      </c>
      <c r="C835" s="258" t="s">
        <v>103</v>
      </c>
      <c r="D835" s="79">
        <v>239.7</v>
      </c>
      <c r="F835" s="79">
        <v>239.7</v>
      </c>
      <c r="G835" s="81"/>
      <c r="N835" s="240"/>
      <c r="O835" s="241"/>
      <c r="P835" s="213"/>
    </row>
    <row r="836" spans="1:16" ht="12">
      <c r="A836" s="83" t="s">
        <v>1554</v>
      </c>
      <c r="B836" s="257" t="s">
        <v>1555</v>
      </c>
      <c r="C836" s="258" t="s">
        <v>509</v>
      </c>
      <c r="D836" s="79">
        <v>370.06</v>
      </c>
      <c r="F836" s="79">
        <v>370.06</v>
      </c>
      <c r="G836" s="81"/>
      <c r="N836" s="240"/>
      <c r="O836" s="241"/>
      <c r="P836" s="213"/>
    </row>
    <row r="837" spans="1:16" ht="12">
      <c r="A837" s="83" t="s">
        <v>1556</v>
      </c>
      <c r="B837" s="257" t="s">
        <v>1557</v>
      </c>
      <c r="C837" s="258" t="s">
        <v>509</v>
      </c>
      <c r="D837" s="79">
        <v>447.46</v>
      </c>
      <c r="F837" s="79">
        <v>447.46</v>
      </c>
      <c r="G837" s="81"/>
      <c r="N837" s="240"/>
      <c r="O837" s="241"/>
      <c r="P837" s="213"/>
    </row>
    <row r="838" spans="1:16" ht="12">
      <c r="A838" s="83" t="s">
        <v>1558</v>
      </c>
      <c r="B838" s="257" t="s">
        <v>1559</v>
      </c>
      <c r="C838" s="258" t="s">
        <v>509</v>
      </c>
      <c r="D838" s="79">
        <v>256.56</v>
      </c>
      <c r="F838" s="79">
        <v>256.56</v>
      </c>
      <c r="G838" s="81"/>
      <c r="N838" s="240"/>
      <c r="O838" s="241"/>
      <c r="P838" s="213"/>
    </row>
    <row r="839" spans="1:16" ht="12">
      <c r="A839" s="83" t="s">
        <v>1560</v>
      </c>
      <c r="B839" s="257" t="s">
        <v>1561</v>
      </c>
      <c r="C839" s="258" t="s">
        <v>509</v>
      </c>
      <c r="D839" s="79">
        <v>372.66</v>
      </c>
      <c r="F839" s="79">
        <v>372.66</v>
      </c>
      <c r="G839" s="81"/>
      <c r="N839" s="240"/>
      <c r="O839" s="241"/>
      <c r="P839" s="213"/>
    </row>
    <row r="840" spans="1:16" ht="24">
      <c r="A840" s="256" t="s">
        <v>1562</v>
      </c>
      <c r="B840" s="261" t="s">
        <v>1563</v>
      </c>
      <c r="C840" s="262" t="s">
        <v>509</v>
      </c>
      <c r="D840" s="79">
        <v>410.32</v>
      </c>
      <c r="F840" s="79">
        <v>410.32</v>
      </c>
    </row>
    <row r="841" spans="1:16" ht="12">
      <c r="A841" s="83" t="s">
        <v>1564</v>
      </c>
      <c r="B841" s="257" t="s">
        <v>28120</v>
      </c>
      <c r="C841" s="258" t="s">
        <v>509</v>
      </c>
      <c r="D841" s="79">
        <v>384.39</v>
      </c>
      <c r="F841" s="79">
        <v>384.39</v>
      </c>
      <c r="G841" s="81"/>
      <c r="N841" s="240"/>
      <c r="O841" s="241"/>
      <c r="P841" s="213"/>
    </row>
    <row r="842" spans="1:16" ht="12">
      <c r="A842" s="83" t="s">
        <v>1565</v>
      </c>
      <c r="B842" s="257" t="s">
        <v>29773</v>
      </c>
      <c r="C842" s="258" t="s">
        <v>509</v>
      </c>
      <c r="D842" s="79">
        <v>510.34</v>
      </c>
      <c r="F842" s="79">
        <v>510.34</v>
      </c>
      <c r="G842" s="81"/>
      <c r="N842" s="240"/>
      <c r="O842" s="241"/>
      <c r="P842" s="213"/>
    </row>
    <row r="843" spans="1:16" ht="12">
      <c r="A843" s="83" t="s">
        <v>1566</v>
      </c>
      <c r="B843" s="257" t="s">
        <v>1567</v>
      </c>
      <c r="C843" s="258" t="s">
        <v>509</v>
      </c>
      <c r="D843" s="79">
        <v>461.45</v>
      </c>
      <c r="F843" s="79">
        <v>461.45</v>
      </c>
      <c r="G843" s="81"/>
      <c r="N843" s="240"/>
      <c r="O843" s="241"/>
      <c r="P843" s="213"/>
    </row>
    <row r="844" spans="1:16" ht="24">
      <c r="A844" s="83" t="s">
        <v>1568</v>
      </c>
      <c r="B844" s="257" t="s">
        <v>1569</v>
      </c>
      <c r="C844" s="258" t="s">
        <v>509</v>
      </c>
      <c r="D844" s="79">
        <v>1103.2</v>
      </c>
      <c r="F844" s="79">
        <v>1103.2</v>
      </c>
      <c r="G844" s="81"/>
      <c r="N844" s="240"/>
      <c r="O844" s="241"/>
      <c r="P844" s="213"/>
    </row>
    <row r="845" spans="1:16" ht="12">
      <c r="A845" s="83" t="s">
        <v>1570</v>
      </c>
      <c r="B845" s="257" t="s">
        <v>1571</v>
      </c>
      <c r="C845" s="258" t="s">
        <v>509</v>
      </c>
      <c r="D845" s="79">
        <v>1059.49</v>
      </c>
      <c r="F845" s="79">
        <v>1059.49</v>
      </c>
      <c r="G845" s="81"/>
      <c r="N845" s="240"/>
      <c r="O845" s="241"/>
      <c r="P845" s="213"/>
    </row>
    <row r="846" spans="1:16" ht="24">
      <c r="A846" s="83" t="s">
        <v>1572</v>
      </c>
      <c r="B846" s="257" t="s">
        <v>1573</v>
      </c>
      <c r="C846" s="258" t="s">
        <v>509</v>
      </c>
      <c r="D846" s="79">
        <v>954.67</v>
      </c>
      <c r="F846" s="79">
        <v>954.67</v>
      </c>
      <c r="G846" s="81"/>
      <c r="N846" s="240"/>
      <c r="O846" s="241"/>
      <c r="P846" s="213"/>
    </row>
    <row r="847" spans="1:16" ht="12">
      <c r="A847" s="83" t="s">
        <v>1574</v>
      </c>
      <c r="B847" s="257" t="s">
        <v>1575</v>
      </c>
      <c r="C847" s="258" t="s">
        <v>509</v>
      </c>
      <c r="D847" s="79">
        <v>1269.8699999999999</v>
      </c>
      <c r="F847" s="79">
        <v>1269.8699999999999</v>
      </c>
      <c r="G847" s="81"/>
      <c r="N847" s="240"/>
      <c r="O847" s="241"/>
      <c r="P847" s="213"/>
    </row>
    <row r="848" spans="1:16" ht="12">
      <c r="A848" s="83" t="s">
        <v>1576</v>
      </c>
      <c r="B848" s="257" t="s">
        <v>1577</v>
      </c>
      <c r="C848" s="258" t="s">
        <v>509</v>
      </c>
      <c r="D848" s="79">
        <v>1232.92</v>
      </c>
      <c r="F848" s="79">
        <v>1232.92</v>
      </c>
      <c r="G848" s="81"/>
      <c r="N848" s="240"/>
      <c r="O848" s="241"/>
      <c r="P848" s="213"/>
    </row>
    <row r="849" spans="1:16" ht="12">
      <c r="A849" s="83" t="s">
        <v>1578</v>
      </c>
      <c r="B849" s="257" t="s">
        <v>1579</v>
      </c>
      <c r="C849" s="258" t="s">
        <v>509</v>
      </c>
      <c r="D849" s="79">
        <v>879.14</v>
      </c>
      <c r="F849" s="79">
        <v>879.14</v>
      </c>
      <c r="G849" s="81"/>
      <c r="N849" s="240"/>
      <c r="O849" s="241"/>
      <c r="P849" s="213"/>
    </row>
    <row r="850" spans="1:16" ht="12">
      <c r="A850" s="83" t="s">
        <v>1580</v>
      </c>
      <c r="B850" s="257" t="s">
        <v>1581</v>
      </c>
      <c r="C850" s="258" t="s">
        <v>509</v>
      </c>
      <c r="D850" s="79">
        <v>967.75</v>
      </c>
      <c r="F850" s="79">
        <v>967.75</v>
      </c>
      <c r="G850" s="81"/>
      <c r="N850" s="240"/>
      <c r="O850" s="241"/>
      <c r="P850" s="213"/>
    </row>
    <row r="851" spans="1:16" ht="36">
      <c r="A851" s="83" t="s">
        <v>1582</v>
      </c>
      <c r="B851" s="257" t="s">
        <v>28121</v>
      </c>
      <c r="C851" s="258" t="s">
        <v>509</v>
      </c>
      <c r="D851" s="79">
        <v>722.81</v>
      </c>
      <c r="F851" s="79">
        <v>722.81</v>
      </c>
      <c r="G851" s="81"/>
      <c r="N851" s="240"/>
      <c r="O851" s="241"/>
      <c r="P851" s="213"/>
    </row>
    <row r="852" spans="1:16" ht="24">
      <c r="A852" s="83" t="s">
        <v>1583</v>
      </c>
      <c r="B852" s="257" t="s">
        <v>28122</v>
      </c>
      <c r="C852" s="258" t="s">
        <v>509</v>
      </c>
      <c r="D852" s="79">
        <v>562.80999999999995</v>
      </c>
      <c r="F852" s="79">
        <v>562.80999999999995</v>
      </c>
      <c r="G852" s="81"/>
      <c r="N852" s="240"/>
      <c r="O852" s="241"/>
      <c r="P852" s="213"/>
    </row>
    <row r="853" spans="1:16" ht="24">
      <c r="A853" s="83" t="s">
        <v>1584</v>
      </c>
      <c r="B853" s="257" t="s">
        <v>1585</v>
      </c>
      <c r="C853" s="258" t="s">
        <v>509</v>
      </c>
      <c r="D853" s="79">
        <v>1326.71</v>
      </c>
      <c r="F853" s="79">
        <v>1326.71</v>
      </c>
      <c r="G853" s="81"/>
      <c r="N853" s="240"/>
      <c r="O853" s="241"/>
      <c r="P853" s="213"/>
    </row>
    <row r="854" spans="1:16" ht="24">
      <c r="A854" s="83" t="s">
        <v>1586</v>
      </c>
      <c r="B854" s="257" t="s">
        <v>1587</v>
      </c>
      <c r="C854" s="258" t="s">
        <v>509</v>
      </c>
      <c r="D854" s="79">
        <v>1018.84</v>
      </c>
      <c r="F854" s="79">
        <v>1018.84</v>
      </c>
      <c r="G854" s="81"/>
      <c r="N854" s="240"/>
      <c r="O854" s="241"/>
      <c r="P854" s="213"/>
    </row>
    <row r="855" spans="1:16" ht="24">
      <c r="A855" s="83" t="s">
        <v>1588</v>
      </c>
      <c r="B855" s="257" t="s">
        <v>1589</v>
      </c>
      <c r="C855" s="258" t="s">
        <v>509</v>
      </c>
      <c r="D855" s="79">
        <v>663.27</v>
      </c>
      <c r="F855" s="79">
        <v>663.27</v>
      </c>
      <c r="G855" s="81"/>
      <c r="N855" s="240"/>
      <c r="O855" s="241"/>
      <c r="P855" s="213"/>
    </row>
    <row r="856" spans="1:16" ht="12">
      <c r="A856" s="83" t="s">
        <v>1590</v>
      </c>
      <c r="B856" s="257" t="s">
        <v>1591</v>
      </c>
      <c r="C856" s="258" t="s">
        <v>509</v>
      </c>
      <c r="D856" s="79">
        <v>945.86</v>
      </c>
      <c r="F856" s="79">
        <v>945.86</v>
      </c>
      <c r="G856" s="81"/>
      <c r="N856" s="240"/>
      <c r="O856" s="241"/>
      <c r="P856" s="213"/>
    </row>
    <row r="857" spans="1:16" ht="12">
      <c r="A857" s="83" t="s">
        <v>1592</v>
      </c>
      <c r="B857" s="257" t="s">
        <v>1593</v>
      </c>
      <c r="C857" s="258" t="s">
        <v>509</v>
      </c>
      <c r="D857" s="79">
        <v>938.52</v>
      </c>
      <c r="F857" s="79">
        <v>938.52</v>
      </c>
      <c r="G857" s="81"/>
      <c r="N857" s="240"/>
      <c r="O857" s="241"/>
      <c r="P857" s="213"/>
    </row>
    <row r="858" spans="1:16" ht="12">
      <c r="A858" s="83" t="s">
        <v>1594</v>
      </c>
      <c r="B858" s="257" t="s">
        <v>1595</v>
      </c>
      <c r="C858" s="258" t="s">
        <v>509</v>
      </c>
      <c r="D858" s="79">
        <v>1352.89</v>
      </c>
      <c r="F858" s="79">
        <v>1352.89</v>
      </c>
      <c r="G858" s="81"/>
      <c r="N858" s="240"/>
      <c r="O858" s="241"/>
      <c r="P858" s="213"/>
    </row>
    <row r="859" spans="1:16" ht="24">
      <c r="A859" s="83" t="s">
        <v>1596</v>
      </c>
      <c r="B859" s="257" t="s">
        <v>1597</v>
      </c>
      <c r="C859" s="258" t="s">
        <v>165</v>
      </c>
      <c r="D859" s="79">
        <v>330.61</v>
      </c>
      <c r="F859" s="79">
        <v>330.61</v>
      </c>
      <c r="G859" s="81"/>
      <c r="N859" s="240"/>
      <c r="O859" s="241"/>
      <c r="P859" s="213"/>
    </row>
    <row r="860" spans="1:16" ht="24">
      <c r="A860" s="83" t="s">
        <v>1598</v>
      </c>
      <c r="B860" s="257" t="s">
        <v>1599</v>
      </c>
      <c r="C860" s="258" t="s">
        <v>165</v>
      </c>
      <c r="D860" s="79">
        <v>220.88</v>
      </c>
      <c r="F860" s="79">
        <v>220.88</v>
      </c>
      <c r="G860" s="81"/>
      <c r="N860" s="240"/>
      <c r="O860" s="241"/>
      <c r="P860" s="213"/>
    </row>
    <row r="861" spans="1:16" ht="24">
      <c r="A861" s="270" t="s">
        <v>1600</v>
      </c>
      <c r="B861" s="271" t="s">
        <v>29774</v>
      </c>
      <c r="C861" s="272" t="s">
        <v>165</v>
      </c>
      <c r="D861" s="79">
        <v>331.17</v>
      </c>
      <c r="F861" s="79">
        <v>331.17</v>
      </c>
      <c r="G861" s="81"/>
      <c r="N861" s="240"/>
      <c r="O861" s="241"/>
      <c r="P861" s="213"/>
    </row>
    <row r="862" spans="1:16" ht="12">
      <c r="A862" s="83" t="s">
        <v>1601</v>
      </c>
      <c r="B862" s="257" t="s">
        <v>1602</v>
      </c>
      <c r="C862" s="258" t="s">
        <v>509</v>
      </c>
      <c r="D862" s="79">
        <v>1332.2</v>
      </c>
      <c r="F862" s="79">
        <v>1332.2</v>
      </c>
      <c r="G862" s="81"/>
      <c r="N862" s="240"/>
      <c r="O862" s="241"/>
      <c r="P862" s="213"/>
    </row>
    <row r="863" spans="1:16" ht="24">
      <c r="A863" s="83" t="s">
        <v>1603</v>
      </c>
      <c r="B863" s="257" t="s">
        <v>29775</v>
      </c>
      <c r="C863" s="258" t="s">
        <v>509</v>
      </c>
      <c r="D863" s="79">
        <v>957.43</v>
      </c>
      <c r="F863" s="79">
        <v>957.43</v>
      </c>
      <c r="G863" s="81"/>
      <c r="N863" s="240"/>
      <c r="O863" s="241"/>
      <c r="P863" s="213"/>
    </row>
    <row r="864" spans="1:16" ht="24">
      <c r="A864" s="83" t="s">
        <v>1604</v>
      </c>
      <c r="B864" s="257" t="s">
        <v>1605</v>
      </c>
      <c r="C864" s="258" t="s">
        <v>103</v>
      </c>
      <c r="D864" s="79">
        <v>149.52000000000001</v>
      </c>
      <c r="F864" s="79">
        <v>149.52000000000001</v>
      </c>
      <c r="G864" s="81"/>
      <c r="N864" s="240"/>
      <c r="O864" s="241"/>
      <c r="P864" s="213"/>
    </row>
    <row r="865" spans="1:16" ht="24">
      <c r="A865" s="83" t="s">
        <v>1606</v>
      </c>
      <c r="B865" s="257" t="s">
        <v>1607</v>
      </c>
      <c r="C865" s="258" t="s">
        <v>103</v>
      </c>
      <c r="D865" s="79">
        <v>331.36</v>
      </c>
      <c r="F865" s="79">
        <v>331.36</v>
      </c>
      <c r="G865" s="81"/>
      <c r="N865" s="240"/>
      <c r="O865" s="241"/>
      <c r="P865" s="213"/>
    </row>
    <row r="866" spans="1:16" ht="12">
      <c r="A866" s="83" t="s">
        <v>1608</v>
      </c>
      <c r="B866" s="257" t="s">
        <v>1609</v>
      </c>
      <c r="C866" s="258" t="s">
        <v>509</v>
      </c>
      <c r="D866" s="79">
        <v>247.38</v>
      </c>
      <c r="F866" s="79">
        <v>247.38</v>
      </c>
      <c r="G866" s="81"/>
      <c r="N866" s="240"/>
      <c r="O866" s="241"/>
      <c r="P866" s="213"/>
    </row>
    <row r="867" spans="1:16" ht="24">
      <c r="A867" s="261" t="s">
        <v>1610</v>
      </c>
      <c r="B867" s="261" t="s">
        <v>1611</v>
      </c>
      <c r="C867" s="266" t="s">
        <v>509</v>
      </c>
      <c r="D867" s="79">
        <v>2727.13</v>
      </c>
      <c r="F867" s="518">
        <v>2727.13</v>
      </c>
      <c r="N867" s="133"/>
    </row>
    <row r="868" spans="1:16" ht="12">
      <c r="A868" s="83" t="s">
        <v>1612</v>
      </c>
      <c r="B868" s="257" t="s">
        <v>1613</v>
      </c>
      <c r="C868" s="258" t="s">
        <v>509</v>
      </c>
      <c r="D868" s="79">
        <v>99.74</v>
      </c>
      <c r="F868" s="79">
        <v>99.74</v>
      </c>
      <c r="G868" s="81"/>
      <c r="N868" s="240"/>
      <c r="O868" s="241"/>
      <c r="P868" s="213"/>
    </row>
    <row r="869" spans="1:16" ht="12">
      <c r="A869" s="83" t="s">
        <v>1614</v>
      </c>
      <c r="B869" s="257" t="s">
        <v>28123</v>
      </c>
      <c r="C869" s="258" t="s">
        <v>509</v>
      </c>
      <c r="D869" s="79">
        <v>445.91</v>
      </c>
      <c r="F869" s="79">
        <v>445.91</v>
      </c>
      <c r="G869" s="81"/>
      <c r="N869" s="240"/>
      <c r="O869" s="241"/>
      <c r="P869" s="213"/>
    </row>
    <row r="870" spans="1:16" ht="12">
      <c r="A870" s="83" t="s">
        <v>1615</v>
      </c>
      <c r="B870" s="257" t="s">
        <v>1616</v>
      </c>
      <c r="C870" s="258" t="s">
        <v>509</v>
      </c>
      <c r="D870" s="79">
        <v>342.26</v>
      </c>
      <c r="F870" s="79">
        <v>342.26</v>
      </c>
      <c r="G870" s="81"/>
      <c r="N870" s="240"/>
      <c r="O870" s="241"/>
      <c r="P870" s="213"/>
    </row>
    <row r="871" spans="1:16" ht="24">
      <c r="A871" s="83" t="s">
        <v>1617</v>
      </c>
      <c r="B871" s="257" t="s">
        <v>1618</v>
      </c>
      <c r="C871" s="258" t="s">
        <v>509</v>
      </c>
      <c r="D871" s="79">
        <v>942.13</v>
      </c>
      <c r="F871" s="79">
        <v>942.13</v>
      </c>
      <c r="G871" s="81"/>
      <c r="N871" s="240"/>
      <c r="O871" s="241"/>
      <c r="P871" s="213"/>
    </row>
    <row r="872" spans="1:16" ht="12">
      <c r="A872" s="83" t="s">
        <v>1619</v>
      </c>
      <c r="B872" s="257" t="s">
        <v>1620</v>
      </c>
      <c r="C872" s="258" t="s">
        <v>509</v>
      </c>
      <c r="D872" s="79">
        <v>506.19</v>
      </c>
      <c r="F872" s="79">
        <v>506.19</v>
      </c>
      <c r="G872" s="81"/>
      <c r="N872" s="240"/>
      <c r="O872" s="241"/>
      <c r="P872" s="213"/>
    </row>
    <row r="873" spans="1:16" ht="24">
      <c r="A873" s="83" t="s">
        <v>1621</v>
      </c>
      <c r="B873" s="257" t="s">
        <v>1622</v>
      </c>
      <c r="C873" s="258" t="s">
        <v>509</v>
      </c>
      <c r="D873" s="79">
        <v>575.59</v>
      </c>
      <c r="F873" s="79">
        <v>575.59</v>
      </c>
      <c r="G873" s="81"/>
      <c r="N873" s="240"/>
      <c r="O873" s="241"/>
      <c r="P873" s="213"/>
    </row>
    <row r="874" spans="1:16" ht="12">
      <c r="A874" s="83" t="s">
        <v>1623</v>
      </c>
      <c r="B874" s="257" t="s">
        <v>1624</v>
      </c>
      <c r="C874" s="258" t="s">
        <v>509</v>
      </c>
      <c r="D874" s="79">
        <v>434.54</v>
      </c>
      <c r="F874" s="79">
        <v>434.54</v>
      </c>
      <c r="G874" s="81"/>
      <c r="N874" s="240"/>
      <c r="O874" s="241"/>
      <c r="P874" s="213"/>
    </row>
    <row r="875" spans="1:16" ht="24">
      <c r="A875" s="83" t="s">
        <v>1625</v>
      </c>
      <c r="B875" s="257" t="s">
        <v>1626</v>
      </c>
      <c r="C875" s="258" t="s">
        <v>509</v>
      </c>
      <c r="D875" s="79">
        <v>6091.18</v>
      </c>
      <c r="F875" s="79">
        <v>6091.18</v>
      </c>
      <c r="G875" s="81"/>
      <c r="N875" s="240"/>
      <c r="O875" s="241"/>
      <c r="P875" s="213"/>
    </row>
    <row r="876" spans="1:16" ht="12">
      <c r="A876" s="83" t="s">
        <v>1627</v>
      </c>
      <c r="B876" s="257" t="s">
        <v>1628</v>
      </c>
      <c r="C876" s="258" t="s">
        <v>509</v>
      </c>
      <c r="D876" s="79">
        <v>208.05</v>
      </c>
      <c r="F876" s="79">
        <v>208.05</v>
      </c>
      <c r="G876" s="81"/>
      <c r="N876" s="240"/>
      <c r="O876" s="241"/>
      <c r="P876" s="213"/>
    </row>
    <row r="877" spans="1:16" ht="12">
      <c r="A877" s="83" t="s">
        <v>1629</v>
      </c>
      <c r="B877" s="257" t="s">
        <v>1630</v>
      </c>
      <c r="C877" s="258" t="s">
        <v>509</v>
      </c>
      <c r="D877" s="79">
        <v>256.3</v>
      </c>
      <c r="F877" s="79">
        <v>256.3</v>
      </c>
      <c r="G877" s="81"/>
      <c r="N877" s="240"/>
      <c r="O877" s="241"/>
      <c r="P877" s="213"/>
    </row>
    <row r="878" spans="1:16" ht="12">
      <c r="A878" s="83" t="s">
        <v>1631</v>
      </c>
      <c r="B878" s="257" t="s">
        <v>1632</v>
      </c>
      <c r="C878" s="258" t="s">
        <v>509</v>
      </c>
      <c r="D878" s="79">
        <v>988.93</v>
      </c>
      <c r="F878" s="79">
        <v>988.93</v>
      </c>
      <c r="G878" s="81"/>
      <c r="N878" s="240"/>
      <c r="O878" s="241"/>
      <c r="P878" s="213"/>
    </row>
    <row r="879" spans="1:16" ht="12">
      <c r="A879" s="83" t="s">
        <v>1633</v>
      </c>
      <c r="B879" s="257" t="s">
        <v>1634</v>
      </c>
      <c r="C879" s="258" t="s">
        <v>509</v>
      </c>
      <c r="D879" s="79">
        <v>554.64</v>
      </c>
      <c r="F879" s="79">
        <v>554.64</v>
      </c>
      <c r="G879" s="81"/>
      <c r="N879" s="240"/>
      <c r="O879" s="241"/>
      <c r="P879" s="213"/>
    </row>
    <row r="880" spans="1:16" ht="12">
      <c r="A880" s="263" t="s">
        <v>1635</v>
      </c>
      <c r="B880" s="263" t="s">
        <v>1636</v>
      </c>
      <c r="C880" s="264" t="s">
        <v>509</v>
      </c>
      <c r="D880" s="79">
        <v>171.9</v>
      </c>
      <c r="E880" s="182"/>
      <c r="F880" s="519">
        <v>171.9</v>
      </c>
      <c r="G880" s="242"/>
      <c r="H880" s="242"/>
      <c r="I880" s="242"/>
      <c r="J880" s="242"/>
      <c r="K880" s="242"/>
      <c r="L880" s="242"/>
      <c r="M880" s="242"/>
      <c r="N880" s="242"/>
      <c r="O880" s="242"/>
      <c r="P880" s="242"/>
    </row>
    <row r="881" spans="1:16" ht="12">
      <c r="A881" s="83" t="s">
        <v>1637</v>
      </c>
      <c r="B881" s="257" t="s">
        <v>1638</v>
      </c>
      <c r="C881" s="258" t="s">
        <v>509</v>
      </c>
      <c r="D881" s="79">
        <v>171.04</v>
      </c>
      <c r="F881" s="79">
        <v>171.04</v>
      </c>
      <c r="G881" s="81"/>
      <c r="N881" s="240"/>
      <c r="O881" s="241"/>
      <c r="P881" s="213"/>
    </row>
    <row r="882" spans="1:16" ht="12">
      <c r="A882" s="83" t="s">
        <v>1639</v>
      </c>
      <c r="B882" s="257" t="s">
        <v>1640</v>
      </c>
      <c r="C882" s="258" t="s">
        <v>509</v>
      </c>
      <c r="D882" s="79">
        <v>407.03</v>
      </c>
      <c r="F882" s="79">
        <v>407.03</v>
      </c>
      <c r="G882" s="81"/>
      <c r="N882" s="240"/>
      <c r="O882" s="241"/>
      <c r="P882" s="213"/>
    </row>
    <row r="883" spans="1:16" ht="12">
      <c r="A883" s="83" t="s">
        <v>1641</v>
      </c>
      <c r="B883" s="257" t="s">
        <v>1642</v>
      </c>
      <c r="C883" s="258" t="s">
        <v>509</v>
      </c>
      <c r="D883" s="79">
        <v>398.81</v>
      </c>
      <c r="F883" s="79">
        <v>398.81</v>
      </c>
      <c r="G883" s="81"/>
      <c r="N883" s="240"/>
      <c r="O883" s="241"/>
      <c r="P883" s="213"/>
    </row>
    <row r="884" spans="1:16" ht="12">
      <c r="A884" s="83" t="s">
        <v>1643</v>
      </c>
      <c r="B884" s="257" t="s">
        <v>1644</v>
      </c>
      <c r="C884" s="258" t="s">
        <v>509</v>
      </c>
      <c r="D884" s="79">
        <v>79.66</v>
      </c>
      <c r="F884" s="79">
        <v>79.66</v>
      </c>
      <c r="G884" s="81"/>
      <c r="N884" s="240"/>
      <c r="O884" s="241"/>
      <c r="P884" s="213"/>
    </row>
    <row r="885" spans="1:16" ht="12">
      <c r="A885" s="83" t="s">
        <v>1645</v>
      </c>
      <c r="B885" s="257" t="s">
        <v>1646</v>
      </c>
      <c r="C885" s="258" t="s">
        <v>509</v>
      </c>
      <c r="D885" s="79">
        <v>112.92</v>
      </c>
      <c r="F885" s="79">
        <v>112.92</v>
      </c>
      <c r="G885" s="81"/>
      <c r="N885" s="240"/>
      <c r="O885" s="241"/>
      <c r="P885" s="213"/>
    </row>
    <row r="886" spans="1:16" ht="12">
      <c r="A886" s="83" t="s">
        <v>1647</v>
      </c>
      <c r="B886" s="257" t="s">
        <v>1648</v>
      </c>
      <c r="C886" s="258" t="s">
        <v>509</v>
      </c>
      <c r="D886" s="79">
        <v>123.85</v>
      </c>
      <c r="F886" s="79">
        <v>123.85</v>
      </c>
      <c r="G886" s="81"/>
      <c r="N886" s="240"/>
      <c r="O886" s="241"/>
      <c r="P886" s="213"/>
    </row>
    <row r="887" spans="1:16" ht="12">
      <c r="A887" s="83" t="s">
        <v>1649</v>
      </c>
      <c r="B887" s="257" t="s">
        <v>1650</v>
      </c>
      <c r="C887" s="258" t="s">
        <v>509</v>
      </c>
      <c r="D887" s="79">
        <v>123.97</v>
      </c>
      <c r="F887" s="79">
        <v>123.97</v>
      </c>
      <c r="G887" s="81"/>
      <c r="N887" s="240"/>
      <c r="O887" s="241"/>
      <c r="P887" s="213"/>
    </row>
    <row r="888" spans="1:16" ht="12">
      <c r="A888" s="83" t="s">
        <v>1651</v>
      </c>
      <c r="B888" s="257" t="s">
        <v>1652</v>
      </c>
      <c r="C888" s="258" t="s">
        <v>509</v>
      </c>
      <c r="D888" s="79">
        <v>264.13</v>
      </c>
      <c r="F888" s="79">
        <v>264.13</v>
      </c>
      <c r="G888" s="81"/>
      <c r="N888" s="240"/>
      <c r="O888" s="241"/>
      <c r="P888" s="213"/>
    </row>
    <row r="889" spans="1:16" ht="12">
      <c r="A889" s="83" t="s">
        <v>1653</v>
      </c>
      <c r="B889" s="257" t="s">
        <v>1654</v>
      </c>
      <c r="C889" s="258" t="s">
        <v>509</v>
      </c>
      <c r="D889" s="79">
        <v>305.75</v>
      </c>
      <c r="F889" s="79">
        <v>305.75</v>
      </c>
      <c r="G889" s="81"/>
      <c r="N889" s="240"/>
      <c r="O889" s="241"/>
      <c r="P889" s="213"/>
    </row>
    <row r="890" spans="1:16" ht="12">
      <c r="A890" s="83" t="s">
        <v>1655</v>
      </c>
      <c r="B890" s="257" t="s">
        <v>1656</v>
      </c>
      <c r="C890" s="258" t="s">
        <v>509</v>
      </c>
      <c r="D890" s="79">
        <v>211.78</v>
      </c>
      <c r="F890" s="79">
        <v>211.78</v>
      </c>
      <c r="G890" s="81"/>
      <c r="N890" s="240"/>
      <c r="O890" s="241"/>
      <c r="P890" s="213"/>
    </row>
    <row r="891" spans="1:16" ht="12">
      <c r="A891" s="83" t="s">
        <v>1657</v>
      </c>
      <c r="B891" s="257" t="s">
        <v>1658</v>
      </c>
      <c r="C891" s="258" t="s">
        <v>509</v>
      </c>
      <c r="D891" s="79">
        <v>172.27</v>
      </c>
      <c r="F891" s="79">
        <v>172.27</v>
      </c>
      <c r="G891" s="81"/>
      <c r="N891" s="240"/>
      <c r="O891" s="241"/>
      <c r="P891" s="213"/>
    </row>
    <row r="892" spans="1:16" ht="12">
      <c r="A892" s="83" t="s">
        <v>1659</v>
      </c>
      <c r="B892" s="257" t="s">
        <v>1660</v>
      </c>
      <c r="C892" s="258" t="s">
        <v>509</v>
      </c>
      <c r="D892" s="79">
        <v>198.46</v>
      </c>
      <c r="F892" s="79">
        <v>198.46</v>
      </c>
      <c r="G892" s="81"/>
      <c r="N892" s="240"/>
      <c r="O892" s="241"/>
      <c r="P892" s="213"/>
    </row>
    <row r="893" spans="1:16" ht="12">
      <c r="A893" s="83" t="s">
        <v>1661</v>
      </c>
      <c r="B893" s="257" t="s">
        <v>1662</v>
      </c>
      <c r="C893" s="258" t="s">
        <v>509</v>
      </c>
      <c r="D893" s="79">
        <v>454.36</v>
      </c>
      <c r="F893" s="79">
        <v>454.36</v>
      </c>
      <c r="G893" s="81"/>
      <c r="N893" s="240"/>
      <c r="O893" s="241"/>
      <c r="P893" s="213"/>
    </row>
    <row r="894" spans="1:16" ht="12">
      <c r="A894" s="63" t="s">
        <v>1663</v>
      </c>
      <c r="B894" s="64" t="s">
        <v>1664</v>
      </c>
      <c r="C894" s="134" t="s">
        <v>509</v>
      </c>
      <c r="D894" s="79">
        <v>307.02</v>
      </c>
      <c r="F894" s="79">
        <v>307.02</v>
      </c>
      <c r="G894" s="81"/>
      <c r="N894" s="61"/>
      <c r="O894" s="241"/>
      <c r="P894" s="213"/>
    </row>
    <row r="895" spans="1:16" ht="24">
      <c r="A895" s="83" t="s">
        <v>1665</v>
      </c>
      <c r="B895" s="257" t="s">
        <v>1666</v>
      </c>
      <c r="C895" s="258" t="s">
        <v>509</v>
      </c>
      <c r="D895" s="79">
        <v>4049.4</v>
      </c>
      <c r="F895" s="79">
        <v>4049.4</v>
      </c>
      <c r="G895" s="81"/>
      <c r="N895" s="240"/>
      <c r="O895" s="241"/>
      <c r="P895" s="213"/>
    </row>
    <row r="896" spans="1:16" ht="24">
      <c r="A896" s="261" t="s">
        <v>1667</v>
      </c>
      <c r="B896" s="261" t="s">
        <v>42057</v>
      </c>
      <c r="C896" s="266" t="s">
        <v>165</v>
      </c>
      <c r="D896" s="79">
        <v>34.03</v>
      </c>
      <c r="F896" s="518">
        <v>34.03</v>
      </c>
      <c r="N896" s="133"/>
    </row>
    <row r="897" spans="1:16" ht="24">
      <c r="A897" s="83" t="s">
        <v>1668</v>
      </c>
      <c r="B897" s="257" t="s">
        <v>28124</v>
      </c>
      <c r="C897" s="258" t="s">
        <v>103</v>
      </c>
      <c r="D897" s="79">
        <v>404.36</v>
      </c>
      <c r="F897" s="79">
        <v>404.36</v>
      </c>
      <c r="G897" s="81"/>
      <c r="N897" s="240"/>
      <c r="O897" s="241"/>
      <c r="P897" s="213"/>
    </row>
    <row r="898" spans="1:16" ht="12">
      <c r="A898" s="83" t="s">
        <v>1669</v>
      </c>
      <c r="B898" s="257" t="s">
        <v>1670</v>
      </c>
      <c r="C898" s="258" t="s">
        <v>103</v>
      </c>
      <c r="D898" s="79">
        <v>1115.68</v>
      </c>
      <c r="F898" s="79">
        <v>1115.68</v>
      </c>
      <c r="G898" s="81"/>
      <c r="N898" s="240"/>
      <c r="O898" s="241"/>
      <c r="P898" s="213"/>
    </row>
    <row r="899" spans="1:16" ht="24">
      <c r="A899" s="83" t="s">
        <v>1671</v>
      </c>
      <c r="B899" s="257" t="s">
        <v>1672</v>
      </c>
      <c r="C899" s="258" t="s">
        <v>396</v>
      </c>
      <c r="D899" s="79">
        <v>930.64</v>
      </c>
      <c r="F899" s="79">
        <v>930.64</v>
      </c>
      <c r="G899" s="81"/>
      <c r="N899" s="240"/>
      <c r="O899" s="241"/>
      <c r="P899" s="213"/>
    </row>
    <row r="900" spans="1:16" ht="12">
      <c r="A900" s="83" t="s">
        <v>1673</v>
      </c>
      <c r="B900" s="257" t="s">
        <v>1674</v>
      </c>
      <c r="C900" s="258" t="s">
        <v>396</v>
      </c>
      <c r="D900" s="79">
        <v>9.09</v>
      </c>
      <c r="F900" s="79">
        <v>9.09</v>
      </c>
      <c r="G900" s="81"/>
      <c r="N900" s="240"/>
      <c r="O900" s="241"/>
      <c r="P900" s="213"/>
    </row>
    <row r="901" spans="1:16" ht="12">
      <c r="A901" s="83" t="s">
        <v>1675</v>
      </c>
      <c r="B901" s="257" t="s">
        <v>1676</v>
      </c>
      <c r="C901" s="258" t="s">
        <v>103</v>
      </c>
      <c r="D901" s="79">
        <v>214.23</v>
      </c>
      <c r="F901" s="79">
        <v>214.23</v>
      </c>
      <c r="G901" s="81"/>
      <c r="N901" s="240"/>
      <c r="O901" s="241"/>
      <c r="P901" s="213"/>
    </row>
    <row r="902" spans="1:16" ht="12">
      <c r="A902" s="83" t="s">
        <v>1677</v>
      </c>
      <c r="B902" s="257" t="s">
        <v>1678</v>
      </c>
      <c r="C902" s="258" t="s">
        <v>103</v>
      </c>
      <c r="D902" s="79">
        <v>72.69</v>
      </c>
      <c r="F902" s="79">
        <v>72.69</v>
      </c>
      <c r="G902" s="81"/>
      <c r="N902" s="240"/>
      <c r="O902" s="241"/>
      <c r="P902" s="213"/>
    </row>
    <row r="903" spans="1:16" ht="24">
      <c r="A903" s="83" t="s">
        <v>1679</v>
      </c>
      <c r="B903" s="257" t="s">
        <v>1680</v>
      </c>
      <c r="C903" s="258" t="s">
        <v>103</v>
      </c>
      <c r="D903" s="79">
        <v>89.42</v>
      </c>
      <c r="F903" s="79">
        <v>89.42</v>
      </c>
      <c r="G903" s="81"/>
      <c r="N903" s="240"/>
      <c r="O903" s="241"/>
      <c r="P903" s="213"/>
    </row>
    <row r="904" spans="1:16" ht="24">
      <c r="A904" s="83" t="s">
        <v>1681</v>
      </c>
      <c r="B904" s="257" t="s">
        <v>28125</v>
      </c>
      <c r="C904" s="258" t="s">
        <v>396</v>
      </c>
      <c r="D904" s="79">
        <v>229.28</v>
      </c>
      <c r="F904" s="79">
        <v>229.28</v>
      </c>
      <c r="G904" s="81"/>
      <c r="N904" s="240"/>
      <c r="O904" s="241"/>
      <c r="P904" s="213"/>
    </row>
    <row r="905" spans="1:16" ht="24">
      <c r="A905" s="83" t="s">
        <v>1682</v>
      </c>
      <c r="B905" s="257" t="s">
        <v>42058</v>
      </c>
      <c r="C905" s="258" t="s">
        <v>103</v>
      </c>
      <c r="D905" s="79">
        <v>81.25</v>
      </c>
      <c r="F905" s="79">
        <v>81.25</v>
      </c>
      <c r="G905" s="81"/>
      <c r="N905" s="240"/>
      <c r="O905" s="241"/>
      <c r="P905" s="213"/>
    </row>
    <row r="906" spans="1:16" ht="12">
      <c r="A906" s="83" t="s">
        <v>1683</v>
      </c>
      <c r="B906" s="257" t="s">
        <v>1684</v>
      </c>
      <c r="C906" s="258" t="s">
        <v>103</v>
      </c>
      <c r="D906" s="79">
        <v>105.08</v>
      </c>
      <c r="F906" s="79">
        <v>105.08</v>
      </c>
      <c r="G906" s="81"/>
      <c r="N906" s="240"/>
      <c r="O906" s="241"/>
      <c r="P906" s="213"/>
    </row>
    <row r="907" spans="1:16" ht="12">
      <c r="A907" s="83" t="s">
        <v>1685</v>
      </c>
      <c r="B907" s="257" t="s">
        <v>1686</v>
      </c>
      <c r="C907" s="258" t="s">
        <v>103</v>
      </c>
      <c r="D907" s="79">
        <v>72.63</v>
      </c>
      <c r="F907" s="79">
        <v>72.63</v>
      </c>
      <c r="G907" s="81"/>
      <c r="N907" s="240"/>
      <c r="O907" s="241"/>
      <c r="P907" s="213"/>
    </row>
    <row r="908" spans="1:16" ht="24">
      <c r="A908" s="83" t="s">
        <v>1687</v>
      </c>
      <c r="B908" s="257" t="s">
        <v>1688</v>
      </c>
      <c r="C908" s="258" t="s">
        <v>103</v>
      </c>
      <c r="D908" s="79">
        <v>217.04</v>
      </c>
      <c r="F908" s="79">
        <v>217.04</v>
      </c>
      <c r="G908" s="81"/>
      <c r="N908" s="240"/>
      <c r="O908" s="241"/>
      <c r="P908" s="213"/>
    </row>
    <row r="909" spans="1:16" ht="24">
      <c r="A909" s="83" t="s">
        <v>1689</v>
      </c>
      <c r="B909" s="257" t="s">
        <v>1690</v>
      </c>
      <c r="C909" s="258" t="s">
        <v>103</v>
      </c>
      <c r="D909" s="79">
        <v>174.52</v>
      </c>
      <c r="F909" s="79">
        <v>174.52</v>
      </c>
      <c r="G909" s="81"/>
      <c r="N909" s="240"/>
      <c r="O909" s="241"/>
      <c r="P909" s="213"/>
    </row>
    <row r="910" spans="1:16" ht="24">
      <c r="A910" s="83" t="s">
        <v>1691</v>
      </c>
      <c r="B910" s="64" t="s">
        <v>1692</v>
      </c>
      <c r="C910" s="134" t="s">
        <v>103</v>
      </c>
      <c r="D910" s="79">
        <v>190.87</v>
      </c>
      <c r="F910" s="79">
        <v>190.87</v>
      </c>
      <c r="G910" s="81"/>
      <c r="N910" s="240"/>
      <c r="O910" s="241"/>
      <c r="P910" s="213"/>
    </row>
    <row r="911" spans="1:16" ht="24">
      <c r="A911" s="83" t="s">
        <v>1693</v>
      </c>
      <c r="B911" s="257" t="s">
        <v>1694</v>
      </c>
      <c r="C911" s="258" t="s">
        <v>103</v>
      </c>
      <c r="D911" s="79">
        <v>632.91999999999996</v>
      </c>
      <c r="F911" s="79">
        <v>632.91999999999996</v>
      </c>
      <c r="G911" s="81"/>
      <c r="N911" s="240"/>
      <c r="O911" s="241"/>
      <c r="P911" s="213"/>
    </row>
    <row r="912" spans="1:16" ht="12">
      <c r="A912" s="83" t="s">
        <v>1695</v>
      </c>
      <c r="B912" s="257" t="s">
        <v>1696</v>
      </c>
      <c r="C912" s="258" t="s">
        <v>103</v>
      </c>
      <c r="D912" s="79">
        <v>48.9</v>
      </c>
      <c r="F912" s="79">
        <v>48.9</v>
      </c>
      <c r="G912" s="81"/>
      <c r="N912" s="240"/>
      <c r="O912" s="241"/>
      <c r="P912" s="213"/>
    </row>
    <row r="913" spans="1:16" ht="12">
      <c r="A913" s="256" t="s">
        <v>1697</v>
      </c>
      <c r="B913" s="261" t="s">
        <v>1698</v>
      </c>
      <c r="C913" s="262" t="s">
        <v>103</v>
      </c>
      <c r="D913" s="79">
        <v>49.02</v>
      </c>
      <c r="F913" s="79">
        <v>49.02</v>
      </c>
    </row>
    <row r="914" spans="1:16" ht="12">
      <c r="A914" s="83" t="s">
        <v>1699</v>
      </c>
      <c r="B914" s="257" t="s">
        <v>1700</v>
      </c>
      <c r="C914" s="258" t="s">
        <v>103</v>
      </c>
      <c r="D914" s="79">
        <v>54.59</v>
      </c>
      <c r="F914" s="79">
        <v>54.59</v>
      </c>
      <c r="G914" s="81"/>
      <c r="N914" s="240"/>
      <c r="O914" s="241"/>
      <c r="P914" s="213"/>
    </row>
    <row r="915" spans="1:16" ht="12">
      <c r="A915" s="83" t="s">
        <v>1701</v>
      </c>
      <c r="B915" s="257" t="s">
        <v>1702</v>
      </c>
      <c r="C915" s="258" t="s">
        <v>103</v>
      </c>
      <c r="D915" s="79">
        <v>53.74</v>
      </c>
      <c r="F915" s="79">
        <v>53.74</v>
      </c>
      <c r="G915" s="81"/>
      <c r="N915" s="240"/>
      <c r="O915" s="241"/>
      <c r="P915" s="213"/>
    </row>
    <row r="916" spans="1:16" ht="12">
      <c r="A916" s="83" t="s">
        <v>1703</v>
      </c>
      <c r="B916" s="257" t="s">
        <v>1704</v>
      </c>
      <c r="C916" s="258" t="s">
        <v>103</v>
      </c>
      <c r="D916" s="79">
        <v>31.37</v>
      </c>
      <c r="F916" s="79">
        <v>31.37</v>
      </c>
      <c r="G916" s="81"/>
      <c r="N916" s="240"/>
      <c r="O916" s="241"/>
      <c r="P916" s="213"/>
    </row>
    <row r="917" spans="1:16" ht="12">
      <c r="A917" s="83" t="s">
        <v>1705</v>
      </c>
      <c r="B917" s="257" t="s">
        <v>29776</v>
      </c>
      <c r="C917" s="258" t="s">
        <v>103</v>
      </c>
      <c r="D917" s="79">
        <v>325.73</v>
      </c>
      <c r="F917" s="79">
        <v>325.73</v>
      </c>
      <c r="G917" s="81"/>
      <c r="N917" s="240"/>
      <c r="O917" s="241"/>
      <c r="P917" s="213"/>
    </row>
    <row r="918" spans="1:16" ht="12">
      <c r="A918" s="83" t="s">
        <v>1706</v>
      </c>
      <c r="B918" s="257" t="s">
        <v>29777</v>
      </c>
      <c r="C918" s="258" t="s">
        <v>103</v>
      </c>
      <c r="D918" s="79">
        <v>423.78</v>
      </c>
      <c r="F918" s="79">
        <v>423.78</v>
      </c>
      <c r="G918" s="81"/>
      <c r="N918" s="240"/>
      <c r="O918" s="241"/>
      <c r="P918" s="213"/>
    </row>
    <row r="919" spans="1:16" ht="24">
      <c r="A919" s="83" t="s">
        <v>1707</v>
      </c>
      <c r="B919" s="257" t="s">
        <v>1708</v>
      </c>
      <c r="C919" s="258" t="s">
        <v>396</v>
      </c>
      <c r="D919" s="79">
        <v>26.22</v>
      </c>
      <c r="F919" s="79">
        <v>26.22</v>
      </c>
      <c r="G919" s="81"/>
      <c r="N919" s="240"/>
      <c r="O919" s="241"/>
      <c r="P919" s="213"/>
    </row>
    <row r="920" spans="1:16" ht="24">
      <c r="A920" s="83" t="s">
        <v>1709</v>
      </c>
      <c r="B920" s="257" t="s">
        <v>1710</v>
      </c>
      <c r="C920" s="258" t="s">
        <v>103</v>
      </c>
      <c r="D920" s="79">
        <v>167.17</v>
      </c>
      <c r="F920" s="79">
        <v>167.17</v>
      </c>
      <c r="G920" s="81"/>
      <c r="N920" s="240"/>
      <c r="O920" s="241"/>
      <c r="P920" s="213"/>
    </row>
    <row r="921" spans="1:16" ht="24">
      <c r="A921" s="83" t="s">
        <v>1711</v>
      </c>
      <c r="B921" s="257" t="s">
        <v>1712</v>
      </c>
      <c r="C921" s="258" t="s">
        <v>103</v>
      </c>
      <c r="D921" s="79">
        <v>156.58000000000001</v>
      </c>
      <c r="F921" s="79">
        <v>156.58000000000001</v>
      </c>
      <c r="G921" s="81"/>
      <c r="N921" s="240"/>
      <c r="O921" s="241"/>
      <c r="P921" s="213"/>
    </row>
    <row r="922" spans="1:16" ht="12">
      <c r="A922" s="83" t="s">
        <v>1713</v>
      </c>
      <c r="B922" s="257" t="s">
        <v>1714</v>
      </c>
      <c r="C922" s="258" t="s">
        <v>103</v>
      </c>
      <c r="D922" s="79">
        <v>201.68</v>
      </c>
      <c r="F922" s="79">
        <v>201.68</v>
      </c>
      <c r="G922" s="81"/>
      <c r="N922" s="240"/>
      <c r="O922" s="241"/>
      <c r="P922" s="213"/>
    </row>
    <row r="923" spans="1:16" ht="12">
      <c r="A923" s="83" t="s">
        <v>1715</v>
      </c>
      <c r="B923" s="257" t="s">
        <v>1716</v>
      </c>
      <c r="C923" s="258" t="s">
        <v>103</v>
      </c>
      <c r="D923" s="79">
        <v>30.93</v>
      </c>
      <c r="F923" s="79">
        <v>30.93</v>
      </c>
      <c r="G923" s="81"/>
      <c r="N923" s="240"/>
      <c r="O923" s="241"/>
      <c r="P923" s="213"/>
    </row>
    <row r="924" spans="1:16" ht="12">
      <c r="A924" s="83" t="s">
        <v>1717</v>
      </c>
      <c r="B924" s="257" t="s">
        <v>1718</v>
      </c>
      <c r="C924" s="258" t="s">
        <v>103</v>
      </c>
      <c r="D924" s="79">
        <v>75.34</v>
      </c>
      <c r="F924" s="79">
        <v>75.34</v>
      </c>
      <c r="G924" s="81"/>
      <c r="N924" s="240"/>
      <c r="O924" s="241"/>
      <c r="P924" s="213"/>
    </row>
    <row r="925" spans="1:16" ht="12">
      <c r="A925" s="83" t="s">
        <v>1719</v>
      </c>
      <c r="B925" s="257" t="s">
        <v>1720</v>
      </c>
      <c r="C925" s="258" t="s">
        <v>103</v>
      </c>
      <c r="D925" s="79">
        <v>19.78</v>
      </c>
      <c r="F925" s="79">
        <v>19.78</v>
      </c>
      <c r="G925" s="81"/>
      <c r="N925" s="240"/>
      <c r="O925" s="241"/>
      <c r="P925" s="213"/>
    </row>
    <row r="926" spans="1:16" ht="24">
      <c r="A926" s="83" t="s">
        <v>1721</v>
      </c>
      <c r="B926" s="257" t="s">
        <v>1722</v>
      </c>
      <c r="C926" s="258" t="s">
        <v>103</v>
      </c>
      <c r="D926" s="79">
        <v>1058.6099999999999</v>
      </c>
      <c r="F926" s="79">
        <v>1058.6099999999999</v>
      </c>
      <c r="G926" s="81"/>
      <c r="N926" s="240"/>
      <c r="O926" s="241"/>
      <c r="P926" s="213"/>
    </row>
    <row r="927" spans="1:16" ht="12">
      <c r="A927" s="83" t="s">
        <v>1723</v>
      </c>
      <c r="B927" s="257" t="s">
        <v>1724</v>
      </c>
      <c r="C927" s="258" t="s">
        <v>103</v>
      </c>
      <c r="D927" s="79">
        <v>50.54</v>
      </c>
      <c r="F927" s="79">
        <v>50.54</v>
      </c>
      <c r="G927" s="81"/>
      <c r="N927" s="240"/>
      <c r="O927" s="241"/>
      <c r="P927" s="213"/>
    </row>
    <row r="928" spans="1:16" ht="24">
      <c r="A928" s="83" t="s">
        <v>1725</v>
      </c>
      <c r="B928" s="257" t="s">
        <v>1726</v>
      </c>
      <c r="C928" s="258" t="s">
        <v>103</v>
      </c>
      <c r="D928" s="79">
        <v>99.72</v>
      </c>
      <c r="F928" s="79">
        <v>99.72</v>
      </c>
      <c r="G928" s="81"/>
      <c r="N928" s="240"/>
      <c r="O928" s="241"/>
      <c r="P928" s="213"/>
    </row>
    <row r="929" spans="1:16" ht="24">
      <c r="A929" s="83" t="s">
        <v>1727</v>
      </c>
      <c r="B929" s="257" t="s">
        <v>1728</v>
      </c>
      <c r="C929" s="258" t="s">
        <v>103</v>
      </c>
      <c r="D929" s="79">
        <v>41.25</v>
      </c>
      <c r="F929" s="79">
        <v>41.25</v>
      </c>
      <c r="G929" s="81"/>
      <c r="N929" s="240"/>
      <c r="O929" s="241"/>
      <c r="P929" s="213"/>
    </row>
    <row r="930" spans="1:16" ht="24">
      <c r="A930" s="63" t="s">
        <v>1729</v>
      </c>
      <c r="B930" s="64" t="s">
        <v>1730</v>
      </c>
      <c r="C930" s="71" t="s">
        <v>103</v>
      </c>
      <c r="D930" s="79">
        <v>14003.4</v>
      </c>
      <c r="F930" s="79">
        <v>14003.4</v>
      </c>
      <c r="G930" s="81"/>
      <c r="N930" s="61"/>
      <c r="O930" s="241"/>
      <c r="P930" s="213"/>
    </row>
    <row r="931" spans="1:16" ht="24">
      <c r="A931" s="63" t="s">
        <v>1731</v>
      </c>
      <c r="B931" s="64" t="s">
        <v>1732</v>
      </c>
      <c r="C931" s="71" t="s">
        <v>103</v>
      </c>
      <c r="D931" s="79">
        <v>16635.88</v>
      </c>
      <c r="F931" s="79">
        <v>16635.88</v>
      </c>
      <c r="G931" s="81"/>
      <c r="N931" s="61"/>
      <c r="O931" s="241"/>
      <c r="P931" s="213"/>
    </row>
    <row r="932" spans="1:16" ht="24">
      <c r="A932" s="83" t="s">
        <v>1733</v>
      </c>
      <c r="B932" s="257" t="s">
        <v>1734</v>
      </c>
      <c r="C932" s="258" t="s">
        <v>396</v>
      </c>
      <c r="D932" s="79">
        <v>168</v>
      </c>
      <c r="F932" s="79">
        <v>168</v>
      </c>
      <c r="G932" s="81"/>
      <c r="N932" s="240"/>
      <c r="O932" s="241"/>
      <c r="P932" s="213"/>
    </row>
    <row r="933" spans="1:16" ht="24">
      <c r="A933" s="83" t="s">
        <v>1735</v>
      </c>
      <c r="B933" s="257" t="s">
        <v>1736</v>
      </c>
      <c r="C933" s="258" t="s">
        <v>396</v>
      </c>
      <c r="D933" s="79">
        <v>114.96</v>
      </c>
      <c r="F933" s="79">
        <v>114.96</v>
      </c>
      <c r="G933" s="81"/>
      <c r="N933" s="240"/>
      <c r="O933" s="241"/>
      <c r="P933" s="213"/>
    </row>
    <row r="934" spans="1:16" ht="12">
      <c r="A934" s="83" t="s">
        <v>1737</v>
      </c>
      <c r="B934" s="257" t="s">
        <v>1738</v>
      </c>
      <c r="C934" s="258" t="s">
        <v>103</v>
      </c>
      <c r="D934" s="79">
        <v>340.53</v>
      </c>
      <c r="F934" s="79">
        <v>340.53</v>
      </c>
      <c r="G934" s="81"/>
      <c r="N934" s="240"/>
      <c r="O934" s="241"/>
      <c r="P934" s="213"/>
    </row>
    <row r="935" spans="1:16" ht="24">
      <c r="A935" s="83" t="s">
        <v>1739</v>
      </c>
      <c r="B935" s="257" t="s">
        <v>29778</v>
      </c>
      <c r="C935" s="258" t="s">
        <v>396</v>
      </c>
      <c r="D935" s="79">
        <v>493.85</v>
      </c>
      <c r="F935" s="79">
        <v>493.85</v>
      </c>
      <c r="G935" s="81"/>
      <c r="N935" s="240"/>
      <c r="O935" s="241"/>
      <c r="P935" s="213"/>
    </row>
    <row r="936" spans="1:16" ht="24">
      <c r="A936" s="83" t="s">
        <v>1740</v>
      </c>
      <c r="B936" s="257" t="s">
        <v>1741</v>
      </c>
      <c r="C936" s="258" t="s">
        <v>103</v>
      </c>
      <c r="D936" s="79">
        <v>327.52</v>
      </c>
      <c r="F936" s="79">
        <v>327.52</v>
      </c>
      <c r="G936" s="81"/>
      <c r="N936" s="240"/>
      <c r="O936" s="241"/>
      <c r="P936" s="213"/>
    </row>
    <row r="937" spans="1:16" ht="24">
      <c r="A937" s="83" t="s">
        <v>1742</v>
      </c>
      <c r="B937" s="257" t="s">
        <v>1743</v>
      </c>
      <c r="C937" s="258" t="s">
        <v>103</v>
      </c>
      <c r="D937" s="79">
        <v>352.44</v>
      </c>
      <c r="F937" s="79">
        <v>352.44</v>
      </c>
      <c r="G937" s="81"/>
      <c r="N937" s="240"/>
      <c r="O937" s="241"/>
      <c r="P937" s="213"/>
    </row>
    <row r="938" spans="1:16" ht="24">
      <c r="A938" s="83" t="s">
        <v>1744</v>
      </c>
      <c r="B938" s="257" t="s">
        <v>1745</v>
      </c>
      <c r="C938" s="258" t="s">
        <v>103</v>
      </c>
      <c r="D938" s="79">
        <v>3617.46</v>
      </c>
      <c r="F938" s="79">
        <v>3617.46</v>
      </c>
      <c r="G938" s="81"/>
      <c r="N938" s="240"/>
      <c r="O938" s="241"/>
      <c r="P938" s="213"/>
    </row>
    <row r="939" spans="1:16" ht="24">
      <c r="A939" s="83" t="s">
        <v>1746</v>
      </c>
      <c r="B939" s="257" t="s">
        <v>1747</v>
      </c>
      <c r="C939" s="258" t="s">
        <v>103</v>
      </c>
      <c r="D939" s="79">
        <v>228.22</v>
      </c>
      <c r="F939" s="79">
        <v>228.22</v>
      </c>
      <c r="G939" s="81"/>
      <c r="N939" s="240"/>
      <c r="O939" s="241"/>
      <c r="P939" s="213"/>
    </row>
    <row r="940" spans="1:16" ht="24">
      <c r="A940" s="67" t="s">
        <v>1748</v>
      </c>
      <c r="B940" s="65" t="s">
        <v>1749</v>
      </c>
      <c r="C940" s="71" t="s">
        <v>509</v>
      </c>
      <c r="D940" s="79">
        <v>3230.53</v>
      </c>
      <c r="F940" s="79">
        <v>3230.53</v>
      </c>
      <c r="G940" s="81"/>
      <c r="N940" s="133"/>
      <c r="O940" s="241"/>
      <c r="P940" s="213"/>
    </row>
    <row r="941" spans="1:16" ht="12">
      <c r="A941" s="67" t="s">
        <v>1750</v>
      </c>
      <c r="B941" s="65" t="s">
        <v>1751</v>
      </c>
      <c r="C941" s="71" t="s">
        <v>396</v>
      </c>
      <c r="D941" s="79">
        <v>4001.23</v>
      </c>
      <c r="F941" s="79">
        <v>4001.23</v>
      </c>
      <c r="G941" s="81"/>
      <c r="N941" s="133"/>
      <c r="O941" s="241"/>
      <c r="P941" s="213"/>
    </row>
    <row r="942" spans="1:16" ht="12">
      <c r="A942" s="83" t="s">
        <v>1752</v>
      </c>
      <c r="B942" s="257" t="s">
        <v>1753</v>
      </c>
      <c r="C942" s="258" t="s">
        <v>509</v>
      </c>
      <c r="D942" s="79">
        <v>2467.3000000000002</v>
      </c>
      <c r="F942" s="79">
        <v>2467.3000000000002</v>
      </c>
      <c r="G942" s="81"/>
      <c r="N942" s="240"/>
      <c r="O942" s="241"/>
      <c r="P942" s="213"/>
    </row>
    <row r="943" spans="1:16" ht="12">
      <c r="A943" s="83" t="s">
        <v>1754</v>
      </c>
      <c r="B943" s="257" t="s">
        <v>1755</v>
      </c>
      <c r="C943" s="258" t="s">
        <v>509</v>
      </c>
      <c r="D943" s="79">
        <v>2490.02</v>
      </c>
      <c r="F943" s="79">
        <v>2490.02</v>
      </c>
      <c r="G943" s="81"/>
      <c r="N943" s="240"/>
      <c r="O943" s="241"/>
      <c r="P943" s="213"/>
    </row>
    <row r="944" spans="1:16" ht="24">
      <c r="A944" s="83" t="s">
        <v>1756</v>
      </c>
      <c r="B944" s="257" t="s">
        <v>1757</v>
      </c>
      <c r="C944" s="258" t="s">
        <v>509</v>
      </c>
      <c r="D944" s="79">
        <v>3073.35</v>
      </c>
      <c r="F944" s="79">
        <v>3073.35</v>
      </c>
      <c r="G944" s="81"/>
      <c r="N944" s="240"/>
      <c r="O944" s="241"/>
      <c r="P944" s="213"/>
    </row>
    <row r="945" spans="1:16" ht="24">
      <c r="A945" s="83" t="s">
        <v>1758</v>
      </c>
      <c r="B945" s="257" t="s">
        <v>1759</v>
      </c>
      <c r="C945" s="258" t="s">
        <v>509</v>
      </c>
      <c r="D945" s="79">
        <v>4349.91</v>
      </c>
      <c r="F945" s="79">
        <v>4349.91</v>
      </c>
      <c r="G945" s="81"/>
      <c r="N945" s="240"/>
      <c r="O945" s="241"/>
      <c r="P945" s="213"/>
    </row>
    <row r="946" spans="1:16" ht="24">
      <c r="A946" s="83" t="s">
        <v>1760</v>
      </c>
      <c r="B946" s="257" t="s">
        <v>1761</v>
      </c>
      <c r="C946" s="258" t="s">
        <v>509</v>
      </c>
      <c r="D946" s="79">
        <v>3329.49</v>
      </c>
      <c r="F946" s="79">
        <v>3329.49</v>
      </c>
      <c r="G946" s="81"/>
      <c r="N946" s="240"/>
      <c r="O946" s="241"/>
      <c r="P946" s="213"/>
    </row>
    <row r="947" spans="1:16" ht="24">
      <c r="A947" s="83" t="s">
        <v>1762</v>
      </c>
      <c r="B947" s="257" t="s">
        <v>1763</v>
      </c>
      <c r="C947" s="258" t="s">
        <v>509</v>
      </c>
      <c r="D947" s="79">
        <v>4451.6499999999996</v>
      </c>
      <c r="F947" s="79">
        <v>4451.6499999999996</v>
      </c>
      <c r="G947" s="81"/>
      <c r="N947" s="240"/>
      <c r="O947" s="241"/>
      <c r="P947" s="213"/>
    </row>
    <row r="948" spans="1:16" ht="12">
      <c r="A948" s="83" t="s">
        <v>1764</v>
      </c>
      <c r="B948" s="257" t="s">
        <v>1765</v>
      </c>
      <c r="C948" s="258" t="s">
        <v>509</v>
      </c>
      <c r="D948" s="79">
        <v>3694.94</v>
      </c>
      <c r="F948" s="79">
        <v>3694.94</v>
      </c>
      <c r="G948" s="81"/>
      <c r="N948" s="240"/>
      <c r="O948" s="241"/>
      <c r="P948" s="213"/>
    </row>
    <row r="949" spans="1:16" ht="12">
      <c r="A949" s="83" t="s">
        <v>1766</v>
      </c>
      <c r="B949" s="257" t="s">
        <v>1767</v>
      </c>
      <c r="C949" s="258" t="s">
        <v>165</v>
      </c>
      <c r="D949" s="79">
        <v>325.81</v>
      </c>
      <c r="F949" s="79">
        <v>325.81</v>
      </c>
      <c r="G949" s="81"/>
      <c r="N949" s="240"/>
      <c r="O949" s="241"/>
      <c r="P949" s="213"/>
    </row>
    <row r="950" spans="1:16" ht="24">
      <c r="A950" s="83" t="s">
        <v>1768</v>
      </c>
      <c r="B950" s="257" t="s">
        <v>1769</v>
      </c>
      <c r="C950" s="258" t="s">
        <v>103</v>
      </c>
      <c r="D950" s="79">
        <v>1061.6600000000001</v>
      </c>
      <c r="F950" s="79">
        <v>1061.6600000000001</v>
      </c>
      <c r="G950" s="81"/>
      <c r="N950" s="240"/>
      <c r="O950" s="241"/>
      <c r="P950" s="213"/>
    </row>
    <row r="951" spans="1:16" ht="12">
      <c r="A951" s="83" t="s">
        <v>1770</v>
      </c>
      <c r="B951" s="257" t="s">
        <v>1771</v>
      </c>
      <c r="C951" s="258" t="s">
        <v>509</v>
      </c>
      <c r="D951" s="79">
        <v>1901.9</v>
      </c>
      <c r="F951" s="79">
        <v>1901.9</v>
      </c>
      <c r="G951" s="81"/>
      <c r="N951" s="240"/>
      <c r="O951" s="241"/>
      <c r="P951" s="213"/>
    </row>
    <row r="952" spans="1:16" ht="12">
      <c r="A952" s="83" t="s">
        <v>1772</v>
      </c>
      <c r="B952" s="257" t="s">
        <v>1773</v>
      </c>
      <c r="C952" s="258" t="s">
        <v>509</v>
      </c>
      <c r="D952" s="79">
        <v>2039.92</v>
      </c>
      <c r="F952" s="79">
        <v>2039.92</v>
      </c>
      <c r="G952" s="81"/>
      <c r="N952" s="240"/>
      <c r="O952" s="241"/>
      <c r="P952" s="213"/>
    </row>
    <row r="953" spans="1:16" ht="24">
      <c r="A953" s="83" t="s">
        <v>1774</v>
      </c>
      <c r="B953" s="257" t="s">
        <v>1775</v>
      </c>
      <c r="C953" s="258" t="s">
        <v>509</v>
      </c>
      <c r="D953" s="79">
        <v>2490.9699999999998</v>
      </c>
      <c r="F953" s="79">
        <v>2490.9699999999998</v>
      </c>
      <c r="G953" s="81"/>
      <c r="N953" s="240"/>
      <c r="O953" s="241"/>
      <c r="P953" s="213"/>
    </row>
    <row r="954" spans="1:16" ht="24">
      <c r="A954" s="83" t="s">
        <v>1776</v>
      </c>
      <c r="B954" s="257" t="s">
        <v>1777</v>
      </c>
      <c r="C954" s="258" t="s">
        <v>509</v>
      </c>
      <c r="D954" s="79">
        <v>3753.14</v>
      </c>
      <c r="F954" s="79">
        <v>3753.14</v>
      </c>
      <c r="G954" s="81"/>
      <c r="N954" s="240"/>
      <c r="O954" s="241"/>
      <c r="P954" s="213"/>
    </row>
    <row r="955" spans="1:16" ht="24">
      <c r="A955" s="83" t="s">
        <v>1778</v>
      </c>
      <c r="B955" s="257" t="s">
        <v>1779</v>
      </c>
      <c r="C955" s="258" t="s">
        <v>509</v>
      </c>
      <c r="D955" s="79">
        <v>3001.83</v>
      </c>
      <c r="F955" s="79">
        <v>3001.83</v>
      </c>
      <c r="G955" s="81"/>
      <c r="N955" s="240"/>
      <c r="O955" s="241"/>
      <c r="P955" s="213"/>
    </row>
    <row r="956" spans="1:16" ht="24">
      <c r="A956" s="83" t="s">
        <v>1780</v>
      </c>
      <c r="B956" s="257" t="s">
        <v>1781</v>
      </c>
      <c r="C956" s="258" t="s">
        <v>509</v>
      </c>
      <c r="D956" s="79">
        <v>3799.28</v>
      </c>
      <c r="F956" s="79">
        <v>3799.28</v>
      </c>
      <c r="G956" s="81"/>
      <c r="N956" s="240"/>
      <c r="O956" s="241"/>
      <c r="P956" s="213"/>
    </row>
    <row r="957" spans="1:16" ht="12">
      <c r="A957" s="83" t="s">
        <v>1782</v>
      </c>
      <c r="B957" s="257" t="s">
        <v>1783</v>
      </c>
      <c r="C957" s="258" t="s">
        <v>509</v>
      </c>
      <c r="D957" s="79">
        <v>3090.05</v>
      </c>
      <c r="F957" s="79">
        <v>3090.05</v>
      </c>
      <c r="G957" s="81"/>
      <c r="N957" s="240"/>
      <c r="O957" s="241"/>
      <c r="P957" s="213"/>
    </row>
    <row r="958" spans="1:16" ht="12">
      <c r="A958" s="83" t="s">
        <v>1784</v>
      </c>
      <c r="B958" s="257" t="s">
        <v>1785</v>
      </c>
      <c r="C958" s="258" t="s">
        <v>103</v>
      </c>
      <c r="D958" s="79">
        <v>427.84</v>
      </c>
      <c r="F958" s="79">
        <v>427.84</v>
      </c>
      <c r="G958" s="81"/>
      <c r="N958" s="240"/>
      <c r="O958" s="241"/>
      <c r="P958" s="213"/>
    </row>
    <row r="959" spans="1:16" ht="24">
      <c r="A959" s="83" t="s">
        <v>1786</v>
      </c>
      <c r="B959" s="257" t="s">
        <v>1787</v>
      </c>
      <c r="C959" s="258" t="s">
        <v>509</v>
      </c>
      <c r="D959" s="79">
        <v>1744.2</v>
      </c>
      <c r="F959" s="79">
        <v>1744.2</v>
      </c>
      <c r="G959" s="81"/>
      <c r="N959" s="240"/>
      <c r="O959" s="241"/>
      <c r="P959" s="213"/>
    </row>
    <row r="960" spans="1:16" ht="12">
      <c r="A960" s="83" t="s">
        <v>1788</v>
      </c>
      <c r="B960" s="257" t="s">
        <v>1789</v>
      </c>
      <c r="C960" s="258" t="s">
        <v>509</v>
      </c>
      <c r="D960" s="79">
        <v>2830.27</v>
      </c>
      <c r="F960" s="79">
        <v>2830.27</v>
      </c>
      <c r="G960" s="81"/>
      <c r="N960" s="240"/>
      <c r="O960" s="241"/>
      <c r="P960" s="213"/>
    </row>
    <row r="961" spans="1:16" ht="12">
      <c r="A961" s="83" t="s">
        <v>1790</v>
      </c>
      <c r="B961" s="257" t="s">
        <v>1791</v>
      </c>
      <c r="C961" s="258" t="s">
        <v>509</v>
      </c>
      <c r="D961" s="79">
        <v>2318.7600000000002</v>
      </c>
      <c r="F961" s="79">
        <v>2318.7600000000002</v>
      </c>
      <c r="G961" s="81"/>
      <c r="N961" s="240"/>
      <c r="O961" s="241"/>
      <c r="P961" s="213"/>
    </row>
    <row r="962" spans="1:16" ht="12">
      <c r="A962" s="83" t="s">
        <v>1792</v>
      </c>
      <c r="B962" s="257" t="s">
        <v>1793</v>
      </c>
      <c r="C962" s="258" t="s">
        <v>396</v>
      </c>
      <c r="D962" s="79">
        <v>4377.38</v>
      </c>
      <c r="F962" s="79">
        <v>4377.38</v>
      </c>
      <c r="G962" s="81"/>
      <c r="N962" s="240"/>
      <c r="O962" s="241"/>
      <c r="P962" s="213"/>
    </row>
    <row r="963" spans="1:16" ht="24">
      <c r="A963" s="83" t="s">
        <v>1794</v>
      </c>
      <c r="B963" s="257" t="s">
        <v>1795</v>
      </c>
      <c r="C963" s="258" t="s">
        <v>509</v>
      </c>
      <c r="D963" s="79">
        <v>2705.22</v>
      </c>
      <c r="F963" s="79">
        <v>2705.22</v>
      </c>
      <c r="G963" s="81"/>
      <c r="N963" s="240"/>
      <c r="O963" s="241"/>
      <c r="P963" s="213"/>
    </row>
    <row r="964" spans="1:16" ht="24">
      <c r="A964" s="83" t="s">
        <v>1796</v>
      </c>
      <c r="B964" s="257" t="s">
        <v>1797</v>
      </c>
      <c r="C964" s="258" t="s">
        <v>509</v>
      </c>
      <c r="D964" s="79">
        <v>4588.1000000000004</v>
      </c>
      <c r="F964" s="79">
        <v>4588.1000000000004</v>
      </c>
      <c r="G964" s="81"/>
      <c r="N964" s="240"/>
      <c r="O964" s="241"/>
      <c r="P964" s="213"/>
    </row>
    <row r="965" spans="1:16" ht="24">
      <c r="A965" s="83" t="s">
        <v>1798</v>
      </c>
      <c r="B965" s="257" t="s">
        <v>1799</v>
      </c>
      <c r="C965" s="258" t="s">
        <v>509</v>
      </c>
      <c r="D965" s="79">
        <v>3555.66</v>
      </c>
      <c r="F965" s="79">
        <v>3555.66</v>
      </c>
      <c r="G965" s="81"/>
      <c r="N965" s="240"/>
      <c r="O965" s="241"/>
      <c r="P965" s="213"/>
    </row>
    <row r="966" spans="1:16" ht="24">
      <c r="A966" s="67" t="s">
        <v>1800</v>
      </c>
      <c r="B966" s="65" t="s">
        <v>1801</v>
      </c>
      <c r="C966" s="71" t="s">
        <v>509</v>
      </c>
      <c r="D966" s="79">
        <v>4272.1899999999996</v>
      </c>
      <c r="F966" s="79">
        <v>4272.1899999999996</v>
      </c>
      <c r="G966" s="81"/>
      <c r="N966" s="133"/>
      <c r="O966" s="241"/>
      <c r="P966" s="213"/>
    </row>
    <row r="967" spans="1:16" ht="12">
      <c r="A967" s="67" t="s">
        <v>1802</v>
      </c>
      <c r="B967" s="65" t="s">
        <v>28126</v>
      </c>
      <c r="C967" s="71" t="s">
        <v>103</v>
      </c>
      <c r="D967" s="79">
        <v>168.52</v>
      </c>
      <c r="F967" s="79">
        <v>168.52</v>
      </c>
      <c r="G967" s="81"/>
      <c r="N967" s="133"/>
      <c r="O967" s="241"/>
      <c r="P967" s="213"/>
    </row>
    <row r="968" spans="1:16" ht="12">
      <c r="A968" s="67" t="s">
        <v>1803</v>
      </c>
      <c r="B968" s="65" t="s">
        <v>1804</v>
      </c>
      <c r="C968" s="71" t="s">
        <v>207</v>
      </c>
      <c r="D968" s="79">
        <v>225.17</v>
      </c>
      <c r="F968" s="79">
        <v>225.17</v>
      </c>
      <c r="G968" s="81"/>
      <c r="N968" s="133"/>
      <c r="O968" s="241"/>
      <c r="P968" s="213"/>
    </row>
    <row r="969" spans="1:16" ht="12">
      <c r="A969" s="67" t="s">
        <v>1805</v>
      </c>
      <c r="B969" s="65" t="s">
        <v>1806</v>
      </c>
      <c r="C969" s="71" t="s">
        <v>207</v>
      </c>
      <c r="D969" s="79">
        <v>75.66</v>
      </c>
      <c r="F969" s="79">
        <v>75.66</v>
      </c>
      <c r="G969" s="81"/>
      <c r="N969" s="133"/>
      <c r="O969" s="241"/>
      <c r="P969" s="213"/>
    </row>
    <row r="970" spans="1:16" ht="24">
      <c r="A970" s="67" t="s">
        <v>1807</v>
      </c>
      <c r="B970" s="65" t="s">
        <v>29779</v>
      </c>
      <c r="C970" s="71" t="s">
        <v>207</v>
      </c>
      <c r="D970" s="79">
        <v>46.03</v>
      </c>
      <c r="F970" s="79">
        <v>46.03</v>
      </c>
      <c r="G970" s="81"/>
      <c r="N970" s="133"/>
      <c r="O970" s="241"/>
      <c r="P970" s="213"/>
    </row>
    <row r="971" spans="1:16" ht="24">
      <c r="A971" s="67" t="s">
        <v>1808</v>
      </c>
      <c r="B971" s="65" t="s">
        <v>1809</v>
      </c>
      <c r="C971" s="71" t="s">
        <v>509</v>
      </c>
      <c r="D971" s="79">
        <v>156.77000000000001</v>
      </c>
      <c r="F971" s="79">
        <v>156.77000000000001</v>
      </c>
      <c r="G971" s="81"/>
      <c r="N971" s="133"/>
      <c r="O971" s="241"/>
      <c r="P971" s="213"/>
    </row>
    <row r="972" spans="1:16" ht="24">
      <c r="A972" s="67" t="s">
        <v>1810</v>
      </c>
      <c r="B972" s="65" t="s">
        <v>1811</v>
      </c>
      <c r="C972" s="71" t="s">
        <v>103</v>
      </c>
      <c r="D972" s="79">
        <v>1311.01</v>
      </c>
      <c r="F972" s="79">
        <v>1311.01</v>
      </c>
      <c r="G972" s="81"/>
      <c r="N972" s="133"/>
      <c r="O972" s="241"/>
      <c r="P972" s="213"/>
    </row>
    <row r="973" spans="1:16" ht="24">
      <c r="A973" s="67" t="s">
        <v>1812</v>
      </c>
      <c r="B973" s="65" t="s">
        <v>1813</v>
      </c>
      <c r="C973" s="258" t="s">
        <v>509</v>
      </c>
      <c r="D973" s="79">
        <v>66.3</v>
      </c>
      <c r="E973" s="66"/>
      <c r="F973" s="79">
        <v>66.3</v>
      </c>
      <c r="G973" s="81"/>
      <c r="H973" s="73"/>
      <c r="I973" s="73"/>
      <c r="J973" s="73"/>
      <c r="K973" s="73"/>
      <c r="L973" s="73"/>
      <c r="N973" s="133"/>
      <c r="O973" s="241"/>
      <c r="P973" s="213"/>
    </row>
    <row r="974" spans="1:16" ht="24">
      <c r="A974" s="83" t="s">
        <v>1814</v>
      </c>
      <c r="B974" s="64" t="s">
        <v>1815</v>
      </c>
      <c r="C974" s="258" t="s">
        <v>103</v>
      </c>
      <c r="D974" s="79">
        <v>83.92</v>
      </c>
      <c r="F974" s="79">
        <v>83.92</v>
      </c>
      <c r="G974" s="81"/>
      <c r="N974" s="240"/>
      <c r="O974" s="241"/>
      <c r="P974" s="213"/>
    </row>
    <row r="975" spans="1:16" ht="12">
      <c r="A975" s="83" t="s">
        <v>1816</v>
      </c>
      <c r="B975" s="257" t="s">
        <v>1817</v>
      </c>
      <c r="C975" s="258" t="s">
        <v>103</v>
      </c>
      <c r="D975" s="79">
        <v>41.59</v>
      </c>
      <c r="F975" s="79">
        <v>41.59</v>
      </c>
      <c r="G975" s="81"/>
      <c r="N975" s="240"/>
      <c r="O975" s="241"/>
      <c r="P975" s="213"/>
    </row>
    <row r="976" spans="1:16" ht="12">
      <c r="A976" s="83" t="s">
        <v>1818</v>
      </c>
      <c r="B976" s="257" t="s">
        <v>1819</v>
      </c>
      <c r="C976" s="258" t="s">
        <v>103</v>
      </c>
      <c r="D976" s="79">
        <v>39.57</v>
      </c>
      <c r="F976" s="79">
        <v>39.57</v>
      </c>
      <c r="G976" s="81"/>
      <c r="N976" s="240"/>
      <c r="O976" s="241"/>
      <c r="P976" s="213"/>
    </row>
    <row r="977" spans="1:16" ht="12">
      <c r="A977" s="83" t="s">
        <v>1820</v>
      </c>
      <c r="B977" s="257" t="s">
        <v>1821</v>
      </c>
      <c r="C977" s="258" t="s">
        <v>103</v>
      </c>
      <c r="D977" s="79">
        <v>67.16</v>
      </c>
      <c r="F977" s="79">
        <v>67.16</v>
      </c>
      <c r="G977" s="81"/>
      <c r="N977" s="240"/>
      <c r="O977" s="241"/>
      <c r="P977" s="213"/>
    </row>
    <row r="978" spans="1:16" ht="12">
      <c r="A978" s="83" t="s">
        <v>1822</v>
      </c>
      <c r="B978" s="257" t="s">
        <v>1823</v>
      </c>
      <c r="C978" s="258" t="s">
        <v>103</v>
      </c>
      <c r="D978" s="79">
        <v>67.16</v>
      </c>
      <c r="F978" s="79">
        <v>67.16</v>
      </c>
      <c r="G978" s="81"/>
      <c r="N978" s="240"/>
      <c r="O978" s="241"/>
      <c r="P978" s="213"/>
    </row>
    <row r="979" spans="1:16" ht="12">
      <c r="A979" s="83" t="s">
        <v>1824</v>
      </c>
      <c r="B979" s="257" t="s">
        <v>1825</v>
      </c>
      <c r="C979" s="258" t="s">
        <v>103</v>
      </c>
      <c r="D979" s="79">
        <v>3.31</v>
      </c>
      <c r="F979" s="79">
        <v>3.31</v>
      </c>
      <c r="G979" s="81"/>
      <c r="N979" s="240"/>
      <c r="O979" s="241"/>
      <c r="P979" s="213"/>
    </row>
    <row r="980" spans="1:16" ht="12">
      <c r="A980" s="83" t="s">
        <v>1828</v>
      </c>
      <c r="B980" s="257" t="s">
        <v>1829</v>
      </c>
      <c r="C980" s="258" t="s">
        <v>103</v>
      </c>
      <c r="D980" s="79">
        <v>2.12</v>
      </c>
      <c r="F980" s="79">
        <v>2.12</v>
      </c>
      <c r="G980" s="81"/>
      <c r="N980" s="240"/>
      <c r="O980" s="241"/>
      <c r="P980" s="213"/>
    </row>
    <row r="981" spans="1:16" ht="12">
      <c r="A981" s="83" t="s">
        <v>1830</v>
      </c>
      <c r="B981" s="257" t="s">
        <v>1831</v>
      </c>
      <c r="C981" s="258" t="s">
        <v>153</v>
      </c>
      <c r="D981" s="79">
        <v>160.91</v>
      </c>
      <c r="F981" s="79">
        <v>160.91</v>
      </c>
      <c r="G981" s="81"/>
      <c r="N981" s="240"/>
      <c r="O981" s="241"/>
      <c r="P981" s="213"/>
    </row>
    <row r="982" spans="1:16" ht="24">
      <c r="A982" s="83" t="s">
        <v>1832</v>
      </c>
      <c r="B982" s="257" t="s">
        <v>1833</v>
      </c>
      <c r="C982" s="258" t="s">
        <v>153</v>
      </c>
      <c r="D982" s="79">
        <v>66.349999999999994</v>
      </c>
      <c r="F982" s="79">
        <v>66.349999999999994</v>
      </c>
      <c r="G982" s="81"/>
      <c r="N982" s="240"/>
      <c r="O982" s="241"/>
      <c r="P982" s="213"/>
    </row>
    <row r="983" spans="1:16" ht="24">
      <c r="A983" s="83" t="s">
        <v>1834</v>
      </c>
      <c r="B983" s="257" t="s">
        <v>1835</v>
      </c>
      <c r="C983" s="258" t="s">
        <v>153</v>
      </c>
      <c r="D983" s="79">
        <v>26.4</v>
      </c>
      <c r="F983" s="79">
        <v>26.4</v>
      </c>
      <c r="G983" s="81"/>
      <c r="N983" s="240"/>
      <c r="O983" s="241"/>
      <c r="P983" s="213"/>
    </row>
    <row r="984" spans="1:16" ht="12">
      <c r="A984" s="83" t="s">
        <v>1836</v>
      </c>
      <c r="B984" s="257" t="s">
        <v>29780</v>
      </c>
      <c r="C984" s="258" t="s">
        <v>153</v>
      </c>
      <c r="D984" s="79">
        <v>36.979999999999997</v>
      </c>
      <c r="F984" s="79">
        <v>36.979999999999997</v>
      </c>
      <c r="G984" s="81"/>
      <c r="N984" s="240"/>
      <c r="O984" s="241"/>
      <c r="P984" s="213"/>
    </row>
    <row r="985" spans="1:16" ht="12">
      <c r="A985" s="83" t="s">
        <v>1837</v>
      </c>
      <c r="B985" s="257" t="s">
        <v>1838</v>
      </c>
      <c r="C985" s="258" t="s">
        <v>153</v>
      </c>
      <c r="D985" s="79">
        <v>77.92</v>
      </c>
      <c r="F985" s="79">
        <v>77.92</v>
      </c>
      <c r="G985" s="81"/>
      <c r="N985" s="240"/>
      <c r="O985" s="241"/>
      <c r="P985" s="213"/>
    </row>
    <row r="986" spans="1:16" ht="12">
      <c r="A986" s="83" t="s">
        <v>1839</v>
      </c>
      <c r="B986" s="257" t="s">
        <v>1840</v>
      </c>
      <c r="C986" s="258" t="s">
        <v>153</v>
      </c>
      <c r="D986" s="79">
        <v>38.58</v>
      </c>
      <c r="F986" s="79">
        <v>38.58</v>
      </c>
      <c r="G986" s="81"/>
      <c r="N986" s="240"/>
      <c r="O986" s="241"/>
      <c r="P986" s="213"/>
    </row>
    <row r="987" spans="1:16" ht="12">
      <c r="A987" s="83" t="s">
        <v>1841</v>
      </c>
      <c r="B987" s="257" t="s">
        <v>1842</v>
      </c>
      <c r="C987" s="258" t="s">
        <v>153</v>
      </c>
      <c r="D987" s="79">
        <v>87.25</v>
      </c>
      <c r="F987" s="79">
        <v>87.25</v>
      </c>
      <c r="G987" s="81"/>
      <c r="N987" s="240"/>
      <c r="O987" s="241"/>
      <c r="P987" s="213"/>
    </row>
    <row r="988" spans="1:16" ht="12">
      <c r="A988" s="83" t="s">
        <v>1843</v>
      </c>
      <c r="B988" s="257" t="s">
        <v>1844</v>
      </c>
      <c r="C988" s="258" t="s">
        <v>153</v>
      </c>
      <c r="D988" s="79">
        <v>111.94</v>
      </c>
      <c r="F988" s="79">
        <v>111.94</v>
      </c>
      <c r="G988" s="81"/>
      <c r="N988" s="240"/>
      <c r="O988" s="241"/>
      <c r="P988" s="213"/>
    </row>
    <row r="989" spans="1:16" ht="24">
      <c r="A989" s="83" t="s">
        <v>1845</v>
      </c>
      <c r="B989" s="257" t="s">
        <v>1846</v>
      </c>
      <c r="C989" s="258" t="s">
        <v>153</v>
      </c>
      <c r="D989" s="79">
        <v>40.880000000000003</v>
      </c>
      <c r="F989" s="79">
        <v>40.880000000000003</v>
      </c>
      <c r="G989" s="81"/>
      <c r="N989" s="240"/>
      <c r="O989" s="241"/>
      <c r="P989" s="213"/>
    </row>
    <row r="990" spans="1:16" ht="24">
      <c r="A990" s="83" t="s">
        <v>1847</v>
      </c>
      <c r="B990" s="257" t="s">
        <v>39274</v>
      </c>
      <c r="C990" s="258" t="s">
        <v>153</v>
      </c>
      <c r="D990" s="79">
        <v>106.49</v>
      </c>
      <c r="F990" s="79">
        <v>106.49</v>
      </c>
      <c r="G990" s="81"/>
      <c r="N990" s="240"/>
      <c r="O990" s="241"/>
      <c r="P990" s="213"/>
    </row>
    <row r="991" spans="1:16" ht="24">
      <c r="A991" s="83" t="s">
        <v>1848</v>
      </c>
      <c r="B991" s="257" t="s">
        <v>1849</v>
      </c>
      <c r="C991" s="258" t="s">
        <v>207</v>
      </c>
      <c r="D991" s="79">
        <v>9.32</v>
      </c>
      <c r="F991" s="79">
        <v>9.32</v>
      </c>
      <c r="G991" s="81"/>
      <c r="N991" s="240"/>
      <c r="O991" s="241"/>
      <c r="P991" s="213"/>
    </row>
    <row r="992" spans="1:16" ht="24">
      <c r="A992" s="83" t="s">
        <v>1850</v>
      </c>
      <c r="B992" s="257" t="s">
        <v>42059</v>
      </c>
      <c r="C992" s="258" t="s">
        <v>207</v>
      </c>
      <c r="D992" s="79">
        <v>8.61</v>
      </c>
      <c r="F992" s="79">
        <v>8.61</v>
      </c>
      <c r="G992" s="81"/>
      <c r="N992" s="240"/>
      <c r="O992" s="241"/>
      <c r="P992" s="213"/>
    </row>
    <row r="993" spans="1:16" ht="24">
      <c r="A993" s="83" t="s">
        <v>1851</v>
      </c>
      <c r="B993" s="257" t="s">
        <v>1852</v>
      </c>
      <c r="C993" s="258" t="s">
        <v>153</v>
      </c>
      <c r="D993" s="79">
        <v>65.31</v>
      </c>
      <c r="F993" s="79">
        <v>65.31</v>
      </c>
      <c r="G993" s="81"/>
      <c r="N993" s="240"/>
      <c r="O993" s="241"/>
      <c r="P993" s="213"/>
    </row>
    <row r="994" spans="1:16" ht="24">
      <c r="A994" s="83" t="s">
        <v>1853</v>
      </c>
      <c r="B994" s="257" t="s">
        <v>39275</v>
      </c>
      <c r="C994" s="258" t="s">
        <v>207</v>
      </c>
      <c r="D994" s="79">
        <v>54.85</v>
      </c>
      <c r="F994" s="79">
        <v>54.85</v>
      </c>
      <c r="G994" s="81"/>
      <c r="N994" s="240"/>
      <c r="O994" s="241"/>
      <c r="P994" s="213"/>
    </row>
    <row r="995" spans="1:16" ht="24">
      <c r="A995" s="83" t="s">
        <v>1854</v>
      </c>
      <c r="B995" s="257" t="s">
        <v>1855</v>
      </c>
      <c r="C995" s="258" t="s">
        <v>153</v>
      </c>
      <c r="D995" s="79">
        <v>12.47</v>
      </c>
      <c r="F995" s="79">
        <v>12.47</v>
      </c>
      <c r="G995" s="81"/>
      <c r="N995" s="240"/>
      <c r="O995" s="241"/>
      <c r="P995" s="213"/>
    </row>
    <row r="996" spans="1:16" ht="24">
      <c r="A996" s="83" t="s">
        <v>1856</v>
      </c>
      <c r="B996" s="257" t="s">
        <v>1857</v>
      </c>
      <c r="C996" s="258" t="s">
        <v>153</v>
      </c>
      <c r="D996" s="79">
        <v>17.329999999999998</v>
      </c>
      <c r="F996" s="79">
        <v>17.329999999999998</v>
      </c>
      <c r="G996" s="81"/>
      <c r="N996" s="240"/>
      <c r="O996" s="241"/>
      <c r="P996" s="213"/>
    </row>
    <row r="997" spans="1:16" ht="24">
      <c r="A997" s="83" t="s">
        <v>1858</v>
      </c>
      <c r="B997" s="257" t="s">
        <v>1859</v>
      </c>
      <c r="C997" s="258" t="s">
        <v>153</v>
      </c>
      <c r="D997" s="79">
        <v>17.739999999999998</v>
      </c>
      <c r="F997" s="79">
        <v>17.739999999999998</v>
      </c>
      <c r="G997" s="81"/>
      <c r="N997" s="240"/>
      <c r="O997" s="241"/>
      <c r="P997" s="213"/>
    </row>
    <row r="998" spans="1:16" ht="12">
      <c r="A998" s="83" t="s">
        <v>1860</v>
      </c>
      <c r="B998" s="257" t="s">
        <v>1861</v>
      </c>
      <c r="C998" s="258" t="s">
        <v>153</v>
      </c>
      <c r="D998" s="79">
        <v>14.36</v>
      </c>
      <c r="F998" s="79">
        <v>14.36</v>
      </c>
      <c r="G998" s="81"/>
      <c r="N998" s="240"/>
      <c r="O998" s="241"/>
      <c r="P998" s="213"/>
    </row>
    <row r="999" spans="1:16" ht="24">
      <c r="A999" s="83" t="s">
        <v>1862</v>
      </c>
      <c r="B999" s="257" t="s">
        <v>1863</v>
      </c>
      <c r="C999" s="258" t="s">
        <v>153</v>
      </c>
      <c r="D999" s="79">
        <v>30.19</v>
      </c>
      <c r="F999" s="79">
        <v>30.19</v>
      </c>
      <c r="G999" s="81"/>
      <c r="N999" s="240"/>
      <c r="O999" s="241"/>
      <c r="P999" s="213"/>
    </row>
    <row r="1000" spans="1:16" ht="12">
      <c r="A1000" s="83" t="s">
        <v>1864</v>
      </c>
      <c r="B1000" s="257" t="s">
        <v>1865</v>
      </c>
      <c r="C1000" s="258" t="s">
        <v>153</v>
      </c>
      <c r="D1000" s="79">
        <v>55.61</v>
      </c>
      <c r="F1000" s="79">
        <v>55.61</v>
      </c>
      <c r="G1000" s="81"/>
      <c r="N1000" s="240"/>
      <c r="O1000" s="241"/>
      <c r="P1000" s="213"/>
    </row>
    <row r="1001" spans="1:16" ht="24">
      <c r="A1001" s="83" t="s">
        <v>1866</v>
      </c>
      <c r="B1001" s="257" t="s">
        <v>1867</v>
      </c>
      <c r="C1001" s="258" t="s">
        <v>153</v>
      </c>
      <c r="D1001" s="79">
        <v>36.369999999999997</v>
      </c>
      <c r="F1001" s="79">
        <v>36.369999999999997</v>
      </c>
      <c r="G1001" s="81"/>
      <c r="N1001" s="240"/>
      <c r="O1001" s="241"/>
      <c r="P1001" s="213"/>
    </row>
    <row r="1002" spans="1:16" ht="12">
      <c r="A1002" s="83" t="s">
        <v>1868</v>
      </c>
      <c r="B1002" s="257" t="s">
        <v>39276</v>
      </c>
      <c r="C1002" s="258" t="s">
        <v>153</v>
      </c>
      <c r="D1002" s="79">
        <v>150.9</v>
      </c>
      <c r="F1002" s="79">
        <v>150.9</v>
      </c>
      <c r="G1002" s="81"/>
      <c r="N1002" s="240"/>
      <c r="O1002" s="241"/>
      <c r="P1002" s="213"/>
    </row>
    <row r="1003" spans="1:16" ht="12">
      <c r="A1003" s="83" t="s">
        <v>1869</v>
      </c>
      <c r="B1003" s="257" t="s">
        <v>1870</v>
      </c>
      <c r="C1003" s="258" t="s">
        <v>153</v>
      </c>
      <c r="D1003" s="79">
        <v>117.93</v>
      </c>
      <c r="F1003" s="79">
        <v>117.93</v>
      </c>
      <c r="G1003" s="81"/>
      <c r="N1003" s="240"/>
      <c r="O1003" s="241"/>
      <c r="P1003" s="213"/>
    </row>
    <row r="1004" spans="1:16" ht="12">
      <c r="A1004" s="83" t="s">
        <v>1871</v>
      </c>
      <c r="B1004" s="257" t="s">
        <v>1872</v>
      </c>
      <c r="C1004" s="258" t="s">
        <v>207</v>
      </c>
      <c r="D1004" s="79">
        <v>11.76</v>
      </c>
      <c r="F1004" s="79">
        <v>11.76</v>
      </c>
      <c r="G1004" s="81"/>
      <c r="N1004" s="240"/>
      <c r="O1004" s="241"/>
      <c r="P1004" s="213"/>
    </row>
    <row r="1005" spans="1:16" ht="24">
      <c r="A1005" s="67" t="s">
        <v>1873</v>
      </c>
      <c r="B1005" s="65" t="s">
        <v>1874</v>
      </c>
      <c r="C1005" s="71" t="s">
        <v>509</v>
      </c>
      <c r="D1005" s="79">
        <v>259.37</v>
      </c>
      <c r="F1005" s="79">
        <v>259.37</v>
      </c>
      <c r="G1005" s="81"/>
      <c r="N1005" s="133"/>
      <c r="O1005" s="241"/>
      <c r="P1005" s="213"/>
    </row>
    <row r="1006" spans="1:16" ht="24">
      <c r="A1006" s="67" t="s">
        <v>1875</v>
      </c>
      <c r="B1006" s="65" t="s">
        <v>1876</v>
      </c>
      <c r="C1006" s="71" t="s">
        <v>509</v>
      </c>
      <c r="D1006" s="79">
        <v>514.25</v>
      </c>
      <c r="F1006" s="79">
        <v>514.25</v>
      </c>
      <c r="G1006" s="81"/>
      <c r="N1006" s="133"/>
      <c r="O1006" s="241"/>
      <c r="P1006" s="213"/>
    </row>
    <row r="1007" spans="1:16" ht="24">
      <c r="A1007" s="261" t="s">
        <v>1877</v>
      </c>
      <c r="B1007" s="261" t="s">
        <v>1878</v>
      </c>
      <c r="C1007" s="266" t="s">
        <v>153</v>
      </c>
      <c r="D1007" s="79">
        <v>132.9</v>
      </c>
      <c r="F1007" s="518">
        <v>132.9</v>
      </c>
      <c r="N1007" s="133"/>
    </row>
    <row r="1008" spans="1:16" ht="24">
      <c r="A1008" s="83" t="s">
        <v>1879</v>
      </c>
      <c r="B1008" s="257" t="s">
        <v>1880</v>
      </c>
      <c r="C1008" s="258" t="s">
        <v>153</v>
      </c>
      <c r="D1008" s="79">
        <v>42.4</v>
      </c>
      <c r="F1008" s="79">
        <v>42.4</v>
      </c>
      <c r="G1008" s="81"/>
      <c r="N1008" s="240"/>
      <c r="O1008" s="241"/>
      <c r="P1008" s="213"/>
    </row>
    <row r="1009" spans="1:16" ht="12">
      <c r="A1009" s="83" t="s">
        <v>1881</v>
      </c>
      <c r="B1009" s="257" t="s">
        <v>1882</v>
      </c>
      <c r="C1009" s="258" t="s">
        <v>153</v>
      </c>
      <c r="D1009" s="79">
        <v>20.55</v>
      </c>
      <c r="F1009" s="79">
        <v>20.55</v>
      </c>
      <c r="G1009" s="81"/>
      <c r="N1009" s="240"/>
      <c r="O1009" s="241"/>
      <c r="P1009" s="213"/>
    </row>
    <row r="1010" spans="1:16" ht="24">
      <c r="A1010" s="83" t="s">
        <v>1883</v>
      </c>
      <c r="B1010" s="257" t="s">
        <v>1884</v>
      </c>
      <c r="C1010" s="258" t="s">
        <v>153</v>
      </c>
      <c r="D1010" s="79">
        <v>55.09</v>
      </c>
      <c r="F1010" s="79">
        <v>55.09</v>
      </c>
      <c r="G1010" s="81"/>
      <c r="N1010" s="240"/>
      <c r="O1010" s="241"/>
      <c r="P1010" s="213"/>
    </row>
    <row r="1011" spans="1:16" ht="12">
      <c r="A1011" s="83" t="s">
        <v>1885</v>
      </c>
      <c r="B1011" s="257" t="s">
        <v>42060</v>
      </c>
      <c r="C1011" s="258" t="s">
        <v>153</v>
      </c>
      <c r="D1011" s="79">
        <v>51.81</v>
      </c>
      <c r="F1011" s="79">
        <v>51.81</v>
      </c>
      <c r="G1011" s="81"/>
      <c r="N1011" s="240"/>
      <c r="O1011" s="241"/>
      <c r="P1011" s="213"/>
    </row>
    <row r="1012" spans="1:16" ht="24">
      <c r="A1012" s="83" t="s">
        <v>1886</v>
      </c>
      <c r="B1012" s="257" t="s">
        <v>1887</v>
      </c>
      <c r="C1012" s="258" t="s">
        <v>153</v>
      </c>
      <c r="D1012" s="79">
        <v>6.21</v>
      </c>
      <c r="F1012" s="79">
        <v>6.21</v>
      </c>
      <c r="G1012" s="81"/>
      <c r="N1012" s="240"/>
      <c r="O1012" s="241"/>
      <c r="P1012" s="213"/>
    </row>
    <row r="1013" spans="1:16" ht="12">
      <c r="A1013" s="83" t="s">
        <v>1888</v>
      </c>
      <c r="B1013" s="257" t="s">
        <v>1889</v>
      </c>
      <c r="C1013" s="258" t="s">
        <v>153</v>
      </c>
      <c r="D1013" s="79">
        <v>47.92</v>
      </c>
      <c r="F1013" s="79">
        <v>47.92</v>
      </c>
      <c r="G1013" s="81"/>
      <c r="N1013" s="240"/>
      <c r="O1013" s="241"/>
      <c r="P1013" s="213"/>
    </row>
    <row r="1014" spans="1:16" ht="12">
      <c r="A1014" s="83" t="s">
        <v>1890</v>
      </c>
      <c r="B1014" s="257" t="s">
        <v>1891</v>
      </c>
      <c r="C1014" s="258" t="s">
        <v>153</v>
      </c>
      <c r="D1014" s="79">
        <v>48.26</v>
      </c>
      <c r="F1014" s="79">
        <v>48.26</v>
      </c>
      <c r="G1014" s="81"/>
      <c r="N1014" s="240"/>
      <c r="O1014" s="241"/>
      <c r="P1014" s="213"/>
    </row>
    <row r="1015" spans="1:16" ht="12">
      <c r="A1015" s="83" t="s">
        <v>1892</v>
      </c>
      <c r="B1015" s="257" t="s">
        <v>1893</v>
      </c>
      <c r="C1015" s="258" t="s">
        <v>207</v>
      </c>
      <c r="D1015" s="79">
        <v>51.39</v>
      </c>
      <c r="F1015" s="79">
        <v>51.39</v>
      </c>
      <c r="G1015" s="81"/>
      <c r="N1015" s="240"/>
      <c r="O1015" s="241"/>
      <c r="P1015" s="213"/>
    </row>
    <row r="1016" spans="1:16" ht="24">
      <c r="A1016" s="83" t="s">
        <v>1894</v>
      </c>
      <c r="B1016" s="257" t="s">
        <v>1895</v>
      </c>
      <c r="C1016" s="258" t="s">
        <v>153</v>
      </c>
      <c r="D1016" s="79">
        <v>36.99</v>
      </c>
      <c r="F1016" s="79">
        <v>36.99</v>
      </c>
      <c r="G1016" s="81"/>
      <c r="N1016" s="240"/>
      <c r="O1016" s="241"/>
      <c r="P1016" s="213"/>
    </row>
    <row r="1017" spans="1:16" ht="24">
      <c r="A1017" s="83" t="s">
        <v>1896</v>
      </c>
      <c r="B1017" s="257" t="s">
        <v>1897</v>
      </c>
      <c r="C1017" s="258" t="s">
        <v>153</v>
      </c>
      <c r="D1017" s="79">
        <v>25.61</v>
      </c>
      <c r="F1017" s="79">
        <v>25.61</v>
      </c>
      <c r="G1017" s="81"/>
      <c r="N1017" s="240"/>
      <c r="O1017" s="241"/>
      <c r="P1017" s="213"/>
    </row>
    <row r="1018" spans="1:16" ht="24">
      <c r="A1018" s="83" t="s">
        <v>1898</v>
      </c>
      <c r="B1018" s="257" t="s">
        <v>1899</v>
      </c>
      <c r="C1018" s="258" t="s">
        <v>153</v>
      </c>
      <c r="D1018" s="79">
        <v>58.56</v>
      </c>
      <c r="F1018" s="79">
        <v>58.56</v>
      </c>
      <c r="G1018" s="81"/>
      <c r="N1018" s="240"/>
      <c r="O1018" s="241"/>
      <c r="P1018" s="213"/>
    </row>
    <row r="1019" spans="1:16" ht="12">
      <c r="A1019" s="83" t="s">
        <v>1900</v>
      </c>
      <c r="B1019" s="257" t="s">
        <v>1901</v>
      </c>
      <c r="C1019" s="258" t="s">
        <v>153</v>
      </c>
      <c r="D1019" s="79">
        <v>20.64</v>
      </c>
      <c r="F1019" s="79">
        <v>20.64</v>
      </c>
      <c r="G1019" s="81"/>
      <c r="N1019" s="240"/>
      <c r="O1019" s="241"/>
      <c r="P1019" s="213"/>
    </row>
    <row r="1020" spans="1:16" ht="12">
      <c r="A1020" s="83" t="s">
        <v>1902</v>
      </c>
      <c r="B1020" s="257" t="s">
        <v>1903</v>
      </c>
      <c r="C1020" s="258" t="s">
        <v>153</v>
      </c>
      <c r="D1020" s="79">
        <v>23.61</v>
      </c>
      <c r="F1020" s="79">
        <v>23.61</v>
      </c>
      <c r="G1020" s="81"/>
      <c r="N1020" s="240"/>
      <c r="O1020" s="241"/>
      <c r="P1020" s="213"/>
    </row>
    <row r="1021" spans="1:16" ht="12">
      <c r="A1021" s="83" t="s">
        <v>1904</v>
      </c>
      <c r="B1021" s="257" t="s">
        <v>1905</v>
      </c>
      <c r="C1021" s="258" t="s">
        <v>153</v>
      </c>
      <c r="D1021" s="79">
        <v>28.6</v>
      </c>
      <c r="F1021" s="79">
        <v>28.6</v>
      </c>
      <c r="G1021" s="81"/>
      <c r="N1021" s="240"/>
      <c r="O1021" s="241"/>
      <c r="P1021" s="213"/>
    </row>
    <row r="1022" spans="1:16" ht="24">
      <c r="A1022" s="83" t="s">
        <v>1906</v>
      </c>
      <c r="B1022" s="257" t="s">
        <v>1907</v>
      </c>
      <c r="C1022" s="258" t="s">
        <v>153</v>
      </c>
      <c r="D1022" s="79">
        <v>46.42</v>
      </c>
      <c r="F1022" s="79">
        <v>46.42</v>
      </c>
      <c r="G1022" s="81"/>
      <c r="N1022" s="240"/>
      <c r="O1022" s="241"/>
      <c r="P1022" s="213"/>
    </row>
    <row r="1023" spans="1:16" ht="12">
      <c r="A1023" s="83" t="s">
        <v>1908</v>
      </c>
      <c r="B1023" s="257" t="s">
        <v>1909</v>
      </c>
      <c r="C1023" s="258" t="s">
        <v>509</v>
      </c>
      <c r="D1023" s="79">
        <v>295.95</v>
      </c>
      <c r="F1023" s="79">
        <v>295.95</v>
      </c>
      <c r="G1023" s="81"/>
      <c r="N1023" s="240"/>
      <c r="O1023" s="241"/>
      <c r="P1023" s="213"/>
    </row>
    <row r="1024" spans="1:16" ht="12">
      <c r="A1024" s="83" t="s">
        <v>1910</v>
      </c>
      <c r="B1024" s="257" t="s">
        <v>28127</v>
      </c>
      <c r="C1024" s="258" t="s">
        <v>509</v>
      </c>
      <c r="D1024" s="79">
        <v>273.12</v>
      </c>
      <c r="F1024" s="79">
        <v>273.12</v>
      </c>
      <c r="G1024" s="81"/>
      <c r="N1024" s="240"/>
      <c r="O1024" s="241"/>
      <c r="P1024" s="213"/>
    </row>
    <row r="1025" spans="1:16" ht="12">
      <c r="A1025" s="83" t="s">
        <v>1911</v>
      </c>
      <c r="B1025" s="257" t="s">
        <v>1912</v>
      </c>
      <c r="C1025" s="258" t="s">
        <v>509</v>
      </c>
      <c r="D1025" s="79">
        <v>56.21</v>
      </c>
      <c r="F1025" s="79">
        <v>56.21</v>
      </c>
      <c r="G1025" s="81"/>
      <c r="N1025" s="240"/>
      <c r="O1025" s="241"/>
      <c r="P1025" s="213"/>
    </row>
    <row r="1026" spans="1:16" ht="12">
      <c r="A1026" s="83" t="s">
        <v>1913</v>
      </c>
      <c r="B1026" s="257" t="s">
        <v>1914</v>
      </c>
      <c r="C1026" s="258" t="s">
        <v>165</v>
      </c>
      <c r="D1026" s="79">
        <v>59.5</v>
      </c>
      <c r="F1026" s="79">
        <v>59.5</v>
      </c>
      <c r="G1026" s="81"/>
      <c r="N1026" s="240"/>
      <c r="O1026" s="241"/>
      <c r="P1026" s="213"/>
    </row>
    <row r="1027" spans="1:16" ht="12">
      <c r="A1027" s="83" t="s">
        <v>1915</v>
      </c>
      <c r="B1027" s="257" t="s">
        <v>1916</v>
      </c>
      <c r="C1027" s="258" t="s">
        <v>165</v>
      </c>
      <c r="D1027" s="79">
        <v>55.6</v>
      </c>
      <c r="F1027" s="79">
        <v>55.6</v>
      </c>
      <c r="G1027" s="81"/>
      <c r="N1027" s="240"/>
      <c r="O1027" s="241"/>
      <c r="P1027" s="213"/>
    </row>
    <row r="1028" spans="1:16" ht="12">
      <c r="A1028" s="83" t="s">
        <v>1917</v>
      </c>
      <c r="B1028" s="257" t="s">
        <v>1918</v>
      </c>
      <c r="C1028" s="258" t="s">
        <v>165</v>
      </c>
      <c r="D1028" s="79">
        <v>56.77</v>
      </c>
      <c r="F1028" s="79">
        <v>56.77</v>
      </c>
      <c r="G1028" s="81"/>
      <c r="N1028" s="240"/>
      <c r="O1028" s="241"/>
      <c r="P1028" s="213"/>
    </row>
    <row r="1029" spans="1:16" ht="12">
      <c r="A1029" s="83" t="s">
        <v>1919</v>
      </c>
      <c r="B1029" s="257" t="s">
        <v>1920</v>
      </c>
      <c r="C1029" s="258" t="s">
        <v>509</v>
      </c>
      <c r="D1029" s="79">
        <v>94.99</v>
      </c>
      <c r="F1029" s="79">
        <v>94.99</v>
      </c>
      <c r="G1029" s="81"/>
      <c r="N1029" s="240"/>
      <c r="O1029" s="241"/>
      <c r="P1029" s="213"/>
    </row>
    <row r="1030" spans="1:16" ht="24">
      <c r="A1030" s="83" t="s">
        <v>1921</v>
      </c>
      <c r="B1030" s="257" t="s">
        <v>1922</v>
      </c>
      <c r="C1030" s="258" t="s">
        <v>165</v>
      </c>
      <c r="D1030" s="79">
        <v>44.24</v>
      </c>
      <c r="F1030" s="79">
        <v>44.24</v>
      </c>
      <c r="G1030" s="81"/>
      <c r="N1030" s="240"/>
      <c r="O1030" s="241"/>
      <c r="P1030" s="213"/>
    </row>
    <row r="1031" spans="1:16" ht="24">
      <c r="A1031" s="83" t="s">
        <v>1923</v>
      </c>
      <c r="B1031" s="257" t="s">
        <v>1924</v>
      </c>
      <c r="C1031" s="258" t="s">
        <v>165</v>
      </c>
      <c r="D1031" s="79">
        <v>95.1</v>
      </c>
      <c r="F1031" s="79">
        <v>95.1</v>
      </c>
      <c r="G1031" s="81"/>
      <c r="N1031" s="240"/>
      <c r="O1031" s="241"/>
      <c r="P1031" s="213"/>
    </row>
    <row r="1032" spans="1:16" ht="12">
      <c r="A1032" s="83" t="s">
        <v>1925</v>
      </c>
      <c r="B1032" s="257" t="s">
        <v>1926</v>
      </c>
      <c r="C1032" s="258" t="s">
        <v>509</v>
      </c>
      <c r="D1032" s="79">
        <v>279.87</v>
      </c>
      <c r="F1032" s="79">
        <v>279.87</v>
      </c>
      <c r="G1032" s="81"/>
      <c r="N1032" s="240"/>
      <c r="O1032" s="241"/>
      <c r="P1032" s="213"/>
    </row>
    <row r="1033" spans="1:16" ht="12">
      <c r="A1033" s="83" t="s">
        <v>1927</v>
      </c>
      <c r="B1033" s="257" t="s">
        <v>1928</v>
      </c>
      <c r="C1033" s="258" t="s">
        <v>509</v>
      </c>
      <c r="D1033" s="79">
        <v>89.82</v>
      </c>
      <c r="F1033" s="79">
        <v>89.82</v>
      </c>
      <c r="G1033" s="81"/>
      <c r="N1033" s="240"/>
      <c r="O1033" s="241"/>
      <c r="P1033" s="213"/>
    </row>
    <row r="1034" spans="1:16" ht="12">
      <c r="A1034" s="83" t="s">
        <v>1929</v>
      </c>
      <c r="B1034" s="257" t="s">
        <v>1930</v>
      </c>
      <c r="C1034" s="258" t="s">
        <v>165</v>
      </c>
      <c r="D1034" s="79">
        <v>96.52</v>
      </c>
      <c r="F1034" s="79">
        <v>96.52</v>
      </c>
      <c r="G1034" s="81"/>
      <c r="N1034" s="240"/>
      <c r="O1034" s="241"/>
      <c r="P1034" s="213"/>
    </row>
    <row r="1035" spans="1:16" ht="24">
      <c r="A1035" s="83" t="s">
        <v>1931</v>
      </c>
      <c r="B1035" s="257" t="s">
        <v>1932</v>
      </c>
      <c r="C1035" s="258" t="s">
        <v>165</v>
      </c>
      <c r="D1035" s="79">
        <v>94.78</v>
      </c>
      <c r="F1035" s="79">
        <v>94.78</v>
      </c>
      <c r="G1035" s="81"/>
      <c r="N1035" s="240"/>
      <c r="O1035" s="241"/>
      <c r="P1035" s="213"/>
    </row>
    <row r="1036" spans="1:16" ht="12">
      <c r="A1036" s="83" t="s">
        <v>1933</v>
      </c>
      <c r="B1036" s="257" t="s">
        <v>1934</v>
      </c>
      <c r="C1036" s="258" t="s">
        <v>165</v>
      </c>
      <c r="D1036" s="79">
        <v>54.29</v>
      </c>
      <c r="F1036" s="79">
        <v>54.29</v>
      </c>
      <c r="G1036" s="81"/>
      <c r="N1036" s="240"/>
      <c r="O1036" s="241"/>
      <c r="P1036" s="213"/>
    </row>
    <row r="1037" spans="1:16" ht="24">
      <c r="A1037" s="83" t="s">
        <v>1935</v>
      </c>
      <c r="B1037" s="257" t="s">
        <v>1936</v>
      </c>
      <c r="C1037" s="258" t="s">
        <v>165</v>
      </c>
      <c r="D1037" s="79">
        <v>46.77</v>
      </c>
      <c r="F1037" s="79">
        <v>46.77</v>
      </c>
      <c r="G1037" s="81"/>
      <c r="N1037" s="240"/>
      <c r="O1037" s="241"/>
      <c r="P1037" s="213"/>
    </row>
    <row r="1038" spans="1:16" ht="12">
      <c r="A1038" s="83" t="s">
        <v>1937</v>
      </c>
      <c r="B1038" s="257" t="s">
        <v>1938</v>
      </c>
      <c r="C1038" s="258" t="s">
        <v>509</v>
      </c>
      <c r="D1038" s="79">
        <v>49.54</v>
      </c>
      <c r="F1038" s="79">
        <v>49.54</v>
      </c>
      <c r="G1038" s="81"/>
      <c r="N1038" s="240"/>
      <c r="O1038" s="241"/>
      <c r="P1038" s="213"/>
    </row>
    <row r="1039" spans="1:16" ht="24">
      <c r="A1039" s="83" t="s">
        <v>1939</v>
      </c>
      <c r="B1039" s="257" t="s">
        <v>29781</v>
      </c>
      <c r="C1039" s="258" t="s">
        <v>509</v>
      </c>
      <c r="D1039" s="79">
        <v>1192.4000000000001</v>
      </c>
      <c r="F1039" s="79">
        <v>1192.4000000000001</v>
      </c>
      <c r="G1039" s="81"/>
      <c r="N1039" s="240"/>
      <c r="O1039" s="241"/>
      <c r="P1039" s="213" t="s">
        <v>1940</v>
      </c>
    </row>
    <row r="1040" spans="1:16" ht="24">
      <c r="A1040" s="83" t="s">
        <v>1941</v>
      </c>
      <c r="B1040" s="257" t="s">
        <v>29782</v>
      </c>
      <c r="C1040" s="258" t="s">
        <v>509</v>
      </c>
      <c r="D1040" s="79">
        <v>1097.97</v>
      </c>
      <c r="F1040" s="79">
        <v>1097.97</v>
      </c>
      <c r="G1040" s="81"/>
      <c r="N1040" s="240"/>
      <c r="O1040" s="241"/>
      <c r="P1040" s="213" t="s">
        <v>1940</v>
      </c>
    </row>
    <row r="1041" spans="1:16" ht="24">
      <c r="A1041" s="261" t="s">
        <v>1942</v>
      </c>
      <c r="B1041" s="261" t="s">
        <v>1943</v>
      </c>
      <c r="C1041" s="266" t="s">
        <v>509</v>
      </c>
      <c r="D1041" s="79">
        <v>898.93</v>
      </c>
      <c r="F1041" s="518">
        <v>898.93</v>
      </c>
      <c r="N1041" s="133"/>
    </row>
    <row r="1042" spans="1:16" ht="24">
      <c r="A1042" s="261" t="s">
        <v>1944</v>
      </c>
      <c r="B1042" s="261" t="s">
        <v>1945</v>
      </c>
      <c r="C1042" s="266" t="s">
        <v>509</v>
      </c>
      <c r="D1042" s="79">
        <v>416.33</v>
      </c>
      <c r="F1042" s="518">
        <v>416.33</v>
      </c>
      <c r="N1042" s="133"/>
    </row>
    <row r="1043" spans="1:16" ht="24">
      <c r="A1043" s="261" t="s">
        <v>1946</v>
      </c>
      <c r="B1043" s="261" t="s">
        <v>1947</v>
      </c>
      <c r="C1043" s="266" t="s">
        <v>165</v>
      </c>
      <c r="D1043" s="79">
        <v>364.17</v>
      </c>
      <c r="F1043" s="518">
        <v>364.17</v>
      </c>
      <c r="N1043" s="133"/>
    </row>
    <row r="1044" spans="1:16" ht="24">
      <c r="A1044" s="261" t="s">
        <v>1948</v>
      </c>
      <c r="B1044" s="261" t="s">
        <v>29783</v>
      </c>
      <c r="C1044" s="266" t="s">
        <v>165</v>
      </c>
      <c r="D1044" s="79">
        <v>148.58000000000001</v>
      </c>
      <c r="F1044" s="518">
        <v>148.58000000000001</v>
      </c>
      <c r="N1044" s="133"/>
    </row>
    <row r="1045" spans="1:16" ht="24">
      <c r="A1045" s="261" t="s">
        <v>1949</v>
      </c>
      <c r="B1045" s="261" t="s">
        <v>29784</v>
      </c>
      <c r="C1045" s="266" t="s">
        <v>165</v>
      </c>
      <c r="D1045" s="79">
        <v>175.28</v>
      </c>
      <c r="F1045" s="518">
        <v>175.28</v>
      </c>
      <c r="N1045" s="133"/>
    </row>
    <row r="1046" spans="1:16" ht="24">
      <c r="A1046" s="261" t="s">
        <v>1950</v>
      </c>
      <c r="B1046" s="261" t="s">
        <v>1951</v>
      </c>
      <c r="C1046" s="266" t="s">
        <v>165</v>
      </c>
      <c r="D1046" s="79">
        <v>71.430000000000007</v>
      </c>
      <c r="F1046" s="518">
        <v>71.430000000000007</v>
      </c>
      <c r="N1046" s="133"/>
    </row>
    <row r="1047" spans="1:16" ht="24">
      <c r="A1047" s="261" t="s">
        <v>1952</v>
      </c>
      <c r="B1047" s="261" t="s">
        <v>1953</v>
      </c>
      <c r="C1047" s="266" t="s">
        <v>165</v>
      </c>
      <c r="D1047" s="79">
        <v>84.18</v>
      </c>
      <c r="F1047" s="518">
        <v>84.18</v>
      </c>
      <c r="N1047" s="133"/>
    </row>
    <row r="1048" spans="1:16" ht="24">
      <c r="A1048" s="83" t="s">
        <v>1954</v>
      </c>
      <c r="B1048" s="257" t="s">
        <v>1955</v>
      </c>
      <c r="C1048" s="258" t="s">
        <v>509</v>
      </c>
      <c r="D1048" s="79">
        <v>246.73</v>
      </c>
      <c r="F1048" s="79">
        <v>246.73</v>
      </c>
      <c r="G1048" s="81"/>
      <c r="N1048" s="240"/>
      <c r="O1048" s="241"/>
      <c r="P1048" s="213"/>
    </row>
    <row r="1049" spans="1:16" ht="24">
      <c r="A1049" s="83" t="s">
        <v>1956</v>
      </c>
      <c r="B1049" s="257" t="s">
        <v>1957</v>
      </c>
      <c r="C1049" s="258" t="s">
        <v>165</v>
      </c>
      <c r="D1049" s="79">
        <v>92.44</v>
      </c>
      <c r="F1049" s="79">
        <v>92.44</v>
      </c>
      <c r="G1049" s="81"/>
      <c r="N1049" s="240"/>
      <c r="O1049" s="241"/>
      <c r="P1049" s="213"/>
    </row>
    <row r="1050" spans="1:16" ht="24">
      <c r="A1050" s="83" t="s">
        <v>1958</v>
      </c>
      <c r="B1050" s="257" t="s">
        <v>1959</v>
      </c>
      <c r="C1050" s="258" t="s">
        <v>509</v>
      </c>
      <c r="D1050" s="79">
        <v>194.48</v>
      </c>
      <c r="F1050" s="79">
        <v>194.48</v>
      </c>
      <c r="G1050" s="81"/>
      <c r="N1050" s="240"/>
      <c r="O1050" s="241"/>
      <c r="P1050" s="213"/>
    </row>
    <row r="1051" spans="1:16" ht="12">
      <c r="A1051" s="83" t="s">
        <v>1960</v>
      </c>
      <c r="B1051" s="257" t="s">
        <v>1961</v>
      </c>
      <c r="C1051" s="258" t="s">
        <v>165</v>
      </c>
      <c r="D1051" s="79">
        <v>456.09</v>
      </c>
      <c r="F1051" s="79">
        <v>456.09</v>
      </c>
      <c r="G1051" s="81"/>
      <c r="N1051" s="240"/>
      <c r="O1051" s="241"/>
      <c r="P1051" s="213"/>
    </row>
    <row r="1052" spans="1:16" ht="12">
      <c r="A1052" s="83" t="s">
        <v>1962</v>
      </c>
      <c r="B1052" s="257" t="s">
        <v>1963</v>
      </c>
      <c r="C1052" s="258" t="s">
        <v>165</v>
      </c>
      <c r="D1052" s="79">
        <v>391.53</v>
      </c>
      <c r="F1052" s="79">
        <v>391.53</v>
      </c>
      <c r="G1052" s="81"/>
      <c r="N1052" s="240"/>
      <c r="O1052" s="241"/>
      <c r="P1052" s="213"/>
    </row>
    <row r="1053" spans="1:16" ht="12">
      <c r="A1053" s="83" t="s">
        <v>1964</v>
      </c>
      <c r="B1053" s="257" t="s">
        <v>1965</v>
      </c>
      <c r="C1053" s="258" t="s">
        <v>509</v>
      </c>
      <c r="D1053" s="79">
        <v>907.65</v>
      </c>
      <c r="F1053" s="79">
        <v>907.65</v>
      </c>
      <c r="G1053" s="81"/>
      <c r="N1053" s="240"/>
      <c r="O1053" s="241"/>
      <c r="P1053" s="213"/>
    </row>
    <row r="1054" spans="1:16" ht="12">
      <c r="A1054" s="83" t="s">
        <v>1966</v>
      </c>
      <c r="B1054" s="257" t="s">
        <v>1967</v>
      </c>
      <c r="C1054" s="258" t="s">
        <v>509</v>
      </c>
      <c r="D1054" s="79">
        <v>881.68</v>
      </c>
      <c r="F1054" s="79">
        <v>881.68</v>
      </c>
      <c r="G1054" s="81"/>
      <c r="N1054" s="240"/>
      <c r="O1054" s="241"/>
      <c r="P1054" s="213"/>
    </row>
    <row r="1055" spans="1:16" ht="12">
      <c r="A1055" s="83" t="s">
        <v>1968</v>
      </c>
      <c r="B1055" s="257" t="s">
        <v>1969</v>
      </c>
      <c r="C1055" s="258" t="s">
        <v>509</v>
      </c>
      <c r="D1055" s="79">
        <v>995.42</v>
      </c>
      <c r="F1055" s="79">
        <v>995.42</v>
      </c>
      <c r="G1055" s="81"/>
      <c r="N1055" s="240"/>
      <c r="O1055" s="241"/>
      <c r="P1055" s="213"/>
    </row>
    <row r="1056" spans="1:16" ht="12">
      <c r="A1056" s="83" t="s">
        <v>1970</v>
      </c>
      <c r="B1056" s="257" t="s">
        <v>1971</v>
      </c>
      <c r="C1056" s="258" t="s">
        <v>509</v>
      </c>
      <c r="D1056" s="79">
        <v>822.94</v>
      </c>
      <c r="F1056" s="79">
        <v>822.94</v>
      </c>
      <c r="G1056" s="81"/>
      <c r="N1056" s="240"/>
      <c r="O1056" s="241"/>
      <c r="P1056" s="213"/>
    </row>
    <row r="1057" spans="1:16" ht="24">
      <c r="A1057" s="83" t="s">
        <v>1972</v>
      </c>
      <c r="B1057" s="257" t="s">
        <v>29785</v>
      </c>
      <c r="C1057" s="258" t="s">
        <v>509</v>
      </c>
      <c r="D1057" s="79">
        <v>1865</v>
      </c>
      <c r="F1057" s="79">
        <v>1865</v>
      </c>
      <c r="G1057" s="81"/>
      <c r="N1057" s="240"/>
      <c r="O1057" s="241"/>
      <c r="P1057" s="213"/>
    </row>
    <row r="1058" spans="1:16" ht="12">
      <c r="A1058" s="83" t="s">
        <v>1973</v>
      </c>
      <c r="B1058" s="257" t="s">
        <v>39277</v>
      </c>
      <c r="C1058" s="258" t="s">
        <v>165</v>
      </c>
      <c r="D1058" s="79">
        <v>84.61</v>
      </c>
      <c r="F1058" s="79">
        <v>84.61</v>
      </c>
      <c r="G1058" s="81"/>
      <c r="N1058" s="240"/>
      <c r="O1058" s="241"/>
      <c r="P1058" s="213"/>
    </row>
    <row r="1059" spans="1:16" ht="12">
      <c r="A1059" s="83" t="s">
        <v>1974</v>
      </c>
      <c r="B1059" s="257" t="s">
        <v>39278</v>
      </c>
      <c r="C1059" s="258" t="s">
        <v>509</v>
      </c>
      <c r="D1059" s="79">
        <v>46.76</v>
      </c>
      <c r="F1059" s="79">
        <v>46.76</v>
      </c>
      <c r="G1059" s="81"/>
      <c r="N1059" s="240"/>
      <c r="O1059" s="241"/>
      <c r="P1059" s="213"/>
    </row>
    <row r="1060" spans="1:16" ht="12">
      <c r="A1060" s="83" t="s">
        <v>1975</v>
      </c>
      <c r="B1060" s="257" t="s">
        <v>39279</v>
      </c>
      <c r="C1060" s="258" t="s">
        <v>165</v>
      </c>
      <c r="D1060" s="79">
        <v>14.37</v>
      </c>
      <c r="F1060" s="79">
        <v>14.37</v>
      </c>
      <c r="G1060" s="81"/>
      <c r="N1060" s="240"/>
      <c r="O1060" s="241"/>
      <c r="P1060" s="213"/>
    </row>
    <row r="1061" spans="1:16" ht="12">
      <c r="A1061" s="83" t="s">
        <v>1976</v>
      </c>
      <c r="B1061" s="257" t="s">
        <v>29786</v>
      </c>
      <c r="C1061" s="258" t="s">
        <v>509</v>
      </c>
      <c r="D1061" s="79">
        <v>389</v>
      </c>
      <c r="F1061" s="79">
        <v>389</v>
      </c>
      <c r="G1061" s="81"/>
      <c r="N1061" s="240"/>
      <c r="O1061" s="241"/>
      <c r="P1061" s="213"/>
    </row>
    <row r="1062" spans="1:16" ht="12">
      <c r="A1062" s="83" t="s">
        <v>1977</v>
      </c>
      <c r="B1062" s="257" t="s">
        <v>1978</v>
      </c>
      <c r="C1062" s="258" t="s">
        <v>509</v>
      </c>
      <c r="D1062" s="79">
        <v>56.65</v>
      </c>
      <c r="F1062" s="79">
        <v>56.65</v>
      </c>
      <c r="G1062" s="81"/>
      <c r="N1062" s="240"/>
      <c r="O1062" s="241"/>
      <c r="P1062" s="213"/>
    </row>
    <row r="1063" spans="1:16" ht="12">
      <c r="A1063" s="83" t="s">
        <v>1979</v>
      </c>
      <c r="B1063" s="257" t="s">
        <v>1980</v>
      </c>
      <c r="C1063" s="258" t="s">
        <v>509</v>
      </c>
      <c r="D1063" s="79">
        <v>226.5</v>
      </c>
      <c r="F1063" s="79">
        <v>226.5</v>
      </c>
      <c r="G1063" s="81"/>
      <c r="N1063" s="240"/>
      <c r="O1063" s="241"/>
      <c r="P1063" s="213"/>
    </row>
    <row r="1064" spans="1:16" ht="12">
      <c r="A1064" s="83" t="s">
        <v>1981</v>
      </c>
      <c r="B1064" s="257" t="s">
        <v>1982</v>
      </c>
      <c r="C1064" s="258" t="s">
        <v>165</v>
      </c>
      <c r="D1064" s="79">
        <v>49.97</v>
      </c>
      <c r="F1064" s="79">
        <v>49.97</v>
      </c>
      <c r="G1064" s="81"/>
      <c r="N1064" s="240"/>
      <c r="O1064" s="241"/>
      <c r="P1064" s="213"/>
    </row>
    <row r="1065" spans="1:16" ht="12">
      <c r="A1065" s="83" t="s">
        <v>1983</v>
      </c>
      <c r="B1065" s="257" t="s">
        <v>1984</v>
      </c>
      <c r="C1065" s="258" t="s">
        <v>103</v>
      </c>
      <c r="D1065" s="79">
        <v>8.8699999999999992</v>
      </c>
      <c r="F1065" s="79">
        <v>8.8699999999999992</v>
      </c>
      <c r="G1065" s="81"/>
      <c r="N1065" s="240"/>
      <c r="O1065" s="241"/>
      <c r="P1065" s="213"/>
    </row>
    <row r="1066" spans="1:16" ht="24">
      <c r="A1066" s="256" t="s">
        <v>1985</v>
      </c>
      <c r="B1066" s="261" t="s">
        <v>28128</v>
      </c>
      <c r="C1066" s="262" t="s">
        <v>509</v>
      </c>
      <c r="D1066" s="79">
        <v>280.49</v>
      </c>
      <c r="F1066" s="79">
        <v>280.49</v>
      </c>
    </row>
    <row r="1067" spans="1:16" ht="24">
      <c r="A1067" s="83" t="s">
        <v>1986</v>
      </c>
      <c r="B1067" s="257" t="s">
        <v>28129</v>
      </c>
      <c r="C1067" s="258" t="s">
        <v>509</v>
      </c>
      <c r="D1067" s="79">
        <v>162.41999999999999</v>
      </c>
      <c r="F1067" s="79">
        <v>162.41999999999999</v>
      </c>
      <c r="G1067" s="81"/>
      <c r="N1067" s="240"/>
      <c r="O1067" s="241"/>
      <c r="P1067" s="213"/>
    </row>
    <row r="1068" spans="1:16" ht="24">
      <c r="A1068" s="83" t="s">
        <v>1987</v>
      </c>
      <c r="B1068" s="257" t="s">
        <v>28130</v>
      </c>
      <c r="C1068" s="258" t="s">
        <v>509</v>
      </c>
      <c r="D1068" s="79">
        <v>170.23</v>
      </c>
      <c r="F1068" s="79">
        <v>170.23</v>
      </c>
      <c r="G1068" s="81"/>
      <c r="N1068" s="240"/>
      <c r="O1068" s="241"/>
      <c r="P1068" s="213"/>
    </row>
    <row r="1069" spans="1:16" ht="24">
      <c r="A1069" s="83" t="s">
        <v>1988</v>
      </c>
      <c r="B1069" s="257" t="s">
        <v>28131</v>
      </c>
      <c r="C1069" s="258" t="s">
        <v>509</v>
      </c>
      <c r="D1069" s="79">
        <v>219.19</v>
      </c>
      <c r="F1069" s="79">
        <v>219.19</v>
      </c>
      <c r="G1069" s="81"/>
      <c r="N1069" s="240"/>
      <c r="O1069" s="241"/>
      <c r="P1069" s="213"/>
    </row>
    <row r="1070" spans="1:16" ht="24">
      <c r="A1070" s="83" t="s">
        <v>1989</v>
      </c>
      <c r="B1070" s="257" t="s">
        <v>28132</v>
      </c>
      <c r="C1070" s="258" t="s">
        <v>509</v>
      </c>
      <c r="D1070" s="79">
        <v>176.74</v>
      </c>
      <c r="F1070" s="79">
        <v>176.74</v>
      </c>
      <c r="G1070" s="81"/>
      <c r="N1070" s="240"/>
      <c r="O1070" s="241"/>
      <c r="P1070" s="213"/>
    </row>
    <row r="1071" spans="1:16" ht="24">
      <c r="A1071" s="83" t="s">
        <v>1990</v>
      </c>
      <c r="B1071" s="257" t="s">
        <v>28133</v>
      </c>
      <c r="C1071" s="258" t="s">
        <v>509</v>
      </c>
      <c r="D1071" s="79">
        <v>258.08</v>
      </c>
      <c r="F1071" s="79">
        <v>258.08</v>
      </c>
      <c r="G1071" s="81"/>
      <c r="N1071" s="240"/>
      <c r="O1071" s="241"/>
      <c r="P1071" s="213"/>
    </row>
    <row r="1072" spans="1:16" ht="24">
      <c r="A1072" s="83" t="s">
        <v>1991</v>
      </c>
      <c r="B1072" s="257" t="s">
        <v>28134</v>
      </c>
      <c r="C1072" s="258" t="s">
        <v>509</v>
      </c>
      <c r="D1072" s="79">
        <v>262.73</v>
      </c>
      <c r="F1072" s="79">
        <v>262.73</v>
      </c>
      <c r="G1072" s="81"/>
      <c r="N1072" s="240"/>
      <c r="O1072" s="241"/>
      <c r="P1072" s="213"/>
    </row>
    <row r="1073" spans="1:16" ht="24">
      <c r="A1073" s="83" t="s">
        <v>1992</v>
      </c>
      <c r="B1073" s="257" t="s">
        <v>28135</v>
      </c>
      <c r="C1073" s="258" t="s">
        <v>509</v>
      </c>
      <c r="D1073" s="79">
        <v>222.73</v>
      </c>
      <c r="F1073" s="79">
        <v>222.73</v>
      </c>
      <c r="G1073" s="81"/>
      <c r="N1073" s="240"/>
      <c r="O1073" s="241"/>
      <c r="P1073" s="213"/>
    </row>
    <row r="1074" spans="1:16" ht="24">
      <c r="A1074" s="83" t="s">
        <v>1993</v>
      </c>
      <c r="B1074" s="257" t="s">
        <v>28136</v>
      </c>
      <c r="C1074" s="258" t="s">
        <v>509</v>
      </c>
      <c r="D1074" s="79">
        <v>105.94</v>
      </c>
      <c r="F1074" s="79">
        <v>105.94</v>
      </c>
      <c r="G1074" s="81"/>
      <c r="N1074" s="240"/>
      <c r="O1074" s="241"/>
      <c r="P1074" s="213"/>
    </row>
    <row r="1075" spans="1:16" ht="24">
      <c r="A1075" s="83" t="s">
        <v>1994</v>
      </c>
      <c r="B1075" s="257" t="s">
        <v>28137</v>
      </c>
      <c r="C1075" s="258" t="s">
        <v>509</v>
      </c>
      <c r="D1075" s="79">
        <v>283.97000000000003</v>
      </c>
      <c r="F1075" s="79">
        <v>283.97000000000003</v>
      </c>
      <c r="G1075" s="81"/>
      <c r="N1075" s="240"/>
      <c r="O1075" s="241"/>
      <c r="P1075" s="213"/>
    </row>
    <row r="1076" spans="1:16" ht="24">
      <c r="A1076" s="83" t="s">
        <v>1995</v>
      </c>
      <c r="B1076" s="257" t="s">
        <v>28138</v>
      </c>
      <c r="C1076" s="258" t="s">
        <v>509</v>
      </c>
      <c r="D1076" s="79">
        <v>286.08999999999997</v>
      </c>
      <c r="F1076" s="79">
        <v>286.08999999999997</v>
      </c>
      <c r="G1076" s="81"/>
      <c r="N1076" s="240"/>
      <c r="O1076" s="241"/>
      <c r="P1076" s="213"/>
    </row>
    <row r="1077" spans="1:16" ht="24">
      <c r="A1077" s="83" t="s">
        <v>1996</v>
      </c>
      <c r="B1077" s="257" t="s">
        <v>28139</v>
      </c>
      <c r="C1077" s="258" t="s">
        <v>509</v>
      </c>
      <c r="D1077" s="79">
        <v>299.14999999999998</v>
      </c>
      <c r="F1077" s="79">
        <v>299.14999999999998</v>
      </c>
      <c r="G1077" s="81"/>
      <c r="N1077" s="240"/>
      <c r="O1077" s="241"/>
      <c r="P1077" s="213"/>
    </row>
    <row r="1078" spans="1:16" ht="24">
      <c r="A1078" s="83" t="s">
        <v>1997</v>
      </c>
      <c r="B1078" s="257" t="s">
        <v>28140</v>
      </c>
      <c r="C1078" s="258" t="s">
        <v>509</v>
      </c>
      <c r="D1078" s="79">
        <v>260.77</v>
      </c>
      <c r="F1078" s="79">
        <v>260.77</v>
      </c>
      <c r="G1078" s="81"/>
      <c r="N1078" s="240"/>
      <c r="O1078" s="241"/>
      <c r="P1078" s="213"/>
    </row>
    <row r="1079" spans="1:16" ht="24">
      <c r="A1079" s="83" t="s">
        <v>1998</v>
      </c>
      <c r="B1079" s="257" t="s">
        <v>28141</v>
      </c>
      <c r="C1079" s="258" t="s">
        <v>509</v>
      </c>
      <c r="D1079" s="79">
        <v>292.64</v>
      </c>
      <c r="F1079" s="79">
        <v>292.64</v>
      </c>
      <c r="G1079" s="81"/>
      <c r="N1079" s="240"/>
      <c r="O1079" s="241"/>
      <c r="P1079" s="213"/>
    </row>
    <row r="1080" spans="1:16" ht="24">
      <c r="A1080" s="83" t="s">
        <v>1999</v>
      </c>
      <c r="B1080" s="257" t="s">
        <v>28142</v>
      </c>
      <c r="C1080" s="258" t="s">
        <v>509</v>
      </c>
      <c r="D1080" s="79">
        <v>255.19</v>
      </c>
      <c r="F1080" s="79">
        <v>255.19</v>
      </c>
      <c r="G1080" s="81"/>
      <c r="N1080" s="240"/>
      <c r="O1080" s="241"/>
      <c r="P1080" s="213"/>
    </row>
    <row r="1081" spans="1:16" ht="12">
      <c r="A1081" s="83" t="s">
        <v>2000</v>
      </c>
      <c r="B1081" s="257" t="s">
        <v>29787</v>
      </c>
      <c r="C1081" s="258" t="s">
        <v>165</v>
      </c>
      <c r="D1081" s="79">
        <v>25.71</v>
      </c>
      <c r="F1081" s="79">
        <v>25.71</v>
      </c>
      <c r="G1081" s="81"/>
      <c r="N1081" s="240"/>
      <c r="O1081" s="241"/>
      <c r="P1081" s="213"/>
    </row>
    <row r="1082" spans="1:16" ht="24">
      <c r="A1082" s="83" t="s">
        <v>2001</v>
      </c>
      <c r="B1082" s="257" t="s">
        <v>28143</v>
      </c>
      <c r="C1082" s="258" t="s">
        <v>509</v>
      </c>
      <c r="D1082" s="79">
        <v>129.83000000000001</v>
      </c>
      <c r="F1082" s="79">
        <v>129.83000000000001</v>
      </c>
      <c r="G1082" s="81"/>
      <c r="N1082" s="240"/>
      <c r="O1082" s="241"/>
      <c r="P1082" s="213"/>
    </row>
    <row r="1083" spans="1:16" ht="12">
      <c r="A1083" s="83" t="s">
        <v>2002</v>
      </c>
      <c r="B1083" s="257" t="s">
        <v>39280</v>
      </c>
      <c r="C1083" s="258" t="s">
        <v>509</v>
      </c>
      <c r="D1083" s="79">
        <v>154.80000000000001</v>
      </c>
      <c r="F1083" s="79">
        <v>154.80000000000001</v>
      </c>
      <c r="G1083" s="81"/>
      <c r="N1083" s="240"/>
      <c r="O1083" s="241"/>
      <c r="P1083" s="213"/>
    </row>
    <row r="1084" spans="1:16" ht="12">
      <c r="A1084" s="83" t="s">
        <v>2003</v>
      </c>
      <c r="B1084" s="257" t="s">
        <v>2004</v>
      </c>
      <c r="C1084" s="258" t="s">
        <v>103</v>
      </c>
      <c r="D1084" s="79">
        <v>57.98</v>
      </c>
      <c r="F1084" s="79">
        <v>57.98</v>
      </c>
      <c r="G1084" s="81"/>
      <c r="N1084" s="240"/>
      <c r="O1084" s="241"/>
      <c r="P1084" s="213"/>
    </row>
    <row r="1085" spans="1:16" ht="12">
      <c r="A1085" s="83" t="s">
        <v>2005</v>
      </c>
      <c r="B1085" s="257" t="s">
        <v>2006</v>
      </c>
      <c r="C1085" s="258" t="s">
        <v>509</v>
      </c>
      <c r="D1085" s="79">
        <v>328.48</v>
      </c>
      <c r="F1085" s="79">
        <v>328.48</v>
      </c>
      <c r="G1085" s="81"/>
      <c r="N1085" s="240"/>
      <c r="O1085" s="241"/>
      <c r="P1085" s="213"/>
    </row>
    <row r="1086" spans="1:16" ht="36">
      <c r="A1086" s="83" t="s">
        <v>2007</v>
      </c>
      <c r="B1086" s="257" t="s">
        <v>2008</v>
      </c>
      <c r="C1086" s="258" t="s">
        <v>509</v>
      </c>
      <c r="D1086" s="79">
        <v>511.62</v>
      </c>
      <c r="F1086" s="79">
        <v>511.62</v>
      </c>
      <c r="G1086" s="81"/>
      <c r="N1086" s="240"/>
      <c r="O1086" s="241"/>
      <c r="P1086" s="213"/>
    </row>
    <row r="1087" spans="1:16" ht="24">
      <c r="A1087" s="256" t="s">
        <v>2009</v>
      </c>
      <c r="B1087" s="261" t="s">
        <v>29788</v>
      </c>
      <c r="C1087" s="262" t="s">
        <v>509</v>
      </c>
      <c r="D1087" s="79">
        <v>169.41</v>
      </c>
      <c r="F1087" s="79">
        <v>169.41</v>
      </c>
    </row>
    <row r="1088" spans="1:16" ht="12">
      <c r="A1088" s="83" t="s">
        <v>2010</v>
      </c>
      <c r="B1088" s="257" t="s">
        <v>2011</v>
      </c>
      <c r="C1088" s="258" t="s">
        <v>165</v>
      </c>
      <c r="D1088" s="79">
        <v>90.67</v>
      </c>
      <c r="F1088" s="79">
        <v>90.67</v>
      </c>
      <c r="G1088" s="81"/>
      <c r="N1088" s="240"/>
      <c r="O1088" s="241"/>
      <c r="P1088" s="213"/>
    </row>
    <row r="1089" spans="1:16" ht="12">
      <c r="A1089" s="256" t="s">
        <v>2012</v>
      </c>
      <c r="B1089" s="261" t="s">
        <v>2013</v>
      </c>
      <c r="C1089" s="262" t="s">
        <v>108</v>
      </c>
      <c r="D1089" s="79">
        <v>1660.19</v>
      </c>
      <c r="F1089" s="79">
        <v>1660.19</v>
      </c>
    </row>
    <row r="1090" spans="1:16" ht="12">
      <c r="A1090" s="83" t="s">
        <v>2014</v>
      </c>
      <c r="B1090" s="257" t="s">
        <v>2015</v>
      </c>
      <c r="C1090" s="258" t="s">
        <v>121</v>
      </c>
      <c r="D1090" s="79">
        <v>204.88</v>
      </c>
      <c r="F1090" s="79">
        <v>204.88</v>
      </c>
      <c r="G1090" s="81"/>
      <c r="N1090" s="240"/>
      <c r="O1090" s="241"/>
      <c r="P1090" s="213"/>
    </row>
    <row r="1091" spans="1:16" ht="24">
      <c r="A1091" s="83" t="s">
        <v>2016</v>
      </c>
      <c r="B1091" s="257" t="s">
        <v>28144</v>
      </c>
      <c r="C1091" s="258" t="s">
        <v>509</v>
      </c>
      <c r="D1091" s="79">
        <v>416.04</v>
      </c>
      <c r="F1091" s="79">
        <v>416.04</v>
      </c>
      <c r="G1091" s="81"/>
      <c r="N1091" s="240"/>
      <c r="O1091" s="241"/>
      <c r="P1091" s="213"/>
    </row>
    <row r="1092" spans="1:16" ht="36">
      <c r="A1092" s="83" t="s">
        <v>2017</v>
      </c>
      <c r="B1092" s="257" t="s">
        <v>2018</v>
      </c>
      <c r="C1092" s="258" t="s">
        <v>509</v>
      </c>
      <c r="D1092" s="79">
        <v>319.83</v>
      </c>
      <c r="F1092" s="79">
        <v>319.83</v>
      </c>
      <c r="G1092" s="81"/>
      <c r="N1092" s="240"/>
      <c r="O1092" s="241"/>
      <c r="P1092" s="213"/>
    </row>
    <row r="1093" spans="1:16" ht="24">
      <c r="A1093" s="83" t="s">
        <v>2019</v>
      </c>
      <c r="B1093" s="257" t="s">
        <v>28145</v>
      </c>
      <c r="C1093" s="258" t="s">
        <v>509</v>
      </c>
      <c r="D1093" s="79">
        <v>880.77</v>
      </c>
      <c r="F1093" s="79">
        <v>880.77</v>
      </c>
      <c r="G1093" s="81"/>
      <c r="N1093" s="240"/>
      <c r="O1093" s="241"/>
      <c r="P1093" s="213"/>
    </row>
    <row r="1094" spans="1:16" ht="24">
      <c r="A1094" s="83" t="s">
        <v>2020</v>
      </c>
      <c r="B1094" s="257" t="s">
        <v>2021</v>
      </c>
      <c r="C1094" s="258" t="s">
        <v>103</v>
      </c>
      <c r="D1094" s="79">
        <v>10.28</v>
      </c>
      <c r="F1094" s="79">
        <v>10.28</v>
      </c>
      <c r="G1094" s="81"/>
      <c r="N1094" s="240"/>
      <c r="O1094" s="241"/>
      <c r="P1094" s="213"/>
    </row>
    <row r="1095" spans="1:16" ht="24">
      <c r="A1095" s="83" t="s">
        <v>2022</v>
      </c>
      <c r="B1095" s="257" t="s">
        <v>2023</v>
      </c>
      <c r="C1095" s="258" t="s">
        <v>103</v>
      </c>
      <c r="D1095" s="79">
        <v>10.69</v>
      </c>
      <c r="F1095" s="79">
        <v>10.69</v>
      </c>
      <c r="G1095" s="81"/>
      <c r="N1095" s="240"/>
      <c r="O1095" s="241"/>
      <c r="P1095" s="213"/>
    </row>
    <row r="1096" spans="1:16" ht="24">
      <c r="A1096" s="83" t="s">
        <v>2024</v>
      </c>
      <c r="B1096" s="257" t="s">
        <v>29789</v>
      </c>
      <c r="C1096" s="258" t="s">
        <v>165</v>
      </c>
      <c r="D1096" s="79">
        <v>2</v>
      </c>
      <c r="F1096" s="79">
        <v>2</v>
      </c>
      <c r="G1096" s="81"/>
      <c r="N1096" s="240"/>
      <c r="O1096" s="241"/>
      <c r="P1096" s="213"/>
    </row>
    <row r="1097" spans="1:16" ht="24">
      <c r="A1097" s="83" t="s">
        <v>2025</v>
      </c>
      <c r="B1097" s="257" t="s">
        <v>29790</v>
      </c>
      <c r="C1097" s="258" t="s">
        <v>165</v>
      </c>
      <c r="D1097" s="79">
        <v>2.62</v>
      </c>
      <c r="F1097" s="79">
        <v>2.62</v>
      </c>
      <c r="G1097" s="81"/>
      <c r="N1097" s="240"/>
      <c r="O1097" s="241"/>
      <c r="P1097" s="213"/>
    </row>
    <row r="1098" spans="1:16" ht="24">
      <c r="A1098" s="83" t="s">
        <v>2026</v>
      </c>
      <c r="B1098" s="257" t="s">
        <v>29791</v>
      </c>
      <c r="C1098" s="258" t="s">
        <v>165</v>
      </c>
      <c r="D1098" s="79">
        <v>3.17</v>
      </c>
      <c r="F1098" s="79">
        <v>3.17</v>
      </c>
      <c r="G1098" s="81"/>
      <c r="N1098" s="240"/>
      <c r="O1098" s="241"/>
      <c r="P1098" s="213"/>
    </row>
    <row r="1099" spans="1:16" ht="24">
      <c r="A1099" s="83" t="s">
        <v>2027</v>
      </c>
      <c r="B1099" s="257" t="s">
        <v>29792</v>
      </c>
      <c r="C1099" s="258" t="s">
        <v>165</v>
      </c>
      <c r="D1099" s="79">
        <v>4.09</v>
      </c>
      <c r="F1099" s="79">
        <v>4.09</v>
      </c>
      <c r="G1099" s="81"/>
      <c r="N1099" s="240"/>
      <c r="O1099" s="241"/>
      <c r="P1099" s="213"/>
    </row>
    <row r="1100" spans="1:16" ht="24">
      <c r="A1100" s="83" t="s">
        <v>2028</v>
      </c>
      <c r="B1100" s="257" t="s">
        <v>29793</v>
      </c>
      <c r="C1100" s="258" t="s">
        <v>165</v>
      </c>
      <c r="D1100" s="79">
        <v>5.08</v>
      </c>
      <c r="F1100" s="79">
        <v>5.08</v>
      </c>
      <c r="G1100" s="81"/>
      <c r="N1100" s="240"/>
      <c r="O1100" s="241"/>
      <c r="P1100" s="213"/>
    </row>
    <row r="1101" spans="1:16" ht="24">
      <c r="A1101" s="83" t="s">
        <v>2029</v>
      </c>
      <c r="B1101" s="257" t="s">
        <v>29794</v>
      </c>
      <c r="C1101" s="258" t="s">
        <v>165</v>
      </c>
      <c r="D1101" s="79">
        <v>9.7100000000000009</v>
      </c>
      <c r="F1101" s="79">
        <v>9.7100000000000009</v>
      </c>
      <c r="G1101" s="81"/>
      <c r="N1101" s="240"/>
      <c r="O1101" s="241"/>
      <c r="P1101" s="213"/>
    </row>
    <row r="1102" spans="1:16" ht="24">
      <c r="A1102" s="83" t="s">
        <v>2030</v>
      </c>
      <c r="B1102" s="257" t="s">
        <v>2031</v>
      </c>
      <c r="C1102" s="258" t="s">
        <v>509</v>
      </c>
      <c r="D1102" s="79">
        <v>1397.54</v>
      </c>
      <c r="F1102" s="79">
        <v>1397.54</v>
      </c>
      <c r="G1102" s="81"/>
      <c r="N1102" s="240"/>
      <c r="O1102" s="241"/>
      <c r="P1102" s="213"/>
    </row>
    <row r="1103" spans="1:16" ht="24">
      <c r="A1103" s="83" t="s">
        <v>2032</v>
      </c>
      <c r="B1103" s="257" t="s">
        <v>2033</v>
      </c>
      <c r="C1103" s="258" t="s">
        <v>509</v>
      </c>
      <c r="D1103" s="79">
        <v>704.64</v>
      </c>
      <c r="F1103" s="79">
        <v>704.64</v>
      </c>
      <c r="G1103" s="81"/>
      <c r="N1103" s="240"/>
      <c r="O1103" s="241"/>
      <c r="P1103" s="213"/>
    </row>
    <row r="1104" spans="1:16" ht="24">
      <c r="A1104" s="83" t="s">
        <v>2034</v>
      </c>
      <c r="B1104" s="257" t="s">
        <v>29795</v>
      </c>
      <c r="C1104" s="258" t="s">
        <v>165</v>
      </c>
      <c r="D1104" s="79">
        <v>59.18</v>
      </c>
      <c r="F1104" s="79">
        <v>59.18</v>
      </c>
      <c r="G1104" s="81"/>
      <c r="N1104" s="240"/>
      <c r="O1104" s="241"/>
      <c r="P1104" s="213"/>
    </row>
    <row r="1105" spans="1:16" ht="24">
      <c r="A1105" s="83" t="s">
        <v>2035</v>
      </c>
      <c r="B1105" s="257" t="s">
        <v>2036</v>
      </c>
      <c r="C1105" s="258" t="s">
        <v>165</v>
      </c>
      <c r="D1105" s="79">
        <v>14.49</v>
      </c>
      <c r="F1105" s="79">
        <v>14.49</v>
      </c>
      <c r="G1105" s="81"/>
      <c r="N1105" s="240"/>
      <c r="O1105" s="241"/>
      <c r="P1105" s="213"/>
    </row>
    <row r="1106" spans="1:16" ht="24">
      <c r="A1106" s="67" t="s">
        <v>2037</v>
      </c>
      <c r="B1106" s="65" t="s">
        <v>29796</v>
      </c>
      <c r="C1106" s="71" t="s">
        <v>165</v>
      </c>
      <c r="D1106" s="79">
        <v>254.12</v>
      </c>
      <c r="F1106" s="79">
        <v>254.12</v>
      </c>
      <c r="G1106" s="81"/>
      <c r="N1106" s="133"/>
      <c r="O1106" s="241"/>
      <c r="P1106" s="213"/>
    </row>
    <row r="1107" spans="1:16" ht="24">
      <c r="A1107" s="67" t="s">
        <v>2038</v>
      </c>
      <c r="B1107" s="65" t="s">
        <v>42061</v>
      </c>
      <c r="C1107" s="71" t="s">
        <v>165</v>
      </c>
      <c r="D1107" s="79">
        <v>115.63</v>
      </c>
      <c r="F1107" s="79">
        <v>115.63</v>
      </c>
      <c r="G1107" s="81"/>
      <c r="N1107" s="133"/>
      <c r="O1107" s="241"/>
      <c r="P1107" s="213"/>
    </row>
    <row r="1108" spans="1:16" ht="24">
      <c r="A1108" s="67" t="s">
        <v>2039</v>
      </c>
      <c r="B1108" s="65" t="s">
        <v>28146</v>
      </c>
      <c r="C1108" s="71" t="s">
        <v>165</v>
      </c>
      <c r="D1108" s="79">
        <v>92.39</v>
      </c>
      <c r="F1108" s="79">
        <v>92.39</v>
      </c>
      <c r="G1108" s="81"/>
      <c r="N1108" s="133"/>
      <c r="O1108" s="241"/>
      <c r="P1108" s="213"/>
    </row>
    <row r="1109" spans="1:16" ht="24">
      <c r="A1109" s="67" t="s">
        <v>2040</v>
      </c>
      <c r="B1109" s="65" t="s">
        <v>2041</v>
      </c>
      <c r="C1109" s="71" t="s">
        <v>165</v>
      </c>
      <c r="D1109" s="79">
        <v>119.79</v>
      </c>
      <c r="F1109" s="79">
        <v>119.79</v>
      </c>
      <c r="G1109" s="81"/>
      <c r="N1109" s="133"/>
      <c r="O1109" s="241"/>
      <c r="P1109" s="213"/>
    </row>
    <row r="1110" spans="1:16" ht="36">
      <c r="A1110" s="67" t="s">
        <v>2042</v>
      </c>
      <c r="B1110" s="65" t="s">
        <v>2043</v>
      </c>
      <c r="C1110" s="71" t="s">
        <v>165</v>
      </c>
      <c r="D1110" s="79">
        <v>58.12</v>
      </c>
      <c r="F1110" s="79">
        <v>58.12</v>
      </c>
      <c r="G1110" s="81"/>
      <c r="N1110" s="133"/>
      <c r="O1110" s="241"/>
      <c r="P1110" s="213"/>
    </row>
    <row r="1111" spans="1:16" ht="24">
      <c r="A1111" s="83" t="s">
        <v>2044</v>
      </c>
      <c r="B1111" s="257" t="s">
        <v>2045</v>
      </c>
      <c r="C1111" s="258" t="s">
        <v>165</v>
      </c>
      <c r="D1111" s="79">
        <v>76.86</v>
      </c>
      <c r="F1111" s="79">
        <v>76.86</v>
      </c>
      <c r="G1111" s="81"/>
      <c r="N1111" s="240"/>
      <c r="O1111" s="241"/>
      <c r="P1111" s="213"/>
    </row>
    <row r="1112" spans="1:16" ht="24">
      <c r="A1112" s="67" t="s">
        <v>2046</v>
      </c>
      <c r="B1112" s="65" t="s">
        <v>2047</v>
      </c>
      <c r="C1112" s="71" t="s">
        <v>165</v>
      </c>
      <c r="D1112" s="79">
        <v>31.5</v>
      </c>
      <c r="F1112" s="79">
        <v>31.5</v>
      </c>
      <c r="G1112" s="81"/>
      <c r="N1112" s="133"/>
      <c r="O1112" s="241"/>
      <c r="P1112" s="213"/>
    </row>
    <row r="1113" spans="1:16" ht="24">
      <c r="A1113" s="261" t="s">
        <v>2048</v>
      </c>
      <c r="B1113" s="261" t="s">
        <v>2049</v>
      </c>
      <c r="C1113" s="266" t="s">
        <v>103</v>
      </c>
      <c r="D1113" s="79">
        <v>114.87</v>
      </c>
      <c r="F1113" s="518">
        <v>114.87</v>
      </c>
    </row>
    <row r="1114" spans="1:16" ht="12">
      <c r="A1114" s="83" t="s">
        <v>2050</v>
      </c>
      <c r="B1114" s="257" t="s">
        <v>29797</v>
      </c>
      <c r="C1114" s="258" t="s">
        <v>509</v>
      </c>
      <c r="D1114" s="79">
        <v>85.14</v>
      </c>
      <c r="F1114" s="79">
        <v>85.14</v>
      </c>
      <c r="G1114" s="81"/>
      <c r="N1114" s="240"/>
      <c r="O1114" s="241"/>
      <c r="P1114" s="213"/>
    </row>
    <row r="1115" spans="1:16" ht="12">
      <c r="A1115" s="83" t="s">
        <v>2051</v>
      </c>
      <c r="B1115" s="257" t="s">
        <v>29798</v>
      </c>
      <c r="C1115" s="258" t="s">
        <v>165</v>
      </c>
      <c r="D1115" s="79">
        <v>20.55</v>
      </c>
      <c r="F1115" s="79">
        <v>20.55</v>
      </c>
      <c r="G1115" s="81"/>
      <c r="N1115" s="240"/>
      <c r="O1115" s="241"/>
      <c r="P1115" s="213"/>
    </row>
    <row r="1116" spans="1:16" ht="12">
      <c r="A1116" s="83" t="s">
        <v>2052</v>
      </c>
      <c r="B1116" s="257" t="s">
        <v>2053</v>
      </c>
      <c r="C1116" s="258" t="s">
        <v>165</v>
      </c>
      <c r="D1116" s="79">
        <v>202.4</v>
      </c>
      <c r="F1116" s="79">
        <v>202.4</v>
      </c>
      <c r="G1116" s="81"/>
      <c r="N1116" s="240"/>
      <c r="O1116" s="241"/>
      <c r="P1116" s="213"/>
    </row>
    <row r="1117" spans="1:16" ht="24">
      <c r="A1117" s="83" t="s">
        <v>2054</v>
      </c>
      <c r="B1117" s="257" t="s">
        <v>2055</v>
      </c>
      <c r="C1117" s="258" t="s">
        <v>509</v>
      </c>
      <c r="D1117" s="79">
        <v>102.26</v>
      </c>
      <c r="F1117" s="79">
        <v>102.26</v>
      </c>
      <c r="G1117" s="81"/>
      <c r="N1117" s="240"/>
      <c r="O1117" s="241"/>
      <c r="P1117" s="213"/>
    </row>
    <row r="1118" spans="1:16" ht="12">
      <c r="A1118" s="83" t="s">
        <v>2056</v>
      </c>
      <c r="B1118" s="257" t="s">
        <v>2057</v>
      </c>
      <c r="C1118" s="258" t="s">
        <v>165</v>
      </c>
      <c r="D1118" s="79">
        <v>53.27</v>
      </c>
      <c r="F1118" s="79">
        <v>53.27</v>
      </c>
      <c r="G1118" s="81"/>
      <c r="N1118" s="240"/>
      <c r="O1118" s="241"/>
      <c r="P1118" s="213"/>
    </row>
    <row r="1119" spans="1:16" ht="24">
      <c r="A1119" s="83" t="s">
        <v>2058</v>
      </c>
      <c r="B1119" s="257" t="s">
        <v>42062</v>
      </c>
      <c r="C1119" s="258" t="s">
        <v>509</v>
      </c>
      <c r="D1119" s="79">
        <v>358.9</v>
      </c>
      <c r="F1119" s="79">
        <v>358.9</v>
      </c>
      <c r="G1119" s="81"/>
      <c r="N1119" s="240"/>
      <c r="O1119" s="241"/>
      <c r="P1119" s="213"/>
    </row>
    <row r="1120" spans="1:16" ht="24">
      <c r="A1120" s="83" t="s">
        <v>2059</v>
      </c>
      <c r="B1120" s="257" t="s">
        <v>2060</v>
      </c>
      <c r="C1120" s="258" t="s">
        <v>509</v>
      </c>
      <c r="D1120" s="79">
        <v>423.05</v>
      </c>
      <c r="F1120" s="79">
        <v>423.05</v>
      </c>
      <c r="G1120" s="81"/>
      <c r="N1120" s="240"/>
      <c r="O1120" s="241"/>
      <c r="P1120" s="213"/>
    </row>
    <row r="1121" spans="1:16" ht="12">
      <c r="A1121" s="83" t="s">
        <v>2061</v>
      </c>
      <c r="B1121" s="257" t="s">
        <v>2062</v>
      </c>
      <c r="C1121" s="258" t="s">
        <v>165</v>
      </c>
      <c r="D1121" s="79">
        <v>8.73</v>
      </c>
      <c r="F1121" s="79">
        <v>8.73</v>
      </c>
      <c r="G1121" s="81"/>
      <c r="N1121" s="240"/>
      <c r="O1121" s="241"/>
      <c r="P1121" s="213"/>
    </row>
    <row r="1122" spans="1:16" ht="12">
      <c r="A1122" s="83" t="s">
        <v>2063</v>
      </c>
      <c r="B1122" s="257" t="s">
        <v>2064</v>
      </c>
      <c r="C1122" s="258" t="s">
        <v>165</v>
      </c>
      <c r="D1122" s="79">
        <v>14.06</v>
      </c>
      <c r="F1122" s="79">
        <v>14.06</v>
      </c>
      <c r="G1122" s="81"/>
      <c r="N1122" s="240"/>
      <c r="O1122" s="241"/>
      <c r="P1122" s="213"/>
    </row>
    <row r="1123" spans="1:16" ht="24">
      <c r="A1123" s="83" t="s">
        <v>2065</v>
      </c>
      <c r="B1123" s="257" t="s">
        <v>2066</v>
      </c>
      <c r="C1123" s="258" t="s">
        <v>165</v>
      </c>
      <c r="D1123" s="79">
        <v>29.14</v>
      </c>
      <c r="F1123" s="79">
        <v>29.14</v>
      </c>
      <c r="G1123" s="81"/>
      <c r="N1123" s="240"/>
      <c r="O1123" s="241"/>
      <c r="P1123" s="213"/>
    </row>
    <row r="1124" spans="1:16" ht="24">
      <c r="A1124" s="83" t="s">
        <v>2067</v>
      </c>
      <c r="B1124" s="257" t="s">
        <v>2068</v>
      </c>
      <c r="C1124" s="258" t="s">
        <v>165</v>
      </c>
      <c r="D1124" s="79">
        <v>28.53</v>
      </c>
      <c r="F1124" s="79">
        <v>28.53</v>
      </c>
      <c r="G1124" s="81"/>
      <c r="N1124" s="240"/>
      <c r="O1124" s="241"/>
      <c r="P1124" s="213"/>
    </row>
    <row r="1125" spans="1:16" ht="24">
      <c r="A1125" s="83" t="s">
        <v>2069</v>
      </c>
      <c r="B1125" s="257" t="s">
        <v>29799</v>
      </c>
      <c r="C1125" s="258" t="s">
        <v>509</v>
      </c>
      <c r="D1125" s="79">
        <v>113.27</v>
      </c>
      <c r="F1125" s="79">
        <v>113.27</v>
      </c>
      <c r="G1125" s="81"/>
      <c r="N1125" s="240"/>
      <c r="O1125" s="241"/>
      <c r="P1125" s="213"/>
    </row>
    <row r="1126" spans="1:16" ht="24">
      <c r="A1126" s="83" t="s">
        <v>2070</v>
      </c>
      <c r="B1126" s="257" t="s">
        <v>2071</v>
      </c>
      <c r="C1126" s="258" t="s">
        <v>509</v>
      </c>
      <c r="D1126" s="79">
        <v>196.13</v>
      </c>
      <c r="F1126" s="79">
        <v>196.13</v>
      </c>
      <c r="G1126" s="81"/>
      <c r="N1126" s="240"/>
      <c r="O1126" s="241"/>
      <c r="P1126" s="213"/>
    </row>
    <row r="1127" spans="1:16" ht="24">
      <c r="A1127" s="83" t="s">
        <v>2072</v>
      </c>
      <c r="B1127" s="257" t="s">
        <v>2073</v>
      </c>
      <c r="C1127" s="258" t="s">
        <v>509</v>
      </c>
      <c r="D1127" s="79">
        <v>226.12</v>
      </c>
      <c r="F1127" s="79">
        <v>226.12</v>
      </c>
      <c r="G1127" s="81"/>
      <c r="N1127" s="240"/>
      <c r="O1127" s="241"/>
      <c r="P1127" s="213"/>
    </row>
    <row r="1128" spans="1:16" ht="24">
      <c r="A1128" s="83" t="s">
        <v>2074</v>
      </c>
      <c r="B1128" s="257" t="s">
        <v>2075</v>
      </c>
      <c r="C1128" s="258" t="s">
        <v>509</v>
      </c>
      <c r="D1128" s="79">
        <v>311.06</v>
      </c>
      <c r="F1128" s="79">
        <v>311.06</v>
      </c>
      <c r="G1128" s="81"/>
      <c r="N1128" s="240"/>
      <c r="O1128" s="241"/>
      <c r="P1128" s="213"/>
    </row>
    <row r="1129" spans="1:16" ht="24">
      <c r="A1129" s="83" t="s">
        <v>2076</v>
      </c>
      <c r="B1129" s="257" t="s">
        <v>2077</v>
      </c>
      <c r="C1129" s="258" t="s">
        <v>509</v>
      </c>
      <c r="D1129" s="79">
        <v>205.33</v>
      </c>
      <c r="F1129" s="79">
        <v>205.33</v>
      </c>
      <c r="G1129" s="81"/>
      <c r="N1129" s="240"/>
      <c r="O1129" s="241"/>
      <c r="P1129" s="213"/>
    </row>
    <row r="1130" spans="1:16" ht="24">
      <c r="A1130" s="83" t="s">
        <v>2078</v>
      </c>
      <c r="B1130" s="257" t="s">
        <v>42063</v>
      </c>
      <c r="C1130" s="258" t="s">
        <v>509</v>
      </c>
      <c r="D1130" s="79">
        <v>243.31</v>
      </c>
      <c r="F1130" s="79">
        <v>243.31</v>
      </c>
      <c r="G1130" s="81"/>
      <c r="N1130" s="240"/>
      <c r="O1130" s="241"/>
      <c r="P1130" s="213"/>
    </row>
    <row r="1131" spans="1:16" ht="24">
      <c r="A1131" s="83" t="s">
        <v>2079</v>
      </c>
      <c r="B1131" s="257" t="s">
        <v>28147</v>
      </c>
      <c r="C1131" s="258" t="s">
        <v>509</v>
      </c>
      <c r="D1131" s="79">
        <v>106.66</v>
      </c>
      <c r="F1131" s="79">
        <v>106.66</v>
      </c>
      <c r="G1131" s="81"/>
      <c r="N1131" s="240"/>
      <c r="O1131" s="241"/>
      <c r="P1131" s="213"/>
    </row>
    <row r="1132" spans="1:16" ht="12">
      <c r="A1132" s="83" t="s">
        <v>2080</v>
      </c>
      <c r="B1132" s="257" t="s">
        <v>42064</v>
      </c>
      <c r="C1132" s="258" t="s">
        <v>509</v>
      </c>
      <c r="D1132" s="79">
        <v>70.489999999999995</v>
      </c>
      <c r="F1132" s="79">
        <v>70.489999999999995</v>
      </c>
      <c r="G1132" s="81"/>
      <c r="N1132" s="240"/>
      <c r="O1132" s="241"/>
      <c r="P1132" s="213"/>
    </row>
    <row r="1133" spans="1:16" ht="24">
      <c r="A1133" s="83" t="s">
        <v>2081</v>
      </c>
      <c r="B1133" s="257" t="s">
        <v>28148</v>
      </c>
      <c r="C1133" s="258" t="s">
        <v>509</v>
      </c>
      <c r="D1133" s="79">
        <v>116.86</v>
      </c>
      <c r="F1133" s="79">
        <v>116.86</v>
      </c>
      <c r="G1133" s="81"/>
      <c r="N1133" s="240"/>
      <c r="O1133" s="241"/>
      <c r="P1133" s="213"/>
    </row>
    <row r="1134" spans="1:16" ht="24">
      <c r="A1134" s="83" t="s">
        <v>2082</v>
      </c>
      <c r="B1134" s="257" t="s">
        <v>28149</v>
      </c>
      <c r="C1134" s="258" t="s">
        <v>509</v>
      </c>
      <c r="D1134" s="79">
        <v>176.84</v>
      </c>
      <c r="F1134" s="79">
        <v>176.84</v>
      </c>
      <c r="G1134" s="81"/>
      <c r="N1134" s="240"/>
      <c r="O1134" s="241"/>
      <c r="P1134" s="213"/>
    </row>
    <row r="1135" spans="1:16" ht="24">
      <c r="A1135" s="83" t="s">
        <v>2083</v>
      </c>
      <c r="B1135" s="257" t="s">
        <v>29800</v>
      </c>
      <c r="C1135" s="258" t="s">
        <v>509</v>
      </c>
      <c r="D1135" s="79">
        <v>203.29</v>
      </c>
      <c r="F1135" s="79">
        <v>203.29</v>
      </c>
      <c r="G1135" s="81"/>
      <c r="N1135" s="240"/>
      <c r="O1135" s="241"/>
      <c r="P1135" s="213"/>
    </row>
    <row r="1136" spans="1:16" ht="24">
      <c r="A1136" s="83" t="s">
        <v>2084</v>
      </c>
      <c r="B1136" s="257" t="s">
        <v>29801</v>
      </c>
      <c r="C1136" s="258" t="s">
        <v>509</v>
      </c>
      <c r="D1136" s="79">
        <v>157.06</v>
      </c>
      <c r="F1136" s="79">
        <v>157.06</v>
      </c>
      <c r="G1136" s="81"/>
      <c r="N1136" s="240"/>
      <c r="O1136" s="241"/>
      <c r="P1136" s="213"/>
    </row>
    <row r="1137" spans="1:16" ht="36">
      <c r="A1137" s="83" t="s">
        <v>2085</v>
      </c>
      <c r="B1137" s="257" t="s">
        <v>29802</v>
      </c>
      <c r="C1137" s="258" t="s">
        <v>509</v>
      </c>
      <c r="D1137" s="79">
        <v>226.63</v>
      </c>
      <c r="F1137" s="79">
        <v>226.63</v>
      </c>
      <c r="G1137" s="81"/>
      <c r="N1137" s="240"/>
      <c r="O1137" s="241"/>
      <c r="P1137" s="213"/>
    </row>
    <row r="1138" spans="1:16" ht="24">
      <c r="A1138" s="83" t="s">
        <v>2086</v>
      </c>
      <c r="B1138" s="257" t="s">
        <v>28150</v>
      </c>
      <c r="C1138" s="258" t="s">
        <v>509</v>
      </c>
      <c r="D1138" s="79">
        <v>171.39</v>
      </c>
      <c r="F1138" s="79">
        <v>171.39</v>
      </c>
      <c r="G1138" s="81"/>
      <c r="N1138" s="240"/>
      <c r="O1138" s="241"/>
      <c r="P1138" s="213"/>
    </row>
    <row r="1139" spans="1:16" ht="12">
      <c r="A1139" s="83" t="s">
        <v>2087</v>
      </c>
      <c r="B1139" s="257" t="s">
        <v>29803</v>
      </c>
      <c r="C1139" s="258" t="s">
        <v>165</v>
      </c>
      <c r="D1139" s="79">
        <v>11.3</v>
      </c>
      <c r="F1139" s="79">
        <v>11.3</v>
      </c>
      <c r="G1139" s="81"/>
      <c r="N1139" s="240"/>
      <c r="O1139" s="241"/>
      <c r="P1139" s="213"/>
    </row>
    <row r="1140" spans="1:16" ht="24">
      <c r="A1140" s="83" t="s">
        <v>2088</v>
      </c>
      <c r="B1140" s="257" t="s">
        <v>29804</v>
      </c>
      <c r="C1140" s="258" t="s">
        <v>509</v>
      </c>
      <c r="D1140" s="79">
        <v>750.68</v>
      </c>
      <c r="F1140" s="79">
        <v>750.68</v>
      </c>
      <c r="G1140" s="81"/>
      <c r="N1140" s="240"/>
      <c r="O1140" s="241"/>
      <c r="P1140" s="213"/>
    </row>
    <row r="1141" spans="1:16" ht="24">
      <c r="A1141" s="83" t="s">
        <v>2089</v>
      </c>
      <c r="B1141" s="257" t="s">
        <v>2090</v>
      </c>
      <c r="C1141" s="258" t="s">
        <v>103</v>
      </c>
      <c r="D1141" s="79">
        <v>6984.26</v>
      </c>
      <c r="F1141" s="79">
        <v>6984.26</v>
      </c>
      <c r="G1141" s="81"/>
      <c r="N1141" s="240"/>
      <c r="O1141" s="241"/>
      <c r="P1141" s="213"/>
    </row>
    <row r="1142" spans="1:16" ht="24">
      <c r="A1142" s="83" t="s">
        <v>2091</v>
      </c>
      <c r="B1142" s="257" t="s">
        <v>2092</v>
      </c>
      <c r="C1142" s="258" t="s">
        <v>103</v>
      </c>
      <c r="D1142" s="79">
        <v>15132.75</v>
      </c>
      <c r="F1142" s="79">
        <v>15132.75</v>
      </c>
      <c r="G1142" s="81"/>
      <c r="N1142" s="240"/>
      <c r="O1142" s="241"/>
      <c r="P1142" s="213"/>
    </row>
    <row r="1143" spans="1:16" ht="24">
      <c r="A1143" s="256" t="s">
        <v>2093</v>
      </c>
      <c r="B1143" s="64" t="s">
        <v>2094</v>
      </c>
      <c r="C1143" s="71" t="s">
        <v>509</v>
      </c>
      <c r="D1143" s="79">
        <v>0.54</v>
      </c>
      <c r="F1143" s="79">
        <v>0.54</v>
      </c>
    </row>
    <row r="1144" spans="1:16" ht="24">
      <c r="A1144" s="83" t="s">
        <v>2095</v>
      </c>
      <c r="B1144" s="257" t="s">
        <v>28151</v>
      </c>
      <c r="C1144" s="258" t="s">
        <v>509</v>
      </c>
      <c r="D1144" s="79">
        <v>80.98</v>
      </c>
      <c r="F1144" s="79">
        <v>80.98</v>
      </c>
      <c r="G1144" s="81"/>
      <c r="N1144" s="240"/>
      <c r="O1144" s="241"/>
      <c r="P1144" s="213"/>
    </row>
    <row r="1145" spans="1:16" ht="12">
      <c r="A1145" s="83" t="s">
        <v>2096</v>
      </c>
      <c r="B1145" s="257" t="s">
        <v>2097</v>
      </c>
      <c r="C1145" s="258" t="s">
        <v>509</v>
      </c>
      <c r="D1145" s="79">
        <v>7.9</v>
      </c>
      <c r="F1145" s="79">
        <v>7.9</v>
      </c>
      <c r="G1145" s="81"/>
      <c r="N1145" s="240"/>
      <c r="O1145" s="241"/>
      <c r="P1145" s="213"/>
    </row>
    <row r="1146" spans="1:16" ht="12">
      <c r="A1146" s="83" t="s">
        <v>2098</v>
      </c>
      <c r="B1146" s="257" t="s">
        <v>2099</v>
      </c>
      <c r="C1146" s="258" t="s">
        <v>103</v>
      </c>
      <c r="D1146" s="79">
        <v>2.23</v>
      </c>
      <c r="F1146" s="79">
        <v>2.23</v>
      </c>
      <c r="G1146" s="81"/>
      <c r="N1146" s="240"/>
      <c r="O1146" s="241"/>
      <c r="P1146" s="213"/>
    </row>
    <row r="1147" spans="1:16" ht="12">
      <c r="A1147" s="83" t="s">
        <v>2100</v>
      </c>
      <c r="B1147" s="257" t="s">
        <v>2101</v>
      </c>
      <c r="C1147" s="258" t="s">
        <v>121</v>
      </c>
      <c r="D1147" s="79">
        <v>298.89999999999998</v>
      </c>
      <c r="F1147" s="79">
        <v>298.89999999999998</v>
      </c>
      <c r="G1147" s="81"/>
      <c r="N1147" s="240"/>
      <c r="O1147" s="241"/>
      <c r="P1147" s="213"/>
    </row>
    <row r="1148" spans="1:16" ht="12">
      <c r="A1148" s="83" t="s">
        <v>2102</v>
      </c>
      <c r="B1148" s="257" t="s">
        <v>2103</v>
      </c>
      <c r="C1148" s="258" t="s">
        <v>121</v>
      </c>
      <c r="D1148" s="79">
        <v>184.22</v>
      </c>
      <c r="F1148" s="79">
        <v>184.22</v>
      </c>
      <c r="G1148" s="81"/>
      <c r="N1148" s="240"/>
      <c r="O1148" s="241"/>
      <c r="P1148" s="213"/>
    </row>
    <row r="1149" spans="1:16" ht="12">
      <c r="A1149" s="83" t="s">
        <v>2104</v>
      </c>
      <c r="B1149" s="257" t="s">
        <v>2105</v>
      </c>
      <c r="C1149" s="258" t="s">
        <v>509</v>
      </c>
      <c r="D1149" s="79">
        <v>12.42</v>
      </c>
      <c r="F1149" s="79">
        <v>12.42</v>
      </c>
      <c r="G1149" s="81"/>
      <c r="N1149" s="240"/>
      <c r="O1149" s="241"/>
      <c r="P1149" s="213"/>
    </row>
    <row r="1150" spans="1:16" ht="12">
      <c r="A1150" s="83" t="s">
        <v>2106</v>
      </c>
      <c r="B1150" s="257" t="s">
        <v>2107</v>
      </c>
      <c r="C1150" s="258" t="s">
        <v>103</v>
      </c>
      <c r="D1150" s="79">
        <v>29.24</v>
      </c>
      <c r="F1150" s="79">
        <v>29.24</v>
      </c>
      <c r="G1150" s="81"/>
      <c r="N1150" s="240"/>
      <c r="O1150" s="241"/>
      <c r="P1150" s="213"/>
    </row>
    <row r="1151" spans="1:16" ht="12">
      <c r="A1151" s="83" t="s">
        <v>2108</v>
      </c>
      <c r="B1151" s="257" t="s">
        <v>2109</v>
      </c>
      <c r="C1151" s="258" t="s">
        <v>103</v>
      </c>
      <c r="D1151" s="79">
        <v>110.43</v>
      </c>
      <c r="F1151" s="79">
        <v>110.43</v>
      </c>
      <c r="G1151" s="81"/>
      <c r="N1151" s="240"/>
      <c r="O1151" s="241"/>
      <c r="P1151" s="213"/>
    </row>
    <row r="1152" spans="1:16" ht="12">
      <c r="A1152" s="83" t="s">
        <v>2110</v>
      </c>
      <c r="B1152" s="257" t="s">
        <v>2111</v>
      </c>
      <c r="C1152" s="258" t="s">
        <v>509</v>
      </c>
      <c r="D1152" s="79">
        <v>16.43</v>
      </c>
      <c r="F1152" s="79">
        <v>16.43</v>
      </c>
      <c r="G1152" s="81"/>
      <c r="N1152" s="240"/>
      <c r="O1152" s="241"/>
      <c r="P1152" s="213"/>
    </row>
    <row r="1153" spans="1:16" ht="12">
      <c r="A1153" s="83" t="s">
        <v>2112</v>
      </c>
      <c r="B1153" s="257" t="s">
        <v>2113</v>
      </c>
      <c r="C1153" s="258" t="s">
        <v>103</v>
      </c>
      <c r="D1153" s="79">
        <v>193.37</v>
      </c>
      <c r="F1153" s="79">
        <v>193.37</v>
      </c>
      <c r="G1153" s="81"/>
      <c r="N1153" s="240"/>
      <c r="O1153" s="241"/>
      <c r="P1153" s="213"/>
    </row>
    <row r="1154" spans="1:16" ht="12">
      <c r="A1154" s="83" t="s">
        <v>2114</v>
      </c>
      <c r="B1154" s="257" t="s">
        <v>2115</v>
      </c>
      <c r="C1154" s="258" t="s">
        <v>103</v>
      </c>
      <c r="D1154" s="79">
        <v>37.19</v>
      </c>
      <c r="F1154" s="79">
        <v>37.19</v>
      </c>
      <c r="G1154" s="81"/>
      <c r="N1154" s="240"/>
      <c r="O1154" s="241"/>
      <c r="P1154" s="213"/>
    </row>
    <row r="1155" spans="1:16" ht="12">
      <c r="A1155" s="83" t="s">
        <v>2116</v>
      </c>
      <c r="B1155" s="257" t="s">
        <v>2117</v>
      </c>
      <c r="C1155" s="258" t="s">
        <v>103</v>
      </c>
      <c r="D1155" s="79">
        <v>46.37</v>
      </c>
      <c r="F1155" s="79">
        <v>46.37</v>
      </c>
      <c r="G1155" s="81"/>
      <c r="N1155" s="240"/>
      <c r="O1155" s="241"/>
      <c r="P1155" s="213"/>
    </row>
    <row r="1156" spans="1:16" ht="12">
      <c r="A1156" s="83" t="s">
        <v>2118</v>
      </c>
      <c r="B1156" s="257" t="s">
        <v>2119</v>
      </c>
      <c r="C1156" s="258" t="s">
        <v>103</v>
      </c>
      <c r="D1156" s="79">
        <v>61.56</v>
      </c>
      <c r="F1156" s="79">
        <v>61.56</v>
      </c>
      <c r="G1156" s="81"/>
      <c r="N1156" s="240"/>
      <c r="O1156" s="241"/>
      <c r="P1156" s="213"/>
    </row>
    <row r="1157" spans="1:16" ht="12">
      <c r="A1157" s="83" t="s">
        <v>2120</v>
      </c>
      <c r="B1157" s="257" t="s">
        <v>2121</v>
      </c>
      <c r="C1157" s="258" t="s">
        <v>103</v>
      </c>
      <c r="D1157" s="79">
        <v>5.77</v>
      </c>
      <c r="F1157" s="79">
        <v>5.77</v>
      </c>
      <c r="G1157" s="81"/>
      <c r="N1157" s="240"/>
      <c r="O1157" s="241"/>
      <c r="P1157" s="213"/>
    </row>
    <row r="1158" spans="1:16" ht="12">
      <c r="A1158" s="83" t="s">
        <v>2122</v>
      </c>
      <c r="B1158" s="257" t="s">
        <v>2123</v>
      </c>
      <c r="C1158" s="258" t="s">
        <v>103</v>
      </c>
      <c r="D1158" s="79">
        <v>18.690000000000001</v>
      </c>
      <c r="F1158" s="79">
        <v>18.690000000000001</v>
      </c>
      <c r="G1158" s="81"/>
      <c r="N1158" s="240"/>
      <c r="O1158" s="241"/>
      <c r="P1158" s="213"/>
    </row>
    <row r="1159" spans="1:16" ht="12">
      <c r="A1159" s="83" t="s">
        <v>2124</v>
      </c>
      <c r="B1159" s="257" t="s">
        <v>2125</v>
      </c>
      <c r="C1159" s="258" t="s">
        <v>103</v>
      </c>
      <c r="D1159" s="79">
        <v>33.42</v>
      </c>
      <c r="F1159" s="79">
        <v>33.42</v>
      </c>
      <c r="G1159" s="81"/>
      <c r="N1159" s="240"/>
      <c r="O1159" s="241"/>
      <c r="P1159" s="213"/>
    </row>
    <row r="1160" spans="1:16" ht="12">
      <c r="A1160" s="83" t="s">
        <v>2126</v>
      </c>
      <c r="B1160" s="257" t="s">
        <v>2127</v>
      </c>
      <c r="C1160" s="258" t="s">
        <v>103</v>
      </c>
      <c r="D1160" s="79">
        <v>2.02</v>
      </c>
      <c r="F1160" s="79">
        <v>2.02</v>
      </c>
      <c r="G1160" s="81"/>
      <c r="N1160" s="240"/>
      <c r="O1160" s="241"/>
      <c r="P1160" s="213"/>
    </row>
    <row r="1161" spans="1:16" ht="12">
      <c r="A1161" s="83" t="s">
        <v>2128</v>
      </c>
      <c r="B1161" s="257" t="s">
        <v>2129</v>
      </c>
      <c r="C1161" s="258" t="s">
        <v>103</v>
      </c>
      <c r="D1161" s="79">
        <v>108.34</v>
      </c>
      <c r="F1161" s="79">
        <v>108.34</v>
      </c>
      <c r="G1161" s="81"/>
      <c r="N1161" s="240"/>
      <c r="O1161" s="241"/>
      <c r="P1161" s="213"/>
    </row>
    <row r="1162" spans="1:16" ht="12">
      <c r="A1162" s="83" t="s">
        <v>2130</v>
      </c>
      <c r="B1162" s="257" t="s">
        <v>2131</v>
      </c>
      <c r="C1162" s="258" t="s">
        <v>103</v>
      </c>
      <c r="D1162" s="79">
        <v>362.58</v>
      </c>
      <c r="F1162" s="79">
        <v>362.58</v>
      </c>
      <c r="G1162" s="81"/>
      <c r="N1162" s="240"/>
      <c r="O1162" s="241"/>
      <c r="P1162" s="213"/>
    </row>
    <row r="1163" spans="1:16" ht="12">
      <c r="A1163" s="83" t="s">
        <v>2132</v>
      </c>
      <c r="B1163" s="257" t="s">
        <v>2133</v>
      </c>
      <c r="C1163" s="258" t="s">
        <v>103</v>
      </c>
      <c r="D1163" s="79">
        <v>306.14999999999998</v>
      </c>
      <c r="F1163" s="79">
        <v>306.14999999999998</v>
      </c>
      <c r="G1163" s="81"/>
      <c r="N1163" s="240"/>
      <c r="O1163" s="241"/>
      <c r="P1163" s="213"/>
    </row>
    <row r="1164" spans="1:16" ht="12">
      <c r="A1164" s="83" t="s">
        <v>2134</v>
      </c>
      <c r="B1164" s="257" t="s">
        <v>2135</v>
      </c>
      <c r="C1164" s="258" t="s">
        <v>396</v>
      </c>
      <c r="D1164" s="79">
        <v>5454.91</v>
      </c>
      <c r="F1164" s="79">
        <v>5454.91</v>
      </c>
      <c r="G1164" s="81"/>
      <c r="N1164" s="240"/>
      <c r="O1164" s="241"/>
      <c r="P1164" s="213"/>
    </row>
    <row r="1165" spans="1:16" ht="12">
      <c r="A1165" s="83" t="s">
        <v>2136</v>
      </c>
      <c r="B1165" s="257" t="s">
        <v>2137</v>
      </c>
      <c r="C1165" s="258" t="s">
        <v>396</v>
      </c>
      <c r="D1165" s="79">
        <v>2906.65</v>
      </c>
      <c r="F1165" s="79">
        <v>2906.65</v>
      </c>
      <c r="G1165" s="81"/>
      <c r="N1165" s="240"/>
      <c r="O1165" s="241"/>
      <c r="P1165" s="213"/>
    </row>
    <row r="1166" spans="1:16" ht="12">
      <c r="A1166" s="83" t="s">
        <v>2138</v>
      </c>
      <c r="B1166" s="257" t="s">
        <v>2139</v>
      </c>
      <c r="C1166" s="258" t="s">
        <v>396</v>
      </c>
      <c r="D1166" s="79">
        <v>1689.93</v>
      </c>
      <c r="F1166" s="79">
        <v>1689.93</v>
      </c>
      <c r="G1166" s="81"/>
      <c r="N1166" s="240"/>
      <c r="O1166" s="241"/>
      <c r="P1166" s="213"/>
    </row>
    <row r="1167" spans="1:16" ht="12">
      <c r="A1167" s="83" t="s">
        <v>2140</v>
      </c>
      <c r="B1167" s="257" t="s">
        <v>2141</v>
      </c>
      <c r="C1167" s="258" t="s">
        <v>396</v>
      </c>
      <c r="D1167" s="79">
        <v>3794.54</v>
      </c>
      <c r="F1167" s="79">
        <v>3794.54</v>
      </c>
      <c r="G1167" s="81"/>
      <c r="N1167" s="240"/>
      <c r="O1167" s="241"/>
      <c r="P1167" s="213"/>
    </row>
    <row r="1168" spans="1:16" ht="24">
      <c r="A1168" s="83" t="s">
        <v>2142</v>
      </c>
      <c r="B1168" s="257" t="s">
        <v>2143</v>
      </c>
      <c r="C1168" s="258" t="s">
        <v>103</v>
      </c>
      <c r="D1168" s="79">
        <v>991.96</v>
      </c>
      <c r="F1168" s="79">
        <v>991.96</v>
      </c>
      <c r="G1168" s="81"/>
      <c r="N1168" s="240"/>
      <c r="O1168" s="241"/>
      <c r="P1168" s="213"/>
    </row>
    <row r="1169" spans="1:16" ht="24">
      <c r="A1169" s="83" t="s">
        <v>2144</v>
      </c>
      <c r="B1169" s="257" t="s">
        <v>2145</v>
      </c>
      <c r="C1169" s="258" t="s">
        <v>103</v>
      </c>
      <c r="D1169" s="79">
        <v>895.11</v>
      </c>
      <c r="F1169" s="79">
        <v>895.11</v>
      </c>
      <c r="G1169" s="81"/>
      <c r="N1169" s="240"/>
      <c r="O1169" s="241"/>
      <c r="P1169" s="213"/>
    </row>
    <row r="1170" spans="1:16" ht="12">
      <c r="A1170" s="83" t="s">
        <v>2146</v>
      </c>
      <c r="B1170" s="257" t="s">
        <v>29805</v>
      </c>
      <c r="C1170" s="258" t="s">
        <v>103</v>
      </c>
      <c r="D1170" s="79">
        <v>210.39</v>
      </c>
      <c r="F1170" s="79">
        <v>210.39</v>
      </c>
      <c r="G1170" s="81"/>
      <c r="N1170" s="240"/>
      <c r="O1170" s="241"/>
      <c r="P1170" s="213"/>
    </row>
    <row r="1171" spans="1:16" ht="12">
      <c r="A1171" s="83" t="s">
        <v>2147</v>
      </c>
      <c r="B1171" s="257" t="s">
        <v>2148</v>
      </c>
      <c r="C1171" s="258" t="s">
        <v>103</v>
      </c>
      <c r="D1171" s="79">
        <v>106.57</v>
      </c>
      <c r="F1171" s="79">
        <v>106.57</v>
      </c>
      <c r="G1171" s="81"/>
      <c r="N1171" s="240"/>
      <c r="O1171" s="241"/>
      <c r="P1171" s="213"/>
    </row>
    <row r="1172" spans="1:16" ht="24">
      <c r="A1172" s="261" t="s">
        <v>2149</v>
      </c>
      <c r="B1172" s="261" t="s">
        <v>2150</v>
      </c>
      <c r="C1172" s="266" t="s">
        <v>509</v>
      </c>
      <c r="D1172" s="79">
        <v>2918.42</v>
      </c>
      <c r="F1172" s="518">
        <v>2918.42</v>
      </c>
      <c r="N1172" s="133"/>
      <c r="O1172" s="236"/>
    </row>
    <row r="1173" spans="1:16" ht="36">
      <c r="A1173" s="83" t="s">
        <v>2151</v>
      </c>
      <c r="B1173" s="257" t="s">
        <v>2152</v>
      </c>
      <c r="C1173" s="258" t="s">
        <v>103</v>
      </c>
      <c r="D1173" s="79">
        <v>15.05</v>
      </c>
      <c r="F1173" s="79">
        <v>15.05</v>
      </c>
      <c r="G1173" s="81"/>
      <c r="N1173" s="240"/>
      <c r="O1173" s="241"/>
      <c r="P1173" s="213"/>
    </row>
    <row r="1174" spans="1:16" ht="24">
      <c r="A1174" s="83" t="s">
        <v>2153</v>
      </c>
      <c r="B1174" s="257" t="s">
        <v>2154</v>
      </c>
      <c r="C1174" s="258" t="s">
        <v>103</v>
      </c>
      <c r="D1174" s="79">
        <v>11.24</v>
      </c>
      <c r="F1174" s="79">
        <v>11.24</v>
      </c>
      <c r="G1174" s="81"/>
      <c r="N1174" s="240"/>
      <c r="O1174" s="241"/>
      <c r="P1174" s="213"/>
    </row>
    <row r="1175" spans="1:16" ht="24">
      <c r="A1175" s="83" t="s">
        <v>2155</v>
      </c>
      <c r="B1175" s="257" t="s">
        <v>2156</v>
      </c>
      <c r="C1175" s="258" t="s">
        <v>103</v>
      </c>
      <c r="D1175" s="79">
        <v>18.8</v>
      </c>
      <c r="F1175" s="79">
        <v>18.8</v>
      </c>
      <c r="G1175" s="81"/>
      <c r="N1175" s="240"/>
      <c r="O1175" s="241"/>
      <c r="P1175" s="213"/>
    </row>
    <row r="1176" spans="1:16" ht="24">
      <c r="A1176" s="83" t="s">
        <v>2157</v>
      </c>
      <c r="B1176" s="257" t="s">
        <v>2158</v>
      </c>
      <c r="C1176" s="258" t="s">
        <v>103</v>
      </c>
      <c r="D1176" s="79">
        <v>11.67</v>
      </c>
      <c r="F1176" s="79">
        <v>11.67</v>
      </c>
      <c r="G1176" s="81"/>
      <c r="N1176" s="240"/>
      <c r="O1176" s="241"/>
      <c r="P1176" s="213"/>
    </row>
    <row r="1177" spans="1:16" ht="24">
      <c r="A1177" s="83" t="s">
        <v>2159</v>
      </c>
      <c r="B1177" s="257" t="s">
        <v>2160</v>
      </c>
      <c r="C1177" s="258" t="s">
        <v>103</v>
      </c>
      <c r="D1177" s="79">
        <v>22.88</v>
      </c>
      <c r="F1177" s="79">
        <v>22.88</v>
      </c>
      <c r="G1177" s="81"/>
      <c r="N1177" s="240"/>
      <c r="O1177" s="241"/>
      <c r="P1177" s="213"/>
    </row>
    <row r="1178" spans="1:16" ht="24">
      <c r="A1178" s="83" t="s">
        <v>2161</v>
      </c>
      <c r="B1178" s="257" t="s">
        <v>2162</v>
      </c>
      <c r="C1178" s="258" t="s">
        <v>103</v>
      </c>
      <c r="D1178" s="79">
        <v>8.2799999999999994</v>
      </c>
      <c r="F1178" s="79">
        <v>8.2799999999999994</v>
      </c>
      <c r="G1178" s="81"/>
      <c r="N1178" s="240"/>
      <c r="O1178" s="241"/>
      <c r="P1178" s="213"/>
    </row>
    <row r="1179" spans="1:16" ht="12">
      <c r="A1179" s="83" t="s">
        <v>2163</v>
      </c>
      <c r="B1179" s="257" t="s">
        <v>2164</v>
      </c>
      <c r="C1179" s="258" t="s">
        <v>509</v>
      </c>
      <c r="D1179" s="79">
        <v>699.44</v>
      </c>
      <c r="F1179" s="79">
        <v>699.44</v>
      </c>
      <c r="G1179" s="81"/>
      <c r="N1179" s="240"/>
      <c r="O1179" s="241"/>
      <c r="P1179" s="213"/>
    </row>
    <row r="1180" spans="1:16" ht="24">
      <c r="A1180" s="83" t="s">
        <v>2165</v>
      </c>
      <c r="B1180" s="257" t="s">
        <v>2166</v>
      </c>
      <c r="C1180" s="258" t="s">
        <v>103</v>
      </c>
      <c r="D1180" s="79">
        <v>27.27</v>
      </c>
      <c r="F1180" s="79">
        <v>27.27</v>
      </c>
      <c r="G1180" s="81"/>
      <c r="N1180" s="240"/>
      <c r="O1180" s="241"/>
      <c r="P1180" s="213"/>
    </row>
    <row r="1181" spans="1:16" ht="24">
      <c r="A1181" s="83" t="s">
        <v>2167</v>
      </c>
      <c r="B1181" s="257" t="s">
        <v>2168</v>
      </c>
      <c r="C1181" s="258" t="s">
        <v>103</v>
      </c>
      <c r="D1181" s="79">
        <v>266.18</v>
      </c>
      <c r="F1181" s="79">
        <v>266.18</v>
      </c>
      <c r="G1181" s="81"/>
      <c r="N1181" s="240"/>
      <c r="O1181" s="241"/>
      <c r="P1181" s="213"/>
    </row>
    <row r="1182" spans="1:16" ht="12">
      <c r="A1182" s="83" t="s">
        <v>2169</v>
      </c>
      <c r="B1182" s="257" t="s">
        <v>2170</v>
      </c>
      <c r="C1182" s="258" t="s">
        <v>509</v>
      </c>
      <c r="D1182" s="79">
        <v>300.02999999999997</v>
      </c>
      <c r="F1182" s="79">
        <v>300.02999999999997</v>
      </c>
      <c r="G1182" s="81"/>
      <c r="N1182" s="240"/>
      <c r="O1182" s="241"/>
      <c r="P1182" s="213"/>
    </row>
    <row r="1183" spans="1:16" ht="24">
      <c r="A1183" s="83" t="s">
        <v>2171</v>
      </c>
      <c r="B1183" s="257" t="s">
        <v>2172</v>
      </c>
      <c r="C1183" s="258" t="s">
        <v>509</v>
      </c>
      <c r="D1183" s="79">
        <v>1614.69</v>
      </c>
      <c r="F1183" s="79">
        <v>1614.69</v>
      </c>
      <c r="G1183" s="81"/>
      <c r="N1183" s="240"/>
      <c r="O1183" s="241"/>
      <c r="P1183" s="213"/>
    </row>
    <row r="1184" spans="1:16" ht="12">
      <c r="A1184" s="83" t="s">
        <v>2173</v>
      </c>
      <c r="B1184" s="257" t="s">
        <v>2174</v>
      </c>
      <c r="C1184" s="258" t="s">
        <v>103</v>
      </c>
      <c r="D1184" s="79">
        <v>31.05</v>
      </c>
      <c r="F1184" s="79">
        <v>31.05</v>
      </c>
      <c r="G1184" s="81"/>
      <c r="N1184" s="240"/>
      <c r="O1184" s="241"/>
      <c r="P1184" s="213"/>
    </row>
    <row r="1185" spans="1:16" ht="12">
      <c r="A1185" s="63" t="s">
        <v>2175</v>
      </c>
      <c r="B1185" s="65" t="s">
        <v>2176</v>
      </c>
      <c r="C1185" s="71" t="s">
        <v>509</v>
      </c>
      <c r="D1185" s="79">
        <v>115.51</v>
      </c>
      <c r="F1185" s="79">
        <v>115.51</v>
      </c>
      <c r="G1185" s="81"/>
      <c r="N1185" s="61"/>
      <c r="O1185" s="241"/>
      <c r="P1185" s="213"/>
    </row>
    <row r="1186" spans="1:16" ht="12">
      <c r="A1186" s="63" t="s">
        <v>2177</v>
      </c>
      <c r="B1186" s="65" t="s">
        <v>2178</v>
      </c>
      <c r="C1186" s="71" t="s">
        <v>165</v>
      </c>
      <c r="D1186" s="79">
        <v>325.02999999999997</v>
      </c>
      <c r="F1186" s="79">
        <v>325.02999999999997</v>
      </c>
      <c r="G1186" s="81"/>
      <c r="N1186" s="61"/>
      <c r="O1186" s="241"/>
      <c r="P1186" s="213"/>
    </row>
    <row r="1187" spans="1:16" ht="36">
      <c r="A1187" s="261" t="s">
        <v>2179</v>
      </c>
      <c r="B1187" s="261" t="s">
        <v>2180</v>
      </c>
      <c r="C1187" s="266" t="s">
        <v>103</v>
      </c>
      <c r="D1187" s="79">
        <v>215.61</v>
      </c>
      <c r="F1187" s="518">
        <v>215.61</v>
      </c>
      <c r="N1187" s="133"/>
      <c r="O1187" s="236"/>
    </row>
    <row r="1188" spans="1:16" ht="12">
      <c r="A1188" s="83" t="s">
        <v>2181</v>
      </c>
      <c r="B1188" s="257" t="s">
        <v>2182</v>
      </c>
      <c r="C1188" s="258" t="s">
        <v>103</v>
      </c>
      <c r="D1188" s="79">
        <v>1975.54</v>
      </c>
      <c r="F1188" s="79">
        <v>1975.54</v>
      </c>
      <c r="G1188" s="81"/>
      <c r="N1188" s="240"/>
      <c r="O1188" s="241"/>
      <c r="P1188" s="213"/>
    </row>
    <row r="1189" spans="1:16" ht="12">
      <c r="A1189" s="83" t="s">
        <v>2183</v>
      </c>
      <c r="B1189" s="257" t="s">
        <v>2184</v>
      </c>
      <c r="C1189" s="258" t="s">
        <v>103</v>
      </c>
      <c r="D1189" s="79">
        <v>99.95</v>
      </c>
      <c r="F1189" s="79">
        <v>99.95</v>
      </c>
      <c r="G1189" s="81"/>
      <c r="N1189" s="240"/>
      <c r="O1189" s="241"/>
      <c r="P1189" s="213"/>
    </row>
    <row r="1190" spans="1:16" ht="12">
      <c r="A1190" s="83" t="s">
        <v>2185</v>
      </c>
      <c r="B1190" s="257" t="s">
        <v>2186</v>
      </c>
      <c r="C1190" s="258" t="s">
        <v>509</v>
      </c>
      <c r="D1190" s="79">
        <v>10615.42</v>
      </c>
      <c r="F1190" s="79">
        <v>10615.42</v>
      </c>
      <c r="G1190" s="81"/>
      <c r="N1190" s="240"/>
      <c r="O1190" s="241"/>
      <c r="P1190" s="213"/>
    </row>
    <row r="1191" spans="1:16" ht="12">
      <c r="A1191" s="83" t="s">
        <v>2187</v>
      </c>
      <c r="B1191" s="257" t="s">
        <v>2188</v>
      </c>
      <c r="C1191" s="258" t="s">
        <v>509</v>
      </c>
      <c r="D1191" s="79">
        <v>8859.23</v>
      </c>
      <c r="F1191" s="79">
        <v>8859.23</v>
      </c>
      <c r="G1191" s="81"/>
      <c r="N1191" s="240"/>
      <c r="O1191" s="241"/>
      <c r="P1191" s="213"/>
    </row>
    <row r="1192" spans="1:16" ht="12">
      <c r="A1192" s="83" t="s">
        <v>2189</v>
      </c>
      <c r="B1192" s="257" t="s">
        <v>2190</v>
      </c>
      <c r="C1192" s="258" t="s">
        <v>509</v>
      </c>
      <c r="D1192" s="79">
        <v>4549.53</v>
      </c>
      <c r="F1192" s="79">
        <v>4549.53</v>
      </c>
      <c r="G1192" s="81"/>
      <c r="N1192" s="240"/>
      <c r="O1192" s="241"/>
      <c r="P1192" s="213"/>
    </row>
    <row r="1193" spans="1:16" ht="24">
      <c r="A1193" s="263" t="s">
        <v>2191</v>
      </c>
      <c r="B1193" s="263" t="s">
        <v>28152</v>
      </c>
      <c r="C1193" s="264" t="s">
        <v>103</v>
      </c>
      <c r="D1193" s="79">
        <v>101.19</v>
      </c>
      <c r="E1193" s="182"/>
      <c r="F1193" s="519">
        <v>101.19</v>
      </c>
      <c r="G1193" s="242"/>
      <c r="H1193" s="242"/>
      <c r="I1193" s="242"/>
      <c r="J1193" s="242"/>
      <c r="K1193" s="242"/>
      <c r="L1193" s="242"/>
      <c r="M1193" s="242"/>
      <c r="N1193" s="242"/>
      <c r="O1193" s="242"/>
      <c r="P1193" s="242"/>
    </row>
    <row r="1194" spans="1:16" ht="12">
      <c r="A1194" s="256" t="s">
        <v>2192</v>
      </c>
      <c r="B1194" s="64" t="s">
        <v>2193</v>
      </c>
      <c r="C1194" s="71" t="s">
        <v>103</v>
      </c>
      <c r="D1194" s="79">
        <v>25.63</v>
      </c>
      <c r="F1194" s="79">
        <v>25.63</v>
      </c>
    </row>
    <row r="1195" spans="1:16" ht="36">
      <c r="A1195" s="256" t="s">
        <v>2194</v>
      </c>
      <c r="B1195" s="64" t="s">
        <v>2195</v>
      </c>
      <c r="C1195" s="71" t="s">
        <v>509</v>
      </c>
      <c r="D1195" s="79">
        <v>1526.01</v>
      </c>
      <c r="F1195" s="79">
        <v>1526.01</v>
      </c>
    </row>
    <row r="1196" spans="1:16" ht="36">
      <c r="A1196" s="256" t="s">
        <v>2196</v>
      </c>
      <c r="B1196" s="64" t="s">
        <v>29806</v>
      </c>
      <c r="C1196" s="71" t="s">
        <v>509</v>
      </c>
      <c r="D1196" s="79">
        <v>1594.3</v>
      </c>
      <c r="F1196" s="79">
        <v>1594.3</v>
      </c>
    </row>
    <row r="1197" spans="1:16" ht="24">
      <c r="A1197" s="256" t="s">
        <v>2197</v>
      </c>
      <c r="B1197" s="64" t="s">
        <v>2198</v>
      </c>
      <c r="C1197" s="71" t="s">
        <v>509</v>
      </c>
      <c r="D1197" s="79">
        <v>1727.7</v>
      </c>
      <c r="F1197" s="79">
        <v>1727.7</v>
      </c>
    </row>
    <row r="1198" spans="1:16" ht="36">
      <c r="A1198" s="256" t="s">
        <v>2199</v>
      </c>
      <c r="B1198" s="64" t="s">
        <v>2200</v>
      </c>
      <c r="C1198" s="71" t="s">
        <v>509</v>
      </c>
      <c r="D1198" s="79">
        <v>1786.38</v>
      </c>
      <c r="F1198" s="79">
        <v>1786.38</v>
      </c>
    </row>
    <row r="1199" spans="1:16" ht="36">
      <c r="A1199" s="256" t="s">
        <v>2201</v>
      </c>
      <c r="B1199" s="64" t="s">
        <v>2202</v>
      </c>
      <c r="C1199" s="71" t="s">
        <v>509</v>
      </c>
      <c r="D1199" s="79">
        <v>2105.48</v>
      </c>
      <c r="F1199" s="79">
        <v>2105.48</v>
      </c>
    </row>
    <row r="1200" spans="1:16" ht="24">
      <c r="A1200" s="256" t="s">
        <v>2203</v>
      </c>
      <c r="B1200" s="64" t="s">
        <v>2204</v>
      </c>
      <c r="C1200" s="71" t="s">
        <v>509</v>
      </c>
      <c r="D1200" s="79">
        <v>1747.25</v>
      </c>
      <c r="F1200" s="79">
        <v>1747.25</v>
      </c>
    </row>
    <row r="1201" spans="1:16" ht="24">
      <c r="A1201" s="256" t="s">
        <v>2205</v>
      </c>
      <c r="B1201" s="64" t="s">
        <v>2206</v>
      </c>
      <c r="C1201" s="71" t="s">
        <v>509</v>
      </c>
      <c r="D1201" s="79">
        <v>1667.37</v>
      </c>
      <c r="F1201" s="79">
        <v>1667.37</v>
      </c>
    </row>
    <row r="1202" spans="1:16" ht="36">
      <c r="A1202" s="256" t="s">
        <v>2207</v>
      </c>
      <c r="B1202" s="64" t="s">
        <v>2208</v>
      </c>
      <c r="C1202" s="71" t="s">
        <v>509</v>
      </c>
      <c r="D1202" s="79">
        <v>1898.22</v>
      </c>
      <c r="F1202" s="79">
        <v>1898.22</v>
      </c>
    </row>
    <row r="1203" spans="1:16" ht="24">
      <c r="A1203" s="263" t="s">
        <v>2209</v>
      </c>
      <c r="B1203" s="263" t="s">
        <v>2210</v>
      </c>
      <c r="C1203" s="264" t="s">
        <v>509</v>
      </c>
      <c r="D1203" s="79">
        <v>48.74</v>
      </c>
      <c r="E1203" s="182"/>
      <c r="F1203" s="519">
        <v>48.74</v>
      </c>
      <c r="G1203" s="242"/>
      <c r="H1203" s="242"/>
      <c r="I1203" s="242"/>
      <c r="J1203" s="242"/>
      <c r="K1203" s="242"/>
      <c r="L1203" s="242"/>
      <c r="M1203" s="242"/>
      <c r="N1203" s="242"/>
      <c r="O1203" s="242"/>
      <c r="P1203" s="242"/>
    </row>
    <row r="1204" spans="1:16" ht="24">
      <c r="A1204" s="263" t="s">
        <v>2211</v>
      </c>
      <c r="B1204" s="263" t="s">
        <v>2212</v>
      </c>
      <c r="C1204" s="264" t="s">
        <v>509</v>
      </c>
      <c r="D1204" s="79">
        <v>134.97999999999999</v>
      </c>
      <c r="E1204" s="182"/>
      <c r="F1204" s="519">
        <v>134.97999999999999</v>
      </c>
      <c r="G1204" s="242"/>
      <c r="H1204" s="242"/>
      <c r="I1204" s="242"/>
      <c r="J1204" s="242"/>
      <c r="K1204" s="242"/>
      <c r="L1204" s="242"/>
      <c r="M1204" s="242"/>
      <c r="N1204" s="242"/>
      <c r="O1204" s="242"/>
      <c r="P1204" s="242"/>
    </row>
    <row r="1205" spans="1:16" ht="24">
      <c r="A1205" s="263" t="s">
        <v>2213</v>
      </c>
      <c r="B1205" s="263" t="s">
        <v>2214</v>
      </c>
      <c r="C1205" s="264" t="s">
        <v>509</v>
      </c>
      <c r="D1205" s="79">
        <v>147.71</v>
      </c>
      <c r="E1205" s="182"/>
      <c r="F1205" s="519">
        <v>147.71</v>
      </c>
      <c r="G1205" s="242"/>
      <c r="H1205" s="242"/>
      <c r="I1205" s="242"/>
      <c r="J1205" s="242"/>
      <c r="K1205" s="242"/>
      <c r="L1205" s="242"/>
      <c r="M1205" s="242"/>
      <c r="N1205" s="242"/>
      <c r="O1205" s="242"/>
      <c r="P1205" s="242"/>
    </row>
    <row r="1206" spans="1:16" ht="24">
      <c r="A1206" s="263" t="s">
        <v>2215</v>
      </c>
      <c r="B1206" s="263" t="s">
        <v>2216</v>
      </c>
      <c r="C1206" s="264" t="s">
        <v>509</v>
      </c>
      <c r="D1206" s="79">
        <v>92.13</v>
      </c>
      <c r="E1206" s="182"/>
      <c r="F1206" s="519">
        <v>92.13</v>
      </c>
      <c r="G1206" s="242"/>
      <c r="H1206" s="242"/>
      <c r="I1206" s="242"/>
      <c r="J1206" s="242"/>
      <c r="K1206" s="242"/>
      <c r="L1206" s="242"/>
      <c r="M1206" s="242"/>
      <c r="N1206" s="242"/>
      <c r="O1206" s="242"/>
      <c r="P1206" s="242"/>
    </row>
    <row r="1207" spans="1:16" ht="24">
      <c r="A1207" s="263" t="s">
        <v>2217</v>
      </c>
      <c r="B1207" s="263" t="s">
        <v>2218</v>
      </c>
      <c r="C1207" s="264" t="s">
        <v>509</v>
      </c>
      <c r="D1207" s="79">
        <v>250.63</v>
      </c>
      <c r="E1207" s="182"/>
      <c r="F1207" s="519">
        <v>250.63</v>
      </c>
      <c r="G1207" s="242"/>
      <c r="H1207" s="242"/>
      <c r="I1207" s="242"/>
      <c r="J1207" s="242"/>
      <c r="K1207" s="242"/>
      <c r="L1207" s="242"/>
      <c r="M1207" s="242"/>
      <c r="N1207" s="242"/>
      <c r="O1207" s="242"/>
      <c r="P1207" s="242"/>
    </row>
    <row r="1208" spans="1:16" ht="12">
      <c r="A1208" s="263" t="s">
        <v>2219</v>
      </c>
      <c r="B1208" s="263" t="s">
        <v>2220</v>
      </c>
      <c r="C1208" s="264" t="s">
        <v>509</v>
      </c>
      <c r="D1208" s="79">
        <v>287.17</v>
      </c>
      <c r="E1208" s="182"/>
      <c r="F1208" s="519">
        <v>287.17</v>
      </c>
      <c r="G1208" s="242"/>
      <c r="H1208" s="242"/>
      <c r="I1208" s="242"/>
      <c r="J1208" s="242"/>
      <c r="K1208" s="242"/>
      <c r="L1208" s="242"/>
      <c r="M1208" s="242"/>
      <c r="N1208" s="242"/>
      <c r="O1208" s="242"/>
      <c r="P1208" s="242"/>
    </row>
    <row r="1209" spans="1:16" ht="24">
      <c r="A1209" s="263" t="s">
        <v>2221</v>
      </c>
      <c r="B1209" s="263" t="s">
        <v>2222</v>
      </c>
      <c r="C1209" s="264" t="s">
        <v>509</v>
      </c>
      <c r="D1209" s="79">
        <v>255.89</v>
      </c>
      <c r="E1209" s="182"/>
      <c r="F1209" s="519">
        <v>255.89</v>
      </c>
      <c r="G1209" s="242"/>
      <c r="H1209" s="242"/>
      <c r="I1209" s="242"/>
      <c r="J1209" s="242"/>
      <c r="K1209" s="242"/>
      <c r="L1209" s="242"/>
      <c r="M1209" s="242"/>
      <c r="N1209" s="242"/>
      <c r="O1209" s="242"/>
      <c r="P1209" s="242"/>
    </row>
    <row r="1210" spans="1:16" ht="12">
      <c r="A1210" s="263" t="s">
        <v>2223</v>
      </c>
      <c r="B1210" s="263" t="s">
        <v>2224</v>
      </c>
      <c r="C1210" s="264" t="s">
        <v>509</v>
      </c>
      <c r="D1210" s="79">
        <v>99.14</v>
      </c>
      <c r="E1210" s="182"/>
      <c r="F1210" s="519">
        <v>99.14</v>
      </c>
      <c r="G1210" s="242"/>
      <c r="H1210" s="242"/>
      <c r="I1210" s="242"/>
      <c r="J1210" s="242"/>
      <c r="K1210" s="242"/>
      <c r="L1210" s="242"/>
      <c r="M1210" s="242"/>
      <c r="N1210" s="242"/>
      <c r="O1210" s="242"/>
      <c r="P1210" s="242"/>
    </row>
    <row r="1211" spans="1:16" ht="12">
      <c r="A1211" s="263" t="s">
        <v>2225</v>
      </c>
      <c r="B1211" s="263" t="s">
        <v>2226</v>
      </c>
      <c r="C1211" s="264" t="s">
        <v>509</v>
      </c>
      <c r="D1211" s="79">
        <v>81.45</v>
      </c>
      <c r="E1211" s="182"/>
      <c r="F1211" s="519">
        <v>81.45</v>
      </c>
      <c r="G1211" s="242"/>
      <c r="H1211" s="242"/>
      <c r="I1211" s="242"/>
      <c r="J1211" s="242"/>
      <c r="K1211" s="242"/>
      <c r="L1211" s="242"/>
      <c r="M1211" s="242"/>
      <c r="N1211" s="242"/>
      <c r="O1211" s="242"/>
      <c r="P1211" s="242"/>
    </row>
    <row r="1212" spans="1:16" ht="24">
      <c r="A1212" s="83" t="s">
        <v>2227</v>
      </c>
      <c r="B1212" s="257" t="s">
        <v>2228</v>
      </c>
      <c r="C1212" s="258" t="s">
        <v>103</v>
      </c>
      <c r="D1212" s="79">
        <v>381.96</v>
      </c>
      <c r="F1212" s="79">
        <v>381.96</v>
      </c>
      <c r="G1212" s="81"/>
      <c r="N1212" s="240"/>
      <c r="O1212" s="241"/>
      <c r="P1212" s="213"/>
    </row>
    <row r="1213" spans="1:16" ht="24">
      <c r="A1213" s="256" t="s">
        <v>2229</v>
      </c>
      <c r="B1213" s="261" t="s">
        <v>2230</v>
      </c>
      <c r="C1213" s="262" t="s">
        <v>103</v>
      </c>
      <c r="D1213" s="79">
        <v>84.42</v>
      </c>
      <c r="F1213" s="517">
        <v>84.42</v>
      </c>
    </row>
    <row r="1214" spans="1:16" ht="12">
      <c r="A1214" s="83" t="s">
        <v>2231</v>
      </c>
      <c r="B1214" s="257" t="s">
        <v>2232</v>
      </c>
      <c r="C1214" s="258" t="s">
        <v>165</v>
      </c>
      <c r="D1214" s="79">
        <v>3.74</v>
      </c>
      <c r="F1214" s="79">
        <v>3.74</v>
      </c>
      <c r="G1214" s="81"/>
      <c r="N1214" s="240"/>
      <c r="O1214" s="241"/>
      <c r="P1214" s="213"/>
    </row>
    <row r="1215" spans="1:16" ht="12">
      <c r="A1215" s="83" t="s">
        <v>2233</v>
      </c>
      <c r="B1215" s="257" t="s">
        <v>2234</v>
      </c>
      <c r="C1215" s="258" t="s">
        <v>165</v>
      </c>
      <c r="D1215" s="79">
        <v>3.82</v>
      </c>
      <c r="F1215" s="79">
        <v>3.82</v>
      </c>
      <c r="G1215" s="81"/>
      <c r="N1215" s="240"/>
      <c r="O1215" s="241"/>
      <c r="P1215" s="213"/>
    </row>
    <row r="1216" spans="1:16" ht="12">
      <c r="A1216" s="83" t="s">
        <v>2235</v>
      </c>
      <c r="B1216" s="257" t="s">
        <v>2236</v>
      </c>
      <c r="C1216" s="258" t="s">
        <v>165</v>
      </c>
      <c r="D1216" s="79">
        <v>8.2799999999999994</v>
      </c>
      <c r="F1216" s="79">
        <v>8.2799999999999994</v>
      </c>
      <c r="G1216" s="81"/>
      <c r="N1216" s="240"/>
      <c r="O1216" s="241"/>
      <c r="P1216" s="213"/>
    </row>
    <row r="1217" spans="1:16" ht="12">
      <c r="A1217" s="83" t="s">
        <v>2237</v>
      </c>
      <c r="B1217" s="257" t="s">
        <v>2238</v>
      </c>
      <c r="C1217" s="258" t="s">
        <v>165</v>
      </c>
      <c r="D1217" s="79">
        <v>15.47</v>
      </c>
      <c r="F1217" s="79">
        <v>15.47</v>
      </c>
      <c r="G1217" s="81"/>
      <c r="N1217" s="240"/>
      <c r="O1217" s="241"/>
      <c r="P1217" s="213"/>
    </row>
    <row r="1218" spans="1:16" ht="12">
      <c r="A1218" s="83" t="s">
        <v>2239</v>
      </c>
      <c r="B1218" s="257" t="s">
        <v>2240</v>
      </c>
      <c r="C1218" s="258" t="s">
        <v>165</v>
      </c>
      <c r="D1218" s="79">
        <v>14.13</v>
      </c>
      <c r="F1218" s="79">
        <v>14.13</v>
      </c>
      <c r="G1218" s="81"/>
      <c r="N1218" s="240"/>
      <c r="O1218" s="241"/>
      <c r="P1218" s="213"/>
    </row>
    <row r="1219" spans="1:16" ht="12">
      <c r="A1219" s="83" t="s">
        <v>2241</v>
      </c>
      <c r="B1219" s="257" t="s">
        <v>2242</v>
      </c>
      <c r="C1219" s="258" t="s">
        <v>165</v>
      </c>
      <c r="D1219" s="79">
        <v>31.74</v>
      </c>
      <c r="F1219" s="79">
        <v>31.74</v>
      </c>
      <c r="G1219" s="81"/>
      <c r="N1219" s="240"/>
      <c r="O1219" s="241"/>
      <c r="P1219" s="213"/>
    </row>
    <row r="1220" spans="1:16" ht="12">
      <c r="A1220" s="83" t="s">
        <v>2243</v>
      </c>
      <c r="B1220" s="257" t="s">
        <v>2244</v>
      </c>
      <c r="C1220" s="258" t="s">
        <v>165</v>
      </c>
      <c r="D1220" s="79">
        <v>44.1</v>
      </c>
      <c r="F1220" s="79">
        <v>44.1</v>
      </c>
      <c r="G1220" s="81"/>
      <c r="N1220" s="240"/>
      <c r="O1220" s="241"/>
      <c r="P1220" s="213"/>
    </row>
    <row r="1221" spans="1:16" ht="12">
      <c r="A1221" s="83" t="s">
        <v>2245</v>
      </c>
      <c r="B1221" s="257" t="s">
        <v>2246</v>
      </c>
      <c r="C1221" s="258" t="s">
        <v>165</v>
      </c>
      <c r="D1221" s="79">
        <v>55.33</v>
      </c>
      <c r="F1221" s="79">
        <v>55.33</v>
      </c>
      <c r="G1221" s="81"/>
      <c r="N1221" s="240"/>
      <c r="O1221" s="241"/>
      <c r="P1221" s="213"/>
    </row>
    <row r="1222" spans="1:16" ht="12">
      <c r="A1222" s="83" t="s">
        <v>2247</v>
      </c>
      <c r="B1222" s="257" t="s">
        <v>2248</v>
      </c>
      <c r="C1222" s="258" t="s">
        <v>165</v>
      </c>
      <c r="D1222" s="79">
        <v>95.87</v>
      </c>
      <c r="F1222" s="79">
        <v>95.87</v>
      </c>
      <c r="G1222" s="81"/>
      <c r="N1222" s="240"/>
      <c r="O1222" s="241"/>
      <c r="P1222" s="213"/>
    </row>
    <row r="1223" spans="1:16" ht="12">
      <c r="A1223" s="83" t="s">
        <v>2249</v>
      </c>
      <c r="B1223" s="257" t="s">
        <v>2250</v>
      </c>
      <c r="C1223" s="258" t="s">
        <v>165</v>
      </c>
      <c r="D1223" s="79">
        <v>237.34</v>
      </c>
      <c r="F1223" s="79">
        <v>237.34</v>
      </c>
      <c r="G1223" s="81"/>
      <c r="N1223" s="240"/>
      <c r="O1223" s="241"/>
      <c r="P1223" s="213"/>
    </row>
    <row r="1224" spans="1:16" ht="12">
      <c r="A1224" s="83" t="s">
        <v>2251</v>
      </c>
      <c r="B1224" s="257" t="s">
        <v>2252</v>
      </c>
      <c r="C1224" s="258" t="s">
        <v>165</v>
      </c>
      <c r="D1224" s="79">
        <v>388.09</v>
      </c>
      <c r="F1224" s="79">
        <v>388.09</v>
      </c>
      <c r="G1224" s="81"/>
      <c r="N1224" s="240"/>
      <c r="O1224" s="241"/>
      <c r="P1224" s="213"/>
    </row>
    <row r="1225" spans="1:16" ht="12">
      <c r="A1225" s="83" t="s">
        <v>2253</v>
      </c>
      <c r="B1225" s="257" t="s">
        <v>2254</v>
      </c>
      <c r="C1225" s="258" t="s">
        <v>165</v>
      </c>
      <c r="D1225" s="79">
        <v>528.79</v>
      </c>
      <c r="F1225" s="79">
        <v>528.79</v>
      </c>
      <c r="G1225" s="81"/>
      <c r="N1225" s="240"/>
      <c r="O1225" s="241"/>
      <c r="P1225" s="213"/>
    </row>
    <row r="1226" spans="1:16" ht="12">
      <c r="A1226" s="83" t="s">
        <v>2255</v>
      </c>
      <c r="B1226" s="257" t="s">
        <v>2256</v>
      </c>
      <c r="C1226" s="258" t="s">
        <v>165</v>
      </c>
      <c r="D1226" s="79">
        <v>405.53</v>
      </c>
      <c r="F1226" s="79">
        <v>405.53</v>
      </c>
      <c r="G1226" s="81"/>
      <c r="N1226" s="240"/>
      <c r="O1226" s="241"/>
      <c r="P1226" s="213"/>
    </row>
    <row r="1227" spans="1:16" ht="12">
      <c r="A1227" s="83" t="s">
        <v>2257</v>
      </c>
      <c r="B1227" s="257" t="s">
        <v>2258</v>
      </c>
      <c r="C1227" s="258" t="s">
        <v>165</v>
      </c>
      <c r="D1227" s="79">
        <v>6.6</v>
      </c>
      <c r="F1227" s="79">
        <v>6.6</v>
      </c>
      <c r="G1227" s="81"/>
      <c r="N1227" s="240"/>
      <c r="O1227" s="241"/>
      <c r="P1227" s="213"/>
    </row>
    <row r="1228" spans="1:16" ht="12">
      <c r="A1228" s="83" t="s">
        <v>2259</v>
      </c>
      <c r="B1228" s="257" t="s">
        <v>2260</v>
      </c>
      <c r="C1228" s="258" t="s">
        <v>165</v>
      </c>
      <c r="D1228" s="79">
        <v>9.84</v>
      </c>
      <c r="F1228" s="79">
        <v>9.84</v>
      </c>
      <c r="G1228" s="81"/>
      <c r="N1228" s="240"/>
      <c r="O1228" s="241"/>
      <c r="P1228" s="213"/>
    </row>
    <row r="1229" spans="1:16" ht="12">
      <c r="A1229" s="83" t="s">
        <v>2261</v>
      </c>
      <c r="B1229" s="257" t="s">
        <v>2262</v>
      </c>
      <c r="C1229" s="258" t="s">
        <v>165</v>
      </c>
      <c r="D1229" s="79">
        <v>15.49</v>
      </c>
      <c r="F1229" s="79">
        <v>15.49</v>
      </c>
      <c r="G1229" s="81"/>
      <c r="N1229" s="240"/>
      <c r="O1229" s="241"/>
      <c r="P1229" s="213"/>
    </row>
    <row r="1230" spans="1:16" ht="12">
      <c r="A1230" s="83" t="s">
        <v>2263</v>
      </c>
      <c r="B1230" s="257" t="s">
        <v>2264</v>
      </c>
      <c r="C1230" s="258" t="s">
        <v>165</v>
      </c>
      <c r="D1230" s="79">
        <v>14.43</v>
      </c>
      <c r="F1230" s="79">
        <v>14.43</v>
      </c>
      <c r="G1230" s="81"/>
      <c r="N1230" s="240"/>
      <c r="O1230" s="241"/>
      <c r="P1230" s="213"/>
    </row>
    <row r="1231" spans="1:16" ht="12">
      <c r="A1231" s="83" t="s">
        <v>2265</v>
      </c>
      <c r="B1231" s="257" t="s">
        <v>2266</v>
      </c>
      <c r="C1231" s="258" t="s">
        <v>165</v>
      </c>
      <c r="D1231" s="79">
        <v>35.1</v>
      </c>
      <c r="F1231" s="79">
        <v>35.1</v>
      </c>
      <c r="G1231" s="81"/>
      <c r="N1231" s="240"/>
      <c r="O1231" s="241"/>
      <c r="P1231" s="213"/>
    </row>
    <row r="1232" spans="1:16" ht="12">
      <c r="A1232" s="83" t="s">
        <v>2267</v>
      </c>
      <c r="B1232" s="257" t="s">
        <v>2268</v>
      </c>
      <c r="C1232" s="258" t="s">
        <v>103</v>
      </c>
      <c r="D1232" s="79">
        <v>24.49</v>
      </c>
      <c r="F1232" s="79">
        <v>24.49</v>
      </c>
      <c r="G1232" s="81"/>
      <c r="N1232" s="240"/>
      <c r="O1232" s="241"/>
      <c r="P1232" s="213"/>
    </row>
    <row r="1233" spans="1:16" ht="12">
      <c r="A1233" s="83" t="s">
        <v>2269</v>
      </c>
      <c r="B1233" s="257" t="s">
        <v>2270</v>
      </c>
      <c r="C1233" s="258" t="s">
        <v>165</v>
      </c>
      <c r="D1233" s="79">
        <v>12.88</v>
      </c>
      <c r="F1233" s="79">
        <v>12.88</v>
      </c>
      <c r="G1233" s="81"/>
      <c r="N1233" s="240"/>
      <c r="O1233" s="241"/>
      <c r="P1233" s="213"/>
    </row>
    <row r="1234" spans="1:16" ht="12">
      <c r="A1234" s="83" t="s">
        <v>2271</v>
      </c>
      <c r="B1234" s="257" t="s">
        <v>2272</v>
      </c>
      <c r="C1234" s="258" t="s">
        <v>165</v>
      </c>
      <c r="D1234" s="79">
        <v>16.25</v>
      </c>
      <c r="F1234" s="79">
        <v>16.25</v>
      </c>
      <c r="G1234" s="81"/>
      <c r="N1234" s="240"/>
      <c r="O1234" s="241"/>
      <c r="P1234" s="213"/>
    </row>
    <row r="1235" spans="1:16" ht="12">
      <c r="A1235" s="83" t="s">
        <v>2273</v>
      </c>
      <c r="B1235" s="257" t="s">
        <v>2274</v>
      </c>
      <c r="C1235" s="258" t="s">
        <v>165</v>
      </c>
      <c r="D1235" s="79">
        <v>27.88</v>
      </c>
      <c r="F1235" s="79">
        <v>27.88</v>
      </c>
      <c r="G1235" s="81"/>
      <c r="N1235" s="240"/>
      <c r="O1235" s="241"/>
      <c r="P1235" s="213"/>
    </row>
    <row r="1236" spans="1:16" ht="12">
      <c r="A1236" s="83" t="s">
        <v>2275</v>
      </c>
      <c r="B1236" s="257" t="s">
        <v>2276</v>
      </c>
      <c r="C1236" s="258" t="s">
        <v>165</v>
      </c>
      <c r="D1236" s="79">
        <v>40.85</v>
      </c>
      <c r="F1236" s="79">
        <v>40.85</v>
      </c>
      <c r="G1236" s="81"/>
      <c r="N1236" s="240"/>
      <c r="O1236" s="241"/>
      <c r="P1236" s="213"/>
    </row>
    <row r="1237" spans="1:16" ht="12">
      <c r="A1237" s="83" t="s">
        <v>2277</v>
      </c>
      <c r="B1237" s="257" t="s">
        <v>2278</v>
      </c>
      <c r="C1237" s="258" t="s">
        <v>165</v>
      </c>
      <c r="D1237" s="79">
        <v>73.819999999999993</v>
      </c>
      <c r="F1237" s="79">
        <v>73.819999999999993</v>
      </c>
      <c r="G1237" s="81"/>
      <c r="N1237" s="240"/>
      <c r="O1237" s="241"/>
      <c r="P1237" s="213"/>
    </row>
    <row r="1238" spans="1:16" ht="12">
      <c r="A1238" s="83" t="s">
        <v>2279</v>
      </c>
      <c r="B1238" s="257" t="s">
        <v>2280</v>
      </c>
      <c r="C1238" s="258" t="s">
        <v>165</v>
      </c>
      <c r="D1238" s="79">
        <v>26.52</v>
      </c>
      <c r="F1238" s="79">
        <v>26.52</v>
      </c>
      <c r="G1238" s="81"/>
      <c r="N1238" s="240"/>
      <c r="O1238" s="241"/>
      <c r="P1238" s="213"/>
    </row>
    <row r="1239" spans="1:16" ht="12">
      <c r="A1239" s="83" t="s">
        <v>2281</v>
      </c>
      <c r="B1239" s="257" t="s">
        <v>2282</v>
      </c>
      <c r="C1239" s="258" t="s">
        <v>165</v>
      </c>
      <c r="D1239" s="79">
        <v>50.72</v>
      </c>
      <c r="F1239" s="79">
        <v>50.72</v>
      </c>
      <c r="G1239" s="81"/>
      <c r="N1239" s="240"/>
      <c r="O1239" s="241"/>
      <c r="P1239" s="213"/>
    </row>
    <row r="1240" spans="1:16" ht="12">
      <c r="A1240" s="83" t="s">
        <v>2283</v>
      </c>
      <c r="B1240" s="257" t="s">
        <v>2284</v>
      </c>
      <c r="C1240" s="258" t="s">
        <v>165</v>
      </c>
      <c r="D1240" s="79">
        <v>96.49</v>
      </c>
      <c r="F1240" s="79">
        <v>96.49</v>
      </c>
      <c r="G1240" s="81"/>
      <c r="N1240" s="240"/>
      <c r="O1240" s="241"/>
      <c r="P1240" s="213"/>
    </row>
    <row r="1241" spans="1:16" ht="12">
      <c r="A1241" s="83" t="s">
        <v>2285</v>
      </c>
      <c r="B1241" s="257" t="s">
        <v>2286</v>
      </c>
      <c r="C1241" s="258" t="s">
        <v>165</v>
      </c>
      <c r="D1241" s="79">
        <v>27.49</v>
      </c>
      <c r="F1241" s="79">
        <v>27.49</v>
      </c>
      <c r="G1241" s="81"/>
      <c r="N1241" s="240"/>
      <c r="O1241" s="241"/>
      <c r="P1241" s="213"/>
    </row>
    <row r="1242" spans="1:16" ht="12">
      <c r="A1242" s="83" t="s">
        <v>2287</v>
      </c>
      <c r="B1242" s="257" t="s">
        <v>2288</v>
      </c>
      <c r="C1242" s="258" t="s">
        <v>165</v>
      </c>
      <c r="D1242" s="79">
        <v>54.46</v>
      </c>
      <c r="F1242" s="79">
        <v>54.46</v>
      </c>
      <c r="G1242" s="81"/>
      <c r="N1242" s="240"/>
      <c r="O1242" s="241"/>
      <c r="P1242" s="213"/>
    </row>
    <row r="1243" spans="1:16" ht="12">
      <c r="A1243" s="83" t="s">
        <v>2289</v>
      </c>
      <c r="B1243" s="257" t="s">
        <v>2290</v>
      </c>
      <c r="C1243" s="258" t="s">
        <v>165</v>
      </c>
      <c r="D1243" s="79">
        <v>88.12</v>
      </c>
      <c r="F1243" s="79">
        <v>88.12</v>
      </c>
      <c r="G1243" s="81"/>
      <c r="N1243" s="240"/>
      <c r="O1243" s="241"/>
      <c r="P1243" s="213"/>
    </row>
    <row r="1244" spans="1:16" ht="12">
      <c r="A1244" s="83" t="s">
        <v>2291</v>
      </c>
      <c r="B1244" s="257" t="s">
        <v>2292</v>
      </c>
      <c r="C1244" s="258" t="s">
        <v>165</v>
      </c>
      <c r="D1244" s="79">
        <v>157.57</v>
      </c>
      <c r="F1244" s="79">
        <v>157.57</v>
      </c>
      <c r="G1244" s="81"/>
      <c r="N1244" s="240"/>
      <c r="O1244" s="241"/>
      <c r="P1244" s="213"/>
    </row>
    <row r="1245" spans="1:16" ht="12">
      <c r="A1245" s="83" t="s">
        <v>2293</v>
      </c>
      <c r="B1245" s="257" t="s">
        <v>2294</v>
      </c>
      <c r="C1245" s="258" t="s">
        <v>165</v>
      </c>
      <c r="D1245" s="79">
        <v>243.32</v>
      </c>
      <c r="F1245" s="79">
        <v>243.32</v>
      </c>
      <c r="G1245" s="81"/>
      <c r="N1245" s="240"/>
      <c r="O1245" s="241"/>
      <c r="P1245" s="213"/>
    </row>
    <row r="1246" spans="1:16" ht="12">
      <c r="A1246" s="83" t="s">
        <v>2295</v>
      </c>
      <c r="B1246" s="257" t="s">
        <v>2296</v>
      </c>
      <c r="C1246" s="258" t="s">
        <v>103</v>
      </c>
      <c r="D1246" s="79">
        <v>477.58</v>
      </c>
      <c r="F1246" s="79">
        <v>477.58</v>
      </c>
      <c r="G1246" s="81"/>
      <c r="N1246" s="240"/>
      <c r="O1246" s="241"/>
      <c r="P1246" s="213"/>
    </row>
    <row r="1247" spans="1:16" ht="12">
      <c r="A1247" s="83" t="s">
        <v>2297</v>
      </c>
      <c r="B1247" s="257" t="s">
        <v>2298</v>
      </c>
      <c r="C1247" s="258" t="s">
        <v>103</v>
      </c>
      <c r="D1247" s="79">
        <v>12.06</v>
      </c>
      <c r="F1247" s="79">
        <v>12.06</v>
      </c>
      <c r="G1247" s="81"/>
      <c r="N1247" s="240"/>
      <c r="O1247" s="241"/>
      <c r="P1247" s="213"/>
    </row>
    <row r="1248" spans="1:16" ht="12">
      <c r="A1248" s="83" t="s">
        <v>2299</v>
      </c>
      <c r="B1248" s="257" t="s">
        <v>2300</v>
      </c>
      <c r="C1248" s="258" t="s">
        <v>103</v>
      </c>
      <c r="D1248" s="79">
        <v>22.21</v>
      </c>
      <c r="F1248" s="79">
        <v>22.21</v>
      </c>
      <c r="G1248" s="81"/>
      <c r="N1248" s="240"/>
      <c r="O1248" s="241"/>
      <c r="P1248" s="213"/>
    </row>
    <row r="1249" spans="1:16" ht="12">
      <c r="A1249" s="83" t="s">
        <v>2301</v>
      </c>
      <c r="B1249" s="257" t="s">
        <v>2302</v>
      </c>
      <c r="C1249" s="258" t="s">
        <v>103</v>
      </c>
      <c r="D1249" s="79">
        <v>7.74</v>
      </c>
      <c r="F1249" s="79">
        <v>7.74</v>
      </c>
      <c r="G1249" s="81"/>
      <c r="N1249" s="240"/>
      <c r="O1249" s="241"/>
      <c r="P1249" s="213"/>
    </row>
    <row r="1250" spans="1:16" ht="12">
      <c r="A1250" s="83" t="s">
        <v>2303</v>
      </c>
      <c r="B1250" s="257" t="s">
        <v>2304</v>
      </c>
      <c r="C1250" s="258" t="s">
        <v>103</v>
      </c>
      <c r="D1250" s="79">
        <v>39.76</v>
      </c>
      <c r="F1250" s="79">
        <v>39.76</v>
      </c>
      <c r="G1250" s="81"/>
      <c r="N1250" s="240"/>
      <c r="O1250" s="241"/>
      <c r="P1250" s="213"/>
    </row>
    <row r="1251" spans="1:16" ht="12">
      <c r="A1251" s="83" t="s">
        <v>2305</v>
      </c>
      <c r="B1251" s="257" t="s">
        <v>2306</v>
      </c>
      <c r="C1251" s="258" t="s">
        <v>103</v>
      </c>
      <c r="D1251" s="79">
        <v>119.14</v>
      </c>
      <c r="F1251" s="79">
        <v>119.14</v>
      </c>
      <c r="G1251" s="81"/>
      <c r="N1251" s="240"/>
      <c r="O1251" s="241"/>
      <c r="P1251" s="213"/>
    </row>
    <row r="1252" spans="1:16" ht="12">
      <c r="A1252" s="83" t="s">
        <v>2307</v>
      </c>
      <c r="B1252" s="257" t="s">
        <v>2308</v>
      </c>
      <c r="C1252" s="258" t="s">
        <v>103</v>
      </c>
      <c r="D1252" s="79">
        <v>11.7</v>
      </c>
      <c r="F1252" s="79">
        <v>11.7</v>
      </c>
      <c r="G1252" s="81"/>
      <c r="N1252" s="240"/>
      <c r="O1252" s="241"/>
      <c r="P1252" s="213"/>
    </row>
    <row r="1253" spans="1:16" ht="12">
      <c r="A1253" s="83" t="s">
        <v>2309</v>
      </c>
      <c r="B1253" s="257" t="s">
        <v>2310</v>
      </c>
      <c r="C1253" s="258" t="s">
        <v>103</v>
      </c>
      <c r="D1253" s="79">
        <v>31.34</v>
      </c>
      <c r="F1253" s="79">
        <v>31.34</v>
      </c>
      <c r="G1253" s="81"/>
      <c r="N1253" s="240"/>
      <c r="O1253" s="241"/>
      <c r="P1253" s="213"/>
    </row>
    <row r="1254" spans="1:16" ht="12">
      <c r="A1254" s="83" t="s">
        <v>2311</v>
      </c>
      <c r="B1254" s="257" t="s">
        <v>2312</v>
      </c>
      <c r="C1254" s="258" t="s">
        <v>103</v>
      </c>
      <c r="D1254" s="79">
        <v>88.8</v>
      </c>
      <c r="F1254" s="79">
        <v>88.8</v>
      </c>
      <c r="G1254" s="81"/>
      <c r="N1254" s="240"/>
      <c r="O1254" s="241"/>
      <c r="P1254" s="213"/>
    </row>
    <row r="1255" spans="1:16" ht="12">
      <c r="A1255" s="83" t="s">
        <v>2313</v>
      </c>
      <c r="B1255" s="257" t="s">
        <v>2314</v>
      </c>
      <c r="C1255" s="258" t="s">
        <v>103</v>
      </c>
      <c r="D1255" s="79">
        <v>16.41</v>
      </c>
      <c r="F1255" s="79">
        <v>16.41</v>
      </c>
      <c r="G1255" s="81"/>
      <c r="N1255" s="240"/>
      <c r="O1255" s="241"/>
      <c r="P1255" s="213"/>
    </row>
    <row r="1256" spans="1:16" ht="12">
      <c r="A1256" s="83" t="s">
        <v>2315</v>
      </c>
      <c r="B1256" s="257" t="s">
        <v>2316</v>
      </c>
      <c r="C1256" s="258" t="s">
        <v>153</v>
      </c>
      <c r="D1256" s="79">
        <v>51.29</v>
      </c>
      <c r="F1256" s="79">
        <v>51.29</v>
      </c>
      <c r="G1256" s="81"/>
      <c r="N1256" s="240"/>
      <c r="O1256" s="241"/>
      <c r="P1256" s="213"/>
    </row>
    <row r="1257" spans="1:16" ht="12">
      <c r="A1257" s="83" t="s">
        <v>2317</v>
      </c>
      <c r="B1257" s="257" t="s">
        <v>2318</v>
      </c>
      <c r="C1257" s="258" t="s">
        <v>165</v>
      </c>
      <c r="D1257" s="79">
        <v>55.92</v>
      </c>
      <c r="F1257" s="79">
        <v>55.92</v>
      </c>
      <c r="G1257" s="81"/>
      <c r="N1257" s="240"/>
      <c r="O1257" s="241"/>
      <c r="P1257" s="213"/>
    </row>
    <row r="1258" spans="1:16" ht="12">
      <c r="A1258" s="83" t="s">
        <v>2319</v>
      </c>
      <c r="B1258" s="257" t="s">
        <v>29807</v>
      </c>
      <c r="C1258" s="258" t="s">
        <v>165</v>
      </c>
      <c r="D1258" s="79">
        <v>81.14</v>
      </c>
      <c r="F1258" s="79">
        <v>81.14</v>
      </c>
      <c r="G1258" s="81"/>
      <c r="N1258" s="240"/>
      <c r="O1258" s="241"/>
      <c r="P1258" s="213"/>
    </row>
    <row r="1259" spans="1:16" ht="12">
      <c r="A1259" s="83" t="s">
        <v>2320</v>
      </c>
      <c r="B1259" s="257" t="s">
        <v>28153</v>
      </c>
      <c r="C1259" s="258" t="s">
        <v>165</v>
      </c>
      <c r="D1259" s="79">
        <v>145.03</v>
      </c>
      <c r="F1259" s="79">
        <v>145.03</v>
      </c>
      <c r="G1259" s="81"/>
      <c r="N1259" s="240"/>
      <c r="O1259" s="241"/>
      <c r="P1259" s="213"/>
    </row>
    <row r="1260" spans="1:16" ht="24">
      <c r="A1260" s="83" t="s">
        <v>2321</v>
      </c>
      <c r="B1260" s="257" t="s">
        <v>2322</v>
      </c>
      <c r="C1260" s="258" t="s">
        <v>103</v>
      </c>
      <c r="D1260" s="79">
        <v>38.020000000000003</v>
      </c>
      <c r="F1260" s="79">
        <v>38.020000000000003</v>
      </c>
      <c r="G1260" s="81"/>
      <c r="N1260" s="240"/>
      <c r="O1260" s="241"/>
      <c r="P1260" s="213"/>
    </row>
    <row r="1261" spans="1:16" ht="12">
      <c r="A1261" s="83" t="s">
        <v>2323</v>
      </c>
      <c r="B1261" s="257" t="s">
        <v>28154</v>
      </c>
      <c r="C1261" s="258" t="s">
        <v>165</v>
      </c>
      <c r="D1261" s="79">
        <v>75.040000000000006</v>
      </c>
      <c r="F1261" s="79">
        <v>75.040000000000006</v>
      </c>
      <c r="G1261" s="81"/>
      <c r="N1261" s="240"/>
      <c r="O1261" s="241"/>
      <c r="P1261" s="213"/>
    </row>
    <row r="1262" spans="1:16" ht="12">
      <c r="A1262" s="83" t="s">
        <v>2324</v>
      </c>
      <c r="B1262" s="257" t="s">
        <v>28155</v>
      </c>
      <c r="C1262" s="258" t="s">
        <v>103</v>
      </c>
      <c r="D1262" s="79">
        <v>48.06</v>
      </c>
      <c r="F1262" s="79">
        <v>48.06</v>
      </c>
      <c r="G1262" s="81"/>
      <c r="N1262" s="240"/>
      <c r="O1262" s="241"/>
      <c r="P1262" s="213"/>
    </row>
    <row r="1263" spans="1:16" ht="12">
      <c r="A1263" s="83" t="s">
        <v>2325</v>
      </c>
      <c r="B1263" s="257" t="s">
        <v>2326</v>
      </c>
      <c r="C1263" s="258" t="s">
        <v>165</v>
      </c>
      <c r="D1263" s="79">
        <v>107.07</v>
      </c>
      <c r="F1263" s="79">
        <v>107.07</v>
      </c>
      <c r="G1263" s="81"/>
      <c r="N1263" s="240"/>
      <c r="O1263" s="241"/>
      <c r="P1263" s="213"/>
    </row>
    <row r="1264" spans="1:16" ht="12">
      <c r="A1264" s="83" t="s">
        <v>2327</v>
      </c>
      <c r="B1264" s="257" t="s">
        <v>2328</v>
      </c>
      <c r="C1264" s="258" t="s">
        <v>165</v>
      </c>
      <c r="D1264" s="79">
        <v>157.78</v>
      </c>
      <c r="F1264" s="79">
        <v>157.78</v>
      </c>
      <c r="G1264" s="81"/>
      <c r="N1264" s="240"/>
      <c r="O1264" s="241"/>
      <c r="P1264" s="213"/>
    </row>
    <row r="1265" spans="1:16" ht="12">
      <c r="A1265" s="83" t="s">
        <v>2329</v>
      </c>
      <c r="B1265" s="257" t="s">
        <v>2330</v>
      </c>
      <c r="C1265" s="258" t="s">
        <v>165</v>
      </c>
      <c r="D1265" s="79">
        <v>194.05</v>
      </c>
      <c r="F1265" s="79">
        <v>194.05</v>
      </c>
      <c r="G1265" s="81"/>
      <c r="N1265" s="240"/>
      <c r="O1265" s="241"/>
      <c r="P1265" s="213"/>
    </row>
    <row r="1266" spans="1:16" ht="12">
      <c r="A1266" s="83" t="s">
        <v>2331</v>
      </c>
      <c r="B1266" s="257" t="s">
        <v>2332</v>
      </c>
      <c r="C1266" s="258" t="s">
        <v>165</v>
      </c>
      <c r="D1266" s="79">
        <v>8.4700000000000006</v>
      </c>
      <c r="F1266" s="79">
        <v>8.4700000000000006</v>
      </c>
      <c r="G1266" s="81"/>
      <c r="N1266" s="240"/>
      <c r="O1266" s="241"/>
      <c r="P1266" s="213"/>
    </row>
    <row r="1267" spans="1:16" ht="12">
      <c r="A1267" s="83" t="s">
        <v>2333</v>
      </c>
      <c r="B1267" s="257" t="s">
        <v>2334</v>
      </c>
      <c r="C1267" s="258" t="s">
        <v>165</v>
      </c>
      <c r="D1267" s="79">
        <v>10.58</v>
      </c>
      <c r="F1267" s="79">
        <v>10.58</v>
      </c>
      <c r="G1267" s="81"/>
      <c r="N1267" s="240"/>
      <c r="O1267" s="241"/>
      <c r="P1267" s="213"/>
    </row>
    <row r="1268" spans="1:16" ht="12">
      <c r="A1268" s="83" t="s">
        <v>2335</v>
      </c>
      <c r="B1268" s="257" t="s">
        <v>2336</v>
      </c>
      <c r="C1268" s="258" t="s">
        <v>165</v>
      </c>
      <c r="D1268" s="79">
        <v>7.41</v>
      </c>
      <c r="F1268" s="79">
        <v>7.41</v>
      </c>
      <c r="G1268" s="81"/>
      <c r="N1268" s="240"/>
      <c r="O1268" s="241"/>
      <c r="P1268" s="213"/>
    </row>
    <row r="1269" spans="1:16" ht="12">
      <c r="A1269" s="83" t="s">
        <v>2337</v>
      </c>
      <c r="B1269" s="257" t="s">
        <v>2338</v>
      </c>
      <c r="C1269" s="258" t="s">
        <v>165</v>
      </c>
      <c r="D1269" s="79">
        <v>21.66</v>
      </c>
      <c r="F1269" s="79">
        <v>21.66</v>
      </c>
      <c r="G1269" s="81"/>
      <c r="N1269" s="240"/>
      <c r="O1269" s="241"/>
      <c r="P1269" s="213"/>
    </row>
    <row r="1270" spans="1:16" ht="12">
      <c r="A1270" s="83" t="s">
        <v>2339</v>
      </c>
      <c r="B1270" s="257" t="s">
        <v>2340</v>
      </c>
      <c r="C1270" s="258" t="s">
        <v>165</v>
      </c>
      <c r="D1270" s="79">
        <v>34.65</v>
      </c>
      <c r="F1270" s="79">
        <v>34.65</v>
      </c>
      <c r="G1270" s="81"/>
      <c r="N1270" s="240"/>
      <c r="O1270" s="241"/>
      <c r="P1270" s="213"/>
    </row>
    <row r="1271" spans="1:16" ht="24">
      <c r="A1271" s="261" t="s">
        <v>2341</v>
      </c>
      <c r="B1271" s="261" t="s">
        <v>2342</v>
      </c>
      <c r="C1271" s="266" t="s">
        <v>165</v>
      </c>
      <c r="D1271" s="79">
        <v>83.16</v>
      </c>
      <c r="F1271" s="518">
        <v>83.16</v>
      </c>
      <c r="N1271" s="133"/>
    </row>
    <row r="1272" spans="1:16" ht="24">
      <c r="A1272" s="261" t="s">
        <v>2343</v>
      </c>
      <c r="B1272" s="261" t="s">
        <v>2344</v>
      </c>
      <c r="C1272" s="266" t="s">
        <v>165</v>
      </c>
      <c r="D1272" s="79">
        <v>111.8</v>
      </c>
      <c r="F1272" s="518">
        <v>111.8</v>
      </c>
      <c r="N1272" s="133"/>
    </row>
    <row r="1273" spans="1:16" ht="24">
      <c r="A1273" s="261" t="s">
        <v>2345</v>
      </c>
      <c r="B1273" s="261" t="s">
        <v>2346</v>
      </c>
      <c r="C1273" s="266" t="s">
        <v>165</v>
      </c>
      <c r="D1273" s="79">
        <v>190.86</v>
      </c>
      <c r="F1273" s="518">
        <v>190.86</v>
      </c>
      <c r="N1273" s="133"/>
    </row>
    <row r="1274" spans="1:16" ht="24">
      <c r="A1274" s="261" t="s">
        <v>2347</v>
      </c>
      <c r="B1274" s="261" t="s">
        <v>2348</v>
      </c>
      <c r="C1274" s="266" t="s">
        <v>165</v>
      </c>
      <c r="D1274" s="79">
        <v>315.20999999999998</v>
      </c>
      <c r="F1274" s="518">
        <v>315.20999999999998</v>
      </c>
      <c r="N1274" s="133"/>
    </row>
    <row r="1275" spans="1:16" ht="24">
      <c r="A1275" s="261" t="s">
        <v>2349</v>
      </c>
      <c r="B1275" s="261" t="s">
        <v>2350</v>
      </c>
      <c r="C1275" s="266" t="s">
        <v>165</v>
      </c>
      <c r="D1275" s="79">
        <v>422.94</v>
      </c>
      <c r="F1275" s="518">
        <v>422.94</v>
      </c>
    </row>
    <row r="1276" spans="1:16" ht="24">
      <c r="A1276" s="261" t="s">
        <v>2351</v>
      </c>
      <c r="B1276" s="261" t="s">
        <v>2352</v>
      </c>
      <c r="C1276" s="266" t="s">
        <v>165</v>
      </c>
      <c r="D1276" s="79">
        <v>675.9</v>
      </c>
      <c r="F1276" s="518">
        <v>675.9</v>
      </c>
    </row>
    <row r="1277" spans="1:16" ht="24">
      <c r="A1277" s="261" t="s">
        <v>2353</v>
      </c>
      <c r="B1277" s="261" t="s">
        <v>2354</v>
      </c>
      <c r="C1277" s="266" t="s">
        <v>165</v>
      </c>
      <c r="D1277" s="79">
        <v>979.69</v>
      </c>
      <c r="F1277" s="518">
        <v>979.69</v>
      </c>
    </row>
    <row r="1278" spans="1:16" ht="24">
      <c r="A1278" s="261" t="s">
        <v>2355</v>
      </c>
      <c r="B1278" s="261" t="s">
        <v>2356</v>
      </c>
      <c r="C1278" s="266" t="s">
        <v>165</v>
      </c>
      <c r="D1278" s="79">
        <v>1336.12</v>
      </c>
      <c r="F1278" s="518">
        <v>1336.12</v>
      </c>
    </row>
    <row r="1279" spans="1:16" ht="12">
      <c r="A1279" s="83" t="s">
        <v>2357</v>
      </c>
      <c r="B1279" s="257" t="s">
        <v>2358</v>
      </c>
      <c r="C1279" s="258" t="s">
        <v>165</v>
      </c>
      <c r="D1279" s="79">
        <v>416.98</v>
      </c>
      <c r="F1279" s="79">
        <v>416.98</v>
      </c>
      <c r="G1279" s="81"/>
      <c r="N1279" s="240"/>
      <c r="O1279" s="241"/>
      <c r="P1279" s="213"/>
    </row>
    <row r="1280" spans="1:16" ht="12">
      <c r="A1280" s="83" t="s">
        <v>2359</v>
      </c>
      <c r="B1280" s="257" t="s">
        <v>2360</v>
      </c>
      <c r="C1280" s="258" t="s">
        <v>165</v>
      </c>
      <c r="D1280" s="79">
        <v>177.71</v>
      </c>
      <c r="F1280" s="79">
        <v>177.71</v>
      </c>
      <c r="G1280" s="81"/>
      <c r="N1280" s="240"/>
      <c r="O1280" s="241"/>
      <c r="P1280" s="213"/>
    </row>
    <row r="1281" spans="1:16" ht="12">
      <c r="A1281" s="83" t="s">
        <v>2361</v>
      </c>
      <c r="B1281" s="257" t="s">
        <v>2362</v>
      </c>
      <c r="C1281" s="258" t="s">
        <v>165</v>
      </c>
      <c r="D1281" s="79">
        <v>622.35</v>
      </c>
      <c r="F1281" s="79">
        <v>622.35</v>
      </c>
      <c r="G1281" s="81"/>
      <c r="N1281" s="240"/>
      <c r="O1281" s="241"/>
      <c r="P1281" s="213"/>
    </row>
    <row r="1282" spans="1:16" ht="12">
      <c r="A1282" s="83" t="s">
        <v>2363</v>
      </c>
      <c r="B1282" s="257" t="s">
        <v>2364</v>
      </c>
      <c r="C1282" s="258" t="s">
        <v>165</v>
      </c>
      <c r="D1282" s="79">
        <v>73</v>
      </c>
      <c r="F1282" s="79">
        <v>73</v>
      </c>
      <c r="G1282" s="81"/>
      <c r="N1282" s="240"/>
      <c r="O1282" s="241"/>
      <c r="P1282" s="213"/>
    </row>
    <row r="1283" spans="1:16" ht="12">
      <c r="A1283" s="83" t="s">
        <v>2365</v>
      </c>
      <c r="B1283" s="257" t="s">
        <v>2366</v>
      </c>
      <c r="C1283" s="258" t="s">
        <v>165</v>
      </c>
      <c r="D1283" s="79">
        <v>144.76</v>
      </c>
      <c r="F1283" s="79">
        <v>144.76</v>
      </c>
      <c r="G1283" s="81"/>
      <c r="N1283" s="240"/>
      <c r="O1283" s="241"/>
      <c r="P1283" s="213"/>
    </row>
    <row r="1284" spans="1:16" ht="12">
      <c r="A1284" s="83" t="s">
        <v>2367</v>
      </c>
      <c r="B1284" s="257" t="s">
        <v>2368</v>
      </c>
      <c r="C1284" s="258" t="s">
        <v>165</v>
      </c>
      <c r="D1284" s="79">
        <v>247.73</v>
      </c>
      <c r="F1284" s="79">
        <v>247.73</v>
      </c>
      <c r="G1284" s="81"/>
      <c r="N1284" s="240"/>
      <c r="O1284" s="241"/>
      <c r="P1284" s="213"/>
    </row>
    <row r="1285" spans="1:16" ht="12">
      <c r="A1285" s="83" t="s">
        <v>2369</v>
      </c>
      <c r="B1285" s="257" t="s">
        <v>2370</v>
      </c>
      <c r="C1285" s="258" t="s">
        <v>165</v>
      </c>
      <c r="D1285" s="79">
        <v>335.09</v>
      </c>
      <c r="F1285" s="79">
        <v>335.09</v>
      </c>
      <c r="G1285" s="81"/>
      <c r="N1285" s="240"/>
      <c r="O1285" s="241"/>
      <c r="P1285" s="213"/>
    </row>
    <row r="1286" spans="1:16" ht="12">
      <c r="A1286" s="83" t="s">
        <v>2371</v>
      </c>
      <c r="B1286" s="257" t="s">
        <v>2372</v>
      </c>
      <c r="C1286" s="258" t="s">
        <v>165</v>
      </c>
      <c r="D1286" s="79">
        <v>91.95</v>
      </c>
      <c r="F1286" s="79">
        <v>91.95</v>
      </c>
      <c r="G1286" s="81"/>
      <c r="N1286" s="240"/>
      <c r="O1286" s="241"/>
      <c r="P1286" s="213"/>
    </row>
    <row r="1287" spans="1:16" ht="12">
      <c r="A1287" s="83" t="s">
        <v>2373</v>
      </c>
      <c r="B1287" s="257" t="s">
        <v>2374</v>
      </c>
      <c r="C1287" s="258" t="s">
        <v>165</v>
      </c>
      <c r="D1287" s="79">
        <v>69.7</v>
      </c>
      <c r="F1287" s="79">
        <v>69.7</v>
      </c>
      <c r="G1287" s="81"/>
      <c r="N1287" s="240"/>
      <c r="O1287" s="241"/>
      <c r="P1287" s="213"/>
    </row>
    <row r="1288" spans="1:16" ht="12">
      <c r="A1288" s="83" t="s">
        <v>2375</v>
      </c>
      <c r="B1288" s="257" t="s">
        <v>2376</v>
      </c>
      <c r="C1288" s="258" t="s">
        <v>165</v>
      </c>
      <c r="D1288" s="79">
        <v>50.57</v>
      </c>
      <c r="F1288" s="79">
        <v>50.57</v>
      </c>
      <c r="G1288" s="81"/>
      <c r="N1288" s="240"/>
      <c r="O1288" s="241"/>
      <c r="P1288" s="213"/>
    </row>
    <row r="1289" spans="1:16" ht="12">
      <c r="A1289" s="83" t="s">
        <v>2377</v>
      </c>
      <c r="B1289" s="257" t="s">
        <v>2378</v>
      </c>
      <c r="C1289" s="258" t="s">
        <v>165</v>
      </c>
      <c r="D1289" s="79">
        <v>219.62</v>
      </c>
      <c r="F1289" s="79">
        <v>219.62</v>
      </c>
      <c r="G1289" s="81"/>
      <c r="N1289" s="240"/>
      <c r="O1289" s="241"/>
      <c r="P1289" s="213"/>
    </row>
    <row r="1290" spans="1:16" ht="12">
      <c r="A1290" s="83" t="s">
        <v>2379</v>
      </c>
      <c r="B1290" s="257" t="s">
        <v>2380</v>
      </c>
      <c r="C1290" s="258" t="s">
        <v>165</v>
      </c>
      <c r="D1290" s="79">
        <v>627.76</v>
      </c>
      <c r="F1290" s="79">
        <v>627.76</v>
      </c>
      <c r="G1290" s="81"/>
      <c r="N1290" s="240"/>
      <c r="O1290" s="241"/>
      <c r="P1290" s="213"/>
    </row>
    <row r="1291" spans="1:16" ht="12">
      <c r="A1291" s="83" t="s">
        <v>2381</v>
      </c>
      <c r="B1291" s="257" t="s">
        <v>2382</v>
      </c>
      <c r="C1291" s="258" t="s">
        <v>165</v>
      </c>
      <c r="D1291" s="79">
        <v>843.5</v>
      </c>
      <c r="F1291" s="79">
        <v>843.5</v>
      </c>
      <c r="G1291" s="81"/>
      <c r="N1291" s="240"/>
      <c r="O1291" s="241"/>
      <c r="P1291" s="213"/>
    </row>
    <row r="1292" spans="1:16" ht="24">
      <c r="A1292" s="263" t="s">
        <v>2383</v>
      </c>
      <c r="B1292" s="263" t="s">
        <v>28156</v>
      </c>
      <c r="C1292" s="264" t="s">
        <v>103</v>
      </c>
      <c r="D1292" s="79">
        <v>256.57</v>
      </c>
      <c r="E1292" s="182"/>
      <c r="F1292" s="519">
        <v>256.57</v>
      </c>
      <c r="G1292" s="242"/>
      <c r="H1292" s="242"/>
      <c r="I1292" s="242"/>
      <c r="J1292" s="242"/>
      <c r="K1292" s="242"/>
      <c r="L1292" s="242"/>
      <c r="M1292" s="242"/>
      <c r="N1292" s="242"/>
      <c r="O1292" s="242"/>
      <c r="P1292" s="242"/>
    </row>
    <row r="1293" spans="1:16" ht="24">
      <c r="A1293" s="83" t="s">
        <v>2384</v>
      </c>
      <c r="B1293" s="257" t="s">
        <v>28157</v>
      </c>
      <c r="C1293" s="258" t="s">
        <v>103</v>
      </c>
      <c r="D1293" s="79">
        <v>97.84</v>
      </c>
      <c r="F1293" s="79">
        <v>97.84</v>
      </c>
      <c r="G1293" s="81"/>
      <c r="N1293" s="240"/>
      <c r="O1293" s="241"/>
      <c r="P1293" s="213"/>
    </row>
    <row r="1294" spans="1:16" ht="24">
      <c r="A1294" s="83" t="s">
        <v>2385</v>
      </c>
      <c r="B1294" s="257" t="s">
        <v>28158</v>
      </c>
      <c r="C1294" s="258" t="s">
        <v>103</v>
      </c>
      <c r="D1294" s="79">
        <v>133.88999999999999</v>
      </c>
      <c r="F1294" s="79">
        <v>133.88999999999999</v>
      </c>
      <c r="G1294" s="81"/>
      <c r="N1294" s="240"/>
      <c r="O1294" s="241"/>
      <c r="P1294" s="213"/>
    </row>
    <row r="1295" spans="1:16" ht="24">
      <c r="A1295" s="83" t="s">
        <v>2386</v>
      </c>
      <c r="B1295" s="257" t="s">
        <v>28159</v>
      </c>
      <c r="C1295" s="258" t="s">
        <v>103</v>
      </c>
      <c r="D1295" s="79">
        <v>199.24</v>
      </c>
      <c r="F1295" s="79">
        <v>199.24</v>
      </c>
      <c r="G1295" s="81"/>
      <c r="N1295" s="240"/>
      <c r="O1295" s="241"/>
      <c r="P1295" s="213"/>
    </row>
    <row r="1296" spans="1:16" ht="24">
      <c r="A1296" s="83" t="s">
        <v>2387</v>
      </c>
      <c r="B1296" s="257" t="s">
        <v>2388</v>
      </c>
      <c r="C1296" s="258" t="s">
        <v>103</v>
      </c>
      <c r="D1296" s="79">
        <v>434.66</v>
      </c>
      <c r="F1296" s="79">
        <v>434.66</v>
      </c>
      <c r="G1296" s="81"/>
      <c r="N1296" s="240"/>
      <c r="O1296" s="241"/>
      <c r="P1296" s="213"/>
    </row>
    <row r="1297" spans="1:16" ht="24">
      <c r="A1297" s="83" t="s">
        <v>2389</v>
      </c>
      <c r="B1297" s="257" t="s">
        <v>2390</v>
      </c>
      <c r="C1297" s="258" t="s">
        <v>103</v>
      </c>
      <c r="D1297" s="79">
        <v>541.44000000000005</v>
      </c>
      <c r="F1297" s="79">
        <v>541.44000000000005</v>
      </c>
      <c r="G1297" s="81"/>
      <c r="N1297" s="240"/>
      <c r="O1297" s="241"/>
      <c r="P1297" s="213"/>
    </row>
    <row r="1298" spans="1:16" ht="24">
      <c r="A1298" s="83" t="s">
        <v>2391</v>
      </c>
      <c r="B1298" s="257" t="s">
        <v>2392</v>
      </c>
      <c r="C1298" s="258" t="s">
        <v>103</v>
      </c>
      <c r="D1298" s="79">
        <v>1068.33</v>
      </c>
      <c r="F1298" s="79">
        <v>1068.33</v>
      </c>
      <c r="G1298" s="81"/>
      <c r="N1298" s="240"/>
      <c r="O1298" s="241"/>
      <c r="P1298" s="213"/>
    </row>
    <row r="1299" spans="1:16" ht="24">
      <c r="A1299" s="83" t="s">
        <v>2393</v>
      </c>
      <c r="B1299" s="257" t="s">
        <v>2394</v>
      </c>
      <c r="C1299" s="258" t="s">
        <v>103</v>
      </c>
      <c r="D1299" s="79">
        <v>1386.22</v>
      </c>
      <c r="F1299" s="79">
        <v>1386.22</v>
      </c>
      <c r="G1299" s="81"/>
      <c r="N1299" s="240"/>
      <c r="O1299" s="241"/>
      <c r="P1299" s="213"/>
    </row>
    <row r="1300" spans="1:16" ht="24">
      <c r="A1300" s="83" t="s">
        <v>2395</v>
      </c>
      <c r="B1300" s="257" t="s">
        <v>2396</v>
      </c>
      <c r="C1300" s="258" t="s">
        <v>103</v>
      </c>
      <c r="D1300" s="79">
        <v>128.47</v>
      </c>
      <c r="F1300" s="79">
        <v>128.47</v>
      </c>
      <c r="G1300" s="81"/>
      <c r="N1300" s="240"/>
      <c r="O1300" s="241"/>
      <c r="P1300" s="213"/>
    </row>
    <row r="1301" spans="1:16" ht="24">
      <c r="A1301" s="83" t="s">
        <v>2397</v>
      </c>
      <c r="B1301" s="257" t="s">
        <v>2398</v>
      </c>
      <c r="C1301" s="258" t="s">
        <v>103</v>
      </c>
      <c r="D1301" s="79">
        <v>456.13</v>
      </c>
      <c r="F1301" s="79">
        <v>456.13</v>
      </c>
      <c r="G1301" s="81"/>
      <c r="N1301" s="240"/>
      <c r="O1301" s="241"/>
      <c r="P1301" s="213"/>
    </row>
    <row r="1302" spans="1:16" ht="12">
      <c r="A1302" s="83" t="s">
        <v>2399</v>
      </c>
      <c r="B1302" s="257" t="s">
        <v>2400</v>
      </c>
      <c r="C1302" s="258" t="s">
        <v>103</v>
      </c>
      <c r="D1302" s="79">
        <v>11.1</v>
      </c>
      <c r="F1302" s="79">
        <v>11.1</v>
      </c>
      <c r="G1302" s="81"/>
      <c r="N1302" s="240"/>
      <c r="O1302" s="241"/>
      <c r="P1302" s="213"/>
    </row>
    <row r="1303" spans="1:16" ht="12">
      <c r="A1303" s="83" t="s">
        <v>2401</v>
      </c>
      <c r="B1303" s="257" t="s">
        <v>2402</v>
      </c>
      <c r="C1303" s="258" t="s">
        <v>103</v>
      </c>
      <c r="D1303" s="79">
        <v>83.36</v>
      </c>
      <c r="F1303" s="79">
        <v>83.36</v>
      </c>
      <c r="G1303" s="81"/>
      <c r="N1303" s="240"/>
      <c r="O1303" s="241"/>
      <c r="P1303" s="213"/>
    </row>
    <row r="1304" spans="1:16" ht="12">
      <c r="A1304" s="83" t="s">
        <v>2403</v>
      </c>
      <c r="B1304" s="257" t="s">
        <v>2404</v>
      </c>
      <c r="C1304" s="258" t="s">
        <v>103</v>
      </c>
      <c r="D1304" s="79">
        <v>22.03</v>
      </c>
      <c r="F1304" s="79">
        <v>22.03</v>
      </c>
      <c r="G1304" s="81"/>
      <c r="N1304" s="240"/>
      <c r="O1304" s="241"/>
      <c r="P1304" s="213"/>
    </row>
    <row r="1305" spans="1:16" ht="12">
      <c r="A1305" s="83" t="s">
        <v>2405</v>
      </c>
      <c r="B1305" s="257" t="s">
        <v>2406</v>
      </c>
      <c r="C1305" s="258" t="s">
        <v>103</v>
      </c>
      <c r="D1305" s="79">
        <v>252.24</v>
      </c>
      <c r="F1305" s="79">
        <v>252.24</v>
      </c>
      <c r="G1305" s="81"/>
      <c r="N1305" s="240"/>
      <c r="O1305" s="241"/>
      <c r="P1305" s="213"/>
    </row>
    <row r="1306" spans="1:16" ht="24">
      <c r="A1306" s="261" t="s">
        <v>2407</v>
      </c>
      <c r="B1306" s="261" t="s">
        <v>2408</v>
      </c>
      <c r="C1306" s="266" t="s">
        <v>103</v>
      </c>
      <c r="D1306" s="79">
        <v>4203.17</v>
      </c>
      <c r="F1306" s="518">
        <v>4203.17</v>
      </c>
      <c r="N1306" s="133"/>
      <c r="O1306" s="236"/>
    </row>
    <row r="1307" spans="1:16" ht="12">
      <c r="A1307" s="83" t="s">
        <v>2409</v>
      </c>
      <c r="B1307" s="257" t="s">
        <v>2410</v>
      </c>
      <c r="C1307" s="258" t="s">
        <v>103</v>
      </c>
      <c r="D1307" s="79">
        <v>239.15</v>
      </c>
      <c r="F1307" s="79">
        <v>239.15</v>
      </c>
      <c r="G1307" s="81"/>
      <c r="N1307" s="240"/>
      <c r="O1307" s="241"/>
      <c r="P1307" s="213"/>
    </row>
    <row r="1308" spans="1:16" ht="12">
      <c r="A1308" s="83" t="s">
        <v>2411</v>
      </c>
      <c r="B1308" s="257" t="s">
        <v>2412</v>
      </c>
      <c r="C1308" s="258" t="s">
        <v>103</v>
      </c>
      <c r="D1308" s="79">
        <v>1187.96</v>
      </c>
      <c r="F1308" s="79">
        <v>1187.96</v>
      </c>
      <c r="G1308" s="81"/>
      <c r="N1308" s="240"/>
      <c r="O1308" s="241"/>
      <c r="P1308" s="213"/>
    </row>
    <row r="1309" spans="1:16" ht="12">
      <c r="A1309" s="83" t="s">
        <v>2413</v>
      </c>
      <c r="B1309" s="257" t="s">
        <v>2414</v>
      </c>
      <c r="C1309" s="258" t="s">
        <v>103</v>
      </c>
      <c r="D1309" s="79">
        <v>2931.05</v>
      </c>
      <c r="F1309" s="79">
        <v>2931.05</v>
      </c>
      <c r="G1309" s="81"/>
      <c r="N1309" s="240"/>
      <c r="O1309" s="241"/>
      <c r="P1309" s="213"/>
    </row>
    <row r="1310" spans="1:16" ht="24">
      <c r="A1310" s="83" t="s">
        <v>2415</v>
      </c>
      <c r="B1310" s="257" t="s">
        <v>2416</v>
      </c>
      <c r="C1310" s="258" t="s">
        <v>103</v>
      </c>
      <c r="D1310" s="79">
        <v>1738.53</v>
      </c>
      <c r="F1310" s="79">
        <v>1738.53</v>
      </c>
      <c r="G1310" s="81"/>
      <c r="N1310" s="240"/>
      <c r="O1310" s="241"/>
      <c r="P1310" s="213"/>
    </row>
    <row r="1311" spans="1:16" ht="12">
      <c r="A1311" s="83" t="s">
        <v>2417</v>
      </c>
      <c r="B1311" s="257" t="s">
        <v>2418</v>
      </c>
      <c r="C1311" s="258" t="s">
        <v>103</v>
      </c>
      <c r="D1311" s="79">
        <v>390.86</v>
      </c>
      <c r="F1311" s="79">
        <v>390.86</v>
      </c>
      <c r="G1311" s="81"/>
      <c r="N1311" s="240"/>
      <c r="O1311" s="241"/>
      <c r="P1311" s="213"/>
    </row>
    <row r="1312" spans="1:16" ht="12">
      <c r="A1312" s="83" t="s">
        <v>2419</v>
      </c>
      <c r="B1312" s="257" t="s">
        <v>28160</v>
      </c>
      <c r="C1312" s="258" t="s">
        <v>103</v>
      </c>
      <c r="D1312" s="79">
        <v>443.32</v>
      </c>
      <c r="F1312" s="79">
        <v>443.32</v>
      </c>
      <c r="G1312" s="81"/>
      <c r="N1312" s="240"/>
      <c r="O1312" s="241"/>
      <c r="P1312" s="213"/>
    </row>
    <row r="1313" spans="1:16" ht="12">
      <c r="A1313" s="83" t="s">
        <v>2420</v>
      </c>
      <c r="B1313" s="257" t="s">
        <v>2421</v>
      </c>
      <c r="C1313" s="258" t="s">
        <v>103</v>
      </c>
      <c r="D1313" s="79">
        <v>586.88</v>
      </c>
      <c r="F1313" s="79">
        <v>586.88</v>
      </c>
      <c r="G1313" s="81"/>
      <c r="N1313" s="240"/>
      <c r="O1313" s="241"/>
      <c r="P1313" s="213"/>
    </row>
    <row r="1314" spans="1:16" ht="12">
      <c r="A1314" s="83" t="s">
        <v>2422</v>
      </c>
      <c r="B1314" s="257" t="s">
        <v>2423</v>
      </c>
      <c r="C1314" s="258" t="s">
        <v>103</v>
      </c>
      <c r="D1314" s="79">
        <v>184.7</v>
      </c>
      <c r="F1314" s="79">
        <v>184.7</v>
      </c>
      <c r="G1314" s="81"/>
      <c r="N1314" s="240"/>
      <c r="O1314" s="241"/>
      <c r="P1314" s="213"/>
    </row>
    <row r="1315" spans="1:16" ht="24">
      <c r="A1315" s="83" t="s">
        <v>2424</v>
      </c>
      <c r="B1315" s="257" t="s">
        <v>2425</v>
      </c>
      <c r="C1315" s="258" t="s">
        <v>103</v>
      </c>
      <c r="D1315" s="79">
        <v>322.29000000000002</v>
      </c>
      <c r="F1315" s="79">
        <v>322.29000000000002</v>
      </c>
      <c r="G1315" s="81"/>
      <c r="N1315" s="240"/>
      <c r="O1315" s="241"/>
      <c r="P1315" s="213"/>
    </row>
    <row r="1316" spans="1:16" ht="24">
      <c r="A1316" s="83" t="s">
        <v>2426</v>
      </c>
      <c r="B1316" s="257" t="s">
        <v>2427</v>
      </c>
      <c r="C1316" s="258" t="s">
        <v>103</v>
      </c>
      <c r="D1316" s="79">
        <v>399.11</v>
      </c>
      <c r="F1316" s="79">
        <v>399.11</v>
      </c>
      <c r="G1316" s="81"/>
      <c r="N1316" s="240"/>
      <c r="O1316" s="241"/>
      <c r="P1316" s="213"/>
    </row>
    <row r="1317" spans="1:16" ht="36">
      <c r="A1317" s="83" t="s">
        <v>2428</v>
      </c>
      <c r="B1317" s="257" t="s">
        <v>2429</v>
      </c>
      <c r="C1317" s="258" t="s">
        <v>103</v>
      </c>
      <c r="D1317" s="79">
        <v>682.03</v>
      </c>
      <c r="F1317" s="79">
        <v>682.03</v>
      </c>
      <c r="G1317" s="81"/>
      <c r="N1317" s="240"/>
      <c r="O1317" s="241"/>
      <c r="P1317" s="213"/>
    </row>
    <row r="1318" spans="1:16" ht="12">
      <c r="A1318" s="83" t="s">
        <v>2430</v>
      </c>
      <c r="B1318" s="257" t="s">
        <v>2431</v>
      </c>
      <c r="C1318" s="258" t="s">
        <v>165</v>
      </c>
      <c r="D1318" s="79">
        <v>443.67</v>
      </c>
      <c r="F1318" s="79">
        <v>443.67</v>
      </c>
      <c r="G1318" s="81"/>
      <c r="N1318" s="240"/>
      <c r="O1318" s="241"/>
      <c r="P1318" s="213"/>
    </row>
    <row r="1319" spans="1:16" ht="12">
      <c r="A1319" s="83" t="s">
        <v>2432</v>
      </c>
      <c r="B1319" s="257" t="s">
        <v>2433</v>
      </c>
      <c r="C1319" s="258" t="s">
        <v>165</v>
      </c>
      <c r="D1319" s="79">
        <v>799.23</v>
      </c>
      <c r="F1319" s="79">
        <v>799.23</v>
      </c>
      <c r="G1319" s="81"/>
      <c r="N1319" s="240"/>
      <c r="O1319" s="241"/>
      <c r="P1319" s="213"/>
    </row>
    <row r="1320" spans="1:16" ht="12">
      <c r="A1320" s="83" t="s">
        <v>2434</v>
      </c>
      <c r="B1320" s="257" t="s">
        <v>2435</v>
      </c>
      <c r="C1320" s="258" t="s">
        <v>165</v>
      </c>
      <c r="D1320" s="79">
        <v>921.59</v>
      </c>
      <c r="F1320" s="79">
        <v>921.59</v>
      </c>
      <c r="G1320" s="81"/>
      <c r="N1320" s="240"/>
      <c r="O1320" s="241"/>
      <c r="P1320" s="213"/>
    </row>
    <row r="1321" spans="1:16" ht="12">
      <c r="A1321" s="261" t="s">
        <v>2436</v>
      </c>
      <c r="B1321" s="261" t="s">
        <v>2437</v>
      </c>
      <c r="C1321" s="266" t="s">
        <v>103</v>
      </c>
      <c r="D1321" s="79">
        <v>197.3</v>
      </c>
      <c r="F1321" s="518">
        <v>197.3</v>
      </c>
    </row>
    <row r="1322" spans="1:16" ht="12">
      <c r="A1322" s="83" t="s">
        <v>2438</v>
      </c>
      <c r="B1322" s="257" t="s">
        <v>2439</v>
      </c>
      <c r="C1322" s="258" t="s">
        <v>103</v>
      </c>
      <c r="D1322" s="79">
        <v>348.85</v>
      </c>
      <c r="F1322" s="79">
        <v>348.85</v>
      </c>
      <c r="G1322" s="81"/>
      <c r="N1322" s="240"/>
      <c r="O1322" s="241"/>
      <c r="P1322" s="213"/>
    </row>
    <row r="1323" spans="1:16" ht="12">
      <c r="A1323" s="83" t="s">
        <v>2440</v>
      </c>
      <c r="B1323" s="257" t="s">
        <v>2441</v>
      </c>
      <c r="C1323" s="258" t="s">
        <v>103</v>
      </c>
      <c r="D1323" s="79">
        <v>367.04</v>
      </c>
      <c r="F1323" s="79">
        <v>367.04</v>
      </c>
      <c r="G1323" s="81"/>
      <c r="N1323" s="240"/>
      <c r="O1323" s="241"/>
      <c r="P1323" s="213"/>
    </row>
    <row r="1324" spans="1:16" ht="12">
      <c r="A1324" s="83" t="s">
        <v>2442</v>
      </c>
      <c r="B1324" s="257" t="s">
        <v>2443</v>
      </c>
      <c r="C1324" s="258" t="s">
        <v>165</v>
      </c>
      <c r="D1324" s="79">
        <v>534.63</v>
      </c>
      <c r="F1324" s="79">
        <v>534.63</v>
      </c>
      <c r="G1324" s="81"/>
      <c r="N1324" s="240"/>
      <c r="O1324" s="241"/>
      <c r="P1324" s="213"/>
    </row>
    <row r="1325" spans="1:16" ht="12">
      <c r="A1325" s="83" t="s">
        <v>2444</v>
      </c>
      <c r="B1325" s="257" t="s">
        <v>2445</v>
      </c>
      <c r="C1325" s="258" t="s">
        <v>165</v>
      </c>
      <c r="D1325" s="79">
        <v>626.01</v>
      </c>
      <c r="F1325" s="79">
        <v>626.01</v>
      </c>
      <c r="G1325" s="81"/>
      <c r="N1325" s="240"/>
      <c r="O1325" s="241"/>
      <c r="P1325" s="213"/>
    </row>
    <row r="1326" spans="1:16" ht="12">
      <c r="A1326" s="83" t="s">
        <v>2446</v>
      </c>
      <c r="B1326" s="257" t="s">
        <v>2447</v>
      </c>
      <c r="C1326" s="258" t="s">
        <v>165</v>
      </c>
      <c r="D1326" s="79">
        <v>801.68</v>
      </c>
      <c r="F1326" s="79">
        <v>801.68</v>
      </c>
      <c r="G1326" s="81"/>
      <c r="N1326" s="240"/>
      <c r="O1326" s="241"/>
      <c r="P1326" s="213"/>
    </row>
    <row r="1327" spans="1:16" ht="12">
      <c r="A1327" s="83" t="s">
        <v>2448</v>
      </c>
      <c r="B1327" s="257" t="s">
        <v>2449</v>
      </c>
      <c r="C1327" s="258" t="s">
        <v>165</v>
      </c>
      <c r="D1327" s="79">
        <v>1202.3599999999999</v>
      </c>
      <c r="F1327" s="79">
        <v>1202.3599999999999</v>
      </c>
      <c r="G1327" s="81"/>
      <c r="N1327" s="240"/>
      <c r="O1327" s="241"/>
      <c r="P1327" s="213"/>
    </row>
    <row r="1328" spans="1:16" ht="12">
      <c r="A1328" s="83" t="s">
        <v>2450</v>
      </c>
      <c r="B1328" s="257" t="s">
        <v>2451</v>
      </c>
      <c r="C1328" s="258" t="s">
        <v>165</v>
      </c>
      <c r="D1328" s="79">
        <v>748.98</v>
      </c>
      <c r="F1328" s="79">
        <v>748.98</v>
      </c>
      <c r="G1328" s="81"/>
      <c r="N1328" s="240"/>
      <c r="O1328" s="241"/>
      <c r="P1328" s="213"/>
    </row>
    <row r="1329" spans="1:16" ht="12">
      <c r="A1329" s="83" t="s">
        <v>2452</v>
      </c>
      <c r="B1329" s="257" t="s">
        <v>2453</v>
      </c>
      <c r="C1329" s="258" t="s">
        <v>165</v>
      </c>
      <c r="D1329" s="79">
        <v>770.78</v>
      </c>
      <c r="F1329" s="79">
        <v>770.78</v>
      </c>
      <c r="G1329" s="81"/>
      <c r="N1329" s="240"/>
      <c r="O1329" s="241"/>
      <c r="P1329" s="213"/>
    </row>
    <row r="1330" spans="1:16" ht="12">
      <c r="A1330" s="83" t="s">
        <v>2454</v>
      </c>
      <c r="B1330" s="257" t="s">
        <v>2455</v>
      </c>
      <c r="C1330" s="258" t="s">
        <v>165</v>
      </c>
      <c r="D1330" s="79">
        <v>1277.2</v>
      </c>
      <c r="F1330" s="79">
        <v>1277.2</v>
      </c>
      <c r="G1330" s="81"/>
      <c r="N1330" s="240"/>
      <c r="O1330" s="241"/>
      <c r="P1330" s="213"/>
    </row>
    <row r="1331" spans="1:16" ht="12">
      <c r="A1331" s="83" t="s">
        <v>2456</v>
      </c>
      <c r="B1331" s="257" t="s">
        <v>2457</v>
      </c>
      <c r="C1331" s="258" t="s">
        <v>165</v>
      </c>
      <c r="D1331" s="79">
        <v>1429.92</v>
      </c>
      <c r="F1331" s="79">
        <v>1429.92</v>
      </c>
      <c r="G1331" s="81"/>
      <c r="N1331" s="240"/>
      <c r="O1331" s="241"/>
      <c r="P1331" s="213"/>
    </row>
    <row r="1332" spans="1:16" ht="12">
      <c r="A1332" s="83" t="s">
        <v>2458</v>
      </c>
      <c r="B1332" s="257" t="s">
        <v>2459</v>
      </c>
      <c r="C1332" s="258" t="s">
        <v>103</v>
      </c>
      <c r="D1332" s="79">
        <v>154.9</v>
      </c>
      <c r="F1332" s="79">
        <v>154.9</v>
      </c>
      <c r="G1332" s="81"/>
      <c r="N1332" s="240"/>
      <c r="O1332" s="241"/>
      <c r="P1332" s="213"/>
    </row>
    <row r="1333" spans="1:16" ht="12">
      <c r="A1333" s="83" t="s">
        <v>2460</v>
      </c>
      <c r="B1333" s="257" t="s">
        <v>2461</v>
      </c>
      <c r="C1333" s="258" t="s">
        <v>103</v>
      </c>
      <c r="D1333" s="79">
        <v>265.45</v>
      </c>
      <c r="F1333" s="79">
        <v>265.45</v>
      </c>
      <c r="G1333" s="81"/>
      <c r="N1333" s="240"/>
      <c r="O1333" s="241"/>
      <c r="P1333" s="213"/>
    </row>
    <row r="1334" spans="1:16" ht="12">
      <c r="A1334" s="83" t="s">
        <v>2462</v>
      </c>
      <c r="B1334" s="257" t="s">
        <v>2463</v>
      </c>
      <c r="C1334" s="258" t="s">
        <v>103</v>
      </c>
      <c r="D1334" s="79">
        <v>492.83</v>
      </c>
      <c r="F1334" s="79">
        <v>492.83</v>
      </c>
      <c r="G1334" s="81"/>
      <c r="N1334" s="240"/>
      <c r="O1334" s="241"/>
      <c r="P1334" s="213"/>
    </row>
    <row r="1335" spans="1:16" ht="12">
      <c r="A1335" s="83" t="s">
        <v>2464</v>
      </c>
      <c r="B1335" s="257" t="s">
        <v>2465</v>
      </c>
      <c r="C1335" s="258" t="s">
        <v>103</v>
      </c>
      <c r="D1335" s="79">
        <v>665.91</v>
      </c>
      <c r="F1335" s="79">
        <v>665.91</v>
      </c>
      <c r="G1335" s="81"/>
      <c r="N1335" s="240"/>
      <c r="O1335" s="241"/>
      <c r="P1335" s="213"/>
    </row>
    <row r="1336" spans="1:16" ht="12">
      <c r="A1336" s="83" t="s">
        <v>2466</v>
      </c>
      <c r="B1336" s="257" t="s">
        <v>2467</v>
      </c>
      <c r="C1336" s="258" t="s">
        <v>165</v>
      </c>
      <c r="D1336" s="79">
        <v>707.34</v>
      </c>
      <c r="F1336" s="79">
        <v>707.34</v>
      </c>
      <c r="G1336" s="81"/>
      <c r="N1336" s="240"/>
      <c r="O1336" s="241"/>
      <c r="P1336" s="213"/>
    </row>
    <row r="1337" spans="1:16" ht="12">
      <c r="A1337" s="83" t="s">
        <v>2468</v>
      </c>
      <c r="B1337" s="257" t="s">
        <v>2469</v>
      </c>
      <c r="C1337" s="258" t="s">
        <v>103</v>
      </c>
      <c r="D1337" s="79">
        <v>268.10000000000002</v>
      </c>
      <c r="F1337" s="79">
        <v>268.10000000000002</v>
      </c>
      <c r="G1337" s="81"/>
      <c r="N1337" s="240"/>
      <c r="O1337" s="241"/>
      <c r="P1337" s="213"/>
    </row>
    <row r="1338" spans="1:16" ht="12">
      <c r="A1338" s="83" t="s">
        <v>2470</v>
      </c>
      <c r="B1338" s="257" t="s">
        <v>2471</v>
      </c>
      <c r="C1338" s="258" t="s">
        <v>103</v>
      </c>
      <c r="D1338" s="79">
        <v>605.74</v>
      </c>
      <c r="F1338" s="79">
        <v>605.74</v>
      </c>
      <c r="G1338" s="81"/>
      <c r="N1338" s="240"/>
      <c r="O1338" s="241"/>
      <c r="P1338" s="213"/>
    </row>
    <row r="1339" spans="1:16" ht="24">
      <c r="A1339" s="83" t="s">
        <v>2472</v>
      </c>
      <c r="B1339" s="257" t="s">
        <v>2473</v>
      </c>
      <c r="C1339" s="258" t="s">
        <v>103</v>
      </c>
      <c r="D1339" s="79">
        <v>487.57</v>
      </c>
      <c r="F1339" s="79">
        <v>487.57</v>
      </c>
      <c r="G1339" s="81"/>
      <c r="N1339" s="240"/>
      <c r="O1339" s="241"/>
      <c r="P1339" s="213"/>
    </row>
    <row r="1340" spans="1:16" ht="24">
      <c r="A1340" s="83" t="s">
        <v>2474</v>
      </c>
      <c r="B1340" s="257" t="s">
        <v>2475</v>
      </c>
      <c r="C1340" s="258" t="s">
        <v>103</v>
      </c>
      <c r="D1340" s="79">
        <v>612.23</v>
      </c>
      <c r="F1340" s="79">
        <v>612.23</v>
      </c>
      <c r="G1340" s="81"/>
      <c r="N1340" s="240"/>
      <c r="O1340" s="241"/>
      <c r="P1340" s="213"/>
    </row>
    <row r="1341" spans="1:16" ht="24">
      <c r="A1341" s="83" t="s">
        <v>2476</v>
      </c>
      <c r="B1341" s="257" t="s">
        <v>2477</v>
      </c>
      <c r="C1341" s="258" t="s">
        <v>103</v>
      </c>
      <c r="D1341" s="79">
        <v>911.11</v>
      </c>
      <c r="F1341" s="79">
        <v>911.11</v>
      </c>
      <c r="G1341" s="81"/>
      <c r="N1341" s="240"/>
      <c r="O1341" s="241"/>
      <c r="P1341" s="213"/>
    </row>
    <row r="1342" spans="1:16" ht="12">
      <c r="A1342" s="83" t="s">
        <v>2478</v>
      </c>
      <c r="B1342" s="257" t="s">
        <v>2479</v>
      </c>
      <c r="C1342" s="258" t="s">
        <v>165</v>
      </c>
      <c r="D1342" s="79">
        <v>580.85</v>
      </c>
      <c r="F1342" s="79">
        <v>580.85</v>
      </c>
      <c r="G1342" s="81"/>
      <c r="N1342" s="240"/>
      <c r="O1342" s="241"/>
      <c r="P1342" s="213"/>
    </row>
    <row r="1343" spans="1:16" ht="12">
      <c r="A1343" s="83" t="s">
        <v>2480</v>
      </c>
      <c r="B1343" s="257" t="s">
        <v>2481</v>
      </c>
      <c r="C1343" s="258" t="s">
        <v>165</v>
      </c>
      <c r="D1343" s="79">
        <v>1070.3499999999999</v>
      </c>
      <c r="F1343" s="79">
        <v>1070.3499999999999</v>
      </c>
      <c r="G1343" s="81"/>
      <c r="N1343" s="240"/>
      <c r="O1343" s="241"/>
      <c r="P1343" s="213"/>
    </row>
    <row r="1344" spans="1:16" ht="12">
      <c r="A1344" s="83" t="s">
        <v>2482</v>
      </c>
      <c r="B1344" s="257" t="s">
        <v>2483</v>
      </c>
      <c r="C1344" s="258" t="s">
        <v>165</v>
      </c>
      <c r="D1344" s="79">
        <v>966.07</v>
      </c>
      <c r="F1344" s="79">
        <v>966.07</v>
      </c>
      <c r="G1344" s="81"/>
      <c r="N1344" s="240"/>
      <c r="O1344" s="241"/>
      <c r="P1344" s="213"/>
    </row>
    <row r="1345" spans="1:16" ht="12">
      <c r="A1345" s="83" t="s">
        <v>2484</v>
      </c>
      <c r="B1345" s="257" t="s">
        <v>2485</v>
      </c>
      <c r="C1345" s="258" t="s">
        <v>165</v>
      </c>
      <c r="D1345" s="79">
        <v>491.76</v>
      </c>
      <c r="F1345" s="79">
        <v>491.76</v>
      </c>
      <c r="G1345" s="81"/>
      <c r="N1345" s="240"/>
      <c r="O1345" s="241"/>
      <c r="P1345" s="213"/>
    </row>
    <row r="1346" spans="1:16" ht="12">
      <c r="A1346" s="83" t="s">
        <v>2486</v>
      </c>
      <c r="B1346" s="257" t="s">
        <v>2487</v>
      </c>
      <c r="C1346" s="258" t="s">
        <v>165</v>
      </c>
      <c r="D1346" s="79">
        <v>479.21</v>
      </c>
      <c r="F1346" s="79">
        <v>479.21</v>
      </c>
      <c r="G1346" s="81"/>
      <c r="N1346" s="240"/>
      <c r="O1346" s="241"/>
      <c r="P1346" s="213"/>
    </row>
    <row r="1347" spans="1:16" ht="12">
      <c r="A1347" s="83" t="s">
        <v>2488</v>
      </c>
      <c r="B1347" s="257" t="s">
        <v>2489</v>
      </c>
      <c r="C1347" s="258" t="s">
        <v>165</v>
      </c>
      <c r="D1347" s="79">
        <v>890.64</v>
      </c>
      <c r="F1347" s="79">
        <v>890.64</v>
      </c>
      <c r="G1347" s="81"/>
      <c r="N1347" s="240"/>
      <c r="O1347" s="241"/>
      <c r="P1347" s="213"/>
    </row>
    <row r="1348" spans="1:16" ht="12">
      <c r="A1348" s="83" t="s">
        <v>2490</v>
      </c>
      <c r="B1348" s="257" t="s">
        <v>2491</v>
      </c>
      <c r="C1348" s="258" t="s">
        <v>165</v>
      </c>
      <c r="D1348" s="79">
        <v>1390.78</v>
      </c>
      <c r="F1348" s="79">
        <v>1390.78</v>
      </c>
      <c r="G1348" s="81"/>
      <c r="N1348" s="240"/>
      <c r="O1348" s="241"/>
      <c r="P1348" s="213"/>
    </row>
    <row r="1349" spans="1:16" ht="24">
      <c r="A1349" s="83" t="s">
        <v>2492</v>
      </c>
      <c r="B1349" s="257" t="s">
        <v>2493</v>
      </c>
      <c r="C1349" s="258" t="s">
        <v>165</v>
      </c>
      <c r="D1349" s="79">
        <v>268.89</v>
      </c>
      <c r="F1349" s="79">
        <v>268.89</v>
      </c>
      <c r="G1349" s="81"/>
      <c r="N1349" s="240"/>
      <c r="O1349" s="241"/>
      <c r="P1349" s="213"/>
    </row>
    <row r="1350" spans="1:16" ht="24">
      <c r="A1350" s="83" t="s">
        <v>2494</v>
      </c>
      <c r="B1350" s="257" t="s">
        <v>2495</v>
      </c>
      <c r="C1350" s="258" t="s">
        <v>165</v>
      </c>
      <c r="D1350" s="79">
        <v>360.43</v>
      </c>
      <c r="F1350" s="79">
        <v>360.43</v>
      </c>
      <c r="G1350" s="81"/>
      <c r="N1350" s="240"/>
      <c r="O1350" s="241"/>
      <c r="P1350" s="213"/>
    </row>
    <row r="1351" spans="1:16" ht="24">
      <c r="A1351" s="83" t="s">
        <v>2496</v>
      </c>
      <c r="B1351" s="257" t="s">
        <v>2497</v>
      </c>
      <c r="C1351" s="258" t="s">
        <v>103</v>
      </c>
      <c r="D1351" s="79">
        <v>86.82</v>
      </c>
      <c r="F1351" s="79">
        <v>86.82</v>
      </c>
      <c r="G1351" s="81"/>
      <c r="N1351" s="240"/>
      <c r="O1351" s="241"/>
      <c r="P1351" s="213"/>
    </row>
    <row r="1352" spans="1:16" ht="24">
      <c r="A1352" s="83" t="s">
        <v>2498</v>
      </c>
      <c r="B1352" s="257" t="s">
        <v>2499</v>
      </c>
      <c r="C1352" s="258" t="s">
        <v>103</v>
      </c>
      <c r="D1352" s="79">
        <v>138.65</v>
      </c>
      <c r="F1352" s="79">
        <v>138.65</v>
      </c>
      <c r="G1352" s="81"/>
      <c r="N1352" s="240"/>
      <c r="O1352" s="241"/>
      <c r="P1352" s="213"/>
    </row>
    <row r="1353" spans="1:16" ht="24">
      <c r="A1353" s="83" t="s">
        <v>2500</v>
      </c>
      <c r="B1353" s="257" t="s">
        <v>2501</v>
      </c>
      <c r="C1353" s="258" t="s">
        <v>103</v>
      </c>
      <c r="D1353" s="79">
        <v>935.47</v>
      </c>
      <c r="F1353" s="79">
        <v>935.47</v>
      </c>
      <c r="G1353" s="81"/>
      <c r="N1353" s="240"/>
      <c r="O1353" s="241"/>
      <c r="P1353" s="213"/>
    </row>
    <row r="1354" spans="1:16" ht="24">
      <c r="A1354" s="83" t="s">
        <v>2502</v>
      </c>
      <c r="B1354" s="257" t="s">
        <v>2503</v>
      </c>
      <c r="C1354" s="258" t="s">
        <v>165</v>
      </c>
      <c r="D1354" s="79">
        <v>169.74</v>
      </c>
      <c r="F1354" s="79">
        <v>169.74</v>
      </c>
      <c r="G1354" s="81"/>
      <c r="N1354" s="240"/>
      <c r="O1354" s="241"/>
      <c r="P1354" s="213"/>
    </row>
    <row r="1355" spans="1:16" ht="24">
      <c r="A1355" s="83" t="s">
        <v>2504</v>
      </c>
      <c r="B1355" s="257" t="s">
        <v>2505</v>
      </c>
      <c r="C1355" s="258" t="s">
        <v>165</v>
      </c>
      <c r="D1355" s="79">
        <v>254.56</v>
      </c>
      <c r="F1355" s="79">
        <v>254.56</v>
      </c>
      <c r="G1355" s="81"/>
      <c r="N1355" s="240"/>
      <c r="O1355" s="241"/>
      <c r="P1355" s="213"/>
    </row>
    <row r="1356" spans="1:16" ht="24">
      <c r="A1356" s="83" t="s">
        <v>2506</v>
      </c>
      <c r="B1356" s="257" t="s">
        <v>2507</v>
      </c>
      <c r="C1356" s="258" t="s">
        <v>165</v>
      </c>
      <c r="D1356" s="79">
        <v>634.58000000000004</v>
      </c>
      <c r="F1356" s="79">
        <v>634.58000000000004</v>
      </c>
      <c r="G1356" s="81"/>
      <c r="N1356" s="240"/>
      <c r="O1356" s="241"/>
      <c r="P1356" s="213"/>
    </row>
    <row r="1357" spans="1:16" ht="24">
      <c r="A1357" s="83" t="s">
        <v>2508</v>
      </c>
      <c r="B1357" s="257" t="s">
        <v>2509</v>
      </c>
      <c r="C1357" s="258" t="s">
        <v>103</v>
      </c>
      <c r="D1357" s="79">
        <v>59.43</v>
      </c>
      <c r="F1357" s="79">
        <v>59.43</v>
      </c>
      <c r="G1357" s="81"/>
      <c r="N1357" s="240"/>
      <c r="O1357" s="241"/>
      <c r="P1357" s="213"/>
    </row>
    <row r="1358" spans="1:16" ht="24">
      <c r="A1358" s="83" t="s">
        <v>2510</v>
      </c>
      <c r="B1358" s="257" t="s">
        <v>2511</v>
      </c>
      <c r="C1358" s="258" t="s">
        <v>103</v>
      </c>
      <c r="D1358" s="79">
        <v>67.510000000000005</v>
      </c>
      <c r="F1358" s="79">
        <v>67.510000000000005</v>
      </c>
      <c r="G1358" s="81"/>
      <c r="N1358" s="240"/>
      <c r="O1358" s="241"/>
      <c r="P1358" s="213"/>
    </row>
    <row r="1359" spans="1:16" ht="24">
      <c r="A1359" s="83" t="s">
        <v>2512</v>
      </c>
      <c r="B1359" s="257" t="s">
        <v>2513</v>
      </c>
      <c r="C1359" s="258" t="s">
        <v>103</v>
      </c>
      <c r="D1359" s="79">
        <v>195.5</v>
      </c>
      <c r="F1359" s="79">
        <v>195.5</v>
      </c>
      <c r="G1359" s="81"/>
      <c r="N1359" s="240"/>
      <c r="O1359" s="241"/>
      <c r="P1359" s="213"/>
    </row>
    <row r="1360" spans="1:16" ht="24">
      <c r="A1360" s="83" t="s">
        <v>2514</v>
      </c>
      <c r="B1360" s="257" t="s">
        <v>2515</v>
      </c>
      <c r="C1360" s="258" t="s">
        <v>396</v>
      </c>
      <c r="D1360" s="79">
        <v>936.59</v>
      </c>
      <c r="F1360" s="79">
        <v>936.59</v>
      </c>
      <c r="G1360" s="81"/>
      <c r="N1360" s="240"/>
      <c r="O1360" s="241"/>
      <c r="P1360" s="213"/>
    </row>
    <row r="1361" spans="1:16" ht="24">
      <c r="A1361" s="83" t="s">
        <v>2516</v>
      </c>
      <c r="B1361" s="257" t="s">
        <v>2517</v>
      </c>
      <c r="C1361" s="258" t="s">
        <v>396</v>
      </c>
      <c r="D1361" s="79">
        <v>980.09</v>
      </c>
      <c r="F1361" s="79">
        <v>980.09</v>
      </c>
      <c r="G1361" s="81"/>
      <c r="N1361" s="240"/>
      <c r="O1361" s="241"/>
      <c r="P1361" s="213"/>
    </row>
    <row r="1362" spans="1:16" ht="24">
      <c r="A1362" s="83" t="s">
        <v>2518</v>
      </c>
      <c r="B1362" s="257" t="s">
        <v>2519</v>
      </c>
      <c r="C1362" s="258" t="s">
        <v>396</v>
      </c>
      <c r="D1362" s="79">
        <v>1162.44</v>
      </c>
      <c r="F1362" s="79">
        <v>1162.44</v>
      </c>
      <c r="G1362" s="81"/>
      <c r="N1362" s="240"/>
      <c r="O1362" s="241"/>
      <c r="P1362" s="213"/>
    </row>
    <row r="1363" spans="1:16" ht="24">
      <c r="A1363" s="83" t="s">
        <v>2520</v>
      </c>
      <c r="B1363" s="257" t="s">
        <v>2521</v>
      </c>
      <c r="C1363" s="258" t="s">
        <v>396</v>
      </c>
      <c r="D1363" s="79">
        <v>1886.45</v>
      </c>
      <c r="F1363" s="79">
        <v>1886.45</v>
      </c>
      <c r="G1363" s="81"/>
      <c r="N1363" s="240"/>
      <c r="O1363" s="241"/>
      <c r="P1363" s="213"/>
    </row>
    <row r="1364" spans="1:16" ht="24">
      <c r="A1364" s="83" t="s">
        <v>2522</v>
      </c>
      <c r="B1364" s="257" t="s">
        <v>2523</v>
      </c>
      <c r="C1364" s="258" t="s">
        <v>103</v>
      </c>
      <c r="D1364" s="79">
        <v>91.09</v>
      </c>
      <c r="F1364" s="79">
        <v>91.09</v>
      </c>
      <c r="G1364" s="81"/>
      <c r="N1364" s="240"/>
      <c r="O1364" s="241"/>
      <c r="P1364" s="213"/>
    </row>
    <row r="1365" spans="1:16" ht="24">
      <c r="A1365" s="83" t="s">
        <v>2524</v>
      </c>
      <c r="B1365" s="257" t="s">
        <v>2525</v>
      </c>
      <c r="C1365" s="258" t="s">
        <v>103</v>
      </c>
      <c r="D1365" s="79">
        <v>131.83000000000001</v>
      </c>
      <c r="F1365" s="79">
        <v>131.83000000000001</v>
      </c>
      <c r="G1365" s="81"/>
      <c r="N1365" s="240"/>
      <c r="O1365" s="241"/>
      <c r="P1365" s="213"/>
    </row>
    <row r="1366" spans="1:16" ht="24">
      <c r="A1366" s="83" t="s">
        <v>2526</v>
      </c>
      <c r="B1366" s="257" t="s">
        <v>2527</v>
      </c>
      <c r="C1366" s="258" t="s">
        <v>103</v>
      </c>
      <c r="D1366" s="79">
        <v>143.53</v>
      </c>
      <c r="F1366" s="79">
        <v>143.53</v>
      </c>
      <c r="G1366" s="81"/>
      <c r="N1366" s="240"/>
      <c r="O1366" s="241"/>
      <c r="P1366" s="213"/>
    </row>
    <row r="1367" spans="1:16" ht="24">
      <c r="A1367" s="83" t="s">
        <v>2528</v>
      </c>
      <c r="B1367" s="257" t="s">
        <v>2529</v>
      </c>
      <c r="C1367" s="258" t="s">
        <v>103</v>
      </c>
      <c r="D1367" s="79">
        <v>252.49</v>
      </c>
      <c r="F1367" s="79">
        <v>252.49</v>
      </c>
      <c r="G1367" s="81"/>
      <c r="N1367" s="240"/>
      <c r="O1367" s="241"/>
      <c r="P1367" s="213"/>
    </row>
    <row r="1368" spans="1:16" ht="24">
      <c r="A1368" s="83" t="s">
        <v>2530</v>
      </c>
      <c r="B1368" s="257" t="s">
        <v>2531</v>
      </c>
      <c r="C1368" s="258" t="s">
        <v>103</v>
      </c>
      <c r="D1368" s="79">
        <v>119.89</v>
      </c>
      <c r="F1368" s="79">
        <v>119.89</v>
      </c>
      <c r="G1368" s="81"/>
      <c r="N1368" s="240"/>
      <c r="O1368" s="241"/>
      <c r="P1368" s="213"/>
    </row>
    <row r="1369" spans="1:16" ht="24">
      <c r="A1369" s="83" t="s">
        <v>2532</v>
      </c>
      <c r="B1369" s="257" t="s">
        <v>2533</v>
      </c>
      <c r="C1369" s="258" t="s">
        <v>103</v>
      </c>
      <c r="D1369" s="79">
        <v>176.25</v>
      </c>
      <c r="F1369" s="79">
        <v>176.25</v>
      </c>
      <c r="G1369" s="81"/>
      <c r="N1369" s="240"/>
      <c r="O1369" s="241"/>
      <c r="P1369" s="213"/>
    </row>
    <row r="1370" spans="1:16" ht="24">
      <c r="A1370" s="83" t="s">
        <v>2534</v>
      </c>
      <c r="B1370" s="257" t="s">
        <v>2535</v>
      </c>
      <c r="C1370" s="258" t="s">
        <v>103</v>
      </c>
      <c r="D1370" s="79">
        <v>232.98</v>
      </c>
      <c r="F1370" s="79">
        <v>232.98</v>
      </c>
      <c r="G1370" s="81"/>
      <c r="N1370" s="240"/>
      <c r="O1370" s="241"/>
      <c r="P1370" s="213"/>
    </row>
    <row r="1371" spans="1:16" ht="24">
      <c r="A1371" s="83" t="s">
        <v>2536</v>
      </c>
      <c r="B1371" s="257" t="s">
        <v>2537</v>
      </c>
      <c r="C1371" s="258" t="s">
        <v>103</v>
      </c>
      <c r="D1371" s="79">
        <v>388.53</v>
      </c>
      <c r="F1371" s="79">
        <v>388.53</v>
      </c>
      <c r="G1371" s="81"/>
      <c r="N1371" s="240"/>
      <c r="O1371" s="241"/>
      <c r="P1371" s="213"/>
    </row>
    <row r="1372" spans="1:16" ht="24">
      <c r="A1372" s="83" t="s">
        <v>2538</v>
      </c>
      <c r="B1372" s="257" t="s">
        <v>2539</v>
      </c>
      <c r="C1372" s="258" t="s">
        <v>103</v>
      </c>
      <c r="D1372" s="79">
        <v>82.65</v>
      </c>
      <c r="F1372" s="79">
        <v>82.65</v>
      </c>
      <c r="G1372" s="81"/>
      <c r="N1372" s="240"/>
      <c r="O1372" s="241"/>
      <c r="P1372" s="213"/>
    </row>
    <row r="1373" spans="1:16" ht="24">
      <c r="A1373" s="83" t="s">
        <v>2540</v>
      </c>
      <c r="B1373" s="257" t="s">
        <v>2541</v>
      </c>
      <c r="C1373" s="258" t="s">
        <v>103</v>
      </c>
      <c r="D1373" s="79">
        <v>93.49</v>
      </c>
      <c r="F1373" s="79">
        <v>93.49</v>
      </c>
      <c r="G1373" s="81"/>
      <c r="N1373" s="240"/>
      <c r="O1373" s="241"/>
      <c r="P1373" s="213"/>
    </row>
    <row r="1374" spans="1:16" ht="24">
      <c r="A1374" s="83" t="s">
        <v>2542</v>
      </c>
      <c r="B1374" s="257" t="s">
        <v>2543</v>
      </c>
      <c r="C1374" s="258" t="s">
        <v>103</v>
      </c>
      <c r="D1374" s="79">
        <v>121</v>
      </c>
      <c r="F1374" s="79">
        <v>121</v>
      </c>
      <c r="G1374" s="81"/>
      <c r="N1374" s="240"/>
      <c r="O1374" s="241"/>
      <c r="P1374" s="213"/>
    </row>
    <row r="1375" spans="1:16" ht="24">
      <c r="A1375" s="83" t="s">
        <v>2544</v>
      </c>
      <c r="B1375" s="257" t="s">
        <v>2545</v>
      </c>
      <c r="C1375" s="258" t="s">
        <v>103</v>
      </c>
      <c r="D1375" s="79">
        <v>167.05</v>
      </c>
      <c r="F1375" s="79">
        <v>167.05</v>
      </c>
      <c r="G1375" s="81"/>
      <c r="N1375" s="240"/>
      <c r="O1375" s="241"/>
      <c r="P1375" s="213"/>
    </row>
    <row r="1376" spans="1:16" ht="24">
      <c r="A1376" s="83" t="s">
        <v>2546</v>
      </c>
      <c r="B1376" s="257" t="s">
        <v>2547</v>
      </c>
      <c r="C1376" s="258" t="s">
        <v>103</v>
      </c>
      <c r="D1376" s="79">
        <v>63.39</v>
      </c>
      <c r="F1376" s="79">
        <v>63.39</v>
      </c>
      <c r="G1376" s="81"/>
      <c r="N1376" s="240"/>
      <c r="O1376" s="241"/>
      <c r="P1376" s="213"/>
    </row>
    <row r="1377" spans="1:16" ht="24">
      <c r="A1377" s="83" t="s">
        <v>2548</v>
      </c>
      <c r="B1377" s="257" t="s">
        <v>2549</v>
      </c>
      <c r="C1377" s="258" t="s">
        <v>103</v>
      </c>
      <c r="D1377" s="79">
        <v>87.65</v>
      </c>
      <c r="F1377" s="79">
        <v>87.65</v>
      </c>
      <c r="G1377" s="81"/>
      <c r="N1377" s="240"/>
      <c r="O1377" s="241"/>
      <c r="P1377" s="213"/>
    </row>
    <row r="1378" spans="1:16" ht="24">
      <c r="A1378" s="83" t="s">
        <v>2550</v>
      </c>
      <c r="B1378" s="257" t="s">
        <v>2551</v>
      </c>
      <c r="C1378" s="258" t="s">
        <v>103</v>
      </c>
      <c r="D1378" s="79">
        <v>162.79</v>
      </c>
      <c r="F1378" s="79">
        <v>162.79</v>
      </c>
      <c r="G1378" s="81"/>
      <c r="N1378" s="240"/>
      <c r="O1378" s="241"/>
      <c r="P1378" s="213"/>
    </row>
    <row r="1379" spans="1:16" ht="24">
      <c r="A1379" s="83" t="s">
        <v>2552</v>
      </c>
      <c r="B1379" s="257" t="s">
        <v>2553</v>
      </c>
      <c r="C1379" s="258" t="s">
        <v>103</v>
      </c>
      <c r="D1379" s="79">
        <v>208.55</v>
      </c>
      <c r="F1379" s="79">
        <v>208.55</v>
      </c>
      <c r="G1379" s="81"/>
      <c r="N1379" s="240"/>
      <c r="O1379" s="241"/>
      <c r="P1379" s="213"/>
    </row>
    <row r="1380" spans="1:16" ht="24">
      <c r="A1380" s="83" t="s">
        <v>2554</v>
      </c>
      <c r="B1380" s="257" t="s">
        <v>2555</v>
      </c>
      <c r="C1380" s="258" t="s">
        <v>103</v>
      </c>
      <c r="D1380" s="79">
        <v>227.14</v>
      </c>
      <c r="F1380" s="79">
        <v>227.14</v>
      </c>
      <c r="G1380" s="81"/>
      <c r="N1380" s="240"/>
      <c r="O1380" s="241"/>
      <c r="P1380" s="213"/>
    </row>
    <row r="1381" spans="1:16" ht="24">
      <c r="A1381" s="83" t="s">
        <v>2556</v>
      </c>
      <c r="B1381" s="257" t="s">
        <v>2557</v>
      </c>
      <c r="C1381" s="258" t="s">
        <v>103</v>
      </c>
      <c r="D1381" s="79">
        <v>239.82</v>
      </c>
      <c r="F1381" s="79">
        <v>239.82</v>
      </c>
      <c r="G1381" s="81"/>
      <c r="N1381" s="240"/>
      <c r="O1381" s="241"/>
      <c r="P1381" s="213"/>
    </row>
    <row r="1382" spans="1:16" ht="24">
      <c r="A1382" s="83" t="s">
        <v>2558</v>
      </c>
      <c r="B1382" s="257" t="s">
        <v>2559</v>
      </c>
      <c r="C1382" s="258" t="s">
        <v>103</v>
      </c>
      <c r="D1382" s="79">
        <v>273.02</v>
      </c>
      <c r="F1382" s="79">
        <v>273.02</v>
      </c>
      <c r="G1382" s="81"/>
      <c r="N1382" s="240"/>
      <c r="O1382" s="241"/>
      <c r="P1382" s="213"/>
    </row>
    <row r="1383" spans="1:16" ht="24">
      <c r="A1383" s="83" t="s">
        <v>2560</v>
      </c>
      <c r="B1383" s="257" t="s">
        <v>2561</v>
      </c>
      <c r="C1383" s="258" t="s">
        <v>103</v>
      </c>
      <c r="D1383" s="79">
        <v>282.39</v>
      </c>
      <c r="F1383" s="79">
        <v>282.39</v>
      </c>
      <c r="G1383" s="81"/>
      <c r="N1383" s="240"/>
      <c r="O1383" s="241"/>
      <c r="P1383" s="213"/>
    </row>
    <row r="1384" spans="1:16" ht="24">
      <c r="A1384" s="83" t="s">
        <v>2562</v>
      </c>
      <c r="B1384" s="257" t="s">
        <v>2563</v>
      </c>
      <c r="C1384" s="258" t="s">
        <v>103</v>
      </c>
      <c r="D1384" s="79">
        <v>383.86</v>
      </c>
      <c r="F1384" s="79">
        <v>383.86</v>
      </c>
      <c r="G1384" s="81"/>
      <c r="N1384" s="240"/>
      <c r="O1384" s="241"/>
      <c r="P1384" s="213"/>
    </row>
    <row r="1385" spans="1:16" ht="24">
      <c r="A1385" s="83" t="s">
        <v>2564</v>
      </c>
      <c r="B1385" s="257" t="s">
        <v>2565</v>
      </c>
      <c r="C1385" s="258" t="s">
        <v>103</v>
      </c>
      <c r="D1385" s="79">
        <v>304.2</v>
      </c>
      <c r="F1385" s="79">
        <v>304.2</v>
      </c>
      <c r="G1385" s="81"/>
      <c r="N1385" s="240"/>
      <c r="O1385" s="241"/>
      <c r="P1385" s="213"/>
    </row>
    <row r="1386" spans="1:16" ht="24">
      <c r="A1386" s="83" t="s">
        <v>2566</v>
      </c>
      <c r="B1386" s="257" t="s">
        <v>2567</v>
      </c>
      <c r="C1386" s="258" t="s">
        <v>103</v>
      </c>
      <c r="D1386" s="79">
        <v>146.31</v>
      </c>
      <c r="F1386" s="79">
        <v>146.31</v>
      </c>
      <c r="G1386" s="81"/>
      <c r="N1386" s="240"/>
      <c r="O1386" s="241"/>
      <c r="P1386" s="213"/>
    </row>
    <row r="1387" spans="1:16" ht="24">
      <c r="A1387" s="83" t="s">
        <v>2568</v>
      </c>
      <c r="B1387" s="257" t="s">
        <v>2569</v>
      </c>
      <c r="C1387" s="258" t="s">
        <v>103</v>
      </c>
      <c r="D1387" s="79">
        <v>185.38</v>
      </c>
      <c r="F1387" s="79">
        <v>185.38</v>
      </c>
      <c r="G1387" s="81"/>
      <c r="N1387" s="240"/>
      <c r="O1387" s="241"/>
      <c r="P1387" s="213"/>
    </row>
    <row r="1388" spans="1:16" ht="24">
      <c r="A1388" s="83" t="s">
        <v>2570</v>
      </c>
      <c r="B1388" s="257" t="s">
        <v>2571</v>
      </c>
      <c r="C1388" s="258" t="s">
        <v>103</v>
      </c>
      <c r="D1388" s="79">
        <v>222.42</v>
      </c>
      <c r="F1388" s="79">
        <v>222.42</v>
      </c>
      <c r="G1388" s="81"/>
      <c r="N1388" s="240"/>
      <c r="O1388" s="241"/>
      <c r="P1388" s="213"/>
    </row>
    <row r="1389" spans="1:16" ht="24">
      <c r="A1389" s="83" t="s">
        <v>2572</v>
      </c>
      <c r="B1389" s="257" t="s">
        <v>2573</v>
      </c>
      <c r="C1389" s="258" t="s">
        <v>103</v>
      </c>
      <c r="D1389" s="79">
        <v>228.68</v>
      </c>
      <c r="F1389" s="79">
        <v>228.68</v>
      </c>
      <c r="G1389" s="81"/>
      <c r="N1389" s="240"/>
      <c r="O1389" s="241"/>
      <c r="P1389" s="213"/>
    </row>
    <row r="1390" spans="1:16" ht="24">
      <c r="A1390" s="83" t="s">
        <v>2574</v>
      </c>
      <c r="B1390" s="257" t="s">
        <v>2575</v>
      </c>
      <c r="C1390" s="258" t="s">
        <v>103</v>
      </c>
      <c r="D1390" s="79">
        <v>240.59</v>
      </c>
      <c r="F1390" s="79">
        <v>240.59</v>
      </c>
      <c r="G1390" s="81"/>
      <c r="N1390" s="240"/>
      <c r="O1390" s="241"/>
      <c r="P1390" s="213"/>
    </row>
    <row r="1391" spans="1:16" ht="24">
      <c r="A1391" s="83" t="s">
        <v>2576</v>
      </c>
      <c r="B1391" s="257" t="s">
        <v>2577</v>
      </c>
      <c r="C1391" s="258" t="s">
        <v>103</v>
      </c>
      <c r="D1391" s="79">
        <v>286.64</v>
      </c>
      <c r="F1391" s="79">
        <v>286.64</v>
      </c>
      <c r="G1391" s="81"/>
      <c r="N1391" s="240"/>
      <c r="O1391" s="241"/>
      <c r="P1391" s="213"/>
    </row>
    <row r="1392" spans="1:16" ht="24">
      <c r="A1392" s="83" t="s">
        <v>2578</v>
      </c>
      <c r="B1392" s="257" t="s">
        <v>2579</v>
      </c>
      <c r="C1392" s="258" t="s">
        <v>103</v>
      </c>
      <c r="D1392" s="79">
        <v>55.93</v>
      </c>
      <c r="F1392" s="79">
        <v>55.93</v>
      </c>
      <c r="G1392" s="81"/>
      <c r="N1392" s="240"/>
      <c r="O1392" s="241"/>
      <c r="P1392" s="213"/>
    </row>
    <row r="1393" spans="1:16" ht="24">
      <c r="A1393" s="83" t="s">
        <v>2580</v>
      </c>
      <c r="B1393" s="257" t="s">
        <v>2581</v>
      </c>
      <c r="C1393" s="258" t="s">
        <v>103</v>
      </c>
      <c r="D1393" s="79">
        <v>66.739999999999995</v>
      </c>
      <c r="F1393" s="79">
        <v>66.739999999999995</v>
      </c>
      <c r="G1393" s="81"/>
      <c r="N1393" s="240"/>
      <c r="O1393" s="241"/>
      <c r="P1393" s="213"/>
    </row>
    <row r="1394" spans="1:16" ht="24">
      <c r="A1394" s="83" t="s">
        <v>2582</v>
      </c>
      <c r="B1394" s="257" t="s">
        <v>2583</v>
      </c>
      <c r="C1394" s="258" t="s">
        <v>103</v>
      </c>
      <c r="D1394" s="79">
        <v>161.19</v>
      </c>
      <c r="F1394" s="79">
        <v>161.19</v>
      </c>
      <c r="G1394" s="81"/>
      <c r="N1394" s="240"/>
      <c r="O1394" s="241"/>
      <c r="P1394" s="213"/>
    </row>
    <row r="1395" spans="1:16" ht="24">
      <c r="A1395" s="83" t="s">
        <v>2584</v>
      </c>
      <c r="B1395" s="257" t="s">
        <v>2585</v>
      </c>
      <c r="C1395" s="258" t="s">
        <v>103</v>
      </c>
      <c r="D1395" s="79">
        <v>186.38</v>
      </c>
      <c r="F1395" s="79">
        <v>186.38</v>
      </c>
      <c r="G1395" s="81"/>
      <c r="N1395" s="240"/>
      <c r="O1395" s="241"/>
      <c r="P1395" s="213"/>
    </row>
    <row r="1396" spans="1:16" ht="24">
      <c r="A1396" s="83" t="s">
        <v>2586</v>
      </c>
      <c r="B1396" s="257" t="s">
        <v>2587</v>
      </c>
      <c r="C1396" s="258" t="s">
        <v>103</v>
      </c>
      <c r="D1396" s="79">
        <v>244.38</v>
      </c>
      <c r="F1396" s="79">
        <v>244.38</v>
      </c>
      <c r="G1396" s="81"/>
      <c r="N1396" s="240"/>
      <c r="O1396" s="241"/>
      <c r="P1396" s="213"/>
    </row>
    <row r="1397" spans="1:16" ht="24">
      <c r="A1397" s="83" t="s">
        <v>2588</v>
      </c>
      <c r="B1397" s="257" t="s">
        <v>2589</v>
      </c>
      <c r="C1397" s="258" t="s">
        <v>103</v>
      </c>
      <c r="D1397" s="79">
        <v>128.71</v>
      </c>
      <c r="F1397" s="79">
        <v>128.71</v>
      </c>
      <c r="G1397" s="81"/>
      <c r="N1397" s="240"/>
      <c r="O1397" s="241"/>
      <c r="P1397" s="213"/>
    </row>
    <row r="1398" spans="1:16" ht="24">
      <c r="A1398" s="83" t="s">
        <v>2590</v>
      </c>
      <c r="B1398" s="257" t="s">
        <v>2591</v>
      </c>
      <c r="C1398" s="258" t="s">
        <v>103</v>
      </c>
      <c r="D1398" s="79">
        <v>199.05</v>
      </c>
      <c r="F1398" s="79">
        <v>199.05</v>
      </c>
      <c r="G1398" s="81"/>
      <c r="N1398" s="240"/>
      <c r="O1398" s="241"/>
      <c r="P1398" s="213"/>
    </row>
    <row r="1399" spans="1:16" ht="24">
      <c r="A1399" s="83" t="s">
        <v>2592</v>
      </c>
      <c r="B1399" s="257" t="s">
        <v>2593</v>
      </c>
      <c r="C1399" s="258" t="s">
        <v>103</v>
      </c>
      <c r="D1399" s="79">
        <v>291.27999999999997</v>
      </c>
      <c r="F1399" s="79">
        <v>291.27999999999997</v>
      </c>
      <c r="G1399" s="81"/>
      <c r="N1399" s="240"/>
      <c r="O1399" s="241"/>
      <c r="P1399" s="213"/>
    </row>
    <row r="1400" spans="1:16" ht="24">
      <c r="A1400" s="83" t="s">
        <v>2594</v>
      </c>
      <c r="B1400" s="257" t="s">
        <v>2595</v>
      </c>
      <c r="C1400" s="258" t="s">
        <v>103</v>
      </c>
      <c r="D1400" s="79">
        <v>347.17</v>
      </c>
      <c r="F1400" s="79">
        <v>347.17</v>
      </c>
      <c r="G1400" s="81"/>
      <c r="N1400" s="240"/>
      <c r="O1400" s="241"/>
      <c r="P1400" s="213"/>
    </row>
    <row r="1401" spans="1:16" ht="24">
      <c r="A1401" s="83" t="s">
        <v>2596</v>
      </c>
      <c r="B1401" s="257" t="s">
        <v>2597</v>
      </c>
      <c r="C1401" s="258" t="s">
        <v>103</v>
      </c>
      <c r="D1401" s="79">
        <v>962.19</v>
      </c>
      <c r="F1401" s="79">
        <v>962.19</v>
      </c>
      <c r="G1401" s="81"/>
      <c r="N1401" s="240"/>
      <c r="O1401" s="241"/>
      <c r="P1401" s="213"/>
    </row>
    <row r="1402" spans="1:16" ht="24">
      <c r="A1402" s="83" t="s">
        <v>2598</v>
      </c>
      <c r="B1402" s="257" t="s">
        <v>2599</v>
      </c>
      <c r="C1402" s="258" t="s">
        <v>103</v>
      </c>
      <c r="D1402" s="79">
        <v>258.72000000000003</v>
      </c>
      <c r="F1402" s="79">
        <v>258.72000000000003</v>
      </c>
      <c r="G1402" s="81"/>
      <c r="N1402" s="240"/>
      <c r="O1402" s="241"/>
      <c r="P1402" s="213"/>
    </row>
    <row r="1403" spans="1:16" ht="12">
      <c r="A1403" s="83" t="s">
        <v>2600</v>
      </c>
      <c r="B1403" s="257" t="s">
        <v>2601</v>
      </c>
      <c r="C1403" s="258" t="s">
        <v>103</v>
      </c>
      <c r="D1403" s="79">
        <v>283.83999999999997</v>
      </c>
      <c r="F1403" s="79">
        <v>283.83999999999997</v>
      </c>
      <c r="G1403" s="81"/>
      <c r="N1403" s="240"/>
      <c r="O1403" s="241"/>
      <c r="P1403" s="213"/>
    </row>
    <row r="1404" spans="1:16" ht="24">
      <c r="A1404" s="83" t="s">
        <v>2602</v>
      </c>
      <c r="B1404" s="257" t="s">
        <v>2603</v>
      </c>
      <c r="C1404" s="258" t="s">
        <v>103</v>
      </c>
      <c r="D1404" s="79">
        <v>1187.0999999999999</v>
      </c>
      <c r="F1404" s="79">
        <v>1187.0999999999999</v>
      </c>
      <c r="G1404" s="81"/>
      <c r="N1404" s="240"/>
      <c r="O1404" s="241"/>
      <c r="P1404" s="213"/>
    </row>
    <row r="1405" spans="1:16" ht="24">
      <c r="A1405" s="83" t="s">
        <v>2604</v>
      </c>
      <c r="B1405" s="257" t="s">
        <v>2605</v>
      </c>
      <c r="C1405" s="258" t="s">
        <v>396</v>
      </c>
      <c r="D1405" s="79">
        <v>973.19</v>
      </c>
      <c r="F1405" s="79">
        <v>973.19</v>
      </c>
      <c r="G1405" s="81"/>
      <c r="N1405" s="240"/>
      <c r="O1405" s="241"/>
      <c r="P1405" s="213"/>
    </row>
    <row r="1406" spans="1:16" ht="24">
      <c r="A1406" s="83" t="s">
        <v>2606</v>
      </c>
      <c r="B1406" s="257" t="s">
        <v>2607</v>
      </c>
      <c r="C1406" s="258" t="s">
        <v>103</v>
      </c>
      <c r="D1406" s="79">
        <v>111.21</v>
      </c>
      <c r="F1406" s="79">
        <v>111.21</v>
      </c>
      <c r="G1406" s="81"/>
      <c r="N1406" s="240"/>
      <c r="O1406" s="241"/>
      <c r="P1406" s="213"/>
    </row>
    <row r="1407" spans="1:16" ht="24">
      <c r="A1407" s="83" t="s">
        <v>2608</v>
      </c>
      <c r="B1407" s="257" t="s">
        <v>2609</v>
      </c>
      <c r="C1407" s="258" t="s">
        <v>103</v>
      </c>
      <c r="D1407" s="79">
        <v>595.13</v>
      </c>
      <c r="F1407" s="79">
        <v>595.13</v>
      </c>
      <c r="G1407" s="81"/>
      <c r="N1407" s="240"/>
      <c r="O1407" s="241"/>
      <c r="P1407" s="213"/>
    </row>
    <row r="1408" spans="1:16" ht="24">
      <c r="A1408" s="83" t="s">
        <v>2610</v>
      </c>
      <c r="B1408" s="257" t="s">
        <v>2611</v>
      </c>
      <c r="C1408" s="258" t="s">
        <v>103</v>
      </c>
      <c r="D1408" s="79">
        <v>870.52</v>
      </c>
      <c r="F1408" s="79">
        <v>870.52</v>
      </c>
      <c r="G1408" s="81"/>
      <c r="N1408" s="240"/>
      <c r="O1408" s="241"/>
      <c r="P1408" s="213"/>
    </row>
    <row r="1409" spans="1:16" ht="24">
      <c r="A1409" s="83" t="s">
        <v>2612</v>
      </c>
      <c r="B1409" s="257" t="s">
        <v>2613</v>
      </c>
      <c r="C1409" s="258" t="s">
        <v>103</v>
      </c>
      <c r="D1409" s="79">
        <v>241.12</v>
      </c>
      <c r="F1409" s="79">
        <v>241.12</v>
      </c>
      <c r="G1409" s="81"/>
      <c r="N1409" s="240"/>
      <c r="O1409" s="241"/>
      <c r="P1409" s="213"/>
    </row>
    <row r="1410" spans="1:16" ht="24">
      <c r="A1410" s="83" t="s">
        <v>2614</v>
      </c>
      <c r="B1410" s="257" t="s">
        <v>2615</v>
      </c>
      <c r="C1410" s="258" t="s">
        <v>103</v>
      </c>
      <c r="D1410" s="79">
        <v>494.42</v>
      </c>
      <c r="F1410" s="79">
        <v>494.42</v>
      </c>
      <c r="G1410" s="81"/>
      <c r="N1410" s="240"/>
      <c r="O1410" s="241"/>
      <c r="P1410" s="213"/>
    </row>
    <row r="1411" spans="1:16" ht="24">
      <c r="A1411" s="83" t="s">
        <v>2616</v>
      </c>
      <c r="B1411" s="257" t="s">
        <v>2617</v>
      </c>
      <c r="C1411" s="258" t="s">
        <v>103</v>
      </c>
      <c r="D1411" s="79">
        <v>538.5</v>
      </c>
      <c r="F1411" s="79">
        <v>538.5</v>
      </c>
      <c r="G1411" s="81"/>
      <c r="N1411" s="240"/>
      <c r="O1411" s="241"/>
      <c r="P1411" s="213"/>
    </row>
    <row r="1412" spans="1:16" ht="24">
      <c r="A1412" s="83" t="s">
        <v>2618</v>
      </c>
      <c r="B1412" s="257" t="s">
        <v>2619</v>
      </c>
      <c r="C1412" s="258" t="s">
        <v>103</v>
      </c>
      <c r="D1412" s="79">
        <v>592.04999999999995</v>
      </c>
      <c r="F1412" s="79">
        <v>592.04999999999995</v>
      </c>
      <c r="G1412" s="81"/>
      <c r="N1412" s="240"/>
      <c r="O1412" s="241"/>
      <c r="P1412" s="213"/>
    </row>
    <row r="1413" spans="1:16" ht="24">
      <c r="A1413" s="83" t="s">
        <v>2620</v>
      </c>
      <c r="B1413" s="257" t="s">
        <v>2621</v>
      </c>
      <c r="C1413" s="258" t="s">
        <v>165</v>
      </c>
      <c r="D1413" s="79">
        <v>373.01</v>
      </c>
      <c r="F1413" s="79">
        <v>373.01</v>
      </c>
      <c r="G1413" s="81"/>
      <c r="N1413" s="240"/>
      <c r="O1413" s="241"/>
      <c r="P1413" s="213"/>
    </row>
    <row r="1414" spans="1:16" ht="24">
      <c r="A1414" s="83" t="s">
        <v>2622</v>
      </c>
      <c r="B1414" s="257" t="s">
        <v>2623</v>
      </c>
      <c r="C1414" s="258" t="s">
        <v>103</v>
      </c>
      <c r="D1414" s="79">
        <v>631.70000000000005</v>
      </c>
      <c r="F1414" s="79">
        <v>631.70000000000005</v>
      </c>
      <c r="G1414" s="81"/>
      <c r="N1414" s="240"/>
      <c r="O1414" s="241"/>
      <c r="P1414" s="213"/>
    </row>
    <row r="1415" spans="1:16" ht="12">
      <c r="A1415" s="83" t="s">
        <v>2624</v>
      </c>
      <c r="B1415" s="257" t="s">
        <v>2625</v>
      </c>
      <c r="C1415" s="258" t="s">
        <v>103</v>
      </c>
      <c r="D1415" s="79">
        <v>122.16</v>
      </c>
      <c r="F1415" s="79">
        <v>122.16</v>
      </c>
      <c r="G1415" s="81"/>
      <c r="N1415" s="240"/>
      <c r="O1415" s="241"/>
      <c r="P1415" s="213"/>
    </row>
    <row r="1416" spans="1:16" ht="24">
      <c r="A1416" s="83" t="s">
        <v>2626</v>
      </c>
      <c r="B1416" s="257" t="s">
        <v>2627</v>
      </c>
      <c r="C1416" s="258" t="s">
        <v>103</v>
      </c>
      <c r="D1416" s="79">
        <v>396.09</v>
      </c>
      <c r="F1416" s="79">
        <v>396.09</v>
      </c>
      <c r="G1416" s="81"/>
      <c r="N1416" s="240"/>
      <c r="O1416" s="241"/>
      <c r="P1416" s="213"/>
    </row>
    <row r="1417" spans="1:16" ht="24">
      <c r="A1417" s="63" t="s">
        <v>2628</v>
      </c>
      <c r="B1417" s="257" t="s">
        <v>2629</v>
      </c>
      <c r="C1417" s="258" t="s">
        <v>103</v>
      </c>
      <c r="D1417" s="79">
        <v>532.71</v>
      </c>
      <c r="F1417" s="79">
        <v>532.71</v>
      </c>
      <c r="G1417" s="81"/>
      <c r="N1417" s="61"/>
      <c r="O1417" s="241"/>
      <c r="P1417" s="213"/>
    </row>
    <row r="1418" spans="1:16" ht="24">
      <c r="A1418" s="83" t="s">
        <v>2630</v>
      </c>
      <c r="B1418" s="257" t="s">
        <v>2631</v>
      </c>
      <c r="C1418" s="258" t="s">
        <v>103</v>
      </c>
      <c r="D1418" s="79">
        <v>605.98</v>
      </c>
      <c r="F1418" s="79">
        <v>605.98</v>
      </c>
      <c r="G1418" s="81"/>
      <c r="N1418" s="240"/>
      <c r="O1418" s="241"/>
      <c r="P1418" s="213"/>
    </row>
    <row r="1419" spans="1:16" ht="24">
      <c r="A1419" s="63" t="s">
        <v>2632</v>
      </c>
      <c r="B1419" s="257" t="s">
        <v>2633</v>
      </c>
      <c r="C1419" s="258" t="s">
        <v>103</v>
      </c>
      <c r="D1419" s="79">
        <v>761.39</v>
      </c>
      <c r="F1419" s="79">
        <v>761.39</v>
      </c>
      <c r="G1419" s="81"/>
      <c r="N1419" s="61"/>
      <c r="O1419" s="241"/>
      <c r="P1419" s="213"/>
    </row>
    <row r="1420" spans="1:16" ht="24">
      <c r="A1420" s="83" t="s">
        <v>2634</v>
      </c>
      <c r="B1420" s="257" t="s">
        <v>2635</v>
      </c>
      <c r="C1420" s="258" t="s">
        <v>103</v>
      </c>
      <c r="D1420" s="79">
        <v>177.14</v>
      </c>
      <c r="F1420" s="79">
        <v>177.14</v>
      </c>
      <c r="G1420" s="81"/>
      <c r="N1420" s="240"/>
      <c r="O1420" s="241"/>
      <c r="P1420" s="213"/>
    </row>
    <row r="1421" spans="1:16" ht="24">
      <c r="A1421" s="263" t="s">
        <v>2636</v>
      </c>
      <c r="B1421" s="263" t="s">
        <v>2637</v>
      </c>
      <c r="C1421" s="264" t="s">
        <v>103</v>
      </c>
      <c r="D1421" s="79">
        <v>524.01</v>
      </c>
      <c r="E1421" s="182"/>
      <c r="F1421" s="519">
        <v>524.01</v>
      </c>
      <c r="G1421" s="242"/>
      <c r="H1421" s="242"/>
      <c r="I1421" s="242"/>
      <c r="J1421" s="242"/>
      <c r="K1421" s="242"/>
      <c r="L1421" s="242"/>
      <c r="M1421" s="242"/>
      <c r="N1421" s="242"/>
      <c r="O1421" s="242"/>
      <c r="P1421" s="242"/>
    </row>
    <row r="1422" spans="1:16" ht="24">
      <c r="A1422" s="83" t="s">
        <v>2638</v>
      </c>
      <c r="B1422" s="257" t="s">
        <v>2639</v>
      </c>
      <c r="C1422" s="258" t="s">
        <v>103</v>
      </c>
      <c r="D1422" s="79">
        <v>230.05</v>
      </c>
      <c r="F1422" s="79">
        <v>230.05</v>
      </c>
      <c r="G1422" s="81"/>
      <c r="N1422" s="240"/>
      <c r="O1422" s="241"/>
      <c r="P1422" s="213"/>
    </row>
    <row r="1423" spans="1:16" ht="24">
      <c r="A1423" s="83" t="s">
        <v>2640</v>
      </c>
      <c r="B1423" s="257" t="s">
        <v>2641</v>
      </c>
      <c r="C1423" s="258" t="s">
        <v>103</v>
      </c>
      <c r="D1423" s="79">
        <v>1024.56</v>
      </c>
      <c r="F1423" s="79">
        <v>1024.56</v>
      </c>
      <c r="G1423" s="81"/>
      <c r="N1423" s="240"/>
      <c r="O1423" s="241"/>
      <c r="P1423" s="213"/>
    </row>
    <row r="1424" spans="1:16" ht="24">
      <c r="A1424" s="83" t="s">
        <v>2642</v>
      </c>
      <c r="B1424" s="257" t="s">
        <v>2643</v>
      </c>
      <c r="C1424" s="258" t="s">
        <v>103</v>
      </c>
      <c r="D1424" s="79">
        <v>3320.29</v>
      </c>
      <c r="F1424" s="79">
        <v>3320.29</v>
      </c>
      <c r="G1424" s="81"/>
      <c r="N1424" s="240"/>
      <c r="O1424" s="241"/>
      <c r="P1424" s="213"/>
    </row>
    <row r="1425" spans="1:16" ht="24">
      <c r="A1425" s="83" t="s">
        <v>2644</v>
      </c>
      <c r="B1425" s="257" t="s">
        <v>2645</v>
      </c>
      <c r="C1425" s="258" t="s">
        <v>103</v>
      </c>
      <c r="D1425" s="79">
        <v>1458.11</v>
      </c>
      <c r="F1425" s="79">
        <v>1458.11</v>
      </c>
      <c r="G1425" s="81"/>
      <c r="N1425" s="240"/>
      <c r="O1425" s="241"/>
      <c r="P1425" s="213"/>
    </row>
    <row r="1426" spans="1:16" ht="24">
      <c r="A1426" s="83" t="s">
        <v>2646</v>
      </c>
      <c r="B1426" s="257" t="s">
        <v>2647</v>
      </c>
      <c r="C1426" s="258" t="s">
        <v>103</v>
      </c>
      <c r="D1426" s="79">
        <v>3149.17</v>
      </c>
      <c r="F1426" s="79">
        <v>3149.17</v>
      </c>
      <c r="G1426" s="81"/>
      <c r="N1426" s="240"/>
      <c r="O1426" s="241"/>
      <c r="P1426" s="213"/>
    </row>
    <row r="1427" spans="1:16" ht="24">
      <c r="A1427" s="83" t="s">
        <v>2648</v>
      </c>
      <c r="B1427" s="257" t="s">
        <v>2649</v>
      </c>
      <c r="C1427" s="258" t="s">
        <v>103</v>
      </c>
      <c r="D1427" s="79">
        <v>347.2</v>
      </c>
      <c r="F1427" s="79">
        <v>347.2</v>
      </c>
      <c r="G1427" s="81"/>
      <c r="N1427" s="240"/>
      <c r="O1427" s="241"/>
      <c r="P1427" s="213"/>
    </row>
    <row r="1428" spans="1:16" ht="24">
      <c r="A1428" s="83" t="s">
        <v>2650</v>
      </c>
      <c r="B1428" s="257" t="s">
        <v>2651</v>
      </c>
      <c r="C1428" s="258" t="s">
        <v>103</v>
      </c>
      <c r="D1428" s="79">
        <v>614.86</v>
      </c>
      <c r="F1428" s="79">
        <v>614.86</v>
      </c>
      <c r="G1428" s="81"/>
      <c r="N1428" s="240"/>
      <c r="O1428" s="241"/>
      <c r="P1428" s="213"/>
    </row>
    <row r="1429" spans="1:16" ht="24">
      <c r="A1429" s="83" t="s">
        <v>2652</v>
      </c>
      <c r="B1429" s="257" t="s">
        <v>2653</v>
      </c>
      <c r="C1429" s="258" t="s">
        <v>103</v>
      </c>
      <c r="D1429" s="79">
        <v>718.31</v>
      </c>
      <c r="F1429" s="79">
        <v>718.31</v>
      </c>
      <c r="G1429" s="81"/>
      <c r="N1429" s="240"/>
      <c r="O1429" s="241"/>
      <c r="P1429" s="213"/>
    </row>
    <row r="1430" spans="1:16" ht="24">
      <c r="A1430" s="83" t="s">
        <v>2654</v>
      </c>
      <c r="B1430" s="257" t="s">
        <v>2655</v>
      </c>
      <c r="C1430" s="258" t="s">
        <v>103</v>
      </c>
      <c r="D1430" s="79">
        <v>1140.77</v>
      </c>
      <c r="F1430" s="79">
        <v>1140.77</v>
      </c>
      <c r="G1430" s="81"/>
      <c r="N1430" s="240"/>
      <c r="O1430" s="241"/>
      <c r="P1430" s="213"/>
    </row>
    <row r="1431" spans="1:16" ht="24">
      <c r="A1431" s="83" t="s">
        <v>2656</v>
      </c>
      <c r="B1431" s="64" t="s">
        <v>2657</v>
      </c>
      <c r="C1431" s="71" t="s">
        <v>103</v>
      </c>
      <c r="D1431" s="79">
        <v>385.79</v>
      </c>
      <c r="F1431" s="79">
        <v>385.79</v>
      </c>
      <c r="G1431" s="81"/>
      <c r="H1431" s="61"/>
      <c r="I1431" s="61"/>
      <c r="J1431" s="80"/>
      <c r="N1431" s="240"/>
      <c r="O1431" s="241"/>
      <c r="P1431" s="213"/>
    </row>
    <row r="1432" spans="1:16" ht="24">
      <c r="A1432" s="83" t="s">
        <v>2658</v>
      </c>
      <c r="B1432" s="64" t="s">
        <v>2659</v>
      </c>
      <c r="C1432" s="71" t="s">
        <v>103</v>
      </c>
      <c r="D1432" s="79">
        <v>507.95</v>
      </c>
      <c r="F1432" s="79">
        <v>507.95</v>
      </c>
      <c r="G1432" s="81"/>
      <c r="H1432" s="61"/>
      <c r="I1432" s="61"/>
      <c r="J1432" s="80"/>
      <c r="N1432" s="240"/>
      <c r="O1432" s="241"/>
      <c r="P1432" s="213"/>
    </row>
    <row r="1433" spans="1:16" ht="24">
      <c r="A1433" s="83" t="s">
        <v>2660</v>
      </c>
      <c r="B1433" s="64" t="s">
        <v>2661</v>
      </c>
      <c r="C1433" s="71" t="s">
        <v>103</v>
      </c>
      <c r="D1433" s="79">
        <v>814.22</v>
      </c>
      <c r="F1433" s="79">
        <v>814.22</v>
      </c>
      <c r="G1433" s="81"/>
      <c r="N1433" s="240"/>
      <c r="O1433" s="241"/>
      <c r="P1433" s="213"/>
    </row>
    <row r="1434" spans="1:16" ht="24">
      <c r="A1434" s="83" t="s">
        <v>2662</v>
      </c>
      <c r="B1434" s="64" t="s">
        <v>2663</v>
      </c>
      <c r="C1434" s="71" t="s">
        <v>103</v>
      </c>
      <c r="D1434" s="79">
        <v>1293.74</v>
      </c>
      <c r="F1434" s="79">
        <v>1293.74</v>
      </c>
      <c r="G1434" s="81"/>
      <c r="N1434" s="240"/>
      <c r="O1434" s="241"/>
      <c r="P1434" s="213"/>
    </row>
    <row r="1435" spans="1:16" ht="12">
      <c r="A1435" s="83" t="s">
        <v>2664</v>
      </c>
      <c r="B1435" s="257" t="s">
        <v>2665</v>
      </c>
      <c r="C1435" s="258" t="s">
        <v>103</v>
      </c>
      <c r="D1435" s="79">
        <v>293.36</v>
      </c>
      <c r="F1435" s="79">
        <v>293.36</v>
      </c>
      <c r="G1435" s="81"/>
      <c r="N1435" s="240"/>
      <c r="O1435" s="241"/>
      <c r="P1435" s="213"/>
    </row>
    <row r="1436" spans="1:16" ht="12">
      <c r="A1436" s="83" t="s">
        <v>2666</v>
      </c>
      <c r="B1436" s="257" t="s">
        <v>2667</v>
      </c>
      <c r="C1436" s="258" t="s">
        <v>103</v>
      </c>
      <c r="D1436" s="79">
        <v>105.79</v>
      </c>
      <c r="F1436" s="79">
        <v>105.79</v>
      </c>
      <c r="G1436" s="81"/>
      <c r="N1436" s="240"/>
      <c r="O1436" s="241"/>
      <c r="P1436" s="213"/>
    </row>
    <row r="1437" spans="1:16" ht="12">
      <c r="A1437" s="83" t="s">
        <v>2668</v>
      </c>
      <c r="B1437" s="257" t="s">
        <v>2669</v>
      </c>
      <c r="C1437" s="258" t="s">
        <v>103</v>
      </c>
      <c r="D1437" s="79">
        <v>142.09</v>
      </c>
      <c r="F1437" s="79">
        <v>142.09</v>
      </c>
      <c r="G1437" s="81"/>
      <c r="N1437" s="240"/>
      <c r="O1437" s="241"/>
      <c r="P1437" s="213"/>
    </row>
    <row r="1438" spans="1:16" ht="12">
      <c r="A1438" s="83" t="s">
        <v>2670</v>
      </c>
      <c r="B1438" s="257" t="s">
        <v>2671</v>
      </c>
      <c r="C1438" s="258" t="s">
        <v>103</v>
      </c>
      <c r="D1438" s="79">
        <v>158.07</v>
      </c>
      <c r="F1438" s="79">
        <v>158.07</v>
      </c>
      <c r="G1438" s="81"/>
      <c r="N1438" s="240"/>
      <c r="O1438" s="241"/>
      <c r="P1438" s="213"/>
    </row>
    <row r="1439" spans="1:16" ht="12">
      <c r="A1439" s="83" t="s">
        <v>2672</v>
      </c>
      <c r="B1439" s="257" t="s">
        <v>2673</v>
      </c>
      <c r="C1439" s="258" t="s">
        <v>103</v>
      </c>
      <c r="D1439" s="79">
        <v>137.22</v>
      </c>
      <c r="F1439" s="79">
        <v>137.22</v>
      </c>
      <c r="G1439" s="81"/>
      <c r="N1439" s="240"/>
      <c r="O1439" s="241"/>
      <c r="P1439" s="213"/>
    </row>
    <row r="1440" spans="1:16" ht="12">
      <c r="A1440" s="83" t="s">
        <v>2674</v>
      </c>
      <c r="B1440" s="257" t="s">
        <v>2675</v>
      </c>
      <c r="C1440" s="258" t="s">
        <v>103</v>
      </c>
      <c r="D1440" s="79">
        <v>203.48</v>
      </c>
      <c r="F1440" s="79">
        <v>203.48</v>
      </c>
      <c r="G1440" s="81"/>
      <c r="N1440" s="240"/>
      <c r="O1440" s="241"/>
      <c r="P1440" s="213"/>
    </row>
    <row r="1441" spans="1:16" ht="12">
      <c r="A1441" s="83" t="s">
        <v>2676</v>
      </c>
      <c r="B1441" s="257" t="s">
        <v>2677</v>
      </c>
      <c r="C1441" s="258" t="s">
        <v>103</v>
      </c>
      <c r="D1441" s="79">
        <v>178.48</v>
      </c>
      <c r="F1441" s="79">
        <v>178.48</v>
      </c>
      <c r="G1441" s="81"/>
      <c r="N1441" s="240"/>
      <c r="O1441" s="241"/>
      <c r="P1441" s="213"/>
    </row>
    <row r="1442" spans="1:16" ht="12">
      <c r="A1442" s="83" t="s">
        <v>2678</v>
      </c>
      <c r="B1442" s="257" t="s">
        <v>2679</v>
      </c>
      <c r="C1442" s="258" t="s">
        <v>103</v>
      </c>
      <c r="D1442" s="79">
        <v>239.95</v>
      </c>
      <c r="F1442" s="79">
        <v>239.95</v>
      </c>
      <c r="G1442" s="81"/>
      <c r="N1442" s="240"/>
      <c r="O1442" s="241"/>
      <c r="P1442" s="213"/>
    </row>
    <row r="1443" spans="1:16" ht="12">
      <c r="A1443" s="83" t="s">
        <v>2680</v>
      </c>
      <c r="B1443" s="257" t="s">
        <v>2681</v>
      </c>
      <c r="C1443" s="258" t="s">
        <v>103</v>
      </c>
      <c r="D1443" s="79">
        <v>479.15</v>
      </c>
      <c r="F1443" s="79">
        <v>479.15</v>
      </c>
      <c r="G1443" s="81"/>
      <c r="N1443" s="240"/>
      <c r="O1443" s="241"/>
      <c r="P1443" s="213"/>
    </row>
    <row r="1444" spans="1:16" ht="12">
      <c r="A1444" s="83" t="s">
        <v>2682</v>
      </c>
      <c r="B1444" s="257" t="s">
        <v>2683</v>
      </c>
      <c r="C1444" s="258" t="s">
        <v>103</v>
      </c>
      <c r="D1444" s="79">
        <v>206.71</v>
      </c>
      <c r="F1444" s="79">
        <v>206.71</v>
      </c>
      <c r="G1444" s="81"/>
      <c r="N1444" s="240"/>
      <c r="O1444" s="241"/>
      <c r="P1444" s="213"/>
    </row>
    <row r="1445" spans="1:16" ht="24">
      <c r="A1445" s="83" t="s">
        <v>2684</v>
      </c>
      <c r="B1445" s="257" t="s">
        <v>2685</v>
      </c>
      <c r="C1445" s="258" t="s">
        <v>103</v>
      </c>
      <c r="D1445" s="79">
        <v>521.51</v>
      </c>
      <c r="F1445" s="79">
        <v>521.51</v>
      </c>
      <c r="G1445" s="81"/>
      <c r="N1445" s="240"/>
      <c r="O1445" s="241"/>
      <c r="P1445" s="213"/>
    </row>
    <row r="1446" spans="1:16" ht="12">
      <c r="A1446" s="83" t="s">
        <v>2686</v>
      </c>
      <c r="B1446" s="257" t="s">
        <v>2687</v>
      </c>
      <c r="C1446" s="258" t="s">
        <v>103</v>
      </c>
      <c r="D1446" s="79">
        <v>180.1</v>
      </c>
      <c r="F1446" s="79">
        <v>180.1</v>
      </c>
      <c r="G1446" s="81"/>
      <c r="N1446" s="240"/>
      <c r="O1446" s="241"/>
      <c r="P1446" s="213"/>
    </row>
    <row r="1447" spans="1:16" ht="24">
      <c r="A1447" s="83" t="s">
        <v>2688</v>
      </c>
      <c r="B1447" s="257" t="s">
        <v>2689</v>
      </c>
      <c r="C1447" s="258" t="s">
        <v>103</v>
      </c>
      <c r="D1447" s="79">
        <v>898.92</v>
      </c>
      <c r="F1447" s="79">
        <v>898.92</v>
      </c>
      <c r="G1447" s="81"/>
      <c r="N1447" s="240"/>
      <c r="O1447" s="241"/>
      <c r="P1447" s="213"/>
    </row>
    <row r="1448" spans="1:16" ht="24">
      <c r="A1448" s="83" t="s">
        <v>2690</v>
      </c>
      <c r="B1448" s="257" t="s">
        <v>2691</v>
      </c>
      <c r="C1448" s="258" t="s">
        <v>103</v>
      </c>
      <c r="D1448" s="79">
        <v>220.27</v>
      </c>
      <c r="F1448" s="79">
        <v>220.27</v>
      </c>
      <c r="G1448" s="81"/>
      <c r="N1448" s="240"/>
      <c r="O1448" s="241"/>
      <c r="P1448" s="213"/>
    </row>
    <row r="1449" spans="1:16" ht="24">
      <c r="A1449" s="83" t="s">
        <v>2692</v>
      </c>
      <c r="B1449" s="257" t="s">
        <v>2693</v>
      </c>
      <c r="C1449" s="258" t="s">
        <v>103</v>
      </c>
      <c r="D1449" s="79">
        <v>491.27</v>
      </c>
      <c r="F1449" s="79">
        <v>491.27</v>
      </c>
      <c r="G1449" s="81"/>
      <c r="N1449" s="240"/>
      <c r="O1449" s="241"/>
      <c r="P1449" s="213"/>
    </row>
    <row r="1450" spans="1:16" ht="24">
      <c r="A1450" s="83" t="s">
        <v>2694</v>
      </c>
      <c r="B1450" s="257" t="s">
        <v>2695</v>
      </c>
      <c r="C1450" s="258" t="s">
        <v>165</v>
      </c>
      <c r="D1450" s="79">
        <v>1035.8699999999999</v>
      </c>
      <c r="F1450" s="79">
        <v>1035.8699999999999</v>
      </c>
      <c r="G1450" s="81"/>
      <c r="N1450" s="240"/>
      <c r="O1450" s="241"/>
      <c r="P1450" s="213"/>
    </row>
    <row r="1451" spans="1:16" ht="24">
      <c r="A1451" s="83" t="s">
        <v>2696</v>
      </c>
      <c r="B1451" s="257" t="s">
        <v>2697</v>
      </c>
      <c r="C1451" s="258" t="s">
        <v>103</v>
      </c>
      <c r="D1451" s="79">
        <v>1399.58</v>
      </c>
      <c r="F1451" s="79">
        <v>1399.58</v>
      </c>
      <c r="G1451" s="81"/>
      <c r="N1451" s="240"/>
      <c r="O1451" s="241"/>
      <c r="P1451" s="213"/>
    </row>
    <row r="1452" spans="1:16" ht="24">
      <c r="A1452" s="83" t="s">
        <v>2698</v>
      </c>
      <c r="B1452" s="257" t="s">
        <v>2699</v>
      </c>
      <c r="C1452" s="258" t="s">
        <v>103</v>
      </c>
      <c r="D1452" s="79">
        <v>579.78</v>
      </c>
      <c r="F1452" s="79">
        <v>579.78</v>
      </c>
      <c r="G1452" s="81"/>
      <c r="N1452" s="240"/>
      <c r="O1452" s="241"/>
      <c r="P1452" s="213"/>
    </row>
    <row r="1453" spans="1:16" ht="12">
      <c r="A1453" s="83" t="s">
        <v>2700</v>
      </c>
      <c r="B1453" s="257" t="s">
        <v>2701</v>
      </c>
      <c r="C1453" s="258" t="s">
        <v>103</v>
      </c>
      <c r="D1453" s="79">
        <v>1344.75</v>
      </c>
      <c r="F1453" s="79">
        <v>1344.75</v>
      </c>
      <c r="G1453" s="81"/>
      <c r="N1453" s="240"/>
      <c r="O1453" s="241"/>
      <c r="P1453" s="213"/>
    </row>
    <row r="1454" spans="1:16" ht="24">
      <c r="A1454" s="83" t="s">
        <v>2702</v>
      </c>
      <c r="B1454" s="257" t="s">
        <v>2703</v>
      </c>
      <c r="C1454" s="258" t="s">
        <v>103</v>
      </c>
      <c r="D1454" s="79">
        <v>1260.52</v>
      </c>
      <c r="F1454" s="79">
        <v>1260.52</v>
      </c>
      <c r="G1454" s="81"/>
      <c r="N1454" s="240"/>
      <c r="O1454" s="241"/>
      <c r="P1454" s="213"/>
    </row>
    <row r="1455" spans="1:16" ht="12">
      <c r="A1455" s="83" t="s">
        <v>2704</v>
      </c>
      <c r="B1455" s="257" t="s">
        <v>2705</v>
      </c>
      <c r="C1455" s="258" t="s">
        <v>103</v>
      </c>
      <c r="D1455" s="79">
        <v>3387.46</v>
      </c>
      <c r="F1455" s="79">
        <v>3387.46</v>
      </c>
      <c r="G1455" s="81"/>
      <c r="N1455" s="240"/>
      <c r="O1455" s="241"/>
      <c r="P1455" s="213"/>
    </row>
    <row r="1456" spans="1:16" ht="12">
      <c r="A1456" s="83" t="s">
        <v>2706</v>
      </c>
      <c r="B1456" s="257" t="s">
        <v>2707</v>
      </c>
      <c r="C1456" s="258" t="s">
        <v>103</v>
      </c>
      <c r="D1456" s="79">
        <v>3279.8</v>
      </c>
      <c r="F1456" s="79">
        <v>3279.8</v>
      </c>
      <c r="G1456" s="81"/>
      <c r="N1456" s="240"/>
      <c r="O1456" s="241"/>
      <c r="P1456" s="213"/>
    </row>
    <row r="1457" spans="1:16" ht="12">
      <c r="A1457" s="83" t="s">
        <v>2708</v>
      </c>
      <c r="B1457" s="257" t="s">
        <v>2709</v>
      </c>
      <c r="C1457" s="258" t="s">
        <v>103</v>
      </c>
      <c r="D1457" s="79">
        <v>1863.95</v>
      </c>
      <c r="F1457" s="79">
        <v>1863.95</v>
      </c>
      <c r="G1457" s="81"/>
      <c r="N1457" s="240"/>
      <c r="O1457" s="241"/>
      <c r="P1457" s="213"/>
    </row>
    <row r="1458" spans="1:16" ht="12">
      <c r="A1458" s="83" t="s">
        <v>2710</v>
      </c>
      <c r="B1458" s="257" t="s">
        <v>2711</v>
      </c>
      <c r="C1458" s="258" t="s">
        <v>103</v>
      </c>
      <c r="D1458" s="79">
        <v>2437.5500000000002</v>
      </c>
      <c r="F1458" s="79">
        <v>2437.5500000000002</v>
      </c>
      <c r="G1458" s="81"/>
      <c r="N1458" s="240"/>
      <c r="O1458" s="241"/>
      <c r="P1458" s="213"/>
    </row>
    <row r="1459" spans="1:16" ht="12">
      <c r="A1459" s="83" t="s">
        <v>2712</v>
      </c>
      <c r="B1459" s="257" t="s">
        <v>2713</v>
      </c>
      <c r="C1459" s="258" t="s">
        <v>103</v>
      </c>
      <c r="D1459" s="79">
        <v>1868.05</v>
      </c>
      <c r="F1459" s="79">
        <v>1868.05</v>
      </c>
      <c r="G1459" s="81"/>
      <c r="N1459" s="240"/>
      <c r="O1459" s="241"/>
      <c r="P1459" s="213"/>
    </row>
    <row r="1460" spans="1:16" ht="12">
      <c r="A1460" s="83" t="s">
        <v>2714</v>
      </c>
      <c r="B1460" s="257" t="s">
        <v>2715</v>
      </c>
      <c r="C1460" s="258" t="s">
        <v>103</v>
      </c>
      <c r="D1460" s="79">
        <v>3193.67</v>
      </c>
      <c r="F1460" s="79">
        <v>3193.67</v>
      </c>
      <c r="G1460" s="81"/>
      <c r="N1460" s="240"/>
      <c r="O1460" s="241"/>
      <c r="P1460" s="213"/>
    </row>
    <row r="1461" spans="1:16" ht="12">
      <c r="A1461" s="83" t="s">
        <v>2716</v>
      </c>
      <c r="B1461" s="257" t="s">
        <v>2717</v>
      </c>
      <c r="C1461" s="258" t="s">
        <v>103</v>
      </c>
      <c r="D1461" s="79">
        <v>885.81</v>
      </c>
      <c r="F1461" s="79">
        <v>885.81</v>
      </c>
      <c r="G1461" s="81"/>
      <c r="N1461" s="240"/>
      <c r="O1461" s="241"/>
      <c r="P1461" s="213"/>
    </row>
    <row r="1462" spans="1:16" ht="24">
      <c r="A1462" s="83" t="s">
        <v>2718</v>
      </c>
      <c r="B1462" s="257" t="s">
        <v>2719</v>
      </c>
      <c r="C1462" s="258" t="s">
        <v>103</v>
      </c>
      <c r="D1462" s="79">
        <v>753.22</v>
      </c>
      <c r="F1462" s="79">
        <v>753.22</v>
      </c>
      <c r="G1462" s="81"/>
      <c r="N1462" s="240"/>
      <c r="O1462" s="241"/>
      <c r="P1462" s="213"/>
    </row>
    <row r="1463" spans="1:16" ht="12">
      <c r="A1463" s="83" t="s">
        <v>2720</v>
      </c>
      <c r="B1463" s="257" t="s">
        <v>2721</v>
      </c>
      <c r="C1463" s="258" t="s">
        <v>103</v>
      </c>
      <c r="D1463" s="79">
        <v>2144.88</v>
      </c>
      <c r="F1463" s="79">
        <v>2144.88</v>
      </c>
      <c r="G1463" s="81"/>
      <c r="N1463" s="240"/>
      <c r="O1463" s="241"/>
      <c r="P1463" s="213"/>
    </row>
    <row r="1464" spans="1:16" ht="24">
      <c r="A1464" s="83" t="s">
        <v>2722</v>
      </c>
      <c r="B1464" s="257" t="s">
        <v>2723</v>
      </c>
      <c r="C1464" s="258" t="s">
        <v>103</v>
      </c>
      <c r="D1464" s="79">
        <v>2966.73</v>
      </c>
      <c r="F1464" s="79">
        <v>2966.73</v>
      </c>
      <c r="G1464" s="81"/>
      <c r="N1464" s="240"/>
      <c r="O1464" s="241"/>
      <c r="P1464" s="213"/>
    </row>
    <row r="1465" spans="1:16" ht="24">
      <c r="A1465" s="83" t="s">
        <v>2724</v>
      </c>
      <c r="B1465" s="257" t="s">
        <v>2725</v>
      </c>
      <c r="C1465" s="258" t="s">
        <v>103</v>
      </c>
      <c r="D1465" s="79">
        <v>3308.67</v>
      </c>
      <c r="F1465" s="79">
        <v>3308.67</v>
      </c>
      <c r="G1465" s="81"/>
      <c r="N1465" s="240"/>
      <c r="O1465" s="241"/>
      <c r="P1465" s="213"/>
    </row>
    <row r="1466" spans="1:16" ht="24">
      <c r="A1466" s="83" t="s">
        <v>2726</v>
      </c>
      <c r="B1466" s="257" t="s">
        <v>2727</v>
      </c>
      <c r="C1466" s="258" t="s">
        <v>103</v>
      </c>
      <c r="D1466" s="79">
        <v>6600.5</v>
      </c>
      <c r="F1466" s="79">
        <v>6600.5</v>
      </c>
      <c r="G1466" s="81"/>
      <c r="N1466" s="240"/>
      <c r="O1466" s="241"/>
      <c r="P1466" s="213"/>
    </row>
    <row r="1467" spans="1:16" ht="24">
      <c r="A1467" s="83" t="s">
        <v>2728</v>
      </c>
      <c r="B1467" s="257" t="s">
        <v>42065</v>
      </c>
      <c r="C1467" s="258" t="s">
        <v>103</v>
      </c>
      <c r="D1467" s="79">
        <v>1208.99</v>
      </c>
      <c r="F1467" s="79">
        <v>1208.99</v>
      </c>
      <c r="G1467" s="81"/>
      <c r="N1467" s="240"/>
      <c r="O1467" s="241"/>
      <c r="P1467" s="213"/>
    </row>
    <row r="1468" spans="1:16" ht="24">
      <c r="A1468" s="83" t="s">
        <v>2729</v>
      </c>
      <c r="B1468" s="257" t="s">
        <v>42066</v>
      </c>
      <c r="C1468" s="258" t="s">
        <v>103</v>
      </c>
      <c r="D1468" s="79">
        <v>1602.38</v>
      </c>
      <c r="F1468" s="79">
        <v>1602.38</v>
      </c>
      <c r="G1468" s="81"/>
      <c r="N1468" s="240"/>
      <c r="O1468" s="241"/>
      <c r="P1468" s="213"/>
    </row>
    <row r="1469" spans="1:16" ht="24">
      <c r="A1469" s="83" t="s">
        <v>2730</v>
      </c>
      <c r="B1469" s="257" t="s">
        <v>42067</v>
      </c>
      <c r="C1469" s="258" t="s">
        <v>103</v>
      </c>
      <c r="D1469" s="79">
        <v>2365.4</v>
      </c>
      <c r="F1469" s="79">
        <v>2365.4</v>
      </c>
      <c r="G1469" s="81"/>
      <c r="N1469" s="240"/>
      <c r="O1469" s="241"/>
      <c r="P1469" s="213"/>
    </row>
    <row r="1470" spans="1:16" ht="12">
      <c r="A1470" s="83" t="s">
        <v>2731</v>
      </c>
      <c r="B1470" s="257" t="s">
        <v>2732</v>
      </c>
      <c r="C1470" s="258" t="s">
        <v>103</v>
      </c>
      <c r="D1470" s="79">
        <v>1092.47</v>
      </c>
      <c r="F1470" s="79">
        <v>1092.47</v>
      </c>
      <c r="G1470" s="81"/>
      <c r="N1470" s="240"/>
      <c r="O1470" s="241"/>
      <c r="P1470" s="213"/>
    </row>
    <row r="1471" spans="1:16" ht="24">
      <c r="A1471" s="83" t="s">
        <v>2733</v>
      </c>
      <c r="B1471" s="257" t="s">
        <v>2734</v>
      </c>
      <c r="C1471" s="258" t="s">
        <v>103</v>
      </c>
      <c r="D1471" s="79">
        <v>7205.13</v>
      </c>
      <c r="F1471" s="79">
        <v>7205.13</v>
      </c>
      <c r="G1471" s="81"/>
      <c r="N1471" s="240"/>
      <c r="O1471" s="241"/>
      <c r="P1471" s="213"/>
    </row>
    <row r="1472" spans="1:16" ht="24">
      <c r="A1472" s="83" t="s">
        <v>2735</v>
      </c>
      <c r="B1472" s="257" t="s">
        <v>2736</v>
      </c>
      <c r="C1472" s="258" t="s">
        <v>103</v>
      </c>
      <c r="D1472" s="79">
        <v>1138</v>
      </c>
      <c r="F1472" s="79">
        <v>1138</v>
      </c>
      <c r="G1472" s="81"/>
      <c r="N1472" s="240"/>
      <c r="O1472" s="241"/>
      <c r="P1472" s="213"/>
    </row>
    <row r="1473" spans="1:16" ht="24">
      <c r="A1473" s="83" t="s">
        <v>2737</v>
      </c>
      <c r="B1473" s="257" t="s">
        <v>2738</v>
      </c>
      <c r="C1473" s="258" t="s">
        <v>103</v>
      </c>
      <c r="D1473" s="79">
        <v>1787.54</v>
      </c>
      <c r="F1473" s="79">
        <v>1787.54</v>
      </c>
      <c r="G1473" s="81"/>
      <c r="N1473" s="240"/>
      <c r="O1473" s="241"/>
      <c r="P1473" s="213"/>
    </row>
    <row r="1474" spans="1:16" ht="12">
      <c r="A1474" s="83" t="s">
        <v>2739</v>
      </c>
      <c r="B1474" s="257" t="s">
        <v>2740</v>
      </c>
      <c r="C1474" s="258" t="s">
        <v>103</v>
      </c>
      <c r="D1474" s="79">
        <v>939.48</v>
      </c>
      <c r="F1474" s="79">
        <v>939.48</v>
      </c>
      <c r="G1474" s="81"/>
      <c r="N1474" s="240"/>
      <c r="O1474" s="241"/>
      <c r="P1474" s="213"/>
    </row>
    <row r="1475" spans="1:16" ht="24">
      <c r="A1475" s="83" t="s">
        <v>2741</v>
      </c>
      <c r="B1475" s="257" t="s">
        <v>28161</v>
      </c>
      <c r="C1475" s="258" t="s">
        <v>103</v>
      </c>
      <c r="D1475" s="79">
        <v>579.84</v>
      </c>
      <c r="F1475" s="79">
        <v>579.84</v>
      </c>
      <c r="G1475" s="81"/>
      <c r="N1475" s="240"/>
      <c r="O1475" s="241"/>
      <c r="P1475" s="213"/>
    </row>
    <row r="1476" spans="1:16" ht="24">
      <c r="A1476" s="83" t="s">
        <v>2742</v>
      </c>
      <c r="B1476" s="257" t="s">
        <v>2743</v>
      </c>
      <c r="C1476" s="258" t="s">
        <v>103</v>
      </c>
      <c r="D1476" s="79">
        <v>6301.3</v>
      </c>
      <c r="F1476" s="79">
        <v>6301.3</v>
      </c>
      <c r="G1476" s="81"/>
      <c r="N1476" s="240"/>
      <c r="O1476" s="241"/>
      <c r="P1476" s="213"/>
    </row>
    <row r="1477" spans="1:16" ht="24">
      <c r="A1477" s="83" t="s">
        <v>2744</v>
      </c>
      <c r="B1477" s="257" t="s">
        <v>2745</v>
      </c>
      <c r="C1477" s="258" t="s">
        <v>103</v>
      </c>
      <c r="D1477" s="79">
        <v>2064.2199999999998</v>
      </c>
      <c r="F1477" s="79">
        <v>2064.2199999999998</v>
      </c>
      <c r="G1477" s="81"/>
      <c r="N1477" s="240"/>
      <c r="O1477" s="241"/>
      <c r="P1477" s="213"/>
    </row>
    <row r="1478" spans="1:16" ht="24">
      <c r="A1478" s="83" t="s">
        <v>2746</v>
      </c>
      <c r="B1478" s="257" t="s">
        <v>2747</v>
      </c>
      <c r="C1478" s="258" t="s">
        <v>103</v>
      </c>
      <c r="D1478" s="79">
        <v>3272.3</v>
      </c>
      <c r="F1478" s="79">
        <v>3272.3</v>
      </c>
      <c r="G1478" s="81"/>
      <c r="N1478" s="240"/>
      <c r="O1478" s="241"/>
      <c r="P1478" s="213"/>
    </row>
    <row r="1479" spans="1:16" ht="12">
      <c r="A1479" s="83" t="s">
        <v>2748</v>
      </c>
      <c r="B1479" s="257" t="s">
        <v>2749</v>
      </c>
      <c r="C1479" s="258" t="s">
        <v>103</v>
      </c>
      <c r="D1479" s="79">
        <v>2187.09</v>
      </c>
      <c r="F1479" s="79">
        <v>2187.09</v>
      </c>
      <c r="G1479" s="81"/>
      <c r="N1479" s="240"/>
      <c r="O1479" s="241"/>
      <c r="P1479" s="213"/>
    </row>
    <row r="1480" spans="1:16" ht="24">
      <c r="A1480" s="67" t="s">
        <v>2750</v>
      </c>
      <c r="B1480" s="65" t="s">
        <v>2751</v>
      </c>
      <c r="C1480" s="71" t="s">
        <v>103</v>
      </c>
      <c r="D1480" s="79">
        <v>310.63</v>
      </c>
      <c r="F1480" s="79">
        <v>310.63</v>
      </c>
      <c r="G1480" s="81"/>
      <c r="N1480" s="133"/>
      <c r="O1480" s="241"/>
      <c r="P1480" s="213"/>
    </row>
    <row r="1481" spans="1:16" ht="24">
      <c r="A1481" s="67" t="s">
        <v>2752</v>
      </c>
      <c r="B1481" s="65" t="s">
        <v>2753</v>
      </c>
      <c r="C1481" s="71" t="s">
        <v>103</v>
      </c>
      <c r="D1481" s="79">
        <v>499.43</v>
      </c>
      <c r="F1481" s="79">
        <v>499.43</v>
      </c>
      <c r="G1481" s="81"/>
      <c r="N1481" s="133"/>
      <c r="O1481" s="241"/>
      <c r="P1481" s="213"/>
    </row>
    <row r="1482" spans="1:16" ht="24">
      <c r="A1482" s="83" t="s">
        <v>2754</v>
      </c>
      <c r="B1482" s="257" t="s">
        <v>2755</v>
      </c>
      <c r="C1482" s="258" t="s">
        <v>103</v>
      </c>
      <c r="D1482" s="79">
        <v>31013.77</v>
      </c>
      <c r="E1482" s="132"/>
      <c r="F1482" s="79">
        <v>31013.77</v>
      </c>
      <c r="G1482" s="81"/>
      <c r="N1482" s="240"/>
      <c r="O1482" s="241"/>
      <c r="P1482" s="213"/>
    </row>
    <row r="1483" spans="1:16" ht="12">
      <c r="A1483" s="83" t="s">
        <v>2756</v>
      </c>
      <c r="B1483" s="257" t="s">
        <v>2757</v>
      </c>
      <c r="C1483" s="258" t="s">
        <v>103</v>
      </c>
      <c r="D1483" s="79">
        <v>120.35</v>
      </c>
      <c r="F1483" s="79">
        <v>120.35</v>
      </c>
      <c r="G1483" s="81"/>
      <c r="N1483" s="240"/>
      <c r="O1483" s="241"/>
      <c r="P1483" s="213"/>
    </row>
    <row r="1484" spans="1:16" ht="24">
      <c r="A1484" s="83" t="s">
        <v>2758</v>
      </c>
      <c r="B1484" s="257" t="s">
        <v>28162</v>
      </c>
      <c r="C1484" s="258" t="s">
        <v>103</v>
      </c>
      <c r="D1484" s="79">
        <v>701.57</v>
      </c>
      <c r="F1484" s="79">
        <v>701.57</v>
      </c>
      <c r="G1484" s="81"/>
      <c r="N1484" s="240"/>
      <c r="O1484" s="241"/>
      <c r="P1484" s="213"/>
    </row>
    <row r="1485" spans="1:16" ht="12">
      <c r="A1485" s="83" t="s">
        <v>2759</v>
      </c>
      <c r="B1485" s="257" t="s">
        <v>2760</v>
      </c>
      <c r="C1485" s="258" t="s">
        <v>103</v>
      </c>
      <c r="D1485" s="79">
        <v>393.36</v>
      </c>
      <c r="F1485" s="79">
        <v>393.36</v>
      </c>
      <c r="G1485" s="81"/>
      <c r="N1485" s="240"/>
      <c r="O1485" s="241"/>
      <c r="P1485" s="213"/>
    </row>
    <row r="1486" spans="1:16" ht="12">
      <c r="A1486" s="83" t="s">
        <v>2761</v>
      </c>
      <c r="B1486" s="257" t="s">
        <v>2762</v>
      </c>
      <c r="C1486" s="258" t="s">
        <v>103</v>
      </c>
      <c r="D1486" s="79">
        <v>33.99</v>
      </c>
      <c r="F1486" s="79">
        <v>33.99</v>
      </c>
      <c r="G1486" s="81"/>
      <c r="N1486" s="240"/>
      <c r="O1486" s="241"/>
      <c r="P1486" s="213"/>
    </row>
    <row r="1487" spans="1:16" ht="12">
      <c r="A1487" s="83" t="s">
        <v>2763</v>
      </c>
      <c r="B1487" s="257" t="s">
        <v>2764</v>
      </c>
      <c r="C1487" s="258" t="s">
        <v>103</v>
      </c>
      <c r="D1487" s="79">
        <v>361.03</v>
      </c>
      <c r="F1487" s="79">
        <v>361.03</v>
      </c>
      <c r="G1487" s="81"/>
      <c r="N1487" s="240"/>
      <c r="O1487" s="241"/>
      <c r="P1487" s="213"/>
    </row>
    <row r="1488" spans="1:16" ht="12">
      <c r="A1488" s="83" t="s">
        <v>2765</v>
      </c>
      <c r="B1488" s="257" t="s">
        <v>2766</v>
      </c>
      <c r="C1488" s="258" t="s">
        <v>103</v>
      </c>
      <c r="D1488" s="79">
        <v>29.3</v>
      </c>
      <c r="F1488" s="79">
        <v>29.3</v>
      </c>
      <c r="G1488" s="81"/>
      <c r="N1488" s="240"/>
      <c r="O1488" s="241"/>
      <c r="P1488" s="213"/>
    </row>
    <row r="1489" spans="1:16" ht="12">
      <c r="A1489" s="83" t="s">
        <v>2767</v>
      </c>
      <c r="B1489" s="257" t="s">
        <v>2768</v>
      </c>
      <c r="C1489" s="258" t="s">
        <v>103</v>
      </c>
      <c r="D1489" s="79">
        <v>23.26</v>
      </c>
      <c r="F1489" s="79">
        <v>23.26</v>
      </c>
      <c r="G1489" s="81"/>
      <c r="N1489" s="240"/>
      <c r="O1489" s="241"/>
      <c r="P1489" s="213"/>
    </row>
    <row r="1490" spans="1:16" ht="12">
      <c r="A1490" s="83" t="s">
        <v>2769</v>
      </c>
      <c r="B1490" s="257" t="s">
        <v>2770</v>
      </c>
      <c r="C1490" s="258" t="s">
        <v>103</v>
      </c>
      <c r="D1490" s="79">
        <v>28.59</v>
      </c>
      <c r="F1490" s="79">
        <v>28.59</v>
      </c>
      <c r="G1490" s="81"/>
      <c r="N1490" s="240"/>
      <c r="O1490" s="241"/>
      <c r="P1490" s="213"/>
    </row>
    <row r="1491" spans="1:16" ht="12">
      <c r="A1491" s="83" t="s">
        <v>2771</v>
      </c>
      <c r="B1491" s="257" t="s">
        <v>2772</v>
      </c>
      <c r="C1491" s="258" t="s">
        <v>103</v>
      </c>
      <c r="D1491" s="79">
        <v>489.15</v>
      </c>
      <c r="F1491" s="79">
        <v>489.15</v>
      </c>
      <c r="G1491" s="81"/>
      <c r="N1491" s="240"/>
      <c r="O1491" s="241"/>
      <c r="P1491" s="213"/>
    </row>
    <row r="1492" spans="1:16" ht="24">
      <c r="A1492" s="83" t="s">
        <v>2773</v>
      </c>
      <c r="B1492" s="257" t="s">
        <v>28163</v>
      </c>
      <c r="C1492" s="258" t="s">
        <v>103</v>
      </c>
      <c r="D1492" s="79">
        <v>2002.2</v>
      </c>
      <c r="F1492" s="79">
        <v>2002.2</v>
      </c>
      <c r="G1492" s="81"/>
      <c r="N1492" s="240"/>
      <c r="O1492" s="241"/>
      <c r="P1492" s="213"/>
    </row>
    <row r="1493" spans="1:16" ht="24">
      <c r="A1493" s="83" t="s">
        <v>2774</v>
      </c>
      <c r="B1493" s="257" t="s">
        <v>2775</v>
      </c>
      <c r="C1493" s="258" t="s">
        <v>103</v>
      </c>
      <c r="D1493" s="79">
        <v>345.14</v>
      </c>
      <c r="F1493" s="79">
        <v>345.14</v>
      </c>
      <c r="G1493" s="81"/>
      <c r="N1493" s="240"/>
      <c r="O1493" s="241"/>
      <c r="P1493" s="213"/>
    </row>
    <row r="1494" spans="1:16" ht="12">
      <c r="A1494" s="83" t="s">
        <v>2776</v>
      </c>
      <c r="B1494" s="257" t="s">
        <v>2777</v>
      </c>
      <c r="C1494" s="258" t="s">
        <v>103</v>
      </c>
      <c r="D1494" s="79">
        <v>12.65</v>
      </c>
      <c r="F1494" s="79">
        <v>12.65</v>
      </c>
      <c r="G1494" s="81"/>
      <c r="N1494" s="240"/>
      <c r="O1494" s="241"/>
      <c r="P1494" s="213"/>
    </row>
    <row r="1495" spans="1:16" ht="12">
      <c r="A1495" s="83" t="s">
        <v>2778</v>
      </c>
      <c r="B1495" s="257" t="s">
        <v>2779</v>
      </c>
      <c r="C1495" s="258" t="s">
        <v>103</v>
      </c>
      <c r="D1495" s="79">
        <v>10.43</v>
      </c>
      <c r="F1495" s="79">
        <v>10.43</v>
      </c>
      <c r="G1495" s="81"/>
      <c r="N1495" s="240"/>
      <c r="O1495" s="241"/>
      <c r="P1495" s="213"/>
    </row>
    <row r="1496" spans="1:16" ht="12">
      <c r="A1496" s="83" t="s">
        <v>2780</v>
      </c>
      <c r="B1496" s="257" t="s">
        <v>2781</v>
      </c>
      <c r="C1496" s="258" t="s">
        <v>103</v>
      </c>
      <c r="D1496" s="79">
        <v>7.65</v>
      </c>
      <c r="F1496" s="79">
        <v>7.65</v>
      </c>
      <c r="G1496" s="81"/>
      <c r="N1496" s="240"/>
      <c r="O1496" s="241"/>
      <c r="P1496" s="213"/>
    </row>
    <row r="1497" spans="1:16" ht="12">
      <c r="A1497" s="83" t="s">
        <v>2782</v>
      </c>
      <c r="B1497" s="257" t="s">
        <v>2783</v>
      </c>
      <c r="C1497" s="258" t="s">
        <v>103</v>
      </c>
      <c r="D1497" s="79">
        <v>31.61</v>
      </c>
      <c r="F1497" s="79">
        <v>31.61</v>
      </c>
      <c r="G1497" s="81"/>
      <c r="N1497" s="240"/>
      <c r="O1497" s="241"/>
      <c r="P1497" s="213"/>
    </row>
    <row r="1498" spans="1:16" ht="24">
      <c r="A1498" s="83" t="s">
        <v>2784</v>
      </c>
      <c r="B1498" s="257" t="s">
        <v>2785</v>
      </c>
      <c r="C1498" s="258" t="s">
        <v>103</v>
      </c>
      <c r="D1498" s="79">
        <v>908.54</v>
      </c>
      <c r="F1498" s="79">
        <v>908.54</v>
      </c>
      <c r="G1498" s="81"/>
      <c r="N1498" s="240"/>
      <c r="O1498" s="241"/>
      <c r="P1498" s="213"/>
    </row>
    <row r="1499" spans="1:16" ht="12">
      <c r="A1499" s="83" t="s">
        <v>2786</v>
      </c>
      <c r="B1499" s="257" t="s">
        <v>2787</v>
      </c>
      <c r="C1499" s="258" t="s">
        <v>165</v>
      </c>
      <c r="D1499" s="79">
        <v>20.99</v>
      </c>
      <c r="F1499" s="79">
        <v>20.99</v>
      </c>
      <c r="G1499" s="81"/>
      <c r="N1499" s="240"/>
      <c r="O1499" s="241"/>
      <c r="P1499" s="213"/>
    </row>
    <row r="1500" spans="1:16" ht="12">
      <c r="A1500" s="83" t="s">
        <v>2788</v>
      </c>
      <c r="B1500" s="257" t="s">
        <v>2789</v>
      </c>
      <c r="C1500" s="258" t="s">
        <v>165</v>
      </c>
      <c r="D1500" s="79">
        <v>24.58</v>
      </c>
      <c r="F1500" s="79">
        <v>24.58</v>
      </c>
      <c r="G1500" s="81"/>
      <c r="N1500" s="240"/>
      <c r="O1500" s="241"/>
      <c r="P1500" s="213"/>
    </row>
    <row r="1501" spans="1:16" ht="12">
      <c r="A1501" s="83" t="s">
        <v>2790</v>
      </c>
      <c r="B1501" s="257" t="s">
        <v>2791</v>
      </c>
      <c r="C1501" s="258" t="s">
        <v>165</v>
      </c>
      <c r="D1501" s="79">
        <v>35.61</v>
      </c>
      <c r="F1501" s="79">
        <v>35.61</v>
      </c>
      <c r="G1501" s="81"/>
      <c r="N1501" s="240"/>
      <c r="O1501" s="241"/>
      <c r="P1501" s="213"/>
    </row>
    <row r="1502" spans="1:16" ht="12">
      <c r="A1502" s="83" t="s">
        <v>2792</v>
      </c>
      <c r="B1502" s="257" t="s">
        <v>2793</v>
      </c>
      <c r="C1502" s="258" t="s">
        <v>165</v>
      </c>
      <c r="D1502" s="79">
        <v>46.07</v>
      </c>
      <c r="F1502" s="79">
        <v>46.07</v>
      </c>
      <c r="G1502" s="81"/>
      <c r="N1502" s="240"/>
      <c r="O1502" s="241"/>
      <c r="P1502" s="213"/>
    </row>
    <row r="1503" spans="1:16" ht="12">
      <c r="A1503" s="83" t="s">
        <v>2794</v>
      </c>
      <c r="B1503" s="257" t="s">
        <v>2795</v>
      </c>
      <c r="C1503" s="258" t="s">
        <v>165</v>
      </c>
      <c r="D1503" s="79">
        <v>55.59</v>
      </c>
      <c r="F1503" s="79">
        <v>55.59</v>
      </c>
      <c r="G1503" s="81"/>
      <c r="N1503" s="240"/>
      <c r="O1503" s="241"/>
      <c r="P1503" s="213"/>
    </row>
    <row r="1504" spans="1:16" ht="12">
      <c r="A1504" s="83" t="s">
        <v>2796</v>
      </c>
      <c r="B1504" s="257" t="s">
        <v>2797</v>
      </c>
      <c r="C1504" s="258" t="s">
        <v>165</v>
      </c>
      <c r="D1504" s="79">
        <v>74.3</v>
      </c>
      <c r="F1504" s="79">
        <v>74.3</v>
      </c>
      <c r="G1504" s="81"/>
      <c r="N1504" s="240"/>
      <c r="O1504" s="241"/>
      <c r="P1504" s="213"/>
    </row>
    <row r="1505" spans="1:16" ht="12">
      <c r="A1505" s="83" t="s">
        <v>2798</v>
      </c>
      <c r="B1505" s="257" t="s">
        <v>2799</v>
      </c>
      <c r="C1505" s="258" t="s">
        <v>165</v>
      </c>
      <c r="D1505" s="79">
        <v>95</v>
      </c>
      <c r="F1505" s="79">
        <v>95</v>
      </c>
      <c r="G1505" s="81"/>
      <c r="N1505" s="240"/>
      <c r="O1505" s="241"/>
      <c r="P1505" s="213"/>
    </row>
    <row r="1506" spans="1:16" ht="12">
      <c r="A1506" s="83" t="s">
        <v>2800</v>
      </c>
      <c r="B1506" s="257" t="s">
        <v>2801</v>
      </c>
      <c r="C1506" s="258" t="s">
        <v>165</v>
      </c>
      <c r="D1506" s="79">
        <v>114.59</v>
      </c>
      <c r="F1506" s="79">
        <v>114.59</v>
      </c>
      <c r="G1506" s="81"/>
      <c r="N1506" s="240"/>
      <c r="O1506" s="241"/>
      <c r="P1506" s="213"/>
    </row>
    <row r="1507" spans="1:16" ht="12">
      <c r="A1507" s="83" t="s">
        <v>2802</v>
      </c>
      <c r="B1507" s="257" t="s">
        <v>2803</v>
      </c>
      <c r="C1507" s="258" t="s">
        <v>165</v>
      </c>
      <c r="D1507" s="79">
        <v>169.74</v>
      </c>
      <c r="F1507" s="79">
        <v>169.74</v>
      </c>
      <c r="G1507" s="81"/>
      <c r="N1507" s="240"/>
      <c r="O1507" s="241"/>
      <c r="P1507" s="213"/>
    </row>
    <row r="1508" spans="1:16" ht="12">
      <c r="A1508" s="83" t="s">
        <v>2804</v>
      </c>
      <c r="B1508" s="257" t="s">
        <v>2805</v>
      </c>
      <c r="C1508" s="258" t="s">
        <v>165</v>
      </c>
      <c r="D1508" s="79">
        <v>314.14999999999998</v>
      </c>
      <c r="F1508" s="79">
        <v>314.14999999999998</v>
      </c>
      <c r="G1508" s="81"/>
      <c r="N1508" s="240"/>
      <c r="O1508" s="241"/>
      <c r="P1508" s="213"/>
    </row>
    <row r="1509" spans="1:16" ht="12">
      <c r="A1509" s="83" t="s">
        <v>2806</v>
      </c>
      <c r="B1509" s="257" t="s">
        <v>2807</v>
      </c>
      <c r="C1509" s="258" t="s">
        <v>165</v>
      </c>
      <c r="D1509" s="79">
        <v>110.52</v>
      </c>
      <c r="F1509" s="79">
        <v>110.52</v>
      </c>
      <c r="G1509" s="81"/>
      <c r="N1509" s="240"/>
      <c r="O1509" s="241"/>
      <c r="P1509" s="213"/>
    </row>
    <row r="1510" spans="1:16" ht="12">
      <c r="A1510" s="83" t="s">
        <v>2808</v>
      </c>
      <c r="B1510" s="257" t="s">
        <v>2809</v>
      </c>
      <c r="C1510" s="258" t="s">
        <v>165</v>
      </c>
      <c r="D1510" s="79">
        <v>91.9</v>
      </c>
      <c r="F1510" s="79">
        <v>91.9</v>
      </c>
      <c r="G1510" s="81"/>
      <c r="N1510" s="240"/>
      <c r="O1510" s="241"/>
      <c r="P1510" s="213"/>
    </row>
    <row r="1511" spans="1:16" ht="12">
      <c r="A1511" s="83" t="s">
        <v>2810</v>
      </c>
      <c r="B1511" s="257" t="s">
        <v>2811</v>
      </c>
      <c r="C1511" s="258" t="s">
        <v>165</v>
      </c>
      <c r="D1511" s="79">
        <v>57.62</v>
      </c>
      <c r="F1511" s="79">
        <v>57.62</v>
      </c>
      <c r="G1511" s="81"/>
      <c r="N1511" s="240"/>
      <c r="O1511" s="241"/>
      <c r="P1511" s="213"/>
    </row>
    <row r="1512" spans="1:16" ht="12">
      <c r="A1512" s="83" t="s">
        <v>2812</v>
      </c>
      <c r="B1512" s="257" t="s">
        <v>2813</v>
      </c>
      <c r="C1512" s="258" t="s">
        <v>165</v>
      </c>
      <c r="D1512" s="79">
        <v>79.13</v>
      </c>
      <c r="F1512" s="79">
        <v>79.13</v>
      </c>
      <c r="G1512" s="81"/>
      <c r="N1512" s="240"/>
      <c r="O1512" s="241"/>
      <c r="P1512" s="213"/>
    </row>
    <row r="1513" spans="1:16" ht="12">
      <c r="A1513" s="83" t="s">
        <v>2814</v>
      </c>
      <c r="B1513" s="257" t="s">
        <v>2815</v>
      </c>
      <c r="C1513" s="258" t="s">
        <v>165</v>
      </c>
      <c r="D1513" s="79">
        <v>307.31</v>
      </c>
      <c r="F1513" s="79">
        <v>307.31</v>
      </c>
      <c r="G1513" s="81"/>
      <c r="N1513" s="240"/>
      <c r="O1513" s="241"/>
      <c r="P1513" s="213"/>
    </row>
    <row r="1514" spans="1:16" ht="12">
      <c r="A1514" s="83" t="s">
        <v>2816</v>
      </c>
      <c r="B1514" s="257" t="s">
        <v>2817</v>
      </c>
      <c r="C1514" s="258" t="s">
        <v>165</v>
      </c>
      <c r="D1514" s="79">
        <v>56.64</v>
      </c>
      <c r="F1514" s="79">
        <v>56.64</v>
      </c>
      <c r="G1514" s="81"/>
      <c r="N1514" s="240"/>
      <c r="O1514" s="241"/>
      <c r="P1514" s="213"/>
    </row>
    <row r="1515" spans="1:16" ht="12">
      <c r="A1515" s="83" t="s">
        <v>2818</v>
      </c>
      <c r="B1515" s="257" t="s">
        <v>2819</v>
      </c>
      <c r="C1515" s="258" t="s">
        <v>165</v>
      </c>
      <c r="D1515" s="79">
        <v>63.33</v>
      </c>
      <c r="F1515" s="79">
        <v>63.33</v>
      </c>
      <c r="G1515" s="81"/>
      <c r="N1515" s="240"/>
      <c r="O1515" s="241"/>
      <c r="P1515" s="213"/>
    </row>
    <row r="1516" spans="1:16" ht="12">
      <c r="A1516" s="83" t="s">
        <v>2820</v>
      </c>
      <c r="B1516" s="257" t="s">
        <v>2821</v>
      </c>
      <c r="C1516" s="258" t="s">
        <v>165</v>
      </c>
      <c r="D1516" s="79">
        <v>84.65</v>
      </c>
      <c r="F1516" s="79">
        <v>84.65</v>
      </c>
      <c r="G1516" s="81"/>
      <c r="N1516" s="240"/>
      <c r="O1516" s="241"/>
      <c r="P1516" s="213"/>
    </row>
    <row r="1517" spans="1:16" ht="12">
      <c r="A1517" s="83" t="s">
        <v>2822</v>
      </c>
      <c r="B1517" s="257" t="s">
        <v>2823</v>
      </c>
      <c r="C1517" s="258" t="s">
        <v>165</v>
      </c>
      <c r="D1517" s="79">
        <v>173.43</v>
      </c>
      <c r="F1517" s="79">
        <v>173.43</v>
      </c>
      <c r="G1517" s="81"/>
      <c r="N1517" s="240"/>
      <c r="O1517" s="241"/>
      <c r="P1517" s="213"/>
    </row>
    <row r="1518" spans="1:16" ht="12">
      <c r="A1518" s="83" t="s">
        <v>2824</v>
      </c>
      <c r="B1518" s="257" t="s">
        <v>2825</v>
      </c>
      <c r="C1518" s="258" t="s">
        <v>165</v>
      </c>
      <c r="D1518" s="79">
        <v>217.51</v>
      </c>
      <c r="F1518" s="79">
        <v>217.51</v>
      </c>
      <c r="G1518" s="81"/>
      <c r="N1518" s="240"/>
      <c r="O1518" s="241"/>
      <c r="P1518" s="213"/>
    </row>
    <row r="1519" spans="1:16" ht="12">
      <c r="A1519" s="83" t="s">
        <v>2826</v>
      </c>
      <c r="B1519" s="257" t="s">
        <v>2827</v>
      </c>
      <c r="C1519" s="258" t="s">
        <v>165</v>
      </c>
      <c r="D1519" s="79">
        <v>42.01</v>
      </c>
      <c r="F1519" s="79">
        <v>42.01</v>
      </c>
      <c r="G1519" s="81"/>
      <c r="N1519" s="240"/>
      <c r="O1519" s="241"/>
      <c r="P1519" s="213"/>
    </row>
    <row r="1520" spans="1:16" ht="12">
      <c r="A1520" s="83" t="s">
        <v>2828</v>
      </c>
      <c r="B1520" s="257" t="s">
        <v>2829</v>
      </c>
      <c r="C1520" s="258" t="s">
        <v>165</v>
      </c>
      <c r="D1520" s="79">
        <v>517.29</v>
      </c>
      <c r="F1520" s="79">
        <v>517.29</v>
      </c>
      <c r="G1520" s="81"/>
      <c r="N1520" s="240"/>
      <c r="O1520" s="241"/>
      <c r="P1520" s="213"/>
    </row>
    <row r="1521" spans="1:16" ht="12">
      <c r="A1521" s="83" t="s">
        <v>2830</v>
      </c>
      <c r="B1521" s="257" t="s">
        <v>2831</v>
      </c>
      <c r="C1521" s="258" t="s">
        <v>103</v>
      </c>
      <c r="D1521" s="79">
        <v>1248.72</v>
      </c>
      <c r="F1521" s="79">
        <v>1248.72</v>
      </c>
      <c r="G1521" s="81"/>
      <c r="N1521" s="240"/>
      <c r="O1521" s="241"/>
      <c r="P1521" s="213"/>
    </row>
    <row r="1522" spans="1:16" ht="24">
      <c r="A1522" s="83" t="s">
        <v>2832</v>
      </c>
      <c r="B1522" s="257" t="s">
        <v>2833</v>
      </c>
      <c r="C1522" s="258" t="s">
        <v>103</v>
      </c>
      <c r="D1522" s="79">
        <v>92.46</v>
      </c>
      <c r="F1522" s="79">
        <v>92.46</v>
      </c>
      <c r="G1522" s="81"/>
      <c r="N1522" s="240"/>
      <c r="O1522" s="241"/>
      <c r="P1522" s="213"/>
    </row>
    <row r="1523" spans="1:16" ht="12">
      <c r="A1523" s="83" t="s">
        <v>2834</v>
      </c>
      <c r="B1523" s="257" t="s">
        <v>2835</v>
      </c>
      <c r="C1523" s="258" t="s">
        <v>103</v>
      </c>
      <c r="D1523" s="79">
        <v>70.03</v>
      </c>
      <c r="F1523" s="79">
        <v>70.03</v>
      </c>
      <c r="G1523" s="81"/>
      <c r="N1523" s="240"/>
      <c r="O1523" s="241"/>
      <c r="P1523" s="213"/>
    </row>
    <row r="1524" spans="1:16" ht="12">
      <c r="A1524" s="83" t="s">
        <v>2836</v>
      </c>
      <c r="B1524" s="257" t="s">
        <v>2837</v>
      </c>
      <c r="C1524" s="258" t="s">
        <v>103</v>
      </c>
      <c r="D1524" s="79">
        <v>58.21</v>
      </c>
      <c r="F1524" s="79">
        <v>58.21</v>
      </c>
      <c r="G1524" s="81"/>
      <c r="N1524" s="240"/>
      <c r="O1524" s="241"/>
      <c r="P1524" s="213"/>
    </row>
    <row r="1525" spans="1:16" ht="24">
      <c r="A1525" s="83" t="s">
        <v>2838</v>
      </c>
      <c r="B1525" s="257" t="s">
        <v>2839</v>
      </c>
      <c r="C1525" s="258" t="s">
        <v>103</v>
      </c>
      <c r="D1525" s="79">
        <v>49.28</v>
      </c>
      <c r="F1525" s="79">
        <v>49.28</v>
      </c>
      <c r="G1525" s="81"/>
      <c r="N1525" s="240"/>
      <c r="O1525" s="241"/>
      <c r="P1525" s="213"/>
    </row>
    <row r="1526" spans="1:16" ht="24">
      <c r="A1526" s="83" t="s">
        <v>2840</v>
      </c>
      <c r="B1526" s="257" t="s">
        <v>2841</v>
      </c>
      <c r="C1526" s="258" t="s">
        <v>103</v>
      </c>
      <c r="D1526" s="79">
        <v>99.75</v>
      </c>
      <c r="F1526" s="79">
        <v>99.75</v>
      </c>
      <c r="G1526" s="81"/>
      <c r="N1526" s="240"/>
      <c r="O1526" s="241"/>
      <c r="P1526" s="213"/>
    </row>
    <row r="1527" spans="1:16" ht="12">
      <c r="A1527" s="83" t="s">
        <v>2842</v>
      </c>
      <c r="B1527" s="257" t="s">
        <v>2843</v>
      </c>
      <c r="C1527" s="258" t="s">
        <v>103</v>
      </c>
      <c r="D1527" s="79">
        <v>58.98</v>
      </c>
      <c r="F1527" s="79">
        <v>58.98</v>
      </c>
      <c r="G1527" s="81"/>
      <c r="N1527" s="240"/>
      <c r="O1527" s="241"/>
      <c r="P1527" s="213"/>
    </row>
    <row r="1528" spans="1:16" ht="12">
      <c r="A1528" s="83" t="s">
        <v>2844</v>
      </c>
      <c r="B1528" s="257" t="s">
        <v>2845</v>
      </c>
      <c r="C1528" s="258" t="s">
        <v>103</v>
      </c>
      <c r="D1528" s="79">
        <v>44.37</v>
      </c>
      <c r="F1528" s="79">
        <v>44.37</v>
      </c>
      <c r="G1528" s="81"/>
      <c r="N1528" s="240"/>
      <c r="O1528" s="241"/>
      <c r="P1528" s="213"/>
    </row>
    <row r="1529" spans="1:16" ht="12">
      <c r="A1529" s="83" t="s">
        <v>2846</v>
      </c>
      <c r="B1529" s="257" t="s">
        <v>2847</v>
      </c>
      <c r="C1529" s="258" t="s">
        <v>103</v>
      </c>
      <c r="D1529" s="79">
        <v>89.44</v>
      </c>
      <c r="F1529" s="79">
        <v>89.44</v>
      </c>
      <c r="G1529" s="81"/>
      <c r="N1529" s="240"/>
      <c r="O1529" s="241"/>
      <c r="P1529" s="213"/>
    </row>
    <row r="1530" spans="1:16" ht="12">
      <c r="A1530" s="83" t="s">
        <v>2848</v>
      </c>
      <c r="B1530" s="257" t="s">
        <v>2849</v>
      </c>
      <c r="C1530" s="258" t="s">
        <v>103</v>
      </c>
      <c r="D1530" s="79">
        <v>142.99</v>
      </c>
      <c r="F1530" s="79">
        <v>142.99</v>
      </c>
      <c r="G1530" s="81"/>
      <c r="N1530" s="240"/>
      <c r="O1530" s="241"/>
      <c r="P1530" s="213"/>
    </row>
    <row r="1531" spans="1:16" ht="12">
      <c r="A1531" s="83" t="s">
        <v>2850</v>
      </c>
      <c r="B1531" s="257" t="s">
        <v>2851</v>
      </c>
      <c r="C1531" s="258" t="s">
        <v>103</v>
      </c>
      <c r="D1531" s="79">
        <v>179.18</v>
      </c>
      <c r="F1531" s="79">
        <v>179.18</v>
      </c>
      <c r="G1531" s="81"/>
      <c r="N1531" s="240"/>
      <c r="O1531" s="241"/>
      <c r="P1531" s="213"/>
    </row>
    <row r="1532" spans="1:16" ht="12">
      <c r="A1532" s="83" t="s">
        <v>2852</v>
      </c>
      <c r="B1532" s="257" t="s">
        <v>2853</v>
      </c>
      <c r="C1532" s="258" t="s">
        <v>103</v>
      </c>
      <c r="D1532" s="79">
        <v>44.22</v>
      </c>
      <c r="F1532" s="79">
        <v>44.22</v>
      </c>
      <c r="G1532" s="81"/>
      <c r="N1532" s="240"/>
      <c r="O1532" s="241"/>
      <c r="P1532" s="213"/>
    </row>
    <row r="1533" spans="1:16" ht="12">
      <c r="A1533" s="83" t="s">
        <v>2854</v>
      </c>
      <c r="B1533" s="257" t="s">
        <v>2855</v>
      </c>
      <c r="C1533" s="258" t="s">
        <v>103</v>
      </c>
      <c r="D1533" s="79">
        <v>59.18</v>
      </c>
      <c r="F1533" s="79">
        <v>59.18</v>
      </c>
      <c r="G1533" s="81"/>
      <c r="N1533" s="240"/>
      <c r="O1533" s="241"/>
      <c r="P1533" s="213"/>
    </row>
    <row r="1534" spans="1:16" ht="12">
      <c r="A1534" s="83" t="s">
        <v>2856</v>
      </c>
      <c r="B1534" s="257" t="s">
        <v>2857</v>
      </c>
      <c r="C1534" s="258" t="s">
        <v>103</v>
      </c>
      <c r="D1534" s="79">
        <v>71.08</v>
      </c>
      <c r="F1534" s="79">
        <v>71.08</v>
      </c>
      <c r="G1534" s="81"/>
      <c r="N1534" s="240"/>
      <c r="O1534" s="241"/>
      <c r="P1534" s="213"/>
    </row>
    <row r="1535" spans="1:16" ht="12">
      <c r="A1535" s="83" t="s">
        <v>2858</v>
      </c>
      <c r="B1535" s="257" t="s">
        <v>2859</v>
      </c>
      <c r="C1535" s="258" t="s">
        <v>103</v>
      </c>
      <c r="D1535" s="79">
        <v>95.03</v>
      </c>
      <c r="F1535" s="79">
        <v>95.03</v>
      </c>
      <c r="G1535" s="81"/>
      <c r="N1535" s="240"/>
      <c r="O1535" s="241"/>
      <c r="P1535" s="213"/>
    </row>
    <row r="1536" spans="1:16" ht="12">
      <c r="A1536" s="83" t="s">
        <v>2860</v>
      </c>
      <c r="B1536" s="257" t="s">
        <v>2861</v>
      </c>
      <c r="C1536" s="258" t="s">
        <v>103</v>
      </c>
      <c r="D1536" s="79">
        <v>115.63</v>
      </c>
      <c r="F1536" s="79">
        <v>115.63</v>
      </c>
      <c r="G1536" s="81"/>
      <c r="N1536" s="240"/>
      <c r="O1536" s="241"/>
      <c r="P1536" s="213"/>
    </row>
    <row r="1537" spans="1:16" ht="12">
      <c r="A1537" s="83" t="s">
        <v>2862</v>
      </c>
      <c r="B1537" s="257" t="s">
        <v>2863</v>
      </c>
      <c r="C1537" s="258" t="s">
        <v>103</v>
      </c>
      <c r="D1537" s="79">
        <v>186.83</v>
      </c>
      <c r="F1537" s="79">
        <v>186.83</v>
      </c>
      <c r="G1537" s="81"/>
      <c r="N1537" s="240"/>
      <c r="O1537" s="241"/>
      <c r="P1537" s="213"/>
    </row>
    <row r="1538" spans="1:16" ht="12">
      <c r="A1538" s="83" t="s">
        <v>2864</v>
      </c>
      <c r="B1538" s="257" t="s">
        <v>2865</v>
      </c>
      <c r="C1538" s="258" t="s">
        <v>103</v>
      </c>
      <c r="D1538" s="79">
        <v>407.28</v>
      </c>
      <c r="F1538" s="79">
        <v>407.28</v>
      </c>
      <c r="G1538" s="81"/>
      <c r="N1538" s="240"/>
      <c r="O1538" s="241"/>
      <c r="P1538" s="213"/>
    </row>
    <row r="1539" spans="1:16" ht="12">
      <c r="A1539" s="83" t="s">
        <v>2866</v>
      </c>
      <c r="B1539" s="257" t="s">
        <v>2867</v>
      </c>
      <c r="C1539" s="258" t="s">
        <v>103</v>
      </c>
      <c r="D1539" s="79">
        <v>672.98</v>
      </c>
      <c r="F1539" s="79">
        <v>672.98</v>
      </c>
      <c r="G1539" s="81"/>
      <c r="N1539" s="240"/>
      <c r="O1539" s="241"/>
      <c r="P1539" s="213"/>
    </row>
    <row r="1540" spans="1:16" ht="12">
      <c r="A1540" s="83" t="s">
        <v>2868</v>
      </c>
      <c r="B1540" s="257" t="s">
        <v>2869</v>
      </c>
      <c r="C1540" s="258" t="s">
        <v>103</v>
      </c>
      <c r="D1540" s="79">
        <v>1161.53</v>
      </c>
      <c r="F1540" s="79">
        <v>1161.53</v>
      </c>
      <c r="G1540" s="81"/>
      <c r="N1540" s="240"/>
      <c r="O1540" s="241"/>
      <c r="P1540" s="213"/>
    </row>
    <row r="1541" spans="1:16" ht="24">
      <c r="A1541" s="83" t="s">
        <v>2870</v>
      </c>
      <c r="B1541" s="257" t="s">
        <v>2871</v>
      </c>
      <c r="C1541" s="258" t="s">
        <v>103</v>
      </c>
      <c r="D1541" s="79">
        <v>35.270000000000003</v>
      </c>
      <c r="F1541" s="79">
        <v>35.270000000000003</v>
      </c>
      <c r="G1541" s="81"/>
      <c r="N1541" s="240"/>
      <c r="O1541" s="241"/>
      <c r="P1541" s="213"/>
    </row>
    <row r="1542" spans="1:16" ht="12">
      <c r="A1542" s="83" t="s">
        <v>2872</v>
      </c>
      <c r="B1542" s="257" t="s">
        <v>2873</v>
      </c>
      <c r="C1542" s="258" t="s">
        <v>103</v>
      </c>
      <c r="D1542" s="79">
        <v>25.49</v>
      </c>
      <c r="F1542" s="79">
        <v>25.49</v>
      </c>
      <c r="G1542" s="81"/>
      <c r="N1542" s="240"/>
      <c r="O1542" s="241"/>
      <c r="P1542" s="213"/>
    </row>
    <row r="1543" spans="1:16" ht="12">
      <c r="A1543" s="83" t="s">
        <v>2874</v>
      </c>
      <c r="B1543" s="257" t="s">
        <v>2875</v>
      </c>
      <c r="C1543" s="258" t="s">
        <v>103</v>
      </c>
      <c r="D1543" s="79">
        <v>135.5</v>
      </c>
      <c r="F1543" s="79">
        <v>135.5</v>
      </c>
      <c r="G1543" s="81"/>
      <c r="N1543" s="240"/>
      <c r="O1543" s="241"/>
      <c r="P1543" s="213"/>
    </row>
    <row r="1544" spans="1:16" ht="24">
      <c r="A1544" s="83" t="s">
        <v>2876</v>
      </c>
      <c r="B1544" s="257" t="s">
        <v>2877</v>
      </c>
      <c r="C1544" s="258" t="s">
        <v>103</v>
      </c>
      <c r="D1544" s="79">
        <v>327.92</v>
      </c>
      <c r="F1544" s="79">
        <v>327.92</v>
      </c>
      <c r="G1544" s="81"/>
      <c r="N1544" s="240"/>
      <c r="O1544" s="241"/>
      <c r="P1544" s="213"/>
    </row>
    <row r="1545" spans="1:16" ht="12">
      <c r="A1545" s="83" t="s">
        <v>2878</v>
      </c>
      <c r="B1545" s="257" t="s">
        <v>2879</v>
      </c>
      <c r="C1545" s="258" t="s">
        <v>103</v>
      </c>
      <c r="D1545" s="79">
        <v>8.7100000000000009</v>
      </c>
      <c r="F1545" s="79">
        <v>8.7100000000000009</v>
      </c>
      <c r="G1545" s="81"/>
      <c r="N1545" s="240"/>
      <c r="O1545" s="241"/>
      <c r="P1545" s="213"/>
    </row>
    <row r="1546" spans="1:16" ht="24">
      <c r="A1546" s="83" t="s">
        <v>2880</v>
      </c>
      <c r="B1546" s="257" t="s">
        <v>2881</v>
      </c>
      <c r="C1546" s="258" t="s">
        <v>103</v>
      </c>
      <c r="D1546" s="79">
        <v>81.510000000000005</v>
      </c>
      <c r="F1546" s="79">
        <v>81.510000000000005</v>
      </c>
      <c r="G1546" s="81"/>
      <c r="N1546" s="240"/>
      <c r="O1546" s="241"/>
      <c r="P1546" s="213"/>
    </row>
    <row r="1547" spans="1:16" ht="12">
      <c r="A1547" s="83" t="s">
        <v>2882</v>
      </c>
      <c r="B1547" s="257" t="s">
        <v>2883</v>
      </c>
      <c r="C1547" s="258" t="s">
        <v>103</v>
      </c>
      <c r="D1547" s="79">
        <v>72.37</v>
      </c>
      <c r="F1547" s="79">
        <v>72.37</v>
      </c>
      <c r="G1547" s="81"/>
      <c r="N1547" s="240"/>
      <c r="O1547" s="241"/>
      <c r="P1547" s="213"/>
    </row>
    <row r="1548" spans="1:16" ht="12">
      <c r="A1548" s="263" t="s">
        <v>2884</v>
      </c>
      <c r="B1548" s="263" t="s">
        <v>2885</v>
      </c>
      <c r="C1548" s="264" t="s">
        <v>103</v>
      </c>
      <c r="D1548" s="79">
        <v>100.61</v>
      </c>
      <c r="E1548" s="182"/>
      <c r="F1548" s="519">
        <v>100.61</v>
      </c>
      <c r="G1548" s="242"/>
      <c r="H1548" s="242"/>
      <c r="I1548" s="242"/>
      <c r="J1548" s="242"/>
      <c r="K1548" s="242"/>
      <c r="L1548" s="242"/>
      <c r="M1548" s="242"/>
      <c r="N1548" s="242"/>
      <c r="O1548" s="242"/>
      <c r="P1548" s="242"/>
    </row>
    <row r="1549" spans="1:16" ht="12">
      <c r="A1549" s="83" t="s">
        <v>2886</v>
      </c>
      <c r="B1549" s="257" t="s">
        <v>2887</v>
      </c>
      <c r="C1549" s="258" t="s">
        <v>103</v>
      </c>
      <c r="D1549" s="79">
        <v>253.25</v>
      </c>
      <c r="F1549" s="79">
        <v>253.25</v>
      </c>
      <c r="G1549" s="81"/>
      <c r="N1549" s="240"/>
      <c r="O1549" s="241"/>
      <c r="P1549" s="213"/>
    </row>
    <row r="1550" spans="1:16" ht="12">
      <c r="A1550" s="273" t="s">
        <v>2888</v>
      </c>
      <c r="B1550" s="257" t="s">
        <v>2889</v>
      </c>
      <c r="C1550" s="258" t="s">
        <v>103</v>
      </c>
      <c r="D1550" s="79">
        <v>335.19</v>
      </c>
      <c r="F1550" s="79">
        <v>335.19</v>
      </c>
      <c r="G1550" s="81"/>
      <c r="N1550" s="243"/>
      <c r="O1550" s="241"/>
      <c r="P1550" s="213"/>
    </row>
    <row r="1551" spans="1:16" ht="12">
      <c r="A1551" s="273" t="s">
        <v>2890</v>
      </c>
      <c r="B1551" s="257" t="s">
        <v>2891</v>
      </c>
      <c r="C1551" s="258" t="s">
        <v>103</v>
      </c>
      <c r="D1551" s="79">
        <v>427.22</v>
      </c>
      <c r="F1551" s="79">
        <v>427.22</v>
      </c>
      <c r="G1551" s="81"/>
      <c r="N1551" s="243"/>
      <c r="O1551" s="241"/>
      <c r="P1551" s="213"/>
    </row>
    <row r="1552" spans="1:16" ht="12">
      <c r="A1552" s="83" t="s">
        <v>2892</v>
      </c>
      <c r="B1552" s="257" t="s">
        <v>2893</v>
      </c>
      <c r="C1552" s="258" t="s">
        <v>165</v>
      </c>
      <c r="D1552" s="79">
        <v>9.02</v>
      </c>
      <c r="F1552" s="79">
        <v>9.02</v>
      </c>
      <c r="G1552" s="81"/>
      <c r="N1552" s="240"/>
      <c r="O1552" s="241"/>
      <c r="P1552" s="213"/>
    </row>
    <row r="1553" spans="1:16" ht="12">
      <c r="A1553" s="83" t="s">
        <v>2894</v>
      </c>
      <c r="B1553" s="257" t="s">
        <v>2895</v>
      </c>
      <c r="C1553" s="258" t="s">
        <v>165</v>
      </c>
      <c r="D1553" s="79">
        <v>13.42</v>
      </c>
      <c r="F1553" s="79">
        <v>13.42</v>
      </c>
      <c r="G1553" s="81"/>
      <c r="N1553" s="240"/>
      <c r="O1553" s="241"/>
      <c r="P1553" s="213"/>
    </row>
    <row r="1554" spans="1:16" ht="12">
      <c r="A1554" s="83" t="s">
        <v>2896</v>
      </c>
      <c r="B1554" s="257" t="s">
        <v>2897</v>
      </c>
      <c r="C1554" s="258" t="s">
        <v>165</v>
      </c>
      <c r="D1554" s="79">
        <v>16.940000000000001</v>
      </c>
      <c r="F1554" s="79">
        <v>16.940000000000001</v>
      </c>
      <c r="G1554" s="81"/>
      <c r="N1554" s="240"/>
      <c r="O1554" s="241"/>
      <c r="P1554" s="213"/>
    </row>
    <row r="1555" spans="1:16" ht="12">
      <c r="A1555" s="83" t="s">
        <v>2898</v>
      </c>
      <c r="B1555" s="257" t="s">
        <v>2899</v>
      </c>
      <c r="C1555" s="258" t="s">
        <v>165</v>
      </c>
      <c r="D1555" s="79">
        <v>21.04</v>
      </c>
      <c r="F1555" s="79">
        <v>21.04</v>
      </c>
      <c r="G1555" s="81"/>
      <c r="N1555" s="240"/>
      <c r="O1555" s="241"/>
      <c r="P1555" s="213"/>
    </row>
    <row r="1556" spans="1:16" ht="12">
      <c r="A1556" s="83" t="s">
        <v>2900</v>
      </c>
      <c r="B1556" s="257" t="s">
        <v>2901</v>
      </c>
      <c r="C1556" s="258" t="s">
        <v>165</v>
      </c>
      <c r="D1556" s="79">
        <v>27.96</v>
      </c>
      <c r="F1556" s="79">
        <v>27.96</v>
      </c>
      <c r="G1556" s="81"/>
      <c r="N1556" s="240"/>
      <c r="O1556" s="241"/>
      <c r="P1556" s="213"/>
    </row>
    <row r="1557" spans="1:16" ht="12">
      <c r="A1557" s="83" t="s">
        <v>2902</v>
      </c>
      <c r="B1557" s="257" t="s">
        <v>2903</v>
      </c>
      <c r="C1557" s="258" t="s">
        <v>165</v>
      </c>
      <c r="D1557" s="79">
        <v>35.99</v>
      </c>
      <c r="F1557" s="79">
        <v>35.99</v>
      </c>
      <c r="G1557" s="81"/>
      <c r="N1557" s="240"/>
      <c r="O1557" s="241"/>
      <c r="P1557" s="213"/>
    </row>
    <row r="1558" spans="1:16" ht="12">
      <c r="A1558" s="83" t="s">
        <v>2904</v>
      </c>
      <c r="B1558" s="257" t="s">
        <v>2905</v>
      </c>
      <c r="C1558" s="258" t="s">
        <v>165</v>
      </c>
      <c r="D1558" s="79">
        <v>44.43</v>
      </c>
      <c r="F1558" s="79">
        <v>44.43</v>
      </c>
      <c r="G1558" s="81"/>
      <c r="N1558" s="240"/>
      <c r="O1558" s="241"/>
      <c r="P1558" s="213"/>
    </row>
    <row r="1559" spans="1:16" ht="12">
      <c r="A1559" s="67" t="s">
        <v>2906</v>
      </c>
      <c r="B1559" s="65" t="s">
        <v>2907</v>
      </c>
      <c r="C1559" s="71" t="s">
        <v>165</v>
      </c>
      <c r="D1559" s="79">
        <v>41.68</v>
      </c>
      <c r="F1559" s="79">
        <v>41.68</v>
      </c>
      <c r="G1559" s="81"/>
      <c r="N1559" s="133"/>
      <c r="O1559" s="241"/>
      <c r="P1559" s="213"/>
    </row>
    <row r="1560" spans="1:16" ht="12">
      <c r="A1560" s="67" t="s">
        <v>2908</v>
      </c>
      <c r="B1560" s="65" t="s">
        <v>2909</v>
      </c>
      <c r="C1560" s="71" t="s">
        <v>165</v>
      </c>
      <c r="D1560" s="79">
        <v>59.13</v>
      </c>
      <c r="F1560" s="79">
        <v>59.13</v>
      </c>
      <c r="G1560" s="81"/>
      <c r="N1560" s="133"/>
      <c r="O1560" s="241"/>
      <c r="P1560" s="213"/>
    </row>
    <row r="1561" spans="1:16" ht="12">
      <c r="A1561" s="67" t="s">
        <v>2910</v>
      </c>
      <c r="B1561" s="65" t="s">
        <v>2911</v>
      </c>
      <c r="C1561" s="71" t="s">
        <v>165</v>
      </c>
      <c r="D1561" s="79">
        <v>73.44</v>
      </c>
      <c r="F1561" s="79">
        <v>73.44</v>
      </c>
      <c r="G1561" s="81"/>
      <c r="N1561" s="133"/>
      <c r="O1561" s="241"/>
      <c r="P1561" s="213"/>
    </row>
    <row r="1562" spans="1:16" ht="12">
      <c r="A1562" s="67" t="s">
        <v>2912</v>
      </c>
      <c r="B1562" s="65" t="s">
        <v>2913</v>
      </c>
      <c r="C1562" s="71" t="s">
        <v>165</v>
      </c>
      <c r="D1562" s="79">
        <v>87.79</v>
      </c>
      <c r="F1562" s="79">
        <v>87.79</v>
      </c>
      <c r="G1562" s="81"/>
      <c r="N1562" s="133"/>
      <c r="O1562" s="241"/>
      <c r="P1562" s="213"/>
    </row>
    <row r="1563" spans="1:16" ht="12">
      <c r="A1563" s="67" t="s">
        <v>2914</v>
      </c>
      <c r="B1563" s="65" t="s">
        <v>2915</v>
      </c>
      <c r="C1563" s="71" t="s">
        <v>165</v>
      </c>
      <c r="D1563" s="79">
        <v>107.19</v>
      </c>
      <c r="F1563" s="79">
        <v>107.19</v>
      </c>
      <c r="G1563" s="81"/>
      <c r="N1563" s="133"/>
      <c r="O1563" s="241"/>
      <c r="P1563" s="213"/>
    </row>
    <row r="1564" spans="1:16" ht="12">
      <c r="A1564" s="67" t="s">
        <v>2916</v>
      </c>
      <c r="B1564" s="65" t="s">
        <v>2917</v>
      </c>
      <c r="C1564" s="71" t="s">
        <v>165</v>
      </c>
      <c r="D1564" s="79">
        <v>120.28</v>
      </c>
      <c r="F1564" s="79">
        <v>120.28</v>
      </c>
      <c r="G1564" s="81"/>
      <c r="N1564" s="133"/>
      <c r="O1564" s="241"/>
      <c r="P1564" s="213"/>
    </row>
    <row r="1565" spans="1:16" ht="12">
      <c r="A1565" s="67" t="s">
        <v>2918</v>
      </c>
      <c r="B1565" s="65" t="s">
        <v>2919</v>
      </c>
      <c r="C1565" s="71" t="s">
        <v>165</v>
      </c>
      <c r="D1565" s="79">
        <v>144.6</v>
      </c>
      <c r="F1565" s="79">
        <v>144.6</v>
      </c>
      <c r="G1565" s="81"/>
      <c r="N1565" s="133"/>
      <c r="O1565" s="241"/>
      <c r="P1565" s="213"/>
    </row>
    <row r="1566" spans="1:16" ht="12">
      <c r="A1566" s="67" t="s">
        <v>2920</v>
      </c>
      <c r="B1566" s="65" t="s">
        <v>2921</v>
      </c>
      <c r="C1566" s="71" t="s">
        <v>165</v>
      </c>
      <c r="D1566" s="79">
        <v>161.93</v>
      </c>
      <c r="F1566" s="79">
        <v>161.93</v>
      </c>
      <c r="G1566" s="81"/>
      <c r="N1566" s="133"/>
      <c r="O1566" s="241"/>
      <c r="P1566" s="213"/>
    </row>
    <row r="1567" spans="1:16" ht="12">
      <c r="A1567" s="67" t="s">
        <v>2922</v>
      </c>
      <c r="B1567" s="65" t="s">
        <v>2923</v>
      </c>
      <c r="C1567" s="71" t="s">
        <v>165</v>
      </c>
      <c r="D1567" s="79">
        <v>172.55</v>
      </c>
      <c r="F1567" s="79">
        <v>172.55</v>
      </c>
      <c r="G1567" s="81"/>
      <c r="N1567" s="133"/>
      <c r="O1567" s="241"/>
      <c r="P1567" s="213"/>
    </row>
    <row r="1568" spans="1:16" ht="12">
      <c r="A1568" s="67" t="s">
        <v>2924</v>
      </c>
      <c r="B1568" s="65" t="s">
        <v>2925</v>
      </c>
      <c r="C1568" s="71" t="s">
        <v>165</v>
      </c>
      <c r="D1568" s="79">
        <v>197.95</v>
      </c>
      <c r="F1568" s="79">
        <v>197.95</v>
      </c>
      <c r="G1568" s="81"/>
      <c r="N1568" s="133"/>
      <c r="O1568" s="241"/>
      <c r="P1568" s="213"/>
    </row>
    <row r="1569" spans="1:16" ht="12">
      <c r="A1569" s="67" t="s">
        <v>2926</v>
      </c>
      <c r="B1569" s="65" t="s">
        <v>2927</v>
      </c>
      <c r="C1569" s="71" t="s">
        <v>165</v>
      </c>
      <c r="D1569" s="79">
        <v>210.65</v>
      </c>
      <c r="F1569" s="79">
        <v>210.65</v>
      </c>
      <c r="G1569" s="81"/>
      <c r="N1569" s="133"/>
      <c r="O1569" s="241"/>
      <c r="P1569" s="213"/>
    </row>
    <row r="1570" spans="1:16" ht="12">
      <c r="A1570" s="83" t="s">
        <v>2928</v>
      </c>
      <c r="B1570" s="257" t="s">
        <v>2929</v>
      </c>
      <c r="C1570" s="258" t="s">
        <v>165</v>
      </c>
      <c r="D1570" s="79">
        <v>162.71</v>
      </c>
      <c r="F1570" s="79">
        <v>162.71</v>
      </c>
      <c r="G1570" s="81"/>
      <c r="N1570" s="240"/>
      <c r="O1570" s="241"/>
      <c r="P1570" s="213"/>
    </row>
    <row r="1571" spans="1:16" ht="12">
      <c r="A1571" s="83" t="s">
        <v>2930</v>
      </c>
      <c r="B1571" s="257" t="s">
        <v>2931</v>
      </c>
      <c r="C1571" s="258" t="s">
        <v>165</v>
      </c>
      <c r="D1571" s="79">
        <v>199.74</v>
      </c>
      <c r="F1571" s="79">
        <v>199.74</v>
      </c>
      <c r="G1571" s="81"/>
      <c r="N1571" s="240"/>
      <c r="O1571" s="241"/>
      <c r="P1571" s="213"/>
    </row>
    <row r="1572" spans="1:16" ht="12">
      <c r="A1572" s="83" t="s">
        <v>2932</v>
      </c>
      <c r="B1572" s="257" t="s">
        <v>2933</v>
      </c>
      <c r="C1572" s="258" t="s">
        <v>165</v>
      </c>
      <c r="D1572" s="79">
        <v>265.83</v>
      </c>
      <c r="F1572" s="79">
        <v>265.83</v>
      </c>
      <c r="G1572" s="81"/>
      <c r="N1572" s="240"/>
      <c r="O1572" s="241"/>
      <c r="P1572" s="213"/>
    </row>
    <row r="1573" spans="1:16" ht="12">
      <c r="A1573" s="83" t="s">
        <v>2934</v>
      </c>
      <c r="B1573" s="257" t="s">
        <v>2935</v>
      </c>
      <c r="C1573" s="258" t="s">
        <v>165</v>
      </c>
      <c r="D1573" s="79">
        <v>351.62</v>
      </c>
      <c r="F1573" s="79">
        <v>351.62</v>
      </c>
      <c r="G1573" s="81"/>
      <c r="N1573" s="240"/>
      <c r="O1573" s="241"/>
      <c r="P1573" s="213"/>
    </row>
    <row r="1574" spans="1:16" ht="12">
      <c r="A1574" s="83" t="s">
        <v>2936</v>
      </c>
      <c r="B1574" s="257" t="s">
        <v>2937</v>
      </c>
      <c r="C1574" s="258" t="s">
        <v>165</v>
      </c>
      <c r="D1574" s="79">
        <v>506.25</v>
      </c>
      <c r="F1574" s="79">
        <v>506.25</v>
      </c>
      <c r="G1574" s="81"/>
      <c r="N1574" s="240"/>
      <c r="O1574" s="241"/>
      <c r="P1574" s="213"/>
    </row>
    <row r="1575" spans="1:16" ht="12">
      <c r="A1575" s="83" t="s">
        <v>2938</v>
      </c>
      <c r="B1575" s="257" t="s">
        <v>2939</v>
      </c>
      <c r="C1575" s="258" t="s">
        <v>165</v>
      </c>
      <c r="D1575" s="79">
        <v>640.61</v>
      </c>
      <c r="F1575" s="79">
        <v>640.61</v>
      </c>
      <c r="G1575" s="81"/>
      <c r="N1575" s="240"/>
      <c r="O1575" s="241"/>
      <c r="P1575" s="213"/>
    </row>
    <row r="1576" spans="1:16" ht="12">
      <c r="A1576" s="83" t="s">
        <v>2940</v>
      </c>
      <c r="B1576" s="257" t="s">
        <v>2941</v>
      </c>
      <c r="C1576" s="258" t="s">
        <v>165</v>
      </c>
      <c r="D1576" s="79">
        <v>47.16</v>
      </c>
      <c r="F1576" s="79">
        <v>47.16</v>
      </c>
      <c r="G1576" s="81"/>
      <c r="N1576" s="240"/>
      <c r="O1576" s="241"/>
      <c r="P1576" s="213"/>
    </row>
    <row r="1577" spans="1:16" ht="12">
      <c r="A1577" s="83" t="s">
        <v>2942</v>
      </c>
      <c r="B1577" s="257" t="s">
        <v>2943</v>
      </c>
      <c r="C1577" s="258" t="s">
        <v>165</v>
      </c>
      <c r="D1577" s="79">
        <v>74.709999999999994</v>
      </c>
      <c r="F1577" s="79">
        <v>74.709999999999994</v>
      </c>
      <c r="G1577" s="81"/>
      <c r="N1577" s="240"/>
      <c r="O1577" s="241"/>
      <c r="P1577" s="213"/>
    </row>
    <row r="1578" spans="1:16" ht="12">
      <c r="A1578" s="83" t="s">
        <v>2944</v>
      </c>
      <c r="B1578" s="257" t="s">
        <v>2945</v>
      </c>
      <c r="C1578" s="258" t="s">
        <v>165</v>
      </c>
      <c r="D1578" s="79">
        <v>96.47</v>
      </c>
      <c r="F1578" s="79">
        <v>96.47</v>
      </c>
      <c r="G1578" s="81"/>
      <c r="N1578" s="240"/>
      <c r="O1578" s="241"/>
      <c r="P1578" s="213"/>
    </row>
    <row r="1579" spans="1:16" ht="12">
      <c r="A1579" s="83" t="s">
        <v>2946</v>
      </c>
      <c r="B1579" s="257" t="s">
        <v>2947</v>
      </c>
      <c r="C1579" s="258" t="s">
        <v>165</v>
      </c>
      <c r="D1579" s="79">
        <v>53.88</v>
      </c>
      <c r="F1579" s="79">
        <v>53.88</v>
      </c>
      <c r="G1579" s="81"/>
      <c r="N1579" s="240"/>
      <c r="O1579" s="241"/>
      <c r="P1579" s="213"/>
    </row>
    <row r="1580" spans="1:16" ht="12">
      <c r="A1580" s="83" t="s">
        <v>2948</v>
      </c>
      <c r="B1580" s="257" t="s">
        <v>2949</v>
      </c>
      <c r="C1580" s="258" t="s">
        <v>165</v>
      </c>
      <c r="D1580" s="79">
        <v>67.45</v>
      </c>
      <c r="F1580" s="79">
        <v>67.45</v>
      </c>
      <c r="G1580" s="81"/>
      <c r="N1580" s="240"/>
      <c r="O1580" s="241"/>
      <c r="P1580" s="213"/>
    </row>
    <row r="1581" spans="1:16" ht="12">
      <c r="A1581" s="83" t="s">
        <v>2950</v>
      </c>
      <c r="B1581" s="257" t="s">
        <v>2951</v>
      </c>
      <c r="C1581" s="258" t="s">
        <v>165</v>
      </c>
      <c r="D1581" s="79">
        <v>126.36</v>
      </c>
      <c r="F1581" s="79">
        <v>126.36</v>
      </c>
      <c r="G1581" s="81"/>
      <c r="N1581" s="240"/>
      <c r="O1581" s="241"/>
      <c r="P1581" s="213"/>
    </row>
    <row r="1582" spans="1:16" ht="12">
      <c r="A1582" s="83" t="s">
        <v>2952</v>
      </c>
      <c r="B1582" s="257" t="s">
        <v>2953</v>
      </c>
      <c r="C1582" s="258" t="s">
        <v>165</v>
      </c>
      <c r="D1582" s="79">
        <v>171.63</v>
      </c>
      <c r="F1582" s="79">
        <v>171.63</v>
      </c>
      <c r="G1582" s="81"/>
      <c r="N1582" s="240"/>
      <c r="O1582" s="241"/>
      <c r="P1582" s="213"/>
    </row>
    <row r="1583" spans="1:16" ht="12">
      <c r="A1583" s="83" t="s">
        <v>2954</v>
      </c>
      <c r="B1583" s="257" t="s">
        <v>2955</v>
      </c>
      <c r="C1583" s="258" t="s">
        <v>165</v>
      </c>
      <c r="D1583" s="79">
        <v>182.63</v>
      </c>
      <c r="F1583" s="79">
        <v>182.63</v>
      </c>
      <c r="G1583" s="81"/>
      <c r="N1583" s="240"/>
      <c r="O1583" s="241"/>
      <c r="P1583" s="213"/>
    </row>
    <row r="1584" spans="1:16" ht="12">
      <c r="A1584" s="83" t="s">
        <v>2956</v>
      </c>
      <c r="B1584" s="257" t="s">
        <v>2957</v>
      </c>
      <c r="C1584" s="258" t="s">
        <v>165</v>
      </c>
      <c r="D1584" s="79">
        <v>303.89999999999998</v>
      </c>
      <c r="F1584" s="79">
        <v>303.89999999999998</v>
      </c>
      <c r="G1584" s="81"/>
      <c r="N1584" s="240"/>
      <c r="O1584" s="241"/>
      <c r="P1584" s="213"/>
    </row>
    <row r="1585" spans="1:16" ht="12">
      <c r="A1585" s="83" t="s">
        <v>2958</v>
      </c>
      <c r="B1585" s="257" t="s">
        <v>28164</v>
      </c>
      <c r="C1585" s="258" t="s">
        <v>103</v>
      </c>
      <c r="D1585" s="79">
        <v>93.34</v>
      </c>
      <c r="F1585" s="79">
        <v>93.34</v>
      </c>
      <c r="G1585" s="81"/>
      <c r="N1585" s="240"/>
      <c r="O1585" s="241"/>
      <c r="P1585" s="213"/>
    </row>
    <row r="1586" spans="1:16" ht="12">
      <c r="A1586" s="83" t="s">
        <v>2959</v>
      </c>
      <c r="B1586" s="257" t="s">
        <v>28165</v>
      </c>
      <c r="C1586" s="258" t="s">
        <v>103</v>
      </c>
      <c r="D1586" s="79">
        <v>119.83</v>
      </c>
      <c r="F1586" s="79">
        <v>119.83</v>
      </c>
      <c r="G1586" s="81"/>
      <c r="N1586" s="240"/>
      <c r="O1586" s="241"/>
      <c r="P1586" s="213"/>
    </row>
    <row r="1587" spans="1:16" ht="12">
      <c r="A1587" s="83" t="s">
        <v>2960</v>
      </c>
      <c r="B1587" s="257" t="s">
        <v>28166</v>
      </c>
      <c r="C1587" s="258" t="s">
        <v>103</v>
      </c>
      <c r="D1587" s="79">
        <v>246.15</v>
      </c>
      <c r="F1587" s="79">
        <v>246.15</v>
      </c>
      <c r="G1587" s="81"/>
      <c r="N1587" s="240"/>
      <c r="O1587" s="241"/>
      <c r="P1587" s="213"/>
    </row>
    <row r="1588" spans="1:16" ht="12">
      <c r="A1588" s="83" t="s">
        <v>2961</v>
      </c>
      <c r="B1588" s="257" t="s">
        <v>28167</v>
      </c>
      <c r="C1588" s="258" t="s">
        <v>103</v>
      </c>
      <c r="D1588" s="79">
        <v>316.29000000000002</v>
      </c>
      <c r="F1588" s="79">
        <v>316.29000000000002</v>
      </c>
      <c r="G1588" s="81"/>
      <c r="N1588" s="240"/>
      <c r="O1588" s="241"/>
      <c r="P1588" s="213"/>
    </row>
    <row r="1589" spans="1:16" ht="12">
      <c r="A1589" s="83" t="s">
        <v>2962</v>
      </c>
      <c r="B1589" s="257" t="s">
        <v>28168</v>
      </c>
      <c r="C1589" s="258" t="s">
        <v>103</v>
      </c>
      <c r="D1589" s="79">
        <v>231.88</v>
      </c>
      <c r="F1589" s="79">
        <v>231.88</v>
      </c>
      <c r="G1589" s="81"/>
      <c r="N1589" s="240"/>
      <c r="O1589" s="241"/>
      <c r="P1589" s="213"/>
    </row>
    <row r="1590" spans="1:16" ht="12">
      <c r="A1590" s="83" t="s">
        <v>2963</v>
      </c>
      <c r="B1590" s="257" t="s">
        <v>28169</v>
      </c>
      <c r="C1590" s="258" t="s">
        <v>103</v>
      </c>
      <c r="D1590" s="79">
        <v>1503.94</v>
      </c>
      <c r="F1590" s="79">
        <v>1503.94</v>
      </c>
      <c r="G1590" s="81"/>
      <c r="N1590" s="240"/>
      <c r="O1590" s="241"/>
      <c r="P1590" s="213"/>
    </row>
    <row r="1591" spans="1:16" ht="24">
      <c r="A1591" s="83" t="s">
        <v>2964</v>
      </c>
      <c r="B1591" s="257" t="s">
        <v>2965</v>
      </c>
      <c r="C1591" s="258" t="s">
        <v>103</v>
      </c>
      <c r="D1591" s="79">
        <v>6451.17</v>
      </c>
      <c r="F1591" s="79">
        <v>6451.17</v>
      </c>
      <c r="G1591" s="81"/>
      <c r="N1591" s="240"/>
      <c r="O1591" s="241"/>
      <c r="P1591" s="213"/>
    </row>
    <row r="1592" spans="1:16" ht="24">
      <c r="A1592" s="83" t="s">
        <v>2966</v>
      </c>
      <c r="B1592" s="257" t="s">
        <v>2967</v>
      </c>
      <c r="C1592" s="258" t="s">
        <v>103</v>
      </c>
      <c r="D1592" s="79">
        <v>1754.72</v>
      </c>
      <c r="F1592" s="79">
        <v>1754.72</v>
      </c>
      <c r="G1592" s="81"/>
      <c r="N1592" s="240"/>
      <c r="O1592" s="241"/>
      <c r="P1592" s="213"/>
    </row>
    <row r="1593" spans="1:16" ht="24">
      <c r="A1593" s="83" t="s">
        <v>2968</v>
      </c>
      <c r="B1593" s="257" t="s">
        <v>2969</v>
      </c>
      <c r="C1593" s="258" t="s">
        <v>103</v>
      </c>
      <c r="D1593" s="79">
        <v>480.55</v>
      </c>
      <c r="F1593" s="79">
        <v>480.55</v>
      </c>
      <c r="G1593" s="81"/>
      <c r="N1593" s="240"/>
      <c r="O1593" s="241"/>
      <c r="P1593" s="213"/>
    </row>
    <row r="1594" spans="1:16" ht="24">
      <c r="A1594" s="263" t="s">
        <v>2970</v>
      </c>
      <c r="B1594" s="263" t="s">
        <v>2971</v>
      </c>
      <c r="C1594" s="264" t="s">
        <v>103</v>
      </c>
      <c r="D1594" s="79">
        <v>80.45</v>
      </c>
      <c r="E1594" s="182"/>
      <c r="F1594" s="519">
        <v>80.45</v>
      </c>
      <c r="G1594" s="242"/>
      <c r="H1594" s="242"/>
      <c r="I1594" s="242"/>
      <c r="J1594" s="242"/>
      <c r="K1594" s="242"/>
      <c r="L1594" s="242"/>
      <c r="M1594" s="242"/>
      <c r="N1594" s="242"/>
      <c r="O1594" s="242"/>
      <c r="P1594" s="242"/>
    </row>
    <row r="1595" spans="1:16" ht="24">
      <c r="A1595" s="83" t="s">
        <v>2972</v>
      </c>
      <c r="B1595" s="257" t="s">
        <v>2973</v>
      </c>
      <c r="C1595" s="258" t="s">
        <v>103</v>
      </c>
      <c r="D1595" s="79">
        <v>99.54</v>
      </c>
      <c r="F1595" s="79">
        <v>99.54</v>
      </c>
      <c r="G1595" s="81"/>
      <c r="N1595" s="240"/>
      <c r="O1595" s="241"/>
      <c r="P1595" s="213"/>
    </row>
    <row r="1596" spans="1:16" ht="24">
      <c r="A1596" s="83" t="s">
        <v>2974</v>
      </c>
      <c r="B1596" s="257" t="s">
        <v>2975</v>
      </c>
      <c r="C1596" s="258" t="s">
        <v>103</v>
      </c>
      <c r="D1596" s="79">
        <v>137.01</v>
      </c>
      <c r="F1596" s="79">
        <v>137.01</v>
      </c>
      <c r="G1596" s="81"/>
      <c r="N1596" s="240"/>
      <c r="O1596" s="241"/>
      <c r="P1596" s="213"/>
    </row>
    <row r="1597" spans="1:16" ht="24">
      <c r="A1597" s="83" t="s">
        <v>2976</v>
      </c>
      <c r="B1597" s="257" t="s">
        <v>2977</v>
      </c>
      <c r="C1597" s="258" t="s">
        <v>103</v>
      </c>
      <c r="D1597" s="79">
        <v>528.78</v>
      </c>
      <c r="F1597" s="79">
        <v>528.78</v>
      </c>
      <c r="G1597" s="81"/>
      <c r="N1597" s="240"/>
      <c r="O1597" s="241"/>
      <c r="P1597" s="213"/>
    </row>
    <row r="1598" spans="1:16" ht="24">
      <c r="A1598" s="83" t="s">
        <v>2978</v>
      </c>
      <c r="B1598" s="257" t="s">
        <v>2979</v>
      </c>
      <c r="C1598" s="258" t="s">
        <v>103</v>
      </c>
      <c r="D1598" s="79">
        <v>761.92</v>
      </c>
      <c r="F1598" s="79">
        <v>761.92</v>
      </c>
      <c r="G1598" s="81"/>
      <c r="N1598" s="240"/>
      <c r="O1598" s="241"/>
      <c r="P1598" s="213"/>
    </row>
    <row r="1599" spans="1:16" ht="12">
      <c r="A1599" s="83" t="s">
        <v>2980</v>
      </c>
      <c r="B1599" s="257" t="s">
        <v>2981</v>
      </c>
      <c r="C1599" s="258" t="s">
        <v>103</v>
      </c>
      <c r="D1599" s="79">
        <v>608.80999999999995</v>
      </c>
      <c r="F1599" s="79">
        <v>608.80999999999995</v>
      </c>
      <c r="G1599" s="81"/>
      <c r="N1599" s="240"/>
      <c r="O1599" s="241"/>
      <c r="P1599" s="213"/>
    </row>
    <row r="1600" spans="1:16" ht="12">
      <c r="A1600" s="83" t="s">
        <v>2982</v>
      </c>
      <c r="B1600" s="257" t="s">
        <v>2983</v>
      </c>
      <c r="C1600" s="258" t="s">
        <v>103</v>
      </c>
      <c r="D1600" s="79">
        <v>1022.77</v>
      </c>
      <c r="F1600" s="79">
        <v>1022.77</v>
      </c>
      <c r="G1600" s="81"/>
      <c r="N1600" s="240"/>
      <c r="O1600" s="241"/>
      <c r="P1600" s="213"/>
    </row>
    <row r="1601" spans="1:16" ht="24">
      <c r="A1601" s="83" t="s">
        <v>2984</v>
      </c>
      <c r="B1601" s="257" t="s">
        <v>2985</v>
      </c>
      <c r="C1601" s="258" t="s">
        <v>103</v>
      </c>
      <c r="D1601" s="79">
        <v>9289.42</v>
      </c>
      <c r="F1601" s="79">
        <v>9289.42</v>
      </c>
      <c r="G1601" s="81"/>
      <c r="N1601" s="240"/>
      <c r="O1601" s="241"/>
      <c r="P1601" s="213"/>
    </row>
    <row r="1602" spans="1:16" ht="24">
      <c r="A1602" s="83" t="s">
        <v>2986</v>
      </c>
      <c r="B1602" s="257" t="s">
        <v>2987</v>
      </c>
      <c r="C1602" s="258" t="s">
        <v>103</v>
      </c>
      <c r="D1602" s="79">
        <v>216.54</v>
      </c>
      <c r="F1602" s="79">
        <v>216.54</v>
      </c>
      <c r="G1602" s="81"/>
      <c r="N1602" s="240"/>
      <c r="O1602" s="241"/>
      <c r="P1602" s="213"/>
    </row>
    <row r="1603" spans="1:16" ht="24">
      <c r="A1603" s="263" t="s">
        <v>2988</v>
      </c>
      <c r="B1603" s="263" t="s">
        <v>2989</v>
      </c>
      <c r="C1603" s="264" t="s">
        <v>103</v>
      </c>
      <c r="D1603" s="79">
        <v>126.55</v>
      </c>
      <c r="E1603" s="182"/>
      <c r="F1603" s="519">
        <v>126.55</v>
      </c>
      <c r="G1603" s="242"/>
      <c r="H1603" s="242"/>
      <c r="I1603" s="242"/>
      <c r="J1603" s="242"/>
      <c r="K1603" s="242"/>
      <c r="L1603" s="242"/>
      <c r="M1603" s="242"/>
      <c r="N1603" s="242"/>
      <c r="O1603" s="242"/>
      <c r="P1603" s="242"/>
    </row>
    <row r="1604" spans="1:16" ht="12">
      <c r="A1604" s="83" t="s">
        <v>2990</v>
      </c>
      <c r="B1604" s="257" t="s">
        <v>2991</v>
      </c>
      <c r="C1604" s="258" t="s">
        <v>103</v>
      </c>
      <c r="D1604" s="79">
        <v>123.99</v>
      </c>
      <c r="F1604" s="79">
        <v>123.99</v>
      </c>
      <c r="G1604" s="81"/>
      <c r="N1604" s="240"/>
      <c r="O1604" s="241"/>
      <c r="P1604" s="213"/>
    </row>
    <row r="1605" spans="1:16" ht="12">
      <c r="A1605" s="83" t="s">
        <v>2992</v>
      </c>
      <c r="B1605" s="257" t="s">
        <v>2993</v>
      </c>
      <c r="C1605" s="258" t="s">
        <v>103</v>
      </c>
      <c r="D1605" s="79">
        <v>149.03</v>
      </c>
      <c r="F1605" s="79">
        <v>149.03</v>
      </c>
      <c r="G1605" s="81"/>
      <c r="N1605" s="240"/>
      <c r="O1605" s="241"/>
      <c r="P1605" s="213"/>
    </row>
    <row r="1606" spans="1:16" ht="12">
      <c r="A1606" s="83" t="s">
        <v>2994</v>
      </c>
      <c r="B1606" s="257" t="s">
        <v>2995</v>
      </c>
      <c r="C1606" s="258" t="s">
        <v>103</v>
      </c>
      <c r="D1606" s="79">
        <v>207.97</v>
      </c>
      <c r="F1606" s="79">
        <v>207.97</v>
      </c>
      <c r="G1606" s="81"/>
      <c r="N1606" s="240"/>
      <c r="O1606" s="241"/>
      <c r="P1606" s="213"/>
    </row>
    <row r="1607" spans="1:16" ht="12">
      <c r="A1607" s="83" t="s">
        <v>2996</v>
      </c>
      <c r="B1607" s="257" t="s">
        <v>2997</v>
      </c>
      <c r="C1607" s="258" t="s">
        <v>103</v>
      </c>
      <c r="D1607" s="79">
        <v>244.8</v>
      </c>
      <c r="F1607" s="79">
        <v>244.8</v>
      </c>
      <c r="G1607" s="81"/>
      <c r="N1607" s="240"/>
      <c r="O1607" s="241"/>
      <c r="P1607" s="213"/>
    </row>
    <row r="1608" spans="1:16" ht="12">
      <c r="A1608" s="83" t="s">
        <v>2998</v>
      </c>
      <c r="B1608" s="257" t="s">
        <v>2999</v>
      </c>
      <c r="C1608" s="258" t="s">
        <v>103</v>
      </c>
      <c r="D1608" s="79">
        <v>368.25</v>
      </c>
      <c r="F1608" s="79">
        <v>368.25</v>
      </c>
      <c r="G1608" s="81"/>
      <c r="N1608" s="240"/>
      <c r="O1608" s="241"/>
      <c r="P1608" s="213"/>
    </row>
    <row r="1609" spans="1:16" ht="12">
      <c r="A1609" s="83" t="s">
        <v>3000</v>
      </c>
      <c r="B1609" s="257" t="s">
        <v>3001</v>
      </c>
      <c r="C1609" s="258" t="s">
        <v>103</v>
      </c>
      <c r="D1609" s="79">
        <v>640.85</v>
      </c>
      <c r="F1609" s="79">
        <v>640.85</v>
      </c>
      <c r="G1609" s="81"/>
      <c r="N1609" s="240"/>
      <c r="O1609" s="241"/>
      <c r="P1609" s="213"/>
    </row>
    <row r="1610" spans="1:16" ht="12">
      <c r="A1610" s="83" t="s">
        <v>3002</v>
      </c>
      <c r="B1610" s="257" t="s">
        <v>3003</v>
      </c>
      <c r="C1610" s="258" t="s">
        <v>103</v>
      </c>
      <c r="D1610" s="79">
        <v>772.02</v>
      </c>
      <c r="F1610" s="79">
        <v>772.02</v>
      </c>
      <c r="G1610" s="81"/>
      <c r="N1610" s="240"/>
      <c r="O1610" s="241"/>
      <c r="P1610" s="213"/>
    </row>
    <row r="1611" spans="1:16" ht="24">
      <c r="A1611" s="83" t="s">
        <v>3004</v>
      </c>
      <c r="B1611" s="257" t="s">
        <v>3005</v>
      </c>
      <c r="C1611" s="258" t="s">
        <v>103</v>
      </c>
      <c r="D1611" s="79">
        <v>223.82</v>
      </c>
      <c r="F1611" s="79">
        <v>223.82</v>
      </c>
      <c r="G1611" s="81"/>
      <c r="N1611" s="240"/>
      <c r="O1611" s="241"/>
      <c r="P1611" s="213"/>
    </row>
    <row r="1612" spans="1:16" ht="12">
      <c r="A1612" s="83" t="s">
        <v>3006</v>
      </c>
      <c r="B1612" s="257" t="s">
        <v>3007</v>
      </c>
      <c r="C1612" s="258" t="s">
        <v>103</v>
      </c>
      <c r="D1612" s="79">
        <v>104.84</v>
      </c>
      <c r="F1612" s="79">
        <v>104.84</v>
      </c>
      <c r="G1612" s="81"/>
      <c r="N1612" s="240"/>
      <c r="O1612" s="241"/>
      <c r="P1612" s="213"/>
    </row>
    <row r="1613" spans="1:16" ht="12">
      <c r="A1613" s="83" t="s">
        <v>3008</v>
      </c>
      <c r="B1613" s="257" t="s">
        <v>3009</v>
      </c>
      <c r="C1613" s="258" t="s">
        <v>103</v>
      </c>
      <c r="D1613" s="79">
        <v>143.91</v>
      </c>
      <c r="F1613" s="79">
        <v>143.91</v>
      </c>
      <c r="G1613" s="81"/>
      <c r="N1613" s="240"/>
      <c r="O1613" s="241"/>
      <c r="P1613" s="213"/>
    </row>
    <row r="1614" spans="1:16" ht="12">
      <c r="A1614" s="83" t="s">
        <v>3010</v>
      </c>
      <c r="B1614" s="257" t="s">
        <v>3011</v>
      </c>
      <c r="C1614" s="258" t="s">
        <v>103</v>
      </c>
      <c r="D1614" s="79">
        <v>167.89</v>
      </c>
      <c r="F1614" s="79">
        <v>167.89</v>
      </c>
      <c r="G1614" s="81"/>
      <c r="N1614" s="240"/>
      <c r="O1614" s="241"/>
      <c r="P1614" s="213"/>
    </row>
    <row r="1615" spans="1:16" ht="12">
      <c r="A1615" s="83" t="s">
        <v>3012</v>
      </c>
      <c r="B1615" s="257" t="s">
        <v>3013</v>
      </c>
      <c r="C1615" s="258" t="s">
        <v>103</v>
      </c>
      <c r="D1615" s="79">
        <v>230.77</v>
      </c>
      <c r="F1615" s="79">
        <v>230.77</v>
      </c>
      <c r="G1615" s="81"/>
      <c r="N1615" s="240"/>
      <c r="O1615" s="241"/>
      <c r="P1615" s="213"/>
    </row>
    <row r="1616" spans="1:16" ht="12">
      <c r="A1616" s="83" t="s">
        <v>3014</v>
      </c>
      <c r="B1616" s="257" t="s">
        <v>3015</v>
      </c>
      <c r="C1616" s="258" t="s">
        <v>103</v>
      </c>
      <c r="D1616" s="79">
        <v>380.92</v>
      </c>
      <c r="F1616" s="79">
        <v>380.92</v>
      </c>
      <c r="G1616" s="81"/>
      <c r="N1616" s="240"/>
      <c r="O1616" s="241"/>
      <c r="P1616" s="213"/>
    </row>
    <row r="1617" spans="1:16" ht="12">
      <c r="A1617" s="83" t="s">
        <v>3016</v>
      </c>
      <c r="B1617" s="257" t="s">
        <v>3017</v>
      </c>
      <c r="C1617" s="258" t="s">
        <v>103</v>
      </c>
      <c r="D1617" s="79">
        <v>561.37</v>
      </c>
      <c r="F1617" s="79">
        <v>561.37</v>
      </c>
      <c r="G1617" s="81"/>
      <c r="N1617" s="240"/>
      <c r="O1617" s="241"/>
      <c r="P1617" s="213"/>
    </row>
    <row r="1618" spans="1:16" ht="24">
      <c r="A1618" s="83" t="s">
        <v>3018</v>
      </c>
      <c r="B1618" s="257" t="s">
        <v>3019</v>
      </c>
      <c r="C1618" s="258" t="s">
        <v>103</v>
      </c>
      <c r="D1618" s="79">
        <v>319.20999999999998</v>
      </c>
      <c r="F1618" s="79">
        <v>319.20999999999998</v>
      </c>
      <c r="G1618" s="81"/>
      <c r="N1618" s="240"/>
      <c r="O1618" s="241"/>
      <c r="P1618" s="213"/>
    </row>
    <row r="1619" spans="1:16" ht="12">
      <c r="A1619" s="83" t="s">
        <v>3020</v>
      </c>
      <c r="B1619" s="257" t="s">
        <v>3021</v>
      </c>
      <c r="C1619" s="258" t="s">
        <v>103</v>
      </c>
      <c r="D1619" s="79">
        <v>1070.1600000000001</v>
      </c>
      <c r="F1619" s="79">
        <v>1070.1600000000001</v>
      </c>
      <c r="G1619" s="81"/>
      <c r="N1619" s="240"/>
      <c r="O1619" s="241"/>
      <c r="P1619" s="213"/>
    </row>
    <row r="1620" spans="1:16" ht="24">
      <c r="A1620" s="83" t="s">
        <v>3022</v>
      </c>
      <c r="B1620" s="257" t="s">
        <v>3023</v>
      </c>
      <c r="C1620" s="258" t="s">
        <v>103</v>
      </c>
      <c r="D1620" s="79">
        <v>624.19000000000005</v>
      </c>
      <c r="F1620" s="79">
        <v>624.19000000000005</v>
      </c>
      <c r="G1620" s="81"/>
      <c r="N1620" s="240"/>
      <c r="O1620" s="241"/>
      <c r="P1620" s="213"/>
    </row>
    <row r="1621" spans="1:16" ht="24">
      <c r="A1621" s="83" t="s">
        <v>3024</v>
      </c>
      <c r="B1621" s="257" t="s">
        <v>3025</v>
      </c>
      <c r="C1621" s="258" t="s">
        <v>103</v>
      </c>
      <c r="D1621" s="79">
        <v>878.57</v>
      </c>
      <c r="F1621" s="79">
        <v>878.57</v>
      </c>
      <c r="G1621" s="81"/>
      <c r="N1621" s="240"/>
      <c r="O1621" s="241"/>
      <c r="P1621" s="213"/>
    </row>
    <row r="1622" spans="1:16" ht="24">
      <c r="A1622" s="83" t="s">
        <v>3026</v>
      </c>
      <c r="B1622" s="257" t="s">
        <v>3027</v>
      </c>
      <c r="C1622" s="258" t="s">
        <v>103</v>
      </c>
      <c r="D1622" s="79">
        <v>1358.64</v>
      </c>
      <c r="F1622" s="79">
        <v>1358.64</v>
      </c>
      <c r="G1622" s="81"/>
      <c r="N1622" s="240"/>
      <c r="O1622" s="241"/>
      <c r="P1622" s="213"/>
    </row>
    <row r="1623" spans="1:16" ht="24">
      <c r="A1623" s="83" t="s">
        <v>3028</v>
      </c>
      <c r="B1623" s="257" t="s">
        <v>3029</v>
      </c>
      <c r="C1623" s="258" t="s">
        <v>103</v>
      </c>
      <c r="D1623" s="79">
        <v>587.09</v>
      </c>
      <c r="F1623" s="79">
        <v>587.09</v>
      </c>
      <c r="G1623" s="81"/>
      <c r="N1623" s="240"/>
      <c r="O1623" s="241"/>
      <c r="P1623" s="213"/>
    </row>
    <row r="1624" spans="1:16" ht="24">
      <c r="A1624" s="83" t="s">
        <v>3030</v>
      </c>
      <c r="B1624" s="257" t="s">
        <v>3031</v>
      </c>
      <c r="C1624" s="258" t="s">
        <v>103</v>
      </c>
      <c r="D1624" s="79">
        <v>7091.67</v>
      </c>
      <c r="F1624" s="79">
        <v>7091.67</v>
      </c>
      <c r="G1624" s="81"/>
      <c r="N1624" s="240"/>
      <c r="O1624" s="241"/>
      <c r="P1624" s="213"/>
    </row>
    <row r="1625" spans="1:16" ht="12">
      <c r="A1625" s="83" t="s">
        <v>3032</v>
      </c>
      <c r="B1625" s="257" t="s">
        <v>3033</v>
      </c>
      <c r="C1625" s="258" t="s">
        <v>103</v>
      </c>
      <c r="D1625" s="79">
        <v>109.66</v>
      </c>
      <c r="F1625" s="79">
        <v>109.66</v>
      </c>
      <c r="G1625" s="81"/>
      <c r="N1625" s="240"/>
      <c r="O1625" s="241"/>
      <c r="P1625" s="213"/>
    </row>
    <row r="1626" spans="1:16" ht="12">
      <c r="A1626" s="83" t="s">
        <v>3034</v>
      </c>
      <c r="B1626" s="257" t="s">
        <v>3035</v>
      </c>
      <c r="C1626" s="258" t="s">
        <v>103</v>
      </c>
      <c r="D1626" s="79">
        <v>147.62</v>
      </c>
      <c r="F1626" s="79">
        <v>147.62</v>
      </c>
      <c r="G1626" s="81"/>
      <c r="N1626" s="240"/>
      <c r="O1626" s="241"/>
      <c r="P1626" s="213"/>
    </row>
    <row r="1627" spans="1:16" ht="12">
      <c r="A1627" s="83" t="s">
        <v>3036</v>
      </c>
      <c r="B1627" s="257" t="s">
        <v>3037</v>
      </c>
      <c r="C1627" s="258" t="s">
        <v>103</v>
      </c>
      <c r="D1627" s="79">
        <v>181.09</v>
      </c>
      <c r="F1627" s="79">
        <v>181.09</v>
      </c>
      <c r="G1627" s="81"/>
      <c r="N1627" s="240"/>
      <c r="O1627" s="241"/>
      <c r="P1627" s="213"/>
    </row>
    <row r="1628" spans="1:16" ht="12">
      <c r="A1628" s="83" t="s">
        <v>3038</v>
      </c>
      <c r="B1628" s="257" t="s">
        <v>3039</v>
      </c>
      <c r="C1628" s="258" t="s">
        <v>103</v>
      </c>
      <c r="D1628" s="79">
        <v>256.55</v>
      </c>
      <c r="F1628" s="79">
        <v>256.55</v>
      </c>
      <c r="G1628" s="81"/>
      <c r="N1628" s="240"/>
      <c r="O1628" s="241"/>
      <c r="P1628" s="213"/>
    </row>
    <row r="1629" spans="1:16" ht="12">
      <c r="A1629" s="83" t="s">
        <v>3040</v>
      </c>
      <c r="B1629" s="257" t="s">
        <v>3041</v>
      </c>
      <c r="C1629" s="258" t="s">
        <v>103</v>
      </c>
      <c r="D1629" s="79">
        <v>420.96</v>
      </c>
      <c r="F1629" s="79">
        <v>420.96</v>
      </c>
      <c r="G1629" s="81"/>
      <c r="N1629" s="240"/>
      <c r="O1629" s="241"/>
      <c r="P1629" s="213"/>
    </row>
    <row r="1630" spans="1:16" ht="12">
      <c r="A1630" s="83" t="s">
        <v>3042</v>
      </c>
      <c r="B1630" s="257" t="s">
        <v>3043</v>
      </c>
      <c r="C1630" s="258" t="s">
        <v>103</v>
      </c>
      <c r="D1630" s="79">
        <v>609.86</v>
      </c>
      <c r="F1630" s="79">
        <v>609.86</v>
      </c>
      <c r="G1630" s="81"/>
      <c r="N1630" s="240"/>
      <c r="O1630" s="241"/>
      <c r="P1630" s="213"/>
    </row>
    <row r="1631" spans="1:16" ht="12">
      <c r="A1631" s="83" t="s">
        <v>3044</v>
      </c>
      <c r="B1631" s="257" t="s">
        <v>3045</v>
      </c>
      <c r="C1631" s="258" t="s">
        <v>103</v>
      </c>
      <c r="D1631" s="79">
        <v>1043.69</v>
      </c>
      <c r="F1631" s="79">
        <v>1043.69</v>
      </c>
      <c r="G1631" s="81"/>
      <c r="N1631" s="240"/>
      <c r="O1631" s="241"/>
      <c r="P1631" s="213"/>
    </row>
    <row r="1632" spans="1:16" ht="24">
      <c r="A1632" s="83" t="s">
        <v>3046</v>
      </c>
      <c r="B1632" s="257" t="s">
        <v>3047</v>
      </c>
      <c r="C1632" s="258" t="s">
        <v>103</v>
      </c>
      <c r="D1632" s="79">
        <v>2620.37</v>
      </c>
      <c r="F1632" s="79">
        <v>2620.37</v>
      </c>
      <c r="G1632" s="81"/>
      <c r="N1632" s="240"/>
      <c r="O1632" s="241"/>
      <c r="P1632" s="213"/>
    </row>
    <row r="1633" spans="1:16" ht="12">
      <c r="A1633" s="83" t="s">
        <v>3048</v>
      </c>
      <c r="B1633" s="257" t="s">
        <v>3049</v>
      </c>
      <c r="C1633" s="258" t="s">
        <v>103</v>
      </c>
      <c r="D1633" s="79">
        <v>140.72</v>
      </c>
      <c r="F1633" s="79">
        <v>140.72</v>
      </c>
      <c r="G1633" s="81"/>
      <c r="N1633" s="240"/>
      <c r="O1633" s="241"/>
      <c r="P1633" s="213"/>
    </row>
    <row r="1634" spans="1:16" ht="12">
      <c r="A1634" s="83" t="s">
        <v>3050</v>
      </c>
      <c r="B1634" s="257" t="s">
        <v>3051</v>
      </c>
      <c r="C1634" s="258" t="s">
        <v>103</v>
      </c>
      <c r="D1634" s="79">
        <v>170.82</v>
      </c>
      <c r="F1634" s="79">
        <v>170.82</v>
      </c>
      <c r="G1634" s="81"/>
      <c r="N1634" s="240"/>
      <c r="O1634" s="241"/>
      <c r="P1634" s="213"/>
    </row>
    <row r="1635" spans="1:16" ht="12">
      <c r="A1635" s="83" t="s">
        <v>3052</v>
      </c>
      <c r="B1635" s="257" t="s">
        <v>3053</v>
      </c>
      <c r="C1635" s="258" t="s">
        <v>103</v>
      </c>
      <c r="D1635" s="79">
        <v>211.4</v>
      </c>
      <c r="F1635" s="79">
        <v>211.4</v>
      </c>
      <c r="G1635" s="81"/>
      <c r="N1635" s="240"/>
      <c r="O1635" s="241"/>
      <c r="P1635" s="213"/>
    </row>
    <row r="1636" spans="1:16" ht="12">
      <c r="A1636" s="83" t="s">
        <v>3054</v>
      </c>
      <c r="B1636" s="257" t="s">
        <v>3055</v>
      </c>
      <c r="C1636" s="258" t="s">
        <v>103</v>
      </c>
      <c r="D1636" s="79">
        <v>274.95</v>
      </c>
      <c r="F1636" s="79">
        <v>274.95</v>
      </c>
      <c r="G1636" s="81"/>
      <c r="N1636" s="240"/>
      <c r="O1636" s="241"/>
      <c r="P1636" s="213"/>
    </row>
    <row r="1637" spans="1:16" ht="12">
      <c r="A1637" s="83" t="s">
        <v>3056</v>
      </c>
      <c r="B1637" s="257" t="s">
        <v>3057</v>
      </c>
      <c r="C1637" s="258" t="s">
        <v>103</v>
      </c>
      <c r="D1637" s="79">
        <v>186.48</v>
      </c>
      <c r="F1637" s="79">
        <v>186.48</v>
      </c>
      <c r="G1637" s="81"/>
      <c r="N1637" s="240"/>
      <c r="O1637" s="241"/>
      <c r="P1637" s="213"/>
    </row>
    <row r="1638" spans="1:16" ht="12">
      <c r="A1638" s="83" t="s">
        <v>3058</v>
      </c>
      <c r="B1638" s="257" t="s">
        <v>3059</v>
      </c>
      <c r="C1638" s="258" t="s">
        <v>103</v>
      </c>
      <c r="D1638" s="79">
        <v>538.32000000000005</v>
      </c>
      <c r="F1638" s="79">
        <v>538.32000000000005</v>
      </c>
      <c r="G1638" s="81"/>
      <c r="N1638" s="240"/>
      <c r="O1638" s="241"/>
      <c r="P1638" s="213"/>
    </row>
    <row r="1639" spans="1:16" ht="12">
      <c r="A1639" s="83" t="s">
        <v>3060</v>
      </c>
      <c r="B1639" s="257" t="s">
        <v>3061</v>
      </c>
      <c r="C1639" s="258" t="s">
        <v>103</v>
      </c>
      <c r="D1639" s="79">
        <v>239.87</v>
      </c>
      <c r="F1639" s="79">
        <v>239.87</v>
      </c>
      <c r="G1639" s="81"/>
      <c r="N1639" s="240"/>
      <c r="O1639" s="241"/>
      <c r="P1639" s="213"/>
    </row>
    <row r="1640" spans="1:16" ht="12">
      <c r="A1640" s="83" t="s">
        <v>3062</v>
      </c>
      <c r="B1640" s="257" t="s">
        <v>3063</v>
      </c>
      <c r="C1640" s="258" t="s">
        <v>103</v>
      </c>
      <c r="D1640" s="79">
        <v>302.62</v>
      </c>
      <c r="F1640" s="79">
        <v>302.62</v>
      </c>
      <c r="G1640" s="81"/>
      <c r="N1640" s="240"/>
      <c r="O1640" s="241"/>
      <c r="P1640" s="213"/>
    </row>
    <row r="1641" spans="1:16" ht="12">
      <c r="A1641" s="83" t="s">
        <v>3064</v>
      </c>
      <c r="B1641" s="257" t="s">
        <v>3065</v>
      </c>
      <c r="C1641" s="258" t="s">
        <v>103</v>
      </c>
      <c r="D1641" s="79">
        <v>341.61</v>
      </c>
      <c r="F1641" s="79">
        <v>341.61</v>
      </c>
      <c r="G1641" s="81"/>
      <c r="N1641" s="240"/>
      <c r="O1641" s="241"/>
      <c r="P1641" s="213"/>
    </row>
    <row r="1642" spans="1:16" ht="12">
      <c r="A1642" s="83" t="s">
        <v>3066</v>
      </c>
      <c r="B1642" s="257" t="s">
        <v>3067</v>
      </c>
      <c r="C1642" s="258" t="s">
        <v>103</v>
      </c>
      <c r="D1642" s="79">
        <v>705.73</v>
      </c>
      <c r="F1642" s="79">
        <v>705.73</v>
      </c>
      <c r="G1642" s="81"/>
      <c r="N1642" s="240"/>
      <c r="O1642" s="241"/>
      <c r="P1642" s="213"/>
    </row>
    <row r="1643" spans="1:16" ht="24">
      <c r="A1643" s="83" t="s">
        <v>3068</v>
      </c>
      <c r="B1643" s="257" t="s">
        <v>3069</v>
      </c>
      <c r="C1643" s="258" t="s">
        <v>103</v>
      </c>
      <c r="D1643" s="79">
        <v>6336.06</v>
      </c>
      <c r="F1643" s="79">
        <v>6336.06</v>
      </c>
      <c r="G1643" s="81"/>
      <c r="N1643" s="240"/>
      <c r="O1643" s="241"/>
      <c r="P1643" s="213"/>
    </row>
    <row r="1644" spans="1:16" ht="24">
      <c r="A1644" s="83" t="s">
        <v>3070</v>
      </c>
      <c r="B1644" s="257" t="s">
        <v>3071</v>
      </c>
      <c r="C1644" s="258" t="s">
        <v>103</v>
      </c>
      <c r="D1644" s="79">
        <v>7470.54</v>
      </c>
      <c r="F1644" s="79">
        <v>7470.54</v>
      </c>
      <c r="G1644" s="81"/>
      <c r="N1644" s="240"/>
      <c r="O1644" s="241"/>
      <c r="P1644" s="213"/>
    </row>
    <row r="1645" spans="1:16" ht="12">
      <c r="A1645" s="67" t="s">
        <v>3072</v>
      </c>
      <c r="B1645" s="65" t="s">
        <v>3073</v>
      </c>
      <c r="C1645" s="71" t="s">
        <v>103</v>
      </c>
      <c r="D1645" s="79">
        <v>571.62</v>
      </c>
      <c r="F1645" s="79">
        <v>571.62</v>
      </c>
      <c r="G1645" s="81"/>
      <c r="N1645" s="133"/>
      <c r="O1645" s="241"/>
      <c r="P1645" s="213"/>
    </row>
    <row r="1646" spans="1:16" ht="12">
      <c r="A1646" s="83" t="s">
        <v>3074</v>
      </c>
      <c r="B1646" s="257" t="s">
        <v>3075</v>
      </c>
      <c r="C1646" s="258" t="s">
        <v>103</v>
      </c>
      <c r="D1646" s="79">
        <v>551.42999999999995</v>
      </c>
      <c r="F1646" s="79">
        <v>551.42999999999995</v>
      </c>
      <c r="G1646" s="81"/>
      <c r="N1646" s="240"/>
      <c r="O1646" s="241"/>
      <c r="P1646" s="213"/>
    </row>
    <row r="1647" spans="1:16" ht="24">
      <c r="A1647" s="83" t="s">
        <v>3076</v>
      </c>
      <c r="B1647" s="257" t="s">
        <v>3077</v>
      </c>
      <c r="C1647" s="258" t="s">
        <v>103</v>
      </c>
      <c r="D1647" s="79">
        <v>435.09</v>
      </c>
      <c r="F1647" s="79">
        <v>435.09</v>
      </c>
      <c r="G1647" s="81"/>
      <c r="N1647" s="240"/>
      <c r="O1647" s="241"/>
      <c r="P1647" s="213"/>
    </row>
    <row r="1648" spans="1:16" ht="24">
      <c r="A1648" s="83" t="s">
        <v>3078</v>
      </c>
      <c r="B1648" s="257" t="s">
        <v>3079</v>
      </c>
      <c r="C1648" s="258" t="s">
        <v>103</v>
      </c>
      <c r="D1648" s="79">
        <v>180.7</v>
      </c>
      <c r="F1648" s="79">
        <v>180.7</v>
      </c>
      <c r="G1648" s="81"/>
      <c r="N1648" s="240"/>
      <c r="O1648" s="241"/>
      <c r="P1648" s="213"/>
    </row>
    <row r="1649" spans="1:16" ht="24">
      <c r="A1649" s="83" t="s">
        <v>3080</v>
      </c>
      <c r="B1649" s="257" t="s">
        <v>29808</v>
      </c>
      <c r="C1649" s="258" t="s">
        <v>103</v>
      </c>
      <c r="D1649" s="79">
        <v>167.95</v>
      </c>
      <c r="F1649" s="79">
        <v>167.95</v>
      </c>
      <c r="G1649" s="81"/>
      <c r="N1649" s="240"/>
      <c r="O1649" s="241"/>
      <c r="P1649" s="213"/>
    </row>
    <row r="1650" spans="1:16" ht="12">
      <c r="A1650" s="83" t="s">
        <v>3081</v>
      </c>
      <c r="B1650" s="257" t="s">
        <v>3082</v>
      </c>
      <c r="C1650" s="258" t="s">
        <v>103</v>
      </c>
      <c r="D1650" s="79">
        <v>795.89</v>
      </c>
      <c r="F1650" s="79">
        <v>795.89</v>
      </c>
      <c r="G1650" s="81"/>
      <c r="N1650" s="240"/>
      <c r="O1650" s="241"/>
      <c r="P1650" s="213"/>
    </row>
    <row r="1651" spans="1:16" ht="24">
      <c r="A1651" s="83" t="s">
        <v>3083</v>
      </c>
      <c r="B1651" s="257" t="s">
        <v>29809</v>
      </c>
      <c r="C1651" s="258" t="s">
        <v>103</v>
      </c>
      <c r="D1651" s="79">
        <v>479.34</v>
      </c>
      <c r="F1651" s="79">
        <v>479.34</v>
      </c>
      <c r="G1651" s="81"/>
      <c r="N1651" s="240"/>
      <c r="O1651" s="241"/>
      <c r="P1651" s="213"/>
    </row>
    <row r="1652" spans="1:16" ht="12">
      <c r="A1652" s="83" t="s">
        <v>3084</v>
      </c>
      <c r="B1652" s="257" t="s">
        <v>29810</v>
      </c>
      <c r="C1652" s="258" t="s">
        <v>103</v>
      </c>
      <c r="D1652" s="79">
        <v>82.36</v>
      </c>
      <c r="F1652" s="79">
        <v>82.36</v>
      </c>
      <c r="G1652" s="81"/>
      <c r="N1652" s="240"/>
      <c r="O1652" s="241"/>
      <c r="P1652" s="213"/>
    </row>
    <row r="1653" spans="1:16" ht="24">
      <c r="A1653" s="83" t="s">
        <v>3085</v>
      </c>
      <c r="B1653" s="257" t="s">
        <v>3086</v>
      </c>
      <c r="C1653" s="258" t="s">
        <v>103</v>
      </c>
      <c r="D1653" s="79">
        <v>67.03</v>
      </c>
      <c r="F1653" s="79">
        <v>67.03</v>
      </c>
      <c r="G1653" s="81"/>
      <c r="N1653" s="240"/>
      <c r="O1653" s="241"/>
      <c r="P1653" s="213"/>
    </row>
    <row r="1654" spans="1:16" ht="12">
      <c r="A1654" s="83" t="s">
        <v>3087</v>
      </c>
      <c r="B1654" s="257" t="s">
        <v>3088</v>
      </c>
      <c r="C1654" s="258" t="s">
        <v>103</v>
      </c>
      <c r="D1654" s="79">
        <v>31.07</v>
      </c>
      <c r="F1654" s="79">
        <v>31.07</v>
      </c>
      <c r="G1654" s="81"/>
      <c r="N1654" s="240"/>
      <c r="O1654" s="241"/>
      <c r="P1654" s="213"/>
    </row>
    <row r="1655" spans="1:16" ht="12">
      <c r="A1655" s="83" t="s">
        <v>3089</v>
      </c>
      <c r="B1655" s="257" t="s">
        <v>3090</v>
      </c>
      <c r="C1655" s="258" t="s">
        <v>103</v>
      </c>
      <c r="D1655" s="79">
        <v>46.42</v>
      </c>
      <c r="F1655" s="79">
        <v>46.42</v>
      </c>
      <c r="G1655" s="81"/>
      <c r="N1655" s="240"/>
      <c r="O1655" s="241"/>
      <c r="P1655" s="213"/>
    </row>
    <row r="1656" spans="1:16" ht="12">
      <c r="A1656" s="83" t="s">
        <v>3091</v>
      </c>
      <c r="B1656" s="257" t="s">
        <v>3092</v>
      </c>
      <c r="C1656" s="258" t="s">
        <v>103</v>
      </c>
      <c r="D1656" s="79">
        <v>374.1</v>
      </c>
      <c r="F1656" s="79">
        <v>374.1</v>
      </c>
      <c r="G1656" s="81"/>
      <c r="N1656" s="240"/>
      <c r="O1656" s="241"/>
      <c r="P1656" s="213"/>
    </row>
    <row r="1657" spans="1:16" ht="12">
      <c r="A1657" s="63" t="s">
        <v>3093</v>
      </c>
      <c r="B1657" s="64" t="s">
        <v>3094</v>
      </c>
      <c r="C1657" s="258" t="s">
        <v>103</v>
      </c>
      <c r="D1657" s="79">
        <v>520.85</v>
      </c>
      <c r="F1657" s="79">
        <v>520.85</v>
      </c>
      <c r="G1657" s="81"/>
      <c r="N1657" s="61"/>
      <c r="O1657" s="241"/>
      <c r="P1657" s="213"/>
    </row>
    <row r="1658" spans="1:16" ht="12">
      <c r="A1658" s="83" t="s">
        <v>3095</v>
      </c>
      <c r="B1658" s="257" t="s">
        <v>3096</v>
      </c>
      <c r="C1658" s="258" t="s">
        <v>396</v>
      </c>
      <c r="D1658" s="79">
        <v>917.9</v>
      </c>
      <c r="F1658" s="79">
        <v>917.9</v>
      </c>
      <c r="G1658" s="81"/>
      <c r="N1658" s="240"/>
      <c r="O1658" s="241"/>
      <c r="P1658" s="213"/>
    </row>
    <row r="1659" spans="1:16" ht="12">
      <c r="A1659" s="83" t="s">
        <v>3097</v>
      </c>
      <c r="B1659" s="257" t="s">
        <v>3098</v>
      </c>
      <c r="C1659" s="258" t="s">
        <v>103</v>
      </c>
      <c r="D1659" s="79">
        <v>460.89</v>
      </c>
      <c r="F1659" s="79">
        <v>460.89</v>
      </c>
      <c r="G1659" s="81"/>
      <c r="N1659" s="240"/>
      <c r="O1659" s="241"/>
      <c r="P1659" s="213"/>
    </row>
    <row r="1660" spans="1:16" ht="12">
      <c r="A1660" s="83" t="s">
        <v>3099</v>
      </c>
      <c r="B1660" s="257" t="s">
        <v>3100</v>
      </c>
      <c r="C1660" s="258" t="s">
        <v>103</v>
      </c>
      <c r="D1660" s="79">
        <v>85.38</v>
      </c>
      <c r="F1660" s="79">
        <v>85.38</v>
      </c>
      <c r="G1660" s="81"/>
      <c r="N1660" s="240"/>
      <c r="O1660" s="241"/>
      <c r="P1660" s="213"/>
    </row>
    <row r="1661" spans="1:16" ht="24">
      <c r="A1661" s="83" t="s">
        <v>3101</v>
      </c>
      <c r="B1661" s="257" t="s">
        <v>3102</v>
      </c>
      <c r="C1661" s="258" t="s">
        <v>103</v>
      </c>
      <c r="D1661" s="79">
        <v>967.32</v>
      </c>
      <c r="F1661" s="79">
        <v>967.32</v>
      </c>
      <c r="G1661" s="81"/>
      <c r="N1661" s="240"/>
      <c r="O1661" s="241"/>
      <c r="P1661" s="213"/>
    </row>
    <row r="1662" spans="1:16" ht="12">
      <c r="A1662" s="83" t="s">
        <v>3103</v>
      </c>
      <c r="B1662" s="257" t="s">
        <v>3104</v>
      </c>
      <c r="C1662" s="258" t="s">
        <v>103</v>
      </c>
      <c r="D1662" s="79">
        <v>91.08</v>
      </c>
      <c r="F1662" s="79">
        <v>91.08</v>
      </c>
      <c r="G1662" s="81"/>
      <c r="N1662" s="240"/>
      <c r="O1662" s="241"/>
      <c r="P1662" s="213"/>
    </row>
    <row r="1663" spans="1:16" ht="12">
      <c r="A1663" s="83" t="s">
        <v>3105</v>
      </c>
      <c r="B1663" s="257" t="s">
        <v>3106</v>
      </c>
      <c r="C1663" s="258" t="s">
        <v>103</v>
      </c>
      <c r="D1663" s="79">
        <v>532.5</v>
      </c>
      <c r="F1663" s="79">
        <v>532.5</v>
      </c>
      <c r="G1663" s="81"/>
      <c r="N1663" s="240"/>
      <c r="O1663" s="241"/>
      <c r="P1663" s="213"/>
    </row>
    <row r="1664" spans="1:16" ht="24">
      <c r="A1664" s="83" t="s">
        <v>3107</v>
      </c>
      <c r="B1664" s="257" t="s">
        <v>3108</v>
      </c>
      <c r="C1664" s="258" t="s">
        <v>103</v>
      </c>
      <c r="D1664" s="79">
        <v>1363.16</v>
      </c>
      <c r="F1664" s="79">
        <v>1363.16</v>
      </c>
      <c r="G1664" s="81"/>
      <c r="N1664" s="240"/>
      <c r="O1664" s="241"/>
      <c r="P1664" s="213"/>
    </row>
    <row r="1665" spans="1:16" ht="12">
      <c r="A1665" s="83" t="s">
        <v>3109</v>
      </c>
      <c r="B1665" s="257" t="s">
        <v>3110</v>
      </c>
      <c r="C1665" s="258" t="s">
        <v>103</v>
      </c>
      <c r="D1665" s="79">
        <v>772.25</v>
      </c>
      <c r="F1665" s="79">
        <v>772.25</v>
      </c>
      <c r="G1665" s="81"/>
      <c r="N1665" s="240"/>
      <c r="O1665" s="241"/>
      <c r="P1665" s="213"/>
    </row>
    <row r="1666" spans="1:16" ht="24">
      <c r="A1666" s="83" t="s">
        <v>3111</v>
      </c>
      <c r="B1666" s="257" t="s">
        <v>3112</v>
      </c>
      <c r="C1666" s="258" t="s">
        <v>103</v>
      </c>
      <c r="D1666" s="79">
        <v>1130.44</v>
      </c>
      <c r="F1666" s="79">
        <v>1130.44</v>
      </c>
      <c r="G1666" s="81"/>
      <c r="N1666" s="240"/>
      <c r="O1666" s="241"/>
      <c r="P1666" s="213"/>
    </row>
    <row r="1667" spans="1:16" ht="12">
      <c r="A1667" s="83" t="s">
        <v>3113</v>
      </c>
      <c r="B1667" s="64" t="s">
        <v>3114</v>
      </c>
      <c r="C1667" s="134" t="s">
        <v>103</v>
      </c>
      <c r="D1667" s="79">
        <v>620.82000000000005</v>
      </c>
      <c r="F1667" s="79">
        <v>620.82000000000005</v>
      </c>
      <c r="G1667" s="81"/>
      <c r="N1667" s="240"/>
      <c r="O1667" s="241"/>
      <c r="P1667" s="213"/>
    </row>
    <row r="1668" spans="1:16" ht="12">
      <c r="A1668" s="83" t="s">
        <v>3115</v>
      </c>
      <c r="B1668" s="257" t="s">
        <v>3116</v>
      </c>
      <c r="C1668" s="258" t="s">
        <v>103</v>
      </c>
      <c r="D1668" s="79">
        <v>231.63</v>
      </c>
      <c r="F1668" s="79">
        <v>231.63</v>
      </c>
      <c r="G1668" s="81"/>
      <c r="N1668" s="240"/>
      <c r="O1668" s="241"/>
      <c r="P1668" s="213"/>
    </row>
    <row r="1669" spans="1:16" ht="24">
      <c r="A1669" s="96" t="s">
        <v>3117</v>
      </c>
      <c r="B1669" s="265" t="s">
        <v>3118</v>
      </c>
      <c r="C1669" s="212" t="s">
        <v>103</v>
      </c>
      <c r="D1669" s="79">
        <v>910.46</v>
      </c>
      <c r="F1669" s="517">
        <v>910.46</v>
      </c>
    </row>
    <row r="1670" spans="1:16" ht="24">
      <c r="A1670" s="67" t="s">
        <v>3119</v>
      </c>
      <c r="B1670" s="65" t="s">
        <v>3120</v>
      </c>
      <c r="C1670" s="71" t="s">
        <v>103</v>
      </c>
      <c r="D1670" s="79">
        <v>3455.32</v>
      </c>
      <c r="F1670" s="79">
        <v>3455.32</v>
      </c>
      <c r="G1670" s="81"/>
      <c r="N1670" s="133"/>
      <c r="O1670" s="241"/>
      <c r="P1670" s="213"/>
    </row>
    <row r="1671" spans="1:16" ht="12">
      <c r="A1671" s="67" t="s">
        <v>3121</v>
      </c>
      <c r="B1671" s="65" t="s">
        <v>3122</v>
      </c>
      <c r="C1671" s="71" t="s">
        <v>103</v>
      </c>
      <c r="D1671" s="79">
        <v>49.85</v>
      </c>
      <c r="F1671" s="79">
        <v>49.85</v>
      </c>
      <c r="G1671" s="81"/>
      <c r="N1671" s="133"/>
      <c r="O1671" s="241"/>
      <c r="P1671" s="213"/>
    </row>
    <row r="1672" spans="1:16" ht="24">
      <c r="A1672" s="83" t="s">
        <v>3123</v>
      </c>
      <c r="B1672" s="257" t="s">
        <v>3124</v>
      </c>
      <c r="C1672" s="258" t="s">
        <v>103</v>
      </c>
      <c r="D1672" s="79">
        <v>220.25</v>
      </c>
      <c r="F1672" s="79">
        <v>220.25</v>
      </c>
      <c r="G1672" s="81"/>
      <c r="N1672" s="240"/>
      <c r="O1672" s="241"/>
      <c r="P1672" s="213"/>
    </row>
    <row r="1673" spans="1:16" ht="24">
      <c r="A1673" s="83" t="s">
        <v>3125</v>
      </c>
      <c r="B1673" s="257" t="s">
        <v>3126</v>
      </c>
      <c r="C1673" s="258" t="s">
        <v>103</v>
      </c>
      <c r="D1673" s="79">
        <v>678.27</v>
      </c>
      <c r="F1673" s="79">
        <v>678.27</v>
      </c>
      <c r="G1673" s="81"/>
      <c r="N1673" s="240"/>
      <c r="O1673" s="241"/>
      <c r="P1673" s="213"/>
    </row>
    <row r="1674" spans="1:16" ht="24">
      <c r="A1674" s="83" t="s">
        <v>3127</v>
      </c>
      <c r="B1674" s="257" t="s">
        <v>3128</v>
      </c>
      <c r="C1674" s="258" t="s">
        <v>103</v>
      </c>
      <c r="D1674" s="79">
        <v>56.35</v>
      </c>
      <c r="F1674" s="79">
        <v>56.35</v>
      </c>
      <c r="G1674" s="81"/>
      <c r="N1674" s="240"/>
      <c r="O1674" s="241"/>
      <c r="P1674" s="213"/>
    </row>
    <row r="1675" spans="1:16" ht="12">
      <c r="A1675" s="83" t="s">
        <v>3129</v>
      </c>
      <c r="B1675" s="257" t="s">
        <v>3130</v>
      </c>
      <c r="C1675" s="258" t="s">
        <v>103</v>
      </c>
      <c r="D1675" s="79">
        <v>89.14</v>
      </c>
      <c r="F1675" s="79">
        <v>89.14</v>
      </c>
      <c r="G1675" s="81"/>
      <c r="N1675" s="240"/>
      <c r="O1675" s="241"/>
      <c r="P1675" s="213"/>
    </row>
    <row r="1676" spans="1:16" ht="24">
      <c r="A1676" s="83" t="s">
        <v>3131</v>
      </c>
      <c r="B1676" s="257" t="s">
        <v>3132</v>
      </c>
      <c r="C1676" s="258" t="s">
        <v>103</v>
      </c>
      <c r="D1676" s="79">
        <v>386.88</v>
      </c>
      <c r="F1676" s="79">
        <v>386.88</v>
      </c>
      <c r="G1676" s="81"/>
      <c r="N1676" s="240"/>
      <c r="O1676" s="241"/>
      <c r="P1676" s="213"/>
    </row>
    <row r="1677" spans="1:16" ht="24">
      <c r="A1677" s="83" t="s">
        <v>3133</v>
      </c>
      <c r="B1677" s="257" t="s">
        <v>3134</v>
      </c>
      <c r="C1677" s="258" t="s">
        <v>103</v>
      </c>
      <c r="D1677" s="79">
        <v>320.24</v>
      </c>
      <c r="F1677" s="79">
        <v>320.24</v>
      </c>
      <c r="G1677" s="81"/>
      <c r="N1677" s="240"/>
      <c r="O1677" s="241"/>
      <c r="P1677" s="213"/>
    </row>
    <row r="1678" spans="1:16" ht="24">
      <c r="A1678" s="83" t="s">
        <v>3135</v>
      </c>
      <c r="B1678" s="257" t="s">
        <v>3136</v>
      </c>
      <c r="C1678" s="258" t="s">
        <v>103</v>
      </c>
      <c r="D1678" s="79">
        <v>240.67</v>
      </c>
      <c r="F1678" s="79">
        <v>240.67</v>
      </c>
      <c r="G1678" s="81"/>
      <c r="N1678" s="240"/>
      <c r="O1678" s="241"/>
      <c r="P1678" s="213"/>
    </row>
    <row r="1679" spans="1:16" ht="24">
      <c r="A1679" s="83" t="s">
        <v>3137</v>
      </c>
      <c r="B1679" s="257" t="s">
        <v>3138</v>
      </c>
      <c r="C1679" s="258" t="s">
        <v>103</v>
      </c>
      <c r="D1679" s="79">
        <v>36.29</v>
      </c>
      <c r="F1679" s="79">
        <v>36.29</v>
      </c>
      <c r="G1679" s="81"/>
      <c r="N1679" s="240"/>
      <c r="O1679" s="241"/>
      <c r="P1679" s="213"/>
    </row>
    <row r="1680" spans="1:16" ht="24">
      <c r="A1680" s="83" t="s">
        <v>3139</v>
      </c>
      <c r="B1680" s="257" t="s">
        <v>3140</v>
      </c>
      <c r="C1680" s="258" t="s">
        <v>103</v>
      </c>
      <c r="D1680" s="79">
        <v>72.06</v>
      </c>
      <c r="F1680" s="79">
        <v>72.06</v>
      </c>
      <c r="G1680" s="81"/>
      <c r="N1680" s="240"/>
      <c r="O1680" s="241"/>
      <c r="P1680" s="213"/>
    </row>
    <row r="1681" spans="1:16" ht="24">
      <c r="A1681" s="83" t="s">
        <v>3141</v>
      </c>
      <c r="B1681" s="257" t="s">
        <v>3142</v>
      </c>
      <c r="C1681" s="258" t="s">
        <v>103</v>
      </c>
      <c r="D1681" s="79">
        <v>574.71</v>
      </c>
      <c r="F1681" s="79">
        <v>574.71</v>
      </c>
      <c r="G1681" s="81"/>
      <c r="N1681" s="240"/>
      <c r="O1681" s="241"/>
      <c r="P1681" s="213"/>
    </row>
    <row r="1682" spans="1:16" ht="12">
      <c r="A1682" s="83" t="s">
        <v>3143</v>
      </c>
      <c r="B1682" s="257" t="s">
        <v>3144</v>
      </c>
      <c r="C1682" s="258" t="s">
        <v>103</v>
      </c>
      <c r="D1682" s="79">
        <v>1888.72</v>
      </c>
      <c r="F1682" s="79">
        <v>1888.72</v>
      </c>
      <c r="G1682" s="81"/>
      <c r="N1682" s="240"/>
      <c r="O1682" s="241"/>
      <c r="P1682" s="213"/>
    </row>
    <row r="1683" spans="1:16" ht="24">
      <c r="A1683" s="83" t="s">
        <v>3145</v>
      </c>
      <c r="B1683" s="257" t="s">
        <v>3146</v>
      </c>
      <c r="C1683" s="258" t="s">
        <v>103</v>
      </c>
      <c r="D1683" s="79">
        <v>1115.6300000000001</v>
      </c>
      <c r="F1683" s="79">
        <v>1115.6300000000001</v>
      </c>
      <c r="G1683" s="81"/>
      <c r="N1683" s="240"/>
      <c r="O1683" s="241"/>
      <c r="P1683" s="213"/>
    </row>
    <row r="1684" spans="1:16" ht="12">
      <c r="A1684" s="83" t="s">
        <v>3147</v>
      </c>
      <c r="B1684" s="257" t="s">
        <v>3148</v>
      </c>
      <c r="C1684" s="258" t="s">
        <v>103</v>
      </c>
      <c r="D1684" s="79">
        <v>167.18</v>
      </c>
      <c r="F1684" s="79">
        <v>167.18</v>
      </c>
      <c r="G1684" s="81"/>
      <c r="N1684" s="240"/>
      <c r="O1684" s="241"/>
      <c r="P1684" s="213"/>
    </row>
    <row r="1685" spans="1:16" ht="12">
      <c r="A1685" s="83" t="s">
        <v>3149</v>
      </c>
      <c r="B1685" s="257" t="s">
        <v>3150</v>
      </c>
      <c r="C1685" s="258" t="s">
        <v>103</v>
      </c>
      <c r="D1685" s="79">
        <v>124.46</v>
      </c>
      <c r="F1685" s="79">
        <v>124.46</v>
      </c>
      <c r="G1685" s="81"/>
      <c r="N1685" s="240"/>
      <c r="O1685" s="241"/>
      <c r="P1685" s="213"/>
    </row>
    <row r="1686" spans="1:16" ht="12">
      <c r="A1686" s="63" t="s">
        <v>3151</v>
      </c>
      <c r="B1686" s="64" t="s">
        <v>3152</v>
      </c>
      <c r="C1686" s="258" t="s">
        <v>103</v>
      </c>
      <c r="D1686" s="79">
        <v>168.87</v>
      </c>
      <c r="F1686" s="79">
        <v>168.87</v>
      </c>
      <c r="G1686" s="81"/>
      <c r="N1686" s="61"/>
      <c r="O1686" s="241"/>
      <c r="P1686" s="213"/>
    </row>
    <row r="1687" spans="1:16" ht="24">
      <c r="A1687" s="83" t="s">
        <v>3153</v>
      </c>
      <c r="B1687" s="257" t="s">
        <v>3154</v>
      </c>
      <c r="C1687" s="258" t="s">
        <v>103</v>
      </c>
      <c r="D1687" s="79">
        <v>15.95</v>
      </c>
      <c r="F1687" s="79">
        <v>15.95</v>
      </c>
      <c r="G1687" s="81"/>
      <c r="N1687" s="240"/>
      <c r="O1687" s="241"/>
      <c r="P1687" s="213"/>
    </row>
    <row r="1688" spans="1:16" ht="24">
      <c r="A1688" s="83" t="s">
        <v>3155</v>
      </c>
      <c r="B1688" s="257" t="s">
        <v>3156</v>
      </c>
      <c r="C1688" s="258" t="s">
        <v>103</v>
      </c>
      <c r="D1688" s="79">
        <v>342.12</v>
      </c>
      <c r="F1688" s="79">
        <v>342.12</v>
      </c>
      <c r="G1688" s="81"/>
      <c r="N1688" s="240"/>
      <c r="O1688" s="241"/>
      <c r="P1688" s="213"/>
    </row>
    <row r="1689" spans="1:16" ht="24">
      <c r="A1689" s="256" t="s">
        <v>3157</v>
      </c>
      <c r="B1689" s="64" t="s">
        <v>3158</v>
      </c>
      <c r="C1689" s="71" t="s">
        <v>103</v>
      </c>
      <c r="D1689" s="79">
        <v>86.03</v>
      </c>
      <c r="F1689" s="79">
        <v>86.03</v>
      </c>
    </row>
    <row r="1690" spans="1:16" ht="12">
      <c r="A1690" s="83" t="s">
        <v>3159</v>
      </c>
      <c r="B1690" s="257" t="s">
        <v>3160</v>
      </c>
      <c r="C1690" s="258" t="s">
        <v>103</v>
      </c>
      <c r="D1690" s="79">
        <v>48.06</v>
      </c>
      <c r="F1690" s="79">
        <v>48.06</v>
      </c>
      <c r="G1690" s="81"/>
      <c r="N1690" s="240"/>
      <c r="O1690" s="241"/>
      <c r="P1690" s="213"/>
    </row>
    <row r="1691" spans="1:16" ht="12">
      <c r="A1691" s="83" t="s">
        <v>3161</v>
      </c>
      <c r="B1691" s="257" t="s">
        <v>3162</v>
      </c>
      <c r="C1691" s="258" t="s">
        <v>103</v>
      </c>
      <c r="D1691" s="79">
        <v>44.43</v>
      </c>
      <c r="F1691" s="79">
        <v>44.43</v>
      </c>
      <c r="G1691" s="81"/>
      <c r="N1691" s="240"/>
      <c r="O1691" s="241"/>
      <c r="P1691" s="213"/>
    </row>
    <row r="1692" spans="1:16" ht="12">
      <c r="A1692" s="83" t="s">
        <v>3163</v>
      </c>
      <c r="B1692" s="257" t="s">
        <v>3164</v>
      </c>
      <c r="C1692" s="258" t="s">
        <v>103</v>
      </c>
      <c r="D1692" s="79">
        <v>465.78</v>
      </c>
      <c r="F1692" s="79">
        <v>465.78</v>
      </c>
      <c r="G1692" s="81"/>
      <c r="N1692" s="240"/>
      <c r="O1692" s="241"/>
      <c r="P1692" s="213"/>
    </row>
    <row r="1693" spans="1:16" ht="12">
      <c r="A1693" s="83" t="s">
        <v>3165</v>
      </c>
      <c r="B1693" s="257" t="s">
        <v>3166</v>
      </c>
      <c r="C1693" s="258" t="s">
        <v>103</v>
      </c>
      <c r="D1693" s="79">
        <v>487.77</v>
      </c>
      <c r="F1693" s="79">
        <v>487.77</v>
      </c>
      <c r="G1693" s="81"/>
      <c r="N1693" s="240"/>
      <c r="O1693" s="241"/>
      <c r="P1693" s="213"/>
    </row>
    <row r="1694" spans="1:16" ht="24">
      <c r="A1694" s="83" t="s">
        <v>3167</v>
      </c>
      <c r="B1694" s="257" t="s">
        <v>3168</v>
      </c>
      <c r="C1694" s="258" t="s">
        <v>103</v>
      </c>
      <c r="D1694" s="79">
        <v>40.08</v>
      </c>
      <c r="F1694" s="79">
        <v>40.08</v>
      </c>
      <c r="G1694" s="81"/>
      <c r="N1694" s="240"/>
      <c r="O1694" s="241"/>
      <c r="P1694" s="213"/>
    </row>
    <row r="1695" spans="1:16" ht="12">
      <c r="A1695" s="83" t="s">
        <v>3169</v>
      </c>
      <c r="B1695" s="257" t="s">
        <v>3170</v>
      </c>
      <c r="C1695" s="258" t="s">
        <v>103</v>
      </c>
      <c r="D1695" s="79">
        <v>34.119999999999997</v>
      </c>
      <c r="F1695" s="79">
        <v>34.119999999999997</v>
      </c>
      <c r="G1695" s="81"/>
      <c r="N1695" s="240"/>
      <c r="O1695" s="241"/>
      <c r="P1695" s="213"/>
    </row>
    <row r="1696" spans="1:16" ht="12">
      <c r="A1696" s="83" t="s">
        <v>3171</v>
      </c>
      <c r="B1696" s="257" t="s">
        <v>28170</v>
      </c>
      <c r="C1696" s="258" t="s">
        <v>103</v>
      </c>
      <c r="D1696" s="79">
        <v>31.17</v>
      </c>
      <c r="F1696" s="79">
        <v>31.17</v>
      </c>
      <c r="G1696" s="81"/>
      <c r="N1696" s="240"/>
      <c r="O1696" s="241"/>
      <c r="P1696" s="213"/>
    </row>
    <row r="1697" spans="1:16" ht="12">
      <c r="A1697" s="83" t="s">
        <v>3172</v>
      </c>
      <c r="B1697" s="257" t="s">
        <v>28171</v>
      </c>
      <c r="C1697" s="258" t="s">
        <v>103</v>
      </c>
      <c r="D1697" s="79">
        <v>35.5</v>
      </c>
      <c r="F1697" s="79">
        <v>35.5</v>
      </c>
      <c r="G1697" s="81"/>
      <c r="N1697" s="240"/>
      <c r="O1697" s="241"/>
      <c r="P1697" s="213"/>
    </row>
    <row r="1698" spans="1:16" ht="24">
      <c r="A1698" s="83" t="s">
        <v>3173</v>
      </c>
      <c r="B1698" s="257" t="s">
        <v>28172</v>
      </c>
      <c r="C1698" s="258" t="s">
        <v>103</v>
      </c>
      <c r="D1698" s="79">
        <v>62.29</v>
      </c>
      <c r="F1698" s="79">
        <v>62.29</v>
      </c>
      <c r="G1698" s="81"/>
      <c r="N1698" s="240"/>
      <c r="O1698" s="241"/>
      <c r="P1698" s="213"/>
    </row>
    <row r="1699" spans="1:16" ht="24">
      <c r="A1699" s="83" t="s">
        <v>3174</v>
      </c>
      <c r="B1699" s="257" t="s">
        <v>3175</v>
      </c>
      <c r="C1699" s="258" t="s">
        <v>103</v>
      </c>
      <c r="D1699" s="79">
        <v>25.87</v>
      </c>
      <c r="F1699" s="79">
        <v>25.87</v>
      </c>
      <c r="G1699" s="81"/>
      <c r="N1699" s="240"/>
      <c r="O1699" s="241"/>
      <c r="P1699" s="213"/>
    </row>
    <row r="1700" spans="1:16" ht="24">
      <c r="A1700" s="83" t="s">
        <v>3176</v>
      </c>
      <c r="B1700" s="257" t="s">
        <v>39281</v>
      </c>
      <c r="C1700" s="258" t="s">
        <v>103</v>
      </c>
      <c r="D1700" s="79">
        <v>474.52</v>
      </c>
      <c r="F1700" s="79">
        <v>474.52</v>
      </c>
      <c r="G1700" s="81"/>
      <c r="N1700" s="240"/>
      <c r="O1700" s="241"/>
      <c r="P1700" s="213"/>
    </row>
    <row r="1701" spans="1:16" ht="24">
      <c r="A1701" s="83" t="s">
        <v>3177</v>
      </c>
      <c r="B1701" s="257" t="s">
        <v>3178</v>
      </c>
      <c r="C1701" s="258" t="s">
        <v>103</v>
      </c>
      <c r="D1701" s="79">
        <v>65.98</v>
      </c>
      <c r="F1701" s="79">
        <v>65.98</v>
      </c>
      <c r="G1701" s="81"/>
      <c r="N1701" s="240"/>
      <c r="O1701" s="241"/>
      <c r="P1701" s="213"/>
    </row>
    <row r="1702" spans="1:16" ht="12">
      <c r="A1702" s="83" t="s">
        <v>3179</v>
      </c>
      <c r="B1702" s="257" t="s">
        <v>3180</v>
      </c>
      <c r="C1702" s="258" t="s">
        <v>103</v>
      </c>
      <c r="D1702" s="79">
        <v>356.58</v>
      </c>
      <c r="F1702" s="79">
        <v>356.58</v>
      </c>
      <c r="G1702" s="81"/>
      <c r="N1702" s="240"/>
      <c r="O1702" s="241"/>
      <c r="P1702" s="213"/>
    </row>
    <row r="1703" spans="1:16" ht="24">
      <c r="A1703" s="256" t="s">
        <v>3181</v>
      </c>
      <c r="B1703" s="261" t="s">
        <v>3182</v>
      </c>
      <c r="C1703" s="262" t="s">
        <v>103</v>
      </c>
      <c r="D1703" s="79">
        <v>313.83</v>
      </c>
      <c r="F1703" s="517">
        <v>313.83</v>
      </c>
    </row>
    <row r="1704" spans="1:16" ht="24">
      <c r="A1704" s="83" t="s">
        <v>3183</v>
      </c>
      <c r="B1704" s="257" t="s">
        <v>3184</v>
      </c>
      <c r="C1704" s="258" t="s">
        <v>103</v>
      </c>
      <c r="D1704" s="79">
        <v>707.21</v>
      </c>
      <c r="F1704" s="79">
        <v>707.21</v>
      </c>
      <c r="G1704" s="81"/>
      <c r="N1704" s="240"/>
      <c r="O1704" s="241"/>
      <c r="P1704" s="213"/>
    </row>
    <row r="1705" spans="1:16" ht="24">
      <c r="A1705" s="83" t="s">
        <v>3185</v>
      </c>
      <c r="B1705" s="257" t="s">
        <v>3186</v>
      </c>
      <c r="C1705" s="258" t="s">
        <v>103</v>
      </c>
      <c r="D1705" s="79">
        <v>1254.08</v>
      </c>
      <c r="F1705" s="79">
        <v>1254.08</v>
      </c>
      <c r="G1705" s="81"/>
      <c r="N1705" s="240"/>
      <c r="O1705" s="241"/>
      <c r="P1705" s="213"/>
    </row>
    <row r="1706" spans="1:16" ht="24">
      <c r="A1706" s="83" t="s">
        <v>3187</v>
      </c>
      <c r="B1706" s="257" t="s">
        <v>3188</v>
      </c>
      <c r="C1706" s="258" t="s">
        <v>103</v>
      </c>
      <c r="D1706" s="79">
        <v>68.5</v>
      </c>
      <c r="F1706" s="79">
        <v>68.5</v>
      </c>
      <c r="G1706" s="81"/>
      <c r="N1706" s="240"/>
      <c r="O1706" s="241"/>
      <c r="P1706" s="213"/>
    </row>
    <row r="1707" spans="1:16" ht="24">
      <c r="A1707" s="83" t="s">
        <v>3189</v>
      </c>
      <c r="B1707" s="257" t="s">
        <v>42068</v>
      </c>
      <c r="C1707" s="258" t="s">
        <v>103</v>
      </c>
      <c r="D1707" s="79">
        <v>322.74</v>
      </c>
      <c r="F1707" s="79">
        <v>322.74</v>
      </c>
      <c r="G1707" s="81"/>
      <c r="N1707" s="240"/>
      <c r="O1707" s="241"/>
      <c r="P1707" s="213"/>
    </row>
    <row r="1708" spans="1:16" ht="24">
      <c r="A1708" s="83" t="s">
        <v>3190</v>
      </c>
      <c r="B1708" s="257" t="s">
        <v>3191</v>
      </c>
      <c r="C1708" s="258" t="s">
        <v>103</v>
      </c>
      <c r="D1708" s="79">
        <v>447.43</v>
      </c>
      <c r="F1708" s="79">
        <v>447.43</v>
      </c>
      <c r="G1708" s="81"/>
      <c r="N1708" s="240"/>
      <c r="O1708" s="241"/>
      <c r="P1708" s="213"/>
    </row>
    <row r="1709" spans="1:16" ht="24">
      <c r="A1709" s="256" t="s">
        <v>3192</v>
      </c>
      <c r="B1709" s="261" t="s">
        <v>3193</v>
      </c>
      <c r="C1709" s="262" t="s">
        <v>103</v>
      </c>
      <c r="D1709" s="79">
        <v>996.49</v>
      </c>
      <c r="F1709" s="517">
        <v>996.49</v>
      </c>
    </row>
    <row r="1710" spans="1:16" ht="24">
      <c r="A1710" s="83" t="s">
        <v>3194</v>
      </c>
      <c r="B1710" s="257" t="s">
        <v>28173</v>
      </c>
      <c r="C1710" s="258" t="s">
        <v>103</v>
      </c>
      <c r="D1710" s="79">
        <v>186.65</v>
      </c>
      <c r="F1710" s="79">
        <v>186.65</v>
      </c>
      <c r="G1710" s="81"/>
      <c r="N1710" s="240"/>
      <c r="O1710" s="241"/>
      <c r="P1710" s="213"/>
    </row>
    <row r="1711" spans="1:16" ht="24">
      <c r="A1711" s="83" t="s">
        <v>3195</v>
      </c>
      <c r="B1711" s="257" t="s">
        <v>3196</v>
      </c>
      <c r="C1711" s="258" t="s">
        <v>103</v>
      </c>
      <c r="D1711" s="79">
        <v>90.66</v>
      </c>
      <c r="F1711" s="79">
        <v>90.66</v>
      </c>
      <c r="G1711" s="81"/>
      <c r="N1711" s="240"/>
      <c r="O1711" s="241"/>
      <c r="P1711" s="213"/>
    </row>
    <row r="1712" spans="1:16" ht="24">
      <c r="A1712" s="83" t="s">
        <v>3197</v>
      </c>
      <c r="B1712" s="257" t="s">
        <v>3198</v>
      </c>
      <c r="C1712" s="258" t="s">
        <v>103</v>
      </c>
      <c r="D1712" s="79">
        <v>623.66999999999996</v>
      </c>
      <c r="F1712" s="79">
        <v>623.66999999999996</v>
      </c>
      <c r="G1712" s="81"/>
      <c r="N1712" s="240"/>
      <c r="O1712" s="241"/>
      <c r="P1712" s="213"/>
    </row>
    <row r="1713" spans="1:16" ht="24">
      <c r="A1713" s="83" t="s">
        <v>3199</v>
      </c>
      <c r="B1713" s="257" t="s">
        <v>3200</v>
      </c>
      <c r="C1713" s="258" t="s">
        <v>103</v>
      </c>
      <c r="D1713" s="79">
        <v>2.4700000000000002</v>
      </c>
      <c r="F1713" s="79">
        <v>2.4700000000000002</v>
      </c>
      <c r="G1713" s="81"/>
      <c r="N1713" s="240"/>
      <c r="O1713" s="241"/>
      <c r="P1713" s="213"/>
    </row>
    <row r="1714" spans="1:16" ht="24">
      <c r="A1714" s="83" t="s">
        <v>3201</v>
      </c>
      <c r="B1714" s="257" t="s">
        <v>3202</v>
      </c>
      <c r="C1714" s="258" t="s">
        <v>103</v>
      </c>
      <c r="D1714" s="79">
        <v>4.01</v>
      </c>
      <c r="F1714" s="79">
        <v>4.01</v>
      </c>
      <c r="G1714" s="81"/>
      <c r="N1714" s="240"/>
      <c r="O1714" s="241"/>
      <c r="P1714" s="213"/>
    </row>
    <row r="1715" spans="1:16" ht="24">
      <c r="A1715" s="83" t="s">
        <v>3203</v>
      </c>
      <c r="B1715" s="257" t="s">
        <v>29811</v>
      </c>
      <c r="C1715" s="258" t="s">
        <v>103</v>
      </c>
      <c r="D1715" s="79">
        <v>839.98</v>
      </c>
      <c r="F1715" s="79">
        <v>839.98</v>
      </c>
      <c r="G1715" s="81"/>
      <c r="N1715" s="240"/>
      <c r="O1715" s="241"/>
      <c r="P1715" s="213"/>
    </row>
    <row r="1716" spans="1:16" ht="36">
      <c r="A1716" s="83" t="s">
        <v>3204</v>
      </c>
      <c r="B1716" s="257" t="s">
        <v>3205</v>
      </c>
      <c r="C1716" s="258" t="s">
        <v>103</v>
      </c>
      <c r="D1716" s="79">
        <v>137.41999999999999</v>
      </c>
      <c r="F1716" s="79">
        <v>137.41999999999999</v>
      </c>
      <c r="G1716" s="81"/>
      <c r="N1716" s="240"/>
      <c r="O1716" s="241"/>
      <c r="P1716" s="213"/>
    </row>
    <row r="1717" spans="1:16" ht="24">
      <c r="A1717" s="83" t="s">
        <v>3206</v>
      </c>
      <c r="B1717" s="257" t="s">
        <v>3207</v>
      </c>
      <c r="C1717" s="258" t="s">
        <v>103</v>
      </c>
      <c r="D1717" s="79">
        <v>96.2</v>
      </c>
      <c r="F1717" s="79">
        <v>96.2</v>
      </c>
      <c r="G1717" s="81"/>
      <c r="N1717" s="240"/>
      <c r="O1717" s="241"/>
      <c r="P1717" s="213"/>
    </row>
    <row r="1718" spans="1:16" ht="24">
      <c r="A1718" s="67" t="s">
        <v>3208</v>
      </c>
      <c r="B1718" s="65" t="s">
        <v>3209</v>
      </c>
      <c r="C1718" s="71" t="s">
        <v>103</v>
      </c>
      <c r="D1718" s="79">
        <v>2113.9499999999998</v>
      </c>
      <c r="F1718" s="79">
        <v>2113.9499999999998</v>
      </c>
      <c r="G1718" s="81"/>
      <c r="N1718" s="133"/>
      <c r="O1718" s="241"/>
      <c r="P1718" s="213"/>
    </row>
    <row r="1719" spans="1:16" ht="12">
      <c r="A1719" s="67" t="s">
        <v>3210</v>
      </c>
      <c r="B1719" s="65" t="s">
        <v>3211</v>
      </c>
      <c r="C1719" s="71" t="s">
        <v>103</v>
      </c>
      <c r="D1719" s="79">
        <v>10.16</v>
      </c>
      <c r="F1719" s="79">
        <v>10.16</v>
      </c>
      <c r="G1719" s="81"/>
      <c r="N1719" s="133"/>
      <c r="O1719" s="241"/>
      <c r="P1719" s="213"/>
    </row>
    <row r="1720" spans="1:16" ht="36">
      <c r="A1720" s="63" t="s">
        <v>3212</v>
      </c>
      <c r="B1720" s="65" t="s">
        <v>3213</v>
      </c>
      <c r="C1720" s="258" t="s">
        <v>103</v>
      </c>
      <c r="D1720" s="79">
        <v>172.98</v>
      </c>
      <c r="F1720" s="79">
        <v>172.98</v>
      </c>
      <c r="G1720" s="81"/>
      <c r="N1720" s="61"/>
      <c r="O1720" s="241"/>
      <c r="P1720" s="213"/>
    </row>
    <row r="1721" spans="1:16" ht="12">
      <c r="A1721" s="83" t="s">
        <v>3214</v>
      </c>
      <c r="B1721" s="257" t="s">
        <v>29812</v>
      </c>
      <c r="C1721" s="258" t="s">
        <v>103</v>
      </c>
      <c r="D1721" s="79">
        <v>98.84</v>
      </c>
      <c r="F1721" s="79">
        <v>98.84</v>
      </c>
      <c r="G1721" s="81"/>
      <c r="N1721" s="240"/>
      <c r="O1721" s="241"/>
      <c r="P1721" s="213"/>
    </row>
    <row r="1722" spans="1:16" ht="12">
      <c r="A1722" s="83" t="s">
        <v>3215</v>
      </c>
      <c r="B1722" s="257" t="s">
        <v>29813</v>
      </c>
      <c r="C1722" s="258" t="s">
        <v>103</v>
      </c>
      <c r="D1722" s="79">
        <v>637.58000000000004</v>
      </c>
      <c r="F1722" s="79">
        <v>637.58000000000004</v>
      </c>
      <c r="G1722" s="81"/>
      <c r="N1722" s="240"/>
      <c r="O1722" s="241"/>
      <c r="P1722" s="213"/>
    </row>
    <row r="1723" spans="1:16" ht="12">
      <c r="A1723" s="83" t="s">
        <v>3216</v>
      </c>
      <c r="B1723" s="257" t="s">
        <v>29814</v>
      </c>
      <c r="C1723" s="258" t="s">
        <v>103</v>
      </c>
      <c r="D1723" s="79">
        <v>97.41</v>
      </c>
      <c r="F1723" s="79">
        <v>97.41</v>
      </c>
      <c r="G1723" s="81"/>
      <c r="N1723" s="240"/>
      <c r="O1723" s="241"/>
      <c r="P1723" s="213"/>
    </row>
    <row r="1724" spans="1:16" ht="12">
      <c r="A1724" s="83" t="s">
        <v>3217</v>
      </c>
      <c r="B1724" s="257" t="s">
        <v>3218</v>
      </c>
      <c r="C1724" s="258" t="s">
        <v>396</v>
      </c>
      <c r="D1724" s="79">
        <v>47.57</v>
      </c>
      <c r="F1724" s="79">
        <v>47.57</v>
      </c>
      <c r="G1724" s="81"/>
      <c r="N1724" s="240"/>
      <c r="O1724" s="241"/>
      <c r="P1724" s="213"/>
    </row>
    <row r="1725" spans="1:16" ht="12">
      <c r="A1725" s="83" t="s">
        <v>3219</v>
      </c>
      <c r="B1725" s="257" t="s">
        <v>3220</v>
      </c>
      <c r="C1725" s="258" t="s">
        <v>103</v>
      </c>
      <c r="D1725" s="79">
        <v>49.36</v>
      </c>
      <c r="F1725" s="79">
        <v>49.36</v>
      </c>
      <c r="G1725" s="81"/>
      <c r="N1725" s="240"/>
      <c r="O1725" s="241"/>
      <c r="P1725" s="213"/>
    </row>
    <row r="1726" spans="1:16" ht="12">
      <c r="A1726" s="83" t="s">
        <v>3221</v>
      </c>
      <c r="B1726" s="257" t="s">
        <v>3222</v>
      </c>
      <c r="C1726" s="258" t="s">
        <v>103</v>
      </c>
      <c r="D1726" s="79">
        <v>133.09</v>
      </c>
      <c r="F1726" s="79">
        <v>133.09</v>
      </c>
      <c r="G1726" s="81"/>
      <c r="N1726" s="240"/>
      <c r="O1726" s="241"/>
      <c r="P1726" s="213"/>
    </row>
    <row r="1727" spans="1:16" ht="24">
      <c r="A1727" s="83" t="s">
        <v>3223</v>
      </c>
      <c r="B1727" s="257" t="s">
        <v>42069</v>
      </c>
      <c r="C1727" s="258" t="s">
        <v>103</v>
      </c>
      <c r="D1727" s="79">
        <v>55.62</v>
      </c>
      <c r="F1727" s="79">
        <v>55.62</v>
      </c>
      <c r="G1727" s="81"/>
      <c r="N1727" s="240"/>
      <c r="O1727" s="241"/>
      <c r="P1727" s="213"/>
    </row>
    <row r="1728" spans="1:16" ht="24">
      <c r="A1728" s="83" t="s">
        <v>3224</v>
      </c>
      <c r="B1728" s="257" t="s">
        <v>3225</v>
      </c>
      <c r="C1728" s="258" t="s">
        <v>103</v>
      </c>
      <c r="D1728" s="79">
        <v>99.81</v>
      </c>
      <c r="F1728" s="79">
        <v>99.81</v>
      </c>
      <c r="G1728" s="81"/>
      <c r="N1728" s="240"/>
      <c r="O1728" s="241"/>
      <c r="P1728" s="213"/>
    </row>
    <row r="1729" spans="1:16" ht="24">
      <c r="A1729" s="83" t="s">
        <v>3226</v>
      </c>
      <c r="B1729" s="257" t="s">
        <v>3227</v>
      </c>
      <c r="C1729" s="258" t="s">
        <v>103</v>
      </c>
      <c r="D1729" s="79">
        <v>26.09</v>
      </c>
      <c r="F1729" s="79">
        <v>26.09</v>
      </c>
      <c r="G1729" s="81"/>
      <c r="N1729" s="240"/>
      <c r="O1729" s="241"/>
      <c r="P1729" s="213"/>
    </row>
    <row r="1730" spans="1:16" ht="12">
      <c r="A1730" s="83" t="s">
        <v>3228</v>
      </c>
      <c r="B1730" s="257" t="s">
        <v>3229</v>
      </c>
      <c r="C1730" s="258" t="s">
        <v>103</v>
      </c>
      <c r="D1730" s="79">
        <v>10.77</v>
      </c>
      <c r="F1730" s="79">
        <v>10.77</v>
      </c>
      <c r="G1730" s="81"/>
      <c r="N1730" s="240"/>
      <c r="O1730" s="241"/>
      <c r="P1730" s="213"/>
    </row>
    <row r="1731" spans="1:16" ht="12">
      <c r="A1731" s="83" t="s">
        <v>3230</v>
      </c>
      <c r="B1731" s="257" t="s">
        <v>3231</v>
      </c>
      <c r="C1731" s="258" t="s">
        <v>103</v>
      </c>
      <c r="D1731" s="79">
        <v>5.24</v>
      </c>
      <c r="F1731" s="79">
        <v>5.24</v>
      </c>
      <c r="G1731" s="81"/>
      <c r="N1731" s="240"/>
      <c r="O1731" s="241"/>
      <c r="P1731" s="213"/>
    </row>
    <row r="1732" spans="1:16" ht="12">
      <c r="A1732" s="83" t="s">
        <v>40879</v>
      </c>
      <c r="B1732" s="257" t="s">
        <v>3288</v>
      </c>
      <c r="C1732" s="258" t="s">
        <v>103</v>
      </c>
      <c r="D1732" s="79">
        <v>8.82</v>
      </c>
      <c r="F1732" s="79">
        <v>8.82</v>
      </c>
      <c r="G1732" s="81"/>
      <c r="N1732" s="240"/>
      <c r="O1732" s="241"/>
      <c r="P1732" s="213"/>
    </row>
    <row r="1733" spans="1:16" ht="12">
      <c r="A1733" s="83" t="s">
        <v>3232</v>
      </c>
      <c r="B1733" s="257" t="s">
        <v>3233</v>
      </c>
      <c r="C1733" s="258" t="s">
        <v>103</v>
      </c>
      <c r="D1733" s="79">
        <v>8.5399999999999991</v>
      </c>
      <c r="F1733" s="79">
        <v>8.5399999999999991</v>
      </c>
      <c r="G1733" s="81"/>
      <c r="N1733" s="240"/>
      <c r="O1733" s="241"/>
      <c r="P1733" s="213"/>
    </row>
    <row r="1734" spans="1:16" ht="12">
      <c r="A1734" s="83" t="s">
        <v>3234</v>
      </c>
      <c r="B1734" s="257" t="s">
        <v>3235</v>
      </c>
      <c r="C1734" s="258" t="s">
        <v>103</v>
      </c>
      <c r="D1734" s="79">
        <v>14.73</v>
      </c>
      <c r="F1734" s="79">
        <v>14.73</v>
      </c>
      <c r="G1734" s="81"/>
      <c r="N1734" s="240"/>
      <c r="O1734" s="241"/>
      <c r="P1734" s="213"/>
    </row>
    <row r="1735" spans="1:16" ht="12">
      <c r="A1735" s="83" t="s">
        <v>3236</v>
      </c>
      <c r="B1735" s="257" t="s">
        <v>3237</v>
      </c>
      <c r="C1735" s="258" t="s">
        <v>103</v>
      </c>
      <c r="D1735" s="79">
        <v>22.12</v>
      </c>
      <c r="F1735" s="79">
        <v>22.12</v>
      </c>
      <c r="G1735" s="81"/>
      <c r="N1735" s="240"/>
      <c r="O1735" s="241"/>
      <c r="P1735" s="213"/>
    </row>
    <row r="1736" spans="1:16" ht="24">
      <c r="A1736" s="83" t="s">
        <v>3238</v>
      </c>
      <c r="B1736" s="257" t="s">
        <v>29815</v>
      </c>
      <c r="C1736" s="258" t="s">
        <v>103</v>
      </c>
      <c r="D1736" s="79">
        <v>3.61</v>
      </c>
      <c r="F1736" s="79">
        <v>3.61</v>
      </c>
      <c r="G1736" s="81"/>
      <c r="N1736" s="240"/>
      <c r="O1736" s="241"/>
      <c r="P1736" s="213"/>
    </row>
    <row r="1737" spans="1:16" ht="24">
      <c r="A1737" s="83" t="s">
        <v>3239</v>
      </c>
      <c r="B1737" s="257" t="s">
        <v>29816</v>
      </c>
      <c r="C1737" s="258" t="s">
        <v>103</v>
      </c>
      <c r="D1737" s="79">
        <v>4.3899999999999997</v>
      </c>
      <c r="F1737" s="79">
        <v>4.3899999999999997</v>
      </c>
      <c r="G1737" s="81"/>
      <c r="N1737" s="240"/>
      <c r="O1737" s="241"/>
      <c r="P1737" s="213"/>
    </row>
    <row r="1738" spans="1:16" ht="24">
      <c r="A1738" s="83" t="s">
        <v>3240</v>
      </c>
      <c r="B1738" s="257" t="s">
        <v>29817</v>
      </c>
      <c r="C1738" s="258" t="s">
        <v>103</v>
      </c>
      <c r="D1738" s="79">
        <v>4.99</v>
      </c>
      <c r="F1738" s="79">
        <v>4.99</v>
      </c>
      <c r="G1738" s="81"/>
      <c r="N1738" s="240"/>
      <c r="O1738" s="241"/>
      <c r="P1738" s="213"/>
    </row>
    <row r="1739" spans="1:16" ht="12">
      <c r="A1739" s="83" t="s">
        <v>3241</v>
      </c>
      <c r="B1739" s="257" t="s">
        <v>28174</v>
      </c>
      <c r="C1739" s="258" t="s">
        <v>103</v>
      </c>
      <c r="D1739" s="79">
        <v>1.69</v>
      </c>
      <c r="F1739" s="79">
        <v>1.69</v>
      </c>
      <c r="G1739" s="81"/>
      <c r="N1739" s="240"/>
      <c r="O1739" s="241"/>
      <c r="P1739" s="213"/>
    </row>
    <row r="1740" spans="1:16" ht="12">
      <c r="A1740" s="83" t="s">
        <v>3242</v>
      </c>
      <c r="B1740" s="257" t="s">
        <v>28175</v>
      </c>
      <c r="C1740" s="258" t="s">
        <v>103</v>
      </c>
      <c r="D1740" s="79">
        <v>2.54</v>
      </c>
      <c r="F1740" s="79">
        <v>2.54</v>
      </c>
      <c r="G1740" s="81"/>
      <c r="N1740" s="240"/>
      <c r="O1740" s="241"/>
      <c r="P1740" s="213"/>
    </row>
    <row r="1741" spans="1:16" ht="12">
      <c r="A1741" s="83" t="s">
        <v>3243</v>
      </c>
      <c r="B1741" s="257" t="s">
        <v>28176</v>
      </c>
      <c r="C1741" s="258" t="s">
        <v>103</v>
      </c>
      <c r="D1741" s="79">
        <v>2.9</v>
      </c>
      <c r="F1741" s="79">
        <v>2.9</v>
      </c>
      <c r="G1741" s="81"/>
      <c r="N1741" s="240"/>
      <c r="O1741" s="241"/>
      <c r="P1741" s="213"/>
    </row>
    <row r="1742" spans="1:16" ht="12">
      <c r="A1742" s="83" t="s">
        <v>3244</v>
      </c>
      <c r="B1742" s="257" t="s">
        <v>28177</v>
      </c>
      <c r="C1742" s="258" t="s">
        <v>103</v>
      </c>
      <c r="D1742" s="79">
        <v>12.58</v>
      </c>
      <c r="F1742" s="79">
        <v>12.58</v>
      </c>
      <c r="G1742" s="81"/>
      <c r="N1742" s="240"/>
      <c r="O1742" s="241"/>
      <c r="P1742" s="213"/>
    </row>
    <row r="1743" spans="1:16" ht="12">
      <c r="A1743" s="83" t="s">
        <v>3245</v>
      </c>
      <c r="B1743" s="257" t="s">
        <v>3246</v>
      </c>
      <c r="C1743" s="258" t="s">
        <v>103</v>
      </c>
      <c r="D1743" s="79">
        <v>3.51</v>
      </c>
      <c r="F1743" s="79">
        <v>3.51</v>
      </c>
      <c r="G1743" s="81"/>
      <c r="N1743" s="240"/>
      <c r="O1743" s="241"/>
      <c r="P1743" s="213"/>
    </row>
    <row r="1744" spans="1:16" ht="12">
      <c r="A1744" s="83" t="s">
        <v>3247</v>
      </c>
      <c r="B1744" s="257" t="s">
        <v>29818</v>
      </c>
      <c r="C1744" s="258" t="s">
        <v>103</v>
      </c>
      <c r="D1744" s="79">
        <v>383.49</v>
      </c>
      <c r="F1744" s="79">
        <v>383.49</v>
      </c>
      <c r="G1744" s="81"/>
      <c r="N1744" s="240"/>
      <c r="O1744" s="241"/>
      <c r="P1744" s="213"/>
    </row>
    <row r="1745" spans="1:16" ht="12">
      <c r="A1745" s="83" t="s">
        <v>3248</v>
      </c>
      <c r="B1745" s="257" t="s">
        <v>29819</v>
      </c>
      <c r="C1745" s="258" t="s">
        <v>103</v>
      </c>
      <c r="D1745" s="79">
        <v>10.17</v>
      </c>
      <c r="F1745" s="79">
        <v>10.17</v>
      </c>
      <c r="G1745" s="81"/>
      <c r="N1745" s="240"/>
      <c r="O1745" s="241"/>
      <c r="P1745" s="213"/>
    </row>
    <row r="1746" spans="1:16" ht="12">
      <c r="A1746" s="83" t="s">
        <v>3249</v>
      </c>
      <c r="B1746" s="257" t="s">
        <v>3250</v>
      </c>
      <c r="C1746" s="258" t="s">
        <v>103</v>
      </c>
      <c r="D1746" s="79">
        <v>14.36</v>
      </c>
      <c r="F1746" s="79">
        <v>14.36</v>
      </c>
      <c r="G1746" s="81"/>
      <c r="N1746" s="240"/>
      <c r="O1746" s="241"/>
      <c r="P1746" s="213"/>
    </row>
    <row r="1747" spans="1:16" ht="12">
      <c r="A1747" s="83" t="s">
        <v>3251</v>
      </c>
      <c r="B1747" s="257" t="s">
        <v>3252</v>
      </c>
      <c r="C1747" s="258" t="s">
        <v>103</v>
      </c>
      <c r="D1747" s="79">
        <v>57.2</v>
      </c>
      <c r="F1747" s="79">
        <v>57.2</v>
      </c>
      <c r="G1747" s="81"/>
      <c r="N1747" s="240"/>
      <c r="O1747" s="241"/>
      <c r="P1747" s="213"/>
    </row>
    <row r="1748" spans="1:16" ht="24">
      <c r="A1748" s="83" t="s">
        <v>3253</v>
      </c>
      <c r="B1748" s="257" t="s">
        <v>3254</v>
      </c>
      <c r="C1748" s="258" t="s">
        <v>396</v>
      </c>
      <c r="D1748" s="79">
        <v>2180.6</v>
      </c>
      <c r="F1748" s="79">
        <v>2180.6</v>
      </c>
      <c r="G1748" s="81"/>
      <c r="N1748" s="240"/>
      <c r="O1748" s="241"/>
      <c r="P1748" s="213"/>
    </row>
    <row r="1749" spans="1:16" ht="12">
      <c r="A1749" s="83" t="s">
        <v>3255</v>
      </c>
      <c r="B1749" s="257" t="s">
        <v>3256</v>
      </c>
      <c r="C1749" s="258" t="s">
        <v>103</v>
      </c>
      <c r="D1749" s="79">
        <v>62.37</v>
      </c>
      <c r="F1749" s="79">
        <v>62.37</v>
      </c>
      <c r="G1749" s="81"/>
      <c r="N1749" s="240"/>
      <c r="O1749" s="241"/>
      <c r="P1749" s="213"/>
    </row>
    <row r="1750" spans="1:16" ht="12">
      <c r="A1750" s="83" t="s">
        <v>3257</v>
      </c>
      <c r="B1750" s="257" t="s">
        <v>3258</v>
      </c>
      <c r="C1750" s="258" t="s">
        <v>103</v>
      </c>
      <c r="D1750" s="79">
        <v>49.06</v>
      </c>
      <c r="F1750" s="79">
        <v>49.06</v>
      </c>
      <c r="G1750" s="81"/>
      <c r="N1750" s="240"/>
      <c r="O1750" s="241"/>
      <c r="P1750" s="213"/>
    </row>
    <row r="1751" spans="1:16" ht="24">
      <c r="A1751" s="83" t="s">
        <v>3259</v>
      </c>
      <c r="B1751" s="257" t="s">
        <v>3260</v>
      </c>
      <c r="C1751" s="258" t="s">
        <v>103</v>
      </c>
      <c r="D1751" s="79">
        <v>1372.65</v>
      </c>
      <c r="F1751" s="79">
        <v>1372.65</v>
      </c>
      <c r="G1751" s="81"/>
      <c r="N1751" s="240"/>
      <c r="O1751" s="241"/>
      <c r="P1751" s="213"/>
    </row>
    <row r="1752" spans="1:16" ht="12">
      <c r="A1752" s="83" t="s">
        <v>3261</v>
      </c>
      <c r="B1752" s="257" t="s">
        <v>3262</v>
      </c>
      <c r="C1752" s="258" t="s">
        <v>103</v>
      </c>
      <c r="D1752" s="79">
        <v>82.79</v>
      </c>
      <c r="F1752" s="79">
        <v>82.79</v>
      </c>
      <c r="G1752" s="81"/>
      <c r="N1752" s="240"/>
      <c r="O1752" s="241"/>
      <c r="P1752" s="213"/>
    </row>
    <row r="1753" spans="1:16" ht="12">
      <c r="A1753" s="83" t="s">
        <v>3263</v>
      </c>
      <c r="B1753" s="257" t="s">
        <v>3264</v>
      </c>
      <c r="C1753" s="258" t="s">
        <v>103</v>
      </c>
      <c r="D1753" s="79">
        <v>26.1</v>
      </c>
      <c r="F1753" s="79">
        <v>26.1</v>
      </c>
      <c r="G1753" s="81"/>
      <c r="N1753" s="240"/>
      <c r="O1753" s="241"/>
      <c r="P1753" s="213"/>
    </row>
    <row r="1754" spans="1:16" ht="12">
      <c r="A1754" s="83" t="s">
        <v>3265</v>
      </c>
      <c r="B1754" s="257" t="s">
        <v>3266</v>
      </c>
      <c r="C1754" s="258" t="s">
        <v>103</v>
      </c>
      <c r="D1754" s="79">
        <v>7.01</v>
      </c>
      <c r="F1754" s="79">
        <v>7.01</v>
      </c>
      <c r="G1754" s="81"/>
      <c r="N1754" s="240"/>
      <c r="O1754" s="241"/>
      <c r="P1754" s="213"/>
    </row>
    <row r="1755" spans="1:16" ht="12">
      <c r="A1755" s="83" t="s">
        <v>3267</v>
      </c>
      <c r="B1755" s="257" t="s">
        <v>3268</v>
      </c>
      <c r="C1755" s="258" t="s">
        <v>103</v>
      </c>
      <c r="D1755" s="79">
        <v>32.880000000000003</v>
      </c>
      <c r="F1755" s="79">
        <v>32.880000000000003</v>
      </c>
      <c r="G1755" s="81"/>
      <c r="N1755" s="240"/>
      <c r="O1755" s="241"/>
      <c r="P1755" s="213"/>
    </row>
    <row r="1756" spans="1:16" ht="24">
      <c r="A1756" s="83" t="s">
        <v>3269</v>
      </c>
      <c r="B1756" s="257" t="s">
        <v>29820</v>
      </c>
      <c r="C1756" s="258" t="s">
        <v>103</v>
      </c>
      <c r="D1756" s="79">
        <v>80.739999999999995</v>
      </c>
      <c r="F1756" s="79">
        <v>80.739999999999995</v>
      </c>
      <c r="G1756" s="81"/>
      <c r="N1756" s="240"/>
      <c r="O1756" s="241"/>
      <c r="P1756" s="213"/>
    </row>
    <row r="1757" spans="1:16" ht="24">
      <c r="A1757" s="83" t="s">
        <v>3270</v>
      </c>
      <c r="B1757" s="257" t="s">
        <v>3271</v>
      </c>
      <c r="C1757" s="258" t="s">
        <v>103</v>
      </c>
      <c r="D1757" s="79">
        <v>48.4</v>
      </c>
      <c r="F1757" s="79">
        <v>48.4</v>
      </c>
      <c r="G1757" s="81"/>
      <c r="N1757" s="240"/>
      <c r="O1757" s="241"/>
      <c r="P1757" s="213"/>
    </row>
    <row r="1758" spans="1:16" ht="12">
      <c r="A1758" s="96" t="s">
        <v>3272</v>
      </c>
      <c r="B1758" s="265" t="s">
        <v>39282</v>
      </c>
      <c r="C1758" s="212" t="s">
        <v>103</v>
      </c>
      <c r="D1758" s="79">
        <v>75.53</v>
      </c>
      <c r="F1758" s="517">
        <v>75.53</v>
      </c>
    </row>
    <row r="1759" spans="1:16" ht="24">
      <c r="A1759" s="83" t="s">
        <v>3273</v>
      </c>
      <c r="B1759" s="257" t="s">
        <v>3274</v>
      </c>
      <c r="C1759" s="258" t="s">
        <v>103</v>
      </c>
      <c r="D1759" s="79">
        <v>59.94</v>
      </c>
      <c r="F1759" s="79">
        <v>59.94</v>
      </c>
      <c r="G1759" s="81"/>
      <c r="N1759" s="240"/>
      <c r="O1759" s="241"/>
      <c r="P1759" s="213"/>
    </row>
    <row r="1760" spans="1:16" ht="12">
      <c r="A1760" s="83" t="s">
        <v>3275</v>
      </c>
      <c r="B1760" s="257" t="s">
        <v>3276</v>
      </c>
      <c r="C1760" s="258" t="s">
        <v>103</v>
      </c>
      <c r="D1760" s="79">
        <v>9.27</v>
      </c>
      <c r="F1760" s="79">
        <v>9.27</v>
      </c>
      <c r="G1760" s="81"/>
      <c r="N1760" s="240"/>
      <c r="O1760" s="241"/>
      <c r="P1760" s="213"/>
    </row>
    <row r="1761" spans="1:16" ht="12">
      <c r="A1761" s="83" t="s">
        <v>3277</v>
      </c>
      <c r="B1761" s="257" t="s">
        <v>3278</v>
      </c>
      <c r="C1761" s="258" t="s">
        <v>207</v>
      </c>
      <c r="D1761" s="79">
        <v>18.04</v>
      </c>
      <c r="F1761" s="79">
        <v>18.04</v>
      </c>
      <c r="G1761" s="81"/>
      <c r="N1761" s="240"/>
      <c r="O1761" s="241"/>
      <c r="P1761" s="213"/>
    </row>
    <row r="1762" spans="1:16" ht="12">
      <c r="A1762" s="83" t="s">
        <v>3279</v>
      </c>
      <c r="B1762" s="257" t="s">
        <v>3280</v>
      </c>
      <c r="C1762" s="258" t="s">
        <v>103</v>
      </c>
      <c r="D1762" s="79">
        <v>77.28</v>
      </c>
      <c r="F1762" s="79">
        <v>77.28</v>
      </c>
      <c r="G1762" s="81"/>
      <c r="N1762" s="240"/>
      <c r="O1762" s="241"/>
      <c r="P1762" s="213"/>
    </row>
    <row r="1763" spans="1:16" ht="12">
      <c r="A1763" s="83" t="s">
        <v>3281</v>
      </c>
      <c r="B1763" s="257" t="s">
        <v>39283</v>
      </c>
      <c r="C1763" s="258" t="s">
        <v>103</v>
      </c>
      <c r="D1763" s="79">
        <v>37.79</v>
      </c>
      <c r="F1763" s="79">
        <v>37.79</v>
      </c>
      <c r="G1763" s="81"/>
      <c r="N1763" s="240"/>
      <c r="O1763" s="241"/>
      <c r="P1763" s="213"/>
    </row>
    <row r="1764" spans="1:16" ht="12">
      <c r="A1764" s="83" t="s">
        <v>3282</v>
      </c>
      <c r="B1764" s="257" t="s">
        <v>28178</v>
      </c>
      <c r="C1764" s="258" t="s">
        <v>103</v>
      </c>
      <c r="D1764" s="79">
        <v>18.47</v>
      </c>
      <c r="F1764" s="79">
        <v>18.47</v>
      </c>
      <c r="G1764" s="81"/>
      <c r="N1764" s="240"/>
      <c r="O1764" s="241"/>
      <c r="P1764" s="213"/>
    </row>
    <row r="1765" spans="1:16" ht="24">
      <c r="A1765" s="67" t="s">
        <v>3283</v>
      </c>
      <c r="B1765" s="65" t="s">
        <v>3284</v>
      </c>
      <c r="C1765" s="71" t="s">
        <v>103</v>
      </c>
      <c r="D1765" s="79">
        <v>73.75</v>
      </c>
      <c r="F1765" s="79">
        <v>73.75</v>
      </c>
      <c r="G1765" s="81"/>
      <c r="N1765" s="133"/>
      <c r="O1765" s="241"/>
      <c r="P1765" s="213"/>
    </row>
    <row r="1766" spans="1:16" ht="24">
      <c r="A1766" s="67" t="s">
        <v>3285</v>
      </c>
      <c r="B1766" s="65" t="s">
        <v>3286</v>
      </c>
      <c r="C1766" s="71" t="s">
        <v>103</v>
      </c>
      <c r="D1766" s="79">
        <v>28.41</v>
      </c>
      <c r="F1766" s="79">
        <v>28.41</v>
      </c>
      <c r="G1766" s="81"/>
      <c r="N1766" s="133"/>
      <c r="O1766" s="241"/>
      <c r="P1766" s="213"/>
    </row>
    <row r="1767" spans="1:16" ht="12">
      <c r="A1767" s="83" t="s">
        <v>3287</v>
      </c>
      <c r="B1767" s="257" t="s">
        <v>3288</v>
      </c>
      <c r="C1767" s="258" t="s">
        <v>103</v>
      </c>
      <c r="D1767" s="79">
        <v>6.26</v>
      </c>
      <c r="F1767" s="79">
        <v>6.26</v>
      </c>
      <c r="G1767" s="81"/>
      <c r="N1767" s="240"/>
      <c r="O1767" s="241"/>
      <c r="P1767" s="213"/>
    </row>
    <row r="1768" spans="1:16" ht="24">
      <c r="A1768" s="83" t="s">
        <v>3289</v>
      </c>
      <c r="B1768" s="257" t="s">
        <v>3290</v>
      </c>
      <c r="C1768" s="258" t="s">
        <v>103</v>
      </c>
      <c r="D1768" s="79">
        <v>1249.99</v>
      </c>
      <c r="F1768" s="79">
        <v>1249.99</v>
      </c>
      <c r="G1768" s="81"/>
      <c r="N1768" s="240"/>
      <c r="O1768" s="241"/>
      <c r="P1768" s="213"/>
    </row>
    <row r="1769" spans="1:16" ht="24">
      <c r="A1769" s="83" t="s">
        <v>3291</v>
      </c>
      <c r="B1769" s="257" t="s">
        <v>3292</v>
      </c>
      <c r="C1769" s="258" t="s">
        <v>103</v>
      </c>
      <c r="D1769" s="79">
        <v>251.01</v>
      </c>
      <c r="F1769" s="79">
        <v>251.01</v>
      </c>
      <c r="G1769" s="81"/>
      <c r="N1769" s="240"/>
      <c r="O1769" s="241"/>
      <c r="P1769" s="213"/>
    </row>
    <row r="1770" spans="1:16" ht="12">
      <c r="A1770" s="83" t="s">
        <v>3293</v>
      </c>
      <c r="B1770" s="257" t="s">
        <v>3294</v>
      </c>
      <c r="C1770" s="258" t="s">
        <v>103</v>
      </c>
      <c r="D1770" s="79">
        <v>70.55</v>
      </c>
      <c r="F1770" s="79">
        <v>70.55</v>
      </c>
      <c r="G1770" s="81"/>
      <c r="N1770" s="240"/>
      <c r="O1770" s="241"/>
      <c r="P1770" s="213"/>
    </row>
    <row r="1771" spans="1:16" ht="12">
      <c r="A1771" s="83" t="s">
        <v>3295</v>
      </c>
      <c r="B1771" s="257" t="s">
        <v>3296</v>
      </c>
      <c r="C1771" s="258" t="s">
        <v>103</v>
      </c>
      <c r="D1771" s="79">
        <v>60.66</v>
      </c>
      <c r="F1771" s="79">
        <v>60.66</v>
      </c>
      <c r="G1771" s="81"/>
      <c r="N1771" s="240"/>
      <c r="O1771" s="241"/>
      <c r="P1771" s="213"/>
    </row>
    <row r="1772" spans="1:16" ht="12">
      <c r="A1772" s="83" t="s">
        <v>3297</v>
      </c>
      <c r="B1772" s="257" t="s">
        <v>3298</v>
      </c>
      <c r="C1772" s="258" t="s">
        <v>165</v>
      </c>
      <c r="D1772" s="79">
        <v>71.8</v>
      </c>
      <c r="F1772" s="79">
        <v>71.8</v>
      </c>
      <c r="G1772" s="81"/>
      <c r="N1772" s="240"/>
      <c r="O1772" s="241"/>
      <c r="P1772" s="213"/>
    </row>
    <row r="1773" spans="1:16" ht="12">
      <c r="A1773" s="83" t="s">
        <v>3299</v>
      </c>
      <c r="B1773" s="257" t="s">
        <v>3300</v>
      </c>
      <c r="C1773" s="258" t="s">
        <v>165</v>
      </c>
      <c r="D1773" s="79">
        <v>90.58</v>
      </c>
      <c r="F1773" s="79">
        <v>90.58</v>
      </c>
      <c r="G1773" s="81"/>
      <c r="N1773" s="240"/>
      <c r="O1773" s="241"/>
      <c r="P1773" s="213"/>
    </row>
    <row r="1774" spans="1:16" ht="12">
      <c r="A1774" s="83" t="s">
        <v>3301</v>
      </c>
      <c r="B1774" s="257" t="s">
        <v>3302</v>
      </c>
      <c r="C1774" s="258" t="s">
        <v>165</v>
      </c>
      <c r="D1774" s="79">
        <v>75.81</v>
      </c>
      <c r="F1774" s="79">
        <v>75.81</v>
      </c>
      <c r="G1774" s="81"/>
      <c r="N1774" s="240"/>
      <c r="O1774" s="241"/>
      <c r="P1774" s="213"/>
    </row>
    <row r="1775" spans="1:16" ht="12">
      <c r="A1775" s="83" t="s">
        <v>3303</v>
      </c>
      <c r="B1775" s="257" t="s">
        <v>3304</v>
      </c>
      <c r="C1775" s="258" t="s">
        <v>165</v>
      </c>
      <c r="D1775" s="79">
        <v>92.97</v>
      </c>
      <c r="F1775" s="79">
        <v>92.97</v>
      </c>
      <c r="G1775" s="81"/>
      <c r="N1775" s="240"/>
      <c r="O1775" s="241"/>
      <c r="P1775" s="213"/>
    </row>
    <row r="1776" spans="1:16" ht="12">
      <c r="A1776" s="83" t="s">
        <v>3305</v>
      </c>
      <c r="B1776" s="257" t="s">
        <v>3306</v>
      </c>
      <c r="C1776" s="258" t="s">
        <v>165</v>
      </c>
      <c r="D1776" s="79">
        <v>125.61</v>
      </c>
      <c r="F1776" s="79">
        <v>125.61</v>
      </c>
      <c r="G1776" s="81"/>
      <c r="N1776" s="240"/>
      <c r="O1776" s="241"/>
      <c r="P1776" s="213"/>
    </row>
    <row r="1777" spans="1:16" ht="12">
      <c r="A1777" s="83" t="s">
        <v>3307</v>
      </c>
      <c r="B1777" s="257" t="s">
        <v>3308</v>
      </c>
      <c r="C1777" s="258" t="s">
        <v>165</v>
      </c>
      <c r="D1777" s="79">
        <v>243.98</v>
      </c>
      <c r="F1777" s="79">
        <v>243.98</v>
      </c>
      <c r="G1777" s="81"/>
      <c r="N1777" s="240"/>
      <c r="O1777" s="241"/>
      <c r="P1777" s="213"/>
    </row>
    <row r="1778" spans="1:16" ht="12">
      <c r="A1778" s="83" t="s">
        <v>3309</v>
      </c>
      <c r="B1778" s="257" t="s">
        <v>3310</v>
      </c>
      <c r="C1778" s="258" t="s">
        <v>165</v>
      </c>
      <c r="D1778" s="79">
        <v>104.42</v>
      </c>
      <c r="F1778" s="79">
        <v>104.42</v>
      </c>
      <c r="G1778" s="81"/>
      <c r="N1778" s="240"/>
      <c r="O1778" s="241"/>
      <c r="P1778" s="213"/>
    </row>
    <row r="1779" spans="1:16" ht="12">
      <c r="A1779" s="83" t="s">
        <v>3311</v>
      </c>
      <c r="B1779" s="257" t="s">
        <v>3312</v>
      </c>
      <c r="C1779" s="258" t="s">
        <v>165</v>
      </c>
      <c r="D1779" s="79">
        <v>440.89</v>
      </c>
      <c r="F1779" s="79">
        <v>440.89</v>
      </c>
      <c r="G1779" s="81"/>
      <c r="N1779" s="240"/>
      <c r="O1779" s="241"/>
      <c r="P1779" s="213"/>
    </row>
    <row r="1780" spans="1:16" ht="12">
      <c r="A1780" s="83" t="s">
        <v>3313</v>
      </c>
      <c r="B1780" s="257" t="s">
        <v>3314</v>
      </c>
      <c r="C1780" s="258" t="s">
        <v>165</v>
      </c>
      <c r="D1780" s="79">
        <v>114.45</v>
      </c>
      <c r="F1780" s="79">
        <v>114.45</v>
      </c>
      <c r="G1780" s="81"/>
      <c r="N1780" s="240"/>
      <c r="O1780" s="241"/>
      <c r="P1780" s="213"/>
    </row>
    <row r="1781" spans="1:16" ht="12">
      <c r="A1781" s="83" t="s">
        <v>3315</v>
      </c>
      <c r="B1781" s="257" t="s">
        <v>3316</v>
      </c>
      <c r="C1781" s="258" t="s">
        <v>165</v>
      </c>
      <c r="D1781" s="79">
        <v>142.22999999999999</v>
      </c>
      <c r="F1781" s="79">
        <v>142.22999999999999</v>
      </c>
      <c r="G1781" s="81"/>
      <c r="N1781" s="240"/>
      <c r="O1781" s="241"/>
      <c r="P1781" s="213"/>
    </row>
    <row r="1782" spans="1:16" ht="12">
      <c r="A1782" s="83" t="s">
        <v>3317</v>
      </c>
      <c r="B1782" s="257" t="s">
        <v>3318</v>
      </c>
      <c r="C1782" s="258" t="s">
        <v>165</v>
      </c>
      <c r="D1782" s="79">
        <v>250.62</v>
      </c>
      <c r="F1782" s="79">
        <v>250.62</v>
      </c>
      <c r="G1782" s="81"/>
      <c r="N1782" s="240"/>
      <c r="O1782" s="241"/>
      <c r="P1782" s="213"/>
    </row>
    <row r="1783" spans="1:16" ht="12">
      <c r="A1783" s="83" t="s">
        <v>3319</v>
      </c>
      <c r="B1783" s="257" t="s">
        <v>3320</v>
      </c>
      <c r="C1783" s="258" t="s">
        <v>165</v>
      </c>
      <c r="D1783" s="79">
        <v>381.5</v>
      </c>
      <c r="F1783" s="79">
        <v>381.5</v>
      </c>
      <c r="G1783" s="81"/>
      <c r="N1783" s="240"/>
      <c r="O1783" s="241"/>
      <c r="P1783" s="213"/>
    </row>
    <row r="1784" spans="1:16" ht="12">
      <c r="A1784" s="83" t="s">
        <v>3321</v>
      </c>
      <c r="B1784" s="257" t="s">
        <v>3322</v>
      </c>
      <c r="C1784" s="258" t="s">
        <v>165</v>
      </c>
      <c r="D1784" s="79">
        <v>111.18</v>
      </c>
      <c r="F1784" s="79">
        <v>111.18</v>
      </c>
      <c r="G1784" s="81"/>
      <c r="N1784" s="240"/>
      <c r="O1784" s="241"/>
      <c r="P1784" s="213"/>
    </row>
    <row r="1785" spans="1:16" ht="12">
      <c r="A1785" s="83" t="s">
        <v>3323</v>
      </c>
      <c r="B1785" s="257" t="s">
        <v>3324</v>
      </c>
      <c r="C1785" s="258" t="s">
        <v>165</v>
      </c>
      <c r="D1785" s="79">
        <v>187.7</v>
      </c>
      <c r="F1785" s="79">
        <v>187.7</v>
      </c>
      <c r="G1785" s="81"/>
      <c r="N1785" s="240"/>
      <c r="O1785" s="241"/>
      <c r="P1785" s="213"/>
    </row>
    <row r="1786" spans="1:16" ht="12">
      <c r="A1786" s="83" t="s">
        <v>3325</v>
      </c>
      <c r="B1786" s="257" t="s">
        <v>3326</v>
      </c>
      <c r="C1786" s="258" t="s">
        <v>165</v>
      </c>
      <c r="D1786" s="79">
        <v>380.3</v>
      </c>
      <c r="F1786" s="79">
        <v>380.3</v>
      </c>
      <c r="G1786" s="81"/>
      <c r="N1786" s="240"/>
      <c r="O1786" s="241"/>
      <c r="P1786" s="213"/>
    </row>
    <row r="1787" spans="1:16" ht="12">
      <c r="A1787" s="83" t="s">
        <v>3327</v>
      </c>
      <c r="B1787" s="257" t="s">
        <v>3328</v>
      </c>
      <c r="C1787" s="258" t="s">
        <v>165</v>
      </c>
      <c r="D1787" s="79">
        <v>516.32000000000005</v>
      </c>
      <c r="F1787" s="79">
        <v>516.32000000000005</v>
      </c>
      <c r="G1787" s="81"/>
      <c r="N1787" s="240"/>
      <c r="O1787" s="241"/>
      <c r="P1787" s="213"/>
    </row>
    <row r="1788" spans="1:16" ht="12">
      <c r="A1788" s="83" t="s">
        <v>3329</v>
      </c>
      <c r="B1788" s="257" t="s">
        <v>3330</v>
      </c>
      <c r="C1788" s="258" t="s">
        <v>165</v>
      </c>
      <c r="D1788" s="79">
        <v>153.08000000000001</v>
      </c>
      <c r="F1788" s="79">
        <v>153.08000000000001</v>
      </c>
      <c r="G1788" s="81"/>
      <c r="N1788" s="240"/>
      <c r="O1788" s="241"/>
      <c r="P1788" s="213"/>
    </row>
    <row r="1789" spans="1:16" ht="12">
      <c r="A1789" s="83" t="s">
        <v>3331</v>
      </c>
      <c r="B1789" s="257" t="s">
        <v>3332</v>
      </c>
      <c r="C1789" s="258" t="s">
        <v>165</v>
      </c>
      <c r="D1789" s="79">
        <v>297.87</v>
      </c>
      <c r="F1789" s="79">
        <v>297.87</v>
      </c>
      <c r="G1789" s="81"/>
      <c r="N1789" s="240"/>
      <c r="O1789" s="241"/>
      <c r="P1789" s="213"/>
    </row>
    <row r="1790" spans="1:16" ht="12">
      <c r="A1790" s="83" t="s">
        <v>3333</v>
      </c>
      <c r="B1790" s="257" t="s">
        <v>3334</v>
      </c>
      <c r="C1790" s="258" t="s">
        <v>165</v>
      </c>
      <c r="D1790" s="79">
        <v>470.31</v>
      </c>
      <c r="F1790" s="79">
        <v>470.31</v>
      </c>
      <c r="G1790" s="81"/>
      <c r="N1790" s="240"/>
      <c r="O1790" s="241"/>
      <c r="P1790" s="213"/>
    </row>
    <row r="1791" spans="1:16" ht="12">
      <c r="A1791" s="83" t="s">
        <v>3335</v>
      </c>
      <c r="B1791" s="257" t="s">
        <v>3336</v>
      </c>
      <c r="C1791" s="258" t="s">
        <v>165</v>
      </c>
      <c r="D1791" s="79">
        <v>674.01</v>
      </c>
      <c r="F1791" s="79">
        <v>674.01</v>
      </c>
      <c r="G1791" s="81"/>
      <c r="N1791" s="240"/>
      <c r="O1791" s="241"/>
      <c r="P1791" s="213"/>
    </row>
    <row r="1792" spans="1:16" ht="12">
      <c r="A1792" s="83" t="s">
        <v>3337</v>
      </c>
      <c r="B1792" s="257" t="s">
        <v>3338</v>
      </c>
      <c r="C1792" s="258" t="s">
        <v>103</v>
      </c>
      <c r="D1792" s="79">
        <v>757.67</v>
      </c>
      <c r="F1792" s="79">
        <v>757.67</v>
      </c>
      <c r="G1792" s="81"/>
      <c r="N1792" s="240"/>
      <c r="O1792" s="241"/>
      <c r="P1792" s="213"/>
    </row>
    <row r="1793" spans="1:16" ht="12">
      <c r="A1793" s="83" t="s">
        <v>3339</v>
      </c>
      <c r="B1793" s="257" t="s">
        <v>3340</v>
      </c>
      <c r="C1793" s="258" t="s">
        <v>165</v>
      </c>
      <c r="D1793" s="79">
        <v>509.83</v>
      </c>
      <c r="F1793" s="79">
        <v>509.83</v>
      </c>
      <c r="G1793" s="81"/>
      <c r="N1793" s="240"/>
      <c r="O1793" s="241"/>
      <c r="P1793" s="213"/>
    </row>
    <row r="1794" spans="1:16" ht="12">
      <c r="A1794" s="83" t="s">
        <v>3341</v>
      </c>
      <c r="B1794" s="257" t="s">
        <v>3342</v>
      </c>
      <c r="C1794" s="258" t="s">
        <v>165</v>
      </c>
      <c r="D1794" s="79">
        <v>763.95</v>
      </c>
      <c r="F1794" s="79">
        <v>763.95</v>
      </c>
      <c r="G1794" s="81"/>
      <c r="N1794" s="240"/>
      <c r="O1794" s="241"/>
      <c r="P1794" s="213"/>
    </row>
    <row r="1795" spans="1:16" ht="12">
      <c r="A1795" s="83" t="s">
        <v>3343</v>
      </c>
      <c r="B1795" s="257" t="s">
        <v>3344</v>
      </c>
      <c r="C1795" s="258" t="s">
        <v>103</v>
      </c>
      <c r="D1795" s="79">
        <v>192.46</v>
      </c>
      <c r="F1795" s="79">
        <v>192.46</v>
      </c>
      <c r="G1795" s="81"/>
      <c r="N1795" s="240"/>
      <c r="O1795" s="241"/>
      <c r="P1795" s="213"/>
    </row>
    <row r="1796" spans="1:16" ht="12">
      <c r="A1796" s="83" t="s">
        <v>3345</v>
      </c>
      <c r="B1796" s="257" t="s">
        <v>3346</v>
      </c>
      <c r="C1796" s="258" t="s">
        <v>103</v>
      </c>
      <c r="D1796" s="79">
        <v>308.58</v>
      </c>
      <c r="F1796" s="79">
        <v>308.58</v>
      </c>
      <c r="G1796" s="81"/>
      <c r="N1796" s="240"/>
      <c r="O1796" s="241"/>
      <c r="P1796" s="213"/>
    </row>
    <row r="1797" spans="1:16" ht="12">
      <c r="A1797" s="83" t="s">
        <v>3347</v>
      </c>
      <c r="B1797" s="257" t="s">
        <v>3348</v>
      </c>
      <c r="C1797" s="258" t="s">
        <v>103</v>
      </c>
      <c r="D1797" s="79">
        <v>386.09</v>
      </c>
      <c r="F1797" s="79">
        <v>386.09</v>
      </c>
      <c r="G1797" s="81"/>
      <c r="N1797" s="240"/>
      <c r="O1797" s="241"/>
      <c r="P1797" s="213"/>
    </row>
    <row r="1798" spans="1:16" ht="12">
      <c r="A1798" s="83" t="s">
        <v>3349</v>
      </c>
      <c r="B1798" s="257" t="s">
        <v>3350</v>
      </c>
      <c r="C1798" s="258" t="s">
        <v>103</v>
      </c>
      <c r="D1798" s="79">
        <v>880.08</v>
      </c>
      <c r="F1798" s="79">
        <v>880.08</v>
      </c>
      <c r="G1798" s="81"/>
      <c r="N1798" s="240"/>
      <c r="O1798" s="241"/>
      <c r="P1798" s="213"/>
    </row>
    <row r="1799" spans="1:16" ht="12">
      <c r="A1799" s="83" t="s">
        <v>3351</v>
      </c>
      <c r="B1799" s="257" t="s">
        <v>3352</v>
      </c>
      <c r="C1799" s="258" t="s">
        <v>165</v>
      </c>
      <c r="D1799" s="79">
        <v>147.74</v>
      </c>
      <c r="F1799" s="79">
        <v>147.74</v>
      </c>
      <c r="G1799" s="81"/>
      <c r="N1799" s="240"/>
      <c r="O1799" s="241"/>
      <c r="P1799" s="213"/>
    </row>
    <row r="1800" spans="1:16" ht="12">
      <c r="A1800" s="83" t="s">
        <v>3353</v>
      </c>
      <c r="B1800" s="257" t="s">
        <v>3354</v>
      </c>
      <c r="C1800" s="258" t="s">
        <v>103</v>
      </c>
      <c r="D1800" s="79">
        <v>69.81</v>
      </c>
      <c r="F1800" s="79">
        <v>69.81</v>
      </c>
      <c r="G1800" s="81"/>
      <c r="N1800" s="240"/>
      <c r="O1800" s="241"/>
      <c r="P1800" s="213"/>
    </row>
    <row r="1801" spans="1:16" ht="12">
      <c r="A1801" s="83" t="s">
        <v>3355</v>
      </c>
      <c r="B1801" s="257" t="s">
        <v>3356</v>
      </c>
      <c r="C1801" s="258" t="s">
        <v>165</v>
      </c>
      <c r="D1801" s="79">
        <v>25.43</v>
      </c>
      <c r="F1801" s="79">
        <v>25.43</v>
      </c>
      <c r="G1801" s="81"/>
      <c r="N1801" s="240"/>
      <c r="O1801" s="241"/>
      <c r="P1801" s="213"/>
    </row>
    <row r="1802" spans="1:16" ht="24">
      <c r="A1802" s="83" t="s">
        <v>3357</v>
      </c>
      <c r="B1802" s="257" t="s">
        <v>3358</v>
      </c>
      <c r="C1802" s="258" t="s">
        <v>103</v>
      </c>
      <c r="D1802" s="79">
        <v>335.66</v>
      </c>
      <c r="F1802" s="79">
        <v>335.66</v>
      </c>
      <c r="G1802" s="81"/>
      <c r="N1802" s="240"/>
      <c r="O1802" s="241"/>
      <c r="P1802" s="213"/>
    </row>
    <row r="1803" spans="1:16" ht="12">
      <c r="A1803" s="83" t="s">
        <v>3359</v>
      </c>
      <c r="B1803" s="257" t="s">
        <v>3360</v>
      </c>
      <c r="C1803" s="258" t="s">
        <v>165</v>
      </c>
      <c r="D1803" s="79">
        <v>144.82</v>
      </c>
      <c r="F1803" s="79">
        <v>144.82</v>
      </c>
      <c r="G1803" s="81"/>
      <c r="N1803" s="240"/>
      <c r="O1803" s="241"/>
      <c r="P1803" s="213"/>
    </row>
    <row r="1804" spans="1:16" ht="12">
      <c r="A1804" s="83" t="s">
        <v>3361</v>
      </c>
      <c r="B1804" s="257" t="s">
        <v>3362</v>
      </c>
      <c r="C1804" s="258" t="s">
        <v>165</v>
      </c>
      <c r="D1804" s="79">
        <v>200.58</v>
      </c>
      <c r="F1804" s="79">
        <v>200.58</v>
      </c>
      <c r="G1804" s="81"/>
      <c r="N1804" s="240"/>
      <c r="O1804" s="241"/>
      <c r="P1804" s="213"/>
    </row>
    <row r="1805" spans="1:16" ht="12">
      <c r="A1805" s="83" t="s">
        <v>3363</v>
      </c>
      <c r="B1805" s="257" t="s">
        <v>3364</v>
      </c>
      <c r="C1805" s="258" t="s">
        <v>165</v>
      </c>
      <c r="D1805" s="79">
        <v>317.60000000000002</v>
      </c>
      <c r="F1805" s="79">
        <v>317.60000000000002</v>
      </c>
      <c r="G1805" s="81"/>
      <c r="N1805" s="240"/>
      <c r="O1805" s="241"/>
      <c r="P1805" s="213"/>
    </row>
    <row r="1806" spans="1:16" ht="12">
      <c r="A1806" s="83" t="s">
        <v>3365</v>
      </c>
      <c r="B1806" s="257" t="s">
        <v>3366</v>
      </c>
      <c r="C1806" s="258" t="s">
        <v>165</v>
      </c>
      <c r="D1806" s="79">
        <v>433.32</v>
      </c>
      <c r="F1806" s="79">
        <v>433.32</v>
      </c>
      <c r="G1806" s="81"/>
      <c r="N1806" s="240"/>
      <c r="O1806" s="241"/>
      <c r="P1806" s="213"/>
    </row>
    <row r="1807" spans="1:16" ht="12">
      <c r="A1807" s="83" t="s">
        <v>3367</v>
      </c>
      <c r="B1807" s="257" t="s">
        <v>3368</v>
      </c>
      <c r="C1807" s="258" t="s">
        <v>165</v>
      </c>
      <c r="D1807" s="79">
        <v>527.84</v>
      </c>
      <c r="F1807" s="79">
        <v>527.84</v>
      </c>
      <c r="G1807" s="81"/>
      <c r="N1807" s="240"/>
      <c r="O1807" s="241"/>
      <c r="P1807" s="213"/>
    </row>
    <row r="1808" spans="1:16" ht="12">
      <c r="A1808" s="83" t="s">
        <v>3369</v>
      </c>
      <c r="B1808" s="257" t="s">
        <v>3370</v>
      </c>
      <c r="C1808" s="258" t="s">
        <v>165</v>
      </c>
      <c r="D1808" s="79">
        <v>818.73</v>
      </c>
      <c r="F1808" s="79">
        <v>818.73</v>
      </c>
      <c r="G1808" s="81"/>
      <c r="N1808" s="240"/>
      <c r="O1808" s="241"/>
      <c r="P1808" s="213"/>
    </row>
    <row r="1809" spans="1:16" ht="12">
      <c r="A1809" s="83" t="s">
        <v>3371</v>
      </c>
      <c r="B1809" s="257" t="s">
        <v>3372</v>
      </c>
      <c r="C1809" s="258" t="s">
        <v>165</v>
      </c>
      <c r="D1809" s="79">
        <v>782.25</v>
      </c>
      <c r="F1809" s="79">
        <v>782.25</v>
      </c>
      <c r="G1809" s="81"/>
      <c r="N1809" s="240"/>
      <c r="O1809" s="241"/>
      <c r="P1809" s="213"/>
    </row>
    <row r="1810" spans="1:16" ht="12">
      <c r="A1810" s="83" t="s">
        <v>3373</v>
      </c>
      <c r="B1810" s="257" t="s">
        <v>3374</v>
      </c>
      <c r="C1810" s="258" t="s">
        <v>165</v>
      </c>
      <c r="D1810" s="79">
        <v>1165.3599999999999</v>
      </c>
      <c r="F1810" s="79">
        <v>1165.3599999999999</v>
      </c>
      <c r="G1810" s="81"/>
      <c r="N1810" s="240"/>
      <c r="O1810" s="241"/>
      <c r="P1810" s="213"/>
    </row>
    <row r="1811" spans="1:16" ht="12">
      <c r="A1811" s="83" t="s">
        <v>3375</v>
      </c>
      <c r="B1811" s="257" t="s">
        <v>3376</v>
      </c>
      <c r="C1811" s="258" t="s">
        <v>165</v>
      </c>
      <c r="D1811" s="79">
        <v>36.35</v>
      </c>
      <c r="F1811" s="79">
        <v>36.35</v>
      </c>
      <c r="G1811" s="81"/>
      <c r="N1811" s="240"/>
      <c r="O1811" s="241"/>
      <c r="P1811" s="213"/>
    </row>
    <row r="1812" spans="1:16" ht="12">
      <c r="A1812" s="83" t="s">
        <v>3377</v>
      </c>
      <c r="B1812" s="257" t="s">
        <v>3378</v>
      </c>
      <c r="C1812" s="258" t="s">
        <v>165</v>
      </c>
      <c r="D1812" s="79">
        <v>47.43</v>
      </c>
      <c r="F1812" s="79">
        <v>47.43</v>
      </c>
      <c r="G1812" s="81"/>
      <c r="N1812" s="240"/>
      <c r="O1812" s="241"/>
      <c r="P1812" s="213"/>
    </row>
    <row r="1813" spans="1:16" ht="12">
      <c r="A1813" s="83" t="s">
        <v>3379</v>
      </c>
      <c r="B1813" s="257" t="s">
        <v>3380</v>
      </c>
      <c r="C1813" s="258" t="s">
        <v>165</v>
      </c>
      <c r="D1813" s="79">
        <v>84.41</v>
      </c>
      <c r="F1813" s="79">
        <v>84.41</v>
      </c>
      <c r="G1813" s="81"/>
      <c r="N1813" s="240"/>
      <c r="O1813" s="241"/>
      <c r="P1813" s="213"/>
    </row>
    <row r="1814" spans="1:16" ht="24">
      <c r="A1814" s="83" t="s">
        <v>3381</v>
      </c>
      <c r="B1814" s="257" t="s">
        <v>3382</v>
      </c>
      <c r="C1814" s="258" t="s">
        <v>103</v>
      </c>
      <c r="D1814" s="79">
        <v>984.17</v>
      </c>
      <c r="F1814" s="79">
        <v>984.17</v>
      </c>
      <c r="G1814" s="81"/>
      <c r="N1814" s="240"/>
      <c r="O1814" s="241"/>
      <c r="P1814" s="213"/>
    </row>
    <row r="1815" spans="1:16" ht="24">
      <c r="A1815" s="256" t="s">
        <v>3383</v>
      </c>
      <c r="B1815" s="274" t="s">
        <v>3384</v>
      </c>
      <c r="C1815" s="262" t="s">
        <v>103</v>
      </c>
      <c r="D1815" s="79">
        <v>665.28</v>
      </c>
      <c r="F1815" s="522">
        <v>665.28</v>
      </c>
    </row>
    <row r="1816" spans="1:16" ht="12">
      <c r="A1816" s="256" t="s">
        <v>3385</v>
      </c>
      <c r="B1816" s="274" t="s">
        <v>3386</v>
      </c>
      <c r="C1816" s="262" t="s">
        <v>103</v>
      </c>
      <c r="D1816" s="79">
        <v>630.66</v>
      </c>
      <c r="F1816" s="522">
        <v>630.66</v>
      </c>
    </row>
    <row r="1817" spans="1:16" ht="12">
      <c r="A1817" s="83" t="s">
        <v>3387</v>
      </c>
      <c r="B1817" s="257" t="s">
        <v>3388</v>
      </c>
      <c r="C1817" s="258" t="s">
        <v>103</v>
      </c>
      <c r="D1817" s="79">
        <v>1085.49</v>
      </c>
      <c r="F1817" s="79">
        <v>1085.49</v>
      </c>
      <c r="G1817" s="81"/>
      <c r="N1817" s="240"/>
      <c r="O1817" s="241"/>
      <c r="P1817" s="213"/>
    </row>
    <row r="1818" spans="1:16" ht="12">
      <c r="A1818" s="83" t="s">
        <v>3389</v>
      </c>
      <c r="B1818" s="257" t="s">
        <v>3390</v>
      </c>
      <c r="C1818" s="258" t="s">
        <v>165</v>
      </c>
      <c r="D1818" s="79">
        <v>1078.3900000000001</v>
      </c>
      <c r="F1818" s="79">
        <v>1078.3900000000001</v>
      </c>
      <c r="G1818" s="81"/>
      <c r="N1818" s="240"/>
      <c r="O1818" s="241"/>
      <c r="P1818" s="213"/>
    </row>
    <row r="1819" spans="1:16" ht="36">
      <c r="A1819" s="275" t="s">
        <v>3391</v>
      </c>
      <c r="B1819" s="276" t="s">
        <v>3392</v>
      </c>
      <c r="C1819" s="277" t="s">
        <v>103</v>
      </c>
      <c r="D1819" s="79">
        <v>3037.97</v>
      </c>
      <c r="E1819" s="242"/>
      <c r="F1819" s="519">
        <v>3037.97</v>
      </c>
      <c r="G1819" s="242"/>
      <c r="H1819" s="242"/>
      <c r="I1819" s="242"/>
      <c r="J1819" s="242"/>
      <c r="K1819" s="242"/>
      <c r="L1819" s="242"/>
      <c r="M1819" s="242"/>
      <c r="N1819" s="242"/>
      <c r="O1819" s="242"/>
      <c r="P1819" s="242"/>
    </row>
    <row r="1820" spans="1:16" ht="36">
      <c r="A1820" s="275" t="s">
        <v>3393</v>
      </c>
      <c r="B1820" s="276" t="s">
        <v>3394</v>
      </c>
      <c r="C1820" s="277" t="s">
        <v>103</v>
      </c>
      <c r="D1820" s="79">
        <v>3854.6</v>
      </c>
      <c r="E1820" s="242"/>
      <c r="F1820" s="519">
        <v>3854.6</v>
      </c>
      <c r="G1820" s="242"/>
      <c r="H1820" s="242"/>
      <c r="I1820" s="242"/>
      <c r="J1820" s="242"/>
      <c r="K1820" s="242"/>
      <c r="L1820" s="242"/>
      <c r="M1820" s="242"/>
      <c r="N1820" s="242"/>
      <c r="O1820" s="242"/>
      <c r="P1820" s="242"/>
    </row>
    <row r="1821" spans="1:16" ht="36">
      <c r="A1821" s="275" t="s">
        <v>3395</v>
      </c>
      <c r="B1821" s="276" t="s">
        <v>3396</v>
      </c>
      <c r="C1821" s="277" t="s">
        <v>103</v>
      </c>
      <c r="D1821" s="79">
        <v>1418.05</v>
      </c>
      <c r="E1821" s="242"/>
      <c r="F1821" s="519">
        <v>1418.05</v>
      </c>
      <c r="G1821" s="242"/>
      <c r="H1821" s="242"/>
      <c r="I1821" s="242"/>
      <c r="J1821" s="242"/>
      <c r="K1821" s="242"/>
      <c r="L1821" s="242"/>
      <c r="M1821" s="242"/>
      <c r="N1821" s="242"/>
      <c r="O1821" s="242"/>
      <c r="P1821" s="242"/>
    </row>
    <row r="1822" spans="1:16" ht="36">
      <c r="A1822" s="275" t="s">
        <v>3397</v>
      </c>
      <c r="B1822" s="276" t="s">
        <v>3398</v>
      </c>
      <c r="C1822" s="277" t="s">
        <v>103</v>
      </c>
      <c r="D1822" s="79">
        <v>1678.67</v>
      </c>
      <c r="E1822" s="242"/>
      <c r="F1822" s="519">
        <v>1678.67</v>
      </c>
      <c r="G1822" s="242"/>
      <c r="H1822" s="242"/>
      <c r="I1822" s="242"/>
      <c r="J1822" s="242"/>
      <c r="K1822" s="242"/>
      <c r="L1822" s="242"/>
      <c r="M1822" s="242"/>
      <c r="N1822" s="242"/>
      <c r="O1822" s="242"/>
      <c r="P1822" s="242"/>
    </row>
    <row r="1823" spans="1:16" ht="24">
      <c r="A1823" s="83" t="s">
        <v>3399</v>
      </c>
      <c r="B1823" s="257" t="s">
        <v>3400</v>
      </c>
      <c r="C1823" s="258" t="s">
        <v>103</v>
      </c>
      <c r="D1823" s="79">
        <v>606.04</v>
      </c>
      <c r="F1823" s="79">
        <v>606.04</v>
      </c>
      <c r="G1823" s="81"/>
      <c r="N1823" s="240"/>
      <c r="O1823" s="241"/>
      <c r="P1823" s="213"/>
    </row>
    <row r="1824" spans="1:16" ht="12">
      <c r="A1824" s="83" t="s">
        <v>3401</v>
      </c>
      <c r="B1824" s="257" t="s">
        <v>3402</v>
      </c>
      <c r="C1824" s="258" t="s">
        <v>103</v>
      </c>
      <c r="D1824" s="79">
        <v>944.33</v>
      </c>
      <c r="F1824" s="79">
        <v>944.33</v>
      </c>
      <c r="G1824" s="81"/>
      <c r="N1824" s="240"/>
      <c r="O1824" s="241"/>
      <c r="P1824" s="213"/>
    </row>
    <row r="1825" spans="1:16" ht="12">
      <c r="A1825" s="83" t="s">
        <v>3403</v>
      </c>
      <c r="B1825" s="257" t="s">
        <v>3404</v>
      </c>
      <c r="C1825" s="258" t="s">
        <v>103</v>
      </c>
      <c r="D1825" s="79">
        <v>1146.8800000000001</v>
      </c>
      <c r="F1825" s="79">
        <v>1146.8800000000001</v>
      </c>
      <c r="G1825" s="81"/>
      <c r="N1825" s="240"/>
      <c r="O1825" s="241"/>
      <c r="P1825" s="213"/>
    </row>
    <row r="1826" spans="1:16" ht="12">
      <c r="A1826" s="83" t="s">
        <v>3405</v>
      </c>
      <c r="B1826" s="257" t="s">
        <v>3406</v>
      </c>
      <c r="C1826" s="258" t="s">
        <v>165</v>
      </c>
      <c r="D1826" s="79">
        <v>813.41</v>
      </c>
      <c r="F1826" s="79">
        <v>813.41</v>
      </c>
      <c r="G1826" s="81"/>
      <c r="N1826" s="240"/>
      <c r="O1826" s="241"/>
      <c r="P1826" s="213"/>
    </row>
    <row r="1827" spans="1:16" ht="12">
      <c r="A1827" s="83" t="s">
        <v>3407</v>
      </c>
      <c r="B1827" s="257" t="s">
        <v>3408</v>
      </c>
      <c r="C1827" s="258" t="s">
        <v>103</v>
      </c>
      <c r="D1827" s="79">
        <v>336.95</v>
      </c>
      <c r="F1827" s="79">
        <v>336.95</v>
      </c>
      <c r="G1827" s="81"/>
      <c r="N1827" s="240"/>
      <c r="O1827" s="241"/>
      <c r="P1827" s="213"/>
    </row>
    <row r="1828" spans="1:16" ht="12">
      <c r="A1828" s="83" t="s">
        <v>3409</v>
      </c>
      <c r="B1828" s="257" t="s">
        <v>3410</v>
      </c>
      <c r="C1828" s="258" t="s">
        <v>103</v>
      </c>
      <c r="D1828" s="79">
        <v>257.57</v>
      </c>
      <c r="F1828" s="79">
        <v>257.57</v>
      </c>
      <c r="G1828" s="81"/>
      <c r="N1828" s="240"/>
      <c r="O1828" s="241"/>
      <c r="P1828" s="213"/>
    </row>
    <row r="1829" spans="1:16" ht="12">
      <c r="A1829" s="83" t="s">
        <v>3411</v>
      </c>
      <c r="B1829" s="257" t="s">
        <v>3412</v>
      </c>
      <c r="C1829" s="258" t="s">
        <v>103</v>
      </c>
      <c r="D1829" s="79">
        <v>241.46</v>
      </c>
      <c r="F1829" s="79">
        <v>241.46</v>
      </c>
      <c r="G1829" s="81"/>
      <c r="N1829" s="240"/>
      <c r="O1829" s="241"/>
      <c r="P1829" s="213"/>
    </row>
    <row r="1830" spans="1:16" ht="12">
      <c r="A1830" s="83" t="s">
        <v>3413</v>
      </c>
      <c r="B1830" s="257" t="s">
        <v>3414</v>
      </c>
      <c r="C1830" s="258" t="s">
        <v>103</v>
      </c>
      <c r="D1830" s="79">
        <v>733.68</v>
      </c>
      <c r="F1830" s="79">
        <v>733.68</v>
      </c>
      <c r="G1830" s="81"/>
      <c r="N1830" s="240"/>
      <c r="O1830" s="241"/>
      <c r="P1830" s="213"/>
    </row>
    <row r="1831" spans="1:16" ht="12">
      <c r="A1831" s="83" t="s">
        <v>3415</v>
      </c>
      <c r="B1831" s="257" t="s">
        <v>3416</v>
      </c>
      <c r="C1831" s="258" t="s">
        <v>103</v>
      </c>
      <c r="D1831" s="79">
        <v>415.76</v>
      </c>
      <c r="F1831" s="79">
        <v>415.76</v>
      </c>
      <c r="G1831" s="81"/>
      <c r="N1831" s="240"/>
      <c r="O1831" s="241"/>
      <c r="P1831" s="213"/>
    </row>
    <row r="1832" spans="1:16" ht="12">
      <c r="A1832" s="83" t="s">
        <v>3417</v>
      </c>
      <c r="B1832" s="257" t="s">
        <v>3418</v>
      </c>
      <c r="C1832" s="258" t="s">
        <v>103</v>
      </c>
      <c r="D1832" s="79">
        <v>730.81</v>
      </c>
      <c r="F1832" s="79">
        <v>730.81</v>
      </c>
      <c r="G1832" s="81"/>
      <c r="N1832" s="240"/>
      <c r="O1832" s="241"/>
      <c r="P1832" s="213"/>
    </row>
    <row r="1833" spans="1:16" ht="12">
      <c r="A1833" s="83" t="s">
        <v>3419</v>
      </c>
      <c r="B1833" s="257" t="s">
        <v>3420</v>
      </c>
      <c r="C1833" s="258" t="s">
        <v>103</v>
      </c>
      <c r="D1833" s="79">
        <v>1342.58</v>
      </c>
      <c r="F1833" s="79">
        <v>1342.58</v>
      </c>
      <c r="G1833" s="81"/>
      <c r="N1833" s="240"/>
      <c r="O1833" s="241"/>
      <c r="P1833" s="213"/>
    </row>
    <row r="1834" spans="1:16" ht="12">
      <c r="A1834" s="63" t="s">
        <v>3421</v>
      </c>
      <c r="B1834" s="64" t="s">
        <v>3422</v>
      </c>
      <c r="C1834" s="258" t="s">
        <v>103</v>
      </c>
      <c r="D1834" s="79">
        <v>2225.96</v>
      </c>
      <c r="F1834" s="79">
        <v>2225.96</v>
      </c>
      <c r="G1834" s="81"/>
      <c r="N1834" s="61"/>
      <c r="O1834" s="241"/>
      <c r="P1834" s="213"/>
    </row>
    <row r="1835" spans="1:16" ht="12">
      <c r="A1835" s="83" t="s">
        <v>3423</v>
      </c>
      <c r="B1835" s="257" t="s">
        <v>3424</v>
      </c>
      <c r="C1835" s="258" t="s">
        <v>165</v>
      </c>
      <c r="D1835" s="79">
        <v>2512.58</v>
      </c>
      <c r="F1835" s="79">
        <v>2512.58</v>
      </c>
      <c r="G1835" s="81"/>
      <c r="N1835" s="240"/>
      <c r="O1835" s="241"/>
      <c r="P1835" s="213"/>
    </row>
    <row r="1836" spans="1:16" ht="24">
      <c r="A1836" s="83" t="s">
        <v>3425</v>
      </c>
      <c r="B1836" s="257" t="s">
        <v>3426</v>
      </c>
      <c r="C1836" s="258" t="s">
        <v>103</v>
      </c>
      <c r="D1836" s="79">
        <v>407.77</v>
      </c>
      <c r="F1836" s="79">
        <v>407.77</v>
      </c>
      <c r="G1836" s="81"/>
      <c r="N1836" s="240"/>
      <c r="O1836" s="241"/>
      <c r="P1836" s="213"/>
    </row>
    <row r="1837" spans="1:16" ht="12">
      <c r="A1837" s="83" t="s">
        <v>3427</v>
      </c>
      <c r="B1837" s="257" t="s">
        <v>3428</v>
      </c>
      <c r="C1837" s="258" t="s">
        <v>103</v>
      </c>
      <c r="D1837" s="79">
        <v>661.24</v>
      </c>
      <c r="F1837" s="79">
        <v>661.24</v>
      </c>
      <c r="G1837" s="81"/>
      <c r="N1837" s="240"/>
      <c r="O1837" s="241"/>
      <c r="P1837" s="213"/>
    </row>
    <row r="1838" spans="1:16" ht="12">
      <c r="A1838" s="83" t="s">
        <v>3429</v>
      </c>
      <c r="B1838" s="257" t="s">
        <v>3430</v>
      </c>
      <c r="C1838" s="258" t="s">
        <v>103</v>
      </c>
      <c r="D1838" s="79">
        <v>1609.84</v>
      </c>
      <c r="F1838" s="79">
        <v>1609.84</v>
      </c>
      <c r="G1838" s="81"/>
      <c r="N1838" s="240"/>
      <c r="O1838" s="241"/>
      <c r="P1838" s="213"/>
    </row>
    <row r="1839" spans="1:16" ht="12">
      <c r="A1839" s="67" t="s">
        <v>3431</v>
      </c>
      <c r="B1839" s="65" t="s">
        <v>3432</v>
      </c>
      <c r="C1839" s="71" t="s">
        <v>103</v>
      </c>
      <c r="D1839" s="79">
        <v>1087.3599999999999</v>
      </c>
      <c r="F1839" s="79">
        <v>1087.3599999999999</v>
      </c>
      <c r="G1839" s="81"/>
      <c r="N1839" s="133"/>
      <c r="O1839" s="241"/>
      <c r="P1839" s="213"/>
    </row>
    <row r="1840" spans="1:16" ht="24">
      <c r="A1840" s="67" t="s">
        <v>3433</v>
      </c>
      <c r="B1840" s="65" t="s">
        <v>3434</v>
      </c>
      <c r="C1840" s="71" t="s">
        <v>103</v>
      </c>
      <c r="D1840" s="79">
        <v>4764.9399999999996</v>
      </c>
      <c r="F1840" s="79">
        <v>4764.9399999999996</v>
      </c>
      <c r="G1840" s="81"/>
      <c r="N1840" s="133"/>
      <c r="O1840" s="241"/>
      <c r="P1840" s="213"/>
    </row>
    <row r="1841" spans="1:16" ht="24">
      <c r="A1841" s="63" t="s">
        <v>3435</v>
      </c>
      <c r="B1841" s="257" t="s">
        <v>3436</v>
      </c>
      <c r="C1841" s="258" t="s">
        <v>103</v>
      </c>
      <c r="D1841" s="79">
        <v>190.76</v>
      </c>
      <c r="F1841" s="79">
        <v>190.76</v>
      </c>
      <c r="G1841" s="81"/>
      <c r="N1841" s="61"/>
      <c r="O1841" s="241"/>
      <c r="P1841" s="213"/>
    </row>
    <row r="1842" spans="1:16" ht="12">
      <c r="A1842" s="63" t="s">
        <v>3437</v>
      </c>
      <c r="B1842" s="257" t="s">
        <v>28179</v>
      </c>
      <c r="C1842" s="258" t="s">
        <v>165</v>
      </c>
      <c r="D1842" s="79">
        <v>1127.77</v>
      </c>
      <c r="F1842" s="79">
        <v>1127.77</v>
      </c>
      <c r="G1842" s="81"/>
      <c r="N1842" s="61"/>
      <c r="O1842" s="241"/>
      <c r="P1842" s="213"/>
    </row>
    <row r="1843" spans="1:16" ht="12">
      <c r="A1843" s="63" t="s">
        <v>3438</v>
      </c>
      <c r="B1843" s="257" t="s">
        <v>28180</v>
      </c>
      <c r="C1843" s="258" t="s">
        <v>165</v>
      </c>
      <c r="D1843" s="79">
        <v>1062.03</v>
      </c>
      <c r="F1843" s="79">
        <v>1062.03</v>
      </c>
      <c r="G1843" s="81"/>
      <c r="N1843" s="61"/>
      <c r="O1843" s="241"/>
      <c r="P1843" s="213"/>
    </row>
    <row r="1844" spans="1:16" ht="12">
      <c r="A1844" s="83" t="s">
        <v>3439</v>
      </c>
      <c r="B1844" s="257" t="s">
        <v>39284</v>
      </c>
      <c r="C1844" s="258" t="s">
        <v>165</v>
      </c>
      <c r="D1844" s="79">
        <v>2273.54</v>
      </c>
      <c r="F1844" s="79">
        <v>2273.54</v>
      </c>
      <c r="G1844" s="81"/>
      <c r="N1844" s="240"/>
      <c r="O1844" s="241"/>
      <c r="P1844" s="213"/>
    </row>
    <row r="1845" spans="1:16" ht="12">
      <c r="A1845" s="83" t="s">
        <v>3440</v>
      </c>
      <c r="B1845" s="257" t="s">
        <v>3441</v>
      </c>
      <c r="C1845" s="258" t="s">
        <v>103</v>
      </c>
      <c r="D1845" s="79">
        <v>1012.92</v>
      </c>
      <c r="F1845" s="79">
        <v>1012.92</v>
      </c>
      <c r="G1845" s="81"/>
      <c r="N1845" s="240"/>
      <c r="O1845" s="241"/>
      <c r="P1845" s="213"/>
    </row>
    <row r="1846" spans="1:16" ht="12">
      <c r="A1846" s="83" t="s">
        <v>3442</v>
      </c>
      <c r="B1846" s="257" t="s">
        <v>3443</v>
      </c>
      <c r="C1846" s="258" t="s">
        <v>103</v>
      </c>
      <c r="D1846" s="79">
        <v>6184.51</v>
      </c>
      <c r="F1846" s="79">
        <v>6184.51</v>
      </c>
      <c r="G1846" s="81"/>
      <c r="N1846" s="240"/>
      <c r="O1846" s="241"/>
      <c r="P1846" s="213"/>
    </row>
    <row r="1847" spans="1:16" ht="12">
      <c r="A1847" s="63" t="s">
        <v>3444</v>
      </c>
      <c r="B1847" s="257" t="s">
        <v>3445</v>
      </c>
      <c r="C1847" s="258" t="s">
        <v>103</v>
      </c>
      <c r="D1847" s="79">
        <v>180.37</v>
      </c>
      <c r="F1847" s="79">
        <v>180.37</v>
      </c>
      <c r="G1847" s="81"/>
      <c r="N1847" s="61"/>
      <c r="O1847" s="241"/>
      <c r="P1847" s="213"/>
    </row>
    <row r="1848" spans="1:16" ht="24">
      <c r="A1848" s="83" t="s">
        <v>3446</v>
      </c>
      <c r="B1848" s="257" t="s">
        <v>3447</v>
      </c>
      <c r="C1848" s="258" t="s">
        <v>103</v>
      </c>
      <c r="D1848" s="79">
        <v>1025.98</v>
      </c>
      <c r="F1848" s="79">
        <v>1025.98</v>
      </c>
      <c r="G1848" s="81"/>
      <c r="N1848" s="240"/>
      <c r="O1848" s="241"/>
      <c r="P1848" s="213"/>
    </row>
    <row r="1849" spans="1:16" ht="12">
      <c r="A1849" s="83" t="s">
        <v>3448</v>
      </c>
      <c r="B1849" s="257" t="s">
        <v>3449</v>
      </c>
      <c r="C1849" s="258" t="s">
        <v>103</v>
      </c>
      <c r="D1849" s="79">
        <v>2224.02</v>
      </c>
      <c r="F1849" s="79">
        <v>2224.02</v>
      </c>
      <c r="G1849" s="81"/>
      <c r="N1849" s="240"/>
      <c r="O1849" s="241"/>
      <c r="P1849" s="213"/>
    </row>
    <row r="1850" spans="1:16" ht="12">
      <c r="A1850" s="83" t="s">
        <v>3450</v>
      </c>
      <c r="B1850" s="257" t="s">
        <v>3451</v>
      </c>
      <c r="C1850" s="258" t="s">
        <v>103</v>
      </c>
      <c r="D1850" s="79">
        <v>118.07</v>
      </c>
      <c r="F1850" s="79">
        <v>118.07</v>
      </c>
      <c r="G1850" s="81"/>
      <c r="N1850" s="240"/>
      <c r="O1850" s="241"/>
      <c r="P1850" s="213"/>
    </row>
    <row r="1851" spans="1:16" ht="12">
      <c r="A1851" s="83" t="s">
        <v>3452</v>
      </c>
      <c r="B1851" s="257" t="s">
        <v>3453</v>
      </c>
      <c r="C1851" s="258" t="s">
        <v>103</v>
      </c>
      <c r="D1851" s="79">
        <v>82.81</v>
      </c>
      <c r="F1851" s="79">
        <v>82.81</v>
      </c>
      <c r="G1851" s="81"/>
      <c r="N1851" s="240"/>
      <c r="O1851" s="241"/>
      <c r="P1851" s="213"/>
    </row>
    <row r="1852" spans="1:16" ht="12">
      <c r="A1852" s="83" t="s">
        <v>3454</v>
      </c>
      <c r="B1852" s="257" t="s">
        <v>3455</v>
      </c>
      <c r="C1852" s="258" t="s">
        <v>103</v>
      </c>
      <c r="D1852" s="79">
        <v>18.670000000000002</v>
      </c>
      <c r="F1852" s="79">
        <v>18.670000000000002</v>
      </c>
      <c r="G1852" s="81"/>
      <c r="N1852" s="240"/>
      <c r="O1852" s="241"/>
      <c r="P1852" s="213"/>
    </row>
    <row r="1853" spans="1:16" ht="12">
      <c r="A1853" s="63" t="s">
        <v>3456</v>
      </c>
      <c r="B1853" s="65" t="s">
        <v>3457</v>
      </c>
      <c r="C1853" s="258" t="s">
        <v>103</v>
      </c>
      <c r="D1853" s="79">
        <v>7757.53</v>
      </c>
      <c r="F1853" s="79">
        <v>7757.53</v>
      </c>
      <c r="G1853" s="81"/>
      <c r="N1853" s="61"/>
      <c r="O1853" s="241"/>
      <c r="P1853" s="213"/>
    </row>
    <row r="1854" spans="1:16" ht="24">
      <c r="A1854" s="83" t="s">
        <v>3458</v>
      </c>
      <c r="B1854" s="257" t="s">
        <v>39285</v>
      </c>
      <c r="C1854" s="258" t="s">
        <v>103</v>
      </c>
      <c r="D1854" s="79">
        <v>395.68</v>
      </c>
      <c r="F1854" s="79">
        <v>395.68</v>
      </c>
      <c r="G1854" s="81"/>
      <c r="N1854" s="240"/>
      <c r="O1854" s="241"/>
      <c r="P1854" s="213"/>
    </row>
    <row r="1855" spans="1:16" ht="24">
      <c r="A1855" s="83" t="s">
        <v>40880</v>
      </c>
      <c r="B1855" s="257" t="s">
        <v>40881</v>
      </c>
      <c r="C1855" s="258" t="s">
        <v>103</v>
      </c>
      <c r="D1855" s="79">
        <v>144.78</v>
      </c>
      <c r="F1855" s="79">
        <v>144.78</v>
      </c>
      <c r="G1855" s="81"/>
      <c r="N1855" s="240"/>
      <c r="O1855" s="241"/>
      <c r="P1855" s="213"/>
    </row>
    <row r="1856" spans="1:16" ht="12">
      <c r="A1856" s="83" t="s">
        <v>3459</v>
      </c>
      <c r="B1856" s="257" t="s">
        <v>3460</v>
      </c>
      <c r="C1856" s="258" t="s">
        <v>103</v>
      </c>
      <c r="D1856" s="79">
        <v>64.89</v>
      </c>
      <c r="F1856" s="79">
        <v>64.89</v>
      </c>
      <c r="G1856" s="81"/>
      <c r="N1856" s="240"/>
      <c r="O1856" s="241"/>
      <c r="P1856" s="213"/>
    </row>
    <row r="1857" spans="1:16" ht="12">
      <c r="A1857" s="83" t="s">
        <v>3461</v>
      </c>
      <c r="B1857" s="257" t="s">
        <v>3462</v>
      </c>
      <c r="C1857" s="258" t="s">
        <v>103</v>
      </c>
      <c r="D1857" s="79">
        <v>161.55000000000001</v>
      </c>
      <c r="F1857" s="79">
        <v>161.55000000000001</v>
      </c>
      <c r="G1857" s="81"/>
      <c r="N1857" s="240"/>
      <c r="O1857" s="241"/>
      <c r="P1857" s="213"/>
    </row>
    <row r="1858" spans="1:16" ht="12">
      <c r="A1858" s="83" t="s">
        <v>3463</v>
      </c>
      <c r="B1858" s="257" t="s">
        <v>3464</v>
      </c>
      <c r="C1858" s="258" t="s">
        <v>103</v>
      </c>
      <c r="D1858" s="79">
        <v>181.31</v>
      </c>
      <c r="F1858" s="79">
        <v>181.31</v>
      </c>
      <c r="G1858" s="81"/>
      <c r="N1858" s="240"/>
      <c r="O1858" s="241"/>
      <c r="P1858" s="213"/>
    </row>
    <row r="1859" spans="1:16" ht="12">
      <c r="A1859" s="83" t="s">
        <v>3465</v>
      </c>
      <c r="B1859" s="257" t="s">
        <v>3466</v>
      </c>
      <c r="C1859" s="258" t="s">
        <v>103</v>
      </c>
      <c r="D1859" s="79">
        <v>1555.78</v>
      </c>
      <c r="F1859" s="79">
        <v>1555.78</v>
      </c>
      <c r="G1859" s="81"/>
      <c r="N1859" s="240"/>
      <c r="O1859" s="241"/>
      <c r="P1859" s="213"/>
    </row>
    <row r="1860" spans="1:16" ht="12">
      <c r="A1860" s="83" t="s">
        <v>3467</v>
      </c>
      <c r="B1860" s="257" t="s">
        <v>3468</v>
      </c>
      <c r="C1860" s="258" t="s">
        <v>103</v>
      </c>
      <c r="D1860" s="79">
        <v>222.72</v>
      </c>
      <c r="F1860" s="79">
        <v>222.72</v>
      </c>
      <c r="G1860" s="81"/>
      <c r="N1860" s="240"/>
      <c r="O1860" s="241"/>
      <c r="P1860" s="213"/>
    </row>
    <row r="1861" spans="1:16" ht="12">
      <c r="A1861" s="83" t="s">
        <v>3469</v>
      </c>
      <c r="B1861" s="257" t="s">
        <v>3470</v>
      </c>
      <c r="C1861" s="258" t="s">
        <v>103</v>
      </c>
      <c r="D1861" s="79">
        <v>258.88</v>
      </c>
      <c r="F1861" s="79">
        <v>258.88</v>
      </c>
      <c r="G1861" s="81"/>
      <c r="N1861" s="240"/>
      <c r="O1861" s="241"/>
      <c r="P1861" s="213"/>
    </row>
    <row r="1862" spans="1:16" ht="24">
      <c r="A1862" s="256" t="s">
        <v>3471</v>
      </c>
      <c r="B1862" s="274" t="s">
        <v>3472</v>
      </c>
      <c r="C1862" s="262" t="s">
        <v>103</v>
      </c>
      <c r="D1862" s="79">
        <v>1670.55</v>
      </c>
      <c r="F1862" s="522">
        <v>1670.55</v>
      </c>
    </row>
    <row r="1863" spans="1:16" ht="24">
      <c r="A1863" s="83" t="s">
        <v>3473</v>
      </c>
      <c r="B1863" s="257" t="s">
        <v>3474</v>
      </c>
      <c r="C1863" s="258" t="s">
        <v>103</v>
      </c>
      <c r="D1863" s="79">
        <v>364.11</v>
      </c>
      <c r="F1863" s="79">
        <v>364.11</v>
      </c>
      <c r="G1863" s="81"/>
      <c r="N1863" s="240"/>
      <c r="O1863" s="241"/>
      <c r="P1863" s="213"/>
    </row>
    <row r="1864" spans="1:16" ht="24">
      <c r="A1864" s="83" t="s">
        <v>3475</v>
      </c>
      <c r="B1864" s="257" t="s">
        <v>3476</v>
      </c>
      <c r="C1864" s="258" t="s">
        <v>165</v>
      </c>
      <c r="D1864" s="79">
        <v>18.37</v>
      </c>
      <c r="F1864" s="79">
        <v>18.37</v>
      </c>
      <c r="G1864" s="81"/>
      <c r="N1864" s="240"/>
      <c r="O1864" s="241"/>
      <c r="P1864" s="213"/>
    </row>
    <row r="1865" spans="1:16" ht="24">
      <c r="A1865" s="83" t="s">
        <v>3477</v>
      </c>
      <c r="B1865" s="257" t="s">
        <v>3478</v>
      </c>
      <c r="C1865" s="258" t="s">
        <v>165</v>
      </c>
      <c r="D1865" s="79">
        <v>28.15</v>
      </c>
      <c r="F1865" s="79">
        <v>28.15</v>
      </c>
      <c r="G1865" s="81"/>
      <c r="N1865" s="240"/>
      <c r="O1865" s="241"/>
      <c r="P1865" s="213"/>
    </row>
    <row r="1866" spans="1:16" ht="24">
      <c r="A1866" s="83" t="s">
        <v>3479</v>
      </c>
      <c r="B1866" s="257" t="s">
        <v>3480</v>
      </c>
      <c r="C1866" s="258" t="s">
        <v>103</v>
      </c>
      <c r="D1866" s="79">
        <v>598.42999999999995</v>
      </c>
      <c r="F1866" s="79">
        <v>598.42999999999995</v>
      </c>
      <c r="G1866" s="81"/>
      <c r="N1866" s="240"/>
      <c r="O1866" s="241"/>
      <c r="P1866" s="213"/>
    </row>
    <row r="1867" spans="1:16" ht="12">
      <c r="A1867" s="83" t="s">
        <v>3481</v>
      </c>
      <c r="B1867" s="257" t="s">
        <v>3482</v>
      </c>
      <c r="C1867" s="258" t="s">
        <v>103</v>
      </c>
      <c r="D1867" s="79">
        <v>88.52</v>
      </c>
      <c r="F1867" s="79">
        <v>88.52</v>
      </c>
      <c r="G1867" s="81"/>
      <c r="N1867" s="240"/>
      <c r="O1867" s="241"/>
      <c r="P1867" s="213"/>
    </row>
    <row r="1868" spans="1:16" ht="24">
      <c r="A1868" s="83" t="s">
        <v>3483</v>
      </c>
      <c r="B1868" s="257" t="s">
        <v>3484</v>
      </c>
      <c r="C1868" s="258" t="s">
        <v>103</v>
      </c>
      <c r="D1868" s="79">
        <v>173.88</v>
      </c>
      <c r="F1868" s="79">
        <v>173.88</v>
      </c>
      <c r="G1868" s="81"/>
      <c r="N1868" s="240"/>
      <c r="O1868" s="241"/>
      <c r="P1868" s="213"/>
    </row>
    <row r="1869" spans="1:16" ht="12">
      <c r="A1869" s="83" t="s">
        <v>3485</v>
      </c>
      <c r="B1869" s="257" t="s">
        <v>3486</v>
      </c>
      <c r="C1869" s="258" t="s">
        <v>207</v>
      </c>
      <c r="D1869" s="79">
        <v>8.39</v>
      </c>
      <c r="F1869" s="79">
        <v>8.39</v>
      </c>
      <c r="G1869" s="81"/>
      <c r="N1869" s="240"/>
      <c r="O1869" s="241"/>
      <c r="P1869" s="213"/>
    </row>
    <row r="1870" spans="1:16" ht="12">
      <c r="A1870" s="83" t="s">
        <v>3487</v>
      </c>
      <c r="B1870" s="257" t="s">
        <v>3488</v>
      </c>
      <c r="C1870" s="258" t="s">
        <v>207</v>
      </c>
      <c r="D1870" s="79">
        <v>13.78</v>
      </c>
      <c r="F1870" s="79">
        <v>13.78</v>
      </c>
      <c r="G1870" s="81"/>
      <c r="N1870" s="240"/>
      <c r="O1870" s="241"/>
      <c r="P1870" s="213"/>
    </row>
    <row r="1871" spans="1:16" ht="12">
      <c r="A1871" s="83" t="s">
        <v>3489</v>
      </c>
      <c r="B1871" s="257" t="s">
        <v>3490</v>
      </c>
      <c r="C1871" s="258" t="s">
        <v>153</v>
      </c>
      <c r="D1871" s="79">
        <v>2.5499999999999998</v>
      </c>
      <c r="F1871" s="79">
        <v>2.5499999999999998</v>
      </c>
      <c r="G1871" s="81"/>
      <c r="N1871" s="240"/>
      <c r="O1871" s="241"/>
      <c r="P1871" s="213"/>
    </row>
    <row r="1872" spans="1:16" ht="12">
      <c r="A1872" s="83" t="s">
        <v>3491</v>
      </c>
      <c r="B1872" s="257" t="s">
        <v>3492</v>
      </c>
      <c r="C1872" s="258" t="s">
        <v>103</v>
      </c>
      <c r="D1872" s="79">
        <v>36.18</v>
      </c>
      <c r="F1872" s="79">
        <v>36.18</v>
      </c>
      <c r="G1872" s="81"/>
      <c r="N1872" s="240"/>
      <c r="O1872" s="241"/>
      <c r="P1872" s="213"/>
    </row>
    <row r="1873" spans="1:16" ht="12">
      <c r="A1873" s="83" t="s">
        <v>3493</v>
      </c>
      <c r="B1873" s="257" t="s">
        <v>3494</v>
      </c>
      <c r="C1873" s="258" t="s">
        <v>103</v>
      </c>
      <c r="D1873" s="79">
        <v>29.58</v>
      </c>
      <c r="F1873" s="79">
        <v>29.58</v>
      </c>
      <c r="G1873" s="81"/>
      <c r="N1873" s="240"/>
      <c r="O1873" s="241"/>
      <c r="P1873" s="213"/>
    </row>
    <row r="1874" spans="1:16" ht="12">
      <c r="A1874" s="83" t="s">
        <v>3495</v>
      </c>
      <c r="B1874" s="257" t="s">
        <v>3496</v>
      </c>
      <c r="C1874" s="258" t="s">
        <v>103</v>
      </c>
      <c r="D1874" s="79">
        <v>239.85</v>
      </c>
      <c r="F1874" s="79">
        <v>239.85</v>
      </c>
      <c r="G1874" s="81"/>
      <c r="N1874" s="240"/>
      <c r="O1874" s="241"/>
      <c r="P1874" s="213"/>
    </row>
    <row r="1875" spans="1:16" ht="12">
      <c r="A1875" s="83" t="s">
        <v>3497</v>
      </c>
      <c r="B1875" s="257" t="s">
        <v>3498</v>
      </c>
      <c r="C1875" s="258" t="s">
        <v>103</v>
      </c>
      <c r="D1875" s="79">
        <v>5756.45</v>
      </c>
      <c r="F1875" s="79">
        <v>5756.45</v>
      </c>
      <c r="G1875" s="81"/>
      <c r="N1875" s="240"/>
      <c r="O1875" s="241"/>
      <c r="P1875" s="213"/>
    </row>
    <row r="1876" spans="1:16" ht="24">
      <c r="A1876" s="83" t="s">
        <v>3499</v>
      </c>
      <c r="B1876" s="257" t="s">
        <v>3500</v>
      </c>
      <c r="C1876" s="258" t="s">
        <v>103</v>
      </c>
      <c r="D1876" s="79">
        <v>160.99</v>
      </c>
      <c r="F1876" s="79">
        <v>160.99</v>
      </c>
      <c r="G1876" s="81"/>
      <c r="N1876" s="240"/>
      <c r="O1876" s="241"/>
      <c r="P1876" s="213"/>
    </row>
    <row r="1877" spans="1:16" ht="24">
      <c r="A1877" s="83" t="s">
        <v>3501</v>
      </c>
      <c r="B1877" s="257" t="s">
        <v>3502</v>
      </c>
      <c r="C1877" s="258" t="s">
        <v>103</v>
      </c>
      <c r="D1877" s="79">
        <v>225.24</v>
      </c>
      <c r="F1877" s="79">
        <v>225.24</v>
      </c>
      <c r="G1877" s="81"/>
      <c r="N1877" s="240"/>
      <c r="O1877" s="241"/>
      <c r="P1877" s="213"/>
    </row>
    <row r="1878" spans="1:16" ht="24">
      <c r="A1878" s="83" t="s">
        <v>3503</v>
      </c>
      <c r="B1878" s="257" t="s">
        <v>42070</v>
      </c>
      <c r="C1878" s="258" t="s">
        <v>103</v>
      </c>
      <c r="D1878" s="79">
        <v>29.32</v>
      </c>
      <c r="F1878" s="79">
        <v>29.32</v>
      </c>
      <c r="G1878" s="81"/>
      <c r="N1878" s="240"/>
      <c r="O1878" s="241"/>
      <c r="P1878" s="213"/>
    </row>
    <row r="1879" spans="1:16" ht="12">
      <c r="A1879" s="83" t="s">
        <v>3504</v>
      </c>
      <c r="B1879" s="257" t="s">
        <v>3505</v>
      </c>
      <c r="C1879" s="258" t="s">
        <v>103</v>
      </c>
      <c r="D1879" s="79">
        <v>627.65</v>
      </c>
      <c r="F1879" s="79">
        <v>627.65</v>
      </c>
      <c r="G1879" s="81"/>
      <c r="N1879" s="240"/>
      <c r="O1879" s="241"/>
      <c r="P1879" s="213"/>
    </row>
    <row r="1880" spans="1:16" ht="24">
      <c r="A1880" s="83" t="s">
        <v>3506</v>
      </c>
      <c r="B1880" s="257" t="s">
        <v>3507</v>
      </c>
      <c r="C1880" s="258" t="s">
        <v>103</v>
      </c>
      <c r="D1880" s="79">
        <v>225.84</v>
      </c>
      <c r="F1880" s="79">
        <v>225.84</v>
      </c>
      <c r="G1880" s="81"/>
      <c r="N1880" s="240"/>
      <c r="O1880" s="241"/>
      <c r="P1880" s="213"/>
    </row>
    <row r="1881" spans="1:16" ht="24">
      <c r="A1881" s="83" t="s">
        <v>3508</v>
      </c>
      <c r="B1881" s="257" t="s">
        <v>3509</v>
      </c>
      <c r="C1881" s="258" t="s">
        <v>103</v>
      </c>
      <c r="D1881" s="79">
        <v>296.26</v>
      </c>
      <c r="F1881" s="79">
        <v>296.26</v>
      </c>
      <c r="G1881" s="81"/>
      <c r="N1881" s="240"/>
      <c r="O1881" s="241"/>
      <c r="P1881" s="213"/>
    </row>
    <row r="1882" spans="1:16" ht="24">
      <c r="A1882" s="83" t="s">
        <v>3510</v>
      </c>
      <c r="B1882" s="257" t="s">
        <v>3511</v>
      </c>
      <c r="C1882" s="258" t="s">
        <v>103</v>
      </c>
      <c r="D1882" s="79">
        <v>79.78</v>
      </c>
      <c r="F1882" s="79">
        <v>79.78</v>
      </c>
      <c r="G1882" s="81"/>
      <c r="N1882" s="240"/>
      <c r="O1882" s="241"/>
      <c r="P1882" s="213"/>
    </row>
    <row r="1883" spans="1:16" ht="24">
      <c r="A1883" s="83" t="s">
        <v>3512</v>
      </c>
      <c r="B1883" s="257" t="s">
        <v>42071</v>
      </c>
      <c r="C1883" s="258" t="s">
        <v>103</v>
      </c>
      <c r="D1883" s="79">
        <v>27.25</v>
      </c>
      <c r="F1883" s="79">
        <v>27.25</v>
      </c>
      <c r="G1883" s="81"/>
      <c r="N1883" s="240"/>
      <c r="O1883" s="241"/>
      <c r="P1883" s="213"/>
    </row>
    <row r="1884" spans="1:16" ht="36">
      <c r="A1884" s="83" t="s">
        <v>3513</v>
      </c>
      <c r="B1884" s="257" t="s">
        <v>3514</v>
      </c>
      <c r="C1884" s="258" t="s">
        <v>103</v>
      </c>
      <c r="D1884" s="79">
        <v>490.56</v>
      </c>
      <c r="F1884" s="79">
        <v>490.56</v>
      </c>
      <c r="G1884" s="81"/>
      <c r="N1884" s="240"/>
      <c r="O1884" s="241"/>
      <c r="P1884" s="213"/>
    </row>
    <row r="1885" spans="1:16" ht="24">
      <c r="A1885" s="83" t="s">
        <v>3515</v>
      </c>
      <c r="B1885" s="257" t="s">
        <v>28181</v>
      </c>
      <c r="C1885" s="258" t="s">
        <v>103</v>
      </c>
      <c r="D1885" s="79">
        <v>211.28</v>
      </c>
      <c r="F1885" s="79">
        <v>211.28</v>
      </c>
      <c r="G1885" s="81"/>
      <c r="N1885" s="240"/>
      <c r="O1885" s="241"/>
      <c r="P1885" s="213"/>
    </row>
    <row r="1886" spans="1:16" ht="24">
      <c r="A1886" s="83" t="s">
        <v>3516</v>
      </c>
      <c r="B1886" s="257" t="s">
        <v>3517</v>
      </c>
      <c r="C1886" s="258" t="s">
        <v>103</v>
      </c>
      <c r="D1886" s="79">
        <v>40566.69</v>
      </c>
      <c r="F1886" s="79">
        <v>40566.69</v>
      </c>
      <c r="G1886" s="81"/>
      <c r="N1886" s="240"/>
      <c r="O1886" s="241"/>
      <c r="P1886" s="213"/>
    </row>
    <row r="1887" spans="1:16" ht="24">
      <c r="A1887" s="83" t="s">
        <v>3518</v>
      </c>
      <c r="B1887" s="257" t="s">
        <v>3519</v>
      </c>
      <c r="C1887" s="258" t="s">
        <v>103</v>
      </c>
      <c r="D1887" s="79">
        <v>48738.6</v>
      </c>
      <c r="F1887" s="79">
        <v>48738.6</v>
      </c>
      <c r="G1887" s="81"/>
      <c r="N1887" s="240"/>
      <c r="O1887" s="241"/>
      <c r="P1887" s="213"/>
    </row>
    <row r="1888" spans="1:16" ht="24">
      <c r="A1888" s="83" t="s">
        <v>41606</v>
      </c>
      <c r="B1888" s="257" t="s">
        <v>41607</v>
      </c>
      <c r="C1888" s="258" t="s">
        <v>396</v>
      </c>
      <c r="D1888" s="79">
        <v>6509.69</v>
      </c>
      <c r="F1888" s="79">
        <v>6509.69</v>
      </c>
      <c r="G1888" s="81"/>
      <c r="N1888" s="240"/>
      <c r="O1888" s="241"/>
      <c r="P1888" s="213"/>
    </row>
    <row r="1889" spans="1:16" ht="12">
      <c r="A1889" s="256" t="s">
        <v>42072</v>
      </c>
      <c r="B1889" s="64" t="s">
        <v>42073</v>
      </c>
      <c r="C1889" s="71" t="s">
        <v>103</v>
      </c>
      <c r="D1889" s="79">
        <v>1440.94</v>
      </c>
      <c r="F1889" s="256">
        <v>1440.94</v>
      </c>
    </row>
    <row r="1890" spans="1:16" ht="12">
      <c r="A1890" s="256" t="s">
        <v>42074</v>
      </c>
      <c r="B1890" s="64" t="s">
        <v>42075</v>
      </c>
      <c r="C1890" s="71" t="s">
        <v>103</v>
      </c>
      <c r="D1890" s="79">
        <v>2236.71</v>
      </c>
      <c r="F1890" s="256">
        <v>2236.71</v>
      </c>
    </row>
    <row r="1891" spans="1:16" ht="12">
      <c r="A1891" s="256" t="s">
        <v>42076</v>
      </c>
      <c r="B1891" s="64" t="s">
        <v>42077</v>
      </c>
      <c r="C1891" s="71" t="s">
        <v>103</v>
      </c>
      <c r="D1891" s="79">
        <v>1426.01</v>
      </c>
      <c r="F1891" s="256">
        <v>1426.01</v>
      </c>
    </row>
    <row r="1892" spans="1:16" ht="12">
      <c r="A1892" s="256" t="s">
        <v>42078</v>
      </c>
      <c r="B1892" s="64" t="s">
        <v>42079</v>
      </c>
      <c r="C1892" s="71" t="s">
        <v>103</v>
      </c>
      <c r="D1892" s="79">
        <v>2310.5700000000002</v>
      </c>
      <c r="F1892" s="256">
        <v>2310.5700000000002</v>
      </c>
    </row>
    <row r="1893" spans="1:16" ht="12">
      <c r="A1893" s="83" t="s">
        <v>3520</v>
      </c>
      <c r="B1893" s="64" t="s">
        <v>3521</v>
      </c>
      <c r="C1893" s="134" t="s">
        <v>103</v>
      </c>
      <c r="D1893" s="79">
        <v>1283.31</v>
      </c>
      <c r="F1893" s="79">
        <v>1283.31</v>
      </c>
      <c r="G1893" s="81"/>
      <c r="N1893" s="240"/>
      <c r="O1893" s="241"/>
      <c r="P1893" s="213"/>
    </row>
    <row r="1894" spans="1:16" ht="12">
      <c r="A1894" s="83" t="s">
        <v>3522</v>
      </c>
      <c r="B1894" s="64" t="s">
        <v>3523</v>
      </c>
      <c r="C1894" s="134" t="s">
        <v>103</v>
      </c>
      <c r="D1894" s="79">
        <v>1871.16</v>
      </c>
      <c r="F1894" s="79">
        <v>1871.16</v>
      </c>
      <c r="G1894" s="81"/>
      <c r="N1894" s="240"/>
      <c r="O1894" s="241"/>
      <c r="P1894" s="213"/>
    </row>
    <row r="1895" spans="1:16" ht="24">
      <c r="A1895" s="63" t="s">
        <v>3524</v>
      </c>
      <c r="B1895" s="64" t="s">
        <v>28182</v>
      </c>
      <c r="C1895" s="71" t="s">
        <v>103</v>
      </c>
      <c r="D1895" s="79">
        <v>206.79</v>
      </c>
      <c r="F1895" s="79">
        <v>206.79</v>
      </c>
      <c r="G1895" s="81"/>
      <c r="N1895" s="61"/>
      <c r="O1895" s="241"/>
      <c r="P1895" s="213"/>
    </row>
    <row r="1896" spans="1:16" ht="12">
      <c r="A1896" s="63" t="s">
        <v>3525</v>
      </c>
      <c r="B1896" s="64" t="s">
        <v>3526</v>
      </c>
      <c r="C1896" s="71" t="s">
        <v>103</v>
      </c>
      <c r="D1896" s="79">
        <v>638.25</v>
      </c>
      <c r="F1896" s="79">
        <v>638.25</v>
      </c>
      <c r="G1896" s="81"/>
      <c r="N1896" s="61"/>
      <c r="O1896" s="241"/>
      <c r="P1896" s="213"/>
    </row>
    <row r="1897" spans="1:16" ht="24">
      <c r="A1897" s="67" t="s">
        <v>3527</v>
      </c>
      <c r="B1897" s="65" t="s">
        <v>3528</v>
      </c>
      <c r="C1897" s="71" t="s">
        <v>103</v>
      </c>
      <c r="D1897" s="79">
        <v>3359.96</v>
      </c>
      <c r="F1897" s="79">
        <v>3359.96</v>
      </c>
      <c r="G1897" s="81"/>
      <c r="N1897" s="133"/>
      <c r="O1897" s="241"/>
      <c r="P1897" s="213"/>
    </row>
    <row r="1898" spans="1:16" ht="36">
      <c r="A1898" s="83" t="s">
        <v>3529</v>
      </c>
      <c r="B1898" s="257" t="s">
        <v>3530</v>
      </c>
      <c r="C1898" s="258" t="s">
        <v>103</v>
      </c>
      <c r="D1898" s="79">
        <v>13689.1</v>
      </c>
      <c r="F1898" s="79">
        <v>13689.1</v>
      </c>
      <c r="G1898" s="81"/>
      <c r="N1898" s="240"/>
      <c r="O1898" s="241"/>
      <c r="P1898" s="213"/>
    </row>
    <row r="1899" spans="1:16" ht="24">
      <c r="A1899" s="256" t="s">
        <v>3531</v>
      </c>
      <c r="B1899" s="274" t="s">
        <v>3532</v>
      </c>
      <c r="C1899" s="262" t="s">
        <v>103</v>
      </c>
      <c r="D1899" s="79">
        <v>591.45000000000005</v>
      </c>
      <c r="F1899" s="522">
        <v>591.45000000000005</v>
      </c>
    </row>
    <row r="1900" spans="1:16" ht="24">
      <c r="A1900" s="83" t="s">
        <v>3533</v>
      </c>
      <c r="B1900" s="257" t="s">
        <v>28183</v>
      </c>
      <c r="C1900" s="258" t="s">
        <v>103</v>
      </c>
      <c r="D1900" s="79">
        <v>897.77</v>
      </c>
      <c r="F1900" s="79">
        <v>897.77</v>
      </c>
      <c r="G1900" s="81"/>
      <c r="N1900" s="240"/>
      <c r="O1900" s="241"/>
      <c r="P1900" s="213"/>
    </row>
    <row r="1901" spans="1:16" ht="24">
      <c r="A1901" s="83" t="s">
        <v>3534</v>
      </c>
      <c r="B1901" s="257" t="s">
        <v>28184</v>
      </c>
      <c r="C1901" s="258" t="s">
        <v>103</v>
      </c>
      <c r="D1901" s="79">
        <v>551.58000000000004</v>
      </c>
      <c r="F1901" s="79">
        <v>551.58000000000004</v>
      </c>
      <c r="G1901" s="81"/>
      <c r="N1901" s="240"/>
      <c r="O1901" s="241"/>
      <c r="P1901" s="213"/>
    </row>
    <row r="1902" spans="1:16" ht="12">
      <c r="A1902" s="83" t="s">
        <v>3535</v>
      </c>
      <c r="B1902" s="257" t="s">
        <v>3536</v>
      </c>
      <c r="C1902" s="258" t="s">
        <v>103</v>
      </c>
      <c r="D1902" s="79">
        <v>9120.58</v>
      </c>
      <c r="F1902" s="79">
        <v>9120.58</v>
      </c>
      <c r="G1902" s="81"/>
      <c r="N1902" s="240"/>
      <c r="O1902" s="241"/>
      <c r="P1902" s="213"/>
    </row>
    <row r="1903" spans="1:16" ht="24">
      <c r="A1903" s="275" t="s">
        <v>3537</v>
      </c>
      <c r="B1903" s="276" t="s">
        <v>3538</v>
      </c>
      <c r="C1903" s="277" t="s">
        <v>103</v>
      </c>
      <c r="D1903" s="79">
        <v>1080.83</v>
      </c>
      <c r="E1903" s="242"/>
      <c r="F1903" s="519">
        <v>1080.83</v>
      </c>
      <c r="G1903" s="242"/>
      <c r="H1903" s="242"/>
      <c r="I1903" s="242"/>
      <c r="J1903" s="242"/>
      <c r="K1903" s="242"/>
      <c r="L1903" s="242"/>
      <c r="M1903" s="242"/>
      <c r="N1903" s="242"/>
      <c r="O1903" s="242"/>
      <c r="P1903" s="242"/>
    </row>
    <row r="1904" spans="1:16" ht="24">
      <c r="A1904" s="275" t="s">
        <v>3539</v>
      </c>
      <c r="B1904" s="276" t="s">
        <v>3540</v>
      </c>
      <c r="C1904" s="277" t="s">
        <v>103</v>
      </c>
      <c r="D1904" s="79">
        <v>1989.09</v>
      </c>
      <c r="E1904" s="242"/>
      <c r="F1904" s="519">
        <v>1989.09</v>
      </c>
      <c r="G1904" s="242"/>
      <c r="H1904" s="242"/>
      <c r="I1904" s="242"/>
      <c r="J1904" s="242"/>
      <c r="K1904" s="242"/>
      <c r="L1904" s="242"/>
      <c r="M1904" s="242"/>
      <c r="N1904" s="242"/>
      <c r="O1904" s="242"/>
      <c r="P1904" s="242"/>
    </row>
    <row r="1905" spans="1:16" ht="24">
      <c r="A1905" s="256" t="s">
        <v>3541</v>
      </c>
      <c r="B1905" s="274" t="s">
        <v>3542</v>
      </c>
      <c r="C1905" s="262" t="s">
        <v>103</v>
      </c>
      <c r="D1905" s="79">
        <v>3169.81</v>
      </c>
      <c r="F1905" s="522">
        <v>3169.81</v>
      </c>
    </row>
    <row r="1906" spans="1:16" ht="24">
      <c r="A1906" s="275" t="s">
        <v>3543</v>
      </c>
      <c r="B1906" s="276" t="s">
        <v>39286</v>
      </c>
      <c r="C1906" s="277" t="s">
        <v>103</v>
      </c>
      <c r="D1906" s="79">
        <v>5680.69</v>
      </c>
      <c r="E1906" s="242"/>
      <c r="F1906" s="519">
        <v>5680.69</v>
      </c>
      <c r="G1906" s="242"/>
      <c r="H1906" s="242"/>
      <c r="I1906" s="242"/>
      <c r="J1906" s="242"/>
      <c r="K1906" s="242"/>
      <c r="L1906" s="242"/>
      <c r="M1906" s="242"/>
      <c r="N1906" s="242"/>
      <c r="O1906" s="242"/>
      <c r="P1906" s="242"/>
    </row>
    <row r="1907" spans="1:16" ht="24">
      <c r="A1907" s="83" t="s">
        <v>3544</v>
      </c>
      <c r="B1907" s="65" t="s">
        <v>3545</v>
      </c>
      <c r="C1907" s="71" t="s">
        <v>103</v>
      </c>
      <c r="D1907" s="79">
        <v>11483.28</v>
      </c>
      <c r="F1907" s="79">
        <v>11483.28</v>
      </c>
      <c r="G1907" s="81"/>
      <c r="N1907" s="240"/>
      <c r="O1907" s="241"/>
      <c r="P1907" s="213"/>
    </row>
    <row r="1908" spans="1:16" ht="24">
      <c r="A1908" s="83" t="s">
        <v>3546</v>
      </c>
      <c r="B1908" s="257" t="s">
        <v>3547</v>
      </c>
      <c r="C1908" s="258" t="s">
        <v>103</v>
      </c>
      <c r="D1908" s="79">
        <v>58994.34</v>
      </c>
      <c r="F1908" s="79">
        <v>58994.34</v>
      </c>
      <c r="G1908" s="81"/>
      <c r="N1908" s="240"/>
      <c r="O1908" s="241"/>
      <c r="P1908" s="213"/>
    </row>
    <row r="1909" spans="1:16" ht="24">
      <c r="A1909" s="83" t="s">
        <v>3548</v>
      </c>
      <c r="B1909" s="257" t="s">
        <v>3549</v>
      </c>
      <c r="C1909" s="258" t="s">
        <v>396</v>
      </c>
      <c r="D1909" s="79">
        <v>510694.6</v>
      </c>
      <c r="F1909" s="79">
        <v>510694.6</v>
      </c>
      <c r="G1909" s="81"/>
      <c r="N1909" s="240"/>
      <c r="O1909" s="241"/>
      <c r="P1909" s="213"/>
    </row>
    <row r="1910" spans="1:16" ht="24">
      <c r="A1910" s="83" t="s">
        <v>3550</v>
      </c>
      <c r="B1910" s="257" t="s">
        <v>29821</v>
      </c>
      <c r="C1910" s="258" t="s">
        <v>103</v>
      </c>
      <c r="D1910" s="79">
        <v>1492.3</v>
      </c>
      <c r="F1910" s="79">
        <v>1492.3</v>
      </c>
      <c r="G1910" s="81"/>
      <c r="N1910" s="240"/>
      <c r="O1910" s="241"/>
      <c r="P1910" s="213"/>
    </row>
    <row r="1911" spans="1:16" ht="24">
      <c r="A1911" s="63" t="s">
        <v>3551</v>
      </c>
      <c r="B1911" s="64" t="s">
        <v>3552</v>
      </c>
      <c r="C1911" s="71" t="s">
        <v>165</v>
      </c>
      <c r="D1911" s="79">
        <v>36.76</v>
      </c>
      <c r="F1911" s="79">
        <v>36.76</v>
      </c>
      <c r="G1911" s="81"/>
      <c r="H1911" s="61"/>
      <c r="I1911" s="61"/>
      <c r="J1911" s="80"/>
      <c r="N1911" s="61"/>
      <c r="O1911" s="241"/>
      <c r="P1911" s="213"/>
    </row>
    <row r="1912" spans="1:16" ht="24">
      <c r="A1912" s="63" t="s">
        <v>3553</v>
      </c>
      <c r="B1912" s="64" t="s">
        <v>3554</v>
      </c>
      <c r="C1912" s="71" t="s">
        <v>165</v>
      </c>
      <c r="D1912" s="79">
        <v>43.74</v>
      </c>
      <c r="F1912" s="79">
        <v>43.74</v>
      </c>
      <c r="G1912" s="81"/>
      <c r="H1912" s="61"/>
      <c r="I1912" s="61"/>
      <c r="J1912" s="80"/>
      <c r="N1912" s="61"/>
      <c r="O1912" s="241"/>
      <c r="P1912" s="213"/>
    </row>
    <row r="1913" spans="1:16" ht="24">
      <c r="A1913" s="63" t="s">
        <v>3555</v>
      </c>
      <c r="B1913" s="64" t="s">
        <v>3556</v>
      </c>
      <c r="C1913" s="71" t="s">
        <v>165</v>
      </c>
      <c r="D1913" s="79">
        <v>50.16</v>
      </c>
      <c r="F1913" s="79">
        <v>50.16</v>
      </c>
      <c r="G1913" s="81"/>
      <c r="H1913" s="61"/>
      <c r="I1913" s="61"/>
      <c r="J1913" s="80"/>
      <c r="N1913" s="61"/>
      <c r="O1913" s="241"/>
      <c r="P1913" s="213"/>
    </row>
    <row r="1914" spans="1:16" ht="24">
      <c r="A1914" s="63" t="s">
        <v>3557</v>
      </c>
      <c r="B1914" s="64" t="s">
        <v>3558</v>
      </c>
      <c r="C1914" s="71" t="s">
        <v>165</v>
      </c>
      <c r="D1914" s="79">
        <v>119.9</v>
      </c>
      <c r="F1914" s="79">
        <v>119.9</v>
      </c>
      <c r="G1914" s="81"/>
      <c r="H1914" s="61"/>
      <c r="I1914" s="61"/>
      <c r="J1914" s="80"/>
      <c r="N1914" s="61"/>
      <c r="O1914" s="241"/>
      <c r="P1914" s="213"/>
    </row>
    <row r="1915" spans="1:16" ht="24">
      <c r="A1915" s="63" t="s">
        <v>3559</v>
      </c>
      <c r="B1915" s="64" t="s">
        <v>3560</v>
      </c>
      <c r="C1915" s="71" t="s">
        <v>103</v>
      </c>
      <c r="D1915" s="79">
        <v>12.89</v>
      </c>
      <c r="F1915" s="79">
        <v>12.89</v>
      </c>
      <c r="G1915" s="81"/>
      <c r="H1915" s="61"/>
      <c r="I1915" s="61"/>
      <c r="J1915" s="80"/>
      <c r="N1915" s="61"/>
      <c r="O1915" s="241"/>
      <c r="P1915" s="213"/>
    </row>
    <row r="1916" spans="1:16" ht="24">
      <c r="A1916" s="63" t="s">
        <v>3561</v>
      </c>
      <c r="B1916" s="64" t="s">
        <v>3562</v>
      </c>
      <c r="C1916" s="71" t="s">
        <v>103</v>
      </c>
      <c r="D1916" s="79">
        <v>19.46</v>
      </c>
      <c r="F1916" s="79">
        <v>19.46</v>
      </c>
      <c r="G1916" s="81"/>
      <c r="H1916" s="61"/>
      <c r="I1916" s="61"/>
      <c r="J1916" s="80"/>
      <c r="N1916" s="61"/>
      <c r="O1916" s="241"/>
      <c r="P1916" s="213"/>
    </row>
    <row r="1917" spans="1:16" ht="24">
      <c r="A1917" s="63" t="s">
        <v>3563</v>
      </c>
      <c r="B1917" s="64" t="s">
        <v>3564</v>
      </c>
      <c r="C1917" s="71" t="s">
        <v>103</v>
      </c>
      <c r="D1917" s="79">
        <v>20.18</v>
      </c>
      <c r="F1917" s="79">
        <v>20.18</v>
      </c>
      <c r="G1917" s="81"/>
      <c r="H1917" s="61"/>
      <c r="I1917" s="61"/>
      <c r="J1917" s="80"/>
      <c r="N1917" s="61"/>
      <c r="O1917" s="241"/>
      <c r="P1917" s="213"/>
    </row>
    <row r="1918" spans="1:16" ht="24">
      <c r="A1918" s="63" t="s">
        <v>3565</v>
      </c>
      <c r="B1918" s="64" t="s">
        <v>3566</v>
      </c>
      <c r="C1918" s="71" t="s">
        <v>103</v>
      </c>
      <c r="D1918" s="79">
        <v>30.09</v>
      </c>
      <c r="F1918" s="79">
        <v>30.09</v>
      </c>
      <c r="G1918" s="81"/>
      <c r="H1918" s="61"/>
      <c r="I1918" s="61"/>
      <c r="J1918" s="80"/>
      <c r="N1918" s="61"/>
      <c r="O1918" s="241"/>
      <c r="P1918" s="213"/>
    </row>
    <row r="1919" spans="1:16" ht="24">
      <c r="A1919" s="63" t="s">
        <v>3567</v>
      </c>
      <c r="B1919" s="64" t="s">
        <v>3568</v>
      </c>
      <c r="C1919" s="71" t="s">
        <v>103</v>
      </c>
      <c r="D1919" s="79">
        <v>12.87</v>
      </c>
      <c r="F1919" s="79">
        <v>12.87</v>
      </c>
      <c r="G1919" s="81"/>
      <c r="H1919" s="61"/>
      <c r="I1919" s="61"/>
      <c r="J1919" s="80"/>
      <c r="N1919" s="61"/>
      <c r="O1919" s="241"/>
      <c r="P1919" s="213"/>
    </row>
    <row r="1920" spans="1:16" ht="24">
      <c r="A1920" s="63" t="s">
        <v>3569</v>
      </c>
      <c r="B1920" s="64" t="s">
        <v>3570</v>
      </c>
      <c r="C1920" s="71" t="s">
        <v>103</v>
      </c>
      <c r="D1920" s="79">
        <v>18.07</v>
      </c>
      <c r="F1920" s="79">
        <v>18.07</v>
      </c>
      <c r="G1920" s="81"/>
      <c r="H1920" s="61"/>
      <c r="I1920" s="61"/>
      <c r="J1920" s="80"/>
      <c r="N1920" s="61"/>
      <c r="O1920" s="241"/>
      <c r="P1920" s="213"/>
    </row>
    <row r="1921" spans="1:16" ht="24">
      <c r="A1921" s="63" t="s">
        <v>3571</v>
      </c>
      <c r="B1921" s="64" t="s">
        <v>3572</v>
      </c>
      <c r="C1921" s="71" t="s">
        <v>103</v>
      </c>
      <c r="D1921" s="79">
        <v>24.6</v>
      </c>
      <c r="F1921" s="79">
        <v>24.6</v>
      </c>
      <c r="G1921" s="81"/>
      <c r="H1921" s="61"/>
      <c r="I1921" s="61"/>
      <c r="J1921" s="80"/>
      <c r="N1921" s="61"/>
      <c r="O1921" s="241"/>
      <c r="P1921" s="213"/>
    </row>
    <row r="1922" spans="1:16" ht="24">
      <c r="A1922" s="63" t="s">
        <v>3573</v>
      </c>
      <c r="B1922" s="64" t="s">
        <v>3574</v>
      </c>
      <c r="C1922" s="71" t="s">
        <v>103</v>
      </c>
      <c r="D1922" s="79">
        <v>41.2</v>
      </c>
      <c r="F1922" s="79">
        <v>41.2</v>
      </c>
      <c r="G1922" s="81"/>
      <c r="H1922" s="61"/>
      <c r="I1922" s="61"/>
      <c r="J1922" s="80"/>
      <c r="N1922" s="61"/>
      <c r="O1922" s="241"/>
      <c r="P1922" s="213"/>
    </row>
    <row r="1923" spans="1:16" ht="24">
      <c r="A1923" s="63" t="s">
        <v>3575</v>
      </c>
      <c r="B1923" s="64" t="s">
        <v>3576</v>
      </c>
      <c r="C1923" s="71" t="s">
        <v>103</v>
      </c>
      <c r="D1923" s="79">
        <v>16.3</v>
      </c>
      <c r="F1923" s="79">
        <v>16.3</v>
      </c>
      <c r="G1923" s="81"/>
      <c r="H1923" s="61"/>
      <c r="I1923" s="61"/>
      <c r="J1923" s="80"/>
      <c r="N1923" s="61"/>
      <c r="O1923" s="241"/>
      <c r="P1923" s="213"/>
    </row>
    <row r="1924" spans="1:16" ht="24">
      <c r="A1924" s="63" t="s">
        <v>3577</v>
      </c>
      <c r="B1924" s="64" t="s">
        <v>3578</v>
      </c>
      <c r="C1924" s="71" t="s">
        <v>103</v>
      </c>
      <c r="D1924" s="79">
        <v>20.309999999999999</v>
      </c>
      <c r="F1924" s="79">
        <v>20.309999999999999</v>
      </c>
      <c r="G1924" s="81"/>
      <c r="H1924" s="61"/>
      <c r="I1924" s="61"/>
      <c r="J1924" s="80"/>
      <c r="N1924" s="61"/>
      <c r="O1924" s="241"/>
      <c r="P1924" s="213"/>
    </row>
    <row r="1925" spans="1:16" ht="24">
      <c r="A1925" s="63" t="s">
        <v>3579</v>
      </c>
      <c r="B1925" s="64" t="s">
        <v>3580</v>
      </c>
      <c r="C1925" s="71" t="s">
        <v>103</v>
      </c>
      <c r="D1925" s="79">
        <v>23.84</v>
      </c>
      <c r="F1925" s="79">
        <v>23.84</v>
      </c>
      <c r="G1925" s="81"/>
      <c r="H1925" s="61"/>
      <c r="I1925" s="61"/>
      <c r="J1925" s="80"/>
      <c r="N1925" s="61"/>
      <c r="O1925" s="241"/>
      <c r="P1925" s="213"/>
    </row>
    <row r="1926" spans="1:16" ht="24">
      <c r="A1926" s="63" t="s">
        <v>3581</v>
      </c>
      <c r="B1926" s="64" t="s">
        <v>3582</v>
      </c>
      <c r="C1926" s="71" t="s">
        <v>103</v>
      </c>
      <c r="D1926" s="79">
        <v>38.369999999999997</v>
      </c>
      <c r="F1926" s="79">
        <v>38.369999999999997</v>
      </c>
      <c r="G1926" s="81"/>
      <c r="H1926" s="61"/>
      <c r="I1926" s="61"/>
      <c r="J1926" s="80"/>
      <c r="N1926" s="61"/>
      <c r="O1926" s="241"/>
      <c r="P1926" s="213"/>
    </row>
    <row r="1927" spans="1:16" ht="24">
      <c r="A1927" s="63" t="s">
        <v>3583</v>
      </c>
      <c r="B1927" s="64" t="s">
        <v>3584</v>
      </c>
      <c r="C1927" s="71" t="s">
        <v>103</v>
      </c>
      <c r="D1927" s="79">
        <v>12.46</v>
      </c>
      <c r="F1927" s="79">
        <v>12.46</v>
      </c>
      <c r="G1927" s="81"/>
      <c r="H1927" s="61"/>
      <c r="I1927" s="61"/>
      <c r="J1927" s="80"/>
      <c r="N1927" s="61"/>
      <c r="O1927" s="241"/>
      <c r="P1927" s="213"/>
    </row>
    <row r="1928" spans="1:16" ht="24">
      <c r="A1928" s="63" t="s">
        <v>3585</v>
      </c>
      <c r="B1928" s="64" t="s">
        <v>3586</v>
      </c>
      <c r="C1928" s="71" t="s">
        <v>103</v>
      </c>
      <c r="D1928" s="79">
        <v>18.440000000000001</v>
      </c>
      <c r="F1928" s="79">
        <v>18.440000000000001</v>
      </c>
      <c r="G1928" s="81"/>
      <c r="H1928" s="61"/>
      <c r="I1928" s="61"/>
      <c r="J1928" s="80"/>
      <c r="N1928" s="61"/>
      <c r="O1928" s="241"/>
      <c r="P1928" s="213"/>
    </row>
    <row r="1929" spans="1:16" ht="24">
      <c r="A1929" s="63" t="s">
        <v>3587</v>
      </c>
      <c r="B1929" s="64" t="s">
        <v>3588</v>
      </c>
      <c r="C1929" s="71" t="s">
        <v>103</v>
      </c>
      <c r="D1929" s="79">
        <v>31.44</v>
      </c>
      <c r="F1929" s="79">
        <v>31.44</v>
      </c>
      <c r="G1929" s="81"/>
      <c r="H1929" s="61"/>
      <c r="I1929" s="61"/>
      <c r="J1929" s="80"/>
      <c r="N1929" s="61"/>
      <c r="O1929" s="241"/>
      <c r="P1929" s="213"/>
    </row>
    <row r="1930" spans="1:16" ht="12">
      <c r="A1930" s="63" t="s">
        <v>3589</v>
      </c>
      <c r="B1930" s="64" t="s">
        <v>3590</v>
      </c>
      <c r="C1930" s="71" t="s">
        <v>103</v>
      </c>
      <c r="D1930" s="79">
        <v>39.630000000000003</v>
      </c>
      <c r="F1930" s="79">
        <v>39.630000000000003</v>
      </c>
      <c r="G1930" s="81"/>
      <c r="H1930" s="61"/>
      <c r="I1930" s="61"/>
      <c r="J1930" s="80"/>
      <c r="N1930" s="61"/>
      <c r="O1930" s="241"/>
      <c r="P1930" s="213"/>
    </row>
    <row r="1931" spans="1:16" ht="12">
      <c r="A1931" s="63" t="s">
        <v>3591</v>
      </c>
      <c r="B1931" s="64" t="s">
        <v>3592</v>
      </c>
      <c r="C1931" s="71" t="s">
        <v>103</v>
      </c>
      <c r="D1931" s="79">
        <v>50.18</v>
      </c>
      <c r="F1931" s="79">
        <v>50.18</v>
      </c>
      <c r="G1931" s="81"/>
      <c r="H1931" s="61"/>
      <c r="I1931" s="61"/>
      <c r="J1931" s="80"/>
      <c r="N1931" s="61"/>
      <c r="O1931" s="241"/>
      <c r="P1931" s="213"/>
    </row>
    <row r="1932" spans="1:16" ht="12">
      <c r="A1932" s="63" t="s">
        <v>3593</v>
      </c>
      <c r="B1932" s="64" t="s">
        <v>3594</v>
      </c>
      <c r="C1932" s="71" t="s">
        <v>103</v>
      </c>
      <c r="D1932" s="79">
        <v>88.98</v>
      </c>
      <c r="F1932" s="79">
        <v>88.98</v>
      </c>
      <c r="G1932" s="81"/>
      <c r="H1932" s="61"/>
      <c r="I1932" s="61"/>
      <c r="J1932" s="80"/>
      <c r="N1932" s="61"/>
      <c r="O1932" s="241"/>
      <c r="P1932" s="213"/>
    </row>
    <row r="1933" spans="1:16" ht="12">
      <c r="A1933" s="63" t="s">
        <v>3595</v>
      </c>
      <c r="B1933" s="64" t="s">
        <v>3596</v>
      </c>
      <c r="C1933" s="71" t="s">
        <v>103</v>
      </c>
      <c r="D1933" s="79">
        <v>72.569999999999993</v>
      </c>
      <c r="F1933" s="79">
        <v>72.569999999999993</v>
      </c>
      <c r="G1933" s="81"/>
      <c r="H1933" s="61"/>
      <c r="I1933" s="61"/>
      <c r="J1933" s="80"/>
      <c r="N1933" s="61"/>
      <c r="O1933" s="241"/>
      <c r="P1933" s="213"/>
    </row>
    <row r="1934" spans="1:16" ht="12">
      <c r="A1934" s="63" t="s">
        <v>3597</v>
      </c>
      <c r="B1934" s="64" t="s">
        <v>3598</v>
      </c>
      <c r="C1934" s="71" t="s">
        <v>103</v>
      </c>
      <c r="D1934" s="79">
        <v>35.99</v>
      </c>
      <c r="F1934" s="79">
        <v>35.99</v>
      </c>
      <c r="G1934" s="81"/>
      <c r="H1934" s="61"/>
      <c r="I1934" s="61"/>
      <c r="J1934" s="80"/>
      <c r="N1934" s="61"/>
      <c r="O1934" s="241"/>
      <c r="P1934" s="213"/>
    </row>
    <row r="1935" spans="1:16" ht="12">
      <c r="A1935" s="63" t="s">
        <v>3599</v>
      </c>
      <c r="B1935" s="64" t="s">
        <v>3600</v>
      </c>
      <c r="C1935" s="71" t="s">
        <v>103</v>
      </c>
      <c r="D1935" s="79">
        <v>42.94</v>
      </c>
      <c r="F1935" s="79">
        <v>42.94</v>
      </c>
      <c r="G1935" s="81"/>
      <c r="H1935" s="61"/>
      <c r="I1935" s="61"/>
      <c r="J1935" s="80"/>
      <c r="N1935" s="61"/>
      <c r="O1935" s="241"/>
      <c r="P1935" s="213"/>
    </row>
    <row r="1936" spans="1:16" ht="12">
      <c r="A1936" s="63" t="s">
        <v>3601</v>
      </c>
      <c r="B1936" s="64" t="s">
        <v>3602</v>
      </c>
      <c r="C1936" s="71" t="s">
        <v>103</v>
      </c>
      <c r="D1936" s="79">
        <v>79.56</v>
      </c>
      <c r="F1936" s="79">
        <v>79.56</v>
      </c>
      <c r="G1936" s="81"/>
      <c r="H1936" s="61"/>
      <c r="I1936" s="61"/>
      <c r="J1936" s="80"/>
      <c r="N1936" s="61"/>
      <c r="O1936" s="241"/>
      <c r="P1936" s="213"/>
    </row>
    <row r="1937" spans="1:16" ht="12">
      <c r="A1937" s="63" t="s">
        <v>3603</v>
      </c>
      <c r="B1937" s="64" t="s">
        <v>3604</v>
      </c>
      <c r="C1937" s="71" t="s">
        <v>103</v>
      </c>
      <c r="D1937" s="79">
        <v>36.1</v>
      </c>
      <c r="F1937" s="79">
        <v>36.1</v>
      </c>
      <c r="G1937" s="81"/>
      <c r="H1937" s="61"/>
      <c r="I1937" s="61"/>
      <c r="J1937" s="80"/>
      <c r="N1937" s="61"/>
      <c r="O1937" s="241"/>
      <c r="P1937" s="213"/>
    </row>
    <row r="1938" spans="1:16" ht="12">
      <c r="A1938" s="63" t="s">
        <v>3605</v>
      </c>
      <c r="B1938" s="64" t="s">
        <v>3606</v>
      </c>
      <c r="C1938" s="71" t="s">
        <v>103</v>
      </c>
      <c r="D1938" s="79">
        <v>66.010000000000005</v>
      </c>
      <c r="F1938" s="79">
        <v>66.010000000000005</v>
      </c>
      <c r="G1938" s="81"/>
      <c r="H1938" s="61"/>
      <c r="I1938" s="61"/>
      <c r="J1938" s="80"/>
      <c r="N1938" s="61"/>
      <c r="O1938" s="241"/>
      <c r="P1938" s="213"/>
    </row>
    <row r="1939" spans="1:16" ht="12">
      <c r="A1939" s="63" t="s">
        <v>3607</v>
      </c>
      <c r="B1939" s="64" t="s">
        <v>3608</v>
      </c>
      <c r="C1939" s="71" t="s">
        <v>103</v>
      </c>
      <c r="D1939" s="79">
        <v>51.85</v>
      </c>
      <c r="F1939" s="79">
        <v>51.85</v>
      </c>
      <c r="G1939" s="81"/>
      <c r="H1939" s="61"/>
      <c r="I1939" s="61"/>
      <c r="J1939" s="80"/>
      <c r="N1939" s="61"/>
      <c r="O1939" s="241"/>
      <c r="P1939" s="213"/>
    </row>
    <row r="1940" spans="1:16" ht="12">
      <c r="A1940" s="63" t="s">
        <v>3609</v>
      </c>
      <c r="B1940" s="64" t="s">
        <v>3610</v>
      </c>
      <c r="C1940" s="71" t="s">
        <v>103</v>
      </c>
      <c r="D1940" s="79">
        <v>46.14</v>
      </c>
      <c r="F1940" s="79">
        <v>46.14</v>
      </c>
      <c r="G1940" s="81"/>
      <c r="H1940" s="61"/>
      <c r="I1940" s="61"/>
      <c r="J1940" s="80"/>
      <c r="N1940" s="61"/>
      <c r="O1940" s="241"/>
      <c r="P1940" s="213"/>
    </row>
    <row r="1941" spans="1:16" ht="12">
      <c r="A1941" s="63" t="s">
        <v>3611</v>
      </c>
      <c r="B1941" s="64" t="s">
        <v>3612</v>
      </c>
      <c r="C1941" s="71" t="s">
        <v>103</v>
      </c>
      <c r="D1941" s="79">
        <v>74.73</v>
      </c>
      <c r="F1941" s="79">
        <v>74.73</v>
      </c>
      <c r="G1941" s="81"/>
      <c r="H1941" s="61"/>
      <c r="I1941" s="61"/>
      <c r="J1941" s="80"/>
      <c r="N1941" s="61"/>
      <c r="O1941" s="241"/>
      <c r="P1941" s="213"/>
    </row>
    <row r="1942" spans="1:16" ht="12">
      <c r="A1942" s="63" t="s">
        <v>3613</v>
      </c>
      <c r="B1942" s="64" t="s">
        <v>3614</v>
      </c>
      <c r="C1942" s="71" t="s">
        <v>103</v>
      </c>
      <c r="D1942" s="79">
        <v>118.73</v>
      </c>
      <c r="F1942" s="79">
        <v>118.73</v>
      </c>
      <c r="G1942" s="81"/>
      <c r="H1942" s="61"/>
      <c r="I1942" s="61"/>
      <c r="J1942" s="80"/>
      <c r="N1942" s="61"/>
      <c r="O1942" s="241"/>
      <c r="P1942" s="213"/>
    </row>
    <row r="1943" spans="1:16" ht="12">
      <c r="A1943" s="63" t="s">
        <v>3615</v>
      </c>
      <c r="B1943" s="64" t="s">
        <v>3616</v>
      </c>
      <c r="C1943" s="71" t="s">
        <v>103</v>
      </c>
      <c r="D1943" s="79">
        <v>67.75</v>
      </c>
      <c r="F1943" s="79">
        <v>67.75</v>
      </c>
      <c r="G1943" s="81"/>
      <c r="H1943" s="61"/>
      <c r="I1943" s="61"/>
      <c r="J1943" s="80"/>
      <c r="N1943" s="61"/>
      <c r="O1943" s="241"/>
      <c r="P1943" s="213"/>
    </row>
    <row r="1944" spans="1:16" ht="12">
      <c r="A1944" s="63" t="s">
        <v>3617</v>
      </c>
      <c r="B1944" s="64" t="s">
        <v>3618</v>
      </c>
      <c r="C1944" s="71" t="s">
        <v>103</v>
      </c>
      <c r="D1944" s="79">
        <v>81.25</v>
      </c>
      <c r="F1944" s="79">
        <v>81.25</v>
      </c>
      <c r="G1944" s="81"/>
      <c r="H1944" s="61"/>
      <c r="I1944" s="61"/>
      <c r="J1944" s="80"/>
      <c r="N1944" s="61"/>
      <c r="O1944" s="241"/>
      <c r="P1944" s="213"/>
    </row>
    <row r="1945" spans="1:16" ht="12">
      <c r="A1945" s="63" t="s">
        <v>3619</v>
      </c>
      <c r="B1945" s="64" t="s">
        <v>3620</v>
      </c>
      <c r="C1945" s="71" t="s">
        <v>103</v>
      </c>
      <c r="D1945" s="79">
        <v>74.11</v>
      </c>
      <c r="F1945" s="79">
        <v>74.11</v>
      </c>
      <c r="G1945" s="81"/>
      <c r="H1945" s="61"/>
      <c r="I1945" s="61"/>
      <c r="J1945" s="80"/>
      <c r="N1945" s="61"/>
      <c r="O1945" s="241"/>
      <c r="P1945" s="213"/>
    </row>
    <row r="1946" spans="1:16" ht="12">
      <c r="A1946" s="63" t="s">
        <v>3621</v>
      </c>
      <c r="B1946" s="64" t="s">
        <v>3622</v>
      </c>
      <c r="C1946" s="71" t="s">
        <v>103</v>
      </c>
      <c r="D1946" s="79">
        <v>12.38</v>
      </c>
      <c r="F1946" s="79">
        <v>12.38</v>
      </c>
      <c r="G1946" s="81"/>
      <c r="H1946" s="61"/>
      <c r="I1946" s="61"/>
      <c r="J1946" s="80"/>
      <c r="N1946" s="61"/>
      <c r="O1946" s="241"/>
      <c r="P1946" s="213"/>
    </row>
    <row r="1947" spans="1:16" ht="12">
      <c r="A1947" s="63" t="s">
        <v>3623</v>
      </c>
      <c r="B1947" s="64" t="s">
        <v>3624</v>
      </c>
      <c r="C1947" s="71" t="s">
        <v>103</v>
      </c>
      <c r="D1947" s="79">
        <v>30.86</v>
      </c>
      <c r="F1947" s="79">
        <v>30.86</v>
      </c>
      <c r="G1947" s="81"/>
      <c r="H1947" s="61"/>
      <c r="I1947" s="61"/>
      <c r="J1947" s="80"/>
      <c r="N1947" s="61"/>
      <c r="O1947" s="241"/>
      <c r="P1947" s="213"/>
    </row>
    <row r="1948" spans="1:16" ht="12">
      <c r="A1948" s="63" t="s">
        <v>3625</v>
      </c>
      <c r="B1948" s="64" t="s">
        <v>3626</v>
      </c>
      <c r="C1948" s="71" t="s">
        <v>103</v>
      </c>
      <c r="D1948" s="79">
        <v>216.02</v>
      </c>
      <c r="F1948" s="79">
        <v>216.02</v>
      </c>
      <c r="G1948" s="81"/>
      <c r="H1948" s="61"/>
      <c r="I1948" s="61"/>
      <c r="J1948" s="80"/>
      <c r="N1948" s="61"/>
      <c r="O1948" s="241"/>
      <c r="P1948" s="213"/>
    </row>
    <row r="1949" spans="1:16" ht="24">
      <c r="A1949" s="83" t="s">
        <v>3627</v>
      </c>
      <c r="B1949" s="64" t="s">
        <v>3628</v>
      </c>
      <c r="C1949" s="134" t="s">
        <v>103</v>
      </c>
      <c r="D1949" s="79">
        <v>663.27</v>
      </c>
      <c r="F1949" s="79">
        <v>663.27</v>
      </c>
      <c r="G1949" s="81"/>
      <c r="N1949" s="240"/>
      <c r="O1949" s="241"/>
      <c r="P1949" s="213"/>
    </row>
    <row r="1950" spans="1:16" ht="12">
      <c r="A1950" s="83" t="s">
        <v>3629</v>
      </c>
      <c r="B1950" s="257" t="s">
        <v>3630</v>
      </c>
      <c r="C1950" s="258" t="s">
        <v>103</v>
      </c>
      <c r="D1950" s="79">
        <v>31.58</v>
      </c>
      <c r="F1950" s="79">
        <v>31.58</v>
      </c>
      <c r="G1950" s="81"/>
      <c r="N1950" s="240"/>
      <c r="O1950" s="241"/>
      <c r="P1950" s="213"/>
    </row>
    <row r="1951" spans="1:16" ht="12">
      <c r="A1951" s="83" t="s">
        <v>3631</v>
      </c>
      <c r="B1951" s="257" t="s">
        <v>3632</v>
      </c>
      <c r="C1951" s="258" t="s">
        <v>165</v>
      </c>
      <c r="D1951" s="79">
        <v>5.88</v>
      </c>
      <c r="F1951" s="79">
        <v>5.88</v>
      </c>
      <c r="G1951" s="81"/>
      <c r="N1951" s="240"/>
      <c r="O1951" s="241"/>
      <c r="P1951" s="213"/>
    </row>
    <row r="1952" spans="1:16" ht="12">
      <c r="A1952" s="83" t="s">
        <v>3633</v>
      </c>
      <c r="B1952" s="257" t="s">
        <v>3634</v>
      </c>
      <c r="C1952" s="258" t="s">
        <v>165</v>
      </c>
      <c r="D1952" s="79">
        <v>7.41</v>
      </c>
      <c r="F1952" s="79">
        <v>7.41</v>
      </c>
      <c r="G1952" s="81"/>
      <c r="N1952" s="240"/>
      <c r="O1952" s="241"/>
      <c r="P1952" s="213"/>
    </row>
    <row r="1953" spans="1:16" ht="12">
      <c r="A1953" s="83" t="s">
        <v>3635</v>
      </c>
      <c r="B1953" s="257" t="s">
        <v>3636</v>
      </c>
      <c r="C1953" s="258" t="s">
        <v>165</v>
      </c>
      <c r="D1953" s="79">
        <v>10.55</v>
      </c>
      <c r="F1953" s="79">
        <v>10.55</v>
      </c>
      <c r="G1953" s="81"/>
      <c r="N1953" s="240"/>
      <c r="O1953" s="241"/>
      <c r="P1953" s="213"/>
    </row>
    <row r="1954" spans="1:16" ht="12">
      <c r="A1954" s="83" t="s">
        <v>3637</v>
      </c>
      <c r="B1954" s="257" t="s">
        <v>3638</v>
      </c>
      <c r="C1954" s="258" t="s">
        <v>165</v>
      </c>
      <c r="D1954" s="79">
        <v>16.8</v>
      </c>
      <c r="F1954" s="79">
        <v>16.8</v>
      </c>
      <c r="G1954" s="81"/>
      <c r="N1954" s="240"/>
      <c r="O1954" s="241"/>
      <c r="P1954" s="213"/>
    </row>
    <row r="1955" spans="1:16" ht="12">
      <c r="A1955" s="83" t="s">
        <v>3639</v>
      </c>
      <c r="B1955" s="257" t="s">
        <v>3640</v>
      </c>
      <c r="C1955" s="258" t="s">
        <v>165</v>
      </c>
      <c r="D1955" s="79">
        <v>17.86</v>
      </c>
      <c r="F1955" s="79">
        <v>17.86</v>
      </c>
      <c r="G1955" s="81"/>
      <c r="N1955" s="240"/>
      <c r="O1955" s="241"/>
      <c r="P1955" s="213"/>
    </row>
    <row r="1956" spans="1:16" ht="12">
      <c r="A1956" s="83" t="s">
        <v>3641</v>
      </c>
      <c r="B1956" s="257" t="s">
        <v>3642</v>
      </c>
      <c r="C1956" s="258" t="s">
        <v>165</v>
      </c>
      <c r="D1956" s="79">
        <v>22.11</v>
      </c>
      <c r="F1956" s="79">
        <v>22.11</v>
      </c>
      <c r="G1956" s="81"/>
      <c r="N1956" s="240"/>
      <c r="O1956" s="241"/>
      <c r="P1956" s="213"/>
    </row>
    <row r="1957" spans="1:16" ht="12">
      <c r="A1957" s="83" t="s">
        <v>3643</v>
      </c>
      <c r="B1957" s="257" t="s">
        <v>3644</v>
      </c>
      <c r="C1957" s="258" t="s">
        <v>165</v>
      </c>
      <c r="D1957" s="79">
        <v>44.59</v>
      </c>
      <c r="F1957" s="79">
        <v>44.59</v>
      </c>
      <c r="G1957" s="81"/>
      <c r="N1957" s="240"/>
      <c r="O1957" s="241"/>
      <c r="P1957" s="213"/>
    </row>
    <row r="1958" spans="1:16" ht="12">
      <c r="A1958" s="83" t="s">
        <v>3645</v>
      </c>
      <c r="B1958" s="257" t="s">
        <v>3646</v>
      </c>
      <c r="C1958" s="258" t="s">
        <v>165</v>
      </c>
      <c r="D1958" s="79">
        <v>53.09</v>
      </c>
      <c r="F1958" s="79">
        <v>53.09</v>
      </c>
      <c r="G1958" s="81"/>
      <c r="N1958" s="240"/>
      <c r="O1958" s="241"/>
      <c r="P1958" s="213"/>
    </row>
    <row r="1959" spans="1:16" ht="12">
      <c r="A1959" s="83" t="s">
        <v>3647</v>
      </c>
      <c r="B1959" s="257" t="s">
        <v>3648</v>
      </c>
      <c r="C1959" s="258" t="s">
        <v>165</v>
      </c>
      <c r="D1959" s="79">
        <v>78.08</v>
      </c>
      <c r="F1959" s="79">
        <v>78.08</v>
      </c>
      <c r="G1959" s="81"/>
      <c r="N1959" s="240"/>
      <c r="O1959" s="241"/>
      <c r="P1959" s="213"/>
    </row>
    <row r="1960" spans="1:16" ht="12">
      <c r="A1960" s="83" t="s">
        <v>3649</v>
      </c>
      <c r="B1960" s="257" t="s">
        <v>3650</v>
      </c>
      <c r="C1960" s="258" t="s">
        <v>165</v>
      </c>
      <c r="D1960" s="79">
        <v>2.7</v>
      </c>
      <c r="F1960" s="79">
        <v>2.7</v>
      </c>
      <c r="G1960" s="81"/>
      <c r="N1960" s="240"/>
      <c r="O1960" s="241"/>
      <c r="P1960" s="213"/>
    </row>
    <row r="1961" spans="1:16" ht="12">
      <c r="A1961" s="83" t="s">
        <v>3651</v>
      </c>
      <c r="B1961" s="257" t="s">
        <v>3652</v>
      </c>
      <c r="C1961" s="258" t="s">
        <v>165</v>
      </c>
      <c r="D1961" s="79">
        <v>2.14</v>
      </c>
      <c r="F1961" s="79">
        <v>2.14</v>
      </c>
      <c r="G1961" s="81"/>
      <c r="N1961" s="240"/>
      <c r="O1961" s="241"/>
      <c r="P1961" s="213"/>
    </row>
    <row r="1962" spans="1:16" ht="12">
      <c r="A1962" s="83" t="s">
        <v>3653</v>
      </c>
      <c r="B1962" s="257" t="s">
        <v>3654</v>
      </c>
      <c r="C1962" s="258" t="s">
        <v>165</v>
      </c>
      <c r="D1962" s="79">
        <v>4.93</v>
      </c>
      <c r="F1962" s="79">
        <v>4.93</v>
      </c>
      <c r="G1962" s="81"/>
      <c r="N1962" s="240"/>
      <c r="O1962" s="241"/>
      <c r="P1962" s="213"/>
    </row>
    <row r="1963" spans="1:16" ht="12">
      <c r="A1963" s="83" t="s">
        <v>3655</v>
      </c>
      <c r="B1963" s="257" t="s">
        <v>3656</v>
      </c>
      <c r="C1963" s="258" t="s">
        <v>165</v>
      </c>
      <c r="D1963" s="79">
        <v>3.17</v>
      </c>
      <c r="F1963" s="79">
        <v>3.17</v>
      </c>
      <c r="G1963" s="81"/>
      <c r="N1963" s="240"/>
      <c r="O1963" s="241"/>
      <c r="P1963" s="213"/>
    </row>
    <row r="1964" spans="1:16" ht="12">
      <c r="A1964" s="83" t="s">
        <v>3657</v>
      </c>
      <c r="B1964" s="257" t="s">
        <v>3658</v>
      </c>
      <c r="C1964" s="258" t="s">
        <v>165</v>
      </c>
      <c r="D1964" s="79">
        <v>5.76</v>
      </c>
      <c r="F1964" s="79">
        <v>5.76</v>
      </c>
      <c r="G1964" s="81"/>
      <c r="N1964" s="240"/>
      <c r="O1964" s="241"/>
      <c r="P1964" s="213"/>
    </row>
    <row r="1965" spans="1:16" ht="24">
      <c r="A1965" s="83" t="s">
        <v>3659</v>
      </c>
      <c r="B1965" s="257" t="s">
        <v>3660</v>
      </c>
      <c r="C1965" s="258" t="s">
        <v>165</v>
      </c>
      <c r="D1965" s="79">
        <v>44.84</v>
      </c>
      <c r="F1965" s="79">
        <v>44.84</v>
      </c>
      <c r="G1965" s="81"/>
      <c r="N1965" s="240"/>
      <c r="O1965" s="241"/>
      <c r="P1965" s="213"/>
    </row>
    <row r="1966" spans="1:16" ht="24">
      <c r="A1966" s="83" t="s">
        <v>3661</v>
      </c>
      <c r="B1966" s="257" t="s">
        <v>3662</v>
      </c>
      <c r="C1966" s="258" t="s">
        <v>165</v>
      </c>
      <c r="D1966" s="79">
        <v>71.5</v>
      </c>
      <c r="F1966" s="79">
        <v>71.5</v>
      </c>
      <c r="G1966" s="81"/>
      <c r="N1966" s="240"/>
      <c r="O1966" s="241"/>
      <c r="P1966" s="213"/>
    </row>
    <row r="1967" spans="1:16" ht="24">
      <c r="A1967" s="83" t="s">
        <v>3663</v>
      </c>
      <c r="B1967" s="257" t="s">
        <v>3664</v>
      </c>
      <c r="C1967" s="258" t="s">
        <v>165</v>
      </c>
      <c r="D1967" s="79">
        <v>90.35</v>
      </c>
      <c r="F1967" s="79">
        <v>90.35</v>
      </c>
      <c r="G1967" s="81"/>
      <c r="N1967" s="240"/>
      <c r="O1967" s="241"/>
      <c r="P1967" s="213"/>
    </row>
    <row r="1968" spans="1:16" ht="24">
      <c r="A1968" s="83" t="s">
        <v>3665</v>
      </c>
      <c r="B1968" s="257" t="s">
        <v>3666</v>
      </c>
      <c r="C1968" s="258" t="s">
        <v>103</v>
      </c>
      <c r="D1968" s="79">
        <v>8.76</v>
      </c>
      <c r="F1968" s="79">
        <v>8.76</v>
      </c>
      <c r="G1968" s="81"/>
      <c r="N1968" s="240"/>
      <c r="O1968" s="241"/>
      <c r="P1968" s="213"/>
    </row>
    <row r="1969" spans="1:16" ht="24">
      <c r="A1969" s="83" t="s">
        <v>3667</v>
      </c>
      <c r="B1969" s="257" t="s">
        <v>3668</v>
      </c>
      <c r="C1969" s="258" t="s">
        <v>103</v>
      </c>
      <c r="D1969" s="79">
        <v>10.95</v>
      </c>
      <c r="F1969" s="79">
        <v>10.95</v>
      </c>
      <c r="G1969" s="81"/>
      <c r="N1969" s="240"/>
      <c r="O1969" s="241"/>
      <c r="P1969" s="213"/>
    </row>
    <row r="1970" spans="1:16" ht="24">
      <c r="A1970" s="83" t="s">
        <v>3669</v>
      </c>
      <c r="B1970" s="257" t="s">
        <v>3670</v>
      </c>
      <c r="C1970" s="258" t="s">
        <v>103</v>
      </c>
      <c r="D1970" s="79">
        <v>10.06</v>
      </c>
      <c r="F1970" s="79">
        <v>10.06</v>
      </c>
      <c r="G1970" s="81"/>
      <c r="N1970" s="240"/>
      <c r="O1970" s="241"/>
      <c r="P1970" s="213"/>
    </row>
    <row r="1971" spans="1:16" ht="12">
      <c r="A1971" s="83" t="s">
        <v>3671</v>
      </c>
      <c r="B1971" s="257" t="s">
        <v>3672</v>
      </c>
      <c r="C1971" s="258" t="s">
        <v>103</v>
      </c>
      <c r="D1971" s="79">
        <v>9.6999999999999993</v>
      </c>
      <c r="F1971" s="79">
        <v>9.6999999999999993</v>
      </c>
      <c r="G1971" s="81"/>
      <c r="N1971" s="240"/>
      <c r="O1971" s="241"/>
      <c r="P1971" s="213"/>
    </row>
    <row r="1972" spans="1:16" ht="24">
      <c r="A1972" s="270" t="s">
        <v>3673</v>
      </c>
      <c r="B1972" s="271" t="s">
        <v>39287</v>
      </c>
      <c r="C1972" s="272" t="s">
        <v>165</v>
      </c>
      <c r="D1972" s="79">
        <v>7.11</v>
      </c>
      <c r="F1972" s="79">
        <v>7.11</v>
      </c>
      <c r="G1972" s="81"/>
      <c r="N1972" s="240"/>
      <c r="O1972" s="241"/>
      <c r="P1972" s="213"/>
    </row>
    <row r="1973" spans="1:16" ht="12">
      <c r="A1973" s="83" t="s">
        <v>3674</v>
      </c>
      <c r="B1973" s="257" t="s">
        <v>3675</v>
      </c>
      <c r="C1973" s="258" t="s">
        <v>165</v>
      </c>
      <c r="D1973" s="79">
        <v>4.9000000000000004</v>
      </c>
      <c r="F1973" s="79">
        <v>4.9000000000000004</v>
      </c>
      <c r="G1973" s="81"/>
      <c r="N1973" s="240"/>
      <c r="O1973" s="241"/>
      <c r="P1973" s="213"/>
    </row>
    <row r="1974" spans="1:16" ht="12">
      <c r="A1974" s="83" t="s">
        <v>3676</v>
      </c>
      <c r="B1974" s="257" t="s">
        <v>3677</v>
      </c>
      <c r="C1974" s="258" t="s">
        <v>165</v>
      </c>
      <c r="D1974" s="79">
        <v>7.22</v>
      </c>
      <c r="F1974" s="79">
        <v>7.22</v>
      </c>
      <c r="G1974" s="81"/>
      <c r="N1974" s="240"/>
      <c r="O1974" s="241"/>
      <c r="P1974" s="213"/>
    </row>
    <row r="1975" spans="1:16" ht="12">
      <c r="A1975" s="83" t="s">
        <v>3678</v>
      </c>
      <c r="B1975" s="257" t="s">
        <v>3679</v>
      </c>
      <c r="C1975" s="258" t="s">
        <v>165</v>
      </c>
      <c r="D1975" s="79">
        <v>14.24</v>
      </c>
      <c r="F1975" s="79">
        <v>14.24</v>
      </c>
      <c r="G1975" s="81"/>
      <c r="N1975" s="240"/>
      <c r="O1975" s="241"/>
      <c r="P1975" s="213"/>
    </row>
    <row r="1976" spans="1:16" ht="12">
      <c r="A1976" s="83" t="s">
        <v>3680</v>
      </c>
      <c r="B1976" s="257" t="s">
        <v>3681</v>
      </c>
      <c r="C1976" s="258" t="s">
        <v>165</v>
      </c>
      <c r="D1976" s="79">
        <v>16.23</v>
      </c>
      <c r="F1976" s="79">
        <v>16.23</v>
      </c>
      <c r="G1976" s="81"/>
      <c r="N1976" s="240"/>
      <c r="O1976" s="241"/>
      <c r="P1976" s="213"/>
    </row>
    <row r="1977" spans="1:16" ht="12">
      <c r="A1977" s="83" t="s">
        <v>3682</v>
      </c>
      <c r="B1977" s="257" t="s">
        <v>3683</v>
      </c>
      <c r="C1977" s="258" t="s">
        <v>165</v>
      </c>
      <c r="D1977" s="79">
        <v>22.97</v>
      </c>
      <c r="F1977" s="79">
        <v>22.97</v>
      </c>
      <c r="G1977" s="81"/>
      <c r="N1977" s="240"/>
      <c r="O1977" s="241"/>
      <c r="P1977" s="213"/>
    </row>
    <row r="1978" spans="1:16" ht="12">
      <c r="A1978" s="83" t="s">
        <v>3684</v>
      </c>
      <c r="B1978" s="257" t="s">
        <v>3685</v>
      </c>
      <c r="C1978" s="258" t="s">
        <v>165</v>
      </c>
      <c r="D1978" s="79">
        <v>34.11</v>
      </c>
      <c r="F1978" s="79">
        <v>34.11</v>
      </c>
      <c r="G1978" s="81"/>
      <c r="N1978" s="240"/>
      <c r="O1978" s="241"/>
      <c r="P1978" s="213"/>
    </row>
    <row r="1979" spans="1:16" ht="12">
      <c r="A1979" s="83" t="s">
        <v>3686</v>
      </c>
      <c r="B1979" s="257" t="s">
        <v>3687</v>
      </c>
      <c r="C1979" s="258" t="s">
        <v>165</v>
      </c>
      <c r="D1979" s="79">
        <v>5.96</v>
      </c>
      <c r="F1979" s="79">
        <v>5.96</v>
      </c>
      <c r="G1979" s="81"/>
      <c r="N1979" s="240"/>
      <c r="O1979" s="241"/>
      <c r="P1979" s="213"/>
    </row>
    <row r="1980" spans="1:16" ht="12">
      <c r="A1980" s="83" t="s">
        <v>3688</v>
      </c>
      <c r="B1980" s="257" t="s">
        <v>3689</v>
      </c>
      <c r="C1980" s="258" t="s">
        <v>103</v>
      </c>
      <c r="D1980" s="79">
        <v>695.22</v>
      </c>
      <c r="F1980" s="79">
        <v>695.22</v>
      </c>
      <c r="G1980" s="81"/>
      <c r="N1980" s="240"/>
      <c r="O1980" s="241"/>
      <c r="P1980" s="213"/>
    </row>
    <row r="1981" spans="1:16" ht="12">
      <c r="A1981" s="83" t="s">
        <v>3690</v>
      </c>
      <c r="B1981" s="257" t="s">
        <v>3691</v>
      </c>
      <c r="C1981" s="258" t="s">
        <v>103</v>
      </c>
      <c r="D1981" s="79">
        <v>383.08</v>
      </c>
      <c r="F1981" s="79">
        <v>383.08</v>
      </c>
      <c r="G1981" s="81"/>
      <c r="N1981" s="240"/>
      <c r="O1981" s="241"/>
      <c r="P1981" s="213"/>
    </row>
    <row r="1982" spans="1:16" ht="12">
      <c r="A1982" s="83" t="s">
        <v>3692</v>
      </c>
      <c r="B1982" s="257" t="s">
        <v>3693</v>
      </c>
      <c r="C1982" s="258" t="s">
        <v>103</v>
      </c>
      <c r="D1982" s="79">
        <v>1510.99</v>
      </c>
      <c r="F1982" s="79">
        <v>1510.99</v>
      </c>
      <c r="G1982" s="81"/>
      <c r="N1982" s="240"/>
      <c r="O1982" s="241"/>
      <c r="P1982" s="213"/>
    </row>
    <row r="1983" spans="1:16">
      <c r="A1983" s="259" t="s">
        <v>3694</v>
      </c>
      <c r="B1983" s="259" t="s">
        <v>3695</v>
      </c>
      <c r="C1983" s="260" t="s">
        <v>103</v>
      </c>
      <c r="D1983" s="79">
        <v>2551.15</v>
      </c>
      <c r="F1983" s="79">
        <v>2551.15</v>
      </c>
    </row>
    <row r="1984" spans="1:16" ht="12">
      <c r="A1984" s="83" t="s">
        <v>3696</v>
      </c>
      <c r="B1984" s="257" t="s">
        <v>3697</v>
      </c>
      <c r="C1984" s="258" t="s">
        <v>165</v>
      </c>
      <c r="D1984" s="79">
        <v>7.16</v>
      </c>
      <c r="F1984" s="79">
        <v>7.16</v>
      </c>
      <c r="G1984" s="81"/>
      <c r="N1984" s="240"/>
      <c r="O1984" s="241"/>
      <c r="P1984" s="213"/>
    </row>
    <row r="1985" spans="1:16" ht="24">
      <c r="A1985" s="83" t="s">
        <v>3698</v>
      </c>
      <c r="B1985" s="257" t="s">
        <v>3699</v>
      </c>
      <c r="C1985" s="258" t="s">
        <v>165</v>
      </c>
      <c r="D1985" s="79">
        <v>13.2</v>
      </c>
      <c r="F1985" s="79">
        <v>13.2</v>
      </c>
      <c r="G1985" s="81"/>
      <c r="N1985" s="240"/>
      <c r="O1985" s="241"/>
      <c r="P1985" s="213"/>
    </row>
    <row r="1986" spans="1:16" ht="12">
      <c r="A1986" s="83" t="s">
        <v>3700</v>
      </c>
      <c r="B1986" s="257" t="s">
        <v>28185</v>
      </c>
      <c r="C1986" s="258" t="s">
        <v>165</v>
      </c>
      <c r="D1986" s="79">
        <v>32.979999999999997</v>
      </c>
      <c r="F1986" s="79">
        <v>32.979999999999997</v>
      </c>
      <c r="G1986" s="81"/>
      <c r="N1986" s="240"/>
      <c r="O1986" s="241"/>
      <c r="P1986" s="213"/>
    </row>
    <row r="1987" spans="1:16" ht="12">
      <c r="A1987" s="83" t="s">
        <v>3702</v>
      </c>
      <c r="B1987" s="257" t="s">
        <v>3703</v>
      </c>
      <c r="C1987" s="258" t="s">
        <v>165</v>
      </c>
      <c r="D1987" s="79">
        <v>59.05</v>
      </c>
      <c r="F1987" s="79">
        <v>59.05</v>
      </c>
      <c r="G1987" s="81"/>
      <c r="N1987" s="240"/>
      <c r="O1987" s="241"/>
      <c r="P1987" s="213"/>
    </row>
    <row r="1988" spans="1:16" ht="12">
      <c r="A1988" s="83" t="s">
        <v>3704</v>
      </c>
      <c r="B1988" s="257" t="s">
        <v>3705</v>
      </c>
      <c r="C1988" s="258" t="s">
        <v>165</v>
      </c>
      <c r="D1988" s="79">
        <v>16.170000000000002</v>
      </c>
      <c r="F1988" s="79">
        <v>16.170000000000002</v>
      </c>
      <c r="G1988" s="81"/>
      <c r="N1988" s="240"/>
      <c r="O1988" s="241"/>
      <c r="P1988" s="213"/>
    </row>
    <row r="1989" spans="1:16" ht="12">
      <c r="A1989" s="83" t="s">
        <v>3706</v>
      </c>
      <c r="B1989" s="257" t="s">
        <v>3707</v>
      </c>
      <c r="C1989" s="258" t="s">
        <v>165</v>
      </c>
      <c r="D1989" s="79">
        <v>20.399999999999999</v>
      </c>
      <c r="F1989" s="79">
        <v>20.399999999999999</v>
      </c>
      <c r="G1989" s="81"/>
      <c r="N1989" s="240"/>
      <c r="O1989" s="241"/>
      <c r="P1989" s="213"/>
    </row>
    <row r="1990" spans="1:16" ht="12">
      <c r="A1990" s="83" t="s">
        <v>3708</v>
      </c>
      <c r="B1990" s="257" t="s">
        <v>3709</v>
      </c>
      <c r="C1990" s="258" t="s">
        <v>165</v>
      </c>
      <c r="D1990" s="79">
        <v>33.68</v>
      </c>
      <c r="F1990" s="79">
        <v>33.68</v>
      </c>
      <c r="G1990" s="81"/>
      <c r="N1990" s="240"/>
      <c r="O1990" s="241"/>
      <c r="P1990" s="213"/>
    </row>
    <row r="1991" spans="1:16" ht="12">
      <c r="A1991" s="83" t="s">
        <v>3710</v>
      </c>
      <c r="B1991" s="257" t="s">
        <v>3711</v>
      </c>
      <c r="C1991" s="258" t="s">
        <v>165</v>
      </c>
      <c r="D1991" s="79">
        <v>39.200000000000003</v>
      </c>
      <c r="F1991" s="79">
        <v>39.200000000000003</v>
      </c>
      <c r="G1991" s="81"/>
      <c r="N1991" s="240"/>
      <c r="O1991" s="241"/>
      <c r="P1991" s="213"/>
    </row>
    <row r="1992" spans="1:16" ht="12">
      <c r="A1992" s="83" t="s">
        <v>3712</v>
      </c>
      <c r="B1992" s="257" t="s">
        <v>3713</v>
      </c>
      <c r="C1992" s="258" t="s">
        <v>165</v>
      </c>
      <c r="D1992" s="79">
        <v>50.38</v>
      </c>
      <c r="F1992" s="79">
        <v>50.38</v>
      </c>
      <c r="G1992" s="81"/>
      <c r="N1992" s="240"/>
      <c r="O1992" s="241"/>
      <c r="P1992" s="213"/>
    </row>
    <row r="1993" spans="1:16" ht="12">
      <c r="A1993" s="83" t="s">
        <v>3714</v>
      </c>
      <c r="B1993" s="257" t="s">
        <v>3715</v>
      </c>
      <c r="C1993" s="258" t="s">
        <v>165</v>
      </c>
      <c r="D1993" s="79">
        <v>77.209999999999994</v>
      </c>
      <c r="F1993" s="79">
        <v>77.209999999999994</v>
      </c>
      <c r="G1993" s="81"/>
      <c r="N1993" s="240"/>
      <c r="O1993" s="241"/>
      <c r="P1993" s="213"/>
    </row>
    <row r="1994" spans="1:16" ht="12">
      <c r="A1994" s="83" t="s">
        <v>3716</v>
      </c>
      <c r="B1994" s="257" t="s">
        <v>3717</v>
      </c>
      <c r="C1994" s="258" t="s">
        <v>165</v>
      </c>
      <c r="D1994" s="79">
        <v>88.73</v>
      </c>
      <c r="F1994" s="79">
        <v>88.73</v>
      </c>
      <c r="G1994" s="81"/>
      <c r="N1994" s="240"/>
      <c r="O1994" s="241"/>
      <c r="P1994" s="213"/>
    </row>
    <row r="1995" spans="1:16" ht="12">
      <c r="A1995" s="83" t="s">
        <v>3718</v>
      </c>
      <c r="B1995" s="257" t="s">
        <v>3719</v>
      </c>
      <c r="C1995" s="258" t="s">
        <v>165</v>
      </c>
      <c r="D1995" s="79">
        <v>114.86</v>
      </c>
      <c r="F1995" s="79">
        <v>114.86</v>
      </c>
      <c r="G1995" s="81"/>
      <c r="N1995" s="240"/>
      <c r="O1995" s="241"/>
      <c r="P1995" s="213"/>
    </row>
    <row r="1996" spans="1:16" ht="12">
      <c r="A1996" s="83" t="s">
        <v>3720</v>
      </c>
      <c r="B1996" s="257" t="s">
        <v>3721</v>
      </c>
      <c r="C1996" s="258" t="s">
        <v>165</v>
      </c>
      <c r="D1996" s="79">
        <v>16.11</v>
      </c>
      <c r="F1996" s="79">
        <v>16.11</v>
      </c>
      <c r="G1996" s="81"/>
      <c r="N1996" s="240"/>
      <c r="O1996" s="241"/>
      <c r="P1996" s="213"/>
    </row>
    <row r="1997" spans="1:16" ht="12">
      <c r="A1997" s="83" t="s">
        <v>3722</v>
      </c>
      <c r="B1997" s="257" t="s">
        <v>3723</v>
      </c>
      <c r="C1997" s="258" t="s">
        <v>165</v>
      </c>
      <c r="D1997" s="79">
        <v>21.05</v>
      </c>
      <c r="F1997" s="79">
        <v>21.05</v>
      </c>
      <c r="G1997" s="81"/>
      <c r="N1997" s="240"/>
      <c r="O1997" s="241"/>
      <c r="P1997" s="213"/>
    </row>
    <row r="1998" spans="1:16" ht="12">
      <c r="A1998" s="83" t="s">
        <v>3724</v>
      </c>
      <c r="B1998" s="257" t="s">
        <v>3725</v>
      </c>
      <c r="C1998" s="258" t="s">
        <v>165</v>
      </c>
      <c r="D1998" s="79">
        <v>27.78</v>
      </c>
      <c r="F1998" s="79">
        <v>27.78</v>
      </c>
      <c r="G1998" s="81"/>
      <c r="N1998" s="240"/>
      <c r="O1998" s="241"/>
      <c r="P1998" s="213"/>
    </row>
    <row r="1999" spans="1:16" ht="12">
      <c r="A1999" s="83" t="s">
        <v>3726</v>
      </c>
      <c r="B1999" s="257" t="s">
        <v>3727</v>
      </c>
      <c r="C1999" s="258" t="s">
        <v>165</v>
      </c>
      <c r="D1999" s="79">
        <v>38.1</v>
      </c>
      <c r="F1999" s="79">
        <v>38.1</v>
      </c>
      <c r="G1999" s="81"/>
      <c r="N1999" s="240"/>
      <c r="O1999" s="241"/>
      <c r="P1999" s="213"/>
    </row>
    <row r="2000" spans="1:16" ht="12">
      <c r="A2000" s="83" t="s">
        <v>3728</v>
      </c>
      <c r="B2000" s="257" t="s">
        <v>3729</v>
      </c>
      <c r="C2000" s="258" t="s">
        <v>165</v>
      </c>
      <c r="D2000" s="79">
        <v>46.47</v>
      </c>
      <c r="F2000" s="79">
        <v>46.47</v>
      </c>
      <c r="G2000" s="81"/>
      <c r="N2000" s="240"/>
      <c r="O2000" s="241"/>
      <c r="P2000" s="213"/>
    </row>
    <row r="2001" spans="1:16" ht="12">
      <c r="A2001" s="83" t="s">
        <v>3730</v>
      </c>
      <c r="B2001" s="257" t="s">
        <v>3731</v>
      </c>
      <c r="C2001" s="258" t="s">
        <v>165</v>
      </c>
      <c r="D2001" s="79">
        <v>58.48</v>
      </c>
      <c r="F2001" s="79">
        <v>58.48</v>
      </c>
      <c r="G2001" s="81"/>
      <c r="N2001" s="240"/>
      <c r="O2001" s="241"/>
      <c r="P2001" s="213"/>
    </row>
    <row r="2002" spans="1:16" ht="12">
      <c r="A2002" s="83" t="s">
        <v>3732</v>
      </c>
      <c r="B2002" s="257" t="s">
        <v>3733</v>
      </c>
      <c r="C2002" s="258" t="s">
        <v>165</v>
      </c>
      <c r="D2002" s="79">
        <v>89.04</v>
      </c>
      <c r="F2002" s="79">
        <v>89.04</v>
      </c>
      <c r="G2002" s="81"/>
      <c r="N2002" s="240"/>
      <c r="O2002" s="241"/>
      <c r="P2002" s="213"/>
    </row>
    <row r="2003" spans="1:16" ht="12">
      <c r="A2003" s="83" t="s">
        <v>3734</v>
      </c>
      <c r="B2003" s="257" t="s">
        <v>3735</v>
      </c>
      <c r="C2003" s="258" t="s">
        <v>165</v>
      </c>
      <c r="D2003" s="79">
        <v>107.8</v>
      </c>
      <c r="F2003" s="79">
        <v>107.8</v>
      </c>
      <c r="G2003" s="81"/>
      <c r="N2003" s="240"/>
      <c r="O2003" s="241"/>
      <c r="P2003" s="213"/>
    </row>
    <row r="2004" spans="1:16" ht="12">
      <c r="A2004" s="83" t="s">
        <v>3736</v>
      </c>
      <c r="B2004" s="257" t="s">
        <v>3737</v>
      </c>
      <c r="C2004" s="258" t="s">
        <v>165</v>
      </c>
      <c r="D2004" s="79">
        <v>155.24</v>
      </c>
      <c r="F2004" s="79">
        <v>155.24</v>
      </c>
      <c r="G2004" s="81"/>
      <c r="N2004" s="240"/>
      <c r="O2004" s="241"/>
      <c r="P2004" s="213"/>
    </row>
    <row r="2005" spans="1:16" ht="12">
      <c r="A2005" s="83" t="s">
        <v>3738</v>
      </c>
      <c r="B2005" s="257" t="s">
        <v>3739</v>
      </c>
      <c r="C2005" s="258" t="s">
        <v>165</v>
      </c>
      <c r="D2005" s="79">
        <v>13.37</v>
      </c>
      <c r="F2005" s="79">
        <v>13.37</v>
      </c>
      <c r="G2005" s="81"/>
      <c r="N2005" s="240"/>
      <c r="O2005" s="241"/>
      <c r="P2005" s="213"/>
    </row>
    <row r="2006" spans="1:16" ht="12">
      <c r="A2006" s="83" t="s">
        <v>3740</v>
      </c>
      <c r="B2006" s="257" t="s">
        <v>3741</v>
      </c>
      <c r="C2006" s="258" t="s">
        <v>165</v>
      </c>
      <c r="D2006" s="79">
        <v>17.39</v>
      </c>
      <c r="F2006" s="79">
        <v>17.39</v>
      </c>
      <c r="G2006" s="81"/>
      <c r="N2006" s="240"/>
      <c r="O2006" s="241"/>
      <c r="P2006" s="213"/>
    </row>
    <row r="2007" spans="1:16" ht="12">
      <c r="A2007" s="83" t="s">
        <v>3742</v>
      </c>
      <c r="B2007" s="257" t="s">
        <v>3743</v>
      </c>
      <c r="C2007" s="258" t="s">
        <v>165</v>
      </c>
      <c r="D2007" s="79">
        <v>28.84</v>
      </c>
      <c r="F2007" s="79">
        <v>28.84</v>
      </c>
      <c r="G2007" s="81"/>
      <c r="N2007" s="240"/>
      <c r="O2007" s="241"/>
      <c r="P2007" s="213"/>
    </row>
    <row r="2008" spans="1:16" ht="12">
      <c r="A2008" s="83" t="s">
        <v>3744</v>
      </c>
      <c r="B2008" s="257" t="s">
        <v>3745</v>
      </c>
      <c r="C2008" s="258" t="s">
        <v>165</v>
      </c>
      <c r="D2008" s="79">
        <v>82.87</v>
      </c>
      <c r="F2008" s="79">
        <v>82.87</v>
      </c>
      <c r="G2008" s="81"/>
      <c r="N2008" s="240"/>
      <c r="O2008" s="241"/>
      <c r="P2008" s="213"/>
    </row>
    <row r="2009" spans="1:16" ht="12">
      <c r="A2009" s="83" t="s">
        <v>3746</v>
      </c>
      <c r="B2009" s="257" t="s">
        <v>3747</v>
      </c>
      <c r="C2009" s="258" t="s">
        <v>165</v>
      </c>
      <c r="D2009" s="79">
        <v>41.57</v>
      </c>
      <c r="F2009" s="79">
        <v>41.57</v>
      </c>
      <c r="G2009" s="81"/>
      <c r="N2009" s="240"/>
      <c r="O2009" s="241"/>
      <c r="P2009" s="213"/>
    </row>
    <row r="2010" spans="1:16" ht="12">
      <c r="A2010" s="83" t="s">
        <v>3748</v>
      </c>
      <c r="B2010" s="257" t="s">
        <v>3749</v>
      </c>
      <c r="C2010" s="258" t="s">
        <v>165</v>
      </c>
      <c r="D2010" s="79">
        <v>67.819999999999993</v>
      </c>
      <c r="F2010" s="79">
        <v>67.819999999999993</v>
      </c>
      <c r="G2010" s="81"/>
      <c r="N2010" s="240"/>
      <c r="O2010" s="241"/>
      <c r="P2010" s="213"/>
    </row>
    <row r="2011" spans="1:16" ht="12">
      <c r="A2011" s="83" t="s">
        <v>3750</v>
      </c>
      <c r="B2011" s="257" t="s">
        <v>3751</v>
      </c>
      <c r="C2011" s="258" t="s">
        <v>103</v>
      </c>
      <c r="D2011" s="79">
        <v>70.92</v>
      </c>
      <c r="F2011" s="79">
        <v>70.92</v>
      </c>
      <c r="G2011" s="81"/>
      <c r="N2011" s="240"/>
      <c r="O2011" s="241"/>
      <c r="P2011" s="213"/>
    </row>
    <row r="2012" spans="1:16" ht="12">
      <c r="A2012" s="83" t="s">
        <v>3752</v>
      </c>
      <c r="B2012" s="257" t="s">
        <v>3753</v>
      </c>
      <c r="C2012" s="258" t="s">
        <v>103</v>
      </c>
      <c r="D2012" s="79">
        <v>47.76</v>
      </c>
      <c r="F2012" s="79">
        <v>47.76</v>
      </c>
      <c r="G2012" s="81"/>
      <c r="N2012" s="240"/>
      <c r="O2012" s="241"/>
      <c r="P2012" s="213"/>
    </row>
    <row r="2013" spans="1:16" ht="12">
      <c r="A2013" s="83" t="s">
        <v>3754</v>
      </c>
      <c r="B2013" s="257" t="s">
        <v>3755</v>
      </c>
      <c r="C2013" s="258" t="s">
        <v>103</v>
      </c>
      <c r="D2013" s="79">
        <v>8.2100000000000009</v>
      </c>
      <c r="F2013" s="79">
        <v>8.2100000000000009</v>
      </c>
      <c r="G2013" s="81"/>
      <c r="N2013" s="240"/>
      <c r="O2013" s="241"/>
      <c r="P2013" s="213"/>
    </row>
    <row r="2014" spans="1:16" ht="12">
      <c r="A2014" s="83" t="s">
        <v>3756</v>
      </c>
      <c r="B2014" s="257" t="s">
        <v>3757</v>
      </c>
      <c r="C2014" s="258" t="s">
        <v>165</v>
      </c>
      <c r="D2014" s="79">
        <v>25.67</v>
      </c>
      <c r="F2014" s="79">
        <v>25.67</v>
      </c>
      <c r="G2014" s="81"/>
      <c r="N2014" s="240"/>
      <c r="O2014" s="241"/>
      <c r="P2014" s="213"/>
    </row>
    <row r="2015" spans="1:16" ht="12">
      <c r="A2015" s="83" t="s">
        <v>3758</v>
      </c>
      <c r="B2015" s="257" t="s">
        <v>3759</v>
      </c>
      <c r="C2015" s="258" t="s">
        <v>103</v>
      </c>
      <c r="D2015" s="79">
        <v>0.66</v>
      </c>
      <c r="F2015" s="79">
        <v>0.66</v>
      </c>
      <c r="G2015" s="81"/>
      <c r="N2015" s="240"/>
      <c r="O2015" s="241"/>
      <c r="P2015" s="213"/>
    </row>
    <row r="2016" spans="1:16" ht="12">
      <c r="A2016" s="83" t="s">
        <v>3760</v>
      </c>
      <c r="B2016" s="257" t="s">
        <v>3761</v>
      </c>
      <c r="C2016" s="258" t="s">
        <v>103</v>
      </c>
      <c r="D2016" s="79">
        <v>2.11</v>
      </c>
      <c r="F2016" s="79">
        <v>2.11</v>
      </c>
      <c r="G2016" s="81"/>
      <c r="N2016" s="240"/>
      <c r="O2016" s="241"/>
      <c r="P2016" s="213"/>
    </row>
    <row r="2017" spans="1:16" ht="12">
      <c r="A2017" s="83" t="s">
        <v>3762</v>
      </c>
      <c r="B2017" s="257" t="s">
        <v>3763</v>
      </c>
      <c r="C2017" s="258" t="s">
        <v>165</v>
      </c>
      <c r="D2017" s="79">
        <v>8.06</v>
      </c>
      <c r="F2017" s="79">
        <v>8.06</v>
      </c>
      <c r="G2017" s="81"/>
      <c r="N2017" s="240"/>
      <c r="O2017" s="241"/>
      <c r="P2017" s="213"/>
    </row>
    <row r="2018" spans="1:16" ht="24">
      <c r="A2018" s="83" t="s">
        <v>3764</v>
      </c>
      <c r="B2018" s="257" t="s">
        <v>3765</v>
      </c>
      <c r="C2018" s="258" t="s">
        <v>103</v>
      </c>
      <c r="D2018" s="79">
        <v>67.66</v>
      </c>
      <c r="F2018" s="79">
        <v>67.66</v>
      </c>
      <c r="G2018" s="81"/>
      <c r="N2018" s="240"/>
      <c r="O2018" s="241"/>
      <c r="P2018" s="213"/>
    </row>
    <row r="2019" spans="1:16" ht="24">
      <c r="A2019" s="83" t="s">
        <v>3766</v>
      </c>
      <c r="B2019" s="257" t="s">
        <v>3767</v>
      </c>
      <c r="C2019" s="258" t="s">
        <v>103</v>
      </c>
      <c r="D2019" s="79">
        <v>92.25</v>
      </c>
      <c r="F2019" s="79">
        <v>92.25</v>
      </c>
      <c r="G2019" s="81"/>
      <c r="N2019" s="240"/>
      <c r="O2019" s="241"/>
      <c r="P2019" s="213"/>
    </row>
    <row r="2020" spans="1:16" ht="24">
      <c r="A2020" s="83" t="s">
        <v>3768</v>
      </c>
      <c r="B2020" s="257" t="s">
        <v>3769</v>
      </c>
      <c r="C2020" s="258" t="s">
        <v>103</v>
      </c>
      <c r="D2020" s="79">
        <v>15.4</v>
      </c>
      <c r="F2020" s="79">
        <v>15.4</v>
      </c>
      <c r="G2020" s="81"/>
      <c r="N2020" s="240"/>
      <c r="O2020" s="241"/>
      <c r="P2020" s="213"/>
    </row>
    <row r="2021" spans="1:16" ht="24">
      <c r="A2021" s="83" t="s">
        <v>3770</v>
      </c>
      <c r="B2021" s="257" t="s">
        <v>28186</v>
      </c>
      <c r="C2021" s="258" t="s">
        <v>103</v>
      </c>
      <c r="D2021" s="79">
        <v>657.03</v>
      </c>
      <c r="F2021" s="79">
        <v>657.03</v>
      </c>
      <c r="G2021" s="81"/>
      <c r="N2021" s="240"/>
      <c r="O2021" s="241"/>
      <c r="P2021" s="213"/>
    </row>
    <row r="2022" spans="1:16" ht="12">
      <c r="A2022" s="83" t="s">
        <v>3771</v>
      </c>
      <c r="B2022" s="257" t="s">
        <v>3772</v>
      </c>
      <c r="C2022" s="258" t="s">
        <v>103</v>
      </c>
      <c r="D2022" s="79">
        <v>353.07</v>
      </c>
      <c r="F2022" s="79">
        <v>353.07</v>
      </c>
      <c r="G2022" s="81"/>
      <c r="N2022" s="240"/>
      <c r="O2022" s="241"/>
      <c r="P2022" s="213"/>
    </row>
    <row r="2023" spans="1:16" ht="12">
      <c r="A2023" s="83" t="s">
        <v>3773</v>
      </c>
      <c r="B2023" s="257" t="s">
        <v>3774</v>
      </c>
      <c r="C2023" s="258" t="s">
        <v>103</v>
      </c>
      <c r="D2023" s="79">
        <v>3.18</v>
      </c>
      <c r="F2023" s="79">
        <v>3.18</v>
      </c>
      <c r="G2023" s="81"/>
      <c r="N2023" s="240"/>
      <c r="O2023" s="241"/>
      <c r="P2023" s="213"/>
    </row>
    <row r="2024" spans="1:16" ht="12">
      <c r="A2024" s="83" t="s">
        <v>3775</v>
      </c>
      <c r="B2024" s="257" t="s">
        <v>3776</v>
      </c>
      <c r="C2024" s="258" t="s">
        <v>165</v>
      </c>
      <c r="D2024" s="79">
        <v>52.17</v>
      </c>
      <c r="F2024" s="79">
        <v>52.17</v>
      </c>
      <c r="G2024" s="81"/>
      <c r="N2024" s="240"/>
      <c r="O2024" s="241"/>
      <c r="P2024" s="213"/>
    </row>
    <row r="2025" spans="1:16" ht="12">
      <c r="A2025" s="83" t="s">
        <v>3777</v>
      </c>
      <c r="B2025" s="257" t="s">
        <v>3778</v>
      </c>
      <c r="C2025" s="258" t="s">
        <v>165</v>
      </c>
      <c r="D2025" s="79">
        <v>27.1</v>
      </c>
      <c r="F2025" s="79">
        <v>27.1</v>
      </c>
      <c r="G2025" s="81"/>
      <c r="N2025" s="240"/>
      <c r="O2025" s="241"/>
      <c r="P2025" s="213"/>
    </row>
    <row r="2026" spans="1:16" ht="12">
      <c r="A2026" s="83" t="s">
        <v>3779</v>
      </c>
      <c r="B2026" s="257" t="s">
        <v>3780</v>
      </c>
      <c r="C2026" s="258" t="s">
        <v>165</v>
      </c>
      <c r="D2026" s="79">
        <v>7.39</v>
      </c>
      <c r="F2026" s="79">
        <v>7.39</v>
      </c>
      <c r="G2026" s="81"/>
      <c r="N2026" s="240"/>
      <c r="O2026" s="241"/>
      <c r="P2026" s="213"/>
    </row>
    <row r="2027" spans="1:16" ht="12">
      <c r="A2027" s="83" t="s">
        <v>3781</v>
      </c>
      <c r="B2027" s="257" t="s">
        <v>3782</v>
      </c>
      <c r="C2027" s="258" t="s">
        <v>103</v>
      </c>
      <c r="D2027" s="79">
        <v>19.149999999999999</v>
      </c>
      <c r="F2027" s="79">
        <v>19.149999999999999</v>
      </c>
      <c r="G2027" s="81"/>
      <c r="N2027" s="240"/>
      <c r="O2027" s="241"/>
      <c r="P2027" s="213"/>
    </row>
    <row r="2028" spans="1:16" ht="12">
      <c r="A2028" s="83" t="s">
        <v>3783</v>
      </c>
      <c r="B2028" s="257" t="s">
        <v>3784</v>
      </c>
      <c r="C2028" s="258" t="s">
        <v>103</v>
      </c>
      <c r="D2028" s="79">
        <v>24.35</v>
      </c>
      <c r="F2028" s="79">
        <v>24.35</v>
      </c>
      <c r="G2028" s="81"/>
      <c r="N2028" s="240"/>
      <c r="O2028" s="241"/>
      <c r="P2028" s="213"/>
    </row>
    <row r="2029" spans="1:16" ht="12">
      <c r="A2029" s="83" t="s">
        <v>3785</v>
      </c>
      <c r="B2029" s="257" t="s">
        <v>3786</v>
      </c>
      <c r="C2029" s="258" t="s">
        <v>103</v>
      </c>
      <c r="D2029" s="79">
        <v>64.89</v>
      </c>
      <c r="F2029" s="79">
        <v>64.89</v>
      </c>
      <c r="G2029" s="81"/>
      <c r="N2029" s="240"/>
      <c r="O2029" s="241"/>
      <c r="P2029" s="213"/>
    </row>
    <row r="2030" spans="1:16" ht="12">
      <c r="A2030" s="83" t="s">
        <v>3787</v>
      </c>
      <c r="B2030" s="257" t="s">
        <v>3788</v>
      </c>
      <c r="C2030" s="258" t="s">
        <v>103</v>
      </c>
      <c r="D2030" s="79">
        <v>69.739999999999995</v>
      </c>
      <c r="F2030" s="79">
        <v>69.739999999999995</v>
      </c>
      <c r="G2030" s="81"/>
      <c r="N2030" s="240"/>
      <c r="O2030" s="241"/>
      <c r="P2030" s="213"/>
    </row>
    <row r="2031" spans="1:16" ht="12">
      <c r="A2031" s="83" t="s">
        <v>3789</v>
      </c>
      <c r="B2031" s="257" t="s">
        <v>3790</v>
      </c>
      <c r="C2031" s="258" t="s">
        <v>165</v>
      </c>
      <c r="D2031" s="79">
        <v>40.72</v>
      </c>
      <c r="F2031" s="79">
        <v>40.72</v>
      </c>
      <c r="G2031" s="81"/>
      <c r="N2031" s="240"/>
      <c r="O2031" s="241"/>
      <c r="P2031" s="213"/>
    </row>
    <row r="2032" spans="1:16" ht="12">
      <c r="A2032" s="83" t="s">
        <v>3791</v>
      </c>
      <c r="B2032" s="257" t="s">
        <v>3792</v>
      </c>
      <c r="C2032" s="258" t="s">
        <v>165</v>
      </c>
      <c r="D2032" s="79">
        <v>54.03</v>
      </c>
      <c r="F2032" s="79">
        <v>54.03</v>
      </c>
      <c r="G2032" s="81"/>
      <c r="N2032" s="240"/>
      <c r="O2032" s="241"/>
      <c r="P2032" s="213"/>
    </row>
    <row r="2033" spans="1:16" ht="12">
      <c r="A2033" s="83" t="s">
        <v>3793</v>
      </c>
      <c r="B2033" s="257" t="s">
        <v>3794</v>
      </c>
      <c r="C2033" s="258" t="s">
        <v>165</v>
      </c>
      <c r="D2033" s="79">
        <v>66.69</v>
      </c>
      <c r="F2033" s="79">
        <v>66.69</v>
      </c>
      <c r="G2033" s="81"/>
      <c r="N2033" s="240"/>
      <c r="O2033" s="241"/>
      <c r="P2033" s="213"/>
    </row>
    <row r="2034" spans="1:16" ht="12">
      <c r="A2034" s="83" t="s">
        <v>3795</v>
      </c>
      <c r="B2034" s="257" t="s">
        <v>3796</v>
      </c>
      <c r="C2034" s="258" t="s">
        <v>165</v>
      </c>
      <c r="D2034" s="79">
        <v>79.61</v>
      </c>
      <c r="F2034" s="79">
        <v>79.61</v>
      </c>
      <c r="G2034" s="81"/>
      <c r="N2034" s="240"/>
      <c r="O2034" s="241"/>
      <c r="P2034" s="213"/>
    </row>
    <row r="2035" spans="1:16" ht="12">
      <c r="A2035" s="83" t="s">
        <v>3797</v>
      </c>
      <c r="B2035" s="257" t="s">
        <v>3798</v>
      </c>
      <c r="C2035" s="258" t="s">
        <v>165</v>
      </c>
      <c r="D2035" s="79">
        <v>93.68</v>
      </c>
      <c r="F2035" s="79">
        <v>93.68</v>
      </c>
      <c r="G2035" s="81"/>
      <c r="N2035" s="240"/>
      <c r="O2035" s="241"/>
      <c r="P2035" s="213"/>
    </row>
    <row r="2036" spans="1:16" ht="12">
      <c r="A2036" s="83" t="s">
        <v>3799</v>
      </c>
      <c r="B2036" s="257" t="s">
        <v>3800</v>
      </c>
      <c r="C2036" s="258" t="s">
        <v>165</v>
      </c>
      <c r="D2036" s="79">
        <v>82.15</v>
      </c>
      <c r="F2036" s="79">
        <v>82.15</v>
      </c>
      <c r="G2036" s="81"/>
      <c r="N2036" s="240"/>
      <c r="O2036" s="241"/>
      <c r="P2036" s="213"/>
    </row>
    <row r="2037" spans="1:16" ht="12">
      <c r="A2037" s="83" t="s">
        <v>3801</v>
      </c>
      <c r="B2037" s="257" t="s">
        <v>3802</v>
      </c>
      <c r="C2037" s="258" t="s">
        <v>165</v>
      </c>
      <c r="D2037" s="79">
        <v>91.61</v>
      </c>
      <c r="F2037" s="79">
        <v>91.61</v>
      </c>
      <c r="G2037" s="81"/>
      <c r="N2037" s="240"/>
      <c r="O2037" s="241"/>
      <c r="P2037" s="213"/>
    </row>
    <row r="2038" spans="1:16" ht="12">
      <c r="A2038" s="83" t="s">
        <v>3803</v>
      </c>
      <c r="B2038" s="257" t="s">
        <v>3804</v>
      </c>
      <c r="C2038" s="258" t="s">
        <v>165</v>
      </c>
      <c r="D2038" s="79">
        <v>108.38</v>
      </c>
      <c r="F2038" s="79">
        <v>108.38</v>
      </c>
      <c r="G2038" s="81"/>
      <c r="N2038" s="240"/>
      <c r="O2038" s="241"/>
      <c r="P2038" s="213"/>
    </row>
    <row r="2039" spans="1:16" ht="12">
      <c r="A2039" s="83" t="s">
        <v>3805</v>
      </c>
      <c r="B2039" s="257" t="s">
        <v>3806</v>
      </c>
      <c r="C2039" s="258" t="s">
        <v>165</v>
      </c>
      <c r="D2039" s="79">
        <v>120.49</v>
      </c>
      <c r="F2039" s="79">
        <v>120.49</v>
      </c>
      <c r="G2039" s="81"/>
      <c r="N2039" s="240"/>
      <c r="O2039" s="241"/>
      <c r="P2039" s="213"/>
    </row>
    <row r="2040" spans="1:16" ht="12">
      <c r="A2040" s="83" t="s">
        <v>3807</v>
      </c>
      <c r="B2040" s="257" t="s">
        <v>3808</v>
      </c>
      <c r="C2040" s="258" t="s">
        <v>165</v>
      </c>
      <c r="D2040" s="79">
        <v>130.49</v>
      </c>
      <c r="F2040" s="79">
        <v>130.49</v>
      </c>
      <c r="G2040" s="81"/>
      <c r="N2040" s="240"/>
      <c r="O2040" s="241"/>
      <c r="P2040" s="213"/>
    </row>
    <row r="2041" spans="1:16" ht="12">
      <c r="A2041" s="83" t="s">
        <v>3809</v>
      </c>
      <c r="B2041" s="257" t="s">
        <v>3810</v>
      </c>
      <c r="C2041" s="258" t="s">
        <v>165</v>
      </c>
      <c r="D2041" s="79">
        <v>161.07</v>
      </c>
      <c r="F2041" s="79">
        <v>161.07</v>
      </c>
      <c r="G2041" s="81"/>
      <c r="N2041" s="240"/>
      <c r="O2041" s="241"/>
      <c r="P2041" s="213"/>
    </row>
    <row r="2042" spans="1:16" ht="12">
      <c r="A2042" s="83" t="s">
        <v>3811</v>
      </c>
      <c r="B2042" s="257" t="s">
        <v>3812</v>
      </c>
      <c r="C2042" s="258" t="s">
        <v>165</v>
      </c>
      <c r="D2042" s="79">
        <v>47.32</v>
      </c>
      <c r="F2042" s="79">
        <v>47.32</v>
      </c>
      <c r="G2042" s="81"/>
      <c r="N2042" s="240"/>
      <c r="O2042" s="241"/>
      <c r="P2042" s="213"/>
    </row>
    <row r="2043" spans="1:16" ht="12">
      <c r="A2043" s="83" t="s">
        <v>3813</v>
      </c>
      <c r="B2043" s="257" t="s">
        <v>3814</v>
      </c>
      <c r="C2043" s="258" t="s">
        <v>165</v>
      </c>
      <c r="D2043" s="79">
        <v>58.45</v>
      </c>
      <c r="F2043" s="79">
        <v>58.45</v>
      </c>
      <c r="G2043" s="81"/>
      <c r="N2043" s="240"/>
      <c r="O2043" s="241"/>
      <c r="P2043" s="213"/>
    </row>
    <row r="2044" spans="1:16" ht="12">
      <c r="A2044" s="83" t="s">
        <v>3815</v>
      </c>
      <c r="B2044" s="257" t="s">
        <v>3816</v>
      </c>
      <c r="C2044" s="258" t="s">
        <v>165</v>
      </c>
      <c r="D2044" s="79">
        <v>71.56</v>
      </c>
      <c r="F2044" s="79">
        <v>71.56</v>
      </c>
      <c r="G2044" s="81"/>
      <c r="N2044" s="240"/>
      <c r="O2044" s="241"/>
      <c r="P2044" s="213"/>
    </row>
    <row r="2045" spans="1:16" ht="12">
      <c r="A2045" s="83" t="s">
        <v>3817</v>
      </c>
      <c r="B2045" s="257" t="s">
        <v>3818</v>
      </c>
      <c r="C2045" s="258" t="s">
        <v>165</v>
      </c>
      <c r="D2045" s="79">
        <v>81.3</v>
      </c>
      <c r="F2045" s="79">
        <v>81.3</v>
      </c>
      <c r="G2045" s="81"/>
      <c r="N2045" s="240"/>
      <c r="O2045" s="241"/>
      <c r="P2045" s="213"/>
    </row>
    <row r="2046" spans="1:16" ht="12">
      <c r="A2046" s="83" t="s">
        <v>3819</v>
      </c>
      <c r="B2046" s="257" t="s">
        <v>3820</v>
      </c>
      <c r="C2046" s="258" t="s">
        <v>165</v>
      </c>
      <c r="D2046" s="79">
        <v>78.84</v>
      </c>
      <c r="F2046" s="79">
        <v>78.84</v>
      </c>
      <c r="G2046" s="81"/>
      <c r="N2046" s="240"/>
      <c r="O2046" s="241"/>
      <c r="P2046" s="213"/>
    </row>
    <row r="2047" spans="1:16" ht="12">
      <c r="A2047" s="83" t="s">
        <v>3821</v>
      </c>
      <c r="B2047" s="257" t="s">
        <v>3822</v>
      </c>
      <c r="C2047" s="258" t="s">
        <v>165</v>
      </c>
      <c r="D2047" s="79">
        <v>94.66</v>
      </c>
      <c r="F2047" s="79">
        <v>94.66</v>
      </c>
      <c r="G2047" s="81"/>
      <c r="N2047" s="240"/>
      <c r="O2047" s="241"/>
      <c r="P2047" s="213"/>
    </row>
    <row r="2048" spans="1:16" ht="12">
      <c r="A2048" s="83" t="s">
        <v>3823</v>
      </c>
      <c r="B2048" s="257" t="s">
        <v>3824</v>
      </c>
      <c r="C2048" s="258" t="s">
        <v>165</v>
      </c>
      <c r="D2048" s="79">
        <v>107.96</v>
      </c>
      <c r="F2048" s="79">
        <v>107.96</v>
      </c>
      <c r="G2048" s="81"/>
      <c r="N2048" s="240"/>
      <c r="O2048" s="241"/>
      <c r="P2048" s="213"/>
    </row>
    <row r="2049" spans="1:16" ht="12">
      <c r="A2049" s="83" t="s">
        <v>3825</v>
      </c>
      <c r="B2049" s="257" t="s">
        <v>3826</v>
      </c>
      <c r="C2049" s="258" t="s">
        <v>165</v>
      </c>
      <c r="D2049" s="79">
        <v>116.16</v>
      </c>
      <c r="F2049" s="79">
        <v>116.16</v>
      </c>
      <c r="G2049" s="81"/>
      <c r="N2049" s="240"/>
      <c r="O2049" s="241"/>
      <c r="P2049" s="213"/>
    </row>
    <row r="2050" spans="1:16" ht="12">
      <c r="A2050" s="83" t="s">
        <v>3827</v>
      </c>
      <c r="B2050" s="257" t="s">
        <v>3828</v>
      </c>
      <c r="C2050" s="258" t="s">
        <v>165</v>
      </c>
      <c r="D2050" s="79">
        <v>166.68</v>
      </c>
      <c r="F2050" s="79">
        <v>166.68</v>
      </c>
      <c r="G2050" s="81"/>
      <c r="N2050" s="240"/>
      <c r="O2050" s="241"/>
      <c r="P2050" s="213"/>
    </row>
    <row r="2051" spans="1:16" ht="12">
      <c r="A2051" s="83" t="s">
        <v>3829</v>
      </c>
      <c r="B2051" s="257" t="s">
        <v>3830</v>
      </c>
      <c r="C2051" s="258" t="s">
        <v>165</v>
      </c>
      <c r="D2051" s="79">
        <v>21.14</v>
      </c>
      <c r="F2051" s="79">
        <v>21.14</v>
      </c>
      <c r="G2051" s="81"/>
      <c r="N2051" s="240"/>
      <c r="O2051" s="241"/>
      <c r="P2051" s="213"/>
    </row>
    <row r="2052" spans="1:16" ht="12">
      <c r="A2052" s="83" t="s">
        <v>3831</v>
      </c>
      <c r="B2052" s="257" t="s">
        <v>3832</v>
      </c>
      <c r="C2052" s="258" t="s">
        <v>165</v>
      </c>
      <c r="D2052" s="79">
        <v>36.92</v>
      </c>
      <c r="F2052" s="79">
        <v>36.92</v>
      </c>
      <c r="G2052" s="81"/>
      <c r="N2052" s="240"/>
      <c r="O2052" s="241"/>
      <c r="P2052" s="213"/>
    </row>
    <row r="2053" spans="1:16" ht="12">
      <c r="A2053" s="83" t="s">
        <v>3833</v>
      </c>
      <c r="B2053" s="257" t="s">
        <v>3834</v>
      </c>
      <c r="C2053" s="258" t="s">
        <v>165</v>
      </c>
      <c r="D2053" s="79">
        <v>51.42</v>
      </c>
      <c r="F2053" s="79">
        <v>51.42</v>
      </c>
      <c r="G2053" s="81"/>
      <c r="N2053" s="240"/>
      <c r="O2053" s="241"/>
      <c r="P2053" s="213"/>
    </row>
    <row r="2054" spans="1:16" ht="12">
      <c r="A2054" s="83" t="s">
        <v>3835</v>
      </c>
      <c r="B2054" s="257" t="s">
        <v>3836</v>
      </c>
      <c r="C2054" s="258" t="s">
        <v>165</v>
      </c>
      <c r="D2054" s="79">
        <v>64.92</v>
      </c>
      <c r="F2054" s="79">
        <v>64.92</v>
      </c>
      <c r="G2054" s="81"/>
      <c r="N2054" s="240"/>
      <c r="O2054" s="241"/>
      <c r="P2054" s="213"/>
    </row>
    <row r="2055" spans="1:16" ht="12">
      <c r="A2055" s="83" t="s">
        <v>3837</v>
      </c>
      <c r="B2055" s="257" t="s">
        <v>3838</v>
      </c>
      <c r="C2055" s="258" t="s">
        <v>165</v>
      </c>
      <c r="D2055" s="79">
        <v>87.78</v>
      </c>
      <c r="F2055" s="79">
        <v>87.78</v>
      </c>
      <c r="G2055" s="81"/>
      <c r="N2055" s="240"/>
      <c r="O2055" s="241"/>
      <c r="P2055" s="213"/>
    </row>
    <row r="2056" spans="1:16" ht="12">
      <c r="A2056" s="83" t="s">
        <v>3839</v>
      </c>
      <c r="B2056" s="257" t="s">
        <v>3840</v>
      </c>
      <c r="C2056" s="258" t="s">
        <v>165</v>
      </c>
      <c r="D2056" s="79">
        <v>93.57</v>
      </c>
      <c r="F2056" s="79">
        <v>93.57</v>
      </c>
      <c r="G2056" s="81"/>
      <c r="N2056" s="240"/>
      <c r="O2056" s="241"/>
      <c r="P2056" s="213"/>
    </row>
    <row r="2057" spans="1:16" ht="12">
      <c r="A2057" s="83" t="s">
        <v>3841</v>
      </c>
      <c r="B2057" s="257" t="s">
        <v>3842</v>
      </c>
      <c r="C2057" s="258" t="s">
        <v>165</v>
      </c>
      <c r="D2057" s="79">
        <v>124.82</v>
      </c>
      <c r="F2057" s="79">
        <v>124.82</v>
      </c>
      <c r="G2057" s="81"/>
      <c r="N2057" s="240"/>
      <c r="O2057" s="241"/>
      <c r="P2057" s="213"/>
    </row>
    <row r="2058" spans="1:16" ht="12">
      <c r="A2058" s="83" t="s">
        <v>3843</v>
      </c>
      <c r="B2058" s="257" t="s">
        <v>3844</v>
      </c>
      <c r="C2058" s="258" t="s">
        <v>103</v>
      </c>
      <c r="D2058" s="79">
        <v>5.66</v>
      </c>
      <c r="F2058" s="79">
        <v>5.66</v>
      </c>
      <c r="G2058" s="81"/>
      <c r="N2058" s="240"/>
      <c r="O2058" s="241"/>
      <c r="P2058" s="213"/>
    </row>
    <row r="2059" spans="1:16" ht="12">
      <c r="A2059" s="83" t="s">
        <v>3845</v>
      </c>
      <c r="B2059" s="257" t="s">
        <v>3846</v>
      </c>
      <c r="C2059" s="258" t="s">
        <v>103</v>
      </c>
      <c r="D2059" s="79">
        <v>10.62</v>
      </c>
      <c r="F2059" s="79">
        <v>10.62</v>
      </c>
      <c r="G2059" s="81"/>
      <c r="N2059" s="240"/>
      <c r="O2059" s="241"/>
      <c r="P2059" s="213"/>
    </row>
    <row r="2060" spans="1:16" ht="12">
      <c r="A2060" s="83" t="s">
        <v>3847</v>
      </c>
      <c r="B2060" s="257" t="s">
        <v>3848</v>
      </c>
      <c r="C2060" s="258" t="s">
        <v>103</v>
      </c>
      <c r="D2060" s="79">
        <v>13.5</v>
      </c>
      <c r="F2060" s="79">
        <v>13.5</v>
      </c>
      <c r="G2060" s="81"/>
      <c r="N2060" s="240"/>
      <c r="O2060" s="241"/>
      <c r="P2060" s="213"/>
    </row>
    <row r="2061" spans="1:16" ht="12">
      <c r="A2061" s="83" t="s">
        <v>3849</v>
      </c>
      <c r="B2061" s="257" t="s">
        <v>3850</v>
      </c>
      <c r="C2061" s="258" t="s">
        <v>103</v>
      </c>
      <c r="D2061" s="79">
        <v>16.28</v>
      </c>
      <c r="F2061" s="79">
        <v>16.28</v>
      </c>
      <c r="G2061" s="81"/>
      <c r="N2061" s="240"/>
      <c r="O2061" s="241"/>
      <c r="P2061" s="213"/>
    </row>
    <row r="2062" spans="1:16" ht="12">
      <c r="A2062" s="83" t="s">
        <v>3851</v>
      </c>
      <c r="B2062" s="257" t="s">
        <v>3852</v>
      </c>
      <c r="C2062" s="258" t="s">
        <v>103</v>
      </c>
      <c r="D2062" s="79">
        <v>18.5</v>
      </c>
      <c r="F2062" s="79">
        <v>18.5</v>
      </c>
      <c r="G2062" s="81"/>
      <c r="N2062" s="240"/>
      <c r="O2062" s="241"/>
      <c r="P2062" s="213"/>
    </row>
    <row r="2063" spans="1:16" ht="12">
      <c r="A2063" s="83" t="s">
        <v>3853</v>
      </c>
      <c r="B2063" s="257" t="s">
        <v>3854</v>
      </c>
      <c r="C2063" s="258" t="s">
        <v>103</v>
      </c>
      <c r="D2063" s="79">
        <v>22</v>
      </c>
      <c r="F2063" s="79">
        <v>22</v>
      </c>
      <c r="G2063" s="81"/>
      <c r="N2063" s="240"/>
      <c r="O2063" s="241"/>
      <c r="P2063" s="213"/>
    </row>
    <row r="2064" spans="1:16" ht="12">
      <c r="A2064" s="83" t="s">
        <v>3855</v>
      </c>
      <c r="B2064" s="257" t="s">
        <v>3856</v>
      </c>
      <c r="C2064" s="258" t="s">
        <v>103</v>
      </c>
      <c r="D2064" s="79">
        <v>15</v>
      </c>
      <c r="F2064" s="79">
        <v>15</v>
      </c>
      <c r="G2064" s="81"/>
      <c r="N2064" s="240"/>
      <c r="O2064" s="241"/>
      <c r="P2064" s="213"/>
    </row>
    <row r="2065" spans="1:16" ht="12">
      <c r="A2065" s="83" t="s">
        <v>3857</v>
      </c>
      <c r="B2065" s="257" t="s">
        <v>3858</v>
      </c>
      <c r="C2065" s="258" t="s">
        <v>103</v>
      </c>
      <c r="D2065" s="79">
        <v>17.09</v>
      </c>
      <c r="F2065" s="79">
        <v>17.09</v>
      </c>
      <c r="G2065" s="81"/>
      <c r="N2065" s="240"/>
      <c r="O2065" s="241"/>
      <c r="P2065" s="213"/>
    </row>
    <row r="2066" spans="1:16" ht="12">
      <c r="A2066" s="83" t="s">
        <v>3859</v>
      </c>
      <c r="B2066" s="257" t="s">
        <v>3860</v>
      </c>
      <c r="C2066" s="258" t="s">
        <v>103</v>
      </c>
      <c r="D2066" s="79">
        <v>20.96</v>
      </c>
      <c r="F2066" s="79">
        <v>20.96</v>
      </c>
      <c r="G2066" s="81"/>
      <c r="N2066" s="240"/>
      <c r="O2066" s="241"/>
      <c r="P2066" s="213"/>
    </row>
    <row r="2067" spans="1:16" ht="12">
      <c r="A2067" s="83" t="s">
        <v>3861</v>
      </c>
      <c r="B2067" s="257" t="s">
        <v>3862</v>
      </c>
      <c r="C2067" s="258" t="s">
        <v>103</v>
      </c>
      <c r="D2067" s="79">
        <v>21.71</v>
      </c>
      <c r="F2067" s="79">
        <v>21.71</v>
      </c>
      <c r="G2067" s="81"/>
      <c r="N2067" s="240"/>
      <c r="O2067" s="241"/>
      <c r="P2067" s="213"/>
    </row>
    <row r="2068" spans="1:16" ht="12">
      <c r="A2068" s="83" t="s">
        <v>3863</v>
      </c>
      <c r="B2068" s="257" t="s">
        <v>3864</v>
      </c>
      <c r="C2068" s="258" t="s">
        <v>103</v>
      </c>
      <c r="D2068" s="79">
        <v>25.72</v>
      </c>
      <c r="F2068" s="79">
        <v>25.72</v>
      </c>
      <c r="G2068" s="81"/>
      <c r="N2068" s="240"/>
      <c r="O2068" s="241"/>
      <c r="P2068" s="213"/>
    </row>
    <row r="2069" spans="1:16" ht="12">
      <c r="A2069" s="83" t="s">
        <v>3865</v>
      </c>
      <c r="B2069" s="257" t="s">
        <v>3866</v>
      </c>
      <c r="C2069" s="258" t="s">
        <v>103</v>
      </c>
      <c r="D2069" s="79">
        <v>30.2</v>
      </c>
      <c r="F2069" s="79">
        <v>30.2</v>
      </c>
      <c r="G2069" s="81"/>
      <c r="N2069" s="240"/>
      <c r="O2069" s="241"/>
      <c r="P2069" s="213"/>
    </row>
    <row r="2070" spans="1:16" ht="12">
      <c r="A2070" s="83" t="s">
        <v>3867</v>
      </c>
      <c r="B2070" s="257" t="s">
        <v>3868</v>
      </c>
      <c r="C2070" s="258" t="s">
        <v>103</v>
      </c>
      <c r="D2070" s="79">
        <v>15.26</v>
      </c>
      <c r="F2070" s="79">
        <v>15.26</v>
      </c>
      <c r="G2070" s="81"/>
      <c r="N2070" s="240"/>
      <c r="O2070" s="241"/>
      <c r="P2070" s="213"/>
    </row>
    <row r="2071" spans="1:16" ht="12">
      <c r="A2071" s="83" t="s">
        <v>3869</v>
      </c>
      <c r="B2071" s="257" t="s">
        <v>3870</v>
      </c>
      <c r="C2071" s="258" t="s">
        <v>103</v>
      </c>
      <c r="D2071" s="79">
        <v>17.28</v>
      </c>
      <c r="F2071" s="79">
        <v>17.28</v>
      </c>
      <c r="G2071" s="81"/>
      <c r="N2071" s="240"/>
      <c r="O2071" s="241"/>
      <c r="P2071" s="213"/>
    </row>
    <row r="2072" spans="1:16" ht="12">
      <c r="A2072" s="83" t="s">
        <v>3871</v>
      </c>
      <c r="B2072" s="257" t="s">
        <v>3872</v>
      </c>
      <c r="C2072" s="258" t="s">
        <v>103</v>
      </c>
      <c r="D2072" s="79">
        <v>21.8</v>
      </c>
      <c r="F2072" s="79">
        <v>21.8</v>
      </c>
      <c r="G2072" s="81"/>
      <c r="N2072" s="240"/>
      <c r="O2072" s="241"/>
      <c r="P2072" s="213"/>
    </row>
    <row r="2073" spans="1:16" ht="12">
      <c r="A2073" s="83" t="s">
        <v>3873</v>
      </c>
      <c r="B2073" s="257" t="s">
        <v>3874</v>
      </c>
      <c r="C2073" s="258" t="s">
        <v>103</v>
      </c>
      <c r="D2073" s="79">
        <v>27.03</v>
      </c>
      <c r="F2073" s="79">
        <v>27.03</v>
      </c>
      <c r="G2073" s="81"/>
      <c r="N2073" s="240"/>
      <c r="O2073" s="241"/>
      <c r="P2073" s="213"/>
    </row>
    <row r="2074" spans="1:16" ht="12">
      <c r="A2074" s="83" t="s">
        <v>3875</v>
      </c>
      <c r="B2074" s="257" t="s">
        <v>3876</v>
      </c>
      <c r="C2074" s="258" t="s">
        <v>103</v>
      </c>
      <c r="D2074" s="79">
        <v>25.68</v>
      </c>
      <c r="F2074" s="79">
        <v>25.68</v>
      </c>
      <c r="G2074" s="81"/>
      <c r="N2074" s="240"/>
      <c r="O2074" s="241"/>
      <c r="P2074" s="213"/>
    </row>
    <row r="2075" spans="1:16" ht="12">
      <c r="A2075" s="83" t="s">
        <v>3877</v>
      </c>
      <c r="B2075" s="257" t="s">
        <v>3878</v>
      </c>
      <c r="C2075" s="258" t="s">
        <v>103</v>
      </c>
      <c r="D2075" s="79">
        <v>34.409999999999997</v>
      </c>
      <c r="F2075" s="79">
        <v>34.409999999999997</v>
      </c>
      <c r="G2075" s="81"/>
      <c r="N2075" s="240"/>
      <c r="O2075" s="241"/>
      <c r="P2075" s="213"/>
    </row>
    <row r="2076" spans="1:16" ht="12">
      <c r="A2076" s="83" t="s">
        <v>3879</v>
      </c>
      <c r="B2076" s="257" t="s">
        <v>3880</v>
      </c>
      <c r="C2076" s="258" t="s">
        <v>103</v>
      </c>
      <c r="D2076" s="79">
        <v>47.32</v>
      </c>
      <c r="F2076" s="79">
        <v>47.32</v>
      </c>
      <c r="G2076" s="81"/>
      <c r="N2076" s="240"/>
      <c r="O2076" s="241"/>
      <c r="P2076" s="213"/>
    </row>
    <row r="2077" spans="1:16" ht="12">
      <c r="A2077" s="83" t="s">
        <v>3881</v>
      </c>
      <c r="B2077" s="257" t="s">
        <v>3882</v>
      </c>
      <c r="C2077" s="258" t="s">
        <v>165</v>
      </c>
      <c r="D2077" s="79">
        <v>63.35</v>
      </c>
      <c r="F2077" s="79">
        <v>63.35</v>
      </c>
      <c r="G2077" s="81"/>
      <c r="N2077" s="240"/>
      <c r="O2077" s="241"/>
      <c r="P2077" s="213"/>
    </row>
    <row r="2078" spans="1:16" ht="24">
      <c r="A2078" s="83" t="s">
        <v>3883</v>
      </c>
      <c r="B2078" s="257" t="s">
        <v>3884</v>
      </c>
      <c r="C2078" s="258" t="s">
        <v>103</v>
      </c>
      <c r="D2078" s="79">
        <v>76.13</v>
      </c>
      <c r="F2078" s="79">
        <v>76.13</v>
      </c>
      <c r="G2078" s="81"/>
      <c r="N2078" s="240"/>
      <c r="O2078" s="241"/>
      <c r="P2078" s="213"/>
    </row>
    <row r="2079" spans="1:16" ht="24">
      <c r="A2079" s="83" t="s">
        <v>3885</v>
      </c>
      <c r="B2079" s="257" t="s">
        <v>3886</v>
      </c>
      <c r="C2079" s="258" t="s">
        <v>103</v>
      </c>
      <c r="D2079" s="79">
        <v>13.08</v>
      </c>
      <c r="F2079" s="79">
        <v>13.08</v>
      </c>
      <c r="G2079" s="81"/>
      <c r="N2079" s="240"/>
      <c r="O2079" s="241"/>
      <c r="P2079" s="213"/>
    </row>
    <row r="2080" spans="1:16" ht="12">
      <c r="A2080" s="83" t="s">
        <v>3887</v>
      </c>
      <c r="B2080" s="257" t="s">
        <v>3888</v>
      </c>
      <c r="C2080" s="258" t="s">
        <v>103</v>
      </c>
      <c r="D2080" s="79">
        <v>1.67</v>
      </c>
      <c r="F2080" s="79">
        <v>1.67</v>
      </c>
      <c r="G2080" s="81"/>
      <c r="N2080" s="240"/>
      <c r="O2080" s="241"/>
      <c r="P2080" s="213"/>
    </row>
    <row r="2081" spans="1:16" ht="24">
      <c r="A2081" s="83" t="s">
        <v>3889</v>
      </c>
      <c r="B2081" s="257" t="s">
        <v>3890</v>
      </c>
      <c r="C2081" s="258" t="s">
        <v>165</v>
      </c>
      <c r="D2081" s="79">
        <v>88.82</v>
      </c>
      <c r="F2081" s="79">
        <v>88.82</v>
      </c>
      <c r="G2081" s="81"/>
      <c r="N2081" s="240"/>
      <c r="O2081" s="241"/>
      <c r="P2081" s="213"/>
    </row>
    <row r="2082" spans="1:16" ht="24">
      <c r="A2082" s="83" t="s">
        <v>3891</v>
      </c>
      <c r="B2082" s="257" t="s">
        <v>3892</v>
      </c>
      <c r="C2082" s="258" t="s">
        <v>103</v>
      </c>
      <c r="D2082" s="79">
        <v>91.77</v>
      </c>
      <c r="F2082" s="79">
        <v>91.77</v>
      </c>
      <c r="G2082" s="81"/>
      <c r="N2082" s="240"/>
      <c r="O2082" s="241"/>
      <c r="P2082" s="213"/>
    </row>
    <row r="2083" spans="1:16" ht="24">
      <c r="A2083" s="83" t="s">
        <v>3893</v>
      </c>
      <c r="B2083" s="257" t="s">
        <v>3894</v>
      </c>
      <c r="C2083" s="258" t="s">
        <v>103</v>
      </c>
      <c r="D2083" s="79">
        <v>127.64</v>
      </c>
      <c r="F2083" s="79">
        <v>127.64</v>
      </c>
      <c r="G2083" s="81"/>
      <c r="N2083" s="240"/>
      <c r="O2083" s="241"/>
      <c r="P2083" s="213"/>
    </row>
    <row r="2084" spans="1:16" ht="24">
      <c r="A2084" s="83" t="s">
        <v>3895</v>
      </c>
      <c r="B2084" s="257" t="s">
        <v>3896</v>
      </c>
      <c r="C2084" s="258" t="s">
        <v>103</v>
      </c>
      <c r="D2084" s="79">
        <v>30.68</v>
      </c>
      <c r="F2084" s="79">
        <v>30.68</v>
      </c>
      <c r="G2084" s="81"/>
      <c r="N2084" s="240"/>
      <c r="O2084" s="241"/>
      <c r="P2084" s="213"/>
    </row>
    <row r="2085" spans="1:16" ht="12">
      <c r="A2085" s="83" t="s">
        <v>3897</v>
      </c>
      <c r="B2085" s="257" t="s">
        <v>3898</v>
      </c>
      <c r="C2085" s="258" t="s">
        <v>165</v>
      </c>
      <c r="D2085" s="79">
        <v>176.63</v>
      </c>
      <c r="F2085" s="79">
        <v>176.63</v>
      </c>
      <c r="G2085" s="81"/>
      <c r="N2085" s="240"/>
      <c r="O2085" s="241"/>
      <c r="P2085" s="213"/>
    </row>
    <row r="2086" spans="1:16" ht="24">
      <c r="A2086" s="83" t="s">
        <v>3899</v>
      </c>
      <c r="B2086" s="257" t="s">
        <v>3900</v>
      </c>
      <c r="C2086" s="258" t="s">
        <v>165</v>
      </c>
      <c r="D2086" s="79">
        <v>304.42</v>
      </c>
      <c r="F2086" s="79">
        <v>304.42</v>
      </c>
      <c r="G2086" s="81"/>
      <c r="N2086" s="240"/>
      <c r="O2086" s="241"/>
      <c r="P2086" s="213"/>
    </row>
    <row r="2087" spans="1:16" ht="24">
      <c r="A2087" s="83" t="s">
        <v>3901</v>
      </c>
      <c r="B2087" s="257" t="s">
        <v>3902</v>
      </c>
      <c r="C2087" s="258" t="s">
        <v>165</v>
      </c>
      <c r="D2087" s="79">
        <v>238.39</v>
      </c>
      <c r="F2087" s="79">
        <v>238.39</v>
      </c>
      <c r="G2087" s="81"/>
      <c r="N2087" s="240"/>
      <c r="O2087" s="241"/>
      <c r="P2087" s="213"/>
    </row>
    <row r="2088" spans="1:16" ht="24">
      <c r="A2088" s="83" t="s">
        <v>3903</v>
      </c>
      <c r="B2088" s="257" t="s">
        <v>3904</v>
      </c>
      <c r="C2088" s="258" t="s">
        <v>165</v>
      </c>
      <c r="D2088" s="79">
        <v>223.05</v>
      </c>
      <c r="F2088" s="79">
        <v>223.05</v>
      </c>
      <c r="G2088" s="81"/>
      <c r="N2088" s="240"/>
      <c r="O2088" s="241"/>
      <c r="P2088" s="213"/>
    </row>
    <row r="2089" spans="1:16" ht="24">
      <c r="A2089" s="83" t="s">
        <v>3905</v>
      </c>
      <c r="B2089" s="257" t="s">
        <v>3906</v>
      </c>
      <c r="C2089" s="258" t="s">
        <v>165</v>
      </c>
      <c r="D2089" s="79">
        <v>262.66000000000003</v>
      </c>
      <c r="F2089" s="79">
        <v>262.66000000000003</v>
      </c>
      <c r="G2089" s="81"/>
      <c r="N2089" s="240"/>
      <c r="O2089" s="241"/>
      <c r="P2089" s="213"/>
    </row>
    <row r="2090" spans="1:16" ht="12">
      <c r="A2090" s="83" t="s">
        <v>3907</v>
      </c>
      <c r="B2090" s="257" t="s">
        <v>3908</v>
      </c>
      <c r="C2090" s="258" t="s">
        <v>103</v>
      </c>
      <c r="D2090" s="79">
        <v>22.58</v>
      </c>
      <c r="F2090" s="79">
        <v>22.58</v>
      </c>
      <c r="G2090" s="81"/>
      <c r="N2090" s="240"/>
      <c r="O2090" s="241"/>
      <c r="P2090" s="213"/>
    </row>
    <row r="2091" spans="1:16" ht="12">
      <c r="A2091" s="83" t="s">
        <v>3909</v>
      </c>
      <c r="B2091" s="257" t="s">
        <v>3910</v>
      </c>
      <c r="C2091" s="258" t="s">
        <v>103</v>
      </c>
      <c r="D2091" s="79">
        <v>49.59</v>
      </c>
      <c r="F2091" s="79">
        <v>49.59</v>
      </c>
      <c r="G2091" s="81"/>
      <c r="N2091" s="240"/>
      <c r="O2091" s="241"/>
      <c r="P2091" s="213"/>
    </row>
    <row r="2092" spans="1:16" ht="12">
      <c r="A2092" s="83" t="s">
        <v>3911</v>
      </c>
      <c r="B2092" s="257" t="s">
        <v>3912</v>
      </c>
      <c r="C2092" s="258" t="s">
        <v>103</v>
      </c>
      <c r="D2092" s="79">
        <v>416.48</v>
      </c>
      <c r="F2092" s="79">
        <v>416.48</v>
      </c>
      <c r="G2092" s="81"/>
      <c r="N2092" s="240"/>
      <c r="O2092" s="241"/>
      <c r="P2092" s="213"/>
    </row>
    <row r="2093" spans="1:16" ht="12">
      <c r="A2093" s="83" t="s">
        <v>3913</v>
      </c>
      <c r="B2093" s="257" t="s">
        <v>3914</v>
      </c>
      <c r="C2093" s="258" t="s">
        <v>165</v>
      </c>
      <c r="D2093" s="79">
        <v>76.41</v>
      </c>
      <c r="F2093" s="79">
        <v>76.41</v>
      </c>
      <c r="G2093" s="81"/>
      <c r="N2093" s="240"/>
      <c r="O2093" s="241"/>
      <c r="P2093" s="213"/>
    </row>
    <row r="2094" spans="1:16" ht="12">
      <c r="A2094" s="83" t="s">
        <v>3915</v>
      </c>
      <c r="B2094" s="257" t="s">
        <v>3916</v>
      </c>
      <c r="C2094" s="258" t="s">
        <v>165</v>
      </c>
      <c r="D2094" s="79">
        <v>47.88</v>
      </c>
      <c r="F2094" s="79">
        <v>47.88</v>
      </c>
      <c r="G2094" s="81"/>
      <c r="N2094" s="240"/>
      <c r="O2094" s="241"/>
      <c r="P2094" s="213"/>
    </row>
    <row r="2095" spans="1:16" ht="12">
      <c r="A2095" s="83" t="s">
        <v>3917</v>
      </c>
      <c r="B2095" s="257" t="s">
        <v>3918</v>
      </c>
      <c r="C2095" s="258" t="s">
        <v>165</v>
      </c>
      <c r="D2095" s="79">
        <v>3.58</v>
      </c>
      <c r="F2095" s="79">
        <v>3.58</v>
      </c>
      <c r="G2095" s="81"/>
      <c r="N2095" s="240"/>
      <c r="O2095" s="241"/>
      <c r="P2095" s="213"/>
    </row>
    <row r="2096" spans="1:16" ht="24">
      <c r="A2096" s="83" t="s">
        <v>3919</v>
      </c>
      <c r="B2096" s="257" t="s">
        <v>3920</v>
      </c>
      <c r="C2096" s="258" t="s">
        <v>103</v>
      </c>
      <c r="D2096" s="79">
        <v>1.65</v>
      </c>
      <c r="F2096" s="79">
        <v>1.65</v>
      </c>
      <c r="G2096" s="81"/>
      <c r="N2096" s="240"/>
      <c r="O2096" s="241"/>
      <c r="P2096" s="213"/>
    </row>
    <row r="2097" spans="1:16" ht="12">
      <c r="A2097" s="83" t="s">
        <v>3921</v>
      </c>
      <c r="B2097" s="257" t="s">
        <v>3922</v>
      </c>
      <c r="C2097" s="258" t="s">
        <v>103</v>
      </c>
      <c r="D2097" s="79">
        <v>1848.66</v>
      </c>
      <c r="F2097" s="79">
        <v>1848.66</v>
      </c>
      <c r="G2097" s="81"/>
      <c r="N2097" s="240"/>
      <c r="O2097" s="241"/>
      <c r="P2097" s="213"/>
    </row>
    <row r="2098" spans="1:16" ht="12">
      <c r="A2098" s="83" t="s">
        <v>3923</v>
      </c>
      <c r="B2098" s="257" t="s">
        <v>3924</v>
      </c>
      <c r="C2098" s="258" t="s">
        <v>103</v>
      </c>
      <c r="D2098" s="79">
        <v>1474.05</v>
      </c>
      <c r="F2098" s="79">
        <v>1474.05</v>
      </c>
      <c r="G2098" s="81"/>
      <c r="N2098" s="240"/>
      <c r="O2098" s="241"/>
      <c r="P2098" s="213"/>
    </row>
    <row r="2099" spans="1:16" ht="24">
      <c r="A2099" s="83" t="s">
        <v>3925</v>
      </c>
      <c r="B2099" s="257" t="s">
        <v>3926</v>
      </c>
      <c r="C2099" s="258" t="s">
        <v>103</v>
      </c>
      <c r="D2099" s="79">
        <v>874.98</v>
      </c>
      <c r="F2099" s="79">
        <v>874.98</v>
      </c>
      <c r="G2099" s="81"/>
      <c r="N2099" s="240"/>
      <c r="O2099" s="241"/>
      <c r="P2099" s="213"/>
    </row>
    <row r="2100" spans="1:16" ht="12">
      <c r="A2100" s="83" t="s">
        <v>3927</v>
      </c>
      <c r="B2100" s="257" t="s">
        <v>29822</v>
      </c>
      <c r="C2100" s="258" t="s">
        <v>165</v>
      </c>
      <c r="D2100" s="79">
        <v>9.0500000000000007</v>
      </c>
      <c r="F2100" s="79">
        <v>9.0500000000000007</v>
      </c>
      <c r="G2100" s="81"/>
      <c r="N2100" s="240"/>
      <c r="O2100" s="241"/>
      <c r="P2100" s="213"/>
    </row>
    <row r="2101" spans="1:16" ht="12">
      <c r="A2101" s="83" t="s">
        <v>3928</v>
      </c>
      <c r="B2101" s="257" t="s">
        <v>29823</v>
      </c>
      <c r="C2101" s="258" t="s">
        <v>165</v>
      </c>
      <c r="D2101" s="79">
        <v>11.95</v>
      </c>
      <c r="F2101" s="79">
        <v>11.95</v>
      </c>
      <c r="G2101" s="81"/>
      <c r="N2101" s="240"/>
      <c r="O2101" s="241"/>
      <c r="P2101" s="213"/>
    </row>
    <row r="2102" spans="1:16" ht="12">
      <c r="A2102" s="83" t="s">
        <v>3929</v>
      </c>
      <c r="B2102" s="257" t="s">
        <v>29824</v>
      </c>
      <c r="C2102" s="258" t="s">
        <v>165</v>
      </c>
      <c r="D2102" s="79">
        <v>29.33</v>
      </c>
      <c r="F2102" s="79">
        <v>29.33</v>
      </c>
      <c r="G2102" s="81"/>
      <c r="N2102" s="240"/>
      <c r="O2102" s="241"/>
      <c r="P2102" s="213"/>
    </row>
    <row r="2103" spans="1:16" ht="12">
      <c r="A2103" s="83" t="s">
        <v>3930</v>
      </c>
      <c r="B2103" s="257" t="s">
        <v>3931</v>
      </c>
      <c r="C2103" s="258" t="s">
        <v>103</v>
      </c>
      <c r="D2103" s="79">
        <v>1160.18</v>
      </c>
      <c r="F2103" s="79">
        <v>1160.18</v>
      </c>
      <c r="G2103" s="81"/>
      <c r="N2103" s="240"/>
      <c r="O2103" s="241"/>
      <c r="P2103" s="213"/>
    </row>
    <row r="2104" spans="1:16" ht="24">
      <c r="A2104" s="256" t="s">
        <v>3932</v>
      </c>
      <c r="B2104" s="64" t="s">
        <v>3933</v>
      </c>
      <c r="C2104" s="71" t="s">
        <v>103</v>
      </c>
      <c r="D2104" s="79">
        <v>5650.32</v>
      </c>
      <c r="F2104" s="79">
        <v>5650.32</v>
      </c>
    </row>
    <row r="2105" spans="1:16" ht="12">
      <c r="A2105" s="256" t="s">
        <v>3934</v>
      </c>
      <c r="B2105" s="64" t="s">
        <v>3935</v>
      </c>
      <c r="C2105" s="71" t="s">
        <v>103</v>
      </c>
      <c r="D2105" s="79">
        <v>3127.48</v>
      </c>
      <c r="F2105" s="79">
        <v>3127.48</v>
      </c>
    </row>
    <row r="2106" spans="1:16" ht="12">
      <c r="A2106" s="256" t="s">
        <v>3936</v>
      </c>
      <c r="B2106" s="64" t="s">
        <v>3937</v>
      </c>
      <c r="C2106" s="71" t="s">
        <v>103</v>
      </c>
      <c r="D2106" s="79">
        <v>5456.24</v>
      </c>
      <c r="F2106" s="79">
        <v>5456.24</v>
      </c>
    </row>
    <row r="2107" spans="1:16" ht="12">
      <c r="A2107" s="256" t="s">
        <v>3938</v>
      </c>
      <c r="B2107" s="64" t="s">
        <v>3939</v>
      </c>
      <c r="C2107" s="71" t="s">
        <v>103</v>
      </c>
      <c r="D2107" s="79">
        <v>783.95</v>
      </c>
      <c r="F2107" s="79">
        <v>783.95</v>
      </c>
    </row>
    <row r="2108" spans="1:16" ht="12">
      <c r="A2108" s="256" t="s">
        <v>3940</v>
      </c>
      <c r="B2108" s="64" t="s">
        <v>3941</v>
      </c>
      <c r="C2108" s="71" t="s">
        <v>103</v>
      </c>
      <c r="D2108" s="79">
        <v>2734.9</v>
      </c>
      <c r="F2108" s="79">
        <v>2734.9</v>
      </c>
    </row>
    <row r="2109" spans="1:16" ht="24">
      <c r="A2109" s="256" t="s">
        <v>3942</v>
      </c>
      <c r="B2109" s="64" t="s">
        <v>3943</v>
      </c>
      <c r="C2109" s="71" t="s">
        <v>103</v>
      </c>
      <c r="D2109" s="79">
        <v>3276.83</v>
      </c>
      <c r="F2109" s="79">
        <v>3276.83</v>
      </c>
    </row>
    <row r="2110" spans="1:16" ht="12">
      <c r="A2110" s="256" t="s">
        <v>3944</v>
      </c>
      <c r="B2110" s="64" t="s">
        <v>3945</v>
      </c>
      <c r="C2110" s="71" t="s">
        <v>103</v>
      </c>
      <c r="D2110" s="79">
        <v>4296.04</v>
      </c>
      <c r="F2110" s="79">
        <v>4296.04</v>
      </c>
    </row>
    <row r="2111" spans="1:16" ht="12">
      <c r="A2111" s="83" t="s">
        <v>3946</v>
      </c>
      <c r="B2111" s="257" t="s">
        <v>3947</v>
      </c>
      <c r="C2111" s="258" t="s">
        <v>103</v>
      </c>
      <c r="D2111" s="79">
        <v>17.62</v>
      </c>
      <c r="F2111" s="79">
        <v>17.62</v>
      </c>
      <c r="G2111" s="81"/>
      <c r="N2111" s="240"/>
      <c r="O2111" s="241"/>
      <c r="P2111" s="213"/>
    </row>
    <row r="2112" spans="1:16" ht="12">
      <c r="A2112" s="83" t="s">
        <v>3948</v>
      </c>
      <c r="B2112" s="257" t="s">
        <v>3949</v>
      </c>
      <c r="C2112" s="258" t="s">
        <v>103</v>
      </c>
      <c r="D2112" s="79">
        <v>22.35</v>
      </c>
      <c r="F2112" s="79">
        <v>22.35</v>
      </c>
      <c r="G2112" s="81"/>
      <c r="N2112" s="240"/>
      <c r="O2112" s="241"/>
      <c r="P2112" s="213"/>
    </row>
    <row r="2113" spans="1:16" ht="12">
      <c r="A2113" s="83" t="s">
        <v>3950</v>
      </c>
      <c r="B2113" s="257" t="s">
        <v>3951</v>
      </c>
      <c r="C2113" s="258" t="s">
        <v>103</v>
      </c>
      <c r="D2113" s="79">
        <v>69.2</v>
      </c>
      <c r="F2113" s="79">
        <v>69.2</v>
      </c>
      <c r="G2113" s="81"/>
      <c r="N2113" s="240"/>
      <c r="O2113" s="241"/>
      <c r="P2113" s="213"/>
    </row>
    <row r="2114" spans="1:16" ht="12">
      <c r="A2114" s="83" t="s">
        <v>3952</v>
      </c>
      <c r="B2114" s="257" t="s">
        <v>3953</v>
      </c>
      <c r="C2114" s="258" t="s">
        <v>103</v>
      </c>
      <c r="D2114" s="79">
        <v>23.06</v>
      </c>
      <c r="F2114" s="79">
        <v>23.06</v>
      </c>
      <c r="G2114" s="81"/>
      <c r="N2114" s="240"/>
      <c r="O2114" s="241"/>
      <c r="P2114" s="213"/>
    </row>
    <row r="2115" spans="1:16" ht="12">
      <c r="A2115" s="83" t="s">
        <v>3954</v>
      </c>
      <c r="B2115" s="257" t="s">
        <v>3955</v>
      </c>
      <c r="C2115" s="258" t="s">
        <v>103</v>
      </c>
      <c r="D2115" s="79">
        <v>36.11</v>
      </c>
      <c r="F2115" s="79">
        <v>36.11</v>
      </c>
      <c r="G2115" s="81"/>
      <c r="N2115" s="240"/>
      <c r="O2115" s="241"/>
      <c r="P2115" s="213"/>
    </row>
    <row r="2116" spans="1:16" ht="12">
      <c r="A2116" s="83" t="s">
        <v>3956</v>
      </c>
      <c r="B2116" s="257" t="s">
        <v>3957</v>
      </c>
      <c r="C2116" s="258" t="s">
        <v>103</v>
      </c>
      <c r="D2116" s="79">
        <v>89.66</v>
      </c>
      <c r="F2116" s="79">
        <v>89.66</v>
      </c>
      <c r="G2116" s="81"/>
      <c r="N2116" s="240"/>
      <c r="O2116" s="241"/>
      <c r="P2116" s="213"/>
    </row>
    <row r="2117" spans="1:16" ht="24">
      <c r="A2117" s="83" t="s">
        <v>3958</v>
      </c>
      <c r="B2117" s="257" t="s">
        <v>39288</v>
      </c>
      <c r="C2117" s="258" t="s">
        <v>103</v>
      </c>
      <c r="D2117" s="79">
        <v>19.82</v>
      </c>
      <c r="F2117" s="79">
        <v>19.82</v>
      </c>
      <c r="G2117" s="81"/>
      <c r="N2117" s="240"/>
      <c r="O2117" s="241"/>
      <c r="P2117" s="213"/>
    </row>
    <row r="2118" spans="1:16" ht="36">
      <c r="A2118" s="256" t="s">
        <v>5085</v>
      </c>
      <c r="B2118" s="261" t="s">
        <v>5086</v>
      </c>
      <c r="C2118" s="262" t="s">
        <v>5087</v>
      </c>
      <c r="D2118" s="79">
        <v>188.45</v>
      </c>
      <c r="F2118" s="79">
        <v>188.45</v>
      </c>
    </row>
    <row r="2119" spans="1:16" ht="24">
      <c r="A2119" s="83" t="s">
        <v>3960</v>
      </c>
      <c r="B2119" s="257" t="s">
        <v>29825</v>
      </c>
      <c r="C2119" s="258" t="s">
        <v>103</v>
      </c>
      <c r="D2119" s="79">
        <v>158.66</v>
      </c>
      <c r="F2119" s="79">
        <v>158.66</v>
      </c>
      <c r="G2119" s="81"/>
      <c r="N2119" s="240"/>
      <c r="O2119" s="241"/>
      <c r="P2119" s="213"/>
    </row>
    <row r="2120" spans="1:16" ht="24">
      <c r="A2120" s="83" t="s">
        <v>3961</v>
      </c>
      <c r="B2120" s="257" t="s">
        <v>3962</v>
      </c>
      <c r="C2120" s="258" t="s">
        <v>103</v>
      </c>
      <c r="D2120" s="79">
        <v>437.1</v>
      </c>
      <c r="F2120" s="79">
        <v>437.1</v>
      </c>
      <c r="G2120" s="81"/>
      <c r="N2120" s="240"/>
      <c r="O2120" s="241"/>
      <c r="P2120" s="213"/>
    </row>
    <row r="2121" spans="1:16" ht="24">
      <c r="A2121" s="83" t="s">
        <v>3963</v>
      </c>
      <c r="B2121" s="257" t="s">
        <v>3964</v>
      </c>
      <c r="C2121" s="258" t="s">
        <v>103</v>
      </c>
      <c r="D2121" s="79">
        <v>25.55</v>
      </c>
      <c r="F2121" s="79">
        <v>25.55</v>
      </c>
      <c r="G2121" s="81"/>
      <c r="N2121" s="240"/>
      <c r="O2121" s="241"/>
      <c r="P2121" s="213"/>
    </row>
    <row r="2122" spans="1:16" ht="24">
      <c r="A2122" s="83" t="s">
        <v>3965</v>
      </c>
      <c r="B2122" s="257" t="s">
        <v>3966</v>
      </c>
      <c r="C2122" s="258" t="s">
        <v>103</v>
      </c>
      <c r="D2122" s="79">
        <v>61.74</v>
      </c>
      <c r="F2122" s="79">
        <v>61.74</v>
      </c>
      <c r="G2122" s="81"/>
      <c r="N2122" s="240"/>
      <c r="O2122" s="241"/>
      <c r="P2122" s="213"/>
    </row>
    <row r="2123" spans="1:16" ht="24">
      <c r="A2123" s="83" t="s">
        <v>3967</v>
      </c>
      <c r="B2123" s="257" t="s">
        <v>3968</v>
      </c>
      <c r="C2123" s="258" t="s">
        <v>103</v>
      </c>
      <c r="D2123" s="79">
        <v>81.05</v>
      </c>
      <c r="F2123" s="79">
        <v>81.05</v>
      </c>
      <c r="G2123" s="81"/>
      <c r="N2123" s="240"/>
      <c r="O2123" s="241"/>
      <c r="P2123" s="213"/>
    </row>
    <row r="2124" spans="1:16" ht="24">
      <c r="A2124" s="83" t="s">
        <v>3969</v>
      </c>
      <c r="B2124" s="257" t="s">
        <v>3970</v>
      </c>
      <c r="C2124" s="258" t="s">
        <v>103</v>
      </c>
      <c r="D2124" s="79">
        <v>240.69</v>
      </c>
      <c r="F2124" s="79">
        <v>240.69</v>
      </c>
      <c r="G2124" s="81"/>
      <c r="N2124" s="240"/>
      <c r="O2124" s="241"/>
      <c r="P2124" s="213"/>
    </row>
    <row r="2125" spans="1:16" ht="24">
      <c r="A2125" s="83" t="s">
        <v>3971</v>
      </c>
      <c r="B2125" s="257" t="s">
        <v>3972</v>
      </c>
      <c r="C2125" s="258" t="s">
        <v>103</v>
      </c>
      <c r="D2125" s="79">
        <v>304.18</v>
      </c>
      <c r="F2125" s="79">
        <v>304.18</v>
      </c>
      <c r="G2125" s="81"/>
      <c r="N2125" s="240"/>
      <c r="O2125" s="241"/>
      <c r="P2125" s="213"/>
    </row>
    <row r="2126" spans="1:16" ht="24">
      <c r="A2126" s="83" t="s">
        <v>3973</v>
      </c>
      <c r="B2126" s="257" t="s">
        <v>3974</v>
      </c>
      <c r="C2126" s="258" t="s">
        <v>103</v>
      </c>
      <c r="D2126" s="79">
        <v>24.79</v>
      </c>
      <c r="F2126" s="79">
        <v>24.79</v>
      </c>
      <c r="G2126" s="81"/>
      <c r="N2126" s="240"/>
      <c r="O2126" s="241"/>
      <c r="P2126" s="213"/>
    </row>
    <row r="2127" spans="1:16" ht="24">
      <c r="A2127" s="83" t="s">
        <v>3975</v>
      </c>
      <c r="B2127" s="257" t="s">
        <v>3976</v>
      </c>
      <c r="C2127" s="258" t="s">
        <v>103</v>
      </c>
      <c r="D2127" s="79">
        <v>80.900000000000006</v>
      </c>
      <c r="F2127" s="79">
        <v>80.900000000000006</v>
      </c>
      <c r="G2127" s="81"/>
      <c r="N2127" s="240"/>
      <c r="O2127" s="241"/>
      <c r="P2127" s="213"/>
    </row>
    <row r="2128" spans="1:16" ht="24">
      <c r="A2128" s="83" t="s">
        <v>3977</v>
      </c>
      <c r="B2128" s="257" t="s">
        <v>3978</v>
      </c>
      <c r="C2128" s="258" t="s">
        <v>103</v>
      </c>
      <c r="D2128" s="79">
        <v>209.65</v>
      </c>
      <c r="F2128" s="79">
        <v>209.65</v>
      </c>
      <c r="G2128" s="81"/>
      <c r="N2128" s="240"/>
      <c r="O2128" s="241"/>
      <c r="P2128" s="213"/>
    </row>
    <row r="2129" spans="1:16" ht="24">
      <c r="A2129" s="83" t="s">
        <v>3979</v>
      </c>
      <c r="B2129" s="257" t="s">
        <v>28187</v>
      </c>
      <c r="C2129" s="258" t="s">
        <v>103</v>
      </c>
      <c r="D2129" s="79">
        <v>485.23</v>
      </c>
      <c r="F2129" s="79">
        <v>485.23</v>
      </c>
      <c r="G2129" s="81"/>
      <c r="N2129" s="240"/>
      <c r="O2129" s="241"/>
      <c r="P2129" s="213"/>
    </row>
    <row r="2130" spans="1:16" ht="24">
      <c r="A2130" s="83" t="s">
        <v>3980</v>
      </c>
      <c r="B2130" s="257" t="s">
        <v>3981</v>
      </c>
      <c r="C2130" s="258" t="s">
        <v>103</v>
      </c>
      <c r="D2130" s="79">
        <v>15.72</v>
      </c>
      <c r="F2130" s="79">
        <v>15.72</v>
      </c>
      <c r="G2130" s="81"/>
      <c r="N2130" s="240"/>
      <c r="O2130" s="241"/>
      <c r="P2130" s="213"/>
    </row>
    <row r="2131" spans="1:16" ht="24">
      <c r="A2131" s="83" t="s">
        <v>3982</v>
      </c>
      <c r="B2131" s="257" t="s">
        <v>3983</v>
      </c>
      <c r="C2131" s="258" t="s">
        <v>103</v>
      </c>
      <c r="D2131" s="79">
        <v>47.99</v>
      </c>
      <c r="F2131" s="79">
        <v>47.99</v>
      </c>
      <c r="G2131" s="81"/>
      <c r="N2131" s="240"/>
      <c r="O2131" s="241"/>
      <c r="P2131" s="213"/>
    </row>
    <row r="2132" spans="1:16" ht="12">
      <c r="A2132" s="83" t="s">
        <v>3984</v>
      </c>
      <c r="B2132" s="257" t="s">
        <v>3985</v>
      </c>
      <c r="C2132" s="258" t="s">
        <v>103</v>
      </c>
      <c r="D2132" s="79">
        <v>553.29</v>
      </c>
      <c r="F2132" s="79">
        <v>553.29</v>
      </c>
      <c r="G2132" s="81"/>
      <c r="N2132" s="240"/>
      <c r="O2132" s="241"/>
      <c r="P2132" s="213"/>
    </row>
    <row r="2133" spans="1:16" ht="12">
      <c r="A2133" s="83" t="s">
        <v>3986</v>
      </c>
      <c r="B2133" s="257" t="s">
        <v>3987</v>
      </c>
      <c r="C2133" s="258" t="s">
        <v>103</v>
      </c>
      <c r="D2133" s="79">
        <v>33.6</v>
      </c>
      <c r="F2133" s="79">
        <v>33.6</v>
      </c>
      <c r="G2133" s="81"/>
      <c r="N2133" s="240"/>
      <c r="O2133" s="241"/>
      <c r="P2133" s="213"/>
    </row>
    <row r="2134" spans="1:16" ht="12">
      <c r="A2134" s="83" t="s">
        <v>3988</v>
      </c>
      <c r="B2134" s="257" t="s">
        <v>3989</v>
      </c>
      <c r="C2134" s="258" t="s">
        <v>103</v>
      </c>
      <c r="D2134" s="79">
        <v>121.06</v>
      </c>
      <c r="F2134" s="79">
        <v>121.06</v>
      </c>
      <c r="G2134" s="81"/>
      <c r="N2134" s="240"/>
      <c r="O2134" s="241"/>
      <c r="P2134" s="213"/>
    </row>
    <row r="2135" spans="1:16" ht="12">
      <c r="A2135" s="83" t="s">
        <v>3990</v>
      </c>
      <c r="B2135" s="257" t="s">
        <v>3991</v>
      </c>
      <c r="C2135" s="258" t="s">
        <v>103</v>
      </c>
      <c r="D2135" s="79">
        <v>90.5</v>
      </c>
      <c r="F2135" s="79">
        <v>90.5</v>
      </c>
      <c r="G2135" s="81"/>
      <c r="N2135" s="240"/>
      <c r="O2135" s="241"/>
      <c r="P2135" s="213"/>
    </row>
    <row r="2136" spans="1:16" ht="12">
      <c r="A2136" s="83" t="s">
        <v>3992</v>
      </c>
      <c r="B2136" s="257" t="s">
        <v>3993</v>
      </c>
      <c r="C2136" s="258" t="s">
        <v>103</v>
      </c>
      <c r="D2136" s="79">
        <v>52.56</v>
      </c>
      <c r="F2136" s="79">
        <v>52.56</v>
      </c>
      <c r="G2136" s="81"/>
      <c r="N2136" s="240"/>
      <c r="O2136" s="241"/>
      <c r="P2136" s="213"/>
    </row>
    <row r="2137" spans="1:16" ht="12">
      <c r="A2137" s="83" t="s">
        <v>3994</v>
      </c>
      <c r="B2137" s="257" t="s">
        <v>3995</v>
      </c>
      <c r="C2137" s="258" t="s">
        <v>103</v>
      </c>
      <c r="D2137" s="79">
        <v>33.869999999999997</v>
      </c>
      <c r="F2137" s="79">
        <v>33.869999999999997</v>
      </c>
      <c r="G2137" s="81"/>
      <c r="N2137" s="240"/>
      <c r="O2137" s="241"/>
      <c r="P2137" s="213"/>
    </row>
    <row r="2138" spans="1:16" ht="24">
      <c r="A2138" s="83" t="s">
        <v>3996</v>
      </c>
      <c r="B2138" s="257" t="s">
        <v>3997</v>
      </c>
      <c r="C2138" s="258" t="s">
        <v>103</v>
      </c>
      <c r="D2138" s="79">
        <v>168.33</v>
      </c>
      <c r="F2138" s="79">
        <v>168.33</v>
      </c>
      <c r="G2138" s="81"/>
      <c r="N2138" s="240"/>
      <c r="O2138" s="241"/>
      <c r="P2138" s="213"/>
    </row>
    <row r="2139" spans="1:16" ht="24">
      <c r="A2139" s="83" t="s">
        <v>3998</v>
      </c>
      <c r="B2139" s="257" t="s">
        <v>28188</v>
      </c>
      <c r="C2139" s="258" t="s">
        <v>103</v>
      </c>
      <c r="D2139" s="79">
        <v>1792.45</v>
      </c>
      <c r="F2139" s="79">
        <v>1792.45</v>
      </c>
      <c r="G2139" s="81"/>
      <c r="N2139" s="240"/>
      <c r="O2139" s="241"/>
      <c r="P2139" s="213"/>
    </row>
    <row r="2140" spans="1:16" ht="24">
      <c r="A2140" s="83" t="s">
        <v>3999</v>
      </c>
      <c r="B2140" s="257" t="s">
        <v>28189</v>
      </c>
      <c r="C2140" s="258" t="s">
        <v>103</v>
      </c>
      <c r="D2140" s="79">
        <v>833.28</v>
      </c>
      <c r="F2140" s="79">
        <v>833.28</v>
      </c>
      <c r="G2140" s="81"/>
      <c r="N2140" s="240"/>
      <c r="O2140" s="241"/>
      <c r="P2140" s="213"/>
    </row>
    <row r="2141" spans="1:16" ht="12">
      <c r="A2141" s="83" t="s">
        <v>4000</v>
      </c>
      <c r="B2141" s="257" t="s">
        <v>4001</v>
      </c>
      <c r="C2141" s="258" t="s">
        <v>103</v>
      </c>
      <c r="D2141" s="79">
        <v>141.1</v>
      </c>
      <c r="F2141" s="79">
        <v>141.1</v>
      </c>
      <c r="G2141" s="81"/>
      <c r="N2141" s="240"/>
      <c r="O2141" s="241"/>
      <c r="P2141" s="213"/>
    </row>
    <row r="2142" spans="1:16" ht="12">
      <c r="A2142" s="83" t="s">
        <v>4002</v>
      </c>
      <c r="B2142" s="257" t="s">
        <v>4003</v>
      </c>
      <c r="C2142" s="258" t="s">
        <v>103</v>
      </c>
      <c r="D2142" s="79">
        <v>207.36</v>
      </c>
      <c r="F2142" s="79">
        <v>207.36</v>
      </c>
      <c r="G2142" s="81"/>
      <c r="N2142" s="240"/>
      <c r="O2142" s="241"/>
      <c r="P2142" s="213"/>
    </row>
    <row r="2143" spans="1:16" ht="12">
      <c r="A2143" s="83" t="s">
        <v>4004</v>
      </c>
      <c r="B2143" s="257" t="s">
        <v>4005</v>
      </c>
      <c r="C2143" s="258" t="s">
        <v>103</v>
      </c>
      <c r="D2143" s="79">
        <v>702.92</v>
      </c>
      <c r="F2143" s="79">
        <v>702.92</v>
      </c>
      <c r="G2143" s="81"/>
      <c r="N2143" s="240"/>
      <c r="O2143" s="241"/>
      <c r="P2143" s="213"/>
    </row>
    <row r="2144" spans="1:16" ht="12">
      <c r="A2144" s="83" t="s">
        <v>4006</v>
      </c>
      <c r="B2144" s="257" t="s">
        <v>4007</v>
      </c>
      <c r="C2144" s="258" t="s">
        <v>103</v>
      </c>
      <c r="D2144" s="79">
        <v>297.2</v>
      </c>
      <c r="F2144" s="79">
        <v>297.2</v>
      </c>
      <c r="G2144" s="81"/>
      <c r="N2144" s="240"/>
      <c r="O2144" s="241"/>
      <c r="P2144" s="213"/>
    </row>
    <row r="2145" spans="1:16" ht="12">
      <c r="A2145" s="83" t="s">
        <v>4008</v>
      </c>
      <c r="B2145" s="257" t="s">
        <v>4009</v>
      </c>
      <c r="C2145" s="258" t="s">
        <v>103</v>
      </c>
      <c r="D2145" s="79">
        <v>11.15</v>
      </c>
      <c r="F2145" s="79">
        <v>11.15</v>
      </c>
      <c r="G2145" s="81"/>
      <c r="N2145" s="240"/>
      <c r="O2145" s="241"/>
      <c r="P2145" s="213"/>
    </row>
    <row r="2146" spans="1:16" ht="12">
      <c r="A2146" s="83" t="s">
        <v>4010</v>
      </c>
      <c r="B2146" s="257" t="s">
        <v>4011</v>
      </c>
      <c r="C2146" s="258" t="s">
        <v>165</v>
      </c>
      <c r="D2146" s="79">
        <v>1.7</v>
      </c>
      <c r="F2146" s="79">
        <v>1.7</v>
      </c>
      <c r="G2146" s="81"/>
      <c r="N2146" s="240"/>
      <c r="O2146" s="241"/>
      <c r="P2146" s="213"/>
    </row>
    <row r="2147" spans="1:16">
      <c r="A2147" s="259" t="s">
        <v>4012</v>
      </c>
      <c r="B2147" s="259" t="s">
        <v>4013</v>
      </c>
      <c r="C2147" s="260" t="s">
        <v>165</v>
      </c>
      <c r="D2147" s="79">
        <v>12.24</v>
      </c>
      <c r="F2147" s="79">
        <v>12.24</v>
      </c>
    </row>
    <row r="2148" spans="1:16" ht="12">
      <c r="A2148" s="83" t="s">
        <v>4014</v>
      </c>
      <c r="B2148" s="257" t="s">
        <v>4015</v>
      </c>
      <c r="C2148" s="258" t="s">
        <v>165</v>
      </c>
      <c r="D2148" s="79">
        <v>2.58</v>
      </c>
      <c r="F2148" s="79">
        <v>2.58</v>
      </c>
      <c r="G2148" s="81"/>
      <c r="N2148" s="240"/>
      <c r="O2148" s="241"/>
      <c r="P2148" s="213"/>
    </row>
    <row r="2149" spans="1:16" ht="12">
      <c r="A2149" s="83" t="s">
        <v>4016</v>
      </c>
      <c r="B2149" s="257" t="s">
        <v>4017</v>
      </c>
      <c r="C2149" s="258" t="s">
        <v>165</v>
      </c>
      <c r="D2149" s="79">
        <v>4.1500000000000004</v>
      </c>
      <c r="F2149" s="79">
        <v>4.1500000000000004</v>
      </c>
      <c r="G2149" s="81"/>
      <c r="N2149" s="240"/>
      <c r="O2149" s="241"/>
      <c r="P2149" s="213"/>
    </row>
    <row r="2150" spans="1:16" ht="12">
      <c r="A2150" s="83" t="s">
        <v>4018</v>
      </c>
      <c r="B2150" s="257" t="s">
        <v>4019</v>
      </c>
      <c r="C2150" s="258" t="s">
        <v>165</v>
      </c>
      <c r="D2150" s="79">
        <v>6.2</v>
      </c>
      <c r="F2150" s="79">
        <v>6.2</v>
      </c>
      <c r="G2150" s="81"/>
      <c r="N2150" s="240"/>
      <c r="O2150" s="241"/>
      <c r="P2150" s="213"/>
    </row>
    <row r="2151" spans="1:16" ht="24">
      <c r="A2151" s="83" t="s">
        <v>4020</v>
      </c>
      <c r="B2151" s="257" t="s">
        <v>4021</v>
      </c>
      <c r="C2151" s="258" t="s">
        <v>165</v>
      </c>
      <c r="D2151" s="79">
        <v>110.13</v>
      </c>
      <c r="F2151" s="79">
        <v>110.13</v>
      </c>
      <c r="G2151" s="81"/>
      <c r="N2151" s="240"/>
      <c r="O2151" s="241"/>
      <c r="P2151" s="213"/>
    </row>
    <row r="2152" spans="1:16" ht="12">
      <c r="A2152" s="83" t="s">
        <v>4022</v>
      </c>
      <c r="B2152" s="257" t="s">
        <v>4023</v>
      </c>
      <c r="C2152" s="258" t="s">
        <v>165</v>
      </c>
      <c r="D2152" s="79">
        <v>16.440000000000001</v>
      </c>
      <c r="F2152" s="79">
        <v>16.440000000000001</v>
      </c>
      <c r="G2152" s="81"/>
      <c r="N2152" s="240"/>
      <c r="O2152" s="241"/>
      <c r="P2152" s="213"/>
    </row>
    <row r="2153" spans="1:16" ht="24">
      <c r="A2153" s="83" t="s">
        <v>4024</v>
      </c>
      <c r="B2153" s="257" t="s">
        <v>4025</v>
      </c>
      <c r="C2153" s="258" t="s">
        <v>165</v>
      </c>
      <c r="D2153" s="79">
        <v>126.54</v>
      </c>
      <c r="F2153" s="79">
        <v>126.54</v>
      </c>
      <c r="G2153" s="81"/>
      <c r="N2153" s="240"/>
      <c r="O2153" s="241"/>
      <c r="P2153" s="213"/>
    </row>
    <row r="2154" spans="1:16" ht="12">
      <c r="A2154" s="83" t="s">
        <v>4026</v>
      </c>
      <c r="B2154" s="257" t="s">
        <v>4027</v>
      </c>
      <c r="C2154" s="258" t="s">
        <v>165</v>
      </c>
      <c r="D2154" s="79">
        <v>25.17</v>
      </c>
      <c r="F2154" s="79">
        <v>25.17</v>
      </c>
      <c r="G2154" s="81"/>
      <c r="N2154" s="240"/>
      <c r="O2154" s="241"/>
      <c r="P2154" s="213"/>
    </row>
    <row r="2155" spans="1:16" ht="12">
      <c r="A2155" s="83" t="s">
        <v>4028</v>
      </c>
      <c r="B2155" s="257" t="s">
        <v>4029</v>
      </c>
      <c r="C2155" s="258" t="s">
        <v>165</v>
      </c>
      <c r="D2155" s="79">
        <v>36.229999999999997</v>
      </c>
      <c r="F2155" s="79">
        <v>36.229999999999997</v>
      </c>
      <c r="G2155" s="81"/>
      <c r="N2155" s="240"/>
      <c r="O2155" s="241"/>
      <c r="P2155" s="213"/>
    </row>
    <row r="2156" spans="1:16" ht="12">
      <c r="A2156" s="83" t="s">
        <v>4030</v>
      </c>
      <c r="B2156" s="257" t="s">
        <v>4031</v>
      </c>
      <c r="C2156" s="258" t="s">
        <v>165</v>
      </c>
      <c r="D2156" s="79">
        <v>5.58</v>
      </c>
      <c r="F2156" s="79">
        <v>5.58</v>
      </c>
      <c r="G2156" s="81"/>
      <c r="N2156" s="240"/>
      <c r="O2156" s="241"/>
      <c r="P2156" s="213"/>
    </row>
    <row r="2157" spans="1:16" ht="12">
      <c r="A2157" s="83" t="s">
        <v>4032</v>
      </c>
      <c r="B2157" s="257" t="s">
        <v>4033</v>
      </c>
      <c r="C2157" s="258" t="s">
        <v>165</v>
      </c>
      <c r="D2157" s="79">
        <v>8.48</v>
      </c>
      <c r="F2157" s="79">
        <v>8.48</v>
      </c>
      <c r="G2157" s="81"/>
      <c r="N2157" s="240"/>
      <c r="O2157" s="241"/>
      <c r="P2157" s="213"/>
    </row>
    <row r="2158" spans="1:16" ht="12">
      <c r="A2158" s="83" t="s">
        <v>4034</v>
      </c>
      <c r="B2158" s="257" t="s">
        <v>4035</v>
      </c>
      <c r="C2158" s="258" t="s">
        <v>165</v>
      </c>
      <c r="D2158" s="79">
        <v>30.75</v>
      </c>
      <c r="F2158" s="79">
        <v>30.75</v>
      </c>
      <c r="G2158" s="81"/>
      <c r="N2158" s="240"/>
      <c r="O2158" s="241"/>
      <c r="P2158" s="213"/>
    </row>
    <row r="2159" spans="1:16" ht="24">
      <c r="A2159" s="83" t="s">
        <v>4036</v>
      </c>
      <c r="B2159" s="257" t="s">
        <v>4037</v>
      </c>
      <c r="C2159" s="258" t="s">
        <v>165</v>
      </c>
      <c r="D2159" s="79">
        <v>2.31</v>
      </c>
      <c r="F2159" s="79">
        <v>2.31</v>
      </c>
      <c r="G2159" s="81"/>
      <c r="N2159" s="240"/>
      <c r="O2159" s="241"/>
      <c r="P2159" s="213"/>
    </row>
    <row r="2160" spans="1:16" ht="24">
      <c r="A2160" s="83" t="s">
        <v>4038</v>
      </c>
      <c r="B2160" s="257" t="s">
        <v>4039</v>
      </c>
      <c r="C2160" s="258" t="s">
        <v>165</v>
      </c>
      <c r="D2160" s="79">
        <v>3.57</v>
      </c>
      <c r="F2160" s="79">
        <v>3.57</v>
      </c>
      <c r="G2160" s="81"/>
      <c r="N2160" s="240"/>
      <c r="O2160" s="241"/>
      <c r="P2160" s="213"/>
    </row>
    <row r="2161" spans="1:16" ht="24">
      <c r="A2161" s="83" t="s">
        <v>4040</v>
      </c>
      <c r="B2161" s="257" t="s">
        <v>4041</v>
      </c>
      <c r="C2161" s="258" t="s">
        <v>165</v>
      </c>
      <c r="D2161" s="79">
        <v>5.16</v>
      </c>
      <c r="F2161" s="79">
        <v>5.16</v>
      </c>
      <c r="G2161" s="81"/>
      <c r="N2161" s="240"/>
      <c r="O2161" s="241"/>
      <c r="P2161" s="213"/>
    </row>
    <row r="2162" spans="1:16" ht="24">
      <c r="A2162" s="83" t="s">
        <v>4042</v>
      </c>
      <c r="B2162" s="257" t="s">
        <v>4043</v>
      </c>
      <c r="C2162" s="258" t="s">
        <v>165</v>
      </c>
      <c r="D2162" s="79">
        <v>7.37</v>
      </c>
      <c r="F2162" s="79">
        <v>7.37</v>
      </c>
      <c r="G2162" s="81"/>
      <c r="N2162" s="240"/>
      <c r="O2162" s="241"/>
      <c r="P2162" s="213"/>
    </row>
    <row r="2163" spans="1:16" ht="24">
      <c r="A2163" s="83" t="s">
        <v>4044</v>
      </c>
      <c r="B2163" s="257" t="s">
        <v>4045</v>
      </c>
      <c r="C2163" s="258" t="s">
        <v>165</v>
      </c>
      <c r="D2163" s="79">
        <v>11.72</v>
      </c>
      <c r="F2163" s="79">
        <v>11.72</v>
      </c>
      <c r="G2163" s="81"/>
      <c r="N2163" s="240"/>
      <c r="O2163" s="241"/>
      <c r="P2163" s="213"/>
    </row>
    <row r="2164" spans="1:16" ht="24">
      <c r="A2164" s="83" t="s">
        <v>4046</v>
      </c>
      <c r="B2164" s="257" t="s">
        <v>4047</v>
      </c>
      <c r="C2164" s="258" t="s">
        <v>165</v>
      </c>
      <c r="D2164" s="79">
        <v>17.93</v>
      </c>
      <c r="F2164" s="79">
        <v>17.93</v>
      </c>
      <c r="G2164" s="81"/>
      <c r="N2164" s="240"/>
      <c r="O2164" s="241"/>
      <c r="P2164" s="213"/>
    </row>
    <row r="2165" spans="1:16" ht="24">
      <c r="A2165" s="83" t="s">
        <v>4048</v>
      </c>
      <c r="B2165" s="257" t="s">
        <v>4049</v>
      </c>
      <c r="C2165" s="258" t="s">
        <v>165</v>
      </c>
      <c r="D2165" s="79">
        <v>27.73</v>
      </c>
      <c r="F2165" s="79">
        <v>27.73</v>
      </c>
      <c r="G2165" s="81"/>
      <c r="N2165" s="240"/>
      <c r="O2165" s="241"/>
      <c r="P2165" s="213"/>
    </row>
    <row r="2166" spans="1:16" ht="24">
      <c r="A2166" s="83" t="s">
        <v>4050</v>
      </c>
      <c r="B2166" s="257" t="s">
        <v>4051</v>
      </c>
      <c r="C2166" s="258" t="s">
        <v>165</v>
      </c>
      <c r="D2166" s="79">
        <v>37.82</v>
      </c>
      <c r="F2166" s="79">
        <v>37.82</v>
      </c>
      <c r="G2166" s="81"/>
      <c r="N2166" s="240"/>
      <c r="O2166" s="241"/>
      <c r="P2166" s="213"/>
    </row>
    <row r="2167" spans="1:16" ht="24">
      <c r="A2167" s="83" t="s">
        <v>4052</v>
      </c>
      <c r="B2167" s="257" t="s">
        <v>4053</v>
      </c>
      <c r="C2167" s="258" t="s">
        <v>165</v>
      </c>
      <c r="D2167" s="79">
        <v>53.94</v>
      </c>
      <c r="F2167" s="79">
        <v>53.94</v>
      </c>
      <c r="G2167" s="81"/>
      <c r="N2167" s="240"/>
      <c r="O2167" s="241"/>
      <c r="P2167" s="213"/>
    </row>
    <row r="2168" spans="1:16" ht="24">
      <c r="A2168" s="83" t="s">
        <v>4054</v>
      </c>
      <c r="B2168" s="257" t="s">
        <v>4055</v>
      </c>
      <c r="C2168" s="258" t="s">
        <v>165</v>
      </c>
      <c r="D2168" s="79">
        <v>75.13</v>
      </c>
      <c r="F2168" s="79">
        <v>75.13</v>
      </c>
      <c r="G2168" s="81"/>
      <c r="N2168" s="240"/>
      <c r="O2168" s="241"/>
      <c r="P2168" s="213"/>
    </row>
    <row r="2169" spans="1:16" ht="24">
      <c r="A2169" s="83" t="s">
        <v>4056</v>
      </c>
      <c r="B2169" s="257" t="s">
        <v>4057</v>
      </c>
      <c r="C2169" s="258" t="s">
        <v>165</v>
      </c>
      <c r="D2169" s="79">
        <v>100.35</v>
      </c>
      <c r="F2169" s="79">
        <v>100.35</v>
      </c>
      <c r="G2169" s="81"/>
      <c r="N2169" s="240"/>
      <c r="O2169" s="241"/>
      <c r="P2169" s="213"/>
    </row>
    <row r="2170" spans="1:16" ht="24">
      <c r="A2170" s="83" t="s">
        <v>4058</v>
      </c>
      <c r="B2170" s="257" t="s">
        <v>4059</v>
      </c>
      <c r="C2170" s="258" t="s">
        <v>165</v>
      </c>
      <c r="D2170" s="79">
        <v>127.88</v>
      </c>
      <c r="F2170" s="79">
        <v>127.88</v>
      </c>
      <c r="G2170" s="81"/>
      <c r="N2170" s="240"/>
      <c r="O2170" s="241"/>
      <c r="P2170" s="213"/>
    </row>
    <row r="2171" spans="1:16" ht="24">
      <c r="A2171" s="83" t="s">
        <v>4060</v>
      </c>
      <c r="B2171" s="257" t="s">
        <v>4061</v>
      </c>
      <c r="C2171" s="258" t="s">
        <v>165</v>
      </c>
      <c r="D2171" s="79">
        <v>158.69999999999999</v>
      </c>
      <c r="F2171" s="79">
        <v>158.69999999999999</v>
      </c>
      <c r="G2171" s="81"/>
      <c r="N2171" s="240"/>
      <c r="O2171" s="241"/>
      <c r="P2171" s="213"/>
    </row>
    <row r="2172" spans="1:16" ht="24">
      <c r="A2172" s="83" t="s">
        <v>4062</v>
      </c>
      <c r="B2172" s="257" t="s">
        <v>4063</v>
      </c>
      <c r="C2172" s="258" t="s">
        <v>165</v>
      </c>
      <c r="D2172" s="79">
        <v>192.04</v>
      </c>
      <c r="F2172" s="79">
        <v>192.04</v>
      </c>
      <c r="G2172" s="81"/>
      <c r="N2172" s="240"/>
      <c r="O2172" s="241"/>
      <c r="P2172" s="213"/>
    </row>
    <row r="2173" spans="1:16" ht="24">
      <c r="A2173" s="83" t="s">
        <v>4064</v>
      </c>
      <c r="B2173" s="257" t="s">
        <v>4065</v>
      </c>
      <c r="C2173" s="258" t="s">
        <v>165</v>
      </c>
      <c r="D2173" s="79">
        <v>252.34</v>
      </c>
      <c r="F2173" s="79">
        <v>252.34</v>
      </c>
      <c r="G2173" s="81"/>
      <c r="N2173" s="240"/>
      <c r="O2173" s="241"/>
      <c r="P2173" s="213"/>
    </row>
    <row r="2174" spans="1:16" ht="12">
      <c r="A2174" s="83" t="s">
        <v>4066</v>
      </c>
      <c r="B2174" s="257" t="s">
        <v>4067</v>
      </c>
      <c r="C2174" s="258" t="s">
        <v>165</v>
      </c>
      <c r="D2174" s="79">
        <v>1.82</v>
      </c>
      <c r="F2174" s="79">
        <v>1.82</v>
      </c>
      <c r="G2174" s="81"/>
      <c r="N2174" s="240"/>
      <c r="O2174" s="241"/>
      <c r="P2174" s="213"/>
    </row>
    <row r="2175" spans="1:16" ht="12">
      <c r="A2175" s="83" t="s">
        <v>4068</v>
      </c>
      <c r="B2175" s="257" t="s">
        <v>4069</v>
      </c>
      <c r="C2175" s="258" t="s">
        <v>165</v>
      </c>
      <c r="D2175" s="79">
        <v>2.6</v>
      </c>
      <c r="F2175" s="79">
        <v>2.6</v>
      </c>
      <c r="G2175" s="81"/>
      <c r="N2175" s="240"/>
      <c r="O2175" s="241"/>
      <c r="P2175" s="213"/>
    </row>
    <row r="2176" spans="1:16" ht="12">
      <c r="A2176" s="83" t="s">
        <v>4070</v>
      </c>
      <c r="B2176" s="257" t="s">
        <v>4071</v>
      </c>
      <c r="C2176" s="258" t="s">
        <v>165</v>
      </c>
      <c r="D2176" s="79">
        <v>3.93</v>
      </c>
      <c r="F2176" s="79">
        <v>3.93</v>
      </c>
      <c r="G2176" s="81"/>
      <c r="N2176" s="240"/>
      <c r="O2176" s="241"/>
      <c r="P2176" s="213"/>
    </row>
    <row r="2177" spans="1:16" ht="12">
      <c r="A2177" s="83" t="s">
        <v>4072</v>
      </c>
      <c r="B2177" s="257" t="s">
        <v>4073</v>
      </c>
      <c r="C2177" s="258" t="s">
        <v>165</v>
      </c>
      <c r="D2177" s="79">
        <v>5.75</v>
      </c>
      <c r="F2177" s="79">
        <v>5.75</v>
      </c>
      <c r="G2177" s="81"/>
      <c r="N2177" s="240"/>
      <c r="O2177" s="241"/>
      <c r="P2177" s="213"/>
    </row>
    <row r="2178" spans="1:16" ht="12">
      <c r="A2178" s="83" t="s">
        <v>4074</v>
      </c>
      <c r="B2178" s="257" t="s">
        <v>4075</v>
      </c>
      <c r="C2178" s="258" t="s">
        <v>165</v>
      </c>
      <c r="D2178" s="79">
        <v>9.09</v>
      </c>
      <c r="F2178" s="79">
        <v>9.09</v>
      </c>
      <c r="G2178" s="81"/>
      <c r="N2178" s="240"/>
      <c r="O2178" s="241"/>
      <c r="P2178" s="213"/>
    </row>
    <row r="2179" spans="1:16" ht="12">
      <c r="A2179" s="83" t="s">
        <v>4076</v>
      </c>
      <c r="B2179" s="257" t="s">
        <v>4077</v>
      </c>
      <c r="C2179" s="258" t="s">
        <v>165</v>
      </c>
      <c r="D2179" s="79">
        <v>13.93</v>
      </c>
      <c r="F2179" s="79">
        <v>13.93</v>
      </c>
      <c r="G2179" s="81"/>
      <c r="N2179" s="240"/>
      <c r="O2179" s="241"/>
      <c r="P2179" s="213"/>
    </row>
    <row r="2180" spans="1:16" ht="12">
      <c r="A2180" s="83" t="s">
        <v>4078</v>
      </c>
      <c r="B2180" s="257" t="s">
        <v>4079</v>
      </c>
      <c r="C2180" s="258" t="s">
        <v>165</v>
      </c>
      <c r="D2180" s="79">
        <v>21.39</v>
      </c>
      <c r="F2180" s="79">
        <v>21.39</v>
      </c>
      <c r="G2180" s="81"/>
      <c r="N2180" s="240"/>
      <c r="O2180" s="241"/>
      <c r="P2180" s="213"/>
    </row>
    <row r="2181" spans="1:16" ht="12">
      <c r="A2181" s="83" t="s">
        <v>4080</v>
      </c>
      <c r="B2181" s="257" t="s">
        <v>4081</v>
      </c>
      <c r="C2181" s="258" t="s">
        <v>165</v>
      </c>
      <c r="D2181" s="79">
        <v>29.75</v>
      </c>
      <c r="F2181" s="79">
        <v>29.75</v>
      </c>
      <c r="G2181" s="81"/>
      <c r="N2181" s="240"/>
      <c r="O2181" s="241"/>
      <c r="P2181" s="213"/>
    </row>
    <row r="2182" spans="1:16" ht="12">
      <c r="A2182" s="83" t="s">
        <v>4082</v>
      </c>
      <c r="B2182" s="257" t="s">
        <v>4083</v>
      </c>
      <c r="C2182" s="258" t="s">
        <v>165</v>
      </c>
      <c r="D2182" s="79">
        <v>42.63</v>
      </c>
      <c r="F2182" s="79">
        <v>42.63</v>
      </c>
      <c r="G2182" s="81"/>
      <c r="N2182" s="240"/>
      <c r="O2182" s="241"/>
      <c r="P2182" s="213"/>
    </row>
    <row r="2183" spans="1:16" ht="12">
      <c r="A2183" s="83" t="s">
        <v>4084</v>
      </c>
      <c r="B2183" s="257" t="s">
        <v>4085</v>
      </c>
      <c r="C2183" s="258" t="s">
        <v>165</v>
      </c>
      <c r="D2183" s="79">
        <v>59.23</v>
      </c>
      <c r="F2183" s="79">
        <v>59.23</v>
      </c>
      <c r="G2183" s="81"/>
      <c r="N2183" s="240"/>
      <c r="O2183" s="241"/>
      <c r="P2183" s="213"/>
    </row>
    <row r="2184" spans="1:16" ht="12">
      <c r="A2184" s="83" t="s">
        <v>4086</v>
      </c>
      <c r="B2184" s="257" t="s">
        <v>4087</v>
      </c>
      <c r="C2184" s="258" t="s">
        <v>165</v>
      </c>
      <c r="D2184" s="79">
        <v>79.430000000000007</v>
      </c>
      <c r="F2184" s="79">
        <v>79.430000000000007</v>
      </c>
      <c r="G2184" s="81"/>
      <c r="N2184" s="240"/>
      <c r="O2184" s="241"/>
      <c r="P2184" s="213"/>
    </row>
    <row r="2185" spans="1:16" ht="12">
      <c r="A2185" s="83" t="s">
        <v>4088</v>
      </c>
      <c r="B2185" s="257" t="s">
        <v>4089</v>
      </c>
      <c r="C2185" s="258" t="s">
        <v>165</v>
      </c>
      <c r="D2185" s="79">
        <v>98.14</v>
      </c>
      <c r="F2185" s="79">
        <v>98.14</v>
      </c>
      <c r="G2185" s="81"/>
      <c r="N2185" s="240"/>
      <c r="O2185" s="241"/>
      <c r="P2185" s="213"/>
    </row>
    <row r="2186" spans="1:16" ht="12">
      <c r="A2186" s="83" t="s">
        <v>4090</v>
      </c>
      <c r="B2186" s="257" t="s">
        <v>4091</v>
      </c>
      <c r="C2186" s="258" t="s">
        <v>165</v>
      </c>
      <c r="D2186" s="79">
        <v>148.47999999999999</v>
      </c>
      <c r="F2186" s="79">
        <v>148.47999999999999</v>
      </c>
      <c r="G2186" s="81"/>
      <c r="N2186" s="240"/>
      <c r="O2186" s="241"/>
      <c r="P2186" s="213"/>
    </row>
    <row r="2187" spans="1:16" ht="12">
      <c r="A2187" s="83" t="s">
        <v>4092</v>
      </c>
      <c r="B2187" s="257" t="s">
        <v>4093</v>
      </c>
      <c r="C2187" s="258" t="s">
        <v>165</v>
      </c>
      <c r="D2187" s="79">
        <v>199.78</v>
      </c>
      <c r="F2187" s="79">
        <v>199.78</v>
      </c>
      <c r="G2187" s="81"/>
      <c r="N2187" s="240"/>
      <c r="O2187" s="241"/>
      <c r="P2187" s="213"/>
    </row>
    <row r="2188" spans="1:16" ht="12">
      <c r="A2188" s="83" t="s">
        <v>4094</v>
      </c>
      <c r="B2188" s="257" t="s">
        <v>4095</v>
      </c>
      <c r="C2188" s="258" t="s">
        <v>165</v>
      </c>
      <c r="D2188" s="79">
        <v>122.11</v>
      </c>
      <c r="F2188" s="79">
        <v>122.11</v>
      </c>
      <c r="G2188" s="81"/>
      <c r="N2188" s="240"/>
      <c r="O2188" s="241"/>
      <c r="P2188" s="213"/>
    </row>
    <row r="2189" spans="1:16" ht="12">
      <c r="A2189" s="83" t="s">
        <v>4096</v>
      </c>
      <c r="B2189" s="257" t="s">
        <v>4097</v>
      </c>
      <c r="C2189" s="258" t="s">
        <v>165</v>
      </c>
      <c r="D2189" s="79">
        <v>60.4</v>
      </c>
      <c r="F2189" s="79">
        <v>60.4</v>
      </c>
      <c r="G2189" s="81"/>
      <c r="N2189" s="240"/>
      <c r="O2189" s="241"/>
      <c r="P2189" s="213"/>
    </row>
    <row r="2190" spans="1:16" ht="12">
      <c r="A2190" s="83" t="s">
        <v>4098</v>
      </c>
      <c r="B2190" s="257" t="s">
        <v>4099</v>
      </c>
      <c r="C2190" s="258" t="s">
        <v>165</v>
      </c>
      <c r="D2190" s="79">
        <v>76.84</v>
      </c>
      <c r="F2190" s="79">
        <v>76.84</v>
      </c>
      <c r="G2190" s="81"/>
      <c r="N2190" s="240"/>
      <c r="O2190" s="241"/>
      <c r="P2190" s="213"/>
    </row>
    <row r="2191" spans="1:16" ht="12">
      <c r="A2191" s="83" t="s">
        <v>4100</v>
      </c>
      <c r="B2191" s="257" t="s">
        <v>4101</v>
      </c>
      <c r="C2191" s="258" t="s">
        <v>165</v>
      </c>
      <c r="D2191" s="79">
        <v>210.46</v>
      </c>
      <c r="F2191" s="79">
        <v>210.46</v>
      </c>
      <c r="G2191" s="81"/>
      <c r="N2191" s="240"/>
      <c r="O2191" s="241"/>
      <c r="P2191" s="213"/>
    </row>
    <row r="2192" spans="1:16" ht="12">
      <c r="A2192" s="83" t="s">
        <v>4102</v>
      </c>
      <c r="B2192" s="257" t="s">
        <v>4103</v>
      </c>
      <c r="C2192" s="258" t="s">
        <v>165</v>
      </c>
      <c r="D2192" s="79">
        <v>1.27</v>
      </c>
      <c r="F2192" s="79">
        <v>1.27</v>
      </c>
      <c r="G2192" s="81"/>
      <c r="N2192" s="240"/>
      <c r="O2192" s="241"/>
      <c r="P2192" s="213"/>
    </row>
    <row r="2193" spans="1:16" ht="12">
      <c r="A2193" s="83" t="s">
        <v>4104</v>
      </c>
      <c r="B2193" s="257" t="s">
        <v>4105</v>
      </c>
      <c r="C2193" s="258" t="s">
        <v>165</v>
      </c>
      <c r="D2193" s="79">
        <v>1.95</v>
      </c>
      <c r="F2193" s="79">
        <v>1.95</v>
      </c>
      <c r="G2193" s="81"/>
      <c r="N2193" s="240"/>
      <c r="O2193" s="241"/>
      <c r="P2193" s="213"/>
    </row>
    <row r="2194" spans="1:16" ht="12">
      <c r="A2194" s="83" t="s">
        <v>4106</v>
      </c>
      <c r="B2194" s="257" t="s">
        <v>4107</v>
      </c>
      <c r="C2194" s="258" t="s">
        <v>165</v>
      </c>
      <c r="D2194" s="79">
        <v>2.99</v>
      </c>
      <c r="F2194" s="79">
        <v>2.99</v>
      </c>
      <c r="G2194" s="81"/>
      <c r="N2194" s="240"/>
      <c r="O2194" s="241"/>
      <c r="P2194" s="213"/>
    </row>
    <row r="2195" spans="1:16" ht="12">
      <c r="A2195" s="83" t="s">
        <v>4108</v>
      </c>
      <c r="B2195" s="257" t="s">
        <v>4109</v>
      </c>
      <c r="C2195" s="258" t="s">
        <v>165</v>
      </c>
      <c r="D2195" s="79">
        <v>4.32</v>
      </c>
      <c r="F2195" s="79">
        <v>4.32</v>
      </c>
      <c r="G2195" s="81"/>
      <c r="N2195" s="240"/>
      <c r="O2195" s="241"/>
      <c r="P2195" s="213"/>
    </row>
    <row r="2196" spans="1:16" ht="12">
      <c r="A2196" s="83" t="s">
        <v>4110</v>
      </c>
      <c r="B2196" s="257" t="s">
        <v>4111</v>
      </c>
      <c r="C2196" s="258" t="s">
        <v>165</v>
      </c>
      <c r="D2196" s="79">
        <v>7.89</v>
      </c>
      <c r="F2196" s="79">
        <v>7.89</v>
      </c>
      <c r="G2196" s="81"/>
      <c r="N2196" s="240"/>
      <c r="O2196" s="241"/>
      <c r="P2196" s="213"/>
    </row>
    <row r="2197" spans="1:16" ht="12">
      <c r="A2197" s="83" t="s">
        <v>4112</v>
      </c>
      <c r="B2197" s="257" t="s">
        <v>4113</v>
      </c>
      <c r="C2197" s="258" t="s">
        <v>165</v>
      </c>
      <c r="D2197" s="79">
        <v>5.62</v>
      </c>
      <c r="F2197" s="79">
        <v>5.62</v>
      </c>
      <c r="G2197" s="81"/>
      <c r="N2197" s="240"/>
      <c r="O2197" s="241"/>
      <c r="P2197" s="213"/>
    </row>
    <row r="2198" spans="1:16" ht="12">
      <c r="A2198" s="83" t="s">
        <v>4114</v>
      </c>
      <c r="B2198" s="257" t="s">
        <v>4115</v>
      </c>
      <c r="C2198" s="258" t="s">
        <v>165</v>
      </c>
      <c r="D2198" s="79">
        <v>77.510000000000005</v>
      </c>
      <c r="F2198" s="79">
        <v>77.510000000000005</v>
      </c>
      <c r="G2198" s="81"/>
      <c r="N2198" s="240"/>
      <c r="O2198" s="241"/>
      <c r="P2198" s="213"/>
    </row>
    <row r="2199" spans="1:16" ht="12">
      <c r="A2199" s="83" t="s">
        <v>4116</v>
      </c>
      <c r="B2199" s="257" t="s">
        <v>4117</v>
      </c>
      <c r="C2199" s="258" t="s">
        <v>165</v>
      </c>
      <c r="D2199" s="79">
        <v>111.06</v>
      </c>
      <c r="F2199" s="79">
        <v>111.06</v>
      </c>
      <c r="G2199" s="81"/>
      <c r="N2199" s="240"/>
      <c r="O2199" s="241"/>
      <c r="P2199" s="213"/>
    </row>
    <row r="2200" spans="1:16" ht="12">
      <c r="A2200" s="83" t="s">
        <v>4118</v>
      </c>
      <c r="B2200" s="257" t="s">
        <v>4119</v>
      </c>
      <c r="C2200" s="258" t="s">
        <v>165</v>
      </c>
      <c r="D2200" s="79">
        <v>44.57</v>
      </c>
      <c r="F2200" s="79">
        <v>44.57</v>
      </c>
      <c r="G2200" s="81"/>
      <c r="N2200" s="240"/>
      <c r="O2200" s="241"/>
      <c r="P2200" s="213"/>
    </row>
    <row r="2201" spans="1:16" ht="24">
      <c r="A2201" s="83" t="s">
        <v>4120</v>
      </c>
      <c r="B2201" s="257" t="s">
        <v>4121</v>
      </c>
      <c r="C2201" s="258" t="s">
        <v>165</v>
      </c>
      <c r="D2201" s="79">
        <v>6.43</v>
      </c>
      <c r="F2201" s="79">
        <v>6.43</v>
      </c>
      <c r="G2201" s="81"/>
      <c r="N2201" s="240"/>
      <c r="O2201" s="241"/>
      <c r="P2201" s="213"/>
    </row>
    <row r="2202" spans="1:16" ht="24">
      <c r="A2202" s="83" t="s">
        <v>4122</v>
      </c>
      <c r="B2202" s="257" t="s">
        <v>4123</v>
      </c>
      <c r="C2202" s="258" t="s">
        <v>165</v>
      </c>
      <c r="D2202" s="79">
        <v>10.82</v>
      </c>
      <c r="F2202" s="79">
        <v>10.82</v>
      </c>
      <c r="G2202" s="81"/>
      <c r="N2202" s="240"/>
      <c r="O2202" s="241"/>
      <c r="P2202" s="213"/>
    </row>
    <row r="2203" spans="1:16" ht="24">
      <c r="A2203" s="83" t="s">
        <v>4124</v>
      </c>
      <c r="B2203" s="257" t="s">
        <v>4125</v>
      </c>
      <c r="C2203" s="258" t="s">
        <v>165</v>
      </c>
      <c r="D2203" s="79">
        <v>16.78</v>
      </c>
      <c r="F2203" s="79">
        <v>16.78</v>
      </c>
      <c r="G2203" s="81"/>
      <c r="N2203" s="240"/>
      <c r="O2203" s="241"/>
      <c r="P2203" s="213"/>
    </row>
    <row r="2204" spans="1:16" ht="24">
      <c r="A2204" s="83" t="s">
        <v>4126</v>
      </c>
      <c r="B2204" s="257" t="s">
        <v>4127</v>
      </c>
      <c r="C2204" s="258" t="s">
        <v>165</v>
      </c>
      <c r="D2204" s="79">
        <v>24.13</v>
      </c>
      <c r="F2204" s="79">
        <v>24.13</v>
      </c>
      <c r="G2204" s="81"/>
      <c r="N2204" s="240"/>
      <c r="O2204" s="241"/>
      <c r="P2204" s="213"/>
    </row>
    <row r="2205" spans="1:16" ht="24">
      <c r="A2205" s="83" t="s">
        <v>4128</v>
      </c>
      <c r="B2205" s="257" t="s">
        <v>4129</v>
      </c>
      <c r="C2205" s="258" t="s">
        <v>165</v>
      </c>
      <c r="D2205" s="79">
        <v>21.43</v>
      </c>
      <c r="F2205" s="79">
        <v>21.43</v>
      </c>
      <c r="G2205" s="81"/>
      <c r="N2205" s="240"/>
      <c r="O2205" s="241"/>
      <c r="P2205" s="213"/>
    </row>
    <row r="2206" spans="1:16" ht="24">
      <c r="A2206" s="83" t="s">
        <v>4130</v>
      </c>
      <c r="B2206" s="257" t="s">
        <v>4131</v>
      </c>
      <c r="C2206" s="258" t="s">
        <v>165</v>
      </c>
      <c r="D2206" s="79">
        <v>33.97</v>
      </c>
      <c r="F2206" s="79">
        <v>33.97</v>
      </c>
      <c r="G2206" s="81"/>
      <c r="N2206" s="240"/>
      <c r="O2206" s="241"/>
      <c r="P2206" s="213"/>
    </row>
    <row r="2207" spans="1:16" ht="12">
      <c r="A2207" s="83" t="s">
        <v>4132</v>
      </c>
      <c r="B2207" s="257" t="s">
        <v>4133</v>
      </c>
      <c r="C2207" s="258" t="s">
        <v>165</v>
      </c>
      <c r="D2207" s="79">
        <v>50.53</v>
      </c>
      <c r="F2207" s="79">
        <v>50.53</v>
      </c>
      <c r="G2207" s="81"/>
      <c r="N2207" s="240"/>
      <c r="O2207" s="241"/>
      <c r="P2207" s="213"/>
    </row>
    <row r="2208" spans="1:16" ht="12">
      <c r="A2208" s="83" t="s">
        <v>4134</v>
      </c>
      <c r="B2208" s="257" t="s">
        <v>4135</v>
      </c>
      <c r="C2208" s="258" t="s">
        <v>165</v>
      </c>
      <c r="D2208" s="79">
        <v>10.38</v>
      </c>
      <c r="F2208" s="79">
        <v>10.38</v>
      </c>
      <c r="G2208" s="81"/>
      <c r="N2208" s="240"/>
      <c r="O2208" s="241"/>
      <c r="P2208" s="213"/>
    </row>
    <row r="2209" spans="1:16" ht="24">
      <c r="A2209" s="83" t="s">
        <v>4136</v>
      </c>
      <c r="B2209" s="257" t="s">
        <v>4137</v>
      </c>
      <c r="C2209" s="258" t="s">
        <v>165</v>
      </c>
      <c r="D2209" s="79">
        <v>90.39</v>
      </c>
      <c r="F2209" s="79">
        <v>90.39</v>
      </c>
      <c r="G2209" s="81"/>
      <c r="N2209" s="240"/>
      <c r="O2209" s="241"/>
      <c r="P2209" s="213"/>
    </row>
    <row r="2210" spans="1:16" ht="12">
      <c r="A2210" s="83" t="s">
        <v>4138</v>
      </c>
      <c r="B2210" s="257" t="s">
        <v>4139</v>
      </c>
      <c r="C2210" s="258" t="s">
        <v>165</v>
      </c>
      <c r="D2210" s="79">
        <v>176.89</v>
      </c>
      <c r="F2210" s="79">
        <v>176.89</v>
      </c>
      <c r="G2210" s="81"/>
      <c r="N2210" s="240"/>
      <c r="O2210" s="241"/>
      <c r="P2210" s="213"/>
    </row>
    <row r="2211" spans="1:16" ht="12">
      <c r="A2211" s="83" t="s">
        <v>4140</v>
      </c>
      <c r="B2211" s="257" t="s">
        <v>4141</v>
      </c>
      <c r="C2211" s="258" t="s">
        <v>165</v>
      </c>
      <c r="D2211" s="79">
        <v>74.91</v>
      </c>
      <c r="F2211" s="79">
        <v>74.91</v>
      </c>
      <c r="G2211" s="81"/>
      <c r="N2211" s="240"/>
      <c r="O2211" s="241"/>
      <c r="P2211" s="213"/>
    </row>
    <row r="2212" spans="1:16" ht="12">
      <c r="A2212" s="83" t="s">
        <v>4142</v>
      </c>
      <c r="B2212" s="257" t="s">
        <v>4143</v>
      </c>
      <c r="C2212" s="258" t="s">
        <v>165</v>
      </c>
      <c r="D2212" s="79">
        <v>100.32</v>
      </c>
      <c r="F2212" s="79">
        <v>100.32</v>
      </c>
      <c r="G2212" s="81"/>
      <c r="N2212" s="240"/>
      <c r="O2212" s="241"/>
      <c r="P2212" s="213"/>
    </row>
    <row r="2213" spans="1:16" ht="12">
      <c r="A2213" s="83" t="s">
        <v>4144</v>
      </c>
      <c r="B2213" s="257" t="s">
        <v>4145</v>
      </c>
      <c r="C2213" s="258" t="s">
        <v>165</v>
      </c>
      <c r="D2213" s="79">
        <v>212.86</v>
      </c>
      <c r="F2213" s="79">
        <v>212.86</v>
      </c>
      <c r="G2213" s="81"/>
      <c r="N2213" s="240"/>
      <c r="O2213" s="241"/>
      <c r="P2213" s="213"/>
    </row>
    <row r="2214" spans="1:16" ht="12">
      <c r="A2214" s="83" t="s">
        <v>4146</v>
      </c>
      <c r="B2214" s="257" t="s">
        <v>4147</v>
      </c>
      <c r="C2214" s="258" t="s">
        <v>165</v>
      </c>
      <c r="D2214" s="79">
        <v>70.55</v>
      </c>
      <c r="F2214" s="79">
        <v>70.55</v>
      </c>
      <c r="G2214" s="81"/>
      <c r="N2214" s="240"/>
      <c r="O2214" s="241"/>
      <c r="P2214" s="213"/>
    </row>
    <row r="2215" spans="1:16" ht="24">
      <c r="A2215" s="256" t="s">
        <v>4148</v>
      </c>
      <c r="B2215" s="274" t="s">
        <v>4149</v>
      </c>
      <c r="C2215" s="262" t="s">
        <v>165</v>
      </c>
      <c r="D2215" s="79">
        <v>11.98</v>
      </c>
      <c r="F2215" s="522">
        <v>11.98</v>
      </c>
    </row>
    <row r="2216" spans="1:16" ht="12">
      <c r="A2216" s="83" t="s">
        <v>4150</v>
      </c>
      <c r="B2216" s="257" t="s">
        <v>4151</v>
      </c>
      <c r="C2216" s="258" t="s">
        <v>165</v>
      </c>
      <c r="D2216" s="79">
        <v>21.67</v>
      </c>
      <c r="F2216" s="79">
        <v>21.67</v>
      </c>
      <c r="G2216" s="81"/>
      <c r="N2216" s="240"/>
      <c r="O2216" s="241"/>
      <c r="P2216" s="213"/>
    </row>
    <row r="2217" spans="1:16" ht="24">
      <c r="A2217" s="83" t="s">
        <v>4152</v>
      </c>
      <c r="B2217" s="257" t="s">
        <v>29826</v>
      </c>
      <c r="C2217" s="258" t="s">
        <v>103</v>
      </c>
      <c r="D2217" s="79">
        <v>77.22</v>
      </c>
      <c r="F2217" s="79">
        <v>77.22</v>
      </c>
      <c r="G2217" s="81"/>
      <c r="N2217" s="240"/>
      <c r="O2217" s="241"/>
      <c r="P2217" s="213"/>
    </row>
    <row r="2218" spans="1:16" ht="12">
      <c r="A2218" s="83" t="s">
        <v>4153</v>
      </c>
      <c r="B2218" s="257" t="s">
        <v>4154</v>
      </c>
      <c r="C2218" s="258" t="s">
        <v>207</v>
      </c>
      <c r="D2218" s="79">
        <v>33.369999999999997</v>
      </c>
      <c r="F2218" s="79">
        <v>33.369999999999997</v>
      </c>
      <c r="G2218" s="81"/>
      <c r="N2218" s="240"/>
      <c r="O2218" s="241"/>
      <c r="P2218" s="213"/>
    </row>
    <row r="2219" spans="1:16" ht="12">
      <c r="A2219" s="83" t="s">
        <v>4155</v>
      </c>
      <c r="B2219" s="257" t="s">
        <v>4156</v>
      </c>
      <c r="C2219" s="258" t="s">
        <v>207</v>
      </c>
      <c r="D2219" s="79">
        <v>32.590000000000003</v>
      </c>
      <c r="F2219" s="79">
        <v>32.590000000000003</v>
      </c>
      <c r="G2219" s="81"/>
      <c r="N2219" s="240"/>
      <c r="O2219" s="241"/>
      <c r="P2219" s="213"/>
    </row>
    <row r="2220" spans="1:16" ht="24">
      <c r="A2220" s="63" t="s">
        <v>4157</v>
      </c>
      <c r="B2220" s="257" t="s">
        <v>4158</v>
      </c>
      <c r="C2220" s="258" t="s">
        <v>103</v>
      </c>
      <c r="D2220" s="79">
        <v>661.51</v>
      </c>
      <c r="F2220" s="79">
        <v>661.51</v>
      </c>
      <c r="G2220" s="81"/>
      <c r="N2220" s="61"/>
      <c r="O2220" s="241"/>
      <c r="P2220" s="213"/>
    </row>
    <row r="2221" spans="1:16" ht="12">
      <c r="A2221" s="83" t="s">
        <v>4159</v>
      </c>
      <c r="B2221" s="257" t="s">
        <v>4160</v>
      </c>
      <c r="C2221" s="258" t="s">
        <v>103</v>
      </c>
      <c r="D2221" s="79">
        <v>358.22</v>
      </c>
      <c r="F2221" s="79">
        <v>358.22</v>
      </c>
      <c r="G2221" s="81"/>
      <c r="N2221" s="240"/>
      <c r="O2221" s="241"/>
      <c r="P2221" s="213"/>
    </row>
    <row r="2222" spans="1:16" ht="24">
      <c r="A2222" s="83" t="s">
        <v>4161</v>
      </c>
      <c r="B2222" s="257" t="s">
        <v>4162</v>
      </c>
      <c r="C2222" s="258" t="s">
        <v>165</v>
      </c>
      <c r="D2222" s="79">
        <v>15.53</v>
      </c>
      <c r="F2222" s="79">
        <v>15.53</v>
      </c>
      <c r="G2222" s="81"/>
      <c r="N2222" s="240"/>
      <c r="O2222" s="241"/>
      <c r="P2222" s="213"/>
    </row>
    <row r="2223" spans="1:16" ht="24">
      <c r="A2223" s="83" t="s">
        <v>4163</v>
      </c>
      <c r="B2223" s="257" t="s">
        <v>4164</v>
      </c>
      <c r="C2223" s="258" t="s">
        <v>165</v>
      </c>
      <c r="D2223" s="79">
        <v>20.2</v>
      </c>
      <c r="F2223" s="79">
        <v>20.2</v>
      </c>
      <c r="G2223" s="81"/>
      <c r="N2223" s="240"/>
      <c r="O2223" s="241"/>
      <c r="P2223" s="213"/>
    </row>
    <row r="2224" spans="1:16" ht="24">
      <c r="A2224" s="67" t="s">
        <v>29836</v>
      </c>
      <c r="B2224" s="65" t="s">
        <v>29837</v>
      </c>
      <c r="C2224" s="71" t="s">
        <v>165</v>
      </c>
      <c r="D2224" s="79">
        <v>0.81</v>
      </c>
      <c r="F2224" s="79">
        <v>0.81</v>
      </c>
      <c r="G2224" s="81"/>
      <c r="N2224" s="133"/>
      <c r="O2224" s="241"/>
      <c r="P2224" s="213"/>
    </row>
    <row r="2225" spans="1:16" ht="12">
      <c r="A2225" s="67" t="s">
        <v>4165</v>
      </c>
      <c r="B2225" s="65" t="s">
        <v>4166</v>
      </c>
      <c r="C2225" s="71" t="s">
        <v>165</v>
      </c>
      <c r="D2225" s="79">
        <v>18.48</v>
      </c>
      <c r="F2225" s="79">
        <v>18.48</v>
      </c>
      <c r="G2225" s="81"/>
      <c r="N2225" s="133"/>
      <c r="O2225" s="241"/>
      <c r="P2225" s="213"/>
    </row>
    <row r="2226" spans="1:16" ht="12">
      <c r="A2226" s="67" t="s">
        <v>4167</v>
      </c>
      <c r="B2226" s="65" t="s">
        <v>4168</v>
      </c>
      <c r="C2226" s="71" t="s">
        <v>103</v>
      </c>
      <c r="D2226" s="79">
        <v>134.69999999999999</v>
      </c>
      <c r="F2226" s="79">
        <v>134.69999999999999</v>
      </c>
      <c r="G2226" s="81"/>
      <c r="N2226" s="133"/>
      <c r="O2226" s="241"/>
      <c r="P2226" s="213"/>
    </row>
    <row r="2227" spans="1:16" ht="24">
      <c r="A2227" s="67" t="s">
        <v>4169</v>
      </c>
      <c r="B2227" s="65" t="s">
        <v>4170</v>
      </c>
      <c r="C2227" s="71" t="s">
        <v>103</v>
      </c>
      <c r="D2227" s="79">
        <v>217.96</v>
      </c>
      <c r="F2227" s="79">
        <v>217.96</v>
      </c>
      <c r="G2227" s="81"/>
      <c r="N2227" s="133"/>
      <c r="O2227" s="241"/>
      <c r="P2227" s="213"/>
    </row>
    <row r="2228" spans="1:16" ht="24">
      <c r="A2228" s="83" t="s">
        <v>4171</v>
      </c>
      <c r="B2228" s="257" t="s">
        <v>29827</v>
      </c>
      <c r="C2228" s="258" t="s">
        <v>165</v>
      </c>
      <c r="D2228" s="79">
        <v>13.72</v>
      </c>
      <c r="F2228" s="79">
        <v>13.72</v>
      </c>
      <c r="G2228" s="81"/>
      <c r="N2228" s="240"/>
      <c r="O2228" s="241"/>
      <c r="P2228" s="213"/>
    </row>
    <row r="2229" spans="1:16" ht="24">
      <c r="A2229" s="83" t="s">
        <v>4172</v>
      </c>
      <c r="B2229" s="257" t="s">
        <v>29828</v>
      </c>
      <c r="C2229" s="258" t="s">
        <v>165</v>
      </c>
      <c r="D2229" s="79">
        <v>20.71</v>
      </c>
      <c r="F2229" s="79">
        <v>20.71</v>
      </c>
      <c r="G2229" s="81"/>
      <c r="N2229" s="240"/>
      <c r="O2229" s="241"/>
      <c r="P2229" s="213"/>
    </row>
    <row r="2230" spans="1:16" ht="24">
      <c r="A2230" s="83" t="s">
        <v>4173</v>
      </c>
      <c r="B2230" s="257" t="s">
        <v>29829</v>
      </c>
      <c r="C2230" s="258" t="s">
        <v>165</v>
      </c>
      <c r="D2230" s="79">
        <v>43.37</v>
      </c>
      <c r="F2230" s="79">
        <v>43.37</v>
      </c>
      <c r="G2230" s="81"/>
      <c r="N2230" s="240"/>
      <c r="O2230" s="241"/>
      <c r="P2230" s="213"/>
    </row>
    <row r="2231" spans="1:16" ht="24">
      <c r="A2231" s="83" t="s">
        <v>4174</v>
      </c>
      <c r="B2231" s="257" t="s">
        <v>29830</v>
      </c>
      <c r="C2231" s="258" t="s">
        <v>165</v>
      </c>
      <c r="D2231" s="79">
        <v>14.63</v>
      </c>
      <c r="F2231" s="79">
        <v>14.63</v>
      </c>
      <c r="G2231" s="81"/>
      <c r="N2231" s="240"/>
      <c r="O2231" s="241"/>
      <c r="P2231" s="213"/>
    </row>
    <row r="2232" spans="1:16" ht="24">
      <c r="A2232" s="83" t="s">
        <v>4175</v>
      </c>
      <c r="B2232" s="257" t="s">
        <v>29831</v>
      </c>
      <c r="C2232" s="258" t="s">
        <v>165</v>
      </c>
      <c r="D2232" s="79">
        <v>21.94</v>
      </c>
      <c r="F2232" s="79">
        <v>21.94</v>
      </c>
      <c r="G2232" s="81"/>
      <c r="N2232" s="240"/>
      <c r="O2232" s="241"/>
      <c r="P2232" s="213"/>
    </row>
    <row r="2233" spans="1:16" ht="12">
      <c r="A2233" s="83" t="s">
        <v>4176</v>
      </c>
      <c r="B2233" s="257" t="s">
        <v>4177</v>
      </c>
      <c r="C2233" s="258" t="s">
        <v>165</v>
      </c>
      <c r="D2233" s="79">
        <v>5.19</v>
      </c>
      <c r="F2233" s="79">
        <v>5.19</v>
      </c>
      <c r="G2233" s="81"/>
      <c r="N2233" s="240"/>
      <c r="O2233" s="241"/>
      <c r="P2233" s="213"/>
    </row>
    <row r="2234" spans="1:16" ht="12">
      <c r="A2234" s="83" t="s">
        <v>4178</v>
      </c>
      <c r="B2234" s="257" t="s">
        <v>4179</v>
      </c>
      <c r="C2234" s="258" t="s">
        <v>103</v>
      </c>
      <c r="D2234" s="79">
        <v>49.56</v>
      </c>
      <c r="F2234" s="79">
        <v>49.56</v>
      </c>
      <c r="G2234" s="81"/>
      <c r="N2234" s="240"/>
      <c r="O2234" s="241"/>
      <c r="P2234" s="213"/>
    </row>
    <row r="2235" spans="1:16" ht="12">
      <c r="A2235" s="83" t="s">
        <v>4180</v>
      </c>
      <c r="B2235" s="257" t="s">
        <v>4181</v>
      </c>
      <c r="C2235" s="258" t="s">
        <v>103</v>
      </c>
      <c r="D2235" s="79">
        <v>746.61</v>
      </c>
      <c r="F2235" s="79">
        <v>746.61</v>
      </c>
      <c r="G2235" s="81"/>
      <c r="N2235" s="240"/>
      <c r="O2235" s="241"/>
      <c r="P2235" s="213"/>
    </row>
    <row r="2236" spans="1:16" ht="24">
      <c r="A2236" s="83" t="s">
        <v>4182</v>
      </c>
      <c r="B2236" s="257" t="s">
        <v>29832</v>
      </c>
      <c r="C2236" s="258" t="s">
        <v>165</v>
      </c>
      <c r="D2236" s="79">
        <v>8.1199999999999992</v>
      </c>
      <c r="F2236" s="79">
        <v>8.1199999999999992</v>
      </c>
      <c r="G2236" s="81"/>
      <c r="N2236" s="240"/>
      <c r="O2236" s="241"/>
      <c r="P2236" s="213"/>
    </row>
    <row r="2237" spans="1:16" ht="36">
      <c r="A2237" s="83" t="s">
        <v>4183</v>
      </c>
      <c r="B2237" s="257" t="s">
        <v>29833</v>
      </c>
      <c r="C2237" s="258" t="s">
        <v>165</v>
      </c>
      <c r="D2237" s="79">
        <v>7.8</v>
      </c>
      <c r="F2237" s="79">
        <v>7.8</v>
      </c>
      <c r="G2237" s="81"/>
      <c r="N2237" s="240"/>
      <c r="O2237" s="241"/>
      <c r="P2237" s="213"/>
    </row>
    <row r="2238" spans="1:16" ht="36">
      <c r="A2238" s="83" t="s">
        <v>4184</v>
      </c>
      <c r="B2238" s="257" t="s">
        <v>29834</v>
      </c>
      <c r="C2238" s="258" t="s">
        <v>165</v>
      </c>
      <c r="D2238" s="79">
        <v>13.96</v>
      </c>
      <c r="F2238" s="79">
        <v>13.96</v>
      </c>
      <c r="G2238" s="81"/>
      <c r="N2238" s="240"/>
      <c r="O2238" s="241"/>
      <c r="P2238" s="213"/>
    </row>
    <row r="2239" spans="1:16" ht="36">
      <c r="A2239" s="83" t="s">
        <v>4185</v>
      </c>
      <c r="B2239" s="257" t="s">
        <v>29835</v>
      </c>
      <c r="C2239" s="258" t="s">
        <v>165</v>
      </c>
      <c r="D2239" s="79">
        <v>36.36</v>
      </c>
      <c r="F2239" s="79">
        <v>36.36</v>
      </c>
      <c r="G2239" s="81"/>
      <c r="N2239" s="240"/>
      <c r="O2239" s="241"/>
      <c r="P2239" s="213"/>
    </row>
    <row r="2240" spans="1:16" ht="24">
      <c r="A2240" s="83" t="s">
        <v>4186</v>
      </c>
      <c r="B2240" s="257" t="s">
        <v>4187</v>
      </c>
      <c r="C2240" s="258" t="s">
        <v>165</v>
      </c>
      <c r="D2240" s="79">
        <v>10.35</v>
      </c>
      <c r="F2240" s="79">
        <v>10.35</v>
      </c>
      <c r="G2240" s="81"/>
      <c r="N2240" s="240"/>
      <c r="O2240" s="241"/>
      <c r="P2240" s="213"/>
    </row>
    <row r="2241" spans="1:16" ht="24">
      <c r="A2241" s="83" t="s">
        <v>4188</v>
      </c>
      <c r="B2241" s="257" t="s">
        <v>4189</v>
      </c>
      <c r="C2241" s="258" t="s">
        <v>165</v>
      </c>
      <c r="D2241" s="79">
        <v>8.9600000000000009</v>
      </c>
      <c r="F2241" s="79">
        <v>8.9600000000000009</v>
      </c>
      <c r="G2241" s="81"/>
      <c r="N2241" s="240"/>
      <c r="O2241" s="241"/>
      <c r="P2241" s="213"/>
    </row>
    <row r="2242" spans="1:16" ht="12">
      <c r="A2242" s="83" t="s">
        <v>4190</v>
      </c>
      <c r="B2242" s="257" t="s">
        <v>4191</v>
      </c>
      <c r="C2242" s="258" t="s">
        <v>165</v>
      </c>
      <c r="D2242" s="79">
        <v>4.6500000000000004</v>
      </c>
      <c r="F2242" s="79">
        <v>4.6500000000000004</v>
      </c>
      <c r="G2242" s="81"/>
      <c r="N2242" s="240"/>
      <c r="O2242" s="241"/>
      <c r="P2242" s="213"/>
    </row>
    <row r="2243" spans="1:16" ht="24">
      <c r="A2243" s="83" t="s">
        <v>4192</v>
      </c>
      <c r="B2243" s="257" t="s">
        <v>4193</v>
      </c>
      <c r="C2243" s="258" t="s">
        <v>165</v>
      </c>
      <c r="D2243" s="79">
        <v>1.87</v>
      </c>
      <c r="F2243" s="79">
        <v>1.87</v>
      </c>
      <c r="G2243" s="81"/>
      <c r="N2243" s="240"/>
      <c r="O2243" s="241"/>
      <c r="P2243" s="213"/>
    </row>
    <row r="2244" spans="1:16" ht="24">
      <c r="A2244" s="83" t="s">
        <v>4194</v>
      </c>
      <c r="B2244" s="257" t="s">
        <v>29838</v>
      </c>
      <c r="C2244" s="258" t="s">
        <v>165</v>
      </c>
      <c r="D2244" s="79">
        <v>16.86</v>
      </c>
      <c r="F2244" s="79">
        <v>16.86</v>
      </c>
      <c r="G2244" s="81"/>
      <c r="N2244" s="240"/>
      <c r="O2244" s="241"/>
      <c r="P2244" s="213"/>
    </row>
    <row r="2245" spans="1:16" ht="24">
      <c r="A2245" s="83" t="s">
        <v>4195</v>
      </c>
      <c r="B2245" s="257" t="s">
        <v>29839</v>
      </c>
      <c r="C2245" s="258" t="s">
        <v>165</v>
      </c>
      <c r="D2245" s="79">
        <v>40.08</v>
      </c>
      <c r="F2245" s="79">
        <v>40.08</v>
      </c>
      <c r="G2245" s="81"/>
      <c r="N2245" s="240"/>
      <c r="O2245" s="241"/>
      <c r="P2245" s="213"/>
    </row>
    <row r="2246" spans="1:16" ht="24">
      <c r="A2246" s="83" t="s">
        <v>4196</v>
      </c>
      <c r="B2246" s="257" t="s">
        <v>29840</v>
      </c>
      <c r="C2246" s="258" t="s">
        <v>165</v>
      </c>
      <c r="D2246" s="79">
        <v>74.44</v>
      </c>
      <c r="F2246" s="79">
        <v>74.44</v>
      </c>
      <c r="G2246" s="81"/>
      <c r="N2246" s="240"/>
      <c r="O2246" s="241"/>
      <c r="P2246" s="213"/>
    </row>
    <row r="2247" spans="1:16" ht="24">
      <c r="A2247" s="83" t="s">
        <v>4197</v>
      </c>
      <c r="B2247" s="257" t="s">
        <v>4198</v>
      </c>
      <c r="C2247" s="258" t="s">
        <v>165</v>
      </c>
      <c r="D2247" s="79">
        <v>5.55</v>
      </c>
      <c r="F2247" s="79">
        <v>5.55</v>
      </c>
      <c r="G2247" s="81"/>
      <c r="N2247" s="240"/>
      <c r="O2247" s="241"/>
      <c r="P2247" s="213"/>
    </row>
    <row r="2248" spans="1:16" ht="24">
      <c r="A2248" s="83" t="s">
        <v>4199</v>
      </c>
      <c r="B2248" s="257" t="s">
        <v>4200</v>
      </c>
      <c r="C2248" s="258" t="s">
        <v>165</v>
      </c>
      <c r="D2248" s="79">
        <v>4.67</v>
      </c>
      <c r="F2248" s="79">
        <v>4.67</v>
      </c>
      <c r="G2248" s="81"/>
      <c r="N2248" s="240"/>
      <c r="O2248" s="241"/>
      <c r="P2248" s="213"/>
    </row>
    <row r="2249" spans="1:16" ht="24">
      <c r="A2249" s="83" t="s">
        <v>4201</v>
      </c>
      <c r="B2249" s="257" t="s">
        <v>29841</v>
      </c>
      <c r="C2249" s="258" t="s">
        <v>165</v>
      </c>
      <c r="D2249" s="79">
        <v>52.75</v>
      </c>
      <c r="F2249" s="79">
        <v>52.75</v>
      </c>
      <c r="G2249" s="81"/>
      <c r="N2249" s="240"/>
      <c r="O2249" s="241"/>
      <c r="P2249" s="213"/>
    </row>
    <row r="2250" spans="1:16" ht="12">
      <c r="A2250" s="83" t="s">
        <v>4202</v>
      </c>
      <c r="B2250" s="257" t="s">
        <v>4203</v>
      </c>
      <c r="C2250" s="258" t="s">
        <v>103</v>
      </c>
      <c r="D2250" s="79">
        <v>3824.56</v>
      </c>
      <c r="F2250" s="79">
        <v>3824.56</v>
      </c>
      <c r="G2250" s="81"/>
      <c r="N2250" s="240"/>
      <c r="O2250" s="241"/>
      <c r="P2250" s="213"/>
    </row>
    <row r="2251" spans="1:16" ht="24">
      <c r="A2251" s="67" t="s">
        <v>4204</v>
      </c>
      <c r="B2251" s="65" t="s">
        <v>42080</v>
      </c>
      <c r="C2251" s="71" t="s">
        <v>103</v>
      </c>
      <c r="D2251" s="79">
        <v>600.45000000000005</v>
      </c>
      <c r="F2251" s="79">
        <v>600.45000000000005</v>
      </c>
      <c r="G2251" s="81"/>
      <c r="N2251" s="133"/>
      <c r="O2251" s="241"/>
      <c r="P2251" s="213"/>
    </row>
    <row r="2252" spans="1:16" ht="24">
      <c r="A2252" s="83" t="s">
        <v>4205</v>
      </c>
      <c r="B2252" s="257" t="s">
        <v>4206</v>
      </c>
      <c r="C2252" s="258" t="s">
        <v>103</v>
      </c>
      <c r="D2252" s="79">
        <v>5345.27</v>
      </c>
      <c r="F2252" s="79">
        <v>5345.27</v>
      </c>
      <c r="G2252" s="81"/>
      <c r="N2252" s="240"/>
      <c r="O2252" s="241"/>
      <c r="P2252" s="213"/>
    </row>
    <row r="2253" spans="1:16" ht="24">
      <c r="A2253" s="83" t="s">
        <v>4207</v>
      </c>
      <c r="B2253" s="257" t="s">
        <v>4208</v>
      </c>
      <c r="C2253" s="258" t="s">
        <v>103</v>
      </c>
      <c r="D2253" s="79">
        <v>210731.25</v>
      </c>
      <c r="F2253" s="79">
        <v>210731.25</v>
      </c>
      <c r="G2253" s="81"/>
      <c r="N2253" s="240"/>
      <c r="O2253" s="241"/>
      <c r="P2253" s="213"/>
    </row>
    <row r="2254" spans="1:16" ht="24">
      <c r="A2254" s="83" t="s">
        <v>4209</v>
      </c>
      <c r="B2254" s="257" t="s">
        <v>4210</v>
      </c>
      <c r="C2254" s="258" t="s">
        <v>103</v>
      </c>
      <c r="D2254" s="79">
        <v>240237.05</v>
      </c>
      <c r="F2254" s="79">
        <v>240237.05</v>
      </c>
      <c r="G2254" s="81"/>
      <c r="N2254" s="240"/>
      <c r="O2254" s="241"/>
      <c r="P2254" s="213"/>
    </row>
    <row r="2255" spans="1:16" ht="24">
      <c r="A2255" s="83" t="s">
        <v>4211</v>
      </c>
      <c r="B2255" s="257" t="s">
        <v>4212</v>
      </c>
      <c r="C2255" s="258" t="s">
        <v>103</v>
      </c>
      <c r="D2255" s="79">
        <v>100220.97</v>
      </c>
      <c r="F2255" s="79">
        <v>100220.97</v>
      </c>
      <c r="G2255" s="81"/>
      <c r="N2255" s="240"/>
      <c r="O2255" s="241"/>
      <c r="P2255" s="213"/>
    </row>
    <row r="2256" spans="1:16" ht="24">
      <c r="A2256" s="83" t="s">
        <v>4213</v>
      </c>
      <c r="B2256" s="257" t="s">
        <v>4214</v>
      </c>
      <c r="C2256" s="258" t="s">
        <v>103</v>
      </c>
      <c r="D2256" s="79">
        <v>135238.28</v>
      </c>
      <c r="F2256" s="79">
        <v>135238.28</v>
      </c>
      <c r="G2256" s="81"/>
      <c r="N2256" s="240"/>
      <c r="O2256" s="241"/>
      <c r="P2256" s="213"/>
    </row>
    <row r="2257" spans="1:16" ht="24">
      <c r="A2257" s="83" t="s">
        <v>4215</v>
      </c>
      <c r="B2257" s="257" t="s">
        <v>4216</v>
      </c>
      <c r="C2257" s="258" t="s">
        <v>103</v>
      </c>
      <c r="D2257" s="79">
        <v>152690.53</v>
      </c>
      <c r="F2257" s="79">
        <v>152690.53</v>
      </c>
      <c r="G2257" s="81"/>
      <c r="N2257" s="240"/>
      <c r="O2257" s="241"/>
      <c r="P2257" s="213"/>
    </row>
    <row r="2258" spans="1:16" ht="24">
      <c r="A2258" s="83" t="s">
        <v>4217</v>
      </c>
      <c r="B2258" s="257" t="s">
        <v>4218</v>
      </c>
      <c r="C2258" s="258" t="s">
        <v>103</v>
      </c>
      <c r="D2258" s="79">
        <v>477269.81</v>
      </c>
      <c r="F2258" s="79">
        <v>477269.81</v>
      </c>
      <c r="G2258" s="81"/>
      <c r="N2258" s="240"/>
      <c r="O2258" s="241"/>
      <c r="P2258" s="213"/>
    </row>
    <row r="2259" spans="1:16" ht="24">
      <c r="A2259" s="83" t="s">
        <v>4219</v>
      </c>
      <c r="B2259" s="257" t="s">
        <v>4220</v>
      </c>
      <c r="C2259" s="258" t="s">
        <v>396</v>
      </c>
      <c r="D2259" s="79">
        <v>441400.69</v>
      </c>
      <c r="F2259" s="79">
        <v>441400.69</v>
      </c>
      <c r="G2259" s="81"/>
      <c r="N2259" s="240"/>
      <c r="O2259" s="241"/>
      <c r="P2259" s="213"/>
    </row>
    <row r="2260" spans="1:16" ht="24">
      <c r="A2260" s="63" t="s">
        <v>4221</v>
      </c>
      <c r="B2260" s="64" t="s">
        <v>4222</v>
      </c>
      <c r="C2260" s="71" t="s">
        <v>396</v>
      </c>
      <c r="D2260" s="79">
        <v>409099.94</v>
      </c>
      <c r="F2260" s="79">
        <v>409099.94</v>
      </c>
      <c r="G2260" s="81"/>
      <c r="N2260" s="61"/>
      <c r="O2260" s="241"/>
      <c r="P2260" s="213"/>
    </row>
    <row r="2261" spans="1:16" ht="24">
      <c r="A2261" s="63" t="s">
        <v>4223</v>
      </c>
      <c r="B2261" s="257" t="s">
        <v>4224</v>
      </c>
      <c r="C2261" s="258" t="s">
        <v>103</v>
      </c>
      <c r="D2261" s="79">
        <v>26503.3</v>
      </c>
      <c r="F2261" s="79">
        <v>26503.3</v>
      </c>
      <c r="G2261" s="81"/>
      <c r="N2261" s="61"/>
      <c r="O2261" s="241"/>
      <c r="P2261" s="213"/>
    </row>
    <row r="2262" spans="1:16" ht="24">
      <c r="A2262" s="83" t="s">
        <v>4225</v>
      </c>
      <c r="B2262" s="257" t="s">
        <v>4226</v>
      </c>
      <c r="C2262" s="258" t="s">
        <v>103</v>
      </c>
      <c r="D2262" s="79">
        <v>9449.2800000000007</v>
      </c>
      <c r="F2262" s="79">
        <v>9449.2800000000007</v>
      </c>
      <c r="G2262" s="81"/>
      <c r="N2262" s="240"/>
      <c r="O2262" s="241"/>
      <c r="P2262" s="213"/>
    </row>
    <row r="2263" spans="1:16" ht="24">
      <c r="A2263" s="83" t="s">
        <v>4227</v>
      </c>
      <c r="B2263" s="257" t="s">
        <v>4228</v>
      </c>
      <c r="C2263" s="258" t="s">
        <v>103</v>
      </c>
      <c r="D2263" s="79">
        <v>6563.17</v>
      </c>
      <c r="F2263" s="79">
        <v>6563.17</v>
      </c>
      <c r="G2263" s="81"/>
      <c r="N2263" s="240"/>
      <c r="O2263" s="241"/>
      <c r="P2263" s="213"/>
    </row>
    <row r="2264" spans="1:16" ht="24">
      <c r="A2264" s="83" t="s">
        <v>4229</v>
      </c>
      <c r="B2264" s="257" t="s">
        <v>4230</v>
      </c>
      <c r="C2264" s="258" t="s">
        <v>396</v>
      </c>
      <c r="D2264" s="79">
        <v>18753.32</v>
      </c>
      <c r="F2264" s="79">
        <v>18753.32</v>
      </c>
      <c r="G2264" s="81"/>
      <c r="N2264" s="240"/>
      <c r="O2264" s="241"/>
      <c r="P2264" s="213"/>
    </row>
    <row r="2265" spans="1:16" ht="24">
      <c r="A2265" s="83" t="s">
        <v>4231</v>
      </c>
      <c r="B2265" s="257" t="s">
        <v>4232</v>
      </c>
      <c r="C2265" s="258" t="s">
        <v>103</v>
      </c>
      <c r="D2265" s="79">
        <v>34029.79</v>
      </c>
      <c r="F2265" s="79">
        <v>34029.79</v>
      </c>
      <c r="G2265" s="81"/>
      <c r="N2265" s="240"/>
      <c r="O2265" s="241"/>
      <c r="P2265" s="213"/>
    </row>
    <row r="2266" spans="1:16" ht="12">
      <c r="A2266" s="83" t="s">
        <v>4233</v>
      </c>
      <c r="B2266" s="257" t="s">
        <v>4234</v>
      </c>
      <c r="C2266" s="258" t="s">
        <v>103</v>
      </c>
      <c r="D2266" s="79">
        <v>11998.88</v>
      </c>
      <c r="F2266" s="79">
        <v>11998.88</v>
      </c>
      <c r="G2266" s="81"/>
      <c r="N2266" s="240"/>
      <c r="O2266" s="241"/>
      <c r="P2266" s="213"/>
    </row>
    <row r="2267" spans="1:16" ht="12">
      <c r="A2267" s="83" t="s">
        <v>4235</v>
      </c>
      <c r="B2267" s="257" t="s">
        <v>4236</v>
      </c>
      <c r="C2267" s="258" t="s">
        <v>103</v>
      </c>
      <c r="D2267" s="79">
        <v>3858.34</v>
      </c>
      <c r="F2267" s="79">
        <v>3858.34</v>
      </c>
      <c r="G2267" s="81"/>
      <c r="N2267" s="240"/>
      <c r="O2267" s="241"/>
      <c r="P2267" s="213"/>
    </row>
    <row r="2268" spans="1:16" ht="12">
      <c r="A2268" s="83" t="s">
        <v>4237</v>
      </c>
      <c r="B2268" s="257" t="s">
        <v>4238</v>
      </c>
      <c r="C2268" s="258" t="s">
        <v>103</v>
      </c>
      <c r="D2268" s="79">
        <v>52719.41</v>
      </c>
      <c r="F2268" s="79">
        <v>52719.41</v>
      </c>
      <c r="G2268" s="81"/>
      <c r="N2268" s="240"/>
      <c r="O2268" s="241"/>
      <c r="P2268" s="213"/>
    </row>
    <row r="2269" spans="1:16" ht="12">
      <c r="A2269" s="83" t="s">
        <v>4239</v>
      </c>
      <c r="B2269" s="257" t="s">
        <v>4240</v>
      </c>
      <c r="C2269" s="258" t="s">
        <v>103</v>
      </c>
      <c r="D2269" s="79">
        <v>7555.79</v>
      </c>
      <c r="F2269" s="79">
        <v>7555.79</v>
      </c>
      <c r="G2269" s="81"/>
      <c r="N2269" s="240"/>
      <c r="O2269" s="241"/>
      <c r="P2269" s="213"/>
    </row>
    <row r="2270" spans="1:16" ht="12">
      <c r="A2270" s="83" t="s">
        <v>4241</v>
      </c>
      <c r="B2270" s="257" t="s">
        <v>4242</v>
      </c>
      <c r="C2270" s="258" t="s">
        <v>103</v>
      </c>
      <c r="D2270" s="79">
        <v>17805.57</v>
      </c>
      <c r="F2270" s="79">
        <v>17805.57</v>
      </c>
      <c r="G2270" s="81"/>
      <c r="N2270" s="240"/>
      <c r="O2270" s="241"/>
      <c r="P2270" s="213"/>
    </row>
    <row r="2271" spans="1:16" ht="12">
      <c r="A2271" s="83" t="s">
        <v>4243</v>
      </c>
      <c r="B2271" s="257" t="s">
        <v>4244</v>
      </c>
      <c r="C2271" s="258" t="s">
        <v>103</v>
      </c>
      <c r="D2271" s="79">
        <v>12707.15</v>
      </c>
      <c r="F2271" s="79">
        <v>12707.15</v>
      </c>
      <c r="G2271" s="81"/>
      <c r="N2271" s="240"/>
      <c r="O2271" s="241"/>
      <c r="P2271" s="213"/>
    </row>
    <row r="2272" spans="1:16" ht="12">
      <c r="A2272" s="83" t="s">
        <v>4245</v>
      </c>
      <c r="B2272" s="257" t="s">
        <v>4246</v>
      </c>
      <c r="C2272" s="258" t="s">
        <v>103</v>
      </c>
      <c r="D2272" s="79">
        <v>10793.85</v>
      </c>
      <c r="F2272" s="79">
        <v>10793.85</v>
      </c>
      <c r="G2272" s="81"/>
      <c r="N2272" s="240"/>
      <c r="O2272" s="241"/>
      <c r="P2272" s="213"/>
    </row>
    <row r="2273" spans="1:16" ht="12">
      <c r="A2273" s="83" t="s">
        <v>4247</v>
      </c>
      <c r="B2273" s="257" t="s">
        <v>4248</v>
      </c>
      <c r="C2273" s="258" t="s">
        <v>103</v>
      </c>
      <c r="D2273" s="79">
        <v>10000.44</v>
      </c>
      <c r="F2273" s="79">
        <v>10000.44</v>
      </c>
      <c r="G2273" s="81"/>
      <c r="N2273" s="240"/>
      <c r="O2273" s="241"/>
      <c r="P2273" s="213"/>
    </row>
    <row r="2274" spans="1:16" ht="12">
      <c r="A2274" s="83" t="s">
        <v>4249</v>
      </c>
      <c r="B2274" s="257" t="s">
        <v>4250</v>
      </c>
      <c r="C2274" s="258" t="s">
        <v>103</v>
      </c>
      <c r="D2274" s="79">
        <v>19743.25</v>
      </c>
      <c r="F2274" s="79">
        <v>19743.25</v>
      </c>
      <c r="G2274" s="81"/>
      <c r="N2274" s="240"/>
      <c r="O2274" s="241"/>
      <c r="P2274" s="213"/>
    </row>
    <row r="2275" spans="1:16" ht="12">
      <c r="A2275" s="83" t="s">
        <v>4251</v>
      </c>
      <c r="B2275" s="257" t="s">
        <v>4252</v>
      </c>
      <c r="C2275" s="258" t="s">
        <v>103</v>
      </c>
      <c r="D2275" s="79">
        <v>11065.08</v>
      </c>
      <c r="F2275" s="79">
        <v>11065.08</v>
      </c>
      <c r="G2275" s="81"/>
      <c r="N2275" s="240"/>
      <c r="O2275" s="241"/>
      <c r="P2275" s="213"/>
    </row>
    <row r="2276" spans="1:16" ht="12">
      <c r="A2276" s="83" t="s">
        <v>4253</v>
      </c>
      <c r="B2276" s="257" t="s">
        <v>4254</v>
      </c>
      <c r="C2276" s="258" t="s">
        <v>103</v>
      </c>
      <c r="D2276" s="79">
        <v>4380.43</v>
      </c>
      <c r="F2276" s="79">
        <v>4380.43</v>
      </c>
      <c r="G2276" s="81"/>
      <c r="N2276" s="240"/>
      <c r="O2276" s="241"/>
      <c r="P2276" s="213"/>
    </row>
    <row r="2277" spans="1:16" ht="12">
      <c r="A2277" s="83" t="s">
        <v>4255</v>
      </c>
      <c r="B2277" s="257" t="s">
        <v>4256</v>
      </c>
      <c r="C2277" s="258" t="s">
        <v>103</v>
      </c>
      <c r="D2277" s="79">
        <v>14469.98</v>
      </c>
      <c r="F2277" s="79">
        <v>14469.98</v>
      </c>
      <c r="G2277" s="81"/>
      <c r="N2277" s="240"/>
      <c r="O2277" s="241"/>
      <c r="P2277" s="213"/>
    </row>
    <row r="2278" spans="1:16" ht="12">
      <c r="A2278" s="83" t="s">
        <v>4257</v>
      </c>
      <c r="B2278" s="257" t="s">
        <v>4258</v>
      </c>
      <c r="C2278" s="258" t="s">
        <v>103</v>
      </c>
      <c r="D2278" s="79">
        <v>30282.560000000001</v>
      </c>
      <c r="F2278" s="79">
        <v>30282.560000000001</v>
      </c>
      <c r="G2278" s="81"/>
      <c r="N2278" s="240"/>
      <c r="O2278" s="241"/>
      <c r="P2278" s="213"/>
    </row>
    <row r="2279" spans="1:16" ht="12">
      <c r="A2279" s="83" t="s">
        <v>4259</v>
      </c>
      <c r="B2279" s="257" t="s">
        <v>4260</v>
      </c>
      <c r="C2279" s="258" t="s">
        <v>103</v>
      </c>
      <c r="D2279" s="79">
        <v>8481.2099999999991</v>
      </c>
      <c r="F2279" s="79">
        <v>8481.2099999999991</v>
      </c>
      <c r="G2279" s="81"/>
      <c r="N2279" s="240"/>
      <c r="O2279" s="241"/>
      <c r="P2279" s="213"/>
    </row>
    <row r="2280" spans="1:16" ht="24">
      <c r="A2280" s="83" t="s">
        <v>4261</v>
      </c>
      <c r="B2280" s="257" t="s">
        <v>4262</v>
      </c>
      <c r="C2280" s="258" t="s">
        <v>103</v>
      </c>
      <c r="D2280" s="79">
        <v>2155.75</v>
      </c>
      <c r="F2280" s="79">
        <v>2155.75</v>
      </c>
      <c r="G2280" s="81"/>
      <c r="N2280" s="240"/>
      <c r="O2280" s="241"/>
      <c r="P2280" s="213"/>
    </row>
    <row r="2281" spans="1:16" ht="24">
      <c r="A2281" s="83" t="s">
        <v>4263</v>
      </c>
      <c r="B2281" s="257" t="s">
        <v>4264</v>
      </c>
      <c r="C2281" s="258" t="s">
        <v>103</v>
      </c>
      <c r="D2281" s="79">
        <v>1849.64</v>
      </c>
      <c r="F2281" s="79">
        <v>1849.64</v>
      </c>
      <c r="G2281" s="81"/>
      <c r="N2281" s="240"/>
      <c r="O2281" s="241"/>
      <c r="P2281" s="213"/>
    </row>
    <row r="2282" spans="1:16" ht="24">
      <c r="A2282" s="67" t="s">
        <v>4265</v>
      </c>
      <c r="B2282" s="65" t="s">
        <v>4266</v>
      </c>
      <c r="C2282" s="71" t="s">
        <v>103</v>
      </c>
      <c r="D2282" s="79">
        <v>22129.84</v>
      </c>
      <c r="F2282" s="79">
        <v>22129.84</v>
      </c>
      <c r="G2282" s="81"/>
      <c r="N2282" s="133"/>
      <c r="O2282" s="241"/>
      <c r="P2282" s="213"/>
    </row>
    <row r="2283" spans="1:16" ht="24">
      <c r="A2283" s="67" t="s">
        <v>4267</v>
      </c>
      <c r="B2283" s="65" t="s">
        <v>4268</v>
      </c>
      <c r="C2283" s="71" t="s">
        <v>103</v>
      </c>
      <c r="D2283" s="79">
        <v>16179.64</v>
      </c>
      <c r="F2283" s="79">
        <v>16179.64</v>
      </c>
      <c r="G2283" s="81"/>
      <c r="N2283" s="133"/>
      <c r="O2283" s="241"/>
      <c r="P2283" s="213"/>
    </row>
    <row r="2284" spans="1:16" ht="24">
      <c r="A2284" s="63" t="s">
        <v>4269</v>
      </c>
      <c r="B2284" s="65" t="s">
        <v>4270</v>
      </c>
      <c r="C2284" s="71" t="s">
        <v>103</v>
      </c>
      <c r="D2284" s="79">
        <v>2727.71</v>
      </c>
      <c r="F2284" s="79">
        <v>2727.71</v>
      </c>
      <c r="G2284" s="81"/>
      <c r="N2284" s="61"/>
      <c r="O2284" s="241"/>
      <c r="P2284" s="213"/>
    </row>
    <row r="2285" spans="1:16" ht="24">
      <c r="A2285" s="67" t="s">
        <v>4271</v>
      </c>
      <c r="B2285" s="65" t="s">
        <v>4272</v>
      </c>
      <c r="C2285" s="71" t="s">
        <v>103</v>
      </c>
      <c r="D2285" s="79">
        <v>4604.63</v>
      </c>
      <c r="F2285" s="79">
        <v>4604.63</v>
      </c>
      <c r="G2285" s="81"/>
      <c r="N2285" s="133"/>
      <c r="O2285" s="241"/>
      <c r="P2285" s="213"/>
    </row>
    <row r="2286" spans="1:16" ht="24">
      <c r="A2286" s="67" t="s">
        <v>4273</v>
      </c>
      <c r="B2286" s="65" t="s">
        <v>4274</v>
      </c>
      <c r="C2286" s="71" t="s">
        <v>103</v>
      </c>
      <c r="D2286" s="79">
        <v>2259.4299999999998</v>
      </c>
      <c r="F2286" s="79">
        <v>2259.4299999999998</v>
      </c>
      <c r="G2286" s="81"/>
      <c r="N2286" s="133"/>
      <c r="O2286" s="241"/>
      <c r="P2286" s="213"/>
    </row>
    <row r="2287" spans="1:16" ht="12">
      <c r="A2287" s="83" t="s">
        <v>4275</v>
      </c>
      <c r="B2287" s="257" t="s">
        <v>4276</v>
      </c>
      <c r="C2287" s="258" t="s">
        <v>103</v>
      </c>
      <c r="D2287" s="79">
        <v>19886.46</v>
      </c>
      <c r="F2287" s="79">
        <v>19886.46</v>
      </c>
      <c r="G2287" s="81"/>
      <c r="N2287" s="240"/>
      <c r="O2287" s="241"/>
      <c r="P2287" s="213"/>
    </row>
    <row r="2288" spans="1:16" ht="12">
      <c r="A2288" s="83" t="s">
        <v>4277</v>
      </c>
      <c r="B2288" s="257" t="s">
        <v>4278</v>
      </c>
      <c r="C2288" s="258" t="s">
        <v>103</v>
      </c>
      <c r="D2288" s="79">
        <v>11374.12</v>
      </c>
      <c r="F2288" s="79">
        <v>11374.12</v>
      </c>
      <c r="G2288" s="81"/>
      <c r="N2288" s="240"/>
      <c r="O2288" s="241"/>
      <c r="P2288" s="213"/>
    </row>
    <row r="2289" spans="1:16" ht="12">
      <c r="A2289" s="83" t="s">
        <v>4279</v>
      </c>
      <c r="B2289" s="257" t="s">
        <v>4280</v>
      </c>
      <c r="C2289" s="258" t="s">
        <v>103</v>
      </c>
      <c r="D2289" s="79">
        <v>3886.28</v>
      </c>
      <c r="F2289" s="79">
        <v>3886.28</v>
      </c>
      <c r="G2289" s="81"/>
      <c r="N2289" s="240"/>
      <c r="O2289" s="241"/>
      <c r="P2289" s="213"/>
    </row>
    <row r="2290" spans="1:16" ht="12">
      <c r="A2290" s="83" t="s">
        <v>4281</v>
      </c>
      <c r="B2290" s="257" t="s">
        <v>4282</v>
      </c>
      <c r="C2290" s="258" t="s">
        <v>103</v>
      </c>
      <c r="D2290" s="79">
        <v>6077.85</v>
      </c>
      <c r="F2290" s="79">
        <v>6077.85</v>
      </c>
      <c r="G2290" s="81"/>
      <c r="N2290" s="240"/>
      <c r="O2290" s="241"/>
      <c r="P2290" s="213"/>
    </row>
    <row r="2291" spans="1:16" ht="12">
      <c r="A2291" s="83" t="s">
        <v>4283</v>
      </c>
      <c r="B2291" s="257" t="s">
        <v>4284</v>
      </c>
      <c r="C2291" s="258" t="s">
        <v>103</v>
      </c>
      <c r="D2291" s="79">
        <v>5549.36</v>
      </c>
      <c r="F2291" s="79">
        <v>5549.36</v>
      </c>
      <c r="G2291" s="81"/>
      <c r="N2291" s="240"/>
      <c r="O2291" s="241"/>
      <c r="P2291" s="213"/>
    </row>
    <row r="2292" spans="1:16" ht="12">
      <c r="A2292" s="83" t="s">
        <v>4285</v>
      </c>
      <c r="B2292" s="257" t="s">
        <v>4286</v>
      </c>
      <c r="C2292" s="258" t="s">
        <v>103</v>
      </c>
      <c r="D2292" s="79">
        <v>8716.2999999999993</v>
      </c>
      <c r="F2292" s="79">
        <v>8716.2999999999993</v>
      </c>
      <c r="G2292" s="81"/>
      <c r="N2292" s="240"/>
      <c r="O2292" s="241"/>
      <c r="P2292" s="213"/>
    </row>
    <row r="2293" spans="1:16" ht="12">
      <c r="A2293" s="83" t="s">
        <v>4287</v>
      </c>
      <c r="B2293" s="257" t="s">
        <v>4288</v>
      </c>
      <c r="C2293" s="258" t="s">
        <v>103</v>
      </c>
      <c r="D2293" s="79">
        <v>12141.57</v>
      </c>
      <c r="F2293" s="79">
        <v>12141.57</v>
      </c>
      <c r="G2293" s="81"/>
      <c r="N2293" s="240"/>
      <c r="O2293" s="241"/>
      <c r="P2293" s="213"/>
    </row>
    <row r="2294" spans="1:16" ht="12">
      <c r="A2294" s="83" t="s">
        <v>4289</v>
      </c>
      <c r="B2294" s="257" t="s">
        <v>4290</v>
      </c>
      <c r="C2294" s="258" t="s">
        <v>103</v>
      </c>
      <c r="D2294" s="79">
        <v>3036.96</v>
      </c>
      <c r="F2294" s="79">
        <v>3036.96</v>
      </c>
      <c r="G2294" s="81"/>
      <c r="N2294" s="240"/>
      <c r="O2294" s="241"/>
      <c r="P2294" s="213"/>
    </row>
    <row r="2295" spans="1:16" ht="12">
      <c r="A2295" s="83" t="s">
        <v>4291</v>
      </c>
      <c r="B2295" s="257" t="s">
        <v>4292</v>
      </c>
      <c r="C2295" s="258" t="s">
        <v>103</v>
      </c>
      <c r="D2295" s="79">
        <v>3778.04</v>
      </c>
      <c r="F2295" s="79">
        <v>3778.04</v>
      </c>
      <c r="G2295" s="81"/>
      <c r="N2295" s="240"/>
      <c r="O2295" s="241"/>
      <c r="P2295" s="213"/>
    </row>
    <row r="2296" spans="1:16" ht="12">
      <c r="A2296" s="83" t="s">
        <v>4293</v>
      </c>
      <c r="B2296" s="257" t="s">
        <v>4294</v>
      </c>
      <c r="C2296" s="258" t="s">
        <v>103</v>
      </c>
      <c r="D2296" s="79">
        <v>2638.49</v>
      </c>
      <c r="F2296" s="79">
        <v>2638.49</v>
      </c>
      <c r="G2296" s="81"/>
      <c r="N2296" s="240"/>
      <c r="O2296" s="241"/>
      <c r="P2296" s="213"/>
    </row>
    <row r="2297" spans="1:16" ht="12">
      <c r="A2297" s="83" t="s">
        <v>4295</v>
      </c>
      <c r="B2297" s="257" t="s">
        <v>4296</v>
      </c>
      <c r="C2297" s="258" t="s">
        <v>103</v>
      </c>
      <c r="D2297" s="79">
        <v>6054.09</v>
      </c>
      <c r="F2297" s="79">
        <v>6054.09</v>
      </c>
      <c r="G2297" s="81"/>
      <c r="N2297" s="240"/>
      <c r="O2297" s="241"/>
      <c r="P2297" s="213"/>
    </row>
    <row r="2298" spans="1:16" ht="24">
      <c r="A2298" s="83" t="s">
        <v>4297</v>
      </c>
      <c r="B2298" s="257" t="s">
        <v>4298</v>
      </c>
      <c r="C2298" s="258" t="s">
        <v>103</v>
      </c>
      <c r="D2298" s="79">
        <v>97422.79</v>
      </c>
      <c r="F2298" s="79">
        <v>97422.79</v>
      </c>
      <c r="G2298" s="81"/>
      <c r="N2298" s="240"/>
      <c r="O2298" s="241"/>
      <c r="P2298" s="213"/>
    </row>
    <row r="2299" spans="1:16" ht="24">
      <c r="A2299" s="83" t="s">
        <v>4299</v>
      </c>
      <c r="B2299" s="257" t="s">
        <v>4300</v>
      </c>
      <c r="C2299" s="258" t="s">
        <v>103</v>
      </c>
      <c r="D2299" s="79">
        <v>219.23</v>
      </c>
      <c r="F2299" s="79">
        <v>219.23</v>
      </c>
      <c r="G2299" s="81"/>
      <c r="N2299" s="240"/>
      <c r="O2299" s="241"/>
      <c r="P2299" s="213"/>
    </row>
    <row r="2300" spans="1:16" ht="12">
      <c r="A2300" s="83" t="s">
        <v>4301</v>
      </c>
      <c r="B2300" s="257" t="s">
        <v>4302</v>
      </c>
      <c r="C2300" s="258" t="s">
        <v>103</v>
      </c>
      <c r="D2300" s="79">
        <v>41531.31</v>
      </c>
      <c r="F2300" s="79">
        <v>41531.31</v>
      </c>
      <c r="G2300" s="81"/>
      <c r="N2300" s="240"/>
      <c r="O2300" s="241"/>
      <c r="P2300" s="213"/>
    </row>
    <row r="2301" spans="1:16" ht="12">
      <c r="A2301" s="83" t="s">
        <v>4303</v>
      </c>
      <c r="B2301" s="257" t="s">
        <v>4304</v>
      </c>
      <c r="C2301" s="258" t="s">
        <v>103</v>
      </c>
      <c r="D2301" s="79">
        <v>3708.88</v>
      </c>
      <c r="F2301" s="79">
        <v>3708.88</v>
      </c>
      <c r="G2301" s="81"/>
      <c r="N2301" s="240"/>
      <c r="O2301" s="241"/>
      <c r="P2301" s="213"/>
    </row>
    <row r="2302" spans="1:16" ht="12">
      <c r="A2302" s="83" t="s">
        <v>4305</v>
      </c>
      <c r="B2302" s="257" t="s">
        <v>4306</v>
      </c>
      <c r="C2302" s="258" t="s">
        <v>103</v>
      </c>
      <c r="D2302" s="79">
        <v>5787.84</v>
      </c>
      <c r="F2302" s="79">
        <v>5787.84</v>
      </c>
      <c r="G2302" s="81"/>
      <c r="N2302" s="240"/>
      <c r="O2302" s="241"/>
      <c r="P2302" s="213"/>
    </row>
    <row r="2303" spans="1:16" ht="12">
      <c r="A2303" s="83" t="s">
        <v>4307</v>
      </c>
      <c r="B2303" s="257" t="s">
        <v>4308</v>
      </c>
      <c r="C2303" s="258" t="s">
        <v>103</v>
      </c>
      <c r="D2303" s="79">
        <v>86058.92</v>
      </c>
      <c r="F2303" s="79">
        <v>86058.92</v>
      </c>
      <c r="G2303" s="81"/>
      <c r="N2303" s="240"/>
      <c r="O2303" s="241"/>
      <c r="P2303" s="213"/>
    </row>
    <row r="2304" spans="1:16" ht="12">
      <c r="A2304" s="83" t="s">
        <v>4309</v>
      </c>
      <c r="B2304" s="257" t="s">
        <v>4310</v>
      </c>
      <c r="C2304" s="258" t="s">
        <v>103</v>
      </c>
      <c r="D2304" s="79">
        <v>2968.38</v>
      </c>
      <c r="F2304" s="79">
        <v>2968.38</v>
      </c>
      <c r="G2304" s="81"/>
      <c r="N2304" s="240"/>
      <c r="O2304" s="241"/>
      <c r="P2304" s="213"/>
    </row>
    <row r="2305" spans="1:16" ht="24">
      <c r="A2305" s="83" t="s">
        <v>4311</v>
      </c>
      <c r="B2305" s="257" t="s">
        <v>4312</v>
      </c>
      <c r="C2305" s="258" t="s">
        <v>103</v>
      </c>
      <c r="D2305" s="79">
        <v>280.61</v>
      </c>
      <c r="F2305" s="79">
        <v>280.61</v>
      </c>
      <c r="G2305" s="81"/>
      <c r="N2305" s="240"/>
      <c r="O2305" s="241"/>
      <c r="P2305" s="213"/>
    </row>
    <row r="2306" spans="1:16" ht="12">
      <c r="A2306" s="83" t="s">
        <v>4313</v>
      </c>
      <c r="B2306" s="257" t="s">
        <v>4314</v>
      </c>
      <c r="C2306" s="258" t="s">
        <v>103</v>
      </c>
      <c r="D2306" s="79">
        <v>30554.639999999999</v>
      </c>
      <c r="F2306" s="79">
        <v>30554.639999999999</v>
      </c>
      <c r="G2306" s="81"/>
      <c r="N2306" s="240"/>
      <c r="O2306" s="241"/>
      <c r="P2306" s="213"/>
    </row>
    <row r="2307" spans="1:16" ht="12">
      <c r="A2307" s="83" t="s">
        <v>4315</v>
      </c>
      <c r="B2307" s="257" t="s">
        <v>4316</v>
      </c>
      <c r="C2307" s="258" t="s">
        <v>103</v>
      </c>
      <c r="D2307" s="79">
        <v>242.04</v>
      </c>
      <c r="F2307" s="79">
        <v>242.04</v>
      </c>
      <c r="G2307" s="81"/>
      <c r="N2307" s="240"/>
      <c r="O2307" s="241"/>
      <c r="P2307" s="213"/>
    </row>
    <row r="2308" spans="1:16" ht="24">
      <c r="A2308" s="83" t="s">
        <v>4317</v>
      </c>
      <c r="B2308" s="257" t="s">
        <v>4318</v>
      </c>
      <c r="C2308" s="258" t="s">
        <v>103</v>
      </c>
      <c r="D2308" s="79">
        <v>388.43</v>
      </c>
      <c r="F2308" s="79">
        <v>388.43</v>
      </c>
      <c r="G2308" s="81"/>
      <c r="N2308" s="240"/>
      <c r="O2308" s="241"/>
      <c r="P2308" s="213"/>
    </row>
    <row r="2309" spans="1:16" ht="12">
      <c r="A2309" s="83" t="s">
        <v>4319</v>
      </c>
      <c r="B2309" s="257" t="s">
        <v>4320</v>
      </c>
      <c r="C2309" s="258" t="s">
        <v>103</v>
      </c>
      <c r="D2309" s="79">
        <v>22403.18</v>
      </c>
      <c r="F2309" s="79">
        <v>22403.18</v>
      </c>
      <c r="G2309" s="81"/>
      <c r="N2309" s="240"/>
      <c r="O2309" s="241"/>
      <c r="P2309" s="213"/>
    </row>
    <row r="2310" spans="1:16" ht="24">
      <c r="A2310" s="83" t="s">
        <v>4321</v>
      </c>
      <c r="B2310" s="257" t="s">
        <v>4322</v>
      </c>
      <c r="C2310" s="258" t="s">
        <v>103</v>
      </c>
      <c r="D2310" s="79">
        <v>742.14</v>
      </c>
      <c r="F2310" s="79">
        <v>742.14</v>
      </c>
      <c r="G2310" s="81"/>
      <c r="N2310" s="240"/>
      <c r="O2310" s="241"/>
      <c r="P2310" s="213"/>
    </row>
    <row r="2311" spans="1:16" ht="12">
      <c r="A2311" s="83" t="s">
        <v>4323</v>
      </c>
      <c r="B2311" s="257" t="s">
        <v>4324</v>
      </c>
      <c r="C2311" s="258" t="s">
        <v>103</v>
      </c>
      <c r="D2311" s="79">
        <v>49392.24</v>
      </c>
      <c r="F2311" s="79">
        <v>49392.24</v>
      </c>
      <c r="G2311" s="81"/>
      <c r="N2311" s="240"/>
      <c r="O2311" s="241"/>
      <c r="P2311" s="213"/>
    </row>
    <row r="2312" spans="1:16" ht="12">
      <c r="A2312" s="83" t="s">
        <v>4325</v>
      </c>
      <c r="B2312" s="257" t="s">
        <v>4326</v>
      </c>
      <c r="C2312" s="258" t="s">
        <v>103</v>
      </c>
      <c r="D2312" s="79">
        <v>24670.82</v>
      </c>
      <c r="F2312" s="79">
        <v>24670.82</v>
      </c>
      <c r="G2312" s="81"/>
      <c r="N2312" s="240"/>
      <c r="O2312" s="241"/>
      <c r="P2312" s="213"/>
    </row>
    <row r="2313" spans="1:16" ht="24">
      <c r="A2313" s="83" t="s">
        <v>4327</v>
      </c>
      <c r="B2313" s="257" t="s">
        <v>4328</v>
      </c>
      <c r="C2313" s="258" t="s">
        <v>103</v>
      </c>
      <c r="D2313" s="79">
        <v>160.54</v>
      </c>
      <c r="F2313" s="79">
        <v>160.54</v>
      </c>
      <c r="G2313" s="81"/>
      <c r="N2313" s="240"/>
      <c r="O2313" s="241"/>
      <c r="P2313" s="213"/>
    </row>
    <row r="2314" spans="1:16" ht="12">
      <c r="A2314" s="83" t="s">
        <v>4329</v>
      </c>
      <c r="B2314" s="257" t="s">
        <v>4330</v>
      </c>
      <c r="C2314" s="258" t="s">
        <v>103</v>
      </c>
      <c r="D2314" s="79">
        <v>110461.47</v>
      </c>
      <c r="F2314" s="79">
        <v>110461.47</v>
      </c>
      <c r="G2314" s="81"/>
      <c r="N2314" s="240"/>
      <c r="O2314" s="241"/>
      <c r="P2314" s="213"/>
    </row>
    <row r="2315" spans="1:16" ht="24">
      <c r="A2315" s="83" t="s">
        <v>4331</v>
      </c>
      <c r="B2315" s="257" t="s">
        <v>4332</v>
      </c>
      <c r="C2315" s="258" t="s">
        <v>103</v>
      </c>
      <c r="D2315" s="79">
        <v>18505.28</v>
      </c>
      <c r="F2315" s="79">
        <v>18505.28</v>
      </c>
      <c r="G2315" s="81"/>
      <c r="N2315" s="240"/>
      <c r="O2315" s="241"/>
      <c r="P2315" s="213"/>
    </row>
    <row r="2316" spans="1:16" ht="12">
      <c r="A2316" s="83" t="s">
        <v>4333</v>
      </c>
      <c r="B2316" s="257" t="s">
        <v>4334</v>
      </c>
      <c r="C2316" s="258" t="s">
        <v>103</v>
      </c>
      <c r="D2316" s="79">
        <v>91955.33</v>
      </c>
      <c r="F2316" s="79">
        <v>91955.33</v>
      </c>
      <c r="G2316" s="81"/>
      <c r="N2316" s="240"/>
      <c r="O2316" s="241"/>
      <c r="P2316" s="213"/>
    </row>
    <row r="2317" spans="1:16" ht="12">
      <c r="A2317" s="83" t="s">
        <v>4335</v>
      </c>
      <c r="B2317" s="257" t="s">
        <v>4336</v>
      </c>
      <c r="C2317" s="258" t="s">
        <v>103</v>
      </c>
      <c r="D2317" s="79">
        <v>143226.23000000001</v>
      </c>
      <c r="F2317" s="79">
        <v>143226.23000000001</v>
      </c>
      <c r="G2317" s="81"/>
      <c r="N2317" s="240"/>
      <c r="O2317" s="241"/>
      <c r="P2317" s="213"/>
    </row>
    <row r="2318" spans="1:16" ht="12">
      <c r="A2318" s="83" t="s">
        <v>4337</v>
      </c>
      <c r="B2318" s="257" t="s">
        <v>4338</v>
      </c>
      <c r="C2318" s="258" t="s">
        <v>103</v>
      </c>
      <c r="D2318" s="79">
        <v>77376.81</v>
      </c>
      <c r="F2318" s="79">
        <v>77376.81</v>
      </c>
      <c r="G2318" s="81"/>
      <c r="N2318" s="240"/>
      <c r="O2318" s="241"/>
      <c r="P2318" s="213"/>
    </row>
    <row r="2319" spans="1:16" ht="12">
      <c r="A2319" s="83" t="s">
        <v>4339</v>
      </c>
      <c r="B2319" s="257" t="s">
        <v>4340</v>
      </c>
      <c r="C2319" s="258" t="s">
        <v>103</v>
      </c>
      <c r="D2319" s="79">
        <v>40450.410000000003</v>
      </c>
      <c r="F2319" s="79">
        <v>40450.410000000003</v>
      </c>
      <c r="G2319" s="81"/>
      <c r="N2319" s="240"/>
      <c r="O2319" s="241"/>
      <c r="P2319" s="213"/>
    </row>
    <row r="2320" spans="1:16" ht="24">
      <c r="A2320" s="67" t="s">
        <v>4341</v>
      </c>
      <c r="B2320" s="65" t="s">
        <v>4342</v>
      </c>
      <c r="C2320" s="71" t="s">
        <v>103</v>
      </c>
      <c r="D2320" s="79">
        <v>140939.64000000001</v>
      </c>
      <c r="F2320" s="79">
        <v>140939.64000000001</v>
      </c>
      <c r="G2320" s="81"/>
      <c r="N2320" s="133"/>
      <c r="O2320" s="241"/>
      <c r="P2320" s="213"/>
    </row>
    <row r="2321" spans="1:16" ht="24">
      <c r="A2321" s="83" t="s">
        <v>4343</v>
      </c>
      <c r="B2321" s="257" t="s">
        <v>4344</v>
      </c>
      <c r="C2321" s="258" t="s">
        <v>103</v>
      </c>
      <c r="D2321" s="79">
        <v>44041.75</v>
      </c>
      <c r="F2321" s="79">
        <v>44041.75</v>
      </c>
      <c r="G2321" s="81"/>
      <c r="N2321" s="240"/>
      <c r="O2321" s="241"/>
      <c r="P2321" s="213"/>
    </row>
    <row r="2322" spans="1:16" ht="24">
      <c r="A2322" s="83" t="s">
        <v>4345</v>
      </c>
      <c r="B2322" s="257" t="s">
        <v>4346</v>
      </c>
      <c r="C2322" s="258" t="s">
        <v>103</v>
      </c>
      <c r="D2322" s="79">
        <v>48983.3</v>
      </c>
      <c r="F2322" s="79">
        <v>48983.3</v>
      </c>
      <c r="G2322" s="81"/>
      <c r="N2322" s="240"/>
      <c r="O2322" s="241"/>
      <c r="P2322" s="213"/>
    </row>
    <row r="2323" spans="1:16" ht="12">
      <c r="A2323" s="83" t="s">
        <v>4347</v>
      </c>
      <c r="B2323" s="257" t="s">
        <v>4348</v>
      </c>
      <c r="C2323" s="258" t="s">
        <v>103</v>
      </c>
      <c r="D2323" s="79">
        <v>84793.84</v>
      </c>
      <c r="F2323" s="79">
        <v>84793.84</v>
      </c>
      <c r="G2323" s="81"/>
      <c r="N2323" s="240"/>
      <c r="O2323" s="241"/>
      <c r="P2323" s="213"/>
    </row>
    <row r="2324" spans="1:16" ht="24">
      <c r="A2324" s="83" t="s">
        <v>4349</v>
      </c>
      <c r="B2324" s="257" t="s">
        <v>4350</v>
      </c>
      <c r="C2324" s="258" t="s">
        <v>103</v>
      </c>
      <c r="D2324" s="79">
        <v>47.2</v>
      </c>
      <c r="F2324" s="79">
        <v>47.2</v>
      </c>
      <c r="G2324" s="81"/>
      <c r="N2324" s="240"/>
      <c r="O2324" s="241"/>
      <c r="P2324" s="213"/>
    </row>
    <row r="2325" spans="1:16" ht="24">
      <c r="A2325" s="83" t="s">
        <v>4351</v>
      </c>
      <c r="B2325" s="257" t="s">
        <v>4352</v>
      </c>
      <c r="C2325" s="258" t="s">
        <v>103</v>
      </c>
      <c r="D2325" s="79">
        <v>125.49</v>
      </c>
      <c r="F2325" s="79">
        <v>125.49</v>
      </c>
      <c r="G2325" s="81"/>
      <c r="N2325" s="240"/>
      <c r="O2325" s="241"/>
      <c r="P2325" s="213"/>
    </row>
    <row r="2326" spans="1:16" ht="24">
      <c r="A2326" s="63" t="s">
        <v>4353</v>
      </c>
      <c r="B2326" s="64" t="s">
        <v>4354</v>
      </c>
      <c r="C2326" s="258" t="s">
        <v>103</v>
      </c>
      <c r="D2326" s="79">
        <v>677.85</v>
      </c>
      <c r="F2326" s="79">
        <v>677.85</v>
      </c>
      <c r="G2326" s="81"/>
      <c r="N2326" s="61"/>
      <c r="O2326" s="241"/>
      <c r="P2326" s="213"/>
    </row>
    <row r="2327" spans="1:16" ht="36">
      <c r="A2327" s="256" t="s">
        <v>4355</v>
      </c>
      <c r="B2327" s="274" t="s">
        <v>39289</v>
      </c>
      <c r="C2327" s="262" t="s">
        <v>103</v>
      </c>
      <c r="D2327" s="79">
        <v>532.79</v>
      </c>
      <c r="F2327" s="522">
        <v>532.79</v>
      </c>
    </row>
    <row r="2328" spans="1:16" ht="24">
      <c r="A2328" s="256" t="s">
        <v>4356</v>
      </c>
      <c r="B2328" s="274" t="s">
        <v>4357</v>
      </c>
      <c r="C2328" s="262" t="s">
        <v>103</v>
      </c>
      <c r="D2328" s="79">
        <v>7594.76</v>
      </c>
      <c r="F2328" s="522">
        <v>7594.76</v>
      </c>
    </row>
    <row r="2329" spans="1:16" ht="36">
      <c r="A2329" s="256" t="s">
        <v>4358</v>
      </c>
      <c r="B2329" s="274" t="s">
        <v>39290</v>
      </c>
      <c r="C2329" s="262" t="s">
        <v>103</v>
      </c>
      <c r="D2329" s="79">
        <v>871.61</v>
      </c>
      <c r="F2329" s="522">
        <v>871.61</v>
      </c>
    </row>
    <row r="2330" spans="1:16" ht="36">
      <c r="A2330" s="256" t="s">
        <v>4359</v>
      </c>
      <c r="B2330" s="274" t="s">
        <v>29842</v>
      </c>
      <c r="C2330" s="262" t="s">
        <v>103</v>
      </c>
      <c r="D2330" s="79">
        <v>2676.15</v>
      </c>
      <c r="F2330" s="522">
        <v>2676.15</v>
      </c>
    </row>
    <row r="2331" spans="1:16" ht="12">
      <c r="A2331" s="83" t="s">
        <v>4360</v>
      </c>
      <c r="B2331" s="257" t="s">
        <v>4361</v>
      </c>
      <c r="C2331" s="258" t="s">
        <v>103</v>
      </c>
      <c r="D2331" s="79">
        <v>1091.22</v>
      </c>
      <c r="F2331" s="79">
        <v>1091.22</v>
      </c>
      <c r="G2331" s="81"/>
      <c r="N2331" s="240"/>
      <c r="O2331" s="241"/>
      <c r="P2331" s="213"/>
    </row>
    <row r="2332" spans="1:16" ht="12">
      <c r="A2332" s="83" t="s">
        <v>4362</v>
      </c>
      <c r="B2332" s="257" t="s">
        <v>4363</v>
      </c>
      <c r="C2332" s="258" t="s">
        <v>103</v>
      </c>
      <c r="D2332" s="79">
        <v>131171.63</v>
      </c>
      <c r="F2332" s="79">
        <v>131171.63</v>
      </c>
      <c r="G2332" s="81"/>
      <c r="N2332" s="240"/>
      <c r="O2332" s="241"/>
      <c r="P2332" s="213"/>
    </row>
    <row r="2333" spans="1:16" ht="36">
      <c r="A2333" s="83" t="s">
        <v>4364</v>
      </c>
      <c r="B2333" s="257" t="s">
        <v>4365</v>
      </c>
      <c r="C2333" s="258" t="s">
        <v>103</v>
      </c>
      <c r="D2333" s="79">
        <v>5270.58</v>
      </c>
      <c r="F2333" s="79">
        <v>5270.58</v>
      </c>
      <c r="G2333" s="81"/>
      <c r="N2333" s="240"/>
      <c r="O2333" s="241"/>
      <c r="P2333" s="213"/>
    </row>
    <row r="2334" spans="1:16" ht="36">
      <c r="A2334" s="83" t="s">
        <v>4366</v>
      </c>
      <c r="B2334" s="257" t="s">
        <v>4367</v>
      </c>
      <c r="C2334" s="258" t="s">
        <v>103</v>
      </c>
      <c r="D2334" s="79">
        <v>6626.75</v>
      </c>
      <c r="F2334" s="79">
        <v>6626.75</v>
      </c>
      <c r="G2334" s="81"/>
      <c r="N2334" s="240"/>
      <c r="O2334" s="241"/>
      <c r="P2334" s="213"/>
    </row>
    <row r="2335" spans="1:16" ht="12">
      <c r="A2335" s="63" t="s">
        <v>4368</v>
      </c>
      <c r="B2335" s="257" t="s">
        <v>4369</v>
      </c>
      <c r="C2335" s="258" t="s">
        <v>103</v>
      </c>
      <c r="D2335" s="79">
        <v>81.73</v>
      </c>
      <c r="F2335" s="79">
        <v>81.73</v>
      </c>
      <c r="G2335" s="81"/>
      <c r="N2335" s="61"/>
      <c r="O2335" s="241"/>
      <c r="P2335" s="213"/>
    </row>
    <row r="2336" spans="1:16" ht="12">
      <c r="A2336" s="63" t="s">
        <v>4370</v>
      </c>
      <c r="B2336" s="257" t="s">
        <v>4371</v>
      </c>
      <c r="C2336" s="258" t="s">
        <v>103</v>
      </c>
      <c r="D2336" s="79">
        <v>94.35</v>
      </c>
      <c r="F2336" s="79">
        <v>94.35</v>
      </c>
      <c r="G2336" s="81"/>
      <c r="N2336" s="61"/>
      <c r="O2336" s="241"/>
      <c r="P2336" s="213"/>
    </row>
    <row r="2337" spans="1:16" ht="12">
      <c r="A2337" s="63" t="s">
        <v>4372</v>
      </c>
      <c r="B2337" s="257" t="s">
        <v>4373</v>
      </c>
      <c r="C2337" s="258" t="s">
        <v>103</v>
      </c>
      <c r="D2337" s="79">
        <v>105.93</v>
      </c>
      <c r="F2337" s="79">
        <v>105.93</v>
      </c>
      <c r="G2337" s="81"/>
      <c r="N2337" s="61"/>
      <c r="O2337" s="241"/>
      <c r="P2337" s="213"/>
    </row>
    <row r="2338" spans="1:16" ht="24">
      <c r="A2338" s="83" t="s">
        <v>4374</v>
      </c>
      <c r="B2338" s="257" t="s">
        <v>42081</v>
      </c>
      <c r="C2338" s="258" t="s">
        <v>396</v>
      </c>
      <c r="D2338" s="79">
        <v>54.65</v>
      </c>
      <c r="F2338" s="79">
        <v>54.65</v>
      </c>
      <c r="G2338" s="81"/>
      <c r="N2338" s="240"/>
      <c r="O2338" s="241"/>
      <c r="P2338" s="213"/>
    </row>
    <row r="2339" spans="1:16" ht="12">
      <c r="A2339" s="83" t="s">
        <v>4375</v>
      </c>
      <c r="B2339" s="257" t="s">
        <v>4376</v>
      </c>
      <c r="C2339" s="258" t="s">
        <v>396</v>
      </c>
      <c r="D2339" s="79">
        <v>27.12</v>
      </c>
      <c r="F2339" s="79">
        <v>27.12</v>
      </c>
      <c r="G2339" s="81"/>
      <c r="N2339" s="240"/>
      <c r="O2339" s="241"/>
      <c r="P2339" s="213"/>
    </row>
    <row r="2340" spans="1:16" ht="12">
      <c r="A2340" s="83" t="s">
        <v>4377</v>
      </c>
      <c r="B2340" s="257" t="s">
        <v>4378</v>
      </c>
      <c r="C2340" s="258" t="s">
        <v>103</v>
      </c>
      <c r="D2340" s="79">
        <v>51.78</v>
      </c>
      <c r="F2340" s="79">
        <v>51.78</v>
      </c>
      <c r="G2340" s="81"/>
      <c r="N2340" s="240"/>
      <c r="O2340" s="241"/>
      <c r="P2340" s="213"/>
    </row>
    <row r="2341" spans="1:16" ht="12">
      <c r="A2341" s="83" t="s">
        <v>4379</v>
      </c>
      <c r="B2341" s="257" t="s">
        <v>4380</v>
      </c>
      <c r="C2341" s="258" t="s">
        <v>103</v>
      </c>
      <c r="D2341" s="79">
        <v>4.18</v>
      </c>
      <c r="F2341" s="79">
        <v>4.18</v>
      </c>
      <c r="G2341" s="81"/>
      <c r="N2341" s="240"/>
      <c r="O2341" s="241"/>
      <c r="P2341" s="213"/>
    </row>
    <row r="2342" spans="1:16" ht="24">
      <c r="A2342" s="83" t="s">
        <v>4381</v>
      </c>
      <c r="B2342" s="257" t="s">
        <v>28190</v>
      </c>
      <c r="C2342" s="258" t="s">
        <v>103</v>
      </c>
      <c r="D2342" s="79">
        <v>9.68</v>
      </c>
      <c r="F2342" s="79">
        <v>9.68</v>
      </c>
      <c r="G2342" s="81"/>
      <c r="N2342" s="240"/>
      <c r="O2342" s="241"/>
      <c r="P2342" s="213"/>
    </row>
    <row r="2343" spans="1:16" ht="24">
      <c r="A2343" s="83" t="s">
        <v>4382</v>
      </c>
      <c r="B2343" s="257" t="s">
        <v>28191</v>
      </c>
      <c r="C2343" s="258" t="s">
        <v>103</v>
      </c>
      <c r="D2343" s="79">
        <v>123.57</v>
      </c>
      <c r="F2343" s="79">
        <v>123.57</v>
      </c>
      <c r="G2343" s="81"/>
      <c r="N2343" s="240"/>
      <c r="O2343" s="241"/>
      <c r="P2343" s="213"/>
    </row>
    <row r="2344" spans="1:16" ht="24">
      <c r="A2344" s="256" t="s">
        <v>4383</v>
      </c>
      <c r="B2344" s="261" t="s">
        <v>28192</v>
      </c>
      <c r="C2344" s="262" t="s">
        <v>103</v>
      </c>
      <c r="D2344" s="79">
        <v>104.55</v>
      </c>
      <c r="F2344" s="79">
        <v>104.55</v>
      </c>
    </row>
    <row r="2345" spans="1:16" ht="24">
      <c r="A2345" s="83" t="s">
        <v>4384</v>
      </c>
      <c r="B2345" s="257" t="s">
        <v>4385</v>
      </c>
      <c r="C2345" s="258" t="s">
        <v>103</v>
      </c>
      <c r="D2345" s="79">
        <v>8.18</v>
      </c>
      <c r="F2345" s="79">
        <v>8.18</v>
      </c>
      <c r="G2345" s="81"/>
      <c r="N2345" s="240"/>
      <c r="O2345" s="241"/>
      <c r="P2345" s="213"/>
    </row>
    <row r="2346" spans="1:16" ht="12">
      <c r="A2346" s="83" t="s">
        <v>4386</v>
      </c>
      <c r="B2346" s="257" t="s">
        <v>29843</v>
      </c>
      <c r="C2346" s="258" t="s">
        <v>103</v>
      </c>
      <c r="D2346" s="79">
        <v>39.89</v>
      </c>
      <c r="F2346" s="79">
        <v>39.89</v>
      </c>
      <c r="G2346" s="81"/>
      <c r="N2346" s="240"/>
      <c r="O2346" s="241"/>
      <c r="P2346" s="213"/>
    </row>
    <row r="2347" spans="1:16" ht="24">
      <c r="A2347" s="83" t="s">
        <v>4387</v>
      </c>
      <c r="B2347" s="257" t="s">
        <v>4388</v>
      </c>
      <c r="C2347" s="258" t="s">
        <v>103</v>
      </c>
      <c r="D2347" s="79">
        <v>36.89</v>
      </c>
      <c r="F2347" s="79">
        <v>36.89</v>
      </c>
      <c r="G2347" s="81"/>
      <c r="N2347" s="240"/>
      <c r="O2347" s="241"/>
      <c r="P2347" s="213"/>
    </row>
    <row r="2348" spans="1:16" ht="12">
      <c r="A2348" s="275" t="s">
        <v>4389</v>
      </c>
      <c r="B2348" s="276" t="s">
        <v>4390</v>
      </c>
      <c r="C2348" s="277" t="s">
        <v>103</v>
      </c>
      <c r="D2348" s="79">
        <v>461.29</v>
      </c>
      <c r="E2348" s="242"/>
      <c r="F2348" s="519">
        <v>461.29</v>
      </c>
      <c r="G2348" s="242"/>
      <c r="H2348" s="242"/>
      <c r="I2348" s="242"/>
      <c r="J2348" s="242"/>
      <c r="K2348" s="242"/>
      <c r="L2348" s="242"/>
      <c r="M2348" s="242"/>
      <c r="N2348" s="242"/>
      <c r="O2348" s="242"/>
      <c r="P2348" s="242"/>
    </row>
    <row r="2349" spans="1:16" ht="24">
      <c r="A2349" s="275" t="s">
        <v>4391</v>
      </c>
      <c r="B2349" s="276" t="s">
        <v>4392</v>
      </c>
      <c r="C2349" s="277" t="s">
        <v>103</v>
      </c>
      <c r="D2349" s="79">
        <v>3156.12</v>
      </c>
      <c r="E2349" s="242"/>
      <c r="F2349" s="519">
        <v>3156.12</v>
      </c>
      <c r="G2349" s="242"/>
      <c r="H2349" s="242"/>
      <c r="I2349" s="242"/>
      <c r="J2349" s="242"/>
      <c r="K2349" s="242"/>
      <c r="L2349" s="242"/>
      <c r="M2349" s="242"/>
      <c r="N2349" s="242"/>
      <c r="O2349" s="242"/>
      <c r="P2349" s="242"/>
    </row>
    <row r="2350" spans="1:16" ht="24">
      <c r="A2350" s="83" t="s">
        <v>4393</v>
      </c>
      <c r="B2350" s="257" t="s">
        <v>4394</v>
      </c>
      <c r="C2350" s="258" t="s">
        <v>103</v>
      </c>
      <c r="D2350" s="79">
        <v>11.31</v>
      </c>
      <c r="F2350" s="79">
        <v>11.31</v>
      </c>
      <c r="G2350" s="81"/>
      <c r="N2350" s="240"/>
      <c r="O2350" s="241"/>
      <c r="P2350" s="213"/>
    </row>
    <row r="2351" spans="1:16" ht="12">
      <c r="A2351" s="83" t="s">
        <v>4395</v>
      </c>
      <c r="B2351" s="257" t="s">
        <v>4396</v>
      </c>
      <c r="C2351" s="258" t="s">
        <v>103</v>
      </c>
      <c r="D2351" s="79">
        <v>16.14</v>
      </c>
      <c r="F2351" s="79">
        <v>16.14</v>
      </c>
      <c r="G2351" s="81"/>
      <c r="N2351" s="240"/>
      <c r="O2351" s="241"/>
      <c r="P2351" s="213"/>
    </row>
    <row r="2352" spans="1:16" ht="12">
      <c r="A2352" s="83" t="s">
        <v>4397</v>
      </c>
      <c r="B2352" s="257" t="s">
        <v>4398</v>
      </c>
      <c r="C2352" s="258" t="s">
        <v>103</v>
      </c>
      <c r="D2352" s="79">
        <v>19.29</v>
      </c>
      <c r="F2352" s="79">
        <v>19.29</v>
      </c>
      <c r="G2352" s="81"/>
      <c r="N2352" s="240"/>
      <c r="O2352" s="241"/>
      <c r="P2352" s="213"/>
    </row>
    <row r="2353" spans="1:16" ht="12">
      <c r="A2353" s="83" t="s">
        <v>4399</v>
      </c>
      <c r="B2353" s="257" t="s">
        <v>4400</v>
      </c>
      <c r="C2353" s="258" t="s">
        <v>103</v>
      </c>
      <c r="D2353" s="79">
        <v>30.16</v>
      </c>
      <c r="F2353" s="79">
        <v>30.16</v>
      </c>
      <c r="G2353" s="81"/>
      <c r="N2353" s="240"/>
      <c r="O2353" s="241"/>
      <c r="P2353" s="213"/>
    </row>
    <row r="2354" spans="1:16" ht="12">
      <c r="A2354" s="83" t="s">
        <v>4401</v>
      </c>
      <c r="B2354" s="257" t="s">
        <v>4402</v>
      </c>
      <c r="C2354" s="258" t="s">
        <v>103</v>
      </c>
      <c r="D2354" s="79">
        <v>57.6</v>
      </c>
      <c r="F2354" s="79">
        <v>57.6</v>
      </c>
      <c r="G2354" s="81"/>
      <c r="N2354" s="240"/>
      <c r="O2354" s="241"/>
      <c r="P2354" s="213"/>
    </row>
    <row r="2355" spans="1:16" ht="12">
      <c r="A2355" s="83" t="s">
        <v>4403</v>
      </c>
      <c r="B2355" s="257" t="s">
        <v>4404</v>
      </c>
      <c r="C2355" s="258" t="s">
        <v>103</v>
      </c>
      <c r="D2355" s="79">
        <v>3.61</v>
      </c>
      <c r="F2355" s="79">
        <v>3.61</v>
      </c>
      <c r="G2355" s="81"/>
      <c r="N2355" s="240"/>
      <c r="O2355" s="241"/>
      <c r="P2355" s="213"/>
    </row>
    <row r="2356" spans="1:16" ht="12">
      <c r="A2356" s="83" t="s">
        <v>4405</v>
      </c>
      <c r="B2356" s="257" t="s">
        <v>4406</v>
      </c>
      <c r="C2356" s="258" t="s">
        <v>103</v>
      </c>
      <c r="D2356" s="79">
        <v>148.94999999999999</v>
      </c>
      <c r="F2356" s="79">
        <v>148.94999999999999</v>
      </c>
      <c r="G2356" s="81"/>
      <c r="N2356" s="240"/>
      <c r="O2356" s="241"/>
      <c r="P2356" s="213"/>
    </row>
    <row r="2357" spans="1:16" ht="12">
      <c r="A2357" s="83" t="s">
        <v>4407</v>
      </c>
      <c r="B2357" s="257" t="s">
        <v>4408</v>
      </c>
      <c r="C2357" s="258" t="s">
        <v>103</v>
      </c>
      <c r="D2357" s="79">
        <v>7.23</v>
      </c>
      <c r="F2357" s="79">
        <v>7.23</v>
      </c>
      <c r="G2357" s="81"/>
      <c r="N2357" s="240"/>
      <c r="O2357" s="241"/>
      <c r="P2357" s="213"/>
    </row>
    <row r="2358" spans="1:16" ht="12">
      <c r="A2358" s="83" t="s">
        <v>4409</v>
      </c>
      <c r="B2358" s="257" t="s">
        <v>4410</v>
      </c>
      <c r="C2358" s="258" t="s">
        <v>103</v>
      </c>
      <c r="D2358" s="79">
        <v>183.15</v>
      </c>
      <c r="F2358" s="79">
        <v>183.15</v>
      </c>
      <c r="G2358" s="81"/>
      <c r="N2358" s="240"/>
      <c r="O2358" s="241"/>
      <c r="P2358" s="213"/>
    </row>
    <row r="2359" spans="1:16" ht="24">
      <c r="A2359" s="83" t="s">
        <v>4411</v>
      </c>
      <c r="B2359" s="257" t="s">
        <v>42082</v>
      </c>
      <c r="C2359" s="258" t="s">
        <v>103</v>
      </c>
      <c r="D2359" s="79">
        <v>223.48</v>
      </c>
      <c r="F2359" s="79">
        <v>223.48</v>
      </c>
      <c r="G2359" s="81"/>
      <c r="N2359" s="240"/>
      <c r="O2359" s="241"/>
      <c r="P2359" s="213"/>
    </row>
    <row r="2360" spans="1:16" ht="24">
      <c r="A2360" s="83" t="s">
        <v>4412</v>
      </c>
      <c r="B2360" s="257" t="s">
        <v>42083</v>
      </c>
      <c r="C2360" s="258" t="s">
        <v>103</v>
      </c>
      <c r="D2360" s="79">
        <v>268.14999999999998</v>
      </c>
      <c r="F2360" s="79">
        <v>268.14999999999998</v>
      </c>
      <c r="G2360" s="81"/>
      <c r="N2360" s="240"/>
      <c r="O2360" s="241"/>
      <c r="P2360" s="213"/>
    </row>
    <row r="2361" spans="1:16" ht="24">
      <c r="A2361" s="83" t="s">
        <v>4413</v>
      </c>
      <c r="B2361" s="257" t="s">
        <v>42084</v>
      </c>
      <c r="C2361" s="258" t="s">
        <v>103</v>
      </c>
      <c r="D2361" s="79">
        <v>426.5</v>
      </c>
      <c r="F2361" s="79">
        <v>426.5</v>
      </c>
      <c r="G2361" s="81"/>
      <c r="N2361" s="240"/>
      <c r="O2361" s="241"/>
      <c r="P2361" s="213"/>
    </row>
    <row r="2362" spans="1:16" ht="12">
      <c r="A2362" s="83" t="s">
        <v>4414</v>
      </c>
      <c r="B2362" s="257" t="s">
        <v>4415</v>
      </c>
      <c r="C2362" s="258" t="s">
        <v>103</v>
      </c>
      <c r="D2362" s="79">
        <v>8.5500000000000007</v>
      </c>
      <c r="F2362" s="79">
        <v>8.5500000000000007</v>
      </c>
      <c r="G2362" s="81"/>
      <c r="N2362" s="240"/>
      <c r="O2362" s="241"/>
      <c r="P2362" s="213"/>
    </row>
    <row r="2363" spans="1:16" ht="12">
      <c r="A2363" s="83" t="s">
        <v>4416</v>
      </c>
      <c r="B2363" s="257" t="s">
        <v>29844</v>
      </c>
      <c r="C2363" s="258" t="s">
        <v>103</v>
      </c>
      <c r="D2363" s="79">
        <v>29.7</v>
      </c>
      <c r="F2363" s="79">
        <v>29.7</v>
      </c>
      <c r="G2363" s="81"/>
      <c r="N2363" s="240"/>
      <c r="O2363" s="241"/>
      <c r="P2363" s="213"/>
    </row>
    <row r="2364" spans="1:16" ht="24">
      <c r="A2364" s="256" t="s">
        <v>4417</v>
      </c>
      <c r="B2364" s="274" t="s">
        <v>4418</v>
      </c>
      <c r="C2364" s="262" t="s">
        <v>103</v>
      </c>
      <c r="D2364" s="79">
        <v>26.45</v>
      </c>
      <c r="F2364" s="522">
        <v>26.45</v>
      </c>
      <c r="O2364" s="236"/>
    </row>
    <row r="2365" spans="1:16" ht="12">
      <c r="A2365" s="256" t="s">
        <v>4419</v>
      </c>
      <c r="B2365" s="274" t="s">
        <v>4420</v>
      </c>
      <c r="C2365" s="262" t="s">
        <v>103</v>
      </c>
      <c r="D2365" s="79">
        <v>16.32</v>
      </c>
      <c r="F2365" s="522">
        <v>16.32</v>
      </c>
    </row>
    <row r="2366" spans="1:16" ht="12">
      <c r="A2366" s="83" t="s">
        <v>4421</v>
      </c>
      <c r="B2366" s="257" t="s">
        <v>4422</v>
      </c>
      <c r="C2366" s="258" t="s">
        <v>103</v>
      </c>
      <c r="D2366" s="79">
        <v>54.38</v>
      </c>
      <c r="F2366" s="79">
        <v>54.38</v>
      </c>
      <c r="G2366" s="81"/>
      <c r="N2366" s="240"/>
      <c r="O2366" s="241"/>
      <c r="P2366" s="213"/>
    </row>
    <row r="2367" spans="1:16" ht="12">
      <c r="A2367" s="83" t="s">
        <v>4423</v>
      </c>
      <c r="B2367" s="257" t="s">
        <v>4424</v>
      </c>
      <c r="C2367" s="258" t="s">
        <v>103</v>
      </c>
      <c r="D2367" s="79">
        <v>46.56</v>
      </c>
      <c r="F2367" s="79">
        <v>46.56</v>
      </c>
      <c r="G2367" s="81"/>
      <c r="N2367" s="240"/>
      <c r="O2367" s="241"/>
      <c r="P2367" s="213"/>
    </row>
    <row r="2368" spans="1:16" ht="24">
      <c r="A2368" s="83" t="s">
        <v>4425</v>
      </c>
      <c r="B2368" s="257" t="s">
        <v>4426</v>
      </c>
      <c r="C2368" s="258" t="s">
        <v>103</v>
      </c>
      <c r="D2368" s="79">
        <v>29.41</v>
      </c>
      <c r="F2368" s="79">
        <v>29.41</v>
      </c>
      <c r="G2368" s="81"/>
      <c r="N2368" s="240"/>
      <c r="O2368" s="241"/>
      <c r="P2368" s="213"/>
    </row>
    <row r="2369" spans="1:16" ht="12">
      <c r="A2369" s="83" t="s">
        <v>4427</v>
      </c>
      <c r="B2369" s="257" t="s">
        <v>4428</v>
      </c>
      <c r="C2369" s="258" t="s">
        <v>103</v>
      </c>
      <c r="D2369" s="79">
        <v>1.95</v>
      </c>
      <c r="F2369" s="79">
        <v>1.95</v>
      </c>
      <c r="G2369" s="81"/>
      <c r="N2369" s="240"/>
      <c r="O2369" s="241"/>
      <c r="P2369" s="213"/>
    </row>
    <row r="2370" spans="1:16" ht="12">
      <c r="A2370" s="83" t="s">
        <v>4429</v>
      </c>
      <c r="B2370" s="257" t="s">
        <v>4430</v>
      </c>
      <c r="C2370" s="258" t="s">
        <v>103</v>
      </c>
      <c r="D2370" s="79">
        <v>2.1800000000000002</v>
      </c>
      <c r="F2370" s="79">
        <v>2.1800000000000002</v>
      </c>
      <c r="G2370" s="81"/>
      <c r="N2370" s="240"/>
      <c r="O2370" s="241"/>
      <c r="P2370" s="213"/>
    </row>
    <row r="2371" spans="1:16" ht="12">
      <c r="A2371" s="83" t="s">
        <v>4431</v>
      </c>
      <c r="B2371" s="257" t="s">
        <v>4432</v>
      </c>
      <c r="C2371" s="258" t="s">
        <v>103</v>
      </c>
      <c r="D2371" s="79">
        <v>3.51</v>
      </c>
      <c r="F2371" s="79">
        <v>3.51</v>
      </c>
      <c r="G2371" s="81"/>
      <c r="N2371" s="240"/>
      <c r="O2371" s="241"/>
      <c r="P2371" s="213"/>
    </row>
    <row r="2372" spans="1:16" ht="12">
      <c r="A2372" s="83" t="s">
        <v>4433</v>
      </c>
      <c r="B2372" s="257" t="s">
        <v>28193</v>
      </c>
      <c r="C2372" s="258" t="s">
        <v>103</v>
      </c>
      <c r="D2372" s="79">
        <v>2.83</v>
      </c>
      <c r="F2372" s="79">
        <v>2.83</v>
      </c>
      <c r="G2372" s="81"/>
      <c r="N2372" s="240"/>
      <c r="O2372" s="241"/>
      <c r="P2372" s="213"/>
    </row>
    <row r="2373" spans="1:16" ht="12">
      <c r="A2373" s="83" t="s">
        <v>4434</v>
      </c>
      <c r="B2373" s="257" t="s">
        <v>4435</v>
      </c>
      <c r="C2373" s="258" t="s">
        <v>396</v>
      </c>
      <c r="D2373" s="79">
        <v>14.5</v>
      </c>
      <c r="F2373" s="79">
        <v>14.5</v>
      </c>
      <c r="G2373" s="81"/>
      <c r="N2373" s="240"/>
      <c r="O2373" s="241"/>
      <c r="P2373" s="213"/>
    </row>
    <row r="2374" spans="1:16" ht="12">
      <c r="A2374" s="83" t="s">
        <v>4436</v>
      </c>
      <c r="B2374" s="257" t="s">
        <v>4437</v>
      </c>
      <c r="C2374" s="258" t="s">
        <v>396</v>
      </c>
      <c r="D2374" s="79">
        <v>18.760000000000002</v>
      </c>
      <c r="F2374" s="79">
        <v>18.760000000000002</v>
      </c>
      <c r="G2374" s="81"/>
      <c r="N2374" s="240"/>
      <c r="O2374" s="241"/>
      <c r="P2374" s="213"/>
    </row>
    <row r="2375" spans="1:16" ht="12">
      <c r="A2375" s="83" t="s">
        <v>4438</v>
      </c>
      <c r="B2375" s="257" t="s">
        <v>4439</v>
      </c>
      <c r="C2375" s="258" t="s">
        <v>396</v>
      </c>
      <c r="D2375" s="79">
        <v>47.47</v>
      </c>
      <c r="F2375" s="79">
        <v>47.47</v>
      </c>
      <c r="G2375" s="81"/>
      <c r="N2375" s="240"/>
      <c r="O2375" s="241"/>
      <c r="P2375" s="213"/>
    </row>
    <row r="2376" spans="1:16" ht="12">
      <c r="A2376" s="83" t="s">
        <v>4440</v>
      </c>
      <c r="B2376" s="257" t="s">
        <v>4441</v>
      </c>
      <c r="C2376" s="258" t="s">
        <v>396</v>
      </c>
      <c r="D2376" s="79">
        <v>52.72</v>
      </c>
      <c r="F2376" s="79">
        <v>52.72</v>
      </c>
      <c r="G2376" s="81"/>
      <c r="N2376" s="240"/>
      <c r="O2376" s="241"/>
      <c r="P2376" s="213"/>
    </row>
    <row r="2377" spans="1:16" ht="12">
      <c r="A2377" s="83" t="s">
        <v>4442</v>
      </c>
      <c r="B2377" s="257" t="s">
        <v>4443</v>
      </c>
      <c r="C2377" s="258" t="s">
        <v>396</v>
      </c>
      <c r="D2377" s="79">
        <v>24.29</v>
      </c>
      <c r="F2377" s="79">
        <v>24.29</v>
      </c>
      <c r="G2377" s="81"/>
      <c r="N2377" s="240"/>
      <c r="O2377" s="241"/>
      <c r="P2377" s="213"/>
    </row>
    <row r="2378" spans="1:16" ht="12">
      <c r="A2378" s="83" t="s">
        <v>4444</v>
      </c>
      <c r="B2378" s="257" t="s">
        <v>4445</v>
      </c>
      <c r="C2378" s="258" t="s">
        <v>396</v>
      </c>
      <c r="D2378" s="79">
        <v>24.38</v>
      </c>
      <c r="F2378" s="79">
        <v>24.38</v>
      </c>
      <c r="G2378" s="81"/>
      <c r="N2378" s="240"/>
      <c r="O2378" s="241"/>
      <c r="P2378" s="213"/>
    </row>
    <row r="2379" spans="1:16" ht="12">
      <c r="A2379" s="83" t="s">
        <v>4446</v>
      </c>
      <c r="B2379" s="257" t="s">
        <v>4447</v>
      </c>
      <c r="C2379" s="258" t="s">
        <v>396</v>
      </c>
      <c r="D2379" s="79">
        <v>12.96</v>
      </c>
      <c r="F2379" s="79">
        <v>12.96</v>
      </c>
      <c r="G2379" s="81"/>
      <c r="N2379" s="240"/>
      <c r="O2379" s="241"/>
      <c r="P2379" s="213"/>
    </row>
    <row r="2380" spans="1:16" ht="12">
      <c r="A2380" s="83" t="s">
        <v>4448</v>
      </c>
      <c r="B2380" s="257" t="s">
        <v>4449</v>
      </c>
      <c r="C2380" s="258" t="s">
        <v>396</v>
      </c>
      <c r="D2380" s="79">
        <v>26.86</v>
      </c>
      <c r="F2380" s="79">
        <v>26.86</v>
      </c>
      <c r="G2380" s="81"/>
      <c r="N2380" s="240"/>
      <c r="O2380" s="241"/>
      <c r="P2380" s="213"/>
    </row>
    <row r="2381" spans="1:16" ht="12">
      <c r="A2381" s="83" t="s">
        <v>4450</v>
      </c>
      <c r="B2381" s="257" t="s">
        <v>4451</v>
      </c>
      <c r="C2381" s="258" t="s">
        <v>396</v>
      </c>
      <c r="D2381" s="79">
        <v>13.28</v>
      </c>
      <c r="F2381" s="79">
        <v>13.28</v>
      </c>
      <c r="G2381" s="81"/>
      <c r="N2381" s="240"/>
      <c r="O2381" s="241"/>
      <c r="P2381" s="213"/>
    </row>
    <row r="2382" spans="1:16" ht="12">
      <c r="A2382" s="83" t="s">
        <v>4452</v>
      </c>
      <c r="B2382" s="257" t="s">
        <v>4453</v>
      </c>
      <c r="C2382" s="258" t="s">
        <v>396</v>
      </c>
      <c r="D2382" s="79">
        <v>19.47</v>
      </c>
      <c r="F2382" s="79">
        <v>19.47</v>
      </c>
      <c r="G2382" s="81"/>
      <c r="N2382" s="240"/>
      <c r="O2382" s="241"/>
      <c r="P2382" s="213"/>
    </row>
    <row r="2383" spans="1:16" ht="24">
      <c r="A2383" s="83" t="s">
        <v>4454</v>
      </c>
      <c r="B2383" s="257" t="s">
        <v>4455</v>
      </c>
      <c r="C2383" s="258" t="s">
        <v>103</v>
      </c>
      <c r="D2383" s="79">
        <v>22.05</v>
      </c>
      <c r="F2383" s="79">
        <v>22.05</v>
      </c>
      <c r="G2383" s="81"/>
      <c r="N2383" s="240"/>
      <c r="O2383" s="241"/>
      <c r="P2383" s="213"/>
    </row>
    <row r="2384" spans="1:16" ht="12">
      <c r="A2384" s="83" t="s">
        <v>4456</v>
      </c>
      <c r="B2384" s="257" t="s">
        <v>4457</v>
      </c>
      <c r="C2384" s="258" t="s">
        <v>396</v>
      </c>
      <c r="D2384" s="79">
        <v>19.559999999999999</v>
      </c>
      <c r="F2384" s="79">
        <v>19.559999999999999</v>
      </c>
      <c r="G2384" s="81"/>
      <c r="N2384" s="240"/>
      <c r="O2384" s="241"/>
      <c r="P2384" s="213"/>
    </row>
    <row r="2385" spans="1:16" ht="24">
      <c r="A2385" s="83" t="s">
        <v>4458</v>
      </c>
      <c r="B2385" s="257" t="s">
        <v>39291</v>
      </c>
      <c r="C2385" s="258" t="s">
        <v>103</v>
      </c>
      <c r="D2385" s="79">
        <v>458.24</v>
      </c>
      <c r="F2385" s="79">
        <v>458.24</v>
      </c>
      <c r="G2385" s="81"/>
      <c r="N2385" s="240"/>
      <c r="O2385" s="241"/>
      <c r="P2385" s="213"/>
    </row>
    <row r="2386" spans="1:16" ht="24">
      <c r="A2386" s="83" t="s">
        <v>4459</v>
      </c>
      <c r="B2386" s="257" t="s">
        <v>29845</v>
      </c>
      <c r="C2386" s="258" t="s">
        <v>396</v>
      </c>
      <c r="D2386" s="79">
        <v>329.61</v>
      </c>
      <c r="F2386" s="79">
        <v>329.61</v>
      </c>
      <c r="G2386" s="81"/>
      <c r="N2386" s="240"/>
      <c r="O2386" s="241"/>
      <c r="P2386" s="213"/>
    </row>
    <row r="2387" spans="1:16" ht="12">
      <c r="A2387" s="83" t="s">
        <v>4460</v>
      </c>
      <c r="B2387" s="257" t="s">
        <v>4461</v>
      </c>
      <c r="C2387" s="258" t="s">
        <v>396</v>
      </c>
      <c r="D2387" s="79">
        <v>12.8</v>
      </c>
      <c r="F2387" s="79">
        <v>12.8</v>
      </c>
      <c r="G2387" s="81"/>
      <c r="N2387" s="240"/>
      <c r="O2387" s="241"/>
      <c r="P2387" s="213"/>
    </row>
    <row r="2388" spans="1:16" ht="12">
      <c r="A2388" s="83" t="s">
        <v>4462</v>
      </c>
      <c r="B2388" s="257" t="s">
        <v>4463</v>
      </c>
      <c r="C2388" s="258" t="s">
        <v>396</v>
      </c>
      <c r="D2388" s="79">
        <v>14.38</v>
      </c>
      <c r="F2388" s="79">
        <v>14.38</v>
      </c>
      <c r="G2388" s="81"/>
      <c r="N2388" s="240"/>
      <c r="O2388" s="241"/>
      <c r="P2388" s="213"/>
    </row>
    <row r="2389" spans="1:16" ht="12">
      <c r="A2389" s="83" t="s">
        <v>4464</v>
      </c>
      <c r="B2389" s="257" t="s">
        <v>4465</v>
      </c>
      <c r="C2389" s="258" t="s">
        <v>396</v>
      </c>
      <c r="D2389" s="79">
        <v>32.53</v>
      </c>
      <c r="F2389" s="79">
        <v>32.53</v>
      </c>
      <c r="G2389" s="81"/>
      <c r="N2389" s="240"/>
      <c r="O2389" s="241"/>
      <c r="P2389" s="213"/>
    </row>
    <row r="2390" spans="1:16" ht="24">
      <c r="A2390" s="83" t="s">
        <v>4466</v>
      </c>
      <c r="B2390" s="257" t="s">
        <v>4467</v>
      </c>
      <c r="C2390" s="258" t="s">
        <v>396</v>
      </c>
      <c r="D2390" s="79">
        <v>26.69</v>
      </c>
      <c r="F2390" s="79">
        <v>26.69</v>
      </c>
      <c r="G2390" s="81"/>
      <c r="N2390" s="240"/>
      <c r="O2390" s="241"/>
      <c r="P2390" s="213"/>
    </row>
    <row r="2391" spans="1:16" ht="24">
      <c r="A2391" s="83" t="s">
        <v>4468</v>
      </c>
      <c r="B2391" s="257" t="s">
        <v>4469</v>
      </c>
      <c r="C2391" s="258" t="s">
        <v>396</v>
      </c>
      <c r="D2391" s="79">
        <v>28</v>
      </c>
      <c r="F2391" s="79">
        <v>28</v>
      </c>
      <c r="G2391" s="81"/>
      <c r="N2391" s="240"/>
      <c r="O2391" s="241"/>
      <c r="P2391" s="213"/>
    </row>
    <row r="2392" spans="1:16" ht="24">
      <c r="A2392" s="83" t="s">
        <v>4470</v>
      </c>
      <c r="B2392" s="257" t="s">
        <v>4471</v>
      </c>
      <c r="C2392" s="258" t="s">
        <v>396</v>
      </c>
      <c r="D2392" s="79">
        <v>270.02999999999997</v>
      </c>
      <c r="F2392" s="79">
        <v>270.02999999999997</v>
      </c>
      <c r="G2392" s="81"/>
      <c r="N2392" s="240"/>
      <c r="O2392" s="241"/>
      <c r="P2392" s="213"/>
    </row>
    <row r="2393" spans="1:16" ht="24">
      <c r="A2393" s="83" t="s">
        <v>4472</v>
      </c>
      <c r="B2393" s="257" t="s">
        <v>4473</v>
      </c>
      <c r="C2393" s="258" t="s">
        <v>103</v>
      </c>
      <c r="D2393" s="79">
        <v>37.97</v>
      </c>
      <c r="F2393" s="79">
        <v>37.97</v>
      </c>
      <c r="G2393" s="81"/>
      <c r="N2393" s="240"/>
      <c r="O2393" s="241"/>
      <c r="P2393" s="213"/>
    </row>
    <row r="2394" spans="1:16" ht="24">
      <c r="A2394" s="83" t="s">
        <v>4474</v>
      </c>
      <c r="B2394" s="257" t="s">
        <v>4475</v>
      </c>
      <c r="C2394" s="258" t="s">
        <v>103</v>
      </c>
      <c r="D2394" s="79">
        <v>20.65</v>
      </c>
      <c r="F2394" s="79">
        <v>20.65</v>
      </c>
      <c r="G2394" s="81"/>
      <c r="N2394" s="240"/>
      <c r="O2394" s="241"/>
      <c r="P2394" s="213"/>
    </row>
    <row r="2395" spans="1:16" ht="36">
      <c r="A2395" s="83" t="s">
        <v>4476</v>
      </c>
      <c r="B2395" s="257" t="s">
        <v>4477</v>
      </c>
      <c r="C2395" s="258" t="s">
        <v>103</v>
      </c>
      <c r="D2395" s="79">
        <v>388.22</v>
      </c>
      <c r="F2395" s="79">
        <v>388.22</v>
      </c>
      <c r="G2395" s="81"/>
      <c r="N2395" s="240"/>
      <c r="O2395" s="241"/>
      <c r="P2395" s="213"/>
    </row>
    <row r="2396" spans="1:16" ht="12">
      <c r="A2396" s="83" t="s">
        <v>4478</v>
      </c>
      <c r="B2396" s="257" t="s">
        <v>4479</v>
      </c>
      <c r="C2396" s="258" t="s">
        <v>103</v>
      </c>
      <c r="D2396" s="79">
        <v>9.51</v>
      </c>
      <c r="F2396" s="79">
        <v>9.51</v>
      </c>
      <c r="G2396" s="81"/>
      <c r="N2396" s="240"/>
      <c r="O2396" s="241"/>
      <c r="P2396" s="213"/>
    </row>
    <row r="2397" spans="1:16" ht="12">
      <c r="A2397" s="83" t="s">
        <v>4480</v>
      </c>
      <c r="B2397" s="257" t="s">
        <v>4481</v>
      </c>
      <c r="C2397" s="258" t="s">
        <v>103</v>
      </c>
      <c r="D2397" s="79">
        <v>10.93</v>
      </c>
      <c r="F2397" s="79">
        <v>10.93</v>
      </c>
      <c r="G2397" s="81"/>
      <c r="N2397" s="240"/>
      <c r="O2397" s="241"/>
      <c r="P2397" s="213"/>
    </row>
    <row r="2398" spans="1:16" ht="12">
      <c r="A2398" s="83" t="s">
        <v>4482</v>
      </c>
      <c r="B2398" s="257" t="s">
        <v>4483</v>
      </c>
      <c r="C2398" s="258" t="s">
        <v>103</v>
      </c>
      <c r="D2398" s="79">
        <v>65.63</v>
      </c>
      <c r="F2398" s="79">
        <v>65.63</v>
      </c>
      <c r="G2398" s="81"/>
      <c r="N2398" s="240"/>
      <c r="O2398" s="241"/>
      <c r="P2398" s="213"/>
    </row>
    <row r="2399" spans="1:16" ht="24">
      <c r="A2399" s="83" t="s">
        <v>4484</v>
      </c>
      <c r="B2399" s="257" t="s">
        <v>4485</v>
      </c>
      <c r="C2399" s="258" t="s">
        <v>396</v>
      </c>
      <c r="D2399" s="79">
        <v>19.46</v>
      </c>
      <c r="F2399" s="79">
        <v>19.46</v>
      </c>
      <c r="G2399" s="81"/>
      <c r="N2399" s="240"/>
      <c r="O2399" s="241"/>
      <c r="P2399" s="213"/>
    </row>
    <row r="2400" spans="1:16" ht="12">
      <c r="A2400" s="83" t="s">
        <v>4486</v>
      </c>
      <c r="B2400" s="257" t="s">
        <v>4487</v>
      </c>
      <c r="C2400" s="258" t="s">
        <v>396</v>
      </c>
      <c r="D2400" s="79">
        <v>281.62</v>
      </c>
      <c r="F2400" s="79">
        <v>281.62</v>
      </c>
      <c r="G2400" s="81"/>
      <c r="N2400" s="240"/>
      <c r="O2400" s="241"/>
      <c r="P2400" s="213"/>
    </row>
    <row r="2401" spans="1:16" ht="24">
      <c r="A2401" s="83" t="s">
        <v>4488</v>
      </c>
      <c r="B2401" s="257" t="s">
        <v>42085</v>
      </c>
      <c r="C2401" s="258" t="s">
        <v>103</v>
      </c>
      <c r="D2401" s="79">
        <v>10.87</v>
      </c>
      <c r="F2401" s="79">
        <v>10.87</v>
      </c>
      <c r="G2401" s="81"/>
      <c r="N2401" s="240"/>
      <c r="O2401" s="241"/>
      <c r="P2401" s="213"/>
    </row>
    <row r="2402" spans="1:16" ht="24">
      <c r="A2402" s="83" t="s">
        <v>4489</v>
      </c>
      <c r="B2402" s="257" t="s">
        <v>28194</v>
      </c>
      <c r="C2402" s="258" t="s">
        <v>103</v>
      </c>
      <c r="D2402" s="79">
        <v>18.07</v>
      </c>
      <c r="F2402" s="79">
        <v>18.07</v>
      </c>
      <c r="G2402" s="81"/>
      <c r="N2402" s="240"/>
      <c r="O2402" s="241"/>
      <c r="P2402" s="213"/>
    </row>
    <row r="2403" spans="1:16" ht="24">
      <c r="A2403" s="83" t="s">
        <v>4490</v>
      </c>
      <c r="B2403" s="257" t="s">
        <v>28195</v>
      </c>
      <c r="C2403" s="258" t="s">
        <v>103</v>
      </c>
      <c r="D2403" s="79">
        <v>15.15</v>
      </c>
      <c r="F2403" s="79">
        <v>15.15</v>
      </c>
      <c r="G2403" s="81"/>
      <c r="N2403" s="240"/>
      <c r="O2403" s="241"/>
      <c r="P2403" s="213"/>
    </row>
    <row r="2404" spans="1:16" ht="24">
      <c r="A2404" s="83" t="s">
        <v>4491</v>
      </c>
      <c r="B2404" s="257" t="s">
        <v>28196</v>
      </c>
      <c r="C2404" s="258" t="s">
        <v>103</v>
      </c>
      <c r="D2404" s="79">
        <v>11.13</v>
      </c>
      <c r="F2404" s="79">
        <v>11.13</v>
      </c>
      <c r="G2404" s="81"/>
      <c r="N2404" s="240"/>
      <c r="O2404" s="241"/>
      <c r="P2404" s="213"/>
    </row>
    <row r="2405" spans="1:16" ht="24">
      <c r="A2405" s="83" t="s">
        <v>4492</v>
      </c>
      <c r="B2405" s="257" t="s">
        <v>4493</v>
      </c>
      <c r="C2405" s="258" t="s">
        <v>103</v>
      </c>
      <c r="D2405" s="79">
        <v>14.8</v>
      </c>
      <c r="F2405" s="79">
        <v>14.8</v>
      </c>
      <c r="G2405" s="81"/>
      <c r="N2405" s="240"/>
      <c r="O2405" s="241"/>
      <c r="P2405" s="213"/>
    </row>
    <row r="2406" spans="1:16" ht="24">
      <c r="A2406" s="83" t="s">
        <v>4494</v>
      </c>
      <c r="B2406" s="257" t="s">
        <v>39292</v>
      </c>
      <c r="C2406" s="258" t="s">
        <v>103</v>
      </c>
      <c r="D2406" s="79">
        <v>14.29</v>
      </c>
      <c r="F2406" s="79">
        <v>14.29</v>
      </c>
      <c r="G2406" s="81"/>
      <c r="N2406" s="240"/>
      <c r="O2406" s="241"/>
      <c r="P2406" s="213"/>
    </row>
    <row r="2407" spans="1:16" ht="24">
      <c r="A2407" s="83" t="s">
        <v>4495</v>
      </c>
      <c r="B2407" s="257" t="s">
        <v>4496</v>
      </c>
      <c r="C2407" s="258" t="s">
        <v>103</v>
      </c>
      <c r="D2407" s="79">
        <v>21.75</v>
      </c>
      <c r="F2407" s="79">
        <v>21.75</v>
      </c>
      <c r="G2407" s="81"/>
      <c r="N2407" s="240"/>
      <c r="O2407" s="241"/>
      <c r="P2407" s="213"/>
    </row>
    <row r="2408" spans="1:16" ht="24">
      <c r="A2408" s="83" t="s">
        <v>4497</v>
      </c>
      <c r="B2408" s="257" t="s">
        <v>4498</v>
      </c>
      <c r="C2408" s="258" t="s">
        <v>103</v>
      </c>
      <c r="D2408" s="79">
        <v>7.85</v>
      </c>
      <c r="F2408" s="79">
        <v>7.85</v>
      </c>
      <c r="G2408" s="81"/>
      <c r="N2408" s="240"/>
      <c r="O2408" s="241"/>
      <c r="P2408" s="213"/>
    </row>
    <row r="2409" spans="1:16" ht="24">
      <c r="A2409" s="83" t="s">
        <v>4499</v>
      </c>
      <c r="B2409" s="257" t="s">
        <v>4500</v>
      </c>
      <c r="C2409" s="258" t="s">
        <v>103</v>
      </c>
      <c r="D2409" s="79">
        <v>18.72</v>
      </c>
      <c r="F2409" s="79">
        <v>18.72</v>
      </c>
      <c r="G2409" s="81"/>
      <c r="N2409" s="240"/>
      <c r="O2409" s="241"/>
      <c r="P2409" s="213"/>
    </row>
    <row r="2410" spans="1:16" ht="24">
      <c r="A2410" s="83" t="s">
        <v>4501</v>
      </c>
      <c r="B2410" s="257" t="s">
        <v>4502</v>
      </c>
      <c r="C2410" s="258" t="s">
        <v>103</v>
      </c>
      <c r="D2410" s="79">
        <v>23.56</v>
      </c>
      <c r="F2410" s="79">
        <v>23.56</v>
      </c>
      <c r="G2410" s="81"/>
      <c r="N2410" s="240"/>
      <c r="O2410" s="241"/>
      <c r="P2410" s="213"/>
    </row>
    <row r="2411" spans="1:16" ht="24">
      <c r="A2411" s="270" t="s">
        <v>4503</v>
      </c>
      <c r="B2411" s="271" t="s">
        <v>4504</v>
      </c>
      <c r="C2411" s="272" t="s">
        <v>103</v>
      </c>
      <c r="D2411" s="79">
        <v>52.27</v>
      </c>
      <c r="F2411" s="79">
        <v>52.27</v>
      </c>
      <c r="G2411" s="81"/>
      <c r="N2411" s="240"/>
      <c r="O2411" s="241"/>
      <c r="P2411" s="213"/>
    </row>
    <row r="2412" spans="1:16" ht="24">
      <c r="A2412" s="63" t="s">
        <v>4505</v>
      </c>
      <c r="B2412" s="257" t="s">
        <v>4506</v>
      </c>
      <c r="C2412" s="258" t="s">
        <v>103</v>
      </c>
      <c r="D2412" s="79">
        <v>14.93</v>
      </c>
      <c r="F2412" s="79">
        <v>14.93</v>
      </c>
      <c r="G2412" s="81"/>
      <c r="N2412" s="61"/>
      <c r="O2412" s="241"/>
      <c r="P2412" s="213"/>
    </row>
    <row r="2413" spans="1:16" ht="24">
      <c r="A2413" s="63" t="s">
        <v>4507</v>
      </c>
      <c r="B2413" s="257" t="s">
        <v>4508</v>
      </c>
      <c r="C2413" s="258" t="s">
        <v>103</v>
      </c>
      <c r="D2413" s="79">
        <v>15.53</v>
      </c>
      <c r="F2413" s="79">
        <v>15.53</v>
      </c>
      <c r="G2413" s="81"/>
      <c r="N2413" s="61"/>
      <c r="O2413" s="241"/>
      <c r="P2413" s="213"/>
    </row>
    <row r="2414" spans="1:16" ht="36">
      <c r="A2414" s="63" t="s">
        <v>4509</v>
      </c>
      <c r="B2414" s="257" t="s">
        <v>4510</v>
      </c>
      <c r="C2414" s="258" t="s">
        <v>103</v>
      </c>
      <c r="D2414" s="79">
        <v>16.100000000000001</v>
      </c>
      <c r="F2414" s="79">
        <v>16.100000000000001</v>
      </c>
      <c r="G2414" s="81"/>
      <c r="N2414" s="61"/>
      <c r="O2414" s="241"/>
      <c r="P2414" s="213"/>
    </row>
    <row r="2415" spans="1:16" ht="36">
      <c r="A2415" s="63" t="s">
        <v>4511</v>
      </c>
      <c r="B2415" s="257" t="s">
        <v>4512</v>
      </c>
      <c r="C2415" s="258" t="s">
        <v>103</v>
      </c>
      <c r="D2415" s="79">
        <v>17.670000000000002</v>
      </c>
      <c r="F2415" s="79">
        <v>17.670000000000002</v>
      </c>
      <c r="G2415" s="81"/>
      <c r="N2415" s="61"/>
      <c r="O2415" s="241"/>
      <c r="P2415" s="213"/>
    </row>
    <row r="2416" spans="1:16" ht="24">
      <c r="A2416" s="83" t="s">
        <v>4513</v>
      </c>
      <c r="B2416" s="257" t="s">
        <v>29846</v>
      </c>
      <c r="C2416" s="258" t="s">
        <v>103</v>
      </c>
      <c r="D2416" s="79">
        <v>18.03</v>
      </c>
      <c r="F2416" s="79">
        <v>18.03</v>
      </c>
      <c r="G2416" s="81"/>
      <c r="N2416" s="240"/>
      <c r="O2416" s="241"/>
      <c r="P2416" s="213"/>
    </row>
    <row r="2417" spans="1:16" ht="24">
      <c r="A2417" s="83" t="s">
        <v>4514</v>
      </c>
      <c r="B2417" s="257" t="s">
        <v>28197</v>
      </c>
      <c r="C2417" s="258" t="s">
        <v>103</v>
      </c>
      <c r="D2417" s="79">
        <v>17.899999999999999</v>
      </c>
      <c r="F2417" s="79">
        <v>17.899999999999999</v>
      </c>
      <c r="G2417" s="81"/>
      <c r="N2417" s="240"/>
      <c r="O2417" s="241"/>
      <c r="P2417" s="213"/>
    </row>
    <row r="2418" spans="1:16" ht="24">
      <c r="A2418" s="83" t="s">
        <v>4515</v>
      </c>
      <c r="B2418" s="257" t="s">
        <v>4516</v>
      </c>
      <c r="C2418" s="258" t="s">
        <v>103</v>
      </c>
      <c r="D2418" s="79">
        <v>17.05</v>
      </c>
      <c r="F2418" s="79">
        <v>17.05</v>
      </c>
      <c r="G2418" s="81"/>
      <c r="N2418" s="240"/>
      <c r="O2418" s="241"/>
      <c r="P2418" s="213"/>
    </row>
    <row r="2419" spans="1:16" ht="24">
      <c r="A2419" s="83" t="s">
        <v>4517</v>
      </c>
      <c r="B2419" s="257" t="s">
        <v>28198</v>
      </c>
      <c r="C2419" s="258" t="s">
        <v>103</v>
      </c>
      <c r="D2419" s="79">
        <v>18.7</v>
      </c>
      <c r="F2419" s="79">
        <v>18.7</v>
      </c>
      <c r="G2419" s="81"/>
      <c r="N2419" s="240"/>
      <c r="O2419" s="241"/>
      <c r="P2419" s="213"/>
    </row>
    <row r="2420" spans="1:16" ht="36">
      <c r="A2420" s="83" t="s">
        <v>4518</v>
      </c>
      <c r="B2420" s="257" t="s">
        <v>42086</v>
      </c>
      <c r="C2420" s="258" t="s">
        <v>103</v>
      </c>
      <c r="D2420" s="79">
        <v>35.17</v>
      </c>
      <c r="F2420" s="79">
        <v>35.17</v>
      </c>
      <c r="G2420" s="81"/>
      <c r="N2420" s="240"/>
      <c r="O2420" s="241"/>
      <c r="P2420" s="213"/>
    </row>
    <row r="2421" spans="1:16" ht="24">
      <c r="A2421" s="275" t="s">
        <v>4519</v>
      </c>
      <c r="B2421" s="276" t="s">
        <v>4520</v>
      </c>
      <c r="C2421" s="277" t="s">
        <v>103</v>
      </c>
      <c r="D2421" s="79">
        <v>275.33999999999997</v>
      </c>
      <c r="E2421" s="242"/>
      <c r="F2421" s="519">
        <v>275.33999999999997</v>
      </c>
      <c r="G2421" s="242"/>
      <c r="H2421" s="242"/>
      <c r="I2421" s="242"/>
      <c r="J2421" s="242"/>
      <c r="K2421" s="242"/>
      <c r="L2421" s="242"/>
      <c r="M2421" s="242"/>
      <c r="N2421" s="242"/>
      <c r="O2421" s="242"/>
      <c r="P2421" s="242"/>
    </row>
    <row r="2422" spans="1:16" ht="24">
      <c r="A2422" s="83" t="s">
        <v>4521</v>
      </c>
      <c r="B2422" s="65" t="s">
        <v>39293</v>
      </c>
      <c r="C2422" s="108" t="s">
        <v>103</v>
      </c>
      <c r="D2422" s="79">
        <v>263.69</v>
      </c>
      <c r="F2422" s="79">
        <v>263.69</v>
      </c>
      <c r="G2422" s="81"/>
      <c r="N2422" s="240"/>
      <c r="O2422" s="241"/>
      <c r="P2422" s="213"/>
    </row>
    <row r="2423" spans="1:16" ht="24">
      <c r="A2423" s="83" t="s">
        <v>4522</v>
      </c>
      <c r="B2423" s="257" t="s">
        <v>28199</v>
      </c>
      <c r="C2423" s="258" t="s">
        <v>103</v>
      </c>
      <c r="D2423" s="79">
        <v>78.760000000000005</v>
      </c>
      <c r="F2423" s="79">
        <v>78.760000000000005</v>
      </c>
      <c r="G2423" s="81"/>
      <c r="N2423" s="240"/>
      <c r="O2423" s="241"/>
      <c r="P2423" s="213"/>
    </row>
    <row r="2424" spans="1:16" ht="24">
      <c r="A2424" s="256" t="s">
        <v>4523</v>
      </c>
      <c r="B2424" s="261" t="s">
        <v>28200</v>
      </c>
      <c r="C2424" s="262" t="s">
        <v>103</v>
      </c>
      <c r="D2424" s="79">
        <v>115.7</v>
      </c>
      <c r="F2424" s="79">
        <v>115.7</v>
      </c>
    </row>
    <row r="2425" spans="1:16" ht="24">
      <c r="A2425" s="83" t="s">
        <v>4524</v>
      </c>
      <c r="B2425" s="257" t="s">
        <v>29847</v>
      </c>
      <c r="C2425" s="258" t="s">
        <v>103</v>
      </c>
      <c r="D2425" s="79">
        <v>81.87</v>
      </c>
      <c r="F2425" s="79">
        <v>81.87</v>
      </c>
      <c r="G2425" s="81"/>
      <c r="N2425" s="240"/>
      <c r="O2425" s="241"/>
      <c r="P2425" s="213"/>
    </row>
    <row r="2426" spans="1:16" ht="36">
      <c r="A2426" s="83" t="s">
        <v>4525</v>
      </c>
      <c r="B2426" s="257" t="s">
        <v>39294</v>
      </c>
      <c r="C2426" s="258" t="s">
        <v>103</v>
      </c>
      <c r="D2426" s="79">
        <v>118.66</v>
      </c>
      <c r="F2426" s="79">
        <v>118.66</v>
      </c>
      <c r="G2426" s="81"/>
      <c r="N2426" s="240"/>
      <c r="O2426" s="241"/>
      <c r="P2426" s="213"/>
    </row>
    <row r="2427" spans="1:16" ht="36">
      <c r="A2427" s="83" t="s">
        <v>4526</v>
      </c>
      <c r="B2427" s="257" t="s">
        <v>29848</v>
      </c>
      <c r="C2427" s="258" t="s">
        <v>103</v>
      </c>
      <c r="D2427" s="79">
        <v>174.48</v>
      </c>
      <c r="F2427" s="79">
        <v>174.48</v>
      </c>
      <c r="G2427" s="81"/>
      <c r="N2427" s="240"/>
      <c r="O2427" s="241"/>
      <c r="P2427" s="213"/>
    </row>
    <row r="2428" spans="1:16" ht="24">
      <c r="A2428" s="83" t="s">
        <v>4527</v>
      </c>
      <c r="B2428" s="257" t="s">
        <v>39295</v>
      </c>
      <c r="C2428" s="258" t="s">
        <v>103</v>
      </c>
      <c r="D2428" s="79">
        <v>144.19</v>
      </c>
      <c r="F2428" s="79">
        <v>144.19</v>
      </c>
      <c r="G2428" s="81"/>
      <c r="N2428" s="240"/>
      <c r="O2428" s="241"/>
      <c r="P2428" s="213"/>
    </row>
    <row r="2429" spans="1:16" ht="24">
      <c r="A2429" s="83" t="s">
        <v>4528</v>
      </c>
      <c r="B2429" s="257" t="s">
        <v>29849</v>
      </c>
      <c r="C2429" s="258" t="s">
        <v>103</v>
      </c>
      <c r="D2429" s="79">
        <v>71.989999999999995</v>
      </c>
      <c r="F2429" s="79">
        <v>71.989999999999995</v>
      </c>
      <c r="G2429" s="81"/>
      <c r="N2429" s="240"/>
      <c r="O2429" s="241"/>
      <c r="P2429" s="213"/>
    </row>
    <row r="2430" spans="1:16" ht="36">
      <c r="A2430" s="83" t="s">
        <v>4529</v>
      </c>
      <c r="B2430" s="257" t="s">
        <v>28201</v>
      </c>
      <c r="C2430" s="258" t="s">
        <v>103</v>
      </c>
      <c r="D2430" s="79">
        <v>333.33</v>
      </c>
      <c r="F2430" s="79">
        <v>333.33</v>
      </c>
      <c r="G2430" s="81"/>
      <c r="N2430" s="240"/>
      <c r="O2430" s="241"/>
      <c r="P2430" s="213"/>
    </row>
    <row r="2431" spans="1:16" ht="36">
      <c r="A2431" s="83" t="s">
        <v>4530</v>
      </c>
      <c r="B2431" s="257" t="s">
        <v>28202</v>
      </c>
      <c r="C2431" s="258" t="s">
        <v>103</v>
      </c>
      <c r="D2431" s="79">
        <v>152.63</v>
      </c>
      <c r="F2431" s="79">
        <v>152.63</v>
      </c>
      <c r="G2431" s="81"/>
      <c r="N2431" s="240"/>
      <c r="O2431" s="241"/>
      <c r="P2431" s="213"/>
    </row>
    <row r="2432" spans="1:16" ht="24">
      <c r="A2432" s="256" t="s">
        <v>4531</v>
      </c>
      <c r="B2432" s="261" t="s">
        <v>29850</v>
      </c>
      <c r="C2432" s="262" t="s">
        <v>103</v>
      </c>
      <c r="D2432" s="79">
        <v>62.01</v>
      </c>
      <c r="F2432" s="517">
        <v>62.01</v>
      </c>
    </row>
    <row r="2433" spans="1:16" ht="24">
      <c r="A2433" s="275" t="s">
        <v>4532</v>
      </c>
      <c r="B2433" s="276" t="s">
        <v>28203</v>
      </c>
      <c r="C2433" s="277" t="s">
        <v>103</v>
      </c>
      <c r="D2433" s="79">
        <v>1430.09</v>
      </c>
      <c r="E2433" s="242"/>
      <c r="F2433" s="519">
        <v>1430.09</v>
      </c>
      <c r="G2433" s="242"/>
      <c r="H2433" s="242"/>
      <c r="I2433" s="242"/>
      <c r="J2433" s="242"/>
      <c r="K2433" s="242"/>
      <c r="L2433" s="242"/>
      <c r="M2433" s="242"/>
      <c r="N2433" s="242"/>
      <c r="O2433" s="242"/>
      <c r="P2433" s="242"/>
    </row>
    <row r="2434" spans="1:16" ht="36">
      <c r="A2434" s="83" t="s">
        <v>4533</v>
      </c>
      <c r="B2434" s="257" t="s">
        <v>29851</v>
      </c>
      <c r="C2434" s="258" t="s">
        <v>103</v>
      </c>
      <c r="D2434" s="79">
        <v>547.45000000000005</v>
      </c>
      <c r="F2434" s="79">
        <v>547.45000000000005</v>
      </c>
      <c r="G2434" s="81"/>
      <c r="N2434" s="240"/>
      <c r="O2434" s="241"/>
      <c r="P2434" s="213"/>
    </row>
    <row r="2435" spans="1:16" ht="36">
      <c r="A2435" s="83" t="s">
        <v>4534</v>
      </c>
      <c r="B2435" s="257" t="s">
        <v>28204</v>
      </c>
      <c r="C2435" s="258" t="s">
        <v>103</v>
      </c>
      <c r="D2435" s="79">
        <v>324.49</v>
      </c>
      <c r="F2435" s="79">
        <v>324.49</v>
      </c>
      <c r="G2435" s="81"/>
      <c r="N2435" s="240"/>
      <c r="O2435" s="241"/>
      <c r="P2435" s="213"/>
    </row>
    <row r="2436" spans="1:16" ht="36">
      <c r="A2436" s="83" t="s">
        <v>4535</v>
      </c>
      <c r="B2436" s="257" t="s">
        <v>29852</v>
      </c>
      <c r="C2436" s="258" t="s">
        <v>103</v>
      </c>
      <c r="D2436" s="79">
        <v>290.44</v>
      </c>
      <c r="F2436" s="79">
        <v>290.44</v>
      </c>
      <c r="G2436" s="81"/>
      <c r="N2436" s="240"/>
      <c r="O2436" s="241"/>
      <c r="P2436" s="213"/>
    </row>
    <row r="2437" spans="1:16" ht="24">
      <c r="A2437" s="83" t="s">
        <v>4536</v>
      </c>
      <c r="B2437" s="257" t="s">
        <v>42087</v>
      </c>
      <c r="C2437" s="258" t="s">
        <v>103</v>
      </c>
      <c r="D2437" s="79">
        <v>514.35</v>
      </c>
      <c r="F2437" s="79">
        <v>514.35</v>
      </c>
      <c r="G2437" s="81"/>
      <c r="N2437" s="240"/>
      <c r="O2437" s="241"/>
      <c r="P2437" s="213"/>
    </row>
    <row r="2438" spans="1:16" ht="24">
      <c r="A2438" s="261" t="s">
        <v>4537</v>
      </c>
      <c r="B2438" s="261" t="s">
        <v>42088</v>
      </c>
      <c r="C2438" s="266" t="s">
        <v>103</v>
      </c>
      <c r="D2438" s="79">
        <v>117.7</v>
      </c>
      <c r="F2438" s="518">
        <v>117.7</v>
      </c>
    </row>
    <row r="2439" spans="1:16" ht="24">
      <c r="A2439" s="83" t="s">
        <v>4538</v>
      </c>
      <c r="B2439" s="257" t="s">
        <v>4539</v>
      </c>
      <c r="C2439" s="258" t="s">
        <v>103</v>
      </c>
      <c r="D2439" s="79">
        <v>119.42</v>
      </c>
      <c r="F2439" s="79">
        <v>119.42</v>
      </c>
      <c r="G2439" s="81"/>
      <c r="N2439" s="240"/>
      <c r="O2439" s="241"/>
      <c r="P2439" s="213"/>
    </row>
    <row r="2440" spans="1:16" ht="24">
      <c r="A2440" s="83" t="s">
        <v>4540</v>
      </c>
      <c r="B2440" s="257" t="s">
        <v>42089</v>
      </c>
      <c r="C2440" s="258" t="s">
        <v>103</v>
      </c>
      <c r="D2440" s="79">
        <v>905.51</v>
      </c>
      <c r="F2440" s="79">
        <v>905.51</v>
      </c>
      <c r="G2440" s="81"/>
      <c r="N2440" s="240"/>
      <c r="O2440" s="241"/>
      <c r="P2440" s="213"/>
    </row>
    <row r="2441" spans="1:16" ht="24">
      <c r="A2441" s="275" t="s">
        <v>4541</v>
      </c>
      <c r="B2441" s="276" t="s">
        <v>4542</v>
      </c>
      <c r="C2441" s="277" t="s">
        <v>103</v>
      </c>
      <c r="D2441" s="79">
        <v>7605.68</v>
      </c>
      <c r="E2441" s="242"/>
      <c r="F2441" s="519">
        <v>7605.68</v>
      </c>
      <c r="G2441" s="242"/>
      <c r="H2441" s="242"/>
      <c r="I2441" s="242"/>
      <c r="J2441" s="242"/>
      <c r="K2441" s="242"/>
      <c r="L2441" s="242"/>
      <c r="M2441" s="242"/>
      <c r="N2441" s="242"/>
      <c r="O2441" s="242"/>
      <c r="P2441" s="242"/>
    </row>
    <row r="2442" spans="1:16" ht="12">
      <c r="A2442" s="83" t="s">
        <v>4543</v>
      </c>
      <c r="B2442" s="257" t="s">
        <v>4544</v>
      </c>
      <c r="C2442" s="258" t="s">
        <v>103</v>
      </c>
      <c r="D2442" s="79">
        <v>73.38</v>
      </c>
      <c r="F2442" s="79">
        <v>73.38</v>
      </c>
      <c r="G2442" s="81"/>
      <c r="N2442" s="240"/>
      <c r="O2442" s="241"/>
      <c r="P2442" s="213"/>
    </row>
    <row r="2443" spans="1:16" ht="36">
      <c r="A2443" s="83" t="s">
        <v>4545</v>
      </c>
      <c r="B2443" s="257" t="s">
        <v>29853</v>
      </c>
      <c r="C2443" s="258" t="s">
        <v>103</v>
      </c>
      <c r="D2443" s="79">
        <v>89.08</v>
      </c>
      <c r="F2443" s="79">
        <v>89.08</v>
      </c>
      <c r="G2443" s="81"/>
      <c r="N2443" s="240"/>
      <c r="O2443" s="241"/>
      <c r="P2443" s="213"/>
    </row>
    <row r="2444" spans="1:16" ht="24">
      <c r="A2444" s="83" t="s">
        <v>4546</v>
      </c>
      <c r="B2444" s="257" t="s">
        <v>29854</v>
      </c>
      <c r="C2444" s="258" t="s">
        <v>103</v>
      </c>
      <c r="D2444" s="79">
        <v>44.88</v>
      </c>
      <c r="F2444" s="79">
        <v>44.88</v>
      </c>
      <c r="G2444" s="81"/>
      <c r="N2444" s="240"/>
      <c r="O2444" s="241"/>
      <c r="P2444" s="213"/>
    </row>
    <row r="2445" spans="1:16" ht="24">
      <c r="A2445" s="275" t="s">
        <v>4547</v>
      </c>
      <c r="B2445" s="276" t="s">
        <v>28205</v>
      </c>
      <c r="C2445" s="277" t="s">
        <v>103</v>
      </c>
      <c r="D2445" s="79">
        <v>969.39</v>
      </c>
      <c r="E2445" s="242"/>
      <c r="F2445" s="519">
        <v>969.39</v>
      </c>
      <c r="G2445" s="242"/>
      <c r="H2445" s="242"/>
      <c r="I2445" s="242"/>
      <c r="J2445" s="242"/>
      <c r="K2445" s="242"/>
      <c r="L2445" s="242"/>
      <c r="M2445" s="242"/>
      <c r="N2445" s="242"/>
      <c r="O2445" s="242"/>
      <c r="P2445" s="242"/>
    </row>
    <row r="2446" spans="1:16" ht="24">
      <c r="A2446" s="83" t="s">
        <v>4548</v>
      </c>
      <c r="B2446" s="65" t="s">
        <v>29855</v>
      </c>
      <c r="C2446" s="258" t="s">
        <v>103</v>
      </c>
      <c r="D2446" s="79">
        <v>50.56</v>
      </c>
      <c r="F2446" s="79">
        <v>50.56</v>
      </c>
      <c r="G2446" s="81"/>
      <c r="N2446" s="240"/>
      <c r="O2446" s="241"/>
      <c r="P2446" s="213"/>
    </row>
    <row r="2447" spans="1:16" ht="24">
      <c r="A2447" s="83" t="s">
        <v>4549</v>
      </c>
      <c r="B2447" s="65" t="s">
        <v>4550</v>
      </c>
      <c r="C2447" s="108" t="s">
        <v>103</v>
      </c>
      <c r="D2447" s="79">
        <v>72.77</v>
      </c>
      <c r="F2447" s="79">
        <v>72.77</v>
      </c>
      <c r="G2447" s="81"/>
      <c r="N2447" s="240"/>
      <c r="O2447" s="241"/>
      <c r="P2447" s="213"/>
    </row>
    <row r="2448" spans="1:16" ht="24">
      <c r="A2448" s="83" t="s">
        <v>4551</v>
      </c>
      <c r="B2448" s="65" t="s">
        <v>39296</v>
      </c>
      <c r="C2448" s="108" t="s">
        <v>103</v>
      </c>
      <c r="D2448" s="79">
        <v>124.47</v>
      </c>
      <c r="F2448" s="79">
        <v>124.47</v>
      </c>
      <c r="G2448" s="81"/>
      <c r="N2448" s="240"/>
      <c r="O2448" s="241"/>
      <c r="P2448" s="213"/>
    </row>
    <row r="2449" spans="1:16" ht="24">
      <c r="A2449" s="256" t="s">
        <v>4552</v>
      </c>
      <c r="B2449" s="261" t="s">
        <v>29856</v>
      </c>
      <c r="C2449" s="262" t="s">
        <v>103</v>
      </c>
      <c r="D2449" s="79">
        <v>130.97999999999999</v>
      </c>
      <c r="F2449" s="79">
        <v>130.97999999999999</v>
      </c>
    </row>
    <row r="2450" spans="1:16" ht="24">
      <c r="A2450" s="83" t="s">
        <v>4553</v>
      </c>
      <c r="B2450" s="257" t="s">
        <v>4554</v>
      </c>
      <c r="C2450" s="258" t="s">
        <v>103</v>
      </c>
      <c r="D2450" s="79">
        <v>266.22000000000003</v>
      </c>
      <c r="F2450" s="79">
        <v>266.22000000000003</v>
      </c>
      <c r="G2450" s="81"/>
      <c r="N2450" s="240"/>
      <c r="O2450" s="241"/>
      <c r="P2450" s="213"/>
    </row>
    <row r="2451" spans="1:16" ht="24">
      <c r="A2451" s="83" t="s">
        <v>4555</v>
      </c>
      <c r="B2451" s="257" t="s">
        <v>29857</v>
      </c>
      <c r="C2451" s="258" t="s">
        <v>103</v>
      </c>
      <c r="D2451" s="79">
        <v>259.04000000000002</v>
      </c>
      <c r="F2451" s="79">
        <v>259.04000000000002</v>
      </c>
      <c r="G2451" s="81"/>
      <c r="N2451" s="240"/>
      <c r="O2451" s="241"/>
      <c r="P2451" s="213"/>
    </row>
    <row r="2452" spans="1:16" ht="24">
      <c r="A2452" s="83" t="s">
        <v>4556</v>
      </c>
      <c r="B2452" s="257" t="s">
        <v>29858</v>
      </c>
      <c r="C2452" s="258" t="s">
        <v>103</v>
      </c>
      <c r="D2452" s="79">
        <v>7.01</v>
      </c>
      <c r="F2452" s="79">
        <v>7.01</v>
      </c>
      <c r="G2452" s="81"/>
      <c r="N2452" s="240"/>
      <c r="O2452" s="241"/>
      <c r="P2452" s="213"/>
    </row>
    <row r="2453" spans="1:16" ht="36">
      <c r="A2453" s="83" t="s">
        <v>4557</v>
      </c>
      <c r="B2453" s="257" t="s">
        <v>29859</v>
      </c>
      <c r="C2453" s="258" t="s">
        <v>103</v>
      </c>
      <c r="D2453" s="79">
        <v>175.68</v>
      </c>
      <c r="F2453" s="79">
        <v>175.68</v>
      </c>
      <c r="G2453" s="81"/>
      <c r="N2453" s="240"/>
      <c r="O2453" s="241"/>
      <c r="P2453" s="213"/>
    </row>
    <row r="2454" spans="1:16" ht="24">
      <c r="A2454" s="83" t="s">
        <v>4558</v>
      </c>
      <c r="B2454" s="257" t="s">
        <v>4559</v>
      </c>
      <c r="C2454" s="258" t="s">
        <v>103</v>
      </c>
      <c r="D2454" s="79">
        <v>46.2</v>
      </c>
      <c r="F2454" s="79">
        <v>46.2</v>
      </c>
      <c r="G2454" s="81"/>
      <c r="N2454" s="240"/>
      <c r="O2454" s="241"/>
      <c r="P2454" s="213"/>
    </row>
    <row r="2455" spans="1:16" ht="36">
      <c r="A2455" s="67" t="s">
        <v>4560</v>
      </c>
      <c r="B2455" s="65" t="s">
        <v>29860</v>
      </c>
      <c r="C2455" s="71" t="s">
        <v>103</v>
      </c>
      <c r="D2455" s="79">
        <v>60.9</v>
      </c>
      <c r="F2455" s="79">
        <v>60.9</v>
      </c>
      <c r="G2455" s="81"/>
      <c r="N2455" s="133"/>
      <c r="O2455" s="241"/>
      <c r="P2455" s="213"/>
    </row>
    <row r="2456" spans="1:16" ht="24">
      <c r="A2456" s="67" t="s">
        <v>4561</v>
      </c>
      <c r="B2456" s="65" t="s">
        <v>29861</v>
      </c>
      <c r="C2456" s="71" t="s">
        <v>103</v>
      </c>
      <c r="D2456" s="79">
        <v>96.3</v>
      </c>
      <c r="F2456" s="79">
        <v>96.3</v>
      </c>
      <c r="G2456" s="81"/>
      <c r="N2456" s="133"/>
      <c r="O2456" s="241"/>
      <c r="P2456" s="213"/>
    </row>
    <row r="2457" spans="1:16" ht="24">
      <c r="A2457" s="63" t="s">
        <v>4562</v>
      </c>
      <c r="B2457" s="65" t="s">
        <v>29862</v>
      </c>
      <c r="C2457" s="258" t="s">
        <v>103</v>
      </c>
      <c r="D2457" s="79">
        <v>84.49</v>
      </c>
      <c r="F2457" s="79">
        <v>84.49</v>
      </c>
      <c r="G2457" s="81"/>
      <c r="N2457" s="61"/>
      <c r="O2457" s="241"/>
      <c r="P2457" s="213"/>
    </row>
    <row r="2458" spans="1:16" ht="36">
      <c r="A2458" s="83" t="s">
        <v>4563</v>
      </c>
      <c r="B2458" s="257" t="s">
        <v>29863</v>
      </c>
      <c r="C2458" s="258" t="s">
        <v>103</v>
      </c>
      <c r="D2458" s="79">
        <v>120.42</v>
      </c>
      <c r="F2458" s="79">
        <v>120.42</v>
      </c>
      <c r="G2458" s="81"/>
      <c r="N2458" s="240"/>
      <c r="O2458" s="241"/>
      <c r="P2458" s="213"/>
    </row>
    <row r="2459" spans="1:16" ht="12">
      <c r="A2459" s="83" t="s">
        <v>4564</v>
      </c>
      <c r="B2459" s="257" t="s">
        <v>4565</v>
      </c>
      <c r="C2459" s="258" t="s">
        <v>103</v>
      </c>
      <c r="D2459" s="79">
        <v>12.33</v>
      </c>
      <c r="F2459" s="79">
        <v>12.33</v>
      </c>
      <c r="G2459" s="81"/>
      <c r="N2459" s="240"/>
      <c r="O2459" s="241"/>
      <c r="P2459" s="213"/>
    </row>
    <row r="2460" spans="1:16" ht="12">
      <c r="A2460" s="83" t="s">
        <v>4566</v>
      </c>
      <c r="B2460" s="257" t="s">
        <v>4567</v>
      </c>
      <c r="C2460" s="258" t="s">
        <v>103</v>
      </c>
      <c r="D2460" s="79">
        <v>6.48</v>
      </c>
      <c r="F2460" s="79">
        <v>6.48</v>
      </c>
      <c r="G2460" s="81"/>
      <c r="N2460" s="240"/>
      <c r="O2460" s="241"/>
      <c r="P2460" s="213"/>
    </row>
    <row r="2461" spans="1:16" ht="36">
      <c r="A2461" s="83" t="s">
        <v>4568</v>
      </c>
      <c r="B2461" s="257" t="s">
        <v>4569</v>
      </c>
      <c r="C2461" s="258" t="s">
        <v>103</v>
      </c>
      <c r="D2461" s="79">
        <v>211.61</v>
      </c>
      <c r="F2461" s="79">
        <v>211.61</v>
      </c>
      <c r="G2461" s="81"/>
      <c r="N2461" s="240"/>
      <c r="O2461" s="241"/>
      <c r="P2461" s="213"/>
    </row>
    <row r="2462" spans="1:16" ht="12">
      <c r="A2462" s="83" t="s">
        <v>4570</v>
      </c>
      <c r="B2462" s="257" t="s">
        <v>4571</v>
      </c>
      <c r="C2462" s="258" t="s">
        <v>103</v>
      </c>
      <c r="D2462" s="79">
        <v>154.85</v>
      </c>
      <c r="F2462" s="79">
        <v>154.85</v>
      </c>
      <c r="G2462" s="81"/>
      <c r="N2462" s="240"/>
      <c r="O2462" s="241"/>
      <c r="P2462" s="213"/>
    </row>
    <row r="2463" spans="1:16" ht="24">
      <c r="A2463" s="83" t="s">
        <v>4572</v>
      </c>
      <c r="B2463" s="257" t="s">
        <v>4573</v>
      </c>
      <c r="C2463" s="258" t="s">
        <v>103</v>
      </c>
      <c r="D2463" s="79">
        <v>237.86</v>
      </c>
      <c r="F2463" s="79">
        <v>237.86</v>
      </c>
      <c r="G2463" s="81"/>
      <c r="N2463" s="240"/>
      <c r="O2463" s="241"/>
      <c r="P2463" s="213"/>
    </row>
    <row r="2464" spans="1:16" ht="24">
      <c r="A2464" s="83" t="s">
        <v>4574</v>
      </c>
      <c r="B2464" s="257" t="s">
        <v>29864</v>
      </c>
      <c r="C2464" s="258" t="s">
        <v>103</v>
      </c>
      <c r="D2464" s="79">
        <v>150.53</v>
      </c>
      <c r="F2464" s="79">
        <v>150.53</v>
      </c>
      <c r="G2464" s="81"/>
      <c r="N2464" s="240"/>
      <c r="O2464" s="241"/>
      <c r="P2464" s="213"/>
    </row>
    <row r="2465" spans="1:16" ht="36">
      <c r="A2465" s="83" t="s">
        <v>4575</v>
      </c>
      <c r="B2465" s="257" t="s">
        <v>29865</v>
      </c>
      <c r="C2465" s="258" t="s">
        <v>103</v>
      </c>
      <c r="D2465" s="79">
        <v>130.38</v>
      </c>
      <c r="F2465" s="79">
        <v>130.38</v>
      </c>
      <c r="G2465" s="81"/>
      <c r="N2465" s="240"/>
      <c r="O2465" s="241"/>
      <c r="P2465" s="213"/>
    </row>
    <row r="2466" spans="1:16" ht="24">
      <c r="A2466" s="83" t="s">
        <v>4576</v>
      </c>
      <c r="B2466" s="257" t="s">
        <v>29866</v>
      </c>
      <c r="C2466" s="258" t="s">
        <v>103</v>
      </c>
      <c r="D2466" s="79">
        <v>364.32</v>
      </c>
      <c r="F2466" s="79">
        <v>364.32</v>
      </c>
      <c r="G2466" s="81"/>
      <c r="N2466" s="240"/>
      <c r="O2466" s="241"/>
      <c r="P2466" s="213"/>
    </row>
    <row r="2467" spans="1:16" ht="24">
      <c r="A2467" s="275" t="s">
        <v>4577</v>
      </c>
      <c r="B2467" s="276" t="s">
        <v>39297</v>
      </c>
      <c r="C2467" s="277" t="s">
        <v>103</v>
      </c>
      <c r="D2467" s="79">
        <v>67.05</v>
      </c>
      <c r="E2467" s="242"/>
      <c r="F2467" s="519">
        <v>67.05</v>
      </c>
      <c r="G2467" s="242"/>
      <c r="H2467" s="242"/>
      <c r="I2467" s="242"/>
      <c r="J2467" s="242"/>
      <c r="K2467" s="242"/>
      <c r="L2467" s="242"/>
      <c r="M2467" s="242"/>
      <c r="N2467" s="242"/>
      <c r="O2467" s="242"/>
      <c r="P2467" s="242"/>
    </row>
    <row r="2468" spans="1:16" ht="24">
      <c r="A2468" s="275" t="s">
        <v>4578</v>
      </c>
      <c r="B2468" s="276" t="s">
        <v>39298</v>
      </c>
      <c r="C2468" s="277" t="s">
        <v>103</v>
      </c>
      <c r="D2468" s="79">
        <v>93.88</v>
      </c>
      <c r="E2468" s="242"/>
      <c r="F2468" s="519">
        <v>93.88</v>
      </c>
      <c r="G2468" s="242"/>
      <c r="H2468" s="242"/>
      <c r="I2468" s="242"/>
      <c r="J2468" s="242"/>
      <c r="K2468" s="242"/>
      <c r="L2468" s="242"/>
      <c r="M2468" s="242"/>
      <c r="N2468" s="242"/>
      <c r="O2468" s="242"/>
      <c r="P2468" s="242"/>
    </row>
    <row r="2469" spans="1:16" ht="36">
      <c r="A2469" s="256" t="s">
        <v>4579</v>
      </c>
      <c r="B2469" s="274" t="s">
        <v>4580</v>
      </c>
      <c r="C2469" s="262" t="s">
        <v>103</v>
      </c>
      <c r="D2469" s="79">
        <v>199.97</v>
      </c>
      <c r="F2469" s="522">
        <v>199.97</v>
      </c>
    </row>
    <row r="2470" spans="1:16" ht="36">
      <c r="A2470" s="261" t="s">
        <v>4581</v>
      </c>
      <c r="B2470" s="261" t="s">
        <v>4582</v>
      </c>
      <c r="C2470" s="266" t="s">
        <v>103</v>
      </c>
      <c r="D2470" s="79">
        <v>73.459999999999994</v>
      </c>
      <c r="F2470" s="518">
        <v>73.459999999999994</v>
      </c>
    </row>
    <row r="2471" spans="1:16" ht="24">
      <c r="A2471" s="83" t="s">
        <v>4583</v>
      </c>
      <c r="B2471" s="257" t="s">
        <v>4584</v>
      </c>
      <c r="C2471" s="258" t="s">
        <v>103</v>
      </c>
      <c r="D2471" s="79">
        <v>538.04999999999995</v>
      </c>
      <c r="F2471" s="79">
        <v>538.04999999999995</v>
      </c>
      <c r="G2471" s="81"/>
      <c r="N2471" s="240"/>
      <c r="O2471" s="241"/>
      <c r="P2471" s="213"/>
    </row>
    <row r="2472" spans="1:16" ht="12">
      <c r="A2472" s="83" t="s">
        <v>4585</v>
      </c>
      <c r="B2472" s="257" t="s">
        <v>4586</v>
      </c>
      <c r="C2472" s="258" t="s">
        <v>103</v>
      </c>
      <c r="D2472" s="79">
        <v>815.11</v>
      </c>
      <c r="F2472" s="79">
        <v>815.11</v>
      </c>
      <c r="G2472" s="81"/>
      <c r="N2472" s="240"/>
      <c r="O2472" s="241"/>
      <c r="P2472" s="213"/>
    </row>
    <row r="2473" spans="1:16" ht="24">
      <c r="A2473" s="83" t="s">
        <v>4587</v>
      </c>
      <c r="B2473" s="257" t="s">
        <v>4588</v>
      </c>
      <c r="C2473" s="258" t="s">
        <v>103</v>
      </c>
      <c r="D2473" s="79">
        <v>23300.2</v>
      </c>
      <c r="F2473" s="79">
        <v>23300.2</v>
      </c>
      <c r="G2473" s="81"/>
      <c r="N2473" s="240"/>
      <c r="O2473" s="241"/>
      <c r="P2473" s="213"/>
    </row>
    <row r="2474" spans="1:16" ht="24">
      <c r="A2474" s="83" t="s">
        <v>4589</v>
      </c>
      <c r="B2474" s="257" t="s">
        <v>29867</v>
      </c>
      <c r="C2474" s="258" t="s">
        <v>103</v>
      </c>
      <c r="D2474" s="79">
        <v>742.64</v>
      </c>
      <c r="F2474" s="79">
        <v>742.64</v>
      </c>
      <c r="G2474" s="81"/>
      <c r="N2474" s="240"/>
      <c r="O2474" s="241"/>
      <c r="P2474" s="213"/>
    </row>
    <row r="2475" spans="1:16" ht="24">
      <c r="A2475" s="83" t="s">
        <v>4590</v>
      </c>
      <c r="B2475" s="257" t="s">
        <v>4591</v>
      </c>
      <c r="C2475" s="258" t="s">
        <v>103</v>
      </c>
      <c r="D2475" s="79">
        <v>1629.49</v>
      </c>
      <c r="F2475" s="79">
        <v>1629.49</v>
      </c>
      <c r="G2475" s="81"/>
      <c r="N2475" s="240"/>
      <c r="O2475" s="241"/>
      <c r="P2475" s="213"/>
    </row>
    <row r="2476" spans="1:16" ht="36">
      <c r="A2476" s="83" t="s">
        <v>4592</v>
      </c>
      <c r="B2476" s="257" t="s">
        <v>4593</v>
      </c>
      <c r="C2476" s="258" t="s">
        <v>103</v>
      </c>
      <c r="D2476" s="79">
        <v>2571.31</v>
      </c>
      <c r="F2476" s="79">
        <v>2571.31</v>
      </c>
      <c r="G2476" s="81"/>
      <c r="N2476" s="240"/>
      <c r="O2476" s="241"/>
      <c r="P2476" s="213"/>
    </row>
    <row r="2477" spans="1:16" ht="36">
      <c r="A2477" s="83" t="s">
        <v>4594</v>
      </c>
      <c r="B2477" s="257" t="s">
        <v>4595</v>
      </c>
      <c r="C2477" s="258" t="s">
        <v>103</v>
      </c>
      <c r="D2477" s="79">
        <v>5823.01</v>
      </c>
      <c r="F2477" s="79">
        <v>5823.01</v>
      </c>
      <c r="G2477" s="81"/>
      <c r="N2477" s="240"/>
      <c r="O2477" s="241"/>
      <c r="P2477" s="213"/>
    </row>
    <row r="2478" spans="1:16" ht="24">
      <c r="A2478" s="83" t="s">
        <v>4596</v>
      </c>
      <c r="B2478" s="257" t="s">
        <v>4597</v>
      </c>
      <c r="C2478" s="258" t="s">
        <v>103</v>
      </c>
      <c r="D2478" s="79">
        <v>151.13999999999999</v>
      </c>
      <c r="F2478" s="79">
        <v>151.13999999999999</v>
      </c>
      <c r="G2478" s="81"/>
      <c r="N2478" s="240"/>
      <c r="O2478" s="241"/>
      <c r="P2478" s="213"/>
    </row>
    <row r="2479" spans="1:16" ht="24">
      <c r="A2479" s="63" t="s">
        <v>4598</v>
      </c>
      <c r="B2479" s="257" t="s">
        <v>28206</v>
      </c>
      <c r="C2479" s="258" t="s">
        <v>103</v>
      </c>
      <c r="D2479" s="79">
        <v>2795.94</v>
      </c>
      <c r="F2479" s="79">
        <v>2795.94</v>
      </c>
      <c r="G2479" s="81"/>
      <c r="N2479" s="61"/>
      <c r="O2479" s="241"/>
      <c r="P2479" s="213"/>
    </row>
    <row r="2480" spans="1:16" ht="12">
      <c r="A2480" s="63" t="s">
        <v>4600</v>
      </c>
      <c r="B2480" s="257" t="s">
        <v>4601</v>
      </c>
      <c r="C2480" s="258" t="s">
        <v>103</v>
      </c>
      <c r="D2480" s="79">
        <v>23.98</v>
      </c>
      <c r="F2480" s="79">
        <v>23.98</v>
      </c>
      <c r="G2480" s="81"/>
      <c r="N2480" s="61"/>
      <c r="O2480" s="241"/>
      <c r="P2480" s="213"/>
    </row>
    <row r="2481" spans="1:16" ht="24">
      <c r="A2481" s="63" t="s">
        <v>4602</v>
      </c>
      <c r="B2481" s="257" t="s">
        <v>28207</v>
      </c>
      <c r="C2481" s="258" t="s">
        <v>103</v>
      </c>
      <c r="D2481" s="79">
        <v>1480.48</v>
      </c>
      <c r="F2481" s="79">
        <v>1480.48</v>
      </c>
      <c r="G2481" s="81"/>
      <c r="N2481" s="61"/>
      <c r="O2481" s="241"/>
      <c r="P2481" s="213"/>
    </row>
    <row r="2482" spans="1:16" ht="24">
      <c r="A2482" s="63" t="s">
        <v>4603</v>
      </c>
      <c r="B2482" s="257" t="s">
        <v>28208</v>
      </c>
      <c r="C2482" s="258" t="s">
        <v>103</v>
      </c>
      <c r="D2482" s="79">
        <v>921.66</v>
      </c>
      <c r="F2482" s="79">
        <v>921.66</v>
      </c>
      <c r="G2482" s="81"/>
      <c r="N2482" s="61"/>
      <c r="O2482" s="241"/>
      <c r="P2482" s="213"/>
    </row>
    <row r="2483" spans="1:16" ht="12">
      <c r="A2483" s="63" t="s">
        <v>4605</v>
      </c>
      <c r="B2483" s="257" t="s">
        <v>4606</v>
      </c>
      <c r="C2483" s="258" t="s">
        <v>103</v>
      </c>
      <c r="D2483" s="79">
        <v>95.72</v>
      </c>
      <c r="F2483" s="79">
        <v>95.72</v>
      </c>
      <c r="G2483" s="81"/>
      <c r="N2483" s="61"/>
      <c r="O2483" s="241"/>
      <c r="P2483" s="213"/>
    </row>
    <row r="2484" spans="1:16" ht="12">
      <c r="A2484" s="63" t="s">
        <v>4607</v>
      </c>
      <c r="B2484" s="257" t="s">
        <v>4608</v>
      </c>
      <c r="C2484" s="258" t="s">
        <v>103</v>
      </c>
      <c r="D2484" s="79">
        <v>124.31</v>
      </c>
      <c r="F2484" s="79">
        <v>124.31</v>
      </c>
      <c r="G2484" s="81"/>
      <c r="N2484" s="61"/>
      <c r="O2484" s="241"/>
      <c r="P2484" s="213"/>
    </row>
    <row r="2485" spans="1:16" ht="12">
      <c r="A2485" s="63" t="s">
        <v>4609</v>
      </c>
      <c r="B2485" s="257" t="s">
        <v>4610</v>
      </c>
      <c r="C2485" s="258" t="s">
        <v>103</v>
      </c>
      <c r="D2485" s="79">
        <v>199.68</v>
      </c>
      <c r="F2485" s="79">
        <v>199.68</v>
      </c>
      <c r="G2485" s="81"/>
      <c r="N2485" s="61"/>
      <c r="O2485" s="241"/>
      <c r="P2485" s="213"/>
    </row>
    <row r="2486" spans="1:16" ht="12">
      <c r="A2486" s="63" t="s">
        <v>4611</v>
      </c>
      <c r="B2486" s="257" t="s">
        <v>4612</v>
      </c>
      <c r="C2486" s="258" t="s">
        <v>103</v>
      </c>
      <c r="D2486" s="79">
        <v>40.33</v>
      </c>
      <c r="F2486" s="79">
        <v>40.33</v>
      </c>
      <c r="G2486" s="81"/>
      <c r="N2486" s="61"/>
      <c r="O2486" s="241"/>
      <c r="P2486" s="213"/>
    </row>
    <row r="2487" spans="1:16" ht="24">
      <c r="A2487" s="63" t="s">
        <v>4613</v>
      </c>
      <c r="B2487" s="257" t="s">
        <v>4614</v>
      </c>
      <c r="C2487" s="258" t="s">
        <v>103</v>
      </c>
      <c r="D2487" s="79">
        <v>276.17</v>
      </c>
      <c r="F2487" s="79">
        <v>276.17</v>
      </c>
      <c r="G2487" s="81"/>
      <c r="N2487" s="61"/>
      <c r="O2487" s="241"/>
      <c r="P2487" s="213"/>
    </row>
    <row r="2488" spans="1:16" ht="12">
      <c r="A2488" s="63" t="s">
        <v>4615</v>
      </c>
      <c r="B2488" s="257" t="s">
        <v>4616</v>
      </c>
      <c r="C2488" s="258" t="s">
        <v>103</v>
      </c>
      <c r="D2488" s="79">
        <v>1315.39</v>
      </c>
      <c r="F2488" s="79">
        <v>1315.39</v>
      </c>
      <c r="G2488" s="81"/>
      <c r="N2488" s="61"/>
      <c r="O2488" s="241"/>
      <c r="P2488" s="213"/>
    </row>
    <row r="2489" spans="1:16" ht="24">
      <c r="A2489" s="63" t="s">
        <v>4617</v>
      </c>
      <c r="B2489" s="257" t="s">
        <v>4618</v>
      </c>
      <c r="C2489" s="258" t="s">
        <v>103</v>
      </c>
      <c r="D2489" s="79">
        <v>890.31</v>
      </c>
      <c r="F2489" s="79">
        <v>890.31</v>
      </c>
      <c r="G2489" s="81"/>
      <c r="N2489" s="61"/>
      <c r="O2489" s="241"/>
      <c r="P2489" s="213"/>
    </row>
    <row r="2490" spans="1:16" ht="24">
      <c r="A2490" s="63" t="s">
        <v>4619</v>
      </c>
      <c r="B2490" s="257" t="s">
        <v>4620</v>
      </c>
      <c r="C2490" s="258" t="s">
        <v>103</v>
      </c>
      <c r="D2490" s="79">
        <v>167.66</v>
      </c>
      <c r="F2490" s="79">
        <v>167.66</v>
      </c>
      <c r="G2490" s="81"/>
      <c r="N2490" s="61"/>
      <c r="O2490" s="241"/>
      <c r="P2490" s="213"/>
    </row>
    <row r="2491" spans="1:16" ht="24">
      <c r="A2491" s="63" t="s">
        <v>4621</v>
      </c>
      <c r="B2491" s="257" t="s">
        <v>4622</v>
      </c>
      <c r="C2491" s="258" t="s">
        <v>103</v>
      </c>
      <c r="D2491" s="79">
        <v>1139.52</v>
      </c>
      <c r="F2491" s="79">
        <v>1139.52</v>
      </c>
      <c r="G2491" s="81"/>
      <c r="N2491" s="61"/>
      <c r="O2491" s="241"/>
      <c r="P2491" s="213"/>
    </row>
    <row r="2492" spans="1:16" ht="36">
      <c r="A2492" s="63" t="s">
        <v>4623</v>
      </c>
      <c r="B2492" s="257" t="s">
        <v>4624</v>
      </c>
      <c r="C2492" s="258" t="s">
        <v>103</v>
      </c>
      <c r="D2492" s="79">
        <v>4305.57</v>
      </c>
      <c r="F2492" s="79">
        <v>4305.57</v>
      </c>
      <c r="G2492" s="81"/>
      <c r="N2492" s="61"/>
      <c r="O2492" s="241"/>
      <c r="P2492" s="213"/>
    </row>
    <row r="2493" spans="1:16" ht="24">
      <c r="A2493" s="63" t="s">
        <v>4625</v>
      </c>
      <c r="B2493" s="257" t="s">
        <v>4626</v>
      </c>
      <c r="C2493" s="258" t="s">
        <v>103</v>
      </c>
      <c r="D2493" s="79">
        <v>12315.55</v>
      </c>
      <c r="F2493" s="79">
        <v>12315.55</v>
      </c>
      <c r="G2493" s="81"/>
      <c r="N2493" s="61"/>
      <c r="O2493" s="241"/>
      <c r="P2493" s="213"/>
    </row>
    <row r="2494" spans="1:16" ht="24">
      <c r="A2494" s="63" t="s">
        <v>4627</v>
      </c>
      <c r="B2494" s="64" t="s">
        <v>39299</v>
      </c>
      <c r="C2494" s="258" t="s">
        <v>103</v>
      </c>
      <c r="D2494" s="79">
        <v>15117.18</v>
      </c>
      <c r="F2494" s="79">
        <v>15117.18</v>
      </c>
      <c r="G2494" s="81"/>
      <c r="N2494" s="61"/>
      <c r="O2494" s="241"/>
      <c r="P2494" s="213"/>
    </row>
    <row r="2495" spans="1:16" ht="12">
      <c r="A2495" s="63" t="s">
        <v>4628</v>
      </c>
      <c r="B2495" s="64" t="s">
        <v>4629</v>
      </c>
      <c r="C2495" s="258" t="s">
        <v>103</v>
      </c>
      <c r="D2495" s="79">
        <v>1098.93</v>
      </c>
      <c r="F2495" s="79">
        <v>1098.93</v>
      </c>
      <c r="G2495" s="81"/>
      <c r="N2495" s="61"/>
      <c r="O2495" s="241"/>
      <c r="P2495" s="213"/>
    </row>
    <row r="2496" spans="1:16" ht="12">
      <c r="A2496" s="63" t="s">
        <v>4630</v>
      </c>
      <c r="B2496" s="64" t="s">
        <v>4631</v>
      </c>
      <c r="C2496" s="258" t="s">
        <v>103</v>
      </c>
      <c r="D2496" s="79">
        <v>157.05000000000001</v>
      </c>
      <c r="F2496" s="79">
        <v>157.05000000000001</v>
      </c>
      <c r="G2496" s="81"/>
      <c r="N2496" s="61"/>
      <c r="O2496" s="241"/>
      <c r="P2496" s="213"/>
    </row>
    <row r="2497" spans="1:16" ht="24">
      <c r="A2497" s="63" t="s">
        <v>4632</v>
      </c>
      <c r="B2497" s="64" t="s">
        <v>4633</v>
      </c>
      <c r="C2497" s="258" t="s">
        <v>396</v>
      </c>
      <c r="D2497" s="79">
        <v>12607.32</v>
      </c>
      <c r="F2497" s="79">
        <v>12607.32</v>
      </c>
      <c r="G2497" s="81"/>
      <c r="N2497" s="61"/>
      <c r="O2497" s="241"/>
      <c r="P2497" s="213"/>
    </row>
    <row r="2498" spans="1:16" ht="24">
      <c r="A2498" s="63" t="s">
        <v>4634</v>
      </c>
      <c r="B2498" s="64" t="s">
        <v>4635</v>
      </c>
      <c r="C2498" s="258" t="s">
        <v>103</v>
      </c>
      <c r="D2498" s="79">
        <v>3858.45</v>
      </c>
      <c r="F2498" s="79">
        <v>3858.45</v>
      </c>
      <c r="G2498" s="81"/>
      <c r="N2498" s="61"/>
      <c r="O2498" s="241"/>
      <c r="P2498" s="213"/>
    </row>
    <row r="2499" spans="1:16" ht="24">
      <c r="A2499" s="63" t="s">
        <v>4636</v>
      </c>
      <c r="B2499" s="64" t="s">
        <v>4637</v>
      </c>
      <c r="C2499" s="258" t="s">
        <v>396</v>
      </c>
      <c r="D2499" s="79">
        <v>19057.63</v>
      </c>
      <c r="F2499" s="79">
        <v>19057.63</v>
      </c>
      <c r="G2499" s="81"/>
      <c r="N2499" s="61"/>
      <c r="O2499" s="241"/>
      <c r="P2499" s="213"/>
    </row>
    <row r="2500" spans="1:16" ht="24">
      <c r="A2500" s="278" t="s">
        <v>4638</v>
      </c>
      <c r="B2500" s="65" t="s">
        <v>42090</v>
      </c>
      <c r="C2500" s="258" t="s">
        <v>396</v>
      </c>
      <c r="D2500" s="79">
        <v>37367.410000000003</v>
      </c>
      <c r="F2500" s="79">
        <v>37367.410000000003</v>
      </c>
      <c r="G2500" s="81"/>
      <c r="N2500" s="244"/>
      <c r="O2500" s="241"/>
      <c r="P2500" s="213"/>
    </row>
    <row r="2501" spans="1:16" ht="24">
      <c r="A2501" s="256" t="s">
        <v>4639</v>
      </c>
      <c r="B2501" s="261" t="s">
        <v>4640</v>
      </c>
      <c r="C2501" s="262" t="s">
        <v>103</v>
      </c>
      <c r="D2501" s="79">
        <v>2454.6799999999998</v>
      </c>
      <c r="F2501" s="517">
        <v>2454.6799999999998</v>
      </c>
    </row>
    <row r="2502" spans="1:16" ht="24">
      <c r="A2502" s="278" t="s">
        <v>4641</v>
      </c>
      <c r="B2502" s="65" t="s">
        <v>4642</v>
      </c>
      <c r="C2502" s="258" t="s">
        <v>103</v>
      </c>
      <c r="D2502" s="79">
        <v>379.33</v>
      </c>
      <c r="F2502" s="79">
        <v>379.33</v>
      </c>
      <c r="G2502" s="81"/>
      <c r="N2502" s="244"/>
      <c r="O2502" s="241"/>
      <c r="P2502" s="213"/>
    </row>
    <row r="2503" spans="1:16" ht="24">
      <c r="A2503" s="278" t="s">
        <v>4643</v>
      </c>
      <c r="B2503" s="65" t="s">
        <v>28209</v>
      </c>
      <c r="C2503" s="258" t="s">
        <v>103</v>
      </c>
      <c r="D2503" s="79">
        <v>270.5</v>
      </c>
      <c r="F2503" s="79">
        <v>270.5</v>
      </c>
      <c r="G2503" s="81"/>
      <c r="N2503" s="244"/>
      <c r="O2503" s="241"/>
      <c r="P2503" s="213"/>
    </row>
    <row r="2504" spans="1:16" ht="12">
      <c r="A2504" s="278" t="s">
        <v>4645</v>
      </c>
      <c r="B2504" s="65" t="s">
        <v>4646</v>
      </c>
      <c r="C2504" s="258" t="s">
        <v>103</v>
      </c>
      <c r="D2504" s="79">
        <v>1766.1</v>
      </c>
      <c r="F2504" s="79">
        <v>1766.1</v>
      </c>
      <c r="G2504" s="81"/>
      <c r="N2504" s="244"/>
      <c r="O2504" s="241"/>
      <c r="P2504" s="213"/>
    </row>
    <row r="2505" spans="1:16" ht="12">
      <c r="A2505" s="278" t="s">
        <v>4647</v>
      </c>
      <c r="B2505" s="65" t="s">
        <v>39300</v>
      </c>
      <c r="C2505" s="258" t="s">
        <v>103</v>
      </c>
      <c r="D2505" s="79">
        <v>367.59</v>
      </c>
      <c r="F2505" s="79">
        <v>367.59</v>
      </c>
      <c r="G2505" s="81"/>
      <c r="N2505" s="244"/>
      <c r="O2505" s="241"/>
      <c r="P2505" s="213"/>
    </row>
    <row r="2506" spans="1:16" ht="12">
      <c r="A2506" s="278" t="s">
        <v>4648</v>
      </c>
      <c r="B2506" s="65" t="s">
        <v>4649</v>
      </c>
      <c r="C2506" s="258" t="s">
        <v>103</v>
      </c>
      <c r="D2506" s="79">
        <v>1801.74</v>
      </c>
      <c r="F2506" s="79">
        <v>1801.74</v>
      </c>
      <c r="G2506" s="81"/>
      <c r="N2506" s="244"/>
      <c r="O2506" s="241"/>
      <c r="P2506" s="213"/>
    </row>
    <row r="2507" spans="1:16" ht="12">
      <c r="A2507" s="278" t="s">
        <v>4650</v>
      </c>
      <c r="B2507" s="65" t="s">
        <v>4651</v>
      </c>
      <c r="C2507" s="258" t="s">
        <v>103</v>
      </c>
      <c r="D2507" s="79">
        <v>4849.8599999999997</v>
      </c>
      <c r="F2507" s="79">
        <v>4849.8599999999997</v>
      </c>
      <c r="G2507" s="81"/>
      <c r="N2507" s="244"/>
      <c r="O2507" s="241"/>
      <c r="P2507" s="213"/>
    </row>
    <row r="2508" spans="1:16" ht="12">
      <c r="A2508" s="278" t="s">
        <v>4652</v>
      </c>
      <c r="B2508" s="65" t="s">
        <v>4653</v>
      </c>
      <c r="C2508" s="258" t="s">
        <v>103</v>
      </c>
      <c r="D2508" s="79">
        <v>3192.43</v>
      </c>
      <c r="F2508" s="79">
        <v>3192.43</v>
      </c>
      <c r="G2508" s="81"/>
      <c r="N2508" s="244"/>
      <c r="O2508" s="241"/>
      <c r="P2508" s="213"/>
    </row>
    <row r="2509" spans="1:16" ht="12">
      <c r="A2509" s="278" t="s">
        <v>4654</v>
      </c>
      <c r="B2509" s="65" t="s">
        <v>4655</v>
      </c>
      <c r="C2509" s="258" t="s">
        <v>103</v>
      </c>
      <c r="D2509" s="79">
        <v>953.75</v>
      </c>
      <c r="F2509" s="79">
        <v>953.75</v>
      </c>
      <c r="G2509" s="81"/>
      <c r="N2509" s="244"/>
      <c r="O2509" s="241"/>
      <c r="P2509" s="213"/>
    </row>
    <row r="2510" spans="1:16" ht="12">
      <c r="A2510" s="278" t="s">
        <v>4656</v>
      </c>
      <c r="B2510" s="65" t="s">
        <v>4657</v>
      </c>
      <c r="C2510" s="258" t="s">
        <v>103</v>
      </c>
      <c r="D2510" s="79">
        <v>3091.46</v>
      </c>
      <c r="F2510" s="79">
        <v>3091.46</v>
      </c>
      <c r="G2510" s="81"/>
      <c r="N2510" s="244"/>
      <c r="O2510" s="241"/>
      <c r="P2510" s="213"/>
    </row>
    <row r="2511" spans="1:16" ht="24">
      <c r="A2511" s="278" t="s">
        <v>4658</v>
      </c>
      <c r="B2511" s="65" t="s">
        <v>4659</v>
      </c>
      <c r="C2511" s="258" t="s">
        <v>103</v>
      </c>
      <c r="D2511" s="79">
        <v>74.28</v>
      </c>
      <c r="F2511" s="79">
        <v>74.28</v>
      </c>
      <c r="G2511" s="81"/>
      <c r="N2511" s="244"/>
      <c r="O2511" s="241"/>
      <c r="P2511" s="213"/>
    </row>
    <row r="2512" spans="1:16" ht="24">
      <c r="A2512" s="278" t="s">
        <v>4660</v>
      </c>
      <c r="B2512" s="65" t="s">
        <v>4661</v>
      </c>
      <c r="C2512" s="258" t="s">
        <v>103</v>
      </c>
      <c r="D2512" s="79">
        <v>1019.18</v>
      </c>
      <c r="F2512" s="79">
        <v>1019.18</v>
      </c>
      <c r="G2512" s="81"/>
      <c r="N2512" s="244"/>
      <c r="O2512" s="241"/>
      <c r="P2512" s="213"/>
    </row>
    <row r="2513" spans="1:16" ht="24">
      <c r="A2513" s="278" t="s">
        <v>4662</v>
      </c>
      <c r="B2513" s="65" t="s">
        <v>4663</v>
      </c>
      <c r="C2513" s="258" t="s">
        <v>103</v>
      </c>
      <c r="D2513" s="79">
        <v>1885.24</v>
      </c>
      <c r="F2513" s="79">
        <v>1885.24</v>
      </c>
      <c r="G2513" s="81"/>
      <c r="N2513" s="244"/>
      <c r="O2513" s="241"/>
      <c r="P2513" s="213"/>
    </row>
    <row r="2514" spans="1:16" ht="24">
      <c r="A2514" s="256" t="s">
        <v>4664</v>
      </c>
      <c r="B2514" s="261" t="s">
        <v>4665</v>
      </c>
      <c r="C2514" s="262" t="s">
        <v>103</v>
      </c>
      <c r="D2514" s="79">
        <v>439.9</v>
      </c>
      <c r="F2514" s="517">
        <v>439.9</v>
      </c>
    </row>
    <row r="2515" spans="1:16" ht="24">
      <c r="A2515" s="256" t="s">
        <v>4666</v>
      </c>
      <c r="B2515" s="261" t="s">
        <v>4667</v>
      </c>
      <c r="C2515" s="262" t="s">
        <v>103</v>
      </c>
      <c r="D2515" s="79">
        <v>85.28</v>
      </c>
      <c r="F2515" s="517">
        <v>85.28</v>
      </c>
    </row>
    <row r="2516" spans="1:16" ht="24">
      <c r="A2516" s="275" t="s">
        <v>4668</v>
      </c>
      <c r="B2516" s="276" t="s">
        <v>4669</v>
      </c>
      <c r="C2516" s="277" t="s">
        <v>103</v>
      </c>
      <c r="D2516" s="79">
        <v>1091.95</v>
      </c>
      <c r="E2516" s="242"/>
      <c r="F2516" s="519">
        <v>1091.95</v>
      </c>
      <c r="G2516" s="242"/>
      <c r="H2516" s="242"/>
      <c r="I2516" s="242"/>
      <c r="J2516" s="242"/>
      <c r="K2516" s="242"/>
      <c r="L2516" s="242"/>
      <c r="M2516" s="242"/>
      <c r="N2516" s="242"/>
      <c r="O2516" s="242"/>
      <c r="P2516" s="242"/>
    </row>
    <row r="2517" spans="1:16" ht="24">
      <c r="A2517" s="278" t="s">
        <v>4670</v>
      </c>
      <c r="B2517" s="65" t="s">
        <v>4671</v>
      </c>
      <c r="C2517" s="258" t="s">
        <v>396</v>
      </c>
      <c r="D2517" s="79">
        <v>3521.95</v>
      </c>
      <c r="F2517" s="79">
        <v>3521.95</v>
      </c>
      <c r="G2517" s="81"/>
      <c r="N2517" s="244"/>
      <c r="O2517" s="241"/>
      <c r="P2517" s="213"/>
    </row>
    <row r="2518" spans="1:16" ht="12">
      <c r="A2518" s="278" t="s">
        <v>4672</v>
      </c>
      <c r="B2518" s="65" t="s">
        <v>4673</v>
      </c>
      <c r="C2518" s="258" t="s">
        <v>103</v>
      </c>
      <c r="D2518" s="79">
        <v>2047.72</v>
      </c>
      <c r="F2518" s="79">
        <v>2047.72</v>
      </c>
      <c r="G2518" s="81"/>
      <c r="N2518" s="244"/>
      <c r="O2518" s="241"/>
      <c r="P2518" s="213"/>
    </row>
    <row r="2519" spans="1:16" ht="24">
      <c r="A2519" s="278" t="s">
        <v>4674</v>
      </c>
      <c r="B2519" s="65" t="s">
        <v>4675</v>
      </c>
      <c r="C2519" s="258" t="s">
        <v>396</v>
      </c>
      <c r="D2519" s="79">
        <v>1772.49</v>
      </c>
      <c r="F2519" s="79">
        <v>1772.49</v>
      </c>
      <c r="G2519" s="81"/>
      <c r="N2519" s="244"/>
      <c r="O2519" s="241"/>
      <c r="P2519" s="213"/>
    </row>
    <row r="2520" spans="1:16" ht="12">
      <c r="A2520" s="83" t="s">
        <v>4676</v>
      </c>
      <c r="B2520" s="257" t="s">
        <v>29868</v>
      </c>
      <c r="C2520" s="258" t="s">
        <v>396</v>
      </c>
      <c r="D2520" s="79">
        <v>213.99</v>
      </c>
      <c r="F2520" s="79">
        <v>213.99</v>
      </c>
      <c r="G2520" s="81"/>
      <c r="N2520" s="240"/>
      <c r="O2520" s="241"/>
      <c r="P2520" s="213"/>
    </row>
    <row r="2521" spans="1:16" ht="24">
      <c r="A2521" s="83" t="s">
        <v>4677</v>
      </c>
      <c r="B2521" s="257" t="s">
        <v>4678</v>
      </c>
      <c r="C2521" s="258" t="s">
        <v>396</v>
      </c>
      <c r="D2521" s="79">
        <v>6208.89</v>
      </c>
      <c r="F2521" s="79">
        <v>6208.89</v>
      </c>
      <c r="G2521" s="81"/>
      <c r="N2521" s="240"/>
      <c r="O2521" s="241"/>
      <c r="P2521" s="213"/>
    </row>
    <row r="2522" spans="1:16" ht="24">
      <c r="A2522" s="83" t="s">
        <v>4679</v>
      </c>
      <c r="B2522" s="257" t="s">
        <v>4680</v>
      </c>
      <c r="C2522" s="258" t="s">
        <v>396</v>
      </c>
      <c r="D2522" s="79">
        <v>2138.9499999999998</v>
      </c>
      <c r="F2522" s="79">
        <v>2138.9499999999998</v>
      </c>
      <c r="G2522" s="81"/>
      <c r="N2522" s="240"/>
      <c r="O2522" s="241"/>
      <c r="P2522" s="213"/>
    </row>
    <row r="2523" spans="1:16" ht="36">
      <c r="A2523" s="83" t="s">
        <v>4681</v>
      </c>
      <c r="B2523" s="257" t="s">
        <v>4682</v>
      </c>
      <c r="C2523" s="258" t="s">
        <v>396</v>
      </c>
      <c r="D2523" s="79">
        <v>300.11</v>
      </c>
      <c r="F2523" s="79">
        <v>300.11</v>
      </c>
      <c r="G2523" s="81"/>
      <c r="N2523" s="240"/>
      <c r="O2523" s="241"/>
      <c r="P2523" s="213"/>
    </row>
    <row r="2524" spans="1:16" ht="36">
      <c r="A2524" s="83" t="s">
        <v>4683</v>
      </c>
      <c r="B2524" s="257" t="s">
        <v>4684</v>
      </c>
      <c r="C2524" s="258" t="s">
        <v>396</v>
      </c>
      <c r="D2524" s="79">
        <v>666.3</v>
      </c>
      <c r="F2524" s="79">
        <v>666.3</v>
      </c>
      <c r="G2524" s="81"/>
      <c r="N2524" s="240"/>
      <c r="O2524" s="241"/>
      <c r="P2524" s="213"/>
    </row>
    <row r="2525" spans="1:16" ht="24">
      <c r="A2525" s="83" t="s">
        <v>4685</v>
      </c>
      <c r="B2525" s="257" t="s">
        <v>39301</v>
      </c>
      <c r="C2525" s="258" t="s">
        <v>103</v>
      </c>
      <c r="D2525" s="79">
        <v>40691.040000000001</v>
      </c>
      <c r="F2525" s="79">
        <v>40691.040000000001</v>
      </c>
      <c r="G2525" s="81"/>
      <c r="N2525" s="240"/>
      <c r="O2525" s="241"/>
      <c r="P2525" s="213"/>
    </row>
    <row r="2526" spans="1:16" ht="24">
      <c r="A2526" s="83" t="s">
        <v>4686</v>
      </c>
      <c r="B2526" s="64" t="s">
        <v>4687</v>
      </c>
      <c r="C2526" s="258" t="s">
        <v>103</v>
      </c>
      <c r="D2526" s="79">
        <v>5676.68</v>
      </c>
      <c r="F2526" s="79">
        <v>5676.68</v>
      </c>
      <c r="G2526" s="81"/>
      <c r="N2526" s="240"/>
      <c r="O2526" s="241"/>
      <c r="P2526" s="213"/>
    </row>
    <row r="2527" spans="1:16" ht="12">
      <c r="A2527" s="83" t="s">
        <v>4688</v>
      </c>
      <c r="B2527" s="64" t="s">
        <v>4689</v>
      </c>
      <c r="C2527" s="258" t="s">
        <v>103</v>
      </c>
      <c r="D2527" s="79">
        <v>2888.26</v>
      </c>
      <c r="F2527" s="79">
        <v>2888.26</v>
      </c>
      <c r="G2527" s="81"/>
      <c r="N2527" s="240"/>
      <c r="O2527" s="241"/>
      <c r="P2527" s="213"/>
    </row>
    <row r="2528" spans="1:16" ht="12">
      <c r="A2528" s="83" t="s">
        <v>4690</v>
      </c>
      <c r="B2528" s="64" t="s">
        <v>4691</v>
      </c>
      <c r="C2528" s="258" t="s">
        <v>103</v>
      </c>
      <c r="D2528" s="79">
        <v>4359.1000000000004</v>
      </c>
      <c r="F2528" s="79">
        <v>4359.1000000000004</v>
      </c>
      <c r="G2528" s="81"/>
      <c r="N2528" s="240"/>
      <c r="O2528" s="241"/>
      <c r="P2528" s="213"/>
    </row>
    <row r="2529" spans="1:16" ht="24">
      <c r="A2529" s="83" t="s">
        <v>4692</v>
      </c>
      <c r="B2529" s="257" t="s">
        <v>39302</v>
      </c>
      <c r="C2529" s="258" t="s">
        <v>103</v>
      </c>
      <c r="D2529" s="79">
        <v>9087</v>
      </c>
      <c r="F2529" s="79">
        <v>9087</v>
      </c>
      <c r="G2529" s="81"/>
      <c r="N2529" s="240"/>
      <c r="O2529" s="241"/>
      <c r="P2529" s="213"/>
    </row>
    <row r="2530" spans="1:16" ht="12">
      <c r="A2530" s="83" t="s">
        <v>4693</v>
      </c>
      <c r="B2530" s="257" t="s">
        <v>4694</v>
      </c>
      <c r="C2530" s="258" t="s">
        <v>103</v>
      </c>
      <c r="D2530" s="79">
        <v>457.28</v>
      </c>
      <c r="F2530" s="79">
        <v>457.28</v>
      </c>
      <c r="G2530" s="81"/>
      <c r="N2530" s="240"/>
      <c r="O2530" s="241"/>
      <c r="P2530" s="213"/>
    </row>
    <row r="2531" spans="1:16" ht="12">
      <c r="A2531" s="83" t="s">
        <v>4695</v>
      </c>
      <c r="B2531" s="257" t="s">
        <v>4696</v>
      </c>
      <c r="C2531" s="258" t="s">
        <v>103</v>
      </c>
      <c r="D2531" s="79">
        <v>188.26</v>
      </c>
      <c r="F2531" s="79">
        <v>188.26</v>
      </c>
      <c r="G2531" s="81"/>
      <c r="N2531" s="240"/>
      <c r="O2531" s="241"/>
      <c r="P2531" s="213"/>
    </row>
    <row r="2532" spans="1:16" ht="24">
      <c r="A2532" s="83" t="s">
        <v>39330</v>
      </c>
      <c r="B2532" s="257" t="s">
        <v>41608</v>
      </c>
      <c r="C2532" s="258" t="s">
        <v>103</v>
      </c>
      <c r="D2532" s="79">
        <v>732.67</v>
      </c>
      <c r="F2532" s="79">
        <v>732.67</v>
      </c>
      <c r="G2532" s="81"/>
      <c r="N2532" s="240"/>
      <c r="O2532" s="241"/>
      <c r="P2532" s="213"/>
    </row>
    <row r="2533" spans="1:16" ht="24">
      <c r="A2533" s="83" t="s">
        <v>4697</v>
      </c>
      <c r="B2533" s="257" t="s">
        <v>4698</v>
      </c>
      <c r="C2533" s="258" t="s">
        <v>103</v>
      </c>
      <c r="D2533" s="79">
        <v>19.010000000000002</v>
      </c>
      <c r="F2533" s="79">
        <v>19.010000000000002</v>
      </c>
      <c r="G2533" s="81"/>
      <c r="N2533" s="240"/>
      <c r="O2533" s="241"/>
      <c r="P2533" s="213"/>
    </row>
    <row r="2534" spans="1:16" ht="12">
      <c r="A2534" s="83" t="s">
        <v>4699</v>
      </c>
      <c r="B2534" s="257" t="s">
        <v>4700</v>
      </c>
      <c r="C2534" s="258" t="s">
        <v>103</v>
      </c>
      <c r="D2534" s="79">
        <v>10.56</v>
      </c>
      <c r="F2534" s="79">
        <v>10.56</v>
      </c>
      <c r="G2534" s="81"/>
      <c r="N2534" s="240"/>
      <c r="O2534" s="241"/>
      <c r="P2534" s="213"/>
    </row>
    <row r="2535" spans="1:16" ht="12">
      <c r="A2535" s="83" t="s">
        <v>4701</v>
      </c>
      <c r="B2535" s="257" t="s">
        <v>4702</v>
      </c>
      <c r="C2535" s="258" t="s">
        <v>103</v>
      </c>
      <c r="D2535" s="79">
        <v>11.61</v>
      </c>
      <c r="F2535" s="79">
        <v>11.61</v>
      </c>
      <c r="G2535" s="81"/>
      <c r="N2535" s="240"/>
      <c r="O2535" s="241"/>
      <c r="P2535" s="213"/>
    </row>
    <row r="2536" spans="1:16" ht="24">
      <c r="A2536" s="83" t="s">
        <v>4703</v>
      </c>
      <c r="B2536" s="257" t="s">
        <v>28210</v>
      </c>
      <c r="C2536" s="258" t="s">
        <v>103</v>
      </c>
      <c r="D2536" s="79">
        <v>559.25</v>
      </c>
      <c r="F2536" s="79">
        <v>559.25</v>
      </c>
      <c r="G2536" s="81"/>
      <c r="N2536" s="240"/>
      <c r="O2536" s="241"/>
      <c r="P2536" s="213"/>
    </row>
    <row r="2537" spans="1:16" ht="24">
      <c r="A2537" s="261" t="s">
        <v>4704</v>
      </c>
      <c r="B2537" s="261" t="s">
        <v>4705</v>
      </c>
      <c r="C2537" s="266" t="s">
        <v>103</v>
      </c>
      <c r="D2537" s="79">
        <v>866.68</v>
      </c>
      <c r="F2537" s="518">
        <v>866.68</v>
      </c>
    </row>
    <row r="2538" spans="1:16" ht="24">
      <c r="A2538" s="275" t="s">
        <v>4706</v>
      </c>
      <c r="B2538" s="276" t="s">
        <v>42091</v>
      </c>
      <c r="C2538" s="277" t="s">
        <v>103</v>
      </c>
      <c r="D2538" s="79">
        <v>10.93</v>
      </c>
      <c r="E2538" s="242"/>
      <c r="F2538" s="519">
        <v>10.93</v>
      </c>
      <c r="G2538" s="242"/>
      <c r="H2538" s="242"/>
      <c r="I2538" s="242"/>
      <c r="J2538" s="242"/>
      <c r="K2538" s="242"/>
      <c r="L2538" s="242"/>
      <c r="M2538" s="242"/>
      <c r="N2538" s="242"/>
      <c r="O2538" s="242"/>
      <c r="P2538" s="242"/>
    </row>
    <row r="2539" spans="1:16" ht="12">
      <c r="A2539" s="83" t="s">
        <v>4707</v>
      </c>
      <c r="B2539" s="257" t="s">
        <v>4708</v>
      </c>
      <c r="C2539" s="258" t="s">
        <v>103</v>
      </c>
      <c r="D2539" s="79">
        <v>226.61</v>
      </c>
      <c r="F2539" s="79">
        <v>226.61</v>
      </c>
      <c r="G2539" s="81"/>
      <c r="N2539" s="240"/>
      <c r="O2539" s="241"/>
      <c r="P2539" s="213"/>
    </row>
    <row r="2540" spans="1:16" ht="24">
      <c r="A2540" s="83" t="s">
        <v>4709</v>
      </c>
      <c r="B2540" s="257" t="s">
        <v>4710</v>
      </c>
      <c r="C2540" s="258" t="s">
        <v>103</v>
      </c>
      <c r="D2540" s="79">
        <v>534.57000000000005</v>
      </c>
      <c r="F2540" s="79">
        <v>534.57000000000005</v>
      </c>
      <c r="G2540" s="81"/>
      <c r="N2540" s="240"/>
      <c r="O2540" s="241"/>
      <c r="P2540" s="213"/>
    </row>
    <row r="2541" spans="1:16" ht="24">
      <c r="A2541" s="83" t="s">
        <v>4711</v>
      </c>
      <c r="B2541" s="257" t="s">
        <v>4712</v>
      </c>
      <c r="C2541" s="258" t="s">
        <v>103</v>
      </c>
      <c r="D2541" s="79">
        <v>98.22</v>
      </c>
      <c r="F2541" s="79">
        <v>98.22</v>
      </c>
      <c r="G2541" s="81"/>
      <c r="N2541" s="240"/>
      <c r="O2541" s="241"/>
      <c r="P2541" s="213"/>
    </row>
    <row r="2542" spans="1:16" ht="12">
      <c r="A2542" s="273" t="s">
        <v>4713</v>
      </c>
      <c r="B2542" s="65" t="s">
        <v>4714</v>
      </c>
      <c r="C2542" s="71" t="s">
        <v>103</v>
      </c>
      <c r="D2542" s="79">
        <v>950.67</v>
      </c>
      <c r="F2542" s="79">
        <v>950.67</v>
      </c>
      <c r="G2542" s="81"/>
      <c r="N2542" s="243"/>
      <c r="O2542" s="241"/>
      <c r="P2542" s="213"/>
    </row>
    <row r="2543" spans="1:16" ht="12">
      <c r="A2543" s="83" t="s">
        <v>4715</v>
      </c>
      <c r="B2543" s="257" t="s">
        <v>4716</v>
      </c>
      <c r="C2543" s="258" t="s">
        <v>103</v>
      </c>
      <c r="D2543" s="79">
        <v>21683.439999999999</v>
      </c>
      <c r="F2543" s="79">
        <v>21683.439999999999</v>
      </c>
      <c r="G2543" s="81"/>
      <c r="N2543" s="240"/>
      <c r="O2543" s="241"/>
      <c r="P2543" s="213"/>
    </row>
    <row r="2544" spans="1:16" ht="12">
      <c r="A2544" s="83" t="s">
        <v>4717</v>
      </c>
      <c r="B2544" s="257" t="s">
        <v>4718</v>
      </c>
      <c r="C2544" s="258" t="s">
        <v>103</v>
      </c>
      <c r="D2544" s="79">
        <v>6153.05</v>
      </c>
      <c r="F2544" s="79">
        <v>6153.05</v>
      </c>
      <c r="G2544" s="81"/>
      <c r="N2544" s="240"/>
      <c r="O2544" s="241"/>
      <c r="P2544" s="213"/>
    </row>
    <row r="2545" spans="1:16" ht="12">
      <c r="A2545" s="83" t="s">
        <v>4719</v>
      </c>
      <c r="B2545" s="257" t="s">
        <v>4720</v>
      </c>
      <c r="C2545" s="258" t="s">
        <v>103</v>
      </c>
      <c r="D2545" s="79">
        <v>38203.360000000001</v>
      </c>
      <c r="F2545" s="79">
        <v>38203.360000000001</v>
      </c>
      <c r="G2545" s="81"/>
      <c r="N2545" s="240"/>
      <c r="O2545" s="241"/>
      <c r="P2545" s="213"/>
    </row>
    <row r="2546" spans="1:16" ht="12">
      <c r="A2546" s="83" t="s">
        <v>4721</v>
      </c>
      <c r="B2546" s="257" t="s">
        <v>4722</v>
      </c>
      <c r="C2546" s="258" t="s">
        <v>103</v>
      </c>
      <c r="D2546" s="79">
        <v>46162.89</v>
      </c>
      <c r="F2546" s="79">
        <v>46162.89</v>
      </c>
      <c r="G2546" s="81"/>
      <c r="N2546" s="240"/>
      <c r="O2546" s="241"/>
      <c r="P2546" s="213"/>
    </row>
    <row r="2547" spans="1:16" ht="12">
      <c r="A2547" s="83" t="s">
        <v>4723</v>
      </c>
      <c r="B2547" s="257" t="s">
        <v>4724</v>
      </c>
      <c r="C2547" s="258" t="s">
        <v>103</v>
      </c>
      <c r="D2547" s="79">
        <v>48403.85</v>
      </c>
      <c r="F2547" s="79">
        <v>48403.85</v>
      </c>
      <c r="G2547" s="81"/>
      <c r="N2547" s="240"/>
      <c r="O2547" s="241"/>
      <c r="P2547" s="213"/>
    </row>
    <row r="2548" spans="1:16" ht="12">
      <c r="A2548" s="83" t="s">
        <v>4725</v>
      </c>
      <c r="B2548" s="257" t="s">
        <v>4726</v>
      </c>
      <c r="C2548" s="258" t="s">
        <v>103</v>
      </c>
      <c r="D2548" s="79">
        <v>14871.02</v>
      </c>
      <c r="F2548" s="79">
        <v>14871.02</v>
      </c>
      <c r="G2548" s="81"/>
      <c r="N2548" s="240"/>
      <c r="O2548" s="241"/>
      <c r="P2548" s="213"/>
    </row>
    <row r="2549" spans="1:16" ht="24">
      <c r="A2549" s="83" t="s">
        <v>4727</v>
      </c>
      <c r="B2549" s="257" t="s">
        <v>4728</v>
      </c>
      <c r="C2549" s="258" t="s">
        <v>103</v>
      </c>
      <c r="D2549" s="79">
        <v>995.94</v>
      </c>
      <c r="F2549" s="79">
        <v>995.94</v>
      </c>
      <c r="G2549" s="81"/>
      <c r="N2549" s="240"/>
      <c r="O2549" s="241"/>
      <c r="P2549" s="213"/>
    </row>
    <row r="2550" spans="1:16" ht="12">
      <c r="A2550" s="83" t="s">
        <v>4729</v>
      </c>
      <c r="B2550" s="257" t="s">
        <v>4730</v>
      </c>
      <c r="C2550" s="258" t="s">
        <v>103</v>
      </c>
      <c r="D2550" s="79">
        <v>39076.199999999997</v>
      </c>
      <c r="F2550" s="79">
        <v>39076.199999999997</v>
      </c>
      <c r="G2550" s="81"/>
      <c r="N2550" s="240"/>
      <c r="O2550" s="241"/>
      <c r="P2550" s="213"/>
    </row>
    <row r="2551" spans="1:16" ht="12">
      <c r="A2551" s="83" t="s">
        <v>4731</v>
      </c>
      <c r="B2551" s="257" t="s">
        <v>4732</v>
      </c>
      <c r="C2551" s="258" t="s">
        <v>103</v>
      </c>
      <c r="D2551" s="79">
        <v>44363.75</v>
      </c>
      <c r="F2551" s="79">
        <v>44363.75</v>
      </c>
      <c r="G2551" s="81"/>
      <c r="N2551" s="240"/>
      <c r="O2551" s="241"/>
      <c r="P2551" s="213"/>
    </row>
    <row r="2552" spans="1:16" ht="12">
      <c r="A2552" s="83" t="s">
        <v>4733</v>
      </c>
      <c r="B2552" s="257" t="s">
        <v>4734</v>
      </c>
      <c r="C2552" s="258" t="s">
        <v>103</v>
      </c>
      <c r="D2552" s="79">
        <v>57496.45</v>
      </c>
      <c r="F2552" s="79">
        <v>57496.45</v>
      </c>
      <c r="G2552" s="81"/>
      <c r="N2552" s="240"/>
      <c r="O2552" s="241"/>
      <c r="P2552" s="213"/>
    </row>
    <row r="2553" spans="1:16" ht="12">
      <c r="A2553" s="83" t="s">
        <v>4735</v>
      </c>
      <c r="B2553" s="257" t="s">
        <v>4736</v>
      </c>
      <c r="C2553" s="258" t="s">
        <v>103</v>
      </c>
      <c r="D2553" s="79">
        <v>124615.16</v>
      </c>
      <c r="F2553" s="79">
        <v>124615.16</v>
      </c>
      <c r="G2553" s="81"/>
      <c r="N2553" s="240"/>
      <c r="O2553" s="241"/>
      <c r="P2553" s="213"/>
    </row>
    <row r="2554" spans="1:16" ht="12">
      <c r="A2554" s="83" t="s">
        <v>4737</v>
      </c>
      <c r="B2554" s="257" t="s">
        <v>4738</v>
      </c>
      <c r="C2554" s="258" t="s">
        <v>103</v>
      </c>
      <c r="D2554" s="79">
        <v>144964.48000000001</v>
      </c>
      <c r="F2554" s="79">
        <v>144964.48000000001</v>
      </c>
      <c r="G2554" s="81"/>
      <c r="N2554" s="240"/>
      <c r="O2554" s="241"/>
      <c r="P2554" s="213"/>
    </row>
    <row r="2555" spans="1:16" ht="24">
      <c r="A2555" s="83" t="s">
        <v>4739</v>
      </c>
      <c r="B2555" s="257" t="s">
        <v>4740</v>
      </c>
      <c r="C2555" s="258" t="s">
        <v>103</v>
      </c>
      <c r="D2555" s="79">
        <v>51839</v>
      </c>
      <c r="F2555" s="79">
        <v>51839</v>
      </c>
      <c r="G2555" s="81"/>
      <c r="N2555" s="240"/>
      <c r="O2555" s="241"/>
      <c r="P2555" s="213"/>
    </row>
    <row r="2556" spans="1:16" ht="12">
      <c r="A2556" s="83" t="s">
        <v>4741</v>
      </c>
      <c r="B2556" s="257" t="s">
        <v>4742</v>
      </c>
      <c r="C2556" s="258" t="s">
        <v>103</v>
      </c>
      <c r="D2556" s="79">
        <v>66861.98</v>
      </c>
      <c r="F2556" s="79">
        <v>66861.98</v>
      </c>
      <c r="G2556" s="81"/>
      <c r="N2556" s="240"/>
      <c r="O2556" s="241"/>
      <c r="P2556" s="213"/>
    </row>
    <row r="2557" spans="1:16" ht="24">
      <c r="A2557" s="83" t="s">
        <v>4743</v>
      </c>
      <c r="B2557" s="257" t="s">
        <v>4744</v>
      </c>
      <c r="C2557" s="258" t="s">
        <v>103</v>
      </c>
      <c r="D2557" s="79">
        <v>31050.36</v>
      </c>
      <c r="F2557" s="79">
        <v>31050.36</v>
      </c>
      <c r="G2557" s="81"/>
      <c r="N2557" s="240"/>
      <c r="O2557" s="241"/>
      <c r="P2557" s="213"/>
    </row>
    <row r="2558" spans="1:16" ht="24">
      <c r="A2558" s="83" t="s">
        <v>4745</v>
      </c>
      <c r="B2558" s="257" t="s">
        <v>4746</v>
      </c>
      <c r="C2558" s="258" t="s">
        <v>103</v>
      </c>
      <c r="D2558" s="79">
        <v>36605.440000000002</v>
      </c>
      <c r="F2558" s="79">
        <v>36605.440000000002</v>
      </c>
      <c r="G2558" s="81"/>
      <c r="N2558" s="240"/>
      <c r="O2558" s="241"/>
      <c r="P2558" s="213"/>
    </row>
    <row r="2559" spans="1:16" ht="24">
      <c r="A2559" s="83" t="s">
        <v>4747</v>
      </c>
      <c r="B2559" s="257" t="s">
        <v>4748</v>
      </c>
      <c r="C2559" s="258" t="s">
        <v>103</v>
      </c>
      <c r="D2559" s="79">
        <v>43030.7</v>
      </c>
      <c r="F2559" s="79">
        <v>43030.7</v>
      </c>
      <c r="G2559" s="81"/>
      <c r="N2559" s="240"/>
      <c r="O2559" s="241"/>
      <c r="P2559" s="213"/>
    </row>
    <row r="2560" spans="1:16" ht="36">
      <c r="A2560" s="256" t="s">
        <v>4749</v>
      </c>
      <c r="B2560" s="274" t="s">
        <v>4750</v>
      </c>
      <c r="C2560" s="262" t="s">
        <v>103</v>
      </c>
      <c r="D2560" s="79">
        <v>97863.27</v>
      </c>
      <c r="F2560" s="522">
        <v>97863.27</v>
      </c>
    </row>
    <row r="2561" spans="1:16" ht="12">
      <c r="A2561" s="83" t="s">
        <v>4751</v>
      </c>
      <c r="B2561" s="257" t="s">
        <v>4752</v>
      </c>
      <c r="C2561" s="258" t="s">
        <v>103</v>
      </c>
      <c r="D2561" s="79">
        <v>18.91</v>
      </c>
      <c r="F2561" s="79">
        <v>18.91</v>
      </c>
      <c r="G2561" s="81"/>
      <c r="N2561" s="240"/>
      <c r="O2561" s="241"/>
      <c r="P2561" s="213"/>
    </row>
    <row r="2562" spans="1:16" ht="24">
      <c r="A2562" s="83" t="s">
        <v>4753</v>
      </c>
      <c r="B2562" s="257" t="s">
        <v>4754</v>
      </c>
      <c r="C2562" s="258" t="s">
        <v>103</v>
      </c>
      <c r="D2562" s="79">
        <v>243.35</v>
      </c>
      <c r="F2562" s="79">
        <v>243.35</v>
      </c>
      <c r="G2562" s="81"/>
      <c r="N2562" s="240"/>
      <c r="O2562" s="241"/>
      <c r="P2562" s="213"/>
    </row>
    <row r="2563" spans="1:16" ht="24">
      <c r="A2563" s="83" t="s">
        <v>4755</v>
      </c>
      <c r="B2563" s="257" t="s">
        <v>28211</v>
      </c>
      <c r="C2563" s="258" t="s">
        <v>103</v>
      </c>
      <c r="D2563" s="79">
        <v>1848.06</v>
      </c>
      <c r="F2563" s="79">
        <v>1848.06</v>
      </c>
      <c r="G2563" s="81"/>
      <c r="N2563" s="240"/>
      <c r="O2563" s="241"/>
      <c r="P2563" s="213"/>
    </row>
    <row r="2564" spans="1:16" ht="24">
      <c r="A2564" s="83" t="s">
        <v>4757</v>
      </c>
      <c r="B2564" s="257" t="s">
        <v>4758</v>
      </c>
      <c r="C2564" s="258" t="s">
        <v>103</v>
      </c>
      <c r="D2564" s="79">
        <v>190.65</v>
      </c>
      <c r="F2564" s="79">
        <v>190.65</v>
      </c>
      <c r="G2564" s="81"/>
      <c r="N2564" s="240"/>
      <c r="O2564" s="241"/>
      <c r="P2564" s="213"/>
    </row>
    <row r="2565" spans="1:16" ht="24">
      <c r="A2565" s="83" t="s">
        <v>4759</v>
      </c>
      <c r="B2565" s="257" t="s">
        <v>4760</v>
      </c>
      <c r="C2565" s="258" t="s">
        <v>103</v>
      </c>
      <c r="D2565" s="79">
        <v>325.33</v>
      </c>
      <c r="F2565" s="79">
        <v>325.33</v>
      </c>
      <c r="G2565" s="81"/>
      <c r="N2565" s="240"/>
      <c r="O2565" s="241"/>
      <c r="P2565" s="213"/>
    </row>
    <row r="2566" spans="1:16" ht="24">
      <c r="A2566" s="83" t="s">
        <v>4761</v>
      </c>
      <c r="B2566" s="257" t="s">
        <v>4762</v>
      </c>
      <c r="C2566" s="258" t="s">
        <v>103</v>
      </c>
      <c r="D2566" s="79">
        <v>81.290000000000006</v>
      </c>
      <c r="F2566" s="79">
        <v>81.290000000000006</v>
      </c>
      <c r="G2566" s="81"/>
      <c r="N2566" s="240"/>
      <c r="O2566" s="241"/>
      <c r="P2566" s="213"/>
    </row>
    <row r="2567" spans="1:16" ht="24">
      <c r="A2567" s="83" t="s">
        <v>4763</v>
      </c>
      <c r="B2567" s="257" t="s">
        <v>4764</v>
      </c>
      <c r="C2567" s="258" t="s">
        <v>103</v>
      </c>
      <c r="D2567" s="79">
        <v>82.66</v>
      </c>
      <c r="F2567" s="79">
        <v>82.66</v>
      </c>
      <c r="G2567" s="81"/>
      <c r="N2567" s="240"/>
      <c r="O2567" s="241"/>
      <c r="P2567" s="213"/>
    </row>
    <row r="2568" spans="1:16" ht="12">
      <c r="A2568" s="83" t="s">
        <v>4765</v>
      </c>
      <c r="B2568" s="257" t="s">
        <v>4766</v>
      </c>
      <c r="C2568" s="258" t="s">
        <v>103</v>
      </c>
      <c r="D2568" s="79">
        <v>79.959999999999994</v>
      </c>
      <c r="F2568" s="79">
        <v>79.959999999999994</v>
      </c>
      <c r="G2568" s="81"/>
      <c r="N2568" s="240"/>
      <c r="O2568" s="241"/>
      <c r="P2568" s="213"/>
    </row>
    <row r="2569" spans="1:16" ht="24">
      <c r="A2569" s="67" t="s">
        <v>4767</v>
      </c>
      <c r="B2569" s="65" t="s">
        <v>4768</v>
      </c>
      <c r="C2569" s="71" t="s">
        <v>103</v>
      </c>
      <c r="D2569" s="79">
        <v>4724.3500000000004</v>
      </c>
      <c r="F2569" s="79">
        <v>4724.3500000000004</v>
      </c>
      <c r="G2569" s="81"/>
      <c r="N2569" s="133"/>
      <c r="O2569" s="241"/>
      <c r="P2569" s="213"/>
    </row>
    <row r="2570" spans="1:16" ht="24">
      <c r="A2570" s="83" t="s">
        <v>4769</v>
      </c>
      <c r="B2570" s="257" t="s">
        <v>39303</v>
      </c>
      <c r="C2570" s="258" t="s">
        <v>103</v>
      </c>
      <c r="D2570" s="79">
        <v>9761.23</v>
      </c>
      <c r="F2570" s="79">
        <v>9761.23</v>
      </c>
      <c r="G2570" s="81"/>
      <c r="N2570" s="240"/>
      <c r="O2570" s="241"/>
      <c r="P2570" s="213"/>
    </row>
    <row r="2571" spans="1:16" ht="12">
      <c r="A2571" s="83" t="s">
        <v>4770</v>
      </c>
      <c r="B2571" s="257" t="s">
        <v>4771</v>
      </c>
      <c r="C2571" s="258" t="s">
        <v>103</v>
      </c>
      <c r="D2571" s="79">
        <v>13183.19</v>
      </c>
      <c r="F2571" s="79">
        <v>13183.19</v>
      </c>
      <c r="G2571" s="81"/>
      <c r="N2571" s="240"/>
      <c r="O2571" s="241"/>
      <c r="P2571" s="213"/>
    </row>
    <row r="2572" spans="1:16" ht="24">
      <c r="A2572" s="83" t="s">
        <v>4772</v>
      </c>
      <c r="B2572" s="257" t="s">
        <v>4773</v>
      </c>
      <c r="C2572" s="258" t="s">
        <v>396</v>
      </c>
      <c r="D2572" s="79">
        <v>2271.33</v>
      </c>
      <c r="F2572" s="79">
        <v>2271.33</v>
      </c>
      <c r="G2572" s="81"/>
      <c r="N2572" s="240"/>
      <c r="O2572" s="241"/>
      <c r="P2572" s="213"/>
    </row>
    <row r="2573" spans="1:16" ht="12">
      <c r="A2573" s="83" t="s">
        <v>4774</v>
      </c>
      <c r="B2573" s="257" t="s">
        <v>4775</v>
      </c>
      <c r="C2573" s="258" t="s">
        <v>103</v>
      </c>
      <c r="D2573" s="79">
        <v>2746.54</v>
      </c>
      <c r="F2573" s="79">
        <v>2746.54</v>
      </c>
      <c r="G2573" s="81"/>
      <c r="N2573" s="240"/>
      <c r="O2573" s="241"/>
      <c r="P2573" s="213"/>
    </row>
    <row r="2574" spans="1:16" ht="12">
      <c r="A2574" s="83" t="s">
        <v>4776</v>
      </c>
      <c r="B2574" s="257" t="s">
        <v>4777</v>
      </c>
      <c r="C2574" s="258" t="s">
        <v>103</v>
      </c>
      <c r="D2574" s="79">
        <v>865.65</v>
      </c>
      <c r="F2574" s="79">
        <v>865.65</v>
      </c>
      <c r="G2574" s="81"/>
      <c r="N2574" s="240"/>
      <c r="O2574" s="241"/>
      <c r="P2574" s="213"/>
    </row>
    <row r="2575" spans="1:16" ht="24">
      <c r="A2575" s="83" t="s">
        <v>4778</v>
      </c>
      <c r="B2575" s="257" t="s">
        <v>4779</v>
      </c>
      <c r="C2575" s="258" t="s">
        <v>103</v>
      </c>
      <c r="D2575" s="79">
        <v>14845.8</v>
      </c>
      <c r="F2575" s="79">
        <v>14845.8</v>
      </c>
      <c r="G2575" s="81"/>
      <c r="N2575" s="240"/>
      <c r="O2575" s="241"/>
      <c r="P2575" s="213"/>
    </row>
    <row r="2576" spans="1:16" ht="12">
      <c r="A2576" s="261" t="s">
        <v>4780</v>
      </c>
      <c r="B2576" s="261" t="s">
        <v>4781</v>
      </c>
      <c r="C2576" s="266" t="s">
        <v>103</v>
      </c>
      <c r="D2576" s="79">
        <v>9.73</v>
      </c>
      <c r="F2576" s="518">
        <v>9.73</v>
      </c>
      <c r="N2576" s="133"/>
      <c r="O2576" s="236"/>
    </row>
    <row r="2577" spans="1:16" ht="12">
      <c r="A2577" s="83" t="s">
        <v>4782</v>
      </c>
      <c r="B2577" s="257" t="s">
        <v>4783</v>
      </c>
      <c r="C2577" s="258" t="s">
        <v>103</v>
      </c>
      <c r="D2577" s="79">
        <v>15.4</v>
      </c>
      <c r="F2577" s="79">
        <v>15.4</v>
      </c>
      <c r="G2577" s="81"/>
      <c r="N2577" s="240"/>
      <c r="O2577" s="241"/>
      <c r="P2577" s="213"/>
    </row>
    <row r="2578" spans="1:16" ht="12">
      <c r="A2578" s="83" t="s">
        <v>4784</v>
      </c>
      <c r="B2578" s="257" t="s">
        <v>4785</v>
      </c>
      <c r="C2578" s="258" t="s">
        <v>103</v>
      </c>
      <c r="D2578" s="79">
        <v>756.56</v>
      </c>
      <c r="F2578" s="79">
        <v>756.56</v>
      </c>
      <c r="G2578" s="81"/>
      <c r="N2578" s="240"/>
      <c r="O2578" s="241"/>
      <c r="P2578" s="213"/>
    </row>
    <row r="2579" spans="1:16" ht="12">
      <c r="A2579" s="83" t="s">
        <v>4786</v>
      </c>
      <c r="B2579" s="257" t="s">
        <v>4787</v>
      </c>
      <c r="C2579" s="258" t="s">
        <v>103</v>
      </c>
      <c r="D2579" s="79">
        <v>1865.82</v>
      </c>
      <c r="F2579" s="79">
        <v>1865.82</v>
      </c>
      <c r="G2579" s="81"/>
      <c r="N2579" s="240"/>
      <c r="O2579" s="241"/>
      <c r="P2579" s="213"/>
    </row>
    <row r="2580" spans="1:16" ht="12">
      <c r="A2580" s="83" t="s">
        <v>4788</v>
      </c>
      <c r="B2580" s="257" t="s">
        <v>4789</v>
      </c>
      <c r="C2580" s="258" t="s">
        <v>103</v>
      </c>
      <c r="D2580" s="79">
        <v>552.91</v>
      </c>
      <c r="F2580" s="79">
        <v>552.91</v>
      </c>
      <c r="G2580" s="81"/>
      <c r="N2580" s="240"/>
      <c r="O2580" s="241"/>
      <c r="P2580" s="213"/>
    </row>
    <row r="2581" spans="1:16" ht="12">
      <c r="A2581" s="83" t="s">
        <v>4790</v>
      </c>
      <c r="B2581" s="257" t="s">
        <v>4791</v>
      </c>
      <c r="C2581" s="258" t="s">
        <v>103</v>
      </c>
      <c r="D2581" s="79">
        <v>136.75</v>
      </c>
      <c r="F2581" s="79">
        <v>136.75</v>
      </c>
      <c r="G2581" s="81"/>
      <c r="N2581" s="240"/>
      <c r="O2581" s="241"/>
      <c r="P2581" s="213"/>
    </row>
    <row r="2582" spans="1:16" ht="12">
      <c r="A2582" s="83" t="s">
        <v>4792</v>
      </c>
      <c r="B2582" s="257" t="s">
        <v>4793</v>
      </c>
      <c r="C2582" s="258" t="s">
        <v>103</v>
      </c>
      <c r="D2582" s="79">
        <v>2671.61</v>
      </c>
      <c r="F2582" s="79">
        <v>2671.61</v>
      </c>
      <c r="G2582" s="81"/>
      <c r="N2582" s="240"/>
      <c r="O2582" s="241"/>
      <c r="P2582" s="213"/>
    </row>
    <row r="2583" spans="1:16" ht="12">
      <c r="A2583" s="83" t="s">
        <v>4794</v>
      </c>
      <c r="B2583" s="257" t="s">
        <v>4795</v>
      </c>
      <c r="C2583" s="258" t="s">
        <v>103</v>
      </c>
      <c r="D2583" s="79">
        <v>1098.56</v>
      </c>
      <c r="F2583" s="79">
        <v>1098.56</v>
      </c>
      <c r="G2583" s="81"/>
      <c r="N2583" s="240"/>
      <c r="O2583" s="241"/>
      <c r="P2583" s="213"/>
    </row>
    <row r="2584" spans="1:16" ht="12">
      <c r="A2584" s="83" t="s">
        <v>4796</v>
      </c>
      <c r="B2584" s="257" t="s">
        <v>4797</v>
      </c>
      <c r="C2584" s="258" t="s">
        <v>103</v>
      </c>
      <c r="D2584" s="79">
        <v>1177.81</v>
      </c>
      <c r="F2584" s="79">
        <v>1177.81</v>
      </c>
      <c r="G2584" s="81"/>
      <c r="N2584" s="240"/>
      <c r="O2584" s="241"/>
      <c r="P2584" s="213"/>
    </row>
    <row r="2585" spans="1:16" ht="12">
      <c r="A2585" s="83" t="s">
        <v>4798</v>
      </c>
      <c r="B2585" s="257" t="s">
        <v>4799</v>
      </c>
      <c r="C2585" s="258" t="s">
        <v>103</v>
      </c>
      <c r="D2585" s="79">
        <v>1713.06</v>
      </c>
      <c r="F2585" s="79">
        <v>1713.06</v>
      </c>
      <c r="G2585" s="81"/>
      <c r="N2585" s="240"/>
      <c r="O2585" s="241"/>
      <c r="P2585" s="213"/>
    </row>
    <row r="2586" spans="1:16" ht="12">
      <c r="A2586" s="83" t="s">
        <v>4800</v>
      </c>
      <c r="B2586" s="257" t="s">
        <v>4801</v>
      </c>
      <c r="C2586" s="258" t="s">
        <v>103</v>
      </c>
      <c r="D2586" s="79">
        <v>125.87</v>
      </c>
      <c r="F2586" s="79">
        <v>125.87</v>
      </c>
      <c r="G2586" s="81"/>
      <c r="N2586" s="240"/>
      <c r="O2586" s="241"/>
      <c r="P2586" s="213"/>
    </row>
    <row r="2587" spans="1:16" ht="12">
      <c r="A2587" s="83" t="s">
        <v>4802</v>
      </c>
      <c r="B2587" s="257" t="s">
        <v>29869</v>
      </c>
      <c r="C2587" s="258" t="s">
        <v>103</v>
      </c>
      <c r="D2587" s="79">
        <v>198.6</v>
      </c>
      <c r="F2587" s="79">
        <v>198.6</v>
      </c>
      <c r="G2587" s="81"/>
      <c r="N2587" s="240"/>
      <c r="O2587" s="241"/>
      <c r="P2587" s="213"/>
    </row>
    <row r="2588" spans="1:16" ht="12">
      <c r="A2588" s="83" t="s">
        <v>4803</v>
      </c>
      <c r="B2588" s="257" t="s">
        <v>4804</v>
      </c>
      <c r="C2588" s="258" t="s">
        <v>103</v>
      </c>
      <c r="D2588" s="79">
        <v>236.73</v>
      </c>
      <c r="F2588" s="79">
        <v>236.73</v>
      </c>
      <c r="G2588" s="81"/>
      <c r="N2588" s="240"/>
      <c r="O2588" s="241"/>
      <c r="P2588" s="213"/>
    </row>
    <row r="2589" spans="1:16" ht="12">
      <c r="A2589" s="83" t="s">
        <v>4805</v>
      </c>
      <c r="B2589" s="257" t="s">
        <v>4806</v>
      </c>
      <c r="C2589" s="258" t="s">
        <v>103</v>
      </c>
      <c r="D2589" s="79">
        <v>248.88</v>
      </c>
      <c r="F2589" s="79">
        <v>248.88</v>
      </c>
      <c r="G2589" s="81"/>
      <c r="N2589" s="240"/>
      <c r="O2589" s="241"/>
      <c r="P2589" s="213"/>
    </row>
    <row r="2590" spans="1:16" ht="24">
      <c r="A2590" s="83" t="s">
        <v>4807</v>
      </c>
      <c r="B2590" s="257" t="s">
        <v>39304</v>
      </c>
      <c r="C2590" s="258" t="s">
        <v>103</v>
      </c>
      <c r="D2590" s="79">
        <v>48.45</v>
      </c>
      <c r="F2590" s="79">
        <v>48.45</v>
      </c>
      <c r="G2590" s="81"/>
      <c r="N2590" s="240"/>
      <c r="O2590" s="241"/>
      <c r="P2590" s="213"/>
    </row>
    <row r="2591" spans="1:16" ht="24">
      <c r="A2591" s="83" t="s">
        <v>4808</v>
      </c>
      <c r="B2591" s="257" t="s">
        <v>39305</v>
      </c>
      <c r="C2591" s="258" t="s">
        <v>103</v>
      </c>
      <c r="D2591" s="79">
        <v>135.9</v>
      </c>
      <c r="F2591" s="79">
        <v>135.9</v>
      </c>
      <c r="G2591" s="81"/>
      <c r="N2591" s="240"/>
      <c r="O2591" s="241"/>
      <c r="P2591" s="213"/>
    </row>
    <row r="2592" spans="1:16" ht="24">
      <c r="A2592" s="83" t="s">
        <v>4809</v>
      </c>
      <c r="B2592" s="257" t="s">
        <v>39306</v>
      </c>
      <c r="C2592" s="258" t="s">
        <v>103</v>
      </c>
      <c r="D2592" s="79">
        <v>256.98</v>
      </c>
      <c r="F2592" s="79">
        <v>256.98</v>
      </c>
      <c r="G2592" s="81"/>
      <c r="N2592" s="240"/>
      <c r="O2592" s="241"/>
      <c r="P2592" s="213"/>
    </row>
    <row r="2593" spans="1:16" ht="24">
      <c r="A2593" s="83" t="s">
        <v>4810</v>
      </c>
      <c r="B2593" s="257" t="s">
        <v>39307</v>
      </c>
      <c r="C2593" s="258" t="s">
        <v>103</v>
      </c>
      <c r="D2593" s="79">
        <v>471.34</v>
      </c>
      <c r="F2593" s="79">
        <v>471.34</v>
      </c>
      <c r="G2593" s="81"/>
      <c r="N2593" s="240"/>
      <c r="O2593" s="241"/>
      <c r="P2593" s="213"/>
    </row>
    <row r="2594" spans="1:16" ht="24">
      <c r="A2594" s="83" t="s">
        <v>4811</v>
      </c>
      <c r="B2594" s="257" t="s">
        <v>39308</v>
      </c>
      <c r="C2594" s="258" t="s">
        <v>103</v>
      </c>
      <c r="D2594" s="79">
        <v>1437.32</v>
      </c>
      <c r="F2594" s="79">
        <v>1437.32</v>
      </c>
      <c r="G2594" s="81"/>
      <c r="N2594" s="240"/>
      <c r="O2594" s="241"/>
      <c r="P2594" s="213"/>
    </row>
    <row r="2595" spans="1:16" ht="24">
      <c r="A2595" s="83" t="s">
        <v>4812</v>
      </c>
      <c r="B2595" s="257" t="s">
        <v>39309</v>
      </c>
      <c r="C2595" s="258" t="s">
        <v>103</v>
      </c>
      <c r="D2595" s="79">
        <v>61.96</v>
      </c>
      <c r="F2595" s="79">
        <v>61.96</v>
      </c>
      <c r="G2595" s="81"/>
      <c r="N2595" s="240"/>
      <c r="O2595" s="241"/>
      <c r="P2595" s="213"/>
    </row>
    <row r="2596" spans="1:16" ht="24">
      <c r="A2596" s="83" t="s">
        <v>4813</v>
      </c>
      <c r="B2596" s="257" t="s">
        <v>39310</v>
      </c>
      <c r="C2596" s="258" t="s">
        <v>103</v>
      </c>
      <c r="D2596" s="79">
        <v>122.43</v>
      </c>
      <c r="F2596" s="79">
        <v>122.43</v>
      </c>
      <c r="G2596" s="81"/>
      <c r="N2596" s="240"/>
      <c r="O2596" s="241"/>
      <c r="P2596" s="213"/>
    </row>
    <row r="2597" spans="1:16" ht="24">
      <c r="A2597" s="83" t="s">
        <v>4814</v>
      </c>
      <c r="B2597" s="257" t="s">
        <v>39311</v>
      </c>
      <c r="C2597" s="258" t="s">
        <v>103</v>
      </c>
      <c r="D2597" s="79">
        <v>270.83</v>
      </c>
      <c r="F2597" s="79">
        <v>270.83</v>
      </c>
      <c r="G2597" s="81"/>
      <c r="N2597" s="240"/>
      <c r="O2597" s="241"/>
      <c r="P2597" s="213"/>
    </row>
    <row r="2598" spans="1:16" ht="24">
      <c r="A2598" s="83" t="s">
        <v>4815</v>
      </c>
      <c r="B2598" s="257" t="s">
        <v>39312</v>
      </c>
      <c r="C2598" s="258" t="s">
        <v>103</v>
      </c>
      <c r="D2598" s="79">
        <v>530.62</v>
      </c>
      <c r="F2598" s="79">
        <v>530.62</v>
      </c>
      <c r="G2598" s="81"/>
      <c r="N2598" s="240"/>
      <c r="O2598" s="241"/>
      <c r="P2598" s="213"/>
    </row>
    <row r="2599" spans="1:16" ht="24">
      <c r="A2599" s="83" t="s">
        <v>4816</v>
      </c>
      <c r="B2599" s="257" t="s">
        <v>4817</v>
      </c>
      <c r="C2599" s="258" t="s">
        <v>396</v>
      </c>
      <c r="D2599" s="79">
        <v>158670.53</v>
      </c>
      <c r="F2599" s="79">
        <v>158670.53</v>
      </c>
      <c r="G2599" s="81"/>
      <c r="N2599" s="240"/>
      <c r="O2599" s="241"/>
      <c r="P2599" s="213"/>
    </row>
    <row r="2600" spans="1:16" ht="24">
      <c r="A2600" s="83" t="s">
        <v>4818</v>
      </c>
      <c r="B2600" s="257" t="s">
        <v>4819</v>
      </c>
      <c r="C2600" s="258" t="s">
        <v>103</v>
      </c>
      <c r="D2600" s="79">
        <v>405.55</v>
      </c>
      <c r="F2600" s="79">
        <v>405.55</v>
      </c>
      <c r="G2600" s="81"/>
      <c r="N2600" s="240"/>
      <c r="O2600" s="241"/>
      <c r="P2600" s="213"/>
    </row>
    <row r="2601" spans="1:16" ht="24">
      <c r="A2601" s="83" t="s">
        <v>4820</v>
      </c>
      <c r="B2601" s="257" t="s">
        <v>4821</v>
      </c>
      <c r="C2601" s="258" t="s">
        <v>103</v>
      </c>
      <c r="D2601" s="79">
        <v>444.7</v>
      </c>
      <c r="F2601" s="79">
        <v>444.7</v>
      </c>
      <c r="G2601" s="81"/>
      <c r="N2601" s="240"/>
      <c r="O2601" s="241"/>
      <c r="P2601" s="213"/>
    </row>
    <row r="2602" spans="1:16" ht="24">
      <c r="A2602" s="83" t="s">
        <v>4822</v>
      </c>
      <c r="B2602" s="257" t="s">
        <v>4823</v>
      </c>
      <c r="C2602" s="258" t="s">
        <v>103</v>
      </c>
      <c r="D2602" s="79">
        <v>603.4</v>
      </c>
      <c r="F2602" s="79">
        <v>603.4</v>
      </c>
      <c r="G2602" s="81"/>
      <c r="N2602" s="240"/>
      <c r="O2602" s="241"/>
      <c r="P2602" s="213"/>
    </row>
    <row r="2603" spans="1:16" ht="24">
      <c r="A2603" s="83" t="s">
        <v>4824</v>
      </c>
      <c r="B2603" s="257" t="s">
        <v>4825</v>
      </c>
      <c r="C2603" s="258" t="s">
        <v>103</v>
      </c>
      <c r="D2603" s="79">
        <v>619.12</v>
      </c>
      <c r="F2603" s="79">
        <v>619.12</v>
      </c>
      <c r="G2603" s="81"/>
      <c r="N2603" s="240"/>
      <c r="O2603" s="241"/>
      <c r="P2603" s="213"/>
    </row>
    <row r="2604" spans="1:16" ht="24">
      <c r="A2604" s="83" t="s">
        <v>4826</v>
      </c>
      <c r="B2604" s="257" t="s">
        <v>4827</v>
      </c>
      <c r="C2604" s="258" t="s">
        <v>103</v>
      </c>
      <c r="D2604" s="79">
        <v>1017.92</v>
      </c>
      <c r="F2604" s="79">
        <v>1017.92</v>
      </c>
      <c r="G2604" s="81"/>
      <c r="N2604" s="240"/>
      <c r="O2604" s="241"/>
      <c r="P2604" s="213"/>
    </row>
    <row r="2605" spans="1:16" ht="24">
      <c r="A2605" s="83" t="s">
        <v>4828</v>
      </c>
      <c r="B2605" s="257" t="s">
        <v>4829</v>
      </c>
      <c r="C2605" s="258" t="s">
        <v>103</v>
      </c>
      <c r="D2605" s="79">
        <v>1249.23</v>
      </c>
      <c r="F2605" s="79">
        <v>1249.23</v>
      </c>
      <c r="G2605" s="81"/>
      <c r="N2605" s="240"/>
      <c r="O2605" s="241"/>
      <c r="P2605" s="213"/>
    </row>
    <row r="2606" spans="1:16" ht="24">
      <c r="A2606" s="83" t="s">
        <v>4830</v>
      </c>
      <c r="B2606" s="257" t="s">
        <v>4831</v>
      </c>
      <c r="C2606" s="258" t="s">
        <v>103</v>
      </c>
      <c r="D2606" s="79">
        <v>515.66999999999996</v>
      </c>
      <c r="F2606" s="79">
        <v>515.66999999999996</v>
      </c>
      <c r="G2606" s="81"/>
      <c r="N2606" s="240"/>
      <c r="O2606" s="241"/>
      <c r="P2606" s="213"/>
    </row>
    <row r="2607" spans="1:16" ht="24">
      <c r="A2607" s="83" t="s">
        <v>4832</v>
      </c>
      <c r="B2607" s="257" t="s">
        <v>4833</v>
      </c>
      <c r="C2607" s="258" t="s">
        <v>103</v>
      </c>
      <c r="D2607" s="79">
        <v>623.37</v>
      </c>
      <c r="F2607" s="79">
        <v>623.37</v>
      </c>
      <c r="G2607" s="81"/>
      <c r="N2607" s="240"/>
      <c r="O2607" s="241"/>
      <c r="P2607" s="213"/>
    </row>
    <row r="2608" spans="1:16" ht="24">
      <c r="A2608" s="83" t="s">
        <v>4834</v>
      </c>
      <c r="B2608" s="257" t="s">
        <v>4835</v>
      </c>
      <c r="C2608" s="258" t="s">
        <v>103</v>
      </c>
      <c r="D2608" s="79">
        <v>708.66</v>
      </c>
      <c r="F2608" s="79">
        <v>708.66</v>
      </c>
      <c r="G2608" s="81"/>
      <c r="N2608" s="240"/>
      <c r="O2608" s="241"/>
      <c r="P2608" s="213"/>
    </row>
    <row r="2609" spans="1:16" ht="24">
      <c r="A2609" s="83" t="s">
        <v>4836</v>
      </c>
      <c r="B2609" s="257" t="s">
        <v>4837</v>
      </c>
      <c r="C2609" s="258" t="s">
        <v>103</v>
      </c>
      <c r="D2609" s="79">
        <v>981.36</v>
      </c>
      <c r="F2609" s="79">
        <v>981.36</v>
      </c>
      <c r="G2609" s="81"/>
      <c r="N2609" s="240"/>
      <c r="O2609" s="241"/>
      <c r="P2609" s="213"/>
    </row>
    <row r="2610" spans="1:16" ht="24">
      <c r="A2610" s="83" t="s">
        <v>4838</v>
      </c>
      <c r="B2610" s="257" t="s">
        <v>4839</v>
      </c>
      <c r="C2610" s="258" t="s">
        <v>103</v>
      </c>
      <c r="D2610" s="79">
        <v>1064.9100000000001</v>
      </c>
      <c r="F2610" s="79">
        <v>1064.9100000000001</v>
      </c>
      <c r="G2610" s="81"/>
      <c r="N2610" s="240"/>
      <c r="O2610" s="241"/>
      <c r="P2610" s="213"/>
    </row>
    <row r="2611" spans="1:16" ht="24">
      <c r="A2611" s="83" t="s">
        <v>4840</v>
      </c>
      <c r="B2611" s="257" t="s">
        <v>4841</v>
      </c>
      <c r="C2611" s="258" t="s">
        <v>103</v>
      </c>
      <c r="D2611" s="79">
        <v>1781.33</v>
      </c>
      <c r="F2611" s="79">
        <v>1781.33</v>
      </c>
      <c r="G2611" s="81"/>
      <c r="N2611" s="240"/>
      <c r="O2611" s="241"/>
      <c r="P2611" s="213"/>
    </row>
    <row r="2612" spans="1:16" ht="24">
      <c r="A2612" s="83" t="s">
        <v>4842</v>
      </c>
      <c r="B2612" s="257" t="s">
        <v>4843</v>
      </c>
      <c r="C2612" s="258" t="s">
        <v>396</v>
      </c>
      <c r="D2612" s="79">
        <v>135075.06</v>
      </c>
      <c r="F2612" s="79">
        <v>135075.06</v>
      </c>
      <c r="G2612" s="81"/>
      <c r="N2612" s="240"/>
      <c r="O2612" s="241"/>
      <c r="P2612" s="213"/>
    </row>
    <row r="2613" spans="1:16" ht="24">
      <c r="A2613" s="83" t="s">
        <v>4844</v>
      </c>
      <c r="B2613" s="257" t="s">
        <v>4845</v>
      </c>
      <c r="C2613" s="258" t="s">
        <v>509</v>
      </c>
      <c r="D2613" s="79">
        <v>2837.27</v>
      </c>
      <c r="F2613" s="79">
        <v>2837.27</v>
      </c>
      <c r="G2613" s="81"/>
      <c r="N2613" s="240"/>
      <c r="O2613" s="241"/>
      <c r="P2613" s="213"/>
    </row>
    <row r="2614" spans="1:16" ht="24">
      <c r="A2614" s="83" t="s">
        <v>4846</v>
      </c>
      <c r="B2614" s="257" t="s">
        <v>28212</v>
      </c>
      <c r="C2614" s="258" t="s">
        <v>509</v>
      </c>
      <c r="D2614" s="79">
        <v>409.31</v>
      </c>
      <c r="F2614" s="79">
        <v>409.31</v>
      </c>
      <c r="G2614" s="81"/>
      <c r="N2614" s="240"/>
      <c r="O2614" s="241"/>
      <c r="P2614" s="213"/>
    </row>
    <row r="2615" spans="1:16" ht="12">
      <c r="A2615" s="83" t="s">
        <v>4847</v>
      </c>
      <c r="B2615" s="257" t="s">
        <v>4848</v>
      </c>
      <c r="C2615" s="258" t="s">
        <v>103</v>
      </c>
      <c r="D2615" s="79">
        <v>1597.12</v>
      </c>
      <c r="F2615" s="79">
        <v>1597.12</v>
      </c>
      <c r="G2615" s="81"/>
      <c r="N2615" s="240"/>
      <c r="O2615" s="241"/>
      <c r="P2615" s="213"/>
    </row>
    <row r="2616" spans="1:16" ht="24">
      <c r="A2616" s="83" t="s">
        <v>4849</v>
      </c>
      <c r="B2616" s="257" t="s">
        <v>4850</v>
      </c>
      <c r="C2616" s="258" t="s">
        <v>103</v>
      </c>
      <c r="D2616" s="79">
        <v>127.38</v>
      </c>
      <c r="F2616" s="79">
        <v>127.38</v>
      </c>
      <c r="G2616" s="81"/>
      <c r="N2616" s="240"/>
      <c r="O2616" s="241"/>
      <c r="P2616" s="213"/>
    </row>
    <row r="2617" spans="1:16" ht="12">
      <c r="A2617" s="83" t="s">
        <v>4851</v>
      </c>
      <c r="B2617" s="257" t="s">
        <v>4852</v>
      </c>
      <c r="C2617" s="258" t="s">
        <v>103</v>
      </c>
      <c r="D2617" s="79">
        <v>20.37</v>
      </c>
      <c r="F2617" s="79">
        <v>20.37</v>
      </c>
      <c r="G2617" s="81"/>
      <c r="N2617" s="240"/>
      <c r="O2617" s="241"/>
      <c r="P2617" s="213"/>
    </row>
    <row r="2618" spans="1:16" ht="12">
      <c r="A2618" s="83" t="s">
        <v>4853</v>
      </c>
      <c r="B2618" s="257" t="s">
        <v>4854</v>
      </c>
      <c r="C2618" s="258" t="s">
        <v>103</v>
      </c>
      <c r="D2618" s="79">
        <v>16.690000000000001</v>
      </c>
      <c r="F2618" s="79">
        <v>16.690000000000001</v>
      </c>
      <c r="G2618" s="81"/>
      <c r="N2618" s="240"/>
      <c r="O2618" s="241"/>
      <c r="P2618" s="213"/>
    </row>
    <row r="2619" spans="1:16" ht="24">
      <c r="A2619" s="83" t="s">
        <v>4855</v>
      </c>
      <c r="B2619" s="257" t="s">
        <v>4856</v>
      </c>
      <c r="C2619" s="258" t="s">
        <v>396</v>
      </c>
      <c r="D2619" s="79">
        <v>6.74</v>
      </c>
      <c r="F2619" s="79">
        <v>6.74</v>
      </c>
      <c r="G2619" s="81"/>
      <c r="N2619" s="240"/>
      <c r="O2619" s="241"/>
      <c r="P2619" s="213"/>
    </row>
    <row r="2620" spans="1:16" ht="12">
      <c r="A2620" s="83" t="s">
        <v>4857</v>
      </c>
      <c r="B2620" s="257" t="s">
        <v>4858</v>
      </c>
      <c r="C2620" s="258" t="s">
        <v>103</v>
      </c>
      <c r="D2620" s="79">
        <v>2.99</v>
      </c>
      <c r="F2620" s="79">
        <v>2.99</v>
      </c>
      <c r="G2620" s="81"/>
      <c r="N2620" s="240"/>
      <c r="O2620" s="241"/>
      <c r="P2620" s="213"/>
    </row>
    <row r="2621" spans="1:16" ht="24">
      <c r="A2621" s="83" t="s">
        <v>4859</v>
      </c>
      <c r="B2621" s="257" t="s">
        <v>4860</v>
      </c>
      <c r="C2621" s="258" t="s">
        <v>103</v>
      </c>
      <c r="D2621" s="79">
        <v>84.43</v>
      </c>
      <c r="F2621" s="79">
        <v>84.43</v>
      </c>
      <c r="G2621" s="81"/>
      <c r="N2621" s="240"/>
      <c r="O2621" s="241"/>
      <c r="P2621" s="213"/>
    </row>
    <row r="2622" spans="1:16" ht="24">
      <c r="A2622" s="83" t="s">
        <v>4861</v>
      </c>
      <c r="B2622" s="257" t="s">
        <v>4862</v>
      </c>
      <c r="C2622" s="258" t="s">
        <v>103</v>
      </c>
      <c r="D2622" s="79">
        <v>91.12</v>
      </c>
      <c r="F2622" s="79">
        <v>91.12</v>
      </c>
      <c r="G2622" s="81"/>
      <c r="N2622" s="240"/>
      <c r="O2622" s="241"/>
      <c r="P2622" s="213"/>
    </row>
    <row r="2623" spans="1:16" ht="12">
      <c r="A2623" s="83" t="s">
        <v>4863</v>
      </c>
      <c r="B2623" s="257" t="s">
        <v>4864</v>
      </c>
      <c r="C2623" s="258" t="s">
        <v>103</v>
      </c>
      <c r="D2623" s="79">
        <v>17.25</v>
      </c>
      <c r="F2623" s="79">
        <v>17.25</v>
      </c>
      <c r="G2623" s="81"/>
      <c r="N2623" s="240"/>
      <c r="O2623" s="241"/>
      <c r="P2623" s="213"/>
    </row>
    <row r="2624" spans="1:16" ht="12">
      <c r="A2624" s="83" t="s">
        <v>4865</v>
      </c>
      <c r="B2624" s="257" t="s">
        <v>4866</v>
      </c>
      <c r="C2624" s="258" t="s">
        <v>103</v>
      </c>
      <c r="D2624" s="79">
        <v>5.85</v>
      </c>
      <c r="F2624" s="79">
        <v>5.85</v>
      </c>
      <c r="G2624" s="81"/>
      <c r="N2624" s="240"/>
      <c r="O2624" s="241"/>
      <c r="P2624" s="213"/>
    </row>
    <row r="2625" spans="1:16" ht="12">
      <c r="A2625" s="83" t="s">
        <v>4867</v>
      </c>
      <c r="B2625" s="257" t="s">
        <v>4868</v>
      </c>
      <c r="C2625" s="258" t="s">
        <v>103</v>
      </c>
      <c r="D2625" s="79">
        <v>8.99</v>
      </c>
      <c r="F2625" s="79">
        <v>8.99</v>
      </c>
      <c r="G2625" s="81"/>
      <c r="N2625" s="240"/>
      <c r="O2625" s="241"/>
      <c r="P2625" s="213"/>
    </row>
    <row r="2626" spans="1:16" ht="12">
      <c r="A2626" s="83" t="s">
        <v>4869</v>
      </c>
      <c r="B2626" s="257" t="s">
        <v>4870</v>
      </c>
      <c r="C2626" s="258" t="s">
        <v>103</v>
      </c>
      <c r="D2626" s="79">
        <v>14.7</v>
      </c>
      <c r="F2626" s="79">
        <v>14.7</v>
      </c>
      <c r="G2626" s="81"/>
      <c r="N2626" s="240"/>
      <c r="O2626" s="241"/>
      <c r="P2626" s="213"/>
    </row>
    <row r="2627" spans="1:16" ht="12">
      <c r="A2627" s="83" t="s">
        <v>4871</v>
      </c>
      <c r="B2627" s="257" t="s">
        <v>4872</v>
      </c>
      <c r="C2627" s="258" t="s">
        <v>103</v>
      </c>
      <c r="D2627" s="79">
        <v>18.760000000000002</v>
      </c>
      <c r="F2627" s="79">
        <v>18.760000000000002</v>
      </c>
      <c r="G2627" s="81"/>
      <c r="N2627" s="240"/>
      <c r="O2627" s="241"/>
      <c r="P2627" s="213"/>
    </row>
    <row r="2628" spans="1:16" ht="12">
      <c r="A2628" s="83" t="s">
        <v>4873</v>
      </c>
      <c r="B2628" s="257" t="s">
        <v>4874</v>
      </c>
      <c r="C2628" s="258" t="s">
        <v>103</v>
      </c>
      <c r="D2628" s="79">
        <v>11.27</v>
      </c>
      <c r="F2628" s="79">
        <v>11.27</v>
      </c>
      <c r="G2628" s="81"/>
      <c r="N2628" s="240"/>
      <c r="O2628" s="241"/>
      <c r="P2628" s="213"/>
    </row>
    <row r="2629" spans="1:16" ht="12">
      <c r="A2629" s="83" t="s">
        <v>4875</v>
      </c>
      <c r="B2629" s="257" t="s">
        <v>4876</v>
      </c>
      <c r="C2629" s="258" t="s">
        <v>103</v>
      </c>
      <c r="D2629" s="79">
        <v>17.13</v>
      </c>
      <c r="F2629" s="79">
        <v>17.13</v>
      </c>
      <c r="G2629" s="81"/>
      <c r="N2629" s="240"/>
      <c r="O2629" s="241"/>
      <c r="P2629" s="213"/>
    </row>
    <row r="2630" spans="1:16" ht="12">
      <c r="A2630" s="83" t="s">
        <v>4877</v>
      </c>
      <c r="B2630" s="257" t="s">
        <v>4878</v>
      </c>
      <c r="C2630" s="258" t="s">
        <v>103</v>
      </c>
      <c r="D2630" s="79">
        <v>15.28</v>
      </c>
      <c r="F2630" s="79">
        <v>15.28</v>
      </c>
      <c r="G2630" s="81"/>
      <c r="N2630" s="240"/>
      <c r="O2630" s="241"/>
      <c r="P2630" s="213"/>
    </row>
    <row r="2631" spans="1:16" ht="12">
      <c r="A2631" s="83" t="s">
        <v>4879</v>
      </c>
      <c r="B2631" s="257" t="s">
        <v>4880</v>
      </c>
      <c r="C2631" s="258" t="s">
        <v>103</v>
      </c>
      <c r="D2631" s="79">
        <v>19.559999999999999</v>
      </c>
      <c r="F2631" s="79">
        <v>19.559999999999999</v>
      </c>
      <c r="G2631" s="81"/>
      <c r="N2631" s="240"/>
      <c r="O2631" s="241"/>
      <c r="P2631" s="213"/>
    </row>
    <row r="2632" spans="1:16" ht="12">
      <c r="A2632" s="83" t="s">
        <v>4881</v>
      </c>
      <c r="B2632" s="257" t="s">
        <v>42092</v>
      </c>
      <c r="C2632" s="258" t="s">
        <v>103</v>
      </c>
      <c r="D2632" s="79">
        <v>12.93</v>
      </c>
      <c r="F2632" s="79">
        <v>12.93</v>
      </c>
      <c r="G2632" s="81"/>
      <c r="N2632" s="240"/>
      <c r="O2632" s="241"/>
      <c r="P2632" s="213"/>
    </row>
    <row r="2633" spans="1:16" ht="12">
      <c r="A2633" s="83" t="s">
        <v>4882</v>
      </c>
      <c r="B2633" s="257" t="s">
        <v>4883</v>
      </c>
      <c r="C2633" s="258" t="s">
        <v>103</v>
      </c>
      <c r="D2633" s="79">
        <v>11.66</v>
      </c>
      <c r="F2633" s="79">
        <v>11.66</v>
      </c>
      <c r="G2633" s="81"/>
      <c r="N2633" s="240"/>
      <c r="O2633" s="241"/>
      <c r="P2633" s="213"/>
    </row>
    <row r="2634" spans="1:16" ht="12">
      <c r="A2634" s="83" t="s">
        <v>4884</v>
      </c>
      <c r="B2634" s="257" t="s">
        <v>4885</v>
      </c>
      <c r="C2634" s="258" t="s">
        <v>103</v>
      </c>
      <c r="D2634" s="79">
        <v>53.56</v>
      </c>
      <c r="F2634" s="79">
        <v>53.56</v>
      </c>
      <c r="G2634" s="81"/>
      <c r="N2634" s="240"/>
      <c r="O2634" s="241"/>
      <c r="P2634" s="213"/>
    </row>
    <row r="2635" spans="1:16" ht="12">
      <c r="A2635" s="83" t="s">
        <v>4886</v>
      </c>
      <c r="B2635" s="257" t="s">
        <v>4887</v>
      </c>
      <c r="C2635" s="258" t="s">
        <v>103</v>
      </c>
      <c r="D2635" s="79">
        <v>145.81</v>
      </c>
      <c r="F2635" s="79">
        <v>145.81</v>
      </c>
      <c r="G2635" s="81"/>
      <c r="N2635" s="240"/>
      <c r="O2635" s="241"/>
      <c r="P2635" s="213"/>
    </row>
    <row r="2636" spans="1:16" ht="24">
      <c r="A2636" s="83" t="s">
        <v>4888</v>
      </c>
      <c r="B2636" s="257" t="s">
        <v>4889</v>
      </c>
      <c r="C2636" s="258" t="s">
        <v>165</v>
      </c>
      <c r="D2636" s="79">
        <v>70.28</v>
      </c>
      <c r="F2636" s="79">
        <v>70.28</v>
      </c>
      <c r="G2636" s="81"/>
      <c r="N2636" s="240"/>
      <c r="O2636" s="241"/>
      <c r="P2636" s="213"/>
    </row>
    <row r="2637" spans="1:16" ht="12">
      <c r="A2637" s="83" t="s">
        <v>4890</v>
      </c>
      <c r="B2637" s="257" t="s">
        <v>4891</v>
      </c>
      <c r="C2637" s="258" t="s">
        <v>103</v>
      </c>
      <c r="D2637" s="79">
        <v>17.87</v>
      </c>
      <c r="F2637" s="79">
        <v>17.87</v>
      </c>
      <c r="G2637" s="81"/>
      <c r="N2637" s="240"/>
      <c r="O2637" s="241"/>
      <c r="P2637" s="213"/>
    </row>
    <row r="2638" spans="1:16" ht="12">
      <c r="A2638" s="83" t="s">
        <v>4892</v>
      </c>
      <c r="B2638" s="257" t="s">
        <v>4893</v>
      </c>
      <c r="C2638" s="258" t="s">
        <v>103</v>
      </c>
      <c r="D2638" s="79">
        <v>28.87</v>
      </c>
      <c r="F2638" s="79">
        <v>28.87</v>
      </c>
      <c r="G2638" s="81"/>
      <c r="N2638" s="240"/>
      <c r="O2638" s="241"/>
      <c r="P2638" s="213"/>
    </row>
    <row r="2639" spans="1:16" ht="12">
      <c r="A2639" s="83" t="s">
        <v>4894</v>
      </c>
      <c r="B2639" s="257" t="s">
        <v>4895</v>
      </c>
      <c r="C2639" s="258" t="s">
        <v>103</v>
      </c>
      <c r="D2639" s="79">
        <v>14.69</v>
      </c>
      <c r="F2639" s="79">
        <v>14.69</v>
      </c>
      <c r="G2639" s="81"/>
      <c r="N2639" s="240"/>
      <c r="O2639" s="241"/>
      <c r="P2639" s="213"/>
    </row>
    <row r="2640" spans="1:16" ht="12">
      <c r="A2640" s="83" t="s">
        <v>4896</v>
      </c>
      <c r="B2640" s="257" t="s">
        <v>4897</v>
      </c>
      <c r="C2640" s="258" t="s">
        <v>103</v>
      </c>
      <c r="D2640" s="79">
        <v>26.04</v>
      </c>
      <c r="F2640" s="79">
        <v>26.04</v>
      </c>
      <c r="G2640" s="81"/>
      <c r="N2640" s="240"/>
      <c r="O2640" s="241"/>
      <c r="P2640" s="213"/>
    </row>
    <row r="2641" spans="1:16" ht="36">
      <c r="A2641" s="83" t="s">
        <v>4898</v>
      </c>
      <c r="B2641" s="257" t="s">
        <v>4899</v>
      </c>
      <c r="C2641" s="258" t="s">
        <v>103</v>
      </c>
      <c r="D2641" s="79">
        <v>17.38</v>
      </c>
      <c r="F2641" s="79">
        <v>17.38</v>
      </c>
      <c r="G2641" s="81"/>
      <c r="N2641" s="240"/>
      <c r="O2641" s="241"/>
      <c r="P2641" s="213"/>
    </row>
    <row r="2642" spans="1:16" ht="24">
      <c r="A2642" s="83" t="s">
        <v>4900</v>
      </c>
      <c r="B2642" s="257" t="s">
        <v>42093</v>
      </c>
      <c r="C2642" s="258" t="s">
        <v>103</v>
      </c>
      <c r="D2642" s="79">
        <v>4.9000000000000004</v>
      </c>
      <c r="F2642" s="79">
        <v>4.9000000000000004</v>
      </c>
      <c r="G2642" s="81"/>
      <c r="N2642" s="240"/>
      <c r="O2642" s="241"/>
      <c r="P2642" s="213"/>
    </row>
    <row r="2643" spans="1:16" ht="24">
      <c r="A2643" s="83" t="s">
        <v>4901</v>
      </c>
      <c r="B2643" s="257" t="s">
        <v>28213</v>
      </c>
      <c r="C2643" s="258" t="s">
        <v>103</v>
      </c>
      <c r="D2643" s="79">
        <v>182.18</v>
      </c>
      <c r="F2643" s="79">
        <v>182.18</v>
      </c>
      <c r="G2643" s="81"/>
      <c r="N2643" s="240"/>
      <c r="O2643" s="241"/>
      <c r="P2643" s="213"/>
    </row>
    <row r="2644" spans="1:16" ht="12">
      <c r="A2644" s="83" t="s">
        <v>4902</v>
      </c>
      <c r="B2644" s="257" t="s">
        <v>4903</v>
      </c>
      <c r="C2644" s="258" t="s">
        <v>103</v>
      </c>
      <c r="D2644" s="79">
        <v>47.14</v>
      </c>
      <c r="F2644" s="79">
        <v>47.14</v>
      </c>
      <c r="G2644" s="81"/>
      <c r="N2644" s="240"/>
      <c r="O2644" s="241"/>
      <c r="P2644" s="213"/>
    </row>
    <row r="2645" spans="1:16" ht="12">
      <c r="A2645" s="83" t="s">
        <v>4904</v>
      </c>
      <c r="B2645" s="257" t="s">
        <v>4905</v>
      </c>
      <c r="C2645" s="258" t="s">
        <v>103</v>
      </c>
      <c r="D2645" s="79">
        <v>10.81</v>
      </c>
      <c r="F2645" s="79">
        <v>10.81</v>
      </c>
      <c r="G2645" s="81"/>
      <c r="N2645" s="240"/>
      <c r="O2645" s="241"/>
      <c r="P2645" s="213"/>
    </row>
    <row r="2646" spans="1:16" ht="12">
      <c r="A2646" s="83" t="s">
        <v>4906</v>
      </c>
      <c r="B2646" s="257" t="s">
        <v>4907</v>
      </c>
      <c r="C2646" s="258" t="s">
        <v>103</v>
      </c>
      <c r="D2646" s="79">
        <v>9.16</v>
      </c>
      <c r="F2646" s="79">
        <v>9.16</v>
      </c>
      <c r="G2646" s="81"/>
      <c r="N2646" s="240"/>
      <c r="O2646" s="241"/>
      <c r="P2646" s="213"/>
    </row>
    <row r="2647" spans="1:16" ht="12">
      <c r="A2647" s="83" t="s">
        <v>4908</v>
      </c>
      <c r="B2647" s="257" t="s">
        <v>4909</v>
      </c>
      <c r="C2647" s="258" t="s">
        <v>103</v>
      </c>
      <c r="D2647" s="79">
        <v>48.17</v>
      </c>
      <c r="F2647" s="79">
        <v>48.17</v>
      </c>
      <c r="G2647" s="81"/>
      <c r="N2647" s="240"/>
      <c r="O2647" s="241"/>
      <c r="P2647" s="213"/>
    </row>
    <row r="2648" spans="1:16" ht="24">
      <c r="A2648" s="83" t="s">
        <v>4910</v>
      </c>
      <c r="B2648" s="257" t="s">
        <v>4911</v>
      </c>
      <c r="C2648" s="258" t="s">
        <v>103</v>
      </c>
      <c r="D2648" s="79">
        <v>231.79</v>
      </c>
      <c r="F2648" s="79">
        <v>231.79</v>
      </c>
      <c r="G2648" s="81"/>
      <c r="N2648" s="240"/>
      <c r="O2648" s="241"/>
      <c r="P2648" s="213"/>
    </row>
    <row r="2649" spans="1:16" ht="24">
      <c r="A2649" s="83" t="s">
        <v>4912</v>
      </c>
      <c r="B2649" s="257" t="s">
        <v>4913</v>
      </c>
      <c r="C2649" s="258" t="s">
        <v>103</v>
      </c>
      <c r="D2649" s="79">
        <v>285.63</v>
      </c>
      <c r="F2649" s="79">
        <v>285.63</v>
      </c>
      <c r="G2649" s="81"/>
      <c r="N2649" s="240"/>
      <c r="O2649" s="241"/>
      <c r="P2649" s="213"/>
    </row>
    <row r="2650" spans="1:16" ht="12">
      <c r="A2650" s="83" t="s">
        <v>4914</v>
      </c>
      <c r="B2650" s="257" t="s">
        <v>4915</v>
      </c>
      <c r="C2650" s="258" t="s">
        <v>103</v>
      </c>
      <c r="D2650" s="79">
        <v>6.16</v>
      </c>
      <c r="F2650" s="79">
        <v>6.16</v>
      </c>
      <c r="G2650" s="81"/>
      <c r="N2650" s="240"/>
      <c r="O2650" s="241"/>
      <c r="P2650" s="213"/>
    </row>
    <row r="2651" spans="1:16" ht="12">
      <c r="A2651" s="83" t="s">
        <v>4916</v>
      </c>
      <c r="B2651" s="257" t="s">
        <v>4917</v>
      </c>
      <c r="C2651" s="258" t="s">
        <v>103</v>
      </c>
      <c r="D2651" s="79">
        <v>31.05</v>
      </c>
      <c r="F2651" s="79">
        <v>31.05</v>
      </c>
      <c r="G2651" s="81"/>
      <c r="N2651" s="240"/>
      <c r="O2651" s="241"/>
      <c r="P2651" s="213"/>
    </row>
    <row r="2652" spans="1:16" ht="12">
      <c r="A2652" s="83" t="s">
        <v>4918</v>
      </c>
      <c r="B2652" s="257" t="s">
        <v>4919</v>
      </c>
      <c r="C2652" s="258" t="s">
        <v>103</v>
      </c>
      <c r="D2652" s="79">
        <v>17.89</v>
      </c>
      <c r="F2652" s="79">
        <v>17.89</v>
      </c>
      <c r="G2652" s="81"/>
      <c r="N2652" s="240"/>
      <c r="O2652" s="241"/>
      <c r="P2652" s="213"/>
    </row>
    <row r="2653" spans="1:16" ht="12">
      <c r="A2653" s="83" t="s">
        <v>4920</v>
      </c>
      <c r="B2653" s="257" t="s">
        <v>4921</v>
      </c>
      <c r="C2653" s="258" t="s">
        <v>103</v>
      </c>
      <c r="D2653" s="79">
        <v>54.3</v>
      </c>
      <c r="F2653" s="79">
        <v>54.3</v>
      </c>
      <c r="G2653" s="81"/>
      <c r="N2653" s="240"/>
      <c r="O2653" s="241"/>
      <c r="P2653" s="213"/>
    </row>
    <row r="2654" spans="1:16" ht="12">
      <c r="A2654" s="83" t="s">
        <v>4922</v>
      </c>
      <c r="B2654" s="257" t="s">
        <v>4923</v>
      </c>
      <c r="C2654" s="258" t="s">
        <v>103</v>
      </c>
      <c r="D2654" s="79">
        <v>33.869999999999997</v>
      </c>
      <c r="F2654" s="79">
        <v>33.869999999999997</v>
      </c>
      <c r="G2654" s="81"/>
      <c r="N2654" s="240"/>
      <c r="O2654" s="241"/>
      <c r="P2654" s="213"/>
    </row>
    <row r="2655" spans="1:16" ht="12">
      <c r="A2655" s="83" t="s">
        <v>4924</v>
      </c>
      <c r="B2655" s="257" t="s">
        <v>4925</v>
      </c>
      <c r="C2655" s="258" t="s">
        <v>103</v>
      </c>
      <c r="D2655" s="79">
        <v>52.56</v>
      </c>
      <c r="F2655" s="79">
        <v>52.56</v>
      </c>
      <c r="G2655" s="81"/>
      <c r="N2655" s="240"/>
      <c r="O2655" s="241"/>
      <c r="P2655" s="213"/>
    </row>
    <row r="2656" spans="1:16" ht="12">
      <c r="A2656" s="83" t="s">
        <v>4926</v>
      </c>
      <c r="B2656" s="257" t="s">
        <v>4927</v>
      </c>
      <c r="C2656" s="258" t="s">
        <v>103</v>
      </c>
      <c r="D2656" s="79">
        <v>91.59</v>
      </c>
      <c r="F2656" s="79">
        <v>91.59</v>
      </c>
      <c r="G2656" s="81"/>
      <c r="N2656" s="240"/>
      <c r="O2656" s="241"/>
      <c r="P2656" s="213"/>
    </row>
    <row r="2657" spans="1:16" ht="12">
      <c r="A2657" s="83" t="s">
        <v>4928</v>
      </c>
      <c r="B2657" s="257" t="s">
        <v>4929</v>
      </c>
      <c r="C2657" s="258" t="s">
        <v>103</v>
      </c>
      <c r="D2657" s="79">
        <v>10.18</v>
      </c>
      <c r="F2657" s="79">
        <v>10.18</v>
      </c>
      <c r="G2657" s="81"/>
      <c r="N2657" s="240"/>
      <c r="O2657" s="241"/>
      <c r="P2657" s="213"/>
    </row>
    <row r="2658" spans="1:16" ht="12">
      <c r="A2658" s="83" t="s">
        <v>4930</v>
      </c>
      <c r="B2658" s="257" t="s">
        <v>4931</v>
      </c>
      <c r="C2658" s="258" t="s">
        <v>165</v>
      </c>
      <c r="D2658" s="79">
        <v>193.76</v>
      </c>
      <c r="F2658" s="79">
        <v>193.76</v>
      </c>
      <c r="G2658" s="81"/>
      <c r="N2658" s="240"/>
      <c r="O2658" s="241"/>
      <c r="P2658" s="213"/>
    </row>
    <row r="2659" spans="1:16" ht="24">
      <c r="A2659" s="83" t="s">
        <v>4932</v>
      </c>
      <c r="B2659" s="257" t="s">
        <v>4933</v>
      </c>
      <c r="C2659" s="258" t="s">
        <v>103</v>
      </c>
      <c r="D2659" s="79">
        <v>427.69</v>
      </c>
      <c r="F2659" s="79">
        <v>427.69</v>
      </c>
      <c r="G2659" s="81"/>
      <c r="N2659" s="240"/>
      <c r="O2659" s="241"/>
      <c r="P2659" s="213"/>
    </row>
    <row r="2660" spans="1:16" ht="24">
      <c r="A2660" s="83" t="s">
        <v>4934</v>
      </c>
      <c r="B2660" s="257" t="s">
        <v>4935</v>
      </c>
      <c r="C2660" s="258" t="s">
        <v>103</v>
      </c>
      <c r="D2660" s="79">
        <v>290.31</v>
      </c>
      <c r="F2660" s="79">
        <v>290.31</v>
      </c>
      <c r="G2660" s="81"/>
      <c r="N2660" s="240"/>
      <c r="O2660" s="241"/>
      <c r="P2660" s="213"/>
    </row>
    <row r="2661" spans="1:16" ht="12">
      <c r="A2661" s="83" t="s">
        <v>4936</v>
      </c>
      <c r="B2661" s="257" t="s">
        <v>4937</v>
      </c>
      <c r="C2661" s="258" t="s">
        <v>207</v>
      </c>
      <c r="D2661" s="79">
        <v>77.900000000000006</v>
      </c>
      <c r="F2661" s="79">
        <v>77.900000000000006</v>
      </c>
      <c r="G2661" s="81"/>
      <c r="N2661" s="240"/>
      <c r="O2661" s="241"/>
      <c r="P2661" s="213"/>
    </row>
    <row r="2662" spans="1:16" ht="12">
      <c r="A2662" s="83" t="s">
        <v>4938</v>
      </c>
      <c r="B2662" s="257" t="s">
        <v>4939</v>
      </c>
      <c r="C2662" s="258" t="s">
        <v>103</v>
      </c>
      <c r="D2662" s="79">
        <v>3.82</v>
      </c>
      <c r="F2662" s="79">
        <v>3.82</v>
      </c>
      <c r="G2662" s="81"/>
      <c r="N2662" s="240"/>
      <c r="O2662" s="241"/>
      <c r="P2662" s="213"/>
    </row>
    <row r="2663" spans="1:16" ht="24">
      <c r="A2663" s="83" t="s">
        <v>4940</v>
      </c>
      <c r="B2663" s="257" t="s">
        <v>4941</v>
      </c>
      <c r="C2663" s="258" t="s">
        <v>103</v>
      </c>
      <c r="D2663" s="79">
        <v>29.55</v>
      </c>
      <c r="F2663" s="79">
        <v>29.55</v>
      </c>
      <c r="G2663" s="81"/>
      <c r="N2663" s="240"/>
      <c r="O2663" s="241"/>
      <c r="P2663" s="213"/>
    </row>
    <row r="2664" spans="1:16" ht="12">
      <c r="A2664" s="83" t="s">
        <v>4942</v>
      </c>
      <c r="B2664" s="257" t="s">
        <v>4943</v>
      </c>
      <c r="C2664" s="258" t="s">
        <v>103</v>
      </c>
      <c r="D2664" s="79">
        <v>1.08</v>
      </c>
      <c r="F2664" s="79">
        <v>1.08</v>
      </c>
      <c r="G2664" s="81"/>
      <c r="N2664" s="240"/>
      <c r="O2664" s="241"/>
      <c r="P2664" s="213"/>
    </row>
    <row r="2665" spans="1:16" ht="12">
      <c r="A2665" s="83" t="s">
        <v>4944</v>
      </c>
      <c r="B2665" s="257" t="s">
        <v>4945</v>
      </c>
      <c r="C2665" s="258" t="s">
        <v>103</v>
      </c>
      <c r="D2665" s="79">
        <v>1.1499999999999999</v>
      </c>
      <c r="F2665" s="79">
        <v>1.1499999999999999</v>
      </c>
      <c r="G2665" s="81"/>
      <c r="N2665" s="240"/>
      <c r="O2665" s="241"/>
      <c r="P2665" s="213"/>
    </row>
    <row r="2666" spans="1:16" ht="12">
      <c r="A2666" s="83" t="s">
        <v>4946</v>
      </c>
      <c r="B2666" s="257" t="s">
        <v>4947</v>
      </c>
      <c r="C2666" s="258" t="s">
        <v>103</v>
      </c>
      <c r="D2666" s="79">
        <v>6.25</v>
      </c>
      <c r="F2666" s="79">
        <v>6.25</v>
      </c>
      <c r="G2666" s="81"/>
      <c r="N2666" s="240"/>
      <c r="O2666" s="241"/>
      <c r="P2666" s="213"/>
    </row>
    <row r="2667" spans="1:16" ht="24">
      <c r="A2667" s="83" t="s">
        <v>4948</v>
      </c>
      <c r="B2667" s="257" t="s">
        <v>4949</v>
      </c>
      <c r="C2667" s="258" t="s">
        <v>103</v>
      </c>
      <c r="D2667" s="79">
        <v>6.1</v>
      </c>
      <c r="F2667" s="79">
        <v>6.1</v>
      </c>
      <c r="G2667" s="81"/>
      <c r="N2667" s="240"/>
      <c r="O2667" s="241"/>
      <c r="P2667" s="213"/>
    </row>
    <row r="2668" spans="1:16" ht="12">
      <c r="A2668" s="83" t="s">
        <v>4950</v>
      </c>
      <c r="B2668" s="257" t="s">
        <v>4951</v>
      </c>
      <c r="C2668" s="258" t="s">
        <v>103</v>
      </c>
      <c r="D2668" s="79">
        <v>5.21</v>
      </c>
      <c r="F2668" s="79">
        <v>5.21</v>
      </c>
      <c r="G2668" s="81"/>
      <c r="N2668" s="240"/>
      <c r="O2668" s="241"/>
      <c r="P2668" s="213"/>
    </row>
    <row r="2669" spans="1:16" ht="24">
      <c r="A2669" s="83" t="s">
        <v>4952</v>
      </c>
      <c r="B2669" s="257" t="s">
        <v>4953</v>
      </c>
      <c r="C2669" s="258" t="s">
        <v>103</v>
      </c>
      <c r="D2669" s="79">
        <v>56.79</v>
      </c>
      <c r="F2669" s="79">
        <v>56.79</v>
      </c>
      <c r="G2669" s="81"/>
      <c r="N2669" s="240"/>
      <c r="O2669" s="241"/>
      <c r="P2669" s="213"/>
    </row>
    <row r="2670" spans="1:16" ht="24">
      <c r="A2670" s="83" t="s">
        <v>4954</v>
      </c>
      <c r="B2670" s="257" t="s">
        <v>4955</v>
      </c>
      <c r="C2670" s="258" t="s">
        <v>103</v>
      </c>
      <c r="D2670" s="79">
        <v>3.19</v>
      </c>
      <c r="F2670" s="79">
        <v>3.19</v>
      </c>
      <c r="G2670" s="81"/>
      <c r="N2670" s="240"/>
      <c r="O2670" s="241"/>
      <c r="P2670" s="213"/>
    </row>
    <row r="2671" spans="1:16" ht="24">
      <c r="A2671" s="83" t="s">
        <v>4956</v>
      </c>
      <c r="B2671" s="257" t="s">
        <v>4957</v>
      </c>
      <c r="C2671" s="258" t="s">
        <v>103</v>
      </c>
      <c r="D2671" s="79">
        <v>5.22</v>
      </c>
      <c r="F2671" s="79">
        <v>5.22</v>
      </c>
      <c r="G2671" s="81"/>
      <c r="N2671" s="240"/>
      <c r="O2671" s="241"/>
      <c r="P2671" s="213"/>
    </row>
    <row r="2672" spans="1:16" ht="24">
      <c r="A2672" s="83" t="s">
        <v>4958</v>
      </c>
      <c r="B2672" s="257" t="s">
        <v>4959</v>
      </c>
      <c r="C2672" s="258" t="s">
        <v>103</v>
      </c>
      <c r="D2672" s="79">
        <v>8.0299999999999994</v>
      </c>
      <c r="F2672" s="79">
        <v>8.0299999999999994</v>
      </c>
      <c r="G2672" s="81"/>
      <c r="N2672" s="240"/>
      <c r="O2672" s="241"/>
      <c r="P2672" s="213"/>
    </row>
    <row r="2673" spans="1:16" ht="24">
      <c r="A2673" s="83" t="s">
        <v>4960</v>
      </c>
      <c r="B2673" s="257" t="s">
        <v>4961</v>
      </c>
      <c r="C2673" s="258" t="s">
        <v>103</v>
      </c>
      <c r="D2673" s="79">
        <v>7.1</v>
      </c>
      <c r="F2673" s="79">
        <v>7.1</v>
      </c>
      <c r="G2673" s="81"/>
      <c r="N2673" s="240"/>
      <c r="O2673" s="241"/>
      <c r="P2673" s="213"/>
    </row>
    <row r="2674" spans="1:16" ht="24">
      <c r="A2674" s="83" t="s">
        <v>4962</v>
      </c>
      <c r="B2674" s="257" t="s">
        <v>4963</v>
      </c>
      <c r="C2674" s="258" t="s">
        <v>103</v>
      </c>
      <c r="D2674" s="79">
        <v>99.19</v>
      </c>
      <c r="F2674" s="79">
        <v>99.19</v>
      </c>
      <c r="G2674" s="81"/>
      <c r="N2674" s="240"/>
      <c r="O2674" s="241"/>
      <c r="P2674" s="213"/>
    </row>
    <row r="2675" spans="1:16" ht="24">
      <c r="A2675" s="67" t="s">
        <v>4964</v>
      </c>
      <c r="B2675" s="65" t="s">
        <v>4965</v>
      </c>
      <c r="C2675" s="71" t="s">
        <v>509</v>
      </c>
      <c r="D2675" s="79">
        <v>276</v>
      </c>
      <c r="F2675" s="79">
        <v>276</v>
      </c>
      <c r="G2675" s="81"/>
      <c r="N2675" s="133"/>
      <c r="O2675" s="241"/>
      <c r="P2675" s="213"/>
    </row>
    <row r="2676" spans="1:16" ht="24">
      <c r="A2676" s="67" t="s">
        <v>4966</v>
      </c>
      <c r="B2676" s="65" t="s">
        <v>42094</v>
      </c>
      <c r="C2676" s="71" t="s">
        <v>165</v>
      </c>
      <c r="D2676" s="79">
        <v>61.42</v>
      </c>
      <c r="F2676" s="79">
        <v>61.42</v>
      </c>
      <c r="G2676" s="81"/>
      <c r="N2676" s="133"/>
      <c r="O2676" s="241"/>
      <c r="P2676" s="213"/>
    </row>
    <row r="2677" spans="1:16" ht="24">
      <c r="A2677" s="256" t="s">
        <v>4967</v>
      </c>
      <c r="B2677" s="274" t="s">
        <v>4968</v>
      </c>
      <c r="C2677" s="262" t="s">
        <v>103</v>
      </c>
      <c r="D2677" s="79">
        <v>42.61</v>
      </c>
      <c r="F2677" s="522">
        <v>42.61</v>
      </c>
    </row>
    <row r="2678" spans="1:16" ht="12">
      <c r="A2678" s="83" t="s">
        <v>4969</v>
      </c>
      <c r="B2678" s="257" t="s">
        <v>4970</v>
      </c>
      <c r="C2678" s="258" t="s">
        <v>165</v>
      </c>
      <c r="D2678" s="79">
        <v>9.02</v>
      </c>
      <c r="F2678" s="79">
        <v>9.02</v>
      </c>
      <c r="G2678" s="81"/>
      <c r="N2678" s="240"/>
      <c r="O2678" s="241"/>
      <c r="P2678" s="213"/>
    </row>
    <row r="2679" spans="1:16" ht="12">
      <c r="A2679" s="83" t="s">
        <v>4971</v>
      </c>
      <c r="B2679" s="257" t="s">
        <v>4972</v>
      </c>
      <c r="C2679" s="258" t="s">
        <v>165</v>
      </c>
      <c r="D2679" s="79">
        <v>19.16</v>
      </c>
      <c r="F2679" s="79">
        <v>19.16</v>
      </c>
      <c r="G2679" s="81"/>
      <c r="N2679" s="240"/>
      <c r="O2679" s="241"/>
      <c r="P2679" s="213"/>
    </row>
    <row r="2680" spans="1:16" ht="12">
      <c r="A2680" s="83" t="s">
        <v>4973</v>
      </c>
      <c r="B2680" s="257" t="s">
        <v>4974</v>
      </c>
      <c r="C2680" s="258" t="s">
        <v>103</v>
      </c>
      <c r="D2680" s="79">
        <v>212.1</v>
      </c>
      <c r="F2680" s="79">
        <v>212.1</v>
      </c>
      <c r="G2680" s="81"/>
      <c r="N2680" s="240"/>
      <c r="O2680" s="241"/>
      <c r="P2680" s="213"/>
    </row>
    <row r="2681" spans="1:16" ht="12">
      <c r="A2681" s="67" t="s">
        <v>4975</v>
      </c>
      <c r="B2681" s="65" t="s">
        <v>4976</v>
      </c>
      <c r="C2681" s="71" t="s">
        <v>103</v>
      </c>
      <c r="D2681" s="79">
        <v>9.1999999999999993</v>
      </c>
      <c r="F2681" s="79">
        <v>9.1999999999999993</v>
      </c>
      <c r="G2681" s="81"/>
      <c r="N2681" s="133"/>
      <c r="O2681" s="241"/>
      <c r="P2681" s="213"/>
    </row>
    <row r="2682" spans="1:16" ht="12">
      <c r="A2682" s="67" t="s">
        <v>4977</v>
      </c>
      <c r="B2682" s="65" t="s">
        <v>4978</v>
      </c>
      <c r="C2682" s="71" t="s">
        <v>103</v>
      </c>
      <c r="D2682" s="79">
        <v>19.18</v>
      </c>
      <c r="F2682" s="79">
        <v>19.18</v>
      </c>
      <c r="G2682" s="81"/>
      <c r="N2682" s="133"/>
      <c r="O2682" s="241"/>
      <c r="P2682" s="213"/>
    </row>
    <row r="2683" spans="1:16" ht="12">
      <c r="A2683" s="67" t="s">
        <v>4979</v>
      </c>
      <c r="B2683" s="65" t="s">
        <v>4980</v>
      </c>
      <c r="C2683" s="71" t="s">
        <v>103</v>
      </c>
      <c r="D2683" s="79">
        <v>40.909999999999997</v>
      </c>
      <c r="F2683" s="79">
        <v>40.909999999999997</v>
      </c>
      <c r="G2683" s="81"/>
      <c r="N2683" s="133"/>
      <c r="O2683" s="241"/>
      <c r="P2683" s="213"/>
    </row>
    <row r="2684" spans="1:16" ht="12">
      <c r="A2684" s="67" t="s">
        <v>4981</v>
      </c>
      <c r="B2684" s="65" t="s">
        <v>4982</v>
      </c>
      <c r="C2684" s="71" t="s">
        <v>103</v>
      </c>
      <c r="D2684" s="79">
        <v>141.1</v>
      </c>
      <c r="F2684" s="79">
        <v>141.1</v>
      </c>
      <c r="G2684" s="81"/>
      <c r="N2684" s="133"/>
      <c r="O2684" s="241"/>
      <c r="P2684" s="213"/>
    </row>
    <row r="2685" spans="1:16" ht="12">
      <c r="A2685" s="67" t="s">
        <v>4983</v>
      </c>
      <c r="B2685" s="65" t="s">
        <v>4984</v>
      </c>
      <c r="C2685" s="71" t="s">
        <v>103</v>
      </c>
      <c r="D2685" s="79">
        <v>80.930000000000007</v>
      </c>
      <c r="F2685" s="79">
        <v>80.930000000000007</v>
      </c>
      <c r="G2685" s="81"/>
      <c r="N2685" s="133"/>
      <c r="O2685" s="241"/>
      <c r="P2685" s="213"/>
    </row>
    <row r="2686" spans="1:16" ht="24">
      <c r="A2686" s="67" t="s">
        <v>4985</v>
      </c>
      <c r="B2686" s="65" t="s">
        <v>4986</v>
      </c>
      <c r="C2686" s="71" t="s">
        <v>103</v>
      </c>
      <c r="D2686" s="79">
        <v>88.37</v>
      </c>
      <c r="F2686" s="79">
        <v>88.37</v>
      </c>
      <c r="G2686" s="81"/>
      <c r="N2686" s="133"/>
      <c r="O2686" s="241"/>
      <c r="P2686" s="213"/>
    </row>
    <row r="2687" spans="1:16" ht="24">
      <c r="A2687" s="67" t="s">
        <v>4987</v>
      </c>
      <c r="B2687" s="65" t="s">
        <v>4988</v>
      </c>
      <c r="C2687" s="71" t="s">
        <v>103</v>
      </c>
      <c r="D2687" s="79">
        <v>137.99</v>
      </c>
      <c r="F2687" s="79">
        <v>137.99</v>
      </c>
      <c r="G2687" s="81"/>
      <c r="N2687" s="133"/>
      <c r="O2687" s="241"/>
      <c r="P2687" s="213"/>
    </row>
    <row r="2688" spans="1:16" ht="24">
      <c r="A2688" s="67" t="s">
        <v>4989</v>
      </c>
      <c r="B2688" s="65" t="s">
        <v>4990</v>
      </c>
      <c r="C2688" s="71" t="s">
        <v>103</v>
      </c>
      <c r="D2688" s="79">
        <v>163.77000000000001</v>
      </c>
      <c r="F2688" s="79">
        <v>163.77000000000001</v>
      </c>
      <c r="G2688" s="81"/>
      <c r="N2688" s="133"/>
      <c r="O2688" s="241"/>
      <c r="P2688" s="213"/>
    </row>
    <row r="2689" spans="1:16" ht="24">
      <c r="A2689" s="67" t="s">
        <v>4991</v>
      </c>
      <c r="B2689" s="65" t="s">
        <v>4992</v>
      </c>
      <c r="C2689" s="71" t="s">
        <v>103</v>
      </c>
      <c r="D2689" s="79">
        <v>166.23</v>
      </c>
      <c r="F2689" s="79">
        <v>166.23</v>
      </c>
      <c r="G2689" s="81"/>
      <c r="N2689" s="133"/>
      <c r="O2689" s="241"/>
      <c r="P2689" s="213"/>
    </row>
    <row r="2690" spans="1:16" ht="24">
      <c r="A2690" s="67" t="s">
        <v>4993</v>
      </c>
      <c r="B2690" s="65" t="s">
        <v>4994</v>
      </c>
      <c r="C2690" s="71" t="s">
        <v>103</v>
      </c>
      <c r="D2690" s="79">
        <v>77.89</v>
      </c>
      <c r="F2690" s="79">
        <v>77.89</v>
      </c>
      <c r="G2690" s="81"/>
      <c r="N2690" s="133"/>
      <c r="O2690" s="241"/>
      <c r="P2690" s="213"/>
    </row>
    <row r="2691" spans="1:16" ht="24">
      <c r="A2691" s="67" t="s">
        <v>4995</v>
      </c>
      <c r="B2691" s="65" t="s">
        <v>4996</v>
      </c>
      <c r="C2691" s="71" t="s">
        <v>103</v>
      </c>
      <c r="D2691" s="79">
        <v>97.27</v>
      </c>
      <c r="F2691" s="79">
        <v>97.27</v>
      </c>
      <c r="G2691" s="81"/>
      <c r="N2691" s="133"/>
      <c r="O2691" s="241"/>
      <c r="P2691" s="213"/>
    </row>
    <row r="2692" spans="1:16" ht="24">
      <c r="A2692" s="67" t="s">
        <v>4997</v>
      </c>
      <c r="B2692" s="65" t="s">
        <v>4998</v>
      </c>
      <c r="C2692" s="71" t="s">
        <v>103</v>
      </c>
      <c r="D2692" s="79">
        <v>88.74</v>
      </c>
      <c r="F2692" s="79">
        <v>88.74</v>
      </c>
      <c r="G2692" s="81"/>
      <c r="N2692" s="133"/>
      <c r="O2692" s="241"/>
      <c r="P2692" s="213"/>
    </row>
    <row r="2693" spans="1:16" ht="24">
      <c r="A2693" s="67" t="s">
        <v>4999</v>
      </c>
      <c r="B2693" s="65" t="s">
        <v>5000</v>
      </c>
      <c r="C2693" s="71" t="s">
        <v>103</v>
      </c>
      <c r="D2693" s="79">
        <v>194.86</v>
      </c>
      <c r="F2693" s="79">
        <v>194.86</v>
      </c>
      <c r="G2693" s="81"/>
      <c r="N2693" s="133"/>
      <c r="O2693" s="241"/>
      <c r="P2693" s="213"/>
    </row>
    <row r="2694" spans="1:16" ht="24">
      <c r="A2694" s="67" t="s">
        <v>5001</v>
      </c>
      <c r="B2694" s="65" t="s">
        <v>5002</v>
      </c>
      <c r="C2694" s="71" t="s">
        <v>103</v>
      </c>
      <c r="D2694" s="79">
        <v>195.73</v>
      </c>
      <c r="F2694" s="79">
        <v>195.73</v>
      </c>
      <c r="G2694" s="81"/>
      <c r="N2694" s="133"/>
      <c r="O2694" s="241"/>
      <c r="P2694" s="213"/>
    </row>
    <row r="2695" spans="1:16" ht="24">
      <c r="A2695" s="67" t="s">
        <v>5003</v>
      </c>
      <c r="B2695" s="65" t="s">
        <v>5004</v>
      </c>
      <c r="C2695" s="71" t="s">
        <v>103</v>
      </c>
      <c r="D2695" s="79">
        <v>198.89</v>
      </c>
      <c r="F2695" s="79">
        <v>198.89</v>
      </c>
      <c r="G2695" s="81"/>
      <c r="N2695" s="133"/>
      <c r="O2695" s="241"/>
      <c r="P2695" s="213"/>
    </row>
    <row r="2696" spans="1:16" ht="24">
      <c r="A2696" s="67" t="s">
        <v>5005</v>
      </c>
      <c r="B2696" s="65" t="s">
        <v>5006</v>
      </c>
      <c r="C2696" s="71" t="s">
        <v>103</v>
      </c>
      <c r="D2696" s="79">
        <v>210.36</v>
      </c>
      <c r="F2696" s="79">
        <v>210.36</v>
      </c>
      <c r="G2696" s="81"/>
      <c r="N2696" s="133"/>
      <c r="O2696" s="241"/>
      <c r="P2696" s="213"/>
    </row>
    <row r="2697" spans="1:16" ht="24">
      <c r="A2697" s="67" t="s">
        <v>5007</v>
      </c>
      <c r="B2697" s="65" t="s">
        <v>5008</v>
      </c>
      <c r="C2697" s="71" t="s">
        <v>103</v>
      </c>
      <c r="D2697" s="79">
        <v>71.58</v>
      </c>
      <c r="F2697" s="79">
        <v>71.58</v>
      </c>
      <c r="G2697" s="81"/>
      <c r="N2697" s="133"/>
      <c r="O2697" s="241"/>
      <c r="P2697" s="213"/>
    </row>
    <row r="2698" spans="1:16" ht="24">
      <c r="A2698" s="67" t="s">
        <v>5009</v>
      </c>
      <c r="B2698" s="65" t="s">
        <v>5010</v>
      </c>
      <c r="C2698" s="71" t="s">
        <v>103</v>
      </c>
      <c r="D2698" s="79">
        <v>100.11</v>
      </c>
      <c r="F2698" s="79">
        <v>100.11</v>
      </c>
      <c r="G2698" s="81"/>
      <c r="N2698" s="133"/>
      <c r="O2698" s="241"/>
      <c r="P2698" s="213"/>
    </row>
    <row r="2699" spans="1:16" ht="24">
      <c r="A2699" s="67" t="s">
        <v>5011</v>
      </c>
      <c r="B2699" s="65" t="s">
        <v>5012</v>
      </c>
      <c r="C2699" s="71" t="s">
        <v>103</v>
      </c>
      <c r="D2699" s="79">
        <v>107.5</v>
      </c>
      <c r="F2699" s="79">
        <v>107.5</v>
      </c>
      <c r="G2699" s="81"/>
      <c r="N2699" s="133"/>
      <c r="O2699" s="241"/>
      <c r="P2699" s="213"/>
    </row>
    <row r="2700" spans="1:16" ht="24">
      <c r="A2700" s="67" t="s">
        <v>5013</v>
      </c>
      <c r="B2700" s="65" t="s">
        <v>5014</v>
      </c>
      <c r="C2700" s="71" t="s">
        <v>103</v>
      </c>
      <c r="D2700" s="79">
        <v>320.95999999999998</v>
      </c>
      <c r="F2700" s="79">
        <v>320.95999999999998</v>
      </c>
      <c r="G2700" s="81"/>
      <c r="N2700" s="133"/>
      <c r="O2700" s="241"/>
      <c r="P2700" s="213"/>
    </row>
    <row r="2701" spans="1:16" ht="24">
      <c r="A2701" s="67" t="s">
        <v>5015</v>
      </c>
      <c r="B2701" s="65" t="s">
        <v>5016</v>
      </c>
      <c r="C2701" s="71" t="s">
        <v>103</v>
      </c>
      <c r="D2701" s="79">
        <v>163.83000000000001</v>
      </c>
      <c r="F2701" s="79">
        <v>163.83000000000001</v>
      </c>
      <c r="G2701" s="81"/>
      <c r="N2701" s="133"/>
      <c r="O2701" s="241"/>
      <c r="P2701" s="213"/>
    </row>
    <row r="2702" spans="1:16" ht="24">
      <c r="A2702" s="67" t="s">
        <v>5017</v>
      </c>
      <c r="B2702" s="65" t="s">
        <v>5018</v>
      </c>
      <c r="C2702" s="71" t="s">
        <v>103</v>
      </c>
      <c r="D2702" s="79">
        <v>161.63</v>
      </c>
      <c r="F2702" s="79">
        <v>161.63</v>
      </c>
      <c r="G2702" s="81"/>
      <c r="N2702" s="133"/>
      <c r="O2702" s="241"/>
      <c r="P2702" s="213"/>
    </row>
    <row r="2703" spans="1:16" ht="24">
      <c r="A2703" s="67" t="s">
        <v>5019</v>
      </c>
      <c r="B2703" s="65" t="s">
        <v>5020</v>
      </c>
      <c r="C2703" s="71" t="s">
        <v>103</v>
      </c>
      <c r="D2703" s="79">
        <v>87.09</v>
      </c>
      <c r="F2703" s="79">
        <v>87.09</v>
      </c>
      <c r="G2703" s="81"/>
      <c r="N2703" s="133"/>
      <c r="O2703" s="241"/>
      <c r="P2703" s="213"/>
    </row>
    <row r="2704" spans="1:16" ht="24">
      <c r="A2704" s="67" t="s">
        <v>5021</v>
      </c>
      <c r="B2704" s="65" t="s">
        <v>5022</v>
      </c>
      <c r="C2704" s="71" t="s">
        <v>103</v>
      </c>
      <c r="D2704" s="79">
        <v>96.9</v>
      </c>
      <c r="F2704" s="79">
        <v>96.9</v>
      </c>
      <c r="G2704" s="81"/>
      <c r="N2704" s="133"/>
      <c r="O2704" s="241"/>
      <c r="P2704" s="213"/>
    </row>
    <row r="2705" spans="1:16" ht="24">
      <c r="A2705" s="67" t="s">
        <v>5023</v>
      </c>
      <c r="B2705" s="65" t="s">
        <v>5024</v>
      </c>
      <c r="C2705" s="71" t="s">
        <v>103</v>
      </c>
      <c r="D2705" s="79">
        <v>102.02</v>
      </c>
      <c r="F2705" s="79">
        <v>102.02</v>
      </c>
      <c r="G2705" s="81"/>
      <c r="N2705" s="133"/>
      <c r="O2705" s="241"/>
      <c r="P2705" s="213"/>
    </row>
    <row r="2706" spans="1:16" ht="12">
      <c r="A2706" s="67" t="s">
        <v>5025</v>
      </c>
      <c r="B2706" s="65" t="s">
        <v>5026</v>
      </c>
      <c r="C2706" s="71" t="s">
        <v>103</v>
      </c>
      <c r="D2706" s="79">
        <v>541.72</v>
      </c>
      <c r="F2706" s="79">
        <v>541.72</v>
      </c>
      <c r="G2706" s="81"/>
      <c r="N2706" s="133"/>
      <c r="O2706" s="241"/>
      <c r="P2706" s="213"/>
    </row>
    <row r="2707" spans="1:16" ht="12">
      <c r="A2707" s="83" t="s">
        <v>5027</v>
      </c>
      <c r="B2707" s="257" t="s">
        <v>5028</v>
      </c>
      <c r="C2707" s="258" t="s">
        <v>103</v>
      </c>
      <c r="D2707" s="79">
        <v>80.39</v>
      </c>
      <c r="F2707" s="79">
        <v>80.39</v>
      </c>
      <c r="G2707" s="81"/>
      <c r="N2707" s="240"/>
      <c r="O2707" s="241"/>
      <c r="P2707" s="213"/>
    </row>
    <row r="2708" spans="1:16" ht="12">
      <c r="A2708" s="83" t="s">
        <v>5029</v>
      </c>
      <c r="B2708" s="257" t="s">
        <v>5030</v>
      </c>
      <c r="C2708" s="258" t="s">
        <v>103</v>
      </c>
      <c r="D2708" s="79">
        <v>27.41</v>
      </c>
      <c r="F2708" s="79">
        <v>27.41</v>
      </c>
      <c r="G2708" s="81"/>
      <c r="N2708" s="240"/>
      <c r="O2708" s="241"/>
      <c r="P2708" s="213"/>
    </row>
    <row r="2709" spans="1:16" ht="24">
      <c r="A2709" s="83" t="s">
        <v>5031</v>
      </c>
      <c r="B2709" s="257" t="s">
        <v>5032</v>
      </c>
      <c r="C2709" s="258" t="s">
        <v>103</v>
      </c>
      <c r="D2709" s="79">
        <v>9.44</v>
      </c>
      <c r="F2709" s="79">
        <v>9.44</v>
      </c>
      <c r="G2709" s="81"/>
      <c r="N2709" s="240"/>
      <c r="O2709" s="241"/>
      <c r="P2709" s="213"/>
    </row>
    <row r="2710" spans="1:16" ht="12">
      <c r="A2710" s="83" t="s">
        <v>5033</v>
      </c>
      <c r="B2710" s="257" t="s">
        <v>5034</v>
      </c>
      <c r="C2710" s="258" t="s">
        <v>103</v>
      </c>
      <c r="D2710" s="79">
        <v>48.18</v>
      </c>
      <c r="F2710" s="79">
        <v>48.18</v>
      </c>
      <c r="G2710" s="81"/>
      <c r="N2710" s="240"/>
      <c r="O2710" s="241"/>
      <c r="P2710" s="213"/>
    </row>
    <row r="2711" spans="1:16" ht="12">
      <c r="A2711" s="83" t="s">
        <v>5035</v>
      </c>
      <c r="B2711" s="257" t="s">
        <v>5036</v>
      </c>
      <c r="C2711" s="258" t="s">
        <v>103</v>
      </c>
      <c r="D2711" s="79">
        <v>23.51</v>
      </c>
      <c r="F2711" s="79">
        <v>23.51</v>
      </c>
      <c r="G2711" s="81"/>
      <c r="N2711" s="240"/>
      <c r="O2711" s="241"/>
      <c r="P2711" s="213"/>
    </row>
    <row r="2712" spans="1:16" ht="12">
      <c r="A2712" s="83" t="s">
        <v>5037</v>
      </c>
      <c r="B2712" s="257" t="s">
        <v>5038</v>
      </c>
      <c r="C2712" s="258" t="s">
        <v>103</v>
      </c>
      <c r="D2712" s="79">
        <v>20.59</v>
      </c>
      <c r="F2712" s="79">
        <v>20.59</v>
      </c>
      <c r="G2712" s="81"/>
      <c r="N2712" s="240"/>
      <c r="O2712" s="241"/>
      <c r="P2712" s="213"/>
    </row>
    <row r="2713" spans="1:16" ht="12">
      <c r="A2713" s="83" t="s">
        <v>5039</v>
      </c>
      <c r="B2713" s="257" t="s">
        <v>5040</v>
      </c>
      <c r="C2713" s="258" t="s">
        <v>103</v>
      </c>
      <c r="D2713" s="79">
        <v>6.25</v>
      </c>
      <c r="F2713" s="79">
        <v>6.25</v>
      </c>
      <c r="G2713" s="81"/>
      <c r="N2713" s="240"/>
      <c r="O2713" s="241"/>
      <c r="P2713" s="213"/>
    </row>
    <row r="2714" spans="1:16" ht="12">
      <c r="A2714" s="83" t="s">
        <v>5041</v>
      </c>
      <c r="B2714" s="257" t="s">
        <v>5042</v>
      </c>
      <c r="C2714" s="258" t="s">
        <v>103</v>
      </c>
      <c r="D2714" s="79">
        <v>25.52</v>
      </c>
      <c r="F2714" s="79">
        <v>25.52</v>
      </c>
      <c r="G2714" s="81"/>
      <c r="N2714" s="240"/>
      <c r="O2714" s="241"/>
      <c r="P2714" s="213"/>
    </row>
    <row r="2715" spans="1:16" ht="12">
      <c r="A2715" s="83" t="s">
        <v>5043</v>
      </c>
      <c r="B2715" s="257" t="s">
        <v>5044</v>
      </c>
      <c r="C2715" s="258" t="s">
        <v>103</v>
      </c>
      <c r="D2715" s="79">
        <v>20.87</v>
      </c>
      <c r="F2715" s="79">
        <v>20.87</v>
      </c>
      <c r="G2715" s="81"/>
      <c r="N2715" s="240"/>
      <c r="O2715" s="241"/>
      <c r="P2715" s="213"/>
    </row>
    <row r="2716" spans="1:16" ht="12">
      <c r="A2716" s="83" t="s">
        <v>5045</v>
      </c>
      <c r="B2716" s="257" t="s">
        <v>5046</v>
      </c>
      <c r="C2716" s="258" t="s">
        <v>103</v>
      </c>
      <c r="D2716" s="79">
        <v>4.51</v>
      </c>
      <c r="F2716" s="79">
        <v>4.51</v>
      </c>
      <c r="G2716" s="81"/>
      <c r="N2716" s="240"/>
      <c r="O2716" s="241"/>
      <c r="P2716" s="213"/>
    </row>
    <row r="2717" spans="1:16" ht="12">
      <c r="A2717" s="83" t="s">
        <v>5047</v>
      </c>
      <c r="B2717" s="257" t="s">
        <v>5048</v>
      </c>
      <c r="C2717" s="258" t="s">
        <v>103</v>
      </c>
      <c r="D2717" s="79">
        <v>30.67</v>
      </c>
      <c r="F2717" s="79">
        <v>30.67</v>
      </c>
      <c r="G2717" s="81"/>
      <c r="N2717" s="240"/>
      <c r="O2717" s="241"/>
      <c r="P2717" s="213"/>
    </row>
    <row r="2718" spans="1:16" ht="24">
      <c r="A2718" s="83" t="s">
        <v>5049</v>
      </c>
      <c r="B2718" s="257" t="s">
        <v>5050</v>
      </c>
      <c r="C2718" s="258" t="s">
        <v>103</v>
      </c>
      <c r="D2718" s="79">
        <v>4.28</v>
      </c>
      <c r="F2718" s="79">
        <v>4.28</v>
      </c>
      <c r="G2718" s="81"/>
      <c r="N2718" s="240"/>
      <c r="O2718" s="241"/>
      <c r="P2718" s="213"/>
    </row>
    <row r="2719" spans="1:16" ht="12">
      <c r="A2719" s="83" t="s">
        <v>5051</v>
      </c>
      <c r="B2719" s="257" t="s">
        <v>5052</v>
      </c>
      <c r="C2719" s="258" t="s">
        <v>103</v>
      </c>
      <c r="D2719" s="79">
        <v>48.66</v>
      </c>
      <c r="F2719" s="79">
        <v>48.66</v>
      </c>
      <c r="G2719" s="81"/>
      <c r="N2719" s="240"/>
      <c r="O2719" s="241"/>
      <c r="P2719" s="213"/>
    </row>
    <row r="2720" spans="1:16" ht="12">
      <c r="A2720" s="83" t="s">
        <v>5053</v>
      </c>
      <c r="B2720" s="257" t="s">
        <v>5054</v>
      </c>
      <c r="C2720" s="258" t="s">
        <v>103</v>
      </c>
      <c r="D2720" s="79">
        <v>26.3</v>
      </c>
      <c r="F2720" s="79">
        <v>26.3</v>
      </c>
      <c r="G2720" s="81"/>
      <c r="N2720" s="240"/>
      <c r="O2720" s="241"/>
      <c r="P2720" s="213"/>
    </row>
    <row r="2721" spans="1:16" ht="12">
      <c r="A2721" s="83" t="s">
        <v>5055</v>
      </c>
      <c r="B2721" s="257" t="s">
        <v>5056</v>
      </c>
      <c r="C2721" s="258" t="s">
        <v>103</v>
      </c>
      <c r="D2721" s="79">
        <v>153.91999999999999</v>
      </c>
      <c r="F2721" s="79">
        <v>153.91999999999999</v>
      </c>
      <c r="G2721" s="81"/>
      <c r="N2721" s="240"/>
      <c r="O2721" s="241"/>
      <c r="P2721" s="213"/>
    </row>
    <row r="2722" spans="1:16" ht="12">
      <c r="A2722" s="83" t="s">
        <v>5057</v>
      </c>
      <c r="B2722" s="257" t="s">
        <v>5058</v>
      </c>
      <c r="C2722" s="258" t="s">
        <v>103</v>
      </c>
      <c r="D2722" s="79">
        <v>30.32</v>
      </c>
      <c r="F2722" s="79">
        <v>30.32</v>
      </c>
      <c r="G2722" s="81"/>
      <c r="N2722" s="240"/>
      <c r="O2722" s="241"/>
      <c r="P2722" s="213"/>
    </row>
    <row r="2723" spans="1:16" ht="24">
      <c r="A2723" s="83" t="s">
        <v>5059</v>
      </c>
      <c r="B2723" s="257" t="s">
        <v>5060</v>
      </c>
      <c r="C2723" s="258" t="s">
        <v>103</v>
      </c>
      <c r="D2723" s="79">
        <v>174.1</v>
      </c>
      <c r="F2723" s="79">
        <v>174.1</v>
      </c>
      <c r="G2723" s="81"/>
      <c r="N2723" s="240"/>
      <c r="O2723" s="241"/>
      <c r="P2723" s="213"/>
    </row>
    <row r="2724" spans="1:16" ht="12">
      <c r="A2724" s="83" t="s">
        <v>5061</v>
      </c>
      <c r="B2724" s="257" t="s">
        <v>5062</v>
      </c>
      <c r="C2724" s="258" t="s">
        <v>103</v>
      </c>
      <c r="D2724" s="79">
        <v>6.14</v>
      </c>
      <c r="F2724" s="79">
        <v>6.14</v>
      </c>
      <c r="G2724" s="81"/>
      <c r="N2724" s="240"/>
      <c r="O2724" s="241"/>
      <c r="P2724" s="213"/>
    </row>
    <row r="2725" spans="1:16" ht="12">
      <c r="A2725" s="83" t="s">
        <v>5063</v>
      </c>
      <c r="B2725" s="257" t="s">
        <v>5064</v>
      </c>
      <c r="C2725" s="258" t="s">
        <v>103</v>
      </c>
      <c r="D2725" s="79">
        <v>1.92</v>
      </c>
      <c r="F2725" s="79">
        <v>1.92</v>
      </c>
      <c r="G2725" s="81"/>
      <c r="N2725" s="240"/>
      <c r="O2725" s="241"/>
      <c r="P2725" s="213"/>
    </row>
    <row r="2726" spans="1:16" ht="24">
      <c r="A2726" s="83" t="s">
        <v>5065</v>
      </c>
      <c r="B2726" s="257" t="s">
        <v>5066</v>
      </c>
      <c r="C2726" s="258" t="s">
        <v>103</v>
      </c>
      <c r="D2726" s="79">
        <v>13.52</v>
      </c>
      <c r="F2726" s="79">
        <v>13.52</v>
      </c>
      <c r="G2726" s="81"/>
      <c r="N2726" s="240"/>
      <c r="O2726" s="241"/>
      <c r="P2726" s="213"/>
    </row>
    <row r="2727" spans="1:16" ht="12">
      <c r="A2727" s="83" t="s">
        <v>5067</v>
      </c>
      <c r="B2727" s="257" t="s">
        <v>5068</v>
      </c>
      <c r="C2727" s="258" t="s">
        <v>103</v>
      </c>
      <c r="D2727" s="79">
        <v>36.03</v>
      </c>
      <c r="F2727" s="79">
        <v>36.03</v>
      </c>
      <c r="G2727" s="81"/>
      <c r="N2727" s="240"/>
      <c r="O2727" s="241"/>
      <c r="P2727" s="213"/>
    </row>
    <row r="2728" spans="1:16" ht="12">
      <c r="A2728" s="83" t="s">
        <v>5069</v>
      </c>
      <c r="B2728" s="257" t="s">
        <v>5070</v>
      </c>
      <c r="C2728" s="258" t="s">
        <v>103</v>
      </c>
      <c r="D2728" s="79">
        <v>82.21</v>
      </c>
      <c r="F2728" s="79">
        <v>82.21</v>
      </c>
      <c r="G2728" s="81"/>
      <c r="N2728" s="240"/>
      <c r="O2728" s="241"/>
      <c r="P2728" s="213"/>
    </row>
    <row r="2729" spans="1:16" ht="12">
      <c r="A2729" s="83" t="s">
        <v>5071</v>
      </c>
      <c r="B2729" s="257" t="s">
        <v>5072</v>
      </c>
      <c r="C2729" s="258" t="s">
        <v>103</v>
      </c>
      <c r="D2729" s="79">
        <v>143.66</v>
      </c>
      <c r="F2729" s="79">
        <v>143.66</v>
      </c>
      <c r="G2729" s="81"/>
      <c r="N2729" s="240"/>
      <c r="O2729" s="241"/>
      <c r="P2729" s="213"/>
    </row>
    <row r="2730" spans="1:16" ht="12">
      <c r="A2730" s="83" t="s">
        <v>5073</v>
      </c>
      <c r="B2730" s="257" t="s">
        <v>5074</v>
      </c>
      <c r="C2730" s="258" t="s">
        <v>103</v>
      </c>
      <c r="D2730" s="79">
        <v>67.13</v>
      </c>
      <c r="F2730" s="79">
        <v>67.13</v>
      </c>
      <c r="G2730" s="81"/>
      <c r="N2730" s="240"/>
      <c r="O2730" s="241"/>
      <c r="P2730" s="213"/>
    </row>
    <row r="2731" spans="1:16" ht="24">
      <c r="A2731" s="83" t="s">
        <v>5075</v>
      </c>
      <c r="B2731" s="257" t="s">
        <v>5076</v>
      </c>
      <c r="C2731" s="258" t="s">
        <v>103</v>
      </c>
      <c r="D2731" s="79">
        <v>221.84</v>
      </c>
      <c r="F2731" s="79">
        <v>221.84</v>
      </c>
      <c r="G2731" s="81"/>
      <c r="N2731" s="240"/>
      <c r="O2731" s="241"/>
      <c r="P2731" s="213"/>
    </row>
    <row r="2732" spans="1:16" ht="24">
      <c r="A2732" s="83" t="s">
        <v>5077</v>
      </c>
      <c r="B2732" s="257" t="s">
        <v>5078</v>
      </c>
      <c r="C2732" s="258" t="s">
        <v>103</v>
      </c>
      <c r="D2732" s="79">
        <v>252.08</v>
      </c>
      <c r="F2732" s="79">
        <v>252.08</v>
      </c>
      <c r="G2732" s="81"/>
      <c r="N2732" s="240"/>
      <c r="O2732" s="241"/>
      <c r="P2732" s="213"/>
    </row>
    <row r="2733" spans="1:16" ht="24">
      <c r="A2733" s="83" t="s">
        <v>5079</v>
      </c>
      <c r="B2733" s="257" t="s">
        <v>5080</v>
      </c>
      <c r="C2733" s="258" t="s">
        <v>103</v>
      </c>
      <c r="D2733" s="79">
        <v>258.62</v>
      </c>
      <c r="F2733" s="79">
        <v>258.62</v>
      </c>
      <c r="G2733" s="81"/>
      <c r="N2733" s="240"/>
      <c r="O2733" s="241"/>
      <c r="P2733" s="213"/>
    </row>
    <row r="2734" spans="1:16" ht="24">
      <c r="A2734" s="83" t="s">
        <v>5081</v>
      </c>
      <c r="B2734" s="257" t="s">
        <v>5082</v>
      </c>
      <c r="C2734" s="258" t="s">
        <v>103</v>
      </c>
      <c r="D2734" s="79">
        <v>217.38</v>
      </c>
      <c r="F2734" s="79">
        <v>217.38</v>
      </c>
      <c r="G2734" s="81"/>
      <c r="N2734" s="240"/>
      <c r="O2734" s="241"/>
      <c r="P2734" s="213"/>
    </row>
    <row r="2735" spans="1:16" ht="24">
      <c r="A2735" s="83" t="s">
        <v>5083</v>
      </c>
      <c r="B2735" s="257" t="s">
        <v>29870</v>
      </c>
      <c r="C2735" s="258" t="s">
        <v>396</v>
      </c>
      <c r="D2735" s="79">
        <v>275.37</v>
      </c>
      <c r="F2735" s="79">
        <v>275.37</v>
      </c>
      <c r="G2735" s="81"/>
      <c r="N2735" s="240"/>
      <c r="O2735" s="241"/>
      <c r="P2735" s="213"/>
    </row>
    <row r="2736" spans="1:16" ht="24">
      <c r="A2736" s="83" t="s">
        <v>5084</v>
      </c>
      <c r="B2736" s="257" t="s">
        <v>29871</v>
      </c>
      <c r="C2736" s="258" t="s">
        <v>396</v>
      </c>
      <c r="D2736" s="79">
        <v>271.8</v>
      </c>
      <c r="F2736" s="79">
        <v>271.8</v>
      </c>
      <c r="G2736" s="81"/>
      <c r="N2736" s="240"/>
      <c r="O2736" s="241"/>
      <c r="P2736" s="213"/>
    </row>
    <row r="2737" spans="1:16" ht="12">
      <c r="A2737" s="83" t="s">
        <v>5088</v>
      </c>
      <c r="B2737" s="257" t="s">
        <v>5089</v>
      </c>
      <c r="C2737" s="258" t="s">
        <v>103</v>
      </c>
      <c r="D2737" s="79">
        <v>1925.9</v>
      </c>
      <c r="F2737" s="79">
        <v>1925.9</v>
      </c>
      <c r="G2737" s="81"/>
      <c r="N2737" s="240"/>
      <c r="O2737" s="241"/>
      <c r="P2737" s="213"/>
    </row>
    <row r="2738" spans="1:16" ht="12">
      <c r="A2738" s="83" t="s">
        <v>5090</v>
      </c>
      <c r="B2738" s="257" t="s">
        <v>5091</v>
      </c>
      <c r="C2738" s="258" t="s">
        <v>103</v>
      </c>
      <c r="D2738" s="79">
        <v>2359.67</v>
      </c>
      <c r="F2738" s="79">
        <v>2359.67</v>
      </c>
      <c r="G2738" s="81"/>
      <c r="N2738" s="240"/>
      <c r="O2738" s="241"/>
      <c r="P2738" s="213"/>
    </row>
    <row r="2739" spans="1:16" ht="12">
      <c r="A2739" s="83" t="s">
        <v>5092</v>
      </c>
      <c r="B2739" s="257" t="s">
        <v>5093</v>
      </c>
      <c r="C2739" s="258" t="s">
        <v>103</v>
      </c>
      <c r="D2739" s="79">
        <v>1663.61</v>
      </c>
      <c r="F2739" s="79">
        <v>1663.61</v>
      </c>
      <c r="G2739" s="81"/>
      <c r="N2739" s="240"/>
      <c r="O2739" s="241"/>
      <c r="P2739" s="213"/>
    </row>
    <row r="2740" spans="1:16" ht="12">
      <c r="A2740" s="83" t="s">
        <v>5094</v>
      </c>
      <c r="B2740" s="257" t="s">
        <v>5095</v>
      </c>
      <c r="C2740" s="258" t="s">
        <v>103</v>
      </c>
      <c r="D2740" s="79">
        <v>1719.92</v>
      </c>
      <c r="F2740" s="79">
        <v>1719.92</v>
      </c>
      <c r="G2740" s="81"/>
      <c r="N2740" s="240"/>
      <c r="O2740" s="241"/>
      <c r="P2740" s="213"/>
    </row>
    <row r="2741" spans="1:16" ht="12">
      <c r="A2741" s="63" t="s">
        <v>5096</v>
      </c>
      <c r="B2741" s="64" t="s">
        <v>5097</v>
      </c>
      <c r="C2741" s="258" t="s">
        <v>103</v>
      </c>
      <c r="D2741" s="79">
        <v>986.49</v>
      </c>
      <c r="F2741" s="79">
        <v>986.49</v>
      </c>
      <c r="G2741" s="81"/>
      <c r="N2741" s="61"/>
      <c r="O2741" s="241"/>
      <c r="P2741" s="213"/>
    </row>
    <row r="2742" spans="1:16" ht="12">
      <c r="A2742" s="83" t="s">
        <v>5098</v>
      </c>
      <c r="B2742" s="257" t="s">
        <v>5099</v>
      </c>
      <c r="C2742" s="258" t="s">
        <v>103</v>
      </c>
      <c r="D2742" s="79">
        <v>2230.41</v>
      </c>
      <c r="F2742" s="79">
        <v>2230.41</v>
      </c>
      <c r="G2742" s="81"/>
      <c r="N2742" s="240"/>
      <c r="O2742" s="241"/>
      <c r="P2742" s="213"/>
    </row>
    <row r="2743" spans="1:16" ht="12">
      <c r="A2743" s="83" t="s">
        <v>5100</v>
      </c>
      <c r="B2743" s="257" t="s">
        <v>5101</v>
      </c>
      <c r="C2743" s="258" t="s">
        <v>103</v>
      </c>
      <c r="D2743" s="79">
        <v>2708.5</v>
      </c>
      <c r="F2743" s="79">
        <v>2708.5</v>
      </c>
      <c r="G2743" s="81"/>
      <c r="N2743" s="240"/>
      <c r="O2743" s="241"/>
      <c r="P2743" s="213"/>
    </row>
    <row r="2744" spans="1:16" ht="12">
      <c r="A2744" s="83" t="s">
        <v>5102</v>
      </c>
      <c r="B2744" s="257" t="s">
        <v>5103</v>
      </c>
      <c r="C2744" s="258" t="s">
        <v>103</v>
      </c>
      <c r="D2744" s="79">
        <v>4469.1499999999996</v>
      </c>
      <c r="F2744" s="79">
        <v>4469.1499999999996</v>
      </c>
      <c r="G2744" s="81"/>
      <c r="N2744" s="240"/>
      <c r="O2744" s="241"/>
      <c r="P2744" s="213"/>
    </row>
    <row r="2745" spans="1:16" ht="12">
      <c r="A2745" s="83" t="s">
        <v>5104</v>
      </c>
      <c r="B2745" s="257" t="s">
        <v>5105</v>
      </c>
      <c r="C2745" s="258" t="s">
        <v>103</v>
      </c>
      <c r="D2745" s="79">
        <v>791.51</v>
      </c>
      <c r="F2745" s="79">
        <v>791.51</v>
      </c>
      <c r="G2745" s="81"/>
      <c r="N2745" s="240"/>
      <c r="O2745" s="241"/>
      <c r="P2745" s="213"/>
    </row>
    <row r="2746" spans="1:16" ht="12">
      <c r="A2746" s="83" t="s">
        <v>5106</v>
      </c>
      <c r="B2746" s="257" t="s">
        <v>5107</v>
      </c>
      <c r="C2746" s="258" t="s">
        <v>103</v>
      </c>
      <c r="D2746" s="79">
        <v>1330.21</v>
      </c>
      <c r="F2746" s="79">
        <v>1330.21</v>
      </c>
      <c r="G2746" s="81"/>
      <c r="N2746" s="240"/>
      <c r="O2746" s="241"/>
      <c r="P2746" s="213"/>
    </row>
    <row r="2747" spans="1:16" ht="12">
      <c r="A2747" s="83" t="s">
        <v>5108</v>
      </c>
      <c r="B2747" s="257" t="s">
        <v>5109</v>
      </c>
      <c r="C2747" s="258" t="s">
        <v>103</v>
      </c>
      <c r="D2747" s="79">
        <v>30.47</v>
      </c>
      <c r="F2747" s="79">
        <v>30.47</v>
      </c>
      <c r="G2747" s="81"/>
      <c r="N2747" s="240"/>
      <c r="O2747" s="241"/>
      <c r="P2747" s="213"/>
    </row>
    <row r="2748" spans="1:16" ht="24">
      <c r="A2748" s="63" t="s">
        <v>5110</v>
      </c>
      <c r="B2748" s="257" t="s">
        <v>5111</v>
      </c>
      <c r="C2748" s="258" t="s">
        <v>165</v>
      </c>
      <c r="D2748" s="79">
        <v>5.9</v>
      </c>
      <c r="F2748" s="79">
        <v>5.9</v>
      </c>
      <c r="G2748" s="81"/>
      <c r="N2748" s="61"/>
      <c r="O2748" s="241"/>
      <c r="P2748" s="213"/>
    </row>
    <row r="2749" spans="1:16" ht="24">
      <c r="A2749" s="63" t="s">
        <v>5112</v>
      </c>
      <c r="B2749" s="257" t="s">
        <v>5113</v>
      </c>
      <c r="C2749" s="258" t="s">
        <v>165</v>
      </c>
      <c r="D2749" s="79">
        <v>8.0399999999999991</v>
      </c>
      <c r="F2749" s="79">
        <v>8.0399999999999991</v>
      </c>
      <c r="G2749" s="81"/>
      <c r="N2749" s="61"/>
      <c r="O2749" s="241"/>
      <c r="P2749" s="213"/>
    </row>
    <row r="2750" spans="1:16" ht="24">
      <c r="A2750" s="63" t="s">
        <v>5114</v>
      </c>
      <c r="B2750" s="64" t="s">
        <v>5115</v>
      </c>
      <c r="C2750" s="258" t="s">
        <v>165</v>
      </c>
      <c r="D2750" s="79">
        <v>8.5399999999999991</v>
      </c>
      <c r="F2750" s="79">
        <v>8.5399999999999991</v>
      </c>
      <c r="G2750" s="81"/>
      <c r="N2750" s="61"/>
      <c r="O2750" s="241"/>
      <c r="P2750" s="213"/>
    </row>
    <row r="2751" spans="1:16" ht="24">
      <c r="A2751" s="261" t="s">
        <v>5116</v>
      </c>
      <c r="B2751" s="261" t="s">
        <v>5117</v>
      </c>
      <c r="C2751" s="266" t="s">
        <v>5087</v>
      </c>
      <c r="D2751" s="79">
        <v>603.77</v>
      </c>
      <c r="F2751" s="518">
        <v>603.77</v>
      </c>
      <c r="N2751" s="133"/>
      <c r="O2751" s="236"/>
    </row>
    <row r="2752" spans="1:16" ht="12">
      <c r="A2752" s="83" t="s">
        <v>5118</v>
      </c>
      <c r="B2752" s="257" t="s">
        <v>5119</v>
      </c>
      <c r="C2752" s="258" t="s">
        <v>103</v>
      </c>
      <c r="D2752" s="79">
        <v>88.36</v>
      </c>
      <c r="F2752" s="79">
        <v>88.36</v>
      </c>
      <c r="G2752" s="81"/>
      <c r="N2752" s="240"/>
      <c r="O2752" s="241"/>
      <c r="P2752" s="213"/>
    </row>
    <row r="2753" spans="1:16" ht="12">
      <c r="A2753" s="83" t="s">
        <v>5120</v>
      </c>
      <c r="B2753" s="257" t="s">
        <v>5121</v>
      </c>
      <c r="C2753" s="258" t="s">
        <v>207</v>
      </c>
      <c r="D2753" s="79">
        <v>140.19999999999999</v>
      </c>
      <c r="F2753" s="79">
        <v>140.19999999999999</v>
      </c>
      <c r="G2753" s="81"/>
      <c r="N2753" s="240"/>
      <c r="O2753" s="241"/>
      <c r="P2753" s="213"/>
    </row>
    <row r="2754" spans="1:16" ht="12">
      <c r="A2754" s="83" t="s">
        <v>5122</v>
      </c>
      <c r="B2754" s="257" t="s">
        <v>5123</v>
      </c>
      <c r="C2754" s="258" t="s">
        <v>103</v>
      </c>
      <c r="D2754" s="79">
        <v>12.9</v>
      </c>
      <c r="F2754" s="79">
        <v>12.9</v>
      </c>
      <c r="G2754" s="81"/>
      <c r="N2754" s="240"/>
      <c r="O2754" s="241"/>
      <c r="P2754" s="213"/>
    </row>
    <row r="2755" spans="1:16" ht="12">
      <c r="A2755" s="83" t="s">
        <v>5124</v>
      </c>
      <c r="B2755" s="257" t="s">
        <v>5125</v>
      </c>
      <c r="C2755" s="258" t="s">
        <v>103</v>
      </c>
      <c r="D2755" s="79">
        <v>6.91</v>
      </c>
      <c r="F2755" s="79">
        <v>6.91</v>
      </c>
      <c r="G2755" s="81"/>
      <c r="N2755" s="240"/>
      <c r="O2755" s="241"/>
      <c r="P2755" s="213"/>
    </row>
    <row r="2756" spans="1:16" ht="12">
      <c r="A2756" s="83" t="s">
        <v>5126</v>
      </c>
      <c r="B2756" s="257" t="s">
        <v>39313</v>
      </c>
      <c r="C2756" s="258" t="s">
        <v>165</v>
      </c>
      <c r="D2756" s="79">
        <v>6.05</v>
      </c>
      <c r="F2756" s="79">
        <v>6.05</v>
      </c>
      <c r="G2756" s="81"/>
      <c r="N2756" s="240"/>
      <c r="O2756" s="241"/>
      <c r="P2756" s="213"/>
    </row>
    <row r="2757" spans="1:16" ht="12">
      <c r="A2757" s="83" t="s">
        <v>5127</v>
      </c>
      <c r="B2757" s="257" t="s">
        <v>42095</v>
      </c>
      <c r="C2757" s="258" t="s">
        <v>165</v>
      </c>
      <c r="D2757" s="79">
        <v>12.21</v>
      </c>
      <c r="F2757" s="79">
        <v>12.21</v>
      </c>
      <c r="G2757" s="81"/>
      <c r="N2757" s="240"/>
      <c r="O2757" s="241"/>
      <c r="P2757" s="213"/>
    </row>
    <row r="2758" spans="1:16" ht="12">
      <c r="A2758" s="83" t="s">
        <v>5128</v>
      </c>
      <c r="B2758" s="257" t="s">
        <v>5129</v>
      </c>
      <c r="C2758" s="258" t="s">
        <v>103</v>
      </c>
      <c r="D2758" s="79">
        <v>117.35</v>
      </c>
      <c r="F2758" s="79">
        <v>117.35</v>
      </c>
      <c r="G2758" s="81"/>
      <c r="N2758" s="240"/>
      <c r="O2758" s="241"/>
      <c r="P2758" s="213"/>
    </row>
    <row r="2759" spans="1:16" ht="12">
      <c r="A2759" s="67" t="s">
        <v>5130</v>
      </c>
      <c r="B2759" s="65" t="s">
        <v>5131</v>
      </c>
      <c r="C2759" s="71" t="s">
        <v>103</v>
      </c>
      <c r="D2759" s="79">
        <v>86.65</v>
      </c>
      <c r="F2759" s="79">
        <v>86.65</v>
      </c>
      <c r="G2759" s="81"/>
      <c r="N2759" s="133"/>
      <c r="O2759" s="241"/>
      <c r="P2759" s="213"/>
    </row>
    <row r="2760" spans="1:16" ht="12">
      <c r="A2760" s="83" t="s">
        <v>5132</v>
      </c>
      <c r="B2760" s="257" t="s">
        <v>5133</v>
      </c>
      <c r="C2760" s="258" t="s">
        <v>165</v>
      </c>
      <c r="D2760" s="79">
        <v>0.35</v>
      </c>
      <c r="F2760" s="79">
        <v>0.35</v>
      </c>
      <c r="G2760" s="81"/>
      <c r="N2760" s="240"/>
      <c r="O2760" s="241"/>
      <c r="P2760" s="213"/>
    </row>
    <row r="2761" spans="1:16" ht="12">
      <c r="A2761" s="83" t="s">
        <v>5134</v>
      </c>
      <c r="B2761" s="257" t="s">
        <v>5135</v>
      </c>
      <c r="C2761" s="258" t="s">
        <v>165</v>
      </c>
      <c r="D2761" s="79">
        <v>3.14</v>
      </c>
      <c r="F2761" s="79">
        <v>3.14</v>
      </c>
      <c r="G2761" s="81"/>
      <c r="N2761" s="240"/>
      <c r="O2761" s="241"/>
      <c r="P2761" s="213"/>
    </row>
    <row r="2762" spans="1:16" ht="12">
      <c r="A2762" s="83" t="s">
        <v>5136</v>
      </c>
      <c r="B2762" s="257" t="s">
        <v>5137</v>
      </c>
      <c r="C2762" s="258" t="s">
        <v>103</v>
      </c>
      <c r="D2762" s="79">
        <v>0.84</v>
      </c>
      <c r="F2762" s="79">
        <v>0.84</v>
      </c>
      <c r="G2762" s="81"/>
      <c r="N2762" s="240"/>
      <c r="O2762" s="241"/>
      <c r="P2762" s="213"/>
    </row>
    <row r="2763" spans="1:16" ht="24">
      <c r="A2763" s="83" t="s">
        <v>5138</v>
      </c>
      <c r="B2763" s="257" t="s">
        <v>28214</v>
      </c>
      <c r="C2763" s="258" t="s">
        <v>103</v>
      </c>
      <c r="D2763" s="79">
        <v>32.049999999999997</v>
      </c>
      <c r="F2763" s="79">
        <v>32.049999999999997</v>
      </c>
      <c r="G2763" s="81"/>
      <c r="N2763" s="240"/>
      <c r="O2763" s="241"/>
      <c r="P2763" s="213"/>
    </row>
    <row r="2764" spans="1:16" ht="24">
      <c r="A2764" s="83" t="s">
        <v>5139</v>
      </c>
      <c r="B2764" s="257" t="s">
        <v>39314</v>
      </c>
      <c r="C2764" s="258" t="s">
        <v>103</v>
      </c>
      <c r="D2764" s="79">
        <v>27316.7</v>
      </c>
      <c r="F2764" s="79">
        <v>27316.7</v>
      </c>
      <c r="G2764" s="81"/>
      <c r="N2764" s="240"/>
      <c r="O2764" s="241"/>
      <c r="P2764" s="213"/>
    </row>
    <row r="2765" spans="1:16" ht="24">
      <c r="A2765" s="83" t="s">
        <v>5140</v>
      </c>
      <c r="B2765" s="257" t="s">
        <v>5141</v>
      </c>
      <c r="C2765" s="258" t="s">
        <v>103</v>
      </c>
      <c r="D2765" s="79">
        <v>15998.45</v>
      </c>
      <c r="F2765" s="79">
        <v>15998.45</v>
      </c>
      <c r="G2765" s="81"/>
      <c r="N2765" s="240"/>
      <c r="O2765" s="241"/>
      <c r="P2765" s="213"/>
    </row>
    <row r="2766" spans="1:16" ht="24">
      <c r="A2766" s="83" t="s">
        <v>5142</v>
      </c>
      <c r="B2766" s="257" t="s">
        <v>5143</v>
      </c>
      <c r="C2766" s="258" t="s">
        <v>103</v>
      </c>
      <c r="D2766" s="79">
        <v>22120.799999999999</v>
      </c>
      <c r="F2766" s="79">
        <v>22120.799999999999</v>
      </c>
      <c r="G2766" s="81"/>
      <c r="N2766" s="240"/>
      <c r="O2766" s="241"/>
      <c r="P2766" s="213"/>
    </row>
    <row r="2767" spans="1:16" ht="24">
      <c r="A2767" s="83" t="s">
        <v>5144</v>
      </c>
      <c r="B2767" s="257" t="s">
        <v>39315</v>
      </c>
      <c r="C2767" s="258" t="s">
        <v>103</v>
      </c>
      <c r="D2767" s="79">
        <v>58895.08</v>
      </c>
      <c r="F2767" s="79">
        <v>58895.08</v>
      </c>
      <c r="G2767" s="81"/>
      <c r="N2767" s="240"/>
      <c r="O2767" s="241"/>
      <c r="P2767" s="213"/>
    </row>
    <row r="2768" spans="1:16" ht="24">
      <c r="A2768" s="83" t="s">
        <v>5145</v>
      </c>
      <c r="B2768" s="257" t="s">
        <v>5146</v>
      </c>
      <c r="C2768" s="258" t="s">
        <v>103</v>
      </c>
      <c r="D2768" s="79">
        <v>1825.93</v>
      </c>
      <c r="F2768" s="79">
        <v>1825.93</v>
      </c>
      <c r="G2768" s="81"/>
      <c r="N2768" s="240"/>
      <c r="O2768" s="241"/>
      <c r="P2768" s="213"/>
    </row>
    <row r="2769" spans="1:16" ht="24">
      <c r="A2769" s="83" t="s">
        <v>5147</v>
      </c>
      <c r="B2769" s="257" t="s">
        <v>39316</v>
      </c>
      <c r="C2769" s="258" t="s">
        <v>103</v>
      </c>
      <c r="D2769" s="79">
        <v>34907.17</v>
      </c>
      <c r="F2769" s="79">
        <v>34907.17</v>
      </c>
      <c r="G2769" s="81"/>
      <c r="N2769" s="240"/>
      <c r="O2769" s="241"/>
      <c r="P2769" s="213"/>
    </row>
    <row r="2770" spans="1:16" ht="24">
      <c r="A2770" s="83" t="s">
        <v>5148</v>
      </c>
      <c r="B2770" s="257" t="s">
        <v>39317</v>
      </c>
      <c r="C2770" s="258" t="s">
        <v>103</v>
      </c>
      <c r="D2770" s="79">
        <v>62402.23</v>
      </c>
      <c r="F2770" s="79">
        <v>62402.23</v>
      </c>
      <c r="G2770" s="81"/>
      <c r="N2770" s="240"/>
      <c r="O2770" s="241"/>
      <c r="P2770" s="213"/>
    </row>
    <row r="2771" spans="1:16" ht="12">
      <c r="A2771" s="83" t="s">
        <v>5149</v>
      </c>
      <c r="B2771" s="257" t="s">
        <v>5150</v>
      </c>
      <c r="C2771" s="258" t="s">
        <v>103</v>
      </c>
      <c r="D2771" s="79">
        <v>82534.95</v>
      </c>
      <c r="F2771" s="79">
        <v>82534.95</v>
      </c>
      <c r="G2771" s="81"/>
      <c r="N2771" s="240"/>
      <c r="O2771" s="241"/>
      <c r="P2771" s="213"/>
    </row>
    <row r="2772" spans="1:16" ht="12">
      <c r="A2772" s="83" t="s">
        <v>5151</v>
      </c>
      <c r="B2772" s="257" t="s">
        <v>5152</v>
      </c>
      <c r="C2772" s="258" t="s">
        <v>103</v>
      </c>
      <c r="D2772" s="79">
        <v>140209.29999999999</v>
      </c>
      <c r="F2772" s="79">
        <v>140209.29999999999</v>
      </c>
      <c r="G2772" s="81"/>
      <c r="N2772" s="240"/>
      <c r="O2772" s="241"/>
      <c r="P2772" s="213"/>
    </row>
    <row r="2773" spans="1:16" ht="24">
      <c r="A2773" s="83" t="s">
        <v>5153</v>
      </c>
      <c r="B2773" s="257" t="s">
        <v>5154</v>
      </c>
      <c r="C2773" s="258" t="s">
        <v>103</v>
      </c>
      <c r="D2773" s="79">
        <v>366625.88</v>
      </c>
      <c r="F2773" s="79">
        <v>366625.88</v>
      </c>
      <c r="G2773" s="81"/>
      <c r="N2773" s="240"/>
      <c r="O2773" s="241"/>
      <c r="P2773" s="213"/>
    </row>
    <row r="2774" spans="1:16" ht="24">
      <c r="A2774" s="83" t="s">
        <v>5155</v>
      </c>
      <c r="B2774" s="257" t="s">
        <v>42096</v>
      </c>
      <c r="C2774" s="258" t="s">
        <v>103</v>
      </c>
      <c r="D2774" s="79">
        <v>603.78</v>
      </c>
      <c r="F2774" s="79">
        <v>603.78</v>
      </c>
      <c r="G2774" s="81"/>
      <c r="N2774" s="240"/>
      <c r="O2774" s="241"/>
      <c r="P2774" s="213"/>
    </row>
    <row r="2775" spans="1:16" ht="24">
      <c r="A2775" s="83" t="s">
        <v>5156</v>
      </c>
      <c r="B2775" s="257" t="s">
        <v>42097</v>
      </c>
      <c r="C2775" s="258" t="s">
        <v>103</v>
      </c>
      <c r="D2775" s="79">
        <v>459.55</v>
      </c>
      <c r="F2775" s="79">
        <v>459.55</v>
      </c>
      <c r="G2775" s="81"/>
      <c r="N2775" s="240"/>
      <c r="O2775" s="241"/>
      <c r="P2775" s="213"/>
    </row>
    <row r="2776" spans="1:16" ht="24">
      <c r="A2776" s="83" t="s">
        <v>5157</v>
      </c>
      <c r="B2776" s="257" t="s">
        <v>5158</v>
      </c>
      <c r="C2776" s="258" t="s">
        <v>103</v>
      </c>
      <c r="D2776" s="79">
        <v>422.44</v>
      </c>
      <c r="F2776" s="79">
        <v>422.44</v>
      </c>
      <c r="G2776" s="81"/>
      <c r="N2776" s="240"/>
      <c r="O2776" s="241"/>
      <c r="P2776" s="213"/>
    </row>
    <row r="2777" spans="1:16" ht="24">
      <c r="A2777" s="83" t="s">
        <v>5159</v>
      </c>
      <c r="B2777" s="257" t="s">
        <v>39318</v>
      </c>
      <c r="C2777" s="258" t="s">
        <v>103</v>
      </c>
      <c r="D2777" s="79">
        <v>394.9</v>
      </c>
      <c r="F2777" s="79">
        <v>394.9</v>
      </c>
      <c r="G2777" s="81"/>
      <c r="N2777" s="240"/>
      <c r="O2777" s="241"/>
      <c r="P2777" s="213"/>
    </row>
    <row r="2778" spans="1:16" ht="24">
      <c r="A2778" s="83" t="s">
        <v>5160</v>
      </c>
      <c r="B2778" s="257" t="s">
        <v>39319</v>
      </c>
      <c r="C2778" s="258" t="s">
        <v>103</v>
      </c>
      <c r="D2778" s="79">
        <v>877.45</v>
      </c>
      <c r="F2778" s="79">
        <v>877.45</v>
      </c>
      <c r="G2778" s="81"/>
      <c r="N2778" s="240"/>
      <c r="O2778" s="241"/>
      <c r="P2778" s="213"/>
    </row>
    <row r="2779" spans="1:16" ht="12">
      <c r="A2779" s="83" t="s">
        <v>5161</v>
      </c>
      <c r="B2779" s="257" t="s">
        <v>5162</v>
      </c>
      <c r="C2779" s="258" t="s">
        <v>103</v>
      </c>
      <c r="D2779" s="79">
        <v>138.49</v>
      </c>
      <c r="F2779" s="79">
        <v>138.49</v>
      </c>
      <c r="G2779" s="81"/>
      <c r="N2779" s="240"/>
      <c r="O2779" s="241"/>
      <c r="P2779" s="213"/>
    </row>
    <row r="2780" spans="1:16" ht="12">
      <c r="A2780" s="83" t="s">
        <v>5163</v>
      </c>
      <c r="B2780" s="257" t="s">
        <v>5164</v>
      </c>
      <c r="C2780" s="258" t="s">
        <v>103</v>
      </c>
      <c r="D2780" s="79">
        <v>225.1</v>
      </c>
      <c r="F2780" s="79">
        <v>225.1</v>
      </c>
      <c r="G2780" s="81"/>
      <c r="N2780" s="240"/>
      <c r="O2780" s="241"/>
      <c r="P2780" s="213"/>
    </row>
    <row r="2781" spans="1:16" ht="24">
      <c r="A2781" s="83" t="s">
        <v>5165</v>
      </c>
      <c r="B2781" s="257" t="s">
        <v>28215</v>
      </c>
      <c r="C2781" s="258" t="s">
        <v>103</v>
      </c>
      <c r="D2781" s="79">
        <v>478.44</v>
      </c>
      <c r="F2781" s="79">
        <v>478.44</v>
      </c>
      <c r="G2781" s="81"/>
      <c r="N2781" s="240"/>
      <c r="O2781" s="241"/>
      <c r="P2781" s="213"/>
    </row>
    <row r="2782" spans="1:16" ht="24">
      <c r="A2782" s="83" t="s">
        <v>5166</v>
      </c>
      <c r="B2782" s="257" t="s">
        <v>5167</v>
      </c>
      <c r="C2782" s="258" t="s">
        <v>103</v>
      </c>
      <c r="D2782" s="79">
        <v>333.41</v>
      </c>
      <c r="F2782" s="79">
        <v>333.41</v>
      </c>
      <c r="G2782" s="81"/>
      <c r="N2782" s="240"/>
      <c r="O2782" s="241"/>
      <c r="P2782" s="213"/>
    </row>
    <row r="2783" spans="1:16" ht="24">
      <c r="A2783" s="83" t="s">
        <v>5168</v>
      </c>
      <c r="B2783" s="257" t="s">
        <v>28216</v>
      </c>
      <c r="C2783" s="258" t="s">
        <v>103</v>
      </c>
      <c r="D2783" s="79">
        <v>279.5</v>
      </c>
      <c r="F2783" s="79">
        <v>279.5</v>
      </c>
      <c r="G2783" s="81"/>
      <c r="N2783" s="240"/>
      <c r="O2783" s="241"/>
      <c r="P2783" s="213"/>
    </row>
    <row r="2784" spans="1:16" ht="24">
      <c r="A2784" s="83" t="s">
        <v>5169</v>
      </c>
      <c r="B2784" s="257" t="s">
        <v>5170</v>
      </c>
      <c r="C2784" s="258" t="s">
        <v>103</v>
      </c>
      <c r="D2784" s="79">
        <v>9618.4500000000007</v>
      </c>
      <c r="F2784" s="79">
        <v>9618.4500000000007</v>
      </c>
      <c r="G2784" s="81"/>
      <c r="N2784" s="240"/>
      <c r="O2784" s="241"/>
      <c r="P2784" s="213"/>
    </row>
    <row r="2785" spans="1:16" ht="24">
      <c r="A2785" s="83" t="s">
        <v>5171</v>
      </c>
      <c r="B2785" s="257" t="s">
        <v>39320</v>
      </c>
      <c r="C2785" s="258" t="s">
        <v>103</v>
      </c>
      <c r="D2785" s="79">
        <v>11.56</v>
      </c>
      <c r="F2785" s="79">
        <v>11.56</v>
      </c>
      <c r="G2785" s="81"/>
      <c r="N2785" s="240"/>
      <c r="O2785" s="241"/>
      <c r="P2785" s="213"/>
    </row>
    <row r="2786" spans="1:16" ht="24">
      <c r="A2786" s="83" t="s">
        <v>5172</v>
      </c>
      <c r="B2786" s="257" t="s">
        <v>5173</v>
      </c>
      <c r="C2786" s="258" t="s">
        <v>103</v>
      </c>
      <c r="D2786" s="79">
        <v>42.19</v>
      </c>
      <c r="F2786" s="79">
        <v>42.19</v>
      </c>
      <c r="G2786" s="81"/>
      <c r="N2786" s="240"/>
      <c r="O2786" s="241"/>
      <c r="P2786" s="213"/>
    </row>
    <row r="2787" spans="1:16" ht="24">
      <c r="A2787" s="83" t="s">
        <v>5174</v>
      </c>
      <c r="B2787" s="257" t="s">
        <v>5175</v>
      </c>
      <c r="C2787" s="258" t="s">
        <v>103</v>
      </c>
      <c r="D2787" s="79">
        <v>139.4</v>
      </c>
      <c r="F2787" s="79">
        <v>139.4</v>
      </c>
      <c r="G2787" s="81"/>
      <c r="N2787" s="240"/>
      <c r="O2787" s="241"/>
      <c r="P2787" s="213"/>
    </row>
    <row r="2788" spans="1:16" ht="36">
      <c r="A2788" s="83" t="s">
        <v>5176</v>
      </c>
      <c r="B2788" s="257" t="s">
        <v>39321</v>
      </c>
      <c r="C2788" s="258" t="s">
        <v>103</v>
      </c>
      <c r="D2788" s="79">
        <v>182.08</v>
      </c>
      <c r="F2788" s="79">
        <v>182.08</v>
      </c>
      <c r="G2788" s="81"/>
      <c r="N2788" s="240"/>
      <c r="O2788" s="241"/>
      <c r="P2788" s="213"/>
    </row>
    <row r="2789" spans="1:16" ht="24">
      <c r="A2789" s="83" t="s">
        <v>5177</v>
      </c>
      <c r="B2789" s="257" t="s">
        <v>5178</v>
      </c>
      <c r="C2789" s="258" t="s">
        <v>103</v>
      </c>
      <c r="D2789" s="79">
        <v>115.78</v>
      </c>
      <c r="F2789" s="79">
        <v>115.78</v>
      </c>
      <c r="G2789" s="81"/>
      <c r="N2789" s="240"/>
      <c r="O2789" s="241"/>
      <c r="P2789" s="213"/>
    </row>
    <row r="2790" spans="1:16" ht="36">
      <c r="A2790" s="83" t="s">
        <v>5179</v>
      </c>
      <c r="B2790" s="257" t="s">
        <v>5180</v>
      </c>
      <c r="C2790" s="258" t="s">
        <v>103</v>
      </c>
      <c r="D2790" s="79">
        <v>215.76</v>
      </c>
      <c r="F2790" s="79">
        <v>215.76</v>
      </c>
      <c r="G2790" s="81"/>
      <c r="N2790" s="240"/>
      <c r="O2790" s="241"/>
      <c r="P2790" s="213"/>
    </row>
    <row r="2791" spans="1:16" ht="36">
      <c r="A2791" s="83" t="s">
        <v>5181</v>
      </c>
      <c r="B2791" s="257" t="s">
        <v>42098</v>
      </c>
      <c r="C2791" s="258" t="s">
        <v>103</v>
      </c>
      <c r="D2791" s="79">
        <v>429.62</v>
      </c>
      <c r="F2791" s="79">
        <v>429.62</v>
      </c>
      <c r="G2791" s="81"/>
      <c r="N2791" s="240"/>
      <c r="O2791" s="241"/>
      <c r="P2791" s="213"/>
    </row>
    <row r="2792" spans="1:16" ht="36">
      <c r="A2792" s="83" t="s">
        <v>5182</v>
      </c>
      <c r="B2792" s="257" t="s">
        <v>42099</v>
      </c>
      <c r="C2792" s="258" t="s">
        <v>103</v>
      </c>
      <c r="D2792" s="79">
        <v>807.32</v>
      </c>
      <c r="F2792" s="79">
        <v>807.32</v>
      </c>
      <c r="G2792" s="81"/>
      <c r="N2792" s="240"/>
      <c r="O2792" s="241"/>
      <c r="P2792" s="213"/>
    </row>
    <row r="2793" spans="1:16" ht="36">
      <c r="A2793" s="83" t="s">
        <v>5183</v>
      </c>
      <c r="B2793" s="257" t="s">
        <v>42100</v>
      </c>
      <c r="C2793" s="258" t="s">
        <v>103</v>
      </c>
      <c r="D2793" s="79">
        <v>1873.79</v>
      </c>
      <c r="F2793" s="79">
        <v>1873.79</v>
      </c>
      <c r="G2793" s="81"/>
      <c r="N2793" s="240"/>
      <c r="O2793" s="241"/>
      <c r="P2793" s="213"/>
    </row>
    <row r="2794" spans="1:16" ht="36">
      <c r="A2794" s="83" t="s">
        <v>5184</v>
      </c>
      <c r="B2794" s="257" t="s">
        <v>42101</v>
      </c>
      <c r="C2794" s="258" t="s">
        <v>103</v>
      </c>
      <c r="D2794" s="79">
        <v>1290.78</v>
      </c>
      <c r="F2794" s="79">
        <v>1290.78</v>
      </c>
      <c r="G2794" s="81"/>
      <c r="N2794" s="240"/>
      <c r="O2794" s="241"/>
      <c r="P2794" s="213"/>
    </row>
    <row r="2795" spans="1:16" ht="36">
      <c r="A2795" s="83" t="s">
        <v>5185</v>
      </c>
      <c r="B2795" s="257" t="s">
        <v>42102</v>
      </c>
      <c r="C2795" s="258" t="s">
        <v>103</v>
      </c>
      <c r="D2795" s="79">
        <v>3635.86</v>
      </c>
      <c r="F2795" s="79">
        <v>3635.86</v>
      </c>
      <c r="G2795" s="81"/>
      <c r="N2795" s="240"/>
      <c r="O2795" s="241"/>
      <c r="P2795" s="213"/>
    </row>
    <row r="2796" spans="1:16" ht="12">
      <c r="A2796" s="83" t="s">
        <v>5186</v>
      </c>
      <c r="B2796" s="257" t="s">
        <v>5187</v>
      </c>
      <c r="C2796" s="258" t="s">
        <v>103</v>
      </c>
      <c r="D2796" s="79">
        <v>43.12</v>
      </c>
      <c r="F2796" s="79">
        <v>43.12</v>
      </c>
      <c r="G2796" s="81"/>
      <c r="N2796" s="240"/>
      <c r="O2796" s="241"/>
      <c r="P2796" s="213"/>
    </row>
    <row r="2797" spans="1:16" ht="12">
      <c r="A2797" s="83" t="s">
        <v>5188</v>
      </c>
      <c r="B2797" s="257" t="s">
        <v>5189</v>
      </c>
      <c r="C2797" s="258" t="s">
        <v>103</v>
      </c>
      <c r="D2797" s="79">
        <v>42.95</v>
      </c>
      <c r="F2797" s="79">
        <v>42.95</v>
      </c>
      <c r="G2797" s="81"/>
      <c r="N2797" s="240"/>
      <c r="O2797" s="241"/>
      <c r="P2797" s="213"/>
    </row>
    <row r="2798" spans="1:16" ht="12">
      <c r="A2798" s="83" t="s">
        <v>5190</v>
      </c>
      <c r="B2798" s="257" t="s">
        <v>5191</v>
      </c>
      <c r="C2798" s="258" t="s">
        <v>103</v>
      </c>
      <c r="D2798" s="79">
        <v>52.53</v>
      </c>
      <c r="F2798" s="79">
        <v>52.53</v>
      </c>
      <c r="G2798" s="81"/>
      <c r="N2798" s="240"/>
      <c r="O2798" s="241"/>
      <c r="P2798" s="213"/>
    </row>
    <row r="2799" spans="1:16" ht="24">
      <c r="A2799" s="83" t="s">
        <v>5192</v>
      </c>
      <c r="B2799" s="257" t="s">
        <v>5193</v>
      </c>
      <c r="C2799" s="258" t="s">
        <v>103</v>
      </c>
      <c r="D2799" s="79">
        <v>137.19999999999999</v>
      </c>
      <c r="F2799" s="79">
        <v>137.19999999999999</v>
      </c>
      <c r="G2799" s="81"/>
      <c r="N2799" s="240"/>
      <c r="O2799" s="241"/>
      <c r="P2799" s="213"/>
    </row>
    <row r="2800" spans="1:16" ht="12">
      <c r="A2800" s="83" t="s">
        <v>5194</v>
      </c>
      <c r="B2800" s="257" t="s">
        <v>5195</v>
      </c>
      <c r="C2800" s="258" t="s">
        <v>103</v>
      </c>
      <c r="D2800" s="79">
        <v>58.45</v>
      </c>
      <c r="F2800" s="79">
        <v>58.45</v>
      </c>
      <c r="G2800" s="81"/>
      <c r="N2800" s="240"/>
      <c r="O2800" s="241"/>
      <c r="P2800" s="213"/>
    </row>
    <row r="2801" spans="1:16" ht="12">
      <c r="A2801" s="83" t="s">
        <v>5196</v>
      </c>
      <c r="B2801" s="257" t="s">
        <v>5197</v>
      </c>
      <c r="C2801" s="258" t="s">
        <v>103</v>
      </c>
      <c r="D2801" s="79">
        <v>63.83</v>
      </c>
      <c r="F2801" s="79">
        <v>63.83</v>
      </c>
      <c r="G2801" s="81"/>
      <c r="N2801" s="240"/>
      <c r="O2801" s="241"/>
      <c r="P2801" s="213"/>
    </row>
    <row r="2802" spans="1:16" ht="24">
      <c r="A2802" s="83" t="s">
        <v>5198</v>
      </c>
      <c r="B2802" s="257" t="s">
        <v>5199</v>
      </c>
      <c r="C2802" s="258" t="s">
        <v>103</v>
      </c>
      <c r="D2802" s="79">
        <v>68.37</v>
      </c>
      <c r="F2802" s="79">
        <v>68.37</v>
      </c>
      <c r="G2802" s="81"/>
      <c r="N2802" s="240"/>
      <c r="O2802" s="241"/>
      <c r="P2802" s="213"/>
    </row>
    <row r="2803" spans="1:16" ht="24">
      <c r="A2803" s="83" t="s">
        <v>5200</v>
      </c>
      <c r="B2803" s="257" t="s">
        <v>39322</v>
      </c>
      <c r="C2803" s="258" t="s">
        <v>103</v>
      </c>
      <c r="D2803" s="79">
        <v>912.9</v>
      </c>
      <c r="F2803" s="79">
        <v>912.9</v>
      </c>
      <c r="G2803" s="81"/>
      <c r="N2803" s="240"/>
      <c r="O2803" s="241"/>
      <c r="P2803" s="213"/>
    </row>
    <row r="2804" spans="1:16" ht="12">
      <c r="A2804" s="83" t="s">
        <v>5201</v>
      </c>
      <c r="B2804" s="257" t="s">
        <v>5202</v>
      </c>
      <c r="C2804" s="258" t="s">
        <v>103</v>
      </c>
      <c r="D2804" s="79">
        <v>11.56</v>
      </c>
      <c r="F2804" s="79">
        <v>11.56</v>
      </c>
      <c r="G2804" s="81"/>
      <c r="N2804" s="240"/>
      <c r="O2804" s="241"/>
      <c r="P2804" s="213"/>
    </row>
    <row r="2805" spans="1:16" ht="12">
      <c r="A2805" s="83" t="s">
        <v>5203</v>
      </c>
      <c r="B2805" s="257" t="s">
        <v>5204</v>
      </c>
      <c r="C2805" s="258" t="s">
        <v>103</v>
      </c>
      <c r="D2805" s="79">
        <v>12.76</v>
      </c>
      <c r="F2805" s="79">
        <v>12.76</v>
      </c>
      <c r="G2805" s="81"/>
      <c r="N2805" s="240"/>
      <c r="O2805" s="241"/>
      <c r="P2805" s="213"/>
    </row>
    <row r="2806" spans="1:16" ht="24">
      <c r="A2806" s="83" t="s">
        <v>5205</v>
      </c>
      <c r="B2806" s="257" t="s">
        <v>5206</v>
      </c>
      <c r="C2806" s="258" t="s">
        <v>103</v>
      </c>
      <c r="D2806" s="79">
        <v>283.19</v>
      </c>
      <c r="F2806" s="79">
        <v>283.19</v>
      </c>
      <c r="G2806" s="81"/>
      <c r="N2806" s="240"/>
      <c r="O2806" s="241"/>
      <c r="P2806" s="213"/>
    </row>
    <row r="2807" spans="1:16" ht="24">
      <c r="A2807" s="83" t="s">
        <v>5207</v>
      </c>
      <c r="B2807" s="257" t="s">
        <v>5208</v>
      </c>
      <c r="C2807" s="258" t="s">
        <v>103</v>
      </c>
      <c r="D2807" s="79">
        <v>372.53</v>
      </c>
      <c r="F2807" s="79">
        <v>372.53</v>
      </c>
      <c r="G2807" s="81"/>
      <c r="N2807" s="240"/>
      <c r="O2807" s="241"/>
      <c r="P2807" s="213"/>
    </row>
    <row r="2808" spans="1:16" ht="12">
      <c r="A2808" s="67" t="s">
        <v>5209</v>
      </c>
      <c r="B2808" s="257" t="s">
        <v>5210</v>
      </c>
      <c r="C2808" s="258" t="s">
        <v>103</v>
      </c>
      <c r="D2808" s="79">
        <v>196.37</v>
      </c>
      <c r="F2808" s="79">
        <v>196.37</v>
      </c>
      <c r="G2808" s="81"/>
      <c r="N2808" s="133"/>
      <c r="O2808" s="241"/>
      <c r="P2808" s="213"/>
    </row>
    <row r="2809" spans="1:16" ht="12">
      <c r="A2809" s="83" t="s">
        <v>5211</v>
      </c>
      <c r="B2809" s="257" t="s">
        <v>5212</v>
      </c>
      <c r="C2809" s="258" t="s">
        <v>103</v>
      </c>
      <c r="D2809" s="79">
        <v>34.97</v>
      </c>
      <c r="F2809" s="79">
        <v>34.97</v>
      </c>
      <c r="G2809" s="81"/>
      <c r="N2809" s="240"/>
      <c r="O2809" s="241"/>
      <c r="P2809" s="213"/>
    </row>
    <row r="2810" spans="1:16" ht="12">
      <c r="A2810" s="83" t="s">
        <v>5213</v>
      </c>
      <c r="B2810" s="257" t="s">
        <v>5214</v>
      </c>
      <c r="C2810" s="258" t="s">
        <v>103</v>
      </c>
      <c r="D2810" s="79">
        <v>76.900000000000006</v>
      </c>
      <c r="F2810" s="79">
        <v>76.900000000000006</v>
      </c>
      <c r="G2810" s="81"/>
      <c r="N2810" s="240"/>
      <c r="O2810" s="241"/>
      <c r="P2810" s="213"/>
    </row>
    <row r="2811" spans="1:16" ht="12">
      <c r="A2811" s="83" t="s">
        <v>5215</v>
      </c>
      <c r="B2811" s="257" t="s">
        <v>5216</v>
      </c>
      <c r="C2811" s="258" t="s">
        <v>103</v>
      </c>
      <c r="D2811" s="79">
        <v>116.51</v>
      </c>
      <c r="F2811" s="79">
        <v>116.51</v>
      </c>
      <c r="G2811" s="81"/>
      <c r="N2811" s="240"/>
      <c r="O2811" s="241"/>
      <c r="P2811" s="213"/>
    </row>
    <row r="2812" spans="1:16" ht="12">
      <c r="A2812" s="83" t="s">
        <v>5217</v>
      </c>
      <c r="B2812" s="257" t="s">
        <v>5218</v>
      </c>
      <c r="C2812" s="258" t="s">
        <v>103</v>
      </c>
      <c r="D2812" s="79">
        <v>179.09</v>
      </c>
      <c r="F2812" s="79">
        <v>179.09</v>
      </c>
      <c r="G2812" s="81"/>
      <c r="N2812" s="240"/>
      <c r="O2812" s="241"/>
      <c r="P2812" s="213"/>
    </row>
    <row r="2813" spans="1:16" ht="12">
      <c r="A2813" s="83" t="s">
        <v>5219</v>
      </c>
      <c r="B2813" s="257" t="s">
        <v>5220</v>
      </c>
      <c r="C2813" s="258" t="s">
        <v>103</v>
      </c>
      <c r="D2813" s="79">
        <v>1439.62</v>
      </c>
      <c r="F2813" s="79">
        <v>1439.62</v>
      </c>
      <c r="G2813" s="81"/>
      <c r="N2813" s="240"/>
      <c r="O2813" s="241"/>
      <c r="P2813" s="213"/>
    </row>
    <row r="2814" spans="1:16" ht="12">
      <c r="A2814" s="83" t="s">
        <v>5221</v>
      </c>
      <c r="B2814" s="257" t="s">
        <v>5222</v>
      </c>
      <c r="C2814" s="258" t="s">
        <v>103</v>
      </c>
      <c r="D2814" s="79">
        <v>486.98</v>
      </c>
      <c r="F2814" s="79">
        <v>486.98</v>
      </c>
      <c r="G2814" s="81"/>
      <c r="N2814" s="240"/>
      <c r="O2814" s="241"/>
      <c r="P2814" s="213"/>
    </row>
    <row r="2815" spans="1:16" ht="12">
      <c r="A2815" s="83" t="s">
        <v>5223</v>
      </c>
      <c r="B2815" s="257" t="s">
        <v>5224</v>
      </c>
      <c r="C2815" s="258" t="s">
        <v>103</v>
      </c>
      <c r="D2815" s="79">
        <v>199.37</v>
      </c>
      <c r="F2815" s="79">
        <v>199.37</v>
      </c>
      <c r="G2815" s="81"/>
      <c r="N2815" s="240"/>
      <c r="O2815" s="241"/>
      <c r="P2815" s="213"/>
    </row>
    <row r="2816" spans="1:16" ht="12">
      <c r="A2816" s="83" t="s">
        <v>5225</v>
      </c>
      <c r="B2816" s="257" t="s">
        <v>5226</v>
      </c>
      <c r="C2816" s="258" t="s">
        <v>103</v>
      </c>
      <c r="D2816" s="79">
        <v>280.42</v>
      </c>
      <c r="F2816" s="79">
        <v>280.42</v>
      </c>
      <c r="G2816" s="81"/>
      <c r="N2816" s="240"/>
      <c r="O2816" s="241"/>
      <c r="P2816" s="213"/>
    </row>
    <row r="2817" spans="1:16" ht="12">
      <c r="A2817" s="83" t="s">
        <v>5227</v>
      </c>
      <c r="B2817" s="257" t="s">
        <v>5228</v>
      </c>
      <c r="C2817" s="258" t="s">
        <v>103</v>
      </c>
      <c r="D2817" s="79">
        <v>739.88</v>
      </c>
      <c r="F2817" s="79">
        <v>739.88</v>
      </c>
      <c r="G2817" s="81"/>
      <c r="N2817" s="240"/>
      <c r="O2817" s="241"/>
      <c r="P2817" s="213"/>
    </row>
    <row r="2818" spans="1:16" ht="12">
      <c r="A2818" s="83" t="s">
        <v>5229</v>
      </c>
      <c r="B2818" s="257" t="s">
        <v>5230</v>
      </c>
      <c r="C2818" s="258" t="s">
        <v>103</v>
      </c>
      <c r="D2818" s="79">
        <v>467.2</v>
      </c>
      <c r="F2818" s="79">
        <v>467.2</v>
      </c>
      <c r="G2818" s="81"/>
      <c r="N2818" s="240"/>
      <c r="O2818" s="241"/>
      <c r="P2818" s="213"/>
    </row>
    <row r="2819" spans="1:16" ht="12">
      <c r="A2819" s="83" t="s">
        <v>5231</v>
      </c>
      <c r="B2819" s="257" t="s">
        <v>5232</v>
      </c>
      <c r="C2819" s="258" t="s">
        <v>103</v>
      </c>
      <c r="D2819" s="79">
        <v>329.18</v>
      </c>
      <c r="F2819" s="79">
        <v>329.18</v>
      </c>
      <c r="G2819" s="81"/>
      <c r="N2819" s="240"/>
      <c r="O2819" s="241"/>
      <c r="P2819" s="213"/>
    </row>
    <row r="2820" spans="1:16" ht="24">
      <c r="A2820" s="83" t="s">
        <v>5233</v>
      </c>
      <c r="B2820" s="257" t="s">
        <v>5234</v>
      </c>
      <c r="C2820" s="258" t="s">
        <v>103</v>
      </c>
      <c r="D2820" s="79">
        <v>2472.62</v>
      </c>
      <c r="F2820" s="79">
        <v>2472.62</v>
      </c>
      <c r="G2820" s="81"/>
      <c r="N2820" s="240"/>
      <c r="O2820" s="241"/>
      <c r="P2820" s="213"/>
    </row>
    <row r="2821" spans="1:16" ht="24">
      <c r="A2821" s="83" t="s">
        <v>5235</v>
      </c>
      <c r="B2821" s="257" t="s">
        <v>29872</v>
      </c>
      <c r="C2821" s="258" t="s">
        <v>103</v>
      </c>
      <c r="D2821" s="79">
        <v>545.74</v>
      </c>
      <c r="F2821" s="79">
        <v>545.74</v>
      </c>
      <c r="G2821" s="81"/>
      <c r="N2821" s="240"/>
      <c r="O2821" s="241"/>
      <c r="P2821" s="213"/>
    </row>
    <row r="2822" spans="1:16" ht="24">
      <c r="A2822" s="83" t="s">
        <v>5236</v>
      </c>
      <c r="B2822" s="257" t="s">
        <v>5237</v>
      </c>
      <c r="C2822" s="258" t="s">
        <v>103</v>
      </c>
      <c r="D2822" s="79">
        <v>1955.98</v>
      </c>
      <c r="F2822" s="79">
        <v>1955.98</v>
      </c>
      <c r="G2822" s="81"/>
      <c r="N2822" s="240"/>
      <c r="O2822" s="241"/>
      <c r="P2822" s="213"/>
    </row>
    <row r="2823" spans="1:16" ht="24">
      <c r="A2823" s="83" t="s">
        <v>5238</v>
      </c>
      <c r="B2823" s="257" t="s">
        <v>5239</v>
      </c>
      <c r="C2823" s="258" t="s">
        <v>103</v>
      </c>
      <c r="D2823" s="79">
        <v>2435.94</v>
      </c>
      <c r="F2823" s="79">
        <v>2435.94</v>
      </c>
      <c r="G2823" s="81"/>
      <c r="N2823" s="240"/>
      <c r="O2823" s="241"/>
      <c r="P2823" s="213"/>
    </row>
    <row r="2824" spans="1:16" ht="24">
      <c r="A2824" s="83" t="s">
        <v>5240</v>
      </c>
      <c r="B2824" s="257" t="s">
        <v>29873</v>
      </c>
      <c r="C2824" s="258" t="s">
        <v>103</v>
      </c>
      <c r="D2824" s="79">
        <v>514.83000000000004</v>
      </c>
      <c r="F2824" s="79">
        <v>514.83000000000004</v>
      </c>
      <c r="G2824" s="81"/>
      <c r="N2824" s="240"/>
      <c r="O2824" s="241"/>
      <c r="P2824" s="213"/>
    </row>
    <row r="2825" spans="1:16" ht="24">
      <c r="A2825" s="83" t="s">
        <v>5241</v>
      </c>
      <c r="B2825" s="257" t="s">
        <v>29874</v>
      </c>
      <c r="C2825" s="258" t="s">
        <v>103</v>
      </c>
      <c r="D2825" s="79">
        <v>589.17999999999995</v>
      </c>
      <c r="F2825" s="79">
        <v>589.17999999999995</v>
      </c>
      <c r="G2825" s="81"/>
      <c r="N2825" s="240"/>
      <c r="O2825" s="241"/>
      <c r="P2825" s="213"/>
    </row>
    <row r="2826" spans="1:16" ht="24">
      <c r="A2826" s="83" t="s">
        <v>5242</v>
      </c>
      <c r="B2826" s="257" t="s">
        <v>5243</v>
      </c>
      <c r="C2826" s="258" t="s">
        <v>103</v>
      </c>
      <c r="D2826" s="79">
        <v>1437.7</v>
      </c>
      <c r="F2826" s="79">
        <v>1437.7</v>
      </c>
      <c r="G2826" s="81"/>
      <c r="N2826" s="240"/>
      <c r="O2826" s="241"/>
      <c r="P2826" s="213"/>
    </row>
    <row r="2827" spans="1:16" ht="24">
      <c r="A2827" s="83" t="s">
        <v>5244</v>
      </c>
      <c r="B2827" s="257" t="s">
        <v>5245</v>
      </c>
      <c r="C2827" s="258" t="s">
        <v>103</v>
      </c>
      <c r="D2827" s="79">
        <v>1902.08</v>
      </c>
      <c r="F2827" s="79">
        <v>1902.08</v>
      </c>
      <c r="G2827" s="81"/>
      <c r="N2827" s="240"/>
      <c r="O2827" s="241"/>
      <c r="P2827" s="213"/>
    </row>
    <row r="2828" spans="1:16" ht="24">
      <c r="A2828" s="83" t="s">
        <v>5246</v>
      </c>
      <c r="B2828" s="257" t="s">
        <v>5247</v>
      </c>
      <c r="C2828" s="258" t="s">
        <v>103</v>
      </c>
      <c r="D2828" s="79">
        <v>4303.9399999999996</v>
      </c>
      <c r="F2828" s="79">
        <v>4303.9399999999996</v>
      </c>
      <c r="G2828" s="81"/>
      <c r="N2828" s="240"/>
      <c r="O2828" s="241"/>
      <c r="P2828" s="213"/>
    </row>
    <row r="2829" spans="1:16" ht="24">
      <c r="A2829" s="83" t="s">
        <v>5248</v>
      </c>
      <c r="B2829" s="257" t="s">
        <v>5249</v>
      </c>
      <c r="C2829" s="258" t="s">
        <v>103</v>
      </c>
      <c r="D2829" s="79">
        <v>4716.83</v>
      </c>
      <c r="F2829" s="79">
        <v>4716.83</v>
      </c>
      <c r="G2829" s="81"/>
      <c r="N2829" s="240"/>
      <c r="O2829" s="241"/>
      <c r="P2829" s="213"/>
    </row>
    <row r="2830" spans="1:16" ht="24">
      <c r="A2830" s="83" t="s">
        <v>5250</v>
      </c>
      <c r="B2830" s="257" t="s">
        <v>5251</v>
      </c>
      <c r="C2830" s="258" t="s">
        <v>103</v>
      </c>
      <c r="D2830" s="79">
        <v>9888.7999999999993</v>
      </c>
      <c r="F2830" s="79">
        <v>9888.7999999999993</v>
      </c>
      <c r="G2830" s="81"/>
      <c r="N2830" s="240"/>
      <c r="O2830" s="241"/>
      <c r="P2830" s="213"/>
    </row>
    <row r="2831" spans="1:16" ht="24">
      <c r="A2831" s="83" t="s">
        <v>5252</v>
      </c>
      <c r="B2831" s="257" t="s">
        <v>5253</v>
      </c>
      <c r="C2831" s="258" t="s">
        <v>103</v>
      </c>
      <c r="D2831" s="79">
        <v>363.64</v>
      </c>
      <c r="F2831" s="79">
        <v>363.64</v>
      </c>
      <c r="G2831" s="81"/>
      <c r="N2831" s="240"/>
      <c r="O2831" s="241"/>
      <c r="P2831" s="213"/>
    </row>
    <row r="2832" spans="1:16" ht="24">
      <c r="A2832" s="83" t="s">
        <v>5254</v>
      </c>
      <c r="B2832" s="257" t="s">
        <v>5255</v>
      </c>
      <c r="C2832" s="258" t="s">
        <v>103</v>
      </c>
      <c r="D2832" s="79">
        <v>798.24</v>
      </c>
      <c r="F2832" s="79">
        <v>798.24</v>
      </c>
      <c r="G2832" s="81"/>
      <c r="N2832" s="240"/>
      <c r="O2832" s="241"/>
      <c r="P2832" s="213"/>
    </row>
    <row r="2833" spans="1:16" ht="24">
      <c r="A2833" s="83" t="s">
        <v>5256</v>
      </c>
      <c r="B2833" s="257" t="s">
        <v>5257</v>
      </c>
      <c r="C2833" s="258" t="s">
        <v>103</v>
      </c>
      <c r="D2833" s="79">
        <v>1233.6600000000001</v>
      </c>
      <c r="F2833" s="79">
        <v>1233.6600000000001</v>
      </c>
      <c r="G2833" s="81"/>
      <c r="N2833" s="240"/>
      <c r="O2833" s="241"/>
      <c r="P2833" s="213"/>
    </row>
    <row r="2834" spans="1:16" ht="24">
      <c r="A2834" s="83" t="s">
        <v>5258</v>
      </c>
      <c r="B2834" s="257" t="s">
        <v>5259</v>
      </c>
      <c r="C2834" s="258" t="s">
        <v>103</v>
      </c>
      <c r="D2834" s="79">
        <v>1712.69</v>
      </c>
      <c r="F2834" s="79">
        <v>1712.69</v>
      </c>
      <c r="G2834" s="81"/>
      <c r="N2834" s="240"/>
      <c r="O2834" s="241"/>
      <c r="P2834" s="213"/>
    </row>
    <row r="2835" spans="1:16" ht="12">
      <c r="A2835" s="83" t="s">
        <v>5260</v>
      </c>
      <c r="B2835" s="257" t="s">
        <v>5261</v>
      </c>
      <c r="C2835" s="258" t="s">
        <v>103</v>
      </c>
      <c r="D2835" s="79">
        <v>5275.81</v>
      </c>
      <c r="F2835" s="79">
        <v>5275.81</v>
      </c>
      <c r="G2835" s="81"/>
      <c r="N2835" s="240"/>
      <c r="O2835" s="241"/>
      <c r="P2835" s="213"/>
    </row>
    <row r="2836" spans="1:16" ht="12">
      <c r="A2836" s="83" t="s">
        <v>5262</v>
      </c>
      <c r="B2836" s="257" t="s">
        <v>5263</v>
      </c>
      <c r="C2836" s="258" t="s">
        <v>103</v>
      </c>
      <c r="D2836" s="79">
        <v>7352</v>
      </c>
      <c r="F2836" s="79">
        <v>7352</v>
      </c>
      <c r="G2836" s="81"/>
      <c r="N2836" s="240"/>
      <c r="O2836" s="241"/>
      <c r="P2836" s="213"/>
    </row>
    <row r="2837" spans="1:16" ht="12">
      <c r="A2837" s="83" t="s">
        <v>5264</v>
      </c>
      <c r="B2837" s="257" t="s">
        <v>5265</v>
      </c>
      <c r="C2837" s="258" t="s">
        <v>103</v>
      </c>
      <c r="D2837" s="79">
        <v>11396.59</v>
      </c>
      <c r="F2837" s="79">
        <v>11396.59</v>
      </c>
      <c r="G2837" s="81"/>
      <c r="N2837" s="240"/>
      <c r="O2837" s="241"/>
      <c r="P2837" s="213"/>
    </row>
    <row r="2838" spans="1:16" ht="12">
      <c r="A2838" s="83" t="s">
        <v>5266</v>
      </c>
      <c r="B2838" s="257" t="s">
        <v>5267</v>
      </c>
      <c r="C2838" s="258" t="s">
        <v>103</v>
      </c>
      <c r="D2838" s="79">
        <v>10362.89</v>
      </c>
      <c r="F2838" s="79">
        <v>10362.89</v>
      </c>
      <c r="G2838" s="81"/>
      <c r="N2838" s="240"/>
      <c r="O2838" s="241"/>
      <c r="P2838" s="213"/>
    </row>
    <row r="2839" spans="1:16" ht="12">
      <c r="A2839" s="83" t="s">
        <v>5268</v>
      </c>
      <c r="B2839" s="257" t="s">
        <v>5269</v>
      </c>
      <c r="C2839" s="258" t="s">
        <v>103</v>
      </c>
      <c r="D2839" s="79">
        <v>5004.43</v>
      </c>
      <c r="F2839" s="79">
        <v>5004.43</v>
      </c>
      <c r="G2839" s="81"/>
      <c r="N2839" s="240"/>
      <c r="O2839" s="241"/>
      <c r="P2839" s="213"/>
    </row>
    <row r="2840" spans="1:16" ht="12">
      <c r="A2840" s="83" t="s">
        <v>5270</v>
      </c>
      <c r="B2840" s="257" t="s">
        <v>5271</v>
      </c>
      <c r="C2840" s="258" t="s">
        <v>103</v>
      </c>
      <c r="D2840" s="79">
        <v>2812.76</v>
      </c>
      <c r="F2840" s="79">
        <v>2812.76</v>
      </c>
      <c r="G2840" s="81"/>
      <c r="N2840" s="240"/>
      <c r="O2840" s="241"/>
      <c r="P2840" s="213"/>
    </row>
    <row r="2841" spans="1:16" ht="12">
      <c r="A2841" s="83" t="s">
        <v>5272</v>
      </c>
      <c r="B2841" s="257" t="s">
        <v>5273</v>
      </c>
      <c r="C2841" s="258" t="s">
        <v>103</v>
      </c>
      <c r="D2841" s="79">
        <v>2177.87</v>
      </c>
      <c r="F2841" s="79">
        <v>2177.87</v>
      </c>
      <c r="G2841" s="81"/>
      <c r="N2841" s="240"/>
      <c r="O2841" s="241"/>
      <c r="P2841" s="213"/>
    </row>
    <row r="2842" spans="1:16" ht="12">
      <c r="A2842" s="83" t="s">
        <v>5274</v>
      </c>
      <c r="B2842" s="257" t="s">
        <v>5275</v>
      </c>
      <c r="C2842" s="258" t="s">
        <v>103</v>
      </c>
      <c r="D2842" s="79">
        <v>1356.71</v>
      </c>
      <c r="F2842" s="79">
        <v>1356.71</v>
      </c>
      <c r="G2842" s="81"/>
      <c r="N2842" s="240"/>
      <c r="O2842" s="241"/>
      <c r="P2842" s="213"/>
    </row>
    <row r="2843" spans="1:16" ht="12">
      <c r="A2843" s="83" t="s">
        <v>5276</v>
      </c>
      <c r="B2843" s="257" t="s">
        <v>5277</v>
      </c>
      <c r="C2843" s="258" t="s">
        <v>103</v>
      </c>
      <c r="D2843" s="79">
        <v>2019.2</v>
      </c>
      <c r="F2843" s="79">
        <v>2019.2</v>
      </c>
      <c r="G2843" s="81"/>
      <c r="N2843" s="240"/>
      <c r="O2843" s="241"/>
      <c r="P2843" s="213"/>
    </row>
    <row r="2844" spans="1:16" ht="24">
      <c r="A2844" s="83" t="s">
        <v>5278</v>
      </c>
      <c r="B2844" s="257" t="s">
        <v>5279</v>
      </c>
      <c r="C2844" s="258" t="s">
        <v>103</v>
      </c>
      <c r="D2844" s="79">
        <v>2320.62</v>
      </c>
      <c r="F2844" s="79">
        <v>2320.62</v>
      </c>
      <c r="G2844" s="81"/>
      <c r="N2844" s="240"/>
      <c r="O2844" s="241"/>
      <c r="P2844" s="213"/>
    </row>
    <row r="2845" spans="1:16" ht="24">
      <c r="A2845" s="83" t="s">
        <v>5280</v>
      </c>
      <c r="B2845" s="257" t="s">
        <v>5281</v>
      </c>
      <c r="C2845" s="258" t="s">
        <v>103</v>
      </c>
      <c r="D2845" s="79">
        <v>2681.74</v>
      </c>
      <c r="F2845" s="79">
        <v>2681.74</v>
      </c>
      <c r="G2845" s="81"/>
      <c r="N2845" s="240"/>
      <c r="O2845" s="241"/>
      <c r="P2845" s="213"/>
    </row>
    <row r="2846" spans="1:16" ht="12">
      <c r="A2846" s="83" t="s">
        <v>5282</v>
      </c>
      <c r="B2846" s="257" t="s">
        <v>5283</v>
      </c>
      <c r="C2846" s="258" t="s">
        <v>103</v>
      </c>
      <c r="D2846" s="79">
        <v>53.91</v>
      </c>
      <c r="F2846" s="79">
        <v>53.91</v>
      </c>
      <c r="G2846" s="81"/>
      <c r="N2846" s="240"/>
      <c r="O2846" s="241"/>
      <c r="P2846" s="213"/>
    </row>
    <row r="2847" spans="1:16" ht="12">
      <c r="A2847" s="83" t="s">
        <v>5284</v>
      </c>
      <c r="B2847" s="257" t="s">
        <v>5285</v>
      </c>
      <c r="C2847" s="258" t="s">
        <v>103</v>
      </c>
      <c r="D2847" s="79">
        <v>59.39</v>
      </c>
      <c r="F2847" s="79">
        <v>59.39</v>
      </c>
      <c r="G2847" s="81"/>
      <c r="N2847" s="240"/>
      <c r="O2847" s="241"/>
      <c r="P2847" s="213"/>
    </row>
    <row r="2848" spans="1:16" ht="12">
      <c r="A2848" s="83" t="s">
        <v>5286</v>
      </c>
      <c r="B2848" s="257" t="s">
        <v>5287</v>
      </c>
      <c r="C2848" s="258" t="s">
        <v>103</v>
      </c>
      <c r="D2848" s="79">
        <v>42.42</v>
      </c>
      <c r="F2848" s="79">
        <v>42.42</v>
      </c>
      <c r="G2848" s="81"/>
      <c r="N2848" s="240"/>
      <c r="O2848" s="241"/>
      <c r="P2848" s="213"/>
    </row>
    <row r="2849" spans="1:16" ht="12">
      <c r="A2849" s="83" t="s">
        <v>5288</v>
      </c>
      <c r="B2849" s="257" t="s">
        <v>5289</v>
      </c>
      <c r="C2849" s="258" t="s">
        <v>103</v>
      </c>
      <c r="D2849" s="79">
        <v>158.44</v>
      </c>
      <c r="F2849" s="79">
        <v>158.44</v>
      </c>
      <c r="G2849" s="81"/>
      <c r="N2849" s="240"/>
      <c r="O2849" s="241"/>
      <c r="P2849" s="213"/>
    </row>
    <row r="2850" spans="1:16" ht="12">
      <c r="A2850" s="83" t="s">
        <v>5290</v>
      </c>
      <c r="B2850" s="257" t="s">
        <v>5291</v>
      </c>
      <c r="C2850" s="258" t="s">
        <v>103</v>
      </c>
      <c r="D2850" s="79">
        <v>219.44</v>
      </c>
      <c r="F2850" s="79">
        <v>219.44</v>
      </c>
      <c r="G2850" s="81"/>
      <c r="N2850" s="240"/>
      <c r="O2850" s="241"/>
      <c r="P2850" s="213"/>
    </row>
    <row r="2851" spans="1:16" ht="24">
      <c r="A2851" s="83" t="s">
        <v>5292</v>
      </c>
      <c r="B2851" s="257" t="s">
        <v>29875</v>
      </c>
      <c r="C2851" s="258" t="s">
        <v>103</v>
      </c>
      <c r="D2851" s="79">
        <v>11843.83</v>
      </c>
      <c r="F2851" s="79">
        <v>11843.83</v>
      </c>
      <c r="G2851" s="81"/>
      <c r="N2851" s="240"/>
      <c r="O2851" s="241"/>
      <c r="P2851" s="213"/>
    </row>
    <row r="2852" spans="1:16" ht="12">
      <c r="A2852" s="83" t="s">
        <v>5293</v>
      </c>
      <c r="B2852" s="257" t="s">
        <v>5294</v>
      </c>
      <c r="C2852" s="258" t="s">
        <v>103</v>
      </c>
      <c r="D2852" s="79">
        <v>5.72</v>
      </c>
      <c r="F2852" s="79">
        <v>5.72</v>
      </c>
      <c r="G2852" s="81"/>
      <c r="N2852" s="240"/>
      <c r="O2852" s="241"/>
      <c r="P2852" s="213"/>
    </row>
    <row r="2853" spans="1:16" ht="12">
      <c r="A2853" s="83" t="s">
        <v>5295</v>
      </c>
      <c r="B2853" s="257" t="s">
        <v>28217</v>
      </c>
      <c r="C2853" s="258" t="s">
        <v>103</v>
      </c>
      <c r="D2853" s="79">
        <v>4.4400000000000004</v>
      </c>
      <c r="F2853" s="79">
        <v>4.4400000000000004</v>
      </c>
      <c r="G2853" s="81"/>
      <c r="N2853" s="240"/>
      <c r="O2853" s="241"/>
      <c r="P2853" s="213"/>
    </row>
    <row r="2854" spans="1:16" ht="24">
      <c r="A2854" s="256" t="s">
        <v>5296</v>
      </c>
      <c r="B2854" s="274" t="s">
        <v>5297</v>
      </c>
      <c r="C2854" s="262" t="s">
        <v>103</v>
      </c>
      <c r="D2854" s="79">
        <v>911.19</v>
      </c>
      <c r="F2854" s="522">
        <v>911.19</v>
      </c>
    </row>
    <row r="2855" spans="1:16" ht="12">
      <c r="A2855" s="83" t="s">
        <v>5298</v>
      </c>
      <c r="B2855" s="257" t="s">
        <v>5299</v>
      </c>
      <c r="C2855" s="258" t="s">
        <v>103</v>
      </c>
      <c r="D2855" s="79">
        <v>183.48</v>
      </c>
      <c r="F2855" s="79">
        <v>183.48</v>
      </c>
      <c r="G2855" s="81"/>
      <c r="N2855" s="240"/>
      <c r="O2855" s="241"/>
      <c r="P2855" s="213"/>
    </row>
    <row r="2856" spans="1:16" ht="12">
      <c r="A2856" s="83" t="s">
        <v>5300</v>
      </c>
      <c r="B2856" s="257" t="s">
        <v>5301</v>
      </c>
      <c r="C2856" s="258" t="s">
        <v>103</v>
      </c>
      <c r="D2856" s="79">
        <v>142.22</v>
      </c>
      <c r="F2856" s="79">
        <v>142.22</v>
      </c>
      <c r="G2856" s="81"/>
      <c r="N2856" s="240"/>
      <c r="O2856" s="241"/>
      <c r="P2856" s="213"/>
    </row>
    <row r="2857" spans="1:16" ht="12">
      <c r="A2857" s="83" t="s">
        <v>5302</v>
      </c>
      <c r="B2857" s="257" t="s">
        <v>5303</v>
      </c>
      <c r="C2857" s="258" t="s">
        <v>103</v>
      </c>
      <c r="D2857" s="79">
        <v>183.03</v>
      </c>
      <c r="F2857" s="79">
        <v>183.03</v>
      </c>
      <c r="G2857" s="81"/>
      <c r="N2857" s="240"/>
      <c r="O2857" s="241"/>
      <c r="P2857" s="213"/>
    </row>
    <row r="2858" spans="1:16" ht="12">
      <c r="A2858" s="83" t="s">
        <v>5304</v>
      </c>
      <c r="B2858" s="257" t="s">
        <v>5305</v>
      </c>
      <c r="C2858" s="258" t="s">
        <v>103</v>
      </c>
      <c r="D2858" s="79">
        <v>44.76</v>
      </c>
      <c r="F2858" s="79">
        <v>44.76</v>
      </c>
      <c r="G2858" s="81"/>
      <c r="N2858" s="240"/>
      <c r="O2858" s="241"/>
      <c r="P2858" s="213"/>
    </row>
    <row r="2859" spans="1:16" ht="12">
      <c r="A2859" s="83" t="s">
        <v>5306</v>
      </c>
      <c r="B2859" s="257" t="s">
        <v>5307</v>
      </c>
      <c r="C2859" s="258" t="s">
        <v>103</v>
      </c>
      <c r="D2859" s="79">
        <v>649.29999999999995</v>
      </c>
      <c r="F2859" s="79">
        <v>649.29999999999995</v>
      </c>
      <c r="G2859" s="81"/>
      <c r="N2859" s="240"/>
      <c r="O2859" s="241"/>
      <c r="P2859" s="213"/>
    </row>
    <row r="2860" spans="1:16" ht="24">
      <c r="A2860" s="83" t="s">
        <v>5308</v>
      </c>
      <c r="B2860" s="257" t="s">
        <v>5309</v>
      </c>
      <c r="C2860" s="258" t="s">
        <v>103</v>
      </c>
      <c r="D2860" s="79">
        <v>430.28</v>
      </c>
      <c r="F2860" s="79">
        <v>430.28</v>
      </c>
      <c r="G2860" s="81"/>
      <c r="N2860" s="240"/>
      <c r="O2860" s="241"/>
      <c r="P2860" s="213"/>
    </row>
    <row r="2861" spans="1:16" ht="12">
      <c r="A2861" s="83" t="s">
        <v>5310</v>
      </c>
      <c r="B2861" s="257" t="s">
        <v>5311</v>
      </c>
      <c r="C2861" s="258" t="s">
        <v>103</v>
      </c>
      <c r="D2861" s="79">
        <v>36.14</v>
      </c>
      <c r="F2861" s="79">
        <v>36.14</v>
      </c>
      <c r="G2861" s="81"/>
      <c r="N2861" s="240"/>
      <c r="O2861" s="241"/>
      <c r="P2861" s="213"/>
    </row>
    <row r="2862" spans="1:16" ht="24">
      <c r="A2862" s="83" t="s">
        <v>5312</v>
      </c>
      <c r="B2862" s="257" t="s">
        <v>5313</v>
      </c>
      <c r="C2862" s="258" t="s">
        <v>103</v>
      </c>
      <c r="D2862" s="79">
        <v>140.6</v>
      </c>
      <c r="F2862" s="79">
        <v>140.6</v>
      </c>
      <c r="G2862" s="81"/>
      <c r="N2862" s="240"/>
      <c r="O2862" s="241"/>
      <c r="P2862" s="213"/>
    </row>
    <row r="2863" spans="1:16" ht="24">
      <c r="A2863" s="83" t="s">
        <v>5314</v>
      </c>
      <c r="B2863" s="257" t="s">
        <v>5315</v>
      </c>
      <c r="C2863" s="258" t="s">
        <v>103</v>
      </c>
      <c r="D2863" s="79">
        <v>102.26</v>
      </c>
      <c r="F2863" s="79">
        <v>102.26</v>
      </c>
      <c r="G2863" s="81"/>
      <c r="N2863" s="240"/>
      <c r="O2863" s="241"/>
      <c r="P2863" s="213"/>
    </row>
    <row r="2864" spans="1:16" ht="24">
      <c r="A2864" s="83" t="s">
        <v>5316</v>
      </c>
      <c r="B2864" s="257" t="s">
        <v>5317</v>
      </c>
      <c r="C2864" s="258" t="s">
        <v>103</v>
      </c>
      <c r="D2864" s="79">
        <v>86.45</v>
      </c>
      <c r="F2864" s="79">
        <v>86.45</v>
      </c>
      <c r="G2864" s="81"/>
      <c r="N2864" s="240"/>
      <c r="O2864" s="241"/>
      <c r="P2864" s="213"/>
    </row>
    <row r="2865" spans="1:16" ht="24">
      <c r="A2865" s="83" t="s">
        <v>5318</v>
      </c>
      <c r="B2865" s="257" t="s">
        <v>5319</v>
      </c>
      <c r="C2865" s="258" t="s">
        <v>103</v>
      </c>
      <c r="D2865" s="79">
        <v>57.61</v>
      </c>
      <c r="F2865" s="79">
        <v>57.61</v>
      </c>
      <c r="G2865" s="81"/>
      <c r="N2865" s="240"/>
      <c r="O2865" s="241"/>
      <c r="P2865" s="213"/>
    </row>
    <row r="2866" spans="1:16" ht="24">
      <c r="A2866" s="83" t="s">
        <v>5320</v>
      </c>
      <c r="B2866" s="257" t="s">
        <v>5321</v>
      </c>
      <c r="C2866" s="258" t="s">
        <v>103</v>
      </c>
      <c r="D2866" s="79">
        <v>46.26</v>
      </c>
      <c r="F2866" s="79">
        <v>46.26</v>
      </c>
      <c r="G2866" s="81"/>
      <c r="N2866" s="240"/>
      <c r="O2866" s="241"/>
      <c r="P2866" s="213"/>
    </row>
    <row r="2867" spans="1:16" ht="24">
      <c r="A2867" s="83" t="s">
        <v>5322</v>
      </c>
      <c r="B2867" s="257" t="s">
        <v>5323</v>
      </c>
      <c r="C2867" s="258" t="s">
        <v>103</v>
      </c>
      <c r="D2867" s="79">
        <v>56.97</v>
      </c>
      <c r="F2867" s="79">
        <v>56.97</v>
      </c>
      <c r="G2867" s="81"/>
      <c r="N2867" s="240"/>
      <c r="O2867" s="241"/>
      <c r="P2867" s="213"/>
    </row>
    <row r="2868" spans="1:16" ht="24">
      <c r="A2868" s="83" t="s">
        <v>5324</v>
      </c>
      <c r="B2868" s="257" t="s">
        <v>5325</v>
      </c>
      <c r="C2868" s="258" t="s">
        <v>103</v>
      </c>
      <c r="D2868" s="79">
        <v>63.6</v>
      </c>
      <c r="F2868" s="79">
        <v>63.6</v>
      </c>
      <c r="G2868" s="81"/>
      <c r="N2868" s="240"/>
      <c r="O2868" s="241"/>
      <c r="P2868" s="213"/>
    </row>
    <row r="2869" spans="1:16" ht="24">
      <c r="A2869" s="83" t="s">
        <v>5326</v>
      </c>
      <c r="B2869" s="257" t="s">
        <v>5327</v>
      </c>
      <c r="C2869" s="258" t="s">
        <v>103</v>
      </c>
      <c r="D2869" s="79">
        <v>36.43</v>
      </c>
      <c r="F2869" s="79">
        <v>36.43</v>
      </c>
      <c r="G2869" s="81"/>
      <c r="N2869" s="240"/>
      <c r="O2869" s="241"/>
      <c r="P2869" s="213"/>
    </row>
    <row r="2870" spans="1:16" ht="12">
      <c r="A2870" s="83" t="s">
        <v>5328</v>
      </c>
      <c r="B2870" s="257" t="s">
        <v>5329</v>
      </c>
      <c r="C2870" s="258" t="s">
        <v>103</v>
      </c>
      <c r="D2870" s="79">
        <v>346.29</v>
      </c>
      <c r="F2870" s="79">
        <v>346.29</v>
      </c>
      <c r="G2870" s="81"/>
      <c r="N2870" s="240"/>
      <c r="O2870" s="241"/>
      <c r="P2870" s="213"/>
    </row>
    <row r="2871" spans="1:16" ht="12">
      <c r="A2871" s="67" t="s">
        <v>5330</v>
      </c>
      <c r="B2871" s="65" t="s">
        <v>5331</v>
      </c>
      <c r="C2871" s="71" t="s">
        <v>103</v>
      </c>
      <c r="D2871" s="79">
        <v>124.63</v>
      </c>
      <c r="F2871" s="79">
        <v>124.63</v>
      </c>
      <c r="G2871" s="81"/>
      <c r="N2871" s="133"/>
      <c r="O2871" s="241"/>
      <c r="P2871" s="213"/>
    </row>
    <row r="2872" spans="1:16" ht="24">
      <c r="A2872" s="83" t="s">
        <v>5332</v>
      </c>
      <c r="B2872" s="257" t="s">
        <v>5333</v>
      </c>
      <c r="C2872" s="258" t="s">
        <v>103</v>
      </c>
      <c r="D2872" s="79">
        <v>268.54000000000002</v>
      </c>
      <c r="F2872" s="79">
        <v>268.54000000000002</v>
      </c>
      <c r="G2872" s="81"/>
      <c r="N2872" s="240"/>
      <c r="O2872" s="241"/>
      <c r="P2872" s="213"/>
    </row>
    <row r="2873" spans="1:16" ht="12">
      <c r="A2873" s="83" t="s">
        <v>5334</v>
      </c>
      <c r="B2873" s="257" t="s">
        <v>5335</v>
      </c>
      <c r="C2873" s="258" t="s">
        <v>103</v>
      </c>
      <c r="D2873" s="79">
        <v>97.87</v>
      </c>
      <c r="F2873" s="79">
        <v>97.87</v>
      </c>
      <c r="G2873" s="81"/>
      <c r="N2873" s="240"/>
      <c r="O2873" s="241"/>
      <c r="P2873" s="213"/>
    </row>
    <row r="2874" spans="1:16" ht="24">
      <c r="A2874" s="83" t="s">
        <v>5336</v>
      </c>
      <c r="B2874" s="257" t="s">
        <v>5337</v>
      </c>
      <c r="C2874" s="258" t="s">
        <v>103</v>
      </c>
      <c r="D2874" s="79">
        <v>323.77999999999997</v>
      </c>
      <c r="F2874" s="79">
        <v>323.77999999999997</v>
      </c>
      <c r="G2874" s="81"/>
      <c r="N2874" s="240"/>
      <c r="O2874" s="241"/>
      <c r="P2874" s="213"/>
    </row>
    <row r="2875" spans="1:16" ht="12">
      <c r="A2875" s="83" t="s">
        <v>5338</v>
      </c>
      <c r="B2875" s="257" t="s">
        <v>5339</v>
      </c>
      <c r="C2875" s="258" t="s">
        <v>103</v>
      </c>
      <c r="D2875" s="79">
        <v>305.17</v>
      </c>
      <c r="F2875" s="79">
        <v>305.17</v>
      </c>
      <c r="G2875" s="81"/>
      <c r="N2875" s="240"/>
      <c r="O2875" s="241"/>
      <c r="P2875" s="213"/>
    </row>
    <row r="2876" spans="1:16" ht="12">
      <c r="A2876" s="83" t="s">
        <v>5340</v>
      </c>
      <c r="B2876" s="257" t="s">
        <v>5341</v>
      </c>
      <c r="C2876" s="258" t="s">
        <v>103</v>
      </c>
      <c r="D2876" s="79">
        <v>196.78</v>
      </c>
      <c r="F2876" s="79">
        <v>196.78</v>
      </c>
      <c r="G2876" s="81"/>
      <c r="N2876" s="240"/>
      <c r="O2876" s="241"/>
      <c r="P2876" s="213"/>
    </row>
    <row r="2877" spans="1:16" ht="12">
      <c r="A2877" s="83" t="s">
        <v>5342</v>
      </c>
      <c r="B2877" s="257" t="s">
        <v>5343</v>
      </c>
      <c r="C2877" s="258" t="s">
        <v>103</v>
      </c>
      <c r="D2877" s="79">
        <v>346.44</v>
      </c>
      <c r="F2877" s="79">
        <v>346.44</v>
      </c>
      <c r="G2877" s="81"/>
      <c r="N2877" s="240"/>
      <c r="O2877" s="241"/>
      <c r="P2877" s="213"/>
    </row>
    <row r="2878" spans="1:16" ht="12">
      <c r="A2878" s="83" t="s">
        <v>5344</v>
      </c>
      <c r="B2878" s="257" t="s">
        <v>5345</v>
      </c>
      <c r="C2878" s="258" t="s">
        <v>103</v>
      </c>
      <c r="D2878" s="79">
        <v>537.88</v>
      </c>
      <c r="F2878" s="79">
        <v>537.88</v>
      </c>
      <c r="G2878" s="81"/>
      <c r="N2878" s="240"/>
      <c r="O2878" s="241"/>
      <c r="P2878" s="213"/>
    </row>
    <row r="2879" spans="1:16" ht="12">
      <c r="A2879" s="83" t="s">
        <v>5346</v>
      </c>
      <c r="B2879" s="257" t="s">
        <v>5347</v>
      </c>
      <c r="C2879" s="258" t="s">
        <v>103</v>
      </c>
      <c r="D2879" s="79">
        <v>702.55</v>
      </c>
      <c r="F2879" s="79">
        <v>702.55</v>
      </c>
      <c r="G2879" s="81"/>
      <c r="N2879" s="240"/>
      <c r="O2879" s="241"/>
      <c r="P2879" s="213"/>
    </row>
    <row r="2880" spans="1:16" ht="24">
      <c r="A2880" s="83" t="s">
        <v>5348</v>
      </c>
      <c r="B2880" s="257" t="s">
        <v>5349</v>
      </c>
      <c r="C2880" s="258" t="s">
        <v>103</v>
      </c>
      <c r="D2880" s="79">
        <v>1613.44</v>
      </c>
      <c r="F2880" s="79">
        <v>1613.44</v>
      </c>
      <c r="G2880" s="81"/>
      <c r="N2880" s="240"/>
      <c r="O2880" s="241"/>
      <c r="P2880" s="213"/>
    </row>
    <row r="2881" spans="1:16" ht="24">
      <c r="A2881" s="83" t="s">
        <v>5350</v>
      </c>
      <c r="B2881" s="257" t="s">
        <v>5351</v>
      </c>
      <c r="C2881" s="258" t="s">
        <v>103</v>
      </c>
      <c r="D2881" s="79">
        <v>314.33</v>
      </c>
      <c r="F2881" s="79">
        <v>314.33</v>
      </c>
      <c r="G2881" s="81"/>
      <c r="N2881" s="240"/>
      <c r="O2881" s="241"/>
      <c r="P2881" s="213"/>
    </row>
    <row r="2882" spans="1:16" ht="24">
      <c r="A2882" s="83" t="s">
        <v>5352</v>
      </c>
      <c r="B2882" s="257" t="s">
        <v>5353</v>
      </c>
      <c r="C2882" s="258" t="s">
        <v>103</v>
      </c>
      <c r="D2882" s="79">
        <v>289.06</v>
      </c>
      <c r="F2882" s="79">
        <v>289.06</v>
      </c>
      <c r="G2882" s="81"/>
      <c r="N2882" s="240"/>
      <c r="O2882" s="241"/>
      <c r="P2882" s="213"/>
    </row>
    <row r="2883" spans="1:16" ht="12">
      <c r="A2883" s="83" t="s">
        <v>5354</v>
      </c>
      <c r="B2883" s="257" t="s">
        <v>5355</v>
      </c>
      <c r="C2883" s="258" t="s">
        <v>103</v>
      </c>
      <c r="D2883" s="79">
        <v>478.72</v>
      </c>
      <c r="F2883" s="79">
        <v>478.72</v>
      </c>
      <c r="G2883" s="81"/>
      <c r="N2883" s="240"/>
      <c r="O2883" s="241"/>
      <c r="P2883" s="213"/>
    </row>
    <row r="2884" spans="1:16" ht="24">
      <c r="A2884" s="83" t="s">
        <v>5356</v>
      </c>
      <c r="B2884" s="257" t="s">
        <v>5357</v>
      </c>
      <c r="C2884" s="258" t="s">
        <v>103</v>
      </c>
      <c r="D2884" s="79">
        <v>4743.24</v>
      </c>
      <c r="F2884" s="79">
        <v>4743.24</v>
      </c>
      <c r="G2884" s="81"/>
      <c r="N2884" s="240"/>
      <c r="O2884" s="241"/>
      <c r="P2884" s="213"/>
    </row>
    <row r="2885" spans="1:16" ht="24">
      <c r="A2885" s="83" t="s">
        <v>5358</v>
      </c>
      <c r="B2885" s="257" t="s">
        <v>5359</v>
      </c>
      <c r="C2885" s="258" t="s">
        <v>103</v>
      </c>
      <c r="D2885" s="79">
        <v>111.93</v>
      </c>
      <c r="F2885" s="79">
        <v>111.93</v>
      </c>
      <c r="G2885" s="81"/>
      <c r="N2885" s="240"/>
      <c r="O2885" s="241"/>
      <c r="P2885" s="213"/>
    </row>
    <row r="2886" spans="1:16" ht="12">
      <c r="A2886" s="83" t="s">
        <v>5360</v>
      </c>
      <c r="B2886" s="257" t="s">
        <v>5361</v>
      </c>
      <c r="C2886" s="258" t="s">
        <v>103</v>
      </c>
      <c r="D2886" s="79">
        <v>96.42</v>
      </c>
      <c r="F2886" s="79">
        <v>96.42</v>
      </c>
      <c r="G2886" s="81"/>
      <c r="N2886" s="240"/>
      <c r="O2886" s="241"/>
      <c r="P2886" s="213"/>
    </row>
    <row r="2887" spans="1:16" ht="24">
      <c r="A2887" s="83" t="s">
        <v>5362</v>
      </c>
      <c r="B2887" s="257" t="s">
        <v>5363</v>
      </c>
      <c r="C2887" s="258" t="s">
        <v>103</v>
      </c>
      <c r="D2887" s="79">
        <v>116.88</v>
      </c>
      <c r="F2887" s="79">
        <v>116.88</v>
      </c>
      <c r="G2887" s="81"/>
      <c r="N2887" s="240"/>
      <c r="O2887" s="241"/>
      <c r="P2887" s="213"/>
    </row>
    <row r="2888" spans="1:16" ht="12">
      <c r="A2888" s="83" t="s">
        <v>5364</v>
      </c>
      <c r="B2888" s="257" t="s">
        <v>5365</v>
      </c>
      <c r="C2888" s="258" t="s">
        <v>103</v>
      </c>
      <c r="D2888" s="79">
        <v>144.94999999999999</v>
      </c>
      <c r="F2888" s="79">
        <v>144.94999999999999</v>
      </c>
      <c r="G2888" s="81"/>
      <c r="N2888" s="240"/>
      <c r="O2888" s="241"/>
      <c r="P2888" s="213"/>
    </row>
    <row r="2889" spans="1:16" ht="12">
      <c r="A2889" s="83" t="s">
        <v>5366</v>
      </c>
      <c r="B2889" s="257" t="s">
        <v>5367</v>
      </c>
      <c r="C2889" s="258" t="s">
        <v>103</v>
      </c>
      <c r="D2889" s="79">
        <v>2860.68</v>
      </c>
      <c r="F2889" s="79">
        <v>2860.68</v>
      </c>
      <c r="G2889" s="81"/>
      <c r="N2889" s="240"/>
      <c r="O2889" s="241"/>
      <c r="P2889" s="213"/>
    </row>
    <row r="2890" spans="1:16" ht="12">
      <c r="A2890" s="83" t="s">
        <v>5368</v>
      </c>
      <c r="B2890" s="257" t="s">
        <v>5369</v>
      </c>
      <c r="C2890" s="258" t="s">
        <v>103</v>
      </c>
      <c r="D2890" s="79">
        <v>3326.12</v>
      </c>
      <c r="F2890" s="79">
        <v>3326.12</v>
      </c>
      <c r="G2890" s="81"/>
      <c r="N2890" s="240"/>
      <c r="O2890" s="241"/>
      <c r="P2890" s="213"/>
    </row>
    <row r="2891" spans="1:16" ht="12">
      <c r="A2891" s="83" t="s">
        <v>5370</v>
      </c>
      <c r="B2891" s="257" t="s">
        <v>5371</v>
      </c>
      <c r="C2891" s="258" t="s">
        <v>103</v>
      </c>
      <c r="D2891" s="79">
        <v>281.13</v>
      </c>
      <c r="F2891" s="79">
        <v>281.13</v>
      </c>
      <c r="G2891" s="81"/>
      <c r="N2891" s="240"/>
      <c r="O2891" s="241"/>
      <c r="P2891" s="213"/>
    </row>
    <row r="2892" spans="1:16" ht="24">
      <c r="A2892" s="83" t="s">
        <v>5372</v>
      </c>
      <c r="B2892" s="257" t="s">
        <v>5373</v>
      </c>
      <c r="C2892" s="258" t="s">
        <v>103</v>
      </c>
      <c r="D2892" s="79">
        <v>5831.11</v>
      </c>
      <c r="F2892" s="79">
        <v>5831.11</v>
      </c>
      <c r="G2892" s="81"/>
      <c r="N2892" s="240"/>
      <c r="O2892" s="241"/>
      <c r="P2892" s="213"/>
    </row>
    <row r="2893" spans="1:16" ht="24">
      <c r="A2893" s="83" t="s">
        <v>5374</v>
      </c>
      <c r="B2893" s="257" t="s">
        <v>5375</v>
      </c>
      <c r="C2893" s="258" t="s">
        <v>103</v>
      </c>
      <c r="D2893" s="79">
        <v>1013.9</v>
      </c>
      <c r="F2893" s="79">
        <v>1013.9</v>
      </c>
      <c r="G2893" s="81"/>
      <c r="N2893" s="240"/>
      <c r="O2893" s="241"/>
      <c r="P2893" s="213"/>
    </row>
    <row r="2894" spans="1:16" ht="12">
      <c r="A2894" s="83" t="s">
        <v>5376</v>
      </c>
      <c r="B2894" s="257" t="s">
        <v>5377</v>
      </c>
      <c r="C2894" s="258" t="s">
        <v>103</v>
      </c>
      <c r="D2894" s="79">
        <v>2158.11</v>
      </c>
      <c r="F2894" s="79">
        <v>2158.11</v>
      </c>
      <c r="G2894" s="81"/>
      <c r="N2894" s="240"/>
      <c r="O2894" s="241"/>
      <c r="P2894" s="213"/>
    </row>
    <row r="2895" spans="1:16" ht="12">
      <c r="A2895" s="83" t="s">
        <v>5378</v>
      </c>
      <c r="B2895" s="257" t="s">
        <v>5379</v>
      </c>
      <c r="C2895" s="258" t="s">
        <v>103</v>
      </c>
      <c r="D2895" s="79">
        <v>85.78</v>
      </c>
      <c r="F2895" s="79">
        <v>85.78</v>
      </c>
      <c r="G2895" s="81"/>
      <c r="N2895" s="240"/>
      <c r="O2895" s="241"/>
      <c r="P2895" s="213"/>
    </row>
    <row r="2896" spans="1:16" ht="24">
      <c r="A2896" s="83" t="s">
        <v>5380</v>
      </c>
      <c r="B2896" s="257" t="s">
        <v>5381</v>
      </c>
      <c r="C2896" s="258" t="s">
        <v>165</v>
      </c>
      <c r="D2896" s="79">
        <v>3.54</v>
      </c>
      <c r="F2896" s="79">
        <v>3.54</v>
      </c>
      <c r="G2896" s="81"/>
      <c r="N2896" s="240"/>
      <c r="O2896" s="241"/>
      <c r="P2896" s="213"/>
    </row>
    <row r="2897" spans="1:16" ht="24">
      <c r="A2897" s="83" t="s">
        <v>5382</v>
      </c>
      <c r="B2897" s="257" t="s">
        <v>29876</v>
      </c>
      <c r="C2897" s="258" t="s">
        <v>165</v>
      </c>
      <c r="D2897" s="79">
        <v>2.04</v>
      </c>
      <c r="F2897" s="79">
        <v>2.04</v>
      </c>
      <c r="G2897" s="81"/>
      <c r="N2897" s="240"/>
      <c r="O2897" s="241"/>
      <c r="P2897" s="213"/>
    </row>
    <row r="2898" spans="1:16" ht="12">
      <c r="A2898" s="83" t="s">
        <v>5383</v>
      </c>
      <c r="B2898" s="257" t="s">
        <v>5384</v>
      </c>
      <c r="C2898" s="258" t="s">
        <v>103</v>
      </c>
      <c r="D2898" s="79">
        <v>297.91000000000003</v>
      </c>
      <c r="F2898" s="79">
        <v>297.91000000000003</v>
      </c>
      <c r="G2898" s="81"/>
      <c r="N2898" s="240"/>
      <c r="O2898" s="241"/>
      <c r="P2898" s="213"/>
    </row>
    <row r="2899" spans="1:16" ht="12">
      <c r="A2899" s="83" t="s">
        <v>5385</v>
      </c>
      <c r="B2899" s="257" t="s">
        <v>5386</v>
      </c>
      <c r="C2899" s="258" t="s">
        <v>103</v>
      </c>
      <c r="D2899" s="79">
        <v>217.26</v>
      </c>
      <c r="F2899" s="79">
        <v>217.26</v>
      </c>
      <c r="G2899" s="81"/>
      <c r="N2899" s="240"/>
      <c r="O2899" s="241"/>
      <c r="P2899" s="213"/>
    </row>
    <row r="2900" spans="1:16" ht="12">
      <c r="A2900" s="83" t="s">
        <v>5387</v>
      </c>
      <c r="B2900" s="257" t="s">
        <v>5388</v>
      </c>
      <c r="C2900" s="258" t="s">
        <v>103</v>
      </c>
      <c r="D2900" s="79">
        <v>9.14</v>
      </c>
      <c r="F2900" s="79">
        <v>9.14</v>
      </c>
      <c r="G2900" s="81"/>
      <c r="N2900" s="240"/>
      <c r="O2900" s="241"/>
      <c r="P2900" s="213"/>
    </row>
    <row r="2901" spans="1:16" ht="12">
      <c r="A2901" s="83" t="s">
        <v>5389</v>
      </c>
      <c r="B2901" s="257" t="s">
        <v>5390</v>
      </c>
      <c r="C2901" s="258" t="s">
        <v>103</v>
      </c>
      <c r="D2901" s="79">
        <v>11.53</v>
      </c>
      <c r="F2901" s="79">
        <v>11.53</v>
      </c>
      <c r="G2901" s="81"/>
      <c r="N2901" s="240"/>
      <c r="O2901" s="241"/>
      <c r="P2901" s="213"/>
    </row>
    <row r="2902" spans="1:16" ht="12">
      <c r="A2902" s="83" t="s">
        <v>5391</v>
      </c>
      <c r="B2902" s="257" t="s">
        <v>5392</v>
      </c>
      <c r="C2902" s="258" t="s">
        <v>103</v>
      </c>
      <c r="D2902" s="79">
        <v>13.16</v>
      </c>
      <c r="F2902" s="79">
        <v>13.16</v>
      </c>
      <c r="G2902" s="81"/>
      <c r="N2902" s="240"/>
      <c r="O2902" s="241"/>
      <c r="P2902" s="213"/>
    </row>
    <row r="2903" spans="1:16" ht="12">
      <c r="A2903" s="83" t="s">
        <v>5393</v>
      </c>
      <c r="B2903" s="257" t="s">
        <v>5394</v>
      </c>
      <c r="C2903" s="258" t="s">
        <v>103</v>
      </c>
      <c r="D2903" s="79">
        <v>13.36</v>
      </c>
      <c r="F2903" s="79">
        <v>13.36</v>
      </c>
      <c r="G2903" s="81"/>
      <c r="N2903" s="240"/>
      <c r="O2903" s="241"/>
      <c r="P2903" s="213"/>
    </row>
    <row r="2904" spans="1:16" ht="12">
      <c r="A2904" s="83" t="s">
        <v>5395</v>
      </c>
      <c r="B2904" s="257" t="s">
        <v>5396</v>
      </c>
      <c r="C2904" s="258" t="s">
        <v>103</v>
      </c>
      <c r="D2904" s="79">
        <v>15.72</v>
      </c>
      <c r="F2904" s="79">
        <v>15.72</v>
      </c>
      <c r="G2904" s="81"/>
      <c r="N2904" s="240"/>
      <c r="O2904" s="241"/>
      <c r="P2904" s="213"/>
    </row>
    <row r="2905" spans="1:16" ht="12">
      <c r="A2905" s="83" t="s">
        <v>5397</v>
      </c>
      <c r="B2905" s="257" t="s">
        <v>5398</v>
      </c>
      <c r="C2905" s="258" t="s">
        <v>103</v>
      </c>
      <c r="D2905" s="79">
        <v>17.739999999999998</v>
      </c>
      <c r="F2905" s="79">
        <v>17.739999999999998</v>
      </c>
      <c r="G2905" s="81"/>
      <c r="N2905" s="240"/>
      <c r="O2905" s="241"/>
      <c r="P2905" s="213"/>
    </row>
    <row r="2906" spans="1:16" ht="12">
      <c r="A2906" s="83" t="s">
        <v>5399</v>
      </c>
      <c r="B2906" s="257" t="s">
        <v>5400</v>
      </c>
      <c r="C2906" s="258" t="s">
        <v>103</v>
      </c>
      <c r="D2906" s="79">
        <v>20.58</v>
      </c>
      <c r="F2906" s="79">
        <v>20.58</v>
      </c>
      <c r="G2906" s="81"/>
      <c r="N2906" s="240"/>
      <c r="O2906" s="241"/>
      <c r="P2906" s="213"/>
    </row>
    <row r="2907" spans="1:16" ht="12">
      <c r="A2907" s="83" t="s">
        <v>5401</v>
      </c>
      <c r="B2907" s="257" t="s">
        <v>5402</v>
      </c>
      <c r="C2907" s="258" t="s">
        <v>103</v>
      </c>
      <c r="D2907" s="79">
        <v>0.96</v>
      </c>
      <c r="F2907" s="79">
        <v>0.96</v>
      </c>
      <c r="G2907" s="81"/>
      <c r="N2907" s="240"/>
      <c r="O2907" s="241"/>
      <c r="P2907" s="213"/>
    </row>
    <row r="2908" spans="1:16" ht="12">
      <c r="A2908" s="83" t="s">
        <v>5403</v>
      </c>
      <c r="B2908" s="257" t="s">
        <v>5404</v>
      </c>
      <c r="C2908" s="258" t="s">
        <v>103</v>
      </c>
      <c r="D2908" s="79">
        <v>8.01</v>
      </c>
      <c r="F2908" s="79">
        <v>8.01</v>
      </c>
      <c r="G2908" s="81"/>
      <c r="N2908" s="240"/>
      <c r="O2908" s="241"/>
      <c r="P2908" s="213"/>
    </row>
    <row r="2909" spans="1:16" ht="12">
      <c r="A2909" s="83" t="s">
        <v>5405</v>
      </c>
      <c r="B2909" s="257" t="s">
        <v>5406</v>
      </c>
      <c r="C2909" s="258" t="s">
        <v>103</v>
      </c>
      <c r="D2909" s="79">
        <v>7.63</v>
      </c>
      <c r="F2909" s="79">
        <v>7.63</v>
      </c>
      <c r="G2909" s="81"/>
      <c r="N2909" s="240"/>
      <c r="O2909" s="241"/>
      <c r="P2909" s="213"/>
    </row>
    <row r="2910" spans="1:16" ht="12">
      <c r="A2910" s="83" t="s">
        <v>5407</v>
      </c>
      <c r="B2910" s="257" t="s">
        <v>5408</v>
      </c>
      <c r="C2910" s="258" t="s">
        <v>103</v>
      </c>
      <c r="D2910" s="79">
        <v>9.1999999999999993</v>
      </c>
      <c r="F2910" s="79">
        <v>9.1999999999999993</v>
      </c>
      <c r="G2910" s="81"/>
      <c r="N2910" s="240"/>
      <c r="O2910" s="241"/>
      <c r="P2910" s="213"/>
    </row>
    <row r="2911" spans="1:16" ht="12">
      <c r="A2911" s="83" t="s">
        <v>5409</v>
      </c>
      <c r="B2911" s="257" t="s">
        <v>5410</v>
      </c>
      <c r="C2911" s="258" t="s">
        <v>103</v>
      </c>
      <c r="D2911" s="79">
        <v>16.47</v>
      </c>
      <c r="F2911" s="79">
        <v>16.47</v>
      </c>
      <c r="G2911" s="81"/>
      <c r="N2911" s="240"/>
      <c r="O2911" s="241"/>
      <c r="P2911" s="213"/>
    </row>
    <row r="2912" spans="1:16" ht="12">
      <c r="A2912" s="83" t="s">
        <v>5411</v>
      </c>
      <c r="B2912" s="257" t="s">
        <v>5412</v>
      </c>
      <c r="C2912" s="258" t="s">
        <v>103</v>
      </c>
      <c r="D2912" s="79">
        <v>15.7</v>
      </c>
      <c r="F2912" s="79">
        <v>15.7</v>
      </c>
      <c r="G2912" s="81"/>
      <c r="N2912" s="240"/>
      <c r="O2912" s="241"/>
      <c r="P2912" s="213"/>
    </row>
    <row r="2913" spans="1:16" ht="12">
      <c r="A2913" s="83" t="s">
        <v>5413</v>
      </c>
      <c r="B2913" s="257" t="s">
        <v>5414</v>
      </c>
      <c r="C2913" s="258" t="s">
        <v>103</v>
      </c>
      <c r="D2913" s="79">
        <v>23.34</v>
      </c>
      <c r="F2913" s="79">
        <v>23.34</v>
      </c>
      <c r="G2913" s="81"/>
      <c r="N2913" s="240"/>
      <c r="O2913" s="241"/>
      <c r="P2913" s="213"/>
    </row>
    <row r="2914" spans="1:16" ht="12">
      <c r="A2914" s="83" t="s">
        <v>5415</v>
      </c>
      <c r="B2914" s="257" t="s">
        <v>5416</v>
      </c>
      <c r="C2914" s="258" t="s">
        <v>103</v>
      </c>
      <c r="D2914" s="79">
        <v>41.9</v>
      </c>
      <c r="F2914" s="79">
        <v>41.9</v>
      </c>
      <c r="G2914" s="81"/>
      <c r="N2914" s="240"/>
      <c r="O2914" s="241"/>
      <c r="P2914" s="213"/>
    </row>
    <row r="2915" spans="1:16" ht="24">
      <c r="A2915" s="83" t="s">
        <v>5417</v>
      </c>
      <c r="B2915" s="257" t="s">
        <v>5418</v>
      </c>
      <c r="C2915" s="258" t="s">
        <v>103</v>
      </c>
      <c r="D2915" s="79">
        <v>51.16</v>
      </c>
      <c r="F2915" s="79">
        <v>51.16</v>
      </c>
      <c r="G2915" s="81"/>
      <c r="N2915" s="240"/>
      <c r="O2915" s="241"/>
      <c r="P2915" s="213"/>
    </row>
    <row r="2916" spans="1:16" ht="36">
      <c r="A2916" s="83" t="s">
        <v>5419</v>
      </c>
      <c r="B2916" s="257" t="s">
        <v>5420</v>
      </c>
      <c r="C2916" s="258" t="s">
        <v>103</v>
      </c>
      <c r="D2916" s="79">
        <v>16.39</v>
      </c>
      <c r="F2916" s="79">
        <v>16.39</v>
      </c>
      <c r="G2916" s="81"/>
      <c r="N2916" s="240"/>
      <c r="O2916" s="241"/>
      <c r="P2916" s="213"/>
    </row>
    <row r="2917" spans="1:16" ht="12">
      <c r="A2917" s="83" t="s">
        <v>5421</v>
      </c>
      <c r="B2917" s="257" t="s">
        <v>5422</v>
      </c>
      <c r="C2917" s="258" t="s">
        <v>103</v>
      </c>
      <c r="D2917" s="79">
        <v>33.090000000000003</v>
      </c>
      <c r="F2917" s="79">
        <v>33.090000000000003</v>
      </c>
      <c r="G2917" s="81"/>
      <c r="N2917" s="240"/>
      <c r="O2917" s="241"/>
      <c r="P2917" s="213"/>
    </row>
    <row r="2918" spans="1:16" ht="12">
      <c r="A2918" s="83" t="s">
        <v>5423</v>
      </c>
      <c r="B2918" s="257" t="s">
        <v>5424</v>
      </c>
      <c r="C2918" s="258" t="s">
        <v>103</v>
      </c>
      <c r="D2918" s="79">
        <v>46.98</v>
      </c>
      <c r="F2918" s="79">
        <v>46.98</v>
      </c>
      <c r="G2918" s="81"/>
      <c r="N2918" s="240"/>
      <c r="O2918" s="241"/>
      <c r="P2918" s="213"/>
    </row>
    <row r="2919" spans="1:16" ht="12">
      <c r="A2919" s="83" t="s">
        <v>5425</v>
      </c>
      <c r="B2919" s="257" t="s">
        <v>5426</v>
      </c>
      <c r="C2919" s="258" t="s">
        <v>103</v>
      </c>
      <c r="D2919" s="79">
        <v>8.51</v>
      </c>
      <c r="F2919" s="79">
        <v>8.51</v>
      </c>
      <c r="G2919" s="81"/>
      <c r="N2919" s="240"/>
      <c r="O2919" s="241"/>
      <c r="P2919" s="213"/>
    </row>
    <row r="2920" spans="1:16" ht="12">
      <c r="A2920" s="83" t="s">
        <v>5427</v>
      </c>
      <c r="B2920" s="257" t="s">
        <v>5428</v>
      </c>
      <c r="C2920" s="258" t="s">
        <v>103</v>
      </c>
      <c r="D2920" s="79">
        <v>6.38</v>
      </c>
      <c r="F2920" s="79">
        <v>6.38</v>
      </c>
      <c r="G2920" s="81"/>
      <c r="N2920" s="240"/>
      <c r="O2920" s="241"/>
      <c r="P2920" s="213"/>
    </row>
    <row r="2921" spans="1:16" ht="12">
      <c r="A2921" s="83" t="s">
        <v>5429</v>
      </c>
      <c r="B2921" s="257" t="s">
        <v>5430</v>
      </c>
      <c r="C2921" s="258" t="s">
        <v>103</v>
      </c>
      <c r="D2921" s="79">
        <v>9.58</v>
      </c>
      <c r="F2921" s="79">
        <v>9.58</v>
      </c>
      <c r="G2921" s="81"/>
      <c r="N2921" s="240"/>
      <c r="O2921" s="241"/>
      <c r="P2921" s="213"/>
    </row>
    <row r="2922" spans="1:16" ht="12">
      <c r="A2922" s="83" t="s">
        <v>5431</v>
      </c>
      <c r="B2922" s="257" t="s">
        <v>5432</v>
      </c>
      <c r="C2922" s="258" t="s">
        <v>103</v>
      </c>
      <c r="D2922" s="79">
        <v>33.28</v>
      </c>
      <c r="F2922" s="79">
        <v>33.28</v>
      </c>
      <c r="G2922" s="81"/>
      <c r="N2922" s="240"/>
      <c r="O2922" s="241"/>
      <c r="P2922" s="213"/>
    </row>
    <row r="2923" spans="1:16" ht="12">
      <c r="A2923" s="83" t="s">
        <v>5433</v>
      </c>
      <c r="B2923" s="257" t="s">
        <v>5434</v>
      </c>
      <c r="C2923" s="258" t="s">
        <v>103</v>
      </c>
      <c r="D2923" s="79">
        <v>12.93</v>
      </c>
      <c r="F2923" s="79">
        <v>12.93</v>
      </c>
      <c r="G2923" s="81"/>
      <c r="N2923" s="240"/>
      <c r="O2923" s="241"/>
      <c r="P2923" s="213"/>
    </row>
    <row r="2924" spans="1:16" ht="12">
      <c r="A2924" s="83" t="s">
        <v>5435</v>
      </c>
      <c r="B2924" s="257" t="s">
        <v>5436</v>
      </c>
      <c r="C2924" s="258" t="s">
        <v>103</v>
      </c>
      <c r="D2924" s="79">
        <v>6.74</v>
      </c>
      <c r="F2924" s="79">
        <v>6.74</v>
      </c>
      <c r="G2924" s="81"/>
      <c r="N2924" s="240"/>
      <c r="O2924" s="241"/>
      <c r="P2924" s="213"/>
    </row>
    <row r="2925" spans="1:16" ht="12">
      <c r="A2925" s="83" t="s">
        <v>5437</v>
      </c>
      <c r="B2925" s="257" t="s">
        <v>5438</v>
      </c>
      <c r="C2925" s="258" t="s">
        <v>103</v>
      </c>
      <c r="D2925" s="79">
        <v>258.31</v>
      </c>
      <c r="F2925" s="79">
        <v>258.31</v>
      </c>
      <c r="G2925" s="81"/>
      <c r="N2925" s="240"/>
      <c r="O2925" s="241"/>
      <c r="P2925" s="213"/>
    </row>
    <row r="2926" spans="1:16" ht="12">
      <c r="A2926" s="83" t="s">
        <v>5439</v>
      </c>
      <c r="B2926" s="257" t="s">
        <v>5440</v>
      </c>
      <c r="C2926" s="258" t="s">
        <v>103</v>
      </c>
      <c r="D2926" s="79">
        <v>277.99</v>
      </c>
      <c r="F2926" s="79">
        <v>277.99</v>
      </c>
      <c r="G2926" s="81"/>
      <c r="N2926" s="240"/>
      <c r="O2926" s="241"/>
      <c r="P2926" s="213"/>
    </row>
    <row r="2927" spans="1:16" ht="12">
      <c r="A2927" s="83" t="s">
        <v>5441</v>
      </c>
      <c r="B2927" s="257" t="s">
        <v>5442</v>
      </c>
      <c r="C2927" s="258" t="s">
        <v>103</v>
      </c>
      <c r="D2927" s="79">
        <v>19.309999999999999</v>
      </c>
      <c r="F2927" s="79">
        <v>19.309999999999999</v>
      </c>
      <c r="G2927" s="81"/>
      <c r="N2927" s="240"/>
      <c r="O2927" s="241"/>
      <c r="P2927" s="213"/>
    </row>
    <row r="2928" spans="1:16" ht="12">
      <c r="A2928" s="83" t="s">
        <v>5443</v>
      </c>
      <c r="B2928" s="257" t="s">
        <v>42103</v>
      </c>
      <c r="C2928" s="258" t="s">
        <v>396</v>
      </c>
      <c r="D2928" s="79">
        <v>27148.080000000002</v>
      </c>
      <c r="F2928" s="79">
        <v>27148.080000000002</v>
      </c>
      <c r="G2928" s="81"/>
      <c r="N2928" s="240"/>
      <c r="O2928" s="241"/>
      <c r="P2928" s="213"/>
    </row>
    <row r="2929" spans="1:16" ht="12">
      <c r="A2929" s="83" t="s">
        <v>5444</v>
      </c>
      <c r="B2929" s="257" t="s">
        <v>42104</v>
      </c>
      <c r="C2929" s="258" t="s">
        <v>396</v>
      </c>
      <c r="D2929" s="79">
        <v>27960.61</v>
      </c>
      <c r="F2929" s="79">
        <v>27960.61</v>
      </c>
      <c r="G2929" s="81"/>
      <c r="N2929" s="240"/>
      <c r="O2929" s="241"/>
      <c r="P2929" s="213"/>
    </row>
    <row r="2930" spans="1:16" ht="24">
      <c r="A2930" s="83" t="s">
        <v>40882</v>
      </c>
      <c r="B2930" s="257" t="s">
        <v>40883</v>
      </c>
      <c r="C2930" s="258" t="s">
        <v>396</v>
      </c>
      <c r="D2930" s="79">
        <v>82065.59</v>
      </c>
      <c r="F2930" s="79">
        <v>82065.59</v>
      </c>
      <c r="G2930" s="81"/>
      <c r="N2930" s="240"/>
      <c r="O2930" s="241"/>
      <c r="P2930" s="213"/>
    </row>
    <row r="2931" spans="1:16" ht="24">
      <c r="A2931" s="83" t="s">
        <v>5445</v>
      </c>
      <c r="B2931" s="257" t="s">
        <v>5446</v>
      </c>
      <c r="C2931" s="258" t="s">
        <v>396</v>
      </c>
      <c r="D2931" s="79">
        <v>2919.15</v>
      </c>
      <c r="F2931" s="79">
        <v>2919.15</v>
      </c>
      <c r="G2931" s="81"/>
      <c r="N2931" s="240"/>
      <c r="O2931" s="241"/>
      <c r="P2931" s="213"/>
    </row>
    <row r="2932" spans="1:16" ht="24">
      <c r="A2932" s="83" t="s">
        <v>5447</v>
      </c>
      <c r="B2932" s="257" t="s">
        <v>5448</v>
      </c>
      <c r="C2932" s="258" t="s">
        <v>396</v>
      </c>
      <c r="D2932" s="79">
        <v>3810.31</v>
      </c>
      <c r="F2932" s="79">
        <v>3810.31</v>
      </c>
      <c r="G2932" s="81"/>
      <c r="N2932" s="240"/>
      <c r="O2932" s="241"/>
      <c r="P2932" s="213"/>
    </row>
    <row r="2933" spans="1:16" ht="24">
      <c r="A2933" s="83" t="s">
        <v>5449</v>
      </c>
      <c r="B2933" s="257" t="s">
        <v>5450</v>
      </c>
      <c r="C2933" s="258" t="s">
        <v>396</v>
      </c>
      <c r="D2933" s="79">
        <v>7076.18</v>
      </c>
      <c r="F2933" s="79">
        <v>7076.18</v>
      </c>
      <c r="G2933" s="81"/>
      <c r="N2933" s="240"/>
      <c r="O2933" s="241"/>
      <c r="P2933" s="213"/>
    </row>
    <row r="2934" spans="1:16" ht="24">
      <c r="A2934" s="83" t="s">
        <v>5451</v>
      </c>
      <c r="B2934" s="64" t="s">
        <v>5452</v>
      </c>
      <c r="C2934" s="134" t="s">
        <v>103</v>
      </c>
      <c r="D2934" s="79">
        <v>14758.88</v>
      </c>
      <c r="F2934" s="79">
        <v>14758.88</v>
      </c>
      <c r="G2934" s="81"/>
      <c r="N2934" s="240"/>
      <c r="O2934" s="241"/>
      <c r="P2934" s="213"/>
    </row>
    <row r="2935" spans="1:16" ht="36">
      <c r="A2935" s="256" t="s">
        <v>5453</v>
      </c>
      <c r="B2935" s="261" t="s">
        <v>5454</v>
      </c>
      <c r="C2935" s="262" t="s">
        <v>103</v>
      </c>
      <c r="D2935" s="79">
        <v>294.89999999999998</v>
      </c>
      <c r="F2935" s="517">
        <v>294.89999999999998</v>
      </c>
    </row>
    <row r="2936" spans="1:16" ht="36">
      <c r="A2936" s="83" t="s">
        <v>5455</v>
      </c>
      <c r="B2936" s="257" t="s">
        <v>5456</v>
      </c>
      <c r="C2936" s="258" t="s">
        <v>103</v>
      </c>
      <c r="D2936" s="79">
        <v>408.37</v>
      </c>
      <c r="F2936" s="79">
        <v>408.37</v>
      </c>
      <c r="G2936" s="81"/>
      <c r="N2936" s="240"/>
      <c r="O2936" s="241"/>
      <c r="P2936" s="213"/>
    </row>
    <row r="2937" spans="1:16" ht="24">
      <c r="A2937" s="83" t="s">
        <v>5457</v>
      </c>
      <c r="B2937" s="257" t="s">
        <v>5458</v>
      </c>
      <c r="C2937" s="258" t="s">
        <v>396</v>
      </c>
      <c r="D2937" s="79">
        <v>6954.61</v>
      </c>
      <c r="F2937" s="79">
        <v>6954.61</v>
      </c>
      <c r="G2937" s="81"/>
      <c r="N2937" s="240"/>
      <c r="O2937" s="241"/>
      <c r="P2937" s="213"/>
    </row>
    <row r="2938" spans="1:16" ht="24">
      <c r="A2938" s="83" t="s">
        <v>5459</v>
      </c>
      <c r="B2938" s="257" t="s">
        <v>5460</v>
      </c>
      <c r="C2938" s="258" t="s">
        <v>396</v>
      </c>
      <c r="D2938" s="79">
        <v>6152.56</v>
      </c>
      <c r="F2938" s="79">
        <v>6152.56</v>
      </c>
      <c r="G2938" s="81"/>
      <c r="N2938" s="240"/>
      <c r="O2938" s="241"/>
      <c r="P2938" s="213"/>
    </row>
    <row r="2939" spans="1:16" ht="24">
      <c r="A2939" s="83" t="s">
        <v>5461</v>
      </c>
      <c r="B2939" s="257" t="s">
        <v>5462</v>
      </c>
      <c r="C2939" s="258" t="s">
        <v>396</v>
      </c>
      <c r="D2939" s="79">
        <v>8624.58</v>
      </c>
      <c r="F2939" s="79">
        <v>8624.58</v>
      </c>
      <c r="G2939" s="81"/>
      <c r="N2939" s="240"/>
      <c r="O2939" s="241"/>
      <c r="P2939" s="213"/>
    </row>
    <row r="2940" spans="1:16" ht="24">
      <c r="A2940" s="83" t="s">
        <v>5463</v>
      </c>
      <c r="B2940" s="257" t="s">
        <v>5464</v>
      </c>
      <c r="C2940" s="258" t="s">
        <v>396</v>
      </c>
      <c r="D2940" s="79">
        <v>11859.81</v>
      </c>
      <c r="F2940" s="79">
        <v>11859.81</v>
      </c>
      <c r="G2940" s="81"/>
      <c r="N2940" s="240"/>
      <c r="O2940" s="241"/>
      <c r="P2940" s="213"/>
    </row>
    <row r="2941" spans="1:16" ht="24">
      <c r="A2941" s="83" t="s">
        <v>5465</v>
      </c>
      <c r="B2941" s="257" t="s">
        <v>5466</v>
      </c>
      <c r="C2941" s="258" t="s">
        <v>396</v>
      </c>
      <c r="D2941" s="79">
        <v>6341.53</v>
      </c>
      <c r="F2941" s="79">
        <v>6341.53</v>
      </c>
      <c r="G2941" s="81"/>
      <c r="N2941" s="240"/>
      <c r="O2941" s="241"/>
      <c r="P2941" s="213"/>
    </row>
    <row r="2942" spans="1:16" ht="24">
      <c r="A2942" s="83" t="s">
        <v>5467</v>
      </c>
      <c r="B2942" s="257" t="s">
        <v>5468</v>
      </c>
      <c r="C2942" s="258" t="s">
        <v>396</v>
      </c>
      <c r="D2942" s="79">
        <v>9578.9500000000007</v>
      </c>
      <c r="F2942" s="79">
        <v>9578.9500000000007</v>
      </c>
      <c r="G2942" s="81"/>
      <c r="N2942" s="240"/>
      <c r="O2942" s="241"/>
      <c r="P2942" s="213"/>
    </row>
    <row r="2943" spans="1:16" ht="24">
      <c r="A2943" s="256" t="s">
        <v>5469</v>
      </c>
      <c r="B2943" s="64" t="s">
        <v>5470</v>
      </c>
      <c r="C2943" s="71" t="s">
        <v>396</v>
      </c>
      <c r="D2943" s="79">
        <v>10618.57</v>
      </c>
      <c r="F2943" s="79">
        <v>10618.57</v>
      </c>
    </row>
    <row r="2944" spans="1:16" ht="12">
      <c r="A2944" s="63" t="s">
        <v>5471</v>
      </c>
      <c r="B2944" s="64" t="s">
        <v>5472</v>
      </c>
      <c r="C2944" s="71" t="s">
        <v>396</v>
      </c>
      <c r="D2944" s="79">
        <v>989.24</v>
      </c>
      <c r="E2944" s="132"/>
      <c r="F2944" s="79">
        <v>989.24</v>
      </c>
      <c r="G2944" s="81"/>
      <c r="N2944" s="61"/>
      <c r="O2944" s="241"/>
      <c r="P2944" s="213"/>
    </row>
    <row r="2945" spans="1:16" ht="12">
      <c r="A2945" s="63" t="s">
        <v>5473</v>
      </c>
      <c r="B2945" s="64" t="s">
        <v>5474</v>
      </c>
      <c r="C2945" s="71" t="s">
        <v>396</v>
      </c>
      <c r="D2945" s="79">
        <v>1220.1099999999999</v>
      </c>
      <c r="F2945" s="79">
        <v>1220.1099999999999</v>
      </c>
      <c r="G2945" s="81"/>
      <c r="N2945" s="61"/>
      <c r="O2945" s="241"/>
      <c r="P2945" s="213"/>
    </row>
    <row r="2946" spans="1:16" ht="12">
      <c r="A2946" s="83" t="s">
        <v>5475</v>
      </c>
      <c r="B2946" s="257" t="s">
        <v>5476</v>
      </c>
      <c r="C2946" s="258" t="s">
        <v>509</v>
      </c>
      <c r="D2946" s="79">
        <v>2143.16</v>
      </c>
      <c r="F2946" s="79">
        <v>2143.16</v>
      </c>
      <c r="G2946" s="81"/>
      <c r="N2946" s="240"/>
      <c r="O2946" s="241"/>
      <c r="P2946" s="213"/>
    </row>
    <row r="2947" spans="1:16" ht="12">
      <c r="A2947" s="83" t="s">
        <v>5477</v>
      </c>
      <c r="B2947" s="257" t="s">
        <v>5478</v>
      </c>
      <c r="C2947" s="258" t="s">
        <v>509</v>
      </c>
      <c r="D2947" s="79">
        <v>2583.02</v>
      </c>
      <c r="F2947" s="79">
        <v>2583.02</v>
      </c>
      <c r="G2947" s="81"/>
      <c r="N2947" s="240"/>
      <c r="O2947" s="241"/>
      <c r="P2947" s="213"/>
    </row>
    <row r="2948" spans="1:16" ht="24">
      <c r="A2948" s="67" t="s">
        <v>5479</v>
      </c>
      <c r="B2948" s="65" t="s">
        <v>5480</v>
      </c>
      <c r="C2948" s="71" t="s">
        <v>103</v>
      </c>
      <c r="D2948" s="79">
        <v>112668.85</v>
      </c>
      <c r="E2948" s="66"/>
      <c r="F2948" s="79">
        <v>112668.85</v>
      </c>
      <c r="G2948" s="81"/>
      <c r="H2948" s="73"/>
      <c r="I2948" s="73"/>
      <c r="J2948" s="73"/>
      <c r="K2948" s="73"/>
      <c r="L2948" s="73"/>
      <c r="N2948" s="133"/>
      <c r="O2948" s="241"/>
      <c r="P2948" s="213"/>
    </row>
    <row r="2949" spans="1:16" ht="12">
      <c r="A2949" s="83" t="s">
        <v>5481</v>
      </c>
      <c r="B2949" s="257" t="s">
        <v>5482</v>
      </c>
      <c r="C2949" s="258" t="s">
        <v>103</v>
      </c>
      <c r="D2949" s="79">
        <v>45653.72</v>
      </c>
      <c r="F2949" s="79">
        <v>45653.72</v>
      </c>
      <c r="G2949" s="81"/>
      <c r="N2949" s="240"/>
      <c r="O2949" s="241"/>
      <c r="P2949" s="213"/>
    </row>
    <row r="2950" spans="1:16" ht="12">
      <c r="A2950" s="83" t="s">
        <v>5483</v>
      </c>
      <c r="B2950" s="257" t="s">
        <v>5484</v>
      </c>
      <c r="C2950" s="258" t="s">
        <v>103</v>
      </c>
      <c r="D2950" s="79">
        <v>52773.67</v>
      </c>
      <c r="F2950" s="79">
        <v>52773.67</v>
      </c>
      <c r="G2950" s="81"/>
      <c r="N2950" s="240"/>
      <c r="O2950" s="241"/>
      <c r="P2950" s="213"/>
    </row>
    <row r="2951" spans="1:16" ht="12">
      <c r="A2951" s="83" t="s">
        <v>5485</v>
      </c>
      <c r="B2951" s="257" t="s">
        <v>5486</v>
      </c>
      <c r="C2951" s="258" t="s">
        <v>103</v>
      </c>
      <c r="D2951" s="79">
        <v>60976.09</v>
      </c>
      <c r="F2951" s="79">
        <v>60976.09</v>
      </c>
      <c r="G2951" s="81"/>
      <c r="N2951" s="240"/>
      <c r="O2951" s="241"/>
      <c r="P2951" s="213"/>
    </row>
    <row r="2952" spans="1:16" ht="12">
      <c r="A2952" s="83" t="s">
        <v>5487</v>
      </c>
      <c r="B2952" s="257" t="s">
        <v>5488</v>
      </c>
      <c r="C2952" s="258" t="s">
        <v>103</v>
      </c>
      <c r="D2952" s="79">
        <v>67950.960000000006</v>
      </c>
      <c r="F2952" s="79">
        <v>67950.960000000006</v>
      </c>
      <c r="G2952" s="81"/>
      <c r="N2952" s="240"/>
      <c r="O2952" s="241"/>
      <c r="P2952" s="213"/>
    </row>
    <row r="2953" spans="1:16" ht="24">
      <c r="A2953" s="261" t="s">
        <v>5489</v>
      </c>
      <c r="B2953" s="261" t="s">
        <v>5490</v>
      </c>
      <c r="C2953" s="266" t="s">
        <v>103</v>
      </c>
      <c r="D2953" s="79">
        <v>271396.81</v>
      </c>
      <c r="F2953" s="518">
        <v>271396.81</v>
      </c>
      <c r="N2953" s="133"/>
      <c r="O2953" s="236"/>
    </row>
    <row r="2954" spans="1:16" ht="12">
      <c r="A2954" s="256" t="s">
        <v>5491</v>
      </c>
      <c r="B2954" s="274" t="s">
        <v>5492</v>
      </c>
      <c r="C2954" s="262" t="s">
        <v>103</v>
      </c>
      <c r="D2954" s="79">
        <v>82783.78</v>
      </c>
      <c r="E2954" s="236"/>
      <c r="F2954" s="520">
        <v>82783.78</v>
      </c>
      <c r="O2954" s="236"/>
    </row>
    <row r="2955" spans="1:16" ht="36">
      <c r="A2955" s="83" t="s">
        <v>5493</v>
      </c>
      <c r="B2955" s="257" t="s">
        <v>5494</v>
      </c>
      <c r="C2955" s="258" t="s">
        <v>103</v>
      </c>
      <c r="D2955" s="79">
        <v>477103.01</v>
      </c>
      <c r="F2955" s="79">
        <v>477103.01</v>
      </c>
      <c r="G2955" s="81"/>
      <c r="N2955" s="240"/>
      <c r="O2955" s="241"/>
      <c r="P2955" s="213"/>
    </row>
    <row r="2956" spans="1:16" ht="12">
      <c r="A2956" s="83" t="s">
        <v>5495</v>
      </c>
      <c r="B2956" s="257" t="s">
        <v>5496</v>
      </c>
      <c r="C2956" s="258" t="s">
        <v>103</v>
      </c>
      <c r="D2956" s="79">
        <v>4389.62</v>
      </c>
      <c r="F2956" s="79">
        <v>4389.62</v>
      </c>
      <c r="G2956" s="81"/>
      <c r="N2956" s="240"/>
      <c r="O2956" s="241"/>
      <c r="P2956" s="213"/>
    </row>
    <row r="2957" spans="1:16" ht="12">
      <c r="A2957" s="83" t="s">
        <v>5497</v>
      </c>
      <c r="B2957" s="257" t="s">
        <v>5498</v>
      </c>
      <c r="C2957" s="258" t="s">
        <v>103</v>
      </c>
      <c r="D2957" s="79">
        <v>5675.02</v>
      </c>
      <c r="F2957" s="79">
        <v>5675.02</v>
      </c>
      <c r="G2957" s="81"/>
      <c r="N2957" s="240"/>
      <c r="O2957" s="241"/>
      <c r="P2957" s="213"/>
    </row>
    <row r="2958" spans="1:16" ht="12">
      <c r="A2958" s="83" t="s">
        <v>5499</v>
      </c>
      <c r="B2958" s="257" t="s">
        <v>5500</v>
      </c>
      <c r="C2958" s="258" t="s">
        <v>103</v>
      </c>
      <c r="D2958" s="79">
        <v>7630.65</v>
      </c>
      <c r="F2958" s="79">
        <v>7630.65</v>
      </c>
      <c r="G2958" s="81"/>
      <c r="N2958" s="240"/>
      <c r="O2958" s="241"/>
      <c r="P2958" s="213"/>
    </row>
    <row r="2959" spans="1:16" ht="12">
      <c r="A2959" s="83" t="s">
        <v>5501</v>
      </c>
      <c r="B2959" s="257" t="s">
        <v>5502</v>
      </c>
      <c r="C2959" s="258" t="s">
        <v>103</v>
      </c>
      <c r="D2959" s="79">
        <v>4886.66</v>
      </c>
      <c r="F2959" s="79">
        <v>4886.66</v>
      </c>
      <c r="G2959" s="81"/>
      <c r="N2959" s="240"/>
      <c r="O2959" s="241"/>
      <c r="P2959" s="213"/>
    </row>
    <row r="2960" spans="1:16" ht="12">
      <c r="A2960" s="83" t="s">
        <v>5503</v>
      </c>
      <c r="B2960" s="257" t="s">
        <v>5504</v>
      </c>
      <c r="C2960" s="258" t="s">
        <v>103</v>
      </c>
      <c r="D2960" s="79">
        <v>5626.81</v>
      </c>
      <c r="F2960" s="79">
        <v>5626.81</v>
      </c>
      <c r="G2960" s="81"/>
      <c r="N2960" s="240"/>
      <c r="O2960" s="241"/>
      <c r="P2960" s="213"/>
    </row>
    <row r="2961" spans="1:16" ht="12">
      <c r="A2961" s="83" t="s">
        <v>5505</v>
      </c>
      <c r="B2961" s="257" t="s">
        <v>5506</v>
      </c>
      <c r="C2961" s="258" t="s">
        <v>103</v>
      </c>
      <c r="D2961" s="79">
        <v>6680.42</v>
      </c>
      <c r="F2961" s="79">
        <v>6680.42</v>
      </c>
      <c r="G2961" s="81"/>
      <c r="N2961" s="240"/>
      <c r="O2961" s="241"/>
      <c r="P2961" s="213"/>
    </row>
    <row r="2962" spans="1:16" ht="12">
      <c r="A2962" s="83" t="s">
        <v>5507</v>
      </c>
      <c r="B2962" s="257" t="s">
        <v>5508</v>
      </c>
      <c r="C2962" s="258" t="s">
        <v>103</v>
      </c>
      <c r="D2962" s="79">
        <v>7737.41</v>
      </c>
      <c r="F2962" s="79">
        <v>7737.41</v>
      </c>
      <c r="G2962" s="81"/>
      <c r="N2962" s="240"/>
      <c r="O2962" s="241"/>
      <c r="P2962" s="213"/>
    </row>
    <row r="2963" spans="1:16" ht="12">
      <c r="A2963" s="83" t="s">
        <v>5509</v>
      </c>
      <c r="B2963" s="257" t="s">
        <v>5510</v>
      </c>
      <c r="C2963" s="258" t="s">
        <v>103</v>
      </c>
      <c r="D2963" s="79">
        <v>4509.9399999999996</v>
      </c>
      <c r="F2963" s="79">
        <v>4509.9399999999996</v>
      </c>
      <c r="G2963" s="81"/>
      <c r="N2963" s="240"/>
      <c r="O2963" s="241"/>
      <c r="P2963" s="213"/>
    </row>
    <row r="2964" spans="1:16" ht="12">
      <c r="A2964" s="83" t="s">
        <v>5511</v>
      </c>
      <c r="B2964" s="257" t="s">
        <v>5512</v>
      </c>
      <c r="C2964" s="258" t="s">
        <v>103</v>
      </c>
      <c r="D2964" s="79">
        <v>5123.88</v>
      </c>
      <c r="F2964" s="79">
        <v>5123.88</v>
      </c>
      <c r="G2964" s="81"/>
      <c r="N2964" s="240"/>
      <c r="O2964" s="241"/>
      <c r="P2964" s="213"/>
    </row>
    <row r="2965" spans="1:16" ht="12">
      <c r="A2965" s="83" t="s">
        <v>5513</v>
      </c>
      <c r="B2965" s="257" t="s">
        <v>5514</v>
      </c>
      <c r="C2965" s="258" t="s">
        <v>103</v>
      </c>
      <c r="D2965" s="79">
        <v>5561.41</v>
      </c>
      <c r="F2965" s="79">
        <v>5561.41</v>
      </c>
      <c r="G2965" s="81"/>
      <c r="N2965" s="240"/>
      <c r="O2965" s="241"/>
      <c r="P2965" s="213"/>
    </row>
    <row r="2966" spans="1:16" ht="12">
      <c r="A2966" s="83" t="s">
        <v>5515</v>
      </c>
      <c r="B2966" s="257" t="s">
        <v>5516</v>
      </c>
      <c r="C2966" s="258" t="s">
        <v>103</v>
      </c>
      <c r="D2966" s="79">
        <v>5743.82</v>
      </c>
      <c r="F2966" s="79">
        <v>5743.82</v>
      </c>
      <c r="G2966" s="81"/>
      <c r="N2966" s="240"/>
      <c r="O2966" s="241"/>
      <c r="P2966" s="213"/>
    </row>
    <row r="2967" spans="1:16" ht="24">
      <c r="A2967" s="256" t="s">
        <v>5517</v>
      </c>
      <c r="B2967" s="261" t="s">
        <v>5518</v>
      </c>
      <c r="C2967" s="262" t="s">
        <v>103</v>
      </c>
      <c r="D2967" s="79">
        <v>6740.05</v>
      </c>
      <c r="F2967" s="517">
        <v>6740.05</v>
      </c>
    </row>
    <row r="2968" spans="1:16" ht="24">
      <c r="A2968" s="83" t="s">
        <v>5519</v>
      </c>
      <c r="B2968" s="257" t="s">
        <v>5520</v>
      </c>
      <c r="C2968" s="258" t="s">
        <v>165</v>
      </c>
      <c r="D2968" s="79">
        <v>13.88</v>
      </c>
      <c r="F2968" s="79">
        <v>13.88</v>
      </c>
      <c r="G2968" s="81"/>
      <c r="N2968" s="240"/>
      <c r="O2968" s="241"/>
      <c r="P2968" s="213"/>
    </row>
    <row r="2969" spans="1:16" ht="24">
      <c r="A2969" s="83" t="s">
        <v>5521</v>
      </c>
      <c r="B2969" s="257" t="s">
        <v>5522</v>
      </c>
      <c r="C2969" s="258" t="s">
        <v>165</v>
      </c>
      <c r="D2969" s="79">
        <v>20.9</v>
      </c>
      <c r="F2969" s="79">
        <v>20.9</v>
      </c>
      <c r="G2969" s="81"/>
      <c r="N2969" s="240"/>
      <c r="O2969" s="241"/>
      <c r="P2969" s="213"/>
    </row>
    <row r="2970" spans="1:16" ht="24">
      <c r="A2970" s="83" t="s">
        <v>5523</v>
      </c>
      <c r="B2970" s="257" t="s">
        <v>5524</v>
      </c>
      <c r="C2970" s="258" t="s">
        <v>165</v>
      </c>
      <c r="D2970" s="79">
        <v>26.15</v>
      </c>
      <c r="F2970" s="79">
        <v>26.15</v>
      </c>
      <c r="G2970" s="81"/>
      <c r="N2970" s="240"/>
      <c r="O2970" s="241"/>
      <c r="P2970" s="213"/>
    </row>
    <row r="2971" spans="1:16" ht="24">
      <c r="A2971" s="83" t="s">
        <v>5525</v>
      </c>
      <c r="B2971" s="257" t="s">
        <v>5526</v>
      </c>
      <c r="C2971" s="258" t="s">
        <v>509</v>
      </c>
      <c r="D2971" s="79">
        <v>6895.72</v>
      </c>
      <c r="F2971" s="79">
        <v>6895.72</v>
      </c>
      <c r="G2971" s="81"/>
      <c r="N2971" s="240"/>
      <c r="O2971" s="241"/>
      <c r="P2971" s="213"/>
    </row>
    <row r="2972" spans="1:16" ht="36">
      <c r="A2972" s="83" t="s">
        <v>5527</v>
      </c>
      <c r="B2972" s="257" t="s">
        <v>5528</v>
      </c>
      <c r="C2972" s="258" t="s">
        <v>103</v>
      </c>
      <c r="D2972" s="79">
        <v>1245.22</v>
      </c>
      <c r="F2972" s="79">
        <v>1245.22</v>
      </c>
      <c r="G2972" s="81"/>
      <c r="N2972" s="240"/>
      <c r="O2972" s="241"/>
      <c r="P2972" s="213"/>
    </row>
    <row r="2973" spans="1:16" ht="24">
      <c r="A2973" s="83" t="s">
        <v>5529</v>
      </c>
      <c r="B2973" s="257" t="s">
        <v>5530</v>
      </c>
      <c r="C2973" s="258" t="s">
        <v>509</v>
      </c>
      <c r="D2973" s="79">
        <v>2056.15</v>
      </c>
      <c r="F2973" s="79">
        <v>2056.15</v>
      </c>
      <c r="G2973" s="81"/>
      <c r="N2973" s="240"/>
      <c r="O2973" s="241"/>
      <c r="P2973" s="213"/>
    </row>
    <row r="2974" spans="1:16" ht="36">
      <c r="A2974" s="83" t="s">
        <v>5531</v>
      </c>
      <c r="B2974" s="257" t="s">
        <v>5532</v>
      </c>
      <c r="C2974" s="258" t="s">
        <v>103</v>
      </c>
      <c r="D2974" s="79">
        <v>9596.89</v>
      </c>
      <c r="F2974" s="79">
        <v>9596.89</v>
      </c>
      <c r="G2974" s="81"/>
      <c r="N2974" s="240"/>
      <c r="O2974" s="241"/>
      <c r="P2974" s="213"/>
    </row>
    <row r="2975" spans="1:16" ht="24">
      <c r="A2975" s="83" t="s">
        <v>5533</v>
      </c>
      <c r="B2975" s="257" t="s">
        <v>5534</v>
      </c>
      <c r="C2975" s="258" t="s">
        <v>103</v>
      </c>
      <c r="D2975" s="79">
        <v>187.26</v>
      </c>
      <c r="F2975" s="79">
        <v>187.26</v>
      </c>
      <c r="G2975" s="81"/>
      <c r="N2975" s="240"/>
      <c r="O2975" s="241"/>
      <c r="P2975" s="213"/>
    </row>
    <row r="2976" spans="1:16" ht="24">
      <c r="A2976" s="83" t="s">
        <v>5535</v>
      </c>
      <c r="B2976" s="257" t="s">
        <v>5536</v>
      </c>
      <c r="C2976" s="258" t="s">
        <v>509</v>
      </c>
      <c r="D2976" s="79">
        <v>1729.49</v>
      </c>
      <c r="F2976" s="79">
        <v>1729.49</v>
      </c>
      <c r="G2976" s="81"/>
      <c r="N2976" s="240"/>
      <c r="O2976" s="241"/>
      <c r="P2976" s="213"/>
    </row>
    <row r="2977" spans="1:16" ht="12">
      <c r="A2977" s="83" t="s">
        <v>5537</v>
      </c>
      <c r="B2977" s="257" t="s">
        <v>5538</v>
      </c>
      <c r="C2977" s="258" t="s">
        <v>103</v>
      </c>
      <c r="D2977" s="79">
        <v>376.96</v>
      </c>
      <c r="F2977" s="79">
        <v>376.96</v>
      </c>
      <c r="G2977" s="81"/>
      <c r="N2977" s="240"/>
      <c r="O2977" s="241"/>
      <c r="P2977" s="213"/>
    </row>
    <row r="2978" spans="1:16" ht="24">
      <c r="A2978" s="83" t="s">
        <v>5539</v>
      </c>
      <c r="B2978" s="257" t="s">
        <v>5540</v>
      </c>
      <c r="C2978" s="258" t="s">
        <v>509</v>
      </c>
      <c r="D2978" s="79">
        <v>1354.62</v>
      </c>
      <c r="F2978" s="79">
        <v>1354.62</v>
      </c>
      <c r="G2978" s="81"/>
      <c r="N2978" s="240"/>
      <c r="O2978" s="241"/>
      <c r="P2978" s="213"/>
    </row>
    <row r="2979" spans="1:16" ht="12">
      <c r="A2979" s="83" t="s">
        <v>5541</v>
      </c>
      <c r="B2979" s="257" t="s">
        <v>5542</v>
      </c>
      <c r="C2979" s="258" t="s">
        <v>103</v>
      </c>
      <c r="D2979" s="79">
        <v>295.23</v>
      </c>
      <c r="F2979" s="79">
        <v>295.23</v>
      </c>
      <c r="G2979" s="81"/>
      <c r="N2979" s="240"/>
      <c r="O2979" s="241"/>
      <c r="P2979" s="213"/>
    </row>
    <row r="2980" spans="1:16" ht="24">
      <c r="A2980" s="83" t="s">
        <v>5543</v>
      </c>
      <c r="B2980" s="257" t="s">
        <v>5544</v>
      </c>
      <c r="C2980" s="258" t="s">
        <v>509</v>
      </c>
      <c r="D2980" s="79">
        <v>4553.7700000000004</v>
      </c>
      <c r="F2980" s="79">
        <v>4553.7700000000004</v>
      </c>
      <c r="G2980" s="81"/>
      <c r="N2980" s="240"/>
      <c r="O2980" s="241"/>
      <c r="P2980" s="213"/>
    </row>
    <row r="2981" spans="1:16" ht="24">
      <c r="A2981" s="83" t="s">
        <v>5545</v>
      </c>
      <c r="B2981" s="257" t="s">
        <v>5546</v>
      </c>
      <c r="C2981" s="258" t="s">
        <v>165</v>
      </c>
      <c r="D2981" s="79">
        <v>4769.45</v>
      </c>
      <c r="F2981" s="79">
        <v>4769.45</v>
      </c>
      <c r="G2981" s="81"/>
      <c r="N2981" s="240"/>
      <c r="O2981" s="241"/>
      <c r="P2981" s="213"/>
    </row>
    <row r="2982" spans="1:16" ht="12">
      <c r="A2982" s="83" t="s">
        <v>5547</v>
      </c>
      <c r="B2982" s="257" t="s">
        <v>5548</v>
      </c>
      <c r="C2982" s="258" t="s">
        <v>103</v>
      </c>
      <c r="D2982" s="79">
        <v>93</v>
      </c>
      <c r="F2982" s="79">
        <v>93</v>
      </c>
      <c r="G2982" s="81"/>
      <c r="N2982" s="240"/>
      <c r="O2982" s="241"/>
      <c r="P2982" s="213"/>
    </row>
    <row r="2983" spans="1:16" ht="12">
      <c r="A2983" s="83" t="s">
        <v>5549</v>
      </c>
      <c r="B2983" s="257" t="s">
        <v>5550</v>
      </c>
      <c r="C2983" s="258" t="s">
        <v>103</v>
      </c>
      <c r="D2983" s="79">
        <v>122.39</v>
      </c>
      <c r="F2983" s="79">
        <v>122.39</v>
      </c>
      <c r="G2983" s="81"/>
      <c r="N2983" s="240"/>
      <c r="O2983" s="241"/>
      <c r="P2983" s="213"/>
    </row>
    <row r="2984" spans="1:16" ht="12">
      <c r="A2984" s="83" t="s">
        <v>5551</v>
      </c>
      <c r="B2984" s="257" t="s">
        <v>5552</v>
      </c>
      <c r="C2984" s="258" t="s">
        <v>509</v>
      </c>
      <c r="D2984" s="79">
        <v>2696.18</v>
      </c>
      <c r="F2984" s="79">
        <v>2696.18</v>
      </c>
      <c r="G2984" s="81"/>
      <c r="N2984" s="240"/>
      <c r="O2984" s="241"/>
      <c r="P2984" s="213"/>
    </row>
    <row r="2985" spans="1:16" ht="12">
      <c r="A2985" s="83" t="s">
        <v>5553</v>
      </c>
      <c r="B2985" s="257" t="s">
        <v>5554</v>
      </c>
      <c r="C2985" s="258" t="s">
        <v>509</v>
      </c>
      <c r="D2985" s="79">
        <v>1971.05</v>
      </c>
      <c r="F2985" s="79">
        <v>1971.05</v>
      </c>
      <c r="G2985" s="81"/>
      <c r="N2985" s="240"/>
      <c r="O2985" s="241"/>
      <c r="P2985" s="213"/>
    </row>
    <row r="2986" spans="1:16" ht="12">
      <c r="A2986" s="83" t="s">
        <v>5555</v>
      </c>
      <c r="B2986" s="257" t="s">
        <v>5556</v>
      </c>
      <c r="C2986" s="258" t="s">
        <v>509</v>
      </c>
      <c r="D2986" s="79">
        <v>1564.17</v>
      </c>
      <c r="F2986" s="79">
        <v>1564.17</v>
      </c>
      <c r="G2986" s="81"/>
      <c r="N2986" s="240"/>
      <c r="O2986" s="241"/>
      <c r="P2986" s="213"/>
    </row>
    <row r="2987" spans="1:16" ht="12">
      <c r="A2987" s="83" t="s">
        <v>5557</v>
      </c>
      <c r="B2987" s="257" t="s">
        <v>5558</v>
      </c>
      <c r="C2987" s="258" t="s">
        <v>509</v>
      </c>
      <c r="D2987" s="79">
        <v>1421.87</v>
      </c>
      <c r="F2987" s="79">
        <v>1421.87</v>
      </c>
      <c r="G2987" s="81"/>
      <c r="N2987" s="240"/>
      <c r="O2987" s="241"/>
      <c r="P2987" s="213"/>
    </row>
    <row r="2988" spans="1:16" ht="12">
      <c r="A2988" s="83" t="s">
        <v>5559</v>
      </c>
      <c r="B2988" s="257" t="s">
        <v>5560</v>
      </c>
      <c r="C2988" s="258" t="s">
        <v>509</v>
      </c>
      <c r="D2988" s="79">
        <v>1238.43</v>
      </c>
      <c r="F2988" s="79">
        <v>1238.43</v>
      </c>
      <c r="G2988" s="81"/>
      <c r="N2988" s="240"/>
      <c r="O2988" s="241"/>
      <c r="P2988" s="213"/>
    </row>
    <row r="2989" spans="1:16" ht="12">
      <c r="A2989" s="83" t="s">
        <v>5561</v>
      </c>
      <c r="B2989" s="257" t="s">
        <v>5562</v>
      </c>
      <c r="C2989" s="258" t="s">
        <v>509</v>
      </c>
      <c r="D2989" s="79">
        <v>4098.01</v>
      </c>
      <c r="F2989" s="79">
        <v>4098.01</v>
      </c>
      <c r="G2989" s="81"/>
      <c r="N2989" s="240"/>
      <c r="O2989" s="241"/>
      <c r="P2989" s="213"/>
    </row>
    <row r="2990" spans="1:16" ht="12">
      <c r="A2990" s="83" t="s">
        <v>5563</v>
      </c>
      <c r="B2990" s="257" t="s">
        <v>5564</v>
      </c>
      <c r="C2990" s="258" t="s">
        <v>509</v>
      </c>
      <c r="D2990" s="79">
        <v>2359.8000000000002</v>
      </c>
      <c r="F2990" s="79">
        <v>2359.8000000000002</v>
      </c>
      <c r="G2990" s="81"/>
      <c r="N2990" s="240"/>
      <c r="O2990" s="241"/>
      <c r="P2990" s="213"/>
    </row>
    <row r="2991" spans="1:16" ht="12">
      <c r="A2991" s="83" t="s">
        <v>5565</v>
      </c>
      <c r="B2991" s="257" t="s">
        <v>5566</v>
      </c>
      <c r="C2991" s="258" t="s">
        <v>509</v>
      </c>
      <c r="D2991" s="79">
        <v>1832.66</v>
      </c>
      <c r="F2991" s="79">
        <v>1832.66</v>
      </c>
      <c r="G2991" s="81"/>
      <c r="N2991" s="240"/>
      <c r="O2991" s="241"/>
      <c r="P2991" s="213"/>
    </row>
    <row r="2992" spans="1:16" ht="36">
      <c r="A2992" s="261" t="s">
        <v>5567</v>
      </c>
      <c r="B2992" s="261" t="s">
        <v>5568</v>
      </c>
      <c r="C2992" s="266" t="s">
        <v>509</v>
      </c>
      <c r="D2992" s="79">
        <v>1851.3</v>
      </c>
      <c r="F2992" s="518">
        <v>1851.3</v>
      </c>
      <c r="N2992" s="133"/>
      <c r="O2992" s="236"/>
    </row>
    <row r="2993" spans="1:16" ht="36">
      <c r="A2993" s="261" t="s">
        <v>5569</v>
      </c>
      <c r="B2993" s="261" t="s">
        <v>5570</v>
      </c>
      <c r="C2993" s="266" t="s">
        <v>509</v>
      </c>
      <c r="D2993" s="79">
        <v>2321.94</v>
      </c>
      <c r="F2993" s="518">
        <v>2321.94</v>
      </c>
      <c r="N2993" s="133"/>
      <c r="O2993" s="236"/>
    </row>
    <row r="2994" spans="1:16" ht="24">
      <c r="A2994" s="261" t="s">
        <v>5571</v>
      </c>
      <c r="B2994" s="261" t="s">
        <v>5572</v>
      </c>
      <c r="C2994" s="266" t="s">
        <v>509</v>
      </c>
      <c r="D2994" s="79">
        <v>4068.95</v>
      </c>
      <c r="F2994" s="518">
        <v>4068.95</v>
      </c>
      <c r="N2994" s="133"/>
      <c r="O2994" s="236"/>
    </row>
    <row r="2995" spans="1:16" ht="36">
      <c r="A2995" s="256" t="s">
        <v>5573</v>
      </c>
      <c r="B2995" s="274" t="s">
        <v>5574</v>
      </c>
      <c r="C2995" s="262" t="s">
        <v>509</v>
      </c>
      <c r="D2995" s="79">
        <v>100.1</v>
      </c>
      <c r="F2995" s="522">
        <v>100.1</v>
      </c>
    </row>
    <row r="2996" spans="1:16" ht="36">
      <c r="A2996" s="83" t="s">
        <v>5575</v>
      </c>
      <c r="B2996" s="257" t="s">
        <v>5576</v>
      </c>
      <c r="C2996" s="258" t="s">
        <v>103</v>
      </c>
      <c r="D2996" s="79">
        <v>5184.63</v>
      </c>
      <c r="F2996" s="79">
        <v>5184.63</v>
      </c>
      <c r="G2996" s="81"/>
      <c r="N2996" s="240"/>
      <c r="O2996" s="241"/>
      <c r="P2996" s="213"/>
    </row>
    <row r="2997" spans="1:16" ht="24">
      <c r="A2997" s="83" t="s">
        <v>5577</v>
      </c>
      <c r="B2997" s="257" t="s">
        <v>5578</v>
      </c>
      <c r="C2997" s="258" t="s">
        <v>103</v>
      </c>
      <c r="D2997" s="79">
        <v>19629.599999999999</v>
      </c>
      <c r="F2997" s="79">
        <v>19629.599999999999</v>
      </c>
      <c r="G2997" s="81"/>
      <c r="N2997" s="240"/>
      <c r="O2997" s="241"/>
      <c r="P2997" s="213"/>
    </row>
    <row r="2998" spans="1:16" ht="36">
      <c r="A2998" s="83" t="s">
        <v>5579</v>
      </c>
      <c r="B2998" s="257" t="s">
        <v>5580</v>
      </c>
      <c r="C2998" s="258" t="s">
        <v>103</v>
      </c>
      <c r="D2998" s="79">
        <v>452400.88</v>
      </c>
      <c r="F2998" s="79">
        <v>452400.88</v>
      </c>
      <c r="G2998" s="81"/>
      <c r="N2998" s="240"/>
      <c r="O2998" s="241"/>
      <c r="P2998" s="213"/>
    </row>
    <row r="2999" spans="1:16" ht="24">
      <c r="A2999" s="83" t="s">
        <v>5581</v>
      </c>
      <c r="B2999" s="257" t="s">
        <v>5582</v>
      </c>
      <c r="C2999" s="258" t="s">
        <v>103</v>
      </c>
      <c r="D2999" s="79">
        <v>10407.91</v>
      </c>
      <c r="F2999" s="79">
        <v>10407.91</v>
      </c>
      <c r="G2999" s="81"/>
      <c r="N2999" s="240"/>
      <c r="O2999" s="241"/>
      <c r="P2999" s="213"/>
    </row>
    <row r="3000" spans="1:16" ht="24">
      <c r="A3000" s="83" t="s">
        <v>5583</v>
      </c>
      <c r="B3000" s="257" t="s">
        <v>39323</v>
      </c>
      <c r="C3000" s="258" t="s">
        <v>103</v>
      </c>
      <c r="D3000" s="79">
        <v>3458.39</v>
      </c>
      <c r="F3000" s="79">
        <v>3458.39</v>
      </c>
      <c r="G3000" s="81"/>
      <c r="N3000" s="240"/>
      <c r="O3000" s="241"/>
      <c r="P3000" s="213"/>
    </row>
    <row r="3001" spans="1:16" ht="24">
      <c r="A3001" s="83" t="s">
        <v>5584</v>
      </c>
      <c r="B3001" s="257" t="s">
        <v>5585</v>
      </c>
      <c r="C3001" s="258" t="s">
        <v>103</v>
      </c>
      <c r="D3001" s="79">
        <v>4030.21</v>
      </c>
      <c r="F3001" s="79">
        <v>4030.21</v>
      </c>
      <c r="G3001" s="81"/>
      <c r="N3001" s="240"/>
      <c r="O3001" s="241"/>
      <c r="P3001" s="213"/>
    </row>
    <row r="3002" spans="1:16" ht="36">
      <c r="A3002" s="83" t="s">
        <v>5586</v>
      </c>
      <c r="B3002" s="257" t="s">
        <v>5587</v>
      </c>
      <c r="C3002" s="258" t="s">
        <v>103</v>
      </c>
      <c r="D3002" s="79">
        <v>671650.81</v>
      </c>
      <c r="F3002" s="520">
        <v>671650.81</v>
      </c>
      <c r="G3002" s="81"/>
      <c r="N3002" s="240"/>
      <c r="O3002" s="241"/>
      <c r="P3002" s="213"/>
    </row>
    <row r="3003" spans="1:16" ht="36">
      <c r="A3003" s="83" t="s">
        <v>5588</v>
      </c>
      <c r="B3003" s="257" t="s">
        <v>39324</v>
      </c>
      <c r="C3003" s="258" t="s">
        <v>103</v>
      </c>
      <c r="D3003" s="79">
        <v>5276.42</v>
      </c>
      <c r="F3003" s="79">
        <v>5276.42</v>
      </c>
      <c r="G3003" s="81"/>
      <c r="N3003" s="240"/>
      <c r="O3003" s="241"/>
      <c r="P3003" s="213"/>
    </row>
    <row r="3004" spans="1:16" ht="36">
      <c r="A3004" s="83" t="s">
        <v>5589</v>
      </c>
      <c r="B3004" s="257" t="s">
        <v>39325</v>
      </c>
      <c r="C3004" s="258" t="s">
        <v>103</v>
      </c>
      <c r="D3004" s="79">
        <v>5501</v>
      </c>
      <c r="F3004" s="79">
        <v>5501</v>
      </c>
      <c r="G3004" s="81"/>
      <c r="N3004" s="240"/>
      <c r="O3004" s="241"/>
      <c r="P3004" s="213"/>
    </row>
    <row r="3005" spans="1:16" ht="36">
      <c r="A3005" s="83" t="s">
        <v>5590</v>
      </c>
      <c r="B3005" s="257" t="s">
        <v>29877</v>
      </c>
      <c r="C3005" s="258" t="s">
        <v>103</v>
      </c>
      <c r="D3005" s="79">
        <v>5792.92</v>
      </c>
      <c r="F3005" s="79">
        <v>5792.92</v>
      </c>
      <c r="G3005" s="81"/>
      <c r="N3005" s="240"/>
      <c r="O3005" s="241"/>
      <c r="P3005" s="213"/>
    </row>
    <row r="3006" spans="1:16" ht="36">
      <c r="A3006" s="83" t="s">
        <v>5591</v>
      </c>
      <c r="B3006" s="257" t="s">
        <v>5592</v>
      </c>
      <c r="C3006" s="258" t="s">
        <v>103</v>
      </c>
      <c r="D3006" s="79">
        <v>5998.85</v>
      </c>
      <c r="F3006" s="79">
        <v>5998.85</v>
      </c>
      <c r="G3006" s="81"/>
      <c r="N3006" s="240"/>
      <c r="O3006" s="241"/>
      <c r="P3006" s="213"/>
    </row>
    <row r="3007" spans="1:16" ht="36">
      <c r="A3007" s="83" t="s">
        <v>5593</v>
      </c>
      <c r="B3007" s="257" t="s">
        <v>5594</v>
      </c>
      <c r="C3007" s="258" t="s">
        <v>103</v>
      </c>
      <c r="D3007" s="79">
        <v>6236</v>
      </c>
      <c r="F3007" s="79">
        <v>6236</v>
      </c>
      <c r="G3007" s="81"/>
      <c r="N3007" s="240"/>
      <c r="O3007" s="241"/>
      <c r="P3007" s="213"/>
    </row>
    <row r="3008" spans="1:16" ht="36">
      <c r="A3008" s="83" t="s">
        <v>5595</v>
      </c>
      <c r="B3008" s="257" t="s">
        <v>5596</v>
      </c>
      <c r="C3008" s="258" t="s">
        <v>103</v>
      </c>
      <c r="D3008" s="79">
        <v>7074.36</v>
      </c>
      <c r="F3008" s="79">
        <v>7074.36</v>
      </c>
      <c r="G3008" s="81"/>
      <c r="N3008" s="240"/>
      <c r="O3008" s="241"/>
      <c r="P3008" s="213"/>
    </row>
    <row r="3009" spans="1:16" ht="36">
      <c r="A3009" s="83" t="s">
        <v>5597</v>
      </c>
      <c r="B3009" s="257" t="s">
        <v>5598</v>
      </c>
      <c r="C3009" s="258" t="s">
        <v>103</v>
      </c>
      <c r="D3009" s="79">
        <v>7260.3</v>
      </c>
      <c r="F3009" s="79">
        <v>7260.3</v>
      </c>
      <c r="G3009" s="81"/>
      <c r="N3009" s="240"/>
      <c r="O3009" s="241"/>
      <c r="P3009" s="213"/>
    </row>
    <row r="3010" spans="1:16" ht="24">
      <c r="A3010" s="83" t="s">
        <v>5599</v>
      </c>
      <c r="B3010" s="257" t="s">
        <v>5600</v>
      </c>
      <c r="C3010" s="258" t="s">
        <v>103</v>
      </c>
      <c r="D3010" s="79">
        <v>22918.46</v>
      </c>
      <c r="F3010" s="79">
        <v>22918.46</v>
      </c>
      <c r="G3010" s="81"/>
      <c r="N3010" s="240"/>
      <c r="O3010" s="241"/>
      <c r="P3010" s="213"/>
    </row>
    <row r="3011" spans="1:16" ht="24">
      <c r="A3011" s="83" t="s">
        <v>5601</v>
      </c>
      <c r="B3011" s="257" t="s">
        <v>5602</v>
      </c>
      <c r="C3011" s="258" t="s">
        <v>103</v>
      </c>
      <c r="D3011" s="79">
        <v>64190.59</v>
      </c>
      <c r="F3011" s="79">
        <v>64190.59</v>
      </c>
      <c r="G3011" s="81"/>
      <c r="N3011" s="240"/>
      <c r="O3011" s="241"/>
      <c r="P3011" s="213"/>
    </row>
    <row r="3012" spans="1:16" ht="24">
      <c r="A3012" s="83" t="s">
        <v>5603</v>
      </c>
      <c r="B3012" s="257" t="s">
        <v>5604</v>
      </c>
      <c r="C3012" s="258" t="s">
        <v>103</v>
      </c>
      <c r="D3012" s="79">
        <v>58437.35</v>
      </c>
      <c r="F3012" s="79">
        <v>58437.35</v>
      </c>
      <c r="G3012" s="81"/>
      <c r="N3012" s="240"/>
      <c r="O3012" s="241"/>
      <c r="P3012" s="213"/>
    </row>
    <row r="3013" spans="1:16" ht="24">
      <c r="A3013" s="256" t="s">
        <v>5605</v>
      </c>
      <c r="B3013" s="261" t="s">
        <v>29878</v>
      </c>
      <c r="C3013" s="262" t="s">
        <v>103</v>
      </c>
      <c r="D3013" s="79">
        <v>20092.82</v>
      </c>
      <c r="F3013" s="517">
        <v>20092.82</v>
      </c>
    </row>
    <row r="3014" spans="1:16" ht="12">
      <c r="A3014" s="83" t="s">
        <v>5606</v>
      </c>
      <c r="B3014" s="257" t="s">
        <v>5607</v>
      </c>
      <c r="C3014" s="258" t="s">
        <v>103</v>
      </c>
      <c r="D3014" s="79">
        <v>1068.9100000000001</v>
      </c>
      <c r="F3014" s="79">
        <v>1068.9100000000001</v>
      </c>
      <c r="G3014" s="81"/>
      <c r="N3014" s="240"/>
      <c r="O3014" s="241"/>
      <c r="P3014" s="213"/>
    </row>
    <row r="3015" spans="1:16" ht="12">
      <c r="A3015" s="83" t="s">
        <v>5608</v>
      </c>
      <c r="B3015" s="257" t="s">
        <v>5609</v>
      </c>
      <c r="C3015" s="258" t="s">
        <v>103</v>
      </c>
      <c r="D3015" s="79">
        <v>3027.47</v>
      </c>
      <c r="F3015" s="79">
        <v>3027.47</v>
      </c>
      <c r="G3015" s="81"/>
      <c r="N3015" s="240"/>
      <c r="O3015" s="241"/>
      <c r="P3015" s="213"/>
    </row>
    <row r="3016" spans="1:16" ht="12">
      <c r="A3016" s="83" t="s">
        <v>5610</v>
      </c>
      <c r="B3016" s="257" t="s">
        <v>5611</v>
      </c>
      <c r="C3016" s="258" t="s">
        <v>103</v>
      </c>
      <c r="D3016" s="79">
        <v>2565.1799999999998</v>
      </c>
      <c r="F3016" s="79">
        <v>2565.1799999999998</v>
      </c>
      <c r="G3016" s="81"/>
      <c r="N3016" s="240"/>
      <c r="O3016" s="241"/>
      <c r="P3016" s="213"/>
    </row>
    <row r="3017" spans="1:16" ht="36">
      <c r="A3017" s="83" t="s">
        <v>5612</v>
      </c>
      <c r="B3017" s="257" t="s">
        <v>5613</v>
      </c>
      <c r="C3017" s="258" t="s">
        <v>103</v>
      </c>
      <c r="D3017" s="79">
        <v>2538.08</v>
      </c>
      <c r="F3017" s="79">
        <v>2538.08</v>
      </c>
      <c r="G3017" s="81"/>
      <c r="N3017" s="240"/>
      <c r="O3017" s="241"/>
      <c r="P3017" s="213"/>
    </row>
    <row r="3018" spans="1:16" ht="24">
      <c r="A3018" s="83" t="s">
        <v>5614</v>
      </c>
      <c r="B3018" s="257" t="s">
        <v>5615</v>
      </c>
      <c r="C3018" s="258" t="s">
        <v>103</v>
      </c>
      <c r="D3018" s="79">
        <v>395.72</v>
      </c>
      <c r="F3018" s="79">
        <v>395.72</v>
      </c>
      <c r="G3018" s="81"/>
      <c r="N3018" s="240"/>
      <c r="O3018" s="241"/>
      <c r="P3018" s="213"/>
    </row>
    <row r="3019" spans="1:16" ht="12">
      <c r="A3019" s="83" t="s">
        <v>5616</v>
      </c>
      <c r="B3019" s="257" t="s">
        <v>5617</v>
      </c>
      <c r="C3019" s="258" t="s">
        <v>103</v>
      </c>
      <c r="D3019" s="79">
        <v>2514.92</v>
      </c>
      <c r="F3019" s="79">
        <v>2514.92</v>
      </c>
      <c r="G3019" s="81"/>
      <c r="N3019" s="240"/>
      <c r="O3019" s="241"/>
      <c r="P3019" s="213"/>
    </row>
    <row r="3020" spans="1:16" ht="12">
      <c r="A3020" s="83" t="s">
        <v>5618</v>
      </c>
      <c r="B3020" s="257" t="s">
        <v>5619</v>
      </c>
      <c r="C3020" s="258" t="s">
        <v>103</v>
      </c>
      <c r="D3020" s="79">
        <v>1150.6500000000001</v>
      </c>
      <c r="F3020" s="79">
        <v>1150.6500000000001</v>
      </c>
      <c r="G3020" s="81"/>
      <c r="N3020" s="240"/>
      <c r="O3020" s="241"/>
      <c r="P3020" s="213"/>
    </row>
    <row r="3021" spans="1:16" ht="12">
      <c r="A3021" s="83" t="s">
        <v>5620</v>
      </c>
      <c r="B3021" s="257" t="s">
        <v>5621</v>
      </c>
      <c r="C3021" s="258" t="s">
        <v>103</v>
      </c>
      <c r="D3021" s="79">
        <v>2559.9499999999998</v>
      </c>
      <c r="F3021" s="79">
        <v>2559.9499999999998</v>
      </c>
      <c r="G3021" s="81"/>
      <c r="N3021" s="240"/>
      <c r="O3021" s="241"/>
      <c r="P3021" s="213"/>
    </row>
    <row r="3022" spans="1:16" ht="24">
      <c r="A3022" s="83" t="s">
        <v>5622</v>
      </c>
      <c r="B3022" s="257" t="s">
        <v>5623</v>
      </c>
      <c r="C3022" s="258" t="s">
        <v>509</v>
      </c>
      <c r="D3022" s="79">
        <v>1528.66</v>
      </c>
      <c r="F3022" s="79">
        <v>1528.66</v>
      </c>
      <c r="G3022" s="81"/>
      <c r="N3022" s="240"/>
      <c r="O3022" s="241"/>
      <c r="P3022" s="213"/>
    </row>
    <row r="3023" spans="1:16" ht="12">
      <c r="A3023" s="83" t="s">
        <v>5624</v>
      </c>
      <c r="B3023" s="257" t="s">
        <v>5625</v>
      </c>
      <c r="C3023" s="258" t="s">
        <v>509</v>
      </c>
      <c r="D3023" s="79">
        <v>1405.2</v>
      </c>
      <c r="F3023" s="79">
        <v>1405.2</v>
      </c>
      <c r="G3023" s="81"/>
      <c r="N3023" s="240"/>
      <c r="O3023" s="241"/>
      <c r="P3023" s="213"/>
    </row>
    <row r="3024" spans="1:16" ht="24">
      <c r="A3024" s="83" t="s">
        <v>5626</v>
      </c>
      <c r="B3024" s="257" t="s">
        <v>5627</v>
      </c>
      <c r="C3024" s="258" t="s">
        <v>103</v>
      </c>
      <c r="D3024" s="79">
        <v>207.3</v>
      </c>
      <c r="F3024" s="79">
        <v>207.3</v>
      </c>
      <c r="G3024" s="81"/>
      <c r="N3024" s="240"/>
      <c r="O3024" s="241"/>
      <c r="P3024" s="213"/>
    </row>
    <row r="3025" spans="1:16" ht="24">
      <c r="A3025" s="83" t="s">
        <v>5628</v>
      </c>
      <c r="B3025" s="257" t="s">
        <v>5629</v>
      </c>
      <c r="C3025" s="258" t="s">
        <v>103</v>
      </c>
      <c r="D3025" s="79">
        <v>321.10000000000002</v>
      </c>
      <c r="F3025" s="79">
        <v>321.10000000000002</v>
      </c>
      <c r="G3025" s="81"/>
      <c r="N3025" s="240"/>
      <c r="O3025" s="241"/>
      <c r="P3025" s="213"/>
    </row>
    <row r="3026" spans="1:16" ht="12">
      <c r="A3026" s="83" t="s">
        <v>5630</v>
      </c>
      <c r="B3026" s="257" t="s">
        <v>5631</v>
      </c>
      <c r="C3026" s="258" t="s">
        <v>153</v>
      </c>
      <c r="D3026" s="79">
        <v>21.53</v>
      </c>
      <c r="F3026" s="79">
        <v>21.53</v>
      </c>
      <c r="G3026" s="81"/>
      <c r="N3026" s="240"/>
      <c r="O3026" s="241"/>
      <c r="P3026" s="213"/>
    </row>
    <row r="3027" spans="1:16" ht="12">
      <c r="A3027" s="83" t="s">
        <v>5632</v>
      </c>
      <c r="B3027" s="257" t="s">
        <v>5633</v>
      </c>
      <c r="C3027" s="258" t="s">
        <v>153</v>
      </c>
      <c r="D3027" s="79">
        <v>11.15</v>
      </c>
      <c r="F3027" s="79">
        <v>11.15</v>
      </c>
      <c r="G3027" s="81"/>
      <c r="N3027" s="240"/>
      <c r="O3027" s="241"/>
      <c r="P3027" s="213"/>
    </row>
    <row r="3028" spans="1:16" ht="12">
      <c r="A3028" s="83" t="s">
        <v>5634</v>
      </c>
      <c r="B3028" s="257" t="s">
        <v>5635</v>
      </c>
      <c r="C3028" s="258" t="s">
        <v>207</v>
      </c>
      <c r="D3028" s="79">
        <v>45.65</v>
      </c>
      <c r="F3028" s="79">
        <v>45.65</v>
      </c>
      <c r="G3028" s="81"/>
      <c r="N3028" s="240"/>
      <c r="O3028" s="241"/>
      <c r="P3028" s="213"/>
    </row>
    <row r="3029" spans="1:16" ht="24">
      <c r="A3029" s="67" t="s">
        <v>5636</v>
      </c>
      <c r="B3029" s="65" t="s">
        <v>5637</v>
      </c>
      <c r="C3029" s="71" t="s">
        <v>509</v>
      </c>
      <c r="D3029" s="79">
        <v>211.8</v>
      </c>
      <c r="F3029" s="79">
        <v>211.8</v>
      </c>
      <c r="G3029" s="81"/>
      <c r="N3029" s="133"/>
      <c r="O3029" s="241"/>
      <c r="P3029" s="213"/>
    </row>
    <row r="3030" spans="1:16" ht="24">
      <c r="A3030" s="83" t="s">
        <v>5638</v>
      </c>
      <c r="B3030" s="257" t="s">
        <v>29879</v>
      </c>
      <c r="C3030" s="258" t="s">
        <v>509</v>
      </c>
      <c r="D3030" s="79">
        <v>6.54</v>
      </c>
      <c r="F3030" s="79">
        <v>6.54</v>
      </c>
      <c r="G3030" s="81"/>
      <c r="N3030" s="240"/>
      <c r="O3030" s="241"/>
      <c r="P3030" s="213"/>
    </row>
    <row r="3031" spans="1:16" ht="24">
      <c r="A3031" s="83" t="s">
        <v>5639</v>
      </c>
      <c r="B3031" s="257" t="s">
        <v>5640</v>
      </c>
      <c r="C3031" s="258" t="s">
        <v>509</v>
      </c>
      <c r="D3031" s="79">
        <v>5.67</v>
      </c>
      <c r="F3031" s="79">
        <v>5.67</v>
      </c>
      <c r="G3031" s="81"/>
      <c r="N3031" s="240"/>
      <c r="O3031" s="241"/>
      <c r="P3031" s="213"/>
    </row>
    <row r="3032" spans="1:16" ht="12">
      <c r="A3032" s="83" t="s">
        <v>5641</v>
      </c>
      <c r="B3032" s="257" t="s">
        <v>5642</v>
      </c>
      <c r="C3032" s="258" t="s">
        <v>509</v>
      </c>
      <c r="D3032" s="79">
        <v>13.39</v>
      </c>
      <c r="F3032" s="79">
        <v>13.39</v>
      </c>
      <c r="G3032" s="81"/>
      <c r="N3032" s="240"/>
      <c r="O3032" s="241"/>
      <c r="P3032" s="213"/>
    </row>
    <row r="3033" spans="1:16" ht="36">
      <c r="A3033" s="83" t="s">
        <v>5643</v>
      </c>
      <c r="B3033" s="257" t="s">
        <v>39326</v>
      </c>
      <c r="C3033" s="258" t="s">
        <v>207</v>
      </c>
      <c r="D3033" s="79">
        <v>43.51</v>
      </c>
      <c r="F3033" s="79">
        <v>43.51</v>
      </c>
      <c r="G3033" s="81"/>
      <c r="N3033" s="240"/>
      <c r="O3033" s="241"/>
      <c r="P3033" s="213"/>
    </row>
    <row r="3034" spans="1:16" ht="36">
      <c r="A3034" s="83" t="s">
        <v>5644</v>
      </c>
      <c r="B3034" s="257" t="s">
        <v>39327</v>
      </c>
      <c r="C3034" s="258" t="s">
        <v>207</v>
      </c>
      <c r="D3034" s="79">
        <v>32.79</v>
      </c>
      <c r="F3034" s="79">
        <v>32.79</v>
      </c>
      <c r="G3034" s="81"/>
      <c r="N3034" s="240"/>
      <c r="O3034" s="241"/>
      <c r="P3034" s="213"/>
    </row>
    <row r="3035" spans="1:16" ht="12">
      <c r="A3035" s="83" t="s">
        <v>5645</v>
      </c>
      <c r="B3035" s="257" t="s">
        <v>5646</v>
      </c>
      <c r="C3035" s="258" t="s">
        <v>509</v>
      </c>
      <c r="D3035" s="79">
        <v>10.39</v>
      </c>
      <c r="F3035" s="79">
        <v>10.39</v>
      </c>
      <c r="G3035" s="81"/>
      <c r="N3035" s="240"/>
      <c r="O3035" s="241"/>
      <c r="P3035" s="213"/>
    </row>
    <row r="3036" spans="1:16" ht="12">
      <c r="A3036" s="83" t="s">
        <v>5647</v>
      </c>
      <c r="B3036" s="257" t="s">
        <v>5648</v>
      </c>
      <c r="C3036" s="258" t="s">
        <v>11</v>
      </c>
      <c r="D3036" s="79">
        <v>223.21</v>
      </c>
      <c r="F3036" s="79">
        <v>223.21</v>
      </c>
      <c r="G3036" s="81"/>
      <c r="N3036" s="240"/>
      <c r="O3036" s="241"/>
      <c r="P3036" s="213"/>
    </row>
    <row r="3037" spans="1:16" ht="12">
      <c r="A3037" s="256" t="s">
        <v>5649</v>
      </c>
      <c r="B3037" s="274" t="s">
        <v>5650</v>
      </c>
      <c r="C3037" s="262" t="s">
        <v>11</v>
      </c>
      <c r="D3037" s="79">
        <v>75.64</v>
      </c>
      <c r="F3037" s="522">
        <v>75.64</v>
      </c>
    </row>
    <row r="3038" spans="1:16" ht="12">
      <c r="A3038" s="83" t="s">
        <v>5651</v>
      </c>
      <c r="B3038" s="257" t="s">
        <v>5652</v>
      </c>
      <c r="C3038" s="258" t="s">
        <v>11</v>
      </c>
      <c r="D3038" s="79">
        <v>151.16999999999999</v>
      </c>
      <c r="F3038" s="79">
        <v>151.16999999999999</v>
      </c>
      <c r="G3038" s="81"/>
      <c r="N3038" s="240"/>
      <c r="O3038" s="241"/>
      <c r="P3038" s="213"/>
    </row>
    <row r="3039" spans="1:16" ht="24">
      <c r="A3039" s="83" t="s">
        <v>5653</v>
      </c>
      <c r="B3039" s="257" t="s">
        <v>5654</v>
      </c>
      <c r="C3039" s="258" t="s">
        <v>11</v>
      </c>
      <c r="D3039" s="79">
        <v>31.27</v>
      </c>
      <c r="F3039" s="79">
        <v>31.27</v>
      </c>
      <c r="G3039" s="81"/>
      <c r="N3039" s="240"/>
      <c r="O3039" s="241"/>
      <c r="P3039" s="213"/>
    </row>
    <row r="3040" spans="1:16" ht="12">
      <c r="A3040" s="83" t="s">
        <v>5655</v>
      </c>
      <c r="B3040" s="257" t="s">
        <v>5656</v>
      </c>
      <c r="C3040" s="258" t="s">
        <v>11</v>
      </c>
      <c r="D3040" s="79">
        <v>108.37</v>
      </c>
      <c r="F3040" s="79">
        <v>108.37</v>
      </c>
      <c r="G3040" s="81"/>
      <c r="N3040" s="240"/>
      <c r="O3040" s="241"/>
      <c r="P3040" s="213"/>
    </row>
    <row r="3041" spans="1:16" ht="12">
      <c r="A3041" s="83" t="s">
        <v>5657</v>
      </c>
      <c r="B3041" s="257" t="s">
        <v>5658</v>
      </c>
      <c r="C3041" s="258" t="s">
        <v>11</v>
      </c>
      <c r="D3041" s="79">
        <v>337.62</v>
      </c>
      <c r="F3041" s="79">
        <v>337.62</v>
      </c>
      <c r="G3041" s="81"/>
      <c r="N3041" s="240"/>
      <c r="O3041" s="241"/>
      <c r="P3041" s="213"/>
    </row>
    <row r="3042" spans="1:16" ht="12">
      <c r="A3042" s="83" t="s">
        <v>5659</v>
      </c>
      <c r="B3042" s="257" t="s">
        <v>5660</v>
      </c>
      <c r="C3042" s="258" t="s">
        <v>11</v>
      </c>
      <c r="D3042" s="79">
        <v>38.18</v>
      </c>
      <c r="F3042" s="79">
        <v>38.18</v>
      </c>
      <c r="G3042" s="81"/>
      <c r="N3042" s="240"/>
      <c r="O3042" s="241"/>
      <c r="P3042" s="213"/>
    </row>
    <row r="3043" spans="1:16" ht="12">
      <c r="A3043" s="83" t="s">
        <v>5661</v>
      </c>
      <c r="B3043" s="257" t="s">
        <v>5662</v>
      </c>
      <c r="C3043" s="258" t="s">
        <v>11</v>
      </c>
      <c r="D3043" s="79">
        <v>158.08000000000001</v>
      </c>
      <c r="F3043" s="79">
        <v>158.08000000000001</v>
      </c>
      <c r="G3043" s="81"/>
      <c r="N3043" s="240"/>
      <c r="O3043" s="241"/>
      <c r="P3043" s="213"/>
    </row>
    <row r="3044" spans="1:16" ht="12">
      <c r="A3044" s="83" t="s">
        <v>5663</v>
      </c>
      <c r="B3044" s="257" t="s">
        <v>5664</v>
      </c>
      <c r="C3044" s="258" t="s">
        <v>11</v>
      </c>
      <c r="D3044" s="79">
        <v>221.82</v>
      </c>
      <c r="F3044" s="79">
        <v>221.82</v>
      </c>
      <c r="G3044" s="81"/>
      <c r="N3044" s="240"/>
      <c r="O3044" s="241"/>
      <c r="P3044" s="213"/>
    </row>
    <row r="3045" spans="1:16" ht="12">
      <c r="A3045" s="83" t="s">
        <v>5665</v>
      </c>
      <c r="B3045" s="257" t="s">
        <v>5666</v>
      </c>
      <c r="C3045" s="258" t="s">
        <v>11</v>
      </c>
      <c r="D3045" s="79">
        <v>158.01</v>
      </c>
      <c r="F3045" s="79">
        <v>158.01</v>
      </c>
      <c r="G3045" s="81"/>
      <c r="N3045" s="240"/>
      <c r="O3045" s="241"/>
      <c r="P3045" s="213"/>
    </row>
    <row r="3046" spans="1:16" ht="12">
      <c r="A3046" s="83" t="s">
        <v>5667</v>
      </c>
      <c r="B3046" s="257" t="s">
        <v>5668</v>
      </c>
      <c r="C3046" s="258" t="s">
        <v>11</v>
      </c>
      <c r="D3046" s="79">
        <v>509.03</v>
      </c>
      <c r="F3046" s="79">
        <v>509.03</v>
      </c>
      <c r="G3046" s="81"/>
      <c r="N3046" s="240"/>
      <c r="O3046" s="241"/>
      <c r="P3046" s="213"/>
    </row>
    <row r="3047" spans="1:16" ht="12">
      <c r="A3047" s="83" t="s">
        <v>5669</v>
      </c>
      <c r="B3047" s="257" t="s">
        <v>5670</v>
      </c>
      <c r="C3047" s="258" t="s">
        <v>11</v>
      </c>
      <c r="D3047" s="79">
        <v>463.71</v>
      </c>
      <c r="F3047" s="79">
        <v>463.71</v>
      </c>
      <c r="G3047" s="81"/>
      <c r="N3047" s="240"/>
      <c r="O3047" s="241"/>
      <c r="P3047" s="213"/>
    </row>
    <row r="3048" spans="1:16" ht="12">
      <c r="A3048" s="83" t="s">
        <v>5671</v>
      </c>
      <c r="B3048" s="257" t="s">
        <v>5672</v>
      </c>
      <c r="C3048" s="258" t="s">
        <v>11</v>
      </c>
      <c r="D3048" s="79">
        <v>259.57</v>
      </c>
      <c r="F3048" s="79">
        <v>259.57</v>
      </c>
      <c r="G3048" s="81"/>
      <c r="N3048" s="240"/>
      <c r="O3048" s="241"/>
      <c r="P3048" s="213"/>
    </row>
    <row r="3049" spans="1:16" ht="12">
      <c r="A3049" s="83" t="s">
        <v>5673</v>
      </c>
      <c r="B3049" s="257" t="s">
        <v>5674</v>
      </c>
      <c r="C3049" s="258" t="s">
        <v>11</v>
      </c>
      <c r="D3049" s="79">
        <v>210.43</v>
      </c>
      <c r="F3049" s="79">
        <v>210.43</v>
      </c>
      <c r="G3049" s="81"/>
      <c r="N3049" s="240"/>
      <c r="O3049" s="241"/>
      <c r="P3049" s="213"/>
    </row>
    <row r="3050" spans="1:16" ht="12">
      <c r="A3050" s="83" t="s">
        <v>5675</v>
      </c>
      <c r="B3050" s="257" t="s">
        <v>5676</v>
      </c>
      <c r="C3050" s="258" t="s">
        <v>11</v>
      </c>
      <c r="D3050" s="79">
        <v>227.59</v>
      </c>
      <c r="F3050" s="79">
        <v>227.59</v>
      </c>
      <c r="G3050" s="81"/>
      <c r="N3050" s="240"/>
      <c r="O3050" s="241"/>
      <c r="P3050" s="213"/>
    </row>
    <row r="3051" spans="1:16" ht="24">
      <c r="A3051" s="83" t="s">
        <v>5677</v>
      </c>
      <c r="B3051" s="257" t="s">
        <v>29880</v>
      </c>
      <c r="C3051" s="258" t="s">
        <v>11</v>
      </c>
      <c r="D3051" s="79">
        <v>393.6</v>
      </c>
      <c r="F3051" s="79">
        <v>393.6</v>
      </c>
      <c r="G3051" s="81"/>
      <c r="N3051" s="240"/>
      <c r="O3051" s="241"/>
      <c r="P3051" s="213"/>
    </row>
    <row r="3052" spans="1:16" ht="24">
      <c r="A3052" s="83" t="s">
        <v>5678</v>
      </c>
      <c r="B3052" s="257" t="s">
        <v>29881</v>
      </c>
      <c r="C3052" s="258" t="s">
        <v>11</v>
      </c>
      <c r="D3052" s="79">
        <v>309.13</v>
      </c>
      <c r="F3052" s="79">
        <v>309.13</v>
      </c>
      <c r="G3052" s="81"/>
      <c r="N3052" s="240"/>
      <c r="O3052" s="241"/>
      <c r="P3052" s="213"/>
    </row>
    <row r="3053" spans="1:16" ht="24">
      <c r="A3053" s="83" t="s">
        <v>5679</v>
      </c>
      <c r="B3053" s="257" t="s">
        <v>5680</v>
      </c>
      <c r="C3053" s="258" t="s">
        <v>11</v>
      </c>
      <c r="D3053" s="79">
        <v>32.44</v>
      </c>
      <c r="F3053" s="79">
        <v>32.44</v>
      </c>
      <c r="G3053" s="81"/>
      <c r="N3053" s="240"/>
      <c r="O3053" s="241"/>
      <c r="P3053" s="213"/>
    </row>
    <row r="3054" spans="1:16" ht="24">
      <c r="A3054" s="83" t="s">
        <v>5681</v>
      </c>
      <c r="B3054" s="257" t="s">
        <v>29882</v>
      </c>
      <c r="C3054" s="258" t="s">
        <v>11</v>
      </c>
      <c r="D3054" s="79">
        <v>198.08</v>
      </c>
      <c r="F3054" s="79">
        <v>198.08</v>
      </c>
      <c r="G3054" s="81"/>
      <c r="N3054" s="240"/>
      <c r="O3054" s="241"/>
      <c r="P3054" s="213"/>
    </row>
    <row r="3055" spans="1:16" ht="12">
      <c r="A3055" s="83" t="s">
        <v>5682</v>
      </c>
      <c r="B3055" s="257" t="s">
        <v>5683</v>
      </c>
      <c r="C3055" s="258" t="s">
        <v>11</v>
      </c>
      <c r="D3055" s="79">
        <v>249.73</v>
      </c>
      <c r="F3055" s="79">
        <v>249.73</v>
      </c>
      <c r="G3055" s="81"/>
      <c r="N3055" s="240"/>
      <c r="O3055" s="241"/>
      <c r="P3055" s="213"/>
    </row>
    <row r="3056" spans="1:16" ht="12">
      <c r="A3056" s="83" t="s">
        <v>5684</v>
      </c>
      <c r="B3056" s="257" t="s">
        <v>5685</v>
      </c>
      <c r="C3056" s="258" t="s">
        <v>11</v>
      </c>
      <c r="D3056" s="79">
        <v>757.33</v>
      </c>
      <c r="F3056" s="79">
        <v>757.33</v>
      </c>
      <c r="G3056" s="81"/>
      <c r="N3056" s="240"/>
      <c r="O3056" s="241"/>
      <c r="P3056" s="213"/>
    </row>
    <row r="3057" spans="1:16" ht="12">
      <c r="A3057" s="83" t="s">
        <v>5686</v>
      </c>
      <c r="B3057" s="257" t="s">
        <v>29883</v>
      </c>
      <c r="C3057" s="258" t="s">
        <v>11</v>
      </c>
      <c r="D3057" s="79">
        <v>299.83999999999997</v>
      </c>
      <c r="F3057" s="79">
        <v>299.83999999999997</v>
      </c>
      <c r="G3057" s="81"/>
      <c r="N3057" s="240"/>
      <c r="O3057" s="241"/>
      <c r="P3057" s="213"/>
    </row>
    <row r="3058" spans="1:16" ht="12">
      <c r="A3058" s="63" t="s">
        <v>5687</v>
      </c>
      <c r="B3058" s="64" t="s">
        <v>28218</v>
      </c>
      <c r="C3058" s="258" t="s">
        <v>11</v>
      </c>
      <c r="D3058" s="79">
        <v>78.040000000000006</v>
      </c>
      <c r="F3058" s="79">
        <v>78.040000000000006</v>
      </c>
      <c r="G3058" s="81"/>
      <c r="N3058" s="61"/>
      <c r="O3058" s="241"/>
      <c r="P3058" s="213"/>
    </row>
    <row r="3059" spans="1:16" ht="12">
      <c r="A3059" s="83" t="s">
        <v>5688</v>
      </c>
      <c r="B3059" s="257" t="s">
        <v>5689</v>
      </c>
      <c r="C3059" s="258" t="s">
        <v>11</v>
      </c>
      <c r="D3059" s="79">
        <v>254.28</v>
      </c>
      <c r="F3059" s="79">
        <v>254.28</v>
      </c>
      <c r="G3059" s="81"/>
      <c r="N3059" s="240"/>
      <c r="O3059" s="241"/>
      <c r="P3059" s="213"/>
    </row>
    <row r="3060" spans="1:16" ht="12">
      <c r="A3060" s="83" t="s">
        <v>5690</v>
      </c>
      <c r="B3060" s="257" t="s">
        <v>5691</v>
      </c>
      <c r="C3060" s="258" t="s">
        <v>11</v>
      </c>
      <c r="D3060" s="79">
        <v>104.59</v>
      </c>
      <c r="F3060" s="79">
        <v>104.59</v>
      </c>
      <c r="G3060" s="81"/>
      <c r="N3060" s="240"/>
      <c r="O3060" s="241"/>
      <c r="P3060" s="213"/>
    </row>
    <row r="3061" spans="1:16" ht="12">
      <c r="A3061" s="63" t="s">
        <v>5692</v>
      </c>
      <c r="B3061" s="64" t="s">
        <v>5693</v>
      </c>
      <c r="C3061" s="71" t="s">
        <v>11</v>
      </c>
      <c r="D3061" s="79">
        <v>16.739999999999998</v>
      </c>
      <c r="F3061" s="79">
        <v>16.739999999999998</v>
      </c>
      <c r="G3061" s="81"/>
      <c r="N3061" s="61"/>
      <c r="O3061" s="241"/>
      <c r="P3061" s="213"/>
    </row>
    <row r="3062" spans="1:16" ht="12">
      <c r="A3062" s="63" t="s">
        <v>5694</v>
      </c>
      <c r="B3062" s="64" t="s">
        <v>5695</v>
      </c>
      <c r="C3062" s="71" t="s">
        <v>11</v>
      </c>
      <c r="D3062" s="79">
        <v>0.76</v>
      </c>
      <c r="F3062" s="79">
        <v>0.76</v>
      </c>
      <c r="G3062" s="81"/>
      <c r="N3062" s="61"/>
      <c r="O3062" s="241"/>
      <c r="P3062" s="213"/>
    </row>
    <row r="3063" spans="1:16" ht="12">
      <c r="A3063" s="83" t="s">
        <v>5696</v>
      </c>
      <c r="B3063" s="257" t="s">
        <v>5697</v>
      </c>
      <c r="C3063" s="258" t="s">
        <v>11</v>
      </c>
      <c r="D3063" s="79">
        <v>805.86</v>
      </c>
      <c r="F3063" s="79">
        <v>805.86</v>
      </c>
      <c r="G3063" s="81"/>
      <c r="N3063" s="240"/>
      <c r="O3063" s="241"/>
      <c r="P3063" s="213"/>
    </row>
    <row r="3064" spans="1:16" ht="12">
      <c r="A3064" s="83" t="s">
        <v>5698</v>
      </c>
      <c r="B3064" s="257" t="s">
        <v>5699</v>
      </c>
      <c r="C3064" s="258" t="s">
        <v>509</v>
      </c>
      <c r="D3064" s="79">
        <v>35.47</v>
      </c>
      <c r="F3064" s="79">
        <v>35.47</v>
      </c>
      <c r="G3064" s="81"/>
      <c r="N3064" s="240"/>
      <c r="O3064" s="241"/>
      <c r="P3064" s="213"/>
    </row>
    <row r="3065" spans="1:16" ht="12">
      <c r="A3065" s="83" t="s">
        <v>5700</v>
      </c>
      <c r="B3065" s="257" t="s">
        <v>5701</v>
      </c>
      <c r="C3065" s="258" t="s">
        <v>509</v>
      </c>
      <c r="D3065" s="79">
        <v>68.459999999999994</v>
      </c>
      <c r="F3065" s="79">
        <v>68.459999999999994</v>
      </c>
      <c r="G3065" s="81"/>
      <c r="N3065" s="240"/>
      <c r="O3065" s="241"/>
      <c r="P3065" s="213"/>
    </row>
    <row r="3066" spans="1:16" ht="12">
      <c r="A3066" s="261" t="s">
        <v>5703</v>
      </c>
      <c r="B3066" s="261" t="s">
        <v>42105</v>
      </c>
      <c r="C3066" s="266" t="s">
        <v>509</v>
      </c>
      <c r="D3066" s="79">
        <v>61.58</v>
      </c>
      <c r="F3066" s="518">
        <v>61.58</v>
      </c>
    </row>
    <row r="3067" spans="1:16">
      <c r="A3067" s="96" t="s">
        <v>5704</v>
      </c>
      <c r="B3067" s="216" t="s">
        <v>5705</v>
      </c>
      <c r="C3067" s="212" t="s">
        <v>509</v>
      </c>
      <c r="D3067" s="79">
        <v>1152.01</v>
      </c>
      <c r="F3067" s="517">
        <v>1152.01</v>
      </c>
    </row>
    <row r="3068" spans="1:16" ht="12">
      <c r="A3068" s="83" t="s">
        <v>5706</v>
      </c>
      <c r="B3068" s="257" t="s">
        <v>5707</v>
      </c>
      <c r="C3068" s="258" t="s">
        <v>207</v>
      </c>
      <c r="D3068" s="79">
        <v>35.229999999999997</v>
      </c>
      <c r="F3068" s="79">
        <v>35.229999999999997</v>
      </c>
      <c r="G3068" s="81"/>
      <c r="N3068" s="240"/>
      <c r="O3068" s="241"/>
      <c r="P3068" s="213"/>
    </row>
    <row r="3069" spans="1:16" ht="12">
      <c r="A3069" s="83" t="s">
        <v>5708</v>
      </c>
      <c r="B3069" s="257" t="s">
        <v>5709</v>
      </c>
      <c r="C3069" s="258" t="s">
        <v>207</v>
      </c>
      <c r="D3069" s="79">
        <v>10.92</v>
      </c>
      <c r="F3069" s="79">
        <v>10.92</v>
      </c>
      <c r="G3069" s="81"/>
      <c r="N3069" s="240"/>
      <c r="O3069" s="241"/>
      <c r="P3069" s="213"/>
    </row>
    <row r="3070" spans="1:16" ht="12">
      <c r="A3070" s="83" t="s">
        <v>5710</v>
      </c>
      <c r="B3070" s="64" t="s">
        <v>5711</v>
      </c>
      <c r="C3070" s="134" t="s">
        <v>207</v>
      </c>
      <c r="D3070" s="79">
        <v>53.89</v>
      </c>
      <c r="F3070" s="79">
        <v>53.89</v>
      </c>
      <c r="G3070" s="81"/>
      <c r="N3070" s="240"/>
      <c r="O3070" s="241"/>
      <c r="P3070" s="213"/>
    </row>
    <row r="3071" spans="1:16" ht="12">
      <c r="A3071" s="261" t="s">
        <v>5712</v>
      </c>
      <c r="B3071" s="261" t="s">
        <v>28224</v>
      </c>
      <c r="C3071" s="266" t="s">
        <v>103</v>
      </c>
      <c r="D3071" s="79">
        <v>22.15</v>
      </c>
      <c r="F3071" s="518">
        <v>22.15</v>
      </c>
      <c r="N3071" s="133"/>
      <c r="O3071" s="236"/>
    </row>
    <row r="3072" spans="1:16" ht="12">
      <c r="A3072" s="261" t="s">
        <v>5714</v>
      </c>
      <c r="B3072" s="261" t="s">
        <v>28225</v>
      </c>
      <c r="C3072" s="266" t="s">
        <v>165</v>
      </c>
      <c r="D3072" s="79">
        <v>13.7</v>
      </c>
      <c r="F3072" s="518">
        <v>13.7</v>
      </c>
      <c r="N3072" s="133"/>
      <c r="O3072" s="236"/>
    </row>
    <row r="3073" spans="1:16" ht="12">
      <c r="A3073" s="83" t="s">
        <v>5715</v>
      </c>
      <c r="B3073" s="257" t="s">
        <v>5716</v>
      </c>
      <c r="C3073" s="258" t="s">
        <v>165</v>
      </c>
      <c r="D3073" s="79">
        <v>63.61</v>
      </c>
      <c r="F3073" s="79">
        <v>63.61</v>
      </c>
      <c r="G3073" s="81"/>
      <c r="N3073" s="240"/>
      <c r="O3073" s="241"/>
      <c r="P3073" s="213"/>
    </row>
    <row r="3074" spans="1:16" ht="12">
      <c r="A3074" s="256" t="s">
        <v>32819</v>
      </c>
      <c r="B3074" s="261" t="s">
        <v>32820</v>
      </c>
      <c r="C3074" s="262" t="s">
        <v>207</v>
      </c>
      <c r="D3074" s="79">
        <v>11.39</v>
      </c>
      <c r="F3074" s="520">
        <v>11.39</v>
      </c>
    </row>
    <row r="3075" spans="1:16" ht="12">
      <c r="A3075" s="261" t="s">
        <v>5717</v>
      </c>
      <c r="B3075" s="261" t="s">
        <v>5718</v>
      </c>
      <c r="C3075" s="266" t="s">
        <v>165</v>
      </c>
      <c r="D3075" s="79">
        <v>27.77</v>
      </c>
      <c r="F3075" s="518">
        <v>27.77</v>
      </c>
    </row>
    <row r="3076" spans="1:16" ht="12">
      <c r="A3076" s="83" t="s">
        <v>5719</v>
      </c>
      <c r="B3076" s="257" t="s">
        <v>5720</v>
      </c>
      <c r="C3076" s="258" t="s">
        <v>103</v>
      </c>
      <c r="D3076" s="79">
        <v>133.62</v>
      </c>
      <c r="F3076" s="79">
        <v>133.62</v>
      </c>
      <c r="G3076" s="81"/>
      <c r="N3076" s="240"/>
      <c r="O3076" s="241"/>
      <c r="P3076" s="213"/>
    </row>
    <row r="3077" spans="1:16" ht="12">
      <c r="A3077" s="261" t="s">
        <v>5721</v>
      </c>
      <c r="B3077" s="261" t="s">
        <v>5722</v>
      </c>
      <c r="C3077" s="266" t="s">
        <v>103</v>
      </c>
      <c r="D3077" s="79">
        <v>1460.4</v>
      </c>
      <c r="F3077" s="518">
        <v>1460.4</v>
      </c>
      <c r="N3077" s="133"/>
      <c r="O3077" s="236"/>
    </row>
    <row r="3078" spans="1:16" ht="12">
      <c r="A3078" s="83" t="s">
        <v>5723</v>
      </c>
      <c r="B3078" s="257" t="s">
        <v>5724</v>
      </c>
      <c r="C3078" s="258" t="s">
        <v>103</v>
      </c>
      <c r="D3078" s="79">
        <v>910.79</v>
      </c>
      <c r="F3078" s="79">
        <v>910.79</v>
      </c>
      <c r="G3078" s="81"/>
      <c r="N3078" s="240"/>
      <c r="O3078" s="241"/>
      <c r="P3078" s="213"/>
    </row>
    <row r="3079" spans="1:16" ht="12">
      <c r="A3079" s="83" t="s">
        <v>5725</v>
      </c>
      <c r="B3079" s="257" t="s">
        <v>5726</v>
      </c>
      <c r="C3079" s="258" t="s">
        <v>103</v>
      </c>
      <c r="D3079" s="79">
        <v>1089.19</v>
      </c>
      <c r="F3079" s="79">
        <v>1089.19</v>
      </c>
      <c r="G3079" s="81"/>
      <c r="N3079" s="240"/>
      <c r="O3079" s="241"/>
      <c r="P3079" s="213"/>
    </row>
    <row r="3080" spans="1:16">
      <c r="A3080" s="96" t="s">
        <v>5727</v>
      </c>
      <c r="B3080" s="216" t="s">
        <v>5728</v>
      </c>
      <c r="C3080" s="212" t="s">
        <v>509</v>
      </c>
      <c r="D3080" s="79">
        <v>924</v>
      </c>
      <c r="F3080" s="517">
        <v>924</v>
      </c>
    </row>
    <row r="3081" spans="1:16" ht="24">
      <c r="A3081" s="256" t="s">
        <v>32821</v>
      </c>
      <c r="B3081" s="261" t="s">
        <v>30001</v>
      </c>
      <c r="C3081" s="262" t="s">
        <v>11</v>
      </c>
      <c r="D3081" s="79">
        <v>9.92</v>
      </c>
      <c r="F3081" s="520">
        <v>9.92</v>
      </c>
    </row>
    <row r="3082" spans="1:16" ht="12">
      <c r="A3082" s="83" t="s">
        <v>5729</v>
      </c>
      <c r="B3082" s="257" t="s">
        <v>5730</v>
      </c>
      <c r="C3082" s="258" t="s">
        <v>103</v>
      </c>
      <c r="D3082" s="79">
        <v>191.35</v>
      </c>
      <c r="F3082" s="79">
        <v>191.35</v>
      </c>
      <c r="G3082" s="81"/>
      <c r="N3082" s="240"/>
      <c r="O3082" s="241"/>
      <c r="P3082" s="213"/>
    </row>
    <row r="3083" spans="1:16" ht="12">
      <c r="A3083" s="83" t="s">
        <v>5731</v>
      </c>
      <c r="B3083" s="257" t="s">
        <v>5732</v>
      </c>
      <c r="C3083" s="258" t="s">
        <v>103</v>
      </c>
      <c r="D3083" s="79">
        <v>186.76</v>
      </c>
      <c r="F3083" s="79">
        <v>186.76</v>
      </c>
      <c r="G3083" s="81"/>
      <c r="N3083" s="240"/>
      <c r="O3083" s="241"/>
      <c r="P3083" s="213"/>
    </row>
    <row r="3084" spans="1:16" ht="12">
      <c r="A3084" s="83" t="s">
        <v>5733</v>
      </c>
      <c r="B3084" s="257" t="s">
        <v>5734</v>
      </c>
      <c r="C3084" s="258" t="s">
        <v>103</v>
      </c>
      <c r="D3084" s="79">
        <v>239.08</v>
      </c>
      <c r="F3084" s="79">
        <v>239.08</v>
      </c>
      <c r="G3084" s="81"/>
      <c r="N3084" s="240"/>
      <c r="O3084" s="241"/>
      <c r="P3084" s="213"/>
    </row>
    <row r="3085" spans="1:16" ht="12">
      <c r="A3085" s="67" t="s">
        <v>5735</v>
      </c>
      <c r="B3085" s="65" t="s">
        <v>5736</v>
      </c>
      <c r="C3085" s="71" t="s">
        <v>11</v>
      </c>
      <c r="D3085" s="79">
        <v>26.89</v>
      </c>
      <c r="F3085" s="79">
        <v>26.89</v>
      </c>
      <c r="G3085" s="81"/>
      <c r="N3085" s="133"/>
      <c r="O3085" s="241"/>
      <c r="P3085" s="213"/>
    </row>
    <row r="3086" spans="1:16" ht="12">
      <c r="A3086" s="67" t="s">
        <v>5737</v>
      </c>
      <c r="B3086" s="65" t="s">
        <v>5738</v>
      </c>
      <c r="C3086" s="71" t="s">
        <v>11</v>
      </c>
      <c r="D3086" s="79">
        <v>204.86</v>
      </c>
      <c r="F3086" s="79">
        <v>204.86</v>
      </c>
      <c r="G3086" s="81"/>
      <c r="N3086" s="133"/>
      <c r="O3086" s="241"/>
      <c r="P3086" s="213"/>
    </row>
    <row r="3087" spans="1:16" ht="12">
      <c r="A3087" s="256" t="s">
        <v>5739</v>
      </c>
      <c r="B3087" s="261" t="s">
        <v>5740</v>
      </c>
      <c r="C3087" s="262" t="s">
        <v>11</v>
      </c>
      <c r="D3087" s="79">
        <v>19.28</v>
      </c>
      <c r="F3087" s="79">
        <v>19.28</v>
      </c>
    </row>
    <row r="3088" spans="1:16" ht="12">
      <c r="A3088" s="256" t="s">
        <v>5741</v>
      </c>
      <c r="B3088" s="261" t="s">
        <v>5742</v>
      </c>
      <c r="C3088" s="262" t="s">
        <v>11</v>
      </c>
      <c r="D3088" s="79">
        <v>10.199999999999999</v>
      </c>
      <c r="F3088" s="79">
        <v>10.199999999999999</v>
      </c>
    </row>
    <row r="3089" spans="1:16" ht="24">
      <c r="A3089" s="83" t="s">
        <v>5743</v>
      </c>
      <c r="B3089" s="257" t="s">
        <v>5744</v>
      </c>
      <c r="C3089" s="258" t="s">
        <v>11</v>
      </c>
      <c r="D3089" s="79">
        <v>226.08</v>
      </c>
      <c r="F3089" s="79">
        <v>226.08</v>
      </c>
      <c r="G3089" s="81"/>
      <c r="N3089" s="240"/>
      <c r="O3089" s="241"/>
      <c r="P3089" s="213"/>
    </row>
    <row r="3090" spans="1:16" ht="36">
      <c r="A3090" s="67" t="s">
        <v>5745</v>
      </c>
      <c r="B3090" s="65" t="s">
        <v>5746</v>
      </c>
      <c r="C3090" s="71" t="s">
        <v>11</v>
      </c>
      <c r="D3090" s="79">
        <v>164.16</v>
      </c>
      <c r="F3090" s="79">
        <v>164.16</v>
      </c>
      <c r="G3090" s="81"/>
      <c r="N3090" s="133"/>
      <c r="O3090" s="241"/>
      <c r="P3090" s="213"/>
    </row>
    <row r="3091" spans="1:16" ht="12">
      <c r="A3091" s="83" t="s">
        <v>5747</v>
      </c>
      <c r="B3091" s="257" t="s">
        <v>5748</v>
      </c>
      <c r="C3091" s="258" t="s">
        <v>165</v>
      </c>
      <c r="D3091" s="79">
        <v>53.31</v>
      </c>
      <c r="F3091" s="79">
        <v>53.31</v>
      </c>
      <c r="G3091" s="81"/>
      <c r="N3091" s="240"/>
      <c r="O3091" s="241"/>
      <c r="P3091" s="213"/>
    </row>
    <row r="3092" spans="1:16" ht="12">
      <c r="A3092" s="96" t="s">
        <v>5749</v>
      </c>
      <c r="B3092" s="265" t="s">
        <v>5750</v>
      </c>
      <c r="C3092" s="212" t="s">
        <v>165</v>
      </c>
      <c r="D3092" s="79">
        <v>172.87</v>
      </c>
      <c r="F3092" s="517">
        <v>172.87</v>
      </c>
    </row>
    <row r="3093" spans="1:16" ht="12">
      <c r="A3093" s="83" t="s">
        <v>5751</v>
      </c>
      <c r="B3093" s="257" t="s">
        <v>5752</v>
      </c>
      <c r="C3093" s="258" t="s">
        <v>509</v>
      </c>
      <c r="D3093" s="79">
        <v>39</v>
      </c>
      <c r="F3093" s="79">
        <v>39</v>
      </c>
      <c r="G3093" s="81"/>
      <c r="N3093" s="240"/>
      <c r="O3093" s="241"/>
      <c r="P3093" s="213"/>
    </row>
    <row r="3094" spans="1:16" ht="12">
      <c r="A3094" s="83" t="s">
        <v>5753</v>
      </c>
      <c r="B3094" s="257" t="s">
        <v>5754</v>
      </c>
      <c r="C3094" s="258" t="s">
        <v>165</v>
      </c>
      <c r="D3094" s="79">
        <v>36.770000000000003</v>
      </c>
      <c r="F3094" s="79">
        <v>36.770000000000003</v>
      </c>
      <c r="G3094" s="81"/>
      <c r="N3094" s="240"/>
      <c r="O3094" s="241"/>
      <c r="P3094" s="213"/>
    </row>
    <row r="3095" spans="1:16" ht="12">
      <c r="A3095" s="83" t="s">
        <v>5755</v>
      </c>
      <c r="B3095" s="257" t="s">
        <v>5756</v>
      </c>
      <c r="C3095" s="258" t="s">
        <v>121</v>
      </c>
      <c r="D3095" s="79">
        <v>3567.01</v>
      </c>
      <c r="F3095" s="79">
        <v>3567.01</v>
      </c>
      <c r="G3095" s="81"/>
      <c r="N3095" s="240"/>
      <c r="O3095" s="241"/>
      <c r="P3095" s="213"/>
    </row>
    <row r="3096" spans="1:16" ht="12">
      <c r="A3096" s="83" t="s">
        <v>5757</v>
      </c>
      <c r="B3096" s="257" t="s">
        <v>5758</v>
      </c>
      <c r="C3096" s="258" t="s">
        <v>509</v>
      </c>
      <c r="D3096" s="79">
        <v>39.270000000000003</v>
      </c>
      <c r="F3096" s="79">
        <v>39.270000000000003</v>
      </c>
      <c r="G3096" s="81"/>
      <c r="N3096" s="240"/>
      <c r="O3096" s="241"/>
      <c r="P3096" s="213"/>
    </row>
    <row r="3097" spans="1:16" ht="12">
      <c r="A3097" s="63" t="s">
        <v>5759</v>
      </c>
      <c r="B3097" s="257" t="s">
        <v>5760</v>
      </c>
      <c r="C3097" s="258" t="s">
        <v>133</v>
      </c>
      <c r="D3097" s="79">
        <v>22.89</v>
      </c>
      <c r="F3097" s="79">
        <v>22.89</v>
      </c>
      <c r="G3097" s="81"/>
      <c r="N3097" s="61"/>
      <c r="O3097" s="241"/>
      <c r="P3097" s="213"/>
    </row>
    <row r="3098" spans="1:16" ht="12">
      <c r="A3098" s="63" t="s">
        <v>5761</v>
      </c>
      <c r="B3098" s="257" t="s">
        <v>5762</v>
      </c>
      <c r="C3098" s="258" t="s">
        <v>5763</v>
      </c>
      <c r="D3098" s="79">
        <v>20.079999999999998</v>
      </c>
      <c r="F3098" s="79">
        <v>20.079999999999998</v>
      </c>
      <c r="G3098" s="81"/>
      <c r="N3098" s="61"/>
      <c r="O3098" s="241"/>
      <c r="P3098" s="213"/>
    </row>
    <row r="3099" spans="1:16" ht="12">
      <c r="A3099" s="96" t="s">
        <v>5764</v>
      </c>
      <c r="B3099" s="265" t="s">
        <v>5765</v>
      </c>
      <c r="C3099" s="212" t="s">
        <v>165</v>
      </c>
      <c r="D3099" s="79">
        <v>107.91</v>
      </c>
      <c r="F3099" s="517">
        <v>107.91</v>
      </c>
    </row>
    <row r="3100" spans="1:16" ht="12">
      <c r="A3100" s="261" t="s">
        <v>5766</v>
      </c>
      <c r="B3100" s="261" t="s">
        <v>5767</v>
      </c>
      <c r="C3100" s="266" t="s">
        <v>165</v>
      </c>
      <c r="D3100" s="79">
        <v>210.06</v>
      </c>
      <c r="F3100" s="518">
        <v>210.06</v>
      </c>
    </row>
    <row r="3101" spans="1:16" ht="12">
      <c r="A3101" s="96" t="s">
        <v>5768</v>
      </c>
      <c r="B3101" s="265" t="s">
        <v>5769</v>
      </c>
      <c r="C3101" s="212" t="s">
        <v>165</v>
      </c>
      <c r="D3101" s="79">
        <v>86.73</v>
      </c>
      <c r="F3101" s="517">
        <v>86.73</v>
      </c>
    </row>
    <row r="3102" spans="1:16" ht="12">
      <c r="A3102" s="96" t="s">
        <v>5770</v>
      </c>
      <c r="B3102" s="265" t="s">
        <v>5771</v>
      </c>
      <c r="C3102" s="212" t="s">
        <v>165</v>
      </c>
      <c r="D3102" s="79">
        <v>130.54</v>
      </c>
      <c r="F3102" s="517">
        <v>130.54</v>
      </c>
    </row>
    <row r="3103" spans="1:16" ht="12">
      <c r="A3103" s="96" t="s">
        <v>5772</v>
      </c>
      <c r="B3103" s="265" t="s">
        <v>5773</v>
      </c>
      <c r="C3103" s="212" t="s">
        <v>165</v>
      </c>
      <c r="D3103" s="79">
        <v>153.78</v>
      </c>
      <c r="F3103" s="517">
        <v>153.78</v>
      </c>
    </row>
    <row r="3104" spans="1:16" ht="12">
      <c r="A3104" s="83" t="s">
        <v>5774</v>
      </c>
      <c r="B3104" s="257" t="s">
        <v>5775</v>
      </c>
      <c r="C3104" s="258" t="s">
        <v>103</v>
      </c>
      <c r="D3104" s="79">
        <v>4.3499999999999996</v>
      </c>
      <c r="F3104" s="79">
        <v>4.3499999999999996</v>
      </c>
      <c r="G3104" s="81"/>
      <c r="N3104" s="240"/>
      <c r="O3104" s="241"/>
      <c r="P3104" s="213"/>
    </row>
    <row r="3105" spans="1:16" ht="12">
      <c r="A3105" s="83" t="s">
        <v>5776</v>
      </c>
      <c r="B3105" s="257" t="s">
        <v>5777</v>
      </c>
      <c r="C3105" s="258" t="s">
        <v>165</v>
      </c>
      <c r="D3105" s="79">
        <v>7.72</v>
      </c>
      <c r="F3105" s="79">
        <v>7.72</v>
      </c>
      <c r="G3105" s="81"/>
      <c r="N3105" s="240"/>
      <c r="O3105" s="241"/>
      <c r="P3105" s="213"/>
    </row>
    <row r="3106" spans="1:16" ht="24">
      <c r="A3106" s="83" t="s">
        <v>5778</v>
      </c>
      <c r="B3106" s="64" t="s">
        <v>28219</v>
      </c>
      <c r="C3106" s="134" t="s">
        <v>509</v>
      </c>
      <c r="D3106" s="79">
        <v>288.16000000000003</v>
      </c>
      <c r="F3106" s="79">
        <v>288.16000000000003</v>
      </c>
      <c r="G3106" s="81"/>
      <c r="N3106" s="240"/>
      <c r="O3106" s="241"/>
      <c r="P3106" s="213"/>
    </row>
    <row r="3107" spans="1:16" s="242" customFormat="1" ht="12">
      <c r="A3107" s="63" t="s">
        <v>5779</v>
      </c>
      <c r="B3107" s="64" t="s">
        <v>5780</v>
      </c>
      <c r="C3107" s="258" t="s">
        <v>103</v>
      </c>
      <c r="D3107" s="79">
        <v>42.1</v>
      </c>
      <c r="E3107" s="61"/>
      <c r="F3107" s="79">
        <v>42.1</v>
      </c>
      <c r="G3107" s="81"/>
      <c r="H3107" s="236"/>
      <c r="I3107" s="236"/>
      <c r="J3107" s="236"/>
      <c r="K3107" s="236"/>
      <c r="L3107" s="236"/>
      <c r="M3107" s="236"/>
      <c r="N3107" s="61"/>
      <c r="O3107" s="241"/>
      <c r="P3107" s="213"/>
    </row>
    <row r="3108" spans="1:16" ht="24">
      <c r="A3108" s="83" t="s">
        <v>5781</v>
      </c>
      <c r="B3108" s="257" t="s">
        <v>28220</v>
      </c>
      <c r="C3108" s="258" t="s">
        <v>207</v>
      </c>
      <c r="D3108" s="79">
        <v>38.22</v>
      </c>
      <c r="F3108" s="79">
        <v>38.22</v>
      </c>
      <c r="G3108" s="81"/>
      <c r="N3108" s="240"/>
      <c r="O3108" s="241"/>
      <c r="P3108" s="213"/>
    </row>
    <row r="3109" spans="1:16" s="242" customFormat="1" ht="12">
      <c r="A3109" s="256" t="s">
        <v>5782</v>
      </c>
      <c r="B3109" s="64" t="s">
        <v>5783</v>
      </c>
      <c r="C3109" s="71" t="s">
        <v>103</v>
      </c>
      <c r="D3109" s="79">
        <v>0.05</v>
      </c>
      <c r="E3109" s="61"/>
      <c r="F3109" s="79">
        <v>0.05</v>
      </c>
      <c r="G3109" s="236"/>
      <c r="H3109" s="236"/>
      <c r="I3109" s="236"/>
      <c r="J3109" s="236"/>
      <c r="K3109" s="236"/>
      <c r="L3109" s="236"/>
      <c r="M3109" s="236"/>
      <c r="N3109" s="236"/>
      <c r="O3109" s="238"/>
      <c r="P3109" s="236"/>
    </row>
    <row r="3110" spans="1:16" ht="12">
      <c r="A3110" s="83" t="s">
        <v>5784</v>
      </c>
      <c r="B3110" s="257" t="s">
        <v>5785</v>
      </c>
      <c r="C3110" s="258" t="s">
        <v>165</v>
      </c>
      <c r="D3110" s="79">
        <v>46.61</v>
      </c>
      <c r="F3110" s="79">
        <v>46.61</v>
      </c>
      <c r="G3110" s="81"/>
      <c r="N3110" s="240"/>
      <c r="O3110" s="241"/>
      <c r="P3110" s="213"/>
    </row>
    <row r="3111" spans="1:16" ht="12">
      <c r="A3111" s="83" t="s">
        <v>29884</v>
      </c>
      <c r="B3111" s="257" t="s">
        <v>29885</v>
      </c>
      <c r="C3111" s="258" t="s">
        <v>165</v>
      </c>
      <c r="D3111" s="79">
        <v>6.72</v>
      </c>
      <c r="F3111" s="79">
        <v>6.72</v>
      </c>
      <c r="G3111" s="81"/>
      <c r="N3111" s="240"/>
      <c r="O3111" s="241"/>
      <c r="P3111" s="213"/>
    </row>
    <row r="3112" spans="1:16" ht="12">
      <c r="A3112" s="83" t="s">
        <v>5786</v>
      </c>
      <c r="B3112" s="257" t="s">
        <v>5787</v>
      </c>
      <c r="C3112" s="258" t="s">
        <v>396</v>
      </c>
      <c r="D3112" s="79">
        <v>0.82</v>
      </c>
      <c r="F3112" s="79">
        <v>0.82</v>
      </c>
      <c r="G3112" s="81"/>
      <c r="N3112" s="240"/>
      <c r="O3112" s="241"/>
      <c r="P3112" s="213"/>
    </row>
    <row r="3113" spans="1:16" s="242" customFormat="1" ht="12">
      <c r="A3113" s="83" t="s">
        <v>5788</v>
      </c>
      <c r="B3113" s="257" t="s">
        <v>5789</v>
      </c>
      <c r="C3113" s="258" t="s">
        <v>396</v>
      </c>
      <c r="D3113" s="79">
        <v>1.29</v>
      </c>
      <c r="E3113" s="61"/>
      <c r="F3113" s="79">
        <v>1.29</v>
      </c>
      <c r="G3113" s="81"/>
      <c r="H3113" s="236"/>
      <c r="I3113" s="236"/>
      <c r="J3113" s="236"/>
      <c r="K3113" s="236"/>
      <c r="L3113" s="236"/>
      <c r="M3113" s="236"/>
      <c r="N3113" s="240"/>
      <c r="O3113" s="241"/>
      <c r="P3113" s="213"/>
    </row>
    <row r="3114" spans="1:16" s="242" customFormat="1" ht="12">
      <c r="A3114" s="83" t="s">
        <v>29886</v>
      </c>
      <c r="B3114" s="257" t="s">
        <v>29887</v>
      </c>
      <c r="C3114" s="258" t="s">
        <v>165</v>
      </c>
      <c r="D3114" s="79">
        <v>42.9</v>
      </c>
      <c r="E3114" s="61"/>
      <c r="F3114" s="79">
        <v>42.9</v>
      </c>
      <c r="G3114" s="81"/>
      <c r="H3114" s="236"/>
      <c r="I3114" s="236"/>
      <c r="J3114" s="236"/>
      <c r="K3114" s="236"/>
      <c r="L3114" s="236"/>
      <c r="M3114" s="236"/>
      <c r="N3114" s="240"/>
      <c r="O3114" s="241"/>
      <c r="P3114" s="213"/>
    </row>
    <row r="3115" spans="1:16" s="242" customFormat="1" ht="12">
      <c r="A3115" s="83" t="s">
        <v>5790</v>
      </c>
      <c r="B3115" s="257" t="s">
        <v>5791</v>
      </c>
      <c r="C3115" s="258" t="s">
        <v>153</v>
      </c>
      <c r="D3115" s="79">
        <v>312.61</v>
      </c>
      <c r="E3115" s="61"/>
      <c r="F3115" s="79">
        <v>312.61</v>
      </c>
      <c r="G3115" s="81"/>
      <c r="H3115" s="236"/>
      <c r="I3115" s="236"/>
      <c r="J3115" s="236"/>
      <c r="K3115" s="236"/>
      <c r="L3115" s="236"/>
      <c r="M3115" s="236"/>
      <c r="N3115" s="240"/>
      <c r="O3115" s="241"/>
      <c r="P3115" s="213"/>
    </row>
    <row r="3116" spans="1:16" s="242" customFormat="1" ht="12">
      <c r="A3116" s="83" t="s">
        <v>5792</v>
      </c>
      <c r="B3116" s="257" t="s">
        <v>5793</v>
      </c>
      <c r="C3116" s="258" t="s">
        <v>165</v>
      </c>
      <c r="D3116" s="79">
        <v>91.11</v>
      </c>
      <c r="E3116" s="61"/>
      <c r="F3116" s="79">
        <v>91.11</v>
      </c>
      <c r="G3116" s="81"/>
      <c r="H3116" s="236"/>
      <c r="I3116" s="236"/>
      <c r="J3116" s="236"/>
      <c r="K3116" s="236"/>
      <c r="L3116" s="236"/>
      <c r="M3116" s="236"/>
      <c r="N3116" s="240"/>
      <c r="O3116" s="241"/>
      <c r="P3116" s="213"/>
    </row>
    <row r="3117" spans="1:16" s="242" customFormat="1" ht="12">
      <c r="A3117" s="83" t="s">
        <v>5794</v>
      </c>
      <c r="B3117" s="257" t="s">
        <v>5795</v>
      </c>
      <c r="C3117" s="258" t="s">
        <v>207</v>
      </c>
      <c r="D3117" s="79">
        <v>22.78</v>
      </c>
      <c r="E3117" s="61"/>
      <c r="F3117" s="79">
        <v>22.78</v>
      </c>
      <c r="G3117" s="81"/>
      <c r="H3117" s="236"/>
      <c r="I3117" s="236"/>
      <c r="J3117" s="236"/>
      <c r="K3117" s="236"/>
      <c r="L3117" s="236"/>
      <c r="M3117" s="236"/>
      <c r="N3117" s="240"/>
      <c r="O3117" s="241"/>
      <c r="P3117" s="213"/>
    </row>
    <row r="3118" spans="1:16" s="242" customFormat="1" ht="12">
      <c r="A3118" s="83" t="s">
        <v>5796</v>
      </c>
      <c r="B3118" s="257" t="s">
        <v>5797</v>
      </c>
      <c r="C3118" s="258" t="s">
        <v>153</v>
      </c>
      <c r="D3118" s="79">
        <v>63.97</v>
      </c>
      <c r="E3118" s="61"/>
      <c r="F3118" s="79">
        <v>63.97</v>
      </c>
      <c r="G3118" s="81"/>
      <c r="H3118" s="236"/>
      <c r="I3118" s="236"/>
      <c r="J3118" s="236"/>
      <c r="K3118" s="236"/>
      <c r="L3118" s="236"/>
      <c r="M3118" s="236"/>
      <c r="N3118" s="240"/>
      <c r="O3118" s="241"/>
      <c r="P3118" s="213"/>
    </row>
    <row r="3119" spans="1:16" s="242" customFormat="1" ht="12">
      <c r="A3119" s="83" t="s">
        <v>5798</v>
      </c>
      <c r="B3119" s="257" t="s">
        <v>28221</v>
      </c>
      <c r="C3119" s="258" t="s">
        <v>509</v>
      </c>
      <c r="D3119" s="79">
        <v>995.24</v>
      </c>
      <c r="E3119" s="61"/>
      <c r="F3119" s="79">
        <v>995.24</v>
      </c>
      <c r="G3119" s="81"/>
      <c r="H3119" s="236"/>
      <c r="I3119" s="236"/>
      <c r="J3119" s="236"/>
      <c r="K3119" s="236"/>
      <c r="L3119" s="236"/>
      <c r="M3119" s="236"/>
      <c r="N3119" s="240"/>
      <c r="O3119" s="241"/>
      <c r="P3119" s="213"/>
    </row>
    <row r="3120" spans="1:16" s="242" customFormat="1" ht="12">
      <c r="A3120" s="83" t="s">
        <v>5799</v>
      </c>
      <c r="B3120" s="257" t="s">
        <v>5800</v>
      </c>
      <c r="C3120" s="258" t="s">
        <v>207</v>
      </c>
      <c r="D3120" s="79">
        <v>75.650000000000006</v>
      </c>
      <c r="E3120" s="61"/>
      <c r="F3120" s="79">
        <v>75.650000000000006</v>
      </c>
      <c r="G3120" s="81"/>
      <c r="H3120" s="236"/>
      <c r="I3120" s="236"/>
      <c r="J3120" s="236"/>
      <c r="K3120" s="236"/>
      <c r="L3120" s="236"/>
      <c r="M3120" s="236"/>
      <c r="N3120" s="240"/>
      <c r="O3120" s="241"/>
      <c r="P3120" s="213"/>
    </row>
    <row r="3121" spans="1:16" s="242" customFormat="1" ht="36">
      <c r="A3121" s="83" t="s">
        <v>5801</v>
      </c>
      <c r="B3121" s="257" t="s">
        <v>29888</v>
      </c>
      <c r="C3121" s="258" t="s">
        <v>396</v>
      </c>
      <c r="D3121" s="79">
        <v>201668.27</v>
      </c>
      <c r="E3121" s="61"/>
      <c r="F3121" s="79">
        <v>201668.27</v>
      </c>
      <c r="G3121" s="81"/>
      <c r="H3121" s="236"/>
      <c r="I3121" s="236"/>
      <c r="J3121" s="236"/>
      <c r="K3121" s="236"/>
      <c r="L3121" s="236"/>
      <c r="M3121" s="236"/>
      <c r="N3121" s="240"/>
      <c r="O3121" s="241"/>
      <c r="P3121" s="213"/>
    </row>
    <row r="3122" spans="1:16" s="242" customFormat="1" ht="36">
      <c r="A3122" s="83" t="s">
        <v>5802</v>
      </c>
      <c r="B3122" s="257" t="s">
        <v>29889</v>
      </c>
      <c r="C3122" s="258" t="s">
        <v>396</v>
      </c>
      <c r="D3122" s="79">
        <v>203033.33</v>
      </c>
      <c r="E3122" s="61"/>
      <c r="F3122" s="79">
        <v>203033.33</v>
      </c>
      <c r="G3122" s="81"/>
      <c r="H3122" s="236"/>
      <c r="I3122" s="236"/>
      <c r="J3122" s="236"/>
      <c r="K3122" s="236"/>
      <c r="L3122" s="236"/>
      <c r="M3122" s="236"/>
      <c r="N3122" s="240"/>
      <c r="O3122" s="241"/>
      <c r="P3122" s="213"/>
    </row>
    <row r="3123" spans="1:16" s="242" customFormat="1" ht="36">
      <c r="A3123" s="83" t="s">
        <v>5803</v>
      </c>
      <c r="B3123" s="257" t="s">
        <v>29890</v>
      </c>
      <c r="C3123" s="258" t="s">
        <v>396</v>
      </c>
      <c r="D3123" s="79">
        <v>230553.53</v>
      </c>
      <c r="E3123" s="61"/>
      <c r="F3123" s="79">
        <v>230553.53</v>
      </c>
      <c r="G3123" s="81"/>
      <c r="H3123" s="236"/>
      <c r="I3123" s="236"/>
      <c r="J3123" s="236"/>
      <c r="K3123" s="236"/>
      <c r="L3123" s="236"/>
      <c r="M3123" s="236"/>
      <c r="N3123" s="240"/>
      <c r="O3123" s="241"/>
      <c r="P3123" s="213"/>
    </row>
    <row r="3124" spans="1:16" s="242" customFormat="1" ht="36">
      <c r="A3124" s="83" t="s">
        <v>5804</v>
      </c>
      <c r="B3124" s="257" t="s">
        <v>29891</v>
      </c>
      <c r="C3124" s="258" t="s">
        <v>396</v>
      </c>
      <c r="D3124" s="79">
        <v>244829.05</v>
      </c>
      <c r="E3124" s="61"/>
      <c r="F3124" s="79">
        <v>244829.05</v>
      </c>
      <c r="G3124" s="81"/>
      <c r="H3124" s="236"/>
      <c r="I3124" s="236"/>
      <c r="J3124" s="236"/>
      <c r="K3124" s="236"/>
      <c r="L3124" s="236"/>
      <c r="M3124" s="236"/>
      <c r="N3124" s="240"/>
      <c r="O3124" s="241"/>
      <c r="P3124" s="213"/>
    </row>
    <row r="3125" spans="1:16" s="242" customFormat="1" ht="36">
      <c r="A3125" s="83" t="s">
        <v>5805</v>
      </c>
      <c r="B3125" s="257" t="s">
        <v>29892</v>
      </c>
      <c r="C3125" s="258" t="s">
        <v>396</v>
      </c>
      <c r="D3125" s="79">
        <v>213633.33</v>
      </c>
      <c r="E3125" s="61"/>
      <c r="F3125" s="79">
        <v>213633.33</v>
      </c>
      <c r="G3125" s="81"/>
      <c r="H3125" s="236"/>
      <c r="I3125" s="236"/>
      <c r="J3125" s="236"/>
      <c r="K3125" s="236"/>
      <c r="L3125" s="236"/>
      <c r="M3125" s="236"/>
      <c r="N3125" s="240"/>
      <c r="O3125" s="241"/>
      <c r="P3125" s="213"/>
    </row>
    <row r="3126" spans="1:16" s="242" customFormat="1" ht="12">
      <c r="A3126" s="83" t="s">
        <v>5806</v>
      </c>
      <c r="B3126" s="257" t="s">
        <v>5807</v>
      </c>
      <c r="C3126" s="258" t="s">
        <v>509</v>
      </c>
      <c r="D3126" s="79">
        <v>1716.39</v>
      </c>
      <c r="E3126" s="61"/>
      <c r="F3126" s="79">
        <v>1716.39</v>
      </c>
      <c r="G3126" s="81"/>
      <c r="H3126" s="236"/>
      <c r="I3126" s="236"/>
      <c r="J3126" s="236"/>
      <c r="K3126" s="236"/>
      <c r="L3126" s="236"/>
      <c r="M3126" s="236"/>
      <c r="N3126" s="240"/>
      <c r="O3126" s="241"/>
      <c r="P3126" s="213"/>
    </row>
    <row r="3127" spans="1:16" s="242" customFormat="1" ht="12">
      <c r="A3127" s="83" t="s">
        <v>5808</v>
      </c>
      <c r="B3127" s="257" t="s">
        <v>5809</v>
      </c>
      <c r="C3127" s="258" t="s">
        <v>509</v>
      </c>
      <c r="D3127" s="79">
        <v>26.91</v>
      </c>
      <c r="E3127" s="61"/>
      <c r="F3127" s="79">
        <v>26.91</v>
      </c>
      <c r="G3127" s="81"/>
      <c r="H3127" s="236"/>
      <c r="I3127" s="236"/>
      <c r="J3127" s="236"/>
      <c r="K3127" s="236"/>
      <c r="L3127" s="236"/>
      <c r="M3127" s="236"/>
      <c r="N3127" s="240"/>
      <c r="O3127" s="241"/>
      <c r="P3127" s="213"/>
    </row>
    <row r="3128" spans="1:16" s="242" customFormat="1" ht="12">
      <c r="A3128" s="83" t="s">
        <v>5810</v>
      </c>
      <c r="B3128" s="257" t="s">
        <v>5811</v>
      </c>
      <c r="C3128" s="258" t="s">
        <v>103</v>
      </c>
      <c r="D3128" s="79">
        <v>37.06</v>
      </c>
      <c r="E3128" s="61"/>
      <c r="F3128" s="79">
        <v>37.06</v>
      </c>
      <c r="G3128" s="81"/>
      <c r="H3128" s="236"/>
      <c r="I3128" s="236"/>
      <c r="J3128" s="236"/>
      <c r="K3128" s="236"/>
      <c r="L3128" s="236"/>
      <c r="M3128" s="236"/>
      <c r="N3128" s="240"/>
      <c r="O3128" s="241"/>
      <c r="P3128" s="213"/>
    </row>
    <row r="3129" spans="1:16" s="242" customFormat="1" ht="12">
      <c r="A3129" s="83" t="s">
        <v>5812</v>
      </c>
      <c r="B3129" s="257" t="s">
        <v>5813</v>
      </c>
      <c r="C3129" s="258" t="s">
        <v>103</v>
      </c>
      <c r="D3129" s="79">
        <v>48.76</v>
      </c>
      <c r="E3129" s="61"/>
      <c r="F3129" s="79">
        <v>48.76</v>
      </c>
      <c r="G3129" s="81"/>
      <c r="H3129" s="236"/>
      <c r="I3129" s="236"/>
      <c r="J3129" s="236"/>
      <c r="K3129" s="236"/>
      <c r="L3129" s="236"/>
      <c r="M3129" s="236"/>
      <c r="N3129" s="240"/>
      <c r="O3129" s="241"/>
      <c r="P3129" s="213"/>
    </row>
    <row r="3130" spans="1:16" s="242" customFormat="1" ht="12">
      <c r="A3130" s="83" t="s">
        <v>5814</v>
      </c>
      <c r="B3130" s="257" t="s">
        <v>5815</v>
      </c>
      <c r="C3130" s="258" t="s">
        <v>509</v>
      </c>
      <c r="D3130" s="79">
        <v>575.53</v>
      </c>
      <c r="E3130" s="61"/>
      <c r="F3130" s="79">
        <v>575.53</v>
      </c>
      <c r="G3130" s="81"/>
      <c r="H3130" s="236"/>
      <c r="I3130" s="236"/>
      <c r="J3130" s="236"/>
      <c r="K3130" s="236"/>
      <c r="L3130" s="236"/>
      <c r="M3130" s="236"/>
      <c r="N3130" s="240"/>
      <c r="O3130" s="241"/>
      <c r="P3130" s="213"/>
    </row>
    <row r="3131" spans="1:16" s="242" customFormat="1" ht="12">
      <c r="A3131" s="83" t="s">
        <v>5816</v>
      </c>
      <c r="B3131" s="257" t="s">
        <v>5817</v>
      </c>
      <c r="C3131" s="258" t="s">
        <v>509</v>
      </c>
      <c r="D3131" s="79">
        <v>883.28</v>
      </c>
      <c r="E3131" s="61"/>
      <c r="F3131" s="79">
        <v>883.28</v>
      </c>
      <c r="G3131" s="81"/>
      <c r="H3131" s="236"/>
      <c r="I3131" s="236"/>
      <c r="J3131" s="236"/>
      <c r="K3131" s="236"/>
      <c r="L3131" s="236"/>
      <c r="M3131" s="236"/>
      <c r="N3131" s="240"/>
      <c r="O3131" s="241"/>
      <c r="P3131" s="213"/>
    </row>
    <row r="3132" spans="1:16" s="242" customFormat="1" ht="12">
      <c r="A3132" s="83" t="s">
        <v>5818</v>
      </c>
      <c r="B3132" s="257" t="s">
        <v>5819</v>
      </c>
      <c r="C3132" s="258" t="s">
        <v>509</v>
      </c>
      <c r="D3132" s="79">
        <v>77.790000000000006</v>
      </c>
      <c r="E3132" s="61"/>
      <c r="F3132" s="79">
        <v>77.790000000000006</v>
      </c>
      <c r="G3132" s="81"/>
      <c r="H3132" s="236"/>
      <c r="I3132" s="236"/>
      <c r="J3132" s="236"/>
      <c r="K3132" s="236"/>
      <c r="L3132" s="236"/>
      <c r="M3132" s="236"/>
      <c r="N3132" s="240"/>
      <c r="O3132" s="241"/>
      <c r="P3132" s="213"/>
    </row>
    <row r="3133" spans="1:16" s="242" customFormat="1" ht="12">
      <c r="A3133" s="67" t="s">
        <v>5820</v>
      </c>
      <c r="B3133" s="65" t="s">
        <v>5821</v>
      </c>
      <c r="C3133" s="71" t="s">
        <v>509</v>
      </c>
      <c r="D3133" s="79">
        <v>50.16</v>
      </c>
      <c r="E3133" s="61"/>
      <c r="F3133" s="79">
        <v>50.16</v>
      </c>
      <c r="G3133" s="81"/>
      <c r="H3133" s="236"/>
      <c r="I3133" s="236"/>
      <c r="J3133" s="236"/>
      <c r="K3133" s="236"/>
      <c r="L3133" s="236"/>
      <c r="M3133" s="236"/>
      <c r="N3133" s="133"/>
      <c r="O3133" s="241"/>
      <c r="P3133" s="213"/>
    </row>
    <row r="3134" spans="1:16" s="242" customFormat="1" ht="12">
      <c r="A3134" s="83" t="s">
        <v>5822</v>
      </c>
      <c r="B3134" s="257" t="s">
        <v>5713</v>
      </c>
      <c r="C3134" s="258" t="s">
        <v>103</v>
      </c>
      <c r="D3134" s="79">
        <v>7.85</v>
      </c>
      <c r="E3134" s="61"/>
      <c r="F3134" s="79">
        <v>7.85</v>
      </c>
      <c r="G3134" s="81"/>
      <c r="H3134" s="236"/>
      <c r="I3134" s="236"/>
      <c r="J3134" s="236"/>
      <c r="K3134" s="236"/>
      <c r="L3134" s="236"/>
      <c r="M3134" s="236"/>
      <c r="N3134" s="240"/>
      <c r="O3134" s="241"/>
      <c r="P3134" s="213"/>
    </row>
    <row r="3135" spans="1:16" s="242" customFormat="1" ht="24">
      <c r="A3135" s="67" t="s">
        <v>5823</v>
      </c>
      <c r="B3135" s="65" t="s">
        <v>28222</v>
      </c>
      <c r="C3135" s="71" t="s">
        <v>509</v>
      </c>
      <c r="D3135" s="79">
        <v>171.55</v>
      </c>
      <c r="E3135" s="61"/>
      <c r="F3135" s="79">
        <v>171.55</v>
      </c>
      <c r="G3135" s="81"/>
      <c r="H3135" s="236"/>
      <c r="I3135" s="236"/>
      <c r="J3135" s="236"/>
      <c r="K3135" s="236"/>
      <c r="L3135" s="236"/>
      <c r="M3135" s="236"/>
      <c r="N3135" s="133"/>
      <c r="O3135" s="241"/>
      <c r="P3135" s="213"/>
    </row>
    <row r="3136" spans="1:16" s="242" customFormat="1" ht="24">
      <c r="A3136" s="83" t="s">
        <v>5824</v>
      </c>
      <c r="B3136" s="257" t="s">
        <v>5825</v>
      </c>
      <c r="C3136" s="258" t="s">
        <v>103</v>
      </c>
      <c r="D3136" s="79">
        <v>148.36000000000001</v>
      </c>
      <c r="E3136" s="61"/>
      <c r="F3136" s="79">
        <v>148.36000000000001</v>
      </c>
      <c r="G3136" s="81"/>
      <c r="H3136" s="236"/>
      <c r="I3136" s="236"/>
      <c r="J3136" s="236"/>
      <c r="K3136" s="236"/>
      <c r="L3136" s="236"/>
      <c r="M3136" s="236"/>
      <c r="N3136" s="240"/>
      <c r="O3136" s="241"/>
      <c r="P3136" s="213"/>
    </row>
    <row r="3137" spans="1:16" s="242" customFormat="1" ht="12">
      <c r="A3137" s="83" t="s">
        <v>5826</v>
      </c>
      <c r="B3137" s="257" t="s">
        <v>29893</v>
      </c>
      <c r="C3137" s="258" t="s">
        <v>165</v>
      </c>
      <c r="D3137" s="79">
        <v>172.47</v>
      </c>
      <c r="E3137" s="61"/>
      <c r="F3137" s="79">
        <v>172.47</v>
      </c>
      <c r="G3137" s="81"/>
      <c r="H3137" s="236"/>
      <c r="I3137" s="236"/>
      <c r="J3137" s="236"/>
      <c r="K3137" s="236"/>
      <c r="L3137" s="236"/>
      <c r="M3137" s="236"/>
      <c r="N3137" s="240"/>
      <c r="O3137" s="241"/>
      <c r="P3137" s="213"/>
    </row>
    <row r="3138" spans="1:16" s="242" customFormat="1" ht="12">
      <c r="A3138" s="256" t="s">
        <v>5827</v>
      </c>
      <c r="B3138" s="274" t="s">
        <v>5828</v>
      </c>
      <c r="C3138" s="262" t="s">
        <v>103</v>
      </c>
      <c r="D3138" s="79">
        <v>15.66</v>
      </c>
      <c r="E3138" s="61"/>
      <c r="F3138" s="522">
        <v>15.66</v>
      </c>
      <c r="G3138" s="236"/>
      <c r="H3138" s="236"/>
      <c r="I3138" s="236"/>
      <c r="J3138" s="236"/>
      <c r="K3138" s="236"/>
      <c r="L3138" s="236"/>
      <c r="M3138" s="236"/>
      <c r="N3138" s="236"/>
      <c r="O3138" s="238"/>
      <c r="P3138" s="236"/>
    </row>
    <row r="3139" spans="1:16" s="242" customFormat="1" ht="24">
      <c r="A3139" s="256" t="s">
        <v>5829</v>
      </c>
      <c r="B3139" s="274" t="s">
        <v>5830</v>
      </c>
      <c r="C3139" s="262" t="s">
        <v>103</v>
      </c>
      <c r="D3139" s="79">
        <v>222.23</v>
      </c>
      <c r="E3139" s="61"/>
      <c r="F3139" s="522">
        <v>222.23</v>
      </c>
      <c r="G3139" s="236"/>
      <c r="H3139" s="236"/>
      <c r="I3139" s="236"/>
      <c r="J3139" s="236"/>
      <c r="K3139" s="236"/>
      <c r="L3139" s="236"/>
      <c r="M3139" s="236"/>
      <c r="N3139" s="236"/>
      <c r="O3139" s="238"/>
      <c r="P3139" s="236"/>
    </row>
    <row r="3140" spans="1:16" s="242" customFormat="1" ht="12">
      <c r="A3140" s="256" t="s">
        <v>5831</v>
      </c>
      <c r="B3140" s="274" t="s">
        <v>5832</v>
      </c>
      <c r="C3140" s="262" t="s">
        <v>525</v>
      </c>
      <c r="D3140" s="79">
        <v>1385.19</v>
      </c>
      <c r="E3140" s="61"/>
      <c r="F3140" s="522">
        <v>1385.19</v>
      </c>
      <c r="G3140" s="236"/>
      <c r="H3140" s="236"/>
      <c r="I3140" s="236"/>
      <c r="J3140" s="236"/>
      <c r="K3140" s="236"/>
      <c r="L3140" s="236"/>
      <c r="M3140" s="236"/>
      <c r="N3140" s="236"/>
      <c r="O3140" s="238"/>
      <c r="P3140" s="236"/>
    </row>
    <row r="3141" spans="1:16" s="242" customFormat="1" ht="12">
      <c r="A3141" s="83" t="s">
        <v>5833</v>
      </c>
      <c r="B3141" s="257" t="s">
        <v>5834</v>
      </c>
      <c r="C3141" s="258" t="s">
        <v>153</v>
      </c>
      <c r="D3141" s="79">
        <v>14.36</v>
      </c>
      <c r="E3141" s="61"/>
      <c r="F3141" s="79">
        <v>14.36</v>
      </c>
      <c r="G3141" s="81"/>
      <c r="H3141" s="236"/>
      <c r="I3141" s="236"/>
      <c r="J3141" s="236"/>
      <c r="K3141" s="236"/>
      <c r="L3141" s="236"/>
      <c r="M3141" s="236"/>
      <c r="N3141" s="240"/>
      <c r="O3141" s="241"/>
      <c r="P3141" s="213"/>
    </row>
    <row r="3142" spans="1:16" s="242" customFormat="1" ht="12">
      <c r="A3142" s="67" t="s">
        <v>5835</v>
      </c>
      <c r="B3142" s="65" t="s">
        <v>5836</v>
      </c>
      <c r="C3142" s="71" t="s">
        <v>103</v>
      </c>
      <c r="D3142" s="79">
        <v>6.09</v>
      </c>
      <c r="E3142" s="61"/>
      <c r="F3142" s="79">
        <v>6.09</v>
      </c>
      <c r="G3142" s="81"/>
      <c r="H3142" s="236"/>
      <c r="I3142" s="236"/>
      <c r="J3142" s="236"/>
      <c r="K3142" s="236"/>
      <c r="L3142" s="236"/>
      <c r="M3142" s="236"/>
      <c r="N3142" s="133"/>
      <c r="O3142" s="241"/>
      <c r="P3142" s="213"/>
    </row>
    <row r="3143" spans="1:16" s="242" customFormat="1" ht="12">
      <c r="A3143" s="83" t="s">
        <v>1826</v>
      </c>
      <c r="B3143" s="257" t="s">
        <v>1827</v>
      </c>
      <c r="C3143" s="258" t="s">
        <v>103</v>
      </c>
      <c r="D3143" s="79">
        <v>0.77</v>
      </c>
      <c r="E3143" s="61"/>
      <c r="F3143" s="79">
        <v>0.77</v>
      </c>
      <c r="G3143" s="81"/>
      <c r="H3143" s="236"/>
      <c r="I3143" s="236"/>
      <c r="J3143" s="236"/>
      <c r="K3143" s="236"/>
      <c r="L3143" s="236"/>
      <c r="M3143" s="236"/>
      <c r="N3143" s="240"/>
      <c r="O3143" s="241"/>
      <c r="P3143" s="213"/>
    </row>
    <row r="3144" spans="1:16" s="242" customFormat="1" ht="24">
      <c r="A3144" s="83" t="s">
        <v>5837</v>
      </c>
      <c r="B3144" s="257" t="s">
        <v>5838</v>
      </c>
      <c r="C3144" s="258" t="s">
        <v>207</v>
      </c>
      <c r="D3144" s="79">
        <v>17.559999999999999</v>
      </c>
      <c r="E3144" s="61"/>
      <c r="F3144" s="79">
        <v>17.559999999999999</v>
      </c>
      <c r="G3144" s="81"/>
      <c r="H3144" s="236"/>
      <c r="I3144" s="236"/>
      <c r="J3144" s="236"/>
      <c r="K3144" s="236"/>
      <c r="L3144" s="236"/>
      <c r="M3144" s="236"/>
      <c r="N3144" s="240"/>
      <c r="O3144" s="241"/>
      <c r="P3144" s="213"/>
    </row>
    <row r="3145" spans="1:16" s="242" customFormat="1" ht="24">
      <c r="A3145" s="83" t="s">
        <v>5839</v>
      </c>
      <c r="B3145" s="257" t="s">
        <v>5840</v>
      </c>
      <c r="C3145" s="258" t="s">
        <v>103</v>
      </c>
      <c r="D3145" s="79">
        <v>265</v>
      </c>
      <c r="E3145" s="61"/>
      <c r="F3145" s="79">
        <v>265</v>
      </c>
      <c r="G3145" s="81"/>
      <c r="H3145" s="236"/>
      <c r="I3145" s="236"/>
      <c r="J3145" s="236"/>
      <c r="K3145" s="236"/>
      <c r="L3145" s="236"/>
      <c r="M3145" s="236"/>
      <c r="N3145" s="240"/>
      <c r="O3145" s="241"/>
      <c r="P3145" s="213"/>
    </row>
    <row r="3146" spans="1:16" s="242" customFormat="1">
      <c r="A3146" s="259" t="s">
        <v>5841</v>
      </c>
      <c r="B3146" s="259" t="s">
        <v>5842</v>
      </c>
      <c r="C3146" s="260" t="s">
        <v>165</v>
      </c>
      <c r="D3146" s="79">
        <v>34.020000000000003</v>
      </c>
      <c r="E3146" s="61"/>
      <c r="F3146" s="79">
        <v>34.020000000000003</v>
      </c>
      <c r="G3146" s="236"/>
      <c r="H3146" s="236"/>
      <c r="I3146" s="236"/>
      <c r="J3146" s="236"/>
      <c r="K3146" s="236"/>
      <c r="L3146" s="236"/>
      <c r="M3146" s="236"/>
      <c r="N3146" s="236"/>
      <c r="O3146" s="238"/>
      <c r="P3146" s="236"/>
    </row>
    <row r="3147" spans="1:16" s="242" customFormat="1">
      <c r="A3147" s="259" t="s">
        <v>5843</v>
      </c>
      <c r="B3147" s="259" t="s">
        <v>5844</v>
      </c>
      <c r="C3147" s="260" t="s">
        <v>165</v>
      </c>
      <c r="D3147" s="79">
        <v>81</v>
      </c>
      <c r="E3147" s="61"/>
      <c r="F3147" s="79">
        <v>81</v>
      </c>
      <c r="G3147" s="236"/>
      <c r="H3147" s="236"/>
      <c r="I3147" s="236"/>
      <c r="J3147" s="236"/>
      <c r="K3147" s="236"/>
      <c r="L3147" s="236"/>
      <c r="M3147" s="236"/>
      <c r="N3147" s="236"/>
      <c r="O3147" s="238"/>
      <c r="P3147" s="236"/>
    </row>
    <row r="3148" spans="1:16" s="242" customFormat="1">
      <c r="A3148" s="259" t="s">
        <v>5845</v>
      </c>
      <c r="B3148" s="259" t="s">
        <v>5846</v>
      </c>
      <c r="C3148" s="260" t="s">
        <v>103</v>
      </c>
      <c r="D3148" s="79">
        <v>20.73</v>
      </c>
      <c r="E3148" s="61"/>
      <c r="F3148" s="79">
        <v>20.73</v>
      </c>
      <c r="G3148" s="236"/>
      <c r="H3148" s="236"/>
      <c r="I3148" s="236"/>
      <c r="J3148" s="236"/>
      <c r="K3148" s="236"/>
      <c r="L3148" s="236"/>
      <c r="M3148" s="236"/>
      <c r="N3148" s="236"/>
      <c r="O3148" s="238"/>
      <c r="P3148" s="236"/>
    </row>
    <row r="3149" spans="1:16" s="242" customFormat="1" ht="24">
      <c r="A3149" s="83" t="s">
        <v>5847</v>
      </c>
      <c r="B3149" s="257" t="s">
        <v>5848</v>
      </c>
      <c r="C3149" s="258" t="s">
        <v>103</v>
      </c>
      <c r="D3149" s="79">
        <v>35.04</v>
      </c>
      <c r="E3149" s="61"/>
      <c r="F3149" s="79">
        <v>35.04</v>
      </c>
      <c r="G3149" s="81"/>
      <c r="H3149" s="236"/>
      <c r="I3149" s="236"/>
      <c r="J3149" s="236"/>
      <c r="K3149" s="236"/>
      <c r="L3149" s="236"/>
      <c r="M3149" s="236"/>
      <c r="N3149" s="240"/>
      <c r="O3149" s="241"/>
      <c r="P3149" s="213"/>
    </row>
    <row r="3150" spans="1:16" s="242" customFormat="1" ht="12">
      <c r="A3150" s="63" t="s">
        <v>5849</v>
      </c>
      <c r="B3150" s="64" t="s">
        <v>5850</v>
      </c>
      <c r="C3150" s="71" t="s">
        <v>11</v>
      </c>
      <c r="D3150" s="79">
        <v>1.06</v>
      </c>
      <c r="E3150" s="61"/>
      <c r="F3150" s="79">
        <v>1.06</v>
      </c>
      <c r="G3150" s="81"/>
      <c r="H3150" s="236"/>
      <c r="I3150" s="236"/>
      <c r="J3150" s="236"/>
      <c r="K3150" s="236"/>
      <c r="L3150" s="236"/>
      <c r="M3150" s="236"/>
      <c r="N3150" s="61"/>
      <c r="O3150" s="241"/>
      <c r="P3150" s="213"/>
    </row>
    <row r="3151" spans="1:16" s="242" customFormat="1" ht="12">
      <c r="A3151" s="67" t="s">
        <v>5851</v>
      </c>
      <c r="B3151" s="65" t="s">
        <v>5852</v>
      </c>
      <c r="C3151" s="71" t="s">
        <v>165</v>
      </c>
      <c r="D3151" s="79">
        <v>0.2</v>
      </c>
      <c r="E3151" s="61"/>
      <c r="F3151" s="79">
        <v>0.2</v>
      </c>
      <c r="G3151" s="81"/>
      <c r="H3151" s="236"/>
      <c r="I3151" s="236"/>
      <c r="J3151" s="236"/>
      <c r="K3151" s="236"/>
      <c r="L3151" s="236"/>
      <c r="M3151" s="236"/>
      <c r="N3151" s="133"/>
      <c r="O3151" s="241"/>
      <c r="P3151" s="213"/>
    </row>
    <row r="3152" spans="1:16" s="242" customFormat="1" ht="12">
      <c r="A3152" s="67" t="s">
        <v>5853</v>
      </c>
      <c r="B3152" s="65" t="s">
        <v>28223</v>
      </c>
      <c r="C3152" s="71" t="s">
        <v>103</v>
      </c>
      <c r="D3152" s="79">
        <v>1.59</v>
      </c>
      <c r="E3152" s="61"/>
      <c r="F3152" s="79">
        <v>1.59</v>
      </c>
      <c r="G3152" s="81"/>
      <c r="H3152" s="236"/>
      <c r="I3152" s="236"/>
      <c r="J3152" s="236"/>
      <c r="K3152" s="236"/>
      <c r="L3152" s="236"/>
      <c r="M3152" s="236"/>
      <c r="N3152" s="133"/>
      <c r="O3152" s="241"/>
      <c r="P3152" s="213"/>
    </row>
    <row r="3153" spans="1:16" ht="12">
      <c r="A3153" s="83" t="s">
        <v>5854</v>
      </c>
      <c r="B3153" s="257" t="s">
        <v>5855</v>
      </c>
      <c r="C3153" s="258" t="s">
        <v>103</v>
      </c>
      <c r="D3153" s="79">
        <v>750.21</v>
      </c>
      <c r="F3153" s="79">
        <v>750.21</v>
      </c>
      <c r="G3153" s="81"/>
      <c r="N3153" s="240"/>
      <c r="O3153" s="241"/>
      <c r="P3153" s="213"/>
    </row>
    <row r="3154" spans="1:16" ht="12">
      <c r="A3154" s="83" t="s">
        <v>5856</v>
      </c>
      <c r="B3154" s="257" t="s">
        <v>5857</v>
      </c>
      <c r="C3154" s="258" t="s">
        <v>509</v>
      </c>
      <c r="D3154" s="79">
        <v>1096.3900000000001</v>
      </c>
      <c r="F3154" s="79">
        <v>1096.3900000000001</v>
      </c>
      <c r="G3154" s="81"/>
      <c r="N3154" s="240"/>
      <c r="O3154" s="241"/>
      <c r="P3154" s="213"/>
    </row>
    <row r="3155" spans="1:16" ht="24">
      <c r="A3155" s="83" t="s">
        <v>5858</v>
      </c>
      <c r="B3155" s="257" t="s">
        <v>5859</v>
      </c>
      <c r="C3155" s="258" t="s">
        <v>103</v>
      </c>
      <c r="D3155" s="79">
        <v>205.84</v>
      </c>
      <c r="F3155" s="79">
        <v>205.84</v>
      </c>
      <c r="G3155" s="81"/>
      <c r="N3155" s="240"/>
      <c r="O3155" s="241"/>
      <c r="P3155" s="213"/>
    </row>
    <row r="3156" spans="1:16" ht="12">
      <c r="A3156" s="96" t="s">
        <v>29895</v>
      </c>
      <c r="B3156" s="265" t="s">
        <v>29896</v>
      </c>
      <c r="C3156" s="266" t="s">
        <v>103</v>
      </c>
      <c r="D3156" s="79">
        <v>10.53</v>
      </c>
      <c r="F3156" s="519">
        <v>10.53</v>
      </c>
    </row>
    <row r="3157" spans="1:16" ht="12">
      <c r="A3157" s="96" t="s">
        <v>29897</v>
      </c>
      <c r="B3157" s="265" t="s">
        <v>29898</v>
      </c>
      <c r="C3157" s="266" t="s">
        <v>103</v>
      </c>
      <c r="D3157" s="79">
        <v>22.52</v>
      </c>
      <c r="F3157" s="519">
        <v>22.52</v>
      </c>
    </row>
    <row r="3158" spans="1:16" ht="12">
      <c r="A3158" s="83" t="s">
        <v>5860</v>
      </c>
      <c r="B3158" s="257" t="s">
        <v>5861</v>
      </c>
      <c r="C3158" s="258" t="s">
        <v>153</v>
      </c>
      <c r="D3158" s="79">
        <v>2.58</v>
      </c>
      <c r="F3158" s="79">
        <v>2.58</v>
      </c>
      <c r="G3158" s="81"/>
      <c r="N3158" s="240"/>
      <c r="O3158" s="241"/>
      <c r="P3158" s="213"/>
    </row>
    <row r="3159" spans="1:16" ht="12">
      <c r="A3159" s="83" t="s">
        <v>5862</v>
      </c>
      <c r="B3159" s="257" t="s">
        <v>5863</v>
      </c>
      <c r="C3159" s="258" t="s">
        <v>207</v>
      </c>
      <c r="D3159" s="79">
        <v>211.89</v>
      </c>
      <c r="F3159" s="79">
        <v>211.89</v>
      </c>
      <c r="G3159" s="81"/>
      <c r="N3159" s="240"/>
      <c r="O3159" s="241"/>
      <c r="P3159" s="213"/>
    </row>
    <row r="3160" spans="1:16" ht="12">
      <c r="A3160" s="256" t="s">
        <v>5864</v>
      </c>
      <c r="B3160" s="64" t="s">
        <v>5865</v>
      </c>
      <c r="C3160" s="71" t="s">
        <v>396</v>
      </c>
      <c r="D3160" s="79">
        <v>0.66</v>
      </c>
      <c r="F3160" s="79">
        <v>0.66</v>
      </c>
    </row>
    <row r="3161" spans="1:16" ht="12">
      <c r="A3161" s="63" t="s">
        <v>5866</v>
      </c>
      <c r="B3161" s="257" t="s">
        <v>5867</v>
      </c>
      <c r="C3161" s="258" t="s">
        <v>11</v>
      </c>
      <c r="D3161" s="79">
        <v>1.34</v>
      </c>
      <c r="F3161" s="79">
        <v>1.34</v>
      </c>
      <c r="G3161" s="81"/>
      <c r="N3161" s="61"/>
      <c r="O3161" s="241"/>
      <c r="P3161" s="213"/>
    </row>
    <row r="3162" spans="1:16" ht="12">
      <c r="A3162" s="83" t="s">
        <v>5868</v>
      </c>
      <c r="B3162" s="257" t="s">
        <v>5869</v>
      </c>
      <c r="C3162" s="258" t="s">
        <v>11</v>
      </c>
      <c r="D3162" s="79">
        <v>32.61</v>
      </c>
      <c r="F3162" s="79">
        <v>32.61</v>
      </c>
      <c r="G3162" s="81"/>
      <c r="N3162" s="240"/>
      <c r="O3162" s="241"/>
      <c r="P3162" s="213"/>
    </row>
    <row r="3163" spans="1:16" ht="12">
      <c r="A3163" s="83" t="s">
        <v>5870</v>
      </c>
      <c r="B3163" s="257" t="s">
        <v>5871</v>
      </c>
      <c r="C3163" s="258" t="s">
        <v>11</v>
      </c>
      <c r="D3163" s="79">
        <v>3.17</v>
      </c>
      <c r="F3163" s="79">
        <v>3.17</v>
      </c>
      <c r="G3163" s="81"/>
      <c r="N3163" s="240"/>
      <c r="O3163" s="241"/>
      <c r="P3163" s="213"/>
    </row>
    <row r="3164" spans="1:16" ht="12">
      <c r="A3164" s="83" t="s">
        <v>5872</v>
      </c>
      <c r="B3164" s="257" t="s">
        <v>5873</v>
      </c>
      <c r="C3164" s="258" t="s">
        <v>11</v>
      </c>
      <c r="D3164" s="79">
        <v>4.34</v>
      </c>
      <c r="F3164" s="79">
        <v>4.34</v>
      </c>
      <c r="G3164" s="81"/>
      <c r="N3164" s="240"/>
      <c r="O3164" s="241"/>
      <c r="P3164" s="213"/>
    </row>
    <row r="3165" spans="1:16" ht="12">
      <c r="A3165" s="83" t="s">
        <v>5874</v>
      </c>
      <c r="B3165" s="257" t="s">
        <v>5875</v>
      </c>
      <c r="C3165" s="258" t="s">
        <v>11</v>
      </c>
      <c r="D3165" s="79">
        <v>4.04</v>
      </c>
      <c r="F3165" s="79">
        <v>4.04</v>
      </c>
      <c r="G3165" s="81"/>
      <c r="N3165" s="240"/>
      <c r="O3165" s="241"/>
      <c r="P3165" s="213"/>
    </row>
    <row r="3166" spans="1:16" ht="12">
      <c r="A3166" s="83" t="s">
        <v>5876</v>
      </c>
      <c r="B3166" s="257" t="s">
        <v>5877</v>
      </c>
      <c r="C3166" s="258" t="s">
        <v>11</v>
      </c>
      <c r="D3166" s="79">
        <v>197.76</v>
      </c>
      <c r="F3166" s="79">
        <v>197.76</v>
      </c>
      <c r="G3166" s="81"/>
      <c r="N3166" s="240"/>
      <c r="O3166" s="241"/>
      <c r="P3166" s="213"/>
    </row>
    <row r="3167" spans="1:16" ht="12">
      <c r="A3167" s="83" t="s">
        <v>5878</v>
      </c>
      <c r="B3167" s="257" t="s">
        <v>5879</v>
      </c>
      <c r="C3167" s="258" t="s">
        <v>11</v>
      </c>
      <c r="D3167" s="79">
        <v>329.07</v>
      </c>
      <c r="F3167" s="79">
        <v>329.07</v>
      </c>
      <c r="G3167" s="81"/>
      <c r="N3167" s="240"/>
      <c r="O3167" s="241"/>
      <c r="P3167" s="213"/>
    </row>
    <row r="3168" spans="1:16" ht="12">
      <c r="A3168" s="83" t="s">
        <v>5880</v>
      </c>
      <c r="B3168" s="257" t="s">
        <v>5881</v>
      </c>
      <c r="C3168" s="258" t="s">
        <v>11</v>
      </c>
      <c r="D3168" s="79">
        <v>312.02</v>
      </c>
      <c r="F3168" s="79">
        <v>312.02</v>
      </c>
      <c r="G3168" s="81"/>
      <c r="N3168" s="240"/>
      <c r="O3168" s="241"/>
      <c r="P3168" s="213"/>
    </row>
    <row r="3169" spans="1:16" ht="12">
      <c r="A3169" s="83" t="s">
        <v>5882</v>
      </c>
      <c r="B3169" s="257" t="s">
        <v>5883</v>
      </c>
      <c r="C3169" s="258" t="s">
        <v>11</v>
      </c>
      <c r="D3169" s="79">
        <v>343.07</v>
      </c>
      <c r="F3169" s="79">
        <v>343.07</v>
      </c>
      <c r="G3169" s="81"/>
      <c r="N3169" s="240"/>
      <c r="O3169" s="241"/>
      <c r="P3169" s="213"/>
    </row>
    <row r="3170" spans="1:16" ht="24">
      <c r="A3170" s="261" t="s">
        <v>5884</v>
      </c>
      <c r="B3170" s="261" t="s">
        <v>5885</v>
      </c>
      <c r="C3170" s="266" t="s">
        <v>509</v>
      </c>
      <c r="D3170" s="79">
        <v>989.11</v>
      </c>
      <c r="F3170" s="518">
        <v>989.11</v>
      </c>
      <c r="N3170" s="133"/>
      <c r="O3170" s="236"/>
    </row>
    <row r="3171" spans="1:16" ht="12">
      <c r="A3171" s="261" t="s">
        <v>5886</v>
      </c>
      <c r="B3171" s="261" t="s">
        <v>5887</v>
      </c>
      <c r="C3171" s="266" t="s">
        <v>153</v>
      </c>
      <c r="D3171" s="79">
        <v>6.04</v>
      </c>
      <c r="F3171" s="518">
        <v>6.04</v>
      </c>
      <c r="N3171" s="133"/>
      <c r="O3171" s="236"/>
    </row>
    <row r="3172" spans="1:16" ht="12">
      <c r="A3172" s="83" t="s">
        <v>5888</v>
      </c>
      <c r="B3172" s="257" t="s">
        <v>5889</v>
      </c>
      <c r="C3172" s="258" t="s">
        <v>165</v>
      </c>
      <c r="D3172" s="79">
        <v>360.64</v>
      </c>
      <c r="F3172" s="79">
        <v>360.64</v>
      </c>
      <c r="G3172" s="81"/>
      <c r="N3172" s="240"/>
      <c r="O3172" s="241"/>
      <c r="P3172" s="213"/>
    </row>
    <row r="3173" spans="1:16" ht="12">
      <c r="A3173" s="96" t="s">
        <v>5890</v>
      </c>
      <c r="B3173" s="265" t="s">
        <v>5891</v>
      </c>
      <c r="C3173" s="212" t="s">
        <v>165</v>
      </c>
      <c r="D3173" s="79">
        <v>962.12</v>
      </c>
      <c r="F3173" s="517">
        <v>962.12</v>
      </c>
    </row>
    <row r="3174" spans="1:16" ht="12">
      <c r="A3174" s="256" t="s">
        <v>5892</v>
      </c>
      <c r="B3174" s="261" t="s">
        <v>5893</v>
      </c>
      <c r="C3174" s="262" t="s">
        <v>165</v>
      </c>
      <c r="D3174" s="79">
        <v>839</v>
      </c>
      <c r="F3174" s="517">
        <v>839</v>
      </c>
    </row>
    <row r="3175" spans="1:16" ht="12">
      <c r="A3175" s="96" t="s">
        <v>5894</v>
      </c>
      <c r="B3175" s="265" t="s">
        <v>5895</v>
      </c>
      <c r="C3175" s="212" t="s">
        <v>509</v>
      </c>
      <c r="D3175" s="79">
        <v>3.38</v>
      </c>
      <c r="F3175" s="517">
        <v>3.38</v>
      </c>
    </row>
    <row r="3176" spans="1:16" ht="12">
      <c r="A3176" s="83" t="s">
        <v>5896</v>
      </c>
      <c r="B3176" s="257" t="s">
        <v>5897</v>
      </c>
      <c r="C3176" s="258" t="s">
        <v>165</v>
      </c>
      <c r="D3176" s="79">
        <v>3.21</v>
      </c>
      <c r="F3176" s="79">
        <v>3.21</v>
      </c>
      <c r="G3176" s="81"/>
      <c r="N3176" s="240"/>
      <c r="O3176" s="241"/>
      <c r="P3176" s="213"/>
    </row>
    <row r="3177" spans="1:16" ht="12">
      <c r="A3177" s="83" t="s">
        <v>5898</v>
      </c>
      <c r="B3177" s="257" t="s">
        <v>5899</v>
      </c>
      <c r="C3177" s="258" t="s">
        <v>165</v>
      </c>
      <c r="D3177" s="79">
        <v>4.91</v>
      </c>
      <c r="F3177" s="79">
        <v>4.91</v>
      </c>
      <c r="G3177" s="81"/>
      <c r="N3177" s="240"/>
      <c r="O3177" s="241"/>
      <c r="P3177" s="213"/>
    </row>
    <row r="3178" spans="1:16" ht="12">
      <c r="A3178" s="83" t="s">
        <v>5900</v>
      </c>
      <c r="B3178" s="257" t="s">
        <v>5901</v>
      </c>
      <c r="C3178" s="258" t="s">
        <v>165</v>
      </c>
      <c r="D3178" s="79">
        <v>62.18</v>
      </c>
      <c r="F3178" s="79">
        <v>62.18</v>
      </c>
      <c r="G3178" s="81"/>
      <c r="N3178" s="240"/>
      <c r="O3178" s="241"/>
      <c r="P3178" s="213"/>
    </row>
    <row r="3179" spans="1:16" ht="12">
      <c r="A3179" s="83" t="s">
        <v>5902</v>
      </c>
      <c r="B3179" s="257" t="s">
        <v>5903</v>
      </c>
      <c r="C3179" s="258" t="s">
        <v>165</v>
      </c>
      <c r="D3179" s="79">
        <v>11.45</v>
      </c>
      <c r="F3179" s="79">
        <v>11.45</v>
      </c>
      <c r="G3179" s="81"/>
      <c r="N3179" s="240"/>
      <c r="O3179" s="241"/>
      <c r="P3179" s="213"/>
    </row>
    <row r="3180" spans="1:16" ht="12">
      <c r="A3180" s="83" t="s">
        <v>5904</v>
      </c>
      <c r="B3180" s="257" t="s">
        <v>5905</v>
      </c>
      <c r="C3180" s="258" t="s">
        <v>165</v>
      </c>
      <c r="D3180" s="79">
        <v>7.58</v>
      </c>
      <c r="F3180" s="79">
        <v>7.58</v>
      </c>
      <c r="G3180" s="81"/>
      <c r="N3180" s="240"/>
      <c r="O3180" s="241"/>
      <c r="P3180" s="213"/>
    </row>
    <row r="3181" spans="1:16" ht="12">
      <c r="A3181" s="275" t="s">
        <v>5906</v>
      </c>
      <c r="B3181" s="276" t="s">
        <v>5907</v>
      </c>
      <c r="C3181" s="277" t="s">
        <v>118</v>
      </c>
      <c r="D3181" s="79">
        <v>624.82000000000005</v>
      </c>
      <c r="E3181" s="242"/>
      <c r="F3181" s="519">
        <v>624.82000000000005</v>
      </c>
      <c r="G3181" s="242"/>
      <c r="H3181" s="242"/>
      <c r="I3181" s="242"/>
      <c r="J3181" s="242"/>
      <c r="K3181" s="242"/>
      <c r="L3181" s="242"/>
      <c r="M3181" s="242"/>
      <c r="N3181" s="242"/>
      <c r="O3181" s="242"/>
      <c r="P3181" s="242"/>
    </row>
    <row r="3182" spans="1:16" ht="12">
      <c r="A3182" s="275" t="s">
        <v>5908</v>
      </c>
      <c r="B3182" s="276" t="s">
        <v>5909</v>
      </c>
      <c r="C3182" s="277" t="s">
        <v>118</v>
      </c>
      <c r="D3182" s="79">
        <v>665.66</v>
      </c>
      <c r="E3182" s="242"/>
      <c r="F3182" s="519">
        <v>665.66</v>
      </c>
      <c r="G3182" s="242"/>
      <c r="H3182" s="242"/>
      <c r="I3182" s="242"/>
      <c r="J3182" s="242"/>
      <c r="K3182" s="242"/>
      <c r="L3182" s="242"/>
      <c r="M3182" s="242"/>
      <c r="N3182" s="242"/>
      <c r="O3182" s="242"/>
      <c r="P3182" s="242"/>
    </row>
    <row r="3183" spans="1:16" ht="12">
      <c r="A3183" s="83" t="s">
        <v>5910</v>
      </c>
      <c r="B3183" s="257" t="s">
        <v>5911</v>
      </c>
      <c r="C3183" s="258" t="s">
        <v>509</v>
      </c>
      <c r="D3183" s="79">
        <v>163.83000000000001</v>
      </c>
      <c r="F3183" s="79">
        <v>163.83000000000001</v>
      </c>
      <c r="G3183" s="81"/>
      <c r="N3183" s="240"/>
      <c r="O3183" s="241"/>
      <c r="P3183" s="213"/>
    </row>
    <row r="3184" spans="1:16" ht="12">
      <c r="A3184" s="256" t="s">
        <v>5912</v>
      </c>
      <c r="B3184" s="261" t="s">
        <v>5913</v>
      </c>
      <c r="C3184" s="262" t="s">
        <v>509</v>
      </c>
      <c r="D3184" s="79">
        <v>245.62</v>
      </c>
      <c r="F3184" s="79">
        <v>245.62</v>
      </c>
    </row>
    <row r="3185" spans="1:16" ht="12">
      <c r="A3185" s="83" t="s">
        <v>5914</v>
      </c>
      <c r="B3185" s="257" t="s">
        <v>5915</v>
      </c>
      <c r="C3185" s="258" t="s">
        <v>103</v>
      </c>
      <c r="D3185" s="79">
        <v>0.82</v>
      </c>
      <c r="F3185" s="79">
        <v>0.82</v>
      </c>
      <c r="G3185" s="81"/>
      <c r="N3185" s="240"/>
      <c r="O3185" s="241"/>
      <c r="P3185" s="213"/>
    </row>
    <row r="3186" spans="1:16" ht="24">
      <c r="A3186" s="256" t="s">
        <v>5916</v>
      </c>
      <c r="B3186" s="274" t="s">
        <v>5917</v>
      </c>
      <c r="C3186" s="262" t="s">
        <v>103</v>
      </c>
      <c r="D3186" s="79">
        <v>344.52</v>
      </c>
      <c r="F3186" s="522">
        <v>344.52</v>
      </c>
    </row>
    <row r="3187" spans="1:16" ht="12">
      <c r="A3187" s="83" t="s">
        <v>5918</v>
      </c>
      <c r="B3187" s="257" t="s">
        <v>5919</v>
      </c>
      <c r="C3187" s="258" t="s">
        <v>207</v>
      </c>
      <c r="D3187" s="79">
        <v>14.87</v>
      </c>
      <c r="F3187" s="79">
        <v>14.87</v>
      </c>
      <c r="G3187" s="81"/>
      <c r="N3187" s="240"/>
      <c r="O3187" s="241"/>
      <c r="P3187" s="213"/>
    </row>
    <row r="3188" spans="1:16" ht="12">
      <c r="A3188" s="256" t="s">
        <v>5920</v>
      </c>
      <c r="B3188" s="261" t="s">
        <v>5921</v>
      </c>
      <c r="C3188" s="262" t="s">
        <v>103</v>
      </c>
      <c r="D3188" s="79">
        <v>79.37</v>
      </c>
      <c r="F3188" s="79">
        <v>79.37</v>
      </c>
    </row>
    <row r="3189" spans="1:16" ht="12">
      <c r="A3189" s="83" t="s">
        <v>5922</v>
      </c>
      <c r="B3189" s="257" t="s">
        <v>5923</v>
      </c>
      <c r="C3189" s="258" t="s">
        <v>153</v>
      </c>
      <c r="D3189" s="79">
        <v>50.39</v>
      </c>
      <c r="F3189" s="79">
        <v>50.39</v>
      </c>
      <c r="G3189" s="81"/>
      <c r="N3189" s="240"/>
      <c r="O3189" s="241"/>
      <c r="P3189" s="213"/>
    </row>
    <row r="3190" spans="1:16" ht="24">
      <c r="A3190" s="83" t="s">
        <v>5924</v>
      </c>
      <c r="B3190" s="257" t="s">
        <v>5925</v>
      </c>
      <c r="C3190" s="258" t="s">
        <v>509</v>
      </c>
      <c r="D3190" s="79">
        <v>587.77</v>
      </c>
      <c r="F3190" s="79">
        <v>587.77</v>
      </c>
      <c r="G3190" s="81"/>
      <c r="N3190" s="240"/>
      <c r="O3190" s="241"/>
      <c r="P3190" s="213"/>
    </row>
    <row r="3191" spans="1:16" ht="12">
      <c r="A3191" s="83" t="s">
        <v>5926</v>
      </c>
      <c r="B3191" s="257" t="s">
        <v>5927</v>
      </c>
      <c r="C3191" s="258" t="s">
        <v>509</v>
      </c>
      <c r="D3191" s="79">
        <v>1000.08</v>
      </c>
      <c r="F3191" s="79">
        <v>1000.08</v>
      </c>
      <c r="G3191" s="81"/>
      <c r="N3191" s="240"/>
      <c r="O3191" s="241"/>
      <c r="P3191" s="213"/>
    </row>
    <row r="3192" spans="1:16" ht="12">
      <c r="A3192" s="83" t="s">
        <v>5928</v>
      </c>
      <c r="B3192" s="257" t="s">
        <v>5929</v>
      </c>
      <c r="C3192" s="258" t="s">
        <v>165</v>
      </c>
      <c r="D3192" s="79">
        <v>1.44</v>
      </c>
      <c r="F3192" s="79">
        <v>1.44</v>
      </c>
      <c r="G3192" s="81"/>
      <c r="N3192" s="240"/>
      <c r="O3192" s="241"/>
      <c r="P3192" s="213"/>
    </row>
    <row r="3193" spans="1:16" ht="12">
      <c r="A3193" s="83" t="s">
        <v>5930</v>
      </c>
      <c r="B3193" s="257" t="s">
        <v>5931</v>
      </c>
      <c r="C3193" s="258" t="s">
        <v>396</v>
      </c>
      <c r="D3193" s="79">
        <v>2690.64</v>
      </c>
      <c r="F3193" s="79">
        <v>2690.64</v>
      </c>
      <c r="G3193" s="81"/>
      <c r="N3193" s="240"/>
      <c r="O3193" s="241"/>
      <c r="P3193" s="213"/>
    </row>
    <row r="3194" spans="1:16" ht="12">
      <c r="A3194" s="83" t="s">
        <v>5932</v>
      </c>
      <c r="B3194" s="257" t="s">
        <v>5933</v>
      </c>
      <c r="C3194" s="258" t="s">
        <v>103</v>
      </c>
      <c r="D3194" s="79">
        <v>1933.69</v>
      </c>
      <c r="F3194" s="79">
        <v>1933.69</v>
      </c>
      <c r="G3194" s="81"/>
      <c r="N3194" s="240"/>
      <c r="O3194" s="241"/>
      <c r="P3194" s="213"/>
    </row>
    <row r="3195" spans="1:16" ht="12">
      <c r="A3195" s="83" t="s">
        <v>39331</v>
      </c>
      <c r="B3195" s="257" t="s">
        <v>41609</v>
      </c>
      <c r="C3195" s="258" t="s">
        <v>103</v>
      </c>
      <c r="D3195" s="79">
        <v>90.26</v>
      </c>
      <c r="F3195" s="79">
        <v>90.26</v>
      </c>
      <c r="G3195" s="81"/>
      <c r="N3195" s="240"/>
      <c r="O3195" s="241"/>
      <c r="P3195" s="213"/>
    </row>
    <row r="3196" spans="1:16" ht="12">
      <c r="A3196" s="63" t="s">
        <v>5934</v>
      </c>
      <c r="B3196" s="64" t="s">
        <v>5935</v>
      </c>
      <c r="C3196" s="71" t="s">
        <v>121</v>
      </c>
      <c r="D3196" s="79">
        <v>647.25</v>
      </c>
      <c r="F3196" s="79">
        <v>647.25</v>
      </c>
      <c r="G3196" s="81"/>
      <c r="N3196" s="61"/>
      <c r="O3196" s="241"/>
      <c r="P3196" s="213"/>
    </row>
    <row r="3197" spans="1:16" ht="12">
      <c r="A3197" s="83" t="s">
        <v>42106</v>
      </c>
      <c r="B3197" s="257" t="s">
        <v>42107</v>
      </c>
      <c r="C3197" s="258" t="s">
        <v>121</v>
      </c>
      <c r="D3197" s="79">
        <v>540.70000000000005</v>
      </c>
      <c r="F3197" s="79">
        <v>540.70000000000005</v>
      </c>
      <c r="G3197" s="81"/>
      <c r="N3197" s="240"/>
      <c r="O3197" s="241"/>
      <c r="P3197" s="213"/>
    </row>
    <row r="3198" spans="1:16" ht="24">
      <c r="A3198" s="67" t="s">
        <v>5936</v>
      </c>
      <c r="B3198" s="65" t="s">
        <v>5937</v>
      </c>
      <c r="C3198" s="71" t="s">
        <v>396</v>
      </c>
      <c r="D3198" s="79">
        <v>855.19</v>
      </c>
      <c r="F3198" s="79">
        <v>855.19</v>
      </c>
      <c r="G3198" s="81"/>
      <c r="N3198" s="133"/>
      <c r="O3198" s="241"/>
      <c r="P3198" s="213"/>
    </row>
    <row r="3199" spans="1:16" ht="12">
      <c r="A3199" s="83" t="s">
        <v>5938</v>
      </c>
      <c r="B3199" s="257" t="s">
        <v>5939</v>
      </c>
      <c r="C3199" s="258" t="s">
        <v>103</v>
      </c>
      <c r="D3199" s="79">
        <v>1129.43</v>
      </c>
      <c r="F3199" s="79">
        <v>1129.43</v>
      </c>
      <c r="G3199" s="81"/>
      <c r="N3199" s="240"/>
      <c r="O3199" s="241"/>
      <c r="P3199" s="213"/>
    </row>
    <row r="3200" spans="1:16" ht="12">
      <c r="A3200" s="83" t="s">
        <v>5940</v>
      </c>
      <c r="B3200" s="257" t="s">
        <v>5941</v>
      </c>
      <c r="C3200" s="258" t="s">
        <v>103</v>
      </c>
      <c r="D3200" s="79">
        <v>1474.3</v>
      </c>
      <c r="F3200" s="79">
        <v>1474.3</v>
      </c>
      <c r="G3200" s="81"/>
      <c r="N3200" s="240"/>
      <c r="O3200" s="241"/>
      <c r="P3200" s="213"/>
    </row>
    <row r="3201" spans="1:16" ht="12">
      <c r="A3201" s="83" t="s">
        <v>5942</v>
      </c>
      <c r="B3201" s="257" t="s">
        <v>5943</v>
      </c>
      <c r="C3201" s="258" t="s">
        <v>207</v>
      </c>
      <c r="D3201" s="79">
        <v>2.5299999999999998</v>
      </c>
      <c r="F3201" s="79">
        <v>2.5299999999999998</v>
      </c>
      <c r="G3201" s="81"/>
      <c r="N3201" s="240"/>
      <c r="O3201" s="241"/>
      <c r="P3201" s="213"/>
    </row>
    <row r="3202" spans="1:16" ht="24">
      <c r="A3202" s="83" t="s">
        <v>42108</v>
      </c>
      <c r="B3202" s="257" t="s">
        <v>42032</v>
      </c>
      <c r="C3202" s="258" t="s">
        <v>509</v>
      </c>
      <c r="D3202" s="79">
        <v>146.93</v>
      </c>
      <c r="F3202" s="79">
        <v>146.93</v>
      </c>
      <c r="G3202" s="81"/>
      <c r="N3202" s="240"/>
      <c r="O3202" s="241"/>
      <c r="P3202" s="213"/>
    </row>
    <row r="3203" spans="1:16" ht="12">
      <c r="A3203" s="83" t="s">
        <v>42109</v>
      </c>
      <c r="B3203" s="257" t="s">
        <v>42110</v>
      </c>
      <c r="C3203" s="258" t="s">
        <v>103</v>
      </c>
      <c r="D3203" s="79">
        <v>425.28</v>
      </c>
      <c r="F3203" s="79">
        <v>425.28</v>
      </c>
      <c r="G3203" s="81"/>
      <c r="N3203" s="240"/>
      <c r="O3203" s="241"/>
      <c r="P3203" s="213"/>
    </row>
    <row r="3204" spans="1:16" ht="24">
      <c r="A3204" s="275" t="s">
        <v>5944</v>
      </c>
      <c r="B3204" s="276" t="s">
        <v>5945</v>
      </c>
      <c r="C3204" s="277" t="s">
        <v>11</v>
      </c>
      <c r="D3204" s="79">
        <v>184.12</v>
      </c>
      <c r="E3204" s="242"/>
      <c r="F3204" s="519">
        <v>184.12</v>
      </c>
      <c r="G3204" s="242"/>
      <c r="H3204" s="242"/>
      <c r="I3204" s="242"/>
      <c r="J3204" s="242"/>
      <c r="K3204" s="242"/>
      <c r="L3204" s="242"/>
      <c r="M3204" s="242"/>
      <c r="N3204" s="242"/>
      <c r="O3204" s="242"/>
      <c r="P3204" s="242"/>
    </row>
    <row r="3205" spans="1:16" ht="12">
      <c r="A3205" s="83" t="s">
        <v>5946</v>
      </c>
      <c r="B3205" s="257" t="s">
        <v>5947</v>
      </c>
      <c r="C3205" s="258" t="s">
        <v>509</v>
      </c>
      <c r="D3205" s="79">
        <v>421.22</v>
      </c>
      <c r="F3205" s="79">
        <v>421.22</v>
      </c>
      <c r="G3205" s="81"/>
      <c r="N3205" s="240"/>
      <c r="O3205" s="241"/>
      <c r="P3205" s="213"/>
    </row>
    <row r="3206" spans="1:16" ht="12">
      <c r="A3206" s="83" t="s">
        <v>5948</v>
      </c>
      <c r="B3206" s="257" t="s">
        <v>5949</v>
      </c>
      <c r="C3206" s="258" t="s">
        <v>509</v>
      </c>
      <c r="D3206" s="79">
        <v>466.06</v>
      </c>
      <c r="F3206" s="79">
        <v>466.06</v>
      </c>
      <c r="G3206" s="81"/>
      <c r="N3206" s="240"/>
      <c r="O3206" s="241"/>
      <c r="P3206" s="213"/>
    </row>
    <row r="3207" spans="1:16" ht="12">
      <c r="A3207" s="83" t="s">
        <v>5950</v>
      </c>
      <c r="B3207" s="257" t="s">
        <v>5951</v>
      </c>
      <c r="C3207" s="258" t="s">
        <v>509</v>
      </c>
      <c r="D3207" s="79">
        <v>520.09</v>
      </c>
      <c r="F3207" s="79">
        <v>520.09</v>
      </c>
      <c r="G3207" s="81"/>
      <c r="N3207" s="240"/>
      <c r="O3207" s="241"/>
      <c r="P3207" s="213"/>
    </row>
    <row r="3208" spans="1:16" ht="12">
      <c r="A3208" s="96" t="s">
        <v>5952</v>
      </c>
      <c r="B3208" s="265" t="s">
        <v>5953</v>
      </c>
      <c r="C3208" s="212" t="s">
        <v>11</v>
      </c>
      <c r="D3208" s="79">
        <v>2.4300000000000002</v>
      </c>
      <c r="F3208" s="517">
        <v>2.4300000000000002</v>
      </c>
    </row>
    <row r="3209" spans="1:16" ht="12">
      <c r="A3209" s="261" t="s">
        <v>5954</v>
      </c>
      <c r="B3209" s="261" t="s">
        <v>5955</v>
      </c>
      <c r="C3209" s="266" t="s">
        <v>103</v>
      </c>
      <c r="D3209" s="79">
        <v>375.8</v>
      </c>
      <c r="F3209" s="518">
        <v>375.8</v>
      </c>
      <c r="N3209" s="133"/>
      <c r="O3209" s="236"/>
    </row>
    <row r="3210" spans="1:16" ht="12">
      <c r="A3210" s="261" t="s">
        <v>5956</v>
      </c>
      <c r="B3210" s="261" t="s">
        <v>5957</v>
      </c>
      <c r="C3210" s="266" t="s">
        <v>103</v>
      </c>
      <c r="D3210" s="79">
        <v>428</v>
      </c>
      <c r="F3210" s="518">
        <v>428</v>
      </c>
      <c r="N3210" s="133"/>
      <c r="O3210" s="236"/>
    </row>
    <row r="3211" spans="1:16" ht="12">
      <c r="A3211" s="256" t="s">
        <v>5958</v>
      </c>
      <c r="B3211" s="274" t="s">
        <v>5959</v>
      </c>
      <c r="C3211" s="262" t="s">
        <v>121</v>
      </c>
      <c r="D3211" s="79">
        <v>313.48</v>
      </c>
      <c r="F3211" s="522">
        <v>313.48</v>
      </c>
    </row>
    <row r="3212" spans="1:16" ht="12">
      <c r="A3212" s="256" t="s">
        <v>41610</v>
      </c>
      <c r="B3212" s="274" t="s">
        <v>41611</v>
      </c>
      <c r="C3212" s="262" t="s">
        <v>11435</v>
      </c>
      <c r="D3212" s="79">
        <v>2.7</v>
      </c>
      <c r="F3212" s="522">
        <v>2.7</v>
      </c>
    </row>
    <row r="3213" spans="1:16" ht="12">
      <c r="A3213" s="256" t="s">
        <v>39332</v>
      </c>
      <c r="B3213" s="274" t="s">
        <v>41612</v>
      </c>
      <c r="C3213" s="262" t="s">
        <v>11</v>
      </c>
      <c r="D3213" s="79">
        <v>1.02</v>
      </c>
      <c r="F3213" s="522">
        <v>1.02</v>
      </c>
    </row>
    <row r="3214" spans="1:16" ht="12">
      <c r="A3214" s="256" t="s">
        <v>41613</v>
      </c>
      <c r="B3214" s="274" t="s">
        <v>41614</v>
      </c>
      <c r="C3214" s="262" t="s">
        <v>11</v>
      </c>
      <c r="D3214" s="79">
        <v>219.62</v>
      </c>
      <c r="F3214" s="522">
        <v>219.62</v>
      </c>
    </row>
    <row r="3215" spans="1:16" ht="12">
      <c r="A3215" s="256" t="s">
        <v>5960</v>
      </c>
      <c r="B3215" s="261" t="s">
        <v>39328</v>
      </c>
      <c r="C3215" s="262" t="s">
        <v>11</v>
      </c>
      <c r="D3215" s="79">
        <v>40.840000000000003</v>
      </c>
      <c r="F3215" s="79">
        <v>40.840000000000003</v>
      </c>
    </row>
    <row r="3216" spans="1:16" ht="12">
      <c r="A3216" s="261" t="s">
        <v>5961</v>
      </c>
      <c r="B3216" s="261" t="s">
        <v>5962</v>
      </c>
      <c r="C3216" s="266" t="s">
        <v>103</v>
      </c>
      <c r="D3216" s="79">
        <v>18.54</v>
      </c>
      <c r="F3216" s="523">
        <v>18.54</v>
      </c>
    </row>
    <row r="3217" spans="1:16" ht="12">
      <c r="A3217" s="261" t="s">
        <v>5963</v>
      </c>
      <c r="B3217" s="261" t="s">
        <v>5964</v>
      </c>
      <c r="C3217" s="266" t="s">
        <v>103</v>
      </c>
      <c r="D3217" s="79">
        <v>23.1</v>
      </c>
      <c r="F3217" s="524">
        <v>23.1</v>
      </c>
    </row>
    <row r="3218" spans="1:16" ht="12">
      <c r="A3218" s="261" t="s">
        <v>5965</v>
      </c>
      <c r="B3218" s="261" t="s">
        <v>5966</v>
      </c>
      <c r="C3218" s="266" t="s">
        <v>103</v>
      </c>
      <c r="D3218" s="79">
        <v>22.32</v>
      </c>
      <c r="F3218" s="518">
        <v>22.32</v>
      </c>
    </row>
    <row r="3219" spans="1:16" ht="12">
      <c r="A3219" s="261" t="s">
        <v>5967</v>
      </c>
      <c r="B3219" s="261" t="s">
        <v>5968</v>
      </c>
      <c r="C3219" s="266" t="s">
        <v>103</v>
      </c>
      <c r="D3219" s="79">
        <v>25.91</v>
      </c>
      <c r="F3219" s="518">
        <v>25.91</v>
      </c>
    </row>
    <row r="3220" spans="1:16" ht="12">
      <c r="A3220" s="261" t="s">
        <v>5969</v>
      </c>
      <c r="B3220" s="261" t="s">
        <v>5970</v>
      </c>
      <c r="C3220" s="266" t="s">
        <v>103</v>
      </c>
      <c r="D3220" s="79">
        <v>61.63</v>
      </c>
      <c r="F3220" s="518">
        <v>61.63</v>
      </c>
    </row>
    <row r="3221" spans="1:16" ht="12">
      <c r="A3221" s="261" t="s">
        <v>5971</v>
      </c>
      <c r="B3221" s="261" t="s">
        <v>5972</v>
      </c>
      <c r="C3221" s="266" t="s">
        <v>103</v>
      </c>
      <c r="D3221" s="79">
        <v>63.87</v>
      </c>
      <c r="F3221" s="518">
        <v>63.87</v>
      </c>
    </row>
    <row r="3222" spans="1:16" ht="12">
      <c r="A3222" s="261" t="s">
        <v>5973</v>
      </c>
      <c r="B3222" s="261" t="s">
        <v>5974</v>
      </c>
      <c r="C3222" s="266" t="s">
        <v>103</v>
      </c>
      <c r="D3222" s="79">
        <v>32.32</v>
      </c>
      <c r="F3222" s="518">
        <v>32.32</v>
      </c>
    </row>
    <row r="3223" spans="1:16" ht="12">
      <c r="A3223" s="261" t="s">
        <v>5975</v>
      </c>
      <c r="B3223" s="261" t="s">
        <v>5976</v>
      </c>
      <c r="C3223" s="266" t="s">
        <v>103</v>
      </c>
      <c r="D3223" s="79">
        <v>30.6</v>
      </c>
      <c r="F3223" s="518">
        <v>30.6</v>
      </c>
    </row>
    <row r="3224" spans="1:16" ht="12">
      <c r="A3224" s="261" t="s">
        <v>5977</v>
      </c>
      <c r="B3224" s="261" t="s">
        <v>5978</v>
      </c>
      <c r="C3224" s="266" t="s">
        <v>103</v>
      </c>
      <c r="D3224" s="79">
        <v>37.71</v>
      </c>
      <c r="F3224" s="518">
        <v>37.71</v>
      </c>
    </row>
    <row r="3225" spans="1:16" ht="12">
      <c r="A3225" s="261" t="s">
        <v>5979</v>
      </c>
      <c r="B3225" s="261" t="s">
        <v>5980</v>
      </c>
      <c r="C3225" s="266" t="s">
        <v>103</v>
      </c>
      <c r="D3225" s="79">
        <v>37.71</v>
      </c>
      <c r="F3225" s="518">
        <v>37.71</v>
      </c>
    </row>
    <row r="3226" spans="1:16" ht="12">
      <c r="A3226" s="261" t="s">
        <v>5981</v>
      </c>
      <c r="B3226" s="261" t="s">
        <v>5982</v>
      </c>
      <c r="C3226" s="266" t="s">
        <v>103</v>
      </c>
      <c r="D3226" s="79">
        <v>53.98</v>
      </c>
      <c r="F3226" s="518">
        <v>53.98</v>
      </c>
    </row>
    <row r="3227" spans="1:16" ht="12">
      <c r="A3227" s="261" t="s">
        <v>5983</v>
      </c>
      <c r="B3227" s="261" t="s">
        <v>5984</v>
      </c>
      <c r="C3227" s="266" t="s">
        <v>103</v>
      </c>
      <c r="D3227" s="79">
        <v>52.02</v>
      </c>
      <c r="F3227" s="518">
        <v>52.02</v>
      </c>
    </row>
    <row r="3228" spans="1:16">
      <c r="A3228" s="96" t="s">
        <v>5985</v>
      </c>
      <c r="B3228" s="216" t="s">
        <v>5986</v>
      </c>
      <c r="C3228" s="212" t="s">
        <v>11</v>
      </c>
      <c r="D3228" s="79">
        <v>4.87</v>
      </c>
      <c r="F3228" s="79">
        <v>4.87</v>
      </c>
    </row>
    <row r="3229" spans="1:16" ht="12">
      <c r="A3229" s="275" t="s">
        <v>5987</v>
      </c>
      <c r="B3229" s="276" t="s">
        <v>5988</v>
      </c>
      <c r="C3229" s="277" t="s">
        <v>11</v>
      </c>
      <c r="D3229" s="79">
        <v>2.31</v>
      </c>
      <c r="E3229" s="242"/>
      <c r="F3229" s="519">
        <v>2.31</v>
      </c>
      <c r="G3229" s="242"/>
      <c r="H3229" s="242"/>
      <c r="I3229" s="242"/>
      <c r="J3229" s="242"/>
      <c r="K3229" s="242"/>
      <c r="L3229" s="242"/>
      <c r="M3229" s="242"/>
      <c r="N3229" s="242"/>
      <c r="O3229" s="242"/>
      <c r="P3229" s="242"/>
    </row>
    <row r="3230" spans="1:16">
      <c r="A3230" s="259" t="s">
        <v>5989</v>
      </c>
      <c r="B3230" s="259" t="s">
        <v>5990</v>
      </c>
      <c r="C3230" s="260" t="s">
        <v>11</v>
      </c>
      <c r="D3230" s="79">
        <v>398.74</v>
      </c>
      <c r="F3230" s="79">
        <v>398.74</v>
      </c>
    </row>
    <row r="3231" spans="1:16" ht="24">
      <c r="A3231" s="83" t="s">
        <v>5991</v>
      </c>
      <c r="B3231" s="257" t="s">
        <v>29894</v>
      </c>
      <c r="C3231" s="258" t="s">
        <v>11</v>
      </c>
      <c r="D3231" s="79">
        <v>306.60000000000002</v>
      </c>
      <c r="F3231" s="79">
        <v>306.60000000000002</v>
      </c>
      <c r="G3231" s="81"/>
      <c r="N3231" s="240"/>
      <c r="O3231" s="241"/>
      <c r="P3231" s="213"/>
    </row>
    <row r="3232" spans="1:16" ht="24">
      <c r="A3232" s="275" t="s">
        <v>5992</v>
      </c>
      <c r="B3232" s="276" t="s">
        <v>5993</v>
      </c>
      <c r="C3232" s="277" t="s">
        <v>5994</v>
      </c>
      <c r="D3232" s="79">
        <v>2.2200000000000002</v>
      </c>
      <c r="E3232" s="242"/>
      <c r="F3232" s="79">
        <v>2.2200000000000002</v>
      </c>
      <c r="G3232" s="242"/>
      <c r="H3232" s="242"/>
      <c r="I3232" s="242"/>
      <c r="J3232" s="242"/>
      <c r="K3232" s="242"/>
      <c r="L3232" s="242"/>
      <c r="M3232" s="242"/>
      <c r="N3232" s="242"/>
      <c r="O3232" s="242"/>
      <c r="P3232" s="242"/>
    </row>
    <row r="3233" spans="1:6" ht="12">
      <c r="A3233" s="710" t="s">
        <v>32822</v>
      </c>
      <c r="B3233" s="711" t="s">
        <v>5702</v>
      </c>
      <c r="C3233" s="712" t="s">
        <v>207</v>
      </c>
      <c r="D3233" s="474">
        <v>30.83</v>
      </c>
      <c r="F3233" s="713">
        <v>30.83</v>
      </c>
    </row>
  </sheetData>
  <conditionalFormatting sqref="A3223:A3226">
    <cfRule type="duplicateValues" dxfId="2022" priority="1"/>
  </conditionalFormatting>
  <conditionalFormatting sqref="A3228:A3229">
    <cfRule type="duplicateValues" dxfId="2021" priority="2"/>
  </conditionalFormatting>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E4991"/>
  <sheetViews>
    <sheetView topLeftCell="A1129" workbookViewId="0">
      <selection activeCell="A1116" sqref="A1116"/>
    </sheetView>
  </sheetViews>
  <sheetFormatPr baseColWidth="10" defaultColWidth="8.83203125" defaultRowHeight="15"/>
  <cols>
    <col min="1" max="1" width="13.83203125" customWidth="1"/>
    <col min="2" max="2" width="78.1640625" style="85" customWidth="1"/>
    <col min="3" max="3" width="21.1640625" customWidth="1"/>
    <col min="4" max="4" width="18.6640625" customWidth="1"/>
    <col min="5" max="5" width="22.33203125" customWidth="1"/>
  </cols>
  <sheetData>
    <row r="1" spans="1:5">
      <c r="A1" s="424" t="s">
        <v>40121</v>
      </c>
      <c r="B1"/>
    </row>
    <row r="2" spans="1:5">
      <c r="A2" s="425" t="s">
        <v>42111</v>
      </c>
      <c r="B2"/>
    </row>
    <row r="3" spans="1:5">
      <c r="A3" s="425" t="s">
        <v>40123</v>
      </c>
      <c r="B3" s="651" t="s">
        <v>42112</v>
      </c>
    </row>
    <row r="4" spans="1:5">
      <c r="A4" s="425" t="s">
        <v>40124</v>
      </c>
      <c r="B4" s="651" t="s">
        <v>42113</v>
      </c>
    </row>
    <row r="6" spans="1:5">
      <c r="A6" t="s">
        <v>10481</v>
      </c>
    </row>
    <row r="7" spans="1:5" ht="28">
      <c r="A7" s="714" t="s">
        <v>40835</v>
      </c>
      <c r="B7" s="714" t="s">
        <v>40836</v>
      </c>
      <c r="C7" s="714" t="s">
        <v>39480</v>
      </c>
      <c r="D7" s="714" t="s">
        <v>40837</v>
      </c>
      <c r="E7" s="714" t="s">
        <v>40838</v>
      </c>
    </row>
    <row r="8" spans="1:5" ht="29">
      <c r="A8" s="715">
        <v>45333</v>
      </c>
      <c r="B8" s="633" t="s">
        <v>34737</v>
      </c>
      <c r="C8" s="715" t="s">
        <v>103</v>
      </c>
      <c r="D8" s="715" t="s">
        <v>40839</v>
      </c>
      <c r="E8" s="716">
        <v>201.57</v>
      </c>
    </row>
    <row r="9" spans="1:5" ht="29">
      <c r="A9" s="715">
        <v>11270</v>
      </c>
      <c r="B9" s="633" t="s">
        <v>34738</v>
      </c>
      <c r="C9" s="715" t="s">
        <v>103</v>
      </c>
      <c r="D9" s="715" t="s">
        <v>40839</v>
      </c>
      <c r="E9" s="716">
        <v>2.4</v>
      </c>
    </row>
    <row r="10" spans="1:5" ht="29">
      <c r="A10" s="715">
        <v>412</v>
      </c>
      <c r="B10" s="633" t="s">
        <v>34739</v>
      </c>
      <c r="C10" s="715" t="s">
        <v>103</v>
      </c>
      <c r="D10" s="715" t="s">
        <v>40839</v>
      </c>
      <c r="E10" s="716">
        <v>1.1299999999999999</v>
      </c>
    </row>
    <row r="11" spans="1:5">
      <c r="A11" s="715">
        <v>414</v>
      </c>
      <c r="B11" s="633" t="s">
        <v>34740</v>
      </c>
      <c r="C11" s="715" t="s">
        <v>103</v>
      </c>
      <c r="D11" s="715" t="s">
        <v>40839</v>
      </c>
      <c r="E11" s="716">
        <v>7.0000000000000007E-2</v>
      </c>
    </row>
    <row r="12" spans="1:5" ht="29">
      <c r="A12" s="715">
        <v>410</v>
      </c>
      <c r="B12" s="633" t="s">
        <v>34741</v>
      </c>
      <c r="C12" s="715" t="s">
        <v>103</v>
      </c>
      <c r="D12" s="715" t="s">
        <v>40839</v>
      </c>
      <c r="E12" s="716">
        <v>0.17</v>
      </c>
    </row>
    <row r="13" spans="1:5" ht="29">
      <c r="A13" s="715">
        <v>411</v>
      </c>
      <c r="B13" s="633" t="s">
        <v>34742</v>
      </c>
      <c r="C13" s="715" t="s">
        <v>103</v>
      </c>
      <c r="D13" s="715" t="s">
        <v>28018</v>
      </c>
      <c r="E13" s="716">
        <v>0.22</v>
      </c>
    </row>
    <row r="14" spans="1:5" ht="29">
      <c r="A14" s="715">
        <v>408</v>
      </c>
      <c r="B14" s="633" t="s">
        <v>34743</v>
      </c>
      <c r="C14" s="715" t="s">
        <v>103</v>
      </c>
      <c r="D14" s="715" t="s">
        <v>40839</v>
      </c>
      <c r="E14" s="716">
        <v>1.0900000000000001</v>
      </c>
    </row>
    <row r="15" spans="1:5" ht="29">
      <c r="A15" s="715">
        <v>39131</v>
      </c>
      <c r="B15" s="633" t="s">
        <v>34744</v>
      </c>
      <c r="C15" s="715" t="s">
        <v>103</v>
      </c>
      <c r="D15" s="715" t="s">
        <v>40839</v>
      </c>
      <c r="E15" s="716">
        <v>2.96</v>
      </c>
    </row>
    <row r="16" spans="1:5" ht="29">
      <c r="A16" s="715">
        <v>394</v>
      </c>
      <c r="B16" s="633" t="s">
        <v>34745</v>
      </c>
      <c r="C16" s="715" t="s">
        <v>103</v>
      </c>
      <c r="D16" s="715" t="s">
        <v>40839</v>
      </c>
      <c r="E16" s="716">
        <v>2.99</v>
      </c>
    </row>
    <row r="17" spans="1:5" ht="29">
      <c r="A17" s="715">
        <v>39130</v>
      </c>
      <c r="B17" s="633" t="s">
        <v>34746</v>
      </c>
      <c r="C17" s="715" t="s">
        <v>103</v>
      </c>
      <c r="D17" s="715" t="s">
        <v>40839</v>
      </c>
      <c r="E17" s="716">
        <v>2.7</v>
      </c>
    </row>
    <row r="18" spans="1:5" ht="29">
      <c r="A18" s="715">
        <v>395</v>
      </c>
      <c r="B18" s="633" t="s">
        <v>34747</v>
      </c>
      <c r="C18" s="715" t="s">
        <v>103</v>
      </c>
      <c r="D18" s="715" t="s">
        <v>40839</v>
      </c>
      <c r="E18" s="716">
        <v>2.88</v>
      </c>
    </row>
    <row r="19" spans="1:5" ht="29">
      <c r="A19" s="715">
        <v>39129</v>
      </c>
      <c r="B19" s="633" t="s">
        <v>34748</v>
      </c>
      <c r="C19" s="715" t="s">
        <v>103</v>
      </c>
      <c r="D19" s="715" t="s">
        <v>40839</v>
      </c>
      <c r="E19" s="716">
        <v>1.66</v>
      </c>
    </row>
    <row r="20" spans="1:5" ht="29">
      <c r="A20" s="715">
        <v>393</v>
      </c>
      <c r="B20" s="633" t="s">
        <v>34749</v>
      </c>
      <c r="C20" s="715" t="s">
        <v>103</v>
      </c>
      <c r="D20" s="715" t="s">
        <v>28018</v>
      </c>
      <c r="E20" s="716">
        <v>1.74</v>
      </c>
    </row>
    <row r="21" spans="1:5" ht="29">
      <c r="A21" s="715">
        <v>39127</v>
      </c>
      <c r="B21" s="633" t="s">
        <v>34750</v>
      </c>
      <c r="C21" s="715" t="s">
        <v>103</v>
      </c>
      <c r="D21" s="715" t="s">
        <v>40839</v>
      </c>
      <c r="E21" s="716">
        <v>1.42</v>
      </c>
    </row>
    <row r="22" spans="1:5" ht="29">
      <c r="A22" s="715">
        <v>392</v>
      </c>
      <c r="B22" s="633" t="s">
        <v>34751</v>
      </c>
      <c r="C22" s="715" t="s">
        <v>103</v>
      </c>
      <c r="D22" s="715" t="s">
        <v>40839</v>
      </c>
      <c r="E22" s="716">
        <v>1.46</v>
      </c>
    </row>
    <row r="23" spans="1:5" ht="29">
      <c r="A23" s="715">
        <v>39133</v>
      </c>
      <c r="B23" s="633" t="s">
        <v>34752</v>
      </c>
      <c r="C23" s="715" t="s">
        <v>103</v>
      </c>
      <c r="D23" s="715" t="s">
        <v>40839</v>
      </c>
      <c r="E23" s="716">
        <v>3.88</v>
      </c>
    </row>
    <row r="24" spans="1:5" ht="29">
      <c r="A24" s="715">
        <v>397</v>
      </c>
      <c r="B24" s="633" t="s">
        <v>34753</v>
      </c>
      <c r="C24" s="715" t="s">
        <v>103</v>
      </c>
      <c r="D24" s="715" t="s">
        <v>40839</v>
      </c>
      <c r="E24" s="716">
        <v>4.29</v>
      </c>
    </row>
    <row r="25" spans="1:5" ht="29">
      <c r="A25" s="715">
        <v>39132</v>
      </c>
      <c r="B25" s="633" t="s">
        <v>34754</v>
      </c>
      <c r="C25" s="715" t="s">
        <v>103</v>
      </c>
      <c r="D25" s="715" t="s">
        <v>40839</v>
      </c>
      <c r="E25" s="716">
        <v>3.1</v>
      </c>
    </row>
    <row r="26" spans="1:5" ht="29">
      <c r="A26" s="715">
        <v>396</v>
      </c>
      <c r="B26" s="633" t="s">
        <v>34755</v>
      </c>
      <c r="C26" s="715" t="s">
        <v>103</v>
      </c>
      <c r="D26" s="715" t="s">
        <v>40839</v>
      </c>
      <c r="E26" s="716">
        <v>3.33</v>
      </c>
    </row>
    <row r="27" spans="1:5" ht="29">
      <c r="A27" s="715">
        <v>39135</v>
      </c>
      <c r="B27" s="633" t="s">
        <v>34756</v>
      </c>
      <c r="C27" s="715" t="s">
        <v>103</v>
      </c>
      <c r="D27" s="715" t="s">
        <v>40839</v>
      </c>
      <c r="E27" s="716">
        <v>6.21</v>
      </c>
    </row>
    <row r="28" spans="1:5" ht="29">
      <c r="A28" s="715">
        <v>39134</v>
      </c>
      <c r="B28" s="633" t="s">
        <v>34757</v>
      </c>
      <c r="C28" s="715" t="s">
        <v>103</v>
      </c>
      <c r="D28" s="715" t="s">
        <v>40839</v>
      </c>
      <c r="E28" s="716">
        <v>5.18</v>
      </c>
    </row>
    <row r="29" spans="1:5" ht="29">
      <c r="A29" s="715">
        <v>398</v>
      </c>
      <c r="B29" s="633" t="s">
        <v>34758</v>
      </c>
      <c r="C29" s="715" t="s">
        <v>103</v>
      </c>
      <c r="D29" s="715" t="s">
        <v>40839</v>
      </c>
      <c r="E29" s="716">
        <v>4.7699999999999996</v>
      </c>
    </row>
    <row r="30" spans="1:5" ht="29">
      <c r="A30" s="715">
        <v>39128</v>
      </c>
      <c r="B30" s="633" t="s">
        <v>34759</v>
      </c>
      <c r="C30" s="715" t="s">
        <v>103</v>
      </c>
      <c r="D30" s="715" t="s">
        <v>40839</v>
      </c>
      <c r="E30" s="716">
        <v>1.55</v>
      </c>
    </row>
    <row r="31" spans="1:5" ht="29">
      <c r="A31" s="715">
        <v>400</v>
      </c>
      <c r="B31" s="633" t="s">
        <v>34760</v>
      </c>
      <c r="C31" s="715" t="s">
        <v>103</v>
      </c>
      <c r="D31" s="715" t="s">
        <v>40839</v>
      </c>
      <c r="E31" s="716">
        <v>1.51</v>
      </c>
    </row>
    <row r="32" spans="1:5" ht="29">
      <c r="A32" s="715">
        <v>39125</v>
      </c>
      <c r="B32" s="633" t="s">
        <v>34761</v>
      </c>
      <c r="C32" s="715" t="s">
        <v>103</v>
      </c>
      <c r="D32" s="715" t="s">
        <v>40839</v>
      </c>
      <c r="E32" s="716">
        <v>1.55</v>
      </c>
    </row>
    <row r="33" spans="1:5" ht="29">
      <c r="A33" s="715">
        <v>39126</v>
      </c>
      <c r="B33" s="633" t="s">
        <v>34762</v>
      </c>
      <c r="C33" s="715" t="s">
        <v>103</v>
      </c>
      <c r="D33" s="715" t="s">
        <v>40839</v>
      </c>
      <c r="E33" s="716">
        <v>6.99</v>
      </c>
    </row>
    <row r="34" spans="1:5" ht="29">
      <c r="A34" s="715">
        <v>399</v>
      </c>
      <c r="B34" s="633" t="s">
        <v>34763</v>
      </c>
      <c r="C34" s="715" t="s">
        <v>103</v>
      </c>
      <c r="D34" s="715" t="s">
        <v>40839</v>
      </c>
      <c r="E34" s="716">
        <v>6.16</v>
      </c>
    </row>
    <row r="35" spans="1:5" ht="29">
      <c r="A35" s="715">
        <v>39158</v>
      </c>
      <c r="B35" s="633" t="s">
        <v>34764</v>
      </c>
      <c r="C35" s="715" t="s">
        <v>103</v>
      </c>
      <c r="D35" s="715" t="s">
        <v>40839</v>
      </c>
      <c r="E35" s="716">
        <v>16.54</v>
      </c>
    </row>
    <row r="36" spans="1:5" ht="29">
      <c r="A36" s="715">
        <v>39141</v>
      </c>
      <c r="B36" s="633" t="s">
        <v>34765</v>
      </c>
      <c r="C36" s="715" t="s">
        <v>103</v>
      </c>
      <c r="D36" s="715" t="s">
        <v>40839</v>
      </c>
      <c r="E36" s="716">
        <v>1.2</v>
      </c>
    </row>
    <row r="37" spans="1:5" ht="29">
      <c r="A37" s="715">
        <v>39140</v>
      </c>
      <c r="B37" s="633" t="s">
        <v>34766</v>
      </c>
      <c r="C37" s="715" t="s">
        <v>103</v>
      </c>
      <c r="D37" s="715" t="s">
        <v>40839</v>
      </c>
      <c r="E37" s="716">
        <v>1.0900000000000001</v>
      </c>
    </row>
    <row r="38" spans="1:5">
      <c r="A38" s="715">
        <v>39139</v>
      </c>
      <c r="B38" s="633" t="s">
        <v>34767</v>
      </c>
      <c r="C38" s="715" t="s">
        <v>103</v>
      </c>
      <c r="D38" s="715" t="s">
        <v>40839</v>
      </c>
      <c r="E38" s="716">
        <v>0.9</v>
      </c>
    </row>
    <row r="39" spans="1:5">
      <c r="A39" s="715">
        <v>39137</v>
      </c>
      <c r="B39" s="633" t="s">
        <v>34768</v>
      </c>
      <c r="C39" s="715" t="s">
        <v>103</v>
      </c>
      <c r="D39" s="715" t="s">
        <v>40839</v>
      </c>
      <c r="E39" s="716">
        <v>0.62</v>
      </c>
    </row>
    <row r="40" spans="1:5" ht="29">
      <c r="A40" s="715">
        <v>39143</v>
      </c>
      <c r="B40" s="633" t="s">
        <v>34769</v>
      </c>
      <c r="C40" s="715" t="s">
        <v>103</v>
      </c>
      <c r="D40" s="715" t="s">
        <v>40839</v>
      </c>
      <c r="E40" s="716">
        <v>2.48</v>
      </c>
    </row>
    <row r="41" spans="1:5">
      <c r="A41" s="715">
        <v>39142</v>
      </c>
      <c r="B41" s="633" t="s">
        <v>34770</v>
      </c>
      <c r="C41" s="715" t="s">
        <v>103</v>
      </c>
      <c r="D41" s="715" t="s">
        <v>40839</v>
      </c>
      <c r="E41" s="716">
        <v>1.77</v>
      </c>
    </row>
    <row r="42" spans="1:5">
      <c r="A42" s="715">
        <v>39144</v>
      </c>
      <c r="B42" s="633" t="s">
        <v>34771</v>
      </c>
      <c r="C42" s="715" t="s">
        <v>103</v>
      </c>
      <c r="D42" s="715" t="s">
        <v>40839</v>
      </c>
      <c r="E42" s="716">
        <v>2.88</v>
      </c>
    </row>
    <row r="43" spans="1:5">
      <c r="A43" s="715">
        <v>39138</v>
      </c>
      <c r="B43" s="633" t="s">
        <v>34772</v>
      </c>
      <c r="C43" s="715" t="s">
        <v>103</v>
      </c>
      <c r="D43" s="715" t="s">
        <v>40839</v>
      </c>
      <c r="E43" s="716">
        <v>0.66</v>
      </c>
    </row>
    <row r="44" spans="1:5">
      <c r="A44" s="715">
        <v>39136</v>
      </c>
      <c r="B44" s="633" t="s">
        <v>34773</v>
      </c>
      <c r="C44" s="715" t="s">
        <v>103</v>
      </c>
      <c r="D44" s="715" t="s">
        <v>40839</v>
      </c>
      <c r="E44" s="716">
        <v>0.44</v>
      </c>
    </row>
    <row r="45" spans="1:5">
      <c r="A45" s="715">
        <v>39145</v>
      </c>
      <c r="B45" s="633" t="s">
        <v>34774</v>
      </c>
      <c r="C45" s="715" t="s">
        <v>103</v>
      </c>
      <c r="D45" s="715" t="s">
        <v>40839</v>
      </c>
      <c r="E45" s="716">
        <v>4.75</v>
      </c>
    </row>
    <row r="46" spans="1:5" ht="29">
      <c r="A46" s="715">
        <v>12615</v>
      </c>
      <c r="B46" s="633" t="s">
        <v>34775</v>
      </c>
      <c r="C46" s="715" t="s">
        <v>103</v>
      </c>
      <c r="D46" s="715" t="s">
        <v>40839</v>
      </c>
      <c r="E46" s="716">
        <v>15.05</v>
      </c>
    </row>
    <row r="47" spans="1:5" ht="29">
      <c r="A47" s="715">
        <v>11927</v>
      </c>
      <c r="B47" s="633" t="s">
        <v>34776</v>
      </c>
      <c r="C47" s="715" t="s">
        <v>103</v>
      </c>
      <c r="D47" s="715" t="s">
        <v>40839</v>
      </c>
      <c r="E47" s="716">
        <v>7.16</v>
      </c>
    </row>
    <row r="48" spans="1:5" ht="29">
      <c r="A48" s="715">
        <v>11928</v>
      </c>
      <c r="B48" s="633" t="s">
        <v>34777</v>
      </c>
      <c r="C48" s="715" t="s">
        <v>103</v>
      </c>
      <c r="D48" s="715" t="s">
        <v>40839</v>
      </c>
      <c r="E48" s="716">
        <v>8.1999999999999993</v>
      </c>
    </row>
    <row r="49" spans="1:5" ht="29">
      <c r="A49" s="715">
        <v>11929</v>
      </c>
      <c r="B49" s="633" t="s">
        <v>34778</v>
      </c>
      <c r="C49" s="715" t="s">
        <v>103</v>
      </c>
      <c r="D49" s="715" t="s">
        <v>40839</v>
      </c>
      <c r="E49" s="716">
        <v>12.69</v>
      </c>
    </row>
    <row r="50" spans="1:5" ht="29">
      <c r="A50" s="715">
        <v>36801</v>
      </c>
      <c r="B50" s="633" t="s">
        <v>34779</v>
      </c>
      <c r="C50" s="715" t="s">
        <v>103</v>
      </c>
      <c r="D50" s="715" t="s">
        <v>40839</v>
      </c>
      <c r="E50" s="716">
        <v>30.9</v>
      </c>
    </row>
    <row r="51" spans="1:5" ht="29">
      <c r="A51" s="715">
        <v>36246</v>
      </c>
      <c r="B51" s="633" t="s">
        <v>34780</v>
      </c>
      <c r="C51" s="715" t="s">
        <v>165</v>
      </c>
      <c r="D51" s="715" t="s">
        <v>40839</v>
      </c>
      <c r="E51" s="716">
        <v>4.57</v>
      </c>
    </row>
    <row r="52" spans="1:5">
      <c r="A52" s="715">
        <v>37600</v>
      </c>
      <c r="B52" s="633" t="s">
        <v>34781</v>
      </c>
      <c r="C52" s="715" t="s">
        <v>103</v>
      </c>
      <c r="D52" s="715" t="s">
        <v>40839</v>
      </c>
      <c r="E52" s="716">
        <v>123.17</v>
      </c>
    </row>
    <row r="53" spans="1:5">
      <c r="A53" s="715">
        <v>37599</v>
      </c>
      <c r="B53" s="633" t="s">
        <v>34782</v>
      </c>
      <c r="C53" s="715" t="s">
        <v>103</v>
      </c>
      <c r="D53" s="715" t="s">
        <v>40839</v>
      </c>
      <c r="E53" s="716">
        <v>114.64</v>
      </c>
    </row>
    <row r="54" spans="1:5" ht="29">
      <c r="A54" s="715">
        <v>1</v>
      </c>
      <c r="B54" s="633" t="s">
        <v>34783</v>
      </c>
      <c r="C54" s="715" t="s">
        <v>207</v>
      </c>
      <c r="D54" s="715" t="s">
        <v>28018</v>
      </c>
      <c r="E54" s="716">
        <v>110</v>
      </c>
    </row>
    <row r="55" spans="1:5">
      <c r="A55" s="715">
        <v>3</v>
      </c>
      <c r="B55" s="633" t="s">
        <v>34784</v>
      </c>
      <c r="C55" s="715" t="s">
        <v>153</v>
      </c>
      <c r="D55" s="715" t="s">
        <v>40839</v>
      </c>
      <c r="E55" s="716">
        <v>19.68</v>
      </c>
    </row>
    <row r="56" spans="1:5">
      <c r="A56" s="715">
        <v>43054</v>
      </c>
      <c r="B56" s="633" t="s">
        <v>34785</v>
      </c>
      <c r="C56" s="715" t="s">
        <v>207</v>
      </c>
      <c r="D56" s="715" t="s">
        <v>40839</v>
      </c>
      <c r="E56" s="716">
        <v>6.63</v>
      </c>
    </row>
    <row r="57" spans="1:5">
      <c r="A57" s="715">
        <v>42402</v>
      </c>
      <c r="B57" s="633" t="s">
        <v>34786</v>
      </c>
      <c r="C57" s="715" t="s">
        <v>207</v>
      </c>
      <c r="D57" s="715" t="s">
        <v>40839</v>
      </c>
      <c r="E57" s="716">
        <v>6.34</v>
      </c>
    </row>
    <row r="58" spans="1:5">
      <c r="A58" s="715">
        <v>42403</v>
      </c>
      <c r="B58" s="633" t="s">
        <v>34787</v>
      </c>
      <c r="C58" s="715" t="s">
        <v>207</v>
      </c>
      <c r="D58" s="715" t="s">
        <v>40839</v>
      </c>
      <c r="E58" s="716">
        <v>8.1300000000000008</v>
      </c>
    </row>
    <row r="59" spans="1:5">
      <c r="A59" s="715">
        <v>42404</v>
      </c>
      <c r="B59" s="633" t="s">
        <v>34788</v>
      </c>
      <c r="C59" s="715" t="s">
        <v>207</v>
      </c>
      <c r="D59" s="715" t="s">
        <v>40839</v>
      </c>
      <c r="E59" s="716">
        <v>8.09</v>
      </c>
    </row>
    <row r="60" spans="1:5">
      <c r="A60" s="715">
        <v>42405</v>
      </c>
      <c r="B60" s="633" t="s">
        <v>34789</v>
      </c>
      <c r="C60" s="715" t="s">
        <v>207</v>
      </c>
      <c r="D60" s="715" t="s">
        <v>40839</v>
      </c>
      <c r="E60" s="716">
        <v>8.6199999999999992</v>
      </c>
    </row>
    <row r="61" spans="1:5">
      <c r="A61" s="715">
        <v>34341</v>
      </c>
      <c r="B61" s="633" t="s">
        <v>34790</v>
      </c>
      <c r="C61" s="715" t="s">
        <v>207</v>
      </c>
      <c r="D61" s="715" t="s">
        <v>40839</v>
      </c>
      <c r="E61" s="716">
        <v>7.48</v>
      </c>
    </row>
    <row r="62" spans="1:5">
      <c r="A62" s="715">
        <v>43053</v>
      </c>
      <c r="B62" s="633" t="s">
        <v>34791</v>
      </c>
      <c r="C62" s="715" t="s">
        <v>207</v>
      </c>
      <c r="D62" s="715" t="s">
        <v>40839</v>
      </c>
      <c r="E62" s="716">
        <v>5.93</v>
      </c>
    </row>
    <row r="63" spans="1:5">
      <c r="A63" s="715">
        <v>43058</v>
      </c>
      <c r="B63" s="633" t="s">
        <v>34792</v>
      </c>
      <c r="C63" s="715" t="s">
        <v>207</v>
      </c>
      <c r="D63" s="715" t="s">
        <v>40839</v>
      </c>
      <c r="E63" s="716">
        <v>6.14</v>
      </c>
    </row>
    <row r="64" spans="1:5">
      <c r="A64" s="715">
        <v>34</v>
      </c>
      <c r="B64" s="633" t="s">
        <v>34793</v>
      </c>
      <c r="C64" s="715" t="s">
        <v>207</v>
      </c>
      <c r="D64" s="715" t="s">
        <v>40839</v>
      </c>
      <c r="E64" s="716">
        <v>6.17</v>
      </c>
    </row>
    <row r="65" spans="1:5">
      <c r="A65" s="715">
        <v>43055</v>
      </c>
      <c r="B65" s="633" t="s">
        <v>34794</v>
      </c>
      <c r="C65" s="715" t="s">
        <v>207</v>
      </c>
      <c r="D65" s="715" t="s">
        <v>28018</v>
      </c>
      <c r="E65" s="716">
        <v>5.35</v>
      </c>
    </row>
    <row r="66" spans="1:5">
      <c r="A66" s="715">
        <v>43056</v>
      </c>
      <c r="B66" s="633" t="s">
        <v>34795</v>
      </c>
      <c r="C66" s="715" t="s">
        <v>207</v>
      </c>
      <c r="D66" s="715" t="s">
        <v>40839</v>
      </c>
      <c r="E66" s="716">
        <v>6.17</v>
      </c>
    </row>
    <row r="67" spans="1:5">
      <c r="A67" s="715">
        <v>43057</v>
      </c>
      <c r="B67" s="633" t="s">
        <v>34796</v>
      </c>
      <c r="C67" s="715" t="s">
        <v>207</v>
      </c>
      <c r="D67" s="715" t="s">
        <v>40839</v>
      </c>
      <c r="E67" s="716">
        <v>6.78</v>
      </c>
    </row>
    <row r="68" spans="1:5">
      <c r="A68" s="715">
        <v>34449</v>
      </c>
      <c r="B68" s="633" t="s">
        <v>34797</v>
      </c>
      <c r="C68" s="715" t="s">
        <v>207</v>
      </c>
      <c r="D68" s="715" t="s">
        <v>40839</v>
      </c>
      <c r="E68" s="716">
        <v>7.24</v>
      </c>
    </row>
    <row r="69" spans="1:5">
      <c r="A69" s="715">
        <v>32</v>
      </c>
      <c r="B69" s="633" t="s">
        <v>34798</v>
      </c>
      <c r="C69" s="715" t="s">
        <v>207</v>
      </c>
      <c r="D69" s="715" t="s">
        <v>40839</v>
      </c>
      <c r="E69" s="716">
        <v>6.51</v>
      </c>
    </row>
    <row r="70" spans="1:5">
      <c r="A70" s="715">
        <v>33</v>
      </c>
      <c r="B70" s="633" t="s">
        <v>34799</v>
      </c>
      <c r="C70" s="715" t="s">
        <v>207</v>
      </c>
      <c r="D70" s="715" t="s">
        <v>40839</v>
      </c>
      <c r="E70" s="716">
        <v>6.55</v>
      </c>
    </row>
    <row r="71" spans="1:5">
      <c r="A71" s="715">
        <v>43061</v>
      </c>
      <c r="B71" s="633" t="s">
        <v>34800</v>
      </c>
      <c r="C71" s="715" t="s">
        <v>207</v>
      </c>
      <c r="D71" s="715" t="s">
        <v>40839</v>
      </c>
      <c r="E71" s="716">
        <v>6.12</v>
      </c>
    </row>
    <row r="72" spans="1:5">
      <c r="A72" s="715">
        <v>43059</v>
      </c>
      <c r="B72" s="633" t="s">
        <v>34801</v>
      </c>
      <c r="C72" s="715" t="s">
        <v>207</v>
      </c>
      <c r="D72" s="715" t="s">
        <v>40839</v>
      </c>
      <c r="E72" s="716">
        <v>5.84</v>
      </c>
    </row>
    <row r="73" spans="1:5">
      <c r="A73" s="715">
        <v>43062</v>
      </c>
      <c r="B73" s="633" t="s">
        <v>34802</v>
      </c>
      <c r="C73" s="715" t="s">
        <v>207</v>
      </c>
      <c r="D73" s="715" t="s">
        <v>40839</v>
      </c>
      <c r="E73" s="716">
        <v>6.48</v>
      </c>
    </row>
    <row r="74" spans="1:5">
      <c r="A74" s="715">
        <v>43060</v>
      </c>
      <c r="B74" s="633" t="s">
        <v>34803</v>
      </c>
      <c r="C74" s="715" t="s">
        <v>207</v>
      </c>
      <c r="D74" s="715" t="s">
        <v>40839</v>
      </c>
      <c r="E74" s="716">
        <v>5.09</v>
      </c>
    </row>
    <row r="75" spans="1:5" ht="29">
      <c r="A75" s="715">
        <v>40410</v>
      </c>
      <c r="B75" s="633" t="s">
        <v>34804</v>
      </c>
      <c r="C75" s="715" t="s">
        <v>103</v>
      </c>
      <c r="D75" s="715" t="s">
        <v>28018</v>
      </c>
      <c r="E75" s="716">
        <v>20.7</v>
      </c>
    </row>
    <row r="76" spans="1:5" ht="29">
      <c r="A76" s="715">
        <v>40411</v>
      </c>
      <c r="B76" s="633" t="s">
        <v>34805</v>
      </c>
      <c r="C76" s="715" t="s">
        <v>103</v>
      </c>
      <c r="D76" s="715" t="s">
        <v>40839</v>
      </c>
      <c r="E76" s="716">
        <v>22.46</v>
      </c>
    </row>
    <row r="77" spans="1:5" ht="29">
      <c r="A77" s="715">
        <v>40412</v>
      </c>
      <c r="B77" s="633" t="s">
        <v>34806</v>
      </c>
      <c r="C77" s="715" t="s">
        <v>103</v>
      </c>
      <c r="D77" s="715" t="s">
        <v>40839</v>
      </c>
      <c r="E77" s="716">
        <v>25.21</v>
      </c>
    </row>
    <row r="78" spans="1:5" ht="29">
      <c r="A78" s="715">
        <v>44254</v>
      </c>
      <c r="B78" s="633" t="s">
        <v>34807</v>
      </c>
      <c r="C78" s="715" t="s">
        <v>103</v>
      </c>
      <c r="D78" s="715" t="s">
        <v>40839</v>
      </c>
      <c r="E78" s="716">
        <v>29.89</v>
      </c>
    </row>
    <row r="79" spans="1:5" ht="29">
      <c r="A79" s="715">
        <v>44255</v>
      </c>
      <c r="B79" s="633" t="s">
        <v>34808</v>
      </c>
      <c r="C79" s="715" t="s">
        <v>103</v>
      </c>
      <c r="D79" s="715" t="s">
        <v>40839</v>
      </c>
      <c r="E79" s="716">
        <v>33.130000000000003</v>
      </c>
    </row>
    <row r="80" spans="1:5" ht="29">
      <c r="A80" s="715">
        <v>44256</v>
      </c>
      <c r="B80" s="633" t="s">
        <v>34809</v>
      </c>
      <c r="C80" s="715" t="s">
        <v>103</v>
      </c>
      <c r="D80" s="715" t="s">
        <v>40839</v>
      </c>
      <c r="E80" s="716">
        <v>37.42</v>
      </c>
    </row>
    <row r="81" spans="1:5" ht="29">
      <c r="A81" s="715">
        <v>44257</v>
      </c>
      <c r="B81" s="633" t="s">
        <v>34810</v>
      </c>
      <c r="C81" s="715" t="s">
        <v>103</v>
      </c>
      <c r="D81" s="715" t="s">
        <v>40839</v>
      </c>
      <c r="E81" s="716">
        <v>59.21</v>
      </c>
    </row>
    <row r="82" spans="1:5" ht="29">
      <c r="A82" s="715">
        <v>44258</v>
      </c>
      <c r="B82" s="633" t="s">
        <v>34811</v>
      </c>
      <c r="C82" s="715" t="s">
        <v>103</v>
      </c>
      <c r="D82" s="715" t="s">
        <v>40839</v>
      </c>
      <c r="E82" s="716">
        <v>67.66</v>
      </c>
    </row>
    <row r="83" spans="1:5" ht="29">
      <c r="A83" s="715">
        <v>44259</v>
      </c>
      <c r="B83" s="633" t="s">
        <v>34812</v>
      </c>
      <c r="C83" s="715" t="s">
        <v>103</v>
      </c>
      <c r="D83" s="715" t="s">
        <v>40839</v>
      </c>
      <c r="E83" s="716">
        <v>92.87</v>
      </c>
    </row>
    <row r="84" spans="1:5">
      <c r="A84" s="715">
        <v>37997</v>
      </c>
      <c r="B84" s="633" t="s">
        <v>34813</v>
      </c>
      <c r="C84" s="715" t="s">
        <v>103</v>
      </c>
      <c r="D84" s="715" t="s">
        <v>40839</v>
      </c>
      <c r="E84" s="716">
        <v>17.809999999999999</v>
      </c>
    </row>
    <row r="85" spans="1:5">
      <c r="A85" s="715">
        <v>37998</v>
      </c>
      <c r="B85" s="633" t="s">
        <v>34814</v>
      </c>
      <c r="C85" s="715" t="s">
        <v>103</v>
      </c>
      <c r="D85" s="715" t="s">
        <v>40839</v>
      </c>
      <c r="E85" s="716">
        <v>23.84</v>
      </c>
    </row>
    <row r="86" spans="1:5" ht="29">
      <c r="A86" s="715">
        <v>55</v>
      </c>
      <c r="B86" s="633" t="s">
        <v>34815</v>
      </c>
      <c r="C86" s="715" t="s">
        <v>103</v>
      </c>
      <c r="D86" s="715" t="s">
        <v>28018</v>
      </c>
      <c r="E86" s="716">
        <v>4.8600000000000003</v>
      </c>
    </row>
    <row r="87" spans="1:5" ht="29">
      <c r="A87" s="715">
        <v>61</v>
      </c>
      <c r="B87" s="633" t="s">
        <v>34816</v>
      </c>
      <c r="C87" s="715" t="s">
        <v>103</v>
      </c>
      <c r="D87" s="715" t="s">
        <v>40839</v>
      </c>
      <c r="E87" s="716">
        <v>4.59</v>
      </c>
    </row>
    <row r="88" spans="1:5" ht="29">
      <c r="A88" s="715">
        <v>62</v>
      </c>
      <c r="B88" s="633" t="s">
        <v>34817</v>
      </c>
      <c r="C88" s="715" t="s">
        <v>103</v>
      </c>
      <c r="D88" s="715" t="s">
        <v>40839</v>
      </c>
      <c r="E88" s="716">
        <v>9.52</v>
      </c>
    </row>
    <row r="89" spans="1:5" ht="29">
      <c r="A89" s="715">
        <v>10899</v>
      </c>
      <c r="B89" s="633" t="s">
        <v>34818</v>
      </c>
      <c r="C89" s="715" t="s">
        <v>103</v>
      </c>
      <c r="D89" s="715" t="s">
        <v>40839</v>
      </c>
      <c r="E89" s="716">
        <v>152.01</v>
      </c>
    </row>
    <row r="90" spans="1:5" ht="29">
      <c r="A90" s="715">
        <v>10900</v>
      </c>
      <c r="B90" s="633" t="s">
        <v>34819</v>
      </c>
      <c r="C90" s="715" t="s">
        <v>103</v>
      </c>
      <c r="D90" s="715" t="s">
        <v>40839</v>
      </c>
      <c r="E90" s="716">
        <v>118.97</v>
      </c>
    </row>
    <row r="91" spans="1:5">
      <c r="A91" s="715">
        <v>47</v>
      </c>
      <c r="B91" s="633" t="s">
        <v>34820</v>
      </c>
      <c r="C91" s="715" t="s">
        <v>103</v>
      </c>
      <c r="D91" s="715" t="s">
        <v>40839</v>
      </c>
      <c r="E91" s="716">
        <v>97.81</v>
      </c>
    </row>
    <row r="92" spans="1:5">
      <c r="A92" s="715">
        <v>48</v>
      </c>
      <c r="B92" s="633" t="s">
        <v>34821</v>
      </c>
      <c r="C92" s="715" t="s">
        <v>103</v>
      </c>
      <c r="D92" s="715" t="s">
        <v>40839</v>
      </c>
      <c r="E92" s="716">
        <v>25.51</v>
      </c>
    </row>
    <row r="93" spans="1:5">
      <c r="A93" s="715">
        <v>46</v>
      </c>
      <c r="B93" s="633" t="s">
        <v>34822</v>
      </c>
      <c r="C93" s="715" t="s">
        <v>103</v>
      </c>
      <c r="D93" s="715" t="s">
        <v>40839</v>
      </c>
      <c r="E93" s="716">
        <v>57.2</v>
      </c>
    </row>
    <row r="94" spans="1:5">
      <c r="A94" s="715">
        <v>52</v>
      </c>
      <c r="B94" s="633" t="s">
        <v>34823</v>
      </c>
      <c r="C94" s="715" t="s">
        <v>103</v>
      </c>
      <c r="D94" s="715" t="s">
        <v>40839</v>
      </c>
      <c r="E94" s="716">
        <v>19.38</v>
      </c>
    </row>
    <row r="95" spans="1:5">
      <c r="A95" s="715">
        <v>43</v>
      </c>
      <c r="B95" s="633" t="s">
        <v>34824</v>
      </c>
      <c r="C95" s="715" t="s">
        <v>103</v>
      </c>
      <c r="D95" s="715" t="s">
        <v>40839</v>
      </c>
      <c r="E95" s="716">
        <v>65.41</v>
      </c>
    </row>
    <row r="96" spans="1:5" ht="29">
      <c r="A96" s="715">
        <v>103</v>
      </c>
      <c r="B96" s="633" t="s">
        <v>34825</v>
      </c>
      <c r="C96" s="715" t="s">
        <v>103</v>
      </c>
      <c r="D96" s="715" t="s">
        <v>40839</v>
      </c>
      <c r="E96" s="716">
        <v>50.72</v>
      </c>
    </row>
    <row r="97" spans="1:5" ht="29">
      <c r="A97" s="715">
        <v>107</v>
      </c>
      <c r="B97" s="633" t="s">
        <v>34826</v>
      </c>
      <c r="C97" s="715" t="s">
        <v>103</v>
      </c>
      <c r="D97" s="715" t="s">
        <v>40839</v>
      </c>
      <c r="E97" s="716">
        <v>0.95</v>
      </c>
    </row>
    <row r="98" spans="1:5" ht="29">
      <c r="A98" s="715">
        <v>65</v>
      </c>
      <c r="B98" s="633" t="s">
        <v>34827</v>
      </c>
      <c r="C98" s="715" t="s">
        <v>103</v>
      </c>
      <c r="D98" s="715" t="s">
        <v>40839</v>
      </c>
      <c r="E98" s="716">
        <v>1.04</v>
      </c>
    </row>
    <row r="99" spans="1:5">
      <c r="A99" s="715">
        <v>108</v>
      </c>
      <c r="B99" s="633" t="s">
        <v>34828</v>
      </c>
      <c r="C99" s="715" t="s">
        <v>103</v>
      </c>
      <c r="D99" s="715" t="s">
        <v>40839</v>
      </c>
      <c r="E99" s="716">
        <v>2.1</v>
      </c>
    </row>
    <row r="100" spans="1:5" ht="29">
      <c r="A100" s="715">
        <v>110</v>
      </c>
      <c r="B100" s="633" t="s">
        <v>34829</v>
      </c>
      <c r="C100" s="715" t="s">
        <v>103</v>
      </c>
      <c r="D100" s="715" t="s">
        <v>40839</v>
      </c>
      <c r="E100" s="716">
        <v>7.3</v>
      </c>
    </row>
    <row r="101" spans="1:5" ht="29">
      <c r="A101" s="715">
        <v>109</v>
      </c>
      <c r="B101" s="633" t="s">
        <v>34830</v>
      </c>
      <c r="C101" s="715" t="s">
        <v>103</v>
      </c>
      <c r="D101" s="715" t="s">
        <v>40839</v>
      </c>
      <c r="E101" s="716">
        <v>4.34</v>
      </c>
    </row>
    <row r="102" spans="1:5" ht="29">
      <c r="A102" s="715">
        <v>111</v>
      </c>
      <c r="B102" s="633" t="s">
        <v>34831</v>
      </c>
      <c r="C102" s="715" t="s">
        <v>103</v>
      </c>
      <c r="D102" s="715" t="s">
        <v>40839</v>
      </c>
      <c r="E102" s="716">
        <v>9.8699999999999992</v>
      </c>
    </row>
    <row r="103" spans="1:5" ht="29">
      <c r="A103" s="715">
        <v>112</v>
      </c>
      <c r="B103" s="633" t="s">
        <v>34832</v>
      </c>
      <c r="C103" s="715" t="s">
        <v>103</v>
      </c>
      <c r="D103" s="715" t="s">
        <v>40839</v>
      </c>
      <c r="E103" s="716">
        <v>5.23</v>
      </c>
    </row>
    <row r="104" spans="1:5">
      <c r="A104" s="715">
        <v>113</v>
      </c>
      <c r="B104" s="633" t="s">
        <v>34833</v>
      </c>
      <c r="C104" s="715" t="s">
        <v>103</v>
      </c>
      <c r="D104" s="715" t="s">
        <v>40839</v>
      </c>
      <c r="E104" s="716">
        <v>13.1</v>
      </c>
    </row>
    <row r="105" spans="1:5" ht="29">
      <c r="A105" s="715">
        <v>104</v>
      </c>
      <c r="B105" s="633" t="s">
        <v>34834</v>
      </c>
      <c r="C105" s="715" t="s">
        <v>103</v>
      </c>
      <c r="D105" s="715" t="s">
        <v>40839</v>
      </c>
      <c r="E105" s="716">
        <v>22.8</v>
      </c>
    </row>
    <row r="106" spans="1:5">
      <c r="A106" s="715">
        <v>102</v>
      </c>
      <c r="B106" s="633" t="s">
        <v>34835</v>
      </c>
      <c r="C106" s="715" t="s">
        <v>103</v>
      </c>
      <c r="D106" s="715" t="s">
        <v>40839</v>
      </c>
      <c r="E106" s="716">
        <v>31.43</v>
      </c>
    </row>
    <row r="107" spans="1:5" ht="29">
      <c r="A107" s="715">
        <v>95</v>
      </c>
      <c r="B107" s="633" t="s">
        <v>34836</v>
      </c>
      <c r="C107" s="715" t="s">
        <v>103</v>
      </c>
      <c r="D107" s="715" t="s">
        <v>40839</v>
      </c>
      <c r="E107" s="716">
        <v>13.28</v>
      </c>
    </row>
    <row r="108" spans="1:5" ht="29">
      <c r="A108" s="715">
        <v>96</v>
      </c>
      <c r="B108" s="633" t="s">
        <v>34837</v>
      </c>
      <c r="C108" s="715" t="s">
        <v>103</v>
      </c>
      <c r="D108" s="715" t="s">
        <v>40839</v>
      </c>
      <c r="E108" s="716">
        <v>14.45</v>
      </c>
    </row>
    <row r="109" spans="1:5" ht="29">
      <c r="A109" s="715">
        <v>97</v>
      </c>
      <c r="B109" s="633" t="s">
        <v>34838</v>
      </c>
      <c r="C109" s="715" t="s">
        <v>103</v>
      </c>
      <c r="D109" s="715" t="s">
        <v>40839</v>
      </c>
      <c r="E109" s="716">
        <v>21.74</v>
      </c>
    </row>
    <row r="110" spans="1:5" ht="29">
      <c r="A110" s="715">
        <v>98</v>
      </c>
      <c r="B110" s="633" t="s">
        <v>34839</v>
      </c>
      <c r="C110" s="715" t="s">
        <v>103</v>
      </c>
      <c r="D110" s="715" t="s">
        <v>40839</v>
      </c>
      <c r="E110" s="716">
        <v>32.54</v>
      </c>
    </row>
    <row r="111" spans="1:5" ht="29">
      <c r="A111" s="715">
        <v>99</v>
      </c>
      <c r="B111" s="633" t="s">
        <v>34840</v>
      </c>
      <c r="C111" s="715" t="s">
        <v>103</v>
      </c>
      <c r="D111" s="715" t="s">
        <v>40839</v>
      </c>
      <c r="E111" s="716">
        <v>30.75</v>
      </c>
    </row>
    <row r="112" spans="1:5" ht="29">
      <c r="A112" s="715">
        <v>60</v>
      </c>
      <c r="B112" s="633" t="s">
        <v>34841</v>
      </c>
      <c r="C112" s="715" t="s">
        <v>103</v>
      </c>
      <c r="D112" s="715" t="s">
        <v>40839</v>
      </c>
      <c r="E112" s="716">
        <v>6.3</v>
      </c>
    </row>
    <row r="113" spans="1:5" ht="29">
      <c r="A113" s="715">
        <v>72</v>
      </c>
      <c r="B113" s="633" t="s">
        <v>34842</v>
      </c>
      <c r="C113" s="715" t="s">
        <v>103</v>
      </c>
      <c r="D113" s="715" t="s">
        <v>40839</v>
      </c>
      <c r="E113" s="716">
        <v>58.98</v>
      </c>
    </row>
    <row r="114" spans="1:5" ht="29">
      <c r="A114" s="715">
        <v>71</v>
      </c>
      <c r="B114" s="633" t="s">
        <v>34843</v>
      </c>
      <c r="C114" s="715" t="s">
        <v>103</v>
      </c>
      <c r="D114" s="715" t="s">
        <v>40839</v>
      </c>
      <c r="E114" s="716">
        <v>36.42</v>
      </c>
    </row>
    <row r="115" spans="1:5" ht="29">
      <c r="A115" s="715">
        <v>67</v>
      </c>
      <c r="B115" s="633" t="s">
        <v>34844</v>
      </c>
      <c r="C115" s="715" t="s">
        <v>103</v>
      </c>
      <c r="D115" s="715" t="s">
        <v>40839</v>
      </c>
      <c r="E115" s="716">
        <v>19.07</v>
      </c>
    </row>
    <row r="116" spans="1:5" ht="29">
      <c r="A116" s="715">
        <v>73</v>
      </c>
      <c r="B116" s="633" t="s">
        <v>34845</v>
      </c>
      <c r="C116" s="715" t="s">
        <v>103</v>
      </c>
      <c r="D116" s="715" t="s">
        <v>40839</v>
      </c>
      <c r="E116" s="716">
        <v>18.25</v>
      </c>
    </row>
    <row r="117" spans="1:5" ht="29">
      <c r="A117" s="715">
        <v>100</v>
      </c>
      <c r="B117" s="633" t="s">
        <v>34846</v>
      </c>
      <c r="C117" s="715" t="s">
        <v>103</v>
      </c>
      <c r="D117" s="715" t="s">
        <v>40839</v>
      </c>
      <c r="E117" s="716">
        <v>53.73</v>
      </c>
    </row>
    <row r="118" spans="1:5">
      <c r="A118" s="715">
        <v>75</v>
      </c>
      <c r="B118" s="633" t="s">
        <v>34847</v>
      </c>
      <c r="C118" s="715" t="s">
        <v>103</v>
      </c>
      <c r="D118" s="715" t="s">
        <v>40839</v>
      </c>
      <c r="E118" s="716">
        <v>313.24</v>
      </c>
    </row>
    <row r="119" spans="1:5" ht="29">
      <c r="A119" s="715">
        <v>83</v>
      </c>
      <c r="B119" s="633" t="s">
        <v>34848</v>
      </c>
      <c r="C119" s="715" t="s">
        <v>103</v>
      </c>
      <c r="D119" s="715" t="s">
        <v>40839</v>
      </c>
      <c r="E119" s="716">
        <v>250.43</v>
      </c>
    </row>
    <row r="120" spans="1:5">
      <c r="A120" s="715">
        <v>74</v>
      </c>
      <c r="B120" s="633" t="s">
        <v>34849</v>
      </c>
      <c r="C120" s="715" t="s">
        <v>103</v>
      </c>
      <c r="D120" s="715" t="s">
        <v>40839</v>
      </c>
      <c r="E120" s="716">
        <v>358.04</v>
      </c>
    </row>
    <row r="121" spans="1:5" ht="29">
      <c r="A121" s="715">
        <v>106</v>
      </c>
      <c r="B121" s="633" t="s">
        <v>34850</v>
      </c>
      <c r="C121" s="715" t="s">
        <v>103</v>
      </c>
      <c r="D121" s="715" t="s">
        <v>40839</v>
      </c>
      <c r="E121" s="716">
        <v>452.76</v>
      </c>
    </row>
    <row r="122" spans="1:5" ht="29">
      <c r="A122" s="715">
        <v>88</v>
      </c>
      <c r="B122" s="633" t="s">
        <v>34851</v>
      </c>
      <c r="C122" s="715" t="s">
        <v>103</v>
      </c>
      <c r="D122" s="715" t="s">
        <v>40839</v>
      </c>
      <c r="E122" s="716">
        <v>12.72</v>
      </c>
    </row>
    <row r="123" spans="1:5" ht="29">
      <c r="A123" s="715">
        <v>82</v>
      </c>
      <c r="B123" s="633" t="s">
        <v>34852</v>
      </c>
      <c r="C123" s="715" t="s">
        <v>103</v>
      </c>
      <c r="D123" s="715" t="s">
        <v>40839</v>
      </c>
      <c r="E123" s="716">
        <v>238.26</v>
      </c>
    </row>
    <row r="124" spans="1:5" ht="29">
      <c r="A124" s="715">
        <v>105</v>
      </c>
      <c r="B124" s="633" t="s">
        <v>34853</v>
      </c>
      <c r="C124" s="715" t="s">
        <v>103</v>
      </c>
      <c r="D124" s="715" t="s">
        <v>40839</v>
      </c>
      <c r="E124" s="716">
        <v>337.61</v>
      </c>
    </row>
    <row r="125" spans="1:5" ht="29">
      <c r="A125" s="715">
        <v>39719</v>
      </c>
      <c r="B125" s="633" t="s">
        <v>34854</v>
      </c>
      <c r="C125" s="715" t="s">
        <v>153</v>
      </c>
      <c r="D125" s="715" t="s">
        <v>40839</v>
      </c>
      <c r="E125" s="716">
        <v>150.11000000000001</v>
      </c>
    </row>
    <row r="126" spans="1:5">
      <c r="A126" s="715">
        <v>3410</v>
      </c>
      <c r="B126" s="633" t="s">
        <v>34855</v>
      </c>
      <c r="C126" s="715" t="s">
        <v>207</v>
      </c>
      <c r="D126" s="715" t="s">
        <v>40839</v>
      </c>
      <c r="E126" s="716">
        <v>33.76</v>
      </c>
    </row>
    <row r="127" spans="1:5">
      <c r="A127" s="715">
        <v>4791</v>
      </c>
      <c r="B127" s="633" t="s">
        <v>34856</v>
      </c>
      <c r="C127" s="715" t="s">
        <v>207</v>
      </c>
      <c r="D127" s="715" t="s">
        <v>40839</v>
      </c>
      <c r="E127" s="716">
        <v>50.45</v>
      </c>
    </row>
    <row r="128" spans="1:5" ht="29">
      <c r="A128" s="715">
        <v>157</v>
      </c>
      <c r="B128" s="633" t="s">
        <v>34857</v>
      </c>
      <c r="C128" s="715" t="s">
        <v>207</v>
      </c>
      <c r="D128" s="715" t="s">
        <v>40839</v>
      </c>
      <c r="E128" s="716">
        <v>148</v>
      </c>
    </row>
    <row r="129" spans="1:5">
      <c r="A129" s="715">
        <v>156</v>
      </c>
      <c r="B129" s="633" t="s">
        <v>34858</v>
      </c>
      <c r="C129" s="715" t="s">
        <v>207</v>
      </c>
      <c r="D129" s="715" t="s">
        <v>40839</v>
      </c>
      <c r="E129" s="716">
        <v>52.69</v>
      </c>
    </row>
    <row r="130" spans="1:5" ht="29">
      <c r="A130" s="715">
        <v>131</v>
      </c>
      <c r="B130" s="633" t="s">
        <v>34859</v>
      </c>
      <c r="C130" s="715" t="s">
        <v>207</v>
      </c>
      <c r="D130" s="715" t="s">
        <v>40839</v>
      </c>
      <c r="E130" s="716">
        <v>45.06</v>
      </c>
    </row>
    <row r="131" spans="1:5">
      <c r="A131" s="715">
        <v>21114</v>
      </c>
      <c r="B131" s="633" t="s">
        <v>34860</v>
      </c>
      <c r="C131" s="715" t="s">
        <v>103</v>
      </c>
      <c r="D131" s="715" t="s">
        <v>40839</v>
      </c>
      <c r="E131" s="716">
        <v>29.59</v>
      </c>
    </row>
    <row r="132" spans="1:5">
      <c r="A132" s="715">
        <v>119</v>
      </c>
      <c r="B132" s="633" t="s">
        <v>34861</v>
      </c>
      <c r="C132" s="715" t="s">
        <v>103</v>
      </c>
      <c r="D132" s="715" t="s">
        <v>28018</v>
      </c>
      <c r="E132" s="716">
        <v>7.5</v>
      </c>
    </row>
    <row r="133" spans="1:5">
      <c r="A133" s="715">
        <v>122</v>
      </c>
      <c r="B133" s="633" t="s">
        <v>34862</v>
      </c>
      <c r="C133" s="715" t="s">
        <v>103</v>
      </c>
      <c r="D133" s="715" t="s">
        <v>40839</v>
      </c>
      <c r="E133" s="716">
        <v>57.7</v>
      </c>
    </row>
    <row r="134" spans="1:5">
      <c r="A134" s="715">
        <v>20080</v>
      </c>
      <c r="B134" s="633" t="s">
        <v>34863</v>
      </c>
      <c r="C134" s="715" t="s">
        <v>103</v>
      </c>
      <c r="D134" s="715" t="s">
        <v>40839</v>
      </c>
      <c r="E134" s="716">
        <v>18.829999999999998</v>
      </c>
    </row>
    <row r="135" spans="1:5" ht="29">
      <c r="A135" s="715">
        <v>124</v>
      </c>
      <c r="B135" s="633" t="s">
        <v>34864</v>
      </c>
      <c r="C135" s="715" t="s">
        <v>153</v>
      </c>
      <c r="D135" s="715" t="s">
        <v>40839</v>
      </c>
      <c r="E135" s="716">
        <v>17.38</v>
      </c>
    </row>
    <row r="136" spans="1:5">
      <c r="A136" s="715">
        <v>7334</v>
      </c>
      <c r="B136" s="633" t="s">
        <v>34865</v>
      </c>
      <c r="C136" s="715" t="s">
        <v>153</v>
      </c>
      <c r="D136" s="715" t="s">
        <v>40839</v>
      </c>
      <c r="E136" s="716">
        <v>14.39</v>
      </c>
    </row>
    <row r="137" spans="1:5">
      <c r="A137" s="715">
        <v>45146</v>
      </c>
      <c r="B137" s="633" t="s">
        <v>34866</v>
      </c>
      <c r="C137" s="715" t="s">
        <v>207</v>
      </c>
      <c r="D137" s="715" t="s">
        <v>40839</v>
      </c>
      <c r="E137" s="716">
        <v>33.32</v>
      </c>
    </row>
    <row r="138" spans="1:5" ht="29">
      <c r="A138" s="715">
        <v>123</v>
      </c>
      <c r="B138" s="633" t="s">
        <v>34867</v>
      </c>
      <c r="C138" s="715" t="s">
        <v>153</v>
      </c>
      <c r="D138" s="715" t="s">
        <v>28018</v>
      </c>
      <c r="E138" s="716">
        <v>7.11</v>
      </c>
    </row>
    <row r="139" spans="1:5" ht="29">
      <c r="A139" s="715">
        <v>127</v>
      </c>
      <c r="B139" s="633" t="s">
        <v>34868</v>
      </c>
      <c r="C139" s="715" t="s">
        <v>153</v>
      </c>
      <c r="D139" s="715" t="s">
        <v>40839</v>
      </c>
      <c r="E139" s="716">
        <v>16.97</v>
      </c>
    </row>
    <row r="140" spans="1:5" ht="29">
      <c r="A140" s="715">
        <v>133</v>
      </c>
      <c r="B140" s="633" t="s">
        <v>34869</v>
      </c>
      <c r="C140" s="715" t="s">
        <v>153</v>
      </c>
      <c r="D140" s="715" t="s">
        <v>40839</v>
      </c>
      <c r="E140" s="716">
        <v>7.05</v>
      </c>
    </row>
    <row r="141" spans="1:5" ht="29">
      <c r="A141" s="715">
        <v>43617</v>
      </c>
      <c r="B141" s="633" t="s">
        <v>34870</v>
      </c>
      <c r="C141" s="715" t="s">
        <v>153</v>
      </c>
      <c r="D141" s="715" t="s">
        <v>40839</v>
      </c>
      <c r="E141" s="716">
        <v>7.87</v>
      </c>
    </row>
    <row r="142" spans="1:5" ht="29">
      <c r="A142" s="715">
        <v>132</v>
      </c>
      <c r="B142" s="633" t="s">
        <v>34871</v>
      </c>
      <c r="C142" s="715" t="s">
        <v>153</v>
      </c>
      <c r="D142" s="715" t="s">
        <v>40839</v>
      </c>
      <c r="E142" s="716">
        <v>7.31</v>
      </c>
    </row>
    <row r="143" spans="1:5" ht="29">
      <c r="A143" s="715">
        <v>43618</v>
      </c>
      <c r="B143" s="633" t="s">
        <v>34872</v>
      </c>
      <c r="C143" s="715" t="s">
        <v>207</v>
      </c>
      <c r="D143" s="715" t="s">
        <v>40839</v>
      </c>
      <c r="E143" s="716">
        <v>18.399999999999999</v>
      </c>
    </row>
    <row r="144" spans="1:5" ht="43">
      <c r="A144" s="715">
        <v>37476</v>
      </c>
      <c r="B144" s="633" t="s">
        <v>34873</v>
      </c>
      <c r="C144" s="715" t="s">
        <v>103</v>
      </c>
      <c r="D144" s="715" t="s">
        <v>40839</v>
      </c>
      <c r="E144" s="716">
        <v>4475.79</v>
      </c>
    </row>
    <row r="145" spans="1:5" ht="43">
      <c r="A145" s="715">
        <v>37478</v>
      </c>
      <c r="B145" s="633" t="s">
        <v>34874</v>
      </c>
      <c r="C145" s="715" t="s">
        <v>103</v>
      </c>
      <c r="D145" s="715" t="s">
        <v>40839</v>
      </c>
      <c r="E145" s="716">
        <v>5606.05</v>
      </c>
    </row>
    <row r="146" spans="1:5" ht="43">
      <c r="A146" s="715">
        <v>37477</v>
      </c>
      <c r="B146" s="633" t="s">
        <v>34875</v>
      </c>
      <c r="C146" s="715" t="s">
        <v>103</v>
      </c>
      <c r="D146" s="715" t="s">
        <v>40839</v>
      </c>
      <c r="E146" s="716">
        <v>7595.29</v>
      </c>
    </row>
    <row r="147" spans="1:5" ht="43">
      <c r="A147" s="715">
        <v>37479</v>
      </c>
      <c r="B147" s="633" t="s">
        <v>34876</v>
      </c>
      <c r="C147" s="715" t="s">
        <v>103</v>
      </c>
      <c r="D147" s="715" t="s">
        <v>40839</v>
      </c>
      <c r="E147" s="716">
        <v>9008.1</v>
      </c>
    </row>
    <row r="148" spans="1:5">
      <c r="A148" s="715">
        <v>4319</v>
      </c>
      <c r="B148" s="633" t="s">
        <v>34877</v>
      </c>
      <c r="C148" s="715" t="s">
        <v>103</v>
      </c>
      <c r="D148" s="715" t="s">
        <v>40839</v>
      </c>
      <c r="E148" s="716">
        <v>1.67</v>
      </c>
    </row>
    <row r="149" spans="1:5" ht="29">
      <c r="A149" s="715">
        <v>42409</v>
      </c>
      <c r="B149" s="633" t="s">
        <v>34878</v>
      </c>
      <c r="C149" s="715" t="s">
        <v>207</v>
      </c>
      <c r="D149" s="715" t="s">
        <v>40839</v>
      </c>
      <c r="E149" s="716">
        <v>11.58</v>
      </c>
    </row>
    <row r="150" spans="1:5">
      <c r="A150" s="715">
        <v>40553</v>
      </c>
      <c r="B150" s="633" t="s">
        <v>34879</v>
      </c>
      <c r="C150" s="715" t="s">
        <v>121</v>
      </c>
      <c r="D150" s="715" t="s">
        <v>28018</v>
      </c>
      <c r="E150" s="716">
        <v>74</v>
      </c>
    </row>
    <row r="151" spans="1:5">
      <c r="A151" s="715">
        <v>6114</v>
      </c>
      <c r="B151" s="633" t="s">
        <v>34880</v>
      </c>
      <c r="C151" s="715" t="s">
        <v>11</v>
      </c>
      <c r="D151" s="715" t="s">
        <v>40839</v>
      </c>
      <c r="E151" s="716">
        <v>23.82</v>
      </c>
    </row>
    <row r="152" spans="1:5">
      <c r="A152" s="715">
        <v>40912</v>
      </c>
      <c r="B152" s="633" t="s">
        <v>34881</v>
      </c>
      <c r="C152" s="715" t="s">
        <v>27629</v>
      </c>
      <c r="D152" s="715" t="s">
        <v>40839</v>
      </c>
      <c r="E152" s="716">
        <v>4173.53</v>
      </c>
    </row>
    <row r="153" spans="1:5">
      <c r="A153" s="715">
        <v>247</v>
      </c>
      <c r="B153" s="633" t="s">
        <v>34882</v>
      </c>
      <c r="C153" s="715" t="s">
        <v>11</v>
      </c>
      <c r="D153" s="715" t="s">
        <v>40839</v>
      </c>
      <c r="E153" s="716">
        <v>23.82</v>
      </c>
    </row>
    <row r="154" spans="1:5">
      <c r="A154" s="715">
        <v>40919</v>
      </c>
      <c r="B154" s="633" t="s">
        <v>34883</v>
      </c>
      <c r="C154" s="715" t="s">
        <v>27629</v>
      </c>
      <c r="D154" s="715" t="s">
        <v>40839</v>
      </c>
      <c r="E154" s="716">
        <v>4173.53</v>
      </c>
    </row>
    <row r="155" spans="1:5">
      <c r="A155" s="715">
        <v>44499</v>
      </c>
      <c r="B155" s="633" t="s">
        <v>34884</v>
      </c>
      <c r="C155" s="715" t="s">
        <v>11</v>
      </c>
      <c r="D155" s="715" t="s">
        <v>40839</v>
      </c>
      <c r="E155" s="716">
        <v>23.82</v>
      </c>
    </row>
    <row r="156" spans="1:5">
      <c r="A156" s="715">
        <v>40984</v>
      </c>
      <c r="B156" s="633" t="s">
        <v>34885</v>
      </c>
      <c r="C156" s="715" t="s">
        <v>27629</v>
      </c>
      <c r="D156" s="715" t="s">
        <v>40839</v>
      </c>
      <c r="E156" s="716">
        <v>4173.53</v>
      </c>
    </row>
    <row r="157" spans="1:5">
      <c r="A157" s="715">
        <v>248</v>
      </c>
      <c r="B157" s="633" t="s">
        <v>34886</v>
      </c>
      <c r="C157" s="715" t="s">
        <v>11</v>
      </c>
      <c r="D157" s="715" t="s">
        <v>40839</v>
      </c>
      <c r="E157" s="716">
        <v>21.39</v>
      </c>
    </row>
    <row r="158" spans="1:5">
      <c r="A158" s="715">
        <v>41086</v>
      </c>
      <c r="B158" s="633" t="s">
        <v>34887</v>
      </c>
      <c r="C158" s="715" t="s">
        <v>27629</v>
      </c>
      <c r="D158" s="715" t="s">
        <v>40839</v>
      </c>
      <c r="E158" s="716">
        <v>3749.16</v>
      </c>
    </row>
    <row r="159" spans="1:5">
      <c r="A159" s="715">
        <v>34466</v>
      </c>
      <c r="B159" s="633" t="s">
        <v>34888</v>
      </c>
      <c r="C159" s="715" t="s">
        <v>11</v>
      </c>
      <c r="D159" s="715" t="s">
        <v>40839</v>
      </c>
      <c r="E159" s="716">
        <v>23.82</v>
      </c>
    </row>
    <row r="160" spans="1:5">
      <c r="A160" s="715">
        <v>41083</v>
      </c>
      <c r="B160" s="633" t="s">
        <v>34889</v>
      </c>
      <c r="C160" s="715" t="s">
        <v>27629</v>
      </c>
      <c r="D160" s="715" t="s">
        <v>40839</v>
      </c>
      <c r="E160" s="716">
        <v>4173.53</v>
      </c>
    </row>
    <row r="161" spans="1:5">
      <c r="A161" s="715">
        <v>252</v>
      </c>
      <c r="B161" s="633" t="s">
        <v>34890</v>
      </c>
      <c r="C161" s="715" t="s">
        <v>11</v>
      </c>
      <c r="D161" s="715" t="s">
        <v>40839</v>
      </c>
      <c r="E161" s="716">
        <v>23.82</v>
      </c>
    </row>
    <row r="162" spans="1:5">
      <c r="A162" s="715">
        <v>40909</v>
      </c>
      <c r="B162" s="633" t="s">
        <v>34891</v>
      </c>
      <c r="C162" s="715" t="s">
        <v>27629</v>
      </c>
      <c r="D162" s="715" t="s">
        <v>40839</v>
      </c>
      <c r="E162" s="716">
        <v>4173.53</v>
      </c>
    </row>
    <row r="163" spans="1:5">
      <c r="A163" s="715">
        <v>242</v>
      </c>
      <c r="B163" s="633" t="s">
        <v>34892</v>
      </c>
      <c r="C163" s="715" t="s">
        <v>11</v>
      </c>
      <c r="D163" s="715" t="s">
        <v>40839</v>
      </c>
      <c r="E163" s="716">
        <v>22.89</v>
      </c>
    </row>
    <row r="164" spans="1:5">
      <c r="A164" s="715">
        <v>41085</v>
      </c>
      <c r="B164" s="633" t="s">
        <v>34893</v>
      </c>
      <c r="C164" s="715" t="s">
        <v>27629</v>
      </c>
      <c r="D164" s="715" t="s">
        <v>40839</v>
      </c>
      <c r="E164" s="716">
        <v>4012.04</v>
      </c>
    </row>
    <row r="165" spans="1:5" ht="29">
      <c r="A165" s="715">
        <v>427</v>
      </c>
      <c r="B165" s="633" t="s">
        <v>34894</v>
      </c>
      <c r="C165" s="715" t="s">
        <v>103</v>
      </c>
      <c r="D165" s="715" t="s">
        <v>40839</v>
      </c>
      <c r="E165" s="716">
        <v>6.55</v>
      </c>
    </row>
    <row r="166" spans="1:5" ht="29">
      <c r="A166" s="715">
        <v>417</v>
      </c>
      <c r="B166" s="633" t="s">
        <v>34895</v>
      </c>
      <c r="C166" s="715" t="s">
        <v>103</v>
      </c>
      <c r="D166" s="715" t="s">
        <v>40839</v>
      </c>
      <c r="E166" s="716">
        <v>3.08</v>
      </c>
    </row>
    <row r="167" spans="1:5" ht="29">
      <c r="A167" s="715">
        <v>11273</v>
      </c>
      <c r="B167" s="633" t="s">
        <v>34896</v>
      </c>
      <c r="C167" s="715" t="s">
        <v>103</v>
      </c>
      <c r="D167" s="715" t="s">
        <v>40839</v>
      </c>
      <c r="E167" s="716">
        <v>9.58</v>
      </c>
    </row>
    <row r="168" spans="1:5" ht="29">
      <c r="A168" s="715">
        <v>11272</v>
      </c>
      <c r="B168" s="633" t="s">
        <v>34897</v>
      </c>
      <c r="C168" s="715" t="s">
        <v>103</v>
      </c>
      <c r="D168" s="715" t="s">
        <v>40839</v>
      </c>
      <c r="E168" s="716">
        <v>5.78</v>
      </c>
    </row>
    <row r="169" spans="1:5" ht="29">
      <c r="A169" s="715">
        <v>11275</v>
      </c>
      <c r="B169" s="633" t="s">
        <v>34898</v>
      </c>
      <c r="C169" s="715" t="s">
        <v>103</v>
      </c>
      <c r="D169" s="715" t="s">
        <v>40839</v>
      </c>
      <c r="E169" s="716">
        <v>2.3199999999999998</v>
      </c>
    </row>
    <row r="170" spans="1:5" ht="29">
      <c r="A170" s="715">
        <v>11274</v>
      </c>
      <c r="B170" s="633" t="s">
        <v>34899</v>
      </c>
      <c r="C170" s="715" t="s">
        <v>103</v>
      </c>
      <c r="D170" s="715" t="s">
        <v>40839</v>
      </c>
      <c r="E170" s="716">
        <v>1.77</v>
      </c>
    </row>
    <row r="171" spans="1:5">
      <c r="A171" s="715">
        <v>45208</v>
      </c>
      <c r="B171" s="633" t="s">
        <v>41276</v>
      </c>
      <c r="C171" s="715" t="s">
        <v>103</v>
      </c>
      <c r="D171" s="715" t="s">
        <v>40839</v>
      </c>
      <c r="E171" s="716">
        <v>227.55</v>
      </c>
    </row>
    <row r="172" spans="1:5">
      <c r="A172" s="715">
        <v>45250</v>
      </c>
      <c r="B172" s="633" t="s">
        <v>40840</v>
      </c>
      <c r="C172" s="715" t="s">
        <v>103</v>
      </c>
      <c r="D172" s="715" t="s">
        <v>40839</v>
      </c>
      <c r="E172" s="716">
        <v>39.35</v>
      </c>
    </row>
    <row r="173" spans="1:5">
      <c r="A173" s="715">
        <v>38470</v>
      </c>
      <c r="B173" s="633" t="s">
        <v>34900</v>
      </c>
      <c r="C173" s="715" t="s">
        <v>103</v>
      </c>
      <c r="D173" s="715" t="s">
        <v>40839</v>
      </c>
      <c r="E173" s="716">
        <v>40.28</v>
      </c>
    </row>
    <row r="174" spans="1:5">
      <c r="A174" s="715">
        <v>38547</v>
      </c>
      <c r="B174" s="633" t="s">
        <v>34901</v>
      </c>
      <c r="C174" s="715" t="s">
        <v>103</v>
      </c>
      <c r="D174" s="715" t="s">
        <v>40839</v>
      </c>
      <c r="E174" s="716">
        <v>267.39999999999998</v>
      </c>
    </row>
    <row r="175" spans="1:5">
      <c r="A175" s="715">
        <v>38467</v>
      </c>
      <c r="B175" s="633" t="s">
        <v>34902</v>
      </c>
      <c r="C175" s="715" t="s">
        <v>103</v>
      </c>
      <c r="D175" s="715" t="s">
        <v>40839</v>
      </c>
      <c r="E175" s="716">
        <v>139.06</v>
      </c>
    </row>
    <row r="176" spans="1:5">
      <c r="A176" s="715">
        <v>38468</v>
      </c>
      <c r="B176" s="633" t="s">
        <v>34903</v>
      </c>
      <c r="C176" s="715" t="s">
        <v>103</v>
      </c>
      <c r="D176" s="715" t="s">
        <v>40839</v>
      </c>
      <c r="E176" s="716">
        <v>173.58</v>
      </c>
    </row>
    <row r="177" spans="1:5">
      <c r="A177" s="715">
        <v>38469</v>
      </c>
      <c r="B177" s="633" t="s">
        <v>34904</v>
      </c>
      <c r="C177" s="715" t="s">
        <v>103</v>
      </c>
      <c r="D177" s="715" t="s">
        <v>40839</v>
      </c>
      <c r="E177" s="716">
        <v>255.32</v>
      </c>
    </row>
    <row r="178" spans="1:5">
      <c r="A178" s="715">
        <v>45197</v>
      </c>
      <c r="B178" s="633" t="s">
        <v>40841</v>
      </c>
      <c r="C178" s="715" t="s">
        <v>103</v>
      </c>
      <c r="D178" s="715" t="s">
        <v>40839</v>
      </c>
      <c r="E178" s="716">
        <v>203.63</v>
      </c>
    </row>
    <row r="179" spans="1:5">
      <c r="A179" s="715">
        <v>38471</v>
      </c>
      <c r="B179" s="633" t="s">
        <v>34905</v>
      </c>
      <c r="C179" s="715" t="s">
        <v>103</v>
      </c>
      <c r="D179" s="715" t="s">
        <v>40839</v>
      </c>
      <c r="E179" s="716">
        <v>273.07</v>
      </c>
    </row>
    <row r="180" spans="1:5">
      <c r="A180" s="715">
        <v>45206</v>
      </c>
      <c r="B180" s="633" t="s">
        <v>40842</v>
      </c>
      <c r="C180" s="715" t="s">
        <v>103</v>
      </c>
      <c r="D180" s="715" t="s">
        <v>40839</v>
      </c>
      <c r="E180" s="716">
        <v>53.95</v>
      </c>
    </row>
    <row r="181" spans="1:5">
      <c r="A181" s="715">
        <v>37370</v>
      </c>
      <c r="B181" s="633" t="s">
        <v>34906</v>
      </c>
      <c r="C181" s="715" t="s">
        <v>11</v>
      </c>
      <c r="D181" s="715" t="s">
        <v>28018</v>
      </c>
      <c r="E181" s="716">
        <v>4.4800000000000004</v>
      </c>
    </row>
    <row r="182" spans="1:5">
      <c r="A182" s="715">
        <v>40862</v>
      </c>
      <c r="B182" s="633" t="s">
        <v>34907</v>
      </c>
      <c r="C182" s="715" t="s">
        <v>27629</v>
      </c>
      <c r="D182" s="715" t="s">
        <v>28018</v>
      </c>
      <c r="E182" s="716">
        <v>743.12</v>
      </c>
    </row>
    <row r="183" spans="1:5" ht="29">
      <c r="A183" s="715">
        <v>10658</v>
      </c>
      <c r="B183" s="633" t="s">
        <v>34908</v>
      </c>
      <c r="C183" s="715" t="s">
        <v>103</v>
      </c>
      <c r="D183" s="715" t="s">
        <v>28018</v>
      </c>
      <c r="E183" s="716">
        <v>9816.75</v>
      </c>
    </row>
    <row r="184" spans="1:5">
      <c r="A184" s="715">
        <v>253</v>
      </c>
      <c r="B184" s="633" t="s">
        <v>34909</v>
      </c>
      <c r="C184" s="715" t="s">
        <v>11</v>
      </c>
      <c r="D184" s="715" t="s">
        <v>28018</v>
      </c>
      <c r="E184" s="716">
        <v>37.11</v>
      </c>
    </row>
    <row r="185" spans="1:5">
      <c r="A185" s="715">
        <v>40809</v>
      </c>
      <c r="B185" s="633" t="s">
        <v>34910</v>
      </c>
      <c r="C185" s="715" t="s">
        <v>27629</v>
      </c>
      <c r="D185" s="715" t="s">
        <v>40839</v>
      </c>
      <c r="E185" s="716">
        <v>6500.04</v>
      </c>
    </row>
    <row r="186" spans="1:5" ht="43">
      <c r="A186" s="715">
        <v>42428</v>
      </c>
      <c r="B186" s="633" t="s">
        <v>34911</v>
      </c>
      <c r="C186" s="715" t="s">
        <v>103</v>
      </c>
      <c r="D186" s="715" t="s">
        <v>28018</v>
      </c>
      <c r="E186" s="716">
        <v>2271</v>
      </c>
    </row>
    <row r="187" spans="1:5">
      <c r="A187" s="715">
        <v>301</v>
      </c>
      <c r="B187" s="633" t="s">
        <v>34912</v>
      </c>
      <c r="C187" s="715" t="s">
        <v>103</v>
      </c>
      <c r="D187" s="715" t="s">
        <v>28018</v>
      </c>
      <c r="E187" s="716">
        <v>2.46</v>
      </c>
    </row>
    <row r="188" spans="1:5">
      <c r="A188" s="715">
        <v>296</v>
      </c>
      <c r="B188" s="633" t="s">
        <v>34913</v>
      </c>
      <c r="C188" s="715" t="s">
        <v>103</v>
      </c>
      <c r="D188" s="715" t="s">
        <v>40839</v>
      </c>
      <c r="E188" s="716">
        <v>1.39</v>
      </c>
    </row>
    <row r="189" spans="1:5">
      <c r="A189" s="715">
        <v>297</v>
      </c>
      <c r="B189" s="633" t="s">
        <v>34914</v>
      </c>
      <c r="C189" s="715" t="s">
        <v>103</v>
      </c>
      <c r="D189" s="715" t="s">
        <v>40839</v>
      </c>
      <c r="E189" s="716">
        <v>2.04</v>
      </c>
    </row>
    <row r="190" spans="1:5">
      <c r="A190" s="715">
        <v>299</v>
      </c>
      <c r="B190" s="633" t="s">
        <v>34915</v>
      </c>
      <c r="C190" s="715" t="s">
        <v>103</v>
      </c>
      <c r="D190" s="715" t="s">
        <v>40839</v>
      </c>
      <c r="E190" s="716">
        <v>2.88</v>
      </c>
    </row>
    <row r="191" spans="1:5">
      <c r="A191" s="715">
        <v>300</v>
      </c>
      <c r="B191" s="633" t="s">
        <v>34916</v>
      </c>
      <c r="C191" s="715" t="s">
        <v>103</v>
      </c>
      <c r="D191" s="715" t="s">
        <v>40839</v>
      </c>
      <c r="E191" s="716">
        <v>9.98</v>
      </c>
    </row>
    <row r="192" spans="1:5">
      <c r="A192" s="715">
        <v>20085</v>
      </c>
      <c r="B192" s="633" t="s">
        <v>34917</v>
      </c>
      <c r="C192" s="715" t="s">
        <v>103</v>
      </c>
      <c r="D192" s="715" t="s">
        <v>40839</v>
      </c>
      <c r="E192" s="716">
        <v>1.82</v>
      </c>
    </row>
    <row r="193" spans="1:5">
      <c r="A193" s="715">
        <v>298</v>
      </c>
      <c r="B193" s="633" t="s">
        <v>34918</v>
      </c>
      <c r="C193" s="715" t="s">
        <v>103</v>
      </c>
      <c r="D193" s="715" t="s">
        <v>40839</v>
      </c>
      <c r="E193" s="716">
        <v>2.2200000000000002</v>
      </c>
    </row>
    <row r="194" spans="1:5">
      <c r="A194" s="715">
        <v>311</v>
      </c>
      <c r="B194" s="633" t="s">
        <v>34919</v>
      </c>
      <c r="C194" s="715" t="s">
        <v>103</v>
      </c>
      <c r="D194" s="715" t="s">
        <v>40839</v>
      </c>
      <c r="E194" s="716">
        <v>8.23</v>
      </c>
    </row>
    <row r="195" spans="1:5">
      <c r="A195" s="715">
        <v>318</v>
      </c>
      <c r="B195" s="633" t="s">
        <v>34920</v>
      </c>
      <c r="C195" s="715" t="s">
        <v>103</v>
      </c>
      <c r="D195" s="715" t="s">
        <v>40839</v>
      </c>
      <c r="E195" s="716">
        <v>16.579999999999998</v>
      </c>
    </row>
    <row r="196" spans="1:5">
      <c r="A196" s="715">
        <v>319</v>
      </c>
      <c r="B196" s="633" t="s">
        <v>34921</v>
      </c>
      <c r="C196" s="715" t="s">
        <v>103</v>
      </c>
      <c r="D196" s="715" t="s">
        <v>40839</v>
      </c>
      <c r="E196" s="716">
        <v>26</v>
      </c>
    </row>
    <row r="197" spans="1:5">
      <c r="A197" s="715">
        <v>303</v>
      </c>
      <c r="B197" s="633" t="s">
        <v>34922</v>
      </c>
      <c r="C197" s="715" t="s">
        <v>103</v>
      </c>
      <c r="D197" s="715" t="s">
        <v>40839</v>
      </c>
      <c r="E197" s="716">
        <v>2.72</v>
      </c>
    </row>
    <row r="198" spans="1:5">
      <c r="A198" s="715">
        <v>305</v>
      </c>
      <c r="B198" s="633" t="s">
        <v>34923</v>
      </c>
      <c r="C198" s="715" t="s">
        <v>103</v>
      </c>
      <c r="D198" s="715" t="s">
        <v>40839</v>
      </c>
      <c r="E198" s="716">
        <v>8.57</v>
      </c>
    </row>
    <row r="199" spans="1:5">
      <c r="A199" s="715">
        <v>306</v>
      </c>
      <c r="B199" s="633" t="s">
        <v>34924</v>
      </c>
      <c r="C199" s="715" t="s">
        <v>103</v>
      </c>
      <c r="D199" s="715" t="s">
        <v>40839</v>
      </c>
      <c r="E199" s="716">
        <v>13</v>
      </c>
    </row>
    <row r="200" spans="1:5">
      <c r="A200" s="715">
        <v>307</v>
      </c>
      <c r="B200" s="633" t="s">
        <v>34925</v>
      </c>
      <c r="C200" s="715" t="s">
        <v>103</v>
      </c>
      <c r="D200" s="715" t="s">
        <v>40839</v>
      </c>
      <c r="E200" s="716">
        <v>32.85</v>
      </c>
    </row>
    <row r="201" spans="1:5">
      <c r="A201" s="715">
        <v>309</v>
      </c>
      <c r="B201" s="633" t="s">
        <v>34926</v>
      </c>
      <c r="C201" s="715" t="s">
        <v>103</v>
      </c>
      <c r="D201" s="715" t="s">
        <v>40839</v>
      </c>
      <c r="E201" s="716">
        <v>53.81</v>
      </c>
    </row>
    <row r="202" spans="1:5">
      <c r="A202" s="715">
        <v>310</v>
      </c>
      <c r="B202" s="633" t="s">
        <v>34927</v>
      </c>
      <c r="C202" s="715" t="s">
        <v>103</v>
      </c>
      <c r="D202" s="715" t="s">
        <v>40839</v>
      </c>
      <c r="E202" s="716">
        <v>74.58</v>
      </c>
    </row>
    <row r="203" spans="1:5">
      <c r="A203" s="715">
        <v>308</v>
      </c>
      <c r="B203" s="633" t="s">
        <v>34928</v>
      </c>
      <c r="C203" s="715" t="s">
        <v>103</v>
      </c>
      <c r="D203" s="715" t="s">
        <v>40839</v>
      </c>
      <c r="E203" s="716">
        <v>73.31</v>
      </c>
    </row>
    <row r="204" spans="1:5">
      <c r="A204" s="715">
        <v>328</v>
      </c>
      <c r="B204" s="633" t="s">
        <v>34929</v>
      </c>
      <c r="C204" s="715" t="s">
        <v>103</v>
      </c>
      <c r="D204" s="715" t="s">
        <v>40839</v>
      </c>
      <c r="E204" s="716">
        <v>6.52</v>
      </c>
    </row>
    <row r="205" spans="1:5">
      <c r="A205" s="715">
        <v>325</v>
      </c>
      <c r="B205" s="633" t="s">
        <v>34930</v>
      </c>
      <c r="C205" s="715" t="s">
        <v>103</v>
      </c>
      <c r="D205" s="715" t="s">
        <v>40839</v>
      </c>
      <c r="E205" s="716">
        <v>1.92</v>
      </c>
    </row>
    <row r="206" spans="1:5">
      <c r="A206" s="715">
        <v>20326</v>
      </c>
      <c r="B206" s="633" t="s">
        <v>34931</v>
      </c>
      <c r="C206" s="715" t="s">
        <v>103</v>
      </c>
      <c r="D206" s="715" t="s">
        <v>40839</v>
      </c>
      <c r="E206" s="716">
        <v>3.52</v>
      </c>
    </row>
    <row r="207" spans="1:5">
      <c r="A207" s="715">
        <v>329</v>
      </c>
      <c r="B207" s="633" t="s">
        <v>34932</v>
      </c>
      <c r="C207" s="715" t="s">
        <v>103</v>
      </c>
      <c r="D207" s="715" t="s">
        <v>40839</v>
      </c>
      <c r="E207" s="716">
        <v>5.45</v>
      </c>
    </row>
    <row r="208" spans="1:5" ht="29">
      <c r="A208" s="715">
        <v>39642</v>
      </c>
      <c r="B208" s="633" t="s">
        <v>34933</v>
      </c>
      <c r="C208" s="715" t="s">
        <v>103</v>
      </c>
      <c r="D208" s="715" t="s">
        <v>40839</v>
      </c>
      <c r="E208" s="716">
        <v>2.41</v>
      </c>
    </row>
    <row r="209" spans="1:5" ht="29">
      <c r="A209" s="715">
        <v>39641</v>
      </c>
      <c r="B209" s="633" t="s">
        <v>34934</v>
      </c>
      <c r="C209" s="715" t="s">
        <v>103</v>
      </c>
      <c r="D209" s="715" t="s">
        <v>40839</v>
      </c>
      <c r="E209" s="716">
        <v>2.12</v>
      </c>
    </row>
    <row r="210" spans="1:5" ht="29">
      <c r="A210" s="715">
        <v>39643</v>
      </c>
      <c r="B210" s="633" t="s">
        <v>34935</v>
      </c>
      <c r="C210" s="715" t="s">
        <v>103</v>
      </c>
      <c r="D210" s="715" t="s">
        <v>40839</v>
      </c>
      <c r="E210" s="716">
        <v>2.83</v>
      </c>
    </row>
    <row r="211" spans="1:5" ht="29">
      <c r="A211" s="715">
        <v>39644</v>
      </c>
      <c r="B211" s="633" t="s">
        <v>34936</v>
      </c>
      <c r="C211" s="715" t="s">
        <v>103</v>
      </c>
      <c r="D211" s="715" t="s">
        <v>40839</v>
      </c>
      <c r="E211" s="716">
        <v>4.3899999999999997</v>
      </c>
    </row>
    <row r="212" spans="1:5" ht="29">
      <c r="A212" s="715">
        <v>39645</v>
      </c>
      <c r="B212" s="633" t="s">
        <v>34937</v>
      </c>
      <c r="C212" s="715" t="s">
        <v>103</v>
      </c>
      <c r="D212" s="715" t="s">
        <v>40839</v>
      </c>
      <c r="E212" s="716">
        <v>4.82</v>
      </c>
    </row>
    <row r="213" spans="1:5">
      <c r="A213" s="715">
        <v>41610</v>
      </c>
      <c r="B213" s="633" t="s">
        <v>34938</v>
      </c>
      <c r="C213" s="715" t="s">
        <v>103</v>
      </c>
      <c r="D213" s="715" t="s">
        <v>40839</v>
      </c>
      <c r="E213" s="716">
        <v>830.37</v>
      </c>
    </row>
    <row r="214" spans="1:5">
      <c r="A214" s="715">
        <v>41611</v>
      </c>
      <c r="B214" s="633" t="s">
        <v>34939</v>
      </c>
      <c r="C214" s="715" t="s">
        <v>103</v>
      </c>
      <c r="D214" s="715" t="s">
        <v>40839</v>
      </c>
      <c r="E214" s="716">
        <v>1308.83</v>
      </c>
    </row>
    <row r="215" spans="1:5">
      <c r="A215" s="715">
        <v>41612</v>
      </c>
      <c r="B215" s="633" t="s">
        <v>34940</v>
      </c>
      <c r="C215" s="715" t="s">
        <v>103</v>
      </c>
      <c r="D215" s="715" t="s">
        <v>40839</v>
      </c>
      <c r="E215" s="716">
        <v>1837.78</v>
      </c>
    </row>
    <row r="216" spans="1:5" ht="29">
      <c r="A216" s="715">
        <v>41637</v>
      </c>
      <c r="B216" s="633" t="s">
        <v>34941</v>
      </c>
      <c r="C216" s="715" t="s">
        <v>103</v>
      </c>
      <c r="D216" s="715" t="s">
        <v>40839</v>
      </c>
      <c r="E216" s="716">
        <v>171.79</v>
      </c>
    </row>
    <row r="217" spans="1:5" ht="29">
      <c r="A217" s="715">
        <v>41638</v>
      </c>
      <c r="B217" s="633" t="s">
        <v>34942</v>
      </c>
      <c r="C217" s="715" t="s">
        <v>103</v>
      </c>
      <c r="D217" s="715" t="s">
        <v>40839</v>
      </c>
      <c r="E217" s="716">
        <v>223.78</v>
      </c>
    </row>
    <row r="218" spans="1:5" ht="29">
      <c r="A218" s="715">
        <v>41639</v>
      </c>
      <c r="B218" s="633" t="s">
        <v>34943</v>
      </c>
      <c r="C218" s="715" t="s">
        <v>103</v>
      </c>
      <c r="D218" s="715" t="s">
        <v>40839</v>
      </c>
      <c r="E218" s="716">
        <v>541.39</v>
      </c>
    </row>
    <row r="219" spans="1:5">
      <c r="A219" s="715">
        <v>11789</v>
      </c>
      <c r="B219" s="633" t="s">
        <v>34944</v>
      </c>
      <c r="C219" s="715" t="s">
        <v>103</v>
      </c>
      <c r="D219" s="715" t="s">
        <v>40839</v>
      </c>
      <c r="E219" s="716">
        <v>0.87</v>
      </c>
    </row>
    <row r="220" spans="1:5" ht="29">
      <c r="A220" s="715">
        <v>20975</v>
      </c>
      <c r="B220" s="633" t="s">
        <v>34945</v>
      </c>
      <c r="C220" s="715" t="s">
        <v>103</v>
      </c>
      <c r="D220" s="715" t="s">
        <v>40839</v>
      </c>
      <c r="E220" s="716">
        <v>23.84</v>
      </c>
    </row>
    <row r="221" spans="1:5" ht="29">
      <c r="A221" s="715">
        <v>20976</v>
      </c>
      <c r="B221" s="633" t="s">
        <v>34946</v>
      </c>
      <c r="C221" s="715" t="s">
        <v>103</v>
      </c>
      <c r="D221" s="715" t="s">
        <v>40839</v>
      </c>
      <c r="E221" s="716">
        <v>36.020000000000003</v>
      </c>
    </row>
    <row r="222" spans="1:5">
      <c r="A222" s="715">
        <v>6138</v>
      </c>
      <c r="B222" s="633" t="s">
        <v>34947</v>
      </c>
      <c r="C222" s="715" t="s">
        <v>103</v>
      </c>
      <c r="D222" s="715" t="s">
        <v>40839</v>
      </c>
      <c r="E222" s="716">
        <v>12.19</v>
      </c>
    </row>
    <row r="223" spans="1:5" ht="29">
      <c r="A223" s="715">
        <v>40340</v>
      </c>
      <c r="B223" s="633" t="s">
        <v>34948</v>
      </c>
      <c r="C223" s="715" t="s">
        <v>103</v>
      </c>
      <c r="D223" s="715" t="s">
        <v>40839</v>
      </c>
      <c r="E223" s="716">
        <v>18.09</v>
      </c>
    </row>
    <row r="224" spans="1:5" ht="29">
      <c r="A224" s="715">
        <v>40341</v>
      </c>
      <c r="B224" s="633" t="s">
        <v>34949</v>
      </c>
      <c r="C224" s="715" t="s">
        <v>103</v>
      </c>
      <c r="D224" s="715" t="s">
        <v>40839</v>
      </c>
      <c r="E224" s="716">
        <v>21.59</v>
      </c>
    </row>
    <row r="225" spans="1:5" ht="29">
      <c r="A225" s="715">
        <v>40342</v>
      </c>
      <c r="B225" s="633" t="s">
        <v>34950</v>
      </c>
      <c r="C225" s="715" t="s">
        <v>103</v>
      </c>
      <c r="D225" s="715" t="s">
        <v>40839</v>
      </c>
      <c r="E225" s="716">
        <v>25.75</v>
      </c>
    </row>
    <row r="226" spans="1:5" ht="29">
      <c r="A226" s="715">
        <v>40343</v>
      </c>
      <c r="B226" s="633" t="s">
        <v>34951</v>
      </c>
      <c r="C226" s="715" t="s">
        <v>103</v>
      </c>
      <c r="D226" s="715" t="s">
        <v>40839</v>
      </c>
      <c r="E226" s="716">
        <v>30.55</v>
      </c>
    </row>
    <row r="227" spans="1:5" ht="29">
      <c r="A227" s="715">
        <v>40344</v>
      </c>
      <c r="B227" s="633" t="s">
        <v>34952</v>
      </c>
      <c r="C227" s="715" t="s">
        <v>103</v>
      </c>
      <c r="D227" s="715" t="s">
        <v>40839</v>
      </c>
      <c r="E227" s="716">
        <v>41.65</v>
      </c>
    </row>
    <row r="228" spans="1:5" ht="29">
      <c r="A228" s="715">
        <v>40345</v>
      </c>
      <c r="B228" s="633" t="s">
        <v>34953</v>
      </c>
      <c r="C228" s="715" t="s">
        <v>103</v>
      </c>
      <c r="D228" s="715" t="s">
        <v>40839</v>
      </c>
      <c r="E228" s="716">
        <v>51.32</v>
      </c>
    </row>
    <row r="229" spans="1:5" ht="29">
      <c r="A229" s="715">
        <v>40346</v>
      </c>
      <c r="B229" s="633" t="s">
        <v>34954</v>
      </c>
      <c r="C229" s="715" t="s">
        <v>103</v>
      </c>
      <c r="D229" s="715" t="s">
        <v>40839</v>
      </c>
      <c r="E229" s="716">
        <v>59.53</v>
      </c>
    </row>
    <row r="230" spans="1:5" ht="29">
      <c r="A230" s="715">
        <v>40347</v>
      </c>
      <c r="B230" s="633" t="s">
        <v>34955</v>
      </c>
      <c r="C230" s="715" t="s">
        <v>103</v>
      </c>
      <c r="D230" s="715" t="s">
        <v>40839</v>
      </c>
      <c r="E230" s="716">
        <v>74.790000000000006</v>
      </c>
    </row>
    <row r="231" spans="1:5" ht="29">
      <c r="A231" s="715">
        <v>43424</v>
      </c>
      <c r="B231" s="633" t="s">
        <v>34956</v>
      </c>
      <c r="C231" s="715" t="s">
        <v>103</v>
      </c>
      <c r="D231" s="715" t="s">
        <v>40839</v>
      </c>
      <c r="E231" s="716">
        <v>695.71</v>
      </c>
    </row>
    <row r="232" spans="1:5" ht="29">
      <c r="A232" s="715">
        <v>43426</v>
      </c>
      <c r="B232" s="633" t="s">
        <v>34957</v>
      </c>
      <c r="C232" s="715" t="s">
        <v>103</v>
      </c>
      <c r="D232" s="715" t="s">
        <v>40839</v>
      </c>
      <c r="E232" s="716">
        <v>2399.52</v>
      </c>
    </row>
    <row r="233" spans="1:5" ht="29">
      <c r="A233" s="715">
        <v>12565</v>
      </c>
      <c r="B233" s="633" t="s">
        <v>34958</v>
      </c>
      <c r="C233" s="715" t="s">
        <v>103</v>
      </c>
      <c r="D233" s="715" t="s">
        <v>40839</v>
      </c>
      <c r="E233" s="716">
        <v>841.48</v>
      </c>
    </row>
    <row r="234" spans="1:5" ht="29">
      <c r="A234" s="715">
        <v>12567</v>
      </c>
      <c r="B234" s="633" t="s">
        <v>34959</v>
      </c>
      <c r="C234" s="715" t="s">
        <v>103</v>
      </c>
      <c r="D234" s="715" t="s">
        <v>40839</v>
      </c>
      <c r="E234" s="716">
        <v>1130.25</v>
      </c>
    </row>
    <row r="235" spans="1:5" ht="29">
      <c r="A235" s="715">
        <v>12568</v>
      </c>
      <c r="B235" s="633" t="s">
        <v>34960</v>
      </c>
      <c r="C235" s="715" t="s">
        <v>103</v>
      </c>
      <c r="D235" s="715" t="s">
        <v>40839</v>
      </c>
      <c r="E235" s="716">
        <v>1582.35</v>
      </c>
    </row>
    <row r="236" spans="1:5" ht="29">
      <c r="A236" s="715">
        <v>43441</v>
      </c>
      <c r="B236" s="633" t="s">
        <v>34961</v>
      </c>
      <c r="C236" s="715" t="s">
        <v>103</v>
      </c>
      <c r="D236" s="715" t="s">
        <v>40839</v>
      </c>
      <c r="E236" s="716">
        <v>203.44</v>
      </c>
    </row>
    <row r="237" spans="1:5" ht="29">
      <c r="A237" s="715">
        <v>43423</v>
      </c>
      <c r="B237" s="633" t="s">
        <v>34962</v>
      </c>
      <c r="C237" s="715" t="s">
        <v>103</v>
      </c>
      <c r="D237" s="715" t="s">
        <v>40839</v>
      </c>
      <c r="E237" s="716">
        <v>94.94</v>
      </c>
    </row>
    <row r="238" spans="1:5" ht="29">
      <c r="A238" s="715">
        <v>12532</v>
      </c>
      <c r="B238" s="633" t="s">
        <v>34963</v>
      </c>
      <c r="C238" s="715" t="s">
        <v>103</v>
      </c>
      <c r="D238" s="715" t="s">
        <v>40839</v>
      </c>
      <c r="E238" s="716">
        <v>146.41999999999999</v>
      </c>
    </row>
    <row r="239" spans="1:5" ht="43">
      <c r="A239" s="715">
        <v>43444</v>
      </c>
      <c r="B239" s="633" t="s">
        <v>34964</v>
      </c>
      <c r="C239" s="715" t="s">
        <v>103</v>
      </c>
      <c r="D239" s="715" t="s">
        <v>40839</v>
      </c>
      <c r="E239" s="716">
        <v>491.65</v>
      </c>
    </row>
    <row r="240" spans="1:5" ht="43">
      <c r="A240" s="715">
        <v>12551</v>
      </c>
      <c r="B240" s="633" t="s">
        <v>34965</v>
      </c>
      <c r="C240" s="715" t="s">
        <v>103</v>
      </c>
      <c r="D240" s="715" t="s">
        <v>40839</v>
      </c>
      <c r="E240" s="716">
        <v>350.78</v>
      </c>
    </row>
    <row r="241" spans="1:5" ht="43">
      <c r="A241" s="715">
        <v>43442</v>
      </c>
      <c r="B241" s="633" t="s">
        <v>34966</v>
      </c>
      <c r="C241" s="715" t="s">
        <v>103</v>
      </c>
      <c r="D241" s="715" t="s">
        <v>40839</v>
      </c>
      <c r="E241" s="716">
        <v>271.26</v>
      </c>
    </row>
    <row r="242" spans="1:5" ht="43">
      <c r="A242" s="715">
        <v>43443</v>
      </c>
      <c r="B242" s="633" t="s">
        <v>34967</v>
      </c>
      <c r="C242" s="715" t="s">
        <v>103</v>
      </c>
      <c r="D242" s="715" t="s">
        <v>40839</v>
      </c>
      <c r="E242" s="716">
        <v>356.02</v>
      </c>
    </row>
    <row r="243" spans="1:5" ht="43">
      <c r="A243" s="715">
        <v>12544</v>
      </c>
      <c r="B243" s="633" t="s">
        <v>34968</v>
      </c>
      <c r="C243" s="715" t="s">
        <v>103</v>
      </c>
      <c r="D243" s="715" t="s">
        <v>40839</v>
      </c>
      <c r="E243" s="716">
        <v>192.14</v>
      </c>
    </row>
    <row r="244" spans="1:5" ht="43">
      <c r="A244" s="715">
        <v>12547</v>
      </c>
      <c r="B244" s="633" t="s">
        <v>34969</v>
      </c>
      <c r="C244" s="715" t="s">
        <v>103</v>
      </c>
      <c r="D244" s="715" t="s">
        <v>40839</v>
      </c>
      <c r="E244" s="716">
        <v>258.42</v>
      </c>
    </row>
    <row r="245" spans="1:5" ht="43">
      <c r="A245" s="715">
        <v>43445</v>
      </c>
      <c r="B245" s="633" t="s">
        <v>34970</v>
      </c>
      <c r="C245" s="715" t="s">
        <v>103</v>
      </c>
      <c r="D245" s="715" t="s">
        <v>40839</v>
      </c>
      <c r="E245" s="716">
        <v>678.15</v>
      </c>
    </row>
    <row r="246" spans="1:5" ht="43">
      <c r="A246" s="715">
        <v>12563</v>
      </c>
      <c r="B246" s="633" t="s">
        <v>34971</v>
      </c>
      <c r="C246" s="715" t="s">
        <v>103</v>
      </c>
      <c r="D246" s="715" t="s">
        <v>40839</v>
      </c>
      <c r="E246" s="716">
        <v>485.19</v>
      </c>
    </row>
    <row r="247" spans="1:5" ht="29">
      <c r="A247" s="715">
        <v>43425</v>
      </c>
      <c r="B247" s="633" t="s">
        <v>34972</v>
      </c>
      <c r="C247" s="715" t="s">
        <v>103</v>
      </c>
      <c r="D247" s="715" t="s">
        <v>40839</v>
      </c>
      <c r="E247" s="716">
        <v>305.16000000000003</v>
      </c>
    </row>
    <row r="248" spans="1:5" ht="29">
      <c r="A248" s="715">
        <v>43446</v>
      </c>
      <c r="B248" s="633" t="s">
        <v>34973</v>
      </c>
      <c r="C248" s="715" t="s">
        <v>103</v>
      </c>
      <c r="D248" s="715" t="s">
        <v>40839</v>
      </c>
      <c r="E248" s="716">
        <v>644.24</v>
      </c>
    </row>
    <row r="249" spans="1:5" ht="29">
      <c r="A249" s="715">
        <v>43447</v>
      </c>
      <c r="B249" s="633" t="s">
        <v>34974</v>
      </c>
      <c r="C249" s="715" t="s">
        <v>103</v>
      </c>
      <c r="D249" s="715" t="s">
        <v>40839</v>
      </c>
      <c r="E249" s="716">
        <v>791.17</v>
      </c>
    </row>
    <row r="250" spans="1:5" ht="29">
      <c r="A250" s="715">
        <v>43448</v>
      </c>
      <c r="B250" s="633" t="s">
        <v>34975</v>
      </c>
      <c r="C250" s="715" t="s">
        <v>103</v>
      </c>
      <c r="D250" s="715" t="s">
        <v>40839</v>
      </c>
      <c r="E250" s="716">
        <v>1107.6400000000001</v>
      </c>
    </row>
    <row r="251" spans="1:5" ht="29">
      <c r="A251" s="715">
        <v>13761</v>
      </c>
      <c r="B251" s="633" t="s">
        <v>34976</v>
      </c>
      <c r="C251" s="715" t="s">
        <v>103</v>
      </c>
      <c r="D251" s="715" t="s">
        <v>40839</v>
      </c>
      <c r="E251" s="716">
        <v>3504.56</v>
      </c>
    </row>
    <row r="252" spans="1:5" ht="29">
      <c r="A252" s="715">
        <v>4814</v>
      </c>
      <c r="B252" s="633" t="s">
        <v>34977</v>
      </c>
      <c r="C252" s="715" t="s">
        <v>103</v>
      </c>
      <c r="D252" s="715" t="s">
        <v>40839</v>
      </c>
      <c r="E252" s="716">
        <v>47.31</v>
      </c>
    </row>
    <row r="253" spans="1:5">
      <c r="A253" s="715">
        <v>44473</v>
      </c>
      <c r="B253" s="633" t="s">
        <v>40989</v>
      </c>
      <c r="C253" s="715" t="s">
        <v>103</v>
      </c>
      <c r="D253" s="715" t="s">
        <v>40839</v>
      </c>
      <c r="E253" s="716">
        <v>2471.06</v>
      </c>
    </row>
    <row r="254" spans="1:5">
      <c r="A254" s="715">
        <v>6122</v>
      </c>
      <c r="B254" s="633" t="s">
        <v>34978</v>
      </c>
      <c r="C254" s="715" t="s">
        <v>11</v>
      </c>
      <c r="D254" s="715" t="s">
        <v>40839</v>
      </c>
      <c r="E254" s="716">
        <v>38.46</v>
      </c>
    </row>
    <row r="255" spans="1:5">
      <c r="A255" s="715">
        <v>40810</v>
      </c>
      <c r="B255" s="633" t="s">
        <v>34979</v>
      </c>
      <c r="C255" s="715" t="s">
        <v>27629</v>
      </c>
      <c r="D255" s="715" t="s">
        <v>40839</v>
      </c>
      <c r="E255" s="716">
        <v>6738.53</v>
      </c>
    </row>
    <row r="256" spans="1:5" ht="29">
      <c r="A256" s="715">
        <v>34469</v>
      </c>
      <c r="B256" s="633" t="s">
        <v>34980</v>
      </c>
      <c r="C256" s="715" t="s">
        <v>103</v>
      </c>
      <c r="D256" s="715" t="s">
        <v>40839</v>
      </c>
      <c r="E256" s="716">
        <v>10530.81</v>
      </c>
    </row>
    <row r="257" spans="1:5" ht="29">
      <c r="A257" s="715">
        <v>34476</v>
      </c>
      <c r="B257" s="633" t="s">
        <v>34981</v>
      </c>
      <c r="C257" s="715" t="s">
        <v>103</v>
      </c>
      <c r="D257" s="715" t="s">
        <v>40839</v>
      </c>
      <c r="E257" s="716">
        <v>5492.26</v>
      </c>
    </row>
    <row r="258" spans="1:5" ht="29">
      <c r="A258" s="715">
        <v>34477</v>
      </c>
      <c r="B258" s="633" t="s">
        <v>34982</v>
      </c>
      <c r="C258" s="715" t="s">
        <v>103</v>
      </c>
      <c r="D258" s="715" t="s">
        <v>40839</v>
      </c>
      <c r="E258" s="716">
        <v>7289.29</v>
      </c>
    </row>
    <row r="259" spans="1:5" ht="29">
      <c r="A259" s="715">
        <v>34482</v>
      </c>
      <c r="B259" s="633" t="s">
        <v>34983</v>
      </c>
      <c r="C259" s="715" t="s">
        <v>103</v>
      </c>
      <c r="D259" s="715" t="s">
        <v>40839</v>
      </c>
      <c r="E259" s="716">
        <v>6807.79</v>
      </c>
    </row>
    <row r="260" spans="1:5" ht="57">
      <c r="A260" s="715">
        <v>34472</v>
      </c>
      <c r="B260" s="633" t="s">
        <v>34984</v>
      </c>
      <c r="C260" s="715" t="s">
        <v>103</v>
      </c>
      <c r="D260" s="715" t="s">
        <v>28018</v>
      </c>
      <c r="E260" s="716">
        <v>3240</v>
      </c>
    </row>
    <row r="261" spans="1:5">
      <c r="A261" s="715">
        <v>39577</v>
      </c>
      <c r="B261" s="633" t="s">
        <v>34985</v>
      </c>
      <c r="C261" s="715" t="s">
        <v>103</v>
      </c>
      <c r="D261" s="715" t="s">
        <v>40839</v>
      </c>
      <c r="E261" s="716">
        <v>24189.25</v>
      </c>
    </row>
    <row r="262" spans="1:5">
      <c r="A262" s="715">
        <v>39578</v>
      </c>
      <c r="B262" s="633" t="s">
        <v>34986</v>
      </c>
      <c r="C262" s="715" t="s">
        <v>103</v>
      </c>
      <c r="D262" s="715" t="s">
        <v>40839</v>
      </c>
      <c r="E262" s="716">
        <v>31216.7</v>
      </c>
    </row>
    <row r="263" spans="1:5">
      <c r="A263" s="715">
        <v>39579</v>
      </c>
      <c r="B263" s="633" t="s">
        <v>34987</v>
      </c>
      <c r="C263" s="715" t="s">
        <v>103</v>
      </c>
      <c r="D263" s="715" t="s">
        <v>40839</v>
      </c>
      <c r="E263" s="716">
        <v>45417.86</v>
      </c>
    </row>
    <row r="264" spans="1:5" ht="29">
      <c r="A264" s="715">
        <v>42425</v>
      </c>
      <c r="B264" s="633" t="s">
        <v>42114</v>
      </c>
      <c r="C264" s="715" t="s">
        <v>103</v>
      </c>
      <c r="D264" s="715" t="s">
        <v>40839</v>
      </c>
      <c r="E264" s="716">
        <v>2389.5100000000002</v>
      </c>
    </row>
    <row r="265" spans="1:5" ht="29">
      <c r="A265" s="715">
        <v>42422</v>
      </c>
      <c r="B265" s="633" t="s">
        <v>42115</v>
      </c>
      <c r="C265" s="715" t="s">
        <v>103</v>
      </c>
      <c r="D265" s="715" t="s">
        <v>28018</v>
      </c>
      <c r="E265" s="716">
        <v>3547.31</v>
      </c>
    </row>
    <row r="266" spans="1:5" ht="29">
      <c r="A266" s="715">
        <v>43184</v>
      </c>
      <c r="B266" s="633" t="s">
        <v>42116</v>
      </c>
      <c r="C266" s="715" t="s">
        <v>103</v>
      </c>
      <c r="D266" s="715" t="s">
        <v>40839</v>
      </c>
      <c r="E266" s="716">
        <v>4902.72</v>
      </c>
    </row>
    <row r="267" spans="1:5" ht="29">
      <c r="A267" s="715">
        <v>42424</v>
      </c>
      <c r="B267" s="633" t="s">
        <v>42117</v>
      </c>
      <c r="C267" s="715" t="s">
        <v>103</v>
      </c>
      <c r="D267" s="715" t="s">
        <v>40839</v>
      </c>
      <c r="E267" s="716">
        <v>2134.04</v>
      </c>
    </row>
    <row r="268" spans="1:5" ht="29">
      <c r="A268" s="715">
        <v>42416</v>
      </c>
      <c r="B268" s="633" t="s">
        <v>42118</v>
      </c>
      <c r="C268" s="715" t="s">
        <v>103</v>
      </c>
      <c r="D268" s="715" t="s">
        <v>40839</v>
      </c>
      <c r="E268" s="716">
        <v>9199.61</v>
      </c>
    </row>
    <row r="269" spans="1:5" ht="29">
      <c r="A269" s="715">
        <v>42417</v>
      </c>
      <c r="B269" s="633" t="s">
        <v>42119</v>
      </c>
      <c r="C269" s="715" t="s">
        <v>103</v>
      </c>
      <c r="D269" s="715" t="s">
        <v>40839</v>
      </c>
      <c r="E269" s="716">
        <v>10313.51</v>
      </c>
    </row>
    <row r="270" spans="1:5" ht="29">
      <c r="A270" s="715">
        <v>39826</v>
      </c>
      <c r="B270" s="633" t="s">
        <v>34988</v>
      </c>
      <c r="C270" s="715" t="s">
        <v>103</v>
      </c>
      <c r="D270" s="715" t="s">
        <v>40839</v>
      </c>
      <c r="E270" s="716">
        <v>5578.14</v>
      </c>
    </row>
    <row r="271" spans="1:5" ht="29">
      <c r="A271" s="715">
        <v>42419</v>
      </c>
      <c r="B271" s="633" t="s">
        <v>42120</v>
      </c>
      <c r="C271" s="715" t="s">
        <v>103</v>
      </c>
      <c r="D271" s="715" t="s">
        <v>40839</v>
      </c>
      <c r="E271" s="716">
        <v>11652.08</v>
      </c>
    </row>
    <row r="272" spans="1:5" ht="29">
      <c r="A272" s="715">
        <v>42420</v>
      </c>
      <c r="B272" s="633" t="s">
        <v>42121</v>
      </c>
      <c r="C272" s="715" t="s">
        <v>103</v>
      </c>
      <c r="D272" s="715" t="s">
        <v>40839</v>
      </c>
      <c r="E272" s="716">
        <v>16014.92</v>
      </c>
    </row>
    <row r="273" spans="1:5" ht="43">
      <c r="A273" s="715">
        <v>42421</v>
      </c>
      <c r="B273" s="633" t="s">
        <v>42122</v>
      </c>
      <c r="C273" s="715" t="s">
        <v>103</v>
      </c>
      <c r="D273" s="715" t="s">
        <v>40839</v>
      </c>
      <c r="E273" s="716">
        <v>19430.22</v>
      </c>
    </row>
    <row r="274" spans="1:5" ht="29">
      <c r="A274" s="715">
        <v>39556</v>
      </c>
      <c r="B274" s="633" t="s">
        <v>42123</v>
      </c>
      <c r="C274" s="715" t="s">
        <v>103</v>
      </c>
      <c r="D274" s="715" t="s">
        <v>40839</v>
      </c>
      <c r="E274" s="716">
        <v>6747.68</v>
      </c>
    </row>
    <row r="275" spans="1:5" ht="29">
      <c r="A275" s="715">
        <v>39557</v>
      </c>
      <c r="B275" s="633" t="s">
        <v>42124</v>
      </c>
      <c r="C275" s="715" t="s">
        <v>103</v>
      </c>
      <c r="D275" s="715" t="s">
        <v>40839</v>
      </c>
      <c r="E275" s="716">
        <v>7265.78</v>
      </c>
    </row>
    <row r="276" spans="1:5" ht="29">
      <c r="A276" s="715">
        <v>39559</v>
      </c>
      <c r="B276" s="633" t="s">
        <v>42125</v>
      </c>
      <c r="C276" s="715" t="s">
        <v>103</v>
      </c>
      <c r="D276" s="715" t="s">
        <v>40839</v>
      </c>
      <c r="E276" s="716">
        <v>10737.42</v>
      </c>
    </row>
    <row r="277" spans="1:5" ht="29">
      <c r="A277" s="715">
        <v>39560</v>
      </c>
      <c r="B277" s="633" t="s">
        <v>42126</v>
      </c>
      <c r="C277" s="715" t="s">
        <v>103</v>
      </c>
      <c r="D277" s="715" t="s">
        <v>40839</v>
      </c>
      <c r="E277" s="716">
        <v>12422.15</v>
      </c>
    </row>
    <row r="278" spans="1:5" ht="29">
      <c r="A278" s="715">
        <v>39561</v>
      </c>
      <c r="B278" s="633" t="s">
        <v>42127</v>
      </c>
      <c r="C278" s="715" t="s">
        <v>103</v>
      </c>
      <c r="D278" s="715" t="s">
        <v>40839</v>
      </c>
      <c r="E278" s="716">
        <v>12995.15</v>
      </c>
    </row>
    <row r="279" spans="1:5" ht="29">
      <c r="A279" s="715">
        <v>43195</v>
      </c>
      <c r="B279" s="633" t="s">
        <v>42128</v>
      </c>
      <c r="C279" s="715" t="s">
        <v>103</v>
      </c>
      <c r="D279" s="715" t="s">
        <v>40839</v>
      </c>
      <c r="E279" s="716">
        <v>5639.08</v>
      </c>
    </row>
    <row r="280" spans="1:5" ht="29">
      <c r="A280" s="715">
        <v>43196</v>
      </c>
      <c r="B280" s="633" t="s">
        <v>42129</v>
      </c>
      <c r="C280" s="715" t="s">
        <v>103</v>
      </c>
      <c r="D280" s="715" t="s">
        <v>40839</v>
      </c>
      <c r="E280" s="716">
        <v>6988.83</v>
      </c>
    </row>
    <row r="281" spans="1:5" ht="29">
      <c r="A281" s="715">
        <v>43198</v>
      </c>
      <c r="B281" s="633" t="s">
        <v>42130</v>
      </c>
      <c r="C281" s="715" t="s">
        <v>103</v>
      </c>
      <c r="D281" s="715" t="s">
        <v>40839</v>
      </c>
      <c r="E281" s="716">
        <v>10385.24</v>
      </c>
    </row>
    <row r="282" spans="1:5" ht="29">
      <c r="A282" s="715">
        <v>43199</v>
      </c>
      <c r="B282" s="633" t="s">
        <v>42131</v>
      </c>
      <c r="C282" s="715" t="s">
        <v>103</v>
      </c>
      <c r="D282" s="715" t="s">
        <v>40839</v>
      </c>
      <c r="E282" s="716">
        <v>10765.79</v>
      </c>
    </row>
    <row r="283" spans="1:5" ht="29">
      <c r="A283" s="715">
        <v>43200</v>
      </c>
      <c r="B283" s="633" t="s">
        <v>42132</v>
      </c>
      <c r="C283" s="715" t="s">
        <v>103</v>
      </c>
      <c r="D283" s="715" t="s">
        <v>40839</v>
      </c>
      <c r="E283" s="716">
        <v>12354.53</v>
      </c>
    </row>
    <row r="284" spans="1:5" ht="29">
      <c r="A284" s="715">
        <v>43190</v>
      </c>
      <c r="B284" s="633" t="s">
        <v>42133</v>
      </c>
      <c r="C284" s="715" t="s">
        <v>103</v>
      </c>
      <c r="D284" s="715" t="s">
        <v>40839</v>
      </c>
      <c r="E284" s="716">
        <v>1917.74</v>
      </c>
    </row>
    <row r="285" spans="1:5" ht="43">
      <c r="A285" s="715">
        <v>39555</v>
      </c>
      <c r="B285" s="633" t="s">
        <v>42134</v>
      </c>
      <c r="C285" s="715" t="s">
        <v>103</v>
      </c>
      <c r="D285" s="715" t="s">
        <v>40839</v>
      </c>
      <c r="E285" s="716">
        <v>2074.5</v>
      </c>
    </row>
    <row r="286" spans="1:5" ht="29">
      <c r="A286" s="715">
        <v>43191</v>
      </c>
      <c r="B286" s="633" t="s">
        <v>42135</v>
      </c>
      <c r="C286" s="715" t="s">
        <v>103</v>
      </c>
      <c r="D286" s="715" t="s">
        <v>40839</v>
      </c>
      <c r="E286" s="716">
        <v>2759.37</v>
      </c>
    </row>
    <row r="287" spans="1:5" ht="43">
      <c r="A287" s="715">
        <v>39548</v>
      </c>
      <c r="B287" s="633" t="s">
        <v>42136</v>
      </c>
      <c r="C287" s="715" t="s">
        <v>103</v>
      </c>
      <c r="D287" s="715" t="s">
        <v>40839</v>
      </c>
      <c r="E287" s="716">
        <v>3077.13</v>
      </c>
    </row>
    <row r="288" spans="1:5" ht="29">
      <c r="A288" s="715">
        <v>43192</v>
      </c>
      <c r="B288" s="633" t="s">
        <v>42137</v>
      </c>
      <c r="C288" s="715" t="s">
        <v>103</v>
      </c>
      <c r="D288" s="715" t="s">
        <v>40839</v>
      </c>
      <c r="E288" s="716">
        <v>3614.53</v>
      </c>
    </row>
    <row r="289" spans="1:5" ht="43">
      <c r="A289" s="715">
        <v>39554</v>
      </c>
      <c r="B289" s="633" t="s">
        <v>42138</v>
      </c>
      <c r="C289" s="715" t="s">
        <v>103</v>
      </c>
      <c r="D289" s="715" t="s">
        <v>40839</v>
      </c>
      <c r="E289" s="716">
        <v>4069.04</v>
      </c>
    </row>
    <row r="290" spans="1:5" ht="29">
      <c r="A290" s="715">
        <v>43194</v>
      </c>
      <c r="B290" s="633" t="s">
        <v>42139</v>
      </c>
      <c r="C290" s="715" t="s">
        <v>103</v>
      </c>
      <c r="D290" s="715" t="s">
        <v>40839</v>
      </c>
      <c r="E290" s="716">
        <v>1642.87</v>
      </c>
    </row>
    <row r="291" spans="1:5" ht="29">
      <c r="A291" s="715">
        <v>39551</v>
      </c>
      <c r="B291" s="633" t="s">
        <v>42140</v>
      </c>
      <c r="C291" s="715" t="s">
        <v>103</v>
      </c>
      <c r="D291" s="715" t="s">
        <v>40839</v>
      </c>
      <c r="E291" s="716">
        <v>1808.98</v>
      </c>
    </row>
    <row r="292" spans="1:5" ht="29">
      <c r="A292" s="715">
        <v>43185</v>
      </c>
      <c r="B292" s="633" t="s">
        <v>42141</v>
      </c>
      <c r="C292" s="715" t="s">
        <v>103</v>
      </c>
      <c r="D292" s="715" t="s">
        <v>40839</v>
      </c>
      <c r="E292" s="716">
        <v>5140.79</v>
      </c>
    </row>
    <row r="293" spans="1:5" ht="29">
      <c r="A293" s="715">
        <v>43186</v>
      </c>
      <c r="B293" s="633" t="s">
        <v>42142</v>
      </c>
      <c r="C293" s="715" t="s">
        <v>103</v>
      </c>
      <c r="D293" s="715" t="s">
        <v>40839</v>
      </c>
      <c r="E293" s="716">
        <v>5422.49</v>
      </c>
    </row>
    <row r="294" spans="1:5" ht="29">
      <c r="A294" s="715">
        <v>43187</v>
      </c>
      <c r="B294" s="633" t="s">
        <v>42143</v>
      </c>
      <c r="C294" s="715" t="s">
        <v>103</v>
      </c>
      <c r="D294" s="715" t="s">
        <v>40839</v>
      </c>
      <c r="E294" s="716">
        <v>7195.7</v>
      </c>
    </row>
    <row r="295" spans="1:5" ht="29">
      <c r="A295" s="715">
        <v>43188</v>
      </c>
      <c r="B295" s="633" t="s">
        <v>42144</v>
      </c>
      <c r="C295" s="715" t="s">
        <v>103</v>
      </c>
      <c r="D295" s="715" t="s">
        <v>40839</v>
      </c>
      <c r="E295" s="716">
        <v>8718.5499999999993</v>
      </c>
    </row>
    <row r="296" spans="1:5" ht="29">
      <c r="A296" s="715">
        <v>43189</v>
      </c>
      <c r="B296" s="633" t="s">
        <v>42145</v>
      </c>
      <c r="C296" s="715" t="s">
        <v>103</v>
      </c>
      <c r="D296" s="715" t="s">
        <v>40839</v>
      </c>
      <c r="E296" s="716">
        <v>9806.91</v>
      </c>
    </row>
    <row r="297" spans="1:5">
      <c r="A297" s="715">
        <v>346</v>
      </c>
      <c r="B297" s="633" t="s">
        <v>34989</v>
      </c>
      <c r="C297" s="715" t="s">
        <v>207</v>
      </c>
      <c r="D297" s="715" t="s">
        <v>40839</v>
      </c>
      <c r="E297" s="716">
        <v>25.66</v>
      </c>
    </row>
    <row r="298" spans="1:5">
      <c r="A298" s="715">
        <v>3312</v>
      </c>
      <c r="B298" s="633" t="s">
        <v>34990</v>
      </c>
      <c r="C298" s="715" t="s">
        <v>207</v>
      </c>
      <c r="D298" s="715" t="s">
        <v>40839</v>
      </c>
      <c r="E298" s="716">
        <v>22.72</v>
      </c>
    </row>
    <row r="299" spans="1:5">
      <c r="A299" s="715">
        <v>339</v>
      </c>
      <c r="B299" s="633" t="s">
        <v>34991</v>
      </c>
      <c r="C299" s="715" t="s">
        <v>165</v>
      </c>
      <c r="D299" s="715" t="s">
        <v>40839</v>
      </c>
      <c r="E299" s="716">
        <v>1.32</v>
      </c>
    </row>
    <row r="300" spans="1:5">
      <c r="A300" s="715">
        <v>340</v>
      </c>
      <c r="B300" s="633" t="s">
        <v>34992</v>
      </c>
      <c r="C300" s="715" t="s">
        <v>165</v>
      </c>
      <c r="D300" s="715" t="s">
        <v>40839</v>
      </c>
      <c r="E300" s="716">
        <v>1.19</v>
      </c>
    </row>
    <row r="301" spans="1:5" ht="29">
      <c r="A301" s="715">
        <v>43130</v>
      </c>
      <c r="B301" s="633" t="s">
        <v>34993</v>
      </c>
      <c r="C301" s="715" t="s">
        <v>207</v>
      </c>
      <c r="D301" s="715" t="s">
        <v>28018</v>
      </c>
      <c r="E301" s="716">
        <v>21.66</v>
      </c>
    </row>
    <row r="302" spans="1:5">
      <c r="A302" s="715">
        <v>344</v>
      </c>
      <c r="B302" s="633" t="s">
        <v>34994</v>
      </c>
      <c r="C302" s="715" t="s">
        <v>207</v>
      </c>
      <c r="D302" s="715" t="s">
        <v>40839</v>
      </c>
      <c r="E302" s="716">
        <v>28.47</v>
      </c>
    </row>
    <row r="303" spans="1:5">
      <c r="A303" s="715">
        <v>345</v>
      </c>
      <c r="B303" s="633" t="s">
        <v>34995</v>
      </c>
      <c r="C303" s="715" t="s">
        <v>207</v>
      </c>
      <c r="D303" s="715" t="s">
        <v>40839</v>
      </c>
      <c r="E303" s="716">
        <v>30.89</v>
      </c>
    </row>
    <row r="304" spans="1:5" ht="29">
      <c r="A304" s="715">
        <v>43131</v>
      </c>
      <c r="B304" s="633" t="s">
        <v>32574</v>
      </c>
      <c r="C304" s="715" t="s">
        <v>207</v>
      </c>
      <c r="D304" s="715" t="s">
        <v>40839</v>
      </c>
      <c r="E304" s="716">
        <v>25.16</v>
      </c>
    </row>
    <row r="305" spans="1:5">
      <c r="A305" s="715">
        <v>3313</v>
      </c>
      <c r="B305" s="633" t="s">
        <v>34996</v>
      </c>
      <c r="C305" s="715" t="s">
        <v>207</v>
      </c>
      <c r="D305" s="715" t="s">
        <v>40839</v>
      </c>
      <c r="E305" s="716">
        <v>29.24</v>
      </c>
    </row>
    <row r="306" spans="1:5">
      <c r="A306" s="715">
        <v>43132</v>
      </c>
      <c r="B306" s="633" t="s">
        <v>34997</v>
      </c>
      <c r="C306" s="715" t="s">
        <v>207</v>
      </c>
      <c r="D306" s="715" t="s">
        <v>40839</v>
      </c>
      <c r="E306" s="716">
        <v>21.66</v>
      </c>
    </row>
    <row r="307" spans="1:5">
      <c r="A307" s="715">
        <v>45245</v>
      </c>
      <c r="B307" s="633" t="s">
        <v>40843</v>
      </c>
      <c r="C307" s="715" t="s">
        <v>103</v>
      </c>
      <c r="D307" s="715" t="s">
        <v>40839</v>
      </c>
      <c r="E307" s="716">
        <v>43.26</v>
      </c>
    </row>
    <row r="308" spans="1:5">
      <c r="A308" s="715">
        <v>366</v>
      </c>
      <c r="B308" s="633" t="s">
        <v>34998</v>
      </c>
      <c r="C308" s="715" t="s">
        <v>121</v>
      </c>
      <c r="D308" s="715" t="s">
        <v>28018</v>
      </c>
      <c r="E308" s="716">
        <v>92</v>
      </c>
    </row>
    <row r="309" spans="1:5" ht="29">
      <c r="A309" s="715">
        <v>367</v>
      </c>
      <c r="B309" s="633" t="s">
        <v>34999</v>
      </c>
      <c r="C309" s="715" t="s">
        <v>121</v>
      </c>
      <c r="D309" s="715" t="s">
        <v>40839</v>
      </c>
      <c r="E309" s="716">
        <v>93.2</v>
      </c>
    </row>
    <row r="310" spans="1:5">
      <c r="A310" s="715">
        <v>370</v>
      </c>
      <c r="B310" s="633" t="s">
        <v>35000</v>
      </c>
      <c r="C310" s="715" t="s">
        <v>121</v>
      </c>
      <c r="D310" s="715" t="s">
        <v>40839</v>
      </c>
      <c r="E310" s="716">
        <v>92</v>
      </c>
    </row>
    <row r="311" spans="1:5" ht="29">
      <c r="A311" s="715">
        <v>368</v>
      </c>
      <c r="B311" s="633" t="s">
        <v>35001</v>
      </c>
      <c r="C311" s="715" t="s">
        <v>121</v>
      </c>
      <c r="D311" s="715" t="s">
        <v>40839</v>
      </c>
      <c r="E311" s="716">
        <v>46</v>
      </c>
    </row>
    <row r="312" spans="1:5" ht="29">
      <c r="A312" s="715">
        <v>11075</v>
      </c>
      <c r="B312" s="633" t="s">
        <v>35002</v>
      </c>
      <c r="C312" s="715" t="s">
        <v>121</v>
      </c>
      <c r="D312" s="715" t="s">
        <v>40839</v>
      </c>
      <c r="E312" s="716">
        <v>1055.8699999999999</v>
      </c>
    </row>
    <row r="313" spans="1:5">
      <c r="A313" s="715">
        <v>1381</v>
      </c>
      <c r="B313" s="633" t="s">
        <v>35003</v>
      </c>
      <c r="C313" s="715" t="s">
        <v>207</v>
      </c>
      <c r="D313" s="715" t="s">
        <v>28018</v>
      </c>
      <c r="E313" s="716">
        <v>0.8</v>
      </c>
    </row>
    <row r="314" spans="1:5">
      <c r="A314" s="715">
        <v>34353</v>
      </c>
      <c r="B314" s="633" t="s">
        <v>35004</v>
      </c>
      <c r="C314" s="715" t="s">
        <v>207</v>
      </c>
      <c r="D314" s="715" t="s">
        <v>40839</v>
      </c>
      <c r="E314" s="716">
        <v>1.49</v>
      </c>
    </row>
    <row r="315" spans="1:5">
      <c r="A315" s="715">
        <v>37595</v>
      </c>
      <c r="B315" s="633" t="s">
        <v>35005</v>
      </c>
      <c r="C315" s="715" t="s">
        <v>207</v>
      </c>
      <c r="D315" s="715" t="s">
        <v>40839</v>
      </c>
      <c r="E315" s="716">
        <v>2.46</v>
      </c>
    </row>
    <row r="316" spans="1:5">
      <c r="A316" s="715">
        <v>37596</v>
      </c>
      <c r="B316" s="633" t="s">
        <v>35006</v>
      </c>
      <c r="C316" s="715" t="s">
        <v>207</v>
      </c>
      <c r="D316" s="715" t="s">
        <v>40839</v>
      </c>
      <c r="E316" s="716">
        <v>2.82</v>
      </c>
    </row>
    <row r="317" spans="1:5" ht="29">
      <c r="A317" s="715">
        <v>371</v>
      </c>
      <c r="B317" s="633" t="s">
        <v>35007</v>
      </c>
      <c r="C317" s="715" t="s">
        <v>207</v>
      </c>
      <c r="D317" s="715" t="s">
        <v>40839</v>
      </c>
      <c r="E317" s="716">
        <v>0.87</v>
      </c>
    </row>
    <row r="318" spans="1:5">
      <c r="A318" s="715">
        <v>37553</v>
      </c>
      <c r="B318" s="633" t="s">
        <v>32558</v>
      </c>
      <c r="C318" s="715" t="s">
        <v>207</v>
      </c>
      <c r="D318" s="715" t="s">
        <v>40839</v>
      </c>
      <c r="E318" s="716">
        <v>1.63</v>
      </c>
    </row>
    <row r="319" spans="1:5">
      <c r="A319" s="715">
        <v>37552</v>
      </c>
      <c r="B319" s="633" t="s">
        <v>35008</v>
      </c>
      <c r="C319" s="715" t="s">
        <v>207</v>
      </c>
      <c r="D319" s="715" t="s">
        <v>40839</v>
      </c>
      <c r="E319" s="716">
        <v>2.63</v>
      </c>
    </row>
    <row r="320" spans="1:5">
      <c r="A320" s="715">
        <v>36880</v>
      </c>
      <c r="B320" s="633" t="s">
        <v>35009</v>
      </c>
      <c r="C320" s="715" t="s">
        <v>207</v>
      </c>
      <c r="D320" s="715" t="s">
        <v>40839</v>
      </c>
      <c r="E320" s="716">
        <v>2.67</v>
      </c>
    </row>
    <row r="321" spans="1:5">
      <c r="A321" s="715">
        <v>34355</v>
      </c>
      <c r="B321" s="633" t="s">
        <v>35010</v>
      </c>
      <c r="C321" s="715" t="s">
        <v>207</v>
      </c>
      <c r="D321" s="715" t="s">
        <v>40839</v>
      </c>
      <c r="E321" s="716">
        <v>2.2999999999999998</v>
      </c>
    </row>
    <row r="322" spans="1:5">
      <c r="A322" s="715">
        <v>130</v>
      </c>
      <c r="B322" s="633" t="s">
        <v>35011</v>
      </c>
      <c r="C322" s="715" t="s">
        <v>207</v>
      </c>
      <c r="D322" s="715" t="s">
        <v>40839</v>
      </c>
      <c r="E322" s="716">
        <v>4.05</v>
      </c>
    </row>
    <row r="323" spans="1:5" ht="29">
      <c r="A323" s="715">
        <v>135</v>
      </c>
      <c r="B323" s="633" t="s">
        <v>35012</v>
      </c>
      <c r="C323" s="715" t="s">
        <v>207</v>
      </c>
      <c r="D323" s="715" t="s">
        <v>40839</v>
      </c>
      <c r="E323" s="716">
        <v>3.26</v>
      </c>
    </row>
    <row r="324" spans="1:5">
      <c r="A324" s="715">
        <v>36886</v>
      </c>
      <c r="B324" s="633" t="s">
        <v>35013</v>
      </c>
      <c r="C324" s="715" t="s">
        <v>207</v>
      </c>
      <c r="D324" s="715" t="s">
        <v>40839</v>
      </c>
      <c r="E324" s="716">
        <v>0.83</v>
      </c>
    </row>
    <row r="325" spans="1:5" ht="29">
      <c r="A325" s="715">
        <v>38546</v>
      </c>
      <c r="B325" s="633" t="s">
        <v>35014</v>
      </c>
      <c r="C325" s="715" t="s">
        <v>121</v>
      </c>
      <c r="D325" s="715" t="s">
        <v>40839</v>
      </c>
      <c r="E325" s="716">
        <v>515.55999999999995</v>
      </c>
    </row>
    <row r="326" spans="1:5">
      <c r="A326" s="715">
        <v>34549</v>
      </c>
      <c r="B326" s="633" t="s">
        <v>35015</v>
      </c>
      <c r="C326" s="715" t="s">
        <v>121</v>
      </c>
      <c r="D326" s="715" t="s">
        <v>40839</v>
      </c>
      <c r="E326" s="716">
        <v>820.22</v>
      </c>
    </row>
    <row r="327" spans="1:5">
      <c r="A327" s="715">
        <v>6081</v>
      </c>
      <c r="B327" s="633" t="s">
        <v>35016</v>
      </c>
      <c r="C327" s="715" t="s">
        <v>121</v>
      </c>
      <c r="D327" s="715" t="s">
        <v>40839</v>
      </c>
      <c r="E327" s="716">
        <v>57.41</v>
      </c>
    </row>
    <row r="328" spans="1:5">
      <c r="A328" s="715">
        <v>6077</v>
      </c>
      <c r="B328" s="633" t="s">
        <v>35017</v>
      </c>
      <c r="C328" s="715" t="s">
        <v>121</v>
      </c>
      <c r="D328" s="715" t="s">
        <v>40839</v>
      </c>
      <c r="E328" s="716">
        <v>41.01</v>
      </c>
    </row>
    <row r="329" spans="1:5" ht="29">
      <c r="A329" s="715">
        <v>6079</v>
      </c>
      <c r="B329" s="633" t="s">
        <v>35018</v>
      </c>
      <c r="C329" s="715" t="s">
        <v>121</v>
      </c>
      <c r="D329" s="715" t="s">
        <v>40839</v>
      </c>
      <c r="E329" s="716">
        <v>41.01</v>
      </c>
    </row>
    <row r="330" spans="1:5" ht="29">
      <c r="A330" s="715">
        <v>1091</v>
      </c>
      <c r="B330" s="633" t="s">
        <v>35019</v>
      </c>
      <c r="C330" s="715" t="s">
        <v>103</v>
      </c>
      <c r="D330" s="715" t="s">
        <v>40839</v>
      </c>
      <c r="E330" s="716">
        <v>26.08</v>
      </c>
    </row>
    <row r="331" spans="1:5" ht="29">
      <c r="A331" s="715">
        <v>1094</v>
      </c>
      <c r="B331" s="633" t="s">
        <v>35020</v>
      </c>
      <c r="C331" s="715" t="s">
        <v>103</v>
      </c>
      <c r="D331" s="715" t="s">
        <v>40839</v>
      </c>
      <c r="E331" s="716">
        <v>18.239999999999998</v>
      </c>
    </row>
    <row r="332" spans="1:5" ht="29">
      <c r="A332" s="715">
        <v>1095</v>
      </c>
      <c r="B332" s="633" t="s">
        <v>35021</v>
      </c>
      <c r="C332" s="715" t="s">
        <v>103</v>
      </c>
      <c r="D332" s="715" t="s">
        <v>40839</v>
      </c>
      <c r="E332" s="716">
        <v>38.770000000000003</v>
      </c>
    </row>
    <row r="333" spans="1:5" ht="29">
      <c r="A333" s="715">
        <v>1092</v>
      </c>
      <c r="B333" s="633" t="s">
        <v>35022</v>
      </c>
      <c r="C333" s="715" t="s">
        <v>103</v>
      </c>
      <c r="D333" s="715" t="s">
        <v>28018</v>
      </c>
      <c r="E333" s="716">
        <v>30</v>
      </c>
    </row>
    <row r="334" spans="1:5" ht="29">
      <c r="A334" s="715">
        <v>1093</v>
      </c>
      <c r="B334" s="633" t="s">
        <v>35023</v>
      </c>
      <c r="C334" s="715" t="s">
        <v>103</v>
      </c>
      <c r="D334" s="715" t="s">
        <v>40839</v>
      </c>
      <c r="E334" s="716">
        <v>70.06</v>
      </c>
    </row>
    <row r="335" spans="1:5" ht="29">
      <c r="A335" s="715">
        <v>1090</v>
      </c>
      <c r="B335" s="633" t="s">
        <v>35024</v>
      </c>
      <c r="C335" s="715" t="s">
        <v>103</v>
      </c>
      <c r="D335" s="715" t="s">
        <v>40839</v>
      </c>
      <c r="E335" s="716">
        <v>50.16</v>
      </c>
    </row>
    <row r="336" spans="1:5" ht="29">
      <c r="A336" s="715">
        <v>1096</v>
      </c>
      <c r="B336" s="633" t="s">
        <v>35025</v>
      </c>
      <c r="C336" s="715" t="s">
        <v>103</v>
      </c>
      <c r="D336" s="715" t="s">
        <v>40839</v>
      </c>
      <c r="E336" s="716">
        <v>90.27</v>
      </c>
    </row>
    <row r="337" spans="1:5" ht="29">
      <c r="A337" s="715">
        <v>1097</v>
      </c>
      <c r="B337" s="633" t="s">
        <v>35026</v>
      </c>
      <c r="C337" s="715" t="s">
        <v>103</v>
      </c>
      <c r="D337" s="715" t="s">
        <v>40839</v>
      </c>
      <c r="E337" s="716">
        <v>76.63</v>
      </c>
    </row>
    <row r="338" spans="1:5">
      <c r="A338" s="715">
        <v>378</v>
      </c>
      <c r="B338" s="633" t="s">
        <v>35027</v>
      </c>
      <c r="C338" s="715" t="s">
        <v>11</v>
      </c>
      <c r="D338" s="715" t="s">
        <v>40839</v>
      </c>
      <c r="E338" s="716">
        <v>26.03</v>
      </c>
    </row>
    <row r="339" spans="1:5">
      <c r="A339" s="715">
        <v>40911</v>
      </c>
      <c r="B339" s="633" t="s">
        <v>35028</v>
      </c>
      <c r="C339" s="715" t="s">
        <v>27629</v>
      </c>
      <c r="D339" s="715" t="s">
        <v>40839</v>
      </c>
      <c r="E339" s="716">
        <v>4560.57</v>
      </c>
    </row>
    <row r="340" spans="1:5">
      <c r="A340" s="715">
        <v>33939</v>
      </c>
      <c r="B340" s="633" t="s">
        <v>35029</v>
      </c>
      <c r="C340" s="715" t="s">
        <v>11</v>
      </c>
      <c r="D340" s="715" t="s">
        <v>40839</v>
      </c>
      <c r="E340" s="716">
        <v>130.44</v>
      </c>
    </row>
    <row r="341" spans="1:5">
      <c r="A341" s="715">
        <v>40815</v>
      </c>
      <c r="B341" s="633" t="s">
        <v>35030</v>
      </c>
      <c r="C341" s="715" t="s">
        <v>27629</v>
      </c>
      <c r="D341" s="715" t="s">
        <v>40839</v>
      </c>
      <c r="E341" s="716">
        <v>22850.080000000002</v>
      </c>
    </row>
    <row r="342" spans="1:5">
      <c r="A342" s="715">
        <v>33952</v>
      </c>
      <c r="B342" s="633" t="s">
        <v>35031</v>
      </c>
      <c r="C342" s="715" t="s">
        <v>11</v>
      </c>
      <c r="D342" s="715" t="s">
        <v>40839</v>
      </c>
      <c r="E342" s="716">
        <v>137.62</v>
      </c>
    </row>
    <row r="343" spans="1:5">
      <c r="A343" s="715">
        <v>40816</v>
      </c>
      <c r="B343" s="633" t="s">
        <v>35032</v>
      </c>
      <c r="C343" s="715" t="s">
        <v>27629</v>
      </c>
      <c r="D343" s="715" t="s">
        <v>40839</v>
      </c>
      <c r="E343" s="716">
        <v>24107.599999999999</v>
      </c>
    </row>
    <row r="344" spans="1:5">
      <c r="A344" s="715">
        <v>33953</v>
      </c>
      <c r="B344" s="633" t="s">
        <v>35033</v>
      </c>
      <c r="C344" s="715" t="s">
        <v>11</v>
      </c>
      <c r="D344" s="715" t="s">
        <v>40839</v>
      </c>
      <c r="E344" s="716">
        <v>147.13</v>
      </c>
    </row>
    <row r="345" spans="1:5">
      <c r="A345" s="715">
        <v>40817</v>
      </c>
      <c r="B345" s="633" t="s">
        <v>35034</v>
      </c>
      <c r="C345" s="715" t="s">
        <v>27629</v>
      </c>
      <c r="D345" s="715" t="s">
        <v>40839</v>
      </c>
      <c r="E345" s="716">
        <v>25772.89</v>
      </c>
    </row>
    <row r="346" spans="1:5" ht="29">
      <c r="A346" s="715">
        <v>13348</v>
      </c>
      <c r="B346" s="633" t="s">
        <v>42146</v>
      </c>
      <c r="C346" s="715" t="s">
        <v>103</v>
      </c>
      <c r="D346" s="715" t="s">
        <v>40839</v>
      </c>
      <c r="E346" s="716">
        <v>1.47</v>
      </c>
    </row>
    <row r="347" spans="1:5">
      <c r="A347" s="715">
        <v>39212</v>
      </c>
      <c r="B347" s="633" t="s">
        <v>35035</v>
      </c>
      <c r="C347" s="715" t="s">
        <v>103</v>
      </c>
      <c r="D347" s="715" t="s">
        <v>40839</v>
      </c>
      <c r="E347" s="716">
        <v>2.25</v>
      </c>
    </row>
    <row r="348" spans="1:5">
      <c r="A348" s="715">
        <v>39211</v>
      </c>
      <c r="B348" s="633" t="s">
        <v>35036</v>
      </c>
      <c r="C348" s="715" t="s">
        <v>103</v>
      </c>
      <c r="D348" s="715" t="s">
        <v>40839</v>
      </c>
      <c r="E348" s="716">
        <v>2.0099999999999998</v>
      </c>
    </row>
    <row r="349" spans="1:5">
      <c r="A349" s="715">
        <v>39210</v>
      </c>
      <c r="B349" s="633" t="s">
        <v>35037</v>
      </c>
      <c r="C349" s="715" t="s">
        <v>103</v>
      </c>
      <c r="D349" s="715" t="s">
        <v>40839</v>
      </c>
      <c r="E349" s="716">
        <v>1.1299999999999999</v>
      </c>
    </row>
    <row r="350" spans="1:5">
      <c r="A350" s="715">
        <v>39208</v>
      </c>
      <c r="B350" s="633" t="s">
        <v>35038</v>
      </c>
      <c r="C350" s="715" t="s">
        <v>103</v>
      </c>
      <c r="D350" s="715" t="s">
        <v>40839</v>
      </c>
      <c r="E350" s="716">
        <v>0.61</v>
      </c>
    </row>
    <row r="351" spans="1:5">
      <c r="A351" s="715">
        <v>39214</v>
      </c>
      <c r="B351" s="633" t="s">
        <v>35039</v>
      </c>
      <c r="C351" s="715" t="s">
        <v>103</v>
      </c>
      <c r="D351" s="715" t="s">
        <v>40839</v>
      </c>
      <c r="E351" s="716">
        <v>4.16</v>
      </c>
    </row>
    <row r="352" spans="1:5">
      <c r="A352" s="715">
        <v>39213</v>
      </c>
      <c r="B352" s="633" t="s">
        <v>35040</v>
      </c>
      <c r="C352" s="715" t="s">
        <v>103</v>
      </c>
      <c r="D352" s="715" t="s">
        <v>40839</v>
      </c>
      <c r="E352" s="716">
        <v>2.94</v>
      </c>
    </row>
    <row r="353" spans="1:5">
      <c r="A353" s="715">
        <v>39215</v>
      </c>
      <c r="B353" s="633" t="s">
        <v>35041</v>
      </c>
      <c r="C353" s="715" t="s">
        <v>103</v>
      </c>
      <c r="D353" s="715" t="s">
        <v>40839</v>
      </c>
      <c r="E353" s="716">
        <v>7.58</v>
      </c>
    </row>
    <row r="354" spans="1:5">
      <c r="A354" s="715">
        <v>39209</v>
      </c>
      <c r="B354" s="633" t="s">
        <v>35042</v>
      </c>
      <c r="C354" s="715" t="s">
        <v>103</v>
      </c>
      <c r="D354" s="715" t="s">
        <v>40839</v>
      </c>
      <c r="E354" s="716">
        <v>0.73</v>
      </c>
    </row>
    <row r="355" spans="1:5">
      <c r="A355" s="715">
        <v>39207</v>
      </c>
      <c r="B355" s="633" t="s">
        <v>35043</v>
      </c>
      <c r="C355" s="715" t="s">
        <v>103</v>
      </c>
      <c r="D355" s="715" t="s">
        <v>40839</v>
      </c>
      <c r="E355" s="716">
        <v>1.1299999999999999</v>
      </c>
    </row>
    <row r="356" spans="1:5">
      <c r="A356" s="715">
        <v>39216</v>
      </c>
      <c r="B356" s="633" t="s">
        <v>35044</v>
      </c>
      <c r="C356" s="715" t="s">
        <v>103</v>
      </c>
      <c r="D356" s="715" t="s">
        <v>40839</v>
      </c>
      <c r="E356" s="716">
        <v>10.58</v>
      </c>
    </row>
    <row r="357" spans="1:5" ht="29">
      <c r="A357" s="715">
        <v>11267</v>
      </c>
      <c r="B357" s="633" t="s">
        <v>35045</v>
      </c>
      <c r="C357" s="715" t="s">
        <v>103</v>
      </c>
      <c r="D357" s="715" t="s">
        <v>40839</v>
      </c>
      <c r="E357" s="716">
        <v>1.29</v>
      </c>
    </row>
    <row r="358" spans="1:5" ht="29">
      <c r="A358" s="715">
        <v>379</v>
      </c>
      <c r="B358" s="633" t="s">
        <v>42147</v>
      </c>
      <c r="C358" s="715" t="s">
        <v>103</v>
      </c>
      <c r="D358" s="715" t="s">
        <v>40839</v>
      </c>
      <c r="E358" s="716">
        <v>1.29</v>
      </c>
    </row>
    <row r="359" spans="1:5" ht="29">
      <c r="A359" s="715">
        <v>510</v>
      </c>
      <c r="B359" s="633" t="s">
        <v>35046</v>
      </c>
      <c r="C359" s="715" t="s">
        <v>207</v>
      </c>
      <c r="D359" s="715" t="s">
        <v>40839</v>
      </c>
      <c r="E359" s="716">
        <v>12.64</v>
      </c>
    </row>
    <row r="360" spans="1:5" ht="29">
      <c r="A360" s="715">
        <v>516</v>
      </c>
      <c r="B360" s="633" t="s">
        <v>35047</v>
      </c>
      <c r="C360" s="715" t="s">
        <v>207</v>
      </c>
      <c r="D360" s="715" t="s">
        <v>40839</v>
      </c>
      <c r="E360" s="716">
        <v>14.97</v>
      </c>
    </row>
    <row r="361" spans="1:5" ht="29">
      <c r="A361" s="715">
        <v>509</v>
      </c>
      <c r="B361" s="633" t="s">
        <v>35048</v>
      </c>
      <c r="C361" s="715" t="s">
        <v>207</v>
      </c>
      <c r="D361" s="715" t="s">
        <v>40839</v>
      </c>
      <c r="E361" s="716">
        <v>16.8</v>
      </c>
    </row>
    <row r="362" spans="1:5">
      <c r="A362" s="715">
        <v>40331</v>
      </c>
      <c r="B362" s="633" t="s">
        <v>35049</v>
      </c>
      <c r="C362" s="715" t="s">
        <v>11</v>
      </c>
      <c r="D362" s="715" t="s">
        <v>40839</v>
      </c>
      <c r="E362" s="716">
        <v>23.73</v>
      </c>
    </row>
    <row r="363" spans="1:5">
      <c r="A363" s="715">
        <v>40930</v>
      </c>
      <c r="B363" s="633" t="s">
        <v>35050</v>
      </c>
      <c r="C363" s="715" t="s">
        <v>27629</v>
      </c>
      <c r="D363" s="715" t="s">
        <v>40839</v>
      </c>
      <c r="E363" s="716">
        <v>4158.97</v>
      </c>
    </row>
    <row r="364" spans="1:5">
      <c r="A364" s="715">
        <v>377</v>
      </c>
      <c r="B364" s="633" t="s">
        <v>35051</v>
      </c>
      <c r="C364" s="715" t="s">
        <v>103</v>
      </c>
      <c r="D364" s="715" t="s">
        <v>28018</v>
      </c>
      <c r="E364" s="716">
        <v>40.200000000000003</v>
      </c>
    </row>
    <row r="365" spans="1:5">
      <c r="A365" s="715">
        <v>11761</v>
      </c>
      <c r="B365" s="633" t="s">
        <v>35052</v>
      </c>
      <c r="C365" s="715" t="s">
        <v>103</v>
      </c>
      <c r="D365" s="715" t="s">
        <v>40839</v>
      </c>
      <c r="E365" s="716">
        <v>85.55</v>
      </c>
    </row>
    <row r="366" spans="1:5">
      <c r="A366" s="715">
        <v>7588</v>
      </c>
      <c r="B366" s="633" t="s">
        <v>35053</v>
      </c>
      <c r="C366" s="715" t="s">
        <v>103</v>
      </c>
      <c r="D366" s="715" t="s">
        <v>28018</v>
      </c>
      <c r="E366" s="716">
        <v>44.29</v>
      </c>
    </row>
    <row r="367" spans="1:5">
      <c r="A367" s="715">
        <v>34551</v>
      </c>
      <c r="B367" s="633" t="s">
        <v>35054</v>
      </c>
      <c r="C367" s="715" t="s">
        <v>11</v>
      </c>
      <c r="D367" s="715" t="s">
        <v>40839</v>
      </c>
      <c r="E367" s="716">
        <v>21.39</v>
      </c>
    </row>
    <row r="368" spans="1:5">
      <c r="A368" s="715">
        <v>41078</v>
      </c>
      <c r="B368" s="633" t="s">
        <v>35055</v>
      </c>
      <c r="C368" s="715" t="s">
        <v>27629</v>
      </c>
      <c r="D368" s="715" t="s">
        <v>40839</v>
      </c>
      <c r="E368" s="716">
        <v>3748.94</v>
      </c>
    </row>
    <row r="369" spans="1:5">
      <c r="A369" s="715">
        <v>246</v>
      </c>
      <c r="B369" s="633" t="s">
        <v>35056</v>
      </c>
      <c r="C369" s="715" t="s">
        <v>11</v>
      </c>
      <c r="D369" s="715" t="s">
        <v>40839</v>
      </c>
      <c r="E369" s="716">
        <v>23.82</v>
      </c>
    </row>
    <row r="370" spans="1:5">
      <c r="A370" s="715">
        <v>40927</v>
      </c>
      <c r="B370" s="633" t="s">
        <v>35057</v>
      </c>
      <c r="C370" s="715" t="s">
        <v>27629</v>
      </c>
      <c r="D370" s="715" t="s">
        <v>40839</v>
      </c>
      <c r="E370" s="716">
        <v>4173.53</v>
      </c>
    </row>
    <row r="371" spans="1:5">
      <c r="A371" s="715">
        <v>2350</v>
      </c>
      <c r="B371" s="633" t="s">
        <v>35058</v>
      </c>
      <c r="C371" s="715" t="s">
        <v>11</v>
      </c>
      <c r="D371" s="715" t="s">
        <v>40839</v>
      </c>
      <c r="E371" s="716">
        <v>31.82</v>
      </c>
    </row>
    <row r="372" spans="1:5">
      <c r="A372" s="715">
        <v>40812</v>
      </c>
      <c r="B372" s="633" t="s">
        <v>35059</v>
      </c>
      <c r="C372" s="715" t="s">
        <v>27629</v>
      </c>
      <c r="D372" s="715" t="s">
        <v>40839</v>
      </c>
      <c r="E372" s="716">
        <v>5577.28</v>
      </c>
    </row>
    <row r="373" spans="1:5">
      <c r="A373" s="715">
        <v>245</v>
      </c>
      <c r="B373" s="633" t="s">
        <v>35060</v>
      </c>
      <c r="C373" s="715" t="s">
        <v>11</v>
      </c>
      <c r="D373" s="715" t="s">
        <v>40839</v>
      </c>
      <c r="E373" s="716">
        <v>40.44</v>
      </c>
    </row>
    <row r="374" spans="1:5">
      <c r="A374" s="715">
        <v>41090</v>
      </c>
      <c r="B374" s="633" t="s">
        <v>35061</v>
      </c>
      <c r="C374" s="715" t="s">
        <v>27629</v>
      </c>
      <c r="D374" s="715" t="s">
        <v>40839</v>
      </c>
      <c r="E374" s="716">
        <v>7086.38</v>
      </c>
    </row>
    <row r="375" spans="1:5">
      <c r="A375" s="715">
        <v>251</v>
      </c>
      <c r="B375" s="633" t="s">
        <v>35062</v>
      </c>
      <c r="C375" s="715" t="s">
        <v>11</v>
      </c>
      <c r="D375" s="715" t="s">
        <v>40839</v>
      </c>
      <c r="E375" s="716">
        <v>23.82</v>
      </c>
    </row>
    <row r="376" spans="1:5">
      <c r="A376" s="715">
        <v>40975</v>
      </c>
      <c r="B376" s="633" t="s">
        <v>35063</v>
      </c>
      <c r="C376" s="715" t="s">
        <v>27629</v>
      </c>
      <c r="D376" s="715" t="s">
        <v>40839</v>
      </c>
      <c r="E376" s="716">
        <v>4173.53</v>
      </c>
    </row>
    <row r="377" spans="1:5">
      <c r="A377" s="715">
        <v>6127</v>
      </c>
      <c r="B377" s="633" t="s">
        <v>35064</v>
      </c>
      <c r="C377" s="715" t="s">
        <v>11</v>
      </c>
      <c r="D377" s="715" t="s">
        <v>40839</v>
      </c>
      <c r="E377" s="716">
        <v>23.82</v>
      </c>
    </row>
    <row r="378" spans="1:5">
      <c r="A378" s="715">
        <v>41072</v>
      </c>
      <c r="B378" s="633" t="s">
        <v>35065</v>
      </c>
      <c r="C378" s="715" t="s">
        <v>27629</v>
      </c>
      <c r="D378" s="715" t="s">
        <v>40839</v>
      </c>
      <c r="E378" s="716">
        <v>4173.53</v>
      </c>
    </row>
    <row r="379" spans="1:5">
      <c r="A379" s="715">
        <v>6121</v>
      </c>
      <c r="B379" s="633" t="s">
        <v>35066</v>
      </c>
      <c r="C379" s="715" t="s">
        <v>11</v>
      </c>
      <c r="D379" s="715" t="s">
        <v>40839</v>
      </c>
      <c r="E379" s="716">
        <v>21.39</v>
      </c>
    </row>
    <row r="380" spans="1:5">
      <c r="A380" s="715">
        <v>41071</v>
      </c>
      <c r="B380" s="633" t="s">
        <v>35067</v>
      </c>
      <c r="C380" s="715" t="s">
        <v>27629</v>
      </c>
      <c r="D380" s="715" t="s">
        <v>40839</v>
      </c>
      <c r="E380" s="716">
        <v>3747.13</v>
      </c>
    </row>
    <row r="381" spans="1:5">
      <c r="A381" s="715">
        <v>244</v>
      </c>
      <c r="B381" s="633" t="s">
        <v>35068</v>
      </c>
      <c r="C381" s="715" t="s">
        <v>11</v>
      </c>
      <c r="D381" s="715" t="s">
        <v>40839</v>
      </c>
      <c r="E381" s="716">
        <v>36.159999999999997</v>
      </c>
    </row>
    <row r="382" spans="1:5">
      <c r="A382" s="715">
        <v>41093</v>
      </c>
      <c r="B382" s="633" t="s">
        <v>35069</v>
      </c>
      <c r="C382" s="715" t="s">
        <v>27629</v>
      </c>
      <c r="D382" s="715" t="s">
        <v>40839</v>
      </c>
      <c r="E382" s="716">
        <v>6335.13</v>
      </c>
    </row>
    <row r="383" spans="1:5">
      <c r="A383" s="715">
        <v>532</v>
      </c>
      <c r="B383" s="633" t="s">
        <v>35070</v>
      </c>
      <c r="C383" s="715" t="s">
        <v>11</v>
      </c>
      <c r="D383" s="715" t="s">
        <v>40839</v>
      </c>
      <c r="E383" s="716">
        <v>39.130000000000003</v>
      </c>
    </row>
    <row r="384" spans="1:5">
      <c r="A384" s="715">
        <v>40931</v>
      </c>
      <c r="B384" s="633" t="s">
        <v>35071</v>
      </c>
      <c r="C384" s="715" t="s">
        <v>27629</v>
      </c>
      <c r="D384" s="715" t="s">
        <v>40839</v>
      </c>
      <c r="E384" s="716">
        <v>6856.68</v>
      </c>
    </row>
    <row r="385" spans="1:5">
      <c r="A385" s="715">
        <v>36150</v>
      </c>
      <c r="B385" s="633" t="s">
        <v>35072</v>
      </c>
      <c r="C385" s="715" t="s">
        <v>103</v>
      </c>
      <c r="D385" s="715" t="s">
        <v>40839</v>
      </c>
      <c r="E385" s="716">
        <v>43.56</v>
      </c>
    </row>
    <row r="386" spans="1:5" ht="29">
      <c r="A386" s="715">
        <v>45262</v>
      </c>
      <c r="B386" s="633" t="s">
        <v>40844</v>
      </c>
      <c r="C386" s="715" t="s">
        <v>103</v>
      </c>
      <c r="D386" s="715" t="s">
        <v>40839</v>
      </c>
      <c r="E386" s="716">
        <v>12.97</v>
      </c>
    </row>
    <row r="387" spans="1:5">
      <c r="A387" s="715">
        <v>4760</v>
      </c>
      <c r="B387" s="633" t="s">
        <v>35073</v>
      </c>
      <c r="C387" s="715" t="s">
        <v>11</v>
      </c>
      <c r="D387" s="715" t="s">
        <v>40839</v>
      </c>
      <c r="E387" s="716">
        <v>26.03</v>
      </c>
    </row>
    <row r="388" spans="1:5">
      <c r="A388" s="715">
        <v>41069</v>
      </c>
      <c r="B388" s="633" t="s">
        <v>35074</v>
      </c>
      <c r="C388" s="715" t="s">
        <v>27629</v>
      </c>
      <c r="D388" s="715" t="s">
        <v>40839</v>
      </c>
      <c r="E388" s="716">
        <v>4560.57</v>
      </c>
    </row>
    <row r="389" spans="1:5" ht="29">
      <c r="A389" s="715">
        <v>10422</v>
      </c>
      <c r="B389" s="633" t="s">
        <v>35075</v>
      </c>
      <c r="C389" s="715" t="s">
        <v>103</v>
      </c>
      <c r="D389" s="715" t="s">
        <v>40839</v>
      </c>
      <c r="E389" s="716">
        <v>422.27</v>
      </c>
    </row>
    <row r="390" spans="1:5" ht="29">
      <c r="A390" s="715">
        <v>44019</v>
      </c>
      <c r="B390" s="633" t="s">
        <v>35076</v>
      </c>
      <c r="C390" s="715" t="s">
        <v>103</v>
      </c>
      <c r="D390" s="715" t="s">
        <v>40839</v>
      </c>
      <c r="E390" s="716">
        <v>584.52</v>
      </c>
    </row>
    <row r="391" spans="1:5" ht="29">
      <c r="A391" s="715">
        <v>36520</v>
      </c>
      <c r="B391" s="633" t="s">
        <v>35077</v>
      </c>
      <c r="C391" s="715" t="s">
        <v>103</v>
      </c>
      <c r="D391" s="715" t="s">
        <v>40839</v>
      </c>
      <c r="E391" s="716">
        <v>710.72</v>
      </c>
    </row>
    <row r="392" spans="1:5" ht="29">
      <c r="A392" s="715">
        <v>42319</v>
      </c>
      <c r="B392" s="633" t="s">
        <v>35078</v>
      </c>
      <c r="C392" s="715" t="s">
        <v>103</v>
      </c>
      <c r="D392" s="715" t="s">
        <v>40839</v>
      </c>
      <c r="E392" s="716">
        <v>636.84</v>
      </c>
    </row>
    <row r="393" spans="1:5" ht="29">
      <c r="A393" s="715">
        <v>10420</v>
      </c>
      <c r="B393" s="633" t="s">
        <v>35079</v>
      </c>
      <c r="C393" s="715" t="s">
        <v>103</v>
      </c>
      <c r="D393" s="715" t="s">
        <v>28018</v>
      </c>
      <c r="E393" s="716">
        <v>225.91</v>
      </c>
    </row>
    <row r="394" spans="1:5" ht="29">
      <c r="A394" s="715">
        <v>10421</v>
      </c>
      <c r="B394" s="633" t="s">
        <v>35080</v>
      </c>
      <c r="C394" s="715" t="s">
        <v>103</v>
      </c>
      <c r="D394" s="715" t="s">
        <v>40839</v>
      </c>
      <c r="E394" s="716">
        <v>248.25</v>
      </c>
    </row>
    <row r="395" spans="1:5">
      <c r="A395" s="715">
        <v>11786</v>
      </c>
      <c r="B395" s="633" t="s">
        <v>35081</v>
      </c>
      <c r="C395" s="715" t="s">
        <v>103</v>
      </c>
      <c r="D395" s="715" t="s">
        <v>40839</v>
      </c>
      <c r="E395" s="716">
        <v>500.56</v>
      </c>
    </row>
    <row r="396" spans="1:5">
      <c r="A396" s="715">
        <v>45195</v>
      </c>
      <c r="B396" s="633" t="s">
        <v>40845</v>
      </c>
      <c r="C396" s="715" t="s">
        <v>103</v>
      </c>
      <c r="D396" s="715" t="s">
        <v>40839</v>
      </c>
      <c r="E396" s="716">
        <v>5132.75</v>
      </c>
    </row>
    <row r="397" spans="1:5">
      <c r="A397" s="715">
        <v>45226</v>
      </c>
      <c r="B397" s="633" t="s">
        <v>40990</v>
      </c>
      <c r="C397" s="715" t="s">
        <v>103</v>
      </c>
      <c r="D397" s="715" t="s">
        <v>40839</v>
      </c>
      <c r="E397" s="716">
        <v>16.27</v>
      </c>
    </row>
    <row r="398" spans="1:5">
      <c r="A398" s="715">
        <v>4815</v>
      </c>
      <c r="B398" s="633" t="s">
        <v>35082</v>
      </c>
      <c r="C398" s="715" t="s">
        <v>103</v>
      </c>
      <c r="D398" s="715" t="s">
        <v>40839</v>
      </c>
      <c r="E398" s="716">
        <v>10.67</v>
      </c>
    </row>
    <row r="399" spans="1:5">
      <c r="A399" s="715">
        <v>541</v>
      </c>
      <c r="B399" s="633" t="s">
        <v>35083</v>
      </c>
      <c r="C399" s="715" t="s">
        <v>103</v>
      </c>
      <c r="D399" s="715" t="s">
        <v>28018</v>
      </c>
      <c r="E399" s="716">
        <v>285.23</v>
      </c>
    </row>
    <row r="400" spans="1:5">
      <c r="A400" s="715">
        <v>542</v>
      </c>
      <c r="B400" s="633" t="s">
        <v>35084</v>
      </c>
      <c r="C400" s="715" t="s">
        <v>103</v>
      </c>
      <c r="D400" s="715" t="s">
        <v>40839</v>
      </c>
      <c r="E400" s="716">
        <v>357.54</v>
      </c>
    </row>
    <row r="401" spans="1:5">
      <c r="A401" s="715">
        <v>540</v>
      </c>
      <c r="B401" s="633" t="s">
        <v>35085</v>
      </c>
      <c r="C401" s="715" t="s">
        <v>103</v>
      </c>
      <c r="D401" s="715" t="s">
        <v>40839</v>
      </c>
      <c r="E401" s="716">
        <v>805.71</v>
      </c>
    </row>
    <row r="402" spans="1:5" ht="43">
      <c r="A402" s="715">
        <v>38364</v>
      </c>
      <c r="B402" s="633" t="s">
        <v>35086</v>
      </c>
      <c r="C402" s="715" t="s">
        <v>103</v>
      </c>
      <c r="D402" s="715" t="s">
        <v>40839</v>
      </c>
      <c r="E402" s="716">
        <v>932.91</v>
      </c>
    </row>
    <row r="403" spans="1:5" ht="29">
      <c r="A403" s="715">
        <v>11692</v>
      </c>
      <c r="B403" s="633" t="s">
        <v>35087</v>
      </c>
      <c r="C403" s="715" t="s">
        <v>509</v>
      </c>
      <c r="D403" s="715" t="s">
        <v>40839</v>
      </c>
      <c r="E403" s="716">
        <v>682.21</v>
      </c>
    </row>
    <row r="404" spans="1:5" ht="29">
      <c r="A404" s="715">
        <v>1746</v>
      </c>
      <c r="B404" s="633" t="s">
        <v>35088</v>
      </c>
      <c r="C404" s="715" t="s">
        <v>103</v>
      </c>
      <c r="D404" s="715" t="s">
        <v>28018</v>
      </c>
      <c r="E404" s="716">
        <v>243.49</v>
      </c>
    </row>
    <row r="405" spans="1:5" ht="29">
      <c r="A405" s="715">
        <v>1748</v>
      </c>
      <c r="B405" s="633" t="s">
        <v>35089</v>
      </c>
      <c r="C405" s="715" t="s">
        <v>103</v>
      </c>
      <c r="D405" s="715" t="s">
        <v>40839</v>
      </c>
      <c r="E405" s="716">
        <v>323.77999999999997</v>
      </c>
    </row>
    <row r="406" spans="1:5" ht="29">
      <c r="A406" s="715">
        <v>1749</v>
      </c>
      <c r="B406" s="633" t="s">
        <v>35090</v>
      </c>
      <c r="C406" s="715" t="s">
        <v>103</v>
      </c>
      <c r="D406" s="715" t="s">
        <v>40839</v>
      </c>
      <c r="E406" s="716">
        <v>469.1</v>
      </c>
    </row>
    <row r="407" spans="1:5" ht="29">
      <c r="A407" s="715">
        <v>37412</v>
      </c>
      <c r="B407" s="633" t="s">
        <v>35091</v>
      </c>
      <c r="C407" s="715" t="s">
        <v>103</v>
      </c>
      <c r="D407" s="715" t="s">
        <v>40839</v>
      </c>
      <c r="E407" s="716">
        <v>238.01</v>
      </c>
    </row>
    <row r="408" spans="1:5" ht="29">
      <c r="A408" s="715">
        <v>1745</v>
      </c>
      <c r="B408" s="633" t="s">
        <v>35092</v>
      </c>
      <c r="C408" s="715" t="s">
        <v>103</v>
      </c>
      <c r="D408" s="715" t="s">
        <v>40839</v>
      </c>
      <c r="E408" s="716">
        <v>283.02</v>
      </c>
    </row>
    <row r="409" spans="1:5" ht="29">
      <c r="A409" s="715">
        <v>1750</v>
      </c>
      <c r="B409" s="633" t="s">
        <v>35093</v>
      </c>
      <c r="C409" s="715" t="s">
        <v>103</v>
      </c>
      <c r="D409" s="715" t="s">
        <v>40839</v>
      </c>
      <c r="E409" s="716">
        <v>661.39</v>
      </c>
    </row>
    <row r="410" spans="1:5" ht="29">
      <c r="A410" s="715">
        <v>11687</v>
      </c>
      <c r="B410" s="633" t="s">
        <v>35094</v>
      </c>
      <c r="C410" s="715" t="s">
        <v>165</v>
      </c>
      <c r="D410" s="715" t="s">
        <v>40839</v>
      </c>
      <c r="E410" s="716">
        <v>1053.8</v>
      </c>
    </row>
    <row r="411" spans="1:5" ht="29">
      <c r="A411" s="715">
        <v>11689</v>
      </c>
      <c r="B411" s="633" t="s">
        <v>35095</v>
      </c>
      <c r="C411" s="715" t="s">
        <v>165</v>
      </c>
      <c r="D411" s="715" t="s">
        <v>40839</v>
      </c>
      <c r="E411" s="716">
        <v>1320.35</v>
      </c>
    </row>
    <row r="412" spans="1:5">
      <c r="A412" s="715">
        <v>11693</v>
      </c>
      <c r="B412" s="633" t="s">
        <v>35096</v>
      </c>
      <c r="C412" s="715" t="s">
        <v>509</v>
      </c>
      <c r="D412" s="715" t="s">
        <v>40839</v>
      </c>
      <c r="E412" s="716">
        <v>316.26</v>
      </c>
    </row>
    <row r="413" spans="1:5">
      <c r="A413" s="715">
        <v>36215</v>
      </c>
      <c r="B413" s="633" t="s">
        <v>35097</v>
      </c>
      <c r="C413" s="715" t="s">
        <v>103</v>
      </c>
      <c r="D413" s="715" t="s">
        <v>40839</v>
      </c>
      <c r="E413" s="716">
        <v>863.27</v>
      </c>
    </row>
    <row r="414" spans="1:5" ht="43">
      <c r="A414" s="715">
        <v>42439</v>
      </c>
      <c r="B414" s="633" t="s">
        <v>35098</v>
      </c>
      <c r="C414" s="715" t="s">
        <v>103</v>
      </c>
      <c r="D414" s="715" t="s">
        <v>40839</v>
      </c>
      <c r="E414" s="716">
        <v>1207.8399999999999</v>
      </c>
    </row>
    <row r="415" spans="1:5">
      <c r="A415" s="715">
        <v>38381</v>
      </c>
      <c r="B415" s="633" t="s">
        <v>35099</v>
      </c>
      <c r="C415" s="715" t="s">
        <v>103</v>
      </c>
      <c r="D415" s="715" t="s">
        <v>40839</v>
      </c>
      <c r="E415" s="716">
        <v>13.01</v>
      </c>
    </row>
    <row r="416" spans="1:5">
      <c r="A416" s="715">
        <v>39621</v>
      </c>
      <c r="B416" s="633" t="s">
        <v>35100</v>
      </c>
      <c r="C416" s="715" t="s">
        <v>525</v>
      </c>
      <c r="D416" s="715" t="s">
        <v>40839</v>
      </c>
      <c r="E416" s="716">
        <v>1398.41</v>
      </c>
    </row>
    <row r="417" spans="1:5">
      <c r="A417" s="715">
        <v>39624</v>
      </c>
      <c r="B417" s="633" t="s">
        <v>35101</v>
      </c>
      <c r="C417" s="715" t="s">
        <v>525</v>
      </c>
      <c r="D417" s="715" t="s">
        <v>40839</v>
      </c>
      <c r="E417" s="716">
        <v>1542.6</v>
      </c>
    </row>
    <row r="418" spans="1:5">
      <c r="A418" s="715">
        <v>39615</v>
      </c>
      <c r="B418" s="633" t="s">
        <v>35102</v>
      </c>
      <c r="C418" s="715" t="s">
        <v>103</v>
      </c>
      <c r="D418" s="715" t="s">
        <v>40839</v>
      </c>
      <c r="E418" s="716">
        <v>623.35</v>
      </c>
    </row>
    <row r="419" spans="1:5">
      <c r="A419" s="715">
        <v>39620</v>
      </c>
      <c r="B419" s="633" t="s">
        <v>35103</v>
      </c>
      <c r="C419" s="715" t="s">
        <v>103</v>
      </c>
      <c r="D419" s="715" t="s">
        <v>40839</v>
      </c>
      <c r="E419" s="716">
        <v>952.03</v>
      </c>
    </row>
    <row r="420" spans="1:5">
      <c r="A420" s="715">
        <v>39623</v>
      </c>
      <c r="B420" s="633" t="s">
        <v>35104</v>
      </c>
      <c r="C420" s="715" t="s">
        <v>103</v>
      </c>
      <c r="D420" s="715" t="s">
        <v>40839</v>
      </c>
      <c r="E420" s="716">
        <v>1019.7</v>
      </c>
    </row>
    <row r="421" spans="1:5">
      <c r="A421" s="715">
        <v>546</v>
      </c>
      <c r="B421" s="633" t="s">
        <v>35105</v>
      </c>
      <c r="C421" s="715" t="s">
        <v>207</v>
      </c>
      <c r="D421" s="715" t="s">
        <v>28018</v>
      </c>
      <c r="E421" s="716">
        <v>8.73</v>
      </c>
    </row>
    <row r="422" spans="1:5">
      <c r="A422" s="715">
        <v>566</v>
      </c>
      <c r="B422" s="633" t="s">
        <v>35106</v>
      </c>
      <c r="C422" s="715" t="s">
        <v>165</v>
      </c>
      <c r="D422" s="715" t="s">
        <v>40839</v>
      </c>
      <c r="E422" s="716">
        <v>4.1399999999999997</v>
      </c>
    </row>
    <row r="423" spans="1:5">
      <c r="A423" s="715">
        <v>565</v>
      </c>
      <c r="B423" s="633" t="s">
        <v>35107</v>
      </c>
      <c r="C423" s="715" t="s">
        <v>165</v>
      </c>
      <c r="D423" s="715" t="s">
        <v>40839</v>
      </c>
      <c r="E423" s="716">
        <v>8.2100000000000009</v>
      </c>
    </row>
    <row r="424" spans="1:5">
      <c r="A424" s="715">
        <v>555</v>
      </c>
      <c r="B424" s="633" t="s">
        <v>35108</v>
      </c>
      <c r="C424" s="715" t="s">
        <v>165</v>
      </c>
      <c r="D424" s="715" t="s">
        <v>40839</v>
      </c>
      <c r="E424" s="716">
        <v>10.7</v>
      </c>
    </row>
    <row r="425" spans="1:5">
      <c r="A425" s="715">
        <v>557</v>
      </c>
      <c r="B425" s="633" t="s">
        <v>35109</v>
      </c>
      <c r="C425" s="715" t="s">
        <v>165</v>
      </c>
      <c r="D425" s="715" t="s">
        <v>40839</v>
      </c>
      <c r="E425" s="716">
        <v>33.590000000000003</v>
      </c>
    </row>
    <row r="426" spans="1:5">
      <c r="A426" s="715">
        <v>552</v>
      </c>
      <c r="B426" s="633" t="s">
        <v>35110</v>
      </c>
      <c r="C426" s="715" t="s">
        <v>165</v>
      </c>
      <c r="D426" s="715" t="s">
        <v>40839</v>
      </c>
      <c r="E426" s="716">
        <v>16.66</v>
      </c>
    </row>
    <row r="427" spans="1:5">
      <c r="A427" s="715">
        <v>563</v>
      </c>
      <c r="B427" s="633" t="s">
        <v>35111</v>
      </c>
      <c r="C427" s="715" t="s">
        <v>165</v>
      </c>
      <c r="D427" s="715" t="s">
        <v>40839</v>
      </c>
      <c r="E427" s="716">
        <v>25.04</v>
      </c>
    </row>
    <row r="428" spans="1:5">
      <c r="A428" s="715">
        <v>549</v>
      </c>
      <c r="B428" s="633" t="s">
        <v>35112</v>
      </c>
      <c r="C428" s="715" t="s">
        <v>165</v>
      </c>
      <c r="D428" s="715" t="s">
        <v>40839</v>
      </c>
      <c r="E428" s="716">
        <v>45.07</v>
      </c>
    </row>
    <row r="429" spans="1:5">
      <c r="A429" s="715">
        <v>551</v>
      </c>
      <c r="B429" s="633" t="s">
        <v>35113</v>
      </c>
      <c r="C429" s="715" t="s">
        <v>165</v>
      </c>
      <c r="D429" s="715" t="s">
        <v>40839</v>
      </c>
      <c r="E429" s="716">
        <v>89.24</v>
      </c>
    </row>
    <row r="430" spans="1:5">
      <c r="A430" s="715">
        <v>559</v>
      </c>
      <c r="B430" s="633" t="s">
        <v>35114</v>
      </c>
      <c r="C430" s="715" t="s">
        <v>165</v>
      </c>
      <c r="D430" s="715" t="s">
        <v>40839</v>
      </c>
      <c r="E430" s="716">
        <v>22.31</v>
      </c>
    </row>
    <row r="431" spans="1:5">
      <c r="A431" s="715">
        <v>560</v>
      </c>
      <c r="B431" s="633" t="s">
        <v>35115</v>
      </c>
      <c r="C431" s="715" t="s">
        <v>165</v>
      </c>
      <c r="D431" s="715" t="s">
        <v>40839</v>
      </c>
      <c r="E431" s="716">
        <v>27.91</v>
      </c>
    </row>
    <row r="432" spans="1:5">
      <c r="A432" s="715">
        <v>547</v>
      </c>
      <c r="B432" s="633" t="s">
        <v>35116</v>
      </c>
      <c r="C432" s="715" t="s">
        <v>165</v>
      </c>
      <c r="D432" s="715" t="s">
        <v>40839</v>
      </c>
      <c r="E432" s="716">
        <v>33.42</v>
      </c>
    </row>
    <row r="433" spans="1:5">
      <c r="A433" s="715">
        <v>36207</v>
      </c>
      <c r="B433" s="633" t="s">
        <v>35117</v>
      </c>
      <c r="C433" s="715" t="s">
        <v>103</v>
      </c>
      <c r="D433" s="715" t="s">
        <v>40839</v>
      </c>
      <c r="E433" s="716">
        <v>382.37</v>
      </c>
    </row>
    <row r="434" spans="1:5">
      <c r="A434" s="715">
        <v>36209</v>
      </c>
      <c r="B434" s="633" t="s">
        <v>35118</v>
      </c>
      <c r="C434" s="715" t="s">
        <v>103</v>
      </c>
      <c r="D434" s="715" t="s">
        <v>40839</v>
      </c>
      <c r="E434" s="716">
        <v>438.83</v>
      </c>
    </row>
    <row r="435" spans="1:5" ht="29">
      <c r="A435" s="715">
        <v>36210</v>
      </c>
      <c r="B435" s="633" t="s">
        <v>35119</v>
      </c>
      <c r="C435" s="715" t="s">
        <v>103</v>
      </c>
      <c r="D435" s="715" t="s">
        <v>40839</v>
      </c>
      <c r="E435" s="716">
        <v>474.8</v>
      </c>
    </row>
    <row r="436" spans="1:5" ht="29">
      <c r="A436" s="715">
        <v>36204</v>
      </c>
      <c r="B436" s="633" t="s">
        <v>35120</v>
      </c>
      <c r="C436" s="715" t="s">
        <v>103</v>
      </c>
      <c r="D436" s="715" t="s">
        <v>40839</v>
      </c>
      <c r="E436" s="716">
        <v>168.34</v>
      </c>
    </row>
    <row r="437" spans="1:5" ht="29">
      <c r="A437" s="715">
        <v>36205</v>
      </c>
      <c r="B437" s="633" t="s">
        <v>35121</v>
      </c>
      <c r="C437" s="715" t="s">
        <v>103</v>
      </c>
      <c r="D437" s="715" t="s">
        <v>40839</v>
      </c>
      <c r="E437" s="716">
        <v>186.96</v>
      </c>
    </row>
    <row r="438" spans="1:5" ht="29">
      <c r="A438" s="715">
        <v>36081</v>
      </c>
      <c r="B438" s="633" t="s">
        <v>35122</v>
      </c>
      <c r="C438" s="715" t="s">
        <v>103</v>
      </c>
      <c r="D438" s="715" t="s">
        <v>28018</v>
      </c>
      <c r="E438" s="716">
        <v>199.35</v>
      </c>
    </row>
    <row r="439" spans="1:5" ht="29">
      <c r="A439" s="715">
        <v>36206</v>
      </c>
      <c r="B439" s="633" t="s">
        <v>35123</v>
      </c>
      <c r="C439" s="715" t="s">
        <v>103</v>
      </c>
      <c r="D439" s="715" t="s">
        <v>40839</v>
      </c>
      <c r="E439" s="716">
        <v>208.85</v>
      </c>
    </row>
    <row r="440" spans="1:5">
      <c r="A440" s="715">
        <v>36218</v>
      </c>
      <c r="B440" s="633" t="s">
        <v>35124</v>
      </c>
      <c r="C440" s="715" t="s">
        <v>103</v>
      </c>
      <c r="D440" s="715" t="s">
        <v>40839</v>
      </c>
      <c r="E440" s="716">
        <v>173.26</v>
      </c>
    </row>
    <row r="441" spans="1:5">
      <c r="A441" s="715">
        <v>36220</v>
      </c>
      <c r="B441" s="633" t="s">
        <v>35125</v>
      </c>
      <c r="C441" s="715" t="s">
        <v>103</v>
      </c>
      <c r="D441" s="715" t="s">
        <v>40839</v>
      </c>
      <c r="E441" s="716">
        <v>198.68</v>
      </c>
    </row>
    <row r="442" spans="1:5">
      <c r="A442" s="715">
        <v>36080</v>
      </c>
      <c r="B442" s="633" t="s">
        <v>35126</v>
      </c>
      <c r="C442" s="715" t="s">
        <v>103</v>
      </c>
      <c r="D442" s="715" t="s">
        <v>28018</v>
      </c>
      <c r="E442" s="716">
        <v>214.9</v>
      </c>
    </row>
    <row r="443" spans="1:5">
      <c r="A443" s="715">
        <v>36223</v>
      </c>
      <c r="B443" s="633" t="s">
        <v>35127</v>
      </c>
      <c r="C443" s="715" t="s">
        <v>103</v>
      </c>
      <c r="D443" s="715" t="s">
        <v>40839</v>
      </c>
      <c r="E443" s="716">
        <v>225.03</v>
      </c>
    </row>
    <row r="444" spans="1:5" ht="29">
      <c r="A444" s="715">
        <v>38127</v>
      </c>
      <c r="B444" s="633" t="s">
        <v>35128</v>
      </c>
      <c r="C444" s="715" t="s">
        <v>103</v>
      </c>
      <c r="D444" s="715" t="s">
        <v>40839</v>
      </c>
      <c r="E444" s="716">
        <v>393.37</v>
      </c>
    </row>
    <row r="445" spans="1:5">
      <c r="A445" s="715">
        <v>38060</v>
      </c>
      <c r="B445" s="633" t="s">
        <v>35129</v>
      </c>
      <c r="C445" s="715" t="s">
        <v>103</v>
      </c>
      <c r="D445" s="715" t="s">
        <v>40839</v>
      </c>
      <c r="E445" s="716">
        <v>52.25</v>
      </c>
    </row>
    <row r="446" spans="1:5">
      <c r="A446" s="715">
        <v>10956</v>
      </c>
      <c r="B446" s="633" t="s">
        <v>35130</v>
      </c>
      <c r="C446" s="715" t="s">
        <v>103</v>
      </c>
      <c r="D446" s="715" t="s">
        <v>40839</v>
      </c>
      <c r="E446" s="716">
        <v>57.31</v>
      </c>
    </row>
    <row r="447" spans="1:5">
      <c r="A447" s="715">
        <v>39380</v>
      </c>
      <c r="B447" s="633" t="s">
        <v>35131</v>
      </c>
      <c r="C447" s="715" t="s">
        <v>103</v>
      </c>
      <c r="D447" s="715" t="s">
        <v>40839</v>
      </c>
      <c r="E447" s="716">
        <v>15.57</v>
      </c>
    </row>
    <row r="448" spans="1:5">
      <c r="A448" s="715">
        <v>44172</v>
      </c>
      <c r="B448" s="633" t="s">
        <v>35132</v>
      </c>
      <c r="C448" s="715" t="s">
        <v>103</v>
      </c>
      <c r="D448" s="715" t="s">
        <v>40839</v>
      </c>
      <c r="E448" s="716">
        <v>6.54</v>
      </c>
    </row>
    <row r="449" spans="1:5" ht="29">
      <c r="A449" s="715">
        <v>37597</v>
      </c>
      <c r="B449" s="633" t="s">
        <v>35133</v>
      </c>
      <c r="C449" s="715" t="s">
        <v>103</v>
      </c>
      <c r="D449" s="715" t="s">
        <v>40839</v>
      </c>
      <c r="E449" s="716">
        <v>651367.18000000005</v>
      </c>
    </row>
    <row r="450" spans="1:5" ht="57">
      <c r="A450" s="715">
        <v>183</v>
      </c>
      <c r="B450" s="633" t="s">
        <v>35134</v>
      </c>
      <c r="C450" s="715" t="s">
        <v>19284</v>
      </c>
      <c r="D450" s="715" t="s">
        <v>28018</v>
      </c>
      <c r="E450" s="716">
        <v>280</v>
      </c>
    </row>
    <row r="451" spans="1:5" ht="43">
      <c r="A451" s="715">
        <v>184</v>
      </c>
      <c r="B451" s="633" t="s">
        <v>35135</v>
      </c>
      <c r="C451" s="715" t="s">
        <v>19284</v>
      </c>
      <c r="D451" s="715" t="s">
        <v>40839</v>
      </c>
      <c r="E451" s="716">
        <v>173.41</v>
      </c>
    </row>
    <row r="452" spans="1:5" ht="57">
      <c r="A452" s="715">
        <v>181</v>
      </c>
      <c r="B452" s="633" t="s">
        <v>35136</v>
      </c>
      <c r="C452" s="715" t="s">
        <v>19284</v>
      </c>
      <c r="D452" s="715" t="s">
        <v>40839</v>
      </c>
      <c r="E452" s="716">
        <v>373.93</v>
      </c>
    </row>
    <row r="453" spans="1:5" ht="43">
      <c r="A453" s="715">
        <v>20001</v>
      </c>
      <c r="B453" s="633" t="s">
        <v>35137</v>
      </c>
      <c r="C453" s="715" t="s">
        <v>19284</v>
      </c>
      <c r="D453" s="715" t="s">
        <v>40839</v>
      </c>
      <c r="E453" s="716">
        <v>216.77</v>
      </c>
    </row>
    <row r="454" spans="1:5" ht="29">
      <c r="A454" s="715">
        <v>39837</v>
      </c>
      <c r="B454" s="633" t="s">
        <v>35138</v>
      </c>
      <c r="C454" s="715" t="s">
        <v>19284</v>
      </c>
      <c r="D454" s="715" t="s">
        <v>40839</v>
      </c>
      <c r="E454" s="716">
        <v>426.12</v>
      </c>
    </row>
    <row r="455" spans="1:5">
      <c r="A455" s="715">
        <v>43366</v>
      </c>
      <c r="B455" s="633" t="s">
        <v>40991</v>
      </c>
      <c r="C455" s="715" t="s">
        <v>207</v>
      </c>
      <c r="D455" s="715" t="s">
        <v>40839</v>
      </c>
      <c r="E455" s="716">
        <v>1.73</v>
      </c>
    </row>
    <row r="456" spans="1:5" ht="29">
      <c r="A456" s="715">
        <v>10535</v>
      </c>
      <c r="B456" s="633" t="s">
        <v>41277</v>
      </c>
      <c r="C456" s="715" t="s">
        <v>103</v>
      </c>
      <c r="D456" s="715" t="s">
        <v>28018</v>
      </c>
      <c r="E456" s="716">
        <v>5214.6499999999996</v>
      </c>
    </row>
    <row r="457" spans="1:5" ht="29">
      <c r="A457" s="715">
        <v>10537</v>
      </c>
      <c r="B457" s="633" t="s">
        <v>41278</v>
      </c>
      <c r="C457" s="715" t="s">
        <v>103</v>
      </c>
      <c r="D457" s="715" t="s">
        <v>40839</v>
      </c>
      <c r="E457" s="716">
        <v>7111.36</v>
      </c>
    </row>
    <row r="458" spans="1:5" ht="29">
      <c r="A458" s="715">
        <v>13891</v>
      </c>
      <c r="B458" s="633" t="s">
        <v>41279</v>
      </c>
      <c r="C458" s="715" t="s">
        <v>103</v>
      </c>
      <c r="D458" s="715" t="s">
        <v>40839</v>
      </c>
      <c r="E458" s="716">
        <v>6522.73</v>
      </c>
    </row>
    <row r="459" spans="1:5" ht="29">
      <c r="A459" s="715">
        <v>36397</v>
      </c>
      <c r="B459" s="633" t="s">
        <v>41280</v>
      </c>
      <c r="C459" s="715" t="s">
        <v>103</v>
      </c>
      <c r="D459" s="715" t="s">
        <v>40839</v>
      </c>
      <c r="E459" s="716">
        <v>21212.13</v>
      </c>
    </row>
    <row r="460" spans="1:5" ht="29">
      <c r="A460" s="715">
        <v>36398</v>
      </c>
      <c r="B460" s="633" t="s">
        <v>41281</v>
      </c>
      <c r="C460" s="715" t="s">
        <v>103</v>
      </c>
      <c r="D460" s="715" t="s">
        <v>40839</v>
      </c>
      <c r="E460" s="716">
        <v>25781.58</v>
      </c>
    </row>
    <row r="461" spans="1:5">
      <c r="A461" s="715">
        <v>647</v>
      </c>
      <c r="B461" s="633" t="s">
        <v>35139</v>
      </c>
      <c r="C461" s="715" t="s">
        <v>11</v>
      </c>
      <c r="D461" s="715" t="s">
        <v>40839</v>
      </c>
      <c r="E461" s="716">
        <v>32.049999999999997</v>
      </c>
    </row>
    <row r="462" spans="1:5">
      <c r="A462" s="715">
        <v>40920</v>
      </c>
      <c r="B462" s="633" t="s">
        <v>35140</v>
      </c>
      <c r="C462" s="715" t="s">
        <v>27629</v>
      </c>
      <c r="D462" s="715" t="s">
        <v>40839</v>
      </c>
      <c r="E462" s="716">
        <v>5616.96</v>
      </c>
    </row>
    <row r="463" spans="1:5" ht="29">
      <c r="A463" s="715">
        <v>715</v>
      </c>
      <c r="B463" s="633" t="s">
        <v>35141</v>
      </c>
      <c r="C463" s="715" t="s">
        <v>103</v>
      </c>
      <c r="D463" s="715" t="s">
        <v>28018</v>
      </c>
      <c r="E463" s="716">
        <v>19.96</v>
      </c>
    </row>
    <row r="464" spans="1:5">
      <c r="A464" s="715">
        <v>716</v>
      </c>
      <c r="B464" s="633" t="s">
        <v>35142</v>
      </c>
      <c r="C464" s="715" t="s">
        <v>103</v>
      </c>
      <c r="D464" s="715" t="s">
        <v>40839</v>
      </c>
      <c r="E464" s="716">
        <v>22.57</v>
      </c>
    </row>
    <row r="465" spans="1:5" ht="29">
      <c r="A465" s="715">
        <v>7270</v>
      </c>
      <c r="B465" s="633" t="s">
        <v>35143</v>
      </c>
      <c r="C465" s="715" t="s">
        <v>103</v>
      </c>
      <c r="D465" s="715" t="s">
        <v>40839</v>
      </c>
      <c r="E465" s="716">
        <v>0.76</v>
      </c>
    </row>
    <row r="466" spans="1:5" ht="29">
      <c r="A466" s="715">
        <v>44460</v>
      </c>
      <c r="B466" s="633" t="s">
        <v>35144</v>
      </c>
      <c r="C466" s="715" t="s">
        <v>103</v>
      </c>
      <c r="D466" s="715" t="s">
        <v>40839</v>
      </c>
      <c r="E466" s="716">
        <v>1.28</v>
      </c>
    </row>
    <row r="467" spans="1:5" ht="29">
      <c r="A467" s="715">
        <v>44461</v>
      </c>
      <c r="B467" s="633" t="s">
        <v>35145</v>
      </c>
      <c r="C467" s="715" t="s">
        <v>103</v>
      </c>
      <c r="D467" s="715" t="s">
        <v>40839</v>
      </c>
      <c r="E467" s="716">
        <v>1.75</v>
      </c>
    </row>
    <row r="468" spans="1:5" ht="29">
      <c r="A468" s="715">
        <v>7267</v>
      </c>
      <c r="B468" s="633" t="s">
        <v>35146</v>
      </c>
      <c r="C468" s="715" t="s">
        <v>103</v>
      </c>
      <c r="D468" s="715" t="s">
        <v>40839</v>
      </c>
      <c r="E468" s="716">
        <v>0.64</v>
      </c>
    </row>
    <row r="469" spans="1:5" ht="29">
      <c r="A469" s="715">
        <v>44458</v>
      </c>
      <c r="B469" s="633" t="s">
        <v>35147</v>
      </c>
      <c r="C469" s="715" t="s">
        <v>103</v>
      </c>
      <c r="D469" s="715" t="s">
        <v>40839</v>
      </c>
      <c r="E469" s="716">
        <v>0.78</v>
      </c>
    </row>
    <row r="470" spans="1:5" ht="29">
      <c r="A470" s="715">
        <v>44457</v>
      </c>
      <c r="B470" s="633" t="s">
        <v>35148</v>
      </c>
      <c r="C470" s="715" t="s">
        <v>103</v>
      </c>
      <c r="D470" s="715" t="s">
        <v>40839</v>
      </c>
      <c r="E470" s="716">
        <v>1.52</v>
      </c>
    </row>
    <row r="471" spans="1:5" ht="29">
      <c r="A471" s="715">
        <v>7271</v>
      </c>
      <c r="B471" s="633" t="s">
        <v>35149</v>
      </c>
      <c r="C471" s="715" t="s">
        <v>103</v>
      </c>
      <c r="D471" s="715" t="s">
        <v>28018</v>
      </c>
      <c r="E471" s="716">
        <v>0.82</v>
      </c>
    </row>
    <row r="472" spans="1:5" ht="29">
      <c r="A472" s="715">
        <v>7268</v>
      </c>
      <c r="B472" s="633" t="s">
        <v>35150</v>
      </c>
      <c r="C472" s="715" t="s">
        <v>103</v>
      </c>
      <c r="D472" s="715" t="s">
        <v>40839</v>
      </c>
      <c r="E472" s="716">
        <v>1.28</v>
      </c>
    </row>
    <row r="473" spans="1:5" ht="29">
      <c r="A473" s="715">
        <v>44459</v>
      </c>
      <c r="B473" s="633" t="s">
        <v>35151</v>
      </c>
      <c r="C473" s="715" t="s">
        <v>103</v>
      </c>
      <c r="D473" s="715" t="s">
        <v>40839</v>
      </c>
      <c r="E473" s="716">
        <v>0.82</v>
      </c>
    </row>
    <row r="474" spans="1:5" ht="29">
      <c r="A474" s="715">
        <v>44462</v>
      </c>
      <c r="B474" s="633" t="s">
        <v>35152</v>
      </c>
      <c r="C474" s="715" t="s">
        <v>103</v>
      </c>
      <c r="D474" s="715" t="s">
        <v>40839</v>
      </c>
      <c r="E474" s="716">
        <v>1.46</v>
      </c>
    </row>
    <row r="475" spans="1:5" ht="29">
      <c r="A475" s="715">
        <v>44463</v>
      </c>
      <c r="B475" s="633" t="s">
        <v>35153</v>
      </c>
      <c r="C475" s="715" t="s">
        <v>103</v>
      </c>
      <c r="D475" s="715" t="s">
        <v>40839</v>
      </c>
      <c r="E475" s="716">
        <v>1.88</v>
      </c>
    </row>
    <row r="476" spans="1:5" ht="29">
      <c r="A476" s="715">
        <v>44464</v>
      </c>
      <c r="B476" s="633" t="s">
        <v>35154</v>
      </c>
      <c r="C476" s="715" t="s">
        <v>103</v>
      </c>
      <c r="D476" s="715" t="s">
        <v>40839</v>
      </c>
      <c r="E476" s="716">
        <v>1.95</v>
      </c>
    </row>
    <row r="477" spans="1:5" ht="29">
      <c r="A477" s="715">
        <v>44465</v>
      </c>
      <c r="B477" s="633" t="s">
        <v>35155</v>
      </c>
      <c r="C477" s="715" t="s">
        <v>103</v>
      </c>
      <c r="D477" s="715" t="s">
        <v>40839</v>
      </c>
      <c r="E477" s="716">
        <v>2.68</v>
      </c>
    </row>
    <row r="478" spans="1:5" ht="29">
      <c r="A478" s="715">
        <v>38783</v>
      </c>
      <c r="B478" s="633" t="s">
        <v>35156</v>
      </c>
      <c r="C478" s="715" t="s">
        <v>103</v>
      </c>
      <c r="D478" s="715" t="s">
        <v>40839</v>
      </c>
      <c r="E478" s="716">
        <v>0.93</v>
      </c>
    </row>
    <row r="479" spans="1:5" ht="29">
      <c r="A479" s="715">
        <v>44466</v>
      </c>
      <c r="B479" s="633" t="s">
        <v>35157</v>
      </c>
      <c r="C479" s="715" t="s">
        <v>103</v>
      </c>
      <c r="D479" s="715" t="s">
        <v>40839</v>
      </c>
      <c r="E479" s="716">
        <v>1.9</v>
      </c>
    </row>
    <row r="480" spans="1:5" ht="29">
      <c r="A480" s="715">
        <v>44467</v>
      </c>
      <c r="B480" s="633" t="s">
        <v>35158</v>
      </c>
      <c r="C480" s="715" t="s">
        <v>103</v>
      </c>
      <c r="D480" s="715" t="s">
        <v>40839</v>
      </c>
      <c r="E480" s="716">
        <v>2.29</v>
      </c>
    </row>
    <row r="481" spans="1:5" ht="29">
      <c r="A481" s="715">
        <v>44468</v>
      </c>
      <c r="B481" s="633" t="s">
        <v>35159</v>
      </c>
      <c r="C481" s="715" t="s">
        <v>103</v>
      </c>
      <c r="D481" s="715" t="s">
        <v>40839</v>
      </c>
      <c r="E481" s="716">
        <v>1.99</v>
      </c>
    </row>
    <row r="482" spans="1:5" ht="29">
      <c r="A482" s="715">
        <v>37593</v>
      </c>
      <c r="B482" s="633" t="s">
        <v>35160</v>
      </c>
      <c r="C482" s="715" t="s">
        <v>103</v>
      </c>
      <c r="D482" s="715" t="s">
        <v>40839</v>
      </c>
      <c r="E482" s="716">
        <v>2.56</v>
      </c>
    </row>
    <row r="483" spans="1:5" ht="29">
      <c r="A483" s="715">
        <v>37594</v>
      </c>
      <c r="B483" s="633" t="s">
        <v>35161</v>
      </c>
      <c r="C483" s="715" t="s">
        <v>103</v>
      </c>
      <c r="D483" s="715" t="s">
        <v>40839</v>
      </c>
      <c r="E483" s="716">
        <v>3.04</v>
      </c>
    </row>
    <row r="484" spans="1:5" ht="29">
      <c r="A484" s="715">
        <v>37592</v>
      </c>
      <c r="B484" s="633" t="s">
        <v>35162</v>
      </c>
      <c r="C484" s="715" t="s">
        <v>103</v>
      </c>
      <c r="D484" s="715" t="s">
        <v>40839</v>
      </c>
      <c r="E484" s="716">
        <v>2.02</v>
      </c>
    </row>
    <row r="485" spans="1:5">
      <c r="A485" s="715">
        <v>41372</v>
      </c>
      <c r="B485" s="633" t="s">
        <v>35163</v>
      </c>
      <c r="C485" s="715" t="s">
        <v>509</v>
      </c>
      <c r="D485" s="715" t="s">
        <v>40839</v>
      </c>
      <c r="E485" s="716">
        <v>141.36000000000001</v>
      </c>
    </row>
    <row r="486" spans="1:5">
      <c r="A486" s="715">
        <v>41371</v>
      </c>
      <c r="B486" s="633" t="s">
        <v>35164</v>
      </c>
      <c r="C486" s="715" t="s">
        <v>509</v>
      </c>
      <c r="D486" s="715" t="s">
        <v>40839</v>
      </c>
      <c r="E486" s="716">
        <v>83.56</v>
      </c>
    </row>
    <row r="487" spans="1:5">
      <c r="A487" s="715">
        <v>34556</v>
      </c>
      <c r="B487" s="633" t="s">
        <v>42148</v>
      </c>
      <c r="C487" s="715" t="s">
        <v>103</v>
      </c>
      <c r="D487" s="715" t="s">
        <v>40839</v>
      </c>
      <c r="E487" s="716">
        <v>4.9000000000000004</v>
      </c>
    </row>
    <row r="488" spans="1:5">
      <c r="A488" s="715">
        <v>37873</v>
      </c>
      <c r="B488" s="633" t="s">
        <v>42149</v>
      </c>
      <c r="C488" s="715" t="s">
        <v>103</v>
      </c>
      <c r="D488" s="715" t="s">
        <v>40839</v>
      </c>
      <c r="E488" s="716">
        <v>4.9800000000000004</v>
      </c>
    </row>
    <row r="489" spans="1:5">
      <c r="A489" s="715">
        <v>34565</v>
      </c>
      <c r="B489" s="633" t="s">
        <v>42150</v>
      </c>
      <c r="C489" s="715" t="s">
        <v>103</v>
      </c>
      <c r="D489" s="715" t="s">
        <v>40839</v>
      </c>
      <c r="E489" s="716">
        <v>5.52</v>
      </c>
    </row>
    <row r="490" spans="1:5">
      <c r="A490" s="715">
        <v>34566</v>
      </c>
      <c r="B490" s="633" t="s">
        <v>42151</v>
      </c>
      <c r="C490" s="715" t="s">
        <v>103</v>
      </c>
      <c r="D490" s="715" t="s">
        <v>40839</v>
      </c>
      <c r="E490" s="716">
        <v>4.28</v>
      </c>
    </row>
    <row r="491" spans="1:5">
      <c r="A491" s="715">
        <v>34564</v>
      </c>
      <c r="B491" s="633" t="s">
        <v>35165</v>
      </c>
      <c r="C491" s="715" t="s">
        <v>103</v>
      </c>
      <c r="D491" s="715" t="s">
        <v>40839</v>
      </c>
      <c r="E491" s="716">
        <v>5.22</v>
      </c>
    </row>
    <row r="492" spans="1:5">
      <c r="A492" s="715">
        <v>38590</v>
      </c>
      <c r="B492" s="633" t="s">
        <v>35166</v>
      </c>
      <c r="C492" s="715" t="s">
        <v>103</v>
      </c>
      <c r="D492" s="715" t="s">
        <v>40839</v>
      </c>
      <c r="E492" s="716">
        <v>4.08</v>
      </c>
    </row>
    <row r="493" spans="1:5">
      <c r="A493" s="715">
        <v>34567</v>
      </c>
      <c r="B493" s="633" t="s">
        <v>35167</v>
      </c>
      <c r="C493" s="715" t="s">
        <v>103</v>
      </c>
      <c r="D493" s="715" t="s">
        <v>40839</v>
      </c>
      <c r="E493" s="716">
        <v>4.54</v>
      </c>
    </row>
    <row r="494" spans="1:5">
      <c r="A494" s="715">
        <v>38591</v>
      </c>
      <c r="B494" s="633" t="s">
        <v>35168</v>
      </c>
      <c r="C494" s="715" t="s">
        <v>103</v>
      </c>
      <c r="D494" s="715" t="s">
        <v>40839</v>
      </c>
      <c r="E494" s="716">
        <v>4.12</v>
      </c>
    </row>
    <row r="495" spans="1:5">
      <c r="A495" s="715">
        <v>34568</v>
      </c>
      <c r="B495" s="633" t="s">
        <v>42152</v>
      </c>
      <c r="C495" s="715" t="s">
        <v>103</v>
      </c>
      <c r="D495" s="715" t="s">
        <v>40839</v>
      </c>
      <c r="E495" s="716">
        <v>5.37</v>
      </c>
    </row>
    <row r="496" spans="1:5">
      <c r="A496" s="715">
        <v>34569</v>
      </c>
      <c r="B496" s="633" t="s">
        <v>42153</v>
      </c>
      <c r="C496" s="715" t="s">
        <v>103</v>
      </c>
      <c r="D496" s="715" t="s">
        <v>40839</v>
      </c>
      <c r="E496" s="716">
        <v>5.52</v>
      </c>
    </row>
    <row r="497" spans="1:5">
      <c r="A497" s="715">
        <v>37107</v>
      </c>
      <c r="B497" s="633" t="s">
        <v>42154</v>
      </c>
      <c r="C497" s="715" t="s">
        <v>103</v>
      </c>
      <c r="D497" s="715" t="s">
        <v>40839</v>
      </c>
      <c r="E497" s="716">
        <v>6.33</v>
      </c>
    </row>
    <row r="498" spans="1:5">
      <c r="A498" s="715">
        <v>34571</v>
      </c>
      <c r="B498" s="633" t="s">
        <v>42155</v>
      </c>
      <c r="C498" s="715" t="s">
        <v>103</v>
      </c>
      <c r="D498" s="715" t="s">
        <v>40839</v>
      </c>
      <c r="E498" s="716">
        <v>4.55</v>
      </c>
    </row>
    <row r="499" spans="1:5">
      <c r="A499" s="715">
        <v>34570</v>
      </c>
      <c r="B499" s="633" t="s">
        <v>35169</v>
      </c>
      <c r="C499" s="715" t="s">
        <v>103</v>
      </c>
      <c r="D499" s="715" t="s">
        <v>40839</v>
      </c>
      <c r="E499" s="716">
        <v>5.99</v>
      </c>
    </row>
    <row r="500" spans="1:5">
      <c r="A500" s="715">
        <v>25070</v>
      </c>
      <c r="B500" s="633" t="s">
        <v>35170</v>
      </c>
      <c r="C500" s="715" t="s">
        <v>103</v>
      </c>
      <c r="D500" s="715" t="s">
        <v>40839</v>
      </c>
      <c r="E500" s="716">
        <v>4.51</v>
      </c>
    </row>
    <row r="501" spans="1:5">
      <c r="A501" s="715">
        <v>34573</v>
      </c>
      <c r="B501" s="633" t="s">
        <v>35171</v>
      </c>
      <c r="C501" s="715" t="s">
        <v>103</v>
      </c>
      <c r="D501" s="715" t="s">
        <v>40839</v>
      </c>
      <c r="E501" s="716">
        <v>4.79</v>
      </c>
    </row>
    <row r="502" spans="1:5">
      <c r="A502" s="715">
        <v>34576</v>
      </c>
      <c r="B502" s="633" t="s">
        <v>35172</v>
      </c>
      <c r="C502" s="715" t="s">
        <v>103</v>
      </c>
      <c r="D502" s="715" t="s">
        <v>40839</v>
      </c>
      <c r="E502" s="716">
        <v>6.98</v>
      </c>
    </row>
    <row r="503" spans="1:5">
      <c r="A503" s="715">
        <v>34577</v>
      </c>
      <c r="B503" s="633" t="s">
        <v>35173</v>
      </c>
      <c r="C503" s="715" t="s">
        <v>103</v>
      </c>
      <c r="D503" s="715" t="s">
        <v>40839</v>
      </c>
      <c r="E503" s="716">
        <v>7.28</v>
      </c>
    </row>
    <row r="504" spans="1:5">
      <c r="A504" s="715">
        <v>34578</v>
      </c>
      <c r="B504" s="633" t="s">
        <v>35174</v>
      </c>
      <c r="C504" s="715" t="s">
        <v>103</v>
      </c>
      <c r="D504" s="715" t="s">
        <v>40839</v>
      </c>
      <c r="E504" s="716">
        <v>7.9</v>
      </c>
    </row>
    <row r="505" spans="1:5">
      <c r="A505" s="715">
        <v>34579</v>
      </c>
      <c r="B505" s="633" t="s">
        <v>35175</v>
      </c>
      <c r="C505" s="715" t="s">
        <v>103</v>
      </c>
      <c r="D505" s="715" t="s">
        <v>40839</v>
      </c>
      <c r="E505" s="716">
        <v>8.42</v>
      </c>
    </row>
    <row r="506" spans="1:5">
      <c r="A506" s="715">
        <v>25067</v>
      </c>
      <c r="B506" s="633" t="s">
        <v>35176</v>
      </c>
      <c r="C506" s="715" t="s">
        <v>103</v>
      </c>
      <c r="D506" s="715" t="s">
        <v>40839</v>
      </c>
      <c r="E506" s="716">
        <v>5.64</v>
      </c>
    </row>
    <row r="507" spans="1:5">
      <c r="A507" s="715">
        <v>34580</v>
      </c>
      <c r="B507" s="633" t="s">
        <v>35177</v>
      </c>
      <c r="C507" s="715" t="s">
        <v>103</v>
      </c>
      <c r="D507" s="715" t="s">
        <v>40839</v>
      </c>
      <c r="E507" s="716">
        <v>6.29</v>
      </c>
    </row>
    <row r="508" spans="1:5">
      <c r="A508" s="715">
        <v>25071</v>
      </c>
      <c r="B508" s="633" t="s">
        <v>35178</v>
      </c>
      <c r="C508" s="715" t="s">
        <v>103</v>
      </c>
      <c r="D508" s="715" t="s">
        <v>40839</v>
      </c>
      <c r="E508" s="716">
        <v>3.13</v>
      </c>
    </row>
    <row r="509" spans="1:5">
      <c r="A509" s="715">
        <v>44171</v>
      </c>
      <c r="B509" s="633" t="s">
        <v>35179</v>
      </c>
      <c r="C509" s="715" t="s">
        <v>103</v>
      </c>
      <c r="D509" s="715" t="s">
        <v>40839</v>
      </c>
      <c r="E509" s="716">
        <v>18.670000000000002</v>
      </c>
    </row>
    <row r="510" spans="1:5">
      <c r="A510" s="715">
        <v>38395</v>
      </c>
      <c r="B510" s="633" t="s">
        <v>35180</v>
      </c>
      <c r="C510" s="715" t="s">
        <v>103</v>
      </c>
      <c r="D510" s="715" t="s">
        <v>40839</v>
      </c>
      <c r="E510" s="716">
        <v>9.8800000000000008</v>
      </c>
    </row>
    <row r="511" spans="1:5">
      <c r="A511" s="715">
        <v>34583</v>
      </c>
      <c r="B511" s="633" t="s">
        <v>35181</v>
      </c>
      <c r="C511" s="715" t="s">
        <v>509</v>
      </c>
      <c r="D511" s="715" t="s">
        <v>40839</v>
      </c>
      <c r="E511" s="716">
        <v>55.79</v>
      </c>
    </row>
    <row r="512" spans="1:5">
      <c r="A512" s="715">
        <v>34584</v>
      </c>
      <c r="B512" s="633" t="s">
        <v>35182</v>
      </c>
      <c r="C512" s="715" t="s">
        <v>509</v>
      </c>
      <c r="D512" s="715" t="s">
        <v>40839</v>
      </c>
      <c r="E512" s="716">
        <v>40.909999999999997</v>
      </c>
    </row>
    <row r="513" spans="1:5" ht="29">
      <c r="A513" s="715">
        <v>709</v>
      </c>
      <c r="B513" s="633" t="s">
        <v>35183</v>
      </c>
      <c r="C513" s="715" t="s">
        <v>509</v>
      </c>
      <c r="D513" s="715" t="s">
        <v>40839</v>
      </c>
      <c r="E513" s="716">
        <v>796.29</v>
      </c>
    </row>
    <row r="514" spans="1:5">
      <c r="A514" s="715">
        <v>34592</v>
      </c>
      <c r="B514" s="633" t="s">
        <v>35184</v>
      </c>
      <c r="C514" s="715" t="s">
        <v>103</v>
      </c>
      <c r="D514" s="715" t="s">
        <v>40839</v>
      </c>
      <c r="E514" s="716">
        <v>3.58</v>
      </c>
    </row>
    <row r="515" spans="1:5">
      <c r="A515" s="715">
        <v>34599</v>
      </c>
      <c r="B515" s="633" t="s">
        <v>35185</v>
      </c>
      <c r="C515" s="715" t="s">
        <v>103</v>
      </c>
      <c r="D515" s="715" t="s">
        <v>40839</v>
      </c>
      <c r="E515" s="716">
        <v>3.22</v>
      </c>
    </row>
    <row r="516" spans="1:5">
      <c r="A516" s="715">
        <v>651</v>
      </c>
      <c r="B516" s="633" t="s">
        <v>35186</v>
      </c>
      <c r="C516" s="715" t="s">
        <v>103</v>
      </c>
      <c r="D516" s="715" t="s">
        <v>40839</v>
      </c>
      <c r="E516" s="716">
        <v>3.95</v>
      </c>
    </row>
    <row r="517" spans="1:5">
      <c r="A517" s="715">
        <v>654</v>
      </c>
      <c r="B517" s="633" t="s">
        <v>35187</v>
      </c>
      <c r="C517" s="715" t="s">
        <v>103</v>
      </c>
      <c r="D517" s="715" t="s">
        <v>40839</v>
      </c>
      <c r="E517" s="716">
        <v>4.9000000000000004</v>
      </c>
    </row>
    <row r="518" spans="1:5">
      <c r="A518" s="715">
        <v>37103</v>
      </c>
      <c r="B518" s="633" t="s">
        <v>35188</v>
      </c>
      <c r="C518" s="715" t="s">
        <v>103</v>
      </c>
      <c r="D518" s="715" t="s">
        <v>40839</v>
      </c>
      <c r="E518" s="716">
        <v>4.0999999999999996</v>
      </c>
    </row>
    <row r="519" spans="1:5">
      <c r="A519" s="715">
        <v>34555</v>
      </c>
      <c r="B519" s="633" t="s">
        <v>35189</v>
      </c>
      <c r="C519" s="715" t="s">
        <v>103</v>
      </c>
      <c r="D519" s="715" t="s">
        <v>40839</v>
      </c>
      <c r="E519" s="716">
        <v>5.21</v>
      </c>
    </row>
    <row r="520" spans="1:5" ht="29">
      <c r="A520" s="715">
        <v>674</v>
      </c>
      <c r="B520" s="633" t="s">
        <v>35190</v>
      </c>
      <c r="C520" s="715" t="s">
        <v>509</v>
      </c>
      <c r="D520" s="715" t="s">
        <v>40839</v>
      </c>
      <c r="E520" s="716">
        <v>100.73</v>
      </c>
    </row>
    <row r="521" spans="1:5" ht="29">
      <c r="A521" s="715">
        <v>34600</v>
      </c>
      <c r="B521" s="633" t="s">
        <v>35191</v>
      </c>
      <c r="C521" s="715" t="s">
        <v>509</v>
      </c>
      <c r="D521" s="715" t="s">
        <v>28018</v>
      </c>
      <c r="E521" s="716">
        <v>147.94999999999999</v>
      </c>
    </row>
    <row r="522" spans="1:5" ht="29">
      <c r="A522" s="715">
        <v>652</v>
      </c>
      <c r="B522" s="633" t="s">
        <v>35192</v>
      </c>
      <c r="C522" s="715" t="s">
        <v>509</v>
      </c>
      <c r="D522" s="715" t="s">
        <v>40839</v>
      </c>
      <c r="E522" s="716">
        <v>226.64</v>
      </c>
    </row>
    <row r="523" spans="1:5">
      <c r="A523" s="715">
        <v>650</v>
      </c>
      <c r="B523" s="633" t="s">
        <v>35193</v>
      </c>
      <c r="C523" s="715" t="s">
        <v>103</v>
      </c>
      <c r="D523" s="715" t="s">
        <v>28018</v>
      </c>
      <c r="E523" s="716">
        <v>3.16</v>
      </c>
    </row>
    <row r="524" spans="1:5" ht="29">
      <c r="A524" s="715">
        <v>718</v>
      </c>
      <c r="B524" s="633" t="s">
        <v>35194</v>
      </c>
      <c r="C524" s="715" t="s">
        <v>103</v>
      </c>
      <c r="D524" s="715" t="s">
        <v>40839</v>
      </c>
      <c r="E524" s="716">
        <v>19.72</v>
      </c>
    </row>
    <row r="525" spans="1:5" ht="29">
      <c r="A525" s="715">
        <v>11981</v>
      </c>
      <c r="B525" s="633" t="s">
        <v>35195</v>
      </c>
      <c r="C525" s="715" t="s">
        <v>103</v>
      </c>
      <c r="D525" s="715" t="s">
        <v>40839</v>
      </c>
      <c r="E525" s="716">
        <v>19.16</v>
      </c>
    </row>
    <row r="526" spans="1:5">
      <c r="A526" s="715">
        <v>34586</v>
      </c>
      <c r="B526" s="633" t="s">
        <v>35196</v>
      </c>
      <c r="C526" s="715" t="s">
        <v>103</v>
      </c>
      <c r="D526" s="715" t="s">
        <v>40839</v>
      </c>
      <c r="E526" s="716">
        <v>2.02</v>
      </c>
    </row>
    <row r="527" spans="1:5">
      <c r="A527" s="715">
        <v>38603</v>
      </c>
      <c r="B527" s="633" t="s">
        <v>35197</v>
      </c>
      <c r="C527" s="715" t="s">
        <v>103</v>
      </c>
      <c r="D527" s="715" t="s">
        <v>40839</v>
      </c>
      <c r="E527" s="716">
        <v>2.4</v>
      </c>
    </row>
    <row r="528" spans="1:5">
      <c r="A528" s="715">
        <v>34588</v>
      </c>
      <c r="B528" s="633" t="s">
        <v>35198</v>
      </c>
      <c r="C528" s="715" t="s">
        <v>103</v>
      </c>
      <c r="D528" s="715" t="s">
        <v>40839</v>
      </c>
      <c r="E528" s="716">
        <v>2.73</v>
      </c>
    </row>
    <row r="529" spans="1:5">
      <c r="A529" s="715">
        <v>34590</v>
      </c>
      <c r="B529" s="633" t="s">
        <v>35199</v>
      </c>
      <c r="C529" s="715" t="s">
        <v>103</v>
      </c>
      <c r="D529" s="715" t="s">
        <v>40839</v>
      </c>
      <c r="E529" s="716">
        <v>2.7</v>
      </c>
    </row>
    <row r="530" spans="1:5">
      <c r="A530" s="715">
        <v>34591</v>
      </c>
      <c r="B530" s="633" t="s">
        <v>35200</v>
      </c>
      <c r="C530" s="715" t="s">
        <v>103</v>
      </c>
      <c r="D530" s="715" t="s">
        <v>40839</v>
      </c>
      <c r="E530" s="716">
        <v>3.3</v>
      </c>
    </row>
    <row r="531" spans="1:5" ht="29">
      <c r="A531" s="715">
        <v>40517</v>
      </c>
      <c r="B531" s="633" t="s">
        <v>35201</v>
      </c>
      <c r="C531" s="715" t="s">
        <v>509</v>
      </c>
      <c r="D531" s="715" t="s">
        <v>40839</v>
      </c>
      <c r="E531" s="716">
        <v>87.98</v>
      </c>
    </row>
    <row r="532" spans="1:5" ht="43">
      <c r="A532" s="715">
        <v>40515</v>
      </c>
      <c r="B532" s="633" t="s">
        <v>35202</v>
      </c>
      <c r="C532" s="715" t="s">
        <v>509</v>
      </c>
      <c r="D532" s="715" t="s">
        <v>40839</v>
      </c>
      <c r="E532" s="716">
        <v>96.78</v>
      </c>
    </row>
    <row r="533" spans="1:5" ht="43">
      <c r="A533" s="715">
        <v>40524</v>
      </c>
      <c r="B533" s="633" t="s">
        <v>35203</v>
      </c>
      <c r="C533" s="715" t="s">
        <v>509</v>
      </c>
      <c r="D533" s="715" t="s">
        <v>40839</v>
      </c>
      <c r="E533" s="716">
        <v>100.55</v>
      </c>
    </row>
    <row r="534" spans="1:5" ht="43">
      <c r="A534" s="715">
        <v>40529</v>
      </c>
      <c r="B534" s="633" t="s">
        <v>35204</v>
      </c>
      <c r="C534" s="715" t="s">
        <v>509</v>
      </c>
      <c r="D534" s="715" t="s">
        <v>40839</v>
      </c>
      <c r="E534" s="716">
        <v>159.43</v>
      </c>
    </row>
    <row r="535" spans="1:5" ht="43">
      <c r="A535" s="715">
        <v>36156</v>
      </c>
      <c r="B535" s="633" t="s">
        <v>35205</v>
      </c>
      <c r="C535" s="715" t="s">
        <v>509</v>
      </c>
      <c r="D535" s="715" t="s">
        <v>40839</v>
      </c>
      <c r="E535" s="716">
        <v>95.26</v>
      </c>
    </row>
    <row r="536" spans="1:5" ht="43">
      <c r="A536" s="715">
        <v>36155</v>
      </c>
      <c r="B536" s="633" t="s">
        <v>35206</v>
      </c>
      <c r="C536" s="715" t="s">
        <v>509</v>
      </c>
      <c r="D536" s="715" t="s">
        <v>40839</v>
      </c>
      <c r="E536" s="716">
        <v>75.41</v>
      </c>
    </row>
    <row r="537" spans="1:5" ht="43">
      <c r="A537" s="715">
        <v>36154</v>
      </c>
      <c r="B537" s="633" t="s">
        <v>35207</v>
      </c>
      <c r="C537" s="715" t="s">
        <v>509</v>
      </c>
      <c r="D537" s="715" t="s">
        <v>40839</v>
      </c>
      <c r="E537" s="716">
        <v>113.78</v>
      </c>
    </row>
    <row r="538" spans="1:5" ht="43">
      <c r="A538" s="715">
        <v>36170</v>
      </c>
      <c r="B538" s="633" t="s">
        <v>35208</v>
      </c>
      <c r="C538" s="715" t="s">
        <v>509</v>
      </c>
      <c r="D538" s="715" t="s">
        <v>28018</v>
      </c>
      <c r="E538" s="716">
        <v>86</v>
      </c>
    </row>
    <row r="539" spans="1:5" ht="29">
      <c r="A539" s="715">
        <v>695</v>
      </c>
      <c r="B539" s="633" t="s">
        <v>35209</v>
      </c>
      <c r="C539" s="715" t="s">
        <v>509</v>
      </c>
      <c r="D539" s="715" t="s">
        <v>40839</v>
      </c>
      <c r="E539" s="716">
        <v>95.59</v>
      </c>
    </row>
    <row r="540" spans="1:5" ht="29">
      <c r="A540" s="715">
        <v>679</v>
      </c>
      <c r="B540" s="633" t="s">
        <v>35210</v>
      </c>
      <c r="C540" s="715" t="s">
        <v>509</v>
      </c>
      <c r="D540" s="715" t="s">
        <v>40839</v>
      </c>
      <c r="E540" s="716">
        <v>136.4</v>
      </c>
    </row>
    <row r="541" spans="1:5" ht="29">
      <c r="A541" s="715">
        <v>711</v>
      </c>
      <c r="B541" s="633" t="s">
        <v>35211</v>
      </c>
      <c r="C541" s="715" t="s">
        <v>509</v>
      </c>
      <c r="D541" s="715" t="s">
        <v>40839</v>
      </c>
      <c r="E541" s="716">
        <v>86</v>
      </c>
    </row>
    <row r="542" spans="1:5" ht="29">
      <c r="A542" s="715">
        <v>712</v>
      </c>
      <c r="B542" s="633" t="s">
        <v>35212</v>
      </c>
      <c r="C542" s="715" t="s">
        <v>509</v>
      </c>
      <c r="D542" s="715" t="s">
        <v>40839</v>
      </c>
      <c r="E542" s="716">
        <v>103.2</v>
      </c>
    </row>
    <row r="543" spans="1:5" ht="29">
      <c r="A543" s="715">
        <v>12614</v>
      </c>
      <c r="B543" s="633" t="s">
        <v>35213</v>
      </c>
      <c r="C543" s="715" t="s">
        <v>103</v>
      </c>
      <c r="D543" s="715" t="s">
        <v>40839</v>
      </c>
      <c r="E543" s="716">
        <v>64.88</v>
      </c>
    </row>
    <row r="544" spans="1:5">
      <c r="A544" s="715">
        <v>6140</v>
      </c>
      <c r="B544" s="633" t="s">
        <v>35214</v>
      </c>
      <c r="C544" s="715" t="s">
        <v>103</v>
      </c>
      <c r="D544" s="715" t="s">
        <v>40839</v>
      </c>
      <c r="E544" s="716">
        <v>4.3499999999999996</v>
      </c>
    </row>
    <row r="545" spans="1:5">
      <c r="A545" s="715">
        <v>38399</v>
      </c>
      <c r="B545" s="633" t="s">
        <v>35215</v>
      </c>
      <c r="C545" s="715" t="s">
        <v>103</v>
      </c>
      <c r="D545" s="715" t="s">
        <v>40839</v>
      </c>
      <c r="E545" s="716">
        <v>200.22</v>
      </c>
    </row>
    <row r="546" spans="1:5" ht="29">
      <c r="A546" s="715">
        <v>729</v>
      </c>
      <c r="B546" s="633" t="s">
        <v>35216</v>
      </c>
      <c r="C546" s="715" t="s">
        <v>103</v>
      </c>
      <c r="D546" s="715" t="s">
        <v>28018</v>
      </c>
      <c r="E546" s="716">
        <v>728.73</v>
      </c>
    </row>
    <row r="547" spans="1:5" ht="29">
      <c r="A547" s="715">
        <v>39925</v>
      </c>
      <c r="B547" s="633" t="s">
        <v>35217</v>
      </c>
      <c r="C547" s="715" t="s">
        <v>103</v>
      </c>
      <c r="D547" s="715" t="s">
        <v>40839</v>
      </c>
      <c r="E547" s="716">
        <v>10530.08</v>
      </c>
    </row>
    <row r="548" spans="1:5" ht="29">
      <c r="A548" s="715">
        <v>731</v>
      </c>
      <c r="B548" s="633" t="s">
        <v>35218</v>
      </c>
      <c r="C548" s="715" t="s">
        <v>103</v>
      </c>
      <c r="D548" s="715" t="s">
        <v>40839</v>
      </c>
      <c r="E548" s="716">
        <v>709.23</v>
      </c>
    </row>
    <row r="549" spans="1:5" ht="43">
      <c r="A549" s="715">
        <v>732</v>
      </c>
      <c r="B549" s="633" t="s">
        <v>35219</v>
      </c>
      <c r="C549" s="715" t="s">
        <v>103</v>
      </c>
      <c r="D549" s="715" t="s">
        <v>40839</v>
      </c>
      <c r="E549" s="716">
        <v>1195.53</v>
      </c>
    </row>
    <row r="550" spans="1:5" ht="43">
      <c r="A550" s="715">
        <v>735</v>
      </c>
      <c r="B550" s="633" t="s">
        <v>35220</v>
      </c>
      <c r="C550" s="715" t="s">
        <v>103</v>
      </c>
      <c r="D550" s="715" t="s">
        <v>40839</v>
      </c>
      <c r="E550" s="716">
        <v>2126.79</v>
      </c>
    </row>
    <row r="551" spans="1:5" ht="43">
      <c r="A551" s="715">
        <v>736</v>
      </c>
      <c r="B551" s="633" t="s">
        <v>35221</v>
      </c>
      <c r="C551" s="715" t="s">
        <v>103</v>
      </c>
      <c r="D551" s="715" t="s">
        <v>40839</v>
      </c>
      <c r="E551" s="716">
        <v>1788.24</v>
      </c>
    </row>
    <row r="552" spans="1:5" ht="43">
      <c r="A552" s="715">
        <v>740</v>
      </c>
      <c r="B552" s="633" t="s">
        <v>35222</v>
      </c>
      <c r="C552" s="715" t="s">
        <v>103</v>
      </c>
      <c r="D552" s="715" t="s">
        <v>40839</v>
      </c>
      <c r="E552" s="716">
        <v>6306.88</v>
      </c>
    </row>
    <row r="553" spans="1:5" ht="43">
      <c r="A553" s="715">
        <v>734</v>
      </c>
      <c r="B553" s="633" t="s">
        <v>35223</v>
      </c>
      <c r="C553" s="715" t="s">
        <v>103</v>
      </c>
      <c r="D553" s="715" t="s">
        <v>40839</v>
      </c>
      <c r="E553" s="716">
        <v>1281.6099999999999</v>
      </c>
    </row>
    <row r="554" spans="1:5">
      <c r="A554" s="715">
        <v>39008</v>
      </c>
      <c r="B554" s="633" t="s">
        <v>35224</v>
      </c>
      <c r="C554" s="715" t="s">
        <v>103</v>
      </c>
      <c r="D554" s="715" t="s">
        <v>40839</v>
      </c>
      <c r="E554" s="716">
        <v>63568.17</v>
      </c>
    </row>
    <row r="555" spans="1:5">
      <c r="A555" s="715">
        <v>39009</v>
      </c>
      <c r="B555" s="633" t="s">
        <v>35225</v>
      </c>
      <c r="C555" s="715" t="s">
        <v>103</v>
      </c>
      <c r="D555" s="715" t="s">
        <v>40839</v>
      </c>
      <c r="E555" s="716">
        <v>68105.42</v>
      </c>
    </row>
    <row r="556" spans="1:5" ht="43">
      <c r="A556" s="715">
        <v>10592</v>
      </c>
      <c r="B556" s="633" t="s">
        <v>35226</v>
      </c>
      <c r="C556" s="715" t="s">
        <v>103</v>
      </c>
      <c r="D556" s="715" t="s">
        <v>28018</v>
      </c>
      <c r="E556" s="716">
        <v>5455</v>
      </c>
    </row>
    <row r="557" spans="1:5" ht="43">
      <c r="A557" s="715">
        <v>751</v>
      </c>
      <c r="B557" s="633" t="s">
        <v>35227</v>
      </c>
      <c r="C557" s="715" t="s">
        <v>103</v>
      </c>
      <c r="D557" s="715" t="s">
        <v>40839</v>
      </c>
      <c r="E557" s="716">
        <v>6443.71</v>
      </c>
    </row>
    <row r="558" spans="1:5" ht="43">
      <c r="A558" s="715">
        <v>754</v>
      </c>
      <c r="B558" s="633" t="s">
        <v>35228</v>
      </c>
      <c r="C558" s="715" t="s">
        <v>103</v>
      </c>
      <c r="D558" s="715" t="s">
        <v>40839</v>
      </c>
      <c r="E558" s="716">
        <v>10228.120000000001</v>
      </c>
    </row>
    <row r="559" spans="1:5" ht="29">
      <c r="A559" s="715">
        <v>39917</v>
      </c>
      <c r="B559" s="633" t="s">
        <v>35229</v>
      </c>
      <c r="C559" s="715" t="s">
        <v>103</v>
      </c>
      <c r="D559" s="715" t="s">
        <v>40839</v>
      </c>
      <c r="E559" s="716">
        <v>97645.3</v>
      </c>
    </row>
    <row r="560" spans="1:5">
      <c r="A560" s="715">
        <v>38167</v>
      </c>
      <c r="B560" s="633" t="s">
        <v>35230</v>
      </c>
      <c r="C560" s="715" t="s">
        <v>525</v>
      </c>
      <c r="D560" s="715" t="s">
        <v>40839</v>
      </c>
      <c r="E560" s="716">
        <v>27.25</v>
      </c>
    </row>
    <row r="561" spans="1:5">
      <c r="A561" s="715">
        <v>36145</v>
      </c>
      <c r="B561" s="633" t="s">
        <v>35231</v>
      </c>
      <c r="C561" s="715" t="s">
        <v>525</v>
      </c>
      <c r="D561" s="715" t="s">
        <v>40839</v>
      </c>
      <c r="E561" s="716">
        <v>46.67</v>
      </c>
    </row>
    <row r="562" spans="1:5">
      <c r="A562" s="715">
        <v>12893</v>
      </c>
      <c r="B562" s="633" t="s">
        <v>35232</v>
      </c>
      <c r="C562" s="715" t="s">
        <v>525</v>
      </c>
      <c r="D562" s="715" t="s">
        <v>40839</v>
      </c>
      <c r="E562" s="716">
        <v>82.14</v>
      </c>
    </row>
    <row r="563" spans="1:5">
      <c r="A563" s="715">
        <v>11685</v>
      </c>
      <c r="B563" s="633" t="s">
        <v>35233</v>
      </c>
      <c r="C563" s="715" t="s">
        <v>103</v>
      </c>
      <c r="D563" s="715" t="s">
        <v>40839</v>
      </c>
      <c r="E563" s="716">
        <v>29.6</v>
      </c>
    </row>
    <row r="564" spans="1:5">
      <c r="A564" s="715">
        <v>11680</v>
      </c>
      <c r="B564" s="633" t="s">
        <v>40992</v>
      </c>
      <c r="C564" s="715" t="s">
        <v>103</v>
      </c>
      <c r="D564" s="715" t="s">
        <v>40839</v>
      </c>
      <c r="E564" s="716">
        <v>18.66</v>
      </c>
    </row>
    <row r="565" spans="1:5">
      <c r="A565" s="715">
        <v>11679</v>
      </c>
      <c r="B565" s="633" t="s">
        <v>40993</v>
      </c>
      <c r="C565" s="715" t="s">
        <v>103</v>
      </c>
      <c r="D565" s="715" t="s">
        <v>40839</v>
      </c>
      <c r="E565" s="716">
        <v>25.3</v>
      </c>
    </row>
    <row r="566" spans="1:5">
      <c r="A566" s="715">
        <v>2512</v>
      </c>
      <c r="B566" s="633" t="s">
        <v>35234</v>
      </c>
      <c r="C566" s="715" t="s">
        <v>103</v>
      </c>
      <c r="D566" s="715" t="s">
        <v>40839</v>
      </c>
      <c r="E566" s="716">
        <v>29.94</v>
      </c>
    </row>
    <row r="567" spans="1:5">
      <c r="A567" s="715">
        <v>45203</v>
      </c>
      <c r="B567" s="633" t="s">
        <v>40994</v>
      </c>
      <c r="C567" s="715" t="s">
        <v>103</v>
      </c>
      <c r="D567" s="715" t="s">
        <v>40839</v>
      </c>
      <c r="E567" s="716">
        <v>9.3000000000000007</v>
      </c>
    </row>
    <row r="568" spans="1:5">
      <c r="A568" s="715">
        <v>4374</v>
      </c>
      <c r="B568" s="633" t="s">
        <v>35235</v>
      </c>
      <c r="C568" s="715" t="s">
        <v>103</v>
      </c>
      <c r="D568" s="715" t="s">
        <v>40839</v>
      </c>
      <c r="E568" s="716">
        <v>0.18</v>
      </c>
    </row>
    <row r="569" spans="1:5" ht="29">
      <c r="A569" s="715">
        <v>7568</v>
      </c>
      <c r="B569" s="633" t="s">
        <v>35236</v>
      </c>
      <c r="C569" s="715" t="s">
        <v>103</v>
      </c>
      <c r="D569" s="715" t="s">
        <v>40839</v>
      </c>
      <c r="E569" s="716">
        <v>0.3</v>
      </c>
    </row>
    <row r="570" spans="1:5" ht="29">
      <c r="A570" s="715">
        <v>7584</v>
      </c>
      <c r="B570" s="633" t="s">
        <v>35237</v>
      </c>
      <c r="C570" s="715" t="s">
        <v>103</v>
      </c>
      <c r="D570" s="715" t="s">
        <v>40839</v>
      </c>
      <c r="E570" s="716">
        <v>0.46</v>
      </c>
    </row>
    <row r="571" spans="1:5">
      <c r="A571" s="715">
        <v>11945</v>
      </c>
      <c r="B571" s="633" t="s">
        <v>35238</v>
      </c>
      <c r="C571" s="715" t="s">
        <v>103</v>
      </c>
      <c r="D571" s="715" t="s">
        <v>40839</v>
      </c>
      <c r="E571" s="716">
        <v>0.03</v>
      </c>
    </row>
    <row r="572" spans="1:5">
      <c r="A572" s="715">
        <v>11946</v>
      </c>
      <c r="B572" s="633" t="s">
        <v>35239</v>
      </c>
      <c r="C572" s="715" t="s">
        <v>103</v>
      </c>
      <c r="D572" s="715" t="s">
        <v>40839</v>
      </c>
      <c r="E572" s="716">
        <v>0.03</v>
      </c>
    </row>
    <row r="573" spans="1:5">
      <c r="A573" s="715">
        <v>4375</v>
      </c>
      <c r="B573" s="633" t="s">
        <v>35240</v>
      </c>
      <c r="C573" s="715" t="s">
        <v>103</v>
      </c>
      <c r="D573" s="715" t="s">
        <v>28018</v>
      </c>
      <c r="E573" s="716">
        <v>0.05</v>
      </c>
    </row>
    <row r="574" spans="1:5" ht="29">
      <c r="A574" s="715">
        <v>11950</v>
      </c>
      <c r="B574" s="633" t="s">
        <v>35241</v>
      </c>
      <c r="C574" s="715" t="s">
        <v>103</v>
      </c>
      <c r="D574" s="715" t="s">
        <v>40839</v>
      </c>
      <c r="E574" s="716">
        <v>0.1</v>
      </c>
    </row>
    <row r="575" spans="1:5">
      <c r="A575" s="715">
        <v>4376</v>
      </c>
      <c r="B575" s="633" t="s">
        <v>35242</v>
      </c>
      <c r="C575" s="715" t="s">
        <v>103</v>
      </c>
      <c r="D575" s="715" t="s">
        <v>40839</v>
      </c>
      <c r="E575" s="716">
        <v>0.09</v>
      </c>
    </row>
    <row r="576" spans="1:5" ht="29">
      <c r="A576" s="715">
        <v>7583</v>
      </c>
      <c r="B576" s="633" t="s">
        <v>35243</v>
      </c>
      <c r="C576" s="715" t="s">
        <v>103</v>
      </c>
      <c r="D576" s="715" t="s">
        <v>40839</v>
      </c>
      <c r="E576" s="716">
        <v>0.2</v>
      </c>
    </row>
    <row r="577" spans="1:5" ht="29">
      <c r="A577" s="715">
        <v>4350</v>
      </c>
      <c r="B577" s="633" t="s">
        <v>35244</v>
      </c>
      <c r="C577" s="715" t="s">
        <v>103</v>
      </c>
      <c r="D577" s="715" t="s">
        <v>40839</v>
      </c>
      <c r="E577" s="716">
        <v>0.59</v>
      </c>
    </row>
    <row r="578" spans="1:5">
      <c r="A578" s="715">
        <v>44400</v>
      </c>
      <c r="B578" s="633" t="s">
        <v>35245</v>
      </c>
      <c r="C578" s="715" t="s">
        <v>103</v>
      </c>
      <c r="D578" s="715" t="s">
        <v>40839</v>
      </c>
      <c r="E578" s="716">
        <v>33.01</v>
      </c>
    </row>
    <row r="579" spans="1:5">
      <c r="A579" s="715">
        <v>39886</v>
      </c>
      <c r="B579" s="633" t="s">
        <v>35246</v>
      </c>
      <c r="C579" s="715" t="s">
        <v>103</v>
      </c>
      <c r="D579" s="715" t="s">
        <v>40839</v>
      </c>
      <c r="E579" s="716">
        <v>6.3</v>
      </c>
    </row>
    <row r="580" spans="1:5">
      <c r="A580" s="715">
        <v>39887</v>
      </c>
      <c r="B580" s="633" t="s">
        <v>35247</v>
      </c>
      <c r="C580" s="715" t="s">
        <v>103</v>
      </c>
      <c r="D580" s="715" t="s">
        <v>40839</v>
      </c>
      <c r="E580" s="716">
        <v>9.4600000000000009</v>
      </c>
    </row>
    <row r="581" spans="1:5">
      <c r="A581" s="715">
        <v>39888</v>
      </c>
      <c r="B581" s="633" t="s">
        <v>35248</v>
      </c>
      <c r="C581" s="715" t="s">
        <v>103</v>
      </c>
      <c r="D581" s="715" t="s">
        <v>40839</v>
      </c>
      <c r="E581" s="716">
        <v>21.63</v>
      </c>
    </row>
    <row r="582" spans="1:5">
      <c r="A582" s="715">
        <v>39890</v>
      </c>
      <c r="B582" s="633" t="s">
        <v>35249</v>
      </c>
      <c r="C582" s="715" t="s">
        <v>103</v>
      </c>
      <c r="D582" s="715" t="s">
        <v>40839</v>
      </c>
      <c r="E582" s="716">
        <v>36.92</v>
      </c>
    </row>
    <row r="583" spans="1:5">
      <c r="A583" s="715">
        <v>39891</v>
      </c>
      <c r="B583" s="633" t="s">
        <v>35250</v>
      </c>
      <c r="C583" s="715" t="s">
        <v>103</v>
      </c>
      <c r="D583" s="715" t="s">
        <v>40839</v>
      </c>
      <c r="E583" s="716">
        <v>52.06</v>
      </c>
    </row>
    <row r="584" spans="1:5">
      <c r="A584" s="715">
        <v>39892</v>
      </c>
      <c r="B584" s="633" t="s">
        <v>35251</v>
      </c>
      <c r="C584" s="715" t="s">
        <v>103</v>
      </c>
      <c r="D584" s="715" t="s">
        <v>40839</v>
      </c>
      <c r="E584" s="716">
        <v>162.29</v>
      </c>
    </row>
    <row r="585" spans="1:5">
      <c r="A585" s="715">
        <v>790</v>
      </c>
      <c r="B585" s="633" t="s">
        <v>35252</v>
      </c>
      <c r="C585" s="715" t="s">
        <v>103</v>
      </c>
      <c r="D585" s="715" t="s">
        <v>40839</v>
      </c>
      <c r="E585" s="716">
        <v>21.58</v>
      </c>
    </row>
    <row r="586" spans="1:5">
      <c r="A586" s="715">
        <v>791</v>
      </c>
      <c r="B586" s="633" t="s">
        <v>35253</v>
      </c>
      <c r="C586" s="715" t="s">
        <v>103</v>
      </c>
      <c r="D586" s="715" t="s">
        <v>40839</v>
      </c>
      <c r="E586" s="716">
        <v>21.58</v>
      </c>
    </row>
    <row r="587" spans="1:5">
      <c r="A587" s="715">
        <v>766</v>
      </c>
      <c r="B587" s="633" t="s">
        <v>35254</v>
      </c>
      <c r="C587" s="715" t="s">
        <v>103</v>
      </c>
      <c r="D587" s="715" t="s">
        <v>40839</v>
      </c>
      <c r="E587" s="716">
        <v>21.58</v>
      </c>
    </row>
    <row r="588" spans="1:5">
      <c r="A588" s="715">
        <v>767</v>
      </c>
      <c r="B588" s="633" t="s">
        <v>35255</v>
      </c>
      <c r="C588" s="715" t="s">
        <v>103</v>
      </c>
      <c r="D588" s="715" t="s">
        <v>40839</v>
      </c>
      <c r="E588" s="716">
        <v>21.58</v>
      </c>
    </row>
    <row r="589" spans="1:5">
      <c r="A589" s="715">
        <v>789</v>
      </c>
      <c r="B589" s="633" t="s">
        <v>35256</v>
      </c>
      <c r="C589" s="715" t="s">
        <v>103</v>
      </c>
      <c r="D589" s="715" t="s">
        <v>40839</v>
      </c>
      <c r="E589" s="716">
        <v>16.579999999999998</v>
      </c>
    </row>
    <row r="590" spans="1:5">
      <c r="A590" s="715">
        <v>768</v>
      </c>
      <c r="B590" s="633" t="s">
        <v>35257</v>
      </c>
      <c r="C590" s="715" t="s">
        <v>103</v>
      </c>
      <c r="D590" s="715" t="s">
        <v>40839</v>
      </c>
      <c r="E590" s="716">
        <v>16.95</v>
      </c>
    </row>
    <row r="591" spans="1:5">
      <c r="A591" s="715">
        <v>769</v>
      </c>
      <c r="B591" s="633" t="s">
        <v>35258</v>
      </c>
      <c r="C591" s="715" t="s">
        <v>103</v>
      </c>
      <c r="D591" s="715" t="s">
        <v>40839</v>
      </c>
      <c r="E591" s="716">
        <v>16.95</v>
      </c>
    </row>
    <row r="592" spans="1:5">
      <c r="A592" s="715">
        <v>764</v>
      </c>
      <c r="B592" s="633" t="s">
        <v>35259</v>
      </c>
      <c r="C592" s="715" t="s">
        <v>103</v>
      </c>
      <c r="D592" s="715" t="s">
        <v>28018</v>
      </c>
      <c r="E592" s="716">
        <v>10.43</v>
      </c>
    </row>
    <row r="593" spans="1:5">
      <c r="A593" s="715">
        <v>765</v>
      </c>
      <c r="B593" s="633" t="s">
        <v>35260</v>
      </c>
      <c r="C593" s="715" t="s">
        <v>103</v>
      </c>
      <c r="D593" s="715" t="s">
        <v>40839</v>
      </c>
      <c r="E593" s="716">
        <v>10.43</v>
      </c>
    </row>
    <row r="594" spans="1:5">
      <c r="A594" s="715">
        <v>770</v>
      </c>
      <c r="B594" s="633" t="s">
        <v>35261</v>
      </c>
      <c r="C594" s="715" t="s">
        <v>103</v>
      </c>
      <c r="D594" s="715" t="s">
        <v>40839</v>
      </c>
      <c r="E594" s="716">
        <v>5.98</v>
      </c>
    </row>
    <row r="595" spans="1:5">
      <c r="A595" s="715">
        <v>12394</v>
      </c>
      <c r="B595" s="633" t="s">
        <v>35262</v>
      </c>
      <c r="C595" s="715" t="s">
        <v>103</v>
      </c>
      <c r="D595" s="715" t="s">
        <v>40839</v>
      </c>
      <c r="E595" s="716">
        <v>5.98</v>
      </c>
    </row>
    <row r="596" spans="1:5">
      <c r="A596" s="715">
        <v>787</v>
      </c>
      <c r="B596" s="633" t="s">
        <v>35263</v>
      </c>
      <c r="C596" s="715" t="s">
        <v>103</v>
      </c>
      <c r="D596" s="715" t="s">
        <v>40839</v>
      </c>
      <c r="E596" s="716">
        <v>46.59</v>
      </c>
    </row>
    <row r="597" spans="1:5">
      <c r="A597" s="715">
        <v>774</v>
      </c>
      <c r="B597" s="633" t="s">
        <v>35264</v>
      </c>
      <c r="C597" s="715" t="s">
        <v>103</v>
      </c>
      <c r="D597" s="715" t="s">
        <v>40839</v>
      </c>
      <c r="E597" s="716">
        <v>46.59</v>
      </c>
    </row>
    <row r="598" spans="1:5">
      <c r="A598" s="715">
        <v>773</v>
      </c>
      <c r="B598" s="633" t="s">
        <v>35265</v>
      </c>
      <c r="C598" s="715" t="s">
        <v>103</v>
      </c>
      <c r="D598" s="715" t="s">
        <v>40839</v>
      </c>
      <c r="E598" s="716">
        <v>46.59</v>
      </c>
    </row>
    <row r="599" spans="1:5">
      <c r="A599" s="715">
        <v>775</v>
      </c>
      <c r="B599" s="633" t="s">
        <v>35266</v>
      </c>
      <c r="C599" s="715" t="s">
        <v>103</v>
      </c>
      <c r="D599" s="715" t="s">
        <v>40839</v>
      </c>
      <c r="E599" s="716">
        <v>46.59</v>
      </c>
    </row>
    <row r="600" spans="1:5">
      <c r="A600" s="715">
        <v>788</v>
      </c>
      <c r="B600" s="633" t="s">
        <v>35267</v>
      </c>
      <c r="C600" s="715" t="s">
        <v>103</v>
      </c>
      <c r="D600" s="715" t="s">
        <v>40839</v>
      </c>
      <c r="E600" s="716">
        <v>28.96</v>
      </c>
    </row>
    <row r="601" spans="1:5">
      <c r="A601" s="715">
        <v>772</v>
      </c>
      <c r="B601" s="633" t="s">
        <v>35268</v>
      </c>
      <c r="C601" s="715" t="s">
        <v>103</v>
      </c>
      <c r="D601" s="715" t="s">
        <v>40839</v>
      </c>
      <c r="E601" s="716">
        <v>28.96</v>
      </c>
    </row>
    <row r="602" spans="1:5">
      <c r="A602" s="715">
        <v>771</v>
      </c>
      <c r="B602" s="633" t="s">
        <v>35269</v>
      </c>
      <c r="C602" s="715" t="s">
        <v>103</v>
      </c>
      <c r="D602" s="715" t="s">
        <v>40839</v>
      </c>
      <c r="E602" s="716">
        <v>28.96</v>
      </c>
    </row>
    <row r="603" spans="1:5">
      <c r="A603" s="715">
        <v>776</v>
      </c>
      <c r="B603" s="633" t="s">
        <v>35270</v>
      </c>
      <c r="C603" s="715" t="s">
        <v>103</v>
      </c>
      <c r="D603" s="715" t="s">
        <v>40839</v>
      </c>
      <c r="E603" s="716">
        <v>68.680000000000007</v>
      </c>
    </row>
    <row r="604" spans="1:5">
      <c r="A604" s="715">
        <v>777</v>
      </c>
      <c r="B604" s="633" t="s">
        <v>35271</v>
      </c>
      <c r="C604" s="715" t="s">
        <v>103</v>
      </c>
      <c r="D604" s="715" t="s">
        <v>40839</v>
      </c>
      <c r="E604" s="716">
        <v>66.77</v>
      </c>
    </row>
    <row r="605" spans="1:5">
      <c r="A605" s="715">
        <v>780</v>
      </c>
      <c r="B605" s="633" t="s">
        <v>35272</v>
      </c>
      <c r="C605" s="715" t="s">
        <v>103</v>
      </c>
      <c r="D605" s="715" t="s">
        <v>40839</v>
      </c>
      <c r="E605" s="716">
        <v>67.099999999999994</v>
      </c>
    </row>
    <row r="606" spans="1:5">
      <c r="A606" s="715">
        <v>778</v>
      </c>
      <c r="B606" s="633" t="s">
        <v>35273</v>
      </c>
      <c r="C606" s="715" t="s">
        <v>103</v>
      </c>
      <c r="D606" s="715" t="s">
        <v>40839</v>
      </c>
      <c r="E606" s="716">
        <v>68.680000000000007</v>
      </c>
    </row>
    <row r="607" spans="1:5">
      <c r="A607" s="715">
        <v>779</v>
      </c>
      <c r="B607" s="633" t="s">
        <v>35274</v>
      </c>
      <c r="C607" s="715" t="s">
        <v>103</v>
      </c>
      <c r="D607" s="715" t="s">
        <v>40839</v>
      </c>
      <c r="E607" s="716">
        <v>7.2</v>
      </c>
    </row>
    <row r="608" spans="1:5">
      <c r="A608" s="715">
        <v>781</v>
      </c>
      <c r="B608" s="633" t="s">
        <v>35275</v>
      </c>
      <c r="C608" s="715" t="s">
        <v>103</v>
      </c>
      <c r="D608" s="715" t="s">
        <v>40839</v>
      </c>
      <c r="E608" s="716">
        <v>126.9</v>
      </c>
    </row>
    <row r="609" spans="1:5">
      <c r="A609" s="715">
        <v>786</v>
      </c>
      <c r="B609" s="633" t="s">
        <v>35276</v>
      </c>
      <c r="C609" s="715" t="s">
        <v>103</v>
      </c>
      <c r="D609" s="715" t="s">
        <v>40839</v>
      </c>
      <c r="E609" s="716">
        <v>126.9</v>
      </c>
    </row>
    <row r="610" spans="1:5">
      <c r="A610" s="715">
        <v>782</v>
      </c>
      <c r="B610" s="633" t="s">
        <v>35277</v>
      </c>
      <c r="C610" s="715" t="s">
        <v>103</v>
      </c>
      <c r="D610" s="715" t="s">
        <v>40839</v>
      </c>
      <c r="E610" s="716">
        <v>126.9</v>
      </c>
    </row>
    <row r="611" spans="1:5">
      <c r="A611" s="715">
        <v>783</v>
      </c>
      <c r="B611" s="633" t="s">
        <v>35278</v>
      </c>
      <c r="C611" s="715" t="s">
        <v>103</v>
      </c>
      <c r="D611" s="715" t="s">
        <v>40839</v>
      </c>
      <c r="E611" s="716">
        <v>347.3</v>
      </c>
    </row>
    <row r="612" spans="1:5">
      <c r="A612" s="715">
        <v>785</v>
      </c>
      <c r="B612" s="633" t="s">
        <v>35279</v>
      </c>
      <c r="C612" s="715" t="s">
        <v>103</v>
      </c>
      <c r="D612" s="715" t="s">
        <v>40839</v>
      </c>
      <c r="E612" s="716">
        <v>366.96</v>
      </c>
    </row>
    <row r="613" spans="1:5">
      <c r="A613" s="715">
        <v>784</v>
      </c>
      <c r="B613" s="633" t="s">
        <v>35280</v>
      </c>
      <c r="C613" s="715" t="s">
        <v>103</v>
      </c>
      <c r="D613" s="715" t="s">
        <v>40839</v>
      </c>
      <c r="E613" s="716">
        <v>393.66</v>
      </c>
    </row>
    <row r="614" spans="1:5" ht="29">
      <c r="A614" s="715">
        <v>828</v>
      </c>
      <c r="B614" s="633" t="s">
        <v>35281</v>
      </c>
      <c r="C614" s="715" t="s">
        <v>103</v>
      </c>
      <c r="D614" s="715" t="s">
        <v>40839</v>
      </c>
      <c r="E614" s="716">
        <v>0.69</v>
      </c>
    </row>
    <row r="615" spans="1:5" ht="29">
      <c r="A615" s="715">
        <v>829</v>
      </c>
      <c r="B615" s="633" t="s">
        <v>35282</v>
      </c>
      <c r="C615" s="715" t="s">
        <v>103</v>
      </c>
      <c r="D615" s="715" t="s">
        <v>40839</v>
      </c>
      <c r="E615" s="716">
        <v>1.1200000000000001</v>
      </c>
    </row>
    <row r="616" spans="1:5" ht="29">
      <c r="A616" s="715">
        <v>812</v>
      </c>
      <c r="B616" s="633" t="s">
        <v>35283</v>
      </c>
      <c r="C616" s="715" t="s">
        <v>103</v>
      </c>
      <c r="D616" s="715" t="s">
        <v>40839</v>
      </c>
      <c r="E616" s="716">
        <v>2.4700000000000002</v>
      </c>
    </row>
    <row r="617" spans="1:5" ht="29">
      <c r="A617" s="715">
        <v>819</v>
      </c>
      <c r="B617" s="633" t="s">
        <v>35284</v>
      </c>
      <c r="C617" s="715" t="s">
        <v>103</v>
      </c>
      <c r="D617" s="715" t="s">
        <v>40839</v>
      </c>
      <c r="E617" s="716">
        <v>4.28</v>
      </c>
    </row>
    <row r="618" spans="1:5" ht="29">
      <c r="A618" s="715">
        <v>818</v>
      </c>
      <c r="B618" s="633" t="s">
        <v>35285</v>
      </c>
      <c r="C618" s="715" t="s">
        <v>103</v>
      </c>
      <c r="D618" s="715" t="s">
        <v>40839</v>
      </c>
      <c r="E618" s="716">
        <v>8</v>
      </c>
    </row>
    <row r="619" spans="1:5">
      <c r="A619" s="715">
        <v>20086</v>
      </c>
      <c r="B619" s="633" t="s">
        <v>35286</v>
      </c>
      <c r="C619" s="715" t="s">
        <v>103</v>
      </c>
      <c r="D619" s="715" t="s">
        <v>40839</v>
      </c>
      <c r="E619" s="716">
        <v>3.71</v>
      </c>
    </row>
    <row r="620" spans="1:5" ht="29">
      <c r="A620" s="715">
        <v>832</v>
      </c>
      <c r="B620" s="633" t="s">
        <v>35287</v>
      </c>
      <c r="C620" s="715" t="s">
        <v>103</v>
      </c>
      <c r="D620" s="715" t="s">
        <v>40839</v>
      </c>
      <c r="E620" s="716">
        <v>3.3</v>
      </c>
    </row>
    <row r="621" spans="1:5" ht="29">
      <c r="A621" s="715">
        <v>834</v>
      </c>
      <c r="B621" s="633" t="s">
        <v>35288</v>
      </c>
      <c r="C621" s="715" t="s">
        <v>103</v>
      </c>
      <c r="D621" s="715" t="s">
        <v>40839</v>
      </c>
      <c r="E621" s="716">
        <v>4.2699999999999996</v>
      </c>
    </row>
    <row r="622" spans="1:5" ht="29">
      <c r="A622" s="715">
        <v>813</v>
      </c>
      <c r="B622" s="633" t="s">
        <v>35289</v>
      </c>
      <c r="C622" s="715" t="s">
        <v>103</v>
      </c>
      <c r="D622" s="715" t="s">
        <v>40839</v>
      </c>
      <c r="E622" s="716">
        <v>4.97</v>
      </c>
    </row>
    <row r="623" spans="1:5" ht="29">
      <c r="A623" s="715">
        <v>820</v>
      </c>
      <c r="B623" s="633" t="s">
        <v>35290</v>
      </c>
      <c r="C623" s="715" t="s">
        <v>103</v>
      </c>
      <c r="D623" s="715" t="s">
        <v>40839</v>
      </c>
      <c r="E623" s="716">
        <v>6.7</v>
      </c>
    </row>
    <row r="624" spans="1:5" ht="29">
      <c r="A624" s="715">
        <v>816</v>
      </c>
      <c r="B624" s="633" t="s">
        <v>35291</v>
      </c>
      <c r="C624" s="715" t="s">
        <v>103</v>
      </c>
      <c r="D624" s="715" t="s">
        <v>40839</v>
      </c>
      <c r="E624" s="716">
        <v>11.93</v>
      </c>
    </row>
    <row r="625" spans="1:5" ht="29">
      <c r="A625" s="715">
        <v>814</v>
      </c>
      <c r="B625" s="633" t="s">
        <v>35292</v>
      </c>
      <c r="C625" s="715" t="s">
        <v>103</v>
      </c>
      <c r="D625" s="715" t="s">
        <v>40839</v>
      </c>
      <c r="E625" s="716">
        <v>14.82</v>
      </c>
    </row>
    <row r="626" spans="1:5" ht="29">
      <c r="A626" s="715">
        <v>822</v>
      </c>
      <c r="B626" s="633" t="s">
        <v>35293</v>
      </c>
      <c r="C626" s="715" t="s">
        <v>103</v>
      </c>
      <c r="D626" s="715" t="s">
        <v>40839</v>
      </c>
      <c r="E626" s="716">
        <v>19.350000000000001</v>
      </c>
    </row>
    <row r="627" spans="1:5" ht="29">
      <c r="A627" s="715">
        <v>821</v>
      </c>
      <c r="B627" s="633" t="s">
        <v>35294</v>
      </c>
      <c r="C627" s="715" t="s">
        <v>103</v>
      </c>
      <c r="D627" s="715" t="s">
        <v>40839</v>
      </c>
      <c r="E627" s="716">
        <v>22.13</v>
      </c>
    </row>
    <row r="628" spans="1:5">
      <c r="A628" s="715">
        <v>39191</v>
      </c>
      <c r="B628" s="633" t="s">
        <v>35295</v>
      </c>
      <c r="C628" s="715" t="s">
        <v>103</v>
      </c>
      <c r="D628" s="715" t="s">
        <v>40839</v>
      </c>
      <c r="E628" s="716">
        <v>23.63</v>
      </c>
    </row>
    <row r="629" spans="1:5">
      <c r="A629" s="715">
        <v>39190</v>
      </c>
      <c r="B629" s="633" t="s">
        <v>35296</v>
      </c>
      <c r="C629" s="715" t="s">
        <v>103</v>
      </c>
      <c r="D629" s="715" t="s">
        <v>40839</v>
      </c>
      <c r="E629" s="716">
        <v>24.69</v>
      </c>
    </row>
    <row r="630" spans="1:5">
      <c r="A630" s="715">
        <v>39189</v>
      </c>
      <c r="B630" s="633" t="s">
        <v>35297</v>
      </c>
      <c r="C630" s="715" t="s">
        <v>103</v>
      </c>
      <c r="D630" s="715" t="s">
        <v>40839</v>
      </c>
      <c r="E630" s="716">
        <v>26.13</v>
      </c>
    </row>
    <row r="631" spans="1:5">
      <c r="A631" s="715">
        <v>39188</v>
      </c>
      <c r="B631" s="633" t="s">
        <v>35298</v>
      </c>
      <c r="C631" s="715" t="s">
        <v>103</v>
      </c>
      <c r="D631" s="715" t="s">
        <v>40839</v>
      </c>
      <c r="E631" s="716">
        <v>19.23</v>
      </c>
    </row>
    <row r="632" spans="1:5">
      <c r="A632" s="715">
        <v>39186</v>
      </c>
      <c r="B632" s="633" t="s">
        <v>35299</v>
      </c>
      <c r="C632" s="715" t="s">
        <v>103</v>
      </c>
      <c r="D632" s="715" t="s">
        <v>40839</v>
      </c>
      <c r="E632" s="716">
        <v>23.37</v>
      </c>
    </row>
    <row r="633" spans="1:5">
      <c r="A633" s="715">
        <v>39187</v>
      </c>
      <c r="B633" s="633" t="s">
        <v>35300</v>
      </c>
      <c r="C633" s="715" t="s">
        <v>103</v>
      </c>
      <c r="D633" s="715" t="s">
        <v>40839</v>
      </c>
      <c r="E633" s="716">
        <v>20.16</v>
      </c>
    </row>
    <row r="634" spans="1:5">
      <c r="A634" s="715">
        <v>39184</v>
      </c>
      <c r="B634" s="633" t="s">
        <v>35301</v>
      </c>
      <c r="C634" s="715" t="s">
        <v>103</v>
      </c>
      <c r="D634" s="715" t="s">
        <v>40839</v>
      </c>
      <c r="E634" s="716">
        <v>7.58</v>
      </c>
    </row>
    <row r="635" spans="1:5">
      <c r="A635" s="715">
        <v>39185</v>
      </c>
      <c r="B635" s="633" t="s">
        <v>35302</v>
      </c>
      <c r="C635" s="715" t="s">
        <v>103</v>
      </c>
      <c r="D635" s="715" t="s">
        <v>40839</v>
      </c>
      <c r="E635" s="716">
        <v>6.91</v>
      </c>
    </row>
    <row r="636" spans="1:5">
      <c r="A636" s="715">
        <v>39198</v>
      </c>
      <c r="B636" s="633" t="s">
        <v>35303</v>
      </c>
      <c r="C636" s="715" t="s">
        <v>103</v>
      </c>
      <c r="D636" s="715" t="s">
        <v>40839</v>
      </c>
      <c r="E636" s="716">
        <v>77.52</v>
      </c>
    </row>
    <row r="637" spans="1:5">
      <c r="A637" s="715">
        <v>39197</v>
      </c>
      <c r="B637" s="633" t="s">
        <v>35304</v>
      </c>
      <c r="C637" s="715" t="s">
        <v>103</v>
      </c>
      <c r="D637" s="715" t="s">
        <v>40839</v>
      </c>
      <c r="E637" s="716">
        <v>80.98</v>
      </c>
    </row>
    <row r="638" spans="1:5">
      <c r="A638" s="715">
        <v>39196</v>
      </c>
      <c r="B638" s="633" t="s">
        <v>35305</v>
      </c>
      <c r="C638" s="715" t="s">
        <v>103</v>
      </c>
      <c r="D638" s="715" t="s">
        <v>40839</v>
      </c>
      <c r="E638" s="716">
        <v>83.52</v>
      </c>
    </row>
    <row r="639" spans="1:5">
      <c r="A639" s="715">
        <v>39199</v>
      </c>
      <c r="B639" s="633" t="s">
        <v>35306</v>
      </c>
      <c r="C639" s="715" t="s">
        <v>103</v>
      </c>
      <c r="D639" s="715" t="s">
        <v>40839</v>
      </c>
      <c r="E639" s="716">
        <v>74.61</v>
      </c>
    </row>
    <row r="640" spans="1:5">
      <c r="A640" s="715">
        <v>39195</v>
      </c>
      <c r="B640" s="633" t="s">
        <v>35307</v>
      </c>
      <c r="C640" s="715" t="s">
        <v>103</v>
      </c>
      <c r="D640" s="715" t="s">
        <v>40839</v>
      </c>
      <c r="E640" s="716">
        <v>43.06</v>
      </c>
    </row>
    <row r="641" spans="1:5">
      <c r="A641" s="715">
        <v>39194</v>
      </c>
      <c r="B641" s="633" t="s">
        <v>35308</v>
      </c>
      <c r="C641" s="715" t="s">
        <v>103</v>
      </c>
      <c r="D641" s="715" t="s">
        <v>40839</v>
      </c>
      <c r="E641" s="716">
        <v>46.08</v>
      </c>
    </row>
    <row r="642" spans="1:5">
      <c r="A642" s="715">
        <v>39193</v>
      </c>
      <c r="B642" s="633" t="s">
        <v>35309</v>
      </c>
      <c r="C642" s="715" t="s">
        <v>103</v>
      </c>
      <c r="D642" s="715" t="s">
        <v>40839</v>
      </c>
      <c r="E642" s="716">
        <v>50.51</v>
      </c>
    </row>
    <row r="643" spans="1:5">
      <c r="A643" s="715">
        <v>39192</v>
      </c>
      <c r="B643" s="633" t="s">
        <v>35310</v>
      </c>
      <c r="C643" s="715" t="s">
        <v>103</v>
      </c>
      <c r="D643" s="715" t="s">
        <v>40839</v>
      </c>
      <c r="E643" s="716">
        <v>52.54</v>
      </c>
    </row>
    <row r="644" spans="1:5">
      <c r="A644" s="715">
        <v>39201</v>
      </c>
      <c r="B644" s="633" t="s">
        <v>35311</v>
      </c>
      <c r="C644" s="715" t="s">
        <v>103</v>
      </c>
      <c r="D644" s="715" t="s">
        <v>40839</v>
      </c>
      <c r="E644" s="716">
        <v>92.69</v>
      </c>
    </row>
    <row r="645" spans="1:5">
      <c r="A645" s="715">
        <v>39200</v>
      </c>
      <c r="B645" s="633" t="s">
        <v>35312</v>
      </c>
      <c r="C645" s="715" t="s">
        <v>103</v>
      </c>
      <c r="D645" s="715" t="s">
        <v>40839</v>
      </c>
      <c r="E645" s="716">
        <v>93.43</v>
      </c>
    </row>
    <row r="646" spans="1:5">
      <c r="A646" s="715">
        <v>39203</v>
      </c>
      <c r="B646" s="633" t="s">
        <v>35313</v>
      </c>
      <c r="C646" s="715" t="s">
        <v>103</v>
      </c>
      <c r="D646" s="715" t="s">
        <v>40839</v>
      </c>
      <c r="E646" s="716">
        <v>75.44</v>
      </c>
    </row>
    <row r="647" spans="1:5">
      <c r="A647" s="715">
        <v>39202</v>
      </c>
      <c r="B647" s="633" t="s">
        <v>35314</v>
      </c>
      <c r="C647" s="715" t="s">
        <v>103</v>
      </c>
      <c r="D647" s="715" t="s">
        <v>40839</v>
      </c>
      <c r="E647" s="716">
        <v>88.62</v>
      </c>
    </row>
    <row r="648" spans="1:5">
      <c r="A648" s="715">
        <v>39920</v>
      </c>
      <c r="B648" s="633" t="s">
        <v>40995</v>
      </c>
      <c r="C648" s="715" t="s">
        <v>103</v>
      </c>
      <c r="D648" s="715" t="s">
        <v>40839</v>
      </c>
      <c r="E648" s="716">
        <v>6.36</v>
      </c>
    </row>
    <row r="649" spans="1:5">
      <c r="A649" s="715">
        <v>39205</v>
      </c>
      <c r="B649" s="633" t="s">
        <v>35315</v>
      </c>
      <c r="C649" s="715" t="s">
        <v>103</v>
      </c>
      <c r="D649" s="715" t="s">
        <v>40839</v>
      </c>
      <c r="E649" s="716">
        <v>147.85</v>
      </c>
    </row>
    <row r="650" spans="1:5">
      <c r="A650" s="715">
        <v>39204</v>
      </c>
      <c r="B650" s="633" t="s">
        <v>35316</v>
      </c>
      <c r="C650" s="715" t="s">
        <v>103</v>
      </c>
      <c r="D650" s="715" t="s">
        <v>40839</v>
      </c>
      <c r="E650" s="716">
        <v>151.43</v>
      </c>
    </row>
    <row r="651" spans="1:5">
      <c r="A651" s="715">
        <v>39206</v>
      </c>
      <c r="B651" s="633" t="s">
        <v>35317</v>
      </c>
      <c r="C651" s="715" t="s">
        <v>103</v>
      </c>
      <c r="D651" s="715" t="s">
        <v>40839</v>
      </c>
      <c r="E651" s="716">
        <v>143.66</v>
      </c>
    </row>
    <row r="652" spans="1:5">
      <c r="A652" s="715">
        <v>798</v>
      </c>
      <c r="B652" s="633" t="s">
        <v>35318</v>
      </c>
      <c r="C652" s="715" t="s">
        <v>103</v>
      </c>
      <c r="D652" s="715" t="s">
        <v>40839</v>
      </c>
      <c r="E652" s="716">
        <v>1.38</v>
      </c>
    </row>
    <row r="653" spans="1:5">
      <c r="A653" s="715">
        <v>797</v>
      </c>
      <c r="B653" s="633" t="s">
        <v>35319</v>
      </c>
      <c r="C653" s="715" t="s">
        <v>103</v>
      </c>
      <c r="D653" s="715" t="s">
        <v>40839</v>
      </c>
      <c r="E653" s="716">
        <v>10.02</v>
      </c>
    </row>
    <row r="654" spans="1:5">
      <c r="A654" s="715">
        <v>796</v>
      </c>
      <c r="B654" s="633" t="s">
        <v>35320</v>
      </c>
      <c r="C654" s="715" t="s">
        <v>103</v>
      </c>
      <c r="D654" s="715" t="s">
        <v>40839</v>
      </c>
      <c r="E654" s="716">
        <v>8.51</v>
      </c>
    </row>
    <row r="655" spans="1:5">
      <c r="A655" s="715">
        <v>799</v>
      </c>
      <c r="B655" s="633" t="s">
        <v>35321</v>
      </c>
      <c r="C655" s="715" t="s">
        <v>103</v>
      </c>
      <c r="D655" s="715" t="s">
        <v>40839</v>
      </c>
      <c r="E655" s="716">
        <v>4.12</v>
      </c>
    </row>
    <row r="656" spans="1:5">
      <c r="A656" s="715">
        <v>792</v>
      </c>
      <c r="B656" s="633" t="s">
        <v>35322</v>
      </c>
      <c r="C656" s="715" t="s">
        <v>103</v>
      </c>
      <c r="D656" s="715" t="s">
        <v>40839</v>
      </c>
      <c r="E656" s="716">
        <v>3.99</v>
      </c>
    </row>
    <row r="657" spans="1:5">
      <c r="A657" s="715">
        <v>38001</v>
      </c>
      <c r="B657" s="633" t="s">
        <v>35323</v>
      </c>
      <c r="C657" s="715" t="s">
        <v>103</v>
      </c>
      <c r="D657" s="715" t="s">
        <v>40839</v>
      </c>
      <c r="E657" s="716">
        <v>1.22</v>
      </c>
    </row>
    <row r="658" spans="1:5">
      <c r="A658" s="715">
        <v>38002</v>
      </c>
      <c r="B658" s="633" t="s">
        <v>35324</v>
      </c>
      <c r="C658" s="715" t="s">
        <v>103</v>
      </c>
      <c r="D658" s="715" t="s">
        <v>40839</v>
      </c>
      <c r="E658" s="716">
        <v>4.26</v>
      </c>
    </row>
    <row r="659" spans="1:5">
      <c r="A659" s="715">
        <v>38003</v>
      </c>
      <c r="B659" s="633" t="s">
        <v>35325</v>
      </c>
      <c r="C659" s="715" t="s">
        <v>103</v>
      </c>
      <c r="D659" s="715" t="s">
        <v>40839</v>
      </c>
      <c r="E659" s="716">
        <v>29.11</v>
      </c>
    </row>
    <row r="660" spans="1:5">
      <c r="A660" s="715">
        <v>38004</v>
      </c>
      <c r="B660" s="633" t="s">
        <v>35326</v>
      </c>
      <c r="C660" s="715" t="s">
        <v>103</v>
      </c>
      <c r="D660" s="715" t="s">
        <v>40839</v>
      </c>
      <c r="E660" s="716">
        <v>33.47</v>
      </c>
    </row>
    <row r="661" spans="1:5">
      <c r="A661" s="715">
        <v>44263</v>
      </c>
      <c r="B661" s="633" t="s">
        <v>35327</v>
      </c>
      <c r="C661" s="715" t="s">
        <v>103</v>
      </c>
      <c r="D661" s="715" t="s">
        <v>40839</v>
      </c>
      <c r="E661" s="716">
        <v>60.1</v>
      </c>
    </row>
    <row r="662" spans="1:5">
      <c r="A662" s="715">
        <v>36327</v>
      </c>
      <c r="B662" s="633" t="s">
        <v>35328</v>
      </c>
      <c r="C662" s="715" t="s">
        <v>103</v>
      </c>
      <c r="D662" s="715" t="s">
        <v>40839</v>
      </c>
      <c r="E662" s="716">
        <v>4.57</v>
      </c>
    </row>
    <row r="663" spans="1:5">
      <c r="A663" s="715">
        <v>38992</v>
      </c>
      <c r="B663" s="633" t="s">
        <v>35329</v>
      </c>
      <c r="C663" s="715" t="s">
        <v>103</v>
      </c>
      <c r="D663" s="715" t="s">
        <v>40839</v>
      </c>
      <c r="E663" s="716">
        <v>5.56</v>
      </c>
    </row>
    <row r="664" spans="1:5">
      <c r="A664" s="715">
        <v>38993</v>
      </c>
      <c r="B664" s="633" t="s">
        <v>35330</v>
      </c>
      <c r="C664" s="715" t="s">
        <v>103</v>
      </c>
      <c r="D664" s="715" t="s">
        <v>40839</v>
      </c>
      <c r="E664" s="716">
        <v>14.45</v>
      </c>
    </row>
    <row r="665" spans="1:5">
      <c r="A665" s="715">
        <v>44175</v>
      </c>
      <c r="B665" s="633" t="s">
        <v>35331</v>
      </c>
      <c r="C665" s="715" t="s">
        <v>103</v>
      </c>
      <c r="D665" s="715" t="s">
        <v>40839</v>
      </c>
      <c r="E665" s="716">
        <v>25.21</v>
      </c>
    </row>
    <row r="666" spans="1:5">
      <c r="A666" s="715">
        <v>44177</v>
      </c>
      <c r="B666" s="633" t="s">
        <v>35332</v>
      </c>
      <c r="C666" s="715" t="s">
        <v>103</v>
      </c>
      <c r="D666" s="715" t="s">
        <v>40839</v>
      </c>
      <c r="E666" s="716">
        <v>18.84</v>
      </c>
    </row>
    <row r="667" spans="1:5">
      <c r="A667" s="715">
        <v>38418</v>
      </c>
      <c r="B667" s="633" t="s">
        <v>35333</v>
      </c>
      <c r="C667" s="715" t="s">
        <v>103</v>
      </c>
      <c r="D667" s="715" t="s">
        <v>40839</v>
      </c>
      <c r="E667" s="716">
        <v>6.38</v>
      </c>
    </row>
    <row r="668" spans="1:5">
      <c r="A668" s="715">
        <v>39178</v>
      </c>
      <c r="B668" s="633" t="s">
        <v>35334</v>
      </c>
      <c r="C668" s="715" t="s">
        <v>103</v>
      </c>
      <c r="D668" s="715" t="s">
        <v>40839</v>
      </c>
      <c r="E668" s="716">
        <v>2.5499999999999998</v>
      </c>
    </row>
    <row r="669" spans="1:5">
      <c r="A669" s="715">
        <v>39177</v>
      </c>
      <c r="B669" s="633" t="s">
        <v>35335</v>
      </c>
      <c r="C669" s="715" t="s">
        <v>103</v>
      </c>
      <c r="D669" s="715" t="s">
        <v>40839</v>
      </c>
      <c r="E669" s="716">
        <v>2.31</v>
      </c>
    </row>
    <row r="670" spans="1:5">
      <c r="A670" s="715">
        <v>39176</v>
      </c>
      <c r="B670" s="633" t="s">
        <v>35336</v>
      </c>
      <c r="C670" s="715" t="s">
        <v>103</v>
      </c>
      <c r="D670" s="715" t="s">
        <v>40839</v>
      </c>
      <c r="E670" s="716">
        <v>1.51</v>
      </c>
    </row>
    <row r="671" spans="1:5">
      <c r="A671" s="715">
        <v>39174</v>
      </c>
      <c r="B671" s="633" t="s">
        <v>35337</v>
      </c>
      <c r="C671" s="715" t="s">
        <v>103</v>
      </c>
      <c r="D671" s="715" t="s">
        <v>40839</v>
      </c>
      <c r="E671" s="716">
        <v>1.1499999999999999</v>
      </c>
    </row>
    <row r="672" spans="1:5">
      <c r="A672" s="715">
        <v>39180</v>
      </c>
      <c r="B672" s="633" t="s">
        <v>35338</v>
      </c>
      <c r="C672" s="715" t="s">
        <v>103</v>
      </c>
      <c r="D672" s="715" t="s">
        <v>40839</v>
      </c>
      <c r="E672" s="716">
        <v>6.94</v>
      </c>
    </row>
    <row r="673" spans="1:5">
      <c r="A673" s="715">
        <v>39179</v>
      </c>
      <c r="B673" s="633" t="s">
        <v>35339</v>
      </c>
      <c r="C673" s="715" t="s">
        <v>103</v>
      </c>
      <c r="D673" s="715" t="s">
        <v>40839</v>
      </c>
      <c r="E673" s="716">
        <v>6.14</v>
      </c>
    </row>
    <row r="674" spans="1:5">
      <c r="A674" s="715">
        <v>39181</v>
      </c>
      <c r="B674" s="633" t="s">
        <v>35340</v>
      </c>
      <c r="C674" s="715" t="s">
        <v>103</v>
      </c>
      <c r="D674" s="715" t="s">
        <v>40839</v>
      </c>
      <c r="E674" s="716">
        <v>9.31</v>
      </c>
    </row>
    <row r="675" spans="1:5">
      <c r="A675" s="715">
        <v>39175</v>
      </c>
      <c r="B675" s="633" t="s">
        <v>35341</v>
      </c>
      <c r="C675" s="715" t="s">
        <v>103</v>
      </c>
      <c r="D675" s="715" t="s">
        <v>40839</v>
      </c>
      <c r="E675" s="716">
        <v>1.41</v>
      </c>
    </row>
    <row r="676" spans="1:5">
      <c r="A676" s="715">
        <v>39217</v>
      </c>
      <c r="B676" s="633" t="s">
        <v>35342</v>
      </c>
      <c r="C676" s="715" t="s">
        <v>103</v>
      </c>
      <c r="D676" s="715" t="s">
        <v>40839</v>
      </c>
      <c r="E676" s="716">
        <v>1.0900000000000001</v>
      </c>
    </row>
    <row r="677" spans="1:5">
      <c r="A677" s="715">
        <v>39182</v>
      </c>
      <c r="B677" s="633" t="s">
        <v>35343</v>
      </c>
      <c r="C677" s="715" t="s">
        <v>103</v>
      </c>
      <c r="D677" s="715" t="s">
        <v>40839</v>
      </c>
      <c r="E677" s="716">
        <v>13.09</v>
      </c>
    </row>
    <row r="678" spans="1:5" ht="29">
      <c r="A678" s="715">
        <v>12616</v>
      </c>
      <c r="B678" s="633" t="s">
        <v>35344</v>
      </c>
      <c r="C678" s="715" t="s">
        <v>103</v>
      </c>
      <c r="D678" s="715" t="s">
        <v>40839</v>
      </c>
      <c r="E678" s="716">
        <v>19.68</v>
      </c>
    </row>
    <row r="679" spans="1:5" ht="43">
      <c r="A679" s="715">
        <v>1049</v>
      </c>
      <c r="B679" s="633" t="s">
        <v>35345</v>
      </c>
      <c r="C679" s="715" t="s">
        <v>103</v>
      </c>
      <c r="D679" s="715" t="s">
        <v>40839</v>
      </c>
      <c r="E679" s="716">
        <v>10.95</v>
      </c>
    </row>
    <row r="680" spans="1:5" ht="43">
      <c r="A680" s="715">
        <v>1099</v>
      </c>
      <c r="B680" s="633" t="s">
        <v>35346</v>
      </c>
      <c r="C680" s="715" t="s">
        <v>103</v>
      </c>
      <c r="D680" s="715" t="s">
        <v>40839</v>
      </c>
      <c r="E680" s="716">
        <v>8.3800000000000008</v>
      </c>
    </row>
    <row r="681" spans="1:5" ht="43">
      <c r="A681" s="715">
        <v>1050</v>
      </c>
      <c r="B681" s="633" t="s">
        <v>35347</v>
      </c>
      <c r="C681" s="715" t="s">
        <v>103</v>
      </c>
      <c r="D681" s="715" t="s">
        <v>40839</v>
      </c>
      <c r="E681" s="716">
        <v>5.73</v>
      </c>
    </row>
    <row r="682" spans="1:5" ht="43">
      <c r="A682" s="715">
        <v>39678</v>
      </c>
      <c r="B682" s="633" t="s">
        <v>35348</v>
      </c>
      <c r="C682" s="715" t="s">
        <v>103</v>
      </c>
      <c r="D682" s="715" t="s">
        <v>40839</v>
      </c>
      <c r="E682" s="716">
        <v>3.38</v>
      </c>
    </row>
    <row r="683" spans="1:5" ht="43">
      <c r="A683" s="715">
        <v>1101</v>
      </c>
      <c r="B683" s="633" t="s">
        <v>35349</v>
      </c>
      <c r="C683" s="715" t="s">
        <v>103</v>
      </c>
      <c r="D683" s="715" t="s">
        <v>40839</v>
      </c>
      <c r="E683" s="716">
        <v>36.130000000000003</v>
      </c>
    </row>
    <row r="684" spans="1:5" ht="43">
      <c r="A684" s="715">
        <v>1100</v>
      </c>
      <c r="B684" s="633" t="s">
        <v>35350</v>
      </c>
      <c r="C684" s="715" t="s">
        <v>103</v>
      </c>
      <c r="D684" s="715" t="s">
        <v>40839</v>
      </c>
      <c r="E684" s="716">
        <v>18.64</v>
      </c>
    </row>
    <row r="685" spans="1:5" ht="43">
      <c r="A685" s="715">
        <v>39679</v>
      </c>
      <c r="B685" s="633" t="s">
        <v>35351</v>
      </c>
      <c r="C685" s="715" t="s">
        <v>103</v>
      </c>
      <c r="D685" s="715" t="s">
        <v>40839</v>
      </c>
      <c r="E685" s="716">
        <v>72.010000000000005</v>
      </c>
    </row>
    <row r="686" spans="1:5" ht="43">
      <c r="A686" s="715">
        <v>1102</v>
      </c>
      <c r="B686" s="633" t="s">
        <v>35352</v>
      </c>
      <c r="C686" s="715" t="s">
        <v>103</v>
      </c>
      <c r="D686" s="715" t="s">
        <v>40839</v>
      </c>
      <c r="E686" s="716">
        <v>53.88</v>
      </c>
    </row>
    <row r="687" spans="1:5" ht="43">
      <c r="A687" s="715">
        <v>1098</v>
      </c>
      <c r="B687" s="633" t="s">
        <v>35353</v>
      </c>
      <c r="C687" s="715" t="s">
        <v>103</v>
      </c>
      <c r="D687" s="715" t="s">
        <v>40839</v>
      </c>
      <c r="E687" s="716">
        <v>4.47</v>
      </c>
    </row>
    <row r="688" spans="1:5" ht="43">
      <c r="A688" s="715">
        <v>1051</v>
      </c>
      <c r="B688" s="633" t="s">
        <v>35354</v>
      </c>
      <c r="C688" s="715" t="s">
        <v>103</v>
      </c>
      <c r="D688" s="715" t="s">
        <v>40839</v>
      </c>
      <c r="E688" s="716">
        <v>78.31</v>
      </c>
    </row>
    <row r="689" spans="1:5">
      <c r="A689" s="715">
        <v>37399</v>
      </c>
      <c r="B689" s="633" t="s">
        <v>35355</v>
      </c>
      <c r="C689" s="715" t="s">
        <v>103</v>
      </c>
      <c r="D689" s="715" t="s">
        <v>40839</v>
      </c>
      <c r="E689" s="716">
        <v>31.25</v>
      </c>
    </row>
    <row r="690" spans="1:5">
      <c r="A690" s="715">
        <v>43834</v>
      </c>
      <c r="B690" s="633" t="s">
        <v>35356</v>
      </c>
      <c r="C690" s="715" t="s">
        <v>165</v>
      </c>
      <c r="D690" s="715" t="s">
        <v>40839</v>
      </c>
      <c r="E690" s="716">
        <v>22.91</v>
      </c>
    </row>
    <row r="691" spans="1:5">
      <c r="A691" s="715">
        <v>43835</v>
      </c>
      <c r="B691" s="633" t="s">
        <v>35357</v>
      </c>
      <c r="C691" s="715" t="s">
        <v>165</v>
      </c>
      <c r="D691" s="715" t="s">
        <v>40839</v>
      </c>
      <c r="E691" s="716">
        <v>2.0499999999999998</v>
      </c>
    </row>
    <row r="692" spans="1:5">
      <c r="A692" s="715">
        <v>43833</v>
      </c>
      <c r="B692" s="633" t="s">
        <v>35358</v>
      </c>
      <c r="C692" s="715" t="s">
        <v>165</v>
      </c>
      <c r="D692" s="715" t="s">
        <v>40839</v>
      </c>
      <c r="E692" s="716">
        <v>2.13</v>
      </c>
    </row>
    <row r="693" spans="1:5" ht="29">
      <c r="A693" s="715">
        <v>41955</v>
      </c>
      <c r="B693" s="633" t="s">
        <v>35359</v>
      </c>
      <c r="C693" s="715" t="s">
        <v>207</v>
      </c>
      <c r="D693" s="715" t="s">
        <v>40839</v>
      </c>
      <c r="E693" s="716">
        <v>72.489999999999995</v>
      </c>
    </row>
    <row r="694" spans="1:5">
      <c r="A694" s="715">
        <v>41953</v>
      </c>
      <c r="B694" s="633" t="s">
        <v>35360</v>
      </c>
      <c r="C694" s="715" t="s">
        <v>207</v>
      </c>
      <c r="D694" s="715" t="s">
        <v>40839</v>
      </c>
      <c r="E694" s="716">
        <v>69.180000000000007</v>
      </c>
    </row>
    <row r="695" spans="1:5">
      <c r="A695" s="715">
        <v>41954</v>
      </c>
      <c r="B695" s="633" t="s">
        <v>35361</v>
      </c>
      <c r="C695" s="715" t="s">
        <v>207</v>
      </c>
      <c r="D695" s="715" t="s">
        <v>40839</v>
      </c>
      <c r="E695" s="716">
        <v>68.52</v>
      </c>
    </row>
    <row r="696" spans="1:5">
      <c r="A696" s="715">
        <v>25004</v>
      </c>
      <c r="B696" s="633" t="s">
        <v>35362</v>
      </c>
      <c r="C696" s="715" t="s">
        <v>207</v>
      </c>
      <c r="D696" s="715" t="s">
        <v>40839</v>
      </c>
      <c r="E696" s="716">
        <v>56.33</v>
      </c>
    </row>
    <row r="697" spans="1:5">
      <c r="A697" s="715">
        <v>25002</v>
      </c>
      <c r="B697" s="633" t="s">
        <v>35363</v>
      </c>
      <c r="C697" s="715" t="s">
        <v>207</v>
      </c>
      <c r="D697" s="715" t="s">
        <v>40839</v>
      </c>
      <c r="E697" s="716">
        <v>56.33</v>
      </c>
    </row>
    <row r="698" spans="1:5">
      <c r="A698" s="715">
        <v>37409</v>
      </c>
      <c r="B698" s="633" t="s">
        <v>35364</v>
      </c>
      <c r="C698" s="715" t="s">
        <v>207</v>
      </c>
      <c r="D698" s="715" t="s">
        <v>40839</v>
      </c>
      <c r="E698" s="716">
        <v>56.33</v>
      </c>
    </row>
    <row r="699" spans="1:5">
      <c r="A699" s="715">
        <v>841</v>
      </c>
      <c r="B699" s="633" t="s">
        <v>35365</v>
      </c>
      <c r="C699" s="715" t="s">
        <v>207</v>
      </c>
      <c r="D699" s="715" t="s">
        <v>40839</v>
      </c>
      <c r="E699" s="716">
        <v>57.02</v>
      </c>
    </row>
    <row r="700" spans="1:5">
      <c r="A700" s="715">
        <v>25005</v>
      </c>
      <c r="B700" s="633" t="s">
        <v>35366</v>
      </c>
      <c r="C700" s="715" t="s">
        <v>207</v>
      </c>
      <c r="D700" s="715" t="s">
        <v>40839</v>
      </c>
      <c r="E700" s="716">
        <v>61.81</v>
      </c>
    </row>
    <row r="701" spans="1:5">
      <c r="A701" s="715">
        <v>25003</v>
      </c>
      <c r="B701" s="633" t="s">
        <v>35367</v>
      </c>
      <c r="C701" s="715" t="s">
        <v>207</v>
      </c>
      <c r="D701" s="715" t="s">
        <v>40839</v>
      </c>
      <c r="E701" s="716">
        <v>62.74</v>
      </c>
    </row>
    <row r="702" spans="1:5">
      <c r="A702" s="715">
        <v>37410</v>
      </c>
      <c r="B702" s="633" t="s">
        <v>35368</v>
      </c>
      <c r="C702" s="715" t="s">
        <v>207</v>
      </c>
      <c r="D702" s="715" t="s">
        <v>40839</v>
      </c>
      <c r="E702" s="716">
        <v>61.81</v>
      </c>
    </row>
    <row r="703" spans="1:5">
      <c r="A703" s="715">
        <v>842</v>
      </c>
      <c r="B703" s="633" t="s">
        <v>35369</v>
      </c>
      <c r="C703" s="715" t="s">
        <v>207</v>
      </c>
      <c r="D703" s="715" t="s">
        <v>40839</v>
      </c>
      <c r="E703" s="716">
        <v>62.69</v>
      </c>
    </row>
    <row r="704" spans="1:5" ht="29">
      <c r="A704" s="715">
        <v>44391</v>
      </c>
      <c r="B704" s="633" t="s">
        <v>35370</v>
      </c>
      <c r="C704" s="715" t="s">
        <v>165</v>
      </c>
      <c r="D704" s="715" t="s">
        <v>40839</v>
      </c>
      <c r="E704" s="716">
        <v>133.58000000000001</v>
      </c>
    </row>
    <row r="705" spans="1:5" ht="29">
      <c r="A705" s="715">
        <v>44388</v>
      </c>
      <c r="B705" s="633" t="s">
        <v>35371</v>
      </c>
      <c r="C705" s="715" t="s">
        <v>165</v>
      </c>
      <c r="D705" s="715" t="s">
        <v>40839</v>
      </c>
      <c r="E705" s="716">
        <v>2.89</v>
      </c>
    </row>
    <row r="706" spans="1:5" ht="29">
      <c r="A706" s="715">
        <v>44392</v>
      </c>
      <c r="B706" s="633" t="s">
        <v>35372</v>
      </c>
      <c r="C706" s="715" t="s">
        <v>165</v>
      </c>
      <c r="D706" s="715" t="s">
        <v>40839</v>
      </c>
      <c r="E706" s="716">
        <v>265.97000000000003</v>
      </c>
    </row>
    <row r="707" spans="1:5" ht="29">
      <c r="A707" s="715">
        <v>44390</v>
      </c>
      <c r="B707" s="633" t="s">
        <v>35373</v>
      </c>
      <c r="C707" s="715" t="s">
        <v>165</v>
      </c>
      <c r="D707" s="715" t="s">
        <v>40839</v>
      </c>
      <c r="E707" s="716">
        <v>56.35</v>
      </c>
    </row>
    <row r="708" spans="1:5" ht="29">
      <c r="A708" s="715">
        <v>44389</v>
      </c>
      <c r="B708" s="633" t="s">
        <v>35374</v>
      </c>
      <c r="C708" s="715" t="s">
        <v>165</v>
      </c>
      <c r="D708" s="715" t="s">
        <v>40839</v>
      </c>
      <c r="E708" s="716">
        <v>6.65</v>
      </c>
    </row>
    <row r="709" spans="1:5">
      <c r="A709" s="715">
        <v>862</v>
      </c>
      <c r="B709" s="633" t="s">
        <v>35375</v>
      </c>
      <c r="C709" s="715" t="s">
        <v>165</v>
      </c>
      <c r="D709" s="715" t="s">
        <v>40839</v>
      </c>
      <c r="E709" s="716">
        <v>12.19</v>
      </c>
    </row>
    <row r="710" spans="1:5">
      <c r="A710" s="715">
        <v>866</v>
      </c>
      <c r="B710" s="633" t="s">
        <v>35376</v>
      </c>
      <c r="C710" s="715" t="s">
        <v>165</v>
      </c>
      <c r="D710" s="715" t="s">
        <v>40839</v>
      </c>
      <c r="E710" s="716">
        <v>154.87</v>
      </c>
    </row>
    <row r="711" spans="1:5">
      <c r="A711" s="715">
        <v>892</v>
      </c>
      <c r="B711" s="633" t="s">
        <v>35377</v>
      </c>
      <c r="C711" s="715" t="s">
        <v>165</v>
      </c>
      <c r="D711" s="715" t="s">
        <v>40839</v>
      </c>
      <c r="E711" s="716">
        <v>187.47</v>
      </c>
    </row>
    <row r="712" spans="1:5">
      <c r="A712" s="715">
        <v>857</v>
      </c>
      <c r="B712" s="633" t="s">
        <v>35378</v>
      </c>
      <c r="C712" s="715" t="s">
        <v>165</v>
      </c>
      <c r="D712" s="715" t="s">
        <v>40839</v>
      </c>
      <c r="E712" s="716">
        <v>20.39</v>
      </c>
    </row>
    <row r="713" spans="1:5">
      <c r="A713" s="715">
        <v>37404</v>
      </c>
      <c r="B713" s="633" t="s">
        <v>35379</v>
      </c>
      <c r="C713" s="715" t="s">
        <v>165</v>
      </c>
      <c r="D713" s="715" t="s">
        <v>40839</v>
      </c>
      <c r="E713" s="716">
        <v>216.9</v>
      </c>
    </row>
    <row r="714" spans="1:5">
      <c r="A714" s="715">
        <v>868</v>
      </c>
      <c r="B714" s="633" t="s">
        <v>35380</v>
      </c>
      <c r="C714" s="715" t="s">
        <v>165</v>
      </c>
      <c r="D714" s="715" t="s">
        <v>40839</v>
      </c>
      <c r="E714" s="716">
        <v>29.06</v>
      </c>
    </row>
    <row r="715" spans="1:5">
      <c r="A715" s="715">
        <v>863</v>
      </c>
      <c r="B715" s="633" t="s">
        <v>35381</v>
      </c>
      <c r="C715" s="715" t="s">
        <v>165</v>
      </c>
      <c r="D715" s="715" t="s">
        <v>40839</v>
      </c>
      <c r="E715" s="716">
        <v>42.8</v>
      </c>
    </row>
    <row r="716" spans="1:5">
      <c r="A716" s="715">
        <v>867</v>
      </c>
      <c r="B716" s="633" t="s">
        <v>35382</v>
      </c>
      <c r="C716" s="715" t="s">
        <v>165</v>
      </c>
      <c r="D716" s="715" t="s">
        <v>40839</v>
      </c>
      <c r="E716" s="716">
        <v>60.96</v>
      </c>
    </row>
    <row r="717" spans="1:5">
      <c r="A717" s="715">
        <v>864</v>
      </c>
      <c r="B717" s="633" t="s">
        <v>35383</v>
      </c>
      <c r="C717" s="715" t="s">
        <v>165</v>
      </c>
      <c r="D717" s="715" t="s">
        <v>40839</v>
      </c>
      <c r="E717" s="716">
        <v>80.53</v>
      </c>
    </row>
    <row r="718" spans="1:5">
      <c r="A718" s="715">
        <v>865</v>
      </c>
      <c r="B718" s="633" t="s">
        <v>35384</v>
      </c>
      <c r="C718" s="715" t="s">
        <v>165</v>
      </c>
      <c r="D718" s="715" t="s">
        <v>40839</v>
      </c>
      <c r="E718" s="716">
        <v>115.83</v>
      </c>
    </row>
    <row r="719" spans="1:5" ht="29">
      <c r="A719" s="715">
        <v>39251</v>
      </c>
      <c r="B719" s="633" t="s">
        <v>35385</v>
      </c>
      <c r="C719" s="715" t="s">
        <v>165</v>
      </c>
      <c r="D719" s="715" t="s">
        <v>40839</v>
      </c>
      <c r="E719" s="716">
        <v>0.76</v>
      </c>
    </row>
    <row r="720" spans="1:5" ht="29">
      <c r="A720" s="715">
        <v>1011</v>
      </c>
      <c r="B720" s="633" t="s">
        <v>35386</v>
      </c>
      <c r="C720" s="715" t="s">
        <v>165</v>
      </c>
      <c r="D720" s="715" t="s">
        <v>40839</v>
      </c>
      <c r="E720" s="716">
        <v>1.04</v>
      </c>
    </row>
    <row r="721" spans="1:5" ht="29">
      <c r="A721" s="715">
        <v>39252</v>
      </c>
      <c r="B721" s="633" t="s">
        <v>35387</v>
      </c>
      <c r="C721" s="715" t="s">
        <v>165</v>
      </c>
      <c r="D721" s="715" t="s">
        <v>40839</v>
      </c>
      <c r="E721" s="716">
        <v>1.36</v>
      </c>
    </row>
    <row r="722" spans="1:5" ht="29">
      <c r="A722" s="715">
        <v>1013</v>
      </c>
      <c r="B722" s="633" t="s">
        <v>35388</v>
      </c>
      <c r="C722" s="715" t="s">
        <v>165</v>
      </c>
      <c r="D722" s="715" t="s">
        <v>40839</v>
      </c>
      <c r="E722" s="716">
        <v>1.63</v>
      </c>
    </row>
    <row r="723" spans="1:5" ht="29">
      <c r="A723" s="715">
        <v>980</v>
      </c>
      <c r="B723" s="633" t="s">
        <v>35389</v>
      </c>
      <c r="C723" s="715" t="s">
        <v>165</v>
      </c>
      <c r="D723" s="715" t="s">
        <v>40839</v>
      </c>
      <c r="E723" s="716">
        <v>11.79</v>
      </c>
    </row>
    <row r="724" spans="1:5" ht="29">
      <c r="A724" s="715">
        <v>39237</v>
      </c>
      <c r="B724" s="633" t="s">
        <v>35390</v>
      </c>
      <c r="C724" s="715" t="s">
        <v>165</v>
      </c>
      <c r="D724" s="715" t="s">
        <v>40839</v>
      </c>
      <c r="E724" s="716">
        <v>125.38</v>
      </c>
    </row>
    <row r="725" spans="1:5" ht="29">
      <c r="A725" s="715">
        <v>39238</v>
      </c>
      <c r="B725" s="633" t="s">
        <v>35391</v>
      </c>
      <c r="C725" s="715" t="s">
        <v>165</v>
      </c>
      <c r="D725" s="715" t="s">
        <v>40839</v>
      </c>
      <c r="E725" s="716">
        <v>158.13</v>
      </c>
    </row>
    <row r="726" spans="1:5" ht="29">
      <c r="A726" s="715">
        <v>979</v>
      </c>
      <c r="B726" s="633" t="s">
        <v>35392</v>
      </c>
      <c r="C726" s="715" t="s">
        <v>165</v>
      </c>
      <c r="D726" s="715" t="s">
        <v>40839</v>
      </c>
      <c r="E726" s="716">
        <v>16.84</v>
      </c>
    </row>
    <row r="727" spans="1:5" ht="29">
      <c r="A727" s="715">
        <v>39239</v>
      </c>
      <c r="B727" s="633" t="s">
        <v>35393</v>
      </c>
      <c r="C727" s="715" t="s">
        <v>165</v>
      </c>
      <c r="D727" s="715" t="s">
        <v>40839</v>
      </c>
      <c r="E727" s="716">
        <v>191.04</v>
      </c>
    </row>
    <row r="728" spans="1:5" ht="29">
      <c r="A728" s="715">
        <v>1014</v>
      </c>
      <c r="B728" s="633" t="s">
        <v>35394</v>
      </c>
      <c r="C728" s="715" t="s">
        <v>165</v>
      </c>
      <c r="D728" s="715" t="s">
        <v>40839</v>
      </c>
      <c r="E728" s="716">
        <v>2.59</v>
      </c>
    </row>
    <row r="729" spans="1:5" ht="29">
      <c r="A729" s="715">
        <v>39240</v>
      </c>
      <c r="B729" s="633" t="s">
        <v>35395</v>
      </c>
      <c r="C729" s="715" t="s">
        <v>165</v>
      </c>
      <c r="D729" s="715" t="s">
        <v>40839</v>
      </c>
      <c r="E729" s="716">
        <v>251.27</v>
      </c>
    </row>
    <row r="730" spans="1:5" ht="29">
      <c r="A730" s="715">
        <v>39232</v>
      </c>
      <c r="B730" s="633" t="s">
        <v>35396</v>
      </c>
      <c r="C730" s="715" t="s">
        <v>165</v>
      </c>
      <c r="D730" s="715" t="s">
        <v>40839</v>
      </c>
      <c r="E730" s="716">
        <v>26.37</v>
      </c>
    </row>
    <row r="731" spans="1:5" ht="29">
      <c r="A731" s="715">
        <v>39233</v>
      </c>
      <c r="B731" s="633" t="s">
        <v>35397</v>
      </c>
      <c r="C731" s="715" t="s">
        <v>165</v>
      </c>
      <c r="D731" s="715" t="s">
        <v>40839</v>
      </c>
      <c r="E731" s="716">
        <v>38.43</v>
      </c>
    </row>
    <row r="732" spans="1:5" ht="29">
      <c r="A732" s="715">
        <v>981</v>
      </c>
      <c r="B732" s="633" t="s">
        <v>35398</v>
      </c>
      <c r="C732" s="715" t="s">
        <v>165</v>
      </c>
      <c r="D732" s="715" t="s">
        <v>28018</v>
      </c>
      <c r="E732" s="716">
        <v>4.29</v>
      </c>
    </row>
    <row r="733" spans="1:5" ht="29">
      <c r="A733" s="715">
        <v>39234</v>
      </c>
      <c r="B733" s="633" t="s">
        <v>35399</v>
      </c>
      <c r="C733" s="715" t="s">
        <v>165</v>
      </c>
      <c r="D733" s="715" t="s">
        <v>40839</v>
      </c>
      <c r="E733" s="716">
        <v>53.5</v>
      </c>
    </row>
    <row r="734" spans="1:5" ht="29">
      <c r="A734" s="715">
        <v>982</v>
      </c>
      <c r="B734" s="633" t="s">
        <v>35400</v>
      </c>
      <c r="C734" s="715" t="s">
        <v>165</v>
      </c>
      <c r="D734" s="715" t="s">
        <v>40839</v>
      </c>
      <c r="E734" s="716">
        <v>6.17</v>
      </c>
    </row>
    <row r="735" spans="1:5" ht="29">
      <c r="A735" s="715">
        <v>39235</v>
      </c>
      <c r="B735" s="633" t="s">
        <v>35401</v>
      </c>
      <c r="C735" s="715" t="s">
        <v>165</v>
      </c>
      <c r="D735" s="715" t="s">
        <v>40839</v>
      </c>
      <c r="E735" s="716">
        <v>78.91</v>
      </c>
    </row>
    <row r="736" spans="1:5" ht="29">
      <c r="A736" s="715">
        <v>39236</v>
      </c>
      <c r="B736" s="633" t="s">
        <v>35402</v>
      </c>
      <c r="C736" s="715" t="s">
        <v>165</v>
      </c>
      <c r="D736" s="715" t="s">
        <v>40839</v>
      </c>
      <c r="E736" s="716">
        <v>104.58</v>
      </c>
    </row>
    <row r="737" spans="1:5" ht="43">
      <c r="A737" s="715">
        <v>993</v>
      </c>
      <c r="B737" s="633" t="s">
        <v>35403</v>
      </c>
      <c r="C737" s="715" t="s">
        <v>165</v>
      </c>
      <c r="D737" s="715" t="s">
        <v>40839</v>
      </c>
      <c r="E737" s="716">
        <v>2.2000000000000002</v>
      </c>
    </row>
    <row r="738" spans="1:5" ht="43">
      <c r="A738" s="715">
        <v>1020</v>
      </c>
      <c r="B738" s="633" t="s">
        <v>35404</v>
      </c>
      <c r="C738" s="715" t="s">
        <v>165</v>
      </c>
      <c r="D738" s="715" t="s">
        <v>40839</v>
      </c>
      <c r="E738" s="716">
        <v>11.24</v>
      </c>
    </row>
    <row r="739" spans="1:5" ht="43">
      <c r="A739" s="715">
        <v>1017</v>
      </c>
      <c r="B739" s="633" t="s">
        <v>35405</v>
      </c>
      <c r="C739" s="715" t="s">
        <v>165</v>
      </c>
      <c r="D739" s="715" t="s">
        <v>40839</v>
      </c>
      <c r="E739" s="716">
        <v>137.72</v>
      </c>
    </row>
    <row r="740" spans="1:5" ht="43">
      <c r="A740" s="715">
        <v>999</v>
      </c>
      <c r="B740" s="633" t="s">
        <v>35406</v>
      </c>
      <c r="C740" s="715" t="s">
        <v>165</v>
      </c>
      <c r="D740" s="715" t="s">
        <v>40839</v>
      </c>
      <c r="E740" s="716">
        <v>166.85</v>
      </c>
    </row>
    <row r="741" spans="1:5" ht="43">
      <c r="A741" s="715">
        <v>995</v>
      </c>
      <c r="B741" s="633" t="s">
        <v>35407</v>
      </c>
      <c r="C741" s="715" t="s">
        <v>165</v>
      </c>
      <c r="D741" s="715" t="s">
        <v>40839</v>
      </c>
      <c r="E741" s="716">
        <v>17.89</v>
      </c>
    </row>
    <row r="742" spans="1:5" ht="43">
      <c r="A742" s="715">
        <v>1000</v>
      </c>
      <c r="B742" s="633" t="s">
        <v>35408</v>
      </c>
      <c r="C742" s="715" t="s">
        <v>165</v>
      </c>
      <c r="D742" s="715" t="s">
        <v>40839</v>
      </c>
      <c r="E742" s="716">
        <v>204.95</v>
      </c>
    </row>
    <row r="743" spans="1:5" ht="43">
      <c r="A743" s="715">
        <v>1022</v>
      </c>
      <c r="B743" s="633" t="s">
        <v>35409</v>
      </c>
      <c r="C743" s="715" t="s">
        <v>165</v>
      </c>
      <c r="D743" s="715" t="s">
        <v>40839</v>
      </c>
      <c r="E743" s="716">
        <v>3.07</v>
      </c>
    </row>
    <row r="744" spans="1:5" ht="43">
      <c r="A744" s="715">
        <v>1015</v>
      </c>
      <c r="B744" s="633" t="s">
        <v>35410</v>
      </c>
      <c r="C744" s="715" t="s">
        <v>165</v>
      </c>
      <c r="D744" s="715" t="s">
        <v>40839</v>
      </c>
      <c r="E744" s="716">
        <v>272.35000000000002</v>
      </c>
    </row>
    <row r="745" spans="1:5" ht="43">
      <c r="A745" s="715">
        <v>996</v>
      </c>
      <c r="B745" s="633" t="s">
        <v>35411</v>
      </c>
      <c r="C745" s="715" t="s">
        <v>165</v>
      </c>
      <c r="D745" s="715" t="s">
        <v>40839</v>
      </c>
      <c r="E745" s="716">
        <v>27.75</v>
      </c>
    </row>
    <row r="746" spans="1:5" ht="43">
      <c r="A746" s="715">
        <v>1001</v>
      </c>
      <c r="B746" s="633" t="s">
        <v>35412</v>
      </c>
      <c r="C746" s="715" t="s">
        <v>165</v>
      </c>
      <c r="D746" s="715" t="s">
        <v>40839</v>
      </c>
      <c r="E746" s="716">
        <v>353.37</v>
      </c>
    </row>
    <row r="747" spans="1:5" ht="43">
      <c r="A747" s="715">
        <v>1019</v>
      </c>
      <c r="B747" s="633" t="s">
        <v>35413</v>
      </c>
      <c r="C747" s="715" t="s">
        <v>165</v>
      </c>
      <c r="D747" s="715" t="s">
        <v>40839</v>
      </c>
      <c r="E747" s="716">
        <v>39.21</v>
      </c>
    </row>
    <row r="748" spans="1:5" ht="43">
      <c r="A748" s="715">
        <v>1021</v>
      </c>
      <c r="B748" s="633" t="s">
        <v>35414</v>
      </c>
      <c r="C748" s="715" t="s">
        <v>165</v>
      </c>
      <c r="D748" s="715" t="s">
        <v>40839</v>
      </c>
      <c r="E748" s="716">
        <v>4.71</v>
      </c>
    </row>
    <row r="749" spans="1:5" ht="43">
      <c r="A749" s="715">
        <v>39249</v>
      </c>
      <c r="B749" s="633" t="s">
        <v>35415</v>
      </c>
      <c r="C749" s="715" t="s">
        <v>165</v>
      </c>
      <c r="D749" s="715" t="s">
        <v>40839</v>
      </c>
      <c r="E749" s="716">
        <v>475.12</v>
      </c>
    </row>
    <row r="750" spans="1:5" ht="43">
      <c r="A750" s="715">
        <v>1018</v>
      </c>
      <c r="B750" s="633" t="s">
        <v>35416</v>
      </c>
      <c r="C750" s="715" t="s">
        <v>165</v>
      </c>
      <c r="D750" s="715" t="s">
        <v>40839</v>
      </c>
      <c r="E750" s="716">
        <v>57.98</v>
      </c>
    </row>
    <row r="751" spans="1:5" ht="43">
      <c r="A751" s="715">
        <v>39250</v>
      </c>
      <c r="B751" s="633" t="s">
        <v>35417</v>
      </c>
      <c r="C751" s="715" t="s">
        <v>165</v>
      </c>
      <c r="D751" s="715" t="s">
        <v>40839</v>
      </c>
      <c r="E751" s="716">
        <v>568.35</v>
      </c>
    </row>
    <row r="752" spans="1:5" ht="43">
      <c r="A752" s="715">
        <v>994</v>
      </c>
      <c r="B752" s="633" t="s">
        <v>35418</v>
      </c>
      <c r="C752" s="715" t="s">
        <v>165</v>
      </c>
      <c r="D752" s="715" t="s">
        <v>40839</v>
      </c>
      <c r="E752" s="716">
        <v>6.86</v>
      </c>
    </row>
    <row r="753" spans="1:5" ht="43">
      <c r="A753" s="715">
        <v>977</v>
      </c>
      <c r="B753" s="633" t="s">
        <v>35419</v>
      </c>
      <c r="C753" s="715" t="s">
        <v>165</v>
      </c>
      <c r="D753" s="715" t="s">
        <v>40839</v>
      </c>
      <c r="E753" s="716">
        <v>81.11</v>
      </c>
    </row>
    <row r="754" spans="1:5" ht="43">
      <c r="A754" s="715">
        <v>998</v>
      </c>
      <c r="B754" s="633" t="s">
        <v>35420</v>
      </c>
      <c r="C754" s="715" t="s">
        <v>165</v>
      </c>
      <c r="D754" s="715" t="s">
        <v>40839</v>
      </c>
      <c r="E754" s="716">
        <v>105.32</v>
      </c>
    </row>
    <row r="755" spans="1:5" ht="29">
      <c r="A755" s="715">
        <v>1006</v>
      </c>
      <c r="B755" s="633" t="s">
        <v>35421</v>
      </c>
      <c r="C755" s="715" t="s">
        <v>165</v>
      </c>
      <c r="D755" s="715" t="s">
        <v>40839</v>
      </c>
      <c r="E755" s="716">
        <v>139.55000000000001</v>
      </c>
    </row>
    <row r="756" spans="1:5" ht="29">
      <c r="A756" s="715">
        <v>990</v>
      </c>
      <c r="B756" s="633" t="s">
        <v>35422</v>
      </c>
      <c r="C756" s="715" t="s">
        <v>165</v>
      </c>
      <c r="D756" s="715" t="s">
        <v>40839</v>
      </c>
      <c r="E756" s="716">
        <v>185.56</v>
      </c>
    </row>
    <row r="757" spans="1:5" ht="29">
      <c r="A757" s="715">
        <v>39241</v>
      </c>
      <c r="B757" s="633" t="s">
        <v>35423</v>
      </c>
      <c r="C757" s="715" t="s">
        <v>165</v>
      </c>
      <c r="D757" s="715" t="s">
        <v>40839</v>
      </c>
      <c r="E757" s="716">
        <v>18.27</v>
      </c>
    </row>
    <row r="758" spans="1:5" ht="29">
      <c r="A758" s="715">
        <v>1005</v>
      </c>
      <c r="B758" s="633" t="s">
        <v>35424</v>
      </c>
      <c r="C758" s="715" t="s">
        <v>165</v>
      </c>
      <c r="D758" s="715" t="s">
        <v>40839</v>
      </c>
      <c r="E758" s="716">
        <v>231.03</v>
      </c>
    </row>
    <row r="759" spans="1:5" ht="29">
      <c r="A759" s="715">
        <v>991</v>
      </c>
      <c r="B759" s="633" t="s">
        <v>35425</v>
      </c>
      <c r="C759" s="715" t="s">
        <v>165</v>
      </c>
      <c r="D759" s="715" t="s">
        <v>40839</v>
      </c>
      <c r="E759" s="716">
        <v>302.60000000000002</v>
      </c>
    </row>
    <row r="760" spans="1:5" ht="29">
      <c r="A760" s="715">
        <v>986</v>
      </c>
      <c r="B760" s="633" t="s">
        <v>35426</v>
      </c>
      <c r="C760" s="715" t="s">
        <v>165</v>
      </c>
      <c r="D760" s="715" t="s">
        <v>40839</v>
      </c>
      <c r="E760" s="716">
        <v>28.86</v>
      </c>
    </row>
    <row r="761" spans="1:5" ht="29">
      <c r="A761" s="715">
        <v>987</v>
      </c>
      <c r="B761" s="633" t="s">
        <v>35427</v>
      </c>
      <c r="C761" s="715" t="s">
        <v>165</v>
      </c>
      <c r="D761" s="715" t="s">
        <v>40839</v>
      </c>
      <c r="E761" s="716">
        <v>39.51</v>
      </c>
    </row>
    <row r="762" spans="1:5" ht="29">
      <c r="A762" s="715">
        <v>1007</v>
      </c>
      <c r="B762" s="633" t="s">
        <v>35428</v>
      </c>
      <c r="C762" s="715" t="s">
        <v>165</v>
      </c>
      <c r="D762" s="715" t="s">
        <v>40839</v>
      </c>
      <c r="E762" s="716">
        <v>54.69</v>
      </c>
    </row>
    <row r="763" spans="1:5" ht="29">
      <c r="A763" s="715">
        <v>1008</v>
      </c>
      <c r="B763" s="633" t="s">
        <v>35429</v>
      </c>
      <c r="C763" s="715" t="s">
        <v>165</v>
      </c>
      <c r="D763" s="715" t="s">
        <v>40839</v>
      </c>
      <c r="E763" s="716">
        <v>6.94</v>
      </c>
    </row>
    <row r="764" spans="1:5" ht="29">
      <c r="A764" s="715">
        <v>988</v>
      </c>
      <c r="B764" s="633" t="s">
        <v>35430</v>
      </c>
      <c r="C764" s="715" t="s">
        <v>165</v>
      </c>
      <c r="D764" s="715" t="s">
        <v>40839</v>
      </c>
      <c r="E764" s="716">
        <v>75.41</v>
      </c>
    </row>
    <row r="765" spans="1:5" ht="29">
      <c r="A765" s="715">
        <v>989</v>
      </c>
      <c r="B765" s="633" t="s">
        <v>35431</v>
      </c>
      <c r="C765" s="715" t="s">
        <v>165</v>
      </c>
      <c r="D765" s="715" t="s">
        <v>40839</v>
      </c>
      <c r="E765" s="716">
        <v>104.09</v>
      </c>
    </row>
    <row r="766" spans="1:5" ht="29">
      <c r="A766" s="715">
        <v>43972</v>
      </c>
      <c r="B766" s="633" t="s">
        <v>35432</v>
      </c>
      <c r="C766" s="715" t="s">
        <v>165</v>
      </c>
      <c r="D766" s="715" t="s">
        <v>40839</v>
      </c>
      <c r="E766" s="716">
        <v>4.37</v>
      </c>
    </row>
    <row r="767" spans="1:5" ht="29">
      <c r="A767" s="715">
        <v>43971</v>
      </c>
      <c r="B767" s="633" t="s">
        <v>35433</v>
      </c>
      <c r="C767" s="715" t="s">
        <v>165</v>
      </c>
      <c r="D767" s="715" t="s">
        <v>28018</v>
      </c>
      <c r="E767" s="716">
        <v>3.34</v>
      </c>
    </row>
    <row r="768" spans="1:5" ht="29">
      <c r="A768" s="715">
        <v>39598</v>
      </c>
      <c r="B768" s="633" t="s">
        <v>35434</v>
      </c>
      <c r="C768" s="715" t="s">
        <v>165</v>
      </c>
      <c r="D768" s="715" t="s">
        <v>40839</v>
      </c>
      <c r="E768" s="716">
        <v>6.19</v>
      </c>
    </row>
    <row r="769" spans="1:5" ht="29">
      <c r="A769" s="715">
        <v>43973</v>
      </c>
      <c r="B769" s="633" t="s">
        <v>35435</v>
      </c>
      <c r="C769" s="715" t="s">
        <v>165</v>
      </c>
      <c r="D769" s="715" t="s">
        <v>40839</v>
      </c>
      <c r="E769" s="716">
        <v>4.57</v>
      </c>
    </row>
    <row r="770" spans="1:5" ht="29">
      <c r="A770" s="715">
        <v>39599</v>
      </c>
      <c r="B770" s="633" t="s">
        <v>35436</v>
      </c>
      <c r="C770" s="715" t="s">
        <v>165</v>
      </c>
      <c r="D770" s="715" t="s">
        <v>40839</v>
      </c>
      <c r="E770" s="716">
        <v>8.91</v>
      </c>
    </row>
    <row r="771" spans="1:5">
      <c r="A771" s="715">
        <v>43832</v>
      </c>
      <c r="B771" s="633" t="s">
        <v>35437</v>
      </c>
      <c r="C771" s="715" t="s">
        <v>165</v>
      </c>
      <c r="D771" s="715" t="s">
        <v>40839</v>
      </c>
      <c r="E771" s="716">
        <v>23.47</v>
      </c>
    </row>
    <row r="772" spans="1:5">
      <c r="A772" s="715">
        <v>34602</v>
      </c>
      <c r="B772" s="633" t="s">
        <v>35438</v>
      </c>
      <c r="C772" s="715" t="s">
        <v>165</v>
      </c>
      <c r="D772" s="715" t="s">
        <v>40839</v>
      </c>
      <c r="E772" s="716">
        <v>4.7699999999999996</v>
      </c>
    </row>
    <row r="773" spans="1:5">
      <c r="A773" s="715">
        <v>34607</v>
      </c>
      <c r="B773" s="633" t="s">
        <v>35439</v>
      </c>
      <c r="C773" s="715" t="s">
        <v>165</v>
      </c>
      <c r="D773" s="715" t="s">
        <v>40839</v>
      </c>
      <c r="E773" s="716">
        <v>11.7</v>
      </c>
    </row>
    <row r="774" spans="1:5">
      <c r="A774" s="715">
        <v>34609</v>
      </c>
      <c r="B774" s="633" t="s">
        <v>35440</v>
      </c>
      <c r="C774" s="715" t="s">
        <v>165</v>
      </c>
      <c r="D774" s="715" t="s">
        <v>40839</v>
      </c>
      <c r="E774" s="716">
        <v>17.02</v>
      </c>
    </row>
    <row r="775" spans="1:5">
      <c r="A775" s="715">
        <v>34618</v>
      </c>
      <c r="B775" s="633" t="s">
        <v>35441</v>
      </c>
      <c r="C775" s="715" t="s">
        <v>165</v>
      </c>
      <c r="D775" s="715" t="s">
        <v>40839</v>
      </c>
      <c r="E775" s="716">
        <v>6.51</v>
      </c>
    </row>
    <row r="776" spans="1:5">
      <c r="A776" s="715">
        <v>34621</v>
      </c>
      <c r="B776" s="633" t="s">
        <v>35442</v>
      </c>
      <c r="C776" s="715" t="s">
        <v>165</v>
      </c>
      <c r="D776" s="715" t="s">
        <v>40839</v>
      </c>
      <c r="E776" s="716">
        <v>16.13</v>
      </c>
    </row>
    <row r="777" spans="1:5">
      <c r="A777" s="715">
        <v>34622</v>
      </c>
      <c r="B777" s="633" t="s">
        <v>35443</v>
      </c>
      <c r="C777" s="715" t="s">
        <v>165</v>
      </c>
      <c r="D777" s="715" t="s">
        <v>40839</v>
      </c>
      <c r="E777" s="716">
        <v>23.96</v>
      </c>
    </row>
    <row r="778" spans="1:5">
      <c r="A778" s="715">
        <v>34624</v>
      </c>
      <c r="B778" s="633" t="s">
        <v>35444</v>
      </c>
      <c r="C778" s="715" t="s">
        <v>165</v>
      </c>
      <c r="D778" s="715" t="s">
        <v>40839</v>
      </c>
      <c r="E778" s="716">
        <v>8.69</v>
      </c>
    </row>
    <row r="779" spans="1:5">
      <c r="A779" s="715">
        <v>34627</v>
      </c>
      <c r="B779" s="633" t="s">
        <v>35445</v>
      </c>
      <c r="C779" s="715" t="s">
        <v>165</v>
      </c>
      <c r="D779" s="715" t="s">
        <v>40839</v>
      </c>
      <c r="E779" s="716">
        <v>20.96</v>
      </c>
    </row>
    <row r="780" spans="1:5">
      <c r="A780" s="715">
        <v>34629</v>
      </c>
      <c r="B780" s="633" t="s">
        <v>35446</v>
      </c>
      <c r="C780" s="715" t="s">
        <v>165</v>
      </c>
      <c r="D780" s="715" t="s">
        <v>40839</v>
      </c>
      <c r="E780" s="716">
        <v>32.020000000000003</v>
      </c>
    </row>
    <row r="781" spans="1:5" ht="29">
      <c r="A781" s="715">
        <v>39257</v>
      </c>
      <c r="B781" s="633" t="s">
        <v>35447</v>
      </c>
      <c r="C781" s="715" t="s">
        <v>165</v>
      </c>
      <c r="D781" s="715" t="s">
        <v>40839</v>
      </c>
      <c r="E781" s="716">
        <v>6.52</v>
      </c>
    </row>
    <row r="782" spans="1:5" ht="29">
      <c r="A782" s="715">
        <v>39261</v>
      </c>
      <c r="B782" s="633" t="s">
        <v>35448</v>
      </c>
      <c r="C782" s="715" t="s">
        <v>165</v>
      </c>
      <c r="D782" s="715" t="s">
        <v>40839</v>
      </c>
      <c r="E782" s="716">
        <v>37.31</v>
      </c>
    </row>
    <row r="783" spans="1:5" ht="29">
      <c r="A783" s="715">
        <v>39268</v>
      </c>
      <c r="B783" s="633" t="s">
        <v>35449</v>
      </c>
      <c r="C783" s="715" t="s">
        <v>165</v>
      </c>
      <c r="D783" s="715" t="s">
        <v>40839</v>
      </c>
      <c r="E783" s="716">
        <v>583.1</v>
      </c>
    </row>
    <row r="784" spans="1:5" ht="29">
      <c r="A784" s="715">
        <v>39262</v>
      </c>
      <c r="B784" s="633" t="s">
        <v>35450</v>
      </c>
      <c r="C784" s="715" t="s">
        <v>165</v>
      </c>
      <c r="D784" s="715" t="s">
        <v>40839</v>
      </c>
      <c r="E784" s="716">
        <v>59.4</v>
      </c>
    </row>
    <row r="785" spans="1:5" ht="29">
      <c r="A785" s="715">
        <v>39258</v>
      </c>
      <c r="B785" s="633" t="s">
        <v>35451</v>
      </c>
      <c r="C785" s="715" t="s">
        <v>165</v>
      </c>
      <c r="D785" s="715" t="s">
        <v>40839</v>
      </c>
      <c r="E785" s="716">
        <v>9.82</v>
      </c>
    </row>
    <row r="786" spans="1:5" ht="29">
      <c r="A786" s="715">
        <v>39263</v>
      </c>
      <c r="B786" s="633" t="s">
        <v>35452</v>
      </c>
      <c r="C786" s="715" t="s">
        <v>165</v>
      </c>
      <c r="D786" s="715" t="s">
        <v>40839</v>
      </c>
      <c r="E786" s="716">
        <v>102.72</v>
      </c>
    </row>
    <row r="787" spans="1:5" ht="29">
      <c r="A787" s="715">
        <v>39264</v>
      </c>
      <c r="B787" s="633" t="s">
        <v>35453</v>
      </c>
      <c r="C787" s="715" t="s">
        <v>165</v>
      </c>
      <c r="D787" s="715" t="s">
        <v>40839</v>
      </c>
      <c r="E787" s="716">
        <v>142.30000000000001</v>
      </c>
    </row>
    <row r="788" spans="1:5" ht="29">
      <c r="A788" s="715">
        <v>39259</v>
      </c>
      <c r="B788" s="633" t="s">
        <v>35454</v>
      </c>
      <c r="C788" s="715" t="s">
        <v>165</v>
      </c>
      <c r="D788" s="715" t="s">
        <v>40839</v>
      </c>
      <c r="E788" s="716">
        <v>15.12</v>
      </c>
    </row>
    <row r="789" spans="1:5" ht="29">
      <c r="A789" s="715">
        <v>39265</v>
      </c>
      <c r="B789" s="633" t="s">
        <v>35455</v>
      </c>
      <c r="C789" s="715" t="s">
        <v>165</v>
      </c>
      <c r="D789" s="715" t="s">
        <v>40839</v>
      </c>
      <c r="E789" s="716">
        <v>193.19</v>
      </c>
    </row>
    <row r="790" spans="1:5" ht="29">
      <c r="A790" s="715">
        <v>39260</v>
      </c>
      <c r="B790" s="633" t="s">
        <v>35456</v>
      </c>
      <c r="C790" s="715" t="s">
        <v>165</v>
      </c>
      <c r="D790" s="715" t="s">
        <v>40839</v>
      </c>
      <c r="E790" s="716">
        <v>23.16</v>
      </c>
    </row>
    <row r="791" spans="1:5" ht="29">
      <c r="A791" s="715">
        <v>39266</v>
      </c>
      <c r="B791" s="633" t="s">
        <v>35457</v>
      </c>
      <c r="C791" s="715" t="s">
        <v>165</v>
      </c>
      <c r="D791" s="715" t="s">
        <v>40839</v>
      </c>
      <c r="E791" s="716">
        <v>291.52999999999997</v>
      </c>
    </row>
    <row r="792" spans="1:5" ht="29">
      <c r="A792" s="715">
        <v>39267</v>
      </c>
      <c r="B792" s="633" t="s">
        <v>35458</v>
      </c>
      <c r="C792" s="715" t="s">
        <v>165</v>
      </c>
      <c r="D792" s="715" t="s">
        <v>40839</v>
      </c>
      <c r="E792" s="716">
        <v>364.48</v>
      </c>
    </row>
    <row r="793" spans="1:5">
      <c r="A793" s="715">
        <v>11901</v>
      </c>
      <c r="B793" s="633" t="s">
        <v>35459</v>
      </c>
      <c r="C793" s="715" t="s">
        <v>165</v>
      </c>
      <c r="D793" s="715" t="s">
        <v>40839</v>
      </c>
      <c r="E793" s="716">
        <v>0.8</v>
      </c>
    </row>
    <row r="794" spans="1:5">
      <c r="A794" s="715">
        <v>11902</v>
      </c>
      <c r="B794" s="633" t="s">
        <v>35460</v>
      </c>
      <c r="C794" s="715" t="s">
        <v>165</v>
      </c>
      <c r="D794" s="715" t="s">
        <v>40839</v>
      </c>
      <c r="E794" s="716">
        <v>1.53</v>
      </c>
    </row>
    <row r="795" spans="1:5">
      <c r="A795" s="715">
        <v>11903</v>
      </c>
      <c r="B795" s="633" t="s">
        <v>35461</v>
      </c>
      <c r="C795" s="715" t="s">
        <v>165</v>
      </c>
      <c r="D795" s="715" t="s">
        <v>40839</v>
      </c>
      <c r="E795" s="716">
        <v>1.62</v>
      </c>
    </row>
    <row r="796" spans="1:5">
      <c r="A796" s="715">
        <v>11904</v>
      </c>
      <c r="B796" s="633" t="s">
        <v>35462</v>
      </c>
      <c r="C796" s="715" t="s">
        <v>165</v>
      </c>
      <c r="D796" s="715" t="s">
        <v>40839</v>
      </c>
      <c r="E796" s="716">
        <v>2.46</v>
      </c>
    </row>
    <row r="797" spans="1:5">
      <c r="A797" s="715">
        <v>11905</v>
      </c>
      <c r="B797" s="633" t="s">
        <v>35463</v>
      </c>
      <c r="C797" s="715" t="s">
        <v>165</v>
      </c>
      <c r="D797" s="715" t="s">
        <v>40839</v>
      </c>
      <c r="E797" s="716">
        <v>3.01</v>
      </c>
    </row>
    <row r="798" spans="1:5">
      <c r="A798" s="715">
        <v>11906</v>
      </c>
      <c r="B798" s="633" t="s">
        <v>35464</v>
      </c>
      <c r="C798" s="715" t="s">
        <v>165</v>
      </c>
      <c r="D798" s="715" t="s">
        <v>40839</v>
      </c>
      <c r="E798" s="716">
        <v>3.82</v>
      </c>
    </row>
    <row r="799" spans="1:5">
      <c r="A799" s="715">
        <v>11919</v>
      </c>
      <c r="B799" s="633" t="s">
        <v>35465</v>
      </c>
      <c r="C799" s="715" t="s">
        <v>165</v>
      </c>
      <c r="D799" s="715" t="s">
        <v>40839</v>
      </c>
      <c r="E799" s="716">
        <v>7.01</v>
      </c>
    </row>
    <row r="800" spans="1:5">
      <c r="A800" s="715">
        <v>11920</v>
      </c>
      <c r="B800" s="633" t="s">
        <v>35466</v>
      </c>
      <c r="C800" s="715" t="s">
        <v>165</v>
      </c>
      <c r="D800" s="715" t="s">
        <v>40839</v>
      </c>
      <c r="E800" s="716">
        <v>13.31</v>
      </c>
    </row>
    <row r="801" spans="1:5">
      <c r="A801" s="715">
        <v>11924</v>
      </c>
      <c r="B801" s="633" t="s">
        <v>35467</v>
      </c>
      <c r="C801" s="715" t="s">
        <v>165</v>
      </c>
      <c r="D801" s="715" t="s">
        <v>40839</v>
      </c>
      <c r="E801" s="716">
        <v>111.74</v>
      </c>
    </row>
    <row r="802" spans="1:5">
      <c r="A802" s="715">
        <v>11921</v>
      </c>
      <c r="B802" s="633" t="s">
        <v>35468</v>
      </c>
      <c r="C802" s="715" t="s">
        <v>165</v>
      </c>
      <c r="D802" s="715" t="s">
        <v>40839</v>
      </c>
      <c r="E802" s="716">
        <v>19.47</v>
      </c>
    </row>
    <row r="803" spans="1:5">
      <c r="A803" s="715">
        <v>11922</v>
      </c>
      <c r="B803" s="633" t="s">
        <v>35469</v>
      </c>
      <c r="C803" s="715" t="s">
        <v>165</v>
      </c>
      <c r="D803" s="715" t="s">
        <v>40839</v>
      </c>
      <c r="E803" s="716">
        <v>31.49</v>
      </c>
    </row>
    <row r="804" spans="1:5">
      <c r="A804" s="715">
        <v>11923</v>
      </c>
      <c r="B804" s="633" t="s">
        <v>35470</v>
      </c>
      <c r="C804" s="715" t="s">
        <v>165</v>
      </c>
      <c r="D804" s="715" t="s">
        <v>40839</v>
      </c>
      <c r="E804" s="716">
        <v>46.1</v>
      </c>
    </row>
    <row r="805" spans="1:5">
      <c r="A805" s="715">
        <v>11916</v>
      </c>
      <c r="B805" s="633" t="s">
        <v>35471</v>
      </c>
      <c r="C805" s="715" t="s">
        <v>165</v>
      </c>
      <c r="D805" s="715" t="s">
        <v>40839</v>
      </c>
      <c r="E805" s="716">
        <v>9.59</v>
      </c>
    </row>
    <row r="806" spans="1:5">
      <c r="A806" s="715">
        <v>11914</v>
      </c>
      <c r="B806" s="633" t="s">
        <v>35472</v>
      </c>
      <c r="C806" s="715" t="s">
        <v>165</v>
      </c>
      <c r="D806" s="715" t="s">
        <v>40839</v>
      </c>
      <c r="E806" s="716">
        <v>69.069999999999993</v>
      </c>
    </row>
    <row r="807" spans="1:5">
      <c r="A807" s="715">
        <v>11917</v>
      </c>
      <c r="B807" s="633" t="s">
        <v>35473</v>
      </c>
      <c r="C807" s="715" t="s">
        <v>165</v>
      </c>
      <c r="D807" s="715" t="s">
        <v>40839</v>
      </c>
      <c r="E807" s="716">
        <v>16.88</v>
      </c>
    </row>
    <row r="808" spans="1:5">
      <c r="A808" s="715">
        <v>11918</v>
      </c>
      <c r="B808" s="633" t="s">
        <v>35474</v>
      </c>
      <c r="C808" s="715" t="s">
        <v>165</v>
      </c>
      <c r="D808" s="715" t="s">
        <v>40839</v>
      </c>
      <c r="E808" s="716">
        <v>20.03</v>
      </c>
    </row>
    <row r="809" spans="1:5" ht="29">
      <c r="A809" s="715">
        <v>37734</v>
      </c>
      <c r="B809" s="633" t="s">
        <v>35475</v>
      </c>
      <c r="C809" s="715" t="s">
        <v>103</v>
      </c>
      <c r="D809" s="715" t="s">
        <v>40839</v>
      </c>
      <c r="E809" s="716">
        <v>81699.7</v>
      </c>
    </row>
    <row r="810" spans="1:5" ht="29">
      <c r="A810" s="715">
        <v>37733</v>
      </c>
      <c r="B810" s="633" t="s">
        <v>35476</v>
      </c>
      <c r="C810" s="715" t="s">
        <v>103</v>
      </c>
      <c r="D810" s="715" t="s">
        <v>40839</v>
      </c>
      <c r="E810" s="716">
        <v>61258.13</v>
      </c>
    </row>
    <row r="811" spans="1:5" ht="43">
      <c r="A811" s="715">
        <v>5090</v>
      </c>
      <c r="B811" s="633" t="s">
        <v>35477</v>
      </c>
      <c r="C811" s="715" t="s">
        <v>103</v>
      </c>
      <c r="D811" s="715" t="s">
        <v>28018</v>
      </c>
      <c r="E811" s="716">
        <v>20</v>
      </c>
    </row>
    <row r="812" spans="1:5" ht="43">
      <c r="A812" s="715">
        <v>5085</v>
      </c>
      <c r="B812" s="633" t="s">
        <v>35478</v>
      </c>
      <c r="C812" s="715" t="s">
        <v>103</v>
      </c>
      <c r="D812" s="715" t="s">
        <v>40839</v>
      </c>
      <c r="E812" s="716">
        <v>29.77</v>
      </c>
    </row>
    <row r="813" spans="1:5" ht="43">
      <c r="A813" s="715">
        <v>43603</v>
      </c>
      <c r="B813" s="633" t="s">
        <v>35479</v>
      </c>
      <c r="C813" s="715" t="s">
        <v>103</v>
      </c>
      <c r="D813" s="715" t="s">
        <v>40839</v>
      </c>
      <c r="E813" s="716">
        <v>42.53</v>
      </c>
    </row>
    <row r="814" spans="1:5">
      <c r="A814" s="715">
        <v>38374</v>
      </c>
      <c r="B814" s="633" t="s">
        <v>35480</v>
      </c>
      <c r="C814" s="715" t="s">
        <v>103</v>
      </c>
      <c r="D814" s="715" t="s">
        <v>40839</v>
      </c>
      <c r="E814" s="716">
        <v>860.95</v>
      </c>
    </row>
    <row r="815" spans="1:5">
      <c r="A815" s="715">
        <v>4513</v>
      </c>
      <c r="B815" s="633" t="s">
        <v>35481</v>
      </c>
      <c r="C815" s="715" t="s">
        <v>165</v>
      </c>
      <c r="D815" s="715" t="s">
        <v>40839</v>
      </c>
      <c r="E815" s="716">
        <v>5.81</v>
      </c>
    </row>
    <row r="816" spans="1:5" ht="29">
      <c r="A816" s="715">
        <v>20212</v>
      </c>
      <c r="B816" s="633" t="s">
        <v>35482</v>
      </c>
      <c r="C816" s="715" t="s">
        <v>165</v>
      </c>
      <c r="D816" s="715" t="s">
        <v>40839</v>
      </c>
      <c r="E816" s="716">
        <v>28.53</v>
      </c>
    </row>
    <row r="817" spans="1:5" ht="29">
      <c r="A817" s="715">
        <v>20209</v>
      </c>
      <c r="B817" s="633" t="s">
        <v>35483</v>
      </c>
      <c r="C817" s="715" t="s">
        <v>165</v>
      </c>
      <c r="D817" s="715" t="s">
        <v>40839</v>
      </c>
      <c r="E817" s="716">
        <v>34.08</v>
      </c>
    </row>
    <row r="818" spans="1:5" ht="29">
      <c r="A818" s="715">
        <v>4430</v>
      </c>
      <c r="B818" s="633" t="s">
        <v>35484</v>
      </c>
      <c r="C818" s="715" t="s">
        <v>165</v>
      </c>
      <c r="D818" s="715" t="s">
        <v>28018</v>
      </c>
      <c r="E818" s="716">
        <v>16.7</v>
      </c>
    </row>
    <row r="819" spans="1:5" ht="29">
      <c r="A819" s="715">
        <v>4433</v>
      </c>
      <c r="B819" s="633" t="s">
        <v>35485</v>
      </c>
      <c r="C819" s="715" t="s">
        <v>165</v>
      </c>
      <c r="D819" s="715" t="s">
        <v>40839</v>
      </c>
      <c r="E819" s="716">
        <v>32.659999999999997</v>
      </c>
    </row>
    <row r="820" spans="1:5" ht="29">
      <c r="A820" s="715">
        <v>4400</v>
      </c>
      <c r="B820" s="633" t="s">
        <v>35486</v>
      </c>
      <c r="C820" s="715" t="s">
        <v>165</v>
      </c>
      <c r="D820" s="715" t="s">
        <v>40839</v>
      </c>
      <c r="E820" s="716">
        <v>26.58</v>
      </c>
    </row>
    <row r="821" spans="1:5" ht="29">
      <c r="A821" s="715">
        <v>2729</v>
      </c>
      <c r="B821" s="633" t="s">
        <v>35487</v>
      </c>
      <c r="C821" s="715" t="s">
        <v>103</v>
      </c>
      <c r="D821" s="715" t="s">
        <v>40839</v>
      </c>
      <c r="E821" s="716">
        <v>32.65</v>
      </c>
    </row>
    <row r="822" spans="1:5" ht="29">
      <c r="A822" s="715">
        <v>37106</v>
      </c>
      <c r="B822" s="633" t="s">
        <v>35488</v>
      </c>
      <c r="C822" s="715" t="s">
        <v>103</v>
      </c>
      <c r="D822" s="715" t="s">
        <v>40839</v>
      </c>
      <c r="E822" s="716">
        <v>4929.7700000000004</v>
      </c>
    </row>
    <row r="823" spans="1:5" ht="29">
      <c r="A823" s="715">
        <v>11869</v>
      </c>
      <c r="B823" s="633" t="s">
        <v>35489</v>
      </c>
      <c r="C823" s="715" t="s">
        <v>103</v>
      </c>
      <c r="D823" s="715" t="s">
        <v>40839</v>
      </c>
      <c r="E823" s="716">
        <v>985.95</v>
      </c>
    </row>
    <row r="824" spans="1:5" ht="29">
      <c r="A824" s="715">
        <v>43981</v>
      </c>
      <c r="B824" s="633" t="s">
        <v>35490</v>
      </c>
      <c r="C824" s="715" t="s">
        <v>103</v>
      </c>
      <c r="D824" s="715" t="s">
        <v>40839</v>
      </c>
      <c r="E824" s="716">
        <v>7429.11</v>
      </c>
    </row>
    <row r="825" spans="1:5" ht="29">
      <c r="A825" s="715">
        <v>37104</v>
      </c>
      <c r="B825" s="633" t="s">
        <v>35491</v>
      </c>
      <c r="C825" s="715" t="s">
        <v>103</v>
      </c>
      <c r="D825" s="715" t="s">
        <v>40839</v>
      </c>
      <c r="E825" s="716">
        <v>1237.3900000000001</v>
      </c>
    </row>
    <row r="826" spans="1:5" ht="29">
      <c r="A826" s="715">
        <v>43982</v>
      </c>
      <c r="B826" s="633" t="s">
        <v>35492</v>
      </c>
      <c r="C826" s="715" t="s">
        <v>103</v>
      </c>
      <c r="D826" s="715" t="s">
        <v>40839</v>
      </c>
      <c r="E826" s="716">
        <v>11736.13</v>
      </c>
    </row>
    <row r="827" spans="1:5" ht="29">
      <c r="A827" s="715">
        <v>43978</v>
      </c>
      <c r="B827" s="633" t="s">
        <v>35493</v>
      </c>
      <c r="C827" s="715" t="s">
        <v>103</v>
      </c>
      <c r="D827" s="715" t="s">
        <v>40839</v>
      </c>
      <c r="E827" s="716">
        <v>1833.79</v>
      </c>
    </row>
    <row r="828" spans="1:5" ht="29">
      <c r="A828" s="715">
        <v>11871</v>
      </c>
      <c r="B828" s="633" t="s">
        <v>35494</v>
      </c>
      <c r="C828" s="715" t="s">
        <v>103</v>
      </c>
      <c r="D828" s="715" t="s">
        <v>40839</v>
      </c>
      <c r="E828" s="716">
        <v>459.6</v>
      </c>
    </row>
    <row r="829" spans="1:5" ht="29">
      <c r="A829" s="715">
        <v>37105</v>
      </c>
      <c r="B829" s="633" t="s">
        <v>35495</v>
      </c>
      <c r="C829" s="715" t="s">
        <v>103</v>
      </c>
      <c r="D829" s="715" t="s">
        <v>40839</v>
      </c>
      <c r="E829" s="716">
        <v>2827.91</v>
      </c>
    </row>
    <row r="830" spans="1:5" ht="29">
      <c r="A830" s="715">
        <v>43980</v>
      </c>
      <c r="B830" s="633" t="s">
        <v>35496</v>
      </c>
      <c r="C830" s="715" t="s">
        <v>103</v>
      </c>
      <c r="D830" s="715" t="s">
        <v>40839</v>
      </c>
      <c r="E830" s="716">
        <v>3521.86</v>
      </c>
    </row>
    <row r="831" spans="1:5" ht="29">
      <c r="A831" s="715">
        <v>43979</v>
      </c>
      <c r="B831" s="633" t="s">
        <v>35497</v>
      </c>
      <c r="C831" s="715" t="s">
        <v>103</v>
      </c>
      <c r="D831" s="715" t="s">
        <v>40839</v>
      </c>
      <c r="E831" s="716">
        <v>661.72</v>
      </c>
    </row>
    <row r="832" spans="1:5" ht="29">
      <c r="A832" s="715">
        <v>11868</v>
      </c>
      <c r="B832" s="633" t="s">
        <v>35498</v>
      </c>
      <c r="C832" s="715" t="s">
        <v>103</v>
      </c>
      <c r="D832" s="715" t="s">
        <v>40839</v>
      </c>
      <c r="E832" s="716">
        <v>639.95000000000005</v>
      </c>
    </row>
    <row r="833" spans="1:5">
      <c r="A833" s="715">
        <v>34636</v>
      </c>
      <c r="B833" s="633" t="s">
        <v>35499</v>
      </c>
      <c r="C833" s="715" t="s">
        <v>103</v>
      </c>
      <c r="D833" s="715" t="s">
        <v>28018</v>
      </c>
      <c r="E833" s="716">
        <v>454.45</v>
      </c>
    </row>
    <row r="834" spans="1:5">
      <c r="A834" s="715">
        <v>34639</v>
      </c>
      <c r="B834" s="633" t="s">
        <v>35500</v>
      </c>
      <c r="C834" s="715" t="s">
        <v>103</v>
      </c>
      <c r="D834" s="715" t="s">
        <v>40839</v>
      </c>
      <c r="E834" s="716">
        <v>1048.95</v>
      </c>
    </row>
    <row r="835" spans="1:5">
      <c r="A835" s="715">
        <v>34640</v>
      </c>
      <c r="B835" s="633" t="s">
        <v>35501</v>
      </c>
      <c r="C835" s="715" t="s">
        <v>103</v>
      </c>
      <c r="D835" s="715" t="s">
        <v>40839</v>
      </c>
      <c r="E835" s="716">
        <v>1189.8699999999999</v>
      </c>
    </row>
    <row r="836" spans="1:5">
      <c r="A836" s="715">
        <v>43977</v>
      </c>
      <c r="B836" s="633" t="s">
        <v>35502</v>
      </c>
      <c r="C836" s="715" t="s">
        <v>103</v>
      </c>
      <c r="D836" s="715" t="s">
        <v>40839</v>
      </c>
      <c r="E836" s="716">
        <v>2051.2600000000002</v>
      </c>
    </row>
    <row r="837" spans="1:5">
      <c r="A837" s="715">
        <v>34637</v>
      </c>
      <c r="B837" s="633" t="s">
        <v>35503</v>
      </c>
      <c r="C837" s="715" t="s">
        <v>103</v>
      </c>
      <c r="D837" s="715" t="s">
        <v>40839</v>
      </c>
      <c r="E837" s="716">
        <v>274.82</v>
      </c>
    </row>
    <row r="838" spans="1:5">
      <c r="A838" s="715">
        <v>34638</v>
      </c>
      <c r="B838" s="633" t="s">
        <v>35504</v>
      </c>
      <c r="C838" s="715" t="s">
        <v>103</v>
      </c>
      <c r="D838" s="715" t="s">
        <v>40839</v>
      </c>
      <c r="E838" s="716">
        <v>425.1</v>
      </c>
    </row>
    <row r="839" spans="1:5" ht="29">
      <c r="A839" s="715">
        <v>34641</v>
      </c>
      <c r="B839" s="633" t="s">
        <v>35505</v>
      </c>
      <c r="C839" s="715" t="s">
        <v>103</v>
      </c>
      <c r="D839" s="715" t="s">
        <v>40839</v>
      </c>
      <c r="E839" s="716">
        <v>125.44</v>
      </c>
    </row>
    <row r="840" spans="1:5" ht="29">
      <c r="A840" s="715">
        <v>43434</v>
      </c>
      <c r="B840" s="633" t="s">
        <v>35506</v>
      </c>
      <c r="C840" s="715" t="s">
        <v>103</v>
      </c>
      <c r="D840" s="715" t="s">
        <v>40839</v>
      </c>
      <c r="E840" s="716">
        <v>135.63</v>
      </c>
    </row>
    <row r="841" spans="1:5" ht="29">
      <c r="A841" s="715">
        <v>43435</v>
      </c>
      <c r="B841" s="633" t="s">
        <v>35507</v>
      </c>
      <c r="C841" s="715" t="s">
        <v>103</v>
      </c>
      <c r="D841" s="715" t="s">
        <v>40839</v>
      </c>
      <c r="E841" s="716">
        <v>248.65</v>
      </c>
    </row>
    <row r="842" spans="1:5" ht="29">
      <c r="A842" s="715">
        <v>43436</v>
      </c>
      <c r="B842" s="633" t="s">
        <v>35508</v>
      </c>
      <c r="C842" s="715" t="s">
        <v>103</v>
      </c>
      <c r="D842" s="715" t="s">
        <v>40839</v>
      </c>
      <c r="E842" s="716">
        <v>435.14</v>
      </c>
    </row>
    <row r="843" spans="1:5" ht="29">
      <c r="A843" s="715">
        <v>43437</v>
      </c>
      <c r="B843" s="633" t="s">
        <v>35509</v>
      </c>
      <c r="C843" s="715" t="s">
        <v>103</v>
      </c>
      <c r="D843" s="715" t="s">
        <v>40839</v>
      </c>
      <c r="E843" s="716">
        <v>788.91</v>
      </c>
    </row>
    <row r="844" spans="1:5" ht="29">
      <c r="A844" s="715">
        <v>43438</v>
      </c>
      <c r="B844" s="633" t="s">
        <v>35510</v>
      </c>
      <c r="C844" s="715" t="s">
        <v>103</v>
      </c>
      <c r="D844" s="715" t="s">
        <v>40839</v>
      </c>
      <c r="E844" s="716">
        <v>1412.81</v>
      </c>
    </row>
    <row r="845" spans="1:5" ht="29">
      <c r="A845" s="715">
        <v>41627</v>
      </c>
      <c r="B845" s="633" t="s">
        <v>35511</v>
      </c>
      <c r="C845" s="715" t="s">
        <v>103</v>
      </c>
      <c r="D845" s="715" t="s">
        <v>40839</v>
      </c>
      <c r="E845" s="716">
        <v>209.09</v>
      </c>
    </row>
    <row r="846" spans="1:5" ht="29">
      <c r="A846" s="715">
        <v>41628</v>
      </c>
      <c r="B846" s="633" t="s">
        <v>35512</v>
      </c>
      <c r="C846" s="715" t="s">
        <v>103</v>
      </c>
      <c r="D846" s="715" t="s">
        <v>40839</v>
      </c>
      <c r="E846" s="716">
        <v>384.28</v>
      </c>
    </row>
    <row r="847" spans="1:5" ht="29">
      <c r="A847" s="715">
        <v>41629</v>
      </c>
      <c r="B847" s="633" t="s">
        <v>35513</v>
      </c>
      <c r="C847" s="715" t="s">
        <v>103</v>
      </c>
      <c r="D847" s="715" t="s">
        <v>40839</v>
      </c>
      <c r="E847" s="716">
        <v>488.26</v>
      </c>
    </row>
    <row r="848" spans="1:5" ht="29">
      <c r="A848" s="715">
        <v>43429</v>
      </c>
      <c r="B848" s="633" t="s">
        <v>35514</v>
      </c>
      <c r="C848" s="715" t="s">
        <v>103</v>
      </c>
      <c r="D848" s="715" t="s">
        <v>40839</v>
      </c>
      <c r="E848" s="716">
        <v>108.18</v>
      </c>
    </row>
    <row r="849" spans="1:5" ht="29">
      <c r="A849" s="715">
        <v>43430</v>
      </c>
      <c r="B849" s="633" t="s">
        <v>35515</v>
      </c>
      <c r="C849" s="715" t="s">
        <v>103</v>
      </c>
      <c r="D849" s="715" t="s">
        <v>40839</v>
      </c>
      <c r="E849" s="716">
        <v>179.71</v>
      </c>
    </row>
    <row r="850" spans="1:5" ht="29">
      <c r="A850" s="715">
        <v>43431</v>
      </c>
      <c r="B850" s="633" t="s">
        <v>35516</v>
      </c>
      <c r="C850" s="715" t="s">
        <v>103</v>
      </c>
      <c r="D850" s="715" t="s">
        <v>40839</v>
      </c>
      <c r="E850" s="716">
        <v>348.11</v>
      </c>
    </row>
    <row r="851" spans="1:5" ht="29">
      <c r="A851" s="715">
        <v>43432</v>
      </c>
      <c r="B851" s="633" t="s">
        <v>35517</v>
      </c>
      <c r="C851" s="715" t="s">
        <v>103</v>
      </c>
      <c r="D851" s="715" t="s">
        <v>40839</v>
      </c>
      <c r="E851" s="716">
        <v>723.36</v>
      </c>
    </row>
    <row r="852" spans="1:5" ht="29">
      <c r="A852" s="715">
        <v>43433</v>
      </c>
      <c r="B852" s="633" t="s">
        <v>35518</v>
      </c>
      <c r="C852" s="715" t="s">
        <v>103</v>
      </c>
      <c r="D852" s="715" t="s">
        <v>40839</v>
      </c>
      <c r="E852" s="716">
        <v>1140.42</v>
      </c>
    </row>
    <row r="853" spans="1:5" ht="29">
      <c r="A853" s="715">
        <v>43094</v>
      </c>
      <c r="B853" s="633" t="s">
        <v>35519</v>
      </c>
      <c r="C853" s="715" t="s">
        <v>103</v>
      </c>
      <c r="D853" s="715" t="s">
        <v>40839</v>
      </c>
      <c r="E853" s="716">
        <v>242.46</v>
      </c>
    </row>
    <row r="854" spans="1:5" ht="29">
      <c r="A854" s="715">
        <v>43093</v>
      </c>
      <c r="B854" s="633" t="s">
        <v>35520</v>
      </c>
      <c r="C854" s="715" t="s">
        <v>103</v>
      </c>
      <c r="D854" s="715" t="s">
        <v>40839</v>
      </c>
      <c r="E854" s="716">
        <v>257.66000000000003</v>
      </c>
    </row>
    <row r="855" spans="1:5" ht="43">
      <c r="A855" s="715">
        <v>11694</v>
      </c>
      <c r="B855" s="633" t="s">
        <v>35521</v>
      </c>
      <c r="C855" s="715" t="s">
        <v>103</v>
      </c>
      <c r="D855" s="715" t="s">
        <v>40839</v>
      </c>
      <c r="E855" s="716">
        <v>1105.26</v>
      </c>
    </row>
    <row r="856" spans="1:5" ht="29">
      <c r="A856" s="715">
        <v>1030</v>
      </c>
      <c r="B856" s="633" t="s">
        <v>35522</v>
      </c>
      <c r="C856" s="715" t="s">
        <v>103</v>
      </c>
      <c r="D856" s="715" t="s">
        <v>28018</v>
      </c>
      <c r="E856" s="716">
        <v>50</v>
      </c>
    </row>
    <row r="857" spans="1:5" ht="29">
      <c r="A857" s="715">
        <v>11881</v>
      </c>
      <c r="B857" s="633" t="s">
        <v>35523</v>
      </c>
      <c r="C857" s="715" t="s">
        <v>103</v>
      </c>
      <c r="D857" s="715" t="s">
        <v>40839</v>
      </c>
      <c r="E857" s="716">
        <v>192.14</v>
      </c>
    </row>
    <row r="858" spans="1:5" ht="29">
      <c r="A858" s="715">
        <v>35277</v>
      </c>
      <c r="B858" s="633" t="s">
        <v>35524</v>
      </c>
      <c r="C858" s="715" t="s">
        <v>103</v>
      </c>
      <c r="D858" s="715" t="s">
        <v>40839</v>
      </c>
      <c r="E858" s="716">
        <v>400.25</v>
      </c>
    </row>
    <row r="859" spans="1:5" ht="43">
      <c r="A859" s="715">
        <v>10521</v>
      </c>
      <c r="B859" s="633" t="s">
        <v>35525</v>
      </c>
      <c r="C859" s="715" t="s">
        <v>103</v>
      </c>
      <c r="D859" s="715" t="s">
        <v>40839</v>
      </c>
      <c r="E859" s="716">
        <v>403.25</v>
      </c>
    </row>
    <row r="860" spans="1:5" ht="43">
      <c r="A860" s="715">
        <v>10885</v>
      </c>
      <c r="B860" s="633" t="s">
        <v>35526</v>
      </c>
      <c r="C860" s="715" t="s">
        <v>103</v>
      </c>
      <c r="D860" s="715" t="s">
        <v>40839</v>
      </c>
      <c r="E860" s="716">
        <v>510.07</v>
      </c>
    </row>
    <row r="861" spans="1:5" ht="57">
      <c r="A861" s="715">
        <v>20962</v>
      </c>
      <c r="B861" s="633" t="s">
        <v>35527</v>
      </c>
      <c r="C861" s="715" t="s">
        <v>103</v>
      </c>
      <c r="D861" s="715" t="s">
        <v>28018</v>
      </c>
      <c r="E861" s="716">
        <v>422.46</v>
      </c>
    </row>
    <row r="862" spans="1:5" ht="57">
      <c r="A862" s="715">
        <v>20963</v>
      </c>
      <c r="B862" s="633" t="s">
        <v>35528</v>
      </c>
      <c r="C862" s="715" t="s">
        <v>103</v>
      </c>
      <c r="D862" s="715" t="s">
        <v>40839</v>
      </c>
      <c r="E862" s="716">
        <v>516.07000000000005</v>
      </c>
    </row>
    <row r="863" spans="1:5" ht="29">
      <c r="A863" s="715">
        <v>34643</v>
      </c>
      <c r="B863" s="633" t="s">
        <v>40846</v>
      </c>
      <c r="C863" s="715" t="s">
        <v>103</v>
      </c>
      <c r="D863" s="715" t="s">
        <v>40839</v>
      </c>
      <c r="E863" s="716">
        <v>46.09</v>
      </c>
    </row>
    <row r="864" spans="1:5" ht="29">
      <c r="A864" s="715">
        <v>41480</v>
      </c>
      <c r="B864" s="633" t="s">
        <v>40847</v>
      </c>
      <c r="C864" s="715" t="s">
        <v>103</v>
      </c>
      <c r="D864" s="715" t="s">
        <v>40839</v>
      </c>
      <c r="E864" s="716">
        <v>53.44</v>
      </c>
    </row>
    <row r="865" spans="1:5" ht="29">
      <c r="A865" s="715">
        <v>41474</v>
      </c>
      <c r="B865" s="633" t="s">
        <v>40848</v>
      </c>
      <c r="C865" s="715" t="s">
        <v>103</v>
      </c>
      <c r="D865" s="715" t="s">
        <v>40839</v>
      </c>
      <c r="E865" s="716">
        <v>85.37</v>
      </c>
    </row>
    <row r="866" spans="1:5" ht="29">
      <c r="A866" s="715">
        <v>41475</v>
      </c>
      <c r="B866" s="633" t="s">
        <v>40849</v>
      </c>
      <c r="C866" s="715" t="s">
        <v>103</v>
      </c>
      <c r="D866" s="715" t="s">
        <v>40839</v>
      </c>
      <c r="E866" s="716">
        <v>72.84</v>
      </c>
    </row>
    <row r="867" spans="1:5" ht="29">
      <c r="A867" s="715">
        <v>41476</v>
      </c>
      <c r="B867" s="633" t="s">
        <v>40850</v>
      </c>
      <c r="C867" s="715" t="s">
        <v>103</v>
      </c>
      <c r="D867" s="715" t="s">
        <v>40839</v>
      </c>
      <c r="E867" s="716">
        <v>159.5</v>
      </c>
    </row>
    <row r="868" spans="1:5">
      <c r="A868" s="715">
        <v>2555</v>
      </c>
      <c r="B868" s="633" t="s">
        <v>35529</v>
      </c>
      <c r="C868" s="715" t="s">
        <v>103</v>
      </c>
      <c r="D868" s="715" t="s">
        <v>40839</v>
      </c>
      <c r="E868" s="716">
        <v>1.36</v>
      </c>
    </row>
    <row r="869" spans="1:5">
      <c r="A869" s="715">
        <v>2556</v>
      </c>
      <c r="B869" s="633" t="s">
        <v>35530</v>
      </c>
      <c r="C869" s="715" t="s">
        <v>103</v>
      </c>
      <c r="D869" s="715" t="s">
        <v>40839</v>
      </c>
      <c r="E869" s="716">
        <v>1.4</v>
      </c>
    </row>
    <row r="870" spans="1:5">
      <c r="A870" s="715">
        <v>2557</v>
      </c>
      <c r="B870" s="633" t="s">
        <v>35531</v>
      </c>
      <c r="C870" s="715" t="s">
        <v>103</v>
      </c>
      <c r="D870" s="715" t="s">
        <v>40839</v>
      </c>
      <c r="E870" s="716">
        <v>2.97</v>
      </c>
    </row>
    <row r="871" spans="1:5" ht="29">
      <c r="A871" s="715">
        <v>10569</v>
      </c>
      <c r="B871" s="633" t="s">
        <v>35532</v>
      </c>
      <c r="C871" s="715" t="s">
        <v>103</v>
      </c>
      <c r="D871" s="715" t="s">
        <v>40839</v>
      </c>
      <c r="E871" s="716">
        <v>2.97</v>
      </c>
    </row>
    <row r="872" spans="1:5" ht="29">
      <c r="A872" s="715">
        <v>39810</v>
      </c>
      <c r="B872" s="633" t="s">
        <v>35533</v>
      </c>
      <c r="C872" s="715" t="s">
        <v>103</v>
      </c>
      <c r="D872" s="715" t="s">
        <v>40839</v>
      </c>
      <c r="E872" s="716">
        <v>32.72</v>
      </c>
    </row>
    <row r="873" spans="1:5" ht="29">
      <c r="A873" s="715">
        <v>39811</v>
      </c>
      <c r="B873" s="633" t="s">
        <v>35534</v>
      </c>
      <c r="C873" s="715" t="s">
        <v>103</v>
      </c>
      <c r="D873" s="715" t="s">
        <v>40839</v>
      </c>
      <c r="E873" s="716">
        <v>40.020000000000003</v>
      </c>
    </row>
    <row r="874" spans="1:5" ht="29">
      <c r="A874" s="715">
        <v>39812</v>
      </c>
      <c r="B874" s="633" t="s">
        <v>35535</v>
      </c>
      <c r="C874" s="715" t="s">
        <v>103</v>
      </c>
      <c r="D874" s="715" t="s">
        <v>40839</v>
      </c>
      <c r="E874" s="716">
        <v>65.81</v>
      </c>
    </row>
    <row r="875" spans="1:5" ht="29">
      <c r="A875" s="715">
        <v>43096</v>
      </c>
      <c r="B875" s="633" t="s">
        <v>35536</v>
      </c>
      <c r="C875" s="715" t="s">
        <v>103</v>
      </c>
      <c r="D875" s="715" t="s">
        <v>40839</v>
      </c>
      <c r="E875" s="716">
        <v>218.13</v>
      </c>
    </row>
    <row r="876" spans="1:5" ht="29">
      <c r="A876" s="715">
        <v>43102</v>
      </c>
      <c r="B876" s="633" t="s">
        <v>35537</v>
      </c>
      <c r="C876" s="715" t="s">
        <v>103</v>
      </c>
      <c r="D876" s="715" t="s">
        <v>40839</v>
      </c>
      <c r="E876" s="716">
        <v>132.63999999999999</v>
      </c>
    </row>
    <row r="877" spans="1:5" ht="29">
      <c r="A877" s="715">
        <v>43103</v>
      </c>
      <c r="B877" s="633" t="s">
        <v>35538</v>
      </c>
      <c r="C877" s="715" t="s">
        <v>103</v>
      </c>
      <c r="D877" s="715" t="s">
        <v>40839</v>
      </c>
      <c r="E877" s="716">
        <v>195.31</v>
      </c>
    </row>
    <row r="878" spans="1:5" ht="29">
      <c r="A878" s="715">
        <v>43098</v>
      </c>
      <c r="B878" s="633" t="s">
        <v>35539</v>
      </c>
      <c r="C878" s="715" t="s">
        <v>103</v>
      </c>
      <c r="D878" s="715" t="s">
        <v>40839</v>
      </c>
      <c r="E878" s="716">
        <v>73.89</v>
      </c>
    </row>
    <row r="879" spans="1:5" ht="29">
      <c r="A879" s="715">
        <v>43097</v>
      </c>
      <c r="B879" s="633" t="s">
        <v>35540</v>
      </c>
      <c r="C879" s="715" t="s">
        <v>103</v>
      </c>
      <c r="D879" s="715" t="s">
        <v>40839</v>
      </c>
      <c r="E879" s="716">
        <v>43.77</v>
      </c>
    </row>
    <row r="880" spans="1:5">
      <c r="A880" s="715">
        <v>43104</v>
      </c>
      <c r="B880" s="633" t="s">
        <v>35541</v>
      </c>
      <c r="C880" s="715" t="s">
        <v>103</v>
      </c>
      <c r="D880" s="715" t="s">
        <v>40839</v>
      </c>
      <c r="E880" s="716">
        <v>517.82000000000005</v>
      </c>
    </row>
    <row r="881" spans="1:5" ht="29">
      <c r="A881" s="715">
        <v>39771</v>
      </c>
      <c r="B881" s="633" t="s">
        <v>35542</v>
      </c>
      <c r="C881" s="715" t="s">
        <v>103</v>
      </c>
      <c r="D881" s="715" t="s">
        <v>40839</v>
      </c>
      <c r="E881" s="716">
        <v>28.53</v>
      </c>
    </row>
    <row r="882" spans="1:5" ht="29">
      <c r="A882" s="715">
        <v>39772</v>
      </c>
      <c r="B882" s="633" t="s">
        <v>35543</v>
      </c>
      <c r="C882" s="715" t="s">
        <v>103</v>
      </c>
      <c r="D882" s="715" t="s">
        <v>40839</v>
      </c>
      <c r="E882" s="716">
        <v>56.07</v>
      </c>
    </row>
    <row r="883" spans="1:5" ht="29">
      <c r="A883" s="715">
        <v>39773</v>
      </c>
      <c r="B883" s="633" t="s">
        <v>35544</v>
      </c>
      <c r="C883" s="715" t="s">
        <v>103</v>
      </c>
      <c r="D883" s="715" t="s">
        <v>40839</v>
      </c>
      <c r="E883" s="716">
        <v>90.13</v>
      </c>
    </row>
    <row r="884" spans="1:5" ht="29">
      <c r="A884" s="715">
        <v>39774</v>
      </c>
      <c r="B884" s="633" t="s">
        <v>35545</v>
      </c>
      <c r="C884" s="715" t="s">
        <v>103</v>
      </c>
      <c r="D884" s="715" t="s">
        <v>40839</v>
      </c>
      <c r="E884" s="716">
        <v>134.81</v>
      </c>
    </row>
    <row r="885" spans="1:5" ht="29">
      <c r="A885" s="715">
        <v>39775</v>
      </c>
      <c r="B885" s="633" t="s">
        <v>35546</v>
      </c>
      <c r="C885" s="715" t="s">
        <v>103</v>
      </c>
      <c r="D885" s="715" t="s">
        <v>40839</v>
      </c>
      <c r="E885" s="716">
        <v>179.93</v>
      </c>
    </row>
    <row r="886" spans="1:5" ht="29">
      <c r="A886" s="715">
        <v>39776</v>
      </c>
      <c r="B886" s="633" t="s">
        <v>35547</v>
      </c>
      <c r="C886" s="715" t="s">
        <v>103</v>
      </c>
      <c r="D886" s="715" t="s">
        <v>40839</v>
      </c>
      <c r="E886" s="716">
        <v>217.45</v>
      </c>
    </row>
    <row r="887" spans="1:5" ht="29">
      <c r="A887" s="715">
        <v>39777</v>
      </c>
      <c r="B887" s="633" t="s">
        <v>35548</v>
      </c>
      <c r="C887" s="715" t="s">
        <v>103</v>
      </c>
      <c r="D887" s="715" t="s">
        <v>40839</v>
      </c>
      <c r="E887" s="716">
        <v>275.61</v>
      </c>
    </row>
    <row r="888" spans="1:5" ht="29">
      <c r="A888" s="715">
        <v>20254</v>
      </c>
      <c r="B888" s="633" t="s">
        <v>35549</v>
      </c>
      <c r="C888" s="715" t="s">
        <v>103</v>
      </c>
      <c r="D888" s="715" t="s">
        <v>40839</v>
      </c>
      <c r="E888" s="716">
        <v>20</v>
      </c>
    </row>
    <row r="889" spans="1:5" ht="29">
      <c r="A889" s="715">
        <v>20253</v>
      </c>
      <c r="B889" s="633" t="s">
        <v>35550</v>
      </c>
      <c r="C889" s="715" t="s">
        <v>103</v>
      </c>
      <c r="D889" s="715" t="s">
        <v>40839</v>
      </c>
      <c r="E889" s="716">
        <v>65.69</v>
      </c>
    </row>
    <row r="890" spans="1:5">
      <c r="A890" s="715">
        <v>1872</v>
      </c>
      <c r="B890" s="633" t="s">
        <v>35551</v>
      </c>
      <c r="C890" s="715" t="s">
        <v>103</v>
      </c>
      <c r="D890" s="715" t="s">
        <v>40839</v>
      </c>
      <c r="E890" s="716">
        <v>2.02</v>
      </c>
    </row>
    <row r="891" spans="1:5">
      <c r="A891" s="715">
        <v>1873</v>
      </c>
      <c r="B891" s="633" t="s">
        <v>35552</v>
      </c>
      <c r="C891" s="715" t="s">
        <v>103</v>
      </c>
      <c r="D891" s="715" t="s">
        <v>40839</v>
      </c>
      <c r="E891" s="716">
        <v>4.01</v>
      </c>
    </row>
    <row r="892" spans="1:5" ht="29">
      <c r="A892" s="715">
        <v>14055</v>
      </c>
      <c r="B892" s="633" t="s">
        <v>35553</v>
      </c>
      <c r="C892" s="715" t="s">
        <v>103</v>
      </c>
      <c r="D892" s="715" t="s">
        <v>40839</v>
      </c>
      <c r="E892" s="716">
        <v>600.27</v>
      </c>
    </row>
    <row r="893" spans="1:5" ht="29">
      <c r="A893" s="715">
        <v>11247</v>
      </c>
      <c r="B893" s="633" t="s">
        <v>35554</v>
      </c>
      <c r="C893" s="715" t="s">
        <v>103</v>
      </c>
      <c r="D893" s="715" t="s">
        <v>40839</v>
      </c>
      <c r="E893" s="716">
        <v>1263.1099999999999</v>
      </c>
    </row>
    <row r="894" spans="1:5" ht="29">
      <c r="A894" s="715">
        <v>11250</v>
      </c>
      <c r="B894" s="633" t="s">
        <v>35555</v>
      </c>
      <c r="C894" s="715" t="s">
        <v>103</v>
      </c>
      <c r="D894" s="715" t="s">
        <v>40839</v>
      </c>
      <c r="E894" s="716">
        <v>54.38</v>
      </c>
    </row>
    <row r="895" spans="1:5" ht="29">
      <c r="A895" s="715">
        <v>11249</v>
      </c>
      <c r="B895" s="633" t="s">
        <v>35556</v>
      </c>
      <c r="C895" s="715" t="s">
        <v>103</v>
      </c>
      <c r="D895" s="715" t="s">
        <v>40839</v>
      </c>
      <c r="E895" s="716">
        <v>2467.3000000000002</v>
      </c>
    </row>
    <row r="896" spans="1:5" ht="29">
      <c r="A896" s="715">
        <v>11251</v>
      </c>
      <c r="B896" s="633" t="s">
        <v>35557</v>
      </c>
      <c r="C896" s="715" t="s">
        <v>103</v>
      </c>
      <c r="D896" s="715" t="s">
        <v>40839</v>
      </c>
      <c r="E896" s="716">
        <v>120.45</v>
      </c>
    </row>
    <row r="897" spans="1:5" ht="29">
      <c r="A897" s="715">
        <v>11253</v>
      </c>
      <c r="B897" s="633" t="s">
        <v>35558</v>
      </c>
      <c r="C897" s="715" t="s">
        <v>103</v>
      </c>
      <c r="D897" s="715" t="s">
        <v>40839</v>
      </c>
      <c r="E897" s="716">
        <v>199.6</v>
      </c>
    </row>
    <row r="898" spans="1:5" ht="29">
      <c r="A898" s="715">
        <v>11255</v>
      </c>
      <c r="B898" s="633" t="s">
        <v>35559</v>
      </c>
      <c r="C898" s="715" t="s">
        <v>103</v>
      </c>
      <c r="D898" s="715" t="s">
        <v>40839</v>
      </c>
      <c r="E898" s="716">
        <v>298.39999999999998</v>
      </c>
    </row>
    <row r="899" spans="1:5" ht="29">
      <c r="A899" s="715">
        <v>11256</v>
      </c>
      <c r="B899" s="633" t="s">
        <v>35560</v>
      </c>
      <c r="C899" s="715" t="s">
        <v>103</v>
      </c>
      <c r="D899" s="715" t="s">
        <v>40839</v>
      </c>
      <c r="E899" s="716">
        <v>373.77</v>
      </c>
    </row>
    <row r="900" spans="1:5" ht="29">
      <c r="A900" s="715">
        <v>39693</v>
      </c>
      <c r="B900" s="633" t="s">
        <v>35561</v>
      </c>
      <c r="C900" s="715" t="s">
        <v>103</v>
      </c>
      <c r="D900" s="715" t="s">
        <v>40839</v>
      </c>
      <c r="E900" s="716">
        <v>2347.4899999999998</v>
      </c>
    </row>
    <row r="901" spans="1:5" ht="29">
      <c r="A901" s="715">
        <v>39692</v>
      </c>
      <c r="B901" s="633" t="s">
        <v>35562</v>
      </c>
      <c r="C901" s="715" t="s">
        <v>103</v>
      </c>
      <c r="D901" s="715" t="s">
        <v>40839</v>
      </c>
      <c r="E901" s="716">
        <v>751.14</v>
      </c>
    </row>
    <row r="902" spans="1:5" ht="29">
      <c r="A902" s="715">
        <v>1062</v>
      </c>
      <c r="B902" s="633" t="s">
        <v>35563</v>
      </c>
      <c r="C902" s="715" t="s">
        <v>103</v>
      </c>
      <c r="D902" s="715" t="s">
        <v>40839</v>
      </c>
      <c r="E902" s="716">
        <v>238.05</v>
      </c>
    </row>
    <row r="903" spans="1:5" ht="29">
      <c r="A903" s="715">
        <v>39686</v>
      </c>
      <c r="B903" s="633" t="s">
        <v>35564</v>
      </c>
      <c r="C903" s="715" t="s">
        <v>103</v>
      </c>
      <c r="D903" s="715" t="s">
        <v>40839</v>
      </c>
      <c r="E903" s="716">
        <v>385.45</v>
      </c>
    </row>
    <row r="904" spans="1:5" ht="43">
      <c r="A904" s="715">
        <v>43095</v>
      </c>
      <c r="B904" s="633" t="s">
        <v>35565</v>
      </c>
      <c r="C904" s="715" t="s">
        <v>103</v>
      </c>
      <c r="D904" s="715" t="s">
        <v>40839</v>
      </c>
      <c r="E904" s="716">
        <v>143.74</v>
      </c>
    </row>
    <row r="905" spans="1:5" ht="29">
      <c r="A905" s="715">
        <v>1871</v>
      </c>
      <c r="B905" s="633" t="s">
        <v>35566</v>
      </c>
      <c r="C905" s="715" t="s">
        <v>103</v>
      </c>
      <c r="D905" s="715" t="s">
        <v>40839</v>
      </c>
      <c r="E905" s="716">
        <v>3.61</v>
      </c>
    </row>
    <row r="906" spans="1:5" ht="29">
      <c r="A906" s="715">
        <v>12001</v>
      </c>
      <c r="B906" s="633" t="s">
        <v>35567</v>
      </c>
      <c r="C906" s="715" t="s">
        <v>103</v>
      </c>
      <c r="D906" s="715" t="s">
        <v>40839</v>
      </c>
      <c r="E906" s="716">
        <v>5.22</v>
      </c>
    </row>
    <row r="907" spans="1:5" ht="29">
      <c r="A907" s="715">
        <v>11882</v>
      </c>
      <c r="B907" s="633" t="s">
        <v>35568</v>
      </c>
      <c r="C907" s="715" t="s">
        <v>103</v>
      </c>
      <c r="D907" s="715" t="s">
        <v>40839</v>
      </c>
      <c r="E907" s="716">
        <v>137.88999999999999</v>
      </c>
    </row>
    <row r="908" spans="1:5" ht="29">
      <c r="A908" s="715">
        <v>1068</v>
      </c>
      <c r="B908" s="633" t="s">
        <v>35569</v>
      </c>
      <c r="C908" s="715" t="s">
        <v>103</v>
      </c>
      <c r="D908" s="715" t="s">
        <v>40839</v>
      </c>
      <c r="E908" s="716">
        <v>1570.19</v>
      </c>
    </row>
    <row r="909" spans="1:5" ht="29">
      <c r="A909" s="715">
        <v>39690</v>
      </c>
      <c r="B909" s="633" t="s">
        <v>35570</v>
      </c>
      <c r="C909" s="715" t="s">
        <v>103</v>
      </c>
      <c r="D909" s="715" t="s">
        <v>40839</v>
      </c>
      <c r="E909" s="716">
        <v>2634.25</v>
      </c>
    </row>
    <row r="910" spans="1:5" ht="29">
      <c r="A910" s="715">
        <v>39691</v>
      </c>
      <c r="B910" s="633" t="s">
        <v>35571</v>
      </c>
      <c r="C910" s="715" t="s">
        <v>103</v>
      </c>
      <c r="D910" s="715" t="s">
        <v>40839</v>
      </c>
      <c r="E910" s="716">
        <v>3313.15</v>
      </c>
    </row>
    <row r="911" spans="1:5" ht="29">
      <c r="A911" s="715">
        <v>39808</v>
      </c>
      <c r="B911" s="633" t="s">
        <v>35572</v>
      </c>
      <c r="C911" s="715" t="s">
        <v>103</v>
      </c>
      <c r="D911" s="715" t="s">
        <v>40839</v>
      </c>
      <c r="E911" s="716">
        <v>75.040000000000006</v>
      </c>
    </row>
    <row r="912" spans="1:5" ht="29">
      <c r="A912" s="715">
        <v>39809</v>
      </c>
      <c r="B912" s="633" t="s">
        <v>35573</v>
      </c>
      <c r="C912" s="715" t="s">
        <v>103</v>
      </c>
      <c r="D912" s="715" t="s">
        <v>40839</v>
      </c>
      <c r="E912" s="716">
        <v>177.99</v>
      </c>
    </row>
    <row r="913" spans="1:5" ht="29">
      <c r="A913" s="715">
        <v>43439</v>
      </c>
      <c r="B913" s="633" t="s">
        <v>35574</v>
      </c>
      <c r="C913" s="715" t="s">
        <v>103</v>
      </c>
      <c r="D913" s="715" t="s">
        <v>40839</v>
      </c>
      <c r="E913" s="716">
        <v>632.94000000000005</v>
      </c>
    </row>
    <row r="914" spans="1:5">
      <c r="A914" s="715">
        <v>5103</v>
      </c>
      <c r="B914" s="633" t="s">
        <v>35575</v>
      </c>
      <c r="C914" s="715" t="s">
        <v>103</v>
      </c>
      <c r="D914" s="715" t="s">
        <v>40839</v>
      </c>
      <c r="E914" s="716">
        <v>25.34</v>
      </c>
    </row>
    <row r="915" spans="1:5">
      <c r="A915" s="715">
        <v>11880</v>
      </c>
      <c r="B915" s="633" t="s">
        <v>35576</v>
      </c>
      <c r="C915" s="715" t="s">
        <v>103</v>
      </c>
      <c r="D915" s="715" t="s">
        <v>40839</v>
      </c>
      <c r="E915" s="716">
        <v>106.57</v>
      </c>
    </row>
    <row r="916" spans="1:5">
      <c r="A916" s="715">
        <v>11714</v>
      </c>
      <c r="B916" s="633" t="s">
        <v>35577</v>
      </c>
      <c r="C916" s="715" t="s">
        <v>103</v>
      </c>
      <c r="D916" s="715" t="s">
        <v>40839</v>
      </c>
      <c r="E916" s="716">
        <v>72.599999999999994</v>
      </c>
    </row>
    <row r="917" spans="1:5" ht="29">
      <c r="A917" s="715">
        <v>11712</v>
      </c>
      <c r="B917" s="633" t="s">
        <v>35578</v>
      </c>
      <c r="C917" s="715" t="s">
        <v>103</v>
      </c>
      <c r="D917" s="715" t="s">
        <v>28018</v>
      </c>
      <c r="E917" s="716">
        <v>47.41</v>
      </c>
    </row>
    <row r="918" spans="1:5">
      <c r="A918" s="715">
        <v>11717</v>
      </c>
      <c r="B918" s="633" t="s">
        <v>35579</v>
      </c>
      <c r="C918" s="715" t="s">
        <v>103</v>
      </c>
      <c r="D918" s="715" t="s">
        <v>40839</v>
      </c>
      <c r="E918" s="716">
        <v>57.15</v>
      </c>
    </row>
    <row r="919" spans="1:5">
      <c r="A919" s="715">
        <v>1106</v>
      </c>
      <c r="B919" s="633" t="s">
        <v>35580</v>
      </c>
      <c r="C919" s="715" t="s">
        <v>207</v>
      </c>
      <c r="D919" s="715" t="s">
        <v>28018</v>
      </c>
      <c r="E919" s="716">
        <v>1.04</v>
      </c>
    </row>
    <row r="920" spans="1:5">
      <c r="A920" s="715">
        <v>11161</v>
      </c>
      <c r="B920" s="633" t="s">
        <v>35581</v>
      </c>
      <c r="C920" s="715" t="s">
        <v>207</v>
      </c>
      <c r="D920" s="715" t="s">
        <v>40839</v>
      </c>
      <c r="E920" s="716">
        <v>1.73</v>
      </c>
    </row>
    <row r="921" spans="1:5">
      <c r="A921" s="715">
        <v>1107</v>
      </c>
      <c r="B921" s="633" t="s">
        <v>35582</v>
      </c>
      <c r="C921" s="715" t="s">
        <v>207</v>
      </c>
      <c r="D921" s="715" t="s">
        <v>40839</v>
      </c>
      <c r="E921" s="716">
        <v>0.88</v>
      </c>
    </row>
    <row r="922" spans="1:5">
      <c r="A922" s="715">
        <v>44479</v>
      </c>
      <c r="B922" s="633" t="s">
        <v>40996</v>
      </c>
      <c r="C922" s="715" t="s">
        <v>207</v>
      </c>
      <c r="D922" s="715" t="s">
        <v>40839</v>
      </c>
      <c r="E922" s="716">
        <v>0.13</v>
      </c>
    </row>
    <row r="923" spans="1:5">
      <c r="A923" s="715">
        <v>4759</v>
      </c>
      <c r="B923" s="633" t="s">
        <v>35583</v>
      </c>
      <c r="C923" s="715" t="s">
        <v>11</v>
      </c>
      <c r="D923" s="715" t="s">
        <v>40839</v>
      </c>
      <c r="E923" s="716">
        <v>26.01</v>
      </c>
    </row>
    <row r="924" spans="1:5">
      <c r="A924" s="715">
        <v>41068</v>
      </c>
      <c r="B924" s="633" t="s">
        <v>35584</v>
      </c>
      <c r="C924" s="715" t="s">
        <v>27629</v>
      </c>
      <c r="D924" s="715" t="s">
        <v>40839</v>
      </c>
      <c r="E924" s="716">
        <v>4560.54</v>
      </c>
    </row>
    <row r="925" spans="1:5" ht="29">
      <c r="A925" s="715">
        <v>12618</v>
      </c>
      <c r="B925" s="633" t="s">
        <v>35585</v>
      </c>
      <c r="C925" s="715" t="s">
        <v>103</v>
      </c>
      <c r="D925" s="715" t="s">
        <v>40839</v>
      </c>
      <c r="E925" s="716">
        <v>200.77</v>
      </c>
    </row>
    <row r="926" spans="1:5">
      <c r="A926" s="715">
        <v>1108</v>
      </c>
      <c r="B926" s="633" t="s">
        <v>35586</v>
      </c>
      <c r="C926" s="715" t="s">
        <v>165</v>
      </c>
      <c r="D926" s="715" t="s">
        <v>40839</v>
      </c>
      <c r="E926" s="716">
        <v>25.6</v>
      </c>
    </row>
    <row r="927" spans="1:5">
      <c r="A927" s="715">
        <v>1117</v>
      </c>
      <c r="B927" s="633" t="s">
        <v>35587</v>
      </c>
      <c r="C927" s="715" t="s">
        <v>165</v>
      </c>
      <c r="D927" s="715" t="s">
        <v>40839</v>
      </c>
      <c r="E927" s="716">
        <v>25.81</v>
      </c>
    </row>
    <row r="928" spans="1:5">
      <c r="A928" s="715">
        <v>1118</v>
      </c>
      <c r="B928" s="633" t="s">
        <v>35588</v>
      </c>
      <c r="C928" s="715" t="s">
        <v>165</v>
      </c>
      <c r="D928" s="715" t="s">
        <v>40839</v>
      </c>
      <c r="E928" s="716">
        <v>30.5</v>
      </c>
    </row>
    <row r="929" spans="1:5">
      <c r="A929" s="715">
        <v>1110</v>
      </c>
      <c r="B929" s="633" t="s">
        <v>35589</v>
      </c>
      <c r="C929" s="715" t="s">
        <v>165</v>
      </c>
      <c r="D929" s="715" t="s">
        <v>40839</v>
      </c>
      <c r="E929" s="716">
        <v>30.5</v>
      </c>
    </row>
    <row r="930" spans="1:5">
      <c r="A930" s="715">
        <v>40784</v>
      </c>
      <c r="B930" s="633" t="s">
        <v>35590</v>
      </c>
      <c r="C930" s="715" t="s">
        <v>165</v>
      </c>
      <c r="D930" s="715" t="s">
        <v>40839</v>
      </c>
      <c r="E930" s="716">
        <v>84.13</v>
      </c>
    </row>
    <row r="931" spans="1:5">
      <c r="A931" s="715">
        <v>40782</v>
      </c>
      <c r="B931" s="633" t="s">
        <v>35591</v>
      </c>
      <c r="C931" s="715" t="s">
        <v>165</v>
      </c>
      <c r="D931" s="715" t="s">
        <v>40839</v>
      </c>
      <c r="E931" s="716">
        <v>33.01</v>
      </c>
    </row>
    <row r="932" spans="1:5">
      <c r="A932" s="715">
        <v>40783</v>
      </c>
      <c r="B932" s="633" t="s">
        <v>35592</v>
      </c>
      <c r="C932" s="715" t="s">
        <v>165</v>
      </c>
      <c r="D932" s="715" t="s">
        <v>40839</v>
      </c>
      <c r="E932" s="716">
        <v>43</v>
      </c>
    </row>
    <row r="933" spans="1:5">
      <c r="A933" s="715">
        <v>1109</v>
      </c>
      <c r="B933" s="633" t="s">
        <v>35593</v>
      </c>
      <c r="C933" s="715" t="s">
        <v>165</v>
      </c>
      <c r="D933" s="715" t="s">
        <v>40839</v>
      </c>
      <c r="E933" s="716">
        <v>25.6</v>
      </c>
    </row>
    <row r="934" spans="1:5">
      <c r="A934" s="715">
        <v>1119</v>
      </c>
      <c r="B934" s="633" t="s">
        <v>35594</v>
      </c>
      <c r="C934" s="715" t="s">
        <v>165</v>
      </c>
      <c r="D934" s="715" t="s">
        <v>40839</v>
      </c>
      <c r="E934" s="716">
        <v>16.5</v>
      </c>
    </row>
    <row r="935" spans="1:5" ht="29">
      <c r="A935" s="715">
        <v>13115</v>
      </c>
      <c r="B935" s="633" t="s">
        <v>35595</v>
      </c>
      <c r="C935" s="715" t="s">
        <v>165</v>
      </c>
      <c r="D935" s="715" t="s">
        <v>40839</v>
      </c>
      <c r="E935" s="716">
        <v>29.24</v>
      </c>
    </row>
    <row r="936" spans="1:5" ht="29">
      <c r="A936" s="715">
        <v>10541</v>
      </c>
      <c r="B936" s="633" t="s">
        <v>35596</v>
      </c>
      <c r="C936" s="715" t="s">
        <v>165</v>
      </c>
      <c r="D936" s="715" t="s">
        <v>40839</v>
      </c>
      <c r="E936" s="716">
        <v>35.729999999999997</v>
      </c>
    </row>
    <row r="937" spans="1:5" ht="29">
      <c r="A937" s="715">
        <v>10542</v>
      </c>
      <c r="B937" s="633" t="s">
        <v>35597</v>
      </c>
      <c r="C937" s="715" t="s">
        <v>165</v>
      </c>
      <c r="D937" s="715" t="s">
        <v>40839</v>
      </c>
      <c r="E937" s="716">
        <v>46.73</v>
      </c>
    </row>
    <row r="938" spans="1:5" ht="29">
      <c r="A938" s="715">
        <v>10543</v>
      </c>
      <c r="B938" s="633" t="s">
        <v>35598</v>
      </c>
      <c r="C938" s="715" t="s">
        <v>165</v>
      </c>
      <c r="D938" s="715" t="s">
        <v>40839</v>
      </c>
      <c r="E938" s="716">
        <v>75.819999999999993</v>
      </c>
    </row>
    <row r="939" spans="1:5" ht="29">
      <c r="A939" s="715">
        <v>10544</v>
      </c>
      <c r="B939" s="633" t="s">
        <v>35599</v>
      </c>
      <c r="C939" s="715" t="s">
        <v>165</v>
      </c>
      <c r="D939" s="715" t="s">
        <v>40839</v>
      </c>
      <c r="E939" s="716">
        <v>98.07</v>
      </c>
    </row>
    <row r="940" spans="1:5" ht="29">
      <c r="A940" s="715">
        <v>10545</v>
      </c>
      <c r="B940" s="633" t="s">
        <v>35600</v>
      </c>
      <c r="C940" s="715" t="s">
        <v>165</v>
      </c>
      <c r="D940" s="715" t="s">
        <v>40839</v>
      </c>
      <c r="E940" s="716">
        <v>183.27</v>
      </c>
    </row>
    <row r="941" spans="1:5">
      <c r="A941" s="715">
        <v>38365</v>
      </c>
      <c r="B941" s="633" t="s">
        <v>35601</v>
      </c>
      <c r="C941" s="715" t="s">
        <v>509</v>
      </c>
      <c r="D941" s="715" t="s">
        <v>40839</v>
      </c>
      <c r="E941" s="716">
        <v>2.31</v>
      </c>
    </row>
    <row r="942" spans="1:5" ht="43">
      <c r="A942" s="715">
        <v>44056</v>
      </c>
      <c r="B942" s="633" t="s">
        <v>35602</v>
      </c>
      <c r="C942" s="715" t="s">
        <v>103</v>
      </c>
      <c r="D942" s="715" t="s">
        <v>40839</v>
      </c>
      <c r="E942" s="716">
        <v>488284.66</v>
      </c>
    </row>
    <row r="943" spans="1:5" ht="43">
      <c r="A943" s="715">
        <v>44057</v>
      </c>
      <c r="B943" s="633" t="s">
        <v>35603</v>
      </c>
      <c r="C943" s="715" t="s">
        <v>103</v>
      </c>
      <c r="D943" s="715" t="s">
        <v>28018</v>
      </c>
      <c r="E943" s="716">
        <v>521150</v>
      </c>
    </row>
    <row r="944" spans="1:5" ht="43">
      <c r="A944" s="715">
        <v>37754</v>
      </c>
      <c r="B944" s="633" t="s">
        <v>35604</v>
      </c>
      <c r="C944" s="715" t="s">
        <v>103</v>
      </c>
      <c r="D944" s="715" t="s">
        <v>40839</v>
      </c>
      <c r="E944" s="716">
        <v>538803.38</v>
      </c>
    </row>
    <row r="945" spans="1:5" ht="43">
      <c r="A945" s="715">
        <v>44058</v>
      </c>
      <c r="B945" s="633" t="s">
        <v>35605</v>
      </c>
      <c r="C945" s="715" t="s">
        <v>103</v>
      </c>
      <c r="D945" s="715" t="s">
        <v>40839</v>
      </c>
      <c r="E945" s="716">
        <v>568100.44999999995</v>
      </c>
    </row>
    <row r="946" spans="1:5" ht="43">
      <c r="A946" s="715">
        <v>37752</v>
      </c>
      <c r="B946" s="633" t="s">
        <v>35606</v>
      </c>
      <c r="C946" s="715" t="s">
        <v>103</v>
      </c>
      <c r="D946" s="715" t="s">
        <v>40839</v>
      </c>
      <c r="E946" s="716">
        <v>591575.65</v>
      </c>
    </row>
    <row r="947" spans="1:5" ht="43">
      <c r="A947" s="715">
        <v>37758</v>
      </c>
      <c r="B947" s="633" t="s">
        <v>35607</v>
      </c>
      <c r="C947" s="715" t="s">
        <v>103</v>
      </c>
      <c r="D947" s="715" t="s">
        <v>40839</v>
      </c>
      <c r="E947" s="716">
        <v>745573.13</v>
      </c>
    </row>
    <row r="948" spans="1:5" ht="43">
      <c r="A948" s="715">
        <v>44060</v>
      </c>
      <c r="B948" s="633" t="s">
        <v>35608</v>
      </c>
      <c r="C948" s="715" t="s">
        <v>103</v>
      </c>
      <c r="D948" s="715" t="s">
        <v>40839</v>
      </c>
      <c r="E948" s="716">
        <v>721158.92</v>
      </c>
    </row>
    <row r="949" spans="1:5" ht="43">
      <c r="A949" s="715">
        <v>44061</v>
      </c>
      <c r="B949" s="633" t="s">
        <v>35609</v>
      </c>
      <c r="C949" s="715" t="s">
        <v>103</v>
      </c>
      <c r="D949" s="715" t="s">
        <v>40839</v>
      </c>
      <c r="E949" s="716">
        <v>707073.8</v>
      </c>
    </row>
    <row r="950" spans="1:5">
      <c r="A950" s="715">
        <v>1159</v>
      </c>
      <c r="B950" s="633" t="s">
        <v>35610</v>
      </c>
      <c r="C950" s="715" t="s">
        <v>103</v>
      </c>
      <c r="D950" s="715" t="s">
        <v>28018</v>
      </c>
      <c r="E950" s="716">
        <v>275578.33</v>
      </c>
    </row>
    <row r="951" spans="1:5">
      <c r="A951" s="715">
        <v>12114</v>
      </c>
      <c r="B951" s="633" t="s">
        <v>35611</v>
      </c>
      <c r="C951" s="715" t="s">
        <v>103</v>
      </c>
      <c r="D951" s="715" t="s">
        <v>40839</v>
      </c>
      <c r="E951" s="716">
        <v>151.15</v>
      </c>
    </row>
    <row r="952" spans="1:5">
      <c r="A952" s="715">
        <v>38106</v>
      </c>
      <c r="B952" s="633" t="s">
        <v>35612</v>
      </c>
      <c r="C952" s="715" t="s">
        <v>103</v>
      </c>
      <c r="D952" s="715" t="s">
        <v>40839</v>
      </c>
      <c r="E952" s="716">
        <v>20.54</v>
      </c>
    </row>
    <row r="953" spans="1:5" ht="29">
      <c r="A953" s="715">
        <v>38085</v>
      </c>
      <c r="B953" s="633" t="s">
        <v>35613</v>
      </c>
      <c r="C953" s="715" t="s">
        <v>103</v>
      </c>
      <c r="D953" s="715" t="s">
        <v>40839</v>
      </c>
      <c r="E953" s="716">
        <v>24.26</v>
      </c>
    </row>
    <row r="954" spans="1:5">
      <c r="A954" s="715">
        <v>659</v>
      </c>
      <c r="B954" s="633" t="s">
        <v>35614</v>
      </c>
      <c r="C954" s="715" t="s">
        <v>103</v>
      </c>
      <c r="D954" s="715" t="s">
        <v>40839</v>
      </c>
      <c r="E954" s="716">
        <v>2.92</v>
      </c>
    </row>
    <row r="955" spans="1:5">
      <c r="A955" s="715">
        <v>660</v>
      </c>
      <c r="B955" s="633" t="s">
        <v>35615</v>
      </c>
      <c r="C955" s="715" t="s">
        <v>103</v>
      </c>
      <c r="D955" s="715" t="s">
        <v>40839</v>
      </c>
      <c r="E955" s="716">
        <v>3.5</v>
      </c>
    </row>
    <row r="956" spans="1:5">
      <c r="A956" s="715">
        <v>658</v>
      </c>
      <c r="B956" s="633" t="s">
        <v>35616</v>
      </c>
      <c r="C956" s="715" t="s">
        <v>103</v>
      </c>
      <c r="D956" s="715" t="s">
        <v>40839</v>
      </c>
      <c r="E956" s="716">
        <v>1.97</v>
      </c>
    </row>
    <row r="957" spans="1:5">
      <c r="A957" s="715">
        <v>38599</v>
      </c>
      <c r="B957" s="633" t="s">
        <v>35617</v>
      </c>
      <c r="C957" s="715" t="s">
        <v>103</v>
      </c>
      <c r="D957" s="715" t="s">
        <v>40839</v>
      </c>
      <c r="E957" s="716">
        <v>6.08</v>
      </c>
    </row>
    <row r="958" spans="1:5">
      <c r="A958" s="715">
        <v>38596</v>
      </c>
      <c r="B958" s="633" t="s">
        <v>35618</v>
      </c>
      <c r="C958" s="715" t="s">
        <v>103</v>
      </c>
      <c r="D958" s="715" t="s">
        <v>40839</v>
      </c>
      <c r="E958" s="716">
        <v>5.05</v>
      </c>
    </row>
    <row r="959" spans="1:5">
      <c r="A959" s="715">
        <v>38600</v>
      </c>
      <c r="B959" s="633" t="s">
        <v>35619</v>
      </c>
      <c r="C959" s="715" t="s">
        <v>103</v>
      </c>
      <c r="D959" s="715" t="s">
        <v>40839</v>
      </c>
      <c r="E959" s="716">
        <v>6.44</v>
      </c>
    </row>
    <row r="960" spans="1:5">
      <c r="A960" s="715">
        <v>38597</v>
      </c>
      <c r="B960" s="633" t="s">
        <v>35620</v>
      </c>
      <c r="C960" s="715" t="s">
        <v>103</v>
      </c>
      <c r="D960" s="715" t="s">
        <v>40839</v>
      </c>
      <c r="E960" s="716">
        <v>5.08</v>
      </c>
    </row>
    <row r="961" spans="1:5">
      <c r="A961" s="715">
        <v>38548</v>
      </c>
      <c r="B961" s="633" t="s">
        <v>35621</v>
      </c>
      <c r="C961" s="715" t="s">
        <v>103</v>
      </c>
      <c r="D961" s="715" t="s">
        <v>40839</v>
      </c>
      <c r="E961" s="716">
        <v>1.84</v>
      </c>
    </row>
    <row r="962" spans="1:5">
      <c r="A962" s="715">
        <v>34649</v>
      </c>
      <c r="B962" s="633" t="s">
        <v>35622</v>
      </c>
      <c r="C962" s="715" t="s">
        <v>103</v>
      </c>
      <c r="D962" s="715" t="s">
        <v>40839</v>
      </c>
      <c r="E962" s="716">
        <v>2.69</v>
      </c>
    </row>
    <row r="963" spans="1:5">
      <c r="A963" s="715">
        <v>34655</v>
      </c>
      <c r="B963" s="633" t="s">
        <v>35623</v>
      </c>
      <c r="C963" s="715" t="s">
        <v>103</v>
      </c>
      <c r="D963" s="715" t="s">
        <v>40839</v>
      </c>
      <c r="E963" s="716">
        <v>3.96</v>
      </c>
    </row>
    <row r="964" spans="1:5" ht="29">
      <c r="A964" s="715">
        <v>40607</v>
      </c>
      <c r="B964" s="633" t="s">
        <v>35624</v>
      </c>
      <c r="C964" s="715" t="s">
        <v>103</v>
      </c>
      <c r="D964" s="715" t="s">
        <v>40839</v>
      </c>
      <c r="E964" s="716">
        <v>6.26</v>
      </c>
    </row>
    <row r="965" spans="1:5">
      <c r="A965" s="715">
        <v>567</v>
      </c>
      <c r="B965" s="633" t="s">
        <v>35625</v>
      </c>
      <c r="C965" s="715" t="s">
        <v>165</v>
      </c>
      <c r="D965" s="715" t="s">
        <v>40839</v>
      </c>
      <c r="E965" s="716">
        <v>11.07</v>
      </c>
    </row>
    <row r="966" spans="1:5">
      <c r="A966" s="715">
        <v>574</v>
      </c>
      <c r="B966" s="633" t="s">
        <v>35626</v>
      </c>
      <c r="C966" s="715" t="s">
        <v>165</v>
      </c>
      <c r="D966" s="715" t="s">
        <v>40839</v>
      </c>
      <c r="E966" s="716">
        <v>29.1</v>
      </c>
    </row>
    <row r="967" spans="1:5">
      <c r="A967" s="715">
        <v>568</v>
      </c>
      <c r="B967" s="633" t="s">
        <v>35627</v>
      </c>
      <c r="C967" s="715" t="s">
        <v>165</v>
      </c>
      <c r="D967" s="715" t="s">
        <v>40839</v>
      </c>
      <c r="E967" s="716">
        <v>61.33</v>
      </c>
    </row>
    <row r="968" spans="1:5">
      <c r="A968" s="715">
        <v>4777</v>
      </c>
      <c r="B968" s="633" t="s">
        <v>35628</v>
      </c>
      <c r="C968" s="715" t="s">
        <v>207</v>
      </c>
      <c r="D968" s="715" t="s">
        <v>40839</v>
      </c>
      <c r="E968" s="716">
        <v>8.02</v>
      </c>
    </row>
    <row r="969" spans="1:5" ht="29">
      <c r="A969" s="715">
        <v>592</v>
      </c>
      <c r="B969" s="633" t="s">
        <v>35629</v>
      </c>
      <c r="C969" s="715" t="s">
        <v>207</v>
      </c>
      <c r="D969" s="715" t="s">
        <v>28018</v>
      </c>
      <c r="E969" s="716">
        <v>39.799999999999997</v>
      </c>
    </row>
    <row r="970" spans="1:5" ht="29">
      <c r="A970" s="715">
        <v>586</v>
      </c>
      <c r="B970" s="633" t="s">
        <v>35630</v>
      </c>
      <c r="C970" s="715" t="s">
        <v>165</v>
      </c>
      <c r="D970" s="715" t="s">
        <v>40839</v>
      </c>
      <c r="E970" s="716">
        <v>23.4</v>
      </c>
    </row>
    <row r="971" spans="1:5" ht="29">
      <c r="A971" s="715">
        <v>588</v>
      </c>
      <c r="B971" s="633" t="s">
        <v>35631</v>
      </c>
      <c r="C971" s="715" t="s">
        <v>165</v>
      </c>
      <c r="D971" s="715" t="s">
        <v>40839</v>
      </c>
      <c r="E971" s="716">
        <v>37.01</v>
      </c>
    </row>
    <row r="972" spans="1:5" ht="29">
      <c r="A972" s="715">
        <v>591</v>
      </c>
      <c r="B972" s="633" t="s">
        <v>35632</v>
      </c>
      <c r="C972" s="715" t="s">
        <v>207</v>
      </c>
      <c r="D972" s="715" t="s">
        <v>40839</v>
      </c>
      <c r="E972" s="716">
        <v>37.14</v>
      </c>
    </row>
    <row r="973" spans="1:5" ht="29">
      <c r="A973" s="715">
        <v>584</v>
      </c>
      <c r="B973" s="633" t="s">
        <v>35633</v>
      </c>
      <c r="C973" s="715" t="s">
        <v>165</v>
      </c>
      <c r="D973" s="715" t="s">
        <v>40839</v>
      </c>
      <c r="E973" s="716">
        <v>39.53</v>
      </c>
    </row>
    <row r="974" spans="1:5" ht="29">
      <c r="A974" s="715">
        <v>589</v>
      </c>
      <c r="B974" s="633" t="s">
        <v>35634</v>
      </c>
      <c r="C974" s="715" t="s">
        <v>165</v>
      </c>
      <c r="D974" s="715" t="s">
        <v>40839</v>
      </c>
      <c r="E974" s="716">
        <v>62.56</v>
      </c>
    </row>
    <row r="975" spans="1:5">
      <c r="A975" s="715">
        <v>1165</v>
      </c>
      <c r="B975" s="633" t="s">
        <v>35635</v>
      </c>
      <c r="C975" s="715" t="s">
        <v>103</v>
      </c>
      <c r="D975" s="715" t="s">
        <v>40839</v>
      </c>
      <c r="E975" s="716">
        <v>20</v>
      </c>
    </row>
    <row r="976" spans="1:5">
      <c r="A976" s="715">
        <v>1164</v>
      </c>
      <c r="B976" s="633" t="s">
        <v>35636</v>
      </c>
      <c r="C976" s="715" t="s">
        <v>103</v>
      </c>
      <c r="D976" s="715" t="s">
        <v>40839</v>
      </c>
      <c r="E976" s="716">
        <v>16.2</v>
      </c>
    </row>
    <row r="977" spans="1:5">
      <c r="A977" s="715">
        <v>1170</v>
      </c>
      <c r="B977" s="633" t="s">
        <v>35637</v>
      </c>
      <c r="C977" s="715" t="s">
        <v>103</v>
      </c>
      <c r="D977" s="715" t="s">
        <v>40839</v>
      </c>
      <c r="E977" s="716">
        <v>10.61</v>
      </c>
    </row>
    <row r="978" spans="1:5">
      <c r="A978" s="715">
        <v>1162</v>
      </c>
      <c r="B978" s="633" t="s">
        <v>35638</v>
      </c>
      <c r="C978" s="715" t="s">
        <v>103</v>
      </c>
      <c r="D978" s="715" t="s">
        <v>40839</v>
      </c>
      <c r="E978" s="716">
        <v>5.63</v>
      </c>
    </row>
    <row r="979" spans="1:5">
      <c r="A979" s="715">
        <v>12395</v>
      </c>
      <c r="B979" s="633" t="s">
        <v>35639</v>
      </c>
      <c r="C979" s="715" t="s">
        <v>103</v>
      </c>
      <c r="D979" s="715" t="s">
        <v>40839</v>
      </c>
      <c r="E979" s="716">
        <v>5.47</v>
      </c>
    </row>
    <row r="980" spans="1:5">
      <c r="A980" s="715">
        <v>1169</v>
      </c>
      <c r="B980" s="633" t="s">
        <v>35640</v>
      </c>
      <c r="C980" s="715" t="s">
        <v>103</v>
      </c>
      <c r="D980" s="715" t="s">
        <v>40839</v>
      </c>
      <c r="E980" s="716">
        <v>52.1</v>
      </c>
    </row>
    <row r="981" spans="1:5">
      <c r="A981" s="715">
        <v>1166</v>
      </c>
      <c r="B981" s="633" t="s">
        <v>35641</v>
      </c>
      <c r="C981" s="715" t="s">
        <v>103</v>
      </c>
      <c r="D981" s="715" t="s">
        <v>40839</v>
      </c>
      <c r="E981" s="716">
        <v>28.89</v>
      </c>
    </row>
    <row r="982" spans="1:5">
      <c r="A982" s="715">
        <v>1168</v>
      </c>
      <c r="B982" s="633" t="s">
        <v>35642</v>
      </c>
      <c r="C982" s="715" t="s">
        <v>103</v>
      </c>
      <c r="D982" s="715" t="s">
        <v>40839</v>
      </c>
      <c r="E982" s="716">
        <v>74.28</v>
      </c>
    </row>
    <row r="983" spans="1:5">
      <c r="A983" s="715">
        <v>1163</v>
      </c>
      <c r="B983" s="633" t="s">
        <v>35643</v>
      </c>
      <c r="C983" s="715" t="s">
        <v>103</v>
      </c>
      <c r="D983" s="715" t="s">
        <v>40839</v>
      </c>
      <c r="E983" s="716">
        <v>7.28</v>
      </c>
    </row>
    <row r="984" spans="1:5">
      <c r="A984" s="715">
        <v>12396</v>
      </c>
      <c r="B984" s="633" t="s">
        <v>35644</v>
      </c>
      <c r="C984" s="715" t="s">
        <v>103</v>
      </c>
      <c r="D984" s="715" t="s">
        <v>40839</v>
      </c>
      <c r="E984" s="716">
        <v>5.47</v>
      </c>
    </row>
    <row r="985" spans="1:5">
      <c r="A985" s="715">
        <v>1167</v>
      </c>
      <c r="B985" s="633" t="s">
        <v>35645</v>
      </c>
      <c r="C985" s="715" t="s">
        <v>103</v>
      </c>
      <c r="D985" s="715" t="s">
        <v>40839</v>
      </c>
      <c r="E985" s="716">
        <v>124.24</v>
      </c>
    </row>
    <row r="986" spans="1:5">
      <c r="A986" s="715">
        <v>36331</v>
      </c>
      <c r="B986" s="633" t="s">
        <v>35646</v>
      </c>
      <c r="C986" s="715" t="s">
        <v>103</v>
      </c>
      <c r="D986" s="715" t="s">
        <v>40839</v>
      </c>
      <c r="E986" s="716">
        <v>2.7</v>
      </c>
    </row>
    <row r="987" spans="1:5">
      <c r="A987" s="715">
        <v>36346</v>
      </c>
      <c r="B987" s="633" t="s">
        <v>35647</v>
      </c>
      <c r="C987" s="715" t="s">
        <v>103</v>
      </c>
      <c r="D987" s="715" t="s">
        <v>40839</v>
      </c>
      <c r="E987" s="716">
        <v>4.05</v>
      </c>
    </row>
    <row r="988" spans="1:5">
      <c r="A988" s="715">
        <v>1202</v>
      </c>
      <c r="B988" s="633" t="s">
        <v>35648</v>
      </c>
      <c r="C988" s="715" t="s">
        <v>103</v>
      </c>
      <c r="D988" s="715" t="s">
        <v>40839</v>
      </c>
      <c r="E988" s="716">
        <v>5.83</v>
      </c>
    </row>
    <row r="989" spans="1:5">
      <c r="A989" s="715">
        <v>1197</v>
      </c>
      <c r="B989" s="633" t="s">
        <v>35649</v>
      </c>
      <c r="C989" s="715" t="s">
        <v>103</v>
      </c>
      <c r="D989" s="715" t="s">
        <v>40839</v>
      </c>
      <c r="E989" s="716">
        <v>2.06</v>
      </c>
    </row>
    <row r="990" spans="1:5">
      <c r="A990" s="715">
        <v>1198</v>
      </c>
      <c r="B990" s="633" t="s">
        <v>35650</v>
      </c>
      <c r="C990" s="715" t="s">
        <v>103</v>
      </c>
      <c r="D990" s="715" t="s">
        <v>40839</v>
      </c>
      <c r="E990" s="716">
        <v>2.69</v>
      </c>
    </row>
    <row r="991" spans="1:5">
      <c r="A991" s="715">
        <v>20088</v>
      </c>
      <c r="B991" s="633" t="s">
        <v>35651</v>
      </c>
      <c r="C991" s="715" t="s">
        <v>103</v>
      </c>
      <c r="D991" s="715" t="s">
        <v>40839</v>
      </c>
      <c r="E991" s="716">
        <v>15.45</v>
      </c>
    </row>
    <row r="992" spans="1:5">
      <c r="A992" s="715">
        <v>20089</v>
      </c>
      <c r="B992" s="633" t="s">
        <v>35652</v>
      </c>
      <c r="C992" s="715" t="s">
        <v>103</v>
      </c>
      <c r="D992" s="715" t="s">
        <v>40839</v>
      </c>
      <c r="E992" s="716">
        <v>75.73</v>
      </c>
    </row>
    <row r="993" spans="1:5">
      <c r="A993" s="715">
        <v>20087</v>
      </c>
      <c r="B993" s="633" t="s">
        <v>35653</v>
      </c>
      <c r="C993" s="715" t="s">
        <v>103</v>
      </c>
      <c r="D993" s="715" t="s">
        <v>40839</v>
      </c>
      <c r="E993" s="716">
        <v>12.78</v>
      </c>
    </row>
    <row r="994" spans="1:5">
      <c r="A994" s="715">
        <v>1191</v>
      </c>
      <c r="B994" s="633" t="s">
        <v>35654</v>
      </c>
      <c r="C994" s="715" t="s">
        <v>103</v>
      </c>
      <c r="D994" s="715" t="s">
        <v>40839</v>
      </c>
      <c r="E994" s="716">
        <v>1.46</v>
      </c>
    </row>
    <row r="995" spans="1:5">
      <c r="A995" s="715">
        <v>1185</v>
      </c>
      <c r="B995" s="633" t="s">
        <v>35655</v>
      </c>
      <c r="C995" s="715" t="s">
        <v>103</v>
      </c>
      <c r="D995" s="715" t="s">
        <v>40839</v>
      </c>
      <c r="E995" s="716">
        <v>1.46</v>
      </c>
    </row>
    <row r="996" spans="1:5">
      <c r="A996" s="715">
        <v>1189</v>
      </c>
      <c r="B996" s="633" t="s">
        <v>35656</v>
      </c>
      <c r="C996" s="715" t="s">
        <v>103</v>
      </c>
      <c r="D996" s="715" t="s">
        <v>40839</v>
      </c>
      <c r="E996" s="716">
        <v>2.4</v>
      </c>
    </row>
    <row r="997" spans="1:5">
      <c r="A997" s="715">
        <v>1193</v>
      </c>
      <c r="B997" s="633" t="s">
        <v>35657</v>
      </c>
      <c r="C997" s="715" t="s">
        <v>103</v>
      </c>
      <c r="D997" s="715" t="s">
        <v>40839</v>
      </c>
      <c r="E997" s="716">
        <v>4.6100000000000003</v>
      </c>
    </row>
    <row r="998" spans="1:5">
      <c r="A998" s="715">
        <v>1194</v>
      </c>
      <c r="B998" s="633" t="s">
        <v>35658</v>
      </c>
      <c r="C998" s="715" t="s">
        <v>103</v>
      </c>
      <c r="D998" s="715" t="s">
        <v>40839</v>
      </c>
      <c r="E998" s="716">
        <v>8.32</v>
      </c>
    </row>
    <row r="999" spans="1:5">
      <c r="A999" s="715">
        <v>1195</v>
      </c>
      <c r="B999" s="633" t="s">
        <v>35659</v>
      </c>
      <c r="C999" s="715" t="s">
        <v>103</v>
      </c>
      <c r="D999" s="715" t="s">
        <v>40839</v>
      </c>
      <c r="E999" s="716">
        <v>14</v>
      </c>
    </row>
    <row r="1000" spans="1:5">
      <c r="A1000" s="715">
        <v>1204</v>
      </c>
      <c r="B1000" s="633" t="s">
        <v>35660</v>
      </c>
      <c r="C1000" s="715" t="s">
        <v>103</v>
      </c>
      <c r="D1000" s="715" t="s">
        <v>40839</v>
      </c>
      <c r="E1000" s="716">
        <v>24.49</v>
      </c>
    </row>
    <row r="1001" spans="1:5">
      <c r="A1001" s="715">
        <v>1200</v>
      </c>
      <c r="B1001" s="633" t="s">
        <v>35661</v>
      </c>
      <c r="C1001" s="715" t="s">
        <v>103</v>
      </c>
      <c r="D1001" s="715" t="s">
        <v>40839</v>
      </c>
      <c r="E1001" s="716">
        <v>11.61</v>
      </c>
    </row>
    <row r="1002" spans="1:5">
      <c r="A1002" s="715">
        <v>12909</v>
      </c>
      <c r="B1002" s="633" t="s">
        <v>35662</v>
      </c>
      <c r="C1002" s="715" t="s">
        <v>103</v>
      </c>
      <c r="D1002" s="715" t="s">
        <v>40839</v>
      </c>
      <c r="E1002" s="716">
        <v>5.38</v>
      </c>
    </row>
    <row r="1003" spans="1:5">
      <c r="A1003" s="715">
        <v>12910</v>
      </c>
      <c r="B1003" s="633" t="s">
        <v>35663</v>
      </c>
      <c r="C1003" s="715" t="s">
        <v>103</v>
      </c>
      <c r="D1003" s="715" t="s">
        <v>40839</v>
      </c>
      <c r="E1003" s="716">
        <v>9.68</v>
      </c>
    </row>
    <row r="1004" spans="1:5">
      <c r="A1004" s="715">
        <v>1207</v>
      </c>
      <c r="B1004" s="633" t="s">
        <v>35664</v>
      </c>
      <c r="C1004" s="715" t="s">
        <v>103</v>
      </c>
      <c r="D1004" s="715" t="s">
        <v>40839</v>
      </c>
      <c r="E1004" s="716">
        <v>40.06</v>
      </c>
    </row>
    <row r="1005" spans="1:5">
      <c r="A1005" s="715">
        <v>1206</v>
      </c>
      <c r="B1005" s="633" t="s">
        <v>35665</v>
      </c>
      <c r="C1005" s="715" t="s">
        <v>103</v>
      </c>
      <c r="D1005" s="715" t="s">
        <v>40839</v>
      </c>
      <c r="E1005" s="716">
        <v>10.039999999999999</v>
      </c>
    </row>
    <row r="1006" spans="1:5">
      <c r="A1006" s="715">
        <v>1183</v>
      </c>
      <c r="B1006" s="633" t="s">
        <v>35666</v>
      </c>
      <c r="C1006" s="715" t="s">
        <v>103</v>
      </c>
      <c r="D1006" s="715" t="s">
        <v>40839</v>
      </c>
      <c r="E1006" s="716">
        <v>26.16</v>
      </c>
    </row>
    <row r="1007" spans="1:5">
      <c r="A1007" s="715">
        <v>42685</v>
      </c>
      <c r="B1007" s="633" t="s">
        <v>35667</v>
      </c>
      <c r="C1007" s="715" t="s">
        <v>103</v>
      </c>
      <c r="D1007" s="715" t="s">
        <v>40839</v>
      </c>
      <c r="E1007" s="716">
        <v>78.47</v>
      </c>
    </row>
    <row r="1008" spans="1:5">
      <c r="A1008" s="715">
        <v>42686</v>
      </c>
      <c r="B1008" s="633" t="s">
        <v>35668</v>
      </c>
      <c r="C1008" s="715" t="s">
        <v>103</v>
      </c>
      <c r="D1008" s="715" t="s">
        <v>40839</v>
      </c>
      <c r="E1008" s="716">
        <v>86.43</v>
      </c>
    </row>
    <row r="1009" spans="1:5" ht="29">
      <c r="A1009" s="715">
        <v>12894</v>
      </c>
      <c r="B1009" s="633" t="s">
        <v>35669</v>
      </c>
      <c r="C1009" s="715" t="s">
        <v>103</v>
      </c>
      <c r="D1009" s="715" t="s">
        <v>40839</v>
      </c>
      <c r="E1009" s="716">
        <v>22.34</v>
      </c>
    </row>
    <row r="1010" spans="1:5" ht="29">
      <c r="A1010" s="715">
        <v>12895</v>
      </c>
      <c r="B1010" s="633" t="s">
        <v>35670</v>
      </c>
      <c r="C1010" s="715" t="s">
        <v>103</v>
      </c>
      <c r="D1010" s="715" t="s">
        <v>28018</v>
      </c>
      <c r="E1010" s="716">
        <v>15</v>
      </c>
    </row>
    <row r="1011" spans="1:5" ht="29">
      <c r="A1011" s="715">
        <v>1631</v>
      </c>
      <c r="B1011" s="633" t="s">
        <v>35671</v>
      </c>
      <c r="C1011" s="715" t="s">
        <v>103</v>
      </c>
      <c r="D1011" s="715" t="s">
        <v>40839</v>
      </c>
      <c r="E1011" s="716">
        <v>150.28</v>
      </c>
    </row>
    <row r="1012" spans="1:5" ht="29">
      <c r="A1012" s="715">
        <v>1633</v>
      </c>
      <c r="B1012" s="633" t="s">
        <v>35672</v>
      </c>
      <c r="C1012" s="715" t="s">
        <v>103</v>
      </c>
      <c r="D1012" s="715" t="s">
        <v>40839</v>
      </c>
      <c r="E1012" s="716">
        <v>255.33</v>
      </c>
    </row>
    <row r="1013" spans="1:5">
      <c r="A1013" s="715">
        <v>10818</v>
      </c>
      <c r="B1013" s="633" t="s">
        <v>35673</v>
      </c>
      <c r="C1013" s="715" t="s">
        <v>207</v>
      </c>
      <c r="D1013" s="715" t="s">
        <v>40839</v>
      </c>
      <c r="E1013" s="716">
        <v>55.52</v>
      </c>
    </row>
    <row r="1014" spans="1:5">
      <c r="A1014" s="715">
        <v>41410</v>
      </c>
      <c r="B1014" s="633" t="s">
        <v>35674</v>
      </c>
      <c r="C1014" s="715" t="s">
        <v>103</v>
      </c>
      <c r="D1014" s="715" t="s">
        <v>40839</v>
      </c>
      <c r="E1014" s="716">
        <v>73.849999999999994</v>
      </c>
    </row>
    <row r="1015" spans="1:5">
      <c r="A1015" s="715">
        <v>41411</v>
      </c>
      <c r="B1015" s="633" t="s">
        <v>35675</v>
      </c>
      <c r="C1015" s="715" t="s">
        <v>103</v>
      </c>
      <c r="D1015" s="715" t="s">
        <v>40839</v>
      </c>
      <c r="E1015" s="716">
        <v>66.95</v>
      </c>
    </row>
    <row r="1016" spans="1:5">
      <c r="A1016" s="715">
        <v>41412</v>
      </c>
      <c r="B1016" s="633" t="s">
        <v>35676</v>
      </c>
      <c r="C1016" s="715" t="s">
        <v>103</v>
      </c>
      <c r="D1016" s="715" t="s">
        <v>40839</v>
      </c>
      <c r="E1016" s="716">
        <v>129.5</v>
      </c>
    </row>
    <row r="1017" spans="1:5">
      <c r="A1017" s="715">
        <v>41413</v>
      </c>
      <c r="B1017" s="633" t="s">
        <v>35677</v>
      </c>
      <c r="C1017" s="715" t="s">
        <v>103</v>
      </c>
      <c r="D1017" s="715" t="s">
        <v>40839</v>
      </c>
      <c r="E1017" s="716">
        <v>116.53</v>
      </c>
    </row>
    <row r="1018" spans="1:5" ht="43">
      <c r="A1018" s="715">
        <v>39359</v>
      </c>
      <c r="B1018" s="633" t="s">
        <v>35678</v>
      </c>
      <c r="C1018" s="715" t="s">
        <v>103</v>
      </c>
      <c r="D1018" s="715" t="s">
        <v>40839</v>
      </c>
      <c r="E1018" s="716">
        <v>39.33</v>
      </c>
    </row>
    <row r="1019" spans="1:5" ht="43">
      <c r="A1019" s="715">
        <v>39360</v>
      </c>
      <c r="B1019" s="633" t="s">
        <v>35679</v>
      </c>
      <c r="C1019" s="715" t="s">
        <v>103</v>
      </c>
      <c r="D1019" s="715" t="s">
        <v>40839</v>
      </c>
      <c r="E1019" s="716">
        <v>39.33</v>
      </c>
    </row>
    <row r="1020" spans="1:5" ht="29">
      <c r="A1020" s="715">
        <v>10710</v>
      </c>
      <c r="B1020" s="633" t="s">
        <v>35680</v>
      </c>
      <c r="C1020" s="715" t="s">
        <v>509</v>
      </c>
      <c r="D1020" s="715" t="s">
        <v>28018</v>
      </c>
      <c r="E1020" s="716">
        <v>210</v>
      </c>
    </row>
    <row r="1021" spans="1:5" ht="29">
      <c r="A1021" s="715">
        <v>10709</v>
      </c>
      <c r="B1021" s="633" t="s">
        <v>35681</v>
      </c>
      <c r="C1021" s="715" t="s">
        <v>509</v>
      </c>
      <c r="D1021" s="715" t="s">
        <v>40839</v>
      </c>
      <c r="E1021" s="716">
        <v>257.99</v>
      </c>
    </row>
    <row r="1022" spans="1:5" ht="29">
      <c r="A1022" s="715">
        <v>39636</v>
      </c>
      <c r="B1022" s="633" t="s">
        <v>35682</v>
      </c>
      <c r="C1022" s="715" t="s">
        <v>509</v>
      </c>
      <c r="D1022" s="715" t="s">
        <v>40839</v>
      </c>
      <c r="E1022" s="716">
        <v>263.45</v>
      </c>
    </row>
    <row r="1023" spans="1:5" ht="29">
      <c r="A1023" s="715">
        <v>10708</v>
      </c>
      <c r="B1023" s="633" t="s">
        <v>35683</v>
      </c>
      <c r="C1023" s="715" t="s">
        <v>509</v>
      </c>
      <c r="D1023" s="715" t="s">
        <v>40839</v>
      </c>
      <c r="E1023" s="716">
        <v>81.290000000000006</v>
      </c>
    </row>
    <row r="1024" spans="1:5" ht="29">
      <c r="A1024" s="715">
        <v>39635</v>
      </c>
      <c r="B1024" s="633" t="s">
        <v>35684</v>
      </c>
      <c r="C1024" s="715" t="s">
        <v>509</v>
      </c>
      <c r="D1024" s="715" t="s">
        <v>40839</v>
      </c>
      <c r="E1024" s="716">
        <v>138.4</v>
      </c>
    </row>
    <row r="1025" spans="1:5">
      <c r="A1025" s="715">
        <v>6117</v>
      </c>
      <c r="B1025" s="633" t="s">
        <v>35685</v>
      </c>
      <c r="C1025" s="715" t="s">
        <v>11</v>
      </c>
      <c r="D1025" s="715" t="s">
        <v>40839</v>
      </c>
      <c r="E1025" s="716">
        <v>23.82</v>
      </c>
    </row>
    <row r="1026" spans="1:5">
      <c r="A1026" s="715">
        <v>40913</v>
      </c>
      <c r="B1026" s="633" t="s">
        <v>35686</v>
      </c>
      <c r="C1026" s="715" t="s">
        <v>27629</v>
      </c>
      <c r="D1026" s="715" t="s">
        <v>40839</v>
      </c>
      <c r="E1026" s="716">
        <v>4173.53</v>
      </c>
    </row>
    <row r="1027" spans="1:5">
      <c r="A1027" s="715">
        <v>1214</v>
      </c>
      <c r="B1027" s="633" t="s">
        <v>35687</v>
      </c>
      <c r="C1027" s="715" t="s">
        <v>11</v>
      </c>
      <c r="D1027" s="715" t="s">
        <v>40839</v>
      </c>
      <c r="E1027" s="716">
        <v>26.03</v>
      </c>
    </row>
    <row r="1028" spans="1:5">
      <c r="A1028" s="715">
        <v>40915</v>
      </c>
      <c r="B1028" s="633" t="s">
        <v>35688</v>
      </c>
      <c r="C1028" s="715" t="s">
        <v>27629</v>
      </c>
      <c r="D1028" s="715" t="s">
        <v>40839</v>
      </c>
      <c r="E1028" s="716">
        <v>4560.57</v>
      </c>
    </row>
    <row r="1029" spans="1:5">
      <c r="A1029" s="715">
        <v>40914</v>
      </c>
      <c r="B1029" s="633" t="s">
        <v>35689</v>
      </c>
      <c r="C1029" s="715" t="s">
        <v>27629</v>
      </c>
      <c r="D1029" s="715" t="s">
        <v>40839</v>
      </c>
      <c r="E1029" s="716">
        <v>4560.57</v>
      </c>
    </row>
    <row r="1030" spans="1:5">
      <c r="A1030" s="715">
        <v>1213</v>
      </c>
      <c r="B1030" s="633" t="s">
        <v>35690</v>
      </c>
      <c r="C1030" s="715" t="s">
        <v>11</v>
      </c>
      <c r="D1030" s="715" t="s">
        <v>28018</v>
      </c>
      <c r="E1030" s="716">
        <v>26.03</v>
      </c>
    </row>
    <row r="1031" spans="1:5" ht="29">
      <c r="A1031" s="715">
        <v>5091</v>
      </c>
      <c r="B1031" s="633" t="s">
        <v>35691</v>
      </c>
      <c r="C1031" s="715" t="s">
        <v>103</v>
      </c>
      <c r="D1031" s="715" t="s">
        <v>40839</v>
      </c>
      <c r="E1031" s="716">
        <v>19.53</v>
      </c>
    </row>
    <row r="1032" spans="1:5" ht="29">
      <c r="A1032" s="715">
        <v>2711</v>
      </c>
      <c r="B1032" s="633" t="s">
        <v>35692</v>
      </c>
      <c r="C1032" s="715" t="s">
        <v>103</v>
      </c>
      <c r="D1032" s="715" t="s">
        <v>28018</v>
      </c>
      <c r="E1032" s="716">
        <v>230.45</v>
      </c>
    </row>
    <row r="1033" spans="1:5" ht="29">
      <c r="A1033" s="715">
        <v>45235</v>
      </c>
      <c r="B1033" s="633" t="s">
        <v>40997</v>
      </c>
      <c r="C1033" s="715" t="s">
        <v>103</v>
      </c>
      <c r="D1033" s="715" t="s">
        <v>40839</v>
      </c>
      <c r="E1033" s="716">
        <v>1484.73</v>
      </c>
    </row>
    <row r="1034" spans="1:5" ht="43">
      <c r="A1034" s="715">
        <v>37727</v>
      </c>
      <c r="B1034" s="633" t="s">
        <v>35693</v>
      </c>
      <c r="C1034" s="715" t="s">
        <v>103</v>
      </c>
      <c r="D1034" s="715" t="s">
        <v>28018</v>
      </c>
      <c r="E1034" s="716">
        <v>19043.29</v>
      </c>
    </row>
    <row r="1035" spans="1:5" ht="43">
      <c r="A1035" s="715">
        <v>37730</v>
      </c>
      <c r="B1035" s="633" t="s">
        <v>35694</v>
      </c>
      <c r="C1035" s="715" t="s">
        <v>103</v>
      </c>
      <c r="D1035" s="715" t="s">
        <v>40839</v>
      </c>
      <c r="E1035" s="716">
        <v>30096.38</v>
      </c>
    </row>
    <row r="1036" spans="1:5" ht="43">
      <c r="A1036" s="715">
        <v>37731</v>
      </c>
      <c r="B1036" s="633" t="s">
        <v>35695</v>
      </c>
      <c r="C1036" s="715" t="s">
        <v>103</v>
      </c>
      <c r="D1036" s="715" t="s">
        <v>40839</v>
      </c>
      <c r="E1036" s="716">
        <v>32227.1</v>
      </c>
    </row>
    <row r="1037" spans="1:5" ht="43">
      <c r="A1037" s="715">
        <v>37732</v>
      </c>
      <c r="B1037" s="633" t="s">
        <v>35696</v>
      </c>
      <c r="C1037" s="715" t="s">
        <v>103</v>
      </c>
      <c r="D1037" s="715" t="s">
        <v>40839</v>
      </c>
      <c r="E1037" s="716">
        <v>36754.879999999997</v>
      </c>
    </row>
    <row r="1038" spans="1:5">
      <c r="A1038" s="715">
        <v>45194</v>
      </c>
      <c r="B1038" s="633" t="s">
        <v>40851</v>
      </c>
      <c r="C1038" s="715" t="s">
        <v>103</v>
      </c>
      <c r="D1038" s="715" t="s">
        <v>40839</v>
      </c>
      <c r="E1038" s="716">
        <v>216.16</v>
      </c>
    </row>
    <row r="1039" spans="1:5" ht="43">
      <c r="A1039" s="715">
        <v>37762</v>
      </c>
      <c r="B1039" s="633" t="s">
        <v>35697</v>
      </c>
      <c r="C1039" s="715" t="s">
        <v>103</v>
      </c>
      <c r="D1039" s="715" t="s">
        <v>40839</v>
      </c>
      <c r="E1039" s="716">
        <v>745258.65</v>
      </c>
    </row>
    <row r="1040" spans="1:5" ht="43">
      <c r="A1040" s="715">
        <v>37763</v>
      </c>
      <c r="B1040" s="633" t="s">
        <v>35698</v>
      </c>
      <c r="C1040" s="715" t="s">
        <v>103</v>
      </c>
      <c r="D1040" s="715" t="s">
        <v>40839</v>
      </c>
      <c r="E1040" s="716">
        <v>754310.25</v>
      </c>
    </row>
    <row r="1041" spans="1:5" ht="43">
      <c r="A1041" s="715">
        <v>41992</v>
      </c>
      <c r="B1041" s="633" t="s">
        <v>35699</v>
      </c>
      <c r="C1041" s="715" t="s">
        <v>103</v>
      </c>
      <c r="D1041" s="715" t="s">
        <v>28018</v>
      </c>
      <c r="E1041" s="716">
        <v>857500</v>
      </c>
    </row>
    <row r="1042" spans="1:5" ht="43">
      <c r="A1042" s="715">
        <v>13215</v>
      </c>
      <c r="B1042" s="633" t="s">
        <v>35700</v>
      </c>
      <c r="C1042" s="715" t="s">
        <v>103</v>
      </c>
      <c r="D1042" s="715" t="s">
        <v>40839</v>
      </c>
      <c r="E1042" s="716">
        <v>1051508.51</v>
      </c>
    </row>
    <row r="1043" spans="1:5">
      <c r="A1043" s="715">
        <v>4235</v>
      </c>
      <c r="B1043" s="633" t="s">
        <v>35701</v>
      </c>
      <c r="C1043" s="715" t="s">
        <v>11</v>
      </c>
      <c r="D1043" s="715" t="s">
        <v>40839</v>
      </c>
      <c r="E1043" s="716">
        <v>38.630000000000003</v>
      </c>
    </row>
    <row r="1044" spans="1:5">
      <c r="A1044" s="715">
        <v>40976</v>
      </c>
      <c r="B1044" s="633" t="s">
        <v>35702</v>
      </c>
      <c r="C1044" s="715" t="s">
        <v>27629</v>
      </c>
      <c r="D1044" s="715" t="s">
        <v>40839</v>
      </c>
      <c r="E1044" s="716">
        <v>6767.77</v>
      </c>
    </row>
    <row r="1045" spans="1:5" ht="43">
      <c r="A1045" s="715">
        <v>43091</v>
      </c>
      <c r="B1045" s="633" t="s">
        <v>35703</v>
      </c>
      <c r="C1045" s="715" t="s">
        <v>103</v>
      </c>
      <c r="D1045" s="715" t="s">
        <v>40839</v>
      </c>
      <c r="E1045" s="716">
        <v>6003.8</v>
      </c>
    </row>
    <row r="1046" spans="1:5" ht="43">
      <c r="A1046" s="715">
        <v>43092</v>
      </c>
      <c r="B1046" s="633" t="s">
        <v>35704</v>
      </c>
      <c r="C1046" s="715" t="s">
        <v>103</v>
      </c>
      <c r="D1046" s="715" t="s">
        <v>40839</v>
      </c>
      <c r="E1046" s="716">
        <v>8005.07</v>
      </c>
    </row>
    <row r="1047" spans="1:5" ht="43">
      <c r="A1047" s="715">
        <v>43089</v>
      </c>
      <c r="B1047" s="633" t="s">
        <v>35705</v>
      </c>
      <c r="C1047" s="715" t="s">
        <v>103</v>
      </c>
      <c r="D1047" s="715" t="s">
        <v>40839</v>
      </c>
      <c r="E1047" s="716">
        <v>1395.11</v>
      </c>
    </row>
    <row r="1048" spans="1:5" ht="43">
      <c r="A1048" s="715">
        <v>43090</v>
      </c>
      <c r="B1048" s="633" t="s">
        <v>35706</v>
      </c>
      <c r="C1048" s="715" t="s">
        <v>103</v>
      </c>
      <c r="D1048" s="715" t="s">
        <v>40839</v>
      </c>
      <c r="E1048" s="716">
        <v>3078.87</v>
      </c>
    </row>
    <row r="1049" spans="1:5">
      <c r="A1049" s="715">
        <v>41967</v>
      </c>
      <c r="B1049" s="633" t="s">
        <v>35707</v>
      </c>
      <c r="C1049" s="715" t="s">
        <v>153</v>
      </c>
      <c r="D1049" s="715" t="s">
        <v>40839</v>
      </c>
      <c r="E1049" s="716">
        <v>27.05</v>
      </c>
    </row>
    <row r="1050" spans="1:5" ht="29">
      <c r="A1050" s="715">
        <v>12760</v>
      </c>
      <c r="B1050" s="633" t="s">
        <v>35708</v>
      </c>
      <c r="C1050" s="715" t="s">
        <v>509</v>
      </c>
      <c r="D1050" s="715" t="s">
        <v>40839</v>
      </c>
      <c r="E1050" s="716">
        <v>1415.89</v>
      </c>
    </row>
    <row r="1051" spans="1:5" ht="29">
      <c r="A1051" s="715">
        <v>12759</v>
      </c>
      <c r="B1051" s="633" t="s">
        <v>35709</v>
      </c>
      <c r="C1051" s="715" t="s">
        <v>509</v>
      </c>
      <c r="D1051" s="715" t="s">
        <v>40839</v>
      </c>
      <c r="E1051" s="716">
        <v>943.91</v>
      </c>
    </row>
    <row r="1052" spans="1:5" ht="29">
      <c r="A1052" s="715">
        <v>43105</v>
      </c>
      <c r="B1052" s="633" t="s">
        <v>35710</v>
      </c>
      <c r="C1052" s="715" t="s">
        <v>207</v>
      </c>
      <c r="D1052" s="715" t="s">
        <v>40839</v>
      </c>
      <c r="E1052" s="716">
        <v>33.299999999999997</v>
      </c>
    </row>
    <row r="1053" spans="1:5" ht="29">
      <c r="A1053" s="715">
        <v>40424</v>
      </c>
      <c r="B1053" s="633" t="s">
        <v>35711</v>
      </c>
      <c r="C1053" s="715" t="s">
        <v>207</v>
      </c>
      <c r="D1053" s="715" t="s">
        <v>40839</v>
      </c>
      <c r="E1053" s="716">
        <v>8.4600000000000009</v>
      </c>
    </row>
    <row r="1054" spans="1:5">
      <c r="A1054" s="715">
        <v>1325</v>
      </c>
      <c r="B1054" s="633" t="s">
        <v>35712</v>
      </c>
      <c r="C1054" s="715" t="s">
        <v>207</v>
      </c>
      <c r="D1054" s="715" t="s">
        <v>40839</v>
      </c>
      <c r="E1054" s="716">
        <v>9.26</v>
      </c>
    </row>
    <row r="1055" spans="1:5">
      <c r="A1055" s="715">
        <v>1327</v>
      </c>
      <c r="B1055" s="633" t="s">
        <v>35713</v>
      </c>
      <c r="C1055" s="715" t="s">
        <v>207</v>
      </c>
      <c r="D1055" s="715" t="s">
        <v>40839</v>
      </c>
      <c r="E1055" s="716">
        <v>9.8699999999999992</v>
      </c>
    </row>
    <row r="1056" spans="1:5">
      <c r="A1056" s="715">
        <v>1328</v>
      </c>
      <c r="B1056" s="633" t="s">
        <v>35714</v>
      </c>
      <c r="C1056" s="715" t="s">
        <v>207</v>
      </c>
      <c r="D1056" s="715" t="s">
        <v>40839</v>
      </c>
      <c r="E1056" s="716">
        <v>9.2899999999999991</v>
      </c>
    </row>
    <row r="1057" spans="1:5">
      <c r="A1057" s="715">
        <v>1321</v>
      </c>
      <c r="B1057" s="633" t="s">
        <v>35715</v>
      </c>
      <c r="C1057" s="715" t="s">
        <v>207</v>
      </c>
      <c r="D1057" s="715" t="s">
        <v>40839</v>
      </c>
      <c r="E1057" s="716">
        <v>8.6</v>
      </c>
    </row>
    <row r="1058" spans="1:5">
      <c r="A1058" s="715">
        <v>1318</v>
      </c>
      <c r="B1058" s="633" t="s">
        <v>35716</v>
      </c>
      <c r="C1058" s="715" t="s">
        <v>207</v>
      </c>
      <c r="D1058" s="715" t="s">
        <v>40839</v>
      </c>
      <c r="E1058" s="716">
        <v>8.61</v>
      </c>
    </row>
    <row r="1059" spans="1:5">
      <c r="A1059" s="715">
        <v>1322</v>
      </c>
      <c r="B1059" s="633" t="s">
        <v>35717</v>
      </c>
      <c r="C1059" s="715" t="s">
        <v>207</v>
      </c>
      <c r="D1059" s="715" t="s">
        <v>40839</v>
      </c>
      <c r="E1059" s="716">
        <v>9.09</v>
      </c>
    </row>
    <row r="1060" spans="1:5">
      <c r="A1060" s="715">
        <v>1323</v>
      </c>
      <c r="B1060" s="633" t="s">
        <v>35718</v>
      </c>
      <c r="C1060" s="715" t="s">
        <v>207</v>
      </c>
      <c r="D1060" s="715" t="s">
        <v>40839</v>
      </c>
      <c r="E1060" s="716">
        <v>9.09</v>
      </c>
    </row>
    <row r="1061" spans="1:5">
      <c r="A1061" s="715">
        <v>1319</v>
      </c>
      <c r="B1061" s="633" t="s">
        <v>35719</v>
      </c>
      <c r="C1061" s="715" t="s">
        <v>207</v>
      </c>
      <c r="D1061" s="715" t="s">
        <v>40839</v>
      </c>
      <c r="E1061" s="716">
        <v>7.66</v>
      </c>
    </row>
    <row r="1062" spans="1:5">
      <c r="A1062" s="715">
        <v>11026</v>
      </c>
      <c r="B1062" s="633" t="s">
        <v>35720</v>
      </c>
      <c r="C1062" s="715" t="s">
        <v>207</v>
      </c>
      <c r="D1062" s="715" t="s">
        <v>40839</v>
      </c>
      <c r="E1062" s="716">
        <v>10.54</v>
      </c>
    </row>
    <row r="1063" spans="1:5">
      <c r="A1063" s="715">
        <v>11027</v>
      </c>
      <c r="B1063" s="633" t="s">
        <v>35721</v>
      </c>
      <c r="C1063" s="715" t="s">
        <v>207</v>
      </c>
      <c r="D1063" s="715" t="s">
        <v>40839</v>
      </c>
      <c r="E1063" s="716">
        <v>10.97</v>
      </c>
    </row>
    <row r="1064" spans="1:5">
      <c r="A1064" s="715">
        <v>11046</v>
      </c>
      <c r="B1064" s="633" t="s">
        <v>35722</v>
      </c>
      <c r="C1064" s="715" t="s">
        <v>207</v>
      </c>
      <c r="D1064" s="715" t="s">
        <v>40839</v>
      </c>
      <c r="E1064" s="716">
        <v>10.51</v>
      </c>
    </row>
    <row r="1065" spans="1:5">
      <c r="A1065" s="715">
        <v>11047</v>
      </c>
      <c r="B1065" s="633" t="s">
        <v>35723</v>
      </c>
      <c r="C1065" s="715" t="s">
        <v>207</v>
      </c>
      <c r="D1065" s="715" t="s">
        <v>40839</v>
      </c>
      <c r="E1065" s="716">
        <v>11.45</v>
      </c>
    </row>
    <row r="1066" spans="1:5">
      <c r="A1066" s="715">
        <v>43668</v>
      </c>
      <c r="B1066" s="633" t="s">
        <v>35724</v>
      </c>
      <c r="C1066" s="715" t="s">
        <v>207</v>
      </c>
      <c r="D1066" s="715" t="s">
        <v>40839</v>
      </c>
      <c r="E1066" s="716">
        <v>10.11</v>
      </c>
    </row>
    <row r="1067" spans="1:5">
      <c r="A1067" s="715">
        <v>11049</v>
      </c>
      <c r="B1067" s="633" t="s">
        <v>35725</v>
      </c>
      <c r="C1067" s="715" t="s">
        <v>207</v>
      </c>
      <c r="D1067" s="715" t="s">
        <v>28018</v>
      </c>
      <c r="E1067" s="716">
        <v>10.95</v>
      </c>
    </row>
    <row r="1068" spans="1:5">
      <c r="A1068" s="715">
        <v>43106</v>
      </c>
      <c r="B1068" s="633" t="s">
        <v>35726</v>
      </c>
      <c r="C1068" s="715" t="s">
        <v>207</v>
      </c>
      <c r="D1068" s="715" t="s">
        <v>40839</v>
      </c>
      <c r="E1068" s="716">
        <v>11.02</v>
      </c>
    </row>
    <row r="1069" spans="1:5">
      <c r="A1069" s="715">
        <v>11051</v>
      </c>
      <c r="B1069" s="633" t="s">
        <v>35727</v>
      </c>
      <c r="C1069" s="715" t="s">
        <v>207</v>
      </c>
      <c r="D1069" s="715" t="s">
        <v>40839</v>
      </c>
      <c r="E1069" s="716">
        <v>11.49</v>
      </c>
    </row>
    <row r="1070" spans="1:5">
      <c r="A1070" s="715">
        <v>11061</v>
      </c>
      <c r="B1070" s="633" t="s">
        <v>35728</v>
      </c>
      <c r="C1070" s="715" t="s">
        <v>207</v>
      </c>
      <c r="D1070" s="715" t="s">
        <v>40839</v>
      </c>
      <c r="E1070" s="716">
        <v>13.79</v>
      </c>
    </row>
    <row r="1071" spans="1:5">
      <c r="A1071" s="715">
        <v>43667</v>
      </c>
      <c r="B1071" s="633" t="s">
        <v>35729</v>
      </c>
      <c r="C1071" s="715" t="s">
        <v>207</v>
      </c>
      <c r="D1071" s="715" t="s">
        <v>40839</v>
      </c>
      <c r="E1071" s="716">
        <v>10.02</v>
      </c>
    </row>
    <row r="1072" spans="1:5">
      <c r="A1072" s="715">
        <v>1333</v>
      </c>
      <c r="B1072" s="633" t="s">
        <v>35730</v>
      </c>
      <c r="C1072" s="715" t="s">
        <v>207</v>
      </c>
      <c r="D1072" s="715" t="s">
        <v>40839</v>
      </c>
      <c r="E1072" s="716">
        <v>8.35</v>
      </c>
    </row>
    <row r="1073" spans="1:5">
      <c r="A1073" s="715">
        <v>1330</v>
      </c>
      <c r="B1073" s="633" t="s">
        <v>35731</v>
      </c>
      <c r="C1073" s="715" t="s">
        <v>207</v>
      </c>
      <c r="D1073" s="715" t="s">
        <v>40839</v>
      </c>
      <c r="E1073" s="716">
        <v>8.27</v>
      </c>
    </row>
    <row r="1074" spans="1:5">
      <c r="A1074" s="715">
        <v>10957</v>
      </c>
      <c r="B1074" s="633" t="s">
        <v>35732</v>
      </c>
      <c r="C1074" s="715" t="s">
        <v>207</v>
      </c>
      <c r="D1074" s="715" t="s">
        <v>40839</v>
      </c>
      <c r="E1074" s="716">
        <v>9.5399999999999991</v>
      </c>
    </row>
    <row r="1075" spans="1:5">
      <c r="A1075" s="715">
        <v>1332</v>
      </c>
      <c r="B1075" s="633" t="s">
        <v>35733</v>
      </c>
      <c r="C1075" s="715" t="s">
        <v>207</v>
      </c>
      <c r="D1075" s="715" t="s">
        <v>40839</v>
      </c>
      <c r="E1075" s="716">
        <v>8.48</v>
      </c>
    </row>
    <row r="1076" spans="1:5">
      <c r="A1076" s="715">
        <v>1334</v>
      </c>
      <c r="B1076" s="633" t="s">
        <v>35734</v>
      </c>
      <c r="C1076" s="715" t="s">
        <v>207</v>
      </c>
      <c r="D1076" s="715" t="s">
        <v>40839</v>
      </c>
      <c r="E1076" s="716">
        <v>9.4</v>
      </c>
    </row>
    <row r="1077" spans="1:5">
      <c r="A1077" s="715">
        <v>1335</v>
      </c>
      <c r="B1077" s="633" t="s">
        <v>35735</v>
      </c>
      <c r="C1077" s="715" t="s">
        <v>207</v>
      </c>
      <c r="D1077" s="715" t="s">
        <v>40839</v>
      </c>
      <c r="E1077" s="716">
        <v>9.7200000000000006</v>
      </c>
    </row>
    <row r="1078" spans="1:5">
      <c r="A1078" s="715">
        <v>40425</v>
      </c>
      <c r="B1078" s="633" t="s">
        <v>35736</v>
      </c>
      <c r="C1078" s="715" t="s">
        <v>207</v>
      </c>
      <c r="D1078" s="715" t="s">
        <v>40839</v>
      </c>
      <c r="E1078" s="716">
        <v>8.32</v>
      </c>
    </row>
    <row r="1079" spans="1:5">
      <c r="A1079" s="715">
        <v>1337</v>
      </c>
      <c r="B1079" s="633" t="s">
        <v>35737</v>
      </c>
      <c r="C1079" s="715" t="s">
        <v>207</v>
      </c>
      <c r="D1079" s="715" t="s">
        <v>40839</v>
      </c>
      <c r="E1079" s="716">
        <v>9.5399999999999991</v>
      </c>
    </row>
    <row r="1080" spans="1:5">
      <c r="A1080" s="715">
        <v>34659</v>
      </c>
      <c r="B1080" s="633" t="s">
        <v>35738</v>
      </c>
      <c r="C1080" s="715" t="s">
        <v>509</v>
      </c>
      <c r="D1080" s="715" t="s">
        <v>40839</v>
      </c>
      <c r="E1080" s="716">
        <v>45.24</v>
      </c>
    </row>
    <row r="1081" spans="1:5">
      <c r="A1081" s="715">
        <v>34514</v>
      </c>
      <c r="B1081" s="633" t="s">
        <v>35739</v>
      </c>
      <c r="C1081" s="715" t="s">
        <v>509</v>
      </c>
      <c r="D1081" s="715" t="s">
        <v>28018</v>
      </c>
      <c r="E1081" s="716">
        <v>50.11</v>
      </c>
    </row>
    <row r="1082" spans="1:5">
      <c r="A1082" s="715">
        <v>34660</v>
      </c>
      <c r="B1082" s="633" t="s">
        <v>35740</v>
      </c>
      <c r="C1082" s="715" t="s">
        <v>509</v>
      </c>
      <c r="D1082" s="715" t="s">
        <v>40839</v>
      </c>
      <c r="E1082" s="716">
        <v>63.59</v>
      </c>
    </row>
    <row r="1083" spans="1:5">
      <c r="A1083" s="715">
        <v>34661</v>
      </c>
      <c r="B1083" s="633" t="s">
        <v>35741</v>
      </c>
      <c r="C1083" s="715" t="s">
        <v>509</v>
      </c>
      <c r="D1083" s="715" t="s">
        <v>40839</v>
      </c>
      <c r="E1083" s="716">
        <v>91.34</v>
      </c>
    </row>
    <row r="1084" spans="1:5">
      <c r="A1084" s="715">
        <v>34667</v>
      </c>
      <c r="B1084" s="633" t="s">
        <v>35742</v>
      </c>
      <c r="C1084" s="715" t="s">
        <v>509</v>
      </c>
      <c r="D1084" s="715" t="s">
        <v>40839</v>
      </c>
      <c r="E1084" s="716">
        <v>33.07</v>
      </c>
    </row>
    <row r="1085" spans="1:5">
      <c r="A1085" s="715">
        <v>34668</v>
      </c>
      <c r="B1085" s="633" t="s">
        <v>35743</v>
      </c>
      <c r="C1085" s="715" t="s">
        <v>509</v>
      </c>
      <c r="D1085" s="715" t="s">
        <v>40839</v>
      </c>
      <c r="E1085" s="716">
        <v>43.22</v>
      </c>
    </row>
    <row r="1086" spans="1:5">
      <c r="A1086" s="715">
        <v>34741</v>
      </c>
      <c r="B1086" s="633" t="s">
        <v>35744</v>
      </c>
      <c r="C1086" s="715" t="s">
        <v>509</v>
      </c>
      <c r="D1086" s="715" t="s">
        <v>40839</v>
      </c>
      <c r="E1086" s="716">
        <v>47.56</v>
      </c>
    </row>
    <row r="1087" spans="1:5">
      <c r="A1087" s="715">
        <v>34664</v>
      </c>
      <c r="B1087" s="633" t="s">
        <v>35745</v>
      </c>
      <c r="C1087" s="715" t="s">
        <v>509</v>
      </c>
      <c r="D1087" s="715" t="s">
        <v>40839</v>
      </c>
      <c r="E1087" s="716">
        <v>51.9</v>
      </c>
    </row>
    <row r="1088" spans="1:5">
      <c r="A1088" s="715">
        <v>34665</v>
      </c>
      <c r="B1088" s="633" t="s">
        <v>35746</v>
      </c>
      <c r="C1088" s="715" t="s">
        <v>509</v>
      </c>
      <c r="D1088" s="715" t="s">
        <v>40839</v>
      </c>
      <c r="E1088" s="716">
        <v>64.430000000000007</v>
      </c>
    </row>
    <row r="1089" spans="1:5">
      <c r="A1089" s="715">
        <v>34666</v>
      </c>
      <c r="B1089" s="633" t="s">
        <v>35747</v>
      </c>
      <c r="C1089" s="715" t="s">
        <v>509</v>
      </c>
      <c r="D1089" s="715" t="s">
        <v>40839</v>
      </c>
      <c r="E1089" s="716">
        <v>97.31</v>
      </c>
    </row>
    <row r="1090" spans="1:5">
      <c r="A1090" s="715">
        <v>34669</v>
      </c>
      <c r="B1090" s="633" t="s">
        <v>35748</v>
      </c>
      <c r="C1090" s="715" t="s">
        <v>509</v>
      </c>
      <c r="D1090" s="715" t="s">
        <v>40839</v>
      </c>
      <c r="E1090" s="716">
        <v>35.68</v>
      </c>
    </row>
    <row r="1091" spans="1:5">
      <c r="A1091" s="715">
        <v>34670</v>
      </c>
      <c r="B1091" s="633" t="s">
        <v>35749</v>
      </c>
      <c r="C1091" s="715" t="s">
        <v>509</v>
      </c>
      <c r="D1091" s="715" t="s">
        <v>40839</v>
      </c>
      <c r="E1091" s="716">
        <v>43.64</v>
      </c>
    </row>
    <row r="1092" spans="1:5">
      <c r="A1092" s="715">
        <v>34671</v>
      </c>
      <c r="B1092" s="633" t="s">
        <v>35750</v>
      </c>
      <c r="C1092" s="715" t="s">
        <v>509</v>
      </c>
      <c r="D1092" s="715" t="s">
        <v>40839</v>
      </c>
      <c r="E1092" s="716">
        <v>36.43</v>
      </c>
    </row>
    <row r="1093" spans="1:5">
      <c r="A1093" s="715">
        <v>34672</v>
      </c>
      <c r="B1093" s="633" t="s">
        <v>35751</v>
      </c>
      <c r="C1093" s="715" t="s">
        <v>509</v>
      </c>
      <c r="D1093" s="715" t="s">
        <v>40839</v>
      </c>
      <c r="E1093" s="716">
        <v>38.409999999999997</v>
      </c>
    </row>
    <row r="1094" spans="1:5">
      <c r="A1094" s="715">
        <v>34673</v>
      </c>
      <c r="B1094" s="633" t="s">
        <v>35752</v>
      </c>
      <c r="C1094" s="715" t="s">
        <v>509</v>
      </c>
      <c r="D1094" s="715" t="s">
        <v>40839</v>
      </c>
      <c r="E1094" s="716">
        <v>46.87</v>
      </c>
    </row>
    <row r="1095" spans="1:5">
      <c r="A1095" s="715">
        <v>34674</v>
      </c>
      <c r="B1095" s="633" t="s">
        <v>35753</v>
      </c>
      <c r="C1095" s="715" t="s">
        <v>509</v>
      </c>
      <c r="D1095" s="715" t="s">
        <v>40839</v>
      </c>
      <c r="E1095" s="716">
        <v>62.31</v>
      </c>
    </row>
    <row r="1096" spans="1:5">
      <c r="A1096" s="715">
        <v>34675</v>
      </c>
      <c r="B1096" s="633" t="s">
        <v>35754</v>
      </c>
      <c r="C1096" s="715" t="s">
        <v>509</v>
      </c>
      <c r="D1096" s="715" t="s">
        <v>40839</v>
      </c>
      <c r="E1096" s="716">
        <v>75.97</v>
      </c>
    </row>
    <row r="1097" spans="1:5">
      <c r="A1097" s="715">
        <v>34676</v>
      </c>
      <c r="B1097" s="633" t="s">
        <v>35755</v>
      </c>
      <c r="C1097" s="715" t="s">
        <v>509</v>
      </c>
      <c r="D1097" s="715" t="s">
        <v>40839</v>
      </c>
      <c r="E1097" s="716">
        <v>21.87</v>
      </c>
    </row>
    <row r="1098" spans="1:5">
      <c r="A1098" s="715">
        <v>34677</v>
      </c>
      <c r="B1098" s="633" t="s">
        <v>35756</v>
      </c>
      <c r="C1098" s="715" t="s">
        <v>509</v>
      </c>
      <c r="D1098" s="715" t="s">
        <v>40839</v>
      </c>
      <c r="E1098" s="716">
        <v>29.4</v>
      </c>
    </row>
    <row r="1099" spans="1:5" ht="29">
      <c r="A1099" s="715">
        <v>43126</v>
      </c>
      <c r="B1099" s="633" t="s">
        <v>35757</v>
      </c>
      <c r="C1099" s="715" t="s">
        <v>509</v>
      </c>
      <c r="D1099" s="715" t="s">
        <v>40839</v>
      </c>
      <c r="E1099" s="716">
        <v>106.87</v>
      </c>
    </row>
    <row r="1100" spans="1:5" ht="29">
      <c r="A1100" s="715">
        <v>43124</v>
      </c>
      <c r="B1100" s="633" t="s">
        <v>35758</v>
      </c>
      <c r="C1100" s="715" t="s">
        <v>509</v>
      </c>
      <c r="D1100" s="715" t="s">
        <v>40839</v>
      </c>
      <c r="E1100" s="716">
        <v>124.78</v>
      </c>
    </row>
    <row r="1101" spans="1:5" ht="29">
      <c r="A1101" s="715">
        <v>43125</v>
      </c>
      <c r="B1101" s="633" t="s">
        <v>35759</v>
      </c>
      <c r="C1101" s="715" t="s">
        <v>509</v>
      </c>
      <c r="D1101" s="715" t="s">
        <v>40839</v>
      </c>
      <c r="E1101" s="716">
        <v>161.83000000000001</v>
      </c>
    </row>
    <row r="1102" spans="1:5" ht="29">
      <c r="A1102" s="715">
        <v>40623</v>
      </c>
      <c r="B1102" s="633" t="s">
        <v>40998</v>
      </c>
      <c r="C1102" s="715" t="s">
        <v>525</v>
      </c>
      <c r="D1102" s="715" t="s">
        <v>40839</v>
      </c>
      <c r="E1102" s="716">
        <v>92.87</v>
      </c>
    </row>
    <row r="1103" spans="1:5" ht="29">
      <c r="A1103" s="715">
        <v>1345</v>
      </c>
      <c r="B1103" s="633" t="s">
        <v>35760</v>
      </c>
      <c r="C1103" s="715" t="s">
        <v>509</v>
      </c>
      <c r="D1103" s="715" t="s">
        <v>40839</v>
      </c>
      <c r="E1103" s="716">
        <v>72.09</v>
      </c>
    </row>
    <row r="1104" spans="1:5" ht="29">
      <c r="A1104" s="715">
        <v>1346</v>
      </c>
      <c r="B1104" s="633" t="s">
        <v>35761</v>
      </c>
      <c r="C1104" s="715" t="s">
        <v>509</v>
      </c>
      <c r="D1104" s="715" t="s">
        <v>40839</v>
      </c>
      <c r="E1104" s="716">
        <v>41.93</v>
      </c>
    </row>
    <row r="1105" spans="1:5" ht="29">
      <c r="A1105" s="715">
        <v>1347</v>
      </c>
      <c r="B1105" s="633" t="s">
        <v>35762</v>
      </c>
      <c r="C1105" s="715" t="s">
        <v>509</v>
      </c>
      <c r="D1105" s="715" t="s">
        <v>40839</v>
      </c>
      <c r="E1105" s="716">
        <v>51.96</v>
      </c>
    </row>
    <row r="1106" spans="1:5" ht="29">
      <c r="A1106" s="715">
        <v>43678</v>
      </c>
      <c r="B1106" s="633" t="s">
        <v>35763</v>
      </c>
      <c r="C1106" s="715" t="s">
        <v>509</v>
      </c>
      <c r="D1106" s="715" t="s">
        <v>40839</v>
      </c>
      <c r="E1106" s="716">
        <v>60.27</v>
      </c>
    </row>
    <row r="1107" spans="1:5" ht="29">
      <c r="A1107" s="715">
        <v>43680</v>
      </c>
      <c r="B1107" s="633" t="s">
        <v>35764</v>
      </c>
      <c r="C1107" s="715" t="s">
        <v>509</v>
      </c>
      <c r="D1107" s="715" t="s">
        <v>40839</v>
      </c>
      <c r="E1107" s="716">
        <v>86.82</v>
      </c>
    </row>
    <row r="1108" spans="1:5" ht="29">
      <c r="A1108" s="715">
        <v>43679</v>
      </c>
      <c r="B1108" s="633" t="s">
        <v>35765</v>
      </c>
      <c r="C1108" s="715" t="s">
        <v>509</v>
      </c>
      <c r="D1108" s="715" t="s">
        <v>40839</v>
      </c>
      <c r="E1108" s="716">
        <v>30.47</v>
      </c>
    </row>
    <row r="1109" spans="1:5" ht="29">
      <c r="A1109" s="715">
        <v>1355</v>
      </c>
      <c r="B1109" s="633" t="s">
        <v>35766</v>
      </c>
      <c r="C1109" s="715" t="s">
        <v>509</v>
      </c>
      <c r="D1109" s="715" t="s">
        <v>40839</v>
      </c>
      <c r="E1109" s="716">
        <v>34.67</v>
      </c>
    </row>
    <row r="1110" spans="1:5" ht="29">
      <c r="A1110" s="715">
        <v>1358</v>
      </c>
      <c r="B1110" s="633" t="s">
        <v>35767</v>
      </c>
      <c r="C1110" s="715" t="s">
        <v>509</v>
      </c>
      <c r="D1110" s="715" t="s">
        <v>40839</v>
      </c>
      <c r="E1110" s="716">
        <v>42.57</v>
      </c>
    </row>
    <row r="1111" spans="1:5" ht="29">
      <c r="A1111" s="715">
        <v>43677</v>
      </c>
      <c r="B1111" s="633" t="s">
        <v>35768</v>
      </c>
      <c r="C1111" s="715" t="s">
        <v>509</v>
      </c>
      <c r="D1111" s="715" t="s">
        <v>40839</v>
      </c>
      <c r="E1111" s="716">
        <v>52.81</v>
      </c>
    </row>
    <row r="1112" spans="1:5" ht="29">
      <c r="A1112" s="715">
        <v>43682</v>
      </c>
      <c r="B1112" s="633" t="s">
        <v>35769</v>
      </c>
      <c r="C1112" s="715" t="s">
        <v>509</v>
      </c>
      <c r="D1112" s="715" t="s">
        <v>40839</v>
      </c>
      <c r="E1112" s="716">
        <v>16.190000000000001</v>
      </c>
    </row>
    <row r="1113" spans="1:5" ht="29">
      <c r="A1113" s="715">
        <v>43681</v>
      </c>
      <c r="B1113" s="633" t="s">
        <v>35770</v>
      </c>
      <c r="C1113" s="715" t="s">
        <v>509</v>
      </c>
      <c r="D1113" s="715" t="s">
        <v>28018</v>
      </c>
      <c r="E1113" s="716">
        <v>26.82</v>
      </c>
    </row>
    <row r="1114" spans="1:5">
      <c r="A1114" s="715">
        <v>45248</v>
      </c>
      <c r="B1114" s="633" t="s">
        <v>40852</v>
      </c>
      <c r="C1114" s="715" t="s">
        <v>103</v>
      </c>
      <c r="D1114" s="715" t="s">
        <v>40839</v>
      </c>
      <c r="E1114" s="716">
        <v>72.73</v>
      </c>
    </row>
    <row r="1115" spans="1:5">
      <c r="A1115" s="715">
        <v>45243</v>
      </c>
      <c r="B1115" s="633" t="s">
        <v>40853</v>
      </c>
      <c r="C1115" s="715" t="s">
        <v>103</v>
      </c>
      <c r="D1115" s="715" t="s">
        <v>40839</v>
      </c>
      <c r="E1115" s="716">
        <v>235.19</v>
      </c>
    </row>
    <row r="1116" spans="1:5">
      <c r="A1116" s="715">
        <v>45252</v>
      </c>
      <c r="B1116" s="633" t="s">
        <v>40854</v>
      </c>
      <c r="C1116" s="715" t="s">
        <v>103</v>
      </c>
      <c r="D1116" s="715" t="s">
        <v>40839</v>
      </c>
      <c r="E1116" s="716">
        <v>41.25</v>
      </c>
    </row>
    <row r="1117" spans="1:5">
      <c r="A1117" s="715">
        <v>45246</v>
      </c>
      <c r="B1117" s="633" t="s">
        <v>40855</v>
      </c>
      <c r="C1117" s="715" t="s">
        <v>103</v>
      </c>
      <c r="D1117" s="715" t="s">
        <v>40839</v>
      </c>
      <c r="E1117" s="716">
        <v>191.16</v>
      </c>
    </row>
    <row r="1118" spans="1:5" ht="29">
      <c r="A1118" s="715">
        <v>20971</v>
      </c>
      <c r="B1118" s="633" t="s">
        <v>35771</v>
      </c>
      <c r="C1118" s="715" t="s">
        <v>103</v>
      </c>
      <c r="D1118" s="715" t="s">
        <v>40839</v>
      </c>
      <c r="E1118" s="716">
        <v>33.04</v>
      </c>
    </row>
    <row r="1119" spans="1:5">
      <c r="A1119" s="715">
        <v>45247</v>
      </c>
      <c r="B1119" s="633" t="s">
        <v>40856</v>
      </c>
      <c r="C1119" s="715" t="s">
        <v>103</v>
      </c>
      <c r="D1119" s="715" t="s">
        <v>40839</v>
      </c>
      <c r="E1119" s="716">
        <v>27.72</v>
      </c>
    </row>
    <row r="1120" spans="1:5" ht="29">
      <c r="A1120" s="715">
        <v>39746</v>
      </c>
      <c r="B1120" s="633" t="s">
        <v>35772</v>
      </c>
      <c r="C1120" s="715" t="s">
        <v>103</v>
      </c>
      <c r="D1120" s="715" t="s">
        <v>40839</v>
      </c>
      <c r="E1120" s="716">
        <v>75.55</v>
      </c>
    </row>
    <row r="1121" spans="1:5">
      <c r="A1121" s="715">
        <v>13279</v>
      </c>
      <c r="B1121" s="633" t="s">
        <v>35773</v>
      </c>
      <c r="C1121" s="715" t="s">
        <v>207</v>
      </c>
      <c r="D1121" s="715" t="s">
        <v>40839</v>
      </c>
      <c r="E1121" s="716">
        <v>19.13</v>
      </c>
    </row>
    <row r="1122" spans="1:5">
      <c r="A1122" s="715">
        <v>11977</v>
      </c>
      <c r="B1122" s="633" t="s">
        <v>35774</v>
      </c>
      <c r="C1122" s="715" t="s">
        <v>103</v>
      </c>
      <c r="D1122" s="715" t="s">
        <v>40839</v>
      </c>
      <c r="E1122" s="716">
        <v>9.91</v>
      </c>
    </row>
    <row r="1123" spans="1:5">
      <c r="A1123" s="715">
        <v>11976</v>
      </c>
      <c r="B1123" s="633" t="s">
        <v>35775</v>
      </c>
      <c r="C1123" s="715" t="s">
        <v>103</v>
      </c>
      <c r="D1123" s="715" t="s">
        <v>40839</v>
      </c>
      <c r="E1123" s="716">
        <v>1.1100000000000001</v>
      </c>
    </row>
    <row r="1124" spans="1:5">
      <c r="A1124" s="715">
        <v>11975</v>
      </c>
      <c r="B1124" s="633" t="s">
        <v>35776</v>
      </c>
      <c r="C1124" s="715" t="s">
        <v>103</v>
      </c>
      <c r="D1124" s="715" t="s">
        <v>40839</v>
      </c>
      <c r="E1124" s="716">
        <v>21.72</v>
      </c>
    </row>
    <row r="1125" spans="1:5" ht="29">
      <c r="A1125" s="715">
        <v>1368</v>
      </c>
      <c r="B1125" s="633" t="s">
        <v>35777</v>
      </c>
      <c r="C1125" s="715" t="s">
        <v>103</v>
      </c>
      <c r="D1125" s="715" t="s">
        <v>28018</v>
      </c>
      <c r="E1125" s="716">
        <v>118</v>
      </c>
    </row>
    <row r="1126" spans="1:5">
      <c r="A1126" s="715">
        <v>1367</v>
      </c>
      <c r="B1126" s="633" t="s">
        <v>35778</v>
      </c>
      <c r="C1126" s="715" t="s">
        <v>103</v>
      </c>
      <c r="D1126" s="715" t="s">
        <v>40839</v>
      </c>
      <c r="E1126" s="716">
        <v>381.69</v>
      </c>
    </row>
    <row r="1127" spans="1:5">
      <c r="A1127" s="715">
        <v>1380</v>
      </c>
      <c r="B1127" s="633" t="s">
        <v>35779</v>
      </c>
      <c r="C1127" s="715" t="s">
        <v>207</v>
      </c>
      <c r="D1127" s="715" t="s">
        <v>40839</v>
      </c>
      <c r="E1127" s="716">
        <v>4.68</v>
      </c>
    </row>
    <row r="1128" spans="1:5">
      <c r="A1128" s="715">
        <v>1375</v>
      </c>
      <c r="B1128" s="633" t="s">
        <v>35780</v>
      </c>
      <c r="C1128" s="715" t="s">
        <v>207</v>
      </c>
      <c r="D1128" s="715" t="s">
        <v>40839</v>
      </c>
      <c r="E1128" s="716">
        <v>16.75</v>
      </c>
    </row>
    <row r="1129" spans="1:5">
      <c r="A1129" s="715">
        <v>1379</v>
      </c>
      <c r="B1129" s="633" t="s">
        <v>35781</v>
      </c>
      <c r="C1129" s="715" t="s">
        <v>207</v>
      </c>
      <c r="D1129" s="715" t="s">
        <v>28018</v>
      </c>
      <c r="E1129" s="716">
        <v>0.7</v>
      </c>
    </row>
    <row r="1130" spans="1:5">
      <c r="A1130" s="715">
        <v>13284</v>
      </c>
      <c r="B1130" s="633" t="s">
        <v>35782</v>
      </c>
      <c r="C1130" s="715" t="s">
        <v>207</v>
      </c>
      <c r="D1130" s="715" t="s">
        <v>40839</v>
      </c>
      <c r="E1130" s="716">
        <v>0.63</v>
      </c>
    </row>
    <row r="1131" spans="1:5">
      <c r="A1131" s="715">
        <v>44528</v>
      </c>
      <c r="B1131" s="633" t="s">
        <v>35783</v>
      </c>
      <c r="C1131" s="715" t="s">
        <v>207</v>
      </c>
      <c r="D1131" s="715" t="s">
        <v>40839</v>
      </c>
      <c r="E1131" s="716">
        <v>3.73</v>
      </c>
    </row>
    <row r="1132" spans="1:5">
      <c r="A1132" s="715">
        <v>34753</v>
      </c>
      <c r="B1132" s="633" t="s">
        <v>35784</v>
      </c>
      <c r="C1132" s="715" t="s">
        <v>207</v>
      </c>
      <c r="D1132" s="715" t="s">
        <v>40839</v>
      </c>
      <c r="E1132" s="716">
        <v>0.68</v>
      </c>
    </row>
    <row r="1133" spans="1:5" ht="29">
      <c r="A1133" s="715">
        <v>420</v>
      </c>
      <c r="B1133" s="633" t="s">
        <v>35785</v>
      </c>
      <c r="C1133" s="715" t="s">
        <v>103</v>
      </c>
      <c r="D1133" s="715" t="s">
        <v>40839</v>
      </c>
      <c r="E1133" s="716">
        <v>27.2</v>
      </c>
    </row>
    <row r="1134" spans="1:5" ht="29">
      <c r="A1134" s="715">
        <v>12327</v>
      </c>
      <c r="B1134" s="633" t="s">
        <v>35786</v>
      </c>
      <c r="C1134" s="715" t="s">
        <v>103</v>
      </c>
      <c r="D1134" s="715" t="s">
        <v>40839</v>
      </c>
      <c r="E1134" s="716">
        <v>32.4</v>
      </c>
    </row>
    <row r="1135" spans="1:5" ht="29">
      <c r="A1135" s="715">
        <v>36148</v>
      </c>
      <c r="B1135" s="633" t="s">
        <v>35787</v>
      </c>
      <c r="C1135" s="715" t="s">
        <v>103</v>
      </c>
      <c r="D1135" s="715" t="s">
        <v>40839</v>
      </c>
      <c r="E1135" s="716">
        <v>165.3</v>
      </c>
    </row>
    <row r="1136" spans="1:5">
      <c r="A1136" s="715">
        <v>12329</v>
      </c>
      <c r="B1136" s="633" t="s">
        <v>35788</v>
      </c>
      <c r="C1136" s="715" t="s">
        <v>207</v>
      </c>
      <c r="D1136" s="715" t="s">
        <v>40839</v>
      </c>
      <c r="E1136" s="716">
        <v>147.38</v>
      </c>
    </row>
    <row r="1137" spans="1:5">
      <c r="A1137" s="715">
        <v>44396</v>
      </c>
      <c r="B1137" s="633" t="s">
        <v>35789</v>
      </c>
      <c r="C1137" s="715" t="s">
        <v>207</v>
      </c>
      <c r="D1137" s="715" t="s">
        <v>40839</v>
      </c>
      <c r="E1137" s="716">
        <v>45.6</v>
      </c>
    </row>
    <row r="1138" spans="1:5">
      <c r="A1138" s="715">
        <v>44327</v>
      </c>
      <c r="B1138" s="633" t="s">
        <v>35790</v>
      </c>
      <c r="C1138" s="715" t="s">
        <v>153</v>
      </c>
      <c r="D1138" s="715" t="s">
        <v>40839</v>
      </c>
      <c r="E1138" s="716">
        <v>155.08000000000001</v>
      </c>
    </row>
    <row r="1139" spans="1:5" ht="29">
      <c r="A1139" s="715">
        <v>37418</v>
      </c>
      <c r="B1139" s="633" t="s">
        <v>35791</v>
      </c>
      <c r="C1139" s="715" t="s">
        <v>103</v>
      </c>
      <c r="D1139" s="715" t="s">
        <v>40839</v>
      </c>
      <c r="E1139" s="716">
        <v>19.34</v>
      </c>
    </row>
    <row r="1140" spans="1:5" ht="29">
      <c r="A1140" s="715">
        <v>37419</v>
      </c>
      <c r="B1140" s="633" t="s">
        <v>35792</v>
      </c>
      <c r="C1140" s="715" t="s">
        <v>103</v>
      </c>
      <c r="D1140" s="715" t="s">
        <v>40839</v>
      </c>
      <c r="E1140" s="716">
        <v>19.86</v>
      </c>
    </row>
    <row r="1141" spans="1:5" ht="29">
      <c r="A1141" s="715">
        <v>1427</v>
      </c>
      <c r="B1141" s="633" t="s">
        <v>35793</v>
      </c>
      <c r="C1141" s="715" t="s">
        <v>103</v>
      </c>
      <c r="D1141" s="715" t="s">
        <v>40839</v>
      </c>
      <c r="E1141" s="716">
        <v>23.56</v>
      </c>
    </row>
    <row r="1142" spans="1:5" ht="29">
      <c r="A1142" s="715">
        <v>1402</v>
      </c>
      <c r="B1142" s="633" t="s">
        <v>35794</v>
      </c>
      <c r="C1142" s="715" t="s">
        <v>103</v>
      </c>
      <c r="D1142" s="715" t="s">
        <v>40839</v>
      </c>
      <c r="E1142" s="716">
        <v>8.15</v>
      </c>
    </row>
    <row r="1143" spans="1:5" ht="29">
      <c r="A1143" s="715">
        <v>1420</v>
      </c>
      <c r="B1143" s="633" t="s">
        <v>35795</v>
      </c>
      <c r="C1143" s="715" t="s">
        <v>103</v>
      </c>
      <c r="D1143" s="715" t="s">
        <v>40839</v>
      </c>
      <c r="E1143" s="716">
        <v>10.49</v>
      </c>
    </row>
    <row r="1144" spans="1:5" ht="29">
      <c r="A1144" s="715">
        <v>1419</v>
      </c>
      <c r="B1144" s="633" t="s">
        <v>35796</v>
      </c>
      <c r="C1144" s="715" t="s">
        <v>103</v>
      </c>
      <c r="D1144" s="715" t="s">
        <v>40839</v>
      </c>
      <c r="E1144" s="716">
        <v>12.66</v>
      </c>
    </row>
    <row r="1145" spans="1:5" ht="29">
      <c r="A1145" s="715">
        <v>1414</v>
      </c>
      <c r="B1145" s="633" t="s">
        <v>35797</v>
      </c>
      <c r="C1145" s="715" t="s">
        <v>103</v>
      </c>
      <c r="D1145" s="715" t="s">
        <v>40839</v>
      </c>
      <c r="E1145" s="716">
        <v>12.39</v>
      </c>
    </row>
    <row r="1146" spans="1:5" ht="29">
      <c r="A1146" s="715">
        <v>1413</v>
      </c>
      <c r="B1146" s="633" t="s">
        <v>35798</v>
      </c>
      <c r="C1146" s="715" t="s">
        <v>103</v>
      </c>
      <c r="D1146" s="715" t="s">
        <v>40839</v>
      </c>
      <c r="E1146" s="716">
        <v>18.3</v>
      </c>
    </row>
    <row r="1147" spans="1:5" ht="29">
      <c r="A1147" s="715">
        <v>1412</v>
      </c>
      <c r="B1147" s="633" t="s">
        <v>35799</v>
      </c>
      <c r="C1147" s="715" t="s">
        <v>103</v>
      </c>
      <c r="D1147" s="715" t="s">
        <v>40839</v>
      </c>
      <c r="E1147" s="716">
        <v>15.51</v>
      </c>
    </row>
    <row r="1148" spans="1:5" ht="29">
      <c r="A1148" s="715">
        <v>1406</v>
      </c>
      <c r="B1148" s="633" t="s">
        <v>35800</v>
      </c>
      <c r="C1148" s="715" t="s">
        <v>103</v>
      </c>
      <c r="D1148" s="715" t="s">
        <v>40839</v>
      </c>
      <c r="E1148" s="716">
        <v>18.71</v>
      </c>
    </row>
    <row r="1149" spans="1:5" ht="29">
      <c r="A1149" s="715">
        <v>45237</v>
      </c>
      <c r="B1149" s="633" t="s">
        <v>40857</v>
      </c>
      <c r="C1149" s="715" t="s">
        <v>103</v>
      </c>
      <c r="D1149" s="715" t="s">
        <v>40839</v>
      </c>
      <c r="E1149" s="716">
        <v>22.12</v>
      </c>
    </row>
    <row r="1150" spans="1:5" ht="43">
      <c r="A1150" s="715">
        <v>11281</v>
      </c>
      <c r="B1150" s="633" t="s">
        <v>35801</v>
      </c>
      <c r="C1150" s="715" t="s">
        <v>103</v>
      </c>
      <c r="D1150" s="715" t="s">
        <v>28018</v>
      </c>
      <c r="E1150" s="716">
        <v>12671.42</v>
      </c>
    </row>
    <row r="1151" spans="1:5" ht="57">
      <c r="A1151" s="715">
        <v>1442</v>
      </c>
      <c r="B1151" s="633" t="s">
        <v>35802</v>
      </c>
      <c r="C1151" s="715" t="s">
        <v>103</v>
      </c>
      <c r="D1151" s="715" t="s">
        <v>40839</v>
      </c>
      <c r="E1151" s="716">
        <v>10637.56</v>
      </c>
    </row>
    <row r="1152" spans="1:5" ht="29">
      <c r="A1152" s="715">
        <v>13458</v>
      </c>
      <c r="B1152" s="633" t="s">
        <v>35803</v>
      </c>
      <c r="C1152" s="715" t="s">
        <v>103</v>
      </c>
      <c r="D1152" s="715" t="s">
        <v>40839</v>
      </c>
      <c r="E1152" s="716">
        <v>15701.54</v>
      </c>
    </row>
    <row r="1153" spans="1:5" ht="29">
      <c r="A1153" s="715">
        <v>11134</v>
      </c>
      <c r="B1153" s="633" t="s">
        <v>35804</v>
      </c>
      <c r="C1153" s="715" t="s">
        <v>509</v>
      </c>
      <c r="D1153" s="715" t="s">
        <v>40839</v>
      </c>
      <c r="E1153" s="716">
        <v>59.73</v>
      </c>
    </row>
    <row r="1154" spans="1:5" ht="29">
      <c r="A1154" s="715">
        <v>11135</v>
      </c>
      <c r="B1154" s="633" t="s">
        <v>35805</v>
      </c>
      <c r="C1154" s="715" t="s">
        <v>509</v>
      </c>
      <c r="D1154" s="715" t="s">
        <v>40839</v>
      </c>
      <c r="E1154" s="716">
        <v>64.489999999999995</v>
      </c>
    </row>
    <row r="1155" spans="1:5" ht="29">
      <c r="A1155" s="715">
        <v>11136</v>
      </c>
      <c r="B1155" s="633" t="s">
        <v>35806</v>
      </c>
      <c r="C1155" s="715" t="s">
        <v>509</v>
      </c>
      <c r="D1155" s="715" t="s">
        <v>40839</v>
      </c>
      <c r="E1155" s="716">
        <v>73.849999999999994</v>
      </c>
    </row>
    <row r="1156" spans="1:5" ht="29">
      <c r="A1156" s="715">
        <v>34743</v>
      </c>
      <c r="B1156" s="633" t="s">
        <v>35807</v>
      </c>
      <c r="C1156" s="715" t="s">
        <v>509</v>
      </c>
      <c r="D1156" s="715" t="s">
        <v>40839</v>
      </c>
      <c r="E1156" s="716">
        <v>89.1</v>
      </c>
    </row>
    <row r="1157" spans="1:5" ht="29">
      <c r="A1157" s="715">
        <v>11137</v>
      </c>
      <c r="B1157" s="633" t="s">
        <v>35808</v>
      </c>
      <c r="C1157" s="715" t="s">
        <v>509</v>
      </c>
      <c r="D1157" s="715" t="s">
        <v>40839</v>
      </c>
      <c r="E1157" s="716">
        <v>101.2</v>
      </c>
    </row>
    <row r="1158" spans="1:5" ht="29">
      <c r="A1158" s="715">
        <v>34745</v>
      </c>
      <c r="B1158" s="633" t="s">
        <v>35809</v>
      </c>
      <c r="C1158" s="715" t="s">
        <v>509</v>
      </c>
      <c r="D1158" s="715" t="s">
        <v>40839</v>
      </c>
      <c r="E1158" s="716">
        <v>120.35</v>
      </c>
    </row>
    <row r="1159" spans="1:5" ht="29">
      <c r="A1159" s="715">
        <v>34746</v>
      </c>
      <c r="B1159" s="633" t="s">
        <v>35810</v>
      </c>
      <c r="C1159" s="715" t="s">
        <v>509</v>
      </c>
      <c r="D1159" s="715" t="s">
        <v>40839</v>
      </c>
      <c r="E1159" s="716">
        <v>32.82</v>
      </c>
    </row>
    <row r="1160" spans="1:5" ht="29">
      <c r="A1160" s="715">
        <v>1360</v>
      </c>
      <c r="B1160" s="633" t="s">
        <v>35811</v>
      </c>
      <c r="C1160" s="715" t="s">
        <v>509</v>
      </c>
      <c r="D1160" s="715" t="s">
        <v>40839</v>
      </c>
      <c r="E1160" s="716">
        <v>38.29</v>
      </c>
    </row>
    <row r="1161" spans="1:5" ht="29">
      <c r="A1161" s="715">
        <v>45300</v>
      </c>
      <c r="B1161" s="633" t="s">
        <v>41282</v>
      </c>
      <c r="C1161" s="715" t="s">
        <v>103</v>
      </c>
      <c r="D1161" s="715" t="s">
        <v>40839</v>
      </c>
      <c r="E1161" s="716">
        <v>2434.38</v>
      </c>
    </row>
    <row r="1162" spans="1:5" ht="29">
      <c r="A1162" s="715">
        <v>36526</v>
      </c>
      <c r="B1162" s="633" t="s">
        <v>35812</v>
      </c>
      <c r="C1162" s="715" t="s">
        <v>103</v>
      </c>
      <c r="D1162" s="715" t="s">
        <v>40839</v>
      </c>
      <c r="E1162" s="716">
        <v>156805.28</v>
      </c>
    </row>
    <row r="1163" spans="1:5" ht="29">
      <c r="A1163" s="715">
        <v>36523</v>
      </c>
      <c r="B1163" s="633" t="s">
        <v>35813</v>
      </c>
      <c r="C1163" s="715" t="s">
        <v>103</v>
      </c>
      <c r="D1163" s="715" t="s">
        <v>40839</v>
      </c>
      <c r="E1163" s="716">
        <v>335698.96</v>
      </c>
    </row>
    <row r="1164" spans="1:5" ht="29">
      <c r="A1164" s="715">
        <v>36522</v>
      </c>
      <c r="B1164" s="633" t="s">
        <v>35814</v>
      </c>
      <c r="C1164" s="715" t="s">
        <v>103</v>
      </c>
      <c r="D1164" s="715" t="s">
        <v>40839</v>
      </c>
      <c r="E1164" s="716">
        <v>98734.35</v>
      </c>
    </row>
    <row r="1165" spans="1:5" ht="29">
      <c r="A1165" s="715">
        <v>36525</v>
      </c>
      <c r="B1165" s="633" t="s">
        <v>35815</v>
      </c>
      <c r="C1165" s="715" t="s">
        <v>103</v>
      </c>
      <c r="D1165" s="715" t="s">
        <v>40839</v>
      </c>
      <c r="E1165" s="716">
        <v>132228.35</v>
      </c>
    </row>
    <row r="1166" spans="1:5" ht="29">
      <c r="A1166" s="715">
        <v>13803</v>
      </c>
      <c r="B1166" s="633" t="s">
        <v>35816</v>
      </c>
      <c r="C1166" s="715" t="s">
        <v>103</v>
      </c>
      <c r="D1166" s="715" t="s">
        <v>28018</v>
      </c>
      <c r="E1166" s="716">
        <v>131850</v>
      </c>
    </row>
    <row r="1167" spans="1:5" ht="29">
      <c r="A1167" s="715">
        <v>34348</v>
      </c>
      <c r="B1167" s="633" t="s">
        <v>35817</v>
      </c>
      <c r="C1167" s="715" t="s">
        <v>165</v>
      </c>
      <c r="D1167" s="715" t="s">
        <v>40839</v>
      </c>
      <c r="E1167" s="716">
        <v>22.69</v>
      </c>
    </row>
    <row r="1168" spans="1:5" ht="29">
      <c r="A1168" s="715">
        <v>34347</v>
      </c>
      <c r="B1168" s="633" t="s">
        <v>35818</v>
      </c>
      <c r="C1168" s="715" t="s">
        <v>165</v>
      </c>
      <c r="D1168" s="715" t="s">
        <v>40839</v>
      </c>
      <c r="E1168" s="716">
        <v>16.22</v>
      </c>
    </row>
    <row r="1169" spans="1:5" ht="29">
      <c r="A1169" s="715">
        <v>11146</v>
      </c>
      <c r="B1169" s="633" t="s">
        <v>35819</v>
      </c>
      <c r="C1169" s="715" t="s">
        <v>121</v>
      </c>
      <c r="D1169" s="715" t="s">
        <v>40839</v>
      </c>
      <c r="E1169" s="716">
        <v>531.67999999999995</v>
      </c>
    </row>
    <row r="1170" spans="1:5" ht="29">
      <c r="A1170" s="715">
        <v>11147</v>
      </c>
      <c r="B1170" s="633" t="s">
        <v>35820</v>
      </c>
      <c r="C1170" s="715" t="s">
        <v>121</v>
      </c>
      <c r="D1170" s="715" t="s">
        <v>40839</v>
      </c>
      <c r="E1170" s="716">
        <v>552.49</v>
      </c>
    </row>
    <row r="1171" spans="1:5" ht="29">
      <c r="A1171" s="715">
        <v>34872</v>
      </c>
      <c r="B1171" s="633" t="s">
        <v>35821</v>
      </c>
      <c r="C1171" s="715" t="s">
        <v>121</v>
      </c>
      <c r="D1171" s="715" t="s">
        <v>40839</v>
      </c>
      <c r="E1171" s="716">
        <v>558.69000000000005</v>
      </c>
    </row>
    <row r="1172" spans="1:5" ht="29">
      <c r="A1172" s="715">
        <v>34491</v>
      </c>
      <c r="B1172" s="633" t="s">
        <v>35822</v>
      </c>
      <c r="C1172" s="715" t="s">
        <v>121</v>
      </c>
      <c r="D1172" s="715" t="s">
        <v>40839</v>
      </c>
      <c r="E1172" s="716">
        <v>574.88</v>
      </c>
    </row>
    <row r="1173" spans="1:5" ht="29">
      <c r="A1173" s="715">
        <v>34770</v>
      </c>
      <c r="B1173" s="633" t="s">
        <v>35823</v>
      </c>
      <c r="C1173" s="715" t="s">
        <v>118</v>
      </c>
      <c r="D1173" s="715" t="s">
        <v>40839</v>
      </c>
      <c r="E1173" s="716">
        <v>510.06</v>
      </c>
    </row>
    <row r="1174" spans="1:5" ht="29">
      <c r="A1174" s="715">
        <v>1518</v>
      </c>
      <c r="B1174" s="633" t="s">
        <v>35824</v>
      </c>
      <c r="C1174" s="715" t="s">
        <v>118</v>
      </c>
      <c r="D1174" s="715" t="s">
        <v>28018</v>
      </c>
      <c r="E1174" s="716">
        <v>520</v>
      </c>
    </row>
    <row r="1175" spans="1:5" ht="29">
      <c r="A1175" s="715">
        <v>41965</v>
      </c>
      <c r="B1175" s="633" t="s">
        <v>35825</v>
      </c>
      <c r="C1175" s="715" t="s">
        <v>118</v>
      </c>
      <c r="D1175" s="715" t="s">
        <v>40839</v>
      </c>
      <c r="E1175" s="716">
        <v>455.95</v>
      </c>
    </row>
    <row r="1176" spans="1:5" ht="43">
      <c r="A1176" s="715">
        <v>1524</v>
      </c>
      <c r="B1176" s="633" t="s">
        <v>35826</v>
      </c>
      <c r="C1176" s="715" t="s">
        <v>121</v>
      </c>
      <c r="D1176" s="715" t="s">
        <v>40839</v>
      </c>
      <c r="E1176" s="716">
        <v>510.11</v>
      </c>
    </row>
    <row r="1177" spans="1:5" ht="29">
      <c r="A1177" s="715">
        <v>34492</v>
      </c>
      <c r="B1177" s="633" t="s">
        <v>35827</v>
      </c>
      <c r="C1177" s="715" t="s">
        <v>121</v>
      </c>
      <c r="D1177" s="715" t="s">
        <v>28018</v>
      </c>
      <c r="E1177" s="716">
        <v>472.5</v>
      </c>
    </row>
    <row r="1178" spans="1:5" ht="29">
      <c r="A1178" s="715">
        <v>38404</v>
      </c>
      <c r="B1178" s="633" t="s">
        <v>35828</v>
      </c>
      <c r="C1178" s="715" t="s">
        <v>121</v>
      </c>
      <c r="D1178" s="715" t="s">
        <v>40839</v>
      </c>
      <c r="E1178" s="716">
        <v>489.42</v>
      </c>
    </row>
    <row r="1179" spans="1:5" ht="43">
      <c r="A1179" s="715">
        <v>39849</v>
      </c>
      <c r="B1179" s="633" t="s">
        <v>35829</v>
      </c>
      <c r="C1179" s="715" t="s">
        <v>121</v>
      </c>
      <c r="D1179" s="715" t="s">
        <v>40839</v>
      </c>
      <c r="E1179" s="716">
        <v>560.87</v>
      </c>
    </row>
    <row r="1180" spans="1:5" ht="43">
      <c r="A1180" s="715">
        <v>38464</v>
      </c>
      <c r="B1180" s="633" t="s">
        <v>35830</v>
      </c>
      <c r="C1180" s="715" t="s">
        <v>121</v>
      </c>
      <c r="D1180" s="715" t="s">
        <v>40839</v>
      </c>
      <c r="E1180" s="716">
        <v>569.01</v>
      </c>
    </row>
    <row r="1181" spans="1:5" ht="43">
      <c r="A1181" s="715">
        <v>1527</v>
      </c>
      <c r="B1181" s="633" t="s">
        <v>35831</v>
      </c>
      <c r="C1181" s="715" t="s">
        <v>121</v>
      </c>
      <c r="D1181" s="715" t="s">
        <v>40839</v>
      </c>
      <c r="E1181" s="716">
        <v>526.29999999999995</v>
      </c>
    </row>
    <row r="1182" spans="1:5" ht="29">
      <c r="A1182" s="715">
        <v>34493</v>
      </c>
      <c r="B1182" s="633" t="s">
        <v>35832</v>
      </c>
      <c r="C1182" s="715" t="s">
        <v>121</v>
      </c>
      <c r="D1182" s="715" t="s">
        <v>40839</v>
      </c>
      <c r="E1182" s="716">
        <v>485.81</v>
      </c>
    </row>
    <row r="1183" spans="1:5" ht="29">
      <c r="A1183" s="715">
        <v>38405</v>
      </c>
      <c r="B1183" s="633" t="s">
        <v>35833</v>
      </c>
      <c r="C1183" s="715" t="s">
        <v>121</v>
      </c>
      <c r="D1183" s="715" t="s">
        <v>40839</v>
      </c>
      <c r="E1183" s="716">
        <v>504.51</v>
      </c>
    </row>
    <row r="1184" spans="1:5" ht="29">
      <c r="A1184" s="715">
        <v>38408</v>
      </c>
      <c r="B1184" s="633" t="s">
        <v>35834</v>
      </c>
      <c r="C1184" s="715" t="s">
        <v>121</v>
      </c>
      <c r="D1184" s="715" t="s">
        <v>40839</v>
      </c>
      <c r="E1184" s="716">
        <v>558.44000000000005</v>
      </c>
    </row>
    <row r="1185" spans="1:5" ht="43">
      <c r="A1185" s="715">
        <v>1525</v>
      </c>
      <c r="B1185" s="633" t="s">
        <v>35835</v>
      </c>
      <c r="C1185" s="715" t="s">
        <v>121</v>
      </c>
      <c r="D1185" s="715" t="s">
        <v>40839</v>
      </c>
      <c r="E1185" s="716">
        <v>542.49</v>
      </c>
    </row>
    <row r="1186" spans="1:5" ht="29">
      <c r="A1186" s="715">
        <v>34494</v>
      </c>
      <c r="B1186" s="633" t="s">
        <v>35836</v>
      </c>
      <c r="C1186" s="715" t="s">
        <v>121</v>
      </c>
      <c r="D1186" s="715" t="s">
        <v>40839</v>
      </c>
      <c r="E1186" s="716">
        <v>502.01</v>
      </c>
    </row>
    <row r="1187" spans="1:5" ht="29">
      <c r="A1187" s="715">
        <v>38406</v>
      </c>
      <c r="B1187" s="633" t="s">
        <v>35837</v>
      </c>
      <c r="C1187" s="715" t="s">
        <v>121</v>
      </c>
      <c r="D1187" s="715" t="s">
        <v>40839</v>
      </c>
      <c r="E1187" s="716">
        <v>532.73</v>
      </c>
    </row>
    <row r="1188" spans="1:5" ht="29">
      <c r="A1188" s="715">
        <v>38409</v>
      </c>
      <c r="B1188" s="633" t="s">
        <v>35838</v>
      </c>
      <c r="C1188" s="715" t="s">
        <v>121</v>
      </c>
      <c r="D1188" s="715" t="s">
        <v>40839</v>
      </c>
      <c r="E1188" s="716">
        <v>562.25</v>
      </c>
    </row>
    <row r="1189" spans="1:5" ht="29">
      <c r="A1189" s="715">
        <v>43360</v>
      </c>
      <c r="B1189" s="633" t="s">
        <v>35839</v>
      </c>
      <c r="C1189" s="715" t="s">
        <v>121</v>
      </c>
      <c r="D1189" s="715" t="s">
        <v>40839</v>
      </c>
      <c r="E1189" s="716">
        <v>586.26</v>
      </c>
    </row>
    <row r="1190" spans="1:5" ht="43">
      <c r="A1190" s="715">
        <v>11145</v>
      </c>
      <c r="B1190" s="633" t="s">
        <v>35840</v>
      </c>
      <c r="C1190" s="715" t="s">
        <v>121</v>
      </c>
      <c r="D1190" s="715" t="s">
        <v>40839</v>
      </c>
      <c r="E1190" s="716">
        <v>558.69000000000005</v>
      </c>
    </row>
    <row r="1191" spans="1:5" ht="29">
      <c r="A1191" s="715">
        <v>34495</v>
      </c>
      <c r="B1191" s="633" t="s">
        <v>35841</v>
      </c>
      <c r="C1191" s="715" t="s">
        <v>121</v>
      </c>
      <c r="D1191" s="715" t="s">
        <v>40839</v>
      </c>
      <c r="E1191" s="716">
        <v>518.20000000000005</v>
      </c>
    </row>
    <row r="1192" spans="1:5" ht="43">
      <c r="A1192" s="715">
        <v>34479</v>
      </c>
      <c r="B1192" s="633" t="s">
        <v>35842</v>
      </c>
      <c r="C1192" s="715" t="s">
        <v>121</v>
      </c>
      <c r="D1192" s="715" t="s">
        <v>40839</v>
      </c>
      <c r="E1192" s="716">
        <v>574.88</v>
      </c>
    </row>
    <row r="1193" spans="1:5" ht="29">
      <c r="A1193" s="715">
        <v>34496</v>
      </c>
      <c r="B1193" s="633" t="s">
        <v>35843</v>
      </c>
      <c r="C1193" s="715" t="s">
        <v>121</v>
      </c>
      <c r="D1193" s="715" t="s">
        <v>40839</v>
      </c>
      <c r="E1193" s="716">
        <v>540.57000000000005</v>
      </c>
    </row>
    <row r="1194" spans="1:5" ht="43">
      <c r="A1194" s="715">
        <v>34481</v>
      </c>
      <c r="B1194" s="633" t="s">
        <v>35844</v>
      </c>
      <c r="C1194" s="715" t="s">
        <v>121</v>
      </c>
      <c r="D1194" s="715" t="s">
        <v>40839</v>
      </c>
      <c r="E1194" s="716">
        <v>600.67999999999995</v>
      </c>
    </row>
    <row r="1195" spans="1:5" ht="43">
      <c r="A1195" s="715">
        <v>34483</v>
      </c>
      <c r="B1195" s="633" t="s">
        <v>35845</v>
      </c>
      <c r="C1195" s="715" t="s">
        <v>121</v>
      </c>
      <c r="D1195" s="715" t="s">
        <v>40839</v>
      </c>
      <c r="E1195" s="716">
        <v>641.79</v>
      </c>
    </row>
    <row r="1196" spans="1:5" ht="43">
      <c r="A1196" s="715">
        <v>34485</v>
      </c>
      <c r="B1196" s="633" t="s">
        <v>35846</v>
      </c>
      <c r="C1196" s="715" t="s">
        <v>121</v>
      </c>
      <c r="D1196" s="715" t="s">
        <v>40839</v>
      </c>
      <c r="E1196" s="716">
        <v>686.32</v>
      </c>
    </row>
    <row r="1197" spans="1:5" ht="29">
      <c r="A1197" s="715">
        <v>14041</v>
      </c>
      <c r="B1197" s="633" t="s">
        <v>35847</v>
      </c>
      <c r="C1197" s="715" t="s">
        <v>121</v>
      </c>
      <c r="D1197" s="715" t="s">
        <v>40839</v>
      </c>
      <c r="E1197" s="716">
        <v>446.14</v>
      </c>
    </row>
    <row r="1198" spans="1:5" ht="29">
      <c r="A1198" s="715">
        <v>1523</v>
      </c>
      <c r="B1198" s="633" t="s">
        <v>35848</v>
      </c>
      <c r="C1198" s="715" t="s">
        <v>121</v>
      </c>
      <c r="D1198" s="715" t="s">
        <v>40839</v>
      </c>
      <c r="E1198" s="716">
        <v>453.43</v>
      </c>
    </row>
    <row r="1199" spans="1:5" ht="29">
      <c r="A1199" s="715">
        <v>14054</v>
      </c>
      <c r="B1199" s="633" t="s">
        <v>35849</v>
      </c>
      <c r="C1199" s="715" t="s">
        <v>103</v>
      </c>
      <c r="D1199" s="715" t="s">
        <v>40839</v>
      </c>
      <c r="E1199" s="716">
        <v>19.670000000000002</v>
      </c>
    </row>
    <row r="1200" spans="1:5" ht="29">
      <c r="A1200" s="715">
        <v>14052</v>
      </c>
      <c r="B1200" s="633" t="s">
        <v>35850</v>
      </c>
      <c r="C1200" s="715" t="s">
        <v>103</v>
      </c>
      <c r="D1200" s="715" t="s">
        <v>40839</v>
      </c>
      <c r="E1200" s="716">
        <v>15.13</v>
      </c>
    </row>
    <row r="1201" spans="1:5" ht="29">
      <c r="A1201" s="715">
        <v>14053</v>
      </c>
      <c r="B1201" s="633" t="s">
        <v>35851</v>
      </c>
      <c r="C1201" s="715" t="s">
        <v>103</v>
      </c>
      <c r="D1201" s="715" t="s">
        <v>40839</v>
      </c>
      <c r="E1201" s="716">
        <v>15.36</v>
      </c>
    </row>
    <row r="1202" spans="1:5" ht="29">
      <c r="A1202" s="715">
        <v>2560</v>
      </c>
      <c r="B1202" s="633" t="s">
        <v>35852</v>
      </c>
      <c r="C1202" s="715" t="s">
        <v>103</v>
      </c>
      <c r="D1202" s="715" t="s">
        <v>40839</v>
      </c>
      <c r="E1202" s="716">
        <v>20.36</v>
      </c>
    </row>
    <row r="1203" spans="1:5" ht="29">
      <c r="A1203" s="715">
        <v>2558</v>
      </c>
      <c r="B1203" s="633" t="s">
        <v>35853</v>
      </c>
      <c r="C1203" s="715" t="s">
        <v>103</v>
      </c>
      <c r="D1203" s="715" t="s">
        <v>40839</v>
      </c>
      <c r="E1203" s="716">
        <v>11.56</v>
      </c>
    </row>
    <row r="1204" spans="1:5" ht="29">
      <c r="A1204" s="715">
        <v>2559</v>
      </c>
      <c r="B1204" s="633" t="s">
        <v>35854</v>
      </c>
      <c r="C1204" s="715" t="s">
        <v>103</v>
      </c>
      <c r="D1204" s="715" t="s">
        <v>28018</v>
      </c>
      <c r="E1204" s="716">
        <v>16.28</v>
      </c>
    </row>
    <row r="1205" spans="1:5" ht="29">
      <c r="A1205" s="715">
        <v>2592</v>
      </c>
      <c r="B1205" s="633" t="s">
        <v>35855</v>
      </c>
      <c r="C1205" s="715" t="s">
        <v>103</v>
      </c>
      <c r="D1205" s="715" t="s">
        <v>40839</v>
      </c>
      <c r="E1205" s="716">
        <v>269.88</v>
      </c>
    </row>
    <row r="1206" spans="1:5" ht="29">
      <c r="A1206" s="715">
        <v>2589</v>
      </c>
      <c r="B1206" s="633" t="s">
        <v>35856</v>
      </c>
      <c r="C1206" s="715" t="s">
        <v>103</v>
      </c>
      <c r="D1206" s="715" t="s">
        <v>40839</v>
      </c>
      <c r="E1206" s="716">
        <v>36.1</v>
      </c>
    </row>
    <row r="1207" spans="1:5" ht="29">
      <c r="A1207" s="715">
        <v>2566</v>
      </c>
      <c r="B1207" s="633" t="s">
        <v>35857</v>
      </c>
      <c r="C1207" s="715" t="s">
        <v>103</v>
      </c>
      <c r="D1207" s="715" t="s">
        <v>40839</v>
      </c>
      <c r="E1207" s="716">
        <v>27.16</v>
      </c>
    </row>
    <row r="1208" spans="1:5" ht="29">
      <c r="A1208" s="715">
        <v>2590</v>
      </c>
      <c r="B1208" s="633" t="s">
        <v>35858</v>
      </c>
      <c r="C1208" s="715" t="s">
        <v>103</v>
      </c>
      <c r="D1208" s="715" t="s">
        <v>40839</v>
      </c>
      <c r="E1208" s="716">
        <v>22.15</v>
      </c>
    </row>
    <row r="1209" spans="1:5" ht="29">
      <c r="A1209" s="715">
        <v>2591</v>
      </c>
      <c r="B1209" s="633" t="s">
        <v>35859</v>
      </c>
      <c r="C1209" s="715" t="s">
        <v>103</v>
      </c>
      <c r="D1209" s="715" t="s">
        <v>40839</v>
      </c>
      <c r="E1209" s="716">
        <v>13.17</v>
      </c>
    </row>
    <row r="1210" spans="1:5" ht="29">
      <c r="A1210" s="715">
        <v>2567</v>
      </c>
      <c r="B1210" s="633" t="s">
        <v>35860</v>
      </c>
      <c r="C1210" s="715" t="s">
        <v>103</v>
      </c>
      <c r="D1210" s="715" t="s">
        <v>40839</v>
      </c>
      <c r="E1210" s="716">
        <v>52.95</v>
      </c>
    </row>
    <row r="1211" spans="1:5" ht="29">
      <c r="A1211" s="715">
        <v>2568</v>
      </c>
      <c r="B1211" s="633" t="s">
        <v>35861</v>
      </c>
      <c r="C1211" s="715" t="s">
        <v>103</v>
      </c>
      <c r="D1211" s="715" t="s">
        <v>40839</v>
      </c>
      <c r="E1211" s="716">
        <v>147.04</v>
      </c>
    </row>
    <row r="1212" spans="1:5" ht="29">
      <c r="A1212" s="715">
        <v>2565</v>
      </c>
      <c r="B1212" s="633" t="s">
        <v>35862</v>
      </c>
      <c r="C1212" s="715" t="s">
        <v>103</v>
      </c>
      <c r="D1212" s="715" t="s">
        <v>40839</v>
      </c>
      <c r="E1212" s="716">
        <v>13.19</v>
      </c>
    </row>
    <row r="1213" spans="1:5" ht="29">
      <c r="A1213" s="715">
        <v>2594</v>
      </c>
      <c r="B1213" s="633" t="s">
        <v>35863</v>
      </c>
      <c r="C1213" s="715" t="s">
        <v>103</v>
      </c>
      <c r="D1213" s="715" t="s">
        <v>40839</v>
      </c>
      <c r="E1213" s="716">
        <v>244.96</v>
      </c>
    </row>
    <row r="1214" spans="1:5" ht="29">
      <c r="A1214" s="715">
        <v>2587</v>
      </c>
      <c r="B1214" s="633" t="s">
        <v>35864</v>
      </c>
      <c r="C1214" s="715" t="s">
        <v>103</v>
      </c>
      <c r="D1214" s="715" t="s">
        <v>40839</v>
      </c>
      <c r="E1214" s="716">
        <v>41.75</v>
      </c>
    </row>
    <row r="1215" spans="1:5" ht="29">
      <c r="A1215" s="715">
        <v>2588</v>
      </c>
      <c r="B1215" s="633" t="s">
        <v>35865</v>
      </c>
      <c r="C1215" s="715" t="s">
        <v>103</v>
      </c>
      <c r="D1215" s="715" t="s">
        <v>40839</v>
      </c>
      <c r="E1215" s="716">
        <v>33.159999999999997</v>
      </c>
    </row>
    <row r="1216" spans="1:5" ht="29">
      <c r="A1216" s="715">
        <v>2570</v>
      </c>
      <c r="B1216" s="633" t="s">
        <v>35866</v>
      </c>
      <c r="C1216" s="715" t="s">
        <v>103</v>
      </c>
      <c r="D1216" s="715" t="s">
        <v>40839</v>
      </c>
      <c r="E1216" s="716">
        <v>21.42</v>
      </c>
    </row>
    <row r="1217" spans="1:5" ht="29">
      <c r="A1217" s="715">
        <v>2569</v>
      </c>
      <c r="B1217" s="633" t="s">
        <v>35867</v>
      </c>
      <c r="C1217" s="715" t="s">
        <v>103</v>
      </c>
      <c r="D1217" s="715" t="s">
        <v>40839</v>
      </c>
      <c r="E1217" s="716">
        <v>12.78</v>
      </c>
    </row>
    <row r="1218" spans="1:5" ht="29">
      <c r="A1218" s="715">
        <v>2571</v>
      </c>
      <c r="B1218" s="633" t="s">
        <v>35868</v>
      </c>
      <c r="C1218" s="715" t="s">
        <v>103</v>
      </c>
      <c r="D1218" s="715" t="s">
        <v>40839</v>
      </c>
      <c r="E1218" s="716">
        <v>63.58</v>
      </c>
    </row>
    <row r="1219" spans="1:5" ht="29">
      <c r="A1219" s="715">
        <v>2572</v>
      </c>
      <c r="B1219" s="633" t="s">
        <v>35869</v>
      </c>
      <c r="C1219" s="715" t="s">
        <v>103</v>
      </c>
      <c r="D1219" s="715" t="s">
        <v>40839</v>
      </c>
      <c r="E1219" s="716">
        <v>188.04</v>
      </c>
    </row>
    <row r="1220" spans="1:5" ht="29">
      <c r="A1220" s="715">
        <v>2593</v>
      </c>
      <c r="B1220" s="633" t="s">
        <v>35870</v>
      </c>
      <c r="C1220" s="715" t="s">
        <v>103</v>
      </c>
      <c r="D1220" s="715" t="s">
        <v>40839</v>
      </c>
      <c r="E1220" s="716">
        <v>13.62</v>
      </c>
    </row>
    <row r="1221" spans="1:5" ht="29">
      <c r="A1221" s="715">
        <v>2595</v>
      </c>
      <c r="B1221" s="633" t="s">
        <v>35871</v>
      </c>
      <c r="C1221" s="715" t="s">
        <v>103</v>
      </c>
      <c r="D1221" s="715" t="s">
        <v>40839</v>
      </c>
      <c r="E1221" s="716">
        <v>293.38</v>
      </c>
    </row>
    <row r="1222" spans="1:5" ht="29">
      <c r="A1222" s="715">
        <v>2576</v>
      </c>
      <c r="B1222" s="633" t="s">
        <v>35872</v>
      </c>
      <c r="C1222" s="715" t="s">
        <v>103</v>
      </c>
      <c r="D1222" s="715" t="s">
        <v>40839</v>
      </c>
      <c r="E1222" s="716">
        <v>50.01</v>
      </c>
    </row>
    <row r="1223" spans="1:5" ht="29">
      <c r="A1223" s="715">
        <v>2575</v>
      </c>
      <c r="B1223" s="633" t="s">
        <v>35873</v>
      </c>
      <c r="C1223" s="715" t="s">
        <v>103</v>
      </c>
      <c r="D1223" s="715" t="s">
        <v>40839</v>
      </c>
      <c r="E1223" s="716">
        <v>37.6</v>
      </c>
    </row>
    <row r="1224" spans="1:5" ht="29">
      <c r="A1224" s="715">
        <v>2586</v>
      </c>
      <c r="B1224" s="633" t="s">
        <v>35874</v>
      </c>
      <c r="C1224" s="715" t="s">
        <v>103</v>
      </c>
      <c r="D1224" s="715" t="s">
        <v>40839</v>
      </c>
      <c r="E1224" s="716">
        <v>25.31</v>
      </c>
    </row>
    <row r="1225" spans="1:5" ht="29">
      <c r="A1225" s="715">
        <v>2573</v>
      </c>
      <c r="B1225" s="633" t="s">
        <v>35875</v>
      </c>
      <c r="C1225" s="715" t="s">
        <v>103</v>
      </c>
      <c r="D1225" s="715" t="s">
        <v>40839</v>
      </c>
      <c r="E1225" s="716">
        <v>15.61</v>
      </c>
    </row>
    <row r="1226" spans="1:5" ht="29">
      <c r="A1226" s="715">
        <v>2577</v>
      </c>
      <c r="B1226" s="633" t="s">
        <v>35876</v>
      </c>
      <c r="C1226" s="715" t="s">
        <v>103</v>
      </c>
      <c r="D1226" s="715" t="s">
        <v>40839</v>
      </c>
      <c r="E1226" s="716">
        <v>67.77</v>
      </c>
    </row>
    <row r="1227" spans="1:5" ht="29">
      <c r="A1227" s="715">
        <v>2578</v>
      </c>
      <c r="B1227" s="633" t="s">
        <v>35877</v>
      </c>
      <c r="C1227" s="715" t="s">
        <v>103</v>
      </c>
      <c r="D1227" s="715" t="s">
        <v>40839</v>
      </c>
      <c r="E1227" s="716">
        <v>211.58</v>
      </c>
    </row>
    <row r="1228" spans="1:5" ht="29">
      <c r="A1228" s="715">
        <v>2574</v>
      </c>
      <c r="B1228" s="633" t="s">
        <v>35878</v>
      </c>
      <c r="C1228" s="715" t="s">
        <v>103</v>
      </c>
      <c r="D1228" s="715" t="s">
        <v>40839</v>
      </c>
      <c r="E1228" s="716">
        <v>15.71</v>
      </c>
    </row>
    <row r="1229" spans="1:5" ht="29">
      <c r="A1229" s="715">
        <v>2585</v>
      </c>
      <c r="B1229" s="633" t="s">
        <v>35879</v>
      </c>
      <c r="C1229" s="715" t="s">
        <v>103</v>
      </c>
      <c r="D1229" s="715" t="s">
        <v>40839</v>
      </c>
      <c r="E1229" s="716">
        <v>290.33999999999997</v>
      </c>
    </row>
    <row r="1230" spans="1:5" ht="29">
      <c r="A1230" s="715">
        <v>12008</v>
      </c>
      <c r="B1230" s="633" t="s">
        <v>35880</v>
      </c>
      <c r="C1230" s="715" t="s">
        <v>103</v>
      </c>
      <c r="D1230" s="715" t="s">
        <v>40839</v>
      </c>
      <c r="E1230" s="716">
        <v>155.78</v>
      </c>
    </row>
    <row r="1231" spans="1:5" ht="29">
      <c r="A1231" s="715">
        <v>2582</v>
      </c>
      <c r="B1231" s="633" t="s">
        <v>35881</v>
      </c>
      <c r="C1231" s="715" t="s">
        <v>103</v>
      </c>
      <c r="D1231" s="715" t="s">
        <v>40839</v>
      </c>
      <c r="E1231" s="716">
        <v>46.39</v>
      </c>
    </row>
    <row r="1232" spans="1:5" ht="29">
      <c r="A1232" s="715">
        <v>2597</v>
      </c>
      <c r="B1232" s="633" t="s">
        <v>35882</v>
      </c>
      <c r="C1232" s="715" t="s">
        <v>103</v>
      </c>
      <c r="D1232" s="715" t="s">
        <v>40839</v>
      </c>
      <c r="E1232" s="716">
        <v>39.76</v>
      </c>
    </row>
    <row r="1233" spans="1:5" ht="29">
      <c r="A1233" s="715">
        <v>2581</v>
      </c>
      <c r="B1233" s="633" t="s">
        <v>35883</v>
      </c>
      <c r="C1233" s="715" t="s">
        <v>103</v>
      </c>
      <c r="D1233" s="715" t="s">
        <v>40839</v>
      </c>
      <c r="E1233" s="716">
        <v>24.22</v>
      </c>
    </row>
    <row r="1234" spans="1:5" ht="29">
      <c r="A1234" s="715">
        <v>2579</v>
      </c>
      <c r="B1234" s="633" t="s">
        <v>35884</v>
      </c>
      <c r="C1234" s="715" t="s">
        <v>103</v>
      </c>
      <c r="D1234" s="715" t="s">
        <v>40839</v>
      </c>
      <c r="E1234" s="716">
        <v>18.93</v>
      </c>
    </row>
    <row r="1235" spans="1:5" ht="29">
      <c r="A1235" s="715">
        <v>2596</v>
      </c>
      <c r="B1235" s="633" t="s">
        <v>35885</v>
      </c>
      <c r="C1235" s="715" t="s">
        <v>103</v>
      </c>
      <c r="D1235" s="715" t="s">
        <v>40839</v>
      </c>
      <c r="E1235" s="716">
        <v>71.63</v>
      </c>
    </row>
    <row r="1236" spans="1:5" ht="29">
      <c r="A1236" s="715">
        <v>2583</v>
      </c>
      <c r="B1236" s="633" t="s">
        <v>35886</v>
      </c>
      <c r="C1236" s="715" t="s">
        <v>103</v>
      </c>
      <c r="D1236" s="715" t="s">
        <v>40839</v>
      </c>
      <c r="E1236" s="716">
        <v>174.23</v>
      </c>
    </row>
    <row r="1237" spans="1:5" ht="29">
      <c r="A1237" s="715">
        <v>2580</v>
      </c>
      <c r="B1237" s="633" t="s">
        <v>35887</v>
      </c>
      <c r="C1237" s="715" t="s">
        <v>103</v>
      </c>
      <c r="D1237" s="715" t="s">
        <v>40839</v>
      </c>
      <c r="E1237" s="716">
        <v>20.75</v>
      </c>
    </row>
    <row r="1238" spans="1:5" ht="29">
      <c r="A1238" s="715">
        <v>2584</v>
      </c>
      <c r="B1238" s="633" t="s">
        <v>35888</v>
      </c>
      <c r="C1238" s="715" t="s">
        <v>103</v>
      </c>
      <c r="D1238" s="715" t="s">
        <v>40839</v>
      </c>
      <c r="E1238" s="716">
        <v>290.04000000000002</v>
      </c>
    </row>
    <row r="1239" spans="1:5">
      <c r="A1239" s="715">
        <v>39329</v>
      </c>
      <c r="B1239" s="633" t="s">
        <v>35889</v>
      </c>
      <c r="C1239" s="715" t="s">
        <v>103</v>
      </c>
      <c r="D1239" s="715" t="s">
        <v>40839</v>
      </c>
      <c r="E1239" s="716">
        <v>8.8699999999999992</v>
      </c>
    </row>
    <row r="1240" spans="1:5">
      <c r="A1240" s="715">
        <v>12010</v>
      </c>
      <c r="B1240" s="633" t="s">
        <v>35890</v>
      </c>
      <c r="C1240" s="715" t="s">
        <v>103</v>
      </c>
      <c r="D1240" s="715" t="s">
        <v>40839</v>
      </c>
      <c r="E1240" s="716">
        <v>8.49</v>
      </c>
    </row>
    <row r="1241" spans="1:5">
      <c r="A1241" s="715">
        <v>39332</v>
      </c>
      <c r="B1241" s="633" t="s">
        <v>35891</v>
      </c>
      <c r="C1241" s="715" t="s">
        <v>103</v>
      </c>
      <c r="D1241" s="715" t="s">
        <v>40839</v>
      </c>
      <c r="E1241" s="716">
        <v>10.43</v>
      </c>
    </row>
    <row r="1242" spans="1:5">
      <c r="A1242" s="715">
        <v>39330</v>
      </c>
      <c r="B1242" s="633" t="s">
        <v>35892</v>
      </c>
      <c r="C1242" s="715" t="s">
        <v>103</v>
      </c>
      <c r="D1242" s="715" t="s">
        <v>40839</v>
      </c>
      <c r="E1242" s="716">
        <v>9.34</v>
      </c>
    </row>
    <row r="1243" spans="1:5">
      <c r="A1243" s="715">
        <v>39331</v>
      </c>
      <c r="B1243" s="633" t="s">
        <v>35893</v>
      </c>
      <c r="C1243" s="715" t="s">
        <v>103</v>
      </c>
      <c r="D1243" s="715" t="s">
        <v>40839</v>
      </c>
      <c r="E1243" s="716">
        <v>8.3000000000000007</v>
      </c>
    </row>
    <row r="1244" spans="1:5">
      <c r="A1244" s="715">
        <v>39335</v>
      </c>
      <c r="B1244" s="633" t="s">
        <v>35894</v>
      </c>
      <c r="C1244" s="715" t="s">
        <v>103</v>
      </c>
      <c r="D1244" s="715" t="s">
        <v>40839</v>
      </c>
      <c r="E1244" s="716">
        <v>9.3699999999999992</v>
      </c>
    </row>
    <row r="1245" spans="1:5">
      <c r="A1245" s="715">
        <v>39333</v>
      </c>
      <c r="B1245" s="633" t="s">
        <v>35895</v>
      </c>
      <c r="C1245" s="715" t="s">
        <v>103</v>
      </c>
      <c r="D1245" s="715" t="s">
        <v>40839</v>
      </c>
      <c r="E1245" s="716">
        <v>8.1</v>
      </c>
    </row>
    <row r="1246" spans="1:5">
      <c r="A1246" s="715">
        <v>39334</v>
      </c>
      <c r="B1246" s="633" t="s">
        <v>35896</v>
      </c>
      <c r="C1246" s="715" t="s">
        <v>103</v>
      </c>
      <c r="D1246" s="715" t="s">
        <v>40839</v>
      </c>
      <c r="E1246" s="716">
        <v>7.45</v>
      </c>
    </row>
    <row r="1247" spans="1:5">
      <c r="A1247" s="715">
        <v>12015</v>
      </c>
      <c r="B1247" s="633" t="s">
        <v>35897</v>
      </c>
      <c r="C1247" s="715" t="s">
        <v>103</v>
      </c>
      <c r="D1247" s="715" t="s">
        <v>40839</v>
      </c>
      <c r="E1247" s="716">
        <v>10.88</v>
      </c>
    </row>
    <row r="1248" spans="1:5">
      <c r="A1248" s="715">
        <v>12016</v>
      </c>
      <c r="B1248" s="633" t="s">
        <v>35898</v>
      </c>
      <c r="C1248" s="715" t="s">
        <v>103</v>
      </c>
      <c r="D1248" s="715" t="s">
        <v>40839</v>
      </c>
      <c r="E1248" s="716">
        <v>9.35</v>
      </c>
    </row>
    <row r="1249" spans="1:5">
      <c r="A1249" s="715">
        <v>12019</v>
      </c>
      <c r="B1249" s="633" t="s">
        <v>35899</v>
      </c>
      <c r="C1249" s="715" t="s">
        <v>103</v>
      </c>
      <c r="D1249" s="715" t="s">
        <v>40839</v>
      </c>
      <c r="E1249" s="716">
        <v>10.88</v>
      </c>
    </row>
    <row r="1250" spans="1:5">
      <c r="A1250" s="715">
        <v>12020</v>
      </c>
      <c r="B1250" s="633" t="s">
        <v>35900</v>
      </c>
      <c r="C1250" s="715" t="s">
        <v>103</v>
      </c>
      <c r="D1250" s="715" t="s">
        <v>40839</v>
      </c>
      <c r="E1250" s="716">
        <v>9.35</v>
      </c>
    </row>
    <row r="1251" spans="1:5">
      <c r="A1251" s="715">
        <v>39338</v>
      </c>
      <c r="B1251" s="633" t="s">
        <v>35901</v>
      </c>
      <c r="C1251" s="715" t="s">
        <v>103</v>
      </c>
      <c r="D1251" s="715" t="s">
        <v>40839</v>
      </c>
      <c r="E1251" s="716">
        <v>10.43</v>
      </c>
    </row>
    <row r="1252" spans="1:5">
      <c r="A1252" s="715">
        <v>39336</v>
      </c>
      <c r="B1252" s="633" t="s">
        <v>35902</v>
      </c>
      <c r="C1252" s="715" t="s">
        <v>103</v>
      </c>
      <c r="D1252" s="715" t="s">
        <v>40839</v>
      </c>
      <c r="E1252" s="716">
        <v>9.34</v>
      </c>
    </row>
    <row r="1253" spans="1:5">
      <c r="A1253" s="715">
        <v>39337</v>
      </c>
      <c r="B1253" s="633" t="s">
        <v>35903</v>
      </c>
      <c r="C1253" s="715" t="s">
        <v>103</v>
      </c>
      <c r="D1253" s="715" t="s">
        <v>40839</v>
      </c>
      <c r="E1253" s="716">
        <v>8.3000000000000007</v>
      </c>
    </row>
    <row r="1254" spans="1:5">
      <c r="A1254" s="715">
        <v>39341</v>
      </c>
      <c r="B1254" s="633" t="s">
        <v>35904</v>
      </c>
      <c r="C1254" s="715" t="s">
        <v>103</v>
      </c>
      <c r="D1254" s="715" t="s">
        <v>40839</v>
      </c>
      <c r="E1254" s="716">
        <v>13.6</v>
      </c>
    </row>
    <row r="1255" spans="1:5">
      <c r="A1255" s="715">
        <v>39340</v>
      </c>
      <c r="B1255" s="633" t="s">
        <v>35905</v>
      </c>
      <c r="C1255" s="715" t="s">
        <v>103</v>
      </c>
      <c r="D1255" s="715" t="s">
        <v>40839</v>
      </c>
      <c r="E1255" s="716">
        <v>9.98</v>
      </c>
    </row>
    <row r="1256" spans="1:5">
      <c r="A1256" s="715">
        <v>39342</v>
      </c>
      <c r="B1256" s="633" t="s">
        <v>35906</v>
      </c>
      <c r="C1256" s="715" t="s">
        <v>103</v>
      </c>
      <c r="D1256" s="715" t="s">
        <v>40839</v>
      </c>
      <c r="E1256" s="716">
        <v>13.6</v>
      </c>
    </row>
    <row r="1257" spans="1:5">
      <c r="A1257" s="715">
        <v>12025</v>
      </c>
      <c r="B1257" s="633" t="s">
        <v>35907</v>
      </c>
      <c r="C1257" s="715" t="s">
        <v>103</v>
      </c>
      <c r="D1257" s="715" t="s">
        <v>40839</v>
      </c>
      <c r="E1257" s="716">
        <v>10.31</v>
      </c>
    </row>
    <row r="1258" spans="1:5">
      <c r="A1258" s="715">
        <v>39345</v>
      </c>
      <c r="B1258" s="633" t="s">
        <v>35908</v>
      </c>
      <c r="C1258" s="715" t="s">
        <v>103</v>
      </c>
      <c r="D1258" s="715" t="s">
        <v>40839</v>
      </c>
      <c r="E1258" s="716">
        <v>15.54</v>
      </c>
    </row>
    <row r="1259" spans="1:5">
      <c r="A1259" s="715">
        <v>39343</v>
      </c>
      <c r="B1259" s="633" t="s">
        <v>35909</v>
      </c>
      <c r="C1259" s="715" t="s">
        <v>103</v>
      </c>
      <c r="D1259" s="715" t="s">
        <v>40839</v>
      </c>
      <c r="E1259" s="716">
        <v>11.48</v>
      </c>
    </row>
    <row r="1260" spans="1:5">
      <c r="A1260" s="715">
        <v>39344</v>
      </c>
      <c r="B1260" s="633" t="s">
        <v>35910</v>
      </c>
      <c r="C1260" s="715" t="s">
        <v>103</v>
      </c>
      <c r="D1260" s="715" t="s">
        <v>40839</v>
      </c>
      <c r="E1260" s="716">
        <v>11.1</v>
      </c>
    </row>
    <row r="1261" spans="1:5" ht="29">
      <c r="A1261" s="715">
        <v>12623</v>
      </c>
      <c r="B1261" s="633" t="s">
        <v>35911</v>
      </c>
      <c r="C1261" s="715" t="s">
        <v>165</v>
      </c>
      <c r="D1261" s="715" t="s">
        <v>40839</v>
      </c>
      <c r="E1261" s="716">
        <v>52.93</v>
      </c>
    </row>
    <row r="1262" spans="1:5">
      <c r="A1262" s="715">
        <v>34498</v>
      </c>
      <c r="B1262" s="633" t="s">
        <v>35912</v>
      </c>
      <c r="C1262" s="715" t="s">
        <v>103</v>
      </c>
      <c r="D1262" s="715" t="s">
        <v>40839</v>
      </c>
      <c r="E1262" s="716">
        <v>118.54</v>
      </c>
    </row>
    <row r="1263" spans="1:5">
      <c r="A1263" s="715">
        <v>13244</v>
      </c>
      <c r="B1263" s="633" t="s">
        <v>35913</v>
      </c>
      <c r="C1263" s="715" t="s">
        <v>103</v>
      </c>
      <c r="D1263" s="715" t="s">
        <v>28018</v>
      </c>
      <c r="E1263" s="716">
        <v>49.9</v>
      </c>
    </row>
    <row r="1264" spans="1:5" ht="29">
      <c r="A1264" s="715">
        <v>38998</v>
      </c>
      <c r="B1264" s="633" t="s">
        <v>35914</v>
      </c>
      <c r="C1264" s="715" t="s">
        <v>103</v>
      </c>
      <c r="D1264" s="715" t="s">
        <v>40839</v>
      </c>
      <c r="E1264" s="716">
        <v>12.15</v>
      </c>
    </row>
    <row r="1265" spans="1:5" ht="29">
      <c r="A1265" s="715">
        <v>38999</v>
      </c>
      <c r="B1265" s="633" t="s">
        <v>35915</v>
      </c>
      <c r="C1265" s="715" t="s">
        <v>103</v>
      </c>
      <c r="D1265" s="715" t="s">
        <v>40839</v>
      </c>
      <c r="E1265" s="716">
        <v>30.73</v>
      </c>
    </row>
    <row r="1266" spans="1:5" ht="29">
      <c r="A1266" s="715">
        <v>38996</v>
      </c>
      <c r="B1266" s="633" t="s">
        <v>35916</v>
      </c>
      <c r="C1266" s="715" t="s">
        <v>103</v>
      </c>
      <c r="D1266" s="715" t="s">
        <v>40839</v>
      </c>
      <c r="E1266" s="716">
        <v>21.72</v>
      </c>
    </row>
    <row r="1267" spans="1:5" ht="29">
      <c r="A1267" s="715">
        <v>44173</v>
      </c>
      <c r="B1267" s="633" t="s">
        <v>35917</v>
      </c>
      <c r="C1267" s="715" t="s">
        <v>103</v>
      </c>
      <c r="D1267" s="715" t="s">
        <v>40839</v>
      </c>
      <c r="E1267" s="716">
        <v>21.12</v>
      </c>
    </row>
    <row r="1268" spans="1:5" ht="29">
      <c r="A1268" s="715">
        <v>44174</v>
      </c>
      <c r="B1268" s="633" t="s">
        <v>35918</v>
      </c>
      <c r="C1268" s="715" t="s">
        <v>103</v>
      </c>
      <c r="D1268" s="715" t="s">
        <v>40839</v>
      </c>
      <c r="E1268" s="716">
        <v>34.57</v>
      </c>
    </row>
    <row r="1269" spans="1:5" ht="29">
      <c r="A1269" s="715">
        <v>38997</v>
      </c>
      <c r="B1269" s="633" t="s">
        <v>35919</v>
      </c>
      <c r="C1269" s="715" t="s">
        <v>103</v>
      </c>
      <c r="D1269" s="715" t="s">
        <v>40839</v>
      </c>
      <c r="E1269" s="716">
        <v>31.07</v>
      </c>
    </row>
    <row r="1270" spans="1:5">
      <c r="A1270" s="715">
        <v>39600</v>
      </c>
      <c r="B1270" s="633" t="s">
        <v>35920</v>
      </c>
      <c r="C1270" s="715" t="s">
        <v>103</v>
      </c>
      <c r="D1270" s="715" t="s">
        <v>40839</v>
      </c>
      <c r="E1270" s="716">
        <v>17.510000000000002</v>
      </c>
    </row>
    <row r="1271" spans="1:5">
      <c r="A1271" s="715">
        <v>39601</v>
      </c>
      <c r="B1271" s="633" t="s">
        <v>35921</v>
      </c>
      <c r="C1271" s="715" t="s">
        <v>103</v>
      </c>
      <c r="D1271" s="715" t="s">
        <v>40839</v>
      </c>
      <c r="E1271" s="716">
        <v>37.15</v>
      </c>
    </row>
    <row r="1272" spans="1:5">
      <c r="A1272" s="715">
        <v>39862</v>
      </c>
      <c r="B1272" s="633" t="s">
        <v>35922</v>
      </c>
      <c r="C1272" s="715" t="s">
        <v>103</v>
      </c>
      <c r="D1272" s="715" t="s">
        <v>40839</v>
      </c>
      <c r="E1272" s="716">
        <v>14.74</v>
      </c>
    </row>
    <row r="1273" spans="1:5">
      <c r="A1273" s="715">
        <v>39863</v>
      </c>
      <c r="B1273" s="633" t="s">
        <v>35923</v>
      </c>
      <c r="C1273" s="715" t="s">
        <v>103</v>
      </c>
      <c r="D1273" s="715" t="s">
        <v>40839</v>
      </c>
      <c r="E1273" s="716">
        <v>14.95</v>
      </c>
    </row>
    <row r="1274" spans="1:5">
      <c r="A1274" s="715">
        <v>39864</v>
      </c>
      <c r="B1274" s="633" t="s">
        <v>35924</v>
      </c>
      <c r="C1274" s="715" t="s">
        <v>103</v>
      </c>
      <c r="D1274" s="715" t="s">
        <v>40839</v>
      </c>
      <c r="E1274" s="716">
        <v>18.55</v>
      </c>
    </row>
    <row r="1275" spans="1:5">
      <c r="A1275" s="715">
        <v>39865</v>
      </c>
      <c r="B1275" s="633" t="s">
        <v>35925</v>
      </c>
      <c r="C1275" s="715" t="s">
        <v>103</v>
      </c>
      <c r="D1275" s="715" t="s">
        <v>40839</v>
      </c>
      <c r="E1275" s="716">
        <v>26.14</v>
      </c>
    </row>
    <row r="1276" spans="1:5" ht="29">
      <c r="A1276" s="715">
        <v>2517</v>
      </c>
      <c r="B1276" s="633" t="s">
        <v>35926</v>
      </c>
      <c r="C1276" s="715" t="s">
        <v>103</v>
      </c>
      <c r="D1276" s="715" t="s">
        <v>40839</v>
      </c>
      <c r="E1276" s="716">
        <v>28.9</v>
      </c>
    </row>
    <row r="1277" spans="1:5" ht="29">
      <c r="A1277" s="715">
        <v>2522</v>
      </c>
      <c r="B1277" s="633" t="s">
        <v>35927</v>
      </c>
      <c r="C1277" s="715" t="s">
        <v>103</v>
      </c>
      <c r="D1277" s="715" t="s">
        <v>40839</v>
      </c>
      <c r="E1277" s="716">
        <v>18.68</v>
      </c>
    </row>
    <row r="1278" spans="1:5" ht="29">
      <c r="A1278" s="715">
        <v>2516</v>
      </c>
      <c r="B1278" s="633" t="s">
        <v>35928</v>
      </c>
      <c r="C1278" s="715" t="s">
        <v>103</v>
      </c>
      <c r="D1278" s="715" t="s">
        <v>40839</v>
      </c>
      <c r="E1278" s="716">
        <v>14.99</v>
      </c>
    </row>
    <row r="1279" spans="1:5" ht="29">
      <c r="A1279" s="715">
        <v>2548</v>
      </c>
      <c r="B1279" s="633" t="s">
        <v>35929</v>
      </c>
      <c r="C1279" s="715" t="s">
        <v>103</v>
      </c>
      <c r="D1279" s="715" t="s">
        <v>40839</v>
      </c>
      <c r="E1279" s="716">
        <v>11.48</v>
      </c>
    </row>
    <row r="1280" spans="1:5" ht="29">
      <c r="A1280" s="715">
        <v>2518</v>
      </c>
      <c r="B1280" s="633" t="s">
        <v>35930</v>
      </c>
      <c r="C1280" s="715" t="s">
        <v>103</v>
      </c>
      <c r="D1280" s="715" t="s">
        <v>40839</v>
      </c>
      <c r="E1280" s="716">
        <v>137.55000000000001</v>
      </c>
    </row>
    <row r="1281" spans="1:5" ht="29">
      <c r="A1281" s="715">
        <v>2521</v>
      </c>
      <c r="B1281" s="633" t="s">
        <v>35931</v>
      </c>
      <c r="C1281" s="715" t="s">
        <v>103</v>
      </c>
      <c r="D1281" s="715" t="s">
        <v>40839</v>
      </c>
      <c r="E1281" s="716">
        <v>58.55</v>
      </c>
    </row>
    <row r="1282" spans="1:5" ht="29">
      <c r="A1282" s="715">
        <v>2519</v>
      </c>
      <c r="B1282" s="633" t="s">
        <v>35932</v>
      </c>
      <c r="C1282" s="715" t="s">
        <v>103</v>
      </c>
      <c r="D1282" s="715" t="s">
        <v>40839</v>
      </c>
      <c r="E1282" s="716">
        <v>165.86</v>
      </c>
    </row>
    <row r="1283" spans="1:5" ht="29">
      <c r="A1283" s="715">
        <v>2515</v>
      </c>
      <c r="B1283" s="633" t="s">
        <v>35933</v>
      </c>
      <c r="C1283" s="715" t="s">
        <v>103</v>
      </c>
      <c r="D1283" s="715" t="s">
        <v>40839</v>
      </c>
      <c r="E1283" s="716">
        <v>12.48</v>
      </c>
    </row>
    <row r="1284" spans="1:5" ht="29">
      <c r="A1284" s="715">
        <v>2520</v>
      </c>
      <c r="B1284" s="633" t="s">
        <v>35934</v>
      </c>
      <c r="C1284" s="715" t="s">
        <v>103</v>
      </c>
      <c r="D1284" s="715" t="s">
        <v>40839</v>
      </c>
      <c r="E1284" s="716">
        <v>305.27</v>
      </c>
    </row>
    <row r="1285" spans="1:5" ht="29">
      <c r="A1285" s="715">
        <v>1602</v>
      </c>
      <c r="B1285" s="633" t="s">
        <v>35935</v>
      </c>
      <c r="C1285" s="715" t="s">
        <v>103</v>
      </c>
      <c r="D1285" s="715" t="s">
        <v>40839</v>
      </c>
      <c r="E1285" s="716">
        <v>51.63</v>
      </c>
    </row>
    <row r="1286" spans="1:5" ht="29">
      <c r="A1286" s="715">
        <v>1601</v>
      </c>
      <c r="B1286" s="633" t="s">
        <v>35936</v>
      </c>
      <c r="C1286" s="715" t="s">
        <v>103</v>
      </c>
      <c r="D1286" s="715" t="s">
        <v>40839</v>
      </c>
      <c r="E1286" s="716">
        <v>46.02</v>
      </c>
    </row>
    <row r="1287" spans="1:5" ht="29">
      <c r="A1287" s="715">
        <v>1600</v>
      </c>
      <c r="B1287" s="633" t="s">
        <v>35937</v>
      </c>
      <c r="C1287" s="715" t="s">
        <v>103</v>
      </c>
      <c r="D1287" s="715" t="s">
        <v>40839</v>
      </c>
      <c r="E1287" s="716">
        <v>20.100000000000001</v>
      </c>
    </row>
    <row r="1288" spans="1:5" ht="29">
      <c r="A1288" s="715">
        <v>1598</v>
      </c>
      <c r="B1288" s="633" t="s">
        <v>35938</v>
      </c>
      <c r="C1288" s="715" t="s">
        <v>103</v>
      </c>
      <c r="D1288" s="715" t="s">
        <v>40839</v>
      </c>
      <c r="E1288" s="716">
        <v>13.62</v>
      </c>
    </row>
    <row r="1289" spans="1:5" ht="29">
      <c r="A1289" s="715">
        <v>1603</v>
      </c>
      <c r="B1289" s="633" t="s">
        <v>35939</v>
      </c>
      <c r="C1289" s="715" t="s">
        <v>103</v>
      </c>
      <c r="D1289" s="715" t="s">
        <v>40839</v>
      </c>
      <c r="E1289" s="716">
        <v>77.95</v>
      </c>
    </row>
    <row r="1290" spans="1:5" ht="29">
      <c r="A1290" s="715">
        <v>1599</v>
      </c>
      <c r="B1290" s="633" t="s">
        <v>35940</v>
      </c>
      <c r="C1290" s="715" t="s">
        <v>103</v>
      </c>
      <c r="D1290" s="715" t="s">
        <v>40839</v>
      </c>
      <c r="E1290" s="716">
        <v>15.8</v>
      </c>
    </row>
    <row r="1291" spans="1:5" ht="29">
      <c r="A1291" s="715">
        <v>1597</v>
      </c>
      <c r="B1291" s="633" t="s">
        <v>35941</v>
      </c>
      <c r="C1291" s="715" t="s">
        <v>103</v>
      </c>
      <c r="D1291" s="715" t="s">
        <v>40839</v>
      </c>
      <c r="E1291" s="716">
        <v>12.8</v>
      </c>
    </row>
    <row r="1292" spans="1:5">
      <c r="A1292" s="715">
        <v>39602</v>
      </c>
      <c r="B1292" s="633" t="s">
        <v>35942</v>
      </c>
      <c r="C1292" s="715" t="s">
        <v>103</v>
      </c>
      <c r="D1292" s="715" t="s">
        <v>40839</v>
      </c>
      <c r="E1292" s="716">
        <v>1.85</v>
      </c>
    </row>
    <row r="1293" spans="1:5">
      <c r="A1293" s="715">
        <v>39603</v>
      </c>
      <c r="B1293" s="633" t="s">
        <v>35943</v>
      </c>
      <c r="C1293" s="715" t="s">
        <v>103</v>
      </c>
      <c r="D1293" s="715" t="s">
        <v>40839</v>
      </c>
      <c r="E1293" s="716">
        <v>3.96</v>
      </c>
    </row>
    <row r="1294" spans="1:5" ht="29">
      <c r="A1294" s="715">
        <v>11821</v>
      </c>
      <c r="B1294" s="633" t="s">
        <v>35944</v>
      </c>
      <c r="C1294" s="715" t="s">
        <v>103</v>
      </c>
      <c r="D1294" s="715" t="s">
        <v>40839</v>
      </c>
      <c r="E1294" s="716">
        <v>10.51</v>
      </c>
    </row>
    <row r="1295" spans="1:5" ht="29">
      <c r="A1295" s="715">
        <v>1562</v>
      </c>
      <c r="B1295" s="633" t="s">
        <v>35945</v>
      </c>
      <c r="C1295" s="715" t="s">
        <v>103</v>
      </c>
      <c r="D1295" s="715" t="s">
        <v>40839</v>
      </c>
      <c r="E1295" s="716">
        <v>17.22</v>
      </c>
    </row>
    <row r="1296" spans="1:5" ht="29">
      <c r="A1296" s="715">
        <v>1563</v>
      </c>
      <c r="B1296" s="633" t="s">
        <v>35946</v>
      </c>
      <c r="C1296" s="715" t="s">
        <v>103</v>
      </c>
      <c r="D1296" s="715" t="s">
        <v>40839</v>
      </c>
      <c r="E1296" s="716">
        <v>23.11</v>
      </c>
    </row>
    <row r="1297" spans="1:5">
      <c r="A1297" s="715">
        <v>11856</v>
      </c>
      <c r="B1297" s="633" t="s">
        <v>35947</v>
      </c>
      <c r="C1297" s="715" t="s">
        <v>103</v>
      </c>
      <c r="D1297" s="715" t="s">
        <v>28018</v>
      </c>
      <c r="E1297" s="716">
        <v>6.89</v>
      </c>
    </row>
    <row r="1298" spans="1:5" ht="29">
      <c r="A1298" s="715">
        <v>11857</v>
      </c>
      <c r="B1298" s="633" t="s">
        <v>35948</v>
      </c>
      <c r="C1298" s="715" t="s">
        <v>103</v>
      </c>
      <c r="D1298" s="715" t="s">
        <v>40839</v>
      </c>
      <c r="E1298" s="716">
        <v>36.26</v>
      </c>
    </row>
    <row r="1299" spans="1:5" ht="29">
      <c r="A1299" s="715">
        <v>11858</v>
      </c>
      <c r="B1299" s="633" t="s">
        <v>35949</v>
      </c>
      <c r="C1299" s="715" t="s">
        <v>103</v>
      </c>
      <c r="D1299" s="715" t="s">
        <v>40839</v>
      </c>
      <c r="E1299" s="716">
        <v>45</v>
      </c>
    </row>
    <row r="1300" spans="1:5">
      <c r="A1300" s="715">
        <v>1539</v>
      </c>
      <c r="B1300" s="633" t="s">
        <v>35950</v>
      </c>
      <c r="C1300" s="715" t="s">
        <v>103</v>
      </c>
      <c r="D1300" s="715" t="s">
        <v>40839</v>
      </c>
      <c r="E1300" s="716">
        <v>8.09</v>
      </c>
    </row>
    <row r="1301" spans="1:5" ht="29">
      <c r="A1301" s="715">
        <v>11859</v>
      </c>
      <c r="B1301" s="633" t="s">
        <v>35951</v>
      </c>
      <c r="C1301" s="715" t="s">
        <v>103</v>
      </c>
      <c r="D1301" s="715" t="s">
        <v>40839</v>
      </c>
      <c r="E1301" s="716">
        <v>61.23</v>
      </c>
    </row>
    <row r="1302" spans="1:5">
      <c r="A1302" s="715">
        <v>1550</v>
      </c>
      <c r="B1302" s="633" t="s">
        <v>35952</v>
      </c>
      <c r="C1302" s="715" t="s">
        <v>103</v>
      </c>
      <c r="D1302" s="715" t="s">
        <v>40839</v>
      </c>
      <c r="E1302" s="716">
        <v>8.5399999999999991</v>
      </c>
    </row>
    <row r="1303" spans="1:5">
      <c r="A1303" s="715">
        <v>11854</v>
      </c>
      <c r="B1303" s="633" t="s">
        <v>35953</v>
      </c>
      <c r="C1303" s="715" t="s">
        <v>103</v>
      </c>
      <c r="D1303" s="715" t="s">
        <v>40839</v>
      </c>
      <c r="E1303" s="716">
        <v>10.67</v>
      </c>
    </row>
    <row r="1304" spans="1:5">
      <c r="A1304" s="715">
        <v>11862</v>
      </c>
      <c r="B1304" s="633" t="s">
        <v>35954</v>
      </c>
      <c r="C1304" s="715" t="s">
        <v>103</v>
      </c>
      <c r="D1304" s="715" t="s">
        <v>40839</v>
      </c>
      <c r="E1304" s="716">
        <v>14.97</v>
      </c>
    </row>
    <row r="1305" spans="1:5">
      <c r="A1305" s="715">
        <v>11863</v>
      </c>
      <c r="B1305" s="633" t="s">
        <v>35955</v>
      </c>
      <c r="C1305" s="715" t="s">
        <v>103</v>
      </c>
      <c r="D1305" s="715" t="s">
        <v>40839</v>
      </c>
      <c r="E1305" s="716">
        <v>6.04</v>
      </c>
    </row>
    <row r="1306" spans="1:5">
      <c r="A1306" s="715">
        <v>11855</v>
      </c>
      <c r="B1306" s="633" t="s">
        <v>35956</v>
      </c>
      <c r="C1306" s="715" t="s">
        <v>103</v>
      </c>
      <c r="D1306" s="715" t="s">
        <v>40839</v>
      </c>
      <c r="E1306" s="716">
        <v>22.35</v>
      </c>
    </row>
    <row r="1307" spans="1:5">
      <c r="A1307" s="715">
        <v>11864</v>
      </c>
      <c r="B1307" s="633" t="s">
        <v>35957</v>
      </c>
      <c r="C1307" s="715" t="s">
        <v>103</v>
      </c>
      <c r="D1307" s="715" t="s">
        <v>40839</v>
      </c>
      <c r="E1307" s="716">
        <v>33.79</v>
      </c>
    </row>
    <row r="1308" spans="1:5" ht="29">
      <c r="A1308" s="715">
        <v>2527</v>
      </c>
      <c r="B1308" s="633" t="s">
        <v>35958</v>
      </c>
      <c r="C1308" s="715" t="s">
        <v>103</v>
      </c>
      <c r="D1308" s="715" t="s">
        <v>40839</v>
      </c>
      <c r="E1308" s="716">
        <v>10.34</v>
      </c>
    </row>
    <row r="1309" spans="1:5" ht="29">
      <c r="A1309" s="715">
        <v>2526</v>
      </c>
      <c r="B1309" s="633" t="s">
        <v>35959</v>
      </c>
      <c r="C1309" s="715" t="s">
        <v>103</v>
      </c>
      <c r="D1309" s="715" t="s">
        <v>40839</v>
      </c>
      <c r="E1309" s="716">
        <v>6.63</v>
      </c>
    </row>
    <row r="1310" spans="1:5" ht="29">
      <c r="A1310" s="715">
        <v>2483</v>
      </c>
      <c r="B1310" s="633" t="s">
        <v>35960</v>
      </c>
      <c r="C1310" s="715" t="s">
        <v>103</v>
      </c>
      <c r="D1310" s="715" t="s">
        <v>40839</v>
      </c>
      <c r="E1310" s="716">
        <v>4.72</v>
      </c>
    </row>
    <row r="1311" spans="1:5" ht="29">
      <c r="A1311" s="715">
        <v>2487</v>
      </c>
      <c r="B1311" s="633" t="s">
        <v>35961</v>
      </c>
      <c r="C1311" s="715" t="s">
        <v>103</v>
      </c>
      <c r="D1311" s="715" t="s">
        <v>40839</v>
      </c>
      <c r="E1311" s="716">
        <v>2.2599999999999998</v>
      </c>
    </row>
    <row r="1312" spans="1:5" ht="29">
      <c r="A1312" s="715">
        <v>2528</v>
      </c>
      <c r="B1312" s="633" t="s">
        <v>35962</v>
      </c>
      <c r="C1312" s="715" t="s">
        <v>103</v>
      </c>
      <c r="D1312" s="715" t="s">
        <v>40839</v>
      </c>
      <c r="E1312" s="716">
        <v>26.03</v>
      </c>
    </row>
    <row r="1313" spans="1:5" ht="29">
      <c r="A1313" s="715">
        <v>2489</v>
      </c>
      <c r="B1313" s="633" t="s">
        <v>35963</v>
      </c>
      <c r="C1313" s="715" t="s">
        <v>103</v>
      </c>
      <c r="D1313" s="715" t="s">
        <v>40839</v>
      </c>
      <c r="E1313" s="716">
        <v>11.46</v>
      </c>
    </row>
    <row r="1314" spans="1:5" ht="29">
      <c r="A1314" s="715">
        <v>2484</v>
      </c>
      <c r="B1314" s="633" t="s">
        <v>35964</v>
      </c>
      <c r="C1314" s="715" t="s">
        <v>103</v>
      </c>
      <c r="D1314" s="715" t="s">
        <v>40839</v>
      </c>
      <c r="E1314" s="716">
        <v>37.799999999999997</v>
      </c>
    </row>
    <row r="1315" spans="1:5" ht="29">
      <c r="A1315" s="715">
        <v>2488</v>
      </c>
      <c r="B1315" s="633" t="s">
        <v>35965</v>
      </c>
      <c r="C1315" s="715" t="s">
        <v>103</v>
      </c>
      <c r="D1315" s="715" t="s">
        <v>40839</v>
      </c>
      <c r="E1315" s="716">
        <v>2.65</v>
      </c>
    </row>
    <row r="1316" spans="1:5" ht="29">
      <c r="A1316" s="715">
        <v>2485</v>
      </c>
      <c r="B1316" s="633" t="s">
        <v>35966</v>
      </c>
      <c r="C1316" s="715" t="s">
        <v>103</v>
      </c>
      <c r="D1316" s="715" t="s">
        <v>40839</v>
      </c>
      <c r="E1316" s="716">
        <v>59.25</v>
      </c>
    </row>
    <row r="1317" spans="1:5">
      <c r="A1317" s="715">
        <v>44247</v>
      </c>
      <c r="B1317" s="633" t="s">
        <v>35967</v>
      </c>
      <c r="C1317" s="715" t="s">
        <v>103</v>
      </c>
      <c r="D1317" s="715" t="s">
        <v>40839</v>
      </c>
      <c r="E1317" s="716">
        <v>1641.82</v>
      </c>
    </row>
    <row r="1318" spans="1:5">
      <c r="A1318" s="715">
        <v>38005</v>
      </c>
      <c r="B1318" s="633" t="s">
        <v>35968</v>
      </c>
      <c r="C1318" s="715" t="s">
        <v>103</v>
      </c>
      <c r="D1318" s="715" t="s">
        <v>40839</v>
      </c>
      <c r="E1318" s="716">
        <v>19.52</v>
      </c>
    </row>
    <row r="1319" spans="1:5">
      <c r="A1319" s="715">
        <v>38006</v>
      </c>
      <c r="B1319" s="633" t="s">
        <v>35969</v>
      </c>
      <c r="C1319" s="715" t="s">
        <v>103</v>
      </c>
      <c r="D1319" s="715" t="s">
        <v>40839</v>
      </c>
      <c r="E1319" s="716">
        <v>25.94</v>
      </c>
    </row>
    <row r="1320" spans="1:5">
      <c r="A1320" s="715">
        <v>38428</v>
      </c>
      <c r="B1320" s="633" t="s">
        <v>35970</v>
      </c>
      <c r="C1320" s="715" t="s">
        <v>103</v>
      </c>
      <c r="D1320" s="715" t="s">
        <v>40839</v>
      </c>
      <c r="E1320" s="716">
        <v>23.23</v>
      </c>
    </row>
    <row r="1321" spans="1:5">
      <c r="A1321" s="715">
        <v>38007</v>
      </c>
      <c r="B1321" s="633" t="s">
        <v>35971</v>
      </c>
      <c r="C1321" s="715" t="s">
        <v>103</v>
      </c>
      <c r="D1321" s="715" t="s">
        <v>40839</v>
      </c>
      <c r="E1321" s="716">
        <v>29.93</v>
      </c>
    </row>
    <row r="1322" spans="1:5">
      <c r="A1322" s="715">
        <v>38008</v>
      </c>
      <c r="B1322" s="633" t="s">
        <v>35972</v>
      </c>
      <c r="C1322" s="715" t="s">
        <v>103</v>
      </c>
      <c r="D1322" s="715" t="s">
        <v>40839</v>
      </c>
      <c r="E1322" s="716">
        <v>47.89</v>
      </c>
    </row>
    <row r="1323" spans="1:5">
      <c r="A1323" s="715">
        <v>38009</v>
      </c>
      <c r="B1323" s="633" t="s">
        <v>35973</v>
      </c>
      <c r="C1323" s="715" t="s">
        <v>103</v>
      </c>
      <c r="D1323" s="715" t="s">
        <v>40839</v>
      </c>
      <c r="E1323" s="716">
        <v>58.63</v>
      </c>
    </row>
    <row r="1324" spans="1:5">
      <c r="A1324" s="715">
        <v>44248</v>
      </c>
      <c r="B1324" s="633" t="s">
        <v>35974</v>
      </c>
      <c r="C1324" s="715" t="s">
        <v>103</v>
      </c>
      <c r="D1324" s="715" t="s">
        <v>40839</v>
      </c>
      <c r="E1324" s="716">
        <v>95.57</v>
      </c>
    </row>
    <row r="1325" spans="1:5">
      <c r="A1325" s="715">
        <v>44249</v>
      </c>
      <c r="B1325" s="633" t="s">
        <v>35975</v>
      </c>
      <c r="C1325" s="715" t="s">
        <v>103</v>
      </c>
      <c r="D1325" s="715" t="s">
        <v>40839</v>
      </c>
      <c r="E1325" s="716">
        <v>368.73</v>
      </c>
    </row>
    <row r="1326" spans="1:5">
      <c r="A1326" s="715">
        <v>44250</v>
      </c>
      <c r="B1326" s="633" t="s">
        <v>35976</v>
      </c>
      <c r="C1326" s="715" t="s">
        <v>103</v>
      </c>
      <c r="D1326" s="715" t="s">
        <v>40839</v>
      </c>
      <c r="E1326" s="716">
        <v>535.48</v>
      </c>
    </row>
    <row r="1327" spans="1:5" ht="29">
      <c r="A1327" s="715">
        <v>39279</v>
      </c>
      <c r="B1327" s="633" t="s">
        <v>35977</v>
      </c>
      <c r="C1327" s="715" t="s">
        <v>103</v>
      </c>
      <c r="D1327" s="715" t="s">
        <v>40839</v>
      </c>
      <c r="E1327" s="716">
        <v>9.76</v>
      </c>
    </row>
    <row r="1328" spans="1:5" ht="29">
      <c r="A1328" s="715">
        <v>39280</v>
      </c>
      <c r="B1328" s="633" t="s">
        <v>35978</v>
      </c>
      <c r="C1328" s="715" t="s">
        <v>103</v>
      </c>
      <c r="D1328" s="715" t="s">
        <v>40839</v>
      </c>
      <c r="E1328" s="716">
        <v>10.94</v>
      </c>
    </row>
    <row r="1329" spans="1:5" ht="29">
      <c r="A1329" s="715">
        <v>39281</v>
      </c>
      <c r="B1329" s="633" t="s">
        <v>35979</v>
      </c>
      <c r="C1329" s="715" t="s">
        <v>103</v>
      </c>
      <c r="D1329" s="715" t="s">
        <v>40839</v>
      </c>
      <c r="E1329" s="716">
        <v>14.45</v>
      </c>
    </row>
    <row r="1330" spans="1:5" ht="29">
      <c r="A1330" s="715">
        <v>39282</v>
      </c>
      <c r="B1330" s="633" t="s">
        <v>35980</v>
      </c>
      <c r="C1330" s="715" t="s">
        <v>103</v>
      </c>
      <c r="D1330" s="715" t="s">
        <v>40839</v>
      </c>
      <c r="E1330" s="716">
        <v>20.18</v>
      </c>
    </row>
    <row r="1331" spans="1:5" ht="29">
      <c r="A1331" s="715">
        <v>38844</v>
      </c>
      <c r="B1331" s="633" t="s">
        <v>35981</v>
      </c>
      <c r="C1331" s="715" t="s">
        <v>103</v>
      </c>
      <c r="D1331" s="715" t="s">
        <v>28018</v>
      </c>
      <c r="E1331" s="716">
        <v>9.9</v>
      </c>
    </row>
    <row r="1332" spans="1:5" ht="29">
      <c r="A1332" s="715">
        <v>38846</v>
      </c>
      <c r="B1332" s="633" t="s">
        <v>35982</v>
      </c>
      <c r="C1332" s="715" t="s">
        <v>103</v>
      </c>
      <c r="D1332" s="715" t="s">
        <v>40839</v>
      </c>
      <c r="E1332" s="716">
        <v>10.07</v>
      </c>
    </row>
    <row r="1333" spans="1:5" ht="29">
      <c r="A1333" s="715">
        <v>38847</v>
      </c>
      <c r="B1333" s="633" t="s">
        <v>35983</v>
      </c>
      <c r="C1333" s="715" t="s">
        <v>103</v>
      </c>
      <c r="D1333" s="715" t="s">
        <v>40839</v>
      </c>
      <c r="E1333" s="716">
        <v>11.8</v>
      </c>
    </row>
    <row r="1334" spans="1:5" ht="29">
      <c r="A1334" s="715">
        <v>38850</v>
      </c>
      <c r="B1334" s="633" t="s">
        <v>35984</v>
      </c>
      <c r="C1334" s="715" t="s">
        <v>103</v>
      </c>
      <c r="D1334" s="715" t="s">
        <v>40839</v>
      </c>
      <c r="E1334" s="716">
        <v>21.31</v>
      </c>
    </row>
    <row r="1335" spans="1:5" ht="29">
      <c r="A1335" s="715">
        <v>38848</v>
      </c>
      <c r="B1335" s="633" t="s">
        <v>35985</v>
      </c>
      <c r="C1335" s="715" t="s">
        <v>103</v>
      </c>
      <c r="D1335" s="715" t="s">
        <v>40839</v>
      </c>
      <c r="E1335" s="716">
        <v>13.97</v>
      </c>
    </row>
    <row r="1336" spans="1:5" ht="29">
      <c r="A1336" s="715">
        <v>38851</v>
      </c>
      <c r="B1336" s="633" t="s">
        <v>35986</v>
      </c>
      <c r="C1336" s="715" t="s">
        <v>103</v>
      </c>
      <c r="D1336" s="715" t="s">
        <v>40839</v>
      </c>
      <c r="E1336" s="716">
        <v>24.09</v>
      </c>
    </row>
    <row r="1337" spans="1:5" ht="29">
      <c r="A1337" s="715">
        <v>38854</v>
      </c>
      <c r="B1337" s="633" t="s">
        <v>35987</v>
      </c>
      <c r="C1337" s="715" t="s">
        <v>103</v>
      </c>
      <c r="D1337" s="715" t="s">
        <v>40839</v>
      </c>
      <c r="E1337" s="716">
        <v>10.46</v>
      </c>
    </row>
    <row r="1338" spans="1:5" ht="57">
      <c r="A1338" s="715">
        <v>3104</v>
      </c>
      <c r="B1338" s="633" t="s">
        <v>35988</v>
      </c>
      <c r="C1338" s="715" t="s">
        <v>396</v>
      </c>
      <c r="D1338" s="715" t="s">
        <v>40839</v>
      </c>
      <c r="E1338" s="716">
        <v>185.54</v>
      </c>
    </row>
    <row r="1339" spans="1:5" ht="29">
      <c r="A1339" s="715">
        <v>1607</v>
      </c>
      <c r="B1339" s="633" t="s">
        <v>35989</v>
      </c>
      <c r="C1339" s="715" t="s">
        <v>396</v>
      </c>
      <c r="D1339" s="715" t="s">
        <v>40839</v>
      </c>
      <c r="E1339" s="716">
        <v>0.24</v>
      </c>
    </row>
    <row r="1340" spans="1:5" ht="29">
      <c r="A1340" s="715">
        <v>38169</v>
      </c>
      <c r="B1340" s="633" t="s">
        <v>35990</v>
      </c>
      <c r="C1340" s="715" t="s">
        <v>396</v>
      </c>
      <c r="D1340" s="715" t="s">
        <v>40839</v>
      </c>
      <c r="E1340" s="716">
        <v>79.040000000000006</v>
      </c>
    </row>
    <row r="1341" spans="1:5" ht="29">
      <c r="A1341" s="715">
        <v>6142</v>
      </c>
      <c r="B1341" s="633" t="s">
        <v>35991</v>
      </c>
      <c r="C1341" s="715" t="s">
        <v>103</v>
      </c>
      <c r="D1341" s="715" t="s">
        <v>40839</v>
      </c>
      <c r="E1341" s="716">
        <v>9.4600000000000009</v>
      </c>
    </row>
    <row r="1342" spans="1:5" ht="29">
      <c r="A1342" s="715">
        <v>11686</v>
      </c>
      <c r="B1342" s="633" t="s">
        <v>35992</v>
      </c>
      <c r="C1342" s="715" t="s">
        <v>103</v>
      </c>
      <c r="D1342" s="715" t="s">
        <v>40839</v>
      </c>
      <c r="E1342" s="716">
        <v>13.13</v>
      </c>
    </row>
    <row r="1343" spans="1:5" ht="29">
      <c r="A1343" s="715">
        <v>37598</v>
      </c>
      <c r="B1343" s="633" t="s">
        <v>35993</v>
      </c>
      <c r="C1343" s="715" t="s">
        <v>103</v>
      </c>
      <c r="D1343" s="715" t="s">
        <v>40839</v>
      </c>
      <c r="E1343" s="716">
        <v>44.76</v>
      </c>
    </row>
    <row r="1344" spans="1:5" ht="43">
      <c r="A1344" s="715">
        <v>25398</v>
      </c>
      <c r="B1344" s="633" t="s">
        <v>35994</v>
      </c>
      <c r="C1344" s="715" t="s">
        <v>103</v>
      </c>
      <c r="D1344" s="715" t="s">
        <v>40839</v>
      </c>
      <c r="E1344" s="716">
        <v>4268.1099999999997</v>
      </c>
    </row>
    <row r="1345" spans="1:5" ht="43">
      <c r="A1345" s="715">
        <v>25399</v>
      </c>
      <c r="B1345" s="633" t="s">
        <v>35995</v>
      </c>
      <c r="C1345" s="715" t="s">
        <v>103</v>
      </c>
      <c r="D1345" s="715" t="s">
        <v>40839</v>
      </c>
      <c r="E1345" s="716">
        <v>2591.11</v>
      </c>
    </row>
    <row r="1346" spans="1:5" ht="29">
      <c r="A1346" s="715">
        <v>43440</v>
      </c>
      <c r="B1346" s="633" t="s">
        <v>35996</v>
      </c>
      <c r="C1346" s="715" t="s">
        <v>103</v>
      </c>
      <c r="D1346" s="715" t="s">
        <v>40839</v>
      </c>
      <c r="E1346" s="716">
        <v>545.91</v>
      </c>
    </row>
    <row r="1347" spans="1:5" ht="29">
      <c r="A1347" s="715">
        <v>1613</v>
      </c>
      <c r="B1347" s="633" t="s">
        <v>35997</v>
      </c>
      <c r="C1347" s="715" t="s">
        <v>103</v>
      </c>
      <c r="D1347" s="715" t="s">
        <v>40839</v>
      </c>
      <c r="E1347" s="716">
        <v>1508.3</v>
      </c>
    </row>
    <row r="1348" spans="1:5" ht="29">
      <c r="A1348" s="715">
        <v>1626</v>
      </c>
      <c r="B1348" s="633" t="s">
        <v>35998</v>
      </c>
      <c r="C1348" s="715" t="s">
        <v>103</v>
      </c>
      <c r="D1348" s="715" t="s">
        <v>40839</v>
      </c>
      <c r="E1348" s="716">
        <v>2255.84</v>
      </c>
    </row>
    <row r="1349" spans="1:5" ht="29">
      <c r="A1349" s="715">
        <v>1625</v>
      </c>
      <c r="B1349" s="633" t="s">
        <v>35999</v>
      </c>
      <c r="C1349" s="715" t="s">
        <v>103</v>
      </c>
      <c r="D1349" s="715" t="s">
        <v>40839</v>
      </c>
      <c r="E1349" s="716">
        <v>157.56</v>
      </c>
    </row>
    <row r="1350" spans="1:5" ht="29">
      <c r="A1350" s="715">
        <v>1622</v>
      </c>
      <c r="B1350" s="633" t="s">
        <v>36000</v>
      </c>
      <c r="C1350" s="715" t="s">
        <v>103</v>
      </c>
      <c r="D1350" s="715" t="s">
        <v>40839</v>
      </c>
      <c r="E1350" s="716">
        <v>5090.5200000000004</v>
      </c>
    </row>
    <row r="1351" spans="1:5" ht="29">
      <c r="A1351" s="715">
        <v>1620</v>
      </c>
      <c r="B1351" s="633" t="s">
        <v>36001</v>
      </c>
      <c r="C1351" s="715" t="s">
        <v>103</v>
      </c>
      <c r="D1351" s="715" t="s">
        <v>40839</v>
      </c>
      <c r="E1351" s="716">
        <v>331.91</v>
      </c>
    </row>
    <row r="1352" spans="1:5" ht="29">
      <c r="A1352" s="715">
        <v>1629</v>
      </c>
      <c r="B1352" s="633" t="s">
        <v>36002</v>
      </c>
      <c r="C1352" s="715" t="s">
        <v>103</v>
      </c>
      <c r="D1352" s="715" t="s">
        <v>40839</v>
      </c>
      <c r="E1352" s="716">
        <v>12389.11</v>
      </c>
    </row>
    <row r="1353" spans="1:5" ht="29">
      <c r="A1353" s="715">
        <v>1627</v>
      </c>
      <c r="B1353" s="633" t="s">
        <v>36003</v>
      </c>
      <c r="C1353" s="715" t="s">
        <v>103</v>
      </c>
      <c r="D1353" s="715" t="s">
        <v>40839</v>
      </c>
      <c r="E1353" s="716">
        <v>634.42999999999995</v>
      </c>
    </row>
    <row r="1354" spans="1:5" ht="29">
      <c r="A1354" s="715">
        <v>1623</v>
      </c>
      <c r="B1354" s="633" t="s">
        <v>36004</v>
      </c>
      <c r="C1354" s="715" t="s">
        <v>103</v>
      </c>
      <c r="D1354" s="715" t="s">
        <v>40839</v>
      </c>
      <c r="E1354" s="716">
        <v>128.5</v>
      </c>
    </row>
    <row r="1355" spans="1:5" ht="29">
      <c r="A1355" s="715">
        <v>1619</v>
      </c>
      <c r="B1355" s="633" t="s">
        <v>36005</v>
      </c>
      <c r="C1355" s="715" t="s">
        <v>103</v>
      </c>
      <c r="D1355" s="715" t="s">
        <v>40839</v>
      </c>
      <c r="E1355" s="716">
        <v>176.76</v>
      </c>
    </row>
    <row r="1356" spans="1:5" ht="29">
      <c r="A1356" s="715">
        <v>1630</v>
      </c>
      <c r="B1356" s="633" t="s">
        <v>36006</v>
      </c>
      <c r="C1356" s="715" t="s">
        <v>103</v>
      </c>
      <c r="D1356" s="715" t="s">
        <v>40839</v>
      </c>
      <c r="E1356" s="716">
        <v>3891.81</v>
      </c>
    </row>
    <row r="1357" spans="1:5" ht="29">
      <c r="A1357" s="715">
        <v>1616</v>
      </c>
      <c r="B1357" s="633" t="s">
        <v>36007</v>
      </c>
      <c r="C1357" s="715" t="s">
        <v>103</v>
      </c>
      <c r="D1357" s="715" t="s">
        <v>40839</v>
      </c>
      <c r="E1357" s="716">
        <v>5985.67</v>
      </c>
    </row>
    <row r="1358" spans="1:5" ht="29">
      <c r="A1358" s="715">
        <v>1614</v>
      </c>
      <c r="B1358" s="633" t="s">
        <v>36008</v>
      </c>
      <c r="C1358" s="715" t="s">
        <v>103</v>
      </c>
      <c r="D1358" s="715" t="s">
        <v>40839</v>
      </c>
      <c r="E1358" s="716">
        <v>273.56</v>
      </c>
    </row>
    <row r="1359" spans="1:5" ht="29">
      <c r="A1359" s="715">
        <v>1617</v>
      </c>
      <c r="B1359" s="633" t="s">
        <v>36009</v>
      </c>
      <c r="C1359" s="715" t="s">
        <v>103</v>
      </c>
      <c r="D1359" s="715" t="s">
        <v>40839</v>
      </c>
      <c r="E1359" s="716">
        <v>7145.59</v>
      </c>
    </row>
    <row r="1360" spans="1:5" ht="29">
      <c r="A1360" s="715">
        <v>1621</v>
      </c>
      <c r="B1360" s="633" t="s">
        <v>36010</v>
      </c>
      <c r="C1360" s="715" t="s">
        <v>103</v>
      </c>
      <c r="D1360" s="715" t="s">
        <v>40839</v>
      </c>
      <c r="E1360" s="716">
        <v>489.26</v>
      </c>
    </row>
    <row r="1361" spans="1:5" ht="29">
      <c r="A1361" s="715">
        <v>1624</v>
      </c>
      <c r="B1361" s="633" t="s">
        <v>36011</v>
      </c>
      <c r="C1361" s="715" t="s">
        <v>103</v>
      </c>
      <c r="D1361" s="715" t="s">
        <v>40839</v>
      </c>
      <c r="E1361" s="716">
        <v>17564.21</v>
      </c>
    </row>
    <row r="1362" spans="1:5" ht="29">
      <c r="A1362" s="715">
        <v>1615</v>
      </c>
      <c r="B1362" s="633" t="s">
        <v>36012</v>
      </c>
      <c r="C1362" s="715" t="s">
        <v>103</v>
      </c>
      <c r="D1362" s="715" t="s">
        <v>40839</v>
      </c>
      <c r="E1362" s="716">
        <v>918.76</v>
      </c>
    </row>
    <row r="1363" spans="1:5" ht="29">
      <c r="A1363" s="715">
        <v>1612</v>
      </c>
      <c r="B1363" s="633" t="s">
        <v>36013</v>
      </c>
      <c r="C1363" s="715" t="s">
        <v>103</v>
      </c>
      <c r="D1363" s="715" t="s">
        <v>28018</v>
      </c>
      <c r="E1363" s="716">
        <v>121.01</v>
      </c>
    </row>
    <row r="1364" spans="1:5" ht="29">
      <c r="A1364" s="715">
        <v>1618</v>
      </c>
      <c r="B1364" s="633" t="s">
        <v>36014</v>
      </c>
      <c r="C1364" s="715" t="s">
        <v>103</v>
      </c>
      <c r="D1364" s="715" t="s">
        <v>40839</v>
      </c>
      <c r="E1364" s="716">
        <v>1262.52</v>
      </c>
    </row>
    <row r="1365" spans="1:5">
      <c r="A1365" s="715">
        <v>14211</v>
      </c>
      <c r="B1365" s="633" t="s">
        <v>36015</v>
      </c>
      <c r="C1365" s="715" t="s">
        <v>103</v>
      </c>
      <c r="D1365" s="715" t="s">
        <v>40839</v>
      </c>
      <c r="E1365" s="716">
        <v>41.39</v>
      </c>
    </row>
    <row r="1366" spans="1:5" ht="29">
      <c r="A1366" s="715">
        <v>43657</v>
      </c>
      <c r="B1366" s="633" t="s">
        <v>36016</v>
      </c>
      <c r="C1366" s="715" t="s">
        <v>165</v>
      </c>
      <c r="D1366" s="715" t="s">
        <v>40839</v>
      </c>
      <c r="E1366" s="716">
        <v>7.74</v>
      </c>
    </row>
    <row r="1367" spans="1:5">
      <c r="A1367" s="715">
        <v>38200</v>
      </c>
      <c r="B1367" s="633" t="s">
        <v>36017</v>
      </c>
      <c r="C1367" s="715" t="s">
        <v>36018</v>
      </c>
      <c r="D1367" s="715" t="s">
        <v>40839</v>
      </c>
      <c r="E1367" s="716">
        <v>426.71</v>
      </c>
    </row>
    <row r="1368" spans="1:5" ht="29">
      <c r="A1368" s="715">
        <v>39269</v>
      </c>
      <c r="B1368" s="633" t="s">
        <v>36019</v>
      </c>
      <c r="C1368" s="715" t="s">
        <v>165</v>
      </c>
      <c r="D1368" s="715" t="s">
        <v>40839</v>
      </c>
      <c r="E1368" s="716">
        <v>1.55</v>
      </c>
    </row>
    <row r="1369" spans="1:5" ht="29">
      <c r="A1369" s="715">
        <v>11889</v>
      </c>
      <c r="B1369" s="633" t="s">
        <v>36020</v>
      </c>
      <c r="C1369" s="715" t="s">
        <v>165</v>
      </c>
      <c r="D1369" s="715" t="s">
        <v>40839</v>
      </c>
      <c r="E1369" s="716">
        <v>2.13</v>
      </c>
    </row>
    <row r="1370" spans="1:5" ht="29">
      <c r="A1370" s="715">
        <v>39270</v>
      </c>
      <c r="B1370" s="633" t="s">
        <v>36021</v>
      </c>
      <c r="C1370" s="715" t="s">
        <v>165</v>
      </c>
      <c r="D1370" s="715" t="s">
        <v>40839</v>
      </c>
      <c r="E1370" s="716">
        <v>2.77</v>
      </c>
    </row>
    <row r="1371" spans="1:5" ht="29">
      <c r="A1371" s="715">
        <v>11890</v>
      </c>
      <c r="B1371" s="633" t="s">
        <v>36022</v>
      </c>
      <c r="C1371" s="715" t="s">
        <v>165</v>
      </c>
      <c r="D1371" s="715" t="s">
        <v>40839</v>
      </c>
      <c r="E1371" s="716">
        <v>3.77</v>
      </c>
    </row>
    <row r="1372" spans="1:5" ht="29">
      <c r="A1372" s="715">
        <v>11891</v>
      </c>
      <c r="B1372" s="633" t="s">
        <v>36023</v>
      </c>
      <c r="C1372" s="715" t="s">
        <v>165</v>
      </c>
      <c r="D1372" s="715" t="s">
        <v>40839</v>
      </c>
      <c r="E1372" s="716">
        <v>6.12</v>
      </c>
    </row>
    <row r="1373" spans="1:5" ht="29">
      <c r="A1373" s="715">
        <v>11892</v>
      </c>
      <c r="B1373" s="633" t="s">
        <v>36024</v>
      </c>
      <c r="C1373" s="715" t="s">
        <v>165</v>
      </c>
      <c r="D1373" s="715" t="s">
        <v>40839</v>
      </c>
      <c r="E1373" s="716">
        <v>10</v>
      </c>
    </row>
    <row r="1374" spans="1:5">
      <c r="A1374" s="715">
        <v>37601</v>
      </c>
      <c r="B1374" s="633" t="s">
        <v>36025</v>
      </c>
      <c r="C1374" s="715" t="s">
        <v>165</v>
      </c>
      <c r="D1374" s="715" t="s">
        <v>40839</v>
      </c>
      <c r="E1374" s="716">
        <v>9.94</v>
      </c>
    </row>
    <row r="1375" spans="1:5">
      <c r="A1375" s="715">
        <v>1634</v>
      </c>
      <c r="B1375" s="633" t="s">
        <v>36026</v>
      </c>
      <c r="C1375" s="715" t="s">
        <v>165</v>
      </c>
      <c r="D1375" s="715" t="s">
        <v>40839</v>
      </c>
      <c r="E1375" s="716">
        <v>10.28</v>
      </c>
    </row>
    <row r="1376" spans="1:5">
      <c r="A1376" s="715">
        <v>44274</v>
      </c>
      <c r="B1376" s="633" t="s">
        <v>36027</v>
      </c>
      <c r="C1376" s="715" t="s">
        <v>103</v>
      </c>
      <c r="D1376" s="715" t="s">
        <v>40839</v>
      </c>
      <c r="E1376" s="716">
        <v>702.18</v>
      </c>
    </row>
    <row r="1377" spans="1:5" ht="29">
      <c r="A1377" s="715">
        <v>5086</v>
      </c>
      <c r="B1377" s="633" t="s">
        <v>36028</v>
      </c>
      <c r="C1377" s="715" t="s">
        <v>207</v>
      </c>
      <c r="D1377" s="715" t="s">
        <v>40839</v>
      </c>
      <c r="E1377" s="716">
        <v>32.72</v>
      </c>
    </row>
    <row r="1378" spans="1:5">
      <c r="A1378" s="715">
        <v>45244</v>
      </c>
      <c r="B1378" s="633" t="s">
        <v>40858</v>
      </c>
      <c r="C1378" s="715" t="s">
        <v>103</v>
      </c>
      <c r="D1378" s="715" t="s">
        <v>40839</v>
      </c>
      <c r="E1378" s="716">
        <v>109.2</v>
      </c>
    </row>
    <row r="1379" spans="1:5" ht="29">
      <c r="A1379" s="715">
        <v>11280</v>
      </c>
      <c r="B1379" s="633" t="s">
        <v>36029</v>
      </c>
      <c r="C1379" s="715" t="s">
        <v>103</v>
      </c>
      <c r="D1379" s="715" t="s">
        <v>40839</v>
      </c>
      <c r="E1379" s="716">
        <v>6023.06</v>
      </c>
    </row>
    <row r="1380" spans="1:5" ht="29">
      <c r="A1380" s="715">
        <v>45657</v>
      </c>
      <c r="B1380" s="633" t="s">
        <v>36030</v>
      </c>
      <c r="C1380" s="715" t="s">
        <v>103</v>
      </c>
      <c r="D1380" s="715" t="s">
        <v>40839</v>
      </c>
      <c r="E1380" s="716">
        <v>137247.87</v>
      </c>
    </row>
    <row r="1381" spans="1:5">
      <c r="A1381" s="715">
        <v>3446</v>
      </c>
      <c r="B1381" s="633" t="s">
        <v>36031</v>
      </c>
      <c r="C1381" s="715" t="s">
        <v>103</v>
      </c>
      <c r="D1381" s="715" t="s">
        <v>40839</v>
      </c>
      <c r="E1381" s="716">
        <v>37.4</v>
      </c>
    </row>
    <row r="1382" spans="1:5">
      <c r="A1382" s="715">
        <v>3445</v>
      </c>
      <c r="B1382" s="633" t="s">
        <v>36032</v>
      </c>
      <c r="C1382" s="715" t="s">
        <v>103</v>
      </c>
      <c r="D1382" s="715" t="s">
        <v>40839</v>
      </c>
      <c r="E1382" s="716">
        <v>30.54</v>
      </c>
    </row>
    <row r="1383" spans="1:5">
      <c r="A1383" s="715">
        <v>3444</v>
      </c>
      <c r="B1383" s="633" t="s">
        <v>36033</v>
      </c>
      <c r="C1383" s="715" t="s">
        <v>103</v>
      </c>
      <c r="D1383" s="715" t="s">
        <v>40839</v>
      </c>
      <c r="E1383" s="716">
        <v>18.79</v>
      </c>
    </row>
    <row r="1384" spans="1:5">
      <c r="A1384" s="715">
        <v>3441</v>
      </c>
      <c r="B1384" s="633" t="s">
        <v>36034</v>
      </c>
      <c r="C1384" s="715" t="s">
        <v>103</v>
      </c>
      <c r="D1384" s="715" t="s">
        <v>40839</v>
      </c>
      <c r="E1384" s="716">
        <v>8.6199999999999992</v>
      </c>
    </row>
    <row r="1385" spans="1:5">
      <c r="A1385" s="715">
        <v>12402</v>
      </c>
      <c r="B1385" s="633" t="s">
        <v>36035</v>
      </c>
      <c r="C1385" s="715" t="s">
        <v>103</v>
      </c>
      <c r="D1385" s="715" t="s">
        <v>40839</v>
      </c>
      <c r="E1385" s="716">
        <v>105.14</v>
      </c>
    </row>
    <row r="1386" spans="1:5">
      <c r="A1386" s="715">
        <v>3447</v>
      </c>
      <c r="B1386" s="633" t="s">
        <v>36036</v>
      </c>
      <c r="C1386" s="715" t="s">
        <v>103</v>
      </c>
      <c r="D1386" s="715" t="s">
        <v>40839</v>
      </c>
      <c r="E1386" s="716">
        <v>54.39</v>
      </c>
    </row>
    <row r="1387" spans="1:5">
      <c r="A1387" s="715">
        <v>3448</v>
      </c>
      <c r="B1387" s="633" t="s">
        <v>36037</v>
      </c>
      <c r="C1387" s="715" t="s">
        <v>103</v>
      </c>
      <c r="D1387" s="715" t="s">
        <v>40839</v>
      </c>
      <c r="E1387" s="716">
        <v>153.71</v>
      </c>
    </row>
    <row r="1388" spans="1:5">
      <c r="A1388" s="715">
        <v>3442</v>
      </c>
      <c r="B1388" s="633" t="s">
        <v>36038</v>
      </c>
      <c r="C1388" s="715" t="s">
        <v>103</v>
      </c>
      <c r="D1388" s="715" t="s">
        <v>40839</v>
      </c>
      <c r="E1388" s="716">
        <v>12.89</v>
      </c>
    </row>
    <row r="1389" spans="1:5">
      <c r="A1389" s="715">
        <v>3449</v>
      </c>
      <c r="B1389" s="633" t="s">
        <v>36039</v>
      </c>
      <c r="C1389" s="715" t="s">
        <v>103</v>
      </c>
      <c r="D1389" s="715" t="s">
        <v>40839</v>
      </c>
      <c r="E1389" s="716">
        <v>269.33999999999997</v>
      </c>
    </row>
    <row r="1390" spans="1:5">
      <c r="A1390" s="715">
        <v>37438</v>
      </c>
      <c r="B1390" s="633" t="s">
        <v>36040</v>
      </c>
      <c r="C1390" s="715" t="s">
        <v>103</v>
      </c>
      <c r="D1390" s="715" t="s">
        <v>40839</v>
      </c>
      <c r="E1390" s="716">
        <v>249.65</v>
      </c>
    </row>
    <row r="1391" spans="1:5">
      <c r="A1391" s="715">
        <v>37439</v>
      </c>
      <c r="B1391" s="633" t="s">
        <v>36041</v>
      </c>
      <c r="C1391" s="715" t="s">
        <v>103</v>
      </c>
      <c r="D1391" s="715" t="s">
        <v>40839</v>
      </c>
      <c r="E1391" s="716">
        <v>1632.2</v>
      </c>
    </row>
    <row r="1392" spans="1:5">
      <c r="A1392" s="715">
        <v>37435</v>
      </c>
      <c r="B1392" s="633" t="s">
        <v>36042</v>
      </c>
      <c r="C1392" s="715" t="s">
        <v>103</v>
      </c>
      <c r="D1392" s="715" t="s">
        <v>40839</v>
      </c>
      <c r="E1392" s="716">
        <v>29.34</v>
      </c>
    </row>
    <row r="1393" spans="1:5">
      <c r="A1393" s="715">
        <v>37436</v>
      </c>
      <c r="B1393" s="633" t="s">
        <v>36043</v>
      </c>
      <c r="C1393" s="715" t="s">
        <v>103</v>
      </c>
      <c r="D1393" s="715" t="s">
        <v>40839</v>
      </c>
      <c r="E1393" s="716">
        <v>34.619999999999997</v>
      </c>
    </row>
    <row r="1394" spans="1:5">
      <c r="A1394" s="715">
        <v>37437</v>
      </c>
      <c r="B1394" s="633" t="s">
        <v>36044</v>
      </c>
      <c r="C1394" s="715" t="s">
        <v>103</v>
      </c>
      <c r="D1394" s="715" t="s">
        <v>40839</v>
      </c>
      <c r="E1394" s="716">
        <v>50.08</v>
      </c>
    </row>
    <row r="1395" spans="1:5" ht="29">
      <c r="A1395" s="715">
        <v>3473</v>
      </c>
      <c r="B1395" s="633" t="s">
        <v>36045</v>
      </c>
      <c r="C1395" s="715" t="s">
        <v>103</v>
      </c>
      <c r="D1395" s="715" t="s">
        <v>40839</v>
      </c>
      <c r="E1395" s="716">
        <v>42.29</v>
      </c>
    </row>
    <row r="1396" spans="1:5" ht="29">
      <c r="A1396" s="715">
        <v>3474</v>
      </c>
      <c r="B1396" s="633" t="s">
        <v>36046</v>
      </c>
      <c r="C1396" s="715" t="s">
        <v>103</v>
      </c>
      <c r="D1396" s="715" t="s">
        <v>40839</v>
      </c>
      <c r="E1396" s="716">
        <v>34.86</v>
      </c>
    </row>
    <row r="1397" spans="1:5">
      <c r="A1397" s="715">
        <v>3443</v>
      </c>
      <c r="B1397" s="633" t="s">
        <v>36047</v>
      </c>
      <c r="C1397" s="715" t="s">
        <v>103</v>
      </c>
      <c r="D1397" s="715" t="s">
        <v>40839</v>
      </c>
      <c r="E1397" s="716">
        <v>21.69</v>
      </c>
    </row>
    <row r="1398" spans="1:5" ht="29">
      <c r="A1398" s="715">
        <v>3450</v>
      </c>
      <c r="B1398" s="633" t="s">
        <v>36048</v>
      </c>
      <c r="C1398" s="715" t="s">
        <v>103</v>
      </c>
      <c r="D1398" s="715" t="s">
        <v>40839</v>
      </c>
      <c r="E1398" s="716">
        <v>10.1</v>
      </c>
    </row>
    <row r="1399" spans="1:5" ht="29">
      <c r="A1399" s="715">
        <v>3453</v>
      </c>
      <c r="B1399" s="633" t="s">
        <v>36049</v>
      </c>
      <c r="C1399" s="715" t="s">
        <v>103</v>
      </c>
      <c r="D1399" s="715" t="s">
        <v>40839</v>
      </c>
      <c r="E1399" s="716">
        <v>123.44</v>
      </c>
    </row>
    <row r="1400" spans="1:5">
      <c r="A1400" s="715">
        <v>3452</v>
      </c>
      <c r="B1400" s="633" t="s">
        <v>36050</v>
      </c>
      <c r="C1400" s="715" t="s">
        <v>103</v>
      </c>
      <c r="D1400" s="715" t="s">
        <v>40839</v>
      </c>
      <c r="E1400" s="716">
        <v>60.93</v>
      </c>
    </row>
    <row r="1401" spans="1:5">
      <c r="A1401" s="715">
        <v>3454</v>
      </c>
      <c r="B1401" s="633" t="s">
        <v>36051</v>
      </c>
      <c r="C1401" s="715" t="s">
        <v>103</v>
      </c>
      <c r="D1401" s="715" t="s">
        <v>40839</v>
      </c>
      <c r="E1401" s="716">
        <v>187.75</v>
      </c>
    </row>
    <row r="1402" spans="1:5" ht="29">
      <c r="A1402" s="715">
        <v>3451</v>
      </c>
      <c r="B1402" s="633" t="s">
        <v>36052</v>
      </c>
      <c r="C1402" s="715" t="s">
        <v>103</v>
      </c>
      <c r="D1402" s="715" t="s">
        <v>40839</v>
      </c>
      <c r="E1402" s="716">
        <v>12.09</v>
      </c>
    </row>
    <row r="1403" spans="1:5">
      <c r="A1403" s="715">
        <v>3458</v>
      </c>
      <c r="B1403" s="633" t="s">
        <v>36053</v>
      </c>
      <c r="C1403" s="715" t="s">
        <v>103</v>
      </c>
      <c r="D1403" s="715" t="s">
        <v>40839</v>
      </c>
      <c r="E1403" s="716">
        <v>33.9</v>
      </c>
    </row>
    <row r="1404" spans="1:5">
      <c r="A1404" s="715">
        <v>3457</v>
      </c>
      <c r="B1404" s="633" t="s">
        <v>36054</v>
      </c>
      <c r="C1404" s="715" t="s">
        <v>103</v>
      </c>
      <c r="D1404" s="715" t="s">
        <v>40839</v>
      </c>
      <c r="E1404" s="716">
        <v>25.45</v>
      </c>
    </row>
    <row r="1405" spans="1:5">
      <c r="A1405" s="715">
        <v>3472</v>
      </c>
      <c r="B1405" s="633" t="s">
        <v>36055</v>
      </c>
      <c r="C1405" s="715" t="s">
        <v>103</v>
      </c>
      <c r="D1405" s="715" t="s">
        <v>40839</v>
      </c>
      <c r="E1405" s="716">
        <v>16.239999999999998</v>
      </c>
    </row>
    <row r="1406" spans="1:5">
      <c r="A1406" s="715">
        <v>3455</v>
      </c>
      <c r="B1406" s="633" t="s">
        <v>36056</v>
      </c>
      <c r="C1406" s="715" t="s">
        <v>103</v>
      </c>
      <c r="D1406" s="715" t="s">
        <v>40839</v>
      </c>
      <c r="E1406" s="716">
        <v>7.23</v>
      </c>
    </row>
    <row r="1407" spans="1:5">
      <c r="A1407" s="715">
        <v>3470</v>
      </c>
      <c r="B1407" s="633" t="s">
        <v>36057</v>
      </c>
      <c r="C1407" s="715" t="s">
        <v>103</v>
      </c>
      <c r="D1407" s="715" t="s">
        <v>40839</v>
      </c>
      <c r="E1407" s="716">
        <v>94.65</v>
      </c>
    </row>
    <row r="1408" spans="1:5">
      <c r="A1408" s="715">
        <v>3471</v>
      </c>
      <c r="B1408" s="633" t="s">
        <v>36058</v>
      </c>
      <c r="C1408" s="715" t="s">
        <v>103</v>
      </c>
      <c r="D1408" s="715" t="s">
        <v>40839</v>
      </c>
      <c r="E1408" s="716">
        <v>52.01</v>
      </c>
    </row>
    <row r="1409" spans="1:5">
      <c r="A1409" s="715">
        <v>3459</v>
      </c>
      <c r="B1409" s="633" t="s">
        <v>36059</v>
      </c>
      <c r="C1409" s="715" t="s">
        <v>103</v>
      </c>
      <c r="D1409" s="715" t="s">
        <v>40839</v>
      </c>
      <c r="E1409" s="716">
        <v>133.51</v>
      </c>
    </row>
    <row r="1410" spans="1:5">
      <c r="A1410" s="715">
        <v>3456</v>
      </c>
      <c r="B1410" s="633" t="s">
        <v>36060</v>
      </c>
      <c r="C1410" s="715" t="s">
        <v>103</v>
      </c>
      <c r="D1410" s="715" t="s">
        <v>40839</v>
      </c>
      <c r="E1410" s="716">
        <v>10.81</v>
      </c>
    </row>
    <row r="1411" spans="1:5">
      <c r="A1411" s="715">
        <v>3469</v>
      </c>
      <c r="B1411" s="633" t="s">
        <v>36061</v>
      </c>
      <c r="C1411" s="715" t="s">
        <v>103</v>
      </c>
      <c r="D1411" s="715" t="s">
        <v>40839</v>
      </c>
      <c r="E1411" s="716">
        <v>253.9</v>
      </c>
    </row>
    <row r="1412" spans="1:5">
      <c r="A1412" s="715">
        <v>3460</v>
      </c>
      <c r="B1412" s="633" t="s">
        <v>36062</v>
      </c>
      <c r="C1412" s="715" t="s">
        <v>103</v>
      </c>
      <c r="D1412" s="715" t="s">
        <v>40839</v>
      </c>
      <c r="E1412" s="716">
        <v>370.48</v>
      </c>
    </row>
    <row r="1413" spans="1:5">
      <c r="A1413" s="715">
        <v>3461</v>
      </c>
      <c r="B1413" s="633" t="s">
        <v>36063</v>
      </c>
      <c r="C1413" s="715" t="s">
        <v>103</v>
      </c>
      <c r="D1413" s="715" t="s">
        <v>40839</v>
      </c>
      <c r="E1413" s="716">
        <v>946.93</v>
      </c>
    </row>
    <row r="1414" spans="1:5">
      <c r="A1414" s="715">
        <v>37433</v>
      </c>
      <c r="B1414" s="633" t="s">
        <v>36064</v>
      </c>
      <c r="C1414" s="715" t="s">
        <v>103</v>
      </c>
      <c r="D1414" s="715" t="s">
        <v>40839</v>
      </c>
      <c r="E1414" s="716">
        <v>249.65</v>
      </c>
    </row>
    <row r="1415" spans="1:5">
      <c r="A1415" s="715">
        <v>37430</v>
      </c>
      <c r="B1415" s="633" t="s">
        <v>36065</v>
      </c>
      <c r="C1415" s="715" t="s">
        <v>103</v>
      </c>
      <c r="D1415" s="715" t="s">
        <v>40839</v>
      </c>
      <c r="E1415" s="716">
        <v>31.28</v>
      </c>
    </row>
    <row r="1416" spans="1:5">
      <c r="A1416" s="715">
        <v>37434</v>
      </c>
      <c r="B1416" s="633" t="s">
        <v>36066</v>
      </c>
      <c r="C1416" s="715" t="s">
        <v>103</v>
      </c>
      <c r="D1416" s="715" t="s">
        <v>40839</v>
      </c>
      <c r="E1416" s="716">
        <v>2327.7399999999998</v>
      </c>
    </row>
    <row r="1417" spans="1:5">
      <c r="A1417" s="715">
        <v>37431</v>
      </c>
      <c r="B1417" s="633" t="s">
        <v>36067</v>
      </c>
      <c r="C1417" s="715" t="s">
        <v>103</v>
      </c>
      <c r="D1417" s="715" t="s">
        <v>40839</v>
      </c>
      <c r="E1417" s="716">
        <v>42.44</v>
      </c>
    </row>
    <row r="1418" spans="1:5">
      <c r="A1418" s="715">
        <v>37432</v>
      </c>
      <c r="B1418" s="633" t="s">
        <v>36068</v>
      </c>
      <c r="C1418" s="715" t="s">
        <v>103</v>
      </c>
      <c r="D1418" s="715" t="s">
        <v>40839</v>
      </c>
      <c r="E1418" s="716">
        <v>78.28</v>
      </c>
    </row>
    <row r="1419" spans="1:5">
      <c r="A1419" s="715">
        <v>39869</v>
      </c>
      <c r="B1419" s="633" t="s">
        <v>36069</v>
      </c>
      <c r="C1419" s="715" t="s">
        <v>103</v>
      </c>
      <c r="D1419" s="715" t="s">
        <v>40839</v>
      </c>
      <c r="E1419" s="716">
        <v>14.64</v>
      </c>
    </row>
    <row r="1420" spans="1:5">
      <c r="A1420" s="715">
        <v>39870</v>
      </c>
      <c r="B1420" s="633" t="s">
        <v>36070</v>
      </c>
      <c r="C1420" s="715" t="s">
        <v>103</v>
      </c>
      <c r="D1420" s="715" t="s">
        <v>40839</v>
      </c>
      <c r="E1420" s="716">
        <v>22.39</v>
      </c>
    </row>
    <row r="1421" spans="1:5">
      <c r="A1421" s="715">
        <v>39871</v>
      </c>
      <c r="B1421" s="633" t="s">
        <v>36071</v>
      </c>
      <c r="C1421" s="715" t="s">
        <v>103</v>
      </c>
      <c r="D1421" s="715" t="s">
        <v>40839</v>
      </c>
      <c r="E1421" s="716">
        <v>25.09</v>
      </c>
    </row>
    <row r="1422" spans="1:5">
      <c r="A1422" s="715">
        <v>12722</v>
      </c>
      <c r="B1422" s="633" t="s">
        <v>36072</v>
      </c>
      <c r="C1422" s="715" t="s">
        <v>103</v>
      </c>
      <c r="D1422" s="715" t="s">
        <v>40839</v>
      </c>
      <c r="E1422" s="716">
        <v>839.77</v>
      </c>
    </row>
    <row r="1423" spans="1:5">
      <c r="A1423" s="715">
        <v>12714</v>
      </c>
      <c r="B1423" s="633" t="s">
        <v>36073</v>
      </c>
      <c r="C1423" s="715" t="s">
        <v>103</v>
      </c>
      <c r="D1423" s="715" t="s">
        <v>40839</v>
      </c>
      <c r="E1423" s="716">
        <v>5.48</v>
      </c>
    </row>
    <row r="1424" spans="1:5">
      <c r="A1424" s="715">
        <v>12715</v>
      </c>
      <c r="B1424" s="633" t="s">
        <v>36074</v>
      </c>
      <c r="C1424" s="715" t="s">
        <v>103</v>
      </c>
      <c r="D1424" s="715" t="s">
        <v>40839</v>
      </c>
      <c r="E1424" s="716">
        <v>12.37</v>
      </c>
    </row>
    <row r="1425" spans="1:5">
      <c r="A1425" s="715">
        <v>12716</v>
      </c>
      <c r="B1425" s="633" t="s">
        <v>36075</v>
      </c>
      <c r="C1425" s="715" t="s">
        <v>103</v>
      </c>
      <c r="D1425" s="715" t="s">
        <v>40839</v>
      </c>
      <c r="E1425" s="716">
        <v>21.25</v>
      </c>
    </row>
    <row r="1426" spans="1:5">
      <c r="A1426" s="715">
        <v>12717</v>
      </c>
      <c r="B1426" s="633" t="s">
        <v>36076</v>
      </c>
      <c r="C1426" s="715" t="s">
        <v>103</v>
      </c>
      <c r="D1426" s="715" t="s">
        <v>40839</v>
      </c>
      <c r="E1426" s="716">
        <v>41.78</v>
      </c>
    </row>
    <row r="1427" spans="1:5">
      <c r="A1427" s="715">
        <v>12718</v>
      </c>
      <c r="B1427" s="633" t="s">
        <v>36077</v>
      </c>
      <c r="C1427" s="715" t="s">
        <v>103</v>
      </c>
      <c r="D1427" s="715" t="s">
        <v>40839</v>
      </c>
      <c r="E1427" s="716">
        <v>64.12</v>
      </c>
    </row>
    <row r="1428" spans="1:5">
      <c r="A1428" s="715">
        <v>12719</v>
      </c>
      <c r="B1428" s="633" t="s">
        <v>36078</v>
      </c>
      <c r="C1428" s="715" t="s">
        <v>103</v>
      </c>
      <c r="D1428" s="715" t="s">
        <v>40839</v>
      </c>
      <c r="E1428" s="716">
        <v>101.78</v>
      </c>
    </row>
    <row r="1429" spans="1:5">
      <c r="A1429" s="715">
        <v>12720</v>
      </c>
      <c r="B1429" s="633" t="s">
        <v>36079</v>
      </c>
      <c r="C1429" s="715" t="s">
        <v>103</v>
      </c>
      <c r="D1429" s="715" t="s">
        <v>40839</v>
      </c>
      <c r="E1429" s="716">
        <v>354.41</v>
      </c>
    </row>
    <row r="1430" spans="1:5">
      <c r="A1430" s="715">
        <v>12721</v>
      </c>
      <c r="B1430" s="633" t="s">
        <v>36080</v>
      </c>
      <c r="C1430" s="715" t="s">
        <v>103</v>
      </c>
      <c r="D1430" s="715" t="s">
        <v>40839</v>
      </c>
      <c r="E1430" s="716">
        <v>339.85</v>
      </c>
    </row>
    <row r="1431" spans="1:5" ht="29">
      <c r="A1431" s="715">
        <v>3468</v>
      </c>
      <c r="B1431" s="633" t="s">
        <v>36081</v>
      </c>
      <c r="C1431" s="715" t="s">
        <v>103</v>
      </c>
      <c r="D1431" s="715" t="s">
        <v>40839</v>
      </c>
      <c r="E1431" s="716">
        <v>44.25</v>
      </c>
    </row>
    <row r="1432" spans="1:5" ht="29">
      <c r="A1432" s="715">
        <v>3465</v>
      </c>
      <c r="B1432" s="633" t="s">
        <v>36082</v>
      </c>
      <c r="C1432" s="715" t="s">
        <v>103</v>
      </c>
      <c r="D1432" s="715" t="s">
        <v>40839</v>
      </c>
      <c r="E1432" s="716">
        <v>44.23</v>
      </c>
    </row>
    <row r="1433" spans="1:5" ht="29">
      <c r="A1433" s="715">
        <v>12403</v>
      </c>
      <c r="B1433" s="633" t="s">
        <v>36083</v>
      </c>
      <c r="C1433" s="715" t="s">
        <v>103</v>
      </c>
      <c r="D1433" s="715" t="s">
        <v>40839</v>
      </c>
      <c r="E1433" s="716">
        <v>31.53</v>
      </c>
    </row>
    <row r="1434" spans="1:5" ht="29">
      <c r="A1434" s="715">
        <v>3463</v>
      </c>
      <c r="B1434" s="633" t="s">
        <v>36084</v>
      </c>
      <c r="C1434" s="715" t="s">
        <v>103</v>
      </c>
      <c r="D1434" s="715" t="s">
        <v>40839</v>
      </c>
      <c r="E1434" s="716">
        <v>18.420000000000002</v>
      </c>
    </row>
    <row r="1435" spans="1:5" ht="29">
      <c r="A1435" s="715">
        <v>3464</v>
      </c>
      <c r="B1435" s="633" t="s">
        <v>36085</v>
      </c>
      <c r="C1435" s="715" t="s">
        <v>103</v>
      </c>
      <c r="D1435" s="715" t="s">
        <v>40839</v>
      </c>
      <c r="E1435" s="716">
        <v>18.420000000000002</v>
      </c>
    </row>
    <row r="1436" spans="1:5" ht="29">
      <c r="A1436" s="715">
        <v>3466</v>
      </c>
      <c r="B1436" s="633" t="s">
        <v>36086</v>
      </c>
      <c r="C1436" s="715" t="s">
        <v>103</v>
      </c>
      <c r="D1436" s="715" t="s">
        <v>40839</v>
      </c>
      <c r="E1436" s="716">
        <v>112.34</v>
      </c>
    </row>
    <row r="1437" spans="1:5" ht="29">
      <c r="A1437" s="715">
        <v>3467</v>
      </c>
      <c r="B1437" s="633" t="s">
        <v>36087</v>
      </c>
      <c r="C1437" s="715" t="s">
        <v>103</v>
      </c>
      <c r="D1437" s="715" t="s">
        <v>40839</v>
      </c>
      <c r="E1437" s="716">
        <v>63.45</v>
      </c>
    </row>
    <row r="1438" spans="1:5" ht="29">
      <c r="A1438" s="715">
        <v>3462</v>
      </c>
      <c r="B1438" s="633" t="s">
        <v>36088</v>
      </c>
      <c r="C1438" s="715" t="s">
        <v>103</v>
      </c>
      <c r="D1438" s="715" t="s">
        <v>40839</v>
      </c>
      <c r="E1438" s="716">
        <v>12.15</v>
      </c>
    </row>
    <row r="1439" spans="1:5" ht="29">
      <c r="A1439" s="715">
        <v>43917</v>
      </c>
      <c r="B1439" s="633" t="s">
        <v>41283</v>
      </c>
      <c r="C1439" s="715" t="s">
        <v>103</v>
      </c>
      <c r="D1439" s="715" t="s">
        <v>40839</v>
      </c>
      <c r="E1439" s="716">
        <v>247.4</v>
      </c>
    </row>
    <row r="1440" spans="1:5" ht="29">
      <c r="A1440" s="715">
        <v>41808</v>
      </c>
      <c r="B1440" s="633" t="s">
        <v>41284</v>
      </c>
      <c r="C1440" s="715" t="s">
        <v>103</v>
      </c>
      <c r="D1440" s="715" t="s">
        <v>40839</v>
      </c>
      <c r="E1440" s="716">
        <v>17.98</v>
      </c>
    </row>
    <row r="1441" spans="1:5" ht="29">
      <c r="A1441" s="715">
        <v>41817</v>
      </c>
      <c r="B1441" s="633" t="s">
        <v>41285</v>
      </c>
      <c r="C1441" s="715" t="s">
        <v>103</v>
      </c>
      <c r="D1441" s="715" t="s">
        <v>40839</v>
      </c>
      <c r="E1441" s="716">
        <v>204.48</v>
      </c>
    </row>
    <row r="1442" spans="1:5" ht="29">
      <c r="A1442" s="715">
        <v>41819</v>
      </c>
      <c r="B1442" s="633" t="s">
        <v>41286</v>
      </c>
      <c r="C1442" s="715" t="s">
        <v>103</v>
      </c>
      <c r="D1442" s="715" t="s">
        <v>40839</v>
      </c>
      <c r="E1442" s="716">
        <v>307.62</v>
      </c>
    </row>
    <row r="1443" spans="1:5" ht="29">
      <c r="A1443" s="715">
        <v>41815</v>
      </c>
      <c r="B1443" s="633" t="s">
        <v>41287</v>
      </c>
      <c r="C1443" s="715" t="s">
        <v>103</v>
      </c>
      <c r="D1443" s="715" t="s">
        <v>40839</v>
      </c>
      <c r="E1443" s="716">
        <v>90.93</v>
      </c>
    </row>
    <row r="1444" spans="1:5" ht="29">
      <c r="A1444" s="715">
        <v>41816</v>
      </c>
      <c r="B1444" s="633" t="s">
        <v>41288</v>
      </c>
      <c r="C1444" s="715" t="s">
        <v>103</v>
      </c>
      <c r="D1444" s="715" t="s">
        <v>40839</v>
      </c>
      <c r="E1444" s="716">
        <v>151.69</v>
      </c>
    </row>
    <row r="1445" spans="1:5" ht="29">
      <c r="A1445" s="715">
        <v>41812</v>
      </c>
      <c r="B1445" s="633" t="s">
        <v>41289</v>
      </c>
      <c r="C1445" s="715" t="s">
        <v>103</v>
      </c>
      <c r="D1445" s="715" t="s">
        <v>40839</v>
      </c>
      <c r="E1445" s="716">
        <v>44.11</v>
      </c>
    </row>
    <row r="1446" spans="1:5" ht="29">
      <c r="A1446" s="715">
        <v>41813</v>
      </c>
      <c r="B1446" s="633" t="s">
        <v>41290</v>
      </c>
      <c r="C1446" s="715" t="s">
        <v>103</v>
      </c>
      <c r="D1446" s="715" t="s">
        <v>40839</v>
      </c>
      <c r="E1446" s="716">
        <v>64.900000000000006</v>
      </c>
    </row>
    <row r="1447" spans="1:5" ht="29">
      <c r="A1447" s="715">
        <v>41806</v>
      </c>
      <c r="B1447" s="633" t="s">
        <v>41291</v>
      </c>
      <c r="C1447" s="715" t="s">
        <v>103</v>
      </c>
      <c r="D1447" s="715" t="s">
        <v>40839</v>
      </c>
      <c r="E1447" s="716">
        <v>11.71</v>
      </c>
    </row>
    <row r="1448" spans="1:5" ht="29">
      <c r="A1448" s="715">
        <v>41807</v>
      </c>
      <c r="B1448" s="633" t="s">
        <v>41292</v>
      </c>
      <c r="C1448" s="715" t="s">
        <v>103</v>
      </c>
      <c r="D1448" s="715" t="s">
        <v>40839</v>
      </c>
      <c r="E1448" s="716">
        <v>13.05</v>
      </c>
    </row>
    <row r="1449" spans="1:5" ht="29">
      <c r="A1449" s="715">
        <v>41809</v>
      </c>
      <c r="B1449" s="633" t="s">
        <v>41293</v>
      </c>
      <c r="C1449" s="715" t="s">
        <v>103</v>
      </c>
      <c r="D1449" s="715" t="s">
        <v>40839</v>
      </c>
      <c r="E1449" s="716">
        <v>21.37</v>
      </c>
    </row>
    <row r="1450" spans="1:5" ht="29">
      <c r="A1450" s="715">
        <v>41811</v>
      </c>
      <c r="B1450" s="633" t="s">
        <v>41294</v>
      </c>
      <c r="C1450" s="715" t="s">
        <v>103</v>
      </c>
      <c r="D1450" s="715" t="s">
        <v>40839</v>
      </c>
      <c r="E1450" s="716">
        <v>27.36</v>
      </c>
    </row>
    <row r="1451" spans="1:5" ht="29">
      <c r="A1451" s="715">
        <v>41814</v>
      </c>
      <c r="B1451" s="633" t="s">
        <v>41295</v>
      </c>
      <c r="C1451" s="715" t="s">
        <v>103</v>
      </c>
      <c r="D1451" s="715" t="s">
        <v>40839</v>
      </c>
      <c r="E1451" s="716">
        <v>8.0399999999999991</v>
      </c>
    </row>
    <row r="1452" spans="1:5" ht="29">
      <c r="A1452" s="715">
        <v>41818</v>
      </c>
      <c r="B1452" s="633" t="s">
        <v>41296</v>
      </c>
      <c r="C1452" s="715" t="s">
        <v>103</v>
      </c>
      <c r="D1452" s="715" t="s">
        <v>40839</v>
      </c>
      <c r="E1452" s="716">
        <v>9.02</v>
      </c>
    </row>
    <row r="1453" spans="1:5" ht="29">
      <c r="A1453" s="715">
        <v>43919</v>
      </c>
      <c r="B1453" s="633" t="s">
        <v>41297</v>
      </c>
      <c r="C1453" s="715" t="s">
        <v>103</v>
      </c>
      <c r="D1453" s="715" t="s">
        <v>40839</v>
      </c>
      <c r="E1453" s="716">
        <v>307.62</v>
      </c>
    </row>
    <row r="1454" spans="1:5" ht="29">
      <c r="A1454" s="715">
        <v>43914</v>
      </c>
      <c r="B1454" s="633" t="s">
        <v>41298</v>
      </c>
      <c r="C1454" s="715" t="s">
        <v>103</v>
      </c>
      <c r="D1454" s="715" t="s">
        <v>40839</v>
      </c>
      <c r="E1454" s="716">
        <v>97.43</v>
      </c>
    </row>
    <row r="1455" spans="1:5" ht="29">
      <c r="A1455" s="715">
        <v>43916</v>
      </c>
      <c r="B1455" s="633" t="s">
        <v>41299</v>
      </c>
      <c r="C1455" s="715" t="s">
        <v>103</v>
      </c>
      <c r="D1455" s="715" t="s">
        <v>40839</v>
      </c>
      <c r="E1455" s="716">
        <v>137.6</v>
      </c>
    </row>
    <row r="1456" spans="1:5" ht="29">
      <c r="A1456" s="715">
        <v>43912</v>
      </c>
      <c r="B1456" s="633" t="s">
        <v>41300</v>
      </c>
      <c r="C1456" s="715" t="s">
        <v>103</v>
      </c>
      <c r="D1456" s="715" t="s">
        <v>40839</v>
      </c>
      <c r="E1456" s="716">
        <v>44.11</v>
      </c>
    </row>
    <row r="1457" spans="1:5" ht="29">
      <c r="A1457" s="715">
        <v>43913</v>
      </c>
      <c r="B1457" s="633" t="s">
        <v>41301</v>
      </c>
      <c r="C1457" s="715" t="s">
        <v>103</v>
      </c>
      <c r="D1457" s="715" t="s">
        <v>40839</v>
      </c>
      <c r="E1457" s="716">
        <v>64.900000000000006</v>
      </c>
    </row>
    <row r="1458" spans="1:5" ht="29">
      <c r="A1458" s="715">
        <v>43908</v>
      </c>
      <c r="B1458" s="633" t="s">
        <v>41302</v>
      </c>
      <c r="C1458" s="715" t="s">
        <v>103</v>
      </c>
      <c r="D1458" s="715" t="s">
        <v>40839</v>
      </c>
      <c r="E1458" s="716">
        <v>12.55</v>
      </c>
    </row>
    <row r="1459" spans="1:5" ht="29">
      <c r="A1459" s="715">
        <v>43909</v>
      </c>
      <c r="B1459" s="633" t="s">
        <v>41303</v>
      </c>
      <c r="C1459" s="715" t="s">
        <v>103</v>
      </c>
      <c r="D1459" s="715" t="s">
        <v>40839</v>
      </c>
      <c r="E1459" s="716">
        <v>14.56</v>
      </c>
    </row>
    <row r="1460" spans="1:5" ht="29">
      <c r="A1460" s="715">
        <v>43910</v>
      </c>
      <c r="B1460" s="633" t="s">
        <v>41304</v>
      </c>
      <c r="C1460" s="715" t="s">
        <v>103</v>
      </c>
      <c r="D1460" s="715" t="s">
        <v>40839</v>
      </c>
      <c r="E1460" s="716">
        <v>21.37</v>
      </c>
    </row>
    <row r="1461" spans="1:5" ht="29">
      <c r="A1461" s="715">
        <v>43911</v>
      </c>
      <c r="B1461" s="633" t="s">
        <v>41305</v>
      </c>
      <c r="C1461" s="715" t="s">
        <v>103</v>
      </c>
      <c r="D1461" s="715" t="s">
        <v>40839</v>
      </c>
      <c r="E1461" s="716">
        <v>27.36</v>
      </c>
    </row>
    <row r="1462" spans="1:5" ht="29">
      <c r="A1462" s="715">
        <v>43915</v>
      </c>
      <c r="B1462" s="633" t="s">
        <v>41306</v>
      </c>
      <c r="C1462" s="715" t="s">
        <v>103</v>
      </c>
      <c r="D1462" s="715" t="s">
        <v>40839</v>
      </c>
      <c r="E1462" s="716">
        <v>6.93</v>
      </c>
    </row>
    <row r="1463" spans="1:5" ht="29">
      <c r="A1463" s="715">
        <v>43918</v>
      </c>
      <c r="B1463" s="633" t="s">
        <v>41307</v>
      </c>
      <c r="C1463" s="715" t="s">
        <v>103</v>
      </c>
      <c r="D1463" s="715" t="s">
        <v>40839</v>
      </c>
      <c r="E1463" s="716">
        <v>8.56</v>
      </c>
    </row>
    <row r="1464" spans="1:5" ht="29">
      <c r="A1464" s="715">
        <v>43907</v>
      </c>
      <c r="B1464" s="633" t="s">
        <v>41308</v>
      </c>
      <c r="C1464" s="715" t="s">
        <v>103</v>
      </c>
      <c r="D1464" s="715" t="s">
        <v>40839</v>
      </c>
      <c r="E1464" s="716">
        <v>11.71</v>
      </c>
    </row>
    <row r="1465" spans="1:5" ht="29">
      <c r="A1465" s="715">
        <v>37416</v>
      </c>
      <c r="B1465" s="633" t="s">
        <v>36089</v>
      </c>
      <c r="C1465" s="715" t="s">
        <v>103</v>
      </c>
      <c r="D1465" s="715" t="s">
        <v>40839</v>
      </c>
      <c r="E1465" s="716">
        <v>4.1399999999999997</v>
      </c>
    </row>
    <row r="1466" spans="1:5" ht="29">
      <c r="A1466" s="715">
        <v>37417</v>
      </c>
      <c r="B1466" s="633" t="s">
        <v>36090</v>
      </c>
      <c r="C1466" s="715" t="s">
        <v>103</v>
      </c>
      <c r="D1466" s="715" t="s">
        <v>40839</v>
      </c>
      <c r="E1466" s="716">
        <v>5.96</v>
      </c>
    </row>
    <row r="1467" spans="1:5" ht="29">
      <c r="A1467" s="715">
        <v>37413</v>
      </c>
      <c r="B1467" s="633" t="s">
        <v>36091</v>
      </c>
      <c r="C1467" s="715" t="s">
        <v>103</v>
      </c>
      <c r="D1467" s="715" t="s">
        <v>40839</v>
      </c>
      <c r="E1467" s="716">
        <v>4.43</v>
      </c>
    </row>
    <row r="1468" spans="1:5" ht="29">
      <c r="A1468" s="715">
        <v>37414</v>
      </c>
      <c r="B1468" s="633" t="s">
        <v>36092</v>
      </c>
      <c r="C1468" s="715" t="s">
        <v>103</v>
      </c>
      <c r="D1468" s="715" t="s">
        <v>40839</v>
      </c>
      <c r="E1468" s="716">
        <v>5.03</v>
      </c>
    </row>
    <row r="1469" spans="1:5" ht="29">
      <c r="A1469" s="715">
        <v>37415</v>
      </c>
      <c r="B1469" s="633" t="s">
        <v>36093</v>
      </c>
      <c r="C1469" s="715" t="s">
        <v>103</v>
      </c>
      <c r="D1469" s="715" t="s">
        <v>40839</v>
      </c>
      <c r="E1469" s="716">
        <v>9.14</v>
      </c>
    </row>
    <row r="1470" spans="1:5" ht="29">
      <c r="A1470" s="715">
        <v>43590</v>
      </c>
      <c r="B1470" s="633" t="s">
        <v>36094</v>
      </c>
      <c r="C1470" s="715" t="s">
        <v>103</v>
      </c>
      <c r="D1470" s="715" t="s">
        <v>40839</v>
      </c>
      <c r="E1470" s="716">
        <v>152.13</v>
      </c>
    </row>
    <row r="1471" spans="1:5" ht="29">
      <c r="A1471" s="715">
        <v>43589</v>
      </c>
      <c r="B1471" s="633" t="s">
        <v>36095</v>
      </c>
      <c r="C1471" s="715" t="s">
        <v>103</v>
      </c>
      <c r="D1471" s="715" t="s">
        <v>40839</v>
      </c>
      <c r="E1471" s="716">
        <v>27.52</v>
      </c>
    </row>
    <row r="1472" spans="1:5">
      <c r="A1472" s="715">
        <v>34519</v>
      </c>
      <c r="B1472" s="633" t="s">
        <v>36096</v>
      </c>
      <c r="C1472" s="715" t="s">
        <v>103</v>
      </c>
      <c r="D1472" s="715" t="s">
        <v>40839</v>
      </c>
      <c r="E1472" s="716">
        <v>86.59</v>
      </c>
    </row>
    <row r="1473" spans="1:5">
      <c r="A1473" s="715">
        <v>1649</v>
      </c>
      <c r="B1473" s="633" t="s">
        <v>36097</v>
      </c>
      <c r="C1473" s="715" t="s">
        <v>103</v>
      </c>
      <c r="D1473" s="715" t="s">
        <v>40839</v>
      </c>
      <c r="E1473" s="716">
        <v>79.94</v>
      </c>
    </row>
    <row r="1474" spans="1:5">
      <c r="A1474" s="715">
        <v>1653</v>
      </c>
      <c r="B1474" s="633" t="s">
        <v>36098</v>
      </c>
      <c r="C1474" s="715" t="s">
        <v>103</v>
      </c>
      <c r="D1474" s="715" t="s">
        <v>40839</v>
      </c>
      <c r="E1474" s="716">
        <v>62.62</v>
      </c>
    </row>
    <row r="1475" spans="1:5">
      <c r="A1475" s="715">
        <v>1648</v>
      </c>
      <c r="B1475" s="633" t="s">
        <v>36099</v>
      </c>
      <c r="C1475" s="715" t="s">
        <v>103</v>
      </c>
      <c r="D1475" s="715" t="s">
        <v>40839</v>
      </c>
      <c r="E1475" s="716">
        <v>43.05</v>
      </c>
    </row>
    <row r="1476" spans="1:5">
      <c r="A1476" s="715">
        <v>1647</v>
      </c>
      <c r="B1476" s="633" t="s">
        <v>36100</v>
      </c>
      <c r="C1476" s="715" t="s">
        <v>103</v>
      </c>
      <c r="D1476" s="715" t="s">
        <v>40839</v>
      </c>
      <c r="E1476" s="716">
        <v>22.42</v>
      </c>
    </row>
    <row r="1477" spans="1:5">
      <c r="A1477" s="715">
        <v>1651</v>
      </c>
      <c r="B1477" s="633" t="s">
        <v>36101</v>
      </c>
      <c r="C1477" s="715" t="s">
        <v>103</v>
      </c>
      <c r="D1477" s="715" t="s">
        <v>40839</v>
      </c>
      <c r="E1477" s="716">
        <v>199.73</v>
      </c>
    </row>
    <row r="1478" spans="1:5">
      <c r="A1478" s="715">
        <v>1650</v>
      </c>
      <c r="B1478" s="633" t="s">
        <v>36102</v>
      </c>
      <c r="C1478" s="715" t="s">
        <v>103</v>
      </c>
      <c r="D1478" s="715" t="s">
        <v>40839</v>
      </c>
      <c r="E1478" s="716">
        <v>110.4</v>
      </c>
    </row>
    <row r="1479" spans="1:5">
      <c r="A1479" s="715">
        <v>1652</v>
      </c>
      <c r="B1479" s="633" t="s">
        <v>36103</v>
      </c>
      <c r="C1479" s="715" t="s">
        <v>103</v>
      </c>
      <c r="D1479" s="715" t="s">
        <v>40839</v>
      </c>
      <c r="E1479" s="716">
        <v>286.67</v>
      </c>
    </row>
    <row r="1480" spans="1:5">
      <c r="A1480" s="715">
        <v>1654</v>
      </c>
      <c r="B1480" s="633" t="s">
        <v>36104</v>
      </c>
      <c r="C1480" s="715" t="s">
        <v>103</v>
      </c>
      <c r="D1480" s="715" t="s">
        <v>40839</v>
      </c>
      <c r="E1480" s="716">
        <v>30.78</v>
      </c>
    </row>
    <row r="1481" spans="1:5" ht="29">
      <c r="A1481" s="715">
        <v>10510</v>
      </c>
      <c r="B1481" s="633" t="s">
        <v>36105</v>
      </c>
      <c r="C1481" s="715" t="s">
        <v>103</v>
      </c>
      <c r="D1481" s="715" t="s">
        <v>40839</v>
      </c>
      <c r="E1481" s="716">
        <v>169.07</v>
      </c>
    </row>
    <row r="1482" spans="1:5">
      <c r="A1482" s="715">
        <v>1744</v>
      </c>
      <c r="B1482" s="633" t="s">
        <v>40999</v>
      </c>
      <c r="C1482" s="715" t="s">
        <v>103</v>
      </c>
      <c r="D1482" s="715" t="s">
        <v>40839</v>
      </c>
      <c r="E1482" s="716">
        <v>134.53</v>
      </c>
    </row>
    <row r="1483" spans="1:5">
      <c r="A1483" s="715">
        <v>1743</v>
      </c>
      <c r="B1483" s="633" t="s">
        <v>41000</v>
      </c>
      <c r="C1483" s="715" t="s">
        <v>103</v>
      </c>
      <c r="D1483" s="715" t="s">
        <v>40839</v>
      </c>
      <c r="E1483" s="716">
        <v>176.66</v>
      </c>
    </row>
    <row r="1484" spans="1:5">
      <c r="A1484" s="715">
        <v>1747</v>
      </c>
      <c r="B1484" s="633" t="s">
        <v>41001</v>
      </c>
      <c r="C1484" s="715" t="s">
        <v>103</v>
      </c>
      <c r="D1484" s="715" t="s">
        <v>40839</v>
      </c>
      <c r="E1484" s="716">
        <v>194.22</v>
      </c>
    </row>
    <row r="1485" spans="1:5" ht="29">
      <c r="A1485" s="715">
        <v>39640</v>
      </c>
      <c r="B1485" s="633" t="s">
        <v>36106</v>
      </c>
      <c r="C1485" s="715" t="s">
        <v>103</v>
      </c>
      <c r="D1485" s="715" t="s">
        <v>40839</v>
      </c>
      <c r="E1485" s="716">
        <v>11.51</v>
      </c>
    </row>
    <row r="1486" spans="1:5" ht="29">
      <c r="A1486" s="715">
        <v>7216</v>
      </c>
      <c r="B1486" s="633" t="s">
        <v>36107</v>
      </c>
      <c r="C1486" s="715" t="s">
        <v>103</v>
      </c>
      <c r="D1486" s="715" t="s">
        <v>40839</v>
      </c>
      <c r="E1486" s="716">
        <v>61.84</v>
      </c>
    </row>
    <row r="1487" spans="1:5" ht="29">
      <c r="A1487" s="715">
        <v>20235</v>
      </c>
      <c r="B1487" s="633" t="s">
        <v>36108</v>
      </c>
      <c r="C1487" s="715" t="s">
        <v>103</v>
      </c>
      <c r="D1487" s="715" t="s">
        <v>40839</v>
      </c>
      <c r="E1487" s="716">
        <v>49.72</v>
      </c>
    </row>
    <row r="1488" spans="1:5" ht="29">
      <c r="A1488" s="715">
        <v>7181</v>
      </c>
      <c r="B1488" s="633" t="s">
        <v>36109</v>
      </c>
      <c r="C1488" s="715" t="s">
        <v>103</v>
      </c>
      <c r="D1488" s="715" t="s">
        <v>40839</v>
      </c>
      <c r="E1488" s="716">
        <v>8.7799999999999994</v>
      </c>
    </row>
    <row r="1489" spans="1:5" ht="29">
      <c r="A1489" s="715">
        <v>40742</v>
      </c>
      <c r="B1489" s="633" t="s">
        <v>36110</v>
      </c>
      <c r="C1489" s="715" t="s">
        <v>103</v>
      </c>
      <c r="D1489" s="715" t="s">
        <v>40839</v>
      </c>
      <c r="E1489" s="716">
        <v>11.82</v>
      </c>
    </row>
    <row r="1490" spans="1:5" ht="29">
      <c r="A1490" s="715">
        <v>7214</v>
      </c>
      <c r="B1490" s="633" t="s">
        <v>36111</v>
      </c>
      <c r="C1490" s="715" t="s">
        <v>103</v>
      </c>
      <c r="D1490" s="715" t="s">
        <v>40839</v>
      </c>
      <c r="E1490" s="716">
        <v>60.39</v>
      </c>
    </row>
    <row r="1491" spans="1:5" ht="29">
      <c r="A1491" s="715">
        <v>7219</v>
      </c>
      <c r="B1491" s="633" t="s">
        <v>36112</v>
      </c>
      <c r="C1491" s="715" t="s">
        <v>103</v>
      </c>
      <c r="D1491" s="715" t="s">
        <v>40839</v>
      </c>
      <c r="E1491" s="716">
        <v>53.57</v>
      </c>
    </row>
    <row r="1492" spans="1:5" ht="29">
      <c r="A1492" s="715">
        <v>2628</v>
      </c>
      <c r="B1492" s="633" t="s">
        <v>36113</v>
      </c>
      <c r="C1492" s="715" t="s">
        <v>103</v>
      </c>
      <c r="D1492" s="715" t="s">
        <v>40839</v>
      </c>
      <c r="E1492" s="716">
        <v>205.67</v>
      </c>
    </row>
    <row r="1493" spans="1:5" ht="29">
      <c r="A1493" s="715">
        <v>2622</v>
      </c>
      <c r="B1493" s="633" t="s">
        <v>36114</v>
      </c>
      <c r="C1493" s="715" t="s">
        <v>103</v>
      </c>
      <c r="D1493" s="715" t="s">
        <v>40839</v>
      </c>
      <c r="E1493" s="716">
        <v>4.88</v>
      </c>
    </row>
    <row r="1494" spans="1:5" ht="29">
      <c r="A1494" s="715">
        <v>2623</v>
      </c>
      <c r="B1494" s="633" t="s">
        <v>36115</v>
      </c>
      <c r="C1494" s="715" t="s">
        <v>103</v>
      </c>
      <c r="D1494" s="715" t="s">
        <v>40839</v>
      </c>
      <c r="E1494" s="716">
        <v>5.88</v>
      </c>
    </row>
    <row r="1495" spans="1:5" ht="29">
      <c r="A1495" s="715">
        <v>2624</v>
      </c>
      <c r="B1495" s="633" t="s">
        <v>36116</v>
      </c>
      <c r="C1495" s="715" t="s">
        <v>103</v>
      </c>
      <c r="D1495" s="715" t="s">
        <v>40839</v>
      </c>
      <c r="E1495" s="716">
        <v>9.35</v>
      </c>
    </row>
    <row r="1496" spans="1:5" ht="29">
      <c r="A1496" s="715">
        <v>2625</v>
      </c>
      <c r="B1496" s="633" t="s">
        <v>36117</v>
      </c>
      <c r="C1496" s="715" t="s">
        <v>103</v>
      </c>
      <c r="D1496" s="715" t="s">
        <v>40839</v>
      </c>
      <c r="E1496" s="716">
        <v>19.73</v>
      </c>
    </row>
    <row r="1497" spans="1:5" ht="29">
      <c r="A1497" s="715">
        <v>2626</v>
      </c>
      <c r="B1497" s="633" t="s">
        <v>36118</v>
      </c>
      <c r="C1497" s="715" t="s">
        <v>103</v>
      </c>
      <c r="D1497" s="715" t="s">
        <v>40839</v>
      </c>
      <c r="E1497" s="716">
        <v>28.91</v>
      </c>
    </row>
    <row r="1498" spans="1:5" ht="29">
      <c r="A1498" s="715">
        <v>2630</v>
      </c>
      <c r="B1498" s="633" t="s">
        <v>36119</v>
      </c>
      <c r="C1498" s="715" t="s">
        <v>103</v>
      </c>
      <c r="D1498" s="715" t="s">
        <v>40839</v>
      </c>
      <c r="E1498" s="716">
        <v>43.98</v>
      </c>
    </row>
    <row r="1499" spans="1:5" ht="29">
      <c r="A1499" s="715">
        <v>2627</v>
      </c>
      <c r="B1499" s="633" t="s">
        <v>36120</v>
      </c>
      <c r="C1499" s="715" t="s">
        <v>103</v>
      </c>
      <c r="D1499" s="715" t="s">
        <v>40839</v>
      </c>
      <c r="E1499" s="716">
        <v>77.47</v>
      </c>
    </row>
    <row r="1500" spans="1:5" ht="29">
      <c r="A1500" s="715">
        <v>2629</v>
      </c>
      <c r="B1500" s="633" t="s">
        <v>36121</v>
      </c>
      <c r="C1500" s="715" t="s">
        <v>103</v>
      </c>
      <c r="D1500" s="715" t="s">
        <v>40839</v>
      </c>
      <c r="E1500" s="716">
        <v>104.78</v>
      </c>
    </row>
    <row r="1501" spans="1:5">
      <c r="A1501" s="715">
        <v>1880</v>
      </c>
      <c r="B1501" s="633" t="s">
        <v>36122</v>
      </c>
      <c r="C1501" s="715" t="s">
        <v>103</v>
      </c>
      <c r="D1501" s="715" t="s">
        <v>40839</v>
      </c>
      <c r="E1501" s="716">
        <v>2.77</v>
      </c>
    </row>
    <row r="1502" spans="1:5">
      <c r="A1502" s="715">
        <v>39274</v>
      </c>
      <c r="B1502" s="633" t="s">
        <v>36123</v>
      </c>
      <c r="C1502" s="715" t="s">
        <v>103</v>
      </c>
      <c r="D1502" s="715" t="s">
        <v>40839</v>
      </c>
      <c r="E1502" s="716">
        <v>2.15</v>
      </c>
    </row>
    <row r="1503" spans="1:5">
      <c r="A1503" s="715">
        <v>12033</v>
      </c>
      <c r="B1503" s="633" t="s">
        <v>36124</v>
      </c>
      <c r="C1503" s="715" t="s">
        <v>103</v>
      </c>
      <c r="D1503" s="715" t="s">
        <v>40839</v>
      </c>
      <c r="E1503" s="716">
        <v>8.86</v>
      </c>
    </row>
    <row r="1504" spans="1:5">
      <c r="A1504" s="715">
        <v>40408</v>
      </c>
      <c r="B1504" s="633" t="s">
        <v>36125</v>
      </c>
      <c r="C1504" s="715" t="s">
        <v>103</v>
      </c>
      <c r="D1504" s="715" t="s">
        <v>40839</v>
      </c>
      <c r="E1504" s="716">
        <v>5.82</v>
      </c>
    </row>
    <row r="1505" spans="1:5">
      <c r="A1505" s="715">
        <v>39276</v>
      </c>
      <c r="B1505" s="633" t="s">
        <v>36126</v>
      </c>
      <c r="C1505" s="715" t="s">
        <v>103</v>
      </c>
      <c r="D1505" s="715" t="s">
        <v>40839</v>
      </c>
      <c r="E1505" s="716">
        <v>5.24</v>
      </c>
    </row>
    <row r="1506" spans="1:5">
      <c r="A1506" s="715">
        <v>40409</v>
      </c>
      <c r="B1506" s="633" t="s">
        <v>36127</v>
      </c>
      <c r="C1506" s="715" t="s">
        <v>103</v>
      </c>
      <c r="D1506" s="715" t="s">
        <v>40839</v>
      </c>
      <c r="E1506" s="716">
        <v>2.06</v>
      </c>
    </row>
    <row r="1507" spans="1:5">
      <c r="A1507" s="715">
        <v>39277</v>
      </c>
      <c r="B1507" s="633" t="s">
        <v>36128</v>
      </c>
      <c r="C1507" s="715" t="s">
        <v>103</v>
      </c>
      <c r="D1507" s="715" t="s">
        <v>40839</v>
      </c>
      <c r="E1507" s="716">
        <v>14.16</v>
      </c>
    </row>
    <row r="1508" spans="1:5">
      <c r="A1508" s="715">
        <v>12034</v>
      </c>
      <c r="B1508" s="633" t="s">
        <v>36129</v>
      </c>
      <c r="C1508" s="715" t="s">
        <v>103</v>
      </c>
      <c r="D1508" s="715" t="s">
        <v>40839</v>
      </c>
      <c r="E1508" s="716">
        <v>4.01</v>
      </c>
    </row>
    <row r="1509" spans="1:5">
      <c r="A1509" s="715">
        <v>39879</v>
      </c>
      <c r="B1509" s="633" t="s">
        <v>36130</v>
      </c>
      <c r="C1509" s="715" t="s">
        <v>103</v>
      </c>
      <c r="D1509" s="715" t="s">
        <v>40839</v>
      </c>
      <c r="E1509" s="716">
        <v>5.45</v>
      </c>
    </row>
    <row r="1510" spans="1:5">
      <c r="A1510" s="715">
        <v>39880</v>
      </c>
      <c r="B1510" s="633" t="s">
        <v>36131</v>
      </c>
      <c r="C1510" s="715" t="s">
        <v>103</v>
      </c>
      <c r="D1510" s="715" t="s">
        <v>40839</v>
      </c>
      <c r="E1510" s="716">
        <v>12.06</v>
      </c>
    </row>
    <row r="1511" spans="1:5">
      <c r="A1511" s="715">
        <v>39881</v>
      </c>
      <c r="B1511" s="633" t="s">
        <v>36132</v>
      </c>
      <c r="C1511" s="715" t="s">
        <v>103</v>
      </c>
      <c r="D1511" s="715" t="s">
        <v>40839</v>
      </c>
      <c r="E1511" s="716">
        <v>19.37</v>
      </c>
    </row>
    <row r="1512" spans="1:5">
      <c r="A1512" s="715">
        <v>39882</v>
      </c>
      <c r="B1512" s="633" t="s">
        <v>36133</v>
      </c>
      <c r="C1512" s="715" t="s">
        <v>103</v>
      </c>
      <c r="D1512" s="715" t="s">
        <v>40839</v>
      </c>
      <c r="E1512" s="716">
        <v>51.02</v>
      </c>
    </row>
    <row r="1513" spans="1:5">
      <c r="A1513" s="715">
        <v>39883</v>
      </c>
      <c r="B1513" s="633" t="s">
        <v>36134</v>
      </c>
      <c r="C1513" s="715" t="s">
        <v>103</v>
      </c>
      <c r="D1513" s="715" t="s">
        <v>40839</v>
      </c>
      <c r="E1513" s="716">
        <v>81.47</v>
      </c>
    </row>
    <row r="1514" spans="1:5">
      <c r="A1514" s="715">
        <v>39884</v>
      </c>
      <c r="B1514" s="633" t="s">
        <v>36135</v>
      </c>
      <c r="C1514" s="715" t="s">
        <v>103</v>
      </c>
      <c r="D1514" s="715" t="s">
        <v>40839</v>
      </c>
      <c r="E1514" s="716">
        <v>121</v>
      </c>
    </row>
    <row r="1515" spans="1:5">
      <c r="A1515" s="715">
        <v>39885</v>
      </c>
      <c r="B1515" s="633" t="s">
        <v>36136</v>
      </c>
      <c r="C1515" s="715" t="s">
        <v>103</v>
      </c>
      <c r="D1515" s="715" t="s">
        <v>40839</v>
      </c>
      <c r="E1515" s="716">
        <v>287.58</v>
      </c>
    </row>
    <row r="1516" spans="1:5">
      <c r="A1516" s="715">
        <v>1777</v>
      </c>
      <c r="B1516" s="633" t="s">
        <v>36137</v>
      </c>
      <c r="C1516" s="715" t="s">
        <v>103</v>
      </c>
      <c r="D1516" s="715" t="s">
        <v>40839</v>
      </c>
      <c r="E1516" s="716">
        <v>86.19</v>
      </c>
    </row>
    <row r="1517" spans="1:5">
      <c r="A1517" s="715">
        <v>1819</v>
      </c>
      <c r="B1517" s="633" t="s">
        <v>36138</v>
      </c>
      <c r="C1517" s="715" t="s">
        <v>103</v>
      </c>
      <c r="D1517" s="715" t="s">
        <v>40839</v>
      </c>
      <c r="E1517" s="716">
        <v>62.71</v>
      </c>
    </row>
    <row r="1518" spans="1:5">
      <c r="A1518" s="715">
        <v>1776</v>
      </c>
      <c r="B1518" s="633" t="s">
        <v>36139</v>
      </c>
      <c r="C1518" s="715" t="s">
        <v>103</v>
      </c>
      <c r="D1518" s="715" t="s">
        <v>40839</v>
      </c>
      <c r="E1518" s="716">
        <v>51.02</v>
      </c>
    </row>
    <row r="1519" spans="1:5">
      <c r="A1519" s="715">
        <v>1775</v>
      </c>
      <c r="B1519" s="633" t="s">
        <v>36140</v>
      </c>
      <c r="C1519" s="715" t="s">
        <v>103</v>
      </c>
      <c r="D1519" s="715" t="s">
        <v>40839</v>
      </c>
      <c r="E1519" s="716">
        <v>18.75</v>
      </c>
    </row>
    <row r="1520" spans="1:5">
      <c r="A1520" s="715">
        <v>1778</v>
      </c>
      <c r="B1520" s="633" t="s">
        <v>36141</v>
      </c>
      <c r="C1520" s="715" t="s">
        <v>103</v>
      </c>
      <c r="D1520" s="715" t="s">
        <v>40839</v>
      </c>
      <c r="E1520" s="716">
        <v>208.64</v>
      </c>
    </row>
    <row r="1521" spans="1:5">
      <c r="A1521" s="715">
        <v>1818</v>
      </c>
      <c r="B1521" s="633" t="s">
        <v>36142</v>
      </c>
      <c r="C1521" s="715" t="s">
        <v>103</v>
      </c>
      <c r="D1521" s="715" t="s">
        <v>40839</v>
      </c>
      <c r="E1521" s="716">
        <v>138.49</v>
      </c>
    </row>
    <row r="1522" spans="1:5">
      <c r="A1522" s="715">
        <v>1779</v>
      </c>
      <c r="B1522" s="633" t="s">
        <v>36143</v>
      </c>
      <c r="C1522" s="715" t="s">
        <v>103</v>
      </c>
      <c r="D1522" s="715" t="s">
        <v>40839</v>
      </c>
      <c r="E1522" s="716">
        <v>303.43</v>
      </c>
    </row>
    <row r="1523" spans="1:5">
      <c r="A1523" s="715">
        <v>1820</v>
      </c>
      <c r="B1523" s="633" t="s">
        <v>36144</v>
      </c>
      <c r="C1523" s="715" t="s">
        <v>103</v>
      </c>
      <c r="D1523" s="715" t="s">
        <v>40839</v>
      </c>
      <c r="E1523" s="716">
        <v>27.08</v>
      </c>
    </row>
    <row r="1524" spans="1:5">
      <c r="A1524" s="715">
        <v>1780</v>
      </c>
      <c r="B1524" s="633" t="s">
        <v>36145</v>
      </c>
      <c r="C1524" s="715" t="s">
        <v>103</v>
      </c>
      <c r="D1524" s="715" t="s">
        <v>40839</v>
      </c>
      <c r="E1524" s="716">
        <v>625.53</v>
      </c>
    </row>
    <row r="1525" spans="1:5">
      <c r="A1525" s="715">
        <v>1783</v>
      </c>
      <c r="B1525" s="633" t="s">
        <v>36146</v>
      </c>
      <c r="C1525" s="715" t="s">
        <v>103</v>
      </c>
      <c r="D1525" s="715" t="s">
        <v>40839</v>
      </c>
      <c r="E1525" s="716">
        <v>66.14</v>
      </c>
    </row>
    <row r="1526" spans="1:5">
      <c r="A1526" s="715">
        <v>1782</v>
      </c>
      <c r="B1526" s="633" t="s">
        <v>36147</v>
      </c>
      <c r="C1526" s="715" t="s">
        <v>103</v>
      </c>
      <c r="D1526" s="715" t="s">
        <v>40839</v>
      </c>
      <c r="E1526" s="716">
        <v>52.29</v>
      </c>
    </row>
    <row r="1527" spans="1:5">
      <c r="A1527" s="715">
        <v>1781</v>
      </c>
      <c r="B1527" s="633" t="s">
        <v>36148</v>
      </c>
      <c r="C1527" s="715" t="s">
        <v>103</v>
      </c>
      <c r="D1527" s="715" t="s">
        <v>40839</v>
      </c>
      <c r="E1527" s="716">
        <v>34.07</v>
      </c>
    </row>
    <row r="1528" spans="1:5">
      <c r="A1528" s="715">
        <v>1817</v>
      </c>
      <c r="B1528" s="633" t="s">
        <v>36149</v>
      </c>
      <c r="C1528" s="715" t="s">
        <v>103</v>
      </c>
      <c r="D1528" s="715" t="s">
        <v>40839</v>
      </c>
      <c r="E1528" s="716">
        <v>15.58</v>
      </c>
    </row>
    <row r="1529" spans="1:5">
      <c r="A1529" s="715">
        <v>1784</v>
      </c>
      <c r="B1529" s="633" t="s">
        <v>36150</v>
      </c>
      <c r="C1529" s="715" t="s">
        <v>103</v>
      </c>
      <c r="D1529" s="715" t="s">
        <v>40839</v>
      </c>
      <c r="E1529" s="716">
        <v>186.76</v>
      </c>
    </row>
    <row r="1530" spans="1:5">
      <c r="A1530" s="715">
        <v>1810</v>
      </c>
      <c r="B1530" s="633" t="s">
        <v>36151</v>
      </c>
      <c r="C1530" s="715" t="s">
        <v>103</v>
      </c>
      <c r="D1530" s="715" t="s">
        <v>40839</v>
      </c>
      <c r="E1530" s="716">
        <v>103.59</v>
      </c>
    </row>
    <row r="1531" spans="1:5">
      <c r="A1531" s="715">
        <v>1812</v>
      </c>
      <c r="B1531" s="633" t="s">
        <v>36152</v>
      </c>
      <c r="C1531" s="715" t="s">
        <v>103</v>
      </c>
      <c r="D1531" s="715" t="s">
        <v>40839</v>
      </c>
      <c r="E1531" s="716">
        <v>261.49</v>
      </c>
    </row>
    <row r="1532" spans="1:5">
      <c r="A1532" s="715">
        <v>1811</v>
      </c>
      <c r="B1532" s="633" t="s">
        <v>36153</v>
      </c>
      <c r="C1532" s="715" t="s">
        <v>103</v>
      </c>
      <c r="D1532" s="715" t="s">
        <v>40839</v>
      </c>
      <c r="E1532" s="716">
        <v>22.41</v>
      </c>
    </row>
    <row r="1533" spans="1:5">
      <c r="A1533" s="715">
        <v>40386</v>
      </c>
      <c r="B1533" s="633" t="s">
        <v>36154</v>
      </c>
      <c r="C1533" s="715" t="s">
        <v>103</v>
      </c>
      <c r="D1533" s="715" t="s">
        <v>40839</v>
      </c>
      <c r="E1533" s="716">
        <v>87.29</v>
      </c>
    </row>
    <row r="1534" spans="1:5">
      <c r="A1534" s="715">
        <v>40384</v>
      </c>
      <c r="B1534" s="633" t="s">
        <v>36155</v>
      </c>
      <c r="C1534" s="715" t="s">
        <v>103</v>
      </c>
      <c r="D1534" s="715" t="s">
        <v>40839</v>
      </c>
      <c r="E1534" s="716">
        <v>59.76</v>
      </c>
    </row>
    <row r="1535" spans="1:5">
      <c r="A1535" s="715">
        <v>40423</v>
      </c>
      <c r="B1535" s="633" t="s">
        <v>36156</v>
      </c>
      <c r="C1535" s="715" t="s">
        <v>103</v>
      </c>
      <c r="D1535" s="715" t="s">
        <v>40839</v>
      </c>
      <c r="E1535" s="716">
        <v>39.1</v>
      </c>
    </row>
    <row r="1536" spans="1:5">
      <c r="A1536" s="715">
        <v>40379</v>
      </c>
      <c r="B1536" s="633" t="s">
        <v>36157</v>
      </c>
      <c r="C1536" s="715" t="s">
        <v>103</v>
      </c>
      <c r="D1536" s="715" t="s">
        <v>40839</v>
      </c>
      <c r="E1536" s="716">
        <v>20.66</v>
      </c>
    </row>
    <row r="1537" spans="1:5">
      <c r="A1537" s="715">
        <v>40389</v>
      </c>
      <c r="B1537" s="633" t="s">
        <v>36158</v>
      </c>
      <c r="C1537" s="715" t="s">
        <v>103</v>
      </c>
      <c r="D1537" s="715" t="s">
        <v>40839</v>
      </c>
      <c r="E1537" s="716">
        <v>247.95</v>
      </c>
    </row>
    <row r="1538" spans="1:5">
      <c r="A1538" s="715">
        <v>40388</v>
      </c>
      <c r="B1538" s="633" t="s">
        <v>36159</v>
      </c>
      <c r="C1538" s="715" t="s">
        <v>103</v>
      </c>
      <c r="D1538" s="715" t="s">
        <v>40839</v>
      </c>
      <c r="E1538" s="716">
        <v>124.11</v>
      </c>
    </row>
    <row r="1539" spans="1:5">
      <c r="A1539" s="715">
        <v>40391</v>
      </c>
      <c r="B1539" s="633" t="s">
        <v>36160</v>
      </c>
      <c r="C1539" s="715" t="s">
        <v>103</v>
      </c>
      <c r="D1539" s="715" t="s">
        <v>40839</v>
      </c>
      <c r="E1539" s="716">
        <v>643.57000000000005</v>
      </c>
    </row>
    <row r="1540" spans="1:5">
      <c r="A1540" s="715">
        <v>40381</v>
      </c>
      <c r="B1540" s="633" t="s">
        <v>36161</v>
      </c>
      <c r="C1540" s="715" t="s">
        <v>103</v>
      </c>
      <c r="D1540" s="715" t="s">
        <v>40839</v>
      </c>
      <c r="E1540" s="716">
        <v>27.55</v>
      </c>
    </row>
    <row r="1541" spans="1:5" ht="29">
      <c r="A1541" s="715">
        <v>2609</v>
      </c>
      <c r="B1541" s="633" t="s">
        <v>36162</v>
      </c>
      <c r="C1541" s="715" t="s">
        <v>103</v>
      </c>
      <c r="D1541" s="715" t="s">
        <v>40839</v>
      </c>
      <c r="E1541" s="716">
        <v>4.59</v>
      </c>
    </row>
    <row r="1542" spans="1:5" ht="29">
      <c r="A1542" s="715">
        <v>2634</v>
      </c>
      <c r="B1542" s="633" t="s">
        <v>36163</v>
      </c>
      <c r="C1542" s="715" t="s">
        <v>103</v>
      </c>
      <c r="D1542" s="715" t="s">
        <v>40839</v>
      </c>
      <c r="E1542" s="716">
        <v>6.02</v>
      </c>
    </row>
    <row r="1543" spans="1:5" ht="29">
      <c r="A1543" s="715">
        <v>2611</v>
      </c>
      <c r="B1543" s="633" t="s">
        <v>36164</v>
      </c>
      <c r="C1543" s="715" t="s">
        <v>103</v>
      </c>
      <c r="D1543" s="715" t="s">
        <v>40839</v>
      </c>
      <c r="E1543" s="716">
        <v>16.98</v>
      </c>
    </row>
    <row r="1544" spans="1:5">
      <c r="A1544" s="715">
        <v>40414</v>
      </c>
      <c r="B1544" s="633" t="s">
        <v>36165</v>
      </c>
      <c r="C1544" s="715" t="s">
        <v>103</v>
      </c>
      <c r="D1544" s="715" t="s">
        <v>40839</v>
      </c>
      <c r="E1544" s="716">
        <v>18.12</v>
      </c>
    </row>
    <row r="1545" spans="1:5">
      <c r="A1545" s="715">
        <v>40416</v>
      </c>
      <c r="B1545" s="633" t="s">
        <v>36166</v>
      </c>
      <c r="C1545" s="715" t="s">
        <v>103</v>
      </c>
      <c r="D1545" s="715" t="s">
        <v>40839</v>
      </c>
      <c r="E1545" s="716">
        <v>25.05</v>
      </c>
    </row>
    <row r="1546" spans="1:5">
      <c r="A1546" s="715">
        <v>40418</v>
      </c>
      <c r="B1546" s="633" t="s">
        <v>36167</v>
      </c>
      <c r="C1546" s="715" t="s">
        <v>103</v>
      </c>
      <c r="D1546" s="715" t="s">
        <v>40839</v>
      </c>
      <c r="E1546" s="716">
        <v>29.88</v>
      </c>
    </row>
    <row r="1547" spans="1:5">
      <c r="A1547" s="715">
        <v>34359</v>
      </c>
      <c r="B1547" s="633" t="s">
        <v>36168</v>
      </c>
      <c r="C1547" s="715" t="s">
        <v>103</v>
      </c>
      <c r="D1547" s="715" t="s">
        <v>40839</v>
      </c>
      <c r="E1547" s="716">
        <v>11.8</v>
      </c>
    </row>
    <row r="1548" spans="1:5">
      <c r="A1548" s="715">
        <v>1789</v>
      </c>
      <c r="B1548" s="633" t="s">
        <v>36169</v>
      </c>
      <c r="C1548" s="715" t="s">
        <v>103</v>
      </c>
      <c r="D1548" s="715" t="s">
        <v>40839</v>
      </c>
      <c r="E1548" s="716">
        <v>82.73</v>
      </c>
    </row>
    <row r="1549" spans="1:5">
      <c r="A1549" s="715">
        <v>1788</v>
      </c>
      <c r="B1549" s="633" t="s">
        <v>36170</v>
      </c>
      <c r="C1549" s="715" t="s">
        <v>103</v>
      </c>
      <c r="D1549" s="715" t="s">
        <v>40839</v>
      </c>
      <c r="E1549" s="716">
        <v>66.31</v>
      </c>
    </row>
    <row r="1550" spans="1:5">
      <c r="A1550" s="715">
        <v>1787</v>
      </c>
      <c r="B1550" s="633" t="s">
        <v>36171</v>
      </c>
      <c r="C1550" s="715" t="s">
        <v>103</v>
      </c>
      <c r="D1550" s="715" t="s">
        <v>40839</v>
      </c>
      <c r="E1550" s="716">
        <v>39.43</v>
      </c>
    </row>
    <row r="1551" spans="1:5">
      <c r="A1551" s="715">
        <v>1786</v>
      </c>
      <c r="B1551" s="633" t="s">
        <v>36172</v>
      </c>
      <c r="C1551" s="715" t="s">
        <v>103</v>
      </c>
      <c r="D1551" s="715" t="s">
        <v>40839</v>
      </c>
      <c r="E1551" s="716">
        <v>16.46</v>
      </c>
    </row>
    <row r="1552" spans="1:5">
      <c r="A1552" s="715">
        <v>1791</v>
      </c>
      <c r="B1552" s="633" t="s">
        <v>36173</v>
      </c>
      <c r="C1552" s="715" t="s">
        <v>103</v>
      </c>
      <c r="D1552" s="715" t="s">
        <v>40839</v>
      </c>
      <c r="E1552" s="716">
        <v>239.08</v>
      </c>
    </row>
    <row r="1553" spans="1:5">
      <c r="A1553" s="715">
        <v>1790</v>
      </c>
      <c r="B1553" s="633" t="s">
        <v>36174</v>
      </c>
      <c r="C1553" s="715" t="s">
        <v>103</v>
      </c>
      <c r="D1553" s="715" t="s">
        <v>40839</v>
      </c>
      <c r="E1553" s="716">
        <v>137.77000000000001</v>
      </c>
    </row>
    <row r="1554" spans="1:5">
      <c r="A1554" s="715">
        <v>1792</v>
      </c>
      <c r="B1554" s="633" t="s">
        <v>36175</v>
      </c>
      <c r="C1554" s="715" t="s">
        <v>103</v>
      </c>
      <c r="D1554" s="715" t="s">
        <v>40839</v>
      </c>
      <c r="E1554" s="716">
        <v>322.72000000000003</v>
      </c>
    </row>
    <row r="1555" spans="1:5">
      <c r="A1555" s="715">
        <v>1813</v>
      </c>
      <c r="B1555" s="633" t="s">
        <v>36176</v>
      </c>
      <c r="C1555" s="715" t="s">
        <v>103</v>
      </c>
      <c r="D1555" s="715" t="s">
        <v>40839</v>
      </c>
      <c r="E1555" s="716">
        <v>26.13</v>
      </c>
    </row>
    <row r="1556" spans="1:5">
      <c r="A1556" s="715">
        <v>1793</v>
      </c>
      <c r="B1556" s="633" t="s">
        <v>36177</v>
      </c>
      <c r="C1556" s="715" t="s">
        <v>103</v>
      </c>
      <c r="D1556" s="715" t="s">
        <v>40839</v>
      </c>
      <c r="E1556" s="716">
        <v>652.12</v>
      </c>
    </row>
    <row r="1557" spans="1:5">
      <c r="A1557" s="715">
        <v>1797</v>
      </c>
      <c r="B1557" s="633" t="s">
        <v>36178</v>
      </c>
      <c r="C1557" s="715" t="s">
        <v>103</v>
      </c>
      <c r="D1557" s="715" t="s">
        <v>40839</v>
      </c>
      <c r="E1557" s="716">
        <v>93.93</v>
      </c>
    </row>
    <row r="1558" spans="1:5">
      <c r="A1558" s="715">
        <v>1796</v>
      </c>
      <c r="B1558" s="633" t="s">
        <v>36179</v>
      </c>
      <c r="C1558" s="715" t="s">
        <v>103</v>
      </c>
      <c r="D1558" s="715" t="s">
        <v>40839</v>
      </c>
      <c r="E1558" s="716">
        <v>72.05</v>
      </c>
    </row>
    <row r="1559" spans="1:5">
      <c r="A1559" s="715">
        <v>1816</v>
      </c>
      <c r="B1559" s="633" t="s">
        <v>36180</v>
      </c>
      <c r="C1559" s="715" t="s">
        <v>103</v>
      </c>
      <c r="D1559" s="715" t="s">
        <v>40839</v>
      </c>
      <c r="E1559" s="716">
        <v>38.78</v>
      </c>
    </row>
    <row r="1560" spans="1:5">
      <c r="A1560" s="715">
        <v>1794</v>
      </c>
      <c r="B1560" s="633" t="s">
        <v>36181</v>
      </c>
      <c r="C1560" s="715" t="s">
        <v>103</v>
      </c>
      <c r="D1560" s="715" t="s">
        <v>40839</v>
      </c>
      <c r="E1560" s="716">
        <v>17.2</v>
      </c>
    </row>
    <row r="1561" spans="1:5">
      <c r="A1561" s="715">
        <v>1815</v>
      </c>
      <c r="B1561" s="633" t="s">
        <v>36182</v>
      </c>
      <c r="C1561" s="715" t="s">
        <v>103</v>
      </c>
      <c r="D1561" s="715" t="s">
        <v>40839</v>
      </c>
      <c r="E1561" s="716">
        <v>297.83</v>
      </c>
    </row>
    <row r="1562" spans="1:5">
      <c r="A1562" s="715">
        <v>1798</v>
      </c>
      <c r="B1562" s="633" t="s">
        <v>36183</v>
      </c>
      <c r="C1562" s="715" t="s">
        <v>103</v>
      </c>
      <c r="D1562" s="715" t="s">
        <v>40839</v>
      </c>
      <c r="E1562" s="716">
        <v>133.27000000000001</v>
      </c>
    </row>
    <row r="1563" spans="1:5">
      <c r="A1563" s="715">
        <v>1799</v>
      </c>
      <c r="B1563" s="633" t="s">
        <v>36184</v>
      </c>
      <c r="C1563" s="715" t="s">
        <v>103</v>
      </c>
      <c r="D1563" s="715" t="s">
        <v>40839</v>
      </c>
      <c r="E1563" s="716">
        <v>387.9</v>
      </c>
    </row>
    <row r="1564" spans="1:5">
      <c r="A1564" s="715">
        <v>1795</v>
      </c>
      <c r="B1564" s="633" t="s">
        <v>36185</v>
      </c>
      <c r="C1564" s="715" t="s">
        <v>103</v>
      </c>
      <c r="D1564" s="715" t="s">
        <v>40839</v>
      </c>
      <c r="E1564" s="716">
        <v>23.83</v>
      </c>
    </row>
    <row r="1565" spans="1:5">
      <c r="A1565" s="715">
        <v>1800</v>
      </c>
      <c r="B1565" s="633" t="s">
        <v>36186</v>
      </c>
      <c r="C1565" s="715" t="s">
        <v>103</v>
      </c>
      <c r="D1565" s="715" t="s">
        <v>40839</v>
      </c>
      <c r="E1565" s="716">
        <v>740.57</v>
      </c>
    </row>
    <row r="1566" spans="1:5">
      <c r="A1566" s="715">
        <v>1802</v>
      </c>
      <c r="B1566" s="633" t="s">
        <v>36187</v>
      </c>
      <c r="C1566" s="715" t="s">
        <v>103</v>
      </c>
      <c r="D1566" s="715" t="s">
        <v>40839</v>
      </c>
      <c r="E1566" s="716">
        <v>1852.45</v>
      </c>
    </row>
    <row r="1567" spans="1:5">
      <c r="A1567" s="715">
        <v>1809</v>
      </c>
      <c r="B1567" s="633" t="s">
        <v>36188</v>
      </c>
      <c r="C1567" s="715" t="s">
        <v>103</v>
      </c>
      <c r="D1567" s="715" t="s">
        <v>40839</v>
      </c>
      <c r="E1567" s="716">
        <v>77.56</v>
      </c>
    </row>
    <row r="1568" spans="1:5">
      <c r="A1568" s="715">
        <v>1814</v>
      </c>
      <c r="B1568" s="633" t="s">
        <v>36189</v>
      </c>
      <c r="C1568" s="715" t="s">
        <v>103</v>
      </c>
      <c r="D1568" s="715" t="s">
        <v>40839</v>
      </c>
      <c r="E1568" s="716">
        <v>63.71</v>
      </c>
    </row>
    <row r="1569" spans="1:5">
      <c r="A1569" s="715">
        <v>1805</v>
      </c>
      <c r="B1569" s="633" t="s">
        <v>36190</v>
      </c>
      <c r="C1569" s="715" t="s">
        <v>103</v>
      </c>
      <c r="D1569" s="715" t="s">
        <v>40839</v>
      </c>
      <c r="E1569" s="716">
        <v>36.979999999999997</v>
      </c>
    </row>
    <row r="1570" spans="1:5">
      <c r="A1570" s="715">
        <v>1803</v>
      </c>
      <c r="B1570" s="633" t="s">
        <v>36191</v>
      </c>
      <c r="C1570" s="715" t="s">
        <v>103</v>
      </c>
      <c r="D1570" s="715" t="s">
        <v>40839</v>
      </c>
      <c r="E1570" s="716">
        <v>16.100000000000001</v>
      </c>
    </row>
    <row r="1571" spans="1:5">
      <c r="A1571" s="715">
        <v>1821</v>
      </c>
      <c r="B1571" s="633" t="s">
        <v>36192</v>
      </c>
      <c r="C1571" s="715" t="s">
        <v>103</v>
      </c>
      <c r="D1571" s="715" t="s">
        <v>40839</v>
      </c>
      <c r="E1571" s="716">
        <v>218.44</v>
      </c>
    </row>
    <row r="1572" spans="1:5">
      <c r="A1572" s="715">
        <v>1806</v>
      </c>
      <c r="B1572" s="633" t="s">
        <v>36193</v>
      </c>
      <c r="C1572" s="715" t="s">
        <v>103</v>
      </c>
      <c r="D1572" s="715" t="s">
        <v>40839</v>
      </c>
      <c r="E1572" s="716">
        <v>130.02000000000001</v>
      </c>
    </row>
    <row r="1573" spans="1:5">
      <c r="A1573" s="715">
        <v>1807</v>
      </c>
      <c r="B1573" s="633" t="s">
        <v>36194</v>
      </c>
      <c r="C1573" s="715" t="s">
        <v>103</v>
      </c>
      <c r="D1573" s="715" t="s">
        <v>40839</v>
      </c>
      <c r="E1573" s="716">
        <v>312.39999999999998</v>
      </c>
    </row>
    <row r="1574" spans="1:5">
      <c r="A1574" s="715">
        <v>1804</v>
      </c>
      <c r="B1574" s="633" t="s">
        <v>36195</v>
      </c>
      <c r="C1574" s="715" t="s">
        <v>103</v>
      </c>
      <c r="D1574" s="715" t="s">
        <v>40839</v>
      </c>
      <c r="E1574" s="716">
        <v>22.92</v>
      </c>
    </row>
    <row r="1575" spans="1:5">
      <c r="A1575" s="715">
        <v>1808</v>
      </c>
      <c r="B1575" s="633" t="s">
        <v>36196</v>
      </c>
      <c r="C1575" s="715" t="s">
        <v>103</v>
      </c>
      <c r="D1575" s="715" t="s">
        <v>40839</v>
      </c>
      <c r="E1575" s="716">
        <v>626.29999999999995</v>
      </c>
    </row>
    <row r="1576" spans="1:5" ht="29">
      <c r="A1576" s="715">
        <v>40385</v>
      </c>
      <c r="B1576" s="633" t="s">
        <v>36197</v>
      </c>
      <c r="C1576" s="715" t="s">
        <v>103</v>
      </c>
      <c r="D1576" s="715" t="s">
        <v>40839</v>
      </c>
      <c r="E1576" s="716">
        <v>87.29</v>
      </c>
    </row>
    <row r="1577" spans="1:5" ht="29">
      <c r="A1577" s="715">
        <v>40383</v>
      </c>
      <c r="B1577" s="633" t="s">
        <v>36198</v>
      </c>
      <c r="C1577" s="715" t="s">
        <v>103</v>
      </c>
      <c r="D1577" s="715" t="s">
        <v>40839</v>
      </c>
      <c r="E1577" s="716">
        <v>59.76</v>
      </c>
    </row>
    <row r="1578" spans="1:5" ht="29">
      <c r="A1578" s="715">
        <v>40382</v>
      </c>
      <c r="B1578" s="633" t="s">
        <v>36199</v>
      </c>
      <c r="C1578" s="715" t="s">
        <v>103</v>
      </c>
      <c r="D1578" s="715" t="s">
        <v>40839</v>
      </c>
      <c r="E1578" s="716">
        <v>39.1</v>
      </c>
    </row>
    <row r="1579" spans="1:5" ht="29">
      <c r="A1579" s="715">
        <v>40378</v>
      </c>
      <c r="B1579" s="633" t="s">
        <v>36200</v>
      </c>
      <c r="C1579" s="715" t="s">
        <v>103</v>
      </c>
      <c r="D1579" s="715" t="s">
        <v>40839</v>
      </c>
      <c r="E1579" s="716">
        <v>20.66</v>
      </c>
    </row>
    <row r="1580" spans="1:5" ht="29">
      <c r="A1580" s="715">
        <v>40422</v>
      </c>
      <c r="B1580" s="633" t="s">
        <v>36201</v>
      </c>
      <c r="C1580" s="715" t="s">
        <v>103</v>
      </c>
      <c r="D1580" s="715" t="s">
        <v>40839</v>
      </c>
      <c r="E1580" s="716">
        <v>266.36</v>
      </c>
    </row>
    <row r="1581" spans="1:5" ht="29">
      <c r="A1581" s="715">
        <v>40387</v>
      </c>
      <c r="B1581" s="633" t="s">
        <v>36202</v>
      </c>
      <c r="C1581" s="715" t="s">
        <v>103</v>
      </c>
      <c r="D1581" s="715" t="s">
        <v>40839</v>
      </c>
      <c r="E1581" s="716">
        <v>135.62</v>
      </c>
    </row>
    <row r="1582" spans="1:5" ht="29">
      <c r="A1582" s="715">
        <v>40390</v>
      </c>
      <c r="B1582" s="633" t="s">
        <v>36203</v>
      </c>
      <c r="C1582" s="715" t="s">
        <v>103</v>
      </c>
      <c r="D1582" s="715" t="s">
        <v>40839</v>
      </c>
      <c r="E1582" s="716">
        <v>560.99</v>
      </c>
    </row>
    <row r="1583" spans="1:5" ht="29">
      <c r="A1583" s="715">
        <v>40380</v>
      </c>
      <c r="B1583" s="633" t="s">
        <v>36204</v>
      </c>
      <c r="C1583" s="715" t="s">
        <v>103</v>
      </c>
      <c r="D1583" s="715" t="s">
        <v>40839</v>
      </c>
      <c r="E1583" s="716">
        <v>27.55</v>
      </c>
    </row>
    <row r="1584" spans="1:5" ht="29">
      <c r="A1584" s="715">
        <v>2621</v>
      </c>
      <c r="B1584" s="633" t="s">
        <v>36205</v>
      </c>
      <c r="C1584" s="715" t="s">
        <v>103</v>
      </c>
      <c r="D1584" s="715" t="s">
        <v>40839</v>
      </c>
      <c r="E1584" s="716">
        <v>145.31</v>
      </c>
    </row>
    <row r="1585" spans="1:5" ht="29">
      <c r="A1585" s="715">
        <v>2616</v>
      </c>
      <c r="B1585" s="633" t="s">
        <v>36206</v>
      </c>
      <c r="C1585" s="715" t="s">
        <v>103</v>
      </c>
      <c r="D1585" s="715" t="s">
        <v>40839</v>
      </c>
      <c r="E1585" s="716">
        <v>4.1100000000000003</v>
      </c>
    </row>
    <row r="1586" spans="1:5" ht="29">
      <c r="A1586" s="715">
        <v>2633</v>
      </c>
      <c r="B1586" s="633" t="s">
        <v>36207</v>
      </c>
      <c r="C1586" s="715" t="s">
        <v>103</v>
      </c>
      <c r="D1586" s="715" t="s">
        <v>40839</v>
      </c>
      <c r="E1586" s="716">
        <v>4.6500000000000004</v>
      </c>
    </row>
    <row r="1587" spans="1:5" ht="29">
      <c r="A1587" s="715">
        <v>2617</v>
      </c>
      <c r="B1587" s="633" t="s">
        <v>36208</v>
      </c>
      <c r="C1587" s="715" t="s">
        <v>103</v>
      </c>
      <c r="D1587" s="715" t="s">
        <v>40839</v>
      </c>
      <c r="E1587" s="716">
        <v>6.32</v>
      </c>
    </row>
    <row r="1588" spans="1:5" ht="29">
      <c r="A1588" s="715">
        <v>2618</v>
      </c>
      <c r="B1588" s="633" t="s">
        <v>36209</v>
      </c>
      <c r="C1588" s="715" t="s">
        <v>103</v>
      </c>
      <c r="D1588" s="715" t="s">
        <v>40839</v>
      </c>
      <c r="E1588" s="716">
        <v>14.39</v>
      </c>
    </row>
    <row r="1589" spans="1:5" ht="29">
      <c r="A1589" s="715">
        <v>2632</v>
      </c>
      <c r="B1589" s="633" t="s">
        <v>36210</v>
      </c>
      <c r="C1589" s="715" t="s">
        <v>103</v>
      </c>
      <c r="D1589" s="715" t="s">
        <v>40839</v>
      </c>
      <c r="E1589" s="716">
        <v>17.55</v>
      </c>
    </row>
    <row r="1590" spans="1:5" ht="29">
      <c r="A1590" s="715">
        <v>2631</v>
      </c>
      <c r="B1590" s="633" t="s">
        <v>36211</v>
      </c>
      <c r="C1590" s="715" t="s">
        <v>103</v>
      </c>
      <c r="D1590" s="715" t="s">
        <v>40839</v>
      </c>
      <c r="E1590" s="716">
        <v>25.77</v>
      </c>
    </row>
    <row r="1591" spans="1:5" ht="29">
      <c r="A1591" s="715">
        <v>2619</v>
      </c>
      <c r="B1591" s="633" t="s">
        <v>36212</v>
      </c>
      <c r="C1591" s="715" t="s">
        <v>103</v>
      </c>
      <c r="D1591" s="715" t="s">
        <v>40839</v>
      </c>
      <c r="E1591" s="716">
        <v>65.260000000000005</v>
      </c>
    </row>
    <row r="1592" spans="1:5" ht="29">
      <c r="A1592" s="715">
        <v>2620</v>
      </c>
      <c r="B1592" s="633" t="s">
        <v>36213</v>
      </c>
      <c r="C1592" s="715" t="s">
        <v>103</v>
      </c>
      <c r="D1592" s="715" t="s">
        <v>40839</v>
      </c>
      <c r="E1592" s="716">
        <v>85.68</v>
      </c>
    </row>
    <row r="1593" spans="1:5">
      <c r="A1593" s="715">
        <v>40413</v>
      </c>
      <c r="B1593" s="633" t="s">
        <v>36214</v>
      </c>
      <c r="C1593" s="715" t="s">
        <v>103</v>
      </c>
      <c r="D1593" s="715" t="s">
        <v>40839</v>
      </c>
      <c r="E1593" s="716">
        <v>19.68</v>
      </c>
    </row>
    <row r="1594" spans="1:5">
      <c r="A1594" s="715">
        <v>40415</v>
      </c>
      <c r="B1594" s="633" t="s">
        <v>36215</v>
      </c>
      <c r="C1594" s="715" t="s">
        <v>103</v>
      </c>
      <c r="D1594" s="715" t="s">
        <v>40839</v>
      </c>
      <c r="E1594" s="716">
        <v>28.05</v>
      </c>
    </row>
    <row r="1595" spans="1:5">
      <c r="A1595" s="715">
        <v>40417</v>
      </c>
      <c r="B1595" s="633" t="s">
        <v>36216</v>
      </c>
      <c r="C1595" s="715" t="s">
        <v>103</v>
      </c>
      <c r="D1595" s="715" t="s">
        <v>40839</v>
      </c>
      <c r="E1595" s="716">
        <v>33.090000000000003</v>
      </c>
    </row>
    <row r="1596" spans="1:5">
      <c r="A1596" s="715">
        <v>39273</v>
      </c>
      <c r="B1596" s="633" t="s">
        <v>36217</v>
      </c>
      <c r="C1596" s="715" t="s">
        <v>103</v>
      </c>
      <c r="D1596" s="715" t="s">
        <v>40839</v>
      </c>
      <c r="E1596" s="716">
        <v>3.03</v>
      </c>
    </row>
    <row r="1597" spans="1:5">
      <c r="A1597" s="715">
        <v>39271</v>
      </c>
      <c r="B1597" s="633" t="s">
        <v>36218</v>
      </c>
      <c r="C1597" s="715" t="s">
        <v>103</v>
      </c>
      <c r="D1597" s="715" t="s">
        <v>40839</v>
      </c>
      <c r="E1597" s="716">
        <v>1.78</v>
      </c>
    </row>
    <row r="1598" spans="1:5">
      <c r="A1598" s="715">
        <v>39272</v>
      </c>
      <c r="B1598" s="633" t="s">
        <v>36219</v>
      </c>
      <c r="C1598" s="715" t="s">
        <v>103</v>
      </c>
      <c r="D1598" s="715" t="s">
        <v>40839</v>
      </c>
      <c r="E1598" s="716">
        <v>2.19</v>
      </c>
    </row>
    <row r="1599" spans="1:5">
      <c r="A1599" s="715">
        <v>1875</v>
      </c>
      <c r="B1599" s="633" t="s">
        <v>36220</v>
      </c>
      <c r="C1599" s="715" t="s">
        <v>103</v>
      </c>
      <c r="D1599" s="715" t="s">
        <v>40839</v>
      </c>
      <c r="E1599" s="716">
        <v>4.84</v>
      </c>
    </row>
    <row r="1600" spans="1:5">
      <c r="A1600" s="715">
        <v>1874</v>
      </c>
      <c r="B1600" s="633" t="s">
        <v>36221</v>
      </c>
      <c r="C1600" s="715" t="s">
        <v>103</v>
      </c>
      <c r="D1600" s="715" t="s">
        <v>40839</v>
      </c>
      <c r="E1600" s="716">
        <v>4</v>
      </c>
    </row>
    <row r="1601" spans="1:5">
      <c r="A1601" s="715">
        <v>1884</v>
      </c>
      <c r="B1601" s="633" t="s">
        <v>36222</v>
      </c>
      <c r="C1601" s="715" t="s">
        <v>103</v>
      </c>
      <c r="D1601" s="715" t="s">
        <v>40839</v>
      </c>
      <c r="E1601" s="716">
        <v>3.54</v>
      </c>
    </row>
    <row r="1602" spans="1:5">
      <c r="A1602" s="715">
        <v>1870</v>
      </c>
      <c r="B1602" s="633" t="s">
        <v>36223</v>
      </c>
      <c r="C1602" s="715" t="s">
        <v>103</v>
      </c>
      <c r="D1602" s="715" t="s">
        <v>28018</v>
      </c>
      <c r="E1602" s="716">
        <v>2.31</v>
      </c>
    </row>
    <row r="1603" spans="1:5">
      <c r="A1603" s="715">
        <v>1887</v>
      </c>
      <c r="B1603" s="633" t="s">
        <v>36224</v>
      </c>
      <c r="C1603" s="715" t="s">
        <v>103</v>
      </c>
      <c r="D1603" s="715" t="s">
        <v>40839</v>
      </c>
      <c r="E1603" s="716">
        <v>20.079999999999998</v>
      </c>
    </row>
    <row r="1604" spans="1:5">
      <c r="A1604" s="715">
        <v>1876</v>
      </c>
      <c r="B1604" s="633" t="s">
        <v>36225</v>
      </c>
      <c r="C1604" s="715" t="s">
        <v>103</v>
      </c>
      <c r="D1604" s="715" t="s">
        <v>40839</v>
      </c>
      <c r="E1604" s="716">
        <v>7.87</v>
      </c>
    </row>
    <row r="1605" spans="1:5">
      <c r="A1605" s="715">
        <v>1877</v>
      </c>
      <c r="B1605" s="633" t="s">
        <v>36226</v>
      </c>
      <c r="C1605" s="715" t="s">
        <v>103</v>
      </c>
      <c r="D1605" s="715" t="s">
        <v>40839</v>
      </c>
      <c r="E1605" s="716">
        <v>20.11</v>
      </c>
    </row>
    <row r="1606" spans="1:5">
      <c r="A1606" s="715">
        <v>1879</v>
      </c>
      <c r="B1606" s="633" t="s">
        <v>36227</v>
      </c>
      <c r="C1606" s="715" t="s">
        <v>103</v>
      </c>
      <c r="D1606" s="715" t="s">
        <v>40839</v>
      </c>
      <c r="E1606" s="716">
        <v>2.34</v>
      </c>
    </row>
    <row r="1607" spans="1:5">
      <c r="A1607" s="715">
        <v>1878</v>
      </c>
      <c r="B1607" s="633" t="s">
        <v>36228</v>
      </c>
      <c r="C1607" s="715" t="s">
        <v>103</v>
      </c>
      <c r="D1607" s="715" t="s">
        <v>40839</v>
      </c>
      <c r="E1607" s="716">
        <v>40.4</v>
      </c>
    </row>
    <row r="1608" spans="1:5">
      <c r="A1608" s="715">
        <v>37971</v>
      </c>
      <c r="B1608" s="633" t="s">
        <v>36229</v>
      </c>
      <c r="C1608" s="715" t="s">
        <v>103</v>
      </c>
      <c r="D1608" s="715" t="s">
        <v>40839</v>
      </c>
      <c r="E1608" s="716">
        <v>5.3</v>
      </c>
    </row>
    <row r="1609" spans="1:5">
      <c r="A1609" s="715">
        <v>37972</v>
      </c>
      <c r="B1609" s="633" t="s">
        <v>36230</v>
      </c>
      <c r="C1609" s="715" t="s">
        <v>103</v>
      </c>
      <c r="D1609" s="715" t="s">
        <v>40839</v>
      </c>
      <c r="E1609" s="716">
        <v>7.52</v>
      </c>
    </row>
    <row r="1610" spans="1:5">
      <c r="A1610" s="715">
        <v>37973</v>
      </c>
      <c r="B1610" s="633" t="s">
        <v>36231</v>
      </c>
      <c r="C1610" s="715" t="s">
        <v>103</v>
      </c>
      <c r="D1610" s="715" t="s">
        <v>40839</v>
      </c>
      <c r="E1610" s="716">
        <v>14.14</v>
      </c>
    </row>
    <row r="1611" spans="1:5">
      <c r="A1611" s="715">
        <v>1926</v>
      </c>
      <c r="B1611" s="633" t="s">
        <v>36232</v>
      </c>
      <c r="C1611" s="715" t="s">
        <v>103</v>
      </c>
      <c r="D1611" s="715" t="s">
        <v>40839</v>
      </c>
      <c r="E1611" s="716">
        <v>2.56</v>
      </c>
    </row>
    <row r="1612" spans="1:5">
      <c r="A1612" s="715">
        <v>1927</v>
      </c>
      <c r="B1612" s="633" t="s">
        <v>36233</v>
      </c>
      <c r="C1612" s="715" t="s">
        <v>103</v>
      </c>
      <c r="D1612" s="715" t="s">
        <v>40839</v>
      </c>
      <c r="E1612" s="716">
        <v>2.88</v>
      </c>
    </row>
    <row r="1613" spans="1:5">
      <c r="A1613" s="715">
        <v>1923</v>
      </c>
      <c r="B1613" s="633" t="s">
        <v>36234</v>
      </c>
      <c r="C1613" s="715" t="s">
        <v>103</v>
      </c>
      <c r="D1613" s="715" t="s">
        <v>40839</v>
      </c>
      <c r="E1613" s="716">
        <v>5.24</v>
      </c>
    </row>
    <row r="1614" spans="1:5">
      <c r="A1614" s="715">
        <v>1929</v>
      </c>
      <c r="B1614" s="633" t="s">
        <v>36235</v>
      </c>
      <c r="C1614" s="715" t="s">
        <v>103</v>
      </c>
      <c r="D1614" s="715" t="s">
        <v>40839</v>
      </c>
      <c r="E1614" s="716">
        <v>6.36</v>
      </c>
    </row>
    <row r="1615" spans="1:5">
      <c r="A1615" s="715">
        <v>1930</v>
      </c>
      <c r="B1615" s="633" t="s">
        <v>36236</v>
      </c>
      <c r="C1615" s="715" t="s">
        <v>103</v>
      </c>
      <c r="D1615" s="715" t="s">
        <v>40839</v>
      </c>
      <c r="E1615" s="716">
        <v>10.88</v>
      </c>
    </row>
    <row r="1616" spans="1:5">
      <c r="A1616" s="715">
        <v>1924</v>
      </c>
      <c r="B1616" s="633" t="s">
        <v>36237</v>
      </c>
      <c r="C1616" s="715" t="s">
        <v>103</v>
      </c>
      <c r="D1616" s="715" t="s">
        <v>40839</v>
      </c>
      <c r="E1616" s="716">
        <v>17.55</v>
      </c>
    </row>
    <row r="1617" spans="1:5">
      <c r="A1617" s="715">
        <v>1922</v>
      </c>
      <c r="B1617" s="633" t="s">
        <v>36238</v>
      </c>
      <c r="C1617" s="715" t="s">
        <v>103</v>
      </c>
      <c r="D1617" s="715" t="s">
        <v>40839</v>
      </c>
      <c r="E1617" s="716">
        <v>36.299999999999997</v>
      </c>
    </row>
    <row r="1618" spans="1:5">
      <c r="A1618" s="715">
        <v>1953</v>
      </c>
      <c r="B1618" s="633" t="s">
        <v>36239</v>
      </c>
      <c r="C1618" s="715" t="s">
        <v>103</v>
      </c>
      <c r="D1618" s="715" t="s">
        <v>40839</v>
      </c>
      <c r="E1618" s="716">
        <v>44.31</v>
      </c>
    </row>
    <row r="1619" spans="1:5">
      <c r="A1619" s="715">
        <v>1962</v>
      </c>
      <c r="B1619" s="633" t="s">
        <v>36240</v>
      </c>
      <c r="C1619" s="715" t="s">
        <v>103</v>
      </c>
      <c r="D1619" s="715" t="s">
        <v>40839</v>
      </c>
      <c r="E1619" s="716">
        <v>215.28</v>
      </c>
    </row>
    <row r="1620" spans="1:5">
      <c r="A1620" s="715">
        <v>1955</v>
      </c>
      <c r="B1620" s="633" t="s">
        <v>36241</v>
      </c>
      <c r="C1620" s="715" t="s">
        <v>103</v>
      </c>
      <c r="D1620" s="715" t="s">
        <v>40839</v>
      </c>
      <c r="E1620" s="716">
        <v>2.48</v>
      </c>
    </row>
    <row r="1621" spans="1:5">
      <c r="A1621" s="715">
        <v>1956</v>
      </c>
      <c r="B1621" s="633" t="s">
        <v>36242</v>
      </c>
      <c r="C1621" s="715" t="s">
        <v>103</v>
      </c>
      <c r="D1621" s="715" t="s">
        <v>40839</v>
      </c>
      <c r="E1621" s="716">
        <v>3.5</v>
      </c>
    </row>
    <row r="1622" spans="1:5">
      <c r="A1622" s="715">
        <v>1957</v>
      </c>
      <c r="B1622" s="633" t="s">
        <v>36243</v>
      </c>
      <c r="C1622" s="715" t="s">
        <v>103</v>
      </c>
      <c r="D1622" s="715" t="s">
        <v>40839</v>
      </c>
      <c r="E1622" s="716">
        <v>7.57</v>
      </c>
    </row>
    <row r="1623" spans="1:5">
      <c r="A1623" s="715">
        <v>1958</v>
      </c>
      <c r="B1623" s="633" t="s">
        <v>36244</v>
      </c>
      <c r="C1623" s="715" t="s">
        <v>103</v>
      </c>
      <c r="D1623" s="715" t="s">
        <v>40839</v>
      </c>
      <c r="E1623" s="716">
        <v>14.1</v>
      </c>
    </row>
    <row r="1624" spans="1:5">
      <c r="A1624" s="715">
        <v>1959</v>
      </c>
      <c r="B1624" s="633" t="s">
        <v>36245</v>
      </c>
      <c r="C1624" s="715" t="s">
        <v>103</v>
      </c>
      <c r="D1624" s="715" t="s">
        <v>40839</v>
      </c>
      <c r="E1624" s="716">
        <v>15.3</v>
      </c>
    </row>
    <row r="1625" spans="1:5">
      <c r="A1625" s="715">
        <v>1925</v>
      </c>
      <c r="B1625" s="633" t="s">
        <v>36246</v>
      </c>
      <c r="C1625" s="715" t="s">
        <v>103</v>
      </c>
      <c r="D1625" s="715" t="s">
        <v>40839</v>
      </c>
      <c r="E1625" s="716">
        <v>39.979999999999997</v>
      </c>
    </row>
    <row r="1626" spans="1:5">
      <c r="A1626" s="715">
        <v>1960</v>
      </c>
      <c r="B1626" s="633" t="s">
        <v>36247</v>
      </c>
      <c r="C1626" s="715" t="s">
        <v>103</v>
      </c>
      <c r="D1626" s="715" t="s">
        <v>40839</v>
      </c>
      <c r="E1626" s="716">
        <v>61.39</v>
      </c>
    </row>
    <row r="1627" spans="1:5">
      <c r="A1627" s="715">
        <v>1961</v>
      </c>
      <c r="B1627" s="633" t="s">
        <v>36248</v>
      </c>
      <c r="C1627" s="715" t="s">
        <v>103</v>
      </c>
      <c r="D1627" s="715" t="s">
        <v>40839</v>
      </c>
      <c r="E1627" s="716">
        <v>78.650000000000006</v>
      </c>
    </row>
    <row r="1628" spans="1:5">
      <c r="A1628" s="715">
        <v>38423</v>
      </c>
      <c r="B1628" s="633" t="s">
        <v>36249</v>
      </c>
      <c r="C1628" s="715" t="s">
        <v>103</v>
      </c>
      <c r="D1628" s="715" t="s">
        <v>40839</v>
      </c>
      <c r="E1628" s="716">
        <v>42.64</v>
      </c>
    </row>
    <row r="1629" spans="1:5" ht="29">
      <c r="A1629" s="715">
        <v>39866</v>
      </c>
      <c r="B1629" s="633" t="s">
        <v>36250</v>
      </c>
      <c r="C1629" s="715" t="s">
        <v>103</v>
      </c>
      <c r="D1629" s="715" t="s">
        <v>40839</v>
      </c>
      <c r="E1629" s="716">
        <v>19.39</v>
      </c>
    </row>
    <row r="1630" spans="1:5" ht="29">
      <c r="A1630" s="715">
        <v>39867</v>
      </c>
      <c r="B1630" s="633" t="s">
        <v>36251</v>
      </c>
      <c r="C1630" s="715" t="s">
        <v>103</v>
      </c>
      <c r="D1630" s="715" t="s">
        <v>40839</v>
      </c>
      <c r="E1630" s="716">
        <v>43.1</v>
      </c>
    </row>
    <row r="1631" spans="1:5" ht="29">
      <c r="A1631" s="715">
        <v>39868</v>
      </c>
      <c r="B1631" s="633" t="s">
        <v>36252</v>
      </c>
      <c r="C1631" s="715" t="s">
        <v>103</v>
      </c>
      <c r="D1631" s="715" t="s">
        <v>40839</v>
      </c>
      <c r="E1631" s="716">
        <v>77.64</v>
      </c>
    </row>
    <row r="1632" spans="1:5">
      <c r="A1632" s="715">
        <v>37999</v>
      </c>
      <c r="B1632" s="633" t="s">
        <v>36253</v>
      </c>
      <c r="C1632" s="715" t="s">
        <v>103</v>
      </c>
      <c r="D1632" s="715" t="s">
        <v>40839</v>
      </c>
      <c r="E1632" s="716">
        <v>8.94</v>
      </c>
    </row>
    <row r="1633" spans="1:5">
      <c r="A1633" s="715">
        <v>38000</v>
      </c>
      <c r="B1633" s="633" t="s">
        <v>36254</v>
      </c>
      <c r="C1633" s="715" t="s">
        <v>103</v>
      </c>
      <c r="D1633" s="715" t="s">
        <v>40839</v>
      </c>
      <c r="E1633" s="716">
        <v>10.44</v>
      </c>
    </row>
    <row r="1634" spans="1:5" ht="29">
      <c r="A1634" s="715">
        <v>38129</v>
      </c>
      <c r="B1634" s="633" t="s">
        <v>36255</v>
      </c>
      <c r="C1634" s="715" t="s">
        <v>103</v>
      </c>
      <c r="D1634" s="715" t="s">
        <v>40839</v>
      </c>
      <c r="E1634" s="716">
        <v>5.77</v>
      </c>
    </row>
    <row r="1635" spans="1:5" ht="29">
      <c r="A1635" s="715">
        <v>38025</v>
      </c>
      <c r="B1635" s="633" t="s">
        <v>36256</v>
      </c>
      <c r="C1635" s="715" t="s">
        <v>103</v>
      </c>
      <c r="D1635" s="715" t="s">
        <v>40839</v>
      </c>
      <c r="E1635" s="716">
        <v>7.84</v>
      </c>
    </row>
    <row r="1636" spans="1:5" ht="29">
      <c r="A1636" s="715">
        <v>38026</v>
      </c>
      <c r="B1636" s="633" t="s">
        <v>36257</v>
      </c>
      <c r="C1636" s="715" t="s">
        <v>103</v>
      </c>
      <c r="D1636" s="715" t="s">
        <v>40839</v>
      </c>
      <c r="E1636" s="716">
        <v>19.350000000000001</v>
      </c>
    </row>
    <row r="1637" spans="1:5" ht="29">
      <c r="A1637" s="715">
        <v>43955</v>
      </c>
      <c r="B1637" s="633" t="s">
        <v>41309</v>
      </c>
      <c r="C1637" s="715" t="s">
        <v>103</v>
      </c>
      <c r="D1637" s="715" t="s">
        <v>40839</v>
      </c>
      <c r="E1637" s="716">
        <v>243.11</v>
      </c>
    </row>
    <row r="1638" spans="1:5" ht="29">
      <c r="A1638" s="715">
        <v>43957</v>
      </c>
      <c r="B1638" s="633" t="s">
        <v>41310</v>
      </c>
      <c r="C1638" s="715" t="s">
        <v>103</v>
      </c>
      <c r="D1638" s="715" t="s">
        <v>40839</v>
      </c>
      <c r="E1638" s="716">
        <v>286.33999999999997</v>
      </c>
    </row>
    <row r="1639" spans="1:5" ht="29">
      <c r="A1639" s="715">
        <v>43950</v>
      </c>
      <c r="B1639" s="633" t="s">
        <v>41311</v>
      </c>
      <c r="C1639" s="715" t="s">
        <v>103</v>
      </c>
      <c r="D1639" s="715" t="s">
        <v>40839</v>
      </c>
      <c r="E1639" s="716">
        <v>130.31</v>
      </c>
    </row>
    <row r="1640" spans="1:5" ht="29">
      <c r="A1640" s="715">
        <v>43954</v>
      </c>
      <c r="B1640" s="633" t="s">
        <v>41312</v>
      </c>
      <c r="C1640" s="715" t="s">
        <v>103</v>
      </c>
      <c r="D1640" s="715" t="s">
        <v>40839</v>
      </c>
      <c r="E1640" s="716">
        <v>165.68</v>
      </c>
    </row>
    <row r="1641" spans="1:5" ht="29">
      <c r="A1641" s="715">
        <v>43945</v>
      </c>
      <c r="B1641" s="633" t="s">
        <v>41313</v>
      </c>
      <c r="C1641" s="715" t="s">
        <v>103</v>
      </c>
      <c r="D1641" s="715" t="s">
        <v>40839</v>
      </c>
      <c r="E1641" s="716">
        <v>58.66</v>
      </c>
    </row>
    <row r="1642" spans="1:5" ht="29">
      <c r="A1642" s="715">
        <v>43947</v>
      </c>
      <c r="B1642" s="633" t="s">
        <v>41314</v>
      </c>
      <c r="C1642" s="715" t="s">
        <v>103</v>
      </c>
      <c r="D1642" s="715" t="s">
        <v>40839</v>
      </c>
      <c r="E1642" s="716">
        <v>83.15</v>
      </c>
    </row>
    <row r="1643" spans="1:5" ht="29">
      <c r="A1643" s="715">
        <v>43920</v>
      </c>
      <c r="B1643" s="633" t="s">
        <v>41315</v>
      </c>
      <c r="C1643" s="715" t="s">
        <v>103</v>
      </c>
      <c r="D1643" s="715" t="s">
        <v>40839</v>
      </c>
      <c r="E1643" s="716">
        <v>15.9</v>
      </c>
    </row>
    <row r="1644" spans="1:5" ht="29">
      <c r="A1644" s="715">
        <v>43921</v>
      </c>
      <c r="B1644" s="633" t="s">
        <v>41316</v>
      </c>
      <c r="C1644" s="715" t="s">
        <v>103</v>
      </c>
      <c r="D1644" s="715" t="s">
        <v>40839</v>
      </c>
      <c r="E1644" s="716">
        <v>15.36</v>
      </c>
    </row>
    <row r="1645" spans="1:5" ht="29">
      <c r="A1645" s="715">
        <v>43922</v>
      </c>
      <c r="B1645" s="633" t="s">
        <v>41317</v>
      </c>
      <c r="C1645" s="715" t="s">
        <v>103</v>
      </c>
      <c r="D1645" s="715" t="s">
        <v>40839</v>
      </c>
      <c r="E1645" s="716">
        <v>25.97</v>
      </c>
    </row>
    <row r="1646" spans="1:5" ht="29">
      <c r="A1646" s="715">
        <v>43923</v>
      </c>
      <c r="B1646" s="633" t="s">
        <v>41318</v>
      </c>
      <c r="C1646" s="715" t="s">
        <v>103</v>
      </c>
      <c r="D1646" s="715" t="s">
        <v>40839</v>
      </c>
      <c r="E1646" s="716">
        <v>35.17</v>
      </c>
    </row>
    <row r="1647" spans="1:5" ht="29">
      <c r="A1647" s="715">
        <v>43924</v>
      </c>
      <c r="B1647" s="633" t="s">
        <v>41319</v>
      </c>
      <c r="C1647" s="715" t="s">
        <v>103</v>
      </c>
      <c r="D1647" s="715" t="s">
        <v>40839</v>
      </c>
      <c r="E1647" s="716">
        <v>32.5</v>
      </c>
    </row>
    <row r="1648" spans="1:5" ht="29">
      <c r="A1648" s="715">
        <v>43952</v>
      </c>
      <c r="B1648" s="633" t="s">
        <v>41320</v>
      </c>
      <c r="C1648" s="715" t="s">
        <v>103</v>
      </c>
      <c r="D1648" s="715" t="s">
        <v>40839</v>
      </c>
      <c r="E1648" s="716">
        <v>10.52</v>
      </c>
    </row>
    <row r="1649" spans="1:5" ht="29">
      <c r="A1649" s="715">
        <v>43956</v>
      </c>
      <c r="B1649" s="633" t="s">
        <v>41321</v>
      </c>
      <c r="C1649" s="715" t="s">
        <v>103</v>
      </c>
      <c r="D1649" s="715" t="s">
        <v>40839</v>
      </c>
      <c r="E1649" s="716">
        <v>12.98</v>
      </c>
    </row>
    <row r="1650" spans="1:5">
      <c r="A1650" s="715">
        <v>1858</v>
      </c>
      <c r="B1650" s="633" t="s">
        <v>36258</v>
      </c>
      <c r="C1650" s="715" t="s">
        <v>103</v>
      </c>
      <c r="D1650" s="715" t="s">
        <v>40839</v>
      </c>
      <c r="E1650" s="716">
        <v>66.069999999999993</v>
      </c>
    </row>
    <row r="1651" spans="1:5">
      <c r="A1651" s="715">
        <v>1844</v>
      </c>
      <c r="B1651" s="633" t="s">
        <v>36259</v>
      </c>
      <c r="C1651" s="715" t="s">
        <v>103</v>
      </c>
      <c r="D1651" s="715" t="s">
        <v>40839</v>
      </c>
      <c r="E1651" s="716">
        <v>151.31</v>
      </c>
    </row>
    <row r="1652" spans="1:5">
      <c r="A1652" s="715">
        <v>1863</v>
      </c>
      <c r="B1652" s="633" t="s">
        <v>36260</v>
      </c>
      <c r="C1652" s="715" t="s">
        <v>103</v>
      </c>
      <c r="D1652" s="715" t="s">
        <v>40839</v>
      </c>
      <c r="E1652" s="716">
        <v>70.31</v>
      </c>
    </row>
    <row r="1653" spans="1:5">
      <c r="A1653" s="715">
        <v>1865</v>
      </c>
      <c r="B1653" s="633" t="s">
        <v>36261</v>
      </c>
      <c r="C1653" s="715" t="s">
        <v>103</v>
      </c>
      <c r="D1653" s="715" t="s">
        <v>40839</v>
      </c>
      <c r="E1653" s="716">
        <v>183.19</v>
      </c>
    </row>
    <row r="1654" spans="1:5">
      <c r="A1654" s="715">
        <v>36355</v>
      </c>
      <c r="B1654" s="633" t="s">
        <v>36262</v>
      </c>
      <c r="C1654" s="715" t="s">
        <v>103</v>
      </c>
      <c r="D1654" s="715" t="s">
        <v>40839</v>
      </c>
      <c r="E1654" s="716">
        <v>11.54</v>
      </c>
    </row>
    <row r="1655" spans="1:5">
      <c r="A1655" s="715">
        <v>36356</v>
      </c>
      <c r="B1655" s="633" t="s">
        <v>36263</v>
      </c>
      <c r="C1655" s="715" t="s">
        <v>103</v>
      </c>
      <c r="D1655" s="715" t="s">
        <v>40839</v>
      </c>
      <c r="E1655" s="716">
        <v>18.55</v>
      </c>
    </row>
    <row r="1656" spans="1:5">
      <c r="A1656" s="715">
        <v>1940</v>
      </c>
      <c r="B1656" s="633" t="s">
        <v>36264</v>
      </c>
      <c r="C1656" s="715" t="s">
        <v>103</v>
      </c>
      <c r="D1656" s="715" t="s">
        <v>40839</v>
      </c>
      <c r="E1656" s="716">
        <v>39.06</v>
      </c>
    </row>
    <row r="1657" spans="1:5">
      <c r="A1657" s="715">
        <v>1939</v>
      </c>
      <c r="B1657" s="633" t="s">
        <v>36265</v>
      </c>
      <c r="C1657" s="715" t="s">
        <v>103</v>
      </c>
      <c r="D1657" s="715" t="s">
        <v>40839</v>
      </c>
      <c r="E1657" s="716">
        <v>10.71</v>
      </c>
    </row>
    <row r="1658" spans="1:5">
      <c r="A1658" s="715">
        <v>1937</v>
      </c>
      <c r="B1658" s="633" t="s">
        <v>36266</v>
      </c>
      <c r="C1658" s="715" t="s">
        <v>103</v>
      </c>
      <c r="D1658" s="715" t="s">
        <v>40839</v>
      </c>
      <c r="E1658" s="716">
        <v>6.59</v>
      </c>
    </row>
    <row r="1659" spans="1:5">
      <c r="A1659" s="715">
        <v>1938</v>
      </c>
      <c r="B1659" s="633" t="s">
        <v>36267</v>
      </c>
      <c r="C1659" s="715" t="s">
        <v>103</v>
      </c>
      <c r="D1659" s="715" t="s">
        <v>40839</v>
      </c>
      <c r="E1659" s="716">
        <v>7.5</v>
      </c>
    </row>
    <row r="1660" spans="1:5">
      <c r="A1660" s="715">
        <v>1966</v>
      </c>
      <c r="B1660" s="633" t="s">
        <v>36268</v>
      </c>
      <c r="C1660" s="715" t="s">
        <v>103</v>
      </c>
      <c r="D1660" s="715" t="s">
        <v>40839</v>
      </c>
      <c r="E1660" s="716">
        <v>28.04</v>
      </c>
    </row>
    <row r="1661" spans="1:5">
      <c r="A1661" s="715">
        <v>1933</v>
      </c>
      <c r="B1661" s="633" t="s">
        <v>36269</v>
      </c>
      <c r="C1661" s="715" t="s">
        <v>103</v>
      </c>
      <c r="D1661" s="715" t="s">
        <v>40839</v>
      </c>
      <c r="E1661" s="716">
        <v>6.04</v>
      </c>
    </row>
    <row r="1662" spans="1:5">
      <c r="A1662" s="715">
        <v>1932</v>
      </c>
      <c r="B1662" s="633" t="s">
        <v>36270</v>
      </c>
      <c r="C1662" s="715" t="s">
        <v>103</v>
      </c>
      <c r="D1662" s="715" t="s">
        <v>40839</v>
      </c>
      <c r="E1662" s="716">
        <v>13.83</v>
      </c>
    </row>
    <row r="1663" spans="1:5">
      <c r="A1663" s="715">
        <v>1951</v>
      </c>
      <c r="B1663" s="633" t="s">
        <v>36271</v>
      </c>
      <c r="C1663" s="715" t="s">
        <v>103</v>
      </c>
      <c r="D1663" s="715" t="s">
        <v>40839</v>
      </c>
      <c r="E1663" s="716">
        <v>28.85</v>
      </c>
    </row>
    <row r="1664" spans="1:5">
      <c r="A1664" s="715">
        <v>1970</v>
      </c>
      <c r="B1664" s="633" t="s">
        <v>36272</v>
      </c>
      <c r="C1664" s="715" t="s">
        <v>103</v>
      </c>
      <c r="D1664" s="715" t="s">
        <v>40839</v>
      </c>
      <c r="E1664" s="716">
        <v>70.09</v>
      </c>
    </row>
    <row r="1665" spans="1:5">
      <c r="A1665" s="715">
        <v>1967</v>
      </c>
      <c r="B1665" s="633" t="s">
        <v>36273</v>
      </c>
      <c r="C1665" s="715" t="s">
        <v>103</v>
      </c>
      <c r="D1665" s="715" t="s">
        <v>40839</v>
      </c>
      <c r="E1665" s="716">
        <v>8.32</v>
      </c>
    </row>
    <row r="1666" spans="1:5">
      <c r="A1666" s="715">
        <v>1968</v>
      </c>
      <c r="B1666" s="633" t="s">
        <v>36274</v>
      </c>
      <c r="C1666" s="715" t="s">
        <v>103</v>
      </c>
      <c r="D1666" s="715" t="s">
        <v>40839</v>
      </c>
      <c r="E1666" s="716">
        <v>16.45</v>
      </c>
    </row>
    <row r="1667" spans="1:5">
      <c r="A1667" s="715">
        <v>1969</v>
      </c>
      <c r="B1667" s="633" t="s">
        <v>36275</v>
      </c>
      <c r="C1667" s="715" t="s">
        <v>103</v>
      </c>
      <c r="D1667" s="715" t="s">
        <v>40839</v>
      </c>
      <c r="E1667" s="716">
        <v>53.55</v>
      </c>
    </row>
    <row r="1668" spans="1:5">
      <c r="A1668" s="715">
        <v>1827</v>
      </c>
      <c r="B1668" s="633" t="s">
        <v>36276</v>
      </c>
      <c r="C1668" s="715" t="s">
        <v>103</v>
      </c>
      <c r="D1668" s="715" t="s">
        <v>40839</v>
      </c>
      <c r="E1668" s="716">
        <v>167.2</v>
      </c>
    </row>
    <row r="1669" spans="1:5">
      <c r="A1669" s="715">
        <v>1831</v>
      </c>
      <c r="B1669" s="633" t="s">
        <v>36277</v>
      </c>
      <c r="C1669" s="715" t="s">
        <v>103</v>
      </c>
      <c r="D1669" s="715" t="s">
        <v>40839</v>
      </c>
      <c r="E1669" s="716">
        <v>36.5</v>
      </c>
    </row>
    <row r="1670" spans="1:5">
      <c r="A1670" s="715">
        <v>1825</v>
      </c>
      <c r="B1670" s="633" t="s">
        <v>36278</v>
      </c>
      <c r="C1670" s="715" t="s">
        <v>103</v>
      </c>
      <c r="D1670" s="715" t="s">
        <v>40839</v>
      </c>
      <c r="E1670" s="716">
        <v>90.08</v>
      </c>
    </row>
    <row r="1671" spans="1:5">
      <c r="A1671" s="715">
        <v>1828</v>
      </c>
      <c r="B1671" s="633" t="s">
        <v>36279</v>
      </c>
      <c r="C1671" s="715" t="s">
        <v>103</v>
      </c>
      <c r="D1671" s="715" t="s">
        <v>40839</v>
      </c>
      <c r="E1671" s="716">
        <v>204.04</v>
      </c>
    </row>
    <row r="1672" spans="1:5">
      <c r="A1672" s="715">
        <v>1845</v>
      </c>
      <c r="B1672" s="633" t="s">
        <v>36280</v>
      </c>
      <c r="C1672" s="715" t="s">
        <v>103</v>
      </c>
      <c r="D1672" s="715" t="s">
        <v>40839</v>
      </c>
      <c r="E1672" s="716">
        <v>45.74</v>
      </c>
    </row>
    <row r="1673" spans="1:5">
      <c r="A1673" s="715">
        <v>1824</v>
      </c>
      <c r="B1673" s="633" t="s">
        <v>36281</v>
      </c>
      <c r="C1673" s="715" t="s">
        <v>103</v>
      </c>
      <c r="D1673" s="715" t="s">
        <v>40839</v>
      </c>
      <c r="E1673" s="716">
        <v>107.99</v>
      </c>
    </row>
    <row r="1674" spans="1:5" ht="29">
      <c r="A1674" s="715">
        <v>42693</v>
      </c>
      <c r="B1674" s="633" t="s">
        <v>36282</v>
      </c>
      <c r="C1674" s="715" t="s">
        <v>103</v>
      </c>
      <c r="D1674" s="715" t="s">
        <v>40839</v>
      </c>
      <c r="E1674" s="716">
        <v>514.63</v>
      </c>
    </row>
    <row r="1675" spans="1:5" ht="29">
      <c r="A1675" s="715">
        <v>42695</v>
      </c>
      <c r="B1675" s="633" t="s">
        <v>36283</v>
      </c>
      <c r="C1675" s="715" t="s">
        <v>103</v>
      </c>
      <c r="D1675" s="715" t="s">
        <v>40839</v>
      </c>
      <c r="E1675" s="716">
        <v>359.54</v>
      </c>
    </row>
    <row r="1676" spans="1:5" ht="29">
      <c r="A1676" s="715">
        <v>42694</v>
      </c>
      <c r="B1676" s="633" t="s">
        <v>36284</v>
      </c>
      <c r="C1676" s="715" t="s">
        <v>103</v>
      </c>
      <c r="D1676" s="715" t="s">
        <v>40839</v>
      </c>
      <c r="E1676" s="716">
        <v>688.68</v>
      </c>
    </row>
    <row r="1677" spans="1:5" ht="29">
      <c r="A1677" s="715">
        <v>20097</v>
      </c>
      <c r="B1677" s="633" t="s">
        <v>36285</v>
      </c>
      <c r="C1677" s="715" t="s">
        <v>103</v>
      </c>
      <c r="D1677" s="715" t="s">
        <v>40839</v>
      </c>
      <c r="E1677" s="716">
        <v>29.86</v>
      </c>
    </row>
    <row r="1678" spans="1:5" ht="29">
      <c r="A1678" s="715">
        <v>20098</v>
      </c>
      <c r="B1678" s="633" t="s">
        <v>36286</v>
      </c>
      <c r="C1678" s="715" t="s">
        <v>103</v>
      </c>
      <c r="D1678" s="715" t="s">
        <v>40839</v>
      </c>
      <c r="E1678" s="716">
        <v>122.04</v>
      </c>
    </row>
    <row r="1679" spans="1:5" ht="29">
      <c r="A1679" s="715">
        <v>20096</v>
      </c>
      <c r="B1679" s="633" t="s">
        <v>36287</v>
      </c>
      <c r="C1679" s="715" t="s">
        <v>103</v>
      </c>
      <c r="D1679" s="715" t="s">
        <v>40839</v>
      </c>
      <c r="E1679" s="716">
        <v>30.91</v>
      </c>
    </row>
    <row r="1680" spans="1:5">
      <c r="A1680" s="715">
        <v>44472</v>
      </c>
      <c r="B1680" s="633" t="s">
        <v>41002</v>
      </c>
      <c r="C1680" s="715" t="s">
        <v>103</v>
      </c>
      <c r="D1680" s="715" t="s">
        <v>40839</v>
      </c>
      <c r="E1680" s="716">
        <v>55.86</v>
      </c>
    </row>
    <row r="1681" spans="1:5" ht="29">
      <c r="A1681" s="715">
        <v>38369</v>
      </c>
      <c r="B1681" s="633" t="s">
        <v>36288</v>
      </c>
      <c r="C1681" s="715" t="s">
        <v>103</v>
      </c>
      <c r="D1681" s="715" t="s">
        <v>40839</v>
      </c>
      <c r="E1681" s="716">
        <v>21.51</v>
      </c>
    </row>
    <row r="1682" spans="1:5">
      <c r="A1682" s="715">
        <v>38370</v>
      </c>
      <c r="B1682" s="633" t="s">
        <v>36289</v>
      </c>
      <c r="C1682" s="715" t="s">
        <v>103</v>
      </c>
      <c r="D1682" s="715" t="s">
        <v>40839</v>
      </c>
      <c r="E1682" s="716">
        <v>14.51</v>
      </c>
    </row>
    <row r="1683" spans="1:5">
      <c r="A1683" s="715">
        <v>45199</v>
      </c>
      <c r="B1683" s="633" t="s">
        <v>41003</v>
      </c>
      <c r="C1683" s="715" t="s">
        <v>103</v>
      </c>
      <c r="D1683" s="715" t="s">
        <v>40839</v>
      </c>
      <c r="E1683" s="716">
        <v>34.1</v>
      </c>
    </row>
    <row r="1684" spans="1:5">
      <c r="A1684" s="715">
        <v>38372</v>
      </c>
      <c r="B1684" s="633" t="s">
        <v>36290</v>
      </c>
      <c r="C1684" s="715" t="s">
        <v>103</v>
      </c>
      <c r="D1684" s="715" t="s">
        <v>40839</v>
      </c>
      <c r="E1684" s="716">
        <v>12.25</v>
      </c>
    </row>
    <row r="1685" spans="1:5">
      <c r="A1685" s="715">
        <v>2358</v>
      </c>
      <c r="B1685" s="633" t="s">
        <v>36291</v>
      </c>
      <c r="C1685" s="715" t="s">
        <v>11</v>
      </c>
      <c r="D1685" s="715" t="s">
        <v>40839</v>
      </c>
      <c r="E1685" s="716">
        <v>64.650000000000006</v>
      </c>
    </row>
    <row r="1686" spans="1:5">
      <c r="A1686" s="715">
        <v>40807</v>
      </c>
      <c r="B1686" s="633" t="s">
        <v>36292</v>
      </c>
      <c r="C1686" s="715" t="s">
        <v>27629</v>
      </c>
      <c r="D1686" s="715" t="s">
        <v>40839</v>
      </c>
      <c r="E1686" s="716">
        <v>11326.62</v>
      </c>
    </row>
    <row r="1687" spans="1:5">
      <c r="A1687" s="715">
        <v>44330</v>
      </c>
      <c r="B1687" s="633" t="s">
        <v>36293</v>
      </c>
      <c r="C1687" s="715" t="s">
        <v>153</v>
      </c>
      <c r="D1687" s="715" t="s">
        <v>40839</v>
      </c>
      <c r="E1687" s="716">
        <v>12.23</v>
      </c>
    </row>
    <row r="1688" spans="1:5">
      <c r="A1688" s="715">
        <v>43144</v>
      </c>
      <c r="B1688" s="633" t="s">
        <v>36294</v>
      </c>
      <c r="C1688" s="715" t="s">
        <v>207</v>
      </c>
      <c r="D1688" s="715" t="s">
        <v>40839</v>
      </c>
      <c r="E1688" s="716">
        <v>37.15</v>
      </c>
    </row>
    <row r="1689" spans="1:5">
      <c r="A1689" s="715">
        <v>39397</v>
      </c>
      <c r="B1689" s="633" t="s">
        <v>36295</v>
      </c>
      <c r="C1689" s="715" t="s">
        <v>153</v>
      </c>
      <c r="D1689" s="715" t="s">
        <v>40839</v>
      </c>
      <c r="E1689" s="716">
        <v>16.93</v>
      </c>
    </row>
    <row r="1690" spans="1:5" ht="29">
      <c r="A1690" s="715">
        <v>2692</v>
      </c>
      <c r="B1690" s="633" t="s">
        <v>36296</v>
      </c>
      <c r="C1690" s="715" t="s">
        <v>153</v>
      </c>
      <c r="D1690" s="715" t="s">
        <v>40839</v>
      </c>
      <c r="E1690" s="716">
        <v>6.83</v>
      </c>
    </row>
    <row r="1691" spans="1:5">
      <c r="A1691" s="715">
        <v>45299</v>
      </c>
      <c r="B1691" s="633" t="s">
        <v>41322</v>
      </c>
      <c r="C1691" s="715" t="s">
        <v>103</v>
      </c>
      <c r="D1691" s="715" t="s">
        <v>40839</v>
      </c>
      <c r="E1691" s="716">
        <v>77.61</v>
      </c>
    </row>
    <row r="1692" spans="1:5">
      <c r="A1692" s="715">
        <v>44329</v>
      </c>
      <c r="B1692" s="633" t="s">
        <v>32929</v>
      </c>
      <c r="C1692" s="715" t="s">
        <v>153</v>
      </c>
      <c r="D1692" s="715" t="s">
        <v>40839</v>
      </c>
      <c r="E1692" s="716">
        <v>16.03</v>
      </c>
    </row>
    <row r="1693" spans="1:5">
      <c r="A1693" s="715">
        <v>5318</v>
      </c>
      <c r="B1693" s="633" t="s">
        <v>36297</v>
      </c>
      <c r="C1693" s="715" t="s">
        <v>153</v>
      </c>
      <c r="D1693" s="715" t="s">
        <v>28018</v>
      </c>
      <c r="E1693" s="716">
        <v>25.92</v>
      </c>
    </row>
    <row r="1694" spans="1:5">
      <c r="A1694" s="715">
        <v>5330</v>
      </c>
      <c r="B1694" s="633" t="s">
        <v>36298</v>
      </c>
      <c r="C1694" s="715" t="s">
        <v>153</v>
      </c>
      <c r="D1694" s="715" t="s">
        <v>40839</v>
      </c>
      <c r="E1694" s="716">
        <v>59.08</v>
      </c>
    </row>
    <row r="1695" spans="1:5">
      <c r="A1695" s="715">
        <v>44532</v>
      </c>
      <c r="B1695" s="633" t="s">
        <v>36299</v>
      </c>
      <c r="C1695" s="715" t="s">
        <v>103</v>
      </c>
      <c r="D1695" s="715" t="s">
        <v>40839</v>
      </c>
      <c r="E1695" s="716">
        <v>22.06</v>
      </c>
    </row>
    <row r="1696" spans="1:5" ht="29">
      <c r="A1696" s="715">
        <v>44531</v>
      </c>
      <c r="B1696" s="633" t="s">
        <v>36300</v>
      </c>
      <c r="C1696" s="715" t="s">
        <v>103</v>
      </c>
      <c r="D1696" s="715" t="s">
        <v>40839</v>
      </c>
      <c r="E1696" s="716">
        <v>75.63</v>
      </c>
    </row>
    <row r="1697" spans="1:5" ht="29">
      <c r="A1697" s="715">
        <v>13887</v>
      </c>
      <c r="B1697" s="633" t="s">
        <v>36301</v>
      </c>
      <c r="C1697" s="715" t="s">
        <v>103</v>
      </c>
      <c r="D1697" s="715" t="s">
        <v>40839</v>
      </c>
      <c r="E1697" s="716">
        <v>329.47</v>
      </c>
    </row>
    <row r="1698" spans="1:5">
      <c r="A1698" s="715">
        <v>38140</v>
      </c>
      <c r="B1698" s="633" t="s">
        <v>36302</v>
      </c>
      <c r="C1698" s="715" t="s">
        <v>103</v>
      </c>
      <c r="D1698" s="715" t="s">
        <v>40839</v>
      </c>
      <c r="E1698" s="716">
        <v>26.98</v>
      </c>
    </row>
    <row r="1699" spans="1:5">
      <c r="A1699" s="715">
        <v>44495</v>
      </c>
      <c r="B1699" s="633" t="s">
        <v>36303</v>
      </c>
      <c r="C1699" s="715" t="s">
        <v>103</v>
      </c>
      <c r="D1699" s="715" t="s">
        <v>40839</v>
      </c>
      <c r="E1699" s="716">
        <v>28.53</v>
      </c>
    </row>
    <row r="1700" spans="1:5" ht="29">
      <c r="A1700" s="715">
        <v>44533</v>
      </c>
      <c r="B1700" s="633" t="s">
        <v>36304</v>
      </c>
      <c r="C1700" s="715" t="s">
        <v>103</v>
      </c>
      <c r="D1700" s="715" t="s">
        <v>40839</v>
      </c>
      <c r="E1700" s="716">
        <v>28.95</v>
      </c>
    </row>
    <row r="1701" spans="1:5">
      <c r="A1701" s="715">
        <v>44534</v>
      </c>
      <c r="B1701" s="633" t="s">
        <v>41004</v>
      </c>
      <c r="C1701" s="715" t="s">
        <v>103</v>
      </c>
      <c r="D1701" s="715" t="s">
        <v>40839</v>
      </c>
      <c r="E1701" s="716">
        <v>5.68</v>
      </c>
    </row>
    <row r="1702" spans="1:5" ht="29">
      <c r="A1702" s="715">
        <v>34729</v>
      </c>
      <c r="B1702" s="633" t="s">
        <v>36305</v>
      </c>
      <c r="C1702" s="715" t="s">
        <v>103</v>
      </c>
      <c r="D1702" s="715" t="s">
        <v>40839</v>
      </c>
      <c r="E1702" s="716">
        <v>1029.45</v>
      </c>
    </row>
    <row r="1703" spans="1:5" ht="29">
      <c r="A1703" s="715">
        <v>34734</v>
      </c>
      <c r="B1703" s="633" t="s">
        <v>36306</v>
      </c>
      <c r="C1703" s="715" t="s">
        <v>103</v>
      </c>
      <c r="D1703" s="715" t="s">
        <v>40839</v>
      </c>
      <c r="E1703" s="716">
        <v>1593.92</v>
      </c>
    </row>
    <row r="1704" spans="1:5" ht="29">
      <c r="A1704" s="715">
        <v>34738</v>
      </c>
      <c r="B1704" s="633" t="s">
        <v>36307</v>
      </c>
      <c r="C1704" s="715" t="s">
        <v>103</v>
      </c>
      <c r="D1704" s="715" t="s">
        <v>40839</v>
      </c>
      <c r="E1704" s="716">
        <v>3723.89</v>
      </c>
    </row>
    <row r="1705" spans="1:5">
      <c r="A1705" s="715">
        <v>34623</v>
      </c>
      <c r="B1705" s="633" t="s">
        <v>36308</v>
      </c>
      <c r="C1705" s="715" t="s">
        <v>103</v>
      </c>
      <c r="D1705" s="715" t="s">
        <v>40839</v>
      </c>
      <c r="E1705" s="716">
        <v>44.62</v>
      </c>
    </row>
    <row r="1706" spans="1:5">
      <c r="A1706" s="715">
        <v>34616</v>
      </c>
      <c r="B1706" s="633" t="s">
        <v>36309</v>
      </c>
      <c r="C1706" s="715" t="s">
        <v>103</v>
      </c>
      <c r="D1706" s="715" t="s">
        <v>40839</v>
      </c>
      <c r="E1706" s="716">
        <v>45.32</v>
      </c>
    </row>
    <row r="1707" spans="1:5">
      <c r="A1707" s="715">
        <v>34628</v>
      </c>
      <c r="B1707" s="633" t="s">
        <v>36310</v>
      </c>
      <c r="C1707" s="715" t="s">
        <v>103</v>
      </c>
      <c r="D1707" s="715" t="s">
        <v>40839</v>
      </c>
      <c r="E1707" s="716">
        <v>63.92</v>
      </c>
    </row>
    <row r="1708" spans="1:5">
      <c r="A1708" s="715">
        <v>34686</v>
      </c>
      <c r="B1708" s="633" t="s">
        <v>36311</v>
      </c>
      <c r="C1708" s="715" t="s">
        <v>103</v>
      </c>
      <c r="D1708" s="715" t="s">
        <v>40839</v>
      </c>
      <c r="E1708" s="716">
        <v>11.72</v>
      </c>
    </row>
    <row r="1709" spans="1:5">
      <c r="A1709" s="715">
        <v>34653</v>
      </c>
      <c r="B1709" s="633" t="s">
        <v>36312</v>
      </c>
      <c r="C1709" s="715" t="s">
        <v>103</v>
      </c>
      <c r="D1709" s="715" t="s">
        <v>40839</v>
      </c>
      <c r="E1709" s="716">
        <v>7.9</v>
      </c>
    </row>
    <row r="1710" spans="1:5">
      <c r="A1710" s="715">
        <v>34688</v>
      </c>
      <c r="B1710" s="633" t="s">
        <v>36313</v>
      </c>
      <c r="C1710" s="715" t="s">
        <v>103</v>
      </c>
      <c r="D1710" s="715" t="s">
        <v>40839</v>
      </c>
      <c r="E1710" s="716">
        <v>14.33</v>
      </c>
    </row>
    <row r="1711" spans="1:5">
      <c r="A1711" s="715">
        <v>34709</v>
      </c>
      <c r="B1711" s="633" t="s">
        <v>36314</v>
      </c>
      <c r="C1711" s="715" t="s">
        <v>103</v>
      </c>
      <c r="D1711" s="715" t="s">
        <v>40839</v>
      </c>
      <c r="E1711" s="716">
        <v>55.52</v>
      </c>
    </row>
    <row r="1712" spans="1:5">
      <c r="A1712" s="715">
        <v>34714</v>
      </c>
      <c r="B1712" s="633" t="s">
        <v>36315</v>
      </c>
      <c r="C1712" s="715" t="s">
        <v>103</v>
      </c>
      <c r="D1712" s="715" t="s">
        <v>40839</v>
      </c>
      <c r="E1712" s="716">
        <v>66.319999999999993</v>
      </c>
    </row>
    <row r="1713" spans="1:5">
      <c r="A1713" s="715">
        <v>2391</v>
      </c>
      <c r="B1713" s="633" t="s">
        <v>36316</v>
      </c>
      <c r="C1713" s="715" t="s">
        <v>103</v>
      </c>
      <c r="D1713" s="715" t="s">
        <v>40839</v>
      </c>
      <c r="E1713" s="716">
        <v>302.87</v>
      </c>
    </row>
    <row r="1714" spans="1:5">
      <c r="A1714" s="715">
        <v>2374</v>
      </c>
      <c r="B1714" s="633" t="s">
        <v>36317</v>
      </c>
      <c r="C1714" s="715" t="s">
        <v>103</v>
      </c>
      <c r="D1714" s="715" t="s">
        <v>40839</v>
      </c>
      <c r="E1714" s="716">
        <v>343.6</v>
      </c>
    </row>
    <row r="1715" spans="1:5">
      <c r="A1715" s="715">
        <v>2377</v>
      </c>
      <c r="B1715" s="633" t="s">
        <v>36318</v>
      </c>
      <c r="C1715" s="715" t="s">
        <v>103</v>
      </c>
      <c r="D1715" s="715" t="s">
        <v>40839</v>
      </c>
      <c r="E1715" s="716">
        <v>482.21</v>
      </c>
    </row>
    <row r="1716" spans="1:5">
      <c r="A1716" s="715">
        <v>2393</v>
      </c>
      <c r="B1716" s="633" t="s">
        <v>36319</v>
      </c>
      <c r="C1716" s="715" t="s">
        <v>103</v>
      </c>
      <c r="D1716" s="715" t="s">
        <v>40839</v>
      </c>
      <c r="E1716" s="716">
        <v>807.52</v>
      </c>
    </row>
    <row r="1717" spans="1:5">
      <c r="A1717" s="715">
        <v>34705</v>
      </c>
      <c r="B1717" s="633" t="s">
        <v>36320</v>
      </c>
      <c r="C1717" s="715" t="s">
        <v>103</v>
      </c>
      <c r="D1717" s="715" t="s">
        <v>40839</v>
      </c>
      <c r="E1717" s="716">
        <v>706.3</v>
      </c>
    </row>
    <row r="1718" spans="1:5">
      <c r="A1718" s="715">
        <v>34707</v>
      </c>
      <c r="B1718" s="633" t="s">
        <v>36321</v>
      </c>
      <c r="C1718" s="715" t="s">
        <v>103</v>
      </c>
      <c r="D1718" s="715" t="s">
        <v>40839</v>
      </c>
      <c r="E1718" s="716">
        <v>1308.78</v>
      </c>
    </row>
    <row r="1719" spans="1:5">
      <c r="A1719" s="715">
        <v>34544</v>
      </c>
      <c r="B1719" s="633" t="s">
        <v>36322</v>
      </c>
      <c r="C1719" s="715" t="s">
        <v>103</v>
      </c>
      <c r="D1719" s="715" t="s">
        <v>40839</v>
      </c>
      <c r="E1719" s="716">
        <v>1308.6400000000001</v>
      </c>
    </row>
    <row r="1720" spans="1:5">
      <c r="A1720" s="715">
        <v>2378</v>
      </c>
      <c r="B1720" s="633" t="s">
        <v>36323</v>
      </c>
      <c r="C1720" s="715" t="s">
        <v>103</v>
      </c>
      <c r="D1720" s="715" t="s">
        <v>40839</v>
      </c>
      <c r="E1720" s="716">
        <v>1109.24</v>
      </c>
    </row>
    <row r="1721" spans="1:5">
      <c r="A1721" s="715">
        <v>2379</v>
      </c>
      <c r="B1721" s="633" t="s">
        <v>36324</v>
      </c>
      <c r="C1721" s="715" t="s">
        <v>103</v>
      </c>
      <c r="D1721" s="715" t="s">
        <v>40839</v>
      </c>
      <c r="E1721" s="716">
        <v>1109.24</v>
      </c>
    </row>
    <row r="1722" spans="1:5">
      <c r="A1722" s="715">
        <v>2376</v>
      </c>
      <c r="B1722" s="633" t="s">
        <v>36325</v>
      </c>
      <c r="C1722" s="715" t="s">
        <v>103</v>
      </c>
      <c r="D1722" s="715" t="s">
        <v>40839</v>
      </c>
      <c r="E1722" s="716">
        <v>1826.91</v>
      </c>
    </row>
    <row r="1723" spans="1:5">
      <c r="A1723" s="715">
        <v>2394</v>
      </c>
      <c r="B1723" s="633" t="s">
        <v>36326</v>
      </c>
      <c r="C1723" s="715" t="s">
        <v>103</v>
      </c>
      <c r="D1723" s="715" t="s">
        <v>40839</v>
      </c>
      <c r="E1723" s="716">
        <v>3905.61</v>
      </c>
    </row>
    <row r="1724" spans="1:5">
      <c r="A1724" s="715">
        <v>2388</v>
      </c>
      <c r="B1724" s="633" t="s">
        <v>36327</v>
      </c>
      <c r="C1724" s="715" t="s">
        <v>103</v>
      </c>
      <c r="D1724" s="715" t="s">
        <v>40839</v>
      </c>
      <c r="E1724" s="716">
        <v>55.11</v>
      </c>
    </row>
    <row r="1725" spans="1:5">
      <c r="A1725" s="715">
        <v>34606</v>
      </c>
      <c r="B1725" s="633" t="s">
        <v>36328</v>
      </c>
      <c r="C1725" s="715" t="s">
        <v>103</v>
      </c>
      <c r="D1725" s="715" t="s">
        <v>40839</v>
      </c>
      <c r="E1725" s="716">
        <v>84.53</v>
      </c>
    </row>
    <row r="1726" spans="1:5">
      <c r="A1726" s="715">
        <v>2370</v>
      </c>
      <c r="B1726" s="633" t="s">
        <v>36329</v>
      </c>
      <c r="C1726" s="715" t="s">
        <v>103</v>
      </c>
      <c r="D1726" s="715" t="s">
        <v>28018</v>
      </c>
      <c r="E1726" s="716">
        <v>10.24</v>
      </c>
    </row>
    <row r="1727" spans="1:5">
      <c r="A1727" s="715">
        <v>2386</v>
      </c>
      <c r="B1727" s="633" t="s">
        <v>36330</v>
      </c>
      <c r="C1727" s="715" t="s">
        <v>103</v>
      </c>
      <c r="D1727" s="715" t="s">
        <v>40839</v>
      </c>
      <c r="E1727" s="716">
        <v>17.18</v>
      </c>
    </row>
    <row r="1728" spans="1:5">
      <c r="A1728" s="715">
        <v>34689</v>
      </c>
      <c r="B1728" s="633" t="s">
        <v>36331</v>
      </c>
      <c r="C1728" s="715" t="s">
        <v>103</v>
      </c>
      <c r="D1728" s="715" t="s">
        <v>40839</v>
      </c>
      <c r="E1728" s="716">
        <v>26.91</v>
      </c>
    </row>
    <row r="1729" spans="1:5">
      <c r="A1729" s="715">
        <v>2392</v>
      </c>
      <c r="B1729" s="633" t="s">
        <v>36332</v>
      </c>
      <c r="C1729" s="715" t="s">
        <v>103</v>
      </c>
      <c r="D1729" s="715" t="s">
        <v>40839</v>
      </c>
      <c r="E1729" s="716">
        <v>68.739999999999995</v>
      </c>
    </row>
    <row r="1730" spans="1:5">
      <c r="A1730" s="715">
        <v>2373</v>
      </c>
      <c r="B1730" s="633" t="s">
        <v>36333</v>
      </c>
      <c r="C1730" s="715" t="s">
        <v>103</v>
      </c>
      <c r="D1730" s="715" t="s">
        <v>40839</v>
      </c>
      <c r="E1730" s="716">
        <v>96.85</v>
      </c>
    </row>
    <row r="1731" spans="1:5" ht="29">
      <c r="A1731" s="715">
        <v>39465</v>
      </c>
      <c r="B1731" s="633" t="s">
        <v>36334</v>
      </c>
      <c r="C1731" s="715" t="s">
        <v>103</v>
      </c>
      <c r="D1731" s="715" t="s">
        <v>40839</v>
      </c>
      <c r="E1731" s="716">
        <v>59.16</v>
      </c>
    </row>
    <row r="1732" spans="1:5" ht="29">
      <c r="A1732" s="715">
        <v>39466</v>
      </c>
      <c r="B1732" s="633" t="s">
        <v>36335</v>
      </c>
      <c r="C1732" s="715" t="s">
        <v>103</v>
      </c>
      <c r="D1732" s="715" t="s">
        <v>40839</v>
      </c>
      <c r="E1732" s="716">
        <v>66.56</v>
      </c>
    </row>
    <row r="1733" spans="1:5" ht="29">
      <c r="A1733" s="715">
        <v>39467</v>
      </c>
      <c r="B1733" s="633" t="s">
        <v>36336</v>
      </c>
      <c r="C1733" s="715" t="s">
        <v>103</v>
      </c>
      <c r="D1733" s="715" t="s">
        <v>40839</v>
      </c>
      <c r="E1733" s="716">
        <v>85.13</v>
      </c>
    </row>
    <row r="1734" spans="1:5" ht="29">
      <c r="A1734" s="715">
        <v>39468</v>
      </c>
      <c r="B1734" s="633" t="s">
        <v>36337</v>
      </c>
      <c r="C1734" s="715" t="s">
        <v>103</v>
      </c>
      <c r="D1734" s="715" t="s">
        <v>40839</v>
      </c>
      <c r="E1734" s="716">
        <v>151.33000000000001</v>
      </c>
    </row>
    <row r="1735" spans="1:5" ht="29">
      <c r="A1735" s="715">
        <v>39469</v>
      </c>
      <c r="B1735" s="633" t="s">
        <v>36338</v>
      </c>
      <c r="C1735" s="715" t="s">
        <v>103</v>
      </c>
      <c r="D1735" s="715" t="s">
        <v>40839</v>
      </c>
      <c r="E1735" s="716">
        <v>61.64</v>
      </c>
    </row>
    <row r="1736" spans="1:5" ht="29">
      <c r="A1736" s="715">
        <v>39470</v>
      </c>
      <c r="B1736" s="633" t="s">
        <v>36339</v>
      </c>
      <c r="C1736" s="715" t="s">
        <v>103</v>
      </c>
      <c r="D1736" s="715" t="s">
        <v>40839</v>
      </c>
      <c r="E1736" s="716">
        <v>75.739999999999995</v>
      </c>
    </row>
    <row r="1737" spans="1:5" ht="29">
      <c r="A1737" s="715">
        <v>39471</v>
      </c>
      <c r="B1737" s="633" t="s">
        <v>36340</v>
      </c>
      <c r="C1737" s="715" t="s">
        <v>103</v>
      </c>
      <c r="D1737" s="715" t="s">
        <v>40839</v>
      </c>
      <c r="E1737" s="716">
        <v>91.02</v>
      </c>
    </row>
    <row r="1738" spans="1:5" ht="29">
      <c r="A1738" s="715">
        <v>39472</v>
      </c>
      <c r="B1738" s="633" t="s">
        <v>36341</v>
      </c>
      <c r="C1738" s="715" t="s">
        <v>103</v>
      </c>
      <c r="D1738" s="715" t="s">
        <v>40839</v>
      </c>
      <c r="E1738" s="716">
        <v>158.15</v>
      </c>
    </row>
    <row r="1739" spans="1:5" ht="29">
      <c r="A1739" s="715">
        <v>39473</v>
      </c>
      <c r="B1739" s="633" t="s">
        <v>36342</v>
      </c>
      <c r="C1739" s="715" t="s">
        <v>103</v>
      </c>
      <c r="D1739" s="715" t="s">
        <v>40839</v>
      </c>
      <c r="E1739" s="716">
        <v>102.16</v>
      </c>
    </row>
    <row r="1740" spans="1:5" ht="29">
      <c r="A1740" s="715">
        <v>39474</v>
      </c>
      <c r="B1740" s="633" t="s">
        <v>36343</v>
      </c>
      <c r="C1740" s="715" t="s">
        <v>103</v>
      </c>
      <c r="D1740" s="715" t="s">
        <v>40839</v>
      </c>
      <c r="E1740" s="716">
        <v>108.91</v>
      </c>
    </row>
    <row r="1741" spans="1:5" ht="29">
      <c r="A1741" s="715">
        <v>39475</v>
      </c>
      <c r="B1741" s="633" t="s">
        <v>36344</v>
      </c>
      <c r="C1741" s="715" t="s">
        <v>103</v>
      </c>
      <c r="D1741" s="715" t="s">
        <v>40839</v>
      </c>
      <c r="E1741" s="716">
        <v>123.57</v>
      </c>
    </row>
    <row r="1742" spans="1:5" ht="29">
      <c r="A1742" s="715">
        <v>39476</v>
      </c>
      <c r="B1742" s="633" t="s">
        <v>36345</v>
      </c>
      <c r="C1742" s="715" t="s">
        <v>103</v>
      </c>
      <c r="D1742" s="715" t="s">
        <v>40839</v>
      </c>
      <c r="E1742" s="716">
        <v>232.61</v>
      </c>
    </row>
    <row r="1743" spans="1:5" ht="29">
      <c r="A1743" s="715">
        <v>39477</v>
      </c>
      <c r="B1743" s="633" t="s">
        <v>36346</v>
      </c>
      <c r="C1743" s="715" t="s">
        <v>103</v>
      </c>
      <c r="D1743" s="715" t="s">
        <v>40839</v>
      </c>
      <c r="E1743" s="716">
        <v>113.97</v>
      </c>
    </row>
    <row r="1744" spans="1:5" ht="29">
      <c r="A1744" s="715">
        <v>39478</v>
      </c>
      <c r="B1744" s="633" t="s">
        <v>36347</v>
      </c>
      <c r="C1744" s="715" t="s">
        <v>103</v>
      </c>
      <c r="D1744" s="715" t="s">
        <v>40839</v>
      </c>
      <c r="E1744" s="716">
        <v>117.5</v>
      </c>
    </row>
    <row r="1745" spans="1:5" ht="29">
      <c r="A1745" s="715">
        <v>39479</v>
      </c>
      <c r="B1745" s="633" t="s">
        <v>36348</v>
      </c>
      <c r="C1745" s="715" t="s">
        <v>103</v>
      </c>
      <c r="D1745" s="715" t="s">
        <v>40839</v>
      </c>
      <c r="E1745" s="716">
        <v>138.44</v>
      </c>
    </row>
    <row r="1746" spans="1:5" ht="29">
      <c r="A1746" s="715">
        <v>39480</v>
      </c>
      <c r="B1746" s="633" t="s">
        <v>36349</v>
      </c>
      <c r="C1746" s="715" t="s">
        <v>103</v>
      </c>
      <c r="D1746" s="715" t="s">
        <v>40839</v>
      </c>
      <c r="E1746" s="716">
        <v>285.67</v>
      </c>
    </row>
    <row r="1747" spans="1:5">
      <c r="A1747" s="715">
        <v>39459</v>
      </c>
      <c r="B1747" s="633" t="s">
        <v>36350</v>
      </c>
      <c r="C1747" s="715" t="s">
        <v>103</v>
      </c>
      <c r="D1747" s="715" t="s">
        <v>40839</v>
      </c>
      <c r="E1747" s="716">
        <v>242.46</v>
      </c>
    </row>
    <row r="1748" spans="1:5">
      <c r="A1748" s="715">
        <v>39445</v>
      </c>
      <c r="B1748" s="633" t="s">
        <v>36351</v>
      </c>
      <c r="C1748" s="715" t="s">
        <v>103</v>
      </c>
      <c r="D1748" s="715" t="s">
        <v>40839</v>
      </c>
      <c r="E1748" s="716">
        <v>121.74</v>
      </c>
    </row>
    <row r="1749" spans="1:5">
      <c r="A1749" s="715">
        <v>39446</v>
      </c>
      <c r="B1749" s="633" t="s">
        <v>36352</v>
      </c>
      <c r="C1749" s="715" t="s">
        <v>103</v>
      </c>
      <c r="D1749" s="715" t="s">
        <v>40839</v>
      </c>
      <c r="E1749" s="716">
        <v>123.9</v>
      </c>
    </row>
    <row r="1750" spans="1:5">
      <c r="A1750" s="715">
        <v>39447</v>
      </c>
      <c r="B1750" s="633" t="s">
        <v>36353</v>
      </c>
      <c r="C1750" s="715" t="s">
        <v>103</v>
      </c>
      <c r="D1750" s="715" t="s">
        <v>40839</v>
      </c>
      <c r="E1750" s="716">
        <v>132.5</v>
      </c>
    </row>
    <row r="1751" spans="1:5">
      <c r="A1751" s="715">
        <v>39448</v>
      </c>
      <c r="B1751" s="633" t="s">
        <v>36354</v>
      </c>
      <c r="C1751" s="715" t="s">
        <v>103</v>
      </c>
      <c r="D1751" s="715" t="s">
        <v>40839</v>
      </c>
      <c r="E1751" s="716">
        <v>225.94</v>
      </c>
    </row>
    <row r="1752" spans="1:5">
      <c r="A1752" s="715">
        <v>39450</v>
      </c>
      <c r="B1752" s="633" t="s">
        <v>36355</v>
      </c>
      <c r="C1752" s="715" t="s">
        <v>103</v>
      </c>
      <c r="D1752" s="715" t="s">
        <v>40839</v>
      </c>
      <c r="E1752" s="716">
        <v>137.85</v>
      </c>
    </row>
    <row r="1753" spans="1:5">
      <c r="A1753" s="715">
        <v>39451</v>
      </c>
      <c r="B1753" s="633" t="s">
        <v>36356</v>
      </c>
      <c r="C1753" s="715" t="s">
        <v>103</v>
      </c>
      <c r="D1753" s="715" t="s">
        <v>40839</v>
      </c>
      <c r="E1753" s="716">
        <v>150.35</v>
      </c>
    </row>
    <row r="1754" spans="1:5">
      <c r="A1754" s="715">
        <v>39452</v>
      </c>
      <c r="B1754" s="633" t="s">
        <v>36357</v>
      </c>
      <c r="C1754" s="715" t="s">
        <v>103</v>
      </c>
      <c r="D1754" s="715" t="s">
        <v>40839</v>
      </c>
      <c r="E1754" s="716">
        <v>151.25</v>
      </c>
    </row>
    <row r="1755" spans="1:5">
      <c r="A1755" s="715">
        <v>39523</v>
      </c>
      <c r="B1755" s="633" t="s">
        <v>41005</v>
      </c>
      <c r="C1755" s="715" t="s">
        <v>103</v>
      </c>
      <c r="D1755" s="715" t="s">
        <v>40839</v>
      </c>
      <c r="E1755" s="716">
        <v>253.12</v>
      </c>
    </row>
    <row r="1756" spans="1:5">
      <c r="A1756" s="715">
        <v>39449</v>
      </c>
      <c r="B1756" s="633" t="s">
        <v>36358</v>
      </c>
      <c r="C1756" s="715" t="s">
        <v>103</v>
      </c>
      <c r="D1756" s="715" t="s">
        <v>40839</v>
      </c>
      <c r="E1756" s="716">
        <v>280.31</v>
      </c>
    </row>
    <row r="1757" spans="1:5">
      <c r="A1757" s="715">
        <v>39455</v>
      </c>
      <c r="B1757" s="633" t="s">
        <v>36359</v>
      </c>
      <c r="C1757" s="715" t="s">
        <v>103</v>
      </c>
      <c r="D1757" s="715" t="s">
        <v>40839</v>
      </c>
      <c r="E1757" s="716">
        <v>138.69999999999999</v>
      </c>
    </row>
    <row r="1758" spans="1:5">
      <c r="A1758" s="715">
        <v>39456</v>
      </c>
      <c r="B1758" s="633" t="s">
        <v>36360</v>
      </c>
      <c r="C1758" s="715" t="s">
        <v>103</v>
      </c>
      <c r="D1758" s="715" t="s">
        <v>40839</v>
      </c>
      <c r="E1758" s="716">
        <v>138.80000000000001</v>
      </c>
    </row>
    <row r="1759" spans="1:5">
      <c r="A1759" s="715">
        <v>39457</v>
      </c>
      <c r="B1759" s="633" t="s">
        <v>36361</v>
      </c>
      <c r="C1759" s="715" t="s">
        <v>103</v>
      </c>
      <c r="D1759" s="715" t="s">
        <v>40839</v>
      </c>
      <c r="E1759" s="716">
        <v>151.32</v>
      </c>
    </row>
    <row r="1760" spans="1:5">
      <c r="A1760" s="715">
        <v>39458</v>
      </c>
      <c r="B1760" s="633" t="s">
        <v>36362</v>
      </c>
      <c r="C1760" s="715" t="s">
        <v>103</v>
      </c>
      <c r="D1760" s="715" t="s">
        <v>40839</v>
      </c>
      <c r="E1760" s="716">
        <v>282.37</v>
      </c>
    </row>
    <row r="1761" spans="1:5">
      <c r="A1761" s="715">
        <v>39464</v>
      </c>
      <c r="B1761" s="633" t="s">
        <v>36363</v>
      </c>
      <c r="C1761" s="715" t="s">
        <v>103</v>
      </c>
      <c r="D1761" s="715" t="s">
        <v>40839</v>
      </c>
      <c r="E1761" s="716">
        <v>454.08</v>
      </c>
    </row>
    <row r="1762" spans="1:5">
      <c r="A1762" s="715">
        <v>39460</v>
      </c>
      <c r="B1762" s="633" t="s">
        <v>36364</v>
      </c>
      <c r="C1762" s="715" t="s">
        <v>103</v>
      </c>
      <c r="D1762" s="715" t="s">
        <v>40839</v>
      </c>
      <c r="E1762" s="716">
        <v>172.22</v>
      </c>
    </row>
    <row r="1763" spans="1:5">
      <c r="A1763" s="715">
        <v>39461</v>
      </c>
      <c r="B1763" s="633" t="s">
        <v>36365</v>
      </c>
      <c r="C1763" s="715" t="s">
        <v>103</v>
      </c>
      <c r="D1763" s="715" t="s">
        <v>40839</v>
      </c>
      <c r="E1763" s="716">
        <v>201.8</v>
      </c>
    </row>
    <row r="1764" spans="1:5">
      <c r="A1764" s="715">
        <v>39462</v>
      </c>
      <c r="B1764" s="633" t="s">
        <v>36366</v>
      </c>
      <c r="C1764" s="715" t="s">
        <v>103</v>
      </c>
      <c r="D1764" s="715" t="s">
        <v>40839</v>
      </c>
      <c r="E1764" s="716">
        <v>194.49</v>
      </c>
    </row>
    <row r="1765" spans="1:5">
      <c r="A1765" s="715">
        <v>39463</v>
      </c>
      <c r="B1765" s="633" t="s">
        <v>36367</v>
      </c>
      <c r="C1765" s="715" t="s">
        <v>103</v>
      </c>
      <c r="D1765" s="715" t="s">
        <v>40839</v>
      </c>
      <c r="E1765" s="716">
        <v>450.56</v>
      </c>
    </row>
    <row r="1766" spans="1:5">
      <c r="A1766" s="715">
        <v>26039</v>
      </c>
      <c r="B1766" s="633" t="s">
        <v>36368</v>
      </c>
      <c r="C1766" s="715" t="s">
        <v>103</v>
      </c>
      <c r="D1766" s="715" t="s">
        <v>40839</v>
      </c>
      <c r="E1766" s="716">
        <v>444469.94</v>
      </c>
    </row>
    <row r="1767" spans="1:5" ht="29">
      <c r="A1767" s="715">
        <v>2401</v>
      </c>
      <c r="B1767" s="633" t="s">
        <v>36369</v>
      </c>
      <c r="C1767" s="715" t="s">
        <v>103</v>
      </c>
      <c r="D1767" s="715" t="s">
        <v>40839</v>
      </c>
      <c r="E1767" s="716">
        <v>102233.01</v>
      </c>
    </row>
    <row r="1768" spans="1:5" ht="29">
      <c r="A1768" s="715">
        <v>38870</v>
      </c>
      <c r="B1768" s="633" t="s">
        <v>36370</v>
      </c>
      <c r="C1768" s="715" t="s">
        <v>103</v>
      </c>
      <c r="D1768" s="715" t="s">
        <v>40839</v>
      </c>
      <c r="E1768" s="716">
        <v>34.49</v>
      </c>
    </row>
    <row r="1769" spans="1:5" ht="29">
      <c r="A1769" s="715">
        <v>38869</v>
      </c>
      <c r="B1769" s="633" t="s">
        <v>36371</v>
      </c>
      <c r="C1769" s="715" t="s">
        <v>103</v>
      </c>
      <c r="D1769" s="715" t="s">
        <v>40839</v>
      </c>
      <c r="E1769" s="716">
        <v>23.28</v>
      </c>
    </row>
    <row r="1770" spans="1:5" ht="29">
      <c r="A1770" s="715">
        <v>38872</v>
      </c>
      <c r="B1770" s="633" t="s">
        <v>36372</v>
      </c>
      <c r="C1770" s="715" t="s">
        <v>103</v>
      </c>
      <c r="D1770" s="715" t="s">
        <v>40839</v>
      </c>
      <c r="E1770" s="716">
        <v>43.94</v>
      </c>
    </row>
    <row r="1771" spans="1:5" ht="29">
      <c r="A1771" s="715">
        <v>38871</v>
      </c>
      <c r="B1771" s="633" t="s">
        <v>36373</v>
      </c>
      <c r="C1771" s="715" t="s">
        <v>103</v>
      </c>
      <c r="D1771" s="715" t="s">
        <v>40839</v>
      </c>
      <c r="E1771" s="716">
        <v>30.37</v>
      </c>
    </row>
    <row r="1772" spans="1:5" ht="29">
      <c r="A1772" s="715">
        <v>39283</v>
      </c>
      <c r="B1772" s="633" t="s">
        <v>36374</v>
      </c>
      <c r="C1772" s="715" t="s">
        <v>103</v>
      </c>
      <c r="D1772" s="715" t="s">
        <v>40839</v>
      </c>
      <c r="E1772" s="716">
        <v>142.32</v>
      </c>
    </row>
    <row r="1773" spans="1:5" ht="29">
      <c r="A1773" s="715">
        <v>39285</v>
      </c>
      <c r="B1773" s="633" t="s">
        <v>36375</v>
      </c>
      <c r="C1773" s="715" t="s">
        <v>103</v>
      </c>
      <c r="D1773" s="715" t="s">
        <v>40839</v>
      </c>
      <c r="E1773" s="716">
        <v>162.66</v>
      </c>
    </row>
    <row r="1774" spans="1:5" ht="29">
      <c r="A1774" s="715">
        <v>39286</v>
      </c>
      <c r="B1774" s="633" t="s">
        <v>36376</v>
      </c>
      <c r="C1774" s="715" t="s">
        <v>103</v>
      </c>
      <c r="D1774" s="715" t="s">
        <v>40839</v>
      </c>
      <c r="E1774" s="716">
        <v>155.88999999999999</v>
      </c>
    </row>
    <row r="1775" spans="1:5" ht="29">
      <c r="A1775" s="715">
        <v>39288</v>
      </c>
      <c r="B1775" s="633" t="s">
        <v>36377</v>
      </c>
      <c r="C1775" s="715" t="s">
        <v>103</v>
      </c>
      <c r="D1775" s="715" t="s">
        <v>40839</v>
      </c>
      <c r="E1775" s="716">
        <v>189.75</v>
      </c>
    </row>
    <row r="1776" spans="1:5" ht="29">
      <c r="A1776" s="715">
        <v>44476</v>
      </c>
      <c r="B1776" s="633" t="s">
        <v>36378</v>
      </c>
      <c r="C1776" s="715" t="s">
        <v>509</v>
      </c>
      <c r="D1776" s="715" t="s">
        <v>40839</v>
      </c>
      <c r="E1776" s="716">
        <v>744.46</v>
      </c>
    </row>
    <row r="1777" spans="1:5">
      <c r="A1777" s="715">
        <v>10629</v>
      </c>
      <c r="B1777" s="633" t="s">
        <v>36379</v>
      </c>
      <c r="C1777" s="715" t="s">
        <v>509</v>
      </c>
      <c r="D1777" s="715" t="s">
        <v>40839</v>
      </c>
      <c r="E1777" s="716">
        <v>864.53</v>
      </c>
    </row>
    <row r="1778" spans="1:5">
      <c r="A1778" s="715">
        <v>10698</v>
      </c>
      <c r="B1778" s="633" t="s">
        <v>36380</v>
      </c>
      <c r="C1778" s="715" t="s">
        <v>509</v>
      </c>
      <c r="D1778" s="715" t="s">
        <v>40839</v>
      </c>
      <c r="E1778" s="716">
        <v>226.69</v>
      </c>
    </row>
    <row r="1779" spans="1:5" ht="29">
      <c r="A1779" s="715">
        <v>45658</v>
      </c>
      <c r="B1779" s="633" t="s">
        <v>36381</v>
      </c>
      <c r="C1779" s="715" t="s">
        <v>103</v>
      </c>
      <c r="D1779" s="715" t="s">
        <v>40839</v>
      </c>
      <c r="E1779" s="716">
        <v>148857.96</v>
      </c>
    </row>
    <row r="1780" spans="1:5" ht="29">
      <c r="A1780" s="715">
        <v>2432</v>
      </c>
      <c r="B1780" s="633" t="s">
        <v>36382</v>
      </c>
      <c r="C1780" s="715" t="s">
        <v>103</v>
      </c>
      <c r="D1780" s="715" t="s">
        <v>40839</v>
      </c>
      <c r="E1780" s="716">
        <v>28.95</v>
      </c>
    </row>
    <row r="1781" spans="1:5" ht="29">
      <c r="A1781" s="715">
        <v>2418</v>
      </c>
      <c r="B1781" s="633" t="s">
        <v>36383</v>
      </c>
      <c r="C1781" s="715" t="s">
        <v>103</v>
      </c>
      <c r="D1781" s="715" t="s">
        <v>28018</v>
      </c>
      <c r="E1781" s="716">
        <v>13.43</v>
      </c>
    </row>
    <row r="1782" spans="1:5" ht="29">
      <c r="A1782" s="715">
        <v>2433</v>
      </c>
      <c r="B1782" s="633" t="s">
        <v>36384</v>
      </c>
      <c r="C1782" s="715" t="s">
        <v>103</v>
      </c>
      <c r="D1782" s="715" t="s">
        <v>40839</v>
      </c>
      <c r="E1782" s="716">
        <v>9.81</v>
      </c>
    </row>
    <row r="1783" spans="1:5" ht="29">
      <c r="A1783" s="715">
        <v>2420</v>
      </c>
      <c r="B1783" s="633" t="s">
        <v>36385</v>
      </c>
      <c r="C1783" s="715" t="s">
        <v>103</v>
      </c>
      <c r="D1783" s="715" t="s">
        <v>40839</v>
      </c>
      <c r="E1783" s="716">
        <v>16.84</v>
      </c>
    </row>
    <row r="1784" spans="1:5" ht="29">
      <c r="A1784" s="715">
        <v>11447</v>
      </c>
      <c r="B1784" s="633" t="s">
        <v>41006</v>
      </c>
      <c r="C1784" s="715" t="s">
        <v>103</v>
      </c>
      <c r="D1784" s="715" t="s">
        <v>40839</v>
      </c>
      <c r="E1784" s="716">
        <v>33.29</v>
      </c>
    </row>
    <row r="1785" spans="1:5" ht="29">
      <c r="A1785" s="715">
        <v>11451</v>
      </c>
      <c r="B1785" s="633" t="s">
        <v>36386</v>
      </c>
      <c r="C1785" s="715" t="s">
        <v>103</v>
      </c>
      <c r="D1785" s="715" t="s">
        <v>40839</v>
      </c>
      <c r="E1785" s="716">
        <v>89.24</v>
      </c>
    </row>
    <row r="1786" spans="1:5" ht="29">
      <c r="A1786" s="715">
        <v>11116</v>
      </c>
      <c r="B1786" s="633" t="s">
        <v>36387</v>
      </c>
      <c r="C1786" s="715" t="s">
        <v>103</v>
      </c>
      <c r="D1786" s="715" t="s">
        <v>40839</v>
      </c>
      <c r="E1786" s="716">
        <v>653.72</v>
      </c>
    </row>
    <row r="1787" spans="1:5">
      <c r="A1787" s="715">
        <v>38411</v>
      </c>
      <c r="B1787" s="633" t="s">
        <v>36388</v>
      </c>
      <c r="C1787" s="715" t="s">
        <v>103</v>
      </c>
      <c r="D1787" s="715" t="s">
        <v>40839</v>
      </c>
      <c r="E1787" s="716">
        <v>1727.66</v>
      </c>
    </row>
    <row r="1788" spans="1:5" ht="29">
      <c r="A1788" s="715">
        <v>38189</v>
      </c>
      <c r="B1788" s="633" t="s">
        <v>36389</v>
      </c>
      <c r="C1788" s="715" t="s">
        <v>103</v>
      </c>
      <c r="D1788" s="715" t="s">
        <v>40839</v>
      </c>
      <c r="E1788" s="716">
        <v>153.34</v>
      </c>
    </row>
    <row r="1789" spans="1:5" ht="29">
      <c r="A1789" s="715">
        <v>38190</v>
      </c>
      <c r="B1789" s="633" t="s">
        <v>36390</v>
      </c>
      <c r="C1789" s="715" t="s">
        <v>103</v>
      </c>
      <c r="D1789" s="715" t="s">
        <v>40839</v>
      </c>
      <c r="E1789" s="716">
        <v>323.05</v>
      </c>
    </row>
    <row r="1790" spans="1:5" ht="29">
      <c r="A1790" s="715">
        <v>7608</v>
      </c>
      <c r="B1790" s="633" t="s">
        <v>36391</v>
      </c>
      <c r="C1790" s="715" t="s">
        <v>103</v>
      </c>
      <c r="D1790" s="715" t="s">
        <v>40839</v>
      </c>
      <c r="E1790" s="716">
        <v>12.97</v>
      </c>
    </row>
    <row r="1791" spans="1:5">
      <c r="A1791" s="715">
        <v>1370</v>
      </c>
      <c r="B1791" s="633" t="s">
        <v>36392</v>
      </c>
      <c r="C1791" s="715" t="s">
        <v>103</v>
      </c>
      <c r="D1791" s="715" t="s">
        <v>40839</v>
      </c>
      <c r="E1791" s="716">
        <v>160.69</v>
      </c>
    </row>
    <row r="1792" spans="1:5" ht="29">
      <c r="A1792" s="715">
        <v>11649</v>
      </c>
      <c r="B1792" s="633" t="s">
        <v>41323</v>
      </c>
      <c r="C1792" s="715" t="s">
        <v>103</v>
      </c>
      <c r="D1792" s="715" t="s">
        <v>40839</v>
      </c>
      <c r="E1792" s="716">
        <v>381.52</v>
      </c>
    </row>
    <row r="1793" spans="1:5" ht="29">
      <c r="A1793" s="715">
        <v>11650</v>
      </c>
      <c r="B1793" s="633" t="s">
        <v>41324</v>
      </c>
      <c r="C1793" s="715" t="s">
        <v>103</v>
      </c>
      <c r="D1793" s="715" t="s">
        <v>40839</v>
      </c>
      <c r="E1793" s="716">
        <v>517.32000000000005</v>
      </c>
    </row>
    <row r="1794" spans="1:5" ht="29">
      <c r="A1794" s="715">
        <v>34777</v>
      </c>
      <c r="B1794" s="633" t="s">
        <v>36393</v>
      </c>
      <c r="C1794" s="715" t="s">
        <v>103</v>
      </c>
      <c r="D1794" s="715" t="s">
        <v>40839</v>
      </c>
      <c r="E1794" s="716">
        <v>3.03</v>
      </c>
    </row>
    <row r="1795" spans="1:5" ht="29">
      <c r="A1795" s="715">
        <v>7272</v>
      </c>
      <c r="B1795" s="633" t="s">
        <v>36394</v>
      </c>
      <c r="C1795" s="715" t="s">
        <v>103</v>
      </c>
      <c r="D1795" s="715" t="s">
        <v>40839</v>
      </c>
      <c r="E1795" s="716">
        <v>2.2799999999999998</v>
      </c>
    </row>
    <row r="1796" spans="1:5">
      <c r="A1796" s="715">
        <v>10605</v>
      </c>
      <c r="B1796" s="633" t="s">
        <v>36395</v>
      </c>
      <c r="C1796" s="715" t="s">
        <v>103</v>
      </c>
      <c r="D1796" s="715" t="s">
        <v>40839</v>
      </c>
      <c r="E1796" s="716">
        <v>5.53</v>
      </c>
    </row>
    <row r="1797" spans="1:5">
      <c r="A1797" s="715">
        <v>10604</v>
      </c>
      <c r="B1797" s="633" t="s">
        <v>36396</v>
      </c>
      <c r="C1797" s="715" t="s">
        <v>103</v>
      </c>
      <c r="D1797" s="715" t="s">
        <v>40839</v>
      </c>
      <c r="E1797" s="716">
        <v>12.89</v>
      </c>
    </row>
    <row r="1798" spans="1:5">
      <c r="A1798" s="715">
        <v>672</v>
      </c>
      <c r="B1798" s="633" t="s">
        <v>36397</v>
      </c>
      <c r="C1798" s="715" t="s">
        <v>103</v>
      </c>
      <c r="D1798" s="715" t="s">
        <v>40839</v>
      </c>
      <c r="E1798" s="716">
        <v>17.73</v>
      </c>
    </row>
    <row r="1799" spans="1:5">
      <c r="A1799" s="715">
        <v>668</v>
      </c>
      <c r="B1799" s="633" t="s">
        <v>36398</v>
      </c>
      <c r="C1799" s="715" t="s">
        <v>103</v>
      </c>
      <c r="D1799" s="715" t="s">
        <v>40839</v>
      </c>
      <c r="E1799" s="716">
        <v>21.41</v>
      </c>
    </row>
    <row r="1800" spans="1:5">
      <c r="A1800" s="715">
        <v>10578</v>
      </c>
      <c r="B1800" s="633" t="s">
        <v>36399</v>
      </c>
      <c r="C1800" s="715" t="s">
        <v>103</v>
      </c>
      <c r="D1800" s="715" t="s">
        <v>40839</v>
      </c>
      <c r="E1800" s="716">
        <v>24.93</v>
      </c>
    </row>
    <row r="1801" spans="1:5">
      <c r="A1801" s="715">
        <v>666</v>
      </c>
      <c r="B1801" s="633" t="s">
        <v>36400</v>
      </c>
      <c r="C1801" s="715" t="s">
        <v>103</v>
      </c>
      <c r="D1801" s="715" t="s">
        <v>40839</v>
      </c>
      <c r="E1801" s="716">
        <v>27.73</v>
      </c>
    </row>
    <row r="1802" spans="1:5">
      <c r="A1802" s="715">
        <v>665</v>
      </c>
      <c r="B1802" s="633" t="s">
        <v>36401</v>
      </c>
      <c r="C1802" s="715" t="s">
        <v>103</v>
      </c>
      <c r="D1802" s="715" t="s">
        <v>40839</v>
      </c>
      <c r="E1802" s="716">
        <v>37.08</v>
      </c>
    </row>
    <row r="1803" spans="1:5">
      <c r="A1803" s="715">
        <v>10577</v>
      </c>
      <c r="B1803" s="633" t="s">
        <v>36402</v>
      </c>
      <c r="C1803" s="715" t="s">
        <v>103</v>
      </c>
      <c r="D1803" s="715" t="s">
        <v>40839</v>
      </c>
      <c r="E1803" s="716">
        <v>32.880000000000003</v>
      </c>
    </row>
    <row r="1804" spans="1:5">
      <c r="A1804" s="715">
        <v>10583</v>
      </c>
      <c r="B1804" s="633" t="s">
        <v>36403</v>
      </c>
      <c r="C1804" s="715" t="s">
        <v>103</v>
      </c>
      <c r="D1804" s="715" t="s">
        <v>40839</v>
      </c>
      <c r="E1804" s="716">
        <v>17.079999999999998</v>
      </c>
    </row>
    <row r="1805" spans="1:5">
      <c r="A1805" s="715">
        <v>10579</v>
      </c>
      <c r="B1805" s="633" t="s">
        <v>36404</v>
      </c>
      <c r="C1805" s="715" t="s">
        <v>103</v>
      </c>
      <c r="D1805" s="715" t="s">
        <v>40839</v>
      </c>
      <c r="E1805" s="716">
        <v>29.78</v>
      </c>
    </row>
    <row r="1806" spans="1:5">
      <c r="A1806" s="715">
        <v>10582</v>
      </c>
      <c r="B1806" s="633" t="s">
        <v>36405</v>
      </c>
      <c r="C1806" s="715" t="s">
        <v>103</v>
      </c>
      <c r="D1806" s="715" t="s">
        <v>40839</v>
      </c>
      <c r="E1806" s="716">
        <v>15.04</v>
      </c>
    </row>
    <row r="1807" spans="1:5">
      <c r="A1807" s="715">
        <v>2436</v>
      </c>
      <c r="B1807" s="633" t="s">
        <v>36406</v>
      </c>
      <c r="C1807" s="715" t="s">
        <v>11</v>
      </c>
      <c r="D1807" s="715" t="s">
        <v>28018</v>
      </c>
      <c r="E1807" s="716">
        <v>34.93</v>
      </c>
    </row>
    <row r="1808" spans="1:5">
      <c r="A1808" s="715">
        <v>40918</v>
      </c>
      <c r="B1808" s="633" t="s">
        <v>36407</v>
      </c>
      <c r="C1808" s="715" t="s">
        <v>27629</v>
      </c>
      <c r="D1808" s="715" t="s">
        <v>40839</v>
      </c>
      <c r="E1808" s="716">
        <v>6119.68</v>
      </c>
    </row>
    <row r="1809" spans="1:5" ht="29">
      <c r="A1809" s="715">
        <v>44046</v>
      </c>
      <c r="B1809" s="633" t="s">
        <v>41325</v>
      </c>
      <c r="C1809" s="715" t="s">
        <v>165</v>
      </c>
      <c r="D1809" s="715" t="s">
        <v>40839</v>
      </c>
      <c r="E1809" s="716">
        <v>149.72999999999999</v>
      </c>
    </row>
    <row r="1810" spans="1:5" ht="29">
      <c r="A1810" s="715">
        <v>44047</v>
      </c>
      <c r="B1810" s="633" t="s">
        <v>41326</v>
      </c>
      <c r="C1810" s="715" t="s">
        <v>165</v>
      </c>
      <c r="D1810" s="715" t="s">
        <v>40839</v>
      </c>
      <c r="E1810" s="716">
        <v>176.85</v>
      </c>
    </row>
    <row r="1811" spans="1:5" ht="29">
      <c r="A1811" s="715">
        <v>44043</v>
      </c>
      <c r="B1811" s="633" t="s">
        <v>41327</v>
      </c>
      <c r="C1811" s="715" t="s">
        <v>165</v>
      </c>
      <c r="D1811" s="715" t="s">
        <v>40839</v>
      </c>
      <c r="E1811" s="716">
        <v>92.46</v>
      </c>
    </row>
    <row r="1812" spans="1:5" ht="29">
      <c r="A1812" s="715">
        <v>44044</v>
      </c>
      <c r="B1812" s="633" t="s">
        <v>41328</v>
      </c>
      <c r="C1812" s="715" t="s">
        <v>165</v>
      </c>
      <c r="D1812" s="715" t="s">
        <v>40839</v>
      </c>
      <c r="E1812" s="716">
        <v>107.67</v>
      </c>
    </row>
    <row r="1813" spans="1:5" ht="29">
      <c r="A1813" s="715">
        <v>44041</v>
      </c>
      <c r="B1813" s="633" t="s">
        <v>41329</v>
      </c>
      <c r="C1813" s="715" t="s">
        <v>165</v>
      </c>
      <c r="D1813" s="715" t="s">
        <v>40839</v>
      </c>
      <c r="E1813" s="716">
        <v>54.62</v>
      </c>
    </row>
    <row r="1814" spans="1:5" ht="29">
      <c r="A1814" s="715">
        <v>44042</v>
      </c>
      <c r="B1814" s="633" t="s">
        <v>41330</v>
      </c>
      <c r="C1814" s="715" t="s">
        <v>165</v>
      </c>
      <c r="D1814" s="715" t="s">
        <v>40839</v>
      </c>
      <c r="E1814" s="716">
        <v>68.05</v>
      </c>
    </row>
    <row r="1815" spans="1:5" ht="29">
      <c r="A1815" s="715">
        <v>43961</v>
      </c>
      <c r="B1815" s="633" t="s">
        <v>41331</v>
      </c>
      <c r="C1815" s="715" t="s">
        <v>165</v>
      </c>
      <c r="D1815" s="715" t="s">
        <v>28018</v>
      </c>
      <c r="E1815" s="716">
        <v>18.48</v>
      </c>
    </row>
    <row r="1816" spans="1:5" ht="29">
      <c r="A1816" s="715">
        <v>43959</v>
      </c>
      <c r="B1816" s="633" t="s">
        <v>41332</v>
      </c>
      <c r="C1816" s="715" t="s">
        <v>165</v>
      </c>
      <c r="D1816" s="715" t="s">
        <v>40839</v>
      </c>
      <c r="E1816" s="716">
        <v>21.41</v>
      </c>
    </row>
    <row r="1817" spans="1:5" ht="29">
      <c r="A1817" s="715">
        <v>43962</v>
      </c>
      <c r="B1817" s="633" t="s">
        <v>41333</v>
      </c>
      <c r="C1817" s="715" t="s">
        <v>165</v>
      </c>
      <c r="D1817" s="715" t="s">
        <v>40839</v>
      </c>
      <c r="E1817" s="716">
        <v>23.1</v>
      </c>
    </row>
    <row r="1818" spans="1:5" ht="29">
      <c r="A1818" s="715">
        <v>43960</v>
      </c>
      <c r="B1818" s="633" t="s">
        <v>41334</v>
      </c>
      <c r="C1818" s="715" t="s">
        <v>165</v>
      </c>
      <c r="D1818" s="715" t="s">
        <v>40839</v>
      </c>
      <c r="E1818" s="716">
        <v>32.340000000000003</v>
      </c>
    </row>
    <row r="1819" spans="1:5" ht="29">
      <c r="A1819" s="715">
        <v>43963</v>
      </c>
      <c r="B1819" s="633" t="s">
        <v>41335</v>
      </c>
      <c r="C1819" s="715" t="s">
        <v>165</v>
      </c>
      <c r="D1819" s="715" t="s">
        <v>40839</v>
      </c>
      <c r="E1819" s="716">
        <v>16.170000000000002</v>
      </c>
    </row>
    <row r="1820" spans="1:5" ht="29">
      <c r="A1820" s="715">
        <v>43958</v>
      </c>
      <c r="B1820" s="633" t="s">
        <v>41336</v>
      </c>
      <c r="C1820" s="715" t="s">
        <v>165</v>
      </c>
      <c r="D1820" s="715" t="s">
        <v>40839</v>
      </c>
      <c r="E1820" s="716">
        <v>27.72</v>
      </c>
    </row>
    <row r="1821" spans="1:5" ht="29">
      <c r="A1821" s="715">
        <v>41549</v>
      </c>
      <c r="B1821" s="633" t="s">
        <v>41337</v>
      </c>
      <c r="C1821" s="715" t="s">
        <v>165</v>
      </c>
      <c r="D1821" s="715" t="s">
        <v>40839</v>
      </c>
      <c r="E1821" s="716">
        <v>13.86</v>
      </c>
    </row>
    <row r="1822" spans="1:5">
      <c r="A1822" s="715">
        <v>10998</v>
      </c>
      <c r="B1822" s="633" t="s">
        <v>36408</v>
      </c>
      <c r="C1822" s="715" t="s">
        <v>207</v>
      </c>
      <c r="D1822" s="715" t="s">
        <v>40839</v>
      </c>
      <c r="E1822" s="716">
        <v>49.1</v>
      </c>
    </row>
    <row r="1823" spans="1:5">
      <c r="A1823" s="715">
        <v>11002</v>
      </c>
      <c r="B1823" s="633" t="s">
        <v>36409</v>
      </c>
      <c r="C1823" s="715" t="s">
        <v>207</v>
      </c>
      <c r="D1823" s="715" t="s">
        <v>40839</v>
      </c>
      <c r="E1823" s="716">
        <v>44.98</v>
      </c>
    </row>
    <row r="1824" spans="1:5">
      <c r="A1824" s="715">
        <v>10999</v>
      </c>
      <c r="B1824" s="633" t="s">
        <v>36410</v>
      </c>
      <c r="C1824" s="715" t="s">
        <v>207</v>
      </c>
      <c r="D1824" s="715" t="s">
        <v>40839</v>
      </c>
      <c r="E1824" s="716">
        <v>43.22</v>
      </c>
    </row>
    <row r="1825" spans="1:5">
      <c r="A1825" s="715">
        <v>10997</v>
      </c>
      <c r="B1825" s="633" t="s">
        <v>36411</v>
      </c>
      <c r="C1825" s="715" t="s">
        <v>207</v>
      </c>
      <c r="D1825" s="715" t="s">
        <v>28018</v>
      </c>
      <c r="E1825" s="716">
        <v>46.84</v>
      </c>
    </row>
    <row r="1826" spans="1:5">
      <c r="A1826" s="715">
        <v>2680</v>
      </c>
      <c r="B1826" s="633" t="s">
        <v>41007</v>
      </c>
      <c r="C1826" s="715" t="s">
        <v>165</v>
      </c>
      <c r="D1826" s="715" t="s">
        <v>40839</v>
      </c>
      <c r="E1826" s="716">
        <v>10.53</v>
      </c>
    </row>
    <row r="1827" spans="1:5">
      <c r="A1827" s="715">
        <v>2684</v>
      </c>
      <c r="B1827" s="633" t="s">
        <v>41008</v>
      </c>
      <c r="C1827" s="715" t="s">
        <v>165</v>
      </c>
      <c r="D1827" s="715" t="s">
        <v>40839</v>
      </c>
      <c r="E1827" s="716">
        <v>9.58</v>
      </c>
    </row>
    <row r="1828" spans="1:5">
      <c r="A1828" s="715">
        <v>2685</v>
      </c>
      <c r="B1828" s="633" t="s">
        <v>41009</v>
      </c>
      <c r="C1828" s="715" t="s">
        <v>165</v>
      </c>
      <c r="D1828" s="715" t="s">
        <v>40839</v>
      </c>
      <c r="E1828" s="716">
        <v>7.2</v>
      </c>
    </row>
    <row r="1829" spans="1:5">
      <c r="A1829" s="715">
        <v>2673</v>
      </c>
      <c r="B1829" s="633" t="s">
        <v>41010</v>
      </c>
      <c r="C1829" s="715" t="s">
        <v>165</v>
      </c>
      <c r="D1829" s="715" t="s">
        <v>28018</v>
      </c>
      <c r="E1829" s="716">
        <v>3.7</v>
      </c>
    </row>
    <row r="1830" spans="1:5">
      <c r="A1830" s="715">
        <v>2682</v>
      </c>
      <c r="B1830" s="633" t="s">
        <v>41011</v>
      </c>
      <c r="C1830" s="715" t="s">
        <v>165</v>
      </c>
      <c r="D1830" s="715" t="s">
        <v>40839</v>
      </c>
      <c r="E1830" s="716">
        <v>25.12</v>
      </c>
    </row>
    <row r="1831" spans="1:5">
      <c r="A1831" s="715">
        <v>2681</v>
      </c>
      <c r="B1831" s="633" t="s">
        <v>41012</v>
      </c>
      <c r="C1831" s="715" t="s">
        <v>165</v>
      </c>
      <c r="D1831" s="715" t="s">
        <v>40839</v>
      </c>
      <c r="E1831" s="716">
        <v>17.22</v>
      </c>
    </row>
    <row r="1832" spans="1:5">
      <c r="A1832" s="715">
        <v>2686</v>
      </c>
      <c r="B1832" s="633" t="s">
        <v>41013</v>
      </c>
      <c r="C1832" s="715" t="s">
        <v>165</v>
      </c>
      <c r="D1832" s="715" t="s">
        <v>40839</v>
      </c>
      <c r="E1832" s="716">
        <v>31.5</v>
      </c>
    </row>
    <row r="1833" spans="1:5">
      <c r="A1833" s="715">
        <v>2674</v>
      </c>
      <c r="B1833" s="633" t="s">
        <v>41014</v>
      </c>
      <c r="C1833" s="715" t="s">
        <v>165</v>
      </c>
      <c r="D1833" s="715" t="s">
        <v>40839</v>
      </c>
      <c r="E1833" s="716">
        <v>4.5999999999999996</v>
      </c>
    </row>
    <row r="1834" spans="1:5">
      <c r="A1834" s="715">
        <v>2683</v>
      </c>
      <c r="B1834" s="633" t="s">
        <v>41015</v>
      </c>
      <c r="C1834" s="715" t="s">
        <v>165</v>
      </c>
      <c r="D1834" s="715" t="s">
        <v>40839</v>
      </c>
      <c r="E1834" s="716">
        <v>49.63</v>
      </c>
    </row>
    <row r="1835" spans="1:5">
      <c r="A1835" s="715">
        <v>2676</v>
      </c>
      <c r="B1835" s="633" t="s">
        <v>36412</v>
      </c>
      <c r="C1835" s="715" t="s">
        <v>165</v>
      </c>
      <c r="D1835" s="715" t="s">
        <v>40839</v>
      </c>
      <c r="E1835" s="716">
        <v>2.15</v>
      </c>
    </row>
    <row r="1836" spans="1:5">
      <c r="A1836" s="715">
        <v>2678</v>
      </c>
      <c r="B1836" s="633" t="s">
        <v>36413</v>
      </c>
      <c r="C1836" s="715" t="s">
        <v>165</v>
      </c>
      <c r="D1836" s="715" t="s">
        <v>40839</v>
      </c>
      <c r="E1836" s="716">
        <v>2.69</v>
      </c>
    </row>
    <row r="1837" spans="1:5">
      <c r="A1837" s="715">
        <v>2679</v>
      </c>
      <c r="B1837" s="633" t="s">
        <v>36414</v>
      </c>
      <c r="C1837" s="715" t="s">
        <v>165</v>
      </c>
      <c r="D1837" s="715" t="s">
        <v>40839</v>
      </c>
      <c r="E1837" s="716">
        <v>4.1500000000000004</v>
      </c>
    </row>
    <row r="1838" spans="1:5">
      <c r="A1838" s="715">
        <v>12070</v>
      </c>
      <c r="B1838" s="633" t="s">
        <v>36415</v>
      </c>
      <c r="C1838" s="715" t="s">
        <v>165</v>
      </c>
      <c r="D1838" s="715" t="s">
        <v>40839</v>
      </c>
      <c r="E1838" s="716">
        <v>5.78</v>
      </c>
    </row>
    <row r="1839" spans="1:5">
      <c r="A1839" s="715">
        <v>2675</v>
      </c>
      <c r="B1839" s="633" t="s">
        <v>36416</v>
      </c>
      <c r="C1839" s="715" t="s">
        <v>165</v>
      </c>
      <c r="D1839" s="715" t="s">
        <v>40839</v>
      </c>
      <c r="E1839" s="716">
        <v>7.51</v>
      </c>
    </row>
    <row r="1840" spans="1:5">
      <c r="A1840" s="715">
        <v>12067</v>
      </c>
      <c r="B1840" s="633" t="s">
        <v>36417</v>
      </c>
      <c r="C1840" s="715" t="s">
        <v>165</v>
      </c>
      <c r="D1840" s="715" t="s">
        <v>40839</v>
      </c>
      <c r="E1840" s="716">
        <v>10.199999999999999</v>
      </c>
    </row>
    <row r="1841" spans="1:5" ht="29">
      <c r="A1841" s="715">
        <v>21128</v>
      </c>
      <c r="B1841" s="633" t="s">
        <v>36418</v>
      </c>
      <c r="C1841" s="715" t="s">
        <v>165</v>
      </c>
      <c r="D1841" s="715" t="s">
        <v>28018</v>
      </c>
      <c r="E1841" s="716">
        <v>9.52</v>
      </c>
    </row>
    <row r="1842" spans="1:5">
      <c r="A1842" s="715">
        <v>40400</v>
      </c>
      <c r="B1842" s="633" t="s">
        <v>36419</v>
      </c>
      <c r="C1842" s="715" t="s">
        <v>165</v>
      </c>
      <c r="D1842" s="715" t="s">
        <v>40839</v>
      </c>
      <c r="E1842" s="716">
        <v>1.9</v>
      </c>
    </row>
    <row r="1843" spans="1:5">
      <c r="A1843" s="715">
        <v>40401</v>
      </c>
      <c r="B1843" s="633" t="s">
        <v>36420</v>
      </c>
      <c r="C1843" s="715" t="s">
        <v>165</v>
      </c>
      <c r="D1843" s="715" t="s">
        <v>40839</v>
      </c>
      <c r="E1843" s="716">
        <v>2.8</v>
      </c>
    </row>
    <row r="1844" spans="1:5">
      <c r="A1844" s="715">
        <v>40402</v>
      </c>
      <c r="B1844" s="633" t="s">
        <v>36421</v>
      </c>
      <c r="C1844" s="715" t="s">
        <v>165</v>
      </c>
      <c r="D1844" s="715" t="s">
        <v>40839</v>
      </c>
      <c r="E1844" s="716">
        <v>3.59</v>
      </c>
    </row>
    <row r="1845" spans="1:5" ht="29">
      <c r="A1845" s="715">
        <v>21137</v>
      </c>
      <c r="B1845" s="633" t="s">
        <v>36422</v>
      </c>
      <c r="C1845" s="715" t="s">
        <v>165</v>
      </c>
      <c r="D1845" s="715" t="s">
        <v>40839</v>
      </c>
      <c r="E1845" s="716">
        <v>9.74</v>
      </c>
    </row>
    <row r="1846" spans="1:5" ht="29">
      <c r="A1846" s="715">
        <v>2504</v>
      </c>
      <c r="B1846" s="633" t="s">
        <v>36423</v>
      </c>
      <c r="C1846" s="715" t="s">
        <v>165</v>
      </c>
      <c r="D1846" s="715" t="s">
        <v>40839</v>
      </c>
      <c r="E1846" s="716">
        <v>10.56</v>
      </c>
    </row>
    <row r="1847" spans="1:5" ht="29">
      <c r="A1847" s="715">
        <v>2501</v>
      </c>
      <c r="B1847" s="633" t="s">
        <v>36424</v>
      </c>
      <c r="C1847" s="715" t="s">
        <v>165</v>
      </c>
      <c r="D1847" s="715" t="s">
        <v>40839</v>
      </c>
      <c r="E1847" s="716">
        <v>13.85</v>
      </c>
    </row>
    <row r="1848" spans="1:5" ht="29">
      <c r="A1848" s="715">
        <v>2502</v>
      </c>
      <c r="B1848" s="633" t="s">
        <v>36425</v>
      </c>
      <c r="C1848" s="715" t="s">
        <v>165</v>
      </c>
      <c r="D1848" s="715" t="s">
        <v>40839</v>
      </c>
      <c r="E1848" s="716">
        <v>20.9</v>
      </c>
    </row>
    <row r="1849" spans="1:5" ht="29">
      <c r="A1849" s="715">
        <v>2503</v>
      </c>
      <c r="B1849" s="633" t="s">
        <v>36426</v>
      </c>
      <c r="C1849" s="715" t="s">
        <v>165</v>
      </c>
      <c r="D1849" s="715" t="s">
        <v>40839</v>
      </c>
      <c r="E1849" s="716">
        <v>26.9</v>
      </c>
    </row>
    <row r="1850" spans="1:5" ht="29">
      <c r="A1850" s="715">
        <v>2500</v>
      </c>
      <c r="B1850" s="633" t="s">
        <v>36427</v>
      </c>
      <c r="C1850" s="715" t="s">
        <v>165</v>
      </c>
      <c r="D1850" s="715" t="s">
        <v>40839</v>
      </c>
      <c r="E1850" s="716">
        <v>35.83</v>
      </c>
    </row>
    <row r="1851" spans="1:5" ht="29">
      <c r="A1851" s="715">
        <v>2505</v>
      </c>
      <c r="B1851" s="633" t="s">
        <v>36428</v>
      </c>
      <c r="C1851" s="715" t="s">
        <v>165</v>
      </c>
      <c r="D1851" s="715" t="s">
        <v>40839</v>
      </c>
      <c r="E1851" s="716">
        <v>55.84</v>
      </c>
    </row>
    <row r="1852" spans="1:5" ht="29">
      <c r="A1852" s="715">
        <v>12056</v>
      </c>
      <c r="B1852" s="633" t="s">
        <v>36429</v>
      </c>
      <c r="C1852" s="715" t="s">
        <v>165</v>
      </c>
      <c r="D1852" s="715" t="s">
        <v>40839</v>
      </c>
      <c r="E1852" s="716">
        <v>22.56</v>
      </c>
    </row>
    <row r="1853" spans="1:5" ht="29">
      <c r="A1853" s="715">
        <v>12057</v>
      </c>
      <c r="B1853" s="633" t="s">
        <v>36430</v>
      </c>
      <c r="C1853" s="715" t="s">
        <v>165</v>
      </c>
      <c r="D1853" s="715" t="s">
        <v>40839</v>
      </c>
      <c r="E1853" s="716">
        <v>19.16</v>
      </c>
    </row>
    <row r="1854" spans="1:5" ht="29">
      <c r="A1854" s="715">
        <v>12058</v>
      </c>
      <c r="B1854" s="633" t="s">
        <v>36431</v>
      </c>
      <c r="C1854" s="715" t="s">
        <v>165</v>
      </c>
      <c r="D1854" s="715" t="s">
        <v>40839</v>
      </c>
      <c r="E1854" s="716">
        <v>11.94</v>
      </c>
    </row>
    <row r="1855" spans="1:5" ht="29">
      <c r="A1855" s="715">
        <v>12059</v>
      </c>
      <c r="B1855" s="633" t="s">
        <v>36432</v>
      </c>
      <c r="C1855" s="715" t="s">
        <v>165</v>
      </c>
      <c r="D1855" s="715" t="s">
        <v>40839</v>
      </c>
      <c r="E1855" s="716">
        <v>6.72</v>
      </c>
    </row>
    <row r="1856" spans="1:5" ht="29">
      <c r="A1856" s="715">
        <v>12060</v>
      </c>
      <c r="B1856" s="633" t="s">
        <v>36433</v>
      </c>
      <c r="C1856" s="715" t="s">
        <v>165</v>
      </c>
      <c r="D1856" s="715" t="s">
        <v>40839</v>
      </c>
      <c r="E1856" s="716">
        <v>49.79</v>
      </c>
    </row>
    <row r="1857" spans="1:5" ht="29">
      <c r="A1857" s="715">
        <v>12061</v>
      </c>
      <c r="B1857" s="633" t="s">
        <v>36434</v>
      </c>
      <c r="C1857" s="715" t="s">
        <v>165</v>
      </c>
      <c r="D1857" s="715" t="s">
        <v>40839</v>
      </c>
      <c r="E1857" s="716">
        <v>30.4</v>
      </c>
    </row>
    <row r="1858" spans="1:5" ht="29">
      <c r="A1858" s="715">
        <v>12062</v>
      </c>
      <c r="B1858" s="633" t="s">
        <v>36435</v>
      </c>
      <c r="C1858" s="715" t="s">
        <v>165</v>
      </c>
      <c r="D1858" s="715" t="s">
        <v>40839</v>
      </c>
      <c r="E1858" s="716">
        <v>56.07</v>
      </c>
    </row>
    <row r="1859" spans="1:5">
      <c r="A1859" s="715">
        <v>2687</v>
      </c>
      <c r="B1859" s="633" t="s">
        <v>36436</v>
      </c>
      <c r="C1859" s="715" t="s">
        <v>165</v>
      </c>
      <c r="D1859" s="715" t="s">
        <v>40839</v>
      </c>
      <c r="E1859" s="716">
        <v>1.88</v>
      </c>
    </row>
    <row r="1860" spans="1:5">
      <c r="A1860" s="715">
        <v>2689</v>
      </c>
      <c r="B1860" s="633" t="s">
        <v>36437</v>
      </c>
      <c r="C1860" s="715" t="s">
        <v>165</v>
      </c>
      <c r="D1860" s="715" t="s">
        <v>40839</v>
      </c>
      <c r="E1860" s="716">
        <v>2.23</v>
      </c>
    </row>
    <row r="1861" spans="1:5">
      <c r="A1861" s="715">
        <v>2688</v>
      </c>
      <c r="B1861" s="633" t="s">
        <v>36438</v>
      </c>
      <c r="C1861" s="715" t="s">
        <v>165</v>
      </c>
      <c r="D1861" s="715" t="s">
        <v>40839</v>
      </c>
      <c r="E1861" s="716">
        <v>2.42</v>
      </c>
    </row>
    <row r="1862" spans="1:5">
      <c r="A1862" s="715">
        <v>2690</v>
      </c>
      <c r="B1862" s="633" t="s">
        <v>36439</v>
      </c>
      <c r="C1862" s="715" t="s">
        <v>165</v>
      </c>
      <c r="D1862" s="715" t="s">
        <v>40839</v>
      </c>
      <c r="E1862" s="716">
        <v>4.1399999999999997</v>
      </c>
    </row>
    <row r="1863" spans="1:5" ht="29">
      <c r="A1863" s="715">
        <v>39243</v>
      </c>
      <c r="B1863" s="633" t="s">
        <v>36440</v>
      </c>
      <c r="C1863" s="715" t="s">
        <v>165</v>
      </c>
      <c r="D1863" s="715" t="s">
        <v>40839</v>
      </c>
      <c r="E1863" s="716">
        <v>2.73</v>
      </c>
    </row>
    <row r="1864" spans="1:5" ht="29">
      <c r="A1864" s="715">
        <v>39244</v>
      </c>
      <c r="B1864" s="633" t="s">
        <v>36441</v>
      </c>
      <c r="C1864" s="715" t="s">
        <v>165</v>
      </c>
      <c r="D1864" s="715" t="s">
        <v>40839</v>
      </c>
      <c r="E1864" s="716">
        <v>3.69</v>
      </c>
    </row>
    <row r="1865" spans="1:5" ht="29">
      <c r="A1865" s="715">
        <v>39245</v>
      </c>
      <c r="B1865" s="633" t="s">
        <v>36442</v>
      </c>
      <c r="C1865" s="715" t="s">
        <v>165</v>
      </c>
      <c r="D1865" s="715" t="s">
        <v>40839</v>
      </c>
      <c r="E1865" s="716">
        <v>7.1</v>
      </c>
    </row>
    <row r="1866" spans="1:5" ht="29">
      <c r="A1866" s="715">
        <v>39255</v>
      </c>
      <c r="B1866" s="633" t="s">
        <v>36443</v>
      </c>
      <c r="C1866" s="715" t="s">
        <v>165</v>
      </c>
      <c r="D1866" s="715" t="s">
        <v>40839</v>
      </c>
      <c r="E1866" s="716">
        <v>19.66</v>
      </c>
    </row>
    <row r="1867" spans="1:5" ht="29">
      <c r="A1867" s="715">
        <v>39254</v>
      </c>
      <c r="B1867" s="633" t="s">
        <v>36444</v>
      </c>
      <c r="C1867" s="715" t="s">
        <v>165</v>
      </c>
      <c r="D1867" s="715" t="s">
        <v>40839</v>
      </c>
      <c r="E1867" s="716">
        <v>10.62</v>
      </c>
    </row>
    <row r="1868" spans="1:5" ht="29">
      <c r="A1868" s="715">
        <v>39253</v>
      </c>
      <c r="B1868" s="633" t="s">
        <v>36445</v>
      </c>
      <c r="C1868" s="715" t="s">
        <v>165</v>
      </c>
      <c r="D1868" s="715" t="s">
        <v>40839</v>
      </c>
      <c r="E1868" s="716">
        <v>13.54</v>
      </c>
    </row>
    <row r="1869" spans="1:5" ht="43">
      <c r="A1869" s="715">
        <v>39246</v>
      </c>
      <c r="B1869" s="633" t="s">
        <v>36446</v>
      </c>
      <c r="C1869" s="715" t="s">
        <v>165</v>
      </c>
      <c r="D1869" s="715" t="s">
        <v>40839</v>
      </c>
      <c r="E1869" s="716">
        <v>4.87</v>
      </c>
    </row>
    <row r="1870" spans="1:5" ht="43">
      <c r="A1870" s="715">
        <v>39247</v>
      </c>
      <c r="B1870" s="633" t="s">
        <v>36447</v>
      </c>
      <c r="C1870" s="715" t="s">
        <v>165</v>
      </c>
      <c r="D1870" s="715" t="s">
        <v>40839</v>
      </c>
      <c r="E1870" s="716">
        <v>4.24</v>
      </c>
    </row>
    <row r="1871" spans="1:5" ht="29">
      <c r="A1871" s="715">
        <v>2446</v>
      </c>
      <c r="B1871" s="633" t="s">
        <v>36448</v>
      </c>
      <c r="C1871" s="715" t="s">
        <v>165</v>
      </c>
      <c r="D1871" s="715" t="s">
        <v>28018</v>
      </c>
      <c r="E1871" s="716">
        <v>6.99</v>
      </c>
    </row>
    <row r="1872" spans="1:5" ht="29">
      <c r="A1872" s="715">
        <v>2442</v>
      </c>
      <c r="B1872" s="633" t="s">
        <v>36449</v>
      </c>
      <c r="C1872" s="715" t="s">
        <v>165</v>
      </c>
      <c r="D1872" s="715" t="s">
        <v>40839</v>
      </c>
      <c r="E1872" s="716">
        <v>9.7899999999999991</v>
      </c>
    </row>
    <row r="1873" spans="1:5" ht="29">
      <c r="A1873" s="715">
        <v>39248</v>
      </c>
      <c r="B1873" s="633" t="s">
        <v>36450</v>
      </c>
      <c r="C1873" s="715" t="s">
        <v>165</v>
      </c>
      <c r="D1873" s="715" t="s">
        <v>40839</v>
      </c>
      <c r="E1873" s="716">
        <v>13.65</v>
      </c>
    </row>
    <row r="1874" spans="1:5">
      <c r="A1874" s="715">
        <v>2438</v>
      </c>
      <c r="B1874" s="633" t="s">
        <v>36451</v>
      </c>
      <c r="C1874" s="715" t="s">
        <v>11</v>
      </c>
      <c r="D1874" s="715" t="s">
        <v>40839</v>
      </c>
      <c r="E1874" s="716">
        <v>41.1</v>
      </c>
    </row>
    <row r="1875" spans="1:5">
      <c r="A1875" s="715">
        <v>40922</v>
      </c>
      <c r="B1875" s="633" t="s">
        <v>36452</v>
      </c>
      <c r="C1875" s="715" t="s">
        <v>27629</v>
      </c>
      <c r="D1875" s="715" t="s">
        <v>40839</v>
      </c>
      <c r="E1875" s="716">
        <v>7201.13</v>
      </c>
    </row>
    <row r="1876" spans="1:5" ht="29">
      <c r="A1876" s="715">
        <v>44342</v>
      </c>
      <c r="B1876" s="633" t="s">
        <v>41338</v>
      </c>
      <c r="C1876" s="715" t="s">
        <v>103</v>
      </c>
      <c r="D1876" s="715" t="s">
        <v>40839</v>
      </c>
      <c r="E1876" s="716">
        <v>22.15</v>
      </c>
    </row>
    <row r="1877" spans="1:5" ht="29">
      <c r="A1877" s="715">
        <v>44343</v>
      </c>
      <c r="B1877" s="633" t="s">
        <v>41339</v>
      </c>
      <c r="C1877" s="715" t="s">
        <v>103</v>
      </c>
      <c r="D1877" s="715" t="s">
        <v>40839</v>
      </c>
      <c r="E1877" s="716">
        <v>24</v>
      </c>
    </row>
    <row r="1878" spans="1:5" ht="29">
      <c r="A1878" s="715">
        <v>44340</v>
      </c>
      <c r="B1878" s="633" t="s">
        <v>41340</v>
      </c>
      <c r="C1878" s="715" t="s">
        <v>103</v>
      </c>
      <c r="D1878" s="715" t="s">
        <v>40839</v>
      </c>
      <c r="E1878" s="716">
        <v>15.65</v>
      </c>
    </row>
    <row r="1879" spans="1:5" ht="29">
      <c r="A1879" s="715">
        <v>44341</v>
      </c>
      <c r="B1879" s="633" t="s">
        <v>41341</v>
      </c>
      <c r="C1879" s="715" t="s">
        <v>103</v>
      </c>
      <c r="D1879" s="715" t="s">
        <v>40839</v>
      </c>
      <c r="E1879" s="716">
        <v>18.12</v>
      </c>
    </row>
    <row r="1880" spans="1:5" ht="29">
      <c r="A1880" s="715">
        <v>44338</v>
      </c>
      <c r="B1880" s="633" t="s">
        <v>41342</v>
      </c>
      <c r="C1880" s="715" t="s">
        <v>103</v>
      </c>
      <c r="D1880" s="715" t="s">
        <v>40839</v>
      </c>
      <c r="E1880" s="716">
        <v>8.9600000000000009</v>
      </c>
    </row>
    <row r="1881" spans="1:5" ht="29">
      <c r="A1881" s="715">
        <v>44339</v>
      </c>
      <c r="B1881" s="633" t="s">
        <v>41343</v>
      </c>
      <c r="C1881" s="715" t="s">
        <v>103</v>
      </c>
      <c r="D1881" s="715" t="s">
        <v>40839</v>
      </c>
      <c r="E1881" s="716">
        <v>10.48</v>
      </c>
    </row>
    <row r="1882" spans="1:5" ht="29">
      <c r="A1882" s="715">
        <v>44336</v>
      </c>
      <c r="B1882" s="633" t="s">
        <v>41344</v>
      </c>
      <c r="C1882" s="715" t="s">
        <v>103</v>
      </c>
      <c r="D1882" s="715" t="s">
        <v>40839</v>
      </c>
      <c r="E1882" s="716">
        <v>3.05</v>
      </c>
    </row>
    <row r="1883" spans="1:5" ht="29">
      <c r="A1883" s="715">
        <v>41834</v>
      </c>
      <c r="B1883" s="633" t="s">
        <v>41345</v>
      </c>
      <c r="C1883" s="715" t="s">
        <v>103</v>
      </c>
      <c r="D1883" s="715" t="s">
        <v>40839</v>
      </c>
      <c r="E1883" s="716">
        <v>3.85</v>
      </c>
    </row>
    <row r="1884" spans="1:5" ht="29">
      <c r="A1884" s="715">
        <v>44337</v>
      </c>
      <c r="B1884" s="633" t="s">
        <v>41346</v>
      </c>
      <c r="C1884" s="715" t="s">
        <v>103</v>
      </c>
      <c r="D1884" s="715" t="s">
        <v>40839</v>
      </c>
      <c r="E1884" s="716">
        <v>3.85</v>
      </c>
    </row>
    <row r="1885" spans="1:5" ht="29">
      <c r="A1885" s="715">
        <v>43964</v>
      </c>
      <c r="B1885" s="633" t="s">
        <v>41347</v>
      </c>
      <c r="C1885" s="715" t="s">
        <v>103</v>
      </c>
      <c r="D1885" s="715" t="s">
        <v>40839</v>
      </c>
      <c r="E1885" s="716">
        <v>4.0599999999999996</v>
      </c>
    </row>
    <row r="1886" spans="1:5" ht="29">
      <c r="A1886" s="715">
        <v>44334</v>
      </c>
      <c r="B1886" s="633" t="s">
        <v>41348</v>
      </c>
      <c r="C1886" s="715" t="s">
        <v>103</v>
      </c>
      <c r="D1886" s="715" t="s">
        <v>40839</v>
      </c>
      <c r="E1886" s="716">
        <v>5.13</v>
      </c>
    </row>
    <row r="1887" spans="1:5" ht="29">
      <c r="A1887" s="715">
        <v>44344</v>
      </c>
      <c r="B1887" s="633" t="s">
        <v>41349</v>
      </c>
      <c r="C1887" s="715" t="s">
        <v>103</v>
      </c>
      <c r="D1887" s="715" t="s">
        <v>40839</v>
      </c>
      <c r="E1887" s="716">
        <v>2.74</v>
      </c>
    </row>
    <row r="1888" spans="1:5" ht="29">
      <c r="A1888" s="715">
        <v>44335</v>
      </c>
      <c r="B1888" s="633" t="s">
        <v>41350</v>
      </c>
      <c r="C1888" s="715" t="s">
        <v>103</v>
      </c>
      <c r="D1888" s="715" t="s">
        <v>40839</v>
      </c>
      <c r="E1888" s="716">
        <v>2.96</v>
      </c>
    </row>
    <row r="1889" spans="1:5" ht="29">
      <c r="A1889" s="715">
        <v>12624</v>
      </c>
      <c r="B1889" s="633" t="s">
        <v>36453</v>
      </c>
      <c r="C1889" s="715" t="s">
        <v>103</v>
      </c>
      <c r="D1889" s="715" t="s">
        <v>40839</v>
      </c>
      <c r="E1889" s="716">
        <v>38.549999999999997</v>
      </c>
    </row>
    <row r="1890" spans="1:5">
      <c r="A1890" s="715">
        <v>517</v>
      </c>
      <c r="B1890" s="633" t="s">
        <v>36454</v>
      </c>
      <c r="C1890" s="715" t="s">
        <v>153</v>
      </c>
      <c r="D1890" s="715" t="s">
        <v>40839</v>
      </c>
      <c r="E1890" s="716">
        <v>8.7200000000000006</v>
      </c>
    </row>
    <row r="1891" spans="1:5" ht="29">
      <c r="A1891" s="715">
        <v>37534</v>
      </c>
      <c r="B1891" s="633" t="s">
        <v>36455</v>
      </c>
      <c r="C1891" s="715" t="s">
        <v>207</v>
      </c>
      <c r="D1891" s="715" t="s">
        <v>40839</v>
      </c>
      <c r="E1891" s="716">
        <v>21.64</v>
      </c>
    </row>
    <row r="1892" spans="1:5" ht="29">
      <c r="A1892" s="715">
        <v>37535</v>
      </c>
      <c r="B1892" s="633" t="s">
        <v>36456</v>
      </c>
      <c r="C1892" s="715" t="s">
        <v>207</v>
      </c>
      <c r="D1892" s="715" t="s">
        <v>40839</v>
      </c>
      <c r="E1892" s="716">
        <v>21.64</v>
      </c>
    </row>
    <row r="1893" spans="1:5" ht="29">
      <c r="A1893" s="715">
        <v>37533</v>
      </c>
      <c r="B1893" s="633" t="s">
        <v>36457</v>
      </c>
      <c r="C1893" s="715" t="s">
        <v>207</v>
      </c>
      <c r="D1893" s="715" t="s">
        <v>40839</v>
      </c>
      <c r="E1893" s="716">
        <v>21.64</v>
      </c>
    </row>
    <row r="1894" spans="1:5" ht="29">
      <c r="A1894" s="715">
        <v>37537</v>
      </c>
      <c r="B1894" s="633" t="s">
        <v>36458</v>
      </c>
      <c r="C1894" s="715" t="s">
        <v>207</v>
      </c>
      <c r="D1894" s="715" t="s">
        <v>40839</v>
      </c>
      <c r="E1894" s="716">
        <v>16.38</v>
      </c>
    </row>
    <row r="1895" spans="1:5" ht="29">
      <c r="A1895" s="715">
        <v>37536</v>
      </c>
      <c r="B1895" s="633" t="s">
        <v>36459</v>
      </c>
      <c r="C1895" s="715" t="s">
        <v>207</v>
      </c>
      <c r="D1895" s="715" t="s">
        <v>40839</v>
      </c>
      <c r="E1895" s="716">
        <v>16.38</v>
      </c>
    </row>
    <row r="1896" spans="1:5" ht="29">
      <c r="A1896" s="715">
        <v>37532</v>
      </c>
      <c r="B1896" s="633" t="s">
        <v>36460</v>
      </c>
      <c r="C1896" s="715" t="s">
        <v>207</v>
      </c>
      <c r="D1896" s="715" t="s">
        <v>28018</v>
      </c>
      <c r="E1896" s="716">
        <v>16.38</v>
      </c>
    </row>
    <row r="1897" spans="1:5">
      <c r="A1897" s="715">
        <v>2696</v>
      </c>
      <c r="B1897" s="633" t="s">
        <v>36461</v>
      </c>
      <c r="C1897" s="715" t="s">
        <v>11</v>
      </c>
      <c r="D1897" s="715" t="s">
        <v>28018</v>
      </c>
      <c r="E1897" s="716">
        <v>30.89</v>
      </c>
    </row>
    <row r="1898" spans="1:5">
      <c r="A1898" s="715">
        <v>40928</v>
      </c>
      <c r="B1898" s="633" t="s">
        <v>36462</v>
      </c>
      <c r="C1898" s="715" t="s">
        <v>27629</v>
      </c>
      <c r="D1898" s="715" t="s">
        <v>40839</v>
      </c>
      <c r="E1898" s="716">
        <v>5411.68</v>
      </c>
    </row>
    <row r="1899" spans="1:5">
      <c r="A1899" s="715">
        <v>4083</v>
      </c>
      <c r="B1899" s="633" t="s">
        <v>36463</v>
      </c>
      <c r="C1899" s="715" t="s">
        <v>11</v>
      </c>
      <c r="D1899" s="715" t="s">
        <v>28018</v>
      </c>
      <c r="E1899" s="716">
        <v>46.01</v>
      </c>
    </row>
    <row r="1900" spans="1:5">
      <c r="A1900" s="715">
        <v>40818</v>
      </c>
      <c r="B1900" s="633" t="s">
        <v>36464</v>
      </c>
      <c r="C1900" s="715" t="s">
        <v>27629</v>
      </c>
      <c r="D1900" s="715" t="s">
        <v>40839</v>
      </c>
      <c r="E1900" s="716">
        <v>8059.15</v>
      </c>
    </row>
    <row r="1901" spans="1:5">
      <c r="A1901" s="715">
        <v>43146</v>
      </c>
      <c r="B1901" s="633" t="s">
        <v>36465</v>
      </c>
      <c r="C1901" s="715" t="s">
        <v>207</v>
      </c>
      <c r="D1901" s="715" t="s">
        <v>40839</v>
      </c>
      <c r="E1901" s="716">
        <v>8.75</v>
      </c>
    </row>
    <row r="1902" spans="1:5">
      <c r="A1902" s="715">
        <v>2705</v>
      </c>
      <c r="B1902" s="633" t="s">
        <v>36466</v>
      </c>
      <c r="C1902" s="715" t="s">
        <v>32796</v>
      </c>
      <c r="D1902" s="715" t="s">
        <v>40839</v>
      </c>
      <c r="E1902" s="716">
        <v>0.86</v>
      </c>
    </row>
    <row r="1903" spans="1:5" ht="29">
      <c r="A1903" s="715">
        <v>14250</v>
      </c>
      <c r="B1903" s="633" t="s">
        <v>36467</v>
      </c>
      <c r="C1903" s="715" t="s">
        <v>32796</v>
      </c>
      <c r="D1903" s="715" t="s">
        <v>28018</v>
      </c>
      <c r="E1903" s="716">
        <v>0.88</v>
      </c>
    </row>
    <row r="1904" spans="1:5">
      <c r="A1904" s="715">
        <v>11683</v>
      </c>
      <c r="B1904" s="633" t="s">
        <v>36468</v>
      </c>
      <c r="C1904" s="715" t="s">
        <v>103</v>
      </c>
      <c r="D1904" s="715" t="s">
        <v>40839</v>
      </c>
      <c r="E1904" s="716">
        <v>41.98</v>
      </c>
    </row>
    <row r="1905" spans="1:5">
      <c r="A1905" s="715">
        <v>11684</v>
      </c>
      <c r="B1905" s="633" t="s">
        <v>36469</v>
      </c>
      <c r="C1905" s="715" t="s">
        <v>103</v>
      </c>
      <c r="D1905" s="715" t="s">
        <v>40839</v>
      </c>
      <c r="E1905" s="716">
        <v>45.95</v>
      </c>
    </row>
    <row r="1906" spans="1:5">
      <c r="A1906" s="715">
        <v>6141</v>
      </c>
      <c r="B1906" s="633" t="s">
        <v>36470</v>
      </c>
      <c r="C1906" s="715" t="s">
        <v>103</v>
      </c>
      <c r="D1906" s="715" t="s">
        <v>40839</v>
      </c>
      <c r="E1906" s="716">
        <v>6.05</v>
      </c>
    </row>
    <row r="1907" spans="1:5">
      <c r="A1907" s="715">
        <v>11681</v>
      </c>
      <c r="B1907" s="633" t="s">
        <v>36471</v>
      </c>
      <c r="C1907" s="715" t="s">
        <v>103</v>
      </c>
      <c r="D1907" s="715" t="s">
        <v>40839</v>
      </c>
      <c r="E1907" s="716">
        <v>7.63</v>
      </c>
    </row>
    <row r="1908" spans="1:5">
      <c r="A1908" s="715">
        <v>2706</v>
      </c>
      <c r="B1908" s="633" t="s">
        <v>36472</v>
      </c>
      <c r="C1908" s="715" t="s">
        <v>11</v>
      </c>
      <c r="D1908" s="715" t="s">
        <v>28018</v>
      </c>
      <c r="E1908" s="716">
        <v>134.66</v>
      </c>
    </row>
    <row r="1909" spans="1:5">
      <c r="A1909" s="715">
        <v>40811</v>
      </c>
      <c r="B1909" s="633" t="s">
        <v>36473</v>
      </c>
      <c r="C1909" s="715" t="s">
        <v>27629</v>
      </c>
      <c r="D1909" s="715" t="s">
        <v>40839</v>
      </c>
      <c r="E1909" s="716">
        <v>23586.2</v>
      </c>
    </row>
    <row r="1910" spans="1:5">
      <c r="A1910" s="715">
        <v>2707</v>
      </c>
      <c r="B1910" s="633" t="s">
        <v>36474</v>
      </c>
      <c r="C1910" s="715" t="s">
        <v>11</v>
      </c>
      <c r="D1910" s="715" t="s">
        <v>40839</v>
      </c>
      <c r="E1910" s="716">
        <v>136.97999999999999</v>
      </c>
    </row>
    <row r="1911" spans="1:5">
      <c r="A1911" s="715">
        <v>40813</v>
      </c>
      <c r="B1911" s="633" t="s">
        <v>36475</v>
      </c>
      <c r="C1911" s="715" t="s">
        <v>27629</v>
      </c>
      <c r="D1911" s="715" t="s">
        <v>40839</v>
      </c>
      <c r="E1911" s="716">
        <v>23993.37</v>
      </c>
    </row>
    <row r="1912" spans="1:5">
      <c r="A1912" s="715">
        <v>2708</v>
      </c>
      <c r="B1912" s="633" t="s">
        <v>36476</v>
      </c>
      <c r="C1912" s="715" t="s">
        <v>11</v>
      </c>
      <c r="D1912" s="715" t="s">
        <v>40839</v>
      </c>
      <c r="E1912" s="716">
        <v>191.87</v>
      </c>
    </row>
    <row r="1913" spans="1:5">
      <c r="A1913" s="715">
        <v>40814</v>
      </c>
      <c r="B1913" s="633" t="s">
        <v>36477</v>
      </c>
      <c r="C1913" s="715" t="s">
        <v>27629</v>
      </c>
      <c r="D1913" s="715" t="s">
        <v>40839</v>
      </c>
      <c r="E1913" s="716">
        <v>33609.839999999997</v>
      </c>
    </row>
    <row r="1914" spans="1:5">
      <c r="A1914" s="715">
        <v>38403</v>
      </c>
      <c r="B1914" s="633" t="s">
        <v>36478</v>
      </c>
      <c r="C1914" s="715" t="s">
        <v>103</v>
      </c>
      <c r="D1914" s="715" t="s">
        <v>40839</v>
      </c>
      <c r="E1914" s="716">
        <v>73.98</v>
      </c>
    </row>
    <row r="1915" spans="1:5" ht="29">
      <c r="A1915" s="715">
        <v>43482</v>
      </c>
      <c r="B1915" s="633" t="s">
        <v>36479</v>
      </c>
      <c r="C1915" s="715" t="s">
        <v>11</v>
      </c>
      <c r="D1915" s="715" t="s">
        <v>28018</v>
      </c>
      <c r="E1915" s="716">
        <v>0.75</v>
      </c>
    </row>
    <row r="1916" spans="1:5" ht="29">
      <c r="A1916" s="715">
        <v>43494</v>
      </c>
      <c r="B1916" s="633" t="s">
        <v>36480</v>
      </c>
      <c r="C1916" s="715" t="s">
        <v>27629</v>
      </c>
      <c r="D1916" s="715" t="s">
        <v>28018</v>
      </c>
      <c r="E1916" s="716">
        <v>124.49</v>
      </c>
    </row>
    <row r="1917" spans="1:5" ht="29">
      <c r="A1917" s="715">
        <v>43483</v>
      </c>
      <c r="B1917" s="633" t="s">
        <v>36481</v>
      </c>
      <c r="C1917" s="715" t="s">
        <v>11</v>
      </c>
      <c r="D1917" s="715" t="s">
        <v>28018</v>
      </c>
      <c r="E1917" s="716">
        <v>1.45</v>
      </c>
    </row>
    <row r="1918" spans="1:5" ht="29">
      <c r="A1918" s="715">
        <v>43495</v>
      </c>
      <c r="B1918" s="633" t="s">
        <v>36482</v>
      </c>
      <c r="C1918" s="715" t="s">
        <v>27629</v>
      </c>
      <c r="D1918" s="715" t="s">
        <v>28018</v>
      </c>
      <c r="E1918" s="716">
        <v>240.95</v>
      </c>
    </row>
    <row r="1919" spans="1:5" ht="29">
      <c r="A1919" s="715">
        <v>43484</v>
      </c>
      <c r="B1919" s="633" t="s">
        <v>36483</v>
      </c>
      <c r="C1919" s="715" t="s">
        <v>11</v>
      </c>
      <c r="D1919" s="715" t="s">
        <v>28018</v>
      </c>
      <c r="E1919" s="716">
        <v>1.38</v>
      </c>
    </row>
    <row r="1920" spans="1:5" ht="29">
      <c r="A1920" s="715">
        <v>43496</v>
      </c>
      <c r="B1920" s="633" t="s">
        <v>36484</v>
      </c>
      <c r="C1920" s="715" t="s">
        <v>27629</v>
      </c>
      <c r="D1920" s="715" t="s">
        <v>28018</v>
      </c>
      <c r="E1920" s="716">
        <v>229.76</v>
      </c>
    </row>
    <row r="1921" spans="1:5" ht="29">
      <c r="A1921" s="715">
        <v>43485</v>
      </c>
      <c r="B1921" s="633" t="s">
        <v>36485</v>
      </c>
      <c r="C1921" s="715" t="s">
        <v>11</v>
      </c>
      <c r="D1921" s="715" t="s">
        <v>28018</v>
      </c>
      <c r="E1921" s="716">
        <v>1.23</v>
      </c>
    </row>
    <row r="1922" spans="1:5" ht="29">
      <c r="A1922" s="715">
        <v>43497</v>
      </c>
      <c r="B1922" s="633" t="s">
        <v>36486</v>
      </c>
      <c r="C1922" s="715" t="s">
        <v>27629</v>
      </c>
      <c r="D1922" s="715" t="s">
        <v>28018</v>
      </c>
      <c r="E1922" s="716">
        <v>205.62</v>
      </c>
    </row>
    <row r="1923" spans="1:5" ht="29">
      <c r="A1923" s="715">
        <v>43487</v>
      </c>
      <c r="B1923" s="633" t="s">
        <v>36487</v>
      </c>
      <c r="C1923" s="715" t="s">
        <v>11</v>
      </c>
      <c r="D1923" s="715" t="s">
        <v>28018</v>
      </c>
      <c r="E1923" s="716">
        <v>1.27</v>
      </c>
    </row>
    <row r="1924" spans="1:5" ht="29">
      <c r="A1924" s="715">
        <v>43499</v>
      </c>
      <c r="B1924" s="633" t="s">
        <v>36488</v>
      </c>
      <c r="C1924" s="715" t="s">
        <v>27629</v>
      </c>
      <c r="D1924" s="715" t="s">
        <v>28018</v>
      </c>
      <c r="E1924" s="716">
        <v>212.36</v>
      </c>
    </row>
    <row r="1925" spans="1:5" ht="29">
      <c r="A1925" s="715">
        <v>43486</v>
      </c>
      <c r="B1925" s="633" t="s">
        <v>36489</v>
      </c>
      <c r="C1925" s="715" t="s">
        <v>11</v>
      </c>
      <c r="D1925" s="715" t="s">
        <v>28018</v>
      </c>
      <c r="E1925" s="716">
        <v>0.92</v>
      </c>
    </row>
    <row r="1926" spans="1:5" ht="29">
      <c r="A1926" s="715">
        <v>43498</v>
      </c>
      <c r="B1926" s="633" t="s">
        <v>36490</v>
      </c>
      <c r="C1926" s="715" t="s">
        <v>27629</v>
      </c>
      <c r="D1926" s="715" t="s">
        <v>28018</v>
      </c>
      <c r="E1926" s="716">
        <v>152.93</v>
      </c>
    </row>
    <row r="1927" spans="1:5" ht="29">
      <c r="A1927" s="715">
        <v>43488</v>
      </c>
      <c r="B1927" s="633" t="s">
        <v>36491</v>
      </c>
      <c r="C1927" s="715" t="s">
        <v>11</v>
      </c>
      <c r="D1927" s="715" t="s">
        <v>28018</v>
      </c>
      <c r="E1927" s="716">
        <v>0.92</v>
      </c>
    </row>
    <row r="1928" spans="1:5" ht="29">
      <c r="A1928" s="715">
        <v>43500</v>
      </c>
      <c r="B1928" s="633" t="s">
        <v>36492</v>
      </c>
      <c r="C1928" s="715" t="s">
        <v>27629</v>
      </c>
      <c r="D1928" s="715" t="s">
        <v>28018</v>
      </c>
      <c r="E1928" s="716">
        <v>153.80000000000001</v>
      </c>
    </row>
    <row r="1929" spans="1:5">
      <c r="A1929" s="715">
        <v>43489</v>
      </c>
      <c r="B1929" s="633" t="s">
        <v>36493</v>
      </c>
      <c r="C1929" s="715" t="s">
        <v>11</v>
      </c>
      <c r="D1929" s="715" t="s">
        <v>28018</v>
      </c>
      <c r="E1929" s="716">
        <v>1.47</v>
      </c>
    </row>
    <row r="1930" spans="1:5" ht="29">
      <c r="A1930" s="715">
        <v>43501</v>
      </c>
      <c r="B1930" s="633" t="s">
        <v>36494</v>
      </c>
      <c r="C1930" s="715" t="s">
        <v>27629</v>
      </c>
      <c r="D1930" s="715" t="s">
        <v>28018</v>
      </c>
      <c r="E1930" s="716">
        <v>244.86</v>
      </c>
    </row>
    <row r="1931" spans="1:5">
      <c r="A1931" s="715">
        <v>43490</v>
      </c>
      <c r="B1931" s="633" t="s">
        <v>36495</v>
      </c>
      <c r="C1931" s="715" t="s">
        <v>11</v>
      </c>
      <c r="D1931" s="715" t="s">
        <v>28018</v>
      </c>
      <c r="E1931" s="716">
        <v>1.87</v>
      </c>
    </row>
    <row r="1932" spans="1:5">
      <c r="A1932" s="715">
        <v>43502</v>
      </c>
      <c r="B1932" s="633" t="s">
        <v>36496</v>
      </c>
      <c r="C1932" s="715" t="s">
        <v>27629</v>
      </c>
      <c r="D1932" s="715" t="s">
        <v>28018</v>
      </c>
      <c r="E1932" s="716">
        <v>311.25</v>
      </c>
    </row>
    <row r="1933" spans="1:5">
      <c r="A1933" s="715">
        <v>43491</v>
      </c>
      <c r="B1933" s="633" t="s">
        <v>36497</v>
      </c>
      <c r="C1933" s="715" t="s">
        <v>11</v>
      </c>
      <c r="D1933" s="715" t="s">
        <v>28018</v>
      </c>
      <c r="E1933" s="716">
        <v>1.54</v>
      </c>
    </row>
    <row r="1934" spans="1:5" ht="29">
      <c r="A1934" s="715">
        <v>43503</v>
      </c>
      <c r="B1934" s="633" t="s">
        <v>36498</v>
      </c>
      <c r="C1934" s="715" t="s">
        <v>27629</v>
      </c>
      <c r="D1934" s="715" t="s">
        <v>28018</v>
      </c>
      <c r="E1934" s="716">
        <v>256.38</v>
      </c>
    </row>
    <row r="1935" spans="1:5">
      <c r="A1935" s="715">
        <v>43492</v>
      </c>
      <c r="B1935" s="633" t="s">
        <v>36499</v>
      </c>
      <c r="C1935" s="715" t="s">
        <v>11</v>
      </c>
      <c r="D1935" s="715" t="s">
        <v>28018</v>
      </c>
      <c r="E1935" s="716">
        <v>2.2400000000000002</v>
      </c>
    </row>
    <row r="1936" spans="1:5" ht="29">
      <c r="A1936" s="715">
        <v>43504</v>
      </c>
      <c r="B1936" s="633" t="s">
        <v>36500</v>
      </c>
      <c r="C1936" s="715" t="s">
        <v>27629</v>
      </c>
      <c r="D1936" s="715" t="s">
        <v>28018</v>
      </c>
      <c r="E1936" s="716">
        <v>373.09</v>
      </c>
    </row>
    <row r="1937" spans="1:5" ht="29">
      <c r="A1937" s="715">
        <v>43493</v>
      </c>
      <c r="B1937" s="633" t="s">
        <v>36501</v>
      </c>
      <c r="C1937" s="715" t="s">
        <v>11</v>
      </c>
      <c r="D1937" s="715" t="s">
        <v>28018</v>
      </c>
      <c r="E1937" s="716">
        <v>0.75</v>
      </c>
    </row>
    <row r="1938" spans="1:5" ht="29">
      <c r="A1938" s="715">
        <v>43505</v>
      </c>
      <c r="B1938" s="633" t="s">
        <v>36502</v>
      </c>
      <c r="C1938" s="715" t="s">
        <v>27629</v>
      </c>
      <c r="D1938" s="715" t="s">
        <v>28018</v>
      </c>
      <c r="E1938" s="716">
        <v>124.49</v>
      </c>
    </row>
    <row r="1939" spans="1:5" ht="29">
      <c r="A1939" s="715">
        <v>38476</v>
      </c>
      <c r="B1939" s="633" t="s">
        <v>36503</v>
      </c>
      <c r="C1939" s="715" t="s">
        <v>103</v>
      </c>
      <c r="D1939" s="715" t="s">
        <v>40839</v>
      </c>
      <c r="E1939" s="716">
        <v>283.14999999999998</v>
      </c>
    </row>
    <row r="1940" spans="1:5" ht="43">
      <c r="A1940" s="715">
        <v>38477</v>
      </c>
      <c r="B1940" s="633" t="s">
        <v>36504</v>
      </c>
      <c r="C1940" s="715" t="s">
        <v>103</v>
      </c>
      <c r="D1940" s="715" t="s">
        <v>40839</v>
      </c>
      <c r="E1940" s="716">
        <v>750.81</v>
      </c>
    </row>
    <row r="1941" spans="1:5" ht="29">
      <c r="A1941" s="715">
        <v>45112</v>
      </c>
      <c r="B1941" s="633" t="s">
        <v>36505</v>
      </c>
      <c r="C1941" s="715" t="s">
        <v>103</v>
      </c>
      <c r="D1941" s="715" t="s">
        <v>40839</v>
      </c>
      <c r="E1941" s="716">
        <v>1106276.27</v>
      </c>
    </row>
    <row r="1942" spans="1:5" ht="29">
      <c r="A1942" s="715">
        <v>14525</v>
      </c>
      <c r="B1942" s="633" t="s">
        <v>36506</v>
      </c>
      <c r="C1942" s="715" t="s">
        <v>103</v>
      </c>
      <c r="D1942" s="715" t="s">
        <v>40839</v>
      </c>
      <c r="E1942" s="716">
        <v>961801.77</v>
      </c>
    </row>
    <row r="1943" spans="1:5" ht="29">
      <c r="A1943" s="715">
        <v>10685</v>
      </c>
      <c r="B1943" s="633" t="s">
        <v>36507</v>
      </c>
      <c r="C1943" s="715" t="s">
        <v>103</v>
      </c>
      <c r="D1943" s="715" t="s">
        <v>28018</v>
      </c>
      <c r="E1943" s="716">
        <v>850000</v>
      </c>
    </row>
    <row r="1944" spans="1:5" ht="43">
      <c r="A1944" s="715">
        <v>40636</v>
      </c>
      <c r="B1944" s="633" t="s">
        <v>36508</v>
      </c>
      <c r="C1944" s="715" t="s">
        <v>103</v>
      </c>
      <c r="D1944" s="715" t="s">
        <v>40839</v>
      </c>
      <c r="E1944" s="716">
        <v>1177036.3899999999</v>
      </c>
    </row>
    <row r="1945" spans="1:5">
      <c r="A1945" s="715">
        <v>4111</v>
      </c>
      <c r="B1945" s="633" t="s">
        <v>36509</v>
      </c>
      <c r="C1945" s="715" t="s">
        <v>103</v>
      </c>
      <c r="D1945" s="715" t="s">
        <v>40839</v>
      </c>
      <c r="E1945" s="716">
        <v>47.59</v>
      </c>
    </row>
    <row r="1946" spans="1:5" ht="29">
      <c r="A1946" s="715">
        <v>44538</v>
      </c>
      <c r="B1946" s="633" t="s">
        <v>41016</v>
      </c>
      <c r="C1946" s="715" t="s">
        <v>103</v>
      </c>
      <c r="D1946" s="715" t="s">
        <v>40839</v>
      </c>
      <c r="E1946" s="716">
        <v>62.29</v>
      </c>
    </row>
    <row r="1947" spans="1:5">
      <c r="A1947" s="715">
        <v>12</v>
      </c>
      <c r="B1947" s="633" t="s">
        <v>36510</v>
      </c>
      <c r="C1947" s="715" t="s">
        <v>103</v>
      </c>
      <c r="D1947" s="715" t="s">
        <v>40839</v>
      </c>
      <c r="E1947" s="716">
        <v>7.85</v>
      </c>
    </row>
    <row r="1948" spans="1:5" ht="29">
      <c r="A1948" s="715">
        <v>37554</v>
      </c>
      <c r="B1948" s="633" t="s">
        <v>36511</v>
      </c>
      <c r="C1948" s="715" t="s">
        <v>103</v>
      </c>
      <c r="D1948" s="715" t="s">
        <v>40839</v>
      </c>
      <c r="E1948" s="716">
        <v>407.51</v>
      </c>
    </row>
    <row r="1949" spans="1:5" ht="29">
      <c r="A1949" s="715">
        <v>37555</v>
      </c>
      <c r="B1949" s="633" t="s">
        <v>36512</v>
      </c>
      <c r="C1949" s="715" t="s">
        <v>103</v>
      </c>
      <c r="D1949" s="715" t="s">
        <v>40839</v>
      </c>
      <c r="E1949" s="716">
        <v>495.71</v>
      </c>
    </row>
    <row r="1950" spans="1:5" ht="29">
      <c r="A1950" s="715">
        <v>10902</v>
      </c>
      <c r="B1950" s="633" t="s">
        <v>36513</v>
      </c>
      <c r="C1950" s="715" t="s">
        <v>103</v>
      </c>
      <c r="D1950" s="715" t="s">
        <v>40839</v>
      </c>
      <c r="E1950" s="716">
        <v>124.39</v>
      </c>
    </row>
    <row r="1951" spans="1:5" ht="29">
      <c r="A1951" s="715">
        <v>20965</v>
      </c>
      <c r="B1951" s="633" t="s">
        <v>36514</v>
      </c>
      <c r="C1951" s="715" t="s">
        <v>103</v>
      </c>
      <c r="D1951" s="715" t="s">
        <v>40839</v>
      </c>
      <c r="E1951" s="716">
        <v>125.54</v>
      </c>
    </row>
    <row r="1952" spans="1:5" ht="29">
      <c r="A1952" s="715">
        <v>20966</v>
      </c>
      <c r="B1952" s="633" t="s">
        <v>36515</v>
      </c>
      <c r="C1952" s="715" t="s">
        <v>103</v>
      </c>
      <c r="D1952" s="715" t="s">
        <v>40839</v>
      </c>
      <c r="E1952" s="716">
        <v>135.18</v>
      </c>
    </row>
    <row r="1953" spans="1:5" ht="29">
      <c r="A1953" s="715">
        <v>10903</v>
      </c>
      <c r="B1953" s="633" t="s">
        <v>36516</v>
      </c>
      <c r="C1953" s="715" t="s">
        <v>103</v>
      </c>
      <c r="D1953" s="715" t="s">
        <v>40839</v>
      </c>
      <c r="E1953" s="716">
        <v>204.89</v>
      </c>
    </row>
    <row r="1954" spans="1:5" ht="29">
      <c r="A1954" s="715">
        <v>20967</v>
      </c>
      <c r="B1954" s="633" t="s">
        <v>36517</v>
      </c>
      <c r="C1954" s="715" t="s">
        <v>103</v>
      </c>
      <c r="D1954" s="715" t="s">
        <v>40839</v>
      </c>
      <c r="E1954" s="716">
        <v>204.89</v>
      </c>
    </row>
    <row r="1955" spans="1:5" ht="29">
      <c r="A1955" s="715">
        <v>20968</v>
      </c>
      <c r="B1955" s="633" t="s">
        <v>36518</v>
      </c>
      <c r="C1955" s="715" t="s">
        <v>103</v>
      </c>
      <c r="D1955" s="715" t="s">
        <v>40839</v>
      </c>
      <c r="E1955" s="716">
        <v>224.72</v>
      </c>
    </row>
    <row r="1956" spans="1:5" ht="29">
      <c r="A1956" s="715">
        <v>39017</v>
      </c>
      <c r="B1956" s="633" t="s">
        <v>36519</v>
      </c>
      <c r="C1956" s="715" t="s">
        <v>103</v>
      </c>
      <c r="D1956" s="715" t="s">
        <v>40839</v>
      </c>
      <c r="E1956" s="716">
        <v>0.22</v>
      </c>
    </row>
    <row r="1957" spans="1:5" ht="29">
      <c r="A1957" s="715">
        <v>39315</v>
      </c>
      <c r="B1957" s="633" t="s">
        <v>36520</v>
      </c>
      <c r="C1957" s="715" t="s">
        <v>103</v>
      </c>
      <c r="D1957" s="715" t="s">
        <v>40839</v>
      </c>
      <c r="E1957" s="716">
        <v>0.36</v>
      </c>
    </row>
    <row r="1958" spans="1:5" ht="29">
      <c r="A1958" s="715">
        <v>39016</v>
      </c>
      <c r="B1958" s="633" t="s">
        <v>36521</v>
      </c>
      <c r="C1958" s="715" t="s">
        <v>103</v>
      </c>
      <c r="D1958" s="715" t="s">
        <v>40839</v>
      </c>
      <c r="E1958" s="716">
        <v>0.36</v>
      </c>
    </row>
    <row r="1959" spans="1:5" ht="29">
      <c r="A1959" s="715">
        <v>39481</v>
      </c>
      <c r="B1959" s="633" t="s">
        <v>36522</v>
      </c>
      <c r="C1959" s="715" t="s">
        <v>103</v>
      </c>
      <c r="D1959" s="715" t="s">
        <v>40839</v>
      </c>
      <c r="E1959" s="716">
        <v>1.76</v>
      </c>
    </row>
    <row r="1960" spans="1:5" ht="29">
      <c r="A1960" s="715">
        <v>39013</v>
      </c>
      <c r="B1960" s="633" t="s">
        <v>36523</v>
      </c>
      <c r="C1960" s="715" t="s">
        <v>103</v>
      </c>
      <c r="D1960" s="715" t="s">
        <v>40839</v>
      </c>
      <c r="E1960" s="716">
        <v>1.5</v>
      </c>
    </row>
    <row r="1961" spans="1:5" ht="29">
      <c r="A1961" s="715">
        <v>44919</v>
      </c>
      <c r="B1961" s="633" t="s">
        <v>36524</v>
      </c>
      <c r="C1961" s="715" t="s">
        <v>103</v>
      </c>
      <c r="D1961" s="715" t="s">
        <v>40839</v>
      </c>
      <c r="E1961" s="716">
        <v>2.8</v>
      </c>
    </row>
    <row r="1962" spans="1:5" ht="29">
      <c r="A1962" s="715">
        <v>40433</v>
      </c>
      <c r="B1962" s="633" t="s">
        <v>36525</v>
      </c>
      <c r="C1962" s="715" t="s">
        <v>103</v>
      </c>
      <c r="D1962" s="715" t="s">
        <v>40839</v>
      </c>
      <c r="E1962" s="716">
        <v>1.55</v>
      </c>
    </row>
    <row r="1963" spans="1:5" ht="29">
      <c r="A1963" s="715">
        <v>20219</v>
      </c>
      <c r="B1963" s="633" t="s">
        <v>36526</v>
      </c>
      <c r="C1963" s="715" t="s">
        <v>103</v>
      </c>
      <c r="D1963" s="715" t="s">
        <v>28018</v>
      </c>
      <c r="E1963" s="716">
        <v>131780</v>
      </c>
    </row>
    <row r="1964" spans="1:5" ht="43">
      <c r="A1964" s="715">
        <v>36484</v>
      </c>
      <c r="B1964" s="633" t="s">
        <v>36527</v>
      </c>
      <c r="C1964" s="715" t="s">
        <v>103</v>
      </c>
      <c r="D1964" s="715" t="s">
        <v>40839</v>
      </c>
      <c r="E1964" s="716">
        <v>279744.94</v>
      </c>
    </row>
    <row r="1965" spans="1:5">
      <c r="A1965" s="715">
        <v>38368</v>
      </c>
      <c r="B1965" s="633" t="s">
        <v>36528</v>
      </c>
      <c r="C1965" s="715" t="s">
        <v>103</v>
      </c>
      <c r="D1965" s="715" t="s">
        <v>40839</v>
      </c>
      <c r="E1965" s="716">
        <v>7.23</v>
      </c>
    </row>
    <row r="1966" spans="1:5">
      <c r="A1966" s="715">
        <v>38367</v>
      </c>
      <c r="B1966" s="633" t="s">
        <v>36529</v>
      </c>
      <c r="C1966" s="715" t="s">
        <v>103</v>
      </c>
      <c r="D1966" s="715" t="s">
        <v>40839</v>
      </c>
      <c r="E1966" s="716">
        <v>14.02</v>
      </c>
    </row>
    <row r="1967" spans="1:5">
      <c r="A1967" s="715">
        <v>38091</v>
      </c>
      <c r="B1967" s="633" t="s">
        <v>36530</v>
      </c>
      <c r="C1967" s="715" t="s">
        <v>103</v>
      </c>
      <c r="D1967" s="715" t="s">
        <v>40839</v>
      </c>
      <c r="E1967" s="716">
        <v>2.7</v>
      </c>
    </row>
    <row r="1968" spans="1:5">
      <c r="A1968" s="715">
        <v>38095</v>
      </c>
      <c r="B1968" s="633" t="s">
        <v>36531</v>
      </c>
      <c r="C1968" s="715" t="s">
        <v>103</v>
      </c>
      <c r="D1968" s="715" t="s">
        <v>40839</v>
      </c>
      <c r="E1968" s="716">
        <v>5.72</v>
      </c>
    </row>
    <row r="1969" spans="1:5" ht="29">
      <c r="A1969" s="715">
        <v>38092</v>
      </c>
      <c r="B1969" s="633" t="s">
        <v>36532</v>
      </c>
      <c r="C1969" s="715" t="s">
        <v>103</v>
      </c>
      <c r="D1969" s="715" t="s">
        <v>40839</v>
      </c>
      <c r="E1969" s="716">
        <v>2.56</v>
      </c>
    </row>
    <row r="1970" spans="1:5" ht="29">
      <c r="A1970" s="715">
        <v>38093</v>
      </c>
      <c r="B1970" s="633" t="s">
        <v>36533</v>
      </c>
      <c r="C1970" s="715" t="s">
        <v>103</v>
      </c>
      <c r="D1970" s="715" t="s">
        <v>40839</v>
      </c>
      <c r="E1970" s="716">
        <v>2.65</v>
      </c>
    </row>
    <row r="1971" spans="1:5" ht="29">
      <c r="A1971" s="715">
        <v>38096</v>
      </c>
      <c r="B1971" s="633" t="s">
        <v>36534</v>
      </c>
      <c r="C1971" s="715" t="s">
        <v>103</v>
      </c>
      <c r="D1971" s="715" t="s">
        <v>40839</v>
      </c>
      <c r="E1971" s="716">
        <v>6.15</v>
      </c>
    </row>
    <row r="1972" spans="1:5" ht="29">
      <c r="A1972" s="715">
        <v>38094</v>
      </c>
      <c r="B1972" s="633" t="s">
        <v>36535</v>
      </c>
      <c r="C1972" s="715" t="s">
        <v>103</v>
      </c>
      <c r="D1972" s="715" t="s">
        <v>40839</v>
      </c>
      <c r="E1972" s="716">
        <v>3.25</v>
      </c>
    </row>
    <row r="1973" spans="1:5" ht="29">
      <c r="A1973" s="715">
        <v>38097</v>
      </c>
      <c r="B1973" s="633" t="s">
        <v>36536</v>
      </c>
      <c r="C1973" s="715" t="s">
        <v>103</v>
      </c>
      <c r="D1973" s="715" t="s">
        <v>40839</v>
      </c>
      <c r="E1973" s="716">
        <v>6.6</v>
      </c>
    </row>
    <row r="1974" spans="1:5" ht="29">
      <c r="A1974" s="715">
        <v>38098</v>
      </c>
      <c r="B1974" s="633" t="s">
        <v>36537</v>
      </c>
      <c r="C1974" s="715" t="s">
        <v>103</v>
      </c>
      <c r="D1974" s="715" t="s">
        <v>40839</v>
      </c>
      <c r="E1974" s="716">
        <v>6.6</v>
      </c>
    </row>
    <row r="1975" spans="1:5">
      <c r="A1975" s="715">
        <v>11186</v>
      </c>
      <c r="B1975" s="633" t="s">
        <v>36538</v>
      </c>
      <c r="C1975" s="715" t="s">
        <v>509</v>
      </c>
      <c r="D1975" s="715" t="s">
        <v>40839</v>
      </c>
      <c r="E1975" s="716">
        <v>516</v>
      </c>
    </row>
    <row r="1976" spans="1:5" ht="29">
      <c r="A1976" s="715">
        <v>11558</v>
      </c>
      <c r="B1976" s="633" t="s">
        <v>36539</v>
      </c>
      <c r="C1976" s="715" t="s">
        <v>525</v>
      </c>
      <c r="D1976" s="715" t="s">
        <v>40839</v>
      </c>
      <c r="E1976" s="716">
        <v>14.34</v>
      </c>
    </row>
    <row r="1977" spans="1:5" ht="29">
      <c r="A1977" s="715">
        <v>11557</v>
      </c>
      <c r="B1977" s="633" t="s">
        <v>36540</v>
      </c>
      <c r="C1977" s="715" t="s">
        <v>525</v>
      </c>
      <c r="D1977" s="715" t="s">
        <v>40839</v>
      </c>
      <c r="E1977" s="716">
        <v>36.29</v>
      </c>
    </row>
    <row r="1978" spans="1:5">
      <c r="A1978" s="715">
        <v>2759</v>
      </c>
      <c r="B1978" s="633" t="s">
        <v>36541</v>
      </c>
      <c r="C1978" s="715" t="s">
        <v>103</v>
      </c>
      <c r="D1978" s="715" t="s">
        <v>28018</v>
      </c>
      <c r="E1978" s="716">
        <v>11.37</v>
      </c>
    </row>
    <row r="1979" spans="1:5">
      <c r="A1979" s="715">
        <v>38124</v>
      </c>
      <c r="B1979" s="633" t="s">
        <v>36542</v>
      </c>
      <c r="C1979" s="715" t="s">
        <v>103</v>
      </c>
      <c r="D1979" s="715" t="s">
        <v>28018</v>
      </c>
      <c r="E1979" s="716">
        <v>27</v>
      </c>
    </row>
    <row r="1980" spans="1:5">
      <c r="A1980" s="715">
        <v>38380</v>
      </c>
      <c r="B1980" s="633" t="s">
        <v>36543</v>
      </c>
      <c r="C1980" s="715" t="s">
        <v>103</v>
      </c>
      <c r="D1980" s="715" t="s">
        <v>40839</v>
      </c>
      <c r="E1980" s="716">
        <v>23.32</v>
      </c>
    </row>
    <row r="1981" spans="1:5" ht="29">
      <c r="A1981" s="715">
        <v>45278</v>
      </c>
      <c r="B1981" s="633" t="s">
        <v>41017</v>
      </c>
      <c r="C1981" s="715" t="s">
        <v>103</v>
      </c>
      <c r="D1981" s="715" t="s">
        <v>40839</v>
      </c>
      <c r="E1981" s="716">
        <v>109.81</v>
      </c>
    </row>
    <row r="1982" spans="1:5" ht="43">
      <c r="A1982" s="715">
        <v>42429</v>
      </c>
      <c r="B1982" s="633" t="s">
        <v>36544</v>
      </c>
      <c r="C1982" s="715" t="s">
        <v>103</v>
      </c>
      <c r="D1982" s="715" t="s">
        <v>40839</v>
      </c>
      <c r="E1982" s="716">
        <v>6025.1</v>
      </c>
    </row>
    <row r="1983" spans="1:5" ht="43">
      <c r="A1983" s="715">
        <v>38538</v>
      </c>
      <c r="B1983" s="633" t="s">
        <v>36545</v>
      </c>
      <c r="C1983" s="715" t="s">
        <v>165</v>
      </c>
      <c r="D1983" s="715" t="s">
        <v>28018</v>
      </c>
      <c r="E1983" s="716">
        <v>86</v>
      </c>
    </row>
    <row r="1984" spans="1:5" ht="43">
      <c r="A1984" s="715">
        <v>38539</v>
      </c>
      <c r="B1984" s="633" t="s">
        <v>36546</v>
      </c>
      <c r="C1984" s="715" t="s">
        <v>165</v>
      </c>
      <c r="D1984" s="715" t="s">
        <v>40839</v>
      </c>
      <c r="E1984" s="716">
        <v>116.95</v>
      </c>
    </row>
    <row r="1985" spans="1:5" ht="43">
      <c r="A1985" s="715">
        <v>38540</v>
      </c>
      <c r="B1985" s="633" t="s">
        <v>36547</v>
      </c>
      <c r="C1985" s="715" t="s">
        <v>165</v>
      </c>
      <c r="D1985" s="715" t="s">
        <v>40839</v>
      </c>
      <c r="E1985" s="716">
        <v>299.70999999999998</v>
      </c>
    </row>
    <row r="1986" spans="1:5">
      <c r="A1986" s="715">
        <v>38384</v>
      </c>
      <c r="B1986" s="633" t="s">
        <v>36548</v>
      </c>
      <c r="C1986" s="715" t="s">
        <v>103</v>
      </c>
      <c r="D1986" s="715" t="s">
        <v>40839</v>
      </c>
      <c r="E1986" s="716">
        <v>16.8</v>
      </c>
    </row>
    <row r="1987" spans="1:5">
      <c r="A1987" s="715">
        <v>13</v>
      </c>
      <c r="B1987" s="633" t="s">
        <v>10372</v>
      </c>
      <c r="C1987" s="715" t="s">
        <v>207</v>
      </c>
      <c r="D1987" s="715" t="s">
        <v>40839</v>
      </c>
      <c r="E1987" s="716">
        <v>20.92</v>
      </c>
    </row>
    <row r="1988" spans="1:5">
      <c r="A1988" s="715">
        <v>2762</v>
      </c>
      <c r="B1988" s="633" t="s">
        <v>32502</v>
      </c>
      <c r="C1988" s="715" t="s">
        <v>165</v>
      </c>
      <c r="D1988" s="715" t="s">
        <v>40839</v>
      </c>
      <c r="E1988" s="716">
        <v>14.21</v>
      </c>
    </row>
    <row r="1989" spans="1:5" ht="29">
      <c r="A1989" s="715">
        <v>21142</v>
      </c>
      <c r="B1989" s="633" t="s">
        <v>36549</v>
      </c>
      <c r="C1989" s="715" t="s">
        <v>103</v>
      </c>
      <c r="D1989" s="715" t="s">
        <v>40839</v>
      </c>
      <c r="E1989" s="716">
        <v>30.64</v>
      </c>
    </row>
    <row r="1990" spans="1:5">
      <c r="A1990" s="715">
        <v>37372</v>
      </c>
      <c r="B1990" s="633" t="s">
        <v>36550</v>
      </c>
      <c r="C1990" s="715" t="s">
        <v>11</v>
      </c>
      <c r="D1990" s="715" t="s">
        <v>28018</v>
      </c>
      <c r="E1990" s="716">
        <v>1.43</v>
      </c>
    </row>
    <row r="1991" spans="1:5">
      <c r="A1991" s="715">
        <v>40863</v>
      </c>
      <c r="B1991" s="633" t="s">
        <v>36551</v>
      </c>
      <c r="C1991" s="715" t="s">
        <v>27629</v>
      </c>
      <c r="D1991" s="715" t="s">
        <v>28018</v>
      </c>
      <c r="E1991" s="716">
        <v>237.03</v>
      </c>
    </row>
    <row r="1992" spans="1:5">
      <c r="A1992" s="715">
        <v>38475</v>
      </c>
      <c r="B1992" s="633" t="s">
        <v>41018</v>
      </c>
      <c r="C1992" s="715" t="s">
        <v>103</v>
      </c>
      <c r="D1992" s="715" t="s">
        <v>40839</v>
      </c>
      <c r="E1992" s="716">
        <v>57.99</v>
      </c>
    </row>
    <row r="1993" spans="1:5">
      <c r="A1993" s="715">
        <v>38474</v>
      </c>
      <c r="B1993" s="633" t="s">
        <v>41019</v>
      </c>
      <c r="C1993" s="715" t="s">
        <v>103</v>
      </c>
      <c r="D1993" s="715" t="s">
        <v>40839</v>
      </c>
      <c r="E1993" s="716">
        <v>58.79</v>
      </c>
    </row>
    <row r="1994" spans="1:5" ht="29">
      <c r="A1994" s="715">
        <v>10886</v>
      </c>
      <c r="B1994" s="633" t="s">
        <v>36552</v>
      </c>
      <c r="C1994" s="715" t="s">
        <v>103</v>
      </c>
      <c r="D1994" s="715" t="s">
        <v>40839</v>
      </c>
      <c r="E1994" s="716">
        <v>201.25</v>
      </c>
    </row>
    <row r="1995" spans="1:5" ht="29">
      <c r="A1995" s="715">
        <v>10888</v>
      </c>
      <c r="B1995" s="633" t="s">
        <v>36553</v>
      </c>
      <c r="C1995" s="715" t="s">
        <v>103</v>
      </c>
      <c r="D1995" s="715" t="s">
        <v>40839</v>
      </c>
      <c r="E1995" s="716">
        <v>636.91999999999996</v>
      </c>
    </row>
    <row r="1996" spans="1:5" ht="29">
      <c r="A1996" s="715">
        <v>10889</v>
      </c>
      <c r="B1996" s="633" t="s">
        <v>36554</v>
      </c>
      <c r="C1996" s="715" t="s">
        <v>103</v>
      </c>
      <c r="D1996" s="715" t="s">
        <v>40839</v>
      </c>
      <c r="E1996" s="716">
        <v>690</v>
      </c>
    </row>
    <row r="1997" spans="1:5" ht="29">
      <c r="A1997" s="715">
        <v>10890</v>
      </c>
      <c r="B1997" s="633" t="s">
        <v>36555</v>
      </c>
      <c r="C1997" s="715" t="s">
        <v>103</v>
      </c>
      <c r="D1997" s="715" t="s">
        <v>40839</v>
      </c>
      <c r="E1997" s="716">
        <v>318.45999999999998</v>
      </c>
    </row>
    <row r="1998" spans="1:5" ht="29">
      <c r="A1998" s="715">
        <v>10891</v>
      </c>
      <c r="B1998" s="633" t="s">
        <v>36556</v>
      </c>
      <c r="C1998" s="715" t="s">
        <v>103</v>
      </c>
      <c r="D1998" s="715" t="s">
        <v>40839</v>
      </c>
      <c r="E1998" s="716">
        <v>194.61</v>
      </c>
    </row>
    <row r="1999" spans="1:5" ht="29">
      <c r="A1999" s="715">
        <v>10892</v>
      </c>
      <c r="B1999" s="633" t="s">
        <v>36557</v>
      </c>
      <c r="C1999" s="715" t="s">
        <v>103</v>
      </c>
      <c r="D1999" s="715" t="s">
        <v>28018</v>
      </c>
      <c r="E1999" s="716">
        <v>230</v>
      </c>
    </row>
    <row r="2000" spans="1:5" ht="29">
      <c r="A2000" s="715">
        <v>20977</v>
      </c>
      <c r="B2000" s="633" t="s">
        <v>36558</v>
      </c>
      <c r="C2000" s="715" t="s">
        <v>103</v>
      </c>
      <c r="D2000" s="715" t="s">
        <v>40839</v>
      </c>
      <c r="E2000" s="716">
        <v>274.23</v>
      </c>
    </row>
    <row r="2001" spans="1:5">
      <c r="A2001" s="715">
        <v>3073</v>
      </c>
      <c r="B2001" s="633" t="s">
        <v>36559</v>
      </c>
      <c r="C2001" s="715" t="s">
        <v>103</v>
      </c>
      <c r="D2001" s="715" t="s">
        <v>40839</v>
      </c>
      <c r="E2001" s="716">
        <v>245.92</v>
      </c>
    </row>
    <row r="2002" spans="1:5">
      <c r="A2002" s="715">
        <v>3074</v>
      </c>
      <c r="B2002" s="633" t="s">
        <v>36560</v>
      </c>
      <c r="C2002" s="715" t="s">
        <v>103</v>
      </c>
      <c r="D2002" s="715" t="s">
        <v>40839</v>
      </c>
      <c r="E2002" s="716">
        <v>155.26</v>
      </c>
    </row>
    <row r="2003" spans="1:5">
      <c r="A2003" s="715">
        <v>3076</v>
      </c>
      <c r="B2003" s="633" t="s">
        <v>36561</v>
      </c>
      <c r="C2003" s="715" t="s">
        <v>103</v>
      </c>
      <c r="D2003" s="715" t="s">
        <v>40839</v>
      </c>
      <c r="E2003" s="716">
        <v>202.17</v>
      </c>
    </row>
    <row r="2004" spans="1:5">
      <c r="A2004" s="715">
        <v>3075</v>
      </c>
      <c r="B2004" s="633" t="s">
        <v>36562</v>
      </c>
      <c r="C2004" s="715" t="s">
        <v>103</v>
      </c>
      <c r="D2004" s="715" t="s">
        <v>40839</v>
      </c>
      <c r="E2004" s="716">
        <v>127.76</v>
      </c>
    </row>
    <row r="2005" spans="1:5" ht="29">
      <c r="A2005" s="715">
        <v>10781</v>
      </c>
      <c r="B2005" s="633" t="s">
        <v>36563</v>
      </c>
      <c r="C2005" s="715" t="s">
        <v>103</v>
      </c>
      <c r="D2005" s="715" t="s">
        <v>40839</v>
      </c>
      <c r="E2005" s="716">
        <v>17.32</v>
      </c>
    </row>
    <row r="2006" spans="1:5" ht="29">
      <c r="A2006" s="715">
        <v>11480</v>
      </c>
      <c r="B2006" s="633" t="s">
        <v>36564</v>
      </c>
      <c r="C2006" s="715" t="s">
        <v>396</v>
      </c>
      <c r="D2006" s="715" t="s">
        <v>40839</v>
      </c>
      <c r="E2006" s="716">
        <v>148.88999999999999</v>
      </c>
    </row>
    <row r="2007" spans="1:5" ht="29">
      <c r="A2007" s="715">
        <v>43612</v>
      </c>
      <c r="B2007" s="633" t="s">
        <v>36565</v>
      </c>
      <c r="C2007" s="715" t="s">
        <v>396</v>
      </c>
      <c r="D2007" s="715" t="s">
        <v>40839</v>
      </c>
      <c r="E2007" s="716">
        <v>117.19</v>
      </c>
    </row>
    <row r="2008" spans="1:5" ht="29">
      <c r="A2008" s="715">
        <v>43613</v>
      </c>
      <c r="B2008" s="633" t="s">
        <v>36566</v>
      </c>
      <c r="C2008" s="715" t="s">
        <v>396</v>
      </c>
      <c r="D2008" s="715" t="s">
        <v>40839</v>
      </c>
      <c r="E2008" s="716">
        <v>97.02</v>
      </c>
    </row>
    <row r="2009" spans="1:5" ht="43">
      <c r="A2009" s="715">
        <v>11469</v>
      </c>
      <c r="B2009" s="633" t="s">
        <v>36567</v>
      </c>
      <c r="C2009" s="715" t="s">
        <v>103</v>
      </c>
      <c r="D2009" s="715" t="s">
        <v>40839</v>
      </c>
      <c r="E2009" s="716">
        <v>15.89</v>
      </c>
    </row>
    <row r="2010" spans="1:5" ht="29">
      <c r="A2010" s="715">
        <v>11468</v>
      </c>
      <c r="B2010" s="633" t="s">
        <v>36568</v>
      </c>
      <c r="C2010" s="715" t="s">
        <v>103</v>
      </c>
      <c r="D2010" s="715" t="s">
        <v>40839</v>
      </c>
      <c r="E2010" s="716">
        <v>15.9</v>
      </c>
    </row>
    <row r="2011" spans="1:5" ht="29">
      <c r="A2011" s="715">
        <v>11484</v>
      </c>
      <c r="B2011" s="633" t="s">
        <v>36569</v>
      </c>
      <c r="C2011" s="715" t="s">
        <v>103</v>
      </c>
      <c r="D2011" s="715" t="s">
        <v>40839</v>
      </c>
      <c r="E2011" s="716">
        <v>69.849999999999994</v>
      </c>
    </row>
    <row r="2012" spans="1:5" ht="29">
      <c r="A2012" s="715">
        <v>38155</v>
      </c>
      <c r="B2012" s="633" t="s">
        <v>36570</v>
      </c>
      <c r="C2012" s="715" t="s">
        <v>103</v>
      </c>
      <c r="D2012" s="715" t="s">
        <v>40839</v>
      </c>
      <c r="E2012" s="716">
        <v>108.45</v>
      </c>
    </row>
    <row r="2013" spans="1:5" ht="29">
      <c r="A2013" s="715">
        <v>11467</v>
      </c>
      <c r="B2013" s="633" t="s">
        <v>36571</v>
      </c>
      <c r="C2013" s="715" t="s">
        <v>103</v>
      </c>
      <c r="D2013" s="715" t="s">
        <v>40839</v>
      </c>
      <c r="E2013" s="716">
        <v>24.78</v>
      </c>
    </row>
    <row r="2014" spans="1:5" ht="43">
      <c r="A2014" s="715">
        <v>38153</v>
      </c>
      <c r="B2014" s="633" t="s">
        <v>36572</v>
      </c>
      <c r="C2014" s="715" t="s">
        <v>396</v>
      </c>
      <c r="D2014" s="715" t="s">
        <v>40839</v>
      </c>
      <c r="E2014" s="716">
        <v>63.3</v>
      </c>
    </row>
    <row r="2015" spans="1:5" ht="57">
      <c r="A2015" s="715">
        <v>43607</v>
      </c>
      <c r="B2015" s="633" t="s">
        <v>36573</v>
      </c>
      <c r="C2015" s="715" t="s">
        <v>396</v>
      </c>
      <c r="D2015" s="715" t="s">
        <v>40839</v>
      </c>
      <c r="E2015" s="716">
        <v>119.73</v>
      </c>
    </row>
    <row r="2016" spans="1:5" ht="43">
      <c r="A2016" s="715">
        <v>3080</v>
      </c>
      <c r="B2016" s="633" t="s">
        <v>36574</v>
      </c>
      <c r="C2016" s="715" t="s">
        <v>396</v>
      </c>
      <c r="D2016" s="715" t="s">
        <v>28018</v>
      </c>
      <c r="E2016" s="716">
        <v>80.5</v>
      </c>
    </row>
    <row r="2017" spans="1:5" ht="43">
      <c r="A2017" s="715">
        <v>3081</v>
      </c>
      <c r="B2017" s="633" t="s">
        <v>36575</v>
      </c>
      <c r="C2017" s="715" t="s">
        <v>396</v>
      </c>
      <c r="D2017" s="715" t="s">
        <v>40839</v>
      </c>
      <c r="E2017" s="716">
        <v>159.27000000000001</v>
      </c>
    </row>
    <row r="2018" spans="1:5" ht="43">
      <c r="A2018" s="715">
        <v>3090</v>
      </c>
      <c r="B2018" s="633" t="s">
        <v>36576</v>
      </c>
      <c r="C2018" s="715" t="s">
        <v>396</v>
      </c>
      <c r="D2018" s="715" t="s">
        <v>40839</v>
      </c>
      <c r="E2018" s="716">
        <v>71.849999999999994</v>
      </c>
    </row>
    <row r="2019" spans="1:5" ht="43">
      <c r="A2019" s="715">
        <v>43611</v>
      </c>
      <c r="B2019" s="633" t="s">
        <v>36577</v>
      </c>
      <c r="C2019" s="715" t="s">
        <v>396</v>
      </c>
      <c r="D2019" s="715" t="s">
        <v>40839</v>
      </c>
      <c r="E2019" s="716">
        <v>119.23</v>
      </c>
    </row>
    <row r="2020" spans="1:5" ht="43">
      <c r="A2020" s="715">
        <v>3103</v>
      </c>
      <c r="B2020" s="633" t="s">
        <v>36578</v>
      </c>
      <c r="C2020" s="715" t="s">
        <v>103</v>
      </c>
      <c r="D2020" s="715" t="s">
        <v>40839</v>
      </c>
      <c r="E2020" s="716">
        <v>59.57</v>
      </c>
    </row>
    <row r="2021" spans="1:5" ht="43">
      <c r="A2021" s="715">
        <v>3097</v>
      </c>
      <c r="B2021" s="633" t="s">
        <v>36579</v>
      </c>
      <c r="C2021" s="715" t="s">
        <v>396</v>
      </c>
      <c r="D2021" s="715" t="s">
        <v>40839</v>
      </c>
      <c r="E2021" s="716">
        <v>90.13</v>
      </c>
    </row>
    <row r="2022" spans="1:5" ht="43">
      <c r="A2022" s="715">
        <v>3099</v>
      </c>
      <c r="B2022" s="633" t="s">
        <v>36580</v>
      </c>
      <c r="C2022" s="715" t="s">
        <v>396</v>
      </c>
      <c r="D2022" s="715" t="s">
        <v>40839</v>
      </c>
      <c r="E2022" s="716">
        <v>144.32</v>
      </c>
    </row>
    <row r="2023" spans="1:5" ht="43">
      <c r="A2023" s="715">
        <v>38151</v>
      </c>
      <c r="B2023" s="633" t="s">
        <v>36581</v>
      </c>
      <c r="C2023" s="715" t="s">
        <v>396</v>
      </c>
      <c r="D2023" s="715" t="s">
        <v>40839</v>
      </c>
      <c r="E2023" s="716">
        <v>104.63</v>
      </c>
    </row>
    <row r="2024" spans="1:5" ht="43">
      <c r="A2024" s="715">
        <v>38152</v>
      </c>
      <c r="B2024" s="633" t="s">
        <v>36582</v>
      </c>
      <c r="C2024" s="715" t="s">
        <v>396</v>
      </c>
      <c r="D2024" s="715" t="s">
        <v>40839</v>
      </c>
      <c r="E2024" s="716">
        <v>168.78</v>
      </c>
    </row>
    <row r="2025" spans="1:5" ht="57">
      <c r="A2025" s="715">
        <v>43610</v>
      </c>
      <c r="B2025" s="633" t="s">
        <v>36583</v>
      </c>
      <c r="C2025" s="715" t="s">
        <v>396</v>
      </c>
      <c r="D2025" s="715" t="s">
        <v>40839</v>
      </c>
      <c r="E2025" s="716">
        <v>89.43</v>
      </c>
    </row>
    <row r="2026" spans="1:5" ht="43">
      <c r="A2026" s="715">
        <v>3093</v>
      </c>
      <c r="B2026" s="633" t="s">
        <v>36584</v>
      </c>
      <c r="C2026" s="715" t="s">
        <v>396</v>
      </c>
      <c r="D2026" s="715" t="s">
        <v>40839</v>
      </c>
      <c r="E2026" s="716">
        <v>144.32</v>
      </c>
    </row>
    <row r="2027" spans="1:5" ht="29">
      <c r="A2027" s="715">
        <v>38165</v>
      </c>
      <c r="B2027" s="633" t="s">
        <v>36585</v>
      </c>
      <c r="C2027" s="715" t="s">
        <v>396</v>
      </c>
      <c r="D2027" s="715" t="s">
        <v>40839</v>
      </c>
      <c r="E2027" s="716">
        <v>68.97</v>
      </c>
    </row>
    <row r="2028" spans="1:5" ht="29">
      <c r="A2028" s="715">
        <v>38177</v>
      </c>
      <c r="B2028" s="633" t="s">
        <v>36586</v>
      </c>
      <c r="C2028" s="715" t="s">
        <v>103</v>
      </c>
      <c r="D2028" s="715" t="s">
        <v>40839</v>
      </c>
      <c r="E2028" s="716">
        <v>20.49</v>
      </c>
    </row>
    <row r="2029" spans="1:5" ht="29">
      <c r="A2029" s="715">
        <v>11458</v>
      </c>
      <c r="B2029" s="633" t="s">
        <v>36587</v>
      </c>
      <c r="C2029" s="715" t="s">
        <v>103</v>
      </c>
      <c r="D2029" s="715" t="s">
        <v>40839</v>
      </c>
      <c r="E2029" s="716">
        <v>24.47</v>
      </c>
    </row>
    <row r="2030" spans="1:5" ht="43">
      <c r="A2030" s="715">
        <v>3108</v>
      </c>
      <c r="B2030" s="633" t="s">
        <v>36588</v>
      </c>
      <c r="C2030" s="715" t="s">
        <v>103</v>
      </c>
      <c r="D2030" s="715" t="s">
        <v>40839</v>
      </c>
      <c r="E2030" s="716">
        <v>104.01</v>
      </c>
    </row>
    <row r="2031" spans="1:5" ht="43">
      <c r="A2031" s="715">
        <v>3105</v>
      </c>
      <c r="B2031" s="633" t="s">
        <v>36589</v>
      </c>
      <c r="C2031" s="715" t="s">
        <v>103</v>
      </c>
      <c r="D2031" s="715" t="s">
        <v>40839</v>
      </c>
      <c r="E2031" s="716">
        <v>136.04</v>
      </c>
    </row>
    <row r="2032" spans="1:5" ht="43">
      <c r="A2032" s="715">
        <v>38178</v>
      </c>
      <c r="B2032" s="633" t="s">
        <v>36590</v>
      </c>
      <c r="C2032" s="715" t="s">
        <v>103</v>
      </c>
      <c r="D2032" s="715" t="s">
        <v>40839</v>
      </c>
      <c r="E2032" s="716">
        <v>22.55</v>
      </c>
    </row>
    <row r="2033" spans="1:5" ht="43">
      <c r="A2033" s="715">
        <v>43575</v>
      </c>
      <c r="B2033" s="633" t="s">
        <v>36591</v>
      </c>
      <c r="C2033" s="715" t="s">
        <v>103</v>
      </c>
      <c r="D2033" s="715" t="s">
        <v>40839</v>
      </c>
      <c r="E2033" s="716">
        <v>48.86</v>
      </c>
    </row>
    <row r="2034" spans="1:5" ht="43">
      <c r="A2034" s="715">
        <v>43577</v>
      </c>
      <c r="B2034" s="633" t="s">
        <v>36592</v>
      </c>
      <c r="C2034" s="715" t="s">
        <v>103</v>
      </c>
      <c r="D2034" s="715" t="s">
        <v>40839</v>
      </c>
      <c r="E2034" s="716">
        <v>84.94</v>
      </c>
    </row>
    <row r="2035" spans="1:5" ht="29">
      <c r="A2035" s="715">
        <v>43458</v>
      </c>
      <c r="B2035" s="633" t="s">
        <v>36593</v>
      </c>
      <c r="C2035" s="715" t="s">
        <v>11</v>
      </c>
      <c r="D2035" s="715" t="s">
        <v>28018</v>
      </c>
      <c r="E2035" s="716">
        <v>0.05</v>
      </c>
    </row>
    <row r="2036" spans="1:5" ht="29">
      <c r="A2036" s="715">
        <v>43470</v>
      </c>
      <c r="B2036" s="633" t="s">
        <v>36594</v>
      </c>
      <c r="C2036" s="715" t="s">
        <v>27629</v>
      </c>
      <c r="D2036" s="715" t="s">
        <v>28018</v>
      </c>
      <c r="E2036" s="716">
        <v>9.52</v>
      </c>
    </row>
    <row r="2037" spans="1:5" ht="29">
      <c r="A2037" s="715">
        <v>43459</v>
      </c>
      <c r="B2037" s="633" t="s">
        <v>36595</v>
      </c>
      <c r="C2037" s="715" t="s">
        <v>11</v>
      </c>
      <c r="D2037" s="715" t="s">
        <v>28018</v>
      </c>
      <c r="E2037" s="716">
        <v>0.28999999999999998</v>
      </c>
    </row>
    <row r="2038" spans="1:5" ht="29">
      <c r="A2038" s="715">
        <v>43471</v>
      </c>
      <c r="B2038" s="633" t="s">
        <v>36596</v>
      </c>
      <c r="C2038" s="715" t="s">
        <v>27629</v>
      </c>
      <c r="D2038" s="715" t="s">
        <v>28018</v>
      </c>
      <c r="E2038" s="716">
        <v>49.31</v>
      </c>
    </row>
    <row r="2039" spans="1:5" ht="29">
      <c r="A2039" s="715">
        <v>43460</v>
      </c>
      <c r="B2039" s="633" t="s">
        <v>36597</v>
      </c>
      <c r="C2039" s="715" t="s">
        <v>11</v>
      </c>
      <c r="D2039" s="715" t="s">
        <v>28018</v>
      </c>
      <c r="E2039" s="716">
        <v>0.83</v>
      </c>
    </row>
    <row r="2040" spans="1:5" ht="29">
      <c r="A2040" s="715">
        <v>43472</v>
      </c>
      <c r="B2040" s="633" t="s">
        <v>36598</v>
      </c>
      <c r="C2040" s="715" t="s">
        <v>27629</v>
      </c>
      <c r="D2040" s="715" t="s">
        <v>28018</v>
      </c>
      <c r="E2040" s="716">
        <v>139.4</v>
      </c>
    </row>
    <row r="2041" spans="1:5" ht="29">
      <c r="A2041" s="715">
        <v>43461</v>
      </c>
      <c r="B2041" s="633" t="s">
        <v>36599</v>
      </c>
      <c r="C2041" s="715" t="s">
        <v>11</v>
      </c>
      <c r="D2041" s="715" t="s">
        <v>28018</v>
      </c>
      <c r="E2041" s="716">
        <v>0.42</v>
      </c>
    </row>
    <row r="2042" spans="1:5" ht="29">
      <c r="A2042" s="715">
        <v>43473</v>
      </c>
      <c r="B2042" s="633" t="s">
        <v>36600</v>
      </c>
      <c r="C2042" s="715" t="s">
        <v>27629</v>
      </c>
      <c r="D2042" s="715" t="s">
        <v>28018</v>
      </c>
      <c r="E2042" s="716">
        <v>70.760000000000005</v>
      </c>
    </row>
    <row r="2043" spans="1:5" ht="29">
      <c r="A2043" s="715">
        <v>43463</v>
      </c>
      <c r="B2043" s="633" t="s">
        <v>36601</v>
      </c>
      <c r="C2043" s="715" t="s">
        <v>11</v>
      </c>
      <c r="D2043" s="715" t="s">
        <v>28018</v>
      </c>
      <c r="E2043" s="716">
        <v>0.12</v>
      </c>
    </row>
    <row r="2044" spans="1:5" ht="29">
      <c r="A2044" s="715">
        <v>43475</v>
      </c>
      <c r="B2044" s="633" t="s">
        <v>36602</v>
      </c>
      <c r="C2044" s="715" t="s">
        <v>27629</v>
      </c>
      <c r="D2044" s="715" t="s">
        <v>28018</v>
      </c>
      <c r="E2044" s="716">
        <v>21.33</v>
      </c>
    </row>
    <row r="2045" spans="1:5" ht="29">
      <c r="A2045" s="715">
        <v>43462</v>
      </c>
      <c r="B2045" s="633" t="s">
        <v>36603</v>
      </c>
      <c r="C2045" s="715" t="s">
        <v>11</v>
      </c>
      <c r="D2045" s="715" t="s">
        <v>28018</v>
      </c>
      <c r="E2045" s="716">
        <v>0.02</v>
      </c>
    </row>
    <row r="2046" spans="1:5" ht="29">
      <c r="A2046" s="715">
        <v>43474</v>
      </c>
      <c r="B2046" s="633" t="s">
        <v>36604</v>
      </c>
      <c r="C2046" s="715" t="s">
        <v>27629</v>
      </c>
      <c r="D2046" s="715" t="s">
        <v>28018</v>
      </c>
      <c r="E2046" s="716">
        <v>4.33</v>
      </c>
    </row>
    <row r="2047" spans="1:5" ht="29">
      <c r="A2047" s="715">
        <v>43464</v>
      </c>
      <c r="B2047" s="633" t="s">
        <v>36605</v>
      </c>
      <c r="C2047" s="715" t="s">
        <v>11</v>
      </c>
      <c r="D2047" s="715" t="s">
        <v>28018</v>
      </c>
      <c r="E2047" s="716">
        <v>0.02</v>
      </c>
    </row>
    <row r="2048" spans="1:5" ht="29">
      <c r="A2048" s="715">
        <v>43476</v>
      </c>
      <c r="B2048" s="633" t="s">
        <v>36606</v>
      </c>
      <c r="C2048" s="715" t="s">
        <v>27629</v>
      </c>
      <c r="D2048" s="715" t="s">
        <v>28018</v>
      </c>
      <c r="E2048" s="716">
        <v>4.95</v>
      </c>
    </row>
    <row r="2049" spans="1:5" ht="29">
      <c r="A2049" s="715">
        <v>43465</v>
      </c>
      <c r="B2049" s="633" t="s">
        <v>36607</v>
      </c>
      <c r="C2049" s="715" t="s">
        <v>11</v>
      </c>
      <c r="D2049" s="715" t="s">
        <v>28018</v>
      </c>
      <c r="E2049" s="716">
        <v>0.73</v>
      </c>
    </row>
    <row r="2050" spans="1:5" ht="29">
      <c r="A2050" s="715">
        <v>43477</v>
      </c>
      <c r="B2050" s="633" t="s">
        <v>36608</v>
      </c>
      <c r="C2050" s="715" t="s">
        <v>27629</v>
      </c>
      <c r="D2050" s="715" t="s">
        <v>28018</v>
      </c>
      <c r="E2050" s="716">
        <v>122.35</v>
      </c>
    </row>
    <row r="2051" spans="1:5" ht="29">
      <c r="A2051" s="715">
        <v>43466</v>
      </c>
      <c r="B2051" s="633" t="s">
        <v>36609</v>
      </c>
      <c r="C2051" s="715" t="s">
        <v>11</v>
      </c>
      <c r="D2051" s="715" t="s">
        <v>28018</v>
      </c>
      <c r="E2051" s="716">
        <v>2.08</v>
      </c>
    </row>
    <row r="2052" spans="1:5" ht="29">
      <c r="A2052" s="715">
        <v>43478</v>
      </c>
      <c r="B2052" s="633" t="s">
        <v>36610</v>
      </c>
      <c r="C2052" s="715" t="s">
        <v>27629</v>
      </c>
      <c r="D2052" s="715" t="s">
        <v>28018</v>
      </c>
      <c r="E2052" s="716">
        <v>346.31</v>
      </c>
    </row>
    <row r="2053" spans="1:5" ht="29">
      <c r="A2053" s="715">
        <v>43467</v>
      </c>
      <c r="B2053" s="633" t="s">
        <v>36611</v>
      </c>
      <c r="C2053" s="715" t="s">
        <v>11</v>
      </c>
      <c r="D2053" s="715" t="s">
        <v>28018</v>
      </c>
      <c r="E2053" s="716">
        <v>0.56999999999999995</v>
      </c>
    </row>
    <row r="2054" spans="1:5" ht="29">
      <c r="A2054" s="715">
        <v>43479</v>
      </c>
      <c r="B2054" s="633" t="s">
        <v>36612</v>
      </c>
      <c r="C2054" s="715" t="s">
        <v>27629</v>
      </c>
      <c r="D2054" s="715" t="s">
        <v>28018</v>
      </c>
      <c r="E2054" s="716">
        <v>95.69</v>
      </c>
    </row>
    <row r="2055" spans="1:5" ht="29">
      <c r="A2055" s="715">
        <v>43468</v>
      </c>
      <c r="B2055" s="633" t="s">
        <v>36613</v>
      </c>
      <c r="C2055" s="715" t="s">
        <v>11</v>
      </c>
      <c r="D2055" s="715" t="s">
        <v>28018</v>
      </c>
      <c r="E2055" s="716">
        <v>1.24</v>
      </c>
    </row>
    <row r="2056" spans="1:5" ht="29">
      <c r="A2056" s="715">
        <v>43480</v>
      </c>
      <c r="B2056" s="633" t="s">
        <v>36614</v>
      </c>
      <c r="C2056" s="715" t="s">
        <v>27629</v>
      </c>
      <c r="D2056" s="715" t="s">
        <v>28018</v>
      </c>
      <c r="E2056" s="716">
        <v>206.14</v>
      </c>
    </row>
    <row r="2057" spans="1:5" ht="29">
      <c r="A2057" s="715">
        <v>43469</v>
      </c>
      <c r="B2057" s="633" t="s">
        <v>36615</v>
      </c>
      <c r="C2057" s="715" t="s">
        <v>11</v>
      </c>
      <c r="D2057" s="715" t="s">
        <v>28018</v>
      </c>
      <c r="E2057" s="716">
        <v>0.08</v>
      </c>
    </row>
    <row r="2058" spans="1:5" ht="29">
      <c r="A2058" s="715">
        <v>43481</v>
      </c>
      <c r="B2058" s="633" t="s">
        <v>36616</v>
      </c>
      <c r="C2058" s="715" t="s">
        <v>27629</v>
      </c>
      <c r="D2058" s="715" t="s">
        <v>28018</v>
      </c>
      <c r="E2058" s="716">
        <v>14.27</v>
      </c>
    </row>
    <row r="2059" spans="1:5">
      <c r="A2059" s="715">
        <v>45204</v>
      </c>
      <c r="B2059" s="633" t="s">
        <v>41020</v>
      </c>
      <c r="C2059" s="715" t="s">
        <v>103</v>
      </c>
      <c r="D2059" s="715" t="s">
        <v>40839</v>
      </c>
      <c r="E2059" s="716">
        <v>42.9</v>
      </c>
    </row>
    <row r="2060" spans="1:5" ht="43">
      <c r="A2060" s="715">
        <v>3119</v>
      </c>
      <c r="B2060" s="633" t="s">
        <v>36617</v>
      </c>
      <c r="C2060" s="715" t="s">
        <v>103</v>
      </c>
      <c r="D2060" s="715" t="s">
        <v>40839</v>
      </c>
      <c r="E2060" s="716">
        <v>2.65</v>
      </c>
    </row>
    <row r="2061" spans="1:5" ht="29">
      <c r="A2061" s="715">
        <v>3122</v>
      </c>
      <c r="B2061" s="633" t="s">
        <v>36618</v>
      </c>
      <c r="C2061" s="715" t="s">
        <v>103</v>
      </c>
      <c r="D2061" s="715" t="s">
        <v>40839</v>
      </c>
      <c r="E2061" s="716">
        <v>5.39</v>
      </c>
    </row>
    <row r="2062" spans="1:5" ht="29">
      <c r="A2062" s="715">
        <v>3121</v>
      </c>
      <c r="B2062" s="633" t="s">
        <v>36619</v>
      </c>
      <c r="C2062" s="715" t="s">
        <v>103</v>
      </c>
      <c r="D2062" s="715" t="s">
        <v>40839</v>
      </c>
      <c r="E2062" s="716">
        <v>6.11</v>
      </c>
    </row>
    <row r="2063" spans="1:5" ht="29">
      <c r="A2063" s="715">
        <v>3120</v>
      </c>
      <c r="B2063" s="633" t="s">
        <v>36620</v>
      </c>
      <c r="C2063" s="715" t="s">
        <v>103</v>
      </c>
      <c r="D2063" s="715" t="s">
        <v>40839</v>
      </c>
      <c r="E2063" s="716">
        <v>11.58</v>
      </c>
    </row>
    <row r="2064" spans="1:5" ht="29">
      <c r="A2064" s="715">
        <v>11455</v>
      </c>
      <c r="B2064" s="633" t="s">
        <v>36621</v>
      </c>
      <c r="C2064" s="715" t="s">
        <v>103</v>
      </c>
      <c r="D2064" s="715" t="s">
        <v>40839</v>
      </c>
      <c r="E2064" s="716">
        <v>16.75</v>
      </c>
    </row>
    <row r="2065" spans="1:5" ht="43">
      <c r="A2065" s="715">
        <v>11456</v>
      </c>
      <c r="B2065" s="633" t="s">
        <v>36622</v>
      </c>
      <c r="C2065" s="715" t="s">
        <v>103</v>
      </c>
      <c r="D2065" s="715" t="s">
        <v>40839</v>
      </c>
      <c r="E2065" s="716">
        <v>20.02</v>
      </c>
    </row>
    <row r="2066" spans="1:5" ht="43">
      <c r="A2066" s="715">
        <v>3107</v>
      </c>
      <c r="B2066" s="633" t="s">
        <v>36623</v>
      </c>
      <c r="C2066" s="715" t="s">
        <v>103</v>
      </c>
      <c r="D2066" s="715" t="s">
        <v>40839</v>
      </c>
      <c r="E2066" s="716">
        <v>8.44</v>
      </c>
    </row>
    <row r="2067" spans="1:5" ht="43">
      <c r="A2067" s="715">
        <v>43583</v>
      </c>
      <c r="B2067" s="633" t="s">
        <v>36624</v>
      </c>
      <c r="C2067" s="715" t="s">
        <v>103</v>
      </c>
      <c r="D2067" s="715" t="s">
        <v>40839</v>
      </c>
      <c r="E2067" s="716">
        <v>9.52</v>
      </c>
    </row>
    <row r="2068" spans="1:5" ht="43">
      <c r="A2068" s="715">
        <v>43586</v>
      </c>
      <c r="B2068" s="633" t="s">
        <v>36625</v>
      </c>
      <c r="C2068" s="715" t="s">
        <v>103</v>
      </c>
      <c r="D2068" s="715" t="s">
        <v>40839</v>
      </c>
      <c r="E2068" s="716">
        <v>9.76</v>
      </c>
    </row>
    <row r="2069" spans="1:5" ht="43">
      <c r="A2069" s="715">
        <v>11461</v>
      </c>
      <c r="B2069" s="633" t="s">
        <v>36626</v>
      </c>
      <c r="C2069" s="715" t="s">
        <v>103</v>
      </c>
      <c r="D2069" s="715" t="s">
        <v>40839</v>
      </c>
      <c r="E2069" s="716">
        <v>10.64</v>
      </c>
    </row>
    <row r="2070" spans="1:5" ht="43">
      <c r="A2070" s="715">
        <v>43587</v>
      </c>
      <c r="B2070" s="633" t="s">
        <v>36627</v>
      </c>
      <c r="C2070" s="715" t="s">
        <v>103</v>
      </c>
      <c r="D2070" s="715" t="s">
        <v>40839</v>
      </c>
      <c r="E2070" s="716">
        <v>12.27</v>
      </c>
    </row>
    <row r="2071" spans="1:5" ht="43">
      <c r="A2071" s="715">
        <v>3106</v>
      </c>
      <c r="B2071" s="633" t="s">
        <v>36628</v>
      </c>
      <c r="C2071" s="715" t="s">
        <v>103</v>
      </c>
      <c r="D2071" s="715" t="s">
        <v>40839</v>
      </c>
      <c r="E2071" s="716">
        <v>15.57</v>
      </c>
    </row>
    <row r="2072" spans="1:5">
      <c r="A2072" s="715">
        <v>44539</v>
      </c>
      <c r="B2072" s="633" t="s">
        <v>41021</v>
      </c>
      <c r="C2072" s="715" t="s">
        <v>207</v>
      </c>
      <c r="D2072" s="715" t="s">
        <v>40839</v>
      </c>
      <c r="E2072" s="716">
        <v>3.15</v>
      </c>
    </row>
    <row r="2073" spans="1:5">
      <c r="A2073" s="715">
        <v>3123</v>
      </c>
      <c r="B2073" s="633" t="s">
        <v>36629</v>
      </c>
      <c r="C2073" s="715" t="s">
        <v>207</v>
      </c>
      <c r="D2073" s="715" t="s">
        <v>28018</v>
      </c>
      <c r="E2073" s="716">
        <v>2.94</v>
      </c>
    </row>
    <row r="2074" spans="1:5">
      <c r="A2074" s="715">
        <v>38125</v>
      </c>
      <c r="B2074" s="633" t="s">
        <v>36630</v>
      </c>
      <c r="C2074" s="715" t="s">
        <v>207</v>
      </c>
      <c r="D2074" s="715" t="s">
        <v>40839</v>
      </c>
      <c r="E2074" s="716">
        <v>1.71</v>
      </c>
    </row>
    <row r="2075" spans="1:5" ht="29">
      <c r="A2075" s="715">
        <v>39014</v>
      </c>
      <c r="B2075" s="633" t="s">
        <v>36631</v>
      </c>
      <c r="C2075" s="715" t="s">
        <v>207</v>
      </c>
      <c r="D2075" s="715" t="s">
        <v>40839</v>
      </c>
      <c r="E2075" s="716">
        <v>9.66</v>
      </c>
    </row>
    <row r="2076" spans="1:5" ht="29">
      <c r="A2076" s="715">
        <v>39365</v>
      </c>
      <c r="B2076" s="633" t="s">
        <v>36632</v>
      </c>
      <c r="C2076" s="715" t="s">
        <v>103</v>
      </c>
      <c r="D2076" s="715" t="s">
        <v>40839</v>
      </c>
      <c r="E2076" s="716">
        <v>1948.79</v>
      </c>
    </row>
    <row r="2077" spans="1:5" ht="29">
      <c r="A2077" s="715">
        <v>39366</v>
      </c>
      <c r="B2077" s="633" t="s">
        <v>36633</v>
      </c>
      <c r="C2077" s="715" t="s">
        <v>103</v>
      </c>
      <c r="D2077" s="715" t="s">
        <v>40839</v>
      </c>
      <c r="E2077" s="716">
        <v>2956.64</v>
      </c>
    </row>
    <row r="2078" spans="1:5" ht="29">
      <c r="A2078" s="715">
        <v>39367</v>
      </c>
      <c r="B2078" s="633" t="s">
        <v>36634</v>
      </c>
      <c r="C2078" s="715" t="s">
        <v>103</v>
      </c>
      <c r="D2078" s="715" t="s">
        <v>40839</v>
      </c>
      <c r="E2078" s="716">
        <v>5066.01</v>
      </c>
    </row>
    <row r="2079" spans="1:5" ht="29">
      <c r="A2079" s="715">
        <v>45263</v>
      </c>
      <c r="B2079" s="633" t="s">
        <v>40859</v>
      </c>
      <c r="C2079" s="715" t="s">
        <v>103</v>
      </c>
      <c r="D2079" s="715" t="s">
        <v>40839</v>
      </c>
      <c r="E2079" s="716">
        <v>18.66</v>
      </c>
    </row>
    <row r="2080" spans="1:5" ht="29">
      <c r="A2080" s="715">
        <v>37394</v>
      </c>
      <c r="B2080" s="633" t="s">
        <v>36635</v>
      </c>
      <c r="C2080" s="715" t="s">
        <v>36636</v>
      </c>
      <c r="D2080" s="715" t="s">
        <v>40839</v>
      </c>
      <c r="E2080" s="716">
        <v>44.15</v>
      </c>
    </row>
    <row r="2081" spans="1:5" ht="29">
      <c r="A2081" s="715">
        <v>14146</v>
      </c>
      <c r="B2081" s="633" t="s">
        <v>36637</v>
      </c>
      <c r="C2081" s="715" t="s">
        <v>36636</v>
      </c>
      <c r="D2081" s="715" t="s">
        <v>28018</v>
      </c>
      <c r="E2081" s="716">
        <v>71</v>
      </c>
    </row>
    <row r="2082" spans="1:5" ht="29">
      <c r="A2082" s="715">
        <v>938</v>
      </c>
      <c r="B2082" s="633" t="s">
        <v>36638</v>
      </c>
      <c r="C2082" s="715" t="s">
        <v>165</v>
      </c>
      <c r="D2082" s="715" t="s">
        <v>40839</v>
      </c>
      <c r="E2082" s="716">
        <v>1.78</v>
      </c>
    </row>
    <row r="2083" spans="1:5" ht="29">
      <c r="A2083" s="715">
        <v>937</v>
      </c>
      <c r="B2083" s="633" t="s">
        <v>36639</v>
      </c>
      <c r="C2083" s="715" t="s">
        <v>165</v>
      </c>
      <c r="D2083" s="715" t="s">
        <v>40839</v>
      </c>
      <c r="E2083" s="716">
        <v>10.41</v>
      </c>
    </row>
    <row r="2084" spans="1:5" ht="29">
      <c r="A2084" s="715">
        <v>939</v>
      </c>
      <c r="B2084" s="633" t="s">
        <v>36640</v>
      </c>
      <c r="C2084" s="715" t="s">
        <v>165</v>
      </c>
      <c r="D2084" s="715" t="s">
        <v>40839</v>
      </c>
      <c r="E2084" s="716">
        <v>2.89</v>
      </c>
    </row>
    <row r="2085" spans="1:5" ht="29">
      <c r="A2085" s="715">
        <v>944</v>
      </c>
      <c r="B2085" s="633" t="s">
        <v>36641</v>
      </c>
      <c r="C2085" s="715" t="s">
        <v>165</v>
      </c>
      <c r="D2085" s="715" t="s">
        <v>40839</v>
      </c>
      <c r="E2085" s="716">
        <v>4.5599999999999996</v>
      </c>
    </row>
    <row r="2086" spans="1:5" ht="29">
      <c r="A2086" s="715">
        <v>940</v>
      </c>
      <c r="B2086" s="633" t="s">
        <v>36642</v>
      </c>
      <c r="C2086" s="715" t="s">
        <v>165</v>
      </c>
      <c r="D2086" s="715" t="s">
        <v>40839</v>
      </c>
      <c r="E2086" s="716">
        <v>6.59</v>
      </c>
    </row>
    <row r="2087" spans="1:5">
      <c r="A2087" s="715">
        <v>44397</v>
      </c>
      <c r="B2087" s="633" t="s">
        <v>36643</v>
      </c>
      <c r="C2087" s="715" t="s">
        <v>165</v>
      </c>
      <c r="D2087" s="715" t="s">
        <v>40839</v>
      </c>
      <c r="E2087" s="716">
        <v>4.01</v>
      </c>
    </row>
    <row r="2088" spans="1:5">
      <c r="A2088" s="715">
        <v>406</v>
      </c>
      <c r="B2088" s="633" t="s">
        <v>36644</v>
      </c>
      <c r="C2088" s="715" t="s">
        <v>103</v>
      </c>
      <c r="D2088" s="715" t="s">
        <v>40839</v>
      </c>
      <c r="E2088" s="716">
        <v>83.93</v>
      </c>
    </row>
    <row r="2089" spans="1:5">
      <c r="A2089" s="715">
        <v>43728</v>
      </c>
      <c r="B2089" s="633" t="s">
        <v>42156</v>
      </c>
      <c r="C2089" s="715" t="s">
        <v>165</v>
      </c>
      <c r="D2089" s="715" t="s">
        <v>40839</v>
      </c>
      <c r="E2089" s="716">
        <v>0.2</v>
      </c>
    </row>
    <row r="2090" spans="1:5" ht="29">
      <c r="A2090" s="715">
        <v>42529</v>
      </c>
      <c r="B2090" s="633" t="s">
        <v>36645</v>
      </c>
      <c r="C2090" s="715" t="s">
        <v>165</v>
      </c>
      <c r="D2090" s="715" t="s">
        <v>40839</v>
      </c>
      <c r="E2090" s="716">
        <v>1.36</v>
      </c>
    </row>
    <row r="2091" spans="1:5" ht="29">
      <c r="A2091" s="715">
        <v>39634</v>
      </c>
      <c r="B2091" s="633" t="s">
        <v>36646</v>
      </c>
      <c r="C2091" s="715" t="s">
        <v>165</v>
      </c>
      <c r="D2091" s="715" t="s">
        <v>40839</v>
      </c>
      <c r="E2091" s="716">
        <v>3.78</v>
      </c>
    </row>
    <row r="2092" spans="1:5">
      <c r="A2092" s="715">
        <v>39701</v>
      </c>
      <c r="B2092" s="633" t="s">
        <v>36647</v>
      </c>
      <c r="C2092" s="715" t="s">
        <v>103</v>
      </c>
      <c r="D2092" s="715" t="s">
        <v>40839</v>
      </c>
      <c r="E2092" s="716">
        <v>106.82</v>
      </c>
    </row>
    <row r="2093" spans="1:5">
      <c r="A2093" s="715">
        <v>12815</v>
      </c>
      <c r="B2093" s="633" t="s">
        <v>36648</v>
      </c>
      <c r="C2093" s="715" t="s">
        <v>103</v>
      </c>
      <c r="D2093" s="715" t="s">
        <v>40839</v>
      </c>
      <c r="E2093" s="716">
        <v>14.7</v>
      </c>
    </row>
    <row r="2094" spans="1:5" ht="29">
      <c r="A2094" s="715">
        <v>39431</v>
      </c>
      <c r="B2094" s="633" t="s">
        <v>36649</v>
      </c>
      <c r="C2094" s="715" t="s">
        <v>165</v>
      </c>
      <c r="D2094" s="715" t="s">
        <v>40839</v>
      </c>
      <c r="E2094" s="716">
        <v>0.3</v>
      </c>
    </row>
    <row r="2095" spans="1:5" ht="29">
      <c r="A2095" s="715">
        <v>39432</v>
      </c>
      <c r="B2095" s="633" t="s">
        <v>36650</v>
      </c>
      <c r="C2095" s="715" t="s">
        <v>165</v>
      </c>
      <c r="D2095" s="715" t="s">
        <v>40839</v>
      </c>
      <c r="E2095" s="716">
        <v>2.7</v>
      </c>
    </row>
    <row r="2096" spans="1:5">
      <c r="A2096" s="715">
        <v>43727</v>
      </c>
      <c r="B2096" s="633" t="s">
        <v>42157</v>
      </c>
      <c r="C2096" s="715" t="s">
        <v>165</v>
      </c>
      <c r="D2096" s="715" t="s">
        <v>40839</v>
      </c>
      <c r="E2096" s="716">
        <v>1.51</v>
      </c>
    </row>
    <row r="2097" spans="1:5">
      <c r="A2097" s="715">
        <v>20111</v>
      </c>
      <c r="B2097" s="633" t="s">
        <v>36651</v>
      </c>
      <c r="C2097" s="715" t="s">
        <v>103</v>
      </c>
      <c r="D2097" s="715" t="s">
        <v>40839</v>
      </c>
      <c r="E2097" s="716">
        <v>22.35</v>
      </c>
    </row>
    <row r="2098" spans="1:5">
      <c r="A2098" s="715">
        <v>21127</v>
      </c>
      <c r="B2098" s="633" t="s">
        <v>36652</v>
      </c>
      <c r="C2098" s="715" t="s">
        <v>103</v>
      </c>
      <c r="D2098" s="715" t="s">
        <v>40839</v>
      </c>
      <c r="E2098" s="716">
        <v>6.52</v>
      </c>
    </row>
    <row r="2099" spans="1:5" ht="29">
      <c r="A2099" s="715">
        <v>404</v>
      </c>
      <c r="B2099" s="633" t="s">
        <v>36653</v>
      </c>
      <c r="C2099" s="715" t="s">
        <v>165</v>
      </c>
      <c r="D2099" s="715" t="s">
        <v>28018</v>
      </c>
      <c r="E2099" s="716">
        <v>4.2699999999999996</v>
      </c>
    </row>
    <row r="2100" spans="1:5">
      <c r="A2100" s="715">
        <v>14151</v>
      </c>
      <c r="B2100" s="633" t="s">
        <v>36654</v>
      </c>
      <c r="C2100" s="715" t="s">
        <v>103</v>
      </c>
      <c r="D2100" s="715" t="s">
        <v>40839</v>
      </c>
      <c r="E2100" s="716">
        <v>51.03</v>
      </c>
    </row>
    <row r="2101" spans="1:5" ht="29">
      <c r="A2101" s="715">
        <v>14153</v>
      </c>
      <c r="B2101" s="633" t="s">
        <v>36655</v>
      </c>
      <c r="C2101" s="715" t="s">
        <v>103</v>
      </c>
      <c r="D2101" s="715" t="s">
        <v>40839</v>
      </c>
      <c r="E2101" s="716">
        <v>57.68</v>
      </c>
    </row>
    <row r="2102" spans="1:5" ht="29">
      <c r="A2102" s="715">
        <v>14152</v>
      </c>
      <c r="B2102" s="633" t="s">
        <v>36656</v>
      </c>
      <c r="C2102" s="715" t="s">
        <v>103</v>
      </c>
      <c r="D2102" s="715" t="s">
        <v>40839</v>
      </c>
      <c r="E2102" s="716">
        <v>44.28</v>
      </c>
    </row>
    <row r="2103" spans="1:5" ht="29">
      <c r="A2103" s="715">
        <v>14154</v>
      </c>
      <c r="B2103" s="633" t="s">
        <v>36657</v>
      </c>
      <c r="C2103" s="715" t="s">
        <v>103</v>
      </c>
      <c r="D2103" s="715" t="s">
        <v>40839</v>
      </c>
      <c r="E2103" s="716">
        <v>155</v>
      </c>
    </row>
    <row r="2104" spans="1:5">
      <c r="A2104" s="715">
        <v>43729</v>
      </c>
      <c r="B2104" s="633" t="s">
        <v>42158</v>
      </c>
      <c r="C2104" s="715" t="s">
        <v>165</v>
      </c>
      <c r="D2104" s="715" t="s">
        <v>40839</v>
      </c>
      <c r="E2104" s="716">
        <v>0.15</v>
      </c>
    </row>
    <row r="2105" spans="1:5" ht="29">
      <c r="A2105" s="715">
        <v>41956</v>
      </c>
      <c r="B2105" s="633" t="s">
        <v>42159</v>
      </c>
      <c r="C2105" s="715" t="s">
        <v>165</v>
      </c>
      <c r="D2105" s="715" t="s">
        <v>40839</v>
      </c>
      <c r="E2105" s="716">
        <v>7.0000000000000007E-2</v>
      </c>
    </row>
    <row r="2106" spans="1:5">
      <c r="A2106" s="715">
        <v>3146</v>
      </c>
      <c r="B2106" s="633" t="s">
        <v>36658</v>
      </c>
      <c r="C2106" s="715" t="s">
        <v>103</v>
      </c>
      <c r="D2106" s="715" t="s">
        <v>40839</v>
      </c>
      <c r="E2106" s="716">
        <v>4.16</v>
      </c>
    </row>
    <row r="2107" spans="1:5">
      <c r="A2107" s="715">
        <v>3143</v>
      </c>
      <c r="B2107" s="633" t="s">
        <v>41022</v>
      </c>
      <c r="C2107" s="715" t="s">
        <v>103</v>
      </c>
      <c r="D2107" s="715" t="s">
        <v>40839</v>
      </c>
      <c r="E2107" s="716">
        <v>7.59</v>
      </c>
    </row>
    <row r="2108" spans="1:5">
      <c r="A2108" s="715">
        <v>3148</v>
      </c>
      <c r="B2108" s="633" t="s">
        <v>36659</v>
      </c>
      <c r="C2108" s="715" t="s">
        <v>103</v>
      </c>
      <c r="D2108" s="715" t="s">
        <v>40839</v>
      </c>
      <c r="E2108" s="716">
        <v>16.34</v>
      </c>
    </row>
    <row r="2109" spans="1:5" ht="29">
      <c r="A2109" s="715">
        <v>4310</v>
      </c>
      <c r="B2109" s="633" t="s">
        <v>36660</v>
      </c>
      <c r="C2109" s="715" t="s">
        <v>103</v>
      </c>
      <c r="D2109" s="715" t="s">
        <v>40839</v>
      </c>
      <c r="E2109" s="716">
        <v>2.93</v>
      </c>
    </row>
    <row r="2110" spans="1:5" ht="29">
      <c r="A2110" s="715">
        <v>4311</v>
      </c>
      <c r="B2110" s="633" t="s">
        <v>36661</v>
      </c>
      <c r="C2110" s="715" t="s">
        <v>103</v>
      </c>
      <c r="D2110" s="715" t="s">
        <v>40839</v>
      </c>
      <c r="E2110" s="716">
        <v>2.06</v>
      </c>
    </row>
    <row r="2111" spans="1:5" ht="29">
      <c r="A2111" s="715">
        <v>4312</v>
      </c>
      <c r="B2111" s="633" t="s">
        <v>36662</v>
      </c>
      <c r="C2111" s="715" t="s">
        <v>103</v>
      </c>
      <c r="D2111" s="715" t="s">
        <v>40839</v>
      </c>
      <c r="E2111" s="716">
        <v>2.88</v>
      </c>
    </row>
    <row r="2112" spans="1:5">
      <c r="A2112" s="715">
        <v>13261</v>
      </c>
      <c r="B2112" s="633" t="s">
        <v>36663</v>
      </c>
      <c r="C2112" s="715" t="s">
        <v>103</v>
      </c>
      <c r="D2112" s="715" t="s">
        <v>40839</v>
      </c>
      <c r="E2112" s="716">
        <v>2.66</v>
      </c>
    </row>
    <row r="2113" spans="1:5">
      <c r="A2113" s="715">
        <v>3272</v>
      </c>
      <c r="B2113" s="633" t="s">
        <v>36664</v>
      </c>
      <c r="C2113" s="715" t="s">
        <v>103</v>
      </c>
      <c r="D2113" s="715" t="s">
        <v>40839</v>
      </c>
      <c r="E2113" s="716">
        <v>55.12</v>
      </c>
    </row>
    <row r="2114" spans="1:5">
      <c r="A2114" s="715">
        <v>3265</v>
      </c>
      <c r="B2114" s="633" t="s">
        <v>36665</v>
      </c>
      <c r="C2114" s="715" t="s">
        <v>103</v>
      </c>
      <c r="D2114" s="715" t="s">
        <v>40839</v>
      </c>
      <c r="E2114" s="716">
        <v>43.79</v>
      </c>
    </row>
    <row r="2115" spans="1:5">
      <c r="A2115" s="715">
        <v>3264</v>
      </c>
      <c r="B2115" s="633" t="s">
        <v>36666</v>
      </c>
      <c r="C2115" s="715" t="s">
        <v>103</v>
      </c>
      <c r="D2115" s="715" t="s">
        <v>40839</v>
      </c>
      <c r="E2115" s="716">
        <v>31.49</v>
      </c>
    </row>
    <row r="2116" spans="1:5">
      <c r="A2116" s="715">
        <v>3262</v>
      </c>
      <c r="B2116" s="633" t="s">
        <v>36667</v>
      </c>
      <c r="C2116" s="715" t="s">
        <v>103</v>
      </c>
      <c r="D2116" s="715" t="s">
        <v>40839</v>
      </c>
      <c r="E2116" s="716">
        <v>19.170000000000002</v>
      </c>
    </row>
    <row r="2117" spans="1:5">
      <c r="A2117" s="715">
        <v>3267</v>
      </c>
      <c r="B2117" s="633" t="s">
        <v>36668</v>
      </c>
      <c r="C2117" s="715" t="s">
        <v>103</v>
      </c>
      <c r="D2117" s="715" t="s">
        <v>40839</v>
      </c>
      <c r="E2117" s="716">
        <v>102.84</v>
      </c>
    </row>
    <row r="2118" spans="1:5">
      <c r="A2118" s="715">
        <v>3266</v>
      </c>
      <c r="B2118" s="633" t="s">
        <v>36669</v>
      </c>
      <c r="C2118" s="715" t="s">
        <v>103</v>
      </c>
      <c r="D2118" s="715" t="s">
        <v>40839</v>
      </c>
      <c r="E2118" s="716">
        <v>65.430000000000007</v>
      </c>
    </row>
    <row r="2119" spans="1:5">
      <c r="A2119" s="715">
        <v>3268</v>
      </c>
      <c r="B2119" s="633" t="s">
        <v>36670</v>
      </c>
      <c r="C2119" s="715" t="s">
        <v>103</v>
      </c>
      <c r="D2119" s="715" t="s">
        <v>40839</v>
      </c>
      <c r="E2119" s="716">
        <v>139.04</v>
      </c>
    </row>
    <row r="2120" spans="1:5">
      <c r="A2120" s="715">
        <v>3263</v>
      </c>
      <c r="B2120" s="633" t="s">
        <v>36671</v>
      </c>
      <c r="C2120" s="715" t="s">
        <v>103</v>
      </c>
      <c r="D2120" s="715" t="s">
        <v>40839</v>
      </c>
      <c r="E2120" s="716">
        <v>26.18</v>
      </c>
    </row>
    <row r="2121" spans="1:5">
      <c r="A2121" s="715">
        <v>3271</v>
      </c>
      <c r="B2121" s="633" t="s">
        <v>36672</v>
      </c>
      <c r="C2121" s="715" t="s">
        <v>103</v>
      </c>
      <c r="D2121" s="715" t="s">
        <v>40839</v>
      </c>
      <c r="E2121" s="716">
        <v>205.56</v>
      </c>
    </row>
    <row r="2122" spans="1:5">
      <c r="A2122" s="715">
        <v>3270</v>
      </c>
      <c r="B2122" s="633" t="s">
        <v>36673</v>
      </c>
      <c r="C2122" s="715" t="s">
        <v>103</v>
      </c>
      <c r="D2122" s="715" t="s">
        <v>40839</v>
      </c>
      <c r="E2122" s="716">
        <v>345.35</v>
      </c>
    </row>
    <row r="2123" spans="1:5">
      <c r="A2123" s="715">
        <v>45256</v>
      </c>
      <c r="B2123" s="633" t="s">
        <v>40860</v>
      </c>
      <c r="C2123" s="715" t="s">
        <v>103</v>
      </c>
      <c r="D2123" s="715" t="s">
        <v>40839</v>
      </c>
      <c r="E2123" s="716">
        <v>29.23</v>
      </c>
    </row>
    <row r="2124" spans="1:5" ht="29">
      <c r="A2124" s="715">
        <v>3275</v>
      </c>
      <c r="B2124" s="633" t="s">
        <v>36674</v>
      </c>
      <c r="C2124" s="715" t="s">
        <v>509</v>
      </c>
      <c r="D2124" s="715" t="s">
        <v>40839</v>
      </c>
      <c r="E2124" s="716">
        <v>136.33000000000001</v>
      </c>
    </row>
    <row r="2125" spans="1:5" ht="43">
      <c r="A2125" s="715">
        <v>39512</v>
      </c>
      <c r="B2125" s="633" t="s">
        <v>36675</v>
      </c>
      <c r="C2125" s="715" t="s">
        <v>509</v>
      </c>
      <c r="D2125" s="715" t="s">
        <v>40839</v>
      </c>
      <c r="E2125" s="716">
        <v>126.31</v>
      </c>
    </row>
    <row r="2126" spans="1:5" ht="43">
      <c r="A2126" s="715">
        <v>39511</v>
      </c>
      <c r="B2126" s="633" t="s">
        <v>36676</v>
      </c>
      <c r="C2126" s="715" t="s">
        <v>509</v>
      </c>
      <c r="D2126" s="715" t="s">
        <v>40839</v>
      </c>
      <c r="E2126" s="716">
        <v>137.77000000000001</v>
      </c>
    </row>
    <row r="2127" spans="1:5" ht="43">
      <c r="A2127" s="715">
        <v>39513</v>
      </c>
      <c r="B2127" s="633" t="s">
        <v>36677</v>
      </c>
      <c r="C2127" s="715" t="s">
        <v>509</v>
      </c>
      <c r="D2127" s="715" t="s">
        <v>40839</v>
      </c>
      <c r="E2127" s="716">
        <v>147.77000000000001</v>
      </c>
    </row>
    <row r="2128" spans="1:5" ht="29">
      <c r="A2128" s="715">
        <v>3286</v>
      </c>
      <c r="B2128" s="633" t="s">
        <v>36678</v>
      </c>
      <c r="C2128" s="715" t="s">
        <v>509</v>
      </c>
      <c r="D2128" s="715" t="s">
        <v>40839</v>
      </c>
      <c r="E2128" s="716">
        <v>99.26</v>
      </c>
    </row>
    <row r="2129" spans="1:5" ht="29">
      <c r="A2129" s="715">
        <v>3287</v>
      </c>
      <c r="B2129" s="633" t="s">
        <v>36679</v>
      </c>
      <c r="C2129" s="715" t="s">
        <v>509</v>
      </c>
      <c r="D2129" s="715" t="s">
        <v>40839</v>
      </c>
      <c r="E2129" s="716">
        <v>150</v>
      </c>
    </row>
    <row r="2130" spans="1:5" ht="29">
      <c r="A2130" s="715">
        <v>3283</v>
      </c>
      <c r="B2130" s="633" t="s">
        <v>36680</v>
      </c>
      <c r="C2130" s="715" t="s">
        <v>509</v>
      </c>
      <c r="D2130" s="715" t="s">
        <v>40839</v>
      </c>
      <c r="E2130" s="716">
        <v>31.51</v>
      </c>
    </row>
    <row r="2131" spans="1:5" ht="29">
      <c r="A2131" s="715">
        <v>11587</v>
      </c>
      <c r="B2131" s="633" t="s">
        <v>36681</v>
      </c>
      <c r="C2131" s="715" t="s">
        <v>509</v>
      </c>
      <c r="D2131" s="715" t="s">
        <v>40839</v>
      </c>
      <c r="E2131" s="716">
        <v>93.48</v>
      </c>
    </row>
    <row r="2132" spans="1:5" ht="29">
      <c r="A2132" s="715">
        <v>36225</v>
      </c>
      <c r="B2132" s="633" t="s">
        <v>36682</v>
      </c>
      <c r="C2132" s="715" t="s">
        <v>509</v>
      </c>
      <c r="D2132" s="715" t="s">
        <v>40839</v>
      </c>
      <c r="E2132" s="716">
        <v>37.97</v>
      </c>
    </row>
    <row r="2133" spans="1:5" ht="29">
      <c r="A2133" s="715">
        <v>36230</v>
      </c>
      <c r="B2133" s="633" t="s">
        <v>36683</v>
      </c>
      <c r="C2133" s="715" t="s">
        <v>509</v>
      </c>
      <c r="D2133" s="715" t="s">
        <v>28018</v>
      </c>
      <c r="E2133" s="716">
        <v>27.9</v>
      </c>
    </row>
    <row r="2134" spans="1:5" ht="29">
      <c r="A2134" s="715">
        <v>36238</v>
      </c>
      <c r="B2134" s="633" t="s">
        <v>36684</v>
      </c>
      <c r="C2134" s="715" t="s">
        <v>509</v>
      </c>
      <c r="D2134" s="715" t="s">
        <v>40839</v>
      </c>
      <c r="E2134" s="716">
        <v>27.26</v>
      </c>
    </row>
    <row r="2135" spans="1:5" ht="43">
      <c r="A2135" s="715">
        <v>39363</v>
      </c>
      <c r="B2135" s="633" t="s">
        <v>36685</v>
      </c>
      <c r="C2135" s="715" t="s">
        <v>103</v>
      </c>
      <c r="D2135" s="715" t="s">
        <v>40839</v>
      </c>
      <c r="E2135" s="716">
        <v>5744.38</v>
      </c>
    </row>
    <row r="2136" spans="1:5" ht="43">
      <c r="A2136" s="715">
        <v>39361</v>
      </c>
      <c r="B2136" s="633" t="s">
        <v>36686</v>
      </c>
      <c r="C2136" s="715" t="s">
        <v>103</v>
      </c>
      <c r="D2136" s="715" t="s">
        <v>40839</v>
      </c>
      <c r="E2136" s="716">
        <v>1754.95</v>
      </c>
    </row>
    <row r="2137" spans="1:5" ht="43">
      <c r="A2137" s="715">
        <v>39362</v>
      </c>
      <c r="B2137" s="633" t="s">
        <v>36687</v>
      </c>
      <c r="C2137" s="715" t="s">
        <v>103</v>
      </c>
      <c r="D2137" s="715" t="s">
        <v>40839</v>
      </c>
      <c r="E2137" s="716">
        <v>3100.21</v>
      </c>
    </row>
    <row r="2138" spans="1:5" ht="43">
      <c r="A2138" s="715">
        <v>39364</v>
      </c>
      <c r="B2138" s="633" t="s">
        <v>36688</v>
      </c>
      <c r="C2138" s="715" t="s">
        <v>103</v>
      </c>
      <c r="D2138" s="715" t="s">
        <v>40839</v>
      </c>
      <c r="E2138" s="716">
        <v>12116.43</v>
      </c>
    </row>
    <row r="2139" spans="1:5" ht="29">
      <c r="A2139" s="715">
        <v>14576</v>
      </c>
      <c r="B2139" s="633" t="s">
        <v>36689</v>
      </c>
      <c r="C2139" s="715" t="s">
        <v>103</v>
      </c>
      <c r="D2139" s="715" t="s">
        <v>40839</v>
      </c>
      <c r="E2139" s="716">
        <v>6114614.9900000002</v>
      </c>
    </row>
    <row r="2140" spans="1:5" ht="29">
      <c r="A2140" s="715">
        <v>13877</v>
      </c>
      <c r="B2140" s="633" t="s">
        <v>36690</v>
      </c>
      <c r="C2140" s="715" t="s">
        <v>103</v>
      </c>
      <c r="D2140" s="715" t="s">
        <v>40839</v>
      </c>
      <c r="E2140" s="716">
        <v>2617575.48</v>
      </c>
    </row>
    <row r="2141" spans="1:5">
      <c r="A2141" s="715">
        <v>7307</v>
      </c>
      <c r="B2141" s="633" t="s">
        <v>36691</v>
      </c>
      <c r="C2141" s="715" t="s">
        <v>153</v>
      </c>
      <c r="D2141" s="715" t="s">
        <v>40839</v>
      </c>
      <c r="E2141" s="716">
        <v>49.39</v>
      </c>
    </row>
    <row r="2142" spans="1:5">
      <c r="A2142" s="715">
        <v>38122</v>
      </c>
      <c r="B2142" s="633" t="s">
        <v>36692</v>
      </c>
      <c r="C2142" s="715" t="s">
        <v>153</v>
      </c>
      <c r="D2142" s="715" t="s">
        <v>40839</v>
      </c>
      <c r="E2142" s="716">
        <v>20.96</v>
      </c>
    </row>
    <row r="2143" spans="1:5">
      <c r="A2143" s="715">
        <v>43653</v>
      </c>
      <c r="B2143" s="633" t="s">
        <v>36693</v>
      </c>
      <c r="C2143" s="715" t="s">
        <v>153</v>
      </c>
      <c r="D2143" s="715" t="s">
        <v>40839</v>
      </c>
      <c r="E2143" s="716">
        <v>38.07</v>
      </c>
    </row>
    <row r="2144" spans="1:5">
      <c r="A2144" s="715">
        <v>45301</v>
      </c>
      <c r="B2144" s="633" t="s">
        <v>41351</v>
      </c>
      <c r="C2144" s="715" t="s">
        <v>103</v>
      </c>
      <c r="D2144" s="715" t="s">
        <v>40839</v>
      </c>
      <c r="E2144" s="716">
        <v>244.22</v>
      </c>
    </row>
    <row r="2145" spans="1:5" ht="29">
      <c r="A2145" s="715">
        <v>45334</v>
      </c>
      <c r="B2145" s="633" t="s">
        <v>36694</v>
      </c>
      <c r="C2145" s="715" t="s">
        <v>103</v>
      </c>
      <c r="D2145" s="715" t="s">
        <v>40839</v>
      </c>
      <c r="E2145" s="716">
        <v>30.23</v>
      </c>
    </row>
    <row r="2146" spans="1:5" ht="29">
      <c r="A2146" s="715">
        <v>34802</v>
      </c>
      <c r="B2146" s="633" t="s">
        <v>36695</v>
      </c>
      <c r="C2146" s="715" t="s">
        <v>103</v>
      </c>
      <c r="D2146" s="715" t="s">
        <v>40839</v>
      </c>
      <c r="E2146" s="716">
        <v>1262.8699999999999</v>
      </c>
    </row>
    <row r="2147" spans="1:5" ht="29">
      <c r="A2147" s="715">
        <v>11588</v>
      </c>
      <c r="B2147" s="633" t="s">
        <v>36696</v>
      </c>
      <c r="C2147" s="715" t="s">
        <v>103</v>
      </c>
      <c r="D2147" s="715" t="s">
        <v>40839</v>
      </c>
      <c r="E2147" s="716">
        <v>1362.43</v>
      </c>
    </row>
    <row r="2148" spans="1:5" ht="29">
      <c r="A2148" s="715">
        <v>34383</v>
      </c>
      <c r="B2148" s="633" t="s">
        <v>36697</v>
      </c>
      <c r="C2148" s="715" t="s">
        <v>103</v>
      </c>
      <c r="D2148" s="715" t="s">
        <v>40839</v>
      </c>
      <c r="E2148" s="716">
        <v>1498.78</v>
      </c>
    </row>
    <row r="2149" spans="1:5" ht="29">
      <c r="A2149" s="715">
        <v>40451</v>
      </c>
      <c r="B2149" s="633" t="s">
        <v>36698</v>
      </c>
      <c r="C2149" s="715" t="s">
        <v>509</v>
      </c>
      <c r="D2149" s="715" t="s">
        <v>40839</v>
      </c>
      <c r="E2149" s="716">
        <v>121.15</v>
      </c>
    </row>
    <row r="2150" spans="1:5" ht="29">
      <c r="A2150" s="715">
        <v>40453</v>
      </c>
      <c r="B2150" s="633" t="s">
        <v>36699</v>
      </c>
      <c r="C2150" s="715" t="s">
        <v>509</v>
      </c>
      <c r="D2150" s="715" t="s">
        <v>40839</v>
      </c>
      <c r="E2150" s="716">
        <v>131.08000000000001</v>
      </c>
    </row>
    <row r="2151" spans="1:5" ht="29">
      <c r="A2151" s="715">
        <v>40452</v>
      </c>
      <c r="B2151" s="633" t="s">
        <v>36700</v>
      </c>
      <c r="C2151" s="715" t="s">
        <v>509</v>
      </c>
      <c r="D2151" s="715" t="s">
        <v>40839</v>
      </c>
      <c r="E2151" s="716">
        <v>143.78</v>
      </c>
    </row>
    <row r="2152" spans="1:5" ht="29">
      <c r="A2152" s="715">
        <v>11594</v>
      </c>
      <c r="B2152" s="633" t="s">
        <v>36701</v>
      </c>
      <c r="C2152" s="715" t="s">
        <v>103</v>
      </c>
      <c r="D2152" s="715" t="s">
        <v>40839</v>
      </c>
      <c r="E2152" s="716">
        <v>434.25</v>
      </c>
    </row>
    <row r="2153" spans="1:5" ht="29">
      <c r="A2153" s="715">
        <v>3311</v>
      </c>
      <c r="B2153" s="633" t="s">
        <v>36702</v>
      </c>
      <c r="C2153" s="715" t="s">
        <v>121</v>
      </c>
      <c r="D2153" s="715" t="s">
        <v>40839</v>
      </c>
      <c r="E2153" s="716">
        <v>434.25</v>
      </c>
    </row>
    <row r="2154" spans="1:5" ht="29">
      <c r="A2154" s="715">
        <v>11599</v>
      </c>
      <c r="B2154" s="633" t="s">
        <v>36703</v>
      </c>
      <c r="C2154" s="715" t="s">
        <v>103</v>
      </c>
      <c r="D2154" s="715" t="s">
        <v>40839</v>
      </c>
      <c r="E2154" s="716">
        <v>577.5</v>
      </c>
    </row>
    <row r="2155" spans="1:5" ht="29">
      <c r="A2155" s="715">
        <v>11593</v>
      </c>
      <c r="B2155" s="633" t="s">
        <v>36704</v>
      </c>
      <c r="C2155" s="715" t="s">
        <v>103</v>
      </c>
      <c r="D2155" s="715" t="s">
        <v>40839</v>
      </c>
      <c r="E2155" s="716">
        <v>809.62</v>
      </c>
    </row>
    <row r="2156" spans="1:5" ht="29">
      <c r="A2156" s="715">
        <v>3314</v>
      </c>
      <c r="B2156" s="633" t="s">
        <v>36705</v>
      </c>
      <c r="C2156" s="715" t="s">
        <v>121</v>
      </c>
      <c r="D2156" s="715" t="s">
        <v>40839</v>
      </c>
      <c r="E2156" s="716">
        <v>579.04</v>
      </c>
    </row>
    <row r="2157" spans="1:5" ht="29">
      <c r="A2157" s="715">
        <v>11597</v>
      </c>
      <c r="B2157" s="633" t="s">
        <v>36706</v>
      </c>
      <c r="C2157" s="715" t="s">
        <v>103</v>
      </c>
      <c r="D2157" s="715" t="s">
        <v>40839</v>
      </c>
      <c r="E2157" s="716">
        <v>673.35</v>
      </c>
    </row>
    <row r="2158" spans="1:5">
      <c r="A2158" s="715">
        <v>3309</v>
      </c>
      <c r="B2158" s="633" t="s">
        <v>36707</v>
      </c>
      <c r="C2158" s="715" t="s">
        <v>121</v>
      </c>
      <c r="D2158" s="715" t="s">
        <v>40839</v>
      </c>
      <c r="E2158" s="716">
        <v>459.84</v>
      </c>
    </row>
    <row r="2159" spans="1:5" ht="43">
      <c r="A2159" s="715">
        <v>40440</v>
      </c>
      <c r="B2159" s="633" t="s">
        <v>36708</v>
      </c>
      <c r="C2159" s="715" t="s">
        <v>121</v>
      </c>
      <c r="D2159" s="715" t="s">
        <v>40839</v>
      </c>
      <c r="E2159" s="716">
        <v>603.13</v>
      </c>
    </row>
    <row r="2160" spans="1:5" ht="43">
      <c r="A2160" s="715">
        <v>40441</v>
      </c>
      <c r="B2160" s="633" t="s">
        <v>36709</v>
      </c>
      <c r="C2160" s="715" t="s">
        <v>121</v>
      </c>
      <c r="D2160" s="715" t="s">
        <v>40839</v>
      </c>
      <c r="E2160" s="716">
        <v>385.06</v>
      </c>
    </row>
    <row r="2161" spans="1:5" ht="43">
      <c r="A2161" s="715">
        <v>34612</v>
      </c>
      <c r="B2161" s="633" t="s">
        <v>36710</v>
      </c>
      <c r="C2161" s="715" t="s">
        <v>103</v>
      </c>
      <c r="D2161" s="715" t="s">
        <v>40839</v>
      </c>
      <c r="E2161" s="716">
        <v>832.82</v>
      </c>
    </row>
    <row r="2162" spans="1:5" ht="43">
      <c r="A2162" s="715">
        <v>34635</v>
      </c>
      <c r="B2162" s="633" t="s">
        <v>36711</v>
      </c>
      <c r="C2162" s="715" t="s">
        <v>103</v>
      </c>
      <c r="D2162" s="715" t="s">
        <v>40839</v>
      </c>
      <c r="E2162" s="716">
        <v>1070.97</v>
      </c>
    </row>
    <row r="2163" spans="1:5" ht="43">
      <c r="A2163" s="715">
        <v>34633</v>
      </c>
      <c r="B2163" s="633" t="s">
        <v>36712</v>
      </c>
      <c r="C2163" s="715" t="s">
        <v>103</v>
      </c>
      <c r="D2163" s="715" t="s">
        <v>40839</v>
      </c>
      <c r="E2163" s="716">
        <v>1180.49</v>
      </c>
    </row>
    <row r="2164" spans="1:5" ht="43">
      <c r="A2164" s="715">
        <v>40449</v>
      </c>
      <c r="B2164" s="633" t="s">
        <v>36713</v>
      </c>
      <c r="C2164" s="715" t="s">
        <v>121</v>
      </c>
      <c r="D2164" s="715" t="s">
        <v>40839</v>
      </c>
      <c r="E2164" s="716">
        <v>323.70999999999998</v>
      </c>
    </row>
    <row r="2165" spans="1:5" ht="29">
      <c r="A2165" s="715">
        <v>11592</v>
      </c>
      <c r="B2165" s="633" t="s">
        <v>36714</v>
      </c>
      <c r="C2165" s="715" t="s">
        <v>103</v>
      </c>
      <c r="D2165" s="715" t="s">
        <v>40839</v>
      </c>
      <c r="E2165" s="716">
        <v>579.04</v>
      </c>
    </row>
    <row r="2166" spans="1:5" ht="29">
      <c r="A2166" s="715">
        <v>34800</v>
      </c>
      <c r="B2166" s="633" t="s">
        <v>36715</v>
      </c>
      <c r="C2166" s="715" t="s">
        <v>121</v>
      </c>
      <c r="D2166" s="715" t="s">
        <v>40839</v>
      </c>
      <c r="E2166" s="716">
        <v>404.8</v>
      </c>
    </row>
    <row r="2167" spans="1:5" ht="29">
      <c r="A2167" s="715">
        <v>11596</v>
      </c>
      <c r="B2167" s="633" t="s">
        <v>36716</v>
      </c>
      <c r="C2167" s="715" t="s">
        <v>103</v>
      </c>
      <c r="D2167" s="715" t="s">
        <v>40839</v>
      </c>
      <c r="E2167" s="716">
        <v>459.84</v>
      </c>
    </row>
    <row r="2168" spans="1:5" ht="29">
      <c r="A2168" s="715">
        <v>40438</v>
      </c>
      <c r="B2168" s="633" t="s">
        <v>36717</v>
      </c>
      <c r="C2168" s="715" t="s">
        <v>121</v>
      </c>
      <c r="D2168" s="715" t="s">
        <v>40839</v>
      </c>
      <c r="E2168" s="716">
        <v>269.69</v>
      </c>
    </row>
    <row r="2169" spans="1:5" ht="29">
      <c r="A2169" s="715">
        <v>40436</v>
      </c>
      <c r="B2169" s="633" t="s">
        <v>36718</v>
      </c>
      <c r="C2169" s="715" t="s">
        <v>121</v>
      </c>
      <c r="D2169" s="715" t="s">
        <v>40839</v>
      </c>
      <c r="E2169" s="716">
        <v>336.28</v>
      </c>
    </row>
    <row r="2170" spans="1:5" ht="29">
      <c r="A2170" s="715">
        <v>4315</v>
      </c>
      <c r="B2170" s="633" t="s">
        <v>36719</v>
      </c>
      <c r="C2170" s="715" t="s">
        <v>103</v>
      </c>
      <c r="D2170" s="715" t="s">
        <v>40839</v>
      </c>
      <c r="E2170" s="716">
        <v>2.12</v>
      </c>
    </row>
    <row r="2171" spans="1:5">
      <c r="A2171" s="715">
        <v>402</v>
      </c>
      <c r="B2171" s="633" t="s">
        <v>36720</v>
      </c>
      <c r="C2171" s="715" t="s">
        <v>103</v>
      </c>
      <c r="D2171" s="715" t="s">
        <v>40839</v>
      </c>
      <c r="E2171" s="716">
        <v>12.11</v>
      </c>
    </row>
    <row r="2172" spans="1:5">
      <c r="A2172" s="715">
        <v>4226</v>
      </c>
      <c r="B2172" s="633" t="s">
        <v>36721</v>
      </c>
      <c r="C2172" s="715" t="s">
        <v>207</v>
      </c>
      <c r="D2172" s="715" t="s">
        <v>28018</v>
      </c>
      <c r="E2172" s="716">
        <v>8.9600000000000009</v>
      </c>
    </row>
    <row r="2173" spans="1:5">
      <c r="A2173" s="715">
        <v>4222</v>
      </c>
      <c r="B2173" s="633" t="s">
        <v>36722</v>
      </c>
      <c r="C2173" s="715" t="s">
        <v>153</v>
      </c>
      <c r="D2173" s="715" t="s">
        <v>28018</v>
      </c>
      <c r="E2173" s="716">
        <v>6.64</v>
      </c>
    </row>
    <row r="2174" spans="1:5" ht="43">
      <c r="A2174" s="715">
        <v>34804</v>
      </c>
      <c r="B2174" s="633" t="s">
        <v>36723</v>
      </c>
      <c r="C2174" s="715" t="s">
        <v>509</v>
      </c>
      <c r="D2174" s="715" t="s">
        <v>40839</v>
      </c>
      <c r="E2174" s="716">
        <v>48.88</v>
      </c>
    </row>
    <row r="2175" spans="1:5" ht="29">
      <c r="A2175" s="715">
        <v>4013</v>
      </c>
      <c r="B2175" s="633" t="s">
        <v>36724</v>
      </c>
      <c r="C2175" s="715" t="s">
        <v>509</v>
      </c>
      <c r="D2175" s="715" t="s">
        <v>40839</v>
      </c>
      <c r="E2175" s="716">
        <v>7.53</v>
      </c>
    </row>
    <row r="2176" spans="1:5" ht="29">
      <c r="A2176" s="715">
        <v>4011</v>
      </c>
      <c r="B2176" s="633" t="s">
        <v>36725</v>
      </c>
      <c r="C2176" s="715" t="s">
        <v>509</v>
      </c>
      <c r="D2176" s="715" t="s">
        <v>40839</v>
      </c>
      <c r="E2176" s="716">
        <v>8.41</v>
      </c>
    </row>
    <row r="2177" spans="1:5" ht="29">
      <c r="A2177" s="715">
        <v>4021</v>
      </c>
      <c r="B2177" s="633" t="s">
        <v>36726</v>
      </c>
      <c r="C2177" s="715" t="s">
        <v>509</v>
      </c>
      <c r="D2177" s="715" t="s">
        <v>40839</v>
      </c>
      <c r="E2177" s="716">
        <v>10.49</v>
      </c>
    </row>
    <row r="2178" spans="1:5" ht="29">
      <c r="A2178" s="715">
        <v>4019</v>
      </c>
      <c r="B2178" s="633" t="s">
        <v>36727</v>
      </c>
      <c r="C2178" s="715" t="s">
        <v>509</v>
      </c>
      <c r="D2178" s="715" t="s">
        <v>40839</v>
      </c>
      <c r="E2178" s="716">
        <v>12.6</v>
      </c>
    </row>
    <row r="2179" spans="1:5" ht="29">
      <c r="A2179" s="715">
        <v>4012</v>
      </c>
      <c r="B2179" s="633" t="s">
        <v>36728</v>
      </c>
      <c r="C2179" s="715" t="s">
        <v>509</v>
      </c>
      <c r="D2179" s="715" t="s">
        <v>40839</v>
      </c>
      <c r="E2179" s="716">
        <v>16.88</v>
      </c>
    </row>
    <row r="2180" spans="1:5" ht="29">
      <c r="A2180" s="715">
        <v>4020</v>
      </c>
      <c r="B2180" s="633" t="s">
        <v>36729</v>
      </c>
      <c r="C2180" s="715" t="s">
        <v>509</v>
      </c>
      <c r="D2180" s="715" t="s">
        <v>40839</v>
      </c>
      <c r="E2180" s="716">
        <v>21.14</v>
      </c>
    </row>
    <row r="2181" spans="1:5" ht="29">
      <c r="A2181" s="715">
        <v>4018</v>
      </c>
      <c r="B2181" s="633" t="s">
        <v>36730</v>
      </c>
      <c r="C2181" s="715" t="s">
        <v>509</v>
      </c>
      <c r="D2181" s="715" t="s">
        <v>40839</v>
      </c>
      <c r="E2181" s="716">
        <v>25.32</v>
      </c>
    </row>
    <row r="2182" spans="1:5" ht="29">
      <c r="A2182" s="715">
        <v>36498</v>
      </c>
      <c r="B2182" s="633" t="s">
        <v>36731</v>
      </c>
      <c r="C2182" s="715" t="s">
        <v>103</v>
      </c>
      <c r="D2182" s="715" t="s">
        <v>40839</v>
      </c>
      <c r="E2182" s="716">
        <v>8511.19</v>
      </c>
    </row>
    <row r="2183" spans="1:5">
      <c r="A2183" s="715">
        <v>12872</v>
      </c>
      <c r="B2183" s="633" t="s">
        <v>36732</v>
      </c>
      <c r="C2183" s="715" t="s">
        <v>11</v>
      </c>
      <c r="D2183" s="715" t="s">
        <v>40839</v>
      </c>
      <c r="E2183" s="716">
        <v>26.03</v>
      </c>
    </row>
    <row r="2184" spans="1:5">
      <c r="A2184" s="715">
        <v>41075</v>
      </c>
      <c r="B2184" s="633" t="s">
        <v>36733</v>
      </c>
      <c r="C2184" s="715" t="s">
        <v>27629</v>
      </c>
      <c r="D2184" s="715" t="s">
        <v>40839</v>
      </c>
      <c r="E2184" s="716">
        <v>4560.57</v>
      </c>
    </row>
    <row r="2185" spans="1:5">
      <c r="A2185" s="715">
        <v>44324</v>
      </c>
      <c r="B2185" s="633" t="s">
        <v>36734</v>
      </c>
      <c r="C2185" s="715" t="s">
        <v>207</v>
      </c>
      <c r="D2185" s="715" t="s">
        <v>40839</v>
      </c>
      <c r="E2185" s="716">
        <v>2.68</v>
      </c>
    </row>
    <row r="2186" spans="1:5">
      <c r="A2186" s="715">
        <v>3315</v>
      </c>
      <c r="B2186" s="633" t="s">
        <v>36735</v>
      </c>
      <c r="C2186" s="715" t="s">
        <v>207</v>
      </c>
      <c r="D2186" s="715" t="s">
        <v>40839</v>
      </c>
      <c r="E2186" s="716">
        <v>0.77</v>
      </c>
    </row>
    <row r="2187" spans="1:5">
      <c r="A2187" s="715">
        <v>36870</v>
      </c>
      <c r="B2187" s="633" t="s">
        <v>36736</v>
      </c>
      <c r="C2187" s="715" t="s">
        <v>207</v>
      </c>
      <c r="D2187" s="715" t="s">
        <v>40839</v>
      </c>
      <c r="E2187" s="716">
        <v>0.6</v>
      </c>
    </row>
    <row r="2188" spans="1:5" ht="29">
      <c r="A2188" s="715">
        <v>5092</v>
      </c>
      <c r="B2188" s="633" t="s">
        <v>36737</v>
      </c>
      <c r="C2188" s="715" t="s">
        <v>525</v>
      </c>
      <c r="D2188" s="715" t="s">
        <v>40839</v>
      </c>
      <c r="E2188" s="716">
        <v>17.55</v>
      </c>
    </row>
    <row r="2189" spans="1:5" ht="29">
      <c r="A2189" s="715">
        <v>11462</v>
      </c>
      <c r="B2189" s="633" t="s">
        <v>36738</v>
      </c>
      <c r="C2189" s="715" t="s">
        <v>525</v>
      </c>
      <c r="D2189" s="715" t="s">
        <v>40839</v>
      </c>
      <c r="E2189" s="716">
        <v>17.940000000000001</v>
      </c>
    </row>
    <row r="2190" spans="1:5" ht="29">
      <c r="A2190" s="715">
        <v>36529</v>
      </c>
      <c r="B2190" s="633" t="s">
        <v>36739</v>
      </c>
      <c r="C2190" s="715" t="s">
        <v>103</v>
      </c>
      <c r="D2190" s="715" t="s">
        <v>40839</v>
      </c>
      <c r="E2190" s="716">
        <v>66326.53</v>
      </c>
    </row>
    <row r="2191" spans="1:5" ht="29">
      <c r="A2191" s="715">
        <v>3318</v>
      </c>
      <c r="B2191" s="633" t="s">
        <v>36740</v>
      </c>
      <c r="C2191" s="715" t="s">
        <v>103</v>
      </c>
      <c r="D2191" s="715" t="s">
        <v>28018</v>
      </c>
      <c r="E2191" s="716">
        <v>52000</v>
      </c>
    </row>
    <row r="2192" spans="1:5">
      <c r="A2192" s="715">
        <v>3324</v>
      </c>
      <c r="B2192" s="633" t="s">
        <v>36741</v>
      </c>
      <c r="C2192" s="715" t="s">
        <v>509</v>
      </c>
      <c r="D2192" s="715" t="s">
        <v>40839</v>
      </c>
      <c r="E2192" s="716">
        <v>12.07</v>
      </c>
    </row>
    <row r="2193" spans="1:5">
      <c r="A2193" s="715">
        <v>3322</v>
      </c>
      <c r="B2193" s="633" t="s">
        <v>36742</v>
      </c>
      <c r="C2193" s="715" t="s">
        <v>509</v>
      </c>
      <c r="D2193" s="715" t="s">
        <v>28018</v>
      </c>
      <c r="E2193" s="716">
        <v>16.899999999999999</v>
      </c>
    </row>
    <row r="2194" spans="1:5">
      <c r="A2194" s="715">
        <v>5076</v>
      </c>
      <c r="B2194" s="633" t="s">
        <v>36743</v>
      </c>
      <c r="C2194" s="715" t="s">
        <v>207</v>
      </c>
      <c r="D2194" s="715" t="s">
        <v>40839</v>
      </c>
      <c r="E2194" s="716">
        <v>11.54</v>
      </c>
    </row>
    <row r="2195" spans="1:5">
      <c r="A2195" s="715">
        <v>5077</v>
      </c>
      <c r="B2195" s="633" t="s">
        <v>36744</v>
      </c>
      <c r="C2195" s="715" t="s">
        <v>207</v>
      </c>
      <c r="D2195" s="715" t="s">
        <v>40839</v>
      </c>
      <c r="E2195" s="716">
        <v>12.75</v>
      </c>
    </row>
    <row r="2196" spans="1:5">
      <c r="A2196" s="715">
        <v>45242</v>
      </c>
      <c r="B2196" s="633" t="s">
        <v>40861</v>
      </c>
      <c r="C2196" s="715" t="s">
        <v>103</v>
      </c>
      <c r="D2196" s="715" t="s">
        <v>40839</v>
      </c>
      <c r="E2196" s="716">
        <v>68.180000000000007</v>
      </c>
    </row>
    <row r="2197" spans="1:5" ht="29">
      <c r="A2197" s="715">
        <v>11837</v>
      </c>
      <c r="B2197" s="633" t="s">
        <v>36745</v>
      </c>
      <c r="C2197" s="715" t="s">
        <v>103</v>
      </c>
      <c r="D2197" s="715" t="s">
        <v>40839</v>
      </c>
      <c r="E2197" s="716">
        <v>68.86</v>
      </c>
    </row>
    <row r="2198" spans="1:5" ht="29">
      <c r="A2198" s="715">
        <v>415</v>
      </c>
      <c r="B2198" s="633" t="s">
        <v>36746</v>
      </c>
      <c r="C2198" s="715" t="s">
        <v>103</v>
      </c>
      <c r="D2198" s="715" t="s">
        <v>40839</v>
      </c>
      <c r="E2198" s="716">
        <v>28.24</v>
      </c>
    </row>
    <row r="2199" spans="1:5" ht="29">
      <c r="A2199" s="715">
        <v>38055</v>
      </c>
      <c r="B2199" s="633" t="s">
        <v>36747</v>
      </c>
      <c r="C2199" s="715" t="s">
        <v>103</v>
      </c>
      <c r="D2199" s="715" t="s">
        <v>40839</v>
      </c>
      <c r="E2199" s="716">
        <v>6.25</v>
      </c>
    </row>
    <row r="2200" spans="1:5" ht="29">
      <c r="A2200" s="715">
        <v>416</v>
      </c>
      <c r="B2200" s="633" t="s">
        <v>36748</v>
      </c>
      <c r="C2200" s="715" t="s">
        <v>103</v>
      </c>
      <c r="D2200" s="715" t="s">
        <v>40839</v>
      </c>
      <c r="E2200" s="716">
        <v>10.34</v>
      </c>
    </row>
    <row r="2201" spans="1:5" ht="29">
      <c r="A2201" s="715">
        <v>425</v>
      </c>
      <c r="B2201" s="633" t="s">
        <v>36749</v>
      </c>
      <c r="C2201" s="715" t="s">
        <v>103</v>
      </c>
      <c r="D2201" s="715" t="s">
        <v>40839</v>
      </c>
      <c r="E2201" s="716">
        <v>6.41</v>
      </c>
    </row>
    <row r="2202" spans="1:5" ht="29">
      <c r="A2202" s="715">
        <v>426</v>
      </c>
      <c r="B2202" s="633" t="s">
        <v>36750</v>
      </c>
      <c r="C2202" s="715" t="s">
        <v>103</v>
      </c>
      <c r="D2202" s="715" t="s">
        <v>40839</v>
      </c>
      <c r="E2202" s="716">
        <v>35.29</v>
      </c>
    </row>
    <row r="2203" spans="1:5" ht="29">
      <c r="A2203" s="715">
        <v>38056</v>
      </c>
      <c r="B2203" s="633" t="s">
        <v>36751</v>
      </c>
      <c r="C2203" s="715" t="s">
        <v>103</v>
      </c>
      <c r="D2203" s="715" t="s">
        <v>40839</v>
      </c>
      <c r="E2203" s="716">
        <v>34.46</v>
      </c>
    </row>
    <row r="2204" spans="1:5">
      <c r="A2204" s="715">
        <v>1564</v>
      </c>
      <c r="B2204" s="633" t="s">
        <v>36752</v>
      </c>
      <c r="C2204" s="715" t="s">
        <v>103</v>
      </c>
      <c r="D2204" s="715" t="s">
        <v>40839</v>
      </c>
      <c r="E2204" s="716">
        <v>13.15</v>
      </c>
    </row>
    <row r="2205" spans="1:5">
      <c r="A2205" s="715">
        <v>11032</v>
      </c>
      <c r="B2205" s="633" t="s">
        <v>36753</v>
      </c>
      <c r="C2205" s="715" t="s">
        <v>103</v>
      </c>
      <c r="D2205" s="715" t="s">
        <v>40839</v>
      </c>
      <c r="E2205" s="716">
        <v>11.96</v>
      </c>
    </row>
    <row r="2206" spans="1:5" ht="29">
      <c r="A2206" s="715">
        <v>36786</v>
      </c>
      <c r="B2206" s="633" t="s">
        <v>36754</v>
      </c>
      <c r="C2206" s="715" t="s">
        <v>10482</v>
      </c>
      <c r="D2206" s="715" t="s">
        <v>40839</v>
      </c>
      <c r="E2206" s="716">
        <v>136.94</v>
      </c>
    </row>
    <row r="2207" spans="1:5" ht="29">
      <c r="A2207" s="715">
        <v>36785</v>
      </c>
      <c r="B2207" s="633" t="s">
        <v>36755</v>
      </c>
      <c r="C2207" s="715" t="s">
        <v>10482</v>
      </c>
      <c r="D2207" s="715" t="s">
        <v>40839</v>
      </c>
      <c r="E2207" s="716">
        <v>119</v>
      </c>
    </row>
    <row r="2208" spans="1:5" ht="29">
      <c r="A2208" s="715">
        <v>36782</v>
      </c>
      <c r="B2208" s="633" t="s">
        <v>36756</v>
      </c>
      <c r="C2208" s="715" t="s">
        <v>10482</v>
      </c>
      <c r="D2208" s="715" t="s">
        <v>40839</v>
      </c>
      <c r="E2208" s="716">
        <v>142.04</v>
      </c>
    </row>
    <row r="2209" spans="1:5" ht="29">
      <c r="A2209" s="715">
        <v>44481</v>
      </c>
      <c r="B2209" s="633" t="s">
        <v>41023</v>
      </c>
      <c r="C2209" s="715" t="s">
        <v>10482</v>
      </c>
      <c r="D2209" s="715" t="s">
        <v>28018</v>
      </c>
      <c r="E2209" s="716">
        <v>160</v>
      </c>
    </row>
    <row r="2210" spans="1:5" ht="29">
      <c r="A2210" s="715">
        <v>4824</v>
      </c>
      <c r="B2210" s="633" t="s">
        <v>36757</v>
      </c>
      <c r="C2210" s="715" t="s">
        <v>207</v>
      </c>
      <c r="D2210" s="715" t="s">
        <v>40839</v>
      </c>
      <c r="E2210" s="716">
        <v>0.8</v>
      </c>
    </row>
    <row r="2211" spans="1:5" ht="29">
      <c r="A2211" s="715">
        <v>11795</v>
      </c>
      <c r="B2211" s="633" t="s">
        <v>36758</v>
      </c>
      <c r="C2211" s="715" t="s">
        <v>509</v>
      </c>
      <c r="D2211" s="715" t="s">
        <v>40839</v>
      </c>
      <c r="E2211" s="716">
        <v>671.69</v>
      </c>
    </row>
    <row r="2212" spans="1:5">
      <c r="A2212" s="715">
        <v>134</v>
      </c>
      <c r="B2212" s="633" t="s">
        <v>36759</v>
      </c>
      <c r="C2212" s="715" t="s">
        <v>207</v>
      </c>
      <c r="D2212" s="715" t="s">
        <v>40839</v>
      </c>
      <c r="E2212" s="716">
        <v>1.67</v>
      </c>
    </row>
    <row r="2213" spans="1:5" ht="29">
      <c r="A2213" s="715">
        <v>4229</v>
      </c>
      <c r="B2213" s="633" t="s">
        <v>36760</v>
      </c>
      <c r="C2213" s="715" t="s">
        <v>207</v>
      </c>
      <c r="D2213" s="715" t="s">
        <v>40839</v>
      </c>
      <c r="E2213" s="716">
        <v>54.07</v>
      </c>
    </row>
    <row r="2214" spans="1:5">
      <c r="A2214" s="715">
        <v>11731</v>
      </c>
      <c r="B2214" s="633" t="s">
        <v>36761</v>
      </c>
      <c r="C2214" s="715" t="s">
        <v>103</v>
      </c>
      <c r="D2214" s="715" t="s">
        <v>40839</v>
      </c>
      <c r="E2214" s="716">
        <v>10.82</v>
      </c>
    </row>
    <row r="2215" spans="1:5">
      <c r="A2215" s="715">
        <v>11732</v>
      </c>
      <c r="B2215" s="633" t="s">
        <v>36762</v>
      </c>
      <c r="C2215" s="715" t="s">
        <v>103</v>
      </c>
      <c r="D2215" s="715" t="s">
        <v>40839</v>
      </c>
      <c r="E2215" s="716">
        <v>28.37</v>
      </c>
    </row>
    <row r="2216" spans="1:5">
      <c r="A2216" s="715">
        <v>11244</v>
      </c>
      <c r="B2216" s="633" t="s">
        <v>36763</v>
      </c>
      <c r="C2216" s="715" t="s">
        <v>103</v>
      </c>
      <c r="D2216" s="715" t="s">
        <v>40839</v>
      </c>
      <c r="E2216" s="716">
        <v>237.7</v>
      </c>
    </row>
    <row r="2217" spans="1:5" ht="29">
      <c r="A2217" s="715">
        <v>11235</v>
      </c>
      <c r="B2217" s="633" t="s">
        <v>36764</v>
      </c>
      <c r="C2217" s="715" t="s">
        <v>103</v>
      </c>
      <c r="D2217" s="715" t="s">
        <v>40839</v>
      </c>
      <c r="E2217" s="716">
        <v>181.39</v>
      </c>
    </row>
    <row r="2218" spans="1:5" ht="29">
      <c r="A2218" s="715">
        <v>11236</v>
      </c>
      <c r="B2218" s="633" t="s">
        <v>36765</v>
      </c>
      <c r="C2218" s="715" t="s">
        <v>103</v>
      </c>
      <c r="D2218" s="715" t="s">
        <v>40839</v>
      </c>
      <c r="E2218" s="716">
        <v>230.52</v>
      </c>
    </row>
    <row r="2219" spans="1:5" ht="29">
      <c r="A2219" s="715">
        <v>11245</v>
      </c>
      <c r="B2219" s="633" t="s">
        <v>36766</v>
      </c>
      <c r="C2219" s="715" t="s">
        <v>103</v>
      </c>
      <c r="D2219" s="715" t="s">
        <v>40839</v>
      </c>
      <c r="E2219" s="716">
        <v>328.77</v>
      </c>
    </row>
    <row r="2220" spans="1:5">
      <c r="A2220" s="715">
        <v>36494</v>
      </c>
      <c r="B2220" s="633" t="s">
        <v>36767</v>
      </c>
      <c r="C2220" s="715" t="s">
        <v>103</v>
      </c>
      <c r="D2220" s="715" t="s">
        <v>40839</v>
      </c>
      <c r="E2220" s="716">
        <v>740761.71</v>
      </c>
    </row>
    <row r="2221" spans="1:5">
      <c r="A2221" s="715">
        <v>36493</v>
      </c>
      <c r="B2221" s="633" t="s">
        <v>36768</v>
      </c>
      <c r="C2221" s="715" t="s">
        <v>103</v>
      </c>
      <c r="D2221" s="715" t="s">
        <v>40839</v>
      </c>
      <c r="E2221" s="716">
        <v>839252.93</v>
      </c>
    </row>
    <row r="2222" spans="1:5" ht="43">
      <c r="A2222" s="715">
        <v>13333</v>
      </c>
      <c r="B2222" s="633" t="s">
        <v>36769</v>
      </c>
      <c r="C2222" s="715" t="s">
        <v>103</v>
      </c>
      <c r="D2222" s="715" t="s">
        <v>40839</v>
      </c>
      <c r="E2222" s="716">
        <v>235694.54</v>
      </c>
    </row>
    <row r="2223" spans="1:5" ht="29">
      <c r="A2223" s="715">
        <v>39588</v>
      </c>
      <c r="B2223" s="633" t="s">
        <v>36770</v>
      </c>
      <c r="C2223" s="715" t="s">
        <v>103</v>
      </c>
      <c r="D2223" s="715" t="s">
        <v>40839</v>
      </c>
      <c r="E2223" s="716">
        <v>251739.47</v>
      </c>
    </row>
    <row r="2224" spans="1:5" ht="29">
      <c r="A2224" s="715">
        <v>14254</v>
      </c>
      <c r="B2224" s="633" t="s">
        <v>36771</v>
      </c>
      <c r="C2224" s="715" t="s">
        <v>103</v>
      </c>
      <c r="D2224" s="715" t="s">
        <v>28018</v>
      </c>
      <c r="E2224" s="716">
        <v>123581.2</v>
      </c>
    </row>
    <row r="2225" spans="1:5">
      <c r="A2225" s="715">
        <v>25019</v>
      </c>
      <c r="B2225" s="633" t="s">
        <v>36772</v>
      </c>
      <c r="C2225" s="715" t="s">
        <v>103</v>
      </c>
      <c r="D2225" s="715" t="s">
        <v>40839</v>
      </c>
      <c r="E2225" s="716">
        <v>176896.61</v>
      </c>
    </row>
    <row r="2226" spans="1:5">
      <c r="A2226" s="715">
        <v>36501</v>
      </c>
      <c r="B2226" s="633" t="s">
        <v>36773</v>
      </c>
      <c r="C2226" s="715" t="s">
        <v>103</v>
      </c>
      <c r="D2226" s="715" t="s">
        <v>40839</v>
      </c>
      <c r="E2226" s="716">
        <v>157498.95000000001</v>
      </c>
    </row>
    <row r="2227" spans="1:5">
      <c r="A2227" s="715">
        <v>36500</v>
      </c>
      <c r="B2227" s="633" t="s">
        <v>36774</v>
      </c>
      <c r="C2227" s="715" t="s">
        <v>103</v>
      </c>
      <c r="D2227" s="715" t="s">
        <v>40839</v>
      </c>
      <c r="E2227" s="716">
        <v>111300.2</v>
      </c>
    </row>
    <row r="2228" spans="1:5" ht="43">
      <c r="A2228" s="715">
        <v>20017</v>
      </c>
      <c r="B2228" s="633" t="s">
        <v>36775</v>
      </c>
      <c r="C2228" s="715" t="s">
        <v>165</v>
      </c>
      <c r="D2228" s="715" t="s">
        <v>40839</v>
      </c>
      <c r="E2228" s="716">
        <v>10.18</v>
      </c>
    </row>
    <row r="2229" spans="1:5" ht="29">
      <c r="A2229" s="715">
        <v>20007</v>
      </c>
      <c r="B2229" s="633" t="s">
        <v>36776</v>
      </c>
      <c r="C2229" s="715" t="s">
        <v>165</v>
      </c>
      <c r="D2229" s="715" t="s">
        <v>40839</v>
      </c>
      <c r="E2229" s="716">
        <v>6.07</v>
      </c>
    </row>
    <row r="2230" spans="1:5" ht="29">
      <c r="A2230" s="715">
        <v>39831</v>
      </c>
      <c r="B2230" s="633" t="s">
        <v>36777</v>
      </c>
      <c r="C2230" s="715" t="s">
        <v>19284</v>
      </c>
      <c r="D2230" s="715" t="s">
        <v>40839</v>
      </c>
      <c r="E2230" s="716">
        <v>333.5</v>
      </c>
    </row>
    <row r="2231" spans="1:5" ht="29">
      <c r="A2231" s="715">
        <v>36888</v>
      </c>
      <c r="B2231" s="633" t="s">
        <v>36778</v>
      </c>
      <c r="C2231" s="715" t="s">
        <v>165</v>
      </c>
      <c r="D2231" s="715" t="s">
        <v>40839</v>
      </c>
      <c r="E2231" s="716">
        <v>29.5</v>
      </c>
    </row>
    <row r="2232" spans="1:5" ht="43">
      <c r="A2232" s="715">
        <v>39836</v>
      </c>
      <c r="B2232" s="633" t="s">
        <v>36779</v>
      </c>
      <c r="C2232" s="715" t="s">
        <v>19284</v>
      </c>
      <c r="D2232" s="715" t="s">
        <v>40839</v>
      </c>
      <c r="E2232" s="716">
        <v>293.05</v>
      </c>
    </row>
    <row r="2233" spans="1:5" ht="29">
      <c r="A2233" s="715">
        <v>39830</v>
      </c>
      <c r="B2233" s="633" t="s">
        <v>36780</v>
      </c>
      <c r="C2233" s="715" t="s">
        <v>19284</v>
      </c>
      <c r="D2233" s="715" t="s">
        <v>40839</v>
      </c>
      <c r="E2233" s="716">
        <v>334.21</v>
      </c>
    </row>
    <row r="2234" spans="1:5" ht="29">
      <c r="A2234" s="715">
        <v>36487</v>
      </c>
      <c r="B2234" s="633" t="s">
        <v>36781</v>
      </c>
      <c r="C2234" s="715" t="s">
        <v>103</v>
      </c>
      <c r="D2234" s="715" t="s">
        <v>40839</v>
      </c>
      <c r="E2234" s="716">
        <v>3781.91</v>
      </c>
    </row>
    <row r="2235" spans="1:5" ht="29">
      <c r="A2235" s="715">
        <v>44475</v>
      </c>
      <c r="B2235" s="633" t="s">
        <v>41024</v>
      </c>
      <c r="C2235" s="715" t="s">
        <v>103</v>
      </c>
      <c r="D2235" s="715" t="s">
        <v>40839</v>
      </c>
      <c r="E2235" s="716">
        <v>1295335.74</v>
      </c>
    </row>
    <row r="2236" spans="1:5" ht="29">
      <c r="A2236" s="715">
        <v>44474</v>
      </c>
      <c r="B2236" s="633" t="s">
        <v>41025</v>
      </c>
      <c r="C2236" s="715" t="s">
        <v>103</v>
      </c>
      <c r="D2236" s="715" t="s">
        <v>40839</v>
      </c>
      <c r="E2236" s="716">
        <v>2491030.2799999998</v>
      </c>
    </row>
    <row r="2237" spans="1:5" ht="57">
      <c r="A2237" s="715">
        <v>37775</v>
      </c>
      <c r="B2237" s="633" t="s">
        <v>36782</v>
      </c>
      <c r="C2237" s="715" t="s">
        <v>103</v>
      </c>
      <c r="D2237" s="715" t="s">
        <v>40839</v>
      </c>
      <c r="E2237" s="716">
        <v>408789.06</v>
      </c>
    </row>
    <row r="2238" spans="1:5" ht="43">
      <c r="A2238" s="715">
        <v>10712</v>
      </c>
      <c r="B2238" s="633" t="s">
        <v>36783</v>
      </c>
      <c r="C2238" s="715" t="s">
        <v>103</v>
      </c>
      <c r="D2238" s="715" t="s">
        <v>40839</v>
      </c>
      <c r="E2238" s="716">
        <v>102197.26</v>
      </c>
    </row>
    <row r="2239" spans="1:5" ht="57">
      <c r="A2239" s="715">
        <v>3363</v>
      </c>
      <c r="B2239" s="633" t="s">
        <v>36784</v>
      </c>
      <c r="C2239" s="715" t="s">
        <v>103</v>
      </c>
      <c r="D2239" s="715" t="s">
        <v>28018</v>
      </c>
      <c r="E2239" s="716">
        <v>143750</v>
      </c>
    </row>
    <row r="2240" spans="1:5" ht="57">
      <c r="A2240" s="715">
        <v>3365</v>
      </c>
      <c r="B2240" s="633" t="s">
        <v>36785</v>
      </c>
      <c r="C2240" s="715" t="s">
        <v>103</v>
      </c>
      <c r="D2240" s="715" t="s">
        <v>40839</v>
      </c>
      <c r="E2240" s="716">
        <v>336015.62</v>
      </c>
    </row>
    <row r="2241" spans="1:5">
      <c r="A2241" s="715">
        <v>7569</v>
      </c>
      <c r="B2241" s="633" t="s">
        <v>36786</v>
      </c>
      <c r="C2241" s="715" t="s">
        <v>103</v>
      </c>
      <c r="D2241" s="715" t="s">
        <v>40839</v>
      </c>
      <c r="E2241" s="716">
        <v>56.58</v>
      </c>
    </row>
    <row r="2242" spans="1:5" ht="29">
      <c r="A2242" s="715">
        <v>3378</v>
      </c>
      <c r="B2242" s="633" t="s">
        <v>36787</v>
      </c>
      <c r="C2242" s="715" t="s">
        <v>103</v>
      </c>
      <c r="D2242" s="715" t="s">
        <v>40839</v>
      </c>
      <c r="E2242" s="716">
        <v>99.95</v>
      </c>
    </row>
    <row r="2243" spans="1:5" ht="29">
      <c r="A2243" s="715">
        <v>3380</v>
      </c>
      <c r="B2243" s="633" t="s">
        <v>36788</v>
      </c>
      <c r="C2243" s="715" t="s">
        <v>103</v>
      </c>
      <c r="D2243" s="715" t="s">
        <v>28018</v>
      </c>
      <c r="E2243" s="716">
        <v>69.97</v>
      </c>
    </row>
    <row r="2244" spans="1:5" ht="29">
      <c r="A2244" s="715">
        <v>3379</v>
      </c>
      <c r="B2244" s="633" t="s">
        <v>36789</v>
      </c>
      <c r="C2244" s="715" t="s">
        <v>103</v>
      </c>
      <c r="D2244" s="715" t="s">
        <v>40839</v>
      </c>
      <c r="E2244" s="716">
        <v>67.55</v>
      </c>
    </row>
    <row r="2245" spans="1:5" ht="29">
      <c r="A2245" s="715">
        <v>11991</v>
      </c>
      <c r="B2245" s="633" t="s">
        <v>36790</v>
      </c>
      <c r="C2245" s="715" t="s">
        <v>103</v>
      </c>
      <c r="D2245" s="715" t="s">
        <v>40839</v>
      </c>
      <c r="E2245" s="716">
        <v>78.430000000000007</v>
      </c>
    </row>
    <row r="2246" spans="1:5" ht="29">
      <c r="A2246" s="715">
        <v>44305</v>
      </c>
      <c r="B2246" s="633" t="s">
        <v>36791</v>
      </c>
      <c r="C2246" s="715" t="s">
        <v>103</v>
      </c>
      <c r="D2246" s="715" t="s">
        <v>40839</v>
      </c>
      <c r="E2246" s="716">
        <v>1911.39</v>
      </c>
    </row>
    <row r="2247" spans="1:5" ht="29">
      <c r="A2247" s="715">
        <v>34349</v>
      </c>
      <c r="B2247" s="633" t="s">
        <v>36792</v>
      </c>
      <c r="C2247" s="715" t="s">
        <v>103</v>
      </c>
      <c r="D2247" s="715" t="s">
        <v>40839</v>
      </c>
      <c r="E2247" s="716">
        <v>27.77</v>
      </c>
    </row>
    <row r="2248" spans="1:5" ht="29">
      <c r="A2248" s="715">
        <v>11029</v>
      </c>
      <c r="B2248" s="633" t="s">
        <v>36793</v>
      </c>
      <c r="C2248" s="715" t="s">
        <v>396</v>
      </c>
      <c r="D2248" s="715" t="s">
        <v>40839</v>
      </c>
      <c r="E2248" s="716">
        <v>1.83</v>
      </c>
    </row>
    <row r="2249" spans="1:5" ht="29">
      <c r="A2249" s="715">
        <v>4316</v>
      </c>
      <c r="B2249" s="633" t="s">
        <v>36794</v>
      </c>
      <c r="C2249" s="715" t="s">
        <v>103</v>
      </c>
      <c r="D2249" s="715" t="s">
        <v>40839</v>
      </c>
      <c r="E2249" s="716">
        <v>1.85</v>
      </c>
    </row>
    <row r="2250" spans="1:5" ht="29">
      <c r="A2250" s="715">
        <v>4313</v>
      </c>
      <c r="B2250" s="633" t="s">
        <v>36795</v>
      </c>
      <c r="C2250" s="715" t="s">
        <v>396</v>
      </c>
      <c r="D2250" s="715" t="s">
        <v>40839</v>
      </c>
      <c r="E2250" s="716">
        <v>2.66</v>
      </c>
    </row>
    <row r="2251" spans="1:5" ht="29">
      <c r="A2251" s="715">
        <v>4317</v>
      </c>
      <c r="B2251" s="633" t="s">
        <v>36796</v>
      </c>
      <c r="C2251" s="715" t="s">
        <v>103</v>
      </c>
      <c r="D2251" s="715" t="s">
        <v>40839</v>
      </c>
      <c r="E2251" s="716">
        <v>3.03</v>
      </c>
    </row>
    <row r="2252" spans="1:5" ht="29">
      <c r="A2252" s="715">
        <v>4314</v>
      </c>
      <c r="B2252" s="633" t="s">
        <v>36797</v>
      </c>
      <c r="C2252" s="715" t="s">
        <v>396</v>
      </c>
      <c r="D2252" s="715" t="s">
        <v>40839</v>
      </c>
      <c r="E2252" s="716">
        <v>3.54</v>
      </c>
    </row>
    <row r="2253" spans="1:5" ht="43">
      <c r="A2253" s="715">
        <v>10921</v>
      </c>
      <c r="B2253" s="633" t="s">
        <v>36798</v>
      </c>
      <c r="C2253" s="715" t="s">
        <v>103</v>
      </c>
      <c r="D2253" s="715" t="s">
        <v>28018</v>
      </c>
      <c r="E2253" s="716">
        <v>5911</v>
      </c>
    </row>
    <row r="2254" spans="1:5" ht="43">
      <c r="A2254" s="715">
        <v>10922</v>
      </c>
      <c r="B2254" s="633" t="s">
        <v>36799</v>
      </c>
      <c r="C2254" s="715" t="s">
        <v>103</v>
      </c>
      <c r="D2254" s="715" t="s">
        <v>40839</v>
      </c>
      <c r="E2254" s="716">
        <v>5354.03</v>
      </c>
    </row>
    <row r="2255" spans="1:5">
      <c r="A2255" s="715">
        <v>10923</v>
      </c>
      <c r="B2255" s="633" t="s">
        <v>36800</v>
      </c>
      <c r="C2255" s="715" t="s">
        <v>103</v>
      </c>
      <c r="D2255" s="715" t="s">
        <v>40839</v>
      </c>
      <c r="E2255" s="716">
        <v>3164.46</v>
      </c>
    </row>
    <row r="2256" spans="1:5">
      <c r="A2256" s="715">
        <v>10924</v>
      </c>
      <c r="B2256" s="633" t="s">
        <v>36801</v>
      </c>
      <c r="C2256" s="715" t="s">
        <v>103</v>
      </c>
      <c r="D2256" s="715" t="s">
        <v>40839</v>
      </c>
      <c r="E2256" s="716">
        <v>3332.79</v>
      </c>
    </row>
    <row r="2257" spans="1:5" ht="43">
      <c r="A2257" s="715">
        <v>12772</v>
      </c>
      <c r="B2257" s="633" t="s">
        <v>36802</v>
      </c>
      <c r="C2257" s="715" t="s">
        <v>103</v>
      </c>
      <c r="D2257" s="715" t="s">
        <v>40839</v>
      </c>
      <c r="E2257" s="716">
        <v>954.41</v>
      </c>
    </row>
    <row r="2258" spans="1:5" ht="29">
      <c r="A2258" s="715">
        <v>12770</v>
      </c>
      <c r="B2258" s="633" t="s">
        <v>36803</v>
      </c>
      <c r="C2258" s="715" t="s">
        <v>103</v>
      </c>
      <c r="D2258" s="715" t="s">
        <v>40839</v>
      </c>
      <c r="E2258" s="716">
        <v>574.26</v>
      </c>
    </row>
    <row r="2259" spans="1:5" ht="29">
      <c r="A2259" s="715">
        <v>12775</v>
      </c>
      <c r="B2259" s="633" t="s">
        <v>36804</v>
      </c>
      <c r="C2259" s="715" t="s">
        <v>103</v>
      </c>
      <c r="D2259" s="715" t="s">
        <v>40839</v>
      </c>
      <c r="E2259" s="716">
        <v>420.58</v>
      </c>
    </row>
    <row r="2260" spans="1:5" ht="29">
      <c r="A2260" s="715">
        <v>12768</v>
      </c>
      <c r="B2260" s="633" t="s">
        <v>36805</v>
      </c>
      <c r="C2260" s="715" t="s">
        <v>103</v>
      </c>
      <c r="D2260" s="715" t="s">
        <v>40839</v>
      </c>
      <c r="E2260" s="716">
        <v>1342.64</v>
      </c>
    </row>
    <row r="2261" spans="1:5" ht="29">
      <c r="A2261" s="715">
        <v>12769</v>
      </c>
      <c r="B2261" s="633" t="s">
        <v>36806</v>
      </c>
      <c r="C2261" s="715" t="s">
        <v>103</v>
      </c>
      <c r="D2261" s="715" t="s">
        <v>28018</v>
      </c>
      <c r="E2261" s="716">
        <v>110</v>
      </c>
    </row>
    <row r="2262" spans="1:5" ht="29">
      <c r="A2262" s="715">
        <v>12773</v>
      </c>
      <c r="B2262" s="633" t="s">
        <v>36807</v>
      </c>
      <c r="C2262" s="715" t="s">
        <v>103</v>
      </c>
      <c r="D2262" s="715" t="s">
        <v>40839</v>
      </c>
      <c r="E2262" s="716">
        <v>118.08</v>
      </c>
    </row>
    <row r="2263" spans="1:5" ht="29">
      <c r="A2263" s="715">
        <v>12774</v>
      </c>
      <c r="B2263" s="633" t="s">
        <v>36808</v>
      </c>
      <c r="C2263" s="715" t="s">
        <v>103</v>
      </c>
      <c r="D2263" s="715" t="s">
        <v>40839</v>
      </c>
      <c r="E2263" s="716">
        <v>145.58000000000001</v>
      </c>
    </row>
    <row r="2264" spans="1:5" ht="43">
      <c r="A2264" s="715">
        <v>12776</v>
      </c>
      <c r="B2264" s="633" t="s">
        <v>36809</v>
      </c>
      <c r="C2264" s="715" t="s">
        <v>103</v>
      </c>
      <c r="D2264" s="715" t="s">
        <v>40839</v>
      </c>
      <c r="E2264" s="716">
        <v>2167.64</v>
      </c>
    </row>
    <row r="2265" spans="1:5" ht="43">
      <c r="A2265" s="715">
        <v>12777</v>
      </c>
      <c r="B2265" s="633" t="s">
        <v>36810</v>
      </c>
      <c r="C2265" s="715" t="s">
        <v>103</v>
      </c>
      <c r="D2265" s="715" t="s">
        <v>40839</v>
      </c>
      <c r="E2265" s="716">
        <v>2830.88</v>
      </c>
    </row>
    <row r="2266" spans="1:5">
      <c r="A2266" s="715">
        <v>12873</v>
      </c>
      <c r="B2266" s="633" t="s">
        <v>36811</v>
      </c>
      <c r="C2266" s="715" t="s">
        <v>11</v>
      </c>
      <c r="D2266" s="715" t="s">
        <v>40839</v>
      </c>
      <c r="E2266" s="716">
        <v>26.03</v>
      </c>
    </row>
    <row r="2267" spans="1:5">
      <c r="A2267" s="715">
        <v>41076</v>
      </c>
      <c r="B2267" s="633" t="s">
        <v>36812</v>
      </c>
      <c r="C2267" s="715" t="s">
        <v>27629</v>
      </c>
      <c r="D2267" s="715" t="s">
        <v>40839</v>
      </c>
      <c r="E2267" s="716">
        <v>4560.57</v>
      </c>
    </row>
    <row r="2268" spans="1:5">
      <c r="A2268" s="715">
        <v>140</v>
      </c>
      <c r="B2268" s="633" t="s">
        <v>36813</v>
      </c>
      <c r="C2268" s="715" t="s">
        <v>207</v>
      </c>
      <c r="D2268" s="715" t="s">
        <v>40839</v>
      </c>
      <c r="E2268" s="716">
        <v>18.690000000000001</v>
      </c>
    </row>
    <row r="2269" spans="1:5" ht="29">
      <c r="A2269" s="715">
        <v>151</v>
      </c>
      <c r="B2269" s="633" t="s">
        <v>36814</v>
      </c>
      <c r="C2269" s="715" t="s">
        <v>153</v>
      </c>
      <c r="D2269" s="715" t="s">
        <v>40839</v>
      </c>
      <c r="E2269" s="716">
        <v>27.58</v>
      </c>
    </row>
    <row r="2270" spans="1:5">
      <c r="A2270" s="715">
        <v>7340</v>
      </c>
      <c r="B2270" s="633" t="s">
        <v>36815</v>
      </c>
      <c r="C2270" s="715" t="s">
        <v>153</v>
      </c>
      <c r="D2270" s="715" t="s">
        <v>40839</v>
      </c>
      <c r="E2270" s="716">
        <v>26.86</v>
      </c>
    </row>
    <row r="2271" spans="1:5">
      <c r="A2271" s="715">
        <v>40929</v>
      </c>
      <c r="B2271" s="633" t="s">
        <v>36816</v>
      </c>
      <c r="C2271" s="715" t="s">
        <v>27629</v>
      </c>
      <c r="D2271" s="715" t="s">
        <v>40839</v>
      </c>
      <c r="E2271" s="716">
        <v>5935.37</v>
      </c>
    </row>
    <row r="2272" spans="1:5">
      <c r="A2272" s="715">
        <v>2701</v>
      </c>
      <c r="B2272" s="633" t="s">
        <v>36817</v>
      </c>
      <c r="C2272" s="715" t="s">
        <v>11</v>
      </c>
      <c r="D2272" s="715" t="s">
        <v>40839</v>
      </c>
      <c r="E2272" s="716">
        <v>33.880000000000003</v>
      </c>
    </row>
    <row r="2273" spans="1:5" ht="29">
      <c r="A2273" s="715">
        <v>38064</v>
      </c>
      <c r="B2273" s="633" t="s">
        <v>36818</v>
      </c>
      <c r="C2273" s="715" t="s">
        <v>103</v>
      </c>
      <c r="D2273" s="715" t="s">
        <v>40839</v>
      </c>
      <c r="E2273" s="716">
        <v>22.2</v>
      </c>
    </row>
    <row r="2274" spans="1:5">
      <c r="A2274" s="715">
        <v>38114</v>
      </c>
      <c r="B2274" s="633" t="s">
        <v>36819</v>
      </c>
      <c r="C2274" s="715" t="s">
        <v>103</v>
      </c>
      <c r="D2274" s="715" t="s">
        <v>40839</v>
      </c>
      <c r="E2274" s="716">
        <v>19.86</v>
      </c>
    </row>
    <row r="2275" spans="1:5">
      <c r="A2275" s="715">
        <v>38115</v>
      </c>
      <c r="B2275" s="633" t="s">
        <v>36820</v>
      </c>
      <c r="C2275" s="715" t="s">
        <v>103</v>
      </c>
      <c r="D2275" s="715" t="s">
        <v>40839</v>
      </c>
      <c r="E2275" s="716">
        <v>21.2</v>
      </c>
    </row>
    <row r="2276" spans="1:5" ht="29">
      <c r="A2276" s="715">
        <v>38065</v>
      </c>
      <c r="B2276" s="633" t="s">
        <v>36821</v>
      </c>
      <c r="C2276" s="715" t="s">
        <v>103</v>
      </c>
      <c r="D2276" s="715" t="s">
        <v>40839</v>
      </c>
      <c r="E2276" s="716">
        <v>31.5</v>
      </c>
    </row>
    <row r="2277" spans="1:5" ht="29">
      <c r="A2277" s="715">
        <v>38078</v>
      </c>
      <c r="B2277" s="633" t="s">
        <v>36822</v>
      </c>
      <c r="C2277" s="715" t="s">
        <v>103</v>
      </c>
      <c r="D2277" s="715" t="s">
        <v>40839</v>
      </c>
      <c r="E2277" s="716">
        <v>18.38</v>
      </c>
    </row>
    <row r="2278" spans="1:5">
      <c r="A2278" s="715">
        <v>38113</v>
      </c>
      <c r="B2278" s="633" t="s">
        <v>36823</v>
      </c>
      <c r="C2278" s="715" t="s">
        <v>103</v>
      </c>
      <c r="D2278" s="715" t="s">
        <v>40839</v>
      </c>
      <c r="E2278" s="716">
        <v>9.98</v>
      </c>
    </row>
    <row r="2279" spans="1:5" ht="29">
      <c r="A2279" s="715">
        <v>38063</v>
      </c>
      <c r="B2279" s="633" t="s">
        <v>36824</v>
      </c>
      <c r="C2279" s="715" t="s">
        <v>103</v>
      </c>
      <c r="D2279" s="715" t="s">
        <v>40839</v>
      </c>
      <c r="E2279" s="716">
        <v>10.71</v>
      </c>
    </row>
    <row r="2280" spans="1:5" ht="29">
      <c r="A2280" s="715">
        <v>38073</v>
      </c>
      <c r="B2280" s="633" t="s">
        <v>36825</v>
      </c>
      <c r="C2280" s="715" t="s">
        <v>103</v>
      </c>
      <c r="D2280" s="715" t="s">
        <v>40839</v>
      </c>
      <c r="E2280" s="716">
        <v>25.99</v>
      </c>
    </row>
    <row r="2281" spans="1:5" ht="29">
      <c r="A2281" s="715">
        <v>38080</v>
      </c>
      <c r="B2281" s="633" t="s">
        <v>36826</v>
      </c>
      <c r="C2281" s="715" t="s">
        <v>103</v>
      </c>
      <c r="D2281" s="715" t="s">
        <v>40839</v>
      </c>
      <c r="E2281" s="716">
        <v>31.92</v>
      </c>
    </row>
    <row r="2282" spans="1:5" ht="29">
      <c r="A2282" s="715">
        <v>38069</v>
      </c>
      <c r="B2282" s="633" t="s">
        <v>36827</v>
      </c>
      <c r="C2282" s="715" t="s">
        <v>103</v>
      </c>
      <c r="D2282" s="715" t="s">
        <v>40839</v>
      </c>
      <c r="E2282" s="716">
        <v>17.46</v>
      </c>
    </row>
    <row r="2283" spans="1:5" ht="29">
      <c r="A2283" s="715">
        <v>38077</v>
      </c>
      <c r="B2283" s="633" t="s">
        <v>36828</v>
      </c>
      <c r="C2283" s="715" t="s">
        <v>103</v>
      </c>
      <c r="D2283" s="715" t="s">
        <v>40839</v>
      </c>
      <c r="E2283" s="716">
        <v>17.059999999999999</v>
      </c>
    </row>
    <row r="2284" spans="1:5">
      <c r="A2284" s="715">
        <v>38112</v>
      </c>
      <c r="B2284" s="633" t="s">
        <v>36829</v>
      </c>
      <c r="C2284" s="715" t="s">
        <v>103</v>
      </c>
      <c r="D2284" s="715" t="s">
        <v>40839</v>
      </c>
      <c r="E2284" s="716">
        <v>7.66</v>
      </c>
    </row>
    <row r="2285" spans="1:5" ht="29">
      <c r="A2285" s="715">
        <v>38062</v>
      </c>
      <c r="B2285" s="633" t="s">
        <v>36830</v>
      </c>
      <c r="C2285" s="715" t="s">
        <v>103</v>
      </c>
      <c r="D2285" s="715" t="s">
        <v>40839</v>
      </c>
      <c r="E2285" s="716">
        <v>7.87</v>
      </c>
    </row>
    <row r="2286" spans="1:5" ht="29">
      <c r="A2286" s="715">
        <v>12129</v>
      </c>
      <c r="B2286" s="633" t="s">
        <v>36831</v>
      </c>
      <c r="C2286" s="715" t="s">
        <v>103</v>
      </c>
      <c r="D2286" s="715" t="s">
        <v>40839</v>
      </c>
      <c r="E2286" s="716">
        <v>13.9</v>
      </c>
    </row>
    <row r="2287" spans="1:5" ht="29">
      <c r="A2287" s="715">
        <v>12128</v>
      </c>
      <c r="B2287" s="633" t="s">
        <v>36832</v>
      </c>
      <c r="C2287" s="715" t="s">
        <v>103</v>
      </c>
      <c r="D2287" s="715" t="s">
        <v>40839</v>
      </c>
      <c r="E2287" s="716">
        <v>10.52</v>
      </c>
    </row>
    <row r="2288" spans="1:5" ht="29">
      <c r="A2288" s="715">
        <v>38081</v>
      </c>
      <c r="B2288" s="633" t="s">
        <v>36833</v>
      </c>
      <c r="C2288" s="715" t="s">
        <v>103</v>
      </c>
      <c r="D2288" s="715" t="s">
        <v>40839</v>
      </c>
      <c r="E2288" s="716">
        <v>27.08</v>
      </c>
    </row>
    <row r="2289" spans="1:5" ht="29">
      <c r="A2289" s="715">
        <v>38070</v>
      </c>
      <c r="B2289" s="633" t="s">
        <v>36834</v>
      </c>
      <c r="C2289" s="715" t="s">
        <v>103</v>
      </c>
      <c r="D2289" s="715" t="s">
        <v>40839</v>
      </c>
      <c r="E2289" s="716">
        <v>18.66</v>
      </c>
    </row>
    <row r="2290" spans="1:5" ht="29">
      <c r="A2290" s="715">
        <v>38074</v>
      </c>
      <c r="B2290" s="633" t="s">
        <v>36835</v>
      </c>
      <c r="C2290" s="715" t="s">
        <v>103</v>
      </c>
      <c r="D2290" s="715" t="s">
        <v>40839</v>
      </c>
      <c r="E2290" s="716">
        <v>28.37</v>
      </c>
    </row>
    <row r="2291" spans="1:5" ht="29">
      <c r="A2291" s="715">
        <v>38072</v>
      </c>
      <c r="B2291" s="633" t="s">
        <v>36836</v>
      </c>
      <c r="C2291" s="715" t="s">
        <v>103</v>
      </c>
      <c r="D2291" s="715" t="s">
        <v>40839</v>
      </c>
      <c r="E2291" s="716">
        <v>23.4</v>
      </c>
    </row>
    <row r="2292" spans="1:5" ht="29">
      <c r="A2292" s="715">
        <v>38079</v>
      </c>
      <c r="B2292" s="633" t="s">
        <v>36837</v>
      </c>
      <c r="C2292" s="715" t="s">
        <v>103</v>
      </c>
      <c r="D2292" s="715" t="s">
        <v>40839</v>
      </c>
      <c r="E2292" s="716">
        <v>24.35</v>
      </c>
    </row>
    <row r="2293" spans="1:5" ht="29">
      <c r="A2293" s="715">
        <v>38068</v>
      </c>
      <c r="B2293" s="633" t="s">
        <v>36838</v>
      </c>
      <c r="C2293" s="715" t="s">
        <v>103</v>
      </c>
      <c r="D2293" s="715" t="s">
        <v>40839</v>
      </c>
      <c r="E2293" s="716">
        <v>16.149999999999999</v>
      </c>
    </row>
    <row r="2294" spans="1:5" ht="29">
      <c r="A2294" s="715">
        <v>38071</v>
      </c>
      <c r="B2294" s="633" t="s">
        <v>36839</v>
      </c>
      <c r="C2294" s="715" t="s">
        <v>103</v>
      </c>
      <c r="D2294" s="715" t="s">
        <v>40839</v>
      </c>
      <c r="E2294" s="716">
        <v>19.309999999999999</v>
      </c>
    </row>
    <row r="2295" spans="1:5" ht="29">
      <c r="A2295" s="715">
        <v>45279</v>
      </c>
      <c r="B2295" s="633" t="s">
        <v>41026</v>
      </c>
      <c r="C2295" s="715" t="s">
        <v>103</v>
      </c>
      <c r="D2295" s="715" t="s">
        <v>28018</v>
      </c>
      <c r="E2295" s="716">
        <v>950</v>
      </c>
    </row>
    <row r="2296" spans="1:5" ht="29">
      <c r="A2296" s="715">
        <v>3405</v>
      </c>
      <c r="B2296" s="633" t="s">
        <v>36840</v>
      </c>
      <c r="C2296" s="715" t="s">
        <v>103</v>
      </c>
      <c r="D2296" s="715" t="s">
        <v>40839</v>
      </c>
      <c r="E2296" s="716">
        <v>86.08</v>
      </c>
    </row>
    <row r="2297" spans="1:5">
      <c r="A2297" s="715">
        <v>3394</v>
      </c>
      <c r="B2297" s="633" t="s">
        <v>36841</v>
      </c>
      <c r="C2297" s="715" t="s">
        <v>103</v>
      </c>
      <c r="D2297" s="715" t="s">
        <v>40839</v>
      </c>
      <c r="E2297" s="716">
        <v>454.41</v>
      </c>
    </row>
    <row r="2298" spans="1:5">
      <c r="A2298" s="715">
        <v>3393</v>
      </c>
      <c r="B2298" s="633" t="s">
        <v>36842</v>
      </c>
      <c r="C2298" s="715" t="s">
        <v>103</v>
      </c>
      <c r="D2298" s="715" t="s">
        <v>40839</v>
      </c>
      <c r="E2298" s="716">
        <v>773.69</v>
      </c>
    </row>
    <row r="2299" spans="1:5">
      <c r="A2299" s="715">
        <v>3406</v>
      </c>
      <c r="B2299" s="633" t="s">
        <v>36843</v>
      </c>
      <c r="C2299" s="715" t="s">
        <v>103</v>
      </c>
      <c r="D2299" s="715" t="s">
        <v>28018</v>
      </c>
      <c r="E2299" s="716">
        <v>26.35</v>
      </c>
    </row>
    <row r="2300" spans="1:5">
      <c r="A2300" s="715">
        <v>3395</v>
      </c>
      <c r="B2300" s="633" t="s">
        <v>36844</v>
      </c>
      <c r="C2300" s="715" t="s">
        <v>103</v>
      </c>
      <c r="D2300" s="715" t="s">
        <v>40839</v>
      </c>
      <c r="E2300" s="716">
        <v>111.15</v>
      </c>
    </row>
    <row r="2301" spans="1:5" ht="29">
      <c r="A2301" s="715">
        <v>3398</v>
      </c>
      <c r="B2301" s="633" t="s">
        <v>36845</v>
      </c>
      <c r="C2301" s="715" t="s">
        <v>103</v>
      </c>
      <c r="D2301" s="715" t="s">
        <v>40839</v>
      </c>
      <c r="E2301" s="716">
        <v>5.28</v>
      </c>
    </row>
    <row r="2302" spans="1:5" ht="57">
      <c r="A2302" s="715">
        <v>40662</v>
      </c>
      <c r="B2302" s="633" t="s">
        <v>36846</v>
      </c>
      <c r="C2302" s="715" t="s">
        <v>103</v>
      </c>
      <c r="D2302" s="715" t="s">
        <v>40839</v>
      </c>
      <c r="E2302" s="716">
        <v>216.4</v>
      </c>
    </row>
    <row r="2303" spans="1:5" ht="57">
      <c r="A2303" s="715">
        <v>3437</v>
      </c>
      <c r="B2303" s="633" t="s">
        <v>36847</v>
      </c>
      <c r="C2303" s="715" t="s">
        <v>509</v>
      </c>
      <c r="D2303" s="715" t="s">
        <v>40839</v>
      </c>
      <c r="E2303" s="716">
        <v>601.13</v>
      </c>
    </row>
    <row r="2304" spans="1:5">
      <c r="A2304" s="715">
        <v>11190</v>
      </c>
      <c r="B2304" s="633" t="s">
        <v>36848</v>
      </c>
      <c r="C2304" s="715" t="s">
        <v>103</v>
      </c>
      <c r="D2304" s="715" t="s">
        <v>28018</v>
      </c>
      <c r="E2304" s="716">
        <v>153.69999999999999</v>
      </c>
    </row>
    <row r="2305" spans="1:5" ht="43">
      <c r="A2305" s="715">
        <v>34377</v>
      </c>
      <c r="B2305" s="633" t="s">
        <v>36849</v>
      </c>
      <c r="C2305" s="715" t="s">
        <v>103</v>
      </c>
      <c r="D2305" s="715" t="s">
        <v>40839</v>
      </c>
      <c r="E2305" s="716">
        <v>207.76</v>
      </c>
    </row>
    <row r="2306" spans="1:5" ht="71">
      <c r="A2306" s="715">
        <v>40659</v>
      </c>
      <c r="B2306" s="633" t="s">
        <v>36850</v>
      </c>
      <c r="C2306" s="715" t="s">
        <v>509</v>
      </c>
      <c r="D2306" s="715" t="s">
        <v>40839</v>
      </c>
      <c r="E2306" s="716">
        <v>850.51</v>
      </c>
    </row>
    <row r="2307" spans="1:5" ht="57">
      <c r="A2307" s="715">
        <v>40660</v>
      </c>
      <c r="B2307" s="633" t="s">
        <v>36851</v>
      </c>
      <c r="C2307" s="715" t="s">
        <v>509</v>
      </c>
      <c r="D2307" s="715" t="s">
        <v>40839</v>
      </c>
      <c r="E2307" s="716">
        <v>1077.92</v>
      </c>
    </row>
    <row r="2308" spans="1:5" ht="57">
      <c r="A2308" s="715">
        <v>40661</v>
      </c>
      <c r="B2308" s="633" t="s">
        <v>36852</v>
      </c>
      <c r="C2308" s="715" t="s">
        <v>509</v>
      </c>
      <c r="D2308" s="715" t="s">
        <v>40839</v>
      </c>
      <c r="E2308" s="716">
        <v>662.73</v>
      </c>
    </row>
    <row r="2309" spans="1:5" ht="57">
      <c r="A2309" s="715">
        <v>3428</v>
      </c>
      <c r="B2309" s="633" t="s">
        <v>36853</v>
      </c>
      <c r="C2309" s="715" t="s">
        <v>509</v>
      </c>
      <c r="D2309" s="715" t="s">
        <v>28018</v>
      </c>
      <c r="E2309" s="716">
        <v>891.67</v>
      </c>
    </row>
    <row r="2310" spans="1:5" ht="57">
      <c r="A2310" s="715">
        <v>3429</v>
      </c>
      <c r="B2310" s="633" t="s">
        <v>36854</v>
      </c>
      <c r="C2310" s="715" t="s">
        <v>509</v>
      </c>
      <c r="D2310" s="715" t="s">
        <v>40839</v>
      </c>
      <c r="E2310" s="716">
        <v>509.45</v>
      </c>
    </row>
    <row r="2311" spans="1:5" ht="29">
      <c r="A2311" s="715">
        <v>11199</v>
      </c>
      <c r="B2311" s="633" t="s">
        <v>36855</v>
      </c>
      <c r="C2311" s="715" t="s">
        <v>103</v>
      </c>
      <c r="D2311" s="715" t="s">
        <v>40839</v>
      </c>
      <c r="E2311" s="716">
        <v>848.85</v>
      </c>
    </row>
    <row r="2312" spans="1:5" ht="43">
      <c r="A2312" s="715">
        <v>36896</v>
      </c>
      <c r="B2312" s="633" t="s">
        <v>36856</v>
      </c>
      <c r="C2312" s="715" t="s">
        <v>103</v>
      </c>
      <c r="D2312" s="715" t="s">
        <v>28018</v>
      </c>
      <c r="E2312" s="716">
        <v>402.4</v>
      </c>
    </row>
    <row r="2313" spans="1:5" ht="43">
      <c r="A2313" s="715">
        <v>34367</v>
      </c>
      <c r="B2313" s="633" t="s">
        <v>36857</v>
      </c>
      <c r="C2313" s="715" t="s">
        <v>103</v>
      </c>
      <c r="D2313" s="715" t="s">
        <v>40839</v>
      </c>
      <c r="E2313" s="716">
        <v>518.63</v>
      </c>
    </row>
    <row r="2314" spans="1:5" ht="43">
      <c r="A2314" s="715">
        <v>36897</v>
      </c>
      <c r="B2314" s="633" t="s">
        <v>36858</v>
      </c>
      <c r="C2314" s="715" t="s">
        <v>103</v>
      </c>
      <c r="D2314" s="715" t="s">
        <v>40839</v>
      </c>
      <c r="E2314" s="716">
        <v>627.92999999999995</v>
      </c>
    </row>
    <row r="2315" spans="1:5" ht="43">
      <c r="A2315" s="715">
        <v>34369</v>
      </c>
      <c r="B2315" s="633" t="s">
        <v>36859</v>
      </c>
      <c r="C2315" s="715" t="s">
        <v>103</v>
      </c>
      <c r="D2315" s="715" t="s">
        <v>40839</v>
      </c>
      <c r="E2315" s="716">
        <v>722.64</v>
      </c>
    </row>
    <row r="2316" spans="1:5" ht="43">
      <c r="A2316" s="715">
        <v>34364</v>
      </c>
      <c r="B2316" s="633" t="s">
        <v>36860</v>
      </c>
      <c r="C2316" s="715" t="s">
        <v>103</v>
      </c>
      <c r="D2316" s="715" t="s">
        <v>40839</v>
      </c>
      <c r="E2316" s="716">
        <v>681.72</v>
      </c>
    </row>
    <row r="2317" spans="1:5" ht="57">
      <c r="A2317" s="715">
        <v>3421</v>
      </c>
      <c r="B2317" s="633" t="s">
        <v>36861</v>
      </c>
      <c r="C2317" s="715" t="s">
        <v>509</v>
      </c>
      <c r="D2317" s="715" t="s">
        <v>40839</v>
      </c>
      <c r="E2317" s="716">
        <v>667.8</v>
      </c>
    </row>
    <row r="2318" spans="1:5" ht="43">
      <c r="A2318" s="715">
        <v>599</v>
      </c>
      <c r="B2318" s="633" t="s">
        <v>36862</v>
      </c>
      <c r="C2318" s="715" t="s">
        <v>509</v>
      </c>
      <c r="D2318" s="715" t="s">
        <v>40839</v>
      </c>
      <c r="E2318" s="716">
        <v>733.89</v>
      </c>
    </row>
    <row r="2319" spans="1:5" ht="43">
      <c r="A2319" s="715">
        <v>44053</v>
      </c>
      <c r="B2319" s="633" t="s">
        <v>36863</v>
      </c>
      <c r="C2319" s="715" t="s">
        <v>103</v>
      </c>
      <c r="D2319" s="715" t="s">
        <v>40839</v>
      </c>
      <c r="E2319" s="716">
        <v>1628.89</v>
      </c>
    </row>
    <row r="2320" spans="1:5" ht="43">
      <c r="A2320" s="715">
        <v>3423</v>
      </c>
      <c r="B2320" s="633" t="s">
        <v>36864</v>
      </c>
      <c r="C2320" s="715" t="s">
        <v>509</v>
      </c>
      <c r="D2320" s="715" t="s">
        <v>40839</v>
      </c>
      <c r="E2320" s="716">
        <v>941.76</v>
      </c>
    </row>
    <row r="2321" spans="1:5" ht="29">
      <c r="A2321" s="715">
        <v>34797</v>
      </c>
      <c r="B2321" s="633" t="s">
        <v>36865</v>
      </c>
      <c r="C2321" s="715" t="s">
        <v>103</v>
      </c>
      <c r="D2321" s="715" t="s">
        <v>40839</v>
      </c>
      <c r="E2321" s="716">
        <v>334.78</v>
      </c>
    </row>
    <row r="2322" spans="1:5" ht="29">
      <c r="A2322" s="715">
        <v>34381</v>
      </c>
      <c r="B2322" s="633" t="s">
        <v>36866</v>
      </c>
      <c r="C2322" s="715" t="s">
        <v>103</v>
      </c>
      <c r="D2322" s="715" t="s">
        <v>40839</v>
      </c>
      <c r="E2322" s="716">
        <v>296.33</v>
      </c>
    </row>
    <row r="2323" spans="1:5" ht="43">
      <c r="A2323" s="715">
        <v>44054</v>
      </c>
      <c r="B2323" s="633" t="s">
        <v>36867</v>
      </c>
      <c r="C2323" s="715" t="s">
        <v>103</v>
      </c>
      <c r="D2323" s="715" t="s">
        <v>40839</v>
      </c>
      <c r="E2323" s="716">
        <v>584.35</v>
      </c>
    </row>
    <row r="2324" spans="1:5" ht="43">
      <c r="A2324" s="715">
        <v>44399</v>
      </c>
      <c r="B2324" s="633" t="s">
        <v>36868</v>
      </c>
      <c r="C2324" s="715" t="s">
        <v>103</v>
      </c>
      <c r="D2324" s="715" t="s">
        <v>40839</v>
      </c>
      <c r="E2324" s="716">
        <v>798.41</v>
      </c>
    </row>
    <row r="2325" spans="1:5">
      <c r="A2325" s="715">
        <v>44503</v>
      </c>
      <c r="B2325" s="633" t="s">
        <v>36869</v>
      </c>
      <c r="C2325" s="715" t="s">
        <v>11</v>
      </c>
      <c r="D2325" s="715" t="s">
        <v>40839</v>
      </c>
      <c r="E2325" s="716">
        <v>22.92</v>
      </c>
    </row>
    <row r="2326" spans="1:5">
      <c r="A2326" s="715">
        <v>41077</v>
      </c>
      <c r="B2326" s="633" t="s">
        <v>36870</v>
      </c>
      <c r="C2326" s="715" t="s">
        <v>27629</v>
      </c>
      <c r="D2326" s="715" t="s">
        <v>40839</v>
      </c>
      <c r="E2326" s="716">
        <v>4017.13</v>
      </c>
    </row>
    <row r="2327" spans="1:5">
      <c r="A2327" s="715">
        <v>37963</v>
      </c>
      <c r="B2327" s="633" t="s">
        <v>36871</v>
      </c>
      <c r="C2327" s="715" t="s">
        <v>103</v>
      </c>
      <c r="D2327" s="715" t="s">
        <v>40839</v>
      </c>
      <c r="E2327" s="716">
        <v>4.63</v>
      </c>
    </row>
    <row r="2328" spans="1:5">
      <c r="A2328" s="715">
        <v>37964</v>
      </c>
      <c r="B2328" s="633" t="s">
        <v>36872</v>
      </c>
      <c r="C2328" s="715" t="s">
        <v>103</v>
      </c>
      <c r="D2328" s="715" t="s">
        <v>40839</v>
      </c>
      <c r="E2328" s="716">
        <v>6.19</v>
      </c>
    </row>
    <row r="2329" spans="1:5">
      <c r="A2329" s="715">
        <v>37965</v>
      </c>
      <c r="B2329" s="633" t="s">
        <v>36873</v>
      </c>
      <c r="C2329" s="715" t="s">
        <v>103</v>
      </c>
      <c r="D2329" s="715" t="s">
        <v>40839</v>
      </c>
      <c r="E2329" s="716">
        <v>8.93</v>
      </c>
    </row>
    <row r="2330" spans="1:5">
      <c r="A2330" s="715">
        <v>37966</v>
      </c>
      <c r="B2330" s="633" t="s">
        <v>36874</v>
      </c>
      <c r="C2330" s="715" t="s">
        <v>103</v>
      </c>
      <c r="D2330" s="715" t="s">
        <v>40839</v>
      </c>
      <c r="E2330" s="716">
        <v>15.69</v>
      </c>
    </row>
    <row r="2331" spans="1:5">
      <c r="A2331" s="715">
        <v>37967</v>
      </c>
      <c r="B2331" s="633" t="s">
        <v>36875</v>
      </c>
      <c r="C2331" s="715" t="s">
        <v>103</v>
      </c>
      <c r="D2331" s="715" t="s">
        <v>40839</v>
      </c>
      <c r="E2331" s="716">
        <v>26.36</v>
      </c>
    </row>
    <row r="2332" spans="1:5">
      <c r="A2332" s="715">
        <v>37968</v>
      </c>
      <c r="B2332" s="633" t="s">
        <v>36876</v>
      </c>
      <c r="C2332" s="715" t="s">
        <v>103</v>
      </c>
      <c r="D2332" s="715" t="s">
        <v>40839</v>
      </c>
      <c r="E2332" s="716">
        <v>55.97</v>
      </c>
    </row>
    <row r="2333" spans="1:5">
      <c r="A2333" s="715">
        <v>37969</v>
      </c>
      <c r="B2333" s="633" t="s">
        <v>36877</v>
      </c>
      <c r="C2333" s="715" t="s">
        <v>103</v>
      </c>
      <c r="D2333" s="715" t="s">
        <v>40839</v>
      </c>
      <c r="E2333" s="716">
        <v>141.43</v>
      </c>
    </row>
    <row r="2334" spans="1:5">
      <c r="A2334" s="715">
        <v>37970</v>
      </c>
      <c r="B2334" s="633" t="s">
        <v>36878</v>
      </c>
      <c r="C2334" s="715" t="s">
        <v>103</v>
      </c>
      <c r="D2334" s="715" t="s">
        <v>40839</v>
      </c>
      <c r="E2334" s="716">
        <v>204.62</v>
      </c>
    </row>
    <row r="2335" spans="1:5">
      <c r="A2335" s="715">
        <v>44251</v>
      </c>
      <c r="B2335" s="633" t="s">
        <v>36879</v>
      </c>
      <c r="C2335" s="715" t="s">
        <v>103</v>
      </c>
      <c r="D2335" s="715" t="s">
        <v>40839</v>
      </c>
      <c r="E2335" s="716">
        <v>236.35</v>
      </c>
    </row>
    <row r="2336" spans="1:5">
      <c r="A2336" s="715">
        <v>21118</v>
      </c>
      <c r="B2336" s="633" t="s">
        <v>36880</v>
      </c>
      <c r="C2336" s="715" t="s">
        <v>103</v>
      </c>
      <c r="D2336" s="715" t="s">
        <v>40839</v>
      </c>
      <c r="E2336" s="716">
        <v>3.68</v>
      </c>
    </row>
    <row r="2337" spans="1:5">
      <c r="A2337" s="715">
        <v>37956</v>
      </c>
      <c r="B2337" s="633" t="s">
        <v>36881</v>
      </c>
      <c r="C2337" s="715" t="s">
        <v>103</v>
      </c>
      <c r="D2337" s="715" t="s">
        <v>40839</v>
      </c>
      <c r="E2337" s="716">
        <v>4.5199999999999996</v>
      </c>
    </row>
    <row r="2338" spans="1:5">
      <c r="A2338" s="715">
        <v>37957</v>
      </c>
      <c r="B2338" s="633" t="s">
        <v>36882</v>
      </c>
      <c r="C2338" s="715" t="s">
        <v>103</v>
      </c>
      <c r="D2338" s="715" t="s">
        <v>40839</v>
      </c>
      <c r="E2338" s="716">
        <v>9.6199999999999992</v>
      </c>
    </row>
    <row r="2339" spans="1:5">
      <c r="A2339" s="715">
        <v>37958</v>
      </c>
      <c r="B2339" s="633" t="s">
        <v>36883</v>
      </c>
      <c r="C2339" s="715" t="s">
        <v>103</v>
      </c>
      <c r="D2339" s="715" t="s">
        <v>40839</v>
      </c>
      <c r="E2339" s="716">
        <v>17.399999999999999</v>
      </c>
    </row>
    <row r="2340" spans="1:5">
      <c r="A2340" s="715">
        <v>37959</v>
      </c>
      <c r="B2340" s="633" t="s">
        <v>36884</v>
      </c>
      <c r="C2340" s="715" t="s">
        <v>103</v>
      </c>
      <c r="D2340" s="715" t="s">
        <v>40839</v>
      </c>
      <c r="E2340" s="716">
        <v>26.78</v>
      </c>
    </row>
    <row r="2341" spans="1:5">
      <c r="A2341" s="715">
        <v>37960</v>
      </c>
      <c r="B2341" s="633" t="s">
        <v>36885</v>
      </c>
      <c r="C2341" s="715" t="s">
        <v>103</v>
      </c>
      <c r="D2341" s="715" t="s">
        <v>40839</v>
      </c>
      <c r="E2341" s="716">
        <v>68.430000000000007</v>
      </c>
    </row>
    <row r="2342" spans="1:5">
      <c r="A2342" s="715">
        <v>37961</v>
      </c>
      <c r="B2342" s="633" t="s">
        <v>36886</v>
      </c>
      <c r="C2342" s="715" t="s">
        <v>103</v>
      </c>
      <c r="D2342" s="715" t="s">
        <v>40839</v>
      </c>
      <c r="E2342" s="716">
        <v>147.07</v>
      </c>
    </row>
    <row r="2343" spans="1:5">
      <c r="A2343" s="715">
        <v>37962</v>
      </c>
      <c r="B2343" s="633" t="s">
        <v>36887</v>
      </c>
      <c r="C2343" s="715" t="s">
        <v>103</v>
      </c>
      <c r="D2343" s="715" t="s">
        <v>40839</v>
      </c>
      <c r="E2343" s="716">
        <v>169.55</v>
      </c>
    </row>
    <row r="2344" spans="1:5" ht="29">
      <c r="A2344" s="715">
        <v>3533</v>
      </c>
      <c r="B2344" s="633" t="s">
        <v>36888</v>
      </c>
      <c r="C2344" s="715" t="s">
        <v>103</v>
      </c>
      <c r="D2344" s="715" t="s">
        <v>40839</v>
      </c>
      <c r="E2344" s="716">
        <v>3.21</v>
      </c>
    </row>
    <row r="2345" spans="1:5" ht="29">
      <c r="A2345" s="715">
        <v>3538</v>
      </c>
      <c r="B2345" s="633" t="s">
        <v>36889</v>
      </c>
      <c r="C2345" s="715" t="s">
        <v>103</v>
      </c>
      <c r="D2345" s="715" t="s">
        <v>40839</v>
      </c>
      <c r="E2345" s="716">
        <v>6.07</v>
      </c>
    </row>
    <row r="2346" spans="1:5" ht="29">
      <c r="A2346" s="715">
        <v>3498</v>
      </c>
      <c r="B2346" s="633" t="s">
        <v>36890</v>
      </c>
      <c r="C2346" s="715" t="s">
        <v>103</v>
      </c>
      <c r="D2346" s="715" t="s">
        <v>40839</v>
      </c>
      <c r="E2346" s="716">
        <v>5.89</v>
      </c>
    </row>
    <row r="2347" spans="1:5" ht="29">
      <c r="A2347" s="715">
        <v>3496</v>
      </c>
      <c r="B2347" s="633" t="s">
        <v>36891</v>
      </c>
      <c r="C2347" s="715" t="s">
        <v>103</v>
      </c>
      <c r="D2347" s="715" t="s">
        <v>40839</v>
      </c>
      <c r="E2347" s="716">
        <v>3.94</v>
      </c>
    </row>
    <row r="2348" spans="1:5" ht="29">
      <c r="A2348" s="715">
        <v>38429</v>
      </c>
      <c r="B2348" s="633" t="s">
        <v>36892</v>
      </c>
      <c r="C2348" s="715" t="s">
        <v>103</v>
      </c>
      <c r="D2348" s="715" t="s">
        <v>40839</v>
      </c>
      <c r="E2348" s="716">
        <v>12.52</v>
      </c>
    </row>
    <row r="2349" spans="1:5" ht="29">
      <c r="A2349" s="715">
        <v>38431</v>
      </c>
      <c r="B2349" s="633" t="s">
        <v>36893</v>
      </c>
      <c r="C2349" s="715" t="s">
        <v>103</v>
      </c>
      <c r="D2349" s="715" t="s">
        <v>40839</v>
      </c>
      <c r="E2349" s="716">
        <v>15.71</v>
      </c>
    </row>
    <row r="2350" spans="1:5" ht="29">
      <c r="A2350" s="715">
        <v>38430</v>
      </c>
      <c r="B2350" s="633" t="s">
        <v>36894</v>
      </c>
      <c r="C2350" s="715" t="s">
        <v>103</v>
      </c>
      <c r="D2350" s="715" t="s">
        <v>40839</v>
      </c>
      <c r="E2350" s="716">
        <v>24.35</v>
      </c>
    </row>
    <row r="2351" spans="1:5">
      <c r="A2351" s="715">
        <v>36348</v>
      </c>
      <c r="B2351" s="633" t="s">
        <v>36895</v>
      </c>
      <c r="C2351" s="715" t="s">
        <v>103</v>
      </c>
      <c r="D2351" s="715" t="s">
        <v>40839</v>
      </c>
      <c r="E2351" s="716">
        <v>2.39</v>
      </c>
    </row>
    <row r="2352" spans="1:5">
      <c r="A2352" s="715">
        <v>36349</v>
      </c>
      <c r="B2352" s="633" t="s">
        <v>36896</v>
      </c>
      <c r="C2352" s="715" t="s">
        <v>103</v>
      </c>
      <c r="D2352" s="715" t="s">
        <v>40839</v>
      </c>
      <c r="E2352" s="716">
        <v>3.29</v>
      </c>
    </row>
    <row r="2353" spans="1:5">
      <c r="A2353" s="715">
        <v>38987</v>
      </c>
      <c r="B2353" s="633" t="s">
        <v>36897</v>
      </c>
      <c r="C2353" s="715" t="s">
        <v>103</v>
      </c>
      <c r="D2353" s="715" t="s">
        <v>40839</v>
      </c>
      <c r="E2353" s="716">
        <v>15.83</v>
      </c>
    </row>
    <row r="2354" spans="1:5">
      <c r="A2354" s="715">
        <v>38988</v>
      </c>
      <c r="B2354" s="633" t="s">
        <v>36898</v>
      </c>
      <c r="C2354" s="715" t="s">
        <v>103</v>
      </c>
      <c r="D2354" s="715" t="s">
        <v>40839</v>
      </c>
      <c r="E2354" s="716">
        <v>25.79</v>
      </c>
    </row>
    <row r="2355" spans="1:5">
      <c r="A2355" s="715">
        <v>38989</v>
      </c>
      <c r="B2355" s="633" t="s">
        <v>36899</v>
      </c>
      <c r="C2355" s="715" t="s">
        <v>103</v>
      </c>
      <c r="D2355" s="715" t="s">
        <v>40839</v>
      </c>
      <c r="E2355" s="716">
        <v>43.39</v>
      </c>
    </row>
    <row r="2356" spans="1:5">
      <c r="A2356" s="715">
        <v>38990</v>
      </c>
      <c r="B2356" s="633" t="s">
        <v>36900</v>
      </c>
      <c r="C2356" s="715" t="s">
        <v>103</v>
      </c>
      <c r="D2356" s="715" t="s">
        <v>40839</v>
      </c>
      <c r="E2356" s="716">
        <v>86.71</v>
      </c>
    </row>
    <row r="2357" spans="1:5">
      <c r="A2357" s="715">
        <v>38991</v>
      </c>
      <c r="B2357" s="633" t="s">
        <v>36901</v>
      </c>
      <c r="C2357" s="715" t="s">
        <v>103</v>
      </c>
      <c r="D2357" s="715" t="s">
        <v>40839</v>
      </c>
      <c r="E2357" s="716">
        <v>156.03</v>
      </c>
    </row>
    <row r="2358" spans="1:5">
      <c r="A2358" s="715">
        <v>38433</v>
      </c>
      <c r="B2358" s="633" t="s">
        <v>36902</v>
      </c>
      <c r="C2358" s="715" t="s">
        <v>103</v>
      </c>
      <c r="D2358" s="715" t="s">
        <v>40839</v>
      </c>
      <c r="E2358" s="716">
        <v>8.07</v>
      </c>
    </row>
    <row r="2359" spans="1:5">
      <c r="A2359" s="715">
        <v>38440</v>
      </c>
      <c r="B2359" s="633" t="s">
        <v>36903</v>
      </c>
      <c r="C2359" s="715" t="s">
        <v>103</v>
      </c>
      <c r="D2359" s="715" t="s">
        <v>40839</v>
      </c>
      <c r="E2359" s="716">
        <v>340.05</v>
      </c>
    </row>
    <row r="2360" spans="1:5">
      <c r="A2360" s="715">
        <v>36359</v>
      </c>
      <c r="B2360" s="633" t="s">
        <v>36904</v>
      </c>
      <c r="C2360" s="715" t="s">
        <v>103</v>
      </c>
      <c r="D2360" s="715" t="s">
        <v>40839</v>
      </c>
      <c r="E2360" s="716">
        <v>2.12</v>
      </c>
    </row>
    <row r="2361" spans="1:5">
      <c r="A2361" s="715">
        <v>36360</v>
      </c>
      <c r="B2361" s="633" t="s">
        <v>36905</v>
      </c>
      <c r="C2361" s="715" t="s">
        <v>103</v>
      </c>
      <c r="D2361" s="715" t="s">
        <v>40839</v>
      </c>
      <c r="E2361" s="716">
        <v>2.85</v>
      </c>
    </row>
    <row r="2362" spans="1:5">
      <c r="A2362" s="715">
        <v>38434</v>
      </c>
      <c r="B2362" s="633" t="s">
        <v>36906</v>
      </c>
      <c r="C2362" s="715" t="s">
        <v>103</v>
      </c>
      <c r="D2362" s="715" t="s">
        <v>40839</v>
      </c>
      <c r="E2362" s="716">
        <v>4.3499999999999996</v>
      </c>
    </row>
    <row r="2363" spans="1:5">
      <c r="A2363" s="715">
        <v>38435</v>
      </c>
      <c r="B2363" s="633" t="s">
        <v>36907</v>
      </c>
      <c r="C2363" s="715" t="s">
        <v>103</v>
      </c>
      <c r="D2363" s="715" t="s">
        <v>40839</v>
      </c>
      <c r="E2363" s="716">
        <v>9.7799999999999994</v>
      </c>
    </row>
    <row r="2364" spans="1:5">
      <c r="A2364" s="715">
        <v>38436</v>
      </c>
      <c r="B2364" s="633" t="s">
        <v>36908</v>
      </c>
      <c r="C2364" s="715" t="s">
        <v>103</v>
      </c>
      <c r="D2364" s="715" t="s">
        <v>40839</v>
      </c>
      <c r="E2364" s="716">
        <v>16.21</v>
      </c>
    </row>
    <row r="2365" spans="1:5">
      <c r="A2365" s="715">
        <v>38437</v>
      </c>
      <c r="B2365" s="633" t="s">
        <v>36909</v>
      </c>
      <c r="C2365" s="715" t="s">
        <v>103</v>
      </c>
      <c r="D2365" s="715" t="s">
        <v>40839</v>
      </c>
      <c r="E2365" s="716">
        <v>26.3</v>
      </c>
    </row>
    <row r="2366" spans="1:5">
      <c r="A2366" s="715">
        <v>38438</v>
      </c>
      <c r="B2366" s="633" t="s">
        <v>36910</v>
      </c>
      <c r="C2366" s="715" t="s">
        <v>103</v>
      </c>
      <c r="D2366" s="715" t="s">
        <v>40839</v>
      </c>
      <c r="E2366" s="716">
        <v>76.28</v>
      </c>
    </row>
    <row r="2367" spans="1:5">
      <c r="A2367" s="715">
        <v>38439</v>
      </c>
      <c r="B2367" s="633" t="s">
        <v>36911</v>
      </c>
      <c r="C2367" s="715" t="s">
        <v>103</v>
      </c>
      <c r="D2367" s="715" t="s">
        <v>40839</v>
      </c>
      <c r="E2367" s="716">
        <v>96.94</v>
      </c>
    </row>
    <row r="2368" spans="1:5" ht="29">
      <c r="A2368" s="715">
        <v>10836</v>
      </c>
      <c r="B2368" s="633" t="s">
        <v>36912</v>
      </c>
      <c r="C2368" s="715" t="s">
        <v>103</v>
      </c>
      <c r="D2368" s="715" t="s">
        <v>40839</v>
      </c>
      <c r="E2368" s="716">
        <v>24.41</v>
      </c>
    </row>
    <row r="2369" spans="1:5">
      <c r="A2369" s="715">
        <v>3510</v>
      </c>
      <c r="B2369" s="633" t="s">
        <v>36913</v>
      </c>
      <c r="C2369" s="715" t="s">
        <v>103</v>
      </c>
      <c r="D2369" s="715" t="s">
        <v>40839</v>
      </c>
      <c r="E2369" s="716">
        <v>14.78</v>
      </c>
    </row>
    <row r="2370" spans="1:5" ht="29">
      <c r="A2370" s="715">
        <v>10835</v>
      </c>
      <c r="B2370" s="633" t="s">
        <v>36914</v>
      </c>
      <c r="C2370" s="715" t="s">
        <v>103</v>
      </c>
      <c r="D2370" s="715" t="s">
        <v>40839</v>
      </c>
      <c r="E2370" s="716">
        <v>6.81</v>
      </c>
    </row>
    <row r="2371" spans="1:5">
      <c r="A2371" s="715">
        <v>3485</v>
      </c>
      <c r="B2371" s="633" t="s">
        <v>36915</v>
      </c>
      <c r="C2371" s="715" t="s">
        <v>103</v>
      </c>
      <c r="D2371" s="715" t="s">
        <v>40839</v>
      </c>
      <c r="E2371" s="716">
        <v>15.54</v>
      </c>
    </row>
    <row r="2372" spans="1:5">
      <c r="A2372" s="715">
        <v>3475</v>
      </c>
      <c r="B2372" s="633" t="s">
        <v>36916</v>
      </c>
      <c r="C2372" s="715" t="s">
        <v>103</v>
      </c>
      <c r="D2372" s="715" t="s">
        <v>40839</v>
      </c>
      <c r="E2372" s="716">
        <v>5.62</v>
      </c>
    </row>
    <row r="2373" spans="1:5">
      <c r="A2373" s="715">
        <v>3534</v>
      </c>
      <c r="B2373" s="633" t="s">
        <v>36917</v>
      </c>
      <c r="C2373" s="715" t="s">
        <v>103</v>
      </c>
      <c r="D2373" s="715" t="s">
        <v>40839</v>
      </c>
      <c r="E2373" s="716">
        <v>8.91</v>
      </c>
    </row>
    <row r="2374" spans="1:5">
      <c r="A2374" s="715">
        <v>3482</v>
      </c>
      <c r="B2374" s="633" t="s">
        <v>36918</v>
      </c>
      <c r="C2374" s="715" t="s">
        <v>103</v>
      </c>
      <c r="D2374" s="715" t="s">
        <v>40839</v>
      </c>
      <c r="E2374" s="716">
        <v>6.37</v>
      </c>
    </row>
    <row r="2375" spans="1:5">
      <c r="A2375" s="715">
        <v>3543</v>
      </c>
      <c r="B2375" s="633" t="s">
        <v>36919</v>
      </c>
      <c r="C2375" s="715" t="s">
        <v>103</v>
      </c>
      <c r="D2375" s="715" t="s">
        <v>40839</v>
      </c>
      <c r="E2375" s="716">
        <v>2.0699999999999998</v>
      </c>
    </row>
    <row r="2376" spans="1:5">
      <c r="A2376" s="715">
        <v>3505</v>
      </c>
      <c r="B2376" s="633" t="s">
        <v>36920</v>
      </c>
      <c r="C2376" s="715" t="s">
        <v>103</v>
      </c>
      <c r="D2376" s="715" t="s">
        <v>40839</v>
      </c>
      <c r="E2376" s="716">
        <v>3.08</v>
      </c>
    </row>
    <row r="2377" spans="1:5" ht="29">
      <c r="A2377" s="715">
        <v>3521</v>
      </c>
      <c r="B2377" s="633" t="s">
        <v>36921</v>
      </c>
      <c r="C2377" s="715" t="s">
        <v>103</v>
      </c>
      <c r="D2377" s="715" t="s">
        <v>40839</v>
      </c>
      <c r="E2377" s="716">
        <v>2.3199999999999998</v>
      </c>
    </row>
    <row r="2378" spans="1:5" ht="29">
      <c r="A2378" s="715">
        <v>3531</v>
      </c>
      <c r="B2378" s="633" t="s">
        <v>36922</v>
      </c>
      <c r="C2378" s="715" t="s">
        <v>103</v>
      </c>
      <c r="D2378" s="715" t="s">
        <v>40839</v>
      </c>
      <c r="E2378" s="716">
        <v>4.42</v>
      </c>
    </row>
    <row r="2379" spans="1:5" ht="29">
      <c r="A2379" s="715">
        <v>3522</v>
      </c>
      <c r="B2379" s="633" t="s">
        <v>36923</v>
      </c>
      <c r="C2379" s="715" t="s">
        <v>103</v>
      </c>
      <c r="D2379" s="715" t="s">
        <v>40839</v>
      </c>
      <c r="E2379" s="716">
        <v>2.85</v>
      </c>
    </row>
    <row r="2380" spans="1:5" ht="29">
      <c r="A2380" s="715">
        <v>3527</v>
      </c>
      <c r="B2380" s="633" t="s">
        <v>36924</v>
      </c>
      <c r="C2380" s="715" t="s">
        <v>103</v>
      </c>
      <c r="D2380" s="715" t="s">
        <v>40839</v>
      </c>
      <c r="E2380" s="716">
        <v>14.98</v>
      </c>
    </row>
    <row r="2381" spans="1:5">
      <c r="A2381" s="715">
        <v>3530</v>
      </c>
      <c r="B2381" s="633" t="s">
        <v>36925</v>
      </c>
      <c r="C2381" s="715" t="s">
        <v>103</v>
      </c>
      <c r="D2381" s="715" t="s">
        <v>40839</v>
      </c>
      <c r="E2381" s="716">
        <v>242.52</v>
      </c>
    </row>
    <row r="2382" spans="1:5">
      <c r="A2382" s="715">
        <v>3542</v>
      </c>
      <c r="B2382" s="633" t="s">
        <v>36926</v>
      </c>
      <c r="C2382" s="715" t="s">
        <v>103</v>
      </c>
      <c r="D2382" s="715" t="s">
        <v>40839</v>
      </c>
      <c r="E2382" s="716">
        <v>0.69</v>
      </c>
    </row>
    <row r="2383" spans="1:5">
      <c r="A2383" s="715">
        <v>3529</v>
      </c>
      <c r="B2383" s="633" t="s">
        <v>36927</v>
      </c>
      <c r="C2383" s="715" t="s">
        <v>103</v>
      </c>
      <c r="D2383" s="715" t="s">
        <v>40839</v>
      </c>
      <c r="E2383" s="716">
        <v>0.85</v>
      </c>
    </row>
    <row r="2384" spans="1:5">
      <c r="A2384" s="715">
        <v>3536</v>
      </c>
      <c r="B2384" s="633" t="s">
        <v>36928</v>
      </c>
      <c r="C2384" s="715" t="s">
        <v>103</v>
      </c>
      <c r="D2384" s="715" t="s">
        <v>40839</v>
      </c>
      <c r="E2384" s="716">
        <v>2.84</v>
      </c>
    </row>
    <row r="2385" spans="1:5">
      <c r="A2385" s="715">
        <v>3535</v>
      </c>
      <c r="B2385" s="633" t="s">
        <v>36929</v>
      </c>
      <c r="C2385" s="715" t="s">
        <v>103</v>
      </c>
      <c r="D2385" s="715" t="s">
        <v>40839</v>
      </c>
      <c r="E2385" s="716">
        <v>6.92</v>
      </c>
    </row>
    <row r="2386" spans="1:5">
      <c r="A2386" s="715">
        <v>3540</v>
      </c>
      <c r="B2386" s="633" t="s">
        <v>36930</v>
      </c>
      <c r="C2386" s="715" t="s">
        <v>103</v>
      </c>
      <c r="D2386" s="715" t="s">
        <v>40839</v>
      </c>
      <c r="E2386" s="716">
        <v>5.86</v>
      </c>
    </row>
    <row r="2387" spans="1:5">
      <c r="A2387" s="715">
        <v>3539</v>
      </c>
      <c r="B2387" s="633" t="s">
        <v>36931</v>
      </c>
      <c r="C2387" s="715" t="s">
        <v>103</v>
      </c>
      <c r="D2387" s="715" t="s">
        <v>40839</v>
      </c>
      <c r="E2387" s="716">
        <v>33.94</v>
      </c>
    </row>
    <row r="2388" spans="1:5">
      <c r="A2388" s="715">
        <v>3513</v>
      </c>
      <c r="B2388" s="633" t="s">
        <v>36932</v>
      </c>
      <c r="C2388" s="715" t="s">
        <v>103</v>
      </c>
      <c r="D2388" s="715" t="s">
        <v>40839</v>
      </c>
      <c r="E2388" s="716">
        <v>119.69</v>
      </c>
    </row>
    <row r="2389" spans="1:5">
      <c r="A2389" s="715">
        <v>3516</v>
      </c>
      <c r="B2389" s="633" t="s">
        <v>36933</v>
      </c>
      <c r="C2389" s="715" t="s">
        <v>103</v>
      </c>
      <c r="D2389" s="715" t="s">
        <v>40839</v>
      </c>
      <c r="E2389" s="716">
        <v>2.81</v>
      </c>
    </row>
    <row r="2390" spans="1:5" ht="29">
      <c r="A2390" s="715">
        <v>3517</v>
      </c>
      <c r="B2390" s="633" t="s">
        <v>36934</v>
      </c>
      <c r="C2390" s="715" t="s">
        <v>103</v>
      </c>
      <c r="D2390" s="715" t="s">
        <v>40839</v>
      </c>
      <c r="E2390" s="716">
        <v>2.54</v>
      </c>
    </row>
    <row r="2391" spans="1:5" ht="29">
      <c r="A2391" s="715">
        <v>3515</v>
      </c>
      <c r="B2391" s="633" t="s">
        <v>36935</v>
      </c>
      <c r="C2391" s="715" t="s">
        <v>103</v>
      </c>
      <c r="D2391" s="715" t="s">
        <v>40839</v>
      </c>
      <c r="E2391" s="716">
        <v>7.64</v>
      </c>
    </row>
    <row r="2392" spans="1:5" ht="29">
      <c r="A2392" s="715">
        <v>20147</v>
      </c>
      <c r="B2392" s="633" t="s">
        <v>36936</v>
      </c>
      <c r="C2392" s="715" t="s">
        <v>103</v>
      </c>
      <c r="D2392" s="715" t="s">
        <v>40839</v>
      </c>
      <c r="E2392" s="716">
        <v>6.28</v>
      </c>
    </row>
    <row r="2393" spans="1:5" ht="29">
      <c r="A2393" s="715">
        <v>3524</v>
      </c>
      <c r="B2393" s="633" t="s">
        <v>36937</v>
      </c>
      <c r="C2393" s="715" t="s">
        <v>103</v>
      </c>
      <c r="D2393" s="715" t="s">
        <v>40839</v>
      </c>
      <c r="E2393" s="716">
        <v>9.4499999999999993</v>
      </c>
    </row>
    <row r="2394" spans="1:5" ht="29">
      <c r="A2394" s="715">
        <v>3532</v>
      </c>
      <c r="B2394" s="633" t="s">
        <v>36938</v>
      </c>
      <c r="C2394" s="715" t="s">
        <v>103</v>
      </c>
      <c r="D2394" s="715" t="s">
        <v>40839</v>
      </c>
      <c r="E2394" s="716">
        <v>21.84</v>
      </c>
    </row>
    <row r="2395" spans="1:5">
      <c r="A2395" s="715">
        <v>3528</v>
      </c>
      <c r="B2395" s="633" t="s">
        <v>36939</v>
      </c>
      <c r="C2395" s="715" t="s">
        <v>103</v>
      </c>
      <c r="D2395" s="715" t="s">
        <v>40839</v>
      </c>
      <c r="E2395" s="716">
        <v>10.99</v>
      </c>
    </row>
    <row r="2396" spans="1:5">
      <c r="A2396" s="715">
        <v>37952</v>
      </c>
      <c r="B2396" s="633" t="s">
        <v>36940</v>
      </c>
      <c r="C2396" s="715" t="s">
        <v>103</v>
      </c>
      <c r="D2396" s="715" t="s">
        <v>40839</v>
      </c>
      <c r="E2396" s="716">
        <v>78.78</v>
      </c>
    </row>
    <row r="2397" spans="1:5">
      <c r="A2397" s="715">
        <v>37951</v>
      </c>
      <c r="B2397" s="633" t="s">
        <v>36941</v>
      </c>
      <c r="C2397" s="715" t="s">
        <v>103</v>
      </c>
      <c r="D2397" s="715" t="s">
        <v>40839</v>
      </c>
      <c r="E2397" s="716">
        <v>2.96</v>
      </c>
    </row>
    <row r="2398" spans="1:5">
      <c r="A2398" s="715">
        <v>3518</v>
      </c>
      <c r="B2398" s="633" t="s">
        <v>36942</v>
      </c>
      <c r="C2398" s="715" t="s">
        <v>103</v>
      </c>
      <c r="D2398" s="715" t="s">
        <v>40839</v>
      </c>
      <c r="E2398" s="716">
        <v>4.5599999999999996</v>
      </c>
    </row>
    <row r="2399" spans="1:5">
      <c r="A2399" s="715">
        <v>3519</v>
      </c>
      <c r="B2399" s="633" t="s">
        <v>36943</v>
      </c>
      <c r="C2399" s="715" t="s">
        <v>103</v>
      </c>
      <c r="D2399" s="715" t="s">
        <v>40839</v>
      </c>
      <c r="E2399" s="716">
        <v>9.5299999999999994</v>
      </c>
    </row>
    <row r="2400" spans="1:5">
      <c r="A2400" s="715">
        <v>3520</v>
      </c>
      <c r="B2400" s="633" t="s">
        <v>36944</v>
      </c>
      <c r="C2400" s="715" t="s">
        <v>103</v>
      </c>
      <c r="D2400" s="715" t="s">
        <v>40839</v>
      </c>
      <c r="E2400" s="716">
        <v>9.99</v>
      </c>
    </row>
    <row r="2401" spans="1:5">
      <c r="A2401" s="715">
        <v>37950</v>
      </c>
      <c r="B2401" s="633" t="s">
        <v>36945</v>
      </c>
      <c r="C2401" s="715" t="s">
        <v>103</v>
      </c>
      <c r="D2401" s="715" t="s">
        <v>40839</v>
      </c>
      <c r="E2401" s="716">
        <v>72.52</v>
      </c>
    </row>
    <row r="2402" spans="1:5">
      <c r="A2402" s="715">
        <v>37949</v>
      </c>
      <c r="B2402" s="633" t="s">
        <v>36946</v>
      </c>
      <c r="C2402" s="715" t="s">
        <v>103</v>
      </c>
      <c r="D2402" s="715" t="s">
        <v>40839</v>
      </c>
      <c r="E2402" s="716">
        <v>2.67</v>
      </c>
    </row>
    <row r="2403" spans="1:5">
      <c r="A2403" s="715">
        <v>3526</v>
      </c>
      <c r="B2403" s="633" t="s">
        <v>36947</v>
      </c>
      <c r="C2403" s="715" t="s">
        <v>103</v>
      </c>
      <c r="D2403" s="715" t="s">
        <v>40839</v>
      </c>
      <c r="E2403" s="716">
        <v>3.68</v>
      </c>
    </row>
    <row r="2404" spans="1:5">
      <c r="A2404" s="715">
        <v>3509</v>
      </c>
      <c r="B2404" s="633" t="s">
        <v>36948</v>
      </c>
      <c r="C2404" s="715" t="s">
        <v>103</v>
      </c>
      <c r="D2404" s="715" t="s">
        <v>40839</v>
      </c>
      <c r="E2404" s="716">
        <v>8.36</v>
      </c>
    </row>
    <row r="2405" spans="1:5">
      <c r="A2405" s="715">
        <v>20151</v>
      </c>
      <c r="B2405" s="633" t="s">
        <v>36949</v>
      </c>
      <c r="C2405" s="715" t="s">
        <v>103</v>
      </c>
      <c r="D2405" s="715" t="s">
        <v>40839</v>
      </c>
      <c r="E2405" s="716">
        <v>24.57</v>
      </c>
    </row>
    <row r="2406" spans="1:5">
      <c r="A2406" s="715">
        <v>20152</v>
      </c>
      <c r="B2406" s="633" t="s">
        <v>36950</v>
      </c>
      <c r="C2406" s="715" t="s">
        <v>103</v>
      </c>
      <c r="D2406" s="715" t="s">
        <v>40839</v>
      </c>
      <c r="E2406" s="716">
        <v>88.9</v>
      </c>
    </row>
    <row r="2407" spans="1:5">
      <c r="A2407" s="715">
        <v>20148</v>
      </c>
      <c r="B2407" s="633" t="s">
        <v>36951</v>
      </c>
      <c r="C2407" s="715" t="s">
        <v>103</v>
      </c>
      <c r="D2407" s="715" t="s">
        <v>40839</v>
      </c>
      <c r="E2407" s="716">
        <v>4.83</v>
      </c>
    </row>
    <row r="2408" spans="1:5">
      <c r="A2408" s="715">
        <v>20149</v>
      </c>
      <c r="B2408" s="633" t="s">
        <v>36952</v>
      </c>
      <c r="C2408" s="715" t="s">
        <v>103</v>
      </c>
      <c r="D2408" s="715" t="s">
        <v>40839</v>
      </c>
      <c r="E2408" s="716">
        <v>8.07</v>
      </c>
    </row>
    <row r="2409" spans="1:5">
      <c r="A2409" s="715">
        <v>20150</v>
      </c>
      <c r="B2409" s="633" t="s">
        <v>36953</v>
      </c>
      <c r="C2409" s="715" t="s">
        <v>103</v>
      </c>
      <c r="D2409" s="715" t="s">
        <v>40839</v>
      </c>
      <c r="E2409" s="716">
        <v>20.79</v>
      </c>
    </row>
    <row r="2410" spans="1:5">
      <c r="A2410" s="715">
        <v>20157</v>
      </c>
      <c r="B2410" s="633" t="s">
        <v>36954</v>
      </c>
      <c r="C2410" s="715" t="s">
        <v>103</v>
      </c>
      <c r="D2410" s="715" t="s">
        <v>40839</v>
      </c>
      <c r="E2410" s="716">
        <v>23.34</v>
      </c>
    </row>
    <row r="2411" spans="1:5">
      <c r="A2411" s="715">
        <v>20158</v>
      </c>
      <c r="B2411" s="633" t="s">
        <v>36955</v>
      </c>
      <c r="C2411" s="715" t="s">
        <v>103</v>
      </c>
      <c r="D2411" s="715" t="s">
        <v>40839</v>
      </c>
      <c r="E2411" s="716">
        <v>92.67</v>
      </c>
    </row>
    <row r="2412" spans="1:5">
      <c r="A2412" s="715">
        <v>20154</v>
      </c>
      <c r="B2412" s="633" t="s">
        <v>36956</v>
      </c>
      <c r="C2412" s="715" t="s">
        <v>103</v>
      </c>
      <c r="D2412" s="715" t="s">
        <v>40839</v>
      </c>
      <c r="E2412" s="716">
        <v>4.7300000000000004</v>
      </c>
    </row>
    <row r="2413" spans="1:5">
      <c r="A2413" s="715">
        <v>20155</v>
      </c>
      <c r="B2413" s="633" t="s">
        <v>36957</v>
      </c>
      <c r="C2413" s="715" t="s">
        <v>103</v>
      </c>
      <c r="D2413" s="715" t="s">
        <v>40839</v>
      </c>
      <c r="E2413" s="716">
        <v>7.2</v>
      </c>
    </row>
    <row r="2414" spans="1:5">
      <c r="A2414" s="715">
        <v>20156</v>
      </c>
      <c r="B2414" s="633" t="s">
        <v>36958</v>
      </c>
      <c r="C2414" s="715" t="s">
        <v>103</v>
      </c>
      <c r="D2414" s="715" t="s">
        <v>40839</v>
      </c>
      <c r="E2414" s="716">
        <v>20.239999999999998</v>
      </c>
    </row>
    <row r="2415" spans="1:5">
      <c r="A2415" s="715">
        <v>3499</v>
      </c>
      <c r="B2415" s="633" t="s">
        <v>36959</v>
      </c>
      <c r="C2415" s="715" t="s">
        <v>103</v>
      </c>
      <c r="D2415" s="715" t="s">
        <v>40839</v>
      </c>
      <c r="E2415" s="716">
        <v>1.33</v>
      </c>
    </row>
    <row r="2416" spans="1:5">
      <c r="A2416" s="715">
        <v>3500</v>
      </c>
      <c r="B2416" s="633" t="s">
        <v>36960</v>
      </c>
      <c r="C2416" s="715" t="s">
        <v>103</v>
      </c>
      <c r="D2416" s="715" t="s">
        <v>40839</v>
      </c>
      <c r="E2416" s="716">
        <v>1.76</v>
      </c>
    </row>
    <row r="2417" spans="1:5">
      <c r="A2417" s="715">
        <v>3501</v>
      </c>
      <c r="B2417" s="633" t="s">
        <v>36961</v>
      </c>
      <c r="C2417" s="715" t="s">
        <v>103</v>
      </c>
      <c r="D2417" s="715" t="s">
        <v>40839</v>
      </c>
      <c r="E2417" s="716">
        <v>4.8600000000000003</v>
      </c>
    </row>
    <row r="2418" spans="1:5">
      <c r="A2418" s="715">
        <v>3502</v>
      </c>
      <c r="B2418" s="633" t="s">
        <v>36962</v>
      </c>
      <c r="C2418" s="715" t="s">
        <v>103</v>
      </c>
      <c r="D2418" s="715" t="s">
        <v>40839</v>
      </c>
      <c r="E2418" s="716">
        <v>6.99</v>
      </c>
    </row>
    <row r="2419" spans="1:5">
      <c r="A2419" s="715">
        <v>3503</v>
      </c>
      <c r="B2419" s="633" t="s">
        <v>36963</v>
      </c>
      <c r="C2419" s="715" t="s">
        <v>103</v>
      </c>
      <c r="D2419" s="715" t="s">
        <v>40839</v>
      </c>
      <c r="E2419" s="716">
        <v>8.7799999999999994</v>
      </c>
    </row>
    <row r="2420" spans="1:5">
      <c r="A2420" s="715">
        <v>3477</v>
      </c>
      <c r="B2420" s="633" t="s">
        <v>36964</v>
      </c>
      <c r="C2420" s="715" t="s">
        <v>103</v>
      </c>
      <c r="D2420" s="715" t="s">
        <v>40839</v>
      </c>
      <c r="E2420" s="716">
        <v>31.9</v>
      </c>
    </row>
    <row r="2421" spans="1:5">
      <c r="A2421" s="715">
        <v>3478</v>
      </c>
      <c r="B2421" s="633" t="s">
        <v>36965</v>
      </c>
      <c r="C2421" s="715" t="s">
        <v>103</v>
      </c>
      <c r="D2421" s="715" t="s">
        <v>40839</v>
      </c>
      <c r="E2421" s="716">
        <v>76.47</v>
      </c>
    </row>
    <row r="2422" spans="1:5">
      <c r="A2422" s="715">
        <v>3525</v>
      </c>
      <c r="B2422" s="633" t="s">
        <v>36966</v>
      </c>
      <c r="C2422" s="715" t="s">
        <v>103</v>
      </c>
      <c r="D2422" s="715" t="s">
        <v>40839</v>
      </c>
      <c r="E2422" s="716">
        <v>94.38</v>
      </c>
    </row>
    <row r="2423" spans="1:5">
      <c r="A2423" s="715">
        <v>3511</v>
      </c>
      <c r="B2423" s="633" t="s">
        <v>36967</v>
      </c>
      <c r="C2423" s="715" t="s">
        <v>103</v>
      </c>
      <c r="D2423" s="715" t="s">
        <v>40839</v>
      </c>
      <c r="E2423" s="716">
        <v>100.11</v>
      </c>
    </row>
    <row r="2424" spans="1:5" ht="29">
      <c r="A2424" s="715">
        <v>38913</v>
      </c>
      <c r="B2424" s="633" t="s">
        <v>36968</v>
      </c>
      <c r="C2424" s="715" t="s">
        <v>103</v>
      </c>
      <c r="D2424" s="715" t="s">
        <v>40839</v>
      </c>
      <c r="E2424" s="716">
        <v>11.01</v>
      </c>
    </row>
    <row r="2425" spans="1:5" ht="29">
      <c r="A2425" s="715">
        <v>38914</v>
      </c>
      <c r="B2425" s="633" t="s">
        <v>36969</v>
      </c>
      <c r="C2425" s="715" t="s">
        <v>103</v>
      </c>
      <c r="D2425" s="715" t="s">
        <v>40839</v>
      </c>
      <c r="E2425" s="716">
        <v>13.52</v>
      </c>
    </row>
    <row r="2426" spans="1:5" ht="29">
      <c r="A2426" s="715">
        <v>38915</v>
      </c>
      <c r="B2426" s="633" t="s">
        <v>36970</v>
      </c>
      <c r="C2426" s="715" t="s">
        <v>103</v>
      </c>
      <c r="D2426" s="715" t="s">
        <v>40839</v>
      </c>
      <c r="E2426" s="716">
        <v>26.06</v>
      </c>
    </row>
    <row r="2427" spans="1:5" ht="29">
      <c r="A2427" s="715">
        <v>38916</v>
      </c>
      <c r="B2427" s="633" t="s">
        <v>36971</v>
      </c>
      <c r="C2427" s="715" t="s">
        <v>103</v>
      </c>
      <c r="D2427" s="715" t="s">
        <v>40839</v>
      </c>
      <c r="E2427" s="716">
        <v>36.06</v>
      </c>
    </row>
    <row r="2428" spans="1:5" ht="29">
      <c r="A2428" s="715">
        <v>39300</v>
      </c>
      <c r="B2428" s="633" t="s">
        <v>36972</v>
      </c>
      <c r="C2428" s="715" t="s">
        <v>103</v>
      </c>
      <c r="D2428" s="715" t="s">
        <v>40839</v>
      </c>
      <c r="E2428" s="716">
        <v>9.83</v>
      </c>
    </row>
    <row r="2429" spans="1:5" ht="29">
      <c r="A2429" s="715">
        <v>39301</v>
      </c>
      <c r="B2429" s="633" t="s">
        <v>36973</v>
      </c>
      <c r="C2429" s="715" t="s">
        <v>103</v>
      </c>
      <c r="D2429" s="715" t="s">
        <v>40839</v>
      </c>
      <c r="E2429" s="716">
        <v>13.16</v>
      </c>
    </row>
    <row r="2430" spans="1:5" ht="29">
      <c r="A2430" s="715">
        <v>39302</v>
      </c>
      <c r="B2430" s="633" t="s">
        <v>36974</v>
      </c>
      <c r="C2430" s="715" t="s">
        <v>103</v>
      </c>
      <c r="D2430" s="715" t="s">
        <v>40839</v>
      </c>
      <c r="E2430" s="716">
        <v>23.93</v>
      </c>
    </row>
    <row r="2431" spans="1:5" ht="29">
      <c r="A2431" s="715">
        <v>38941</v>
      </c>
      <c r="B2431" s="633" t="s">
        <v>36975</v>
      </c>
      <c r="C2431" s="715" t="s">
        <v>103</v>
      </c>
      <c r="D2431" s="715" t="s">
        <v>40839</v>
      </c>
      <c r="E2431" s="716">
        <v>17.77</v>
      </c>
    </row>
    <row r="2432" spans="1:5" ht="29">
      <c r="A2432" s="715">
        <v>38923</v>
      </c>
      <c r="B2432" s="633" t="s">
        <v>36976</v>
      </c>
      <c r="C2432" s="715" t="s">
        <v>103</v>
      </c>
      <c r="D2432" s="715" t="s">
        <v>40839</v>
      </c>
      <c r="E2432" s="716">
        <v>11.78</v>
      </c>
    </row>
    <row r="2433" spans="1:5" ht="29">
      <c r="A2433" s="715">
        <v>38925</v>
      </c>
      <c r="B2433" s="633" t="s">
        <v>36977</v>
      </c>
      <c r="C2433" s="715" t="s">
        <v>103</v>
      </c>
      <c r="D2433" s="715" t="s">
        <v>40839</v>
      </c>
      <c r="E2433" s="716">
        <v>13.67</v>
      </c>
    </row>
    <row r="2434" spans="1:5" ht="29">
      <c r="A2434" s="715">
        <v>38926</v>
      </c>
      <c r="B2434" s="633" t="s">
        <v>36978</v>
      </c>
      <c r="C2434" s="715" t="s">
        <v>103</v>
      </c>
      <c r="D2434" s="715" t="s">
        <v>40839</v>
      </c>
      <c r="E2434" s="716">
        <v>16.22</v>
      </c>
    </row>
    <row r="2435" spans="1:5" ht="29">
      <c r="A2435" s="715">
        <v>38927</v>
      </c>
      <c r="B2435" s="633" t="s">
        <v>36979</v>
      </c>
      <c r="C2435" s="715" t="s">
        <v>103</v>
      </c>
      <c r="D2435" s="715" t="s">
        <v>40839</v>
      </c>
      <c r="E2435" s="716">
        <v>20.48</v>
      </c>
    </row>
    <row r="2436" spans="1:5" ht="29">
      <c r="A2436" s="715">
        <v>39304</v>
      </c>
      <c r="B2436" s="633" t="s">
        <v>36980</v>
      </c>
      <c r="C2436" s="715" t="s">
        <v>103</v>
      </c>
      <c r="D2436" s="715" t="s">
        <v>40839</v>
      </c>
      <c r="E2436" s="716">
        <v>11.63</v>
      </c>
    </row>
    <row r="2437" spans="1:5" ht="29">
      <c r="A2437" s="715">
        <v>39305</v>
      </c>
      <c r="B2437" s="633" t="s">
        <v>36981</v>
      </c>
      <c r="C2437" s="715" t="s">
        <v>103</v>
      </c>
      <c r="D2437" s="715" t="s">
        <v>40839</v>
      </c>
      <c r="E2437" s="716">
        <v>12.76</v>
      </c>
    </row>
    <row r="2438" spans="1:5" ht="29">
      <c r="A2438" s="715">
        <v>39306</v>
      </c>
      <c r="B2438" s="633" t="s">
        <v>36982</v>
      </c>
      <c r="C2438" s="715" t="s">
        <v>103</v>
      </c>
      <c r="D2438" s="715" t="s">
        <v>40839</v>
      </c>
      <c r="E2438" s="716">
        <v>17.149999999999999</v>
      </c>
    </row>
    <row r="2439" spans="1:5" ht="29">
      <c r="A2439" s="715">
        <v>38928</v>
      </c>
      <c r="B2439" s="633" t="s">
        <v>36983</v>
      </c>
      <c r="C2439" s="715" t="s">
        <v>103</v>
      </c>
      <c r="D2439" s="715" t="s">
        <v>40839</v>
      </c>
      <c r="E2439" s="716">
        <v>22.67</v>
      </c>
    </row>
    <row r="2440" spans="1:5" ht="43">
      <c r="A2440" s="715">
        <v>38917</v>
      </c>
      <c r="B2440" s="633" t="s">
        <v>36984</v>
      </c>
      <c r="C2440" s="715" t="s">
        <v>103</v>
      </c>
      <c r="D2440" s="715" t="s">
        <v>40839</v>
      </c>
      <c r="E2440" s="716">
        <v>12.67</v>
      </c>
    </row>
    <row r="2441" spans="1:5" ht="43">
      <c r="A2441" s="715">
        <v>38919</v>
      </c>
      <c r="B2441" s="633" t="s">
        <v>36985</v>
      </c>
      <c r="C2441" s="715" t="s">
        <v>103</v>
      </c>
      <c r="D2441" s="715" t="s">
        <v>40839</v>
      </c>
      <c r="E2441" s="716">
        <v>14.87</v>
      </c>
    </row>
    <row r="2442" spans="1:5" ht="43">
      <c r="A2442" s="715">
        <v>38922</v>
      </c>
      <c r="B2442" s="633" t="s">
        <v>36986</v>
      </c>
      <c r="C2442" s="715" t="s">
        <v>103</v>
      </c>
      <c r="D2442" s="715" t="s">
        <v>40839</v>
      </c>
      <c r="E2442" s="716">
        <v>19.95</v>
      </c>
    </row>
    <row r="2443" spans="1:5">
      <c r="A2443" s="715">
        <v>45198</v>
      </c>
      <c r="B2443" s="633" t="s">
        <v>41027</v>
      </c>
      <c r="C2443" s="715" t="s">
        <v>103</v>
      </c>
      <c r="D2443" s="715" t="s">
        <v>40839</v>
      </c>
      <c r="E2443" s="716">
        <v>55.73</v>
      </c>
    </row>
    <row r="2444" spans="1:5">
      <c r="A2444" s="715">
        <v>45196</v>
      </c>
      <c r="B2444" s="633" t="s">
        <v>41028</v>
      </c>
      <c r="C2444" s="715" t="s">
        <v>103</v>
      </c>
      <c r="D2444" s="715" t="s">
        <v>40839</v>
      </c>
      <c r="E2444" s="716">
        <v>114.9</v>
      </c>
    </row>
    <row r="2445" spans="1:5" ht="29">
      <c r="A2445" s="715">
        <v>12032</v>
      </c>
      <c r="B2445" s="633" t="s">
        <v>36987</v>
      </c>
      <c r="C2445" s="715" t="s">
        <v>19284</v>
      </c>
      <c r="D2445" s="715" t="s">
        <v>40839</v>
      </c>
      <c r="E2445" s="716">
        <v>54.61</v>
      </c>
    </row>
    <row r="2446" spans="1:5" ht="29">
      <c r="A2446" s="715">
        <v>12030</v>
      </c>
      <c r="B2446" s="633" t="s">
        <v>36988</v>
      </c>
      <c r="C2446" s="715" t="s">
        <v>19284</v>
      </c>
      <c r="D2446" s="715" t="s">
        <v>40839</v>
      </c>
      <c r="E2446" s="716">
        <v>51.31</v>
      </c>
    </row>
    <row r="2447" spans="1:5">
      <c r="A2447" s="715">
        <v>45207</v>
      </c>
      <c r="B2447" s="633" t="s">
        <v>40862</v>
      </c>
      <c r="C2447" s="715" t="s">
        <v>103</v>
      </c>
      <c r="D2447" s="715" t="s">
        <v>40839</v>
      </c>
      <c r="E2447" s="716">
        <v>367.03</v>
      </c>
    </row>
    <row r="2448" spans="1:5">
      <c r="A2448" s="715">
        <v>14157</v>
      </c>
      <c r="B2448" s="633" t="s">
        <v>36989</v>
      </c>
      <c r="C2448" s="715" t="s">
        <v>103</v>
      </c>
      <c r="D2448" s="715" t="s">
        <v>40839</v>
      </c>
      <c r="E2448" s="716">
        <v>1.32</v>
      </c>
    </row>
    <row r="2449" spans="1:5" ht="29">
      <c r="A2449" s="715">
        <v>10908</v>
      </c>
      <c r="B2449" s="633" t="s">
        <v>36990</v>
      </c>
      <c r="C2449" s="715" t="s">
        <v>103</v>
      </c>
      <c r="D2449" s="715" t="s">
        <v>40839</v>
      </c>
      <c r="E2449" s="716">
        <v>22.94</v>
      </c>
    </row>
    <row r="2450" spans="1:5" ht="29">
      <c r="A2450" s="715">
        <v>10909</v>
      </c>
      <c r="B2450" s="633" t="s">
        <v>36991</v>
      </c>
      <c r="C2450" s="715" t="s">
        <v>103</v>
      </c>
      <c r="D2450" s="715" t="s">
        <v>40839</v>
      </c>
      <c r="E2450" s="716">
        <v>26.68</v>
      </c>
    </row>
    <row r="2451" spans="1:5" ht="29">
      <c r="A2451" s="715">
        <v>3669</v>
      </c>
      <c r="B2451" s="633" t="s">
        <v>36992</v>
      </c>
      <c r="C2451" s="715" t="s">
        <v>103</v>
      </c>
      <c r="D2451" s="715" t="s">
        <v>40839</v>
      </c>
      <c r="E2451" s="716">
        <v>16.39</v>
      </c>
    </row>
    <row r="2452" spans="1:5">
      <c r="A2452" s="715">
        <v>20139</v>
      </c>
      <c r="B2452" s="633" t="s">
        <v>36993</v>
      </c>
      <c r="C2452" s="715" t="s">
        <v>103</v>
      </c>
      <c r="D2452" s="715" t="s">
        <v>40839</v>
      </c>
      <c r="E2452" s="716">
        <v>140.97999999999999</v>
      </c>
    </row>
    <row r="2453" spans="1:5" ht="29">
      <c r="A2453" s="715">
        <v>3668</v>
      </c>
      <c r="B2453" s="633" t="s">
        <v>36994</v>
      </c>
      <c r="C2453" s="715" t="s">
        <v>103</v>
      </c>
      <c r="D2453" s="715" t="s">
        <v>40839</v>
      </c>
      <c r="E2453" s="716">
        <v>50.36</v>
      </c>
    </row>
    <row r="2454" spans="1:5" ht="29">
      <c r="A2454" s="715">
        <v>10911</v>
      </c>
      <c r="B2454" s="633" t="s">
        <v>36995</v>
      </c>
      <c r="C2454" s="715" t="s">
        <v>103</v>
      </c>
      <c r="D2454" s="715" t="s">
        <v>40839</v>
      </c>
      <c r="E2454" s="716">
        <v>22.08</v>
      </c>
    </row>
    <row r="2455" spans="1:5" ht="29">
      <c r="A2455" s="715">
        <v>3659</v>
      </c>
      <c r="B2455" s="633" t="s">
        <v>36996</v>
      </c>
      <c r="C2455" s="715" t="s">
        <v>103</v>
      </c>
      <c r="D2455" s="715" t="s">
        <v>40839</v>
      </c>
      <c r="E2455" s="716">
        <v>22.5</v>
      </c>
    </row>
    <row r="2456" spans="1:5" ht="29">
      <c r="A2456" s="715">
        <v>3660</v>
      </c>
      <c r="B2456" s="633" t="s">
        <v>36997</v>
      </c>
      <c r="C2456" s="715" t="s">
        <v>103</v>
      </c>
      <c r="D2456" s="715" t="s">
        <v>40839</v>
      </c>
      <c r="E2456" s="716">
        <v>29.09</v>
      </c>
    </row>
    <row r="2457" spans="1:5">
      <c r="A2457" s="715">
        <v>20144</v>
      </c>
      <c r="B2457" s="633" t="s">
        <v>36998</v>
      </c>
      <c r="C2457" s="715" t="s">
        <v>103</v>
      </c>
      <c r="D2457" s="715" t="s">
        <v>40839</v>
      </c>
      <c r="E2457" s="716">
        <v>65.14</v>
      </c>
    </row>
    <row r="2458" spans="1:5">
      <c r="A2458" s="715">
        <v>20143</v>
      </c>
      <c r="B2458" s="633" t="s">
        <v>36999</v>
      </c>
      <c r="C2458" s="715" t="s">
        <v>103</v>
      </c>
      <c r="D2458" s="715" t="s">
        <v>40839</v>
      </c>
      <c r="E2458" s="716">
        <v>83.34</v>
      </c>
    </row>
    <row r="2459" spans="1:5">
      <c r="A2459" s="715">
        <v>20145</v>
      </c>
      <c r="B2459" s="633" t="s">
        <v>37000</v>
      </c>
      <c r="C2459" s="715" t="s">
        <v>103</v>
      </c>
      <c r="D2459" s="715" t="s">
        <v>40839</v>
      </c>
      <c r="E2459" s="716">
        <v>160.76</v>
      </c>
    </row>
    <row r="2460" spans="1:5">
      <c r="A2460" s="715">
        <v>20146</v>
      </c>
      <c r="B2460" s="633" t="s">
        <v>37001</v>
      </c>
      <c r="C2460" s="715" t="s">
        <v>103</v>
      </c>
      <c r="D2460" s="715" t="s">
        <v>40839</v>
      </c>
      <c r="E2460" s="716">
        <v>219.76</v>
      </c>
    </row>
    <row r="2461" spans="1:5">
      <c r="A2461" s="715">
        <v>20140</v>
      </c>
      <c r="B2461" s="633" t="s">
        <v>37002</v>
      </c>
      <c r="C2461" s="715" t="s">
        <v>103</v>
      </c>
      <c r="D2461" s="715" t="s">
        <v>40839</v>
      </c>
      <c r="E2461" s="716">
        <v>10.31</v>
      </c>
    </row>
    <row r="2462" spans="1:5">
      <c r="A2462" s="715">
        <v>20141</v>
      </c>
      <c r="B2462" s="633" t="s">
        <v>37003</v>
      </c>
      <c r="C2462" s="715" t="s">
        <v>103</v>
      </c>
      <c r="D2462" s="715" t="s">
        <v>40839</v>
      </c>
      <c r="E2462" s="716">
        <v>25.25</v>
      </c>
    </row>
    <row r="2463" spans="1:5">
      <c r="A2463" s="715">
        <v>20142</v>
      </c>
      <c r="B2463" s="633" t="s">
        <v>37004</v>
      </c>
      <c r="C2463" s="715" t="s">
        <v>103</v>
      </c>
      <c r="D2463" s="715" t="s">
        <v>40839</v>
      </c>
      <c r="E2463" s="716">
        <v>44.42</v>
      </c>
    </row>
    <row r="2464" spans="1:5" ht="29">
      <c r="A2464" s="715">
        <v>3670</v>
      </c>
      <c r="B2464" s="633" t="s">
        <v>37005</v>
      </c>
      <c r="C2464" s="715" t="s">
        <v>103</v>
      </c>
      <c r="D2464" s="715" t="s">
        <v>40839</v>
      </c>
      <c r="E2464" s="716">
        <v>28.88</v>
      </c>
    </row>
    <row r="2465" spans="1:5" ht="29">
      <c r="A2465" s="715">
        <v>3666</v>
      </c>
      <c r="B2465" s="633" t="s">
        <v>37006</v>
      </c>
      <c r="C2465" s="715" t="s">
        <v>103</v>
      </c>
      <c r="D2465" s="715" t="s">
        <v>40839</v>
      </c>
      <c r="E2465" s="716">
        <v>4.54</v>
      </c>
    </row>
    <row r="2466" spans="1:5" ht="29">
      <c r="A2466" s="715">
        <v>3662</v>
      </c>
      <c r="B2466" s="633" t="s">
        <v>37007</v>
      </c>
      <c r="C2466" s="715" t="s">
        <v>103</v>
      </c>
      <c r="D2466" s="715" t="s">
        <v>40839</v>
      </c>
      <c r="E2466" s="716">
        <v>11.85</v>
      </c>
    </row>
    <row r="2467" spans="1:5" ht="29">
      <c r="A2467" s="715">
        <v>3658</v>
      </c>
      <c r="B2467" s="633" t="s">
        <v>37008</v>
      </c>
      <c r="C2467" s="715" t="s">
        <v>103</v>
      </c>
      <c r="D2467" s="715" t="s">
        <v>40839</v>
      </c>
      <c r="E2467" s="716">
        <v>22.45</v>
      </c>
    </row>
    <row r="2468" spans="1:5" ht="29">
      <c r="A2468" s="715">
        <v>42696</v>
      </c>
      <c r="B2468" s="633" t="s">
        <v>37009</v>
      </c>
      <c r="C2468" s="715" t="s">
        <v>103</v>
      </c>
      <c r="D2468" s="715" t="s">
        <v>40839</v>
      </c>
      <c r="E2468" s="716">
        <v>178.08</v>
      </c>
    </row>
    <row r="2469" spans="1:5">
      <c r="A2469" s="715">
        <v>39875</v>
      </c>
      <c r="B2469" s="633" t="s">
        <v>37010</v>
      </c>
      <c r="C2469" s="715" t="s">
        <v>103</v>
      </c>
      <c r="D2469" s="715" t="s">
        <v>40839</v>
      </c>
      <c r="E2469" s="716">
        <v>689.33</v>
      </c>
    </row>
    <row r="2470" spans="1:5">
      <c r="A2470" s="715">
        <v>39876</v>
      </c>
      <c r="B2470" s="633" t="s">
        <v>37011</v>
      </c>
      <c r="C2470" s="715" t="s">
        <v>103</v>
      </c>
      <c r="D2470" s="715" t="s">
        <v>40839</v>
      </c>
      <c r="E2470" s="716">
        <v>863.04</v>
      </c>
    </row>
    <row r="2471" spans="1:5">
      <c r="A2471" s="715">
        <v>39877</v>
      </c>
      <c r="B2471" s="633" t="s">
        <v>37012</v>
      </c>
      <c r="C2471" s="715" t="s">
        <v>103</v>
      </c>
      <c r="D2471" s="715" t="s">
        <v>40839</v>
      </c>
      <c r="E2471" s="716">
        <v>1197</v>
      </c>
    </row>
    <row r="2472" spans="1:5">
      <c r="A2472" s="715">
        <v>39878</v>
      </c>
      <c r="B2472" s="633" t="s">
        <v>37013</v>
      </c>
      <c r="C2472" s="715" t="s">
        <v>103</v>
      </c>
      <c r="D2472" s="715" t="s">
        <v>40839</v>
      </c>
      <c r="E2472" s="716">
        <v>1581.04</v>
      </c>
    </row>
    <row r="2473" spans="1:5">
      <c r="A2473" s="715">
        <v>39872</v>
      </c>
      <c r="B2473" s="633" t="s">
        <v>37014</v>
      </c>
      <c r="C2473" s="715" t="s">
        <v>103</v>
      </c>
      <c r="D2473" s="715" t="s">
        <v>40839</v>
      </c>
      <c r="E2473" s="716">
        <v>472.72</v>
      </c>
    </row>
    <row r="2474" spans="1:5">
      <c r="A2474" s="715">
        <v>39873</v>
      </c>
      <c r="B2474" s="633" t="s">
        <v>37015</v>
      </c>
      <c r="C2474" s="715" t="s">
        <v>103</v>
      </c>
      <c r="D2474" s="715" t="s">
        <v>40839</v>
      </c>
      <c r="E2474" s="716">
        <v>548.33000000000004</v>
      </c>
    </row>
    <row r="2475" spans="1:5">
      <c r="A2475" s="715">
        <v>39874</v>
      </c>
      <c r="B2475" s="633" t="s">
        <v>37016</v>
      </c>
      <c r="C2475" s="715" t="s">
        <v>103</v>
      </c>
      <c r="D2475" s="715" t="s">
        <v>40839</v>
      </c>
      <c r="E2475" s="716">
        <v>602.27</v>
      </c>
    </row>
    <row r="2476" spans="1:5">
      <c r="A2476" s="715">
        <v>3674</v>
      </c>
      <c r="B2476" s="633" t="s">
        <v>37017</v>
      </c>
      <c r="C2476" s="715" t="s">
        <v>165</v>
      </c>
      <c r="D2476" s="715" t="s">
        <v>40839</v>
      </c>
      <c r="E2476" s="716">
        <v>93.27</v>
      </c>
    </row>
    <row r="2477" spans="1:5">
      <c r="A2477" s="715">
        <v>3681</v>
      </c>
      <c r="B2477" s="633" t="s">
        <v>37018</v>
      </c>
      <c r="C2477" s="715" t="s">
        <v>165</v>
      </c>
      <c r="D2477" s="715" t="s">
        <v>40839</v>
      </c>
      <c r="E2477" s="716">
        <v>138.77000000000001</v>
      </c>
    </row>
    <row r="2478" spans="1:5">
      <c r="A2478" s="715">
        <v>3676</v>
      </c>
      <c r="B2478" s="633" t="s">
        <v>37019</v>
      </c>
      <c r="C2478" s="715" t="s">
        <v>165</v>
      </c>
      <c r="D2478" s="715" t="s">
        <v>40839</v>
      </c>
      <c r="E2478" s="716">
        <v>522.24</v>
      </c>
    </row>
    <row r="2479" spans="1:5">
      <c r="A2479" s="715">
        <v>3679</v>
      </c>
      <c r="B2479" s="633" t="s">
        <v>37020</v>
      </c>
      <c r="C2479" s="715" t="s">
        <v>165</v>
      </c>
      <c r="D2479" s="715" t="s">
        <v>40839</v>
      </c>
      <c r="E2479" s="716">
        <v>432.06</v>
      </c>
    </row>
    <row r="2480" spans="1:5" ht="29">
      <c r="A2480" s="715">
        <v>3672</v>
      </c>
      <c r="B2480" s="633" t="s">
        <v>37021</v>
      </c>
      <c r="C2480" s="715" t="s">
        <v>165</v>
      </c>
      <c r="D2480" s="715" t="s">
        <v>40839</v>
      </c>
      <c r="E2480" s="716">
        <v>1.47</v>
      </c>
    </row>
    <row r="2481" spans="1:5" ht="29">
      <c r="A2481" s="715">
        <v>3671</v>
      </c>
      <c r="B2481" s="633" t="s">
        <v>37022</v>
      </c>
      <c r="C2481" s="715" t="s">
        <v>165</v>
      </c>
      <c r="D2481" s="715" t="s">
        <v>28018</v>
      </c>
      <c r="E2481" s="716">
        <v>1.39</v>
      </c>
    </row>
    <row r="2482" spans="1:5" ht="29">
      <c r="A2482" s="715">
        <v>3673</v>
      </c>
      <c r="B2482" s="633" t="s">
        <v>37023</v>
      </c>
      <c r="C2482" s="715" t="s">
        <v>165</v>
      </c>
      <c r="D2482" s="715" t="s">
        <v>40839</v>
      </c>
      <c r="E2482" s="716">
        <v>2.1800000000000002</v>
      </c>
    </row>
    <row r="2483" spans="1:5" ht="29">
      <c r="A2483" s="715">
        <v>38394</v>
      </c>
      <c r="B2483" s="633" t="s">
        <v>37024</v>
      </c>
      <c r="C2483" s="715" t="s">
        <v>103</v>
      </c>
      <c r="D2483" s="715" t="s">
        <v>40839</v>
      </c>
      <c r="E2483" s="716">
        <v>215.98</v>
      </c>
    </row>
    <row r="2484" spans="1:5" ht="29">
      <c r="A2484" s="715">
        <v>3729</v>
      </c>
      <c r="B2484" s="633" t="s">
        <v>37025</v>
      </c>
      <c r="C2484" s="715" t="s">
        <v>103</v>
      </c>
      <c r="D2484" s="715" t="s">
        <v>40839</v>
      </c>
      <c r="E2484" s="716">
        <v>162.62</v>
      </c>
    </row>
    <row r="2485" spans="1:5" ht="57">
      <c r="A2485" s="715">
        <v>39357</v>
      </c>
      <c r="B2485" s="633" t="s">
        <v>37026</v>
      </c>
      <c r="C2485" s="715" t="s">
        <v>103</v>
      </c>
      <c r="D2485" s="715" t="s">
        <v>40839</v>
      </c>
      <c r="E2485" s="716">
        <v>61.02</v>
      </c>
    </row>
    <row r="2486" spans="1:5" ht="57">
      <c r="A2486" s="715">
        <v>39358</v>
      </c>
      <c r="B2486" s="633" t="s">
        <v>37027</v>
      </c>
      <c r="C2486" s="715" t="s">
        <v>103</v>
      </c>
      <c r="D2486" s="715" t="s">
        <v>40839</v>
      </c>
      <c r="E2486" s="716">
        <v>61.02</v>
      </c>
    </row>
    <row r="2487" spans="1:5" ht="57">
      <c r="A2487" s="715">
        <v>39355</v>
      </c>
      <c r="B2487" s="633" t="s">
        <v>37028</v>
      </c>
      <c r="C2487" s="715" t="s">
        <v>103</v>
      </c>
      <c r="D2487" s="715" t="s">
        <v>40839</v>
      </c>
      <c r="E2487" s="716">
        <v>88.91</v>
      </c>
    </row>
    <row r="2488" spans="1:5" ht="57">
      <c r="A2488" s="715">
        <v>39356</v>
      </c>
      <c r="B2488" s="633" t="s">
        <v>37029</v>
      </c>
      <c r="C2488" s="715" t="s">
        <v>103</v>
      </c>
      <c r="D2488" s="715" t="s">
        <v>40839</v>
      </c>
      <c r="E2488" s="716">
        <v>84.86</v>
      </c>
    </row>
    <row r="2489" spans="1:5" ht="43">
      <c r="A2489" s="715">
        <v>39353</v>
      </c>
      <c r="B2489" s="633" t="s">
        <v>41029</v>
      </c>
      <c r="C2489" s="715" t="s">
        <v>103</v>
      </c>
      <c r="D2489" s="715" t="s">
        <v>40839</v>
      </c>
      <c r="E2489" s="716">
        <v>194.8</v>
      </c>
    </row>
    <row r="2490" spans="1:5" ht="43">
      <c r="A2490" s="715">
        <v>39354</v>
      </c>
      <c r="B2490" s="633" t="s">
        <v>41030</v>
      </c>
      <c r="C2490" s="715" t="s">
        <v>103</v>
      </c>
      <c r="D2490" s="715" t="s">
        <v>40839</v>
      </c>
      <c r="E2490" s="716">
        <v>410.99</v>
      </c>
    </row>
    <row r="2491" spans="1:5">
      <c r="A2491" s="715">
        <v>39398</v>
      </c>
      <c r="B2491" s="633" t="s">
        <v>37030</v>
      </c>
      <c r="C2491" s="715" t="s">
        <v>103</v>
      </c>
      <c r="D2491" s="715" t="s">
        <v>40839</v>
      </c>
      <c r="E2491" s="716">
        <v>121.27</v>
      </c>
    </row>
    <row r="2492" spans="1:5" ht="29">
      <c r="A2492" s="715">
        <v>13343</v>
      </c>
      <c r="B2492" s="633" t="s">
        <v>37031</v>
      </c>
      <c r="C2492" s="715" t="s">
        <v>103</v>
      </c>
      <c r="D2492" s="715" t="s">
        <v>40839</v>
      </c>
      <c r="E2492" s="716">
        <v>41.21</v>
      </c>
    </row>
    <row r="2493" spans="1:5" ht="29">
      <c r="A2493" s="715">
        <v>12118</v>
      </c>
      <c r="B2493" s="633" t="s">
        <v>37032</v>
      </c>
      <c r="C2493" s="715" t="s">
        <v>103</v>
      </c>
      <c r="D2493" s="715" t="s">
        <v>40839</v>
      </c>
      <c r="E2493" s="716">
        <v>25.23</v>
      </c>
    </row>
    <row r="2494" spans="1:5" ht="57">
      <c r="A2494" s="715">
        <v>39482</v>
      </c>
      <c r="B2494" s="633" t="s">
        <v>37033</v>
      </c>
      <c r="C2494" s="715" t="s">
        <v>103</v>
      </c>
      <c r="D2494" s="715" t="s">
        <v>40839</v>
      </c>
      <c r="E2494" s="716">
        <v>689.6</v>
      </c>
    </row>
    <row r="2495" spans="1:5" ht="57">
      <c r="A2495" s="715">
        <v>39486</v>
      </c>
      <c r="B2495" s="633" t="s">
        <v>37034</v>
      </c>
      <c r="C2495" s="715" t="s">
        <v>103</v>
      </c>
      <c r="D2495" s="715" t="s">
        <v>40839</v>
      </c>
      <c r="E2495" s="716">
        <v>562.80999999999995</v>
      </c>
    </row>
    <row r="2496" spans="1:5" ht="57">
      <c r="A2496" s="715">
        <v>39484</v>
      </c>
      <c r="B2496" s="633" t="s">
        <v>37035</v>
      </c>
      <c r="C2496" s="715" t="s">
        <v>103</v>
      </c>
      <c r="D2496" s="715" t="s">
        <v>40839</v>
      </c>
      <c r="E2496" s="716">
        <v>689.6</v>
      </c>
    </row>
    <row r="2497" spans="1:5" ht="57">
      <c r="A2497" s="715">
        <v>39488</v>
      </c>
      <c r="B2497" s="633" t="s">
        <v>37036</v>
      </c>
      <c r="C2497" s="715" t="s">
        <v>103</v>
      </c>
      <c r="D2497" s="715" t="s">
        <v>40839</v>
      </c>
      <c r="E2497" s="716">
        <v>572.02</v>
      </c>
    </row>
    <row r="2498" spans="1:5" ht="57">
      <c r="A2498" s="715">
        <v>39485</v>
      </c>
      <c r="B2498" s="633" t="s">
        <v>37037</v>
      </c>
      <c r="C2498" s="715" t="s">
        <v>103</v>
      </c>
      <c r="D2498" s="715" t="s">
        <v>40839</v>
      </c>
      <c r="E2498" s="716">
        <v>689.6</v>
      </c>
    </row>
    <row r="2499" spans="1:5" ht="57">
      <c r="A2499" s="715">
        <v>39489</v>
      </c>
      <c r="B2499" s="633" t="s">
        <v>37038</v>
      </c>
      <c r="C2499" s="715" t="s">
        <v>103</v>
      </c>
      <c r="D2499" s="715" t="s">
        <v>40839</v>
      </c>
      <c r="E2499" s="716">
        <v>581.72</v>
      </c>
    </row>
    <row r="2500" spans="1:5" ht="57">
      <c r="A2500" s="715">
        <v>39490</v>
      </c>
      <c r="B2500" s="633" t="s">
        <v>37039</v>
      </c>
      <c r="C2500" s="715" t="s">
        <v>103</v>
      </c>
      <c r="D2500" s="715" t="s">
        <v>40839</v>
      </c>
      <c r="E2500" s="716">
        <v>866.84</v>
      </c>
    </row>
    <row r="2501" spans="1:5" ht="57">
      <c r="A2501" s="715">
        <v>39494</v>
      </c>
      <c r="B2501" s="633" t="s">
        <v>37040</v>
      </c>
      <c r="C2501" s="715" t="s">
        <v>103</v>
      </c>
      <c r="D2501" s="715" t="s">
        <v>40839</v>
      </c>
      <c r="E2501" s="716">
        <v>622.46</v>
      </c>
    </row>
    <row r="2502" spans="1:5" ht="57">
      <c r="A2502" s="715">
        <v>39495</v>
      </c>
      <c r="B2502" s="633" t="s">
        <v>37041</v>
      </c>
      <c r="C2502" s="715" t="s">
        <v>103</v>
      </c>
      <c r="D2502" s="715" t="s">
        <v>40839</v>
      </c>
      <c r="E2502" s="716">
        <v>701.43</v>
      </c>
    </row>
    <row r="2503" spans="1:5" ht="57">
      <c r="A2503" s="715">
        <v>39496</v>
      </c>
      <c r="B2503" s="633" t="s">
        <v>37042</v>
      </c>
      <c r="C2503" s="715" t="s">
        <v>103</v>
      </c>
      <c r="D2503" s="715" t="s">
        <v>40839</v>
      </c>
      <c r="E2503" s="716">
        <v>771.57</v>
      </c>
    </row>
    <row r="2504" spans="1:5" ht="57">
      <c r="A2504" s="715">
        <v>39492</v>
      </c>
      <c r="B2504" s="633" t="s">
        <v>37043</v>
      </c>
      <c r="C2504" s="715" t="s">
        <v>103</v>
      </c>
      <c r="D2504" s="715" t="s">
        <v>40839</v>
      </c>
      <c r="E2504" s="716">
        <v>893.27</v>
      </c>
    </row>
    <row r="2505" spans="1:5" ht="57">
      <c r="A2505" s="715">
        <v>39497</v>
      </c>
      <c r="B2505" s="633" t="s">
        <v>37044</v>
      </c>
      <c r="C2505" s="715" t="s">
        <v>103</v>
      </c>
      <c r="D2505" s="715" t="s">
        <v>40839</v>
      </c>
      <c r="E2505" s="716">
        <v>806.86</v>
      </c>
    </row>
    <row r="2506" spans="1:5" ht="57">
      <c r="A2506" s="715">
        <v>39493</v>
      </c>
      <c r="B2506" s="633" t="s">
        <v>37045</v>
      </c>
      <c r="C2506" s="715" t="s">
        <v>103</v>
      </c>
      <c r="D2506" s="715" t="s">
        <v>40839</v>
      </c>
      <c r="E2506" s="716">
        <v>958.12</v>
      </c>
    </row>
    <row r="2507" spans="1:5" ht="57">
      <c r="A2507" s="715">
        <v>43628</v>
      </c>
      <c r="B2507" s="633" t="s">
        <v>37046</v>
      </c>
      <c r="C2507" s="715" t="s">
        <v>103</v>
      </c>
      <c r="D2507" s="715" t="s">
        <v>40839</v>
      </c>
      <c r="E2507" s="716">
        <v>1016.25</v>
      </c>
    </row>
    <row r="2508" spans="1:5" ht="43">
      <c r="A2508" s="715">
        <v>39500</v>
      </c>
      <c r="B2508" s="633" t="s">
        <v>37047</v>
      </c>
      <c r="C2508" s="715" t="s">
        <v>103</v>
      </c>
      <c r="D2508" s="715" t="s">
        <v>40839</v>
      </c>
      <c r="E2508" s="716">
        <v>1045.3900000000001</v>
      </c>
    </row>
    <row r="2509" spans="1:5" ht="57">
      <c r="A2509" s="715">
        <v>39498</v>
      </c>
      <c r="B2509" s="633" t="s">
        <v>37048</v>
      </c>
      <c r="C2509" s="715" t="s">
        <v>103</v>
      </c>
      <c r="D2509" s="715" t="s">
        <v>40839</v>
      </c>
      <c r="E2509" s="716">
        <v>1289.31</v>
      </c>
    </row>
    <row r="2510" spans="1:5" ht="57">
      <c r="A2510" s="715">
        <v>43621</v>
      </c>
      <c r="B2510" s="633" t="s">
        <v>37049</v>
      </c>
      <c r="C2510" s="715" t="s">
        <v>103</v>
      </c>
      <c r="D2510" s="715" t="s">
        <v>40839</v>
      </c>
      <c r="E2510" s="716">
        <v>1079.77</v>
      </c>
    </row>
    <row r="2511" spans="1:5" ht="43">
      <c r="A2511" s="715">
        <v>39501</v>
      </c>
      <c r="B2511" s="633" t="s">
        <v>37050</v>
      </c>
      <c r="C2511" s="715" t="s">
        <v>103</v>
      </c>
      <c r="D2511" s="715" t="s">
        <v>40839</v>
      </c>
      <c r="E2511" s="716">
        <v>1073.7</v>
      </c>
    </row>
    <row r="2512" spans="1:5" ht="57">
      <c r="A2512" s="715">
        <v>39499</v>
      </c>
      <c r="B2512" s="633" t="s">
        <v>37051</v>
      </c>
      <c r="C2512" s="715" t="s">
        <v>103</v>
      </c>
      <c r="D2512" s="715" t="s">
        <v>40839</v>
      </c>
      <c r="E2512" s="716">
        <v>1307.6199999999999</v>
      </c>
    </row>
    <row r="2513" spans="1:5" ht="29">
      <c r="A2513" s="715">
        <v>3733</v>
      </c>
      <c r="B2513" s="633" t="s">
        <v>37052</v>
      </c>
      <c r="C2513" s="715" t="s">
        <v>509</v>
      </c>
      <c r="D2513" s="715" t="s">
        <v>40839</v>
      </c>
      <c r="E2513" s="716">
        <v>113.12</v>
      </c>
    </row>
    <row r="2514" spans="1:5">
      <c r="A2514" s="715">
        <v>3731</v>
      </c>
      <c r="B2514" s="633" t="s">
        <v>37053</v>
      </c>
      <c r="C2514" s="715" t="s">
        <v>509</v>
      </c>
      <c r="D2514" s="715" t="s">
        <v>40839</v>
      </c>
      <c r="E2514" s="716">
        <v>101.21</v>
      </c>
    </row>
    <row r="2515" spans="1:5">
      <c r="A2515" s="715">
        <v>38137</v>
      </c>
      <c r="B2515" s="633" t="s">
        <v>37054</v>
      </c>
      <c r="C2515" s="715" t="s">
        <v>509</v>
      </c>
      <c r="D2515" s="715" t="s">
        <v>40839</v>
      </c>
      <c r="E2515" s="716">
        <v>121.06</v>
      </c>
    </row>
    <row r="2516" spans="1:5">
      <c r="A2516" s="715">
        <v>38138</v>
      </c>
      <c r="B2516" s="633" t="s">
        <v>37055</v>
      </c>
      <c r="C2516" s="715" t="s">
        <v>509</v>
      </c>
      <c r="D2516" s="715" t="s">
        <v>40839</v>
      </c>
      <c r="E2516" s="716">
        <v>125.69</v>
      </c>
    </row>
    <row r="2517" spans="1:5" ht="43">
      <c r="A2517" s="715">
        <v>45318</v>
      </c>
      <c r="B2517" s="633" t="s">
        <v>42160</v>
      </c>
      <c r="C2517" s="715" t="s">
        <v>509</v>
      </c>
      <c r="D2517" s="715" t="s">
        <v>40839</v>
      </c>
      <c r="E2517" s="716">
        <v>140.78</v>
      </c>
    </row>
    <row r="2518" spans="1:5" ht="43">
      <c r="A2518" s="715">
        <v>45319</v>
      </c>
      <c r="B2518" s="633" t="s">
        <v>42161</v>
      </c>
      <c r="C2518" s="715" t="s">
        <v>509</v>
      </c>
      <c r="D2518" s="715" t="s">
        <v>40839</v>
      </c>
      <c r="E2518" s="716">
        <v>158.38</v>
      </c>
    </row>
    <row r="2519" spans="1:5" ht="43">
      <c r="A2519" s="715">
        <v>45320</v>
      </c>
      <c r="B2519" s="633" t="s">
        <v>42162</v>
      </c>
      <c r="C2519" s="715" t="s">
        <v>509</v>
      </c>
      <c r="D2519" s="715" t="s">
        <v>40839</v>
      </c>
      <c r="E2519" s="716">
        <v>205.2</v>
      </c>
    </row>
    <row r="2520" spans="1:5" ht="43">
      <c r="A2520" s="715">
        <v>45315</v>
      </c>
      <c r="B2520" s="633" t="s">
        <v>42163</v>
      </c>
      <c r="C2520" s="715" t="s">
        <v>509</v>
      </c>
      <c r="D2520" s="715" t="s">
        <v>40839</v>
      </c>
      <c r="E2520" s="716">
        <v>92.65</v>
      </c>
    </row>
    <row r="2521" spans="1:5" ht="43">
      <c r="A2521" s="715">
        <v>45316</v>
      </c>
      <c r="B2521" s="633" t="s">
        <v>42164</v>
      </c>
      <c r="C2521" s="715" t="s">
        <v>509</v>
      </c>
      <c r="D2521" s="715" t="s">
        <v>40839</v>
      </c>
      <c r="E2521" s="716">
        <v>106.28</v>
      </c>
    </row>
    <row r="2522" spans="1:5" ht="43">
      <c r="A2522" s="715">
        <v>45317</v>
      </c>
      <c r="B2522" s="633" t="s">
        <v>42165</v>
      </c>
      <c r="C2522" s="715" t="s">
        <v>509</v>
      </c>
      <c r="D2522" s="715" t="s">
        <v>40839</v>
      </c>
      <c r="E2522" s="716">
        <v>126.12</v>
      </c>
    </row>
    <row r="2523" spans="1:5" ht="43">
      <c r="A2523" s="715">
        <v>45313</v>
      </c>
      <c r="B2523" s="633" t="s">
        <v>42166</v>
      </c>
      <c r="C2523" s="715" t="s">
        <v>509</v>
      </c>
      <c r="D2523" s="715" t="s">
        <v>40839</v>
      </c>
      <c r="E2523" s="716">
        <v>121.54</v>
      </c>
    </row>
    <row r="2524" spans="1:5" ht="43">
      <c r="A2524" s="715">
        <v>45314</v>
      </c>
      <c r="B2524" s="633" t="s">
        <v>42167</v>
      </c>
      <c r="C2524" s="715" t="s">
        <v>509</v>
      </c>
      <c r="D2524" s="715" t="s">
        <v>40839</v>
      </c>
      <c r="E2524" s="716">
        <v>170.81</v>
      </c>
    </row>
    <row r="2525" spans="1:5" ht="43">
      <c r="A2525" s="715">
        <v>45309</v>
      </c>
      <c r="B2525" s="633" t="s">
        <v>42168</v>
      </c>
      <c r="C2525" s="715" t="s">
        <v>509</v>
      </c>
      <c r="D2525" s="715" t="s">
        <v>40839</v>
      </c>
      <c r="E2525" s="716">
        <v>85.57</v>
      </c>
    </row>
    <row r="2526" spans="1:5" ht="43">
      <c r="A2526" s="715">
        <v>45310</v>
      </c>
      <c r="B2526" s="633" t="s">
        <v>42169</v>
      </c>
      <c r="C2526" s="715" t="s">
        <v>509</v>
      </c>
      <c r="D2526" s="715" t="s">
        <v>40839</v>
      </c>
      <c r="E2526" s="716">
        <v>99.6</v>
      </c>
    </row>
    <row r="2527" spans="1:5" ht="43">
      <c r="A2527" s="715">
        <v>45311</v>
      </c>
      <c r="B2527" s="633" t="s">
        <v>42170</v>
      </c>
      <c r="C2527" s="715" t="s">
        <v>509</v>
      </c>
      <c r="D2527" s="715" t="s">
        <v>40839</v>
      </c>
      <c r="E2527" s="716">
        <v>108.46</v>
      </c>
    </row>
    <row r="2528" spans="1:5" ht="43">
      <c r="A2528" s="715">
        <v>45312</v>
      </c>
      <c r="B2528" s="633" t="s">
        <v>42171</v>
      </c>
      <c r="C2528" s="715" t="s">
        <v>509</v>
      </c>
      <c r="D2528" s="715" t="s">
        <v>40839</v>
      </c>
      <c r="E2528" s="716">
        <v>131.26</v>
      </c>
    </row>
    <row r="2529" spans="1:5" ht="43">
      <c r="A2529" s="715">
        <v>43342</v>
      </c>
      <c r="B2529" s="633" t="s">
        <v>42172</v>
      </c>
      <c r="C2529" s="715" t="s">
        <v>509</v>
      </c>
      <c r="D2529" s="715" t="s">
        <v>40839</v>
      </c>
      <c r="E2529" s="716">
        <v>92.65</v>
      </c>
    </row>
    <row r="2530" spans="1:5" ht="43">
      <c r="A2530" s="715">
        <v>43343</v>
      </c>
      <c r="B2530" s="633" t="s">
        <v>42173</v>
      </c>
      <c r="C2530" s="715" t="s">
        <v>509</v>
      </c>
      <c r="D2530" s="715" t="s">
        <v>40839</v>
      </c>
      <c r="E2530" s="716">
        <v>97.01</v>
      </c>
    </row>
    <row r="2531" spans="1:5" ht="43">
      <c r="A2531" s="715">
        <v>43344</v>
      </c>
      <c r="B2531" s="633" t="s">
        <v>42174</v>
      </c>
      <c r="C2531" s="715" t="s">
        <v>509</v>
      </c>
      <c r="D2531" s="715" t="s">
        <v>40839</v>
      </c>
      <c r="E2531" s="716">
        <v>116.91</v>
      </c>
    </row>
    <row r="2532" spans="1:5" ht="43">
      <c r="A2532" s="715">
        <v>45307</v>
      </c>
      <c r="B2532" s="633" t="s">
        <v>42175</v>
      </c>
      <c r="C2532" s="715" t="s">
        <v>509</v>
      </c>
      <c r="D2532" s="715" t="s">
        <v>40839</v>
      </c>
      <c r="E2532" s="716">
        <v>125.35</v>
      </c>
    </row>
    <row r="2533" spans="1:5" ht="43">
      <c r="A2533" s="715">
        <v>43345</v>
      </c>
      <c r="B2533" s="633" t="s">
        <v>42176</v>
      </c>
      <c r="C2533" s="715" t="s">
        <v>509</v>
      </c>
      <c r="D2533" s="715" t="s">
        <v>40839</v>
      </c>
      <c r="E2533" s="716">
        <v>88.15</v>
      </c>
    </row>
    <row r="2534" spans="1:5" ht="57">
      <c r="A2534" s="715">
        <v>43346</v>
      </c>
      <c r="B2534" s="633" t="s">
        <v>42177</v>
      </c>
      <c r="C2534" s="715" t="s">
        <v>509</v>
      </c>
      <c r="D2534" s="715" t="s">
        <v>40839</v>
      </c>
      <c r="E2534" s="716">
        <v>89.93</v>
      </c>
    </row>
    <row r="2535" spans="1:5" ht="57">
      <c r="A2535" s="715">
        <v>43347</v>
      </c>
      <c r="B2535" s="633" t="s">
        <v>42178</v>
      </c>
      <c r="C2535" s="715" t="s">
        <v>509</v>
      </c>
      <c r="D2535" s="715" t="s">
        <v>40839</v>
      </c>
      <c r="E2535" s="716">
        <v>101.37</v>
      </c>
    </row>
    <row r="2536" spans="1:5" ht="57">
      <c r="A2536" s="715">
        <v>43348</v>
      </c>
      <c r="B2536" s="633" t="s">
        <v>42179</v>
      </c>
      <c r="C2536" s="715" t="s">
        <v>509</v>
      </c>
      <c r="D2536" s="715" t="s">
        <v>40839</v>
      </c>
      <c r="E2536" s="716">
        <v>112.58</v>
      </c>
    </row>
    <row r="2537" spans="1:5" ht="57">
      <c r="A2537" s="715">
        <v>45308</v>
      </c>
      <c r="B2537" s="633" t="s">
        <v>42180</v>
      </c>
      <c r="C2537" s="715" t="s">
        <v>509</v>
      </c>
      <c r="D2537" s="715" t="s">
        <v>40839</v>
      </c>
      <c r="E2537" s="716">
        <v>125.35</v>
      </c>
    </row>
    <row r="2538" spans="1:5" ht="57">
      <c r="A2538" s="715">
        <v>43349</v>
      </c>
      <c r="B2538" s="633" t="s">
        <v>42181</v>
      </c>
      <c r="C2538" s="715" t="s">
        <v>509</v>
      </c>
      <c r="D2538" s="715" t="s">
        <v>40839</v>
      </c>
      <c r="E2538" s="716">
        <v>77.42</v>
      </c>
    </row>
    <row r="2539" spans="1:5" ht="29">
      <c r="A2539" s="715">
        <v>3736</v>
      </c>
      <c r="B2539" s="633" t="s">
        <v>41352</v>
      </c>
      <c r="C2539" s="715" t="s">
        <v>509</v>
      </c>
      <c r="D2539" s="715" t="s">
        <v>40839</v>
      </c>
      <c r="E2539" s="716">
        <v>40.33</v>
      </c>
    </row>
    <row r="2540" spans="1:5" ht="29">
      <c r="A2540" s="715">
        <v>3741</v>
      </c>
      <c r="B2540" s="633" t="s">
        <v>41353</v>
      </c>
      <c r="C2540" s="715" t="s">
        <v>509</v>
      </c>
      <c r="D2540" s="715" t="s">
        <v>40839</v>
      </c>
      <c r="E2540" s="716">
        <v>43.6</v>
      </c>
    </row>
    <row r="2541" spans="1:5" ht="29">
      <c r="A2541" s="715">
        <v>3737</v>
      </c>
      <c r="B2541" s="633" t="s">
        <v>41354</v>
      </c>
      <c r="C2541" s="715" t="s">
        <v>509</v>
      </c>
      <c r="D2541" s="715" t="s">
        <v>40839</v>
      </c>
      <c r="E2541" s="716">
        <v>59.4</v>
      </c>
    </row>
    <row r="2542" spans="1:5" ht="43">
      <c r="A2542" s="715">
        <v>43353</v>
      </c>
      <c r="B2542" s="633" t="s">
        <v>42182</v>
      </c>
      <c r="C2542" s="715" t="s">
        <v>509</v>
      </c>
      <c r="D2542" s="715" t="s">
        <v>40839</v>
      </c>
      <c r="E2542" s="716">
        <v>65.400000000000006</v>
      </c>
    </row>
    <row r="2543" spans="1:5" ht="43">
      <c r="A2543" s="715">
        <v>43350</v>
      </c>
      <c r="B2543" s="633" t="s">
        <v>42183</v>
      </c>
      <c r="C2543" s="715" t="s">
        <v>509</v>
      </c>
      <c r="D2543" s="715" t="s">
        <v>40839</v>
      </c>
      <c r="E2543" s="716">
        <v>81.75</v>
      </c>
    </row>
    <row r="2544" spans="1:5" ht="43">
      <c r="A2544" s="715">
        <v>43351</v>
      </c>
      <c r="B2544" s="633" t="s">
        <v>42184</v>
      </c>
      <c r="C2544" s="715" t="s">
        <v>509</v>
      </c>
      <c r="D2544" s="715" t="s">
        <v>40839</v>
      </c>
      <c r="E2544" s="716">
        <v>90.25</v>
      </c>
    </row>
    <row r="2545" spans="1:5" ht="43">
      <c r="A2545" s="715">
        <v>43352</v>
      </c>
      <c r="B2545" s="633" t="s">
        <v>42185</v>
      </c>
      <c r="C2545" s="715" t="s">
        <v>509</v>
      </c>
      <c r="D2545" s="715" t="s">
        <v>40839</v>
      </c>
      <c r="E2545" s="716">
        <v>110.09</v>
      </c>
    </row>
    <row r="2546" spans="1:5" ht="43">
      <c r="A2546" s="715">
        <v>45306</v>
      </c>
      <c r="B2546" s="633" t="s">
        <v>42186</v>
      </c>
      <c r="C2546" s="715" t="s">
        <v>509</v>
      </c>
      <c r="D2546" s="715" t="s">
        <v>40839</v>
      </c>
      <c r="E2546" s="716">
        <v>142.80000000000001</v>
      </c>
    </row>
    <row r="2547" spans="1:5" ht="57">
      <c r="A2547" s="715">
        <v>44379</v>
      </c>
      <c r="B2547" s="633" t="s">
        <v>42187</v>
      </c>
      <c r="C2547" s="715" t="s">
        <v>509</v>
      </c>
      <c r="D2547" s="715" t="s">
        <v>40839</v>
      </c>
      <c r="E2547" s="716">
        <v>92.65</v>
      </c>
    </row>
    <row r="2548" spans="1:5" ht="57">
      <c r="A2548" s="715">
        <v>43355</v>
      </c>
      <c r="B2548" s="633" t="s">
        <v>42188</v>
      </c>
      <c r="C2548" s="715" t="s">
        <v>509</v>
      </c>
      <c r="D2548" s="715" t="s">
        <v>40839</v>
      </c>
      <c r="E2548" s="716">
        <v>107.61</v>
      </c>
    </row>
    <row r="2549" spans="1:5" ht="57">
      <c r="A2549" s="715">
        <v>43356</v>
      </c>
      <c r="B2549" s="633" t="s">
        <v>42189</v>
      </c>
      <c r="C2549" s="715" t="s">
        <v>509</v>
      </c>
      <c r="D2549" s="715" t="s">
        <v>40839</v>
      </c>
      <c r="E2549" s="716">
        <v>126.61</v>
      </c>
    </row>
    <row r="2550" spans="1:5" ht="57">
      <c r="A2550" s="715">
        <v>45305</v>
      </c>
      <c r="B2550" s="633" t="s">
        <v>42190</v>
      </c>
      <c r="C2550" s="715" t="s">
        <v>509</v>
      </c>
      <c r="D2550" s="715" t="s">
        <v>40839</v>
      </c>
      <c r="E2550" s="716">
        <v>154.4</v>
      </c>
    </row>
    <row r="2551" spans="1:5" ht="29">
      <c r="A2551" s="715">
        <v>3742</v>
      </c>
      <c r="B2551" s="633" t="s">
        <v>37056</v>
      </c>
      <c r="C2551" s="715" t="s">
        <v>509</v>
      </c>
      <c r="D2551" s="715" t="s">
        <v>40839</v>
      </c>
      <c r="E2551" s="716">
        <v>58.07</v>
      </c>
    </row>
    <row r="2552" spans="1:5" ht="57">
      <c r="A2552" s="715">
        <v>43357</v>
      </c>
      <c r="B2552" s="633" t="s">
        <v>42191</v>
      </c>
      <c r="C2552" s="715" t="s">
        <v>509</v>
      </c>
      <c r="D2552" s="715" t="s">
        <v>28018</v>
      </c>
      <c r="E2552" s="716">
        <v>71.400000000000006</v>
      </c>
    </row>
    <row r="2553" spans="1:5">
      <c r="A2553" s="715">
        <v>38194</v>
      </c>
      <c r="B2553" s="633" t="s">
        <v>37057</v>
      </c>
      <c r="C2553" s="715" t="s">
        <v>103</v>
      </c>
      <c r="D2553" s="715" t="s">
        <v>28018</v>
      </c>
      <c r="E2553" s="716">
        <v>4.28</v>
      </c>
    </row>
    <row r="2554" spans="1:5">
      <c r="A2554" s="715">
        <v>38193</v>
      </c>
      <c r="B2554" s="633" t="s">
        <v>37058</v>
      </c>
      <c r="C2554" s="715" t="s">
        <v>103</v>
      </c>
      <c r="D2554" s="715" t="s">
        <v>40839</v>
      </c>
      <c r="E2554" s="716">
        <v>3.72</v>
      </c>
    </row>
    <row r="2555" spans="1:5">
      <c r="A2555" s="715">
        <v>39388</v>
      </c>
      <c r="B2555" s="633" t="s">
        <v>37059</v>
      </c>
      <c r="C2555" s="715" t="s">
        <v>103</v>
      </c>
      <c r="D2555" s="715" t="s">
        <v>40839</v>
      </c>
      <c r="E2555" s="716">
        <v>5.26</v>
      </c>
    </row>
    <row r="2556" spans="1:5">
      <c r="A2556" s="715">
        <v>39387</v>
      </c>
      <c r="B2556" s="633" t="s">
        <v>37060</v>
      </c>
      <c r="C2556" s="715" t="s">
        <v>103</v>
      </c>
      <c r="D2556" s="715" t="s">
        <v>40839</v>
      </c>
      <c r="E2556" s="716">
        <v>8.1999999999999993</v>
      </c>
    </row>
    <row r="2557" spans="1:5">
      <c r="A2557" s="715">
        <v>39386</v>
      </c>
      <c r="B2557" s="633" t="s">
        <v>37061</v>
      </c>
      <c r="C2557" s="715" t="s">
        <v>103</v>
      </c>
      <c r="D2557" s="715" t="s">
        <v>40839</v>
      </c>
      <c r="E2557" s="716">
        <v>5.72</v>
      </c>
    </row>
    <row r="2558" spans="1:5">
      <c r="A2558" s="715">
        <v>45229</v>
      </c>
      <c r="B2558" s="633" t="s">
        <v>41031</v>
      </c>
      <c r="C2558" s="715" t="s">
        <v>103</v>
      </c>
      <c r="D2558" s="715" t="s">
        <v>40839</v>
      </c>
      <c r="E2558" s="716">
        <v>2.67</v>
      </c>
    </row>
    <row r="2559" spans="1:5" ht="43">
      <c r="A2559" s="715">
        <v>746</v>
      </c>
      <c r="B2559" s="633" t="s">
        <v>37062</v>
      </c>
      <c r="C2559" s="715" t="s">
        <v>103</v>
      </c>
      <c r="D2559" s="715" t="s">
        <v>28018</v>
      </c>
      <c r="E2559" s="716">
        <v>2287</v>
      </c>
    </row>
    <row r="2560" spans="1:5" ht="29">
      <c r="A2560" s="715">
        <v>20269</v>
      </c>
      <c r="B2560" s="633" t="s">
        <v>37063</v>
      </c>
      <c r="C2560" s="715" t="s">
        <v>103</v>
      </c>
      <c r="D2560" s="715" t="s">
        <v>40839</v>
      </c>
      <c r="E2560" s="716">
        <v>106.28</v>
      </c>
    </row>
    <row r="2561" spans="1:5" ht="29">
      <c r="A2561" s="715">
        <v>20270</v>
      </c>
      <c r="B2561" s="633" t="s">
        <v>37064</v>
      </c>
      <c r="C2561" s="715" t="s">
        <v>103</v>
      </c>
      <c r="D2561" s="715" t="s">
        <v>40839</v>
      </c>
      <c r="E2561" s="716">
        <v>117.44</v>
      </c>
    </row>
    <row r="2562" spans="1:5" ht="29">
      <c r="A2562" s="715">
        <v>11696</v>
      </c>
      <c r="B2562" s="633" t="s">
        <v>37065</v>
      </c>
      <c r="C2562" s="715" t="s">
        <v>103</v>
      </c>
      <c r="D2562" s="715" t="s">
        <v>40839</v>
      </c>
      <c r="E2562" s="716">
        <v>187.99</v>
      </c>
    </row>
    <row r="2563" spans="1:5" ht="29">
      <c r="A2563" s="715">
        <v>10427</v>
      </c>
      <c r="B2563" s="633" t="s">
        <v>37066</v>
      </c>
      <c r="C2563" s="715" t="s">
        <v>103</v>
      </c>
      <c r="D2563" s="715" t="s">
        <v>40839</v>
      </c>
      <c r="E2563" s="716">
        <v>526.07000000000005</v>
      </c>
    </row>
    <row r="2564" spans="1:5" ht="29">
      <c r="A2564" s="715">
        <v>10428</v>
      </c>
      <c r="B2564" s="633" t="s">
        <v>37067</v>
      </c>
      <c r="C2564" s="715" t="s">
        <v>103</v>
      </c>
      <c r="D2564" s="715" t="s">
        <v>40839</v>
      </c>
      <c r="E2564" s="716">
        <v>542.02</v>
      </c>
    </row>
    <row r="2565" spans="1:5" ht="29">
      <c r="A2565" s="715">
        <v>36521</v>
      </c>
      <c r="B2565" s="633" t="s">
        <v>37068</v>
      </c>
      <c r="C2565" s="715" t="s">
        <v>103</v>
      </c>
      <c r="D2565" s="715" t="s">
        <v>40839</v>
      </c>
      <c r="E2565" s="716">
        <v>169.12</v>
      </c>
    </row>
    <row r="2566" spans="1:5">
      <c r="A2566" s="715">
        <v>36794</v>
      </c>
      <c r="B2566" s="633" t="s">
        <v>37069</v>
      </c>
      <c r="C2566" s="715" t="s">
        <v>103</v>
      </c>
      <c r="D2566" s="715" t="s">
        <v>40839</v>
      </c>
      <c r="E2566" s="716">
        <v>180.04</v>
      </c>
    </row>
    <row r="2567" spans="1:5">
      <c r="A2567" s="715">
        <v>10426</v>
      </c>
      <c r="B2567" s="633" t="s">
        <v>37070</v>
      </c>
      <c r="C2567" s="715" t="s">
        <v>103</v>
      </c>
      <c r="D2567" s="715" t="s">
        <v>40839</v>
      </c>
      <c r="E2567" s="716">
        <v>201.61</v>
      </c>
    </row>
    <row r="2568" spans="1:5">
      <c r="A2568" s="715">
        <v>10425</v>
      </c>
      <c r="B2568" s="633" t="s">
        <v>37071</v>
      </c>
      <c r="C2568" s="715" t="s">
        <v>103</v>
      </c>
      <c r="D2568" s="715" t="s">
        <v>40839</v>
      </c>
      <c r="E2568" s="716">
        <v>102.28</v>
      </c>
    </row>
    <row r="2569" spans="1:5">
      <c r="A2569" s="715">
        <v>10431</v>
      </c>
      <c r="B2569" s="633" t="s">
        <v>37072</v>
      </c>
      <c r="C2569" s="715" t="s">
        <v>103</v>
      </c>
      <c r="D2569" s="715" t="s">
        <v>40839</v>
      </c>
      <c r="E2569" s="716">
        <v>350.16</v>
      </c>
    </row>
    <row r="2570" spans="1:5" ht="29">
      <c r="A2570" s="715">
        <v>10429</v>
      </c>
      <c r="B2570" s="633" t="s">
        <v>37073</v>
      </c>
      <c r="C2570" s="715" t="s">
        <v>103</v>
      </c>
      <c r="D2570" s="715" t="s">
        <v>40839</v>
      </c>
      <c r="E2570" s="716">
        <v>172.74</v>
      </c>
    </row>
    <row r="2571" spans="1:5">
      <c r="A2571" s="715">
        <v>10853</v>
      </c>
      <c r="B2571" s="633" t="s">
        <v>37074</v>
      </c>
      <c r="C2571" s="715" t="s">
        <v>103</v>
      </c>
      <c r="D2571" s="715" t="s">
        <v>40839</v>
      </c>
      <c r="E2571" s="716">
        <v>99.18</v>
      </c>
    </row>
    <row r="2572" spans="1:5">
      <c r="A2572" s="715">
        <v>5093</v>
      </c>
      <c r="B2572" s="633" t="s">
        <v>37075</v>
      </c>
      <c r="C2572" s="715" t="s">
        <v>525</v>
      </c>
      <c r="D2572" s="715" t="s">
        <v>40839</v>
      </c>
      <c r="E2572" s="716">
        <v>17.36</v>
      </c>
    </row>
    <row r="2573" spans="1:5">
      <c r="A2573" s="715">
        <v>45254</v>
      </c>
      <c r="B2573" s="633" t="s">
        <v>40863</v>
      </c>
      <c r="C2573" s="715" t="s">
        <v>103</v>
      </c>
      <c r="D2573" s="715" t="s">
        <v>40839</v>
      </c>
      <c r="E2573" s="716">
        <v>34.6</v>
      </c>
    </row>
    <row r="2574" spans="1:5">
      <c r="A2574" s="715">
        <v>45253</v>
      </c>
      <c r="B2574" s="633" t="s">
        <v>40864</v>
      </c>
      <c r="C2574" s="715" t="s">
        <v>103</v>
      </c>
      <c r="D2574" s="715" t="s">
        <v>40839</v>
      </c>
      <c r="E2574" s="716">
        <v>44.84</v>
      </c>
    </row>
    <row r="2575" spans="1:5">
      <c r="A2575" s="715">
        <v>44331</v>
      </c>
      <c r="B2575" s="633" t="s">
        <v>37076</v>
      </c>
      <c r="C2575" s="715" t="s">
        <v>153</v>
      </c>
      <c r="D2575" s="715" t="s">
        <v>40839</v>
      </c>
      <c r="E2575" s="716">
        <v>63.85</v>
      </c>
    </row>
    <row r="2576" spans="1:5" ht="29">
      <c r="A2576" s="715">
        <v>37768</v>
      </c>
      <c r="B2576" s="633" t="s">
        <v>37077</v>
      </c>
      <c r="C2576" s="715" t="s">
        <v>103</v>
      </c>
      <c r="D2576" s="715" t="s">
        <v>28018</v>
      </c>
      <c r="E2576" s="716">
        <v>315650</v>
      </c>
    </row>
    <row r="2577" spans="1:5">
      <c r="A2577" s="715">
        <v>38382</v>
      </c>
      <c r="B2577" s="633" t="s">
        <v>37078</v>
      </c>
      <c r="C2577" s="715" t="s">
        <v>103</v>
      </c>
      <c r="D2577" s="715" t="s">
        <v>40839</v>
      </c>
      <c r="E2577" s="716">
        <v>15.33</v>
      </c>
    </row>
    <row r="2578" spans="1:5">
      <c r="A2578" s="715">
        <v>38383</v>
      </c>
      <c r="B2578" s="633" t="s">
        <v>37079</v>
      </c>
      <c r="C2578" s="715" t="s">
        <v>103</v>
      </c>
      <c r="D2578" s="715" t="s">
        <v>40839</v>
      </c>
      <c r="E2578" s="716">
        <v>2.44</v>
      </c>
    </row>
    <row r="2579" spans="1:5">
      <c r="A2579" s="715">
        <v>3768</v>
      </c>
      <c r="B2579" s="633" t="s">
        <v>37080</v>
      </c>
      <c r="C2579" s="715" t="s">
        <v>103</v>
      </c>
      <c r="D2579" s="715" t="s">
        <v>40839</v>
      </c>
      <c r="E2579" s="716">
        <v>3.91</v>
      </c>
    </row>
    <row r="2580" spans="1:5">
      <c r="A2580" s="715">
        <v>3767</v>
      </c>
      <c r="B2580" s="633" t="s">
        <v>37081</v>
      </c>
      <c r="C2580" s="715" t="s">
        <v>103</v>
      </c>
      <c r="D2580" s="715" t="s">
        <v>40839</v>
      </c>
      <c r="E2580" s="716">
        <v>1.31</v>
      </c>
    </row>
    <row r="2581" spans="1:5" ht="43">
      <c r="A2581" s="715">
        <v>42440</v>
      </c>
      <c r="B2581" s="633" t="s">
        <v>37082</v>
      </c>
      <c r="C2581" s="715" t="s">
        <v>103</v>
      </c>
      <c r="D2581" s="715" t="s">
        <v>40839</v>
      </c>
      <c r="E2581" s="716">
        <v>1235.9100000000001</v>
      </c>
    </row>
    <row r="2582" spans="1:5" ht="57">
      <c r="A2582" s="715">
        <v>20193</v>
      </c>
      <c r="B2582" s="633" t="s">
        <v>37083</v>
      </c>
      <c r="C2582" s="715" t="s">
        <v>10483</v>
      </c>
      <c r="D2582" s="715" t="s">
        <v>40839</v>
      </c>
      <c r="E2582" s="716">
        <v>22.5</v>
      </c>
    </row>
    <row r="2583" spans="1:5" ht="57">
      <c r="A2583" s="715">
        <v>10527</v>
      </c>
      <c r="B2583" s="633" t="s">
        <v>37084</v>
      </c>
      <c r="C2583" s="715" t="s">
        <v>133</v>
      </c>
      <c r="D2583" s="715" t="s">
        <v>28018</v>
      </c>
      <c r="E2583" s="716">
        <v>30</v>
      </c>
    </row>
    <row r="2584" spans="1:5" ht="43">
      <c r="A2584" s="715">
        <v>41805</v>
      </c>
      <c r="B2584" s="633" t="s">
        <v>37085</v>
      </c>
      <c r="C2584" s="715" t="s">
        <v>27629</v>
      </c>
      <c r="D2584" s="715" t="s">
        <v>40839</v>
      </c>
      <c r="E2584" s="716">
        <v>862.5</v>
      </c>
    </row>
    <row r="2585" spans="1:5" ht="29">
      <c r="A2585" s="715">
        <v>40271</v>
      </c>
      <c r="B2585" s="633" t="s">
        <v>37086</v>
      </c>
      <c r="C2585" s="715" t="s">
        <v>10484</v>
      </c>
      <c r="D2585" s="715" t="s">
        <v>40839</v>
      </c>
      <c r="E2585" s="716">
        <v>22.96</v>
      </c>
    </row>
    <row r="2586" spans="1:5" ht="29">
      <c r="A2586" s="715">
        <v>40287</v>
      </c>
      <c r="B2586" s="633" t="s">
        <v>37087</v>
      </c>
      <c r="C2586" s="715" t="s">
        <v>27629</v>
      </c>
      <c r="D2586" s="715" t="s">
        <v>40839</v>
      </c>
      <c r="E2586" s="716">
        <v>8.84</v>
      </c>
    </row>
    <row r="2587" spans="1:5" ht="29">
      <c r="A2587" s="715">
        <v>10779</v>
      </c>
      <c r="B2587" s="633" t="s">
        <v>37088</v>
      </c>
      <c r="C2587" s="715" t="s">
        <v>27629</v>
      </c>
      <c r="D2587" s="715" t="s">
        <v>40839</v>
      </c>
      <c r="E2587" s="716">
        <v>1160.93</v>
      </c>
    </row>
    <row r="2588" spans="1:5" ht="29">
      <c r="A2588" s="715">
        <v>10777</v>
      </c>
      <c r="B2588" s="633" t="s">
        <v>37089</v>
      </c>
      <c r="C2588" s="715" t="s">
        <v>27629</v>
      </c>
      <c r="D2588" s="715" t="s">
        <v>40839</v>
      </c>
      <c r="E2588" s="716">
        <v>1054.51</v>
      </c>
    </row>
    <row r="2589" spans="1:5" ht="43">
      <c r="A2589" s="715">
        <v>10775</v>
      </c>
      <c r="B2589" s="633" t="s">
        <v>37090</v>
      </c>
      <c r="C2589" s="715" t="s">
        <v>27629</v>
      </c>
      <c r="D2589" s="715" t="s">
        <v>28018</v>
      </c>
      <c r="E2589" s="716">
        <v>928.75</v>
      </c>
    </row>
    <row r="2590" spans="1:5" ht="29">
      <c r="A2590" s="715">
        <v>10776</v>
      </c>
      <c r="B2590" s="633" t="s">
        <v>37091</v>
      </c>
      <c r="C2590" s="715" t="s">
        <v>27629</v>
      </c>
      <c r="D2590" s="715" t="s">
        <v>40839</v>
      </c>
      <c r="E2590" s="716">
        <v>725.58</v>
      </c>
    </row>
    <row r="2591" spans="1:5" ht="29">
      <c r="A2591" s="715">
        <v>10778</v>
      </c>
      <c r="B2591" s="633" t="s">
        <v>37092</v>
      </c>
      <c r="C2591" s="715" t="s">
        <v>27629</v>
      </c>
      <c r="D2591" s="715" t="s">
        <v>40839</v>
      </c>
      <c r="E2591" s="716">
        <v>1160.93</v>
      </c>
    </row>
    <row r="2592" spans="1:5" ht="43">
      <c r="A2592" s="715">
        <v>40339</v>
      </c>
      <c r="B2592" s="633" t="s">
        <v>37093</v>
      </c>
      <c r="C2592" s="715" t="s">
        <v>10484</v>
      </c>
      <c r="D2592" s="715" t="s">
        <v>40839</v>
      </c>
      <c r="E2592" s="716">
        <v>8.0500000000000007</v>
      </c>
    </row>
    <row r="2593" spans="1:5" ht="43">
      <c r="A2593" s="715">
        <v>10749</v>
      </c>
      <c r="B2593" s="633" t="s">
        <v>37094</v>
      </c>
      <c r="C2593" s="715" t="s">
        <v>10484</v>
      </c>
      <c r="D2593" s="715" t="s">
        <v>40839</v>
      </c>
      <c r="E2593" s="716">
        <v>26.62</v>
      </c>
    </row>
    <row r="2594" spans="1:5" ht="29">
      <c r="A2594" s="715">
        <v>40290</v>
      </c>
      <c r="B2594" s="633" t="s">
        <v>37095</v>
      </c>
      <c r="C2594" s="715" t="s">
        <v>10484</v>
      </c>
      <c r="D2594" s="715" t="s">
        <v>40839</v>
      </c>
      <c r="E2594" s="716">
        <v>14.4</v>
      </c>
    </row>
    <row r="2595" spans="1:5" ht="29">
      <c r="A2595" s="715">
        <v>3346</v>
      </c>
      <c r="B2595" s="633" t="s">
        <v>37096</v>
      </c>
      <c r="C2595" s="715" t="s">
        <v>11</v>
      </c>
      <c r="D2595" s="715" t="s">
        <v>28018</v>
      </c>
      <c r="E2595" s="716">
        <v>27</v>
      </c>
    </row>
    <row r="2596" spans="1:5" ht="29">
      <c r="A2596" s="715">
        <v>3348</v>
      </c>
      <c r="B2596" s="633" t="s">
        <v>37097</v>
      </c>
      <c r="C2596" s="715" t="s">
        <v>11</v>
      </c>
      <c r="D2596" s="715" t="s">
        <v>40839</v>
      </c>
      <c r="E2596" s="716">
        <v>32.299999999999997</v>
      </c>
    </row>
    <row r="2597" spans="1:5" ht="29">
      <c r="A2597" s="715">
        <v>39833</v>
      </c>
      <c r="B2597" s="633" t="s">
        <v>37098</v>
      </c>
      <c r="C2597" s="715" t="s">
        <v>11</v>
      </c>
      <c r="D2597" s="715" t="s">
        <v>40839</v>
      </c>
      <c r="E2597" s="716">
        <v>44.24</v>
      </c>
    </row>
    <row r="2598" spans="1:5">
      <c r="A2598" s="715">
        <v>7252</v>
      </c>
      <c r="B2598" s="633" t="s">
        <v>37099</v>
      </c>
      <c r="C2598" s="715" t="s">
        <v>11</v>
      </c>
      <c r="D2598" s="715" t="s">
        <v>40839</v>
      </c>
      <c r="E2598" s="716">
        <v>2.48</v>
      </c>
    </row>
    <row r="2599" spans="1:5" ht="29">
      <c r="A2599" s="715">
        <v>7247</v>
      </c>
      <c r="B2599" s="633" t="s">
        <v>37100</v>
      </c>
      <c r="C2599" s="715" t="s">
        <v>11</v>
      </c>
      <c r="D2599" s="715" t="s">
        <v>28018</v>
      </c>
      <c r="E2599" s="716">
        <v>2.48</v>
      </c>
    </row>
    <row r="2600" spans="1:5" ht="29">
      <c r="A2600" s="715">
        <v>40291</v>
      </c>
      <c r="B2600" s="633" t="s">
        <v>37101</v>
      </c>
      <c r="C2600" s="715" t="s">
        <v>10484</v>
      </c>
      <c r="D2600" s="715" t="s">
        <v>40839</v>
      </c>
      <c r="E2600" s="716">
        <v>750</v>
      </c>
    </row>
    <row r="2601" spans="1:5" ht="29">
      <c r="A2601" s="715">
        <v>40275</v>
      </c>
      <c r="B2601" s="633" t="s">
        <v>37102</v>
      </c>
      <c r="C2601" s="715" t="s">
        <v>10484</v>
      </c>
      <c r="D2601" s="715" t="s">
        <v>40839</v>
      </c>
      <c r="E2601" s="716">
        <v>24</v>
      </c>
    </row>
    <row r="2602" spans="1:5">
      <c r="A2602" s="715">
        <v>42408</v>
      </c>
      <c r="B2602" s="633" t="s">
        <v>37103</v>
      </c>
      <c r="C2602" s="715" t="s">
        <v>509</v>
      </c>
      <c r="D2602" s="715" t="s">
        <v>40839</v>
      </c>
      <c r="E2602" s="716">
        <v>2.33</v>
      </c>
    </row>
    <row r="2603" spans="1:5">
      <c r="A2603" s="715">
        <v>3777</v>
      </c>
      <c r="B2603" s="633" t="s">
        <v>37104</v>
      </c>
      <c r="C2603" s="715" t="s">
        <v>509</v>
      </c>
      <c r="D2603" s="715" t="s">
        <v>40839</v>
      </c>
      <c r="E2603" s="716">
        <v>2.0499999999999998</v>
      </c>
    </row>
    <row r="2604" spans="1:5" ht="29">
      <c r="A2604" s="715">
        <v>44699</v>
      </c>
      <c r="B2604" s="633" t="s">
        <v>37105</v>
      </c>
      <c r="C2604" s="715" t="s">
        <v>207</v>
      </c>
      <c r="D2604" s="715" t="s">
        <v>40839</v>
      </c>
      <c r="E2604" s="716">
        <v>57.97</v>
      </c>
    </row>
    <row r="2605" spans="1:5">
      <c r="A2605" s="715">
        <v>3798</v>
      </c>
      <c r="B2605" s="633" t="s">
        <v>37106</v>
      </c>
      <c r="C2605" s="715" t="s">
        <v>103</v>
      </c>
      <c r="D2605" s="715" t="s">
        <v>40839</v>
      </c>
      <c r="E2605" s="716">
        <v>64.17</v>
      </c>
    </row>
    <row r="2606" spans="1:5" ht="29">
      <c r="A2606" s="715">
        <v>38769</v>
      </c>
      <c r="B2606" s="633" t="s">
        <v>37107</v>
      </c>
      <c r="C2606" s="715" t="s">
        <v>103</v>
      </c>
      <c r="D2606" s="715" t="s">
        <v>40839</v>
      </c>
      <c r="E2606" s="716">
        <v>50.11</v>
      </c>
    </row>
    <row r="2607" spans="1:5" ht="29">
      <c r="A2607" s="715">
        <v>38774</v>
      </c>
      <c r="B2607" s="633" t="s">
        <v>37108</v>
      </c>
      <c r="C2607" s="715" t="s">
        <v>103</v>
      </c>
      <c r="D2607" s="715" t="s">
        <v>40839</v>
      </c>
      <c r="E2607" s="716">
        <v>10.75</v>
      </c>
    </row>
    <row r="2608" spans="1:5" ht="29">
      <c r="A2608" s="715">
        <v>42247</v>
      </c>
      <c r="B2608" s="633" t="s">
        <v>37109</v>
      </c>
      <c r="C2608" s="715" t="s">
        <v>103</v>
      </c>
      <c r="D2608" s="715" t="s">
        <v>40839</v>
      </c>
      <c r="E2608" s="716">
        <v>367</v>
      </c>
    </row>
    <row r="2609" spans="1:5" ht="29">
      <c r="A2609" s="715">
        <v>42248</v>
      </c>
      <c r="B2609" s="633" t="s">
        <v>37110</v>
      </c>
      <c r="C2609" s="715" t="s">
        <v>103</v>
      </c>
      <c r="D2609" s="715" t="s">
        <v>40839</v>
      </c>
      <c r="E2609" s="716">
        <v>426.3</v>
      </c>
    </row>
    <row r="2610" spans="1:5" ht="29">
      <c r="A2610" s="715">
        <v>42249</v>
      </c>
      <c r="B2610" s="633" t="s">
        <v>37111</v>
      </c>
      <c r="C2610" s="715" t="s">
        <v>103</v>
      </c>
      <c r="D2610" s="715" t="s">
        <v>40839</v>
      </c>
      <c r="E2610" s="716">
        <v>706.23</v>
      </c>
    </row>
    <row r="2611" spans="1:5" ht="29">
      <c r="A2611" s="715">
        <v>42244</v>
      </c>
      <c r="B2611" s="633" t="s">
        <v>37112</v>
      </c>
      <c r="C2611" s="715" t="s">
        <v>103</v>
      </c>
      <c r="D2611" s="715" t="s">
        <v>40839</v>
      </c>
      <c r="E2611" s="716">
        <v>110.29</v>
      </c>
    </row>
    <row r="2612" spans="1:5" ht="29">
      <c r="A2612" s="715">
        <v>42245</v>
      </c>
      <c r="B2612" s="633" t="s">
        <v>37113</v>
      </c>
      <c r="C2612" s="715" t="s">
        <v>103</v>
      </c>
      <c r="D2612" s="715" t="s">
        <v>40839</v>
      </c>
      <c r="E2612" s="716">
        <v>203.52</v>
      </c>
    </row>
    <row r="2613" spans="1:5" ht="29">
      <c r="A2613" s="715">
        <v>42246</v>
      </c>
      <c r="B2613" s="633" t="s">
        <v>37114</v>
      </c>
      <c r="C2613" s="715" t="s">
        <v>103</v>
      </c>
      <c r="D2613" s="715" t="s">
        <v>40839</v>
      </c>
      <c r="E2613" s="716">
        <v>225.29</v>
      </c>
    </row>
    <row r="2614" spans="1:5" ht="29">
      <c r="A2614" s="715">
        <v>42243</v>
      </c>
      <c r="B2614" s="633" t="s">
        <v>37115</v>
      </c>
      <c r="C2614" s="715" t="s">
        <v>103</v>
      </c>
      <c r="D2614" s="715" t="s">
        <v>40839</v>
      </c>
      <c r="E2614" s="716">
        <v>271.66000000000003</v>
      </c>
    </row>
    <row r="2615" spans="1:5" ht="29">
      <c r="A2615" s="715">
        <v>38889</v>
      </c>
      <c r="B2615" s="633" t="s">
        <v>37116</v>
      </c>
      <c r="C2615" s="715" t="s">
        <v>103</v>
      </c>
      <c r="D2615" s="715" t="s">
        <v>40839</v>
      </c>
      <c r="E2615" s="716">
        <v>38.409999999999997</v>
      </c>
    </row>
    <row r="2616" spans="1:5" ht="29">
      <c r="A2616" s="715">
        <v>38784</v>
      </c>
      <c r="B2616" s="633" t="s">
        <v>37117</v>
      </c>
      <c r="C2616" s="715" t="s">
        <v>103</v>
      </c>
      <c r="D2616" s="715" t="s">
        <v>40839</v>
      </c>
      <c r="E2616" s="716">
        <v>51.38</v>
      </c>
    </row>
    <row r="2617" spans="1:5" ht="29">
      <c r="A2617" s="715">
        <v>3780</v>
      </c>
      <c r="B2617" s="633" t="s">
        <v>37118</v>
      </c>
      <c r="C2617" s="715" t="s">
        <v>103</v>
      </c>
      <c r="D2617" s="715" t="s">
        <v>28018</v>
      </c>
      <c r="E2617" s="716">
        <v>79.010000000000005</v>
      </c>
    </row>
    <row r="2618" spans="1:5" ht="29">
      <c r="A2618" s="715">
        <v>38773</v>
      </c>
      <c r="B2618" s="633" t="s">
        <v>37119</v>
      </c>
      <c r="C2618" s="715" t="s">
        <v>103</v>
      </c>
      <c r="D2618" s="715" t="s">
        <v>40839</v>
      </c>
      <c r="E2618" s="716">
        <v>5.04</v>
      </c>
    </row>
    <row r="2619" spans="1:5">
      <c r="A2619" s="715">
        <v>12271</v>
      </c>
      <c r="B2619" s="633" t="s">
        <v>37120</v>
      </c>
      <c r="C2619" s="715" t="s">
        <v>103</v>
      </c>
      <c r="D2619" s="715" t="s">
        <v>40839</v>
      </c>
      <c r="E2619" s="716">
        <v>281.02</v>
      </c>
    </row>
    <row r="2620" spans="1:5">
      <c r="A2620" s="715">
        <v>39385</v>
      </c>
      <c r="B2620" s="633" t="s">
        <v>37121</v>
      </c>
      <c r="C2620" s="715" t="s">
        <v>103</v>
      </c>
      <c r="D2620" s="715" t="s">
        <v>40839</v>
      </c>
      <c r="E2620" s="716">
        <v>9.83</v>
      </c>
    </row>
    <row r="2621" spans="1:5">
      <c r="A2621" s="715">
        <v>39389</v>
      </c>
      <c r="B2621" s="633" t="s">
        <v>37122</v>
      </c>
      <c r="C2621" s="715" t="s">
        <v>103</v>
      </c>
      <c r="D2621" s="715" t="s">
        <v>40839</v>
      </c>
      <c r="E2621" s="716">
        <v>10.67</v>
      </c>
    </row>
    <row r="2622" spans="1:5">
      <c r="A2622" s="715">
        <v>39390</v>
      </c>
      <c r="B2622" s="633" t="s">
        <v>37123</v>
      </c>
      <c r="C2622" s="715" t="s">
        <v>103</v>
      </c>
      <c r="D2622" s="715" t="s">
        <v>40839</v>
      </c>
      <c r="E2622" s="716">
        <v>22.36</v>
      </c>
    </row>
    <row r="2623" spans="1:5">
      <c r="A2623" s="715">
        <v>39391</v>
      </c>
      <c r="B2623" s="633" t="s">
        <v>37124</v>
      </c>
      <c r="C2623" s="715" t="s">
        <v>103</v>
      </c>
      <c r="D2623" s="715" t="s">
        <v>40839</v>
      </c>
      <c r="E2623" s="716">
        <v>25.11</v>
      </c>
    </row>
    <row r="2624" spans="1:5" ht="29">
      <c r="A2624" s="715">
        <v>3803</v>
      </c>
      <c r="B2624" s="633" t="s">
        <v>37125</v>
      </c>
      <c r="C2624" s="715" t="s">
        <v>103</v>
      </c>
      <c r="D2624" s="715" t="s">
        <v>40839</v>
      </c>
      <c r="E2624" s="716">
        <v>47.52</v>
      </c>
    </row>
    <row r="2625" spans="1:5" ht="29">
      <c r="A2625" s="715">
        <v>38770</v>
      </c>
      <c r="B2625" s="633" t="s">
        <v>37126</v>
      </c>
      <c r="C2625" s="715" t="s">
        <v>103</v>
      </c>
      <c r="D2625" s="715" t="s">
        <v>40839</v>
      </c>
      <c r="E2625" s="716">
        <v>55.02</v>
      </c>
    </row>
    <row r="2626" spans="1:5">
      <c r="A2626" s="715">
        <v>12267</v>
      </c>
      <c r="B2626" s="633" t="s">
        <v>37127</v>
      </c>
      <c r="C2626" s="715" t="s">
        <v>103</v>
      </c>
      <c r="D2626" s="715" t="s">
        <v>40839</v>
      </c>
      <c r="E2626" s="716">
        <v>161.24</v>
      </c>
    </row>
    <row r="2627" spans="1:5" ht="71">
      <c r="A2627" s="715">
        <v>43265</v>
      </c>
      <c r="B2627" s="633" t="s">
        <v>37128</v>
      </c>
      <c r="C2627" s="715" t="s">
        <v>103</v>
      </c>
      <c r="D2627" s="715" t="s">
        <v>40839</v>
      </c>
      <c r="E2627" s="716">
        <v>30.75</v>
      </c>
    </row>
    <row r="2628" spans="1:5" ht="29">
      <c r="A2628" s="715">
        <v>12266</v>
      </c>
      <c r="B2628" s="633" t="s">
        <v>37129</v>
      </c>
      <c r="C2628" s="715" t="s">
        <v>103</v>
      </c>
      <c r="D2628" s="715" t="s">
        <v>40839</v>
      </c>
      <c r="E2628" s="716">
        <v>82.53</v>
      </c>
    </row>
    <row r="2629" spans="1:5" ht="29">
      <c r="A2629" s="715">
        <v>39378</v>
      </c>
      <c r="B2629" s="633" t="s">
        <v>37130</v>
      </c>
      <c r="C2629" s="715" t="s">
        <v>103</v>
      </c>
      <c r="D2629" s="715" t="s">
        <v>40839</v>
      </c>
      <c r="E2629" s="716">
        <v>58.51</v>
      </c>
    </row>
    <row r="2630" spans="1:5" ht="29">
      <c r="A2630" s="715">
        <v>43543</v>
      </c>
      <c r="B2630" s="633" t="s">
        <v>37131</v>
      </c>
      <c r="C2630" s="715" t="s">
        <v>103</v>
      </c>
      <c r="D2630" s="715" t="s">
        <v>40839</v>
      </c>
      <c r="E2630" s="716">
        <v>121.9</v>
      </c>
    </row>
    <row r="2631" spans="1:5" ht="29">
      <c r="A2631" s="715">
        <v>38775</v>
      </c>
      <c r="B2631" s="633" t="s">
        <v>37132</v>
      </c>
      <c r="C2631" s="715" t="s">
        <v>103</v>
      </c>
      <c r="D2631" s="715" t="s">
        <v>40839</v>
      </c>
      <c r="E2631" s="716">
        <v>62.03</v>
      </c>
    </row>
    <row r="2632" spans="1:5">
      <c r="A2632" s="715">
        <v>44252</v>
      </c>
      <c r="B2632" s="633" t="s">
        <v>37133</v>
      </c>
      <c r="C2632" s="715" t="s">
        <v>103</v>
      </c>
      <c r="D2632" s="715" t="s">
        <v>40839</v>
      </c>
      <c r="E2632" s="716">
        <v>193.43</v>
      </c>
    </row>
    <row r="2633" spans="1:5">
      <c r="A2633" s="715">
        <v>21119</v>
      </c>
      <c r="B2633" s="633" t="s">
        <v>37134</v>
      </c>
      <c r="C2633" s="715" t="s">
        <v>103</v>
      </c>
      <c r="D2633" s="715" t="s">
        <v>40839</v>
      </c>
      <c r="E2633" s="716">
        <v>1.94</v>
      </c>
    </row>
    <row r="2634" spans="1:5">
      <c r="A2634" s="715">
        <v>37974</v>
      </c>
      <c r="B2634" s="633" t="s">
        <v>37135</v>
      </c>
      <c r="C2634" s="715" t="s">
        <v>103</v>
      </c>
      <c r="D2634" s="715" t="s">
        <v>40839</v>
      </c>
      <c r="E2634" s="716">
        <v>2.5099999999999998</v>
      </c>
    </row>
    <row r="2635" spans="1:5">
      <c r="A2635" s="715">
        <v>37975</v>
      </c>
      <c r="B2635" s="633" t="s">
        <v>37136</v>
      </c>
      <c r="C2635" s="715" t="s">
        <v>103</v>
      </c>
      <c r="D2635" s="715" t="s">
        <v>40839</v>
      </c>
      <c r="E2635" s="716">
        <v>5.58</v>
      </c>
    </row>
    <row r="2636" spans="1:5">
      <c r="A2636" s="715">
        <v>37976</v>
      </c>
      <c r="B2636" s="633" t="s">
        <v>37137</v>
      </c>
      <c r="C2636" s="715" t="s">
        <v>103</v>
      </c>
      <c r="D2636" s="715" t="s">
        <v>40839</v>
      </c>
      <c r="E2636" s="716">
        <v>12.44</v>
      </c>
    </row>
    <row r="2637" spans="1:5">
      <c r="A2637" s="715">
        <v>37977</v>
      </c>
      <c r="B2637" s="633" t="s">
        <v>37138</v>
      </c>
      <c r="C2637" s="715" t="s">
        <v>103</v>
      </c>
      <c r="D2637" s="715" t="s">
        <v>40839</v>
      </c>
      <c r="E2637" s="716">
        <v>17.21</v>
      </c>
    </row>
    <row r="2638" spans="1:5">
      <c r="A2638" s="715">
        <v>37978</v>
      </c>
      <c r="B2638" s="633" t="s">
        <v>37139</v>
      </c>
      <c r="C2638" s="715" t="s">
        <v>103</v>
      </c>
      <c r="D2638" s="715" t="s">
        <v>40839</v>
      </c>
      <c r="E2638" s="716">
        <v>34.119999999999997</v>
      </c>
    </row>
    <row r="2639" spans="1:5">
      <c r="A2639" s="715">
        <v>37979</v>
      </c>
      <c r="B2639" s="633" t="s">
        <v>37140</v>
      </c>
      <c r="C2639" s="715" t="s">
        <v>103</v>
      </c>
      <c r="D2639" s="715" t="s">
        <v>40839</v>
      </c>
      <c r="E2639" s="716">
        <v>144.81</v>
      </c>
    </row>
    <row r="2640" spans="1:5">
      <c r="A2640" s="715">
        <v>37980</v>
      </c>
      <c r="B2640" s="633" t="s">
        <v>37141</v>
      </c>
      <c r="C2640" s="715" t="s">
        <v>103</v>
      </c>
      <c r="D2640" s="715" t="s">
        <v>40839</v>
      </c>
      <c r="E2640" s="716">
        <v>166.34</v>
      </c>
    </row>
    <row r="2641" spans="1:5" ht="29">
      <c r="A2641" s="715">
        <v>36147</v>
      </c>
      <c r="B2641" s="633" t="s">
        <v>37142</v>
      </c>
      <c r="C2641" s="715" t="s">
        <v>525</v>
      </c>
      <c r="D2641" s="715" t="s">
        <v>40839</v>
      </c>
      <c r="E2641" s="716">
        <v>285.86</v>
      </c>
    </row>
    <row r="2642" spans="1:5">
      <c r="A2642" s="715">
        <v>12731</v>
      </c>
      <c r="B2642" s="633" t="s">
        <v>37143</v>
      </c>
      <c r="C2642" s="715" t="s">
        <v>103</v>
      </c>
      <c r="D2642" s="715" t="s">
        <v>40839</v>
      </c>
      <c r="E2642" s="716">
        <v>393.4</v>
      </c>
    </row>
    <row r="2643" spans="1:5">
      <c r="A2643" s="715">
        <v>12723</v>
      </c>
      <c r="B2643" s="633" t="s">
        <v>37144</v>
      </c>
      <c r="C2643" s="715" t="s">
        <v>103</v>
      </c>
      <c r="D2643" s="715" t="s">
        <v>40839</v>
      </c>
      <c r="E2643" s="716">
        <v>3.05</v>
      </c>
    </row>
    <row r="2644" spans="1:5">
      <c r="A2644" s="715">
        <v>12724</v>
      </c>
      <c r="B2644" s="633" t="s">
        <v>37145</v>
      </c>
      <c r="C2644" s="715" t="s">
        <v>103</v>
      </c>
      <c r="D2644" s="715" t="s">
        <v>40839</v>
      </c>
      <c r="E2644" s="716">
        <v>5.86</v>
      </c>
    </row>
    <row r="2645" spans="1:5">
      <c r="A2645" s="715">
        <v>12725</v>
      </c>
      <c r="B2645" s="633" t="s">
        <v>37146</v>
      </c>
      <c r="C2645" s="715" t="s">
        <v>103</v>
      </c>
      <c r="D2645" s="715" t="s">
        <v>40839</v>
      </c>
      <c r="E2645" s="716">
        <v>11.76</v>
      </c>
    </row>
    <row r="2646" spans="1:5">
      <c r="A2646" s="715">
        <v>12726</v>
      </c>
      <c r="B2646" s="633" t="s">
        <v>37147</v>
      </c>
      <c r="C2646" s="715" t="s">
        <v>103</v>
      </c>
      <c r="D2646" s="715" t="s">
        <v>40839</v>
      </c>
      <c r="E2646" s="716">
        <v>25.95</v>
      </c>
    </row>
    <row r="2647" spans="1:5">
      <c r="A2647" s="715">
        <v>12727</v>
      </c>
      <c r="B2647" s="633" t="s">
        <v>37148</v>
      </c>
      <c r="C2647" s="715" t="s">
        <v>103</v>
      </c>
      <c r="D2647" s="715" t="s">
        <v>40839</v>
      </c>
      <c r="E2647" s="716">
        <v>32.909999999999997</v>
      </c>
    </row>
    <row r="2648" spans="1:5">
      <c r="A2648" s="715">
        <v>12728</v>
      </c>
      <c r="B2648" s="633" t="s">
        <v>37149</v>
      </c>
      <c r="C2648" s="715" t="s">
        <v>103</v>
      </c>
      <c r="D2648" s="715" t="s">
        <v>40839</v>
      </c>
      <c r="E2648" s="716">
        <v>53.76</v>
      </c>
    </row>
    <row r="2649" spans="1:5">
      <c r="A2649" s="715">
        <v>12729</v>
      </c>
      <c r="B2649" s="633" t="s">
        <v>37150</v>
      </c>
      <c r="C2649" s="715" t="s">
        <v>103</v>
      </c>
      <c r="D2649" s="715" t="s">
        <v>40839</v>
      </c>
      <c r="E2649" s="716">
        <v>176.21</v>
      </c>
    </row>
    <row r="2650" spans="1:5">
      <c r="A2650" s="715">
        <v>12730</v>
      </c>
      <c r="B2650" s="633" t="s">
        <v>37151</v>
      </c>
      <c r="C2650" s="715" t="s">
        <v>103</v>
      </c>
      <c r="D2650" s="715" t="s">
        <v>40839</v>
      </c>
      <c r="E2650" s="716">
        <v>269.77999999999997</v>
      </c>
    </row>
    <row r="2651" spans="1:5">
      <c r="A2651" s="715">
        <v>3840</v>
      </c>
      <c r="B2651" s="633" t="s">
        <v>37152</v>
      </c>
      <c r="C2651" s="715" t="s">
        <v>103</v>
      </c>
      <c r="D2651" s="715" t="s">
        <v>40839</v>
      </c>
      <c r="E2651" s="716">
        <v>64.650000000000006</v>
      </c>
    </row>
    <row r="2652" spans="1:5">
      <c r="A2652" s="715">
        <v>3838</v>
      </c>
      <c r="B2652" s="633" t="s">
        <v>37153</v>
      </c>
      <c r="C2652" s="715" t="s">
        <v>103</v>
      </c>
      <c r="D2652" s="715" t="s">
        <v>40839</v>
      </c>
      <c r="E2652" s="716">
        <v>142.68</v>
      </c>
    </row>
    <row r="2653" spans="1:5">
      <c r="A2653" s="715">
        <v>3844</v>
      </c>
      <c r="B2653" s="633" t="s">
        <v>37154</v>
      </c>
      <c r="C2653" s="715" t="s">
        <v>103</v>
      </c>
      <c r="D2653" s="715" t="s">
        <v>40839</v>
      </c>
      <c r="E2653" s="716">
        <v>254.51</v>
      </c>
    </row>
    <row r="2654" spans="1:5">
      <c r="A2654" s="715">
        <v>3839</v>
      </c>
      <c r="B2654" s="633" t="s">
        <v>37155</v>
      </c>
      <c r="C2654" s="715" t="s">
        <v>103</v>
      </c>
      <c r="D2654" s="715" t="s">
        <v>40839</v>
      </c>
      <c r="E2654" s="716">
        <v>463.57</v>
      </c>
    </row>
    <row r="2655" spans="1:5">
      <c r="A2655" s="715">
        <v>3843</v>
      </c>
      <c r="B2655" s="633" t="s">
        <v>37156</v>
      </c>
      <c r="C2655" s="715" t="s">
        <v>103</v>
      </c>
      <c r="D2655" s="715" t="s">
        <v>40839</v>
      </c>
      <c r="E2655" s="716">
        <v>636.26</v>
      </c>
    </row>
    <row r="2656" spans="1:5">
      <c r="A2656" s="715">
        <v>3900</v>
      </c>
      <c r="B2656" s="633" t="s">
        <v>37157</v>
      </c>
      <c r="C2656" s="715" t="s">
        <v>103</v>
      </c>
      <c r="D2656" s="715" t="s">
        <v>40839</v>
      </c>
      <c r="E2656" s="716">
        <v>54.68</v>
      </c>
    </row>
    <row r="2657" spans="1:5">
      <c r="A2657" s="715">
        <v>3846</v>
      </c>
      <c r="B2657" s="633" t="s">
        <v>37158</v>
      </c>
      <c r="C2657" s="715" t="s">
        <v>103</v>
      </c>
      <c r="D2657" s="715" t="s">
        <v>40839</v>
      </c>
      <c r="E2657" s="716">
        <v>16.43</v>
      </c>
    </row>
    <row r="2658" spans="1:5">
      <c r="A2658" s="715">
        <v>3886</v>
      </c>
      <c r="B2658" s="633" t="s">
        <v>37159</v>
      </c>
      <c r="C2658" s="715" t="s">
        <v>103</v>
      </c>
      <c r="D2658" s="715" t="s">
        <v>40839</v>
      </c>
      <c r="E2658" s="716">
        <v>21.81</v>
      </c>
    </row>
    <row r="2659" spans="1:5">
      <c r="A2659" s="715">
        <v>3854</v>
      </c>
      <c r="B2659" s="633" t="s">
        <v>37160</v>
      </c>
      <c r="C2659" s="715" t="s">
        <v>103</v>
      </c>
      <c r="D2659" s="715" t="s">
        <v>40839</v>
      </c>
      <c r="E2659" s="716">
        <v>12.43</v>
      </c>
    </row>
    <row r="2660" spans="1:5">
      <c r="A2660" s="715">
        <v>3873</v>
      </c>
      <c r="B2660" s="633" t="s">
        <v>37161</v>
      </c>
      <c r="C2660" s="715" t="s">
        <v>103</v>
      </c>
      <c r="D2660" s="715" t="s">
        <v>40839</v>
      </c>
      <c r="E2660" s="716">
        <v>14.47</v>
      </c>
    </row>
    <row r="2661" spans="1:5">
      <c r="A2661" s="715">
        <v>38021</v>
      </c>
      <c r="B2661" s="633" t="s">
        <v>37162</v>
      </c>
      <c r="C2661" s="715" t="s">
        <v>103</v>
      </c>
      <c r="D2661" s="715" t="s">
        <v>40839</v>
      </c>
      <c r="E2661" s="716">
        <v>25.69</v>
      </c>
    </row>
    <row r="2662" spans="1:5">
      <c r="A2662" s="715">
        <v>43838</v>
      </c>
      <c r="B2662" s="633" t="s">
        <v>37163</v>
      </c>
      <c r="C2662" s="715" t="s">
        <v>103</v>
      </c>
      <c r="D2662" s="715" t="s">
        <v>40839</v>
      </c>
      <c r="E2662" s="716">
        <v>33.21</v>
      </c>
    </row>
    <row r="2663" spans="1:5">
      <c r="A2663" s="715">
        <v>3847</v>
      </c>
      <c r="B2663" s="633" t="s">
        <v>37164</v>
      </c>
      <c r="C2663" s="715" t="s">
        <v>103</v>
      </c>
      <c r="D2663" s="715" t="s">
        <v>40839</v>
      </c>
      <c r="E2663" s="716">
        <v>33.49</v>
      </c>
    </row>
    <row r="2664" spans="1:5">
      <c r="A2664" s="715">
        <v>38022</v>
      </c>
      <c r="B2664" s="633" t="s">
        <v>37165</v>
      </c>
      <c r="C2664" s="715" t="s">
        <v>103</v>
      </c>
      <c r="D2664" s="715" t="s">
        <v>40839</v>
      </c>
      <c r="E2664" s="716">
        <v>46.03</v>
      </c>
    </row>
    <row r="2665" spans="1:5">
      <c r="A2665" s="715">
        <v>3826</v>
      </c>
      <c r="B2665" s="633" t="s">
        <v>37166</v>
      </c>
      <c r="C2665" s="715" t="s">
        <v>103</v>
      </c>
      <c r="D2665" s="715" t="s">
        <v>40839</v>
      </c>
      <c r="E2665" s="716">
        <v>64.150000000000006</v>
      </c>
    </row>
    <row r="2666" spans="1:5">
      <c r="A2666" s="715">
        <v>3825</v>
      </c>
      <c r="B2666" s="633" t="s">
        <v>37167</v>
      </c>
      <c r="C2666" s="715" t="s">
        <v>103</v>
      </c>
      <c r="D2666" s="715" t="s">
        <v>40839</v>
      </c>
      <c r="E2666" s="716">
        <v>18.45</v>
      </c>
    </row>
    <row r="2667" spans="1:5">
      <c r="A2667" s="715">
        <v>3827</v>
      </c>
      <c r="B2667" s="633" t="s">
        <v>37168</v>
      </c>
      <c r="C2667" s="715" t="s">
        <v>103</v>
      </c>
      <c r="D2667" s="715" t="s">
        <v>40839</v>
      </c>
      <c r="E2667" s="716">
        <v>40.31</v>
      </c>
    </row>
    <row r="2668" spans="1:5">
      <c r="A2668" s="715">
        <v>3830</v>
      </c>
      <c r="B2668" s="633" t="s">
        <v>37169</v>
      </c>
      <c r="C2668" s="715" t="s">
        <v>103</v>
      </c>
      <c r="D2668" s="715" t="s">
        <v>40839</v>
      </c>
      <c r="E2668" s="716">
        <v>237.68</v>
      </c>
    </row>
    <row r="2669" spans="1:5">
      <c r="A2669" s="715">
        <v>37981</v>
      </c>
      <c r="B2669" s="633" t="s">
        <v>37170</v>
      </c>
      <c r="C2669" s="715" t="s">
        <v>103</v>
      </c>
      <c r="D2669" s="715" t="s">
        <v>40839</v>
      </c>
      <c r="E2669" s="716">
        <v>7.24</v>
      </c>
    </row>
    <row r="2670" spans="1:5">
      <c r="A2670" s="715">
        <v>37982</v>
      </c>
      <c r="B2670" s="633" t="s">
        <v>37171</v>
      </c>
      <c r="C2670" s="715" t="s">
        <v>103</v>
      </c>
      <c r="D2670" s="715" t="s">
        <v>40839</v>
      </c>
      <c r="E2670" s="716">
        <v>10.51</v>
      </c>
    </row>
    <row r="2671" spans="1:5">
      <c r="A2671" s="715">
        <v>37983</v>
      </c>
      <c r="B2671" s="633" t="s">
        <v>37172</v>
      </c>
      <c r="C2671" s="715" t="s">
        <v>103</v>
      </c>
      <c r="D2671" s="715" t="s">
        <v>40839</v>
      </c>
      <c r="E2671" s="716">
        <v>15.54</v>
      </c>
    </row>
    <row r="2672" spans="1:5">
      <c r="A2672" s="715">
        <v>37984</v>
      </c>
      <c r="B2672" s="633" t="s">
        <v>37173</v>
      </c>
      <c r="C2672" s="715" t="s">
        <v>103</v>
      </c>
      <c r="D2672" s="715" t="s">
        <v>40839</v>
      </c>
      <c r="E2672" s="716">
        <v>21.83</v>
      </c>
    </row>
    <row r="2673" spans="1:5">
      <c r="A2673" s="715">
        <v>37985</v>
      </c>
      <c r="B2673" s="633" t="s">
        <v>37174</v>
      </c>
      <c r="C2673" s="715" t="s">
        <v>103</v>
      </c>
      <c r="D2673" s="715" t="s">
        <v>40839</v>
      </c>
      <c r="E2673" s="716">
        <v>31.02</v>
      </c>
    </row>
    <row r="2674" spans="1:5">
      <c r="A2674" s="715">
        <v>20165</v>
      </c>
      <c r="B2674" s="633" t="s">
        <v>37175</v>
      </c>
      <c r="C2674" s="715" t="s">
        <v>103</v>
      </c>
      <c r="D2674" s="715" t="s">
        <v>40839</v>
      </c>
      <c r="E2674" s="716">
        <v>29.46</v>
      </c>
    </row>
    <row r="2675" spans="1:5">
      <c r="A2675" s="715">
        <v>20166</v>
      </c>
      <c r="B2675" s="633" t="s">
        <v>37176</v>
      </c>
      <c r="C2675" s="715" t="s">
        <v>103</v>
      </c>
      <c r="D2675" s="715" t="s">
        <v>40839</v>
      </c>
      <c r="E2675" s="716">
        <v>89.99</v>
      </c>
    </row>
    <row r="2676" spans="1:5">
      <c r="A2676" s="715">
        <v>20164</v>
      </c>
      <c r="B2676" s="633" t="s">
        <v>37177</v>
      </c>
      <c r="C2676" s="715" t="s">
        <v>103</v>
      </c>
      <c r="D2676" s="715" t="s">
        <v>40839</v>
      </c>
      <c r="E2676" s="716">
        <v>14.15</v>
      </c>
    </row>
    <row r="2677" spans="1:5">
      <c r="A2677" s="715">
        <v>3893</v>
      </c>
      <c r="B2677" s="633" t="s">
        <v>37178</v>
      </c>
      <c r="C2677" s="715" t="s">
        <v>103</v>
      </c>
      <c r="D2677" s="715" t="s">
        <v>40839</v>
      </c>
      <c r="E2677" s="716">
        <v>22.19</v>
      </c>
    </row>
    <row r="2678" spans="1:5">
      <c r="A2678" s="715">
        <v>3848</v>
      </c>
      <c r="B2678" s="633" t="s">
        <v>37179</v>
      </c>
      <c r="C2678" s="715" t="s">
        <v>103</v>
      </c>
      <c r="D2678" s="715" t="s">
        <v>40839</v>
      </c>
      <c r="E2678" s="716">
        <v>13.53</v>
      </c>
    </row>
    <row r="2679" spans="1:5">
      <c r="A2679" s="715">
        <v>3895</v>
      </c>
      <c r="B2679" s="633" t="s">
        <v>37180</v>
      </c>
      <c r="C2679" s="715" t="s">
        <v>103</v>
      </c>
      <c r="D2679" s="715" t="s">
        <v>40839</v>
      </c>
      <c r="E2679" s="716">
        <v>15.02</v>
      </c>
    </row>
    <row r="2680" spans="1:5">
      <c r="A2680" s="715">
        <v>12404</v>
      </c>
      <c r="B2680" s="633" t="s">
        <v>37181</v>
      </c>
      <c r="C2680" s="715" t="s">
        <v>103</v>
      </c>
      <c r="D2680" s="715" t="s">
        <v>40839</v>
      </c>
      <c r="E2680" s="716">
        <v>11.6</v>
      </c>
    </row>
    <row r="2681" spans="1:5">
      <c r="A2681" s="715">
        <v>3939</v>
      </c>
      <c r="B2681" s="633" t="s">
        <v>37182</v>
      </c>
      <c r="C2681" s="715" t="s">
        <v>103</v>
      </c>
      <c r="D2681" s="715" t="s">
        <v>40839</v>
      </c>
      <c r="E2681" s="716">
        <v>23.91</v>
      </c>
    </row>
    <row r="2682" spans="1:5">
      <c r="A2682" s="715">
        <v>3911</v>
      </c>
      <c r="B2682" s="633" t="s">
        <v>37183</v>
      </c>
      <c r="C2682" s="715" t="s">
        <v>103</v>
      </c>
      <c r="D2682" s="715" t="s">
        <v>40839</v>
      </c>
      <c r="E2682" s="716">
        <v>19.53</v>
      </c>
    </row>
    <row r="2683" spans="1:5">
      <c r="A2683" s="715">
        <v>3910</v>
      </c>
      <c r="B2683" s="633" t="s">
        <v>37184</v>
      </c>
      <c r="C2683" s="715" t="s">
        <v>103</v>
      </c>
      <c r="D2683" s="715" t="s">
        <v>40839</v>
      </c>
      <c r="E2683" s="716">
        <v>13.97</v>
      </c>
    </row>
    <row r="2684" spans="1:5">
      <c r="A2684" s="715">
        <v>3908</v>
      </c>
      <c r="B2684" s="633" t="s">
        <v>37185</v>
      </c>
      <c r="C2684" s="715" t="s">
        <v>103</v>
      </c>
      <c r="D2684" s="715" t="s">
        <v>40839</v>
      </c>
      <c r="E2684" s="716">
        <v>6.31</v>
      </c>
    </row>
    <row r="2685" spans="1:5">
      <c r="A2685" s="715">
        <v>3913</v>
      </c>
      <c r="B2685" s="633" t="s">
        <v>37186</v>
      </c>
      <c r="C2685" s="715" t="s">
        <v>103</v>
      </c>
      <c r="D2685" s="715" t="s">
        <v>40839</v>
      </c>
      <c r="E2685" s="716">
        <v>66.790000000000006</v>
      </c>
    </row>
    <row r="2686" spans="1:5">
      <c r="A2686" s="715">
        <v>3912</v>
      </c>
      <c r="B2686" s="633" t="s">
        <v>37187</v>
      </c>
      <c r="C2686" s="715" t="s">
        <v>103</v>
      </c>
      <c r="D2686" s="715" t="s">
        <v>40839</v>
      </c>
      <c r="E2686" s="716">
        <v>36.61</v>
      </c>
    </row>
    <row r="2687" spans="1:5">
      <c r="A2687" s="715">
        <v>3914</v>
      </c>
      <c r="B2687" s="633" t="s">
        <v>37188</v>
      </c>
      <c r="C2687" s="715" t="s">
        <v>103</v>
      </c>
      <c r="D2687" s="715" t="s">
        <v>40839</v>
      </c>
      <c r="E2687" s="716">
        <v>100.76</v>
      </c>
    </row>
    <row r="2688" spans="1:5">
      <c r="A2688" s="715">
        <v>3909</v>
      </c>
      <c r="B2688" s="633" t="s">
        <v>37189</v>
      </c>
      <c r="C2688" s="715" t="s">
        <v>103</v>
      </c>
      <c r="D2688" s="715" t="s">
        <v>40839</v>
      </c>
      <c r="E2688" s="716">
        <v>8.59</v>
      </c>
    </row>
    <row r="2689" spans="1:5">
      <c r="A2689" s="715">
        <v>3915</v>
      </c>
      <c r="B2689" s="633" t="s">
        <v>37190</v>
      </c>
      <c r="C2689" s="715" t="s">
        <v>103</v>
      </c>
      <c r="D2689" s="715" t="s">
        <v>40839</v>
      </c>
      <c r="E2689" s="716">
        <v>158.9</v>
      </c>
    </row>
    <row r="2690" spans="1:5">
      <c r="A2690" s="715">
        <v>3916</v>
      </c>
      <c r="B2690" s="633" t="s">
        <v>37191</v>
      </c>
      <c r="C2690" s="715" t="s">
        <v>103</v>
      </c>
      <c r="D2690" s="715" t="s">
        <v>40839</v>
      </c>
      <c r="E2690" s="716">
        <v>289.48</v>
      </c>
    </row>
    <row r="2691" spans="1:5">
      <c r="A2691" s="715">
        <v>3917</v>
      </c>
      <c r="B2691" s="633" t="s">
        <v>37192</v>
      </c>
      <c r="C2691" s="715" t="s">
        <v>103</v>
      </c>
      <c r="D2691" s="715" t="s">
        <v>40839</v>
      </c>
      <c r="E2691" s="716">
        <v>477.46</v>
      </c>
    </row>
    <row r="2692" spans="1:5">
      <c r="A2692" s="715">
        <v>45266</v>
      </c>
      <c r="B2692" s="633" t="s">
        <v>41032</v>
      </c>
      <c r="C2692" s="715" t="s">
        <v>525</v>
      </c>
      <c r="D2692" s="715" t="s">
        <v>40839</v>
      </c>
      <c r="E2692" s="716">
        <v>3.2</v>
      </c>
    </row>
    <row r="2693" spans="1:5">
      <c r="A2693" s="715">
        <v>1904</v>
      </c>
      <c r="B2693" s="633" t="s">
        <v>37193</v>
      </c>
      <c r="C2693" s="715" t="s">
        <v>103</v>
      </c>
      <c r="D2693" s="715" t="s">
        <v>40839</v>
      </c>
      <c r="E2693" s="716">
        <v>0.8</v>
      </c>
    </row>
    <row r="2694" spans="1:5">
      <c r="A2694" s="715">
        <v>1899</v>
      </c>
      <c r="B2694" s="633" t="s">
        <v>37194</v>
      </c>
      <c r="C2694" s="715" t="s">
        <v>103</v>
      </c>
      <c r="D2694" s="715" t="s">
        <v>40839</v>
      </c>
      <c r="E2694" s="716">
        <v>0.91</v>
      </c>
    </row>
    <row r="2695" spans="1:5">
      <c r="A2695" s="715">
        <v>1900</v>
      </c>
      <c r="B2695" s="633" t="s">
        <v>37195</v>
      </c>
      <c r="C2695" s="715" t="s">
        <v>103</v>
      </c>
      <c r="D2695" s="715" t="s">
        <v>40839</v>
      </c>
      <c r="E2695" s="716">
        <v>1.47</v>
      </c>
    </row>
    <row r="2696" spans="1:5" ht="29">
      <c r="A2696" s="715">
        <v>12407</v>
      </c>
      <c r="B2696" s="633" t="s">
        <v>37196</v>
      </c>
      <c r="C2696" s="715" t="s">
        <v>103</v>
      </c>
      <c r="D2696" s="715" t="s">
        <v>40839</v>
      </c>
      <c r="E2696" s="716">
        <v>36.15</v>
      </c>
    </row>
    <row r="2697" spans="1:5" ht="29">
      <c r="A2697" s="715">
        <v>12408</v>
      </c>
      <c r="B2697" s="633" t="s">
        <v>37197</v>
      </c>
      <c r="C2697" s="715" t="s">
        <v>103</v>
      </c>
      <c r="D2697" s="715" t="s">
        <v>40839</v>
      </c>
      <c r="E2697" s="716">
        <v>20.399999999999999</v>
      </c>
    </row>
    <row r="2698" spans="1:5" ht="29">
      <c r="A2698" s="715">
        <v>12409</v>
      </c>
      <c r="B2698" s="633" t="s">
        <v>37198</v>
      </c>
      <c r="C2698" s="715" t="s">
        <v>103</v>
      </c>
      <c r="D2698" s="715" t="s">
        <v>40839</v>
      </c>
      <c r="E2698" s="716">
        <v>20.399999999999999</v>
      </c>
    </row>
    <row r="2699" spans="1:5" ht="29">
      <c r="A2699" s="715">
        <v>12410</v>
      </c>
      <c r="B2699" s="633" t="s">
        <v>37199</v>
      </c>
      <c r="C2699" s="715" t="s">
        <v>103</v>
      </c>
      <c r="D2699" s="715" t="s">
        <v>40839</v>
      </c>
      <c r="E2699" s="716">
        <v>14.05</v>
      </c>
    </row>
    <row r="2700" spans="1:5">
      <c r="A2700" s="715">
        <v>3936</v>
      </c>
      <c r="B2700" s="633" t="s">
        <v>37200</v>
      </c>
      <c r="C2700" s="715" t="s">
        <v>103</v>
      </c>
      <c r="D2700" s="715" t="s">
        <v>40839</v>
      </c>
      <c r="E2700" s="716">
        <v>25.39</v>
      </c>
    </row>
    <row r="2701" spans="1:5">
      <c r="A2701" s="715">
        <v>3924</v>
      </c>
      <c r="B2701" s="633" t="s">
        <v>37201</v>
      </c>
      <c r="C2701" s="715" t="s">
        <v>103</v>
      </c>
      <c r="D2701" s="715" t="s">
        <v>40839</v>
      </c>
      <c r="E2701" s="716">
        <v>25.39</v>
      </c>
    </row>
    <row r="2702" spans="1:5">
      <c r="A2702" s="715">
        <v>3922</v>
      </c>
      <c r="B2702" s="633" t="s">
        <v>37202</v>
      </c>
      <c r="C2702" s="715" t="s">
        <v>103</v>
      </c>
      <c r="D2702" s="715" t="s">
        <v>40839</v>
      </c>
      <c r="E2702" s="716">
        <v>23.36</v>
      </c>
    </row>
    <row r="2703" spans="1:5">
      <c r="A2703" s="715">
        <v>3923</v>
      </c>
      <c r="B2703" s="633" t="s">
        <v>37203</v>
      </c>
      <c r="C2703" s="715" t="s">
        <v>103</v>
      </c>
      <c r="D2703" s="715" t="s">
        <v>40839</v>
      </c>
      <c r="E2703" s="716">
        <v>25.39</v>
      </c>
    </row>
    <row r="2704" spans="1:5">
      <c r="A2704" s="715">
        <v>3921</v>
      </c>
      <c r="B2704" s="633" t="s">
        <v>37204</v>
      </c>
      <c r="C2704" s="715" t="s">
        <v>103</v>
      </c>
      <c r="D2704" s="715" t="s">
        <v>40839</v>
      </c>
      <c r="E2704" s="716">
        <v>20.96</v>
      </c>
    </row>
    <row r="2705" spans="1:5">
      <c r="A2705" s="715">
        <v>3937</v>
      </c>
      <c r="B2705" s="633" t="s">
        <v>37205</v>
      </c>
      <c r="C2705" s="715" t="s">
        <v>103</v>
      </c>
      <c r="D2705" s="715" t="s">
        <v>40839</v>
      </c>
      <c r="E2705" s="716">
        <v>20.95</v>
      </c>
    </row>
    <row r="2706" spans="1:5">
      <c r="A2706" s="715">
        <v>3920</v>
      </c>
      <c r="B2706" s="633" t="s">
        <v>37206</v>
      </c>
      <c r="C2706" s="715" t="s">
        <v>103</v>
      </c>
      <c r="D2706" s="715" t="s">
        <v>40839</v>
      </c>
      <c r="E2706" s="716">
        <v>20.95</v>
      </c>
    </row>
    <row r="2707" spans="1:5">
      <c r="A2707" s="715">
        <v>3938</v>
      </c>
      <c r="B2707" s="633" t="s">
        <v>37207</v>
      </c>
      <c r="C2707" s="715" t="s">
        <v>103</v>
      </c>
      <c r="D2707" s="715" t="s">
        <v>40839</v>
      </c>
      <c r="E2707" s="716">
        <v>13.81</v>
      </c>
    </row>
    <row r="2708" spans="1:5">
      <c r="A2708" s="715">
        <v>3919</v>
      </c>
      <c r="B2708" s="633" t="s">
        <v>37208</v>
      </c>
      <c r="C2708" s="715" t="s">
        <v>103</v>
      </c>
      <c r="D2708" s="715" t="s">
        <v>40839</v>
      </c>
      <c r="E2708" s="716">
        <v>14.08</v>
      </c>
    </row>
    <row r="2709" spans="1:5">
      <c r="A2709" s="715">
        <v>3927</v>
      </c>
      <c r="B2709" s="633" t="s">
        <v>37209</v>
      </c>
      <c r="C2709" s="715" t="s">
        <v>103</v>
      </c>
      <c r="D2709" s="715" t="s">
        <v>40839</v>
      </c>
      <c r="E2709" s="716">
        <v>71.319999999999993</v>
      </c>
    </row>
    <row r="2710" spans="1:5">
      <c r="A2710" s="715">
        <v>3928</v>
      </c>
      <c r="B2710" s="633" t="s">
        <v>37210</v>
      </c>
      <c r="C2710" s="715" t="s">
        <v>103</v>
      </c>
      <c r="D2710" s="715" t="s">
        <v>40839</v>
      </c>
      <c r="E2710" s="716">
        <v>71.319999999999993</v>
      </c>
    </row>
    <row r="2711" spans="1:5">
      <c r="A2711" s="715">
        <v>3926</v>
      </c>
      <c r="B2711" s="633" t="s">
        <v>37211</v>
      </c>
      <c r="C2711" s="715" t="s">
        <v>103</v>
      </c>
      <c r="D2711" s="715" t="s">
        <v>40839</v>
      </c>
      <c r="E2711" s="716">
        <v>40.659999999999997</v>
      </c>
    </row>
    <row r="2712" spans="1:5">
      <c r="A2712" s="715">
        <v>3935</v>
      </c>
      <c r="B2712" s="633" t="s">
        <v>37212</v>
      </c>
      <c r="C2712" s="715" t="s">
        <v>103</v>
      </c>
      <c r="D2712" s="715" t="s">
        <v>40839</v>
      </c>
      <c r="E2712" s="716">
        <v>40.659999999999997</v>
      </c>
    </row>
    <row r="2713" spans="1:5">
      <c r="A2713" s="715">
        <v>3925</v>
      </c>
      <c r="B2713" s="633" t="s">
        <v>37213</v>
      </c>
      <c r="C2713" s="715" t="s">
        <v>103</v>
      </c>
      <c r="D2713" s="715" t="s">
        <v>40839</v>
      </c>
      <c r="E2713" s="716">
        <v>40.659999999999997</v>
      </c>
    </row>
    <row r="2714" spans="1:5">
      <c r="A2714" s="715">
        <v>3929</v>
      </c>
      <c r="B2714" s="633" t="s">
        <v>37214</v>
      </c>
      <c r="C2714" s="715" t="s">
        <v>103</v>
      </c>
      <c r="D2714" s="715" t="s">
        <v>40839</v>
      </c>
      <c r="E2714" s="716">
        <v>108.66</v>
      </c>
    </row>
    <row r="2715" spans="1:5">
      <c r="A2715" s="715">
        <v>3931</v>
      </c>
      <c r="B2715" s="633" t="s">
        <v>37215</v>
      </c>
      <c r="C2715" s="715" t="s">
        <v>103</v>
      </c>
      <c r="D2715" s="715" t="s">
        <v>40839</v>
      </c>
      <c r="E2715" s="716">
        <v>108.66</v>
      </c>
    </row>
    <row r="2716" spans="1:5">
      <c r="A2716" s="715">
        <v>3930</v>
      </c>
      <c r="B2716" s="633" t="s">
        <v>37216</v>
      </c>
      <c r="C2716" s="715" t="s">
        <v>103</v>
      </c>
      <c r="D2716" s="715" t="s">
        <v>40839</v>
      </c>
      <c r="E2716" s="716">
        <v>108.66</v>
      </c>
    </row>
    <row r="2717" spans="1:5">
      <c r="A2717" s="715">
        <v>12406</v>
      </c>
      <c r="B2717" s="633" t="s">
        <v>37217</v>
      </c>
      <c r="C2717" s="715" t="s">
        <v>103</v>
      </c>
      <c r="D2717" s="715" t="s">
        <v>40839</v>
      </c>
      <c r="E2717" s="716">
        <v>9.98</v>
      </c>
    </row>
    <row r="2718" spans="1:5">
      <c r="A2718" s="715">
        <v>3932</v>
      </c>
      <c r="B2718" s="633" t="s">
        <v>37218</v>
      </c>
      <c r="C2718" s="715" t="s">
        <v>103</v>
      </c>
      <c r="D2718" s="715" t="s">
        <v>40839</v>
      </c>
      <c r="E2718" s="716">
        <v>187.63</v>
      </c>
    </row>
    <row r="2719" spans="1:5">
      <c r="A2719" s="715">
        <v>3933</v>
      </c>
      <c r="B2719" s="633" t="s">
        <v>37219</v>
      </c>
      <c r="C2719" s="715" t="s">
        <v>103</v>
      </c>
      <c r="D2719" s="715" t="s">
        <v>40839</v>
      </c>
      <c r="E2719" s="716">
        <v>187.63</v>
      </c>
    </row>
    <row r="2720" spans="1:5">
      <c r="A2720" s="715">
        <v>3934</v>
      </c>
      <c r="B2720" s="633" t="s">
        <v>37220</v>
      </c>
      <c r="C2720" s="715" t="s">
        <v>103</v>
      </c>
      <c r="D2720" s="715" t="s">
        <v>40839</v>
      </c>
      <c r="E2720" s="716">
        <v>187.63</v>
      </c>
    </row>
    <row r="2721" spans="1:5" ht="29">
      <c r="A2721" s="715">
        <v>40355</v>
      </c>
      <c r="B2721" s="633" t="s">
        <v>37221</v>
      </c>
      <c r="C2721" s="715" t="s">
        <v>103</v>
      </c>
      <c r="D2721" s="715" t="s">
        <v>40839</v>
      </c>
      <c r="E2721" s="716">
        <v>12.38</v>
      </c>
    </row>
    <row r="2722" spans="1:5" ht="29">
      <c r="A2722" s="715">
        <v>40364</v>
      </c>
      <c r="B2722" s="633" t="s">
        <v>37222</v>
      </c>
      <c r="C2722" s="715" t="s">
        <v>103</v>
      </c>
      <c r="D2722" s="715" t="s">
        <v>40839</v>
      </c>
      <c r="E2722" s="716">
        <v>57.98</v>
      </c>
    </row>
    <row r="2723" spans="1:5" ht="29">
      <c r="A2723" s="715">
        <v>40361</v>
      </c>
      <c r="B2723" s="633" t="s">
        <v>37223</v>
      </c>
      <c r="C2723" s="715" t="s">
        <v>103</v>
      </c>
      <c r="D2723" s="715" t="s">
        <v>40839</v>
      </c>
      <c r="E2723" s="716">
        <v>45.33</v>
      </c>
    </row>
    <row r="2724" spans="1:5" ht="29">
      <c r="A2724" s="715">
        <v>40358</v>
      </c>
      <c r="B2724" s="633" t="s">
        <v>37224</v>
      </c>
      <c r="C2724" s="715" t="s">
        <v>103</v>
      </c>
      <c r="D2724" s="715" t="s">
        <v>40839</v>
      </c>
      <c r="E2724" s="716">
        <v>17.28</v>
      </c>
    </row>
    <row r="2725" spans="1:5" ht="29">
      <c r="A2725" s="715">
        <v>40370</v>
      </c>
      <c r="B2725" s="633" t="s">
        <v>37225</v>
      </c>
      <c r="C2725" s="715" t="s">
        <v>103</v>
      </c>
      <c r="D2725" s="715" t="s">
        <v>40839</v>
      </c>
      <c r="E2725" s="716">
        <v>183.97</v>
      </c>
    </row>
    <row r="2726" spans="1:5" ht="29">
      <c r="A2726" s="715">
        <v>40367</v>
      </c>
      <c r="B2726" s="633" t="s">
        <v>37226</v>
      </c>
      <c r="C2726" s="715" t="s">
        <v>103</v>
      </c>
      <c r="D2726" s="715" t="s">
        <v>40839</v>
      </c>
      <c r="E2726" s="716">
        <v>91.44</v>
      </c>
    </row>
    <row r="2727" spans="1:5" ht="29">
      <c r="A2727" s="715">
        <v>40373</v>
      </c>
      <c r="B2727" s="633" t="s">
        <v>37227</v>
      </c>
      <c r="C2727" s="715" t="s">
        <v>103</v>
      </c>
      <c r="D2727" s="715" t="s">
        <v>40839</v>
      </c>
      <c r="E2727" s="716">
        <v>248.77</v>
      </c>
    </row>
    <row r="2728" spans="1:5">
      <c r="A2728" s="715">
        <v>3907</v>
      </c>
      <c r="B2728" s="633" t="s">
        <v>37228</v>
      </c>
      <c r="C2728" s="715" t="s">
        <v>103</v>
      </c>
      <c r="D2728" s="715" t="s">
        <v>40839</v>
      </c>
      <c r="E2728" s="716">
        <v>6.3</v>
      </c>
    </row>
    <row r="2729" spans="1:5">
      <c r="A2729" s="715">
        <v>3889</v>
      </c>
      <c r="B2729" s="633" t="s">
        <v>37229</v>
      </c>
      <c r="C2729" s="715" t="s">
        <v>103</v>
      </c>
      <c r="D2729" s="715" t="s">
        <v>40839</v>
      </c>
      <c r="E2729" s="716">
        <v>4.4800000000000004</v>
      </c>
    </row>
    <row r="2730" spans="1:5">
      <c r="A2730" s="715">
        <v>3868</v>
      </c>
      <c r="B2730" s="633" t="s">
        <v>37230</v>
      </c>
      <c r="C2730" s="715" t="s">
        <v>103</v>
      </c>
      <c r="D2730" s="715" t="s">
        <v>40839</v>
      </c>
      <c r="E2730" s="716">
        <v>1.64</v>
      </c>
    </row>
    <row r="2731" spans="1:5">
      <c r="A2731" s="715">
        <v>3869</v>
      </c>
      <c r="B2731" s="633" t="s">
        <v>37231</v>
      </c>
      <c r="C2731" s="715" t="s">
        <v>103</v>
      </c>
      <c r="D2731" s="715" t="s">
        <v>40839</v>
      </c>
      <c r="E2731" s="716">
        <v>3.64</v>
      </c>
    </row>
    <row r="2732" spans="1:5">
      <c r="A2732" s="715">
        <v>3872</v>
      </c>
      <c r="B2732" s="633" t="s">
        <v>37232</v>
      </c>
      <c r="C2732" s="715" t="s">
        <v>103</v>
      </c>
      <c r="D2732" s="715" t="s">
        <v>40839</v>
      </c>
      <c r="E2732" s="716">
        <v>6.21</v>
      </c>
    </row>
    <row r="2733" spans="1:5">
      <c r="A2733" s="715">
        <v>3850</v>
      </c>
      <c r="B2733" s="633" t="s">
        <v>37233</v>
      </c>
      <c r="C2733" s="715" t="s">
        <v>103</v>
      </c>
      <c r="D2733" s="715" t="s">
        <v>40839</v>
      </c>
      <c r="E2733" s="716">
        <v>14.34</v>
      </c>
    </row>
    <row r="2734" spans="1:5">
      <c r="A2734" s="715">
        <v>38023</v>
      </c>
      <c r="B2734" s="633" t="s">
        <v>37234</v>
      </c>
      <c r="C2734" s="715" t="s">
        <v>103</v>
      </c>
      <c r="D2734" s="715" t="s">
        <v>40839</v>
      </c>
      <c r="E2734" s="716">
        <v>7.3</v>
      </c>
    </row>
    <row r="2735" spans="1:5">
      <c r="A2735" s="715">
        <v>37986</v>
      </c>
      <c r="B2735" s="633" t="s">
        <v>37235</v>
      </c>
      <c r="C2735" s="715" t="s">
        <v>103</v>
      </c>
      <c r="D2735" s="715" t="s">
        <v>40839</v>
      </c>
      <c r="E2735" s="716">
        <v>2.4700000000000002</v>
      </c>
    </row>
    <row r="2736" spans="1:5">
      <c r="A2736" s="715">
        <v>21120</v>
      </c>
      <c r="B2736" s="633" t="s">
        <v>37236</v>
      </c>
      <c r="C2736" s="715" t="s">
        <v>103</v>
      </c>
      <c r="D2736" s="715" t="s">
        <v>40839</v>
      </c>
      <c r="E2736" s="716">
        <v>12.62</v>
      </c>
    </row>
    <row r="2737" spans="1:5">
      <c r="A2737" s="715">
        <v>39318</v>
      </c>
      <c r="B2737" s="633" t="s">
        <v>37237</v>
      </c>
      <c r="C2737" s="715" t="s">
        <v>103</v>
      </c>
      <c r="D2737" s="715" t="s">
        <v>40839</v>
      </c>
      <c r="E2737" s="716">
        <v>11.73</v>
      </c>
    </row>
    <row r="2738" spans="1:5">
      <c r="A2738" s="715">
        <v>37987</v>
      </c>
      <c r="B2738" s="633" t="s">
        <v>37238</v>
      </c>
      <c r="C2738" s="715" t="s">
        <v>103</v>
      </c>
      <c r="D2738" s="715" t="s">
        <v>40839</v>
      </c>
      <c r="E2738" s="716">
        <v>123.4</v>
      </c>
    </row>
    <row r="2739" spans="1:5">
      <c r="A2739" s="715">
        <v>37988</v>
      </c>
      <c r="B2739" s="633" t="s">
        <v>37239</v>
      </c>
      <c r="C2739" s="715" t="s">
        <v>103</v>
      </c>
      <c r="D2739" s="715" t="s">
        <v>40839</v>
      </c>
      <c r="E2739" s="716">
        <v>196.08</v>
      </c>
    </row>
    <row r="2740" spans="1:5">
      <c r="A2740" s="715">
        <v>40366</v>
      </c>
      <c r="B2740" s="633" t="s">
        <v>37240</v>
      </c>
      <c r="C2740" s="715" t="s">
        <v>103</v>
      </c>
      <c r="D2740" s="715" t="s">
        <v>40839</v>
      </c>
      <c r="E2740" s="716">
        <v>45.23</v>
      </c>
    </row>
    <row r="2741" spans="1:5">
      <c r="A2741" s="715">
        <v>40363</v>
      </c>
      <c r="B2741" s="633" t="s">
        <v>37241</v>
      </c>
      <c r="C2741" s="715" t="s">
        <v>103</v>
      </c>
      <c r="D2741" s="715" t="s">
        <v>40839</v>
      </c>
      <c r="E2741" s="716">
        <v>35.369999999999997</v>
      </c>
    </row>
    <row r="2742" spans="1:5">
      <c r="A2742" s="715">
        <v>40360</v>
      </c>
      <c r="B2742" s="633" t="s">
        <v>37242</v>
      </c>
      <c r="C2742" s="715" t="s">
        <v>103</v>
      </c>
      <c r="D2742" s="715" t="s">
        <v>40839</v>
      </c>
      <c r="E2742" s="716">
        <v>23.19</v>
      </c>
    </row>
    <row r="2743" spans="1:5">
      <c r="A2743" s="715">
        <v>40354</v>
      </c>
      <c r="B2743" s="633" t="s">
        <v>37243</v>
      </c>
      <c r="C2743" s="715" t="s">
        <v>103</v>
      </c>
      <c r="D2743" s="715" t="s">
        <v>28018</v>
      </c>
      <c r="E2743" s="716">
        <v>15.4</v>
      </c>
    </row>
    <row r="2744" spans="1:5">
      <c r="A2744" s="715">
        <v>40372</v>
      </c>
      <c r="B2744" s="633" t="s">
        <v>37244</v>
      </c>
      <c r="C2744" s="715" t="s">
        <v>103</v>
      </c>
      <c r="D2744" s="715" t="s">
        <v>40839</v>
      </c>
      <c r="E2744" s="716">
        <v>143.21</v>
      </c>
    </row>
    <row r="2745" spans="1:5">
      <c r="A2745" s="715">
        <v>40369</v>
      </c>
      <c r="B2745" s="633" t="s">
        <v>37245</v>
      </c>
      <c r="C2745" s="715" t="s">
        <v>103</v>
      </c>
      <c r="D2745" s="715" t="s">
        <v>40839</v>
      </c>
      <c r="E2745" s="716">
        <v>71.27</v>
      </c>
    </row>
    <row r="2746" spans="1:5">
      <c r="A2746" s="715">
        <v>40375</v>
      </c>
      <c r="B2746" s="633" t="s">
        <v>37246</v>
      </c>
      <c r="C2746" s="715" t="s">
        <v>103</v>
      </c>
      <c r="D2746" s="715" t="s">
        <v>40839</v>
      </c>
      <c r="E2746" s="716">
        <v>193.86</v>
      </c>
    </row>
    <row r="2747" spans="1:5">
      <c r="A2747" s="715">
        <v>40357</v>
      </c>
      <c r="B2747" s="633" t="s">
        <v>37247</v>
      </c>
      <c r="C2747" s="715" t="s">
        <v>103</v>
      </c>
      <c r="D2747" s="715" t="s">
        <v>40839</v>
      </c>
      <c r="E2747" s="716">
        <v>17.28</v>
      </c>
    </row>
    <row r="2748" spans="1:5">
      <c r="A2748" s="715">
        <v>1893</v>
      </c>
      <c r="B2748" s="633" t="s">
        <v>37248</v>
      </c>
      <c r="C2748" s="715" t="s">
        <v>103</v>
      </c>
      <c r="D2748" s="715" t="s">
        <v>40839</v>
      </c>
      <c r="E2748" s="716">
        <v>3.02</v>
      </c>
    </row>
    <row r="2749" spans="1:5">
      <c r="A2749" s="715">
        <v>1902</v>
      </c>
      <c r="B2749" s="633" t="s">
        <v>37249</v>
      </c>
      <c r="C2749" s="715" t="s">
        <v>103</v>
      </c>
      <c r="D2749" s="715" t="s">
        <v>40839</v>
      </c>
      <c r="E2749" s="716">
        <v>2.2000000000000002</v>
      </c>
    </row>
    <row r="2750" spans="1:5">
      <c r="A2750" s="715">
        <v>1892</v>
      </c>
      <c r="B2750" s="633" t="s">
        <v>37250</v>
      </c>
      <c r="C2750" s="715" t="s">
        <v>103</v>
      </c>
      <c r="D2750" s="715" t="s">
        <v>40839</v>
      </c>
      <c r="E2750" s="716">
        <v>1.41</v>
      </c>
    </row>
    <row r="2751" spans="1:5">
      <c r="A2751" s="715">
        <v>1901</v>
      </c>
      <c r="B2751" s="633" t="s">
        <v>37251</v>
      </c>
      <c r="C2751" s="715" t="s">
        <v>103</v>
      </c>
      <c r="D2751" s="715" t="s">
        <v>40839</v>
      </c>
      <c r="E2751" s="716">
        <v>0.68</v>
      </c>
    </row>
    <row r="2752" spans="1:5">
      <c r="A2752" s="715">
        <v>1907</v>
      </c>
      <c r="B2752" s="633" t="s">
        <v>37252</v>
      </c>
      <c r="C2752" s="715" t="s">
        <v>103</v>
      </c>
      <c r="D2752" s="715" t="s">
        <v>40839</v>
      </c>
      <c r="E2752" s="716">
        <v>9.73</v>
      </c>
    </row>
    <row r="2753" spans="1:5">
      <c r="A2753" s="715">
        <v>1894</v>
      </c>
      <c r="B2753" s="633" t="s">
        <v>37253</v>
      </c>
      <c r="C2753" s="715" t="s">
        <v>103</v>
      </c>
      <c r="D2753" s="715" t="s">
        <v>40839</v>
      </c>
      <c r="E2753" s="716">
        <v>4.37</v>
      </c>
    </row>
    <row r="2754" spans="1:5">
      <c r="A2754" s="715">
        <v>1896</v>
      </c>
      <c r="B2754" s="633" t="s">
        <v>37254</v>
      </c>
      <c r="C2754" s="715" t="s">
        <v>103</v>
      </c>
      <c r="D2754" s="715" t="s">
        <v>40839</v>
      </c>
      <c r="E2754" s="716">
        <v>13.06</v>
      </c>
    </row>
    <row r="2755" spans="1:5">
      <c r="A2755" s="715">
        <v>1891</v>
      </c>
      <c r="B2755" s="633" t="s">
        <v>37255</v>
      </c>
      <c r="C2755" s="715" t="s">
        <v>103</v>
      </c>
      <c r="D2755" s="715" t="s">
        <v>40839</v>
      </c>
      <c r="E2755" s="716">
        <v>1.01</v>
      </c>
    </row>
    <row r="2756" spans="1:5">
      <c r="A2756" s="715">
        <v>1895</v>
      </c>
      <c r="B2756" s="633" t="s">
        <v>37256</v>
      </c>
      <c r="C2756" s="715" t="s">
        <v>103</v>
      </c>
      <c r="D2756" s="715" t="s">
        <v>40839</v>
      </c>
      <c r="E2756" s="716">
        <v>22.96</v>
      </c>
    </row>
    <row r="2757" spans="1:5" ht="29">
      <c r="A2757" s="715">
        <v>2641</v>
      </c>
      <c r="B2757" s="633" t="s">
        <v>37257</v>
      </c>
      <c r="C2757" s="715" t="s">
        <v>103</v>
      </c>
      <c r="D2757" s="715" t="s">
        <v>40839</v>
      </c>
      <c r="E2757" s="716">
        <v>25.58</v>
      </c>
    </row>
    <row r="2758" spans="1:5" ht="29">
      <c r="A2758" s="715">
        <v>2636</v>
      </c>
      <c r="B2758" s="633" t="s">
        <v>37258</v>
      </c>
      <c r="C2758" s="715" t="s">
        <v>103</v>
      </c>
      <c r="D2758" s="715" t="s">
        <v>40839</v>
      </c>
      <c r="E2758" s="716">
        <v>1.65</v>
      </c>
    </row>
    <row r="2759" spans="1:5" ht="29">
      <c r="A2759" s="715">
        <v>2637</v>
      </c>
      <c r="B2759" s="633" t="s">
        <v>37259</v>
      </c>
      <c r="C2759" s="715" t="s">
        <v>103</v>
      </c>
      <c r="D2759" s="715" t="s">
        <v>40839</v>
      </c>
      <c r="E2759" s="716">
        <v>1.75</v>
      </c>
    </row>
    <row r="2760" spans="1:5" ht="29">
      <c r="A2760" s="715">
        <v>2638</v>
      </c>
      <c r="B2760" s="633" t="s">
        <v>37260</v>
      </c>
      <c r="C2760" s="715" t="s">
        <v>103</v>
      </c>
      <c r="D2760" s="715" t="s">
        <v>40839</v>
      </c>
      <c r="E2760" s="716">
        <v>2.04</v>
      </c>
    </row>
    <row r="2761" spans="1:5" ht="29">
      <c r="A2761" s="715">
        <v>2639</v>
      </c>
      <c r="B2761" s="633" t="s">
        <v>37261</v>
      </c>
      <c r="C2761" s="715" t="s">
        <v>103</v>
      </c>
      <c r="D2761" s="715" t="s">
        <v>40839</v>
      </c>
      <c r="E2761" s="716">
        <v>3.61</v>
      </c>
    </row>
    <row r="2762" spans="1:5" ht="29">
      <c r="A2762" s="715">
        <v>2644</v>
      </c>
      <c r="B2762" s="633" t="s">
        <v>37262</v>
      </c>
      <c r="C2762" s="715" t="s">
        <v>103</v>
      </c>
      <c r="D2762" s="715" t="s">
        <v>40839</v>
      </c>
      <c r="E2762" s="716">
        <v>5.23</v>
      </c>
    </row>
    <row r="2763" spans="1:5" ht="29">
      <c r="A2763" s="715">
        <v>2640</v>
      </c>
      <c r="B2763" s="633" t="s">
        <v>37263</v>
      </c>
      <c r="C2763" s="715" t="s">
        <v>103</v>
      </c>
      <c r="D2763" s="715" t="s">
        <v>40839</v>
      </c>
      <c r="E2763" s="716">
        <v>10.65</v>
      </c>
    </row>
    <row r="2764" spans="1:5" ht="29">
      <c r="A2764" s="715">
        <v>2642</v>
      </c>
      <c r="B2764" s="633" t="s">
        <v>37264</v>
      </c>
      <c r="C2764" s="715" t="s">
        <v>103</v>
      </c>
      <c r="D2764" s="715" t="s">
        <v>40839</v>
      </c>
      <c r="E2764" s="716">
        <v>16.21</v>
      </c>
    </row>
    <row r="2765" spans="1:5" ht="29">
      <c r="A2765" s="715">
        <v>2643</v>
      </c>
      <c r="B2765" s="633" t="s">
        <v>37265</v>
      </c>
      <c r="C2765" s="715" t="s">
        <v>103</v>
      </c>
      <c r="D2765" s="715" t="s">
        <v>40839</v>
      </c>
      <c r="E2765" s="716">
        <v>7.29</v>
      </c>
    </row>
    <row r="2766" spans="1:5">
      <c r="A2766" s="715">
        <v>44281</v>
      </c>
      <c r="B2766" s="633" t="s">
        <v>37266</v>
      </c>
      <c r="C2766" s="715" t="s">
        <v>103</v>
      </c>
      <c r="D2766" s="715" t="s">
        <v>40839</v>
      </c>
      <c r="E2766" s="716">
        <v>272.33999999999997</v>
      </c>
    </row>
    <row r="2767" spans="1:5">
      <c r="A2767" s="715">
        <v>39855</v>
      </c>
      <c r="B2767" s="633" t="s">
        <v>37267</v>
      </c>
      <c r="C2767" s="715" t="s">
        <v>103</v>
      </c>
      <c r="D2767" s="715" t="s">
        <v>40839</v>
      </c>
      <c r="E2767" s="716">
        <v>3.08</v>
      </c>
    </row>
    <row r="2768" spans="1:5">
      <c r="A2768" s="715">
        <v>39856</v>
      </c>
      <c r="B2768" s="633" t="s">
        <v>37268</v>
      </c>
      <c r="C2768" s="715" t="s">
        <v>103</v>
      </c>
      <c r="D2768" s="715" t="s">
        <v>40839</v>
      </c>
      <c r="E2768" s="716">
        <v>7.26</v>
      </c>
    </row>
    <row r="2769" spans="1:5">
      <c r="A2769" s="715">
        <v>39857</v>
      </c>
      <c r="B2769" s="633" t="s">
        <v>37269</v>
      </c>
      <c r="C2769" s="715" t="s">
        <v>103</v>
      </c>
      <c r="D2769" s="715" t="s">
        <v>40839</v>
      </c>
      <c r="E2769" s="716">
        <v>11.76</v>
      </c>
    </row>
    <row r="2770" spans="1:5">
      <c r="A2770" s="715">
        <v>39858</v>
      </c>
      <c r="B2770" s="633" t="s">
        <v>37270</v>
      </c>
      <c r="C2770" s="715" t="s">
        <v>103</v>
      </c>
      <c r="D2770" s="715" t="s">
        <v>40839</v>
      </c>
      <c r="E2770" s="716">
        <v>26.09</v>
      </c>
    </row>
    <row r="2771" spans="1:5">
      <c r="A2771" s="715">
        <v>39859</v>
      </c>
      <c r="B2771" s="633" t="s">
        <v>37271</v>
      </c>
      <c r="C2771" s="715" t="s">
        <v>103</v>
      </c>
      <c r="D2771" s="715" t="s">
        <v>40839</v>
      </c>
      <c r="E2771" s="716">
        <v>40.22</v>
      </c>
    </row>
    <row r="2772" spans="1:5">
      <c r="A2772" s="715">
        <v>39860</v>
      </c>
      <c r="B2772" s="633" t="s">
        <v>37272</v>
      </c>
      <c r="C2772" s="715" t="s">
        <v>103</v>
      </c>
      <c r="D2772" s="715" t="s">
        <v>40839</v>
      </c>
      <c r="E2772" s="716">
        <v>61.72</v>
      </c>
    </row>
    <row r="2773" spans="1:5">
      <c r="A2773" s="715">
        <v>39861</v>
      </c>
      <c r="B2773" s="633" t="s">
        <v>37273</v>
      </c>
      <c r="C2773" s="715" t="s">
        <v>103</v>
      </c>
      <c r="D2773" s="715" t="s">
        <v>40839</v>
      </c>
      <c r="E2773" s="716">
        <v>176.21</v>
      </c>
    </row>
    <row r="2774" spans="1:5">
      <c r="A2774" s="715">
        <v>3867</v>
      </c>
      <c r="B2774" s="633" t="s">
        <v>37274</v>
      </c>
      <c r="C2774" s="715" t="s">
        <v>103</v>
      </c>
      <c r="D2774" s="715" t="s">
        <v>40839</v>
      </c>
      <c r="E2774" s="716">
        <v>87.32</v>
      </c>
    </row>
    <row r="2775" spans="1:5">
      <c r="A2775" s="715">
        <v>3861</v>
      </c>
      <c r="B2775" s="633" t="s">
        <v>37275</v>
      </c>
      <c r="C2775" s="715" t="s">
        <v>103</v>
      </c>
      <c r="D2775" s="715" t="s">
        <v>40839</v>
      </c>
      <c r="E2775" s="716">
        <v>0.9</v>
      </c>
    </row>
    <row r="2776" spans="1:5">
      <c r="A2776" s="715">
        <v>3904</v>
      </c>
      <c r="B2776" s="633" t="s">
        <v>37276</v>
      </c>
      <c r="C2776" s="715" t="s">
        <v>103</v>
      </c>
      <c r="D2776" s="715" t="s">
        <v>40839</v>
      </c>
      <c r="E2776" s="716">
        <v>0.96</v>
      </c>
    </row>
    <row r="2777" spans="1:5">
      <c r="A2777" s="715">
        <v>3903</v>
      </c>
      <c r="B2777" s="633" t="s">
        <v>37277</v>
      </c>
      <c r="C2777" s="715" t="s">
        <v>103</v>
      </c>
      <c r="D2777" s="715" t="s">
        <v>40839</v>
      </c>
      <c r="E2777" s="716">
        <v>2.34</v>
      </c>
    </row>
    <row r="2778" spans="1:5">
      <c r="A2778" s="715">
        <v>3862</v>
      </c>
      <c r="B2778" s="633" t="s">
        <v>37278</v>
      </c>
      <c r="C2778" s="715" t="s">
        <v>103</v>
      </c>
      <c r="D2778" s="715" t="s">
        <v>40839</v>
      </c>
      <c r="E2778" s="716">
        <v>4.99</v>
      </c>
    </row>
    <row r="2779" spans="1:5">
      <c r="A2779" s="715">
        <v>3863</v>
      </c>
      <c r="B2779" s="633" t="s">
        <v>37279</v>
      </c>
      <c r="C2779" s="715" t="s">
        <v>103</v>
      </c>
      <c r="D2779" s="715" t="s">
        <v>40839</v>
      </c>
      <c r="E2779" s="716">
        <v>5.1100000000000003</v>
      </c>
    </row>
    <row r="2780" spans="1:5">
      <c r="A2780" s="715">
        <v>3864</v>
      </c>
      <c r="B2780" s="633" t="s">
        <v>37280</v>
      </c>
      <c r="C2780" s="715" t="s">
        <v>103</v>
      </c>
      <c r="D2780" s="715" t="s">
        <v>40839</v>
      </c>
      <c r="E2780" s="716">
        <v>15.66</v>
      </c>
    </row>
    <row r="2781" spans="1:5">
      <c r="A2781" s="715">
        <v>3865</v>
      </c>
      <c r="B2781" s="633" t="s">
        <v>37281</v>
      </c>
      <c r="C2781" s="715" t="s">
        <v>103</v>
      </c>
      <c r="D2781" s="715" t="s">
        <v>40839</v>
      </c>
      <c r="E2781" s="716">
        <v>22.9</v>
      </c>
    </row>
    <row r="2782" spans="1:5">
      <c r="A2782" s="715">
        <v>3866</v>
      </c>
      <c r="B2782" s="633" t="s">
        <v>37282</v>
      </c>
      <c r="C2782" s="715" t="s">
        <v>103</v>
      </c>
      <c r="D2782" s="715" t="s">
        <v>40839</v>
      </c>
      <c r="E2782" s="716">
        <v>51.43</v>
      </c>
    </row>
    <row r="2783" spans="1:5">
      <c r="A2783" s="715">
        <v>3878</v>
      </c>
      <c r="B2783" s="633" t="s">
        <v>37283</v>
      </c>
      <c r="C2783" s="715" t="s">
        <v>103</v>
      </c>
      <c r="D2783" s="715" t="s">
        <v>40839</v>
      </c>
      <c r="E2783" s="716">
        <v>14.02</v>
      </c>
    </row>
    <row r="2784" spans="1:5">
      <c r="A2784" s="715">
        <v>3876</v>
      </c>
      <c r="B2784" s="633" t="s">
        <v>37284</v>
      </c>
      <c r="C2784" s="715" t="s">
        <v>103</v>
      </c>
      <c r="D2784" s="715" t="s">
        <v>40839</v>
      </c>
      <c r="E2784" s="716">
        <v>5.58</v>
      </c>
    </row>
    <row r="2785" spans="1:5">
      <c r="A2785" s="715">
        <v>3883</v>
      </c>
      <c r="B2785" s="633" t="s">
        <v>37285</v>
      </c>
      <c r="C2785" s="715" t="s">
        <v>103</v>
      </c>
      <c r="D2785" s="715" t="s">
        <v>40839</v>
      </c>
      <c r="E2785" s="716">
        <v>1.79</v>
      </c>
    </row>
    <row r="2786" spans="1:5">
      <c r="A2786" s="715">
        <v>3884</v>
      </c>
      <c r="B2786" s="633" t="s">
        <v>37286</v>
      </c>
      <c r="C2786" s="715" t="s">
        <v>103</v>
      </c>
      <c r="D2786" s="715" t="s">
        <v>40839</v>
      </c>
      <c r="E2786" s="716">
        <v>2.84</v>
      </c>
    </row>
    <row r="2787" spans="1:5">
      <c r="A2787" s="715">
        <v>12892</v>
      </c>
      <c r="B2787" s="633" t="s">
        <v>37287</v>
      </c>
      <c r="C2787" s="715" t="s">
        <v>525</v>
      </c>
      <c r="D2787" s="715" t="s">
        <v>40839</v>
      </c>
      <c r="E2787" s="716">
        <v>12.08</v>
      </c>
    </row>
    <row r="2788" spans="1:5">
      <c r="A2788" s="715">
        <v>38447</v>
      </c>
      <c r="B2788" s="633" t="s">
        <v>37288</v>
      </c>
      <c r="C2788" s="715" t="s">
        <v>103</v>
      </c>
      <c r="D2788" s="715" t="s">
        <v>40839</v>
      </c>
      <c r="E2788" s="716">
        <v>99.55</v>
      </c>
    </row>
    <row r="2789" spans="1:5">
      <c r="A2789" s="715">
        <v>36320</v>
      </c>
      <c r="B2789" s="633" t="s">
        <v>37289</v>
      </c>
      <c r="C2789" s="715" t="s">
        <v>103</v>
      </c>
      <c r="D2789" s="715" t="s">
        <v>40839</v>
      </c>
      <c r="E2789" s="716">
        <v>2.67</v>
      </c>
    </row>
    <row r="2790" spans="1:5">
      <c r="A2790" s="715">
        <v>36324</v>
      </c>
      <c r="B2790" s="633" t="s">
        <v>37290</v>
      </c>
      <c r="C2790" s="715" t="s">
        <v>103</v>
      </c>
      <c r="D2790" s="715" t="s">
        <v>40839</v>
      </c>
      <c r="E2790" s="716">
        <v>2.44</v>
      </c>
    </row>
    <row r="2791" spans="1:5">
      <c r="A2791" s="715">
        <v>38441</v>
      </c>
      <c r="B2791" s="633" t="s">
        <v>37291</v>
      </c>
      <c r="C2791" s="715" t="s">
        <v>103</v>
      </c>
      <c r="D2791" s="715" t="s">
        <v>40839</v>
      </c>
      <c r="E2791" s="716">
        <v>4.37</v>
      </c>
    </row>
    <row r="2792" spans="1:5">
      <c r="A2792" s="715">
        <v>38442</v>
      </c>
      <c r="B2792" s="633" t="s">
        <v>37292</v>
      </c>
      <c r="C2792" s="715" t="s">
        <v>103</v>
      </c>
      <c r="D2792" s="715" t="s">
        <v>40839</v>
      </c>
      <c r="E2792" s="716">
        <v>12.44</v>
      </c>
    </row>
    <row r="2793" spans="1:5">
      <c r="A2793" s="715">
        <v>38443</v>
      </c>
      <c r="B2793" s="633" t="s">
        <v>37293</v>
      </c>
      <c r="C2793" s="715" t="s">
        <v>103</v>
      </c>
      <c r="D2793" s="715" t="s">
        <v>40839</v>
      </c>
      <c r="E2793" s="716">
        <v>15.09</v>
      </c>
    </row>
    <row r="2794" spans="1:5">
      <c r="A2794" s="715">
        <v>38444</v>
      </c>
      <c r="B2794" s="633" t="s">
        <v>37294</v>
      </c>
      <c r="C2794" s="715" t="s">
        <v>103</v>
      </c>
      <c r="D2794" s="715" t="s">
        <v>40839</v>
      </c>
      <c r="E2794" s="716">
        <v>25.34</v>
      </c>
    </row>
    <row r="2795" spans="1:5">
      <c r="A2795" s="715">
        <v>38445</v>
      </c>
      <c r="B2795" s="633" t="s">
        <v>37295</v>
      </c>
      <c r="C2795" s="715" t="s">
        <v>103</v>
      </c>
      <c r="D2795" s="715" t="s">
        <v>40839</v>
      </c>
      <c r="E2795" s="716">
        <v>47</v>
      </c>
    </row>
    <row r="2796" spans="1:5">
      <c r="A2796" s="715">
        <v>38446</v>
      </c>
      <c r="B2796" s="633" t="s">
        <v>37296</v>
      </c>
      <c r="C2796" s="715" t="s">
        <v>103</v>
      </c>
      <c r="D2796" s="715" t="s">
        <v>40839</v>
      </c>
      <c r="E2796" s="716">
        <v>76.91</v>
      </c>
    </row>
    <row r="2797" spans="1:5">
      <c r="A2797" s="715">
        <v>3837</v>
      </c>
      <c r="B2797" s="633" t="s">
        <v>37297</v>
      </c>
      <c r="C2797" s="715" t="s">
        <v>103</v>
      </c>
      <c r="D2797" s="715" t="s">
        <v>40839</v>
      </c>
      <c r="E2797" s="716">
        <v>55.69</v>
      </c>
    </row>
    <row r="2798" spans="1:5">
      <c r="A2798" s="715">
        <v>3845</v>
      </c>
      <c r="B2798" s="633" t="s">
        <v>37298</v>
      </c>
      <c r="C2798" s="715" t="s">
        <v>103</v>
      </c>
      <c r="D2798" s="715" t="s">
        <v>40839</v>
      </c>
      <c r="E2798" s="716">
        <v>20.34</v>
      </c>
    </row>
    <row r="2799" spans="1:5">
      <c r="A2799" s="715">
        <v>11045</v>
      </c>
      <c r="B2799" s="633" t="s">
        <v>37299</v>
      </c>
      <c r="C2799" s="715" t="s">
        <v>103</v>
      </c>
      <c r="D2799" s="715" t="s">
        <v>40839</v>
      </c>
      <c r="E2799" s="716">
        <v>39.24</v>
      </c>
    </row>
    <row r="2800" spans="1:5">
      <c r="A2800" s="715">
        <v>20170</v>
      </c>
      <c r="B2800" s="633" t="s">
        <v>37300</v>
      </c>
      <c r="C2800" s="715" t="s">
        <v>103</v>
      </c>
      <c r="D2800" s="715" t="s">
        <v>40839</v>
      </c>
      <c r="E2800" s="716">
        <v>16.32</v>
      </c>
    </row>
    <row r="2801" spans="1:5">
      <c r="A2801" s="715">
        <v>20171</v>
      </c>
      <c r="B2801" s="633" t="s">
        <v>37301</v>
      </c>
      <c r="C2801" s="715" t="s">
        <v>103</v>
      </c>
      <c r="D2801" s="715" t="s">
        <v>40839</v>
      </c>
      <c r="E2801" s="716">
        <v>47.06</v>
      </c>
    </row>
    <row r="2802" spans="1:5">
      <c r="A2802" s="715">
        <v>20167</v>
      </c>
      <c r="B2802" s="633" t="s">
        <v>37302</v>
      </c>
      <c r="C2802" s="715" t="s">
        <v>103</v>
      </c>
      <c r="D2802" s="715" t="s">
        <v>40839</v>
      </c>
      <c r="E2802" s="716">
        <v>5.92</v>
      </c>
    </row>
    <row r="2803" spans="1:5">
      <c r="A2803" s="715">
        <v>20168</v>
      </c>
      <c r="B2803" s="633" t="s">
        <v>37303</v>
      </c>
      <c r="C2803" s="715" t="s">
        <v>103</v>
      </c>
      <c r="D2803" s="715" t="s">
        <v>40839</v>
      </c>
      <c r="E2803" s="716">
        <v>12.18</v>
      </c>
    </row>
    <row r="2804" spans="1:5">
      <c r="A2804" s="715">
        <v>20169</v>
      </c>
      <c r="B2804" s="633" t="s">
        <v>37304</v>
      </c>
      <c r="C2804" s="715" t="s">
        <v>103</v>
      </c>
      <c r="D2804" s="715" t="s">
        <v>40839</v>
      </c>
      <c r="E2804" s="716">
        <v>14.21</v>
      </c>
    </row>
    <row r="2805" spans="1:5">
      <c r="A2805" s="715">
        <v>3899</v>
      </c>
      <c r="B2805" s="633" t="s">
        <v>37305</v>
      </c>
      <c r="C2805" s="715" t="s">
        <v>103</v>
      </c>
      <c r="D2805" s="715" t="s">
        <v>40839</v>
      </c>
      <c r="E2805" s="716">
        <v>7.88</v>
      </c>
    </row>
    <row r="2806" spans="1:5">
      <c r="A2806" s="715">
        <v>38676</v>
      </c>
      <c r="B2806" s="633" t="s">
        <v>37306</v>
      </c>
      <c r="C2806" s="715" t="s">
        <v>103</v>
      </c>
      <c r="D2806" s="715" t="s">
        <v>40839</v>
      </c>
      <c r="E2806" s="716">
        <v>39.44</v>
      </c>
    </row>
    <row r="2807" spans="1:5">
      <c r="A2807" s="715">
        <v>3897</v>
      </c>
      <c r="B2807" s="633" t="s">
        <v>37307</v>
      </c>
      <c r="C2807" s="715" t="s">
        <v>103</v>
      </c>
      <c r="D2807" s="715" t="s">
        <v>40839</v>
      </c>
      <c r="E2807" s="716">
        <v>1.92</v>
      </c>
    </row>
    <row r="2808" spans="1:5">
      <c r="A2808" s="715">
        <v>3875</v>
      </c>
      <c r="B2808" s="633" t="s">
        <v>37308</v>
      </c>
      <c r="C2808" s="715" t="s">
        <v>103</v>
      </c>
      <c r="D2808" s="715" t="s">
        <v>40839</v>
      </c>
      <c r="E2808" s="716">
        <v>3.97</v>
      </c>
    </row>
    <row r="2809" spans="1:5">
      <c r="A2809" s="715">
        <v>3898</v>
      </c>
      <c r="B2809" s="633" t="s">
        <v>37309</v>
      </c>
      <c r="C2809" s="715" t="s">
        <v>103</v>
      </c>
      <c r="D2809" s="715" t="s">
        <v>40839</v>
      </c>
      <c r="E2809" s="716">
        <v>8.07</v>
      </c>
    </row>
    <row r="2810" spans="1:5">
      <c r="A2810" s="715">
        <v>3855</v>
      </c>
      <c r="B2810" s="633" t="s">
        <v>37310</v>
      </c>
      <c r="C2810" s="715" t="s">
        <v>103</v>
      </c>
      <c r="D2810" s="715" t="s">
        <v>40839</v>
      </c>
      <c r="E2810" s="716">
        <v>6.06</v>
      </c>
    </row>
    <row r="2811" spans="1:5">
      <c r="A2811" s="715">
        <v>3874</v>
      </c>
      <c r="B2811" s="633" t="s">
        <v>37311</v>
      </c>
      <c r="C2811" s="715" t="s">
        <v>103</v>
      </c>
      <c r="D2811" s="715" t="s">
        <v>40839</v>
      </c>
      <c r="E2811" s="716">
        <v>7.02</v>
      </c>
    </row>
    <row r="2812" spans="1:5">
      <c r="A2812" s="715">
        <v>3870</v>
      </c>
      <c r="B2812" s="633" t="s">
        <v>37312</v>
      </c>
      <c r="C2812" s="715" t="s">
        <v>103</v>
      </c>
      <c r="D2812" s="715" t="s">
        <v>40839</v>
      </c>
      <c r="E2812" s="716">
        <v>7.7</v>
      </c>
    </row>
    <row r="2813" spans="1:5">
      <c r="A2813" s="715">
        <v>38678</v>
      </c>
      <c r="B2813" s="633" t="s">
        <v>37313</v>
      </c>
      <c r="C2813" s="715" t="s">
        <v>103</v>
      </c>
      <c r="D2813" s="715" t="s">
        <v>40839</v>
      </c>
      <c r="E2813" s="716">
        <v>20.37</v>
      </c>
    </row>
    <row r="2814" spans="1:5">
      <c r="A2814" s="715">
        <v>3859</v>
      </c>
      <c r="B2814" s="633" t="s">
        <v>37314</v>
      </c>
      <c r="C2814" s="715" t="s">
        <v>103</v>
      </c>
      <c r="D2814" s="715" t="s">
        <v>40839</v>
      </c>
      <c r="E2814" s="716">
        <v>1.55</v>
      </c>
    </row>
    <row r="2815" spans="1:5">
      <c r="A2815" s="715">
        <v>3856</v>
      </c>
      <c r="B2815" s="633" t="s">
        <v>37315</v>
      </c>
      <c r="C2815" s="715" t="s">
        <v>103</v>
      </c>
      <c r="D2815" s="715" t="s">
        <v>40839</v>
      </c>
      <c r="E2815" s="716">
        <v>2.15</v>
      </c>
    </row>
    <row r="2816" spans="1:5">
      <c r="A2816" s="715">
        <v>3906</v>
      </c>
      <c r="B2816" s="633" t="s">
        <v>37316</v>
      </c>
      <c r="C2816" s="715" t="s">
        <v>103</v>
      </c>
      <c r="D2816" s="715" t="s">
        <v>40839</v>
      </c>
      <c r="E2816" s="716">
        <v>1.78</v>
      </c>
    </row>
    <row r="2817" spans="1:5">
      <c r="A2817" s="715">
        <v>3860</v>
      </c>
      <c r="B2817" s="633" t="s">
        <v>37317</v>
      </c>
      <c r="C2817" s="715" t="s">
        <v>103</v>
      </c>
      <c r="D2817" s="715" t="s">
        <v>40839</v>
      </c>
      <c r="E2817" s="716">
        <v>5.28</v>
      </c>
    </row>
    <row r="2818" spans="1:5">
      <c r="A2818" s="715">
        <v>3905</v>
      </c>
      <c r="B2818" s="633" t="s">
        <v>37318</v>
      </c>
      <c r="C2818" s="715" t="s">
        <v>103</v>
      </c>
      <c r="D2818" s="715" t="s">
        <v>40839</v>
      </c>
      <c r="E2818" s="716">
        <v>12.11</v>
      </c>
    </row>
    <row r="2819" spans="1:5">
      <c r="A2819" s="715">
        <v>3871</v>
      </c>
      <c r="B2819" s="633" t="s">
        <v>37319</v>
      </c>
      <c r="C2819" s="715" t="s">
        <v>103</v>
      </c>
      <c r="D2819" s="715" t="s">
        <v>40839</v>
      </c>
      <c r="E2819" s="716">
        <v>21.42</v>
      </c>
    </row>
    <row r="2820" spans="1:5">
      <c r="A2820" s="715">
        <v>37427</v>
      </c>
      <c r="B2820" s="633" t="s">
        <v>37320</v>
      </c>
      <c r="C2820" s="715" t="s">
        <v>103</v>
      </c>
      <c r="D2820" s="715" t="s">
        <v>40839</v>
      </c>
      <c r="E2820" s="716">
        <v>65.760000000000005</v>
      </c>
    </row>
    <row r="2821" spans="1:5">
      <c r="A2821" s="715">
        <v>37424</v>
      </c>
      <c r="B2821" s="633" t="s">
        <v>37321</v>
      </c>
      <c r="C2821" s="715" t="s">
        <v>103</v>
      </c>
      <c r="D2821" s="715" t="s">
        <v>40839</v>
      </c>
      <c r="E2821" s="716">
        <v>12.67</v>
      </c>
    </row>
    <row r="2822" spans="1:5">
      <c r="A2822" s="715">
        <v>37428</v>
      </c>
      <c r="B2822" s="633" t="s">
        <v>37322</v>
      </c>
      <c r="C2822" s="715" t="s">
        <v>103</v>
      </c>
      <c r="D2822" s="715" t="s">
        <v>40839</v>
      </c>
      <c r="E2822" s="716">
        <v>226.63</v>
      </c>
    </row>
    <row r="2823" spans="1:5">
      <c r="A2823" s="715">
        <v>37425</v>
      </c>
      <c r="B2823" s="633" t="s">
        <v>37323</v>
      </c>
      <c r="C2823" s="715" t="s">
        <v>103</v>
      </c>
      <c r="D2823" s="715" t="s">
        <v>40839</v>
      </c>
      <c r="E2823" s="716">
        <v>13.65</v>
      </c>
    </row>
    <row r="2824" spans="1:5">
      <c r="A2824" s="715">
        <v>37429</v>
      </c>
      <c r="B2824" s="633" t="s">
        <v>37324</v>
      </c>
      <c r="C2824" s="715" t="s">
        <v>103</v>
      </c>
      <c r="D2824" s="715" t="s">
        <v>40839</v>
      </c>
      <c r="E2824" s="716">
        <v>2865.91</v>
      </c>
    </row>
    <row r="2825" spans="1:5">
      <c r="A2825" s="715">
        <v>37426</v>
      </c>
      <c r="B2825" s="633" t="s">
        <v>37325</v>
      </c>
      <c r="C2825" s="715" t="s">
        <v>103</v>
      </c>
      <c r="D2825" s="715" t="s">
        <v>40839</v>
      </c>
      <c r="E2825" s="716">
        <v>27.57</v>
      </c>
    </row>
    <row r="2826" spans="1:5" ht="29">
      <c r="A2826" s="715">
        <v>39292</v>
      </c>
      <c r="B2826" s="633" t="s">
        <v>37326</v>
      </c>
      <c r="C2826" s="715" t="s">
        <v>103</v>
      </c>
      <c r="D2826" s="715" t="s">
        <v>40839</v>
      </c>
      <c r="E2826" s="716">
        <v>8.86</v>
      </c>
    </row>
    <row r="2827" spans="1:5" ht="29">
      <c r="A2827" s="715">
        <v>39293</v>
      </c>
      <c r="B2827" s="633" t="s">
        <v>37327</v>
      </c>
      <c r="C2827" s="715" t="s">
        <v>103</v>
      </c>
      <c r="D2827" s="715" t="s">
        <v>40839</v>
      </c>
      <c r="E2827" s="716">
        <v>13.77</v>
      </c>
    </row>
    <row r="2828" spans="1:5" ht="29">
      <c r="A2828" s="715">
        <v>39294</v>
      </c>
      <c r="B2828" s="633" t="s">
        <v>37328</v>
      </c>
      <c r="C2828" s="715" t="s">
        <v>103</v>
      </c>
      <c r="D2828" s="715" t="s">
        <v>40839</v>
      </c>
      <c r="E2828" s="716">
        <v>14.72</v>
      </c>
    </row>
    <row r="2829" spans="1:5" ht="29">
      <c r="A2829" s="715">
        <v>39295</v>
      </c>
      <c r="B2829" s="633" t="s">
        <v>37329</v>
      </c>
      <c r="C2829" s="715" t="s">
        <v>103</v>
      </c>
      <c r="D2829" s="715" t="s">
        <v>40839</v>
      </c>
      <c r="E2829" s="716">
        <v>20.239999999999998</v>
      </c>
    </row>
    <row r="2830" spans="1:5" ht="29">
      <c r="A2830" s="715">
        <v>39312</v>
      </c>
      <c r="B2830" s="633" t="s">
        <v>37330</v>
      </c>
      <c r="C2830" s="715" t="s">
        <v>103</v>
      </c>
      <c r="D2830" s="715" t="s">
        <v>40839</v>
      </c>
      <c r="E2830" s="716">
        <v>13.59</v>
      </c>
    </row>
    <row r="2831" spans="1:5" ht="29">
      <c r="A2831" s="715">
        <v>39313</v>
      </c>
      <c r="B2831" s="633" t="s">
        <v>37331</v>
      </c>
      <c r="C2831" s="715" t="s">
        <v>103</v>
      </c>
      <c r="D2831" s="715" t="s">
        <v>40839</v>
      </c>
      <c r="E2831" s="716">
        <v>18.25</v>
      </c>
    </row>
    <row r="2832" spans="1:5" ht="29">
      <c r="A2832" s="715">
        <v>39314</v>
      </c>
      <c r="B2832" s="633" t="s">
        <v>37332</v>
      </c>
      <c r="C2832" s="715" t="s">
        <v>103</v>
      </c>
      <c r="D2832" s="715" t="s">
        <v>40839</v>
      </c>
      <c r="E2832" s="716">
        <v>26.85</v>
      </c>
    </row>
    <row r="2833" spans="1:5" ht="29">
      <c r="A2833" s="715">
        <v>39296</v>
      </c>
      <c r="B2833" s="633" t="s">
        <v>37333</v>
      </c>
      <c r="C2833" s="715" t="s">
        <v>103</v>
      </c>
      <c r="D2833" s="715" t="s">
        <v>40839</v>
      </c>
      <c r="E2833" s="716">
        <v>8.08</v>
      </c>
    </row>
    <row r="2834" spans="1:5" ht="29">
      <c r="A2834" s="715">
        <v>39297</v>
      </c>
      <c r="B2834" s="633" t="s">
        <v>37334</v>
      </c>
      <c r="C2834" s="715" t="s">
        <v>103</v>
      </c>
      <c r="D2834" s="715" t="s">
        <v>40839</v>
      </c>
      <c r="E2834" s="716">
        <v>10.95</v>
      </c>
    </row>
    <row r="2835" spans="1:5" ht="29">
      <c r="A2835" s="715">
        <v>39298</v>
      </c>
      <c r="B2835" s="633" t="s">
        <v>37335</v>
      </c>
      <c r="C2835" s="715" t="s">
        <v>103</v>
      </c>
      <c r="D2835" s="715" t="s">
        <v>40839</v>
      </c>
      <c r="E2835" s="716">
        <v>21.03</v>
      </c>
    </row>
    <row r="2836" spans="1:5" ht="29">
      <c r="A2836" s="715">
        <v>39299</v>
      </c>
      <c r="B2836" s="633" t="s">
        <v>37336</v>
      </c>
      <c r="C2836" s="715" t="s">
        <v>103</v>
      </c>
      <c r="D2836" s="715" t="s">
        <v>40839</v>
      </c>
      <c r="E2836" s="716">
        <v>24.92</v>
      </c>
    </row>
    <row r="2837" spans="1:5" ht="29">
      <c r="A2837" s="715">
        <v>39308</v>
      </c>
      <c r="B2837" s="633" t="s">
        <v>37337</v>
      </c>
      <c r="C2837" s="715" t="s">
        <v>103</v>
      </c>
      <c r="D2837" s="715" t="s">
        <v>40839</v>
      </c>
      <c r="E2837" s="716">
        <v>6.74</v>
      </c>
    </row>
    <row r="2838" spans="1:5" ht="29">
      <c r="A2838" s="715">
        <v>39309</v>
      </c>
      <c r="B2838" s="633" t="s">
        <v>37338</v>
      </c>
      <c r="C2838" s="715" t="s">
        <v>103</v>
      </c>
      <c r="D2838" s="715" t="s">
        <v>40839</v>
      </c>
      <c r="E2838" s="716">
        <v>7.68</v>
      </c>
    </row>
    <row r="2839" spans="1:5" ht="29">
      <c r="A2839" s="715">
        <v>39310</v>
      </c>
      <c r="B2839" s="633" t="s">
        <v>37339</v>
      </c>
      <c r="C2839" s="715" t="s">
        <v>103</v>
      </c>
      <c r="D2839" s="715" t="s">
        <v>40839</v>
      </c>
      <c r="E2839" s="716">
        <v>14.34</v>
      </c>
    </row>
    <row r="2840" spans="1:5" ht="29">
      <c r="A2840" s="715">
        <v>39311</v>
      </c>
      <c r="B2840" s="633" t="s">
        <v>37340</v>
      </c>
      <c r="C2840" s="715" t="s">
        <v>103</v>
      </c>
      <c r="D2840" s="715" t="s">
        <v>40839</v>
      </c>
      <c r="E2840" s="716">
        <v>20.309999999999999</v>
      </c>
    </row>
    <row r="2841" spans="1:5" ht="29">
      <c r="A2841" s="715">
        <v>45261</v>
      </c>
      <c r="B2841" s="633" t="s">
        <v>40865</v>
      </c>
      <c r="C2841" s="715" t="s">
        <v>525</v>
      </c>
      <c r="D2841" s="715" t="s">
        <v>40839</v>
      </c>
      <c r="E2841" s="716">
        <v>21.09</v>
      </c>
    </row>
    <row r="2842" spans="1:5" ht="29">
      <c r="A2842" s="715">
        <v>11519</v>
      </c>
      <c r="B2842" s="633" t="s">
        <v>37341</v>
      </c>
      <c r="C2842" s="715" t="s">
        <v>525</v>
      </c>
      <c r="D2842" s="715" t="s">
        <v>40839</v>
      </c>
      <c r="E2842" s="716">
        <v>60.25</v>
      </c>
    </row>
    <row r="2843" spans="1:5" ht="29">
      <c r="A2843" s="715">
        <v>11520</v>
      </c>
      <c r="B2843" s="633" t="s">
        <v>37342</v>
      </c>
      <c r="C2843" s="715" t="s">
        <v>525</v>
      </c>
      <c r="D2843" s="715" t="s">
        <v>40839</v>
      </c>
      <c r="E2843" s="716">
        <v>27.85</v>
      </c>
    </row>
    <row r="2844" spans="1:5">
      <c r="A2844" s="715">
        <v>11518</v>
      </c>
      <c r="B2844" s="633" t="s">
        <v>37343</v>
      </c>
      <c r="C2844" s="715" t="s">
        <v>525</v>
      </c>
      <c r="D2844" s="715" t="s">
        <v>40839</v>
      </c>
      <c r="E2844" s="716">
        <v>101.27</v>
      </c>
    </row>
    <row r="2845" spans="1:5">
      <c r="A2845" s="715">
        <v>38473</v>
      </c>
      <c r="B2845" s="633" t="s">
        <v>37344</v>
      </c>
      <c r="C2845" s="715" t="s">
        <v>103</v>
      </c>
      <c r="D2845" s="715" t="s">
        <v>40839</v>
      </c>
      <c r="E2845" s="716">
        <v>273.91000000000003</v>
      </c>
    </row>
    <row r="2846" spans="1:5">
      <c r="A2846" s="715">
        <v>4244</v>
      </c>
      <c r="B2846" s="633" t="s">
        <v>37345</v>
      </c>
      <c r="C2846" s="715" t="s">
        <v>11</v>
      </c>
      <c r="D2846" s="715" t="s">
        <v>40839</v>
      </c>
      <c r="E2846" s="716">
        <v>32.1</v>
      </c>
    </row>
    <row r="2847" spans="1:5">
      <c r="A2847" s="715">
        <v>40977</v>
      </c>
      <c r="B2847" s="633" t="s">
        <v>37346</v>
      </c>
      <c r="C2847" s="715" t="s">
        <v>27629</v>
      </c>
      <c r="D2847" s="715" t="s">
        <v>40839</v>
      </c>
      <c r="E2847" s="716">
        <v>5624.34</v>
      </c>
    </row>
    <row r="2848" spans="1:5" ht="29">
      <c r="A2848" s="715">
        <v>4115</v>
      </c>
      <c r="B2848" s="633" t="s">
        <v>37347</v>
      </c>
      <c r="C2848" s="715" t="s">
        <v>165</v>
      </c>
      <c r="D2848" s="715" t="s">
        <v>40839</v>
      </c>
      <c r="E2848" s="716">
        <v>31.95</v>
      </c>
    </row>
    <row r="2849" spans="1:5" ht="29">
      <c r="A2849" s="715">
        <v>4119</v>
      </c>
      <c r="B2849" s="633" t="s">
        <v>37348</v>
      </c>
      <c r="C2849" s="715" t="s">
        <v>165</v>
      </c>
      <c r="D2849" s="715" t="s">
        <v>40839</v>
      </c>
      <c r="E2849" s="716">
        <v>64.53</v>
      </c>
    </row>
    <row r="2850" spans="1:5" ht="29">
      <c r="A2850" s="715">
        <v>2794</v>
      </c>
      <c r="B2850" s="633" t="s">
        <v>37349</v>
      </c>
      <c r="C2850" s="715" t="s">
        <v>165</v>
      </c>
      <c r="D2850" s="715" t="s">
        <v>40839</v>
      </c>
      <c r="E2850" s="716">
        <v>171.19</v>
      </c>
    </row>
    <row r="2851" spans="1:5" ht="29">
      <c r="A2851" s="715">
        <v>2788</v>
      </c>
      <c r="B2851" s="633" t="s">
        <v>37350</v>
      </c>
      <c r="C2851" s="715" t="s">
        <v>165</v>
      </c>
      <c r="D2851" s="715" t="s">
        <v>40839</v>
      </c>
      <c r="E2851" s="716">
        <v>249.39</v>
      </c>
    </row>
    <row r="2852" spans="1:5">
      <c r="A2852" s="715">
        <v>4006</v>
      </c>
      <c r="B2852" s="633" t="s">
        <v>37351</v>
      </c>
      <c r="C2852" s="715" t="s">
        <v>121</v>
      </c>
      <c r="D2852" s="715" t="s">
        <v>40839</v>
      </c>
      <c r="E2852" s="716">
        <v>1858.3</v>
      </c>
    </row>
    <row r="2853" spans="1:5">
      <c r="A2853" s="715">
        <v>45395</v>
      </c>
      <c r="B2853" s="633" t="s">
        <v>37352</v>
      </c>
      <c r="C2853" s="715" t="s">
        <v>525</v>
      </c>
      <c r="D2853" s="715" t="s">
        <v>40839</v>
      </c>
      <c r="E2853" s="716">
        <v>32</v>
      </c>
    </row>
    <row r="2854" spans="1:5" ht="29">
      <c r="A2854" s="715">
        <v>37461</v>
      </c>
      <c r="B2854" s="633" t="s">
        <v>37353</v>
      </c>
      <c r="C2854" s="715" t="s">
        <v>165</v>
      </c>
      <c r="D2854" s="715" t="s">
        <v>40839</v>
      </c>
      <c r="E2854" s="716">
        <v>13.17</v>
      </c>
    </row>
    <row r="2855" spans="1:5" ht="29">
      <c r="A2855" s="715">
        <v>37460</v>
      </c>
      <c r="B2855" s="633" t="s">
        <v>37354</v>
      </c>
      <c r="C2855" s="715" t="s">
        <v>165</v>
      </c>
      <c r="D2855" s="715" t="s">
        <v>40839</v>
      </c>
      <c r="E2855" s="716">
        <v>23.11</v>
      </c>
    </row>
    <row r="2856" spans="1:5">
      <c r="A2856" s="715">
        <v>37458</v>
      </c>
      <c r="B2856" s="633" t="s">
        <v>37355</v>
      </c>
      <c r="C2856" s="715" t="s">
        <v>165</v>
      </c>
      <c r="D2856" s="715" t="s">
        <v>28018</v>
      </c>
      <c r="E2856" s="716">
        <v>5.36</v>
      </c>
    </row>
    <row r="2857" spans="1:5">
      <c r="A2857" s="715">
        <v>37454</v>
      </c>
      <c r="B2857" s="633" t="s">
        <v>37356</v>
      </c>
      <c r="C2857" s="715" t="s">
        <v>165</v>
      </c>
      <c r="D2857" s="715" t="s">
        <v>40839</v>
      </c>
      <c r="E2857" s="716">
        <v>1.67</v>
      </c>
    </row>
    <row r="2858" spans="1:5">
      <c r="A2858" s="715">
        <v>37455</v>
      </c>
      <c r="B2858" s="633" t="s">
        <v>37357</v>
      </c>
      <c r="C2858" s="715" t="s">
        <v>165</v>
      </c>
      <c r="D2858" s="715" t="s">
        <v>40839</v>
      </c>
      <c r="E2858" s="716">
        <v>2.79</v>
      </c>
    </row>
    <row r="2859" spans="1:5">
      <c r="A2859" s="715">
        <v>37459</v>
      </c>
      <c r="B2859" s="633" t="s">
        <v>37358</v>
      </c>
      <c r="C2859" s="715" t="s">
        <v>165</v>
      </c>
      <c r="D2859" s="715" t="s">
        <v>40839</v>
      </c>
      <c r="E2859" s="716">
        <v>8.93</v>
      </c>
    </row>
    <row r="2860" spans="1:5">
      <c r="A2860" s="715">
        <v>37457</v>
      </c>
      <c r="B2860" s="633" t="s">
        <v>37359</v>
      </c>
      <c r="C2860" s="715" t="s">
        <v>165</v>
      </c>
      <c r="D2860" s="715" t="s">
        <v>40839</v>
      </c>
      <c r="E2860" s="716">
        <v>3.08</v>
      </c>
    </row>
    <row r="2861" spans="1:5">
      <c r="A2861" s="715">
        <v>37456</v>
      </c>
      <c r="B2861" s="633" t="s">
        <v>37360</v>
      </c>
      <c r="C2861" s="715" t="s">
        <v>165</v>
      </c>
      <c r="D2861" s="715" t="s">
        <v>40839</v>
      </c>
      <c r="E2861" s="716">
        <v>2.11</v>
      </c>
    </row>
    <row r="2862" spans="1:5" ht="29">
      <c r="A2862" s="715">
        <v>21029</v>
      </c>
      <c r="B2862" s="633" t="s">
        <v>37361</v>
      </c>
      <c r="C2862" s="715" t="s">
        <v>103</v>
      </c>
      <c r="D2862" s="715" t="s">
        <v>28018</v>
      </c>
      <c r="E2862" s="716">
        <v>388.5</v>
      </c>
    </row>
    <row r="2863" spans="1:5" ht="29">
      <c r="A2863" s="715">
        <v>21030</v>
      </c>
      <c r="B2863" s="633" t="s">
        <v>37362</v>
      </c>
      <c r="C2863" s="715" t="s">
        <v>103</v>
      </c>
      <c r="D2863" s="715" t="s">
        <v>40839</v>
      </c>
      <c r="E2863" s="716">
        <v>478.89</v>
      </c>
    </row>
    <row r="2864" spans="1:5" ht="29">
      <c r="A2864" s="715">
        <v>21031</v>
      </c>
      <c r="B2864" s="633" t="s">
        <v>37363</v>
      </c>
      <c r="C2864" s="715" t="s">
        <v>103</v>
      </c>
      <c r="D2864" s="715" t="s">
        <v>40839</v>
      </c>
      <c r="E2864" s="716">
        <v>596.21</v>
      </c>
    </row>
    <row r="2865" spans="1:5" ht="29">
      <c r="A2865" s="715">
        <v>21032</v>
      </c>
      <c r="B2865" s="633" t="s">
        <v>37364</v>
      </c>
      <c r="C2865" s="715" t="s">
        <v>103</v>
      </c>
      <c r="D2865" s="715" t="s">
        <v>40839</v>
      </c>
      <c r="E2865" s="716">
        <v>636.6</v>
      </c>
    </row>
    <row r="2866" spans="1:5" ht="29">
      <c r="A2866" s="715">
        <v>37527</v>
      </c>
      <c r="B2866" s="633" t="s">
        <v>37365</v>
      </c>
      <c r="C2866" s="715" t="s">
        <v>103</v>
      </c>
      <c r="D2866" s="715" t="s">
        <v>40839</v>
      </c>
      <c r="E2866" s="716">
        <v>575.04999999999995</v>
      </c>
    </row>
    <row r="2867" spans="1:5" ht="29">
      <c r="A2867" s="715">
        <v>37528</v>
      </c>
      <c r="B2867" s="633" t="s">
        <v>37366</v>
      </c>
      <c r="C2867" s="715" t="s">
        <v>103</v>
      </c>
      <c r="D2867" s="715" t="s">
        <v>40839</v>
      </c>
      <c r="E2867" s="716">
        <v>685.64</v>
      </c>
    </row>
    <row r="2868" spans="1:5" ht="29">
      <c r="A2868" s="715">
        <v>37529</v>
      </c>
      <c r="B2868" s="633" t="s">
        <v>37367</v>
      </c>
      <c r="C2868" s="715" t="s">
        <v>103</v>
      </c>
      <c r="D2868" s="715" t="s">
        <v>40839</v>
      </c>
      <c r="E2868" s="716">
        <v>692.37</v>
      </c>
    </row>
    <row r="2869" spans="1:5" ht="29">
      <c r="A2869" s="715">
        <v>37530</v>
      </c>
      <c r="B2869" s="633" t="s">
        <v>37368</v>
      </c>
      <c r="C2869" s="715" t="s">
        <v>103</v>
      </c>
      <c r="D2869" s="715" t="s">
        <v>40839</v>
      </c>
      <c r="E2869" s="716">
        <v>903.93</v>
      </c>
    </row>
    <row r="2870" spans="1:5" ht="29">
      <c r="A2870" s="715">
        <v>21034</v>
      </c>
      <c r="B2870" s="633" t="s">
        <v>37369</v>
      </c>
      <c r="C2870" s="715" t="s">
        <v>103</v>
      </c>
      <c r="D2870" s="715" t="s">
        <v>40839</v>
      </c>
      <c r="E2870" s="716">
        <v>771.23</v>
      </c>
    </row>
    <row r="2871" spans="1:5" ht="29">
      <c r="A2871" s="715">
        <v>37531</v>
      </c>
      <c r="B2871" s="633" t="s">
        <v>37370</v>
      </c>
      <c r="C2871" s="715" t="s">
        <v>103</v>
      </c>
      <c r="D2871" s="715" t="s">
        <v>40839</v>
      </c>
      <c r="E2871" s="716">
        <v>971.25</v>
      </c>
    </row>
    <row r="2872" spans="1:5" ht="29">
      <c r="A2872" s="715">
        <v>21036</v>
      </c>
      <c r="B2872" s="633" t="s">
        <v>37371</v>
      </c>
      <c r="C2872" s="715" t="s">
        <v>103</v>
      </c>
      <c r="D2872" s="715" t="s">
        <v>40839</v>
      </c>
      <c r="E2872" s="716">
        <v>1180.8800000000001</v>
      </c>
    </row>
    <row r="2873" spans="1:5" ht="29">
      <c r="A2873" s="715">
        <v>21037</v>
      </c>
      <c r="B2873" s="633" t="s">
        <v>37372</v>
      </c>
      <c r="C2873" s="715" t="s">
        <v>103</v>
      </c>
      <c r="D2873" s="715" t="s">
        <v>40839</v>
      </c>
      <c r="E2873" s="716">
        <v>1346.28</v>
      </c>
    </row>
    <row r="2874" spans="1:5" ht="29">
      <c r="A2874" s="715">
        <v>20185</v>
      </c>
      <c r="B2874" s="633" t="s">
        <v>37373</v>
      </c>
      <c r="C2874" s="715" t="s">
        <v>165</v>
      </c>
      <c r="D2874" s="715" t="s">
        <v>40839</v>
      </c>
      <c r="E2874" s="716">
        <v>14.2</v>
      </c>
    </row>
    <row r="2875" spans="1:5" ht="29">
      <c r="A2875" s="715">
        <v>44909</v>
      </c>
      <c r="B2875" s="633" t="s">
        <v>41033</v>
      </c>
      <c r="C2875" s="715" t="s">
        <v>165</v>
      </c>
      <c r="D2875" s="715" t="s">
        <v>40839</v>
      </c>
      <c r="E2875" s="716">
        <v>16.010000000000002</v>
      </c>
    </row>
    <row r="2876" spans="1:5" ht="29">
      <c r="A2876" s="715">
        <v>44115</v>
      </c>
      <c r="B2876" s="633" t="s">
        <v>41034</v>
      </c>
      <c r="C2876" s="715" t="s">
        <v>165</v>
      </c>
      <c r="D2876" s="715" t="s">
        <v>40839</v>
      </c>
      <c r="E2876" s="716">
        <v>29.46</v>
      </c>
    </row>
    <row r="2877" spans="1:5" ht="29">
      <c r="A2877" s="715">
        <v>44333</v>
      </c>
      <c r="B2877" s="633" t="s">
        <v>41035</v>
      </c>
      <c r="C2877" s="715" t="s">
        <v>165</v>
      </c>
      <c r="D2877" s="715" t="s">
        <v>40839</v>
      </c>
      <c r="E2877" s="716">
        <v>96.75</v>
      </c>
    </row>
    <row r="2878" spans="1:5" ht="29">
      <c r="A2878" s="715">
        <v>44907</v>
      </c>
      <c r="B2878" s="633" t="s">
        <v>41036</v>
      </c>
      <c r="C2878" s="715" t="s">
        <v>165</v>
      </c>
      <c r="D2878" s="715" t="s">
        <v>40839</v>
      </c>
      <c r="E2878" s="716">
        <v>16.97</v>
      </c>
    </row>
    <row r="2879" spans="1:5" ht="29">
      <c r="A2879" s="715">
        <v>20260</v>
      </c>
      <c r="B2879" s="633" t="s">
        <v>37374</v>
      </c>
      <c r="C2879" s="715" t="s">
        <v>103</v>
      </c>
      <c r="D2879" s="715" t="s">
        <v>40839</v>
      </c>
      <c r="E2879" s="716">
        <v>15.56</v>
      </c>
    </row>
    <row r="2880" spans="1:5" ht="29">
      <c r="A2880" s="715">
        <v>37515</v>
      </c>
      <c r="B2880" s="633" t="s">
        <v>37375</v>
      </c>
      <c r="C2880" s="715" t="s">
        <v>103</v>
      </c>
      <c r="D2880" s="715" t="s">
        <v>28018</v>
      </c>
      <c r="E2880" s="716">
        <v>586676.06999999995</v>
      </c>
    </row>
    <row r="2881" spans="1:5" ht="29">
      <c r="A2881" s="715">
        <v>12899</v>
      </c>
      <c r="B2881" s="633" t="s">
        <v>37376</v>
      </c>
      <c r="C2881" s="715" t="s">
        <v>103</v>
      </c>
      <c r="D2881" s="715" t="s">
        <v>40839</v>
      </c>
      <c r="E2881" s="716">
        <v>141.91999999999999</v>
      </c>
    </row>
    <row r="2882" spans="1:5" ht="29">
      <c r="A2882" s="715">
        <v>12898</v>
      </c>
      <c r="B2882" s="633" t="s">
        <v>37377</v>
      </c>
      <c r="C2882" s="715" t="s">
        <v>103</v>
      </c>
      <c r="D2882" s="715" t="s">
        <v>28018</v>
      </c>
      <c r="E2882" s="716">
        <v>225.13</v>
      </c>
    </row>
    <row r="2883" spans="1:5">
      <c r="A2883" s="715">
        <v>39699</v>
      </c>
      <c r="B2883" s="633" t="s">
        <v>37378</v>
      </c>
      <c r="C2883" s="715" t="s">
        <v>509</v>
      </c>
      <c r="D2883" s="715" t="s">
        <v>40839</v>
      </c>
      <c r="E2883" s="716">
        <v>17.64</v>
      </c>
    </row>
    <row r="2884" spans="1:5">
      <c r="A2884" s="715">
        <v>39696</v>
      </c>
      <c r="B2884" s="633" t="s">
        <v>37379</v>
      </c>
      <c r="C2884" s="715" t="s">
        <v>509</v>
      </c>
      <c r="D2884" s="715" t="s">
        <v>28018</v>
      </c>
      <c r="E2884" s="716">
        <v>6.45</v>
      </c>
    </row>
    <row r="2885" spans="1:5">
      <c r="A2885" s="715">
        <v>42528</v>
      </c>
      <c r="B2885" s="633" t="s">
        <v>41037</v>
      </c>
      <c r="C2885" s="715" t="s">
        <v>509</v>
      </c>
      <c r="D2885" s="715" t="s">
        <v>40839</v>
      </c>
      <c r="E2885" s="716">
        <v>9.17</v>
      </c>
    </row>
    <row r="2886" spans="1:5">
      <c r="A2886" s="715">
        <v>39700</v>
      </c>
      <c r="B2886" s="633" t="s">
        <v>37380</v>
      </c>
      <c r="C2886" s="715" t="s">
        <v>509</v>
      </c>
      <c r="D2886" s="715" t="s">
        <v>40839</v>
      </c>
      <c r="E2886" s="716">
        <v>28.94</v>
      </c>
    </row>
    <row r="2887" spans="1:5" ht="29">
      <c r="A2887" s="715">
        <v>4014</v>
      </c>
      <c r="B2887" s="633" t="s">
        <v>37381</v>
      </c>
      <c r="C2887" s="715" t="s">
        <v>509</v>
      </c>
      <c r="D2887" s="715" t="s">
        <v>40839</v>
      </c>
      <c r="E2887" s="716">
        <v>59.58</v>
      </c>
    </row>
    <row r="2888" spans="1:5" ht="29">
      <c r="A2888" s="715">
        <v>4015</v>
      </c>
      <c r="B2888" s="633" t="s">
        <v>37382</v>
      </c>
      <c r="C2888" s="715" t="s">
        <v>509</v>
      </c>
      <c r="D2888" s="715" t="s">
        <v>40839</v>
      </c>
      <c r="E2888" s="716">
        <v>73.17</v>
      </c>
    </row>
    <row r="2889" spans="1:5" ht="29">
      <c r="A2889" s="715">
        <v>4017</v>
      </c>
      <c r="B2889" s="633" t="s">
        <v>37383</v>
      </c>
      <c r="C2889" s="715" t="s">
        <v>509</v>
      </c>
      <c r="D2889" s="715" t="s">
        <v>40839</v>
      </c>
      <c r="E2889" s="716">
        <v>106.46</v>
      </c>
    </row>
    <row r="2890" spans="1:5" ht="29">
      <c r="A2890" s="715">
        <v>11621</v>
      </c>
      <c r="B2890" s="633" t="s">
        <v>37384</v>
      </c>
      <c r="C2890" s="715" t="s">
        <v>509</v>
      </c>
      <c r="D2890" s="715" t="s">
        <v>40839</v>
      </c>
      <c r="E2890" s="716">
        <v>57.59</v>
      </c>
    </row>
    <row r="2891" spans="1:5" ht="29">
      <c r="A2891" s="715">
        <v>4016</v>
      </c>
      <c r="B2891" s="633" t="s">
        <v>37385</v>
      </c>
      <c r="C2891" s="715" t="s">
        <v>509</v>
      </c>
      <c r="D2891" s="715" t="s">
        <v>28018</v>
      </c>
      <c r="E2891" s="716">
        <v>42.05</v>
      </c>
    </row>
    <row r="2892" spans="1:5">
      <c r="A2892" s="715">
        <v>38544</v>
      </c>
      <c r="B2892" s="633" t="s">
        <v>37386</v>
      </c>
      <c r="C2892" s="715" t="s">
        <v>509</v>
      </c>
      <c r="D2892" s="715" t="s">
        <v>40839</v>
      </c>
      <c r="E2892" s="716">
        <v>10.79</v>
      </c>
    </row>
    <row r="2893" spans="1:5">
      <c r="A2893" s="715">
        <v>38545</v>
      </c>
      <c r="B2893" s="633" t="s">
        <v>37387</v>
      </c>
      <c r="C2893" s="715" t="s">
        <v>509</v>
      </c>
      <c r="D2893" s="715" t="s">
        <v>40839</v>
      </c>
      <c r="E2893" s="716">
        <v>6.93</v>
      </c>
    </row>
    <row r="2894" spans="1:5" ht="29">
      <c r="A2894" s="715">
        <v>42527</v>
      </c>
      <c r="B2894" s="633" t="s">
        <v>37388</v>
      </c>
      <c r="C2894" s="715" t="s">
        <v>509</v>
      </c>
      <c r="D2894" s="715" t="s">
        <v>40839</v>
      </c>
      <c r="E2894" s="716">
        <v>24.23</v>
      </c>
    </row>
    <row r="2895" spans="1:5" ht="29">
      <c r="A2895" s="715">
        <v>39323</v>
      </c>
      <c r="B2895" s="633" t="s">
        <v>37389</v>
      </c>
      <c r="C2895" s="715" t="s">
        <v>509</v>
      </c>
      <c r="D2895" s="715" t="s">
        <v>40839</v>
      </c>
      <c r="E2895" s="716">
        <v>26.45</v>
      </c>
    </row>
    <row r="2896" spans="1:5" ht="43">
      <c r="A2896" s="715">
        <v>626</v>
      </c>
      <c r="B2896" s="633" t="s">
        <v>37390</v>
      </c>
      <c r="C2896" s="715" t="s">
        <v>207</v>
      </c>
      <c r="D2896" s="715" t="s">
        <v>28018</v>
      </c>
      <c r="E2896" s="716">
        <v>17.77</v>
      </c>
    </row>
    <row r="2897" spans="1:5">
      <c r="A2897" s="715">
        <v>44504</v>
      </c>
      <c r="B2897" s="633" t="s">
        <v>37391</v>
      </c>
      <c r="C2897" s="715" t="s">
        <v>509</v>
      </c>
      <c r="D2897" s="715" t="s">
        <v>40839</v>
      </c>
      <c r="E2897" s="716">
        <v>14.46</v>
      </c>
    </row>
    <row r="2898" spans="1:5">
      <c r="A2898" s="715">
        <v>44505</v>
      </c>
      <c r="B2898" s="633" t="s">
        <v>37392</v>
      </c>
      <c r="C2898" s="715" t="s">
        <v>509</v>
      </c>
      <c r="D2898" s="715" t="s">
        <v>40839</v>
      </c>
      <c r="E2898" s="716">
        <v>21.82</v>
      </c>
    </row>
    <row r="2899" spans="1:5">
      <c r="A2899" s="715">
        <v>44506</v>
      </c>
      <c r="B2899" s="633" t="s">
        <v>37393</v>
      </c>
      <c r="C2899" s="715" t="s">
        <v>509</v>
      </c>
      <c r="D2899" s="715" t="s">
        <v>40839</v>
      </c>
      <c r="E2899" s="716">
        <v>23.16</v>
      </c>
    </row>
    <row r="2900" spans="1:5">
      <c r="A2900" s="715">
        <v>44507</v>
      </c>
      <c r="B2900" s="633" t="s">
        <v>37394</v>
      </c>
      <c r="C2900" s="715" t="s">
        <v>509</v>
      </c>
      <c r="D2900" s="715" t="s">
        <v>40839</v>
      </c>
      <c r="E2900" s="716">
        <v>28.96</v>
      </c>
    </row>
    <row r="2901" spans="1:5">
      <c r="A2901" s="715">
        <v>44508</v>
      </c>
      <c r="B2901" s="633" t="s">
        <v>37395</v>
      </c>
      <c r="C2901" s="715" t="s">
        <v>509</v>
      </c>
      <c r="D2901" s="715" t="s">
        <v>40839</v>
      </c>
      <c r="E2901" s="716">
        <v>43.42</v>
      </c>
    </row>
    <row r="2902" spans="1:5">
      <c r="A2902" s="715">
        <v>44509</v>
      </c>
      <c r="B2902" s="633" t="s">
        <v>37396</v>
      </c>
      <c r="C2902" s="715" t="s">
        <v>509</v>
      </c>
      <c r="D2902" s="715" t="s">
        <v>40839</v>
      </c>
      <c r="E2902" s="716">
        <v>58.17</v>
      </c>
    </row>
    <row r="2903" spans="1:5">
      <c r="A2903" s="715">
        <v>44510</v>
      </c>
      <c r="B2903" s="633" t="s">
        <v>37397</v>
      </c>
      <c r="C2903" s="715" t="s">
        <v>509</v>
      </c>
      <c r="D2903" s="715" t="s">
        <v>40839</v>
      </c>
      <c r="E2903" s="716">
        <v>72.23</v>
      </c>
    </row>
    <row r="2904" spans="1:5" ht="29">
      <c r="A2904" s="715">
        <v>44512</v>
      </c>
      <c r="B2904" s="633" t="s">
        <v>41038</v>
      </c>
      <c r="C2904" s="715" t="s">
        <v>509</v>
      </c>
      <c r="D2904" s="715" t="s">
        <v>40839</v>
      </c>
      <c r="E2904" s="716">
        <v>16.12</v>
      </c>
    </row>
    <row r="2905" spans="1:5" ht="29">
      <c r="A2905" s="715">
        <v>44513</v>
      </c>
      <c r="B2905" s="633" t="s">
        <v>41039</v>
      </c>
      <c r="C2905" s="715" t="s">
        <v>509</v>
      </c>
      <c r="D2905" s="715" t="s">
        <v>40839</v>
      </c>
      <c r="E2905" s="716">
        <v>22.76</v>
      </c>
    </row>
    <row r="2906" spans="1:5" ht="29">
      <c r="A2906" s="715">
        <v>44514</v>
      </c>
      <c r="B2906" s="633" t="s">
        <v>41040</v>
      </c>
      <c r="C2906" s="715" t="s">
        <v>509</v>
      </c>
      <c r="D2906" s="715" t="s">
        <v>40839</v>
      </c>
      <c r="E2906" s="716">
        <v>25.79</v>
      </c>
    </row>
    <row r="2907" spans="1:5" ht="29">
      <c r="A2907" s="715">
        <v>44515</v>
      </c>
      <c r="B2907" s="633" t="s">
        <v>41041</v>
      </c>
      <c r="C2907" s="715" t="s">
        <v>509</v>
      </c>
      <c r="D2907" s="715" t="s">
        <v>40839</v>
      </c>
      <c r="E2907" s="716">
        <v>31.68</v>
      </c>
    </row>
    <row r="2908" spans="1:5" ht="29">
      <c r="A2908" s="715">
        <v>44511</v>
      </c>
      <c r="B2908" s="633" t="s">
        <v>41042</v>
      </c>
      <c r="C2908" s="715" t="s">
        <v>509</v>
      </c>
      <c r="D2908" s="715" t="s">
        <v>40839</v>
      </c>
      <c r="E2908" s="716">
        <v>46.89</v>
      </c>
    </row>
    <row r="2909" spans="1:5" ht="29">
      <c r="A2909" s="715">
        <v>44516</v>
      </c>
      <c r="B2909" s="633" t="s">
        <v>41043</v>
      </c>
      <c r="C2909" s="715" t="s">
        <v>509</v>
      </c>
      <c r="D2909" s="715" t="s">
        <v>40839</v>
      </c>
      <c r="E2909" s="716">
        <v>63.37</v>
      </c>
    </row>
    <row r="2910" spans="1:5" ht="29">
      <c r="A2910" s="715">
        <v>44517</v>
      </c>
      <c r="B2910" s="633" t="s">
        <v>41044</v>
      </c>
      <c r="C2910" s="715" t="s">
        <v>509</v>
      </c>
      <c r="D2910" s="715" t="s">
        <v>40839</v>
      </c>
      <c r="E2910" s="716">
        <v>79.040000000000006</v>
      </c>
    </row>
    <row r="2911" spans="1:5">
      <c r="A2911" s="715">
        <v>11479</v>
      </c>
      <c r="B2911" s="633" t="s">
        <v>37398</v>
      </c>
      <c r="C2911" s="715" t="s">
        <v>103</v>
      </c>
      <c r="D2911" s="715" t="s">
        <v>40839</v>
      </c>
      <c r="E2911" s="716">
        <v>42.3</v>
      </c>
    </row>
    <row r="2912" spans="1:5">
      <c r="A2912" s="715">
        <v>11481</v>
      </c>
      <c r="B2912" s="633" t="s">
        <v>37399</v>
      </c>
      <c r="C2912" s="715" t="s">
        <v>103</v>
      </c>
      <c r="D2912" s="715" t="s">
        <v>40839</v>
      </c>
      <c r="E2912" s="716">
        <v>38.270000000000003</v>
      </c>
    </row>
    <row r="2913" spans="1:5">
      <c r="A2913" s="715">
        <v>43609</v>
      </c>
      <c r="B2913" s="633" t="s">
        <v>37400</v>
      </c>
      <c r="C2913" s="715" t="s">
        <v>103</v>
      </c>
      <c r="D2913" s="715" t="s">
        <v>40839</v>
      </c>
      <c r="E2913" s="716">
        <v>38.270000000000003</v>
      </c>
    </row>
    <row r="2914" spans="1:5">
      <c r="A2914" s="715">
        <v>11478</v>
      </c>
      <c r="B2914" s="633" t="s">
        <v>37401</v>
      </c>
      <c r="C2914" s="715" t="s">
        <v>103</v>
      </c>
      <c r="D2914" s="715" t="s">
        <v>40839</v>
      </c>
      <c r="E2914" s="716">
        <v>72.58</v>
      </c>
    </row>
    <row r="2915" spans="1:5">
      <c r="A2915" s="715">
        <v>43608</v>
      </c>
      <c r="B2915" s="633" t="s">
        <v>37402</v>
      </c>
      <c r="C2915" s="715" t="s">
        <v>103</v>
      </c>
      <c r="D2915" s="715" t="s">
        <v>40839</v>
      </c>
      <c r="E2915" s="716">
        <v>55.38</v>
      </c>
    </row>
    <row r="2916" spans="1:5">
      <c r="A2916" s="715">
        <v>11476</v>
      </c>
      <c r="B2916" s="633" t="s">
        <v>37403</v>
      </c>
      <c r="C2916" s="715" t="s">
        <v>103</v>
      </c>
      <c r="D2916" s="715" t="s">
        <v>40839</v>
      </c>
      <c r="E2916" s="716">
        <v>55.38</v>
      </c>
    </row>
    <row r="2917" spans="1:5" ht="29">
      <c r="A2917" s="715">
        <v>40637</v>
      </c>
      <c r="B2917" s="633" t="s">
        <v>37404</v>
      </c>
      <c r="C2917" s="715" t="s">
        <v>103</v>
      </c>
      <c r="D2917" s="715" t="s">
        <v>40839</v>
      </c>
      <c r="E2917" s="716">
        <v>900957.15</v>
      </c>
    </row>
    <row r="2918" spans="1:5" ht="29">
      <c r="A2918" s="715">
        <v>13836</v>
      </c>
      <c r="B2918" s="633" t="s">
        <v>37405</v>
      </c>
      <c r="C2918" s="715" t="s">
        <v>103</v>
      </c>
      <c r="D2918" s="715" t="s">
        <v>40839</v>
      </c>
      <c r="E2918" s="716">
        <v>71301.62</v>
      </c>
    </row>
    <row r="2919" spans="1:5" ht="57">
      <c r="A2919" s="715">
        <v>39813</v>
      </c>
      <c r="B2919" s="633" t="s">
        <v>37406</v>
      </c>
      <c r="C2919" s="715" t="s">
        <v>103</v>
      </c>
      <c r="D2919" s="715" t="s">
        <v>40839</v>
      </c>
      <c r="E2919" s="716">
        <v>38997.879999999997</v>
      </c>
    </row>
    <row r="2920" spans="1:5">
      <c r="A2920" s="715">
        <v>12868</v>
      </c>
      <c r="B2920" s="633" t="s">
        <v>37407</v>
      </c>
      <c r="C2920" s="715" t="s">
        <v>11</v>
      </c>
      <c r="D2920" s="715" t="s">
        <v>40839</v>
      </c>
      <c r="E2920" s="716">
        <v>26.03</v>
      </c>
    </row>
    <row r="2921" spans="1:5">
      <c r="A2921" s="715">
        <v>40916</v>
      </c>
      <c r="B2921" s="633" t="s">
        <v>37408</v>
      </c>
      <c r="C2921" s="715" t="s">
        <v>27629</v>
      </c>
      <c r="D2921" s="715" t="s">
        <v>40839</v>
      </c>
      <c r="E2921" s="716">
        <v>4560.57</v>
      </c>
    </row>
    <row r="2922" spans="1:5">
      <c r="A2922" s="715">
        <v>4755</v>
      </c>
      <c r="B2922" s="633" t="s">
        <v>37409</v>
      </c>
      <c r="C2922" s="715" t="s">
        <v>11</v>
      </c>
      <c r="D2922" s="715" t="s">
        <v>40839</v>
      </c>
      <c r="E2922" s="716">
        <v>26.96</v>
      </c>
    </row>
    <row r="2923" spans="1:5">
      <c r="A2923" s="715">
        <v>41067</v>
      </c>
      <c r="B2923" s="633" t="s">
        <v>37410</v>
      </c>
      <c r="C2923" s="715" t="s">
        <v>27629</v>
      </c>
      <c r="D2923" s="715" t="s">
        <v>40839</v>
      </c>
      <c r="E2923" s="716">
        <v>4725.88</v>
      </c>
    </row>
    <row r="2924" spans="1:5">
      <c r="A2924" s="715">
        <v>45240</v>
      </c>
      <c r="B2924" s="633" t="s">
        <v>40866</v>
      </c>
      <c r="C2924" s="715" t="s">
        <v>103</v>
      </c>
      <c r="D2924" s="715" t="s">
        <v>40839</v>
      </c>
      <c r="E2924" s="716">
        <v>34.5</v>
      </c>
    </row>
    <row r="2925" spans="1:5">
      <c r="A2925" s="715">
        <v>45228</v>
      </c>
      <c r="B2925" s="633" t="s">
        <v>41045</v>
      </c>
      <c r="C2925" s="715" t="s">
        <v>103</v>
      </c>
      <c r="D2925" s="715" t="s">
        <v>40839</v>
      </c>
      <c r="E2925" s="716">
        <v>29.48</v>
      </c>
    </row>
    <row r="2926" spans="1:5" ht="29">
      <c r="A2926" s="715">
        <v>45241</v>
      </c>
      <c r="B2926" s="633" t="s">
        <v>40867</v>
      </c>
      <c r="C2926" s="715" t="s">
        <v>103</v>
      </c>
      <c r="D2926" s="715" t="s">
        <v>40839</v>
      </c>
      <c r="E2926" s="716">
        <v>42.42</v>
      </c>
    </row>
    <row r="2927" spans="1:5">
      <c r="A2927" s="715">
        <v>38463</v>
      </c>
      <c r="B2927" s="633" t="s">
        <v>37411</v>
      </c>
      <c r="C2927" s="715" t="s">
        <v>103</v>
      </c>
      <c r="D2927" s="715" t="s">
        <v>40839</v>
      </c>
      <c r="E2927" s="716">
        <v>44.97</v>
      </c>
    </row>
    <row r="2928" spans="1:5" ht="29">
      <c r="A2928" s="715">
        <v>40703</v>
      </c>
      <c r="B2928" s="633" t="s">
        <v>37412</v>
      </c>
      <c r="C2928" s="715" t="s">
        <v>103</v>
      </c>
      <c r="D2928" s="715" t="s">
        <v>28018</v>
      </c>
      <c r="E2928" s="716">
        <v>10449</v>
      </c>
    </row>
    <row r="2929" spans="1:5">
      <c r="A2929" s="715">
        <v>11616</v>
      </c>
      <c r="B2929" s="633" t="s">
        <v>37413</v>
      </c>
      <c r="C2929" s="715" t="s">
        <v>103</v>
      </c>
      <c r="D2929" s="715" t="s">
        <v>40839</v>
      </c>
      <c r="E2929" s="716">
        <v>12480.84</v>
      </c>
    </row>
    <row r="2930" spans="1:5">
      <c r="A2930" s="715">
        <v>41898</v>
      </c>
      <c r="B2930" s="633" t="s">
        <v>37414</v>
      </c>
      <c r="C2930" s="715" t="s">
        <v>103</v>
      </c>
      <c r="D2930" s="715" t="s">
        <v>40839</v>
      </c>
      <c r="E2930" s="716">
        <v>6164.14</v>
      </c>
    </row>
    <row r="2931" spans="1:5">
      <c r="A2931" s="715">
        <v>45304</v>
      </c>
      <c r="B2931" s="633" t="s">
        <v>41355</v>
      </c>
      <c r="C2931" s="715" t="s">
        <v>103</v>
      </c>
      <c r="D2931" s="715" t="s">
        <v>40839</v>
      </c>
      <c r="E2931" s="716">
        <v>10604.16</v>
      </c>
    </row>
    <row r="2932" spans="1:5" ht="29">
      <c r="A2932" s="715">
        <v>36141</v>
      </c>
      <c r="B2932" s="633" t="s">
        <v>37415</v>
      </c>
      <c r="C2932" s="715" t="s">
        <v>103</v>
      </c>
      <c r="D2932" s="715" t="s">
        <v>40839</v>
      </c>
      <c r="E2932" s="716">
        <v>100.54</v>
      </c>
    </row>
    <row r="2933" spans="1:5">
      <c r="A2933" s="715">
        <v>45211</v>
      </c>
      <c r="B2933" s="633" t="s">
        <v>41046</v>
      </c>
      <c r="C2933" s="715" t="s">
        <v>103</v>
      </c>
      <c r="D2933" s="715" t="s">
        <v>40839</v>
      </c>
      <c r="E2933" s="716">
        <v>91.37</v>
      </c>
    </row>
    <row r="2934" spans="1:5">
      <c r="A2934" s="715">
        <v>43651</v>
      </c>
      <c r="B2934" s="633" t="s">
        <v>37416</v>
      </c>
      <c r="C2934" s="715" t="s">
        <v>207</v>
      </c>
      <c r="D2934" s="715" t="s">
        <v>40839</v>
      </c>
      <c r="E2934" s="716">
        <v>6.96</v>
      </c>
    </row>
    <row r="2935" spans="1:5">
      <c r="A2935" s="715">
        <v>43626</v>
      </c>
      <c r="B2935" s="633" t="s">
        <v>37417</v>
      </c>
      <c r="C2935" s="715" t="s">
        <v>207</v>
      </c>
      <c r="D2935" s="715" t="s">
        <v>28018</v>
      </c>
      <c r="E2935" s="716">
        <v>3.87</v>
      </c>
    </row>
    <row r="2936" spans="1:5" ht="29">
      <c r="A2936" s="715">
        <v>39434</v>
      </c>
      <c r="B2936" s="633" t="s">
        <v>37418</v>
      </c>
      <c r="C2936" s="715" t="s">
        <v>207</v>
      </c>
      <c r="D2936" s="715" t="s">
        <v>40839</v>
      </c>
      <c r="E2936" s="716">
        <v>3.38</v>
      </c>
    </row>
    <row r="2937" spans="1:5" ht="29">
      <c r="A2937" s="715">
        <v>39433</v>
      </c>
      <c r="B2937" s="633" t="s">
        <v>37419</v>
      </c>
      <c r="C2937" s="715" t="s">
        <v>207</v>
      </c>
      <c r="D2937" s="715" t="s">
        <v>40839</v>
      </c>
      <c r="E2937" s="716">
        <v>2.69</v>
      </c>
    </row>
    <row r="2938" spans="1:5">
      <c r="A2938" s="715">
        <v>4049</v>
      </c>
      <c r="B2938" s="633" t="s">
        <v>37420</v>
      </c>
      <c r="C2938" s="715" t="s">
        <v>153</v>
      </c>
      <c r="D2938" s="715" t="s">
        <v>40839</v>
      </c>
      <c r="E2938" s="716">
        <v>77.67</v>
      </c>
    </row>
    <row r="2939" spans="1:5">
      <c r="A2939" s="715">
        <v>38120</v>
      </c>
      <c r="B2939" s="633" t="s">
        <v>37421</v>
      </c>
      <c r="C2939" s="715" t="s">
        <v>207</v>
      </c>
      <c r="D2939" s="715" t="s">
        <v>40839</v>
      </c>
      <c r="E2939" s="716">
        <v>126.46</v>
      </c>
    </row>
    <row r="2940" spans="1:5">
      <c r="A2940" s="715">
        <v>43652</v>
      </c>
      <c r="B2940" s="633" t="s">
        <v>37422</v>
      </c>
      <c r="C2940" s="715" t="s">
        <v>207</v>
      </c>
      <c r="D2940" s="715" t="s">
        <v>40839</v>
      </c>
      <c r="E2940" s="716">
        <v>15.59</v>
      </c>
    </row>
    <row r="2941" spans="1:5">
      <c r="A2941" s="715">
        <v>10498</v>
      </c>
      <c r="B2941" s="633" t="s">
        <v>7788</v>
      </c>
      <c r="C2941" s="715" t="s">
        <v>207</v>
      </c>
      <c r="D2941" s="715" t="s">
        <v>40839</v>
      </c>
      <c r="E2941" s="716">
        <v>11.46</v>
      </c>
    </row>
    <row r="2942" spans="1:5">
      <c r="A2942" s="715">
        <v>4823</v>
      </c>
      <c r="B2942" s="633" t="s">
        <v>37423</v>
      </c>
      <c r="C2942" s="715" t="s">
        <v>207</v>
      </c>
      <c r="D2942" s="715" t="s">
        <v>40839</v>
      </c>
      <c r="E2942" s="716">
        <v>34.479999999999997</v>
      </c>
    </row>
    <row r="2943" spans="1:5">
      <c r="A2943" s="715">
        <v>38877</v>
      </c>
      <c r="B2943" s="633" t="s">
        <v>37424</v>
      </c>
      <c r="C2943" s="715" t="s">
        <v>207</v>
      </c>
      <c r="D2943" s="715" t="s">
        <v>40839</v>
      </c>
      <c r="E2943" s="716">
        <v>7.67</v>
      </c>
    </row>
    <row r="2944" spans="1:5" ht="29">
      <c r="A2944" s="715">
        <v>34546</v>
      </c>
      <c r="B2944" s="633" t="s">
        <v>37425</v>
      </c>
      <c r="C2944" s="715" t="s">
        <v>207</v>
      </c>
      <c r="D2944" s="715" t="s">
        <v>40839</v>
      </c>
      <c r="E2944" s="716">
        <v>7.89</v>
      </c>
    </row>
    <row r="2945" spans="1:5">
      <c r="A2945" s="715">
        <v>41387</v>
      </c>
      <c r="B2945" s="633" t="s">
        <v>37426</v>
      </c>
      <c r="C2945" s="715" t="s">
        <v>165</v>
      </c>
      <c r="D2945" s="715" t="s">
        <v>40839</v>
      </c>
      <c r="E2945" s="716">
        <v>51.47</v>
      </c>
    </row>
    <row r="2946" spans="1:5">
      <c r="A2946" s="715">
        <v>41388</v>
      </c>
      <c r="B2946" s="633" t="s">
        <v>37427</v>
      </c>
      <c r="C2946" s="715" t="s">
        <v>165</v>
      </c>
      <c r="D2946" s="715" t="s">
        <v>40839</v>
      </c>
      <c r="E2946" s="716">
        <v>61.75</v>
      </c>
    </row>
    <row r="2947" spans="1:5">
      <c r="A2947" s="715">
        <v>41380</v>
      </c>
      <c r="B2947" s="633" t="s">
        <v>37428</v>
      </c>
      <c r="C2947" s="715" t="s">
        <v>103</v>
      </c>
      <c r="D2947" s="715" t="s">
        <v>40839</v>
      </c>
      <c r="E2947" s="716">
        <v>410.85</v>
      </c>
    </row>
    <row r="2948" spans="1:5">
      <c r="A2948" s="715">
        <v>41381</v>
      </c>
      <c r="B2948" s="633" t="s">
        <v>37429</v>
      </c>
      <c r="C2948" s="715" t="s">
        <v>103</v>
      </c>
      <c r="D2948" s="715" t="s">
        <v>40839</v>
      </c>
      <c r="E2948" s="716">
        <v>430.42</v>
      </c>
    </row>
    <row r="2949" spans="1:5">
      <c r="A2949" s="715">
        <v>41382</v>
      </c>
      <c r="B2949" s="633" t="s">
        <v>37430</v>
      </c>
      <c r="C2949" s="715" t="s">
        <v>103</v>
      </c>
      <c r="D2949" s="715" t="s">
        <v>40839</v>
      </c>
      <c r="E2949" s="716">
        <v>416.62</v>
      </c>
    </row>
    <row r="2950" spans="1:5">
      <c r="A2950" s="715">
        <v>41383</v>
      </c>
      <c r="B2950" s="633" t="s">
        <v>37431</v>
      </c>
      <c r="C2950" s="715" t="s">
        <v>103</v>
      </c>
      <c r="D2950" s="715" t="s">
        <v>40839</v>
      </c>
      <c r="E2950" s="716">
        <v>565.47</v>
      </c>
    </row>
    <row r="2951" spans="1:5">
      <c r="A2951" s="715">
        <v>41385</v>
      </c>
      <c r="B2951" s="633" t="s">
        <v>37432</v>
      </c>
      <c r="C2951" s="715" t="s">
        <v>103</v>
      </c>
      <c r="D2951" s="715" t="s">
        <v>40839</v>
      </c>
      <c r="E2951" s="716">
        <v>703.66</v>
      </c>
    </row>
    <row r="2952" spans="1:5">
      <c r="A2952" s="715">
        <v>4058</v>
      </c>
      <c r="B2952" s="633" t="s">
        <v>37433</v>
      </c>
      <c r="C2952" s="715" t="s">
        <v>11</v>
      </c>
      <c r="D2952" s="715" t="s">
        <v>40839</v>
      </c>
      <c r="E2952" s="716">
        <v>41.69</v>
      </c>
    </row>
    <row r="2953" spans="1:5">
      <c r="A2953" s="715">
        <v>40974</v>
      </c>
      <c r="B2953" s="633" t="s">
        <v>37434</v>
      </c>
      <c r="C2953" s="715" t="s">
        <v>27629</v>
      </c>
      <c r="D2953" s="715" t="s">
        <v>40839</v>
      </c>
      <c r="E2953" s="716">
        <v>7304.11</v>
      </c>
    </row>
    <row r="2954" spans="1:5">
      <c r="A2954" s="715">
        <v>34794</v>
      </c>
      <c r="B2954" s="633" t="s">
        <v>37435</v>
      </c>
      <c r="C2954" s="715" t="s">
        <v>11</v>
      </c>
      <c r="D2954" s="715" t="s">
        <v>40839</v>
      </c>
      <c r="E2954" s="716">
        <v>34.96</v>
      </c>
    </row>
    <row r="2955" spans="1:5">
      <c r="A2955" s="715">
        <v>40925</v>
      </c>
      <c r="B2955" s="633" t="s">
        <v>37436</v>
      </c>
      <c r="C2955" s="715" t="s">
        <v>27629</v>
      </c>
      <c r="D2955" s="715" t="s">
        <v>40839</v>
      </c>
      <c r="E2955" s="716">
        <v>6127.02</v>
      </c>
    </row>
    <row r="2956" spans="1:5">
      <c r="A2956" s="715">
        <v>13741</v>
      </c>
      <c r="B2956" s="633" t="s">
        <v>37437</v>
      </c>
      <c r="C2956" s="715" t="s">
        <v>103</v>
      </c>
      <c r="D2956" s="715" t="s">
        <v>40839</v>
      </c>
      <c r="E2956" s="716">
        <v>2360.44</v>
      </c>
    </row>
    <row r="2957" spans="1:5" ht="29">
      <c r="A2957" s="715">
        <v>3288</v>
      </c>
      <c r="B2957" s="633" t="s">
        <v>37438</v>
      </c>
      <c r="C2957" s="715" t="s">
        <v>165</v>
      </c>
      <c r="D2957" s="715" t="s">
        <v>28018</v>
      </c>
      <c r="E2957" s="716">
        <v>7.5</v>
      </c>
    </row>
    <row r="2958" spans="1:5" ht="29">
      <c r="A2958" s="715">
        <v>13587</v>
      </c>
      <c r="B2958" s="633" t="s">
        <v>37439</v>
      </c>
      <c r="C2958" s="715" t="s">
        <v>165</v>
      </c>
      <c r="D2958" s="715" t="s">
        <v>40839</v>
      </c>
      <c r="E2958" s="716">
        <v>4.53</v>
      </c>
    </row>
    <row r="2959" spans="1:5">
      <c r="A2959" s="715">
        <v>38598</v>
      </c>
      <c r="B2959" s="633" t="s">
        <v>37440</v>
      </c>
      <c r="C2959" s="715" t="s">
        <v>103</v>
      </c>
      <c r="D2959" s="715" t="s">
        <v>40839</v>
      </c>
      <c r="E2959" s="716">
        <v>3.58</v>
      </c>
    </row>
    <row r="2960" spans="1:5">
      <c r="A2960" s="715">
        <v>38595</v>
      </c>
      <c r="B2960" s="633" t="s">
        <v>37441</v>
      </c>
      <c r="C2960" s="715" t="s">
        <v>103</v>
      </c>
      <c r="D2960" s="715" t="s">
        <v>40839</v>
      </c>
      <c r="E2960" s="716">
        <v>3.04</v>
      </c>
    </row>
    <row r="2961" spans="1:5">
      <c r="A2961" s="715">
        <v>38592</v>
      </c>
      <c r="B2961" s="633" t="s">
        <v>37442</v>
      </c>
      <c r="C2961" s="715" t="s">
        <v>103</v>
      </c>
      <c r="D2961" s="715" t="s">
        <v>40839</v>
      </c>
      <c r="E2961" s="716">
        <v>3.07</v>
      </c>
    </row>
    <row r="2962" spans="1:5">
      <c r="A2962" s="715">
        <v>38588</v>
      </c>
      <c r="B2962" s="633" t="s">
        <v>37443</v>
      </c>
      <c r="C2962" s="715" t="s">
        <v>103</v>
      </c>
      <c r="D2962" s="715" t="s">
        <v>40839</v>
      </c>
      <c r="E2962" s="716">
        <v>2.46</v>
      </c>
    </row>
    <row r="2963" spans="1:5">
      <c r="A2963" s="715">
        <v>38593</v>
      </c>
      <c r="B2963" s="633" t="s">
        <v>37444</v>
      </c>
      <c r="C2963" s="715" t="s">
        <v>103</v>
      </c>
      <c r="D2963" s="715" t="s">
        <v>40839</v>
      </c>
      <c r="E2963" s="716">
        <v>3.39</v>
      </c>
    </row>
    <row r="2964" spans="1:5">
      <c r="A2964" s="715">
        <v>38589</v>
      </c>
      <c r="B2964" s="633" t="s">
        <v>37445</v>
      </c>
      <c r="C2964" s="715" t="s">
        <v>103</v>
      </c>
      <c r="D2964" s="715" t="s">
        <v>40839</v>
      </c>
      <c r="E2964" s="716">
        <v>2.57</v>
      </c>
    </row>
    <row r="2965" spans="1:5">
      <c r="A2965" s="715">
        <v>38594</v>
      </c>
      <c r="B2965" s="633" t="s">
        <v>37446</v>
      </c>
      <c r="C2965" s="715" t="s">
        <v>103</v>
      </c>
      <c r="D2965" s="715" t="s">
        <v>40839</v>
      </c>
      <c r="E2965" s="716">
        <v>5.35</v>
      </c>
    </row>
    <row r="2966" spans="1:5">
      <c r="A2966" s="715">
        <v>34774</v>
      </c>
      <c r="B2966" s="633" t="s">
        <v>37447</v>
      </c>
      <c r="C2966" s="715" t="s">
        <v>103</v>
      </c>
      <c r="D2966" s="715" t="s">
        <v>40839</v>
      </c>
      <c r="E2966" s="716">
        <v>2.4</v>
      </c>
    </row>
    <row r="2967" spans="1:5">
      <c r="A2967" s="715">
        <v>34771</v>
      </c>
      <c r="B2967" s="633" t="s">
        <v>37448</v>
      </c>
      <c r="C2967" s="715" t="s">
        <v>103</v>
      </c>
      <c r="D2967" s="715" t="s">
        <v>40839</v>
      </c>
      <c r="E2967" s="716">
        <v>2.9</v>
      </c>
    </row>
    <row r="2968" spans="1:5">
      <c r="A2968" s="715">
        <v>34764</v>
      </c>
      <c r="B2968" s="633" t="s">
        <v>37449</v>
      </c>
      <c r="C2968" s="715" t="s">
        <v>103</v>
      </c>
      <c r="D2968" s="715" t="s">
        <v>40839</v>
      </c>
      <c r="E2968" s="716">
        <v>1.9</v>
      </c>
    </row>
    <row r="2969" spans="1:5" ht="29">
      <c r="A2969" s="715">
        <v>34773</v>
      </c>
      <c r="B2969" s="633" t="s">
        <v>37450</v>
      </c>
      <c r="C2969" s="715" t="s">
        <v>103</v>
      </c>
      <c r="D2969" s="715" t="s">
        <v>40839</v>
      </c>
      <c r="E2969" s="716">
        <v>2.5299999999999998</v>
      </c>
    </row>
    <row r="2970" spans="1:5" ht="29">
      <c r="A2970" s="715">
        <v>34769</v>
      </c>
      <c r="B2970" s="633" t="s">
        <v>37451</v>
      </c>
      <c r="C2970" s="715" t="s">
        <v>103</v>
      </c>
      <c r="D2970" s="715" t="s">
        <v>40839</v>
      </c>
      <c r="E2970" s="716">
        <v>3.13</v>
      </c>
    </row>
    <row r="2971" spans="1:5" ht="29">
      <c r="A2971" s="715">
        <v>34763</v>
      </c>
      <c r="B2971" s="633" t="s">
        <v>37452</v>
      </c>
      <c r="C2971" s="715" t="s">
        <v>103</v>
      </c>
      <c r="D2971" s="715" t="s">
        <v>40839</v>
      </c>
      <c r="E2971" s="716">
        <v>1.93</v>
      </c>
    </row>
    <row r="2972" spans="1:5">
      <c r="A2972" s="715">
        <v>34788</v>
      </c>
      <c r="B2972" s="633" t="s">
        <v>37453</v>
      </c>
      <c r="C2972" s="715" t="s">
        <v>103</v>
      </c>
      <c r="D2972" s="715" t="s">
        <v>40839</v>
      </c>
      <c r="E2972" s="716">
        <v>1.24</v>
      </c>
    </row>
    <row r="2973" spans="1:5">
      <c r="A2973" s="715">
        <v>34781</v>
      </c>
      <c r="B2973" s="633" t="s">
        <v>37454</v>
      </c>
      <c r="C2973" s="715" t="s">
        <v>103</v>
      </c>
      <c r="D2973" s="715" t="s">
        <v>40839</v>
      </c>
      <c r="E2973" s="716">
        <v>1.71</v>
      </c>
    </row>
    <row r="2974" spans="1:5">
      <c r="A2974" s="715">
        <v>41682</v>
      </c>
      <c r="B2974" s="633" t="s">
        <v>37455</v>
      </c>
      <c r="C2974" s="715" t="s">
        <v>103</v>
      </c>
      <c r="D2974" s="715" t="s">
        <v>40839</v>
      </c>
      <c r="E2974" s="716">
        <v>29.47</v>
      </c>
    </row>
    <row r="2975" spans="1:5">
      <c r="A2975" s="715">
        <v>41683</v>
      </c>
      <c r="B2975" s="633" t="s">
        <v>37456</v>
      </c>
      <c r="C2975" s="715" t="s">
        <v>103</v>
      </c>
      <c r="D2975" s="715" t="s">
        <v>40839</v>
      </c>
      <c r="E2975" s="716">
        <v>21.68</v>
      </c>
    </row>
    <row r="2976" spans="1:5" ht="29">
      <c r="A2976" s="715">
        <v>41680</v>
      </c>
      <c r="B2976" s="633" t="s">
        <v>37457</v>
      </c>
      <c r="C2976" s="715" t="s">
        <v>103</v>
      </c>
      <c r="D2976" s="715" t="s">
        <v>40839</v>
      </c>
      <c r="E2976" s="716">
        <v>11.67</v>
      </c>
    </row>
    <row r="2977" spans="1:5">
      <c r="A2977" s="715">
        <v>41679</v>
      </c>
      <c r="B2977" s="633" t="s">
        <v>37458</v>
      </c>
      <c r="C2977" s="715" t="s">
        <v>103</v>
      </c>
      <c r="D2977" s="715" t="s">
        <v>40839</v>
      </c>
      <c r="E2977" s="716">
        <v>26.69</v>
      </c>
    </row>
    <row r="2978" spans="1:5" ht="29">
      <c r="A2978" s="715">
        <v>41681</v>
      </c>
      <c r="B2978" s="633" t="s">
        <v>37459</v>
      </c>
      <c r="C2978" s="715" t="s">
        <v>103</v>
      </c>
      <c r="D2978" s="715" t="s">
        <v>40839</v>
      </c>
      <c r="E2978" s="716">
        <v>18.260000000000002</v>
      </c>
    </row>
    <row r="2979" spans="1:5" ht="29">
      <c r="A2979" s="715">
        <v>43386</v>
      </c>
      <c r="B2979" s="633" t="s">
        <v>41047</v>
      </c>
      <c r="C2979" s="715" t="s">
        <v>103</v>
      </c>
      <c r="D2979" s="715" t="s">
        <v>40839</v>
      </c>
      <c r="E2979" s="716">
        <v>41.7</v>
      </c>
    </row>
    <row r="2980" spans="1:5">
      <c r="A2980" s="715">
        <v>4059</v>
      </c>
      <c r="B2980" s="633" t="s">
        <v>37460</v>
      </c>
      <c r="C2980" s="715" t="s">
        <v>165</v>
      </c>
      <c r="D2980" s="715" t="s">
        <v>40839</v>
      </c>
      <c r="E2980" s="716">
        <v>29.47</v>
      </c>
    </row>
    <row r="2981" spans="1:5">
      <c r="A2981" s="715">
        <v>4062</v>
      </c>
      <c r="B2981" s="633" t="s">
        <v>37461</v>
      </c>
      <c r="C2981" s="715" t="s">
        <v>103</v>
      </c>
      <c r="D2981" s="715" t="s">
        <v>40839</v>
      </c>
      <c r="E2981" s="716">
        <v>29.47</v>
      </c>
    </row>
    <row r="2982" spans="1:5" ht="29">
      <c r="A2982" s="715">
        <v>4061</v>
      </c>
      <c r="B2982" s="633" t="s">
        <v>37462</v>
      </c>
      <c r="C2982" s="715" t="s">
        <v>103</v>
      </c>
      <c r="D2982" s="715" t="s">
        <v>40839</v>
      </c>
      <c r="E2982" s="716">
        <v>36.700000000000003</v>
      </c>
    </row>
    <row r="2983" spans="1:5" ht="29">
      <c r="A2983" s="715">
        <v>41315</v>
      </c>
      <c r="B2983" s="633" t="s">
        <v>37463</v>
      </c>
      <c r="C2983" s="715" t="s">
        <v>207</v>
      </c>
      <c r="D2983" s="715" t="s">
        <v>40839</v>
      </c>
      <c r="E2983" s="716">
        <v>87.13</v>
      </c>
    </row>
    <row r="2984" spans="1:5">
      <c r="A2984" s="715">
        <v>43148</v>
      </c>
      <c r="B2984" s="633" t="s">
        <v>37464</v>
      </c>
      <c r="C2984" s="715" t="s">
        <v>207</v>
      </c>
      <c r="D2984" s="715" t="s">
        <v>40839</v>
      </c>
      <c r="E2984" s="716">
        <v>59.14</v>
      </c>
    </row>
    <row r="2985" spans="1:5">
      <c r="A2985" s="715">
        <v>43147</v>
      </c>
      <c r="B2985" s="633" t="s">
        <v>37465</v>
      </c>
      <c r="C2985" s="715" t="s">
        <v>207</v>
      </c>
      <c r="D2985" s="715" t="s">
        <v>40839</v>
      </c>
      <c r="E2985" s="716">
        <v>22.9</v>
      </c>
    </row>
    <row r="2986" spans="1:5" ht="29">
      <c r="A2986" s="715">
        <v>10608</v>
      </c>
      <c r="B2986" s="633" t="s">
        <v>37466</v>
      </c>
      <c r="C2986" s="715" t="s">
        <v>103</v>
      </c>
      <c r="D2986" s="715" t="s">
        <v>28018</v>
      </c>
      <c r="E2986" s="716">
        <v>10200</v>
      </c>
    </row>
    <row r="2987" spans="1:5">
      <c r="A2987" s="715">
        <v>4069</v>
      </c>
      <c r="B2987" s="633" t="s">
        <v>37467</v>
      </c>
      <c r="C2987" s="715" t="s">
        <v>11</v>
      </c>
      <c r="D2987" s="715" t="s">
        <v>40839</v>
      </c>
      <c r="E2987" s="716">
        <v>75.03</v>
      </c>
    </row>
    <row r="2988" spans="1:5">
      <c r="A2988" s="715">
        <v>40819</v>
      </c>
      <c r="B2988" s="633" t="s">
        <v>37468</v>
      </c>
      <c r="C2988" s="715" t="s">
        <v>27629</v>
      </c>
      <c r="D2988" s="715" t="s">
        <v>40839</v>
      </c>
      <c r="E2988" s="716">
        <v>13146.43</v>
      </c>
    </row>
    <row r="2989" spans="1:5">
      <c r="A2989" s="715">
        <v>34361</v>
      </c>
      <c r="B2989" s="633" t="s">
        <v>37469</v>
      </c>
      <c r="C2989" s="715" t="s">
        <v>207</v>
      </c>
      <c r="D2989" s="715" t="s">
        <v>40839</v>
      </c>
      <c r="E2989" s="716">
        <v>16.670000000000002</v>
      </c>
    </row>
    <row r="2990" spans="1:5" ht="29">
      <c r="A2990" s="715">
        <v>44478</v>
      </c>
      <c r="B2990" s="633" t="s">
        <v>41048</v>
      </c>
      <c r="C2990" s="715" t="s">
        <v>207</v>
      </c>
      <c r="D2990" s="715" t="s">
        <v>40839</v>
      </c>
      <c r="E2990" s="716">
        <v>14.99</v>
      </c>
    </row>
    <row r="2991" spans="1:5" ht="29">
      <c r="A2991" s="715">
        <v>44477</v>
      </c>
      <c r="B2991" s="633" t="s">
        <v>41049</v>
      </c>
      <c r="C2991" s="715" t="s">
        <v>207</v>
      </c>
      <c r="D2991" s="715" t="s">
        <v>40839</v>
      </c>
      <c r="E2991" s="716">
        <v>14.99</v>
      </c>
    </row>
    <row r="2992" spans="1:5">
      <c r="A2992" s="715">
        <v>11697</v>
      </c>
      <c r="B2992" s="633" t="s">
        <v>37470</v>
      </c>
      <c r="C2992" s="715" t="s">
        <v>103</v>
      </c>
      <c r="D2992" s="715" t="s">
        <v>40839</v>
      </c>
      <c r="E2992" s="716">
        <v>678.58</v>
      </c>
    </row>
    <row r="2993" spans="1:5">
      <c r="A2993" s="715">
        <v>11698</v>
      </c>
      <c r="B2993" s="633" t="s">
        <v>37471</v>
      </c>
      <c r="C2993" s="715" t="s">
        <v>103</v>
      </c>
      <c r="D2993" s="715" t="s">
        <v>40839</v>
      </c>
      <c r="E2993" s="716">
        <v>809.51</v>
      </c>
    </row>
    <row r="2994" spans="1:5">
      <c r="A2994" s="715">
        <v>11699</v>
      </c>
      <c r="B2994" s="633" t="s">
        <v>37472</v>
      </c>
      <c r="C2994" s="715" t="s">
        <v>103</v>
      </c>
      <c r="D2994" s="715" t="s">
        <v>40839</v>
      </c>
      <c r="E2994" s="716">
        <v>894.69</v>
      </c>
    </row>
    <row r="2995" spans="1:5">
      <c r="A2995" s="715">
        <v>10432</v>
      </c>
      <c r="B2995" s="633" t="s">
        <v>37473</v>
      </c>
      <c r="C2995" s="715" t="s">
        <v>103</v>
      </c>
      <c r="D2995" s="715" t="s">
        <v>40839</v>
      </c>
      <c r="E2995" s="716">
        <v>393.32</v>
      </c>
    </row>
    <row r="2996" spans="1:5" ht="29">
      <c r="A2996" s="715">
        <v>44020</v>
      </c>
      <c r="B2996" s="633" t="s">
        <v>37474</v>
      </c>
      <c r="C2996" s="715" t="s">
        <v>103</v>
      </c>
      <c r="D2996" s="715" t="s">
        <v>40839</v>
      </c>
      <c r="E2996" s="716">
        <v>970.38</v>
      </c>
    </row>
    <row r="2997" spans="1:5" ht="29">
      <c r="A2997" s="715">
        <v>41419</v>
      </c>
      <c r="B2997" s="633" t="s">
        <v>37475</v>
      </c>
      <c r="C2997" s="715" t="s">
        <v>103</v>
      </c>
      <c r="D2997" s="715" t="s">
        <v>40839</v>
      </c>
      <c r="E2997" s="716">
        <v>7.7</v>
      </c>
    </row>
    <row r="2998" spans="1:5" ht="29">
      <c r="A2998" s="715">
        <v>41420</v>
      </c>
      <c r="B2998" s="633" t="s">
        <v>37476</v>
      </c>
      <c r="C2998" s="715" t="s">
        <v>103</v>
      </c>
      <c r="D2998" s="715" t="s">
        <v>40839</v>
      </c>
      <c r="E2998" s="716">
        <v>10.47</v>
      </c>
    </row>
    <row r="2999" spans="1:5" ht="29">
      <c r="A2999" s="715">
        <v>41421</v>
      </c>
      <c r="B2999" s="633" t="s">
        <v>37477</v>
      </c>
      <c r="C2999" s="715" t="s">
        <v>103</v>
      </c>
      <c r="D2999" s="715" t="s">
        <v>40839</v>
      </c>
      <c r="E2999" s="716">
        <v>10.45</v>
      </c>
    </row>
    <row r="3000" spans="1:5" ht="29">
      <c r="A3000" s="715">
        <v>41422</v>
      </c>
      <c r="B3000" s="633" t="s">
        <v>37478</v>
      </c>
      <c r="C3000" s="715" t="s">
        <v>103</v>
      </c>
      <c r="D3000" s="715" t="s">
        <v>40839</v>
      </c>
      <c r="E3000" s="716">
        <v>14.3</v>
      </c>
    </row>
    <row r="3001" spans="1:5" ht="29">
      <c r="A3001" s="715">
        <v>41425</v>
      </c>
      <c r="B3001" s="633" t="s">
        <v>37479</v>
      </c>
      <c r="C3001" s="715" t="s">
        <v>103</v>
      </c>
      <c r="D3001" s="715" t="s">
        <v>40839</v>
      </c>
      <c r="E3001" s="716">
        <v>7.32</v>
      </c>
    </row>
    <row r="3002" spans="1:5" ht="29">
      <c r="A3002" s="715">
        <v>41426</v>
      </c>
      <c r="B3002" s="633" t="s">
        <v>37480</v>
      </c>
      <c r="C3002" s="715" t="s">
        <v>103</v>
      </c>
      <c r="D3002" s="715" t="s">
        <v>40839</v>
      </c>
      <c r="E3002" s="716">
        <v>13.2</v>
      </c>
    </row>
    <row r="3003" spans="1:5">
      <c r="A3003" s="715">
        <v>41414</v>
      </c>
      <c r="B3003" s="633" t="s">
        <v>37481</v>
      </c>
      <c r="C3003" s="715" t="s">
        <v>103</v>
      </c>
      <c r="D3003" s="715" t="s">
        <v>40839</v>
      </c>
      <c r="E3003" s="716">
        <v>24.22</v>
      </c>
    </row>
    <row r="3004" spans="1:5">
      <c r="A3004" s="715">
        <v>41415</v>
      </c>
      <c r="B3004" s="633" t="s">
        <v>37482</v>
      </c>
      <c r="C3004" s="715" t="s">
        <v>103</v>
      </c>
      <c r="D3004" s="715" t="s">
        <v>40839</v>
      </c>
      <c r="E3004" s="716">
        <v>28.21</v>
      </c>
    </row>
    <row r="3005" spans="1:5" ht="29">
      <c r="A3005" s="715">
        <v>37514</v>
      </c>
      <c r="B3005" s="633" t="s">
        <v>37483</v>
      </c>
      <c r="C3005" s="715" t="s">
        <v>103</v>
      </c>
      <c r="D3005" s="715" t="s">
        <v>28018</v>
      </c>
      <c r="E3005" s="716">
        <v>360000</v>
      </c>
    </row>
    <row r="3006" spans="1:5" ht="29">
      <c r="A3006" s="715">
        <v>37520</v>
      </c>
      <c r="B3006" s="633" t="s">
        <v>37484</v>
      </c>
      <c r="C3006" s="715" t="s">
        <v>103</v>
      </c>
      <c r="D3006" s="715" t="s">
        <v>40839</v>
      </c>
      <c r="E3006" s="716">
        <v>546477.66</v>
      </c>
    </row>
    <row r="3007" spans="1:5" ht="29">
      <c r="A3007" s="715">
        <v>37546</v>
      </c>
      <c r="B3007" s="633" t="s">
        <v>37485</v>
      </c>
      <c r="C3007" s="715" t="s">
        <v>103</v>
      </c>
      <c r="D3007" s="715" t="s">
        <v>40839</v>
      </c>
      <c r="E3007" s="716">
        <v>13067.76</v>
      </c>
    </row>
    <row r="3008" spans="1:5" ht="29">
      <c r="A3008" s="715">
        <v>37544</v>
      </c>
      <c r="B3008" s="633" t="s">
        <v>37486</v>
      </c>
      <c r="C3008" s="715" t="s">
        <v>103</v>
      </c>
      <c r="D3008" s="715" t="s">
        <v>40839</v>
      </c>
      <c r="E3008" s="716">
        <v>13821.35</v>
      </c>
    </row>
    <row r="3009" spans="1:5" ht="29">
      <c r="A3009" s="715">
        <v>37545</v>
      </c>
      <c r="B3009" s="633" t="s">
        <v>37487</v>
      </c>
      <c r="C3009" s="715" t="s">
        <v>103</v>
      </c>
      <c r="D3009" s="715" t="s">
        <v>40839</v>
      </c>
      <c r="E3009" s="716">
        <v>16445.55</v>
      </c>
    </row>
    <row r="3010" spans="1:5">
      <c r="A3010" s="715">
        <v>36793</v>
      </c>
      <c r="B3010" s="633" t="s">
        <v>37488</v>
      </c>
      <c r="C3010" s="715" t="s">
        <v>103</v>
      </c>
      <c r="D3010" s="715" t="s">
        <v>40839</v>
      </c>
      <c r="E3010" s="716">
        <v>780.77</v>
      </c>
    </row>
    <row r="3011" spans="1:5" ht="29">
      <c r="A3011" s="715">
        <v>11769</v>
      </c>
      <c r="B3011" s="633" t="s">
        <v>37489</v>
      </c>
      <c r="C3011" s="715" t="s">
        <v>103</v>
      </c>
      <c r="D3011" s="715" t="s">
        <v>40839</v>
      </c>
      <c r="E3011" s="716">
        <v>345.04</v>
      </c>
    </row>
    <row r="3012" spans="1:5" ht="29">
      <c r="A3012" s="715">
        <v>11771</v>
      </c>
      <c r="B3012" s="633" t="s">
        <v>37490</v>
      </c>
      <c r="C3012" s="715" t="s">
        <v>103</v>
      </c>
      <c r="D3012" s="715" t="s">
        <v>40839</v>
      </c>
      <c r="E3012" s="716">
        <v>422.63</v>
      </c>
    </row>
    <row r="3013" spans="1:5" ht="43">
      <c r="A3013" s="715">
        <v>39919</v>
      </c>
      <c r="B3013" s="633" t="s">
        <v>37491</v>
      </c>
      <c r="C3013" s="715" t="s">
        <v>103</v>
      </c>
      <c r="D3013" s="715" t="s">
        <v>40839</v>
      </c>
      <c r="E3013" s="716">
        <v>65411.35</v>
      </c>
    </row>
    <row r="3014" spans="1:5" ht="29">
      <c r="A3014" s="715">
        <v>38385</v>
      </c>
      <c r="B3014" s="633" t="s">
        <v>37492</v>
      </c>
      <c r="C3014" s="715" t="s">
        <v>103</v>
      </c>
      <c r="D3014" s="715" t="s">
        <v>40839</v>
      </c>
      <c r="E3014" s="716">
        <v>40.200000000000003</v>
      </c>
    </row>
    <row r="3015" spans="1:5" ht="29">
      <c r="A3015" s="715">
        <v>36800</v>
      </c>
      <c r="B3015" s="633" t="s">
        <v>41050</v>
      </c>
      <c r="C3015" s="715" t="s">
        <v>103</v>
      </c>
      <c r="D3015" s="715" t="s">
        <v>40839</v>
      </c>
      <c r="E3015" s="716">
        <v>207.33</v>
      </c>
    </row>
    <row r="3016" spans="1:5" ht="29">
      <c r="A3016" s="715">
        <v>37587</v>
      </c>
      <c r="B3016" s="633" t="s">
        <v>37493</v>
      </c>
      <c r="C3016" s="715" t="s">
        <v>103</v>
      </c>
      <c r="D3016" s="715" t="s">
        <v>40839</v>
      </c>
      <c r="E3016" s="716">
        <v>455.5</v>
      </c>
    </row>
    <row r="3017" spans="1:5" ht="29">
      <c r="A3017" s="715">
        <v>11561</v>
      </c>
      <c r="B3017" s="633" t="s">
        <v>37494</v>
      </c>
      <c r="C3017" s="715" t="s">
        <v>103</v>
      </c>
      <c r="D3017" s="715" t="s">
        <v>40839</v>
      </c>
      <c r="E3017" s="716">
        <v>231.59</v>
      </c>
    </row>
    <row r="3018" spans="1:5" ht="29">
      <c r="A3018" s="715">
        <v>43604</v>
      </c>
      <c r="B3018" s="633" t="s">
        <v>37495</v>
      </c>
      <c r="C3018" s="715" t="s">
        <v>103</v>
      </c>
      <c r="D3018" s="715" t="s">
        <v>40839</v>
      </c>
      <c r="E3018" s="716">
        <v>123.46</v>
      </c>
    </row>
    <row r="3019" spans="1:5" ht="29">
      <c r="A3019" s="715">
        <v>11560</v>
      </c>
      <c r="B3019" s="633" t="s">
        <v>37496</v>
      </c>
      <c r="C3019" s="715" t="s">
        <v>103</v>
      </c>
      <c r="D3019" s="715" t="s">
        <v>40839</v>
      </c>
      <c r="E3019" s="716">
        <v>178.75</v>
      </c>
    </row>
    <row r="3020" spans="1:5" ht="29">
      <c r="A3020" s="715">
        <v>11499</v>
      </c>
      <c r="B3020" s="633" t="s">
        <v>37497</v>
      </c>
      <c r="C3020" s="715" t="s">
        <v>103</v>
      </c>
      <c r="D3020" s="715" t="s">
        <v>40839</v>
      </c>
      <c r="E3020" s="716">
        <v>999.9</v>
      </c>
    </row>
    <row r="3021" spans="1:5">
      <c r="A3021" s="715">
        <v>34761</v>
      </c>
      <c r="B3021" s="633" t="s">
        <v>37498</v>
      </c>
      <c r="C3021" s="715" t="s">
        <v>11</v>
      </c>
      <c r="D3021" s="715" t="s">
        <v>40839</v>
      </c>
      <c r="E3021" s="716">
        <v>34.5</v>
      </c>
    </row>
    <row r="3022" spans="1:5">
      <c r="A3022" s="715">
        <v>40924</v>
      </c>
      <c r="B3022" s="633" t="s">
        <v>37499</v>
      </c>
      <c r="C3022" s="715" t="s">
        <v>27629</v>
      </c>
      <c r="D3022" s="715" t="s">
        <v>40839</v>
      </c>
      <c r="E3022" s="716">
        <v>6045.94</v>
      </c>
    </row>
    <row r="3023" spans="1:5">
      <c r="A3023" s="715">
        <v>40983</v>
      </c>
      <c r="B3023" s="633" t="s">
        <v>37500</v>
      </c>
      <c r="C3023" s="715" t="s">
        <v>27629</v>
      </c>
      <c r="D3023" s="715" t="s">
        <v>40839</v>
      </c>
      <c r="E3023" s="716">
        <v>4641.22</v>
      </c>
    </row>
    <row r="3024" spans="1:5">
      <c r="A3024" s="715">
        <v>44497</v>
      </c>
      <c r="B3024" s="633" t="s">
        <v>37501</v>
      </c>
      <c r="C3024" s="715" t="s">
        <v>11</v>
      </c>
      <c r="D3024" s="715" t="s">
        <v>40839</v>
      </c>
      <c r="E3024" s="716">
        <v>26.48</v>
      </c>
    </row>
    <row r="3025" spans="1:5">
      <c r="A3025" s="715">
        <v>2437</v>
      </c>
      <c r="B3025" s="633" t="s">
        <v>37502</v>
      </c>
      <c r="C3025" s="715" t="s">
        <v>11</v>
      </c>
      <c r="D3025" s="715" t="s">
        <v>40839</v>
      </c>
      <c r="E3025" s="716">
        <v>31.73</v>
      </c>
    </row>
    <row r="3026" spans="1:5">
      <c r="A3026" s="715">
        <v>40921</v>
      </c>
      <c r="B3026" s="633" t="s">
        <v>37503</v>
      </c>
      <c r="C3026" s="715" t="s">
        <v>27629</v>
      </c>
      <c r="D3026" s="715" t="s">
        <v>40839</v>
      </c>
      <c r="E3026" s="716">
        <v>5561.6</v>
      </c>
    </row>
    <row r="3027" spans="1:5" ht="29">
      <c r="A3027" s="715">
        <v>36502</v>
      </c>
      <c r="B3027" s="633" t="s">
        <v>37504</v>
      </c>
      <c r="C3027" s="715" t="s">
        <v>103</v>
      </c>
      <c r="D3027" s="715" t="s">
        <v>40839</v>
      </c>
      <c r="E3027" s="716">
        <v>3009.7</v>
      </c>
    </row>
    <row r="3028" spans="1:5" ht="29">
      <c r="A3028" s="715">
        <v>36503</v>
      </c>
      <c r="B3028" s="633" t="s">
        <v>37505</v>
      </c>
      <c r="C3028" s="715" t="s">
        <v>103</v>
      </c>
      <c r="D3028" s="715" t="s">
        <v>40839</v>
      </c>
      <c r="E3028" s="716">
        <v>3711.32</v>
      </c>
    </row>
    <row r="3029" spans="1:5" ht="29">
      <c r="A3029" s="715">
        <v>4090</v>
      </c>
      <c r="B3029" s="633" t="s">
        <v>37506</v>
      </c>
      <c r="C3029" s="715" t="s">
        <v>103</v>
      </c>
      <c r="D3029" s="715" t="s">
        <v>28018</v>
      </c>
      <c r="E3029" s="716">
        <v>1200000</v>
      </c>
    </row>
    <row r="3030" spans="1:5">
      <c r="A3030" s="715">
        <v>4093</v>
      </c>
      <c r="B3030" s="633" t="s">
        <v>37507</v>
      </c>
      <c r="C3030" s="715" t="s">
        <v>11</v>
      </c>
      <c r="D3030" s="715" t="s">
        <v>28018</v>
      </c>
      <c r="E3030" s="716">
        <v>29.95</v>
      </c>
    </row>
    <row r="3031" spans="1:5">
      <c r="A3031" s="715">
        <v>10512</v>
      </c>
      <c r="B3031" s="633" t="s">
        <v>37508</v>
      </c>
      <c r="C3031" s="715" t="s">
        <v>27629</v>
      </c>
      <c r="D3031" s="715" t="s">
        <v>40839</v>
      </c>
      <c r="E3031" s="716">
        <v>5245.98</v>
      </c>
    </row>
    <row r="3032" spans="1:5">
      <c r="A3032" s="715">
        <v>4243</v>
      </c>
      <c r="B3032" s="633" t="s">
        <v>37509</v>
      </c>
      <c r="C3032" s="715" t="s">
        <v>11</v>
      </c>
      <c r="D3032" s="715" t="s">
        <v>40839</v>
      </c>
      <c r="E3032" s="716">
        <v>28.59</v>
      </c>
    </row>
    <row r="3033" spans="1:5">
      <c r="A3033" s="715">
        <v>20020</v>
      </c>
      <c r="B3033" s="633" t="s">
        <v>37510</v>
      </c>
      <c r="C3033" s="715" t="s">
        <v>11</v>
      </c>
      <c r="D3033" s="715" t="s">
        <v>40839</v>
      </c>
      <c r="E3033" s="716">
        <v>31.11</v>
      </c>
    </row>
    <row r="3034" spans="1:5">
      <c r="A3034" s="715">
        <v>41038</v>
      </c>
      <c r="B3034" s="633" t="s">
        <v>37511</v>
      </c>
      <c r="C3034" s="715" t="s">
        <v>27629</v>
      </c>
      <c r="D3034" s="715" t="s">
        <v>40839</v>
      </c>
      <c r="E3034" s="716">
        <v>5451.63</v>
      </c>
    </row>
    <row r="3035" spans="1:5">
      <c r="A3035" s="715">
        <v>4094</v>
      </c>
      <c r="B3035" s="633" t="s">
        <v>37512</v>
      </c>
      <c r="C3035" s="715" t="s">
        <v>11</v>
      </c>
      <c r="D3035" s="715" t="s">
        <v>40839</v>
      </c>
      <c r="E3035" s="716">
        <v>37.229999999999997</v>
      </c>
    </row>
    <row r="3036" spans="1:5">
      <c r="A3036" s="715">
        <v>40988</v>
      </c>
      <c r="B3036" s="633" t="s">
        <v>37513</v>
      </c>
      <c r="C3036" s="715" t="s">
        <v>27629</v>
      </c>
      <c r="D3036" s="715" t="s">
        <v>40839</v>
      </c>
      <c r="E3036" s="716">
        <v>6525.07</v>
      </c>
    </row>
    <row r="3037" spans="1:5">
      <c r="A3037" s="715">
        <v>4095</v>
      </c>
      <c r="B3037" s="633" t="s">
        <v>37514</v>
      </c>
      <c r="C3037" s="715" t="s">
        <v>11</v>
      </c>
      <c r="D3037" s="715" t="s">
        <v>40839</v>
      </c>
      <c r="E3037" s="716">
        <v>24.94</v>
      </c>
    </row>
    <row r="3038" spans="1:5">
      <c r="A3038" s="715">
        <v>40990</v>
      </c>
      <c r="B3038" s="633" t="s">
        <v>37515</v>
      </c>
      <c r="C3038" s="715" t="s">
        <v>27629</v>
      </c>
      <c r="D3038" s="715" t="s">
        <v>40839</v>
      </c>
      <c r="E3038" s="716">
        <v>4369.76</v>
      </c>
    </row>
    <row r="3039" spans="1:5">
      <c r="A3039" s="715">
        <v>4096</v>
      </c>
      <c r="B3039" s="633" t="s">
        <v>37516</v>
      </c>
      <c r="C3039" s="715" t="s">
        <v>11</v>
      </c>
      <c r="D3039" s="715" t="s">
        <v>40839</v>
      </c>
      <c r="E3039" s="716">
        <v>33.58</v>
      </c>
    </row>
    <row r="3040" spans="1:5">
      <c r="A3040" s="715">
        <v>40992</v>
      </c>
      <c r="B3040" s="633" t="s">
        <v>37517</v>
      </c>
      <c r="C3040" s="715" t="s">
        <v>27629</v>
      </c>
      <c r="D3040" s="715" t="s">
        <v>40839</v>
      </c>
      <c r="E3040" s="716">
        <v>5882.7</v>
      </c>
    </row>
    <row r="3041" spans="1:5" ht="29">
      <c r="A3041" s="715">
        <v>4114</v>
      </c>
      <c r="B3041" s="633" t="s">
        <v>37518</v>
      </c>
      <c r="C3041" s="715" t="s">
        <v>103</v>
      </c>
      <c r="D3041" s="715" t="s">
        <v>40839</v>
      </c>
      <c r="E3041" s="716">
        <v>67.56</v>
      </c>
    </row>
    <row r="3042" spans="1:5">
      <c r="A3042" s="715">
        <v>36797</v>
      </c>
      <c r="B3042" s="633" t="s">
        <v>37519</v>
      </c>
      <c r="C3042" s="715" t="s">
        <v>103</v>
      </c>
      <c r="D3042" s="715" t="s">
        <v>40839</v>
      </c>
      <c r="E3042" s="716">
        <v>60.15</v>
      </c>
    </row>
    <row r="3043" spans="1:5">
      <c r="A3043" s="715">
        <v>4107</v>
      </c>
      <c r="B3043" s="633" t="s">
        <v>37520</v>
      </c>
      <c r="C3043" s="715" t="s">
        <v>103</v>
      </c>
      <c r="D3043" s="715" t="s">
        <v>40839</v>
      </c>
      <c r="E3043" s="716">
        <v>56.71</v>
      </c>
    </row>
    <row r="3044" spans="1:5">
      <c r="A3044" s="715">
        <v>4102</v>
      </c>
      <c r="B3044" s="633" t="s">
        <v>37521</v>
      </c>
      <c r="C3044" s="715" t="s">
        <v>103</v>
      </c>
      <c r="D3044" s="715" t="s">
        <v>28018</v>
      </c>
      <c r="E3044" s="716">
        <v>69.23</v>
      </c>
    </row>
    <row r="3045" spans="1:5">
      <c r="A3045" s="715">
        <v>36799</v>
      </c>
      <c r="B3045" s="633" t="s">
        <v>37522</v>
      </c>
      <c r="C3045" s="715" t="s">
        <v>103</v>
      </c>
      <c r="D3045" s="715" t="s">
        <v>40839</v>
      </c>
      <c r="E3045" s="716">
        <v>58.38</v>
      </c>
    </row>
    <row r="3046" spans="1:5" ht="29">
      <c r="A3046" s="715">
        <v>2747</v>
      </c>
      <c r="B3046" s="633" t="s">
        <v>37523</v>
      </c>
      <c r="C3046" s="715" t="s">
        <v>165</v>
      </c>
      <c r="D3046" s="715" t="s">
        <v>40839</v>
      </c>
      <c r="E3046" s="716">
        <v>36.21</v>
      </c>
    </row>
    <row r="3047" spans="1:5" ht="29">
      <c r="A3047" s="715">
        <v>21138</v>
      </c>
      <c r="B3047" s="633" t="s">
        <v>37524</v>
      </c>
      <c r="C3047" s="715" t="s">
        <v>165</v>
      </c>
      <c r="D3047" s="715" t="s">
        <v>28018</v>
      </c>
      <c r="E3047" s="716">
        <v>11.48</v>
      </c>
    </row>
    <row r="3048" spans="1:5" ht="29">
      <c r="A3048" s="715">
        <v>10826</v>
      </c>
      <c r="B3048" s="633" t="s">
        <v>37525</v>
      </c>
      <c r="C3048" s="715" t="s">
        <v>103</v>
      </c>
      <c r="D3048" s="715" t="s">
        <v>40839</v>
      </c>
      <c r="E3048" s="716">
        <v>75.86</v>
      </c>
    </row>
    <row r="3049" spans="1:5" ht="29">
      <c r="A3049" s="715">
        <v>365</v>
      </c>
      <c r="B3049" s="633" t="s">
        <v>37526</v>
      </c>
      <c r="C3049" s="715" t="s">
        <v>103</v>
      </c>
      <c r="D3049" s="715" t="s">
        <v>40839</v>
      </c>
      <c r="E3049" s="716">
        <v>47.03</v>
      </c>
    </row>
    <row r="3050" spans="1:5">
      <c r="A3050" s="715">
        <v>38639</v>
      </c>
      <c r="B3050" s="633" t="s">
        <v>37527</v>
      </c>
      <c r="C3050" s="715" t="s">
        <v>103</v>
      </c>
      <c r="D3050" s="715" t="s">
        <v>40839</v>
      </c>
      <c r="E3050" s="716">
        <v>182.06</v>
      </c>
    </row>
    <row r="3051" spans="1:5">
      <c r="A3051" s="715">
        <v>38640</v>
      </c>
      <c r="B3051" s="633" t="s">
        <v>37528</v>
      </c>
      <c r="C3051" s="715" t="s">
        <v>103</v>
      </c>
      <c r="D3051" s="715" t="s">
        <v>40839</v>
      </c>
      <c r="E3051" s="716">
        <v>2.73</v>
      </c>
    </row>
    <row r="3052" spans="1:5" ht="29">
      <c r="A3052" s="715">
        <v>358</v>
      </c>
      <c r="B3052" s="633" t="s">
        <v>37529</v>
      </c>
      <c r="C3052" s="715" t="s">
        <v>103</v>
      </c>
      <c r="D3052" s="715" t="s">
        <v>40839</v>
      </c>
      <c r="E3052" s="716">
        <v>56.13</v>
      </c>
    </row>
    <row r="3053" spans="1:5" ht="29">
      <c r="A3053" s="715">
        <v>359</v>
      </c>
      <c r="B3053" s="633" t="s">
        <v>37530</v>
      </c>
      <c r="C3053" s="715" t="s">
        <v>103</v>
      </c>
      <c r="D3053" s="715" t="s">
        <v>40839</v>
      </c>
      <c r="E3053" s="716">
        <v>115.31</v>
      </c>
    </row>
    <row r="3054" spans="1:5">
      <c r="A3054" s="715">
        <v>38641</v>
      </c>
      <c r="B3054" s="633" t="s">
        <v>37531</v>
      </c>
      <c r="C3054" s="715" t="s">
        <v>103</v>
      </c>
      <c r="D3054" s="715" t="s">
        <v>40839</v>
      </c>
      <c r="E3054" s="716">
        <v>113.79</v>
      </c>
    </row>
    <row r="3055" spans="1:5" ht="29">
      <c r="A3055" s="715">
        <v>360</v>
      </c>
      <c r="B3055" s="633" t="s">
        <v>37532</v>
      </c>
      <c r="C3055" s="715" t="s">
        <v>103</v>
      </c>
      <c r="D3055" s="715" t="s">
        <v>28018</v>
      </c>
      <c r="E3055" s="716">
        <v>2.64</v>
      </c>
    </row>
    <row r="3056" spans="1:5" ht="43">
      <c r="A3056" s="715">
        <v>42430</v>
      </c>
      <c r="B3056" s="633" t="s">
        <v>37533</v>
      </c>
      <c r="C3056" s="715" t="s">
        <v>103</v>
      </c>
      <c r="D3056" s="715" t="s">
        <v>40839</v>
      </c>
      <c r="E3056" s="716">
        <v>6434.22</v>
      </c>
    </row>
    <row r="3057" spans="1:5">
      <c r="A3057" s="715">
        <v>4209</v>
      </c>
      <c r="B3057" s="633" t="s">
        <v>37534</v>
      </c>
      <c r="C3057" s="715" t="s">
        <v>103</v>
      </c>
      <c r="D3057" s="715" t="s">
        <v>40839</v>
      </c>
      <c r="E3057" s="716">
        <v>23.56</v>
      </c>
    </row>
    <row r="3058" spans="1:5">
      <c r="A3058" s="715">
        <v>4180</v>
      </c>
      <c r="B3058" s="633" t="s">
        <v>37535</v>
      </c>
      <c r="C3058" s="715" t="s">
        <v>103</v>
      </c>
      <c r="D3058" s="715" t="s">
        <v>40839</v>
      </c>
      <c r="E3058" s="716">
        <v>17.739999999999998</v>
      </c>
    </row>
    <row r="3059" spans="1:5">
      <c r="A3059" s="715">
        <v>4179</v>
      </c>
      <c r="B3059" s="633" t="s">
        <v>37536</v>
      </c>
      <c r="C3059" s="715" t="s">
        <v>103</v>
      </c>
      <c r="D3059" s="715" t="s">
        <v>40839</v>
      </c>
      <c r="E3059" s="716">
        <v>12.05</v>
      </c>
    </row>
    <row r="3060" spans="1:5">
      <c r="A3060" s="715">
        <v>4177</v>
      </c>
      <c r="B3060" s="633" t="s">
        <v>37537</v>
      </c>
      <c r="C3060" s="715" t="s">
        <v>103</v>
      </c>
      <c r="D3060" s="715" t="s">
        <v>40839</v>
      </c>
      <c r="E3060" s="716">
        <v>5.89</v>
      </c>
    </row>
    <row r="3061" spans="1:5">
      <c r="A3061" s="715">
        <v>4208</v>
      </c>
      <c r="B3061" s="633" t="s">
        <v>37538</v>
      </c>
      <c r="C3061" s="715" t="s">
        <v>103</v>
      </c>
      <c r="D3061" s="715" t="s">
        <v>40839</v>
      </c>
      <c r="E3061" s="716">
        <v>56.08</v>
      </c>
    </row>
    <row r="3062" spans="1:5">
      <c r="A3062" s="715">
        <v>4181</v>
      </c>
      <c r="B3062" s="633" t="s">
        <v>37539</v>
      </c>
      <c r="C3062" s="715" t="s">
        <v>103</v>
      </c>
      <c r="D3062" s="715" t="s">
        <v>40839</v>
      </c>
      <c r="E3062" s="716">
        <v>36.64</v>
      </c>
    </row>
    <row r="3063" spans="1:5">
      <c r="A3063" s="715">
        <v>4182</v>
      </c>
      <c r="B3063" s="633" t="s">
        <v>37540</v>
      </c>
      <c r="C3063" s="715" t="s">
        <v>103</v>
      </c>
      <c r="D3063" s="715" t="s">
        <v>40839</v>
      </c>
      <c r="E3063" s="716">
        <v>91.23</v>
      </c>
    </row>
    <row r="3064" spans="1:5">
      <c r="A3064" s="715">
        <v>4178</v>
      </c>
      <c r="B3064" s="633" t="s">
        <v>37541</v>
      </c>
      <c r="C3064" s="715" t="s">
        <v>103</v>
      </c>
      <c r="D3064" s="715" t="s">
        <v>40839</v>
      </c>
      <c r="E3064" s="716">
        <v>8.16</v>
      </c>
    </row>
    <row r="3065" spans="1:5">
      <c r="A3065" s="715">
        <v>4183</v>
      </c>
      <c r="B3065" s="633" t="s">
        <v>37542</v>
      </c>
      <c r="C3065" s="715" t="s">
        <v>103</v>
      </c>
      <c r="D3065" s="715" t="s">
        <v>40839</v>
      </c>
      <c r="E3065" s="716">
        <v>146.87</v>
      </c>
    </row>
    <row r="3066" spans="1:5">
      <c r="A3066" s="715">
        <v>4184</v>
      </c>
      <c r="B3066" s="633" t="s">
        <v>37543</v>
      </c>
      <c r="C3066" s="715" t="s">
        <v>103</v>
      </c>
      <c r="D3066" s="715" t="s">
        <v>40839</v>
      </c>
      <c r="E3066" s="716">
        <v>324.20999999999998</v>
      </c>
    </row>
    <row r="3067" spans="1:5">
      <c r="A3067" s="715">
        <v>4185</v>
      </c>
      <c r="B3067" s="633" t="s">
        <v>37544</v>
      </c>
      <c r="C3067" s="715" t="s">
        <v>103</v>
      </c>
      <c r="D3067" s="715" t="s">
        <v>40839</v>
      </c>
      <c r="E3067" s="716">
        <v>538.69000000000005</v>
      </c>
    </row>
    <row r="3068" spans="1:5">
      <c r="A3068" s="715">
        <v>4205</v>
      </c>
      <c r="B3068" s="633" t="s">
        <v>37545</v>
      </c>
      <c r="C3068" s="715" t="s">
        <v>103</v>
      </c>
      <c r="D3068" s="715" t="s">
        <v>40839</v>
      </c>
      <c r="E3068" s="716">
        <v>31.11</v>
      </c>
    </row>
    <row r="3069" spans="1:5">
      <c r="A3069" s="715">
        <v>4192</v>
      </c>
      <c r="B3069" s="633" t="s">
        <v>37546</v>
      </c>
      <c r="C3069" s="715" t="s">
        <v>103</v>
      </c>
      <c r="D3069" s="715" t="s">
        <v>40839</v>
      </c>
      <c r="E3069" s="716">
        <v>31.11</v>
      </c>
    </row>
    <row r="3070" spans="1:5">
      <c r="A3070" s="715">
        <v>4191</v>
      </c>
      <c r="B3070" s="633" t="s">
        <v>37547</v>
      </c>
      <c r="C3070" s="715" t="s">
        <v>103</v>
      </c>
      <c r="D3070" s="715" t="s">
        <v>40839</v>
      </c>
      <c r="E3070" s="716">
        <v>31.11</v>
      </c>
    </row>
    <row r="3071" spans="1:5">
      <c r="A3071" s="715">
        <v>4206</v>
      </c>
      <c r="B3071" s="633" t="s">
        <v>37548</v>
      </c>
      <c r="C3071" s="715" t="s">
        <v>103</v>
      </c>
      <c r="D3071" s="715" t="s">
        <v>40839</v>
      </c>
      <c r="E3071" s="716">
        <v>24.31</v>
      </c>
    </row>
    <row r="3072" spans="1:5">
      <c r="A3072" s="715">
        <v>4207</v>
      </c>
      <c r="B3072" s="633" t="s">
        <v>37549</v>
      </c>
      <c r="C3072" s="715" t="s">
        <v>103</v>
      </c>
      <c r="D3072" s="715" t="s">
        <v>40839</v>
      </c>
      <c r="E3072" s="716">
        <v>25.03</v>
      </c>
    </row>
    <row r="3073" spans="1:5">
      <c r="A3073" s="715">
        <v>4190</v>
      </c>
      <c r="B3073" s="633" t="s">
        <v>37550</v>
      </c>
      <c r="C3073" s="715" t="s">
        <v>103</v>
      </c>
      <c r="D3073" s="715" t="s">
        <v>40839</v>
      </c>
      <c r="E3073" s="716">
        <v>24.31</v>
      </c>
    </row>
    <row r="3074" spans="1:5">
      <c r="A3074" s="715">
        <v>4188</v>
      </c>
      <c r="B3074" s="633" t="s">
        <v>37551</v>
      </c>
      <c r="C3074" s="715" t="s">
        <v>103</v>
      </c>
      <c r="D3074" s="715" t="s">
        <v>40839</v>
      </c>
      <c r="E3074" s="716">
        <v>14.67</v>
      </c>
    </row>
    <row r="3075" spans="1:5">
      <c r="A3075" s="715">
        <v>4189</v>
      </c>
      <c r="B3075" s="633" t="s">
        <v>37552</v>
      </c>
      <c r="C3075" s="715" t="s">
        <v>103</v>
      </c>
      <c r="D3075" s="715" t="s">
        <v>40839</v>
      </c>
      <c r="E3075" s="716">
        <v>14.67</v>
      </c>
    </row>
    <row r="3076" spans="1:5">
      <c r="A3076" s="715">
        <v>4186</v>
      </c>
      <c r="B3076" s="633" t="s">
        <v>37553</v>
      </c>
      <c r="C3076" s="715" t="s">
        <v>103</v>
      </c>
      <c r="D3076" s="715" t="s">
        <v>40839</v>
      </c>
      <c r="E3076" s="716">
        <v>7.18</v>
      </c>
    </row>
    <row r="3077" spans="1:5">
      <c r="A3077" s="715">
        <v>4197</v>
      </c>
      <c r="B3077" s="633" t="s">
        <v>37554</v>
      </c>
      <c r="C3077" s="715" t="s">
        <v>103</v>
      </c>
      <c r="D3077" s="715" t="s">
        <v>40839</v>
      </c>
      <c r="E3077" s="716">
        <v>77.680000000000007</v>
      </c>
    </row>
    <row r="3078" spans="1:5">
      <c r="A3078" s="715">
        <v>4194</v>
      </c>
      <c r="B3078" s="633" t="s">
        <v>37555</v>
      </c>
      <c r="C3078" s="715" t="s">
        <v>103</v>
      </c>
      <c r="D3078" s="715" t="s">
        <v>40839</v>
      </c>
      <c r="E3078" s="716">
        <v>46.94</v>
      </c>
    </row>
    <row r="3079" spans="1:5">
      <c r="A3079" s="715">
        <v>4193</v>
      </c>
      <c r="B3079" s="633" t="s">
        <v>37556</v>
      </c>
      <c r="C3079" s="715" t="s">
        <v>103</v>
      </c>
      <c r="D3079" s="715" t="s">
        <v>40839</v>
      </c>
      <c r="E3079" s="716">
        <v>46.94</v>
      </c>
    </row>
    <row r="3080" spans="1:5">
      <c r="A3080" s="715">
        <v>4204</v>
      </c>
      <c r="B3080" s="633" t="s">
        <v>37557</v>
      </c>
      <c r="C3080" s="715" t="s">
        <v>103</v>
      </c>
      <c r="D3080" s="715" t="s">
        <v>40839</v>
      </c>
      <c r="E3080" s="716">
        <v>46.94</v>
      </c>
    </row>
    <row r="3081" spans="1:5">
      <c r="A3081" s="715">
        <v>4202</v>
      </c>
      <c r="B3081" s="633" t="s">
        <v>37558</v>
      </c>
      <c r="C3081" s="715" t="s">
        <v>103</v>
      </c>
      <c r="D3081" s="715" t="s">
        <v>40839</v>
      </c>
      <c r="E3081" s="716">
        <v>141.86000000000001</v>
      </c>
    </row>
    <row r="3082" spans="1:5">
      <c r="A3082" s="715">
        <v>4203</v>
      </c>
      <c r="B3082" s="633" t="s">
        <v>37559</v>
      </c>
      <c r="C3082" s="715" t="s">
        <v>103</v>
      </c>
      <c r="D3082" s="715" t="s">
        <v>40839</v>
      </c>
      <c r="E3082" s="716">
        <v>125.29</v>
      </c>
    </row>
    <row r="3083" spans="1:5">
      <c r="A3083" s="715">
        <v>4187</v>
      </c>
      <c r="B3083" s="633" t="s">
        <v>37560</v>
      </c>
      <c r="C3083" s="715" t="s">
        <v>103</v>
      </c>
      <c r="D3083" s="715" t="s">
        <v>40839</v>
      </c>
      <c r="E3083" s="716">
        <v>9.35</v>
      </c>
    </row>
    <row r="3084" spans="1:5">
      <c r="A3084" s="715">
        <v>40368</v>
      </c>
      <c r="B3084" s="633" t="s">
        <v>37561</v>
      </c>
      <c r="C3084" s="715" t="s">
        <v>103</v>
      </c>
      <c r="D3084" s="715" t="s">
        <v>40839</v>
      </c>
      <c r="E3084" s="716">
        <v>55.4</v>
      </c>
    </row>
    <row r="3085" spans="1:5">
      <c r="A3085" s="715">
        <v>40365</v>
      </c>
      <c r="B3085" s="633" t="s">
        <v>37562</v>
      </c>
      <c r="C3085" s="715" t="s">
        <v>103</v>
      </c>
      <c r="D3085" s="715" t="s">
        <v>40839</v>
      </c>
      <c r="E3085" s="716">
        <v>37.380000000000003</v>
      </c>
    </row>
    <row r="3086" spans="1:5">
      <c r="A3086" s="715">
        <v>40362</v>
      </c>
      <c r="B3086" s="633" t="s">
        <v>37563</v>
      </c>
      <c r="C3086" s="715" t="s">
        <v>103</v>
      </c>
      <c r="D3086" s="715" t="s">
        <v>40839</v>
      </c>
      <c r="E3086" s="716">
        <v>24.76</v>
      </c>
    </row>
    <row r="3087" spans="1:5">
      <c r="A3087" s="715">
        <v>40356</v>
      </c>
      <c r="B3087" s="633" t="s">
        <v>37564</v>
      </c>
      <c r="C3087" s="715" t="s">
        <v>103</v>
      </c>
      <c r="D3087" s="715" t="s">
        <v>40839</v>
      </c>
      <c r="E3087" s="716">
        <v>12.77</v>
      </c>
    </row>
    <row r="3088" spans="1:5">
      <c r="A3088" s="715">
        <v>40374</v>
      </c>
      <c r="B3088" s="633" t="s">
        <v>37565</v>
      </c>
      <c r="C3088" s="715" t="s">
        <v>103</v>
      </c>
      <c r="D3088" s="715" t="s">
        <v>40839</v>
      </c>
      <c r="E3088" s="716">
        <v>144.81</v>
      </c>
    </row>
    <row r="3089" spans="1:5">
      <c r="A3089" s="715">
        <v>40371</v>
      </c>
      <c r="B3089" s="633" t="s">
        <v>37566</v>
      </c>
      <c r="C3089" s="715" t="s">
        <v>103</v>
      </c>
      <c r="D3089" s="715" t="s">
        <v>40839</v>
      </c>
      <c r="E3089" s="716">
        <v>91.15</v>
      </c>
    </row>
    <row r="3090" spans="1:5">
      <c r="A3090" s="715">
        <v>40359</v>
      </c>
      <c r="B3090" s="633" t="s">
        <v>37567</v>
      </c>
      <c r="C3090" s="715" t="s">
        <v>103</v>
      </c>
      <c r="D3090" s="715" t="s">
        <v>40839</v>
      </c>
      <c r="E3090" s="716">
        <v>16.5</v>
      </c>
    </row>
    <row r="3091" spans="1:5">
      <c r="A3091" s="715">
        <v>45201</v>
      </c>
      <c r="B3091" s="633" t="s">
        <v>41051</v>
      </c>
      <c r="C3091" s="715" t="s">
        <v>103</v>
      </c>
      <c r="D3091" s="715" t="s">
        <v>40839</v>
      </c>
      <c r="E3091" s="716">
        <v>65.25</v>
      </c>
    </row>
    <row r="3092" spans="1:5">
      <c r="A3092" s="715">
        <v>7595</v>
      </c>
      <c r="B3092" s="633" t="s">
        <v>37568</v>
      </c>
      <c r="C3092" s="715" t="s">
        <v>11</v>
      </c>
      <c r="D3092" s="715" t="s">
        <v>40839</v>
      </c>
      <c r="E3092" s="716">
        <v>23.82</v>
      </c>
    </row>
    <row r="3093" spans="1:5">
      <c r="A3093" s="715">
        <v>41094</v>
      </c>
      <c r="B3093" s="633" t="s">
        <v>37569</v>
      </c>
      <c r="C3093" s="715" t="s">
        <v>27629</v>
      </c>
      <c r="D3093" s="715" t="s">
        <v>40839</v>
      </c>
      <c r="E3093" s="716">
        <v>4173.53</v>
      </c>
    </row>
    <row r="3094" spans="1:5" ht="29">
      <c r="A3094" s="715">
        <v>38175</v>
      </c>
      <c r="B3094" s="633" t="s">
        <v>37570</v>
      </c>
      <c r="C3094" s="715" t="s">
        <v>103</v>
      </c>
      <c r="D3094" s="715" t="s">
        <v>40839</v>
      </c>
      <c r="E3094" s="716">
        <v>4.6399999999999997</v>
      </c>
    </row>
    <row r="3095" spans="1:5" ht="29">
      <c r="A3095" s="715">
        <v>38176</v>
      </c>
      <c r="B3095" s="633" t="s">
        <v>37571</v>
      </c>
      <c r="C3095" s="715" t="s">
        <v>103</v>
      </c>
      <c r="D3095" s="715" t="s">
        <v>40839</v>
      </c>
      <c r="E3095" s="716">
        <v>13.66</v>
      </c>
    </row>
    <row r="3096" spans="1:5" ht="29">
      <c r="A3096" s="715">
        <v>36152</v>
      </c>
      <c r="B3096" s="633" t="s">
        <v>37572</v>
      </c>
      <c r="C3096" s="715" t="s">
        <v>103</v>
      </c>
      <c r="D3096" s="715" t="s">
        <v>40839</v>
      </c>
      <c r="E3096" s="716">
        <v>5.76</v>
      </c>
    </row>
    <row r="3097" spans="1:5">
      <c r="A3097" s="715">
        <v>45212</v>
      </c>
      <c r="B3097" s="633" t="s">
        <v>40868</v>
      </c>
      <c r="C3097" s="715" t="s">
        <v>103</v>
      </c>
      <c r="D3097" s="715" t="s">
        <v>40839</v>
      </c>
      <c r="E3097" s="716">
        <v>57.64</v>
      </c>
    </row>
    <row r="3098" spans="1:5">
      <c r="A3098" s="715">
        <v>4221</v>
      </c>
      <c r="B3098" s="633" t="s">
        <v>37573</v>
      </c>
      <c r="C3098" s="715" t="s">
        <v>153</v>
      </c>
      <c r="D3098" s="715" t="s">
        <v>28018</v>
      </c>
      <c r="E3098" s="716">
        <v>7.26</v>
      </c>
    </row>
    <row r="3099" spans="1:5" ht="29">
      <c r="A3099" s="715">
        <v>4227</v>
      </c>
      <c r="B3099" s="633" t="s">
        <v>37574</v>
      </c>
      <c r="C3099" s="715" t="s">
        <v>153</v>
      </c>
      <c r="D3099" s="715" t="s">
        <v>40839</v>
      </c>
      <c r="E3099" s="716">
        <v>33.85</v>
      </c>
    </row>
    <row r="3100" spans="1:5" ht="29">
      <c r="A3100" s="715">
        <v>38170</v>
      </c>
      <c r="B3100" s="633" t="s">
        <v>37575</v>
      </c>
      <c r="C3100" s="715" t="s">
        <v>103</v>
      </c>
      <c r="D3100" s="715" t="s">
        <v>40839</v>
      </c>
      <c r="E3100" s="716">
        <v>20.3</v>
      </c>
    </row>
    <row r="3101" spans="1:5">
      <c r="A3101" s="715">
        <v>4252</v>
      </c>
      <c r="B3101" s="633" t="s">
        <v>37576</v>
      </c>
      <c r="C3101" s="715" t="s">
        <v>11</v>
      </c>
      <c r="D3101" s="715" t="s">
        <v>40839</v>
      </c>
      <c r="E3101" s="716">
        <v>31.06</v>
      </c>
    </row>
    <row r="3102" spans="1:5">
      <c r="A3102" s="715">
        <v>40980</v>
      </c>
      <c r="B3102" s="633" t="s">
        <v>37577</v>
      </c>
      <c r="C3102" s="715" t="s">
        <v>27629</v>
      </c>
      <c r="D3102" s="715" t="s">
        <v>40839</v>
      </c>
      <c r="E3102" s="716">
        <v>5442.82</v>
      </c>
    </row>
    <row r="3103" spans="1:5">
      <c r="A3103" s="715">
        <v>41031</v>
      </c>
      <c r="B3103" s="633" t="s">
        <v>37578</v>
      </c>
      <c r="C3103" s="715" t="s">
        <v>27629</v>
      </c>
      <c r="D3103" s="715" t="s">
        <v>40839</v>
      </c>
      <c r="E3103" s="716">
        <v>5010.84</v>
      </c>
    </row>
    <row r="3104" spans="1:5">
      <c r="A3104" s="715">
        <v>37666</v>
      </c>
      <c r="B3104" s="633" t="s">
        <v>37579</v>
      </c>
      <c r="C3104" s="715" t="s">
        <v>11</v>
      </c>
      <c r="D3104" s="715" t="s">
        <v>40839</v>
      </c>
      <c r="E3104" s="716">
        <v>25.93</v>
      </c>
    </row>
    <row r="3105" spans="1:5">
      <c r="A3105" s="715">
        <v>40986</v>
      </c>
      <c r="B3105" s="633" t="s">
        <v>37580</v>
      </c>
      <c r="C3105" s="715" t="s">
        <v>27629</v>
      </c>
      <c r="D3105" s="715" t="s">
        <v>40839</v>
      </c>
      <c r="E3105" s="716">
        <v>4543.6400000000003</v>
      </c>
    </row>
    <row r="3106" spans="1:5">
      <c r="A3106" s="715">
        <v>4250</v>
      </c>
      <c r="B3106" s="633" t="s">
        <v>37581</v>
      </c>
      <c r="C3106" s="715" t="s">
        <v>11</v>
      </c>
      <c r="D3106" s="715" t="s">
        <v>40839</v>
      </c>
      <c r="E3106" s="716">
        <v>24.27</v>
      </c>
    </row>
    <row r="3107" spans="1:5">
      <c r="A3107" s="715">
        <v>40978</v>
      </c>
      <c r="B3107" s="633" t="s">
        <v>37582</v>
      </c>
      <c r="C3107" s="715" t="s">
        <v>27629</v>
      </c>
      <c r="D3107" s="715" t="s">
        <v>40839</v>
      </c>
      <c r="E3107" s="716">
        <v>4254.54</v>
      </c>
    </row>
    <row r="3108" spans="1:5">
      <c r="A3108" s="715">
        <v>44501</v>
      </c>
      <c r="B3108" s="633" t="s">
        <v>37583</v>
      </c>
      <c r="C3108" s="715" t="s">
        <v>11</v>
      </c>
      <c r="D3108" s="715" t="s">
        <v>40839</v>
      </c>
      <c r="E3108" s="716">
        <v>28.59</v>
      </c>
    </row>
    <row r="3109" spans="1:5">
      <c r="A3109" s="715">
        <v>41043</v>
      </c>
      <c r="B3109" s="633" t="s">
        <v>37584</v>
      </c>
      <c r="C3109" s="715" t="s">
        <v>27629</v>
      </c>
      <c r="D3109" s="715" t="s">
        <v>40839</v>
      </c>
      <c r="E3109" s="716">
        <v>5010.84</v>
      </c>
    </row>
    <row r="3110" spans="1:5">
      <c r="A3110" s="715">
        <v>4234</v>
      </c>
      <c r="B3110" s="633" t="s">
        <v>37585</v>
      </c>
      <c r="C3110" s="715" t="s">
        <v>11</v>
      </c>
      <c r="D3110" s="715" t="s">
        <v>28018</v>
      </c>
      <c r="E3110" s="716">
        <v>38.159999999999997</v>
      </c>
    </row>
    <row r="3111" spans="1:5">
      <c r="A3111" s="715">
        <v>40987</v>
      </c>
      <c r="B3111" s="633" t="s">
        <v>37586</v>
      </c>
      <c r="C3111" s="715" t="s">
        <v>27629</v>
      </c>
      <c r="D3111" s="715" t="s">
        <v>40839</v>
      </c>
      <c r="E3111" s="716">
        <v>6684.57</v>
      </c>
    </row>
    <row r="3112" spans="1:5">
      <c r="A3112" s="715">
        <v>4253</v>
      </c>
      <c r="B3112" s="633" t="s">
        <v>37587</v>
      </c>
      <c r="C3112" s="715" t="s">
        <v>11</v>
      </c>
      <c r="D3112" s="715" t="s">
        <v>40839</v>
      </c>
      <c r="E3112" s="716">
        <v>26.48</v>
      </c>
    </row>
    <row r="3113" spans="1:5">
      <c r="A3113" s="715">
        <v>40981</v>
      </c>
      <c r="B3113" s="633" t="s">
        <v>37588</v>
      </c>
      <c r="C3113" s="715" t="s">
        <v>27629</v>
      </c>
      <c r="D3113" s="715" t="s">
        <v>40839</v>
      </c>
      <c r="E3113" s="716">
        <v>4641.22</v>
      </c>
    </row>
    <row r="3114" spans="1:5">
      <c r="A3114" s="715">
        <v>4254</v>
      </c>
      <c r="B3114" s="633" t="s">
        <v>37589</v>
      </c>
      <c r="C3114" s="715" t="s">
        <v>11</v>
      </c>
      <c r="D3114" s="715" t="s">
        <v>40839</v>
      </c>
      <c r="E3114" s="716">
        <v>27.39</v>
      </c>
    </row>
    <row r="3115" spans="1:5">
      <c r="A3115" s="715">
        <v>41036</v>
      </c>
      <c r="B3115" s="633" t="s">
        <v>37590</v>
      </c>
      <c r="C3115" s="715" t="s">
        <v>27629</v>
      </c>
      <c r="D3115" s="715" t="s">
        <v>40839</v>
      </c>
      <c r="E3115" s="716">
        <v>4800.8100000000004</v>
      </c>
    </row>
    <row r="3116" spans="1:5">
      <c r="A3116" s="715">
        <v>4251</v>
      </c>
      <c r="B3116" s="633" t="s">
        <v>37591</v>
      </c>
      <c r="C3116" s="715" t="s">
        <v>11</v>
      </c>
      <c r="D3116" s="715" t="s">
        <v>40839</v>
      </c>
      <c r="E3116" s="716">
        <v>21.22</v>
      </c>
    </row>
    <row r="3117" spans="1:5">
      <c r="A3117" s="715">
        <v>40979</v>
      </c>
      <c r="B3117" s="633" t="s">
        <v>37592</v>
      </c>
      <c r="C3117" s="715" t="s">
        <v>27629</v>
      </c>
      <c r="D3117" s="715" t="s">
        <v>40839</v>
      </c>
      <c r="E3117" s="716">
        <v>3719.48</v>
      </c>
    </row>
    <row r="3118" spans="1:5">
      <c r="A3118" s="715">
        <v>4230</v>
      </c>
      <c r="B3118" s="633" t="s">
        <v>37593</v>
      </c>
      <c r="C3118" s="715" t="s">
        <v>11</v>
      </c>
      <c r="D3118" s="715" t="s">
        <v>40839</v>
      </c>
      <c r="E3118" s="716">
        <v>30.68</v>
      </c>
    </row>
    <row r="3119" spans="1:5">
      <c r="A3119" s="715">
        <v>40998</v>
      </c>
      <c r="B3119" s="633" t="s">
        <v>37594</v>
      </c>
      <c r="C3119" s="715" t="s">
        <v>27629</v>
      </c>
      <c r="D3119" s="715" t="s">
        <v>40839</v>
      </c>
      <c r="E3119" s="716">
        <v>5376.45</v>
      </c>
    </row>
    <row r="3120" spans="1:5">
      <c r="A3120" s="715">
        <v>4257</v>
      </c>
      <c r="B3120" s="633" t="s">
        <v>37595</v>
      </c>
      <c r="C3120" s="715" t="s">
        <v>11</v>
      </c>
      <c r="D3120" s="715" t="s">
        <v>40839</v>
      </c>
      <c r="E3120" s="716">
        <v>26.48</v>
      </c>
    </row>
    <row r="3121" spans="1:5">
      <c r="A3121" s="715">
        <v>40982</v>
      </c>
      <c r="B3121" s="633" t="s">
        <v>37596</v>
      </c>
      <c r="C3121" s="715" t="s">
        <v>27629</v>
      </c>
      <c r="D3121" s="715" t="s">
        <v>40839</v>
      </c>
      <c r="E3121" s="716">
        <v>4641.22</v>
      </c>
    </row>
    <row r="3122" spans="1:5">
      <c r="A3122" s="715">
        <v>4240</v>
      </c>
      <c r="B3122" s="633" t="s">
        <v>37597</v>
      </c>
      <c r="C3122" s="715" t="s">
        <v>11</v>
      </c>
      <c r="D3122" s="715" t="s">
        <v>40839</v>
      </c>
      <c r="E3122" s="716">
        <v>39.51</v>
      </c>
    </row>
    <row r="3123" spans="1:5">
      <c r="A3123" s="715">
        <v>41026</v>
      </c>
      <c r="B3123" s="633" t="s">
        <v>37598</v>
      </c>
      <c r="C3123" s="715" t="s">
        <v>27629</v>
      </c>
      <c r="D3123" s="715" t="s">
        <v>40839</v>
      </c>
      <c r="E3123" s="716">
        <v>6925.53</v>
      </c>
    </row>
    <row r="3124" spans="1:5">
      <c r="A3124" s="715">
        <v>4239</v>
      </c>
      <c r="B3124" s="633" t="s">
        <v>37599</v>
      </c>
      <c r="C3124" s="715" t="s">
        <v>11</v>
      </c>
      <c r="D3124" s="715" t="s">
        <v>40839</v>
      </c>
      <c r="E3124" s="716">
        <v>39.51</v>
      </c>
    </row>
    <row r="3125" spans="1:5">
      <c r="A3125" s="715">
        <v>41024</v>
      </c>
      <c r="B3125" s="633" t="s">
        <v>37600</v>
      </c>
      <c r="C3125" s="715" t="s">
        <v>27629</v>
      </c>
      <c r="D3125" s="715" t="s">
        <v>40839</v>
      </c>
      <c r="E3125" s="716">
        <v>6925.53</v>
      </c>
    </row>
    <row r="3126" spans="1:5">
      <c r="A3126" s="715">
        <v>4248</v>
      </c>
      <c r="B3126" s="633" t="s">
        <v>37601</v>
      </c>
      <c r="C3126" s="715" t="s">
        <v>11</v>
      </c>
      <c r="D3126" s="715" t="s">
        <v>40839</v>
      </c>
      <c r="E3126" s="716">
        <v>28.59</v>
      </c>
    </row>
    <row r="3127" spans="1:5">
      <c r="A3127" s="715">
        <v>41033</v>
      </c>
      <c r="B3127" s="633" t="s">
        <v>37602</v>
      </c>
      <c r="C3127" s="715" t="s">
        <v>27629</v>
      </c>
      <c r="D3127" s="715" t="s">
        <v>40839</v>
      </c>
      <c r="E3127" s="716">
        <v>5010.84</v>
      </c>
    </row>
    <row r="3128" spans="1:5">
      <c r="A3128" s="715">
        <v>44500</v>
      </c>
      <c r="B3128" s="633" t="s">
        <v>37603</v>
      </c>
      <c r="C3128" s="715" t="s">
        <v>11</v>
      </c>
      <c r="D3128" s="715" t="s">
        <v>40839</v>
      </c>
      <c r="E3128" s="716">
        <v>28.59</v>
      </c>
    </row>
    <row r="3129" spans="1:5">
      <c r="A3129" s="715">
        <v>41040</v>
      </c>
      <c r="B3129" s="633" t="s">
        <v>37604</v>
      </c>
      <c r="C3129" s="715" t="s">
        <v>27629</v>
      </c>
      <c r="D3129" s="715" t="s">
        <v>40839</v>
      </c>
      <c r="E3129" s="716">
        <v>5010.84</v>
      </c>
    </row>
    <row r="3130" spans="1:5">
      <c r="A3130" s="715">
        <v>4238</v>
      </c>
      <c r="B3130" s="633" t="s">
        <v>37605</v>
      </c>
      <c r="C3130" s="715" t="s">
        <v>11</v>
      </c>
      <c r="D3130" s="715" t="s">
        <v>40839</v>
      </c>
      <c r="E3130" s="716">
        <v>29.11</v>
      </c>
    </row>
    <row r="3131" spans="1:5">
      <c r="A3131" s="715">
        <v>41012</v>
      </c>
      <c r="B3131" s="633" t="s">
        <v>37606</v>
      </c>
      <c r="C3131" s="715" t="s">
        <v>27629</v>
      </c>
      <c r="D3131" s="715" t="s">
        <v>40839</v>
      </c>
      <c r="E3131" s="716">
        <v>5099.84</v>
      </c>
    </row>
    <row r="3132" spans="1:5">
      <c r="A3132" s="715">
        <v>4233</v>
      </c>
      <c r="B3132" s="633" t="s">
        <v>37607</v>
      </c>
      <c r="C3132" s="715" t="s">
        <v>11</v>
      </c>
      <c r="D3132" s="715" t="s">
        <v>40839</v>
      </c>
      <c r="E3132" s="716">
        <v>39.51</v>
      </c>
    </row>
    <row r="3133" spans="1:5">
      <c r="A3133" s="715">
        <v>41001</v>
      </c>
      <c r="B3133" s="633" t="s">
        <v>37608</v>
      </c>
      <c r="C3133" s="715" t="s">
        <v>27629</v>
      </c>
      <c r="D3133" s="715" t="s">
        <v>40839</v>
      </c>
      <c r="E3133" s="716">
        <v>6925.53</v>
      </c>
    </row>
    <row r="3134" spans="1:5" ht="29">
      <c r="A3134" s="715">
        <v>2</v>
      </c>
      <c r="B3134" s="633" t="s">
        <v>37609</v>
      </c>
      <c r="C3134" s="715" t="s">
        <v>121</v>
      </c>
      <c r="D3134" s="715" t="s">
        <v>40839</v>
      </c>
      <c r="E3134" s="716">
        <v>24.1</v>
      </c>
    </row>
    <row r="3135" spans="1:5" ht="29">
      <c r="A3135" s="715">
        <v>4262</v>
      </c>
      <c r="B3135" s="633" t="s">
        <v>37610</v>
      </c>
      <c r="C3135" s="715" t="s">
        <v>103</v>
      </c>
      <c r="D3135" s="715" t="s">
        <v>28018</v>
      </c>
      <c r="E3135" s="716">
        <v>680000</v>
      </c>
    </row>
    <row r="3136" spans="1:5" ht="29">
      <c r="A3136" s="715">
        <v>4263</v>
      </c>
      <c r="B3136" s="633" t="s">
        <v>37611</v>
      </c>
      <c r="C3136" s="715" t="s">
        <v>103</v>
      </c>
      <c r="D3136" s="715" t="s">
        <v>40839</v>
      </c>
      <c r="E3136" s="716">
        <v>942933.28</v>
      </c>
    </row>
    <row r="3137" spans="1:5">
      <c r="A3137" s="715">
        <v>38402</v>
      </c>
      <c r="B3137" s="633" t="s">
        <v>37612</v>
      </c>
      <c r="C3137" s="715" t="s">
        <v>103</v>
      </c>
      <c r="D3137" s="715" t="s">
        <v>40839</v>
      </c>
      <c r="E3137" s="716">
        <v>40.28</v>
      </c>
    </row>
    <row r="3138" spans="1:5">
      <c r="A3138" s="715">
        <v>45234</v>
      </c>
      <c r="B3138" s="633" t="s">
        <v>41052</v>
      </c>
      <c r="C3138" s="715" t="s">
        <v>103</v>
      </c>
      <c r="D3138" s="715" t="s">
        <v>40839</v>
      </c>
      <c r="E3138" s="716">
        <v>44.38</v>
      </c>
    </row>
    <row r="3139" spans="1:5">
      <c r="A3139" s="715">
        <v>3412</v>
      </c>
      <c r="B3139" s="633" t="s">
        <v>37613</v>
      </c>
      <c r="C3139" s="715" t="s">
        <v>509</v>
      </c>
      <c r="D3139" s="715" t="s">
        <v>40839</v>
      </c>
      <c r="E3139" s="716">
        <v>20.37</v>
      </c>
    </row>
    <row r="3140" spans="1:5">
      <c r="A3140" s="715">
        <v>3413</v>
      </c>
      <c r="B3140" s="633" t="s">
        <v>37614</v>
      </c>
      <c r="C3140" s="715" t="s">
        <v>509</v>
      </c>
      <c r="D3140" s="715" t="s">
        <v>40839</v>
      </c>
      <c r="E3140" s="716">
        <v>45.86</v>
      </c>
    </row>
    <row r="3141" spans="1:5">
      <c r="A3141" s="715">
        <v>39744</v>
      </c>
      <c r="B3141" s="633" t="s">
        <v>37615</v>
      </c>
      <c r="C3141" s="715" t="s">
        <v>509</v>
      </c>
      <c r="D3141" s="715" t="s">
        <v>40839</v>
      </c>
      <c r="E3141" s="716">
        <v>35.61</v>
      </c>
    </row>
    <row r="3142" spans="1:5">
      <c r="A3142" s="715">
        <v>39745</v>
      </c>
      <c r="B3142" s="633" t="s">
        <v>37616</v>
      </c>
      <c r="C3142" s="715" t="s">
        <v>509</v>
      </c>
      <c r="D3142" s="715" t="s">
        <v>40839</v>
      </c>
      <c r="E3142" s="716">
        <v>75.150000000000006</v>
      </c>
    </row>
    <row r="3143" spans="1:5" ht="29">
      <c r="A3143" s="715">
        <v>39639</v>
      </c>
      <c r="B3143" s="633" t="s">
        <v>41356</v>
      </c>
      <c r="C3143" s="715" t="s">
        <v>509</v>
      </c>
      <c r="D3143" s="715" t="s">
        <v>40839</v>
      </c>
      <c r="E3143" s="716">
        <v>192.24</v>
      </c>
    </row>
    <row r="3144" spans="1:5" ht="29">
      <c r="A3144" s="715">
        <v>39637</v>
      </c>
      <c r="B3144" s="633" t="s">
        <v>37617</v>
      </c>
      <c r="C3144" s="715" t="s">
        <v>509</v>
      </c>
      <c r="D3144" s="715" t="s">
        <v>40839</v>
      </c>
      <c r="E3144" s="716">
        <v>123.23</v>
      </c>
    </row>
    <row r="3145" spans="1:5" ht="29">
      <c r="A3145" s="715">
        <v>39638</v>
      </c>
      <c r="B3145" s="633" t="s">
        <v>37618</v>
      </c>
      <c r="C3145" s="715" t="s">
        <v>509</v>
      </c>
      <c r="D3145" s="715" t="s">
        <v>40839</v>
      </c>
      <c r="E3145" s="716">
        <v>148.43</v>
      </c>
    </row>
    <row r="3146" spans="1:5" ht="57">
      <c r="A3146" s="715">
        <v>39517</v>
      </c>
      <c r="B3146" s="633" t="s">
        <v>37619</v>
      </c>
      <c r="C3146" s="715" t="s">
        <v>509</v>
      </c>
      <c r="D3146" s="715" t="s">
        <v>40839</v>
      </c>
      <c r="E3146" s="716">
        <v>235.29</v>
      </c>
    </row>
    <row r="3147" spans="1:5" ht="57">
      <c r="A3147" s="715">
        <v>39518</v>
      </c>
      <c r="B3147" s="633" t="s">
        <v>37620</v>
      </c>
      <c r="C3147" s="715" t="s">
        <v>509</v>
      </c>
      <c r="D3147" s="715" t="s">
        <v>40839</v>
      </c>
      <c r="E3147" s="716">
        <v>278.94</v>
      </c>
    </row>
    <row r="3148" spans="1:5">
      <c r="A3148" s="715">
        <v>38366</v>
      </c>
      <c r="B3148" s="633" t="s">
        <v>37621</v>
      </c>
      <c r="C3148" s="715" t="s">
        <v>509</v>
      </c>
      <c r="D3148" s="715" t="s">
        <v>40839</v>
      </c>
      <c r="E3148" s="716">
        <v>6.11</v>
      </c>
    </row>
    <row r="3149" spans="1:5">
      <c r="A3149" s="715">
        <v>11703</v>
      </c>
      <c r="B3149" s="633" t="s">
        <v>37622</v>
      </c>
      <c r="C3149" s="715" t="s">
        <v>103</v>
      </c>
      <c r="D3149" s="715" t="s">
        <v>40839</v>
      </c>
      <c r="E3149" s="716">
        <v>47.19</v>
      </c>
    </row>
    <row r="3150" spans="1:5">
      <c r="A3150" s="715">
        <v>37400</v>
      </c>
      <c r="B3150" s="633" t="s">
        <v>37623</v>
      </c>
      <c r="C3150" s="715" t="s">
        <v>103</v>
      </c>
      <c r="D3150" s="715" t="s">
        <v>40839</v>
      </c>
      <c r="E3150" s="716">
        <v>60.13</v>
      </c>
    </row>
    <row r="3151" spans="1:5" ht="43">
      <c r="A3151" s="715">
        <v>25400</v>
      </c>
      <c r="B3151" s="633" t="s">
        <v>37624</v>
      </c>
      <c r="C3151" s="715" t="s">
        <v>103</v>
      </c>
      <c r="D3151" s="715" t="s">
        <v>40839</v>
      </c>
      <c r="E3151" s="716">
        <v>2618.91</v>
      </c>
    </row>
    <row r="3152" spans="1:5" ht="29">
      <c r="A3152" s="715">
        <v>4276</v>
      </c>
      <c r="B3152" s="633" t="s">
        <v>37625</v>
      </c>
      <c r="C3152" s="715" t="s">
        <v>103</v>
      </c>
      <c r="D3152" s="715" t="s">
        <v>40839</v>
      </c>
      <c r="E3152" s="716">
        <v>194.96</v>
      </c>
    </row>
    <row r="3153" spans="1:5" ht="29">
      <c r="A3153" s="715">
        <v>4273</v>
      </c>
      <c r="B3153" s="633" t="s">
        <v>37626</v>
      </c>
      <c r="C3153" s="715" t="s">
        <v>103</v>
      </c>
      <c r="D3153" s="715" t="s">
        <v>40839</v>
      </c>
      <c r="E3153" s="716">
        <v>353.98</v>
      </c>
    </row>
    <row r="3154" spans="1:5" ht="29">
      <c r="A3154" s="715">
        <v>4274</v>
      </c>
      <c r="B3154" s="633" t="s">
        <v>37627</v>
      </c>
      <c r="C3154" s="715" t="s">
        <v>103</v>
      </c>
      <c r="D3154" s="715" t="s">
        <v>28018</v>
      </c>
      <c r="E3154" s="716">
        <v>129.5</v>
      </c>
    </row>
    <row r="3155" spans="1:5" ht="43">
      <c r="A3155" s="715">
        <v>39438</v>
      </c>
      <c r="B3155" s="633" t="s">
        <v>37628</v>
      </c>
      <c r="C3155" s="715" t="s">
        <v>103</v>
      </c>
      <c r="D3155" s="715" t="s">
        <v>40839</v>
      </c>
      <c r="E3155" s="716">
        <v>0.24</v>
      </c>
    </row>
    <row r="3156" spans="1:5" ht="29">
      <c r="A3156" s="715">
        <v>4379</v>
      </c>
      <c r="B3156" s="633" t="s">
        <v>37629</v>
      </c>
      <c r="C3156" s="715" t="s">
        <v>103</v>
      </c>
      <c r="D3156" s="715" t="s">
        <v>40839</v>
      </c>
      <c r="E3156" s="716">
        <v>0.04</v>
      </c>
    </row>
    <row r="3157" spans="1:5" ht="29">
      <c r="A3157" s="715">
        <v>4377</v>
      </c>
      <c r="B3157" s="633" t="s">
        <v>37630</v>
      </c>
      <c r="C3157" s="715" t="s">
        <v>103</v>
      </c>
      <c r="D3157" s="715" t="s">
        <v>40839</v>
      </c>
      <c r="E3157" s="716">
        <v>0.17</v>
      </c>
    </row>
    <row r="3158" spans="1:5" ht="29">
      <c r="A3158" s="715">
        <v>4356</v>
      </c>
      <c r="B3158" s="633" t="s">
        <v>37631</v>
      </c>
      <c r="C3158" s="715" t="s">
        <v>103</v>
      </c>
      <c r="D3158" s="715" t="s">
        <v>40839</v>
      </c>
      <c r="E3158" s="716">
        <v>0.24</v>
      </c>
    </row>
    <row r="3159" spans="1:5" ht="29">
      <c r="A3159" s="715">
        <v>13246</v>
      </c>
      <c r="B3159" s="633" t="s">
        <v>37632</v>
      </c>
      <c r="C3159" s="715" t="s">
        <v>103</v>
      </c>
      <c r="D3159" s="715" t="s">
        <v>40839</v>
      </c>
      <c r="E3159" s="716">
        <v>0.41</v>
      </c>
    </row>
    <row r="3160" spans="1:5" ht="29">
      <c r="A3160" s="715">
        <v>13294</v>
      </c>
      <c r="B3160" s="633" t="s">
        <v>37633</v>
      </c>
      <c r="C3160" s="715" t="s">
        <v>103</v>
      </c>
      <c r="D3160" s="715" t="s">
        <v>40839</v>
      </c>
      <c r="E3160" s="716">
        <v>1.39</v>
      </c>
    </row>
    <row r="3161" spans="1:5" ht="29">
      <c r="A3161" s="715">
        <v>11963</v>
      </c>
      <c r="B3161" s="633" t="s">
        <v>37634</v>
      </c>
      <c r="C3161" s="715" t="s">
        <v>103</v>
      </c>
      <c r="D3161" s="715" t="s">
        <v>40839</v>
      </c>
      <c r="E3161" s="716">
        <v>8.74</v>
      </c>
    </row>
    <row r="3162" spans="1:5" ht="29">
      <c r="A3162" s="715">
        <v>11964</v>
      </c>
      <c r="B3162" s="633" t="s">
        <v>37635</v>
      </c>
      <c r="C3162" s="715" t="s">
        <v>103</v>
      </c>
      <c r="D3162" s="715" t="s">
        <v>40839</v>
      </c>
      <c r="E3162" s="716">
        <v>2.2000000000000002</v>
      </c>
    </row>
    <row r="3163" spans="1:5" ht="29">
      <c r="A3163" s="715">
        <v>4346</v>
      </c>
      <c r="B3163" s="633" t="s">
        <v>37636</v>
      </c>
      <c r="C3163" s="715" t="s">
        <v>103</v>
      </c>
      <c r="D3163" s="715" t="s">
        <v>40839</v>
      </c>
      <c r="E3163" s="716">
        <v>9.3699999999999992</v>
      </c>
    </row>
    <row r="3164" spans="1:5" ht="29">
      <c r="A3164" s="715">
        <v>11955</v>
      </c>
      <c r="B3164" s="633" t="s">
        <v>37637</v>
      </c>
      <c r="C3164" s="715" t="s">
        <v>103</v>
      </c>
      <c r="D3164" s="715" t="s">
        <v>40839</v>
      </c>
      <c r="E3164" s="716">
        <v>4.0999999999999996</v>
      </c>
    </row>
    <row r="3165" spans="1:5" ht="29">
      <c r="A3165" s="715">
        <v>11960</v>
      </c>
      <c r="B3165" s="633" t="s">
        <v>37638</v>
      </c>
      <c r="C3165" s="715" t="s">
        <v>103</v>
      </c>
      <c r="D3165" s="715" t="s">
        <v>40839</v>
      </c>
      <c r="E3165" s="716">
        <v>0.13</v>
      </c>
    </row>
    <row r="3166" spans="1:5" ht="29">
      <c r="A3166" s="715">
        <v>4333</v>
      </c>
      <c r="B3166" s="633" t="s">
        <v>37639</v>
      </c>
      <c r="C3166" s="715" t="s">
        <v>103</v>
      </c>
      <c r="D3166" s="715" t="s">
        <v>40839</v>
      </c>
      <c r="E3166" s="716">
        <v>0.24</v>
      </c>
    </row>
    <row r="3167" spans="1:5" ht="29">
      <c r="A3167" s="715">
        <v>4358</v>
      </c>
      <c r="B3167" s="633" t="s">
        <v>37640</v>
      </c>
      <c r="C3167" s="715" t="s">
        <v>103</v>
      </c>
      <c r="D3167" s="715" t="s">
        <v>40839</v>
      </c>
      <c r="E3167" s="716">
        <v>1.87</v>
      </c>
    </row>
    <row r="3168" spans="1:5" ht="29">
      <c r="A3168" s="715">
        <v>39435</v>
      </c>
      <c r="B3168" s="633" t="s">
        <v>37641</v>
      </c>
      <c r="C3168" s="715" t="s">
        <v>103</v>
      </c>
      <c r="D3168" s="715" t="s">
        <v>40839</v>
      </c>
      <c r="E3168" s="716">
        <v>0.09</v>
      </c>
    </row>
    <row r="3169" spans="1:5" ht="29">
      <c r="A3169" s="715">
        <v>39436</v>
      </c>
      <c r="B3169" s="633" t="s">
        <v>37642</v>
      </c>
      <c r="C3169" s="715" t="s">
        <v>103</v>
      </c>
      <c r="D3169" s="715" t="s">
        <v>40839</v>
      </c>
      <c r="E3169" s="716">
        <v>0.16</v>
      </c>
    </row>
    <row r="3170" spans="1:5" ht="29">
      <c r="A3170" s="715">
        <v>39437</v>
      </c>
      <c r="B3170" s="633" t="s">
        <v>37643</v>
      </c>
      <c r="C3170" s="715" t="s">
        <v>103</v>
      </c>
      <c r="D3170" s="715" t="s">
        <v>40839</v>
      </c>
      <c r="E3170" s="716">
        <v>0.21</v>
      </c>
    </row>
    <row r="3171" spans="1:5" ht="29">
      <c r="A3171" s="715">
        <v>39439</v>
      </c>
      <c r="B3171" s="633" t="s">
        <v>37644</v>
      </c>
      <c r="C3171" s="715" t="s">
        <v>103</v>
      </c>
      <c r="D3171" s="715" t="s">
        <v>40839</v>
      </c>
      <c r="E3171" s="716">
        <v>0.14000000000000001</v>
      </c>
    </row>
    <row r="3172" spans="1:5" ht="29">
      <c r="A3172" s="715">
        <v>39440</v>
      </c>
      <c r="B3172" s="633" t="s">
        <v>37645</v>
      </c>
      <c r="C3172" s="715" t="s">
        <v>103</v>
      </c>
      <c r="D3172" s="715" t="s">
        <v>40839</v>
      </c>
      <c r="E3172" s="716">
        <v>0.18</v>
      </c>
    </row>
    <row r="3173" spans="1:5" ht="29">
      <c r="A3173" s="715">
        <v>39441</v>
      </c>
      <c r="B3173" s="633" t="s">
        <v>37646</v>
      </c>
      <c r="C3173" s="715" t="s">
        <v>103</v>
      </c>
      <c r="D3173" s="715" t="s">
        <v>40839</v>
      </c>
      <c r="E3173" s="716">
        <v>0.23</v>
      </c>
    </row>
    <row r="3174" spans="1:5" ht="29">
      <c r="A3174" s="715">
        <v>39442</v>
      </c>
      <c r="B3174" s="633" t="s">
        <v>37647</v>
      </c>
      <c r="C3174" s="715" t="s">
        <v>103</v>
      </c>
      <c r="D3174" s="715" t="s">
        <v>40839</v>
      </c>
      <c r="E3174" s="716">
        <v>0.17</v>
      </c>
    </row>
    <row r="3175" spans="1:5" ht="29">
      <c r="A3175" s="715">
        <v>39443</v>
      </c>
      <c r="B3175" s="633" t="s">
        <v>37648</v>
      </c>
      <c r="C3175" s="715" t="s">
        <v>103</v>
      </c>
      <c r="D3175" s="715" t="s">
        <v>40839</v>
      </c>
      <c r="E3175" s="716">
        <v>0.22</v>
      </c>
    </row>
    <row r="3176" spans="1:5" ht="29">
      <c r="A3176" s="715">
        <v>4329</v>
      </c>
      <c r="B3176" s="633" t="s">
        <v>37649</v>
      </c>
      <c r="C3176" s="715" t="s">
        <v>103</v>
      </c>
      <c r="D3176" s="715" t="s">
        <v>28018</v>
      </c>
      <c r="E3176" s="716">
        <v>2</v>
      </c>
    </row>
    <row r="3177" spans="1:5" ht="29">
      <c r="A3177" s="715">
        <v>436</v>
      </c>
      <c r="B3177" s="633" t="s">
        <v>37650</v>
      </c>
      <c r="C3177" s="715" t="s">
        <v>103</v>
      </c>
      <c r="D3177" s="715" t="s">
        <v>40839</v>
      </c>
      <c r="E3177" s="716">
        <v>10.94</v>
      </c>
    </row>
    <row r="3178" spans="1:5" ht="29">
      <c r="A3178" s="715">
        <v>442</v>
      </c>
      <c r="B3178" s="633" t="s">
        <v>37651</v>
      </c>
      <c r="C3178" s="715" t="s">
        <v>103</v>
      </c>
      <c r="D3178" s="715" t="s">
        <v>40839</v>
      </c>
      <c r="E3178" s="716">
        <v>6.47</v>
      </c>
    </row>
    <row r="3179" spans="1:5" ht="29">
      <c r="A3179" s="715">
        <v>4383</v>
      </c>
      <c r="B3179" s="633" t="s">
        <v>37652</v>
      </c>
      <c r="C3179" s="715" t="s">
        <v>103</v>
      </c>
      <c r="D3179" s="715" t="s">
        <v>40839</v>
      </c>
      <c r="E3179" s="716">
        <v>18.079999999999998</v>
      </c>
    </row>
    <row r="3180" spans="1:5" ht="29">
      <c r="A3180" s="715">
        <v>4344</v>
      </c>
      <c r="B3180" s="633" t="s">
        <v>37653</v>
      </c>
      <c r="C3180" s="715" t="s">
        <v>103</v>
      </c>
      <c r="D3180" s="715" t="s">
        <v>40839</v>
      </c>
      <c r="E3180" s="716">
        <v>18.95</v>
      </c>
    </row>
    <row r="3181" spans="1:5" ht="29">
      <c r="A3181" s="715">
        <v>4335</v>
      </c>
      <c r="B3181" s="633" t="s">
        <v>37654</v>
      </c>
      <c r="C3181" s="715" t="s">
        <v>103</v>
      </c>
      <c r="D3181" s="715" t="s">
        <v>40839</v>
      </c>
      <c r="E3181" s="716">
        <v>12.73</v>
      </c>
    </row>
    <row r="3182" spans="1:5" ht="29">
      <c r="A3182" s="715">
        <v>4334</v>
      </c>
      <c r="B3182" s="633" t="s">
        <v>37655</v>
      </c>
      <c r="C3182" s="715" t="s">
        <v>103</v>
      </c>
      <c r="D3182" s="715" t="s">
        <v>40839</v>
      </c>
      <c r="E3182" s="716">
        <v>17.46</v>
      </c>
    </row>
    <row r="3183" spans="1:5" ht="29">
      <c r="A3183" s="715">
        <v>11953</v>
      </c>
      <c r="B3183" s="633" t="s">
        <v>37656</v>
      </c>
      <c r="C3183" s="715" t="s">
        <v>103</v>
      </c>
      <c r="D3183" s="715" t="s">
        <v>40839</v>
      </c>
      <c r="E3183" s="716">
        <v>3</v>
      </c>
    </row>
    <row r="3184" spans="1:5" ht="29">
      <c r="A3184" s="715">
        <v>4343</v>
      </c>
      <c r="B3184" s="633" t="s">
        <v>37657</v>
      </c>
      <c r="C3184" s="715" t="s">
        <v>103</v>
      </c>
      <c r="D3184" s="715" t="s">
        <v>40839</v>
      </c>
      <c r="E3184" s="716">
        <v>4.29</v>
      </c>
    </row>
    <row r="3185" spans="1:5" ht="29">
      <c r="A3185" s="715">
        <v>430</v>
      </c>
      <c r="B3185" s="633" t="s">
        <v>37658</v>
      </c>
      <c r="C3185" s="715" t="s">
        <v>103</v>
      </c>
      <c r="D3185" s="715" t="s">
        <v>40839</v>
      </c>
      <c r="E3185" s="716">
        <v>9.7899999999999991</v>
      </c>
    </row>
    <row r="3186" spans="1:5" ht="29">
      <c r="A3186" s="715">
        <v>441</v>
      </c>
      <c r="B3186" s="633" t="s">
        <v>37659</v>
      </c>
      <c r="C3186" s="715" t="s">
        <v>103</v>
      </c>
      <c r="D3186" s="715" t="s">
        <v>40839</v>
      </c>
      <c r="E3186" s="716">
        <v>10.77</v>
      </c>
    </row>
    <row r="3187" spans="1:5" ht="29">
      <c r="A3187" s="715">
        <v>431</v>
      </c>
      <c r="B3187" s="633" t="s">
        <v>37660</v>
      </c>
      <c r="C3187" s="715" t="s">
        <v>103</v>
      </c>
      <c r="D3187" s="715" t="s">
        <v>40839</v>
      </c>
      <c r="E3187" s="716">
        <v>13.01</v>
      </c>
    </row>
    <row r="3188" spans="1:5" ht="29">
      <c r="A3188" s="715">
        <v>432</v>
      </c>
      <c r="B3188" s="633" t="s">
        <v>37661</v>
      </c>
      <c r="C3188" s="715" t="s">
        <v>103</v>
      </c>
      <c r="D3188" s="715" t="s">
        <v>40839</v>
      </c>
      <c r="E3188" s="716">
        <v>14.35</v>
      </c>
    </row>
    <row r="3189" spans="1:5" ht="29">
      <c r="A3189" s="715">
        <v>429</v>
      </c>
      <c r="B3189" s="633" t="s">
        <v>37662</v>
      </c>
      <c r="C3189" s="715" t="s">
        <v>103</v>
      </c>
      <c r="D3189" s="715" t="s">
        <v>40839</v>
      </c>
      <c r="E3189" s="716">
        <v>19.350000000000001</v>
      </c>
    </row>
    <row r="3190" spans="1:5" ht="29">
      <c r="A3190" s="715">
        <v>439</v>
      </c>
      <c r="B3190" s="633" t="s">
        <v>37663</v>
      </c>
      <c r="C3190" s="715" t="s">
        <v>103</v>
      </c>
      <c r="D3190" s="715" t="s">
        <v>40839</v>
      </c>
      <c r="E3190" s="716">
        <v>16.489999999999998</v>
      </c>
    </row>
    <row r="3191" spans="1:5" ht="29">
      <c r="A3191" s="715">
        <v>433</v>
      </c>
      <c r="B3191" s="633" t="s">
        <v>37664</v>
      </c>
      <c r="C3191" s="715" t="s">
        <v>103</v>
      </c>
      <c r="D3191" s="715" t="s">
        <v>40839</v>
      </c>
      <c r="E3191" s="716">
        <v>19.25</v>
      </c>
    </row>
    <row r="3192" spans="1:5" ht="29">
      <c r="A3192" s="715">
        <v>437</v>
      </c>
      <c r="B3192" s="633" t="s">
        <v>37665</v>
      </c>
      <c r="C3192" s="715" t="s">
        <v>103</v>
      </c>
      <c r="D3192" s="715" t="s">
        <v>40839</v>
      </c>
      <c r="E3192" s="716">
        <v>25.57</v>
      </c>
    </row>
    <row r="3193" spans="1:5" ht="29">
      <c r="A3193" s="715">
        <v>11790</v>
      </c>
      <c r="B3193" s="633" t="s">
        <v>37666</v>
      </c>
      <c r="C3193" s="715" t="s">
        <v>103</v>
      </c>
      <c r="D3193" s="715" t="s">
        <v>40839</v>
      </c>
      <c r="E3193" s="716">
        <v>29.01</v>
      </c>
    </row>
    <row r="3194" spans="1:5" ht="29">
      <c r="A3194" s="715">
        <v>428</v>
      </c>
      <c r="B3194" s="633" t="s">
        <v>37667</v>
      </c>
      <c r="C3194" s="715" t="s">
        <v>103</v>
      </c>
      <c r="D3194" s="715" t="s">
        <v>28018</v>
      </c>
      <c r="E3194" s="716">
        <v>31.54</v>
      </c>
    </row>
    <row r="3195" spans="1:5" ht="29">
      <c r="A3195" s="715">
        <v>4351</v>
      </c>
      <c r="B3195" s="633" t="s">
        <v>37668</v>
      </c>
      <c r="C3195" s="715" t="s">
        <v>103</v>
      </c>
      <c r="D3195" s="715" t="s">
        <v>40839</v>
      </c>
      <c r="E3195" s="716">
        <v>15.4</v>
      </c>
    </row>
    <row r="3196" spans="1:5" ht="29">
      <c r="A3196" s="715">
        <v>4384</v>
      </c>
      <c r="B3196" s="633" t="s">
        <v>37669</v>
      </c>
      <c r="C3196" s="715" t="s">
        <v>103</v>
      </c>
      <c r="D3196" s="715" t="s">
        <v>40839</v>
      </c>
      <c r="E3196" s="716">
        <v>20.78</v>
      </c>
    </row>
    <row r="3197" spans="1:5" ht="29">
      <c r="A3197" s="715">
        <v>11054</v>
      </c>
      <c r="B3197" s="633" t="s">
        <v>41053</v>
      </c>
      <c r="C3197" s="715" t="s">
        <v>103</v>
      </c>
      <c r="D3197" s="715" t="s">
        <v>40839</v>
      </c>
      <c r="E3197" s="716">
        <v>0.04</v>
      </c>
    </row>
    <row r="3198" spans="1:5">
      <c r="A3198" s="715">
        <v>11055</v>
      </c>
      <c r="B3198" s="633" t="s">
        <v>41054</v>
      </c>
      <c r="C3198" s="715" t="s">
        <v>103</v>
      </c>
      <c r="D3198" s="715" t="s">
        <v>40839</v>
      </c>
      <c r="E3198" s="716">
        <v>7.0000000000000007E-2</v>
      </c>
    </row>
    <row r="3199" spans="1:5" ht="29">
      <c r="A3199" s="715">
        <v>11056</v>
      </c>
      <c r="B3199" s="633" t="s">
        <v>41055</v>
      </c>
      <c r="C3199" s="715" t="s">
        <v>103</v>
      </c>
      <c r="D3199" s="715" t="s">
        <v>40839</v>
      </c>
      <c r="E3199" s="716">
        <v>0.08</v>
      </c>
    </row>
    <row r="3200" spans="1:5" ht="29">
      <c r="A3200" s="715">
        <v>11057</v>
      </c>
      <c r="B3200" s="633" t="s">
        <v>41056</v>
      </c>
      <c r="C3200" s="715" t="s">
        <v>103</v>
      </c>
      <c r="D3200" s="715" t="s">
        <v>40839</v>
      </c>
      <c r="E3200" s="716">
        <v>0.16</v>
      </c>
    </row>
    <row r="3201" spans="1:5">
      <c r="A3201" s="715">
        <v>11059</v>
      </c>
      <c r="B3201" s="633" t="s">
        <v>41057</v>
      </c>
      <c r="C3201" s="715" t="s">
        <v>103</v>
      </c>
      <c r="D3201" s="715" t="s">
        <v>40839</v>
      </c>
      <c r="E3201" s="716">
        <v>0.31</v>
      </c>
    </row>
    <row r="3202" spans="1:5" ht="29">
      <c r="A3202" s="715">
        <v>11058</v>
      </c>
      <c r="B3202" s="633" t="s">
        <v>41058</v>
      </c>
      <c r="C3202" s="715" t="s">
        <v>103</v>
      </c>
      <c r="D3202" s="715" t="s">
        <v>40839</v>
      </c>
      <c r="E3202" s="716">
        <v>0.41</v>
      </c>
    </row>
    <row r="3203" spans="1:5" ht="29">
      <c r="A3203" s="715">
        <v>4320</v>
      </c>
      <c r="B3203" s="633" t="s">
        <v>37670</v>
      </c>
      <c r="C3203" s="715" t="s">
        <v>103</v>
      </c>
      <c r="D3203" s="715" t="s">
        <v>40839</v>
      </c>
      <c r="E3203" s="716">
        <v>3.28</v>
      </c>
    </row>
    <row r="3204" spans="1:5" ht="29">
      <c r="A3204" s="715">
        <v>4318</v>
      </c>
      <c r="B3204" s="633" t="s">
        <v>37671</v>
      </c>
      <c r="C3204" s="715" t="s">
        <v>103</v>
      </c>
      <c r="D3204" s="715" t="s">
        <v>40839</v>
      </c>
      <c r="E3204" s="716">
        <v>1.59</v>
      </c>
    </row>
    <row r="3205" spans="1:5">
      <c r="A3205" s="715">
        <v>4380</v>
      </c>
      <c r="B3205" s="633" t="s">
        <v>37672</v>
      </c>
      <c r="C3205" s="715" t="s">
        <v>103</v>
      </c>
      <c r="D3205" s="715" t="s">
        <v>40839</v>
      </c>
      <c r="E3205" s="716">
        <v>1.38</v>
      </c>
    </row>
    <row r="3206" spans="1:5" ht="29">
      <c r="A3206" s="715">
        <v>4299</v>
      </c>
      <c r="B3206" s="633" t="s">
        <v>37673</v>
      </c>
      <c r="C3206" s="715" t="s">
        <v>103</v>
      </c>
      <c r="D3206" s="715" t="s">
        <v>28018</v>
      </c>
      <c r="E3206" s="716">
        <v>1.3</v>
      </c>
    </row>
    <row r="3207" spans="1:5" ht="29">
      <c r="A3207" s="715">
        <v>4304</v>
      </c>
      <c r="B3207" s="633" t="s">
        <v>37674</v>
      </c>
      <c r="C3207" s="715" t="s">
        <v>103</v>
      </c>
      <c r="D3207" s="715" t="s">
        <v>40839</v>
      </c>
      <c r="E3207" s="716">
        <v>1.77</v>
      </c>
    </row>
    <row r="3208" spans="1:5" ht="29">
      <c r="A3208" s="715">
        <v>4305</v>
      </c>
      <c r="B3208" s="633" t="s">
        <v>37675</v>
      </c>
      <c r="C3208" s="715" t="s">
        <v>103</v>
      </c>
      <c r="D3208" s="715" t="s">
        <v>40839</v>
      </c>
      <c r="E3208" s="716">
        <v>2.06</v>
      </c>
    </row>
    <row r="3209" spans="1:5" ht="29">
      <c r="A3209" s="715">
        <v>4306</v>
      </c>
      <c r="B3209" s="633" t="s">
        <v>37676</v>
      </c>
      <c r="C3209" s="715" t="s">
        <v>103</v>
      </c>
      <c r="D3209" s="715" t="s">
        <v>40839</v>
      </c>
      <c r="E3209" s="716">
        <v>2.39</v>
      </c>
    </row>
    <row r="3210" spans="1:5" ht="29">
      <c r="A3210" s="715">
        <v>4308</v>
      </c>
      <c r="B3210" s="633" t="s">
        <v>37677</v>
      </c>
      <c r="C3210" s="715" t="s">
        <v>103</v>
      </c>
      <c r="D3210" s="715" t="s">
        <v>40839</v>
      </c>
      <c r="E3210" s="716">
        <v>4.95</v>
      </c>
    </row>
    <row r="3211" spans="1:5" ht="29">
      <c r="A3211" s="715">
        <v>4302</v>
      </c>
      <c r="B3211" s="633" t="s">
        <v>37678</v>
      </c>
      <c r="C3211" s="715" t="s">
        <v>103</v>
      </c>
      <c r="D3211" s="715" t="s">
        <v>40839</v>
      </c>
      <c r="E3211" s="716">
        <v>3.71</v>
      </c>
    </row>
    <row r="3212" spans="1:5" ht="29">
      <c r="A3212" s="715">
        <v>4300</v>
      </c>
      <c r="B3212" s="633" t="s">
        <v>37679</v>
      </c>
      <c r="C3212" s="715" t="s">
        <v>103</v>
      </c>
      <c r="D3212" s="715" t="s">
        <v>40839</v>
      </c>
      <c r="E3212" s="716">
        <v>0.88</v>
      </c>
    </row>
    <row r="3213" spans="1:5" ht="29">
      <c r="A3213" s="715">
        <v>4301</v>
      </c>
      <c r="B3213" s="633" t="s">
        <v>37680</v>
      </c>
      <c r="C3213" s="715" t="s">
        <v>103</v>
      </c>
      <c r="D3213" s="715" t="s">
        <v>40839</v>
      </c>
      <c r="E3213" s="716">
        <v>1.08</v>
      </c>
    </row>
    <row r="3214" spans="1:5">
      <c r="A3214" s="715">
        <v>40547</v>
      </c>
      <c r="B3214" s="633" t="s">
        <v>37681</v>
      </c>
      <c r="C3214" s="715" t="s">
        <v>36636</v>
      </c>
      <c r="D3214" s="715" t="s">
        <v>40839</v>
      </c>
      <c r="E3214" s="716">
        <v>25.25</v>
      </c>
    </row>
    <row r="3215" spans="1:5" ht="29">
      <c r="A3215" s="715">
        <v>11962</v>
      </c>
      <c r="B3215" s="633" t="s">
        <v>37682</v>
      </c>
      <c r="C3215" s="715" t="s">
        <v>103</v>
      </c>
      <c r="D3215" s="715" t="s">
        <v>40839</v>
      </c>
      <c r="E3215" s="716">
        <v>0.2</v>
      </c>
    </row>
    <row r="3216" spans="1:5" ht="29">
      <c r="A3216" s="715">
        <v>4332</v>
      </c>
      <c r="B3216" s="633" t="s">
        <v>37683</v>
      </c>
      <c r="C3216" s="715" t="s">
        <v>103</v>
      </c>
      <c r="D3216" s="715" t="s">
        <v>40839</v>
      </c>
      <c r="E3216" s="716">
        <v>1</v>
      </c>
    </row>
    <row r="3217" spans="1:5" ht="29">
      <c r="A3217" s="715">
        <v>4331</v>
      </c>
      <c r="B3217" s="633" t="s">
        <v>37684</v>
      </c>
      <c r="C3217" s="715" t="s">
        <v>103</v>
      </c>
      <c r="D3217" s="715" t="s">
        <v>40839</v>
      </c>
      <c r="E3217" s="716">
        <v>3.79</v>
      </c>
    </row>
    <row r="3218" spans="1:5" ht="29">
      <c r="A3218" s="715">
        <v>4336</v>
      </c>
      <c r="B3218" s="633" t="s">
        <v>37685</v>
      </c>
      <c r="C3218" s="715" t="s">
        <v>103</v>
      </c>
      <c r="D3218" s="715" t="s">
        <v>40839</v>
      </c>
      <c r="E3218" s="716">
        <v>4.8499999999999996</v>
      </c>
    </row>
    <row r="3219" spans="1:5" ht="29">
      <c r="A3219" s="715">
        <v>11948</v>
      </c>
      <c r="B3219" s="633" t="s">
        <v>37686</v>
      </c>
      <c r="C3219" s="715" t="s">
        <v>103</v>
      </c>
      <c r="D3219" s="715" t="s">
        <v>40839</v>
      </c>
      <c r="E3219" s="716">
        <v>0.62</v>
      </c>
    </row>
    <row r="3220" spans="1:5" ht="29">
      <c r="A3220" s="715">
        <v>4382</v>
      </c>
      <c r="B3220" s="633" t="s">
        <v>37687</v>
      </c>
      <c r="C3220" s="715" t="s">
        <v>103</v>
      </c>
      <c r="D3220" s="715" t="s">
        <v>40839</v>
      </c>
      <c r="E3220" s="716">
        <v>1.04</v>
      </c>
    </row>
    <row r="3221" spans="1:5" ht="29">
      <c r="A3221" s="715">
        <v>4354</v>
      </c>
      <c r="B3221" s="633" t="s">
        <v>37688</v>
      </c>
      <c r="C3221" s="715" t="s">
        <v>103</v>
      </c>
      <c r="D3221" s="715" t="s">
        <v>40839</v>
      </c>
      <c r="E3221" s="716">
        <v>43.47</v>
      </c>
    </row>
    <row r="3222" spans="1:5" ht="29">
      <c r="A3222" s="715">
        <v>40839</v>
      </c>
      <c r="B3222" s="633" t="s">
        <v>37689</v>
      </c>
      <c r="C3222" s="715" t="s">
        <v>36636</v>
      </c>
      <c r="D3222" s="715" t="s">
        <v>40839</v>
      </c>
      <c r="E3222" s="716">
        <v>104.61</v>
      </c>
    </row>
    <row r="3223" spans="1:5" ht="29">
      <c r="A3223" s="715">
        <v>40552</v>
      </c>
      <c r="B3223" s="633" t="s">
        <v>37690</v>
      </c>
      <c r="C3223" s="715" t="s">
        <v>36636</v>
      </c>
      <c r="D3223" s="715" t="s">
        <v>40839</v>
      </c>
      <c r="E3223" s="716">
        <v>43.29</v>
      </c>
    </row>
    <row r="3224" spans="1:5" ht="29">
      <c r="A3224" s="715">
        <v>40549</v>
      </c>
      <c r="B3224" s="633" t="s">
        <v>37691</v>
      </c>
      <c r="C3224" s="715" t="s">
        <v>36636</v>
      </c>
      <c r="D3224" s="715" t="s">
        <v>40839</v>
      </c>
      <c r="E3224" s="716">
        <v>171.35</v>
      </c>
    </row>
    <row r="3225" spans="1:5">
      <c r="A3225" s="715">
        <v>43965</v>
      </c>
      <c r="B3225" s="633" t="s">
        <v>42192</v>
      </c>
      <c r="C3225" s="715" t="s">
        <v>103</v>
      </c>
      <c r="D3225" s="715" t="s">
        <v>40839</v>
      </c>
      <c r="E3225" s="716">
        <v>0.43</v>
      </c>
    </row>
    <row r="3226" spans="1:5" ht="29">
      <c r="A3226" s="715">
        <v>4385</v>
      </c>
      <c r="B3226" s="633" t="s">
        <v>37692</v>
      </c>
      <c r="C3226" s="715" t="s">
        <v>37693</v>
      </c>
      <c r="D3226" s="715" t="s">
        <v>40839</v>
      </c>
      <c r="E3226" s="716">
        <v>3250.48</v>
      </c>
    </row>
    <row r="3227" spans="1:5">
      <c r="A3227" s="715">
        <v>45236</v>
      </c>
      <c r="B3227" s="633" t="s">
        <v>41059</v>
      </c>
      <c r="C3227" s="715" t="s">
        <v>207</v>
      </c>
      <c r="D3227" s="715" t="s">
        <v>40839</v>
      </c>
      <c r="E3227" s="716">
        <v>21.85</v>
      </c>
    </row>
    <row r="3228" spans="1:5" ht="29">
      <c r="A3228" s="715">
        <v>20078</v>
      </c>
      <c r="B3228" s="633" t="s">
        <v>37694</v>
      </c>
      <c r="C3228" s="715" t="s">
        <v>103</v>
      </c>
      <c r="D3228" s="715" t="s">
        <v>40839</v>
      </c>
      <c r="E3228" s="716">
        <v>23.81</v>
      </c>
    </row>
    <row r="3229" spans="1:5">
      <c r="A3229" s="715">
        <v>39897</v>
      </c>
      <c r="B3229" s="633" t="s">
        <v>37695</v>
      </c>
      <c r="C3229" s="715" t="s">
        <v>103</v>
      </c>
      <c r="D3229" s="715" t="s">
        <v>40839</v>
      </c>
      <c r="E3229" s="716">
        <v>56.57</v>
      </c>
    </row>
    <row r="3230" spans="1:5" ht="29">
      <c r="A3230" s="715">
        <v>118</v>
      </c>
      <c r="B3230" s="633" t="s">
        <v>37696</v>
      </c>
      <c r="C3230" s="715" t="s">
        <v>103</v>
      </c>
      <c r="D3230" s="715" t="s">
        <v>40839</v>
      </c>
      <c r="E3230" s="716">
        <v>50.35</v>
      </c>
    </row>
    <row r="3231" spans="1:5" ht="29">
      <c r="A3231" s="715">
        <v>4396</v>
      </c>
      <c r="B3231" s="633" t="s">
        <v>37697</v>
      </c>
      <c r="C3231" s="715" t="s">
        <v>509</v>
      </c>
      <c r="D3231" s="715" t="s">
        <v>40839</v>
      </c>
      <c r="E3231" s="716">
        <v>266.36</v>
      </c>
    </row>
    <row r="3232" spans="1:5" ht="29">
      <c r="A3232" s="715">
        <v>36881</v>
      </c>
      <c r="B3232" s="633" t="s">
        <v>37698</v>
      </c>
      <c r="C3232" s="715" t="s">
        <v>509</v>
      </c>
      <c r="D3232" s="715" t="s">
        <v>40839</v>
      </c>
      <c r="E3232" s="716">
        <v>194.46</v>
      </c>
    </row>
    <row r="3233" spans="1:5" ht="29">
      <c r="A3233" s="715">
        <v>4397</v>
      </c>
      <c r="B3233" s="633" t="s">
        <v>37699</v>
      </c>
      <c r="C3233" s="715" t="s">
        <v>509</v>
      </c>
      <c r="D3233" s="715" t="s">
        <v>40839</v>
      </c>
      <c r="E3233" s="716">
        <v>270.8</v>
      </c>
    </row>
    <row r="3234" spans="1:5" ht="29">
      <c r="A3234" s="715">
        <v>36882</v>
      </c>
      <c r="B3234" s="633" t="s">
        <v>37700</v>
      </c>
      <c r="C3234" s="715" t="s">
        <v>509</v>
      </c>
      <c r="D3234" s="715" t="s">
        <v>40839</v>
      </c>
      <c r="E3234" s="716">
        <v>198.28</v>
      </c>
    </row>
    <row r="3235" spans="1:5">
      <c r="A3235" s="715">
        <v>4751</v>
      </c>
      <c r="B3235" s="633" t="s">
        <v>37701</v>
      </c>
      <c r="C3235" s="715" t="s">
        <v>11</v>
      </c>
      <c r="D3235" s="715" t="s">
        <v>40839</v>
      </c>
      <c r="E3235" s="716">
        <v>26.03</v>
      </c>
    </row>
    <row r="3236" spans="1:5">
      <c r="A3236" s="715">
        <v>41066</v>
      </c>
      <c r="B3236" s="633" t="s">
        <v>37702</v>
      </c>
      <c r="C3236" s="715" t="s">
        <v>27629</v>
      </c>
      <c r="D3236" s="715" t="s">
        <v>40839</v>
      </c>
      <c r="E3236" s="716">
        <v>4560.57</v>
      </c>
    </row>
    <row r="3237" spans="1:5" ht="29">
      <c r="A3237" s="715">
        <v>39604</v>
      </c>
      <c r="B3237" s="633" t="s">
        <v>37703</v>
      </c>
      <c r="C3237" s="715" t="s">
        <v>103</v>
      </c>
      <c r="D3237" s="715" t="s">
        <v>40839</v>
      </c>
      <c r="E3237" s="716">
        <v>14.8</v>
      </c>
    </row>
    <row r="3238" spans="1:5" ht="29">
      <c r="A3238" s="715">
        <v>39605</v>
      </c>
      <c r="B3238" s="633" t="s">
        <v>37704</v>
      </c>
      <c r="C3238" s="715" t="s">
        <v>103</v>
      </c>
      <c r="D3238" s="715" t="s">
        <v>40839</v>
      </c>
      <c r="E3238" s="716">
        <v>16.079999999999998</v>
      </c>
    </row>
    <row r="3239" spans="1:5" ht="29">
      <c r="A3239" s="715">
        <v>39606</v>
      </c>
      <c r="B3239" s="633" t="s">
        <v>37705</v>
      </c>
      <c r="C3239" s="715" t="s">
        <v>103</v>
      </c>
      <c r="D3239" s="715" t="s">
        <v>40839</v>
      </c>
      <c r="E3239" s="716">
        <v>28.15</v>
      </c>
    </row>
    <row r="3240" spans="1:5" ht="29">
      <c r="A3240" s="715">
        <v>39607</v>
      </c>
      <c r="B3240" s="633" t="s">
        <v>37706</v>
      </c>
      <c r="C3240" s="715" t="s">
        <v>103</v>
      </c>
      <c r="D3240" s="715" t="s">
        <v>40839</v>
      </c>
      <c r="E3240" s="716">
        <v>38.090000000000003</v>
      </c>
    </row>
    <row r="3241" spans="1:5" ht="29">
      <c r="A3241" s="715">
        <v>39594</v>
      </c>
      <c r="B3241" s="633" t="s">
        <v>37707</v>
      </c>
      <c r="C3241" s="715" t="s">
        <v>103</v>
      </c>
      <c r="D3241" s="715" t="s">
        <v>28018</v>
      </c>
      <c r="E3241" s="716">
        <v>285</v>
      </c>
    </row>
    <row r="3242" spans="1:5" ht="29">
      <c r="A3242" s="715">
        <v>39596</v>
      </c>
      <c r="B3242" s="633" t="s">
        <v>37708</v>
      </c>
      <c r="C3242" s="715" t="s">
        <v>103</v>
      </c>
      <c r="D3242" s="715" t="s">
        <v>40839</v>
      </c>
      <c r="E3242" s="716">
        <v>763.25</v>
      </c>
    </row>
    <row r="3243" spans="1:5" ht="29">
      <c r="A3243" s="715">
        <v>39595</v>
      </c>
      <c r="B3243" s="633" t="s">
        <v>37709</v>
      </c>
      <c r="C3243" s="715" t="s">
        <v>103</v>
      </c>
      <c r="D3243" s="715" t="s">
        <v>40839</v>
      </c>
      <c r="E3243" s="716">
        <v>1714.92</v>
      </c>
    </row>
    <row r="3244" spans="1:5" ht="29">
      <c r="A3244" s="715">
        <v>39597</v>
      </c>
      <c r="B3244" s="633" t="s">
        <v>37710</v>
      </c>
      <c r="C3244" s="715" t="s">
        <v>103</v>
      </c>
      <c r="D3244" s="715" t="s">
        <v>40839</v>
      </c>
      <c r="E3244" s="716">
        <v>2690.09</v>
      </c>
    </row>
    <row r="3245" spans="1:5">
      <c r="A3245" s="715">
        <v>10731</v>
      </c>
      <c r="B3245" s="633" t="s">
        <v>37711</v>
      </c>
      <c r="C3245" s="715" t="s">
        <v>509</v>
      </c>
      <c r="D3245" s="715" t="s">
        <v>28018</v>
      </c>
      <c r="E3245" s="716">
        <v>45</v>
      </c>
    </row>
    <row r="3246" spans="1:5">
      <c r="A3246" s="715">
        <v>4704</v>
      </c>
      <c r="B3246" s="633" t="s">
        <v>37712</v>
      </c>
      <c r="C3246" s="715" t="s">
        <v>509</v>
      </c>
      <c r="D3246" s="715" t="s">
        <v>40839</v>
      </c>
      <c r="E3246" s="716">
        <v>40.61</v>
      </c>
    </row>
    <row r="3247" spans="1:5">
      <c r="A3247" s="715">
        <v>10730</v>
      </c>
      <c r="B3247" s="633" t="s">
        <v>37713</v>
      </c>
      <c r="C3247" s="715" t="s">
        <v>509</v>
      </c>
      <c r="D3247" s="715" t="s">
        <v>40839</v>
      </c>
      <c r="E3247" s="716">
        <v>43.51</v>
      </c>
    </row>
    <row r="3248" spans="1:5" ht="29">
      <c r="A3248" s="715">
        <v>4720</v>
      </c>
      <c r="B3248" s="633" t="s">
        <v>37714</v>
      </c>
      <c r="C3248" s="715" t="s">
        <v>121</v>
      </c>
      <c r="D3248" s="715" t="s">
        <v>40839</v>
      </c>
      <c r="E3248" s="716">
        <v>100.56</v>
      </c>
    </row>
    <row r="3249" spans="1:5">
      <c r="A3249" s="715">
        <v>4721</v>
      </c>
      <c r="B3249" s="633" t="s">
        <v>37715</v>
      </c>
      <c r="C3249" s="715" t="s">
        <v>121</v>
      </c>
      <c r="D3249" s="715" t="s">
        <v>40839</v>
      </c>
      <c r="E3249" s="716">
        <v>87.1</v>
      </c>
    </row>
    <row r="3250" spans="1:5">
      <c r="A3250" s="715">
        <v>4718</v>
      </c>
      <c r="B3250" s="633" t="s">
        <v>37716</v>
      </c>
      <c r="C3250" s="715" t="s">
        <v>121</v>
      </c>
      <c r="D3250" s="715" t="s">
        <v>28018</v>
      </c>
      <c r="E3250" s="716">
        <v>87.56</v>
      </c>
    </row>
    <row r="3251" spans="1:5">
      <c r="A3251" s="715">
        <v>4722</v>
      </c>
      <c r="B3251" s="633" t="s">
        <v>37717</v>
      </c>
      <c r="C3251" s="715" t="s">
        <v>121</v>
      </c>
      <c r="D3251" s="715" t="s">
        <v>40839</v>
      </c>
      <c r="E3251" s="716">
        <v>82.27</v>
      </c>
    </row>
    <row r="3252" spans="1:5" ht="29">
      <c r="A3252" s="715">
        <v>4730</v>
      </c>
      <c r="B3252" s="633" t="s">
        <v>37718</v>
      </c>
      <c r="C3252" s="715" t="s">
        <v>121</v>
      </c>
      <c r="D3252" s="715" t="s">
        <v>40839</v>
      </c>
      <c r="E3252" s="716">
        <v>81.87</v>
      </c>
    </row>
    <row r="3253" spans="1:5" ht="43">
      <c r="A3253" s="715">
        <v>13186</v>
      </c>
      <c r="B3253" s="633" t="s">
        <v>37719</v>
      </c>
      <c r="C3253" s="715" t="s">
        <v>121</v>
      </c>
      <c r="D3253" s="715" t="s">
        <v>40839</v>
      </c>
      <c r="E3253" s="716">
        <v>94.46</v>
      </c>
    </row>
    <row r="3254" spans="1:5" ht="29">
      <c r="A3254" s="715">
        <v>10737</v>
      </c>
      <c r="B3254" s="633" t="s">
        <v>37720</v>
      </c>
      <c r="C3254" s="715" t="s">
        <v>509</v>
      </c>
      <c r="D3254" s="715" t="s">
        <v>40839</v>
      </c>
      <c r="E3254" s="716">
        <v>141.41</v>
      </c>
    </row>
    <row r="3255" spans="1:5" ht="29">
      <c r="A3255" s="715">
        <v>10734</v>
      </c>
      <c r="B3255" s="633" t="s">
        <v>37721</v>
      </c>
      <c r="C3255" s="715" t="s">
        <v>509</v>
      </c>
      <c r="D3255" s="715" t="s">
        <v>40839</v>
      </c>
      <c r="E3255" s="716">
        <v>84.12</v>
      </c>
    </row>
    <row r="3256" spans="1:5">
      <c r="A3256" s="715">
        <v>4708</v>
      </c>
      <c r="B3256" s="633" t="s">
        <v>37722</v>
      </c>
      <c r="C3256" s="715" t="s">
        <v>509</v>
      </c>
      <c r="D3256" s="715" t="s">
        <v>40839</v>
      </c>
      <c r="E3256" s="716">
        <v>163.16999999999999</v>
      </c>
    </row>
    <row r="3257" spans="1:5" ht="43">
      <c r="A3257" s="715">
        <v>4712</v>
      </c>
      <c r="B3257" s="633" t="s">
        <v>37723</v>
      </c>
      <c r="C3257" s="715" t="s">
        <v>509</v>
      </c>
      <c r="D3257" s="715" t="s">
        <v>40839</v>
      </c>
      <c r="E3257" s="716">
        <v>79.77</v>
      </c>
    </row>
    <row r="3258" spans="1:5" ht="43">
      <c r="A3258" s="715">
        <v>4710</v>
      </c>
      <c r="B3258" s="633" t="s">
        <v>37724</v>
      </c>
      <c r="C3258" s="715" t="s">
        <v>509</v>
      </c>
      <c r="D3258" s="715" t="s">
        <v>40839</v>
      </c>
      <c r="E3258" s="716">
        <v>255.82</v>
      </c>
    </row>
    <row r="3259" spans="1:5">
      <c r="A3259" s="715">
        <v>4750</v>
      </c>
      <c r="B3259" s="633" t="s">
        <v>37725</v>
      </c>
      <c r="C3259" s="715" t="s">
        <v>11</v>
      </c>
      <c r="D3259" s="715" t="s">
        <v>28018</v>
      </c>
      <c r="E3259" s="716">
        <v>26.03</v>
      </c>
    </row>
    <row r="3260" spans="1:5">
      <c r="A3260" s="715">
        <v>41065</v>
      </c>
      <c r="B3260" s="633" t="s">
        <v>37726</v>
      </c>
      <c r="C3260" s="715" t="s">
        <v>27629</v>
      </c>
      <c r="D3260" s="715" t="s">
        <v>40839</v>
      </c>
      <c r="E3260" s="716">
        <v>4560.57</v>
      </c>
    </row>
    <row r="3261" spans="1:5" ht="29">
      <c r="A3261" s="715">
        <v>34747</v>
      </c>
      <c r="B3261" s="633" t="s">
        <v>37727</v>
      </c>
      <c r="C3261" s="715" t="s">
        <v>165</v>
      </c>
      <c r="D3261" s="715" t="s">
        <v>40839</v>
      </c>
      <c r="E3261" s="716">
        <v>133.94</v>
      </c>
    </row>
    <row r="3262" spans="1:5">
      <c r="A3262" s="715">
        <v>4826</v>
      </c>
      <c r="B3262" s="633" t="s">
        <v>37728</v>
      </c>
      <c r="C3262" s="715" t="s">
        <v>165</v>
      </c>
      <c r="D3262" s="715" t="s">
        <v>40839</v>
      </c>
      <c r="E3262" s="716">
        <v>144.02000000000001</v>
      </c>
    </row>
    <row r="3263" spans="1:5">
      <c r="A3263" s="715">
        <v>41975</v>
      </c>
      <c r="B3263" s="633" t="s">
        <v>37729</v>
      </c>
      <c r="C3263" s="715" t="s">
        <v>509</v>
      </c>
      <c r="D3263" s="715" t="s">
        <v>40839</v>
      </c>
      <c r="E3263" s="716">
        <v>103.04</v>
      </c>
    </row>
    <row r="3264" spans="1:5" ht="29">
      <c r="A3264" s="715">
        <v>4825</v>
      </c>
      <c r="B3264" s="633" t="s">
        <v>37730</v>
      </c>
      <c r="C3264" s="715" t="s">
        <v>165</v>
      </c>
      <c r="D3264" s="715" t="s">
        <v>40839</v>
      </c>
      <c r="E3264" s="716">
        <v>199.35</v>
      </c>
    </row>
    <row r="3265" spans="1:5">
      <c r="A3265" s="715">
        <v>34744</v>
      </c>
      <c r="B3265" s="633" t="s">
        <v>37731</v>
      </c>
      <c r="C3265" s="715" t="s">
        <v>509</v>
      </c>
      <c r="D3265" s="715" t="s">
        <v>40839</v>
      </c>
      <c r="E3265" s="716">
        <v>40.17</v>
      </c>
    </row>
    <row r="3266" spans="1:5" ht="29">
      <c r="A3266" s="715">
        <v>39430</v>
      </c>
      <c r="B3266" s="633" t="s">
        <v>32628</v>
      </c>
      <c r="C3266" s="715" t="s">
        <v>103</v>
      </c>
      <c r="D3266" s="715" t="s">
        <v>40839</v>
      </c>
      <c r="E3266" s="716">
        <v>1.6</v>
      </c>
    </row>
    <row r="3267" spans="1:5" ht="29">
      <c r="A3267" s="715">
        <v>39573</v>
      </c>
      <c r="B3267" s="633" t="s">
        <v>37732</v>
      </c>
      <c r="C3267" s="715" t="s">
        <v>103</v>
      </c>
      <c r="D3267" s="715" t="s">
        <v>40839</v>
      </c>
      <c r="E3267" s="716">
        <v>1.57</v>
      </c>
    </row>
    <row r="3268" spans="1:5" ht="29">
      <c r="A3268" s="715">
        <v>38410</v>
      </c>
      <c r="B3268" s="633" t="s">
        <v>37733</v>
      </c>
      <c r="C3268" s="715" t="s">
        <v>103</v>
      </c>
      <c r="D3268" s="715" t="s">
        <v>40839</v>
      </c>
      <c r="E3268" s="716">
        <v>15302.16</v>
      </c>
    </row>
    <row r="3269" spans="1:5">
      <c r="A3269" s="715">
        <v>43082</v>
      </c>
      <c r="B3269" s="633" t="s">
        <v>37734</v>
      </c>
      <c r="C3269" s="715" t="s">
        <v>207</v>
      </c>
      <c r="D3269" s="715" t="s">
        <v>28018</v>
      </c>
      <c r="E3269" s="716">
        <v>10</v>
      </c>
    </row>
    <row r="3270" spans="1:5" ht="29">
      <c r="A3270" s="715">
        <v>43083</v>
      </c>
      <c r="B3270" s="633" t="s">
        <v>37735</v>
      </c>
      <c r="C3270" s="715" t="s">
        <v>207</v>
      </c>
      <c r="D3270" s="715" t="s">
        <v>40839</v>
      </c>
      <c r="E3270" s="716">
        <v>8.66</v>
      </c>
    </row>
    <row r="3271" spans="1:5" ht="29">
      <c r="A3271" s="715">
        <v>40535</v>
      </c>
      <c r="B3271" s="633" t="s">
        <v>37736</v>
      </c>
      <c r="C3271" s="715" t="s">
        <v>207</v>
      </c>
      <c r="D3271" s="715" t="s">
        <v>40839</v>
      </c>
      <c r="E3271" s="716">
        <v>8.66</v>
      </c>
    </row>
    <row r="3272" spans="1:5" ht="29">
      <c r="A3272" s="715">
        <v>40598</v>
      </c>
      <c r="B3272" s="633" t="s">
        <v>37737</v>
      </c>
      <c r="C3272" s="715" t="s">
        <v>207</v>
      </c>
      <c r="D3272" s="715" t="s">
        <v>40839</v>
      </c>
      <c r="E3272" s="716">
        <v>8.4499999999999993</v>
      </c>
    </row>
    <row r="3273" spans="1:5" ht="29">
      <c r="A3273" s="715">
        <v>43692</v>
      </c>
      <c r="B3273" s="633" t="s">
        <v>37738</v>
      </c>
      <c r="C3273" s="715" t="s">
        <v>207</v>
      </c>
      <c r="D3273" s="715" t="s">
        <v>40839</v>
      </c>
      <c r="E3273" s="716">
        <v>9.1199999999999992</v>
      </c>
    </row>
    <row r="3274" spans="1:5" ht="29">
      <c r="A3274" s="715">
        <v>43665</v>
      </c>
      <c r="B3274" s="633" t="s">
        <v>37739</v>
      </c>
      <c r="C3274" s="715" t="s">
        <v>207</v>
      </c>
      <c r="D3274" s="715" t="s">
        <v>40839</v>
      </c>
      <c r="E3274" s="716">
        <v>8.59</v>
      </c>
    </row>
    <row r="3275" spans="1:5" ht="29">
      <c r="A3275" s="715">
        <v>10966</v>
      </c>
      <c r="B3275" s="633" t="s">
        <v>37740</v>
      </c>
      <c r="C3275" s="715" t="s">
        <v>207</v>
      </c>
      <c r="D3275" s="715" t="s">
        <v>40839</v>
      </c>
      <c r="E3275" s="716">
        <v>9.1199999999999992</v>
      </c>
    </row>
    <row r="3276" spans="1:5" ht="29">
      <c r="A3276" s="715">
        <v>39427</v>
      </c>
      <c r="B3276" s="633" t="s">
        <v>37741</v>
      </c>
      <c r="C3276" s="715" t="s">
        <v>165</v>
      </c>
      <c r="D3276" s="715" t="s">
        <v>40839</v>
      </c>
      <c r="E3276" s="716">
        <v>4.25</v>
      </c>
    </row>
    <row r="3277" spans="1:5" ht="29">
      <c r="A3277" s="715">
        <v>39424</v>
      </c>
      <c r="B3277" s="633" t="s">
        <v>37742</v>
      </c>
      <c r="C3277" s="715" t="s">
        <v>165</v>
      </c>
      <c r="D3277" s="715" t="s">
        <v>40839</v>
      </c>
      <c r="E3277" s="716">
        <v>2.52</v>
      </c>
    </row>
    <row r="3278" spans="1:5" ht="29">
      <c r="A3278" s="715">
        <v>39425</v>
      </c>
      <c r="B3278" s="633" t="s">
        <v>37743</v>
      </c>
      <c r="C3278" s="715" t="s">
        <v>165</v>
      </c>
      <c r="D3278" s="715" t="s">
        <v>40839</v>
      </c>
      <c r="E3278" s="716">
        <v>2.4900000000000002</v>
      </c>
    </row>
    <row r="3279" spans="1:5">
      <c r="A3279" s="715">
        <v>40664</v>
      </c>
      <c r="B3279" s="633" t="s">
        <v>37744</v>
      </c>
      <c r="C3279" s="715" t="s">
        <v>207</v>
      </c>
      <c r="D3279" s="715" t="s">
        <v>40839</v>
      </c>
      <c r="E3279" s="716">
        <v>17.77</v>
      </c>
    </row>
    <row r="3280" spans="1:5">
      <c r="A3280" s="715">
        <v>34360</v>
      </c>
      <c r="B3280" s="633" t="s">
        <v>37745</v>
      </c>
      <c r="C3280" s="715" t="s">
        <v>207</v>
      </c>
      <c r="D3280" s="715" t="s">
        <v>40839</v>
      </c>
      <c r="E3280" s="716">
        <v>46.43</v>
      </c>
    </row>
    <row r="3281" spans="1:5">
      <c r="A3281" s="715">
        <v>20259</v>
      </c>
      <c r="B3281" s="633" t="s">
        <v>37746</v>
      </c>
      <c r="C3281" s="715" t="s">
        <v>165</v>
      </c>
      <c r="D3281" s="715" t="s">
        <v>40839</v>
      </c>
      <c r="E3281" s="716">
        <v>13.9</v>
      </c>
    </row>
    <row r="3282" spans="1:5" ht="29">
      <c r="A3282" s="715">
        <v>14077</v>
      </c>
      <c r="B3282" s="633" t="s">
        <v>37747</v>
      </c>
      <c r="C3282" s="715" t="s">
        <v>165</v>
      </c>
      <c r="D3282" s="715" t="s">
        <v>40839</v>
      </c>
      <c r="E3282" s="716">
        <v>212.75</v>
      </c>
    </row>
    <row r="3283" spans="1:5" ht="29">
      <c r="A3283" s="715">
        <v>3678</v>
      </c>
      <c r="B3283" s="633" t="s">
        <v>37748</v>
      </c>
      <c r="C3283" s="715" t="s">
        <v>165</v>
      </c>
      <c r="D3283" s="715" t="s">
        <v>40839</v>
      </c>
      <c r="E3283" s="716">
        <v>96.16</v>
      </c>
    </row>
    <row r="3284" spans="1:5" ht="29">
      <c r="A3284" s="715">
        <v>11552</v>
      </c>
      <c r="B3284" s="633" t="s">
        <v>37749</v>
      </c>
      <c r="C3284" s="715" t="s">
        <v>165</v>
      </c>
      <c r="D3284" s="715" t="s">
        <v>40839</v>
      </c>
      <c r="E3284" s="716">
        <v>7.16</v>
      </c>
    </row>
    <row r="3285" spans="1:5" ht="29">
      <c r="A3285" s="715">
        <v>585</v>
      </c>
      <c r="B3285" s="633" t="s">
        <v>37750</v>
      </c>
      <c r="C3285" s="715" t="s">
        <v>207</v>
      </c>
      <c r="D3285" s="715" t="s">
        <v>40839</v>
      </c>
      <c r="E3285" s="716">
        <v>37.14</v>
      </c>
    </row>
    <row r="3286" spans="1:5" ht="29">
      <c r="A3286" s="715">
        <v>39418</v>
      </c>
      <c r="B3286" s="633" t="s">
        <v>37751</v>
      </c>
      <c r="C3286" s="715" t="s">
        <v>165</v>
      </c>
      <c r="D3286" s="715" t="s">
        <v>40839</v>
      </c>
      <c r="E3286" s="716">
        <v>4.74</v>
      </c>
    </row>
    <row r="3287" spans="1:5" ht="29">
      <c r="A3287" s="715">
        <v>39419</v>
      </c>
      <c r="B3287" s="633" t="s">
        <v>37752</v>
      </c>
      <c r="C3287" s="715" t="s">
        <v>165</v>
      </c>
      <c r="D3287" s="715" t="s">
        <v>40839</v>
      </c>
      <c r="E3287" s="716">
        <v>5.77</v>
      </c>
    </row>
    <row r="3288" spans="1:5" ht="29">
      <c r="A3288" s="715">
        <v>39420</v>
      </c>
      <c r="B3288" s="633" t="s">
        <v>37753</v>
      </c>
      <c r="C3288" s="715" t="s">
        <v>165</v>
      </c>
      <c r="D3288" s="715" t="s">
        <v>40839</v>
      </c>
      <c r="E3288" s="716">
        <v>6.37</v>
      </c>
    </row>
    <row r="3289" spans="1:5" ht="29">
      <c r="A3289" s="715">
        <v>39571</v>
      </c>
      <c r="B3289" s="633" t="s">
        <v>37754</v>
      </c>
      <c r="C3289" s="715" t="s">
        <v>165</v>
      </c>
      <c r="D3289" s="715" t="s">
        <v>40839</v>
      </c>
      <c r="E3289" s="716">
        <v>3.85</v>
      </c>
    </row>
    <row r="3290" spans="1:5" ht="29">
      <c r="A3290" s="715">
        <v>39421</v>
      </c>
      <c r="B3290" s="633" t="s">
        <v>37755</v>
      </c>
      <c r="C3290" s="715" t="s">
        <v>165</v>
      </c>
      <c r="D3290" s="715" t="s">
        <v>40839</v>
      </c>
      <c r="E3290" s="716">
        <v>5.61</v>
      </c>
    </row>
    <row r="3291" spans="1:5" ht="29">
      <c r="A3291" s="715">
        <v>39422</v>
      </c>
      <c r="B3291" s="633" t="s">
        <v>37756</v>
      </c>
      <c r="C3291" s="715" t="s">
        <v>165</v>
      </c>
      <c r="D3291" s="715" t="s">
        <v>28018</v>
      </c>
      <c r="E3291" s="716">
        <v>6.55</v>
      </c>
    </row>
    <row r="3292" spans="1:5" ht="29">
      <c r="A3292" s="715">
        <v>39423</v>
      </c>
      <c r="B3292" s="633" t="s">
        <v>37757</v>
      </c>
      <c r="C3292" s="715" t="s">
        <v>165</v>
      </c>
      <c r="D3292" s="715" t="s">
        <v>40839</v>
      </c>
      <c r="E3292" s="716">
        <v>7.6</v>
      </c>
    </row>
    <row r="3293" spans="1:5" ht="29">
      <c r="A3293" s="715">
        <v>39426</v>
      </c>
      <c r="B3293" s="633" t="s">
        <v>37758</v>
      </c>
      <c r="C3293" s="715" t="s">
        <v>165</v>
      </c>
      <c r="D3293" s="715" t="s">
        <v>40839</v>
      </c>
      <c r="E3293" s="716">
        <v>17.09</v>
      </c>
    </row>
    <row r="3294" spans="1:5" ht="29">
      <c r="A3294" s="715">
        <v>39429</v>
      </c>
      <c r="B3294" s="633" t="s">
        <v>37759</v>
      </c>
      <c r="C3294" s="715" t="s">
        <v>165</v>
      </c>
      <c r="D3294" s="715" t="s">
        <v>40839</v>
      </c>
      <c r="E3294" s="716">
        <v>5.39</v>
      </c>
    </row>
    <row r="3295" spans="1:5" ht="29">
      <c r="A3295" s="715">
        <v>39428</v>
      </c>
      <c r="B3295" s="633" t="s">
        <v>37760</v>
      </c>
      <c r="C3295" s="715" t="s">
        <v>165</v>
      </c>
      <c r="D3295" s="715" t="s">
        <v>40839</v>
      </c>
      <c r="E3295" s="716">
        <v>4.12</v>
      </c>
    </row>
    <row r="3296" spans="1:5" ht="29">
      <c r="A3296" s="715">
        <v>39572</v>
      </c>
      <c r="B3296" s="633" t="s">
        <v>37761</v>
      </c>
      <c r="C3296" s="715" t="s">
        <v>165</v>
      </c>
      <c r="D3296" s="715" t="s">
        <v>40839</v>
      </c>
      <c r="E3296" s="716">
        <v>3.56</v>
      </c>
    </row>
    <row r="3297" spans="1:5" ht="29">
      <c r="A3297" s="715">
        <v>39570</v>
      </c>
      <c r="B3297" s="633" t="s">
        <v>37762</v>
      </c>
      <c r="C3297" s="715" t="s">
        <v>165</v>
      </c>
      <c r="D3297" s="715" t="s">
        <v>40839</v>
      </c>
      <c r="E3297" s="716">
        <v>3.78</v>
      </c>
    </row>
    <row r="3298" spans="1:5" ht="29">
      <c r="A3298" s="715">
        <v>39569</v>
      </c>
      <c r="B3298" s="633" t="s">
        <v>37763</v>
      </c>
      <c r="C3298" s="715" t="s">
        <v>165</v>
      </c>
      <c r="D3298" s="715" t="s">
        <v>40839</v>
      </c>
      <c r="E3298" s="716">
        <v>3.74</v>
      </c>
    </row>
    <row r="3299" spans="1:5">
      <c r="A3299" s="715">
        <v>39328</v>
      </c>
      <c r="B3299" s="633" t="s">
        <v>37764</v>
      </c>
      <c r="C3299" s="715" t="s">
        <v>165</v>
      </c>
      <c r="D3299" s="715" t="s">
        <v>40839</v>
      </c>
      <c r="E3299" s="716">
        <v>3.86</v>
      </c>
    </row>
    <row r="3300" spans="1:5">
      <c r="A3300" s="715">
        <v>39029</v>
      </c>
      <c r="B3300" s="633" t="s">
        <v>37765</v>
      </c>
      <c r="C3300" s="715" t="s">
        <v>165</v>
      </c>
      <c r="D3300" s="715" t="s">
        <v>40839</v>
      </c>
      <c r="E3300" s="716">
        <v>12.07</v>
      </c>
    </row>
    <row r="3301" spans="1:5">
      <c r="A3301" s="715">
        <v>39028</v>
      </c>
      <c r="B3301" s="633" t="s">
        <v>37766</v>
      </c>
      <c r="C3301" s="715" t="s">
        <v>165</v>
      </c>
      <c r="D3301" s="715" t="s">
        <v>40839</v>
      </c>
      <c r="E3301" s="716">
        <v>7.02</v>
      </c>
    </row>
    <row r="3302" spans="1:5" ht="43">
      <c r="A3302" s="715">
        <v>38541</v>
      </c>
      <c r="B3302" s="633" t="s">
        <v>37767</v>
      </c>
      <c r="C3302" s="715" t="s">
        <v>103</v>
      </c>
      <c r="D3302" s="715" t="s">
        <v>40839</v>
      </c>
      <c r="E3302" s="716">
        <v>4594594.59</v>
      </c>
    </row>
    <row r="3303" spans="1:5" ht="43">
      <c r="A3303" s="715">
        <v>38542</v>
      </c>
      <c r="B3303" s="633" t="s">
        <v>37768</v>
      </c>
      <c r="C3303" s="715" t="s">
        <v>103</v>
      </c>
      <c r="D3303" s="715" t="s">
        <v>40839</v>
      </c>
      <c r="E3303" s="716">
        <v>7045045.0499999998</v>
      </c>
    </row>
    <row r="3304" spans="1:5" ht="29">
      <c r="A3304" s="715">
        <v>45080</v>
      </c>
      <c r="B3304" s="633" t="s">
        <v>37769</v>
      </c>
      <c r="C3304" s="715" t="s">
        <v>103</v>
      </c>
      <c r="D3304" s="715" t="s">
        <v>40839</v>
      </c>
      <c r="E3304" s="716">
        <v>15257.33</v>
      </c>
    </row>
    <row r="3305" spans="1:5" ht="43">
      <c r="A3305" s="715">
        <v>38543</v>
      </c>
      <c r="B3305" s="633" t="s">
        <v>37770</v>
      </c>
      <c r="C3305" s="715" t="s">
        <v>103</v>
      </c>
      <c r="D3305" s="715" t="s">
        <v>40839</v>
      </c>
      <c r="E3305" s="716">
        <v>1434540.41</v>
      </c>
    </row>
    <row r="3306" spans="1:5" ht="29">
      <c r="A3306" s="715">
        <v>44002</v>
      </c>
      <c r="B3306" s="633" t="s">
        <v>37771</v>
      </c>
      <c r="C3306" s="715" t="s">
        <v>103</v>
      </c>
      <c r="D3306" s="715" t="s">
        <v>40839</v>
      </c>
      <c r="E3306" s="716">
        <v>6700654.6299999999</v>
      </c>
    </row>
    <row r="3307" spans="1:5" ht="29">
      <c r="A3307" s="715">
        <v>43886</v>
      </c>
      <c r="B3307" s="633" t="s">
        <v>37772</v>
      </c>
      <c r="C3307" s="715" t="s">
        <v>103</v>
      </c>
      <c r="D3307" s="715" t="s">
        <v>40839</v>
      </c>
      <c r="E3307" s="716">
        <v>3251954.99</v>
      </c>
    </row>
    <row r="3308" spans="1:5" ht="29">
      <c r="A3308" s="715">
        <v>40791</v>
      </c>
      <c r="B3308" s="633" t="s">
        <v>37773</v>
      </c>
      <c r="C3308" s="715" t="s">
        <v>103</v>
      </c>
      <c r="D3308" s="715" t="s">
        <v>40839</v>
      </c>
      <c r="E3308" s="716">
        <v>38893.800000000003</v>
      </c>
    </row>
    <row r="3309" spans="1:5" ht="29">
      <c r="A3309" s="715">
        <v>44003</v>
      </c>
      <c r="B3309" s="633" t="s">
        <v>37774</v>
      </c>
      <c r="C3309" s="715" t="s">
        <v>103</v>
      </c>
      <c r="D3309" s="715" t="s">
        <v>40839</v>
      </c>
      <c r="E3309" s="716">
        <v>9311711.75</v>
      </c>
    </row>
    <row r="3310" spans="1:5" ht="43">
      <c r="A3310" s="715">
        <v>44548</v>
      </c>
      <c r="B3310" s="633" t="s">
        <v>37775</v>
      </c>
      <c r="C3310" s="715" t="s">
        <v>103</v>
      </c>
      <c r="D3310" s="715" t="s">
        <v>40839</v>
      </c>
      <c r="E3310" s="716">
        <v>2847739.95</v>
      </c>
    </row>
    <row r="3311" spans="1:5" ht="43">
      <c r="A3311" s="715">
        <v>44550</v>
      </c>
      <c r="B3311" s="633" t="s">
        <v>37776</v>
      </c>
      <c r="C3311" s="715" t="s">
        <v>103</v>
      </c>
      <c r="D3311" s="715" t="s">
        <v>40839</v>
      </c>
      <c r="E3311" s="716">
        <v>8934342.3499999996</v>
      </c>
    </row>
    <row r="3312" spans="1:5" ht="43">
      <c r="A3312" s="715">
        <v>44549</v>
      </c>
      <c r="B3312" s="633" t="s">
        <v>37777</v>
      </c>
      <c r="C3312" s="715" t="s">
        <v>103</v>
      </c>
      <c r="D3312" s="715" t="s">
        <v>40839</v>
      </c>
      <c r="E3312" s="716">
        <v>6533237.8700000001</v>
      </c>
    </row>
    <row r="3313" spans="1:5" ht="29">
      <c r="A3313" s="715">
        <v>41982</v>
      </c>
      <c r="B3313" s="633" t="s">
        <v>37778</v>
      </c>
      <c r="C3313" s="715" t="s">
        <v>103</v>
      </c>
      <c r="D3313" s="715" t="s">
        <v>40839</v>
      </c>
      <c r="E3313" s="716">
        <v>1735735.7</v>
      </c>
    </row>
    <row r="3314" spans="1:5" ht="29">
      <c r="A3314" s="715">
        <v>39012</v>
      </c>
      <c r="B3314" s="633" t="s">
        <v>37779</v>
      </c>
      <c r="C3314" s="715" t="s">
        <v>103</v>
      </c>
      <c r="D3314" s="715" t="s">
        <v>40839</v>
      </c>
      <c r="E3314" s="716">
        <v>1018468.47</v>
      </c>
    </row>
    <row r="3315" spans="1:5" ht="29">
      <c r="A3315" s="715">
        <v>40435</v>
      </c>
      <c r="B3315" s="633" t="s">
        <v>37780</v>
      </c>
      <c r="C3315" s="715" t="s">
        <v>103</v>
      </c>
      <c r="D3315" s="715" t="s">
        <v>40839</v>
      </c>
      <c r="E3315" s="716">
        <v>1028429.53</v>
      </c>
    </row>
    <row r="3316" spans="1:5">
      <c r="A3316" s="715">
        <v>45265</v>
      </c>
      <c r="B3316" s="633" t="s">
        <v>40869</v>
      </c>
      <c r="C3316" s="715" t="s">
        <v>525</v>
      </c>
      <c r="D3316" s="715" t="s">
        <v>40839</v>
      </c>
      <c r="E3316" s="716">
        <v>35.15</v>
      </c>
    </row>
    <row r="3317" spans="1:5" ht="29">
      <c r="A3317" s="715">
        <v>13617</v>
      </c>
      <c r="B3317" s="633" t="s">
        <v>37781</v>
      </c>
      <c r="C3317" s="715" t="s">
        <v>103</v>
      </c>
      <c r="D3317" s="715" t="s">
        <v>40839</v>
      </c>
      <c r="E3317" s="716">
        <v>100976.03</v>
      </c>
    </row>
    <row r="3318" spans="1:5" ht="29">
      <c r="A3318" s="715">
        <v>35274</v>
      </c>
      <c r="B3318" s="633" t="s">
        <v>37782</v>
      </c>
      <c r="C3318" s="715" t="s">
        <v>165</v>
      </c>
      <c r="D3318" s="715" t="s">
        <v>40839</v>
      </c>
      <c r="E3318" s="716">
        <v>63.56</v>
      </c>
    </row>
    <row r="3319" spans="1:5" ht="29">
      <c r="A3319" s="715">
        <v>35275</v>
      </c>
      <c r="B3319" s="633" t="s">
        <v>37783</v>
      </c>
      <c r="C3319" s="715" t="s">
        <v>165</v>
      </c>
      <c r="D3319" s="715" t="s">
        <v>40839</v>
      </c>
      <c r="E3319" s="716">
        <v>134.91</v>
      </c>
    </row>
    <row r="3320" spans="1:5" ht="29">
      <c r="A3320" s="715">
        <v>35276</v>
      </c>
      <c r="B3320" s="633" t="s">
        <v>37784</v>
      </c>
      <c r="C3320" s="715" t="s">
        <v>165</v>
      </c>
      <c r="D3320" s="715" t="s">
        <v>40839</v>
      </c>
      <c r="E3320" s="716">
        <v>234.74</v>
      </c>
    </row>
    <row r="3321" spans="1:5" ht="29">
      <c r="A3321" s="715">
        <v>11091</v>
      </c>
      <c r="B3321" s="633" t="s">
        <v>37785</v>
      </c>
      <c r="C3321" s="715" t="s">
        <v>103</v>
      </c>
      <c r="D3321" s="715" t="s">
        <v>40839</v>
      </c>
      <c r="E3321" s="716">
        <v>1.58</v>
      </c>
    </row>
    <row r="3322" spans="1:5" ht="29">
      <c r="A3322" s="715">
        <v>37586</v>
      </c>
      <c r="B3322" s="633" t="s">
        <v>37786</v>
      </c>
      <c r="C3322" s="715" t="s">
        <v>36636</v>
      </c>
      <c r="D3322" s="715" t="s">
        <v>40839</v>
      </c>
      <c r="E3322" s="716">
        <v>48.76</v>
      </c>
    </row>
    <row r="3323" spans="1:5">
      <c r="A3323" s="715">
        <v>37395</v>
      </c>
      <c r="B3323" s="633" t="s">
        <v>37787</v>
      </c>
      <c r="C3323" s="715" t="s">
        <v>36636</v>
      </c>
      <c r="D3323" s="715" t="s">
        <v>40839</v>
      </c>
      <c r="E3323" s="716">
        <v>41.93</v>
      </c>
    </row>
    <row r="3324" spans="1:5" ht="29">
      <c r="A3324" s="715">
        <v>14147</v>
      </c>
      <c r="B3324" s="633" t="s">
        <v>41060</v>
      </c>
      <c r="C3324" s="715" t="s">
        <v>36636</v>
      </c>
      <c r="D3324" s="715" t="s">
        <v>40839</v>
      </c>
      <c r="E3324" s="716">
        <v>55.62</v>
      </c>
    </row>
    <row r="3325" spans="1:5">
      <c r="A3325" s="715">
        <v>37396</v>
      </c>
      <c r="B3325" s="633" t="s">
        <v>41061</v>
      </c>
      <c r="C3325" s="715" t="s">
        <v>36636</v>
      </c>
      <c r="D3325" s="715" t="s">
        <v>40839</v>
      </c>
      <c r="E3325" s="716">
        <v>34.31</v>
      </c>
    </row>
    <row r="3326" spans="1:5">
      <c r="A3326" s="715">
        <v>37397</v>
      </c>
      <c r="B3326" s="633" t="s">
        <v>41062</v>
      </c>
      <c r="C3326" s="715" t="s">
        <v>36636</v>
      </c>
      <c r="D3326" s="715" t="s">
        <v>40839</v>
      </c>
      <c r="E3326" s="716">
        <v>35.94</v>
      </c>
    </row>
    <row r="3327" spans="1:5" ht="29">
      <c r="A3327" s="715">
        <v>43606</v>
      </c>
      <c r="B3327" s="633" t="s">
        <v>37788</v>
      </c>
      <c r="C3327" s="715" t="s">
        <v>103</v>
      </c>
      <c r="D3327" s="715" t="s">
        <v>40839</v>
      </c>
      <c r="E3327" s="716">
        <v>8.58</v>
      </c>
    </row>
    <row r="3328" spans="1:5" ht="29">
      <c r="A3328" s="715">
        <v>444</v>
      </c>
      <c r="B3328" s="633" t="s">
        <v>37789</v>
      </c>
      <c r="C3328" s="715" t="s">
        <v>103</v>
      </c>
      <c r="D3328" s="715" t="s">
        <v>40839</v>
      </c>
      <c r="E3328" s="716">
        <v>24</v>
      </c>
    </row>
    <row r="3329" spans="1:5" ht="29">
      <c r="A3329" s="715">
        <v>445</v>
      </c>
      <c r="B3329" s="633" t="s">
        <v>37790</v>
      </c>
      <c r="C3329" s="715" t="s">
        <v>103</v>
      </c>
      <c r="D3329" s="715" t="s">
        <v>40839</v>
      </c>
      <c r="E3329" s="716">
        <v>32.85</v>
      </c>
    </row>
    <row r="3330" spans="1:5">
      <c r="A3330" s="715">
        <v>4783</v>
      </c>
      <c r="B3330" s="633" t="s">
        <v>37791</v>
      </c>
      <c r="C3330" s="715" t="s">
        <v>11</v>
      </c>
      <c r="D3330" s="715" t="s">
        <v>28018</v>
      </c>
      <c r="E3330" s="716">
        <v>26.03</v>
      </c>
    </row>
    <row r="3331" spans="1:5">
      <c r="A3331" s="715">
        <v>41079</v>
      </c>
      <c r="B3331" s="633" t="s">
        <v>37792</v>
      </c>
      <c r="C3331" s="715" t="s">
        <v>27629</v>
      </c>
      <c r="D3331" s="715" t="s">
        <v>40839</v>
      </c>
      <c r="E3331" s="716">
        <v>4560.57</v>
      </c>
    </row>
    <row r="3332" spans="1:5">
      <c r="A3332" s="715">
        <v>12874</v>
      </c>
      <c r="B3332" s="633" t="s">
        <v>37793</v>
      </c>
      <c r="C3332" s="715" t="s">
        <v>11</v>
      </c>
      <c r="D3332" s="715" t="s">
        <v>40839</v>
      </c>
      <c r="E3332" s="716">
        <v>23.99</v>
      </c>
    </row>
    <row r="3333" spans="1:5">
      <c r="A3333" s="715">
        <v>41082</v>
      </c>
      <c r="B3333" s="633" t="s">
        <v>37794</v>
      </c>
      <c r="C3333" s="715" t="s">
        <v>27629</v>
      </c>
      <c r="D3333" s="715" t="s">
        <v>40839</v>
      </c>
      <c r="E3333" s="716">
        <v>4205.78</v>
      </c>
    </row>
    <row r="3334" spans="1:5">
      <c r="A3334" s="715">
        <v>4785</v>
      </c>
      <c r="B3334" s="633" t="s">
        <v>37795</v>
      </c>
      <c r="C3334" s="715" t="s">
        <v>11</v>
      </c>
      <c r="D3334" s="715" t="s">
        <v>40839</v>
      </c>
      <c r="E3334" s="716">
        <v>26.03</v>
      </c>
    </row>
    <row r="3335" spans="1:5">
      <c r="A3335" s="715">
        <v>41081</v>
      </c>
      <c r="B3335" s="633" t="s">
        <v>37796</v>
      </c>
      <c r="C3335" s="715" t="s">
        <v>27629</v>
      </c>
      <c r="D3335" s="715" t="s">
        <v>40839</v>
      </c>
      <c r="E3335" s="716">
        <v>4560.57</v>
      </c>
    </row>
    <row r="3336" spans="1:5">
      <c r="A3336" s="715">
        <v>4801</v>
      </c>
      <c r="B3336" s="633" t="s">
        <v>37797</v>
      </c>
      <c r="C3336" s="715" t="s">
        <v>509</v>
      </c>
      <c r="D3336" s="715" t="s">
        <v>40839</v>
      </c>
      <c r="E3336" s="716">
        <v>84.05</v>
      </c>
    </row>
    <row r="3337" spans="1:5" ht="29">
      <c r="A3337" s="715">
        <v>4794</v>
      </c>
      <c r="B3337" s="633" t="s">
        <v>37798</v>
      </c>
      <c r="C3337" s="715" t="s">
        <v>509</v>
      </c>
      <c r="D3337" s="715" t="s">
        <v>40839</v>
      </c>
      <c r="E3337" s="716">
        <v>382.82</v>
      </c>
    </row>
    <row r="3338" spans="1:5" ht="29">
      <c r="A3338" s="715">
        <v>4796</v>
      </c>
      <c r="B3338" s="633" t="s">
        <v>37799</v>
      </c>
      <c r="C3338" s="715" t="s">
        <v>509</v>
      </c>
      <c r="D3338" s="715" t="s">
        <v>40839</v>
      </c>
      <c r="E3338" s="716">
        <v>232.52</v>
      </c>
    </row>
    <row r="3339" spans="1:5" ht="29">
      <c r="A3339" s="715">
        <v>4800</v>
      </c>
      <c r="B3339" s="633" t="s">
        <v>37800</v>
      </c>
      <c r="C3339" s="715" t="s">
        <v>509</v>
      </c>
      <c r="D3339" s="715" t="s">
        <v>40839</v>
      </c>
      <c r="E3339" s="716">
        <v>63.94</v>
      </c>
    </row>
    <row r="3340" spans="1:5" ht="29">
      <c r="A3340" s="715">
        <v>4795</v>
      </c>
      <c r="B3340" s="633" t="s">
        <v>37801</v>
      </c>
      <c r="C3340" s="715" t="s">
        <v>509</v>
      </c>
      <c r="D3340" s="715" t="s">
        <v>40839</v>
      </c>
      <c r="E3340" s="716">
        <v>372.66</v>
      </c>
    </row>
    <row r="3341" spans="1:5" ht="29">
      <c r="A3341" s="715">
        <v>1292</v>
      </c>
      <c r="B3341" s="633" t="s">
        <v>37802</v>
      </c>
      <c r="C3341" s="715" t="s">
        <v>509</v>
      </c>
      <c r="D3341" s="715" t="s">
        <v>40839</v>
      </c>
      <c r="E3341" s="716">
        <v>39.299999999999997</v>
      </c>
    </row>
    <row r="3342" spans="1:5" ht="29">
      <c r="A3342" s="715">
        <v>1287</v>
      </c>
      <c r="B3342" s="633" t="s">
        <v>37803</v>
      </c>
      <c r="C3342" s="715" t="s">
        <v>509</v>
      </c>
      <c r="D3342" s="715" t="s">
        <v>40839</v>
      </c>
      <c r="E3342" s="716">
        <v>31.47</v>
      </c>
    </row>
    <row r="3343" spans="1:5" ht="29">
      <c r="A3343" s="715">
        <v>4786</v>
      </c>
      <c r="B3343" s="633" t="s">
        <v>37804</v>
      </c>
      <c r="C3343" s="715" t="s">
        <v>509</v>
      </c>
      <c r="D3343" s="715" t="s">
        <v>28018</v>
      </c>
      <c r="E3343" s="716">
        <v>118.5</v>
      </c>
    </row>
    <row r="3344" spans="1:5" ht="43">
      <c r="A3344" s="715">
        <v>10840</v>
      </c>
      <c r="B3344" s="633" t="s">
        <v>37805</v>
      </c>
      <c r="C3344" s="715" t="s">
        <v>509</v>
      </c>
      <c r="D3344" s="715" t="s">
        <v>28018</v>
      </c>
      <c r="E3344" s="716">
        <v>445</v>
      </c>
    </row>
    <row r="3345" spans="1:5" ht="29">
      <c r="A3345" s="715">
        <v>10841</v>
      </c>
      <c r="B3345" s="633" t="s">
        <v>37806</v>
      </c>
      <c r="C3345" s="715" t="s">
        <v>509</v>
      </c>
      <c r="D3345" s="715" t="s">
        <v>40839</v>
      </c>
      <c r="E3345" s="716">
        <v>335.84</v>
      </c>
    </row>
    <row r="3346" spans="1:5" ht="29">
      <c r="A3346" s="715">
        <v>44540</v>
      </c>
      <c r="B3346" s="633" t="s">
        <v>37807</v>
      </c>
      <c r="C3346" s="715" t="s">
        <v>509</v>
      </c>
      <c r="D3346" s="715" t="s">
        <v>40839</v>
      </c>
      <c r="E3346" s="716">
        <v>429.14</v>
      </c>
    </row>
    <row r="3347" spans="1:5" ht="29">
      <c r="A3347" s="715">
        <v>10842</v>
      </c>
      <c r="B3347" s="633" t="s">
        <v>37808</v>
      </c>
      <c r="C3347" s="715" t="s">
        <v>509</v>
      </c>
      <c r="D3347" s="715" t="s">
        <v>40839</v>
      </c>
      <c r="E3347" s="716">
        <v>485.11</v>
      </c>
    </row>
    <row r="3348" spans="1:5" ht="29">
      <c r="A3348" s="715">
        <v>45190</v>
      </c>
      <c r="B3348" s="633" t="s">
        <v>37809</v>
      </c>
      <c r="C3348" s="715" t="s">
        <v>509</v>
      </c>
      <c r="D3348" s="715" t="s">
        <v>28018</v>
      </c>
      <c r="E3348" s="716">
        <v>64.900000000000006</v>
      </c>
    </row>
    <row r="3349" spans="1:5" ht="29">
      <c r="A3349" s="715">
        <v>45191</v>
      </c>
      <c r="B3349" s="633" t="s">
        <v>37810</v>
      </c>
      <c r="C3349" s="715" t="s">
        <v>509</v>
      </c>
      <c r="D3349" s="715" t="s">
        <v>40839</v>
      </c>
      <c r="E3349" s="716">
        <v>110.1</v>
      </c>
    </row>
    <row r="3350" spans="1:5" ht="29">
      <c r="A3350" s="715">
        <v>38180</v>
      </c>
      <c r="B3350" s="633" t="s">
        <v>37811</v>
      </c>
      <c r="C3350" s="715" t="s">
        <v>509</v>
      </c>
      <c r="D3350" s="715" t="s">
        <v>40839</v>
      </c>
      <c r="E3350" s="716">
        <v>187.21</v>
      </c>
    </row>
    <row r="3351" spans="1:5">
      <c r="A3351" s="715">
        <v>40648</v>
      </c>
      <c r="B3351" s="633" t="s">
        <v>37812</v>
      </c>
      <c r="C3351" s="715" t="s">
        <v>509</v>
      </c>
      <c r="D3351" s="715" t="s">
        <v>40839</v>
      </c>
      <c r="E3351" s="716">
        <v>227.52</v>
      </c>
    </row>
    <row r="3352" spans="1:5">
      <c r="A3352" s="715">
        <v>40649</v>
      </c>
      <c r="B3352" s="633" t="s">
        <v>37813</v>
      </c>
      <c r="C3352" s="715" t="s">
        <v>509</v>
      </c>
      <c r="D3352" s="715" t="s">
        <v>40839</v>
      </c>
      <c r="E3352" s="716">
        <v>132.53</v>
      </c>
    </row>
    <row r="3353" spans="1:5" ht="29">
      <c r="A3353" s="715">
        <v>40650</v>
      </c>
      <c r="B3353" s="633" t="s">
        <v>37814</v>
      </c>
      <c r="C3353" s="715" t="s">
        <v>509</v>
      </c>
      <c r="D3353" s="715" t="s">
        <v>40839</v>
      </c>
      <c r="E3353" s="716">
        <v>170.64</v>
      </c>
    </row>
    <row r="3354" spans="1:5" ht="29">
      <c r="A3354" s="715">
        <v>40651</v>
      </c>
      <c r="B3354" s="633" t="s">
        <v>37815</v>
      </c>
      <c r="C3354" s="715" t="s">
        <v>509</v>
      </c>
      <c r="D3354" s="715" t="s">
        <v>40839</v>
      </c>
      <c r="E3354" s="716">
        <v>314.73</v>
      </c>
    </row>
    <row r="3355" spans="1:5">
      <c r="A3355" s="715">
        <v>40652</v>
      </c>
      <c r="B3355" s="633" t="s">
        <v>37816</v>
      </c>
      <c r="C3355" s="715" t="s">
        <v>509</v>
      </c>
      <c r="D3355" s="715" t="s">
        <v>40839</v>
      </c>
      <c r="E3355" s="716">
        <v>168.74</v>
      </c>
    </row>
    <row r="3356" spans="1:5" ht="29">
      <c r="A3356" s="715">
        <v>40647</v>
      </c>
      <c r="B3356" s="633" t="s">
        <v>37817</v>
      </c>
      <c r="C3356" s="715" t="s">
        <v>509</v>
      </c>
      <c r="D3356" s="715" t="s">
        <v>40839</v>
      </c>
      <c r="E3356" s="716">
        <v>185.8</v>
      </c>
    </row>
    <row r="3357" spans="1:5">
      <c r="A3357" s="715">
        <v>40653</v>
      </c>
      <c r="B3357" s="633" t="s">
        <v>37818</v>
      </c>
      <c r="C3357" s="715" t="s">
        <v>509</v>
      </c>
      <c r="D3357" s="715" t="s">
        <v>40839</v>
      </c>
      <c r="E3357" s="716">
        <v>142.19999999999999</v>
      </c>
    </row>
    <row r="3358" spans="1:5" ht="29">
      <c r="A3358" s="715">
        <v>38135</v>
      </c>
      <c r="B3358" s="633" t="s">
        <v>37819</v>
      </c>
      <c r="C3358" s="715" t="s">
        <v>509</v>
      </c>
      <c r="D3358" s="715" t="s">
        <v>40839</v>
      </c>
      <c r="E3358" s="716">
        <v>113.46</v>
      </c>
    </row>
    <row r="3359" spans="1:5" ht="29">
      <c r="A3359" s="715">
        <v>36178</v>
      </c>
      <c r="B3359" s="633" t="s">
        <v>37820</v>
      </c>
      <c r="C3359" s="715" t="s">
        <v>103</v>
      </c>
      <c r="D3359" s="715" t="s">
        <v>40839</v>
      </c>
      <c r="E3359" s="716">
        <v>18.97</v>
      </c>
    </row>
    <row r="3360" spans="1:5" ht="29">
      <c r="A3360" s="715">
        <v>38181</v>
      </c>
      <c r="B3360" s="633" t="s">
        <v>37821</v>
      </c>
      <c r="C3360" s="715" t="s">
        <v>509</v>
      </c>
      <c r="D3360" s="715" t="s">
        <v>40839</v>
      </c>
      <c r="E3360" s="716">
        <v>255.57</v>
      </c>
    </row>
    <row r="3361" spans="1:5" ht="29">
      <c r="A3361" s="715">
        <v>38182</v>
      </c>
      <c r="B3361" s="633" t="s">
        <v>37822</v>
      </c>
      <c r="C3361" s="715" t="s">
        <v>509</v>
      </c>
      <c r="D3361" s="715" t="s">
        <v>40839</v>
      </c>
      <c r="E3361" s="716">
        <v>243.44</v>
      </c>
    </row>
    <row r="3362" spans="1:5" ht="29">
      <c r="A3362" s="715">
        <v>38186</v>
      </c>
      <c r="B3362" s="633" t="s">
        <v>37823</v>
      </c>
      <c r="C3362" s="715" t="s">
        <v>509</v>
      </c>
      <c r="D3362" s="715" t="s">
        <v>40839</v>
      </c>
      <c r="E3362" s="716">
        <v>632.78</v>
      </c>
    </row>
    <row r="3363" spans="1:5" ht="29">
      <c r="A3363" s="715">
        <v>38185</v>
      </c>
      <c r="B3363" s="633" t="s">
        <v>37824</v>
      </c>
      <c r="C3363" s="715" t="s">
        <v>509</v>
      </c>
      <c r="D3363" s="715" t="s">
        <v>40839</v>
      </c>
      <c r="E3363" s="716">
        <v>563.4</v>
      </c>
    </row>
    <row r="3364" spans="1:5" ht="29">
      <c r="A3364" s="715">
        <v>40654</v>
      </c>
      <c r="B3364" s="633" t="s">
        <v>37825</v>
      </c>
      <c r="C3364" s="715" t="s">
        <v>509</v>
      </c>
      <c r="D3364" s="715" t="s">
        <v>40839</v>
      </c>
      <c r="E3364" s="716">
        <v>220.88</v>
      </c>
    </row>
    <row r="3365" spans="1:5" ht="43">
      <c r="A3365" s="715">
        <v>44541</v>
      </c>
      <c r="B3365" s="633" t="s">
        <v>37826</v>
      </c>
      <c r="C3365" s="715" t="s">
        <v>509</v>
      </c>
      <c r="D3365" s="715" t="s">
        <v>40839</v>
      </c>
      <c r="E3365" s="716">
        <v>354.5</v>
      </c>
    </row>
    <row r="3366" spans="1:5" ht="29">
      <c r="A3366" s="715">
        <v>4822</v>
      </c>
      <c r="B3366" s="633" t="s">
        <v>37827</v>
      </c>
      <c r="C3366" s="715" t="s">
        <v>509</v>
      </c>
      <c r="D3366" s="715" t="s">
        <v>40839</v>
      </c>
      <c r="E3366" s="716">
        <v>551.79999999999995</v>
      </c>
    </row>
    <row r="3367" spans="1:5" ht="29">
      <c r="A3367" s="715">
        <v>4818</v>
      </c>
      <c r="B3367" s="633" t="s">
        <v>37828</v>
      </c>
      <c r="C3367" s="715" t="s">
        <v>509</v>
      </c>
      <c r="D3367" s="715" t="s">
        <v>28018</v>
      </c>
      <c r="E3367" s="716">
        <v>567.16999999999996</v>
      </c>
    </row>
    <row r="3368" spans="1:5" ht="43">
      <c r="A3368" s="715">
        <v>39567</v>
      </c>
      <c r="B3368" s="633" t="s">
        <v>37829</v>
      </c>
      <c r="C3368" s="715" t="s">
        <v>509</v>
      </c>
      <c r="D3368" s="715" t="s">
        <v>40839</v>
      </c>
      <c r="E3368" s="716">
        <v>40.950000000000003</v>
      </c>
    </row>
    <row r="3369" spans="1:5" ht="43">
      <c r="A3369" s="715">
        <v>39566</v>
      </c>
      <c r="B3369" s="633" t="s">
        <v>37830</v>
      </c>
      <c r="C3369" s="715" t="s">
        <v>509</v>
      </c>
      <c r="D3369" s="715" t="s">
        <v>40839</v>
      </c>
      <c r="E3369" s="716">
        <v>43.34</v>
      </c>
    </row>
    <row r="3370" spans="1:5" ht="29">
      <c r="A3370" s="715">
        <v>39416</v>
      </c>
      <c r="B3370" s="633" t="s">
        <v>37831</v>
      </c>
      <c r="C3370" s="715" t="s">
        <v>509</v>
      </c>
      <c r="D3370" s="715" t="s">
        <v>40839</v>
      </c>
      <c r="E3370" s="716">
        <v>26.41</v>
      </c>
    </row>
    <row r="3371" spans="1:5" ht="29">
      <c r="A3371" s="715">
        <v>39417</v>
      </c>
      <c r="B3371" s="633" t="s">
        <v>37832</v>
      </c>
      <c r="C3371" s="715" t="s">
        <v>509</v>
      </c>
      <c r="D3371" s="715" t="s">
        <v>40839</v>
      </c>
      <c r="E3371" s="716">
        <v>25.76</v>
      </c>
    </row>
    <row r="3372" spans="1:5" ht="29">
      <c r="A3372" s="715">
        <v>43742</v>
      </c>
      <c r="B3372" s="633" t="s">
        <v>37833</v>
      </c>
      <c r="C3372" s="715" t="s">
        <v>509</v>
      </c>
      <c r="D3372" s="715" t="s">
        <v>40839</v>
      </c>
      <c r="E3372" s="716">
        <v>27.79</v>
      </c>
    </row>
    <row r="3373" spans="1:5" ht="29">
      <c r="A3373" s="715">
        <v>39414</v>
      </c>
      <c r="B3373" s="633" t="s">
        <v>37834</v>
      </c>
      <c r="C3373" s="715" t="s">
        <v>509</v>
      </c>
      <c r="D3373" s="715" t="s">
        <v>40839</v>
      </c>
      <c r="E3373" s="716">
        <v>25.02</v>
      </c>
    </row>
    <row r="3374" spans="1:5" ht="29">
      <c r="A3374" s="715">
        <v>39415</v>
      </c>
      <c r="B3374" s="633" t="s">
        <v>37835</v>
      </c>
      <c r="C3374" s="715" t="s">
        <v>509</v>
      </c>
      <c r="D3374" s="715" t="s">
        <v>40839</v>
      </c>
      <c r="E3374" s="716">
        <v>21.56</v>
      </c>
    </row>
    <row r="3375" spans="1:5" ht="29">
      <c r="A3375" s="715">
        <v>43740</v>
      </c>
      <c r="B3375" s="633" t="s">
        <v>37836</v>
      </c>
      <c r="C3375" s="715" t="s">
        <v>509</v>
      </c>
      <c r="D3375" s="715" t="s">
        <v>40839</v>
      </c>
      <c r="E3375" s="716">
        <v>26.33</v>
      </c>
    </row>
    <row r="3376" spans="1:5" ht="29">
      <c r="A3376" s="715">
        <v>39412</v>
      </c>
      <c r="B3376" s="633" t="s">
        <v>37837</v>
      </c>
      <c r="C3376" s="715" t="s">
        <v>509</v>
      </c>
      <c r="D3376" s="715" t="s">
        <v>28018</v>
      </c>
      <c r="E3376" s="716">
        <v>18.059999999999999</v>
      </c>
    </row>
    <row r="3377" spans="1:5" ht="29">
      <c r="A3377" s="715">
        <v>39413</v>
      </c>
      <c r="B3377" s="633" t="s">
        <v>37838</v>
      </c>
      <c r="C3377" s="715" t="s">
        <v>509</v>
      </c>
      <c r="D3377" s="715" t="s">
        <v>40839</v>
      </c>
      <c r="E3377" s="716">
        <v>19.53</v>
      </c>
    </row>
    <row r="3378" spans="1:5" ht="29">
      <c r="A3378" s="715">
        <v>43741</v>
      </c>
      <c r="B3378" s="633" t="s">
        <v>37839</v>
      </c>
      <c r="C3378" s="715" t="s">
        <v>509</v>
      </c>
      <c r="D3378" s="715" t="s">
        <v>40839</v>
      </c>
      <c r="E3378" s="716">
        <v>20.82</v>
      </c>
    </row>
    <row r="3379" spans="1:5">
      <c r="A3379" s="715">
        <v>11062</v>
      </c>
      <c r="B3379" s="633" t="s">
        <v>37840</v>
      </c>
      <c r="C3379" s="715" t="s">
        <v>509</v>
      </c>
      <c r="D3379" s="715" t="s">
        <v>40839</v>
      </c>
      <c r="E3379" s="716">
        <v>45.93</v>
      </c>
    </row>
    <row r="3380" spans="1:5">
      <c r="A3380" s="715">
        <v>11063</v>
      </c>
      <c r="B3380" s="633" t="s">
        <v>37841</v>
      </c>
      <c r="C3380" s="715" t="s">
        <v>509</v>
      </c>
      <c r="D3380" s="715" t="s">
        <v>40839</v>
      </c>
      <c r="E3380" s="716">
        <v>28.11</v>
      </c>
    </row>
    <row r="3381" spans="1:5">
      <c r="A3381" s="715">
        <v>13521</v>
      </c>
      <c r="B3381" s="633" t="s">
        <v>37842</v>
      </c>
      <c r="C3381" s="715" t="s">
        <v>103</v>
      </c>
      <c r="D3381" s="715" t="s">
        <v>40839</v>
      </c>
      <c r="E3381" s="716">
        <v>142.56</v>
      </c>
    </row>
    <row r="3382" spans="1:5" ht="29">
      <c r="A3382" s="715">
        <v>10851</v>
      </c>
      <c r="B3382" s="633" t="s">
        <v>37843</v>
      </c>
      <c r="C3382" s="715" t="s">
        <v>103</v>
      </c>
      <c r="D3382" s="715" t="s">
        <v>40839</v>
      </c>
      <c r="E3382" s="716">
        <v>64.39</v>
      </c>
    </row>
    <row r="3383" spans="1:5" ht="29">
      <c r="A3383" s="715">
        <v>39515</v>
      </c>
      <c r="B3383" s="633" t="s">
        <v>37844</v>
      </c>
      <c r="C3383" s="715" t="s">
        <v>103</v>
      </c>
      <c r="D3383" s="715" t="s">
        <v>40839</v>
      </c>
      <c r="E3383" s="716">
        <v>58.51</v>
      </c>
    </row>
    <row r="3384" spans="1:5" ht="29">
      <c r="A3384" s="715">
        <v>39516</v>
      </c>
      <c r="B3384" s="633" t="s">
        <v>37845</v>
      </c>
      <c r="C3384" s="715" t="s">
        <v>103</v>
      </c>
      <c r="D3384" s="715" t="s">
        <v>40839</v>
      </c>
      <c r="E3384" s="716">
        <v>49.33</v>
      </c>
    </row>
    <row r="3385" spans="1:5" ht="29">
      <c r="A3385" s="715">
        <v>39514</v>
      </c>
      <c r="B3385" s="633" t="s">
        <v>37846</v>
      </c>
      <c r="C3385" s="715" t="s">
        <v>103</v>
      </c>
      <c r="D3385" s="715" t="s">
        <v>28018</v>
      </c>
      <c r="E3385" s="716">
        <v>30.69</v>
      </c>
    </row>
    <row r="3386" spans="1:5">
      <c r="A3386" s="715">
        <v>4812</v>
      </c>
      <c r="B3386" s="633" t="s">
        <v>37847</v>
      </c>
      <c r="C3386" s="715" t="s">
        <v>509</v>
      </c>
      <c r="D3386" s="715" t="s">
        <v>40839</v>
      </c>
      <c r="E3386" s="716">
        <v>10.83</v>
      </c>
    </row>
    <row r="3387" spans="1:5">
      <c r="A3387" s="715">
        <v>10849</v>
      </c>
      <c r="B3387" s="633" t="s">
        <v>37848</v>
      </c>
      <c r="C3387" s="715" t="s">
        <v>103</v>
      </c>
      <c r="D3387" s="715" t="s">
        <v>40839</v>
      </c>
      <c r="E3387" s="716">
        <v>2073.62</v>
      </c>
    </row>
    <row r="3388" spans="1:5">
      <c r="A3388" s="715">
        <v>10848</v>
      </c>
      <c r="B3388" s="633" t="s">
        <v>37849</v>
      </c>
      <c r="C3388" s="715" t="s">
        <v>103</v>
      </c>
      <c r="D3388" s="715" t="s">
        <v>40839</v>
      </c>
      <c r="E3388" s="716">
        <v>1302.49</v>
      </c>
    </row>
    <row r="3389" spans="1:5" ht="29">
      <c r="A3389" s="715">
        <v>4813</v>
      </c>
      <c r="B3389" s="633" t="s">
        <v>37850</v>
      </c>
      <c r="C3389" s="715" t="s">
        <v>509</v>
      </c>
      <c r="D3389" s="715" t="s">
        <v>28018</v>
      </c>
      <c r="E3389" s="716">
        <v>432</v>
      </c>
    </row>
    <row r="3390" spans="1:5" ht="43">
      <c r="A3390" s="715">
        <v>37560</v>
      </c>
      <c r="B3390" s="633" t="s">
        <v>37851</v>
      </c>
      <c r="C3390" s="715" t="s">
        <v>103</v>
      </c>
      <c r="D3390" s="715" t="s">
        <v>40839</v>
      </c>
      <c r="E3390" s="716">
        <v>54.71</v>
      </c>
    </row>
    <row r="3391" spans="1:5" ht="43">
      <c r="A3391" s="715">
        <v>37557</v>
      </c>
      <c r="B3391" s="633" t="s">
        <v>37852</v>
      </c>
      <c r="C3391" s="715" t="s">
        <v>103</v>
      </c>
      <c r="D3391" s="715" t="s">
        <v>40839</v>
      </c>
      <c r="E3391" s="716">
        <v>16.61</v>
      </c>
    </row>
    <row r="3392" spans="1:5" ht="43">
      <c r="A3392" s="715">
        <v>37556</v>
      </c>
      <c r="B3392" s="633" t="s">
        <v>37853</v>
      </c>
      <c r="C3392" s="715" t="s">
        <v>103</v>
      </c>
      <c r="D3392" s="715" t="s">
        <v>40839</v>
      </c>
      <c r="E3392" s="716">
        <v>32.14</v>
      </c>
    </row>
    <row r="3393" spans="1:5" ht="43">
      <c r="A3393" s="715">
        <v>37559</v>
      </c>
      <c r="B3393" s="633" t="s">
        <v>37854</v>
      </c>
      <c r="C3393" s="715" t="s">
        <v>103</v>
      </c>
      <c r="D3393" s="715" t="s">
        <v>40839</v>
      </c>
      <c r="E3393" s="716">
        <v>39.43</v>
      </c>
    </row>
    <row r="3394" spans="1:5" ht="43">
      <c r="A3394" s="715">
        <v>37539</v>
      </c>
      <c r="B3394" s="633" t="s">
        <v>37855</v>
      </c>
      <c r="C3394" s="715" t="s">
        <v>103</v>
      </c>
      <c r="D3394" s="715" t="s">
        <v>28018</v>
      </c>
      <c r="E3394" s="716">
        <v>27.79</v>
      </c>
    </row>
    <row r="3395" spans="1:5" ht="43">
      <c r="A3395" s="715">
        <v>37558</v>
      </c>
      <c r="B3395" s="633" t="s">
        <v>37856</v>
      </c>
      <c r="C3395" s="715" t="s">
        <v>103</v>
      </c>
      <c r="D3395" s="715" t="s">
        <v>40839</v>
      </c>
      <c r="E3395" s="716">
        <v>51.81</v>
      </c>
    </row>
    <row r="3396" spans="1:5">
      <c r="A3396" s="715">
        <v>34723</v>
      </c>
      <c r="B3396" s="633" t="s">
        <v>37857</v>
      </c>
      <c r="C3396" s="715" t="s">
        <v>509</v>
      </c>
      <c r="D3396" s="715" t="s">
        <v>40839</v>
      </c>
      <c r="E3396" s="716">
        <v>997.92</v>
      </c>
    </row>
    <row r="3397" spans="1:5">
      <c r="A3397" s="715">
        <v>34721</v>
      </c>
      <c r="B3397" s="633" t="s">
        <v>37858</v>
      </c>
      <c r="C3397" s="715" t="s">
        <v>509</v>
      </c>
      <c r="D3397" s="715" t="s">
        <v>40839</v>
      </c>
      <c r="E3397" s="716">
        <v>1244.17</v>
      </c>
    </row>
    <row r="3398" spans="1:5">
      <c r="A3398" s="715">
        <v>4309</v>
      </c>
      <c r="B3398" s="633" t="s">
        <v>37859</v>
      </c>
      <c r="C3398" s="715" t="s">
        <v>103</v>
      </c>
      <c r="D3398" s="715" t="s">
        <v>40839</v>
      </c>
      <c r="E3398" s="716">
        <v>7.11</v>
      </c>
    </row>
    <row r="3399" spans="1:5">
      <c r="A3399" s="715">
        <v>4307</v>
      </c>
      <c r="B3399" s="633" t="s">
        <v>37860</v>
      </c>
      <c r="C3399" s="715" t="s">
        <v>103</v>
      </c>
      <c r="D3399" s="715" t="s">
        <v>40839</v>
      </c>
      <c r="E3399" s="716">
        <v>12.17</v>
      </c>
    </row>
    <row r="3400" spans="1:5">
      <c r="A3400" s="715">
        <v>10850</v>
      </c>
      <c r="B3400" s="633" t="s">
        <v>37861</v>
      </c>
      <c r="C3400" s="715" t="s">
        <v>103</v>
      </c>
      <c r="D3400" s="715" t="s">
        <v>40839</v>
      </c>
      <c r="E3400" s="716">
        <v>64.8</v>
      </c>
    </row>
    <row r="3401" spans="1:5" ht="57">
      <c r="A3401" s="715">
        <v>42438</v>
      </c>
      <c r="B3401" s="633" t="s">
        <v>37862</v>
      </c>
      <c r="C3401" s="715" t="s">
        <v>103</v>
      </c>
      <c r="D3401" s="715" t="s">
        <v>40839</v>
      </c>
      <c r="E3401" s="716">
        <v>2090.75</v>
      </c>
    </row>
    <row r="3402" spans="1:5">
      <c r="A3402" s="715">
        <v>4792</v>
      </c>
      <c r="B3402" s="633" t="s">
        <v>37863</v>
      </c>
      <c r="C3402" s="715" t="s">
        <v>509</v>
      </c>
      <c r="D3402" s="715" t="s">
        <v>40839</v>
      </c>
      <c r="E3402" s="716">
        <v>179.71</v>
      </c>
    </row>
    <row r="3403" spans="1:5" ht="29">
      <c r="A3403" s="715">
        <v>4790</v>
      </c>
      <c r="B3403" s="633" t="s">
        <v>37864</v>
      </c>
      <c r="C3403" s="715" t="s">
        <v>509</v>
      </c>
      <c r="D3403" s="715" t="s">
        <v>28018</v>
      </c>
      <c r="E3403" s="716">
        <v>108.05</v>
      </c>
    </row>
    <row r="3404" spans="1:5" ht="29">
      <c r="A3404" s="715">
        <v>40671</v>
      </c>
      <c r="B3404" s="633" t="s">
        <v>37865</v>
      </c>
      <c r="C3404" s="715" t="s">
        <v>509</v>
      </c>
      <c r="D3404" s="715" t="s">
        <v>40839</v>
      </c>
      <c r="E3404" s="716">
        <v>118.28</v>
      </c>
    </row>
    <row r="3405" spans="1:5" ht="29">
      <c r="A3405" s="715">
        <v>7552</v>
      </c>
      <c r="B3405" s="633" t="s">
        <v>37866</v>
      </c>
      <c r="C3405" s="715" t="s">
        <v>103</v>
      </c>
      <c r="D3405" s="715" t="s">
        <v>40839</v>
      </c>
      <c r="E3405" s="716">
        <v>23.8</v>
      </c>
    </row>
    <row r="3406" spans="1:5">
      <c r="A3406" s="715">
        <v>4893</v>
      </c>
      <c r="B3406" s="633" t="s">
        <v>37867</v>
      </c>
      <c r="C3406" s="715" t="s">
        <v>103</v>
      </c>
      <c r="D3406" s="715" t="s">
        <v>40839</v>
      </c>
      <c r="E3406" s="716">
        <v>14.7</v>
      </c>
    </row>
    <row r="3407" spans="1:5">
      <c r="A3407" s="715">
        <v>4894</v>
      </c>
      <c r="B3407" s="633" t="s">
        <v>37868</v>
      </c>
      <c r="C3407" s="715" t="s">
        <v>103</v>
      </c>
      <c r="D3407" s="715" t="s">
        <v>40839</v>
      </c>
      <c r="E3407" s="716">
        <v>12.61</v>
      </c>
    </row>
    <row r="3408" spans="1:5">
      <c r="A3408" s="715">
        <v>4890</v>
      </c>
      <c r="B3408" s="633" t="s">
        <v>37869</v>
      </c>
      <c r="C3408" s="715" t="s">
        <v>103</v>
      </c>
      <c r="D3408" s="715" t="s">
        <v>40839</v>
      </c>
      <c r="E3408" s="716">
        <v>8.07</v>
      </c>
    </row>
    <row r="3409" spans="1:5">
      <c r="A3409" s="715">
        <v>4888</v>
      </c>
      <c r="B3409" s="633" t="s">
        <v>37870</v>
      </c>
      <c r="C3409" s="715" t="s">
        <v>103</v>
      </c>
      <c r="D3409" s="715" t="s">
        <v>40839</v>
      </c>
      <c r="E3409" s="716">
        <v>4.29</v>
      </c>
    </row>
    <row r="3410" spans="1:5">
      <c r="A3410" s="715">
        <v>12411</v>
      </c>
      <c r="B3410" s="633" t="s">
        <v>37871</v>
      </c>
      <c r="C3410" s="715" t="s">
        <v>103</v>
      </c>
      <c r="D3410" s="715" t="s">
        <v>40839</v>
      </c>
      <c r="E3410" s="716">
        <v>43.46</v>
      </c>
    </row>
    <row r="3411" spans="1:5">
      <c r="A3411" s="715">
        <v>4891</v>
      </c>
      <c r="B3411" s="633" t="s">
        <v>37872</v>
      </c>
      <c r="C3411" s="715" t="s">
        <v>103</v>
      </c>
      <c r="D3411" s="715" t="s">
        <v>40839</v>
      </c>
      <c r="E3411" s="716">
        <v>21.73</v>
      </c>
    </row>
    <row r="3412" spans="1:5">
      <c r="A3412" s="715">
        <v>4892</v>
      </c>
      <c r="B3412" s="633" t="s">
        <v>37873</v>
      </c>
      <c r="C3412" s="715" t="s">
        <v>103</v>
      </c>
      <c r="D3412" s="715" t="s">
        <v>40839</v>
      </c>
      <c r="E3412" s="716">
        <v>60.85</v>
      </c>
    </row>
    <row r="3413" spans="1:5">
      <c r="A3413" s="715">
        <v>4889</v>
      </c>
      <c r="B3413" s="633" t="s">
        <v>37874</v>
      </c>
      <c r="C3413" s="715" t="s">
        <v>103</v>
      </c>
      <c r="D3413" s="715" t="s">
        <v>40839</v>
      </c>
      <c r="E3413" s="716">
        <v>5.81</v>
      </c>
    </row>
    <row r="3414" spans="1:5">
      <c r="A3414" s="715">
        <v>12412</v>
      </c>
      <c r="B3414" s="633" t="s">
        <v>37875</v>
      </c>
      <c r="C3414" s="715" t="s">
        <v>103</v>
      </c>
      <c r="D3414" s="715" t="s">
        <v>40839</v>
      </c>
      <c r="E3414" s="716">
        <v>113.09</v>
      </c>
    </row>
    <row r="3415" spans="1:5">
      <c r="A3415" s="715">
        <v>4907</v>
      </c>
      <c r="B3415" s="633" t="s">
        <v>37876</v>
      </c>
      <c r="C3415" s="715" t="s">
        <v>103</v>
      </c>
      <c r="D3415" s="715" t="s">
        <v>40839</v>
      </c>
      <c r="E3415" s="716">
        <v>25.62</v>
      </c>
    </row>
    <row r="3416" spans="1:5">
      <c r="A3416" s="715">
        <v>4902</v>
      </c>
      <c r="B3416" s="633" t="s">
        <v>37877</v>
      </c>
      <c r="C3416" s="715" t="s">
        <v>103</v>
      </c>
      <c r="D3416" s="715" t="s">
        <v>40839</v>
      </c>
      <c r="E3416" s="716">
        <v>66.45</v>
      </c>
    </row>
    <row r="3417" spans="1:5">
      <c r="A3417" s="715">
        <v>4741</v>
      </c>
      <c r="B3417" s="633" t="s">
        <v>37878</v>
      </c>
      <c r="C3417" s="715" t="s">
        <v>121</v>
      </c>
      <c r="D3417" s="715" t="s">
        <v>40839</v>
      </c>
      <c r="E3417" s="716">
        <v>82.27</v>
      </c>
    </row>
    <row r="3418" spans="1:5">
      <c r="A3418" s="715">
        <v>4752</v>
      </c>
      <c r="B3418" s="633" t="s">
        <v>37879</v>
      </c>
      <c r="C3418" s="715" t="s">
        <v>11</v>
      </c>
      <c r="D3418" s="715" t="s">
        <v>40839</v>
      </c>
      <c r="E3418" s="716">
        <v>26.48</v>
      </c>
    </row>
    <row r="3419" spans="1:5">
      <c r="A3419" s="715">
        <v>41091</v>
      </c>
      <c r="B3419" s="633" t="s">
        <v>37880</v>
      </c>
      <c r="C3419" s="715" t="s">
        <v>27629</v>
      </c>
      <c r="D3419" s="715" t="s">
        <v>40839</v>
      </c>
      <c r="E3419" s="716">
        <v>4641.22</v>
      </c>
    </row>
    <row r="3420" spans="1:5" ht="29">
      <c r="A3420" s="715">
        <v>13954</v>
      </c>
      <c r="B3420" s="633" t="s">
        <v>37881</v>
      </c>
      <c r="C3420" s="715" t="s">
        <v>103</v>
      </c>
      <c r="D3420" s="715" t="s">
        <v>40839</v>
      </c>
      <c r="E3420" s="716">
        <v>9029.3799999999992</v>
      </c>
    </row>
    <row r="3421" spans="1:5">
      <c r="A3421" s="715">
        <v>3411</v>
      </c>
      <c r="B3421" s="633" t="s">
        <v>37882</v>
      </c>
      <c r="C3421" s="715" t="s">
        <v>207</v>
      </c>
      <c r="D3421" s="715" t="s">
        <v>40839</v>
      </c>
      <c r="E3421" s="716">
        <v>57.18</v>
      </c>
    </row>
    <row r="3422" spans="1:5">
      <c r="A3422" s="715">
        <v>39995</v>
      </c>
      <c r="B3422" s="633" t="s">
        <v>37883</v>
      </c>
      <c r="C3422" s="715" t="s">
        <v>121</v>
      </c>
      <c r="D3422" s="715" t="s">
        <v>40839</v>
      </c>
      <c r="E3422" s="716">
        <v>439.92</v>
      </c>
    </row>
    <row r="3423" spans="1:5" ht="29">
      <c r="A3423" s="715">
        <v>11615</v>
      </c>
      <c r="B3423" s="633" t="s">
        <v>37884</v>
      </c>
      <c r="C3423" s="715" t="s">
        <v>509</v>
      </c>
      <c r="D3423" s="715" t="s">
        <v>40839</v>
      </c>
      <c r="E3423" s="716">
        <v>3.73</v>
      </c>
    </row>
    <row r="3424" spans="1:5" ht="29">
      <c r="A3424" s="715">
        <v>3408</v>
      </c>
      <c r="B3424" s="633" t="s">
        <v>37885</v>
      </c>
      <c r="C3424" s="715" t="s">
        <v>509</v>
      </c>
      <c r="D3424" s="715" t="s">
        <v>28018</v>
      </c>
      <c r="E3424" s="716">
        <v>9.91</v>
      </c>
    </row>
    <row r="3425" spans="1:5" ht="29">
      <c r="A3425" s="715">
        <v>3409</v>
      </c>
      <c r="B3425" s="633" t="s">
        <v>37886</v>
      </c>
      <c r="C3425" s="715" t="s">
        <v>509</v>
      </c>
      <c r="D3425" s="715" t="s">
        <v>40839</v>
      </c>
      <c r="E3425" s="716">
        <v>24.77</v>
      </c>
    </row>
    <row r="3426" spans="1:5">
      <c r="A3426" s="715">
        <v>11427</v>
      </c>
      <c r="B3426" s="633" t="s">
        <v>37887</v>
      </c>
      <c r="C3426" s="715" t="s">
        <v>207</v>
      </c>
      <c r="D3426" s="715" t="s">
        <v>40839</v>
      </c>
      <c r="E3426" s="716">
        <v>109.19</v>
      </c>
    </row>
    <row r="3427" spans="1:5">
      <c r="A3427" s="715">
        <v>4491</v>
      </c>
      <c r="B3427" s="633" t="s">
        <v>37888</v>
      </c>
      <c r="C3427" s="715" t="s">
        <v>165</v>
      </c>
      <c r="D3427" s="715" t="s">
        <v>40839</v>
      </c>
      <c r="E3427" s="716">
        <v>8.25</v>
      </c>
    </row>
    <row r="3428" spans="1:5" ht="29">
      <c r="A3428" s="715">
        <v>2745</v>
      </c>
      <c r="B3428" s="633" t="s">
        <v>37889</v>
      </c>
      <c r="C3428" s="715" t="s">
        <v>165</v>
      </c>
      <c r="D3428" s="715" t="s">
        <v>40839</v>
      </c>
      <c r="E3428" s="716">
        <v>4.22</v>
      </c>
    </row>
    <row r="3429" spans="1:5" ht="29">
      <c r="A3429" s="715">
        <v>14439</v>
      </c>
      <c r="B3429" s="633" t="s">
        <v>37890</v>
      </c>
      <c r="C3429" s="715" t="s">
        <v>165</v>
      </c>
      <c r="D3429" s="715" t="s">
        <v>40839</v>
      </c>
      <c r="E3429" s="716">
        <v>5.24</v>
      </c>
    </row>
    <row r="3430" spans="1:5">
      <c r="A3430" s="715">
        <v>45238</v>
      </c>
      <c r="B3430" s="633" t="s">
        <v>40870</v>
      </c>
      <c r="C3430" s="715" t="s">
        <v>103</v>
      </c>
      <c r="D3430" s="715" t="s">
        <v>40839</v>
      </c>
      <c r="E3430" s="716">
        <v>26.35</v>
      </c>
    </row>
    <row r="3431" spans="1:5" ht="29">
      <c r="A3431" s="715">
        <v>44496</v>
      </c>
      <c r="B3431" s="633" t="s">
        <v>41063</v>
      </c>
      <c r="C3431" s="715" t="s">
        <v>103</v>
      </c>
      <c r="D3431" s="715" t="s">
        <v>40839</v>
      </c>
      <c r="E3431" s="716">
        <v>180.17</v>
      </c>
    </row>
    <row r="3432" spans="1:5">
      <c r="A3432" s="715">
        <v>12362</v>
      </c>
      <c r="B3432" s="633" t="s">
        <v>37891</v>
      </c>
      <c r="C3432" s="715" t="s">
        <v>103</v>
      </c>
      <c r="D3432" s="715" t="s">
        <v>40839</v>
      </c>
      <c r="E3432" s="716">
        <v>13.04</v>
      </c>
    </row>
    <row r="3433" spans="1:5">
      <c r="A3433" s="715">
        <v>421</v>
      </c>
      <c r="B3433" s="633" t="s">
        <v>37892</v>
      </c>
      <c r="C3433" s="715" t="s">
        <v>103</v>
      </c>
      <c r="D3433" s="715" t="s">
        <v>40839</v>
      </c>
      <c r="E3433" s="716">
        <v>19.05</v>
      </c>
    </row>
    <row r="3434" spans="1:5">
      <c r="A3434" s="715">
        <v>14148</v>
      </c>
      <c r="B3434" s="633" t="s">
        <v>41064</v>
      </c>
      <c r="C3434" s="715" t="s">
        <v>103</v>
      </c>
      <c r="D3434" s="715" t="s">
        <v>40839</v>
      </c>
      <c r="E3434" s="716">
        <v>0.94</v>
      </c>
    </row>
    <row r="3435" spans="1:5">
      <c r="A3435" s="715">
        <v>4341</v>
      </c>
      <c r="B3435" s="633" t="s">
        <v>37893</v>
      </c>
      <c r="C3435" s="715" t="s">
        <v>103</v>
      </c>
      <c r="D3435" s="715" t="s">
        <v>40839</v>
      </c>
      <c r="E3435" s="716">
        <v>0.93</v>
      </c>
    </row>
    <row r="3436" spans="1:5">
      <c r="A3436" s="715">
        <v>4337</v>
      </c>
      <c r="B3436" s="633" t="s">
        <v>37894</v>
      </c>
      <c r="C3436" s="715" t="s">
        <v>103</v>
      </c>
      <c r="D3436" s="715" t="s">
        <v>40839</v>
      </c>
      <c r="E3436" s="716">
        <v>2.36</v>
      </c>
    </row>
    <row r="3437" spans="1:5">
      <c r="A3437" s="715">
        <v>11971</v>
      </c>
      <c r="B3437" s="633" t="s">
        <v>37895</v>
      </c>
      <c r="C3437" s="715" t="s">
        <v>103</v>
      </c>
      <c r="D3437" s="715" t="s">
        <v>40839</v>
      </c>
      <c r="E3437" s="716">
        <v>3.91</v>
      </c>
    </row>
    <row r="3438" spans="1:5">
      <c r="A3438" s="715">
        <v>4339</v>
      </c>
      <c r="B3438" s="633" t="s">
        <v>37896</v>
      </c>
      <c r="C3438" s="715" t="s">
        <v>103</v>
      </c>
      <c r="D3438" s="715" t="s">
        <v>40839</v>
      </c>
      <c r="E3438" s="716">
        <v>0.5</v>
      </c>
    </row>
    <row r="3439" spans="1:5">
      <c r="A3439" s="715">
        <v>39997</v>
      </c>
      <c r="B3439" s="633" t="s">
        <v>37897</v>
      </c>
      <c r="C3439" s="715" t="s">
        <v>103</v>
      </c>
      <c r="D3439" s="715" t="s">
        <v>40839</v>
      </c>
      <c r="E3439" s="716">
        <v>0.28000000000000003</v>
      </c>
    </row>
    <row r="3440" spans="1:5">
      <c r="A3440" s="715">
        <v>4342</v>
      </c>
      <c r="B3440" s="633" t="s">
        <v>37898</v>
      </c>
      <c r="C3440" s="715" t="s">
        <v>103</v>
      </c>
      <c r="D3440" s="715" t="s">
        <v>40839</v>
      </c>
      <c r="E3440" s="716">
        <v>0.2</v>
      </c>
    </row>
    <row r="3441" spans="1:5">
      <c r="A3441" s="715">
        <v>4330</v>
      </c>
      <c r="B3441" s="633" t="s">
        <v>37899</v>
      </c>
      <c r="C3441" s="715" t="s">
        <v>103</v>
      </c>
      <c r="D3441" s="715" t="s">
        <v>40839</v>
      </c>
      <c r="E3441" s="716">
        <v>0.13</v>
      </c>
    </row>
    <row r="3442" spans="1:5">
      <c r="A3442" s="715">
        <v>4340</v>
      </c>
      <c r="B3442" s="633" t="s">
        <v>37900</v>
      </c>
      <c r="C3442" s="715" t="s">
        <v>103</v>
      </c>
      <c r="D3442" s="715" t="s">
        <v>40839</v>
      </c>
      <c r="E3442" s="716">
        <v>1.0900000000000001</v>
      </c>
    </row>
    <row r="3443" spans="1:5">
      <c r="A3443" s="715">
        <v>5088</v>
      </c>
      <c r="B3443" s="633" t="s">
        <v>37901</v>
      </c>
      <c r="C3443" s="715" t="s">
        <v>103</v>
      </c>
      <c r="D3443" s="715" t="s">
        <v>40839</v>
      </c>
      <c r="E3443" s="716">
        <v>6.7</v>
      </c>
    </row>
    <row r="3444" spans="1:5" ht="43">
      <c r="A3444" s="715">
        <v>11154</v>
      </c>
      <c r="B3444" s="633" t="s">
        <v>37902</v>
      </c>
      <c r="C3444" s="715" t="s">
        <v>103</v>
      </c>
      <c r="D3444" s="715" t="s">
        <v>40839</v>
      </c>
      <c r="E3444" s="716">
        <v>1491.86</v>
      </c>
    </row>
    <row r="3445" spans="1:5" ht="43">
      <c r="A3445" s="715">
        <v>4989</v>
      </c>
      <c r="B3445" s="633" t="s">
        <v>37903</v>
      </c>
      <c r="C3445" s="715" t="s">
        <v>103</v>
      </c>
      <c r="D3445" s="715" t="s">
        <v>40839</v>
      </c>
      <c r="E3445" s="716">
        <v>364.46</v>
      </c>
    </row>
    <row r="3446" spans="1:5" ht="43">
      <c r="A3446" s="715">
        <v>4982</v>
      </c>
      <c r="B3446" s="633" t="s">
        <v>37904</v>
      </c>
      <c r="C3446" s="715" t="s">
        <v>103</v>
      </c>
      <c r="D3446" s="715" t="s">
        <v>40839</v>
      </c>
      <c r="E3446" s="716">
        <v>341.84</v>
      </c>
    </row>
    <row r="3447" spans="1:5" ht="43">
      <c r="A3447" s="715">
        <v>4962</v>
      </c>
      <c r="B3447" s="633" t="s">
        <v>37905</v>
      </c>
      <c r="C3447" s="715" t="s">
        <v>103</v>
      </c>
      <c r="D3447" s="715" t="s">
        <v>40839</v>
      </c>
      <c r="E3447" s="716">
        <v>269.58999999999997</v>
      </c>
    </row>
    <row r="3448" spans="1:5" ht="43">
      <c r="A3448" s="715">
        <v>4981</v>
      </c>
      <c r="B3448" s="633" t="s">
        <v>37906</v>
      </c>
      <c r="C3448" s="715" t="s">
        <v>103</v>
      </c>
      <c r="D3448" s="715" t="s">
        <v>28018</v>
      </c>
      <c r="E3448" s="716">
        <v>240</v>
      </c>
    </row>
    <row r="3449" spans="1:5" ht="43">
      <c r="A3449" s="715">
        <v>4964</v>
      </c>
      <c r="B3449" s="633" t="s">
        <v>37907</v>
      </c>
      <c r="C3449" s="715" t="s">
        <v>103</v>
      </c>
      <c r="D3449" s="715" t="s">
        <v>40839</v>
      </c>
      <c r="E3449" s="716">
        <v>304.47000000000003</v>
      </c>
    </row>
    <row r="3450" spans="1:5" ht="43">
      <c r="A3450" s="715">
        <v>4992</v>
      </c>
      <c r="B3450" s="633" t="s">
        <v>37908</v>
      </c>
      <c r="C3450" s="715" t="s">
        <v>103</v>
      </c>
      <c r="D3450" s="715" t="s">
        <v>40839</v>
      </c>
      <c r="E3450" s="716">
        <v>297.41000000000003</v>
      </c>
    </row>
    <row r="3451" spans="1:5" ht="43">
      <c r="A3451" s="715">
        <v>4987</v>
      </c>
      <c r="B3451" s="633" t="s">
        <v>37909</v>
      </c>
      <c r="C3451" s="715" t="s">
        <v>103</v>
      </c>
      <c r="D3451" s="715" t="s">
        <v>40839</v>
      </c>
      <c r="E3451" s="716">
        <v>340.26</v>
      </c>
    </row>
    <row r="3452" spans="1:5" ht="29">
      <c r="A3452" s="715">
        <v>4930</v>
      </c>
      <c r="B3452" s="633" t="s">
        <v>37910</v>
      </c>
      <c r="C3452" s="715" t="s">
        <v>509</v>
      </c>
      <c r="D3452" s="715" t="s">
        <v>40839</v>
      </c>
      <c r="E3452" s="716">
        <v>631.9</v>
      </c>
    </row>
    <row r="3453" spans="1:5" ht="43">
      <c r="A3453" s="715">
        <v>4998</v>
      </c>
      <c r="B3453" s="633" t="s">
        <v>37911</v>
      </c>
      <c r="C3453" s="715" t="s">
        <v>509</v>
      </c>
      <c r="D3453" s="715" t="s">
        <v>40839</v>
      </c>
      <c r="E3453" s="716">
        <v>654.91999999999996</v>
      </c>
    </row>
    <row r="3454" spans="1:5" ht="43">
      <c r="A3454" s="715">
        <v>39021</v>
      </c>
      <c r="B3454" s="633" t="s">
        <v>37912</v>
      </c>
      <c r="C3454" s="715" t="s">
        <v>103</v>
      </c>
      <c r="D3454" s="715" t="s">
        <v>40839</v>
      </c>
      <c r="E3454" s="716">
        <v>671.87</v>
      </c>
    </row>
    <row r="3455" spans="1:5" ht="43">
      <c r="A3455" s="715">
        <v>39022</v>
      </c>
      <c r="B3455" s="633" t="s">
        <v>37913</v>
      </c>
      <c r="C3455" s="715" t="s">
        <v>103</v>
      </c>
      <c r="D3455" s="715" t="s">
        <v>28018</v>
      </c>
      <c r="E3455" s="716">
        <v>601.80999999999995</v>
      </c>
    </row>
    <row r="3456" spans="1:5" ht="43">
      <c r="A3456" s="715">
        <v>39024</v>
      </c>
      <c r="B3456" s="633" t="s">
        <v>37914</v>
      </c>
      <c r="C3456" s="715" t="s">
        <v>103</v>
      </c>
      <c r="D3456" s="715" t="s">
        <v>40839</v>
      </c>
      <c r="E3456" s="716">
        <v>791.68</v>
      </c>
    </row>
    <row r="3457" spans="1:5" ht="29">
      <c r="A3457" s="715">
        <v>4914</v>
      </c>
      <c r="B3457" s="633" t="s">
        <v>37915</v>
      </c>
      <c r="C3457" s="715" t="s">
        <v>509</v>
      </c>
      <c r="D3457" s="715" t="s">
        <v>40839</v>
      </c>
      <c r="E3457" s="716">
        <v>641.91</v>
      </c>
    </row>
    <row r="3458" spans="1:5" ht="29">
      <c r="A3458" s="715">
        <v>4917</v>
      </c>
      <c r="B3458" s="633" t="s">
        <v>37916</v>
      </c>
      <c r="C3458" s="715" t="s">
        <v>509</v>
      </c>
      <c r="D3458" s="715" t="s">
        <v>28018</v>
      </c>
      <c r="E3458" s="716">
        <v>443.31</v>
      </c>
    </row>
    <row r="3459" spans="1:5" ht="29">
      <c r="A3459" s="715">
        <v>39025</v>
      </c>
      <c r="B3459" s="633" t="s">
        <v>37917</v>
      </c>
      <c r="C3459" s="715" t="s">
        <v>103</v>
      </c>
      <c r="D3459" s="715" t="s">
        <v>40839</v>
      </c>
      <c r="E3459" s="716">
        <v>811.78</v>
      </c>
    </row>
    <row r="3460" spans="1:5" ht="43">
      <c r="A3460" s="715">
        <v>4922</v>
      </c>
      <c r="B3460" s="633" t="s">
        <v>37918</v>
      </c>
      <c r="C3460" s="715" t="s">
        <v>509</v>
      </c>
      <c r="D3460" s="715" t="s">
        <v>40839</v>
      </c>
      <c r="E3460" s="716">
        <v>411.21</v>
      </c>
    </row>
    <row r="3461" spans="1:5" ht="29">
      <c r="A3461" s="715">
        <v>4911</v>
      </c>
      <c r="B3461" s="633" t="s">
        <v>37919</v>
      </c>
      <c r="C3461" s="715" t="s">
        <v>509</v>
      </c>
      <c r="D3461" s="715" t="s">
        <v>40839</v>
      </c>
      <c r="E3461" s="716">
        <v>306.60000000000002</v>
      </c>
    </row>
    <row r="3462" spans="1:5" ht="29">
      <c r="A3462" s="715">
        <v>37518</v>
      </c>
      <c r="B3462" s="633" t="s">
        <v>37920</v>
      </c>
      <c r="C3462" s="715" t="s">
        <v>509</v>
      </c>
      <c r="D3462" s="715" t="s">
        <v>40839</v>
      </c>
      <c r="E3462" s="716">
        <v>498.22</v>
      </c>
    </row>
    <row r="3463" spans="1:5" ht="29">
      <c r="A3463" s="715">
        <v>4910</v>
      </c>
      <c r="B3463" s="633" t="s">
        <v>37921</v>
      </c>
      <c r="C3463" s="715" t="s">
        <v>509</v>
      </c>
      <c r="D3463" s="715" t="s">
        <v>40839</v>
      </c>
      <c r="E3463" s="716">
        <v>420.01</v>
      </c>
    </row>
    <row r="3464" spans="1:5" ht="29">
      <c r="A3464" s="715">
        <v>4943</v>
      </c>
      <c r="B3464" s="633" t="s">
        <v>37922</v>
      </c>
      <c r="C3464" s="715" t="s">
        <v>509</v>
      </c>
      <c r="D3464" s="715" t="s">
        <v>40839</v>
      </c>
      <c r="E3464" s="716">
        <v>625.71</v>
      </c>
    </row>
    <row r="3465" spans="1:5" ht="29">
      <c r="A3465" s="715">
        <v>5002</v>
      </c>
      <c r="B3465" s="633" t="s">
        <v>37923</v>
      </c>
      <c r="C3465" s="715" t="s">
        <v>509</v>
      </c>
      <c r="D3465" s="715" t="s">
        <v>40839</v>
      </c>
      <c r="E3465" s="716">
        <v>477.42</v>
      </c>
    </row>
    <row r="3466" spans="1:5" ht="29">
      <c r="A3466" s="715">
        <v>4977</v>
      </c>
      <c r="B3466" s="633" t="s">
        <v>37924</v>
      </c>
      <c r="C3466" s="715" t="s">
        <v>509</v>
      </c>
      <c r="D3466" s="715" t="s">
        <v>40839</v>
      </c>
      <c r="E3466" s="716">
        <v>322.27999999999997</v>
      </c>
    </row>
    <row r="3467" spans="1:5" ht="43">
      <c r="A3467" s="715">
        <v>11364</v>
      </c>
      <c r="B3467" s="633" t="s">
        <v>37925</v>
      </c>
      <c r="C3467" s="715" t="s">
        <v>103</v>
      </c>
      <c r="D3467" s="715" t="s">
        <v>40839</v>
      </c>
      <c r="E3467" s="716">
        <v>206.18</v>
      </c>
    </row>
    <row r="3468" spans="1:5" ht="43">
      <c r="A3468" s="715">
        <v>11365</v>
      </c>
      <c r="B3468" s="633" t="s">
        <v>37926</v>
      </c>
      <c r="C3468" s="715" t="s">
        <v>103</v>
      </c>
      <c r="D3468" s="715" t="s">
        <v>40839</v>
      </c>
      <c r="E3468" s="716">
        <v>213.96</v>
      </c>
    </row>
    <row r="3469" spans="1:5" ht="43">
      <c r="A3469" s="715">
        <v>11366</v>
      </c>
      <c r="B3469" s="633" t="s">
        <v>37927</v>
      </c>
      <c r="C3469" s="715" t="s">
        <v>103</v>
      </c>
      <c r="D3469" s="715" t="s">
        <v>40839</v>
      </c>
      <c r="E3469" s="716">
        <v>227.44</v>
      </c>
    </row>
    <row r="3470" spans="1:5" ht="29">
      <c r="A3470" s="715">
        <v>43777</v>
      </c>
      <c r="B3470" s="633" t="s">
        <v>37928</v>
      </c>
      <c r="C3470" s="715" t="s">
        <v>103</v>
      </c>
      <c r="D3470" s="715" t="s">
        <v>40839</v>
      </c>
      <c r="E3470" s="716">
        <v>267.17</v>
      </c>
    </row>
    <row r="3471" spans="1:5" ht="43">
      <c r="A3471" s="715">
        <v>20322</v>
      </c>
      <c r="B3471" s="633" t="s">
        <v>37929</v>
      </c>
      <c r="C3471" s="715" t="s">
        <v>103</v>
      </c>
      <c r="D3471" s="715" t="s">
        <v>40839</v>
      </c>
      <c r="E3471" s="716">
        <v>248.01</v>
      </c>
    </row>
    <row r="3472" spans="1:5" ht="43">
      <c r="A3472" s="715">
        <v>10553</v>
      </c>
      <c r="B3472" s="633" t="s">
        <v>37930</v>
      </c>
      <c r="C3472" s="715" t="s">
        <v>103</v>
      </c>
      <c r="D3472" s="715" t="s">
        <v>40839</v>
      </c>
      <c r="E3472" s="716">
        <v>225.19</v>
      </c>
    </row>
    <row r="3473" spans="1:5" ht="43">
      <c r="A3473" s="715">
        <v>5020</v>
      </c>
      <c r="B3473" s="633" t="s">
        <v>37931</v>
      </c>
      <c r="C3473" s="715" t="s">
        <v>103</v>
      </c>
      <c r="D3473" s="715" t="s">
        <v>40839</v>
      </c>
      <c r="E3473" s="716">
        <v>237.42</v>
      </c>
    </row>
    <row r="3474" spans="1:5" ht="43">
      <c r="A3474" s="715">
        <v>10554</v>
      </c>
      <c r="B3474" s="633" t="s">
        <v>37932</v>
      </c>
      <c r="C3474" s="715" t="s">
        <v>103</v>
      </c>
      <c r="D3474" s="715" t="s">
        <v>40839</v>
      </c>
      <c r="E3474" s="716">
        <v>227.19</v>
      </c>
    </row>
    <row r="3475" spans="1:5" ht="43">
      <c r="A3475" s="715">
        <v>10555</v>
      </c>
      <c r="B3475" s="633" t="s">
        <v>37933</v>
      </c>
      <c r="C3475" s="715" t="s">
        <v>103</v>
      </c>
      <c r="D3475" s="715" t="s">
        <v>40839</v>
      </c>
      <c r="E3475" s="716">
        <v>247.76</v>
      </c>
    </row>
    <row r="3476" spans="1:5" ht="43">
      <c r="A3476" s="715">
        <v>10556</v>
      </c>
      <c r="B3476" s="633" t="s">
        <v>37934</v>
      </c>
      <c r="C3476" s="715" t="s">
        <v>103</v>
      </c>
      <c r="D3476" s="715" t="s">
        <v>40839</v>
      </c>
      <c r="E3476" s="716">
        <v>329.42</v>
      </c>
    </row>
    <row r="3477" spans="1:5" ht="43">
      <c r="A3477" s="715">
        <v>39502</v>
      </c>
      <c r="B3477" s="633" t="s">
        <v>37935</v>
      </c>
      <c r="C3477" s="715" t="s">
        <v>103</v>
      </c>
      <c r="D3477" s="715" t="s">
        <v>40839</v>
      </c>
      <c r="E3477" s="716">
        <v>462.58</v>
      </c>
    </row>
    <row r="3478" spans="1:5" ht="43">
      <c r="A3478" s="715">
        <v>39504</v>
      </c>
      <c r="B3478" s="633" t="s">
        <v>37936</v>
      </c>
      <c r="C3478" s="715" t="s">
        <v>103</v>
      </c>
      <c r="D3478" s="715" t="s">
        <v>40839</v>
      </c>
      <c r="E3478" s="716">
        <v>511.53</v>
      </c>
    </row>
    <row r="3479" spans="1:5" ht="43">
      <c r="A3479" s="715">
        <v>39503</v>
      </c>
      <c r="B3479" s="633" t="s">
        <v>37937</v>
      </c>
      <c r="C3479" s="715" t="s">
        <v>103</v>
      </c>
      <c r="D3479" s="715" t="s">
        <v>40839</v>
      </c>
      <c r="E3479" s="716">
        <v>538.37</v>
      </c>
    </row>
    <row r="3480" spans="1:5" ht="43">
      <c r="A3480" s="715">
        <v>39505</v>
      </c>
      <c r="B3480" s="633" t="s">
        <v>37938</v>
      </c>
      <c r="C3480" s="715" t="s">
        <v>103</v>
      </c>
      <c r="D3480" s="715" t="s">
        <v>40839</v>
      </c>
      <c r="E3480" s="716">
        <v>580.16999999999996</v>
      </c>
    </row>
    <row r="3481" spans="1:5" ht="29">
      <c r="A3481" s="715">
        <v>5028</v>
      </c>
      <c r="B3481" s="633" t="s">
        <v>37939</v>
      </c>
      <c r="C3481" s="715" t="s">
        <v>509</v>
      </c>
      <c r="D3481" s="715" t="s">
        <v>40839</v>
      </c>
      <c r="E3481" s="716">
        <v>788.56</v>
      </c>
    </row>
    <row r="3482" spans="1:5" ht="29">
      <c r="A3482" s="715">
        <v>4969</v>
      </c>
      <c r="B3482" s="633" t="s">
        <v>37940</v>
      </c>
      <c r="C3482" s="715" t="s">
        <v>509</v>
      </c>
      <c r="D3482" s="715" t="s">
        <v>28018</v>
      </c>
      <c r="E3482" s="716">
        <v>455.8</v>
      </c>
    </row>
    <row r="3483" spans="1:5">
      <c r="A3483" s="715">
        <v>44471</v>
      </c>
      <c r="B3483" s="633" t="s">
        <v>41065</v>
      </c>
      <c r="C3483" s="715" t="s">
        <v>103</v>
      </c>
      <c r="D3483" s="715" t="s">
        <v>40839</v>
      </c>
      <c r="E3483" s="716">
        <v>526.02</v>
      </c>
    </row>
    <row r="3484" spans="1:5" ht="29">
      <c r="A3484" s="715">
        <v>4944</v>
      </c>
      <c r="B3484" s="633" t="s">
        <v>41066</v>
      </c>
      <c r="C3484" s="715" t="s">
        <v>509</v>
      </c>
      <c r="D3484" s="715" t="s">
        <v>40839</v>
      </c>
      <c r="E3484" s="716">
        <v>935.44</v>
      </c>
    </row>
    <row r="3485" spans="1:5">
      <c r="A3485" s="715">
        <v>21102</v>
      </c>
      <c r="B3485" s="633" t="s">
        <v>37941</v>
      </c>
      <c r="C3485" s="715" t="s">
        <v>103</v>
      </c>
      <c r="D3485" s="715" t="s">
        <v>40839</v>
      </c>
      <c r="E3485" s="716">
        <v>56.13</v>
      </c>
    </row>
    <row r="3486" spans="1:5">
      <c r="A3486" s="715">
        <v>21101</v>
      </c>
      <c r="B3486" s="633" t="s">
        <v>37942</v>
      </c>
      <c r="C3486" s="715" t="s">
        <v>103</v>
      </c>
      <c r="D3486" s="715" t="s">
        <v>40839</v>
      </c>
      <c r="E3486" s="716">
        <v>36.049999999999997</v>
      </c>
    </row>
    <row r="3487" spans="1:5" ht="29">
      <c r="A3487" s="715">
        <v>34713</v>
      </c>
      <c r="B3487" s="633" t="s">
        <v>37943</v>
      </c>
      <c r="C3487" s="715" t="s">
        <v>509</v>
      </c>
      <c r="D3487" s="715" t="s">
        <v>40839</v>
      </c>
      <c r="E3487" s="716">
        <v>469.25</v>
      </c>
    </row>
    <row r="3488" spans="1:5" ht="29">
      <c r="A3488" s="715">
        <v>37563</v>
      </c>
      <c r="B3488" s="633" t="s">
        <v>37944</v>
      </c>
      <c r="C3488" s="715" t="s">
        <v>509</v>
      </c>
      <c r="D3488" s="715" t="s">
        <v>40839</v>
      </c>
      <c r="E3488" s="716">
        <v>695.32</v>
      </c>
    </row>
    <row r="3489" spans="1:5" ht="29">
      <c r="A3489" s="715">
        <v>4948</v>
      </c>
      <c r="B3489" s="633" t="s">
        <v>37945</v>
      </c>
      <c r="C3489" s="715" t="s">
        <v>509</v>
      </c>
      <c r="D3489" s="715" t="s">
        <v>40839</v>
      </c>
      <c r="E3489" s="716">
        <v>604.94000000000005</v>
      </c>
    </row>
    <row r="3490" spans="1:5" ht="43">
      <c r="A3490" s="715">
        <v>37561</v>
      </c>
      <c r="B3490" s="633" t="s">
        <v>37946</v>
      </c>
      <c r="C3490" s="715" t="s">
        <v>509</v>
      </c>
      <c r="D3490" s="715" t="s">
        <v>40839</v>
      </c>
      <c r="E3490" s="716">
        <v>564.19000000000005</v>
      </c>
    </row>
    <row r="3491" spans="1:5" ht="29">
      <c r="A3491" s="715">
        <v>37562</v>
      </c>
      <c r="B3491" s="633" t="s">
        <v>37947</v>
      </c>
      <c r="C3491" s="715" t="s">
        <v>509</v>
      </c>
      <c r="D3491" s="715" t="s">
        <v>40839</v>
      </c>
      <c r="E3491" s="716">
        <v>739.72</v>
      </c>
    </row>
    <row r="3492" spans="1:5" ht="29">
      <c r="A3492" s="715">
        <v>14164</v>
      </c>
      <c r="B3492" s="633" t="s">
        <v>37948</v>
      </c>
      <c r="C3492" s="715" t="s">
        <v>103</v>
      </c>
      <c r="D3492" s="715" t="s">
        <v>40839</v>
      </c>
      <c r="E3492" s="716">
        <v>1926.55</v>
      </c>
    </row>
    <row r="3493" spans="1:5" ht="29">
      <c r="A3493" s="715">
        <v>14163</v>
      </c>
      <c r="B3493" s="633" t="s">
        <v>37949</v>
      </c>
      <c r="C3493" s="715" t="s">
        <v>103</v>
      </c>
      <c r="D3493" s="715" t="s">
        <v>40839</v>
      </c>
      <c r="E3493" s="716">
        <v>2189.65</v>
      </c>
    </row>
    <row r="3494" spans="1:5" ht="29">
      <c r="A3494" s="715">
        <v>5051</v>
      </c>
      <c r="B3494" s="633" t="s">
        <v>37950</v>
      </c>
      <c r="C3494" s="715" t="s">
        <v>103</v>
      </c>
      <c r="D3494" s="715" t="s">
        <v>40839</v>
      </c>
      <c r="E3494" s="716">
        <v>1862.27</v>
      </c>
    </row>
    <row r="3495" spans="1:5" ht="29">
      <c r="A3495" s="715">
        <v>5052</v>
      </c>
      <c r="B3495" s="633" t="s">
        <v>37951</v>
      </c>
      <c r="C3495" s="715" t="s">
        <v>103</v>
      </c>
      <c r="D3495" s="715" t="s">
        <v>28018</v>
      </c>
      <c r="E3495" s="716">
        <v>1387.5</v>
      </c>
    </row>
    <row r="3496" spans="1:5" ht="29">
      <c r="A3496" s="715">
        <v>14162</v>
      </c>
      <c r="B3496" s="633" t="s">
        <v>37952</v>
      </c>
      <c r="C3496" s="715" t="s">
        <v>103</v>
      </c>
      <c r="D3496" s="715" t="s">
        <v>40839</v>
      </c>
      <c r="E3496" s="716">
        <v>1859.57</v>
      </c>
    </row>
    <row r="3497" spans="1:5" ht="29">
      <c r="A3497" s="715">
        <v>14166</v>
      </c>
      <c r="B3497" s="633" t="s">
        <v>37953</v>
      </c>
      <c r="C3497" s="715" t="s">
        <v>103</v>
      </c>
      <c r="D3497" s="715" t="s">
        <v>40839</v>
      </c>
      <c r="E3497" s="716">
        <v>1405.12</v>
      </c>
    </row>
    <row r="3498" spans="1:5" ht="29">
      <c r="A3498" s="715">
        <v>14165</v>
      </c>
      <c r="B3498" s="633" t="s">
        <v>37954</v>
      </c>
      <c r="C3498" s="715" t="s">
        <v>103</v>
      </c>
      <c r="D3498" s="715" t="s">
        <v>40839</v>
      </c>
      <c r="E3498" s="716">
        <v>1946.59</v>
      </c>
    </row>
    <row r="3499" spans="1:5" ht="29">
      <c r="A3499" s="715">
        <v>5050</v>
      </c>
      <c r="B3499" s="633" t="s">
        <v>37955</v>
      </c>
      <c r="C3499" s="715" t="s">
        <v>103</v>
      </c>
      <c r="D3499" s="715" t="s">
        <v>40839</v>
      </c>
      <c r="E3499" s="716">
        <v>479.1</v>
      </c>
    </row>
    <row r="3500" spans="1:5" ht="29">
      <c r="A3500" s="715">
        <v>12366</v>
      </c>
      <c r="B3500" s="633" t="s">
        <v>37956</v>
      </c>
      <c r="C3500" s="715" t="s">
        <v>103</v>
      </c>
      <c r="D3500" s="715" t="s">
        <v>40839</v>
      </c>
      <c r="E3500" s="716">
        <v>1104.97</v>
      </c>
    </row>
    <row r="3501" spans="1:5" ht="29">
      <c r="A3501" s="715">
        <v>5045</v>
      </c>
      <c r="B3501" s="633" t="s">
        <v>37957</v>
      </c>
      <c r="C3501" s="715" t="s">
        <v>103</v>
      </c>
      <c r="D3501" s="715" t="s">
        <v>40839</v>
      </c>
      <c r="E3501" s="716">
        <v>1526.46</v>
      </c>
    </row>
    <row r="3502" spans="1:5" ht="29">
      <c r="A3502" s="715">
        <v>5035</v>
      </c>
      <c r="B3502" s="633" t="s">
        <v>37958</v>
      </c>
      <c r="C3502" s="715" t="s">
        <v>103</v>
      </c>
      <c r="D3502" s="715" t="s">
        <v>40839</v>
      </c>
      <c r="E3502" s="716">
        <v>1755.06</v>
      </c>
    </row>
    <row r="3503" spans="1:5" ht="29">
      <c r="A3503" s="715">
        <v>41180</v>
      </c>
      <c r="B3503" s="633" t="s">
        <v>37959</v>
      </c>
      <c r="C3503" s="715" t="s">
        <v>103</v>
      </c>
      <c r="D3503" s="715" t="s">
        <v>40839</v>
      </c>
      <c r="E3503" s="716">
        <v>3945.35</v>
      </c>
    </row>
    <row r="3504" spans="1:5" ht="29">
      <c r="A3504" s="715">
        <v>41181</v>
      </c>
      <c r="B3504" s="633" t="s">
        <v>37960</v>
      </c>
      <c r="C3504" s="715" t="s">
        <v>103</v>
      </c>
      <c r="D3504" s="715" t="s">
        <v>40839</v>
      </c>
      <c r="E3504" s="716">
        <v>5223.5200000000004</v>
      </c>
    </row>
    <row r="3505" spans="1:5" ht="29">
      <c r="A3505" s="715">
        <v>41182</v>
      </c>
      <c r="B3505" s="633" t="s">
        <v>37961</v>
      </c>
      <c r="C3505" s="715" t="s">
        <v>103</v>
      </c>
      <c r="D3505" s="715" t="s">
        <v>40839</v>
      </c>
      <c r="E3505" s="716">
        <v>7493.57</v>
      </c>
    </row>
    <row r="3506" spans="1:5" ht="29">
      <c r="A3506" s="715">
        <v>41183</v>
      </c>
      <c r="B3506" s="633" t="s">
        <v>37962</v>
      </c>
      <c r="C3506" s="715" t="s">
        <v>103</v>
      </c>
      <c r="D3506" s="715" t="s">
        <v>40839</v>
      </c>
      <c r="E3506" s="716">
        <v>9355.8799999999992</v>
      </c>
    </row>
    <row r="3507" spans="1:5" ht="29">
      <c r="A3507" s="715">
        <v>41184</v>
      </c>
      <c r="B3507" s="633" t="s">
        <v>37963</v>
      </c>
      <c r="C3507" s="715" t="s">
        <v>103</v>
      </c>
      <c r="D3507" s="715" t="s">
        <v>40839</v>
      </c>
      <c r="E3507" s="716">
        <v>14244.9</v>
      </c>
    </row>
    <row r="3508" spans="1:5" ht="29">
      <c r="A3508" s="715">
        <v>41185</v>
      </c>
      <c r="B3508" s="633" t="s">
        <v>37964</v>
      </c>
      <c r="C3508" s="715" t="s">
        <v>103</v>
      </c>
      <c r="D3508" s="715" t="s">
        <v>40839</v>
      </c>
      <c r="E3508" s="716">
        <v>5282.65</v>
      </c>
    </row>
    <row r="3509" spans="1:5" ht="29">
      <c r="A3509" s="715">
        <v>41186</v>
      </c>
      <c r="B3509" s="633" t="s">
        <v>37965</v>
      </c>
      <c r="C3509" s="715" t="s">
        <v>103</v>
      </c>
      <c r="D3509" s="715" t="s">
        <v>40839</v>
      </c>
      <c r="E3509" s="716">
        <v>7403.02</v>
      </c>
    </row>
    <row r="3510" spans="1:5" ht="29">
      <c r="A3510" s="715">
        <v>41187</v>
      </c>
      <c r="B3510" s="633" t="s">
        <v>37966</v>
      </c>
      <c r="C3510" s="715" t="s">
        <v>103</v>
      </c>
      <c r="D3510" s="715" t="s">
        <v>40839</v>
      </c>
      <c r="E3510" s="716">
        <v>9928.06</v>
      </c>
    </row>
    <row r="3511" spans="1:5" ht="29">
      <c r="A3511" s="715">
        <v>41188</v>
      </c>
      <c r="B3511" s="633" t="s">
        <v>37967</v>
      </c>
      <c r="C3511" s="715" t="s">
        <v>103</v>
      </c>
      <c r="D3511" s="715" t="s">
        <v>40839</v>
      </c>
      <c r="E3511" s="716">
        <v>12695.78</v>
      </c>
    </row>
    <row r="3512" spans="1:5" ht="29">
      <c r="A3512" s="715">
        <v>5036</v>
      </c>
      <c r="B3512" s="633" t="s">
        <v>37968</v>
      </c>
      <c r="C3512" s="715" t="s">
        <v>103</v>
      </c>
      <c r="D3512" s="715" t="s">
        <v>40839</v>
      </c>
      <c r="E3512" s="716">
        <v>2692.58</v>
      </c>
    </row>
    <row r="3513" spans="1:5" ht="29">
      <c r="A3513" s="715">
        <v>41189</v>
      </c>
      <c r="B3513" s="633" t="s">
        <v>37969</v>
      </c>
      <c r="C3513" s="715" t="s">
        <v>103</v>
      </c>
      <c r="D3513" s="715" t="s">
        <v>40839</v>
      </c>
      <c r="E3513" s="716">
        <v>16321.75</v>
      </c>
    </row>
    <row r="3514" spans="1:5" ht="29">
      <c r="A3514" s="715">
        <v>41190</v>
      </c>
      <c r="B3514" s="633" t="s">
        <v>37970</v>
      </c>
      <c r="C3514" s="715" t="s">
        <v>103</v>
      </c>
      <c r="D3514" s="715" t="s">
        <v>40839</v>
      </c>
      <c r="E3514" s="716">
        <v>5676.13</v>
      </c>
    </row>
    <row r="3515" spans="1:5" ht="29">
      <c r="A3515" s="715">
        <v>41191</v>
      </c>
      <c r="B3515" s="633" t="s">
        <v>37971</v>
      </c>
      <c r="C3515" s="715" t="s">
        <v>103</v>
      </c>
      <c r="D3515" s="715" t="s">
        <v>40839</v>
      </c>
      <c r="E3515" s="716">
        <v>8704.14</v>
      </c>
    </row>
    <row r="3516" spans="1:5" ht="29">
      <c r="A3516" s="715">
        <v>41192</v>
      </c>
      <c r="B3516" s="633" t="s">
        <v>37972</v>
      </c>
      <c r="C3516" s="715" t="s">
        <v>103</v>
      </c>
      <c r="D3516" s="715" t="s">
        <v>40839</v>
      </c>
      <c r="E3516" s="716">
        <v>9074</v>
      </c>
    </row>
    <row r="3517" spans="1:5" ht="29">
      <c r="A3517" s="715">
        <v>41193</v>
      </c>
      <c r="B3517" s="633" t="s">
        <v>37973</v>
      </c>
      <c r="C3517" s="715" t="s">
        <v>103</v>
      </c>
      <c r="D3517" s="715" t="s">
        <v>40839</v>
      </c>
      <c r="E3517" s="716">
        <v>14826.61</v>
      </c>
    </row>
    <row r="3518" spans="1:5" ht="29">
      <c r="A3518" s="715">
        <v>41194</v>
      </c>
      <c r="B3518" s="633" t="s">
        <v>37974</v>
      </c>
      <c r="C3518" s="715" t="s">
        <v>103</v>
      </c>
      <c r="D3518" s="715" t="s">
        <v>40839</v>
      </c>
      <c r="E3518" s="716">
        <v>17691.509999999998</v>
      </c>
    </row>
    <row r="3519" spans="1:5" ht="29">
      <c r="A3519" s="715">
        <v>5044</v>
      </c>
      <c r="B3519" s="633" t="s">
        <v>37975</v>
      </c>
      <c r="C3519" s="715" t="s">
        <v>103</v>
      </c>
      <c r="D3519" s="715" t="s">
        <v>40839</v>
      </c>
      <c r="E3519" s="716">
        <v>951.98</v>
      </c>
    </row>
    <row r="3520" spans="1:5" ht="29">
      <c r="A3520" s="715">
        <v>5059</v>
      </c>
      <c r="B3520" s="633" t="s">
        <v>37976</v>
      </c>
      <c r="C3520" s="715" t="s">
        <v>103</v>
      </c>
      <c r="D3520" s="715" t="s">
        <v>40839</v>
      </c>
      <c r="E3520" s="716">
        <v>1138.46</v>
      </c>
    </row>
    <row r="3521" spans="1:5" ht="29">
      <c r="A3521" s="715">
        <v>41201</v>
      </c>
      <c r="B3521" s="633" t="s">
        <v>37977</v>
      </c>
      <c r="C3521" s="715" t="s">
        <v>103</v>
      </c>
      <c r="D3521" s="715" t="s">
        <v>40839</v>
      </c>
      <c r="E3521" s="716">
        <v>2310.4</v>
      </c>
    </row>
    <row r="3522" spans="1:5" ht="29">
      <c r="A3522" s="715">
        <v>41199</v>
      </c>
      <c r="B3522" s="633" t="s">
        <v>37978</v>
      </c>
      <c r="C3522" s="715" t="s">
        <v>103</v>
      </c>
      <c r="D3522" s="715" t="s">
        <v>40839</v>
      </c>
      <c r="E3522" s="716">
        <v>742.42</v>
      </c>
    </row>
    <row r="3523" spans="1:5" ht="29">
      <c r="A3523" s="715">
        <v>5057</v>
      </c>
      <c r="B3523" s="633" t="s">
        <v>37979</v>
      </c>
      <c r="C3523" s="715" t="s">
        <v>103</v>
      </c>
      <c r="D3523" s="715" t="s">
        <v>40839</v>
      </c>
      <c r="E3523" s="716">
        <v>1005.1</v>
      </c>
    </row>
    <row r="3524" spans="1:5" ht="29">
      <c r="A3524" s="715">
        <v>41200</v>
      </c>
      <c r="B3524" s="633" t="s">
        <v>37980</v>
      </c>
      <c r="C3524" s="715" t="s">
        <v>103</v>
      </c>
      <c r="D3524" s="715" t="s">
        <v>40839</v>
      </c>
      <c r="E3524" s="716">
        <v>1445.01</v>
      </c>
    </row>
    <row r="3525" spans="1:5" ht="29">
      <c r="A3525" s="715">
        <v>41205</v>
      </c>
      <c r="B3525" s="633" t="s">
        <v>37981</v>
      </c>
      <c r="C3525" s="715" t="s">
        <v>103</v>
      </c>
      <c r="D3525" s="715" t="s">
        <v>40839</v>
      </c>
      <c r="E3525" s="716">
        <v>2677.57</v>
      </c>
    </row>
    <row r="3526" spans="1:5" ht="29">
      <c r="A3526" s="715">
        <v>41202</v>
      </c>
      <c r="B3526" s="633" t="s">
        <v>37982</v>
      </c>
      <c r="C3526" s="715" t="s">
        <v>103</v>
      </c>
      <c r="D3526" s="715" t="s">
        <v>40839</v>
      </c>
      <c r="E3526" s="716">
        <v>781.33</v>
      </c>
    </row>
    <row r="3527" spans="1:5" ht="29">
      <c r="A3527" s="715">
        <v>41206</v>
      </c>
      <c r="B3527" s="633" t="s">
        <v>37983</v>
      </c>
      <c r="C3527" s="715" t="s">
        <v>103</v>
      </c>
      <c r="D3527" s="715" t="s">
        <v>40839</v>
      </c>
      <c r="E3527" s="716">
        <v>3530.26</v>
      </c>
    </row>
    <row r="3528" spans="1:5" ht="29">
      <c r="A3528" s="715">
        <v>12372</v>
      </c>
      <c r="B3528" s="633" t="s">
        <v>37984</v>
      </c>
      <c r="C3528" s="715" t="s">
        <v>103</v>
      </c>
      <c r="D3528" s="715" t="s">
        <v>40839</v>
      </c>
      <c r="E3528" s="716">
        <v>820.4</v>
      </c>
    </row>
    <row r="3529" spans="1:5" ht="29">
      <c r="A3529" s="715">
        <v>41207</v>
      </c>
      <c r="B3529" s="633" t="s">
        <v>37985</v>
      </c>
      <c r="C3529" s="715" t="s">
        <v>103</v>
      </c>
      <c r="D3529" s="715" t="s">
        <v>40839</v>
      </c>
      <c r="E3529" s="716">
        <v>4752.43</v>
      </c>
    </row>
    <row r="3530" spans="1:5" ht="29">
      <c r="A3530" s="715">
        <v>41203</v>
      </c>
      <c r="B3530" s="633" t="s">
        <v>37986</v>
      </c>
      <c r="C3530" s="715" t="s">
        <v>103</v>
      </c>
      <c r="D3530" s="715" t="s">
        <v>40839</v>
      </c>
      <c r="E3530" s="716">
        <v>1251.6099999999999</v>
      </c>
    </row>
    <row r="3531" spans="1:5" ht="29">
      <c r="A3531" s="715">
        <v>41204</v>
      </c>
      <c r="B3531" s="633" t="s">
        <v>37987</v>
      </c>
      <c r="C3531" s="715" t="s">
        <v>103</v>
      </c>
      <c r="D3531" s="715" t="s">
        <v>40839</v>
      </c>
      <c r="E3531" s="716">
        <v>1769.46</v>
      </c>
    </row>
    <row r="3532" spans="1:5" ht="29">
      <c r="A3532" s="715">
        <v>41210</v>
      </c>
      <c r="B3532" s="633" t="s">
        <v>37988</v>
      </c>
      <c r="C3532" s="715" t="s">
        <v>103</v>
      </c>
      <c r="D3532" s="715" t="s">
        <v>40839</v>
      </c>
      <c r="E3532" s="716">
        <v>2955.84</v>
      </c>
    </row>
    <row r="3533" spans="1:5" ht="29">
      <c r="A3533" s="715">
        <v>41208</v>
      </c>
      <c r="B3533" s="633" t="s">
        <v>37989</v>
      </c>
      <c r="C3533" s="715" t="s">
        <v>103</v>
      </c>
      <c r="D3533" s="715" t="s">
        <v>40839</v>
      </c>
      <c r="E3533" s="716">
        <v>1034.71</v>
      </c>
    </row>
    <row r="3534" spans="1:5" ht="29">
      <c r="A3534" s="715">
        <v>41211</v>
      </c>
      <c r="B3534" s="633" t="s">
        <v>37990</v>
      </c>
      <c r="C3534" s="715" t="s">
        <v>103</v>
      </c>
      <c r="D3534" s="715" t="s">
        <v>40839</v>
      </c>
      <c r="E3534" s="716">
        <v>4164.7299999999996</v>
      </c>
    </row>
    <row r="3535" spans="1:5" ht="29">
      <c r="A3535" s="715">
        <v>13339</v>
      </c>
      <c r="B3535" s="633" t="s">
        <v>37991</v>
      </c>
      <c r="C3535" s="715" t="s">
        <v>103</v>
      </c>
      <c r="D3535" s="715" t="s">
        <v>40839</v>
      </c>
      <c r="E3535" s="716">
        <v>1402.29</v>
      </c>
    </row>
    <row r="3536" spans="1:5" ht="29">
      <c r="A3536" s="715">
        <v>41213</v>
      </c>
      <c r="B3536" s="633" t="s">
        <v>37992</v>
      </c>
      <c r="C3536" s="715" t="s">
        <v>103</v>
      </c>
      <c r="D3536" s="715" t="s">
        <v>40839</v>
      </c>
      <c r="E3536" s="716">
        <v>8632.4599999999991</v>
      </c>
    </row>
    <row r="3537" spans="1:5" ht="29">
      <c r="A3537" s="715">
        <v>41209</v>
      </c>
      <c r="B3537" s="633" t="s">
        <v>37993</v>
      </c>
      <c r="C3537" s="715" t="s">
        <v>103</v>
      </c>
      <c r="D3537" s="715" t="s">
        <v>40839</v>
      </c>
      <c r="E3537" s="716">
        <v>1929.37</v>
      </c>
    </row>
    <row r="3538" spans="1:5" ht="29">
      <c r="A3538" s="715">
        <v>41216</v>
      </c>
      <c r="B3538" s="633" t="s">
        <v>37994</v>
      </c>
      <c r="C3538" s="715" t="s">
        <v>103</v>
      </c>
      <c r="D3538" s="715" t="s">
        <v>40839</v>
      </c>
      <c r="E3538" s="716">
        <v>3613.97</v>
      </c>
    </row>
    <row r="3539" spans="1:5" ht="29">
      <c r="A3539" s="715">
        <v>41217</v>
      </c>
      <c r="B3539" s="633" t="s">
        <v>37995</v>
      </c>
      <c r="C3539" s="715" t="s">
        <v>103</v>
      </c>
      <c r="D3539" s="715" t="s">
        <v>40839</v>
      </c>
      <c r="E3539" s="716">
        <v>5794.48</v>
      </c>
    </row>
    <row r="3540" spans="1:5" ht="29">
      <c r="A3540" s="715">
        <v>41218</v>
      </c>
      <c r="B3540" s="633" t="s">
        <v>37996</v>
      </c>
      <c r="C3540" s="715" t="s">
        <v>103</v>
      </c>
      <c r="D3540" s="715" t="s">
        <v>40839</v>
      </c>
      <c r="E3540" s="716">
        <v>7770.58</v>
      </c>
    </row>
    <row r="3541" spans="1:5" ht="29">
      <c r="A3541" s="715">
        <v>41214</v>
      </c>
      <c r="B3541" s="633" t="s">
        <v>37997</v>
      </c>
      <c r="C3541" s="715" t="s">
        <v>103</v>
      </c>
      <c r="D3541" s="715" t="s">
        <v>40839</v>
      </c>
      <c r="E3541" s="716">
        <v>1638.41</v>
      </c>
    </row>
    <row r="3542" spans="1:5" ht="29">
      <c r="A3542" s="715">
        <v>41215</v>
      </c>
      <c r="B3542" s="633" t="s">
        <v>37998</v>
      </c>
      <c r="C3542" s="715" t="s">
        <v>103</v>
      </c>
      <c r="D3542" s="715" t="s">
        <v>40839</v>
      </c>
      <c r="E3542" s="716">
        <v>2466.85</v>
      </c>
    </row>
    <row r="3543" spans="1:5" ht="29">
      <c r="A3543" s="715">
        <v>41221</v>
      </c>
      <c r="B3543" s="633" t="s">
        <v>37999</v>
      </c>
      <c r="C3543" s="715" t="s">
        <v>103</v>
      </c>
      <c r="D3543" s="715" t="s">
        <v>40839</v>
      </c>
      <c r="E3543" s="716">
        <v>7142.81</v>
      </c>
    </row>
    <row r="3544" spans="1:5" ht="29">
      <c r="A3544" s="715">
        <v>41222</v>
      </c>
      <c r="B3544" s="633" t="s">
        <v>38000</v>
      </c>
      <c r="C3544" s="715" t="s">
        <v>103</v>
      </c>
      <c r="D3544" s="715" t="s">
        <v>40839</v>
      </c>
      <c r="E3544" s="716">
        <v>10221.44</v>
      </c>
    </row>
    <row r="3545" spans="1:5" ht="29">
      <c r="A3545" s="715">
        <v>41195</v>
      </c>
      <c r="B3545" s="633" t="s">
        <v>38001</v>
      </c>
      <c r="C3545" s="715" t="s">
        <v>103</v>
      </c>
      <c r="D3545" s="715" t="s">
        <v>40839</v>
      </c>
      <c r="E3545" s="716">
        <v>525.35</v>
      </c>
    </row>
    <row r="3546" spans="1:5" ht="29">
      <c r="A3546" s="715">
        <v>41198</v>
      </c>
      <c r="B3546" s="633" t="s">
        <v>38002</v>
      </c>
      <c r="C3546" s="715" t="s">
        <v>103</v>
      </c>
      <c r="D3546" s="715" t="s">
        <v>40839</v>
      </c>
      <c r="E3546" s="716">
        <v>2052.9499999999998</v>
      </c>
    </row>
    <row r="3547" spans="1:5" ht="29">
      <c r="A3547" s="715">
        <v>41196</v>
      </c>
      <c r="B3547" s="633" t="s">
        <v>38003</v>
      </c>
      <c r="C3547" s="715" t="s">
        <v>103</v>
      </c>
      <c r="D3547" s="715" t="s">
        <v>40839</v>
      </c>
      <c r="E3547" s="716">
        <v>651.20000000000005</v>
      </c>
    </row>
    <row r="3548" spans="1:5" ht="29">
      <c r="A3548" s="715">
        <v>5033</v>
      </c>
      <c r="B3548" s="633" t="s">
        <v>38004</v>
      </c>
      <c r="C3548" s="715" t="s">
        <v>103</v>
      </c>
      <c r="D3548" s="715" t="s">
        <v>28018</v>
      </c>
      <c r="E3548" s="716">
        <v>855</v>
      </c>
    </row>
    <row r="3549" spans="1:5" ht="29">
      <c r="A3549" s="715">
        <v>41197</v>
      </c>
      <c r="B3549" s="633" t="s">
        <v>38005</v>
      </c>
      <c r="C3549" s="715" t="s">
        <v>103</v>
      </c>
      <c r="D3549" s="715" t="s">
        <v>40839</v>
      </c>
      <c r="E3549" s="716">
        <v>1269.99</v>
      </c>
    </row>
    <row r="3550" spans="1:5">
      <c r="A3550" s="715">
        <v>12388</v>
      </c>
      <c r="B3550" s="633" t="s">
        <v>38006</v>
      </c>
      <c r="C3550" s="715" t="s">
        <v>103</v>
      </c>
      <c r="D3550" s="715" t="s">
        <v>40839</v>
      </c>
      <c r="E3550" s="716">
        <v>283.58999999999997</v>
      </c>
    </row>
    <row r="3551" spans="1:5" ht="29">
      <c r="A3551" s="715">
        <v>2731</v>
      </c>
      <c r="B3551" s="633" t="s">
        <v>38007</v>
      </c>
      <c r="C3551" s="715" t="s">
        <v>165</v>
      </c>
      <c r="D3551" s="715" t="s">
        <v>40839</v>
      </c>
      <c r="E3551" s="716">
        <v>120.63</v>
      </c>
    </row>
    <row r="3552" spans="1:5" ht="29">
      <c r="A3552" s="715">
        <v>41457</v>
      </c>
      <c r="B3552" s="633" t="s">
        <v>38008</v>
      </c>
      <c r="C3552" s="715" t="s">
        <v>103</v>
      </c>
      <c r="D3552" s="715" t="s">
        <v>40839</v>
      </c>
      <c r="E3552" s="716">
        <v>1526.95</v>
      </c>
    </row>
    <row r="3553" spans="1:5" ht="29">
      <c r="A3553" s="715">
        <v>41458</v>
      </c>
      <c r="B3553" s="633" t="s">
        <v>38009</v>
      </c>
      <c r="C3553" s="715" t="s">
        <v>103</v>
      </c>
      <c r="D3553" s="715" t="s">
        <v>40839</v>
      </c>
      <c r="E3553" s="716">
        <v>2131.6999999999998</v>
      </c>
    </row>
    <row r="3554" spans="1:5" ht="29">
      <c r="A3554" s="715">
        <v>41459</v>
      </c>
      <c r="B3554" s="633" t="s">
        <v>38010</v>
      </c>
      <c r="C3554" s="715" t="s">
        <v>103</v>
      </c>
      <c r="D3554" s="715" t="s">
        <v>40839</v>
      </c>
      <c r="E3554" s="716">
        <v>2973.55</v>
      </c>
    </row>
    <row r="3555" spans="1:5" ht="29">
      <c r="A3555" s="715">
        <v>41461</v>
      </c>
      <c r="B3555" s="633" t="s">
        <v>38011</v>
      </c>
      <c r="C3555" s="715" t="s">
        <v>103</v>
      </c>
      <c r="D3555" s="715" t="s">
        <v>40839</v>
      </c>
      <c r="E3555" s="716">
        <v>4054.29</v>
      </c>
    </row>
    <row r="3556" spans="1:5">
      <c r="A3556" s="715">
        <v>44537</v>
      </c>
      <c r="B3556" s="633" t="s">
        <v>41067</v>
      </c>
      <c r="C3556" s="715" t="s">
        <v>118</v>
      </c>
      <c r="D3556" s="715" t="s">
        <v>40839</v>
      </c>
      <c r="E3556" s="716">
        <v>346.27</v>
      </c>
    </row>
    <row r="3557" spans="1:5" ht="29">
      <c r="A3557" s="715">
        <v>11844</v>
      </c>
      <c r="B3557" s="633" t="s">
        <v>38012</v>
      </c>
      <c r="C3557" s="715" t="s">
        <v>165</v>
      </c>
      <c r="D3557" s="715" t="s">
        <v>40839</v>
      </c>
      <c r="E3557" s="716">
        <v>66.56</v>
      </c>
    </row>
    <row r="3558" spans="1:5" ht="29">
      <c r="A3558" s="715">
        <v>4465</v>
      </c>
      <c r="B3558" s="633" t="s">
        <v>38013</v>
      </c>
      <c r="C3558" s="715" t="s">
        <v>165</v>
      </c>
      <c r="D3558" s="715" t="s">
        <v>40839</v>
      </c>
      <c r="E3558" s="716">
        <v>55.31</v>
      </c>
    </row>
    <row r="3559" spans="1:5" ht="29">
      <c r="A3559" s="715">
        <v>35273</v>
      </c>
      <c r="B3559" s="633" t="s">
        <v>38014</v>
      </c>
      <c r="C3559" s="715" t="s">
        <v>165</v>
      </c>
      <c r="D3559" s="715" t="s">
        <v>40839</v>
      </c>
      <c r="E3559" s="716">
        <v>66.34</v>
      </c>
    </row>
    <row r="3560" spans="1:5" ht="29">
      <c r="A3560" s="715">
        <v>4470</v>
      </c>
      <c r="B3560" s="633" t="s">
        <v>38015</v>
      </c>
      <c r="C3560" s="715" t="s">
        <v>165</v>
      </c>
      <c r="D3560" s="715" t="s">
        <v>40839</v>
      </c>
      <c r="E3560" s="716">
        <v>153.09</v>
      </c>
    </row>
    <row r="3561" spans="1:5" ht="29">
      <c r="A3561" s="715">
        <v>20204</v>
      </c>
      <c r="B3561" s="633" t="s">
        <v>38016</v>
      </c>
      <c r="C3561" s="715" t="s">
        <v>165</v>
      </c>
      <c r="D3561" s="715" t="s">
        <v>40839</v>
      </c>
      <c r="E3561" s="716">
        <v>102.06</v>
      </c>
    </row>
    <row r="3562" spans="1:5" ht="29">
      <c r="A3562" s="715">
        <v>20208</v>
      </c>
      <c r="B3562" s="633" t="s">
        <v>38017</v>
      </c>
      <c r="C3562" s="715" t="s">
        <v>165</v>
      </c>
      <c r="D3562" s="715" t="s">
        <v>40839</v>
      </c>
      <c r="E3562" s="716">
        <v>137.78</v>
      </c>
    </row>
    <row r="3563" spans="1:5" ht="29">
      <c r="A3563" s="715">
        <v>4437</v>
      </c>
      <c r="B3563" s="633" t="s">
        <v>38018</v>
      </c>
      <c r="C3563" s="715" t="s">
        <v>165</v>
      </c>
      <c r="D3563" s="715" t="s">
        <v>40839</v>
      </c>
      <c r="E3563" s="716">
        <v>114.82</v>
      </c>
    </row>
    <row r="3564" spans="1:5" ht="29">
      <c r="A3564" s="715">
        <v>14580</v>
      </c>
      <c r="B3564" s="633" t="s">
        <v>38019</v>
      </c>
      <c r="C3564" s="715" t="s">
        <v>165</v>
      </c>
      <c r="D3564" s="715" t="s">
        <v>40839</v>
      </c>
      <c r="E3564" s="716">
        <v>114.82</v>
      </c>
    </row>
    <row r="3565" spans="1:5">
      <c r="A3565" s="715">
        <v>5065</v>
      </c>
      <c r="B3565" s="633" t="s">
        <v>38020</v>
      </c>
      <c r="C3565" s="715" t="s">
        <v>207</v>
      </c>
      <c r="D3565" s="715" t="s">
        <v>40839</v>
      </c>
      <c r="E3565" s="716">
        <v>21.73</v>
      </c>
    </row>
    <row r="3566" spans="1:5">
      <c r="A3566" s="715">
        <v>5072</v>
      </c>
      <c r="B3566" s="633" t="s">
        <v>38021</v>
      </c>
      <c r="C3566" s="715" t="s">
        <v>207</v>
      </c>
      <c r="D3566" s="715" t="s">
        <v>40839</v>
      </c>
      <c r="E3566" s="716">
        <v>20.100000000000001</v>
      </c>
    </row>
    <row r="3567" spans="1:5">
      <c r="A3567" s="715">
        <v>5066</v>
      </c>
      <c r="B3567" s="633" t="s">
        <v>38022</v>
      </c>
      <c r="C3567" s="715" t="s">
        <v>207</v>
      </c>
      <c r="D3567" s="715" t="s">
        <v>40839</v>
      </c>
      <c r="E3567" s="716">
        <v>15.05</v>
      </c>
    </row>
    <row r="3568" spans="1:5">
      <c r="A3568" s="715">
        <v>5063</v>
      </c>
      <c r="B3568" s="633" t="s">
        <v>38023</v>
      </c>
      <c r="C3568" s="715" t="s">
        <v>207</v>
      </c>
      <c r="D3568" s="715" t="s">
        <v>40839</v>
      </c>
      <c r="E3568" s="716">
        <v>13.63</v>
      </c>
    </row>
    <row r="3569" spans="1:5">
      <c r="A3569" s="715">
        <v>20247</v>
      </c>
      <c r="B3569" s="633" t="s">
        <v>38024</v>
      </c>
      <c r="C3569" s="715" t="s">
        <v>207</v>
      </c>
      <c r="D3569" s="715" t="s">
        <v>40839</v>
      </c>
      <c r="E3569" s="716">
        <v>12.65</v>
      </c>
    </row>
    <row r="3570" spans="1:5">
      <c r="A3570" s="715">
        <v>5074</v>
      </c>
      <c r="B3570" s="633" t="s">
        <v>38025</v>
      </c>
      <c r="C3570" s="715" t="s">
        <v>207</v>
      </c>
      <c r="D3570" s="715" t="s">
        <v>40839</v>
      </c>
      <c r="E3570" s="716">
        <v>12.8</v>
      </c>
    </row>
    <row r="3571" spans="1:5">
      <c r="A3571" s="715">
        <v>5067</v>
      </c>
      <c r="B3571" s="633" t="s">
        <v>38026</v>
      </c>
      <c r="C3571" s="715" t="s">
        <v>207</v>
      </c>
      <c r="D3571" s="715" t="s">
        <v>40839</v>
      </c>
      <c r="E3571" s="716">
        <v>12.17</v>
      </c>
    </row>
    <row r="3572" spans="1:5">
      <c r="A3572" s="715">
        <v>5078</v>
      </c>
      <c r="B3572" s="633" t="s">
        <v>38027</v>
      </c>
      <c r="C3572" s="715" t="s">
        <v>207</v>
      </c>
      <c r="D3572" s="715" t="s">
        <v>40839</v>
      </c>
      <c r="E3572" s="716">
        <v>12.03</v>
      </c>
    </row>
    <row r="3573" spans="1:5">
      <c r="A3573" s="715">
        <v>5068</v>
      </c>
      <c r="B3573" s="633" t="s">
        <v>38028</v>
      </c>
      <c r="C3573" s="715" t="s">
        <v>207</v>
      </c>
      <c r="D3573" s="715" t="s">
        <v>40839</v>
      </c>
      <c r="E3573" s="716">
        <v>11.42</v>
      </c>
    </row>
    <row r="3574" spans="1:5">
      <c r="A3574" s="715">
        <v>5073</v>
      </c>
      <c r="B3574" s="633" t="s">
        <v>38029</v>
      </c>
      <c r="C3574" s="715" t="s">
        <v>207</v>
      </c>
      <c r="D3574" s="715" t="s">
        <v>40839</v>
      </c>
      <c r="E3574" s="716">
        <v>11.64</v>
      </c>
    </row>
    <row r="3575" spans="1:5">
      <c r="A3575" s="715">
        <v>5069</v>
      </c>
      <c r="B3575" s="633" t="s">
        <v>38030</v>
      </c>
      <c r="C3575" s="715" t="s">
        <v>207</v>
      </c>
      <c r="D3575" s="715" t="s">
        <v>40839</v>
      </c>
      <c r="E3575" s="716">
        <v>11.64</v>
      </c>
    </row>
    <row r="3576" spans="1:5">
      <c r="A3576" s="715">
        <v>5070</v>
      </c>
      <c r="B3576" s="633" t="s">
        <v>38031</v>
      </c>
      <c r="C3576" s="715" t="s">
        <v>207</v>
      </c>
      <c r="D3576" s="715" t="s">
        <v>40839</v>
      </c>
      <c r="E3576" s="716">
        <v>11.77</v>
      </c>
    </row>
    <row r="3577" spans="1:5">
      <c r="A3577" s="715">
        <v>5071</v>
      </c>
      <c r="B3577" s="633" t="s">
        <v>38032</v>
      </c>
      <c r="C3577" s="715" t="s">
        <v>207</v>
      </c>
      <c r="D3577" s="715" t="s">
        <v>40839</v>
      </c>
      <c r="E3577" s="716">
        <v>11.42</v>
      </c>
    </row>
    <row r="3578" spans="1:5">
      <c r="A3578" s="715">
        <v>5061</v>
      </c>
      <c r="B3578" s="633" t="s">
        <v>38033</v>
      </c>
      <c r="C3578" s="715" t="s">
        <v>207</v>
      </c>
      <c r="D3578" s="715" t="s">
        <v>28018</v>
      </c>
      <c r="E3578" s="716">
        <v>11.23</v>
      </c>
    </row>
    <row r="3579" spans="1:5">
      <c r="A3579" s="715">
        <v>5075</v>
      </c>
      <c r="B3579" s="633" t="s">
        <v>38034</v>
      </c>
      <c r="C3579" s="715" t="s">
        <v>207</v>
      </c>
      <c r="D3579" s="715" t="s">
        <v>40839</v>
      </c>
      <c r="E3579" s="716">
        <v>11.42</v>
      </c>
    </row>
    <row r="3580" spans="1:5">
      <c r="A3580" s="715">
        <v>5062</v>
      </c>
      <c r="B3580" s="633" t="s">
        <v>38035</v>
      </c>
      <c r="C3580" s="715" t="s">
        <v>207</v>
      </c>
      <c r="D3580" s="715" t="s">
        <v>40839</v>
      </c>
      <c r="E3580" s="716">
        <v>11.57</v>
      </c>
    </row>
    <row r="3581" spans="1:5">
      <c r="A3581" s="715">
        <v>39027</v>
      </c>
      <c r="B3581" s="633" t="s">
        <v>41068</v>
      </c>
      <c r="C3581" s="715" t="s">
        <v>207</v>
      </c>
      <c r="D3581" s="715" t="s">
        <v>40839</v>
      </c>
      <c r="E3581" s="716">
        <v>11.41</v>
      </c>
    </row>
    <row r="3582" spans="1:5">
      <c r="A3582" s="715">
        <v>40568</v>
      </c>
      <c r="B3582" s="633" t="s">
        <v>38036</v>
      </c>
      <c r="C3582" s="715" t="s">
        <v>207</v>
      </c>
      <c r="D3582" s="715" t="s">
        <v>40839</v>
      </c>
      <c r="E3582" s="716">
        <v>11.51</v>
      </c>
    </row>
    <row r="3583" spans="1:5">
      <c r="A3583" s="715">
        <v>40304</v>
      </c>
      <c r="B3583" s="633" t="s">
        <v>38037</v>
      </c>
      <c r="C3583" s="715" t="s">
        <v>207</v>
      </c>
      <c r="D3583" s="715" t="s">
        <v>40839</v>
      </c>
      <c r="E3583" s="716">
        <v>14.1</v>
      </c>
    </row>
    <row r="3584" spans="1:5">
      <c r="A3584" s="715">
        <v>39026</v>
      </c>
      <c r="B3584" s="633" t="s">
        <v>38038</v>
      </c>
      <c r="C3584" s="715" t="s">
        <v>207</v>
      </c>
      <c r="D3584" s="715" t="s">
        <v>40839</v>
      </c>
      <c r="E3584" s="716">
        <v>12.84</v>
      </c>
    </row>
    <row r="3585" spans="1:5" ht="43">
      <c r="A3585" s="715">
        <v>42431</v>
      </c>
      <c r="B3585" s="633" t="s">
        <v>38039</v>
      </c>
      <c r="C3585" s="715" t="s">
        <v>103</v>
      </c>
      <c r="D3585" s="715" t="s">
        <v>40839</v>
      </c>
      <c r="E3585" s="716">
        <v>3957.85</v>
      </c>
    </row>
    <row r="3586" spans="1:5">
      <c r="A3586" s="715">
        <v>44074</v>
      </c>
      <c r="B3586" s="633" t="s">
        <v>38040</v>
      </c>
      <c r="C3586" s="715" t="s">
        <v>153</v>
      </c>
      <c r="D3586" s="715" t="s">
        <v>40839</v>
      </c>
      <c r="E3586" s="716">
        <v>553.09</v>
      </c>
    </row>
    <row r="3587" spans="1:5">
      <c r="A3587" s="715">
        <v>44072</v>
      </c>
      <c r="B3587" s="633" t="s">
        <v>38041</v>
      </c>
      <c r="C3587" s="715" t="s">
        <v>153</v>
      </c>
      <c r="D3587" s="715" t="s">
        <v>40839</v>
      </c>
      <c r="E3587" s="716">
        <v>142.24</v>
      </c>
    </row>
    <row r="3588" spans="1:5" ht="29">
      <c r="A3588" s="715">
        <v>511</v>
      </c>
      <c r="B3588" s="633" t="s">
        <v>38042</v>
      </c>
      <c r="C3588" s="715" t="s">
        <v>153</v>
      </c>
      <c r="D3588" s="715" t="s">
        <v>28018</v>
      </c>
      <c r="E3588" s="716">
        <v>18.5</v>
      </c>
    </row>
    <row r="3589" spans="1:5" ht="29">
      <c r="A3589" s="715">
        <v>37540</v>
      </c>
      <c r="B3589" s="633" t="s">
        <v>38043</v>
      </c>
      <c r="C3589" s="715" t="s">
        <v>103</v>
      </c>
      <c r="D3589" s="715" t="s">
        <v>40839</v>
      </c>
      <c r="E3589" s="716">
        <v>85026.64</v>
      </c>
    </row>
    <row r="3590" spans="1:5" ht="29">
      <c r="A3590" s="715">
        <v>37548</v>
      </c>
      <c r="B3590" s="633" t="s">
        <v>38044</v>
      </c>
      <c r="C3590" s="715" t="s">
        <v>103</v>
      </c>
      <c r="D3590" s="715" t="s">
        <v>40839</v>
      </c>
      <c r="E3590" s="716">
        <v>112702.38</v>
      </c>
    </row>
    <row r="3591" spans="1:5" ht="29">
      <c r="A3591" s="715">
        <v>39828</v>
      </c>
      <c r="B3591" s="633" t="s">
        <v>38045</v>
      </c>
      <c r="C3591" s="715" t="s">
        <v>103</v>
      </c>
      <c r="D3591" s="715" t="s">
        <v>40839</v>
      </c>
      <c r="E3591" s="716">
        <v>676.1</v>
      </c>
    </row>
    <row r="3592" spans="1:5" ht="29">
      <c r="A3592" s="715">
        <v>38392</v>
      </c>
      <c r="B3592" s="633" t="s">
        <v>38046</v>
      </c>
      <c r="C3592" s="715" t="s">
        <v>103</v>
      </c>
      <c r="D3592" s="715" t="s">
        <v>40839</v>
      </c>
      <c r="E3592" s="716">
        <v>65.58</v>
      </c>
    </row>
    <row r="3593" spans="1:5" ht="29">
      <c r="A3593" s="715">
        <v>11735</v>
      </c>
      <c r="B3593" s="633" t="s">
        <v>38047</v>
      </c>
      <c r="C3593" s="715" t="s">
        <v>103</v>
      </c>
      <c r="D3593" s="715" t="s">
        <v>40839</v>
      </c>
      <c r="E3593" s="716">
        <v>9.9700000000000006</v>
      </c>
    </row>
    <row r="3594" spans="1:5" ht="29">
      <c r="A3594" s="715">
        <v>11737</v>
      </c>
      <c r="B3594" s="633" t="s">
        <v>38048</v>
      </c>
      <c r="C3594" s="715" t="s">
        <v>103</v>
      </c>
      <c r="D3594" s="715" t="s">
        <v>40839</v>
      </c>
      <c r="E3594" s="716">
        <v>14.14</v>
      </c>
    </row>
    <row r="3595" spans="1:5" ht="29">
      <c r="A3595" s="715">
        <v>11738</v>
      </c>
      <c r="B3595" s="633" t="s">
        <v>38049</v>
      </c>
      <c r="C3595" s="715" t="s">
        <v>103</v>
      </c>
      <c r="D3595" s="715" t="s">
        <v>40839</v>
      </c>
      <c r="E3595" s="716">
        <v>17.82</v>
      </c>
    </row>
    <row r="3596" spans="1:5" ht="29">
      <c r="A3596" s="715">
        <v>36143</v>
      </c>
      <c r="B3596" s="633" t="s">
        <v>38050</v>
      </c>
      <c r="C3596" s="715" t="s">
        <v>103</v>
      </c>
      <c r="D3596" s="715" t="s">
        <v>40839</v>
      </c>
      <c r="E3596" s="716">
        <v>90.6</v>
      </c>
    </row>
    <row r="3597" spans="1:5" ht="29">
      <c r="A3597" s="715">
        <v>36142</v>
      </c>
      <c r="B3597" s="633" t="s">
        <v>38051</v>
      </c>
      <c r="C3597" s="715" t="s">
        <v>103</v>
      </c>
      <c r="D3597" s="715" t="s">
        <v>40839</v>
      </c>
      <c r="E3597" s="716">
        <v>2.2400000000000002</v>
      </c>
    </row>
    <row r="3598" spans="1:5" ht="29">
      <c r="A3598" s="715">
        <v>45227</v>
      </c>
      <c r="B3598" s="633" t="s">
        <v>41069</v>
      </c>
      <c r="C3598" s="715" t="s">
        <v>103</v>
      </c>
      <c r="D3598" s="715" t="s">
        <v>40839</v>
      </c>
      <c r="E3598" s="716">
        <v>863.35</v>
      </c>
    </row>
    <row r="3599" spans="1:5">
      <c r="A3599" s="715">
        <v>45209</v>
      </c>
      <c r="B3599" s="633" t="s">
        <v>40871</v>
      </c>
      <c r="C3599" s="715" t="s">
        <v>103</v>
      </c>
      <c r="D3599" s="715" t="s">
        <v>40839</v>
      </c>
      <c r="E3599" s="716">
        <v>37.82</v>
      </c>
    </row>
    <row r="3600" spans="1:5">
      <c r="A3600" s="715">
        <v>36146</v>
      </c>
      <c r="B3600" s="633" t="s">
        <v>38052</v>
      </c>
      <c r="C3600" s="715" t="s">
        <v>103</v>
      </c>
      <c r="D3600" s="715" t="s">
        <v>40839</v>
      </c>
      <c r="E3600" s="716">
        <v>239.75</v>
      </c>
    </row>
    <row r="3601" spans="1:5" ht="29">
      <c r="A3601" s="715">
        <v>39015</v>
      </c>
      <c r="B3601" s="633" t="s">
        <v>38053</v>
      </c>
      <c r="C3601" s="715" t="s">
        <v>103</v>
      </c>
      <c r="D3601" s="715" t="s">
        <v>28018</v>
      </c>
      <c r="E3601" s="716">
        <v>0.98</v>
      </c>
    </row>
    <row r="3602" spans="1:5" ht="29">
      <c r="A3602" s="715">
        <v>38377</v>
      </c>
      <c r="B3602" s="633" t="s">
        <v>38054</v>
      </c>
      <c r="C3602" s="715" t="s">
        <v>103</v>
      </c>
      <c r="D3602" s="715" t="s">
        <v>40839</v>
      </c>
      <c r="E3602" s="716">
        <v>32.1</v>
      </c>
    </row>
    <row r="3603" spans="1:5">
      <c r="A3603" s="715">
        <v>38376</v>
      </c>
      <c r="B3603" s="633" t="s">
        <v>38055</v>
      </c>
      <c r="C3603" s="715" t="s">
        <v>103</v>
      </c>
      <c r="D3603" s="715" t="s">
        <v>40839</v>
      </c>
      <c r="E3603" s="716">
        <v>37.119999999999997</v>
      </c>
    </row>
    <row r="3604" spans="1:5">
      <c r="A3604" s="715">
        <v>38116</v>
      </c>
      <c r="B3604" s="633" t="s">
        <v>38056</v>
      </c>
      <c r="C3604" s="715" t="s">
        <v>103</v>
      </c>
      <c r="D3604" s="715" t="s">
        <v>40839</v>
      </c>
      <c r="E3604" s="716">
        <v>6.42</v>
      </c>
    </row>
    <row r="3605" spans="1:5" ht="29">
      <c r="A3605" s="715">
        <v>38066</v>
      </c>
      <c r="B3605" s="633" t="s">
        <v>38057</v>
      </c>
      <c r="C3605" s="715" t="s">
        <v>103</v>
      </c>
      <c r="D3605" s="715" t="s">
        <v>40839</v>
      </c>
      <c r="E3605" s="716">
        <v>10.6</v>
      </c>
    </row>
    <row r="3606" spans="1:5">
      <c r="A3606" s="715">
        <v>38117</v>
      </c>
      <c r="B3606" s="633" t="s">
        <v>38058</v>
      </c>
      <c r="C3606" s="715" t="s">
        <v>103</v>
      </c>
      <c r="D3606" s="715" t="s">
        <v>40839</v>
      </c>
      <c r="E3606" s="716">
        <v>10.93</v>
      </c>
    </row>
    <row r="3607" spans="1:5" ht="29">
      <c r="A3607" s="715">
        <v>38067</v>
      </c>
      <c r="B3607" s="633" t="s">
        <v>38059</v>
      </c>
      <c r="C3607" s="715" t="s">
        <v>103</v>
      </c>
      <c r="D3607" s="715" t="s">
        <v>40839</v>
      </c>
      <c r="E3607" s="716">
        <v>14.92</v>
      </c>
    </row>
    <row r="3608" spans="1:5">
      <c r="A3608" s="715">
        <v>44313</v>
      </c>
      <c r="B3608" s="633" t="s">
        <v>38060</v>
      </c>
      <c r="C3608" s="715" t="s">
        <v>103</v>
      </c>
      <c r="D3608" s="715" t="s">
        <v>40839</v>
      </c>
      <c r="E3608" s="716">
        <v>976.39</v>
      </c>
    </row>
    <row r="3609" spans="1:5" ht="29">
      <c r="A3609" s="715">
        <v>11522</v>
      </c>
      <c r="B3609" s="633" t="s">
        <v>38061</v>
      </c>
      <c r="C3609" s="715" t="s">
        <v>103</v>
      </c>
      <c r="D3609" s="715" t="s">
        <v>40839</v>
      </c>
      <c r="E3609" s="716">
        <v>12.98</v>
      </c>
    </row>
    <row r="3610" spans="1:5" ht="29">
      <c r="A3610" s="715">
        <v>43600</v>
      </c>
      <c r="B3610" s="633" t="s">
        <v>38062</v>
      </c>
      <c r="C3610" s="715" t="s">
        <v>103</v>
      </c>
      <c r="D3610" s="715" t="s">
        <v>40839</v>
      </c>
      <c r="E3610" s="716">
        <v>52.02</v>
      </c>
    </row>
    <row r="3611" spans="1:5" ht="29">
      <c r="A3611" s="715">
        <v>5080</v>
      </c>
      <c r="B3611" s="633" t="s">
        <v>38063</v>
      </c>
      <c r="C3611" s="715" t="s">
        <v>103</v>
      </c>
      <c r="D3611" s="715" t="s">
        <v>40839</v>
      </c>
      <c r="E3611" s="716">
        <v>20.28</v>
      </c>
    </row>
    <row r="3612" spans="1:5" ht="29">
      <c r="A3612" s="715">
        <v>38168</v>
      </c>
      <c r="B3612" s="633" t="s">
        <v>38064</v>
      </c>
      <c r="C3612" s="715" t="s">
        <v>103</v>
      </c>
      <c r="D3612" s="715" t="s">
        <v>40839</v>
      </c>
      <c r="E3612" s="716">
        <v>141.62</v>
      </c>
    </row>
    <row r="3613" spans="1:5" ht="29">
      <c r="A3613" s="715">
        <v>43601</v>
      </c>
      <c r="B3613" s="633" t="s">
        <v>38065</v>
      </c>
      <c r="C3613" s="715" t="s">
        <v>103</v>
      </c>
      <c r="D3613" s="715" t="s">
        <v>40839</v>
      </c>
      <c r="E3613" s="716">
        <v>70.81</v>
      </c>
    </row>
    <row r="3614" spans="1:5" ht="29">
      <c r="A3614" s="715">
        <v>13393</v>
      </c>
      <c r="B3614" s="633" t="s">
        <v>38066</v>
      </c>
      <c r="C3614" s="715" t="s">
        <v>103</v>
      </c>
      <c r="D3614" s="715" t="s">
        <v>40839</v>
      </c>
      <c r="E3614" s="716">
        <v>318.12</v>
      </c>
    </row>
    <row r="3615" spans="1:5" ht="29">
      <c r="A3615" s="715">
        <v>13395</v>
      </c>
      <c r="B3615" s="633" t="s">
        <v>38067</v>
      </c>
      <c r="C3615" s="715" t="s">
        <v>103</v>
      </c>
      <c r="D3615" s="715" t="s">
        <v>40839</v>
      </c>
      <c r="E3615" s="716">
        <v>445.82</v>
      </c>
    </row>
    <row r="3616" spans="1:5" ht="29">
      <c r="A3616" s="715">
        <v>12039</v>
      </c>
      <c r="B3616" s="633" t="s">
        <v>38068</v>
      </c>
      <c r="C3616" s="715" t="s">
        <v>103</v>
      </c>
      <c r="D3616" s="715" t="s">
        <v>40839</v>
      </c>
      <c r="E3616" s="716">
        <v>468.51</v>
      </c>
    </row>
    <row r="3617" spans="1:5" ht="29">
      <c r="A3617" s="715">
        <v>13396</v>
      </c>
      <c r="B3617" s="633" t="s">
        <v>38069</v>
      </c>
      <c r="C3617" s="715" t="s">
        <v>103</v>
      </c>
      <c r="D3617" s="715" t="s">
        <v>40839</v>
      </c>
      <c r="E3617" s="716">
        <v>657.99</v>
      </c>
    </row>
    <row r="3618" spans="1:5" ht="29">
      <c r="A3618" s="715">
        <v>12041</v>
      </c>
      <c r="B3618" s="633" t="s">
        <v>38070</v>
      </c>
      <c r="C3618" s="715" t="s">
        <v>103</v>
      </c>
      <c r="D3618" s="715" t="s">
        <v>40839</v>
      </c>
      <c r="E3618" s="716">
        <v>537.29</v>
      </c>
    </row>
    <row r="3619" spans="1:5" ht="29">
      <c r="A3619" s="715">
        <v>12043</v>
      </c>
      <c r="B3619" s="633" t="s">
        <v>38071</v>
      </c>
      <c r="C3619" s="715" t="s">
        <v>103</v>
      </c>
      <c r="D3619" s="715" t="s">
        <v>40839</v>
      </c>
      <c r="E3619" s="716">
        <v>1134.4000000000001</v>
      </c>
    </row>
    <row r="3620" spans="1:5" ht="29">
      <c r="A3620" s="715">
        <v>39762</v>
      </c>
      <c r="B3620" s="633" t="s">
        <v>38072</v>
      </c>
      <c r="C3620" s="715" t="s">
        <v>103</v>
      </c>
      <c r="D3620" s="715" t="s">
        <v>40839</v>
      </c>
      <c r="E3620" s="716">
        <v>540</v>
      </c>
    </row>
    <row r="3621" spans="1:5" ht="29">
      <c r="A3621" s="715">
        <v>12042</v>
      </c>
      <c r="B3621" s="633" t="s">
        <v>38073</v>
      </c>
      <c r="C3621" s="715" t="s">
        <v>103</v>
      </c>
      <c r="D3621" s="715" t="s">
        <v>40839</v>
      </c>
      <c r="E3621" s="716">
        <v>788.39</v>
      </c>
    </row>
    <row r="3622" spans="1:5" ht="29">
      <c r="A3622" s="715">
        <v>39763</v>
      </c>
      <c r="B3622" s="633" t="s">
        <v>38074</v>
      </c>
      <c r="C3622" s="715" t="s">
        <v>103</v>
      </c>
      <c r="D3622" s="715" t="s">
        <v>40839</v>
      </c>
      <c r="E3622" s="716">
        <v>922.7</v>
      </c>
    </row>
    <row r="3623" spans="1:5" ht="29">
      <c r="A3623" s="715">
        <v>39760</v>
      </c>
      <c r="B3623" s="633" t="s">
        <v>38075</v>
      </c>
      <c r="C3623" s="715" t="s">
        <v>103</v>
      </c>
      <c r="D3623" s="715" t="s">
        <v>40839</v>
      </c>
      <c r="E3623" s="716">
        <v>919.67</v>
      </c>
    </row>
    <row r="3624" spans="1:5" ht="29">
      <c r="A3624" s="715">
        <v>39756</v>
      </c>
      <c r="B3624" s="633" t="s">
        <v>38076</v>
      </c>
      <c r="C3624" s="715" t="s">
        <v>103</v>
      </c>
      <c r="D3624" s="715" t="s">
        <v>40839</v>
      </c>
      <c r="E3624" s="716">
        <v>330.22</v>
      </c>
    </row>
    <row r="3625" spans="1:5" ht="29">
      <c r="A3625" s="715">
        <v>12038</v>
      </c>
      <c r="B3625" s="633" t="s">
        <v>38077</v>
      </c>
      <c r="C3625" s="715" t="s">
        <v>103</v>
      </c>
      <c r="D3625" s="715" t="s">
        <v>40839</v>
      </c>
      <c r="E3625" s="716">
        <v>412.61</v>
      </c>
    </row>
    <row r="3626" spans="1:5" ht="29">
      <c r="A3626" s="715">
        <v>39757</v>
      </c>
      <c r="B3626" s="633" t="s">
        <v>38078</v>
      </c>
      <c r="C3626" s="715" t="s">
        <v>103</v>
      </c>
      <c r="D3626" s="715" t="s">
        <v>40839</v>
      </c>
      <c r="E3626" s="716">
        <v>381.54</v>
      </c>
    </row>
    <row r="3627" spans="1:5" ht="29">
      <c r="A3627" s="715">
        <v>39758</v>
      </c>
      <c r="B3627" s="633" t="s">
        <v>38079</v>
      </c>
      <c r="C3627" s="715" t="s">
        <v>103</v>
      </c>
      <c r="D3627" s="715" t="s">
        <v>40839</v>
      </c>
      <c r="E3627" s="716">
        <v>556.04</v>
      </c>
    </row>
    <row r="3628" spans="1:5" ht="29">
      <c r="A3628" s="715">
        <v>39759</v>
      </c>
      <c r="B3628" s="633" t="s">
        <v>38080</v>
      </c>
      <c r="C3628" s="715" t="s">
        <v>103</v>
      </c>
      <c r="D3628" s="715" t="s">
        <v>40839</v>
      </c>
      <c r="E3628" s="716">
        <v>686.72</v>
      </c>
    </row>
    <row r="3629" spans="1:5" ht="29">
      <c r="A3629" s="715">
        <v>39761</v>
      </c>
      <c r="B3629" s="633" t="s">
        <v>38081</v>
      </c>
      <c r="C3629" s="715" t="s">
        <v>103</v>
      </c>
      <c r="D3629" s="715" t="s">
        <v>40839</v>
      </c>
      <c r="E3629" s="716">
        <v>825.45</v>
      </c>
    </row>
    <row r="3630" spans="1:5" ht="29">
      <c r="A3630" s="715">
        <v>39805</v>
      </c>
      <c r="B3630" s="633" t="s">
        <v>38082</v>
      </c>
      <c r="C3630" s="715" t="s">
        <v>103</v>
      </c>
      <c r="D3630" s="715" t="s">
        <v>40839</v>
      </c>
      <c r="E3630" s="716">
        <v>136.58000000000001</v>
      </c>
    </row>
    <row r="3631" spans="1:5" ht="29">
      <c r="A3631" s="715">
        <v>39806</v>
      </c>
      <c r="B3631" s="633" t="s">
        <v>38083</v>
      </c>
      <c r="C3631" s="715" t="s">
        <v>103</v>
      </c>
      <c r="D3631" s="715" t="s">
        <v>40839</v>
      </c>
      <c r="E3631" s="716">
        <v>253.05</v>
      </c>
    </row>
    <row r="3632" spans="1:5" ht="29">
      <c r="A3632" s="715">
        <v>39807</v>
      </c>
      <c r="B3632" s="633" t="s">
        <v>38084</v>
      </c>
      <c r="C3632" s="715" t="s">
        <v>103</v>
      </c>
      <c r="D3632" s="715" t="s">
        <v>40839</v>
      </c>
      <c r="E3632" s="716">
        <v>548.41999999999996</v>
      </c>
    </row>
    <row r="3633" spans="1:5" ht="29">
      <c r="A3633" s="715">
        <v>43100</v>
      </c>
      <c r="B3633" s="633" t="s">
        <v>38085</v>
      </c>
      <c r="C3633" s="715" t="s">
        <v>103</v>
      </c>
      <c r="D3633" s="715" t="s">
        <v>40839</v>
      </c>
      <c r="E3633" s="716">
        <v>428.75</v>
      </c>
    </row>
    <row r="3634" spans="1:5" ht="29">
      <c r="A3634" s="715">
        <v>39804</v>
      </c>
      <c r="B3634" s="633" t="s">
        <v>38086</v>
      </c>
      <c r="C3634" s="715" t="s">
        <v>103</v>
      </c>
      <c r="D3634" s="715" t="s">
        <v>40839</v>
      </c>
      <c r="E3634" s="716">
        <v>80.2</v>
      </c>
    </row>
    <row r="3635" spans="1:5" ht="29">
      <c r="A3635" s="715">
        <v>39796</v>
      </c>
      <c r="B3635" s="633" t="s">
        <v>38087</v>
      </c>
      <c r="C3635" s="715" t="s">
        <v>103</v>
      </c>
      <c r="D3635" s="715" t="s">
        <v>40839</v>
      </c>
      <c r="E3635" s="716">
        <v>83.07</v>
      </c>
    </row>
    <row r="3636" spans="1:5" ht="29">
      <c r="A3636" s="715">
        <v>39797</v>
      </c>
      <c r="B3636" s="633" t="s">
        <v>38088</v>
      </c>
      <c r="C3636" s="715" t="s">
        <v>103</v>
      </c>
      <c r="D3636" s="715" t="s">
        <v>28018</v>
      </c>
      <c r="E3636" s="716">
        <v>130.4</v>
      </c>
    </row>
    <row r="3637" spans="1:5" ht="29">
      <c r="A3637" s="715">
        <v>39798</v>
      </c>
      <c r="B3637" s="633" t="s">
        <v>38089</v>
      </c>
      <c r="C3637" s="715" t="s">
        <v>103</v>
      </c>
      <c r="D3637" s="715" t="s">
        <v>40839</v>
      </c>
      <c r="E3637" s="716">
        <v>223.68</v>
      </c>
    </row>
    <row r="3638" spans="1:5" ht="29">
      <c r="A3638" s="715">
        <v>39794</v>
      </c>
      <c r="B3638" s="633" t="s">
        <v>38090</v>
      </c>
      <c r="C3638" s="715" t="s">
        <v>103</v>
      </c>
      <c r="D3638" s="715" t="s">
        <v>40839</v>
      </c>
      <c r="E3638" s="716">
        <v>35.26</v>
      </c>
    </row>
    <row r="3639" spans="1:5" ht="29">
      <c r="A3639" s="715">
        <v>39795</v>
      </c>
      <c r="B3639" s="633" t="s">
        <v>38091</v>
      </c>
      <c r="C3639" s="715" t="s">
        <v>103</v>
      </c>
      <c r="D3639" s="715" t="s">
        <v>40839</v>
      </c>
      <c r="E3639" s="716">
        <v>55.7</v>
      </c>
    </row>
    <row r="3640" spans="1:5" ht="29">
      <c r="A3640" s="715">
        <v>39801</v>
      </c>
      <c r="B3640" s="633" t="s">
        <v>38092</v>
      </c>
      <c r="C3640" s="715" t="s">
        <v>103</v>
      </c>
      <c r="D3640" s="715" t="s">
        <v>40839</v>
      </c>
      <c r="E3640" s="716">
        <v>117.63</v>
      </c>
    </row>
    <row r="3641" spans="1:5" ht="29">
      <c r="A3641" s="715">
        <v>39802</v>
      </c>
      <c r="B3641" s="633" t="s">
        <v>38093</v>
      </c>
      <c r="C3641" s="715" t="s">
        <v>103</v>
      </c>
      <c r="D3641" s="715" t="s">
        <v>40839</v>
      </c>
      <c r="E3641" s="716">
        <v>172.42</v>
      </c>
    </row>
    <row r="3642" spans="1:5" ht="29">
      <c r="A3642" s="715">
        <v>39803</v>
      </c>
      <c r="B3642" s="633" t="s">
        <v>38094</v>
      </c>
      <c r="C3642" s="715" t="s">
        <v>103</v>
      </c>
      <c r="D3642" s="715" t="s">
        <v>40839</v>
      </c>
      <c r="E3642" s="716">
        <v>240.53</v>
      </c>
    </row>
    <row r="3643" spans="1:5" ht="29">
      <c r="A3643" s="715">
        <v>39799</v>
      </c>
      <c r="B3643" s="633" t="s">
        <v>38095</v>
      </c>
      <c r="C3643" s="715" t="s">
        <v>103</v>
      </c>
      <c r="D3643" s="715" t="s">
        <v>40839</v>
      </c>
      <c r="E3643" s="716">
        <v>41.1</v>
      </c>
    </row>
    <row r="3644" spans="1:5" ht="29">
      <c r="A3644" s="715">
        <v>39800</v>
      </c>
      <c r="B3644" s="633" t="s">
        <v>38096</v>
      </c>
      <c r="C3644" s="715" t="s">
        <v>103</v>
      </c>
      <c r="D3644" s="715" t="s">
        <v>40839</v>
      </c>
      <c r="E3644" s="716">
        <v>70.010000000000005</v>
      </c>
    </row>
    <row r="3645" spans="1:5">
      <c r="A3645" s="715">
        <v>43837</v>
      </c>
      <c r="B3645" s="633" t="s">
        <v>38097</v>
      </c>
      <c r="C3645" s="715" t="s">
        <v>103</v>
      </c>
      <c r="D3645" s="715" t="s">
        <v>40839</v>
      </c>
      <c r="E3645" s="716">
        <v>1139.79</v>
      </c>
    </row>
    <row r="3646" spans="1:5">
      <c r="A3646" s="715">
        <v>43836</v>
      </c>
      <c r="B3646" s="633" t="s">
        <v>38098</v>
      </c>
      <c r="C3646" s="715" t="s">
        <v>103</v>
      </c>
      <c r="D3646" s="715" t="s">
        <v>40839</v>
      </c>
      <c r="E3646" s="716">
        <v>2319.2800000000002</v>
      </c>
    </row>
    <row r="3647" spans="1:5">
      <c r="A3647" s="715">
        <v>21059</v>
      </c>
      <c r="B3647" s="633" t="s">
        <v>38099</v>
      </c>
      <c r="C3647" s="715" t="s">
        <v>103</v>
      </c>
      <c r="D3647" s="715" t="s">
        <v>40839</v>
      </c>
      <c r="E3647" s="716">
        <v>52.15</v>
      </c>
    </row>
    <row r="3648" spans="1:5">
      <c r="A3648" s="715">
        <v>11234</v>
      </c>
      <c r="B3648" s="633" t="s">
        <v>38100</v>
      </c>
      <c r="C3648" s="715" t="s">
        <v>103</v>
      </c>
      <c r="D3648" s="715" t="s">
        <v>40839</v>
      </c>
      <c r="E3648" s="716">
        <v>78.599999999999994</v>
      </c>
    </row>
    <row r="3649" spans="1:5">
      <c r="A3649" s="715">
        <v>21060</v>
      </c>
      <c r="B3649" s="633" t="s">
        <v>38101</v>
      </c>
      <c r="C3649" s="715" t="s">
        <v>103</v>
      </c>
      <c r="D3649" s="715" t="s">
        <v>40839</v>
      </c>
      <c r="E3649" s="716">
        <v>96.74</v>
      </c>
    </row>
    <row r="3650" spans="1:5">
      <c r="A3650" s="715">
        <v>21061</v>
      </c>
      <c r="B3650" s="633" t="s">
        <v>38102</v>
      </c>
      <c r="C3650" s="715" t="s">
        <v>103</v>
      </c>
      <c r="D3650" s="715" t="s">
        <v>40839</v>
      </c>
      <c r="E3650" s="716">
        <v>120.93</v>
      </c>
    </row>
    <row r="3651" spans="1:5">
      <c r="A3651" s="715">
        <v>21062</v>
      </c>
      <c r="B3651" s="633" t="s">
        <v>38103</v>
      </c>
      <c r="C3651" s="715" t="s">
        <v>103</v>
      </c>
      <c r="D3651" s="715" t="s">
        <v>40839</v>
      </c>
      <c r="E3651" s="716">
        <v>190.46</v>
      </c>
    </row>
    <row r="3652" spans="1:5">
      <c r="A3652" s="715">
        <v>11708</v>
      </c>
      <c r="B3652" s="633" t="s">
        <v>38104</v>
      </c>
      <c r="C3652" s="715" t="s">
        <v>103</v>
      </c>
      <c r="D3652" s="715" t="s">
        <v>40839</v>
      </c>
      <c r="E3652" s="716">
        <v>20.78</v>
      </c>
    </row>
    <row r="3653" spans="1:5">
      <c r="A3653" s="715">
        <v>11709</v>
      </c>
      <c r="B3653" s="633" t="s">
        <v>38105</v>
      </c>
      <c r="C3653" s="715" t="s">
        <v>103</v>
      </c>
      <c r="D3653" s="715" t="s">
        <v>40839</v>
      </c>
      <c r="E3653" s="716">
        <v>48.82</v>
      </c>
    </row>
    <row r="3654" spans="1:5">
      <c r="A3654" s="715">
        <v>11710</v>
      </c>
      <c r="B3654" s="633" t="s">
        <v>38106</v>
      </c>
      <c r="C3654" s="715" t="s">
        <v>103</v>
      </c>
      <c r="D3654" s="715" t="s">
        <v>40839</v>
      </c>
      <c r="E3654" s="716">
        <v>112.23</v>
      </c>
    </row>
    <row r="3655" spans="1:5">
      <c r="A3655" s="715">
        <v>11707</v>
      </c>
      <c r="B3655" s="633" t="s">
        <v>38107</v>
      </c>
      <c r="C3655" s="715" t="s">
        <v>103</v>
      </c>
      <c r="D3655" s="715" t="s">
        <v>40839</v>
      </c>
      <c r="E3655" s="716">
        <v>15.56</v>
      </c>
    </row>
    <row r="3656" spans="1:5" ht="29">
      <c r="A3656" s="715">
        <v>5102</v>
      </c>
      <c r="B3656" s="633" t="s">
        <v>38108</v>
      </c>
      <c r="C3656" s="715" t="s">
        <v>103</v>
      </c>
      <c r="D3656" s="715" t="s">
        <v>40839</v>
      </c>
      <c r="E3656" s="716">
        <v>14.01</v>
      </c>
    </row>
    <row r="3657" spans="1:5">
      <c r="A3657" s="715">
        <v>11711</v>
      </c>
      <c r="B3657" s="633" t="s">
        <v>38109</v>
      </c>
      <c r="C3657" s="715" t="s">
        <v>103</v>
      </c>
      <c r="D3657" s="715" t="s">
        <v>40839</v>
      </c>
      <c r="E3657" s="716">
        <v>11.67</v>
      </c>
    </row>
    <row r="3658" spans="1:5">
      <c r="A3658" s="715">
        <v>11739</v>
      </c>
      <c r="B3658" s="633" t="s">
        <v>38110</v>
      </c>
      <c r="C3658" s="715" t="s">
        <v>103</v>
      </c>
      <c r="D3658" s="715" t="s">
        <v>40839</v>
      </c>
      <c r="E3658" s="716">
        <v>9.98</v>
      </c>
    </row>
    <row r="3659" spans="1:5">
      <c r="A3659" s="715">
        <v>11741</v>
      </c>
      <c r="B3659" s="633" t="s">
        <v>38111</v>
      </c>
      <c r="C3659" s="715" t="s">
        <v>103</v>
      </c>
      <c r="D3659" s="715" t="s">
        <v>40839</v>
      </c>
      <c r="E3659" s="716">
        <v>12.71</v>
      </c>
    </row>
    <row r="3660" spans="1:5" ht="29">
      <c r="A3660" s="715">
        <v>11745</v>
      </c>
      <c r="B3660" s="633" t="s">
        <v>38112</v>
      </c>
      <c r="C3660" s="715" t="s">
        <v>103</v>
      </c>
      <c r="D3660" s="715" t="s">
        <v>40839</v>
      </c>
      <c r="E3660" s="716">
        <v>16.75</v>
      </c>
    </row>
    <row r="3661" spans="1:5">
      <c r="A3661" s="715">
        <v>11743</v>
      </c>
      <c r="B3661" s="633" t="s">
        <v>38113</v>
      </c>
      <c r="C3661" s="715" t="s">
        <v>103</v>
      </c>
      <c r="D3661" s="715" t="s">
        <v>40839</v>
      </c>
      <c r="E3661" s="716">
        <v>10.67</v>
      </c>
    </row>
    <row r="3662" spans="1:5" ht="29">
      <c r="A3662" s="715">
        <v>5104</v>
      </c>
      <c r="B3662" s="633" t="s">
        <v>38114</v>
      </c>
      <c r="C3662" s="715" t="s">
        <v>207</v>
      </c>
      <c r="D3662" s="715" t="s">
        <v>40839</v>
      </c>
      <c r="E3662" s="716">
        <v>75.69</v>
      </c>
    </row>
    <row r="3663" spans="1:5">
      <c r="A3663" s="715">
        <v>44530</v>
      </c>
      <c r="B3663" s="633" t="s">
        <v>38115</v>
      </c>
      <c r="C3663" s="715" t="s">
        <v>103</v>
      </c>
      <c r="D3663" s="715" t="s">
        <v>40839</v>
      </c>
      <c r="E3663" s="716">
        <v>69.64</v>
      </c>
    </row>
    <row r="3664" spans="1:5" ht="29">
      <c r="A3664" s="715">
        <v>2710</v>
      </c>
      <c r="B3664" s="633" t="s">
        <v>38116</v>
      </c>
      <c r="C3664" s="715" t="s">
        <v>103</v>
      </c>
      <c r="D3664" s="715" t="s">
        <v>40839</v>
      </c>
      <c r="E3664" s="716">
        <v>60.1</v>
      </c>
    </row>
    <row r="3665" spans="1:5" ht="29">
      <c r="A3665" s="715">
        <v>14575</v>
      </c>
      <c r="B3665" s="633" t="s">
        <v>38117</v>
      </c>
      <c r="C3665" s="715" t="s">
        <v>103</v>
      </c>
      <c r="D3665" s="715" t="s">
        <v>40839</v>
      </c>
      <c r="E3665" s="716">
        <v>5313209.97</v>
      </c>
    </row>
    <row r="3666" spans="1:5" ht="29">
      <c r="A3666" s="715">
        <v>44048</v>
      </c>
      <c r="B3666" s="633" t="s">
        <v>41357</v>
      </c>
      <c r="C3666" s="715" t="s">
        <v>103</v>
      </c>
      <c r="D3666" s="715" t="s">
        <v>40839</v>
      </c>
      <c r="E3666" s="716">
        <v>80.22</v>
      </c>
    </row>
    <row r="3667" spans="1:5" ht="29">
      <c r="A3667" s="715">
        <v>44026</v>
      </c>
      <c r="B3667" s="633" t="s">
        <v>41358</v>
      </c>
      <c r="C3667" s="715" t="s">
        <v>103</v>
      </c>
      <c r="D3667" s="715" t="s">
        <v>40839</v>
      </c>
      <c r="E3667" s="716">
        <v>99.62</v>
      </c>
    </row>
    <row r="3668" spans="1:5" ht="43">
      <c r="A3668" s="715">
        <v>44024</v>
      </c>
      <c r="B3668" s="633" t="s">
        <v>41359</v>
      </c>
      <c r="C3668" s="715" t="s">
        <v>103</v>
      </c>
      <c r="D3668" s="715" t="s">
        <v>40839</v>
      </c>
      <c r="E3668" s="716">
        <v>47.95</v>
      </c>
    </row>
    <row r="3669" spans="1:5" ht="29">
      <c r="A3669" s="715">
        <v>44025</v>
      </c>
      <c r="B3669" s="633" t="s">
        <v>41360</v>
      </c>
      <c r="C3669" s="715" t="s">
        <v>103</v>
      </c>
      <c r="D3669" s="715" t="s">
        <v>40839</v>
      </c>
      <c r="E3669" s="716">
        <v>55.9</v>
      </c>
    </row>
    <row r="3670" spans="1:5" ht="43">
      <c r="A3670" s="715">
        <v>44022</v>
      </c>
      <c r="B3670" s="633" t="s">
        <v>41361</v>
      </c>
      <c r="C3670" s="715" t="s">
        <v>103</v>
      </c>
      <c r="D3670" s="715" t="s">
        <v>40839</v>
      </c>
      <c r="E3670" s="716">
        <v>28.55</v>
      </c>
    </row>
    <row r="3671" spans="1:5" ht="43">
      <c r="A3671" s="715">
        <v>44023</v>
      </c>
      <c r="B3671" s="633" t="s">
        <v>41362</v>
      </c>
      <c r="C3671" s="715" t="s">
        <v>103</v>
      </c>
      <c r="D3671" s="715" t="s">
        <v>40839</v>
      </c>
      <c r="E3671" s="716">
        <v>38.65</v>
      </c>
    </row>
    <row r="3672" spans="1:5" ht="29">
      <c r="A3672" s="715">
        <v>43966</v>
      </c>
      <c r="B3672" s="633" t="s">
        <v>41363</v>
      </c>
      <c r="C3672" s="715" t="s">
        <v>103</v>
      </c>
      <c r="D3672" s="715" t="s">
        <v>40839</v>
      </c>
      <c r="E3672" s="716">
        <v>9.65</v>
      </c>
    </row>
    <row r="3673" spans="1:5" ht="43">
      <c r="A3673" s="715">
        <v>43967</v>
      </c>
      <c r="B3673" s="633" t="s">
        <v>41364</v>
      </c>
      <c r="C3673" s="715" t="s">
        <v>103</v>
      </c>
      <c r="D3673" s="715" t="s">
        <v>40839</v>
      </c>
      <c r="E3673" s="716">
        <v>11.22</v>
      </c>
    </row>
    <row r="3674" spans="1:5" ht="43">
      <c r="A3674" s="715">
        <v>43968</v>
      </c>
      <c r="B3674" s="633" t="s">
        <v>41365</v>
      </c>
      <c r="C3674" s="715" t="s">
        <v>103</v>
      </c>
      <c r="D3674" s="715" t="s">
        <v>40839</v>
      </c>
      <c r="E3674" s="716">
        <v>12.51</v>
      </c>
    </row>
    <row r="3675" spans="1:5" ht="43">
      <c r="A3675" s="715">
        <v>43969</v>
      </c>
      <c r="B3675" s="633" t="s">
        <v>41366</v>
      </c>
      <c r="C3675" s="715" t="s">
        <v>103</v>
      </c>
      <c r="D3675" s="715" t="s">
        <v>40839</v>
      </c>
      <c r="E3675" s="716">
        <v>14.71</v>
      </c>
    </row>
    <row r="3676" spans="1:5" ht="43">
      <c r="A3676" s="715">
        <v>44021</v>
      </c>
      <c r="B3676" s="633" t="s">
        <v>41367</v>
      </c>
      <c r="C3676" s="715" t="s">
        <v>103</v>
      </c>
      <c r="D3676" s="715" t="s">
        <v>40839</v>
      </c>
      <c r="E3676" s="716">
        <v>16.87</v>
      </c>
    </row>
    <row r="3677" spans="1:5" ht="29">
      <c r="A3677" s="715">
        <v>43970</v>
      </c>
      <c r="B3677" s="633" t="s">
        <v>41368</v>
      </c>
      <c r="C3677" s="715" t="s">
        <v>103</v>
      </c>
      <c r="D3677" s="715" t="s">
        <v>40839</v>
      </c>
      <c r="E3677" s="716">
        <v>8.56</v>
      </c>
    </row>
    <row r="3678" spans="1:5">
      <c r="A3678" s="715">
        <v>20043</v>
      </c>
      <c r="B3678" s="633" t="s">
        <v>38118</v>
      </c>
      <c r="C3678" s="715" t="s">
        <v>103</v>
      </c>
      <c r="D3678" s="715" t="s">
        <v>40839</v>
      </c>
      <c r="E3678" s="716">
        <v>10.79</v>
      </c>
    </row>
    <row r="3679" spans="1:5">
      <c r="A3679" s="715">
        <v>20044</v>
      </c>
      <c r="B3679" s="633" t="s">
        <v>38119</v>
      </c>
      <c r="C3679" s="715" t="s">
        <v>103</v>
      </c>
      <c r="D3679" s="715" t="s">
        <v>40839</v>
      </c>
      <c r="E3679" s="716">
        <v>12.51</v>
      </c>
    </row>
    <row r="3680" spans="1:5">
      <c r="A3680" s="715">
        <v>20042</v>
      </c>
      <c r="B3680" s="633" t="s">
        <v>38120</v>
      </c>
      <c r="C3680" s="715" t="s">
        <v>103</v>
      </c>
      <c r="D3680" s="715" t="s">
        <v>40839</v>
      </c>
      <c r="E3680" s="716">
        <v>9.36</v>
      </c>
    </row>
    <row r="3681" spans="1:5">
      <c r="A3681" s="715">
        <v>20046</v>
      </c>
      <c r="B3681" s="633" t="s">
        <v>38121</v>
      </c>
      <c r="C3681" s="715" t="s">
        <v>103</v>
      </c>
      <c r="D3681" s="715" t="s">
        <v>40839</v>
      </c>
      <c r="E3681" s="716">
        <v>22.15</v>
      </c>
    </row>
    <row r="3682" spans="1:5">
      <c r="A3682" s="715">
        <v>20047</v>
      </c>
      <c r="B3682" s="633" t="s">
        <v>38122</v>
      </c>
      <c r="C3682" s="715" t="s">
        <v>103</v>
      </c>
      <c r="D3682" s="715" t="s">
        <v>40839</v>
      </c>
      <c r="E3682" s="716">
        <v>66.430000000000007</v>
      </c>
    </row>
    <row r="3683" spans="1:5">
      <c r="A3683" s="715">
        <v>20045</v>
      </c>
      <c r="B3683" s="633" t="s">
        <v>38123</v>
      </c>
      <c r="C3683" s="715" t="s">
        <v>103</v>
      </c>
      <c r="D3683" s="715" t="s">
        <v>40839</v>
      </c>
      <c r="E3683" s="716">
        <v>11.21</v>
      </c>
    </row>
    <row r="3684" spans="1:5" ht="29">
      <c r="A3684" s="715">
        <v>20972</v>
      </c>
      <c r="B3684" s="633" t="s">
        <v>38124</v>
      </c>
      <c r="C3684" s="715" t="s">
        <v>103</v>
      </c>
      <c r="D3684" s="715" t="s">
        <v>40839</v>
      </c>
      <c r="E3684" s="716">
        <v>247.85</v>
      </c>
    </row>
    <row r="3685" spans="1:5">
      <c r="A3685" s="715">
        <v>11321</v>
      </c>
      <c r="B3685" s="633" t="s">
        <v>38125</v>
      </c>
      <c r="C3685" s="715" t="s">
        <v>103</v>
      </c>
      <c r="D3685" s="715" t="s">
        <v>40839</v>
      </c>
      <c r="E3685" s="716">
        <v>36.19</v>
      </c>
    </row>
    <row r="3686" spans="1:5">
      <c r="A3686" s="715">
        <v>11323</v>
      </c>
      <c r="B3686" s="633" t="s">
        <v>38126</v>
      </c>
      <c r="C3686" s="715" t="s">
        <v>103</v>
      </c>
      <c r="D3686" s="715" t="s">
        <v>40839</v>
      </c>
      <c r="E3686" s="716">
        <v>41.63</v>
      </c>
    </row>
    <row r="3687" spans="1:5">
      <c r="A3687" s="715">
        <v>20327</v>
      </c>
      <c r="B3687" s="633" t="s">
        <v>38127</v>
      </c>
      <c r="C3687" s="715" t="s">
        <v>103</v>
      </c>
      <c r="D3687" s="715" t="s">
        <v>40839</v>
      </c>
      <c r="E3687" s="716">
        <v>23.62</v>
      </c>
    </row>
    <row r="3688" spans="1:5">
      <c r="A3688" s="715">
        <v>6034</v>
      </c>
      <c r="B3688" s="633" t="s">
        <v>38128</v>
      </c>
      <c r="C3688" s="715" t="s">
        <v>103</v>
      </c>
      <c r="D3688" s="715" t="s">
        <v>40839</v>
      </c>
      <c r="E3688" s="716">
        <v>12.43</v>
      </c>
    </row>
    <row r="3689" spans="1:5">
      <c r="A3689" s="715">
        <v>6036</v>
      </c>
      <c r="B3689" s="633" t="s">
        <v>38129</v>
      </c>
      <c r="C3689" s="715" t="s">
        <v>103</v>
      </c>
      <c r="D3689" s="715" t="s">
        <v>40839</v>
      </c>
      <c r="E3689" s="716">
        <v>16.93</v>
      </c>
    </row>
    <row r="3690" spans="1:5">
      <c r="A3690" s="715">
        <v>6031</v>
      </c>
      <c r="B3690" s="633" t="s">
        <v>38130</v>
      </c>
      <c r="C3690" s="715" t="s">
        <v>103</v>
      </c>
      <c r="D3690" s="715" t="s">
        <v>28018</v>
      </c>
      <c r="E3690" s="716">
        <v>19.899999999999999</v>
      </c>
    </row>
    <row r="3691" spans="1:5">
      <c r="A3691" s="715">
        <v>6029</v>
      </c>
      <c r="B3691" s="633" t="s">
        <v>38131</v>
      </c>
      <c r="C3691" s="715" t="s">
        <v>103</v>
      </c>
      <c r="D3691" s="715" t="s">
        <v>40839</v>
      </c>
      <c r="E3691" s="716">
        <v>20.11</v>
      </c>
    </row>
    <row r="3692" spans="1:5">
      <c r="A3692" s="715">
        <v>6033</v>
      </c>
      <c r="B3692" s="633" t="s">
        <v>38132</v>
      </c>
      <c r="C3692" s="715" t="s">
        <v>103</v>
      </c>
      <c r="D3692" s="715" t="s">
        <v>40839</v>
      </c>
      <c r="E3692" s="716">
        <v>26.5</v>
      </c>
    </row>
    <row r="3693" spans="1:5" ht="29">
      <c r="A3693" s="715">
        <v>11672</v>
      </c>
      <c r="B3693" s="633" t="s">
        <v>38133</v>
      </c>
      <c r="C3693" s="715" t="s">
        <v>103</v>
      </c>
      <c r="D3693" s="715" t="s">
        <v>40839</v>
      </c>
      <c r="E3693" s="716">
        <v>57.66</v>
      </c>
    </row>
    <row r="3694" spans="1:5" ht="29">
      <c r="A3694" s="715">
        <v>11669</v>
      </c>
      <c r="B3694" s="633" t="s">
        <v>38134</v>
      </c>
      <c r="C3694" s="715" t="s">
        <v>103</v>
      </c>
      <c r="D3694" s="715" t="s">
        <v>40839</v>
      </c>
      <c r="E3694" s="716">
        <v>54.91</v>
      </c>
    </row>
    <row r="3695" spans="1:5" ht="29">
      <c r="A3695" s="715">
        <v>20055</v>
      </c>
      <c r="B3695" s="633" t="s">
        <v>38135</v>
      </c>
      <c r="C3695" s="715" t="s">
        <v>103</v>
      </c>
      <c r="D3695" s="715" t="s">
        <v>40839</v>
      </c>
      <c r="E3695" s="716">
        <v>41.12</v>
      </c>
    </row>
    <row r="3696" spans="1:5" ht="29">
      <c r="A3696" s="715">
        <v>11670</v>
      </c>
      <c r="B3696" s="633" t="s">
        <v>38136</v>
      </c>
      <c r="C3696" s="715" t="s">
        <v>103</v>
      </c>
      <c r="D3696" s="715" t="s">
        <v>40839</v>
      </c>
      <c r="E3696" s="716">
        <v>21.03</v>
      </c>
    </row>
    <row r="3697" spans="1:5" ht="29">
      <c r="A3697" s="715">
        <v>11671</v>
      </c>
      <c r="B3697" s="633" t="s">
        <v>38137</v>
      </c>
      <c r="C3697" s="715" t="s">
        <v>103</v>
      </c>
      <c r="D3697" s="715" t="s">
        <v>40839</v>
      </c>
      <c r="E3697" s="716">
        <v>88.24</v>
      </c>
    </row>
    <row r="3698" spans="1:5" ht="29">
      <c r="A3698" s="715">
        <v>6032</v>
      </c>
      <c r="B3698" s="633" t="s">
        <v>38138</v>
      </c>
      <c r="C3698" s="715" t="s">
        <v>103</v>
      </c>
      <c r="D3698" s="715" t="s">
        <v>40839</v>
      </c>
      <c r="E3698" s="716">
        <v>25.2</v>
      </c>
    </row>
    <row r="3699" spans="1:5" ht="29">
      <c r="A3699" s="715">
        <v>11673</v>
      </c>
      <c r="B3699" s="633" t="s">
        <v>38139</v>
      </c>
      <c r="C3699" s="715" t="s">
        <v>103</v>
      </c>
      <c r="D3699" s="715" t="s">
        <v>40839</v>
      </c>
      <c r="E3699" s="716">
        <v>19.850000000000001</v>
      </c>
    </row>
    <row r="3700" spans="1:5" ht="29">
      <c r="A3700" s="715">
        <v>11674</v>
      </c>
      <c r="B3700" s="633" t="s">
        <v>38140</v>
      </c>
      <c r="C3700" s="715" t="s">
        <v>103</v>
      </c>
      <c r="D3700" s="715" t="s">
        <v>40839</v>
      </c>
      <c r="E3700" s="716">
        <v>25.56</v>
      </c>
    </row>
    <row r="3701" spans="1:5" ht="29">
      <c r="A3701" s="715">
        <v>11675</v>
      </c>
      <c r="B3701" s="633" t="s">
        <v>38141</v>
      </c>
      <c r="C3701" s="715" t="s">
        <v>103</v>
      </c>
      <c r="D3701" s="715" t="s">
        <v>40839</v>
      </c>
      <c r="E3701" s="716">
        <v>40.58</v>
      </c>
    </row>
    <row r="3702" spans="1:5" ht="29">
      <c r="A3702" s="715">
        <v>11676</v>
      </c>
      <c r="B3702" s="633" t="s">
        <v>38142</v>
      </c>
      <c r="C3702" s="715" t="s">
        <v>103</v>
      </c>
      <c r="D3702" s="715" t="s">
        <v>40839</v>
      </c>
      <c r="E3702" s="716">
        <v>54.27</v>
      </c>
    </row>
    <row r="3703" spans="1:5" ht="29">
      <c r="A3703" s="715">
        <v>11677</v>
      </c>
      <c r="B3703" s="633" t="s">
        <v>38143</v>
      </c>
      <c r="C3703" s="715" t="s">
        <v>103</v>
      </c>
      <c r="D3703" s="715" t="s">
        <v>40839</v>
      </c>
      <c r="E3703" s="716">
        <v>56.05</v>
      </c>
    </row>
    <row r="3704" spans="1:5" ht="29">
      <c r="A3704" s="715">
        <v>11678</v>
      </c>
      <c r="B3704" s="633" t="s">
        <v>38144</v>
      </c>
      <c r="C3704" s="715" t="s">
        <v>103</v>
      </c>
      <c r="D3704" s="715" t="s">
        <v>40839</v>
      </c>
      <c r="E3704" s="716">
        <v>102.65</v>
      </c>
    </row>
    <row r="3705" spans="1:5">
      <c r="A3705" s="715">
        <v>6038</v>
      </c>
      <c r="B3705" s="633" t="s">
        <v>38145</v>
      </c>
      <c r="C3705" s="715" t="s">
        <v>103</v>
      </c>
      <c r="D3705" s="715" t="s">
        <v>40839</v>
      </c>
      <c r="E3705" s="716">
        <v>6.51</v>
      </c>
    </row>
    <row r="3706" spans="1:5">
      <c r="A3706" s="715">
        <v>11718</v>
      </c>
      <c r="B3706" s="633" t="s">
        <v>38146</v>
      </c>
      <c r="C3706" s="715" t="s">
        <v>103</v>
      </c>
      <c r="D3706" s="715" t="s">
        <v>40839</v>
      </c>
      <c r="E3706" s="716">
        <v>18.57</v>
      </c>
    </row>
    <row r="3707" spans="1:5">
      <c r="A3707" s="715">
        <v>6037</v>
      </c>
      <c r="B3707" s="633" t="s">
        <v>38147</v>
      </c>
      <c r="C3707" s="715" t="s">
        <v>103</v>
      </c>
      <c r="D3707" s="715" t="s">
        <v>40839</v>
      </c>
      <c r="E3707" s="716">
        <v>13.55</v>
      </c>
    </row>
    <row r="3708" spans="1:5">
      <c r="A3708" s="715">
        <v>11719</v>
      </c>
      <c r="B3708" s="633" t="s">
        <v>38148</v>
      </c>
      <c r="C3708" s="715" t="s">
        <v>103</v>
      </c>
      <c r="D3708" s="715" t="s">
        <v>40839</v>
      </c>
      <c r="E3708" s="716">
        <v>15.06</v>
      </c>
    </row>
    <row r="3709" spans="1:5">
      <c r="A3709" s="715">
        <v>6010</v>
      </c>
      <c r="B3709" s="633" t="s">
        <v>38149</v>
      </c>
      <c r="C3709" s="715" t="s">
        <v>103</v>
      </c>
      <c r="D3709" s="715" t="s">
        <v>40839</v>
      </c>
      <c r="E3709" s="716">
        <v>82.27</v>
      </c>
    </row>
    <row r="3710" spans="1:5">
      <c r="A3710" s="715">
        <v>6017</v>
      </c>
      <c r="B3710" s="633" t="s">
        <v>38150</v>
      </c>
      <c r="C3710" s="715" t="s">
        <v>103</v>
      </c>
      <c r="D3710" s="715" t="s">
        <v>40839</v>
      </c>
      <c r="E3710" s="716">
        <v>65.16</v>
      </c>
    </row>
    <row r="3711" spans="1:5">
      <c r="A3711" s="715">
        <v>6019</v>
      </c>
      <c r="B3711" s="633" t="s">
        <v>38151</v>
      </c>
      <c r="C3711" s="715" t="s">
        <v>103</v>
      </c>
      <c r="D3711" s="715" t="s">
        <v>40839</v>
      </c>
      <c r="E3711" s="716">
        <v>47.81</v>
      </c>
    </row>
    <row r="3712" spans="1:5">
      <c r="A3712" s="715">
        <v>6020</v>
      </c>
      <c r="B3712" s="633" t="s">
        <v>38152</v>
      </c>
      <c r="C3712" s="715" t="s">
        <v>103</v>
      </c>
      <c r="D3712" s="715" t="s">
        <v>40839</v>
      </c>
      <c r="E3712" s="716">
        <v>28.72</v>
      </c>
    </row>
    <row r="3713" spans="1:5">
      <c r="A3713" s="715">
        <v>6011</v>
      </c>
      <c r="B3713" s="633" t="s">
        <v>38153</v>
      </c>
      <c r="C3713" s="715" t="s">
        <v>103</v>
      </c>
      <c r="D3713" s="715" t="s">
        <v>40839</v>
      </c>
      <c r="E3713" s="716">
        <v>237.65</v>
      </c>
    </row>
    <row r="3714" spans="1:5">
      <c r="A3714" s="715">
        <v>6028</v>
      </c>
      <c r="B3714" s="633" t="s">
        <v>38154</v>
      </c>
      <c r="C3714" s="715" t="s">
        <v>103</v>
      </c>
      <c r="D3714" s="715" t="s">
        <v>40839</v>
      </c>
      <c r="E3714" s="716">
        <v>114.59</v>
      </c>
    </row>
    <row r="3715" spans="1:5">
      <c r="A3715" s="715">
        <v>6012</v>
      </c>
      <c r="B3715" s="633" t="s">
        <v>38155</v>
      </c>
      <c r="C3715" s="715" t="s">
        <v>103</v>
      </c>
      <c r="D3715" s="715" t="s">
        <v>40839</v>
      </c>
      <c r="E3715" s="716">
        <v>287.72000000000003</v>
      </c>
    </row>
    <row r="3716" spans="1:5">
      <c r="A3716" s="715">
        <v>6016</v>
      </c>
      <c r="B3716" s="633" t="s">
        <v>38156</v>
      </c>
      <c r="C3716" s="715" t="s">
        <v>103</v>
      </c>
      <c r="D3716" s="715" t="s">
        <v>40839</v>
      </c>
      <c r="E3716" s="716">
        <v>30.29</v>
      </c>
    </row>
    <row r="3717" spans="1:5">
      <c r="A3717" s="715">
        <v>6027</v>
      </c>
      <c r="B3717" s="633" t="s">
        <v>38157</v>
      </c>
      <c r="C3717" s="715" t="s">
        <v>103</v>
      </c>
      <c r="D3717" s="715" t="s">
        <v>40839</v>
      </c>
      <c r="E3717" s="716">
        <v>599.5</v>
      </c>
    </row>
    <row r="3718" spans="1:5">
      <c r="A3718" s="715">
        <v>6015</v>
      </c>
      <c r="B3718" s="633" t="s">
        <v>38158</v>
      </c>
      <c r="C3718" s="715" t="s">
        <v>103</v>
      </c>
      <c r="D3718" s="715" t="s">
        <v>40839</v>
      </c>
      <c r="E3718" s="716">
        <v>131.55000000000001</v>
      </c>
    </row>
    <row r="3719" spans="1:5">
      <c r="A3719" s="715">
        <v>6014</v>
      </c>
      <c r="B3719" s="633" t="s">
        <v>38159</v>
      </c>
      <c r="C3719" s="715" t="s">
        <v>103</v>
      </c>
      <c r="D3719" s="715" t="s">
        <v>40839</v>
      </c>
      <c r="E3719" s="716">
        <v>125.77</v>
      </c>
    </row>
    <row r="3720" spans="1:5">
      <c r="A3720" s="715">
        <v>6013</v>
      </c>
      <c r="B3720" s="633" t="s">
        <v>38160</v>
      </c>
      <c r="C3720" s="715" t="s">
        <v>103</v>
      </c>
      <c r="D3720" s="715" t="s">
        <v>40839</v>
      </c>
      <c r="E3720" s="716">
        <v>90.46</v>
      </c>
    </row>
    <row r="3721" spans="1:5">
      <c r="A3721" s="715">
        <v>6006</v>
      </c>
      <c r="B3721" s="633" t="s">
        <v>38161</v>
      </c>
      <c r="C3721" s="715" t="s">
        <v>103</v>
      </c>
      <c r="D3721" s="715" t="s">
        <v>40839</v>
      </c>
      <c r="E3721" s="716">
        <v>65.510000000000005</v>
      </c>
    </row>
    <row r="3722" spans="1:5">
      <c r="A3722" s="715">
        <v>6005</v>
      </c>
      <c r="B3722" s="633" t="s">
        <v>38162</v>
      </c>
      <c r="C3722" s="715" t="s">
        <v>103</v>
      </c>
      <c r="D3722" s="715" t="s">
        <v>28018</v>
      </c>
      <c r="E3722" s="716">
        <v>73.900000000000006</v>
      </c>
    </row>
    <row r="3723" spans="1:5">
      <c r="A3723" s="715">
        <v>11756</v>
      </c>
      <c r="B3723" s="633" t="s">
        <v>38163</v>
      </c>
      <c r="C3723" s="715" t="s">
        <v>103</v>
      </c>
      <c r="D3723" s="715" t="s">
        <v>40839</v>
      </c>
      <c r="E3723" s="716">
        <v>35.29</v>
      </c>
    </row>
    <row r="3724" spans="1:5" ht="43">
      <c r="A3724" s="715">
        <v>10904</v>
      </c>
      <c r="B3724" s="633" t="s">
        <v>38164</v>
      </c>
      <c r="C3724" s="715" t="s">
        <v>103</v>
      </c>
      <c r="D3724" s="715" t="s">
        <v>28018</v>
      </c>
      <c r="E3724" s="716">
        <v>347</v>
      </c>
    </row>
    <row r="3725" spans="1:5">
      <c r="A3725" s="715">
        <v>11752</v>
      </c>
      <c r="B3725" s="633" t="s">
        <v>38165</v>
      </c>
      <c r="C3725" s="715" t="s">
        <v>103</v>
      </c>
      <c r="D3725" s="715" t="s">
        <v>40839</v>
      </c>
      <c r="E3725" s="716">
        <v>20.350000000000001</v>
      </c>
    </row>
    <row r="3726" spans="1:5">
      <c r="A3726" s="715">
        <v>11753</v>
      </c>
      <c r="B3726" s="633" t="s">
        <v>38166</v>
      </c>
      <c r="C3726" s="715" t="s">
        <v>103</v>
      </c>
      <c r="D3726" s="715" t="s">
        <v>40839</v>
      </c>
      <c r="E3726" s="716">
        <v>24.3</v>
      </c>
    </row>
    <row r="3727" spans="1:5">
      <c r="A3727" s="715">
        <v>6021</v>
      </c>
      <c r="B3727" s="633" t="s">
        <v>38167</v>
      </c>
      <c r="C3727" s="715" t="s">
        <v>103</v>
      </c>
      <c r="D3727" s="715" t="s">
        <v>40839</v>
      </c>
      <c r="E3727" s="716">
        <v>67.430000000000007</v>
      </c>
    </row>
    <row r="3728" spans="1:5">
      <c r="A3728" s="715">
        <v>6024</v>
      </c>
      <c r="B3728" s="633" t="s">
        <v>38168</v>
      </c>
      <c r="C3728" s="715" t="s">
        <v>103</v>
      </c>
      <c r="D3728" s="715" t="s">
        <v>40839</v>
      </c>
      <c r="E3728" s="716">
        <v>69.7</v>
      </c>
    </row>
    <row r="3729" spans="1:5">
      <c r="A3729" s="715">
        <v>45394</v>
      </c>
      <c r="B3729" s="633" t="s">
        <v>38169</v>
      </c>
      <c r="C3729" s="715" t="s">
        <v>103</v>
      </c>
      <c r="D3729" s="715" t="s">
        <v>40839</v>
      </c>
      <c r="E3729" s="716">
        <v>40.86</v>
      </c>
    </row>
    <row r="3730" spans="1:5" ht="29">
      <c r="A3730" s="715">
        <v>13897</v>
      </c>
      <c r="B3730" s="633" t="s">
        <v>38170</v>
      </c>
      <c r="C3730" s="715" t="s">
        <v>103</v>
      </c>
      <c r="D3730" s="715" t="s">
        <v>40839</v>
      </c>
      <c r="E3730" s="716">
        <v>8234.7999999999993</v>
      </c>
    </row>
    <row r="3731" spans="1:5">
      <c r="A3731" s="715">
        <v>34357</v>
      </c>
      <c r="B3731" s="633" t="s">
        <v>38171</v>
      </c>
      <c r="C3731" s="715" t="s">
        <v>207</v>
      </c>
      <c r="D3731" s="715" t="s">
        <v>40839</v>
      </c>
      <c r="E3731" s="716">
        <v>4.6900000000000004</v>
      </c>
    </row>
    <row r="3732" spans="1:5">
      <c r="A3732" s="715">
        <v>37329</v>
      </c>
      <c r="B3732" s="633" t="s">
        <v>38172</v>
      </c>
      <c r="C3732" s="715" t="s">
        <v>207</v>
      </c>
      <c r="D3732" s="715" t="s">
        <v>40839</v>
      </c>
      <c r="E3732" s="716">
        <v>98.93</v>
      </c>
    </row>
    <row r="3733" spans="1:5">
      <c r="A3733" s="715">
        <v>2510</v>
      </c>
      <c r="B3733" s="633" t="s">
        <v>38173</v>
      </c>
      <c r="C3733" s="715" t="s">
        <v>103</v>
      </c>
      <c r="D3733" s="715" t="s">
        <v>40839</v>
      </c>
      <c r="E3733" s="716">
        <v>27.23</v>
      </c>
    </row>
    <row r="3734" spans="1:5" ht="29">
      <c r="A3734" s="715">
        <v>12359</v>
      </c>
      <c r="B3734" s="633" t="s">
        <v>38174</v>
      </c>
      <c r="C3734" s="715" t="s">
        <v>103</v>
      </c>
      <c r="D3734" s="715" t="s">
        <v>40839</v>
      </c>
      <c r="E3734" s="716">
        <v>130.80000000000001</v>
      </c>
    </row>
    <row r="3735" spans="1:5">
      <c r="A3735" s="715">
        <v>7353</v>
      </c>
      <c r="B3735" s="633" t="s">
        <v>38175</v>
      </c>
      <c r="C3735" s="715" t="s">
        <v>153</v>
      </c>
      <c r="D3735" s="715" t="s">
        <v>40839</v>
      </c>
      <c r="E3735" s="716">
        <v>35.61</v>
      </c>
    </row>
    <row r="3736" spans="1:5" ht="43">
      <c r="A3736" s="715">
        <v>45264</v>
      </c>
      <c r="B3736" s="633" t="s">
        <v>40872</v>
      </c>
      <c r="C3736" s="715" t="s">
        <v>103</v>
      </c>
      <c r="D3736" s="715" t="s">
        <v>40839</v>
      </c>
      <c r="E3736" s="716">
        <v>28.21</v>
      </c>
    </row>
    <row r="3737" spans="1:5">
      <c r="A3737" s="715">
        <v>36144</v>
      </c>
      <c r="B3737" s="633" t="s">
        <v>38176</v>
      </c>
      <c r="C3737" s="715" t="s">
        <v>103</v>
      </c>
      <c r="D3737" s="715" t="s">
        <v>40839</v>
      </c>
      <c r="E3737" s="716">
        <v>1.76</v>
      </c>
    </row>
    <row r="3738" spans="1:5">
      <c r="A3738" s="715">
        <v>10518</v>
      </c>
      <c r="B3738" s="633" t="s">
        <v>38177</v>
      </c>
      <c r="C3738" s="715" t="s">
        <v>103</v>
      </c>
      <c r="D3738" s="715" t="s">
        <v>40839</v>
      </c>
      <c r="E3738" s="716">
        <v>137.38</v>
      </c>
    </row>
    <row r="3739" spans="1:5" ht="57">
      <c r="A3739" s="715">
        <v>36530</v>
      </c>
      <c r="B3739" s="633" t="s">
        <v>38178</v>
      </c>
      <c r="C3739" s="715" t="s">
        <v>103</v>
      </c>
      <c r="D3739" s="715" t="s">
        <v>40839</v>
      </c>
      <c r="E3739" s="716">
        <v>414878.04</v>
      </c>
    </row>
    <row r="3740" spans="1:5" ht="57">
      <c r="A3740" s="715">
        <v>6046</v>
      </c>
      <c r="B3740" s="633" t="s">
        <v>38179</v>
      </c>
      <c r="C3740" s="715" t="s">
        <v>103</v>
      </c>
      <c r="D3740" s="715" t="s">
        <v>28018</v>
      </c>
      <c r="E3740" s="716">
        <v>450000</v>
      </c>
    </row>
    <row r="3741" spans="1:5" ht="57">
      <c r="A3741" s="715">
        <v>36531</v>
      </c>
      <c r="B3741" s="633" t="s">
        <v>38180</v>
      </c>
      <c r="C3741" s="715" t="s">
        <v>103</v>
      </c>
      <c r="D3741" s="715" t="s">
        <v>40839</v>
      </c>
      <c r="E3741" s="716">
        <v>466463.38</v>
      </c>
    </row>
    <row r="3742" spans="1:5" ht="29">
      <c r="A3742" s="715">
        <v>34684</v>
      </c>
      <c r="B3742" s="633" t="s">
        <v>38181</v>
      </c>
      <c r="C3742" s="715" t="s">
        <v>509</v>
      </c>
      <c r="D3742" s="715" t="s">
        <v>40839</v>
      </c>
      <c r="E3742" s="716">
        <v>280.27</v>
      </c>
    </row>
    <row r="3743" spans="1:5" ht="29">
      <c r="A3743" s="715">
        <v>34683</v>
      </c>
      <c r="B3743" s="633" t="s">
        <v>38182</v>
      </c>
      <c r="C3743" s="715" t="s">
        <v>509</v>
      </c>
      <c r="D3743" s="715" t="s">
        <v>40839</v>
      </c>
      <c r="E3743" s="716">
        <v>175.17</v>
      </c>
    </row>
    <row r="3744" spans="1:5" ht="29">
      <c r="A3744" s="715">
        <v>44954</v>
      </c>
      <c r="B3744" s="633" t="s">
        <v>38183</v>
      </c>
      <c r="C3744" s="715" t="s">
        <v>509</v>
      </c>
      <c r="D3744" s="715" t="s">
        <v>40839</v>
      </c>
      <c r="E3744" s="716">
        <v>104.68</v>
      </c>
    </row>
    <row r="3745" spans="1:5" ht="29">
      <c r="A3745" s="715">
        <v>44955</v>
      </c>
      <c r="B3745" s="633" t="s">
        <v>38184</v>
      </c>
      <c r="C3745" s="715" t="s">
        <v>509</v>
      </c>
      <c r="D3745" s="715" t="s">
        <v>40839</v>
      </c>
      <c r="E3745" s="716">
        <v>152.97</v>
      </c>
    </row>
    <row r="3746" spans="1:5">
      <c r="A3746" s="715">
        <v>10515</v>
      </c>
      <c r="B3746" s="633" t="s">
        <v>38185</v>
      </c>
      <c r="C3746" s="715" t="s">
        <v>509</v>
      </c>
      <c r="D3746" s="715" t="s">
        <v>40839</v>
      </c>
      <c r="E3746" s="716">
        <v>51.96</v>
      </c>
    </row>
    <row r="3747" spans="1:5" ht="29">
      <c r="A3747" s="715">
        <v>153</v>
      </c>
      <c r="B3747" s="633" t="s">
        <v>38186</v>
      </c>
      <c r="C3747" s="715" t="s">
        <v>153</v>
      </c>
      <c r="D3747" s="715" t="s">
        <v>40839</v>
      </c>
      <c r="E3747" s="716">
        <v>95.9</v>
      </c>
    </row>
    <row r="3748" spans="1:5" ht="29">
      <c r="A3748" s="715">
        <v>34682</v>
      </c>
      <c r="B3748" s="633" t="s">
        <v>38187</v>
      </c>
      <c r="C3748" s="715" t="s">
        <v>509</v>
      </c>
      <c r="D3748" s="715" t="s">
        <v>40839</v>
      </c>
      <c r="E3748" s="716">
        <v>133.94999999999999</v>
      </c>
    </row>
    <row r="3749" spans="1:5" ht="29">
      <c r="A3749" s="715">
        <v>536</v>
      </c>
      <c r="B3749" s="633" t="s">
        <v>38188</v>
      </c>
      <c r="C3749" s="715" t="s">
        <v>509</v>
      </c>
      <c r="D3749" s="715" t="s">
        <v>40839</v>
      </c>
      <c r="E3749" s="716">
        <v>29.27</v>
      </c>
    </row>
    <row r="3750" spans="1:5" ht="29">
      <c r="A3750" s="715">
        <v>20205</v>
      </c>
      <c r="B3750" s="633" t="s">
        <v>38189</v>
      </c>
      <c r="C3750" s="715" t="s">
        <v>165</v>
      </c>
      <c r="D3750" s="715" t="s">
        <v>40839</v>
      </c>
      <c r="E3750" s="716">
        <v>4.25</v>
      </c>
    </row>
    <row r="3751" spans="1:5" ht="29">
      <c r="A3751" s="715">
        <v>4412</v>
      </c>
      <c r="B3751" s="633" t="s">
        <v>38190</v>
      </c>
      <c r="C3751" s="715" t="s">
        <v>165</v>
      </c>
      <c r="D3751" s="715" t="s">
        <v>40839</v>
      </c>
      <c r="E3751" s="716">
        <v>2.5499999999999998</v>
      </c>
    </row>
    <row r="3752" spans="1:5" ht="29">
      <c r="A3752" s="715">
        <v>4408</v>
      </c>
      <c r="B3752" s="633" t="s">
        <v>38191</v>
      </c>
      <c r="C3752" s="715" t="s">
        <v>165</v>
      </c>
      <c r="D3752" s="715" t="s">
        <v>40839</v>
      </c>
      <c r="E3752" s="716">
        <v>3.18</v>
      </c>
    </row>
    <row r="3753" spans="1:5">
      <c r="A3753" s="715">
        <v>45213</v>
      </c>
      <c r="B3753" s="633" t="s">
        <v>40873</v>
      </c>
      <c r="C3753" s="715" t="s">
        <v>103</v>
      </c>
      <c r="D3753" s="715" t="s">
        <v>40839</v>
      </c>
      <c r="E3753" s="716">
        <v>37.61</v>
      </c>
    </row>
    <row r="3754" spans="1:5">
      <c r="A3754" s="715">
        <v>36250</v>
      </c>
      <c r="B3754" s="633" t="s">
        <v>38192</v>
      </c>
      <c r="C3754" s="715" t="s">
        <v>165</v>
      </c>
      <c r="D3754" s="715" t="s">
        <v>40839</v>
      </c>
      <c r="E3754" s="716">
        <v>5.19</v>
      </c>
    </row>
    <row r="3755" spans="1:5">
      <c r="A3755" s="715">
        <v>10857</v>
      </c>
      <c r="B3755" s="633" t="s">
        <v>38193</v>
      </c>
      <c r="C3755" s="715" t="s">
        <v>165</v>
      </c>
      <c r="D3755" s="715" t="s">
        <v>40839</v>
      </c>
      <c r="E3755" s="716">
        <v>17.53</v>
      </c>
    </row>
    <row r="3756" spans="1:5">
      <c r="A3756" s="715">
        <v>4803</v>
      </c>
      <c r="B3756" s="633" t="s">
        <v>42193</v>
      </c>
      <c r="C3756" s="715" t="s">
        <v>165</v>
      </c>
      <c r="D3756" s="715" t="s">
        <v>40839</v>
      </c>
      <c r="E3756" s="716">
        <v>34.17</v>
      </c>
    </row>
    <row r="3757" spans="1:5" ht="29">
      <c r="A3757" s="715">
        <v>6186</v>
      </c>
      <c r="B3757" s="633" t="s">
        <v>38194</v>
      </c>
      <c r="C3757" s="715" t="s">
        <v>165</v>
      </c>
      <c r="D3757" s="715" t="s">
        <v>40839</v>
      </c>
      <c r="E3757" s="716">
        <v>27.77</v>
      </c>
    </row>
    <row r="3758" spans="1:5">
      <c r="A3758" s="715">
        <v>4829</v>
      </c>
      <c r="B3758" s="633" t="s">
        <v>38195</v>
      </c>
      <c r="C3758" s="715" t="s">
        <v>165</v>
      </c>
      <c r="D3758" s="715" t="s">
        <v>40839</v>
      </c>
      <c r="E3758" s="716">
        <v>67.52</v>
      </c>
    </row>
    <row r="3759" spans="1:5">
      <c r="A3759" s="715">
        <v>39829</v>
      </c>
      <c r="B3759" s="633" t="s">
        <v>38196</v>
      </c>
      <c r="C3759" s="715" t="s">
        <v>165</v>
      </c>
      <c r="D3759" s="715" t="s">
        <v>28018</v>
      </c>
      <c r="E3759" s="716">
        <v>41</v>
      </c>
    </row>
    <row r="3760" spans="1:5" ht="29">
      <c r="A3760" s="715">
        <v>20231</v>
      </c>
      <c r="B3760" s="633" t="s">
        <v>38197</v>
      </c>
      <c r="C3760" s="715" t="s">
        <v>165</v>
      </c>
      <c r="D3760" s="715" t="s">
        <v>40839</v>
      </c>
      <c r="E3760" s="716">
        <v>66.23</v>
      </c>
    </row>
    <row r="3761" spans="1:5">
      <c r="A3761" s="715">
        <v>4804</v>
      </c>
      <c r="B3761" s="633" t="s">
        <v>38198</v>
      </c>
      <c r="C3761" s="715" t="s">
        <v>165</v>
      </c>
      <c r="D3761" s="715" t="s">
        <v>40839</v>
      </c>
      <c r="E3761" s="716">
        <v>26.24</v>
      </c>
    </row>
    <row r="3762" spans="1:5">
      <c r="A3762" s="715">
        <v>34680</v>
      </c>
      <c r="B3762" s="633" t="s">
        <v>38199</v>
      </c>
      <c r="C3762" s="715" t="s">
        <v>165</v>
      </c>
      <c r="D3762" s="715" t="s">
        <v>40839</v>
      </c>
      <c r="E3762" s="716">
        <v>41.21</v>
      </c>
    </row>
    <row r="3763" spans="1:5" ht="29">
      <c r="A3763" s="715">
        <v>11573</v>
      </c>
      <c r="B3763" s="633" t="s">
        <v>38200</v>
      </c>
      <c r="C3763" s="715" t="s">
        <v>103</v>
      </c>
      <c r="D3763" s="715" t="s">
        <v>40839</v>
      </c>
      <c r="E3763" s="716">
        <v>5.81</v>
      </c>
    </row>
    <row r="3764" spans="1:5">
      <c r="A3764" s="715">
        <v>38401</v>
      </c>
      <c r="B3764" s="633" t="s">
        <v>38201</v>
      </c>
      <c r="C3764" s="715" t="s">
        <v>103</v>
      </c>
      <c r="D3764" s="715" t="s">
        <v>40839</v>
      </c>
      <c r="E3764" s="716">
        <v>59.75</v>
      </c>
    </row>
    <row r="3765" spans="1:5" ht="29">
      <c r="A3765" s="715">
        <v>11575</v>
      </c>
      <c r="B3765" s="633" t="s">
        <v>38202</v>
      </c>
      <c r="C3765" s="715" t="s">
        <v>103</v>
      </c>
      <c r="D3765" s="715" t="s">
        <v>40839</v>
      </c>
      <c r="E3765" s="716">
        <v>56.02</v>
      </c>
    </row>
    <row r="3766" spans="1:5" ht="29">
      <c r="A3766" s="715">
        <v>38179</v>
      </c>
      <c r="B3766" s="633" t="s">
        <v>38203</v>
      </c>
      <c r="C3766" s="715" t="s">
        <v>103</v>
      </c>
      <c r="D3766" s="715" t="s">
        <v>40839</v>
      </c>
      <c r="E3766" s="716">
        <v>46.32</v>
      </c>
    </row>
    <row r="3767" spans="1:5" ht="29">
      <c r="A3767" s="715">
        <v>20256</v>
      </c>
      <c r="B3767" s="633" t="s">
        <v>38204</v>
      </c>
      <c r="C3767" s="715" t="s">
        <v>103</v>
      </c>
      <c r="D3767" s="715" t="s">
        <v>40839</v>
      </c>
      <c r="E3767" s="716">
        <v>0.37</v>
      </c>
    </row>
    <row r="3768" spans="1:5" ht="29">
      <c r="A3768" s="715">
        <v>14511</v>
      </c>
      <c r="B3768" s="633" t="s">
        <v>38205</v>
      </c>
      <c r="C3768" s="715" t="s">
        <v>103</v>
      </c>
      <c r="D3768" s="715" t="s">
        <v>40839</v>
      </c>
      <c r="E3768" s="716">
        <v>943688.07</v>
      </c>
    </row>
    <row r="3769" spans="1:5" ht="29">
      <c r="A3769" s="715">
        <v>10642</v>
      </c>
      <c r="B3769" s="633" t="s">
        <v>38206</v>
      </c>
      <c r="C3769" s="715" t="s">
        <v>103</v>
      </c>
      <c r="D3769" s="715" t="s">
        <v>28018</v>
      </c>
      <c r="E3769" s="716">
        <v>889000</v>
      </c>
    </row>
    <row r="3770" spans="1:5" ht="43">
      <c r="A3770" s="715">
        <v>14489</v>
      </c>
      <c r="B3770" s="633" t="s">
        <v>38207</v>
      </c>
      <c r="C3770" s="715" t="s">
        <v>103</v>
      </c>
      <c r="D3770" s="715" t="s">
        <v>40839</v>
      </c>
      <c r="E3770" s="716">
        <v>788526.46</v>
      </c>
    </row>
    <row r="3771" spans="1:5" ht="29">
      <c r="A3771" s="715">
        <v>14513</v>
      </c>
      <c r="B3771" s="633" t="s">
        <v>38208</v>
      </c>
      <c r="C3771" s="715" t="s">
        <v>103</v>
      </c>
      <c r="D3771" s="715" t="s">
        <v>40839</v>
      </c>
      <c r="E3771" s="716">
        <v>591413.56000000006</v>
      </c>
    </row>
    <row r="3772" spans="1:5" ht="43">
      <c r="A3772" s="715">
        <v>10646</v>
      </c>
      <c r="B3772" s="633" t="s">
        <v>38209</v>
      </c>
      <c r="C3772" s="715" t="s">
        <v>103</v>
      </c>
      <c r="D3772" s="715" t="s">
        <v>40839</v>
      </c>
      <c r="E3772" s="716">
        <v>568832.78</v>
      </c>
    </row>
    <row r="3773" spans="1:5" ht="43">
      <c r="A3773" s="715">
        <v>6070</v>
      </c>
      <c r="B3773" s="633" t="s">
        <v>38210</v>
      </c>
      <c r="C3773" s="715" t="s">
        <v>103</v>
      </c>
      <c r="D3773" s="715" t="s">
        <v>40839</v>
      </c>
      <c r="E3773" s="716">
        <v>777239.98</v>
      </c>
    </row>
    <row r="3774" spans="1:5" ht="43">
      <c r="A3774" s="715">
        <v>6069</v>
      </c>
      <c r="B3774" s="633" t="s">
        <v>38211</v>
      </c>
      <c r="C3774" s="715" t="s">
        <v>103</v>
      </c>
      <c r="D3774" s="715" t="s">
        <v>40839</v>
      </c>
      <c r="E3774" s="716">
        <v>171704.03</v>
      </c>
    </row>
    <row r="3775" spans="1:5" ht="29">
      <c r="A3775" s="715">
        <v>14626</v>
      </c>
      <c r="B3775" s="633" t="s">
        <v>38212</v>
      </c>
      <c r="C3775" s="715" t="s">
        <v>103</v>
      </c>
      <c r="D3775" s="715" t="s">
        <v>40839</v>
      </c>
      <c r="E3775" s="716">
        <v>850900.03</v>
      </c>
    </row>
    <row r="3776" spans="1:5" ht="29">
      <c r="A3776" s="715">
        <v>6067</v>
      </c>
      <c r="B3776" s="633" t="s">
        <v>38213</v>
      </c>
      <c r="C3776" s="715" t="s">
        <v>103</v>
      </c>
      <c r="D3776" s="715" t="s">
        <v>40839</v>
      </c>
      <c r="E3776" s="716">
        <v>698500.01</v>
      </c>
    </row>
    <row r="3777" spans="1:5">
      <c r="A3777" s="715">
        <v>38393</v>
      </c>
      <c r="B3777" s="633" t="s">
        <v>38214</v>
      </c>
      <c r="C3777" s="715" t="s">
        <v>103</v>
      </c>
      <c r="D3777" s="715" t="s">
        <v>28018</v>
      </c>
      <c r="E3777" s="716">
        <v>20.99</v>
      </c>
    </row>
    <row r="3778" spans="1:5">
      <c r="A3778" s="715">
        <v>45233</v>
      </c>
      <c r="B3778" s="633" t="s">
        <v>41070</v>
      </c>
      <c r="C3778" s="715" t="s">
        <v>103</v>
      </c>
      <c r="D3778" s="715" t="s">
        <v>40839</v>
      </c>
      <c r="E3778" s="716">
        <v>9</v>
      </c>
    </row>
    <row r="3779" spans="1:5">
      <c r="A3779" s="715">
        <v>38390</v>
      </c>
      <c r="B3779" s="633" t="s">
        <v>38215</v>
      </c>
      <c r="C3779" s="715" t="s">
        <v>103</v>
      </c>
      <c r="D3779" s="715" t="s">
        <v>40839</v>
      </c>
      <c r="E3779" s="716">
        <v>51.57</v>
      </c>
    </row>
    <row r="3780" spans="1:5" ht="29">
      <c r="A3780" s="715">
        <v>11578</v>
      </c>
      <c r="B3780" s="633" t="s">
        <v>38216</v>
      </c>
      <c r="C3780" s="715" t="s">
        <v>103</v>
      </c>
      <c r="D3780" s="715" t="s">
        <v>40839</v>
      </c>
      <c r="E3780" s="716">
        <v>12.09</v>
      </c>
    </row>
    <row r="3781" spans="1:5" ht="29">
      <c r="A3781" s="715">
        <v>11577</v>
      </c>
      <c r="B3781" s="633" t="s">
        <v>38217</v>
      </c>
      <c r="C3781" s="715" t="s">
        <v>103</v>
      </c>
      <c r="D3781" s="715" t="s">
        <v>40839</v>
      </c>
      <c r="E3781" s="716">
        <v>11.54</v>
      </c>
    </row>
    <row r="3782" spans="1:5" ht="43">
      <c r="A3782" s="715">
        <v>42432</v>
      </c>
      <c r="B3782" s="633" t="s">
        <v>38218</v>
      </c>
      <c r="C3782" s="715" t="s">
        <v>103</v>
      </c>
      <c r="D3782" s="715" t="s">
        <v>40839</v>
      </c>
      <c r="E3782" s="716">
        <v>2424.64</v>
      </c>
    </row>
    <row r="3783" spans="1:5" ht="43">
      <c r="A3783" s="715">
        <v>42437</v>
      </c>
      <c r="B3783" s="633" t="s">
        <v>38219</v>
      </c>
      <c r="C3783" s="715" t="s">
        <v>103</v>
      </c>
      <c r="D3783" s="715" t="s">
        <v>40839</v>
      </c>
      <c r="E3783" s="716">
        <v>1843.37</v>
      </c>
    </row>
    <row r="3784" spans="1:5">
      <c r="A3784" s="715">
        <v>1116</v>
      </c>
      <c r="B3784" s="633" t="s">
        <v>38220</v>
      </c>
      <c r="C3784" s="715" t="s">
        <v>165</v>
      </c>
      <c r="D3784" s="715" t="s">
        <v>40839</v>
      </c>
      <c r="E3784" s="716">
        <v>18.28</v>
      </c>
    </row>
    <row r="3785" spans="1:5">
      <c r="A3785" s="715">
        <v>1115</v>
      </c>
      <c r="B3785" s="633" t="s">
        <v>38221</v>
      </c>
      <c r="C3785" s="715" t="s">
        <v>165</v>
      </c>
      <c r="D3785" s="715" t="s">
        <v>40839</v>
      </c>
      <c r="E3785" s="716">
        <v>21.9</v>
      </c>
    </row>
    <row r="3786" spans="1:5">
      <c r="A3786" s="715">
        <v>1113</v>
      </c>
      <c r="B3786" s="633" t="s">
        <v>38222</v>
      </c>
      <c r="C3786" s="715" t="s">
        <v>165</v>
      </c>
      <c r="D3786" s="715" t="s">
        <v>40839</v>
      </c>
      <c r="E3786" s="716">
        <v>25.6</v>
      </c>
    </row>
    <row r="3787" spans="1:5">
      <c r="A3787" s="715">
        <v>1114</v>
      </c>
      <c r="B3787" s="633" t="s">
        <v>38223</v>
      </c>
      <c r="C3787" s="715" t="s">
        <v>165</v>
      </c>
      <c r="D3787" s="715" t="s">
        <v>40839</v>
      </c>
      <c r="E3787" s="716">
        <v>30.5</v>
      </c>
    </row>
    <row r="3788" spans="1:5">
      <c r="A3788" s="715">
        <v>40873</v>
      </c>
      <c r="B3788" s="633" t="s">
        <v>38224</v>
      </c>
      <c r="C3788" s="715" t="s">
        <v>165</v>
      </c>
      <c r="D3788" s="715" t="s">
        <v>40839</v>
      </c>
      <c r="E3788" s="716">
        <v>23.87</v>
      </c>
    </row>
    <row r="3789" spans="1:5">
      <c r="A3789" s="715">
        <v>20214</v>
      </c>
      <c r="B3789" s="633" t="s">
        <v>38225</v>
      </c>
      <c r="C3789" s="715" t="s">
        <v>103</v>
      </c>
      <c r="D3789" s="715" t="s">
        <v>40839</v>
      </c>
      <c r="E3789" s="716">
        <v>51.52</v>
      </c>
    </row>
    <row r="3790" spans="1:5" ht="29">
      <c r="A3790" s="715">
        <v>7237</v>
      </c>
      <c r="B3790" s="633" t="s">
        <v>38226</v>
      </c>
      <c r="C3790" s="715" t="s">
        <v>103</v>
      </c>
      <c r="D3790" s="715" t="s">
        <v>40839</v>
      </c>
      <c r="E3790" s="716">
        <v>50.44</v>
      </c>
    </row>
    <row r="3791" spans="1:5">
      <c r="A3791" s="715">
        <v>11757</v>
      </c>
      <c r="B3791" s="633" t="s">
        <v>38227</v>
      </c>
      <c r="C3791" s="715" t="s">
        <v>103</v>
      </c>
      <c r="D3791" s="715" t="s">
        <v>28018</v>
      </c>
      <c r="E3791" s="716">
        <v>46</v>
      </c>
    </row>
    <row r="3792" spans="1:5" ht="29">
      <c r="A3792" s="715">
        <v>11758</v>
      </c>
      <c r="B3792" s="633" t="s">
        <v>38228</v>
      </c>
      <c r="C3792" s="715" t="s">
        <v>103</v>
      </c>
      <c r="D3792" s="715" t="s">
        <v>28018</v>
      </c>
      <c r="E3792" s="716">
        <v>57.76</v>
      </c>
    </row>
    <row r="3793" spans="1:5">
      <c r="A3793" s="715">
        <v>37526</v>
      </c>
      <c r="B3793" s="633" t="s">
        <v>38229</v>
      </c>
      <c r="C3793" s="715" t="s">
        <v>103</v>
      </c>
      <c r="D3793" s="715" t="s">
        <v>40839</v>
      </c>
      <c r="E3793" s="716">
        <v>5.05</v>
      </c>
    </row>
    <row r="3794" spans="1:5">
      <c r="A3794" s="715">
        <v>6076</v>
      </c>
      <c r="B3794" s="633" t="s">
        <v>38230</v>
      </c>
      <c r="C3794" s="715" t="s">
        <v>121</v>
      </c>
      <c r="D3794" s="715" t="s">
        <v>28018</v>
      </c>
      <c r="E3794" s="716">
        <v>73</v>
      </c>
    </row>
    <row r="3795" spans="1:5">
      <c r="A3795" s="715">
        <v>13109</v>
      </c>
      <c r="B3795" s="633" t="s">
        <v>38231</v>
      </c>
      <c r="C3795" s="715" t="s">
        <v>103</v>
      </c>
      <c r="D3795" s="715" t="s">
        <v>40839</v>
      </c>
      <c r="E3795" s="716">
        <v>270.93</v>
      </c>
    </row>
    <row r="3796" spans="1:5">
      <c r="A3796" s="715">
        <v>13110</v>
      </c>
      <c r="B3796" s="633" t="s">
        <v>38232</v>
      </c>
      <c r="C3796" s="715" t="s">
        <v>103</v>
      </c>
      <c r="D3796" s="715" t="s">
        <v>40839</v>
      </c>
      <c r="E3796" s="716">
        <v>356.56</v>
      </c>
    </row>
    <row r="3797" spans="1:5">
      <c r="A3797" s="715">
        <v>7581</v>
      </c>
      <c r="B3797" s="633" t="s">
        <v>38233</v>
      </c>
      <c r="C3797" s="715" t="s">
        <v>103</v>
      </c>
      <c r="D3797" s="715" t="s">
        <v>40839</v>
      </c>
      <c r="E3797" s="716">
        <v>3.44</v>
      </c>
    </row>
    <row r="3798" spans="1:5">
      <c r="A3798" s="715">
        <v>4509</v>
      </c>
      <c r="B3798" s="633" t="s">
        <v>38234</v>
      </c>
      <c r="C3798" s="715" t="s">
        <v>165</v>
      </c>
      <c r="D3798" s="715" t="s">
        <v>40839</v>
      </c>
      <c r="E3798" s="716">
        <v>4.1900000000000004</v>
      </c>
    </row>
    <row r="3799" spans="1:5">
      <c r="A3799" s="715">
        <v>4512</v>
      </c>
      <c r="B3799" s="633" t="s">
        <v>38235</v>
      </c>
      <c r="C3799" s="715" t="s">
        <v>165</v>
      </c>
      <c r="D3799" s="715" t="s">
        <v>40839</v>
      </c>
      <c r="E3799" s="716">
        <v>2</v>
      </c>
    </row>
    <row r="3800" spans="1:5">
      <c r="A3800" s="715">
        <v>4517</v>
      </c>
      <c r="B3800" s="633" t="s">
        <v>38236</v>
      </c>
      <c r="C3800" s="715" t="s">
        <v>165</v>
      </c>
      <c r="D3800" s="715" t="s">
        <v>40839</v>
      </c>
      <c r="E3800" s="716">
        <v>2.89</v>
      </c>
    </row>
    <row r="3801" spans="1:5" ht="29">
      <c r="A3801" s="715">
        <v>20206</v>
      </c>
      <c r="B3801" s="633" t="s">
        <v>38237</v>
      </c>
      <c r="C3801" s="715" t="s">
        <v>165</v>
      </c>
      <c r="D3801" s="715" t="s">
        <v>40839</v>
      </c>
      <c r="E3801" s="716">
        <v>11.48</v>
      </c>
    </row>
    <row r="3802" spans="1:5" ht="29">
      <c r="A3802" s="715">
        <v>4460</v>
      </c>
      <c r="B3802" s="633" t="s">
        <v>38238</v>
      </c>
      <c r="C3802" s="715" t="s">
        <v>165</v>
      </c>
      <c r="D3802" s="715" t="s">
        <v>40839</v>
      </c>
      <c r="E3802" s="716">
        <v>11.78</v>
      </c>
    </row>
    <row r="3803" spans="1:5" ht="29">
      <c r="A3803" s="715">
        <v>4415</v>
      </c>
      <c r="B3803" s="633" t="s">
        <v>38239</v>
      </c>
      <c r="C3803" s="715" t="s">
        <v>165</v>
      </c>
      <c r="D3803" s="715" t="s">
        <v>40839</v>
      </c>
      <c r="E3803" s="716">
        <v>6.31</v>
      </c>
    </row>
    <row r="3804" spans="1:5" ht="29">
      <c r="A3804" s="715">
        <v>4417</v>
      </c>
      <c r="B3804" s="633" t="s">
        <v>38240</v>
      </c>
      <c r="C3804" s="715" t="s">
        <v>165</v>
      </c>
      <c r="D3804" s="715" t="s">
        <v>40839</v>
      </c>
      <c r="E3804" s="716">
        <v>9.08</v>
      </c>
    </row>
    <row r="3805" spans="1:5">
      <c r="A3805" s="715">
        <v>37373</v>
      </c>
      <c r="B3805" s="633" t="s">
        <v>38241</v>
      </c>
      <c r="C3805" s="715" t="s">
        <v>11</v>
      </c>
      <c r="D3805" s="715" t="s">
        <v>28018</v>
      </c>
      <c r="E3805" s="716">
        <v>0.11</v>
      </c>
    </row>
    <row r="3806" spans="1:5">
      <c r="A3806" s="715">
        <v>40864</v>
      </c>
      <c r="B3806" s="633" t="s">
        <v>38242</v>
      </c>
      <c r="C3806" s="715" t="s">
        <v>27629</v>
      </c>
      <c r="D3806" s="715" t="s">
        <v>28018</v>
      </c>
      <c r="E3806" s="716">
        <v>18.28</v>
      </c>
    </row>
    <row r="3807" spans="1:5" ht="29">
      <c r="A3807" s="715">
        <v>4734</v>
      </c>
      <c r="B3807" s="633" t="s">
        <v>38243</v>
      </c>
      <c r="C3807" s="715" t="s">
        <v>121</v>
      </c>
      <c r="D3807" s="715" t="s">
        <v>40839</v>
      </c>
      <c r="E3807" s="716">
        <v>286.32</v>
      </c>
    </row>
    <row r="3808" spans="1:5">
      <c r="A3808" s="715">
        <v>6085</v>
      </c>
      <c r="B3808" s="633" t="s">
        <v>38244</v>
      </c>
      <c r="C3808" s="715" t="s">
        <v>153</v>
      </c>
      <c r="D3808" s="715" t="s">
        <v>28018</v>
      </c>
      <c r="E3808" s="716">
        <v>11.71</v>
      </c>
    </row>
    <row r="3809" spans="1:5">
      <c r="A3809" s="715">
        <v>38396</v>
      </c>
      <c r="B3809" s="633" t="s">
        <v>38245</v>
      </c>
      <c r="C3809" s="715" t="s">
        <v>103</v>
      </c>
      <c r="D3809" s="715" t="s">
        <v>40839</v>
      </c>
      <c r="E3809" s="716">
        <v>922.01</v>
      </c>
    </row>
    <row r="3810" spans="1:5">
      <c r="A3810" s="715">
        <v>11622</v>
      </c>
      <c r="B3810" s="633" t="s">
        <v>38246</v>
      </c>
      <c r="C3810" s="715" t="s">
        <v>207</v>
      </c>
      <c r="D3810" s="715" t="s">
        <v>40839</v>
      </c>
      <c r="E3810" s="716">
        <v>72.260000000000005</v>
      </c>
    </row>
    <row r="3811" spans="1:5" ht="29">
      <c r="A3811" s="715">
        <v>43143</v>
      </c>
      <c r="B3811" s="633" t="s">
        <v>38247</v>
      </c>
      <c r="C3811" s="715" t="s">
        <v>153</v>
      </c>
      <c r="D3811" s="715" t="s">
        <v>40839</v>
      </c>
      <c r="E3811" s="716">
        <v>27.29</v>
      </c>
    </row>
    <row r="3812" spans="1:5">
      <c r="A3812" s="715">
        <v>7317</v>
      </c>
      <c r="B3812" s="633" t="s">
        <v>38248</v>
      </c>
      <c r="C3812" s="715" t="s">
        <v>207</v>
      </c>
      <c r="D3812" s="715" t="s">
        <v>40839</v>
      </c>
      <c r="E3812" s="716">
        <v>37.450000000000003</v>
      </c>
    </row>
    <row r="3813" spans="1:5" ht="29">
      <c r="A3813" s="715">
        <v>142</v>
      </c>
      <c r="B3813" s="633" t="s">
        <v>38249</v>
      </c>
      <c r="C3813" s="715" t="s">
        <v>38250</v>
      </c>
      <c r="D3813" s="715" t="s">
        <v>40839</v>
      </c>
      <c r="E3813" s="716">
        <v>34.1</v>
      </c>
    </row>
    <row r="3814" spans="1:5" ht="29">
      <c r="A3814" s="715">
        <v>43142</v>
      </c>
      <c r="B3814" s="633" t="s">
        <v>38251</v>
      </c>
      <c r="C3814" s="715" t="s">
        <v>153</v>
      </c>
      <c r="D3814" s="715" t="s">
        <v>40839</v>
      </c>
      <c r="E3814" s="716">
        <v>154.88999999999999</v>
      </c>
    </row>
    <row r="3815" spans="1:5">
      <c r="A3815" s="715">
        <v>38123</v>
      </c>
      <c r="B3815" s="633" t="s">
        <v>38252</v>
      </c>
      <c r="C3815" s="715" t="s">
        <v>207</v>
      </c>
      <c r="D3815" s="715" t="s">
        <v>40839</v>
      </c>
      <c r="E3815" s="716">
        <v>74.03</v>
      </c>
    </row>
    <row r="3816" spans="1:5" ht="29">
      <c r="A3816" s="715">
        <v>42699</v>
      </c>
      <c r="B3816" s="633" t="s">
        <v>38253</v>
      </c>
      <c r="C3816" s="715" t="s">
        <v>103</v>
      </c>
      <c r="D3816" s="715" t="s">
        <v>40839</v>
      </c>
      <c r="E3816" s="716">
        <v>38.82</v>
      </c>
    </row>
    <row r="3817" spans="1:5" ht="29">
      <c r="A3817" s="715">
        <v>37743</v>
      </c>
      <c r="B3817" s="633" t="s">
        <v>38254</v>
      </c>
      <c r="C3817" s="715" t="s">
        <v>103</v>
      </c>
      <c r="D3817" s="715" t="s">
        <v>40839</v>
      </c>
      <c r="E3817" s="716">
        <v>237841.37</v>
      </c>
    </row>
    <row r="3818" spans="1:5" ht="29">
      <c r="A3818" s="715">
        <v>37744</v>
      </c>
      <c r="B3818" s="633" t="s">
        <v>38255</v>
      </c>
      <c r="C3818" s="715" t="s">
        <v>103</v>
      </c>
      <c r="D3818" s="715" t="s">
        <v>40839</v>
      </c>
      <c r="E3818" s="716">
        <v>279656.7</v>
      </c>
    </row>
    <row r="3819" spans="1:5" ht="29">
      <c r="A3819" s="715">
        <v>37741</v>
      </c>
      <c r="B3819" s="633" t="s">
        <v>38256</v>
      </c>
      <c r="C3819" s="715" t="s">
        <v>103</v>
      </c>
      <c r="D3819" s="715" t="s">
        <v>40839</v>
      </c>
      <c r="E3819" s="716">
        <v>216267.85</v>
      </c>
    </row>
    <row r="3820" spans="1:5" ht="29">
      <c r="A3820" s="715">
        <v>39396</v>
      </c>
      <c r="B3820" s="633" t="s">
        <v>38257</v>
      </c>
      <c r="C3820" s="715" t="s">
        <v>103</v>
      </c>
      <c r="D3820" s="715" t="s">
        <v>40839</v>
      </c>
      <c r="E3820" s="716">
        <v>53.32</v>
      </c>
    </row>
    <row r="3821" spans="1:5" ht="29">
      <c r="A3821" s="715">
        <v>39392</v>
      </c>
      <c r="B3821" s="633" t="s">
        <v>38258</v>
      </c>
      <c r="C3821" s="715" t="s">
        <v>103</v>
      </c>
      <c r="D3821" s="715" t="s">
        <v>40839</v>
      </c>
      <c r="E3821" s="716">
        <v>60.15</v>
      </c>
    </row>
    <row r="3822" spans="1:5" ht="29">
      <c r="A3822" s="715">
        <v>39393</v>
      </c>
      <c r="B3822" s="633" t="s">
        <v>38259</v>
      </c>
      <c r="C3822" s="715" t="s">
        <v>103</v>
      </c>
      <c r="D3822" s="715" t="s">
        <v>40839</v>
      </c>
      <c r="E3822" s="716">
        <v>37.19</v>
      </c>
    </row>
    <row r="3823" spans="1:5" ht="29">
      <c r="A3823" s="715">
        <v>39394</v>
      </c>
      <c r="B3823" s="633" t="s">
        <v>38260</v>
      </c>
      <c r="C3823" s="715" t="s">
        <v>103</v>
      </c>
      <c r="D3823" s="715" t="s">
        <v>40839</v>
      </c>
      <c r="E3823" s="716">
        <v>41.86</v>
      </c>
    </row>
    <row r="3824" spans="1:5" ht="29">
      <c r="A3824" s="715">
        <v>39395</v>
      </c>
      <c r="B3824" s="633" t="s">
        <v>38261</v>
      </c>
      <c r="C3824" s="715" t="s">
        <v>103</v>
      </c>
      <c r="D3824" s="715" t="s">
        <v>40839</v>
      </c>
      <c r="E3824" s="716">
        <v>38.93</v>
      </c>
    </row>
    <row r="3825" spans="1:5" ht="29">
      <c r="A3825" s="715">
        <v>14618</v>
      </c>
      <c r="B3825" s="633" t="s">
        <v>38262</v>
      </c>
      <c r="C3825" s="715" t="s">
        <v>103</v>
      </c>
      <c r="D3825" s="715" t="s">
        <v>40839</v>
      </c>
      <c r="E3825" s="716">
        <v>1252.51</v>
      </c>
    </row>
    <row r="3826" spans="1:5">
      <c r="A3826" s="715">
        <v>6110</v>
      </c>
      <c r="B3826" s="633" t="s">
        <v>38263</v>
      </c>
      <c r="C3826" s="715" t="s">
        <v>11</v>
      </c>
      <c r="D3826" s="715" t="s">
        <v>40839</v>
      </c>
      <c r="E3826" s="716">
        <v>26.72</v>
      </c>
    </row>
    <row r="3827" spans="1:5">
      <c r="A3827" s="715">
        <v>40910</v>
      </c>
      <c r="B3827" s="633" t="s">
        <v>38264</v>
      </c>
      <c r="C3827" s="715" t="s">
        <v>27629</v>
      </c>
      <c r="D3827" s="715" t="s">
        <v>40839</v>
      </c>
      <c r="E3827" s="716">
        <v>4683.3599999999997</v>
      </c>
    </row>
    <row r="3828" spans="1:5">
      <c r="A3828" s="715">
        <v>45255</v>
      </c>
      <c r="B3828" s="633" t="s">
        <v>40874</v>
      </c>
      <c r="C3828" s="715" t="s">
        <v>103</v>
      </c>
      <c r="D3828" s="715" t="s">
        <v>40839</v>
      </c>
      <c r="E3828" s="716">
        <v>42.84</v>
      </c>
    </row>
    <row r="3829" spans="1:5">
      <c r="A3829" s="715">
        <v>6111</v>
      </c>
      <c r="B3829" s="633" t="s">
        <v>38265</v>
      </c>
      <c r="C3829" s="715" t="s">
        <v>11</v>
      </c>
      <c r="D3829" s="715" t="s">
        <v>28018</v>
      </c>
      <c r="E3829" s="716">
        <v>21.39</v>
      </c>
    </row>
    <row r="3830" spans="1:5">
      <c r="A3830" s="715">
        <v>41084</v>
      </c>
      <c r="B3830" s="633" t="s">
        <v>38266</v>
      </c>
      <c r="C3830" s="715" t="s">
        <v>27629</v>
      </c>
      <c r="D3830" s="715" t="s">
        <v>40839</v>
      </c>
      <c r="E3830" s="716">
        <v>3747.13</v>
      </c>
    </row>
    <row r="3831" spans="1:5" ht="29">
      <c r="A3831" s="715">
        <v>44535</v>
      </c>
      <c r="B3831" s="633" t="s">
        <v>38267</v>
      </c>
      <c r="C3831" s="715" t="s">
        <v>121</v>
      </c>
      <c r="D3831" s="715" t="s">
        <v>40839</v>
      </c>
      <c r="E3831" s="716">
        <v>48.58</v>
      </c>
    </row>
    <row r="3832" spans="1:5" ht="29">
      <c r="A3832" s="715">
        <v>44945</v>
      </c>
      <c r="B3832" s="633" t="s">
        <v>38268</v>
      </c>
      <c r="C3832" s="715" t="s">
        <v>103</v>
      </c>
      <c r="D3832" s="715" t="s">
        <v>28018</v>
      </c>
      <c r="E3832" s="716">
        <v>10</v>
      </c>
    </row>
    <row r="3833" spans="1:5">
      <c r="A3833" s="715">
        <v>38637</v>
      </c>
      <c r="B3833" s="633" t="s">
        <v>38269</v>
      </c>
      <c r="C3833" s="715" t="s">
        <v>103</v>
      </c>
      <c r="D3833" s="715" t="s">
        <v>40839</v>
      </c>
      <c r="E3833" s="716">
        <v>230.06</v>
      </c>
    </row>
    <row r="3834" spans="1:5">
      <c r="A3834" s="715">
        <v>6150</v>
      </c>
      <c r="B3834" s="633" t="s">
        <v>38270</v>
      </c>
      <c r="C3834" s="715" t="s">
        <v>103</v>
      </c>
      <c r="D3834" s="715" t="s">
        <v>40839</v>
      </c>
      <c r="E3834" s="716">
        <v>232.87</v>
      </c>
    </row>
    <row r="3835" spans="1:5">
      <c r="A3835" s="715">
        <v>6136</v>
      </c>
      <c r="B3835" s="633" t="s">
        <v>38271</v>
      </c>
      <c r="C3835" s="715" t="s">
        <v>103</v>
      </c>
      <c r="D3835" s="715" t="s">
        <v>28018</v>
      </c>
      <c r="E3835" s="716">
        <v>183.05</v>
      </c>
    </row>
    <row r="3836" spans="1:5">
      <c r="A3836" s="715">
        <v>38638</v>
      </c>
      <c r="B3836" s="633" t="s">
        <v>38272</v>
      </c>
      <c r="C3836" s="715" t="s">
        <v>103</v>
      </c>
      <c r="D3836" s="715" t="s">
        <v>40839</v>
      </c>
      <c r="E3836" s="716">
        <v>193.86</v>
      </c>
    </row>
    <row r="3837" spans="1:5">
      <c r="A3837" s="715">
        <v>20262</v>
      </c>
      <c r="B3837" s="633" t="s">
        <v>38273</v>
      </c>
      <c r="C3837" s="715" t="s">
        <v>103</v>
      </c>
      <c r="D3837" s="715" t="s">
        <v>40839</v>
      </c>
      <c r="E3837" s="716">
        <v>18.309999999999999</v>
      </c>
    </row>
    <row r="3838" spans="1:5">
      <c r="A3838" s="715">
        <v>6145</v>
      </c>
      <c r="B3838" s="633" t="s">
        <v>38274</v>
      </c>
      <c r="C3838" s="715" t="s">
        <v>103</v>
      </c>
      <c r="D3838" s="715" t="s">
        <v>40839</v>
      </c>
      <c r="E3838" s="716">
        <v>20.23</v>
      </c>
    </row>
    <row r="3839" spans="1:5">
      <c r="A3839" s="715">
        <v>6149</v>
      </c>
      <c r="B3839" s="633" t="s">
        <v>38275</v>
      </c>
      <c r="C3839" s="715" t="s">
        <v>103</v>
      </c>
      <c r="D3839" s="715" t="s">
        <v>40839</v>
      </c>
      <c r="E3839" s="716">
        <v>13.37</v>
      </c>
    </row>
    <row r="3840" spans="1:5">
      <c r="A3840" s="715">
        <v>6146</v>
      </c>
      <c r="B3840" s="633" t="s">
        <v>38276</v>
      </c>
      <c r="C3840" s="715" t="s">
        <v>103</v>
      </c>
      <c r="D3840" s="715" t="s">
        <v>40839</v>
      </c>
      <c r="E3840" s="716">
        <v>19.22</v>
      </c>
    </row>
    <row r="3841" spans="1:5">
      <c r="A3841" s="715">
        <v>44536</v>
      </c>
      <c r="B3841" s="633" t="s">
        <v>41071</v>
      </c>
      <c r="C3841" s="715" t="s">
        <v>207</v>
      </c>
      <c r="D3841" s="715" t="s">
        <v>40839</v>
      </c>
      <c r="E3841" s="716">
        <v>2.86</v>
      </c>
    </row>
    <row r="3842" spans="1:5">
      <c r="A3842" s="715">
        <v>39961</v>
      </c>
      <c r="B3842" s="633" t="s">
        <v>38277</v>
      </c>
      <c r="C3842" s="715" t="s">
        <v>103</v>
      </c>
      <c r="D3842" s="715" t="s">
        <v>40839</v>
      </c>
      <c r="E3842" s="716">
        <v>22.53</v>
      </c>
    </row>
    <row r="3843" spans="1:5" ht="43">
      <c r="A3843" s="715">
        <v>42433</v>
      </c>
      <c r="B3843" s="633" t="s">
        <v>38278</v>
      </c>
      <c r="C3843" s="715" t="s">
        <v>103</v>
      </c>
      <c r="D3843" s="715" t="s">
        <v>40839</v>
      </c>
      <c r="E3843" s="716">
        <v>4789.18</v>
      </c>
    </row>
    <row r="3844" spans="1:5" ht="43">
      <c r="A3844" s="715">
        <v>42434</v>
      </c>
      <c r="B3844" s="633" t="s">
        <v>38279</v>
      </c>
      <c r="C3844" s="715" t="s">
        <v>103</v>
      </c>
      <c r="D3844" s="715" t="s">
        <v>40839</v>
      </c>
      <c r="E3844" s="716">
        <v>5175.3999999999996</v>
      </c>
    </row>
    <row r="3845" spans="1:5" ht="43">
      <c r="A3845" s="715">
        <v>42435</v>
      </c>
      <c r="B3845" s="633" t="s">
        <v>38280</v>
      </c>
      <c r="C3845" s="715" t="s">
        <v>103</v>
      </c>
      <c r="D3845" s="715" t="s">
        <v>40839</v>
      </c>
      <c r="E3845" s="716">
        <v>2580.7800000000002</v>
      </c>
    </row>
    <row r="3846" spans="1:5">
      <c r="A3846" s="715">
        <v>38061</v>
      </c>
      <c r="B3846" s="633" t="s">
        <v>38281</v>
      </c>
      <c r="C3846" s="715" t="s">
        <v>103</v>
      </c>
      <c r="D3846" s="715" t="s">
        <v>40839</v>
      </c>
      <c r="E3846" s="716">
        <v>46.17</v>
      </c>
    </row>
    <row r="3847" spans="1:5">
      <c r="A3847" s="715">
        <v>20250</v>
      </c>
      <c r="B3847" s="633" t="s">
        <v>38282</v>
      </c>
      <c r="C3847" s="715" t="s">
        <v>207</v>
      </c>
      <c r="D3847" s="715" t="s">
        <v>28018</v>
      </c>
      <c r="E3847" s="716">
        <v>22.75</v>
      </c>
    </row>
    <row r="3848" spans="1:5">
      <c r="A3848" s="715">
        <v>13388</v>
      </c>
      <c r="B3848" s="633" t="s">
        <v>38283</v>
      </c>
      <c r="C3848" s="715" t="s">
        <v>207</v>
      </c>
      <c r="D3848" s="715" t="s">
        <v>40839</v>
      </c>
      <c r="E3848" s="716">
        <v>227.94</v>
      </c>
    </row>
    <row r="3849" spans="1:5">
      <c r="A3849" s="715">
        <v>39914</v>
      </c>
      <c r="B3849" s="633" t="s">
        <v>38284</v>
      </c>
      <c r="C3849" s="715" t="s">
        <v>207</v>
      </c>
      <c r="D3849" s="715" t="s">
        <v>40839</v>
      </c>
      <c r="E3849" s="716">
        <v>267.45</v>
      </c>
    </row>
    <row r="3850" spans="1:5" ht="29">
      <c r="A3850" s="715">
        <v>12732</v>
      </c>
      <c r="B3850" s="633" t="s">
        <v>38285</v>
      </c>
      <c r="C3850" s="715" t="s">
        <v>103</v>
      </c>
      <c r="D3850" s="715" t="s">
        <v>40839</v>
      </c>
      <c r="E3850" s="716">
        <v>308.60000000000002</v>
      </c>
    </row>
    <row r="3851" spans="1:5">
      <c r="A3851" s="715">
        <v>6160</v>
      </c>
      <c r="B3851" s="633" t="s">
        <v>38286</v>
      </c>
      <c r="C3851" s="715" t="s">
        <v>11</v>
      </c>
      <c r="D3851" s="715" t="s">
        <v>28018</v>
      </c>
      <c r="E3851" s="716">
        <v>32.61</v>
      </c>
    </row>
    <row r="3852" spans="1:5">
      <c r="A3852" s="715">
        <v>41087</v>
      </c>
      <c r="B3852" s="633" t="s">
        <v>38287</v>
      </c>
      <c r="C3852" s="715" t="s">
        <v>27629</v>
      </c>
      <c r="D3852" s="715" t="s">
        <v>40839</v>
      </c>
      <c r="E3852" s="716">
        <v>5712.96</v>
      </c>
    </row>
    <row r="3853" spans="1:5">
      <c r="A3853" s="715">
        <v>6166</v>
      </c>
      <c r="B3853" s="633" t="s">
        <v>38288</v>
      </c>
      <c r="C3853" s="715" t="s">
        <v>11</v>
      </c>
      <c r="D3853" s="715" t="s">
        <v>40839</v>
      </c>
      <c r="E3853" s="716">
        <v>35.130000000000003</v>
      </c>
    </row>
    <row r="3854" spans="1:5">
      <c r="A3854" s="715">
        <v>41088</v>
      </c>
      <c r="B3854" s="633" t="s">
        <v>38289</v>
      </c>
      <c r="C3854" s="715" t="s">
        <v>27629</v>
      </c>
      <c r="D3854" s="715" t="s">
        <v>40839</v>
      </c>
      <c r="E3854" s="716">
        <v>6156.69</v>
      </c>
    </row>
    <row r="3855" spans="1:5" ht="29">
      <c r="A3855" s="715">
        <v>20232</v>
      </c>
      <c r="B3855" s="633" t="s">
        <v>38290</v>
      </c>
      <c r="C3855" s="715" t="s">
        <v>165</v>
      </c>
      <c r="D3855" s="715" t="s">
        <v>40839</v>
      </c>
      <c r="E3855" s="716">
        <v>93.75</v>
      </c>
    </row>
    <row r="3856" spans="1:5">
      <c r="A3856" s="715">
        <v>10856</v>
      </c>
      <c r="B3856" s="633" t="s">
        <v>38291</v>
      </c>
      <c r="C3856" s="715" t="s">
        <v>165</v>
      </c>
      <c r="D3856" s="715" t="s">
        <v>40839</v>
      </c>
      <c r="E3856" s="716">
        <v>113.34</v>
      </c>
    </row>
    <row r="3857" spans="1:5" ht="29">
      <c r="A3857" s="715">
        <v>4828</v>
      </c>
      <c r="B3857" s="633" t="s">
        <v>38292</v>
      </c>
      <c r="C3857" s="715" t="s">
        <v>165</v>
      </c>
      <c r="D3857" s="715" t="s">
        <v>40839</v>
      </c>
      <c r="E3857" s="716">
        <v>100.78</v>
      </c>
    </row>
    <row r="3858" spans="1:5">
      <c r="A3858" s="715">
        <v>20249</v>
      </c>
      <c r="B3858" s="633" t="s">
        <v>38293</v>
      </c>
      <c r="C3858" s="715" t="s">
        <v>165</v>
      </c>
      <c r="D3858" s="715" t="s">
        <v>40839</v>
      </c>
      <c r="E3858" s="716">
        <v>55.19</v>
      </c>
    </row>
    <row r="3859" spans="1:5">
      <c r="A3859" s="715">
        <v>11609</v>
      </c>
      <c r="B3859" s="633" t="s">
        <v>38294</v>
      </c>
      <c r="C3859" s="715" t="s">
        <v>153</v>
      </c>
      <c r="D3859" s="715" t="s">
        <v>40839</v>
      </c>
      <c r="E3859" s="716">
        <v>12.01</v>
      </c>
    </row>
    <row r="3860" spans="1:5">
      <c r="A3860" s="715">
        <v>20083</v>
      </c>
      <c r="B3860" s="633" t="s">
        <v>38295</v>
      </c>
      <c r="C3860" s="715" t="s">
        <v>103</v>
      </c>
      <c r="D3860" s="715" t="s">
        <v>40839</v>
      </c>
      <c r="E3860" s="716">
        <v>65.38</v>
      </c>
    </row>
    <row r="3861" spans="1:5">
      <c r="A3861" s="715">
        <v>12295</v>
      </c>
      <c r="B3861" s="633" t="s">
        <v>38296</v>
      </c>
      <c r="C3861" s="715" t="s">
        <v>103</v>
      </c>
      <c r="D3861" s="715" t="s">
        <v>40839</v>
      </c>
      <c r="E3861" s="716">
        <v>3.19</v>
      </c>
    </row>
    <row r="3862" spans="1:5">
      <c r="A3862" s="715">
        <v>12296</v>
      </c>
      <c r="B3862" s="633" t="s">
        <v>38297</v>
      </c>
      <c r="C3862" s="715" t="s">
        <v>103</v>
      </c>
      <c r="D3862" s="715" t="s">
        <v>40839</v>
      </c>
      <c r="E3862" s="716">
        <v>4.12</v>
      </c>
    </row>
    <row r="3863" spans="1:5">
      <c r="A3863" s="715">
        <v>12294</v>
      </c>
      <c r="B3863" s="633" t="s">
        <v>38298</v>
      </c>
      <c r="C3863" s="715" t="s">
        <v>103</v>
      </c>
      <c r="D3863" s="715" t="s">
        <v>40839</v>
      </c>
      <c r="E3863" s="716">
        <v>9.9</v>
      </c>
    </row>
    <row r="3864" spans="1:5">
      <c r="A3864" s="715">
        <v>14543</v>
      </c>
      <c r="B3864" s="633" t="s">
        <v>38299</v>
      </c>
      <c r="C3864" s="715" t="s">
        <v>103</v>
      </c>
      <c r="D3864" s="715" t="s">
        <v>40839</v>
      </c>
      <c r="E3864" s="716">
        <v>7.07</v>
      </c>
    </row>
    <row r="3865" spans="1:5">
      <c r="A3865" s="715">
        <v>13329</v>
      </c>
      <c r="B3865" s="633" t="s">
        <v>38300</v>
      </c>
      <c r="C3865" s="715" t="s">
        <v>103</v>
      </c>
      <c r="D3865" s="715" t="s">
        <v>28018</v>
      </c>
      <c r="E3865" s="716">
        <v>4.1500000000000004</v>
      </c>
    </row>
    <row r="3866" spans="1:5" ht="29">
      <c r="A3866" s="715">
        <v>21047</v>
      </c>
      <c r="B3866" s="633" t="s">
        <v>38301</v>
      </c>
      <c r="C3866" s="715" t="s">
        <v>103</v>
      </c>
      <c r="D3866" s="715" t="s">
        <v>40839</v>
      </c>
      <c r="E3866" s="716">
        <v>57.78</v>
      </c>
    </row>
    <row r="3867" spans="1:5" ht="29">
      <c r="A3867" s="715">
        <v>21042</v>
      </c>
      <c r="B3867" s="633" t="s">
        <v>38302</v>
      </c>
      <c r="C3867" s="715" t="s">
        <v>103</v>
      </c>
      <c r="D3867" s="715" t="s">
        <v>40839</v>
      </c>
      <c r="E3867" s="716">
        <v>44.53</v>
      </c>
    </row>
    <row r="3868" spans="1:5" ht="29">
      <c r="A3868" s="715">
        <v>21043</v>
      </c>
      <c r="B3868" s="633" t="s">
        <v>38303</v>
      </c>
      <c r="C3868" s="715" t="s">
        <v>103</v>
      </c>
      <c r="D3868" s="715" t="s">
        <v>40839</v>
      </c>
      <c r="E3868" s="716">
        <v>56.25</v>
      </c>
    </row>
    <row r="3869" spans="1:5" ht="29">
      <c r="A3869" s="715">
        <v>21044</v>
      </c>
      <c r="B3869" s="633" t="s">
        <v>38304</v>
      </c>
      <c r="C3869" s="715" t="s">
        <v>103</v>
      </c>
      <c r="D3869" s="715" t="s">
        <v>40839</v>
      </c>
      <c r="E3869" s="716">
        <v>39.19</v>
      </c>
    </row>
    <row r="3870" spans="1:5" ht="29">
      <c r="A3870" s="715">
        <v>21045</v>
      </c>
      <c r="B3870" s="633" t="s">
        <v>38305</v>
      </c>
      <c r="C3870" s="715" t="s">
        <v>103</v>
      </c>
      <c r="D3870" s="715" t="s">
        <v>40839</v>
      </c>
      <c r="E3870" s="716">
        <v>53.68</v>
      </c>
    </row>
    <row r="3871" spans="1:5" ht="29">
      <c r="A3871" s="715">
        <v>21041</v>
      </c>
      <c r="B3871" s="633" t="s">
        <v>38306</v>
      </c>
      <c r="C3871" s="715" t="s">
        <v>103</v>
      </c>
      <c r="D3871" s="715" t="s">
        <v>40839</v>
      </c>
      <c r="E3871" s="716">
        <v>46.29</v>
      </c>
    </row>
    <row r="3872" spans="1:5" ht="29">
      <c r="A3872" s="715">
        <v>21040</v>
      </c>
      <c r="B3872" s="633" t="s">
        <v>38307</v>
      </c>
      <c r="C3872" s="715" t="s">
        <v>103</v>
      </c>
      <c r="D3872" s="715" t="s">
        <v>28018</v>
      </c>
      <c r="E3872" s="716">
        <v>38.35</v>
      </c>
    </row>
    <row r="3873" spans="1:5">
      <c r="A3873" s="715">
        <v>14149</v>
      </c>
      <c r="B3873" s="633" t="s">
        <v>38308</v>
      </c>
      <c r="C3873" s="715" t="s">
        <v>36636</v>
      </c>
      <c r="D3873" s="715" t="s">
        <v>40839</v>
      </c>
      <c r="E3873" s="716">
        <v>197.93</v>
      </c>
    </row>
    <row r="3874" spans="1:5" ht="29">
      <c r="A3874" s="715">
        <v>38099</v>
      </c>
      <c r="B3874" s="633" t="s">
        <v>38309</v>
      </c>
      <c r="C3874" s="715" t="s">
        <v>103</v>
      </c>
      <c r="D3874" s="715" t="s">
        <v>40839</v>
      </c>
      <c r="E3874" s="716">
        <v>1.68</v>
      </c>
    </row>
    <row r="3875" spans="1:5" ht="29">
      <c r="A3875" s="715">
        <v>38100</v>
      </c>
      <c r="B3875" s="633" t="s">
        <v>38310</v>
      </c>
      <c r="C3875" s="715" t="s">
        <v>103</v>
      </c>
      <c r="D3875" s="715" t="s">
        <v>40839</v>
      </c>
      <c r="E3875" s="716">
        <v>2.76</v>
      </c>
    </row>
    <row r="3876" spans="1:5" ht="29">
      <c r="A3876" s="715">
        <v>7576</v>
      </c>
      <c r="B3876" s="633" t="s">
        <v>38311</v>
      </c>
      <c r="C3876" s="715" t="s">
        <v>103</v>
      </c>
      <c r="D3876" s="715" t="s">
        <v>40839</v>
      </c>
      <c r="E3876" s="716">
        <v>141.30000000000001</v>
      </c>
    </row>
    <row r="3877" spans="1:5">
      <c r="A3877" s="715">
        <v>3384</v>
      </c>
      <c r="B3877" s="633" t="s">
        <v>38312</v>
      </c>
      <c r="C3877" s="715" t="s">
        <v>103</v>
      </c>
      <c r="D3877" s="715" t="s">
        <v>40839</v>
      </c>
      <c r="E3877" s="716">
        <v>8.01</v>
      </c>
    </row>
    <row r="3878" spans="1:5" ht="29">
      <c r="A3878" s="715">
        <v>7572</v>
      </c>
      <c r="B3878" s="633" t="s">
        <v>38313</v>
      </c>
      <c r="C3878" s="715" t="s">
        <v>103</v>
      </c>
      <c r="D3878" s="715" t="s">
        <v>40839</v>
      </c>
      <c r="E3878" s="716">
        <v>7.55</v>
      </c>
    </row>
    <row r="3879" spans="1:5" ht="29">
      <c r="A3879" s="715">
        <v>3396</v>
      </c>
      <c r="B3879" s="633" t="s">
        <v>38314</v>
      </c>
      <c r="C3879" s="715" t="s">
        <v>103</v>
      </c>
      <c r="D3879" s="715" t="s">
        <v>40839</v>
      </c>
      <c r="E3879" s="716">
        <v>5.0999999999999996</v>
      </c>
    </row>
    <row r="3880" spans="1:5">
      <c r="A3880" s="715">
        <v>45230</v>
      </c>
      <c r="B3880" s="633" t="s">
        <v>41072</v>
      </c>
      <c r="C3880" s="715" t="s">
        <v>103</v>
      </c>
      <c r="D3880" s="715" t="s">
        <v>40839</v>
      </c>
      <c r="E3880" s="716">
        <v>42.54</v>
      </c>
    </row>
    <row r="3881" spans="1:5" ht="29">
      <c r="A3881" s="715">
        <v>37590</v>
      </c>
      <c r="B3881" s="633" t="s">
        <v>38315</v>
      </c>
      <c r="C3881" s="715" t="s">
        <v>103</v>
      </c>
      <c r="D3881" s="715" t="s">
        <v>40839</v>
      </c>
      <c r="E3881" s="716">
        <v>16.86</v>
      </c>
    </row>
    <row r="3882" spans="1:5" ht="29">
      <c r="A3882" s="715">
        <v>37591</v>
      </c>
      <c r="B3882" s="633" t="s">
        <v>38316</v>
      </c>
      <c r="C3882" s="715" t="s">
        <v>103</v>
      </c>
      <c r="D3882" s="715" t="s">
        <v>40839</v>
      </c>
      <c r="E3882" s="716">
        <v>20.27</v>
      </c>
    </row>
    <row r="3883" spans="1:5" ht="29">
      <c r="A3883" s="715">
        <v>12626</v>
      </c>
      <c r="B3883" s="633" t="s">
        <v>38317</v>
      </c>
      <c r="C3883" s="715" t="s">
        <v>103</v>
      </c>
      <c r="D3883" s="715" t="s">
        <v>40839</v>
      </c>
      <c r="E3883" s="716">
        <v>49.1</v>
      </c>
    </row>
    <row r="3884" spans="1:5">
      <c r="A3884" s="715">
        <v>11033</v>
      </c>
      <c r="B3884" s="633" t="s">
        <v>38318</v>
      </c>
      <c r="C3884" s="715" t="s">
        <v>103</v>
      </c>
      <c r="D3884" s="715" t="s">
        <v>40839</v>
      </c>
      <c r="E3884" s="716">
        <v>6.8</v>
      </c>
    </row>
    <row r="3885" spans="1:5">
      <c r="A3885" s="715">
        <v>390</v>
      </c>
      <c r="B3885" s="633" t="s">
        <v>38319</v>
      </c>
      <c r="C3885" s="715" t="s">
        <v>103</v>
      </c>
      <c r="D3885" s="715" t="s">
        <v>40839</v>
      </c>
      <c r="E3885" s="716">
        <v>9.23</v>
      </c>
    </row>
    <row r="3886" spans="1:5" ht="43">
      <c r="A3886" s="715">
        <v>42436</v>
      </c>
      <c r="B3886" s="633" t="s">
        <v>38320</v>
      </c>
      <c r="C3886" s="715" t="s">
        <v>103</v>
      </c>
      <c r="D3886" s="715" t="s">
        <v>40839</v>
      </c>
      <c r="E3886" s="716">
        <v>2701.34</v>
      </c>
    </row>
    <row r="3887" spans="1:5">
      <c r="A3887" s="715">
        <v>6194</v>
      </c>
      <c r="B3887" s="633" t="s">
        <v>38321</v>
      </c>
      <c r="C3887" s="715" t="s">
        <v>165</v>
      </c>
      <c r="D3887" s="715" t="s">
        <v>40839</v>
      </c>
      <c r="E3887" s="716">
        <v>5.89</v>
      </c>
    </row>
    <row r="3888" spans="1:5">
      <c r="A3888" s="715">
        <v>10567</v>
      </c>
      <c r="B3888" s="633" t="s">
        <v>38322</v>
      </c>
      <c r="C3888" s="715" t="s">
        <v>165</v>
      </c>
      <c r="D3888" s="715" t="s">
        <v>40839</v>
      </c>
      <c r="E3888" s="716">
        <v>9.33</v>
      </c>
    </row>
    <row r="3889" spans="1:5">
      <c r="A3889" s="715">
        <v>6212</v>
      </c>
      <c r="B3889" s="633" t="s">
        <v>38323</v>
      </c>
      <c r="C3889" s="715" t="s">
        <v>165</v>
      </c>
      <c r="D3889" s="715" t="s">
        <v>28018</v>
      </c>
      <c r="E3889" s="716">
        <v>13.69</v>
      </c>
    </row>
    <row r="3890" spans="1:5" ht="29">
      <c r="A3890" s="715">
        <v>3993</v>
      </c>
      <c r="B3890" s="633" t="s">
        <v>38324</v>
      </c>
      <c r="C3890" s="715" t="s">
        <v>509</v>
      </c>
      <c r="D3890" s="715" t="s">
        <v>40839</v>
      </c>
      <c r="E3890" s="716">
        <v>152.54</v>
      </c>
    </row>
    <row r="3891" spans="1:5" ht="29">
      <c r="A3891" s="715">
        <v>3990</v>
      </c>
      <c r="B3891" s="633" t="s">
        <v>38325</v>
      </c>
      <c r="C3891" s="715" t="s">
        <v>165</v>
      </c>
      <c r="D3891" s="715" t="s">
        <v>40839</v>
      </c>
      <c r="E3891" s="716">
        <v>28.7</v>
      </c>
    </row>
    <row r="3892" spans="1:5" ht="29">
      <c r="A3892" s="715">
        <v>3992</v>
      </c>
      <c r="B3892" s="633" t="s">
        <v>38326</v>
      </c>
      <c r="C3892" s="715" t="s">
        <v>165</v>
      </c>
      <c r="D3892" s="715" t="s">
        <v>40839</v>
      </c>
      <c r="E3892" s="716">
        <v>38.75</v>
      </c>
    </row>
    <row r="3893" spans="1:5" ht="29">
      <c r="A3893" s="715">
        <v>6178</v>
      </c>
      <c r="B3893" s="633" t="s">
        <v>38327</v>
      </c>
      <c r="C3893" s="715" t="s">
        <v>509</v>
      </c>
      <c r="D3893" s="715" t="s">
        <v>40839</v>
      </c>
      <c r="E3893" s="716">
        <v>463.28</v>
      </c>
    </row>
    <row r="3894" spans="1:5" ht="29">
      <c r="A3894" s="715">
        <v>6180</v>
      </c>
      <c r="B3894" s="633" t="s">
        <v>38328</v>
      </c>
      <c r="C3894" s="715" t="s">
        <v>509</v>
      </c>
      <c r="D3894" s="715" t="s">
        <v>28018</v>
      </c>
      <c r="E3894" s="716">
        <v>500</v>
      </c>
    </row>
    <row r="3895" spans="1:5" ht="29">
      <c r="A3895" s="715">
        <v>6182</v>
      </c>
      <c r="B3895" s="633" t="s">
        <v>38329</v>
      </c>
      <c r="C3895" s="715" t="s">
        <v>509</v>
      </c>
      <c r="D3895" s="715" t="s">
        <v>40839</v>
      </c>
      <c r="E3895" s="716">
        <v>620.62</v>
      </c>
    </row>
    <row r="3896" spans="1:5" ht="29">
      <c r="A3896" s="715">
        <v>43614</v>
      </c>
      <c r="B3896" s="633" t="s">
        <v>38330</v>
      </c>
      <c r="C3896" s="715" t="s">
        <v>165</v>
      </c>
      <c r="D3896" s="715" t="s">
        <v>40839</v>
      </c>
      <c r="E3896" s="716">
        <v>19.39</v>
      </c>
    </row>
    <row r="3897" spans="1:5" ht="29">
      <c r="A3897" s="715">
        <v>6193</v>
      </c>
      <c r="B3897" s="633" t="s">
        <v>38331</v>
      </c>
      <c r="C3897" s="715" t="s">
        <v>165</v>
      </c>
      <c r="D3897" s="715" t="s">
        <v>40839</v>
      </c>
      <c r="E3897" s="716">
        <v>23.6</v>
      </c>
    </row>
    <row r="3898" spans="1:5" ht="29">
      <c r="A3898" s="715">
        <v>6189</v>
      </c>
      <c r="B3898" s="633" t="s">
        <v>38332</v>
      </c>
      <c r="C3898" s="715" t="s">
        <v>165</v>
      </c>
      <c r="D3898" s="715" t="s">
        <v>40839</v>
      </c>
      <c r="E3898" s="716">
        <v>34.44</v>
      </c>
    </row>
    <row r="3899" spans="1:5" ht="29">
      <c r="A3899" s="715">
        <v>6214</v>
      </c>
      <c r="B3899" s="633" t="s">
        <v>38333</v>
      </c>
      <c r="C3899" s="715" t="s">
        <v>509</v>
      </c>
      <c r="D3899" s="715" t="s">
        <v>40839</v>
      </c>
      <c r="E3899" s="716">
        <v>290.2</v>
      </c>
    </row>
    <row r="3900" spans="1:5" ht="29">
      <c r="A3900" s="715">
        <v>44027</v>
      </c>
      <c r="B3900" s="633" t="s">
        <v>41369</v>
      </c>
      <c r="C3900" s="715" t="s">
        <v>103</v>
      </c>
      <c r="D3900" s="715" t="s">
        <v>40839</v>
      </c>
      <c r="E3900" s="716">
        <v>1.1599999999999999</v>
      </c>
    </row>
    <row r="3901" spans="1:5" ht="29">
      <c r="A3901" s="715">
        <v>36153</v>
      </c>
      <c r="B3901" s="633" t="s">
        <v>38334</v>
      </c>
      <c r="C3901" s="715" t="s">
        <v>103</v>
      </c>
      <c r="D3901" s="715" t="s">
        <v>40839</v>
      </c>
      <c r="E3901" s="716">
        <v>212.08</v>
      </c>
    </row>
    <row r="3902" spans="1:5">
      <c r="A3902" s="715">
        <v>10742</v>
      </c>
      <c r="B3902" s="633" t="s">
        <v>38335</v>
      </c>
      <c r="C3902" s="715" t="s">
        <v>103</v>
      </c>
      <c r="D3902" s="715" t="s">
        <v>28018</v>
      </c>
      <c r="E3902" s="716">
        <v>889.9</v>
      </c>
    </row>
    <row r="3903" spans="1:5">
      <c r="A3903" s="715">
        <v>45239</v>
      </c>
      <c r="B3903" s="633" t="s">
        <v>40875</v>
      </c>
      <c r="C3903" s="715" t="s">
        <v>103</v>
      </c>
      <c r="D3903" s="715" t="s">
        <v>40839</v>
      </c>
      <c r="E3903" s="716">
        <v>28.01</v>
      </c>
    </row>
    <row r="3904" spans="1:5">
      <c r="A3904" s="715">
        <v>38465</v>
      </c>
      <c r="B3904" s="633" t="s">
        <v>38336</v>
      </c>
      <c r="C3904" s="715" t="s">
        <v>103</v>
      </c>
      <c r="D3904" s="715" t="s">
        <v>40839</v>
      </c>
      <c r="E3904" s="716">
        <v>77.39</v>
      </c>
    </row>
    <row r="3905" spans="1:5">
      <c r="A3905" s="715">
        <v>7543</v>
      </c>
      <c r="B3905" s="633" t="s">
        <v>38337</v>
      </c>
      <c r="C3905" s="715" t="s">
        <v>103</v>
      </c>
      <c r="D3905" s="715" t="s">
        <v>40839</v>
      </c>
      <c r="E3905" s="716">
        <v>4.55</v>
      </c>
    </row>
    <row r="3906" spans="1:5" ht="29">
      <c r="A3906" s="715">
        <v>43427</v>
      </c>
      <c r="B3906" s="633" t="s">
        <v>38338</v>
      </c>
      <c r="C3906" s="715" t="s">
        <v>103</v>
      </c>
      <c r="D3906" s="715" t="s">
        <v>40839</v>
      </c>
      <c r="E3906" s="716">
        <v>2180.25</v>
      </c>
    </row>
    <row r="3907" spans="1:5">
      <c r="A3907" s="715">
        <v>41613</v>
      </c>
      <c r="B3907" s="633" t="s">
        <v>38339</v>
      </c>
      <c r="C3907" s="715" t="s">
        <v>103</v>
      </c>
      <c r="D3907" s="715" t="s">
        <v>40839</v>
      </c>
      <c r="E3907" s="716">
        <v>140.15</v>
      </c>
    </row>
    <row r="3908" spans="1:5">
      <c r="A3908" s="715">
        <v>41614</v>
      </c>
      <c r="B3908" s="633" t="s">
        <v>38340</v>
      </c>
      <c r="C3908" s="715" t="s">
        <v>103</v>
      </c>
      <c r="D3908" s="715" t="s">
        <v>40839</v>
      </c>
      <c r="E3908" s="716">
        <v>178.57</v>
      </c>
    </row>
    <row r="3909" spans="1:5">
      <c r="A3909" s="715">
        <v>41615</v>
      </c>
      <c r="B3909" s="633" t="s">
        <v>38341</v>
      </c>
      <c r="C3909" s="715" t="s">
        <v>103</v>
      </c>
      <c r="D3909" s="715" t="s">
        <v>40839</v>
      </c>
      <c r="E3909" s="716">
        <v>276</v>
      </c>
    </row>
    <row r="3910" spans="1:5">
      <c r="A3910" s="715">
        <v>41616</v>
      </c>
      <c r="B3910" s="633" t="s">
        <v>38342</v>
      </c>
      <c r="C3910" s="715" t="s">
        <v>103</v>
      </c>
      <c r="D3910" s="715" t="s">
        <v>40839</v>
      </c>
      <c r="E3910" s="716">
        <v>412.39</v>
      </c>
    </row>
    <row r="3911" spans="1:5">
      <c r="A3911" s="715">
        <v>41617</v>
      </c>
      <c r="B3911" s="633" t="s">
        <v>38343</v>
      </c>
      <c r="C3911" s="715" t="s">
        <v>103</v>
      </c>
      <c r="D3911" s="715" t="s">
        <v>40839</v>
      </c>
      <c r="E3911" s="716">
        <v>819.99</v>
      </c>
    </row>
    <row r="3912" spans="1:5">
      <c r="A3912" s="715">
        <v>41618</v>
      </c>
      <c r="B3912" s="633" t="s">
        <v>38344</v>
      </c>
      <c r="C3912" s="715" t="s">
        <v>103</v>
      </c>
      <c r="D3912" s="715" t="s">
        <v>40839</v>
      </c>
      <c r="E3912" s="716">
        <v>1509.56</v>
      </c>
    </row>
    <row r="3913" spans="1:5" ht="29">
      <c r="A3913" s="715">
        <v>43428</v>
      </c>
      <c r="B3913" s="633" t="s">
        <v>38345</v>
      </c>
      <c r="C3913" s="715" t="s">
        <v>103</v>
      </c>
      <c r="D3913" s="715" t="s">
        <v>40839</v>
      </c>
      <c r="E3913" s="716">
        <v>2651.57</v>
      </c>
    </row>
    <row r="3914" spans="1:5" ht="29">
      <c r="A3914" s="715">
        <v>41619</v>
      </c>
      <c r="B3914" s="633" t="s">
        <v>38346</v>
      </c>
      <c r="C3914" s="715" t="s">
        <v>103</v>
      </c>
      <c r="D3914" s="715" t="s">
        <v>40839</v>
      </c>
      <c r="E3914" s="716">
        <v>171.79</v>
      </c>
    </row>
    <row r="3915" spans="1:5" ht="29">
      <c r="A3915" s="715">
        <v>41620</v>
      </c>
      <c r="B3915" s="633" t="s">
        <v>38347</v>
      </c>
      <c r="C3915" s="715" t="s">
        <v>103</v>
      </c>
      <c r="D3915" s="715" t="s">
        <v>40839</v>
      </c>
      <c r="E3915" s="716">
        <v>217</v>
      </c>
    </row>
    <row r="3916" spans="1:5" ht="29">
      <c r="A3916" s="715">
        <v>41622</v>
      </c>
      <c r="B3916" s="633" t="s">
        <v>38348</v>
      </c>
      <c r="C3916" s="715" t="s">
        <v>103</v>
      </c>
      <c r="D3916" s="715" t="s">
        <v>40839</v>
      </c>
      <c r="E3916" s="716">
        <v>376.37</v>
      </c>
    </row>
    <row r="3917" spans="1:5" ht="29">
      <c r="A3917" s="715">
        <v>41623</v>
      </c>
      <c r="B3917" s="633" t="s">
        <v>38349</v>
      </c>
      <c r="C3917" s="715" t="s">
        <v>103</v>
      </c>
      <c r="D3917" s="715" t="s">
        <v>40839</v>
      </c>
      <c r="E3917" s="716">
        <v>578.67999999999995</v>
      </c>
    </row>
    <row r="3918" spans="1:5" ht="29">
      <c r="A3918" s="715">
        <v>41624</v>
      </c>
      <c r="B3918" s="633" t="s">
        <v>38350</v>
      </c>
      <c r="C3918" s="715" t="s">
        <v>103</v>
      </c>
      <c r="D3918" s="715" t="s">
        <v>40839</v>
      </c>
      <c r="E3918" s="716">
        <v>1085.04</v>
      </c>
    </row>
    <row r="3919" spans="1:5" ht="29">
      <c r="A3919" s="715">
        <v>41625</v>
      </c>
      <c r="B3919" s="633" t="s">
        <v>38351</v>
      </c>
      <c r="C3919" s="715" t="s">
        <v>103</v>
      </c>
      <c r="D3919" s="715" t="s">
        <v>40839</v>
      </c>
      <c r="E3919" s="716">
        <v>1669.38</v>
      </c>
    </row>
    <row r="3920" spans="1:5">
      <c r="A3920" s="715">
        <v>39346</v>
      </c>
      <c r="B3920" s="633" t="s">
        <v>38352</v>
      </c>
      <c r="C3920" s="715" t="s">
        <v>103</v>
      </c>
      <c r="D3920" s="715" t="s">
        <v>40839</v>
      </c>
      <c r="E3920" s="716">
        <v>2.81</v>
      </c>
    </row>
    <row r="3921" spans="1:5">
      <c r="A3921" s="715">
        <v>39350</v>
      </c>
      <c r="B3921" s="633" t="s">
        <v>38353</v>
      </c>
      <c r="C3921" s="715" t="s">
        <v>103</v>
      </c>
      <c r="D3921" s="715" t="s">
        <v>40839</v>
      </c>
      <c r="E3921" s="716">
        <v>3.02</v>
      </c>
    </row>
    <row r="3922" spans="1:5">
      <c r="A3922" s="715">
        <v>39351</v>
      </c>
      <c r="B3922" s="633" t="s">
        <v>38354</v>
      </c>
      <c r="C3922" s="715" t="s">
        <v>103</v>
      </c>
      <c r="D3922" s="715" t="s">
        <v>40839</v>
      </c>
      <c r="E3922" s="716">
        <v>3.5</v>
      </c>
    </row>
    <row r="3923" spans="1:5">
      <c r="A3923" s="715">
        <v>39352</v>
      </c>
      <c r="B3923" s="633" t="s">
        <v>38355</v>
      </c>
      <c r="C3923" s="715" t="s">
        <v>103</v>
      </c>
      <c r="D3923" s="715" t="s">
        <v>40839</v>
      </c>
      <c r="E3923" s="716">
        <v>2.81</v>
      </c>
    </row>
    <row r="3924" spans="1:5">
      <c r="A3924" s="715">
        <v>38837</v>
      </c>
      <c r="B3924" s="633" t="s">
        <v>38356</v>
      </c>
      <c r="C3924" s="715" t="s">
        <v>103</v>
      </c>
      <c r="D3924" s="715" t="s">
        <v>40839</v>
      </c>
      <c r="E3924" s="716">
        <v>8.81</v>
      </c>
    </row>
    <row r="3925" spans="1:5">
      <c r="A3925" s="715">
        <v>38836</v>
      </c>
      <c r="B3925" s="633" t="s">
        <v>38357</v>
      </c>
      <c r="C3925" s="715" t="s">
        <v>103</v>
      </c>
      <c r="D3925" s="715" t="s">
        <v>40839</v>
      </c>
      <c r="E3925" s="716">
        <v>6.15</v>
      </c>
    </row>
    <row r="3926" spans="1:5" ht="29">
      <c r="A3926" s="715">
        <v>2666</v>
      </c>
      <c r="B3926" s="633" t="s">
        <v>38358</v>
      </c>
      <c r="C3926" s="715" t="s">
        <v>103</v>
      </c>
      <c r="D3926" s="715" t="s">
        <v>40839</v>
      </c>
      <c r="E3926" s="716">
        <v>7.05</v>
      </c>
    </row>
    <row r="3927" spans="1:5" ht="29">
      <c r="A3927" s="715">
        <v>2668</v>
      </c>
      <c r="B3927" s="633" t="s">
        <v>38359</v>
      </c>
      <c r="C3927" s="715" t="s">
        <v>103</v>
      </c>
      <c r="D3927" s="715" t="s">
        <v>40839</v>
      </c>
      <c r="E3927" s="716">
        <v>8.0500000000000007</v>
      </c>
    </row>
    <row r="3928" spans="1:5" ht="29">
      <c r="A3928" s="715">
        <v>2664</v>
      </c>
      <c r="B3928" s="633" t="s">
        <v>38360</v>
      </c>
      <c r="C3928" s="715" t="s">
        <v>103</v>
      </c>
      <c r="D3928" s="715" t="s">
        <v>40839</v>
      </c>
      <c r="E3928" s="716">
        <v>11.88</v>
      </c>
    </row>
    <row r="3929" spans="1:5" ht="29">
      <c r="A3929" s="715">
        <v>2662</v>
      </c>
      <c r="B3929" s="633" t="s">
        <v>38361</v>
      </c>
      <c r="C3929" s="715" t="s">
        <v>103</v>
      </c>
      <c r="D3929" s="715" t="s">
        <v>40839</v>
      </c>
      <c r="E3929" s="716">
        <v>14.57</v>
      </c>
    </row>
    <row r="3930" spans="1:5" ht="29">
      <c r="A3930" s="715">
        <v>20964</v>
      </c>
      <c r="B3930" s="633" t="s">
        <v>38362</v>
      </c>
      <c r="C3930" s="715" t="s">
        <v>103</v>
      </c>
      <c r="D3930" s="715" t="s">
        <v>40839</v>
      </c>
      <c r="E3930" s="716">
        <v>135.49</v>
      </c>
    </row>
    <row r="3931" spans="1:5" ht="29">
      <c r="A3931" s="715">
        <v>10905</v>
      </c>
      <c r="B3931" s="633" t="s">
        <v>38363</v>
      </c>
      <c r="C3931" s="715" t="s">
        <v>103</v>
      </c>
      <c r="D3931" s="715" t="s">
        <v>40839</v>
      </c>
      <c r="E3931" s="716">
        <v>181.76</v>
      </c>
    </row>
    <row r="3932" spans="1:5" ht="29">
      <c r="A3932" s="715">
        <v>11289</v>
      </c>
      <c r="B3932" s="633" t="s">
        <v>38364</v>
      </c>
      <c r="C3932" s="715" t="s">
        <v>103</v>
      </c>
      <c r="D3932" s="715" t="s">
        <v>40839</v>
      </c>
      <c r="E3932" s="716">
        <v>84.65</v>
      </c>
    </row>
    <row r="3933" spans="1:5" ht="29">
      <c r="A3933" s="715">
        <v>11241</v>
      </c>
      <c r="B3933" s="633" t="s">
        <v>38365</v>
      </c>
      <c r="C3933" s="715" t="s">
        <v>103</v>
      </c>
      <c r="D3933" s="715" t="s">
        <v>40839</v>
      </c>
      <c r="E3933" s="716">
        <v>211.62</v>
      </c>
    </row>
    <row r="3934" spans="1:5" ht="29">
      <c r="A3934" s="715">
        <v>11301</v>
      </c>
      <c r="B3934" s="633" t="s">
        <v>38366</v>
      </c>
      <c r="C3934" s="715" t="s">
        <v>103</v>
      </c>
      <c r="D3934" s="715" t="s">
        <v>40839</v>
      </c>
      <c r="E3934" s="716">
        <v>536.62</v>
      </c>
    </row>
    <row r="3935" spans="1:5" ht="29">
      <c r="A3935" s="715">
        <v>21090</v>
      </c>
      <c r="B3935" s="633" t="s">
        <v>38367</v>
      </c>
      <c r="C3935" s="715" t="s">
        <v>103</v>
      </c>
      <c r="D3935" s="715" t="s">
        <v>40839</v>
      </c>
      <c r="E3935" s="716">
        <v>657.55</v>
      </c>
    </row>
    <row r="3936" spans="1:5" ht="29">
      <c r="A3936" s="715">
        <v>11315</v>
      </c>
      <c r="B3936" s="633" t="s">
        <v>38368</v>
      </c>
      <c r="C3936" s="715" t="s">
        <v>103</v>
      </c>
      <c r="D3936" s="715" t="s">
        <v>40839</v>
      </c>
      <c r="E3936" s="716">
        <v>128.47999999999999</v>
      </c>
    </row>
    <row r="3937" spans="1:5" ht="29">
      <c r="A3937" s="715">
        <v>21071</v>
      </c>
      <c r="B3937" s="633" t="s">
        <v>38369</v>
      </c>
      <c r="C3937" s="715" t="s">
        <v>103</v>
      </c>
      <c r="D3937" s="715" t="s">
        <v>40839</v>
      </c>
      <c r="E3937" s="716">
        <v>196.51</v>
      </c>
    </row>
    <row r="3938" spans="1:5" ht="29">
      <c r="A3938" s="715">
        <v>14112</v>
      </c>
      <c r="B3938" s="633" t="s">
        <v>38370</v>
      </c>
      <c r="C3938" s="715" t="s">
        <v>103</v>
      </c>
      <c r="D3938" s="715" t="s">
        <v>40839</v>
      </c>
      <c r="E3938" s="716">
        <v>274.36</v>
      </c>
    </row>
    <row r="3939" spans="1:5" ht="29">
      <c r="A3939" s="715">
        <v>11316</v>
      </c>
      <c r="B3939" s="633" t="s">
        <v>38371</v>
      </c>
      <c r="C3939" s="715" t="s">
        <v>103</v>
      </c>
      <c r="D3939" s="715" t="s">
        <v>40839</v>
      </c>
      <c r="E3939" s="716">
        <v>423.25</v>
      </c>
    </row>
    <row r="3940" spans="1:5" ht="29">
      <c r="A3940" s="715">
        <v>6243</v>
      </c>
      <c r="B3940" s="633" t="s">
        <v>38372</v>
      </c>
      <c r="C3940" s="715" t="s">
        <v>103</v>
      </c>
      <c r="D3940" s="715" t="s">
        <v>28018</v>
      </c>
      <c r="E3940" s="716">
        <v>487.5</v>
      </c>
    </row>
    <row r="3941" spans="1:5" ht="29">
      <c r="A3941" s="715">
        <v>6240</v>
      </c>
      <c r="B3941" s="633" t="s">
        <v>38373</v>
      </c>
      <c r="C3941" s="715" t="s">
        <v>103</v>
      </c>
      <c r="D3941" s="715" t="s">
        <v>40839</v>
      </c>
      <c r="E3941" s="716">
        <v>645.46</v>
      </c>
    </row>
    <row r="3942" spans="1:5" ht="29">
      <c r="A3942" s="715">
        <v>11296</v>
      </c>
      <c r="B3942" s="633" t="s">
        <v>38374</v>
      </c>
      <c r="C3942" s="715" t="s">
        <v>103</v>
      </c>
      <c r="D3942" s="715" t="s">
        <v>40839</v>
      </c>
      <c r="E3942" s="716">
        <v>2056.56</v>
      </c>
    </row>
    <row r="3943" spans="1:5" ht="29">
      <c r="A3943" s="715">
        <v>11299</v>
      </c>
      <c r="B3943" s="633" t="s">
        <v>38375</v>
      </c>
      <c r="C3943" s="715" t="s">
        <v>103</v>
      </c>
      <c r="D3943" s="715" t="s">
        <v>40839</v>
      </c>
      <c r="E3943" s="716">
        <v>696.1</v>
      </c>
    </row>
    <row r="3944" spans="1:5" ht="29">
      <c r="A3944" s="715">
        <v>11688</v>
      </c>
      <c r="B3944" s="633" t="s">
        <v>38376</v>
      </c>
      <c r="C3944" s="715" t="s">
        <v>103</v>
      </c>
      <c r="D3944" s="715" t="s">
        <v>40839</v>
      </c>
      <c r="E3944" s="716">
        <v>485.86</v>
      </c>
    </row>
    <row r="3945" spans="1:5" ht="43">
      <c r="A3945" s="715">
        <v>37736</v>
      </c>
      <c r="B3945" s="633" t="s">
        <v>38377</v>
      </c>
      <c r="C3945" s="715" t="s">
        <v>103</v>
      </c>
      <c r="D3945" s="715" t="s">
        <v>28018</v>
      </c>
      <c r="E3945" s="716">
        <v>91750</v>
      </c>
    </row>
    <row r="3946" spans="1:5" ht="29">
      <c r="A3946" s="715">
        <v>37739</v>
      </c>
      <c r="B3946" s="633" t="s">
        <v>38378</v>
      </c>
      <c r="C3946" s="715" t="s">
        <v>103</v>
      </c>
      <c r="D3946" s="715" t="s">
        <v>40839</v>
      </c>
      <c r="E3946" s="716">
        <v>112923.07</v>
      </c>
    </row>
    <row r="3947" spans="1:5" ht="29">
      <c r="A3947" s="715">
        <v>37738</v>
      </c>
      <c r="B3947" s="633" t="s">
        <v>38379</v>
      </c>
      <c r="C3947" s="715" t="s">
        <v>103</v>
      </c>
      <c r="D3947" s="715" t="s">
        <v>40839</v>
      </c>
      <c r="E3947" s="716">
        <v>76560.62</v>
      </c>
    </row>
    <row r="3948" spans="1:5">
      <c r="A3948" s="715">
        <v>25014</v>
      </c>
      <c r="B3948" s="633" t="s">
        <v>38380</v>
      </c>
      <c r="C3948" s="715" t="s">
        <v>103</v>
      </c>
      <c r="D3948" s="715" t="s">
        <v>40839</v>
      </c>
      <c r="E3948" s="716">
        <v>127575.45</v>
      </c>
    </row>
    <row r="3949" spans="1:5">
      <c r="A3949" s="715">
        <v>14405</v>
      </c>
      <c r="B3949" s="633" t="s">
        <v>38381</v>
      </c>
      <c r="C3949" s="715" t="s">
        <v>103</v>
      </c>
      <c r="D3949" s="715" t="s">
        <v>40839</v>
      </c>
      <c r="E3949" s="716">
        <v>156956.93</v>
      </c>
    </row>
    <row r="3950" spans="1:5">
      <c r="A3950" s="715">
        <v>20271</v>
      </c>
      <c r="B3950" s="633" t="s">
        <v>38382</v>
      </c>
      <c r="C3950" s="715" t="s">
        <v>103</v>
      </c>
      <c r="D3950" s="715" t="s">
        <v>40839</v>
      </c>
      <c r="E3950" s="716">
        <v>589.30999999999995</v>
      </c>
    </row>
    <row r="3951" spans="1:5">
      <c r="A3951" s="715">
        <v>10423</v>
      </c>
      <c r="B3951" s="633" t="s">
        <v>38383</v>
      </c>
      <c r="C3951" s="715" t="s">
        <v>103</v>
      </c>
      <c r="D3951" s="715" t="s">
        <v>40839</v>
      </c>
      <c r="E3951" s="716">
        <v>432.69</v>
      </c>
    </row>
    <row r="3952" spans="1:5" ht="29">
      <c r="A3952" s="715">
        <v>36790</v>
      </c>
      <c r="B3952" s="633" t="s">
        <v>38384</v>
      </c>
      <c r="C3952" s="715" t="s">
        <v>103</v>
      </c>
      <c r="D3952" s="715" t="s">
        <v>40839</v>
      </c>
      <c r="E3952" s="716">
        <v>429.45</v>
      </c>
    </row>
    <row r="3953" spans="1:5" ht="29">
      <c r="A3953" s="715">
        <v>37589</v>
      </c>
      <c r="B3953" s="633" t="s">
        <v>38385</v>
      </c>
      <c r="C3953" s="715" t="s">
        <v>103</v>
      </c>
      <c r="D3953" s="715" t="s">
        <v>40839</v>
      </c>
      <c r="E3953" s="716">
        <v>526.17999999999995</v>
      </c>
    </row>
    <row r="3954" spans="1:5" ht="29">
      <c r="A3954" s="715">
        <v>11690</v>
      </c>
      <c r="B3954" s="633" t="s">
        <v>38386</v>
      </c>
      <c r="C3954" s="715" t="s">
        <v>103</v>
      </c>
      <c r="D3954" s="715" t="s">
        <v>40839</v>
      </c>
      <c r="E3954" s="716">
        <v>279.52</v>
      </c>
    </row>
    <row r="3955" spans="1:5" ht="29">
      <c r="A3955" s="715">
        <v>20234</v>
      </c>
      <c r="B3955" s="633" t="s">
        <v>38387</v>
      </c>
      <c r="C3955" s="715" t="s">
        <v>103</v>
      </c>
      <c r="D3955" s="715" t="s">
        <v>40839</v>
      </c>
      <c r="E3955" s="716">
        <v>353.74</v>
      </c>
    </row>
    <row r="3956" spans="1:5">
      <c r="A3956" s="715">
        <v>44480</v>
      </c>
      <c r="B3956" s="633" t="s">
        <v>38388</v>
      </c>
      <c r="C3956" s="715" t="s">
        <v>121</v>
      </c>
      <c r="D3956" s="715" t="s">
        <v>40839</v>
      </c>
      <c r="E3956" s="716">
        <v>16.649999999999999</v>
      </c>
    </row>
    <row r="3957" spans="1:5" ht="29">
      <c r="A3957" s="715">
        <v>11457</v>
      </c>
      <c r="B3957" s="633" t="s">
        <v>38389</v>
      </c>
      <c r="C3957" s="715" t="s">
        <v>103</v>
      </c>
      <c r="D3957" s="715" t="s">
        <v>40839</v>
      </c>
      <c r="E3957" s="716">
        <v>45.79</v>
      </c>
    </row>
    <row r="3958" spans="1:5" ht="29">
      <c r="A3958" s="715">
        <v>44073</v>
      </c>
      <c r="B3958" s="633" t="s">
        <v>38390</v>
      </c>
      <c r="C3958" s="715" t="s">
        <v>165</v>
      </c>
      <c r="D3958" s="715" t="s">
        <v>40839</v>
      </c>
      <c r="E3958" s="716">
        <v>0.91</v>
      </c>
    </row>
    <row r="3959" spans="1:5">
      <c r="A3959" s="715">
        <v>3593</v>
      </c>
      <c r="B3959" s="633" t="s">
        <v>38391</v>
      </c>
      <c r="C3959" s="715" t="s">
        <v>103</v>
      </c>
      <c r="D3959" s="715" t="s">
        <v>40839</v>
      </c>
      <c r="E3959" s="716">
        <v>94.75</v>
      </c>
    </row>
    <row r="3960" spans="1:5">
      <c r="A3960" s="715">
        <v>3588</v>
      </c>
      <c r="B3960" s="633" t="s">
        <v>38392</v>
      </c>
      <c r="C3960" s="715" t="s">
        <v>103</v>
      </c>
      <c r="D3960" s="715" t="s">
        <v>40839</v>
      </c>
      <c r="E3960" s="716">
        <v>73.03</v>
      </c>
    </row>
    <row r="3961" spans="1:5">
      <c r="A3961" s="715">
        <v>3587</v>
      </c>
      <c r="B3961" s="633" t="s">
        <v>38393</v>
      </c>
      <c r="C3961" s="715" t="s">
        <v>103</v>
      </c>
      <c r="D3961" s="715" t="s">
        <v>40839</v>
      </c>
      <c r="E3961" s="716">
        <v>45.32</v>
      </c>
    </row>
    <row r="3962" spans="1:5">
      <c r="A3962" s="715">
        <v>3585</v>
      </c>
      <c r="B3962" s="633" t="s">
        <v>38394</v>
      </c>
      <c r="C3962" s="715" t="s">
        <v>103</v>
      </c>
      <c r="D3962" s="715" t="s">
        <v>40839</v>
      </c>
      <c r="E3962" s="716">
        <v>22.56</v>
      </c>
    </row>
    <row r="3963" spans="1:5">
      <c r="A3963" s="715">
        <v>3590</v>
      </c>
      <c r="B3963" s="633" t="s">
        <v>38395</v>
      </c>
      <c r="C3963" s="715" t="s">
        <v>103</v>
      </c>
      <c r="D3963" s="715" t="s">
        <v>40839</v>
      </c>
      <c r="E3963" s="716">
        <v>269.02</v>
      </c>
    </row>
    <row r="3964" spans="1:5">
      <c r="A3964" s="715">
        <v>3589</v>
      </c>
      <c r="B3964" s="633" t="s">
        <v>38396</v>
      </c>
      <c r="C3964" s="715" t="s">
        <v>103</v>
      </c>
      <c r="D3964" s="715" t="s">
        <v>40839</v>
      </c>
      <c r="E3964" s="716">
        <v>144.38999999999999</v>
      </c>
    </row>
    <row r="3965" spans="1:5">
      <c r="A3965" s="715">
        <v>3592</v>
      </c>
      <c r="B3965" s="633" t="s">
        <v>38397</v>
      </c>
      <c r="C3965" s="715" t="s">
        <v>103</v>
      </c>
      <c r="D3965" s="715" t="s">
        <v>40839</v>
      </c>
      <c r="E3965" s="716">
        <v>425.24</v>
      </c>
    </row>
    <row r="3966" spans="1:5">
      <c r="A3966" s="715">
        <v>3586</v>
      </c>
      <c r="B3966" s="633" t="s">
        <v>38398</v>
      </c>
      <c r="C3966" s="715" t="s">
        <v>103</v>
      </c>
      <c r="D3966" s="715" t="s">
        <v>40839</v>
      </c>
      <c r="E3966" s="716">
        <v>29.54</v>
      </c>
    </row>
    <row r="3967" spans="1:5">
      <c r="A3967" s="715">
        <v>3591</v>
      </c>
      <c r="B3967" s="633" t="s">
        <v>38399</v>
      </c>
      <c r="C3967" s="715" t="s">
        <v>103</v>
      </c>
      <c r="D3967" s="715" t="s">
        <v>40839</v>
      </c>
      <c r="E3967" s="716">
        <v>681.68</v>
      </c>
    </row>
    <row r="3968" spans="1:5">
      <c r="A3968" s="715">
        <v>40396</v>
      </c>
      <c r="B3968" s="633" t="s">
        <v>38400</v>
      </c>
      <c r="C3968" s="715" t="s">
        <v>103</v>
      </c>
      <c r="D3968" s="715" t="s">
        <v>40839</v>
      </c>
      <c r="E3968" s="716">
        <v>128.69</v>
      </c>
    </row>
    <row r="3969" spans="1:5">
      <c r="A3969" s="715">
        <v>40395</v>
      </c>
      <c r="B3969" s="633" t="s">
        <v>38401</v>
      </c>
      <c r="C3969" s="715" t="s">
        <v>103</v>
      </c>
      <c r="D3969" s="715" t="s">
        <v>40839</v>
      </c>
      <c r="E3969" s="716">
        <v>98.76</v>
      </c>
    </row>
    <row r="3970" spans="1:5">
      <c r="A3970" s="715">
        <v>40394</v>
      </c>
      <c r="B3970" s="633" t="s">
        <v>38402</v>
      </c>
      <c r="C3970" s="715" t="s">
        <v>103</v>
      </c>
      <c r="D3970" s="715" t="s">
        <v>40839</v>
      </c>
      <c r="E3970" s="716">
        <v>64.3</v>
      </c>
    </row>
    <row r="3971" spans="1:5">
      <c r="A3971" s="715">
        <v>40392</v>
      </c>
      <c r="B3971" s="633" t="s">
        <v>38403</v>
      </c>
      <c r="C3971" s="715" t="s">
        <v>103</v>
      </c>
      <c r="D3971" s="715" t="s">
        <v>40839</v>
      </c>
      <c r="E3971" s="716">
        <v>31.78</v>
      </c>
    </row>
    <row r="3972" spans="1:5">
      <c r="A3972" s="715">
        <v>40398</v>
      </c>
      <c r="B3972" s="633" t="s">
        <v>38404</v>
      </c>
      <c r="C3972" s="715" t="s">
        <v>103</v>
      </c>
      <c r="D3972" s="715" t="s">
        <v>40839</v>
      </c>
      <c r="E3972" s="716">
        <v>412.86</v>
      </c>
    </row>
    <row r="3973" spans="1:5">
      <c r="A3973" s="715">
        <v>40397</v>
      </c>
      <c r="B3973" s="633" t="s">
        <v>38405</v>
      </c>
      <c r="C3973" s="715" t="s">
        <v>103</v>
      </c>
      <c r="D3973" s="715" t="s">
        <v>40839</v>
      </c>
      <c r="E3973" s="716">
        <v>211.43</v>
      </c>
    </row>
    <row r="3974" spans="1:5">
      <c r="A3974" s="715">
        <v>40399</v>
      </c>
      <c r="B3974" s="633" t="s">
        <v>38406</v>
      </c>
      <c r="C3974" s="715" t="s">
        <v>103</v>
      </c>
      <c r="D3974" s="715" t="s">
        <v>40839</v>
      </c>
      <c r="E3974" s="716">
        <v>675.44</v>
      </c>
    </row>
    <row r="3975" spans="1:5">
      <c r="A3975" s="715">
        <v>40393</v>
      </c>
      <c r="B3975" s="633" t="s">
        <v>38407</v>
      </c>
      <c r="C3975" s="715" t="s">
        <v>103</v>
      </c>
      <c r="D3975" s="715" t="s">
        <v>40839</v>
      </c>
      <c r="E3975" s="716">
        <v>40.93</v>
      </c>
    </row>
    <row r="3976" spans="1:5">
      <c r="A3976" s="715">
        <v>44253</v>
      </c>
      <c r="B3976" s="633" t="s">
        <v>38408</v>
      </c>
      <c r="C3976" s="715" t="s">
        <v>103</v>
      </c>
      <c r="D3976" s="715" t="s">
        <v>40839</v>
      </c>
      <c r="E3976" s="716">
        <v>285.74</v>
      </c>
    </row>
    <row r="3977" spans="1:5">
      <c r="A3977" s="715">
        <v>21121</v>
      </c>
      <c r="B3977" s="633" t="s">
        <v>38409</v>
      </c>
      <c r="C3977" s="715" t="s">
        <v>103</v>
      </c>
      <c r="D3977" s="715" t="s">
        <v>40839</v>
      </c>
      <c r="E3977" s="716">
        <v>4.0999999999999996</v>
      </c>
    </row>
    <row r="3978" spans="1:5">
      <c r="A3978" s="715">
        <v>38010</v>
      </c>
      <c r="B3978" s="633" t="s">
        <v>38410</v>
      </c>
      <c r="C3978" s="715" t="s">
        <v>103</v>
      </c>
      <c r="D3978" s="715" t="s">
        <v>40839</v>
      </c>
      <c r="E3978" s="716">
        <v>5.0999999999999996</v>
      </c>
    </row>
    <row r="3979" spans="1:5">
      <c r="A3979" s="715">
        <v>38011</v>
      </c>
      <c r="B3979" s="633" t="s">
        <v>38411</v>
      </c>
      <c r="C3979" s="715" t="s">
        <v>103</v>
      </c>
      <c r="D3979" s="715" t="s">
        <v>40839</v>
      </c>
      <c r="E3979" s="716">
        <v>10.23</v>
      </c>
    </row>
    <row r="3980" spans="1:5">
      <c r="A3980" s="715">
        <v>38012</v>
      </c>
      <c r="B3980" s="633" t="s">
        <v>38412</v>
      </c>
      <c r="C3980" s="715" t="s">
        <v>103</v>
      </c>
      <c r="D3980" s="715" t="s">
        <v>40839</v>
      </c>
      <c r="E3980" s="716">
        <v>39</v>
      </c>
    </row>
    <row r="3981" spans="1:5">
      <c r="A3981" s="715">
        <v>38013</v>
      </c>
      <c r="B3981" s="633" t="s">
        <v>38413</v>
      </c>
      <c r="C3981" s="715" t="s">
        <v>103</v>
      </c>
      <c r="D3981" s="715" t="s">
        <v>40839</v>
      </c>
      <c r="E3981" s="716">
        <v>50.11</v>
      </c>
    </row>
    <row r="3982" spans="1:5">
      <c r="A3982" s="715">
        <v>38014</v>
      </c>
      <c r="B3982" s="633" t="s">
        <v>38414</v>
      </c>
      <c r="C3982" s="715" t="s">
        <v>103</v>
      </c>
      <c r="D3982" s="715" t="s">
        <v>40839</v>
      </c>
      <c r="E3982" s="716">
        <v>83.68</v>
      </c>
    </row>
    <row r="3983" spans="1:5">
      <c r="A3983" s="715">
        <v>38015</v>
      </c>
      <c r="B3983" s="633" t="s">
        <v>38415</v>
      </c>
      <c r="C3983" s="715" t="s">
        <v>103</v>
      </c>
      <c r="D3983" s="715" t="s">
        <v>40839</v>
      </c>
      <c r="E3983" s="716">
        <v>196.73</v>
      </c>
    </row>
    <row r="3984" spans="1:5">
      <c r="A3984" s="715">
        <v>38016</v>
      </c>
      <c r="B3984" s="633" t="s">
        <v>38416</v>
      </c>
      <c r="C3984" s="715" t="s">
        <v>103</v>
      </c>
      <c r="D3984" s="715" t="s">
        <v>40839</v>
      </c>
      <c r="E3984" s="716">
        <v>228.77</v>
      </c>
    </row>
    <row r="3985" spans="1:5">
      <c r="A3985" s="715">
        <v>12741</v>
      </c>
      <c r="B3985" s="633" t="s">
        <v>38417</v>
      </c>
      <c r="C3985" s="715" t="s">
        <v>103</v>
      </c>
      <c r="D3985" s="715" t="s">
        <v>40839</v>
      </c>
      <c r="E3985" s="716">
        <v>1481.81</v>
      </c>
    </row>
    <row r="3986" spans="1:5">
      <c r="A3986" s="715">
        <v>12733</v>
      </c>
      <c r="B3986" s="633" t="s">
        <v>38418</v>
      </c>
      <c r="C3986" s="715" t="s">
        <v>103</v>
      </c>
      <c r="D3986" s="715" t="s">
        <v>40839</v>
      </c>
      <c r="E3986" s="716">
        <v>7.45</v>
      </c>
    </row>
    <row r="3987" spans="1:5">
      <c r="A3987" s="715">
        <v>12734</v>
      </c>
      <c r="B3987" s="633" t="s">
        <v>38419</v>
      </c>
      <c r="C3987" s="715" t="s">
        <v>103</v>
      </c>
      <c r="D3987" s="715" t="s">
        <v>40839</v>
      </c>
      <c r="E3987" s="716">
        <v>15.89</v>
      </c>
    </row>
    <row r="3988" spans="1:5">
      <c r="A3988" s="715">
        <v>12735</v>
      </c>
      <c r="B3988" s="633" t="s">
        <v>38420</v>
      </c>
      <c r="C3988" s="715" t="s">
        <v>103</v>
      </c>
      <c r="D3988" s="715" t="s">
        <v>40839</v>
      </c>
      <c r="E3988" s="716">
        <v>26.14</v>
      </c>
    </row>
    <row r="3989" spans="1:5">
      <c r="A3989" s="715">
        <v>12736</v>
      </c>
      <c r="B3989" s="633" t="s">
        <v>38421</v>
      </c>
      <c r="C3989" s="715" t="s">
        <v>103</v>
      </c>
      <c r="D3989" s="715" t="s">
        <v>40839</v>
      </c>
      <c r="E3989" s="716">
        <v>59.76</v>
      </c>
    </row>
    <row r="3990" spans="1:5">
      <c r="A3990" s="715">
        <v>12737</v>
      </c>
      <c r="B3990" s="633" t="s">
        <v>38422</v>
      </c>
      <c r="C3990" s="715" t="s">
        <v>103</v>
      </c>
      <c r="D3990" s="715" t="s">
        <v>40839</v>
      </c>
      <c r="E3990" s="716">
        <v>76.989999999999995</v>
      </c>
    </row>
    <row r="3991" spans="1:5">
      <c r="A3991" s="715">
        <v>12738</v>
      </c>
      <c r="B3991" s="633" t="s">
        <v>38423</v>
      </c>
      <c r="C3991" s="715" t="s">
        <v>103</v>
      </c>
      <c r="D3991" s="715" t="s">
        <v>40839</v>
      </c>
      <c r="E3991" s="716">
        <v>152.16999999999999</v>
      </c>
    </row>
    <row r="3992" spans="1:5">
      <c r="A3992" s="715">
        <v>12739</v>
      </c>
      <c r="B3992" s="633" t="s">
        <v>38424</v>
      </c>
      <c r="C3992" s="715" t="s">
        <v>103</v>
      </c>
      <c r="D3992" s="715" t="s">
        <v>40839</v>
      </c>
      <c r="E3992" s="716">
        <v>433.17</v>
      </c>
    </row>
    <row r="3993" spans="1:5">
      <c r="A3993" s="715">
        <v>12740</v>
      </c>
      <c r="B3993" s="633" t="s">
        <v>38425</v>
      </c>
      <c r="C3993" s="715" t="s">
        <v>103</v>
      </c>
      <c r="D3993" s="715" t="s">
        <v>40839</v>
      </c>
      <c r="E3993" s="716">
        <v>677.72</v>
      </c>
    </row>
    <row r="3994" spans="1:5">
      <c r="A3994" s="715">
        <v>6297</v>
      </c>
      <c r="B3994" s="633" t="s">
        <v>38426</v>
      </c>
      <c r="C3994" s="715" t="s">
        <v>103</v>
      </c>
      <c r="D3994" s="715" t="s">
        <v>40839</v>
      </c>
      <c r="E3994" s="716">
        <v>43.66</v>
      </c>
    </row>
    <row r="3995" spans="1:5">
      <c r="A3995" s="715">
        <v>6296</v>
      </c>
      <c r="B3995" s="633" t="s">
        <v>38427</v>
      </c>
      <c r="C3995" s="715" t="s">
        <v>103</v>
      </c>
      <c r="D3995" s="715" t="s">
        <v>40839</v>
      </c>
      <c r="E3995" s="716">
        <v>34.46</v>
      </c>
    </row>
    <row r="3996" spans="1:5">
      <c r="A3996" s="715">
        <v>6323</v>
      </c>
      <c r="B3996" s="633" t="s">
        <v>38428</v>
      </c>
      <c r="C3996" s="715" t="s">
        <v>103</v>
      </c>
      <c r="D3996" s="715" t="s">
        <v>40839</v>
      </c>
      <c r="E3996" s="716">
        <v>22.52</v>
      </c>
    </row>
    <row r="3997" spans="1:5">
      <c r="A3997" s="715">
        <v>6294</v>
      </c>
      <c r="B3997" s="633" t="s">
        <v>38429</v>
      </c>
      <c r="C3997" s="715" t="s">
        <v>103</v>
      </c>
      <c r="D3997" s="715" t="s">
        <v>40839</v>
      </c>
      <c r="E3997" s="716">
        <v>9.82</v>
      </c>
    </row>
    <row r="3998" spans="1:5">
      <c r="A3998" s="715">
        <v>6299</v>
      </c>
      <c r="B3998" s="633" t="s">
        <v>38430</v>
      </c>
      <c r="C3998" s="715" t="s">
        <v>103</v>
      </c>
      <c r="D3998" s="715" t="s">
        <v>40839</v>
      </c>
      <c r="E3998" s="716">
        <v>131.30000000000001</v>
      </c>
    </row>
    <row r="3999" spans="1:5">
      <c r="A3999" s="715">
        <v>6298</v>
      </c>
      <c r="B3999" s="633" t="s">
        <v>38431</v>
      </c>
      <c r="C3999" s="715" t="s">
        <v>103</v>
      </c>
      <c r="D3999" s="715" t="s">
        <v>40839</v>
      </c>
      <c r="E3999" s="716">
        <v>69.150000000000006</v>
      </c>
    </row>
    <row r="4000" spans="1:5">
      <c r="A4000" s="715">
        <v>6322</v>
      </c>
      <c r="B4000" s="633" t="s">
        <v>38432</v>
      </c>
      <c r="C4000" s="715" t="s">
        <v>103</v>
      </c>
      <c r="D4000" s="715" t="s">
        <v>40839</v>
      </c>
      <c r="E4000" s="716">
        <v>175.86</v>
      </c>
    </row>
    <row r="4001" spans="1:5">
      <c r="A4001" s="715">
        <v>6295</v>
      </c>
      <c r="B4001" s="633" t="s">
        <v>38433</v>
      </c>
      <c r="C4001" s="715" t="s">
        <v>103</v>
      </c>
      <c r="D4001" s="715" t="s">
        <v>40839</v>
      </c>
      <c r="E4001" s="716">
        <v>13.99</v>
      </c>
    </row>
    <row r="4002" spans="1:5">
      <c r="A4002" s="715">
        <v>6300</v>
      </c>
      <c r="B4002" s="633" t="s">
        <v>38434</v>
      </c>
      <c r="C4002" s="715" t="s">
        <v>103</v>
      </c>
      <c r="D4002" s="715" t="s">
        <v>40839</v>
      </c>
      <c r="E4002" s="716">
        <v>324.22000000000003</v>
      </c>
    </row>
    <row r="4003" spans="1:5">
      <c r="A4003" s="715">
        <v>6321</v>
      </c>
      <c r="B4003" s="633" t="s">
        <v>38435</v>
      </c>
      <c r="C4003" s="715" t="s">
        <v>103</v>
      </c>
      <c r="D4003" s="715" t="s">
        <v>40839</v>
      </c>
      <c r="E4003" s="716">
        <v>463.13</v>
      </c>
    </row>
    <row r="4004" spans="1:5">
      <c r="A4004" s="715">
        <v>6301</v>
      </c>
      <c r="B4004" s="633" t="s">
        <v>38436</v>
      </c>
      <c r="C4004" s="715" t="s">
        <v>103</v>
      </c>
      <c r="D4004" s="715" t="s">
        <v>40839</v>
      </c>
      <c r="E4004" s="716">
        <v>1085.53</v>
      </c>
    </row>
    <row r="4005" spans="1:5">
      <c r="A4005" s="715">
        <v>7105</v>
      </c>
      <c r="B4005" s="633" t="s">
        <v>38437</v>
      </c>
      <c r="C4005" s="715" t="s">
        <v>103</v>
      </c>
      <c r="D4005" s="715" t="s">
        <v>40839</v>
      </c>
      <c r="E4005" s="716">
        <v>49.34</v>
      </c>
    </row>
    <row r="4006" spans="1:5">
      <c r="A4006" s="715">
        <v>20183</v>
      </c>
      <c r="B4006" s="633" t="s">
        <v>38438</v>
      </c>
      <c r="C4006" s="715" t="s">
        <v>103</v>
      </c>
      <c r="D4006" s="715" t="s">
        <v>40839</v>
      </c>
      <c r="E4006" s="716">
        <v>60.79</v>
      </c>
    </row>
    <row r="4007" spans="1:5">
      <c r="A4007" s="715">
        <v>38448</v>
      </c>
      <c r="B4007" s="633" t="s">
        <v>38439</v>
      </c>
      <c r="C4007" s="715" t="s">
        <v>103</v>
      </c>
      <c r="D4007" s="715" t="s">
        <v>40839</v>
      </c>
      <c r="E4007" s="716">
        <v>275.87</v>
      </c>
    </row>
    <row r="4008" spans="1:5">
      <c r="A4008" s="715">
        <v>20182</v>
      </c>
      <c r="B4008" s="633" t="s">
        <v>38440</v>
      </c>
      <c r="C4008" s="715" t="s">
        <v>103</v>
      </c>
      <c r="D4008" s="715" t="s">
        <v>40839</v>
      </c>
      <c r="E4008" s="716">
        <v>35.35</v>
      </c>
    </row>
    <row r="4009" spans="1:5">
      <c r="A4009" s="715">
        <v>7119</v>
      </c>
      <c r="B4009" s="633" t="s">
        <v>38441</v>
      </c>
      <c r="C4009" s="715" t="s">
        <v>103</v>
      </c>
      <c r="D4009" s="715" t="s">
        <v>40839</v>
      </c>
      <c r="E4009" s="716">
        <v>13.22</v>
      </c>
    </row>
    <row r="4010" spans="1:5">
      <c r="A4010" s="715">
        <v>7126</v>
      </c>
      <c r="B4010" s="633" t="s">
        <v>38442</v>
      </c>
      <c r="C4010" s="715" t="s">
        <v>103</v>
      </c>
      <c r="D4010" s="715" t="s">
        <v>40839</v>
      </c>
      <c r="E4010" s="716">
        <v>26.98</v>
      </c>
    </row>
    <row r="4011" spans="1:5">
      <c r="A4011" s="715">
        <v>7120</v>
      </c>
      <c r="B4011" s="633" t="s">
        <v>38443</v>
      </c>
      <c r="C4011" s="715" t="s">
        <v>103</v>
      </c>
      <c r="D4011" s="715" t="s">
        <v>40839</v>
      </c>
      <c r="E4011" s="716">
        <v>10.14</v>
      </c>
    </row>
    <row r="4012" spans="1:5">
      <c r="A4012" s="715">
        <v>6319</v>
      </c>
      <c r="B4012" s="633" t="s">
        <v>38444</v>
      </c>
      <c r="C4012" s="715" t="s">
        <v>103</v>
      </c>
      <c r="D4012" s="715" t="s">
        <v>40839</v>
      </c>
      <c r="E4012" s="716">
        <v>51.29</v>
      </c>
    </row>
    <row r="4013" spans="1:5">
      <c r="A4013" s="715">
        <v>6304</v>
      </c>
      <c r="B4013" s="633" t="s">
        <v>38445</v>
      </c>
      <c r="C4013" s="715" t="s">
        <v>103</v>
      </c>
      <c r="D4013" s="715" t="s">
        <v>40839</v>
      </c>
      <c r="E4013" s="716">
        <v>51.29</v>
      </c>
    </row>
    <row r="4014" spans="1:5">
      <c r="A4014" s="715">
        <v>21116</v>
      </c>
      <c r="B4014" s="633" t="s">
        <v>38446</v>
      </c>
      <c r="C4014" s="715" t="s">
        <v>103</v>
      </c>
      <c r="D4014" s="715" t="s">
        <v>40839</v>
      </c>
      <c r="E4014" s="716">
        <v>38.840000000000003</v>
      </c>
    </row>
    <row r="4015" spans="1:5">
      <c r="A4015" s="715">
        <v>6320</v>
      </c>
      <c r="B4015" s="633" t="s">
        <v>38447</v>
      </c>
      <c r="C4015" s="715" t="s">
        <v>103</v>
      </c>
      <c r="D4015" s="715" t="s">
        <v>40839</v>
      </c>
      <c r="E4015" s="716">
        <v>26.41</v>
      </c>
    </row>
    <row r="4016" spans="1:5">
      <c r="A4016" s="715">
        <v>6303</v>
      </c>
      <c r="B4016" s="633" t="s">
        <v>38448</v>
      </c>
      <c r="C4016" s="715" t="s">
        <v>103</v>
      </c>
      <c r="D4016" s="715" t="s">
        <v>40839</v>
      </c>
      <c r="E4016" s="716">
        <v>26.41</v>
      </c>
    </row>
    <row r="4017" spans="1:5">
      <c r="A4017" s="715">
        <v>6308</v>
      </c>
      <c r="B4017" s="633" t="s">
        <v>38449</v>
      </c>
      <c r="C4017" s="715" t="s">
        <v>103</v>
      </c>
      <c r="D4017" s="715" t="s">
        <v>40839</v>
      </c>
      <c r="E4017" s="716">
        <v>141.91999999999999</v>
      </c>
    </row>
    <row r="4018" spans="1:5">
      <c r="A4018" s="715">
        <v>6317</v>
      </c>
      <c r="B4018" s="633" t="s">
        <v>38450</v>
      </c>
      <c r="C4018" s="715" t="s">
        <v>103</v>
      </c>
      <c r="D4018" s="715" t="s">
        <v>40839</v>
      </c>
      <c r="E4018" s="716">
        <v>141.91999999999999</v>
      </c>
    </row>
    <row r="4019" spans="1:5">
      <c r="A4019" s="715">
        <v>6307</v>
      </c>
      <c r="B4019" s="633" t="s">
        <v>38451</v>
      </c>
      <c r="C4019" s="715" t="s">
        <v>103</v>
      </c>
      <c r="D4019" s="715" t="s">
        <v>40839</v>
      </c>
      <c r="E4019" s="716">
        <v>141.91999999999999</v>
      </c>
    </row>
    <row r="4020" spans="1:5">
      <c r="A4020" s="715">
        <v>6309</v>
      </c>
      <c r="B4020" s="633" t="s">
        <v>38452</v>
      </c>
      <c r="C4020" s="715" t="s">
        <v>103</v>
      </c>
      <c r="D4020" s="715" t="s">
        <v>40839</v>
      </c>
      <c r="E4020" s="716">
        <v>146.04</v>
      </c>
    </row>
    <row r="4021" spans="1:5">
      <c r="A4021" s="715">
        <v>6318</v>
      </c>
      <c r="B4021" s="633" t="s">
        <v>38453</v>
      </c>
      <c r="C4021" s="715" t="s">
        <v>103</v>
      </c>
      <c r="D4021" s="715" t="s">
        <v>40839</v>
      </c>
      <c r="E4021" s="716">
        <v>76.55</v>
      </c>
    </row>
    <row r="4022" spans="1:5">
      <c r="A4022" s="715">
        <v>6306</v>
      </c>
      <c r="B4022" s="633" t="s">
        <v>38454</v>
      </c>
      <c r="C4022" s="715" t="s">
        <v>103</v>
      </c>
      <c r="D4022" s="715" t="s">
        <v>40839</v>
      </c>
      <c r="E4022" s="716">
        <v>76.55</v>
      </c>
    </row>
    <row r="4023" spans="1:5">
      <c r="A4023" s="715">
        <v>6305</v>
      </c>
      <c r="B4023" s="633" t="s">
        <v>38455</v>
      </c>
      <c r="C4023" s="715" t="s">
        <v>103</v>
      </c>
      <c r="D4023" s="715" t="s">
        <v>40839</v>
      </c>
      <c r="E4023" s="716">
        <v>76.55</v>
      </c>
    </row>
    <row r="4024" spans="1:5">
      <c r="A4024" s="715">
        <v>6312</v>
      </c>
      <c r="B4024" s="633" t="s">
        <v>38456</v>
      </c>
      <c r="C4024" s="715" t="s">
        <v>103</v>
      </c>
      <c r="D4024" s="715" t="s">
        <v>40839</v>
      </c>
      <c r="E4024" s="716">
        <v>204.14</v>
      </c>
    </row>
    <row r="4025" spans="1:5">
      <c r="A4025" s="715">
        <v>6311</v>
      </c>
      <c r="B4025" s="633" t="s">
        <v>38457</v>
      </c>
      <c r="C4025" s="715" t="s">
        <v>103</v>
      </c>
      <c r="D4025" s="715" t="s">
        <v>40839</v>
      </c>
      <c r="E4025" s="716">
        <v>204.14</v>
      </c>
    </row>
    <row r="4026" spans="1:5">
      <c r="A4026" s="715">
        <v>6310</v>
      </c>
      <c r="B4026" s="633" t="s">
        <v>38458</v>
      </c>
      <c r="C4026" s="715" t="s">
        <v>103</v>
      </c>
      <c r="D4026" s="715" t="s">
        <v>40839</v>
      </c>
      <c r="E4026" s="716">
        <v>204.14</v>
      </c>
    </row>
    <row r="4027" spans="1:5">
      <c r="A4027" s="715">
        <v>6314</v>
      </c>
      <c r="B4027" s="633" t="s">
        <v>38459</v>
      </c>
      <c r="C4027" s="715" t="s">
        <v>103</v>
      </c>
      <c r="D4027" s="715" t="s">
        <v>40839</v>
      </c>
      <c r="E4027" s="716">
        <v>204.14</v>
      </c>
    </row>
    <row r="4028" spans="1:5">
      <c r="A4028" s="715">
        <v>6313</v>
      </c>
      <c r="B4028" s="633" t="s">
        <v>38460</v>
      </c>
      <c r="C4028" s="715" t="s">
        <v>103</v>
      </c>
      <c r="D4028" s="715" t="s">
        <v>40839</v>
      </c>
      <c r="E4028" s="716">
        <v>204.14</v>
      </c>
    </row>
    <row r="4029" spans="1:5">
      <c r="A4029" s="715">
        <v>6302</v>
      </c>
      <c r="B4029" s="633" t="s">
        <v>38461</v>
      </c>
      <c r="C4029" s="715" t="s">
        <v>103</v>
      </c>
      <c r="D4029" s="715" t="s">
        <v>40839</v>
      </c>
      <c r="E4029" s="716">
        <v>16.239999999999998</v>
      </c>
    </row>
    <row r="4030" spans="1:5">
      <c r="A4030" s="715">
        <v>6315</v>
      </c>
      <c r="B4030" s="633" t="s">
        <v>38462</v>
      </c>
      <c r="C4030" s="715" t="s">
        <v>103</v>
      </c>
      <c r="D4030" s="715" t="s">
        <v>40839</v>
      </c>
      <c r="E4030" s="716">
        <v>386.52</v>
      </c>
    </row>
    <row r="4031" spans="1:5">
      <c r="A4031" s="715">
        <v>6316</v>
      </c>
      <c r="B4031" s="633" t="s">
        <v>38463</v>
      </c>
      <c r="C4031" s="715" t="s">
        <v>103</v>
      </c>
      <c r="D4031" s="715" t="s">
        <v>40839</v>
      </c>
      <c r="E4031" s="716">
        <v>386.52</v>
      </c>
    </row>
    <row r="4032" spans="1:5">
      <c r="A4032" s="715">
        <v>39324</v>
      </c>
      <c r="B4032" s="633" t="s">
        <v>38464</v>
      </c>
      <c r="C4032" s="715" t="s">
        <v>103</v>
      </c>
      <c r="D4032" s="715" t="s">
        <v>40839</v>
      </c>
      <c r="E4032" s="716">
        <v>5.33</v>
      </c>
    </row>
    <row r="4033" spans="1:5">
      <c r="A4033" s="715">
        <v>39325</v>
      </c>
      <c r="B4033" s="633" t="s">
        <v>38465</v>
      </c>
      <c r="C4033" s="715" t="s">
        <v>103</v>
      </c>
      <c r="D4033" s="715" t="s">
        <v>40839</v>
      </c>
      <c r="E4033" s="716">
        <v>8.0399999999999991</v>
      </c>
    </row>
    <row r="4034" spans="1:5">
      <c r="A4034" s="715">
        <v>39326</v>
      </c>
      <c r="B4034" s="633" t="s">
        <v>38466</v>
      </c>
      <c r="C4034" s="715" t="s">
        <v>103</v>
      </c>
      <c r="D4034" s="715" t="s">
        <v>40839</v>
      </c>
      <c r="E4034" s="716">
        <v>28.84</v>
      </c>
    </row>
    <row r="4035" spans="1:5">
      <c r="A4035" s="715">
        <v>39327</v>
      </c>
      <c r="B4035" s="633" t="s">
        <v>38467</v>
      </c>
      <c r="C4035" s="715" t="s">
        <v>103</v>
      </c>
      <c r="D4035" s="715" t="s">
        <v>40839</v>
      </c>
      <c r="E4035" s="716">
        <v>43.52</v>
      </c>
    </row>
    <row r="4036" spans="1:5">
      <c r="A4036" s="715">
        <v>11378</v>
      </c>
      <c r="B4036" s="633" t="s">
        <v>38468</v>
      </c>
      <c r="C4036" s="715" t="s">
        <v>103</v>
      </c>
      <c r="D4036" s="715" t="s">
        <v>40839</v>
      </c>
      <c r="E4036" s="716">
        <v>113.21</v>
      </c>
    </row>
    <row r="4037" spans="1:5">
      <c r="A4037" s="715">
        <v>11379</v>
      </c>
      <c r="B4037" s="633" t="s">
        <v>38469</v>
      </c>
      <c r="C4037" s="715" t="s">
        <v>103</v>
      </c>
      <c r="D4037" s="715" t="s">
        <v>40839</v>
      </c>
      <c r="E4037" s="716">
        <v>95.67</v>
      </c>
    </row>
    <row r="4038" spans="1:5">
      <c r="A4038" s="715">
        <v>11493</v>
      </c>
      <c r="B4038" s="633" t="s">
        <v>38470</v>
      </c>
      <c r="C4038" s="715" t="s">
        <v>103</v>
      </c>
      <c r="D4038" s="715" t="s">
        <v>40839</v>
      </c>
      <c r="E4038" s="716">
        <v>55.18</v>
      </c>
    </row>
    <row r="4039" spans="1:5" ht="29">
      <c r="A4039" s="715">
        <v>7106</v>
      </c>
      <c r="B4039" s="633" t="s">
        <v>38471</v>
      </c>
      <c r="C4039" s="715" t="s">
        <v>103</v>
      </c>
      <c r="D4039" s="715" t="s">
        <v>40839</v>
      </c>
      <c r="E4039" s="716">
        <v>166.97</v>
      </c>
    </row>
    <row r="4040" spans="1:5">
      <c r="A4040" s="715">
        <v>7104</v>
      </c>
      <c r="B4040" s="633" t="s">
        <v>38472</v>
      </c>
      <c r="C4040" s="715" t="s">
        <v>103</v>
      </c>
      <c r="D4040" s="715" t="s">
        <v>40839</v>
      </c>
      <c r="E4040" s="716">
        <v>4.5</v>
      </c>
    </row>
    <row r="4041" spans="1:5">
      <c r="A4041" s="715">
        <v>7136</v>
      </c>
      <c r="B4041" s="633" t="s">
        <v>38473</v>
      </c>
      <c r="C4041" s="715" t="s">
        <v>103</v>
      </c>
      <c r="D4041" s="715" t="s">
        <v>40839</v>
      </c>
      <c r="E4041" s="716">
        <v>7.84</v>
      </c>
    </row>
    <row r="4042" spans="1:5">
      <c r="A4042" s="715">
        <v>7128</v>
      </c>
      <c r="B4042" s="633" t="s">
        <v>38474</v>
      </c>
      <c r="C4042" s="715" t="s">
        <v>103</v>
      </c>
      <c r="D4042" s="715" t="s">
        <v>40839</v>
      </c>
      <c r="E4042" s="716">
        <v>10.17</v>
      </c>
    </row>
    <row r="4043" spans="1:5">
      <c r="A4043" s="715">
        <v>7108</v>
      </c>
      <c r="B4043" s="633" t="s">
        <v>38475</v>
      </c>
      <c r="C4043" s="715" t="s">
        <v>103</v>
      </c>
      <c r="D4043" s="715" t="s">
        <v>40839</v>
      </c>
      <c r="E4043" s="716">
        <v>10.14</v>
      </c>
    </row>
    <row r="4044" spans="1:5">
      <c r="A4044" s="715">
        <v>7129</v>
      </c>
      <c r="B4044" s="633" t="s">
        <v>38476</v>
      </c>
      <c r="C4044" s="715" t="s">
        <v>103</v>
      </c>
      <c r="D4044" s="715" t="s">
        <v>40839</v>
      </c>
      <c r="E4044" s="716">
        <v>11.94</v>
      </c>
    </row>
    <row r="4045" spans="1:5">
      <c r="A4045" s="715">
        <v>7130</v>
      </c>
      <c r="B4045" s="633" t="s">
        <v>38477</v>
      </c>
      <c r="C4045" s="715" t="s">
        <v>103</v>
      </c>
      <c r="D4045" s="715" t="s">
        <v>40839</v>
      </c>
      <c r="E4045" s="716">
        <v>17.34</v>
      </c>
    </row>
    <row r="4046" spans="1:5">
      <c r="A4046" s="715">
        <v>7131</v>
      </c>
      <c r="B4046" s="633" t="s">
        <v>38478</v>
      </c>
      <c r="C4046" s="715" t="s">
        <v>103</v>
      </c>
      <c r="D4046" s="715" t="s">
        <v>40839</v>
      </c>
      <c r="E4046" s="716">
        <v>21.21</v>
      </c>
    </row>
    <row r="4047" spans="1:5">
      <c r="A4047" s="715">
        <v>7132</v>
      </c>
      <c r="B4047" s="633" t="s">
        <v>38479</v>
      </c>
      <c r="C4047" s="715" t="s">
        <v>103</v>
      </c>
      <c r="D4047" s="715" t="s">
        <v>40839</v>
      </c>
      <c r="E4047" s="716">
        <v>49.94</v>
      </c>
    </row>
    <row r="4048" spans="1:5">
      <c r="A4048" s="715">
        <v>7133</v>
      </c>
      <c r="B4048" s="633" t="s">
        <v>38480</v>
      </c>
      <c r="C4048" s="715" t="s">
        <v>103</v>
      </c>
      <c r="D4048" s="715" t="s">
        <v>40839</v>
      </c>
      <c r="E4048" s="716">
        <v>115.41</v>
      </c>
    </row>
    <row r="4049" spans="1:5" ht="29">
      <c r="A4049" s="715">
        <v>37422</v>
      </c>
      <c r="B4049" s="633" t="s">
        <v>38481</v>
      </c>
      <c r="C4049" s="715" t="s">
        <v>103</v>
      </c>
      <c r="D4049" s="715" t="s">
        <v>40839</v>
      </c>
      <c r="E4049" s="716">
        <v>59.7</v>
      </c>
    </row>
    <row r="4050" spans="1:5" ht="29">
      <c r="A4050" s="715">
        <v>37420</v>
      </c>
      <c r="B4050" s="633" t="s">
        <v>38482</v>
      </c>
      <c r="C4050" s="715" t="s">
        <v>103</v>
      </c>
      <c r="D4050" s="715" t="s">
        <v>40839</v>
      </c>
      <c r="E4050" s="716">
        <v>46.67</v>
      </c>
    </row>
    <row r="4051" spans="1:5" ht="29">
      <c r="A4051" s="715">
        <v>37421</v>
      </c>
      <c r="B4051" s="633" t="s">
        <v>38483</v>
      </c>
      <c r="C4051" s="715" t="s">
        <v>103</v>
      </c>
      <c r="D4051" s="715" t="s">
        <v>40839</v>
      </c>
      <c r="E4051" s="716">
        <v>63.78</v>
      </c>
    </row>
    <row r="4052" spans="1:5">
      <c r="A4052" s="715">
        <v>37443</v>
      </c>
      <c r="B4052" s="633" t="s">
        <v>38484</v>
      </c>
      <c r="C4052" s="715" t="s">
        <v>103</v>
      </c>
      <c r="D4052" s="715" t="s">
        <v>40839</v>
      </c>
      <c r="E4052" s="716">
        <v>205.76</v>
      </c>
    </row>
    <row r="4053" spans="1:5">
      <c r="A4053" s="715">
        <v>37444</v>
      </c>
      <c r="B4053" s="633" t="s">
        <v>38485</v>
      </c>
      <c r="C4053" s="715" t="s">
        <v>103</v>
      </c>
      <c r="D4053" s="715" t="s">
        <v>40839</v>
      </c>
      <c r="E4053" s="716">
        <v>209.25</v>
      </c>
    </row>
    <row r="4054" spans="1:5">
      <c r="A4054" s="715">
        <v>37445</v>
      </c>
      <c r="B4054" s="633" t="s">
        <v>38486</v>
      </c>
      <c r="C4054" s="715" t="s">
        <v>103</v>
      </c>
      <c r="D4054" s="715" t="s">
        <v>40839</v>
      </c>
      <c r="E4054" s="716">
        <v>317.17</v>
      </c>
    </row>
    <row r="4055" spans="1:5">
      <c r="A4055" s="715">
        <v>37446</v>
      </c>
      <c r="B4055" s="633" t="s">
        <v>38487</v>
      </c>
      <c r="C4055" s="715" t="s">
        <v>103</v>
      </c>
      <c r="D4055" s="715" t="s">
        <v>40839</v>
      </c>
      <c r="E4055" s="716">
        <v>345.77</v>
      </c>
    </row>
    <row r="4056" spans="1:5">
      <c r="A4056" s="715">
        <v>37447</v>
      </c>
      <c r="B4056" s="633" t="s">
        <v>38488</v>
      </c>
      <c r="C4056" s="715" t="s">
        <v>103</v>
      </c>
      <c r="D4056" s="715" t="s">
        <v>40839</v>
      </c>
      <c r="E4056" s="716">
        <v>351.18</v>
      </c>
    </row>
    <row r="4057" spans="1:5">
      <c r="A4057" s="715">
        <v>37448</v>
      </c>
      <c r="B4057" s="633" t="s">
        <v>38489</v>
      </c>
      <c r="C4057" s="715" t="s">
        <v>103</v>
      </c>
      <c r="D4057" s="715" t="s">
        <v>40839</v>
      </c>
      <c r="E4057" s="716">
        <v>481.7</v>
      </c>
    </row>
    <row r="4058" spans="1:5">
      <c r="A4058" s="715">
        <v>37440</v>
      </c>
      <c r="B4058" s="633" t="s">
        <v>38490</v>
      </c>
      <c r="C4058" s="715" t="s">
        <v>103</v>
      </c>
      <c r="D4058" s="715" t="s">
        <v>40839</v>
      </c>
      <c r="E4058" s="716">
        <v>163.32</v>
      </c>
    </row>
    <row r="4059" spans="1:5">
      <c r="A4059" s="715">
        <v>37441</v>
      </c>
      <c r="B4059" s="633" t="s">
        <v>38491</v>
      </c>
      <c r="C4059" s="715" t="s">
        <v>103</v>
      </c>
      <c r="D4059" s="715" t="s">
        <v>40839</v>
      </c>
      <c r="E4059" s="716">
        <v>163.32</v>
      </c>
    </row>
    <row r="4060" spans="1:5">
      <c r="A4060" s="715">
        <v>37442</v>
      </c>
      <c r="B4060" s="633" t="s">
        <v>38492</v>
      </c>
      <c r="C4060" s="715" t="s">
        <v>103</v>
      </c>
      <c r="D4060" s="715" t="s">
        <v>40839</v>
      </c>
      <c r="E4060" s="716">
        <v>196.71</v>
      </c>
    </row>
    <row r="4061" spans="1:5">
      <c r="A4061" s="715">
        <v>38017</v>
      </c>
      <c r="B4061" s="633" t="s">
        <v>38493</v>
      </c>
      <c r="C4061" s="715" t="s">
        <v>103</v>
      </c>
      <c r="D4061" s="715" t="s">
        <v>40839</v>
      </c>
      <c r="E4061" s="716">
        <v>10.9</v>
      </c>
    </row>
    <row r="4062" spans="1:5">
      <c r="A4062" s="715">
        <v>38018</v>
      </c>
      <c r="B4062" s="633" t="s">
        <v>38494</v>
      </c>
      <c r="C4062" s="715" t="s">
        <v>103</v>
      </c>
      <c r="D4062" s="715" t="s">
        <v>40839</v>
      </c>
      <c r="E4062" s="716">
        <v>12.26</v>
      </c>
    </row>
    <row r="4063" spans="1:5" ht="29">
      <c r="A4063" s="715">
        <v>39895</v>
      </c>
      <c r="B4063" s="633" t="s">
        <v>38495</v>
      </c>
      <c r="C4063" s="715" t="s">
        <v>103</v>
      </c>
      <c r="D4063" s="715" t="s">
        <v>40839</v>
      </c>
      <c r="E4063" s="716">
        <v>53.83</v>
      </c>
    </row>
    <row r="4064" spans="1:5" ht="29">
      <c r="A4064" s="715">
        <v>39896</v>
      </c>
      <c r="B4064" s="633" t="s">
        <v>38496</v>
      </c>
      <c r="C4064" s="715" t="s">
        <v>103</v>
      </c>
      <c r="D4064" s="715" t="s">
        <v>40839</v>
      </c>
      <c r="E4064" s="716">
        <v>78.89</v>
      </c>
    </row>
    <row r="4065" spans="1:5" ht="29">
      <c r="A4065" s="715">
        <v>44038</v>
      </c>
      <c r="B4065" s="633" t="s">
        <v>41370</v>
      </c>
      <c r="C4065" s="715" t="s">
        <v>103</v>
      </c>
      <c r="D4065" s="715" t="s">
        <v>40839</v>
      </c>
      <c r="E4065" s="716">
        <v>232.97</v>
      </c>
    </row>
    <row r="4066" spans="1:5" ht="29">
      <c r="A4066" s="715">
        <v>44040</v>
      </c>
      <c r="B4066" s="633" t="s">
        <v>41371</v>
      </c>
      <c r="C4066" s="715" t="s">
        <v>103</v>
      </c>
      <c r="D4066" s="715" t="s">
        <v>40839</v>
      </c>
      <c r="E4066" s="716">
        <v>297.25</v>
      </c>
    </row>
    <row r="4067" spans="1:5" ht="29">
      <c r="A4067" s="715">
        <v>44035</v>
      </c>
      <c r="B4067" s="633" t="s">
        <v>41372</v>
      </c>
      <c r="C4067" s="715" t="s">
        <v>103</v>
      </c>
      <c r="D4067" s="715" t="s">
        <v>40839</v>
      </c>
      <c r="E4067" s="716">
        <v>138.61000000000001</v>
      </c>
    </row>
    <row r="4068" spans="1:5" ht="29">
      <c r="A4068" s="715">
        <v>44037</v>
      </c>
      <c r="B4068" s="633" t="s">
        <v>41373</v>
      </c>
      <c r="C4068" s="715" t="s">
        <v>103</v>
      </c>
      <c r="D4068" s="715" t="s">
        <v>40839</v>
      </c>
      <c r="E4068" s="716">
        <v>176.36</v>
      </c>
    </row>
    <row r="4069" spans="1:5" ht="29">
      <c r="A4069" s="715">
        <v>44033</v>
      </c>
      <c r="B4069" s="633" t="s">
        <v>41374</v>
      </c>
      <c r="C4069" s="715" t="s">
        <v>103</v>
      </c>
      <c r="D4069" s="715" t="s">
        <v>40839</v>
      </c>
      <c r="E4069" s="716">
        <v>54.82</v>
      </c>
    </row>
    <row r="4070" spans="1:5" ht="29">
      <c r="A4070" s="715">
        <v>44034</v>
      </c>
      <c r="B4070" s="633" t="s">
        <v>41375</v>
      </c>
      <c r="C4070" s="715" t="s">
        <v>103</v>
      </c>
      <c r="D4070" s="715" t="s">
        <v>40839</v>
      </c>
      <c r="E4070" s="716">
        <v>75.349999999999994</v>
      </c>
    </row>
    <row r="4071" spans="1:5" ht="29">
      <c r="A4071" s="715">
        <v>44028</v>
      </c>
      <c r="B4071" s="633" t="s">
        <v>41376</v>
      </c>
      <c r="C4071" s="715" t="s">
        <v>103</v>
      </c>
      <c r="D4071" s="715" t="s">
        <v>40839</v>
      </c>
      <c r="E4071" s="716">
        <v>22</v>
      </c>
    </row>
    <row r="4072" spans="1:5" ht="29">
      <c r="A4072" s="715">
        <v>44029</v>
      </c>
      <c r="B4072" s="633" t="s">
        <v>41377</v>
      </c>
      <c r="C4072" s="715" t="s">
        <v>103</v>
      </c>
      <c r="D4072" s="715" t="s">
        <v>40839</v>
      </c>
      <c r="E4072" s="716">
        <v>23.38</v>
      </c>
    </row>
    <row r="4073" spans="1:5" ht="29">
      <c r="A4073" s="715">
        <v>44030</v>
      </c>
      <c r="B4073" s="633" t="s">
        <v>41378</v>
      </c>
      <c r="C4073" s="715" t="s">
        <v>103</v>
      </c>
      <c r="D4073" s="715" t="s">
        <v>40839</v>
      </c>
      <c r="E4073" s="716">
        <v>28.09</v>
      </c>
    </row>
    <row r="4074" spans="1:5" ht="29">
      <c r="A4074" s="715">
        <v>44031</v>
      </c>
      <c r="B4074" s="633" t="s">
        <v>41379</v>
      </c>
      <c r="C4074" s="715" t="s">
        <v>103</v>
      </c>
      <c r="D4074" s="715" t="s">
        <v>40839</v>
      </c>
      <c r="E4074" s="716">
        <v>34.49</v>
      </c>
    </row>
    <row r="4075" spans="1:5" ht="29">
      <c r="A4075" s="715">
        <v>44032</v>
      </c>
      <c r="B4075" s="633" t="s">
        <v>41380</v>
      </c>
      <c r="C4075" s="715" t="s">
        <v>103</v>
      </c>
      <c r="D4075" s="715" t="s">
        <v>40839</v>
      </c>
      <c r="E4075" s="716">
        <v>39.14</v>
      </c>
    </row>
    <row r="4076" spans="1:5" ht="29">
      <c r="A4076" s="715">
        <v>44036</v>
      </c>
      <c r="B4076" s="633" t="s">
        <v>41381</v>
      </c>
      <c r="C4076" s="715" t="s">
        <v>103</v>
      </c>
      <c r="D4076" s="715" t="s">
        <v>40839</v>
      </c>
      <c r="E4076" s="716">
        <v>16.16</v>
      </c>
    </row>
    <row r="4077" spans="1:5" ht="29">
      <c r="A4077" s="715">
        <v>44039</v>
      </c>
      <c r="B4077" s="633" t="s">
        <v>41382</v>
      </c>
      <c r="C4077" s="715" t="s">
        <v>103</v>
      </c>
      <c r="D4077" s="715" t="s">
        <v>40839</v>
      </c>
      <c r="E4077" s="716">
        <v>19.66</v>
      </c>
    </row>
    <row r="4078" spans="1:5" ht="29">
      <c r="A4078" s="715">
        <v>38873</v>
      </c>
      <c r="B4078" s="633" t="s">
        <v>38497</v>
      </c>
      <c r="C4078" s="715" t="s">
        <v>103</v>
      </c>
      <c r="D4078" s="715" t="s">
        <v>40839</v>
      </c>
      <c r="E4078" s="716">
        <v>16.77</v>
      </c>
    </row>
    <row r="4079" spans="1:5" ht="29">
      <c r="A4079" s="715">
        <v>38874</v>
      </c>
      <c r="B4079" s="633" t="s">
        <v>38498</v>
      </c>
      <c r="C4079" s="715" t="s">
        <v>103</v>
      </c>
      <c r="D4079" s="715" t="s">
        <v>40839</v>
      </c>
      <c r="E4079" s="716">
        <v>21.24</v>
      </c>
    </row>
    <row r="4080" spans="1:5" ht="29">
      <c r="A4080" s="715">
        <v>38875</v>
      </c>
      <c r="B4080" s="633" t="s">
        <v>38499</v>
      </c>
      <c r="C4080" s="715" t="s">
        <v>103</v>
      </c>
      <c r="D4080" s="715" t="s">
        <v>40839</v>
      </c>
      <c r="E4080" s="716">
        <v>33.659999999999997</v>
      </c>
    </row>
    <row r="4081" spans="1:5" ht="29">
      <c r="A4081" s="715">
        <v>38876</v>
      </c>
      <c r="B4081" s="633" t="s">
        <v>38500</v>
      </c>
      <c r="C4081" s="715" t="s">
        <v>103</v>
      </c>
      <c r="D4081" s="715" t="s">
        <v>40839</v>
      </c>
      <c r="E4081" s="716">
        <v>45.23</v>
      </c>
    </row>
    <row r="4082" spans="1:5" ht="29">
      <c r="A4082" s="715">
        <v>39000</v>
      </c>
      <c r="B4082" s="633" t="s">
        <v>38501</v>
      </c>
      <c r="C4082" s="715" t="s">
        <v>103</v>
      </c>
      <c r="D4082" s="715" t="s">
        <v>40839</v>
      </c>
      <c r="E4082" s="716">
        <v>36.32</v>
      </c>
    </row>
    <row r="4083" spans="1:5">
      <c r="A4083" s="715">
        <v>38674</v>
      </c>
      <c r="B4083" s="633" t="s">
        <v>38502</v>
      </c>
      <c r="C4083" s="715" t="s">
        <v>103</v>
      </c>
      <c r="D4083" s="715" t="s">
        <v>40839</v>
      </c>
      <c r="E4083" s="716">
        <v>36.700000000000003</v>
      </c>
    </row>
    <row r="4084" spans="1:5">
      <c r="A4084" s="715">
        <v>38019</v>
      </c>
      <c r="B4084" s="633" t="s">
        <v>38503</v>
      </c>
      <c r="C4084" s="715" t="s">
        <v>103</v>
      </c>
      <c r="D4084" s="715" t="s">
        <v>40839</v>
      </c>
      <c r="E4084" s="716">
        <v>7.76</v>
      </c>
    </row>
    <row r="4085" spans="1:5">
      <c r="A4085" s="715">
        <v>38020</v>
      </c>
      <c r="B4085" s="633" t="s">
        <v>38504</v>
      </c>
      <c r="C4085" s="715" t="s">
        <v>103</v>
      </c>
      <c r="D4085" s="715" t="s">
        <v>40839</v>
      </c>
      <c r="E4085" s="716">
        <v>9.56</v>
      </c>
    </row>
    <row r="4086" spans="1:5">
      <c r="A4086" s="715">
        <v>38454</v>
      </c>
      <c r="B4086" s="633" t="s">
        <v>38505</v>
      </c>
      <c r="C4086" s="715" t="s">
        <v>103</v>
      </c>
      <c r="D4086" s="715" t="s">
        <v>40839</v>
      </c>
      <c r="E4086" s="716">
        <v>13.62</v>
      </c>
    </row>
    <row r="4087" spans="1:5">
      <c r="A4087" s="715">
        <v>38455</v>
      </c>
      <c r="B4087" s="633" t="s">
        <v>38506</v>
      </c>
      <c r="C4087" s="715" t="s">
        <v>103</v>
      </c>
      <c r="D4087" s="715" t="s">
        <v>40839</v>
      </c>
      <c r="E4087" s="716">
        <v>18.23</v>
      </c>
    </row>
    <row r="4088" spans="1:5" ht="29">
      <c r="A4088" s="715">
        <v>38462</v>
      </c>
      <c r="B4088" s="633" t="s">
        <v>38507</v>
      </c>
      <c r="C4088" s="715" t="s">
        <v>103</v>
      </c>
      <c r="D4088" s="715" t="s">
        <v>40839</v>
      </c>
      <c r="E4088" s="716">
        <v>293.94</v>
      </c>
    </row>
    <row r="4089" spans="1:5" ht="29">
      <c r="A4089" s="715">
        <v>36362</v>
      </c>
      <c r="B4089" s="633" t="s">
        <v>38508</v>
      </c>
      <c r="C4089" s="715" t="s">
        <v>103</v>
      </c>
      <c r="D4089" s="715" t="s">
        <v>40839</v>
      </c>
      <c r="E4089" s="716">
        <v>4.0599999999999996</v>
      </c>
    </row>
    <row r="4090" spans="1:5" ht="29">
      <c r="A4090" s="715">
        <v>36298</v>
      </c>
      <c r="B4090" s="633" t="s">
        <v>38509</v>
      </c>
      <c r="C4090" s="715" t="s">
        <v>103</v>
      </c>
      <c r="D4090" s="715" t="s">
        <v>40839</v>
      </c>
      <c r="E4090" s="716">
        <v>3.49</v>
      </c>
    </row>
    <row r="4091" spans="1:5" ht="29">
      <c r="A4091" s="715">
        <v>38456</v>
      </c>
      <c r="B4091" s="633" t="s">
        <v>38510</v>
      </c>
      <c r="C4091" s="715" t="s">
        <v>103</v>
      </c>
      <c r="D4091" s="715" t="s">
        <v>40839</v>
      </c>
      <c r="E4091" s="716">
        <v>8.69</v>
      </c>
    </row>
    <row r="4092" spans="1:5" ht="29">
      <c r="A4092" s="715">
        <v>38457</v>
      </c>
      <c r="B4092" s="633" t="s">
        <v>38511</v>
      </c>
      <c r="C4092" s="715" t="s">
        <v>103</v>
      </c>
      <c r="D4092" s="715" t="s">
        <v>40839</v>
      </c>
      <c r="E4092" s="716">
        <v>15.84</v>
      </c>
    </row>
    <row r="4093" spans="1:5" ht="29">
      <c r="A4093" s="715">
        <v>38458</v>
      </c>
      <c r="B4093" s="633" t="s">
        <v>38512</v>
      </c>
      <c r="C4093" s="715" t="s">
        <v>103</v>
      </c>
      <c r="D4093" s="715" t="s">
        <v>40839</v>
      </c>
      <c r="E4093" s="716">
        <v>30.51</v>
      </c>
    </row>
    <row r="4094" spans="1:5" ht="29">
      <c r="A4094" s="715">
        <v>38459</v>
      </c>
      <c r="B4094" s="633" t="s">
        <v>38513</v>
      </c>
      <c r="C4094" s="715" t="s">
        <v>103</v>
      </c>
      <c r="D4094" s="715" t="s">
        <v>40839</v>
      </c>
      <c r="E4094" s="716">
        <v>47.96</v>
      </c>
    </row>
    <row r="4095" spans="1:5" ht="29">
      <c r="A4095" s="715">
        <v>38460</v>
      </c>
      <c r="B4095" s="633" t="s">
        <v>38514</v>
      </c>
      <c r="C4095" s="715" t="s">
        <v>103</v>
      </c>
      <c r="D4095" s="715" t="s">
        <v>40839</v>
      </c>
      <c r="E4095" s="716">
        <v>102.89</v>
      </c>
    </row>
    <row r="4096" spans="1:5" ht="29">
      <c r="A4096" s="715">
        <v>38461</v>
      </c>
      <c r="B4096" s="633" t="s">
        <v>38515</v>
      </c>
      <c r="C4096" s="715" t="s">
        <v>103</v>
      </c>
      <c r="D4096" s="715" t="s">
        <v>40839</v>
      </c>
      <c r="E4096" s="716">
        <v>138.08000000000001</v>
      </c>
    </row>
    <row r="4097" spans="1:5">
      <c r="A4097" s="715">
        <v>7094</v>
      </c>
      <c r="B4097" s="633" t="s">
        <v>38516</v>
      </c>
      <c r="C4097" s="715" t="s">
        <v>103</v>
      </c>
      <c r="D4097" s="715" t="s">
        <v>40839</v>
      </c>
      <c r="E4097" s="716">
        <v>14.69</v>
      </c>
    </row>
    <row r="4098" spans="1:5">
      <c r="A4098" s="715">
        <v>7116</v>
      </c>
      <c r="B4098" s="633" t="s">
        <v>38517</v>
      </c>
      <c r="C4098" s="715" t="s">
        <v>103</v>
      </c>
      <c r="D4098" s="715" t="s">
        <v>40839</v>
      </c>
      <c r="E4098" s="716">
        <v>4.42</v>
      </c>
    </row>
    <row r="4099" spans="1:5">
      <c r="A4099" s="715">
        <v>7118</v>
      </c>
      <c r="B4099" s="633" t="s">
        <v>38518</v>
      </c>
      <c r="C4099" s="715" t="s">
        <v>103</v>
      </c>
      <c r="D4099" s="715" t="s">
        <v>40839</v>
      </c>
      <c r="E4099" s="716">
        <v>30.21</v>
      </c>
    </row>
    <row r="4100" spans="1:5">
      <c r="A4100" s="715">
        <v>7098</v>
      </c>
      <c r="B4100" s="633" t="s">
        <v>38519</v>
      </c>
      <c r="C4100" s="715" t="s">
        <v>103</v>
      </c>
      <c r="D4100" s="715" t="s">
        <v>40839</v>
      </c>
      <c r="E4100" s="716">
        <v>4.49</v>
      </c>
    </row>
    <row r="4101" spans="1:5">
      <c r="A4101" s="715">
        <v>7110</v>
      </c>
      <c r="B4101" s="633" t="s">
        <v>38520</v>
      </c>
      <c r="C4101" s="715" t="s">
        <v>103</v>
      </c>
      <c r="D4101" s="715" t="s">
        <v>40839</v>
      </c>
      <c r="E4101" s="716">
        <v>57.44</v>
      </c>
    </row>
    <row r="4102" spans="1:5">
      <c r="A4102" s="715">
        <v>7123</v>
      </c>
      <c r="B4102" s="633" t="s">
        <v>38521</v>
      </c>
      <c r="C4102" s="715" t="s">
        <v>103</v>
      </c>
      <c r="D4102" s="715" t="s">
        <v>40839</v>
      </c>
      <c r="E4102" s="716">
        <v>5.43</v>
      </c>
    </row>
    <row r="4103" spans="1:5" ht="29">
      <c r="A4103" s="715">
        <v>7121</v>
      </c>
      <c r="B4103" s="633" t="s">
        <v>38522</v>
      </c>
      <c r="C4103" s="715" t="s">
        <v>103</v>
      </c>
      <c r="D4103" s="715" t="s">
        <v>40839</v>
      </c>
      <c r="E4103" s="716">
        <v>10.74</v>
      </c>
    </row>
    <row r="4104" spans="1:5" ht="29">
      <c r="A4104" s="715">
        <v>7137</v>
      </c>
      <c r="B4104" s="633" t="s">
        <v>38523</v>
      </c>
      <c r="C4104" s="715" t="s">
        <v>103</v>
      </c>
      <c r="D4104" s="715" t="s">
        <v>40839</v>
      </c>
      <c r="E4104" s="716">
        <v>11.73</v>
      </c>
    </row>
    <row r="4105" spans="1:5" ht="29">
      <c r="A4105" s="715">
        <v>7122</v>
      </c>
      <c r="B4105" s="633" t="s">
        <v>38524</v>
      </c>
      <c r="C4105" s="715" t="s">
        <v>103</v>
      </c>
      <c r="D4105" s="715" t="s">
        <v>40839</v>
      </c>
      <c r="E4105" s="716">
        <v>12.92</v>
      </c>
    </row>
    <row r="4106" spans="1:5" ht="29">
      <c r="A4106" s="715">
        <v>7114</v>
      </c>
      <c r="B4106" s="633" t="s">
        <v>38525</v>
      </c>
      <c r="C4106" s="715" t="s">
        <v>103</v>
      </c>
      <c r="D4106" s="715" t="s">
        <v>40839</v>
      </c>
      <c r="E4106" s="716">
        <v>15.02</v>
      </c>
    </row>
    <row r="4107" spans="1:5" ht="29">
      <c r="A4107" s="715">
        <v>7109</v>
      </c>
      <c r="B4107" s="633" t="s">
        <v>38526</v>
      </c>
      <c r="C4107" s="715" t="s">
        <v>103</v>
      </c>
      <c r="D4107" s="715" t="s">
        <v>40839</v>
      </c>
      <c r="E4107" s="716">
        <v>2.98</v>
      </c>
    </row>
    <row r="4108" spans="1:5" ht="29">
      <c r="A4108" s="715">
        <v>7135</v>
      </c>
      <c r="B4108" s="633" t="s">
        <v>38527</v>
      </c>
      <c r="C4108" s="715" t="s">
        <v>103</v>
      </c>
      <c r="D4108" s="715" t="s">
        <v>40839</v>
      </c>
      <c r="E4108" s="716">
        <v>6.1</v>
      </c>
    </row>
    <row r="4109" spans="1:5" ht="29">
      <c r="A4109" s="715">
        <v>37947</v>
      </c>
      <c r="B4109" s="633" t="s">
        <v>38528</v>
      </c>
      <c r="C4109" s="715" t="s">
        <v>103</v>
      </c>
      <c r="D4109" s="715" t="s">
        <v>40839</v>
      </c>
      <c r="E4109" s="716">
        <v>4.96</v>
      </c>
    </row>
    <row r="4110" spans="1:5" ht="29">
      <c r="A4110" s="715">
        <v>7103</v>
      </c>
      <c r="B4110" s="633" t="s">
        <v>38529</v>
      </c>
      <c r="C4110" s="715" t="s">
        <v>103</v>
      </c>
      <c r="D4110" s="715" t="s">
        <v>40839</v>
      </c>
      <c r="E4110" s="716">
        <v>16.149999999999999</v>
      </c>
    </row>
    <row r="4111" spans="1:5">
      <c r="A4111" s="715">
        <v>40419</v>
      </c>
      <c r="B4111" s="633" t="s">
        <v>38530</v>
      </c>
      <c r="C4111" s="715" t="s">
        <v>103</v>
      </c>
      <c r="D4111" s="715" t="s">
        <v>40839</v>
      </c>
      <c r="E4111" s="716">
        <v>32.24</v>
      </c>
    </row>
    <row r="4112" spans="1:5">
      <c r="A4112" s="715">
        <v>40420</v>
      </c>
      <c r="B4112" s="633" t="s">
        <v>38531</v>
      </c>
      <c r="C4112" s="715" t="s">
        <v>103</v>
      </c>
      <c r="D4112" s="715" t="s">
        <v>40839</v>
      </c>
      <c r="E4112" s="716">
        <v>47.04</v>
      </c>
    </row>
    <row r="4113" spans="1:5">
      <c r="A4113" s="715">
        <v>40421</v>
      </c>
      <c r="B4113" s="633" t="s">
        <v>38532</v>
      </c>
      <c r="C4113" s="715" t="s">
        <v>103</v>
      </c>
      <c r="D4113" s="715" t="s">
        <v>40839</v>
      </c>
      <c r="E4113" s="716">
        <v>50.08</v>
      </c>
    </row>
    <row r="4114" spans="1:5" ht="29">
      <c r="A4114" s="715">
        <v>38905</v>
      </c>
      <c r="B4114" s="633" t="s">
        <v>38533</v>
      </c>
      <c r="C4114" s="715" t="s">
        <v>103</v>
      </c>
      <c r="D4114" s="715" t="s">
        <v>40839</v>
      </c>
      <c r="E4114" s="716">
        <v>21.7</v>
      </c>
    </row>
    <row r="4115" spans="1:5" ht="29">
      <c r="A4115" s="715">
        <v>38907</v>
      </c>
      <c r="B4115" s="633" t="s">
        <v>38534</v>
      </c>
      <c r="C4115" s="715" t="s">
        <v>103</v>
      </c>
      <c r="D4115" s="715" t="s">
        <v>40839</v>
      </c>
      <c r="E4115" s="716">
        <v>20.92</v>
      </c>
    </row>
    <row r="4116" spans="1:5" ht="29">
      <c r="A4116" s="715">
        <v>38910</v>
      </c>
      <c r="B4116" s="633" t="s">
        <v>38535</v>
      </c>
      <c r="C4116" s="715" t="s">
        <v>103</v>
      </c>
      <c r="D4116" s="715" t="s">
        <v>40839</v>
      </c>
      <c r="E4116" s="716">
        <v>24.47</v>
      </c>
    </row>
    <row r="4117" spans="1:5" ht="29">
      <c r="A4117" s="715">
        <v>11655</v>
      </c>
      <c r="B4117" s="633" t="s">
        <v>38536</v>
      </c>
      <c r="C4117" s="715" t="s">
        <v>103</v>
      </c>
      <c r="D4117" s="715" t="s">
        <v>40839</v>
      </c>
      <c r="E4117" s="716">
        <v>20.45</v>
      </c>
    </row>
    <row r="4118" spans="1:5" ht="29">
      <c r="A4118" s="715">
        <v>11656</v>
      </c>
      <c r="B4118" s="633" t="s">
        <v>38537</v>
      </c>
      <c r="C4118" s="715" t="s">
        <v>103</v>
      </c>
      <c r="D4118" s="715" t="s">
        <v>40839</v>
      </c>
      <c r="E4118" s="716">
        <v>23.48</v>
      </c>
    </row>
    <row r="4119" spans="1:5">
      <c r="A4119" s="715">
        <v>7091</v>
      </c>
      <c r="B4119" s="633" t="s">
        <v>38538</v>
      </c>
      <c r="C4119" s="715" t="s">
        <v>103</v>
      </c>
      <c r="D4119" s="715" t="s">
        <v>40839</v>
      </c>
      <c r="E4119" s="716">
        <v>19.23</v>
      </c>
    </row>
    <row r="4120" spans="1:5">
      <c r="A4120" s="715">
        <v>37948</v>
      </c>
      <c r="B4120" s="633" t="s">
        <v>38539</v>
      </c>
      <c r="C4120" s="715" t="s">
        <v>103</v>
      </c>
      <c r="D4120" s="715" t="s">
        <v>40839</v>
      </c>
      <c r="E4120" s="716">
        <v>4.45</v>
      </c>
    </row>
    <row r="4121" spans="1:5">
      <c r="A4121" s="715">
        <v>7097</v>
      </c>
      <c r="B4121" s="633" t="s">
        <v>38540</v>
      </c>
      <c r="C4121" s="715" t="s">
        <v>103</v>
      </c>
      <c r="D4121" s="715" t="s">
        <v>40839</v>
      </c>
      <c r="E4121" s="716">
        <v>9.0299999999999994</v>
      </c>
    </row>
    <row r="4122" spans="1:5">
      <c r="A4122" s="715">
        <v>11658</v>
      </c>
      <c r="B4122" s="633" t="s">
        <v>38541</v>
      </c>
      <c r="C4122" s="715" t="s">
        <v>103</v>
      </c>
      <c r="D4122" s="715" t="s">
        <v>40839</v>
      </c>
      <c r="E4122" s="716">
        <v>19.97</v>
      </c>
    </row>
    <row r="4123" spans="1:5">
      <c r="A4123" s="715">
        <v>7146</v>
      </c>
      <c r="B4123" s="633" t="s">
        <v>38542</v>
      </c>
      <c r="C4123" s="715" t="s">
        <v>103</v>
      </c>
      <c r="D4123" s="715" t="s">
        <v>40839</v>
      </c>
      <c r="E4123" s="716">
        <v>196.62</v>
      </c>
    </row>
    <row r="4124" spans="1:5">
      <c r="A4124" s="715">
        <v>7138</v>
      </c>
      <c r="B4124" s="633" t="s">
        <v>38543</v>
      </c>
      <c r="C4124" s="715" t="s">
        <v>103</v>
      </c>
      <c r="D4124" s="715" t="s">
        <v>40839</v>
      </c>
      <c r="E4124" s="716">
        <v>1.24</v>
      </c>
    </row>
    <row r="4125" spans="1:5">
      <c r="A4125" s="715">
        <v>7139</v>
      </c>
      <c r="B4125" s="633" t="s">
        <v>38544</v>
      </c>
      <c r="C4125" s="715" t="s">
        <v>103</v>
      </c>
      <c r="D4125" s="715" t="s">
        <v>40839</v>
      </c>
      <c r="E4125" s="716">
        <v>1.41</v>
      </c>
    </row>
    <row r="4126" spans="1:5">
      <c r="A4126" s="715">
        <v>7140</v>
      </c>
      <c r="B4126" s="633" t="s">
        <v>38545</v>
      </c>
      <c r="C4126" s="715" t="s">
        <v>103</v>
      </c>
      <c r="D4126" s="715" t="s">
        <v>40839</v>
      </c>
      <c r="E4126" s="716">
        <v>4.42</v>
      </c>
    </row>
    <row r="4127" spans="1:5">
      <c r="A4127" s="715">
        <v>7141</v>
      </c>
      <c r="B4127" s="633" t="s">
        <v>38546</v>
      </c>
      <c r="C4127" s="715" t="s">
        <v>103</v>
      </c>
      <c r="D4127" s="715" t="s">
        <v>40839</v>
      </c>
      <c r="E4127" s="716">
        <v>10.82</v>
      </c>
    </row>
    <row r="4128" spans="1:5">
      <c r="A4128" s="715">
        <v>7143</v>
      </c>
      <c r="B4128" s="633" t="s">
        <v>38547</v>
      </c>
      <c r="C4128" s="715" t="s">
        <v>103</v>
      </c>
      <c r="D4128" s="715" t="s">
        <v>40839</v>
      </c>
      <c r="E4128" s="716">
        <v>36.299999999999997</v>
      </c>
    </row>
    <row r="4129" spans="1:5">
      <c r="A4129" s="715">
        <v>7144</v>
      </c>
      <c r="B4129" s="633" t="s">
        <v>38548</v>
      </c>
      <c r="C4129" s="715" t="s">
        <v>103</v>
      </c>
      <c r="D4129" s="715" t="s">
        <v>40839</v>
      </c>
      <c r="E4129" s="716">
        <v>67.34</v>
      </c>
    </row>
    <row r="4130" spans="1:5">
      <c r="A4130" s="715">
        <v>7145</v>
      </c>
      <c r="B4130" s="633" t="s">
        <v>38549</v>
      </c>
      <c r="C4130" s="715" t="s">
        <v>103</v>
      </c>
      <c r="D4130" s="715" t="s">
        <v>40839</v>
      </c>
      <c r="E4130" s="716">
        <v>91.57</v>
      </c>
    </row>
    <row r="4131" spans="1:5">
      <c r="A4131" s="715">
        <v>7142</v>
      </c>
      <c r="B4131" s="633" t="s">
        <v>38550</v>
      </c>
      <c r="C4131" s="715" t="s">
        <v>103</v>
      </c>
      <c r="D4131" s="715" t="s">
        <v>40839</v>
      </c>
      <c r="E4131" s="716">
        <v>11.31</v>
      </c>
    </row>
    <row r="4132" spans="1:5" ht="29">
      <c r="A4132" s="715">
        <v>39322</v>
      </c>
      <c r="B4132" s="633" t="s">
        <v>38551</v>
      </c>
      <c r="C4132" s="715" t="s">
        <v>103</v>
      </c>
      <c r="D4132" s="715" t="s">
        <v>40839</v>
      </c>
      <c r="E4132" s="716">
        <v>10.32</v>
      </c>
    </row>
    <row r="4133" spans="1:5" ht="29">
      <c r="A4133" s="715">
        <v>39289</v>
      </c>
      <c r="B4133" s="633" t="s">
        <v>38552</v>
      </c>
      <c r="C4133" s="715" t="s">
        <v>103</v>
      </c>
      <c r="D4133" s="715" t="s">
        <v>40839</v>
      </c>
      <c r="E4133" s="716">
        <v>19.239999999999998</v>
      </c>
    </row>
    <row r="4134" spans="1:5" ht="29">
      <c r="A4134" s="715">
        <v>39290</v>
      </c>
      <c r="B4134" s="633" t="s">
        <v>38553</v>
      </c>
      <c r="C4134" s="715" t="s">
        <v>103</v>
      </c>
      <c r="D4134" s="715" t="s">
        <v>40839</v>
      </c>
      <c r="E4134" s="716">
        <v>32.49</v>
      </c>
    </row>
    <row r="4135" spans="1:5" ht="29">
      <c r="A4135" s="715">
        <v>39291</v>
      </c>
      <c r="B4135" s="633" t="s">
        <v>38554</v>
      </c>
      <c r="C4135" s="715" t="s">
        <v>103</v>
      </c>
      <c r="D4135" s="715" t="s">
        <v>40839</v>
      </c>
      <c r="E4135" s="716">
        <v>35.93</v>
      </c>
    </row>
    <row r="4136" spans="1:5">
      <c r="A4136" s="715">
        <v>41892</v>
      </c>
      <c r="B4136" s="633" t="s">
        <v>38555</v>
      </c>
      <c r="C4136" s="715" t="s">
        <v>103</v>
      </c>
      <c r="D4136" s="715" t="s">
        <v>40839</v>
      </c>
      <c r="E4136" s="716">
        <v>142.47</v>
      </c>
    </row>
    <row r="4137" spans="1:5">
      <c r="A4137" s="715">
        <v>7048</v>
      </c>
      <c r="B4137" s="633" t="s">
        <v>38556</v>
      </c>
      <c r="C4137" s="715" t="s">
        <v>103</v>
      </c>
      <c r="D4137" s="715" t="s">
        <v>40839</v>
      </c>
      <c r="E4137" s="716">
        <v>30.75</v>
      </c>
    </row>
    <row r="4138" spans="1:5">
      <c r="A4138" s="715">
        <v>7088</v>
      </c>
      <c r="B4138" s="633" t="s">
        <v>38557</v>
      </c>
      <c r="C4138" s="715" t="s">
        <v>103</v>
      </c>
      <c r="D4138" s="715" t="s">
        <v>40839</v>
      </c>
      <c r="E4138" s="716">
        <v>67.239999999999995</v>
      </c>
    </row>
    <row r="4139" spans="1:5">
      <c r="A4139" s="715">
        <v>7070</v>
      </c>
      <c r="B4139" s="633" t="s">
        <v>38558</v>
      </c>
      <c r="C4139" s="715" t="s">
        <v>103</v>
      </c>
      <c r="D4139" s="715" t="s">
        <v>40839</v>
      </c>
      <c r="E4139" s="716">
        <v>247.44</v>
      </c>
    </row>
    <row r="4140" spans="1:5">
      <c r="A4140" s="715">
        <v>20179</v>
      </c>
      <c r="B4140" s="633" t="s">
        <v>38559</v>
      </c>
      <c r="C4140" s="715" t="s">
        <v>103</v>
      </c>
      <c r="D4140" s="715" t="s">
        <v>40839</v>
      </c>
      <c r="E4140" s="716">
        <v>52.63</v>
      </c>
    </row>
    <row r="4141" spans="1:5">
      <c r="A4141" s="715">
        <v>20178</v>
      </c>
      <c r="B4141" s="633" t="s">
        <v>38560</v>
      </c>
      <c r="C4141" s="715" t="s">
        <v>103</v>
      </c>
      <c r="D4141" s="715" t="s">
        <v>40839</v>
      </c>
      <c r="E4141" s="716">
        <v>63.08</v>
      </c>
    </row>
    <row r="4142" spans="1:5">
      <c r="A4142" s="715">
        <v>20180</v>
      </c>
      <c r="B4142" s="633" t="s">
        <v>38561</v>
      </c>
      <c r="C4142" s="715" t="s">
        <v>103</v>
      </c>
      <c r="D4142" s="715" t="s">
        <v>40839</v>
      </c>
      <c r="E4142" s="716">
        <v>104.12</v>
      </c>
    </row>
    <row r="4143" spans="1:5">
      <c r="A4143" s="715">
        <v>20181</v>
      </c>
      <c r="B4143" s="633" t="s">
        <v>38562</v>
      </c>
      <c r="C4143" s="715" t="s">
        <v>103</v>
      </c>
      <c r="D4143" s="715" t="s">
        <v>40839</v>
      </c>
      <c r="E4143" s="716">
        <v>139.41</v>
      </c>
    </row>
    <row r="4144" spans="1:5">
      <c r="A4144" s="715">
        <v>20177</v>
      </c>
      <c r="B4144" s="633" t="s">
        <v>38563</v>
      </c>
      <c r="C4144" s="715" t="s">
        <v>103</v>
      </c>
      <c r="D4144" s="715" t="s">
        <v>40839</v>
      </c>
      <c r="E4144" s="716">
        <v>34.479999999999997</v>
      </c>
    </row>
    <row r="4145" spans="1:5">
      <c r="A4145" s="715">
        <v>40945</v>
      </c>
      <c r="B4145" s="633" t="s">
        <v>38564</v>
      </c>
      <c r="C4145" s="715" t="s">
        <v>11</v>
      </c>
      <c r="D4145" s="715" t="s">
        <v>40839</v>
      </c>
      <c r="E4145" s="716">
        <v>63.49</v>
      </c>
    </row>
    <row r="4146" spans="1:5">
      <c r="A4146" s="715">
        <v>40946</v>
      </c>
      <c r="B4146" s="633" t="s">
        <v>38565</v>
      </c>
      <c r="C4146" s="715" t="s">
        <v>27629</v>
      </c>
      <c r="D4146" s="715" t="s">
        <v>40839</v>
      </c>
      <c r="E4146" s="716">
        <v>11122.74</v>
      </c>
    </row>
    <row r="4147" spans="1:5">
      <c r="A4147" s="715">
        <v>7153</v>
      </c>
      <c r="B4147" s="633" t="s">
        <v>38566</v>
      </c>
      <c r="C4147" s="715" t="s">
        <v>11</v>
      </c>
      <c r="D4147" s="715" t="s">
        <v>40839</v>
      </c>
      <c r="E4147" s="716">
        <v>59.32</v>
      </c>
    </row>
    <row r="4148" spans="1:5">
      <c r="A4148" s="715">
        <v>41089</v>
      </c>
      <c r="B4148" s="633" t="s">
        <v>38567</v>
      </c>
      <c r="C4148" s="715" t="s">
        <v>27629</v>
      </c>
      <c r="D4148" s="715" t="s">
        <v>40839</v>
      </c>
      <c r="E4148" s="716">
        <v>10393.57</v>
      </c>
    </row>
    <row r="4149" spans="1:5">
      <c r="A4149" s="715">
        <v>40943</v>
      </c>
      <c r="B4149" s="633" t="s">
        <v>38568</v>
      </c>
      <c r="C4149" s="715" t="s">
        <v>11</v>
      </c>
      <c r="D4149" s="715" t="s">
        <v>40839</v>
      </c>
      <c r="E4149" s="716">
        <v>72.39</v>
      </c>
    </row>
    <row r="4150" spans="1:5">
      <c r="A4150" s="715">
        <v>40944</v>
      </c>
      <c r="B4150" s="633" t="s">
        <v>38569</v>
      </c>
      <c r="C4150" s="715" t="s">
        <v>27629</v>
      </c>
      <c r="D4150" s="715" t="s">
        <v>40839</v>
      </c>
      <c r="E4150" s="716">
        <v>12682.04</v>
      </c>
    </row>
    <row r="4151" spans="1:5">
      <c r="A4151" s="715">
        <v>6175</v>
      </c>
      <c r="B4151" s="633" t="s">
        <v>38570</v>
      </c>
      <c r="C4151" s="715" t="s">
        <v>11</v>
      </c>
      <c r="D4151" s="715" t="s">
        <v>40839</v>
      </c>
      <c r="E4151" s="716">
        <v>33.54</v>
      </c>
    </row>
    <row r="4152" spans="1:5">
      <c r="A4152" s="715">
        <v>41092</v>
      </c>
      <c r="B4152" s="633" t="s">
        <v>38571</v>
      </c>
      <c r="C4152" s="715" t="s">
        <v>27629</v>
      </c>
      <c r="D4152" s="715" t="s">
        <v>40839</v>
      </c>
      <c r="E4152" s="716">
        <v>5875.03</v>
      </c>
    </row>
    <row r="4153" spans="1:5" ht="29">
      <c r="A4153" s="715">
        <v>37712</v>
      </c>
      <c r="B4153" s="633" t="s">
        <v>38572</v>
      </c>
      <c r="C4153" s="715" t="s">
        <v>509</v>
      </c>
      <c r="D4153" s="715" t="s">
        <v>40839</v>
      </c>
      <c r="E4153" s="716">
        <v>66.17</v>
      </c>
    </row>
    <row r="4154" spans="1:5" ht="29">
      <c r="A4154" s="715">
        <v>34558</v>
      </c>
      <c r="B4154" s="633" t="s">
        <v>38573</v>
      </c>
      <c r="C4154" s="715" t="s">
        <v>165</v>
      </c>
      <c r="D4154" s="715" t="s">
        <v>40839</v>
      </c>
      <c r="E4154" s="716">
        <v>2.63</v>
      </c>
    </row>
    <row r="4155" spans="1:5" ht="29">
      <c r="A4155" s="715">
        <v>34547</v>
      </c>
      <c r="B4155" s="633" t="s">
        <v>38574</v>
      </c>
      <c r="C4155" s="715" t="s">
        <v>165</v>
      </c>
      <c r="D4155" s="715" t="s">
        <v>40839</v>
      </c>
      <c r="E4155" s="716">
        <v>3.24</v>
      </c>
    </row>
    <row r="4156" spans="1:5" ht="29">
      <c r="A4156" s="715">
        <v>34548</v>
      </c>
      <c r="B4156" s="633" t="s">
        <v>38575</v>
      </c>
      <c r="C4156" s="715" t="s">
        <v>165</v>
      </c>
      <c r="D4156" s="715" t="s">
        <v>40839</v>
      </c>
      <c r="E4156" s="716">
        <v>5.31</v>
      </c>
    </row>
    <row r="4157" spans="1:5" ht="29">
      <c r="A4157" s="715">
        <v>34550</v>
      </c>
      <c r="B4157" s="633" t="s">
        <v>38576</v>
      </c>
      <c r="C4157" s="715" t="s">
        <v>165</v>
      </c>
      <c r="D4157" s="715" t="s">
        <v>40839</v>
      </c>
      <c r="E4157" s="716">
        <v>1.4</v>
      </c>
    </row>
    <row r="4158" spans="1:5" ht="29">
      <c r="A4158" s="715">
        <v>34557</v>
      </c>
      <c r="B4158" s="633" t="s">
        <v>38577</v>
      </c>
      <c r="C4158" s="715" t="s">
        <v>165</v>
      </c>
      <c r="D4158" s="715" t="s">
        <v>40839</v>
      </c>
      <c r="E4158" s="716">
        <v>2.0499999999999998</v>
      </c>
    </row>
    <row r="4159" spans="1:5" ht="29">
      <c r="A4159" s="715">
        <v>37411</v>
      </c>
      <c r="B4159" s="633" t="s">
        <v>38578</v>
      </c>
      <c r="C4159" s="715" t="s">
        <v>509</v>
      </c>
      <c r="D4159" s="715" t="s">
        <v>40839</v>
      </c>
      <c r="E4159" s="716">
        <v>14.99</v>
      </c>
    </row>
    <row r="4160" spans="1:5" ht="29">
      <c r="A4160" s="715">
        <v>39508</v>
      </c>
      <c r="B4160" s="633" t="s">
        <v>38579</v>
      </c>
      <c r="C4160" s="715" t="s">
        <v>509</v>
      </c>
      <c r="D4160" s="715" t="s">
        <v>40839</v>
      </c>
      <c r="E4160" s="716">
        <v>8.42</v>
      </c>
    </row>
    <row r="4161" spans="1:5" ht="29">
      <c r="A4161" s="715">
        <v>39507</v>
      </c>
      <c r="B4161" s="633" t="s">
        <v>38580</v>
      </c>
      <c r="C4161" s="715" t="s">
        <v>509</v>
      </c>
      <c r="D4161" s="715" t="s">
        <v>40839</v>
      </c>
      <c r="E4161" s="716">
        <v>12.56</v>
      </c>
    </row>
    <row r="4162" spans="1:5" ht="29">
      <c r="A4162" s="715">
        <v>7155</v>
      </c>
      <c r="B4162" s="633" t="s">
        <v>38581</v>
      </c>
      <c r="C4162" s="715" t="s">
        <v>509</v>
      </c>
      <c r="D4162" s="715" t="s">
        <v>40839</v>
      </c>
      <c r="E4162" s="716">
        <v>16.13</v>
      </c>
    </row>
    <row r="4163" spans="1:5" ht="29">
      <c r="A4163" s="715">
        <v>42406</v>
      </c>
      <c r="B4163" s="633" t="s">
        <v>38582</v>
      </c>
      <c r="C4163" s="715" t="s">
        <v>509</v>
      </c>
      <c r="D4163" s="715" t="s">
        <v>40839</v>
      </c>
      <c r="E4163" s="716">
        <v>18.489999999999998</v>
      </c>
    </row>
    <row r="4164" spans="1:5" ht="29">
      <c r="A4164" s="715">
        <v>7156</v>
      </c>
      <c r="B4164" s="633" t="s">
        <v>38583</v>
      </c>
      <c r="C4164" s="715" t="s">
        <v>509</v>
      </c>
      <c r="D4164" s="715" t="s">
        <v>28018</v>
      </c>
      <c r="E4164" s="716">
        <v>23.14</v>
      </c>
    </row>
    <row r="4165" spans="1:5" ht="43">
      <c r="A4165" s="715">
        <v>43127</v>
      </c>
      <c r="B4165" s="633" t="s">
        <v>38584</v>
      </c>
      <c r="C4165" s="715" t="s">
        <v>509</v>
      </c>
      <c r="D4165" s="715" t="s">
        <v>40839</v>
      </c>
      <c r="E4165" s="716">
        <v>33.11</v>
      </c>
    </row>
    <row r="4166" spans="1:5" ht="29">
      <c r="A4166" s="715">
        <v>10917</v>
      </c>
      <c r="B4166" s="633" t="s">
        <v>38585</v>
      </c>
      <c r="C4166" s="715" t="s">
        <v>509</v>
      </c>
      <c r="D4166" s="715" t="s">
        <v>40839</v>
      </c>
      <c r="E4166" s="716">
        <v>6.99</v>
      </c>
    </row>
    <row r="4167" spans="1:5" ht="29">
      <c r="A4167" s="715">
        <v>21141</v>
      </c>
      <c r="B4167" s="633" t="s">
        <v>38586</v>
      </c>
      <c r="C4167" s="715" t="s">
        <v>509</v>
      </c>
      <c r="D4167" s="715" t="s">
        <v>40839</v>
      </c>
      <c r="E4167" s="716">
        <v>10.82</v>
      </c>
    </row>
    <row r="4168" spans="1:5" ht="29">
      <c r="A4168" s="715">
        <v>39509</v>
      </c>
      <c r="B4168" s="633" t="s">
        <v>38587</v>
      </c>
      <c r="C4168" s="715" t="s">
        <v>509</v>
      </c>
      <c r="D4168" s="715" t="s">
        <v>40839</v>
      </c>
      <c r="E4168" s="716">
        <v>10.41</v>
      </c>
    </row>
    <row r="4169" spans="1:5">
      <c r="A4169" s="715">
        <v>44529</v>
      </c>
      <c r="B4169" s="633" t="s">
        <v>41073</v>
      </c>
      <c r="C4169" s="715" t="s">
        <v>509</v>
      </c>
      <c r="D4169" s="715" t="s">
        <v>40839</v>
      </c>
      <c r="E4169" s="716">
        <v>20.43</v>
      </c>
    </row>
    <row r="4170" spans="1:5" ht="29">
      <c r="A4170" s="715">
        <v>7167</v>
      </c>
      <c r="B4170" s="633" t="s">
        <v>38588</v>
      </c>
      <c r="C4170" s="715" t="s">
        <v>509</v>
      </c>
      <c r="D4170" s="715" t="s">
        <v>40839</v>
      </c>
      <c r="E4170" s="716">
        <v>26.55</v>
      </c>
    </row>
    <row r="4171" spans="1:5" ht="29">
      <c r="A4171" s="715">
        <v>10928</v>
      </c>
      <c r="B4171" s="633" t="s">
        <v>38589</v>
      </c>
      <c r="C4171" s="715" t="s">
        <v>509</v>
      </c>
      <c r="D4171" s="715" t="s">
        <v>40839</v>
      </c>
      <c r="E4171" s="716">
        <v>15.26</v>
      </c>
    </row>
    <row r="4172" spans="1:5" ht="29">
      <c r="A4172" s="715">
        <v>10933</v>
      </c>
      <c r="B4172" s="633" t="s">
        <v>38590</v>
      </c>
      <c r="C4172" s="715" t="s">
        <v>509</v>
      </c>
      <c r="D4172" s="715" t="s">
        <v>40839</v>
      </c>
      <c r="E4172" s="716">
        <v>23.01</v>
      </c>
    </row>
    <row r="4173" spans="1:5" ht="29">
      <c r="A4173" s="715">
        <v>7158</v>
      </c>
      <c r="B4173" s="633" t="s">
        <v>38591</v>
      </c>
      <c r="C4173" s="715" t="s">
        <v>509</v>
      </c>
      <c r="D4173" s="715" t="s">
        <v>28018</v>
      </c>
      <c r="E4173" s="716">
        <v>39.03</v>
      </c>
    </row>
    <row r="4174" spans="1:5" ht="29">
      <c r="A4174" s="715">
        <v>10927</v>
      </c>
      <c r="B4174" s="633" t="s">
        <v>38592</v>
      </c>
      <c r="C4174" s="715" t="s">
        <v>509</v>
      </c>
      <c r="D4174" s="715" t="s">
        <v>40839</v>
      </c>
      <c r="E4174" s="716">
        <v>24.96</v>
      </c>
    </row>
    <row r="4175" spans="1:5" ht="29">
      <c r="A4175" s="715">
        <v>7162</v>
      </c>
      <c r="B4175" s="633" t="s">
        <v>38593</v>
      </c>
      <c r="C4175" s="715" t="s">
        <v>509</v>
      </c>
      <c r="D4175" s="715" t="s">
        <v>40839</v>
      </c>
      <c r="E4175" s="716">
        <v>61.08</v>
      </c>
    </row>
    <row r="4176" spans="1:5" ht="29">
      <c r="A4176" s="715">
        <v>10932</v>
      </c>
      <c r="B4176" s="633" t="s">
        <v>38594</v>
      </c>
      <c r="C4176" s="715" t="s">
        <v>509</v>
      </c>
      <c r="D4176" s="715" t="s">
        <v>40839</v>
      </c>
      <c r="E4176" s="716">
        <v>106.23</v>
      </c>
    </row>
    <row r="4177" spans="1:5" ht="29">
      <c r="A4177" s="715">
        <v>10937</v>
      </c>
      <c r="B4177" s="633" t="s">
        <v>38595</v>
      </c>
      <c r="C4177" s="715" t="s">
        <v>509</v>
      </c>
      <c r="D4177" s="715" t="s">
        <v>40839</v>
      </c>
      <c r="E4177" s="716">
        <v>27.3</v>
      </c>
    </row>
    <row r="4178" spans="1:5" ht="29">
      <c r="A4178" s="715">
        <v>10935</v>
      </c>
      <c r="B4178" s="633" t="s">
        <v>38596</v>
      </c>
      <c r="C4178" s="715" t="s">
        <v>509</v>
      </c>
      <c r="D4178" s="715" t="s">
        <v>40839</v>
      </c>
      <c r="E4178" s="716">
        <v>47.36</v>
      </c>
    </row>
    <row r="4179" spans="1:5">
      <c r="A4179" s="715">
        <v>10931</v>
      </c>
      <c r="B4179" s="633" t="s">
        <v>32752</v>
      </c>
      <c r="C4179" s="715" t="s">
        <v>509</v>
      </c>
      <c r="D4179" s="715" t="s">
        <v>40839</v>
      </c>
      <c r="E4179" s="716">
        <v>13.32</v>
      </c>
    </row>
    <row r="4180" spans="1:5">
      <c r="A4180" s="715">
        <v>7164</v>
      </c>
      <c r="B4180" s="633" t="s">
        <v>38597</v>
      </c>
      <c r="C4180" s="715" t="s">
        <v>509</v>
      </c>
      <c r="D4180" s="715" t="s">
        <v>40839</v>
      </c>
      <c r="E4180" s="716">
        <v>44.08</v>
      </c>
    </row>
    <row r="4181" spans="1:5">
      <c r="A4181" s="715">
        <v>36887</v>
      </c>
      <c r="B4181" s="633" t="s">
        <v>38598</v>
      </c>
      <c r="C4181" s="715" t="s">
        <v>509</v>
      </c>
      <c r="D4181" s="715" t="s">
        <v>40839</v>
      </c>
      <c r="E4181" s="716">
        <v>8.6</v>
      </c>
    </row>
    <row r="4182" spans="1:5" ht="43">
      <c r="A4182" s="715">
        <v>34630</v>
      </c>
      <c r="B4182" s="633" t="s">
        <v>38599</v>
      </c>
      <c r="C4182" s="715" t="s">
        <v>103</v>
      </c>
      <c r="D4182" s="715" t="s">
        <v>40839</v>
      </c>
      <c r="E4182" s="716">
        <v>1075.3800000000001</v>
      </c>
    </row>
    <row r="4183" spans="1:5">
      <c r="A4183" s="715">
        <v>7161</v>
      </c>
      <c r="B4183" s="633" t="s">
        <v>38600</v>
      </c>
      <c r="C4183" s="715" t="s">
        <v>509</v>
      </c>
      <c r="D4183" s="715" t="s">
        <v>40839</v>
      </c>
      <c r="E4183" s="716">
        <v>5.48</v>
      </c>
    </row>
    <row r="4184" spans="1:5" ht="29">
      <c r="A4184" s="715">
        <v>7170</v>
      </c>
      <c r="B4184" s="633" t="s">
        <v>38601</v>
      </c>
      <c r="C4184" s="715" t="s">
        <v>509</v>
      </c>
      <c r="D4184" s="715" t="s">
        <v>40839</v>
      </c>
      <c r="E4184" s="716">
        <v>2.08</v>
      </c>
    </row>
    <row r="4185" spans="1:5" ht="29">
      <c r="A4185" s="715">
        <v>37524</v>
      </c>
      <c r="B4185" s="633" t="s">
        <v>38602</v>
      </c>
      <c r="C4185" s="715" t="s">
        <v>165</v>
      </c>
      <c r="D4185" s="715" t="s">
        <v>28018</v>
      </c>
      <c r="E4185" s="716">
        <v>1.9</v>
      </c>
    </row>
    <row r="4186" spans="1:5" ht="29">
      <c r="A4186" s="715">
        <v>37525</v>
      </c>
      <c r="B4186" s="633" t="s">
        <v>38603</v>
      </c>
      <c r="C4186" s="715" t="s">
        <v>165</v>
      </c>
      <c r="D4186" s="715" t="s">
        <v>40839</v>
      </c>
      <c r="E4186" s="716">
        <v>2.6</v>
      </c>
    </row>
    <row r="4187" spans="1:5" ht="29">
      <c r="A4187" s="715">
        <v>36789</v>
      </c>
      <c r="B4187" s="633" t="s">
        <v>38604</v>
      </c>
      <c r="C4187" s="715" t="s">
        <v>103</v>
      </c>
      <c r="D4187" s="715" t="s">
        <v>40839</v>
      </c>
      <c r="E4187" s="716">
        <v>5.24</v>
      </c>
    </row>
    <row r="4188" spans="1:5" ht="43">
      <c r="A4188" s="715">
        <v>7173</v>
      </c>
      <c r="B4188" s="633" t="s">
        <v>38605</v>
      </c>
      <c r="C4188" s="715" t="s">
        <v>37693</v>
      </c>
      <c r="D4188" s="715" t="s">
        <v>28018</v>
      </c>
      <c r="E4188" s="716">
        <v>3390</v>
      </c>
    </row>
    <row r="4189" spans="1:5" ht="29">
      <c r="A4189" s="715">
        <v>7175</v>
      </c>
      <c r="B4189" s="633" t="s">
        <v>38606</v>
      </c>
      <c r="C4189" s="715" t="s">
        <v>103</v>
      </c>
      <c r="D4189" s="715" t="s">
        <v>40839</v>
      </c>
      <c r="E4189" s="716">
        <v>3.83</v>
      </c>
    </row>
    <row r="4190" spans="1:5" ht="29">
      <c r="A4190" s="715">
        <v>40741</v>
      </c>
      <c r="B4190" s="633" t="s">
        <v>38607</v>
      </c>
      <c r="C4190" s="715" t="s">
        <v>103</v>
      </c>
      <c r="D4190" s="715" t="s">
        <v>40839</v>
      </c>
      <c r="E4190" s="716">
        <v>3.27</v>
      </c>
    </row>
    <row r="4191" spans="1:5" ht="29">
      <c r="A4191" s="715">
        <v>7184</v>
      </c>
      <c r="B4191" s="633" t="s">
        <v>38608</v>
      </c>
      <c r="C4191" s="715" t="s">
        <v>509</v>
      </c>
      <c r="D4191" s="715" t="s">
        <v>28018</v>
      </c>
      <c r="E4191" s="716">
        <v>40.98</v>
      </c>
    </row>
    <row r="4192" spans="1:5">
      <c r="A4192" s="715">
        <v>34458</v>
      </c>
      <c r="B4192" s="633" t="s">
        <v>38609</v>
      </c>
      <c r="C4192" s="715" t="s">
        <v>103</v>
      </c>
      <c r="D4192" s="715" t="s">
        <v>40839</v>
      </c>
      <c r="E4192" s="716">
        <v>140.72</v>
      </c>
    </row>
    <row r="4193" spans="1:5">
      <c r="A4193" s="715">
        <v>34464</v>
      </c>
      <c r="B4193" s="633" t="s">
        <v>38610</v>
      </c>
      <c r="C4193" s="715" t="s">
        <v>103</v>
      </c>
      <c r="D4193" s="715" t="s">
        <v>40839</v>
      </c>
      <c r="E4193" s="716">
        <v>209.47</v>
      </c>
    </row>
    <row r="4194" spans="1:5">
      <c r="A4194" s="715">
        <v>34468</v>
      </c>
      <c r="B4194" s="633" t="s">
        <v>38611</v>
      </c>
      <c r="C4194" s="715" t="s">
        <v>103</v>
      </c>
      <c r="D4194" s="715" t="s">
        <v>40839</v>
      </c>
      <c r="E4194" s="716">
        <v>264.08</v>
      </c>
    </row>
    <row r="4195" spans="1:5">
      <c r="A4195" s="715">
        <v>34473</v>
      </c>
      <c r="B4195" s="633" t="s">
        <v>38612</v>
      </c>
      <c r="C4195" s="715" t="s">
        <v>103</v>
      </c>
      <c r="D4195" s="715" t="s">
        <v>40839</v>
      </c>
      <c r="E4195" s="716">
        <v>160.19999999999999</v>
      </c>
    </row>
    <row r="4196" spans="1:5">
      <c r="A4196" s="715">
        <v>34480</v>
      </c>
      <c r="B4196" s="633" t="s">
        <v>38613</v>
      </c>
      <c r="C4196" s="715" t="s">
        <v>103</v>
      </c>
      <c r="D4196" s="715" t="s">
        <v>40839</v>
      </c>
      <c r="E4196" s="716">
        <v>296.05</v>
      </c>
    </row>
    <row r="4197" spans="1:5">
      <c r="A4197" s="715">
        <v>34486</v>
      </c>
      <c r="B4197" s="633" t="s">
        <v>38614</v>
      </c>
      <c r="C4197" s="715" t="s">
        <v>103</v>
      </c>
      <c r="D4197" s="715" t="s">
        <v>40839</v>
      </c>
      <c r="E4197" s="716">
        <v>350.52</v>
      </c>
    </row>
    <row r="4198" spans="1:5">
      <c r="A4198" s="715">
        <v>7190</v>
      </c>
      <c r="B4198" s="633" t="s">
        <v>38615</v>
      </c>
      <c r="C4198" s="715" t="s">
        <v>103</v>
      </c>
      <c r="D4198" s="715" t="s">
        <v>40839</v>
      </c>
      <c r="E4198" s="716">
        <v>11.7</v>
      </c>
    </row>
    <row r="4199" spans="1:5">
      <c r="A4199" s="715">
        <v>34417</v>
      </c>
      <c r="B4199" s="633" t="s">
        <v>38616</v>
      </c>
      <c r="C4199" s="715" t="s">
        <v>103</v>
      </c>
      <c r="D4199" s="715" t="s">
        <v>40839</v>
      </c>
      <c r="E4199" s="716">
        <v>18.73</v>
      </c>
    </row>
    <row r="4200" spans="1:5">
      <c r="A4200" s="715">
        <v>7213</v>
      </c>
      <c r="B4200" s="633" t="s">
        <v>38617</v>
      </c>
      <c r="C4200" s="715" t="s">
        <v>509</v>
      </c>
      <c r="D4200" s="715" t="s">
        <v>40839</v>
      </c>
      <c r="E4200" s="716">
        <v>17.170000000000002</v>
      </c>
    </row>
    <row r="4201" spans="1:5">
      <c r="A4201" s="715">
        <v>7195</v>
      </c>
      <c r="B4201" s="633" t="s">
        <v>38618</v>
      </c>
      <c r="C4201" s="715" t="s">
        <v>103</v>
      </c>
      <c r="D4201" s="715" t="s">
        <v>40839</v>
      </c>
      <c r="E4201" s="716">
        <v>50.42</v>
      </c>
    </row>
    <row r="4202" spans="1:5">
      <c r="A4202" s="715">
        <v>7186</v>
      </c>
      <c r="B4202" s="633" t="s">
        <v>38619</v>
      </c>
      <c r="C4202" s="715" t="s">
        <v>103</v>
      </c>
      <c r="D4202" s="715" t="s">
        <v>28018</v>
      </c>
      <c r="E4202" s="716">
        <v>54.93</v>
      </c>
    </row>
    <row r="4203" spans="1:5">
      <c r="A4203" s="715">
        <v>7194</v>
      </c>
      <c r="B4203" s="633" t="s">
        <v>38620</v>
      </c>
      <c r="C4203" s="715" t="s">
        <v>509</v>
      </c>
      <c r="D4203" s="715" t="s">
        <v>40839</v>
      </c>
      <c r="E4203" s="716">
        <v>25.32</v>
      </c>
    </row>
    <row r="4204" spans="1:5">
      <c r="A4204" s="715">
        <v>7197</v>
      </c>
      <c r="B4204" s="633" t="s">
        <v>38621</v>
      </c>
      <c r="C4204" s="715" t="s">
        <v>103</v>
      </c>
      <c r="D4204" s="715" t="s">
        <v>40839</v>
      </c>
      <c r="E4204" s="716">
        <v>106.89</v>
      </c>
    </row>
    <row r="4205" spans="1:5">
      <c r="A4205" s="715">
        <v>7192</v>
      </c>
      <c r="B4205" s="633" t="s">
        <v>38622</v>
      </c>
      <c r="C4205" s="715" t="s">
        <v>103</v>
      </c>
      <c r="D4205" s="715" t="s">
        <v>40839</v>
      </c>
      <c r="E4205" s="716">
        <v>95.77</v>
      </c>
    </row>
    <row r="4206" spans="1:5">
      <c r="A4206" s="715">
        <v>7193</v>
      </c>
      <c r="B4206" s="633" t="s">
        <v>38623</v>
      </c>
      <c r="C4206" s="715" t="s">
        <v>103</v>
      </c>
      <c r="D4206" s="715" t="s">
        <v>40839</v>
      </c>
      <c r="E4206" s="716">
        <v>107.82</v>
      </c>
    </row>
    <row r="4207" spans="1:5">
      <c r="A4207" s="715">
        <v>7189</v>
      </c>
      <c r="B4207" s="633" t="s">
        <v>38624</v>
      </c>
      <c r="C4207" s="715" t="s">
        <v>103</v>
      </c>
      <c r="D4207" s="715" t="s">
        <v>40839</v>
      </c>
      <c r="E4207" s="716">
        <v>125.3</v>
      </c>
    </row>
    <row r="4208" spans="1:5">
      <c r="A4208" s="715">
        <v>34402</v>
      </c>
      <c r="B4208" s="633" t="s">
        <v>38625</v>
      </c>
      <c r="C4208" s="715" t="s">
        <v>103</v>
      </c>
      <c r="D4208" s="715" t="s">
        <v>40839</v>
      </c>
      <c r="E4208" s="716">
        <v>176.9</v>
      </c>
    </row>
    <row r="4209" spans="1:5">
      <c r="A4209" s="715">
        <v>7245</v>
      </c>
      <c r="B4209" s="633" t="s">
        <v>38626</v>
      </c>
      <c r="C4209" s="715" t="s">
        <v>103</v>
      </c>
      <c r="D4209" s="715" t="s">
        <v>40839</v>
      </c>
      <c r="E4209" s="716">
        <v>36.56</v>
      </c>
    </row>
    <row r="4210" spans="1:5">
      <c r="A4210" s="715">
        <v>34425</v>
      </c>
      <c r="B4210" s="633" t="s">
        <v>38627</v>
      </c>
      <c r="C4210" s="715" t="s">
        <v>103</v>
      </c>
      <c r="D4210" s="715" t="s">
        <v>40839</v>
      </c>
      <c r="E4210" s="716">
        <v>113.64</v>
      </c>
    </row>
    <row r="4211" spans="1:5">
      <c r="A4211" s="715">
        <v>7223</v>
      </c>
      <c r="B4211" s="633" t="s">
        <v>38628</v>
      </c>
      <c r="C4211" s="715" t="s">
        <v>103</v>
      </c>
      <c r="D4211" s="715" t="s">
        <v>40839</v>
      </c>
      <c r="E4211" s="716">
        <v>126.64</v>
      </c>
    </row>
    <row r="4212" spans="1:5">
      <c r="A4212" s="715">
        <v>7234</v>
      </c>
      <c r="B4212" s="633" t="s">
        <v>38629</v>
      </c>
      <c r="C4212" s="715" t="s">
        <v>103</v>
      </c>
      <c r="D4212" s="715" t="s">
        <v>40839</v>
      </c>
      <c r="E4212" s="716">
        <v>191.09</v>
      </c>
    </row>
    <row r="4213" spans="1:5">
      <c r="A4213" s="715">
        <v>7224</v>
      </c>
      <c r="B4213" s="633" t="s">
        <v>38630</v>
      </c>
      <c r="C4213" s="715" t="s">
        <v>103</v>
      </c>
      <c r="D4213" s="715" t="s">
        <v>40839</v>
      </c>
      <c r="E4213" s="716">
        <v>232.8</v>
      </c>
    </row>
    <row r="4214" spans="1:5">
      <c r="A4214" s="715">
        <v>7225</v>
      </c>
      <c r="B4214" s="633" t="s">
        <v>38631</v>
      </c>
      <c r="C4214" s="715" t="s">
        <v>103</v>
      </c>
      <c r="D4214" s="715" t="s">
        <v>40839</v>
      </c>
      <c r="E4214" s="716">
        <v>249.63</v>
      </c>
    </row>
    <row r="4215" spans="1:5">
      <c r="A4215" s="715">
        <v>7226</v>
      </c>
      <c r="B4215" s="633" t="s">
        <v>38632</v>
      </c>
      <c r="C4215" s="715" t="s">
        <v>103</v>
      </c>
      <c r="D4215" s="715" t="s">
        <v>40839</v>
      </c>
      <c r="E4215" s="716">
        <v>266.38</v>
      </c>
    </row>
    <row r="4216" spans="1:5">
      <c r="A4216" s="715">
        <v>7227</v>
      </c>
      <c r="B4216" s="633" t="s">
        <v>38633</v>
      </c>
      <c r="C4216" s="715" t="s">
        <v>103</v>
      </c>
      <c r="D4216" s="715" t="s">
        <v>40839</v>
      </c>
      <c r="E4216" s="716">
        <v>303.22000000000003</v>
      </c>
    </row>
    <row r="4217" spans="1:5">
      <c r="A4217" s="715">
        <v>7212</v>
      </c>
      <c r="B4217" s="633" t="s">
        <v>38634</v>
      </c>
      <c r="C4217" s="715" t="s">
        <v>103</v>
      </c>
      <c r="D4217" s="715" t="s">
        <v>40839</v>
      </c>
      <c r="E4217" s="716">
        <v>333.16</v>
      </c>
    </row>
    <row r="4218" spans="1:5">
      <c r="A4218" s="715">
        <v>7229</v>
      </c>
      <c r="B4218" s="633" t="s">
        <v>38635</v>
      </c>
      <c r="C4218" s="715" t="s">
        <v>103</v>
      </c>
      <c r="D4218" s="715" t="s">
        <v>40839</v>
      </c>
      <c r="E4218" s="716">
        <v>211.18</v>
      </c>
    </row>
    <row r="4219" spans="1:5">
      <c r="A4219" s="715">
        <v>7230</v>
      </c>
      <c r="B4219" s="633" t="s">
        <v>38636</v>
      </c>
      <c r="C4219" s="715" t="s">
        <v>103</v>
      </c>
      <c r="D4219" s="715" t="s">
        <v>40839</v>
      </c>
      <c r="E4219" s="716">
        <v>351.57</v>
      </c>
    </row>
    <row r="4220" spans="1:5">
      <c r="A4220" s="715">
        <v>7231</v>
      </c>
      <c r="B4220" s="633" t="s">
        <v>38637</v>
      </c>
      <c r="C4220" s="715" t="s">
        <v>103</v>
      </c>
      <c r="D4220" s="715" t="s">
        <v>40839</v>
      </c>
      <c r="E4220" s="716">
        <v>498.74</v>
      </c>
    </row>
    <row r="4221" spans="1:5">
      <c r="A4221" s="715">
        <v>7220</v>
      </c>
      <c r="B4221" s="633" t="s">
        <v>38638</v>
      </c>
      <c r="C4221" s="715" t="s">
        <v>103</v>
      </c>
      <c r="D4221" s="715" t="s">
        <v>40839</v>
      </c>
      <c r="E4221" s="716">
        <v>615.64</v>
      </c>
    </row>
    <row r="4222" spans="1:5">
      <c r="A4222" s="715">
        <v>34447</v>
      </c>
      <c r="B4222" s="633" t="s">
        <v>38639</v>
      </c>
      <c r="C4222" s="715" t="s">
        <v>103</v>
      </c>
      <c r="D4222" s="715" t="s">
        <v>40839</v>
      </c>
      <c r="E4222" s="716">
        <v>688.37</v>
      </c>
    </row>
    <row r="4223" spans="1:5">
      <c r="A4223" s="715">
        <v>7233</v>
      </c>
      <c r="B4223" s="633" t="s">
        <v>38640</v>
      </c>
      <c r="C4223" s="715" t="s">
        <v>103</v>
      </c>
      <c r="D4223" s="715" t="s">
        <v>40839</v>
      </c>
      <c r="E4223" s="716">
        <v>789.67</v>
      </c>
    </row>
    <row r="4224" spans="1:5" ht="57">
      <c r="A4224" s="715">
        <v>40740</v>
      </c>
      <c r="B4224" s="633" t="s">
        <v>38641</v>
      </c>
      <c r="C4224" s="715" t="s">
        <v>509</v>
      </c>
      <c r="D4224" s="715" t="s">
        <v>40839</v>
      </c>
      <c r="E4224" s="716">
        <v>169.07</v>
      </c>
    </row>
    <row r="4225" spans="1:5" ht="29">
      <c r="A4225" s="715">
        <v>25007</v>
      </c>
      <c r="B4225" s="633" t="s">
        <v>38642</v>
      </c>
      <c r="C4225" s="715" t="s">
        <v>509</v>
      </c>
      <c r="D4225" s="715" t="s">
        <v>28018</v>
      </c>
      <c r="E4225" s="716">
        <v>48.38</v>
      </c>
    </row>
    <row r="4226" spans="1:5" ht="57">
      <c r="A4226" s="715">
        <v>43071</v>
      </c>
      <c r="B4226" s="633" t="s">
        <v>38643</v>
      </c>
      <c r="C4226" s="715" t="s">
        <v>509</v>
      </c>
      <c r="D4226" s="715" t="s">
        <v>40839</v>
      </c>
      <c r="E4226" s="716">
        <v>190.38</v>
      </c>
    </row>
    <row r="4227" spans="1:5" ht="57">
      <c r="A4227" s="715">
        <v>39520</v>
      </c>
      <c r="B4227" s="633" t="s">
        <v>38644</v>
      </c>
      <c r="C4227" s="715" t="s">
        <v>509</v>
      </c>
      <c r="D4227" s="715" t="s">
        <v>40839</v>
      </c>
      <c r="E4227" s="716">
        <v>155.32</v>
      </c>
    </row>
    <row r="4228" spans="1:5" ht="57">
      <c r="A4228" s="715">
        <v>39521</v>
      </c>
      <c r="B4228" s="633" t="s">
        <v>38645</v>
      </c>
      <c r="C4228" s="715" t="s">
        <v>509</v>
      </c>
      <c r="D4228" s="715" t="s">
        <v>40839</v>
      </c>
      <c r="E4228" s="716">
        <v>160.38999999999999</v>
      </c>
    </row>
    <row r="4229" spans="1:5" ht="57">
      <c r="A4229" s="715">
        <v>39522</v>
      </c>
      <c r="B4229" s="633" t="s">
        <v>38646</v>
      </c>
      <c r="C4229" s="715" t="s">
        <v>509</v>
      </c>
      <c r="D4229" s="715" t="s">
        <v>40839</v>
      </c>
      <c r="E4229" s="716">
        <v>165.62</v>
      </c>
    </row>
    <row r="4230" spans="1:5" ht="29">
      <c r="A4230" s="715">
        <v>7243</v>
      </c>
      <c r="B4230" s="633" t="s">
        <v>38647</v>
      </c>
      <c r="C4230" s="715" t="s">
        <v>509</v>
      </c>
      <c r="D4230" s="715" t="s">
        <v>40839</v>
      </c>
      <c r="E4230" s="716">
        <v>50.55</v>
      </c>
    </row>
    <row r="4231" spans="1:5">
      <c r="A4231" s="715">
        <v>7246</v>
      </c>
      <c r="B4231" s="633" t="s">
        <v>38648</v>
      </c>
      <c r="C4231" s="715" t="s">
        <v>103</v>
      </c>
      <c r="D4231" s="715" t="s">
        <v>40839</v>
      </c>
      <c r="E4231" s="716">
        <v>40.369999999999997</v>
      </c>
    </row>
    <row r="4232" spans="1:5">
      <c r="A4232" s="715">
        <v>12869</v>
      </c>
      <c r="B4232" s="633" t="s">
        <v>38649</v>
      </c>
      <c r="C4232" s="715" t="s">
        <v>11</v>
      </c>
      <c r="D4232" s="715" t="s">
        <v>40839</v>
      </c>
      <c r="E4232" s="716">
        <v>26.03</v>
      </c>
    </row>
    <row r="4233" spans="1:5">
      <c r="A4233" s="715">
        <v>41097</v>
      </c>
      <c r="B4233" s="633" t="s">
        <v>38650</v>
      </c>
      <c r="C4233" s="715" t="s">
        <v>27629</v>
      </c>
      <c r="D4233" s="715" t="s">
        <v>40839</v>
      </c>
      <c r="E4233" s="716">
        <v>4560.57</v>
      </c>
    </row>
    <row r="4234" spans="1:5" ht="29">
      <c r="A4234" s="715">
        <v>1574</v>
      </c>
      <c r="B4234" s="633" t="s">
        <v>38651</v>
      </c>
      <c r="C4234" s="715" t="s">
        <v>103</v>
      </c>
      <c r="D4234" s="715" t="s">
        <v>40839</v>
      </c>
      <c r="E4234" s="716">
        <v>1.76</v>
      </c>
    </row>
    <row r="4235" spans="1:5" ht="29">
      <c r="A4235" s="715">
        <v>1581</v>
      </c>
      <c r="B4235" s="633" t="s">
        <v>38652</v>
      </c>
      <c r="C4235" s="715" t="s">
        <v>103</v>
      </c>
      <c r="D4235" s="715" t="s">
        <v>40839</v>
      </c>
      <c r="E4235" s="716">
        <v>12.2</v>
      </c>
    </row>
    <row r="4236" spans="1:5" ht="29">
      <c r="A4236" s="715">
        <v>1575</v>
      </c>
      <c r="B4236" s="633" t="s">
        <v>38653</v>
      </c>
      <c r="C4236" s="715" t="s">
        <v>103</v>
      </c>
      <c r="D4236" s="715" t="s">
        <v>40839</v>
      </c>
      <c r="E4236" s="716">
        <v>2.09</v>
      </c>
    </row>
    <row r="4237" spans="1:5" ht="29">
      <c r="A4237" s="715">
        <v>1570</v>
      </c>
      <c r="B4237" s="633" t="s">
        <v>38654</v>
      </c>
      <c r="C4237" s="715" t="s">
        <v>103</v>
      </c>
      <c r="D4237" s="715" t="s">
        <v>40839</v>
      </c>
      <c r="E4237" s="716">
        <v>1.05</v>
      </c>
    </row>
    <row r="4238" spans="1:5" ht="29">
      <c r="A4238" s="715">
        <v>1576</v>
      </c>
      <c r="B4238" s="633" t="s">
        <v>38655</v>
      </c>
      <c r="C4238" s="715" t="s">
        <v>103</v>
      </c>
      <c r="D4238" s="715" t="s">
        <v>40839</v>
      </c>
      <c r="E4238" s="716">
        <v>2.89</v>
      </c>
    </row>
    <row r="4239" spans="1:5" ht="29">
      <c r="A4239" s="715">
        <v>1577</v>
      </c>
      <c r="B4239" s="633" t="s">
        <v>38656</v>
      </c>
      <c r="C4239" s="715" t="s">
        <v>103</v>
      </c>
      <c r="D4239" s="715" t="s">
        <v>40839</v>
      </c>
      <c r="E4239" s="716">
        <v>3.26</v>
      </c>
    </row>
    <row r="4240" spans="1:5" ht="29">
      <c r="A4240" s="715">
        <v>1571</v>
      </c>
      <c r="B4240" s="633" t="s">
        <v>38657</v>
      </c>
      <c r="C4240" s="715" t="s">
        <v>103</v>
      </c>
      <c r="D4240" s="715" t="s">
        <v>40839</v>
      </c>
      <c r="E4240" s="716">
        <v>1.36</v>
      </c>
    </row>
    <row r="4241" spans="1:5" ht="29">
      <c r="A4241" s="715">
        <v>1578</v>
      </c>
      <c r="B4241" s="633" t="s">
        <v>38658</v>
      </c>
      <c r="C4241" s="715" t="s">
        <v>103</v>
      </c>
      <c r="D4241" s="715" t="s">
        <v>40839</v>
      </c>
      <c r="E4241" s="716">
        <v>5.65</v>
      </c>
    </row>
    <row r="4242" spans="1:5" ht="29">
      <c r="A4242" s="715">
        <v>1573</v>
      </c>
      <c r="B4242" s="633" t="s">
        <v>38659</v>
      </c>
      <c r="C4242" s="715" t="s">
        <v>103</v>
      </c>
      <c r="D4242" s="715" t="s">
        <v>40839</v>
      </c>
      <c r="E4242" s="716">
        <v>1.63</v>
      </c>
    </row>
    <row r="4243" spans="1:5" ht="29">
      <c r="A4243" s="715">
        <v>1579</v>
      </c>
      <c r="B4243" s="633" t="s">
        <v>38660</v>
      </c>
      <c r="C4243" s="715" t="s">
        <v>103</v>
      </c>
      <c r="D4243" s="715" t="s">
        <v>40839</v>
      </c>
      <c r="E4243" s="716">
        <v>7.04</v>
      </c>
    </row>
    <row r="4244" spans="1:5" ht="29">
      <c r="A4244" s="715">
        <v>1580</v>
      </c>
      <c r="B4244" s="633" t="s">
        <v>38661</v>
      </c>
      <c r="C4244" s="715" t="s">
        <v>103</v>
      </c>
      <c r="D4244" s="715" t="s">
        <v>40839</v>
      </c>
      <c r="E4244" s="716">
        <v>8.67</v>
      </c>
    </row>
    <row r="4245" spans="1:5">
      <c r="A4245" s="715">
        <v>39321</v>
      </c>
      <c r="B4245" s="633" t="s">
        <v>38662</v>
      </c>
      <c r="C4245" s="715" t="s">
        <v>103</v>
      </c>
      <c r="D4245" s="715" t="s">
        <v>40839</v>
      </c>
      <c r="E4245" s="716">
        <v>26.37</v>
      </c>
    </row>
    <row r="4246" spans="1:5">
      <c r="A4246" s="715">
        <v>39319</v>
      </c>
      <c r="B4246" s="633" t="s">
        <v>38663</v>
      </c>
      <c r="C4246" s="715" t="s">
        <v>103</v>
      </c>
      <c r="D4246" s="715" t="s">
        <v>40839</v>
      </c>
      <c r="E4246" s="716">
        <v>10.97</v>
      </c>
    </row>
    <row r="4247" spans="1:5">
      <c r="A4247" s="715">
        <v>39320</v>
      </c>
      <c r="B4247" s="633" t="s">
        <v>38664</v>
      </c>
      <c r="C4247" s="715" t="s">
        <v>103</v>
      </c>
      <c r="D4247" s="715" t="s">
        <v>40839</v>
      </c>
      <c r="E4247" s="716">
        <v>21.1</v>
      </c>
    </row>
    <row r="4248" spans="1:5" ht="29">
      <c r="A4248" s="715">
        <v>1542</v>
      </c>
      <c r="B4248" s="633" t="s">
        <v>38665</v>
      </c>
      <c r="C4248" s="715" t="s">
        <v>103</v>
      </c>
      <c r="D4248" s="715" t="s">
        <v>40839</v>
      </c>
      <c r="E4248" s="716">
        <v>24.03</v>
      </c>
    </row>
    <row r="4249" spans="1:5">
      <c r="A4249" s="715">
        <v>1591</v>
      </c>
      <c r="B4249" s="633" t="s">
        <v>38666</v>
      </c>
      <c r="C4249" s="715" t="s">
        <v>103</v>
      </c>
      <c r="D4249" s="715" t="s">
        <v>40839</v>
      </c>
      <c r="E4249" s="716">
        <v>26.9</v>
      </c>
    </row>
    <row r="4250" spans="1:5" ht="29">
      <c r="A4250" s="715">
        <v>1547</v>
      </c>
      <c r="B4250" s="633" t="s">
        <v>38667</v>
      </c>
      <c r="C4250" s="715" t="s">
        <v>103</v>
      </c>
      <c r="D4250" s="715" t="s">
        <v>40839</v>
      </c>
      <c r="E4250" s="716">
        <v>140.94999999999999</v>
      </c>
    </row>
    <row r="4251" spans="1:5">
      <c r="A4251" s="715">
        <v>38196</v>
      </c>
      <c r="B4251" s="633" t="s">
        <v>38668</v>
      </c>
      <c r="C4251" s="715" t="s">
        <v>103</v>
      </c>
      <c r="D4251" s="715" t="s">
        <v>40839</v>
      </c>
      <c r="E4251" s="716">
        <v>27.45</v>
      </c>
    </row>
    <row r="4252" spans="1:5" ht="29">
      <c r="A4252" s="715">
        <v>1543</v>
      </c>
      <c r="B4252" s="633" t="s">
        <v>38669</v>
      </c>
      <c r="C4252" s="715" t="s">
        <v>103</v>
      </c>
      <c r="D4252" s="715" t="s">
        <v>40839</v>
      </c>
      <c r="E4252" s="716">
        <v>29.17</v>
      </c>
    </row>
    <row r="4253" spans="1:5">
      <c r="A4253" s="715">
        <v>1585</v>
      </c>
      <c r="B4253" s="633" t="s">
        <v>38670</v>
      </c>
      <c r="C4253" s="715" t="s">
        <v>103</v>
      </c>
      <c r="D4253" s="715" t="s">
        <v>40839</v>
      </c>
      <c r="E4253" s="716">
        <v>5.65</v>
      </c>
    </row>
    <row r="4254" spans="1:5">
      <c r="A4254" s="715">
        <v>1593</v>
      </c>
      <c r="B4254" s="633" t="s">
        <v>38671</v>
      </c>
      <c r="C4254" s="715" t="s">
        <v>103</v>
      </c>
      <c r="D4254" s="715" t="s">
        <v>40839</v>
      </c>
      <c r="E4254" s="716">
        <v>30</v>
      </c>
    </row>
    <row r="4255" spans="1:5">
      <c r="A4255" s="715">
        <v>11838</v>
      </c>
      <c r="B4255" s="633" t="s">
        <v>38672</v>
      </c>
      <c r="C4255" s="715" t="s">
        <v>103</v>
      </c>
      <c r="D4255" s="715" t="s">
        <v>40839</v>
      </c>
      <c r="E4255" s="716">
        <v>39.590000000000003</v>
      </c>
    </row>
    <row r="4256" spans="1:5" ht="29">
      <c r="A4256" s="715">
        <v>1594</v>
      </c>
      <c r="B4256" s="633" t="s">
        <v>38673</v>
      </c>
      <c r="C4256" s="715" t="s">
        <v>103</v>
      </c>
      <c r="D4256" s="715" t="s">
        <v>40839</v>
      </c>
      <c r="E4256" s="716">
        <v>40.020000000000003</v>
      </c>
    </row>
    <row r="4257" spans="1:5">
      <c r="A4257" s="715">
        <v>1586</v>
      </c>
      <c r="B4257" s="633" t="s">
        <v>38674</v>
      </c>
      <c r="C4257" s="715" t="s">
        <v>103</v>
      </c>
      <c r="D4257" s="715" t="s">
        <v>40839</v>
      </c>
      <c r="E4257" s="716">
        <v>7.15</v>
      </c>
    </row>
    <row r="4258" spans="1:5">
      <c r="A4258" s="715">
        <v>11839</v>
      </c>
      <c r="B4258" s="633" t="s">
        <v>38675</v>
      </c>
      <c r="C4258" s="715" t="s">
        <v>103</v>
      </c>
      <c r="D4258" s="715" t="s">
        <v>40839</v>
      </c>
      <c r="E4258" s="716">
        <v>57.6</v>
      </c>
    </row>
    <row r="4259" spans="1:5">
      <c r="A4259" s="715">
        <v>1587</v>
      </c>
      <c r="B4259" s="633" t="s">
        <v>38676</v>
      </c>
      <c r="C4259" s="715" t="s">
        <v>103</v>
      </c>
      <c r="D4259" s="715" t="s">
        <v>40839</v>
      </c>
      <c r="E4259" s="716">
        <v>7.28</v>
      </c>
    </row>
    <row r="4260" spans="1:5" ht="29">
      <c r="A4260" s="715">
        <v>1545</v>
      </c>
      <c r="B4260" s="633" t="s">
        <v>38677</v>
      </c>
      <c r="C4260" s="715" t="s">
        <v>103</v>
      </c>
      <c r="D4260" s="715" t="s">
        <v>40839</v>
      </c>
      <c r="E4260" s="716">
        <v>69.12</v>
      </c>
    </row>
    <row r="4261" spans="1:5">
      <c r="A4261" s="715">
        <v>1588</v>
      </c>
      <c r="B4261" s="633" t="s">
        <v>38678</v>
      </c>
      <c r="C4261" s="715" t="s">
        <v>103</v>
      </c>
      <c r="D4261" s="715" t="s">
        <v>40839</v>
      </c>
      <c r="E4261" s="716">
        <v>9.99</v>
      </c>
    </row>
    <row r="4262" spans="1:5" ht="29">
      <c r="A4262" s="715">
        <v>1535</v>
      </c>
      <c r="B4262" s="633" t="s">
        <v>38679</v>
      </c>
      <c r="C4262" s="715" t="s">
        <v>103</v>
      </c>
      <c r="D4262" s="715" t="s">
        <v>40839</v>
      </c>
      <c r="E4262" s="716">
        <v>5.75</v>
      </c>
    </row>
    <row r="4263" spans="1:5">
      <c r="A4263" s="715">
        <v>1589</v>
      </c>
      <c r="B4263" s="633" t="s">
        <v>38680</v>
      </c>
      <c r="C4263" s="715" t="s">
        <v>103</v>
      </c>
      <c r="D4263" s="715" t="s">
        <v>40839</v>
      </c>
      <c r="E4263" s="716">
        <v>10.3</v>
      </c>
    </row>
    <row r="4264" spans="1:5" ht="29">
      <c r="A4264" s="715">
        <v>1546</v>
      </c>
      <c r="B4264" s="633" t="s">
        <v>38681</v>
      </c>
      <c r="C4264" s="715" t="s">
        <v>103</v>
      </c>
      <c r="D4264" s="715" t="s">
        <v>40839</v>
      </c>
      <c r="E4264" s="716">
        <v>116.64</v>
      </c>
    </row>
    <row r="4265" spans="1:5">
      <c r="A4265" s="715">
        <v>1590</v>
      </c>
      <c r="B4265" s="633" t="s">
        <v>38682</v>
      </c>
      <c r="C4265" s="715" t="s">
        <v>103</v>
      </c>
      <c r="D4265" s="715" t="s">
        <v>40839</v>
      </c>
      <c r="E4265" s="716">
        <v>18.14</v>
      </c>
    </row>
    <row r="4266" spans="1:5" ht="29">
      <c r="A4266" s="715">
        <v>38415</v>
      </c>
      <c r="B4266" s="633" t="s">
        <v>38683</v>
      </c>
      <c r="C4266" s="715" t="s">
        <v>103</v>
      </c>
      <c r="D4266" s="715" t="s">
        <v>40839</v>
      </c>
      <c r="E4266" s="716">
        <v>543.1</v>
      </c>
    </row>
    <row r="4267" spans="1:5" ht="29">
      <c r="A4267" s="715">
        <v>38414</v>
      </c>
      <c r="B4267" s="633" t="s">
        <v>38684</v>
      </c>
      <c r="C4267" s="715" t="s">
        <v>103</v>
      </c>
      <c r="D4267" s="715" t="s">
        <v>40839</v>
      </c>
      <c r="E4267" s="716">
        <v>692.76</v>
      </c>
    </row>
    <row r="4268" spans="1:5">
      <c r="A4268" s="715">
        <v>38128</v>
      </c>
      <c r="B4268" s="633" t="s">
        <v>38685</v>
      </c>
      <c r="C4268" s="715" t="s">
        <v>207</v>
      </c>
      <c r="D4268" s="715" t="s">
        <v>28018</v>
      </c>
      <c r="E4268" s="716">
        <v>1</v>
      </c>
    </row>
    <row r="4269" spans="1:5">
      <c r="A4269" s="715">
        <v>7253</v>
      </c>
      <c r="B4269" s="633" t="s">
        <v>38686</v>
      </c>
      <c r="C4269" s="715" t="s">
        <v>121</v>
      </c>
      <c r="D4269" s="715" t="s">
        <v>40839</v>
      </c>
      <c r="E4269" s="716">
        <v>214.28</v>
      </c>
    </row>
    <row r="4270" spans="1:5">
      <c r="A4270" s="715">
        <v>4806</v>
      </c>
      <c r="B4270" s="633" t="s">
        <v>38687</v>
      </c>
      <c r="C4270" s="715" t="s">
        <v>165</v>
      </c>
      <c r="D4270" s="715" t="s">
        <v>40839</v>
      </c>
      <c r="E4270" s="716">
        <v>19.84</v>
      </c>
    </row>
    <row r="4271" spans="1:5">
      <c r="A4271" s="715">
        <v>34401</v>
      </c>
      <c r="B4271" s="633" t="s">
        <v>38688</v>
      </c>
      <c r="C4271" s="715" t="s">
        <v>103</v>
      </c>
      <c r="D4271" s="715" t="s">
        <v>40839</v>
      </c>
      <c r="E4271" s="716">
        <v>1.6</v>
      </c>
    </row>
    <row r="4272" spans="1:5">
      <c r="A4272" s="715">
        <v>7256</v>
      </c>
      <c r="B4272" s="633" t="s">
        <v>38689</v>
      </c>
      <c r="C4272" s="715" t="s">
        <v>103</v>
      </c>
      <c r="D4272" s="715" t="s">
        <v>40839</v>
      </c>
      <c r="E4272" s="716">
        <v>1.1399999999999999</v>
      </c>
    </row>
    <row r="4273" spans="1:5">
      <c r="A4273" s="715">
        <v>7260</v>
      </c>
      <c r="B4273" s="633" t="s">
        <v>38690</v>
      </c>
      <c r="C4273" s="715" t="s">
        <v>103</v>
      </c>
      <c r="D4273" s="715" t="s">
        <v>40839</v>
      </c>
      <c r="E4273" s="716">
        <v>2.16</v>
      </c>
    </row>
    <row r="4274" spans="1:5">
      <c r="A4274" s="715">
        <v>7258</v>
      </c>
      <c r="B4274" s="633" t="s">
        <v>38691</v>
      </c>
      <c r="C4274" s="715" t="s">
        <v>103</v>
      </c>
      <c r="D4274" s="715" t="s">
        <v>40839</v>
      </c>
      <c r="E4274" s="716">
        <v>0.56000000000000005</v>
      </c>
    </row>
    <row r="4275" spans="1:5">
      <c r="A4275" s="715">
        <v>34400</v>
      </c>
      <c r="B4275" s="633" t="s">
        <v>38692</v>
      </c>
      <c r="C4275" s="715" t="s">
        <v>103</v>
      </c>
      <c r="D4275" s="715" t="s">
        <v>40839</v>
      </c>
      <c r="E4275" s="716">
        <v>4.45</v>
      </c>
    </row>
    <row r="4276" spans="1:5">
      <c r="A4276" s="715">
        <v>10617</v>
      </c>
      <c r="B4276" s="633" t="s">
        <v>38693</v>
      </c>
      <c r="C4276" s="715" t="s">
        <v>103</v>
      </c>
      <c r="D4276" s="715" t="s">
        <v>40839</v>
      </c>
      <c r="E4276" s="716">
        <v>5.74</v>
      </c>
    </row>
    <row r="4277" spans="1:5">
      <c r="A4277" s="715">
        <v>44261</v>
      </c>
      <c r="B4277" s="633" t="s">
        <v>38694</v>
      </c>
      <c r="C4277" s="715" t="s">
        <v>103</v>
      </c>
      <c r="D4277" s="715" t="s">
        <v>40839</v>
      </c>
      <c r="E4277" s="716">
        <v>175.19</v>
      </c>
    </row>
    <row r="4278" spans="1:5" ht="29">
      <c r="A4278" s="715">
        <v>7274</v>
      </c>
      <c r="B4278" s="633" t="s">
        <v>38695</v>
      </c>
      <c r="C4278" s="715" t="s">
        <v>103</v>
      </c>
      <c r="D4278" s="715" t="s">
        <v>40839</v>
      </c>
      <c r="E4278" s="716">
        <v>84.82</v>
      </c>
    </row>
    <row r="4279" spans="1:5" ht="29">
      <c r="A4279" s="715">
        <v>44326</v>
      </c>
      <c r="B4279" s="633" t="s">
        <v>38696</v>
      </c>
      <c r="C4279" s="715" t="s">
        <v>103</v>
      </c>
      <c r="D4279" s="715" t="s">
        <v>40839</v>
      </c>
      <c r="E4279" s="716">
        <v>1831.85</v>
      </c>
    </row>
    <row r="4280" spans="1:5">
      <c r="A4280" s="715">
        <v>154</v>
      </c>
      <c r="B4280" s="633" t="s">
        <v>38697</v>
      </c>
      <c r="C4280" s="715" t="s">
        <v>153</v>
      </c>
      <c r="D4280" s="715" t="s">
        <v>40839</v>
      </c>
      <c r="E4280" s="716">
        <v>72.09</v>
      </c>
    </row>
    <row r="4281" spans="1:5" ht="29">
      <c r="A4281" s="715">
        <v>38121</v>
      </c>
      <c r="B4281" s="633" t="s">
        <v>38698</v>
      </c>
      <c r="C4281" s="715" t="s">
        <v>153</v>
      </c>
      <c r="D4281" s="715" t="s">
        <v>40839</v>
      </c>
      <c r="E4281" s="716">
        <v>24.49</v>
      </c>
    </row>
    <row r="4282" spans="1:5">
      <c r="A4282" s="715">
        <v>43776</v>
      </c>
      <c r="B4282" s="633" t="s">
        <v>38699</v>
      </c>
      <c r="C4282" s="715" t="s">
        <v>153</v>
      </c>
      <c r="D4282" s="715" t="s">
        <v>40839</v>
      </c>
      <c r="E4282" s="716">
        <v>31.88</v>
      </c>
    </row>
    <row r="4283" spans="1:5" ht="29">
      <c r="A4283" s="715">
        <v>7343</v>
      </c>
      <c r="B4283" s="633" t="s">
        <v>38700</v>
      </c>
      <c r="C4283" s="715" t="s">
        <v>153</v>
      </c>
      <c r="D4283" s="715" t="s">
        <v>40839</v>
      </c>
      <c r="E4283" s="716">
        <v>36.03</v>
      </c>
    </row>
    <row r="4284" spans="1:5">
      <c r="A4284" s="715">
        <v>7348</v>
      </c>
      <c r="B4284" s="633" t="s">
        <v>38701</v>
      </c>
      <c r="C4284" s="715" t="s">
        <v>153</v>
      </c>
      <c r="D4284" s="715" t="s">
        <v>40839</v>
      </c>
      <c r="E4284" s="716">
        <v>21.56</v>
      </c>
    </row>
    <row r="4285" spans="1:5" ht="29">
      <c r="A4285" s="715">
        <v>7313</v>
      </c>
      <c r="B4285" s="633" t="s">
        <v>38702</v>
      </c>
      <c r="C4285" s="715" t="s">
        <v>153</v>
      </c>
      <c r="D4285" s="715" t="s">
        <v>40839</v>
      </c>
      <c r="E4285" s="716">
        <v>19.78</v>
      </c>
    </row>
    <row r="4286" spans="1:5" ht="29">
      <c r="A4286" s="715">
        <v>7319</v>
      </c>
      <c r="B4286" s="633" t="s">
        <v>38703</v>
      </c>
      <c r="C4286" s="715" t="s">
        <v>153</v>
      </c>
      <c r="D4286" s="715" t="s">
        <v>40839</v>
      </c>
      <c r="E4286" s="716">
        <v>11.32</v>
      </c>
    </row>
    <row r="4287" spans="1:5">
      <c r="A4287" s="715">
        <v>7314</v>
      </c>
      <c r="B4287" s="633" t="s">
        <v>38704</v>
      </c>
      <c r="C4287" s="715" t="s">
        <v>153</v>
      </c>
      <c r="D4287" s="715" t="s">
        <v>40839</v>
      </c>
      <c r="E4287" s="716">
        <v>85.62</v>
      </c>
    </row>
    <row r="4288" spans="1:5">
      <c r="A4288" s="715">
        <v>7304</v>
      </c>
      <c r="B4288" s="633" t="s">
        <v>38705</v>
      </c>
      <c r="C4288" s="715" t="s">
        <v>153</v>
      </c>
      <c r="D4288" s="715" t="s">
        <v>40839</v>
      </c>
      <c r="E4288" s="716">
        <v>94.47</v>
      </c>
    </row>
    <row r="4289" spans="1:5">
      <c r="A4289" s="715">
        <v>43649</v>
      </c>
      <c r="B4289" s="633" t="s">
        <v>38706</v>
      </c>
      <c r="C4289" s="715" t="s">
        <v>153</v>
      </c>
      <c r="D4289" s="715" t="s">
        <v>40839</v>
      </c>
      <c r="E4289" s="716">
        <v>48.86</v>
      </c>
    </row>
    <row r="4290" spans="1:5">
      <c r="A4290" s="715">
        <v>43650</v>
      </c>
      <c r="B4290" s="633" t="s">
        <v>38707</v>
      </c>
      <c r="C4290" s="715" t="s">
        <v>153</v>
      </c>
      <c r="D4290" s="715" t="s">
        <v>40839</v>
      </c>
      <c r="E4290" s="716">
        <v>46.17</v>
      </c>
    </row>
    <row r="4291" spans="1:5">
      <c r="A4291" s="715">
        <v>7311</v>
      </c>
      <c r="B4291" s="633" t="s">
        <v>38708</v>
      </c>
      <c r="C4291" s="715" t="s">
        <v>153</v>
      </c>
      <c r="D4291" s="715" t="s">
        <v>40839</v>
      </c>
      <c r="E4291" s="716">
        <v>47.3</v>
      </c>
    </row>
    <row r="4292" spans="1:5">
      <c r="A4292" s="715">
        <v>7292</v>
      </c>
      <c r="B4292" s="633" t="s">
        <v>38709</v>
      </c>
      <c r="C4292" s="715" t="s">
        <v>153</v>
      </c>
      <c r="D4292" s="715" t="s">
        <v>28018</v>
      </c>
      <c r="E4292" s="716">
        <v>45.79</v>
      </c>
    </row>
    <row r="4293" spans="1:5" ht="29">
      <c r="A4293" s="715">
        <v>7293</v>
      </c>
      <c r="B4293" s="633" t="s">
        <v>38710</v>
      </c>
      <c r="C4293" s="715" t="s">
        <v>153</v>
      </c>
      <c r="D4293" s="715" t="s">
        <v>40839</v>
      </c>
      <c r="E4293" s="716">
        <v>50.66</v>
      </c>
    </row>
    <row r="4294" spans="1:5" ht="29">
      <c r="A4294" s="715">
        <v>7306</v>
      </c>
      <c r="B4294" s="633" t="s">
        <v>38711</v>
      </c>
      <c r="C4294" s="715" t="s">
        <v>153</v>
      </c>
      <c r="D4294" s="715" t="s">
        <v>40839</v>
      </c>
      <c r="E4294" s="716">
        <v>55.91</v>
      </c>
    </row>
    <row r="4295" spans="1:5">
      <c r="A4295" s="715">
        <v>7288</v>
      </c>
      <c r="B4295" s="633" t="s">
        <v>38712</v>
      </c>
      <c r="C4295" s="715" t="s">
        <v>153</v>
      </c>
      <c r="D4295" s="715" t="s">
        <v>40839</v>
      </c>
      <c r="E4295" s="716">
        <v>46.42</v>
      </c>
    </row>
    <row r="4296" spans="1:5">
      <c r="A4296" s="715">
        <v>43625</v>
      </c>
      <c r="B4296" s="633" t="s">
        <v>38713</v>
      </c>
      <c r="C4296" s="715" t="s">
        <v>153</v>
      </c>
      <c r="D4296" s="715" t="s">
        <v>40839</v>
      </c>
      <c r="E4296" s="716">
        <v>37.479999999999997</v>
      </c>
    </row>
    <row r="4297" spans="1:5">
      <c r="A4297" s="715">
        <v>43647</v>
      </c>
      <c r="B4297" s="633" t="s">
        <v>38714</v>
      </c>
      <c r="C4297" s="715" t="s">
        <v>153</v>
      </c>
      <c r="D4297" s="715" t="s">
        <v>40839</v>
      </c>
      <c r="E4297" s="716">
        <v>34.049999999999997</v>
      </c>
    </row>
    <row r="4298" spans="1:5">
      <c r="A4298" s="715">
        <v>43648</v>
      </c>
      <c r="B4298" s="633" t="s">
        <v>38715</v>
      </c>
      <c r="C4298" s="715" t="s">
        <v>153</v>
      </c>
      <c r="D4298" s="715" t="s">
        <v>40839</v>
      </c>
      <c r="E4298" s="716">
        <v>32.85</v>
      </c>
    </row>
    <row r="4299" spans="1:5">
      <c r="A4299" s="715">
        <v>35693</v>
      </c>
      <c r="B4299" s="633" t="s">
        <v>38716</v>
      </c>
      <c r="C4299" s="715" t="s">
        <v>153</v>
      </c>
      <c r="D4299" s="715" t="s">
        <v>40839</v>
      </c>
      <c r="E4299" s="716">
        <v>13.41</v>
      </c>
    </row>
    <row r="4300" spans="1:5">
      <c r="A4300" s="715">
        <v>7356</v>
      </c>
      <c r="B4300" s="633" t="s">
        <v>38717</v>
      </c>
      <c r="C4300" s="715" t="s">
        <v>153</v>
      </c>
      <c r="D4300" s="715" t="s">
        <v>28018</v>
      </c>
      <c r="E4300" s="716">
        <v>32.14</v>
      </c>
    </row>
    <row r="4301" spans="1:5">
      <c r="A4301" s="715">
        <v>35692</v>
      </c>
      <c r="B4301" s="633" t="s">
        <v>38718</v>
      </c>
      <c r="C4301" s="715" t="s">
        <v>153</v>
      </c>
      <c r="D4301" s="715" t="s">
        <v>40839</v>
      </c>
      <c r="E4301" s="716">
        <v>21.04</v>
      </c>
    </row>
    <row r="4302" spans="1:5">
      <c r="A4302" s="715">
        <v>43624</v>
      </c>
      <c r="B4302" s="633" t="s">
        <v>38719</v>
      </c>
      <c r="C4302" s="715" t="s">
        <v>153</v>
      </c>
      <c r="D4302" s="715" t="s">
        <v>40839</v>
      </c>
      <c r="E4302" s="716">
        <v>39.17</v>
      </c>
    </row>
    <row r="4303" spans="1:5">
      <c r="A4303" s="715">
        <v>7342</v>
      </c>
      <c r="B4303" s="633" t="s">
        <v>38720</v>
      </c>
      <c r="C4303" s="715" t="s">
        <v>207</v>
      </c>
      <c r="D4303" s="715" t="s">
        <v>40839</v>
      </c>
      <c r="E4303" s="716">
        <v>2.17</v>
      </c>
    </row>
    <row r="4304" spans="1:5">
      <c r="A4304" s="715">
        <v>7350</v>
      </c>
      <c r="B4304" s="633" t="s">
        <v>38721</v>
      </c>
      <c r="C4304" s="715" t="s">
        <v>153</v>
      </c>
      <c r="D4304" s="715" t="s">
        <v>40839</v>
      </c>
      <c r="E4304" s="716">
        <v>46.39</v>
      </c>
    </row>
    <row r="4305" spans="1:5" ht="29">
      <c r="A4305" s="715">
        <v>39574</v>
      </c>
      <c r="B4305" s="633" t="s">
        <v>38722</v>
      </c>
      <c r="C4305" s="715" t="s">
        <v>103</v>
      </c>
      <c r="D4305" s="715" t="s">
        <v>40839</v>
      </c>
      <c r="E4305" s="716">
        <v>3.59</v>
      </c>
    </row>
    <row r="4306" spans="1:5" ht="29">
      <c r="A4306" s="715">
        <v>11060</v>
      </c>
      <c r="B4306" s="633" t="s">
        <v>38723</v>
      </c>
      <c r="C4306" s="715" t="s">
        <v>103</v>
      </c>
      <c r="D4306" s="715" t="s">
        <v>40839</v>
      </c>
      <c r="E4306" s="716">
        <v>40.340000000000003</v>
      </c>
    </row>
    <row r="4307" spans="1:5">
      <c r="A4307" s="715">
        <v>37401</v>
      </c>
      <c r="B4307" s="633" t="s">
        <v>38724</v>
      </c>
      <c r="C4307" s="715" t="s">
        <v>103</v>
      </c>
      <c r="D4307" s="715" t="s">
        <v>40839</v>
      </c>
      <c r="E4307" s="716">
        <v>60.13</v>
      </c>
    </row>
    <row r="4308" spans="1:5">
      <c r="A4308" s="715">
        <v>38101</v>
      </c>
      <c r="B4308" s="633" t="s">
        <v>38725</v>
      </c>
      <c r="C4308" s="715" t="s">
        <v>103</v>
      </c>
      <c r="D4308" s="715" t="s">
        <v>40839</v>
      </c>
      <c r="E4308" s="716">
        <v>8.7200000000000006</v>
      </c>
    </row>
    <row r="4309" spans="1:5" ht="29">
      <c r="A4309" s="715">
        <v>7528</v>
      </c>
      <c r="B4309" s="633" t="s">
        <v>38726</v>
      </c>
      <c r="C4309" s="715" t="s">
        <v>103</v>
      </c>
      <c r="D4309" s="715" t="s">
        <v>28018</v>
      </c>
      <c r="E4309" s="716">
        <v>10.25</v>
      </c>
    </row>
    <row r="4310" spans="1:5" ht="29">
      <c r="A4310" s="715">
        <v>12147</v>
      </c>
      <c r="B4310" s="633" t="s">
        <v>38727</v>
      </c>
      <c r="C4310" s="715" t="s">
        <v>103</v>
      </c>
      <c r="D4310" s="715" t="s">
        <v>40839</v>
      </c>
      <c r="E4310" s="716">
        <v>15.63</v>
      </c>
    </row>
    <row r="4311" spans="1:5" ht="29">
      <c r="A4311" s="715">
        <v>38075</v>
      </c>
      <c r="B4311" s="633" t="s">
        <v>38728</v>
      </c>
      <c r="C4311" s="715" t="s">
        <v>103</v>
      </c>
      <c r="D4311" s="715" t="s">
        <v>40839</v>
      </c>
      <c r="E4311" s="716">
        <v>17.75</v>
      </c>
    </row>
    <row r="4312" spans="1:5">
      <c r="A4312" s="715">
        <v>38102</v>
      </c>
      <c r="B4312" s="633" t="s">
        <v>38729</v>
      </c>
      <c r="C4312" s="715" t="s">
        <v>103</v>
      </c>
      <c r="D4312" s="715" t="s">
        <v>40839</v>
      </c>
      <c r="E4312" s="716">
        <v>11.16</v>
      </c>
    </row>
    <row r="4313" spans="1:5">
      <c r="A4313" s="715">
        <v>7525</v>
      </c>
      <c r="B4313" s="633" t="s">
        <v>38730</v>
      </c>
      <c r="C4313" s="715" t="s">
        <v>103</v>
      </c>
      <c r="D4313" s="715" t="s">
        <v>40839</v>
      </c>
      <c r="E4313" s="716">
        <v>50.47</v>
      </c>
    </row>
    <row r="4314" spans="1:5">
      <c r="A4314" s="715">
        <v>7524</v>
      </c>
      <c r="B4314" s="633" t="s">
        <v>38731</v>
      </c>
      <c r="C4314" s="715" t="s">
        <v>103</v>
      </c>
      <c r="D4314" s="715" t="s">
        <v>40839</v>
      </c>
      <c r="E4314" s="716">
        <v>47.56</v>
      </c>
    </row>
    <row r="4315" spans="1:5">
      <c r="A4315" s="715">
        <v>38105</v>
      </c>
      <c r="B4315" s="633" t="s">
        <v>38732</v>
      </c>
      <c r="C4315" s="715" t="s">
        <v>103</v>
      </c>
      <c r="D4315" s="715" t="s">
        <v>40839</v>
      </c>
      <c r="E4315" s="716">
        <v>12.22</v>
      </c>
    </row>
    <row r="4316" spans="1:5" ht="29">
      <c r="A4316" s="715">
        <v>38084</v>
      </c>
      <c r="B4316" s="633" t="s">
        <v>38733</v>
      </c>
      <c r="C4316" s="715" t="s">
        <v>103</v>
      </c>
      <c r="D4316" s="715" t="s">
        <v>40839</v>
      </c>
      <c r="E4316" s="716">
        <v>17.350000000000001</v>
      </c>
    </row>
    <row r="4317" spans="1:5">
      <c r="A4317" s="715">
        <v>38103</v>
      </c>
      <c r="B4317" s="633" t="s">
        <v>38734</v>
      </c>
      <c r="C4317" s="715" t="s">
        <v>103</v>
      </c>
      <c r="D4317" s="715" t="s">
        <v>40839</v>
      </c>
      <c r="E4317" s="716">
        <v>18.34</v>
      </c>
    </row>
    <row r="4318" spans="1:5" ht="29">
      <c r="A4318" s="715">
        <v>38082</v>
      </c>
      <c r="B4318" s="633" t="s">
        <v>38735</v>
      </c>
      <c r="C4318" s="715" t="s">
        <v>103</v>
      </c>
      <c r="D4318" s="715" t="s">
        <v>40839</v>
      </c>
      <c r="E4318" s="716">
        <v>22.59</v>
      </c>
    </row>
    <row r="4319" spans="1:5">
      <c r="A4319" s="715">
        <v>38104</v>
      </c>
      <c r="B4319" s="633" t="s">
        <v>38736</v>
      </c>
      <c r="C4319" s="715" t="s">
        <v>103</v>
      </c>
      <c r="D4319" s="715" t="s">
        <v>40839</v>
      </c>
      <c r="E4319" s="716">
        <v>35.909999999999997</v>
      </c>
    </row>
    <row r="4320" spans="1:5" ht="29">
      <c r="A4320" s="715">
        <v>38083</v>
      </c>
      <c r="B4320" s="633" t="s">
        <v>38737</v>
      </c>
      <c r="C4320" s="715" t="s">
        <v>103</v>
      </c>
      <c r="D4320" s="715" t="s">
        <v>40839</v>
      </c>
      <c r="E4320" s="716">
        <v>39.869999999999997</v>
      </c>
    </row>
    <row r="4321" spans="1:5" ht="29">
      <c r="A4321" s="715">
        <v>38076</v>
      </c>
      <c r="B4321" s="633" t="s">
        <v>38738</v>
      </c>
      <c r="C4321" s="715" t="s">
        <v>103</v>
      </c>
      <c r="D4321" s="715" t="s">
        <v>40839</v>
      </c>
      <c r="E4321" s="716">
        <v>19.899999999999999</v>
      </c>
    </row>
    <row r="4322" spans="1:5">
      <c r="A4322" s="715">
        <v>7592</v>
      </c>
      <c r="B4322" s="633" t="s">
        <v>38739</v>
      </c>
      <c r="C4322" s="715" t="s">
        <v>11</v>
      </c>
      <c r="D4322" s="715" t="s">
        <v>28018</v>
      </c>
      <c r="E4322" s="716">
        <v>80.37</v>
      </c>
    </row>
    <row r="4323" spans="1:5">
      <c r="A4323" s="715">
        <v>40820</v>
      </c>
      <c r="B4323" s="633" t="s">
        <v>38740</v>
      </c>
      <c r="C4323" s="715" t="s">
        <v>27629</v>
      </c>
      <c r="D4323" s="715" t="s">
        <v>40839</v>
      </c>
      <c r="E4323" s="716">
        <v>14077.15</v>
      </c>
    </row>
    <row r="4324" spans="1:5" ht="29">
      <c r="A4324" s="715">
        <v>11826</v>
      </c>
      <c r="B4324" s="633" t="s">
        <v>41074</v>
      </c>
      <c r="C4324" s="715" t="s">
        <v>103</v>
      </c>
      <c r="D4324" s="715" t="s">
        <v>40839</v>
      </c>
      <c r="E4324" s="716">
        <v>87.92</v>
      </c>
    </row>
    <row r="4325" spans="1:5" ht="29">
      <c r="A4325" s="715">
        <v>7606</v>
      </c>
      <c r="B4325" s="633" t="s">
        <v>41075</v>
      </c>
      <c r="C4325" s="715" t="s">
        <v>103</v>
      </c>
      <c r="D4325" s="715" t="s">
        <v>40839</v>
      </c>
      <c r="E4325" s="716">
        <v>105.73</v>
      </c>
    </row>
    <row r="4326" spans="1:5" ht="29">
      <c r="A4326" s="715">
        <v>11825</v>
      </c>
      <c r="B4326" s="633" t="s">
        <v>38741</v>
      </c>
      <c r="C4326" s="715" t="s">
        <v>103</v>
      </c>
      <c r="D4326" s="715" t="s">
        <v>40839</v>
      </c>
      <c r="E4326" s="716">
        <v>111.22</v>
      </c>
    </row>
    <row r="4327" spans="1:5" ht="29">
      <c r="A4327" s="715">
        <v>11767</v>
      </c>
      <c r="B4327" s="633" t="s">
        <v>38742</v>
      </c>
      <c r="C4327" s="715" t="s">
        <v>103</v>
      </c>
      <c r="D4327" s="715" t="s">
        <v>40839</v>
      </c>
      <c r="E4327" s="716">
        <v>296.24</v>
      </c>
    </row>
    <row r="4328" spans="1:5" ht="29">
      <c r="A4328" s="715">
        <v>11763</v>
      </c>
      <c r="B4328" s="633" t="s">
        <v>38743</v>
      </c>
      <c r="C4328" s="715" t="s">
        <v>103</v>
      </c>
      <c r="D4328" s="715" t="s">
        <v>40839</v>
      </c>
      <c r="E4328" s="716">
        <v>230.88</v>
      </c>
    </row>
    <row r="4329" spans="1:5" ht="29">
      <c r="A4329" s="715">
        <v>11764</v>
      </c>
      <c r="B4329" s="633" t="s">
        <v>38744</v>
      </c>
      <c r="C4329" s="715" t="s">
        <v>103</v>
      </c>
      <c r="D4329" s="715" t="s">
        <v>40839</v>
      </c>
      <c r="E4329" s="716">
        <v>189.43</v>
      </c>
    </row>
    <row r="4330" spans="1:5" ht="29">
      <c r="A4330" s="715">
        <v>11829</v>
      </c>
      <c r="B4330" s="633" t="s">
        <v>38745</v>
      </c>
      <c r="C4330" s="715" t="s">
        <v>103</v>
      </c>
      <c r="D4330" s="715" t="s">
        <v>40839</v>
      </c>
      <c r="E4330" s="716">
        <v>45.78</v>
      </c>
    </row>
    <row r="4331" spans="1:5" ht="29">
      <c r="A4331" s="715">
        <v>11830</v>
      </c>
      <c r="B4331" s="633" t="s">
        <v>38746</v>
      </c>
      <c r="C4331" s="715" t="s">
        <v>103</v>
      </c>
      <c r="D4331" s="715" t="s">
        <v>40839</v>
      </c>
      <c r="E4331" s="716">
        <v>49.44</v>
      </c>
    </row>
    <row r="4332" spans="1:5" ht="29">
      <c r="A4332" s="715">
        <v>11765</v>
      </c>
      <c r="B4332" s="633" t="s">
        <v>38747</v>
      </c>
      <c r="C4332" s="715" t="s">
        <v>103</v>
      </c>
      <c r="D4332" s="715" t="s">
        <v>40839</v>
      </c>
      <c r="E4332" s="716">
        <v>126.25</v>
      </c>
    </row>
    <row r="4333" spans="1:5" ht="29">
      <c r="A4333" s="715">
        <v>11766</v>
      </c>
      <c r="B4333" s="633" t="s">
        <v>38748</v>
      </c>
      <c r="C4333" s="715" t="s">
        <v>103</v>
      </c>
      <c r="D4333" s="715" t="s">
        <v>40839</v>
      </c>
      <c r="E4333" s="716">
        <v>69.05</v>
      </c>
    </row>
    <row r="4334" spans="1:5" ht="29">
      <c r="A4334" s="715">
        <v>11824</v>
      </c>
      <c r="B4334" s="633" t="s">
        <v>38749</v>
      </c>
      <c r="C4334" s="715" t="s">
        <v>103</v>
      </c>
      <c r="D4334" s="715" t="s">
        <v>40839</v>
      </c>
      <c r="E4334" s="716">
        <v>81.22</v>
      </c>
    </row>
    <row r="4335" spans="1:5" ht="29">
      <c r="A4335" s="715">
        <v>44045</v>
      </c>
      <c r="B4335" s="633" t="s">
        <v>38750</v>
      </c>
      <c r="C4335" s="715" t="s">
        <v>103</v>
      </c>
      <c r="D4335" s="715" t="s">
        <v>40839</v>
      </c>
      <c r="E4335" s="716">
        <v>291.23</v>
      </c>
    </row>
    <row r="4336" spans="1:5" ht="29">
      <c r="A4336" s="715">
        <v>39702</v>
      </c>
      <c r="B4336" s="633" t="s">
        <v>38751</v>
      </c>
      <c r="C4336" s="715" t="s">
        <v>103</v>
      </c>
      <c r="D4336" s="715" t="s">
        <v>40839</v>
      </c>
      <c r="E4336" s="716">
        <v>1934.16</v>
      </c>
    </row>
    <row r="4337" spans="1:5" ht="29">
      <c r="A4337" s="715">
        <v>13415</v>
      </c>
      <c r="B4337" s="633" t="s">
        <v>38752</v>
      </c>
      <c r="C4337" s="715" t="s">
        <v>103</v>
      </c>
      <c r="D4337" s="715" t="s">
        <v>28018</v>
      </c>
      <c r="E4337" s="716">
        <v>63.5</v>
      </c>
    </row>
    <row r="4338" spans="1:5" ht="29">
      <c r="A4338" s="715">
        <v>7602</v>
      </c>
      <c r="B4338" s="633" t="s">
        <v>38753</v>
      </c>
      <c r="C4338" s="715" t="s">
        <v>103</v>
      </c>
      <c r="D4338" s="715" t="s">
        <v>40839</v>
      </c>
      <c r="E4338" s="716">
        <v>40.520000000000003</v>
      </c>
    </row>
    <row r="4339" spans="1:5" ht="29">
      <c r="A4339" s="715">
        <v>7603</v>
      </c>
      <c r="B4339" s="633" t="s">
        <v>38754</v>
      </c>
      <c r="C4339" s="715" t="s">
        <v>103</v>
      </c>
      <c r="D4339" s="715" t="s">
        <v>40839</v>
      </c>
      <c r="E4339" s="716">
        <v>34.380000000000003</v>
      </c>
    </row>
    <row r="4340" spans="1:5" ht="29">
      <c r="A4340" s="715">
        <v>11777</v>
      </c>
      <c r="B4340" s="633" t="s">
        <v>38755</v>
      </c>
      <c r="C4340" s="715" t="s">
        <v>103</v>
      </c>
      <c r="D4340" s="715" t="s">
        <v>40839</v>
      </c>
      <c r="E4340" s="716">
        <v>255.87</v>
      </c>
    </row>
    <row r="4341" spans="1:5" ht="29">
      <c r="A4341" s="715">
        <v>13417</v>
      </c>
      <c r="B4341" s="633" t="s">
        <v>38756</v>
      </c>
      <c r="C4341" s="715" t="s">
        <v>103</v>
      </c>
      <c r="D4341" s="715" t="s">
        <v>40839</v>
      </c>
      <c r="E4341" s="716">
        <v>82.7</v>
      </c>
    </row>
    <row r="4342" spans="1:5">
      <c r="A4342" s="715">
        <v>36791</v>
      </c>
      <c r="B4342" s="633" t="s">
        <v>38757</v>
      </c>
      <c r="C4342" s="715" t="s">
        <v>103</v>
      </c>
      <c r="D4342" s="715" t="s">
        <v>40839</v>
      </c>
      <c r="E4342" s="716">
        <v>124.12</v>
      </c>
    </row>
    <row r="4343" spans="1:5" ht="29">
      <c r="A4343" s="715">
        <v>36795</v>
      </c>
      <c r="B4343" s="633" t="s">
        <v>38758</v>
      </c>
      <c r="C4343" s="715" t="s">
        <v>103</v>
      </c>
      <c r="D4343" s="715" t="s">
        <v>40839</v>
      </c>
      <c r="E4343" s="716">
        <v>1569.39</v>
      </c>
    </row>
    <row r="4344" spans="1:5" ht="29">
      <c r="A4344" s="715">
        <v>36796</v>
      </c>
      <c r="B4344" s="633" t="s">
        <v>38759</v>
      </c>
      <c r="C4344" s="715" t="s">
        <v>103</v>
      </c>
      <c r="D4344" s="715" t="s">
        <v>40839</v>
      </c>
      <c r="E4344" s="716">
        <v>130.41</v>
      </c>
    </row>
    <row r="4345" spans="1:5" ht="29">
      <c r="A4345" s="715">
        <v>36792</v>
      </c>
      <c r="B4345" s="633" t="s">
        <v>38760</v>
      </c>
      <c r="C4345" s="715" t="s">
        <v>103</v>
      </c>
      <c r="D4345" s="715" t="s">
        <v>40839</v>
      </c>
      <c r="E4345" s="716">
        <v>165.2</v>
      </c>
    </row>
    <row r="4346" spans="1:5" ht="29">
      <c r="A4346" s="715">
        <v>11773</v>
      </c>
      <c r="B4346" s="633" t="s">
        <v>38761</v>
      </c>
      <c r="C4346" s="715" t="s">
        <v>103</v>
      </c>
      <c r="D4346" s="715" t="s">
        <v>40839</v>
      </c>
      <c r="E4346" s="716">
        <v>109.97</v>
      </c>
    </row>
    <row r="4347" spans="1:5" ht="29">
      <c r="A4347" s="715">
        <v>11762</v>
      </c>
      <c r="B4347" s="633" t="s">
        <v>38762</v>
      </c>
      <c r="C4347" s="715" t="s">
        <v>103</v>
      </c>
      <c r="D4347" s="715" t="s">
        <v>40839</v>
      </c>
      <c r="E4347" s="716">
        <v>52.16</v>
      </c>
    </row>
    <row r="4348" spans="1:5" ht="29">
      <c r="A4348" s="715">
        <v>7604</v>
      </c>
      <c r="B4348" s="633" t="s">
        <v>38763</v>
      </c>
      <c r="C4348" s="715" t="s">
        <v>103</v>
      </c>
      <c r="D4348" s="715" t="s">
        <v>40839</v>
      </c>
      <c r="E4348" s="716">
        <v>44.16</v>
      </c>
    </row>
    <row r="4349" spans="1:5" ht="29">
      <c r="A4349" s="715">
        <v>13984</v>
      </c>
      <c r="B4349" s="633" t="s">
        <v>38764</v>
      </c>
      <c r="C4349" s="715" t="s">
        <v>103</v>
      </c>
      <c r="D4349" s="715" t="s">
        <v>40839</v>
      </c>
      <c r="E4349" s="716">
        <v>64.19</v>
      </c>
    </row>
    <row r="4350" spans="1:5" ht="29">
      <c r="A4350" s="715">
        <v>11772</v>
      </c>
      <c r="B4350" s="633" t="s">
        <v>38765</v>
      </c>
      <c r="C4350" s="715" t="s">
        <v>103</v>
      </c>
      <c r="D4350" s="715" t="s">
        <v>40839</v>
      </c>
      <c r="E4350" s="716">
        <v>110.32</v>
      </c>
    </row>
    <row r="4351" spans="1:5" ht="29">
      <c r="A4351" s="715">
        <v>13983</v>
      </c>
      <c r="B4351" s="633" t="s">
        <v>38766</v>
      </c>
      <c r="C4351" s="715" t="s">
        <v>103</v>
      </c>
      <c r="D4351" s="715" t="s">
        <v>40839</v>
      </c>
      <c r="E4351" s="716">
        <v>83.54</v>
      </c>
    </row>
    <row r="4352" spans="1:5" ht="29">
      <c r="A4352" s="715">
        <v>13416</v>
      </c>
      <c r="B4352" s="633" t="s">
        <v>38767</v>
      </c>
      <c r="C4352" s="715" t="s">
        <v>103</v>
      </c>
      <c r="D4352" s="715" t="s">
        <v>40839</v>
      </c>
      <c r="E4352" s="716">
        <v>74.2</v>
      </c>
    </row>
    <row r="4353" spans="1:5" ht="29">
      <c r="A4353" s="715">
        <v>40329</v>
      </c>
      <c r="B4353" s="633" t="s">
        <v>41076</v>
      </c>
      <c r="C4353" s="715" t="s">
        <v>103</v>
      </c>
      <c r="D4353" s="715" t="s">
        <v>28018</v>
      </c>
      <c r="E4353" s="716">
        <v>28.69</v>
      </c>
    </row>
    <row r="4354" spans="1:5" ht="29">
      <c r="A4354" s="715">
        <v>11823</v>
      </c>
      <c r="B4354" s="633" t="s">
        <v>38768</v>
      </c>
      <c r="C4354" s="715" t="s">
        <v>103</v>
      </c>
      <c r="D4354" s="715" t="s">
        <v>40839</v>
      </c>
      <c r="E4354" s="716">
        <v>12.08</v>
      </c>
    </row>
    <row r="4355" spans="1:5">
      <c r="A4355" s="715">
        <v>11822</v>
      </c>
      <c r="B4355" s="633" t="s">
        <v>38769</v>
      </c>
      <c r="C4355" s="715" t="s">
        <v>103</v>
      </c>
      <c r="D4355" s="715" t="s">
        <v>40839</v>
      </c>
      <c r="E4355" s="716">
        <v>31.79</v>
      </c>
    </row>
    <row r="4356" spans="1:5">
      <c r="A4356" s="715">
        <v>11831</v>
      </c>
      <c r="B4356" s="633" t="s">
        <v>38770</v>
      </c>
      <c r="C4356" s="715" t="s">
        <v>103</v>
      </c>
      <c r="D4356" s="715" t="s">
        <v>40839</v>
      </c>
      <c r="E4356" s="716">
        <v>19.13</v>
      </c>
    </row>
    <row r="4357" spans="1:5">
      <c r="A4357" s="715">
        <v>45249</v>
      </c>
      <c r="B4357" s="633" t="s">
        <v>40876</v>
      </c>
      <c r="C4357" s="715" t="s">
        <v>103</v>
      </c>
      <c r="D4357" s="715" t="s">
        <v>40839</v>
      </c>
      <c r="E4357" s="716">
        <v>183.63</v>
      </c>
    </row>
    <row r="4358" spans="1:5" ht="43">
      <c r="A4358" s="715">
        <v>7613</v>
      </c>
      <c r="B4358" s="633" t="s">
        <v>38771</v>
      </c>
      <c r="C4358" s="715" t="s">
        <v>103</v>
      </c>
      <c r="D4358" s="715" t="s">
        <v>40839</v>
      </c>
      <c r="E4358" s="716">
        <v>123100.24</v>
      </c>
    </row>
    <row r="4359" spans="1:5" ht="43">
      <c r="A4359" s="715">
        <v>7619</v>
      </c>
      <c r="B4359" s="633" t="s">
        <v>38772</v>
      </c>
      <c r="C4359" s="715" t="s">
        <v>103</v>
      </c>
      <c r="D4359" s="715" t="s">
        <v>40839</v>
      </c>
      <c r="E4359" s="716">
        <v>19028.66</v>
      </c>
    </row>
    <row r="4360" spans="1:5" ht="43">
      <c r="A4360" s="715">
        <v>12076</v>
      </c>
      <c r="B4360" s="633" t="s">
        <v>38773</v>
      </c>
      <c r="C4360" s="715" t="s">
        <v>103</v>
      </c>
      <c r="D4360" s="715" t="s">
        <v>40839</v>
      </c>
      <c r="E4360" s="716">
        <v>8728.74</v>
      </c>
    </row>
    <row r="4361" spans="1:5" ht="43">
      <c r="A4361" s="715">
        <v>7614</v>
      </c>
      <c r="B4361" s="633" t="s">
        <v>38774</v>
      </c>
      <c r="C4361" s="715" t="s">
        <v>103</v>
      </c>
      <c r="D4361" s="715" t="s">
        <v>40839</v>
      </c>
      <c r="E4361" s="716">
        <v>23999.68</v>
      </c>
    </row>
    <row r="4362" spans="1:5" ht="43">
      <c r="A4362" s="715">
        <v>7618</v>
      </c>
      <c r="B4362" s="633" t="s">
        <v>38775</v>
      </c>
      <c r="C4362" s="715" t="s">
        <v>103</v>
      </c>
      <c r="D4362" s="715" t="s">
        <v>40839</v>
      </c>
      <c r="E4362" s="716">
        <v>155655.96</v>
      </c>
    </row>
    <row r="4363" spans="1:5" ht="43">
      <c r="A4363" s="715">
        <v>7620</v>
      </c>
      <c r="B4363" s="633" t="s">
        <v>38776</v>
      </c>
      <c r="C4363" s="715" t="s">
        <v>103</v>
      </c>
      <c r="D4363" s="715" t="s">
        <v>40839</v>
      </c>
      <c r="E4363" s="716">
        <v>33668.01</v>
      </c>
    </row>
    <row r="4364" spans="1:5" ht="43">
      <c r="A4364" s="715">
        <v>7610</v>
      </c>
      <c r="B4364" s="633" t="s">
        <v>38777</v>
      </c>
      <c r="C4364" s="715" t="s">
        <v>103</v>
      </c>
      <c r="D4364" s="715" t="s">
        <v>40839</v>
      </c>
      <c r="E4364" s="716">
        <v>10661.53</v>
      </c>
    </row>
    <row r="4365" spans="1:5" ht="43">
      <c r="A4365" s="715">
        <v>7615</v>
      </c>
      <c r="B4365" s="633" t="s">
        <v>38778</v>
      </c>
      <c r="C4365" s="715" t="s">
        <v>103</v>
      </c>
      <c r="D4365" s="715" t="s">
        <v>40839</v>
      </c>
      <c r="E4365" s="716">
        <v>39279.35</v>
      </c>
    </row>
    <row r="4366" spans="1:5" ht="43">
      <c r="A4366" s="715">
        <v>7617</v>
      </c>
      <c r="B4366" s="633" t="s">
        <v>38779</v>
      </c>
      <c r="C4366" s="715" t="s">
        <v>103</v>
      </c>
      <c r="D4366" s="715" t="s">
        <v>40839</v>
      </c>
      <c r="E4366" s="716">
        <v>11908.5</v>
      </c>
    </row>
    <row r="4367" spans="1:5" ht="43">
      <c r="A4367" s="715">
        <v>7616</v>
      </c>
      <c r="B4367" s="633" t="s">
        <v>38780</v>
      </c>
      <c r="C4367" s="715" t="s">
        <v>103</v>
      </c>
      <c r="D4367" s="715" t="s">
        <v>40839</v>
      </c>
      <c r="E4367" s="716">
        <v>64097.66</v>
      </c>
    </row>
    <row r="4368" spans="1:5" ht="43">
      <c r="A4368" s="715">
        <v>7611</v>
      </c>
      <c r="B4368" s="633" t="s">
        <v>38781</v>
      </c>
      <c r="C4368" s="715" t="s">
        <v>103</v>
      </c>
      <c r="D4368" s="715" t="s">
        <v>28018</v>
      </c>
      <c r="E4368" s="716">
        <v>15400</v>
      </c>
    </row>
    <row r="4369" spans="1:5" ht="43">
      <c r="A4369" s="715">
        <v>7612</v>
      </c>
      <c r="B4369" s="633" t="s">
        <v>38782</v>
      </c>
      <c r="C4369" s="715" t="s">
        <v>103</v>
      </c>
      <c r="D4369" s="715" t="s">
        <v>40839</v>
      </c>
      <c r="E4369" s="716">
        <v>87920.9</v>
      </c>
    </row>
    <row r="4370" spans="1:5">
      <c r="A4370" s="715">
        <v>37371</v>
      </c>
      <c r="B4370" s="633" t="s">
        <v>38783</v>
      </c>
      <c r="C4370" s="715" t="s">
        <v>11</v>
      </c>
      <c r="D4370" s="715" t="s">
        <v>28018</v>
      </c>
      <c r="E4370" s="716">
        <v>1.07</v>
      </c>
    </row>
    <row r="4371" spans="1:5">
      <c r="A4371" s="715">
        <v>40861</v>
      </c>
      <c r="B4371" s="633" t="s">
        <v>38784</v>
      </c>
      <c r="C4371" s="715" t="s">
        <v>27629</v>
      </c>
      <c r="D4371" s="715" t="s">
        <v>28018</v>
      </c>
      <c r="E4371" s="716">
        <v>176.94</v>
      </c>
    </row>
    <row r="4372" spans="1:5" ht="29">
      <c r="A4372" s="715">
        <v>36509</v>
      </c>
      <c r="B4372" s="633" t="s">
        <v>38785</v>
      </c>
      <c r="C4372" s="715" t="s">
        <v>103</v>
      </c>
      <c r="D4372" s="715" t="s">
        <v>40839</v>
      </c>
      <c r="E4372" s="716">
        <v>1170642.1299999999</v>
      </c>
    </row>
    <row r="4373" spans="1:5" ht="29">
      <c r="A4373" s="715">
        <v>7622</v>
      </c>
      <c r="B4373" s="633" t="s">
        <v>38786</v>
      </c>
      <c r="C4373" s="715" t="s">
        <v>103</v>
      </c>
      <c r="D4373" s="715" t="s">
        <v>40839</v>
      </c>
      <c r="E4373" s="716">
        <v>1118486.5</v>
      </c>
    </row>
    <row r="4374" spans="1:5" ht="29">
      <c r="A4374" s="715">
        <v>7624</v>
      </c>
      <c r="B4374" s="633" t="s">
        <v>38787</v>
      </c>
      <c r="C4374" s="715" t="s">
        <v>103</v>
      </c>
      <c r="D4374" s="715" t="s">
        <v>28018</v>
      </c>
      <c r="E4374" s="716">
        <v>1450000</v>
      </c>
    </row>
    <row r="4375" spans="1:5" ht="29">
      <c r="A4375" s="715">
        <v>7625</v>
      </c>
      <c r="B4375" s="633" t="s">
        <v>38788</v>
      </c>
      <c r="C4375" s="715" t="s">
        <v>103</v>
      </c>
      <c r="D4375" s="715" t="s">
        <v>40839</v>
      </c>
      <c r="E4375" s="716">
        <v>1441131.36</v>
      </c>
    </row>
    <row r="4376" spans="1:5" ht="29">
      <c r="A4376" s="715">
        <v>7623</v>
      </c>
      <c r="B4376" s="633" t="s">
        <v>38789</v>
      </c>
      <c r="C4376" s="715" t="s">
        <v>103</v>
      </c>
      <c r="D4376" s="715" t="s">
        <v>40839</v>
      </c>
      <c r="E4376" s="716">
        <v>4749563.59</v>
      </c>
    </row>
    <row r="4377" spans="1:5" ht="29">
      <c r="A4377" s="715">
        <v>36511</v>
      </c>
      <c r="B4377" s="633" t="s">
        <v>38790</v>
      </c>
      <c r="C4377" s="715" t="s">
        <v>103</v>
      </c>
      <c r="D4377" s="715" t="s">
        <v>40839</v>
      </c>
      <c r="E4377" s="716">
        <v>354766.33</v>
      </c>
    </row>
    <row r="4378" spans="1:5" ht="29">
      <c r="A4378" s="715">
        <v>7640</v>
      </c>
      <c r="B4378" s="633" t="s">
        <v>38791</v>
      </c>
      <c r="C4378" s="715" t="s">
        <v>103</v>
      </c>
      <c r="D4378" s="715" t="s">
        <v>28018</v>
      </c>
      <c r="E4378" s="716">
        <v>260000</v>
      </c>
    </row>
    <row r="4379" spans="1:5">
      <c r="A4379" s="715">
        <v>11572</v>
      </c>
      <c r="B4379" s="633" t="s">
        <v>38792</v>
      </c>
      <c r="C4379" s="715" t="s">
        <v>103</v>
      </c>
      <c r="D4379" s="715" t="s">
        <v>40839</v>
      </c>
      <c r="E4379" s="716">
        <v>31.13</v>
      </c>
    </row>
    <row r="4380" spans="1:5" ht="29">
      <c r="A4380" s="715">
        <v>36149</v>
      </c>
      <c r="B4380" s="633" t="s">
        <v>38793</v>
      </c>
      <c r="C4380" s="715" t="s">
        <v>103</v>
      </c>
      <c r="D4380" s="715" t="s">
        <v>40839</v>
      </c>
      <c r="E4380" s="716">
        <v>185.98</v>
      </c>
    </row>
    <row r="4381" spans="1:5" ht="29">
      <c r="A4381" s="715">
        <v>42407</v>
      </c>
      <c r="B4381" s="633" t="s">
        <v>38794</v>
      </c>
      <c r="C4381" s="715" t="s">
        <v>165</v>
      </c>
      <c r="D4381" s="715" t="s">
        <v>40839</v>
      </c>
      <c r="E4381" s="716">
        <v>5.28</v>
      </c>
    </row>
    <row r="4382" spans="1:5">
      <c r="A4382" s="715">
        <v>45200</v>
      </c>
      <c r="B4382" s="633" t="s">
        <v>41077</v>
      </c>
      <c r="C4382" s="715" t="s">
        <v>103</v>
      </c>
      <c r="D4382" s="715" t="s">
        <v>40839</v>
      </c>
      <c r="E4382" s="716">
        <v>29.41</v>
      </c>
    </row>
    <row r="4383" spans="1:5" ht="29">
      <c r="A4383" s="715">
        <v>11581</v>
      </c>
      <c r="B4383" s="633" t="s">
        <v>38795</v>
      </c>
      <c r="C4383" s="715" t="s">
        <v>165</v>
      </c>
      <c r="D4383" s="715" t="s">
        <v>40839</v>
      </c>
      <c r="E4383" s="716">
        <v>20.54</v>
      </c>
    </row>
    <row r="4384" spans="1:5" ht="29">
      <c r="A4384" s="715">
        <v>43605</v>
      </c>
      <c r="B4384" s="633" t="s">
        <v>38796</v>
      </c>
      <c r="C4384" s="715" t="s">
        <v>165</v>
      </c>
      <c r="D4384" s="715" t="s">
        <v>40839</v>
      </c>
      <c r="E4384" s="716">
        <v>42.04</v>
      </c>
    </row>
    <row r="4385" spans="1:5" ht="29">
      <c r="A4385" s="715">
        <v>11580</v>
      </c>
      <c r="B4385" s="633" t="s">
        <v>38797</v>
      </c>
      <c r="C4385" s="715" t="s">
        <v>165</v>
      </c>
      <c r="D4385" s="715" t="s">
        <v>40839</v>
      </c>
      <c r="E4385" s="716">
        <v>8.24</v>
      </c>
    </row>
    <row r="4386" spans="1:5">
      <c r="A4386" s="715">
        <v>38386</v>
      </c>
      <c r="B4386" s="633" t="s">
        <v>38798</v>
      </c>
      <c r="C4386" s="715" t="s">
        <v>103</v>
      </c>
      <c r="D4386" s="715" t="s">
        <v>40839</v>
      </c>
      <c r="E4386" s="716">
        <v>6.39</v>
      </c>
    </row>
    <row r="4387" spans="1:5">
      <c r="A4387" s="715">
        <v>45231</v>
      </c>
      <c r="B4387" s="633" t="s">
        <v>41078</v>
      </c>
      <c r="C4387" s="715" t="s">
        <v>103</v>
      </c>
      <c r="D4387" s="715" t="s">
        <v>40839</v>
      </c>
      <c r="E4387" s="716">
        <v>5.84</v>
      </c>
    </row>
    <row r="4388" spans="1:5">
      <c r="A4388" s="715">
        <v>45232</v>
      </c>
      <c r="B4388" s="633" t="s">
        <v>41079</v>
      </c>
      <c r="C4388" s="715" t="s">
        <v>103</v>
      </c>
      <c r="D4388" s="715" t="s">
        <v>40839</v>
      </c>
      <c r="E4388" s="716">
        <v>10.28</v>
      </c>
    </row>
    <row r="4389" spans="1:5" ht="29">
      <c r="A4389" s="715">
        <v>39848</v>
      </c>
      <c r="B4389" s="633" t="s">
        <v>38799</v>
      </c>
      <c r="C4389" s="715" t="s">
        <v>165</v>
      </c>
      <c r="D4389" s="715" t="s">
        <v>40839</v>
      </c>
      <c r="E4389" s="716">
        <v>1.95</v>
      </c>
    </row>
    <row r="4390" spans="1:5">
      <c r="A4390" s="715">
        <v>7667</v>
      </c>
      <c r="B4390" s="633" t="s">
        <v>38800</v>
      </c>
      <c r="C4390" s="715" t="s">
        <v>165</v>
      </c>
      <c r="D4390" s="715" t="s">
        <v>40839</v>
      </c>
      <c r="E4390" s="716">
        <v>3309.78</v>
      </c>
    </row>
    <row r="4391" spans="1:5">
      <c r="A4391" s="715">
        <v>7660</v>
      </c>
      <c r="B4391" s="633" t="s">
        <v>38801</v>
      </c>
      <c r="C4391" s="715" t="s">
        <v>165</v>
      </c>
      <c r="D4391" s="715" t="s">
        <v>40839</v>
      </c>
      <c r="E4391" s="716">
        <v>4219.1899999999996</v>
      </c>
    </row>
    <row r="4392" spans="1:5">
      <c r="A4392" s="715">
        <v>7676</v>
      </c>
      <c r="B4392" s="633" t="s">
        <v>38802</v>
      </c>
      <c r="C4392" s="715" t="s">
        <v>165</v>
      </c>
      <c r="D4392" s="715" t="s">
        <v>40839</v>
      </c>
      <c r="E4392" s="716">
        <v>4267.3999999999996</v>
      </c>
    </row>
    <row r="4393" spans="1:5" ht="29">
      <c r="A4393" s="715">
        <v>20999</v>
      </c>
      <c r="B4393" s="633" t="s">
        <v>38803</v>
      </c>
      <c r="C4393" s="715" t="s">
        <v>165</v>
      </c>
      <c r="D4393" s="715" t="s">
        <v>40839</v>
      </c>
      <c r="E4393" s="716">
        <v>11.03</v>
      </c>
    </row>
    <row r="4394" spans="1:5" ht="29">
      <c r="A4394" s="715">
        <v>21001</v>
      </c>
      <c r="B4394" s="633" t="s">
        <v>38804</v>
      </c>
      <c r="C4394" s="715" t="s">
        <v>165</v>
      </c>
      <c r="D4394" s="715" t="s">
        <v>28018</v>
      </c>
      <c r="E4394" s="716">
        <v>20.59</v>
      </c>
    </row>
    <row r="4395" spans="1:5" ht="29">
      <c r="A4395" s="715">
        <v>21003</v>
      </c>
      <c r="B4395" s="633" t="s">
        <v>38805</v>
      </c>
      <c r="C4395" s="715" t="s">
        <v>165</v>
      </c>
      <c r="D4395" s="715" t="s">
        <v>40839</v>
      </c>
      <c r="E4395" s="716">
        <v>33.83</v>
      </c>
    </row>
    <row r="4396" spans="1:5" ht="29">
      <c r="A4396" s="715">
        <v>21006</v>
      </c>
      <c r="B4396" s="633" t="s">
        <v>38806</v>
      </c>
      <c r="C4396" s="715" t="s">
        <v>165</v>
      </c>
      <c r="D4396" s="715" t="s">
        <v>40839</v>
      </c>
      <c r="E4396" s="716">
        <v>71.8</v>
      </c>
    </row>
    <row r="4397" spans="1:5" ht="29">
      <c r="A4397" s="715">
        <v>21019</v>
      </c>
      <c r="B4397" s="633" t="s">
        <v>38807</v>
      </c>
      <c r="C4397" s="715" t="s">
        <v>165</v>
      </c>
      <c r="D4397" s="715" t="s">
        <v>40839</v>
      </c>
      <c r="E4397" s="716">
        <v>24.96</v>
      </c>
    </row>
    <row r="4398" spans="1:5" ht="29">
      <c r="A4398" s="715">
        <v>21021</v>
      </c>
      <c r="B4398" s="633" t="s">
        <v>38808</v>
      </c>
      <c r="C4398" s="715" t="s">
        <v>165</v>
      </c>
      <c r="D4398" s="715" t="s">
        <v>40839</v>
      </c>
      <c r="E4398" s="716">
        <v>39.46</v>
      </c>
    </row>
    <row r="4399" spans="1:5" ht="29">
      <c r="A4399" s="715">
        <v>21024</v>
      </c>
      <c r="B4399" s="633" t="s">
        <v>38809</v>
      </c>
      <c r="C4399" s="715" t="s">
        <v>165</v>
      </c>
      <c r="D4399" s="715" t="s">
        <v>40839</v>
      </c>
      <c r="E4399" s="716">
        <v>84.54</v>
      </c>
    </row>
    <row r="4400" spans="1:5">
      <c r="A4400" s="715">
        <v>40624</v>
      </c>
      <c r="B4400" s="633" t="s">
        <v>38810</v>
      </c>
      <c r="C4400" s="715" t="s">
        <v>165</v>
      </c>
      <c r="D4400" s="715" t="s">
        <v>40839</v>
      </c>
      <c r="E4400" s="716">
        <v>91.38</v>
      </c>
    </row>
    <row r="4401" spans="1:5">
      <c r="A4401" s="715">
        <v>42575</v>
      </c>
      <c r="B4401" s="633" t="s">
        <v>38811</v>
      </c>
      <c r="C4401" s="715" t="s">
        <v>165</v>
      </c>
      <c r="D4401" s="715" t="s">
        <v>40839</v>
      </c>
      <c r="E4401" s="716">
        <v>83.85</v>
      </c>
    </row>
    <row r="4402" spans="1:5">
      <c r="A4402" s="715">
        <v>42574</v>
      </c>
      <c r="B4402" s="633" t="s">
        <v>38812</v>
      </c>
      <c r="C4402" s="715" t="s">
        <v>165</v>
      </c>
      <c r="D4402" s="715" t="s">
        <v>40839</v>
      </c>
      <c r="E4402" s="716">
        <v>62.57</v>
      </c>
    </row>
    <row r="4403" spans="1:5">
      <c r="A4403" s="715">
        <v>13127</v>
      </c>
      <c r="B4403" s="633" t="s">
        <v>38813</v>
      </c>
      <c r="C4403" s="715" t="s">
        <v>165</v>
      </c>
      <c r="D4403" s="715" t="s">
        <v>40839</v>
      </c>
      <c r="E4403" s="716">
        <v>40.76</v>
      </c>
    </row>
    <row r="4404" spans="1:5">
      <c r="A4404" s="715">
        <v>13137</v>
      </c>
      <c r="B4404" s="633" t="s">
        <v>38814</v>
      </c>
      <c r="C4404" s="715" t="s">
        <v>165</v>
      </c>
      <c r="D4404" s="715" t="s">
        <v>40839</v>
      </c>
      <c r="E4404" s="716">
        <v>54.08</v>
      </c>
    </row>
    <row r="4405" spans="1:5">
      <c r="A4405" s="715">
        <v>20989</v>
      </c>
      <c r="B4405" s="633" t="s">
        <v>38815</v>
      </c>
      <c r="C4405" s="715" t="s">
        <v>165</v>
      </c>
      <c r="D4405" s="715" t="s">
        <v>40839</v>
      </c>
      <c r="E4405" s="716">
        <v>1937.63</v>
      </c>
    </row>
    <row r="4406" spans="1:5">
      <c r="A4406" s="715">
        <v>21147</v>
      </c>
      <c r="B4406" s="633" t="s">
        <v>38816</v>
      </c>
      <c r="C4406" s="715" t="s">
        <v>165</v>
      </c>
      <c r="D4406" s="715" t="s">
        <v>40839</v>
      </c>
      <c r="E4406" s="716">
        <v>181.67</v>
      </c>
    </row>
    <row r="4407" spans="1:5">
      <c r="A4407" s="715">
        <v>21148</v>
      </c>
      <c r="B4407" s="633" t="s">
        <v>38817</v>
      </c>
      <c r="C4407" s="715" t="s">
        <v>165</v>
      </c>
      <c r="D4407" s="715" t="s">
        <v>28018</v>
      </c>
      <c r="E4407" s="716">
        <v>112.13</v>
      </c>
    </row>
    <row r="4408" spans="1:5">
      <c r="A4408" s="715">
        <v>20984</v>
      </c>
      <c r="B4408" s="633" t="s">
        <v>38818</v>
      </c>
      <c r="C4408" s="715" t="s">
        <v>165</v>
      </c>
      <c r="D4408" s="715" t="s">
        <v>40839</v>
      </c>
      <c r="E4408" s="716">
        <v>3717.94</v>
      </c>
    </row>
    <row r="4409" spans="1:5">
      <c r="A4409" s="715">
        <v>13042</v>
      </c>
      <c r="B4409" s="633" t="s">
        <v>38819</v>
      </c>
      <c r="C4409" s="715" t="s">
        <v>165</v>
      </c>
      <c r="D4409" s="715" t="s">
        <v>40839</v>
      </c>
      <c r="E4409" s="716">
        <v>2060.29</v>
      </c>
    </row>
    <row r="4410" spans="1:5">
      <c r="A4410" s="715">
        <v>42576</v>
      </c>
      <c r="B4410" s="633" t="s">
        <v>38820</v>
      </c>
      <c r="C4410" s="715" t="s">
        <v>165</v>
      </c>
      <c r="D4410" s="715" t="s">
        <v>40839</v>
      </c>
      <c r="E4410" s="716">
        <v>228.73</v>
      </c>
    </row>
    <row r="4411" spans="1:5">
      <c r="A4411" s="715">
        <v>21150</v>
      </c>
      <c r="B4411" s="633" t="s">
        <v>38821</v>
      </c>
      <c r="C4411" s="715" t="s">
        <v>165</v>
      </c>
      <c r="D4411" s="715" t="s">
        <v>40839</v>
      </c>
      <c r="E4411" s="716">
        <v>55.6</v>
      </c>
    </row>
    <row r="4412" spans="1:5">
      <c r="A4412" s="715">
        <v>13141</v>
      </c>
      <c r="B4412" s="633" t="s">
        <v>38822</v>
      </c>
      <c r="C4412" s="715" t="s">
        <v>165</v>
      </c>
      <c r="D4412" s="715" t="s">
        <v>40839</v>
      </c>
      <c r="E4412" s="716">
        <v>70.05</v>
      </c>
    </row>
    <row r="4413" spans="1:5">
      <c r="A4413" s="715">
        <v>21151</v>
      </c>
      <c r="B4413" s="633" t="s">
        <v>38823</v>
      </c>
      <c r="C4413" s="715" t="s">
        <v>165</v>
      </c>
      <c r="D4413" s="715" t="s">
        <v>40839</v>
      </c>
      <c r="E4413" s="716">
        <v>332.8</v>
      </c>
    </row>
    <row r="4414" spans="1:5">
      <c r="A4414" s="715">
        <v>13142</v>
      </c>
      <c r="B4414" s="633" t="s">
        <v>38824</v>
      </c>
      <c r="C4414" s="715" t="s">
        <v>165</v>
      </c>
      <c r="D4414" s="715" t="s">
        <v>40839</v>
      </c>
      <c r="E4414" s="716">
        <v>475.76</v>
      </c>
    </row>
    <row r="4415" spans="1:5">
      <c r="A4415" s="715">
        <v>42577</v>
      </c>
      <c r="B4415" s="633" t="s">
        <v>38825</v>
      </c>
      <c r="C4415" s="715" t="s">
        <v>165</v>
      </c>
      <c r="D4415" s="715" t="s">
        <v>40839</v>
      </c>
      <c r="E4415" s="716">
        <v>522.04</v>
      </c>
    </row>
    <row r="4416" spans="1:5">
      <c r="A4416" s="715">
        <v>20994</v>
      </c>
      <c r="B4416" s="633" t="s">
        <v>38826</v>
      </c>
      <c r="C4416" s="715" t="s">
        <v>165</v>
      </c>
      <c r="D4416" s="715" t="s">
        <v>40839</v>
      </c>
      <c r="E4416" s="716">
        <v>897.02</v>
      </c>
    </row>
    <row r="4417" spans="1:5">
      <c r="A4417" s="715">
        <v>7672</v>
      </c>
      <c r="B4417" s="633" t="s">
        <v>38827</v>
      </c>
      <c r="C4417" s="715" t="s">
        <v>165</v>
      </c>
      <c r="D4417" s="715" t="s">
        <v>40839</v>
      </c>
      <c r="E4417" s="716">
        <v>587.65</v>
      </c>
    </row>
    <row r="4418" spans="1:5">
      <c r="A4418" s="715">
        <v>20995</v>
      </c>
      <c r="B4418" s="633" t="s">
        <v>38828</v>
      </c>
      <c r="C4418" s="715" t="s">
        <v>165</v>
      </c>
      <c r="D4418" s="715" t="s">
        <v>40839</v>
      </c>
      <c r="E4418" s="716">
        <v>1178.8599999999999</v>
      </c>
    </row>
    <row r="4419" spans="1:5">
      <c r="A4419" s="715">
        <v>7690</v>
      </c>
      <c r="B4419" s="633" t="s">
        <v>38829</v>
      </c>
      <c r="C4419" s="715" t="s">
        <v>165</v>
      </c>
      <c r="D4419" s="715" t="s">
        <v>40839</v>
      </c>
      <c r="E4419" s="716">
        <v>681.81</v>
      </c>
    </row>
    <row r="4420" spans="1:5">
      <c r="A4420" s="715">
        <v>20980</v>
      </c>
      <c r="B4420" s="633" t="s">
        <v>38830</v>
      </c>
      <c r="C4420" s="715" t="s">
        <v>165</v>
      </c>
      <c r="D4420" s="715" t="s">
        <v>40839</v>
      </c>
      <c r="E4420" s="716">
        <v>743.79</v>
      </c>
    </row>
    <row r="4421" spans="1:5">
      <c r="A4421" s="715">
        <v>7661</v>
      </c>
      <c r="B4421" s="633" t="s">
        <v>38831</v>
      </c>
      <c r="C4421" s="715" t="s">
        <v>165</v>
      </c>
      <c r="D4421" s="715" t="s">
        <v>40839</v>
      </c>
      <c r="E4421" s="716">
        <v>884.8</v>
      </c>
    </row>
    <row r="4422" spans="1:5" ht="29">
      <c r="A4422" s="715">
        <v>21016</v>
      </c>
      <c r="B4422" s="633" t="s">
        <v>38832</v>
      </c>
      <c r="C4422" s="715" t="s">
        <v>165</v>
      </c>
      <c r="D4422" s="715" t="s">
        <v>40839</v>
      </c>
      <c r="E4422" s="716">
        <v>155.91</v>
      </c>
    </row>
    <row r="4423" spans="1:5" ht="29">
      <c r="A4423" s="715">
        <v>21008</v>
      </c>
      <c r="B4423" s="633" t="s">
        <v>38833</v>
      </c>
      <c r="C4423" s="715" t="s">
        <v>165</v>
      </c>
      <c r="D4423" s="715" t="s">
        <v>40839</v>
      </c>
      <c r="E4423" s="716">
        <v>18.21</v>
      </c>
    </row>
    <row r="4424" spans="1:5" ht="29">
      <c r="A4424" s="715">
        <v>21009</v>
      </c>
      <c r="B4424" s="633" t="s">
        <v>38834</v>
      </c>
      <c r="C4424" s="715" t="s">
        <v>165</v>
      </c>
      <c r="D4424" s="715" t="s">
        <v>40839</v>
      </c>
      <c r="E4424" s="716">
        <v>23.71</v>
      </c>
    </row>
    <row r="4425" spans="1:5" ht="29">
      <c r="A4425" s="715">
        <v>21010</v>
      </c>
      <c r="B4425" s="633" t="s">
        <v>38835</v>
      </c>
      <c r="C4425" s="715" t="s">
        <v>165</v>
      </c>
      <c r="D4425" s="715" t="s">
        <v>28018</v>
      </c>
      <c r="E4425" s="716">
        <v>31.84</v>
      </c>
    </row>
    <row r="4426" spans="1:5" ht="29">
      <c r="A4426" s="715">
        <v>21011</v>
      </c>
      <c r="B4426" s="633" t="s">
        <v>38836</v>
      </c>
      <c r="C4426" s="715" t="s">
        <v>165</v>
      </c>
      <c r="D4426" s="715" t="s">
        <v>40839</v>
      </c>
      <c r="E4426" s="716">
        <v>46.41</v>
      </c>
    </row>
    <row r="4427" spans="1:5" ht="29">
      <c r="A4427" s="715">
        <v>21012</v>
      </c>
      <c r="B4427" s="633" t="s">
        <v>38837</v>
      </c>
      <c r="C4427" s="715" t="s">
        <v>165</v>
      </c>
      <c r="D4427" s="715" t="s">
        <v>40839</v>
      </c>
      <c r="E4427" s="716">
        <v>51.28</v>
      </c>
    </row>
    <row r="4428" spans="1:5" ht="29">
      <c r="A4428" s="715">
        <v>21013</v>
      </c>
      <c r="B4428" s="633" t="s">
        <v>38838</v>
      </c>
      <c r="C4428" s="715" t="s">
        <v>165</v>
      </c>
      <c r="D4428" s="715" t="s">
        <v>40839</v>
      </c>
      <c r="E4428" s="716">
        <v>66.92</v>
      </c>
    </row>
    <row r="4429" spans="1:5" ht="29">
      <c r="A4429" s="715">
        <v>21014</v>
      </c>
      <c r="B4429" s="633" t="s">
        <v>38839</v>
      </c>
      <c r="C4429" s="715" t="s">
        <v>165</v>
      </c>
      <c r="D4429" s="715" t="s">
        <v>40839</v>
      </c>
      <c r="E4429" s="716">
        <v>93.64</v>
      </c>
    </row>
    <row r="4430" spans="1:5" ht="29">
      <c r="A4430" s="715">
        <v>21015</v>
      </c>
      <c r="B4430" s="633" t="s">
        <v>38840</v>
      </c>
      <c r="C4430" s="715" t="s">
        <v>165</v>
      </c>
      <c r="D4430" s="715" t="s">
        <v>40839</v>
      </c>
      <c r="E4430" s="716">
        <v>107.58</v>
      </c>
    </row>
    <row r="4431" spans="1:5" ht="29">
      <c r="A4431" s="715">
        <v>40626</v>
      </c>
      <c r="B4431" s="633" t="s">
        <v>38841</v>
      </c>
      <c r="C4431" s="715" t="s">
        <v>165</v>
      </c>
      <c r="D4431" s="715" t="s">
        <v>40839</v>
      </c>
      <c r="E4431" s="716">
        <v>35.04</v>
      </c>
    </row>
    <row r="4432" spans="1:5" ht="29">
      <c r="A4432" s="715">
        <v>7697</v>
      </c>
      <c r="B4432" s="633" t="s">
        <v>38842</v>
      </c>
      <c r="C4432" s="715" t="s">
        <v>165</v>
      </c>
      <c r="D4432" s="715" t="s">
        <v>40839</v>
      </c>
      <c r="E4432" s="716">
        <v>51.33</v>
      </c>
    </row>
    <row r="4433" spans="1:5" ht="29">
      <c r="A4433" s="715">
        <v>7698</v>
      </c>
      <c r="B4433" s="633" t="s">
        <v>38843</v>
      </c>
      <c r="C4433" s="715" t="s">
        <v>165</v>
      </c>
      <c r="D4433" s="715" t="s">
        <v>40839</v>
      </c>
      <c r="E4433" s="716">
        <v>44.19</v>
      </c>
    </row>
    <row r="4434" spans="1:5" ht="29">
      <c r="A4434" s="715">
        <v>7691</v>
      </c>
      <c r="B4434" s="633" t="s">
        <v>38844</v>
      </c>
      <c r="C4434" s="715" t="s">
        <v>165</v>
      </c>
      <c r="D4434" s="715" t="s">
        <v>40839</v>
      </c>
      <c r="E4434" s="716">
        <v>18.670000000000002</v>
      </c>
    </row>
    <row r="4435" spans="1:5" ht="29">
      <c r="A4435" s="715">
        <v>7696</v>
      </c>
      <c r="B4435" s="633" t="s">
        <v>38845</v>
      </c>
      <c r="C4435" s="715" t="s">
        <v>165</v>
      </c>
      <c r="D4435" s="715" t="s">
        <v>40839</v>
      </c>
      <c r="E4435" s="716">
        <v>74.02</v>
      </c>
    </row>
    <row r="4436" spans="1:5" ht="29">
      <c r="A4436" s="715">
        <v>7701</v>
      </c>
      <c r="B4436" s="633" t="s">
        <v>38846</v>
      </c>
      <c r="C4436" s="715" t="s">
        <v>165</v>
      </c>
      <c r="D4436" s="715" t="s">
        <v>40839</v>
      </c>
      <c r="E4436" s="716">
        <v>91.86</v>
      </c>
    </row>
    <row r="4437" spans="1:5" ht="29">
      <c r="A4437" s="715">
        <v>7694</v>
      </c>
      <c r="B4437" s="633" t="s">
        <v>38847</v>
      </c>
      <c r="C4437" s="715" t="s">
        <v>165</v>
      </c>
      <c r="D4437" s="715" t="s">
        <v>40839</v>
      </c>
      <c r="E4437" s="716">
        <v>123.62</v>
      </c>
    </row>
    <row r="4438" spans="1:5" ht="29">
      <c r="A4438" s="715">
        <v>7700</v>
      </c>
      <c r="B4438" s="633" t="s">
        <v>38848</v>
      </c>
      <c r="C4438" s="715" t="s">
        <v>165</v>
      </c>
      <c r="D4438" s="715" t="s">
        <v>40839</v>
      </c>
      <c r="E4438" s="716">
        <v>23.61</v>
      </c>
    </row>
    <row r="4439" spans="1:5" ht="29">
      <c r="A4439" s="715">
        <v>7693</v>
      </c>
      <c r="B4439" s="633" t="s">
        <v>38849</v>
      </c>
      <c r="C4439" s="715" t="s">
        <v>165</v>
      </c>
      <c r="D4439" s="715" t="s">
        <v>40839</v>
      </c>
      <c r="E4439" s="716">
        <v>170.25</v>
      </c>
    </row>
    <row r="4440" spans="1:5" ht="29">
      <c r="A4440" s="715">
        <v>7692</v>
      </c>
      <c r="B4440" s="633" t="s">
        <v>38850</v>
      </c>
      <c r="C4440" s="715" t="s">
        <v>165</v>
      </c>
      <c r="D4440" s="715" t="s">
        <v>40839</v>
      </c>
      <c r="E4440" s="716">
        <v>254.89</v>
      </c>
    </row>
    <row r="4441" spans="1:5" ht="29">
      <c r="A4441" s="715">
        <v>7695</v>
      </c>
      <c r="B4441" s="633" t="s">
        <v>38851</v>
      </c>
      <c r="C4441" s="715" t="s">
        <v>165</v>
      </c>
      <c r="D4441" s="715" t="s">
        <v>40839</v>
      </c>
      <c r="E4441" s="716">
        <v>276.44</v>
      </c>
    </row>
    <row r="4442" spans="1:5">
      <c r="A4442" s="715">
        <v>13356</v>
      </c>
      <c r="B4442" s="633" t="s">
        <v>38852</v>
      </c>
      <c r="C4442" s="715" t="s">
        <v>165</v>
      </c>
      <c r="D4442" s="715" t="s">
        <v>40839</v>
      </c>
      <c r="E4442" s="716">
        <v>20.04</v>
      </c>
    </row>
    <row r="4443" spans="1:5">
      <c r="A4443" s="715">
        <v>36365</v>
      </c>
      <c r="B4443" s="633" t="s">
        <v>41080</v>
      </c>
      <c r="C4443" s="715" t="s">
        <v>165</v>
      </c>
      <c r="D4443" s="715" t="s">
        <v>40839</v>
      </c>
      <c r="E4443" s="716">
        <v>48.26</v>
      </c>
    </row>
    <row r="4444" spans="1:5">
      <c r="A4444" s="715">
        <v>41930</v>
      </c>
      <c r="B4444" s="633" t="s">
        <v>38853</v>
      </c>
      <c r="C4444" s="715" t="s">
        <v>165</v>
      </c>
      <c r="D4444" s="715" t="s">
        <v>40839</v>
      </c>
      <c r="E4444" s="716">
        <v>160.75</v>
      </c>
    </row>
    <row r="4445" spans="1:5">
      <c r="A4445" s="715">
        <v>41931</v>
      </c>
      <c r="B4445" s="633" t="s">
        <v>38854</v>
      </c>
      <c r="C4445" s="715" t="s">
        <v>165</v>
      </c>
      <c r="D4445" s="715" t="s">
        <v>40839</v>
      </c>
      <c r="E4445" s="716">
        <v>251.77</v>
      </c>
    </row>
    <row r="4446" spans="1:5">
      <c r="A4446" s="715">
        <v>41932</v>
      </c>
      <c r="B4446" s="633" t="s">
        <v>38855</v>
      </c>
      <c r="C4446" s="715" t="s">
        <v>165</v>
      </c>
      <c r="D4446" s="715" t="s">
        <v>40839</v>
      </c>
      <c r="E4446" s="716">
        <v>387.51</v>
      </c>
    </row>
    <row r="4447" spans="1:5">
      <c r="A4447" s="715">
        <v>41933</v>
      </c>
      <c r="B4447" s="633" t="s">
        <v>38856</v>
      </c>
      <c r="C4447" s="715" t="s">
        <v>165</v>
      </c>
      <c r="D4447" s="715" t="s">
        <v>40839</v>
      </c>
      <c r="E4447" s="716">
        <v>547.65</v>
      </c>
    </row>
    <row r="4448" spans="1:5">
      <c r="A4448" s="715">
        <v>41934</v>
      </c>
      <c r="B4448" s="633" t="s">
        <v>38857</v>
      </c>
      <c r="C4448" s="715" t="s">
        <v>165</v>
      </c>
      <c r="D4448" s="715" t="s">
        <v>40839</v>
      </c>
      <c r="E4448" s="716">
        <v>637.79999999999995</v>
      </c>
    </row>
    <row r="4449" spans="1:5">
      <c r="A4449" s="715">
        <v>41936</v>
      </c>
      <c r="B4449" s="633" t="s">
        <v>38858</v>
      </c>
      <c r="C4449" s="715" t="s">
        <v>165</v>
      </c>
      <c r="D4449" s="715" t="s">
        <v>40839</v>
      </c>
      <c r="E4449" s="716">
        <v>94.65</v>
      </c>
    </row>
    <row r="4450" spans="1:5" ht="29">
      <c r="A4450" s="715">
        <v>44812</v>
      </c>
      <c r="B4450" s="633" t="s">
        <v>38859</v>
      </c>
      <c r="C4450" s="715" t="s">
        <v>165</v>
      </c>
      <c r="D4450" s="715" t="s">
        <v>40839</v>
      </c>
      <c r="E4450" s="716">
        <v>487.36</v>
      </c>
    </row>
    <row r="4451" spans="1:5" ht="29">
      <c r="A4451" s="715">
        <v>41785</v>
      </c>
      <c r="B4451" s="633" t="s">
        <v>38860</v>
      </c>
      <c r="C4451" s="715" t="s">
        <v>165</v>
      </c>
      <c r="D4451" s="715" t="s">
        <v>40839</v>
      </c>
      <c r="E4451" s="716">
        <v>1806.13</v>
      </c>
    </row>
    <row r="4452" spans="1:5" ht="29">
      <c r="A4452" s="715">
        <v>41781</v>
      </c>
      <c r="B4452" s="633" t="s">
        <v>38861</v>
      </c>
      <c r="C4452" s="715" t="s">
        <v>165</v>
      </c>
      <c r="D4452" s="715" t="s">
        <v>40839</v>
      </c>
      <c r="E4452" s="716">
        <v>326.12</v>
      </c>
    </row>
    <row r="4453" spans="1:5" ht="29">
      <c r="A4453" s="715">
        <v>41783</v>
      </c>
      <c r="B4453" s="633" t="s">
        <v>38862</v>
      </c>
      <c r="C4453" s="715" t="s">
        <v>165</v>
      </c>
      <c r="D4453" s="715" t="s">
        <v>40839</v>
      </c>
      <c r="E4453" s="716">
        <v>1172.45</v>
      </c>
    </row>
    <row r="4454" spans="1:5" ht="29">
      <c r="A4454" s="715">
        <v>41786</v>
      </c>
      <c r="B4454" s="633" t="s">
        <v>38863</v>
      </c>
      <c r="C4454" s="715" t="s">
        <v>165</v>
      </c>
      <c r="D4454" s="715" t="s">
        <v>40839</v>
      </c>
      <c r="E4454" s="716">
        <v>2496.19</v>
      </c>
    </row>
    <row r="4455" spans="1:5" ht="29">
      <c r="A4455" s="715">
        <v>41779</v>
      </c>
      <c r="B4455" s="633" t="s">
        <v>38864</v>
      </c>
      <c r="C4455" s="715" t="s">
        <v>165</v>
      </c>
      <c r="D4455" s="715" t="s">
        <v>40839</v>
      </c>
      <c r="E4455" s="716">
        <v>128.44</v>
      </c>
    </row>
    <row r="4456" spans="1:5" ht="29">
      <c r="A4456" s="715">
        <v>41780</v>
      </c>
      <c r="B4456" s="633" t="s">
        <v>38865</v>
      </c>
      <c r="C4456" s="715" t="s">
        <v>165</v>
      </c>
      <c r="D4456" s="715" t="s">
        <v>40839</v>
      </c>
      <c r="E4456" s="716">
        <v>201.22</v>
      </c>
    </row>
    <row r="4457" spans="1:5" ht="29">
      <c r="A4457" s="715">
        <v>41782</v>
      </c>
      <c r="B4457" s="633" t="s">
        <v>38866</v>
      </c>
      <c r="C4457" s="715" t="s">
        <v>165</v>
      </c>
      <c r="D4457" s="715" t="s">
        <v>40839</v>
      </c>
      <c r="E4457" s="716">
        <v>720.83</v>
      </c>
    </row>
    <row r="4458" spans="1:5">
      <c r="A4458" s="715">
        <v>38130</v>
      </c>
      <c r="B4458" s="633" t="s">
        <v>38867</v>
      </c>
      <c r="C4458" s="715" t="s">
        <v>165</v>
      </c>
      <c r="D4458" s="715" t="s">
        <v>40839</v>
      </c>
      <c r="E4458" s="716">
        <v>44.45</v>
      </c>
    </row>
    <row r="4459" spans="1:5">
      <c r="A4459" s="715">
        <v>44260</v>
      </c>
      <c r="B4459" s="633" t="s">
        <v>38868</v>
      </c>
      <c r="C4459" s="715" t="s">
        <v>165</v>
      </c>
      <c r="D4459" s="715" t="s">
        <v>40839</v>
      </c>
      <c r="E4459" s="716">
        <v>420.71</v>
      </c>
    </row>
    <row r="4460" spans="1:5">
      <c r="A4460" s="715">
        <v>21123</v>
      </c>
      <c r="B4460" s="633" t="s">
        <v>38869</v>
      </c>
      <c r="C4460" s="715" t="s">
        <v>165</v>
      </c>
      <c r="D4460" s="715" t="s">
        <v>28018</v>
      </c>
      <c r="E4460" s="716">
        <v>12.37</v>
      </c>
    </row>
    <row r="4461" spans="1:5">
      <c r="A4461" s="715">
        <v>21124</v>
      </c>
      <c r="B4461" s="633" t="s">
        <v>38870</v>
      </c>
      <c r="C4461" s="715" t="s">
        <v>165</v>
      </c>
      <c r="D4461" s="715" t="s">
        <v>40839</v>
      </c>
      <c r="E4461" s="716">
        <v>19.760000000000002</v>
      </c>
    </row>
    <row r="4462" spans="1:5">
      <c r="A4462" s="715">
        <v>21125</v>
      </c>
      <c r="B4462" s="633" t="s">
        <v>38871</v>
      </c>
      <c r="C4462" s="715" t="s">
        <v>165</v>
      </c>
      <c r="D4462" s="715" t="s">
        <v>40839</v>
      </c>
      <c r="E4462" s="716">
        <v>34.03</v>
      </c>
    </row>
    <row r="4463" spans="1:5">
      <c r="A4463" s="715">
        <v>38028</v>
      </c>
      <c r="B4463" s="633" t="s">
        <v>38872</v>
      </c>
      <c r="C4463" s="715" t="s">
        <v>165</v>
      </c>
      <c r="D4463" s="715" t="s">
        <v>40839</v>
      </c>
      <c r="E4463" s="716">
        <v>59.51</v>
      </c>
    </row>
    <row r="4464" spans="1:5">
      <c r="A4464" s="715">
        <v>38029</v>
      </c>
      <c r="B4464" s="633" t="s">
        <v>38873</v>
      </c>
      <c r="C4464" s="715" t="s">
        <v>165</v>
      </c>
      <c r="D4464" s="715" t="s">
        <v>40839</v>
      </c>
      <c r="E4464" s="716">
        <v>87.1</v>
      </c>
    </row>
    <row r="4465" spans="1:5">
      <c r="A4465" s="715">
        <v>38030</v>
      </c>
      <c r="B4465" s="633" t="s">
        <v>38874</v>
      </c>
      <c r="C4465" s="715" t="s">
        <v>165</v>
      </c>
      <c r="D4465" s="715" t="s">
        <v>40839</v>
      </c>
      <c r="E4465" s="716">
        <v>140.84</v>
      </c>
    </row>
    <row r="4466" spans="1:5">
      <c r="A4466" s="715">
        <v>38031</v>
      </c>
      <c r="B4466" s="633" t="s">
        <v>38875</v>
      </c>
      <c r="C4466" s="715" t="s">
        <v>165</v>
      </c>
      <c r="D4466" s="715" t="s">
        <v>40839</v>
      </c>
      <c r="E4466" s="716">
        <v>221.06</v>
      </c>
    </row>
    <row r="4467" spans="1:5" ht="43">
      <c r="A4467" s="715">
        <v>39735</v>
      </c>
      <c r="B4467" s="633" t="s">
        <v>38876</v>
      </c>
      <c r="C4467" s="715" t="s">
        <v>165</v>
      </c>
      <c r="D4467" s="715" t="s">
        <v>40839</v>
      </c>
      <c r="E4467" s="716">
        <v>55.44</v>
      </c>
    </row>
    <row r="4468" spans="1:5" ht="43">
      <c r="A4468" s="715">
        <v>39734</v>
      </c>
      <c r="B4468" s="633" t="s">
        <v>38877</v>
      </c>
      <c r="C4468" s="715" t="s">
        <v>165</v>
      </c>
      <c r="D4468" s="715" t="s">
        <v>40839</v>
      </c>
      <c r="E4468" s="716">
        <v>65.760000000000005</v>
      </c>
    </row>
    <row r="4469" spans="1:5" ht="43">
      <c r="A4469" s="715">
        <v>39736</v>
      </c>
      <c r="B4469" s="633" t="s">
        <v>38878</v>
      </c>
      <c r="C4469" s="715" t="s">
        <v>165</v>
      </c>
      <c r="D4469" s="715" t="s">
        <v>40839</v>
      </c>
      <c r="E4469" s="716">
        <v>75.05</v>
      </c>
    </row>
    <row r="4470" spans="1:5" ht="43">
      <c r="A4470" s="715">
        <v>39739</v>
      </c>
      <c r="B4470" s="633" t="s">
        <v>38879</v>
      </c>
      <c r="C4470" s="715" t="s">
        <v>165</v>
      </c>
      <c r="D4470" s="715" t="s">
        <v>40839</v>
      </c>
      <c r="E4470" s="716">
        <v>51.9</v>
      </c>
    </row>
    <row r="4471" spans="1:5" ht="43">
      <c r="A4471" s="715">
        <v>39737</v>
      </c>
      <c r="B4471" s="633" t="s">
        <v>38880</v>
      </c>
      <c r="C4471" s="715" t="s">
        <v>165</v>
      </c>
      <c r="D4471" s="715" t="s">
        <v>40839</v>
      </c>
      <c r="E4471" s="716">
        <v>10.09</v>
      </c>
    </row>
    <row r="4472" spans="1:5" ht="43">
      <c r="A4472" s="715">
        <v>39738</v>
      </c>
      <c r="B4472" s="633" t="s">
        <v>38881</v>
      </c>
      <c r="C4472" s="715" t="s">
        <v>165</v>
      </c>
      <c r="D4472" s="715" t="s">
        <v>40839</v>
      </c>
      <c r="E4472" s="716">
        <v>3.65</v>
      </c>
    </row>
    <row r="4473" spans="1:5" ht="43">
      <c r="A4473" s="715">
        <v>39733</v>
      </c>
      <c r="B4473" s="633" t="s">
        <v>38882</v>
      </c>
      <c r="C4473" s="715" t="s">
        <v>165</v>
      </c>
      <c r="D4473" s="715" t="s">
        <v>40839</v>
      </c>
      <c r="E4473" s="716">
        <v>89.82</v>
      </c>
    </row>
    <row r="4474" spans="1:5" ht="43">
      <c r="A4474" s="715">
        <v>39854</v>
      </c>
      <c r="B4474" s="633" t="s">
        <v>38883</v>
      </c>
      <c r="C4474" s="715" t="s">
        <v>165</v>
      </c>
      <c r="D4474" s="715" t="s">
        <v>40839</v>
      </c>
      <c r="E4474" s="716">
        <v>91.09</v>
      </c>
    </row>
    <row r="4475" spans="1:5" ht="43">
      <c r="A4475" s="715">
        <v>39740</v>
      </c>
      <c r="B4475" s="633" t="s">
        <v>38884</v>
      </c>
      <c r="C4475" s="715" t="s">
        <v>165</v>
      </c>
      <c r="D4475" s="715" t="s">
        <v>40839</v>
      </c>
      <c r="E4475" s="716">
        <v>49.84</v>
      </c>
    </row>
    <row r="4476" spans="1:5" ht="43">
      <c r="A4476" s="715">
        <v>39741</v>
      </c>
      <c r="B4476" s="633" t="s">
        <v>38885</v>
      </c>
      <c r="C4476" s="715" t="s">
        <v>165</v>
      </c>
      <c r="D4476" s="715" t="s">
        <v>40839</v>
      </c>
      <c r="E4476" s="716">
        <v>9.18</v>
      </c>
    </row>
    <row r="4477" spans="1:5" ht="43">
      <c r="A4477" s="715">
        <v>39853</v>
      </c>
      <c r="B4477" s="633" t="s">
        <v>38886</v>
      </c>
      <c r="C4477" s="715" t="s">
        <v>165</v>
      </c>
      <c r="D4477" s="715" t="s">
        <v>40839</v>
      </c>
      <c r="E4477" s="716">
        <v>12.06</v>
      </c>
    </row>
    <row r="4478" spans="1:5" ht="43">
      <c r="A4478" s="715">
        <v>39742</v>
      </c>
      <c r="B4478" s="633" t="s">
        <v>38887</v>
      </c>
      <c r="C4478" s="715" t="s">
        <v>165</v>
      </c>
      <c r="D4478" s="715" t="s">
        <v>40839</v>
      </c>
      <c r="E4478" s="716">
        <v>40.06</v>
      </c>
    </row>
    <row r="4479" spans="1:5" ht="29">
      <c r="A4479" s="715">
        <v>39751</v>
      </c>
      <c r="B4479" s="633" t="s">
        <v>38888</v>
      </c>
      <c r="C4479" s="715" t="s">
        <v>165</v>
      </c>
      <c r="D4479" s="715" t="s">
        <v>40839</v>
      </c>
      <c r="E4479" s="716">
        <v>189.02</v>
      </c>
    </row>
    <row r="4480" spans="1:5" ht="29">
      <c r="A4480" s="715">
        <v>39750</v>
      </c>
      <c r="B4480" s="633" t="s">
        <v>38889</v>
      </c>
      <c r="C4480" s="715" t="s">
        <v>165</v>
      </c>
      <c r="D4480" s="715" t="s">
        <v>40839</v>
      </c>
      <c r="E4480" s="716">
        <v>157.11000000000001</v>
      </c>
    </row>
    <row r="4481" spans="1:5" ht="29">
      <c r="A4481" s="715">
        <v>39749</v>
      </c>
      <c r="B4481" s="633" t="s">
        <v>38890</v>
      </c>
      <c r="C4481" s="715" t="s">
        <v>165</v>
      </c>
      <c r="D4481" s="715" t="s">
        <v>40839</v>
      </c>
      <c r="E4481" s="716">
        <v>104.02</v>
      </c>
    </row>
    <row r="4482" spans="1:5" ht="29">
      <c r="A4482" s="715">
        <v>39747</v>
      </c>
      <c r="B4482" s="633" t="s">
        <v>38891</v>
      </c>
      <c r="C4482" s="715" t="s">
        <v>165</v>
      </c>
      <c r="D4482" s="715" t="s">
        <v>40839</v>
      </c>
      <c r="E4482" s="716">
        <v>50.53</v>
      </c>
    </row>
    <row r="4483" spans="1:5" ht="29">
      <c r="A4483" s="715">
        <v>39753</v>
      </c>
      <c r="B4483" s="633" t="s">
        <v>38892</v>
      </c>
      <c r="C4483" s="715" t="s">
        <v>165</v>
      </c>
      <c r="D4483" s="715" t="s">
        <v>40839</v>
      </c>
      <c r="E4483" s="716">
        <v>347.94</v>
      </c>
    </row>
    <row r="4484" spans="1:5" ht="29">
      <c r="A4484" s="715">
        <v>39752</v>
      </c>
      <c r="B4484" s="633" t="s">
        <v>38893</v>
      </c>
      <c r="C4484" s="715" t="s">
        <v>165</v>
      </c>
      <c r="D4484" s="715" t="s">
        <v>40839</v>
      </c>
      <c r="E4484" s="716">
        <v>268.95</v>
      </c>
    </row>
    <row r="4485" spans="1:5" ht="29">
      <c r="A4485" s="715">
        <v>39754</v>
      </c>
      <c r="B4485" s="633" t="s">
        <v>38894</v>
      </c>
      <c r="C4485" s="715" t="s">
        <v>165</v>
      </c>
      <c r="D4485" s="715" t="s">
        <v>40839</v>
      </c>
      <c r="E4485" s="716">
        <v>512.6</v>
      </c>
    </row>
    <row r="4486" spans="1:5" ht="29">
      <c r="A4486" s="715">
        <v>39748</v>
      </c>
      <c r="B4486" s="633" t="s">
        <v>38895</v>
      </c>
      <c r="C4486" s="715" t="s">
        <v>165</v>
      </c>
      <c r="D4486" s="715" t="s">
        <v>40839</v>
      </c>
      <c r="E4486" s="716">
        <v>81.77</v>
      </c>
    </row>
    <row r="4487" spans="1:5" ht="29">
      <c r="A4487" s="715">
        <v>39755</v>
      </c>
      <c r="B4487" s="633" t="s">
        <v>38896</v>
      </c>
      <c r="C4487" s="715" t="s">
        <v>165</v>
      </c>
      <c r="D4487" s="715" t="s">
        <v>40839</v>
      </c>
      <c r="E4487" s="716">
        <v>777.22</v>
      </c>
    </row>
    <row r="4488" spans="1:5">
      <c r="A4488" s="715">
        <v>12742</v>
      </c>
      <c r="B4488" s="633" t="s">
        <v>38897</v>
      </c>
      <c r="C4488" s="715" t="s">
        <v>165</v>
      </c>
      <c r="D4488" s="715" t="s">
        <v>40839</v>
      </c>
      <c r="E4488" s="716">
        <v>615.42999999999995</v>
      </c>
    </row>
    <row r="4489" spans="1:5">
      <c r="A4489" s="715">
        <v>12713</v>
      </c>
      <c r="B4489" s="633" t="s">
        <v>38898</v>
      </c>
      <c r="C4489" s="715" t="s">
        <v>165</v>
      </c>
      <c r="D4489" s="715" t="s">
        <v>28018</v>
      </c>
      <c r="E4489" s="716">
        <v>32.64</v>
      </c>
    </row>
    <row r="4490" spans="1:5">
      <c r="A4490" s="715">
        <v>12743</v>
      </c>
      <c r="B4490" s="633" t="s">
        <v>38899</v>
      </c>
      <c r="C4490" s="715" t="s">
        <v>165</v>
      </c>
      <c r="D4490" s="715" t="s">
        <v>40839</v>
      </c>
      <c r="E4490" s="716">
        <v>56.15</v>
      </c>
    </row>
    <row r="4491" spans="1:5">
      <c r="A4491" s="715">
        <v>12744</v>
      </c>
      <c r="B4491" s="633" t="s">
        <v>38900</v>
      </c>
      <c r="C4491" s="715" t="s">
        <v>165</v>
      </c>
      <c r="D4491" s="715" t="s">
        <v>40839</v>
      </c>
      <c r="E4491" s="716">
        <v>71.260000000000005</v>
      </c>
    </row>
    <row r="4492" spans="1:5">
      <c r="A4492" s="715">
        <v>12745</v>
      </c>
      <c r="B4492" s="633" t="s">
        <v>38901</v>
      </c>
      <c r="C4492" s="715" t="s">
        <v>165</v>
      </c>
      <c r="D4492" s="715" t="s">
        <v>40839</v>
      </c>
      <c r="E4492" s="716">
        <v>103.48</v>
      </c>
    </row>
    <row r="4493" spans="1:5">
      <c r="A4493" s="715">
        <v>12746</v>
      </c>
      <c r="B4493" s="633" t="s">
        <v>38902</v>
      </c>
      <c r="C4493" s="715" t="s">
        <v>165</v>
      </c>
      <c r="D4493" s="715" t="s">
        <v>40839</v>
      </c>
      <c r="E4493" s="716">
        <v>139.74</v>
      </c>
    </row>
    <row r="4494" spans="1:5">
      <c r="A4494" s="715">
        <v>12747</v>
      </c>
      <c r="B4494" s="633" t="s">
        <v>38903</v>
      </c>
      <c r="C4494" s="715" t="s">
        <v>165</v>
      </c>
      <c r="D4494" s="715" t="s">
        <v>40839</v>
      </c>
      <c r="E4494" s="716">
        <v>202.66</v>
      </c>
    </row>
    <row r="4495" spans="1:5">
      <c r="A4495" s="715">
        <v>12748</v>
      </c>
      <c r="B4495" s="633" t="s">
        <v>38904</v>
      </c>
      <c r="C4495" s="715" t="s">
        <v>165</v>
      </c>
      <c r="D4495" s="715" t="s">
        <v>40839</v>
      </c>
      <c r="E4495" s="716">
        <v>285.5</v>
      </c>
    </row>
    <row r="4496" spans="1:5">
      <c r="A4496" s="715">
        <v>12749</v>
      </c>
      <c r="B4496" s="633" t="s">
        <v>38905</v>
      </c>
      <c r="C4496" s="715" t="s">
        <v>165</v>
      </c>
      <c r="D4496" s="715" t="s">
        <v>40839</v>
      </c>
      <c r="E4496" s="716">
        <v>417.36</v>
      </c>
    </row>
    <row r="4497" spans="1:5" ht="29">
      <c r="A4497" s="715">
        <v>39660</v>
      </c>
      <c r="B4497" s="633" t="s">
        <v>41081</v>
      </c>
      <c r="C4497" s="715" t="s">
        <v>165</v>
      </c>
      <c r="D4497" s="715" t="s">
        <v>40839</v>
      </c>
      <c r="E4497" s="716">
        <v>43</v>
      </c>
    </row>
    <row r="4498" spans="1:5" ht="29">
      <c r="A4498" s="715">
        <v>39662</v>
      </c>
      <c r="B4498" s="633" t="s">
        <v>41082</v>
      </c>
      <c r="C4498" s="715" t="s">
        <v>165</v>
      </c>
      <c r="D4498" s="715" t="s">
        <v>40839</v>
      </c>
      <c r="E4498" s="716">
        <v>20.61</v>
      </c>
    </row>
    <row r="4499" spans="1:5" ht="29">
      <c r="A4499" s="715">
        <v>39661</v>
      </c>
      <c r="B4499" s="633" t="s">
        <v>41083</v>
      </c>
      <c r="C4499" s="715" t="s">
        <v>165</v>
      </c>
      <c r="D4499" s="715" t="s">
        <v>40839</v>
      </c>
      <c r="E4499" s="716">
        <v>14.05</v>
      </c>
    </row>
    <row r="4500" spans="1:5" ht="29">
      <c r="A4500" s="715">
        <v>39666</v>
      </c>
      <c r="B4500" s="633" t="s">
        <v>41084</v>
      </c>
      <c r="C4500" s="715" t="s">
        <v>165</v>
      </c>
      <c r="D4500" s="715" t="s">
        <v>40839</v>
      </c>
      <c r="E4500" s="716">
        <v>64.69</v>
      </c>
    </row>
    <row r="4501" spans="1:5" ht="29">
      <c r="A4501" s="715">
        <v>39664</v>
      </c>
      <c r="B4501" s="633" t="s">
        <v>41085</v>
      </c>
      <c r="C4501" s="715" t="s">
        <v>165</v>
      </c>
      <c r="D4501" s="715" t="s">
        <v>40839</v>
      </c>
      <c r="E4501" s="716">
        <v>31.7</v>
      </c>
    </row>
    <row r="4502" spans="1:5" ht="29">
      <c r="A4502" s="715">
        <v>39663</v>
      </c>
      <c r="B4502" s="633" t="s">
        <v>41086</v>
      </c>
      <c r="C4502" s="715" t="s">
        <v>165</v>
      </c>
      <c r="D4502" s="715" t="s">
        <v>40839</v>
      </c>
      <c r="E4502" s="716">
        <v>25.35</v>
      </c>
    </row>
    <row r="4503" spans="1:5" ht="29">
      <c r="A4503" s="715">
        <v>39665</v>
      </c>
      <c r="B4503" s="633" t="s">
        <v>41087</v>
      </c>
      <c r="C4503" s="715" t="s">
        <v>165</v>
      </c>
      <c r="D4503" s="715" t="s">
        <v>40839</v>
      </c>
      <c r="E4503" s="716">
        <v>53.49</v>
      </c>
    </row>
    <row r="4504" spans="1:5" ht="29">
      <c r="A4504" s="715">
        <v>7753</v>
      </c>
      <c r="B4504" s="633" t="s">
        <v>38906</v>
      </c>
      <c r="C4504" s="715" t="s">
        <v>165</v>
      </c>
      <c r="D4504" s="715" t="s">
        <v>40839</v>
      </c>
      <c r="E4504" s="716">
        <v>524.42999999999995</v>
      </c>
    </row>
    <row r="4505" spans="1:5" ht="29">
      <c r="A4505" s="715">
        <v>13256</v>
      </c>
      <c r="B4505" s="633" t="s">
        <v>38907</v>
      </c>
      <c r="C4505" s="715" t="s">
        <v>165</v>
      </c>
      <c r="D4505" s="715" t="s">
        <v>40839</v>
      </c>
      <c r="E4505" s="716">
        <v>734.66</v>
      </c>
    </row>
    <row r="4506" spans="1:5" ht="29">
      <c r="A4506" s="715">
        <v>7757</v>
      </c>
      <c r="B4506" s="633" t="s">
        <v>38908</v>
      </c>
      <c r="C4506" s="715" t="s">
        <v>165</v>
      </c>
      <c r="D4506" s="715" t="s">
        <v>40839</v>
      </c>
      <c r="E4506" s="716">
        <v>783.26</v>
      </c>
    </row>
    <row r="4507" spans="1:5" ht="29">
      <c r="A4507" s="715">
        <v>7758</v>
      </c>
      <c r="B4507" s="633" t="s">
        <v>38909</v>
      </c>
      <c r="C4507" s="715" t="s">
        <v>165</v>
      </c>
      <c r="D4507" s="715" t="s">
        <v>40839</v>
      </c>
      <c r="E4507" s="716">
        <v>1134.77</v>
      </c>
    </row>
    <row r="4508" spans="1:5" ht="29">
      <c r="A4508" s="715">
        <v>7759</v>
      </c>
      <c r="B4508" s="633" t="s">
        <v>38910</v>
      </c>
      <c r="C4508" s="715" t="s">
        <v>165</v>
      </c>
      <c r="D4508" s="715" t="s">
        <v>40839</v>
      </c>
      <c r="E4508" s="716">
        <v>3144.45</v>
      </c>
    </row>
    <row r="4509" spans="1:5" ht="29">
      <c r="A4509" s="715">
        <v>40334</v>
      </c>
      <c r="B4509" s="633" t="s">
        <v>38911</v>
      </c>
      <c r="C4509" s="715" t="s">
        <v>165</v>
      </c>
      <c r="D4509" s="715" t="s">
        <v>40839</v>
      </c>
      <c r="E4509" s="716">
        <v>123.19</v>
      </c>
    </row>
    <row r="4510" spans="1:5" ht="29">
      <c r="A4510" s="715">
        <v>7745</v>
      </c>
      <c r="B4510" s="633" t="s">
        <v>38912</v>
      </c>
      <c r="C4510" s="715" t="s">
        <v>165</v>
      </c>
      <c r="D4510" s="715" t="s">
        <v>40839</v>
      </c>
      <c r="E4510" s="716">
        <v>139.02000000000001</v>
      </c>
    </row>
    <row r="4511" spans="1:5" ht="29">
      <c r="A4511" s="715">
        <v>7742</v>
      </c>
      <c r="B4511" s="633" t="s">
        <v>38913</v>
      </c>
      <c r="C4511" s="715" t="s">
        <v>165</v>
      </c>
      <c r="D4511" s="715" t="s">
        <v>40839</v>
      </c>
      <c r="E4511" s="716">
        <v>366.65</v>
      </c>
    </row>
    <row r="4512" spans="1:5" ht="29">
      <c r="A4512" s="715">
        <v>7750</v>
      </c>
      <c r="B4512" s="633" t="s">
        <v>38914</v>
      </c>
      <c r="C4512" s="715" t="s">
        <v>165</v>
      </c>
      <c r="D4512" s="715" t="s">
        <v>40839</v>
      </c>
      <c r="E4512" s="716">
        <v>447.57</v>
      </c>
    </row>
    <row r="4513" spans="1:5" ht="29">
      <c r="A4513" s="715">
        <v>7756</v>
      </c>
      <c r="B4513" s="633" t="s">
        <v>38915</v>
      </c>
      <c r="C4513" s="715" t="s">
        <v>165</v>
      </c>
      <c r="D4513" s="715" t="s">
        <v>40839</v>
      </c>
      <c r="E4513" s="716">
        <v>514.26</v>
      </c>
    </row>
    <row r="4514" spans="1:5" ht="29">
      <c r="A4514" s="715">
        <v>7725</v>
      </c>
      <c r="B4514" s="633" t="s">
        <v>38916</v>
      </c>
      <c r="C4514" s="715" t="s">
        <v>165</v>
      </c>
      <c r="D4514" s="715" t="s">
        <v>28018</v>
      </c>
      <c r="E4514" s="716">
        <v>269</v>
      </c>
    </row>
    <row r="4515" spans="1:5" ht="29">
      <c r="A4515" s="715">
        <v>7765</v>
      </c>
      <c r="B4515" s="633" t="s">
        <v>38917</v>
      </c>
      <c r="C4515" s="715" t="s">
        <v>165</v>
      </c>
      <c r="D4515" s="715" t="s">
        <v>40839</v>
      </c>
      <c r="E4515" s="716">
        <v>576.41999999999996</v>
      </c>
    </row>
    <row r="4516" spans="1:5" ht="29">
      <c r="A4516" s="715">
        <v>12569</v>
      </c>
      <c r="B4516" s="633" t="s">
        <v>38918</v>
      </c>
      <c r="C4516" s="715" t="s">
        <v>165</v>
      </c>
      <c r="D4516" s="715" t="s">
        <v>40839</v>
      </c>
      <c r="E4516" s="716">
        <v>795.69</v>
      </c>
    </row>
    <row r="4517" spans="1:5" ht="29">
      <c r="A4517" s="715">
        <v>7766</v>
      </c>
      <c r="B4517" s="633" t="s">
        <v>38919</v>
      </c>
      <c r="C4517" s="715" t="s">
        <v>165</v>
      </c>
      <c r="D4517" s="715" t="s">
        <v>40839</v>
      </c>
      <c r="E4517" s="716">
        <v>845.42</v>
      </c>
    </row>
    <row r="4518" spans="1:5" ht="29">
      <c r="A4518" s="715">
        <v>7767</v>
      </c>
      <c r="B4518" s="633" t="s">
        <v>38920</v>
      </c>
      <c r="C4518" s="715" t="s">
        <v>165</v>
      </c>
      <c r="D4518" s="715" t="s">
        <v>40839</v>
      </c>
      <c r="E4518" s="716">
        <v>1213.8900000000001</v>
      </c>
    </row>
    <row r="4519" spans="1:5" ht="29">
      <c r="A4519" s="715">
        <v>7727</v>
      </c>
      <c r="B4519" s="633" t="s">
        <v>38921</v>
      </c>
      <c r="C4519" s="715" t="s">
        <v>165</v>
      </c>
      <c r="D4519" s="715" t="s">
        <v>40839</v>
      </c>
      <c r="E4519" s="716">
        <v>3526.38</v>
      </c>
    </row>
    <row r="4520" spans="1:5" ht="29">
      <c r="A4520" s="715">
        <v>7760</v>
      </c>
      <c r="B4520" s="633" t="s">
        <v>38922</v>
      </c>
      <c r="C4520" s="715" t="s">
        <v>165</v>
      </c>
      <c r="D4520" s="715" t="s">
        <v>40839</v>
      </c>
      <c r="E4520" s="716">
        <v>140.15</v>
      </c>
    </row>
    <row r="4521" spans="1:5" ht="29">
      <c r="A4521" s="715">
        <v>7761</v>
      </c>
      <c r="B4521" s="633" t="s">
        <v>38923</v>
      </c>
      <c r="C4521" s="715" t="s">
        <v>165</v>
      </c>
      <c r="D4521" s="715" t="s">
        <v>40839</v>
      </c>
      <c r="E4521" s="716">
        <v>146.93</v>
      </c>
    </row>
    <row r="4522" spans="1:5" ht="29">
      <c r="A4522" s="715">
        <v>7752</v>
      </c>
      <c r="B4522" s="633" t="s">
        <v>38924</v>
      </c>
      <c r="C4522" s="715" t="s">
        <v>165</v>
      </c>
      <c r="D4522" s="715" t="s">
        <v>40839</v>
      </c>
      <c r="E4522" s="716">
        <v>178.57</v>
      </c>
    </row>
    <row r="4523" spans="1:5" ht="29">
      <c r="A4523" s="715">
        <v>7762</v>
      </c>
      <c r="B4523" s="633" t="s">
        <v>38925</v>
      </c>
      <c r="C4523" s="715" t="s">
        <v>165</v>
      </c>
      <c r="D4523" s="715" t="s">
        <v>40839</v>
      </c>
      <c r="E4523" s="716">
        <v>233.39</v>
      </c>
    </row>
    <row r="4524" spans="1:5" ht="29">
      <c r="A4524" s="715">
        <v>7722</v>
      </c>
      <c r="B4524" s="633" t="s">
        <v>38926</v>
      </c>
      <c r="C4524" s="715" t="s">
        <v>165</v>
      </c>
      <c r="D4524" s="715" t="s">
        <v>40839</v>
      </c>
      <c r="E4524" s="716">
        <v>357.15</v>
      </c>
    </row>
    <row r="4525" spans="1:5" ht="29">
      <c r="A4525" s="715">
        <v>7763</v>
      </c>
      <c r="B4525" s="633" t="s">
        <v>38927</v>
      </c>
      <c r="C4525" s="715" t="s">
        <v>165</v>
      </c>
      <c r="D4525" s="715" t="s">
        <v>40839</v>
      </c>
      <c r="E4525" s="716">
        <v>435.14</v>
      </c>
    </row>
    <row r="4526" spans="1:5" ht="29">
      <c r="A4526" s="715">
        <v>7764</v>
      </c>
      <c r="B4526" s="633" t="s">
        <v>38928</v>
      </c>
      <c r="C4526" s="715" t="s">
        <v>165</v>
      </c>
      <c r="D4526" s="715" t="s">
        <v>40839</v>
      </c>
      <c r="E4526" s="716">
        <v>519.91</v>
      </c>
    </row>
    <row r="4527" spans="1:5" ht="29">
      <c r="A4527" s="715">
        <v>12572</v>
      </c>
      <c r="B4527" s="633" t="s">
        <v>38929</v>
      </c>
      <c r="C4527" s="715" t="s">
        <v>165</v>
      </c>
      <c r="D4527" s="715" t="s">
        <v>40839</v>
      </c>
      <c r="E4527" s="716">
        <v>734.66</v>
      </c>
    </row>
    <row r="4528" spans="1:5" ht="29">
      <c r="A4528" s="715">
        <v>12573</v>
      </c>
      <c r="B4528" s="633" t="s">
        <v>38930</v>
      </c>
      <c r="C4528" s="715" t="s">
        <v>165</v>
      </c>
      <c r="D4528" s="715" t="s">
        <v>40839</v>
      </c>
      <c r="E4528" s="716">
        <v>966.36</v>
      </c>
    </row>
    <row r="4529" spans="1:5" ht="29">
      <c r="A4529" s="715">
        <v>12574</v>
      </c>
      <c r="B4529" s="633" t="s">
        <v>38931</v>
      </c>
      <c r="C4529" s="715" t="s">
        <v>165</v>
      </c>
      <c r="D4529" s="715" t="s">
        <v>40839</v>
      </c>
      <c r="E4529" s="716">
        <v>1168.45</v>
      </c>
    </row>
    <row r="4530" spans="1:5" ht="29">
      <c r="A4530" s="715">
        <v>12575</v>
      </c>
      <c r="B4530" s="633" t="s">
        <v>38932</v>
      </c>
      <c r="C4530" s="715" t="s">
        <v>165</v>
      </c>
      <c r="D4530" s="715" t="s">
        <v>40839</v>
      </c>
      <c r="E4530" s="716">
        <v>1774.49</v>
      </c>
    </row>
    <row r="4531" spans="1:5" ht="29">
      <c r="A4531" s="715">
        <v>12576</v>
      </c>
      <c r="B4531" s="633" t="s">
        <v>38933</v>
      </c>
      <c r="C4531" s="715" t="s">
        <v>165</v>
      </c>
      <c r="D4531" s="715" t="s">
        <v>40839</v>
      </c>
      <c r="E4531" s="716">
        <v>214.74</v>
      </c>
    </row>
    <row r="4532" spans="1:5" ht="29">
      <c r="A4532" s="715">
        <v>12577</v>
      </c>
      <c r="B4532" s="633" t="s">
        <v>38934</v>
      </c>
      <c r="C4532" s="715" t="s">
        <v>165</v>
      </c>
      <c r="D4532" s="715" t="s">
        <v>40839</v>
      </c>
      <c r="E4532" s="716">
        <v>289.33999999999997</v>
      </c>
    </row>
    <row r="4533" spans="1:5" ht="29">
      <c r="A4533" s="715">
        <v>12578</v>
      </c>
      <c r="B4533" s="633" t="s">
        <v>38935</v>
      </c>
      <c r="C4533" s="715" t="s">
        <v>165</v>
      </c>
      <c r="D4533" s="715" t="s">
        <v>40839</v>
      </c>
      <c r="E4533" s="716">
        <v>350.37</v>
      </c>
    </row>
    <row r="4534" spans="1:5" ht="29">
      <c r="A4534" s="715">
        <v>12579</v>
      </c>
      <c r="B4534" s="633" t="s">
        <v>38936</v>
      </c>
      <c r="C4534" s="715" t="s">
        <v>165</v>
      </c>
      <c r="D4534" s="715" t="s">
        <v>40839</v>
      </c>
      <c r="E4534" s="716">
        <v>603.54999999999995</v>
      </c>
    </row>
    <row r="4535" spans="1:5" ht="29">
      <c r="A4535" s="715">
        <v>12580</v>
      </c>
      <c r="B4535" s="633" t="s">
        <v>38937</v>
      </c>
      <c r="C4535" s="715" t="s">
        <v>165</v>
      </c>
      <c r="D4535" s="715" t="s">
        <v>40839</v>
      </c>
      <c r="E4535" s="716">
        <v>628.87</v>
      </c>
    </row>
    <row r="4536" spans="1:5" ht="29">
      <c r="A4536" s="715">
        <v>12581</v>
      </c>
      <c r="B4536" s="633" t="s">
        <v>38938</v>
      </c>
      <c r="C4536" s="715" t="s">
        <v>165</v>
      </c>
      <c r="D4536" s="715" t="s">
        <v>40839</v>
      </c>
      <c r="E4536" s="716">
        <v>673.63</v>
      </c>
    </row>
    <row r="4537" spans="1:5" ht="29">
      <c r="A4537" s="715">
        <v>7720</v>
      </c>
      <c r="B4537" s="633" t="s">
        <v>38939</v>
      </c>
      <c r="C4537" s="715" t="s">
        <v>165</v>
      </c>
      <c r="D4537" s="715" t="s">
        <v>40839</v>
      </c>
      <c r="E4537" s="716">
        <v>1053.3900000000001</v>
      </c>
    </row>
    <row r="4538" spans="1:5" ht="29">
      <c r="A4538" s="715">
        <v>40335</v>
      </c>
      <c r="B4538" s="633" t="s">
        <v>38940</v>
      </c>
      <c r="C4538" s="715" t="s">
        <v>165</v>
      </c>
      <c r="D4538" s="715" t="s">
        <v>40839</v>
      </c>
      <c r="E4538" s="716">
        <v>220.39</v>
      </c>
    </row>
    <row r="4539" spans="1:5" ht="29">
      <c r="A4539" s="715">
        <v>7740</v>
      </c>
      <c r="B4539" s="633" t="s">
        <v>38941</v>
      </c>
      <c r="C4539" s="715" t="s">
        <v>165</v>
      </c>
      <c r="D4539" s="715" t="s">
        <v>40839</v>
      </c>
      <c r="E4539" s="716">
        <v>226.05</v>
      </c>
    </row>
    <row r="4540" spans="1:5" ht="29">
      <c r="A4540" s="715">
        <v>7741</v>
      </c>
      <c r="B4540" s="633" t="s">
        <v>38942</v>
      </c>
      <c r="C4540" s="715" t="s">
        <v>165</v>
      </c>
      <c r="D4540" s="715" t="s">
        <v>40839</v>
      </c>
      <c r="E4540" s="716">
        <v>418.19</v>
      </c>
    </row>
    <row r="4541" spans="1:5" ht="29">
      <c r="A4541" s="715">
        <v>7774</v>
      </c>
      <c r="B4541" s="633" t="s">
        <v>38943</v>
      </c>
      <c r="C4541" s="715" t="s">
        <v>165</v>
      </c>
      <c r="D4541" s="715" t="s">
        <v>40839</v>
      </c>
      <c r="E4541" s="716">
        <v>513.13</v>
      </c>
    </row>
    <row r="4542" spans="1:5" ht="29">
      <c r="A4542" s="715">
        <v>7744</v>
      </c>
      <c r="B4542" s="633" t="s">
        <v>38944</v>
      </c>
      <c r="C4542" s="715" t="s">
        <v>165</v>
      </c>
      <c r="D4542" s="715" t="s">
        <v>40839</v>
      </c>
      <c r="E4542" s="716">
        <v>670.23</v>
      </c>
    </row>
    <row r="4543" spans="1:5" ht="29">
      <c r="A4543" s="715">
        <v>7773</v>
      </c>
      <c r="B4543" s="633" t="s">
        <v>38945</v>
      </c>
      <c r="C4543" s="715" t="s">
        <v>165</v>
      </c>
      <c r="D4543" s="715" t="s">
        <v>40839</v>
      </c>
      <c r="E4543" s="716">
        <v>685.04</v>
      </c>
    </row>
    <row r="4544" spans="1:5" ht="29">
      <c r="A4544" s="715">
        <v>7754</v>
      </c>
      <c r="B4544" s="633" t="s">
        <v>38946</v>
      </c>
      <c r="C4544" s="715" t="s">
        <v>165</v>
      </c>
      <c r="D4544" s="715" t="s">
        <v>40839</v>
      </c>
      <c r="E4544" s="716">
        <v>1038.7</v>
      </c>
    </row>
    <row r="4545" spans="1:5" ht="29">
      <c r="A4545" s="715">
        <v>7735</v>
      </c>
      <c r="B4545" s="633" t="s">
        <v>38947</v>
      </c>
      <c r="C4545" s="715" t="s">
        <v>165</v>
      </c>
      <c r="D4545" s="715" t="s">
        <v>40839</v>
      </c>
      <c r="E4545" s="716">
        <v>1345</v>
      </c>
    </row>
    <row r="4546" spans="1:5" ht="29">
      <c r="A4546" s="715">
        <v>7755</v>
      </c>
      <c r="B4546" s="633" t="s">
        <v>38948</v>
      </c>
      <c r="C4546" s="715" t="s">
        <v>165</v>
      </c>
      <c r="D4546" s="715" t="s">
        <v>40839</v>
      </c>
      <c r="E4546" s="716">
        <v>266.73</v>
      </c>
    </row>
    <row r="4547" spans="1:5" ht="29">
      <c r="A4547" s="715">
        <v>7776</v>
      </c>
      <c r="B4547" s="633" t="s">
        <v>38949</v>
      </c>
      <c r="C4547" s="715" t="s">
        <v>165</v>
      </c>
      <c r="D4547" s="715" t="s">
        <v>40839</v>
      </c>
      <c r="E4547" s="716">
        <v>556.08000000000004</v>
      </c>
    </row>
    <row r="4548" spans="1:5" ht="29">
      <c r="A4548" s="715">
        <v>7743</v>
      </c>
      <c r="B4548" s="633" t="s">
        <v>38950</v>
      </c>
      <c r="C4548" s="715" t="s">
        <v>165</v>
      </c>
      <c r="D4548" s="715" t="s">
        <v>40839</v>
      </c>
      <c r="E4548" s="716">
        <v>588.86</v>
      </c>
    </row>
    <row r="4549" spans="1:5" ht="29">
      <c r="A4549" s="715">
        <v>7733</v>
      </c>
      <c r="B4549" s="633" t="s">
        <v>38951</v>
      </c>
      <c r="C4549" s="715" t="s">
        <v>165</v>
      </c>
      <c r="D4549" s="715" t="s">
        <v>40839</v>
      </c>
      <c r="E4549" s="716">
        <v>768.57</v>
      </c>
    </row>
    <row r="4550" spans="1:5" ht="29">
      <c r="A4550" s="715">
        <v>7775</v>
      </c>
      <c r="B4550" s="633" t="s">
        <v>38952</v>
      </c>
      <c r="C4550" s="715" t="s">
        <v>165</v>
      </c>
      <c r="D4550" s="715" t="s">
        <v>40839</v>
      </c>
      <c r="E4550" s="716">
        <v>842.03</v>
      </c>
    </row>
    <row r="4551" spans="1:5" ht="29">
      <c r="A4551" s="715">
        <v>7734</v>
      </c>
      <c r="B4551" s="633" t="s">
        <v>38953</v>
      </c>
      <c r="C4551" s="715" t="s">
        <v>165</v>
      </c>
      <c r="D4551" s="715" t="s">
        <v>40839</v>
      </c>
      <c r="E4551" s="716">
        <v>1192.4100000000001</v>
      </c>
    </row>
    <row r="4552" spans="1:5" ht="29">
      <c r="A4552" s="715">
        <v>7714</v>
      </c>
      <c r="B4552" s="633" t="s">
        <v>38954</v>
      </c>
      <c r="C4552" s="715" t="s">
        <v>165</v>
      </c>
      <c r="D4552" s="715" t="s">
        <v>40839</v>
      </c>
      <c r="E4552" s="716">
        <v>166.14</v>
      </c>
    </row>
    <row r="4553" spans="1:5" ht="29">
      <c r="A4553" s="715">
        <v>37449</v>
      </c>
      <c r="B4553" s="633" t="s">
        <v>38955</v>
      </c>
      <c r="C4553" s="715" t="s">
        <v>165</v>
      </c>
      <c r="D4553" s="715" t="s">
        <v>40839</v>
      </c>
      <c r="E4553" s="716">
        <v>42.89</v>
      </c>
    </row>
    <row r="4554" spans="1:5" ht="29">
      <c r="A4554" s="715">
        <v>37450</v>
      </c>
      <c r="B4554" s="633" t="s">
        <v>38956</v>
      </c>
      <c r="C4554" s="715" t="s">
        <v>165</v>
      </c>
      <c r="D4554" s="715" t="s">
        <v>40839</v>
      </c>
      <c r="E4554" s="716">
        <v>60.05</v>
      </c>
    </row>
    <row r="4555" spans="1:5" ht="29">
      <c r="A4555" s="715">
        <v>37451</v>
      </c>
      <c r="B4555" s="633" t="s">
        <v>38957</v>
      </c>
      <c r="C4555" s="715" t="s">
        <v>165</v>
      </c>
      <c r="D4555" s="715" t="s">
        <v>40839</v>
      </c>
      <c r="E4555" s="716">
        <v>83.83</v>
      </c>
    </row>
    <row r="4556" spans="1:5" ht="29">
      <c r="A4556" s="715">
        <v>37452</v>
      </c>
      <c r="B4556" s="633" t="s">
        <v>38958</v>
      </c>
      <c r="C4556" s="715" t="s">
        <v>165</v>
      </c>
      <c r="D4556" s="715" t="s">
        <v>40839</v>
      </c>
      <c r="E4556" s="716">
        <v>121.85</v>
      </c>
    </row>
    <row r="4557" spans="1:5" ht="29">
      <c r="A4557" s="715">
        <v>37453</v>
      </c>
      <c r="B4557" s="633" t="s">
        <v>38959</v>
      </c>
      <c r="C4557" s="715" t="s">
        <v>165</v>
      </c>
      <c r="D4557" s="715" t="s">
        <v>40839</v>
      </c>
      <c r="E4557" s="716">
        <v>140.33000000000001</v>
      </c>
    </row>
    <row r="4558" spans="1:5" ht="29">
      <c r="A4558" s="715">
        <v>7778</v>
      </c>
      <c r="B4558" s="633" t="s">
        <v>38960</v>
      </c>
      <c r="C4558" s="715" t="s">
        <v>165</v>
      </c>
      <c r="D4558" s="715" t="s">
        <v>40839</v>
      </c>
      <c r="E4558" s="716">
        <v>52.64</v>
      </c>
    </row>
    <row r="4559" spans="1:5" ht="29">
      <c r="A4559" s="715">
        <v>7796</v>
      </c>
      <c r="B4559" s="633" t="s">
        <v>38961</v>
      </c>
      <c r="C4559" s="715" t="s">
        <v>165</v>
      </c>
      <c r="D4559" s="715" t="s">
        <v>28018</v>
      </c>
      <c r="E4559" s="716">
        <v>72.14</v>
      </c>
    </row>
    <row r="4560" spans="1:5" ht="29">
      <c r="A4560" s="715">
        <v>7781</v>
      </c>
      <c r="B4560" s="633" t="s">
        <v>38962</v>
      </c>
      <c r="C4560" s="715" t="s">
        <v>165</v>
      </c>
      <c r="D4560" s="715" t="s">
        <v>40839</v>
      </c>
      <c r="E4560" s="716">
        <v>85.25</v>
      </c>
    </row>
    <row r="4561" spans="1:5" ht="29">
      <c r="A4561" s="715">
        <v>7795</v>
      </c>
      <c r="B4561" s="633" t="s">
        <v>38963</v>
      </c>
      <c r="C4561" s="715" t="s">
        <v>165</v>
      </c>
      <c r="D4561" s="715" t="s">
        <v>40839</v>
      </c>
      <c r="E4561" s="716">
        <v>126.87</v>
      </c>
    </row>
    <row r="4562" spans="1:5" ht="29">
      <c r="A4562" s="715">
        <v>7791</v>
      </c>
      <c r="B4562" s="633" t="s">
        <v>38964</v>
      </c>
      <c r="C4562" s="715" t="s">
        <v>165</v>
      </c>
      <c r="D4562" s="715" t="s">
        <v>40839</v>
      </c>
      <c r="E4562" s="716">
        <v>151.88</v>
      </c>
    </row>
    <row r="4563" spans="1:5" ht="29">
      <c r="A4563" s="715">
        <v>7783</v>
      </c>
      <c r="B4563" s="633" t="s">
        <v>38965</v>
      </c>
      <c r="C4563" s="715" t="s">
        <v>165</v>
      </c>
      <c r="D4563" s="715" t="s">
        <v>40839</v>
      </c>
      <c r="E4563" s="716">
        <v>53.82</v>
      </c>
    </row>
    <row r="4564" spans="1:5" ht="29">
      <c r="A4564" s="715">
        <v>7790</v>
      </c>
      <c r="B4564" s="633" t="s">
        <v>38966</v>
      </c>
      <c r="C4564" s="715" t="s">
        <v>165</v>
      </c>
      <c r="D4564" s="715" t="s">
        <v>40839</v>
      </c>
      <c r="E4564" s="716">
        <v>84.81</v>
      </c>
    </row>
    <row r="4565" spans="1:5" ht="29">
      <c r="A4565" s="715">
        <v>7785</v>
      </c>
      <c r="B4565" s="633" t="s">
        <v>38967</v>
      </c>
      <c r="C4565" s="715" t="s">
        <v>165</v>
      </c>
      <c r="D4565" s="715" t="s">
        <v>40839</v>
      </c>
      <c r="E4565" s="716">
        <v>93.58</v>
      </c>
    </row>
    <row r="4566" spans="1:5" ht="29">
      <c r="A4566" s="715">
        <v>7792</v>
      </c>
      <c r="B4566" s="633" t="s">
        <v>38968</v>
      </c>
      <c r="C4566" s="715" t="s">
        <v>165</v>
      </c>
      <c r="D4566" s="715" t="s">
        <v>40839</v>
      </c>
      <c r="E4566" s="716">
        <v>132.72</v>
      </c>
    </row>
    <row r="4567" spans="1:5" ht="29">
      <c r="A4567" s="715">
        <v>7793</v>
      </c>
      <c r="B4567" s="633" t="s">
        <v>38969</v>
      </c>
      <c r="C4567" s="715" t="s">
        <v>165</v>
      </c>
      <c r="D4567" s="715" t="s">
        <v>40839</v>
      </c>
      <c r="E4567" s="716">
        <v>156.75</v>
      </c>
    </row>
    <row r="4568" spans="1:5" ht="29">
      <c r="A4568" s="715">
        <v>13159</v>
      </c>
      <c r="B4568" s="633" t="s">
        <v>38970</v>
      </c>
      <c r="C4568" s="715" t="s">
        <v>165</v>
      </c>
      <c r="D4568" s="715" t="s">
        <v>40839</v>
      </c>
      <c r="E4568" s="716">
        <v>136.47999999999999</v>
      </c>
    </row>
    <row r="4569" spans="1:5" ht="29">
      <c r="A4569" s="715">
        <v>13168</v>
      </c>
      <c r="B4569" s="633" t="s">
        <v>38971</v>
      </c>
      <c r="C4569" s="715" t="s">
        <v>165</v>
      </c>
      <c r="D4569" s="715" t="s">
        <v>40839</v>
      </c>
      <c r="E4569" s="716">
        <v>165.72</v>
      </c>
    </row>
    <row r="4570" spans="1:5" ht="29">
      <c r="A4570" s="715">
        <v>13173</v>
      </c>
      <c r="B4570" s="633" t="s">
        <v>38972</v>
      </c>
      <c r="C4570" s="715" t="s">
        <v>165</v>
      </c>
      <c r="D4570" s="715" t="s">
        <v>40839</v>
      </c>
      <c r="E4570" s="716">
        <v>224.21</v>
      </c>
    </row>
    <row r="4571" spans="1:5" ht="29">
      <c r="A4571" s="715">
        <v>12583</v>
      </c>
      <c r="B4571" s="633" t="s">
        <v>38973</v>
      </c>
      <c r="C4571" s="715" t="s">
        <v>165</v>
      </c>
      <c r="D4571" s="715" t="s">
        <v>40839</v>
      </c>
      <c r="E4571" s="716">
        <v>44.84</v>
      </c>
    </row>
    <row r="4572" spans="1:5" ht="29">
      <c r="A4572" s="715">
        <v>12584</v>
      </c>
      <c r="B4572" s="633" t="s">
        <v>38974</v>
      </c>
      <c r="C4572" s="715" t="s">
        <v>165</v>
      </c>
      <c r="D4572" s="715" t="s">
        <v>40839</v>
      </c>
      <c r="E4572" s="716">
        <v>58.49</v>
      </c>
    </row>
    <row r="4573" spans="1:5" ht="29">
      <c r="A4573" s="715">
        <v>12613</v>
      </c>
      <c r="B4573" s="633" t="s">
        <v>38975</v>
      </c>
      <c r="C4573" s="715" t="s">
        <v>103</v>
      </c>
      <c r="D4573" s="715" t="s">
        <v>40839</v>
      </c>
      <c r="E4573" s="716">
        <v>21.3</v>
      </c>
    </row>
    <row r="4574" spans="1:5" ht="29">
      <c r="A4574" s="715">
        <v>1031</v>
      </c>
      <c r="B4574" s="633" t="s">
        <v>38976</v>
      </c>
      <c r="C4574" s="715" t="s">
        <v>103</v>
      </c>
      <c r="D4574" s="715" t="s">
        <v>40839</v>
      </c>
      <c r="E4574" s="716">
        <v>15.15</v>
      </c>
    </row>
    <row r="4575" spans="1:5" ht="29">
      <c r="A4575" s="715">
        <v>39707</v>
      </c>
      <c r="B4575" s="633" t="s">
        <v>38977</v>
      </c>
      <c r="C4575" s="715" t="s">
        <v>165</v>
      </c>
      <c r="D4575" s="715" t="s">
        <v>40839</v>
      </c>
      <c r="E4575" s="716">
        <v>4.43</v>
      </c>
    </row>
    <row r="4576" spans="1:5" ht="29">
      <c r="A4576" s="715">
        <v>39708</v>
      </c>
      <c r="B4576" s="633" t="s">
        <v>38978</v>
      </c>
      <c r="C4576" s="715" t="s">
        <v>165</v>
      </c>
      <c r="D4576" s="715" t="s">
        <v>40839</v>
      </c>
      <c r="E4576" s="716">
        <v>4.29</v>
      </c>
    </row>
    <row r="4577" spans="1:5" ht="29">
      <c r="A4577" s="715">
        <v>39710</v>
      </c>
      <c r="B4577" s="633" t="s">
        <v>38979</v>
      </c>
      <c r="C4577" s="715" t="s">
        <v>165</v>
      </c>
      <c r="D4577" s="715" t="s">
        <v>40839</v>
      </c>
      <c r="E4577" s="716">
        <v>3.02</v>
      </c>
    </row>
    <row r="4578" spans="1:5" ht="29">
      <c r="A4578" s="715">
        <v>39709</v>
      </c>
      <c r="B4578" s="633" t="s">
        <v>38980</v>
      </c>
      <c r="C4578" s="715" t="s">
        <v>165</v>
      </c>
      <c r="D4578" s="715" t="s">
        <v>40839</v>
      </c>
      <c r="E4578" s="716">
        <v>4.1900000000000004</v>
      </c>
    </row>
    <row r="4579" spans="1:5" ht="29">
      <c r="A4579" s="715">
        <v>39711</v>
      </c>
      <c r="B4579" s="633" t="s">
        <v>38981</v>
      </c>
      <c r="C4579" s="715" t="s">
        <v>165</v>
      </c>
      <c r="D4579" s="715" t="s">
        <v>40839</v>
      </c>
      <c r="E4579" s="716">
        <v>4.7</v>
      </c>
    </row>
    <row r="4580" spans="1:5" ht="29">
      <c r="A4580" s="715">
        <v>39714</v>
      </c>
      <c r="B4580" s="633" t="s">
        <v>38982</v>
      </c>
      <c r="C4580" s="715" t="s">
        <v>165</v>
      </c>
      <c r="D4580" s="715" t="s">
        <v>40839</v>
      </c>
      <c r="E4580" s="716">
        <v>2.99</v>
      </c>
    </row>
    <row r="4581" spans="1:5" ht="29">
      <c r="A4581" s="715">
        <v>39712</v>
      </c>
      <c r="B4581" s="633" t="s">
        <v>38983</v>
      </c>
      <c r="C4581" s="715" t="s">
        <v>165</v>
      </c>
      <c r="D4581" s="715" t="s">
        <v>28018</v>
      </c>
      <c r="E4581" s="716">
        <v>1.65</v>
      </c>
    </row>
    <row r="4582" spans="1:5" ht="29">
      <c r="A4582" s="715">
        <v>39713</v>
      </c>
      <c r="B4582" s="633" t="s">
        <v>38984</v>
      </c>
      <c r="C4582" s="715" t="s">
        <v>165</v>
      </c>
      <c r="D4582" s="715" t="s">
        <v>40839</v>
      </c>
      <c r="E4582" s="716">
        <v>1.3</v>
      </c>
    </row>
    <row r="4583" spans="1:5" ht="29">
      <c r="A4583" s="715">
        <v>39715</v>
      </c>
      <c r="B4583" s="633" t="s">
        <v>38985</v>
      </c>
      <c r="C4583" s="715" t="s">
        <v>165</v>
      </c>
      <c r="D4583" s="715" t="s">
        <v>40839</v>
      </c>
      <c r="E4583" s="716">
        <v>2.13</v>
      </c>
    </row>
    <row r="4584" spans="1:5" ht="29">
      <c r="A4584" s="715">
        <v>39716</v>
      </c>
      <c r="B4584" s="633" t="s">
        <v>38986</v>
      </c>
      <c r="C4584" s="715" t="s">
        <v>165</v>
      </c>
      <c r="D4584" s="715" t="s">
        <v>40839</v>
      </c>
      <c r="E4584" s="716">
        <v>1.61</v>
      </c>
    </row>
    <row r="4585" spans="1:5" ht="29">
      <c r="A4585" s="715">
        <v>39718</v>
      </c>
      <c r="B4585" s="633" t="s">
        <v>38987</v>
      </c>
      <c r="C4585" s="715" t="s">
        <v>165</v>
      </c>
      <c r="D4585" s="715" t="s">
        <v>40839</v>
      </c>
      <c r="E4585" s="716">
        <v>2.75</v>
      </c>
    </row>
    <row r="4586" spans="1:5" ht="29">
      <c r="A4586" s="715">
        <v>9813</v>
      </c>
      <c r="B4586" s="633" t="s">
        <v>38988</v>
      </c>
      <c r="C4586" s="715" t="s">
        <v>165</v>
      </c>
      <c r="D4586" s="715" t="s">
        <v>28018</v>
      </c>
      <c r="E4586" s="716">
        <v>5.59</v>
      </c>
    </row>
    <row r="4587" spans="1:5" ht="29">
      <c r="A4587" s="715">
        <v>9815</v>
      </c>
      <c r="B4587" s="633" t="s">
        <v>38989</v>
      </c>
      <c r="C4587" s="715" t="s">
        <v>165</v>
      </c>
      <c r="D4587" s="715" t="s">
        <v>40839</v>
      </c>
      <c r="E4587" s="716">
        <v>11.04</v>
      </c>
    </row>
    <row r="4588" spans="1:5" ht="29">
      <c r="A4588" s="715">
        <v>44543</v>
      </c>
      <c r="B4588" s="633" t="s">
        <v>38990</v>
      </c>
      <c r="C4588" s="715" t="s">
        <v>165</v>
      </c>
      <c r="D4588" s="715" t="s">
        <v>40839</v>
      </c>
      <c r="E4588" s="716">
        <v>5493.1</v>
      </c>
    </row>
    <row r="4589" spans="1:5" ht="29">
      <c r="A4589" s="715">
        <v>44526</v>
      </c>
      <c r="B4589" s="633" t="s">
        <v>38991</v>
      </c>
      <c r="C4589" s="715" t="s">
        <v>165</v>
      </c>
      <c r="D4589" s="715" t="s">
        <v>40839</v>
      </c>
      <c r="E4589" s="716">
        <v>134.63</v>
      </c>
    </row>
    <row r="4590" spans="1:5" ht="29">
      <c r="A4590" s="715">
        <v>44545</v>
      </c>
      <c r="B4590" s="633" t="s">
        <v>38992</v>
      </c>
      <c r="C4590" s="715" t="s">
        <v>165</v>
      </c>
      <c r="D4590" s="715" t="s">
        <v>40839</v>
      </c>
      <c r="E4590" s="716">
        <v>288.98</v>
      </c>
    </row>
    <row r="4591" spans="1:5" ht="29">
      <c r="A4591" s="715">
        <v>44525</v>
      </c>
      <c r="B4591" s="633" t="s">
        <v>38993</v>
      </c>
      <c r="C4591" s="715" t="s">
        <v>165</v>
      </c>
      <c r="D4591" s="715" t="s">
        <v>40839</v>
      </c>
      <c r="E4591" s="716">
        <v>4982.21</v>
      </c>
    </row>
    <row r="4592" spans="1:5" ht="29">
      <c r="A4592" s="715">
        <v>44547</v>
      </c>
      <c r="B4592" s="633" t="s">
        <v>38994</v>
      </c>
      <c r="C4592" s="715" t="s">
        <v>165</v>
      </c>
      <c r="D4592" s="715" t="s">
        <v>40839</v>
      </c>
      <c r="E4592" s="716">
        <v>450.48</v>
      </c>
    </row>
    <row r="4593" spans="1:5" ht="29">
      <c r="A4593" s="715">
        <v>44519</v>
      </c>
      <c r="B4593" s="633" t="s">
        <v>38995</v>
      </c>
      <c r="C4593" s="715" t="s">
        <v>165</v>
      </c>
      <c r="D4593" s="715" t="s">
        <v>40839</v>
      </c>
      <c r="E4593" s="716">
        <v>1103.81</v>
      </c>
    </row>
    <row r="4594" spans="1:5" ht="29">
      <c r="A4594" s="715">
        <v>44520</v>
      </c>
      <c r="B4594" s="633" t="s">
        <v>38996</v>
      </c>
      <c r="C4594" s="715" t="s">
        <v>165</v>
      </c>
      <c r="D4594" s="715" t="s">
        <v>40839</v>
      </c>
      <c r="E4594" s="716">
        <v>1777.83</v>
      </c>
    </row>
    <row r="4595" spans="1:5" ht="29">
      <c r="A4595" s="715">
        <v>44521</v>
      </c>
      <c r="B4595" s="633" t="s">
        <v>41088</v>
      </c>
      <c r="C4595" s="715" t="s">
        <v>165</v>
      </c>
      <c r="D4595" s="715" t="s">
        <v>40839</v>
      </c>
      <c r="E4595" s="716">
        <v>28.68</v>
      </c>
    </row>
    <row r="4596" spans="1:5" ht="29">
      <c r="A4596" s="715">
        <v>44522</v>
      </c>
      <c r="B4596" s="633" t="s">
        <v>38997</v>
      </c>
      <c r="C4596" s="715" t="s">
        <v>165</v>
      </c>
      <c r="D4596" s="715" t="s">
        <v>40839</v>
      </c>
      <c r="E4596" s="716">
        <v>3121.22</v>
      </c>
    </row>
    <row r="4597" spans="1:5" ht="29">
      <c r="A4597" s="715">
        <v>44523</v>
      </c>
      <c r="B4597" s="633" t="s">
        <v>38998</v>
      </c>
      <c r="C4597" s="715" t="s">
        <v>165</v>
      </c>
      <c r="D4597" s="715" t="s">
        <v>40839</v>
      </c>
      <c r="E4597" s="716">
        <v>4642.13</v>
      </c>
    </row>
    <row r="4598" spans="1:5" ht="29">
      <c r="A4598" s="715">
        <v>44527</v>
      </c>
      <c r="B4598" s="633" t="s">
        <v>38999</v>
      </c>
      <c r="C4598" s="715" t="s">
        <v>165</v>
      </c>
      <c r="D4598" s="715" t="s">
        <v>40839</v>
      </c>
      <c r="E4598" s="716">
        <v>2327.91</v>
      </c>
    </row>
    <row r="4599" spans="1:5" ht="29">
      <c r="A4599" s="715">
        <v>44524</v>
      </c>
      <c r="B4599" s="633" t="s">
        <v>39000</v>
      </c>
      <c r="C4599" s="715" t="s">
        <v>165</v>
      </c>
      <c r="D4599" s="715" t="s">
        <v>40839</v>
      </c>
      <c r="E4599" s="716">
        <v>64.14</v>
      </c>
    </row>
    <row r="4600" spans="1:5" ht="29">
      <c r="A4600" s="715">
        <v>44542</v>
      </c>
      <c r="B4600" s="633" t="s">
        <v>39001</v>
      </c>
      <c r="C4600" s="715" t="s">
        <v>165</v>
      </c>
      <c r="D4600" s="715" t="s">
        <v>40839</v>
      </c>
      <c r="E4600" s="716">
        <v>3037.14</v>
      </c>
    </row>
    <row r="4601" spans="1:5">
      <c r="A4601" s="715">
        <v>9877</v>
      </c>
      <c r="B4601" s="633" t="s">
        <v>39002</v>
      </c>
      <c r="C4601" s="715" t="s">
        <v>165</v>
      </c>
      <c r="D4601" s="715" t="s">
        <v>40839</v>
      </c>
      <c r="E4601" s="716">
        <v>148.69</v>
      </c>
    </row>
    <row r="4602" spans="1:5">
      <c r="A4602" s="715">
        <v>9878</v>
      </c>
      <c r="B4602" s="633" t="s">
        <v>39003</v>
      </c>
      <c r="C4602" s="715" t="s">
        <v>165</v>
      </c>
      <c r="D4602" s="715" t="s">
        <v>40839</v>
      </c>
      <c r="E4602" s="716">
        <v>183.05</v>
      </c>
    </row>
    <row r="4603" spans="1:5" ht="29">
      <c r="A4603" s="715">
        <v>41986</v>
      </c>
      <c r="B4603" s="633" t="s">
        <v>39004</v>
      </c>
      <c r="C4603" s="715" t="s">
        <v>165</v>
      </c>
      <c r="D4603" s="715" t="s">
        <v>40839</v>
      </c>
      <c r="E4603" s="716">
        <v>3506.83</v>
      </c>
    </row>
    <row r="4604" spans="1:5" ht="29">
      <c r="A4604" s="715">
        <v>43422</v>
      </c>
      <c r="B4604" s="633" t="s">
        <v>39005</v>
      </c>
      <c r="C4604" s="715" t="s">
        <v>165</v>
      </c>
      <c r="D4604" s="715" t="s">
        <v>40839</v>
      </c>
      <c r="E4604" s="716">
        <v>4300.79</v>
      </c>
    </row>
    <row r="4605" spans="1:5" ht="29">
      <c r="A4605" s="715">
        <v>41987</v>
      </c>
      <c r="B4605" s="633" t="s">
        <v>39006</v>
      </c>
      <c r="C4605" s="715" t="s">
        <v>165</v>
      </c>
      <c r="D4605" s="715" t="s">
        <v>40839</v>
      </c>
      <c r="E4605" s="716">
        <v>4984.97</v>
      </c>
    </row>
    <row r="4606" spans="1:5" ht="29">
      <c r="A4606" s="715">
        <v>41988</v>
      </c>
      <c r="B4606" s="633" t="s">
        <v>39007</v>
      </c>
      <c r="C4606" s="715" t="s">
        <v>165</v>
      </c>
      <c r="D4606" s="715" t="s">
        <v>40839</v>
      </c>
      <c r="E4606" s="716">
        <v>6584.43</v>
      </c>
    </row>
    <row r="4607" spans="1:5" ht="29">
      <c r="A4607" s="715">
        <v>41697</v>
      </c>
      <c r="B4607" s="633" t="s">
        <v>39008</v>
      </c>
      <c r="C4607" s="715" t="s">
        <v>165</v>
      </c>
      <c r="D4607" s="715" t="s">
        <v>40839</v>
      </c>
      <c r="E4607" s="716">
        <v>1167.07</v>
      </c>
    </row>
    <row r="4608" spans="1:5" ht="29">
      <c r="A4608" s="715">
        <v>41985</v>
      </c>
      <c r="B4608" s="633" t="s">
        <v>39009</v>
      </c>
      <c r="C4608" s="715" t="s">
        <v>165</v>
      </c>
      <c r="D4608" s="715" t="s">
        <v>40839</v>
      </c>
      <c r="E4608" s="716">
        <v>1625.42</v>
      </c>
    </row>
    <row r="4609" spans="1:5" ht="29">
      <c r="A4609" s="715">
        <v>41699</v>
      </c>
      <c r="B4609" s="633" t="s">
        <v>39010</v>
      </c>
      <c r="C4609" s="715" t="s">
        <v>165</v>
      </c>
      <c r="D4609" s="715" t="s">
        <v>40839</v>
      </c>
      <c r="E4609" s="716">
        <v>2314.5100000000002</v>
      </c>
    </row>
    <row r="4610" spans="1:5" ht="43">
      <c r="A4610" s="715">
        <v>38053</v>
      </c>
      <c r="B4610" s="633" t="s">
        <v>39011</v>
      </c>
      <c r="C4610" s="715" t="s">
        <v>165</v>
      </c>
      <c r="D4610" s="715" t="s">
        <v>40839</v>
      </c>
      <c r="E4610" s="716">
        <v>23.9</v>
      </c>
    </row>
    <row r="4611" spans="1:5" ht="43">
      <c r="A4611" s="715">
        <v>38054</v>
      </c>
      <c r="B4611" s="633" t="s">
        <v>39012</v>
      </c>
      <c r="C4611" s="715" t="s">
        <v>165</v>
      </c>
      <c r="D4611" s="715" t="s">
        <v>40839</v>
      </c>
      <c r="E4611" s="716">
        <v>41.08</v>
      </c>
    </row>
    <row r="4612" spans="1:5" ht="43">
      <c r="A4612" s="715">
        <v>38052</v>
      </c>
      <c r="B4612" s="633" t="s">
        <v>39013</v>
      </c>
      <c r="C4612" s="715" t="s">
        <v>165</v>
      </c>
      <c r="D4612" s="715" t="s">
        <v>28018</v>
      </c>
      <c r="E4612" s="716">
        <v>11.57</v>
      </c>
    </row>
    <row r="4613" spans="1:5" ht="43">
      <c r="A4613" s="715">
        <v>38051</v>
      </c>
      <c r="B4613" s="633" t="s">
        <v>39014</v>
      </c>
      <c r="C4613" s="715" t="s">
        <v>165</v>
      </c>
      <c r="D4613" s="715" t="s">
        <v>40839</v>
      </c>
      <c r="E4613" s="716">
        <v>7.21</v>
      </c>
    </row>
    <row r="4614" spans="1:5">
      <c r="A4614" s="715">
        <v>38787</v>
      </c>
      <c r="B4614" s="633" t="s">
        <v>39015</v>
      </c>
      <c r="C4614" s="715" t="s">
        <v>165</v>
      </c>
      <c r="D4614" s="715" t="s">
        <v>28018</v>
      </c>
      <c r="E4614" s="716">
        <v>5.2</v>
      </c>
    </row>
    <row r="4615" spans="1:5">
      <c r="A4615" s="715">
        <v>38825</v>
      </c>
      <c r="B4615" s="633" t="s">
        <v>39016</v>
      </c>
      <c r="C4615" s="715" t="s">
        <v>165</v>
      </c>
      <c r="D4615" s="715" t="s">
        <v>40839</v>
      </c>
      <c r="E4615" s="716">
        <v>6.72</v>
      </c>
    </row>
    <row r="4616" spans="1:5">
      <c r="A4616" s="715">
        <v>38826</v>
      </c>
      <c r="B4616" s="633" t="s">
        <v>39017</v>
      </c>
      <c r="C4616" s="715" t="s">
        <v>165</v>
      </c>
      <c r="D4616" s="715" t="s">
        <v>40839</v>
      </c>
      <c r="E4616" s="716">
        <v>9.56</v>
      </c>
    </row>
    <row r="4617" spans="1:5">
      <c r="A4617" s="715">
        <v>38827</v>
      </c>
      <c r="B4617" s="633" t="s">
        <v>39018</v>
      </c>
      <c r="C4617" s="715" t="s">
        <v>165</v>
      </c>
      <c r="D4617" s="715" t="s">
        <v>40839</v>
      </c>
      <c r="E4617" s="716">
        <v>15.63</v>
      </c>
    </row>
    <row r="4618" spans="1:5">
      <c r="A4618" s="715">
        <v>38828</v>
      </c>
      <c r="B4618" s="633" t="s">
        <v>39019</v>
      </c>
      <c r="C4618" s="715" t="s">
        <v>165</v>
      </c>
      <c r="D4618" s="715" t="s">
        <v>40839</v>
      </c>
      <c r="E4618" s="716">
        <v>10.01</v>
      </c>
    </row>
    <row r="4619" spans="1:5">
      <c r="A4619" s="715">
        <v>38829</v>
      </c>
      <c r="B4619" s="633" t="s">
        <v>39020</v>
      </c>
      <c r="C4619" s="715" t="s">
        <v>165</v>
      </c>
      <c r="D4619" s="715" t="s">
        <v>40839</v>
      </c>
      <c r="E4619" s="716">
        <v>16.399999999999999</v>
      </c>
    </row>
    <row r="4620" spans="1:5">
      <c r="A4620" s="715">
        <v>38830</v>
      </c>
      <c r="B4620" s="633" t="s">
        <v>39021</v>
      </c>
      <c r="C4620" s="715" t="s">
        <v>165</v>
      </c>
      <c r="D4620" s="715" t="s">
        <v>40839</v>
      </c>
      <c r="E4620" s="716">
        <v>22.71</v>
      </c>
    </row>
    <row r="4621" spans="1:5">
      <c r="A4621" s="715">
        <v>38831</v>
      </c>
      <c r="B4621" s="633" t="s">
        <v>39022</v>
      </c>
      <c r="C4621" s="715" t="s">
        <v>165</v>
      </c>
      <c r="D4621" s="715" t="s">
        <v>40839</v>
      </c>
      <c r="E4621" s="716">
        <v>31.67</v>
      </c>
    </row>
    <row r="4622" spans="1:5">
      <c r="A4622" s="715">
        <v>36274</v>
      </c>
      <c r="B4622" s="633" t="s">
        <v>39023</v>
      </c>
      <c r="C4622" s="715" t="s">
        <v>165</v>
      </c>
      <c r="D4622" s="715" t="s">
        <v>28018</v>
      </c>
      <c r="E4622" s="716">
        <v>10.9</v>
      </c>
    </row>
    <row r="4623" spans="1:5">
      <c r="A4623" s="715">
        <v>36278</v>
      </c>
      <c r="B4623" s="633" t="s">
        <v>39024</v>
      </c>
      <c r="C4623" s="715" t="s">
        <v>165</v>
      </c>
      <c r="D4623" s="715" t="s">
        <v>40839</v>
      </c>
      <c r="E4623" s="716">
        <v>14.78</v>
      </c>
    </row>
    <row r="4624" spans="1:5">
      <c r="A4624" s="715">
        <v>38977</v>
      </c>
      <c r="B4624" s="633" t="s">
        <v>39025</v>
      </c>
      <c r="C4624" s="715" t="s">
        <v>165</v>
      </c>
      <c r="D4624" s="715" t="s">
        <v>40839</v>
      </c>
      <c r="E4624" s="716">
        <v>144.6</v>
      </c>
    </row>
    <row r="4625" spans="1:5">
      <c r="A4625" s="715">
        <v>38971</v>
      </c>
      <c r="B4625" s="633" t="s">
        <v>39026</v>
      </c>
      <c r="C4625" s="715" t="s">
        <v>165</v>
      </c>
      <c r="D4625" s="715" t="s">
        <v>40839</v>
      </c>
      <c r="E4625" s="716">
        <v>12.13</v>
      </c>
    </row>
    <row r="4626" spans="1:5">
      <c r="A4626" s="715">
        <v>38972</v>
      </c>
      <c r="B4626" s="633" t="s">
        <v>39027</v>
      </c>
      <c r="C4626" s="715" t="s">
        <v>165</v>
      </c>
      <c r="D4626" s="715" t="s">
        <v>40839</v>
      </c>
      <c r="E4626" s="716">
        <v>16.36</v>
      </c>
    </row>
    <row r="4627" spans="1:5">
      <c r="A4627" s="715">
        <v>38973</v>
      </c>
      <c r="B4627" s="633" t="s">
        <v>39028</v>
      </c>
      <c r="C4627" s="715" t="s">
        <v>165</v>
      </c>
      <c r="D4627" s="715" t="s">
        <v>40839</v>
      </c>
      <c r="E4627" s="716">
        <v>27.04</v>
      </c>
    </row>
    <row r="4628" spans="1:5">
      <c r="A4628" s="715">
        <v>38974</v>
      </c>
      <c r="B4628" s="633" t="s">
        <v>39029</v>
      </c>
      <c r="C4628" s="715" t="s">
        <v>165</v>
      </c>
      <c r="D4628" s="715" t="s">
        <v>40839</v>
      </c>
      <c r="E4628" s="716">
        <v>43.9</v>
      </c>
    </row>
    <row r="4629" spans="1:5">
      <c r="A4629" s="715">
        <v>38975</v>
      </c>
      <c r="B4629" s="633" t="s">
        <v>39030</v>
      </c>
      <c r="C4629" s="715" t="s">
        <v>165</v>
      </c>
      <c r="D4629" s="715" t="s">
        <v>40839</v>
      </c>
      <c r="E4629" s="716">
        <v>56.3</v>
      </c>
    </row>
    <row r="4630" spans="1:5">
      <c r="A4630" s="715">
        <v>38976</v>
      </c>
      <c r="B4630" s="633" t="s">
        <v>39031</v>
      </c>
      <c r="C4630" s="715" t="s">
        <v>165</v>
      </c>
      <c r="D4630" s="715" t="s">
        <v>40839</v>
      </c>
      <c r="E4630" s="716">
        <v>96.78</v>
      </c>
    </row>
    <row r="4631" spans="1:5">
      <c r="A4631" s="715">
        <v>44176</v>
      </c>
      <c r="B4631" s="633" t="s">
        <v>39032</v>
      </c>
      <c r="C4631" s="715" t="s">
        <v>165</v>
      </c>
      <c r="D4631" s="715" t="s">
        <v>40839</v>
      </c>
      <c r="E4631" s="716">
        <v>22.24</v>
      </c>
    </row>
    <row r="4632" spans="1:5">
      <c r="A4632" s="715">
        <v>38986</v>
      </c>
      <c r="B4632" s="633" t="s">
        <v>39033</v>
      </c>
      <c r="C4632" s="715" t="s">
        <v>165</v>
      </c>
      <c r="D4632" s="715" t="s">
        <v>40839</v>
      </c>
      <c r="E4632" s="716">
        <v>292.14999999999998</v>
      </c>
    </row>
    <row r="4633" spans="1:5">
      <c r="A4633" s="715">
        <v>38978</v>
      </c>
      <c r="B4633" s="633" t="s">
        <v>39034</v>
      </c>
      <c r="C4633" s="715" t="s">
        <v>165</v>
      </c>
      <c r="D4633" s="715" t="s">
        <v>40839</v>
      </c>
      <c r="E4633" s="716">
        <v>11.98</v>
      </c>
    </row>
    <row r="4634" spans="1:5">
      <c r="A4634" s="715">
        <v>38979</v>
      </c>
      <c r="B4634" s="633" t="s">
        <v>39035</v>
      </c>
      <c r="C4634" s="715" t="s">
        <v>165</v>
      </c>
      <c r="D4634" s="715" t="s">
        <v>40839</v>
      </c>
      <c r="E4634" s="716">
        <v>16.57</v>
      </c>
    </row>
    <row r="4635" spans="1:5">
      <c r="A4635" s="715">
        <v>38980</v>
      </c>
      <c r="B4635" s="633" t="s">
        <v>39036</v>
      </c>
      <c r="C4635" s="715" t="s">
        <v>165</v>
      </c>
      <c r="D4635" s="715" t="s">
        <v>40839</v>
      </c>
      <c r="E4635" s="716">
        <v>22.17</v>
      </c>
    </row>
    <row r="4636" spans="1:5">
      <c r="A4636" s="715">
        <v>38981</v>
      </c>
      <c r="B4636" s="633" t="s">
        <v>39037</v>
      </c>
      <c r="C4636" s="715" t="s">
        <v>165</v>
      </c>
      <c r="D4636" s="715" t="s">
        <v>40839</v>
      </c>
      <c r="E4636" s="716">
        <v>32</v>
      </c>
    </row>
    <row r="4637" spans="1:5">
      <c r="A4637" s="715">
        <v>38982</v>
      </c>
      <c r="B4637" s="633" t="s">
        <v>39038</v>
      </c>
      <c r="C4637" s="715" t="s">
        <v>165</v>
      </c>
      <c r="D4637" s="715" t="s">
        <v>40839</v>
      </c>
      <c r="E4637" s="716">
        <v>50.56</v>
      </c>
    </row>
    <row r="4638" spans="1:5">
      <c r="A4638" s="715">
        <v>38983</v>
      </c>
      <c r="B4638" s="633" t="s">
        <v>39039</v>
      </c>
      <c r="C4638" s="715" t="s">
        <v>165</v>
      </c>
      <c r="D4638" s="715" t="s">
        <v>40839</v>
      </c>
      <c r="E4638" s="716">
        <v>88.96</v>
      </c>
    </row>
    <row r="4639" spans="1:5">
      <c r="A4639" s="715">
        <v>38984</v>
      </c>
      <c r="B4639" s="633" t="s">
        <v>39040</v>
      </c>
      <c r="C4639" s="715" t="s">
        <v>165</v>
      </c>
      <c r="D4639" s="715" t="s">
        <v>40839</v>
      </c>
      <c r="E4639" s="716">
        <v>122.29</v>
      </c>
    </row>
    <row r="4640" spans="1:5">
      <c r="A4640" s="715">
        <v>38985</v>
      </c>
      <c r="B4640" s="633" t="s">
        <v>39041</v>
      </c>
      <c r="C4640" s="715" t="s">
        <v>165</v>
      </c>
      <c r="D4640" s="715" t="s">
        <v>40839</v>
      </c>
      <c r="E4640" s="716">
        <v>210.24</v>
      </c>
    </row>
    <row r="4641" spans="1:5" ht="29">
      <c r="A4641" s="715">
        <v>38032</v>
      </c>
      <c r="B4641" s="633" t="s">
        <v>39042</v>
      </c>
      <c r="C4641" s="715" t="s">
        <v>165</v>
      </c>
      <c r="D4641" s="715" t="s">
        <v>40839</v>
      </c>
      <c r="E4641" s="716">
        <v>70.81</v>
      </c>
    </row>
    <row r="4642" spans="1:5" ht="29">
      <c r="A4642" s="715">
        <v>38033</v>
      </c>
      <c r="B4642" s="633" t="s">
        <v>39043</v>
      </c>
      <c r="C4642" s="715" t="s">
        <v>165</v>
      </c>
      <c r="D4642" s="715" t="s">
        <v>40839</v>
      </c>
      <c r="E4642" s="716">
        <v>120.37</v>
      </c>
    </row>
    <row r="4643" spans="1:5" ht="29">
      <c r="A4643" s="715">
        <v>38034</v>
      </c>
      <c r="B4643" s="633" t="s">
        <v>39044</v>
      </c>
      <c r="C4643" s="715" t="s">
        <v>165</v>
      </c>
      <c r="D4643" s="715" t="s">
        <v>40839</v>
      </c>
      <c r="E4643" s="716">
        <v>188.55</v>
      </c>
    </row>
    <row r="4644" spans="1:5" ht="29">
      <c r="A4644" s="715">
        <v>38035</v>
      </c>
      <c r="B4644" s="633" t="s">
        <v>39045</v>
      </c>
      <c r="C4644" s="715" t="s">
        <v>165</v>
      </c>
      <c r="D4644" s="715" t="s">
        <v>40839</v>
      </c>
      <c r="E4644" s="716">
        <v>277.39</v>
      </c>
    </row>
    <row r="4645" spans="1:5" ht="29">
      <c r="A4645" s="715">
        <v>38036</v>
      </c>
      <c r="B4645" s="633" t="s">
        <v>39046</v>
      </c>
      <c r="C4645" s="715" t="s">
        <v>165</v>
      </c>
      <c r="D4645" s="715" t="s">
        <v>40839</v>
      </c>
      <c r="E4645" s="716">
        <v>373.68</v>
      </c>
    </row>
    <row r="4646" spans="1:5" ht="29">
      <c r="A4646" s="715">
        <v>38037</v>
      </c>
      <c r="B4646" s="633" t="s">
        <v>39047</v>
      </c>
      <c r="C4646" s="715" t="s">
        <v>165</v>
      </c>
      <c r="D4646" s="715" t="s">
        <v>40839</v>
      </c>
      <c r="E4646" s="716">
        <v>493.58</v>
      </c>
    </row>
    <row r="4647" spans="1:5" ht="29">
      <c r="A4647" s="715">
        <v>9850</v>
      </c>
      <c r="B4647" s="633" t="s">
        <v>39048</v>
      </c>
      <c r="C4647" s="715" t="s">
        <v>165</v>
      </c>
      <c r="D4647" s="715" t="s">
        <v>28018</v>
      </c>
      <c r="E4647" s="716">
        <v>147.75</v>
      </c>
    </row>
    <row r="4648" spans="1:5" ht="29">
      <c r="A4648" s="715">
        <v>9853</v>
      </c>
      <c r="B4648" s="633" t="s">
        <v>39049</v>
      </c>
      <c r="C4648" s="715" t="s">
        <v>165</v>
      </c>
      <c r="D4648" s="715" t="s">
        <v>40839</v>
      </c>
      <c r="E4648" s="716">
        <v>262.74</v>
      </c>
    </row>
    <row r="4649" spans="1:5" ht="29">
      <c r="A4649" s="715">
        <v>9854</v>
      </c>
      <c r="B4649" s="633" t="s">
        <v>39050</v>
      </c>
      <c r="C4649" s="715" t="s">
        <v>165</v>
      </c>
      <c r="D4649" s="715" t="s">
        <v>40839</v>
      </c>
      <c r="E4649" s="716">
        <v>115.12</v>
      </c>
    </row>
    <row r="4650" spans="1:5" ht="29">
      <c r="A4650" s="715">
        <v>9851</v>
      </c>
      <c r="B4650" s="633" t="s">
        <v>39051</v>
      </c>
      <c r="C4650" s="715" t="s">
        <v>165</v>
      </c>
      <c r="D4650" s="715" t="s">
        <v>40839</v>
      </c>
      <c r="E4650" s="716">
        <v>199.62</v>
      </c>
    </row>
    <row r="4651" spans="1:5">
      <c r="A4651" s="715">
        <v>9825</v>
      </c>
      <c r="B4651" s="633" t="s">
        <v>39052</v>
      </c>
      <c r="C4651" s="715" t="s">
        <v>165</v>
      </c>
      <c r="D4651" s="715" t="s">
        <v>40839</v>
      </c>
      <c r="E4651" s="716">
        <v>57.74</v>
      </c>
    </row>
    <row r="4652" spans="1:5">
      <c r="A4652" s="715">
        <v>9828</v>
      </c>
      <c r="B4652" s="633" t="s">
        <v>39053</v>
      </c>
      <c r="C4652" s="715" t="s">
        <v>165</v>
      </c>
      <c r="D4652" s="715" t="s">
        <v>40839</v>
      </c>
      <c r="E4652" s="716">
        <v>155.38</v>
      </c>
    </row>
    <row r="4653" spans="1:5">
      <c r="A4653" s="715">
        <v>9829</v>
      </c>
      <c r="B4653" s="633" t="s">
        <v>39054</v>
      </c>
      <c r="C4653" s="715" t="s">
        <v>165</v>
      </c>
      <c r="D4653" s="715" t="s">
        <v>40839</v>
      </c>
      <c r="E4653" s="716">
        <v>263.32</v>
      </c>
    </row>
    <row r="4654" spans="1:5">
      <c r="A4654" s="715">
        <v>9826</v>
      </c>
      <c r="B4654" s="633" t="s">
        <v>39055</v>
      </c>
      <c r="C4654" s="715" t="s">
        <v>165</v>
      </c>
      <c r="D4654" s="715" t="s">
        <v>40839</v>
      </c>
      <c r="E4654" s="716">
        <v>400.87</v>
      </c>
    </row>
    <row r="4655" spans="1:5">
      <c r="A4655" s="715">
        <v>9827</v>
      </c>
      <c r="B4655" s="633" t="s">
        <v>39056</v>
      </c>
      <c r="C4655" s="715" t="s">
        <v>165</v>
      </c>
      <c r="D4655" s="715" t="s">
        <v>40839</v>
      </c>
      <c r="E4655" s="716">
        <v>569.24</v>
      </c>
    </row>
    <row r="4656" spans="1:5">
      <c r="A4656" s="715">
        <v>36374</v>
      </c>
      <c r="B4656" s="633" t="s">
        <v>39057</v>
      </c>
      <c r="C4656" s="715" t="s">
        <v>165</v>
      </c>
      <c r="D4656" s="715" t="s">
        <v>40839</v>
      </c>
      <c r="E4656" s="716">
        <v>69.2</v>
      </c>
    </row>
    <row r="4657" spans="1:5">
      <c r="A4657" s="715">
        <v>36084</v>
      </c>
      <c r="B4657" s="633" t="s">
        <v>39058</v>
      </c>
      <c r="C4657" s="715" t="s">
        <v>165</v>
      </c>
      <c r="D4657" s="715" t="s">
        <v>28018</v>
      </c>
      <c r="E4657" s="716">
        <v>20.5</v>
      </c>
    </row>
    <row r="4658" spans="1:5">
      <c r="A4658" s="715">
        <v>36373</v>
      </c>
      <c r="B4658" s="633" t="s">
        <v>39059</v>
      </c>
      <c r="C4658" s="715" t="s">
        <v>165</v>
      </c>
      <c r="D4658" s="715" t="s">
        <v>40839</v>
      </c>
      <c r="E4658" s="716">
        <v>42.57</v>
      </c>
    </row>
    <row r="4659" spans="1:5">
      <c r="A4659" s="715">
        <v>36377</v>
      </c>
      <c r="B4659" s="633" t="s">
        <v>39060</v>
      </c>
      <c r="C4659" s="715" t="s">
        <v>165</v>
      </c>
      <c r="D4659" s="715" t="s">
        <v>40839</v>
      </c>
      <c r="E4659" s="716">
        <v>83.01</v>
      </c>
    </row>
    <row r="4660" spans="1:5">
      <c r="A4660" s="715">
        <v>36375</v>
      </c>
      <c r="B4660" s="633" t="s">
        <v>39061</v>
      </c>
      <c r="C4660" s="715" t="s">
        <v>165</v>
      </c>
      <c r="D4660" s="715" t="s">
        <v>40839</v>
      </c>
      <c r="E4660" s="716">
        <v>25.3</v>
      </c>
    </row>
    <row r="4661" spans="1:5">
      <c r="A4661" s="715">
        <v>36376</v>
      </c>
      <c r="B4661" s="633" t="s">
        <v>39062</v>
      </c>
      <c r="C4661" s="715" t="s">
        <v>165</v>
      </c>
      <c r="D4661" s="715" t="s">
        <v>40839</v>
      </c>
      <c r="E4661" s="716">
        <v>49.68</v>
      </c>
    </row>
    <row r="4662" spans="1:5">
      <c r="A4662" s="715">
        <v>36380</v>
      </c>
      <c r="B4662" s="633" t="s">
        <v>39063</v>
      </c>
      <c r="C4662" s="715" t="s">
        <v>165</v>
      </c>
      <c r="D4662" s="715" t="s">
        <v>40839</v>
      </c>
      <c r="E4662" s="716">
        <v>103.79</v>
      </c>
    </row>
    <row r="4663" spans="1:5">
      <c r="A4663" s="715">
        <v>36378</v>
      </c>
      <c r="B4663" s="633" t="s">
        <v>39064</v>
      </c>
      <c r="C4663" s="715" t="s">
        <v>165</v>
      </c>
      <c r="D4663" s="715" t="s">
        <v>40839</v>
      </c>
      <c r="E4663" s="716">
        <v>31.1</v>
      </c>
    </row>
    <row r="4664" spans="1:5">
      <c r="A4664" s="715">
        <v>36379</v>
      </c>
      <c r="B4664" s="633" t="s">
        <v>39065</v>
      </c>
      <c r="C4664" s="715" t="s">
        <v>165</v>
      </c>
      <c r="D4664" s="715" t="s">
        <v>40839</v>
      </c>
      <c r="E4664" s="716">
        <v>62.69</v>
      </c>
    </row>
    <row r="4665" spans="1:5">
      <c r="A4665" s="715">
        <v>9859</v>
      </c>
      <c r="B4665" s="633" t="s">
        <v>39066</v>
      </c>
      <c r="C4665" s="715" t="s">
        <v>165</v>
      </c>
      <c r="D4665" s="715" t="s">
        <v>40839</v>
      </c>
      <c r="E4665" s="716">
        <v>11.92</v>
      </c>
    </row>
    <row r="4666" spans="1:5">
      <c r="A4666" s="715">
        <v>9836</v>
      </c>
      <c r="B4666" s="633" t="s">
        <v>39067</v>
      </c>
      <c r="C4666" s="715" t="s">
        <v>165</v>
      </c>
      <c r="D4666" s="715" t="s">
        <v>28018</v>
      </c>
      <c r="E4666" s="716">
        <v>17.920000000000002</v>
      </c>
    </row>
    <row r="4667" spans="1:5">
      <c r="A4667" s="715">
        <v>20065</v>
      </c>
      <c r="B4667" s="633" t="s">
        <v>39068</v>
      </c>
      <c r="C4667" s="715" t="s">
        <v>165</v>
      </c>
      <c r="D4667" s="715" t="s">
        <v>40839</v>
      </c>
      <c r="E4667" s="716">
        <v>46.84</v>
      </c>
    </row>
    <row r="4668" spans="1:5">
      <c r="A4668" s="715">
        <v>9835</v>
      </c>
      <c r="B4668" s="633" t="s">
        <v>39069</v>
      </c>
      <c r="C4668" s="715" t="s">
        <v>165</v>
      </c>
      <c r="D4668" s="715" t="s">
        <v>40839</v>
      </c>
      <c r="E4668" s="716">
        <v>7.83</v>
      </c>
    </row>
    <row r="4669" spans="1:5">
      <c r="A4669" s="715">
        <v>9838</v>
      </c>
      <c r="B4669" s="633" t="s">
        <v>39070</v>
      </c>
      <c r="C4669" s="715" t="s">
        <v>165</v>
      </c>
      <c r="D4669" s="715" t="s">
        <v>40839</v>
      </c>
      <c r="E4669" s="716">
        <v>12.93</v>
      </c>
    </row>
    <row r="4670" spans="1:5">
      <c r="A4670" s="715">
        <v>9837</v>
      </c>
      <c r="B4670" s="633" t="s">
        <v>39071</v>
      </c>
      <c r="C4670" s="715" t="s">
        <v>165</v>
      </c>
      <c r="D4670" s="715" t="s">
        <v>40839</v>
      </c>
      <c r="E4670" s="716">
        <v>16.96</v>
      </c>
    </row>
    <row r="4671" spans="1:5" ht="29">
      <c r="A4671" s="715">
        <v>44315</v>
      </c>
      <c r="B4671" s="633" t="s">
        <v>39072</v>
      </c>
      <c r="C4671" s="715" t="s">
        <v>165</v>
      </c>
      <c r="D4671" s="715" t="s">
        <v>40839</v>
      </c>
      <c r="E4671" s="716">
        <v>70.16</v>
      </c>
    </row>
    <row r="4672" spans="1:5">
      <c r="A4672" s="715">
        <v>9862</v>
      </c>
      <c r="B4672" s="633" t="s">
        <v>39073</v>
      </c>
      <c r="C4672" s="715" t="s">
        <v>165</v>
      </c>
      <c r="D4672" s="715" t="s">
        <v>40839</v>
      </c>
      <c r="E4672" s="716">
        <v>36.74</v>
      </c>
    </row>
    <row r="4673" spans="1:5">
      <c r="A4673" s="715">
        <v>9861</v>
      </c>
      <c r="B4673" s="633" t="s">
        <v>39074</v>
      </c>
      <c r="C4673" s="715" t="s">
        <v>165</v>
      </c>
      <c r="D4673" s="715" t="s">
        <v>40839</v>
      </c>
      <c r="E4673" s="716">
        <v>28.86</v>
      </c>
    </row>
    <row r="4674" spans="1:5">
      <c r="A4674" s="715">
        <v>9866</v>
      </c>
      <c r="B4674" s="633" t="s">
        <v>39075</v>
      </c>
      <c r="C4674" s="715" t="s">
        <v>165</v>
      </c>
      <c r="D4674" s="715" t="s">
        <v>40839</v>
      </c>
      <c r="E4674" s="716">
        <v>24.9</v>
      </c>
    </row>
    <row r="4675" spans="1:5">
      <c r="A4675" s="715">
        <v>9856</v>
      </c>
      <c r="B4675" s="633" t="s">
        <v>39076</v>
      </c>
      <c r="C4675" s="715" t="s">
        <v>165</v>
      </c>
      <c r="D4675" s="715" t="s">
        <v>40839</v>
      </c>
      <c r="E4675" s="716">
        <v>9.31</v>
      </c>
    </row>
    <row r="4676" spans="1:5">
      <c r="A4676" s="715">
        <v>9863</v>
      </c>
      <c r="B4676" s="633" t="s">
        <v>39077</v>
      </c>
      <c r="C4676" s="715" t="s">
        <v>165</v>
      </c>
      <c r="D4676" s="715" t="s">
        <v>40839</v>
      </c>
      <c r="E4676" s="716">
        <v>72.040000000000006</v>
      </c>
    </row>
    <row r="4677" spans="1:5">
      <c r="A4677" s="715">
        <v>9860</v>
      </c>
      <c r="B4677" s="633" t="s">
        <v>39078</v>
      </c>
      <c r="C4677" s="715" t="s">
        <v>165</v>
      </c>
      <c r="D4677" s="715" t="s">
        <v>40839</v>
      </c>
      <c r="E4677" s="716">
        <v>52.58</v>
      </c>
    </row>
    <row r="4678" spans="1:5" ht="29">
      <c r="A4678" s="715">
        <v>9841</v>
      </c>
      <c r="B4678" s="633" t="s">
        <v>39079</v>
      </c>
      <c r="C4678" s="715" t="s">
        <v>165</v>
      </c>
      <c r="D4678" s="715" t="s">
        <v>40839</v>
      </c>
      <c r="E4678" s="716">
        <v>33.74</v>
      </c>
    </row>
    <row r="4679" spans="1:5" ht="29">
      <c r="A4679" s="715">
        <v>9840</v>
      </c>
      <c r="B4679" s="633" t="s">
        <v>39080</v>
      </c>
      <c r="C4679" s="715" t="s">
        <v>165</v>
      </c>
      <c r="D4679" s="715" t="s">
        <v>40839</v>
      </c>
      <c r="E4679" s="716">
        <v>71.28</v>
      </c>
    </row>
    <row r="4680" spans="1:5">
      <c r="A4680" s="715">
        <v>20067</v>
      </c>
      <c r="B4680" s="633" t="s">
        <v>39081</v>
      </c>
      <c r="C4680" s="715" t="s">
        <v>165</v>
      </c>
      <c r="D4680" s="715" t="s">
        <v>40839</v>
      </c>
      <c r="E4680" s="716">
        <v>10.94</v>
      </c>
    </row>
    <row r="4681" spans="1:5">
      <c r="A4681" s="715">
        <v>20068</v>
      </c>
      <c r="B4681" s="633" t="s">
        <v>39082</v>
      </c>
      <c r="C4681" s="715" t="s">
        <v>165</v>
      </c>
      <c r="D4681" s="715" t="s">
        <v>40839</v>
      </c>
      <c r="E4681" s="716">
        <v>15.41</v>
      </c>
    </row>
    <row r="4682" spans="1:5">
      <c r="A4682" s="715">
        <v>9839</v>
      </c>
      <c r="B4682" s="633" t="s">
        <v>39083</v>
      </c>
      <c r="C4682" s="715" t="s">
        <v>165</v>
      </c>
      <c r="D4682" s="715" t="s">
        <v>40839</v>
      </c>
      <c r="E4682" s="716">
        <v>27.95</v>
      </c>
    </row>
    <row r="4683" spans="1:5">
      <c r="A4683" s="715">
        <v>9870</v>
      </c>
      <c r="B4683" s="633" t="s">
        <v>39084</v>
      </c>
      <c r="C4683" s="715" t="s">
        <v>165</v>
      </c>
      <c r="D4683" s="715" t="s">
        <v>40839</v>
      </c>
      <c r="E4683" s="716">
        <v>107.43</v>
      </c>
    </row>
    <row r="4684" spans="1:5">
      <c r="A4684" s="715">
        <v>9867</v>
      </c>
      <c r="B4684" s="633" t="s">
        <v>39085</v>
      </c>
      <c r="C4684" s="715" t="s">
        <v>165</v>
      </c>
      <c r="D4684" s="715" t="s">
        <v>40839</v>
      </c>
      <c r="E4684" s="716">
        <v>4.32</v>
      </c>
    </row>
    <row r="4685" spans="1:5">
      <c r="A4685" s="715">
        <v>9868</v>
      </c>
      <c r="B4685" s="633" t="s">
        <v>39086</v>
      </c>
      <c r="C4685" s="715" t="s">
        <v>165</v>
      </c>
      <c r="D4685" s="715" t="s">
        <v>28018</v>
      </c>
      <c r="E4685" s="716">
        <v>4.87</v>
      </c>
    </row>
    <row r="4686" spans="1:5">
      <c r="A4686" s="715">
        <v>9869</v>
      </c>
      <c r="B4686" s="633" t="s">
        <v>39087</v>
      </c>
      <c r="C4686" s="715" t="s">
        <v>165</v>
      </c>
      <c r="D4686" s="715" t="s">
        <v>40839</v>
      </c>
      <c r="E4686" s="716">
        <v>10.51</v>
      </c>
    </row>
    <row r="4687" spans="1:5">
      <c r="A4687" s="715">
        <v>9874</v>
      </c>
      <c r="B4687" s="633" t="s">
        <v>39088</v>
      </c>
      <c r="C4687" s="715" t="s">
        <v>165</v>
      </c>
      <c r="D4687" s="715" t="s">
        <v>40839</v>
      </c>
      <c r="E4687" s="716">
        <v>16.5</v>
      </c>
    </row>
    <row r="4688" spans="1:5">
      <c r="A4688" s="715">
        <v>9875</v>
      </c>
      <c r="B4688" s="633" t="s">
        <v>39089</v>
      </c>
      <c r="C4688" s="715" t="s">
        <v>165</v>
      </c>
      <c r="D4688" s="715" t="s">
        <v>40839</v>
      </c>
      <c r="E4688" s="716">
        <v>18.100000000000001</v>
      </c>
    </row>
    <row r="4689" spans="1:5">
      <c r="A4689" s="715">
        <v>9873</v>
      </c>
      <c r="B4689" s="633" t="s">
        <v>39090</v>
      </c>
      <c r="C4689" s="715" t="s">
        <v>165</v>
      </c>
      <c r="D4689" s="715" t="s">
        <v>40839</v>
      </c>
      <c r="E4689" s="716">
        <v>29.78</v>
      </c>
    </row>
    <row r="4690" spans="1:5">
      <c r="A4690" s="715">
        <v>9871</v>
      </c>
      <c r="B4690" s="633" t="s">
        <v>39091</v>
      </c>
      <c r="C4690" s="715" t="s">
        <v>165</v>
      </c>
      <c r="D4690" s="715" t="s">
        <v>40839</v>
      </c>
      <c r="E4690" s="716">
        <v>49.35</v>
      </c>
    </row>
    <row r="4691" spans="1:5">
      <c r="A4691" s="715">
        <v>9872</v>
      </c>
      <c r="B4691" s="633" t="s">
        <v>39092</v>
      </c>
      <c r="C4691" s="715" t="s">
        <v>165</v>
      </c>
      <c r="D4691" s="715" t="s">
        <v>40839</v>
      </c>
      <c r="E4691" s="716">
        <v>68.650000000000006</v>
      </c>
    </row>
    <row r="4692" spans="1:5">
      <c r="A4692" s="715">
        <v>12425</v>
      </c>
      <c r="B4692" s="633" t="s">
        <v>39093</v>
      </c>
      <c r="C4692" s="715" t="s">
        <v>103</v>
      </c>
      <c r="D4692" s="715" t="s">
        <v>40839</v>
      </c>
      <c r="E4692" s="716">
        <v>65.040000000000006</v>
      </c>
    </row>
    <row r="4693" spans="1:5">
      <c r="A4693" s="715">
        <v>12426</v>
      </c>
      <c r="B4693" s="633" t="s">
        <v>39094</v>
      </c>
      <c r="C4693" s="715" t="s">
        <v>103</v>
      </c>
      <c r="D4693" s="715" t="s">
        <v>40839</v>
      </c>
      <c r="E4693" s="716">
        <v>47.34</v>
      </c>
    </row>
    <row r="4694" spans="1:5">
      <c r="A4694" s="715">
        <v>12427</v>
      </c>
      <c r="B4694" s="633" t="s">
        <v>39095</v>
      </c>
      <c r="C4694" s="715" t="s">
        <v>103</v>
      </c>
      <c r="D4694" s="715" t="s">
        <v>40839</v>
      </c>
      <c r="E4694" s="716">
        <v>269.95999999999998</v>
      </c>
    </row>
    <row r="4695" spans="1:5">
      <c r="A4695" s="715">
        <v>12428</v>
      </c>
      <c r="B4695" s="633" t="s">
        <v>39096</v>
      </c>
      <c r="C4695" s="715" t="s">
        <v>103</v>
      </c>
      <c r="D4695" s="715" t="s">
        <v>40839</v>
      </c>
      <c r="E4695" s="716">
        <v>173.27</v>
      </c>
    </row>
    <row r="4696" spans="1:5">
      <c r="A4696" s="715">
        <v>12429</v>
      </c>
      <c r="B4696" s="633" t="s">
        <v>39097</v>
      </c>
      <c r="C4696" s="715" t="s">
        <v>103</v>
      </c>
      <c r="D4696" s="715" t="s">
        <v>40839</v>
      </c>
      <c r="E4696" s="716">
        <v>436.53</v>
      </c>
    </row>
    <row r="4697" spans="1:5">
      <c r="A4697" s="715">
        <v>12430</v>
      </c>
      <c r="B4697" s="633" t="s">
        <v>39098</v>
      </c>
      <c r="C4697" s="715" t="s">
        <v>103</v>
      </c>
      <c r="D4697" s="715" t="s">
        <v>40839</v>
      </c>
      <c r="E4697" s="716">
        <v>58.04</v>
      </c>
    </row>
    <row r="4698" spans="1:5">
      <c r="A4698" s="715">
        <v>12431</v>
      </c>
      <c r="B4698" s="633" t="s">
        <v>39099</v>
      </c>
      <c r="C4698" s="715" t="s">
        <v>103</v>
      </c>
      <c r="D4698" s="715" t="s">
        <v>40839</v>
      </c>
      <c r="E4698" s="716">
        <v>742.89</v>
      </c>
    </row>
    <row r="4699" spans="1:5">
      <c r="A4699" s="715">
        <v>12432</v>
      </c>
      <c r="B4699" s="633" t="s">
        <v>39100</v>
      </c>
      <c r="C4699" s="715" t="s">
        <v>103</v>
      </c>
      <c r="D4699" s="715" t="s">
        <v>40839</v>
      </c>
      <c r="E4699" s="716">
        <v>152.79</v>
      </c>
    </row>
    <row r="4700" spans="1:5">
      <c r="A4700" s="715">
        <v>12433</v>
      </c>
      <c r="B4700" s="633" t="s">
        <v>39101</v>
      </c>
      <c r="C4700" s="715" t="s">
        <v>103</v>
      </c>
      <c r="D4700" s="715" t="s">
        <v>40839</v>
      </c>
      <c r="E4700" s="716">
        <v>97.27</v>
      </c>
    </row>
    <row r="4701" spans="1:5">
      <c r="A4701" s="715">
        <v>12434</v>
      </c>
      <c r="B4701" s="633" t="s">
        <v>39102</v>
      </c>
      <c r="C4701" s="715" t="s">
        <v>103</v>
      </c>
      <c r="D4701" s="715" t="s">
        <v>40839</v>
      </c>
      <c r="E4701" s="716">
        <v>49.79</v>
      </c>
    </row>
    <row r="4702" spans="1:5">
      <c r="A4702" s="715">
        <v>12435</v>
      </c>
      <c r="B4702" s="633" t="s">
        <v>39103</v>
      </c>
      <c r="C4702" s="715" t="s">
        <v>103</v>
      </c>
      <c r="D4702" s="715" t="s">
        <v>40839</v>
      </c>
      <c r="E4702" s="716">
        <v>301.02</v>
      </c>
    </row>
    <row r="4703" spans="1:5">
      <c r="A4703" s="715">
        <v>12437</v>
      </c>
      <c r="B4703" s="633" t="s">
        <v>39104</v>
      </c>
      <c r="C4703" s="715" t="s">
        <v>103</v>
      </c>
      <c r="D4703" s="715" t="s">
        <v>40839</v>
      </c>
      <c r="E4703" s="716">
        <v>243.11</v>
      </c>
    </row>
    <row r="4704" spans="1:5">
      <c r="A4704" s="715">
        <v>12438</v>
      </c>
      <c r="B4704" s="633" t="s">
        <v>39105</v>
      </c>
      <c r="C4704" s="715" t="s">
        <v>103</v>
      </c>
      <c r="D4704" s="715" t="s">
        <v>40839</v>
      </c>
      <c r="E4704" s="716">
        <v>439.96</v>
      </c>
    </row>
    <row r="4705" spans="1:5">
      <c r="A4705" s="715">
        <v>12439</v>
      </c>
      <c r="B4705" s="633" t="s">
        <v>39106</v>
      </c>
      <c r="C4705" s="715" t="s">
        <v>103</v>
      </c>
      <c r="D4705" s="715" t="s">
        <v>40839</v>
      </c>
      <c r="E4705" s="716">
        <v>78.03</v>
      </c>
    </row>
    <row r="4706" spans="1:5">
      <c r="A4706" s="715">
        <v>12436</v>
      </c>
      <c r="B4706" s="633" t="s">
        <v>39107</v>
      </c>
      <c r="C4706" s="715" t="s">
        <v>103</v>
      </c>
      <c r="D4706" s="715" t="s">
        <v>40839</v>
      </c>
      <c r="E4706" s="716">
        <v>555.76</v>
      </c>
    </row>
    <row r="4707" spans="1:5">
      <c r="A4707" s="715">
        <v>36357</v>
      </c>
      <c r="B4707" s="633" t="s">
        <v>39108</v>
      </c>
      <c r="C4707" s="715" t="s">
        <v>103</v>
      </c>
      <c r="D4707" s="715" t="s">
        <v>40839</v>
      </c>
      <c r="E4707" s="716">
        <v>161.34</v>
      </c>
    </row>
    <row r="4708" spans="1:5">
      <c r="A4708" s="715">
        <v>12424</v>
      </c>
      <c r="B4708" s="633" t="s">
        <v>39109</v>
      </c>
      <c r="C4708" s="715" t="s">
        <v>103</v>
      </c>
      <c r="D4708" s="715" t="s">
        <v>40839</v>
      </c>
      <c r="E4708" s="716">
        <v>100.14</v>
      </c>
    </row>
    <row r="4709" spans="1:5">
      <c r="A4709" s="715">
        <v>12440</v>
      </c>
      <c r="B4709" s="633" t="s">
        <v>39110</v>
      </c>
      <c r="C4709" s="715" t="s">
        <v>103</v>
      </c>
      <c r="D4709" s="715" t="s">
        <v>40839</v>
      </c>
      <c r="E4709" s="716">
        <v>96.8</v>
      </c>
    </row>
    <row r="4710" spans="1:5">
      <c r="A4710" s="715">
        <v>9884</v>
      </c>
      <c r="B4710" s="633" t="s">
        <v>39111</v>
      </c>
      <c r="C4710" s="715" t="s">
        <v>103</v>
      </c>
      <c r="D4710" s="715" t="s">
        <v>40839</v>
      </c>
      <c r="E4710" s="716">
        <v>72.2</v>
      </c>
    </row>
    <row r="4711" spans="1:5">
      <c r="A4711" s="715">
        <v>9888</v>
      </c>
      <c r="B4711" s="633" t="s">
        <v>39112</v>
      </c>
      <c r="C4711" s="715" t="s">
        <v>103</v>
      </c>
      <c r="D4711" s="715" t="s">
        <v>40839</v>
      </c>
      <c r="E4711" s="716">
        <v>58.01</v>
      </c>
    </row>
    <row r="4712" spans="1:5">
      <c r="A4712" s="715">
        <v>9886</v>
      </c>
      <c r="B4712" s="633" t="s">
        <v>39113</v>
      </c>
      <c r="C4712" s="715" t="s">
        <v>103</v>
      </c>
      <c r="D4712" s="715" t="s">
        <v>40839</v>
      </c>
      <c r="E4712" s="716">
        <v>34.67</v>
      </c>
    </row>
    <row r="4713" spans="1:5">
      <c r="A4713" s="715">
        <v>9883</v>
      </c>
      <c r="B4713" s="633" t="s">
        <v>39114</v>
      </c>
      <c r="C4713" s="715" t="s">
        <v>103</v>
      </c>
      <c r="D4713" s="715" t="s">
        <v>40839</v>
      </c>
      <c r="E4713" s="716">
        <v>25.31</v>
      </c>
    </row>
    <row r="4714" spans="1:5">
      <c r="A4714" s="715">
        <v>9889</v>
      </c>
      <c r="B4714" s="633" t="s">
        <v>39115</v>
      </c>
      <c r="C4714" s="715" t="s">
        <v>103</v>
      </c>
      <c r="D4714" s="715" t="s">
        <v>40839</v>
      </c>
      <c r="E4714" s="716">
        <v>175.66</v>
      </c>
    </row>
    <row r="4715" spans="1:5">
      <c r="A4715" s="715">
        <v>9887</v>
      </c>
      <c r="B4715" s="633" t="s">
        <v>39116</v>
      </c>
      <c r="C4715" s="715" t="s">
        <v>103</v>
      </c>
      <c r="D4715" s="715" t="s">
        <v>40839</v>
      </c>
      <c r="E4715" s="716">
        <v>106.17</v>
      </c>
    </row>
    <row r="4716" spans="1:5">
      <c r="A4716" s="715">
        <v>9890</v>
      </c>
      <c r="B4716" s="633" t="s">
        <v>39117</v>
      </c>
      <c r="C4716" s="715" t="s">
        <v>103</v>
      </c>
      <c r="D4716" s="715" t="s">
        <v>40839</v>
      </c>
      <c r="E4716" s="716">
        <v>272.14</v>
      </c>
    </row>
    <row r="4717" spans="1:5">
      <c r="A4717" s="715">
        <v>9885</v>
      </c>
      <c r="B4717" s="633" t="s">
        <v>39118</v>
      </c>
      <c r="C4717" s="715" t="s">
        <v>103</v>
      </c>
      <c r="D4717" s="715" t="s">
        <v>40839</v>
      </c>
      <c r="E4717" s="716">
        <v>33.520000000000003</v>
      </c>
    </row>
    <row r="4718" spans="1:5">
      <c r="A4718" s="715">
        <v>9891</v>
      </c>
      <c r="B4718" s="633" t="s">
        <v>39119</v>
      </c>
      <c r="C4718" s="715" t="s">
        <v>103</v>
      </c>
      <c r="D4718" s="715" t="s">
        <v>40839</v>
      </c>
      <c r="E4718" s="716">
        <v>382.04</v>
      </c>
    </row>
    <row r="4719" spans="1:5">
      <c r="A4719" s="715">
        <v>36316</v>
      </c>
      <c r="B4719" s="633" t="s">
        <v>39120</v>
      </c>
      <c r="C4719" s="715" t="s">
        <v>103</v>
      </c>
      <c r="D4719" s="715" t="s">
        <v>40839</v>
      </c>
      <c r="E4719" s="716">
        <v>26.29</v>
      </c>
    </row>
    <row r="4720" spans="1:5">
      <c r="A4720" s="715">
        <v>36313</v>
      </c>
      <c r="B4720" s="633" t="s">
        <v>39121</v>
      </c>
      <c r="C4720" s="715" t="s">
        <v>103</v>
      </c>
      <c r="D4720" s="715" t="s">
        <v>40839</v>
      </c>
      <c r="E4720" s="716">
        <v>16.88</v>
      </c>
    </row>
    <row r="4721" spans="1:5" ht="29">
      <c r="A4721" s="715">
        <v>64</v>
      </c>
      <c r="B4721" s="633" t="s">
        <v>39122</v>
      </c>
      <c r="C4721" s="715" t="s">
        <v>103</v>
      </c>
      <c r="D4721" s="715" t="s">
        <v>40839</v>
      </c>
      <c r="E4721" s="716">
        <v>5.55</v>
      </c>
    </row>
    <row r="4722" spans="1:5" ht="29">
      <c r="A4722" s="715">
        <v>37423</v>
      </c>
      <c r="B4722" s="633" t="s">
        <v>39123</v>
      </c>
      <c r="C4722" s="715" t="s">
        <v>103</v>
      </c>
      <c r="D4722" s="715" t="s">
        <v>40839</v>
      </c>
      <c r="E4722" s="716">
        <v>13.71</v>
      </c>
    </row>
    <row r="4723" spans="1:5">
      <c r="A4723" s="715">
        <v>9892</v>
      </c>
      <c r="B4723" s="633" t="s">
        <v>39124</v>
      </c>
      <c r="C4723" s="715" t="s">
        <v>103</v>
      </c>
      <c r="D4723" s="715" t="s">
        <v>40839</v>
      </c>
      <c r="E4723" s="716">
        <v>7.9</v>
      </c>
    </row>
    <row r="4724" spans="1:5">
      <c r="A4724" s="715">
        <v>9901</v>
      </c>
      <c r="B4724" s="633" t="s">
        <v>39125</v>
      </c>
      <c r="C4724" s="715" t="s">
        <v>103</v>
      </c>
      <c r="D4724" s="715" t="s">
        <v>40839</v>
      </c>
      <c r="E4724" s="716">
        <v>38.24</v>
      </c>
    </row>
    <row r="4725" spans="1:5">
      <c r="A4725" s="715">
        <v>9900</v>
      </c>
      <c r="B4725" s="633" t="s">
        <v>39126</v>
      </c>
      <c r="C4725" s="715" t="s">
        <v>103</v>
      </c>
      <c r="D4725" s="715" t="s">
        <v>40839</v>
      </c>
      <c r="E4725" s="716">
        <v>22.16</v>
      </c>
    </row>
    <row r="4726" spans="1:5">
      <c r="A4726" s="715">
        <v>9899</v>
      </c>
      <c r="B4726" s="633" t="s">
        <v>39127</v>
      </c>
      <c r="C4726" s="715" t="s">
        <v>103</v>
      </c>
      <c r="D4726" s="715" t="s">
        <v>40839</v>
      </c>
      <c r="E4726" s="716">
        <v>9.93</v>
      </c>
    </row>
    <row r="4727" spans="1:5">
      <c r="A4727" s="715">
        <v>9908</v>
      </c>
      <c r="B4727" s="633" t="s">
        <v>39128</v>
      </c>
      <c r="C4727" s="715" t="s">
        <v>103</v>
      </c>
      <c r="D4727" s="715" t="s">
        <v>40839</v>
      </c>
      <c r="E4727" s="716">
        <v>446.65</v>
      </c>
    </row>
    <row r="4728" spans="1:5">
      <c r="A4728" s="715">
        <v>9905</v>
      </c>
      <c r="B4728" s="633" t="s">
        <v>39129</v>
      </c>
      <c r="C4728" s="715" t="s">
        <v>103</v>
      </c>
      <c r="D4728" s="715" t="s">
        <v>40839</v>
      </c>
      <c r="E4728" s="716">
        <v>7.77</v>
      </c>
    </row>
    <row r="4729" spans="1:5">
      <c r="A4729" s="715">
        <v>9906</v>
      </c>
      <c r="B4729" s="633" t="s">
        <v>39130</v>
      </c>
      <c r="C4729" s="715" t="s">
        <v>103</v>
      </c>
      <c r="D4729" s="715" t="s">
        <v>40839</v>
      </c>
      <c r="E4729" s="716">
        <v>9.3699999999999992</v>
      </c>
    </row>
    <row r="4730" spans="1:5">
      <c r="A4730" s="715">
        <v>9895</v>
      </c>
      <c r="B4730" s="633" t="s">
        <v>39131</v>
      </c>
      <c r="C4730" s="715" t="s">
        <v>103</v>
      </c>
      <c r="D4730" s="715" t="s">
        <v>40839</v>
      </c>
      <c r="E4730" s="716">
        <v>15.78</v>
      </c>
    </row>
    <row r="4731" spans="1:5">
      <c r="A4731" s="715">
        <v>9894</v>
      </c>
      <c r="B4731" s="633" t="s">
        <v>39132</v>
      </c>
      <c r="C4731" s="715" t="s">
        <v>103</v>
      </c>
      <c r="D4731" s="715" t="s">
        <v>40839</v>
      </c>
      <c r="E4731" s="716">
        <v>30.35</v>
      </c>
    </row>
    <row r="4732" spans="1:5">
      <c r="A4732" s="715">
        <v>9897</v>
      </c>
      <c r="B4732" s="633" t="s">
        <v>39133</v>
      </c>
      <c r="C4732" s="715" t="s">
        <v>103</v>
      </c>
      <c r="D4732" s="715" t="s">
        <v>40839</v>
      </c>
      <c r="E4732" s="716">
        <v>32.4</v>
      </c>
    </row>
    <row r="4733" spans="1:5">
      <c r="A4733" s="715">
        <v>9910</v>
      </c>
      <c r="B4733" s="633" t="s">
        <v>39134</v>
      </c>
      <c r="C4733" s="715" t="s">
        <v>103</v>
      </c>
      <c r="D4733" s="715" t="s">
        <v>40839</v>
      </c>
      <c r="E4733" s="716">
        <v>84.31</v>
      </c>
    </row>
    <row r="4734" spans="1:5">
      <c r="A4734" s="715">
        <v>9909</v>
      </c>
      <c r="B4734" s="633" t="s">
        <v>39135</v>
      </c>
      <c r="C4734" s="715" t="s">
        <v>103</v>
      </c>
      <c r="D4734" s="715" t="s">
        <v>40839</v>
      </c>
      <c r="E4734" s="716">
        <v>171.7</v>
      </c>
    </row>
    <row r="4735" spans="1:5">
      <c r="A4735" s="715">
        <v>9907</v>
      </c>
      <c r="B4735" s="633" t="s">
        <v>39136</v>
      </c>
      <c r="C4735" s="715" t="s">
        <v>103</v>
      </c>
      <c r="D4735" s="715" t="s">
        <v>40839</v>
      </c>
      <c r="E4735" s="716">
        <v>202.73</v>
      </c>
    </row>
    <row r="4736" spans="1:5" ht="29">
      <c r="A4736" s="715">
        <v>20973</v>
      </c>
      <c r="B4736" s="633" t="s">
        <v>39137</v>
      </c>
      <c r="C4736" s="715" t="s">
        <v>103</v>
      </c>
      <c r="D4736" s="715" t="s">
        <v>40839</v>
      </c>
      <c r="E4736" s="716">
        <v>212.51</v>
      </c>
    </row>
    <row r="4737" spans="1:5" ht="29">
      <c r="A4737" s="715">
        <v>20974</v>
      </c>
      <c r="B4737" s="633" t="s">
        <v>39138</v>
      </c>
      <c r="C4737" s="715" t="s">
        <v>103</v>
      </c>
      <c r="D4737" s="715" t="s">
        <v>40839</v>
      </c>
      <c r="E4737" s="716">
        <v>304.02999999999997</v>
      </c>
    </row>
    <row r="4738" spans="1:5">
      <c r="A4738" s="715">
        <v>37989</v>
      </c>
      <c r="B4738" s="633" t="s">
        <v>39139</v>
      </c>
      <c r="C4738" s="715" t="s">
        <v>103</v>
      </c>
      <c r="D4738" s="715" t="s">
        <v>40839</v>
      </c>
      <c r="E4738" s="716">
        <v>15.49</v>
      </c>
    </row>
    <row r="4739" spans="1:5">
      <c r="A4739" s="715">
        <v>37990</v>
      </c>
      <c r="B4739" s="633" t="s">
        <v>39140</v>
      </c>
      <c r="C4739" s="715" t="s">
        <v>103</v>
      </c>
      <c r="D4739" s="715" t="s">
        <v>40839</v>
      </c>
      <c r="E4739" s="716">
        <v>17.09</v>
      </c>
    </row>
    <row r="4740" spans="1:5">
      <c r="A4740" s="715">
        <v>37991</v>
      </c>
      <c r="B4740" s="633" t="s">
        <v>39141</v>
      </c>
      <c r="C4740" s="715" t="s">
        <v>103</v>
      </c>
      <c r="D4740" s="715" t="s">
        <v>40839</v>
      </c>
      <c r="E4740" s="716">
        <v>22.74</v>
      </c>
    </row>
    <row r="4741" spans="1:5">
      <c r="A4741" s="715">
        <v>37992</v>
      </c>
      <c r="B4741" s="633" t="s">
        <v>39142</v>
      </c>
      <c r="C4741" s="715" t="s">
        <v>103</v>
      </c>
      <c r="D4741" s="715" t="s">
        <v>40839</v>
      </c>
      <c r="E4741" s="716">
        <v>35.29</v>
      </c>
    </row>
    <row r="4742" spans="1:5">
      <c r="A4742" s="715">
        <v>37993</v>
      </c>
      <c r="B4742" s="633" t="s">
        <v>39143</v>
      </c>
      <c r="C4742" s="715" t="s">
        <v>103</v>
      </c>
      <c r="D4742" s="715" t="s">
        <v>40839</v>
      </c>
      <c r="E4742" s="716">
        <v>53.54</v>
      </c>
    </row>
    <row r="4743" spans="1:5">
      <c r="A4743" s="715">
        <v>37994</v>
      </c>
      <c r="B4743" s="633" t="s">
        <v>39144</v>
      </c>
      <c r="C4743" s="715" t="s">
        <v>103</v>
      </c>
      <c r="D4743" s="715" t="s">
        <v>40839</v>
      </c>
      <c r="E4743" s="716">
        <v>127.5</v>
      </c>
    </row>
    <row r="4744" spans="1:5">
      <c r="A4744" s="715">
        <v>37995</v>
      </c>
      <c r="B4744" s="633" t="s">
        <v>39145</v>
      </c>
      <c r="C4744" s="715" t="s">
        <v>103</v>
      </c>
      <c r="D4744" s="715" t="s">
        <v>40839</v>
      </c>
      <c r="E4744" s="716">
        <v>166.19</v>
      </c>
    </row>
    <row r="4745" spans="1:5">
      <c r="A4745" s="715">
        <v>37996</v>
      </c>
      <c r="B4745" s="633" t="s">
        <v>39146</v>
      </c>
      <c r="C4745" s="715" t="s">
        <v>103</v>
      </c>
      <c r="D4745" s="715" t="s">
        <v>40839</v>
      </c>
      <c r="E4745" s="716">
        <v>253.06</v>
      </c>
    </row>
    <row r="4746" spans="1:5" ht="29">
      <c r="A4746" s="715">
        <v>45267</v>
      </c>
      <c r="B4746" s="633" t="s">
        <v>40877</v>
      </c>
      <c r="C4746" s="715" t="s">
        <v>103</v>
      </c>
      <c r="D4746" s="715" t="s">
        <v>40839</v>
      </c>
      <c r="E4746" s="716">
        <v>192.02</v>
      </c>
    </row>
    <row r="4747" spans="1:5">
      <c r="A4747" s="715">
        <v>38604</v>
      </c>
      <c r="B4747" s="633" t="s">
        <v>39148</v>
      </c>
      <c r="C4747" s="715" t="s">
        <v>103</v>
      </c>
      <c r="D4747" s="715" t="s">
        <v>40839</v>
      </c>
      <c r="E4747" s="716">
        <v>201374.82</v>
      </c>
    </row>
    <row r="4748" spans="1:5" ht="29">
      <c r="A4748" s="715">
        <v>10601</v>
      </c>
      <c r="B4748" s="633" t="s">
        <v>39149</v>
      </c>
      <c r="C4748" s="715" t="s">
        <v>103</v>
      </c>
      <c r="D4748" s="715" t="s">
        <v>40839</v>
      </c>
      <c r="E4748" s="716">
        <v>3917142.05</v>
      </c>
    </row>
    <row r="4749" spans="1:5">
      <c r="A4749" s="715">
        <v>44469</v>
      </c>
      <c r="B4749" s="633" t="s">
        <v>41089</v>
      </c>
      <c r="C4749" s="715" t="s">
        <v>103</v>
      </c>
      <c r="D4749" s="715" t="s">
        <v>40839</v>
      </c>
      <c r="E4749" s="716">
        <v>10313696.779999999</v>
      </c>
    </row>
    <row r="4750" spans="1:5">
      <c r="A4750" s="715">
        <v>9914</v>
      </c>
      <c r="B4750" s="633" t="s">
        <v>39153</v>
      </c>
      <c r="C4750" s="715" t="s">
        <v>103</v>
      </c>
      <c r="D4750" s="715" t="s">
        <v>28018</v>
      </c>
      <c r="E4750" s="716">
        <v>712400</v>
      </c>
    </row>
    <row r="4751" spans="1:5" ht="43">
      <c r="A4751" s="715">
        <v>36485</v>
      </c>
      <c r="B4751" s="633" t="s">
        <v>39154</v>
      </c>
      <c r="C4751" s="715" t="s">
        <v>103</v>
      </c>
      <c r="D4751" s="715" t="s">
        <v>40839</v>
      </c>
      <c r="E4751" s="716">
        <v>755845.38</v>
      </c>
    </row>
    <row r="4752" spans="1:5" ht="29">
      <c r="A4752" s="715">
        <v>9912</v>
      </c>
      <c r="B4752" s="633" t="s">
        <v>39155</v>
      </c>
      <c r="C4752" s="715" t="s">
        <v>103</v>
      </c>
      <c r="D4752" s="715" t="s">
        <v>28018</v>
      </c>
      <c r="E4752" s="716">
        <v>3188995</v>
      </c>
    </row>
    <row r="4753" spans="1:5" ht="29">
      <c r="A4753" s="715">
        <v>9921</v>
      </c>
      <c r="B4753" s="633" t="s">
        <v>39156</v>
      </c>
      <c r="C4753" s="715" t="s">
        <v>103</v>
      </c>
      <c r="D4753" s="715" t="s">
        <v>40839</v>
      </c>
      <c r="E4753" s="716">
        <v>1645034.46</v>
      </c>
    </row>
    <row r="4754" spans="1:5" ht="29">
      <c r="A4754" s="715">
        <v>21112</v>
      </c>
      <c r="B4754" s="633" t="s">
        <v>39157</v>
      </c>
      <c r="C4754" s="715" t="s">
        <v>103</v>
      </c>
      <c r="D4754" s="715" t="s">
        <v>40839</v>
      </c>
      <c r="E4754" s="716">
        <v>309.02999999999997</v>
      </c>
    </row>
    <row r="4755" spans="1:5">
      <c r="A4755" s="715">
        <v>10228</v>
      </c>
      <c r="B4755" s="633" t="s">
        <v>39158</v>
      </c>
      <c r="C4755" s="715" t="s">
        <v>103</v>
      </c>
      <c r="D4755" s="715" t="s">
        <v>28018</v>
      </c>
      <c r="E4755" s="716">
        <v>359</v>
      </c>
    </row>
    <row r="4756" spans="1:5">
      <c r="A4756" s="715">
        <v>11781</v>
      </c>
      <c r="B4756" s="633" t="s">
        <v>39159</v>
      </c>
      <c r="C4756" s="715" t="s">
        <v>103</v>
      </c>
      <c r="D4756" s="715" t="s">
        <v>40839</v>
      </c>
      <c r="E4756" s="716">
        <v>290.83</v>
      </c>
    </row>
    <row r="4757" spans="1:5" ht="29">
      <c r="A4757" s="715">
        <v>37588</v>
      </c>
      <c r="B4757" s="633" t="s">
        <v>41090</v>
      </c>
      <c r="C4757" s="715" t="s">
        <v>103</v>
      </c>
      <c r="D4757" s="715" t="s">
        <v>40839</v>
      </c>
      <c r="E4757" s="716">
        <v>57.58</v>
      </c>
    </row>
    <row r="4758" spans="1:5">
      <c r="A4758" s="715">
        <v>11751</v>
      </c>
      <c r="B4758" s="633" t="s">
        <v>39160</v>
      </c>
      <c r="C4758" s="715" t="s">
        <v>103</v>
      </c>
      <c r="D4758" s="715" t="s">
        <v>40839</v>
      </c>
      <c r="E4758" s="716">
        <v>120.48</v>
      </c>
    </row>
    <row r="4759" spans="1:5">
      <c r="A4759" s="715">
        <v>11750</v>
      </c>
      <c r="B4759" s="633" t="s">
        <v>39161</v>
      </c>
      <c r="C4759" s="715" t="s">
        <v>103</v>
      </c>
      <c r="D4759" s="715" t="s">
        <v>40839</v>
      </c>
      <c r="E4759" s="716">
        <v>99.98</v>
      </c>
    </row>
    <row r="4760" spans="1:5">
      <c r="A4760" s="715">
        <v>11746</v>
      </c>
      <c r="B4760" s="633" t="s">
        <v>39162</v>
      </c>
      <c r="C4760" s="715" t="s">
        <v>103</v>
      </c>
      <c r="D4760" s="715" t="s">
        <v>40839</v>
      </c>
      <c r="E4760" s="716">
        <v>67.08</v>
      </c>
    </row>
    <row r="4761" spans="1:5">
      <c r="A4761" s="715">
        <v>11748</v>
      </c>
      <c r="B4761" s="633" t="s">
        <v>39163</v>
      </c>
      <c r="C4761" s="715" t="s">
        <v>103</v>
      </c>
      <c r="D4761" s="715" t="s">
        <v>40839</v>
      </c>
      <c r="E4761" s="716">
        <v>43.05</v>
      </c>
    </row>
    <row r="4762" spans="1:5">
      <c r="A4762" s="715">
        <v>11747</v>
      </c>
      <c r="B4762" s="633" t="s">
        <v>39164</v>
      </c>
      <c r="C4762" s="715" t="s">
        <v>103</v>
      </c>
      <c r="D4762" s="715" t="s">
        <v>40839</v>
      </c>
      <c r="E4762" s="716">
        <v>185.79</v>
      </c>
    </row>
    <row r="4763" spans="1:5">
      <c r="A4763" s="715">
        <v>11749</v>
      </c>
      <c r="B4763" s="633" t="s">
        <v>39165</v>
      </c>
      <c r="C4763" s="715" t="s">
        <v>103</v>
      </c>
      <c r="D4763" s="715" t="s">
        <v>40839</v>
      </c>
      <c r="E4763" s="716">
        <v>49.69</v>
      </c>
    </row>
    <row r="4764" spans="1:5" ht="29">
      <c r="A4764" s="715">
        <v>10236</v>
      </c>
      <c r="B4764" s="633" t="s">
        <v>39166</v>
      </c>
      <c r="C4764" s="715" t="s">
        <v>103</v>
      </c>
      <c r="D4764" s="715" t="s">
        <v>40839</v>
      </c>
      <c r="E4764" s="716">
        <v>180.78</v>
      </c>
    </row>
    <row r="4765" spans="1:5" ht="29">
      <c r="A4765" s="715">
        <v>10233</v>
      </c>
      <c r="B4765" s="633" t="s">
        <v>39167</v>
      </c>
      <c r="C4765" s="715" t="s">
        <v>103</v>
      </c>
      <c r="D4765" s="715" t="s">
        <v>40839</v>
      </c>
      <c r="E4765" s="716">
        <v>169.41</v>
      </c>
    </row>
    <row r="4766" spans="1:5" ht="29">
      <c r="A4766" s="715">
        <v>10234</v>
      </c>
      <c r="B4766" s="633" t="s">
        <v>39168</v>
      </c>
      <c r="C4766" s="715" t="s">
        <v>103</v>
      </c>
      <c r="D4766" s="715" t="s">
        <v>40839</v>
      </c>
      <c r="E4766" s="716">
        <v>106.72</v>
      </c>
    </row>
    <row r="4767" spans="1:5" ht="29">
      <c r="A4767" s="715">
        <v>10231</v>
      </c>
      <c r="B4767" s="633" t="s">
        <v>39169</v>
      </c>
      <c r="C4767" s="715" t="s">
        <v>103</v>
      </c>
      <c r="D4767" s="715" t="s">
        <v>40839</v>
      </c>
      <c r="E4767" s="716">
        <v>489.36</v>
      </c>
    </row>
    <row r="4768" spans="1:5" ht="29">
      <c r="A4768" s="715">
        <v>10232</v>
      </c>
      <c r="B4768" s="633" t="s">
        <v>39170</v>
      </c>
      <c r="C4768" s="715" t="s">
        <v>103</v>
      </c>
      <c r="D4768" s="715" t="s">
        <v>40839</v>
      </c>
      <c r="E4768" s="716">
        <v>273.83999999999997</v>
      </c>
    </row>
    <row r="4769" spans="1:5" ht="29">
      <c r="A4769" s="715">
        <v>10235</v>
      </c>
      <c r="B4769" s="633" t="s">
        <v>39171</v>
      </c>
      <c r="C4769" s="715" t="s">
        <v>103</v>
      </c>
      <c r="D4769" s="715" t="s">
        <v>40839</v>
      </c>
      <c r="E4769" s="716">
        <v>670.86</v>
      </c>
    </row>
    <row r="4770" spans="1:5" ht="29">
      <c r="A4770" s="715">
        <v>10229</v>
      </c>
      <c r="B4770" s="633" t="s">
        <v>39172</v>
      </c>
      <c r="C4770" s="715" t="s">
        <v>103</v>
      </c>
      <c r="D4770" s="715" t="s">
        <v>28018</v>
      </c>
      <c r="E4770" s="716">
        <v>96.51</v>
      </c>
    </row>
    <row r="4771" spans="1:5" ht="29">
      <c r="A4771" s="715">
        <v>10230</v>
      </c>
      <c r="B4771" s="633" t="s">
        <v>39173</v>
      </c>
      <c r="C4771" s="715" t="s">
        <v>103</v>
      </c>
      <c r="D4771" s="715" t="s">
        <v>40839</v>
      </c>
      <c r="E4771" s="716">
        <v>1180.6500000000001</v>
      </c>
    </row>
    <row r="4772" spans="1:5" ht="29">
      <c r="A4772" s="715">
        <v>10409</v>
      </c>
      <c r="B4772" s="633" t="s">
        <v>39174</v>
      </c>
      <c r="C4772" s="715" t="s">
        <v>103</v>
      </c>
      <c r="D4772" s="715" t="s">
        <v>40839</v>
      </c>
      <c r="E4772" s="716">
        <v>350.76</v>
      </c>
    </row>
    <row r="4773" spans="1:5" ht="29">
      <c r="A4773" s="715">
        <v>10411</v>
      </c>
      <c r="B4773" s="633" t="s">
        <v>39175</v>
      </c>
      <c r="C4773" s="715" t="s">
        <v>103</v>
      </c>
      <c r="D4773" s="715" t="s">
        <v>40839</v>
      </c>
      <c r="E4773" s="716">
        <v>313.86</v>
      </c>
    </row>
    <row r="4774" spans="1:5" ht="29">
      <c r="A4774" s="715">
        <v>10410</v>
      </c>
      <c r="B4774" s="633" t="s">
        <v>39176</v>
      </c>
      <c r="C4774" s="715" t="s">
        <v>103</v>
      </c>
      <c r="D4774" s="715" t="s">
        <v>40839</v>
      </c>
      <c r="E4774" s="716">
        <v>209.66</v>
      </c>
    </row>
    <row r="4775" spans="1:5" ht="29">
      <c r="A4775" s="715">
        <v>10404</v>
      </c>
      <c r="B4775" s="633" t="s">
        <v>39177</v>
      </c>
      <c r="C4775" s="715" t="s">
        <v>103</v>
      </c>
      <c r="D4775" s="715" t="s">
        <v>40839</v>
      </c>
      <c r="E4775" s="716">
        <v>127.29</v>
      </c>
    </row>
    <row r="4776" spans="1:5" ht="29">
      <c r="A4776" s="715">
        <v>10405</v>
      </c>
      <c r="B4776" s="633" t="s">
        <v>39178</v>
      </c>
      <c r="C4776" s="715" t="s">
        <v>103</v>
      </c>
      <c r="D4776" s="715" t="s">
        <v>40839</v>
      </c>
      <c r="E4776" s="716">
        <v>702.74</v>
      </c>
    </row>
    <row r="4777" spans="1:5" ht="29">
      <c r="A4777" s="715">
        <v>10408</v>
      </c>
      <c r="B4777" s="633" t="s">
        <v>39179</v>
      </c>
      <c r="C4777" s="715" t="s">
        <v>103</v>
      </c>
      <c r="D4777" s="715" t="s">
        <v>40839</v>
      </c>
      <c r="E4777" s="716">
        <v>491.42</v>
      </c>
    </row>
    <row r="4778" spans="1:5" ht="29">
      <c r="A4778" s="715">
        <v>10406</v>
      </c>
      <c r="B4778" s="633" t="s">
        <v>39180</v>
      </c>
      <c r="C4778" s="715" t="s">
        <v>103</v>
      </c>
      <c r="D4778" s="715" t="s">
        <v>40839</v>
      </c>
      <c r="E4778" s="716">
        <v>970.63</v>
      </c>
    </row>
    <row r="4779" spans="1:5" ht="29">
      <c r="A4779" s="715">
        <v>10412</v>
      </c>
      <c r="B4779" s="633" t="s">
        <v>39181</v>
      </c>
      <c r="C4779" s="715" t="s">
        <v>103</v>
      </c>
      <c r="D4779" s="715" t="s">
        <v>40839</v>
      </c>
      <c r="E4779" s="716">
        <v>154.26</v>
      </c>
    </row>
    <row r="4780" spans="1:5" ht="29">
      <c r="A4780" s="715">
        <v>10407</v>
      </c>
      <c r="B4780" s="633" t="s">
        <v>39182</v>
      </c>
      <c r="C4780" s="715" t="s">
        <v>103</v>
      </c>
      <c r="D4780" s="715" t="s">
        <v>40839</v>
      </c>
      <c r="E4780" s="716">
        <v>1505.46</v>
      </c>
    </row>
    <row r="4781" spans="1:5" ht="29">
      <c r="A4781" s="715">
        <v>10416</v>
      </c>
      <c r="B4781" s="633" t="s">
        <v>39183</v>
      </c>
      <c r="C4781" s="715" t="s">
        <v>103</v>
      </c>
      <c r="D4781" s="715" t="s">
        <v>40839</v>
      </c>
      <c r="E4781" s="716">
        <v>186.73</v>
      </c>
    </row>
    <row r="4782" spans="1:5" ht="29">
      <c r="A4782" s="715">
        <v>10419</v>
      </c>
      <c r="B4782" s="633" t="s">
        <v>39184</v>
      </c>
      <c r="C4782" s="715" t="s">
        <v>103</v>
      </c>
      <c r="D4782" s="715" t="s">
        <v>40839</v>
      </c>
      <c r="E4782" s="716">
        <v>162.09</v>
      </c>
    </row>
    <row r="4783" spans="1:5" ht="29">
      <c r="A4783" s="715">
        <v>10418</v>
      </c>
      <c r="B4783" s="633" t="s">
        <v>39185</v>
      </c>
      <c r="C4783" s="715" t="s">
        <v>103</v>
      </c>
      <c r="D4783" s="715" t="s">
        <v>40839</v>
      </c>
      <c r="E4783" s="716">
        <v>108.04</v>
      </c>
    </row>
    <row r="4784" spans="1:5" ht="29">
      <c r="A4784" s="715">
        <v>21092</v>
      </c>
      <c r="B4784" s="633" t="s">
        <v>39186</v>
      </c>
      <c r="C4784" s="715" t="s">
        <v>103</v>
      </c>
      <c r="D4784" s="715" t="s">
        <v>40839</v>
      </c>
      <c r="E4784" s="716">
        <v>92.66</v>
      </c>
    </row>
    <row r="4785" spans="1:5" ht="29">
      <c r="A4785" s="715">
        <v>12657</v>
      </c>
      <c r="B4785" s="633" t="s">
        <v>39187</v>
      </c>
      <c r="C4785" s="715" t="s">
        <v>103</v>
      </c>
      <c r="D4785" s="715" t="s">
        <v>40839</v>
      </c>
      <c r="E4785" s="716">
        <v>435.99</v>
      </c>
    </row>
    <row r="4786" spans="1:5" ht="29">
      <c r="A4786" s="715">
        <v>10417</v>
      </c>
      <c r="B4786" s="633" t="s">
        <v>39188</v>
      </c>
      <c r="C4786" s="715" t="s">
        <v>103</v>
      </c>
      <c r="D4786" s="715" t="s">
        <v>40839</v>
      </c>
      <c r="E4786" s="716">
        <v>272.08</v>
      </c>
    </row>
    <row r="4787" spans="1:5" ht="29">
      <c r="A4787" s="715">
        <v>10414</v>
      </c>
      <c r="B4787" s="633" t="s">
        <v>39189</v>
      </c>
      <c r="C4787" s="715" t="s">
        <v>103</v>
      </c>
      <c r="D4787" s="715" t="s">
        <v>40839</v>
      </c>
      <c r="E4787" s="716">
        <v>595.37</v>
      </c>
    </row>
    <row r="4788" spans="1:5" ht="29">
      <c r="A4788" s="715">
        <v>10413</v>
      </c>
      <c r="B4788" s="633" t="s">
        <v>39190</v>
      </c>
      <c r="C4788" s="715" t="s">
        <v>103</v>
      </c>
      <c r="D4788" s="715" t="s">
        <v>40839</v>
      </c>
      <c r="E4788" s="716">
        <v>98.89</v>
      </c>
    </row>
    <row r="4789" spans="1:5" ht="29">
      <c r="A4789" s="715">
        <v>10415</v>
      </c>
      <c r="B4789" s="633" t="s">
        <v>39191</v>
      </c>
      <c r="C4789" s="715" t="s">
        <v>103</v>
      </c>
      <c r="D4789" s="715" t="s">
        <v>40839</v>
      </c>
      <c r="E4789" s="716">
        <v>1033.3</v>
      </c>
    </row>
    <row r="4790" spans="1:5">
      <c r="A4790" s="715">
        <v>38643</v>
      </c>
      <c r="B4790" s="633" t="s">
        <v>39192</v>
      </c>
      <c r="C4790" s="715" t="s">
        <v>103</v>
      </c>
      <c r="D4790" s="715" t="s">
        <v>40839</v>
      </c>
      <c r="E4790" s="716">
        <v>45.76</v>
      </c>
    </row>
    <row r="4791" spans="1:5">
      <c r="A4791" s="715">
        <v>6157</v>
      </c>
      <c r="B4791" s="633" t="s">
        <v>39193</v>
      </c>
      <c r="C4791" s="715" t="s">
        <v>103</v>
      </c>
      <c r="D4791" s="715" t="s">
        <v>40839</v>
      </c>
      <c r="E4791" s="716">
        <v>62.51</v>
      </c>
    </row>
    <row r="4792" spans="1:5">
      <c r="A4792" s="715">
        <v>6158</v>
      </c>
      <c r="B4792" s="633" t="s">
        <v>41091</v>
      </c>
      <c r="C4792" s="715" t="s">
        <v>103</v>
      </c>
      <c r="D4792" s="715" t="s">
        <v>40839</v>
      </c>
      <c r="E4792" s="716">
        <v>8.5399999999999991</v>
      </c>
    </row>
    <row r="4793" spans="1:5" ht="29">
      <c r="A4793" s="715">
        <v>6156</v>
      </c>
      <c r="B4793" s="633" t="s">
        <v>41092</v>
      </c>
      <c r="C4793" s="715" t="s">
        <v>103</v>
      </c>
      <c r="D4793" s="715" t="s">
        <v>40839</v>
      </c>
      <c r="E4793" s="716">
        <v>7.33</v>
      </c>
    </row>
    <row r="4794" spans="1:5" ht="29">
      <c r="A4794" s="715">
        <v>6153</v>
      </c>
      <c r="B4794" s="633" t="s">
        <v>41093</v>
      </c>
      <c r="C4794" s="715" t="s">
        <v>103</v>
      </c>
      <c r="D4794" s="715" t="s">
        <v>40839</v>
      </c>
      <c r="E4794" s="716">
        <v>5.88</v>
      </c>
    </row>
    <row r="4795" spans="1:5">
      <c r="A4795" s="715">
        <v>6154</v>
      </c>
      <c r="B4795" s="633" t="s">
        <v>41094</v>
      </c>
      <c r="C4795" s="715" t="s">
        <v>103</v>
      </c>
      <c r="D4795" s="715" t="s">
        <v>40839</v>
      </c>
      <c r="E4795" s="716">
        <v>10.45</v>
      </c>
    </row>
    <row r="4796" spans="1:5" ht="29">
      <c r="A4796" s="715">
        <v>6155</v>
      </c>
      <c r="B4796" s="633" t="s">
        <v>41095</v>
      </c>
      <c r="C4796" s="715" t="s">
        <v>103</v>
      </c>
      <c r="D4796" s="715" t="s">
        <v>40839</v>
      </c>
      <c r="E4796" s="716">
        <v>24.05</v>
      </c>
    </row>
    <row r="4797" spans="1:5" ht="29">
      <c r="A4797" s="715">
        <v>43595</v>
      </c>
      <c r="B4797" s="633" t="s">
        <v>39194</v>
      </c>
      <c r="C4797" s="715" t="s">
        <v>103</v>
      </c>
      <c r="D4797" s="715" t="s">
        <v>40839</v>
      </c>
      <c r="E4797" s="716">
        <v>18.61</v>
      </c>
    </row>
    <row r="4798" spans="1:5" ht="29">
      <c r="A4798" s="715">
        <v>43596</v>
      </c>
      <c r="B4798" s="633" t="s">
        <v>39195</v>
      </c>
      <c r="C4798" s="715" t="s">
        <v>103</v>
      </c>
      <c r="D4798" s="715" t="s">
        <v>40839</v>
      </c>
      <c r="E4798" s="716">
        <v>21.51</v>
      </c>
    </row>
    <row r="4799" spans="1:5">
      <c r="A4799" s="715">
        <v>38108</v>
      </c>
      <c r="B4799" s="633" t="s">
        <v>39196</v>
      </c>
      <c r="C4799" s="715" t="s">
        <v>103</v>
      </c>
      <c r="D4799" s="715" t="s">
        <v>40839</v>
      </c>
      <c r="E4799" s="716">
        <v>53.38</v>
      </c>
    </row>
    <row r="4800" spans="1:5" ht="29">
      <c r="A4800" s="715">
        <v>38087</v>
      </c>
      <c r="B4800" s="633" t="s">
        <v>39197</v>
      </c>
      <c r="C4800" s="715" t="s">
        <v>103</v>
      </c>
      <c r="D4800" s="715" t="s">
        <v>40839</v>
      </c>
      <c r="E4800" s="716">
        <v>68.66</v>
      </c>
    </row>
    <row r="4801" spans="1:5">
      <c r="A4801" s="715">
        <v>38109</v>
      </c>
      <c r="B4801" s="633" t="s">
        <v>39198</v>
      </c>
      <c r="C4801" s="715" t="s">
        <v>103</v>
      </c>
      <c r="D4801" s="715" t="s">
        <v>40839</v>
      </c>
      <c r="E4801" s="716">
        <v>85.31</v>
      </c>
    </row>
    <row r="4802" spans="1:5" ht="29">
      <c r="A4802" s="715">
        <v>38088</v>
      </c>
      <c r="B4802" s="633" t="s">
        <v>39199</v>
      </c>
      <c r="C4802" s="715" t="s">
        <v>103</v>
      </c>
      <c r="D4802" s="715" t="s">
        <v>40839</v>
      </c>
      <c r="E4802" s="716">
        <v>89.71</v>
      </c>
    </row>
    <row r="4803" spans="1:5">
      <c r="A4803" s="715">
        <v>38110</v>
      </c>
      <c r="B4803" s="633" t="s">
        <v>39200</v>
      </c>
      <c r="C4803" s="715" t="s">
        <v>103</v>
      </c>
      <c r="D4803" s="715" t="s">
        <v>40839</v>
      </c>
      <c r="E4803" s="716">
        <v>32.82</v>
      </c>
    </row>
    <row r="4804" spans="1:5" ht="43">
      <c r="A4804" s="715">
        <v>38089</v>
      </c>
      <c r="B4804" s="633" t="s">
        <v>39201</v>
      </c>
      <c r="C4804" s="715" t="s">
        <v>103</v>
      </c>
      <c r="D4804" s="715" t="s">
        <v>40839</v>
      </c>
      <c r="E4804" s="716">
        <v>57.19</v>
      </c>
    </row>
    <row r="4805" spans="1:5">
      <c r="A4805" s="715">
        <v>38111</v>
      </c>
      <c r="B4805" s="633" t="s">
        <v>39202</v>
      </c>
      <c r="C4805" s="715" t="s">
        <v>103</v>
      </c>
      <c r="D4805" s="715" t="s">
        <v>40839</v>
      </c>
      <c r="E4805" s="716">
        <v>36.700000000000003</v>
      </c>
    </row>
    <row r="4806" spans="1:5" ht="43">
      <c r="A4806" s="715">
        <v>38090</v>
      </c>
      <c r="B4806" s="633" t="s">
        <v>39203</v>
      </c>
      <c r="C4806" s="715" t="s">
        <v>103</v>
      </c>
      <c r="D4806" s="715" t="s">
        <v>40839</v>
      </c>
      <c r="E4806" s="716">
        <v>59.11</v>
      </c>
    </row>
    <row r="4807" spans="1:5">
      <c r="A4807" s="715">
        <v>38400</v>
      </c>
      <c r="B4807" s="633" t="s">
        <v>39204</v>
      </c>
      <c r="C4807" s="715" t="s">
        <v>103</v>
      </c>
      <c r="D4807" s="715" t="s">
        <v>40839</v>
      </c>
      <c r="E4807" s="716">
        <v>49.5</v>
      </c>
    </row>
    <row r="4808" spans="1:5" ht="29">
      <c r="A4808" s="715">
        <v>13726</v>
      </c>
      <c r="B4808" s="633" t="s">
        <v>39205</v>
      </c>
      <c r="C4808" s="715" t="s">
        <v>103</v>
      </c>
      <c r="D4808" s="715" t="s">
        <v>40839</v>
      </c>
      <c r="E4808" s="716">
        <v>70306.12</v>
      </c>
    </row>
    <row r="4809" spans="1:5" ht="29">
      <c r="A4809" s="715">
        <v>12627</v>
      </c>
      <c r="B4809" s="633" t="s">
        <v>39206</v>
      </c>
      <c r="C4809" s="715" t="s">
        <v>103</v>
      </c>
      <c r="D4809" s="715" t="s">
        <v>40839</v>
      </c>
      <c r="E4809" s="716">
        <v>1.54</v>
      </c>
    </row>
    <row r="4810" spans="1:5">
      <c r="A4810" s="715">
        <v>39996</v>
      </c>
      <c r="B4810" s="633" t="s">
        <v>39207</v>
      </c>
      <c r="C4810" s="715" t="s">
        <v>165</v>
      </c>
      <c r="D4810" s="715" t="s">
        <v>40839</v>
      </c>
      <c r="E4810" s="716">
        <v>3.34</v>
      </c>
    </row>
    <row r="4811" spans="1:5" ht="29">
      <c r="A4811" s="715">
        <v>10478</v>
      </c>
      <c r="B4811" s="633" t="s">
        <v>39208</v>
      </c>
      <c r="C4811" s="715" t="s">
        <v>153</v>
      </c>
      <c r="D4811" s="715" t="s">
        <v>28018</v>
      </c>
      <c r="E4811" s="716">
        <v>42.87</v>
      </c>
    </row>
    <row r="4812" spans="1:5" ht="29">
      <c r="A4812" s="715">
        <v>10481</v>
      </c>
      <c r="B4812" s="633" t="s">
        <v>39209</v>
      </c>
      <c r="C4812" s="715" t="s">
        <v>153</v>
      </c>
      <c r="D4812" s="715" t="s">
        <v>40839</v>
      </c>
      <c r="E4812" s="716">
        <v>38.119999999999997</v>
      </c>
    </row>
    <row r="4813" spans="1:5">
      <c r="A4813" s="715">
        <v>10475</v>
      </c>
      <c r="B4813" s="633" t="s">
        <v>39210</v>
      </c>
      <c r="C4813" s="715" t="s">
        <v>153</v>
      </c>
      <c r="D4813" s="715" t="s">
        <v>40839</v>
      </c>
      <c r="E4813" s="716">
        <v>36.89</v>
      </c>
    </row>
    <row r="4814" spans="1:5">
      <c r="A4814" s="715">
        <v>4030</v>
      </c>
      <c r="B4814" s="633" t="s">
        <v>39211</v>
      </c>
      <c r="C4814" s="715" t="s">
        <v>509</v>
      </c>
      <c r="D4814" s="715" t="s">
        <v>40839</v>
      </c>
      <c r="E4814" s="716">
        <v>7.81</v>
      </c>
    </row>
    <row r="4815" spans="1:5">
      <c r="A4815" s="715">
        <v>4031</v>
      </c>
      <c r="B4815" s="633" t="s">
        <v>39212</v>
      </c>
      <c r="C4815" s="715" t="s">
        <v>509</v>
      </c>
      <c r="D4815" s="715" t="s">
        <v>40839</v>
      </c>
      <c r="E4815" s="716">
        <v>36.700000000000003</v>
      </c>
    </row>
    <row r="4816" spans="1:5" ht="29">
      <c r="A4816" s="715">
        <v>11652</v>
      </c>
      <c r="B4816" s="633" t="s">
        <v>39216</v>
      </c>
      <c r="C4816" s="715" t="s">
        <v>103</v>
      </c>
      <c r="D4816" s="715" t="s">
        <v>28018</v>
      </c>
      <c r="E4816" s="716">
        <v>4235.63</v>
      </c>
    </row>
    <row r="4817" spans="1:5" ht="29">
      <c r="A4817" s="715">
        <v>13896</v>
      </c>
      <c r="B4817" s="633" t="s">
        <v>39218</v>
      </c>
      <c r="C4817" s="715" t="s">
        <v>103</v>
      </c>
      <c r="D4817" s="715" t="s">
        <v>40839</v>
      </c>
      <c r="E4817" s="716">
        <v>3799.73</v>
      </c>
    </row>
    <row r="4818" spans="1:5" ht="29">
      <c r="A4818" s="715">
        <v>44470</v>
      </c>
      <c r="B4818" s="633" t="s">
        <v>41096</v>
      </c>
      <c r="C4818" s="715" t="s">
        <v>103</v>
      </c>
      <c r="D4818" s="715" t="s">
        <v>40839</v>
      </c>
      <c r="E4818" s="716">
        <v>1795354.94</v>
      </c>
    </row>
    <row r="4819" spans="1:5" ht="29">
      <c r="A4819" s="715">
        <v>13476</v>
      </c>
      <c r="B4819" s="633" t="s">
        <v>39219</v>
      </c>
      <c r="C4819" s="715" t="s">
        <v>103</v>
      </c>
      <c r="D4819" s="715" t="s">
        <v>40839</v>
      </c>
      <c r="E4819" s="716">
        <v>1808364.89</v>
      </c>
    </row>
    <row r="4820" spans="1:5" ht="29">
      <c r="A4820" s="715">
        <v>44491</v>
      </c>
      <c r="B4820" s="633" t="s">
        <v>41097</v>
      </c>
      <c r="C4820" s="715" t="s">
        <v>103</v>
      </c>
      <c r="D4820" s="715" t="s">
        <v>40839</v>
      </c>
      <c r="E4820" s="716">
        <v>4264618.62</v>
      </c>
    </row>
    <row r="4821" spans="1:5" ht="29">
      <c r="A4821" s="715">
        <v>10488</v>
      </c>
      <c r="B4821" s="633" t="s">
        <v>39220</v>
      </c>
      <c r="C4821" s="715" t="s">
        <v>103</v>
      </c>
      <c r="D4821" s="715" t="s">
        <v>28018</v>
      </c>
      <c r="E4821" s="716">
        <v>2190853.52</v>
      </c>
    </row>
    <row r="4822" spans="1:5" ht="29">
      <c r="A4822" s="715">
        <v>13606</v>
      </c>
      <c r="B4822" s="633" t="s">
        <v>39221</v>
      </c>
      <c r="C4822" s="715" t="s">
        <v>103</v>
      </c>
      <c r="D4822" s="715" t="s">
        <v>40839</v>
      </c>
      <c r="E4822" s="716">
        <v>1941064.88</v>
      </c>
    </row>
    <row r="4823" spans="1:5">
      <c r="A4823" s="715">
        <v>10489</v>
      </c>
      <c r="B4823" s="633" t="s">
        <v>39222</v>
      </c>
      <c r="C4823" s="715" t="s">
        <v>11</v>
      </c>
      <c r="D4823" s="715" t="s">
        <v>40839</v>
      </c>
      <c r="E4823" s="716">
        <v>21.39</v>
      </c>
    </row>
    <row r="4824" spans="1:5">
      <c r="A4824" s="715">
        <v>41073</v>
      </c>
      <c r="B4824" s="633" t="s">
        <v>39223</v>
      </c>
      <c r="C4824" s="715" t="s">
        <v>27629</v>
      </c>
      <c r="D4824" s="715" t="s">
        <v>40839</v>
      </c>
      <c r="E4824" s="716">
        <v>3749.26</v>
      </c>
    </row>
    <row r="4825" spans="1:5" ht="29">
      <c r="A4825" s="715">
        <v>34391</v>
      </c>
      <c r="B4825" s="633" t="s">
        <v>39224</v>
      </c>
      <c r="C4825" s="715" t="s">
        <v>509</v>
      </c>
      <c r="D4825" s="715" t="s">
        <v>40839</v>
      </c>
      <c r="E4825" s="716">
        <v>861.75</v>
      </c>
    </row>
    <row r="4826" spans="1:5" ht="29">
      <c r="A4826" s="715">
        <v>10496</v>
      </c>
      <c r="B4826" s="633" t="s">
        <v>39225</v>
      </c>
      <c r="C4826" s="715" t="s">
        <v>509</v>
      </c>
      <c r="D4826" s="715" t="s">
        <v>40839</v>
      </c>
      <c r="E4826" s="716">
        <v>750</v>
      </c>
    </row>
    <row r="4827" spans="1:5" ht="29">
      <c r="A4827" s="715">
        <v>10497</v>
      </c>
      <c r="B4827" s="633" t="s">
        <v>39226</v>
      </c>
      <c r="C4827" s="715" t="s">
        <v>509</v>
      </c>
      <c r="D4827" s="715" t="s">
        <v>40839</v>
      </c>
      <c r="E4827" s="716">
        <v>1949.99</v>
      </c>
    </row>
    <row r="4828" spans="1:5" ht="29">
      <c r="A4828" s="715">
        <v>10504</v>
      </c>
      <c r="B4828" s="633" t="s">
        <v>39227</v>
      </c>
      <c r="C4828" s="715" t="s">
        <v>509</v>
      </c>
      <c r="D4828" s="715" t="s">
        <v>40839</v>
      </c>
      <c r="E4828" s="716">
        <v>2280</v>
      </c>
    </row>
    <row r="4829" spans="1:5">
      <c r="A4829" s="715">
        <v>34390</v>
      </c>
      <c r="B4829" s="633" t="s">
        <v>39228</v>
      </c>
      <c r="C4829" s="715" t="s">
        <v>509</v>
      </c>
      <c r="D4829" s="715" t="s">
        <v>40839</v>
      </c>
      <c r="E4829" s="716">
        <v>671.99</v>
      </c>
    </row>
    <row r="4830" spans="1:5">
      <c r="A4830" s="715">
        <v>34389</v>
      </c>
      <c r="B4830" s="633" t="s">
        <v>39229</v>
      </c>
      <c r="C4830" s="715" t="s">
        <v>509</v>
      </c>
      <c r="D4830" s="715" t="s">
        <v>40839</v>
      </c>
      <c r="E4830" s="716">
        <v>210</v>
      </c>
    </row>
    <row r="4831" spans="1:5">
      <c r="A4831" s="715">
        <v>34388</v>
      </c>
      <c r="B4831" s="633" t="s">
        <v>39230</v>
      </c>
      <c r="C4831" s="715" t="s">
        <v>509</v>
      </c>
      <c r="D4831" s="715" t="s">
        <v>40839</v>
      </c>
      <c r="E4831" s="716">
        <v>298.47000000000003</v>
      </c>
    </row>
    <row r="4832" spans="1:5">
      <c r="A4832" s="715">
        <v>34387</v>
      </c>
      <c r="B4832" s="633" t="s">
        <v>39231</v>
      </c>
      <c r="C4832" s="715" t="s">
        <v>509</v>
      </c>
      <c r="D4832" s="715" t="s">
        <v>40839</v>
      </c>
      <c r="E4832" s="716">
        <v>484.5</v>
      </c>
    </row>
    <row r="4833" spans="1:5">
      <c r="A4833" s="715">
        <v>11188</v>
      </c>
      <c r="B4833" s="633" t="s">
        <v>39232</v>
      </c>
      <c r="C4833" s="715" t="s">
        <v>509</v>
      </c>
      <c r="D4833" s="715" t="s">
        <v>40839</v>
      </c>
      <c r="E4833" s="716">
        <v>239.99</v>
      </c>
    </row>
    <row r="4834" spans="1:5">
      <c r="A4834" s="715">
        <v>11189</v>
      </c>
      <c r="B4834" s="633" t="s">
        <v>39233</v>
      </c>
      <c r="C4834" s="715" t="s">
        <v>509</v>
      </c>
      <c r="D4834" s="715" t="s">
        <v>40839</v>
      </c>
      <c r="E4834" s="716">
        <v>360</v>
      </c>
    </row>
    <row r="4835" spans="1:5">
      <c r="A4835" s="715">
        <v>21107</v>
      </c>
      <c r="B4835" s="633" t="s">
        <v>39234</v>
      </c>
      <c r="C4835" s="715" t="s">
        <v>509</v>
      </c>
      <c r="D4835" s="715" t="s">
        <v>40839</v>
      </c>
      <c r="E4835" s="716">
        <v>259.07</v>
      </c>
    </row>
    <row r="4836" spans="1:5">
      <c r="A4836" s="715">
        <v>34386</v>
      </c>
      <c r="B4836" s="633" t="s">
        <v>39235</v>
      </c>
      <c r="C4836" s="715" t="s">
        <v>509</v>
      </c>
      <c r="D4836" s="715" t="s">
        <v>40839</v>
      </c>
      <c r="E4836" s="716">
        <v>450</v>
      </c>
    </row>
    <row r="4837" spans="1:5">
      <c r="A4837" s="715">
        <v>10490</v>
      </c>
      <c r="B4837" s="633" t="s">
        <v>39236</v>
      </c>
      <c r="C4837" s="715" t="s">
        <v>509</v>
      </c>
      <c r="D4837" s="715" t="s">
        <v>40839</v>
      </c>
      <c r="E4837" s="716">
        <v>157.5</v>
      </c>
    </row>
    <row r="4838" spans="1:5">
      <c r="A4838" s="715">
        <v>10492</v>
      </c>
      <c r="B4838" s="633" t="s">
        <v>39237</v>
      </c>
      <c r="C4838" s="715" t="s">
        <v>509</v>
      </c>
      <c r="D4838" s="715" t="s">
        <v>28018</v>
      </c>
      <c r="E4838" s="716">
        <v>180</v>
      </c>
    </row>
    <row r="4839" spans="1:5">
      <c r="A4839" s="715">
        <v>10493</v>
      </c>
      <c r="B4839" s="633" t="s">
        <v>39238</v>
      </c>
      <c r="C4839" s="715" t="s">
        <v>509</v>
      </c>
      <c r="D4839" s="715" t="s">
        <v>40839</v>
      </c>
      <c r="E4839" s="716">
        <v>210</v>
      </c>
    </row>
    <row r="4840" spans="1:5">
      <c r="A4840" s="715">
        <v>10491</v>
      </c>
      <c r="B4840" s="633" t="s">
        <v>39239</v>
      </c>
      <c r="C4840" s="715" t="s">
        <v>509</v>
      </c>
      <c r="D4840" s="715" t="s">
        <v>40839</v>
      </c>
      <c r="E4840" s="716">
        <v>255</v>
      </c>
    </row>
    <row r="4841" spans="1:5">
      <c r="A4841" s="715">
        <v>34385</v>
      </c>
      <c r="B4841" s="633" t="s">
        <v>41098</v>
      </c>
      <c r="C4841" s="715" t="s">
        <v>509</v>
      </c>
      <c r="D4841" s="715" t="s">
        <v>40839</v>
      </c>
      <c r="E4841" s="716">
        <v>372</v>
      </c>
    </row>
    <row r="4842" spans="1:5">
      <c r="A4842" s="715">
        <v>10499</v>
      </c>
      <c r="B4842" s="633" t="s">
        <v>39240</v>
      </c>
      <c r="C4842" s="715" t="s">
        <v>509</v>
      </c>
      <c r="D4842" s="715" t="s">
        <v>40839</v>
      </c>
      <c r="E4842" s="716">
        <v>149.99</v>
      </c>
    </row>
    <row r="4843" spans="1:5">
      <c r="A4843" s="715">
        <v>34384</v>
      </c>
      <c r="B4843" s="633" t="s">
        <v>39241</v>
      </c>
      <c r="C4843" s="715" t="s">
        <v>509</v>
      </c>
      <c r="D4843" s="715" t="s">
        <v>40839</v>
      </c>
      <c r="E4843" s="716">
        <v>450</v>
      </c>
    </row>
    <row r="4844" spans="1:5">
      <c r="A4844" s="715">
        <v>11185</v>
      </c>
      <c r="B4844" s="633" t="s">
        <v>39242</v>
      </c>
      <c r="C4844" s="715" t="s">
        <v>509</v>
      </c>
      <c r="D4844" s="715" t="s">
        <v>40839</v>
      </c>
      <c r="E4844" s="716">
        <v>464.99</v>
      </c>
    </row>
    <row r="4845" spans="1:5">
      <c r="A4845" s="715">
        <v>10507</v>
      </c>
      <c r="B4845" s="633" t="s">
        <v>39243</v>
      </c>
      <c r="C4845" s="715" t="s">
        <v>509</v>
      </c>
      <c r="D4845" s="715" t="s">
        <v>40839</v>
      </c>
      <c r="E4845" s="716">
        <v>457.65</v>
      </c>
    </row>
    <row r="4846" spans="1:5">
      <c r="A4846" s="715">
        <v>10505</v>
      </c>
      <c r="B4846" s="633" t="s">
        <v>39244</v>
      </c>
      <c r="C4846" s="715" t="s">
        <v>509</v>
      </c>
      <c r="D4846" s="715" t="s">
        <v>40839</v>
      </c>
      <c r="E4846" s="716">
        <v>270.05</v>
      </c>
    </row>
    <row r="4847" spans="1:5">
      <c r="A4847" s="715">
        <v>10506</v>
      </c>
      <c r="B4847" s="633" t="s">
        <v>39245</v>
      </c>
      <c r="C4847" s="715" t="s">
        <v>509</v>
      </c>
      <c r="D4847" s="715" t="s">
        <v>40839</v>
      </c>
      <c r="E4847" s="716">
        <v>352.52</v>
      </c>
    </row>
    <row r="4848" spans="1:5" ht="29">
      <c r="A4848" s="715">
        <v>5031</v>
      </c>
      <c r="B4848" s="633" t="s">
        <v>39246</v>
      </c>
      <c r="C4848" s="715" t="s">
        <v>509</v>
      </c>
      <c r="D4848" s="715" t="s">
        <v>28018</v>
      </c>
      <c r="E4848" s="716">
        <v>495</v>
      </c>
    </row>
    <row r="4849" spans="1:5">
      <c r="A4849" s="715">
        <v>10502</v>
      </c>
      <c r="B4849" s="633" t="s">
        <v>39247</v>
      </c>
      <c r="C4849" s="715" t="s">
        <v>509</v>
      </c>
      <c r="D4849" s="715" t="s">
        <v>40839</v>
      </c>
      <c r="E4849" s="716">
        <v>576.79</v>
      </c>
    </row>
    <row r="4850" spans="1:5">
      <c r="A4850" s="715">
        <v>10501</v>
      </c>
      <c r="B4850" s="633" t="s">
        <v>39248</v>
      </c>
      <c r="C4850" s="715" t="s">
        <v>509</v>
      </c>
      <c r="D4850" s="715" t="s">
        <v>40839</v>
      </c>
      <c r="E4850" s="716">
        <v>325.87</v>
      </c>
    </row>
    <row r="4851" spans="1:5">
      <c r="A4851" s="715">
        <v>10503</v>
      </c>
      <c r="B4851" s="633" t="s">
        <v>39249</v>
      </c>
      <c r="C4851" s="715" t="s">
        <v>509</v>
      </c>
      <c r="D4851" s="715" t="s">
        <v>40839</v>
      </c>
      <c r="E4851" s="716">
        <v>440.25</v>
      </c>
    </row>
    <row r="4852" spans="1:5">
      <c r="A4852" s="715">
        <v>4500</v>
      </c>
      <c r="B4852" s="633" t="s">
        <v>39250</v>
      </c>
      <c r="C4852" s="715" t="s">
        <v>165</v>
      </c>
      <c r="D4852" s="715" t="s">
        <v>40839</v>
      </c>
      <c r="E4852" s="716">
        <v>15.92</v>
      </c>
    </row>
    <row r="4853" spans="1:5">
      <c r="A4853" s="715">
        <v>4448</v>
      </c>
      <c r="B4853" s="633" t="s">
        <v>39251</v>
      </c>
      <c r="C4853" s="715" t="s">
        <v>165</v>
      </c>
      <c r="D4853" s="715" t="s">
        <v>40839</v>
      </c>
      <c r="E4853" s="716">
        <v>21.86</v>
      </c>
    </row>
    <row r="4854" spans="1:5" ht="29">
      <c r="A4854" s="715">
        <v>20213</v>
      </c>
      <c r="B4854" s="633" t="s">
        <v>39252</v>
      </c>
      <c r="C4854" s="715" t="s">
        <v>165</v>
      </c>
      <c r="D4854" s="715" t="s">
        <v>40839</v>
      </c>
      <c r="E4854" s="716">
        <v>32.270000000000003</v>
      </c>
    </row>
    <row r="4855" spans="1:5" ht="29">
      <c r="A4855" s="715">
        <v>20211</v>
      </c>
      <c r="B4855" s="633" t="s">
        <v>39253</v>
      </c>
      <c r="C4855" s="715" t="s">
        <v>165</v>
      </c>
      <c r="D4855" s="715" t="s">
        <v>40839</v>
      </c>
      <c r="E4855" s="716">
        <v>42.73</v>
      </c>
    </row>
    <row r="4856" spans="1:5" ht="29">
      <c r="A4856" s="715">
        <v>40270</v>
      </c>
      <c r="B4856" s="633" t="s">
        <v>39254</v>
      </c>
      <c r="C4856" s="715" t="s">
        <v>165</v>
      </c>
      <c r="D4856" s="715" t="s">
        <v>28018</v>
      </c>
      <c r="E4856" s="716">
        <v>133.03</v>
      </c>
    </row>
    <row r="4857" spans="1:5" ht="29">
      <c r="A4857" s="715">
        <v>4425</v>
      </c>
      <c r="B4857" s="633" t="s">
        <v>39255</v>
      </c>
      <c r="C4857" s="715" t="s">
        <v>165</v>
      </c>
      <c r="D4857" s="715" t="s">
        <v>40839</v>
      </c>
      <c r="E4857" s="716">
        <v>35.32</v>
      </c>
    </row>
    <row r="4858" spans="1:5" ht="29">
      <c r="A4858" s="715">
        <v>4472</v>
      </c>
      <c r="B4858" s="633" t="s">
        <v>39256</v>
      </c>
      <c r="C4858" s="715" t="s">
        <v>165</v>
      </c>
      <c r="D4858" s="715" t="s">
        <v>40839</v>
      </c>
      <c r="E4858" s="716">
        <v>44.12</v>
      </c>
    </row>
    <row r="4859" spans="1:5" ht="29">
      <c r="A4859" s="715">
        <v>35272</v>
      </c>
      <c r="B4859" s="633" t="s">
        <v>39257</v>
      </c>
      <c r="C4859" s="715" t="s">
        <v>165</v>
      </c>
      <c r="D4859" s="715" t="s">
        <v>40839</v>
      </c>
      <c r="E4859" s="716">
        <v>63.78</v>
      </c>
    </row>
    <row r="4860" spans="1:5" ht="29">
      <c r="A4860" s="715">
        <v>4481</v>
      </c>
      <c r="B4860" s="633" t="s">
        <v>39258</v>
      </c>
      <c r="C4860" s="715" t="s">
        <v>165</v>
      </c>
      <c r="D4860" s="715" t="s">
        <v>40839</v>
      </c>
      <c r="E4860" s="716">
        <v>68.27</v>
      </c>
    </row>
    <row r="4861" spans="1:5">
      <c r="A4861" s="715">
        <v>34345</v>
      </c>
      <c r="B4861" s="633" t="s">
        <v>39259</v>
      </c>
      <c r="C4861" s="715" t="s">
        <v>11</v>
      </c>
      <c r="D4861" s="715" t="s">
        <v>40839</v>
      </c>
      <c r="E4861" s="716">
        <v>23.93</v>
      </c>
    </row>
    <row r="4862" spans="1:5">
      <c r="A4862" s="715">
        <v>41096</v>
      </c>
      <c r="B4862" s="633" t="s">
        <v>39260</v>
      </c>
      <c r="C4862" s="715" t="s">
        <v>27629</v>
      </c>
      <c r="D4862" s="715" t="s">
        <v>40839</v>
      </c>
      <c r="E4862" s="716">
        <v>4194.32</v>
      </c>
    </row>
    <row r="4863" spans="1:5">
      <c r="A4863" s="715">
        <v>37993</v>
      </c>
      <c r="B4863" s="633" t="s">
        <v>39143</v>
      </c>
      <c r="C4863" s="715" t="s">
        <v>103</v>
      </c>
      <c r="D4863" s="715" t="s">
        <v>40839</v>
      </c>
      <c r="E4863" s="716">
        <v>53.54</v>
      </c>
    </row>
    <row r="4864" spans="1:5">
      <c r="A4864" s="715">
        <v>37994</v>
      </c>
      <c r="B4864" s="633" t="s">
        <v>39144</v>
      </c>
      <c r="C4864" s="715" t="s">
        <v>103</v>
      </c>
      <c r="D4864" s="715" t="s">
        <v>40839</v>
      </c>
      <c r="E4864" s="716">
        <v>127.5</v>
      </c>
    </row>
    <row r="4865" spans="1:5">
      <c r="A4865" s="715">
        <v>37995</v>
      </c>
      <c r="B4865" s="633" t="s">
        <v>39145</v>
      </c>
      <c r="C4865" s="715" t="s">
        <v>103</v>
      </c>
      <c r="D4865" s="715" t="s">
        <v>40839</v>
      </c>
      <c r="E4865" s="716">
        <v>166.19</v>
      </c>
    </row>
    <row r="4866" spans="1:5">
      <c r="A4866" s="715">
        <v>37996</v>
      </c>
      <c r="B4866" s="633" t="s">
        <v>39146</v>
      </c>
      <c r="C4866" s="715" t="s">
        <v>103</v>
      </c>
      <c r="D4866" s="715" t="s">
        <v>40839</v>
      </c>
      <c r="E4866" s="716">
        <v>253.06</v>
      </c>
    </row>
    <row r="4867" spans="1:5" ht="29">
      <c r="A4867" s="715">
        <v>45267</v>
      </c>
      <c r="B4867" s="633" t="s">
        <v>40877</v>
      </c>
      <c r="C4867" s="715" t="s">
        <v>103</v>
      </c>
      <c r="D4867" s="715" t="s">
        <v>40839</v>
      </c>
      <c r="E4867" s="716">
        <v>195.22</v>
      </c>
    </row>
    <row r="4868" spans="1:5">
      <c r="A4868" s="715">
        <v>13883</v>
      </c>
      <c r="B4868" s="633" t="s">
        <v>39147</v>
      </c>
      <c r="C4868" s="715" t="s">
        <v>103</v>
      </c>
      <c r="D4868" s="715" t="s">
        <v>40839</v>
      </c>
      <c r="E4868" s="716">
        <v>161683.64000000001</v>
      </c>
    </row>
    <row r="4869" spans="1:5">
      <c r="A4869" s="715">
        <v>38604</v>
      </c>
      <c r="B4869" s="633" t="s">
        <v>39148</v>
      </c>
      <c r="C4869" s="715" t="s">
        <v>103</v>
      </c>
      <c r="D4869" s="715" t="s">
        <v>40839</v>
      </c>
      <c r="E4869" s="716">
        <v>201374.82</v>
      </c>
    </row>
    <row r="4870" spans="1:5" ht="29">
      <c r="A4870" s="715">
        <v>10601</v>
      </c>
      <c r="B4870" s="633" t="s">
        <v>39149</v>
      </c>
      <c r="C4870" s="715" t="s">
        <v>103</v>
      </c>
      <c r="D4870" s="715" t="s">
        <v>40839</v>
      </c>
      <c r="E4870" s="716">
        <v>3917142.05</v>
      </c>
    </row>
    <row r="4871" spans="1:5">
      <c r="A4871" s="715">
        <v>44469</v>
      </c>
      <c r="B4871" s="633" t="s">
        <v>41089</v>
      </c>
      <c r="C4871" s="715" t="s">
        <v>103</v>
      </c>
      <c r="D4871" s="715" t="s">
        <v>40839</v>
      </c>
      <c r="E4871" s="716">
        <v>10313696.779999999</v>
      </c>
    </row>
    <row r="4872" spans="1:5">
      <c r="A4872" s="715">
        <v>13894</v>
      </c>
      <c r="B4872" s="633" t="s">
        <v>39150</v>
      </c>
      <c r="C4872" s="715" t="s">
        <v>103</v>
      </c>
      <c r="D4872" s="715" t="s">
        <v>40839</v>
      </c>
      <c r="E4872" s="716">
        <v>399604.75</v>
      </c>
    </row>
    <row r="4873" spans="1:5">
      <c r="A4873" s="715">
        <v>13895</v>
      </c>
      <c r="B4873" s="633" t="s">
        <v>39151</v>
      </c>
      <c r="C4873" s="715" t="s">
        <v>103</v>
      </c>
      <c r="D4873" s="715" t="s">
        <v>40839</v>
      </c>
      <c r="E4873" s="716">
        <v>537335.18000000005</v>
      </c>
    </row>
    <row r="4874" spans="1:5">
      <c r="A4874" s="715">
        <v>13892</v>
      </c>
      <c r="B4874" s="633" t="s">
        <v>39152</v>
      </c>
      <c r="C4874" s="715" t="s">
        <v>103</v>
      </c>
      <c r="D4874" s="715" t="s">
        <v>40839</v>
      </c>
      <c r="E4874" s="716">
        <v>658491.12</v>
      </c>
    </row>
    <row r="4875" spans="1:5">
      <c r="A4875" s="715">
        <v>9914</v>
      </c>
      <c r="B4875" s="633" t="s">
        <v>39153</v>
      </c>
      <c r="C4875" s="715" t="s">
        <v>103</v>
      </c>
      <c r="D4875" s="715" t="s">
        <v>28018</v>
      </c>
      <c r="E4875" s="716">
        <v>712400</v>
      </c>
    </row>
    <row r="4876" spans="1:5" ht="43">
      <c r="A4876" s="715">
        <v>36485</v>
      </c>
      <c r="B4876" s="633" t="s">
        <v>39154</v>
      </c>
      <c r="C4876" s="715" t="s">
        <v>103</v>
      </c>
      <c r="D4876" s="715" t="s">
        <v>40839</v>
      </c>
      <c r="E4876" s="716">
        <v>805286.77</v>
      </c>
    </row>
    <row r="4877" spans="1:5" ht="29">
      <c r="A4877" s="715">
        <v>9912</v>
      </c>
      <c r="B4877" s="633" t="s">
        <v>39155</v>
      </c>
      <c r="C4877" s="715" t="s">
        <v>103</v>
      </c>
      <c r="D4877" s="715" t="s">
        <v>28018</v>
      </c>
      <c r="E4877" s="716">
        <v>3188995</v>
      </c>
    </row>
    <row r="4878" spans="1:5" ht="29">
      <c r="A4878" s="715">
        <v>9921</v>
      </c>
      <c r="B4878" s="633" t="s">
        <v>39156</v>
      </c>
      <c r="C4878" s="715" t="s">
        <v>103</v>
      </c>
      <c r="D4878" s="715" t="s">
        <v>40839</v>
      </c>
      <c r="E4878" s="716">
        <v>1645034.46</v>
      </c>
    </row>
    <row r="4879" spans="1:5" ht="29">
      <c r="A4879" s="715">
        <v>21112</v>
      </c>
      <c r="B4879" s="633" t="s">
        <v>39157</v>
      </c>
      <c r="C4879" s="715" t="s">
        <v>103</v>
      </c>
      <c r="D4879" s="715" t="s">
        <v>40839</v>
      </c>
      <c r="E4879" s="716">
        <v>328.42</v>
      </c>
    </row>
    <row r="4880" spans="1:5">
      <c r="A4880" s="715">
        <v>10228</v>
      </c>
      <c r="B4880" s="633" t="s">
        <v>39158</v>
      </c>
      <c r="C4880" s="715" t="s">
        <v>103</v>
      </c>
      <c r="D4880" s="715" t="s">
        <v>28018</v>
      </c>
      <c r="E4880" s="716">
        <v>381.53</v>
      </c>
    </row>
    <row r="4881" spans="1:5">
      <c r="A4881" s="715">
        <v>11781</v>
      </c>
      <c r="B4881" s="633" t="s">
        <v>39159</v>
      </c>
      <c r="C4881" s="715" t="s">
        <v>103</v>
      </c>
      <c r="D4881" s="715" t="s">
        <v>40839</v>
      </c>
      <c r="E4881" s="716">
        <v>309.08</v>
      </c>
    </row>
    <row r="4882" spans="1:5" ht="29">
      <c r="A4882" s="715">
        <v>37588</v>
      </c>
      <c r="B4882" s="633" t="s">
        <v>41090</v>
      </c>
      <c r="C4882" s="715" t="s">
        <v>103</v>
      </c>
      <c r="D4882" s="715" t="s">
        <v>40839</v>
      </c>
      <c r="E4882" s="716">
        <v>62.6</v>
      </c>
    </row>
    <row r="4883" spans="1:5">
      <c r="A4883" s="715">
        <v>11751</v>
      </c>
      <c r="B4883" s="633" t="s">
        <v>39160</v>
      </c>
      <c r="C4883" s="715" t="s">
        <v>103</v>
      </c>
      <c r="D4883" s="715" t="s">
        <v>40839</v>
      </c>
      <c r="E4883" s="716">
        <v>98.31</v>
      </c>
    </row>
    <row r="4884" spans="1:5">
      <c r="A4884" s="715">
        <v>11750</v>
      </c>
      <c r="B4884" s="633" t="s">
        <v>39161</v>
      </c>
      <c r="C4884" s="715" t="s">
        <v>103</v>
      </c>
      <c r="D4884" s="715" t="s">
        <v>40839</v>
      </c>
      <c r="E4884" s="716">
        <v>81.58</v>
      </c>
    </row>
    <row r="4885" spans="1:5">
      <c r="A4885" s="715">
        <v>11746</v>
      </c>
      <c r="B4885" s="633" t="s">
        <v>39162</v>
      </c>
      <c r="C4885" s="715" t="s">
        <v>103</v>
      </c>
      <c r="D4885" s="715" t="s">
        <v>40839</v>
      </c>
      <c r="E4885" s="716">
        <v>54.74</v>
      </c>
    </row>
    <row r="4886" spans="1:5">
      <c r="A4886" s="715">
        <v>11748</v>
      </c>
      <c r="B4886" s="633" t="s">
        <v>39163</v>
      </c>
      <c r="C4886" s="715" t="s">
        <v>103</v>
      </c>
      <c r="D4886" s="715" t="s">
        <v>40839</v>
      </c>
      <c r="E4886" s="716">
        <v>35.119999999999997</v>
      </c>
    </row>
    <row r="4887" spans="1:5">
      <c r="A4887" s="715">
        <v>11747</v>
      </c>
      <c r="B4887" s="633" t="s">
        <v>39164</v>
      </c>
      <c r="C4887" s="715" t="s">
        <v>103</v>
      </c>
      <c r="D4887" s="715" t="s">
        <v>40839</v>
      </c>
      <c r="E4887" s="716">
        <v>151.6</v>
      </c>
    </row>
    <row r="4888" spans="1:5">
      <c r="A4888" s="715">
        <v>11749</v>
      </c>
      <c r="B4888" s="633" t="s">
        <v>39165</v>
      </c>
      <c r="C4888" s="715" t="s">
        <v>103</v>
      </c>
      <c r="D4888" s="715" t="s">
        <v>40839</v>
      </c>
      <c r="E4888" s="716">
        <v>40.54</v>
      </c>
    </row>
    <row r="4889" spans="1:5" ht="29">
      <c r="A4889" s="715">
        <v>10236</v>
      </c>
      <c r="B4889" s="633" t="s">
        <v>39166</v>
      </c>
      <c r="C4889" s="715" t="s">
        <v>103</v>
      </c>
      <c r="D4889" s="715" t="s">
        <v>40839</v>
      </c>
      <c r="E4889" s="716">
        <v>164.56</v>
      </c>
    </row>
    <row r="4890" spans="1:5" ht="29">
      <c r="A4890" s="715">
        <v>10233</v>
      </c>
      <c r="B4890" s="633" t="s">
        <v>39167</v>
      </c>
      <c r="C4890" s="715" t="s">
        <v>103</v>
      </c>
      <c r="D4890" s="715" t="s">
        <v>40839</v>
      </c>
      <c r="E4890" s="716">
        <v>154.21</v>
      </c>
    </row>
    <row r="4891" spans="1:5" ht="29">
      <c r="A4891" s="715">
        <v>10234</v>
      </c>
      <c r="B4891" s="633" t="s">
        <v>39168</v>
      </c>
      <c r="C4891" s="715" t="s">
        <v>103</v>
      </c>
      <c r="D4891" s="715" t="s">
        <v>40839</v>
      </c>
      <c r="E4891" s="716">
        <v>97.14</v>
      </c>
    </row>
    <row r="4892" spans="1:5" ht="29">
      <c r="A4892" s="715">
        <v>10231</v>
      </c>
      <c r="B4892" s="633" t="s">
        <v>39169</v>
      </c>
      <c r="C4892" s="715" t="s">
        <v>103</v>
      </c>
      <c r="D4892" s="715" t="s">
        <v>40839</v>
      </c>
      <c r="E4892" s="716">
        <v>445.45</v>
      </c>
    </row>
    <row r="4893" spans="1:5" ht="29">
      <c r="A4893" s="715">
        <v>10232</v>
      </c>
      <c r="B4893" s="633" t="s">
        <v>39170</v>
      </c>
      <c r="C4893" s="715" t="s">
        <v>103</v>
      </c>
      <c r="D4893" s="715" t="s">
        <v>40839</v>
      </c>
      <c r="E4893" s="716">
        <v>249.26</v>
      </c>
    </row>
    <row r="4894" spans="1:5" ht="29">
      <c r="A4894" s="715">
        <v>10235</v>
      </c>
      <c r="B4894" s="633" t="s">
        <v>39171</v>
      </c>
      <c r="C4894" s="715" t="s">
        <v>103</v>
      </c>
      <c r="D4894" s="715" t="s">
        <v>40839</v>
      </c>
      <c r="E4894" s="716">
        <v>610.66</v>
      </c>
    </row>
    <row r="4895" spans="1:5" ht="29">
      <c r="A4895" s="715">
        <v>10229</v>
      </c>
      <c r="B4895" s="633" t="s">
        <v>39172</v>
      </c>
      <c r="C4895" s="715" t="s">
        <v>103</v>
      </c>
      <c r="D4895" s="715" t="s">
        <v>28018</v>
      </c>
      <c r="E4895" s="716">
        <v>87.85</v>
      </c>
    </row>
    <row r="4896" spans="1:5" ht="29">
      <c r="A4896" s="715">
        <v>10230</v>
      </c>
      <c r="B4896" s="633" t="s">
        <v>39173</v>
      </c>
      <c r="C4896" s="715" t="s">
        <v>103</v>
      </c>
      <c r="D4896" s="715" t="s">
        <v>40839</v>
      </c>
      <c r="E4896" s="716">
        <v>1074.71</v>
      </c>
    </row>
    <row r="4897" spans="1:5" ht="29">
      <c r="A4897" s="715">
        <v>10409</v>
      </c>
      <c r="B4897" s="633" t="s">
        <v>39174</v>
      </c>
      <c r="C4897" s="715" t="s">
        <v>103</v>
      </c>
      <c r="D4897" s="715" t="s">
        <v>40839</v>
      </c>
      <c r="E4897" s="716">
        <v>319.27999999999997</v>
      </c>
    </row>
    <row r="4898" spans="1:5" ht="29">
      <c r="A4898" s="715">
        <v>10411</v>
      </c>
      <c r="B4898" s="633" t="s">
        <v>39175</v>
      </c>
      <c r="C4898" s="715" t="s">
        <v>103</v>
      </c>
      <c r="D4898" s="715" t="s">
        <v>40839</v>
      </c>
      <c r="E4898" s="716">
        <v>285.7</v>
      </c>
    </row>
    <row r="4899" spans="1:5" ht="29">
      <c r="A4899" s="715">
        <v>10410</v>
      </c>
      <c r="B4899" s="633" t="s">
        <v>39176</v>
      </c>
      <c r="C4899" s="715" t="s">
        <v>103</v>
      </c>
      <c r="D4899" s="715" t="s">
        <v>40839</v>
      </c>
      <c r="E4899" s="716">
        <v>190.84</v>
      </c>
    </row>
    <row r="4900" spans="1:5" ht="29">
      <c r="A4900" s="715">
        <v>10404</v>
      </c>
      <c r="B4900" s="633" t="s">
        <v>39177</v>
      </c>
      <c r="C4900" s="715" t="s">
        <v>103</v>
      </c>
      <c r="D4900" s="715" t="s">
        <v>40839</v>
      </c>
      <c r="E4900" s="716">
        <v>115.86</v>
      </c>
    </row>
    <row r="4901" spans="1:5" ht="32">
      <c r="A4901" s="85">
        <v>10405</v>
      </c>
      <c r="B4901" s="85" t="s">
        <v>39178</v>
      </c>
      <c r="C4901" s="85" t="s">
        <v>103</v>
      </c>
      <c r="D4901" s="85" t="s">
        <v>40839</v>
      </c>
      <c r="E4901" s="85">
        <v>639.67999999999995</v>
      </c>
    </row>
    <row r="4902" spans="1:5" ht="32">
      <c r="A4902" s="85">
        <v>10408</v>
      </c>
      <c r="B4902" s="85" t="s">
        <v>39179</v>
      </c>
      <c r="C4902" s="85" t="s">
        <v>103</v>
      </c>
      <c r="D4902" s="85" t="s">
        <v>40839</v>
      </c>
      <c r="E4902" s="85">
        <v>447.32</v>
      </c>
    </row>
    <row r="4903" spans="1:5" ht="32">
      <c r="A4903" s="85">
        <v>10406</v>
      </c>
      <c r="B4903" s="85" t="s">
        <v>39180</v>
      </c>
      <c r="C4903" s="85" t="s">
        <v>103</v>
      </c>
      <c r="D4903" s="85" t="s">
        <v>40839</v>
      </c>
      <c r="E4903" s="85">
        <v>883.54</v>
      </c>
    </row>
    <row r="4904" spans="1:5" ht="32">
      <c r="A4904" s="85">
        <v>10412</v>
      </c>
      <c r="B4904" s="85" t="s">
        <v>39181</v>
      </c>
      <c r="C4904" s="85" t="s">
        <v>103</v>
      </c>
      <c r="D4904" s="85" t="s">
        <v>40839</v>
      </c>
      <c r="E4904" s="85">
        <v>140.41</v>
      </c>
    </row>
    <row r="4905" spans="1:5" ht="32">
      <c r="A4905" s="85">
        <v>10407</v>
      </c>
      <c r="B4905" s="85" t="s">
        <v>39182</v>
      </c>
      <c r="C4905" s="85" t="s">
        <v>103</v>
      </c>
      <c r="D4905" s="85" t="s">
        <v>40839</v>
      </c>
      <c r="E4905" s="85">
        <v>1370.37</v>
      </c>
    </row>
    <row r="4906" spans="1:5" ht="16">
      <c r="A4906" s="85">
        <v>10416</v>
      </c>
      <c r="B4906" s="85" t="s">
        <v>39183</v>
      </c>
      <c r="C4906" s="85" t="s">
        <v>103</v>
      </c>
      <c r="D4906" s="85" t="s">
        <v>40839</v>
      </c>
      <c r="E4906" s="85">
        <v>169.98</v>
      </c>
    </row>
    <row r="4907" spans="1:5" ht="16">
      <c r="A4907" s="85">
        <v>10419</v>
      </c>
      <c r="B4907" s="85" t="s">
        <v>39184</v>
      </c>
      <c r="C4907" s="85" t="s">
        <v>103</v>
      </c>
      <c r="D4907" s="85" t="s">
        <v>40839</v>
      </c>
      <c r="E4907" s="85">
        <v>147.54</v>
      </c>
    </row>
    <row r="4908" spans="1:5" ht="16">
      <c r="A4908" s="85">
        <v>10418</v>
      </c>
      <c r="B4908" s="85" t="s">
        <v>39185</v>
      </c>
      <c r="C4908" s="85" t="s">
        <v>103</v>
      </c>
      <c r="D4908" s="85" t="s">
        <v>40839</v>
      </c>
      <c r="E4908" s="85">
        <v>98.35</v>
      </c>
    </row>
    <row r="4909" spans="1:5" ht="16">
      <c r="A4909" s="85">
        <v>21092</v>
      </c>
      <c r="B4909" s="85" t="s">
        <v>39186</v>
      </c>
      <c r="C4909" s="85" t="s">
        <v>103</v>
      </c>
      <c r="D4909" s="85" t="s">
        <v>40839</v>
      </c>
      <c r="E4909" s="85">
        <v>84.35</v>
      </c>
    </row>
    <row r="4910" spans="1:5" ht="16">
      <c r="A4910" s="85">
        <v>12657</v>
      </c>
      <c r="B4910" s="85" t="s">
        <v>39187</v>
      </c>
      <c r="C4910" s="85" t="s">
        <v>103</v>
      </c>
      <c r="D4910" s="85" t="s">
        <v>40839</v>
      </c>
      <c r="E4910" s="85">
        <v>396.86</v>
      </c>
    </row>
    <row r="4911" spans="1:5" ht="16">
      <c r="A4911" s="85">
        <v>10417</v>
      </c>
      <c r="B4911" s="85" t="s">
        <v>39188</v>
      </c>
      <c r="C4911" s="85" t="s">
        <v>103</v>
      </c>
      <c r="D4911" s="85" t="s">
        <v>40839</v>
      </c>
      <c r="E4911" s="85">
        <v>247.67</v>
      </c>
    </row>
    <row r="4912" spans="1:5" ht="16">
      <c r="A4912" s="85">
        <v>10414</v>
      </c>
      <c r="B4912" s="85" t="s">
        <v>39189</v>
      </c>
      <c r="C4912" s="85" t="s">
        <v>103</v>
      </c>
      <c r="D4912" s="85" t="s">
        <v>40839</v>
      </c>
      <c r="E4912" s="85">
        <v>541.94000000000005</v>
      </c>
    </row>
    <row r="4913" spans="1:5" ht="16">
      <c r="A4913" s="85">
        <v>10413</v>
      </c>
      <c r="B4913" s="85" t="s">
        <v>39190</v>
      </c>
      <c r="C4913" s="85" t="s">
        <v>103</v>
      </c>
      <c r="D4913" s="85" t="s">
        <v>40839</v>
      </c>
      <c r="E4913" s="85">
        <v>90.01</v>
      </c>
    </row>
    <row r="4914" spans="1:5" ht="16">
      <c r="A4914" s="85">
        <v>10415</v>
      </c>
      <c r="B4914" s="85" t="s">
        <v>39191</v>
      </c>
      <c r="C4914" s="85" t="s">
        <v>103</v>
      </c>
      <c r="D4914" s="85" t="s">
        <v>40839</v>
      </c>
      <c r="E4914" s="85">
        <v>940.58</v>
      </c>
    </row>
    <row r="4915" spans="1:5" ht="16">
      <c r="A4915" s="85">
        <v>38643</v>
      </c>
      <c r="B4915" s="85" t="s">
        <v>39192</v>
      </c>
      <c r="C4915" s="85" t="s">
        <v>103</v>
      </c>
      <c r="D4915" s="85" t="s">
        <v>40839</v>
      </c>
      <c r="E4915" s="85">
        <v>49.75</v>
      </c>
    </row>
    <row r="4916" spans="1:5" ht="16">
      <c r="A4916" s="85">
        <v>6157</v>
      </c>
      <c r="B4916" s="85" t="s">
        <v>39193</v>
      </c>
      <c r="C4916" s="85" t="s">
        <v>103</v>
      </c>
      <c r="D4916" s="85" t="s">
        <v>40839</v>
      </c>
      <c r="E4916" s="85">
        <v>67.959999999999994</v>
      </c>
    </row>
    <row r="4917" spans="1:5" ht="16">
      <c r="A4917" s="85">
        <v>6158</v>
      </c>
      <c r="B4917" s="85" t="s">
        <v>41091</v>
      </c>
      <c r="C4917" s="85" t="s">
        <v>103</v>
      </c>
      <c r="D4917" s="85" t="s">
        <v>40839</v>
      </c>
      <c r="E4917" s="85">
        <v>9.31</v>
      </c>
    </row>
    <row r="4918" spans="1:5" ht="16">
      <c r="A4918" s="85">
        <v>6156</v>
      </c>
      <c r="B4918" s="85" t="s">
        <v>41092</v>
      </c>
      <c r="C4918" s="85" t="s">
        <v>103</v>
      </c>
      <c r="D4918" s="85" t="s">
        <v>40839</v>
      </c>
      <c r="E4918" s="85">
        <v>7.99</v>
      </c>
    </row>
    <row r="4919" spans="1:5" ht="16">
      <c r="A4919" s="85">
        <v>6153</v>
      </c>
      <c r="B4919" s="85" t="s">
        <v>41093</v>
      </c>
      <c r="C4919" s="85" t="s">
        <v>103</v>
      </c>
      <c r="D4919" s="85" t="s">
        <v>40839</v>
      </c>
      <c r="E4919" s="85">
        <v>6.41</v>
      </c>
    </row>
    <row r="4920" spans="1:5" ht="16">
      <c r="A4920" s="85">
        <v>6154</v>
      </c>
      <c r="B4920" s="85" t="s">
        <v>41094</v>
      </c>
      <c r="C4920" s="85" t="s">
        <v>103</v>
      </c>
      <c r="D4920" s="85" t="s">
        <v>40839</v>
      </c>
      <c r="E4920" s="85">
        <v>11.39</v>
      </c>
    </row>
    <row r="4921" spans="1:5" ht="32">
      <c r="A4921" s="85">
        <v>6155</v>
      </c>
      <c r="B4921" s="85" t="s">
        <v>41095</v>
      </c>
      <c r="C4921" s="85" t="s">
        <v>103</v>
      </c>
      <c r="D4921" s="85" t="s">
        <v>40839</v>
      </c>
      <c r="E4921" s="85">
        <v>26.22</v>
      </c>
    </row>
    <row r="4922" spans="1:5" ht="32">
      <c r="A4922" s="85">
        <v>43595</v>
      </c>
      <c r="B4922" s="85" t="s">
        <v>39194</v>
      </c>
      <c r="C4922" s="85" t="s">
        <v>103</v>
      </c>
      <c r="D4922" s="85" t="s">
        <v>40839</v>
      </c>
      <c r="E4922" s="85">
        <v>18.61</v>
      </c>
    </row>
    <row r="4923" spans="1:5" ht="32">
      <c r="A4923" s="85">
        <v>43596</v>
      </c>
      <c r="B4923" s="85" t="s">
        <v>39195</v>
      </c>
      <c r="C4923" s="85" t="s">
        <v>103</v>
      </c>
      <c r="D4923" s="85" t="s">
        <v>40839</v>
      </c>
      <c r="E4923" s="85">
        <v>21.51</v>
      </c>
    </row>
    <row r="4924" spans="1:5" ht="16">
      <c r="A4924" s="85">
        <v>38108</v>
      </c>
      <c r="B4924" s="85" t="s">
        <v>39196</v>
      </c>
      <c r="C4924" s="85" t="s">
        <v>103</v>
      </c>
      <c r="D4924" s="85" t="s">
        <v>40839</v>
      </c>
      <c r="E4924" s="85">
        <v>52.08</v>
      </c>
    </row>
    <row r="4925" spans="1:5" ht="32">
      <c r="A4925" s="85">
        <v>38087</v>
      </c>
      <c r="B4925" s="85" t="s">
        <v>39197</v>
      </c>
      <c r="C4925" s="85" t="s">
        <v>103</v>
      </c>
      <c r="D4925" s="85" t="s">
        <v>40839</v>
      </c>
      <c r="E4925" s="85">
        <v>66.98</v>
      </c>
    </row>
    <row r="4926" spans="1:5" ht="16">
      <c r="A4926" s="85">
        <v>38109</v>
      </c>
      <c r="B4926" s="85" t="s">
        <v>39198</v>
      </c>
      <c r="C4926" s="85" t="s">
        <v>103</v>
      </c>
      <c r="D4926" s="85" t="s">
        <v>40839</v>
      </c>
      <c r="E4926" s="85">
        <v>83.23</v>
      </c>
    </row>
    <row r="4927" spans="1:5" ht="32">
      <c r="A4927" s="85">
        <v>38088</v>
      </c>
      <c r="B4927" s="85" t="s">
        <v>39199</v>
      </c>
      <c r="C4927" s="85" t="s">
        <v>103</v>
      </c>
      <c r="D4927" s="85" t="s">
        <v>40839</v>
      </c>
      <c r="E4927" s="85">
        <v>87.52</v>
      </c>
    </row>
    <row r="4928" spans="1:5" ht="16">
      <c r="A4928" s="85">
        <v>38110</v>
      </c>
      <c r="B4928" s="85" t="s">
        <v>39200</v>
      </c>
      <c r="C4928" s="85" t="s">
        <v>103</v>
      </c>
      <c r="D4928" s="85" t="s">
        <v>40839</v>
      </c>
      <c r="E4928" s="85">
        <v>32.020000000000003</v>
      </c>
    </row>
    <row r="4929" spans="1:5" ht="32">
      <c r="A4929" s="85">
        <v>38089</v>
      </c>
      <c r="B4929" s="85" t="s">
        <v>39201</v>
      </c>
      <c r="C4929" s="85" t="s">
        <v>103</v>
      </c>
      <c r="D4929" s="85" t="s">
        <v>40839</v>
      </c>
      <c r="E4929" s="85">
        <v>55.79</v>
      </c>
    </row>
    <row r="4930" spans="1:5" ht="16">
      <c r="A4930" s="85">
        <v>38111</v>
      </c>
      <c r="B4930" s="85" t="s">
        <v>39202</v>
      </c>
      <c r="C4930" s="85" t="s">
        <v>103</v>
      </c>
      <c r="D4930" s="85" t="s">
        <v>40839</v>
      </c>
      <c r="E4930" s="85">
        <v>35.799999999999997</v>
      </c>
    </row>
    <row r="4931" spans="1:5" ht="32">
      <c r="A4931" s="85">
        <v>38090</v>
      </c>
      <c r="B4931" s="85" t="s">
        <v>39203</v>
      </c>
      <c r="C4931" s="85" t="s">
        <v>103</v>
      </c>
      <c r="D4931" s="85" t="s">
        <v>40839</v>
      </c>
      <c r="E4931" s="85">
        <v>57.67</v>
      </c>
    </row>
    <row r="4932" spans="1:5" ht="16">
      <c r="A4932" s="85">
        <v>38400</v>
      </c>
      <c r="B4932" s="85" t="s">
        <v>39204</v>
      </c>
      <c r="C4932" s="85" t="s">
        <v>103</v>
      </c>
      <c r="D4932" s="85" t="s">
        <v>40839</v>
      </c>
      <c r="E4932" s="85">
        <v>49.5</v>
      </c>
    </row>
    <row r="4933" spans="1:5" ht="16">
      <c r="A4933" s="85">
        <v>13726</v>
      </c>
      <c r="B4933" s="85" t="s">
        <v>39205</v>
      </c>
      <c r="C4933" s="85" t="s">
        <v>103</v>
      </c>
      <c r="D4933" s="85" t="s">
        <v>40839</v>
      </c>
      <c r="E4933" s="85">
        <v>66385.2</v>
      </c>
    </row>
    <row r="4934" spans="1:5" ht="32">
      <c r="A4934" s="85">
        <v>12627</v>
      </c>
      <c r="B4934" s="85" t="s">
        <v>39206</v>
      </c>
      <c r="C4934" s="85" t="s">
        <v>103</v>
      </c>
      <c r="D4934" s="85" t="s">
        <v>40839</v>
      </c>
      <c r="E4934" s="85">
        <v>1.39</v>
      </c>
    </row>
    <row r="4935" spans="1:5" ht="16">
      <c r="A4935" s="85">
        <v>39996</v>
      </c>
      <c r="B4935" s="85" t="s">
        <v>39207</v>
      </c>
      <c r="C4935" s="85" t="s">
        <v>165</v>
      </c>
      <c r="D4935" s="85" t="s">
        <v>40839</v>
      </c>
      <c r="E4935" s="85">
        <v>3.45</v>
      </c>
    </row>
    <row r="4936" spans="1:5" ht="32">
      <c r="A4936" s="85">
        <v>10478</v>
      </c>
      <c r="B4936" s="85" t="s">
        <v>39208</v>
      </c>
      <c r="C4936" s="85" t="s">
        <v>153</v>
      </c>
      <c r="D4936" s="85" t="s">
        <v>28018</v>
      </c>
      <c r="E4936" s="85">
        <v>41.1</v>
      </c>
    </row>
    <row r="4937" spans="1:5" ht="32">
      <c r="A4937" s="85">
        <v>10481</v>
      </c>
      <c r="B4937" s="85" t="s">
        <v>39209</v>
      </c>
      <c r="C4937" s="85" t="s">
        <v>153</v>
      </c>
      <c r="D4937" s="85" t="s">
        <v>40839</v>
      </c>
      <c r="E4937" s="85">
        <v>36.549999999999997</v>
      </c>
    </row>
    <row r="4938" spans="1:5" ht="16">
      <c r="A4938" s="85">
        <v>10475</v>
      </c>
      <c r="B4938" s="85" t="s">
        <v>39210</v>
      </c>
      <c r="C4938" s="85" t="s">
        <v>153</v>
      </c>
      <c r="D4938" s="85" t="s">
        <v>40839</v>
      </c>
      <c r="E4938" s="85">
        <v>35.369999999999997</v>
      </c>
    </row>
    <row r="4939" spans="1:5" ht="16">
      <c r="A4939" s="85">
        <v>4030</v>
      </c>
      <c r="B4939" s="85" t="s">
        <v>39211</v>
      </c>
      <c r="C4939" s="85" t="s">
        <v>509</v>
      </c>
      <c r="D4939" s="85" t="s">
        <v>40839</v>
      </c>
      <c r="E4939" s="85">
        <v>7.38</v>
      </c>
    </row>
    <row r="4940" spans="1:5" ht="16">
      <c r="A4940" s="85">
        <v>4031</v>
      </c>
      <c r="B4940" s="85" t="s">
        <v>39212</v>
      </c>
      <c r="C4940" s="85" t="s">
        <v>509</v>
      </c>
      <c r="D4940" s="85" t="s">
        <v>40839</v>
      </c>
      <c r="E4940" s="85">
        <v>34.71</v>
      </c>
    </row>
    <row r="4941" spans="1:5" ht="16">
      <c r="A4941" s="85">
        <v>39399</v>
      </c>
      <c r="B4941" s="85" t="s">
        <v>39213</v>
      </c>
      <c r="C4941" s="85" t="s">
        <v>103</v>
      </c>
      <c r="D4941" s="85" t="s">
        <v>40839</v>
      </c>
      <c r="E4941" s="85">
        <v>1541.06</v>
      </c>
    </row>
    <row r="4942" spans="1:5" ht="16">
      <c r="A4942" s="85">
        <v>39400</v>
      </c>
      <c r="B4942" s="85" t="s">
        <v>39214</v>
      </c>
      <c r="C4942" s="85" t="s">
        <v>103</v>
      </c>
      <c r="D4942" s="85" t="s">
        <v>40839</v>
      </c>
      <c r="E4942" s="85">
        <v>1675.06</v>
      </c>
    </row>
    <row r="4943" spans="1:5" ht="16">
      <c r="A4943" s="85">
        <v>39401</v>
      </c>
      <c r="B4943" s="85" t="s">
        <v>39215</v>
      </c>
      <c r="C4943" s="85" t="s">
        <v>103</v>
      </c>
      <c r="D4943" s="85" t="s">
        <v>40839</v>
      </c>
      <c r="E4943" s="85">
        <v>1879.02</v>
      </c>
    </row>
    <row r="4944" spans="1:5" ht="32">
      <c r="A4944" s="85">
        <v>11652</v>
      </c>
      <c r="B4944" s="85" t="s">
        <v>39216</v>
      </c>
      <c r="C4944" s="85" t="s">
        <v>103</v>
      </c>
      <c r="D4944" s="85" t="s">
        <v>28018</v>
      </c>
      <c r="E4944" s="85">
        <v>4042.5</v>
      </c>
    </row>
    <row r="4945" spans="1:5" ht="32">
      <c r="A4945" s="85">
        <v>13475</v>
      </c>
      <c r="B4945" s="85" t="s">
        <v>39217</v>
      </c>
      <c r="C4945" s="85" t="s">
        <v>103</v>
      </c>
      <c r="D4945" s="85" t="s">
        <v>40839</v>
      </c>
      <c r="E4945" s="85">
        <v>4417.4799999999996</v>
      </c>
    </row>
    <row r="4946" spans="1:5" ht="32">
      <c r="A4946" s="85">
        <v>13896</v>
      </c>
      <c r="B4946" s="85" t="s">
        <v>39218</v>
      </c>
      <c r="C4946" s="85" t="s">
        <v>103</v>
      </c>
      <c r="D4946" s="85" t="s">
        <v>40839</v>
      </c>
      <c r="E4946" s="85">
        <v>3626.47</v>
      </c>
    </row>
    <row r="4947" spans="1:5" ht="32">
      <c r="A4947" s="85">
        <v>44470</v>
      </c>
      <c r="B4947" s="85" t="s">
        <v>41096</v>
      </c>
      <c r="C4947" s="85" t="s">
        <v>103</v>
      </c>
      <c r="D4947" s="85" t="s">
        <v>40839</v>
      </c>
      <c r="E4947" s="85">
        <v>1596480.46</v>
      </c>
    </row>
    <row r="4948" spans="1:5" ht="32">
      <c r="A4948" s="85">
        <v>13476</v>
      </c>
      <c r="B4948" s="85" t="s">
        <v>39219</v>
      </c>
      <c r="C4948" s="85" t="s">
        <v>103</v>
      </c>
      <c r="D4948" s="85" t="s">
        <v>40839</v>
      </c>
      <c r="E4948" s="85">
        <v>1608049.27</v>
      </c>
    </row>
    <row r="4949" spans="1:5" ht="32">
      <c r="A4949" s="85">
        <v>44491</v>
      </c>
      <c r="B4949" s="85" t="s">
        <v>41097</v>
      </c>
      <c r="C4949" s="85" t="s">
        <v>103</v>
      </c>
      <c r="D4949" s="85" t="s">
        <v>40839</v>
      </c>
      <c r="E4949" s="85">
        <v>3792219.66</v>
      </c>
    </row>
    <row r="4950" spans="1:5" ht="32">
      <c r="A4950" s="85">
        <v>10488</v>
      </c>
      <c r="B4950" s="85" t="s">
        <v>39220</v>
      </c>
      <c r="C4950" s="85" t="s">
        <v>103</v>
      </c>
      <c r="D4950" s="85" t="s">
        <v>28018</v>
      </c>
      <c r="E4950" s="85">
        <v>1948169</v>
      </c>
    </row>
    <row r="4951" spans="1:5" ht="32">
      <c r="A4951" s="85">
        <v>13606</v>
      </c>
      <c r="B4951" s="85" t="s">
        <v>39221</v>
      </c>
      <c r="C4951" s="85" t="s">
        <v>103</v>
      </c>
      <c r="D4951" s="85" t="s">
        <v>40839</v>
      </c>
      <c r="E4951" s="85">
        <v>1726049.87</v>
      </c>
    </row>
    <row r="4952" spans="1:5" ht="16">
      <c r="A4952" s="85">
        <v>10489</v>
      </c>
      <c r="B4952" s="85" t="s">
        <v>39222</v>
      </c>
      <c r="C4952" s="85" t="s">
        <v>11</v>
      </c>
      <c r="D4952" s="85" t="s">
        <v>40839</v>
      </c>
      <c r="E4952" s="85">
        <v>21.44</v>
      </c>
    </row>
    <row r="4953" spans="1:5" ht="16">
      <c r="A4953" s="85">
        <v>41073</v>
      </c>
      <c r="B4953" s="85" t="s">
        <v>39223</v>
      </c>
      <c r="C4953" s="85" t="s">
        <v>27629</v>
      </c>
      <c r="D4953" s="85" t="s">
        <v>40839</v>
      </c>
      <c r="E4953" s="85">
        <v>3757.15</v>
      </c>
    </row>
    <row r="4954" spans="1:5" ht="32">
      <c r="A4954" s="85">
        <v>34391</v>
      </c>
      <c r="B4954" s="85" t="s">
        <v>39224</v>
      </c>
      <c r="C4954" s="85" t="s">
        <v>509</v>
      </c>
      <c r="D4954" s="85" t="s">
        <v>40839</v>
      </c>
      <c r="E4954" s="85">
        <v>861.75</v>
      </c>
    </row>
    <row r="4955" spans="1:5" ht="32">
      <c r="A4955" s="85">
        <v>10496</v>
      </c>
      <c r="B4955" s="85" t="s">
        <v>39225</v>
      </c>
      <c r="C4955" s="85" t="s">
        <v>509</v>
      </c>
      <c r="D4955" s="85" t="s">
        <v>40839</v>
      </c>
      <c r="E4955" s="85">
        <v>750</v>
      </c>
    </row>
    <row r="4956" spans="1:5" ht="32">
      <c r="A4956" s="85">
        <v>10497</v>
      </c>
      <c r="B4956" s="85" t="s">
        <v>39226</v>
      </c>
      <c r="C4956" s="85" t="s">
        <v>509</v>
      </c>
      <c r="D4956" s="85" t="s">
        <v>40839</v>
      </c>
      <c r="E4956" s="85">
        <v>1949.99</v>
      </c>
    </row>
    <row r="4957" spans="1:5" ht="32">
      <c r="A4957" s="85">
        <v>10504</v>
      </c>
      <c r="B4957" s="85" t="s">
        <v>39227</v>
      </c>
      <c r="C4957" s="85" t="s">
        <v>509</v>
      </c>
      <c r="D4957" s="85" t="s">
        <v>40839</v>
      </c>
      <c r="E4957" s="85">
        <v>2280</v>
      </c>
    </row>
    <row r="4958" spans="1:5" ht="16">
      <c r="A4958" s="85">
        <v>34390</v>
      </c>
      <c r="B4958" s="85" t="s">
        <v>39228</v>
      </c>
      <c r="C4958" s="85" t="s">
        <v>509</v>
      </c>
      <c r="D4958" s="85" t="s">
        <v>40839</v>
      </c>
      <c r="E4958" s="85">
        <v>671.99</v>
      </c>
    </row>
    <row r="4959" spans="1:5" ht="16">
      <c r="A4959" s="85">
        <v>34389</v>
      </c>
      <c r="B4959" s="85" t="s">
        <v>39229</v>
      </c>
      <c r="C4959" s="85" t="s">
        <v>509</v>
      </c>
      <c r="D4959" s="85" t="s">
        <v>40839</v>
      </c>
      <c r="E4959" s="85">
        <v>210</v>
      </c>
    </row>
    <row r="4960" spans="1:5" ht="16">
      <c r="A4960" s="85">
        <v>34388</v>
      </c>
      <c r="B4960" s="85" t="s">
        <v>39230</v>
      </c>
      <c r="C4960" s="85" t="s">
        <v>509</v>
      </c>
      <c r="D4960" s="85" t="s">
        <v>40839</v>
      </c>
      <c r="E4960" s="85">
        <v>298.47000000000003</v>
      </c>
    </row>
    <row r="4961" spans="1:5" ht="16">
      <c r="A4961" s="85">
        <v>34387</v>
      </c>
      <c r="B4961" s="85" t="s">
        <v>39231</v>
      </c>
      <c r="C4961" s="85" t="s">
        <v>509</v>
      </c>
      <c r="D4961" s="85" t="s">
        <v>40839</v>
      </c>
      <c r="E4961" s="85">
        <v>484.5</v>
      </c>
    </row>
    <row r="4962" spans="1:5" ht="16">
      <c r="A4962" s="85">
        <v>11188</v>
      </c>
      <c r="B4962" s="85" t="s">
        <v>39232</v>
      </c>
      <c r="C4962" s="85" t="s">
        <v>509</v>
      </c>
      <c r="D4962" s="85" t="s">
        <v>40839</v>
      </c>
      <c r="E4962" s="85">
        <v>239.99</v>
      </c>
    </row>
    <row r="4963" spans="1:5" ht="16">
      <c r="A4963" s="85">
        <v>11189</v>
      </c>
      <c r="B4963" s="85" t="s">
        <v>39233</v>
      </c>
      <c r="C4963" s="85" t="s">
        <v>509</v>
      </c>
      <c r="D4963" s="85" t="s">
        <v>40839</v>
      </c>
      <c r="E4963" s="85">
        <v>360</v>
      </c>
    </row>
    <row r="4964" spans="1:5" ht="16">
      <c r="A4964" s="85">
        <v>21107</v>
      </c>
      <c r="B4964" s="85" t="s">
        <v>39234</v>
      </c>
      <c r="C4964" s="85" t="s">
        <v>509</v>
      </c>
      <c r="D4964" s="85" t="s">
        <v>40839</v>
      </c>
      <c r="E4964" s="85">
        <v>259.07</v>
      </c>
    </row>
    <row r="4965" spans="1:5" ht="16">
      <c r="A4965" s="85">
        <v>34386</v>
      </c>
      <c r="B4965" s="85" t="s">
        <v>39235</v>
      </c>
      <c r="C4965" s="85" t="s">
        <v>509</v>
      </c>
      <c r="D4965" s="85" t="s">
        <v>40839</v>
      </c>
      <c r="E4965" s="85">
        <v>450</v>
      </c>
    </row>
    <row r="4966" spans="1:5" ht="16">
      <c r="A4966" s="85">
        <v>10490</v>
      </c>
      <c r="B4966" s="85" t="s">
        <v>39236</v>
      </c>
      <c r="C4966" s="85" t="s">
        <v>509</v>
      </c>
      <c r="D4966" s="85" t="s">
        <v>40839</v>
      </c>
      <c r="E4966" s="85">
        <v>157.5</v>
      </c>
    </row>
    <row r="4967" spans="1:5" ht="16">
      <c r="A4967" s="85">
        <v>10492</v>
      </c>
      <c r="B4967" s="85" t="s">
        <v>39237</v>
      </c>
      <c r="C4967" s="85" t="s">
        <v>509</v>
      </c>
      <c r="D4967" s="85" t="s">
        <v>28018</v>
      </c>
      <c r="E4967" s="85">
        <v>180</v>
      </c>
    </row>
    <row r="4968" spans="1:5" ht="16">
      <c r="A4968" s="85">
        <v>10493</v>
      </c>
      <c r="B4968" s="85" t="s">
        <v>39238</v>
      </c>
      <c r="C4968" s="85" t="s">
        <v>509</v>
      </c>
      <c r="D4968" s="85" t="s">
        <v>40839</v>
      </c>
      <c r="E4968" s="85">
        <v>210</v>
      </c>
    </row>
    <row r="4969" spans="1:5" ht="16">
      <c r="A4969" s="85">
        <v>10491</v>
      </c>
      <c r="B4969" s="85" t="s">
        <v>39239</v>
      </c>
      <c r="C4969" s="85" t="s">
        <v>509</v>
      </c>
      <c r="D4969" s="85" t="s">
        <v>40839</v>
      </c>
      <c r="E4969" s="85">
        <v>255</v>
      </c>
    </row>
    <row r="4970" spans="1:5" ht="16">
      <c r="A4970" s="85">
        <v>34385</v>
      </c>
      <c r="B4970" s="85" t="s">
        <v>41098</v>
      </c>
      <c r="C4970" s="85" t="s">
        <v>509</v>
      </c>
      <c r="D4970" s="85" t="s">
        <v>40839</v>
      </c>
      <c r="E4970" s="85">
        <v>372</v>
      </c>
    </row>
    <row r="4971" spans="1:5" ht="16">
      <c r="A4971" s="85">
        <v>10499</v>
      </c>
      <c r="B4971" s="85" t="s">
        <v>39240</v>
      </c>
      <c r="C4971" s="85" t="s">
        <v>509</v>
      </c>
      <c r="D4971" s="85" t="s">
        <v>40839</v>
      </c>
      <c r="E4971" s="85">
        <v>149.99</v>
      </c>
    </row>
    <row r="4972" spans="1:5" ht="16">
      <c r="A4972" s="85">
        <v>34384</v>
      </c>
      <c r="B4972" s="85" t="s">
        <v>39241</v>
      </c>
      <c r="C4972" s="85" t="s">
        <v>509</v>
      </c>
      <c r="D4972" s="85" t="s">
        <v>40839</v>
      </c>
      <c r="E4972" s="85">
        <v>450</v>
      </c>
    </row>
    <row r="4973" spans="1:5" ht="16">
      <c r="A4973" s="85">
        <v>11185</v>
      </c>
      <c r="B4973" s="85" t="s">
        <v>39242</v>
      </c>
      <c r="C4973" s="85" t="s">
        <v>509</v>
      </c>
      <c r="D4973" s="85" t="s">
        <v>40839</v>
      </c>
      <c r="E4973" s="85">
        <v>464.99</v>
      </c>
    </row>
    <row r="4974" spans="1:5" ht="16">
      <c r="A4974" s="85">
        <v>10507</v>
      </c>
      <c r="B4974" s="85" t="s">
        <v>39243</v>
      </c>
      <c r="C4974" s="85" t="s">
        <v>509</v>
      </c>
      <c r="D4974" s="85" t="s">
        <v>40839</v>
      </c>
      <c r="E4974" s="85">
        <v>457.65</v>
      </c>
    </row>
    <row r="4975" spans="1:5" ht="16">
      <c r="A4975" s="85">
        <v>10505</v>
      </c>
      <c r="B4975" s="85" t="s">
        <v>39244</v>
      </c>
      <c r="C4975" s="85" t="s">
        <v>509</v>
      </c>
      <c r="D4975" s="85" t="s">
        <v>40839</v>
      </c>
      <c r="E4975" s="85">
        <v>270.05</v>
      </c>
    </row>
    <row r="4976" spans="1:5" ht="16">
      <c r="A4976" s="85">
        <v>10506</v>
      </c>
      <c r="B4976" s="85" t="s">
        <v>39245</v>
      </c>
      <c r="C4976" s="85" t="s">
        <v>509</v>
      </c>
      <c r="D4976" s="85" t="s">
        <v>40839</v>
      </c>
      <c r="E4976" s="85">
        <v>352.52</v>
      </c>
    </row>
    <row r="4977" spans="1:5" ht="16">
      <c r="A4977" s="85">
        <v>5031</v>
      </c>
      <c r="B4977" s="85" t="s">
        <v>39246</v>
      </c>
      <c r="C4977" s="85" t="s">
        <v>509</v>
      </c>
      <c r="D4977" s="85" t="s">
        <v>28018</v>
      </c>
      <c r="E4977" s="85">
        <v>495</v>
      </c>
    </row>
    <row r="4978" spans="1:5" ht="16">
      <c r="A4978" s="85">
        <v>10502</v>
      </c>
      <c r="B4978" s="85" t="s">
        <v>39247</v>
      </c>
      <c r="C4978" s="85" t="s">
        <v>509</v>
      </c>
      <c r="D4978" s="85" t="s">
        <v>40839</v>
      </c>
      <c r="E4978" s="85">
        <v>576.79</v>
      </c>
    </row>
    <row r="4979" spans="1:5" ht="16">
      <c r="A4979" s="85">
        <v>10501</v>
      </c>
      <c r="B4979" s="85" t="s">
        <v>39248</v>
      </c>
      <c r="C4979" s="85" t="s">
        <v>509</v>
      </c>
      <c r="D4979" s="85" t="s">
        <v>40839</v>
      </c>
      <c r="E4979" s="85">
        <v>325.87</v>
      </c>
    </row>
    <row r="4980" spans="1:5" ht="16">
      <c r="A4980" s="85">
        <v>10503</v>
      </c>
      <c r="B4980" s="85" t="s">
        <v>39249</v>
      </c>
      <c r="C4980" s="85" t="s">
        <v>509</v>
      </c>
      <c r="D4980" s="85" t="s">
        <v>40839</v>
      </c>
      <c r="E4980" s="85">
        <v>440.25</v>
      </c>
    </row>
    <row r="4981" spans="1:5" ht="16">
      <c r="A4981" s="85">
        <v>4500</v>
      </c>
      <c r="B4981" s="85" t="s">
        <v>39250</v>
      </c>
      <c r="C4981" s="85" t="s">
        <v>165</v>
      </c>
      <c r="D4981" s="85" t="s">
        <v>40839</v>
      </c>
      <c r="E4981" s="85">
        <v>15.69</v>
      </c>
    </row>
    <row r="4982" spans="1:5" ht="16">
      <c r="A4982" s="85">
        <v>4448</v>
      </c>
      <c r="B4982" s="85" t="s">
        <v>39251</v>
      </c>
      <c r="C4982" s="85" t="s">
        <v>165</v>
      </c>
      <c r="D4982" s="85" t="s">
        <v>40839</v>
      </c>
      <c r="E4982" s="85">
        <v>21.56</v>
      </c>
    </row>
    <row r="4983" spans="1:5" ht="32">
      <c r="A4983" s="85">
        <v>20213</v>
      </c>
      <c r="B4983" s="85" t="s">
        <v>39252</v>
      </c>
      <c r="C4983" s="85" t="s">
        <v>165</v>
      </c>
      <c r="D4983" s="85" t="s">
        <v>40839</v>
      </c>
      <c r="E4983" s="85">
        <v>31.44</v>
      </c>
    </row>
    <row r="4984" spans="1:5" ht="32">
      <c r="A4984" s="85">
        <v>20211</v>
      </c>
      <c r="B4984" s="85" t="s">
        <v>39253</v>
      </c>
      <c r="C4984" s="85" t="s">
        <v>165</v>
      </c>
      <c r="D4984" s="85" t="s">
        <v>40839</v>
      </c>
      <c r="E4984" s="85">
        <v>41.63</v>
      </c>
    </row>
    <row r="4985" spans="1:5" ht="32">
      <c r="A4985" s="85">
        <v>40270</v>
      </c>
      <c r="B4985" s="85" t="s">
        <v>39254</v>
      </c>
      <c r="C4985" s="85" t="s">
        <v>165</v>
      </c>
      <c r="D4985" s="85" t="s">
        <v>28018</v>
      </c>
      <c r="E4985" s="85">
        <v>133.03</v>
      </c>
    </row>
    <row r="4986" spans="1:5" ht="32">
      <c r="A4986" s="85">
        <v>4425</v>
      </c>
      <c r="B4986" s="85" t="s">
        <v>39255</v>
      </c>
      <c r="C4986" s="85" t="s">
        <v>165</v>
      </c>
      <c r="D4986" s="85" t="s">
        <v>40839</v>
      </c>
      <c r="E4986" s="85">
        <v>34.409999999999997</v>
      </c>
    </row>
    <row r="4987" spans="1:5" ht="32">
      <c r="A4987" s="85">
        <v>4472</v>
      </c>
      <c r="B4987" s="85" t="s">
        <v>39256</v>
      </c>
      <c r="C4987" s="85" t="s">
        <v>165</v>
      </c>
      <c r="D4987" s="85" t="s">
        <v>40839</v>
      </c>
      <c r="E4987" s="85">
        <v>42.99</v>
      </c>
    </row>
    <row r="4988" spans="1:5" ht="32">
      <c r="A4988" s="85">
        <v>35272</v>
      </c>
      <c r="B4988" s="85" t="s">
        <v>39257</v>
      </c>
      <c r="C4988" s="85" t="s">
        <v>165</v>
      </c>
      <c r="D4988" s="85" t="s">
        <v>40839</v>
      </c>
      <c r="E4988" s="85">
        <v>62.14</v>
      </c>
    </row>
    <row r="4989" spans="1:5" ht="32">
      <c r="A4989" s="85">
        <v>4481</v>
      </c>
      <c r="B4989" s="85" t="s">
        <v>39258</v>
      </c>
      <c r="C4989" s="85" t="s">
        <v>165</v>
      </c>
      <c r="D4989" s="85" t="s">
        <v>40839</v>
      </c>
      <c r="E4989" s="85">
        <v>66.52</v>
      </c>
    </row>
    <row r="4990" spans="1:5" ht="16">
      <c r="A4990" s="85">
        <v>34345</v>
      </c>
      <c r="B4990" s="85" t="s">
        <v>39259</v>
      </c>
      <c r="C4990" s="85" t="s">
        <v>11</v>
      </c>
      <c r="D4990" s="85" t="s">
        <v>40839</v>
      </c>
      <c r="E4990" s="85">
        <v>24.11</v>
      </c>
    </row>
    <row r="4991" spans="1:5" ht="16">
      <c r="A4991" s="85">
        <v>41096</v>
      </c>
      <c r="B4991" s="85" t="s">
        <v>39260</v>
      </c>
      <c r="C4991" s="85" t="s">
        <v>27629</v>
      </c>
      <c r="D4991" s="85" t="s">
        <v>40839</v>
      </c>
      <c r="E4991" s="85">
        <v>4224.25</v>
      </c>
    </row>
  </sheetData>
  <conditionalFormatting sqref="A8:E10000">
    <cfRule type="expression" dxfId="2020" priority="1">
      <formula>ROW()=CELL("lin")</formula>
    </cfRule>
  </conditionalFormatting>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5"/>
  <dimension ref="A1:AF3542"/>
  <sheetViews>
    <sheetView topLeftCell="A3134" workbookViewId="0">
      <selection activeCell="A1116" sqref="A1116"/>
    </sheetView>
  </sheetViews>
  <sheetFormatPr baseColWidth="10" defaultColWidth="9.1640625" defaultRowHeight="11"/>
  <cols>
    <col min="1" max="1" width="9.33203125" style="61" bestFit="1" customWidth="1"/>
    <col min="2" max="2" width="59.1640625" style="9" customWidth="1"/>
    <col min="3" max="3" width="5.5" style="72" customWidth="1"/>
    <col min="4" max="4" width="8.6640625" style="80" customWidth="1"/>
    <col min="5" max="5" width="11.1640625" style="80" customWidth="1"/>
    <col min="6" max="6" width="12.33203125" style="80" customWidth="1"/>
    <col min="7" max="7" width="9.33203125" style="444" customWidth="1"/>
    <col min="8" max="8" width="11.1640625" style="61" customWidth="1"/>
    <col min="9" max="9" width="12.1640625" style="80" customWidth="1"/>
    <col min="10" max="10" width="10.33203125" style="61" customWidth="1"/>
    <col min="11" max="11" width="3.83203125" style="61" customWidth="1"/>
    <col min="12" max="12" width="12.5" style="736" customWidth="1"/>
    <col min="13" max="13" width="12.5" style="61" customWidth="1"/>
    <col min="14" max="14" width="9.83203125" style="737" customWidth="1"/>
    <col min="15" max="15" width="12.5" style="738" customWidth="1"/>
    <col min="16" max="16384" width="9.1640625" style="444"/>
  </cols>
  <sheetData>
    <row r="1" spans="1:24">
      <c r="X1" s="444">
        <v>1</v>
      </c>
    </row>
    <row r="2" spans="1:24" s="298" customFormat="1" ht="12">
      <c r="A2" s="439"/>
      <c r="B2" s="440" t="s">
        <v>40884</v>
      </c>
      <c r="C2" s="282"/>
      <c r="D2" s="441"/>
      <c r="E2" s="442"/>
      <c r="F2" s="442"/>
      <c r="G2" s="443"/>
      <c r="H2" s="247" t="s">
        <v>5998</v>
      </c>
      <c r="I2" s="739">
        <v>0</v>
      </c>
      <c r="J2" s="740" t="s">
        <v>18452</v>
      </c>
      <c r="K2" s="61" t="s">
        <v>44239</v>
      </c>
      <c r="L2" s="741"/>
      <c r="M2" s="742"/>
      <c r="N2" s="737"/>
      <c r="O2" s="743"/>
      <c r="P2" s="444" t="s">
        <v>40885</v>
      </c>
      <c r="X2" s="444">
        <v>2</v>
      </c>
    </row>
    <row r="3" spans="1:24" ht="12">
      <c r="A3" s="68"/>
      <c r="B3" s="62" t="s">
        <v>44185</v>
      </c>
      <c r="C3" s="439"/>
      <c r="E3" s="442"/>
      <c r="F3" s="81" t="s">
        <v>30419</v>
      </c>
      <c r="G3" s="445"/>
      <c r="H3" s="247" t="s">
        <v>40886</v>
      </c>
      <c r="I3" s="441">
        <v>7380134.3600000087</v>
      </c>
      <c r="L3" s="247" t="s">
        <v>40887</v>
      </c>
      <c r="M3" s="441">
        <v>7380134.3600000078</v>
      </c>
      <c r="O3" s="59"/>
      <c r="X3" s="444">
        <v>3</v>
      </c>
    </row>
    <row r="4" spans="1:24">
      <c r="A4" s="68"/>
      <c r="B4" s="62"/>
      <c r="C4" s="439"/>
      <c r="E4" s="442"/>
      <c r="F4" s="81"/>
      <c r="G4" s="445"/>
      <c r="H4" s="247"/>
      <c r="I4" s="441"/>
      <c r="L4" s="247"/>
      <c r="M4" s="441"/>
      <c r="O4" s="59"/>
      <c r="X4" s="444">
        <v>4</v>
      </c>
    </row>
    <row r="5" spans="1:24">
      <c r="A5" s="68"/>
      <c r="C5" s="439"/>
      <c r="E5" s="442"/>
      <c r="G5" s="445"/>
      <c r="H5" s="868" t="s">
        <v>40888</v>
      </c>
      <c r="I5" s="869"/>
      <c r="J5" s="744">
        <v>122</v>
      </c>
      <c r="K5" s="60"/>
      <c r="L5" s="870" t="s">
        <v>40889</v>
      </c>
      <c r="M5" s="871"/>
      <c r="N5" s="872"/>
      <c r="O5" s="873" t="s">
        <v>44240</v>
      </c>
      <c r="X5" s="444">
        <v>5</v>
      </c>
    </row>
    <row r="6" spans="1:24" ht="24">
      <c r="A6" s="701" t="s">
        <v>39479</v>
      </c>
      <c r="B6" s="696" t="s">
        <v>5</v>
      </c>
      <c r="C6" s="745" t="s">
        <v>6</v>
      </c>
      <c r="D6" s="746" t="s">
        <v>40890</v>
      </c>
      <c r="E6" s="746" t="s">
        <v>40891</v>
      </c>
      <c r="F6" s="746" t="s">
        <v>40892</v>
      </c>
      <c r="H6" s="747" t="s">
        <v>40893</v>
      </c>
      <c r="I6" s="698" t="s">
        <v>40894</v>
      </c>
      <c r="J6" s="748">
        <v>1.23</v>
      </c>
      <c r="K6" s="749"/>
      <c r="L6" s="750" t="s">
        <v>40895</v>
      </c>
      <c r="M6" s="698" t="s">
        <v>40896</v>
      </c>
      <c r="N6" s="698" t="s">
        <v>40897</v>
      </c>
      <c r="O6" s="874"/>
      <c r="X6" s="444">
        <v>6</v>
      </c>
    </row>
    <row r="7" spans="1:24" ht="9.5" customHeight="1">
      <c r="A7" s="447" t="s">
        <v>40898</v>
      </c>
      <c r="B7" s="448" t="s">
        <v>40069</v>
      </c>
      <c r="C7" s="283"/>
      <c r="D7" s="82" t="s">
        <v>40899</v>
      </c>
      <c r="E7" s="82" t="s">
        <v>40899</v>
      </c>
      <c r="F7" s="82"/>
      <c r="G7" s="445"/>
      <c r="H7" s="449"/>
      <c r="I7" s="449"/>
      <c r="J7" s="450" t="s">
        <v>40900</v>
      </c>
      <c r="K7" s="72"/>
      <c r="L7" s="82"/>
      <c r="M7" s="82"/>
      <c r="N7" s="451"/>
      <c r="O7" s="13"/>
      <c r="X7" s="444">
        <v>7</v>
      </c>
    </row>
    <row r="8" spans="1:24" ht="12">
      <c r="A8" s="83" t="s">
        <v>40901</v>
      </c>
      <c r="B8" s="64" t="s">
        <v>40902</v>
      </c>
      <c r="C8" s="71"/>
      <c r="D8" s="79" t="s">
        <v>40899</v>
      </c>
      <c r="E8" s="79" t="s">
        <v>40899</v>
      </c>
      <c r="F8" s="79"/>
      <c r="G8" s="445"/>
      <c r="H8" s="70" t="s">
        <v>40899</v>
      </c>
      <c r="I8" s="79" t="s">
        <v>40899</v>
      </c>
      <c r="J8" s="452" t="s">
        <v>40903</v>
      </c>
      <c r="K8" s="72"/>
      <c r="L8" s="79"/>
      <c r="M8" s="79"/>
      <c r="N8" s="78"/>
      <c r="O8" s="211"/>
      <c r="X8" s="444">
        <v>8</v>
      </c>
    </row>
    <row r="9" spans="1:24" ht="12">
      <c r="A9" s="83" t="s">
        <v>18453</v>
      </c>
      <c r="B9" s="64" t="s">
        <v>18454</v>
      </c>
      <c r="C9" s="71" t="s">
        <v>509</v>
      </c>
      <c r="D9" s="79">
        <v>1</v>
      </c>
      <c r="E9" s="79">
        <v>4.46</v>
      </c>
      <c r="F9" s="79">
        <v>4.46</v>
      </c>
      <c r="G9" s="445"/>
      <c r="H9" s="178">
        <v>4.46</v>
      </c>
      <c r="I9" s="178">
        <v>5.49</v>
      </c>
      <c r="J9" s="70">
        <v>-1.0300000000000002</v>
      </c>
      <c r="K9" s="320"/>
      <c r="L9" s="178">
        <v>4.46</v>
      </c>
      <c r="M9" s="178">
        <v>0</v>
      </c>
      <c r="N9" s="179">
        <v>0</v>
      </c>
      <c r="O9" s="178">
        <v>4.46</v>
      </c>
      <c r="P9" s="453"/>
      <c r="Q9" s="61"/>
      <c r="R9" s="298"/>
      <c r="S9" s="669"/>
      <c r="X9" s="444">
        <v>9</v>
      </c>
    </row>
    <row r="10" spans="1:24" s="61" customFormat="1" ht="12">
      <c r="A10" s="83" t="s">
        <v>18455</v>
      </c>
      <c r="B10" s="64" t="s">
        <v>18456</v>
      </c>
      <c r="C10" s="71" t="s">
        <v>103</v>
      </c>
      <c r="D10" s="79">
        <v>1</v>
      </c>
      <c r="E10" s="79">
        <v>174.54000000000002</v>
      </c>
      <c r="F10" s="79">
        <v>174.54</v>
      </c>
      <c r="G10" s="320"/>
      <c r="H10" s="178">
        <v>174.53</v>
      </c>
      <c r="I10" s="178">
        <v>214.67</v>
      </c>
      <c r="J10" s="70">
        <v>-40.129999999999967</v>
      </c>
      <c r="K10" s="320"/>
      <c r="L10" s="178">
        <v>166.46</v>
      </c>
      <c r="M10" s="178">
        <v>8.0800000000000125</v>
      </c>
      <c r="N10" s="179">
        <v>0</v>
      </c>
      <c r="O10" s="178">
        <v>174.54000000000002</v>
      </c>
      <c r="P10" s="453"/>
      <c r="R10" s="298"/>
      <c r="S10" s="669"/>
      <c r="X10" s="444">
        <v>10</v>
      </c>
    </row>
    <row r="11" spans="1:24" s="61" customFormat="1" ht="12">
      <c r="A11" s="63" t="s">
        <v>18457</v>
      </c>
      <c r="B11" s="64" t="s">
        <v>39487</v>
      </c>
      <c r="C11" s="71" t="s">
        <v>103</v>
      </c>
      <c r="D11" s="79">
        <v>1</v>
      </c>
      <c r="E11" s="79">
        <v>850.76</v>
      </c>
      <c r="F11" s="79">
        <v>850.76</v>
      </c>
      <c r="G11" s="320"/>
      <c r="H11" s="178">
        <v>850.76</v>
      </c>
      <c r="I11" s="178">
        <v>1046.43</v>
      </c>
      <c r="J11" s="70">
        <v>-195.67000000000007</v>
      </c>
      <c r="K11" s="320"/>
      <c r="L11" s="178">
        <v>198.91000000000003</v>
      </c>
      <c r="M11" s="178">
        <v>651.84999999999991</v>
      </c>
      <c r="N11" s="179">
        <v>0</v>
      </c>
      <c r="O11" s="178">
        <v>850.76</v>
      </c>
      <c r="P11" s="453"/>
      <c r="R11" s="298"/>
      <c r="S11" s="669"/>
      <c r="X11" s="444">
        <v>11</v>
      </c>
    </row>
    <row r="12" spans="1:24" s="61" customFormat="1" ht="12">
      <c r="A12" s="63" t="s">
        <v>18458</v>
      </c>
      <c r="B12" s="64" t="s">
        <v>39488</v>
      </c>
      <c r="C12" s="71" t="s">
        <v>103</v>
      </c>
      <c r="D12" s="79">
        <v>1</v>
      </c>
      <c r="E12" s="79">
        <v>2844.37</v>
      </c>
      <c r="F12" s="79">
        <v>2844.37</v>
      </c>
      <c r="G12" s="320"/>
      <c r="H12" s="178">
        <v>2844.37</v>
      </c>
      <c r="I12" s="178">
        <v>3498.57</v>
      </c>
      <c r="J12" s="70">
        <v>-654.20000000000027</v>
      </c>
      <c r="K12" s="320"/>
      <c r="L12" s="178">
        <v>200.79</v>
      </c>
      <c r="M12" s="178">
        <v>2643.58</v>
      </c>
      <c r="N12" s="179">
        <v>0</v>
      </c>
      <c r="O12" s="178">
        <v>2844.37</v>
      </c>
      <c r="P12" s="453"/>
      <c r="R12" s="298"/>
      <c r="S12" s="669"/>
      <c r="X12" s="444">
        <v>12</v>
      </c>
    </row>
    <row r="13" spans="1:24" s="61" customFormat="1" ht="12">
      <c r="A13" s="63" t="s">
        <v>18459</v>
      </c>
      <c r="B13" s="64" t="s">
        <v>39489</v>
      </c>
      <c r="C13" s="71" t="s">
        <v>103</v>
      </c>
      <c r="D13" s="79">
        <v>1</v>
      </c>
      <c r="E13" s="79">
        <v>4272.1399999999994</v>
      </c>
      <c r="F13" s="79">
        <v>4272.1400000000003</v>
      </c>
      <c r="G13" s="320"/>
      <c r="H13" s="178">
        <v>4272.1400000000003</v>
      </c>
      <c r="I13" s="178">
        <v>5254.73</v>
      </c>
      <c r="J13" s="70">
        <v>-982.59000000000015</v>
      </c>
      <c r="K13" s="320"/>
      <c r="L13" s="178">
        <v>562.27</v>
      </c>
      <c r="M13" s="178">
        <v>3709.8699999999994</v>
      </c>
      <c r="N13" s="179">
        <v>0</v>
      </c>
      <c r="O13" s="178">
        <v>4272.1399999999994</v>
      </c>
      <c r="P13" s="453"/>
      <c r="R13" s="298"/>
      <c r="S13" s="669"/>
      <c r="X13" s="444">
        <v>13</v>
      </c>
    </row>
    <row r="14" spans="1:24" s="61" customFormat="1" ht="12">
      <c r="A14" s="63" t="s">
        <v>18460</v>
      </c>
      <c r="B14" s="64" t="s">
        <v>39490</v>
      </c>
      <c r="C14" s="71" t="s">
        <v>103</v>
      </c>
      <c r="D14" s="79">
        <v>1</v>
      </c>
      <c r="E14" s="79">
        <v>8560.75</v>
      </c>
      <c r="F14" s="79">
        <v>8560.75</v>
      </c>
      <c r="G14" s="320"/>
      <c r="H14" s="178">
        <v>8560.74</v>
      </c>
      <c r="I14" s="178">
        <v>10529.71</v>
      </c>
      <c r="J14" s="70">
        <v>-1968.9599999999991</v>
      </c>
      <c r="K14" s="320"/>
      <c r="L14" s="178">
        <v>1124.55</v>
      </c>
      <c r="M14" s="178">
        <v>7436.2</v>
      </c>
      <c r="N14" s="179">
        <v>0</v>
      </c>
      <c r="O14" s="178">
        <v>8560.75</v>
      </c>
      <c r="P14" s="453"/>
      <c r="R14" s="298"/>
      <c r="S14" s="669"/>
      <c r="X14" s="444">
        <v>14</v>
      </c>
    </row>
    <row r="15" spans="1:24" s="61" customFormat="1" ht="12">
      <c r="A15" s="63" t="s">
        <v>18461</v>
      </c>
      <c r="B15" s="64" t="s">
        <v>39491</v>
      </c>
      <c r="C15" s="71" t="s">
        <v>103</v>
      </c>
      <c r="D15" s="79">
        <v>1</v>
      </c>
      <c r="E15" s="79">
        <v>11886.289999999999</v>
      </c>
      <c r="F15" s="79">
        <v>11886.29</v>
      </c>
      <c r="G15" s="320"/>
      <c r="H15" s="178">
        <v>11886.28</v>
      </c>
      <c r="I15" s="178">
        <v>14620.13</v>
      </c>
      <c r="J15" s="70">
        <v>-2733.84</v>
      </c>
      <c r="K15" s="320"/>
      <c r="L15" s="178">
        <v>2354.8000000000002</v>
      </c>
      <c r="M15" s="178">
        <v>9531.489999999998</v>
      </c>
      <c r="N15" s="179">
        <v>0</v>
      </c>
      <c r="O15" s="178">
        <v>11886.289999999997</v>
      </c>
      <c r="P15" s="453"/>
      <c r="R15" s="298"/>
      <c r="S15" s="669"/>
      <c r="X15" s="444">
        <v>15</v>
      </c>
    </row>
    <row r="16" spans="1:24" s="61" customFormat="1" ht="12">
      <c r="A16" s="83" t="s">
        <v>18462</v>
      </c>
      <c r="B16" s="64" t="s">
        <v>18463</v>
      </c>
      <c r="C16" s="71" t="s">
        <v>103</v>
      </c>
      <c r="D16" s="79">
        <v>1</v>
      </c>
      <c r="E16" s="79">
        <v>129.87</v>
      </c>
      <c r="F16" s="79">
        <v>129.87</v>
      </c>
      <c r="G16" s="320"/>
      <c r="H16" s="178">
        <v>129.86000000000001</v>
      </c>
      <c r="I16" s="178">
        <v>159.72999999999999</v>
      </c>
      <c r="J16" s="70">
        <v>-29.859999999999985</v>
      </c>
      <c r="K16" s="320"/>
      <c r="L16" s="178">
        <v>121.79</v>
      </c>
      <c r="M16" s="178">
        <v>8.0799999999999983</v>
      </c>
      <c r="N16" s="179">
        <v>0</v>
      </c>
      <c r="O16" s="178">
        <v>129.87</v>
      </c>
      <c r="P16" s="453"/>
      <c r="R16" s="298"/>
      <c r="S16" s="669"/>
      <c r="X16" s="444">
        <v>16</v>
      </c>
    </row>
    <row r="17" spans="1:24" s="61" customFormat="1" ht="12">
      <c r="A17" s="83" t="s">
        <v>18464</v>
      </c>
      <c r="B17" s="64" t="s">
        <v>18465</v>
      </c>
      <c r="C17" s="71" t="s">
        <v>103</v>
      </c>
      <c r="D17" s="79">
        <v>1</v>
      </c>
      <c r="E17" s="79">
        <v>610.59</v>
      </c>
      <c r="F17" s="79">
        <v>610.59</v>
      </c>
      <c r="G17" s="320"/>
      <c r="H17" s="178">
        <v>610.59</v>
      </c>
      <c r="I17" s="178">
        <v>751.02</v>
      </c>
      <c r="J17" s="70">
        <v>-140.42999999999995</v>
      </c>
      <c r="K17" s="320"/>
      <c r="L17" s="178">
        <v>198.91000000000003</v>
      </c>
      <c r="M17" s="178">
        <v>411.68</v>
      </c>
      <c r="N17" s="179">
        <v>0</v>
      </c>
      <c r="O17" s="178">
        <v>610.59</v>
      </c>
      <c r="P17" s="453"/>
      <c r="R17" s="298"/>
      <c r="S17" s="669"/>
      <c r="X17" s="444">
        <v>17</v>
      </c>
    </row>
    <row r="18" spans="1:24" s="61" customFormat="1" ht="12">
      <c r="A18" s="83" t="s">
        <v>18466</v>
      </c>
      <c r="B18" s="64" t="s">
        <v>18467</v>
      </c>
      <c r="C18" s="71" t="s">
        <v>103</v>
      </c>
      <c r="D18" s="79">
        <v>1</v>
      </c>
      <c r="E18" s="79">
        <v>2364.0299999999997</v>
      </c>
      <c r="F18" s="79">
        <v>2364.0300000000002</v>
      </c>
      <c r="G18" s="320"/>
      <c r="H18" s="178">
        <v>2364.02</v>
      </c>
      <c r="I18" s="178">
        <v>2907.75</v>
      </c>
      <c r="J18" s="70">
        <v>-543.72000000000025</v>
      </c>
      <c r="K18" s="320"/>
      <c r="L18" s="178">
        <v>365.37</v>
      </c>
      <c r="M18" s="178">
        <v>1998.6599999999999</v>
      </c>
      <c r="N18" s="179">
        <v>0</v>
      </c>
      <c r="O18" s="178">
        <v>2364.0299999999997</v>
      </c>
      <c r="P18" s="453"/>
      <c r="R18" s="298"/>
      <c r="S18" s="669"/>
      <c r="X18" s="444">
        <v>18</v>
      </c>
    </row>
    <row r="19" spans="1:24" s="61" customFormat="1" ht="12">
      <c r="A19" s="83" t="s">
        <v>18468</v>
      </c>
      <c r="B19" s="64" t="s">
        <v>39492</v>
      </c>
      <c r="C19" s="71" t="s">
        <v>103</v>
      </c>
      <c r="D19" s="79">
        <v>1</v>
      </c>
      <c r="E19" s="79">
        <v>3551.63</v>
      </c>
      <c r="F19" s="79">
        <v>3551.63</v>
      </c>
      <c r="G19" s="320"/>
      <c r="H19" s="178">
        <v>3551.63</v>
      </c>
      <c r="I19" s="178">
        <v>4368.5</v>
      </c>
      <c r="J19" s="70">
        <v>-816.86999999999989</v>
      </c>
      <c r="K19" s="320"/>
      <c r="L19" s="178">
        <v>1023.15</v>
      </c>
      <c r="M19" s="178">
        <v>2528.48</v>
      </c>
      <c r="N19" s="179">
        <v>0</v>
      </c>
      <c r="O19" s="178">
        <v>3551.63</v>
      </c>
      <c r="P19" s="453"/>
      <c r="R19" s="298"/>
      <c r="S19" s="669"/>
      <c r="X19" s="444">
        <v>19</v>
      </c>
    </row>
    <row r="20" spans="1:24" s="61" customFormat="1" ht="12">
      <c r="A20" s="83" t="s">
        <v>18469</v>
      </c>
      <c r="B20" s="64" t="s">
        <v>39493</v>
      </c>
      <c r="C20" s="71" t="s">
        <v>103</v>
      </c>
      <c r="D20" s="79">
        <v>1</v>
      </c>
      <c r="E20" s="79">
        <v>7600.0700000000006</v>
      </c>
      <c r="F20" s="79">
        <v>7600.07</v>
      </c>
      <c r="G20" s="320"/>
      <c r="H20" s="178">
        <v>7600.07</v>
      </c>
      <c r="I20" s="178">
        <v>9348.08</v>
      </c>
      <c r="J20" s="70">
        <v>-1748.0099999999993</v>
      </c>
      <c r="K20" s="320"/>
      <c r="L20" s="178">
        <v>2046.31</v>
      </c>
      <c r="M20" s="178">
        <v>5553.76</v>
      </c>
      <c r="N20" s="179">
        <v>0</v>
      </c>
      <c r="O20" s="178">
        <v>7600.07</v>
      </c>
      <c r="P20" s="453"/>
      <c r="R20" s="298"/>
      <c r="S20" s="669"/>
      <c r="X20" s="444">
        <v>20</v>
      </c>
    </row>
    <row r="21" spans="1:24" s="61" customFormat="1" ht="12">
      <c r="A21" s="83" t="s">
        <v>18470</v>
      </c>
      <c r="B21" s="64" t="s">
        <v>18471</v>
      </c>
      <c r="C21" s="71" t="s">
        <v>103</v>
      </c>
      <c r="D21" s="79">
        <v>1</v>
      </c>
      <c r="E21" s="79">
        <v>10685.439999999999</v>
      </c>
      <c r="F21" s="79">
        <v>10685.44</v>
      </c>
      <c r="G21" s="320"/>
      <c r="H21" s="178">
        <v>10685.43</v>
      </c>
      <c r="I21" s="178">
        <v>13143.08</v>
      </c>
      <c r="J21" s="70">
        <v>-2457.6400000000012</v>
      </c>
      <c r="K21" s="320"/>
      <c r="L21" s="178">
        <v>2354.8000000000002</v>
      </c>
      <c r="M21" s="178">
        <v>8330.64</v>
      </c>
      <c r="N21" s="179">
        <v>0</v>
      </c>
      <c r="O21" s="178">
        <v>10685.439999999999</v>
      </c>
      <c r="P21" s="453"/>
      <c r="R21" s="298"/>
      <c r="S21" s="669"/>
      <c r="X21" s="444">
        <v>21</v>
      </c>
    </row>
    <row r="22" spans="1:24" s="61" customFormat="1" ht="12">
      <c r="A22" s="83" t="s">
        <v>18472</v>
      </c>
      <c r="B22" s="64" t="s">
        <v>39494</v>
      </c>
      <c r="C22" s="71" t="s">
        <v>103</v>
      </c>
      <c r="D22" s="79">
        <v>1</v>
      </c>
      <c r="E22" s="79">
        <v>21370.879999999997</v>
      </c>
      <c r="F22" s="79">
        <v>21370.880000000001</v>
      </c>
      <c r="G22" s="320"/>
      <c r="H22" s="178">
        <v>21370.87</v>
      </c>
      <c r="I22" s="178">
        <v>26286.17</v>
      </c>
      <c r="J22" s="70">
        <v>-4915.2900000000009</v>
      </c>
      <c r="K22" s="320"/>
      <c r="L22" s="178">
        <v>4709.6000000000004</v>
      </c>
      <c r="M22" s="178">
        <v>16661.28</v>
      </c>
      <c r="N22" s="179">
        <v>0</v>
      </c>
      <c r="O22" s="178">
        <v>21370.879999999997</v>
      </c>
      <c r="P22" s="132"/>
      <c r="R22" s="298"/>
      <c r="S22" s="669"/>
      <c r="X22" s="444">
        <v>22</v>
      </c>
    </row>
    <row r="23" spans="1:24" s="61" customFormat="1" ht="12">
      <c r="A23" s="83" t="s">
        <v>18473</v>
      </c>
      <c r="B23" s="64" t="s">
        <v>39495</v>
      </c>
      <c r="C23" s="71" t="s">
        <v>103</v>
      </c>
      <c r="D23" s="79">
        <v>1</v>
      </c>
      <c r="E23" s="79">
        <v>32056.32</v>
      </c>
      <c r="F23" s="79">
        <v>32056.32</v>
      </c>
      <c r="G23" s="320"/>
      <c r="H23" s="178">
        <v>32056.31</v>
      </c>
      <c r="I23" s="178">
        <v>39429.26</v>
      </c>
      <c r="J23" s="70">
        <v>-7372.9400000000023</v>
      </c>
      <c r="K23" s="320"/>
      <c r="L23" s="178">
        <v>7064.4</v>
      </c>
      <c r="M23" s="178">
        <v>24991.919999999998</v>
      </c>
      <c r="N23" s="179">
        <v>0</v>
      </c>
      <c r="O23" s="178">
        <v>32056.32</v>
      </c>
      <c r="P23" s="132"/>
      <c r="R23" s="298"/>
      <c r="S23" s="669"/>
      <c r="X23" s="444">
        <v>23</v>
      </c>
    </row>
    <row r="24" spans="1:24" s="61" customFormat="1" ht="24">
      <c r="A24" s="83" t="s">
        <v>18474</v>
      </c>
      <c r="B24" s="64" t="s">
        <v>39496</v>
      </c>
      <c r="C24" s="71" t="s">
        <v>103</v>
      </c>
      <c r="D24" s="79">
        <v>1</v>
      </c>
      <c r="E24" s="79">
        <v>2226.15</v>
      </c>
      <c r="F24" s="79">
        <v>2226.15</v>
      </c>
      <c r="G24" s="320"/>
      <c r="H24" s="178">
        <v>2226.15</v>
      </c>
      <c r="I24" s="178">
        <v>2738.16</v>
      </c>
      <c r="J24" s="70">
        <v>-512.00999999999976</v>
      </c>
      <c r="K24" s="320"/>
      <c r="L24" s="178">
        <v>365.37</v>
      </c>
      <c r="M24" s="178">
        <v>1860.7800000000002</v>
      </c>
      <c r="N24" s="179">
        <v>0</v>
      </c>
      <c r="O24" s="178">
        <v>2226.15</v>
      </c>
      <c r="P24" s="453"/>
      <c r="R24" s="298"/>
      <c r="S24" s="669"/>
      <c r="X24" s="444">
        <v>24</v>
      </c>
    </row>
    <row r="25" spans="1:24" s="61" customFormat="1" ht="24">
      <c r="A25" s="83" t="s">
        <v>18475</v>
      </c>
      <c r="B25" s="64" t="s">
        <v>39497</v>
      </c>
      <c r="C25" s="71" t="s">
        <v>103</v>
      </c>
      <c r="D25" s="79">
        <v>1</v>
      </c>
      <c r="E25" s="79">
        <v>2903.62</v>
      </c>
      <c r="F25" s="79">
        <v>2903.62</v>
      </c>
      <c r="G25" s="320"/>
      <c r="H25" s="178">
        <v>2903.61</v>
      </c>
      <c r="I25" s="178">
        <v>3571.44</v>
      </c>
      <c r="J25" s="70">
        <v>-667.82000000000016</v>
      </c>
      <c r="K25" s="320"/>
      <c r="L25" s="178">
        <v>267.72000000000003</v>
      </c>
      <c r="M25" s="178">
        <v>2635.8999999999996</v>
      </c>
      <c r="N25" s="179">
        <v>0</v>
      </c>
      <c r="O25" s="178">
        <v>2903.62</v>
      </c>
      <c r="P25" s="453"/>
      <c r="R25" s="298"/>
      <c r="S25" s="669"/>
      <c r="X25" s="444">
        <v>25</v>
      </c>
    </row>
    <row r="26" spans="1:24" s="61" customFormat="1" ht="24">
      <c r="A26" s="83" t="s">
        <v>18476</v>
      </c>
      <c r="B26" s="64" t="s">
        <v>39498</v>
      </c>
      <c r="C26" s="71" t="s">
        <v>103</v>
      </c>
      <c r="D26" s="79">
        <v>1</v>
      </c>
      <c r="E26" s="79">
        <v>3903.43</v>
      </c>
      <c r="F26" s="79">
        <v>3903.43</v>
      </c>
      <c r="G26" s="320"/>
      <c r="H26" s="178">
        <v>3903.43</v>
      </c>
      <c r="I26" s="178">
        <v>4801.22</v>
      </c>
      <c r="J26" s="70">
        <v>-897.79000000000042</v>
      </c>
      <c r="K26" s="320"/>
      <c r="L26" s="178">
        <v>974.31</v>
      </c>
      <c r="M26" s="178">
        <v>2929.12</v>
      </c>
      <c r="N26" s="179">
        <v>0</v>
      </c>
      <c r="O26" s="178">
        <v>3903.43</v>
      </c>
      <c r="P26" s="132"/>
      <c r="R26" s="298"/>
      <c r="S26" s="669"/>
      <c r="X26" s="444">
        <v>26</v>
      </c>
    </row>
    <row r="27" spans="1:24" s="61" customFormat="1" ht="24">
      <c r="A27" s="83" t="s">
        <v>18477</v>
      </c>
      <c r="B27" s="64" t="s">
        <v>39499</v>
      </c>
      <c r="C27" s="71" t="s">
        <v>103</v>
      </c>
      <c r="D27" s="79">
        <v>1</v>
      </c>
      <c r="E27" s="79">
        <v>4422.91</v>
      </c>
      <c r="F27" s="79">
        <v>4422.91</v>
      </c>
      <c r="G27" s="320"/>
      <c r="H27" s="178">
        <v>4422.8999999999996</v>
      </c>
      <c r="I27" s="178">
        <v>5440.17</v>
      </c>
      <c r="J27" s="70">
        <v>-1017.2600000000002</v>
      </c>
      <c r="K27" s="320"/>
      <c r="L27" s="178">
        <v>1461.4699999999998</v>
      </c>
      <c r="M27" s="178">
        <v>2961.44</v>
      </c>
      <c r="N27" s="179">
        <v>0</v>
      </c>
      <c r="O27" s="178">
        <v>4422.91</v>
      </c>
      <c r="P27" s="132"/>
      <c r="R27" s="298"/>
      <c r="S27" s="669"/>
      <c r="X27" s="444">
        <v>27</v>
      </c>
    </row>
    <row r="28" spans="1:24" ht="12">
      <c r="A28" s="83" t="s">
        <v>18478</v>
      </c>
      <c r="B28" s="64" t="s">
        <v>18479</v>
      </c>
      <c r="C28" s="71" t="s">
        <v>10216</v>
      </c>
      <c r="D28" s="79">
        <v>1</v>
      </c>
      <c r="E28" s="79">
        <v>577.26</v>
      </c>
      <c r="F28" s="79">
        <v>577.26</v>
      </c>
      <c r="G28" s="445"/>
      <c r="H28" s="178">
        <v>577.25</v>
      </c>
      <c r="I28" s="178">
        <v>710.02</v>
      </c>
      <c r="J28" s="70">
        <v>-132.76</v>
      </c>
      <c r="K28" s="320"/>
      <c r="L28" s="178">
        <v>0</v>
      </c>
      <c r="M28" s="178">
        <v>577.26</v>
      </c>
      <c r="N28" s="179">
        <v>0</v>
      </c>
      <c r="O28" s="178">
        <v>577.26</v>
      </c>
      <c r="P28" s="453"/>
      <c r="Q28" s="61"/>
      <c r="R28" s="298"/>
      <c r="S28" s="669"/>
      <c r="X28" s="444">
        <v>28</v>
      </c>
    </row>
    <row r="29" spans="1:24" ht="12">
      <c r="A29" s="83" t="s">
        <v>10512</v>
      </c>
      <c r="B29" s="64" t="s">
        <v>39500</v>
      </c>
      <c r="C29" s="71"/>
      <c r="D29" s="79" t="s">
        <v>40899</v>
      </c>
      <c r="E29" s="79" t="s">
        <v>40899</v>
      </c>
      <c r="F29" s="79"/>
      <c r="G29" s="445"/>
      <c r="H29" s="178"/>
      <c r="I29" s="178"/>
      <c r="J29" s="70"/>
      <c r="K29" s="320"/>
      <c r="L29" s="178"/>
      <c r="M29" s="178"/>
      <c r="N29" s="179"/>
      <c r="O29" s="178"/>
      <c r="P29" s="453"/>
      <c r="Q29" s="61"/>
      <c r="R29" s="298"/>
      <c r="S29" s="669"/>
      <c r="T29" s="73"/>
      <c r="X29" s="444">
        <v>29</v>
      </c>
    </row>
    <row r="30" spans="1:24" ht="12">
      <c r="A30" s="83" t="s">
        <v>18480</v>
      </c>
      <c r="B30" s="64" t="s">
        <v>18481</v>
      </c>
      <c r="C30" s="71" t="s">
        <v>121</v>
      </c>
      <c r="D30" s="79">
        <v>1</v>
      </c>
      <c r="E30" s="79">
        <v>55.83</v>
      </c>
      <c r="F30" s="79">
        <v>55.83</v>
      </c>
      <c r="G30" s="445"/>
      <c r="H30" s="178">
        <v>55.83</v>
      </c>
      <c r="I30" s="178">
        <v>68.67</v>
      </c>
      <c r="J30" s="70">
        <v>-12.840000000000003</v>
      </c>
      <c r="K30" s="320"/>
      <c r="L30" s="178">
        <v>55.83</v>
      </c>
      <c r="M30" s="178">
        <v>0</v>
      </c>
      <c r="N30" s="179">
        <v>0</v>
      </c>
      <c r="O30" s="178">
        <v>55.83</v>
      </c>
      <c r="P30" s="453"/>
      <c r="Q30" s="61"/>
      <c r="R30" s="298"/>
      <c r="S30" s="669"/>
      <c r="X30" s="444">
        <v>30</v>
      </c>
    </row>
    <row r="31" spans="1:24" ht="12">
      <c r="A31" s="83" t="s">
        <v>18482</v>
      </c>
      <c r="B31" s="64" t="s">
        <v>18483</v>
      </c>
      <c r="C31" s="71" t="s">
        <v>121</v>
      </c>
      <c r="D31" s="79">
        <v>1</v>
      </c>
      <c r="E31" s="79">
        <v>49.79</v>
      </c>
      <c r="F31" s="79">
        <v>49.79</v>
      </c>
      <c r="G31" s="445"/>
      <c r="H31" s="178">
        <v>49.77</v>
      </c>
      <c r="I31" s="178">
        <v>61.22</v>
      </c>
      <c r="J31" s="70">
        <v>-11.43</v>
      </c>
      <c r="K31" s="320"/>
      <c r="L31" s="178">
        <v>13.41</v>
      </c>
      <c r="M31" s="178">
        <v>36.379999999999995</v>
      </c>
      <c r="N31" s="179">
        <v>0</v>
      </c>
      <c r="O31" s="178">
        <v>49.789999999999992</v>
      </c>
      <c r="P31" s="453"/>
      <c r="Q31" s="61"/>
      <c r="R31" s="298"/>
      <c r="S31" s="669"/>
      <c r="X31" s="444">
        <v>31</v>
      </c>
    </row>
    <row r="32" spans="1:24" ht="12">
      <c r="A32" s="83" t="s">
        <v>18484</v>
      </c>
      <c r="B32" s="64" t="s">
        <v>18485</v>
      </c>
      <c r="C32" s="71" t="s">
        <v>121</v>
      </c>
      <c r="D32" s="79">
        <v>1</v>
      </c>
      <c r="E32" s="79">
        <v>49.79</v>
      </c>
      <c r="F32" s="79">
        <v>49.79</v>
      </c>
      <c r="G32" s="445"/>
      <c r="H32" s="178">
        <v>49.77</v>
      </c>
      <c r="I32" s="178">
        <v>61.22</v>
      </c>
      <c r="J32" s="70">
        <v>-11.43</v>
      </c>
      <c r="K32" s="320"/>
      <c r="L32" s="178">
        <v>13.41</v>
      </c>
      <c r="M32" s="178">
        <v>36.379999999999995</v>
      </c>
      <c r="N32" s="179">
        <v>0</v>
      </c>
      <c r="O32" s="178">
        <v>49.789999999999992</v>
      </c>
      <c r="P32" s="453"/>
      <c r="Q32" s="61"/>
      <c r="R32" s="298"/>
      <c r="S32" s="669"/>
      <c r="X32" s="444">
        <v>32</v>
      </c>
    </row>
    <row r="33" spans="1:24" ht="12">
      <c r="A33" s="83" t="s">
        <v>18486</v>
      </c>
      <c r="B33" s="64" t="s">
        <v>39501</v>
      </c>
      <c r="C33" s="71" t="s">
        <v>27521</v>
      </c>
      <c r="D33" s="79">
        <v>1</v>
      </c>
      <c r="E33" s="79">
        <v>2.0099999999999998</v>
      </c>
      <c r="F33" s="79">
        <v>2.0099999999999998</v>
      </c>
      <c r="G33" s="445"/>
      <c r="H33" s="178">
        <v>2.0099999999999998</v>
      </c>
      <c r="I33" s="178">
        <v>2.4700000000000002</v>
      </c>
      <c r="J33" s="70">
        <v>-0.46000000000000041</v>
      </c>
      <c r="K33" s="320"/>
      <c r="L33" s="178"/>
      <c r="M33" s="178">
        <v>2.0099999999999998</v>
      </c>
      <c r="N33" s="179">
        <v>0</v>
      </c>
      <c r="O33" s="178">
        <v>2.0099999999999998</v>
      </c>
      <c r="P33" s="453"/>
      <c r="Q33" s="61"/>
      <c r="R33" s="298"/>
      <c r="S33" s="669"/>
      <c r="X33" s="444">
        <v>33</v>
      </c>
    </row>
    <row r="34" spans="1:24" ht="12">
      <c r="A34" s="83" t="s">
        <v>18487</v>
      </c>
      <c r="B34" s="64" t="s">
        <v>18488</v>
      </c>
      <c r="C34" s="71" t="s">
        <v>10216</v>
      </c>
      <c r="D34" s="79">
        <v>1</v>
      </c>
      <c r="E34" s="79">
        <v>577.26</v>
      </c>
      <c r="F34" s="79">
        <v>577.26</v>
      </c>
      <c r="G34" s="445"/>
      <c r="H34" s="178">
        <v>577.25</v>
      </c>
      <c r="I34" s="178">
        <v>710.02</v>
      </c>
      <c r="J34" s="70">
        <v>-132.76</v>
      </c>
      <c r="K34" s="320"/>
      <c r="L34" s="178"/>
      <c r="M34" s="178">
        <v>577.26</v>
      </c>
      <c r="N34" s="179">
        <v>0</v>
      </c>
      <c r="O34" s="178">
        <v>577.26</v>
      </c>
      <c r="P34" s="453"/>
      <c r="Q34" s="61"/>
      <c r="R34" s="298"/>
      <c r="S34" s="669"/>
      <c r="X34" s="444">
        <v>34</v>
      </c>
    </row>
    <row r="35" spans="1:24" ht="12">
      <c r="A35" s="83" t="s">
        <v>39502</v>
      </c>
      <c r="B35" s="64" t="s">
        <v>39503</v>
      </c>
      <c r="C35" s="71"/>
      <c r="D35" s="79" t="s">
        <v>40899</v>
      </c>
      <c r="E35" s="79" t="s">
        <v>40899</v>
      </c>
      <c r="F35" s="79"/>
      <c r="G35" s="445"/>
      <c r="H35" s="178"/>
      <c r="I35" s="178"/>
      <c r="J35" s="70"/>
      <c r="K35" s="320"/>
      <c r="L35" s="178"/>
      <c r="M35" s="178"/>
      <c r="N35" s="179"/>
      <c r="O35" s="178"/>
      <c r="P35" s="453"/>
      <c r="Q35" s="61"/>
      <c r="R35" s="298"/>
      <c r="S35" s="669"/>
      <c r="X35" s="444">
        <v>35</v>
      </c>
    </row>
    <row r="36" spans="1:24" ht="12">
      <c r="A36" s="83" t="s">
        <v>18489</v>
      </c>
      <c r="B36" s="64" t="s">
        <v>18481</v>
      </c>
      <c r="C36" s="71" t="s">
        <v>121</v>
      </c>
      <c r="D36" s="79">
        <v>1</v>
      </c>
      <c r="E36" s="79">
        <v>14.73</v>
      </c>
      <c r="F36" s="79">
        <v>14.73</v>
      </c>
      <c r="G36" s="445"/>
      <c r="H36" s="178">
        <v>14.72</v>
      </c>
      <c r="I36" s="178">
        <v>18.100000000000001</v>
      </c>
      <c r="J36" s="70">
        <v>-3.370000000000001</v>
      </c>
      <c r="K36" s="320"/>
      <c r="L36" s="178">
        <v>0.78</v>
      </c>
      <c r="M36" s="178">
        <v>13.950000000000001</v>
      </c>
      <c r="N36" s="179">
        <v>0</v>
      </c>
      <c r="O36" s="178">
        <v>14.73</v>
      </c>
      <c r="P36" s="453"/>
      <c r="Q36" s="61"/>
      <c r="R36" s="298"/>
      <c r="S36" s="669"/>
      <c r="X36" s="444">
        <v>36</v>
      </c>
    </row>
    <row r="37" spans="1:24" ht="12">
      <c r="A37" s="83" t="s">
        <v>18490</v>
      </c>
      <c r="B37" s="64" t="s">
        <v>18483</v>
      </c>
      <c r="C37" s="71" t="s">
        <v>121</v>
      </c>
      <c r="D37" s="79">
        <v>1</v>
      </c>
      <c r="E37" s="79">
        <v>28.43</v>
      </c>
      <c r="F37" s="79">
        <v>28.43</v>
      </c>
      <c r="G37" s="445"/>
      <c r="H37" s="178">
        <v>28.42</v>
      </c>
      <c r="I37" s="178">
        <v>34.96</v>
      </c>
      <c r="J37" s="70">
        <v>-6.5300000000000011</v>
      </c>
      <c r="K37" s="320"/>
      <c r="L37" s="178"/>
      <c r="M37" s="178">
        <v>28.43</v>
      </c>
      <c r="N37" s="179">
        <v>0</v>
      </c>
      <c r="O37" s="178">
        <v>28.43</v>
      </c>
      <c r="P37" s="453"/>
      <c r="Q37" s="61"/>
      <c r="R37" s="298"/>
      <c r="S37" s="669"/>
      <c r="X37" s="444">
        <v>37</v>
      </c>
    </row>
    <row r="38" spans="1:24" ht="12">
      <c r="A38" s="83" t="s">
        <v>18491</v>
      </c>
      <c r="B38" s="64" t="s">
        <v>18485</v>
      </c>
      <c r="C38" s="71" t="s">
        <v>121</v>
      </c>
      <c r="D38" s="79">
        <v>1</v>
      </c>
      <c r="E38" s="79">
        <v>30.53</v>
      </c>
      <c r="F38" s="79">
        <v>30.53</v>
      </c>
      <c r="G38" s="445"/>
      <c r="H38" s="178">
        <v>30.51</v>
      </c>
      <c r="I38" s="178">
        <v>37.53</v>
      </c>
      <c r="J38" s="70">
        <v>-7</v>
      </c>
      <c r="K38" s="320"/>
      <c r="L38" s="178">
        <v>0.78</v>
      </c>
      <c r="M38" s="178">
        <v>29.75</v>
      </c>
      <c r="N38" s="179">
        <v>0</v>
      </c>
      <c r="O38" s="178">
        <v>30.53</v>
      </c>
      <c r="P38" s="453"/>
      <c r="Q38" s="61"/>
      <c r="R38" s="298"/>
      <c r="S38" s="669"/>
      <c r="X38" s="444">
        <v>38</v>
      </c>
    </row>
    <row r="39" spans="1:24" ht="12">
      <c r="A39" s="83" t="s">
        <v>18492</v>
      </c>
      <c r="B39" s="64" t="s">
        <v>39504</v>
      </c>
      <c r="C39" s="71" t="s">
        <v>27521</v>
      </c>
      <c r="D39" s="79">
        <v>1</v>
      </c>
      <c r="E39" s="79">
        <v>2.8200000000000003</v>
      </c>
      <c r="F39" s="79">
        <v>2.82</v>
      </c>
      <c r="G39" s="445"/>
      <c r="H39" s="178">
        <v>2.81</v>
      </c>
      <c r="I39" s="178">
        <v>3.46</v>
      </c>
      <c r="J39" s="70">
        <v>-0.63999999999999968</v>
      </c>
      <c r="K39" s="320"/>
      <c r="L39" s="178">
        <v>0.44</v>
      </c>
      <c r="M39" s="178">
        <v>2.3800000000000003</v>
      </c>
      <c r="N39" s="179">
        <v>0</v>
      </c>
      <c r="O39" s="178">
        <v>2.8200000000000003</v>
      </c>
      <c r="P39" s="453"/>
      <c r="Q39" s="61"/>
      <c r="R39" s="298"/>
      <c r="S39" s="669"/>
      <c r="X39" s="444">
        <v>39</v>
      </c>
    </row>
    <row r="40" spans="1:24" ht="12">
      <c r="A40" s="83" t="s">
        <v>18493</v>
      </c>
      <c r="B40" s="64" t="s">
        <v>18494</v>
      </c>
      <c r="C40" s="71" t="s">
        <v>10216</v>
      </c>
      <c r="D40" s="79">
        <v>1</v>
      </c>
      <c r="E40" s="79">
        <v>577.26</v>
      </c>
      <c r="F40" s="79">
        <v>577.26</v>
      </c>
      <c r="G40" s="445"/>
      <c r="H40" s="178">
        <v>577.25</v>
      </c>
      <c r="I40" s="178">
        <v>710.02</v>
      </c>
      <c r="J40" s="70">
        <v>-132.76</v>
      </c>
      <c r="K40" s="320"/>
      <c r="L40" s="178"/>
      <c r="M40" s="178">
        <v>577.26</v>
      </c>
      <c r="N40" s="179">
        <v>0</v>
      </c>
      <c r="O40" s="178">
        <v>577.26</v>
      </c>
      <c r="P40" s="453"/>
      <c r="Q40" s="61"/>
      <c r="R40" s="298"/>
      <c r="S40" s="669"/>
      <c r="X40" s="444">
        <v>40</v>
      </c>
    </row>
    <row r="41" spans="1:24" ht="12">
      <c r="A41" s="83" t="s">
        <v>39505</v>
      </c>
      <c r="B41" s="64" t="s">
        <v>39506</v>
      </c>
      <c r="C41" s="71"/>
      <c r="D41" s="79" t="s">
        <v>40899</v>
      </c>
      <c r="E41" s="79" t="s">
        <v>40899</v>
      </c>
      <c r="F41" s="79"/>
      <c r="G41" s="445"/>
      <c r="H41" s="178"/>
      <c r="I41" s="178"/>
      <c r="J41" s="70"/>
      <c r="K41" s="320"/>
      <c r="L41" s="178"/>
      <c r="M41" s="178"/>
      <c r="N41" s="179"/>
      <c r="O41" s="178"/>
      <c r="P41" s="453"/>
      <c r="Q41" s="61"/>
      <c r="R41" s="298"/>
      <c r="S41" s="669"/>
      <c r="X41" s="444">
        <v>41</v>
      </c>
    </row>
    <row r="42" spans="1:24" ht="12">
      <c r="A42" s="83" t="s">
        <v>18495</v>
      </c>
      <c r="B42" s="64" t="s">
        <v>18496</v>
      </c>
      <c r="C42" s="71" t="s">
        <v>509</v>
      </c>
      <c r="D42" s="79">
        <v>1</v>
      </c>
      <c r="E42" s="79">
        <v>93.87</v>
      </c>
      <c r="F42" s="79">
        <v>93.87</v>
      </c>
      <c r="G42" s="445"/>
      <c r="H42" s="178">
        <v>93.87</v>
      </c>
      <c r="I42" s="178">
        <v>115.46</v>
      </c>
      <c r="J42" s="70">
        <v>-21.589999999999989</v>
      </c>
      <c r="K42" s="320"/>
      <c r="L42" s="178">
        <v>15.379999999999999</v>
      </c>
      <c r="M42" s="178">
        <v>78.490000000000009</v>
      </c>
      <c r="N42" s="179">
        <v>0</v>
      </c>
      <c r="O42" s="178">
        <v>93.87</v>
      </c>
      <c r="P42" s="453"/>
      <c r="Q42" s="61"/>
      <c r="R42" s="298"/>
      <c r="S42" s="669"/>
      <c r="X42" s="444">
        <v>42</v>
      </c>
    </row>
    <row r="43" spans="1:24" ht="12">
      <c r="A43" s="83" t="s">
        <v>18497</v>
      </c>
      <c r="B43" s="64" t="s">
        <v>18498</v>
      </c>
      <c r="C43" s="71" t="s">
        <v>509</v>
      </c>
      <c r="D43" s="79">
        <v>1</v>
      </c>
      <c r="E43" s="79">
        <v>124.44999999999999</v>
      </c>
      <c r="F43" s="79">
        <v>124.45</v>
      </c>
      <c r="G43" s="445"/>
      <c r="H43" s="178">
        <v>124.45</v>
      </c>
      <c r="I43" s="178">
        <v>153.07</v>
      </c>
      <c r="J43" s="70">
        <v>-28.620000000000005</v>
      </c>
      <c r="K43" s="320"/>
      <c r="L43" s="178">
        <v>49.08</v>
      </c>
      <c r="M43" s="178">
        <v>75.36999999999999</v>
      </c>
      <c r="N43" s="179">
        <v>0</v>
      </c>
      <c r="O43" s="178">
        <v>124.44999999999999</v>
      </c>
      <c r="P43" s="453"/>
      <c r="Q43" s="61"/>
      <c r="R43" s="298"/>
      <c r="S43" s="669"/>
      <c r="X43" s="444">
        <v>43</v>
      </c>
    </row>
    <row r="44" spans="1:24" ht="12">
      <c r="A44" s="83" t="s">
        <v>18499</v>
      </c>
      <c r="B44" s="64" t="s">
        <v>18500</v>
      </c>
      <c r="C44" s="71" t="s">
        <v>509</v>
      </c>
      <c r="D44" s="79">
        <v>1</v>
      </c>
      <c r="E44" s="79">
        <v>82.28</v>
      </c>
      <c r="F44" s="79">
        <v>82.28</v>
      </c>
      <c r="G44" s="445"/>
      <c r="H44" s="178">
        <v>82.28</v>
      </c>
      <c r="I44" s="178">
        <v>101.21</v>
      </c>
      <c r="J44" s="70">
        <v>-18.929999999999993</v>
      </c>
      <c r="K44" s="320"/>
      <c r="L44" s="178">
        <v>39.269999999999996</v>
      </c>
      <c r="M44" s="178">
        <v>43.010000000000005</v>
      </c>
      <c r="N44" s="179">
        <v>0</v>
      </c>
      <c r="O44" s="178">
        <v>82.28</v>
      </c>
      <c r="P44" s="453"/>
      <c r="Q44" s="61"/>
      <c r="R44" s="298"/>
      <c r="S44" s="669"/>
      <c r="X44" s="444">
        <v>44</v>
      </c>
    </row>
    <row r="45" spans="1:24" ht="12">
      <c r="A45" s="83" t="s">
        <v>18501</v>
      </c>
      <c r="B45" s="64" t="s">
        <v>18502</v>
      </c>
      <c r="C45" s="71" t="s">
        <v>10216</v>
      </c>
      <c r="D45" s="79">
        <v>1</v>
      </c>
      <c r="E45" s="79">
        <v>577.26</v>
      </c>
      <c r="F45" s="79">
        <v>577.26</v>
      </c>
      <c r="G45" s="445"/>
      <c r="H45" s="178">
        <v>577.25</v>
      </c>
      <c r="I45" s="178">
        <v>710.02</v>
      </c>
      <c r="J45" s="70">
        <v>-132.76</v>
      </c>
      <c r="K45" s="320"/>
      <c r="L45" s="178"/>
      <c r="M45" s="178">
        <v>577.26</v>
      </c>
      <c r="N45" s="179">
        <v>0</v>
      </c>
      <c r="O45" s="178">
        <v>577.26</v>
      </c>
      <c r="P45" s="453"/>
      <c r="Q45" s="61"/>
      <c r="R45" s="298"/>
      <c r="S45" s="669"/>
      <c r="X45" s="444">
        <v>45</v>
      </c>
    </row>
    <row r="46" spans="1:24" ht="12">
      <c r="A46" s="83" t="s">
        <v>39507</v>
      </c>
      <c r="B46" s="64" t="s">
        <v>39508</v>
      </c>
      <c r="C46" s="71"/>
      <c r="D46" s="79" t="s">
        <v>40899</v>
      </c>
      <c r="E46" s="79" t="s">
        <v>40899</v>
      </c>
      <c r="F46" s="79"/>
      <c r="G46" s="445"/>
      <c r="H46" s="178"/>
      <c r="I46" s="178"/>
      <c r="J46" s="70"/>
      <c r="K46" s="320"/>
      <c r="L46" s="178"/>
      <c r="M46" s="178"/>
      <c r="N46" s="179"/>
      <c r="O46" s="178"/>
      <c r="P46" s="453"/>
      <c r="Q46" s="61"/>
      <c r="R46" s="298"/>
      <c r="S46" s="669"/>
      <c r="X46" s="444">
        <v>46</v>
      </c>
    </row>
    <row r="47" spans="1:24" ht="12">
      <c r="A47" s="83" t="s">
        <v>18503</v>
      </c>
      <c r="B47" s="64" t="s">
        <v>18504</v>
      </c>
      <c r="C47" s="71" t="s">
        <v>121</v>
      </c>
      <c r="D47" s="79">
        <v>1</v>
      </c>
      <c r="E47" s="79">
        <v>51.370000000000005</v>
      </c>
      <c r="F47" s="79">
        <v>51.37</v>
      </c>
      <c r="G47" s="445"/>
      <c r="H47" s="178">
        <v>51.37</v>
      </c>
      <c r="I47" s="178">
        <v>63.18</v>
      </c>
      <c r="J47" s="70">
        <v>-11.809999999999995</v>
      </c>
      <c r="K47" s="320"/>
      <c r="L47" s="178">
        <v>51.370000000000005</v>
      </c>
      <c r="M47" s="178">
        <v>0</v>
      </c>
      <c r="N47" s="179">
        <v>0</v>
      </c>
      <c r="O47" s="178">
        <v>51.370000000000005</v>
      </c>
      <c r="P47" s="453"/>
      <c r="Q47" s="61"/>
      <c r="R47" s="298"/>
      <c r="S47" s="669"/>
      <c r="X47" s="444">
        <v>47</v>
      </c>
    </row>
    <row r="48" spans="1:24" ht="12">
      <c r="A48" s="83" t="s">
        <v>18505</v>
      </c>
      <c r="B48" s="64" t="s">
        <v>18506</v>
      </c>
      <c r="C48" s="71" t="s">
        <v>121</v>
      </c>
      <c r="D48" s="79">
        <v>1</v>
      </c>
      <c r="E48" s="79">
        <v>67</v>
      </c>
      <c r="F48" s="79">
        <v>67</v>
      </c>
      <c r="G48" s="445"/>
      <c r="H48" s="178">
        <v>66.989999999999995</v>
      </c>
      <c r="I48" s="178">
        <v>82.4</v>
      </c>
      <c r="J48" s="70">
        <v>-15.400000000000006</v>
      </c>
      <c r="K48" s="320"/>
      <c r="L48" s="178">
        <v>67</v>
      </c>
      <c r="M48" s="178">
        <v>0</v>
      </c>
      <c r="N48" s="179">
        <v>0</v>
      </c>
      <c r="O48" s="178">
        <v>67</v>
      </c>
      <c r="P48" s="453"/>
      <c r="Q48" s="61"/>
      <c r="R48" s="298"/>
      <c r="S48" s="669"/>
      <c r="X48" s="444">
        <v>48</v>
      </c>
    </row>
    <row r="49" spans="1:24" ht="12">
      <c r="A49" s="83" t="s">
        <v>18507</v>
      </c>
      <c r="B49" s="64" t="s">
        <v>18508</v>
      </c>
      <c r="C49" s="71" t="s">
        <v>10216</v>
      </c>
      <c r="D49" s="79">
        <v>1</v>
      </c>
      <c r="E49" s="79">
        <v>577.26</v>
      </c>
      <c r="F49" s="79">
        <v>577.26</v>
      </c>
      <c r="G49" s="445"/>
      <c r="H49" s="178">
        <v>577.25</v>
      </c>
      <c r="I49" s="178">
        <v>710.02</v>
      </c>
      <c r="J49" s="70">
        <v>-132.76</v>
      </c>
      <c r="K49" s="320"/>
      <c r="L49" s="178"/>
      <c r="M49" s="178">
        <v>577.26</v>
      </c>
      <c r="N49" s="179">
        <v>0</v>
      </c>
      <c r="O49" s="178">
        <v>577.26</v>
      </c>
      <c r="P49" s="453"/>
      <c r="Q49" s="61"/>
      <c r="R49" s="298"/>
      <c r="S49" s="669"/>
      <c r="X49" s="444">
        <v>49</v>
      </c>
    </row>
    <row r="50" spans="1:24" ht="12">
      <c r="A50" s="83" t="s">
        <v>10524</v>
      </c>
      <c r="B50" s="64" t="s">
        <v>39509</v>
      </c>
      <c r="C50" s="71"/>
      <c r="D50" s="79" t="s">
        <v>40899</v>
      </c>
      <c r="E50" s="79" t="s">
        <v>40899</v>
      </c>
      <c r="F50" s="79"/>
      <c r="G50" s="445"/>
      <c r="H50" s="178"/>
      <c r="I50" s="178"/>
      <c r="J50" s="70"/>
      <c r="K50" s="320"/>
      <c r="L50" s="178"/>
      <c r="M50" s="178"/>
      <c r="N50" s="179"/>
      <c r="O50" s="178"/>
      <c r="P50" s="453"/>
      <c r="Q50" s="61"/>
      <c r="R50" s="298"/>
      <c r="S50" s="669"/>
      <c r="X50" s="444">
        <v>50</v>
      </c>
    </row>
    <row r="51" spans="1:24" ht="12">
      <c r="A51" s="83" t="s">
        <v>18509</v>
      </c>
      <c r="B51" s="64" t="s">
        <v>18510</v>
      </c>
      <c r="C51" s="71" t="s">
        <v>509</v>
      </c>
      <c r="D51" s="79">
        <v>1</v>
      </c>
      <c r="E51" s="79">
        <v>8.92</v>
      </c>
      <c r="F51" s="79">
        <v>8.92</v>
      </c>
      <c r="G51" s="445"/>
      <c r="H51" s="178">
        <v>8.93</v>
      </c>
      <c r="I51" s="178">
        <v>10.98</v>
      </c>
      <c r="J51" s="70">
        <v>-2.0600000000000005</v>
      </c>
      <c r="K51" s="320"/>
      <c r="L51" s="178">
        <v>8.92</v>
      </c>
      <c r="M51" s="178">
        <v>0</v>
      </c>
      <c r="N51" s="179">
        <v>0</v>
      </c>
      <c r="O51" s="178">
        <v>8.92</v>
      </c>
      <c r="P51" s="453"/>
      <c r="Q51" s="61"/>
      <c r="R51" s="298"/>
      <c r="S51" s="669"/>
      <c r="X51" s="444">
        <v>51</v>
      </c>
    </row>
    <row r="52" spans="1:24" ht="12">
      <c r="A52" s="83" t="s">
        <v>18511</v>
      </c>
      <c r="B52" s="64" t="s">
        <v>18512</v>
      </c>
      <c r="C52" s="71" t="s">
        <v>121</v>
      </c>
      <c r="D52" s="79">
        <v>1</v>
      </c>
      <c r="E52" s="79">
        <v>78.17</v>
      </c>
      <c r="F52" s="79">
        <v>78.17</v>
      </c>
      <c r="G52" s="445"/>
      <c r="H52" s="178">
        <v>78.16</v>
      </c>
      <c r="I52" s="178">
        <v>96.14</v>
      </c>
      <c r="J52" s="70">
        <v>-17.97</v>
      </c>
      <c r="K52" s="320"/>
      <c r="L52" s="178">
        <v>78.17</v>
      </c>
      <c r="M52" s="178">
        <v>0</v>
      </c>
      <c r="N52" s="179">
        <v>0</v>
      </c>
      <c r="O52" s="178">
        <v>78.17</v>
      </c>
      <c r="P52" s="453"/>
      <c r="Q52" s="61"/>
      <c r="R52" s="298"/>
      <c r="S52" s="669"/>
      <c r="X52" s="444">
        <v>52</v>
      </c>
    </row>
    <row r="53" spans="1:24" ht="12">
      <c r="A53" s="83" t="s">
        <v>18513</v>
      </c>
      <c r="B53" s="64" t="s">
        <v>18514</v>
      </c>
      <c r="C53" s="71" t="s">
        <v>10216</v>
      </c>
      <c r="D53" s="79">
        <v>1</v>
      </c>
      <c r="E53" s="79">
        <v>577.26</v>
      </c>
      <c r="F53" s="79">
        <v>577.26</v>
      </c>
      <c r="G53" s="445"/>
      <c r="H53" s="178">
        <v>577.25</v>
      </c>
      <c r="I53" s="178">
        <v>710.02</v>
      </c>
      <c r="J53" s="70">
        <v>-132.76</v>
      </c>
      <c r="K53" s="320"/>
      <c r="L53" s="178"/>
      <c r="M53" s="178">
        <v>577.26</v>
      </c>
      <c r="N53" s="179">
        <v>0</v>
      </c>
      <c r="O53" s="178">
        <v>577.26</v>
      </c>
      <c r="P53" s="453"/>
      <c r="Q53" s="61"/>
      <c r="R53" s="298"/>
      <c r="S53" s="669"/>
      <c r="X53" s="444">
        <v>53</v>
      </c>
    </row>
    <row r="54" spans="1:24" ht="12">
      <c r="A54" s="83" t="s">
        <v>39510</v>
      </c>
      <c r="B54" s="64" t="s">
        <v>39511</v>
      </c>
      <c r="C54" s="71"/>
      <c r="D54" s="79" t="s">
        <v>40899</v>
      </c>
      <c r="E54" s="79" t="s">
        <v>40899</v>
      </c>
      <c r="F54" s="79"/>
      <c r="G54" s="445"/>
      <c r="H54" s="178"/>
      <c r="I54" s="178"/>
      <c r="J54" s="70"/>
      <c r="K54" s="320"/>
      <c r="L54" s="178"/>
      <c r="M54" s="178"/>
      <c r="N54" s="179"/>
      <c r="O54" s="178"/>
      <c r="P54" s="453"/>
      <c r="Q54" s="61"/>
      <c r="R54" s="298"/>
      <c r="S54" s="669"/>
      <c r="X54" s="444">
        <v>54</v>
      </c>
    </row>
    <row r="55" spans="1:24" ht="12">
      <c r="A55" s="83" t="s">
        <v>18515</v>
      </c>
      <c r="B55" s="64" t="s">
        <v>18516</v>
      </c>
      <c r="C55" s="71" t="s">
        <v>509</v>
      </c>
      <c r="D55" s="79">
        <v>1</v>
      </c>
      <c r="E55" s="79">
        <v>11.87</v>
      </c>
      <c r="F55" s="79">
        <v>11.87</v>
      </c>
      <c r="G55" s="445"/>
      <c r="H55" s="178">
        <v>11.87</v>
      </c>
      <c r="I55" s="178">
        <v>14.6</v>
      </c>
      <c r="J55" s="70">
        <v>-2.7300000000000004</v>
      </c>
      <c r="K55" s="320"/>
      <c r="L55" s="178">
        <v>3.35</v>
      </c>
      <c r="M55" s="178">
        <v>8.52</v>
      </c>
      <c r="N55" s="179">
        <v>0</v>
      </c>
      <c r="O55" s="178">
        <v>11.87</v>
      </c>
      <c r="P55" s="453"/>
      <c r="Q55" s="61"/>
      <c r="R55" s="298"/>
      <c r="S55" s="669"/>
      <c r="X55" s="444">
        <v>55</v>
      </c>
    </row>
    <row r="56" spans="1:24" ht="12">
      <c r="A56" s="83" t="s">
        <v>18517</v>
      </c>
      <c r="B56" s="64" t="s">
        <v>18518</v>
      </c>
      <c r="C56" s="71" t="s">
        <v>509</v>
      </c>
      <c r="D56" s="79">
        <v>1</v>
      </c>
      <c r="E56" s="79">
        <v>44.110000000000007</v>
      </c>
      <c r="F56" s="79">
        <v>44.11</v>
      </c>
      <c r="G56" s="445"/>
      <c r="H56" s="178">
        <v>44.1</v>
      </c>
      <c r="I56" s="178">
        <v>54.24</v>
      </c>
      <c r="J56" s="70">
        <v>-10.129999999999995</v>
      </c>
      <c r="K56" s="320"/>
      <c r="L56" s="178">
        <v>26</v>
      </c>
      <c r="M56" s="178">
        <v>18.110000000000007</v>
      </c>
      <c r="N56" s="179">
        <v>0</v>
      </c>
      <c r="O56" s="178">
        <v>44.110000000000007</v>
      </c>
      <c r="P56" s="453"/>
      <c r="Q56" s="61"/>
      <c r="R56" s="298"/>
      <c r="S56" s="669"/>
      <c r="X56" s="444">
        <v>56</v>
      </c>
    </row>
    <row r="57" spans="1:24" ht="12">
      <c r="A57" s="83" t="s">
        <v>18519</v>
      </c>
      <c r="B57" s="64" t="s">
        <v>18520</v>
      </c>
      <c r="C57" s="71" t="s">
        <v>10216</v>
      </c>
      <c r="D57" s="79">
        <v>1</v>
      </c>
      <c r="E57" s="79">
        <v>577.26</v>
      </c>
      <c r="F57" s="79">
        <v>577.26</v>
      </c>
      <c r="G57" s="445"/>
      <c r="H57" s="178">
        <v>577.25</v>
      </c>
      <c r="I57" s="178">
        <v>710.02</v>
      </c>
      <c r="J57" s="70">
        <v>-132.76</v>
      </c>
      <c r="K57" s="320"/>
      <c r="L57" s="178"/>
      <c r="M57" s="178">
        <v>577.26</v>
      </c>
      <c r="N57" s="179">
        <v>0</v>
      </c>
      <c r="O57" s="178">
        <v>577.26</v>
      </c>
      <c r="P57" s="453"/>
      <c r="Q57" s="61"/>
      <c r="R57" s="298"/>
      <c r="S57" s="669"/>
      <c r="X57" s="444">
        <v>57</v>
      </c>
    </row>
    <row r="58" spans="1:24" ht="12">
      <c r="A58" s="83" t="s">
        <v>39512</v>
      </c>
      <c r="B58" s="64" t="s">
        <v>39513</v>
      </c>
      <c r="C58" s="71"/>
      <c r="D58" s="79" t="s">
        <v>40899</v>
      </c>
      <c r="E58" s="79" t="s">
        <v>40899</v>
      </c>
      <c r="F58" s="79"/>
      <c r="G58" s="445"/>
      <c r="H58" s="178"/>
      <c r="I58" s="178"/>
      <c r="J58" s="70"/>
      <c r="K58" s="320"/>
      <c r="L58" s="178"/>
      <c r="M58" s="178"/>
      <c r="N58" s="179"/>
      <c r="O58" s="178"/>
      <c r="P58" s="453"/>
      <c r="Q58" s="61"/>
      <c r="R58" s="298"/>
      <c r="S58" s="669"/>
      <c r="X58" s="444">
        <v>58</v>
      </c>
    </row>
    <row r="59" spans="1:24" ht="12">
      <c r="A59" s="83" t="s">
        <v>18521</v>
      </c>
      <c r="B59" s="64" t="s">
        <v>18522</v>
      </c>
      <c r="C59" s="71" t="s">
        <v>165</v>
      </c>
      <c r="D59" s="79">
        <v>1</v>
      </c>
      <c r="E59" s="79">
        <v>81.209999999999994</v>
      </c>
      <c r="F59" s="79">
        <v>81.209999999999994</v>
      </c>
      <c r="G59" s="445"/>
      <c r="H59" s="178">
        <v>81.2</v>
      </c>
      <c r="I59" s="178">
        <v>99.88</v>
      </c>
      <c r="J59" s="70">
        <v>-18.670000000000002</v>
      </c>
      <c r="K59" s="320"/>
      <c r="L59" s="178">
        <v>50.97</v>
      </c>
      <c r="M59" s="178">
        <v>30.239999999999995</v>
      </c>
      <c r="N59" s="179">
        <v>0</v>
      </c>
      <c r="O59" s="178">
        <v>81.209999999999994</v>
      </c>
      <c r="P59" s="453"/>
      <c r="Q59" s="61"/>
      <c r="R59" s="298"/>
      <c r="S59" s="669"/>
      <c r="X59" s="444">
        <v>59</v>
      </c>
    </row>
    <row r="60" spans="1:24" ht="12">
      <c r="A60" s="83" t="s">
        <v>18523</v>
      </c>
      <c r="B60" s="64" t="s">
        <v>18524</v>
      </c>
      <c r="C60" s="71" t="s">
        <v>165</v>
      </c>
      <c r="D60" s="79">
        <v>1</v>
      </c>
      <c r="E60" s="79">
        <v>121.09</v>
      </c>
      <c r="F60" s="79">
        <v>121.09</v>
      </c>
      <c r="G60" s="445"/>
      <c r="H60" s="178">
        <v>121.07</v>
      </c>
      <c r="I60" s="178">
        <v>148.91</v>
      </c>
      <c r="J60" s="70">
        <v>-27.819999999999993</v>
      </c>
      <c r="K60" s="320"/>
      <c r="L60" s="178">
        <v>61.18</v>
      </c>
      <c r="M60" s="178">
        <v>59.910000000000004</v>
      </c>
      <c r="N60" s="179">
        <v>0</v>
      </c>
      <c r="O60" s="178">
        <v>121.09</v>
      </c>
      <c r="P60" s="453"/>
      <c r="Q60" s="61"/>
      <c r="R60" s="298"/>
      <c r="S60" s="669"/>
      <c r="X60" s="444">
        <v>60</v>
      </c>
    </row>
    <row r="61" spans="1:24" ht="12">
      <c r="A61" s="83" t="s">
        <v>18525</v>
      </c>
      <c r="B61" s="64" t="s">
        <v>18526</v>
      </c>
      <c r="C61" s="71" t="s">
        <v>165</v>
      </c>
      <c r="D61" s="79">
        <v>1</v>
      </c>
      <c r="E61" s="79">
        <v>148.47</v>
      </c>
      <c r="F61" s="79">
        <v>148.47</v>
      </c>
      <c r="G61" s="445"/>
      <c r="H61" s="178">
        <v>148.47</v>
      </c>
      <c r="I61" s="178">
        <v>182.62</v>
      </c>
      <c r="J61" s="70">
        <v>-34.150000000000006</v>
      </c>
      <c r="K61" s="320"/>
      <c r="L61" s="178">
        <v>50.97</v>
      </c>
      <c r="M61" s="178">
        <v>97.5</v>
      </c>
      <c r="N61" s="179">
        <v>0</v>
      </c>
      <c r="O61" s="178">
        <v>148.47</v>
      </c>
      <c r="P61" s="453"/>
      <c r="Q61" s="61"/>
      <c r="R61" s="298"/>
      <c r="S61" s="669"/>
      <c r="X61" s="444">
        <v>61</v>
      </c>
    </row>
    <row r="62" spans="1:24" ht="12">
      <c r="A62" s="83" t="s">
        <v>18527</v>
      </c>
      <c r="B62" s="64" t="s">
        <v>18528</v>
      </c>
      <c r="C62" s="71" t="s">
        <v>165</v>
      </c>
      <c r="D62" s="79">
        <v>1</v>
      </c>
      <c r="E62" s="79">
        <v>184.52</v>
      </c>
      <c r="F62" s="79">
        <v>184.52</v>
      </c>
      <c r="G62" s="445"/>
      <c r="H62" s="178">
        <v>184.5</v>
      </c>
      <c r="I62" s="178">
        <v>226.93</v>
      </c>
      <c r="J62" s="70">
        <v>-42.41</v>
      </c>
      <c r="K62" s="320"/>
      <c r="L62" s="178">
        <v>61.18</v>
      </c>
      <c r="M62" s="178">
        <v>123.34</v>
      </c>
      <c r="N62" s="179">
        <v>0</v>
      </c>
      <c r="O62" s="178">
        <v>184.52</v>
      </c>
      <c r="P62" s="453"/>
      <c r="Q62" s="61"/>
      <c r="R62" s="298"/>
      <c r="S62" s="669"/>
      <c r="X62" s="444">
        <v>62</v>
      </c>
    </row>
    <row r="63" spans="1:24" ht="12">
      <c r="A63" s="83" t="s">
        <v>18529</v>
      </c>
      <c r="B63" s="64" t="s">
        <v>18530</v>
      </c>
      <c r="C63" s="71" t="s">
        <v>509</v>
      </c>
      <c r="D63" s="79">
        <v>1</v>
      </c>
      <c r="E63" s="79">
        <v>20.48</v>
      </c>
      <c r="F63" s="79">
        <v>20.48</v>
      </c>
      <c r="G63" s="445"/>
      <c r="H63" s="178">
        <v>20.47</v>
      </c>
      <c r="I63" s="178">
        <v>25.18</v>
      </c>
      <c r="J63" s="70">
        <v>-4.6999999999999993</v>
      </c>
      <c r="K63" s="320"/>
      <c r="L63" s="178">
        <v>14.83</v>
      </c>
      <c r="M63" s="178">
        <v>5.65</v>
      </c>
      <c r="N63" s="179">
        <v>0</v>
      </c>
      <c r="O63" s="178">
        <v>20.48</v>
      </c>
      <c r="P63" s="453"/>
      <c r="Q63" s="61"/>
      <c r="R63" s="298"/>
      <c r="S63" s="669"/>
      <c r="X63" s="444">
        <v>63</v>
      </c>
    </row>
    <row r="64" spans="1:24" ht="12">
      <c r="A64" s="83" t="s">
        <v>18531</v>
      </c>
      <c r="B64" s="64" t="s">
        <v>18532</v>
      </c>
      <c r="C64" s="71" t="s">
        <v>509</v>
      </c>
      <c r="D64" s="79">
        <v>1</v>
      </c>
      <c r="E64" s="79">
        <v>23.25</v>
      </c>
      <c r="F64" s="79">
        <v>23.25</v>
      </c>
      <c r="G64" s="445"/>
      <c r="H64" s="178">
        <v>23.24</v>
      </c>
      <c r="I64" s="178">
        <v>28.59</v>
      </c>
      <c r="J64" s="70">
        <v>-5.34</v>
      </c>
      <c r="K64" s="320"/>
      <c r="L64" s="178">
        <v>14.83</v>
      </c>
      <c r="M64" s="178">
        <v>8.42</v>
      </c>
      <c r="N64" s="179">
        <v>0</v>
      </c>
      <c r="O64" s="178">
        <v>23.25</v>
      </c>
      <c r="P64" s="453"/>
      <c r="Q64" s="61"/>
      <c r="R64" s="298"/>
      <c r="S64" s="669"/>
      <c r="X64" s="444">
        <v>64</v>
      </c>
    </row>
    <row r="65" spans="1:32" s="73" customFormat="1" ht="12">
      <c r="A65" s="83" t="s">
        <v>18533</v>
      </c>
      <c r="B65" s="64" t="s">
        <v>18534</v>
      </c>
      <c r="C65" s="71" t="s">
        <v>509</v>
      </c>
      <c r="D65" s="79">
        <v>1</v>
      </c>
      <c r="E65" s="79">
        <v>31.189999999999998</v>
      </c>
      <c r="F65" s="79">
        <v>31.19</v>
      </c>
      <c r="G65" s="445"/>
      <c r="H65" s="178">
        <v>31.18</v>
      </c>
      <c r="I65" s="178">
        <v>38.35</v>
      </c>
      <c r="J65" s="70">
        <v>-7.1600000000000037</v>
      </c>
      <c r="K65" s="320"/>
      <c r="L65" s="178">
        <v>14.83</v>
      </c>
      <c r="M65" s="178">
        <v>16.36</v>
      </c>
      <c r="N65" s="179">
        <v>0</v>
      </c>
      <c r="O65" s="178">
        <v>31.189999999999998</v>
      </c>
      <c r="P65" s="453"/>
      <c r="Q65" s="61"/>
      <c r="R65" s="298"/>
      <c r="S65" s="669"/>
      <c r="T65" s="444"/>
      <c r="U65" s="444"/>
      <c r="V65" s="444"/>
      <c r="W65" s="444"/>
      <c r="X65" s="444">
        <v>65</v>
      </c>
      <c r="Y65" s="444"/>
      <c r="Z65" s="444"/>
      <c r="AA65" s="444"/>
      <c r="AB65" s="444"/>
      <c r="AC65" s="444"/>
      <c r="AD65" s="444"/>
      <c r="AE65" s="444"/>
      <c r="AF65" s="444"/>
    </row>
    <row r="66" spans="1:32" s="73" customFormat="1" ht="12">
      <c r="A66" s="83" t="s">
        <v>18535</v>
      </c>
      <c r="B66" s="64" t="s">
        <v>18536</v>
      </c>
      <c r="C66" s="71" t="s">
        <v>121</v>
      </c>
      <c r="D66" s="79">
        <v>1</v>
      </c>
      <c r="E66" s="79">
        <v>226.3</v>
      </c>
      <c r="F66" s="79">
        <v>226.3</v>
      </c>
      <c r="G66" s="445"/>
      <c r="H66" s="178">
        <v>226.29</v>
      </c>
      <c r="I66" s="178">
        <v>278.33999999999997</v>
      </c>
      <c r="J66" s="70">
        <v>-52.039999999999964</v>
      </c>
      <c r="K66" s="320"/>
      <c r="L66" s="178">
        <v>55.83</v>
      </c>
      <c r="M66" s="178">
        <v>170.47000000000003</v>
      </c>
      <c r="N66" s="179">
        <v>0</v>
      </c>
      <c r="O66" s="178">
        <v>226.3</v>
      </c>
      <c r="P66" s="453"/>
      <c r="Q66" s="61"/>
      <c r="R66" s="298"/>
      <c r="S66" s="669"/>
      <c r="T66" s="444"/>
      <c r="X66" s="444">
        <v>66</v>
      </c>
    </row>
    <row r="67" spans="1:32" s="73" customFormat="1" ht="12">
      <c r="A67" s="83" t="s">
        <v>18537</v>
      </c>
      <c r="B67" s="64" t="s">
        <v>18538</v>
      </c>
      <c r="C67" s="71" t="s">
        <v>121</v>
      </c>
      <c r="D67" s="79">
        <v>1</v>
      </c>
      <c r="E67" s="79">
        <v>235.74</v>
      </c>
      <c r="F67" s="79">
        <v>235.74</v>
      </c>
      <c r="G67" s="445"/>
      <c r="H67" s="178">
        <v>235.73</v>
      </c>
      <c r="I67" s="178">
        <v>289.95</v>
      </c>
      <c r="J67" s="70">
        <v>-54.20999999999998</v>
      </c>
      <c r="K67" s="320"/>
      <c r="L67" s="178">
        <v>44.67</v>
      </c>
      <c r="M67" s="178">
        <v>191.07</v>
      </c>
      <c r="N67" s="179">
        <v>0</v>
      </c>
      <c r="O67" s="178">
        <v>235.74</v>
      </c>
      <c r="P67" s="453"/>
      <c r="Q67" s="61"/>
      <c r="R67" s="298"/>
      <c r="S67" s="669"/>
      <c r="T67" s="444"/>
      <c r="X67" s="444">
        <v>67</v>
      </c>
    </row>
    <row r="68" spans="1:32" s="73" customFormat="1" ht="12">
      <c r="A68" s="83" t="s">
        <v>18539</v>
      </c>
      <c r="B68" s="64" t="s">
        <v>18540</v>
      </c>
      <c r="C68" s="71" t="s">
        <v>165</v>
      </c>
      <c r="D68" s="79">
        <v>1</v>
      </c>
      <c r="E68" s="79">
        <v>286.43</v>
      </c>
      <c r="F68" s="79">
        <v>286.43</v>
      </c>
      <c r="G68" s="445"/>
      <c r="H68" s="178">
        <v>286.42</v>
      </c>
      <c r="I68" s="178">
        <v>352.3</v>
      </c>
      <c r="J68" s="70">
        <v>-65.87</v>
      </c>
      <c r="K68" s="320"/>
      <c r="L68" s="178"/>
      <c r="M68" s="178">
        <v>286.43</v>
      </c>
      <c r="N68" s="179">
        <v>0</v>
      </c>
      <c r="O68" s="178">
        <v>286.43</v>
      </c>
      <c r="P68" s="453"/>
      <c r="Q68" s="61"/>
      <c r="R68" s="298"/>
      <c r="S68" s="669"/>
      <c r="T68" s="444"/>
      <c r="X68" s="444">
        <v>68</v>
      </c>
    </row>
    <row r="69" spans="1:32" s="73" customFormat="1" ht="12">
      <c r="A69" s="83" t="s">
        <v>18541</v>
      </c>
      <c r="B69" s="64" t="s">
        <v>18542</v>
      </c>
      <c r="C69" s="71" t="s">
        <v>165</v>
      </c>
      <c r="D69" s="79">
        <v>1</v>
      </c>
      <c r="E69" s="79">
        <v>290.92</v>
      </c>
      <c r="F69" s="79">
        <v>290.92</v>
      </c>
      <c r="G69" s="445"/>
      <c r="H69" s="178">
        <v>290.92</v>
      </c>
      <c r="I69" s="178">
        <v>357.83</v>
      </c>
      <c r="J69" s="70">
        <v>-66.909999999999968</v>
      </c>
      <c r="K69" s="320"/>
      <c r="L69" s="178"/>
      <c r="M69" s="178">
        <v>290.92</v>
      </c>
      <c r="N69" s="179">
        <v>0</v>
      </c>
      <c r="O69" s="178">
        <v>290.92</v>
      </c>
      <c r="P69" s="453"/>
      <c r="Q69" s="61"/>
      <c r="R69" s="298"/>
      <c r="S69" s="669"/>
      <c r="T69" s="444"/>
      <c r="X69" s="444">
        <v>69</v>
      </c>
    </row>
    <row r="70" spans="1:32" s="73" customFormat="1" ht="12">
      <c r="A70" s="83" t="s">
        <v>18543</v>
      </c>
      <c r="B70" s="64" t="s">
        <v>18544</v>
      </c>
      <c r="C70" s="71" t="s">
        <v>509</v>
      </c>
      <c r="D70" s="79">
        <v>1</v>
      </c>
      <c r="E70" s="79">
        <v>275.37</v>
      </c>
      <c r="F70" s="79">
        <v>275.37</v>
      </c>
      <c r="G70" s="445"/>
      <c r="H70" s="178">
        <v>275.37</v>
      </c>
      <c r="I70" s="178">
        <v>338.7</v>
      </c>
      <c r="J70" s="70">
        <v>-63.329999999999984</v>
      </c>
      <c r="K70" s="320"/>
      <c r="L70" s="178">
        <v>190.45</v>
      </c>
      <c r="M70" s="178">
        <v>84.920000000000016</v>
      </c>
      <c r="N70" s="179">
        <v>0</v>
      </c>
      <c r="O70" s="178">
        <v>275.37</v>
      </c>
      <c r="P70" s="453"/>
      <c r="Q70" s="61"/>
      <c r="R70" s="298"/>
      <c r="S70" s="669"/>
      <c r="T70" s="444"/>
      <c r="X70" s="444">
        <v>70</v>
      </c>
    </row>
    <row r="71" spans="1:32" s="73" customFormat="1" ht="12">
      <c r="A71" s="83" t="s">
        <v>18545</v>
      </c>
      <c r="B71" s="64" t="s">
        <v>18546</v>
      </c>
      <c r="C71" s="71" t="s">
        <v>509</v>
      </c>
      <c r="D71" s="79">
        <v>1</v>
      </c>
      <c r="E71" s="79">
        <v>433.49</v>
      </c>
      <c r="F71" s="79">
        <v>433.49</v>
      </c>
      <c r="G71" s="445"/>
      <c r="H71" s="178">
        <v>433.49</v>
      </c>
      <c r="I71" s="178">
        <v>533.19000000000005</v>
      </c>
      <c r="J71" s="70">
        <v>-99.700000000000045</v>
      </c>
      <c r="K71" s="320"/>
      <c r="L71" s="178">
        <v>248.91</v>
      </c>
      <c r="M71" s="178">
        <v>184.58</v>
      </c>
      <c r="N71" s="179">
        <v>0</v>
      </c>
      <c r="O71" s="178">
        <v>433.49</v>
      </c>
      <c r="P71" s="453"/>
      <c r="Q71" s="61"/>
      <c r="R71" s="298"/>
      <c r="S71" s="669"/>
      <c r="T71" s="444"/>
      <c r="X71" s="444">
        <v>71</v>
      </c>
    </row>
    <row r="72" spans="1:32" ht="12">
      <c r="A72" s="83" t="s">
        <v>18547</v>
      </c>
      <c r="B72" s="64" t="s">
        <v>18548</v>
      </c>
      <c r="C72" s="71" t="s">
        <v>509</v>
      </c>
      <c r="D72" s="79">
        <v>1</v>
      </c>
      <c r="E72" s="79">
        <v>252.66999999999993</v>
      </c>
      <c r="F72" s="79">
        <v>252.67</v>
      </c>
      <c r="G72" s="445"/>
      <c r="H72" s="178">
        <v>252.67</v>
      </c>
      <c r="I72" s="178">
        <v>310.79000000000002</v>
      </c>
      <c r="J72" s="70">
        <v>-58.12000000000009</v>
      </c>
      <c r="K72" s="320"/>
      <c r="L72" s="178">
        <v>174.31</v>
      </c>
      <c r="M72" s="178">
        <v>78.359999999999928</v>
      </c>
      <c r="N72" s="179">
        <v>0</v>
      </c>
      <c r="O72" s="178">
        <v>252.66999999999993</v>
      </c>
      <c r="P72" s="453"/>
      <c r="Q72" s="61"/>
      <c r="R72" s="298"/>
      <c r="S72" s="669"/>
      <c r="U72" s="73"/>
      <c r="V72" s="73"/>
      <c r="W72" s="73"/>
      <c r="X72" s="444">
        <v>72</v>
      </c>
      <c r="Y72" s="73"/>
      <c r="Z72" s="73"/>
      <c r="AA72" s="73"/>
      <c r="AB72" s="73"/>
      <c r="AC72" s="73"/>
      <c r="AD72" s="73"/>
      <c r="AE72" s="73"/>
      <c r="AF72" s="73"/>
    </row>
    <row r="73" spans="1:32" ht="12">
      <c r="A73" s="83" t="s">
        <v>18549</v>
      </c>
      <c r="B73" s="64" t="s">
        <v>9389</v>
      </c>
      <c r="C73" s="71" t="s">
        <v>165</v>
      </c>
      <c r="D73" s="79">
        <v>1</v>
      </c>
      <c r="E73" s="79">
        <v>149.51999999999998</v>
      </c>
      <c r="F73" s="79">
        <v>149.52000000000001</v>
      </c>
      <c r="G73" s="445"/>
      <c r="H73" s="178">
        <v>149.51</v>
      </c>
      <c r="I73" s="178">
        <v>183.9</v>
      </c>
      <c r="J73" s="70">
        <v>-34.380000000000024</v>
      </c>
      <c r="K73" s="466"/>
      <c r="L73" s="178">
        <v>62.849999999999994</v>
      </c>
      <c r="M73" s="178">
        <v>86.669999999999987</v>
      </c>
      <c r="N73" s="179">
        <v>0</v>
      </c>
      <c r="O73" s="178">
        <v>149.51999999999998</v>
      </c>
      <c r="P73" s="453"/>
      <c r="Q73" s="61"/>
      <c r="R73" s="298"/>
      <c r="S73" s="669"/>
      <c r="T73" s="73"/>
      <c r="X73" s="444">
        <v>73</v>
      </c>
    </row>
    <row r="74" spans="1:32" ht="12">
      <c r="A74" s="83" t="s">
        <v>18550</v>
      </c>
      <c r="B74" s="64" t="s">
        <v>9391</v>
      </c>
      <c r="C74" s="71" t="s">
        <v>165</v>
      </c>
      <c r="D74" s="79">
        <v>1</v>
      </c>
      <c r="E74" s="79">
        <v>120.69</v>
      </c>
      <c r="F74" s="79">
        <v>120.69</v>
      </c>
      <c r="G74" s="445"/>
      <c r="H74" s="178">
        <v>120.68</v>
      </c>
      <c r="I74" s="178">
        <v>148.44</v>
      </c>
      <c r="J74" s="70">
        <v>-27.75</v>
      </c>
      <c r="K74" s="466"/>
      <c r="L74" s="178">
        <v>5.84</v>
      </c>
      <c r="M74" s="178">
        <v>114.85</v>
      </c>
      <c r="N74" s="179">
        <v>0</v>
      </c>
      <c r="O74" s="178">
        <v>120.69</v>
      </c>
      <c r="P74" s="453"/>
      <c r="Q74" s="61"/>
      <c r="R74" s="298"/>
      <c r="S74" s="669"/>
      <c r="T74" s="73"/>
      <c r="X74" s="444">
        <v>74</v>
      </c>
    </row>
    <row r="75" spans="1:32" ht="12">
      <c r="A75" s="83" t="s">
        <v>18551</v>
      </c>
      <c r="B75" s="64" t="s">
        <v>9393</v>
      </c>
      <c r="C75" s="71" t="s">
        <v>165</v>
      </c>
      <c r="D75" s="79">
        <v>1</v>
      </c>
      <c r="E75" s="79">
        <v>153.62</v>
      </c>
      <c r="F75" s="79">
        <v>153.62</v>
      </c>
      <c r="G75" s="445"/>
      <c r="H75" s="178">
        <v>153.63</v>
      </c>
      <c r="I75" s="178">
        <v>188.96</v>
      </c>
      <c r="J75" s="70">
        <v>-35.340000000000003</v>
      </c>
      <c r="K75" s="466"/>
      <c r="L75" s="178">
        <v>7.7</v>
      </c>
      <c r="M75" s="178">
        <v>145.92000000000002</v>
      </c>
      <c r="N75" s="179">
        <v>0</v>
      </c>
      <c r="O75" s="178">
        <v>153.62</v>
      </c>
      <c r="P75" s="453"/>
      <c r="Q75" s="61"/>
      <c r="R75" s="298"/>
      <c r="S75" s="669"/>
      <c r="T75" s="73"/>
      <c r="X75" s="444">
        <v>75</v>
      </c>
    </row>
    <row r="76" spans="1:32" ht="12">
      <c r="A76" s="83" t="s">
        <v>18552</v>
      </c>
      <c r="B76" s="64" t="s">
        <v>9395</v>
      </c>
      <c r="C76" s="71" t="s">
        <v>165</v>
      </c>
      <c r="D76" s="79">
        <v>1</v>
      </c>
      <c r="E76" s="79">
        <v>188.93</v>
      </c>
      <c r="F76" s="79">
        <v>188.93</v>
      </c>
      <c r="G76" s="445"/>
      <c r="H76" s="178">
        <v>188.91</v>
      </c>
      <c r="I76" s="178">
        <v>232.36</v>
      </c>
      <c r="J76" s="70">
        <v>-43.430000000000007</v>
      </c>
      <c r="K76" s="466"/>
      <c r="L76" s="178">
        <v>9.66</v>
      </c>
      <c r="M76" s="178">
        <v>179.27</v>
      </c>
      <c r="N76" s="179">
        <v>0</v>
      </c>
      <c r="O76" s="178">
        <v>188.93</v>
      </c>
      <c r="P76" s="453"/>
      <c r="Q76" s="61"/>
      <c r="R76" s="298"/>
      <c r="S76" s="669"/>
      <c r="T76" s="73"/>
      <c r="X76" s="444">
        <v>76</v>
      </c>
    </row>
    <row r="77" spans="1:32" ht="12">
      <c r="A77" s="83" t="s">
        <v>18553</v>
      </c>
      <c r="B77" s="64" t="s">
        <v>39514</v>
      </c>
      <c r="C77" s="71" t="s">
        <v>165</v>
      </c>
      <c r="D77" s="79">
        <v>1</v>
      </c>
      <c r="E77" s="79">
        <v>381.72</v>
      </c>
      <c r="F77" s="79">
        <v>381.72</v>
      </c>
      <c r="G77" s="445"/>
      <c r="H77" s="178">
        <v>381.72</v>
      </c>
      <c r="I77" s="178">
        <v>469.52</v>
      </c>
      <c r="J77" s="70">
        <v>-87.799999999999955</v>
      </c>
      <c r="K77" s="466"/>
      <c r="L77" s="178">
        <v>13.990000000000002</v>
      </c>
      <c r="M77" s="178">
        <v>367.73</v>
      </c>
      <c r="N77" s="179">
        <v>0</v>
      </c>
      <c r="O77" s="178">
        <v>381.72</v>
      </c>
      <c r="P77" s="453"/>
      <c r="Q77" s="61"/>
      <c r="R77" s="298"/>
      <c r="S77" s="669"/>
      <c r="T77" s="73"/>
      <c r="X77" s="444">
        <v>77</v>
      </c>
    </row>
    <row r="78" spans="1:32" ht="12">
      <c r="A78" s="83" t="s">
        <v>18554</v>
      </c>
      <c r="B78" s="64" t="s">
        <v>39515</v>
      </c>
      <c r="C78" s="71" t="s">
        <v>165</v>
      </c>
      <c r="D78" s="79">
        <v>1</v>
      </c>
      <c r="E78" s="79">
        <v>546.79</v>
      </c>
      <c r="F78" s="79">
        <v>546.79</v>
      </c>
      <c r="G78" s="445"/>
      <c r="H78" s="178">
        <v>546.79</v>
      </c>
      <c r="I78" s="178">
        <v>672.55</v>
      </c>
      <c r="J78" s="70">
        <v>-125.75999999999999</v>
      </c>
      <c r="K78" s="466"/>
      <c r="L78" s="178">
        <v>14.76</v>
      </c>
      <c r="M78" s="178">
        <v>532.03</v>
      </c>
      <c r="N78" s="179">
        <v>0</v>
      </c>
      <c r="O78" s="178">
        <v>546.79</v>
      </c>
      <c r="P78" s="453"/>
      <c r="Q78" s="61"/>
      <c r="R78" s="298"/>
      <c r="S78" s="669"/>
      <c r="T78" s="73"/>
      <c r="X78" s="444">
        <v>78</v>
      </c>
    </row>
    <row r="79" spans="1:32" ht="12">
      <c r="A79" s="83" t="s">
        <v>18555</v>
      </c>
      <c r="B79" s="64" t="s">
        <v>39516</v>
      </c>
      <c r="C79" s="71" t="s">
        <v>165</v>
      </c>
      <c r="D79" s="79">
        <v>1</v>
      </c>
      <c r="E79" s="79">
        <v>828.26</v>
      </c>
      <c r="F79" s="79">
        <v>828.26</v>
      </c>
      <c r="G79" s="445"/>
      <c r="H79" s="178">
        <v>828.26</v>
      </c>
      <c r="I79" s="178">
        <v>1018.76</v>
      </c>
      <c r="J79" s="70">
        <v>-190.5</v>
      </c>
      <c r="K79" s="466"/>
      <c r="L79" s="178">
        <v>21.93</v>
      </c>
      <c r="M79" s="178">
        <v>806.33</v>
      </c>
      <c r="N79" s="179">
        <v>0</v>
      </c>
      <c r="O79" s="178">
        <v>828.26</v>
      </c>
      <c r="P79" s="453"/>
      <c r="Q79" s="61"/>
      <c r="R79" s="298"/>
      <c r="S79" s="669"/>
      <c r="T79" s="73"/>
      <c r="X79" s="444">
        <v>79</v>
      </c>
    </row>
    <row r="80" spans="1:32" ht="12">
      <c r="A80" s="83" t="s">
        <v>18556</v>
      </c>
      <c r="B80" s="64" t="s">
        <v>18557</v>
      </c>
      <c r="C80" s="71" t="s">
        <v>165</v>
      </c>
      <c r="D80" s="79">
        <v>1</v>
      </c>
      <c r="E80" s="79">
        <v>76.989999999999995</v>
      </c>
      <c r="F80" s="79">
        <v>76.989999999999995</v>
      </c>
      <c r="G80" s="445"/>
      <c r="H80" s="178">
        <v>76.98</v>
      </c>
      <c r="I80" s="178">
        <v>94.69</v>
      </c>
      <c r="J80" s="70">
        <v>-17.700000000000003</v>
      </c>
      <c r="K80" s="320"/>
      <c r="L80" s="178">
        <v>33.79</v>
      </c>
      <c r="M80" s="178">
        <v>43.199999999999996</v>
      </c>
      <c r="N80" s="179">
        <v>0</v>
      </c>
      <c r="O80" s="178">
        <v>76.989999999999995</v>
      </c>
      <c r="P80" s="453"/>
      <c r="Q80" s="61"/>
      <c r="R80" s="298"/>
      <c r="S80" s="669"/>
      <c r="X80" s="444">
        <v>80</v>
      </c>
    </row>
    <row r="81" spans="1:24" ht="12">
      <c r="A81" s="83" t="s">
        <v>18558</v>
      </c>
      <c r="B81" s="64" t="s">
        <v>10133</v>
      </c>
      <c r="C81" s="71" t="s">
        <v>165</v>
      </c>
      <c r="D81" s="79">
        <v>1</v>
      </c>
      <c r="E81" s="79">
        <v>85.88</v>
      </c>
      <c r="F81" s="79">
        <v>85.88</v>
      </c>
      <c r="G81" s="445"/>
      <c r="H81" s="178">
        <v>85.87</v>
      </c>
      <c r="I81" s="178">
        <v>105.62</v>
      </c>
      <c r="J81" s="70">
        <v>-19.740000000000009</v>
      </c>
      <c r="K81" s="320"/>
      <c r="L81" s="178">
        <v>37.450000000000003</v>
      </c>
      <c r="M81" s="178">
        <v>48.429999999999993</v>
      </c>
      <c r="N81" s="179">
        <v>0</v>
      </c>
      <c r="O81" s="178">
        <v>85.88</v>
      </c>
      <c r="P81" s="453"/>
      <c r="Q81" s="61"/>
      <c r="R81" s="298"/>
      <c r="S81" s="669"/>
      <c r="X81" s="444">
        <v>81</v>
      </c>
    </row>
    <row r="82" spans="1:24" ht="12">
      <c r="A82" s="83" t="s">
        <v>18559</v>
      </c>
      <c r="B82" s="64" t="s">
        <v>10135</v>
      </c>
      <c r="C82" s="71" t="s">
        <v>165</v>
      </c>
      <c r="D82" s="79">
        <v>1</v>
      </c>
      <c r="E82" s="79">
        <v>95.52</v>
      </c>
      <c r="F82" s="79">
        <v>95.52</v>
      </c>
      <c r="G82" s="445"/>
      <c r="H82" s="178">
        <v>95.53</v>
      </c>
      <c r="I82" s="178">
        <v>117.5</v>
      </c>
      <c r="J82" s="70">
        <v>-21.980000000000004</v>
      </c>
      <c r="K82" s="320"/>
      <c r="L82" s="178">
        <v>41.11</v>
      </c>
      <c r="M82" s="178">
        <v>54.41</v>
      </c>
      <c r="N82" s="179">
        <v>0</v>
      </c>
      <c r="O82" s="178">
        <v>95.52</v>
      </c>
      <c r="P82" s="453"/>
      <c r="Q82" s="61"/>
      <c r="R82" s="298"/>
      <c r="S82" s="669"/>
      <c r="X82" s="444">
        <v>82</v>
      </c>
    </row>
    <row r="83" spans="1:24" ht="12">
      <c r="A83" s="83" t="s">
        <v>18560</v>
      </c>
      <c r="B83" s="64" t="s">
        <v>10137</v>
      </c>
      <c r="C83" s="71" t="s">
        <v>165</v>
      </c>
      <c r="D83" s="79">
        <v>1</v>
      </c>
      <c r="E83" s="79">
        <v>128.04000000000002</v>
      </c>
      <c r="F83" s="79">
        <v>128.04</v>
      </c>
      <c r="G83" s="445"/>
      <c r="H83" s="178">
        <v>128.03</v>
      </c>
      <c r="I83" s="178">
        <v>157.47999999999999</v>
      </c>
      <c r="J83" s="70">
        <v>-29.439999999999969</v>
      </c>
      <c r="K83" s="320"/>
      <c r="L83" s="178">
        <v>48.46</v>
      </c>
      <c r="M83" s="178">
        <v>79.580000000000013</v>
      </c>
      <c r="N83" s="179">
        <v>0</v>
      </c>
      <c r="O83" s="178">
        <v>128.04000000000002</v>
      </c>
      <c r="P83" s="453"/>
      <c r="Q83" s="61"/>
      <c r="R83" s="298"/>
      <c r="S83" s="669"/>
      <c r="X83" s="444">
        <v>83</v>
      </c>
    </row>
    <row r="84" spans="1:24" ht="12">
      <c r="A84" s="83" t="s">
        <v>18561</v>
      </c>
      <c r="B84" s="64" t="s">
        <v>18562</v>
      </c>
      <c r="C84" s="71" t="s">
        <v>165</v>
      </c>
      <c r="D84" s="79">
        <v>1</v>
      </c>
      <c r="E84" s="79">
        <v>74.86999999999999</v>
      </c>
      <c r="F84" s="79">
        <v>74.87</v>
      </c>
      <c r="G84" s="445"/>
      <c r="H84" s="178">
        <v>74.86</v>
      </c>
      <c r="I84" s="178">
        <v>92.08</v>
      </c>
      <c r="J84" s="70">
        <v>-17.210000000000008</v>
      </c>
      <c r="K84" s="320"/>
      <c r="L84" s="178">
        <v>33.79</v>
      </c>
      <c r="M84" s="178">
        <v>41.079999999999991</v>
      </c>
      <c r="N84" s="179">
        <v>0</v>
      </c>
      <c r="O84" s="178">
        <v>74.86999999999999</v>
      </c>
      <c r="P84" s="453"/>
      <c r="Q84" s="61"/>
      <c r="R84" s="298"/>
      <c r="S84" s="669"/>
      <c r="X84" s="444">
        <v>84</v>
      </c>
    </row>
    <row r="85" spans="1:24" ht="12">
      <c r="A85" s="83" t="s">
        <v>18563</v>
      </c>
      <c r="B85" s="64" t="s">
        <v>18564</v>
      </c>
      <c r="C85" s="71" t="s">
        <v>165</v>
      </c>
      <c r="D85" s="79">
        <v>1</v>
      </c>
      <c r="E85" s="79">
        <v>93.149999999999991</v>
      </c>
      <c r="F85" s="79">
        <v>93.15</v>
      </c>
      <c r="G85" s="445"/>
      <c r="H85" s="178">
        <v>93.15</v>
      </c>
      <c r="I85" s="178">
        <v>114.58</v>
      </c>
      <c r="J85" s="70">
        <v>-21.430000000000007</v>
      </c>
      <c r="K85" s="320"/>
      <c r="L85" s="178">
        <v>41.11</v>
      </c>
      <c r="M85" s="178">
        <v>52.039999999999992</v>
      </c>
      <c r="N85" s="179">
        <v>0</v>
      </c>
      <c r="O85" s="178">
        <v>93.149999999999991</v>
      </c>
      <c r="P85" s="453"/>
      <c r="Q85" s="61"/>
      <c r="R85" s="298"/>
      <c r="S85" s="669"/>
      <c r="X85" s="444">
        <v>85</v>
      </c>
    </row>
    <row r="86" spans="1:24" ht="12">
      <c r="A86" s="83" t="s">
        <v>18565</v>
      </c>
      <c r="B86" s="64" t="s">
        <v>18566</v>
      </c>
      <c r="C86" s="71" t="s">
        <v>10216</v>
      </c>
      <c r="D86" s="79">
        <v>1</v>
      </c>
      <c r="E86" s="79">
        <v>577.26</v>
      </c>
      <c r="F86" s="79">
        <v>577.26</v>
      </c>
      <c r="G86" s="445"/>
      <c r="H86" s="178">
        <v>577.25</v>
      </c>
      <c r="I86" s="178">
        <v>710.02</v>
      </c>
      <c r="J86" s="70">
        <v>-132.76</v>
      </c>
      <c r="K86" s="320"/>
      <c r="L86" s="178"/>
      <c r="M86" s="178">
        <v>577.26</v>
      </c>
      <c r="N86" s="179">
        <v>0</v>
      </c>
      <c r="O86" s="178">
        <v>577.26</v>
      </c>
      <c r="P86" s="453"/>
      <c r="Q86" s="61"/>
      <c r="R86" s="298"/>
      <c r="S86" s="669"/>
      <c r="X86" s="444">
        <v>86</v>
      </c>
    </row>
    <row r="87" spans="1:24" ht="12">
      <c r="A87" s="67" t="s">
        <v>18567</v>
      </c>
      <c r="B87" s="65" t="s">
        <v>18568</v>
      </c>
      <c r="C87" s="71" t="s">
        <v>165</v>
      </c>
      <c r="D87" s="79">
        <v>1</v>
      </c>
      <c r="E87" s="79">
        <v>25.64</v>
      </c>
      <c r="F87" s="79">
        <v>25.64</v>
      </c>
      <c r="G87" s="320"/>
      <c r="H87" s="178">
        <v>25.62</v>
      </c>
      <c r="I87" s="178">
        <v>31.51</v>
      </c>
      <c r="J87" s="70">
        <v>-5.870000000000001</v>
      </c>
      <c r="K87" s="320"/>
      <c r="L87" s="178">
        <v>9.24</v>
      </c>
      <c r="M87" s="178">
        <v>16.399999999999999</v>
      </c>
      <c r="N87" s="179">
        <v>0</v>
      </c>
      <c r="O87" s="178">
        <v>25.64</v>
      </c>
      <c r="P87" s="453"/>
      <c r="Q87" s="61"/>
      <c r="R87" s="298"/>
      <c r="S87" s="669"/>
      <c r="X87" s="444">
        <v>87</v>
      </c>
    </row>
    <row r="88" spans="1:24" ht="12">
      <c r="A88" s="83" t="s">
        <v>39517</v>
      </c>
      <c r="B88" s="64" t="s">
        <v>39518</v>
      </c>
      <c r="C88" s="71"/>
      <c r="D88" s="79" t="s">
        <v>40899</v>
      </c>
      <c r="E88" s="79" t="s">
        <v>40899</v>
      </c>
      <c r="F88" s="79"/>
      <c r="G88" s="445"/>
      <c r="H88" s="178"/>
      <c r="I88" s="178"/>
      <c r="J88" s="70"/>
      <c r="K88" s="320"/>
      <c r="L88" s="178"/>
      <c r="M88" s="178"/>
      <c r="N88" s="179"/>
      <c r="O88" s="178"/>
      <c r="P88" s="453"/>
      <c r="Q88" s="61"/>
      <c r="R88" s="298"/>
      <c r="S88" s="669"/>
      <c r="X88" s="444">
        <v>88</v>
      </c>
    </row>
    <row r="89" spans="1:24" ht="12">
      <c r="A89" s="83" t="s">
        <v>18569</v>
      </c>
      <c r="B89" s="64" t="s">
        <v>18570</v>
      </c>
      <c r="C89" s="71" t="s">
        <v>10216</v>
      </c>
      <c r="D89" s="79">
        <v>1</v>
      </c>
      <c r="E89" s="79">
        <v>577.26</v>
      </c>
      <c r="F89" s="79">
        <v>577.26</v>
      </c>
      <c r="G89" s="445"/>
      <c r="H89" s="178">
        <v>577.25</v>
      </c>
      <c r="I89" s="178">
        <v>710.02</v>
      </c>
      <c r="J89" s="70">
        <v>-132.76</v>
      </c>
      <c r="K89" s="320"/>
      <c r="L89" s="178"/>
      <c r="M89" s="178">
        <v>577.26</v>
      </c>
      <c r="N89" s="179">
        <v>0</v>
      </c>
      <c r="O89" s="178">
        <v>577.26</v>
      </c>
      <c r="P89" s="453"/>
      <c r="Q89" s="61"/>
      <c r="R89" s="298"/>
      <c r="S89" s="669"/>
      <c r="X89" s="444">
        <v>89</v>
      </c>
    </row>
    <row r="90" spans="1:24" ht="12">
      <c r="A90" s="83" t="s">
        <v>39519</v>
      </c>
      <c r="B90" s="64" t="s">
        <v>39520</v>
      </c>
      <c r="C90" s="71"/>
      <c r="D90" s="79" t="s">
        <v>40899</v>
      </c>
      <c r="E90" s="79" t="s">
        <v>40899</v>
      </c>
      <c r="F90" s="79"/>
      <c r="G90" s="445"/>
      <c r="H90" s="178"/>
      <c r="I90" s="178"/>
      <c r="J90" s="70"/>
      <c r="K90" s="320"/>
      <c r="L90" s="178"/>
      <c r="M90" s="178"/>
      <c r="N90" s="179"/>
      <c r="O90" s="178"/>
      <c r="P90" s="453"/>
      <c r="Q90" s="61"/>
      <c r="R90" s="298"/>
      <c r="S90" s="669"/>
      <c r="X90" s="444">
        <v>90</v>
      </c>
    </row>
    <row r="91" spans="1:24" ht="12">
      <c r="A91" s="83" t="s">
        <v>18571</v>
      </c>
      <c r="B91" s="64" t="s">
        <v>18572</v>
      </c>
      <c r="C91" s="71" t="s">
        <v>10216</v>
      </c>
      <c r="D91" s="79">
        <v>1</v>
      </c>
      <c r="E91" s="79">
        <v>577.26</v>
      </c>
      <c r="F91" s="79">
        <v>577.26</v>
      </c>
      <c r="G91" s="445"/>
      <c r="H91" s="178">
        <v>577.25</v>
      </c>
      <c r="I91" s="178">
        <v>710.02</v>
      </c>
      <c r="J91" s="70">
        <v>-132.76</v>
      </c>
      <c r="K91" s="320"/>
      <c r="L91" s="178"/>
      <c r="M91" s="178">
        <v>577.26</v>
      </c>
      <c r="N91" s="179">
        <v>0</v>
      </c>
      <c r="O91" s="178">
        <v>577.26</v>
      </c>
      <c r="P91" s="453"/>
      <c r="Q91" s="61"/>
      <c r="R91" s="298"/>
      <c r="S91" s="669"/>
      <c r="X91" s="444">
        <v>91</v>
      </c>
    </row>
    <row r="92" spans="1:24" ht="12">
      <c r="A92" s="83" t="s">
        <v>39521</v>
      </c>
      <c r="B92" s="64" t="s">
        <v>39522</v>
      </c>
      <c r="C92" s="71"/>
      <c r="D92" s="79" t="s">
        <v>40899</v>
      </c>
      <c r="E92" s="79" t="s">
        <v>40899</v>
      </c>
      <c r="F92" s="79"/>
      <c r="G92" s="445"/>
      <c r="H92" s="178"/>
      <c r="I92" s="178"/>
      <c r="J92" s="70"/>
      <c r="K92" s="320"/>
      <c r="L92" s="178"/>
      <c r="M92" s="178"/>
      <c r="N92" s="179"/>
      <c r="O92" s="178"/>
      <c r="P92" s="453"/>
      <c r="Q92" s="61"/>
      <c r="R92" s="298"/>
      <c r="S92" s="669"/>
      <c r="X92" s="444">
        <v>92</v>
      </c>
    </row>
    <row r="93" spans="1:24" ht="12">
      <c r="A93" s="83" t="s">
        <v>18573</v>
      </c>
      <c r="B93" s="64" t="s">
        <v>18574</v>
      </c>
      <c r="C93" s="71" t="s">
        <v>10216</v>
      </c>
      <c r="D93" s="79">
        <v>1</v>
      </c>
      <c r="E93" s="79">
        <v>577.26</v>
      </c>
      <c r="F93" s="79">
        <v>577.26</v>
      </c>
      <c r="G93" s="445"/>
      <c r="H93" s="178">
        <v>577.25</v>
      </c>
      <c r="I93" s="178">
        <v>710.02</v>
      </c>
      <c r="J93" s="70">
        <v>-132.76</v>
      </c>
      <c r="K93" s="320"/>
      <c r="L93" s="178"/>
      <c r="M93" s="178">
        <v>577.26</v>
      </c>
      <c r="N93" s="179">
        <v>0</v>
      </c>
      <c r="O93" s="178">
        <v>577.26</v>
      </c>
      <c r="P93" s="453"/>
      <c r="Q93" s="61"/>
      <c r="R93" s="298"/>
      <c r="S93" s="669"/>
      <c r="X93" s="444">
        <v>93</v>
      </c>
    </row>
    <row r="94" spans="1:24" ht="12">
      <c r="A94" s="83" t="s">
        <v>39523</v>
      </c>
      <c r="B94" s="64" t="s">
        <v>39524</v>
      </c>
      <c r="C94" s="71"/>
      <c r="D94" s="79" t="s">
        <v>40899</v>
      </c>
      <c r="E94" s="79" t="s">
        <v>40899</v>
      </c>
      <c r="F94" s="79"/>
      <c r="G94" s="445"/>
      <c r="H94" s="178"/>
      <c r="I94" s="178"/>
      <c r="J94" s="70"/>
      <c r="K94" s="320"/>
      <c r="L94" s="178"/>
      <c r="M94" s="178"/>
      <c r="N94" s="179"/>
      <c r="O94" s="178"/>
      <c r="P94" s="453"/>
      <c r="Q94" s="61"/>
      <c r="R94" s="298"/>
      <c r="S94" s="669"/>
      <c r="X94" s="444">
        <v>94</v>
      </c>
    </row>
    <row r="95" spans="1:24" ht="12">
      <c r="A95" s="83" t="s">
        <v>18575</v>
      </c>
      <c r="B95" s="64" t="s">
        <v>18576</v>
      </c>
      <c r="C95" s="71" t="s">
        <v>10216</v>
      </c>
      <c r="D95" s="79">
        <v>1</v>
      </c>
      <c r="E95" s="79">
        <v>577.26</v>
      </c>
      <c r="F95" s="79">
        <v>577.26</v>
      </c>
      <c r="G95" s="445"/>
      <c r="H95" s="178">
        <v>577.25</v>
      </c>
      <c r="I95" s="178">
        <v>710.02</v>
      </c>
      <c r="J95" s="70">
        <v>-132.76</v>
      </c>
      <c r="K95" s="320"/>
      <c r="L95" s="178"/>
      <c r="M95" s="178">
        <v>577.26</v>
      </c>
      <c r="N95" s="179">
        <v>0</v>
      </c>
      <c r="O95" s="178">
        <v>577.26</v>
      </c>
      <c r="P95" s="453"/>
      <c r="Q95" s="61"/>
      <c r="R95" s="298"/>
      <c r="S95" s="669"/>
      <c r="X95" s="444">
        <v>95</v>
      </c>
    </row>
    <row r="96" spans="1:24" ht="12">
      <c r="A96" s="83" t="s">
        <v>39525</v>
      </c>
      <c r="B96" s="64" t="s">
        <v>18577</v>
      </c>
      <c r="C96" s="71"/>
      <c r="D96" s="79" t="s">
        <v>40899</v>
      </c>
      <c r="E96" s="79" t="s">
        <v>40899</v>
      </c>
      <c r="F96" s="79"/>
      <c r="G96" s="445"/>
      <c r="H96" s="178"/>
      <c r="I96" s="178"/>
      <c r="J96" s="70"/>
      <c r="K96" s="320"/>
      <c r="L96" s="178"/>
      <c r="M96" s="178"/>
      <c r="N96" s="179"/>
      <c r="O96" s="178"/>
      <c r="P96" s="453"/>
      <c r="Q96" s="61"/>
      <c r="R96" s="298"/>
      <c r="S96" s="669"/>
      <c r="X96" s="444">
        <v>96</v>
      </c>
    </row>
    <row r="97" spans="1:32" s="61" customFormat="1" ht="12">
      <c r="A97" s="83" t="s">
        <v>10821</v>
      </c>
      <c r="B97" s="64" t="s">
        <v>39526</v>
      </c>
      <c r="C97" s="71"/>
      <c r="D97" s="79" t="s">
        <v>40899</v>
      </c>
      <c r="E97" s="79" t="s">
        <v>40899</v>
      </c>
      <c r="F97" s="79"/>
      <c r="G97" s="445"/>
      <c r="H97" s="178"/>
      <c r="I97" s="178"/>
      <c r="J97" s="70"/>
      <c r="K97" s="320"/>
      <c r="L97" s="178"/>
      <c r="M97" s="178"/>
      <c r="N97" s="179"/>
      <c r="O97" s="178"/>
      <c r="P97" s="453"/>
      <c r="R97" s="298"/>
      <c r="S97" s="669"/>
      <c r="T97" s="444"/>
      <c r="U97" s="444"/>
      <c r="V97" s="444"/>
      <c r="W97" s="444"/>
      <c r="X97" s="444">
        <v>97</v>
      </c>
      <c r="Y97" s="444"/>
      <c r="Z97" s="444"/>
      <c r="AA97" s="444"/>
      <c r="AB97" s="444"/>
      <c r="AC97" s="444"/>
      <c r="AD97" s="444"/>
      <c r="AE97" s="444"/>
      <c r="AF97" s="444"/>
    </row>
    <row r="98" spans="1:32" ht="12">
      <c r="A98" s="83" t="s">
        <v>18578</v>
      </c>
      <c r="B98" s="64" t="s">
        <v>18504</v>
      </c>
      <c r="C98" s="71" t="s">
        <v>121</v>
      </c>
      <c r="D98" s="79">
        <v>1</v>
      </c>
      <c r="E98" s="79">
        <v>89.330000000000013</v>
      </c>
      <c r="F98" s="79">
        <v>89.33</v>
      </c>
      <c r="G98" s="445"/>
      <c r="H98" s="178">
        <v>89.33</v>
      </c>
      <c r="I98" s="178">
        <v>109.87</v>
      </c>
      <c r="J98" s="70">
        <v>-20.539999999999992</v>
      </c>
      <c r="K98" s="320"/>
      <c r="L98" s="178">
        <v>89.330000000000013</v>
      </c>
      <c r="M98" s="178">
        <v>0</v>
      </c>
      <c r="N98" s="179">
        <v>0</v>
      </c>
      <c r="O98" s="178">
        <v>89.330000000000013</v>
      </c>
      <c r="P98" s="453"/>
      <c r="Q98" s="61"/>
      <c r="R98" s="298"/>
      <c r="S98" s="669"/>
      <c r="U98" s="61"/>
      <c r="V98" s="61"/>
      <c r="W98" s="61"/>
      <c r="X98" s="444">
        <v>98</v>
      </c>
      <c r="Y98" s="61"/>
      <c r="Z98" s="61"/>
      <c r="AA98" s="61"/>
      <c r="AB98" s="61"/>
      <c r="AC98" s="61"/>
      <c r="AD98" s="61"/>
      <c r="AE98" s="61"/>
      <c r="AF98" s="61"/>
    </row>
    <row r="99" spans="1:32" ht="12">
      <c r="A99" s="83" t="s">
        <v>18579</v>
      </c>
      <c r="B99" s="64" t="s">
        <v>18506</v>
      </c>
      <c r="C99" s="71" t="s">
        <v>121</v>
      </c>
      <c r="D99" s="79">
        <v>1</v>
      </c>
      <c r="E99" s="79">
        <v>100.5</v>
      </c>
      <c r="F99" s="79">
        <v>100.5</v>
      </c>
      <c r="G99" s="445"/>
      <c r="H99" s="178">
        <v>100.5</v>
      </c>
      <c r="I99" s="178">
        <v>123.61</v>
      </c>
      <c r="J99" s="70">
        <v>-23.11</v>
      </c>
      <c r="K99" s="320"/>
      <c r="L99" s="178">
        <v>100.5</v>
      </c>
      <c r="M99" s="178">
        <v>0</v>
      </c>
      <c r="N99" s="179">
        <v>0</v>
      </c>
      <c r="O99" s="178">
        <v>100.5</v>
      </c>
      <c r="P99" s="453"/>
      <c r="Q99" s="61"/>
      <c r="R99" s="298"/>
      <c r="S99" s="669"/>
      <c r="X99" s="444">
        <v>99</v>
      </c>
    </row>
    <row r="100" spans="1:32" ht="12">
      <c r="A100" s="83" t="s">
        <v>18580</v>
      </c>
      <c r="B100" s="64" t="s">
        <v>18581</v>
      </c>
      <c r="C100" s="71" t="s">
        <v>509</v>
      </c>
      <c r="D100" s="79">
        <v>1</v>
      </c>
      <c r="E100" s="79">
        <v>213.41000000000003</v>
      </c>
      <c r="F100" s="79">
        <v>213.41</v>
      </c>
      <c r="G100" s="445"/>
      <c r="H100" s="178">
        <v>213.4</v>
      </c>
      <c r="I100" s="178">
        <v>262.48</v>
      </c>
      <c r="J100" s="70">
        <v>-49.069999999999993</v>
      </c>
      <c r="K100" s="320"/>
      <c r="L100" s="178">
        <v>35.900000000000006</v>
      </c>
      <c r="M100" s="178">
        <v>177.51000000000002</v>
      </c>
      <c r="N100" s="179">
        <v>0</v>
      </c>
      <c r="O100" s="178">
        <v>213.41000000000003</v>
      </c>
      <c r="P100" s="453"/>
      <c r="Q100" s="61"/>
      <c r="R100" s="298"/>
      <c r="S100" s="669"/>
      <c r="X100" s="444">
        <v>100</v>
      </c>
    </row>
    <row r="101" spans="1:32" ht="12">
      <c r="A101" s="83" t="s">
        <v>18582</v>
      </c>
      <c r="B101" s="64" t="s">
        <v>18583</v>
      </c>
      <c r="C101" s="71" t="s">
        <v>509</v>
      </c>
      <c r="D101" s="79">
        <v>1</v>
      </c>
      <c r="E101" s="79">
        <v>109.27000000000001</v>
      </c>
      <c r="F101" s="79">
        <v>109.27</v>
      </c>
      <c r="G101" s="445"/>
      <c r="H101" s="178">
        <v>109.26</v>
      </c>
      <c r="I101" s="178">
        <v>134.38999999999999</v>
      </c>
      <c r="J101" s="70">
        <v>-25.119999999999976</v>
      </c>
      <c r="K101" s="320"/>
      <c r="L101" s="178">
        <v>20.509999999999998</v>
      </c>
      <c r="M101" s="178">
        <v>88.760000000000019</v>
      </c>
      <c r="N101" s="179">
        <v>0</v>
      </c>
      <c r="O101" s="178">
        <v>109.27000000000001</v>
      </c>
      <c r="P101" s="453"/>
      <c r="Q101" s="61"/>
      <c r="R101" s="298"/>
      <c r="S101" s="669"/>
      <c r="X101" s="444">
        <v>101</v>
      </c>
    </row>
    <row r="102" spans="1:32" ht="12">
      <c r="A102" s="83" t="s">
        <v>18584</v>
      </c>
      <c r="B102" s="64" t="s">
        <v>18510</v>
      </c>
      <c r="C102" s="71" t="s">
        <v>509</v>
      </c>
      <c r="D102" s="79">
        <v>1</v>
      </c>
      <c r="E102" s="79">
        <v>8.92</v>
      </c>
      <c r="F102" s="79">
        <v>8.92</v>
      </c>
      <c r="G102" s="445"/>
      <c r="H102" s="178">
        <v>8.93</v>
      </c>
      <c r="I102" s="178">
        <v>10.98</v>
      </c>
      <c r="J102" s="70">
        <v>-2.0600000000000005</v>
      </c>
      <c r="K102" s="320"/>
      <c r="L102" s="178">
        <v>8.92</v>
      </c>
      <c r="M102" s="178">
        <v>0</v>
      </c>
      <c r="N102" s="179">
        <v>0</v>
      </c>
      <c r="O102" s="178">
        <v>8.92</v>
      </c>
      <c r="P102" s="453"/>
      <c r="Q102" s="61"/>
      <c r="R102" s="298"/>
      <c r="S102" s="669"/>
      <c r="X102" s="444">
        <v>102</v>
      </c>
    </row>
    <row r="103" spans="1:32" ht="12">
      <c r="A103" s="83" t="s">
        <v>18585</v>
      </c>
      <c r="B103" s="64" t="s">
        <v>18516</v>
      </c>
      <c r="C103" s="71" t="s">
        <v>509</v>
      </c>
      <c r="D103" s="79">
        <v>1</v>
      </c>
      <c r="E103" s="79">
        <v>11.87</v>
      </c>
      <c r="F103" s="79">
        <v>11.87</v>
      </c>
      <c r="G103" s="445"/>
      <c r="H103" s="178">
        <v>11.87</v>
      </c>
      <c r="I103" s="178">
        <v>14.6</v>
      </c>
      <c r="J103" s="70">
        <v>-2.7300000000000004</v>
      </c>
      <c r="K103" s="320"/>
      <c r="L103" s="178">
        <v>3.35</v>
      </c>
      <c r="M103" s="178">
        <v>8.52</v>
      </c>
      <c r="N103" s="179">
        <v>0</v>
      </c>
      <c r="O103" s="178">
        <v>11.87</v>
      </c>
      <c r="P103" s="453"/>
      <c r="Q103" s="61"/>
      <c r="R103" s="298"/>
      <c r="S103" s="669"/>
      <c r="X103" s="444">
        <v>103</v>
      </c>
    </row>
    <row r="104" spans="1:32" ht="12">
      <c r="A104" s="83" t="s">
        <v>18586</v>
      </c>
      <c r="B104" s="64" t="s">
        <v>18518</v>
      </c>
      <c r="C104" s="71" t="s">
        <v>509</v>
      </c>
      <c r="D104" s="79">
        <v>1</v>
      </c>
      <c r="E104" s="79">
        <v>44.110000000000007</v>
      </c>
      <c r="F104" s="79">
        <v>44.11</v>
      </c>
      <c r="G104" s="445"/>
      <c r="H104" s="178">
        <v>44.1</v>
      </c>
      <c r="I104" s="178">
        <v>54.24</v>
      </c>
      <c r="J104" s="70">
        <v>-10.129999999999995</v>
      </c>
      <c r="K104" s="320"/>
      <c r="L104" s="178">
        <v>26</v>
      </c>
      <c r="M104" s="178">
        <v>18.110000000000007</v>
      </c>
      <c r="N104" s="179">
        <v>0</v>
      </c>
      <c r="O104" s="178">
        <v>44.110000000000007</v>
      </c>
      <c r="P104" s="453"/>
      <c r="Q104" s="61"/>
      <c r="R104" s="298"/>
      <c r="S104" s="669"/>
      <c r="X104" s="444">
        <v>104</v>
      </c>
    </row>
    <row r="105" spans="1:32" ht="12">
      <c r="A105" s="83" t="s">
        <v>18587</v>
      </c>
      <c r="B105" s="64" t="s">
        <v>18512</v>
      </c>
      <c r="C105" s="71" t="s">
        <v>121</v>
      </c>
      <c r="D105" s="79">
        <v>1</v>
      </c>
      <c r="E105" s="79">
        <v>67</v>
      </c>
      <c r="F105" s="79">
        <v>67</v>
      </c>
      <c r="G105" s="445"/>
      <c r="H105" s="178">
        <v>66.989999999999995</v>
      </c>
      <c r="I105" s="178">
        <v>82.4</v>
      </c>
      <c r="J105" s="70">
        <v>-15.400000000000006</v>
      </c>
      <c r="K105" s="320"/>
      <c r="L105" s="178">
        <v>67</v>
      </c>
      <c r="M105" s="178">
        <v>0</v>
      </c>
      <c r="N105" s="179">
        <v>0</v>
      </c>
      <c r="O105" s="178">
        <v>67</v>
      </c>
      <c r="P105" s="453"/>
      <c r="Q105" s="61"/>
      <c r="R105" s="298"/>
      <c r="S105" s="669"/>
      <c r="X105" s="444">
        <v>105</v>
      </c>
    </row>
    <row r="106" spans="1:32" ht="12">
      <c r="A106" s="83" t="s">
        <v>18588</v>
      </c>
      <c r="B106" s="64" t="s">
        <v>18589</v>
      </c>
      <c r="C106" s="71" t="s">
        <v>121</v>
      </c>
      <c r="D106" s="79">
        <v>1</v>
      </c>
      <c r="E106" s="79">
        <v>208.85999999999999</v>
      </c>
      <c r="F106" s="79">
        <v>208.86</v>
      </c>
      <c r="G106" s="445"/>
      <c r="H106" s="178">
        <v>208.85</v>
      </c>
      <c r="I106" s="178">
        <v>256.89</v>
      </c>
      <c r="J106" s="70">
        <v>-48.03</v>
      </c>
      <c r="K106" s="320"/>
      <c r="L106" s="178">
        <v>189.82999999999998</v>
      </c>
      <c r="M106" s="178">
        <v>19.03</v>
      </c>
      <c r="N106" s="179">
        <v>0</v>
      </c>
      <c r="O106" s="178">
        <v>208.85999999999999</v>
      </c>
      <c r="P106" s="453"/>
      <c r="Q106" s="61"/>
      <c r="R106" s="298"/>
      <c r="S106" s="669"/>
      <c r="X106" s="444">
        <v>106</v>
      </c>
    </row>
    <row r="107" spans="1:32" ht="12">
      <c r="A107" s="83" t="s">
        <v>18590</v>
      </c>
      <c r="B107" s="64" t="s">
        <v>18591</v>
      </c>
      <c r="C107" s="71" t="s">
        <v>10216</v>
      </c>
      <c r="D107" s="79">
        <v>1</v>
      </c>
      <c r="E107" s="79">
        <v>577.26</v>
      </c>
      <c r="F107" s="79">
        <v>577.26</v>
      </c>
      <c r="G107" s="445"/>
      <c r="H107" s="178">
        <v>577.25</v>
      </c>
      <c r="I107" s="178">
        <v>710.02</v>
      </c>
      <c r="J107" s="70">
        <v>-132.76</v>
      </c>
      <c r="K107" s="320"/>
      <c r="L107" s="178"/>
      <c r="M107" s="178">
        <v>577.26</v>
      </c>
      <c r="N107" s="179">
        <v>0</v>
      </c>
      <c r="O107" s="178">
        <v>577.26</v>
      </c>
      <c r="P107" s="453"/>
      <c r="Q107" s="61"/>
      <c r="R107" s="298"/>
      <c r="S107" s="669"/>
      <c r="X107" s="444">
        <v>107</v>
      </c>
    </row>
    <row r="108" spans="1:32" ht="12">
      <c r="A108" s="83" t="s">
        <v>10831</v>
      </c>
      <c r="B108" s="64" t="s">
        <v>39527</v>
      </c>
      <c r="C108" s="71"/>
      <c r="D108" s="79" t="s">
        <v>40899</v>
      </c>
      <c r="E108" s="79" t="s">
        <v>40899</v>
      </c>
      <c r="F108" s="79"/>
      <c r="G108" s="445"/>
      <c r="H108" s="178"/>
      <c r="I108" s="178"/>
      <c r="J108" s="70"/>
      <c r="K108" s="320"/>
      <c r="L108" s="178"/>
      <c r="M108" s="178"/>
      <c r="N108" s="179"/>
      <c r="O108" s="178"/>
      <c r="P108" s="453"/>
      <c r="Q108" s="61"/>
      <c r="R108" s="298"/>
      <c r="S108" s="669"/>
      <c r="X108" s="444">
        <v>108</v>
      </c>
    </row>
    <row r="109" spans="1:32" ht="12">
      <c r="A109" s="83" t="s">
        <v>18592</v>
      </c>
      <c r="B109" s="64" t="s">
        <v>39528</v>
      </c>
      <c r="C109" s="71" t="s">
        <v>121</v>
      </c>
      <c r="D109" s="79">
        <v>1</v>
      </c>
      <c r="E109" s="79">
        <v>437.56</v>
      </c>
      <c r="F109" s="79">
        <v>437.56</v>
      </c>
      <c r="G109" s="320"/>
      <c r="H109" s="178">
        <v>437.56</v>
      </c>
      <c r="I109" s="178">
        <v>538.20000000000005</v>
      </c>
      <c r="J109" s="70">
        <v>-100.64000000000004</v>
      </c>
      <c r="K109" s="320"/>
      <c r="L109" s="178">
        <v>0</v>
      </c>
      <c r="M109" s="178">
        <v>437.56</v>
      </c>
      <c r="N109" s="179">
        <v>0</v>
      </c>
      <c r="O109" s="178">
        <v>437.56</v>
      </c>
      <c r="P109" s="453"/>
      <c r="Q109" s="61"/>
      <c r="R109" s="298"/>
      <c r="S109" s="669"/>
      <c r="T109" s="73"/>
      <c r="X109" s="444">
        <v>109</v>
      </c>
    </row>
    <row r="110" spans="1:32" ht="24">
      <c r="A110" s="83" t="s">
        <v>18593</v>
      </c>
      <c r="B110" s="64" t="s">
        <v>39529</v>
      </c>
      <c r="C110" s="71" t="s">
        <v>165</v>
      </c>
      <c r="D110" s="79">
        <v>1</v>
      </c>
      <c r="E110" s="79">
        <v>217.57</v>
      </c>
      <c r="F110" s="79">
        <v>217.57</v>
      </c>
      <c r="G110" s="320"/>
      <c r="H110" s="178">
        <v>217.58</v>
      </c>
      <c r="I110" s="178">
        <v>267.62</v>
      </c>
      <c r="J110" s="70">
        <v>-50.050000000000011</v>
      </c>
      <c r="K110" s="320"/>
      <c r="L110" s="178">
        <v>8.3000000000000007</v>
      </c>
      <c r="M110" s="178">
        <v>209.26999999999998</v>
      </c>
      <c r="N110" s="179">
        <v>0</v>
      </c>
      <c r="O110" s="178">
        <v>217.57</v>
      </c>
      <c r="P110" s="453"/>
      <c r="Q110" s="61"/>
      <c r="R110" s="298"/>
      <c r="S110" s="669"/>
      <c r="T110" s="73"/>
      <c r="X110" s="444">
        <v>110</v>
      </c>
    </row>
    <row r="111" spans="1:32" ht="12">
      <c r="A111" s="83" t="s">
        <v>18594</v>
      </c>
      <c r="B111" s="64" t="s">
        <v>18595</v>
      </c>
      <c r="C111" s="71" t="s">
        <v>121</v>
      </c>
      <c r="D111" s="79">
        <v>1</v>
      </c>
      <c r="E111" s="79">
        <v>613.33000000000004</v>
      </c>
      <c r="F111" s="79">
        <v>613.33000000000004</v>
      </c>
      <c r="G111" s="445"/>
      <c r="H111" s="178">
        <v>613.33000000000004</v>
      </c>
      <c r="I111" s="178">
        <v>754.39</v>
      </c>
      <c r="J111" s="70">
        <v>-141.05999999999995</v>
      </c>
      <c r="K111" s="320"/>
      <c r="L111" s="178">
        <v>134.02000000000001</v>
      </c>
      <c r="M111" s="178">
        <v>479.31000000000006</v>
      </c>
      <c r="N111" s="179">
        <v>0</v>
      </c>
      <c r="O111" s="178">
        <v>613.33000000000004</v>
      </c>
      <c r="P111" s="453"/>
      <c r="Q111" s="61"/>
      <c r="R111" s="298"/>
      <c r="S111" s="669"/>
      <c r="X111" s="444">
        <v>111</v>
      </c>
    </row>
    <row r="112" spans="1:32" ht="24">
      <c r="A112" s="83" t="s">
        <v>18596</v>
      </c>
      <c r="B112" s="64" t="s">
        <v>18597</v>
      </c>
      <c r="C112" s="71" t="s">
        <v>121</v>
      </c>
      <c r="D112" s="79">
        <v>1</v>
      </c>
      <c r="E112" s="79">
        <v>404.04</v>
      </c>
      <c r="F112" s="79">
        <v>404.04</v>
      </c>
      <c r="G112" s="445"/>
      <c r="H112" s="178">
        <v>404.04</v>
      </c>
      <c r="I112" s="178">
        <v>496.97</v>
      </c>
      <c r="J112" s="70">
        <v>-92.93</v>
      </c>
      <c r="K112" s="320"/>
      <c r="L112" s="178">
        <v>147.05000000000001</v>
      </c>
      <c r="M112" s="178">
        <v>256.99</v>
      </c>
      <c r="N112" s="179">
        <v>0</v>
      </c>
      <c r="O112" s="178">
        <v>404.04</v>
      </c>
      <c r="P112" s="453"/>
      <c r="Q112" s="61"/>
      <c r="R112" s="298"/>
      <c r="S112" s="669"/>
      <c r="X112" s="444">
        <v>112</v>
      </c>
    </row>
    <row r="113" spans="1:32" ht="12">
      <c r="A113" s="83" t="s">
        <v>18598</v>
      </c>
      <c r="B113" s="64" t="s">
        <v>18599</v>
      </c>
      <c r="C113" s="71" t="s">
        <v>207</v>
      </c>
      <c r="D113" s="79">
        <v>1</v>
      </c>
      <c r="E113" s="79">
        <v>12.69</v>
      </c>
      <c r="F113" s="79">
        <v>12.69</v>
      </c>
      <c r="G113" s="445"/>
      <c r="H113" s="178">
        <v>12.67</v>
      </c>
      <c r="I113" s="178">
        <v>15.59</v>
      </c>
      <c r="J113" s="70">
        <v>-2.9000000000000004</v>
      </c>
      <c r="K113" s="320"/>
      <c r="L113" s="178">
        <v>5.2799999999999994</v>
      </c>
      <c r="M113" s="178">
        <v>7.41</v>
      </c>
      <c r="N113" s="179">
        <v>0</v>
      </c>
      <c r="O113" s="178">
        <v>12.69</v>
      </c>
      <c r="P113" s="453"/>
      <c r="Q113" s="61"/>
      <c r="R113" s="298"/>
      <c r="S113" s="669"/>
      <c r="X113" s="444">
        <v>113</v>
      </c>
    </row>
    <row r="114" spans="1:32" ht="12">
      <c r="A114" s="83" t="s">
        <v>18600</v>
      </c>
      <c r="B114" s="64" t="s">
        <v>18601</v>
      </c>
      <c r="C114" s="71" t="s">
        <v>207</v>
      </c>
      <c r="D114" s="79">
        <v>1</v>
      </c>
      <c r="E114" s="79">
        <v>13.37</v>
      </c>
      <c r="F114" s="79">
        <v>13.37</v>
      </c>
      <c r="G114" s="320"/>
      <c r="H114" s="178">
        <v>13.35</v>
      </c>
      <c r="I114" s="178">
        <v>16.420000000000002</v>
      </c>
      <c r="J114" s="70">
        <v>-3.0500000000000025</v>
      </c>
      <c r="K114" s="320"/>
      <c r="L114" s="178">
        <v>5.2799999999999994</v>
      </c>
      <c r="M114" s="178">
        <v>8.09</v>
      </c>
      <c r="N114" s="179">
        <v>0</v>
      </c>
      <c r="O114" s="178">
        <v>13.37</v>
      </c>
      <c r="P114" s="132"/>
      <c r="Q114" s="61"/>
      <c r="R114" s="298"/>
      <c r="S114" s="669"/>
      <c r="T114" s="61"/>
      <c r="X114" s="444">
        <v>114</v>
      </c>
    </row>
    <row r="115" spans="1:32" ht="12">
      <c r="A115" s="83" t="s">
        <v>18602</v>
      </c>
      <c r="B115" s="64" t="s">
        <v>18603</v>
      </c>
      <c r="C115" s="71" t="s">
        <v>165</v>
      </c>
      <c r="D115" s="79">
        <v>1</v>
      </c>
      <c r="E115" s="79">
        <v>86.660000000000011</v>
      </c>
      <c r="F115" s="79">
        <v>86.66</v>
      </c>
      <c r="G115" s="445"/>
      <c r="H115" s="178">
        <v>86.67</v>
      </c>
      <c r="I115" s="178">
        <v>106.6</v>
      </c>
      <c r="J115" s="70">
        <v>-19.939999999999984</v>
      </c>
      <c r="K115" s="320"/>
      <c r="L115" s="178">
        <v>49.480000000000004</v>
      </c>
      <c r="M115" s="178">
        <v>37.180000000000007</v>
      </c>
      <c r="N115" s="179">
        <v>0</v>
      </c>
      <c r="O115" s="178">
        <v>86.660000000000011</v>
      </c>
      <c r="P115" s="453"/>
      <c r="Q115" s="61"/>
      <c r="R115" s="298"/>
      <c r="S115" s="669"/>
      <c r="X115" s="444">
        <v>115</v>
      </c>
    </row>
    <row r="116" spans="1:32" s="69" customFormat="1" ht="12">
      <c r="A116" s="83" t="s">
        <v>18604</v>
      </c>
      <c r="B116" s="64" t="s">
        <v>18605</v>
      </c>
      <c r="C116" s="71" t="s">
        <v>165</v>
      </c>
      <c r="D116" s="79">
        <v>1</v>
      </c>
      <c r="E116" s="79">
        <v>126.82</v>
      </c>
      <c r="F116" s="79">
        <v>126.82</v>
      </c>
      <c r="G116" s="445"/>
      <c r="H116" s="178">
        <v>126.8</v>
      </c>
      <c r="I116" s="178">
        <v>155.97</v>
      </c>
      <c r="J116" s="70">
        <v>-29.150000000000006</v>
      </c>
      <c r="K116" s="320"/>
      <c r="L116" s="178">
        <v>67.8</v>
      </c>
      <c r="M116" s="178">
        <v>59.019999999999996</v>
      </c>
      <c r="N116" s="179">
        <v>0</v>
      </c>
      <c r="O116" s="178">
        <v>126.82</v>
      </c>
      <c r="P116" s="453"/>
      <c r="Q116" s="61"/>
      <c r="R116" s="298"/>
      <c r="S116" s="669"/>
      <c r="T116" s="444"/>
      <c r="U116" s="444"/>
      <c r="V116" s="444"/>
      <c r="W116" s="444"/>
      <c r="X116" s="444">
        <v>116</v>
      </c>
      <c r="Y116" s="444"/>
      <c r="Z116" s="444"/>
      <c r="AA116" s="444"/>
      <c r="AB116" s="444"/>
      <c r="AC116" s="444"/>
      <c r="AD116" s="444"/>
      <c r="AE116" s="444"/>
      <c r="AF116" s="444"/>
    </row>
    <row r="117" spans="1:32" ht="12">
      <c r="A117" s="83" t="s">
        <v>18606</v>
      </c>
      <c r="B117" s="64" t="s">
        <v>18607</v>
      </c>
      <c r="C117" s="71" t="s">
        <v>165</v>
      </c>
      <c r="D117" s="79">
        <v>1</v>
      </c>
      <c r="E117" s="79">
        <v>70.959999999999994</v>
      </c>
      <c r="F117" s="79">
        <v>70.959999999999994</v>
      </c>
      <c r="G117" s="445"/>
      <c r="H117" s="178">
        <v>70.95</v>
      </c>
      <c r="I117" s="178">
        <v>87.27</v>
      </c>
      <c r="J117" s="70">
        <v>-16.310000000000002</v>
      </c>
      <c r="K117" s="320"/>
      <c r="L117" s="178">
        <v>2.2400000000000002</v>
      </c>
      <c r="M117" s="178">
        <v>68.72</v>
      </c>
      <c r="N117" s="179">
        <v>0</v>
      </c>
      <c r="O117" s="178">
        <v>70.959999999999994</v>
      </c>
      <c r="P117" s="453"/>
      <c r="Q117" s="61"/>
      <c r="R117" s="298"/>
      <c r="S117" s="669"/>
      <c r="U117" s="69"/>
      <c r="V117" s="69"/>
      <c r="W117" s="69"/>
      <c r="X117" s="444">
        <v>117</v>
      </c>
      <c r="Y117" s="69"/>
      <c r="Z117" s="69"/>
      <c r="AA117" s="69"/>
      <c r="AB117" s="69"/>
      <c r="AC117" s="69"/>
      <c r="AD117" s="69"/>
      <c r="AE117" s="69"/>
      <c r="AF117" s="69"/>
    </row>
    <row r="118" spans="1:32" ht="12">
      <c r="A118" s="83" t="s">
        <v>18608</v>
      </c>
      <c r="B118" s="64" t="s">
        <v>18609</v>
      </c>
      <c r="C118" s="71" t="s">
        <v>165</v>
      </c>
      <c r="D118" s="79">
        <v>1</v>
      </c>
      <c r="E118" s="79">
        <v>94.94</v>
      </c>
      <c r="F118" s="79">
        <v>94.94</v>
      </c>
      <c r="G118" s="445"/>
      <c r="H118" s="178">
        <v>94.93</v>
      </c>
      <c r="I118" s="178">
        <v>116.76</v>
      </c>
      <c r="J118" s="70">
        <v>-21.820000000000007</v>
      </c>
      <c r="K118" s="320"/>
      <c r="L118" s="178">
        <v>2.2400000000000002</v>
      </c>
      <c r="M118" s="178">
        <v>92.7</v>
      </c>
      <c r="N118" s="179">
        <v>0</v>
      </c>
      <c r="O118" s="178">
        <v>94.94</v>
      </c>
      <c r="P118" s="453"/>
      <c r="Q118" s="61"/>
      <c r="R118" s="298"/>
      <c r="S118" s="669"/>
      <c r="X118" s="444">
        <v>118</v>
      </c>
    </row>
    <row r="119" spans="1:32" ht="12">
      <c r="A119" s="83" t="s">
        <v>18610</v>
      </c>
      <c r="B119" s="64" t="s">
        <v>18611</v>
      </c>
      <c r="C119" s="71" t="s">
        <v>165</v>
      </c>
      <c r="D119" s="79">
        <v>1</v>
      </c>
      <c r="E119" s="79">
        <v>120.65</v>
      </c>
      <c r="F119" s="79">
        <v>120.65</v>
      </c>
      <c r="G119" s="445"/>
      <c r="H119" s="178">
        <v>120.64</v>
      </c>
      <c r="I119" s="178">
        <v>148.38999999999999</v>
      </c>
      <c r="J119" s="70">
        <v>-27.739999999999981</v>
      </c>
      <c r="K119" s="320"/>
      <c r="L119" s="178">
        <v>2.2400000000000002</v>
      </c>
      <c r="M119" s="178">
        <v>118.41000000000001</v>
      </c>
      <c r="N119" s="179">
        <v>0</v>
      </c>
      <c r="O119" s="178">
        <v>120.65</v>
      </c>
      <c r="P119" s="453"/>
      <c r="Q119" s="61"/>
      <c r="R119" s="298"/>
      <c r="S119" s="669"/>
      <c r="X119" s="444">
        <v>119</v>
      </c>
    </row>
    <row r="120" spans="1:32" ht="12">
      <c r="A120" s="83" t="s">
        <v>18612</v>
      </c>
      <c r="B120" s="64" t="s">
        <v>18613</v>
      </c>
      <c r="C120" s="71" t="s">
        <v>165</v>
      </c>
      <c r="D120" s="79">
        <v>1</v>
      </c>
      <c r="E120" s="79">
        <v>169.62</v>
      </c>
      <c r="F120" s="79">
        <v>169.62</v>
      </c>
      <c r="G120" s="445"/>
      <c r="H120" s="178">
        <v>169.61</v>
      </c>
      <c r="I120" s="178">
        <v>208.62</v>
      </c>
      <c r="J120" s="70">
        <v>-39</v>
      </c>
      <c r="K120" s="320"/>
      <c r="L120" s="178">
        <v>3.35</v>
      </c>
      <c r="M120" s="178">
        <v>166.27</v>
      </c>
      <c r="N120" s="179">
        <v>0</v>
      </c>
      <c r="O120" s="178">
        <v>169.62</v>
      </c>
      <c r="P120" s="453"/>
      <c r="Q120" s="61"/>
      <c r="R120" s="298"/>
      <c r="S120" s="669"/>
      <c r="X120" s="444">
        <v>120</v>
      </c>
    </row>
    <row r="121" spans="1:32" ht="12">
      <c r="A121" s="83" t="s">
        <v>18614</v>
      </c>
      <c r="B121" s="64" t="s">
        <v>18615</v>
      </c>
      <c r="C121" s="71" t="s">
        <v>165</v>
      </c>
      <c r="D121" s="79">
        <v>1</v>
      </c>
      <c r="E121" s="79">
        <v>66.12</v>
      </c>
      <c r="F121" s="79">
        <v>66.12</v>
      </c>
      <c r="G121" s="445"/>
      <c r="H121" s="178">
        <v>66.11</v>
      </c>
      <c r="I121" s="178">
        <v>81.319999999999993</v>
      </c>
      <c r="J121" s="70">
        <v>-15.199999999999989</v>
      </c>
      <c r="K121" s="320"/>
      <c r="L121" s="178"/>
      <c r="M121" s="178">
        <v>66.12</v>
      </c>
      <c r="N121" s="179">
        <v>0</v>
      </c>
      <c r="O121" s="178">
        <v>66.12</v>
      </c>
      <c r="P121" s="453"/>
      <c r="Q121" s="61"/>
      <c r="R121" s="298"/>
      <c r="S121" s="669"/>
      <c r="X121" s="444">
        <v>121</v>
      </c>
    </row>
    <row r="122" spans="1:32" ht="12">
      <c r="A122" s="83" t="s">
        <v>18616</v>
      </c>
      <c r="B122" s="64" t="s">
        <v>18617</v>
      </c>
      <c r="C122" s="71" t="s">
        <v>165</v>
      </c>
      <c r="D122" s="79">
        <v>1</v>
      </c>
      <c r="E122" s="79">
        <v>88.759999999999991</v>
      </c>
      <c r="F122" s="79">
        <v>88.76</v>
      </c>
      <c r="G122" s="445"/>
      <c r="H122" s="178">
        <v>88.76</v>
      </c>
      <c r="I122" s="178">
        <v>109.17</v>
      </c>
      <c r="J122" s="70">
        <v>-20.410000000000011</v>
      </c>
      <c r="K122" s="320"/>
      <c r="L122" s="178"/>
      <c r="M122" s="178">
        <v>88.759999999999991</v>
      </c>
      <c r="N122" s="179">
        <v>0</v>
      </c>
      <c r="O122" s="178">
        <v>88.759999999999991</v>
      </c>
      <c r="P122" s="453"/>
      <c r="Q122" s="61"/>
      <c r="R122" s="298"/>
      <c r="S122" s="669"/>
      <c r="X122" s="444">
        <v>122</v>
      </c>
    </row>
    <row r="123" spans="1:32" ht="12">
      <c r="A123" s="83" t="s">
        <v>18618</v>
      </c>
      <c r="B123" s="64" t="s">
        <v>18619</v>
      </c>
      <c r="C123" s="71" t="s">
        <v>165</v>
      </c>
      <c r="D123" s="79">
        <v>1</v>
      </c>
      <c r="E123" s="79">
        <v>103.75</v>
      </c>
      <c r="F123" s="79">
        <v>103.75</v>
      </c>
      <c r="G123" s="445"/>
      <c r="H123" s="178">
        <v>103.74</v>
      </c>
      <c r="I123" s="178">
        <v>127.6</v>
      </c>
      <c r="J123" s="70">
        <v>-23.849999999999994</v>
      </c>
      <c r="K123" s="320"/>
      <c r="L123" s="178"/>
      <c r="M123" s="178">
        <v>103.75</v>
      </c>
      <c r="N123" s="179">
        <v>0</v>
      </c>
      <c r="O123" s="178">
        <v>103.75</v>
      </c>
      <c r="P123" s="453"/>
      <c r="Q123" s="61"/>
      <c r="R123" s="298"/>
      <c r="S123" s="669"/>
      <c r="X123" s="444">
        <v>123</v>
      </c>
    </row>
    <row r="124" spans="1:32" ht="12">
      <c r="A124" s="83" t="s">
        <v>18620</v>
      </c>
      <c r="B124" s="64" t="s">
        <v>18621</v>
      </c>
      <c r="C124" s="71" t="s">
        <v>165</v>
      </c>
      <c r="D124" s="79">
        <v>1</v>
      </c>
      <c r="E124" s="79">
        <v>129.12</v>
      </c>
      <c r="F124" s="79">
        <v>129.12</v>
      </c>
      <c r="G124" s="445"/>
      <c r="H124" s="178">
        <v>129.12</v>
      </c>
      <c r="I124" s="178">
        <v>158.82</v>
      </c>
      <c r="J124" s="70">
        <v>-29.699999999999989</v>
      </c>
      <c r="K124" s="320"/>
      <c r="L124" s="178"/>
      <c r="M124" s="178">
        <v>129.12</v>
      </c>
      <c r="N124" s="179">
        <v>0</v>
      </c>
      <c r="O124" s="178">
        <v>129.12</v>
      </c>
      <c r="P124" s="453"/>
      <c r="Q124" s="61"/>
      <c r="R124" s="298"/>
      <c r="S124" s="669"/>
      <c r="X124" s="444">
        <v>124</v>
      </c>
    </row>
    <row r="125" spans="1:32" ht="12">
      <c r="A125" s="83" t="s">
        <v>18622</v>
      </c>
      <c r="B125" s="64" t="s">
        <v>18623</v>
      </c>
      <c r="C125" s="71" t="s">
        <v>165</v>
      </c>
      <c r="D125" s="79">
        <v>1</v>
      </c>
      <c r="E125" s="79">
        <v>188.81</v>
      </c>
      <c r="F125" s="79">
        <v>188.81</v>
      </c>
      <c r="G125" s="445"/>
      <c r="H125" s="178">
        <v>188.8</v>
      </c>
      <c r="I125" s="178">
        <v>232.23</v>
      </c>
      <c r="J125" s="70">
        <v>-43.419999999999987</v>
      </c>
      <c r="K125" s="320"/>
      <c r="L125" s="178"/>
      <c r="M125" s="178">
        <v>188.81</v>
      </c>
      <c r="N125" s="179">
        <v>0</v>
      </c>
      <c r="O125" s="178">
        <v>188.81</v>
      </c>
      <c r="P125" s="453"/>
      <c r="Q125" s="61"/>
      <c r="R125" s="298"/>
      <c r="S125" s="669"/>
      <c r="X125" s="444">
        <v>125</v>
      </c>
    </row>
    <row r="126" spans="1:32" ht="12">
      <c r="A126" s="83" t="s">
        <v>18624</v>
      </c>
      <c r="B126" s="64" t="s">
        <v>18625</v>
      </c>
      <c r="C126" s="71" t="s">
        <v>165</v>
      </c>
      <c r="D126" s="79">
        <v>1</v>
      </c>
      <c r="E126" s="79">
        <v>244.88</v>
      </c>
      <c r="F126" s="79">
        <v>244.88</v>
      </c>
      <c r="G126" s="445"/>
      <c r="H126" s="178">
        <v>244.88</v>
      </c>
      <c r="I126" s="178">
        <v>301.2</v>
      </c>
      <c r="J126" s="70">
        <v>-56.319999999999993</v>
      </c>
      <c r="K126" s="320"/>
      <c r="L126" s="178"/>
      <c r="M126" s="178">
        <v>244.88</v>
      </c>
      <c r="N126" s="179">
        <v>0</v>
      </c>
      <c r="O126" s="178">
        <v>244.88</v>
      </c>
      <c r="P126" s="453"/>
      <c r="Q126" s="61"/>
      <c r="R126" s="298"/>
      <c r="S126" s="669"/>
      <c r="X126" s="444">
        <v>126</v>
      </c>
    </row>
    <row r="127" spans="1:32" ht="12">
      <c r="A127" s="83" t="s">
        <v>18626</v>
      </c>
      <c r="B127" s="64" t="s">
        <v>18627</v>
      </c>
      <c r="C127" s="71" t="s">
        <v>165</v>
      </c>
      <c r="D127" s="79">
        <v>1</v>
      </c>
      <c r="E127" s="79">
        <v>334.88</v>
      </c>
      <c r="F127" s="79">
        <v>334.88</v>
      </c>
      <c r="G127" s="445"/>
      <c r="H127" s="178">
        <v>334.88</v>
      </c>
      <c r="I127" s="178">
        <v>411.9</v>
      </c>
      <c r="J127" s="70">
        <v>-77.019999999999982</v>
      </c>
      <c r="K127" s="320"/>
      <c r="L127" s="178"/>
      <c r="M127" s="178">
        <v>334.88</v>
      </c>
      <c r="N127" s="179">
        <v>0</v>
      </c>
      <c r="O127" s="178">
        <v>334.88</v>
      </c>
      <c r="P127" s="453"/>
      <c r="Q127" s="61"/>
      <c r="R127" s="298"/>
      <c r="S127" s="669"/>
      <c r="X127" s="444">
        <v>127</v>
      </c>
    </row>
    <row r="128" spans="1:32" ht="12">
      <c r="A128" s="83" t="s">
        <v>18628</v>
      </c>
      <c r="B128" s="64" t="s">
        <v>18629</v>
      </c>
      <c r="C128" s="71" t="s">
        <v>165</v>
      </c>
      <c r="D128" s="79">
        <v>1</v>
      </c>
      <c r="E128" s="79">
        <v>426.67</v>
      </c>
      <c r="F128" s="79">
        <v>426.67</v>
      </c>
      <c r="G128" s="445"/>
      <c r="H128" s="178">
        <v>426.66</v>
      </c>
      <c r="I128" s="178">
        <v>524.79</v>
      </c>
      <c r="J128" s="70">
        <v>-98.119999999999948</v>
      </c>
      <c r="K128" s="320"/>
      <c r="L128" s="178"/>
      <c r="M128" s="178">
        <v>426.67</v>
      </c>
      <c r="N128" s="179">
        <v>0</v>
      </c>
      <c r="O128" s="178">
        <v>426.67</v>
      </c>
      <c r="P128" s="453"/>
      <c r="Q128" s="61"/>
      <c r="R128" s="298"/>
      <c r="S128" s="669"/>
      <c r="X128" s="444">
        <v>128</v>
      </c>
    </row>
    <row r="129" spans="1:32" ht="12">
      <c r="A129" s="83" t="s">
        <v>18630</v>
      </c>
      <c r="B129" s="64" t="s">
        <v>18631</v>
      </c>
      <c r="C129" s="71" t="s">
        <v>165</v>
      </c>
      <c r="D129" s="79">
        <v>1</v>
      </c>
      <c r="E129" s="79">
        <v>509.6</v>
      </c>
      <c r="F129" s="79">
        <v>509.6</v>
      </c>
      <c r="G129" s="445"/>
      <c r="H129" s="178">
        <v>509.59</v>
      </c>
      <c r="I129" s="178">
        <v>626.79999999999995</v>
      </c>
      <c r="J129" s="70">
        <v>-117.19999999999993</v>
      </c>
      <c r="K129" s="320"/>
      <c r="L129" s="178"/>
      <c r="M129" s="178">
        <v>509.6</v>
      </c>
      <c r="N129" s="179">
        <v>0</v>
      </c>
      <c r="O129" s="178">
        <v>509.6</v>
      </c>
      <c r="P129" s="453"/>
      <c r="Q129" s="61"/>
      <c r="R129" s="298"/>
      <c r="S129" s="669"/>
      <c r="X129" s="444">
        <v>129</v>
      </c>
    </row>
    <row r="130" spans="1:32" s="61" customFormat="1" ht="24">
      <c r="A130" s="63" t="s">
        <v>18632</v>
      </c>
      <c r="B130" s="146" t="s">
        <v>18633</v>
      </c>
      <c r="C130" s="134" t="s">
        <v>121</v>
      </c>
      <c r="D130" s="79">
        <v>1</v>
      </c>
      <c r="E130" s="79">
        <v>82.63</v>
      </c>
      <c r="F130" s="79">
        <v>82.63</v>
      </c>
      <c r="G130" s="445"/>
      <c r="H130" s="178">
        <v>82.63</v>
      </c>
      <c r="I130" s="178">
        <v>101.63</v>
      </c>
      <c r="J130" s="70">
        <v>-19</v>
      </c>
      <c r="K130" s="320"/>
      <c r="L130" s="178">
        <v>82.63</v>
      </c>
      <c r="M130" s="178">
        <v>0</v>
      </c>
      <c r="N130" s="179">
        <v>0</v>
      </c>
      <c r="O130" s="178">
        <v>82.63</v>
      </c>
      <c r="P130" s="453"/>
      <c r="R130" s="298"/>
      <c r="S130" s="669"/>
      <c r="T130" s="444"/>
      <c r="U130" s="444"/>
      <c r="V130" s="444"/>
      <c r="W130" s="444"/>
      <c r="X130" s="444">
        <v>130</v>
      </c>
      <c r="Y130" s="444"/>
      <c r="Z130" s="444"/>
      <c r="AA130" s="444"/>
      <c r="AB130" s="444"/>
      <c r="AC130" s="444"/>
      <c r="AD130" s="444"/>
      <c r="AE130" s="444"/>
      <c r="AF130" s="444"/>
    </row>
    <row r="131" spans="1:32" ht="12">
      <c r="A131" s="63" t="s">
        <v>18634</v>
      </c>
      <c r="B131" s="146" t="s">
        <v>18635</v>
      </c>
      <c r="C131" s="71" t="s">
        <v>103</v>
      </c>
      <c r="D131" s="79">
        <v>1</v>
      </c>
      <c r="E131" s="79">
        <v>11708.6</v>
      </c>
      <c r="F131" s="79">
        <v>11708.6</v>
      </c>
      <c r="G131" s="320"/>
      <c r="H131" s="178">
        <v>11708.59</v>
      </c>
      <c r="I131" s="178">
        <v>14401.57</v>
      </c>
      <c r="J131" s="70">
        <v>-2692.9699999999993</v>
      </c>
      <c r="K131" s="320"/>
      <c r="L131" s="178"/>
      <c r="M131" s="178">
        <v>11708.6</v>
      </c>
      <c r="N131" s="179">
        <v>0</v>
      </c>
      <c r="O131" s="178">
        <v>11708.6</v>
      </c>
      <c r="P131" s="132"/>
      <c r="Q131" s="61"/>
      <c r="R131" s="298"/>
      <c r="S131" s="669"/>
      <c r="T131" s="61"/>
      <c r="U131" s="61"/>
      <c r="V131" s="61"/>
      <c r="W131" s="61"/>
      <c r="X131" s="444">
        <v>131</v>
      </c>
      <c r="Y131" s="61"/>
      <c r="Z131" s="61"/>
      <c r="AA131" s="61"/>
      <c r="AB131" s="61"/>
      <c r="AC131" s="61"/>
      <c r="AD131" s="61"/>
      <c r="AE131" s="61"/>
      <c r="AF131" s="61"/>
    </row>
    <row r="132" spans="1:32" ht="12">
      <c r="A132" s="63" t="s">
        <v>18636</v>
      </c>
      <c r="B132" s="146" t="s">
        <v>18637</v>
      </c>
      <c r="C132" s="134" t="s">
        <v>103</v>
      </c>
      <c r="D132" s="79">
        <v>1</v>
      </c>
      <c r="E132" s="79">
        <v>2765.37</v>
      </c>
      <c r="F132" s="79">
        <v>2765.37</v>
      </c>
      <c r="G132" s="445"/>
      <c r="H132" s="178">
        <v>2765.37</v>
      </c>
      <c r="I132" s="178">
        <v>3401.4</v>
      </c>
      <c r="J132" s="70">
        <v>-636.0300000000002</v>
      </c>
      <c r="K132" s="320"/>
      <c r="L132" s="178">
        <v>3.02</v>
      </c>
      <c r="M132" s="178">
        <v>2762.35</v>
      </c>
      <c r="N132" s="179">
        <v>0</v>
      </c>
      <c r="O132" s="178">
        <v>2765.37</v>
      </c>
      <c r="P132" s="453"/>
      <c r="Q132" s="61"/>
      <c r="R132" s="298"/>
      <c r="S132" s="669"/>
      <c r="X132" s="444">
        <v>132</v>
      </c>
    </row>
    <row r="133" spans="1:32" ht="12">
      <c r="A133" s="83" t="s">
        <v>18638</v>
      </c>
      <c r="B133" s="64" t="s">
        <v>18639</v>
      </c>
      <c r="C133" s="71" t="s">
        <v>103</v>
      </c>
      <c r="D133" s="79">
        <v>1</v>
      </c>
      <c r="E133" s="79">
        <v>32657.79</v>
      </c>
      <c r="F133" s="79">
        <v>32657.79</v>
      </c>
      <c r="G133" s="445"/>
      <c r="H133" s="178">
        <v>32657.79</v>
      </c>
      <c r="I133" s="178">
        <v>40169.08</v>
      </c>
      <c r="J133" s="70">
        <v>-7511.2900000000009</v>
      </c>
      <c r="K133" s="320"/>
      <c r="L133" s="178"/>
      <c r="M133" s="178">
        <v>32657.79</v>
      </c>
      <c r="N133" s="179">
        <v>0</v>
      </c>
      <c r="O133" s="178">
        <v>32657.79</v>
      </c>
      <c r="P133" s="453"/>
      <c r="Q133" s="61"/>
      <c r="R133" s="298"/>
      <c r="S133" s="669"/>
      <c r="X133" s="444">
        <v>133</v>
      </c>
    </row>
    <row r="134" spans="1:32" ht="12">
      <c r="A134" s="83" t="s">
        <v>18640</v>
      </c>
      <c r="B134" s="64" t="s">
        <v>18641</v>
      </c>
      <c r="C134" s="71" t="s">
        <v>103</v>
      </c>
      <c r="D134" s="79">
        <v>1</v>
      </c>
      <c r="E134" s="79">
        <v>44504.46</v>
      </c>
      <c r="F134" s="79">
        <v>44504.46</v>
      </c>
      <c r="G134" s="445"/>
      <c r="H134" s="178">
        <v>44504.46</v>
      </c>
      <c r="I134" s="178">
        <v>54740.480000000003</v>
      </c>
      <c r="J134" s="70">
        <v>-10236.020000000004</v>
      </c>
      <c r="K134" s="320"/>
      <c r="L134" s="178"/>
      <c r="M134" s="178">
        <v>44504.46</v>
      </c>
      <c r="N134" s="179">
        <v>0</v>
      </c>
      <c r="O134" s="178">
        <v>44504.46</v>
      </c>
      <c r="P134" s="453"/>
      <c r="Q134" s="61"/>
      <c r="R134" s="298"/>
      <c r="S134" s="669"/>
      <c r="X134" s="444">
        <v>134</v>
      </c>
    </row>
    <row r="135" spans="1:32" ht="12">
      <c r="A135" s="83" t="s">
        <v>18642</v>
      </c>
      <c r="B135" s="64" t="s">
        <v>18643</v>
      </c>
      <c r="C135" s="71" t="s">
        <v>103</v>
      </c>
      <c r="D135" s="79">
        <v>1</v>
      </c>
      <c r="E135" s="79">
        <v>628.95000000000005</v>
      </c>
      <c r="F135" s="79">
        <v>628.95000000000005</v>
      </c>
      <c r="G135" s="445"/>
      <c r="H135" s="178">
        <v>628.94000000000005</v>
      </c>
      <c r="I135" s="178">
        <v>773.6</v>
      </c>
      <c r="J135" s="70">
        <v>-144.64999999999998</v>
      </c>
      <c r="K135" s="320"/>
      <c r="L135" s="178"/>
      <c r="M135" s="178">
        <v>628.95000000000005</v>
      </c>
      <c r="N135" s="179">
        <v>0</v>
      </c>
      <c r="O135" s="178">
        <v>628.95000000000005</v>
      </c>
      <c r="P135" s="453"/>
      <c r="Q135" s="61"/>
      <c r="R135" s="298"/>
      <c r="S135" s="669"/>
      <c r="X135" s="444">
        <v>135</v>
      </c>
    </row>
    <row r="136" spans="1:32" ht="12">
      <c r="A136" s="83" t="s">
        <v>18644</v>
      </c>
      <c r="B136" s="64" t="s">
        <v>18645</v>
      </c>
      <c r="C136" s="71" t="s">
        <v>103</v>
      </c>
      <c r="D136" s="79">
        <v>1</v>
      </c>
      <c r="E136" s="79">
        <v>7357.53</v>
      </c>
      <c r="F136" s="79">
        <v>7357.53</v>
      </c>
      <c r="G136" s="445"/>
      <c r="H136" s="178">
        <v>7357.53</v>
      </c>
      <c r="I136" s="178">
        <v>9049.76</v>
      </c>
      <c r="J136" s="70">
        <v>-1692.2300000000005</v>
      </c>
      <c r="K136" s="320"/>
      <c r="L136" s="178"/>
      <c r="M136" s="178">
        <v>7357.53</v>
      </c>
      <c r="N136" s="179">
        <v>0</v>
      </c>
      <c r="O136" s="178">
        <v>7357.53</v>
      </c>
      <c r="P136" s="453"/>
      <c r="Q136" s="61"/>
      <c r="R136" s="298"/>
      <c r="S136" s="669"/>
      <c r="X136" s="444">
        <v>136</v>
      </c>
    </row>
    <row r="137" spans="1:32" ht="12">
      <c r="A137" s="83" t="s">
        <v>18646</v>
      </c>
      <c r="B137" s="64" t="s">
        <v>6163</v>
      </c>
      <c r="C137" s="71" t="s">
        <v>103</v>
      </c>
      <c r="D137" s="79">
        <v>1</v>
      </c>
      <c r="E137" s="79">
        <v>3099.83</v>
      </c>
      <c r="F137" s="79">
        <v>3099.83</v>
      </c>
      <c r="G137" s="445"/>
      <c r="H137" s="178">
        <v>3099.83</v>
      </c>
      <c r="I137" s="178">
        <v>3812.79</v>
      </c>
      <c r="J137" s="70">
        <v>-712.96</v>
      </c>
      <c r="K137" s="320"/>
      <c r="L137" s="178"/>
      <c r="M137" s="178">
        <v>3099.83</v>
      </c>
      <c r="N137" s="179">
        <v>0</v>
      </c>
      <c r="O137" s="178">
        <v>3099.83</v>
      </c>
      <c r="P137" s="453"/>
      <c r="Q137" s="61"/>
      <c r="R137" s="298"/>
      <c r="S137" s="669"/>
      <c r="X137" s="444">
        <v>137</v>
      </c>
    </row>
    <row r="138" spans="1:32" ht="12">
      <c r="A138" s="83" t="s">
        <v>18647</v>
      </c>
      <c r="B138" s="64" t="s">
        <v>18648</v>
      </c>
      <c r="C138" s="71" t="s">
        <v>10216</v>
      </c>
      <c r="D138" s="79">
        <v>1</v>
      </c>
      <c r="E138" s="79">
        <v>577.26</v>
      </c>
      <c r="F138" s="79">
        <v>577.26</v>
      </c>
      <c r="G138" s="445"/>
      <c r="H138" s="178">
        <v>577.25</v>
      </c>
      <c r="I138" s="178">
        <v>710.02</v>
      </c>
      <c r="J138" s="70">
        <v>-132.76</v>
      </c>
      <c r="K138" s="320"/>
      <c r="L138" s="178"/>
      <c r="M138" s="178">
        <v>577.26</v>
      </c>
      <c r="N138" s="179">
        <v>0</v>
      </c>
      <c r="O138" s="178">
        <v>577.26</v>
      </c>
      <c r="P138" s="453"/>
      <c r="Q138" s="61"/>
      <c r="R138" s="298"/>
      <c r="S138" s="669"/>
      <c r="X138" s="444">
        <v>138</v>
      </c>
    </row>
    <row r="139" spans="1:32" ht="12">
      <c r="A139" s="83" t="s">
        <v>18649</v>
      </c>
      <c r="B139" s="64" t="s">
        <v>18650</v>
      </c>
      <c r="C139" s="71" t="s">
        <v>165</v>
      </c>
      <c r="D139" s="79">
        <v>1</v>
      </c>
      <c r="E139" s="79">
        <v>50.7</v>
      </c>
      <c r="F139" s="79">
        <v>50.7</v>
      </c>
      <c r="G139" s="445"/>
      <c r="H139" s="178">
        <v>50.71</v>
      </c>
      <c r="I139" s="178">
        <v>62.37</v>
      </c>
      <c r="J139" s="70">
        <v>-11.669999999999995</v>
      </c>
      <c r="K139" s="320"/>
      <c r="L139" s="178">
        <v>1.5499999999999998</v>
      </c>
      <c r="M139" s="178">
        <v>49.150000000000006</v>
      </c>
      <c r="N139" s="179">
        <v>0</v>
      </c>
      <c r="O139" s="178">
        <v>50.7</v>
      </c>
      <c r="P139" s="453"/>
      <c r="Q139" s="61"/>
      <c r="R139" s="298"/>
      <c r="S139" s="669"/>
      <c r="X139" s="444">
        <v>139</v>
      </c>
    </row>
    <row r="140" spans="1:32" ht="12">
      <c r="A140" s="83" t="s">
        <v>18651</v>
      </c>
      <c r="B140" s="64" t="s">
        <v>18652</v>
      </c>
      <c r="C140" s="71" t="s">
        <v>165</v>
      </c>
      <c r="D140" s="79">
        <v>1</v>
      </c>
      <c r="E140" s="79">
        <v>64.710000000000008</v>
      </c>
      <c r="F140" s="79">
        <v>64.709999999999994</v>
      </c>
      <c r="G140" s="445"/>
      <c r="H140" s="178">
        <v>64.72</v>
      </c>
      <c r="I140" s="178">
        <v>79.599999999999994</v>
      </c>
      <c r="J140" s="70">
        <v>-14.889999999999986</v>
      </c>
      <c r="K140" s="320"/>
      <c r="L140" s="178">
        <v>2.35</v>
      </c>
      <c r="M140" s="178">
        <v>62.360000000000007</v>
      </c>
      <c r="N140" s="179">
        <v>0</v>
      </c>
      <c r="O140" s="178">
        <v>64.710000000000008</v>
      </c>
      <c r="P140" s="453"/>
      <c r="Q140" s="61"/>
      <c r="R140" s="298"/>
      <c r="S140" s="669"/>
      <c r="X140" s="444">
        <v>140</v>
      </c>
    </row>
    <row r="141" spans="1:32" ht="12">
      <c r="A141" s="83" t="s">
        <v>18653</v>
      </c>
      <c r="B141" s="64" t="s">
        <v>18654</v>
      </c>
      <c r="C141" s="71" t="s">
        <v>165</v>
      </c>
      <c r="D141" s="79">
        <v>1</v>
      </c>
      <c r="E141" s="79">
        <v>82.36</v>
      </c>
      <c r="F141" s="79">
        <v>82.36</v>
      </c>
      <c r="G141" s="445"/>
      <c r="H141" s="178">
        <v>82.37</v>
      </c>
      <c r="I141" s="178">
        <v>101.31</v>
      </c>
      <c r="J141" s="70">
        <v>-18.950000000000003</v>
      </c>
      <c r="K141" s="320"/>
      <c r="L141" s="178">
        <v>2.95</v>
      </c>
      <c r="M141" s="178">
        <v>79.41</v>
      </c>
      <c r="N141" s="179">
        <v>0</v>
      </c>
      <c r="O141" s="178">
        <v>82.36</v>
      </c>
      <c r="P141" s="453"/>
      <c r="Q141" s="61"/>
      <c r="R141" s="298"/>
      <c r="S141" s="669"/>
      <c r="X141" s="444">
        <v>141</v>
      </c>
    </row>
    <row r="142" spans="1:32" ht="12">
      <c r="A142" s="83" t="s">
        <v>18655</v>
      </c>
      <c r="B142" s="64" t="s">
        <v>18656</v>
      </c>
      <c r="C142" s="71" t="s">
        <v>165</v>
      </c>
      <c r="D142" s="79">
        <v>1</v>
      </c>
      <c r="E142" s="79">
        <v>102.81</v>
      </c>
      <c r="F142" s="79">
        <v>102.81</v>
      </c>
      <c r="G142" s="445"/>
      <c r="H142" s="178">
        <v>102.81</v>
      </c>
      <c r="I142" s="178">
        <v>126.46</v>
      </c>
      <c r="J142" s="70">
        <v>-23.649999999999991</v>
      </c>
      <c r="K142" s="320"/>
      <c r="L142" s="178">
        <v>3.55</v>
      </c>
      <c r="M142" s="178">
        <v>99.26</v>
      </c>
      <c r="N142" s="179">
        <v>0</v>
      </c>
      <c r="O142" s="178">
        <v>102.81</v>
      </c>
      <c r="P142" s="453"/>
      <c r="Q142" s="61"/>
      <c r="R142" s="298"/>
      <c r="S142" s="669"/>
      <c r="X142" s="444">
        <v>142</v>
      </c>
    </row>
    <row r="143" spans="1:32" ht="12">
      <c r="A143" s="83" t="s">
        <v>18657</v>
      </c>
      <c r="B143" s="64" t="s">
        <v>18658</v>
      </c>
      <c r="C143" s="71" t="s">
        <v>165</v>
      </c>
      <c r="D143" s="79">
        <v>1</v>
      </c>
      <c r="E143" s="79">
        <v>147.19</v>
      </c>
      <c r="F143" s="79">
        <v>147.19</v>
      </c>
      <c r="G143" s="445"/>
      <c r="H143" s="178">
        <v>147.16999999999999</v>
      </c>
      <c r="I143" s="178">
        <v>181.02</v>
      </c>
      <c r="J143" s="70">
        <v>-33.830000000000013</v>
      </c>
      <c r="K143" s="320"/>
      <c r="L143" s="178">
        <v>4.5999999999999996</v>
      </c>
      <c r="M143" s="178">
        <v>142.59</v>
      </c>
      <c r="N143" s="179">
        <v>0</v>
      </c>
      <c r="O143" s="178">
        <v>147.19</v>
      </c>
      <c r="P143" s="453"/>
      <c r="Q143" s="61"/>
      <c r="R143" s="298"/>
      <c r="S143" s="669"/>
      <c r="X143" s="444">
        <v>143</v>
      </c>
    </row>
    <row r="144" spans="1:32" ht="12">
      <c r="A144" s="83" t="s">
        <v>18659</v>
      </c>
      <c r="B144" s="64" t="s">
        <v>18660</v>
      </c>
      <c r="C144" s="71" t="s">
        <v>165</v>
      </c>
      <c r="D144" s="79">
        <v>1</v>
      </c>
      <c r="E144" s="79">
        <v>199.93</v>
      </c>
      <c r="F144" s="79">
        <v>199.93</v>
      </c>
      <c r="G144" s="445"/>
      <c r="H144" s="178">
        <v>199.93</v>
      </c>
      <c r="I144" s="178">
        <v>245.92</v>
      </c>
      <c r="J144" s="70">
        <v>-45.989999999999981</v>
      </c>
      <c r="K144" s="320"/>
      <c r="L144" s="178">
        <v>5.86</v>
      </c>
      <c r="M144" s="178">
        <v>194.07</v>
      </c>
      <c r="N144" s="179">
        <v>0</v>
      </c>
      <c r="O144" s="178">
        <v>199.93</v>
      </c>
      <c r="P144" s="453"/>
      <c r="Q144" s="61"/>
      <c r="R144" s="298"/>
      <c r="S144" s="669"/>
      <c r="X144" s="444">
        <v>144</v>
      </c>
    </row>
    <row r="145" spans="1:32" ht="12">
      <c r="A145" s="83" t="s">
        <v>18661</v>
      </c>
      <c r="B145" s="64" t="s">
        <v>18662</v>
      </c>
      <c r="C145" s="71" t="s">
        <v>165</v>
      </c>
      <c r="D145" s="79">
        <v>1</v>
      </c>
      <c r="E145" s="79">
        <v>262.84000000000003</v>
      </c>
      <c r="F145" s="79">
        <v>262.83999999999997</v>
      </c>
      <c r="G145" s="445"/>
      <c r="H145" s="178">
        <v>262.82</v>
      </c>
      <c r="I145" s="178">
        <v>323.27</v>
      </c>
      <c r="J145" s="70">
        <v>-60.42999999999995</v>
      </c>
      <c r="K145" s="320"/>
      <c r="L145" s="178">
        <v>7.75</v>
      </c>
      <c r="M145" s="178">
        <v>255.09000000000003</v>
      </c>
      <c r="N145" s="179">
        <v>0</v>
      </c>
      <c r="O145" s="178">
        <v>262.84000000000003</v>
      </c>
      <c r="P145" s="453"/>
      <c r="Q145" s="61"/>
      <c r="R145" s="298"/>
      <c r="S145" s="669"/>
      <c r="X145" s="444">
        <v>145</v>
      </c>
    </row>
    <row r="146" spans="1:32" ht="12">
      <c r="A146" s="83" t="s">
        <v>18663</v>
      </c>
      <c r="B146" s="65" t="s">
        <v>39530</v>
      </c>
      <c r="C146" s="71" t="s">
        <v>165</v>
      </c>
      <c r="D146" s="79">
        <v>1</v>
      </c>
      <c r="E146" s="79">
        <v>133.21</v>
      </c>
      <c r="F146" s="79">
        <v>133.21</v>
      </c>
      <c r="G146" s="320"/>
      <c r="H146" s="178">
        <v>133.19999999999999</v>
      </c>
      <c r="I146" s="178">
        <v>163.84</v>
      </c>
      <c r="J146" s="70">
        <v>-30.629999999999995</v>
      </c>
      <c r="K146" s="320"/>
      <c r="L146" s="178">
        <v>2.2400000000000002</v>
      </c>
      <c r="M146" s="178">
        <v>130.97</v>
      </c>
      <c r="N146" s="179">
        <v>0</v>
      </c>
      <c r="O146" s="178">
        <v>133.21</v>
      </c>
      <c r="P146" s="453"/>
      <c r="Q146" s="61"/>
      <c r="R146" s="298"/>
      <c r="S146" s="669"/>
      <c r="X146" s="444">
        <v>146</v>
      </c>
    </row>
    <row r="147" spans="1:32" ht="12">
      <c r="A147" s="83" t="s">
        <v>18664</v>
      </c>
      <c r="B147" s="65" t="s">
        <v>39531</v>
      </c>
      <c r="C147" s="71" t="s">
        <v>165</v>
      </c>
      <c r="D147" s="79">
        <v>1</v>
      </c>
      <c r="E147" s="79">
        <v>150.18</v>
      </c>
      <c r="F147" s="79">
        <v>150.18</v>
      </c>
      <c r="G147" s="320"/>
      <c r="H147" s="178">
        <v>150.16999999999999</v>
      </c>
      <c r="I147" s="178">
        <v>184.71</v>
      </c>
      <c r="J147" s="70">
        <v>-34.53</v>
      </c>
      <c r="K147" s="320"/>
      <c r="L147" s="178">
        <v>2.2400000000000002</v>
      </c>
      <c r="M147" s="178">
        <v>147.94</v>
      </c>
      <c r="N147" s="179">
        <v>0</v>
      </c>
      <c r="O147" s="178">
        <v>150.18</v>
      </c>
      <c r="P147" s="453"/>
      <c r="Q147" s="61"/>
      <c r="R147" s="298"/>
      <c r="S147" s="669"/>
      <c r="X147" s="444">
        <v>147</v>
      </c>
    </row>
    <row r="148" spans="1:32" ht="12">
      <c r="A148" s="83" t="s">
        <v>18665</v>
      </c>
      <c r="B148" s="65" t="s">
        <v>39532</v>
      </c>
      <c r="C148" s="71" t="s">
        <v>165</v>
      </c>
      <c r="D148" s="79">
        <v>1</v>
      </c>
      <c r="E148" s="79">
        <v>178.21</v>
      </c>
      <c r="F148" s="79">
        <v>178.21</v>
      </c>
      <c r="G148" s="320"/>
      <c r="H148" s="178">
        <v>178.2</v>
      </c>
      <c r="I148" s="178">
        <v>219.18</v>
      </c>
      <c r="J148" s="70">
        <v>-40.97</v>
      </c>
      <c r="K148" s="320"/>
      <c r="L148" s="178">
        <v>2.2400000000000002</v>
      </c>
      <c r="M148" s="178">
        <v>175.97</v>
      </c>
      <c r="N148" s="179">
        <v>0</v>
      </c>
      <c r="O148" s="178">
        <v>178.21</v>
      </c>
      <c r="P148" s="453"/>
      <c r="Q148" s="61"/>
      <c r="R148" s="298"/>
      <c r="S148" s="669"/>
      <c r="X148" s="444">
        <v>148</v>
      </c>
    </row>
    <row r="149" spans="1:32" ht="12">
      <c r="A149" s="83" t="s">
        <v>18666</v>
      </c>
      <c r="B149" s="65" t="s">
        <v>39533</v>
      </c>
      <c r="C149" s="71" t="s">
        <v>165</v>
      </c>
      <c r="D149" s="79">
        <v>1</v>
      </c>
      <c r="E149" s="79">
        <v>218.20000000000002</v>
      </c>
      <c r="F149" s="79">
        <v>218.2</v>
      </c>
      <c r="G149" s="320"/>
      <c r="H149" s="178">
        <v>218.19</v>
      </c>
      <c r="I149" s="178">
        <v>268.37</v>
      </c>
      <c r="J149" s="70">
        <v>-50.169999999999987</v>
      </c>
      <c r="K149" s="320"/>
      <c r="L149" s="178">
        <v>2.2400000000000002</v>
      </c>
      <c r="M149" s="178">
        <v>215.96</v>
      </c>
      <c r="N149" s="179">
        <v>0</v>
      </c>
      <c r="O149" s="178">
        <v>218.20000000000002</v>
      </c>
      <c r="P149" s="453"/>
      <c r="Q149" s="61"/>
      <c r="R149" s="298"/>
      <c r="S149" s="669"/>
      <c r="X149" s="444">
        <v>149</v>
      </c>
    </row>
    <row r="150" spans="1:32" ht="12">
      <c r="A150" s="83" t="s">
        <v>18667</v>
      </c>
      <c r="B150" s="65" t="s">
        <v>39534</v>
      </c>
      <c r="C150" s="71" t="s">
        <v>165</v>
      </c>
      <c r="D150" s="79">
        <v>1</v>
      </c>
      <c r="E150" s="79">
        <v>257.62</v>
      </c>
      <c r="F150" s="79">
        <v>257.62</v>
      </c>
      <c r="G150" s="320"/>
      <c r="H150" s="178">
        <v>257.61</v>
      </c>
      <c r="I150" s="178">
        <v>316.86</v>
      </c>
      <c r="J150" s="70">
        <v>-59.240000000000009</v>
      </c>
      <c r="K150" s="320"/>
      <c r="L150" s="178">
        <v>2.2400000000000002</v>
      </c>
      <c r="M150" s="178">
        <v>255.38</v>
      </c>
      <c r="N150" s="179">
        <v>0</v>
      </c>
      <c r="O150" s="178">
        <v>257.62</v>
      </c>
      <c r="P150" s="453"/>
      <c r="Q150" s="61"/>
      <c r="R150" s="298"/>
      <c r="S150" s="669"/>
      <c r="X150" s="444">
        <v>150</v>
      </c>
    </row>
    <row r="151" spans="1:32" ht="12">
      <c r="A151" s="83" t="s">
        <v>18668</v>
      </c>
      <c r="B151" s="65" t="s">
        <v>18669</v>
      </c>
      <c r="C151" s="71" t="s">
        <v>165</v>
      </c>
      <c r="D151" s="79">
        <v>1</v>
      </c>
      <c r="E151" s="79">
        <v>323.7</v>
      </c>
      <c r="F151" s="79">
        <v>323.7</v>
      </c>
      <c r="G151" s="320"/>
      <c r="H151" s="178">
        <v>323.68</v>
      </c>
      <c r="I151" s="178">
        <v>398.13</v>
      </c>
      <c r="J151" s="70">
        <v>-74.430000000000007</v>
      </c>
      <c r="K151" s="320"/>
      <c r="L151" s="178">
        <v>5.82</v>
      </c>
      <c r="M151" s="178">
        <v>317.88</v>
      </c>
      <c r="N151" s="179">
        <v>0</v>
      </c>
      <c r="O151" s="178">
        <v>323.7</v>
      </c>
      <c r="P151" s="453"/>
      <c r="Q151" s="61"/>
      <c r="R151" s="298"/>
      <c r="S151" s="669"/>
      <c r="X151" s="444">
        <v>151</v>
      </c>
    </row>
    <row r="152" spans="1:32" ht="12">
      <c r="A152" s="83" t="s">
        <v>18670</v>
      </c>
      <c r="B152" s="65" t="s">
        <v>18671</v>
      </c>
      <c r="C152" s="71" t="s">
        <v>165</v>
      </c>
      <c r="D152" s="79">
        <v>1</v>
      </c>
      <c r="E152" s="79">
        <v>331.57</v>
      </c>
      <c r="F152" s="79">
        <v>331.57</v>
      </c>
      <c r="G152" s="320"/>
      <c r="H152" s="178">
        <v>331.55</v>
      </c>
      <c r="I152" s="178">
        <v>407.81</v>
      </c>
      <c r="J152" s="70">
        <v>-76.240000000000009</v>
      </c>
      <c r="K152" s="320"/>
      <c r="L152" s="178">
        <v>5.82</v>
      </c>
      <c r="M152" s="178">
        <v>325.75</v>
      </c>
      <c r="N152" s="179">
        <v>0</v>
      </c>
      <c r="O152" s="178">
        <v>331.57</v>
      </c>
      <c r="P152" s="453"/>
      <c r="Q152" s="61"/>
      <c r="R152" s="298"/>
      <c r="S152" s="669"/>
      <c r="X152" s="444">
        <v>152</v>
      </c>
    </row>
    <row r="153" spans="1:32" ht="12">
      <c r="A153" s="83" t="s">
        <v>18672</v>
      </c>
      <c r="B153" s="65" t="s">
        <v>18673</v>
      </c>
      <c r="C153" s="71" t="s">
        <v>165</v>
      </c>
      <c r="D153" s="79">
        <v>1</v>
      </c>
      <c r="E153" s="79">
        <v>351.15000000000003</v>
      </c>
      <c r="F153" s="79">
        <v>351.15</v>
      </c>
      <c r="G153" s="320"/>
      <c r="H153" s="178">
        <v>351.15</v>
      </c>
      <c r="I153" s="178">
        <v>431.91</v>
      </c>
      <c r="J153" s="70">
        <v>-80.759999999999991</v>
      </c>
      <c r="K153" s="320"/>
      <c r="L153" s="178">
        <v>6.7</v>
      </c>
      <c r="M153" s="178">
        <v>344.45000000000005</v>
      </c>
      <c r="N153" s="179">
        <v>0</v>
      </c>
      <c r="O153" s="178">
        <v>351.15000000000003</v>
      </c>
      <c r="P153" s="453"/>
      <c r="Q153" s="61"/>
      <c r="R153" s="298"/>
      <c r="S153" s="669"/>
      <c r="X153" s="444">
        <v>153</v>
      </c>
    </row>
    <row r="154" spans="1:32" ht="12">
      <c r="A154" s="83" t="s">
        <v>18674</v>
      </c>
      <c r="B154" s="65" t="s">
        <v>18675</v>
      </c>
      <c r="C154" s="71" t="s">
        <v>165</v>
      </c>
      <c r="D154" s="79">
        <v>1</v>
      </c>
      <c r="E154" s="79">
        <v>402.52</v>
      </c>
      <c r="F154" s="79">
        <v>402.52</v>
      </c>
      <c r="G154" s="320"/>
      <c r="H154" s="178">
        <v>402.51</v>
      </c>
      <c r="I154" s="178">
        <v>495.09</v>
      </c>
      <c r="J154" s="70">
        <v>-92.57</v>
      </c>
      <c r="K154" s="320"/>
      <c r="L154" s="178">
        <v>6.7</v>
      </c>
      <c r="M154" s="178">
        <v>395.82</v>
      </c>
      <c r="N154" s="179">
        <v>0</v>
      </c>
      <c r="O154" s="178">
        <v>402.52</v>
      </c>
      <c r="P154" s="453"/>
      <c r="Q154" s="61"/>
      <c r="R154" s="298"/>
      <c r="S154" s="669"/>
      <c r="X154" s="444">
        <v>154</v>
      </c>
    </row>
    <row r="155" spans="1:32" ht="12">
      <c r="A155" s="83" t="s">
        <v>18676</v>
      </c>
      <c r="B155" s="65" t="s">
        <v>18677</v>
      </c>
      <c r="C155" s="71" t="s">
        <v>165</v>
      </c>
      <c r="D155" s="79">
        <v>1</v>
      </c>
      <c r="E155" s="79">
        <v>500.15999999999997</v>
      </c>
      <c r="F155" s="79">
        <v>500.16</v>
      </c>
      <c r="G155" s="320"/>
      <c r="H155" s="178">
        <v>500.15</v>
      </c>
      <c r="I155" s="178">
        <v>615.19000000000005</v>
      </c>
      <c r="J155" s="70">
        <v>-115.03000000000009</v>
      </c>
      <c r="K155" s="320"/>
      <c r="L155" s="178">
        <v>7.59</v>
      </c>
      <c r="M155" s="178">
        <v>492.57</v>
      </c>
      <c r="N155" s="179">
        <v>0</v>
      </c>
      <c r="O155" s="178">
        <v>500.15999999999997</v>
      </c>
      <c r="P155" s="453"/>
      <c r="Q155" s="61"/>
      <c r="R155" s="298"/>
      <c r="S155" s="669"/>
      <c r="X155" s="444">
        <v>155</v>
      </c>
    </row>
    <row r="156" spans="1:32" ht="12">
      <c r="A156" s="83" t="s">
        <v>18678</v>
      </c>
      <c r="B156" s="65" t="s">
        <v>18679</v>
      </c>
      <c r="C156" s="71" t="s">
        <v>165</v>
      </c>
      <c r="D156" s="79">
        <v>1</v>
      </c>
      <c r="E156" s="79">
        <v>621.19000000000005</v>
      </c>
      <c r="F156" s="79">
        <v>621.19000000000005</v>
      </c>
      <c r="G156" s="320"/>
      <c r="H156" s="178">
        <v>621.20000000000005</v>
      </c>
      <c r="I156" s="178">
        <v>764.07</v>
      </c>
      <c r="J156" s="70">
        <v>-142.88</v>
      </c>
      <c r="K156" s="320"/>
      <c r="L156" s="178">
        <v>8.92</v>
      </c>
      <c r="M156" s="178">
        <v>612.2700000000001</v>
      </c>
      <c r="N156" s="179">
        <v>0</v>
      </c>
      <c r="O156" s="178">
        <v>621.19000000000005</v>
      </c>
      <c r="P156" s="453"/>
      <c r="Q156" s="61"/>
      <c r="R156" s="298"/>
      <c r="S156" s="669"/>
      <c r="X156" s="444">
        <v>156</v>
      </c>
    </row>
    <row r="157" spans="1:32" ht="12">
      <c r="A157" s="83" t="s">
        <v>10843</v>
      </c>
      <c r="B157" s="64" t="s">
        <v>39535</v>
      </c>
      <c r="C157" s="71"/>
      <c r="D157" s="79" t="s">
        <v>40899</v>
      </c>
      <c r="E157" s="79" t="s">
        <v>40899</v>
      </c>
      <c r="F157" s="79"/>
      <c r="G157" s="445"/>
      <c r="H157" s="178"/>
      <c r="I157" s="178"/>
      <c r="J157" s="70"/>
      <c r="K157" s="320"/>
      <c r="L157" s="178"/>
      <c r="M157" s="178"/>
      <c r="N157" s="179"/>
      <c r="O157" s="178"/>
      <c r="P157" s="453"/>
      <c r="Q157" s="61"/>
      <c r="R157" s="298"/>
      <c r="S157" s="669"/>
      <c r="X157" s="444">
        <v>157</v>
      </c>
    </row>
    <row r="158" spans="1:32" ht="12">
      <c r="A158" s="83" t="s">
        <v>18680</v>
      </c>
      <c r="B158" s="64" t="s">
        <v>18681</v>
      </c>
      <c r="C158" s="71" t="s">
        <v>509</v>
      </c>
      <c r="D158" s="79">
        <v>1</v>
      </c>
      <c r="E158" s="79">
        <v>95.919999999999987</v>
      </c>
      <c r="F158" s="79">
        <v>95.92</v>
      </c>
      <c r="G158" s="445"/>
      <c r="H158" s="178">
        <v>95.91</v>
      </c>
      <c r="I158" s="178">
        <v>117.97</v>
      </c>
      <c r="J158" s="70">
        <v>-22.050000000000011</v>
      </c>
      <c r="K158" s="320"/>
      <c r="L158" s="178">
        <v>56.41</v>
      </c>
      <c r="M158" s="178">
        <v>39.509999999999991</v>
      </c>
      <c r="N158" s="179">
        <v>0</v>
      </c>
      <c r="O158" s="178">
        <v>95.919999999999987</v>
      </c>
      <c r="P158" s="453"/>
      <c r="Q158" s="61"/>
      <c r="R158" s="298"/>
      <c r="S158" s="669"/>
      <c r="X158" s="444">
        <v>158</v>
      </c>
    </row>
    <row r="159" spans="1:32" s="69" customFormat="1" ht="12">
      <c r="A159" s="83" t="s">
        <v>18682</v>
      </c>
      <c r="B159" s="64" t="s">
        <v>18683</v>
      </c>
      <c r="C159" s="71" t="s">
        <v>10216</v>
      </c>
      <c r="D159" s="79">
        <v>1</v>
      </c>
      <c r="E159" s="79">
        <v>577.26</v>
      </c>
      <c r="F159" s="79">
        <v>577.26</v>
      </c>
      <c r="G159" s="445"/>
      <c r="H159" s="178">
        <v>577.25</v>
      </c>
      <c r="I159" s="178">
        <v>710.02</v>
      </c>
      <c r="J159" s="70">
        <v>-132.76</v>
      </c>
      <c r="K159" s="320"/>
      <c r="L159" s="178"/>
      <c r="M159" s="178">
        <v>577.26</v>
      </c>
      <c r="N159" s="179">
        <v>0</v>
      </c>
      <c r="O159" s="178">
        <v>577.26</v>
      </c>
      <c r="P159" s="453"/>
      <c r="Q159" s="61"/>
      <c r="R159" s="298"/>
      <c r="S159" s="669"/>
      <c r="T159" s="444"/>
      <c r="U159" s="444"/>
      <c r="V159" s="444"/>
      <c r="W159" s="444"/>
      <c r="X159" s="444">
        <v>159</v>
      </c>
      <c r="Y159" s="444"/>
      <c r="Z159" s="444"/>
      <c r="AA159" s="444"/>
      <c r="AB159" s="444"/>
      <c r="AC159" s="444"/>
      <c r="AD159" s="444"/>
      <c r="AE159" s="444"/>
      <c r="AF159" s="444"/>
    </row>
    <row r="160" spans="1:32" ht="12">
      <c r="A160" s="83" t="s">
        <v>39536</v>
      </c>
      <c r="B160" s="64" t="s">
        <v>39537</v>
      </c>
      <c r="C160" s="71"/>
      <c r="D160" s="79" t="s">
        <v>40899</v>
      </c>
      <c r="E160" s="79" t="s">
        <v>40899</v>
      </c>
      <c r="F160" s="79"/>
      <c r="G160" s="445"/>
      <c r="H160" s="178"/>
      <c r="I160" s="178"/>
      <c r="J160" s="70"/>
      <c r="K160" s="320"/>
      <c r="L160" s="178"/>
      <c r="M160" s="178"/>
      <c r="N160" s="179"/>
      <c r="O160" s="178"/>
      <c r="P160" s="453"/>
      <c r="Q160" s="61"/>
      <c r="R160" s="298"/>
      <c r="S160" s="669"/>
      <c r="X160" s="444">
        <v>160</v>
      </c>
    </row>
    <row r="161" spans="1:32" ht="12">
      <c r="A161" s="83" t="s">
        <v>18684</v>
      </c>
      <c r="B161" s="64" t="s">
        <v>18685</v>
      </c>
      <c r="C161" s="71" t="s">
        <v>207</v>
      </c>
      <c r="D161" s="79">
        <v>1</v>
      </c>
      <c r="E161" s="79">
        <v>12.69</v>
      </c>
      <c r="F161" s="79">
        <v>12.69</v>
      </c>
      <c r="G161" s="445"/>
      <c r="H161" s="178">
        <v>12.67</v>
      </c>
      <c r="I161" s="178">
        <v>15.59</v>
      </c>
      <c r="J161" s="70">
        <v>-2.9000000000000004</v>
      </c>
      <c r="K161" s="320"/>
      <c r="L161" s="178">
        <v>5.2799999999999994</v>
      </c>
      <c r="M161" s="178">
        <v>7.41</v>
      </c>
      <c r="N161" s="179">
        <v>0</v>
      </c>
      <c r="O161" s="178">
        <v>12.69</v>
      </c>
      <c r="P161" s="453"/>
      <c r="Q161" s="61"/>
      <c r="R161" s="298"/>
      <c r="S161" s="669"/>
      <c r="U161" s="69"/>
      <c r="V161" s="69"/>
      <c r="W161" s="69"/>
      <c r="X161" s="444">
        <v>161</v>
      </c>
      <c r="Y161" s="69"/>
      <c r="Z161" s="69"/>
      <c r="AA161" s="69"/>
      <c r="AB161" s="69"/>
      <c r="AC161" s="69"/>
      <c r="AD161" s="69"/>
      <c r="AE161" s="69"/>
      <c r="AF161" s="69"/>
    </row>
    <row r="162" spans="1:32" ht="12">
      <c r="A162" s="83" t="s">
        <v>18686</v>
      </c>
      <c r="B162" s="64" t="s">
        <v>18601</v>
      </c>
      <c r="C162" s="71" t="s">
        <v>207</v>
      </c>
      <c r="D162" s="79">
        <v>1</v>
      </c>
      <c r="E162" s="79">
        <v>13.37</v>
      </c>
      <c r="F162" s="79">
        <v>13.37</v>
      </c>
      <c r="G162" s="445"/>
      <c r="H162" s="178">
        <v>13.35</v>
      </c>
      <c r="I162" s="178">
        <v>16.420000000000002</v>
      </c>
      <c r="J162" s="70">
        <v>-3.0500000000000025</v>
      </c>
      <c r="K162" s="320"/>
      <c r="L162" s="178">
        <v>5.2799999999999994</v>
      </c>
      <c r="M162" s="178">
        <v>8.09</v>
      </c>
      <c r="N162" s="179">
        <v>0</v>
      </c>
      <c r="O162" s="178">
        <v>13.37</v>
      </c>
      <c r="P162" s="453"/>
      <c r="Q162" s="61"/>
      <c r="R162" s="298"/>
      <c r="S162" s="669"/>
      <c r="U162" s="69"/>
      <c r="V162" s="69"/>
      <c r="W162" s="69"/>
      <c r="X162" s="444">
        <v>162</v>
      </c>
      <c r="Y162" s="69"/>
      <c r="Z162" s="69"/>
      <c r="AA162" s="69"/>
      <c r="AB162" s="69"/>
      <c r="AC162" s="69"/>
      <c r="AD162" s="69"/>
      <c r="AE162" s="69"/>
      <c r="AF162" s="69"/>
    </row>
    <row r="163" spans="1:32">
      <c r="A163" s="67" t="s">
        <v>29543</v>
      </c>
      <c r="B163" s="67" t="s">
        <v>29544</v>
      </c>
      <c r="C163" s="71" t="s">
        <v>207</v>
      </c>
      <c r="D163" s="79">
        <v>1</v>
      </c>
      <c r="E163" s="79">
        <v>35.880000000000003</v>
      </c>
      <c r="F163" s="79">
        <v>35.880000000000003</v>
      </c>
      <c r="H163" s="178">
        <v>35.86</v>
      </c>
      <c r="I163" s="178">
        <v>44.11</v>
      </c>
      <c r="J163" s="70">
        <v>-8.2299999999999969</v>
      </c>
      <c r="K163" s="320"/>
      <c r="L163" s="178">
        <v>5.2799999999999994</v>
      </c>
      <c r="M163" s="178">
        <v>30.6</v>
      </c>
      <c r="N163" s="179">
        <v>0</v>
      </c>
      <c r="O163" s="178">
        <v>35.880000000000003</v>
      </c>
      <c r="Q163" s="61"/>
      <c r="R163" s="298"/>
      <c r="S163" s="669"/>
      <c r="X163" s="444">
        <v>163</v>
      </c>
    </row>
    <row r="164" spans="1:32" ht="12">
      <c r="A164" s="83" t="s">
        <v>18687</v>
      </c>
      <c r="B164" s="64" t="s">
        <v>18688</v>
      </c>
      <c r="C164" s="71" t="s">
        <v>207</v>
      </c>
      <c r="D164" s="79">
        <v>1</v>
      </c>
      <c r="E164" s="79">
        <v>9.84</v>
      </c>
      <c r="F164" s="79">
        <v>9.84</v>
      </c>
      <c r="G164" s="445"/>
      <c r="H164" s="178">
        <v>9.84</v>
      </c>
      <c r="I164" s="178">
        <v>12.1</v>
      </c>
      <c r="J164" s="70">
        <v>-2.2599999999999998</v>
      </c>
      <c r="K164" s="320"/>
      <c r="L164" s="178">
        <v>1.58</v>
      </c>
      <c r="M164" s="178">
        <v>8.26</v>
      </c>
      <c r="N164" s="179">
        <v>0</v>
      </c>
      <c r="O164" s="178">
        <v>9.84</v>
      </c>
      <c r="P164" s="453"/>
      <c r="Q164" s="61"/>
      <c r="R164" s="298"/>
      <c r="S164" s="669"/>
      <c r="X164" s="444">
        <v>164</v>
      </c>
    </row>
    <row r="165" spans="1:32">
      <c r="A165" s="67" t="s">
        <v>29545</v>
      </c>
      <c r="B165" s="67" t="s">
        <v>39538</v>
      </c>
      <c r="C165" s="71" t="s">
        <v>509</v>
      </c>
      <c r="D165" s="79">
        <v>1</v>
      </c>
      <c r="E165" s="79">
        <v>15.549999999999999</v>
      </c>
      <c r="F165" s="79">
        <v>15.55</v>
      </c>
      <c r="H165" s="178">
        <v>15.54</v>
      </c>
      <c r="I165" s="178">
        <v>19.12</v>
      </c>
      <c r="J165" s="70">
        <v>-3.5700000000000021</v>
      </c>
      <c r="K165" s="320"/>
      <c r="L165" s="178">
        <v>2.11</v>
      </c>
      <c r="M165" s="178">
        <v>13.44</v>
      </c>
      <c r="N165" s="179">
        <v>0</v>
      </c>
      <c r="O165" s="178">
        <v>15.549999999999999</v>
      </c>
      <c r="Q165" s="61"/>
      <c r="R165" s="298"/>
      <c r="S165" s="669"/>
      <c r="X165" s="444">
        <v>165</v>
      </c>
    </row>
    <row r="166" spans="1:32">
      <c r="A166" s="67" t="s">
        <v>29546</v>
      </c>
      <c r="B166" s="67" t="s">
        <v>39539</v>
      </c>
      <c r="C166" s="71" t="s">
        <v>509</v>
      </c>
      <c r="D166" s="79">
        <v>1</v>
      </c>
      <c r="E166" s="79">
        <v>20.52</v>
      </c>
      <c r="F166" s="79">
        <v>20.52</v>
      </c>
      <c r="H166" s="178">
        <v>20.51</v>
      </c>
      <c r="I166" s="178">
        <v>25.23</v>
      </c>
      <c r="J166" s="70">
        <v>-4.7100000000000009</v>
      </c>
      <c r="K166" s="320"/>
      <c r="L166" s="178">
        <v>2.11</v>
      </c>
      <c r="M166" s="178">
        <v>18.41</v>
      </c>
      <c r="N166" s="179">
        <v>0</v>
      </c>
      <c r="O166" s="178">
        <v>20.52</v>
      </c>
      <c r="Q166" s="61"/>
      <c r="R166" s="298"/>
      <c r="S166" s="669"/>
      <c r="X166" s="444">
        <v>166</v>
      </c>
    </row>
    <row r="167" spans="1:32">
      <c r="A167" s="67" t="s">
        <v>29547</v>
      </c>
      <c r="B167" s="67" t="s">
        <v>39540</v>
      </c>
      <c r="C167" s="71" t="s">
        <v>509</v>
      </c>
      <c r="D167" s="79">
        <v>1</v>
      </c>
      <c r="E167" s="79">
        <v>29.74</v>
      </c>
      <c r="F167" s="79">
        <v>29.74</v>
      </c>
      <c r="H167" s="178">
        <v>29.74</v>
      </c>
      <c r="I167" s="178">
        <v>36.58</v>
      </c>
      <c r="J167" s="70">
        <v>-6.84</v>
      </c>
      <c r="K167" s="320"/>
      <c r="L167" s="178">
        <v>2.11</v>
      </c>
      <c r="M167" s="178">
        <v>27.63</v>
      </c>
      <c r="N167" s="179">
        <v>0</v>
      </c>
      <c r="O167" s="178">
        <v>29.74</v>
      </c>
      <c r="Q167" s="61"/>
      <c r="R167" s="298"/>
      <c r="S167" s="669"/>
      <c r="X167" s="444">
        <v>167</v>
      </c>
    </row>
    <row r="168" spans="1:32">
      <c r="A168" s="67" t="s">
        <v>29548</v>
      </c>
      <c r="B168" s="67" t="s">
        <v>39541</v>
      </c>
      <c r="C168" s="71" t="s">
        <v>509</v>
      </c>
      <c r="D168" s="79">
        <v>1</v>
      </c>
      <c r="E168" s="79">
        <v>48.9</v>
      </c>
      <c r="F168" s="79">
        <v>48.9</v>
      </c>
      <c r="H168" s="178">
        <v>48.89</v>
      </c>
      <c r="I168" s="178">
        <v>60.14</v>
      </c>
      <c r="J168" s="70">
        <v>-11.240000000000002</v>
      </c>
      <c r="K168" s="320"/>
      <c r="L168" s="178">
        <v>2.11</v>
      </c>
      <c r="M168" s="178">
        <v>46.79</v>
      </c>
      <c r="N168" s="179">
        <v>0</v>
      </c>
      <c r="O168" s="178">
        <v>48.9</v>
      </c>
      <c r="Q168" s="61"/>
      <c r="R168" s="298"/>
      <c r="S168" s="669"/>
      <c r="X168" s="444">
        <v>168</v>
      </c>
    </row>
    <row r="169" spans="1:32" ht="12">
      <c r="A169" s="83" t="s">
        <v>18689</v>
      </c>
      <c r="B169" s="64" t="s">
        <v>18690</v>
      </c>
      <c r="C169" s="71" t="s">
        <v>10216</v>
      </c>
      <c r="D169" s="79">
        <v>1</v>
      </c>
      <c r="E169" s="79">
        <v>577.26</v>
      </c>
      <c r="F169" s="79">
        <v>577.26</v>
      </c>
      <c r="G169" s="445"/>
      <c r="H169" s="178">
        <v>577.25</v>
      </c>
      <c r="I169" s="178">
        <v>710.02</v>
      </c>
      <c r="J169" s="70">
        <v>-132.76</v>
      </c>
      <c r="K169" s="320"/>
      <c r="L169" s="178"/>
      <c r="M169" s="178">
        <v>577.26</v>
      </c>
      <c r="N169" s="179">
        <v>0</v>
      </c>
      <c r="O169" s="178">
        <v>577.26</v>
      </c>
      <c r="P169" s="453"/>
      <c r="Q169" s="61"/>
      <c r="R169" s="298"/>
      <c r="S169" s="669"/>
      <c r="X169" s="444">
        <v>169</v>
      </c>
    </row>
    <row r="170" spans="1:32" ht="12">
      <c r="A170" s="83" t="s">
        <v>10866</v>
      </c>
      <c r="B170" s="64" t="s">
        <v>39542</v>
      </c>
      <c r="C170" s="71"/>
      <c r="D170" s="79" t="s">
        <v>40899</v>
      </c>
      <c r="E170" s="79" t="s">
        <v>40899</v>
      </c>
      <c r="F170" s="79"/>
      <c r="G170" s="445"/>
      <c r="H170" s="178"/>
      <c r="I170" s="178"/>
      <c r="J170" s="70"/>
      <c r="K170" s="320"/>
      <c r="L170" s="178"/>
      <c r="M170" s="178"/>
      <c r="N170" s="179"/>
      <c r="O170" s="178"/>
      <c r="P170" s="453"/>
      <c r="Q170" s="61"/>
      <c r="R170" s="298"/>
      <c r="S170" s="669"/>
      <c r="X170" s="444">
        <v>170</v>
      </c>
    </row>
    <row r="171" spans="1:32" ht="12">
      <c r="A171" s="83" t="s">
        <v>18691</v>
      </c>
      <c r="B171" s="64" t="s">
        <v>18692</v>
      </c>
      <c r="C171" s="71" t="s">
        <v>121</v>
      </c>
      <c r="D171" s="79">
        <v>1</v>
      </c>
      <c r="E171" s="79">
        <v>559.6</v>
      </c>
      <c r="F171" s="79">
        <v>559.6</v>
      </c>
      <c r="G171" s="445"/>
      <c r="H171" s="178">
        <v>559.6</v>
      </c>
      <c r="I171" s="178">
        <v>688.31</v>
      </c>
      <c r="J171" s="70">
        <v>-128.70999999999992</v>
      </c>
      <c r="K171" s="320"/>
      <c r="L171" s="178">
        <v>80.050000000000011</v>
      </c>
      <c r="M171" s="178">
        <v>479.55</v>
      </c>
      <c r="N171" s="179">
        <v>0</v>
      </c>
      <c r="O171" s="178">
        <v>559.6</v>
      </c>
      <c r="P171" s="453"/>
      <c r="Q171" s="61"/>
      <c r="R171" s="298"/>
      <c r="S171" s="669"/>
      <c r="X171" s="444">
        <v>171</v>
      </c>
    </row>
    <row r="172" spans="1:32" ht="12">
      <c r="A172" s="83" t="s">
        <v>18693</v>
      </c>
      <c r="B172" s="64" t="s">
        <v>18694</v>
      </c>
      <c r="C172" s="71" t="s">
        <v>121</v>
      </c>
      <c r="D172" s="79">
        <v>1</v>
      </c>
      <c r="E172" s="79">
        <v>583.89</v>
      </c>
      <c r="F172" s="79">
        <v>583.89</v>
      </c>
      <c r="G172" s="445"/>
      <c r="H172" s="178">
        <v>583.9</v>
      </c>
      <c r="I172" s="178">
        <v>718.2</v>
      </c>
      <c r="J172" s="70">
        <v>-134.31000000000006</v>
      </c>
      <c r="K172" s="320"/>
      <c r="L172" s="178">
        <v>80.050000000000011</v>
      </c>
      <c r="M172" s="178">
        <v>503.84</v>
      </c>
      <c r="N172" s="179">
        <v>0</v>
      </c>
      <c r="O172" s="178">
        <v>583.89</v>
      </c>
      <c r="P172" s="453"/>
      <c r="Q172" s="61"/>
      <c r="R172" s="298"/>
      <c r="S172" s="669"/>
      <c r="X172" s="444">
        <v>172</v>
      </c>
    </row>
    <row r="173" spans="1:32" ht="12">
      <c r="A173" s="83" t="s">
        <v>18695</v>
      </c>
      <c r="B173" s="64" t="s">
        <v>18696</v>
      </c>
      <c r="C173" s="71" t="s">
        <v>121</v>
      </c>
      <c r="D173" s="79">
        <v>1</v>
      </c>
      <c r="E173" s="79">
        <v>606.45999999999992</v>
      </c>
      <c r="F173" s="79">
        <v>606.46</v>
      </c>
      <c r="G173" s="445"/>
      <c r="H173" s="178">
        <v>606.46</v>
      </c>
      <c r="I173" s="178">
        <v>745.95</v>
      </c>
      <c r="J173" s="70">
        <v>-139.49000000000012</v>
      </c>
      <c r="K173" s="320"/>
      <c r="L173" s="178">
        <v>80.050000000000011</v>
      </c>
      <c r="M173" s="178">
        <v>526.40999999999985</v>
      </c>
      <c r="N173" s="179">
        <v>0</v>
      </c>
      <c r="O173" s="178">
        <v>606.45999999999981</v>
      </c>
      <c r="P173" s="453"/>
      <c r="Q173" s="61"/>
      <c r="R173" s="298"/>
      <c r="S173" s="669"/>
      <c r="X173" s="444">
        <v>173</v>
      </c>
    </row>
    <row r="174" spans="1:32" ht="12">
      <c r="A174" s="83" t="s">
        <v>18697</v>
      </c>
      <c r="B174" s="64" t="s">
        <v>18698</v>
      </c>
      <c r="C174" s="71" t="s">
        <v>121</v>
      </c>
      <c r="D174" s="79">
        <v>1</v>
      </c>
      <c r="E174" s="79">
        <v>597.32999999999993</v>
      </c>
      <c r="F174" s="79">
        <v>597.33000000000004</v>
      </c>
      <c r="G174" s="445"/>
      <c r="H174" s="178">
        <v>597.33000000000004</v>
      </c>
      <c r="I174" s="178">
        <v>734.71</v>
      </c>
      <c r="J174" s="70">
        <v>-137.38000000000011</v>
      </c>
      <c r="K174" s="320"/>
      <c r="L174" s="178">
        <v>49.42</v>
      </c>
      <c r="M174" s="178">
        <v>547.91</v>
      </c>
      <c r="N174" s="179">
        <v>0</v>
      </c>
      <c r="O174" s="178">
        <v>597.32999999999993</v>
      </c>
      <c r="P174" s="453"/>
      <c r="Q174" s="61"/>
      <c r="R174" s="298"/>
      <c r="S174" s="669"/>
      <c r="X174" s="444">
        <v>174</v>
      </c>
    </row>
    <row r="175" spans="1:32" ht="12">
      <c r="A175" s="83" t="s">
        <v>18699</v>
      </c>
      <c r="B175" s="64" t="s">
        <v>18700</v>
      </c>
      <c r="C175" s="71" t="s">
        <v>121</v>
      </c>
      <c r="D175" s="79">
        <v>1</v>
      </c>
      <c r="E175" s="79">
        <v>618.23</v>
      </c>
      <c r="F175" s="79">
        <v>618.23</v>
      </c>
      <c r="G175" s="445"/>
      <c r="H175" s="178">
        <v>618.22</v>
      </c>
      <c r="I175" s="178">
        <v>760.41</v>
      </c>
      <c r="J175" s="70">
        <v>-142.17999999999995</v>
      </c>
      <c r="K175" s="320"/>
      <c r="L175" s="178">
        <v>49.42</v>
      </c>
      <c r="M175" s="178">
        <v>568.81000000000006</v>
      </c>
      <c r="N175" s="179">
        <v>0</v>
      </c>
      <c r="O175" s="178">
        <v>618.23</v>
      </c>
      <c r="P175" s="453"/>
      <c r="Q175" s="61"/>
      <c r="R175" s="298"/>
      <c r="S175" s="669"/>
      <c r="X175" s="444">
        <v>175</v>
      </c>
    </row>
    <row r="176" spans="1:32" ht="12">
      <c r="A176" s="83" t="s">
        <v>18701</v>
      </c>
      <c r="B176" s="64" t="s">
        <v>18702</v>
      </c>
      <c r="C176" s="71" t="s">
        <v>121</v>
      </c>
      <c r="D176" s="79">
        <v>1</v>
      </c>
      <c r="E176" s="79">
        <v>642.27</v>
      </c>
      <c r="F176" s="79">
        <v>642.27</v>
      </c>
      <c r="G176" s="445"/>
      <c r="H176" s="178">
        <v>642.27</v>
      </c>
      <c r="I176" s="178">
        <v>789.99</v>
      </c>
      <c r="J176" s="70">
        <v>-147.72000000000003</v>
      </c>
      <c r="K176" s="320"/>
      <c r="L176" s="178">
        <v>49.42</v>
      </c>
      <c r="M176" s="178">
        <v>592.85</v>
      </c>
      <c r="N176" s="179">
        <v>0</v>
      </c>
      <c r="O176" s="178">
        <v>642.27</v>
      </c>
      <c r="P176" s="453"/>
      <c r="Q176" s="61"/>
      <c r="R176" s="298"/>
      <c r="S176" s="669"/>
      <c r="X176" s="444">
        <v>176</v>
      </c>
    </row>
    <row r="177" spans="1:32" ht="12">
      <c r="A177" s="83" t="s">
        <v>18703</v>
      </c>
      <c r="B177" s="64" t="s">
        <v>18704</v>
      </c>
      <c r="C177" s="71" t="s">
        <v>121</v>
      </c>
      <c r="D177" s="79">
        <v>1</v>
      </c>
      <c r="E177" s="79">
        <v>597.71</v>
      </c>
      <c r="F177" s="79">
        <v>597.71</v>
      </c>
      <c r="G177" s="445"/>
      <c r="H177" s="178">
        <v>597.72</v>
      </c>
      <c r="I177" s="178">
        <v>735.19</v>
      </c>
      <c r="J177" s="70">
        <v>-137.48000000000002</v>
      </c>
      <c r="K177" s="320"/>
      <c r="L177" s="178">
        <v>214.05</v>
      </c>
      <c r="M177" s="178">
        <v>383.66</v>
      </c>
      <c r="N177" s="179">
        <v>0</v>
      </c>
      <c r="O177" s="178">
        <v>597.71</v>
      </c>
      <c r="P177" s="453"/>
      <c r="Q177" s="61"/>
      <c r="R177" s="298"/>
      <c r="S177" s="669"/>
      <c r="X177" s="444">
        <v>177</v>
      </c>
    </row>
    <row r="178" spans="1:32" ht="12">
      <c r="A178" s="83" t="s">
        <v>18705</v>
      </c>
      <c r="B178" s="64" t="s">
        <v>18706</v>
      </c>
      <c r="C178" s="71" t="s">
        <v>121</v>
      </c>
      <c r="D178" s="79">
        <v>1</v>
      </c>
      <c r="E178" s="79">
        <v>6092.29</v>
      </c>
      <c r="F178" s="79">
        <v>6092.29</v>
      </c>
      <c r="G178" s="445"/>
      <c r="H178" s="178">
        <v>6092.28</v>
      </c>
      <c r="I178" s="178">
        <v>7493.51</v>
      </c>
      <c r="J178" s="70">
        <v>-1401.2200000000003</v>
      </c>
      <c r="K178" s="320"/>
      <c r="L178" s="178"/>
      <c r="M178" s="178">
        <v>6092.29</v>
      </c>
      <c r="N178" s="179">
        <v>0</v>
      </c>
      <c r="O178" s="178">
        <v>6092.29</v>
      </c>
      <c r="P178" s="453"/>
      <c r="Q178" s="61"/>
      <c r="R178" s="298"/>
      <c r="S178" s="669"/>
      <c r="X178" s="444">
        <v>178</v>
      </c>
    </row>
    <row r="179" spans="1:32" ht="12">
      <c r="A179" s="83" t="s">
        <v>18707</v>
      </c>
      <c r="B179" s="64" t="s">
        <v>18708</v>
      </c>
      <c r="C179" s="71" t="s">
        <v>10216</v>
      </c>
      <c r="D179" s="79">
        <v>1</v>
      </c>
      <c r="E179" s="79">
        <v>577.26</v>
      </c>
      <c r="F179" s="79">
        <v>577.26</v>
      </c>
      <c r="G179" s="445"/>
      <c r="H179" s="178">
        <v>577.25</v>
      </c>
      <c r="I179" s="178">
        <v>710.02</v>
      </c>
      <c r="J179" s="70">
        <v>-132.76</v>
      </c>
      <c r="K179" s="320"/>
      <c r="L179" s="178"/>
      <c r="M179" s="178">
        <v>577.26</v>
      </c>
      <c r="N179" s="179">
        <v>0</v>
      </c>
      <c r="O179" s="178">
        <v>577.26</v>
      </c>
      <c r="P179" s="453"/>
      <c r="Q179" s="61"/>
      <c r="R179" s="298"/>
      <c r="S179" s="669"/>
      <c r="X179" s="444">
        <v>179</v>
      </c>
    </row>
    <row r="180" spans="1:32" ht="12">
      <c r="A180" s="83" t="s">
        <v>10882</v>
      </c>
      <c r="B180" s="64" t="s">
        <v>39543</v>
      </c>
      <c r="C180" s="71"/>
      <c r="D180" s="79" t="s">
        <v>40899</v>
      </c>
      <c r="E180" s="79" t="s">
        <v>40899</v>
      </c>
      <c r="F180" s="79"/>
      <c r="G180" s="445"/>
      <c r="H180" s="178"/>
      <c r="I180" s="178"/>
      <c r="J180" s="70"/>
      <c r="K180" s="320"/>
      <c r="L180" s="178"/>
      <c r="M180" s="178"/>
      <c r="N180" s="179"/>
      <c r="O180" s="178"/>
      <c r="P180" s="453"/>
      <c r="Q180" s="61"/>
      <c r="R180" s="298"/>
      <c r="S180" s="669"/>
      <c r="X180" s="444">
        <v>180</v>
      </c>
    </row>
    <row r="181" spans="1:32" s="61" customFormat="1" ht="12">
      <c r="A181" s="63" t="s">
        <v>18709</v>
      </c>
      <c r="B181" s="146" t="s">
        <v>18710</v>
      </c>
      <c r="C181" s="134" t="s">
        <v>509</v>
      </c>
      <c r="D181" s="79">
        <v>1</v>
      </c>
      <c r="E181" s="79">
        <v>142.87</v>
      </c>
      <c r="F181" s="79">
        <v>142.87</v>
      </c>
      <c r="G181" s="445"/>
      <c r="H181" s="178">
        <v>142.86000000000001</v>
      </c>
      <c r="I181" s="178">
        <v>175.72</v>
      </c>
      <c r="J181" s="70">
        <v>-32.849999999999994</v>
      </c>
      <c r="K181" s="320"/>
      <c r="L181" s="178">
        <v>79.080000000000013</v>
      </c>
      <c r="M181" s="178">
        <v>63.789999999999992</v>
      </c>
      <c r="N181" s="179">
        <v>0</v>
      </c>
      <c r="O181" s="178">
        <v>142.87</v>
      </c>
      <c r="P181" s="453"/>
      <c r="R181" s="298"/>
      <c r="S181" s="669"/>
      <c r="T181" s="444"/>
      <c r="U181" s="444"/>
      <c r="V181" s="444"/>
      <c r="W181" s="444"/>
      <c r="X181" s="444">
        <v>181</v>
      </c>
      <c r="Y181" s="444"/>
      <c r="Z181" s="444"/>
      <c r="AA181" s="444"/>
      <c r="AB181" s="444"/>
      <c r="AC181" s="444"/>
      <c r="AD181" s="444"/>
      <c r="AE181" s="444"/>
      <c r="AF181" s="444"/>
    </row>
    <row r="182" spans="1:32" s="61" customFormat="1" ht="12">
      <c r="A182" s="63" t="s">
        <v>18711</v>
      </c>
      <c r="B182" s="146" t="s">
        <v>18712</v>
      </c>
      <c r="C182" s="134" t="s">
        <v>509</v>
      </c>
      <c r="D182" s="79">
        <v>1</v>
      </c>
      <c r="E182" s="79">
        <v>255.53999999999996</v>
      </c>
      <c r="F182" s="79">
        <v>255.54</v>
      </c>
      <c r="G182" s="445"/>
      <c r="H182" s="178">
        <v>255.54</v>
      </c>
      <c r="I182" s="178">
        <v>314.31</v>
      </c>
      <c r="J182" s="70">
        <v>-58.770000000000039</v>
      </c>
      <c r="K182" s="320"/>
      <c r="L182" s="178">
        <v>123.53999999999999</v>
      </c>
      <c r="M182" s="178">
        <v>131.99999999999997</v>
      </c>
      <c r="N182" s="179">
        <v>0</v>
      </c>
      <c r="O182" s="178">
        <v>255.53999999999996</v>
      </c>
      <c r="P182" s="453"/>
      <c r="R182" s="298"/>
      <c r="S182" s="669"/>
      <c r="T182" s="444"/>
      <c r="U182" s="444"/>
      <c r="V182" s="444"/>
      <c r="W182" s="444"/>
      <c r="X182" s="444">
        <v>182</v>
      </c>
      <c r="Y182" s="444"/>
      <c r="Z182" s="444"/>
      <c r="AA182" s="444"/>
      <c r="AB182" s="444"/>
      <c r="AC182" s="444"/>
      <c r="AD182" s="444"/>
      <c r="AE182" s="444"/>
      <c r="AF182" s="444"/>
    </row>
    <row r="183" spans="1:32" ht="12">
      <c r="A183" s="63" t="s">
        <v>18713</v>
      </c>
      <c r="B183" s="146" t="s">
        <v>18714</v>
      </c>
      <c r="C183" s="134" t="s">
        <v>509</v>
      </c>
      <c r="D183" s="79">
        <v>1</v>
      </c>
      <c r="E183" s="79">
        <v>115.05000000000001</v>
      </c>
      <c r="F183" s="79">
        <v>115.05</v>
      </c>
      <c r="G183" s="320"/>
      <c r="H183" s="178">
        <v>115.05</v>
      </c>
      <c r="I183" s="178">
        <v>141.51</v>
      </c>
      <c r="J183" s="70">
        <v>-26.45999999999998</v>
      </c>
      <c r="K183" s="320"/>
      <c r="L183" s="178">
        <v>37.049999999999997</v>
      </c>
      <c r="M183" s="178">
        <v>78.000000000000014</v>
      </c>
      <c r="N183" s="179">
        <v>0</v>
      </c>
      <c r="O183" s="178">
        <v>115.05000000000001</v>
      </c>
      <c r="P183" s="453"/>
      <c r="Q183" s="61"/>
      <c r="R183" s="298"/>
      <c r="S183" s="669"/>
      <c r="T183" s="61"/>
      <c r="X183" s="444">
        <v>183</v>
      </c>
    </row>
    <row r="184" spans="1:32" ht="12">
      <c r="A184" s="63" t="s">
        <v>18715</v>
      </c>
      <c r="B184" s="146" t="s">
        <v>18716</v>
      </c>
      <c r="C184" s="134" t="s">
        <v>509</v>
      </c>
      <c r="D184" s="79">
        <v>1</v>
      </c>
      <c r="E184" s="79">
        <v>144.84</v>
      </c>
      <c r="F184" s="79">
        <v>144.84</v>
      </c>
      <c r="G184" s="320"/>
      <c r="H184" s="178">
        <v>144.83000000000001</v>
      </c>
      <c r="I184" s="178">
        <v>178.14</v>
      </c>
      <c r="J184" s="70">
        <v>-33.299999999999983</v>
      </c>
      <c r="K184" s="320"/>
      <c r="L184" s="178">
        <v>39.92</v>
      </c>
      <c r="M184" s="178">
        <v>104.92</v>
      </c>
      <c r="N184" s="179">
        <v>0</v>
      </c>
      <c r="O184" s="178">
        <v>144.84</v>
      </c>
      <c r="P184" s="453"/>
      <c r="Q184" s="61"/>
      <c r="R184" s="298"/>
      <c r="S184" s="669"/>
      <c r="T184" s="61"/>
      <c r="U184" s="61"/>
      <c r="V184" s="61"/>
      <c r="W184" s="61"/>
      <c r="X184" s="444">
        <v>184</v>
      </c>
      <c r="Y184" s="61"/>
      <c r="Z184" s="61"/>
      <c r="AA184" s="61"/>
      <c r="AB184" s="61"/>
      <c r="AC184" s="61"/>
      <c r="AD184" s="61"/>
      <c r="AE184" s="61"/>
      <c r="AF184" s="61"/>
    </row>
    <row r="185" spans="1:32" ht="12">
      <c r="A185" s="83" t="s">
        <v>18717</v>
      </c>
      <c r="B185" s="64" t="s">
        <v>18718</v>
      </c>
      <c r="C185" s="71" t="s">
        <v>10216</v>
      </c>
      <c r="D185" s="79">
        <v>1</v>
      </c>
      <c r="E185" s="79">
        <v>577.26</v>
      </c>
      <c r="F185" s="79">
        <v>577.26</v>
      </c>
      <c r="G185" s="445"/>
      <c r="H185" s="178">
        <v>577.25</v>
      </c>
      <c r="I185" s="178">
        <v>710.02</v>
      </c>
      <c r="J185" s="70">
        <v>-132.76</v>
      </c>
      <c r="K185" s="320"/>
      <c r="L185" s="178">
        <v>0</v>
      </c>
      <c r="M185" s="178">
        <v>577.26</v>
      </c>
      <c r="N185" s="179">
        <v>0</v>
      </c>
      <c r="O185" s="178">
        <v>577.26</v>
      </c>
      <c r="P185" s="453"/>
      <c r="Q185" s="61"/>
      <c r="R185" s="298"/>
      <c r="S185" s="669"/>
      <c r="U185" s="61"/>
      <c r="V185" s="61"/>
      <c r="W185" s="61"/>
      <c r="X185" s="444">
        <v>185</v>
      </c>
      <c r="Y185" s="61"/>
      <c r="Z185" s="61"/>
      <c r="AA185" s="61"/>
      <c r="AB185" s="61"/>
      <c r="AC185" s="61"/>
      <c r="AD185" s="61"/>
      <c r="AE185" s="61"/>
      <c r="AF185" s="61"/>
    </row>
    <row r="186" spans="1:32" ht="12">
      <c r="A186" s="83" t="s">
        <v>39544</v>
      </c>
      <c r="B186" s="64" t="s">
        <v>39545</v>
      </c>
      <c r="C186" s="71"/>
      <c r="D186" s="79" t="s">
        <v>40899</v>
      </c>
      <c r="E186" s="79" t="s">
        <v>40899</v>
      </c>
      <c r="F186" s="79"/>
      <c r="G186" s="445"/>
      <c r="H186" s="178"/>
      <c r="I186" s="178"/>
      <c r="J186" s="70"/>
      <c r="K186" s="320"/>
      <c r="L186" s="178"/>
      <c r="M186" s="178"/>
      <c r="N186" s="179"/>
      <c r="O186" s="178"/>
      <c r="P186" s="453"/>
      <c r="Q186" s="61"/>
      <c r="R186" s="298"/>
      <c r="S186" s="669"/>
      <c r="X186" s="444">
        <v>186</v>
      </c>
    </row>
    <row r="187" spans="1:32" ht="12">
      <c r="A187" s="83" t="s">
        <v>18719</v>
      </c>
      <c r="B187" s="64" t="s">
        <v>18720</v>
      </c>
      <c r="C187" s="71" t="s">
        <v>509</v>
      </c>
      <c r="D187" s="79">
        <v>1</v>
      </c>
      <c r="E187" s="79">
        <v>65.649999999999991</v>
      </c>
      <c r="F187" s="79">
        <v>65.650000000000006</v>
      </c>
      <c r="G187" s="445"/>
      <c r="H187" s="178">
        <v>65.64</v>
      </c>
      <c r="I187" s="178">
        <v>80.739999999999995</v>
      </c>
      <c r="J187" s="70">
        <v>-15.090000000000003</v>
      </c>
      <c r="K187" s="320"/>
      <c r="L187" s="178">
        <v>53.879999999999995</v>
      </c>
      <c r="M187" s="178">
        <v>11.769999999999996</v>
      </c>
      <c r="N187" s="179">
        <v>0</v>
      </c>
      <c r="O187" s="178">
        <v>65.649999999999991</v>
      </c>
      <c r="P187" s="453"/>
      <c r="Q187" s="61"/>
      <c r="R187" s="298"/>
      <c r="S187" s="669"/>
      <c r="X187" s="444">
        <v>187</v>
      </c>
    </row>
    <row r="188" spans="1:32" ht="12">
      <c r="A188" s="83" t="s">
        <v>18721</v>
      </c>
      <c r="B188" s="64" t="s">
        <v>18722</v>
      </c>
      <c r="C188" s="71" t="s">
        <v>509</v>
      </c>
      <c r="D188" s="79">
        <v>1</v>
      </c>
      <c r="E188" s="79">
        <v>88.18</v>
      </c>
      <c r="F188" s="79">
        <v>88.18</v>
      </c>
      <c r="G188" s="445"/>
      <c r="H188" s="178">
        <v>88.17</v>
      </c>
      <c r="I188" s="178">
        <v>108.45</v>
      </c>
      <c r="J188" s="70">
        <v>-20.269999999999996</v>
      </c>
      <c r="K188" s="320"/>
      <c r="L188" s="178">
        <v>53.879999999999995</v>
      </c>
      <c r="M188" s="178">
        <v>34.300000000000011</v>
      </c>
      <c r="N188" s="179">
        <v>0</v>
      </c>
      <c r="O188" s="178">
        <v>88.18</v>
      </c>
      <c r="P188" s="453"/>
      <c r="Q188" s="61"/>
      <c r="R188" s="298"/>
      <c r="S188" s="669"/>
      <c r="X188" s="444">
        <v>188</v>
      </c>
    </row>
    <row r="189" spans="1:32" ht="12">
      <c r="A189" s="83" t="s">
        <v>18723</v>
      </c>
      <c r="B189" s="64" t="s">
        <v>18724</v>
      </c>
      <c r="C189" s="71" t="s">
        <v>509</v>
      </c>
      <c r="D189" s="79">
        <v>1</v>
      </c>
      <c r="E189" s="79">
        <v>12.419999999999998</v>
      </c>
      <c r="F189" s="79">
        <v>12.42</v>
      </c>
      <c r="G189" s="445"/>
      <c r="H189" s="178">
        <v>12.41</v>
      </c>
      <c r="I189" s="178">
        <v>15.27</v>
      </c>
      <c r="J189" s="70">
        <v>-2.8500000000000014</v>
      </c>
      <c r="K189" s="320"/>
      <c r="L189" s="178">
        <v>2.71</v>
      </c>
      <c r="M189" s="178">
        <v>9.7099999999999973</v>
      </c>
      <c r="N189" s="179">
        <v>0</v>
      </c>
      <c r="O189" s="178">
        <v>12.419999999999998</v>
      </c>
      <c r="P189" s="453"/>
      <c r="Q189" s="61"/>
      <c r="R189" s="298"/>
      <c r="S189" s="669"/>
      <c r="X189" s="444">
        <v>189</v>
      </c>
    </row>
    <row r="190" spans="1:32" ht="12">
      <c r="A190" s="83" t="s">
        <v>18725</v>
      </c>
      <c r="B190" s="64" t="s">
        <v>18726</v>
      </c>
      <c r="C190" s="71" t="s">
        <v>10216</v>
      </c>
      <c r="D190" s="79">
        <v>1</v>
      </c>
      <c r="E190" s="79">
        <v>577.26</v>
      </c>
      <c r="F190" s="79">
        <v>577.26</v>
      </c>
      <c r="G190" s="445"/>
      <c r="H190" s="178">
        <v>577.25</v>
      </c>
      <c r="I190" s="178">
        <v>710.02</v>
      </c>
      <c r="J190" s="70">
        <v>-132.76</v>
      </c>
      <c r="K190" s="320"/>
      <c r="L190" s="178"/>
      <c r="M190" s="178">
        <v>577.26</v>
      </c>
      <c r="N190" s="179">
        <v>0</v>
      </c>
      <c r="O190" s="178">
        <v>577.26</v>
      </c>
      <c r="P190" s="453"/>
      <c r="Q190" s="61"/>
      <c r="R190" s="298"/>
      <c r="S190" s="669"/>
      <c r="X190" s="444">
        <v>190</v>
      </c>
    </row>
    <row r="191" spans="1:32" ht="12">
      <c r="A191" s="83" t="s">
        <v>39546</v>
      </c>
      <c r="B191" s="64" t="s">
        <v>39518</v>
      </c>
      <c r="C191" s="71"/>
      <c r="D191" s="79" t="s">
        <v>40899</v>
      </c>
      <c r="E191" s="79" t="s">
        <v>40899</v>
      </c>
      <c r="F191" s="79"/>
      <c r="G191" s="445"/>
      <c r="H191" s="178"/>
      <c r="I191" s="178"/>
      <c r="J191" s="70"/>
      <c r="K191" s="320"/>
      <c r="L191" s="178"/>
      <c r="M191" s="178"/>
      <c r="N191" s="179"/>
      <c r="O191" s="178"/>
      <c r="P191" s="453"/>
      <c r="Q191" s="61"/>
      <c r="R191" s="298"/>
      <c r="S191" s="669"/>
      <c r="X191" s="444">
        <v>191</v>
      </c>
    </row>
    <row r="192" spans="1:32" ht="12">
      <c r="A192" s="83" t="s">
        <v>18727</v>
      </c>
      <c r="B192" s="64" t="s">
        <v>18728</v>
      </c>
      <c r="C192" s="71" t="s">
        <v>121</v>
      </c>
      <c r="D192" s="79">
        <v>1</v>
      </c>
      <c r="E192" s="79">
        <v>245.67</v>
      </c>
      <c r="F192" s="79">
        <v>245.67</v>
      </c>
      <c r="G192" s="445"/>
      <c r="H192" s="178">
        <v>245.66</v>
      </c>
      <c r="I192" s="178">
        <v>302.16000000000003</v>
      </c>
      <c r="J192" s="70">
        <v>-56.490000000000038</v>
      </c>
      <c r="K192" s="320"/>
      <c r="L192" s="178">
        <v>245.67</v>
      </c>
      <c r="M192" s="178">
        <v>0</v>
      </c>
      <c r="N192" s="179">
        <v>0</v>
      </c>
      <c r="O192" s="178">
        <v>245.67</v>
      </c>
      <c r="P192" s="453"/>
      <c r="Q192" s="61"/>
      <c r="R192" s="298"/>
      <c r="S192" s="669"/>
      <c r="X192" s="444">
        <v>192</v>
      </c>
    </row>
    <row r="193" spans="1:24" ht="12">
      <c r="A193" s="83" t="s">
        <v>18729</v>
      </c>
      <c r="B193" s="64" t="s">
        <v>18730</v>
      </c>
      <c r="C193" s="71" t="s">
        <v>121</v>
      </c>
      <c r="D193" s="79">
        <v>1</v>
      </c>
      <c r="E193" s="79">
        <v>290.33000000000004</v>
      </c>
      <c r="F193" s="79">
        <v>290.33</v>
      </c>
      <c r="G193" s="445"/>
      <c r="H193" s="178">
        <v>290.33</v>
      </c>
      <c r="I193" s="178">
        <v>357.1</v>
      </c>
      <c r="J193" s="70">
        <v>-66.769999999999982</v>
      </c>
      <c r="K193" s="320"/>
      <c r="L193" s="178">
        <v>290.33000000000004</v>
      </c>
      <c r="M193" s="178">
        <v>0</v>
      </c>
      <c r="N193" s="179">
        <v>0</v>
      </c>
      <c r="O193" s="178">
        <v>290.33000000000004</v>
      </c>
      <c r="P193" s="453"/>
      <c r="Q193" s="61"/>
      <c r="R193" s="298"/>
      <c r="S193" s="669"/>
      <c r="X193" s="444">
        <v>193</v>
      </c>
    </row>
    <row r="194" spans="1:24" ht="12">
      <c r="A194" s="83" t="s">
        <v>18731</v>
      </c>
      <c r="B194" s="64" t="s">
        <v>18732</v>
      </c>
      <c r="C194" s="71" t="s">
        <v>121</v>
      </c>
      <c r="D194" s="79">
        <v>1</v>
      </c>
      <c r="E194" s="79">
        <v>134</v>
      </c>
      <c r="F194" s="79">
        <v>134</v>
      </c>
      <c r="G194" s="445"/>
      <c r="H194" s="178">
        <v>133.99</v>
      </c>
      <c r="I194" s="178">
        <v>164.81</v>
      </c>
      <c r="J194" s="70">
        <v>-30.810000000000002</v>
      </c>
      <c r="K194" s="320"/>
      <c r="L194" s="178">
        <v>134</v>
      </c>
      <c r="M194" s="178">
        <v>0</v>
      </c>
      <c r="N194" s="179">
        <v>0</v>
      </c>
      <c r="O194" s="178">
        <v>134</v>
      </c>
      <c r="P194" s="453"/>
      <c r="Q194" s="61"/>
      <c r="R194" s="298"/>
      <c r="S194" s="669"/>
      <c r="X194" s="444">
        <v>194</v>
      </c>
    </row>
    <row r="195" spans="1:24" ht="12">
      <c r="A195" s="83" t="s">
        <v>18733</v>
      </c>
      <c r="B195" s="64" t="s">
        <v>18570</v>
      </c>
      <c r="C195" s="71" t="s">
        <v>10216</v>
      </c>
      <c r="D195" s="79">
        <v>1</v>
      </c>
      <c r="E195" s="79">
        <v>577.26</v>
      </c>
      <c r="F195" s="79">
        <v>577.26</v>
      </c>
      <c r="G195" s="445"/>
      <c r="H195" s="178">
        <v>577.25</v>
      </c>
      <c r="I195" s="178">
        <v>710.02</v>
      </c>
      <c r="J195" s="70">
        <v>-132.76</v>
      </c>
      <c r="K195" s="320"/>
      <c r="L195" s="178"/>
      <c r="M195" s="178">
        <v>577.26</v>
      </c>
      <c r="N195" s="179">
        <v>0</v>
      </c>
      <c r="O195" s="178">
        <v>577.26</v>
      </c>
      <c r="P195" s="453"/>
      <c r="Q195" s="61"/>
      <c r="R195" s="298"/>
      <c r="S195" s="669"/>
      <c r="X195" s="444">
        <v>195</v>
      </c>
    </row>
    <row r="196" spans="1:24" ht="12">
      <c r="A196" s="83" t="s">
        <v>39547</v>
      </c>
      <c r="B196" s="64" t="s">
        <v>39520</v>
      </c>
      <c r="C196" s="71"/>
      <c r="D196" s="79" t="s">
        <v>40899</v>
      </c>
      <c r="E196" s="79" t="s">
        <v>40899</v>
      </c>
      <c r="F196" s="79"/>
      <c r="G196" s="445"/>
      <c r="H196" s="178"/>
      <c r="I196" s="178"/>
      <c r="J196" s="70"/>
      <c r="K196" s="320"/>
      <c r="L196" s="178"/>
      <c r="M196" s="178"/>
      <c r="N196" s="179"/>
      <c r="O196" s="178"/>
      <c r="P196" s="453"/>
      <c r="Q196" s="61"/>
      <c r="R196" s="298"/>
      <c r="S196" s="669"/>
      <c r="X196" s="444">
        <v>196</v>
      </c>
    </row>
    <row r="197" spans="1:24" ht="12">
      <c r="A197" s="83" t="s">
        <v>18734</v>
      </c>
      <c r="B197" s="64" t="s">
        <v>18572</v>
      </c>
      <c r="C197" s="71" t="s">
        <v>10216</v>
      </c>
      <c r="D197" s="79">
        <v>1</v>
      </c>
      <c r="E197" s="79">
        <v>577.26</v>
      </c>
      <c r="F197" s="79">
        <v>577.26</v>
      </c>
      <c r="G197" s="445"/>
      <c r="H197" s="178">
        <v>577.25</v>
      </c>
      <c r="I197" s="178">
        <v>710.02</v>
      </c>
      <c r="J197" s="70">
        <v>-132.76</v>
      </c>
      <c r="K197" s="320"/>
      <c r="L197" s="178"/>
      <c r="M197" s="178">
        <v>577.26</v>
      </c>
      <c r="N197" s="179">
        <v>0</v>
      </c>
      <c r="O197" s="178">
        <v>577.26</v>
      </c>
      <c r="P197" s="453"/>
      <c r="Q197" s="61"/>
      <c r="R197" s="298"/>
      <c r="S197" s="669"/>
      <c r="X197" s="444">
        <v>197</v>
      </c>
    </row>
    <row r="198" spans="1:24" ht="12">
      <c r="A198" s="83" t="s">
        <v>39548</v>
      </c>
      <c r="B198" s="64" t="s">
        <v>39522</v>
      </c>
      <c r="C198" s="71"/>
      <c r="D198" s="79" t="s">
        <v>40899</v>
      </c>
      <c r="E198" s="79" t="s">
        <v>40899</v>
      </c>
      <c r="F198" s="79"/>
      <c r="G198" s="445"/>
      <c r="H198" s="178"/>
      <c r="I198" s="178"/>
      <c r="J198" s="70"/>
      <c r="K198" s="320"/>
      <c r="L198" s="178"/>
      <c r="M198" s="178"/>
      <c r="N198" s="179"/>
      <c r="O198" s="178"/>
      <c r="P198" s="453"/>
      <c r="Q198" s="61"/>
      <c r="R198" s="298"/>
      <c r="S198" s="669"/>
      <c r="X198" s="444">
        <v>198</v>
      </c>
    </row>
    <row r="199" spans="1:24" ht="12">
      <c r="A199" s="83" t="s">
        <v>18735</v>
      </c>
      <c r="B199" s="64" t="s">
        <v>18574</v>
      </c>
      <c r="C199" s="71" t="s">
        <v>10216</v>
      </c>
      <c r="D199" s="79">
        <v>1</v>
      </c>
      <c r="E199" s="79">
        <v>577.26</v>
      </c>
      <c r="F199" s="79">
        <v>577.26</v>
      </c>
      <c r="G199" s="445"/>
      <c r="H199" s="178">
        <v>577.25</v>
      </c>
      <c r="I199" s="178">
        <v>710.02</v>
      </c>
      <c r="J199" s="70">
        <v>-132.76</v>
      </c>
      <c r="K199" s="320"/>
      <c r="L199" s="178"/>
      <c r="M199" s="178">
        <v>577.26</v>
      </c>
      <c r="N199" s="179">
        <v>0</v>
      </c>
      <c r="O199" s="178">
        <v>577.26</v>
      </c>
      <c r="P199" s="453"/>
      <c r="Q199" s="61"/>
      <c r="R199" s="298"/>
      <c r="S199" s="669"/>
      <c r="X199" s="444">
        <v>199</v>
      </c>
    </row>
    <row r="200" spans="1:24" ht="12">
      <c r="A200" s="83" t="s">
        <v>39549</v>
      </c>
      <c r="B200" s="64" t="s">
        <v>39550</v>
      </c>
      <c r="C200" s="71"/>
      <c r="D200" s="79" t="s">
        <v>40899</v>
      </c>
      <c r="E200" s="79" t="s">
        <v>40899</v>
      </c>
      <c r="F200" s="79"/>
      <c r="G200" s="445"/>
      <c r="H200" s="178"/>
      <c r="I200" s="178"/>
      <c r="J200" s="70"/>
      <c r="K200" s="320"/>
      <c r="L200" s="178"/>
      <c r="M200" s="178"/>
      <c r="N200" s="179"/>
      <c r="O200" s="178"/>
      <c r="P200" s="453"/>
      <c r="Q200" s="61"/>
      <c r="R200" s="298"/>
      <c r="S200" s="669"/>
      <c r="X200" s="444">
        <v>200</v>
      </c>
    </row>
    <row r="201" spans="1:24" ht="12">
      <c r="A201" s="83" t="s">
        <v>18736</v>
      </c>
      <c r="B201" s="64" t="s">
        <v>18737</v>
      </c>
      <c r="C201" s="71" t="s">
        <v>10216</v>
      </c>
      <c r="D201" s="79">
        <v>1</v>
      </c>
      <c r="E201" s="79">
        <v>577.26</v>
      </c>
      <c r="F201" s="79">
        <v>577.26</v>
      </c>
      <c r="G201" s="445"/>
      <c r="H201" s="178">
        <v>577.25</v>
      </c>
      <c r="I201" s="178">
        <v>710.02</v>
      </c>
      <c r="J201" s="70">
        <v>-132.76</v>
      </c>
      <c r="K201" s="320"/>
      <c r="L201" s="178"/>
      <c r="M201" s="178">
        <v>577.26</v>
      </c>
      <c r="N201" s="179">
        <v>0</v>
      </c>
      <c r="O201" s="178">
        <v>577.26</v>
      </c>
      <c r="P201" s="453"/>
      <c r="Q201" s="61"/>
      <c r="R201" s="298"/>
      <c r="S201" s="669"/>
      <c r="X201" s="444">
        <v>201</v>
      </c>
    </row>
    <row r="202" spans="1:24" ht="12">
      <c r="A202" s="83">
        <v>3</v>
      </c>
      <c r="B202" s="64" t="s">
        <v>39551</v>
      </c>
      <c r="C202" s="71"/>
      <c r="D202" s="79" t="s">
        <v>40899</v>
      </c>
      <c r="E202" s="79" t="s">
        <v>40899</v>
      </c>
      <c r="F202" s="79"/>
      <c r="G202" s="445"/>
      <c r="H202" s="178"/>
      <c r="I202" s="178"/>
      <c r="J202" s="70"/>
      <c r="K202" s="320"/>
      <c r="L202" s="178"/>
      <c r="M202" s="178"/>
      <c r="N202" s="179"/>
      <c r="O202" s="178"/>
      <c r="P202" s="453"/>
      <c r="Q202" s="61"/>
      <c r="R202" s="298"/>
      <c r="S202" s="669"/>
      <c r="T202" s="73"/>
      <c r="X202" s="444">
        <v>202</v>
      </c>
    </row>
    <row r="203" spans="1:24" ht="12">
      <c r="A203" s="83" t="s">
        <v>10920</v>
      </c>
      <c r="B203" s="64" t="s">
        <v>39535</v>
      </c>
      <c r="C203" s="71"/>
      <c r="D203" s="79" t="s">
        <v>40899</v>
      </c>
      <c r="E203" s="79" t="s">
        <v>40899</v>
      </c>
      <c r="F203" s="79"/>
      <c r="G203" s="445"/>
      <c r="H203" s="178"/>
      <c r="I203" s="178"/>
      <c r="J203" s="70"/>
      <c r="K203" s="320"/>
      <c r="L203" s="178"/>
      <c r="M203" s="178"/>
      <c r="N203" s="179"/>
      <c r="O203" s="178"/>
      <c r="P203" s="453"/>
      <c r="Q203" s="61"/>
      <c r="R203" s="298"/>
      <c r="S203" s="669"/>
      <c r="X203" s="444">
        <v>203</v>
      </c>
    </row>
    <row r="204" spans="1:24" ht="12">
      <c r="A204" s="83" t="s">
        <v>18738</v>
      </c>
      <c r="B204" s="64" t="s">
        <v>18739</v>
      </c>
      <c r="C204" s="71" t="s">
        <v>509</v>
      </c>
      <c r="D204" s="79">
        <v>1</v>
      </c>
      <c r="E204" s="79">
        <v>129.45999999999998</v>
      </c>
      <c r="F204" s="79">
        <v>129.46</v>
      </c>
      <c r="G204" s="445"/>
      <c r="H204" s="178">
        <v>129.44999999999999</v>
      </c>
      <c r="I204" s="178">
        <v>159.22</v>
      </c>
      <c r="J204" s="70">
        <v>-29.760000000000019</v>
      </c>
      <c r="K204" s="320"/>
      <c r="L204" s="178">
        <v>66.67</v>
      </c>
      <c r="M204" s="178">
        <v>62.789999999999978</v>
      </c>
      <c r="N204" s="179">
        <v>0</v>
      </c>
      <c r="O204" s="178">
        <v>129.45999999999998</v>
      </c>
      <c r="P204" s="453"/>
      <c r="Q204" s="61"/>
      <c r="R204" s="298"/>
      <c r="S204" s="669"/>
      <c r="X204" s="444">
        <v>204</v>
      </c>
    </row>
    <row r="205" spans="1:24" ht="12">
      <c r="A205" s="83" t="s">
        <v>18740</v>
      </c>
      <c r="B205" s="64" t="s">
        <v>18741</v>
      </c>
      <c r="C205" s="71" t="s">
        <v>509</v>
      </c>
      <c r="D205" s="79">
        <v>1</v>
      </c>
      <c r="E205" s="79">
        <v>154.52000000000001</v>
      </c>
      <c r="F205" s="79">
        <v>154.52000000000001</v>
      </c>
      <c r="G205" s="445"/>
      <c r="H205" s="178">
        <v>154.51</v>
      </c>
      <c r="I205" s="178">
        <v>190.05</v>
      </c>
      <c r="J205" s="70">
        <v>-35.53</v>
      </c>
      <c r="K205" s="320"/>
      <c r="L205" s="178">
        <v>102.56</v>
      </c>
      <c r="M205" s="178">
        <v>51.960000000000008</v>
      </c>
      <c r="N205" s="179">
        <v>0</v>
      </c>
      <c r="O205" s="178">
        <v>154.52000000000001</v>
      </c>
      <c r="P205" s="453"/>
      <c r="Q205" s="61"/>
      <c r="R205" s="298"/>
      <c r="S205" s="669"/>
      <c r="X205" s="444">
        <v>205</v>
      </c>
    </row>
    <row r="206" spans="1:24" ht="12">
      <c r="A206" s="83" t="s">
        <v>18742</v>
      </c>
      <c r="B206" s="64" t="s">
        <v>18743</v>
      </c>
      <c r="C206" s="71" t="s">
        <v>509</v>
      </c>
      <c r="D206" s="79">
        <v>1</v>
      </c>
      <c r="E206" s="79">
        <v>203.35000000000002</v>
      </c>
      <c r="F206" s="79">
        <v>203.35</v>
      </c>
      <c r="G206" s="445"/>
      <c r="H206" s="178">
        <v>203.35</v>
      </c>
      <c r="I206" s="178">
        <v>250.12</v>
      </c>
      <c r="J206" s="70">
        <v>-46.769999999999982</v>
      </c>
      <c r="K206" s="320"/>
      <c r="L206" s="178">
        <v>143.59</v>
      </c>
      <c r="M206" s="178">
        <v>59.760000000000019</v>
      </c>
      <c r="N206" s="179">
        <v>0</v>
      </c>
      <c r="O206" s="178">
        <v>203.35000000000002</v>
      </c>
      <c r="P206" s="453"/>
      <c r="Q206" s="61"/>
      <c r="R206" s="298"/>
      <c r="S206" s="669"/>
      <c r="X206" s="444">
        <v>206</v>
      </c>
    </row>
    <row r="207" spans="1:24" ht="12">
      <c r="A207" s="83" t="s">
        <v>18744</v>
      </c>
      <c r="B207" s="64" t="s">
        <v>18745</v>
      </c>
      <c r="C207" s="71" t="s">
        <v>121</v>
      </c>
      <c r="D207" s="79">
        <v>1</v>
      </c>
      <c r="E207" s="79">
        <v>42.69</v>
      </c>
      <c r="F207" s="79">
        <v>42.69</v>
      </c>
      <c r="G207" s="445"/>
      <c r="H207" s="178">
        <v>42.67</v>
      </c>
      <c r="I207" s="178">
        <v>52.48</v>
      </c>
      <c r="J207" s="70">
        <v>-9.7899999999999991</v>
      </c>
      <c r="K207" s="320"/>
      <c r="L207" s="178">
        <v>25.659999999999997</v>
      </c>
      <c r="M207" s="178">
        <v>17.03</v>
      </c>
      <c r="N207" s="179">
        <v>0</v>
      </c>
      <c r="O207" s="178">
        <v>42.69</v>
      </c>
      <c r="P207" s="453"/>
      <c r="Q207" s="61"/>
      <c r="R207" s="298"/>
      <c r="S207" s="669"/>
      <c r="X207" s="444">
        <v>207</v>
      </c>
    </row>
    <row r="208" spans="1:24" ht="24">
      <c r="A208" s="83" t="s">
        <v>18746</v>
      </c>
      <c r="B208" s="64" t="s">
        <v>18747</v>
      </c>
      <c r="C208" s="71" t="s">
        <v>165</v>
      </c>
      <c r="D208" s="79">
        <v>1</v>
      </c>
      <c r="E208" s="79">
        <v>88.91</v>
      </c>
      <c r="F208" s="79">
        <v>88.91</v>
      </c>
      <c r="G208" s="320"/>
      <c r="H208" s="178">
        <v>88.9</v>
      </c>
      <c r="I208" s="178">
        <v>109.35</v>
      </c>
      <c r="J208" s="70">
        <v>-20.439999999999998</v>
      </c>
      <c r="K208" s="320"/>
      <c r="L208" s="178">
        <v>9.1199999999999992</v>
      </c>
      <c r="M208" s="178">
        <v>79.789999999999992</v>
      </c>
      <c r="N208" s="179">
        <v>0</v>
      </c>
      <c r="O208" s="178">
        <v>88.91</v>
      </c>
      <c r="P208" s="453"/>
      <c r="Q208" s="61"/>
      <c r="R208" s="298"/>
      <c r="S208" s="669"/>
      <c r="X208" s="444">
        <v>208</v>
      </c>
    </row>
    <row r="209" spans="1:32" ht="24">
      <c r="A209" s="83" t="s">
        <v>18748</v>
      </c>
      <c r="B209" s="64" t="s">
        <v>18749</v>
      </c>
      <c r="C209" s="71" t="s">
        <v>165</v>
      </c>
      <c r="D209" s="79">
        <v>1</v>
      </c>
      <c r="E209" s="79">
        <v>106.71</v>
      </c>
      <c r="F209" s="79">
        <v>106.71</v>
      </c>
      <c r="G209" s="320"/>
      <c r="H209" s="178">
        <v>106.72</v>
      </c>
      <c r="I209" s="178">
        <v>131.26</v>
      </c>
      <c r="J209" s="70">
        <v>-24.549999999999997</v>
      </c>
      <c r="K209" s="320"/>
      <c r="L209" s="178">
        <v>9.1199999999999992</v>
      </c>
      <c r="M209" s="178">
        <v>97.589999999999989</v>
      </c>
      <c r="N209" s="179">
        <v>0</v>
      </c>
      <c r="O209" s="178">
        <v>106.71</v>
      </c>
      <c r="P209" s="453"/>
      <c r="Q209" s="61"/>
      <c r="R209" s="298"/>
      <c r="S209" s="669"/>
      <c r="X209" s="444">
        <v>209</v>
      </c>
    </row>
    <row r="210" spans="1:32" ht="24">
      <c r="A210" s="83" t="s">
        <v>18750</v>
      </c>
      <c r="B210" s="64" t="s">
        <v>18751</v>
      </c>
      <c r="C210" s="71" t="s">
        <v>165</v>
      </c>
      <c r="D210" s="79">
        <v>1</v>
      </c>
      <c r="E210" s="79">
        <v>128.45000000000002</v>
      </c>
      <c r="F210" s="79">
        <v>128.44999999999999</v>
      </c>
      <c r="G210" s="320"/>
      <c r="H210" s="178">
        <v>128.44999999999999</v>
      </c>
      <c r="I210" s="178">
        <v>157.99</v>
      </c>
      <c r="J210" s="70">
        <v>-29.539999999999992</v>
      </c>
      <c r="K210" s="320"/>
      <c r="L210" s="178">
        <v>9.1199999999999992</v>
      </c>
      <c r="M210" s="178">
        <v>119.33000000000001</v>
      </c>
      <c r="N210" s="179">
        <v>0</v>
      </c>
      <c r="O210" s="178">
        <v>128.45000000000002</v>
      </c>
      <c r="P210" s="453"/>
      <c r="Q210" s="61"/>
      <c r="R210" s="298"/>
      <c r="S210" s="669"/>
      <c r="X210" s="444">
        <v>210</v>
      </c>
    </row>
    <row r="211" spans="1:32" ht="24">
      <c r="A211" s="83" t="s">
        <v>18752</v>
      </c>
      <c r="B211" s="64" t="s">
        <v>18753</v>
      </c>
      <c r="C211" s="71" t="s">
        <v>165</v>
      </c>
      <c r="D211" s="79">
        <v>1</v>
      </c>
      <c r="E211" s="79">
        <v>151.66000000000003</v>
      </c>
      <c r="F211" s="79">
        <v>151.66</v>
      </c>
      <c r="G211" s="320"/>
      <c r="H211" s="178">
        <v>151.66</v>
      </c>
      <c r="I211" s="178">
        <v>186.54</v>
      </c>
      <c r="J211" s="70">
        <v>-34.879999999999967</v>
      </c>
      <c r="K211" s="320"/>
      <c r="L211" s="178">
        <v>9.1199999999999992</v>
      </c>
      <c r="M211" s="178">
        <v>142.54000000000002</v>
      </c>
      <c r="N211" s="179">
        <v>0</v>
      </c>
      <c r="O211" s="178">
        <v>151.66000000000003</v>
      </c>
      <c r="P211" s="453"/>
      <c r="Q211" s="61"/>
      <c r="R211" s="298"/>
      <c r="S211" s="669"/>
      <c r="X211" s="444">
        <v>211</v>
      </c>
    </row>
    <row r="212" spans="1:32" ht="24">
      <c r="A212" s="83" t="s">
        <v>18754</v>
      </c>
      <c r="B212" s="64" t="s">
        <v>18755</v>
      </c>
      <c r="C212" s="71" t="s">
        <v>165</v>
      </c>
      <c r="D212" s="79">
        <v>1</v>
      </c>
      <c r="E212" s="79">
        <v>175.49000000000004</v>
      </c>
      <c r="F212" s="79">
        <v>175.49</v>
      </c>
      <c r="G212" s="320"/>
      <c r="H212" s="178">
        <v>175.49</v>
      </c>
      <c r="I212" s="178">
        <v>215.85</v>
      </c>
      <c r="J212" s="70">
        <v>-40.359999999999957</v>
      </c>
      <c r="K212" s="320"/>
      <c r="L212" s="178">
        <v>9.1199999999999992</v>
      </c>
      <c r="M212" s="178">
        <v>166.37000000000003</v>
      </c>
      <c r="N212" s="179">
        <v>0</v>
      </c>
      <c r="O212" s="178">
        <v>175.49000000000004</v>
      </c>
      <c r="P212" s="453"/>
      <c r="Q212" s="61"/>
      <c r="R212" s="298"/>
      <c r="S212" s="669"/>
      <c r="X212" s="444">
        <v>212</v>
      </c>
    </row>
    <row r="213" spans="1:32" ht="24">
      <c r="A213" s="83" t="s">
        <v>18756</v>
      </c>
      <c r="B213" s="64" t="s">
        <v>18757</v>
      </c>
      <c r="C213" s="71" t="s">
        <v>165</v>
      </c>
      <c r="D213" s="79">
        <v>1</v>
      </c>
      <c r="E213" s="79">
        <v>195.09000000000003</v>
      </c>
      <c r="F213" s="79">
        <v>195.09</v>
      </c>
      <c r="G213" s="320"/>
      <c r="H213" s="178">
        <v>195.09</v>
      </c>
      <c r="I213" s="178">
        <v>239.96</v>
      </c>
      <c r="J213" s="70">
        <v>-44.869999999999976</v>
      </c>
      <c r="K213" s="320"/>
      <c r="L213" s="178">
        <v>9.1199999999999992</v>
      </c>
      <c r="M213" s="178">
        <v>185.97000000000003</v>
      </c>
      <c r="N213" s="179">
        <v>0</v>
      </c>
      <c r="O213" s="178">
        <v>195.09000000000003</v>
      </c>
      <c r="P213" s="453"/>
      <c r="Q213" s="61"/>
      <c r="R213" s="298"/>
      <c r="S213" s="669"/>
      <c r="X213" s="444">
        <v>213</v>
      </c>
    </row>
    <row r="214" spans="1:32" ht="24">
      <c r="A214" s="83" t="s">
        <v>18758</v>
      </c>
      <c r="B214" s="64" t="s">
        <v>18759</v>
      </c>
      <c r="C214" s="71" t="s">
        <v>165</v>
      </c>
      <c r="D214" s="79">
        <v>1</v>
      </c>
      <c r="E214" s="79">
        <v>233.14000000000001</v>
      </c>
      <c r="F214" s="79">
        <v>233.14</v>
      </c>
      <c r="G214" s="320"/>
      <c r="H214" s="178">
        <v>233.15</v>
      </c>
      <c r="I214" s="178">
        <v>286.77</v>
      </c>
      <c r="J214" s="70">
        <v>-53.629999999999967</v>
      </c>
      <c r="K214" s="320"/>
      <c r="L214" s="178">
        <v>9.1199999999999992</v>
      </c>
      <c r="M214" s="178">
        <v>224.02</v>
      </c>
      <c r="N214" s="179">
        <v>0</v>
      </c>
      <c r="O214" s="178">
        <v>233.14000000000001</v>
      </c>
      <c r="P214" s="453"/>
      <c r="Q214" s="61"/>
      <c r="R214" s="298"/>
      <c r="S214" s="669"/>
      <c r="X214" s="444">
        <v>214</v>
      </c>
    </row>
    <row r="215" spans="1:32" s="61" customFormat="1" ht="24">
      <c r="A215" s="83" t="s">
        <v>18760</v>
      </c>
      <c r="B215" s="64" t="s">
        <v>18761</v>
      </c>
      <c r="C215" s="71" t="s">
        <v>165</v>
      </c>
      <c r="D215" s="79">
        <v>1</v>
      </c>
      <c r="E215" s="79">
        <v>254.68</v>
      </c>
      <c r="F215" s="79">
        <v>254.68</v>
      </c>
      <c r="G215" s="320"/>
      <c r="H215" s="178">
        <v>254.68</v>
      </c>
      <c r="I215" s="178">
        <v>313.26</v>
      </c>
      <c r="J215" s="70">
        <v>-58.579999999999984</v>
      </c>
      <c r="K215" s="320"/>
      <c r="L215" s="178">
        <v>9.1199999999999992</v>
      </c>
      <c r="M215" s="178">
        <v>245.56</v>
      </c>
      <c r="N215" s="179">
        <v>0</v>
      </c>
      <c r="O215" s="178">
        <v>254.68</v>
      </c>
      <c r="P215" s="453"/>
      <c r="R215" s="298"/>
      <c r="S215" s="669"/>
      <c r="T215" s="444"/>
      <c r="U215" s="444"/>
      <c r="V215" s="444"/>
      <c r="W215" s="444"/>
      <c r="X215" s="444">
        <v>215</v>
      </c>
      <c r="Y215" s="444"/>
      <c r="Z215" s="444"/>
      <c r="AA215" s="444"/>
      <c r="AB215" s="444"/>
      <c r="AC215" s="444"/>
      <c r="AD215" s="444"/>
      <c r="AE215" s="444"/>
      <c r="AF215" s="444"/>
    </row>
    <row r="216" spans="1:32" s="61" customFormat="1" ht="24">
      <c r="A216" s="83" t="s">
        <v>18762</v>
      </c>
      <c r="B216" s="64" t="s">
        <v>18763</v>
      </c>
      <c r="C216" s="71" t="s">
        <v>165</v>
      </c>
      <c r="D216" s="79">
        <v>1</v>
      </c>
      <c r="E216" s="79">
        <v>307.66999999999996</v>
      </c>
      <c r="F216" s="79">
        <v>307.67</v>
      </c>
      <c r="G216" s="320"/>
      <c r="H216" s="178">
        <v>307.67</v>
      </c>
      <c r="I216" s="178">
        <v>378.43</v>
      </c>
      <c r="J216" s="70">
        <v>-70.760000000000048</v>
      </c>
      <c r="K216" s="320"/>
      <c r="L216" s="178">
        <v>9.1199999999999992</v>
      </c>
      <c r="M216" s="178">
        <v>298.54999999999995</v>
      </c>
      <c r="N216" s="179">
        <v>0</v>
      </c>
      <c r="O216" s="178">
        <v>307.66999999999996</v>
      </c>
      <c r="P216" s="453"/>
      <c r="R216" s="298"/>
      <c r="S216" s="669"/>
      <c r="T216" s="444"/>
      <c r="X216" s="444">
        <v>216</v>
      </c>
    </row>
    <row r="217" spans="1:32" s="61" customFormat="1" ht="24">
      <c r="A217" s="83" t="s">
        <v>18764</v>
      </c>
      <c r="B217" s="64" t="s">
        <v>18765</v>
      </c>
      <c r="C217" s="71" t="s">
        <v>165</v>
      </c>
      <c r="D217" s="79">
        <v>1</v>
      </c>
      <c r="E217" s="79">
        <v>374.78999999999996</v>
      </c>
      <c r="F217" s="79">
        <v>374.79</v>
      </c>
      <c r="G217" s="320"/>
      <c r="H217" s="178">
        <v>374.79</v>
      </c>
      <c r="I217" s="178">
        <v>460.99</v>
      </c>
      <c r="J217" s="70">
        <v>-86.200000000000045</v>
      </c>
      <c r="K217" s="320"/>
      <c r="L217" s="178">
        <v>9.1199999999999992</v>
      </c>
      <c r="M217" s="178">
        <v>365.66999999999996</v>
      </c>
      <c r="N217" s="179">
        <v>0</v>
      </c>
      <c r="O217" s="178">
        <v>374.78999999999996</v>
      </c>
      <c r="P217" s="453"/>
      <c r="R217" s="298"/>
      <c r="S217" s="669"/>
      <c r="T217" s="444"/>
      <c r="X217" s="444">
        <v>217</v>
      </c>
    </row>
    <row r="218" spans="1:32" s="61" customFormat="1" ht="12">
      <c r="A218" s="83" t="s">
        <v>18766</v>
      </c>
      <c r="B218" s="64" t="s">
        <v>18683</v>
      </c>
      <c r="C218" s="71" t="s">
        <v>10216</v>
      </c>
      <c r="D218" s="79">
        <v>1</v>
      </c>
      <c r="E218" s="79">
        <v>577.26</v>
      </c>
      <c r="F218" s="79">
        <v>577.26</v>
      </c>
      <c r="G218" s="445"/>
      <c r="H218" s="178">
        <v>577.25</v>
      </c>
      <c r="I218" s="178">
        <v>710.02</v>
      </c>
      <c r="J218" s="70">
        <v>-132.76</v>
      </c>
      <c r="K218" s="320"/>
      <c r="L218" s="178"/>
      <c r="M218" s="178">
        <v>577.26</v>
      </c>
      <c r="N218" s="179">
        <v>0</v>
      </c>
      <c r="O218" s="178">
        <v>577.26</v>
      </c>
      <c r="P218" s="453"/>
      <c r="R218" s="298"/>
      <c r="S218" s="669"/>
      <c r="T218" s="444"/>
      <c r="X218" s="444">
        <v>218</v>
      </c>
    </row>
    <row r="219" spans="1:32" s="61" customFormat="1" ht="12">
      <c r="A219" s="83" t="s">
        <v>10944</v>
      </c>
      <c r="B219" s="64" t="s">
        <v>39537</v>
      </c>
      <c r="C219" s="71"/>
      <c r="D219" s="79" t="s">
        <v>40899</v>
      </c>
      <c r="E219" s="79" t="s">
        <v>40899</v>
      </c>
      <c r="F219" s="79"/>
      <c r="G219" s="445"/>
      <c r="H219" s="178"/>
      <c r="I219" s="178"/>
      <c r="J219" s="70"/>
      <c r="K219" s="320"/>
      <c r="L219" s="178"/>
      <c r="M219" s="178"/>
      <c r="N219" s="179"/>
      <c r="O219" s="178"/>
      <c r="P219" s="453"/>
      <c r="R219" s="298"/>
      <c r="S219" s="669"/>
      <c r="T219" s="444"/>
      <c r="X219" s="444">
        <v>219</v>
      </c>
    </row>
    <row r="220" spans="1:32" s="61" customFormat="1" ht="12">
      <c r="A220" s="83" t="s">
        <v>18767</v>
      </c>
      <c r="B220" s="64" t="s">
        <v>18685</v>
      </c>
      <c r="C220" s="71" t="s">
        <v>207</v>
      </c>
      <c r="D220" s="79">
        <v>1</v>
      </c>
      <c r="E220" s="79">
        <v>12.69</v>
      </c>
      <c r="F220" s="79">
        <v>12.69</v>
      </c>
      <c r="G220" s="445"/>
      <c r="H220" s="178">
        <v>12.67</v>
      </c>
      <c r="I220" s="178">
        <v>15.59</v>
      </c>
      <c r="J220" s="70">
        <v>-2.9000000000000004</v>
      </c>
      <c r="K220" s="320"/>
      <c r="L220" s="178">
        <v>5.2799999999999994</v>
      </c>
      <c r="M220" s="178">
        <v>7.41</v>
      </c>
      <c r="N220" s="179">
        <v>0</v>
      </c>
      <c r="O220" s="178">
        <v>12.69</v>
      </c>
      <c r="P220" s="453"/>
      <c r="R220" s="298"/>
      <c r="S220" s="669"/>
      <c r="T220" s="444"/>
      <c r="X220" s="444">
        <v>220</v>
      </c>
    </row>
    <row r="221" spans="1:32" s="61" customFormat="1" ht="12">
      <c r="A221" s="83" t="s">
        <v>18768</v>
      </c>
      <c r="B221" s="64" t="s">
        <v>18601</v>
      </c>
      <c r="C221" s="71" t="s">
        <v>207</v>
      </c>
      <c r="D221" s="79">
        <v>1</v>
      </c>
      <c r="E221" s="79">
        <v>13.37</v>
      </c>
      <c r="F221" s="79">
        <v>13.37</v>
      </c>
      <c r="G221" s="445"/>
      <c r="H221" s="178">
        <v>13.35</v>
      </c>
      <c r="I221" s="178">
        <v>16.420000000000002</v>
      </c>
      <c r="J221" s="70">
        <v>-3.0500000000000025</v>
      </c>
      <c r="K221" s="320"/>
      <c r="L221" s="178">
        <v>5.2799999999999994</v>
      </c>
      <c r="M221" s="178">
        <v>8.09</v>
      </c>
      <c r="N221" s="179">
        <v>0</v>
      </c>
      <c r="O221" s="178">
        <v>13.37</v>
      </c>
      <c r="P221" s="453"/>
      <c r="R221" s="298"/>
      <c r="S221" s="669"/>
      <c r="T221" s="444"/>
      <c r="X221" s="444">
        <v>221</v>
      </c>
    </row>
    <row r="222" spans="1:32" s="61" customFormat="1" ht="12">
      <c r="A222" s="83" t="s">
        <v>18769</v>
      </c>
      <c r="B222" s="64" t="s">
        <v>18688</v>
      </c>
      <c r="C222" s="71" t="s">
        <v>207</v>
      </c>
      <c r="D222" s="79">
        <v>1</v>
      </c>
      <c r="E222" s="79">
        <v>9.84</v>
      </c>
      <c r="F222" s="79">
        <v>9.84</v>
      </c>
      <c r="G222" s="445"/>
      <c r="H222" s="178">
        <v>9.84</v>
      </c>
      <c r="I222" s="178">
        <v>12.1</v>
      </c>
      <c r="J222" s="70">
        <v>-2.2599999999999998</v>
      </c>
      <c r="K222" s="320"/>
      <c r="L222" s="178">
        <v>1.58</v>
      </c>
      <c r="M222" s="178">
        <v>8.26</v>
      </c>
      <c r="N222" s="179">
        <v>0</v>
      </c>
      <c r="O222" s="178">
        <v>9.84</v>
      </c>
      <c r="P222" s="453"/>
      <c r="R222" s="298"/>
      <c r="S222" s="669"/>
      <c r="T222" s="444"/>
      <c r="X222" s="444">
        <v>222</v>
      </c>
    </row>
    <row r="223" spans="1:32" s="61" customFormat="1">
      <c r="A223" s="67" t="s">
        <v>29549</v>
      </c>
      <c r="B223" s="67" t="s">
        <v>29550</v>
      </c>
      <c r="C223" s="71" t="s">
        <v>207</v>
      </c>
      <c r="D223" s="79">
        <v>1</v>
      </c>
      <c r="E223" s="79">
        <v>35.880000000000003</v>
      </c>
      <c r="F223" s="79">
        <v>35.880000000000003</v>
      </c>
      <c r="G223" s="444"/>
      <c r="H223" s="178">
        <v>35.86</v>
      </c>
      <c r="I223" s="178">
        <v>44.11</v>
      </c>
      <c r="J223" s="70">
        <v>-8.2299999999999969</v>
      </c>
      <c r="K223" s="320"/>
      <c r="L223" s="178">
        <v>5.2799999999999994</v>
      </c>
      <c r="M223" s="178">
        <v>30.6</v>
      </c>
      <c r="N223" s="179">
        <v>0</v>
      </c>
      <c r="O223" s="178">
        <v>35.880000000000003</v>
      </c>
      <c r="P223" s="444"/>
      <c r="R223" s="298"/>
      <c r="S223" s="669"/>
      <c r="T223" s="444"/>
      <c r="U223" s="444"/>
      <c r="V223" s="444"/>
      <c r="W223" s="444"/>
      <c r="X223" s="444">
        <v>223</v>
      </c>
      <c r="Y223" s="444"/>
      <c r="Z223" s="444"/>
      <c r="AA223" s="444"/>
      <c r="AB223" s="444"/>
      <c r="AC223" s="444"/>
      <c r="AD223" s="444"/>
      <c r="AE223" s="444"/>
      <c r="AF223" s="444"/>
    </row>
    <row r="224" spans="1:32">
      <c r="A224" s="67" t="s">
        <v>29551</v>
      </c>
      <c r="B224" s="67" t="s">
        <v>39538</v>
      </c>
      <c r="C224" s="71" t="s">
        <v>509</v>
      </c>
      <c r="D224" s="79">
        <v>1</v>
      </c>
      <c r="E224" s="79">
        <v>15.549999999999999</v>
      </c>
      <c r="F224" s="79">
        <v>15.55</v>
      </c>
      <c r="H224" s="178">
        <v>15.54</v>
      </c>
      <c r="I224" s="178">
        <v>19.12</v>
      </c>
      <c r="J224" s="70">
        <v>-3.5700000000000021</v>
      </c>
      <c r="K224" s="320"/>
      <c r="L224" s="178">
        <v>2.11</v>
      </c>
      <c r="M224" s="178">
        <v>13.44</v>
      </c>
      <c r="N224" s="179">
        <v>0</v>
      </c>
      <c r="O224" s="178">
        <v>15.549999999999999</v>
      </c>
      <c r="Q224" s="61"/>
      <c r="R224" s="298"/>
      <c r="S224" s="669"/>
      <c r="X224" s="444">
        <v>224</v>
      </c>
    </row>
    <row r="225" spans="1:32">
      <c r="A225" s="67" t="s">
        <v>29552</v>
      </c>
      <c r="B225" s="67" t="s">
        <v>39539</v>
      </c>
      <c r="C225" s="71" t="s">
        <v>509</v>
      </c>
      <c r="D225" s="79">
        <v>1</v>
      </c>
      <c r="E225" s="79">
        <v>20.52</v>
      </c>
      <c r="F225" s="79">
        <v>20.52</v>
      </c>
      <c r="H225" s="178">
        <v>20.51</v>
      </c>
      <c r="I225" s="178">
        <v>25.23</v>
      </c>
      <c r="J225" s="70">
        <v>-4.7100000000000009</v>
      </c>
      <c r="K225" s="320"/>
      <c r="L225" s="178">
        <v>2.11</v>
      </c>
      <c r="M225" s="178">
        <v>18.41</v>
      </c>
      <c r="N225" s="179">
        <v>0</v>
      </c>
      <c r="O225" s="178">
        <v>20.52</v>
      </c>
      <c r="Q225" s="61"/>
      <c r="R225" s="298"/>
      <c r="S225" s="669"/>
      <c r="X225" s="444">
        <v>225</v>
      </c>
    </row>
    <row r="226" spans="1:32">
      <c r="A226" s="67" t="s">
        <v>29553</v>
      </c>
      <c r="B226" s="216" t="s">
        <v>39540</v>
      </c>
      <c r="C226" s="71" t="s">
        <v>509</v>
      </c>
      <c r="D226" s="79">
        <v>1</v>
      </c>
      <c r="E226" s="79">
        <v>29.74</v>
      </c>
      <c r="F226" s="79">
        <v>29.74</v>
      </c>
      <c r="H226" s="178">
        <v>29.74</v>
      </c>
      <c r="I226" s="178">
        <v>36.58</v>
      </c>
      <c r="J226" s="70">
        <v>-6.84</v>
      </c>
      <c r="K226" s="320"/>
      <c r="L226" s="178">
        <v>2.11</v>
      </c>
      <c r="M226" s="178">
        <v>27.63</v>
      </c>
      <c r="N226" s="179">
        <v>0</v>
      </c>
      <c r="O226" s="178">
        <v>29.74</v>
      </c>
      <c r="Q226" s="61"/>
      <c r="R226" s="298"/>
      <c r="S226" s="669"/>
      <c r="X226" s="444">
        <v>226</v>
      </c>
    </row>
    <row r="227" spans="1:32" ht="12">
      <c r="A227" s="83" t="s">
        <v>18770</v>
      </c>
      <c r="B227" s="146" t="s">
        <v>18771</v>
      </c>
      <c r="C227" s="134" t="s">
        <v>207</v>
      </c>
      <c r="D227" s="79">
        <v>1</v>
      </c>
      <c r="E227" s="79">
        <v>69.42</v>
      </c>
      <c r="F227" s="79">
        <v>69.42</v>
      </c>
      <c r="G227" s="445"/>
      <c r="H227" s="178">
        <v>69.41</v>
      </c>
      <c r="I227" s="178">
        <v>85.37</v>
      </c>
      <c r="J227" s="70">
        <v>-15.950000000000003</v>
      </c>
      <c r="K227" s="320"/>
      <c r="L227" s="178">
        <v>18.47</v>
      </c>
      <c r="M227" s="178">
        <v>50.95</v>
      </c>
      <c r="N227" s="179">
        <v>0</v>
      </c>
      <c r="O227" s="178">
        <v>69.42</v>
      </c>
      <c r="P227" s="453"/>
      <c r="Q227" s="61"/>
      <c r="R227" s="298"/>
      <c r="S227" s="669"/>
      <c r="U227" s="61"/>
      <c r="V227" s="61"/>
      <c r="W227" s="61"/>
      <c r="X227" s="444">
        <v>227</v>
      </c>
      <c r="Y227" s="61"/>
      <c r="Z227" s="61"/>
      <c r="AA227" s="61"/>
      <c r="AB227" s="61"/>
      <c r="AC227" s="61"/>
      <c r="AD227" s="61"/>
      <c r="AE227" s="61"/>
      <c r="AF227" s="61"/>
    </row>
    <row r="228" spans="1:32" s="61" customFormat="1">
      <c r="A228" s="67" t="s">
        <v>29554</v>
      </c>
      <c r="B228" s="67" t="s">
        <v>39541</v>
      </c>
      <c r="C228" s="71" t="s">
        <v>509</v>
      </c>
      <c r="D228" s="79">
        <v>1</v>
      </c>
      <c r="E228" s="79">
        <v>48.9</v>
      </c>
      <c r="F228" s="79">
        <v>48.9</v>
      </c>
      <c r="G228" s="444"/>
      <c r="H228" s="178">
        <v>48.89</v>
      </c>
      <c r="I228" s="178">
        <v>60.14</v>
      </c>
      <c r="J228" s="70">
        <v>-11.240000000000002</v>
      </c>
      <c r="K228" s="320"/>
      <c r="L228" s="178">
        <v>2.11</v>
      </c>
      <c r="M228" s="178">
        <v>46.79</v>
      </c>
      <c r="N228" s="179">
        <v>0</v>
      </c>
      <c r="O228" s="178">
        <v>48.9</v>
      </c>
      <c r="P228" s="444"/>
      <c r="R228" s="298"/>
      <c r="S228" s="669"/>
      <c r="T228" s="444"/>
      <c r="U228" s="444"/>
      <c r="V228" s="444"/>
      <c r="W228" s="444"/>
      <c r="X228" s="444">
        <v>228</v>
      </c>
      <c r="Y228" s="444"/>
      <c r="Z228" s="444"/>
      <c r="AA228" s="444"/>
      <c r="AB228" s="444"/>
      <c r="AC228" s="444"/>
      <c r="AD228" s="444"/>
      <c r="AE228" s="444"/>
      <c r="AF228" s="444"/>
    </row>
    <row r="229" spans="1:32">
      <c r="A229" s="67" t="s">
        <v>29555</v>
      </c>
      <c r="B229" s="67" t="s">
        <v>29556</v>
      </c>
      <c r="C229" s="71" t="s">
        <v>6332</v>
      </c>
      <c r="D229" s="79">
        <v>1</v>
      </c>
      <c r="E229" s="79">
        <v>127.83999999999999</v>
      </c>
      <c r="F229" s="79">
        <v>127.84</v>
      </c>
      <c r="H229" s="178">
        <v>127.85</v>
      </c>
      <c r="I229" s="178">
        <v>157.26</v>
      </c>
      <c r="J229" s="70">
        <v>-29.42</v>
      </c>
      <c r="K229" s="320"/>
      <c r="L229" s="178">
        <v>10.52</v>
      </c>
      <c r="M229" s="178">
        <v>117.32</v>
      </c>
      <c r="N229" s="179">
        <v>0</v>
      </c>
      <c r="O229" s="178">
        <v>127.83999999999999</v>
      </c>
      <c r="Q229" s="61"/>
      <c r="R229" s="298"/>
      <c r="S229" s="669"/>
      <c r="X229" s="444">
        <v>229</v>
      </c>
    </row>
    <row r="230" spans="1:32" ht="24">
      <c r="A230" s="83" t="s">
        <v>10946</v>
      </c>
      <c r="B230" s="146" t="s">
        <v>18772</v>
      </c>
      <c r="C230" s="134" t="s">
        <v>103</v>
      </c>
      <c r="D230" s="79">
        <v>1</v>
      </c>
      <c r="E230" s="79">
        <v>95.84</v>
      </c>
      <c r="F230" s="79">
        <v>95.84</v>
      </c>
      <c r="G230" s="445"/>
      <c r="H230" s="178">
        <v>95.81</v>
      </c>
      <c r="I230" s="178">
        <v>117.85</v>
      </c>
      <c r="J230" s="70">
        <v>-22.009999999999991</v>
      </c>
      <c r="K230" s="320"/>
      <c r="L230" s="178">
        <v>16.21</v>
      </c>
      <c r="M230" s="178">
        <v>79.63</v>
      </c>
      <c r="N230" s="179">
        <v>0</v>
      </c>
      <c r="O230" s="178">
        <v>95.84</v>
      </c>
      <c r="P230" s="453"/>
      <c r="Q230" s="61"/>
      <c r="R230" s="298"/>
      <c r="S230" s="669"/>
      <c r="U230" s="61"/>
      <c r="V230" s="61"/>
      <c r="W230" s="61"/>
      <c r="X230" s="444">
        <v>230</v>
      </c>
      <c r="Y230" s="61"/>
      <c r="Z230" s="61"/>
      <c r="AA230" s="61"/>
      <c r="AB230" s="61"/>
      <c r="AC230" s="61"/>
      <c r="AD230" s="61"/>
      <c r="AE230" s="61"/>
      <c r="AF230" s="61"/>
    </row>
    <row r="231" spans="1:32" ht="24">
      <c r="A231" s="83" t="s">
        <v>18773</v>
      </c>
      <c r="B231" s="146" t="s">
        <v>18774</v>
      </c>
      <c r="C231" s="134" t="s">
        <v>103</v>
      </c>
      <c r="D231" s="79">
        <v>1</v>
      </c>
      <c r="E231" s="79">
        <v>111.98</v>
      </c>
      <c r="F231" s="79">
        <v>111.98</v>
      </c>
      <c r="G231" s="445"/>
      <c r="H231" s="178">
        <v>111.96</v>
      </c>
      <c r="I231" s="178">
        <v>137.71</v>
      </c>
      <c r="J231" s="70">
        <v>-25.730000000000004</v>
      </c>
      <c r="K231" s="320"/>
      <c r="L231" s="178">
        <v>16.21</v>
      </c>
      <c r="M231" s="178">
        <v>95.77000000000001</v>
      </c>
      <c r="N231" s="179">
        <v>0</v>
      </c>
      <c r="O231" s="178">
        <v>111.98000000000002</v>
      </c>
      <c r="P231" s="453"/>
      <c r="Q231" s="61"/>
      <c r="R231" s="298"/>
      <c r="S231" s="669"/>
      <c r="U231" s="61"/>
      <c r="V231" s="61"/>
      <c r="W231" s="61"/>
      <c r="X231" s="444">
        <v>231</v>
      </c>
      <c r="Y231" s="61"/>
      <c r="Z231" s="61"/>
      <c r="AA231" s="61"/>
      <c r="AB231" s="61"/>
      <c r="AC231" s="61"/>
      <c r="AD231" s="61"/>
      <c r="AE231" s="61"/>
      <c r="AF231" s="61"/>
    </row>
    <row r="232" spans="1:32" ht="24">
      <c r="A232" s="83" t="s">
        <v>18775</v>
      </c>
      <c r="B232" s="146" t="s">
        <v>18776</v>
      </c>
      <c r="C232" s="134" t="s">
        <v>103</v>
      </c>
      <c r="D232" s="79">
        <v>1</v>
      </c>
      <c r="E232" s="79">
        <v>137.72999999999999</v>
      </c>
      <c r="F232" s="79">
        <v>137.72999999999999</v>
      </c>
      <c r="G232" s="445"/>
      <c r="H232" s="178">
        <v>137.71</v>
      </c>
      <c r="I232" s="178">
        <v>169.38</v>
      </c>
      <c r="J232" s="70">
        <v>-31.650000000000006</v>
      </c>
      <c r="K232" s="320"/>
      <c r="L232" s="178">
        <v>16.21</v>
      </c>
      <c r="M232" s="178">
        <v>121.51999999999998</v>
      </c>
      <c r="N232" s="179">
        <v>0</v>
      </c>
      <c r="O232" s="178">
        <v>137.72999999999999</v>
      </c>
      <c r="P232" s="453"/>
      <c r="Q232" s="61"/>
      <c r="R232" s="298"/>
      <c r="S232" s="669"/>
      <c r="X232" s="444">
        <v>232</v>
      </c>
    </row>
    <row r="233" spans="1:32" ht="24">
      <c r="A233" s="83" t="s">
        <v>18777</v>
      </c>
      <c r="B233" s="146" t="s">
        <v>18778</v>
      </c>
      <c r="C233" s="134" t="s">
        <v>103</v>
      </c>
      <c r="D233" s="79">
        <v>1</v>
      </c>
      <c r="E233" s="79">
        <v>197.32</v>
      </c>
      <c r="F233" s="79">
        <v>197.32</v>
      </c>
      <c r="G233" s="445"/>
      <c r="H233" s="178">
        <v>197.3</v>
      </c>
      <c r="I233" s="178">
        <v>242.68</v>
      </c>
      <c r="J233" s="70">
        <v>-45.360000000000014</v>
      </c>
      <c r="K233" s="320"/>
      <c r="L233" s="178">
        <v>16.21</v>
      </c>
      <c r="M233" s="178">
        <v>181.10999999999999</v>
      </c>
      <c r="N233" s="179">
        <v>0</v>
      </c>
      <c r="O233" s="178">
        <v>197.32</v>
      </c>
      <c r="P233" s="453"/>
      <c r="Q233" s="61"/>
      <c r="R233" s="298"/>
      <c r="S233" s="669"/>
      <c r="X233" s="444">
        <v>233</v>
      </c>
    </row>
    <row r="234" spans="1:32" ht="24">
      <c r="A234" s="83" t="s">
        <v>18779</v>
      </c>
      <c r="B234" s="146" t="s">
        <v>18780</v>
      </c>
      <c r="C234" s="134" t="s">
        <v>103</v>
      </c>
      <c r="D234" s="79">
        <v>1</v>
      </c>
      <c r="E234" s="79">
        <v>297.33</v>
      </c>
      <c r="F234" s="79">
        <v>297.33</v>
      </c>
      <c r="G234" s="445"/>
      <c r="H234" s="178">
        <v>297.32</v>
      </c>
      <c r="I234" s="178">
        <v>365.7</v>
      </c>
      <c r="J234" s="70">
        <v>-68.37</v>
      </c>
      <c r="K234" s="320"/>
      <c r="L234" s="178">
        <v>19.29</v>
      </c>
      <c r="M234" s="178">
        <v>278.03999999999996</v>
      </c>
      <c r="N234" s="179">
        <v>0</v>
      </c>
      <c r="O234" s="178">
        <v>297.33</v>
      </c>
      <c r="P234" s="453"/>
      <c r="Q234" s="61"/>
      <c r="R234" s="298"/>
      <c r="S234" s="669"/>
      <c r="X234" s="444">
        <v>234</v>
      </c>
    </row>
    <row r="235" spans="1:32" ht="12">
      <c r="A235" s="83" t="s">
        <v>18781</v>
      </c>
      <c r="B235" s="64" t="s">
        <v>18690</v>
      </c>
      <c r="C235" s="71" t="s">
        <v>10216</v>
      </c>
      <c r="D235" s="79">
        <v>1</v>
      </c>
      <c r="E235" s="79">
        <v>577.26</v>
      </c>
      <c r="F235" s="79">
        <v>577.26</v>
      </c>
      <c r="G235" s="445"/>
      <c r="H235" s="178">
        <v>577.25</v>
      </c>
      <c r="I235" s="178">
        <v>710.02</v>
      </c>
      <c r="J235" s="70">
        <v>-132.76</v>
      </c>
      <c r="K235" s="320"/>
      <c r="L235" s="178"/>
      <c r="M235" s="178">
        <v>577.26</v>
      </c>
      <c r="N235" s="179">
        <v>0</v>
      </c>
      <c r="O235" s="178">
        <v>577.26</v>
      </c>
      <c r="P235" s="453"/>
      <c r="Q235" s="61"/>
      <c r="R235" s="298"/>
      <c r="S235" s="669"/>
      <c r="X235" s="444">
        <v>235</v>
      </c>
    </row>
    <row r="236" spans="1:32" ht="12">
      <c r="A236" s="83" t="s">
        <v>10950</v>
      </c>
      <c r="B236" s="64" t="s">
        <v>39542</v>
      </c>
      <c r="C236" s="71"/>
      <c r="D236" s="79" t="s">
        <v>40899</v>
      </c>
      <c r="E236" s="79" t="s">
        <v>40899</v>
      </c>
      <c r="F236" s="79"/>
      <c r="G236" s="445"/>
      <c r="H236" s="178"/>
      <c r="I236" s="178"/>
      <c r="J236" s="70"/>
      <c r="K236" s="320"/>
      <c r="L236" s="178"/>
      <c r="M236" s="178"/>
      <c r="N236" s="179"/>
      <c r="O236" s="178"/>
      <c r="P236" s="453"/>
      <c r="Q236" s="61"/>
      <c r="R236" s="298"/>
      <c r="S236" s="669"/>
      <c r="X236" s="444">
        <v>236</v>
      </c>
    </row>
    <row r="237" spans="1:32" ht="12">
      <c r="A237" s="83" t="s">
        <v>18782</v>
      </c>
      <c r="B237" s="64" t="s">
        <v>18783</v>
      </c>
      <c r="C237" s="71" t="s">
        <v>509</v>
      </c>
      <c r="D237" s="79">
        <v>1</v>
      </c>
      <c r="E237" s="79">
        <v>181.84000000000003</v>
      </c>
      <c r="F237" s="79">
        <v>181.84</v>
      </c>
      <c r="G237" s="445"/>
      <c r="H237" s="178">
        <v>181.85</v>
      </c>
      <c r="I237" s="178">
        <v>223.68</v>
      </c>
      <c r="J237" s="70">
        <v>-41.839999999999975</v>
      </c>
      <c r="K237" s="320"/>
      <c r="L237" s="178">
        <v>38.94</v>
      </c>
      <c r="M237" s="178">
        <v>142.90000000000003</v>
      </c>
      <c r="N237" s="179">
        <v>0</v>
      </c>
      <c r="O237" s="178">
        <v>181.84000000000003</v>
      </c>
      <c r="P237" s="453"/>
      <c r="Q237" s="61"/>
      <c r="R237" s="298"/>
      <c r="S237" s="669"/>
      <c r="X237" s="444">
        <v>237</v>
      </c>
    </row>
    <row r="238" spans="1:32" ht="12">
      <c r="A238" s="83" t="s">
        <v>18784</v>
      </c>
      <c r="B238" s="64" t="s">
        <v>18785</v>
      </c>
      <c r="C238" s="71" t="s">
        <v>509</v>
      </c>
      <c r="D238" s="79">
        <v>1</v>
      </c>
      <c r="E238" s="79">
        <v>182.37000000000003</v>
      </c>
      <c r="F238" s="79">
        <v>182.37</v>
      </c>
      <c r="G238" s="445"/>
      <c r="H238" s="178">
        <v>182.39</v>
      </c>
      <c r="I238" s="178">
        <v>224.34</v>
      </c>
      <c r="J238" s="70">
        <v>-41.96999999999997</v>
      </c>
      <c r="K238" s="320"/>
      <c r="L238" s="178">
        <v>38.94</v>
      </c>
      <c r="M238" s="178">
        <v>143.43000000000004</v>
      </c>
      <c r="N238" s="179">
        <v>0</v>
      </c>
      <c r="O238" s="178">
        <v>182.37000000000003</v>
      </c>
      <c r="P238" s="453"/>
      <c r="Q238" s="61"/>
      <c r="R238" s="298"/>
      <c r="S238" s="669"/>
      <c r="X238" s="444">
        <v>238</v>
      </c>
    </row>
    <row r="239" spans="1:32" ht="12">
      <c r="A239" s="83" t="s">
        <v>18786</v>
      </c>
      <c r="B239" s="64" t="s">
        <v>18787</v>
      </c>
      <c r="C239" s="71" t="s">
        <v>509</v>
      </c>
      <c r="D239" s="79">
        <v>1</v>
      </c>
      <c r="E239" s="79">
        <v>198.81</v>
      </c>
      <c r="F239" s="79">
        <v>198.81</v>
      </c>
      <c r="G239" s="445"/>
      <c r="H239" s="178">
        <v>198.85</v>
      </c>
      <c r="I239" s="178">
        <v>244.58</v>
      </c>
      <c r="J239" s="70">
        <v>-45.77000000000001</v>
      </c>
      <c r="K239" s="320"/>
      <c r="L239" s="178">
        <v>40.36</v>
      </c>
      <c r="M239" s="178">
        <v>158.44999999999999</v>
      </c>
      <c r="N239" s="179">
        <v>0</v>
      </c>
      <c r="O239" s="178">
        <v>198.81</v>
      </c>
      <c r="P239" s="453"/>
      <c r="Q239" s="61"/>
      <c r="R239" s="298"/>
      <c r="S239" s="669"/>
      <c r="X239" s="444">
        <v>239</v>
      </c>
    </row>
    <row r="240" spans="1:32" ht="12">
      <c r="A240" s="83" t="s">
        <v>18788</v>
      </c>
      <c r="B240" s="64" t="s">
        <v>18789</v>
      </c>
      <c r="C240" s="71" t="s">
        <v>509</v>
      </c>
      <c r="D240" s="79">
        <v>1</v>
      </c>
      <c r="E240" s="79">
        <v>207.3</v>
      </c>
      <c r="F240" s="79">
        <v>207.3</v>
      </c>
      <c r="G240" s="445"/>
      <c r="H240" s="178">
        <v>207.33</v>
      </c>
      <c r="I240" s="178">
        <v>255.02</v>
      </c>
      <c r="J240" s="70">
        <v>-47.72</v>
      </c>
      <c r="K240" s="320"/>
      <c r="L240" s="178">
        <v>40.36</v>
      </c>
      <c r="M240" s="178">
        <v>166.94</v>
      </c>
      <c r="N240" s="179">
        <v>0</v>
      </c>
      <c r="O240" s="178">
        <v>207.3</v>
      </c>
      <c r="P240" s="453"/>
      <c r="Q240" s="61"/>
      <c r="R240" s="298"/>
      <c r="S240" s="669"/>
      <c r="X240" s="444">
        <v>240</v>
      </c>
    </row>
    <row r="241" spans="1:24" ht="12">
      <c r="A241" s="83" t="s">
        <v>18790</v>
      </c>
      <c r="B241" s="64" t="s">
        <v>18791</v>
      </c>
      <c r="C241" s="71" t="s">
        <v>509</v>
      </c>
      <c r="D241" s="79">
        <v>1</v>
      </c>
      <c r="E241" s="79">
        <v>205.76000000000002</v>
      </c>
      <c r="F241" s="79">
        <v>205.76</v>
      </c>
      <c r="G241" s="445"/>
      <c r="H241" s="178">
        <v>205.76</v>
      </c>
      <c r="I241" s="178">
        <v>253.09</v>
      </c>
      <c r="J241" s="70">
        <v>-47.329999999999984</v>
      </c>
      <c r="K241" s="320"/>
      <c r="L241" s="178">
        <v>42.54</v>
      </c>
      <c r="M241" s="178">
        <v>163.22000000000003</v>
      </c>
      <c r="N241" s="179">
        <v>0</v>
      </c>
      <c r="O241" s="178">
        <v>205.76000000000002</v>
      </c>
      <c r="P241" s="453"/>
      <c r="Q241" s="61"/>
      <c r="R241" s="298"/>
      <c r="S241" s="669"/>
      <c r="X241" s="444">
        <v>241</v>
      </c>
    </row>
    <row r="242" spans="1:24" ht="12">
      <c r="A242" s="83" t="s">
        <v>18792</v>
      </c>
      <c r="B242" s="64" t="s">
        <v>18793</v>
      </c>
      <c r="C242" s="71" t="s">
        <v>509</v>
      </c>
      <c r="D242" s="79">
        <v>1</v>
      </c>
      <c r="E242" s="79">
        <v>222.03000000000003</v>
      </c>
      <c r="F242" s="79">
        <v>222.03</v>
      </c>
      <c r="G242" s="445"/>
      <c r="H242" s="178">
        <v>222.03</v>
      </c>
      <c r="I242" s="178">
        <v>273.10000000000002</v>
      </c>
      <c r="J242" s="70">
        <v>-51.069999999999993</v>
      </c>
      <c r="K242" s="320"/>
      <c r="L242" s="178">
        <v>42.54</v>
      </c>
      <c r="M242" s="178">
        <v>179.49000000000004</v>
      </c>
      <c r="N242" s="179">
        <v>0</v>
      </c>
      <c r="O242" s="178">
        <v>222.03000000000003</v>
      </c>
      <c r="P242" s="453"/>
      <c r="Q242" s="61"/>
      <c r="R242" s="298"/>
      <c r="S242" s="669"/>
      <c r="X242" s="444">
        <v>242</v>
      </c>
    </row>
    <row r="243" spans="1:24" ht="12">
      <c r="A243" s="83" t="s">
        <v>18794</v>
      </c>
      <c r="B243" s="64" t="s">
        <v>18795</v>
      </c>
      <c r="C243" s="71" t="s">
        <v>509</v>
      </c>
      <c r="D243" s="79">
        <v>1</v>
      </c>
      <c r="E243" s="79">
        <v>221.29000000000002</v>
      </c>
      <c r="F243" s="79">
        <v>221.29</v>
      </c>
      <c r="G243" s="445"/>
      <c r="H243" s="178">
        <v>221.29</v>
      </c>
      <c r="I243" s="178">
        <v>272.19</v>
      </c>
      <c r="J243" s="70">
        <v>-50.899999999999977</v>
      </c>
      <c r="K243" s="320"/>
      <c r="L243" s="178">
        <v>42.54</v>
      </c>
      <c r="M243" s="178">
        <v>178.75000000000003</v>
      </c>
      <c r="N243" s="179">
        <v>0</v>
      </c>
      <c r="O243" s="178">
        <v>221.29000000000002</v>
      </c>
      <c r="P243" s="453"/>
      <c r="Q243" s="61"/>
      <c r="R243" s="298"/>
      <c r="S243" s="669"/>
      <c r="X243" s="444">
        <v>243</v>
      </c>
    </row>
    <row r="244" spans="1:24" ht="12">
      <c r="A244" s="83" t="s">
        <v>18796</v>
      </c>
      <c r="B244" s="64" t="s">
        <v>18797</v>
      </c>
      <c r="C244" s="71" t="s">
        <v>509</v>
      </c>
      <c r="D244" s="79">
        <v>1</v>
      </c>
      <c r="E244" s="79">
        <v>217.56000000000003</v>
      </c>
      <c r="F244" s="79">
        <v>217.56</v>
      </c>
      <c r="G244" s="445"/>
      <c r="H244" s="178">
        <v>217.59</v>
      </c>
      <c r="I244" s="178">
        <v>267.64</v>
      </c>
      <c r="J244" s="70">
        <v>-50.079999999999956</v>
      </c>
      <c r="K244" s="320"/>
      <c r="L244" s="178">
        <v>40.36</v>
      </c>
      <c r="M244" s="178">
        <v>177.20000000000005</v>
      </c>
      <c r="N244" s="179">
        <v>0</v>
      </c>
      <c r="O244" s="178">
        <v>217.56000000000006</v>
      </c>
      <c r="P244" s="453"/>
      <c r="Q244" s="61"/>
      <c r="R244" s="298"/>
      <c r="S244" s="669"/>
      <c r="X244" s="444">
        <v>244</v>
      </c>
    </row>
    <row r="245" spans="1:24" ht="12">
      <c r="A245" s="83" t="s">
        <v>18798</v>
      </c>
      <c r="B245" s="64" t="s">
        <v>18799</v>
      </c>
      <c r="C245" s="71" t="s">
        <v>121</v>
      </c>
      <c r="D245" s="79">
        <v>1</v>
      </c>
      <c r="E245" s="79">
        <v>559.6</v>
      </c>
      <c r="F245" s="79">
        <v>559.6</v>
      </c>
      <c r="G245" s="445"/>
      <c r="H245" s="178">
        <v>559.6</v>
      </c>
      <c r="I245" s="178">
        <v>688.31</v>
      </c>
      <c r="J245" s="70">
        <v>-128.70999999999992</v>
      </c>
      <c r="K245" s="320"/>
      <c r="L245" s="178">
        <v>80.050000000000011</v>
      </c>
      <c r="M245" s="178">
        <v>479.55</v>
      </c>
      <c r="N245" s="179">
        <v>0</v>
      </c>
      <c r="O245" s="178">
        <v>559.6</v>
      </c>
      <c r="P245" s="453"/>
      <c r="Q245" s="61"/>
      <c r="R245" s="298"/>
      <c r="S245" s="669"/>
      <c r="X245" s="444">
        <v>245</v>
      </c>
    </row>
    <row r="246" spans="1:24" ht="12">
      <c r="A246" s="83" t="s">
        <v>18800</v>
      </c>
      <c r="B246" s="64" t="s">
        <v>18801</v>
      </c>
      <c r="C246" s="71" t="s">
        <v>509</v>
      </c>
      <c r="D246" s="79">
        <v>1</v>
      </c>
      <c r="E246" s="79">
        <v>219.54000000000002</v>
      </c>
      <c r="F246" s="79">
        <v>219.54</v>
      </c>
      <c r="G246" s="445"/>
      <c r="H246" s="178">
        <v>219.57</v>
      </c>
      <c r="I246" s="178">
        <v>270.07</v>
      </c>
      <c r="J246" s="70">
        <v>-50.529999999999973</v>
      </c>
      <c r="K246" s="320"/>
      <c r="L246" s="178">
        <v>40.36</v>
      </c>
      <c r="M246" s="178">
        <v>179.18</v>
      </c>
      <c r="N246" s="179">
        <v>0</v>
      </c>
      <c r="O246" s="178">
        <v>219.54000000000002</v>
      </c>
      <c r="P246" s="453"/>
      <c r="Q246" s="61"/>
      <c r="R246" s="298"/>
      <c r="S246" s="669"/>
      <c r="X246" s="444">
        <v>246</v>
      </c>
    </row>
    <row r="247" spans="1:24" ht="12">
      <c r="A247" s="83" t="s">
        <v>18802</v>
      </c>
      <c r="B247" s="64" t="s">
        <v>18803</v>
      </c>
      <c r="C247" s="71" t="s">
        <v>121</v>
      </c>
      <c r="D247" s="79">
        <v>1</v>
      </c>
      <c r="E247" s="79">
        <v>583.89</v>
      </c>
      <c r="F247" s="79">
        <v>583.89</v>
      </c>
      <c r="G247" s="445"/>
      <c r="H247" s="178">
        <v>583.9</v>
      </c>
      <c r="I247" s="178">
        <v>718.2</v>
      </c>
      <c r="J247" s="70">
        <v>-134.31000000000006</v>
      </c>
      <c r="K247" s="320"/>
      <c r="L247" s="178">
        <v>80.050000000000011</v>
      </c>
      <c r="M247" s="178">
        <v>503.84</v>
      </c>
      <c r="N247" s="179">
        <v>0</v>
      </c>
      <c r="O247" s="178">
        <v>583.89</v>
      </c>
      <c r="P247" s="453"/>
      <c r="Q247" s="61"/>
      <c r="R247" s="298"/>
      <c r="S247" s="669"/>
      <c r="X247" s="444">
        <v>247</v>
      </c>
    </row>
    <row r="248" spans="1:24" ht="12">
      <c r="A248" s="83" t="s">
        <v>18804</v>
      </c>
      <c r="B248" s="64" t="s">
        <v>18805</v>
      </c>
      <c r="C248" s="71" t="s">
        <v>509</v>
      </c>
      <c r="D248" s="79">
        <v>1</v>
      </c>
      <c r="E248" s="79">
        <v>230.19000000000003</v>
      </c>
      <c r="F248" s="79">
        <v>230.19</v>
      </c>
      <c r="G248" s="445"/>
      <c r="H248" s="178">
        <v>230.22</v>
      </c>
      <c r="I248" s="178">
        <v>283.17</v>
      </c>
      <c r="J248" s="70">
        <v>-52.97999999999999</v>
      </c>
      <c r="K248" s="320"/>
      <c r="L248" s="178">
        <v>40.36</v>
      </c>
      <c r="M248" s="178">
        <v>189.83000000000004</v>
      </c>
      <c r="N248" s="179">
        <v>0</v>
      </c>
      <c r="O248" s="178">
        <v>230.19000000000005</v>
      </c>
      <c r="P248" s="453"/>
      <c r="Q248" s="61"/>
      <c r="R248" s="298"/>
      <c r="S248" s="669"/>
      <c r="T248" s="61"/>
      <c r="X248" s="444">
        <v>248</v>
      </c>
    </row>
    <row r="249" spans="1:24" ht="12">
      <c r="A249" s="83" t="s">
        <v>18806</v>
      </c>
      <c r="B249" s="64" t="s">
        <v>18807</v>
      </c>
      <c r="C249" s="71" t="s">
        <v>509</v>
      </c>
      <c r="D249" s="79">
        <v>1</v>
      </c>
      <c r="E249" s="79">
        <v>158.64000000000001</v>
      </c>
      <c r="F249" s="79">
        <v>158.63999999999999</v>
      </c>
      <c r="G249" s="445"/>
      <c r="H249" s="178">
        <v>158.63</v>
      </c>
      <c r="I249" s="178">
        <v>195.11</v>
      </c>
      <c r="J249" s="70">
        <v>-36.47</v>
      </c>
      <c r="K249" s="320"/>
      <c r="L249" s="178">
        <v>39.489999999999995</v>
      </c>
      <c r="M249" s="178">
        <v>119.15000000000002</v>
      </c>
      <c r="N249" s="179">
        <v>0</v>
      </c>
      <c r="O249" s="178">
        <v>158.64000000000001</v>
      </c>
      <c r="P249" s="453"/>
      <c r="Q249" s="61"/>
      <c r="R249" s="298"/>
      <c r="S249" s="669"/>
      <c r="T249" s="61"/>
      <c r="X249" s="444">
        <v>249</v>
      </c>
    </row>
    <row r="250" spans="1:24" ht="12">
      <c r="A250" s="83" t="s">
        <v>18808</v>
      </c>
      <c r="B250" s="64" t="s">
        <v>18809</v>
      </c>
      <c r="C250" s="71" t="s">
        <v>509</v>
      </c>
      <c r="D250" s="79">
        <v>1</v>
      </c>
      <c r="E250" s="79">
        <v>187.20999999999998</v>
      </c>
      <c r="F250" s="79">
        <v>187.21</v>
      </c>
      <c r="G250" s="445"/>
      <c r="H250" s="178">
        <v>187.19</v>
      </c>
      <c r="I250" s="178">
        <v>230.24</v>
      </c>
      <c r="J250" s="70">
        <v>-43.03000000000003</v>
      </c>
      <c r="K250" s="320"/>
      <c r="L250" s="178">
        <v>45.58</v>
      </c>
      <c r="M250" s="178">
        <v>141.63</v>
      </c>
      <c r="N250" s="179">
        <v>0</v>
      </c>
      <c r="O250" s="178">
        <v>187.20999999999998</v>
      </c>
      <c r="P250" s="453"/>
      <c r="Q250" s="61"/>
      <c r="R250" s="298"/>
      <c r="S250" s="669"/>
      <c r="T250" s="61"/>
      <c r="X250" s="444">
        <v>250</v>
      </c>
    </row>
    <row r="251" spans="1:24" ht="12">
      <c r="A251" s="83" t="s">
        <v>10952</v>
      </c>
      <c r="B251" s="64" t="s">
        <v>18696</v>
      </c>
      <c r="C251" s="71" t="s">
        <v>121</v>
      </c>
      <c r="D251" s="79">
        <v>1</v>
      </c>
      <c r="E251" s="79">
        <v>606.45999999999992</v>
      </c>
      <c r="F251" s="79">
        <v>606.46</v>
      </c>
      <c r="G251" s="445"/>
      <c r="H251" s="178">
        <v>606.46</v>
      </c>
      <c r="I251" s="178">
        <v>745.95</v>
      </c>
      <c r="J251" s="70">
        <v>-139.49000000000012</v>
      </c>
      <c r="K251" s="320"/>
      <c r="L251" s="178">
        <v>80.050000000000011</v>
      </c>
      <c r="M251" s="178">
        <v>526.40999999999985</v>
      </c>
      <c r="N251" s="179">
        <v>0</v>
      </c>
      <c r="O251" s="178">
        <v>606.45999999999981</v>
      </c>
      <c r="P251" s="453"/>
      <c r="Q251" s="61"/>
      <c r="R251" s="298"/>
      <c r="S251" s="669"/>
      <c r="T251" s="61"/>
      <c r="X251" s="444">
        <v>251</v>
      </c>
    </row>
    <row r="252" spans="1:24" ht="12">
      <c r="A252" s="83" t="s">
        <v>18810</v>
      </c>
      <c r="B252" s="64" t="s">
        <v>18811</v>
      </c>
      <c r="C252" s="71" t="s">
        <v>509</v>
      </c>
      <c r="D252" s="79">
        <v>1</v>
      </c>
      <c r="E252" s="79">
        <v>197.05</v>
      </c>
      <c r="F252" s="79">
        <v>197.05</v>
      </c>
      <c r="G252" s="445"/>
      <c r="H252" s="178">
        <v>197.03</v>
      </c>
      <c r="I252" s="178">
        <v>242.35</v>
      </c>
      <c r="J252" s="70">
        <v>-45.299999999999983</v>
      </c>
      <c r="K252" s="320"/>
      <c r="L252" s="178">
        <v>45.58</v>
      </c>
      <c r="M252" s="178">
        <v>151.47000000000003</v>
      </c>
      <c r="N252" s="179">
        <v>0</v>
      </c>
      <c r="O252" s="178">
        <v>197.05</v>
      </c>
      <c r="P252" s="453"/>
      <c r="Q252" s="61"/>
      <c r="R252" s="298"/>
      <c r="S252" s="669"/>
      <c r="T252" s="61"/>
      <c r="X252" s="444">
        <v>252</v>
      </c>
    </row>
    <row r="253" spans="1:24" ht="12">
      <c r="A253" s="83" t="s">
        <v>18812</v>
      </c>
      <c r="B253" s="64" t="s">
        <v>18813</v>
      </c>
      <c r="C253" s="71" t="s">
        <v>121</v>
      </c>
      <c r="D253" s="79">
        <v>1</v>
      </c>
      <c r="E253" s="79">
        <v>597.32999999999993</v>
      </c>
      <c r="F253" s="79">
        <v>597.33000000000004</v>
      </c>
      <c r="G253" s="445"/>
      <c r="H253" s="178">
        <v>597.33000000000004</v>
      </c>
      <c r="I253" s="178">
        <v>734.71</v>
      </c>
      <c r="J253" s="70">
        <v>-137.38000000000011</v>
      </c>
      <c r="K253" s="320"/>
      <c r="L253" s="178">
        <v>49.42</v>
      </c>
      <c r="M253" s="178">
        <v>547.91</v>
      </c>
      <c r="N253" s="179">
        <v>0</v>
      </c>
      <c r="O253" s="178">
        <v>597.32999999999993</v>
      </c>
      <c r="P253" s="453"/>
      <c r="Q253" s="61"/>
      <c r="R253" s="298"/>
      <c r="S253" s="669"/>
      <c r="T253" s="61"/>
      <c r="X253" s="444">
        <v>253</v>
      </c>
    </row>
    <row r="254" spans="1:24" ht="12">
      <c r="A254" s="83" t="s">
        <v>18814</v>
      </c>
      <c r="B254" s="64" t="s">
        <v>18815</v>
      </c>
      <c r="C254" s="71" t="s">
        <v>121</v>
      </c>
      <c r="D254" s="79">
        <v>1</v>
      </c>
      <c r="E254" s="79">
        <v>618.23</v>
      </c>
      <c r="F254" s="79">
        <v>618.23</v>
      </c>
      <c r="G254" s="445"/>
      <c r="H254" s="178">
        <v>618.22</v>
      </c>
      <c r="I254" s="178">
        <v>760.41</v>
      </c>
      <c r="J254" s="70">
        <v>-142.17999999999995</v>
      </c>
      <c r="K254" s="320"/>
      <c r="L254" s="178">
        <v>49.42</v>
      </c>
      <c r="M254" s="178">
        <v>568.81000000000006</v>
      </c>
      <c r="N254" s="179">
        <v>0</v>
      </c>
      <c r="O254" s="178">
        <v>618.23</v>
      </c>
      <c r="P254" s="453"/>
      <c r="Q254" s="61"/>
      <c r="R254" s="298"/>
      <c r="S254" s="669"/>
      <c r="T254" s="61"/>
      <c r="X254" s="444">
        <v>254</v>
      </c>
    </row>
    <row r="255" spans="1:24" ht="12">
      <c r="A255" s="83" t="s">
        <v>18816</v>
      </c>
      <c r="B255" s="64" t="s">
        <v>18817</v>
      </c>
      <c r="C255" s="71" t="s">
        <v>509</v>
      </c>
      <c r="D255" s="79">
        <v>1</v>
      </c>
      <c r="E255" s="79">
        <v>220.9</v>
      </c>
      <c r="F255" s="79">
        <v>220.9</v>
      </c>
      <c r="G255" s="445"/>
      <c r="H255" s="178">
        <v>220.91</v>
      </c>
      <c r="I255" s="178">
        <v>271.72000000000003</v>
      </c>
      <c r="J255" s="70">
        <v>-50.820000000000022</v>
      </c>
      <c r="K255" s="320"/>
      <c r="L255" s="178">
        <v>49.370000000000005</v>
      </c>
      <c r="M255" s="178">
        <v>171.53</v>
      </c>
      <c r="N255" s="179">
        <v>0</v>
      </c>
      <c r="O255" s="178">
        <v>220.9</v>
      </c>
      <c r="P255" s="453"/>
      <c r="Q255" s="61"/>
      <c r="R255" s="298"/>
      <c r="S255" s="669"/>
      <c r="T255" s="61"/>
      <c r="X255" s="444">
        <v>255</v>
      </c>
    </row>
    <row r="256" spans="1:24" ht="12">
      <c r="A256" s="83" t="s">
        <v>18818</v>
      </c>
      <c r="B256" s="64" t="s">
        <v>18819</v>
      </c>
      <c r="C256" s="71" t="s">
        <v>509</v>
      </c>
      <c r="D256" s="79">
        <v>1</v>
      </c>
      <c r="E256" s="79">
        <v>240.09</v>
      </c>
      <c r="F256" s="79">
        <v>240.09</v>
      </c>
      <c r="G256" s="445"/>
      <c r="H256" s="178">
        <v>240.1</v>
      </c>
      <c r="I256" s="178">
        <v>295.32</v>
      </c>
      <c r="J256" s="70">
        <v>-55.22999999999999</v>
      </c>
      <c r="K256" s="320"/>
      <c r="L256" s="178">
        <v>49.370000000000005</v>
      </c>
      <c r="M256" s="178">
        <v>190.72</v>
      </c>
      <c r="N256" s="179">
        <v>0</v>
      </c>
      <c r="O256" s="178">
        <v>240.09</v>
      </c>
      <c r="P256" s="453"/>
      <c r="Q256" s="61"/>
      <c r="R256" s="298"/>
      <c r="S256" s="669"/>
      <c r="T256" s="61"/>
      <c r="X256" s="444">
        <v>256</v>
      </c>
    </row>
    <row r="257" spans="1:32" ht="12">
      <c r="A257" s="83" t="s">
        <v>18820</v>
      </c>
      <c r="B257" s="64" t="s">
        <v>18821</v>
      </c>
      <c r="C257" s="71" t="s">
        <v>509</v>
      </c>
      <c r="D257" s="79">
        <v>1</v>
      </c>
      <c r="E257" s="79">
        <v>247.73</v>
      </c>
      <c r="F257" s="79">
        <v>247.73</v>
      </c>
      <c r="G257" s="445"/>
      <c r="H257" s="178">
        <v>247.74</v>
      </c>
      <c r="I257" s="178">
        <v>304.72000000000003</v>
      </c>
      <c r="J257" s="70">
        <v>-56.990000000000038</v>
      </c>
      <c r="K257" s="320"/>
      <c r="L257" s="178">
        <v>49.370000000000005</v>
      </c>
      <c r="M257" s="178">
        <v>198.35999999999999</v>
      </c>
      <c r="N257" s="179">
        <v>0</v>
      </c>
      <c r="O257" s="178">
        <v>247.73</v>
      </c>
      <c r="P257" s="453"/>
      <c r="Q257" s="61"/>
      <c r="R257" s="298"/>
      <c r="S257" s="669"/>
      <c r="T257" s="61"/>
      <c r="X257" s="444">
        <v>257</v>
      </c>
    </row>
    <row r="258" spans="1:32" ht="12">
      <c r="A258" s="83" t="s">
        <v>18822</v>
      </c>
      <c r="B258" s="64" t="s">
        <v>18702</v>
      </c>
      <c r="C258" s="71" t="s">
        <v>121</v>
      </c>
      <c r="D258" s="79">
        <v>1</v>
      </c>
      <c r="E258" s="79">
        <v>642.27</v>
      </c>
      <c r="F258" s="79">
        <v>642.27</v>
      </c>
      <c r="G258" s="445"/>
      <c r="H258" s="178">
        <v>642.27</v>
      </c>
      <c r="I258" s="178">
        <v>789.99</v>
      </c>
      <c r="J258" s="70">
        <v>-147.72000000000003</v>
      </c>
      <c r="K258" s="320"/>
      <c r="L258" s="178">
        <v>49.42</v>
      </c>
      <c r="M258" s="178">
        <v>592.85</v>
      </c>
      <c r="N258" s="179">
        <v>0</v>
      </c>
      <c r="O258" s="178">
        <v>642.27</v>
      </c>
      <c r="P258" s="453"/>
      <c r="Q258" s="61"/>
      <c r="R258" s="298"/>
      <c r="S258" s="669"/>
      <c r="X258" s="444">
        <v>258</v>
      </c>
    </row>
    <row r="259" spans="1:32" ht="12">
      <c r="A259" s="83" t="s">
        <v>18823</v>
      </c>
      <c r="B259" s="64" t="s">
        <v>18824</v>
      </c>
      <c r="C259" s="71" t="s">
        <v>509</v>
      </c>
      <c r="D259" s="79">
        <v>1</v>
      </c>
      <c r="E259" s="79">
        <v>259.38</v>
      </c>
      <c r="F259" s="79">
        <v>259.38</v>
      </c>
      <c r="G259" s="445"/>
      <c r="H259" s="178">
        <v>259.39</v>
      </c>
      <c r="I259" s="178">
        <v>319.05</v>
      </c>
      <c r="J259" s="70">
        <v>-59.670000000000016</v>
      </c>
      <c r="K259" s="320"/>
      <c r="L259" s="178">
        <v>55.28</v>
      </c>
      <c r="M259" s="178">
        <v>204.1</v>
      </c>
      <c r="N259" s="179">
        <v>0</v>
      </c>
      <c r="O259" s="178">
        <v>259.38</v>
      </c>
      <c r="P259" s="453"/>
      <c r="Q259" s="61"/>
      <c r="R259" s="298"/>
      <c r="S259" s="669"/>
      <c r="X259" s="444">
        <v>259</v>
      </c>
    </row>
    <row r="260" spans="1:32" ht="12">
      <c r="A260" s="83" t="s">
        <v>18825</v>
      </c>
      <c r="B260" s="64" t="s">
        <v>18826</v>
      </c>
      <c r="C260" s="71" t="s">
        <v>509</v>
      </c>
      <c r="D260" s="79">
        <v>1</v>
      </c>
      <c r="E260" s="79">
        <v>270.7</v>
      </c>
      <c r="F260" s="79">
        <v>270.7</v>
      </c>
      <c r="G260" s="445"/>
      <c r="H260" s="178">
        <v>270.70999999999998</v>
      </c>
      <c r="I260" s="178">
        <v>332.97</v>
      </c>
      <c r="J260" s="70">
        <v>-62.270000000000039</v>
      </c>
      <c r="K260" s="320"/>
      <c r="L260" s="178">
        <v>55.28</v>
      </c>
      <c r="M260" s="178">
        <v>215.42</v>
      </c>
      <c r="N260" s="179">
        <v>0</v>
      </c>
      <c r="O260" s="178">
        <v>270.7</v>
      </c>
      <c r="P260" s="453"/>
      <c r="Q260" s="61"/>
      <c r="R260" s="298"/>
      <c r="S260" s="669"/>
      <c r="X260" s="444">
        <v>260</v>
      </c>
    </row>
    <row r="261" spans="1:32" ht="12">
      <c r="A261" s="83" t="s">
        <v>18827</v>
      </c>
      <c r="B261" s="64" t="s">
        <v>18828</v>
      </c>
      <c r="C261" s="71" t="s">
        <v>509</v>
      </c>
      <c r="D261" s="79">
        <v>1</v>
      </c>
      <c r="E261" s="79">
        <v>335.79999999999995</v>
      </c>
      <c r="F261" s="79">
        <v>335.8</v>
      </c>
      <c r="G261" s="445"/>
      <c r="H261" s="178">
        <v>335.8</v>
      </c>
      <c r="I261" s="178">
        <v>413.04</v>
      </c>
      <c r="J261" s="70">
        <v>-77.240000000000066</v>
      </c>
      <c r="K261" s="320"/>
      <c r="L261" s="178">
        <v>9.68</v>
      </c>
      <c r="M261" s="178">
        <v>326.11999999999995</v>
      </c>
      <c r="N261" s="179">
        <v>0</v>
      </c>
      <c r="O261" s="178">
        <v>335.79999999999995</v>
      </c>
      <c r="P261" s="453"/>
      <c r="Q261" s="61"/>
      <c r="R261" s="298"/>
      <c r="S261" s="669"/>
      <c r="X261" s="444">
        <v>261</v>
      </c>
    </row>
    <row r="262" spans="1:32" ht="12">
      <c r="A262" s="83" t="s">
        <v>18829</v>
      </c>
      <c r="B262" s="64" t="s">
        <v>18830</v>
      </c>
      <c r="C262" s="71" t="s">
        <v>509</v>
      </c>
      <c r="D262" s="79">
        <v>1</v>
      </c>
      <c r="E262" s="79">
        <v>309.20999999999998</v>
      </c>
      <c r="F262" s="79">
        <v>309.20999999999998</v>
      </c>
      <c r="G262" s="445"/>
      <c r="H262" s="178">
        <v>309.20999999999998</v>
      </c>
      <c r="I262" s="178">
        <v>380.33</v>
      </c>
      <c r="J262" s="70">
        <v>-71.12</v>
      </c>
      <c r="K262" s="320"/>
      <c r="L262" s="178">
        <v>9.68</v>
      </c>
      <c r="M262" s="178">
        <v>299.52999999999997</v>
      </c>
      <c r="N262" s="179">
        <v>0</v>
      </c>
      <c r="O262" s="178">
        <v>309.20999999999998</v>
      </c>
      <c r="P262" s="453"/>
      <c r="Q262" s="61"/>
      <c r="R262" s="298"/>
      <c r="S262" s="669"/>
      <c r="X262" s="444">
        <v>262</v>
      </c>
    </row>
    <row r="263" spans="1:32" ht="12">
      <c r="A263" s="83" t="s">
        <v>18831</v>
      </c>
      <c r="B263" s="64" t="s">
        <v>18832</v>
      </c>
      <c r="C263" s="71" t="s">
        <v>509</v>
      </c>
      <c r="D263" s="79">
        <v>1</v>
      </c>
      <c r="E263" s="79">
        <v>331.60999999999996</v>
      </c>
      <c r="F263" s="79">
        <v>331.61</v>
      </c>
      <c r="G263" s="445"/>
      <c r="H263" s="178">
        <v>331.61</v>
      </c>
      <c r="I263" s="178">
        <v>407.88</v>
      </c>
      <c r="J263" s="70">
        <v>-76.270000000000039</v>
      </c>
      <c r="K263" s="320"/>
      <c r="L263" s="178">
        <v>9.68</v>
      </c>
      <c r="M263" s="178">
        <v>321.92999999999995</v>
      </c>
      <c r="N263" s="179">
        <v>0</v>
      </c>
      <c r="O263" s="178">
        <v>331.60999999999996</v>
      </c>
      <c r="P263" s="453"/>
      <c r="Q263" s="61"/>
      <c r="R263" s="298"/>
      <c r="S263" s="669"/>
      <c r="X263" s="444">
        <v>263</v>
      </c>
    </row>
    <row r="264" spans="1:32" s="69" customFormat="1" ht="12">
      <c r="A264" s="83" t="s">
        <v>18833</v>
      </c>
      <c r="B264" s="64" t="s">
        <v>18834</v>
      </c>
      <c r="C264" s="71" t="s">
        <v>509</v>
      </c>
      <c r="D264" s="79">
        <v>1</v>
      </c>
      <c r="E264" s="79">
        <v>348.49</v>
      </c>
      <c r="F264" s="79">
        <v>348.49</v>
      </c>
      <c r="G264" s="445"/>
      <c r="H264" s="178">
        <v>348.5</v>
      </c>
      <c r="I264" s="178">
        <v>428.66</v>
      </c>
      <c r="J264" s="70">
        <v>-80.170000000000016</v>
      </c>
      <c r="K264" s="320"/>
      <c r="L264" s="178">
        <v>9.68</v>
      </c>
      <c r="M264" s="178">
        <v>338.81</v>
      </c>
      <c r="N264" s="179">
        <v>0</v>
      </c>
      <c r="O264" s="178">
        <v>348.49</v>
      </c>
      <c r="P264" s="453"/>
      <c r="Q264" s="61"/>
      <c r="R264" s="298"/>
      <c r="S264" s="669"/>
      <c r="T264" s="444"/>
      <c r="U264" s="444"/>
      <c r="V264" s="444"/>
      <c r="W264" s="444"/>
      <c r="X264" s="444">
        <v>264</v>
      </c>
      <c r="Y264" s="444"/>
      <c r="Z264" s="444"/>
      <c r="AA264" s="444"/>
      <c r="AB264" s="444"/>
      <c r="AC264" s="444"/>
      <c r="AD264" s="444"/>
      <c r="AE264" s="444"/>
      <c r="AF264" s="444"/>
    </row>
    <row r="265" spans="1:32" s="69" customFormat="1" ht="12">
      <c r="A265" s="83" t="s">
        <v>18835</v>
      </c>
      <c r="B265" s="64" t="s">
        <v>18836</v>
      </c>
      <c r="C265" s="71" t="s">
        <v>509</v>
      </c>
      <c r="D265" s="79">
        <v>1</v>
      </c>
      <c r="E265" s="79">
        <v>348.52</v>
      </c>
      <c r="F265" s="79">
        <v>348.52</v>
      </c>
      <c r="G265" s="445"/>
      <c r="H265" s="178">
        <v>348.53</v>
      </c>
      <c r="I265" s="178">
        <v>428.69</v>
      </c>
      <c r="J265" s="70">
        <v>-80.170000000000016</v>
      </c>
      <c r="K265" s="320"/>
      <c r="L265" s="178">
        <v>9.68</v>
      </c>
      <c r="M265" s="178">
        <v>338.84</v>
      </c>
      <c r="N265" s="179">
        <v>0</v>
      </c>
      <c r="O265" s="178">
        <v>348.52</v>
      </c>
      <c r="P265" s="453"/>
      <c r="Q265" s="61"/>
      <c r="R265" s="298"/>
      <c r="S265" s="669"/>
      <c r="T265" s="444"/>
      <c r="X265" s="444">
        <v>265</v>
      </c>
    </row>
    <row r="266" spans="1:32" ht="12">
      <c r="A266" s="83" t="s">
        <v>18837</v>
      </c>
      <c r="B266" s="64" t="s">
        <v>18838</v>
      </c>
      <c r="C266" s="71" t="s">
        <v>509</v>
      </c>
      <c r="D266" s="79">
        <v>1</v>
      </c>
      <c r="E266" s="79">
        <v>224.95</v>
      </c>
      <c r="F266" s="79">
        <v>224.95</v>
      </c>
      <c r="G266" s="445"/>
      <c r="H266" s="178">
        <v>224.94</v>
      </c>
      <c r="I266" s="178">
        <v>276.68</v>
      </c>
      <c r="J266" s="70">
        <v>-51.730000000000018</v>
      </c>
      <c r="K266" s="320"/>
      <c r="L266" s="178">
        <v>53.97</v>
      </c>
      <c r="M266" s="178">
        <v>170.98</v>
      </c>
      <c r="N266" s="179">
        <v>0</v>
      </c>
      <c r="O266" s="178">
        <v>224.95</v>
      </c>
      <c r="P266" s="453"/>
      <c r="Q266" s="61"/>
      <c r="R266" s="298"/>
      <c r="S266" s="669"/>
      <c r="U266" s="69"/>
      <c r="V266" s="69"/>
      <c r="W266" s="69"/>
      <c r="X266" s="444">
        <v>266</v>
      </c>
      <c r="Y266" s="69"/>
      <c r="Z266" s="69"/>
      <c r="AA266" s="69"/>
      <c r="AB266" s="69"/>
      <c r="AC266" s="69"/>
      <c r="AD266" s="69"/>
      <c r="AE266" s="69"/>
      <c r="AF266" s="69"/>
    </row>
    <row r="267" spans="1:32" ht="12">
      <c r="A267" s="83" t="s">
        <v>18839</v>
      </c>
      <c r="B267" s="64" t="s">
        <v>18840</v>
      </c>
      <c r="C267" s="71" t="s">
        <v>509</v>
      </c>
      <c r="D267" s="79">
        <v>1</v>
      </c>
      <c r="E267" s="79">
        <v>248.32</v>
      </c>
      <c r="F267" s="79">
        <v>248.32</v>
      </c>
      <c r="G267" s="445"/>
      <c r="H267" s="178">
        <v>248.31</v>
      </c>
      <c r="I267" s="178">
        <v>305.42</v>
      </c>
      <c r="J267" s="70">
        <v>-57.100000000000023</v>
      </c>
      <c r="K267" s="320"/>
      <c r="L267" s="178">
        <v>53.97</v>
      </c>
      <c r="M267" s="178">
        <v>194.35</v>
      </c>
      <c r="N267" s="179">
        <v>0</v>
      </c>
      <c r="O267" s="178">
        <v>248.32</v>
      </c>
      <c r="P267" s="453"/>
      <c r="Q267" s="61"/>
      <c r="R267" s="298"/>
      <c r="S267" s="669"/>
      <c r="X267" s="444">
        <v>267</v>
      </c>
    </row>
    <row r="268" spans="1:32" ht="12">
      <c r="A268" s="83" t="s">
        <v>18841</v>
      </c>
      <c r="B268" s="64" t="s">
        <v>18842</v>
      </c>
      <c r="C268" s="71" t="s">
        <v>509</v>
      </c>
      <c r="D268" s="79">
        <v>1</v>
      </c>
      <c r="E268" s="79">
        <v>259.33999999999997</v>
      </c>
      <c r="F268" s="79">
        <v>259.33999999999997</v>
      </c>
      <c r="G268" s="445"/>
      <c r="H268" s="178">
        <v>259.33</v>
      </c>
      <c r="I268" s="178">
        <v>318.98</v>
      </c>
      <c r="J268" s="70">
        <v>-59.640000000000043</v>
      </c>
      <c r="K268" s="320"/>
      <c r="L268" s="178">
        <v>53.97</v>
      </c>
      <c r="M268" s="178">
        <v>205.36999999999998</v>
      </c>
      <c r="N268" s="179">
        <v>0</v>
      </c>
      <c r="O268" s="178">
        <v>259.33999999999997</v>
      </c>
      <c r="P268" s="453"/>
      <c r="Q268" s="61"/>
      <c r="R268" s="298"/>
      <c r="S268" s="669"/>
      <c r="X268" s="444">
        <v>268</v>
      </c>
    </row>
    <row r="269" spans="1:32" ht="12">
      <c r="A269" s="83" t="s">
        <v>18843</v>
      </c>
      <c r="B269" s="64" t="s">
        <v>18844</v>
      </c>
      <c r="C269" s="71" t="s">
        <v>509</v>
      </c>
      <c r="D269" s="79">
        <v>1</v>
      </c>
      <c r="E269" s="79">
        <v>278.45000000000005</v>
      </c>
      <c r="F269" s="79">
        <v>278.45</v>
      </c>
      <c r="G269" s="445"/>
      <c r="H269" s="178">
        <v>278.47000000000003</v>
      </c>
      <c r="I269" s="178">
        <v>342.52</v>
      </c>
      <c r="J269" s="70">
        <v>-64.069999999999936</v>
      </c>
      <c r="K269" s="320"/>
      <c r="L269" s="178">
        <v>57.76</v>
      </c>
      <c r="M269" s="178">
        <v>220.69000000000005</v>
      </c>
      <c r="N269" s="179">
        <v>0</v>
      </c>
      <c r="O269" s="178">
        <v>278.45000000000005</v>
      </c>
      <c r="P269" s="453"/>
      <c r="Q269" s="61"/>
      <c r="R269" s="298"/>
      <c r="S269" s="669"/>
      <c r="X269" s="444">
        <v>269</v>
      </c>
    </row>
    <row r="270" spans="1:32" ht="12">
      <c r="A270" s="83" t="s">
        <v>18845</v>
      </c>
      <c r="B270" s="64" t="s">
        <v>18846</v>
      </c>
      <c r="C270" s="71" t="s">
        <v>121</v>
      </c>
      <c r="D270" s="79">
        <v>1</v>
      </c>
      <c r="E270" s="79">
        <v>452.91999999999996</v>
      </c>
      <c r="F270" s="79">
        <v>452.92</v>
      </c>
      <c r="G270" s="445"/>
      <c r="H270" s="178">
        <v>452.91</v>
      </c>
      <c r="I270" s="178">
        <v>557.08000000000004</v>
      </c>
      <c r="J270" s="70">
        <v>-104.16000000000008</v>
      </c>
      <c r="K270" s="320"/>
      <c r="L270" s="178">
        <v>111.66999999999999</v>
      </c>
      <c r="M270" s="178">
        <v>341.25</v>
      </c>
      <c r="N270" s="179">
        <v>0</v>
      </c>
      <c r="O270" s="178">
        <v>452.91999999999996</v>
      </c>
      <c r="P270" s="453"/>
      <c r="Q270" s="61"/>
      <c r="R270" s="298"/>
      <c r="S270" s="669"/>
      <c r="X270" s="444">
        <v>270</v>
      </c>
    </row>
    <row r="271" spans="1:32" ht="12">
      <c r="A271" s="83" t="s">
        <v>18847</v>
      </c>
      <c r="B271" s="64" t="s">
        <v>18848</v>
      </c>
      <c r="C271" s="71" t="s">
        <v>121</v>
      </c>
      <c r="D271" s="79">
        <v>1</v>
      </c>
      <c r="E271" s="79">
        <v>1049.9299999999998</v>
      </c>
      <c r="F271" s="79">
        <v>1049.93</v>
      </c>
      <c r="G271" s="445"/>
      <c r="H271" s="178">
        <v>1049.93</v>
      </c>
      <c r="I271" s="178">
        <v>1291.42</v>
      </c>
      <c r="J271" s="70">
        <v>-241.49000000000024</v>
      </c>
      <c r="K271" s="320"/>
      <c r="L271" s="178">
        <v>214.05</v>
      </c>
      <c r="M271" s="178">
        <v>835.87999999999988</v>
      </c>
      <c r="N271" s="179">
        <v>0</v>
      </c>
      <c r="O271" s="178">
        <v>1049.9299999999998</v>
      </c>
      <c r="P271" s="453"/>
      <c r="Q271" s="61"/>
      <c r="R271" s="298"/>
      <c r="S271" s="669"/>
      <c r="X271" s="444">
        <v>271</v>
      </c>
    </row>
    <row r="272" spans="1:32" ht="12">
      <c r="A272" s="83" t="s">
        <v>18849</v>
      </c>
      <c r="B272" s="64" t="s">
        <v>18850</v>
      </c>
      <c r="C272" s="71" t="s">
        <v>509</v>
      </c>
      <c r="D272" s="79">
        <v>1</v>
      </c>
      <c r="E272" s="79">
        <v>289.31</v>
      </c>
      <c r="F272" s="79">
        <v>289.31</v>
      </c>
      <c r="G272" s="445"/>
      <c r="H272" s="178">
        <v>289.33</v>
      </c>
      <c r="I272" s="178">
        <v>355.88</v>
      </c>
      <c r="J272" s="70">
        <v>-66.569999999999993</v>
      </c>
      <c r="K272" s="320"/>
      <c r="L272" s="178">
        <v>57.76</v>
      </c>
      <c r="M272" s="178">
        <v>231.55</v>
      </c>
      <c r="N272" s="179">
        <v>0</v>
      </c>
      <c r="O272" s="178">
        <v>289.31</v>
      </c>
      <c r="P272" s="453"/>
      <c r="Q272" s="61"/>
      <c r="R272" s="298"/>
      <c r="S272" s="669"/>
      <c r="X272" s="444">
        <v>272</v>
      </c>
    </row>
    <row r="273" spans="1:24" ht="12">
      <c r="A273" s="83" t="s">
        <v>18851</v>
      </c>
      <c r="B273" s="64" t="s">
        <v>18852</v>
      </c>
      <c r="C273" s="71" t="s">
        <v>509</v>
      </c>
      <c r="D273" s="79">
        <v>1</v>
      </c>
      <c r="E273" s="79">
        <v>301.84000000000003</v>
      </c>
      <c r="F273" s="79">
        <v>301.83999999999997</v>
      </c>
      <c r="G273" s="445"/>
      <c r="H273" s="178">
        <v>301.86</v>
      </c>
      <c r="I273" s="178">
        <v>371.29</v>
      </c>
      <c r="J273" s="70">
        <v>-69.449999999999989</v>
      </c>
      <c r="K273" s="320"/>
      <c r="L273" s="178">
        <v>57.76</v>
      </c>
      <c r="M273" s="178">
        <v>244.08000000000004</v>
      </c>
      <c r="N273" s="179">
        <v>0</v>
      </c>
      <c r="O273" s="178">
        <v>301.84000000000003</v>
      </c>
      <c r="P273" s="453"/>
      <c r="Q273" s="61"/>
      <c r="R273" s="298"/>
      <c r="S273" s="669"/>
      <c r="X273" s="444">
        <v>273</v>
      </c>
    </row>
    <row r="274" spans="1:24" ht="12">
      <c r="A274" s="83" t="s">
        <v>18853</v>
      </c>
      <c r="B274" s="64" t="s">
        <v>18854</v>
      </c>
      <c r="C274" s="71" t="s">
        <v>509</v>
      </c>
      <c r="D274" s="79">
        <v>1</v>
      </c>
      <c r="E274" s="79">
        <v>311.62000000000006</v>
      </c>
      <c r="F274" s="79">
        <v>311.62</v>
      </c>
      <c r="G274" s="445"/>
      <c r="H274" s="178">
        <v>311.62</v>
      </c>
      <c r="I274" s="178">
        <v>383.29</v>
      </c>
      <c r="J274" s="70">
        <v>-71.669999999999959</v>
      </c>
      <c r="K274" s="320"/>
      <c r="L274" s="178">
        <v>63.69</v>
      </c>
      <c r="M274" s="178">
        <v>247.93000000000006</v>
      </c>
      <c r="N274" s="179">
        <v>0</v>
      </c>
      <c r="O274" s="178">
        <v>311.62000000000006</v>
      </c>
      <c r="P274" s="453"/>
      <c r="Q274" s="61"/>
      <c r="R274" s="298"/>
      <c r="S274" s="669"/>
      <c r="X274" s="444">
        <v>274</v>
      </c>
    </row>
    <row r="275" spans="1:24" ht="12">
      <c r="A275" s="83" t="s">
        <v>18855</v>
      </c>
      <c r="B275" s="64" t="s">
        <v>18856</v>
      </c>
      <c r="C275" s="71" t="s">
        <v>509</v>
      </c>
      <c r="D275" s="79">
        <v>1</v>
      </c>
      <c r="E275" s="79">
        <v>332.64000000000004</v>
      </c>
      <c r="F275" s="79">
        <v>332.64</v>
      </c>
      <c r="G275" s="445"/>
      <c r="H275" s="178">
        <v>332.64</v>
      </c>
      <c r="I275" s="178">
        <v>409.15</v>
      </c>
      <c r="J275" s="70">
        <v>-76.509999999999934</v>
      </c>
      <c r="K275" s="320"/>
      <c r="L275" s="178">
        <v>63.69</v>
      </c>
      <c r="M275" s="178">
        <v>268.95000000000005</v>
      </c>
      <c r="N275" s="179">
        <v>0</v>
      </c>
      <c r="O275" s="178">
        <v>332.64000000000004</v>
      </c>
      <c r="P275" s="453"/>
      <c r="Q275" s="61"/>
      <c r="R275" s="298"/>
      <c r="S275" s="669"/>
      <c r="X275" s="444">
        <v>275</v>
      </c>
    </row>
    <row r="276" spans="1:24" ht="12">
      <c r="A276" s="83" t="s">
        <v>18857</v>
      </c>
      <c r="B276" s="64" t="s">
        <v>18858</v>
      </c>
      <c r="C276" s="71" t="s">
        <v>165</v>
      </c>
      <c r="D276" s="79">
        <v>1</v>
      </c>
      <c r="E276" s="79">
        <v>89.4</v>
      </c>
      <c r="F276" s="79">
        <v>89.4</v>
      </c>
      <c r="G276" s="445"/>
      <c r="H276" s="178">
        <v>89.41</v>
      </c>
      <c r="I276" s="178">
        <v>109.97</v>
      </c>
      <c r="J276" s="70">
        <v>-20.569999999999993</v>
      </c>
      <c r="K276" s="320"/>
      <c r="L276" s="178">
        <v>14.34</v>
      </c>
      <c r="M276" s="178">
        <v>75.06</v>
      </c>
      <c r="N276" s="179">
        <v>0</v>
      </c>
      <c r="O276" s="178">
        <v>89.4</v>
      </c>
      <c r="P276" s="453"/>
      <c r="Q276" s="61"/>
      <c r="R276" s="298"/>
      <c r="S276" s="669"/>
      <c r="X276" s="444">
        <v>276</v>
      </c>
    </row>
    <row r="277" spans="1:24" ht="12">
      <c r="A277" s="83" t="s">
        <v>18859</v>
      </c>
      <c r="B277" s="64" t="s">
        <v>18860</v>
      </c>
      <c r="C277" s="71" t="s">
        <v>509</v>
      </c>
      <c r="D277" s="79">
        <v>1</v>
      </c>
      <c r="E277" s="79">
        <v>241.7</v>
      </c>
      <c r="F277" s="79">
        <v>241.7</v>
      </c>
      <c r="G277" s="445"/>
      <c r="H277" s="178">
        <v>241.7</v>
      </c>
      <c r="I277" s="178">
        <v>297.29000000000002</v>
      </c>
      <c r="J277" s="70">
        <v>-55.590000000000032</v>
      </c>
      <c r="K277" s="320"/>
      <c r="L277" s="178">
        <v>53.97</v>
      </c>
      <c r="M277" s="178">
        <v>187.73</v>
      </c>
      <c r="N277" s="179">
        <v>0</v>
      </c>
      <c r="O277" s="178">
        <v>241.7</v>
      </c>
      <c r="P277" s="453"/>
      <c r="Q277" s="61"/>
      <c r="R277" s="298"/>
      <c r="S277" s="669"/>
      <c r="X277" s="444">
        <v>277</v>
      </c>
    </row>
    <row r="278" spans="1:24" ht="12">
      <c r="A278" s="83" t="s">
        <v>18861</v>
      </c>
      <c r="B278" s="64" t="s">
        <v>18862</v>
      </c>
      <c r="C278" s="71" t="s">
        <v>509</v>
      </c>
      <c r="D278" s="79">
        <v>1</v>
      </c>
      <c r="E278" s="79">
        <v>280.55</v>
      </c>
      <c r="F278" s="79">
        <v>280.55</v>
      </c>
      <c r="G278" s="445"/>
      <c r="H278" s="178">
        <v>280.54000000000002</v>
      </c>
      <c r="I278" s="178">
        <v>345.07</v>
      </c>
      <c r="J278" s="70">
        <v>-64.519999999999982</v>
      </c>
      <c r="K278" s="320"/>
      <c r="L278" s="178">
        <v>53.97</v>
      </c>
      <c r="M278" s="178">
        <v>226.58</v>
      </c>
      <c r="N278" s="179">
        <v>0</v>
      </c>
      <c r="O278" s="178">
        <v>280.55</v>
      </c>
      <c r="P278" s="453"/>
      <c r="Q278" s="61"/>
      <c r="R278" s="298"/>
      <c r="S278" s="669"/>
      <c r="X278" s="444">
        <v>278</v>
      </c>
    </row>
    <row r="279" spans="1:24" ht="12">
      <c r="A279" s="83" t="s">
        <v>18863</v>
      </c>
      <c r="B279" s="64" t="s">
        <v>18864</v>
      </c>
      <c r="C279" s="71" t="s">
        <v>509</v>
      </c>
      <c r="D279" s="79">
        <v>1</v>
      </c>
      <c r="E279" s="79">
        <v>261.98</v>
      </c>
      <c r="F279" s="79">
        <v>261.98</v>
      </c>
      <c r="G279" s="445"/>
      <c r="H279" s="178">
        <v>261.97000000000003</v>
      </c>
      <c r="I279" s="178">
        <v>322.22000000000003</v>
      </c>
      <c r="J279" s="70">
        <v>-60.240000000000009</v>
      </c>
      <c r="K279" s="320"/>
      <c r="L279" s="178">
        <v>53.97</v>
      </c>
      <c r="M279" s="178">
        <v>208.01000000000002</v>
      </c>
      <c r="N279" s="179">
        <v>0</v>
      </c>
      <c r="O279" s="178">
        <v>261.98</v>
      </c>
      <c r="P279" s="453"/>
      <c r="Q279" s="61"/>
      <c r="R279" s="298"/>
      <c r="S279" s="669"/>
      <c r="X279" s="444">
        <v>279</v>
      </c>
    </row>
    <row r="280" spans="1:24" ht="12">
      <c r="A280" s="83" t="s">
        <v>18865</v>
      </c>
      <c r="B280" s="64" t="s">
        <v>18866</v>
      </c>
      <c r="C280" s="71" t="s">
        <v>509</v>
      </c>
      <c r="D280" s="79">
        <v>1</v>
      </c>
      <c r="E280" s="79">
        <v>301.16000000000003</v>
      </c>
      <c r="F280" s="79">
        <v>301.16000000000003</v>
      </c>
      <c r="G280" s="445"/>
      <c r="H280" s="178">
        <v>301.18</v>
      </c>
      <c r="I280" s="178">
        <v>370.45</v>
      </c>
      <c r="J280" s="70">
        <v>-69.289999999999964</v>
      </c>
      <c r="K280" s="320"/>
      <c r="L280" s="178">
        <v>57.76</v>
      </c>
      <c r="M280" s="178">
        <v>243.40000000000003</v>
      </c>
      <c r="N280" s="179">
        <v>0</v>
      </c>
      <c r="O280" s="178">
        <v>301.16000000000003</v>
      </c>
      <c r="P280" s="453"/>
      <c r="Q280" s="61"/>
      <c r="R280" s="298"/>
      <c r="S280" s="669"/>
      <c r="X280" s="444">
        <v>280</v>
      </c>
    </row>
    <row r="281" spans="1:24" ht="12">
      <c r="A281" s="83" t="s">
        <v>18867</v>
      </c>
      <c r="B281" s="64" t="s">
        <v>18868</v>
      </c>
      <c r="C281" s="71" t="s">
        <v>509</v>
      </c>
      <c r="D281" s="79">
        <v>1</v>
      </c>
      <c r="E281" s="79">
        <v>298.85000000000008</v>
      </c>
      <c r="F281" s="79">
        <v>298.85000000000002</v>
      </c>
      <c r="G281" s="445"/>
      <c r="H281" s="178">
        <v>298.87</v>
      </c>
      <c r="I281" s="178">
        <v>367.61</v>
      </c>
      <c r="J281" s="70">
        <v>-68.759999999999934</v>
      </c>
      <c r="K281" s="320"/>
      <c r="L281" s="178">
        <v>57.76</v>
      </c>
      <c r="M281" s="178">
        <v>241.09000000000009</v>
      </c>
      <c r="N281" s="179">
        <v>0</v>
      </c>
      <c r="O281" s="178">
        <v>298.85000000000008</v>
      </c>
      <c r="P281" s="453"/>
      <c r="Q281" s="61"/>
      <c r="R281" s="298"/>
      <c r="S281" s="669"/>
      <c r="X281" s="444">
        <v>281</v>
      </c>
    </row>
    <row r="282" spans="1:24" ht="12">
      <c r="A282" s="83" t="s">
        <v>18869</v>
      </c>
      <c r="B282" s="64" t="s">
        <v>18870</v>
      </c>
      <c r="C282" s="71" t="s">
        <v>509</v>
      </c>
      <c r="D282" s="79">
        <v>1</v>
      </c>
      <c r="E282" s="79">
        <v>335.23000000000008</v>
      </c>
      <c r="F282" s="79">
        <v>335.23</v>
      </c>
      <c r="G282" s="445"/>
      <c r="H282" s="178">
        <v>335.25</v>
      </c>
      <c r="I282" s="178">
        <v>412.36</v>
      </c>
      <c r="J282" s="70">
        <v>-77.129999999999939</v>
      </c>
      <c r="K282" s="320"/>
      <c r="L282" s="178">
        <v>57.76</v>
      </c>
      <c r="M282" s="178">
        <v>277.47000000000008</v>
      </c>
      <c r="N282" s="179">
        <v>0</v>
      </c>
      <c r="O282" s="178">
        <v>335.23000000000008</v>
      </c>
      <c r="P282" s="453"/>
      <c r="Q282" s="61"/>
      <c r="R282" s="298"/>
      <c r="S282" s="669"/>
      <c r="X282" s="444">
        <v>282</v>
      </c>
    </row>
    <row r="283" spans="1:24" ht="12">
      <c r="A283" s="83" t="s">
        <v>18871</v>
      </c>
      <c r="B283" s="64" t="s">
        <v>18872</v>
      </c>
      <c r="C283" s="71" t="s">
        <v>509</v>
      </c>
      <c r="D283" s="79">
        <v>1</v>
      </c>
      <c r="E283" s="79">
        <v>347.14000000000004</v>
      </c>
      <c r="F283" s="79">
        <v>347.14</v>
      </c>
      <c r="G283" s="445"/>
      <c r="H283" s="178">
        <v>347.14</v>
      </c>
      <c r="I283" s="178">
        <v>426.98</v>
      </c>
      <c r="J283" s="70">
        <v>-79.839999999999975</v>
      </c>
      <c r="K283" s="320"/>
      <c r="L283" s="178">
        <v>63.69</v>
      </c>
      <c r="M283" s="178">
        <v>283.45000000000005</v>
      </c>
      <c r="N283" s="179">
        <v>0</v>
      </c>
      <c r="O283" s="178">
        <v>347.14000000000004</v>
      </c>
      <c r="P283" s="453"/>
      <c r="Q283" s="61"/>
      <c r="R283" s="298"/>
      <c r="S283" s="669"/>
      <c r="X283" s="444">
        <v>283</v>
      </c>
    </row>
    <row r="284" spans="1:24" ht="12">
      <c r="A284" s="83" t="s">
        <v>18873</v>
      </c>
      <c r="B284" s="64" t="s">
        <v>18874</v>
      </c>
      <c r="C284" s="71" t="s">
        <v>509</v>
      </c>
      <c r="D284" s="79">
        <v>1</v>
      </c>
      <c r="E284" s="79">
        <v>377.66</v>
      </c>
      <c r="F284" s="79">
        <v>377.66</v>
      </c>
      <c r="G284" s="445"/>
      <c r="H284" s="178">
        <v>377.66</v>
      </c>
      <c r="I284" s="178">
        <v>464.52</v>
      </c>
      <c r="J284" s="70">
        <v>-86.859999999999957</v>
      </c>
      <c r="K284" s="320"/>
      <c r="L284" s="178">
        <v>63.69</v>
      </c>
      <c r="M284" s="178">
        <v>313.97000000000003</v>
      </c>
      <c r="N284" s="179">
        <v>0</v>
      </c>
      <c r="O284" s="178">
        <v>377.66</v>
      </c>
      <c r="P284" s="453"/>
      <c r="Q284" s="61"/>
      <c r="R284" s="298"/>
      <c r="S284" s="669"/>
      <c r="X284" s="444">
        <v>284</v>
      </c>
    </row>
    <row r="285" spans="1:24" ht="12">
      <c r="A285" s="83" t="s">
        <v>18875</v>
      </c>
      <c r="B285" s="64" t="s">
        <v>18876</v>
      </c>
      <c r="C285" s="71" t="s">
        <v>121</v>
      </c>
      <c r="D285" s="79">
        <v>1</v>
      </c>
      <c r="E285" s="79">
        <v>6299.52</v>
      </c>
      <c r="F285" s="79">
        <v>6299.52</v>
      </c>
      <c r="G285" s="445"/>
      <c r="H285" s="178">
        <v>6299.51</v>
      </c>
      <c r="I285" s="178">
        <v>7748.4</v>
      </c>
      <c r="J285" s="70">
        <v>-1448.8799999999992</v>
      </c>
      <c r="K285" s="320"/>
      <c r="L285" s="178"/>
      <c r="M285" s="178">
        <v>6299.52</v>
      </c>
      <c r="N285" s="179">
        <v>0</v>
      </c>
      <c r="O285" s="178">
        <v>6299.52</v>
      </c>
      <c r="P285" s="453"/>
      <c r="Q285" s="61"/>
      <c r="R285" s="298"/>
      <c r="S285" s="669"/>
      <c r="X285" s="444">
        <v>285</v>
      </c>
    </row>
    <row r="286" spans="1:24" ht="12">
      <c r="A286" s="83" t="s">
        <v>18877</v>
      </c>
      <c r="B286" s="64" t="s">
        <v>18706</v>
      </c>
      <c r="C286" s="71" t="s">
        <v>121</v>
      </c>
      <c r="D286" s="79">
        <v>1</v>
      </c>
      <c r="E286" s="79">
        <v>6092.29</v>
      </c>
      <c r="F286" s="79">
        <v>6092.29</v>
      </c>
      <c r="G286" s="445"/>
      <c r="H286" s="178">
        <v>6092.28</v>
      </c>
      <c r="I286" s="178">
        <v>7493.51</v>
      </c>
      <c r="J286" s="70">
        <v>-1401.2200000000003</v>
      </c>
      <c r="K286" s="320"/>
      <c r="L286" s="178"/>
      <c r="M286" s="178">
        <v>6092.29</v>
      </c>
      <c r="N286" s="179">
        <v>0</v>
      </c>
      <c r="O286" s="178">
        <v>6092.29</v>
      </c>
      <c r="P286" s="453"/>
      <c r="Q286" s="61"/>
      <c r="R286" s="298"/>
      <c r="S286" s="669"/>
      <c r="X286" s="444">
        <v>286</v>
      </c>
    </row>
    <row r="287" spans="1:24" ht="12">
      <c r="A287" s="83" t="s">
        <v>18878</v>
      </c>
      <c r="B287" s="64" t="s">
        <v>18708</v>
      </c>
      <c r="C287" s="71" t="s">
        <v>10216</v>
      </c>
      <c r="D287" s="79">
        <v>1</v>
      </c>
      <c r="E287" s="79">
        <v>577.26</v>
      </c>
      <c r="F287" s="79">
        <v>577.26</v>
      </c>
      <c r="G287" s="445"/>
      <c r="H287" s="178">
        <v>577.25</v>
      </c>
      <c r="I287" s="178">
        <v>710.02</v>
      </c>
      <c r="J287" s="70">
        <v>-132.76</v>
      </c>
      <c r="K287" s="320"/>
      <c r="L287" s="178"/>
      <c r="M287" s="178">
        <v>577.26</v>
      </c>
      <c r="N287" s="179">
        <v>0</v>
      </c>
      <c r="O287" s="178">
        <v>577.26</v>
      </c>
      <c r="P287" s="453"/>
      <c r="Q287" s="61"/>
      <c r="R287" s="298"/>
      <c r="S287" s="669"/>
      <c r="X287" s="444">
        <v>287</v>
      </c>
    </row>
    <row r="288" spans="1:24" ht="12">
      <c r="A288" s="83" t="s">
        <v>18879</v>
      </c>
      <c r="B288" s="64" t="s">
        <v>18880</v>
      </c>
      <c r="C288" s="71" t="s">
        <v>509</v>
      </c>
      <c r="D288" s="79">
        <v>1</v>
      </c>
      <c r="E288" s="79">
        <v>184.33999999999997</v>
      </c>
      <c r="F288" s="79">
        <v>184.34</v>
      </c>
      <c r="G288" s="445"/>
      <c r="H288" s="178">
        <v>184.32</v>
      </c>
      <c r="I288" s="178">
        <v>226.71</v>
      </c>
      <c r="J288" s="70">
        <v>-42.370000000000033</v>
      </c>
      <c r="K288" s="320"/>
      <c r="L288" s="178">
        <v>45.58</v>
      </c>
      <c r="M288" s="178">
        <v>138.76</v>
      </c>
      <c r="N288" s="179">
        <v>0</v>
      </c>
      <c r="O288" s="178">
        <v>184.33999999999997</v>
      </c>
      <c r="P288" s="453"/>
      <c r="Q288" s="61"/>
      <c r="R288" s="298"/>
      <c r="S288" s="669"/>
      <c r="X288" s="444">
        <v>288</v>
      </c>
    </row>
    <row r="289" spans="1:24" ht="24">
      <c r="A289" s="454" t="s">
        <v>18881</v>
      </c>
      <c r="B289" s="146" t="s">
        <v>18882</v>
      </c>
      <c r="C289" s="134" t="s">
        <v>165</v>
      </c>
      <c r="D289" s="79">
        <v>1</v>
      </c>
      <c r="E289" s="79">
        <v>81.22</v>
      </c>
      <c r="F289" s="79">
        <v>81.22</v>
      </c>
      <c r="G289" s="320"/>
      <c r="H289" s="178">
        <v>81.209999999999994</v>
      </c>
      <c r="I289" s="178">
        <v>99.89</v>
      </c>
      <c r="J289" s="70">
        <v>-18.670000000000002</v>
      </c>
      <c r="K289" s="320"/>
      <c r="L289" s="178">
        <v>12.92</v>
      </c>
      <c r="M289" s="178">
        <v>68.3</v>
      </c>
      <c r="N289" s="179">
        <v>0</v>
      </c>
      <c r="O289" s="178">
        <v>81.22</v>
      </c>
      <c r="P289" s="453"/>
      <c r="Q289" s="61"/>
      <c r="R289" s="298"/>
      <c r="S289" s="669"/>
      <c r="X289" s="444">
        <v>289</v>
      </c>
    </row>
    <row r="290" spans="1:24" ht="24">
      <c r="A290" s="63" t="s">
        <v>18883</v>
      </c>
      <c r="B290" s="146" t="s">
        <v>18884</v>
      </c>
      <c r="C290" s="134" t="s">
        <v>509</v>
      </c>
      <c r="D290" s="79">
        <v>1</v>
      </c>
      <c r="E290" s="79">
        <v>22.04</v>
      </c>
      <c r="F290" s="79">
        <v>22.04</v>
      </c>
      <c r="G290" s="320"/>
      <c r="H290" s="178">
        <v>22.03</v>
      </c>
      <c r="I290" s="178">
        <v>27.1</v>
      </c>
      <c r="J290" s="70">
        <v>-5.0600000000000023</v>
      </c>
      <c r="K290" s="320"/>
      <c r="L290" s="178">
        <v>3.6599999999999997</v>
      </c>
      <c r="M290" s="178">
        <v>18.38</v>
      </c>
      <c r="N290" s="179">
        <v>0</v>
      </c>
      <c r="O290" s="178">
        <v>22.04</v>
      </c>
      <c r="P290" s="453"/>
      <c r="Q290" s="61"/>
      <c r="R290" s="298"/>
      <c r="S290" s="669"/>
      <c r="X290" s="444">
        <v>290</v>
      </c>
    </row>
    <row r="291" spans="1:24" s="73" customFormat="1" ht="24">
      <c r="A291" s="455" t="s">
        <v>18885</v>
      </c>
      <c r="B291" s="64" t="s">
        <v>18886</v>
      </c>
      <c r="C291" s="71" t="s">
        <v>207</v>
      </c>
      <c r="D291" s="79">
        <v>1</v>
      </c>
      <c r="E291" s="79">
        <v>26.36</v>
      </c>
      <c r="F291" s="79">
        <v>26.36</v>
      </c>
      <c r="G291" s="320"/>
      <c r="H291" s="178">
        <v>26.36</v>
      </c>
      <c r="I291" s="178">
        <v>32.42</v>
      </c>
      <c r="J291" s="70">
        <v>-6.0600000000000023</v>
      </c>
      <c r="K291" s="320"/>
      <c r="L291" s="178">
        <v>0</v>
      </c>
      <c r="M291" s="178">
        <v>26.36</v>
      </c>
      <c r="N291" s="179">
        <v>0</v>
      </c>
      <c r="O291" s="178">
        <v>26.36</v>
      </c>
      <c r="P291" s="453"/>
      <c r="Q291" s="61"/>
      <c r="R291" s="298"/>
      <c r="S291" s="669"/>
      <c r="T291" s="69"/>
      <c r="X291" s="444">
        <v>291</v>
      </c>
    </row>
    <row r="292" spans="1:24" s="66" customFormat="1" ht="24">
      <c r="A292" s="455" t="s">
        <v>18887</v>
      </c>
      <c r="B292" s="64" t="s">
        <v>18888</v>
      </c>
      <c r="C292" s="71" t="s">
        <v>207</v>
      </c>
      <c r="D292" s="79">
        <v>1</v>
      </c>
      <c r="E292" s="79">
        <v>29.07</v>
      </c>
      <c r="F292" s="79">
        <v>29.07</v>
      </c>
      <c r="G292" s="320"/>
      <c r="H292" s="178">
        <v>29.07</v>
      </c>
      <c r="I292" s="178">
        <v>35.75</v>
      </c>
      <c r="J292" s="70">
        <v>-6.68</v>
      </c>
      <c r="K292" s="320"/>
      <c r="L292" s="178">
        <v>0</v>
      </c>
      <c r="M292" s="178">
        <v>29.07</v>
      </c>
      <c r="N292" s="179">
        <v>0</v>
      </c>
      <c r="O292" s="178">
        <v>29.07</v>
      </c>
      <c r="P292" s="453"/>
      <c r="Q292" s="61"/>
      <c r="R292" s="298"/>
      <c r="S292" s="669"/>
      <c r="T292" s="69"/>
      <c r="X292" s="444">
        <v>292</v>
      </c>
    </row>
    <row r="293" spans="1:24" s="61" customFormat="1" ht="12">
      <c r="A293" s="83" t="s">
        <v>10958</v>
      </c>
      <c r="B293" s="64" t="s">
        <v>18889</v>
      </c>
      <c r="C293" s="71"/>
      <c r="D293" s="79" t="s">
        <v>40899</v>
      </c>
      <c r="E293" s="79" t="s">
        <v>40899</v>
      </c>
      <c r="F293" s="79"/>
      <c r="G293" s="445"/>
      <c r="H293" s="178"/>
      <c r="I293" s="178"/>
      <c r="J293" s="70"/>
      <c r="K293" s="320"/>
      <c r="L293" s="178"/>
      <c r="M293" s="178"/>
      <c r="N293" s="179"/>
      <c r="O293" s="178"/>
      <c r="P293" s="453"/>
      <c r="R293" s="298"/>
      <c r="S293" s="669"/>
      <c r="T293" s="444"/>
      <c r="X293" s="444">
        <v>293</v>
      </c>
    </row>
    <row r="294" spans="1:24" ht="12">
      <c r="A294" s="83" t="s">
        <v>10962</v>
      </c>
      <c r="B294" s="64" t="s">
        <v>6663</v>
      </c>
      <c r="C294" s="71" t="s">
        <v>207</v>
      </c>
      <c r="D294" s="79">
        <v>1</v>
      </c>
      <c r="E294" s="79">
        <v>4.8600000000000003</v>
      </c>
      <c r="F294" s="79">
        <v>4.8600000000000003</v>
      </c>
      <c r="G294" s="445"/>
      <c r="H294" s="178">
        <v>4.8499999999999996</v>
      </c>
      <c r="I294" s="178">
        <v>5.97</v>
      </c>
      <c r="J294" s="70">
        <v>-1.1099999999999994</v>
      </c>
      <c r="K294" s="320"/>
      <c r="L294" s="178"/>
      <c r="M294" s="178">
        <v>4.8600000000000003</v>
      </c>
      <c r="N294" s="179">
        <v>0</v>
      </c>
      <c r="O294" s="178">
        <v>4.8600000000000003</v>
      </c>
      <c r="P294" s="453"/>
      <c r="Q294" s="61"/>
      <c r="R294" s="298"/>
      <c r="S294" s="669"/>
      <c r="X294" s="444">
        <v>294</v>
      </c>
    </row>
    <row r="295" spans="1:24" ht="12">
      <c r="A295" s="83" t="s">
        <v>18890</v>
      </c>
      <c r="B295" s="64" t="s">
        <v>18891</v>
      </c>
      <c r="C295" s="71" t="s">
        <v>10216</v>
      </c>
      <c r="D295" s="79">
        <v>1</v>
      </c>
      <c r="E295" s="79">
        <v>577.26</v>
      </c>
      <c r="F295" s="79">
        <v>577.26</v>
      </c>
      <c r="G295" s="445"/>
      <c r="H295" s="178">
        <v>577.25</v>
      </c>
      <c r="I295" s="178">
        <v>710.02</v>
      </c>
      <c r="J295" s="70">
        <v>-132.76</v>
      </c>
      <c r="K295" s="320"/>
      <c r="L295" s="178"/>
      <c r="M295" s="178">
        <v>577.26</v>
      </c>
      <c r="N295" s="179">
        <v>0</v>
      </c>
      <c r="O295" s="178">
        <v>577.26</v>
      </c>
      <c r="P295" s="453"/>
      <c r="Q295" s="61"/>
      <c r="R295" s="298"/>
      <c r="S295" s="669"/>
      <c r="X295" s="444">
        <v>295</v>
      </c>
    </row>
    <row r="296" spans="1:24" s="61" customFormat="1" ht="12">
      <c r="A296" s="83" t="s">
        <v>10966</v>
      </c>
      <c r="B296" s="64" t="s">
        <v>39552</v>
      </c>
      <c r="C296" s="71"/>
      <c r="D296" s="79" t="s">
        <v>40899</v>
      </c>
      <c r="E296" s="79" t="s">
        <v>40899</v>
      </c>
      <c r="F296" s="79"/>
      <c r="G296" s="445"/>
      <c r="H296" s="178"/>
      <c r="I296" s="178"/>
      <c r="J296" s="70"/>
      <c r="K296" s="320"/>
      <c r="L296" s="178"/>
      <c r="M296" s="178"/>
      <c r="N296" s="179"/>
      <c r="O296" s="178"/>
      <c r="P296" s="453"/>
      <c r="R296" s="298"/>
      <c r="S296" s="669"/>
      <c r="T296" s="444"/>
      <c r="X296" s="444">
        <v>296</v>
      </c>
    </row>
    <row r="297" spans="1:24" s="61" customFormat="1" ht="12">
      <c r="A297" s="83" t="s">
        <v>18892</v>
      </c>
      <c r="B297" s="64" t="s">
        <v>18893</v>
      </c>
      <c r="C297" s="71" t="s">
        <v>103</v>
      </c>
      <c r="D297" s="79">
        <v>1</v>
      </c>
      <c r="E297" s="79">
        <v>635.31000000000006</v>
      </c>
      <c r="F297" s="79">
        <v>635.30999999999995</v>
      </c>
      <c r="G297" s="445"/>
      <c r="H297" s="178">
        <v>635.32000000000005</v>
      </c>
      <c r="I297" s="178">
        <v>781.44</v>
      </c>
      <c r="J297" s="70">
        <v>-146.13</v>
      </c>
      <c r="K297" s="320"/>
      <c r="L297" s="178">
        <v>269.52999999999997</v>
      </c>
      <c r="M297" s="178">
        <v>365.78000000000009</v>
      </c>
      <c r="N297" s="179">
        <v>0</v>
      </c>
      <c r="O297" s="178">
        <v>635.31000000000006</v>
      </c>
      <c r="P297" s="453"/>
      <c r="R297" s="298"/>
      <c r="S297" s="669"/>
      <c r="T297" s="444"/>
      <c r="X297" s="444">
        <v>297</v>
      </c>
    </row>
    <row r="298" spans="1:24" ht="12">
      <c r="A298" s="83" t="s">
        <v>18894</v>
      </c>
      <c r="B298" s="64" t="s">
        <v>18895</v>
      </c>
      <c r="C298" s="71" t="s">
        <v>165</v>
      </c>
      <c r="D298" s="79">
        <v>1</v>
      </c>
      <c r="E298" s="79">
        <v>43.59</v>
      </c>
      <c r="F298" s="79">
        <v>43.59</v>
      </c>
      <c r="G298" s="445"/>
      <c r="H298" s="178">
        <v>43.57</v>
      </c>
      <c r="I298" s="178">
        <v>53.59</v>
      </c>
      <c r="J298" s="70">
        <v>-10</v>
      </c>
      <c r="K298" s="320"/>
      <c r="L298" s="178">
        <v>16.43</v>
      </c>
      <c r="M298" s="178">
        <v>27.160000000000004</v>
      </c>
      <c r="N298" s="179">
        <v>0</v>
      </c>
      <c r="O298" s="178">
        <v>43.59</v>
      </c>
      <c r="P298" s="453"/>
      <c r="Q298" s="61"/>
      <c r="R298" s="298"/>
      <c r="S298" s="669"/>
      <c r="X298" s="444">
        <v>298</v>
      </c>
    </row>
    <row r="299" spans="1:24" ht="12">
      <c r="A299" s="83" t="s">
        <v>18896</v>
      </c>
      <c r="B299" s="64" t="s">
        <v>18897</v>
      </c>
      <c r="C299" s="71" t="s">
        <v>165</v>
      </c>
      <c r="D299" s="79">
        <v>1</v>
      </c>
      <c r="E299" s="79">
        <v>59.87</v>
      </c>
      <c r="F299" s="79">
        <v>59.87</v>
      </c>
      <c r="G299" s="445"/>
      <c r="H299" s="178">
        <v>59.85</v>
      </c>
      <c r="I299" s="178">
        <v>73.61</v>
      </c>
      <c r="J299" s="70">
        <v>-13.740000000000002</v>
      </c>
      <c r="K299" s="320"/>
      <c r="L299" s="178">
        <v>22.07</v>
      </c>
      <c r="M299" s="178">
        <v>37.799999999999997</v>
      </c>
      <c r="N299" s="179">
        <v>0</v>
      </c>
      <c r="O299" s="178">
        <v>59.87</v>
      </c>
      <c r="P299" s="453"/>
      <c r="Q299" s="61"/>
      <c r="R299" s="298"/>
      <c r="S299" s="669"/>
      <c r="X299" s="444">
        <v>299</v>
      </c>
    </row>
    <row r="300" spans="1:24" ht="12">
      <c r="A300" s="83" t="s">
        <v>18898</v>
      </c>
      <c r="B300" s="64" t="s">
        <v>18899</v>
      </c>
      <c r="C300" s="71" t="s">
        <v>10216</v>
      </c>
      <c r="D300" s="79">
        <v>1</v>
      </c>
      <c r="E300" s="79">
        <v>577.26</v>
      </c>
      <c r="F300" s="79">
        <v>577.26</v>
      </c>
      <c r="G300" s="445"/>
      <c r="H300" s="178">
        <v>577.25</v>
      </c>
      <c r="I300" s="178">
        <v>710.02</v>
      </c>
      <c r="J300" s="70">
        <v>-132.76</v>
      </c>
      <c r="K300" s="320"/>
      <c r="L300" s="178"/>
      <c r="M300" s="178">
        <v>577.26</v>
      </c>
      <c r="N300" s="179">
        <v>0</v>
      </c>
      <c r="O300" s="178">
        <v>577.26</v>
      </c>
      <c r="P300" s="453"/>
      <c r="Q300" s="61"/>
      <c r="R300" s="298"/>
      <c r="S300" s="669"/>
      <c r="X300" s="444">
        <v>300</v>
      </c>
    </row>
    <row r="301" spans="1:24" ht="12">
      <c r="A301" s="83" t="s">
        <v>39553</v>
      </c>
      <c r="B301" s="64" t="s">
        <v>39518</v>
      </c>
      <c r="C301" s="71"/>
      <c r="D301" s="79" t="s">
        <v>40899</v>
      </c>
      <c r="E301" s="79" t="s">
        <v>40899</v>
      </c>
      <c r="F301" s="79"/>
      <c r="G301" s="445"/>
      <c r="H301" s="178"/>
      <c r="I301" s="178"/>
      <c r="J301" s="70"/>
      <c r="K301" s="320"/>
      <c r="L301" s="178"/>
      <c r="M301" s="178"/>
      <c r="N301" s="179"/>
      <c r="O301" s="178"/>
      <c r="P301" s="453"/>
      <c r="Q301" s="61"/>
      <c r="R301" s="298"/>
      <c r="S301" s="669"/>
      <c r="X301" s="444">
        <v>301</v>
      </c>
    </row>
    <row r="302" spans="1:24" ht="12">
      <c r="A302" s="83" t="s">
        <v>18900</v>
      </c>
      <c r="B302" s="64" t="s">
        <v>18901</v>
      </c>
      <c r="C302" s="71" t="s">
        <v>121</v>
      </c>
      <c r="D302" s="79">
        <v>1</v>
      </c>
      <c r="E302" s="79">
        <v>446.65999999999997</v>
      </c>
      <c r="F302" s="79">
        <v>446.66</v>
      </c>
      <c r="G302" s="445"/>
      <c r="H302" s="178">
        <v>446.66</v>
      </c>
      <c r="I302" s="178">
        <v>549.39</v>
      </c>
      <c r="J302" s="70">
        <v>-102.73000000000002</v>
      </c>
      <c r="K302" s="320"/>
      <c r="L302" s="178">
        <v>446.65999999999997</v>
      </c>
      <c r="M302" s="178">
        <v>0</v>
      </c>
      <c r="N302" s="179">
        <v>0</v>
      </c>
      <c r="O302" s="178">
        <v>446.65999999999997</v>
      </c>
      <c r="P302" s="453"/>
      <c r="Q302" s="61"/>
      <c r="R302" s="298"/>
      <c r="S302" s="669"/>
      <c r="X302" s="444">
        <v>302</v>
      </c>
    </row>
    <row r="303" spans="1:24" ht="24">
      <c r="A303" s="83" t="s">
        <v>18902</v>
      </c>
      <c r="B303" s="64" t="s">
        <v>18903</v>
      </c>
      <c r="C303" s="71" t="s">
        <v>509</v>
      </c>
      <c r="D303" s="79">
        <v>1</v>
      </c>
      <c r="E303" s="79">
        <v>33.5</v>
      </c>
      <c r="F303" s="79">
        <v>33.5</v>
      </c>
      <c r="G303" s="445"/>
      <c r="H303" s="178">
        <v>33.5</v>
      </c>
      <c r="I303" s="178">
        <v>41.2</v>
      </c>
      <c r="J303" s="70">
        <v>-7.7000000000000028</v>
      </c>
      <c r="K303" s="320"/>
      <c r="L303" s="178">
        <v>33.5</v>
      </c>
      <c r="M303" s="178">
        <v>0</v>
      </c>
      <c r="N303" s="179">
        <v>0</v>
      </c>
      <c r="O303" s="178">
        <v>33.5</v>
      </c>
      <c r="P303" s="453"/>
      <c r="Q303" s="61"/>
      <c r="R303" s="298"/>
      <c r="S303" s="669"/>
      <c r="X303" s="444">
        <v>303</v>
      </c>
    </row>
    <row r="304" spans="1:24" ht="12">
      <c r="A304" s="83" t="s">
        <v>18904</v>
      </c>
      <c r="B304" s="64" t="s">
        <v>18570</v>
      </c>
      <c r="C304" s="71" t="s">
        <v>10216</v>
      </c>
      <c r="D304" s="79">
        <v>1</v>
      </c>
      <c r="E304" s="79">
        <v>577.26</v>
      </c>
      <c r="F304" s="79">
        <v>577.26</v>
      </c>
      <c r="G304" s="445"/>
      <c r="H304" s="178">
        <v>577.25</v>
      </c>
      <c r="I304" s="178">
        <v>710.02</v>
      </c>
      <c r="J304" s="70">
        <v>-132.76</v>
      </c>
      <c r="K304" s="320"/>
      <c r="L304" s="178"/>
      <c r="M304" s="178">
        <v>577.26</v>
      </c>
      <c r="N304" s="179">
        <v>0</v>
      </c>
      <c r="O304" s="178">
        <v>577.26</v>
      </c>
      <c r="P304" s="453"/>
      <c r="Q304" s="61"/>
      <c r="R304" s="298"/>
      <c r="S304" s="669"/>
      <c r="X304" s="444">
        <v>304</v>
      </c>
    </row>
    <row r="305" spans="1:24" ht="12">
      <c r="A305" s="83" t="s">
        <v>39554</v>
      </c>
      <c r="B305" s="64" t="s">
        <v>39520</v>
      </c>
      <c r="C305" s="71"/>
      <c r="D305" s="79" t="s">
        <v>40899</v>
      </c>
      <c r="E305" s="79" t="s">
        <v>40899</v>
      </c>
      <c r="F305" s="79"/>
      <c r="G305" s="445"/>
      <c r="H305" s="178"/>
      <c r="I305" s="178"/>
      <c r="J305" s="70"/>
      <c r="K305" s="320"/>
      <c r="L305" s="178"/>
      <c r="M305" s="178"/>
      <c r="N305" s="179"/>
      <c r="O305" s="178"/>
      <c r="P305" s="453"/>
      <c r="Q305" s="61"/>
      <c r="R305" s="298"/>
      <c r="S305" s="669"/>
      <c r="X305" s="444">
        <v>305</v>
      </c>
    </row>
    <row r="306" spans="1:24" ht="12">
      <c r="A306" s="83" t="s">
        <v>18905</v>
      </c>
      <c r="B306" s="64" t="s">
        <v>18572</v>
      </c>
      <c r="C306" s="71" t="s">
        <v>10216</v>
      </c>
      <c r="D306" s="79">
        <v>1</v>
      </c>
      <c r="E306" s="79">
        <v>577.26</v>
      </c>
      <c r="F306" s="79">
        <v>577.26</v>
      </c>
      <c r="G306" s="445"/>
      <c r="H306" s="178">
        <v>577.25</v>
      </c>
      <c r="I306" s="178">
        <v>710.02</v>
      </c>
      <c r="J306" s="70">
        <v>-132.76</v>
      </c>
      <c r="K306" s="320"/>
      <c r="L306" s="178"/>
      <c r="M306" s="178">
        <v>577.26</v>
      </c>
      <c r="N306" s="179">
        <v>0</v>
      </c>
      <c r="O306" s="178">
        <v>577.26</v>
      </c>
      <c r="P306" s="453"/>
      <c r="Q306" s="61"/>
      <c r="R306" s="298"/>
      <c r="S306" s="669"/>
      <c r="X306" s="444">
        <v>306</v>
      </c>
    </row>
    <row r="307" spans="1:24" ht="12">
      <c r="A307" s="83" t="s">
        <v>39555</v>
      </c>
      <c r="B307" s="64" t="s">
        <v>39522</v>
      </c>
      <c r="C307" s="71"/>
      <c r="D307" s="79" t="s">
        <v>40899</v>
      </c>
      <c r="E307" s="79" t="s">
        <v>40899</v>
      </c>
      <c r="F307" s="79"/>
      <c r="G307" s="445"/>
      <c r="H307" s="178"/>
      <c r="I307" s="178"/>
      <c r="J307" s="70"/>
      <c r="K307" s="320"/>
      <c r="L307" s="178"/>
      <c r="M307" s="178"/>
      <c r="N307" s="179"/>
      <c r="O307" s="178"/>
      <c r="P307" s="453"/>
      <c r="Q307" s="61"/>
      <c r="R307" s="298"/>
      <c r="S307" s="669"/>
      <c r="X307" s="444">
        <v>307</v>
      </c>
    </row>
    <row r="308" spans="1:24" ht="12">
      <c r="A308" s="83" t="s">
        <v>18906</v>
      </c>
      <c r="B308" s="64" t="s">
        <v>18574</v>
      </c>
      <c r="C308" s="71" t="s">
        <v>10216</v>
      </c>
      <c r="D308" s="79">
        <v>1</v>
      </c>
      <c r="E308" s="79">
        <v>577.26</v>
      </c>
      <c r="F308" s="79">
        <v>577.26</v>
      </c>
      <c r="G308" s="445"/>
      <c r="H308" s="178">
        <v>577.25</v>
      </c>
      <c r="I308" s="178">
        <v>710.02</v>
      </c>
      <c r="J308" s="70">
        <v>-132.76</v>
      </c>
      <c r="K308" s="320"/>
      <c r="L308" s="178"/>
      <c r="M308" s="178">
        <v>577.26</v>
      </c>
      <c r="N308" s="179">
        <v>0</v>
      </c>
      <c r="O308" s="178">
        <v>577.26</v>
      </c>
      <c r="P308" s="453"/>
      <c r="Q308" s="61"/>
      <c r="R308" s="298"/>
      <c r="S308" s="669"/>
      <c r="X308" s="444">
        <v>308</v>
      </c>
    </row>
    <row r="309" spans="1:24" ht="12">
      <c r="A309" s="83" t="s">
        <v>39556</v>
      </c>
      <c r="B309" s="64" t="s">
        <v>39557</v>
      </c>
      <c r="C309" s="71"/>
      <c r="D309" s="79" t="s">
        <v>40899</v>
      </c>
      <c r="E309" s="79" t="s">
        <v>40899</v>
      </c>
      <c r="F309" s="79"/>
      <c r="G309" s="445"/>
      <c r="H309" s="178"/>
      <c r="I309" s="178"/>
      <c r="J309" s="70"/>
      <c r="K309" s="320"/>
      <c r="L309" s="178"/>
      <c r="M309" s="178"/>
      <c r="N309" s="179"/>
      <c r="O309" s="178"/>
      <c r="P309" s="453"/>
      <c r="Q309" s="61"/>
      <c r="R309" s="298"/>
      <c r="S309" s="669"/>
      <c r="X309" s="444">
        <v>309</v>
      </c>
    </row>
    <row r="310" spans="1:24" ht="12">
      <c r="A310" s="83" t="s">
        <v>18907</v>
      </c>
      <c r="B310" s="64" t="s">
        <v>18908</v>
      </c>
      <c r="C310" s="71" t="s">
        <v>10216</v>
      </c>
      <c r="D310" s="79">
        <v>1</v>
      </c>
      <c r="E310" s="79">
        <v>577.26</v>
      </c>
      <c r="F310" s="79">
        <v>577.26</v>
      </c>
      <c r="G310" s="445"/>
      <c r="H310" s="178">
        <v>577.25</v>
      </c>
      <c r="I310" s="178">
        <v>710.02</v>
      </c>
      <c r="J310" s="70">
        <v>-132.76</v>
      </c>
      <c r="K310" s="320"/>
      <c r="L310" s="178"/>
      <c r="M310" s="178">
        <v>577.26</v>
      </c>
      <c r="N310" s="179">
        <v>0</v>
      </c>
      <c r="O310" s="178">
        <v>577.26</v>
      </c>
      <c r="P310" s="453"/>
      <c r="Q310" s="61"/>
      <c r="R310" s="298"/>
      <c r="S310" s="669"/>
      <c r="X310" s="444">
        <v>310</v>
      </c>
    </row>
    <row r="311" spans="1:24" ht="12">
      <c r="A311" s="83" t="s">
        <v>39558</v>
      </c>
      <c r="B311" s="64" t="s">
        <v>39559</v>
      </c>
      <c r="C311" s="71"/>
      <c r="D311" s="79" t="s">
        <v>40899</v>
      </c>
      <c r="E311" s="79" t="s">
        <v>40899</v>
      </c>
      <c r="F311" s="79"/>
      <c r="G311" s="445"/>
      <c r="H311" s="178"/>
      <c r="I311" s="178"/>
      <c r="J311" s="70"/>
      <c r="K311" s="320"/>
      <c r="L311" s="178"/>
      <c r="M311" s="178"/>
      <c r="N311" s="179"/>
      <c r="O311" s="178"/>
      <c r="P311" s="453"/>
      <c r="Q311" s="61"/>
      <c r="R311" s="298"/>
      <c r="S311" s="669"/>
      <c r="X311" s="444">
        <v>311</v>
      </c>
    </row>
    <row r="312" spans="1:24" ht="12">
      <c r="A312" s="83" t="s">
        <v>11028</v>
      </c>
      <c r="B312" s="64" t="s">
        <v>39560</v>
      </c>
      <c r="C312" s="71"/>
      <c r="D312" s="79" t="s">
        <v>40899</v>
      </c>
      <c r="E312" s="79" t="s">
        <v>40899</v>
      </c>
      <c r="F312" s="79"/>
      <c r="G312" s="445"/>
      <c r="H312" s="178"/>
      <c r="I312" s="178"/>
      <c r="J312" s="70"/>
      <c r="K312" s="320"/>
      <c r="L312" s="178"/>
      <c r="M312" s="178"/>
      <c r="N312" s="179"/>
      <c r="O312" s="178"/>
      <c r="P312" s="453"/>
      <c r="Q312" s="61"/>
      <c r="R312" s="298"/>
      <c r="S312" s="669"/>
      <c r="X312" s="444">
        <v>312</v>
      </c>
    </row>
    <row r="313" spans="1:24" ht="12">
      <c r="A313" s="83" t="s">
        <v>18909</v>
      </c>
      <c r="B313" s="64" t="s">
        <v>18910</v>
      </c>
      <c r="C313" s="71" t="s">
        <v>509</v>
      </c>
      <c r="D313" s="79">
        <v>1</v>
      </c>
      <c r="E313" s="79">
        <v>82.199999999999989</v>
      </c>
      <c r="F313" s="79">
        <v>82.2</v>
      </c>
      <c r="G313" s="445"/>
      <c r="H313" s="178">
        <v>82.2</v>
      </c>
      <c r="I313" s="178">
        <v>101.1</v>
      </c>
      <c r="J313" s="70">
        <v>-18.900000000000006</v>
      </c>
      <c r="K313" s="320"/>
      <c r="L313" s="178">
        <v>51.66</v>
      </c>
      <c r="M313" s="178">
        <v>30.539999999999992</v>
      </c>
      <c r="N313" s="179">
        <v>0</v>
      </c>
      <c r="O313" s="178">
        <v>82.199999999999989</v>
      </c>
      <c r="P313" s="453"/>
      <c r="Q313" s="61"/>
      <c r="R313" s="298"/>
      <c r="S313" s="669"/>
      <c r="X313" s="444">
        <v>313</v>
      </c>
    </row>
    <row r="314" spans="1:24" ht="12">
      <c r="A314" s="83" t="s">
        <v>18911</v>
      </c>
      <c r="B314" s="64" t="s">
        <v>18912</v>
      </c>
      <c r="C314" s="71" t="s">
        <v>509</v>
      </c>
      <c r="D314" s="79">
        <v>1</v>
      </c>
      <c r="E314" s="79">
        <v>142.87</v>
      </c>
      <c r="F314" s="79">
        <v>142.87</v>
      </c>
      <c r="G314" s="445"/>
      <c r="H314" s="178">
        <v>142.86000000000001</v>
      </c>
      <c r="I314" s="178">
        <v>175.72</v>
      </c>
      <c r="J314" s="70">
        <v>-32.849999999999994</v>
      </c>
      <c r="K314" s="320"/>
      <c r="L314" s="178">
        <v>79.080000000000013</v>
      </c>
      <c r="M314" s="178">
        <v>63.789999999999992</v>
      </c>
      <c r="N314" s="179">
        <v>0</v>
      </c>
      <c r="O314" s="178">
        <v>142.87</v>
      </c>
      <c r="P314" s="453"/>
      <c r="Q314" s="61"/>
      <c r="R314" s="298"/>
      <c r="S314" s="669"/>
      <c r="X314" s="444">
        <v>314</v>
      </c>
    </row>
    <row r="315" spans="1:24" ht="12">
      <c r="A315" s="83" t="s">
        <v>18913</v>
      </c>
      <c r="B315" s="64" t="s">
        <v>18914</v>
      </c>
      <c r="C315" s="71" t="s">
        <v>509</v>
      </c>
      <c r="D315" s="79">
        <v>1</v>
      </c>
      <c r="E315" s="79">
        <v>259.77999999999997</v>
      </c>
      <c r="F315" s="79">
        <v>259.77999999999997</v>
      </c>
      <c r="G315" s="445"/>
      <c r="H315" s="178">
        <v>259.77</v>
      </c>
      <c r="I315" s="178">
        <v>319.52</v>
      </c>
      <c r="J315" s="70">
        <v>-59.740000000000009</v>
      </c>
      <c r="K315" s="320"/>
      <c r="L315" s="178">
        <v>132.44999999999999</v>
      </c>
      <c r="M315" s="178">
        <v>127.32999999999998</v>
      </c>
      <c r="N315" s="179">
        <v>0</v>
      </c>
      <c r="O315" s="178">
        <v>259.77999999999997</v>
      </c>
      <c r="P315" s="453"/>
      <c r="Q315" s="61"/>
      <c r="R315" s="298"/>
      <c r="S315" s="669"/>
      <c r="X315" s="444">
        <v>315</v>
      </c>
    </row>
    <row r="316" spans="1:24" ht="12">
      <c r="A316" s="83" t="s">
        <v>18915</v>
      </c>
      <c r="B316" s="64" t="s">
        <v>18916</v>
      </c>
      <c r="C316" s="71" t="s">
        <v>509</v>
      </c>
      <c r="D316" s="79">
        <v>1</v>
      </c>
      <c r="E316" s="79">
        <v>108.66</v>
      </c>
      <c r="F316" s="79">
        <v>108.66</v>
      </c>
      <c r="G316" s="445"/>
      <c r="H316" s="178">
        <v>108.64</v>
      </c>
      <c r="I316" s="178">
        <v>133.63</v>
      </c>
      <c r="J316" s="70">
        <v>-24.97</v>
      </c>
      <c r="K316" s="320"/>
      <c r="L316" s="178">
        <v>51.66</v>
      </c>
      <c r="M316" s="178">
        <v>57</v>
      </c>
      <c r="N316" s="179">
        <v>0</v>
      </c>
      <c r="O316" s="178">
        <v>108.66</v>
      </c>
      <c r="P316" s="453"/>
      <c r="Q316" s="61"/>
      <c r="R316" s="298"/>
      <c r="S316" s="669"/>
      <c r="X316" s="444">
        <v>316</v>
      </c>
    </row>
    <row r="317" spans="1:24" ht="12">
      <c r="A317" s="83" t="s">
        <v>18917</v>
      </c>
      <c r="B317" s="64" t="s">
        <v>18918</v>
      </c>
      <c r="C317" s="71" t="s">
        <v>509</v>
      </c>
      <c r="D317" s="79">
        <v>1</v>
      </c>
      <c r="E317" s="79">
        <v>168.20999999999998</v>
      </c>
      <c r="F317" s="79">
        <v>168.21</v>
      </c>
      <c r="G317" s="445"/>
      <c r="H317" s="178">
        <v>168.2</v>
      </c>
      <c r="I317" s="178">
        <v>206.88</v>
      </c>
      <c r="J317" s="70">
        <v>-38.670000000000016</v>
      </c>
      <c r="K317" s="320"/>
      <c r="L317" s="178">
        <v>106.74</v>
      </c>
      <c r="M317" s="178">
        <v>61.469999999999985</v>
      </c>
      <c r="N317" s="179">
        <v>0</v>
      </c>
      <c r="O317" s="178">
        <v>168.20999999999998</v>
      </c>
      <c r="P317" s="453"/>
      <c r="Q317" s="61"/>
      <c r="R317" s="298"/>
      <c r="S317" s="669"/>
      <c r="X317" s="444">
        <v>317</v>
      </c>
    </row>
    <row r="318" spans="1:24" s="73" customFormat="1" ht="12">
      <c r="A318" s="83" t="s">
        <v>18919</v>
      </c>
      <c r="B318" s="64" t="s">
        <v>18920</v>
      </c>
      <c r="C318" s="71" t="s">
        <v>509</v>
      </c>
      <c r="D318" s="79">
        <v>1</v>
      </c>
      <c r="E318" s="79">
        <v>220.74</v>
      </c>
      <c r="F318" s="79">
        <v>220.74</v>
      </c>
      <c r="G318" s="445"/>
      <c r="H318" s="178">
        <v>220.72</v>
      </c>
      <c r="I318" s="178">
        <v>271.49</v>
      </c>
      <c r="J318" s="70">
        <v>-50.75</v>
      </c>
      <c r="K318" s="320"/>
      <c r="L318" s="178">
        <v>106.74</v>
      </c>
      <c r="M318" s="178">
        <v>114.00000000000001</v>
      </c>
      <c r="N318" s="179">
        <v>0</v>
      </c>
      <c r="O318" s="178">
        <v>220.74</v>
      </c>
      <c r="P318" s="453"/>
      <c r="Q318" s="61"/>
      <c r="R318" s="298"/>
      <c r="S318" s="669"/>
      <c r="T318" s="444"/>
      <c r="X318" s="444">
        <v>318</v>
      </c>
    </row>
    <row r="319" spans="1:24" s="73" customFormat="1" ht="12">
      <c r="A319" s="83" t="s">
        <v>18921</v>
      </c>
      <c r="B319" s="64" t="s">
        <v>18922</v>
      </c>
      <c r="C319" s="71" t="s">
        <v>509</v>
      </c>
      <c r="D319" s="79">
        <v>1</v>
      </c>
      <c r="E319" s="79">
        <v>364.78</v>
      </c>
      <c r="F319" s="79">
        <v>364.78</v>
      </c>
      <c r="G319" s="445"/>
      <c r="H319" s="178">
        <v>364.77</v>
      </c>
      <c r="I319" s="178">
        <v>448.67</v>
      </c>
      <c r="J319" s="70">
        <v>-83.890000000000043</v>
      </c>
      <c r="K319" s="320"/>
      <c r="L319" s="178">
        <v>132.44999999999999</v>
      </c>
      <c r="M319" s="178">
        <v>232.32999999999998</v>
      </c>
      <c r="N319" s="179">
        <v>0</v>
      </c>
      <c r="O319" s="178">
        <v>364.78</v>
      </c>
      <c r="P319" s="453"/>
      <c r="Q319" s="61"/>
      <c r="R319" s="298"/>
      <c r="S319" s="669"/>
      <c r="T319" s="444"/>
      <c r="X319" s="444">
        <v>319</v>
      </c>
    </row>
    <row r="320" spans="1:24" ht="12">
      <c r="A320" s="83" t="s">
        <v>18923</v>
      </c>
      <c r="B320" s="64" t="s">
        <v>18924</v>
      </c>
      <c r="C320" s="71" t="s">
        <v>509</v>
      </c>
      <c r="D320" s="79">
        <v>1</v>
      </c>
      <c r="E320" s="79">
        <v>207.81</v>
      </c>
      <c r="F320" s="79">
        <v>207.81</v>
      </c>
      <c r="G320" s="445"/>
      <c r="H320" s="178">
        <v>207.8</v>
      </c>
      <c r="I320" s="178">
        <v>255.59</v>
      </c>
      <c r="J320" s="70">
        <v>-47.78</v>
      </c>
      <c r="K320" s="320"/>
      <c r="L320" s="178">
        <v>106.74</v>
      </c>
      <c r="M320" s="178">
        <v>101.07000000000001</v>
      </c>
      <c r="N320" s="179">
        <v>0</v>
      </c>
      <c r="O320" s="178">
        <v>207.81</v>
      </c>
      <c r="P320" s="453"/>
      <c r="Q320" s="61"/>
      <c r="R320" s="298"/>
      <c r="S320" s="669"/>
      <c r="X320" s="444">
        <v>320</v>
      </c>
    </row>
    <row r="321" spans="1:24" ht="12">
      <c r="A321" s="83" t="s">
        <v>18925</v>
      </c>
      <c r="B321" s="64" t="s">
        <v>18926</v>
      </c>
      <c r="C321" s="71" t="s">
        <v>509</v>
      </c>
      <c r="D321" s="79">
        <v>1</v>
      </c>
      <c r="E321" s="79">
        <v>166.84</v>
      </c>
      <c r="F321" s="79">
        <v>166.84</v>
      </c>
      <c r="G321" s="445"/>
      <c r="H321" s="178">
        <v>166.83</v>
      </c>
      <c r="I321" s="178">
        <v>205.2</v>
      </c>
      <c r="J321" s="70">
        <v>-38.359999999999985</v>
      </c>
      <c r="K321" s="320"/>
      <c r="L321" s="178">
        <v>78.740000000000009</v>
      </c>
      <c r="M321" s="178">
        <v>88.1</v>
      </c>
      <c r="N321" s="179">
        <v>0</v>
      </c>
      <c r="O321" s="178">
        <v>166.84</v>
      </c>
      <c r="P321" s="453"/>
      <c r="Q321" s="61"/>
      <c r="R321" s="298"/>
      <c r="S321" s="669"/>
      <c r="X321" s="444">
        <v>321</v>
      </c>
    </row>
    <row r="322" spans="1:24" ht="12">
      <c r="A322" s="83" t="s">
        <v>18927</v>
      </c>
      <c r="B322" s="64" t="s">
        <v>18928</v>
      </c>
      <c r="C322" s="71" t="s">
        <v>509</v>
      </c>
      <c r="D322" s="79">
        <v>1</v>
      </c>
      <c r="E322" s="79">
        <v>289.39999999999998</v>
      </c>
      <c r="F322" s="79">
        <v>289.39999999999998</v>
      </c>
      <c r="G322" s="445"/>
      <c r="H322" s="178">
        <v>289.38</v>
      </c>
      <c r="I322" s="178">
        <v>355.94</v>
      </c>
      <c r="J322" s="70">
        <v>-66.54000000000002</v>
      </c>
      <c r="K322" s="320"/>
      <c r="L322" s="178">
        <v>106.74</v>
      </c>
      <c r="M322" s="178">
        <v>182.65999999999997</v>
      </c>
      <c r="N322" s="179">
        <v>0</v>
      </c>
      <c r="O322" s="178">
        <v>289.39999999999998</v>
      </c>
      <c r="P322" s="453"/>
      <c r="Q322" s="61"/>
      <c r="R322" s="298"/>
      <c r="S322" s="669"/>
      <c r="X322" s="444">
        <v>322</v>
      </c>
    </row>
    <row r="323" spans="1:24" s="69" customFormat="1" ht="12">
      <c r="A323" s="83" t="s">
        <v>11030</v>
      </c>
      <c r="B323" s="64" t="s">
        <v>18929</v>
      </c>
      <c r="C323" s="71" t="s">
        <v>509</v>
      </c>
      <c r="D323" s="79">
        <v>1</v>
      </c>
      <c r="E323" s="79">
        <v>529.1</v>
      </c>
      <c r="F323" s="79">
        <v>529.1</v>
      </c>
      <c r="G323" s="445"/>
      <c r="H323" s="178">
        <v>529.1</v>
      </c>
      <c r="I323" s="178">
        <v>650.79</v>
      </c>
      <c r="J323" s="70">
        <v>-121.68999999999994</v>
      </c>
      <c r="K323" s="320"/>
      <c r="L323" s="178">
        <v>159.53</v>
      </c>
      <c r="M323" s="178">
        <v>369.57000000000005</v>
      </c>
      <c r="N323" s="179">
        <v>0</v>
      </c>
      <c r="O323" s="178">
        <v>529.1</v>
      </c>
      <c r="P323" s="453"/>
      <c r="Q323" s="61"/>
      <c r="R323" s="298"/>
      <c r="S323" s="669"/>
      <c r="T323" s="444"/>
      <c r="X323" s="444">
        <v>323</v>
      </c>
    </row>
    <row r="324" spans="1:24" ht="12">
      <c r="A324" s="83" t="s">
        <v>18930</v>
      </c>
      <c r="B324" s="64" t="s">
        <v>18931</v>
      </c>
      <c r="C324" s="71" t="s">
        <v>509</v>
      </c>
      <c r="D324" s="79">
        <v>1</v>
      </c>
      <c r="E324" s="79">
        <v>83.960000000000008</v>
      </c>
      <c r="F324" s="79">
        <v>83.96</v>
      </c>
      <c r="G324" s="445"/>
      <c r="H324" s="178">
        <v>83.97</v>
      </c>
      <c r="I324" s="178">
        <v>103.28</v>
      </c>
      <c r="J324" s="70">
        <v>-19.319999999999993</v>
      </c>
      <c r="K324" s="320"/>
      <c r="L324" s="178">
        <v>34.17</v>
      </c>
      <c r="M324" s="178">
        <v>49.790000000000006</v>
      </c>
      <c r="N324" s="179">
        <v>0</v>
      </c>
      <c r="O324" s="178">
        <v>83.960000000000008</v>
      </c>
      <c r="P324" s="453"/>
      <c r="Q324" s="61"/>
      <c r="R324" s="298"/>
      <c r="S324" s="669"/>
      <c r="X324" s="444">
        <v>324</v>
      </c>
    </row>
    <row r="325" spans="1:24" ht="12">
      <c r="A325" s="63" t="s">
        <v>18932</v>
      </c>
      <c r="B325" s="64" t="s">
        <v>18933</v>
      </c>
      <c r="C325" s="71" t="s">
        <v>509</v>
      </c>
      <c r="D325" s="79">
        <v>1</v>
      </c>
      <c r="E325" s="79">
        <v>99.240000000000009</v>
      </c>
      <c r="F325" s="79">
        <v>99.24</v>
      </c>
      <c r="G325" s="320"/>
      <c r="H325" s="178">
        <v>99.24</v>
      </c>
      <c r="I325" s="178">
        <v>122.06</v>
      </c>
      <c r="J325" s="70">
        <v>-22.819999999999993</v>
      </c>
      <c r="K325" s="320"/>
      <c r="L325" s="178">
        <v>37.049999999999997</v>
      </c>
      <c r="M325" s="178">
        <v>62.190000000000012</v>
      </c>
      <c r="N325" s="179">
        <v>0</v>
      </c>
      <c r="O325" s="178">
        <v>99.240000000000009</v>
      </c>
      <c r="P325" s="453"/>
      <c r="Q325" s="61"/>
      <c r="R325" s="298"/>
      <c r="S325" s="669"/>
      <c r="T325" s="73"/>
      <c r="X325" s="444">
        <v>325</v>
      </c>
    </row>
    <row r="326" spans="1:24" ht="12">
      <c r="A326" s="63" t="s">
        <v>18934</v>
      </c>
      <c r="B326" s="64" t="s">
        <v>18935</v>
      </c>
      <c r="C326" s="71" t="s">
        <v>509</v>
      </c>
      <c r="D326" s="79">
        <v>1</v>
      </c>
      <c r="E326" s="79">
        <v>121.03</v>
      </c>
      <c r="F326" s="79">
        <v>121.03</v>
      </c>
      <c r="G326" s="320"/>
      <c r="H326" s="178">
        <v>121.02</v>
      </c>
      <c r="I326" s="178">
        <v>148.86000000000001</v>
      </c>
      <c r="J326" s="70">
        <v>-27.830000000000013</v>
      </c>
      <c r="K326" s="320"/>
      <c r="L326" s="178">
        <v>39.92</v>
      </c>
      <c r="M326" s="178">
        <v>81.11</v>
      </c>
      <c r="N326" s="179">
        <v>0</v>
      </c>
      <c r="O326" s="178">
        <v>121.03</v>
      </c>
      <c r="P326" s="453"/>
      <c r="Q326" s="61"/>
      <c r="R326" s="298"/>
      <c r="S326" s="669"/>
      <c r="T326" s="66"/>
      <c r="X326" s="444">
        <v>326</v>
      </c>
    </row>
    <row r="327" spans="1:24" s="61" customFormat="1" ht="12">
      <c r="A327" s="83" t="s">
        <v>18936</v>
      </c>
      <c r="B327" s="64" t="s">
        <v>18937</v>
      </c>
      <c r="C327" s="71" t="s">
        <v>509</v>
      </c>
      <c r="D327" s="79">
        <v>1</v>
      </c>
      <c r="E327" s="79">
        <v>83.919999999999987</v>
      </c>
      <c r="F327" s="79">
        <v>83.92</v>
      </c>
      <c r="G327" s="445"/>
      <c r="H327" s="178">
        <v>83.91</v>
      </c>
      <c r="I327" s="178">
        <v>103.21</v>
      </c>
      <c r="J327" s="70">
        <v>-19.290000000000006</v>
      </c>
      <c r="K327" s="320"/>
      <c r="L327" s="178">
        <v>37.049999999999997</v>
      </c>
      <c r="M327" s="178">
        <v>46.86999999999999</v>
      </c>
      <c r="N327" s="179">
        <v>0</v>
      </c>
      <c r="O327" s="178">
        <v>83.919999999999987</v>
      </c>
      <c r="P327" s="453"/>
      <c r="R327" s="298"/>
      <c r="S327" s="669"/>
      <c r="X327" s="444">
        <v>327</v>
      </c>
    </row>
    <row r="328" spans="1:24" s="61" customFormat="1" ht="12">
      <c r="A328" s="83" t="s">
        <v>18938</v>
      </c>
      <c r="B328" s="64" t="s">
        <v>18939</v>
      </c>
      <c r="C328" s="71" t="s">
        <v>509</v>
      </c>
      <c r="D328" s="79">
        <v>1</v>
      </c>
      <c r="E328" s="79">
        <v>102.24</v>
      </c>
      <c r="F328" s="79">
        <v>102.24</v>
      </c>
      <c r="G328" s="445"/>
      <c r="H328" s="178">
        <v>102.24</v>
      </c>
      <c r="I328" s="178">
        <v>125.75</v>
      </c>
      <c r="J328" s="70">
        <v>-23.510000000000005</v>
      </c>
      <c r="K328" s="320"/>
      <c r="L328" s="178">
        <v>39.92</v>
      </c>
      <c r="M328" s="178">
        <v>62.319999999999993</v>
      </c>
      <c r="N328" s="179">
        <v>0</v>
      </c>
      <c r="O328" s="178">
        <v>102.24</v>
      </c>
      <c r="P328" s="453"/>
      <c r="R328" s="298"/>
      <c r="S328" s="669"/>
      <c r="T328" s="444"/>
      <c r="X328" s="444">
        <v>328</v>
      </c>
    </row>
    <row r="329" spans="1:24" s="61" customFormat="1" ht="12">
      <c r="A329" s="83" t="s">
        <v>18940</v>
      </c>
      <c r="B329" s="64" t="s">
        <v>18704</v>
      </c>
      <c r="C329" s="71" t="s">
        <v>121</v>
      </c>
      <c r="D329" s="79">
        <v>1</v>
      </c>
      <c r="E329" s="79">
        <v>597.71</v>
      </c>
      <c r="F329" s="79">
        <v>597.71</v>
      </c>
      <c r="G329" s="445"/>
      <c r="H329" s="178">
        <v>597.72</v>
      </c>
      <c r="I329" s="178">
        <v>735.19</v>
      </c>
      <c r="J329" s="70">
        <v>-137.48000000000002</v>
      </c>
      <c r="K329" s="320"/>
      <c r="L329" s="178">
        <v>214.05</v>
      </c>
      <c r="M329" s="178">
        <v>383.66</v>
      </c>
      <c r="N329" s="179">
        <v>0</v>
      </c>
      <c r="O329" s="178">
        <v>597.71</v>
      </c>
      <c r="P329" s="453"/>
      <c r="R329" s="298"/>
      <c r="S329" s="669"/>
      <c r="T329" s="444"/>
      <c r="X329" s="444">
        <v>329</v>
      </c>
    </row>
    <row r="330" spans="1:24" ht="12">
      <c r="A330" s="83" t="s">
        <v>18941</v>
      </c>
      <c r="B330" s="64" t="s">
        <v>18942</v>
      </c>
      <c r="C330" s="71" t="s">
        <v>207</v>
      </c>
      <c r="D330" s="79">
        <v>1</v>
      </c>
      <c r="E330" s="79">
        <v>12.69</v>
      </c>
      <c r="F330" s="79">
        <v>12.69</v>
      </c>
      <c r="G330" s="445"/>
      <c r="H330" s="178">
        <v>12.67</v>
      </c>
      <c r="I330" s="178">
        <v>15.59</v>
      </c>
      <c r="J330" s="70">
        <v>-2.9000000000000004</v>
      </c>
      <c r="K330" s="320"/>
      <c r="L330" s="178">
        <v>5.2799999999999994</v>
      </c>
      <c r="M330" s="178">
        <v>7.41</v>
      </c>
      <c r="N330" s="179">
        <v>0</v>
      </c>
      <c r="O330" s="178">
        <v>12.69</v>
      </c>
      <c r="P330" s="453"/>
      <c r="Q330" s="61"/>
      <c r="R330" s="298"/>
      <c r="S330" s="669"/>
      <c r="T330" s="61"/>
      <c r="X330" s="444">
        <v>330</v>
      </c>
    </row>
    <row r="331" spans="1:24" ht="12">
      <c r="A331" s="83" t="s">
        <v>18943</v>
      </c>
      <c r="B331" s="64" t="s">
        <v>18944</v>
      </c>
      <c r="C331" s="71" t="s">
        <v>207</v>
      </c>
      <c r="D331" s="79">
        <v>1</v>
      </c>
      <c r="E331" s="79">
        <v>13.37</v>
      </c>
      <c r="F331" s="79">
        <v>13.37</v>
      </c>
      <c r="G331" s="445"/>
      <c r="H331" s="178">
        <v>13.35</v>
      </c>
      <c r="I331" s="178">
        <v>16.420000000000002</v>
      </c>
      <c r="J331" s="70">
        <v>-3.0500000000000025</v>
      </c>
      <c r="K331" s="320"/>
      <c r="L331" s="178">
        <v>5.2799999999999994</v>
      </c>
      <c r="M331" s="178">
        <v>8.09</v>
      </c>
      <c r="N331" s="179">
        <v>0</v>
      </c>
      <c r="O331" s="178">
        <v>13.37</v>
      </c>
      <c r="P331" s="453"/>
      <c r="Q331" s="61"/>
      <c r="R331" s="298"/>
      <c r="S331" s="669"/>
      <c r="T331" s="61"/>
      <c r="X331" s="444">
        <v>331</v>
      </c>
    </row>
    <row r="332" spans="1:24" ht="24">
      <c r="A332" s="83" t="s">
        <v>18945</v>
      </c>
      <c r="B332" s="64" t="s">
        <v>18946</v>
      </c>
      <c r="C332" s="71" t="s">
        <v>509</v>
      </c>
      <c r="D332" s="79">
        <v>1</v>
      </c>
      <c r="E332" s="79">
        <v>181.89</v>
      </c>
      <c r="F332" s="79">
        <v>181.89</v>
      </c>
      <c r="G332" s="445"/>
      <c r="H332" s="178">
        <v>181.88</v>
      </c>
      <c r="I332" s="178">
        <v>223.71</v>
      </c>
      <c r="J332" s="70">
        <v>-41.820000000000022</v>
      </c>
      <c r="K332" s="320"/>
      <c r="L332" s="178">
        <v>80.83</v>
      </c>
      <c r="M332" s="178">
        <v>101.05999999999999</v>
      </c>
      <c r="N332" s="179">
        <v>0</v>
      </c>
      <c r="O332" s="178">
        <v>181.89</v>
      </c>
      <c r="P332" s="453"/>
      <c r="Q332" s="61"/>
      <c r="R332" s="298"/>
      <c r="S332" s="669"/>
      <c r="X332" s="444">
        <v>332</v>
      </c>
    </row>
    <row r="333" spans="1:24" ht="24">
      <c r="A333" s="83" t="s">
        <v>18947</v>
      </c>
      <c r="B333" s="64" t="s">
        <v>29557</v>
      </c>
      <c r="C333" s="71" t="s">
        <v>509</v>
      </c>
      <c r="D333" s="79">
        <v>1</v>
      </c>
      <c r="E333" s="79">
        <v>109.07</v>
      </c>
      <c r="F333" s="79">
        <v>109.07</v>
      </c>
      <c r="G333" s="445"/>
      <c r="H333" s="178">
        <v>109.07</v>
      </c>
      <c r="I333" s="178">
        <v>134.16</v>
      </c>
      <c r="J333" s="70">
        <v>-25.090000000000003</v>
      </c>
      <c r="K333" s="320"/>
      <c r="L333" s="178">
        <v>37.049999999999997</v>
      </c>
      <c r="M333" s="178">
        <v>72.02</v>
      </c>
      <c r="N333" s="179">
        <v>0</v>
      </c>
      <c r="O333" s="178">
        <v>109.07</v>
      </c>
      <c r="P333" s="453"/>
      <c r="Q333" s="61"/>
      <c r="R333" s="298"/>
      <c r="S333" s="669"/>
      <c r="X333" s="444">
        <v>333</v>
      </c>
    </row>
    <row r="334" spans="1:24" ht="24">
      <c r="A334" s="83" t="s">
        <v>18948</v>
      </c>
      <c r="B334" s="64" t="s">
        <v>29558</v>
      </c>
      <c r="C334" s="71" t="s">
        <v>509</v>
      </c>
      <c r="D334" s="79">
        <v>1</v>
      </c>
      <c r="E334" s="79">
        <v>136</v>
      </c>
      <c r="F334" s="79">
        <v>136</v>
      </c>
      <c r="G334" s="445"/>
      <c r="H334" s="178">
        <v>135.99</v>
      </c>
      <c r="I334" s="178">
        <v>167.27</v>
      </c>
      <c r="J334" s="70">
        <v>-31.27000000000001</v>
      </c>
      <c r="K334" s="320"/>
      <c r="L334" s="178">
        <v>39.92</v>
      </c>
      <c r="M334" s="178">
        <v>96.08</v>
      </c>
      <c r="N334" s="179">
        <v>0</v>
      </c>
      <c r="O334" s="178">
        <v>136</v>
      </c>
      <c r="P334" s="453"/>
      <c r="Q334" s="61"/>
      <c r="R334" s="298"/>
      <c r="S334" s="669"/>
      <c r="X334" s="444">
        <v>334</v>
      </c>
    </row>
    <row r="335" spans="1:24" ht="12">
      <c r="A335" s="83" t="s">
        <v>18949</v>
      </c>
      <c r="B335" s="64" t="s">
        <v>18950</v>
      </c>
      <c r="C335" s="71" t="s">
        <v>165</v>
      </c>
      <c r="D335" s="79">
        <v>1</v>
      </c>
      <c r="E335" s="79">
        <v>46.179999999999993</v>
      </c>
      <c r="F335" s="79">
        <v>46.18</v>
      </c>
      <c r="G335" s="445"/>
      <c r="H335" s="178">
        <v>46.19</v>
      </c>
      <c r="I335" s="178">
        <v>56.81</v>
      </c>
      <c r="J335" s="70">
        <v>-10.63000000000001</v>
      </c>
      <c r="K335" s="320"/>
      <c r="L335" s="178">
        <v>22</v>
      </c>
      <c r="M335" s="178">
        <v>24.179999999999993</v>
      </c>
      <c r="N335" s="179">
        <v>0</v>
      </c>
      <c r="O335" s="178">
        <v>46.179999999999993</v>
      </c>
      <c r="P335" s="453"/>
      <c r="Q335" s="61"/>
      <c r="R335" s="298"/>
      <c r="S335" s="669"/>
      <c r="X335" s="444">
        <v>335</v>
      </c>
    </row>
    <row r="336" spans="1:24" ht="12">
      <c r="A336" s="83" t="s">
        <v>18951</v>
      </c>
      <c r="B336" s="64" t="s">
        <v>18952</v>
      </c>
      <c r="C336" s="71" t="s">
        <v>165</v>
      </c>
      <c r="D336" s="79">
        <v>1</v>
      </c>
      <c r="E336" s="79">
        <v>51.35</v>
      </c>
      <c r="F336" s="79">
        <v>51.35</v>
      </c>
      <c r="G336" s="445"/>
      <c r="H336" s="178">
        <v>51.35</v>
      </c>
      <c r="I336" s="178">
        <v>63.16</v>
      </c>
      <c r="J336" s="70">
        <v>-11.809999999999995</v>
      </c>
      <c r="K336" s="320"/>
      <c r="L336" s="178">
        <v>22</v>
      </c>
      <c r="M336" s="178">
        <v>29.35</v>
      </c>
      <c r="N336" s="179">
        <v>0</v>
      </c>
      <c r="O336" s="178">
        <v>51.35</v>
      </c>
      <c r="P336" s="453"/>
      <c r="Q336" s="61"/>
      <c r="R336" s="298"/>
      <c r="S336" s="669"/>
      <c r="X336" s="444">
        <v>336</v>
      </c>
    </row>
    <row r="337" spans="1:24" ht="12">
      <c r="A337" s="83" t="s">
        <v>18953</v>
      </c>
      <c r="B337" s="64" t="s">
        <v>18954</v>
      </c>
      <c r="C337" s="71" t="s">
        <v>509</v>
      </c>
      <c r="D337" s="79">
        <v>1</v>
      </c>
      <c r="E337" s="79">
        <v>125.88</v>
      </c>
      <c r="F337" s="79">
        <v>125.88</v>
      </c>
      <c r="G337" s="445"/>
      <c r="H337" s="178">
        <v>125.88</v>
      </c>
      <c r="I337" s="178">
        <v>154.83000000000001</v>
      </c>
      <c r="J337" s="70">
        <v>-28.950000000000017</v>
      </c>
      <c r="K337" s="320"/>
      <c r="L337" s="178">
        <v>44</v>
      </c>
      <c r="M337" s="178">
        <v>81.88</v>
      </c>
      <c r="N337" s="179">
        <v>0</v>
      </c>
      <c r="O337" s="178">
        <v>125.88</v>
      </c>
      <c r="P337" s="453"/>
      <c r="Q337" s="61"/>
      <c r="R337" s="298"/>
      <c r="S337" s="669"/>
      <c r="X337" s="444">
        <v>337</v>
      </c>
    </row>
    <row r="338" spans="1:24" ht="12">
      <c r="A338" s="83" t="s">
        <v>18955</v>
      </c>
      <c r="B338" s="64" t="s">
        <v>18956</v>
      </c>
      <c r="C338" s="71" t="s">
        <v>509</v>
      </c>
      <c r="D338" s="79">
        <v>1</v>
      </c>
      <c r="E338" s="79">
        <v>156.44999999999999</v>
      </c>
      <c r="F338" s="79">
        <v>156.44999999999999</v>
      </c>
      <c r="G338" s="445"/>
      <c r="H338" s="178">
        <v>156.44999999999999</v>
      </c>
      <c r="I338" s="178">
        <v>192.43</v>
      </c>
      <c r="J338" s="70">
        <v>-35.980000000000018</v>
      </c>
      <c r="K338" s="320"/>
      <c r="L338" s="178">
        <v>53.879999999999995</v>
      </c>
      <c r="M338" s="178">
        <v>102.57</v>
      </c>
      <c r="N338" s="179">
        <v>0</v>
      </c>
      <c r="O338" s="178">
        <v>156.44999999999999</v>
      </c>
      <c r="P338" s="453"/>
      <c r="Q338" s="61"/>
      <c r="R338" s="298"/>
      <c r="S338" s="669"/>
      <c r="X338" s="444">
        <v>338</v>
      </c>
    </row>
    <row r="339" spans="1:24" ht="12">
      <c r="A339" s="83" t="s">
        <v>18957</v>
      </c>
      <c r="B339" s="64" t="s">
        <v>18958</v>
      </c>
      <c r="C339" s="71" t="s">
        <v>509</v>
      </c>
      <c r="D339" s="79">
        <v>1</v>
      </c>
      <c r="E339" s="79">
        <v>204.63</v>
      </c>
      <c r="F339" s="79">
        <v>204.63</v>
      </c>
      <c r="G339" s="445"/>
      <c r="H339" s="178">
        <v>204.63</v>
      </c>
      <c r="I339" s="178">
        <v>251.7</v>
      </c>
      <c r="J339" s="70">
        <v>-47.069999999999993</v>
      </c>
      <c r="K339" s="320"/>
      <c r="L339" s="178">
        <v>53.879999999999995</v>
      </c>
      <c r="M339" s="178">
        <v>150.75</v>
      </c>
      <c r="N339" s="179">
        <v>0</v>
      </c>
      <c r="O339" s="178">
        <v>204.63</v>
      </c>
      <c r="P339" s="453"/>
      <c r="Q339" s="61"/>
      <c r="R339" s="298"/>
      <c r="S339" s="669"/>
      <c r="X339" s="444">
        <v>339</v>
      </c>
    </row>
    <row r="340" spans="1:24" ht="12">
      <c r="A340" s="65" t="s">
        <v>18959</v>
      </c>
      <c r="B340" s="456" t="s">
        <v>39561</v>
      </c>
      <c r="C340" s="71" t="s">
        <v>165</v>
      </c>
      <c r="D340" s="79">
        <v>1</v>
      </c>
      <c r="E340" s="79">
        <v>110.19</v>
      </c>
      <c r="F340" s="79">
        <v>110.19</v>
      </c>
      <c r="G340" s="445"/>
      <c r="H340" s="178">
        <v>110.18</v>
      </c>
      <c r="I340" s="178">
        <v>135.52000000000001</v>
      </c>
      <c r="J340" s="70">
        <v>-25.330000000000013</v>
      </c>
      <c r="K340" s="320"/>
      <c r="L340" s="178">
        <v>28.7</v>
      </c>
      <c r="M340" s="178">
        <v>81.489999999999995</v>
      </c>
      <c r="N340" s="179">
        <v>0</v>
      </c>
      <c r="O340" s="178">
        <v>110.19</v>
      </c>
      <c r="P340" s="453"/>
      <c r="Q340" s="61"/>
      <c r="R340" s="298"/>
      <c r="S340" s="669"/>
      <c r="X340" s="444">
        <v>340</v>
      </c>
    </row>
    <row r="341" spans="1:24" ht="12">
      <c r="A341" s="83" t="s">
        <v>18960</v>
      </c>
      <c r="B341" s="64" t="s">
        <v>18961</v>
      </c>
      <c r="C341" s="71" t="s">
        <v>509</v>
      </c>
      <c r="D341" s="79">
        <v>1</v>
      </c>
      <c r="E341" s="79">
        <v>88.77</v>
      </c>
      <c r="F341" s="79">
        <v>88.77</v>
      </c>
      <c r="G341" s="445"/>
      <c r="H341" s="178">
        <v>88.76</v>
      </c>
      <c r="I341" s="178">
        <v>109.18</v>
      </c>
      <c r="J341" s="70">
        <v>-20.410000000000011</v>
      </c>
      <c r="K341" s="320"/>
      <c r="L341" s="178">
        <v>51.46</v>
      </c>
      <c r="M341" s="178">
        <v>37.309999999999995</v>
      </c>
      <c r="N341" s="179">
        <v>0</v>
      </c>
      <c r="O341" s="178">
        <v>88.77</v>
      </c>
      <c r="P341" s="453"/>
      <c r="Q341" s="61"/>
      <c r="R341" s="298"/>
      <c r="S341" s="669"/>
      <c r="X341" s="444">
        <v>341</v>
      </c>
    </row>
    <row r="342" spans="1:24" ht="12">
      <c r="A342" s="83" t="s">
        <v>18962</v>
      </c>
      <c r="B342" s="64" t="s">
        <v>18963</v>
      </c>
      <c r="C342" s="71" t="s">
        <v>509</v>
      </c>
      <c r="D342" s="79">
        <v>1</v>
      </c>
      <c r="E342" s="79">
        <v>101.81</v>
      </c>
      <c r="F342" s="79">
        <v>101.81</v>
      </c>
      <c r="G342" s="445"/>
      <c r="H342" s="178">
        <v>101.8</v>
      </c>
      <c r="I342" s="178">
        <v>125.22</v>
      </c>
      <c r="J342" s="70">
        <v>-23.409999999999997</v>
      </c>
      <c r="K342" s="320"/>
      <c r="L342" s="178">
        <v>55.629999999999995</v>
      </c>
      <c r="M342" s="178">
        <v>46.180000000000007</v>
      </c>
      <c r="N342" s="179">
        <v>0</v>
      </c>
      <c r="O342" s="178">
        <v>101.81</v>
      </c>
      <c r="P342" s="453"/>
      <c r="Q342" s="61"/>
      <c r="R342" s="298"/>
      <c r="S342" s="669"/>
      <c r="X342" s="444">
        <v>342</v>
      </c>
    </row>
    <row r="343" spans="1:24" ht="12">
      <c r="A343" s="83" t="s">
        <v>18964</v>
      </c>
      <c r="B343" s="64" t="s">
        <v>18965</v>
      </c>
      <c r="C343" s="71" t="s">
        <v>509</v>
      </c>
      <c r="D343" s="79">
        <v>1</v>
      </c>
      <c r="E343" s="79">
        <v>82.15</v>
      </c>
      <c r="F343" s="79">
        <v>82.15</v>
      </c>
      <c r="G343" s="445"/>
      <c r="H343" s="178">
        <v>82.14</v>
      </c>
      <c r="I343" s="178">
        <v>101.03</v>
      </c>
      <c r="J343" s="70">
        <v>-18.879999999999995</v>
      </c>
      <c r="K343" s="320"/>
      <c r="L343" s="178">
        <v>39.92</v>
      </c>
      <c r="M343" s="178">
        <v>42.230000000000004</v>
      </c>
      <c r="N343" s="179">
        <v>0</v>
      </c>
      <c r="O343" s="178">
        <v>82.15</v>
      </c>
      <c r="P343" s="453"/>
      <c r="Q343" s="61"/>
      <c r="R343" s="298"/>
      <c r="S343" s="669"/>
      <c r="X343" s="444">
        <v>343</v>
      </c>
    </row>
    <row r="344" spans="1:24" ht="12">
      <c r="A344" s="83" t="s">
        <v>18966</v>
      </c>
      <c r="B344" s="64" t="s">
        <v>18967</v>
      </c>
      <c r="C344" s="71" t="s">
        <v>509</v>
      </c>
      <c r="D344" s="79">
        <v>1</v>
      </c>
      <c r="E344" s="79">
        <v>100.23</v>
      </c>
      <c r="F344" s="79">
        <v>100.23</v>
      </c>
      <c r="G344" s="445"/>
      <c r="H344" s="178">
        <v>100.23</v>
      </c>
      <c r="I344" s="178">
        <v>123.28</v>
      </c>
      <c r="J344" s="70">
        <v>-23.049999999999997</v>
      </c>
      <c r="K344" s="320"/>
      <c r="L344" s="178">
        <v>40.36</v>
      </c>
      <c r="M344" s="178">
        <v>59.870000000000005</v>
      </c>
      <c r="N344" s="179">
        <v>0</v>
      </c>
      <c r="O344" s="178">
        <v>100.23</v>
      </c>
      <c r="P344" s="453"/>
      <c r="Q344" s="61"/>
      <c r="R344" s="298"/>
      <c r="S344" s="669"/>
      <c r="X344" s="444">
        <v>344</v>
      </c>
    </row>
    <row r="345" spans="1:24" ht="12">
      <c r="A345" s="83" t="s">
        <v>18968</v>
      </c>
      <c r="B345" s="64" t="s">
        <v>18969</v>
      </c>
      <c r="C345" s="71" t="s">
        <v>10216</v>
      </c>
      <c r="D345" s="79">
        <v>1</v>
      </c>
      <c r="E345" s="79">
        <v>577.26</v>
      </c>
      <c r="F345" s="79">
        <v>577.26</v>
      </c>
      <c r="G345" s="445"/>
      <c r="H345" s="178">
        <v>577.25</v>
      </c>
      <c r="I345" s="178">
        <v>710.02</v>
      </c>
      <c r="J345" s="70">
        <v>-132.76</v>
      </c>
      <c r="K345" s="320"/>
      <c r="L345" s="178"/>
      <c r="M345" s="178">
        <v>577.26</v>
      </c>
      <c r="N345" s="179">
        <v>0</v>
      </c>
      <c r="O345" s="178">
        <v>577.26</v>
      </c>
      <c r="P345" s="453"/>
      <c r="Q345" s="61"/>
      <c r="R345" s="298"/>
      <c r="S345" s="669"/>
      <c r="X345" s="444">
        <v>345</v>
      </c>
    </row>
    <row r="346" spans="1:24" ht="12">
      <c r="A346" s="83" t="s">
        <v>11042</v>
      </c>
      <c r="B346" s="64" t="s">
        <v>39562</v>
      </c>
      <c r="C346" s="71"/>
      <c r="D346" s="79" t="s">
        <v>40899</v>
      </c>
      <c r="E346" s="79" t="s">
        <v>40899</v>
      </c>
      <c r="F346" s="79"/>
      <c r="G346" s="445"/>
      <c r="H346" s="178"/>
      <c r="I346" s="178"/>
      <c r="J346" s="70"/>
      <c r="K346" s="320"/>
      <c r="L346" s="178"/>
      <c r="M346" s="178"/>
      <c r="N346" s="179"/>
      <c r="O346" s="178"/>
      <c r="P346" s="453"/>
      <c r="Q346" s="61"/>
      <c r="R346" s="298"/>
      <c r="S346" s="669"/>
      <c r="X346" s="444">
        <v>346</v>
      </c>
    </row>
    <row r="347" spans="1:24" ht="24">
      <c r="A347" s="83" t="s">
        <v>18970</v>
      </c>
      <c r="B347" s="64" t="s">
        <v>6547</v>
      </c>
      <c r="C347" s="71" t="s">
        <v>509</v>
      </c>
      <c r="D347" s="79">
        <v>1</v>
      </c>
      <c r="E347" s="79">
        <v>196.59</v>
      </c>
      <c r="F347" s="79">
        <v>196.59</v>
      </c>
      <c r="G347" s="320"/>
      <c r="H347" s="178">
        <v>196.6</v>
      </c>
      <c r="I347" s="178">
        <v>241.82</v>
      </c>
      <c r="J347" s="70">
        <v>-45.22999999999999</v>
      </c>
      <c r="K347" s="320"/>
      <c r="L347" s="178">
        <v>40.400000000000006</v>
      </c>
      <c r="M347" s="178">
        <v>156.19</v>
      </c>
      <c r="N347" s="179">
        <v>0</v>
      </c>
      <c r="O347" s="178">
        <v>196.59</v>
      </c>
      <c r="P347" s="453"/>
      <c r="Q347" s="61"/>
      <c r="R347" s="298"/>
      <c r="S347" s="669"/>
      <c r="X347" s="444">
        <v>347</v>
      </c>
    </row>
    <row r="348" spans="1:24">
      <c r="A348" s="67" t="s">
        <v>40904</v>
      </c>
      <c r="B348" s="457" t="s">
        <v>39563</v>
      </c>
      <c r="C348" s="71" t="s">
        <v>509</v>
      </c>
      <c r="D348" s="79">
        <v>1</v>
      </c>
      <c r="E348" s="79">
        <v>195.53</v>
      </c>
      <c r="F348" s="79">
        <v>195.53</v>
      </c>
      <c r="H348" s="178">
        <v>195.54</v>
      </c>
      <c r="I348" s="178">
        <v>240.51</v>
      </c>
      <c r="J348" s="70">
        <v>-44.97999999999999</v>
      </c>
      <c r="K348" s="320"/>
      <c r="L348" s="178">
        <v>0.52</v>
      </c>
      <c r="M348" s="178">
        <v>185.79</v>
      </c>
      <c r="N348" s="179">
        <v>9.2200000000000006</v>
      </c>
      <c r="O348" s="178">
        <v>195.53</v>
      </c>
      <c r="P348" s="453"/>
      <c r="Q348" s="61"/>
      <c r="R348" s="298"/>
      <c r="S348" s="669"/>
      <c r="X348" s="444">
        <v>348</v>
      </c>
    </row>
    <row r="349" spans="1:24" ht="12">
      <c r="A349" s="83" t="s">
        <v>18971</v>
      </c>
      <c r="B349" s="64" t="s">
        <v>6557</v>
      </c>
      <c r="C349" s="71" t="s">
        <v>509</v>
      </c>
      <c r="D349" s="79">
        <v>1</v>
      </c>
      <c r="E349" s="79">
        <v>718.36</v>
      </c>
      <c r="F349" s="79">
        <v>718.36</v>
      </c>
      <c r="G349" s="320"/>
      <c r="H349" s="178">
        <v>718.37</v>
      </c>
      <c r="I349" s="178">
        <v>883.59</v>
      </c>
      <c r="J349" s="70">
        <v>-165.23000000000002</v>
      </c>
      <c r="K349" s="320"/>
      <c r="L349" s="178">
        <v>48.480000000000004</v>
      </c>
      <c r="M349" s="178">
        <v>669.88</v>
      </c>
      <c r="N349" s="179">
        <v>0</v>
      </c>
      <c r="O349" s="178">
        <v>718.36</v>
      </c>
      <c r="P349" s="453"/>
      <c r="Q349" s="61"/>
      <c r="R349" s="298"/>
      <c r="S349" s="669"/>
      <c r="X349" s="444">
        <v>349</v>
      </c>
    </row>
    <row r="350" spans="1:24" ht="12">
      <c r="A350" s="83" t="s">
        <v>18972</v>
      </c>
      <c r="B350" s="64" t="s">
        <v>18973</v>
      </c>
      <c r="C350" s="71" t="s">
        <v>509</v>
      </c>
      <c r="D350" s="79">
        <v>1</v>
      </c>
      <c r="E350" s="79">
        <v>115.25</v>
      </c>
      <c r="F350" s="79">
        <v>115.25</v>
      </c>
      <c r="G350" s="445"/>
      <c r="H350" s="178">
        <v>115.24</v>
      </c>
      <c r="I350" s="178">
        <v>141.75</v>
      </c>
      <c r="J350" s="70">
        <v>-26.5</v>
      </c>
      <c r="K350" s="320"/>
      <c r="L350" s="178">
        <v>48.95</v>
      </c>
      <c r="M350" s="178">
        <v>66.3</v>
      </c>
      <c r="N350" s="179">
        <v>0</v>
      </c>
      <c r="O350" s="178">
        <v>115.25</v>
      </c>
      <c r="P350" s="453"/>
      <c r="Q350" s="61"/>
      <c r="R350" s="298"/>
      <c r="S350" s="669"/>
      <c r="X350" s="444">
        <v>350</v>
      </c>
    </row>
    <row r="351" spans="1:24" ht="12">
      <c r="A351" s="83" t="s">
        <v>11044</v>
      </c>
      <c r="B351" s="64" t="s">
        <v>18974</v>
      </c>
      <c r="C351" s="71" t="s">
        <v>509</v>
      </c>
      <c r="D351" s="79">
        <v>1</v>
      </c>
      <c r="E351" s="79">
        <v>167.94</v>
      </c>
      <c r="F351" s="79">
        <v>167.94</v>
      </c>
      <c r="G351" s="445"/>
      <c r="H351" s="178">
        <v>167.93</v>
      </c>
      <c r="I351" s="178">
        <v>206.55</v>
      </c>
      <c r="J351" s="70">
        <v>-38.610000000000014</v>
      </c>
      <c r="K351" s="320"/>
      <c r="L351" s="178">
        <v>102.92</v>
      </c>
      <c r="M351" s="178">
        <v>65.02</v>
      </c>
      <c r="N351" s="179">
        <v>0</v>
      </c>
      <c r="O351" s="178">
        <v>167.94</v>
      </c>
      <c r="P351" s="453"/>
      <c r="Q351" s="61"/>
      <c r="R351" s="298"/>
      <c r="S351" s="669"/>
      <c r="X351" s="444">
        <v>351</v>
      </c>
    </row>
    <row r="352" spans="1:24" ht="12">
      <c r="A352" s="83" t="s">
        <v>18975</v>
      </c>
      <c r="B352" s="64" t="s">
        <v>6559</v>
      </c>
      <c r="C352" s="71" t="s">
        <v>509</v>
      </c>
      <c r="D352" s="79">
        <v>1</v>
      </c>
      <c r="E352" s="79">
        <v>540.82000000000005</v>
      </c>
      <c r="F352" s="79">
        <v>540.82000000000005</v>
      </c>
      <c r="G352" s="445"/>
      <c r="H352" s="178">
        <v>540.83000000000004</v>
      </c>
      <c r="I352" s="178">
        <v>665.22</v>
      </c>
      <c r="J352" s="70">
        <v>-124.39999999999998</v>
      </c>
      <c r="K352" s="320"/>
      <c r="L352" s="178">
        <v>139.46</v>
      </c>
      <c r="M352" s="178">
        <v>401.36</v>
      </c>
      <c r="N352" s="179">
        <v>0</v>
      </c>
      <c r="O352" s="178">
        <v>540.82000000000005</v>
      </c>
      <c r="P352" s="453"/>
      <c r="Q352" s="61"/>
      <c r="R352" s="298"/>
      <c r="S352" s="669"/>
      <c r="X352" s="444">
        <v>352</v>
      </c>
    </row>
    <row r="353" spans="1:32" ht="12">
      <c r="A353" s="83" t="s">
        <v>18976</v>
      </c>
      <c r="B353" s="64" t="s">
        <v>18977</v>
      </c>
      <c r="C353" s="71" t="s">
        <v>10216</v>
      </c>
      <c r="D353" s="79">
        <v>1</v>
      </c>
      <c r="E353" s="79">
        <v>577.26</v>
      </c>
      <c r="F353" s="79">
        <v>577.26</v>
      </c>
      <c r="G353" s="445"/>
      <c r="H353" s="178">
        <v>577.25</v>
      </c>
      <c r="I353" s="178">
        <v>710.02</v>
      </c>
      <c r="J353" s="70">
        <v>-132.76</v>
      </c>
      <c r="K353" s="320"/>
      <c r="L353" s="178"/>
      <c r="M353" s="178">
        <v>577.26</v>
      </c>
      <c r="N353" s="179">
        <v>0</v>
      </c>
      <c r="O353" s="178">
        <v>577.26</v>
      </c>
      <c r="P353" s="453"/>
      <c r="Q353" s="61"/>
      <c r="R353" s="298"/>
      <c r="S353" s="669"/>
      <c r="X353" s="444">
        <v>353</v>
      </c>
    </row>
    <row r="354" spans="1:32" ht="12">
      <c r="A354" s="83" t="s">
        <v>11057</v>
      </c>
      <c r="B354" s="64" t="s">
        <v>39564</v>
      </c>
      <c r="C354" s="71"/>
      <c r="D354" s="79" t="s">
        <v>40899</v>
      </c>
      <c r="E354" s="79" t="s">
        <v>40899</v>
      </c>
      <c r="F354" s="79"/>
      <c r="G354" s="445"/>
      <c r="H354" s="178"/>
      <c r="I354" s="178"/>
      <c r="J354" s="70"/>
      <c r="K354" s="320"/>
      <c r="L354" s="178"/>
      <c r="M354" s="178"/>
      <c r="N354" s="179"/>
      <c r="O354" s="178"/>
      <c r="P354" s="453"/>
      <c r="Q354" s="61"/>
      <c r="R354" s="298"/>
      <c r="S354" s="669"/>
      <c r="U354" s="73"/>
      <c r="V354" s="73"/>
      <c r="W354" s="73"/>
      <c r="X354" s="444">
        <v>354</v>
      </c>
      <c r="Y354" s="73"/>
      <c r="Z354" s="73"/>
      <c r="AA354" s="73"/>
      <c r="AB354" s="73"/>
      <c r="AC354" s="73"/>
      <c r="AD354" s="73"/>
      <c r="AE354" s="73"/>
      <c r="AF354" s="73"/>
    </row>
    <row r="355" spans="1:32" s="73" customFormat="1" ht="12">
      <c r="A355" s="83" t="s">
        <v>18978</v>
      </c>
      <c r="B355" s="64" t="s">
        <v>18979</v>
      </c>
      <c r="C355" s="71" t="s">
        <v>165</v>
      </c>
      <c r="D355" s="79">
        <v>1</v>
      </c>
      <c r="E355" s="79">
        <v>732.32</v>
      </c>
      <c r="F355" s="79">
        <v>732.32</v>
      </c>
      <c r="G355" s="445"/>
      <c r="H355" s="178">
        <v>732.32</v>
      </c>
      <c r="I355" s="178">
        <v>900.75</v>
      </c>
      <c r="J355" s="70">
        <v>-168.42999999999995</v>
      </c>
      <c r="K355" s="320"/>
      <c r="L355" s="178">
        <v>134.71</v>
      </c>
      <c r="M355" s="178">
        <v>597.61</v>
      </c>
      <c r="N355" s="179">
        <v>0</v>
      </c>
      <c r="O355" s="178">
        <v>732.32</v>
      </c>
      <c r="P355" s="453"/>
      <c r="Q355" s="61"/>
      <c r="R355" s="298"/>
      <c r="S355" s="669"/>
      <c r="T355" s="444"/>
      <c r="X355" s="444">
        <v>355</v>
      </c>
    </row>
    <row r="356" spans="1:32" s="73" customFormat="1" ht="12">
      <c r="A356" s="83" t="s">
        <v>18980</v>
      </c>
      <c r="B356" s="64" t="s">
        <v>18981</v>
      </c>
      <c r="C356" s="71" t="s">
        <v>165</v>
      </c>
      <c r="D356" s="79">
        <v>1</v>
      </c>
      <c r="E356" s="79">
        <v>732.32</v>
      </c>
      <c r="F356" s="79">
        <v>732.32</v>
      </c>
      <c r="G356" s="445"/>
      <c r="H356" s="178">
        <v>732.32</v>
      </c>
      <c r="I356" s="178">
        <v>900.75</v>
      </c>
      <c r="J356" s="70">
        <v>-168.42999999999995</v>
      </c>
      <c r="K356" s="320"/>
      <c r="L356" s="178">
        <v>134.71</v>
      </c>
      <c r="M356" s="178">
        <v>597.61</v>
      </c>
      <c r="N356" s="179">
        <v>0</v>
      </c>
      <c r="O356" s="178">
        <v>732.32</v>
      </c>
      <c r="P356" s="453"/>
      <c r="Q356" s="61"/>
      <c r="R356" s="298"/>
      <c r="S356" s="669"/>
      <c r="X356" s="444">
        <v>356</v>
      </c>
    </row>
    <row r="357" spans="1:32" s="73" customFormat="1" ht="12">
      <c r="A357" s="83" t="s">
        <v>18982</v>
      </c>
      <c r="B357" s="64" t="s">
        <v>18983</v>
      </c>
      <c r="C357" s="71" t="s">
        <v>165</v>
      </c>
      <c r="D357" s="79">
        <v>1</v>
      </c>
      <c r="E357" s="79">
        <v>1913.1900000000003</v>
      </c>
      <c r="F357" s="79">
        <v>1913.19</v>
      </c>
      <c r="G357" s="445"/>
      <c r="H357" s="178">
        <v>1913.17</v>
      </c>
      <c r="I357" s="178">
        <v>2353.1999999999998</v>
      </c>
      <c r="J357" s="70">
        <v>-440.00999999999954</v>
      </c>
      <c r="K357" s="320"/>
      <c r="L357" s="178">
        <v>149.54000000000002</v>
      </c>
      <c r="M357" s="178">
        <v>1763.6500000000003</v>
      </c>
      <c r="N357" s="179">
        <v>0</v>
      </c>
      <c r="O357" s="178">
        <v>1913.1900000000003</v>
      </c>
      <c r="P357" s="453"/>
      <c r="Q357" s="61"/>
      <c r="R357" s="298"/>
      <c r="S357" s="669"/>
      <c r="U357" s="444"/>
      <c r="V357" s="444"/>
      <c r="W357" s="444"/>
      <c r="X357" s="444">
        <v>357</v>
      </c>
      <c r="Y357" s="444"/>
      <c r="Z357" s="444"/>
      <c r="AA357" s="444"/>
      <c r="AB357" s="444"/>
      <c r="AC357" s="444"/>
      <c r="AD357" s="444"/>
      <c r="AE357" s="444"/>
      <c r="AF357" s="444"/>
    </row>
    <row r="358" spans="1:32" ht="12">
      <c r="A358" s="83" t="s">
        <v>18984</v>
      </c>
      <c r="B358" s="64" t="s">
        <v>18985</v>
      </c>
      <c r="C358" s="71" t="s">
        <v>165</v>
      </c>
      <c r="D358" s="79">
        <v>1</v>
      </c>
      <c r="E358" s="79">
        <v>508.69</v>
      </c>
      <c r="F358" s="79">
        <v>508.69</v>
      </c>
      <c r="G358" s="445"/>
      <c r="H358" s="178">
        <v>508.69</v>
      </c>
      <c r="I358" s="178">
        <v>625.69000000000005</v>
      </c>
      <c r="J358" s="70">
        <v>-117.00000000000006</v>
      </c>
      <c r="K358" s="320"/>
      <c r="L358" s="178">
        <v>110</v>
      </c>
      <c r="M358" s="178">
        <v>398.69</v>
      </c>
      <c r="N358" s="179">
        <v>0</v>
      </c>
      <c r="O358" s="178">
        <v>508.69</v>
      </c>
      <c r="P358" s="453"/>
      <c r="Q358" s="61"/>
      <c r="R358" s="298"/>
      <c r="S358" s="669"/>
      <c r="U358" s="61"/>
      <c r="V358" s="61"/>
      <c r="W358" s="61"/>
      <c r="X358" s="444">
        <v>358</v>
      </c>
      <c r="Y358" s="61"/>
      <c r="Z358" s="61"/>
      <c r="AA358" s="61"/>
      <c r="AB358" s="61"/>
      <c r="AC358" s="61"/>
      <c r="AD358" s="61"/>
      <c r="AE358" s="61"/>
      <c r="AF358" s="61"/>
    </row>
    <row r="359" spans="1:32" s="61" customFormat="1" ht="12">
      <c r="A359" s="83" t="s">
        <v>18986</v>
      </c>
      <c r="B359" s="64" t="s">
        <v>18987</v>
      </c>
      <c r="C359" s="71" t="s">
        <v>165</v>
      </c>
      <c r="D359" s="79">
        <v>1</v>
      </c>
      <c r="E359" s="79">
        <v>761.95</v>
      </c>
      <c r="F359" s="79">
        <v>761.95</v>
      </c>
      <c r="G359" s="445"/>
      <c r="H359" s="178">
        <v>761.93</v>
      </c>
      <c r="I359" s="178">
        <v>937.18</v>
      </c>
      <c r="J359" s="70">
        <v>-175.2299999999999</v>
      </c>
      <c r="K359" s="320"/>
      <c r="L359" s="178">
        <v>139.66</v>
      </c>
      <c r="M359" s="178">
        <v>622.29000000000008</v>
      </c>
      <c r="N359" s="179">
        <v>0</v>
      </c>
      <c r="O359" s="178">
        <v>761.95</v>
      </c>
      <c r="P359" s="453"/>
      <c r="R359" s="298"/>
      <c r="S359" s="669"/>
      <c r="T359" s="444"/>
      <c r="U359" s="444"/>
      <c r="V359" s="444"/>
      <c r="W359" s="444"/>
      <c r="X359" s="444">
        <v>359</v>
      </c>
      <c r="Y359" s="444"/>
      <c r="Z359" s="444"/>
      <c r="AA359" s="444"/>
      <c r="AB359" s="444"/>
      <c r="AC359" s="444"/>
      <c r="AD359" s="444"/>
      <c r="AE359" s="444"/>
      <c r="AF359" s="444"/>
    </row>
    <row r="360" spans="1:32" ht="12">
      <c r="A360" s="83" t="s">
        <v>18988</v>
      </c>
      <c r="B360" s="64" t="s">
        <v>18989</v>
      </c>
      <c r="C360" s="71" t="s">
        <v>509</v>
      </c>
      <c r="D360" s="79">
        <v>1</v>
      </c>
      <c r="E360" s="79">
        <v>250.46999999999997</v>
      </c>
      <c r="F360" s="79">
        <v>250.47</v>
      </c>
      <c r="G360" s="445"/>
      <c r="H360" s="178">
        <v>250.45</v>
      </c>
      <c r="I360" s="178">
        <v>308.05</v>
      </c>
      <c r="J360" s="70">
        <v>-57.580000000000041</v>
      </c>
      <c r="K360" s="320"/>
      <c r="L360" s="178">
        <v>44.58</v>
      </c>
      <c r="M360" s="178">
        <v>205.89</v>
      </c>
      <c r="N360" s="179">
        <v>0</v>
      </c>
      <c r="O360" s="178">
        <v>250.46999999999997</v>
      </c>
      <c r="P360" s="453"/>
      <c r="Q360" s="61"/>
      <c r="R360" s="298"/>
      <c r="S360" s="669"/>
      <c r="X360" s="444">
        <v>360</v>
      </c>
    </row>
    <row r="361" spans="1:32" ht="24">
      <c r="A361" s="83" t="s">
        <v>18990</v>
      </c>
      <c r="B361" s="64" t="s">
        <v>39565</v>
      </c>
      <c r="C361" s="71" t="s">
        <v>165</v>
      </c>
      <c r="D361" s="79">
        <v>1</v>
      </c>
      <c r="E361" s="79">
        <v>743.18000000000006</v>
      </c>
      <c r="F361" s="79">
        <v>743.18</v>
      </c>
      <c r="G361" s="320"/>
      <c r="H361" s="178">
        <v>743.17</v>
      </c>
      <c r="I361" s="178">
        <v>914.1</v>
      </c>
      <c r="J361" s="70">
        <v>-170.91999999999996</v>
      </c>
      <c r="K361" s="320"/>
      <c r="L361" s="178">
        <v>86.91</v>
      </c>
      <c r="M361" s="178">
        <v>656.2700000000001</v>
      </c>
      <c r="N361" s="179">
        <v>0</v>
      </c>
      <c r="O361" s="178">
        <v>743.18000000000006</v>
      </c>
      <c r="P361" s="132"/>
      <c r="Q361" s="61"/>
      <c r="R361" s="298"/>
      <c r="S361" s="669"/>
      <c r="T361" s="61"/>
      <c r="U361" s="61"/>
      <c r="V361" s="61"/>
      <c r="W361" s="61"/>
      <c r="X361" s="444">
        <v>361</v>
      </c>
      <c r="Y361" s="61"/>
      <c r="Z361" s="61"/>
      <c r="AA361" s="61"/>
      <c r="AB361" s="61"/>
      <c r="AC361" s="61"/>
      <c r="AD361" s="61"/>
      <c r="AE361" s="61"/>
      <c r="AF361" s="61"/>
    </row>
    <row r="362" spans="1:32" s="61" customFormat="1" ht="12">
      <c r="A362" s="83" t="s">
        <v>11059</v>
      </c>
      <c r="B362" s="64" t="s">
        <v>18991</v>
      </c>
      <c r="C362" s="71" t="s">
        <v>509</v>
      </c>
      <c r="D362" s="79">
        <v>1</v>
      </c>
      <c r="E362" s="79">
        <v>368.39000000000004</v>
      </c>
      <c r="F362" s="79">
        <v>368.39</v>
      </c>
      <c r="G362" s="445"/>
      <c r="H362" s="178">
        <v>368.38</v>
      </c>
      <c r="I362" s="178">
        <v>453.11</v>
      </c>
      <c r="J362" s="70">
        <v>-84.71999999999997</v>
      </c>
      <c r="K362" s="320"/>
      <c r="L362" s="178">
        <v>294.13</v>
      </c>
      <c r="M362" s="178">
        <v>74.260000000000048</v>
      </c>
      <c r="N362" s="179">
        <v>0</v>
      </c>
      <c r="O362" s="178">
        <v>368.39000000000004</v>
      </c>
      <c r="P362" s="453"/>
      <c r="R362" s="298"/>
      <c r="S362" s="669"/>
      <c r="T362" s="444"/>
      <c r="U362" s="444"/>
      <c r="V362" s="444"/>
      <c r="W362" s="444"/>
      <c r="X362" s="444">
        <v>362</v>
      </c>
      <c r="Y362" s="444"/>
      <c r="Z362" s="444"/>
      <c r="AA362" s="444"/>
      <c r="AB362" s="444"/>
      <c r="AC362" s="444"/>
      <c r="AD362" s="444"/>
      <c r="AE362" s="444"/>
      <c r="AF362" s="444"/>
    </row>
    <row r="363" spans="1:32" ht="12">
      <c r="A363" s="83" t="s">
        <v>18992</v>
      </c>
      <c r="B363" s="64" t="s">
        <v>18993</v>
      </c>
      <c r="C363" s="71" t="s">
        <v>509</v>
      </c>
      <c r="D363" s="79">
        <v>1</v>
      </c>
      <c r="E363" s="79">
        <v>245.54</v>
      </c>
      <c r="F363" s="79">
        <v>245.54</v>
      </c>
      <c r="G363" s="445"/>
      <c r="H363" s="178">
        <v>245.54</v>
      </c>
      <c r="I363" s="178">
        <v>302.01</v>
      </c>
      <c r="J363" s="70">
        <v>-56.47</v>
      </c>
      <c r="K363" s="320"/>
      <c r="L363" s="178"/>
      <c r="M363" s="178">
        <v>245.54</v>
      </c>
      <c r="N363" s="179">
        <v>0</v>
      </c>
      <c r="O363" s="178">
        <v>245.54</v>
      </c>
      <c r="P363" s="453"/>
      <c r="Q363" s="61"/>
      <c r="R363" s="298"/>
      <c r="S363" s="669"/>
      <c r="X363" s="444">
        <v>363</v>
      </c>
    </row>
    <row r="364" spans="1:32" ht="12">
      <c r="A364" s="83" t="s">
        <v>18994</v>
      </c>
      <c r="B364" s="64" t="s">
        <v>18995</v>
      </c>
      <c r="C364" s="71" t="s">
        <v>509</v>
      </c>
      <c r="D364" s="79">
        <v>1</v>
      </c>
      <c r="E364" s="79">
        <v>243.28</v>
      </c>
      <c r="F364" s="79">
        <v>243.28</v>
      </c>
      <c r="G364" s="445"/>
      <c r="H364" s="178">
        <v>243.28</v>
      </c>
      <c r="I364" s="178">
        <v>299.23</v>
      </c>
      <c r="J364" s="70">
        <v>-55.950000000000017</v>
      </c>
      <c r="K364" s="320"/>
      <c r="L364" s="178"/>
      <c r="M364" s="178">
        <v>243.28</v>
      </c>
      <c r="N364" s="179">
        <v>0</v>
      </c>
      <c r="O364" s="178">
        <v>243.28</v>
      </c>
      <c r="P364" s="453"/>
      <c r="Q364" s="61"/>
      <c r="R364" s="298"/>
      <c r="S364" s="669"/>
      <c r="X364" s="444">
        <v>364</v>
      </c>
    </row>
    <row r="365" spans="1:32" ht="12">
      <c r="A365" s="83" t="s">
        <v>18996</v>
      </c>
      <c r="B365" s="64" t="s">
        <v>18997</v>
      </c>
      <c r="C365" s="71" t="s">
        <v>509</v>
      </c>
      <c r="D365" s="79">
        <v>1</v>
      </c>
      <c r="E365" s="79">
        <v>222.01</v>
      </c>
      <c r="F365" s="79">
        <v>222.01</v>
      </c>
      <c r="G365" s="445"/>
      <c r="H365" s="178">
        <v>222.01</v>
      </c>
      <c r="I365" s="178">
        <v>273.07</v>
      </c>
      <c r="J365" s="70">
        <v>-51.06</v>
      </c>
      <c r="K365" s="320"/>
      <c r="L365" s="178"/>
      <c r="M365" s="178">
        <v>222.01</v>
      </c>
      <c r="N365" s="179">
        <v>0</v>
      </c>
      <c r="O365" s="178">
        <v>222.01</v>
      </c>
      <c r="P365" s="453"/>
      <c r="Q365" s="61"/>
      <c r="R365" s="298"/>
      <c r="S365" s="669"/>
      <c r="T365" s="61"/>
      <c r="X365" s="444">
        <v>365</v>
      </c>
    </row>
    <row r="366" spans="1:32" ht="12">
      <c r="A366" s="83" t="s">
        <v>18998</v>
      </c>
      <c r="B366" s="64" t="s">
        <v>18999</v>
      </c>
      <c r="C366" s="71" t="s">
        <v>509</v>
      </c>
      <c r="D366" s="79">
        <v>1</v>
      </c>
      <c r="E366" s="79">
        <v>193.24</v>
      </c>
      <c r="F366" s="79">
        <v>193.24</v>
      </c>
      <c r="G366" s="445"/>
      <c r="H366" s="178">
        <v>193.24</v>
      </c>
      <c r="I366" s="178">
        <v>237.68</v>
      </c>
      <c r="J366" s="70">
        <v>-44.44</v>
      </c>
      <c r="K366" s="320"/>
      <c r="L366" s="178"/>
      <c r="M366" s="178">
        <v>193.24</v>
      </c>
      <c r="N366" s="179">
        <v>0</v>
      </c>
      <c r="O366" s="178">
        <v>193.24</v>
      </c>
      <c r="P366" s="453"/>
      <c r="Q366" s="61"/>
      <c r="R366" s="298"/>
      <c r="S366" s="669"/>
      <c r="T366" s="61"/>
      <c r="X366" s="444">
        <v>366</v>
      </c>
    </row>
    <row r="367" spans="1:32" ht="24">
      <c r="A367" s="83" t="s">
        <v>19000</v>
      </c>
      <c r="B367" s="64" t="s">
        <v>39566</v>
      </c>
      <c r="C367" s="71" t="s">
        <v>509</v>
      </c>
      <c r="D367" s="79">
        <v>1</v>
      </c>
      <c r="E367" s="79">
        <v>255.06</v>
      </c>
      <c r="F367" s="79">
        <v>255.06</v>
      </c>
      <c r="G367" s="445"/>
      <c r="H367" s="178">
        <v>255.06</v>
      </c>
      <c r="I367" s="178">
        <v>313.72000000000003</v>
      </c>
      <c r="J367" s="70">
        <v>-58.660000000000025</v>
      </c>
      <c r="K367" s="320"/>
      <c r="L367" s="178"/>
      <c r="M367" s="178">
        <v>255.06</v>
      </c>
      <c r="N367" s="179">
        <v>0</v>
      </c>
      <c r="O367" s="178">
        <v>255.06</v>
      </c>
      <c r="P367" s="453"/>
      <c r="Q367" s="61"/>
      <c r="R367" s="298"/>
      <c r="S367" s="669"/>
      <c r="T367" s="61"/>
      <c r="X367" s="444">
        <v>367</v>
      </c>
    </row>
    <row r="368" spans="1:32" ht="24">
      <c r="A368" s="83" t="s">
        <v>19001</v>
      </c>
      <c r="B368" s="64" t="s">
        <v>39567</v>
      </c>
      <c r="C368" s="71" t="s">
        <v>509</v>
      </c>
      <c r="D368" s="79">
        <v>1</v>
      </c>
      <c r="E368" s="79">
        <v>216.83</v>
      </c>
      <c r="F368" s="79">
        <v>216.83</v>
      </c>
      <c r="G368" s="445"/>
      <c r="H368" s="178">
        <v>216.83</v>
      </c>
      <c r="I368" s="178">
        <v>266.7</v>
      </c>
      <c r="J368" s="70">
        <v>-49.869999999999976</v>
      </c>
      <c r="K368" s="320"/>
      <c r="L368" s="178"/>
      <c r="M368" s="178">
        <v>216.83</v>
      </c>
      <c r="N368" s="179">
        <v>0</v>
      </c>
      <c r="O368" s="178">
        <v>216.83</v>
      </c>
      <c r="P368" s="453"/>
      <c r="Q368" s="61"/>
      <c r="R368" s="298"/>
      <c r="S368" s="669"/>
      <c r="T368" s="61"/>
      <c r="X368" s="444">
        <v>368</v>
      </c>
    </row>
    <row r="369" spans="1:24">
      <c r="A369" s="67" t="s">
        <v>44241</v>
      </c>
      <c r="B369" s="304" t="s">
        <v>44242</v>
      </c>
      <c r="C369" s="71" t="s">
        <v>509</v>
      </c>
      <c r="D369" s="79">
        <v>1</v>
      </c>
      <c r="E369" s="79">
        <v>823</v>
      </c>
      <c r="F369" s="79">
        <v>823</v>
      </c>
      <c r="H369" s="178">
        <v>823</v>
      </c>
      <c r="I369" s="751">
        <v>1012.29</v>
      </c>
      <c r="J369" s="70">
        <v>-189.28999999999996</v>
      </c>
      <c r="K369" s="320"/>
      <c r="L369" s="178">
        <v>0</v>
      </c>
      <c r="M369" s="178">
        <v>823</v>
      </c>
      <c r="N369" s="179">
        <v>0</v>
      </c>
      <c r="O369" s="178">
        <v>823</v>
      </c>
      <c r="P369" s="453"/>
      <c r="Q369" s="61"/>
      <c r="R369" s="298"/>
      <c r="S369" s="669"/>
      <c r="X369" s="444">
        <v>369</v>
      </c>
    </row>
    <row r="370" spans="1:24" ht="12">
      <c r="A370" s="83" t="s">
        <v>19002</v>
      </c>
      <c r="B370" s="64" t="s">
        <v>19003</v>
      </c>
      <c r="C370" s="71" t="s">
        <v>10216</v>
      </c>
      <c r="D370" s="79">
        <v>1</v>
      </c>
      <c r="E370" s="79">
        <v>577.26</v>
      </c>
      <c r="F370" s="79">
        <v>577.26</v>
      </c>
      <c r="G370" s="445"/>
      <c r="H370" s="178">
        <v>577.25</v>
      </c>
      <c r="I370" s="178">
        <v>710.02</v>
      </c>
      <c r="J370" s="70">
        <v>-132.76</v>
      </c>
      <c r="K370" s="320"/>
      <c r="L370" s="178"/>
      <c r="M370" s="178">
        <v>577.26</v>
      </c>
      <c r="N370" s="179">
        <v>0</v>
      </c>
      <c r="O370" s="178">
        <v>577.26</v>
      </c>
      <c r="P370" s="453"/>
      <c r="Q370" s="61"/>
      <c r="R370" s="298"/>
      <c r="S370" s="669"/>
      <c r="X370" s="444">
        <v>370</v>
      </c>
    </row>
    <row r="371" spans="1:24" ht="12">
      <c r="A371" s="83" t="s">
        <v>39568</v>
      </c>
      <c r="B371" s="64" t="s">
        <v>39518</v>
      </c>
      <c r="C371" s="71"/>
      <c r="D371" s="79" t="s">
        <v>40899</v>
      </c>
      <c r="E371" s="79" t="s">
        <v>40899</v>
      </c>
      <c r="F371" s="79"/>
      <c r="G371" s="445"/>
      <c r="H371" s="178"/>
      <c r="I371" s="178"/>
      <c r="J371" s="70"/>
      <c r="K371" s="320"/>
      <c r="L371" s="178"/>
      <c r="M371" s="178"/>
      <c r="N371" s="179"/>
      <c r="O371" s="178"/>
      <c r="P371" s="453"/>
      <c r="Q371" s="61"/>
      <c r="R371" s="298"/>
      <c r="S371" s="669"/>
      <c r="X371" s="444">
        <v>371</v>
      </c>
    </row>
    <row r="372" spans="1:24" ht="12">
      <c r="A372" s="83" t="s">
        <v>19004</v>
      </c>
      <c r="B372" s="64" t="s">
        <v>19005</v>
      </c>
      <c r="C372" s="71" t="s">
        <v>121</v>
      </c>
      <c r="D372" s="79">
        <v>1</v>
      </c>
      <c r="E372" s="79">
        <v>103.36</v>
      </c>
      <c r="F372" s="79">
        <v>103.36</v>
      </c>
      <c r="G372" s="445"/>
      <c r="H372" s="178">
        <v>103.36</v>
      </c>
      <c r="I372" s="178">
        <v>127.13</v>
      </c>
      <c r="J372" s="70">
        <v>-23.769999999999996</v>
      </c>
      <c r="K372" s="320"/>
      <c r="L372" s="178">
        <v>103.36</v>
      </c>
      <c r="M372" s="178">
        <v>0</v>
      </c>
      <c r="N372" s="179">
        <v>0</v>
      </c>
      <c r="O372" s="178">
        <v>103.36</v>
      </c>
      <c r="P372" s="453"/>
      <c r="Q372" s="61"/>
      <c r="R372" s="298"/>
      <c r="S372" s="669"/>
      <c r="X372" s="444">
        <v>372</v>
      </c>
    </row>
    <row r="373" spans="1:24" ht="12">
      <c r="A373" s="68" t="s">
        <v>19006</v>
      </c>
      <c r="B373" s="9" t="s">
        <v>19007</v>
      </c>
      <c r="C373" s="72" t="s">
        <v>509</v>
      </c>
      <c r="D373" s="79">
        <v>1</v>
      </c>
      <c r="E373" s="79">
        <v>6.7</v>
      </c>
      <c r="F373" s="79">
        <v>6.7</v>
      </c>
      <c r="G373" s="445"/>
      <c r="H373" s="178">
        <v>6.7</v>
      </c>
      <c r="I373" s="178">
        <v>8.24</v>
      </c>
      <c r="J373" s="70">
        <v>-1.54</v>
      </c>
      <c r="K373" s="320"/>
      <c r="L373" s="178">
        <v>6.7</v>
      </c>
      <c r="M373" s="178">
        <v>0</v>
      </c>
      <c r="N373" s="179">
        <v>0</v>
      </c>
      <c r="O373" s="178">
        <v>6.7</v>
      </c>
      <c r="P373" s="453"/>
      <c r="Q373" s="61"/>
      <c r="R373" s="298"/>
      <c r="S373" s="669"/>
      <c r="X373" s="444">
        <v>373</v>
      </c>
    </row>
    <row r="374" spans="1:24" ht="12">
      <c r="A374" s="83" t="s">
        <v>19008</v>
      </c>
      <c r="B374" s="64" t="s">
        <v>19009</v>
      </c>
      <c r="C374" s="71" t="s">
        <v>509</v>
      </c>
      <c r="D374" s="79">
        <v>1</v>
      </c>
      <c r="E374" s="79">
        <v>6.7</v>
      </c>
      <c r="F374" s="79">
        <v>6.7</v>
      </c>
      <c r="G374" s="445"/>
      <c r="H374" s="178">
        <v>6.7</v>
      </c>
      <c r="I374" s="178">
        <v>8.24</v>
      </c>
      <c r="J374" s="70">
        <v>-1.54</v>
      </c>
      <c r="K374" s="320"/>
      <c r="L374" s="178">
        <v>6.7</v>
      </c>
      <c r="M374" s="178">
        <v>0</v>
      </c>
      <c r="N374" s="179">
        <v>0</v>
      </c>
      <c r="O374" s="178">
        <v>6.7</v>
      </c>
      <c r="P374" s="453"/>
      <c r="Q374" s="61"/>
      <c r="R374" s="298"/>
      <c r="S374" s="669"/>
      <c r="X374" s="444">
        <v>374</v>
      </c>
    </row>
    <row r="375" spans="1:24" ht="12">
      <c r="A375" s="83" t="s">
        <v>19010</v>
      </c>
      <c r="B375" s="64" t="s">
        <v>19011</v>
      </c>
      <c r="C375" s="71" t="s">
        <v>509</v>
      </c>
      <c r="D375" s="79">
        <v>1</v>
      </c>
      <c r="E375" s="79">
        <v>8.5500000000000007</v>
      </c>
      <c r="F375" s="79">
        <v>8.5500000000000007</v>
      </c>
      <c r="G375" s="445"/>
      <c r="H375" s="178">
        <v>8.5399999999999991</v>
      </c>
      <c r="I375" s="178">
        <v>10.51</v>
      </c>
      <c r="J375" s="70">
        <v>-1.9599999999999991</v>
      </c>
      <c r="K375" s="320"/>
      <c r="L375" s="178">
        <v>8.5500000000000007</v>
      </c>
      <c r="M375" s="178">
        <v>0</v>
      </c>
      <c r="N375" s="179">
        <v>0</v>
      </c>
      <c r="O375" s="178">
        <v>8.5500000000000007</v>
      </c>
      <c r="P375" s="453"/>
      <c r="Q375" s="61"/>
      <c r="R375" s="298"/>
      <c r="S375" s="669"/>
      <c r="X375" s="444">
        <v>375</v>
      </c>
    </row>
    <row r="376" spans="1:24" ht="12">
      <c r="A376" s="83" t="s">
        <v>19012</v>
      </c>
      <c r="B376" s="64" t="s">
        <v>18570</v>
      </c>
      <c r="C376" s="71" t="s">
        <v>10216</v>
      </c>
      <c r="D376" s="79">
        <v>1</v>
      </c>
      <c r="E376" s="79">
        <v>577.26</v>
      </c>
      <c r="F376" s="79">
        <v>577.26</v>
      </c>
      <c r="G376" s="445"/>
      <c r="H376" s="178">
        <v>577.25</v>
      </c>
      <c r="I376" s="178">
        <v>710.02</v>
      </c>
      <c r="J376" s="70">
        <v>-132.76</v>
      </c>
      <c r="K376" s="320"/>
      <c r="L376" s="178"/>
      <c r="M376" s="178">
        <v>577.26</v>
      </c>
      <c r="N376" s="179">
        <v>0</v>
      </c>
      <c r="O376" s="178">
        <v>577.26</v>
      </c>
      <c r="P376" s="453"/>
      <c r="Q376" s="61"/>
      <c r="R376" s="298"/>
      <c r="S376" s="669"/>
      <c r="X376" s="444">
        <v>376</v>
      </c>
    </row>
    <row r="377" spans="1:24" ht="12">
      <c r="A377" s="83" t="s">
        <v>39569</v>
      </c>
      <c r="B377" s="64" t="s">
        <v>39520</v>
      </c>
      <c r="C377" s="71"/>
      <c r="D377" s="79" t="s">
        <v>40899</v>
      </c>
      <c r="E377" s="79" t="s">
        <v>40899</v>
      </c>
      <c r="F377" s="79"/>
      <c r="G377" s="445"/>
      <c r="H377" s="178"/>
      <c r="I377" s="178"/>
      <c r="J377" s="70"/>
      <c r="K377" s="320"/>
      <c r="L377" s="178"/>
      <c r="M377" s="178"/>
      <c r="N377" s="179"/>
      <c r="O377" s="178"/>
      <c r="P377" s="453"/>
      <c r="Q377" s="61"/>
      <c r="R377" s="298"/>
      <c r="S377" s="669"/>
      <c r="X377" s="444">
        <v>377</v>
      </c>
    </row>
    <row r="378" spans="1:24" ht="12">
      <c r="A378" s="83" t="s">
        <v>19013</v>
      </c>
      <c r="B378" s="64" t="s">
        <v>19014</v>
      </c>
      <c r="C378" s="71" t="s">
        <v>509</v>
      </c>
      <c r="D378" s="79">
        <v>1</v>
      </c>
      <c r="E378" s="79">
        <v>17.09</v>
      </c>
      <c r="F378" s="79">
        <v>17.09</v>
      </c>
      <c r="G378" s="445"/>
      <c r="H378" s="178">
        <v>17.09</v>
      </c>
      <c r="I378" s="178">
        <v>21.02</v>
      </c>
      <c r="J378" s="70">
        <v>-3.9299999999999997</v>
      </c>
      <c r="K378" s="320"/>
      <c r="L378" s="178">
        <v>17.09</v>
      </c>
      <c r="M378" s="178">
        <v>0</v>
      </c>
      <c r="N378" s="179">
        <v>0</v>
      </c>
      <c r="O378" s="178">
        <v>17.09</v>
      </c>
      <c r="P378" s="453"/>
      <c r="Q378" s="61"/>
      <c r="R378" s="298"/>
      <c r="S378" s="669"/>
      <c r="X378" s="444">
        <v>378</v>
      </c>
    </row>
    <row r="379" spans="1:24" ht="12">
      <c r="A379" s="83" t="s">
        <v>19015</v>
      </c>
      <c r="B379" s="64" t="s">
        <v>19016</v>
      </c>
      <c r="C379" s="71" t="s">
        <v>509</v>
      </c>
      <c r="D379" s="79">
        <v>1</v>
      </c>
      <c r="E379" s="79">
        <v>5.71</v>
      </c>
      <c r="F379" s="79">
        <v>5.71</v>
      </c>
      <c r="G379" s="445"/>
      <c r="H379" s="178">
        <v>5.69</v>
      </c>
      <c r="I379" s="178">
        <v>7</v>
      </c>
      <c r="J379" s="70">
        <v>-1.29</v>
      </c>
      <c r="K379" s="320"/>
      <c r="L379" s="178">
        <v>5.71</v>
      </c>
      <c r="M379" s="178">
        <v>0</v>
      </c>
      <c r="N379" s="179">
        <v>0</v>
      </c>
      <c r="O379" s="178">
        <v>5.71</v>
      </c>
      <c r="P379" s="453"/>
      <c r="Q379" s="61"/>
      <c r="R379" s="298"/>
      <c r="S379" s="669"/>
      <c r="X379" s="444">
        <v>379</v>
      </c>
    </row>
    <row r="380" spans="1:24" ht="12">
      <c r="A380" s="83" t="s">
        <v>19017</v>
      </c>
      <c r="B380" s="64" t="s">
        <v>19018</v>
      </c>
      <c r="C380" s="71" t="s">
        <v>509</v>
      </c>
      <c r="D380" s="79">
        <v>1</v>
      </c>
      <c r="E380" s="79">
        <v>7.5299999999999994</v>
      </c>
      <c r="F380" s="79">
        <v>7.53</v>
      </c>
      <c r="G380" s="445"/>
      <c r="H380" s="178">
        <v>7.52</v>
      </c>
      <c r="I380" s="178">
        <v>9.25</v>
      </c>
      <c r="J380" s="70">
        <v>-1.7200000000000006</v>
      </c>
      <c r="K380" s="320"/>
      <c r="L380" s="178">
        <v>7.5299999999999994</v>
      </c>
      <c r="M380" s="178">
        <v>0</v>
      </c>
      <c r="N380" s="179">
        <v>0</v>
      </c>
      <c r="O380" s="178">
        <v>7.5299999999999994</v>
      </c>
      <c r="P380" s="453"/>
      <c r="Q380" s="61"/>
      <c r="R380" s="298"/>
      <c r="S380" s="669"/>
      <c r="X380" s="444">
        <v>380</v>
      </c>
    </row>
    <row r="381" spans="1:24" ht="12">
      <c r="A381" s="83" t="s">
        <v>19019</v>
      </c>
      <c r="B381" s="64" t="s">
        <v>18572</v>
      </c>
      <c r="C381" s="71" t="s">
        <v>10216</v>
      </c>
      <c r="D381" s="79">
        <v>1</v>
      </c>
      <c r="E381" s="79">
        <v>577.26</v>
      </c>
      <c r="F381" s="79">
        <v>577.26</v>
      </c>
      <c r="G381" s="445"/>
      <c r="H381" s="178">
        <v>577.25</v>
      </c>
      <c r="I381" s="178">
        <v>710.02</v>
      </c>
      <c r="J381" s="70">
        <v>-132.76</v>
      </c>
      <c r="K381" s="320"/>
      <c r="L381" s="178"/>
      <c r="M381" s="178">
        <v>577.26</v>
      </c>
      <c r="N381" s="179">
        <v>0</v>
      </c>
      <c r="O381" s="178">
        <v>577.26</v>
      </c>
      <c r="P381" s="453"/>
      <c r="Q381" s="61"/>
      <c r="R381" s="298"/>
      <c r="S381" s="669"/>
      <c r="X381" s="444">
        <v>381</v>
      </c>
    </row>
    <row r="382" spans="1:24" ht="12">
      <c r="A382" s="83" t="s">
        <v>39570</v>
      </c>
      <c r="B382" s="64" t="s">
        <v>39571</v>
      </c>
      <c r="C382" s="71"/>
      <c r="D382" s="79" t="s">
        <v>40899</v>
      </c>
      <c r="E382" s="79" t="s">
        <v>40899</v>
      </c>
      <c r="F382" s="79"/>
      <c r="G382" s="445"/>
      <c r="H382" s="178"/>
      <c r="I382" s="178"/>
      <c r="J382" s="70"/>
      <c r="K382" s="320"/>
      <c r="L382" s="178"/>
      <c r="M382" s="178"/>
      <c r="N382" s="179"/>
      <c r="O382" s="178"/>
      <c r="P382" s="453"/>
      <c r="Q382" s="61"/>
      <c r="R382" s="298"/>
      <c r="S382" s="669"/>
      <c r="X382" s="444">
        <v>382</v>
      </c>
    </row>
    <row r="383" spans="1:24" ht="12">
      <c r="A383" s="83" t="s">
        <v>19020</v>
      </c>
      <c r="B383" s="64" t="s">
        <v>19021</v>
      </c>
      <c r="C383" s="71" t="s">
        <v>509</v>
      </c>
      <c r="D383" s="79">
        <v>1</v>
      </c>
      <c r="E383" s="79">
        <v>63.57</v>
      </c>
      <c r="F383" s="79">
        <v>63.57</v>
      </c>
      <c r="G383" s="445"/>
      <c r="H383" s="178">
        <v>63.56</v>
      </c>
      <c r="I383" s="178">
        <v>78.180000000000007</v>
      </c>
      <c r="J383" s="70">
        <v>-14.610000000000007</v>
      </c>
      <c r="K383" s="320"/>
      <c r="L383" s="178">
        <v>61.54</v>
      </c>
      <c r="M383" s="178">
        <v>2.0300000000000011</v>
      </c>
      <c r="N383" s="179">
        <v>0</v>
      </c>
      <c r="O383" s="178">
        <v>63.57</v>
      </c>
      <c r="P383" s="453"/>
      <c r="Q383" s="61"/>
      <c r="R383" s="298"/>
      <c r="S383" s="669"/>
      <c r="X383" s="444">
        <v>383</v>
      </c>
    </row>
    <row r="384" spans="1:24" ht="12">
      <c r="A384" s="83" t="s">
        <v>19022</v>
      </c>
      <c r="B384" s="64" t="s">
        <v>19023</v>
      </c>
      <c r="C384" s="71" t="s">
        <v>509</v>
      </c>
      <c r="D384" s="79">
        <v>1</v>
      </c>
      <c r="E384" s="79">
        <v>20.509999999999998</v>
      </c>
      <c r="F384" s="79">
        <v>20.51</v>
      </c>
      <c r="G384" s="445"/>
      <c r="H384" s="178">
        <v>20.51</v>
      </c>
      <c r="I384" s="178">
        <v>25.23</v>
      </c>
      <c r="J384" s="70">
        <v>-4.7200000000000024</v>
      </c>
      <c r="K384" s="320"/>
      <c r="L384" s="178">
        <v>20.509999999999998</v>
      </c>
      <c r="M384" s="178">
        <v>0</v>
      </c>
      <c r="N384" s="179">
        <v>0</v>
      </c>
      <c r="O384" s="178">
        <v>20.509999999999998</v>
      </c>
      <c r="P384" s="453"/>
      <c r="Q384" s="61"/>
      <c r="R384" s="298"/>
      <c r="S384" s="669"/>
      <c r="X384" s="444">
        <v>384</v>
      </c>
    </row>
    <row r="385" spans="1:32" ht="12">
      <c r="A385" s="83" t="s">
        <v>19024</v>
      </c>
      <c r="B385" s="64" t="s">
        <v>19025</v>
      </c>
      <c r="C385" s="71" t="s">
        <v>509</v>
      </c>
      <c r="D385" s="79">
        <v>1</v>
      </c>
      <c r="E385" s="79">
        <v>50.769999999999996</v>
      </c>
      <c r="F385" s="79">
        <v>50.77</v>
      </c>
      <c r="G385" s="445"/>
      <c r="H385" s="178">
        <v>50.76</v>
      </c>
      <c r="I385" s="178">
        <v>62.44</v>
      </c>
      <c r="J385" s="70">
        <v>-11.670000000000002</v>
      </c>
      <c r="K385" s="320"/>
      <c r="L385" s="178">
        <v>50.769999999999996</v>
      </c>
      <c r="M385" s="178">
        <v>0</v>
      </c>
      <c r="N385" s="179">
        <v>0</v>
      </c>
      <c r="O385" s="178">
        <v>50.769999999999996</v>
      </c>
      <c r="P385" s="453"/>
      <c r="Q385" s="61"/>
      <c r="R385" s="298"/>
      <c r="S385" s="669"/>
      <c r="U385" s="61"/>
      <c r="V385" s="61"/>
      <c r="W385" s="61"/>
      <c r="X385" s="444">
        <v>385</v>
      </c>
      <c r="Y385" s="61"/>
      <c r="Z385" s="61"/>
      <c r="AA385" s="61"/>
      <c r="AB385" s="61"/>
      <c r="AC385" s="61"/>
      <c r="AD385" s="61"/>
      <c r="AE385" s="61"/>
      <c r="AF385" s="61"/>
    </row>
    <row r="386" spans="1:32" s="61" customFormat="1" ht="12">
      <c r="A386" s="83" t="s">
        <v>19026</v>
      </c>
      <c r="B386" s="64" t="s">
        <v>19027</v>
      </c>
      <c r="C386" s="71" t="s">
        <v>10216</v>
      </c>
      <c r="D386" s="79">
        <v>1</v>
      </c>
      <c r="E386" s="79">
        <v>577.26</v>
      </c>
      <c r="F386" s="79">
        <v>577.26</v>
      </c>
      <c r="G386" s="445"/>
      <c r="H386" s="178">
        <v>577.25</v>
      </c>
      <c r="I386" s="178">
        <v>710.02</v>
      </c>
      <c r="J386" s="70">
        <v>-132.76</v>
      </c>
      <c r="K386" s="320"/>
      <c r="L386" s="178">
        <v>50.769999999999996</v>
      </c>
      <c r="M386" s="178">
        <v>526.49</v>
      </c>
      <c r="N386" s="179">
        <v>0</v>
      </c>
      <c r="O386" s="178">
        <v>577.26</v>
      </c>
      <c r="P386" s="453"/>
      <c r="R386" s="298"/>
      <c r="S386" s="669"/>
      <c r="T386" s="444"/>
      <c r="X386" s="444">
        <v>386</v>
      </c>
    </row>
    <row r="387" spans="1:32" s="61" customFormat="1" ht="12">
      <c r="A387" s="83" t="s">
        <v>19028</v>
      </c>
      <c r="B387" s="64" t="s">
        <v>19029</v>
      </c>
      <c r="C387" s="71" t="s">
        <v>509</v>
      </c>
      <c r="D387" s="79">
        <v>1</v>
      </c>
      <c r="E387" s="79">
        <v>304.08</v>
      </c>
      <c r="F387" s="79">
        <v>304.08</v>
      </c>
      <c r="G387" s="320"/>
      <c r="H387" s="178">
        <v>304.07</v>
      </c>
      <c r="I387" s="178">
        <v>374.01</v>
      </c>
      <c r="J387" s="70">
        <v>-69.930000000000007</v>
      </c>
      <c r="K387" s="320"/>
      <c r="L387" s="178">
        <v>80.83</v>
      </c>
      <c r="M387" s="178">
        <v>223.25</v>
      </c>
      <c r="N387" s="179">
        <v>0</v>
      </c>
      <c r="O387" s="178">
        <v>304.08</v>
      </c>
      <c r="P387" s="453"/>
      <c r="R387" s="298"/>
      <c r="S387" s="669"/>
      <c r="T387" s="444"/>
      <c r="U387" s="444"/>
      <c r="V387" s="444"/>
      <c r="W387" s="444"/>
      <c r="X387" s="444">
        <v>387</v>
      </c>
      <c r="Y387" s="444"/>
      <c r="Z387" s="444"/>
      <c r="AA387" s="444"/>
      <c r="AB387" s="444"/>
      <c r="AC387" s="444"/>
      <c r="AD387" s="444"/>
      <c r="AE387" s="444"/>
      <c r="AF387" s="444"/>
    </row>
    <row r="388" spans="1:32" ht="12">
      <c r="A388" s="83" t="s">
        <v>19030</v>
      </c>
      <c r="B388" s="64" t="s">
        <v>19031</v>
      </c>
      <c r="C388" s="71" t="s">
        <v>509</v>
      </c>
      <c r="D388" s="79">
        <v>1</v>
      </c>
      <c r="E388" s="79">
        <v>675.08</v>
      </c>
      <c r="F388" s="79">
        <v>675.08</v>
      </c>
      <c r="G388" s="320"/>
      <c r="H388" s="178">
        <v>675.07</v>
      </c>
      <c r="I388" s="178">
        <v>830.34</v>
      </c>
      <c r="J388" s="70">
        <v>-155.26</v>
      </c>
      <c r="K388" s="320"/>
      <c r="L388" s="178">
        <v>80.83</v>
      </c>
      <c r="M388" s="178">
        <v>594.25</v>
      </c>
      <c r="N388" s="179">
        <v>0</v>
      </c>
      <c r="O388" s="178">
        <v>675.08</v>
      </c>
      <c r="P388" s="453"/>
      <c r="Q388" s="61"/>
      <c r="R388" s="298"/>
      <c r="S388" s="669"/>
      <c r="X388" s="444">
        <v>388</v>
      </c>
    </row>
    <row r="389" spans="1:32" ht="12">
      <c r="A389" s="83" t="s">
        <v>19032</v>
      </c>
      <c r="B389" s="64" t="s">
        <v>19033</v>
      </c>
      <c r="C389" s="71" t="s">
        <v>509</v>
      </c>
      <c r="D389" s="79">
        <v>1</v>
      </c>
      <c r="E389" s="79">
        <v>163.84</v>
      </c>
      <c r="F389" s="79">
        <v>163.84</v>
      </c>
      <c r="G389" s="320"/>
      <c r="H389" s="178">
        <v>163.85</v>
      </c>
      <c r="I389" s="178">
        <v>201.54</v>
      </c>
      <c r="J389" s="70">
        <v>-37.699999999999989</v>
      </c>
      <c r="K389" s="320"/>
      <c r="L389" s="178">
        <v>40.400000000000006</v>
      </c>
      <c r="M389" s="178">
        <v>123.44</v>
      </c>
      <c r="N389" s="179">
        <v>0</v>
      </c>
      <c r="O389" s="178">
        <v>163.84</v>
      </c>
      <c r="P389" s="453"/>
      <c r="Q389" s="61"/>
      <c r="R389" s="298"/>
      <c r="S389" s="669"/>
      <c r="X389" s="444">
        <v>389</v>
      </c>
    </row>
    <row r="390" spans="1:32" ht="12">
      <c r="A390" s="83" t="s">
        <v>39572</v>
      </c>
      <c r="B390" s="64" t="s">
        <v>39573</v>
      </c>
      <c r="C390" s="71"/>
      <c r="D390" s="79" t="s">
        <v>40899</v>
      </c>
      <c r="E390" s="79" t="s">
        <v>40899</v>
      </c>
      <c r="F390" s="79"/>
      <c r="G390" s="445"/>
      <c r="H390" s="178"/>
      <c r="I390" s="178"/>
      <c r="J390" s="70"/>
      <c r="K390" s="320"/>
      <c r="L390" s="178"/>
      <c r="M390" s="178"/>
      <c r="N390" s="179"/>
      <c r="O390" s="178"/>
      <c r="P390" s="453"/>
      <c r="Q390" s="61"/>
      <c r="R390" s="298"/>
      <c r="S390" s="669"/>
      <c r="X390" s="444">
        <v>390</v>
      </c>
    </row>
    <row r="391" spans="1:32" ht="12">
      <c r="A391" s="83" t="s">
        <v>19034</v>
      </c>
      <c r="B391" s="64" t="s">
        <v>39574</v>
      </c>
      <c r="C391" s="71" t="s">
        <v>509</v>
      </c>
      <c r="D391" s="79">
        <v>1</v>
      </c>
      <c r="E391" s="79">
        <v>135.09</v>
      </c>
      <c r="F391" s="79">
        <v>135.09</v>
      </c>
      <c r="G391" s="445"/>
      <c r="H391" s="178">
        <v>135.08000000000001</v>
      </c>
      <c r="I391" s="178">
        <v>166.15</v>
      </c>
      <c r="J391" s="70">
        <v>-31.060000000000002</v>
      </c>
      <c r="K391" s="320"/>
      <c r="L391" s="178">
        <v>61.54</v>
      </c>
      <c r="M391" s="178">
        <v>73.550000000000011</v>
      </c>
      <c r="N391" s="179">
        <v>0</v>
      </c>
      <c r="O391" s="178">
        <v>135.09</v>
      </c>
      <c r="P391" s="453"/>
      <c r="Q391" s="61"/>
      <c r="R391" s="298"/>
      <c r="S391" s="669"/>
      <c r="X391" s="444">
        <v>391</v>
      </c>
    </row>
    <row r="392" spans="1:32" ht="12">
      <c r="A392" s="83" t="s">
        <v>19035</v>
      </c>
      <c r="B392" s="64" t="s">
        <v>19036</v>
      </c>
      <c r="C392" s="71" t="s">
        <v>509</v>
      </c>
      <c r="D392" s="79">
        <v>1</v>
      </c>
      <c r="E392" s="79">
        <v>243.05</v>
      </c>
      <c r="F392" s="79">
        <v>243.05</v>
      </c>
      <c r="G392" s="445"/>
      <c r="H392" s="178">
        <v>243.05</v>
      </c>
      <c r="I392" s="178">
        <v>298.95</v>
      </c>
      <c r="J392" s="70">
        <v>-55.899999999999977</v>
      </c>
      <c r="K392" s="320"/>
      <c r="L392" s="178"/>
      <c r="M392" s="178">
        <v>243.05</v>
      </c>
      <c r="N392" s="179">
        <v>0</v>
      </c>
      <c r="O392" s="178">
        <v>243.05</v>
      </c>
      <c r="P392" s="453"/>
      <c r="Q392" s="61"/>
      <c r="R392" s="298"/>
      <c r="S392" s="669"/>
      <c r="X392" s="444">
        <v>392</v>
      </c>
    </row>
    <row r="393" spans="1:32" ht="12">
      <c r="A393" s="83" t="s">
        <v>19037</v>
      </c>
      <c r="B393" s="64" t="s">
        <v>19038</v>
      </c>
      <c r="C393" s="71" t="s">
        <v>10216</v>
      </c>
      <c r="D393" s="79">
        <v>1</v>
      </c>
      <c r="E393" s="79">
        <v>577.26</v>
      </c>
      <c r="F393" s="79">
        <v>577.26</v>
      </c>
      <c r="G393" s="445"/>
      <c r="H393" s="178">
        <v>577.25</v>
      </c>
      <c r="I393" s="178">
        <v>710.02</v>
      </c>
      <c r="J393" s="70">
        <v>-132.76</v>
      </c>
      <c r="K393" s="320"/>
      <c r="L393" s="178"/>
      <c r="M393" s="178">
        <v>577.26</v>
      </c>
      <c r="N393" s="179">
        <v>0</v>
      </c>
      <c r="O393" s="178">
        <v>577.26</v>
      </c>
      <c r="P393" s="453"/>
      <c r="Q393" s="61"/>
      <c r="R393" s="298"/>
      <c r="S393" s="669"/>
      <c r="T393" s="73"/>
      <c r="X393" s="444">
        <v>393</v>
      </c>
    </row>
    <row r="394" spans="1:32" ht="12">
      <c r="A394" s="83" t="s">
        <v>39575</v>
      </c>
      <c r="B394" s="64" t="s">
        <v>39576</v>
      </c>
      <c r="C394" s="71"/>
      <c r="D394" s="79" t="s">
        <v>40899</v>
      </c>
      <c r="E394" s="79" t="s">
        <v>40899</v>
      </c>
      <c r="F394" s="79"/>
      <c r="G394" s="445"/>
      <c r="H394" s="178"/>
      <c r="I394" s="178"/>
      <c r="J394" s="70"/>
      <c r="K394" s="320"/>
      <c r="L394" s="178"/>
      <c r="M394" s="178"/>
      <c r="N394" s="179"/>
      <c r="O394" s="178"/>
      <c r="P394" s="453"/>
      <c r="Q394" s="61"/>
      <c r="R394" s="298"/>
      <c r="S394" s="669"/>
      <c r="X394" s="444">
        <v>394</v>
      </c>
    </row>
    <row r="395" spans="1:32" ht="12">
      <c r="A395" s="83" t="s">
        <v>19039</v>
      </c>
      <c r="B395" s="64" t="s">
        <v>19040</v>
      </c>
      <c r="C395" s="71" t="s">
        <v>103</v>
      </c>
      <c r="D395" s="79">
        <v>1</v>
      </c>
      <c r="E395" s="79">
        <v>2932.83</v>
      </c>
      <c r="F395" s="79">
        <v>2932.83</v>
      </c>
      <c r="G395" s="445"/>
      <c r="H395" s="178">
        <v>2932.84</v>
      </c>
      <c r="I395" s="178">
        <v>3607.39</v>
      </c>
      <c r="J395" s="70">
        <v>-674.56</v>
      </c>
      <c r="K395" s="320"/>
      <c r="L395" s="178">
        <v>292.26</v>
      </c>
      <c r="M395" s="178">
        <v>2640.5699999999997</v>
      </c>
      <c r="N395" s="179">
        <v>0</v>
      </c>
      <c r="O395" s="178">
        <v>2932.83</v>
      </c>
      <c r="P395" s="453"/>
      <c r="Q395" s="61"/>
      <c r="R395" s="298"/>
      <c r="S395" s="669"/>
      <c r="T395" s="73"/>
      <c r="X395" s="444">
        <v>395</v>
      </c>
    </row>
    <row r="396" spans="1:32" ht="12">
      <c r="A396" s="83" t="s">
        <v>19041</v>
      </c>
      <c r="B396" s="64" t="s">
        <v>19042</v>
      </c>
      <c r="C396" s="71" t="s">
        <v>103</v>
      </c>
      <c r="D396" s="79">
        <v>1</v>
      </c>
      <c r="E396" s="79">
        <v>3086.52</v>
      </c>
      <c r="F396" s="79">
        <v>3086.52</v>
      </c>
      <c r="G396" s="445"/>
      <c r="H396" s="178">
        <v>3086.53</v>
      </c>
      <c r="I396" s="178">
        <v>3796.43</v>
      </c>
      <c r="J396" s="70">
        <v>-709.90999999999985</v>
      </c>
      <c r="K396" s="320"/>
      <c r="L396" s="178">
        <v>292.26</v>
      </c>
      <c r="M396" s="178">
        <v>2794.26</v>
      </c>
      <c r="N396" s="179">
        <v>0</v>
      </c>
      <c r="O396" s="178">
        <v>3086.5200000000004</v>
      </c>
      <c r="P396" s="453"/>
      <c r="Q396" s="61"/>
      <c r="R396" s="298"/>
      <c r="S396" s="669"/>
      <c r="T396" s="73"/>
      <c r="X396" s="444">
        <v>396</v>
      </c>
    </row>
    <row r="397" spans="1:32" ht="12">
      <c r="A397" s="83" t="s">
        <v>19043</v>
      </c>
      <c r="B397" s="64" t="s">
        <v>19044</v>
      </c>
      <c r="C397" s="71" t="s">
        <v>103</v>
      </c>
      <c r="D397" s="79">
        <v>1</v>
      </c>
      <c r="E397" s="79">
        <v>1124.4399999999998</v>
      </c>
      <c r="F397" s="79">
        <v>1124.44</v>
      </c>
      <c r="G397" s="445"/>
      <c r="H397" s="178">
        <v>1124.43</v>
      </c>
      <c r="I397" s="178">
        <v>1383.05</v>
      </c>
      <c r="J397" s="70">
        <v>-258.61000000000013</v>
      </c>
      <c r="K397" s="320"/>
      <c r="L397" s="178">
        <v>274.5</v>
      </c>
      <c r="M397" s="178">
        <v>849.93999999999983</v>
      </c>
      <c r="N397" s="179">
        <v>0</v>
      </c>
      <c r="O397" s="178">
        <v>1124.4399999999998</v>
      </c>
      <c r="P397" s="453"/>
      <c r="Q397" s="61"/>
      <c r="R397" s="298"/>
      <c r="S397" s="669"/>
      <c r="X397" s="444">
        <v>397</v>
      </c>
    </row>
    <row r="398" spans="1:32" ht="12">
      <c r="A398" s="83" t="s">
        <v>19045</v>
      </c>
      <c r="B398" s="64" t="s">
        <v>19046</v>
      </c>
      <c r="C398" s="71" t="s">
        <v>103</v>
      </c>
      <c r="D398" s="79">
        <v>1</v>
      </c>
      <c r="E398" s="79">
        <v>1161.6499999999999</v>
      </c>
      <c r="F398" s="79">
        <v>1161.6500000000001</v>
      </c>
      <c r="G398" s="445"/>
      <c r="H398" s="178">
        <v>1161.6400000000001</v>
      </c>
      <c r="I398" s="178">
        <v>1428.82</v>
      </c>
      <c r="J398" s="70">
        <v>-267.17000000000007</v>
      </c>
      <c r="K398" s="320"/>
      <c r="L398" s="178">
        <v>274.5</v>
      </c>
      <c r="M398" s="178">
        <v>887.14999999999986</v>
      </c>
      <c r="N398" s="179">
        <v>0</v>
      </c>
      <c r="O398" s="178">
        <v>1161.6499999999999</v>
      </c>
      <c r="P398" s="453"/>
      <c r="Q398" s="61"/>
      <c r="R398" s="298"/>
      <c r="S398" s="669"/>
      <c r="T398" s="61"/>
      <c r="X398" s="444">
        <v>398</v>
      </c>
    </row>
    <row r="399" spans="1:32" ht="12">
      <c r="A399" s="83" t="s">
        <v>19047</v>
      </c>
      <c r="B399" s="64" t="s">
        <v>19048</v>
      </c>
      <c r="C399" s="71" t="s">
        <v>103</v>
      </c>
      <c r="D399" s="79">
        <v>1</v>
      </c>
      <c r="E399" s="79">
        <v>1875.41</v>
      </c>
      <c r="F399" s="79">
        <v>1875.41</v>
      </c>
      <c r="G399" s="445"/>
      <c r="H399" s="178">
        <v>1875.41</v>
      </c>
      <c r="I399" s="178">
        <v>2306.75</v>
      </c>
      <c r="J399" s="70">
        <v>-431.33999999999992</v>
      </c>
      <c r="K399" s="320"/>
      <c r="L399" s="178">
        <v>274.5</v>
      </c>
      <c r="M399" s="178">
        <v>1600.91</v>
      </c>
      <c r="N399" s="179">
        <v>0</v>
      </c>
      <c r="O399" s="178">
        <v>1875.41</v>
      </c>
      <c r="P399" s="453"/>
      <c r="Q399" s="61"/>
      <c r="R399" s="298"/>
      <c r="S399" s="669"/>
      <c r="X399" s="444">
        <v>399</v>
      </c>
    </row>
    <row r="400" spans="1:32" ht="12">
      <c r="A400" s="83" t="s">
        <v>19049</v>
      </c>
      <c r="B400" s="64" t="s">
        <v>19050</v>
      </c>
      <c r="C400" s="71" t="s">
        <v>103</v>
      </c>
      <c r="D400" s="79">
        <v>1</v>
      </c>
      <c r="E400" s="79">
        <v>1978.01</v>
      </c>
      <c r="F400" s="79">
        <v>1978.01</v>
      </c>
      <c r="G400" s="445"/>
      <c r="H400" s="178">
        <v>1978</v>
      </c>
      <c r="I400" s="178">
        <v>2432.94</v>
      </c>
      <c r="J400" s="70">
        <v>-454.93000000000006</v>
      </c>
      <c r="K400" s="320"/>
      <c r="L400" s="178">
        <v>274.5</v>
      </c>
      <c r="M400" s="178">
        <v>1703.51</v>
      </c>
      <c r="N400" s="179">
        <v>0</v>
      </c>
      <c r="O400" s="178">
        <v>1978.01</v>
      </c>
      <c r="P400" s="453"/>
      <c r="Q400" s="61"/>
      <c r="R400" s="298"/>
      <c r="S400" s="669"/>
      <c r="X400" s="444">
        <v>400</v>
      </c>
    </row>
    <row r="401" spans="1:32" ht="12">
      <c r="A401" s="83" t="s">
        <v>19051</v>
      </c>
      <c r="B401" s="64" t="s">
        <v>19052</v>
      </c>
      <c r="C401" s="71" t="s">
        <v>103</v>
      </c>
      <c r="D401" s="79">
        <v>1</v>
      </c>
      <c r="E401" s="79">
        <v>2108.6800000000003</v>
      </c>
      <c r="F401" s="79">
        <v>2108.6799999999998</v>
      </c>
      <c r="G401" s="445"/>
      <c r="H401" s="178">
        <v>2108.67</v>
      </c>
      <c r="I401" s="178">
        <v>2593.67</v>
      </c>
      <c r="J401" s="70">
        <v>-484.98999999999978</v>
      </c>
      <c r="K401" s="320"/>
      <c r="L401" s="178">
        <v>274.5</v>
      </c>
      <c r="M401" s="178">
        <v>1834.1800000000003</v>
      </c>
      <c r="N401" s="179">
        <v>0</v>
      </c>
      <c r="O401" s="178">
        <v>2108.6800000000003</v>
      </c>
      <c r="P401" s="453"/>
      <c r="Q401" s="61"/>
      <c r="R401" s="298"/>
      <c r="S401" s="669"/>
      <c r="U401" s="69"/>
      <c r="V401" s="69"/>
      <c r="W401" s="69"/>
      <c r="X401" s="444">
        <v>401</v>
      </c>
      <c r="Y401" s="69"/>
      <c r="Z401" s="69"/>
      <c r="AA401" s="69"/>
      <c r="AB401" s="69"/>
      <c r="AC401" s="69"/>
      <c r="AD401" s="69"/>
      <c r="AE401" s="69"/>
      <c r="AF401" s="69"/>
    </row>
    <row r="402" spans="1:32" ht="12">
      <c r="A402" s="83" t="s">
        <v>19053</v>
      </c>
      <c r="B402" s="64" t="s">
        <v>19054</v>
      </c>
      <c r="C402" s="71" t="s">
        <v>103</v>
      </c>
      <c r="D402" s="79">
        <v>1</v>
      </c>
      <c r="E402" s="79">
        <v>2057.0100000000002</v>
      </c>
      <c r="F402" s="79">
        <v>2057.0100000000002</v>
      </c>
      <c r="G402" s="445"/>
      <c r="H402" s="178">
        <v>2057</v>
      </c>
      <c r="I402" s="178">
        <v>2530.11</v>
      </c>
      <c r="J402" s="70">
        <v>-473.09999999999991</v>
      </c>
      <c r="K402" s="320"/>
      <c r="L402" s="178">
        <v>274.5</v>
      </c>
      <c r="M402" s="178">
        <v>1782.5100000000002</v>
      </c>
      <c r="N402" s="179">
        <v>0</v>
      </c>
      <c r="O402" s="178">
        <v>2057.0100000000002</v>
      </c>
      <c r="P402" s="453"/>
      <c r="Q402" s="61"/>
      <c r="R402" s="298"/>
      <c r="S402" s="669"/>
      <c r="X402" s="444">
        <v>402</v>
      </c>
    </row>
    <row r="403" spans="1:32" ht="12">
      <c r="A403" s="83" t="s">
        <v>19055</v>
      </c>
      <c r="B403" s="64" t="s">
        <v>19056</v>
      </c>
      <c r="C403" s="71" t="s">
        <v>103</v>
      </c>
      <c r="D403" s="79">
        <v>1</v>
      </c>
      <c r="E403" s="79">
        <v>1120.5999999999999</v>
      </c>
      <c r="F403" s="79">
        <v>1120.5999999999999</v>
      </c>
      <c r="G403" s="445"/>
      <c r="H403" s="178">
        <v>1120.5899999999999</v>
      </c>
      <c r="I403" s="178">
        <v>1378.33</v>
      </c>
      <c r="J403" s="70">
        <v>-257.73</v>
      </c>
      <c r="K403" s="320"/>
      <c r="L403" s="178">
        <v>274.5</v>
      </c>
      <c r="M403" s="178">
        <v>846.09999999999991</v>
      </c>
      <c r="N403" s="179">
        <v>0</v>
      </c>
      <c r="O403" s="178">
        <v>1120.5999999999999</v>
      </c>
      <c r="P403" s="453"/>
      <c r="Q403" s="61"/>
      <c r="R403" s="298"/>
      <c r="S403" s="669"/>
      <c r="X403" s="444">
        <v>403</v>
      </c>
    </row>
    <row r="404" spans="1:32" s="69" customFormat="1" ht="12">
      <c r="A404" s="83" t="s">
        <v>19057</v>
      </c>
      <c r="B404" s="64" t="s">
        <v>19058</v>
      </c>
      <c r="C404" s="71" t="s">
        <v>103</v>
      </c>
      <c r="D404" s="79">
        <v>1</v>
      </c>
      <c r="E404" s="79">
        <v>3295.5</v>
      </c>
      <c r="F404" s="79">
        <v>3295.5</v>
      </c>
      <c r="G404" s="445"/>
      <c r="H404" s="178">
        <v>3295.5</v>
      </c>
      <c r="I404" s="178">
        <v>4053.47</v>
      </c>
      <c r="J404" s="70">
        <v>-757.9699999999998</v>
      </c>
      <c r="K404" s="320"/>
      <c r="L404" s="178">
        <v>292.26</v>
      </c>
      <c r="M404" s="178">
        <v>3003.24</v>
      </c>
      <c r="N404" s="179">
        <v>0</v>
      </c>
      <c r="O404" s="178">
        <v>3295.5</v>
      </c>
      <c r="P404" s="453"/>
      <c r="Q404" s="61"/>
      <c r="R404" s="298"/>
      <c r="S404" s="669"/>
      <c r="T404" s="444"/>
      <c r="U404" s="444"/>
      <c r="V404" s="444"/>
      <c r="W404" s="444"/>
      <c r="X404" s="444">
        <v>404</v>
      </c>
      <c r="Y404" s="444"/>
      <c r="Z404" s="444"/>
      <c r="AA404" s="444"/>
      <c r="AB404" s="444"/>
      <c r="AC404" s="444"/>
      <c r="AD404" s="444"/>
      <c r="AE404" s="444"/>
      <c r="AF404" s="444"/>
    </row>
    <row r="405" spans="1:32" ht="12">
      <c r="A405" s="83" t="s">
        <v>19059</v>
      </c>
      <c r="B405" s="64" t="s">
        <v>19060</v>
      </c>
      <c r="C405" s="71" t="s">
        <v>103</v>
      </c>
      <c r="D405" s="79">
        <v>1</v>
      </c>
      <c r="E405" s="79">
        <v>3283.0499999999997</v>
      </c>
      <c r="F405" s="79">
        <v>3283.05</v>
      </c>
      <c r="G405" s="445"/>
      <c r="H405" s="178">
        <v>3283.05</v>
      </c>
      <c r="I405" s="178">
        <v>4038.15</v>
      </c>
      <c r="J405" s="70">
        <v>-755.10000000000036</v>
      </c>
      <c r="K405" s="320"/>
      <c r="L405" s="178">
        <v>292.26</v>
      </c>
      <c r="M405" s="178">
        <v>2990.79</v>
      </c>
      <c r="N405" s="179">
        <v>0</v>
      </c>
      <c r="O405" s="178">
        <v>3283.05</v>
      </c>
      <c r="P405" s="453"/>
      <c r="Q405" s="61"/>
      <c r="R405" s="298"/>
      <c r="S405" s="669"/>
      <c r="X405" s="444">
        <v>405</v>
      </c>
    </row>
    <row r="406" spans="1:32" ht="12">
      <c r="A406" s="83" t="s">
        <v>19061</v>
      </c>
      <c r="B406" s="64" t="s">
        <v>19062</v>
      </c>
      <c r="C406" s="71" t="s">
        <v>103</v>
      </c>
      <c r="D406" s="79">
        <v>1</v>
      </c>
      <c r="E406" s="79">
        <v>3480.27</v>
      </c>
      <c r="F406" s="79">
        <v>3480.27</v>
      </c>
      <c r="G406" s="445"/>
      <c r="H406" s="178">
        <v>3480.27</v>
      </c>
      <c r="I406" s="178">
        <v>4280.7299999999996</v>
      </c>
      <c r="J406" s="70">
        <v>-800.45999999999958</v>
      </c>
      <c r="K406" s="320"/>
      <c r="L406" s="178">
        <v>292.26</v>
      </c>
      <c r="M406" s="178">
        <v>3188.01</v>
      </c>
      <c r="N406" s="179">
        <v>0</v>
      </c>
      <c r="O406" s="178">
        <v>3480.2700000000004</v>
      </c>
      <c r="P406" s="453"/>
      <c r="Q406" s="61"/>
      <c r="R406" s="298"/>
      <c r="S406" s="669"/>
      <c r="X406" s="444">
        <v>406</v>
      </c>
    </row>
    <row r="407" spans="1:32" ht="12">
      <c r="A407" s="83" t="s">
        <v>19063</v>
      </c>
      <c r="B407" s="64" t="s">
        <v>19064</v>
      </c>
      <c r="C407" s="71" t="s">
        <v>103</v>
      </c>
      <c r="D407" s="79">
        <v>1</v>
      </c>
      <c r="E407" s="79">
        <v>608.41000000000008</v>
      </c>
      <c r="F407" s="79">
        <v>608.41</v>
      </c>
      <c r="G407" s="445"/>
      <c r="H407" s="178">
        <v>608.41</v>
      </c>
      <c r="I407" s="178">
        <v>748.34</v>
      </c>
      <c r="J407" s="70">
        <v>-139.92999999999995</v>
      </c>
      <c r="K407" s="320"/>
      <c r="L407" s="178"/>
      <c r="M407" s="178">
        <v>608.41000000000008</v>
      </c>
      <c r="N407" s="179">
        <v>0</v>
      </c>
      <c r="O407" s="178">
        <v>608.41000000000008</v>
      </c>
      <c r="P407" s="453"/>
      <c r="Q407" s="61"/>
      <c r="R407" s="298"/>
      <c r="S407" s="669"/>
      <c r="X407" s="444">
        <v>407</v>
      </c>
    </row>
    <row r="408" spans="1:32" ht="12">
      <c r="A408" s="83" t="s">
        <v>19065</v>
      </c>
      <c r="B408" s="64" t="s">
        <v>19066</v>
      </c>
      <c r="C408" s="71" t="s">
        <v>103</v>
      </c>
      <c r="D408" s="79">
        <v>1</v>
      </c>
      <c r="E408" s="79">
        <v>741.23</v>
      </c>
      <c r="F408" s="79">
        <v>741.23</v>
      </c>
      <c r="G408" s="445"/>
      <c r="H408" s="178">
        <v>741.22</v>
      </c>
      <c r="I408" s="178">
        <v>911.7</v>
      </c>
      <c r="J408" s="70">
        <v>-170.47000000000003</v>
      </c>
      <c r="K408" s="320"/>
      <c r="L408" s="178">
        <v>210.26</v>
      </c>
      <c r="M408" s="178">
        <v>530.97</v>
      </c>
      <c r="N408" s="179">
        <v>0</v>
      </c>
      <c r="O408" s="178">
        <v>741.23</v>
      </c>
      <c r="P408" s="453"/>
      <c r="Q408" s="61"/>
      <c r="R408" s="298"/>
      <c r="S408" s="669"/>
      <c r="X408" s="444">
        <v>408</v>
      </c>
    </row>
    <row r="409" spans="1:32">
      <c r="A409" s="67" t="s">
        <v>40905</v>
      </c>
      <c r="B409" s="67" t="s">
        <v>29559</v>
      </c>
      <c r="C409" s="71" t="s">
        <v>103</v>
      </c>
      <c r="D409" s="79">
        <v>1</v>
      </c>
      <c r="E409" s="79">
        <v>1435.02</v>
      </c>
      <c r="F409" s="79">
        <v>1435.02</v>
      </c>
      <c r="H409" s="178">
        <v>1435.01</v>
      </c>
      <c r="I409" s="178">
        <v>1765.06</v>
      </c>
      <c r="J409" s="70">
        <v>-330.03999999999996</v>
      </c>
      <c r="K409" s="320"/>
      <c r="L409" s="178">
        <v>0.52</v>
      </c>
      <c r="M409" s="178">
        <v>1425.28</v>
      </c>
      <c r="N409" s="179">
        <v>9.2200000000000006</v>
      </c>
      <c r="O409" s="178">
        <v>1435.02</v>
      </c>
      <c r="P409" s="453"/>
      <c r="Q409" s="61"/>
      <c r="R409" s="298"/>
      <c r="S409" s="669"/>
      <c r="X409" s="444">
        <v>409</v>
      </c>
    </row>
    <row r="410" spans="1:32" ht="12">
      <c r="A410" s="83" t="s">
        <v>19067</v>
      </c>
      <c r="B410" s="64" t="s">
        <v>19068</v>
      </c>
      <c r="C410" s="71" t="s">
        <v>103</v>
      </c>
      <c r="D410" s="79">
        <v>1</v>
      </c>
      <c r="E410" s="79">
        <v>2299.1999999999998</v>
      </c>
      <c r="F410" s="79">
        <v>2299.1999999999998</v>
      </c>
      <c r="G410" s="445"/>
      <c r="H410" s="178">
        <v>2299.19</v>
      </c>
      <c r="I410" s="178">
        <v>2828</v>
      </c>
      <c r="J410" s="70">
        <v>-528.80000000000018</v>
      </c>
      <c r="K410" s="320"/>
      <c r="L410" s="178">
        <v>274.5</v>
      </c>
      <c r="M410" s="178">
        <v>2024.6999999999998</v>
      </c>
      <c r="N410" s="179">
        <v>0</v>
      </c>
      <c r="O410" s="178">
        <v>2299.1999999999998</v>
      </c>
      <c r="P410" s="453"/>
      <c r="Q410" s="61"/>
      <c r="R410" s="298"/>
      <c r="S410" s="669"/>
      <c r="X410" s="444">
        <v>410</v>
      </c>
    </row>
    <row r="411" spans="1:32" ht="11.5" customHeight="1">
      <c r="A411" s="83" t="s">
        <v>19069</v>
      </c>
      <c r="B411" s="64" t="s">
        <v>19070</v>
      </c>
      <c r="C411" s="71" t="s">
        <v>103</v>
      </c>
      <c r="D411" s="79">
        <v>1</v>
      </c>
      <c r="E411" s="79">
        <v>2254.77</v>
      </c>
      <c r="F411" s="79">
        <v>2254.77</v>
      </c>
      <c r="G411" s="445"/>
      <c r="H411" s="178">
        <v>2254.75</v>
      </c>
      <c r="I411" s="178">
        <v>2773.34</v>
      </c>
      <c r="J411" s="70">
        <v>-518.57000000000016</v>
      </c>
      <c r="K411" s="320"/>
      <c r="L411" s="178">
        <v>274.5</v>
      </c>
      <c r="M411" s="178">
        <v>1980.27</v>
      </c>
      <c r="N411" s="179">
        <v>0</v>
      </c>
      <c r="O411" s="178">
        <v>2254.77</v>
      </c>
      <c r="P411" s="453"/>
      <c r="Q411" s="61"/>
      <c r="R411" s="298"/>
      <c r="S411" s="669"/>
      <c r="X411" s="444">
        <v>411</v>
      </c>
    </row>
    <row r="412" spans="1:32" ht="12">
      <c r="A412" s="83" t="s">
        <v>19071</v>
      </c>
      <c r="B412" s="64" t="s">
        <v>19072</v>
      </c>
      <c r="C412" s="71" t="s">
        <v>103</v>
      </c>
      <c r="D412" s="79">
        <v>1</v>
      </c>
      <c r="E412" s="79">
        <v>2420</v>
      </c>
      <c r="F412" s="79">
        <v>2420</v>
      </c>
      <c r="G412" s="445"/>
      <c r="H412" s="178">
        <v>2419.9899999999998</v>
      </c>
      <c r="I412" s="178">
        <v>2976.59</v>
      </c>
      <c r="J412" s="70">
        <v>-556.59000000000015</v>
      </c>
      <c r="K412" s="320"/>
      <c r="L412" s="178">
        <v>274.5</v>
      </c>
      <c r="M412" s="178">
        <v>2145.5</v>
      </c>
      <c r="N412" s="179">
        <v>0</v>
      </c>
      <c r="O412" s="178">
        <v>2420</v>
      </c>
      <c r="P412" s="453"/>
      <c r="Q412" s="61"/>
      <c r="R412" s="298"/>
      <c r="S412" s="669"/>
      <c r="X412" s="444">
        <v>412</v>
      </c>
    </row>
    <row r="413" spans="1:32" ht="12">
      <c r="A413" s="83" t="s">
        <v>19073</v>
      </c>
      <c r="B413" s="64" t="s">
        <v>19074</v>
      </c>
      <c r="C413" s="71" t="s">
        <v>103</v>
      </c>
      <c r="D413" s="79">
        <v>1</v>
      </c>
      <c r="E413" s="79">
        <v>2052.4</v>
      </c>
      <c r="F413" s="79">
        <v>2052.4</v>
      </c>
      <c r="G413" s="445"/>
      <c r="H413" s="178">
        <v>2052.4</v>
      </c>
      <c r="I413" s="178">
        <v>2524.4499999999998</v>
      </c>
      <c r="J413" s="70">
        <v>-472.04999999999973</v>
      </c>
      <c r="K413" s="320"/>
      <c r="L413" s="178">
        <v>292.26</v>
      </c>
      <c r="M413" s="178">
        <v>1760.14</v>
      </c>
      <c r="N413" s="179">
        <v>0</v>
      </c>
      <c r="O413" s="178">
        <v>2052.4</v>
      </c>
      <c r="P413" s="453"/>
      <c r="Q413" s="61"/>
      <c r="R413" s="298"/>
      <c r="S413" s="669"/>
      <c r="X413" s="444">
        <v>413</v>
      </c>
    </row>
    <row r="414" spans="1:32" ht="12">
      <c r="A414" s="83" t="s">
        <v>19075</v>
      </c>
      <c r="B414" s="64" t="s">
        <v>19076</v>
      </c>
      <c r="C414" s="71" t="s">
        <v>103</v>
      </c>
      <c r="D414" s="79">
        <v>1</v>
      </c>
      <c r="E414" s="79">
        <v>2079.2600000000002</v>
      </c>
      <c r="F414" s="79">
        <v>2079.2600000000002</v>
      </c>
      <c r="G414" s="445"/>
      <c r="H414" s="178">
        <v>2079.2600000000002</v>
      </c>
      <c r="I414" s="178">
        <v>2557.4899999999998</v>
      </c>
      <c r="J414" s="70">
        <v>-478.22999999999956</v>
      </c>
      <c r="K414" s="320"/>
      <c r="L414" s="178">
        <v>292.26</v>
      </c>
      <c r="M414" s="178">
        <v>1787.0000000000002</v>
      </c>
      <c r="N414" s="179">
        <v>0</v>
      </c>
      <c r="O414" s="178">
        <v>2079.2600000000002</v>
      </c>
      <c r="P414" s="453"/>
      <c r="Q414" s="61"/>
      <c r="R414" s="298"/>
      <c r="S414" s="669"/>
      <c r="X414" s="444">
        <v>414</v>
      </c>
    </row>
    <row r="415" spans="1:32" ht="12">
      <c r="A415" s="83" t="s">
        <v>19077</v>
      </c>
      <c r="B415" s="64" t="s">
        <v>19078</v>
      </c>
      <c r="C415" s="71" t="s">
        <v>103</v>
      </c>
      <c r="D415" s="79">
        <v>1</v>
      </c>
      <c r="E415" s="79">
        <v>2139.4900000000002</v>
      </c>
      <c r="F415" s="79">
        <v>2139.4899999999998</v>
      </c>
      <c r="G415" s="445"/>
      <c r="H415" s="178">
        <v>2139.5</v>
      </c>
      <c r="I415" s="178">
        <v>2631.58</v>
      </c>
      <c r="J415" s="70">
        <v>-492.08999999999969</v>
      </c>
      <c r="K415" s="320"/>
      <c r="L415" s="178">
        <v>292.26</v>
      </c>
      <c r="M415" s="178">
        <v>1847.2300000000002</v>
      </c>
      <c r="N415" s="179">
        <v>0</v>
      </c>
      <c r="O415" s="178">
        <v>2139.4900000000002</v>
      </c>
      <c r="P415" s="453"/>
      <c r="Q415" s="61"/>
      <c r="R415" s="298"/>
      <c r="S415" s="669"/>
      <c r="X415" s="444">
        <v>415</v>
      </c>
    </row>
    <row r="416" spans="1:32" ht="12">
      <c r="A416" s="83" t="s">
        <v>19079</v>
      </c>
      <c r="B416" s="64" t="s">
        <v>19080</v>
      </c>
      <c r="C416" s="71" t="s">
        <v>103</v>
      </c>
      <c r="D416" s="79">
        <v>1</v>
      </c>
      <c r="E416" s="79">
        <v>1388.01</v>
      </c>
      <c r="F416" s="79">
        <v>1388.01</v>
      </c>
      <c r="G416" s="445"/>
      <c r="H416" s="178">
        <v>1388.02</v>
      </c>
      <c r="I416" s="178">
        <v>1707.26</v>
      </c>
      <c r="J416" s="70">
        <v>-319.25</v>
      </c>
      <c r="K416" s="320"/>
      <c r="L416" s="178">
        <v>192.3</v>
      </c>
      <c r="M416" s="178">
        <v>1195.71</v>
      </c>
      <c r="N416" s="179">
        <v>0</v>
      </c>
      <c r="O416" s="178">
        <v>1388.01</v>
      </c>
      <c r="P416" s="453"/>
      <c r="Q416" s="61"/>
      <c r="R416" s="298"/>
      <c r="S416" s="669"/>
      <c r="X416" s="444">
        <v>416</v>
      </c>
    </row>
    <row r="417" spans="1:32" ht="12">
      <c r="A417" s="83" t="s">
        <v>19081</v>
      </c>
      <c r="B417" s="64" t="s">
        <v>19082</v>
      </c>
      <c r="C417" s="71" t="s">
        <v>103</v>
      </c>
      <c r="D417" s="79">
        <v>1</v>
      </c>
      <c r="E417" s="79">
        <v>2466.0899999999997</v>
      </c>
      <c r="F417" s="79">
        <v>2466.09</v>
      </c>
      <c r="G417" s="445"/>
      <c r="H417" s="178">
        <v>2466.09</v>
      </c>
      <c r="I417" s="178">
        <v>3033.29</v>
      </c>
      <c r="J417" s="70">
        <v>-567.20000000000027</v>
      </c>
      <c r="K417" s="320"/>
      <c r="L417" s="178">
        <v>292.26</v>
      </c>
      <c r="M417" s="178">
        <v>2173.83</v>
      </c>
      <c r="N417" s="179">
        <v>0</v>
      </c>
      <c r="O417" s="178">
        <v>2466.09</v>
      </c>
      <c r="P417" s="453"/>
      <c r="Q417" s="61"/>
      <c r="R417" s="298"/>
      <c r="S417" s="669"/>
      <c r="X417" s="444">
        <v>417</v>
      </c>
    </row>
    <row r="418" spans="1:32" ht="12">
      <c r="A418" s="83" t="s">
        <v>19083</v>
      </c>
      <c r="B418" s="64" t="s">
        <v>19084</v>
      </c>
      <c r="C418" s="71" t="s">
        <v>103</v>
      </c>
      <c r="D418" s="79">
        <v>1</v>
      </c>
      <c r="E418" s="79">
        <v>3445.22</v>
      </c>
      <c r="F418" s="79">
        <v>3445.22</v>
      </c>
      <c r="G418" s="445"/>
      <c r="H418" s="178">
        <v>3445.24</v>
      </c>
      <c r="I418" s="178">
        <v>4237.6400000000003</v>
      </c>
      <c r="J418" s="70">
        <v>-792.42000000000053</v>
      </c>
      <c r="K418" s="320"/>
      <c r="L418" s="178">
        <v>266.42</v>
      </c>
      <c r="M418" s="178">
        <v>3178.7999999999997</v>
      </c>
      <c r="N418" s="179">
        <v>0</v>
      </c>
      <c r="O418" s="178">
        <v>3445.22</v>
      </c>
      <c r="P418" s="453"/>
      <c r="Q418" s="61"/>
      <c r="R418" s="298"/>
      <c r="S418" s="669"/>
      <c r="X418" s="444">
        <v>418</v>
      </c>
    </row>
    <row r="419" spans="1:32" ht="12">
      <c r="A419" s="83" t="s">
        <v>19085</v>
      </c>
      <c r="B419" s="64" t="s">
        <v>19086</v>
      </c>
      <c r="C419" s="71" t="s">
        <v>103</v>
      </c>
      <c r="D419" s="79">
        <v>1</v>
      </c>
      <c r="E419" s="79">
        <v>3324.1800000000007</v>
      </c>
      <c r="F419" s="79">
        <v>3324.18</v>
      </c>
      <c r="G419" s="445"/>
      <c r="H419" s="178">
        <v>3324.2</v>
      </c>
      <c r="I419" s="178">
        <v>4088.77</v>
      </c>
      <c r="J419" s="70">
        <v>-764.58999999999924</v>
      </c>
      <c r="K419" s="320"/>
      <c r="L419" s="178">
        <v>2.04</v>
      </c>
      <c r="M419" s="178">
        <v>3322.1400000000008</v>
      </c>
      <c r="N419" s="179">
        <v>0</v>
      </c>
      <c r="O419" s="178">
        <v>3324.1800000000007</v>
      </c>
      <c r="P419" s="453"/>
      <c r="Q419" s="61"/>
      <c r="R419" s="298"/>
      <c r="S419" s="669"/>
      <c r="X419" s="444">
        <v>419</v>
      </c>
    </row>
    <row r="420" spans="1:32" ht="24">
      <c r="A420" s="83" t="s">
        <v>19087</v>
      </c>
      <c r="B420" s="64" t="s">
        <v>19088</v>
      </c>
      <c r="C420" s="71" t="s">
        <v>103</v>
      </c>
      <c r="D420" s="79">
        <v>1</v>
      </c>
      <c r="E420" s="79">
        <v>2169.04</v>
      </c>
      <c r="F420" s="79">
        <v>2169.04</v>
      </c>
      <c r="G420" s="445"/>
      <c r="H420" s="178">
        <v>2169.0500000000002</v>
      </c>
      <c r="I420" s="178">
        <v>2667.93</v>
      </c>
      <c r="J420" s="70">
        <v>-498.88999999999987</v>
      </c>
      <c r="K420" s="320"/>
      <c r="L420" s="178">
        <v>292.26</v>
      </c>
      <c r="M420" s="178">
        <v>1876.78</v>
      </c>
      <c r="N420" s="179">
        <v>0</v>
      </c>
      <c r="O420" s="178">
        <v>2169.04</v>
      </c>
      <c r="P420" s="453"/>
      <c r="Q420" s="61"/>
      <c r="R420" s="298"/>
      <c r="S420" s="669"/>
      <c r="X420" s="444">
        <v>420</v>
      </c>
    </row>
    <row r="421" spans="1:32" ht="24">
      <c r="A421" s="83" t="s">
        <v>19089</v>
      </c>
      <c r="B421" s="64" t="s">
        <v>19090</v>
      </c>
      <c r="C421" s="71" t="s">
        <v>103</v>
      </c>
      <c r="D421" s="79">
        <v>1</v>
      </c>
      <c r="E421" s="79">
        <v>2212.2800000000002</v>
      </c>
      <c r="F421" s="79">
        <v>2212.2800000000002</v>
      </c>
      <c r="G421" s="445"/>
      <c r="H421" s="178">
        <v>2212.2800000000002</v>
      </c>
      <c r="I421" s="178">
        <v>2721.11</v>
      </c>
      <c r="J421" s="70">
        <v>-508.82999999999993</v>
      </c>
      <c r="K421" s="320"/>
      <c r="L421" s="178">
        <v>292.26</v>
      </c>
      <c r="M421" s="178">
        <v>1920.0200000000002</v>
      </c>
      <c r="N421" s="179">
        <v>0</v>
      </c>
      <c r="O421" s="178">
        <v>2212.2800000000002</v>
      </c>
      <c r="P421" s="453"/>
      <c r="Q421" s="61"/>
      <c r="R421" s="298"/>
      <c r="S421" s="669"/>
      <c r="X421" s="444">
        <v>421</v>
      </c>
    </row>
    <row r="422" spans="1:32" ht="24">
      <c r="A422" s="83" t="s">
        <v>19091</v>
      </c>
      <c r="B422" s="64" t="s">
        <v>19092</v>
      </c>
      <c r="C422" s="71" t="s">
        <v>103</v>
      </c>
      <c r="D422" s="79">
        <v>1</v>
      </c>
      <c r="E422" s="79">
        <v>2288.8900000000003</v>
      </c>
      <c r="F422" s="79">
        <v>2288.89</v>
      </c>
      <c r="G422" s="445"/>
      <c r="H422" s="178">
        <v>2288.89</v>
      </c>
      <c r="I422" s="178">
        <v>2815.34</v>
      </c>
      <c r="J422" s="70">
        <v>-526.44999999999982</v>
      </c>
      <c r="K422" s="320"/>
      <c r="L422" s="178">
        <v>292.26</v>
      </c>
      <c r="M422" s="178">
        <v>1996.6300000000003</v>
      </c>
      <c r="N422" s="179">
        <v>0</v>
      </c>
      <c r="O422" s="178">
        <v>2288.8900000000003</v>
      </c>
      <c r="P422" s="453"/>
      <c r="Q422" s="61"/>
      <c r="R422" s="298"/>
      <c r="S422" s="669"/>
      <c r="X422" s="444">
        <v>422</v>
      </c>
    </row>
    <row r="423" spans="1:32" ht="24">
      <c r="A423" s="83" t="s">
        <v>19093</v>
      </c>
      <c r="B423" s="64" t="s">
        <v>19094</v>
      </c>
      <c r="C423" s="71" t="s">
        <v>103</v>
      </c>
      <c r="D423" s="79">
        <v>1</v>
      </c>
      <c r="E423" s="79">
        <v>1172.7399999999998</v>
      </c>
      <c r="F423" s="79">
        <v>1172.74</v>
      </c>
      <c r="G423" s="445"/>
      <c r="H423" s="178">
        <v>1172.73</v>
      </c>
      <c r="I423" s="178">
        <v>1442.46</v>
      </c>
      <c r="J423" s="70">
        <v>-269.72000000000025</v>
      </c>
      <c r="K423" s="320"/>
      <c r="L423" s="178">
        <v>274.5</v>
      </c>
      <c r="M423" s="178">
        <v>898.23999999999978</v>
      </c>
      <c r="N423" s="179">
        <v>0</v>
      </c>
      <c r="O423" s="178">
        <v>1172.7399999999998</v>
      </c>
      <c r="P423" s="453"/>
      <c r="Q423" s="61"/>
      <c r="R423" s="298"/>
      <c r="S423" s="669"/>
      <c r="X423" s="444">
        <v>423</v>
      </c>
    </row>
    <row r="424" spans="1:32" ht="24">
      <c r="A424" s="83" t="s">
        <v>19095</v>
      </c>
      <c r="B424" s="64" t="s">
        <v>19096</v>
      </c>
      <c r="C424" s="71" t="s">
        <v>103</v>
      </c>
      <c r="D424" s="79">
        <v>1</v>
      </c>
      <c r="E424" s="79">
        <v>1183.9999999999998</v>
      </c>
      <c r="F424" s="79">
        <v>1184</v>
      </c>
      <c r="G424" s="445"/>
      <c r="H424" s="178">
        <v>1183.99</v>
      </c>
      <c r="I424" s="178">
        <v>1456.31</v>
      </c>
      <c r="J424" s="70">
        <v>-272.31000000000017</v>
      </c>
      <c r="K424" s="320"/>
      <c r="L424" s="178">
        <v>274.5</v>
      </c>
      <c r="M424" s="178">
        <v>909.49999999999977</v>
      </c>
      <c r="N424" s="179">
        <v>0</v>
      </c>
      <c r="O424" s="178">
        <v>1183.9999999999998</v>
      </c>
      <c r="P424" s="453"/>
      <c r="Q424" s="61"/>
      <c r="R424" s="298"/>
      <c r="S424" s="669"/>
      <c r="X424" s="444">
        <v>424</v>
      </c>
    </row>
    <row r="425" spans="1:32" ht="24">
      <c r="A425" s="83" t="s">
        <v>19097</v>
      </c>
      <c r="B425" s="64" t="s">
        <v>19098</v>
      </c>
      <c r="C425" s="71" t="s">
        <v>103</v>
      </c>
      <c r="D425" s="79">
        <v>1</v>
      </c>
      <c r="E425" s="79">
        <v>1228.6199999999999</v>
      </c>
      <c r="F425" s="79">
        <v>1228.6199999999999</v>
      </c>
      <c r="G425" s="445"/>
      <c r="H425" s="178">
        <v>1228.6199999999999</v>
      </c>
      <c r="I425" s="178">
        <v>1511.2</v>
      </c>
      <c r="J425" s="70">
        <v>-282.58000000000015</v>
      </c>
      <c r="K425" s="320"/>
      <c r="L425" s="178">
        <v>274.5</v>
      </c>
      <c r="M425" s="178">
        <v>954.11999999999989</v>
      </c>
      <c r="N425" s="179">
        <v>0</v>
      </c>
      <c r="O425" s="178">
        <v>1228.6199999999999</v>
      </c>
      <c r="P425" s="453"/>
      <c r="Q425" s="61"/>
      <c r="R425" s="298"/>
      <c r="S425" s="669"/>
      <c r="T425" s="61"/>
      <c r="U425" s="69"/>
      <c r="V425" s="69"/>
      <c r="W425" s="69"/>
      <c r="X425" s="444">
        <v>425</v>
      </c>
      <c r="Y425" s="69"/>
      <c r="Z425" s="69"/>
      <c r="AA425" s="69"/>
      <c r="AB425" s="69"/>
      <c r="AC425" s="69"/>
      <c r="AD425" s="69"/>
      <c r="AE425" s="69"/>
      <c r="AF425" s="69"/>
    </row>
    <row r="426" spans="1:32" ht="12">
      <c r="A426" s="83" t="s">
        <v>19099</v>
      </c>
      <c r="B426" s="64" t="s">
        <v>19100</v>
      </c>
      <c r="C426" s="71" t="s">
        <v>103</v>
      </c>
      <c r="D426" s="79">
        <v>1</v>
      </c>
      <c r="E426" s="79">
        <v>2988.81</v>
      </c>
      <c r="F426" s="79">
        <v>2988.81</v>
      </c>
      <c r="G426" s="445"/>
      <c r="H426" s="178">
        <v>2988.81</v>
      </c>
      <c r="I426" s="178">
        <v>3676.24</v>
      </c>
      <c r="J426" s="70">
        <v>-687.42999999999984</v>
      </c>
      <c r="K426" s="320"/>
      <c r="L426" s="178">
        <v>292.26</v>
      </c>
      <c r="M426" s="178">
        <v>2696.55</v>
      </c>
      <c r="N426" s="179">
        <v>0</v>
      </c>
      <c r="O426" s="178">
        <v>2988.8100000000004</v>
      </c>
      <c r="P426" s="453"/>
      <c r="Q426" s="61"/>
      <c r="R426" s="298"/>
      <c r="S426" s="669"/>
      <c r="T426" s="61"/>
      <c r="X426" s="444">
        <v>426</v>
      </c>
    </row>
    <row r="427" spans="1:32" ht="12">
      <c r="A427" s="83" t="s">
        <v>19101</v>
      </c>
      <c r="B427" s="64" t="s">
        <v>19102</v>
      </c>
      <c r="C427" s="71" t="s">
        <v>10216</v>
      </c>
      <c r="D427" s="79">
        <v>1</v>
      </c>
      <c r="E427" s="79">
        <v>577.26</v>
      </c>
      <c r="F427" s="79">
        <v>577.26</v>
      </c>
      <c r="G427" s="445"/>
      <c r="H427" s="178">
        <v>577.25</v>
      </c>
      <c r="I427" s="178">
        <v>710.02</v>
      </c>
      <c r="J427" s="70">
        <v>-132.76</v>
      </c>
      <c r="K427" s="320"/>
      <c r="L427" s="178"/>
      <c r="M427" s="178">
        <v>577.26</v>
      </c>
      <c r="N427" s="179">
        <v>0</v>
      </c>
      <c r="O427" s="178">
        <v>577.26</v>
      </c>
      <c r="P427" s="453"/>
      <c r="Q427" s="61"/>
      <c r="R427" s="298"/>
      <c r="S427" s="669"/>
      <c r="X427" s="444">
        <v>427</v>
      </c>
    </row>
    <row r="428" spans="1:32" s="69" customFormat="1" ht="12">
      <c r="A428" s="83" t="s">
        <v>19103</v>
      </c>
      <c r="B428" s="64" t="s">
        <v>19104</v>
      </c>
      <c r="C428" s="71" t="s">
        <v>103</v>
      </c>
      <c r="D428" s="79">
        <v>1</v>
      </c>
      <c r="E428" s="79">
        <v>4522.3500000000004</v>
      </c>
      <c r="F428" s="79">
        <v>4522.3500000000004</v>
      </c>
      <c r="G428" s="445"/>
      <c r="H428" s="178">
        <v>4522.3100000000004</v>
      </c>
      <c r="I428" s="178">
        <v>5562.44</v>
      </c>
      <c r="J428" s="70">
        <v>-1040.0899999999992</v>
      </c>
      <c r="K428" s="320"/>
      <c r="L428" s="178">
        <v>411.70000000000005</v>
      </c>
      <c r="M428" s="178">
        <v>4110.6500000000005</v>
      </c>
      <c r="N428" s="179">
        <v>0</v>
      </c>
      <c r="O428" s="178">
        <v>4522.3500000000004</v>
      </c>
      <c r="P428" s="453"/>
      <c r="Q428" s="61"/>
      <c r="R428" s="298"/>
      <c r="S428" s="669"/>
      <c r="T428" s="444"/>
      <c r="U428" s="444"/>
      <c r="V428" s="444"/>
      <c r="W428" s="444"/>
      <c r="X428" s="444">
        <v>428</v>
      </c>
      <c r="Y428" s="444"/>
      <c r="Z428" s="444"/>
      <c r="AA428" s="444"/>
      <c r="AB428" s="444"/>
      <c r="AC428" s="444"/>
      <c r="AD428" s="444"/>
      <c r="AE428" s="444"/>
      <c r="AF428" s="444"/>
    </row>
    <row r="429" spans="1:32" ht="24">
      <c r="A429" s="83" t="s">
        <v>19105</v>
      </c>
      <c r="B429" s="64" t="s">
        <v>19106</v>
      </c>
      <c r="C429" s="71" t="s">
        <v>103</v>
      </c>
      <c r="D429" s="79">
        <v>1</v>
      </c>
      <c r="E429" s="79">
        <v>1801.21</v>
      </c>
      <c r="F429" s="79">
        <v>1801.21</v>
      </c>
      <c r="G429" s="445"/>
      <c r="H429" s="178">
        <v>1801.19</v>
      </c>
      <c r="I429" s="178">
        <v>2215.46</v>
      </c>
      <c r="J429" s="70">
        <v>-414.25</v>
      </c>
      <c r="K429" s="320"/>
      <c r="L429" s="178">
        <v>380.91</v>
      </c>
      <c r="M429" s="178">
        <v>1420.3</v>
      </c>
      <c r="N429" s="179">
        <v>0</v>
      </c>
      <c r="O429" s="178">
        <v>1801.21</v>
      </c>
      <c r="P429" s="453"/>
      <c r="Q429" s="61"/>
      <c r="R429" s="298"/>
      <c r="S429" s="669"/>
      <c r="X429" s="444">
        <v>429</v>
      </c>
    </row>
    <row r="430" spans="1:32" ht="12">
      <c r="A430" s="83" t="s">
        <v>19107</v>
      </c>
      <c r="B430" s="64" t="s">
        <v>19108</v>
      </c>
      <c r="C430" s="71" t="s">
        <v>103</v>
      </c>
      <c r="D430" s="79">
        <v>1</v>
      </c>
      <c r="E430" s="79">
        <v>3587.8799999999997</v>
      </c>
      <c r="F430" s="79">
        <v>3587.88</v>
      </c>
      <c r="G430" s="445"/>
      <c r="H430" s="178">
        <v>3587.85</v>
      </c>
      <c r="I430" s="178">
        <v>4413.0600000000004</v>
      </c>
      <c r="J430" s="70">
        <v>-825.18000000000075</v>
      </c>
      <c r="K430" s="320"/>
      <c r="L430" s="178">
        <v>380.91</v>
      </c>
      <c r="M430" s="178">
        <v>3206.97</v>
      </c>
      <c r="N430" s="179">
        <v>0</v>
      </c>
      <c r="O430" s="178">
        <v>3587.8799999999997</v>
      </c>
      <c r="P430" s="453"/>
      <c r="Q430" s="61"/>
      <c r="R430" s="298"/>
      <c r="S430" s="669"/>
      <c r="X430" s="444">
        <v>430</v>
      </c>
    </row>
    <row r="431" spans="1:32" ht="12">
      <c r="A431" s="83" t="s">
        <v>19109</v>
      </c>
      <c r="B431" s="64" t="s">
        <v>19110</v>
      </c>
      <c r="C431" s="71" t="s">
        <v>103</v>
      </c>
      <c r="D431" s="79">
        <v>1</v>
      </c>
      <c r="E431" s="79">
        <v>5048.68</v>
      </c>
      <c r="F431" s="79">
        <v>5048.68</v>
      </c>
      <c r="G431" s="445"/>
      <c r="H431" s="178">
        <v>5048.63</v>
      </c>
      <c r="I431" s="178">
        <v>6209.82</v>
      </c>
      <c r="J431" s="70">
        <v>-1161.1399999999994</v>
      </c>
      <c r="K431" s="320"/>
      <c r="L431" s="178">
        <v>226.25</v>
      </c>
      <c r="M431" s="178">
        <v>4822.43</v>
      </c>
      <c r="N431" s="179">
        <v>0</v>
      </c>
      <c r="O431" s="178">
        <v>5048.68</v>
      </c>
      <c r="P431" s="453"/>
      <c r="Q431" s="61"/>
      <c r="R431" s="298"/>
      <c r="S431" s="669"/>
      <c r="X431" s="444">
        <v>431</v>
      </c>
    </row>
    <row r="432" spans="1:32" ht="12">
      <c r="A432" s="83" t="s">
        <v>19111</v>
      </c>
      <c r="B432" s="64" t="s">
        <v>19112</v>
      </c>
      <c r="C432" s="71" t="s">
        <v>103</v>
      </c>
      <c r="D432" s="79">
        <v>1</v>
      </c>
      <c r="E432" s="79">
        <v>4003.11</v>
      </c>
      <c r="F432" s="79">
        <v>4003.11</v>
      </c>
      <c r="G432" s="445"/>
      <c r="H432" s="178">
        <v>4003.09</v>
      </c>
      <c r="I432" s="178">
        <v>4923.8</v>
      </c>
      <c r="J432" s="70">
        <v>-920.69</v>
      </c>
      <c r="K432" s="320"/>
      <c r="L432" s="178">
        <v>380.91</v>
      </c>
      <c r="M432" s="178">
        <v>3622.2000000000003</v>
      </c>
      <c r="N432" s="179">
        <v>0</v>
      </c>
      <c r="O432" s="178">
        <v>4003.11</v>
      </c>
      <c r="P432" s="453"/>
      <c r="Q432" s="61"/>
      <c r="R432" s="298"/>
      <c r="S432" s="669"/>
      <c r="X432" s="444">
        <v>432</v>
      </c>
    </row>
    <row r="433" spans="1:24" ht="24">
      <c r="A433" s="83" t="s">
        <v>19113</v>
      </c>
      <c r="B433" s="64" t="s">
        <v>19114</v>
      </c>
      <c r="C433" s="71" t="s">
        <v>103</v>
      </c>
      <c r="D433" s="79">
        <v>1</v>
      </c>
      <c r="E433" s="79">
        <v>2735.6800000000003</v>
      </c>
      <c r="F433" s="79">
        <v>2735.68</v>
      </c>
      <c r="G433" s="445"/>
      <c r="H433" s="178">
        <v>2735.63</v>
      </c>
      <c r="I433" s="178">
        <v>3364.83</v>
      </c>
      <c r="J433" s="70">
        <v>-629.14999999999964</v>
      </c>
      <c r="K433" s="320"/>
      <c r="L433" s="178">
        <v>411.70000000000005</v>
      </c>
      <c r="M433" s="178">
        <v>2323.9800000000005</v>
      </c>
      <c r="N433" s="179">
        <v>0</v>
      </c>
      <c r="O433" s="178">
        <v>2735.6800000000003</v>
      </c>
      <c r="P433" s="453"/>
      <c r="Q433" s="61"/>
      <c r="R433" s="298"/>
      <c r="S433" s="669"/>
      <c r="X433" s="444">
        <v>433</v>
      </c>
    </row>
    <row r="434" spans="1:24" ht="24">
      <c r="A434" s="83" t="s">
        <v>19115</v>
      </c>
      <c r="B434" s="64" t="s">
        <v>19116</v>
      </c>
      <c r="C434" s="71" t="s">
        <v>103</v>
      </c>
      <c r="D434" s="79">
        <v>1</v>
      </c>
      <c r="E434" s="79">
        <v>2936.2300000000005</v>
      </c>
      <c r="F434" s="79">
        <v>2936.23</v>
      </c>
      <c r="G434" s="445"/>
      <c r="H434" s="178">
        <v>2936.18</v>
      </c>
      <c r="I434" s="178">
        <v>3611.5</v>
      </c>
      <c r="J434" s="70">
        <v>-675.26999999999953</v>
      </c>
      <c r="K434" s="320"/>
      <c r="L434" s="178">
        <v>411.70000000000005</v>
      </c>
      <c r="M434" s="178">
        <v>2524.5300000000007</v>
      </c>
      <c r="N434" s="179">
        <v>0</v>
      </c>
      <c r="O434" s="178">
        <v>2936.2300000000005</v>
      </c>
      <c r="P434" s="453"/>
      <c r="Q434" s="61"/>
      <c r="R434" s="298"/>
      <c r="S434" s="669"/>
      <c r="X434" s="444">
        <v>434</v>
      </c>
    </row>
    <row r="435" spans="1:24" ht="24">
      <c r="A435" s="83" t="s">
        <v>19117</v>
      </c>
      <c r="B435" s="64" t="s">
        <v>19118</v>
      </c>
      <c r="C435" s="71" t="s">
        <v>103</v>
      </c>
      <c r="D435" s="79">
        <v>1</v>
      </c>
      <c r="E435" s="79">
        <v>1890.6599999999999</v>
      </c>
      <c r="F435" s="79">
        <v>1890.66</v>
      </c>
      <c r="G435" s="445"/>
      <c r="H435" s="178">
        <v>1890.63</v>
      </c>
      <c r="I435" s="178">
        <v>2325.4699999999998</v>
      </c>
      <c r="J435" s="70">
        <v>-434.80999999999995</v>
      </c>
      <c r="K435" s="320"/>
      <c r="L435" s="178">
        <v>380.91</v>
      </c>
      <c r="M435" s="178">
        <v>1509.7499999999998</v>
      </c>
      <c r="N435" s="179">
        <v>0</v>
      </c>
      <c r="O435" s="178">
        <v>1890.6599999999999</v>
      </c>
      <c r="P435" s="453"/>
      <c r="Q435" s="61"/>
      <c r="R435" s="298"/>
      <c r="S435" s="669"/>
      <c r="X435" s="444">
        <v>435</v>
      </c>
    </row>
    <row r="436" spans="1:24" ht="12">
      <c r="A436" s="83" t="s">
        <v>19119</v>
      </c>
      <c r="B436" s="64" t="s">
        <v>19120</v>
      </c>
      <c r="C436" s="71" t="s">
        <v>103</v>
      </c>
      <c r="D436" s="79">
        <v>1</v>
      </c>
      <c r="E436" s="79">
        <v>1486.22</v>
      </c>
      <c r="F436" s="79">
        <v>1486.22</v>
      </c>
      <c r="G436" s="445"/>
      <c r="H436" s="178">
        <v>1486.21</v>
      </c>
      <c r="I436" s="178">
        <v>1828.04</v>
      </c>
      <c r="J436" s="70">
        <v>-341.81999999999994</v>
      </c>
      <c r="K436" s="320"/>
      <c r="L436" s="178">
        <v>274.5</v>
      </c>
      <c r="M436" s="178">
        <v>1211.72</v>
      </c>
      <c r="N436" s="179">
        <v>0</v>
      </c>
      <c r="O436" s="178">
        <v>1486.22</v>
      </c>
      <c r="P436" s="453"/>
      <c r="Q436" s="61"/>
      <c r="R436" s="298"/>
      <c r="S436" s="669"/>
      <c r="X436" s="444">
        <v>436</v>
      </c>
    </row>
    <row r="437" spans="1:24" ht="12">
      <c r="A437" s="83" t="s">
        <v>19121</v>
      </c>
      <c r="B437" s="64" t="s">
        <v>19122</v>
      </c>
      <c r="C437" s="71" t="s">
        <v>103</v>
      </c>
      <c r="D437" s="79">
        <v>1</v>
      </c>
      <c r="E437" s="79">
        <v>2466.0899999999997</v>
      </c>
      <c r="F437" s="79">
        <v>2466.09</v>
      </c>
      <c r="G437" s="445"/>
      <c r="H437" s="178">
        <v>2466.09</v>
      </c>
      <c r="I437" s="178">
        <v>3033.29</v>
      </c>
      <c r="J437" s="70">
        <v>-567.20000000000027</v>
      </c>
      <c r="K437" s="320"/>
      <c r="L437" s="178">
        <v>292.26</v>
      </c>
      <c r="M437" s="178">
        <v>2173.83</v>
      </c>
      <c r="N437" s="179">
        <v>0</v>
      </c>
      <c r="O437" s="178">
        <v>2466.09</v>
      </c>
      <c r="P437" s="453"/>
      <c r="Q437" s="61"/>
      <c r="R437" s="298"/>
      <c r="S437" s="669"/>
      <c r="X437" s="444">
        <v>437</v>
      </c>
    </row>
    <row r="438" spans="1:24" ht="12">
      <c r="A438" s="83" t="s">
        <v>19123</v>
      </c>
      <c r="B438" s="64" t="s">
        <v>39577</v>
      </c>
      <c r="C438" s="71" t="s">
        <v>103</v>
      </c>
      <c r="D438" s="79">
        <v>1</v>
      </c>
      <c r="E438" s="79">
        <v>1486.22</v>
      </c>
      <c r="F438" s="79">
        <v>1486.22</v>
      </c>
      <c r="G438" s="445"/>
      <c r="H438" s="178">
        <v>1486.21</v>
      </c>
      <c r="I438" s="178">
        <v>1828.04</v>
      </c>
      <c r="J438" s="70">
        <v>-341.81999999999994</v>
      </c>
      <c r="K438" s="320"/>
      <c r="L438" s="178">
        <v>274.5</v>
      </c>
      <c r="M438" s="178">
        <v>1211.72</v>
      </c>
      <c r="N438" s="179">
        <v>0</v>
      </c>
      <c r="O438" s="178">
        <v>1486.22</v>
      </c>
      <c r="P438" s="453"/>
      <c r="Q438" s="61"/>
      <c r="R438" s="298"/>
      <c r="S438" s="669"/>
      <c r="X438" s="444">
        <v>438</v>
      </c>
    </row>
    <row r="439" spans="1:24">
      <c r="A439" s="67" t="s">
        <v>19124</v>
      </c>
      <c r="B439" s="67" t="s">
        <v>19125</v>
      </c>
      <c r="C439" s="71" t="s">
        <v>103</v>
      </c>
      <c r="D439" s="79">
        <v>1</v>
      </c>
      <c r="E439" s="79">
        <v>3580.8599999999997</v>
      </c>
      <c r="F439" s="79">
        <v>3580.86</v>
      </c>
      <c r="G439" s="69"/>
      <c r="H439" s="178">
        <v>3580.87</v>
      </c>
      <c r="I439" s="752">
        <v>4404.47</v>
      </c>
      <c r="J439" s="70">
        <v>-823.61000000000058</v>
      </c>
      <c r="K439" s="320"/>
      <c r="L439" s="178">
        <v>266.42</v>
      </c>
      <c r="M439" s="178">
        <v>3314.4399999999996</v>
      </c>
      <c r="N439" s="179">
        <v>0</v>
      </c>
      <c r="O439" s="178">
        <v>3580.8599999999997</v>
      </c>
      <c r="Q439" s="61"/>
      <c r="R439" s="298"/>
      <c r="S439" s="669"/>
      <c r="X439" s="444">
        <v>439</v>
      </c>
    </row>
    <row r="440" spans="1:24" ht="12">
      <c r="A440" s="83" t="s">
        <v>39578</v>
      </c>
      <c r="B440" s="64" t="s">
        <v>39579</v>
      </c>
      <c r="C440" s="71"/>
      <c r="D440" s="79" t="s">
        <v>40899</v>
      </c>
      <c r="E440" s="79" t="s">
        <v>40899</v>
      </c>
      <c r="F440" s="79"/>
      <c r="G440" s="445"/>
      <c r="H440" s="178"/>
      <c r="I440" s="178"/>
      <c r="J440" s="70"/>
      <c r="K440" s="320"/>
      <c r="L440" s="178"/>
      <c r="M440" s="178"/>
      <c r="N440" s="179"/>
      <c r="O440" s="178"/>
      <c r="P440" s="453"/>
      <c r="Q440" s="61"/>
      <c r="R440" s="298"/>
      <c r="S440" s="669"/>
      <c r="X440" s="444">
        <v>440</v>
      </c>
    </row>
    <row r="441" spans="1:24" ht="12">
      <c r="A441" s="83" t="s">
        <v>19126</v>
      </c>
      <c r="B441" s="64" t="s">
        <v>19102</v>
      </c>
      <c r="C441" s="71" t="s">
        <v>10216</v>
      </c>
      <c r="D441" s="79">
        <v>1</v>
      </c>
      <c r="E441" s="79">
        <v>577.26</v>
      </c>
      <c r="F441" s="79">
        <v>577.26</v>
      </c>
      <c r="G441" s="445"/>
      <c r="H441" s="178">
        <v>577.25</v>
      </c>
      <c r="I441" s="178">
        <v>710.02</v>
      </c>
      <c r="J441" s="70">
        <v>-132.76</v>
      </c>
      <c r="K441" s="320"/>
      <c r="L441" s="178"/>
      <c r="M441" s="178">
        <v>577.26</v>
      </c>
      <c r="N441" s="179">
        <v>0</v>
      </c>
      <c r="O441" s="178">
        <v>577.26</v>
      </c>
      <c r="P441" s="453"/>
      <c r="Q441" s="61"/>
      <c r="R441" s="298"/>
      <c r="S441" s="669"/>
      <c r="X441" s="444">
        <v>441</v>
      </c>
    </row>
    <row r="442" spans="1:24" ht="12">
      <c r="A442" s="83" t="s">
        <v>39580</v>
      </c>
      <c r="B442" s="64" t="s">
        <v>39581</v>
      </c>
      <c r="C442" s="71"/>
      <c r="D442" s="79" t="s">
        <v>40899</v>
      </c>
      <c r="E442" s="79" t="s">
        <v>40899</v>
      </c>
      <c r="F442" s="79"/>
      <c r="G442" s="445"/>
      <c r="H442" s="178"/>
      <c r="I442" s="178"/>
      <c r="J442" s="70"/>
      <c r="K442" s="320"/>
      <c r="L442" s="178"/>
      <c r="M442" s="178"/>
      <c r="N442" s="179"/>
      <c r="O442" s="178"/>
      <c r="P442" s="453"/>
      <c r="Q442" s="61"/>
      <c r="R442" s="298"/>
      <c r="S442" s="669"/>
      <c r="X442" s="444">
        <v>442</v>
      </c>
    </row>
    <row r="443" spans="1:24" ht="12">
      <c r="A443" s="83" t="s">
        <v>19127</v>
      </c>
      <c r="B443" s="64" t="s">
        <v>19128</v>
      </c>
      <c r="C443" s="71" t="s">
        <v>10216</v>
      </c>
      <c r="D443" s="79">
        <v>1</v>
      </c>
      <c r="E443" s="79">
        <v>577.26</v>
      </c>
      <c r="F443" s="79">
        <v>577.26</v>
      </c>
      <c r="G443" s="445"/>
      <c r="H443" s="178">
        <v>577.25</v>
      </c>
      <c r="I443" s="178">
        <v>710.02</v>
      </c>
      <c r="J443" s="70">
        <v>-132.76</v>
      </c>
      <c r="K443" s="320"/>
      <c r="L443" s="178"/>
      <c r="M443" s="178">
        <v>577.26</v>
      </c>
      <c r="N443" s="179">
        <v>0</v>
      </c>
      <c r="O443" s="178">
        <v>577.26</v>
      </c>
      <c r="P443" s="453"/>
      <c r="Q443" s="61"/>
      <c r="R443" s="298"/>
      <c r="S443" s="669"/>
      <c r="X443" s="444">
        <v>443</v>
      </c>
    </row>
    <row r="444" spans="1:24" ht="12">
      <c r="A444" s="83" t="s">
        <v>11409</v>
      </c>
      <c r="B444" s="64" t="s">
        <v>39582</v>
      </c>
      <c r="C444" s="71"/>
      <c r="D444" s="79" t="s">
        <v>40899</v>
      </c>
      <c r="E444" s="79" t="s">
        <v>40899</v>
      </c>
      <c r="F444" s="79"/>
      <c r="G444" s="445"/>
      <c r="H444" s="178"/>
      <c r="I444" s="178"/>
      <c r="J444" s="70"/>
      <c r="K444" s="320"/>
      <c r="L444" s="178"/>
      <c r="M444" s="178"/>
      <c r="N444" s="179"/>
      <c r="O444" s="178"/>
      <c r="P444" s="453"/>
      <c r="Q444" s="61"/>
      <c r="R444" s="298"/>
      <c r="S444" s="669"/>
      <c r="X444" s="444">
        <v>444</v>
      </c>
    </row>
    <row r="445" spans="1:24" ht="12">
      <c r="A445" s="83" t="s">
        <v>19129</v>
      </c>
      <c r="B445" s="64" t="s">
        <v>19130</v>
      </c>
      <c r="C445" s="71" t="s">
        <v>10216</v>
      </c>
      <c r="D445" s="79">
        <v>1</v>
      </c>
      <c r="E445" s="79">
        <v>577.26</v>
      </c>
      <c r="F445" s="79">
        <v>577.26</v>
      </c>
      <c r="G445" s="445"/>
      <c r="H445" s="178">
        <v>577.25</v>
      </c>
      <c r="I445" s="178">
        <v>710.02</v>
      </c>
      <c r="J445" s="70">
        <v>-132.76</v>
      </c>
      <c r="K445" s="320"/>
      <c r="L445" s="178"/>
      <c r="M445" s="178">
        <v>577.26</v>
      </c>
      <c r="N445" s="179">
        <v>0</v>
      </c>
      <c r="O445" s="178">
        <v>577.26</v>
      </c>
      <c r="P445" s="453"/>
      <c r="Q445" s="61"/>
      <c r="R445" s="298"/>
      <c r="S445" s="669"/>
      <c r="X445" s="444">
        <v>445</v>
      </c>
    </row>
    <row r="446" spans="1:24" ht="12">
      <c r="A446" s="83" t="s">
        <v>39583</v>
      </c>
      <c r="B446" s="64" t="s">
        <v>39584</v>
      </c>
      <c r="C446" s="71"/>
      <c r="D446" s="79" t="s">
        <v>40899</v>
      </c>
      <c r="E446" s="79" t="s">
        <v>40899</v>
      </c>
      <c r="F446" s="79"/>
      <c r="G446" s="445"/>
      <c r="H446" s="178"/>
      <c r="I446" s="178"/>
      <c r="J446" s="70"/>
      <c r="K446" s="320"/>
      <c r="L446" s="178"/>
      <c r="M446" s="178"/>
      <c r="N446" s="179"/>
      <c r="O446" s="178"/>
      <c r="P446" s="453"/>
      <c r="Q446" s="61"/>
      <c r="R446" s="298"/>
      <c r="S446" s="669"/>
      <c r="X446" s="444">
        <v>446</v>
      </c>
    </row>
    <row r="447" spans="1:24" ht="12">
      <c r="A447" s="83" t="s">
        <v>19131</v>
      </c>
      <c r="B447" s="64" t="s">
        <v>19132</v>
      </c>
      <c r="C447" s="71" t="s">
        <v>165</v>
      </c>
      <c r="D447" s="79">
        <v>1</v>
      </c>
      <c r="E447" s="79">
        <v>1155.74</v>
      </c>
      <c r="F447" s="79">
        <v>1155.74</v>
      </c>
      <c r="G447" s="445"/>
      <c r="H447" s="178">
        <v>1155.73</v>
      </c>
      <c r="I447" s="178">
        <v>1421.55</v>
      </c>
      <c r="J447" s="70">
        <v>-265.80999999999995</v>
      </c>
      <c r="K447" s="320"/>
      <c r="L447" s="178">
        <v>141.75</v>
      </c>
      <c r="M447" s="178">
        <v>1013.99</v>
      </c>
      <c r="N447" s="179">
        <v>0</v>
      </c>
      <c r="O447" s="178">
        <v>1155.74</v>
      </c>
      <c r="P447" s="453"/>
      <c r="Q447" s="61"/>
      <c r="R447" s="298"/>
      <c r="S447" s="669"/>
      <c r="X447" s="444">
        <v>447</v>
      </c>
    </row>
    <row r="448" spans="1:24" ht="12">
      <c r="A448" s="83" t="s">
        <v>19133</v>
      </c>
      <c r="B448" s="64" t="s">
        <v>19134</v>
      </c>
      <c r="C448" s="71" t="s">
        <v>165</v>
      </c>
      <c r="D448" s="79">
        <v>1</v>
      </c>
      <c r="E448" s="79">
        <v>510.55</v>
      </c>
      <c r="F448" s="79">
        <v>510.55</v>
      </c>
      <c r="G448" s="445"/>
      <c r="H448" s="178">
        <v>510.56</v>
      </c>
      <c r="I448" s="178">
        <v>627.99</v>
      </c>
      <c r="J448" s="70">
        <v>-117.44</v>
      </c>
      <c r="K448" s="320"/>
      <c r="L448" s="178">
        <v>61.89</v>
      </c>
      <c r="M448" s="178">
        <v>448.66</v>
      </c>
      <c r="N448" s="179">
        <v>0</v>
      </c>
      <c r="O448" s="178">
        <v>510.55</v>
      </c>
      <c r="P448" s="453"/>
      <c r="Q448" s="61"/>
      <c r="R448" s="298"/>
      <c r="S448" s="669"/>
      <c r="T448" s="69"/>
      <c r="X448" s="444">
        <v>448</v>
      </c>
    </row>
    <row r="449" spans="1:24" ht="12">
      <c r="A449" s="83" t="s">
        <v>19135</v>
      </c>
      <c r="B449" s="64" t="s">
        <v>19136</v>
      </c>
      <c r="C449" s="71" t="s">
        <v>103</v>
      </c>
      <c r="D449" s="79">
        <v>1</v>
      </c>
      <c r="E449" s="79">
        <v>1808.2700000000002</v>
      </c>
      <c r="F449" s="79">
        <v>1808.27</v>
      </c>
      <c r="G449" s="445"/>
      <c r="H449" s="178">
        <v>1808.28</v>
      </c>
      <c r="I449" s="178">
        <v>2224.1799999999998</v>
      </c>
      <c r="J449" s="70">
        <v>-415.90999999999963</v>
      </c>
      <c r="K449" s="320"/>
      <c r="L449" s="178">
        <v>144.99</v>
      </c>
      <c r="M449" s="178">
        <v>1663.2800000000002</v>
      </c>
      <c r="N449" s="179">
        <v>0</v>
      </c>
      <c r="O449" s="178">
        <v>1808.2700000000002</v>
      </c>
      <c r="P449" s="453"/>
      <c r="Q449" s="61"/>
      <c r="R449" s="298"/>
      <c r="S449" s="669"/>
      <c r="X449" s="444">
        <v>449</v>
      </c>
    </row>
    <row r="450" spans="1:24" ht="12">
      <c r="A450" s="83" t="s">
        <v>19137</v>
      </c>
      <c r="B450" s="64" t="s">
        <v>19138</v>
      </c>
      <c r="C450" s="71" t="s">
        <v>165</v>
      </c>
      <c r="D450" s="79">
        <v>1</v>
      </c>
      <c r="E450" s="79">
        <v>751.41</v>
      </c>
      <c r="F450" s="79">
        <v>751.41</v>
      </c>
      <c r="G450" s="445"/>
      <c r="H450" s="178">
        <v>751.39</v>
      </c>
      <c r="I450" s="178">
        <v>924.21</v>
      </c>
      <c r="J450" s="70">
        <v>-172.80000000000007</v>
      </c>
      <c r="K450" s="320"/>
      <c r="L450" s="178">
        <v>43.56</v>
      </c>
      <c r="M450" s="178">
        <v>707.84999999999991</v>
      </c>
      <c r="N450" s="179">
        <v>0</v>
      </c>
      <c r="O450" s="178">
        <v>751.40999999999985</v>
      </c>
      <c r="P450" s="453"/>
      <c r="Q450" s="61"/>
      <c r="R450" s="298"/>
      <c r="S450" s="669"/>
      <c r="X450" s="444">
        <v>450</v>
      </c>
    </row>
    <row r="451" spans="1:24" ht="12">
      <c r="A451" s="83" t="s">
        <v>19139</v>
      </c>
      <c r="B451" s="146" t="s">
        <v>19140</v>
      </c>
      <c r="C451" s="134" t="s">
        <v>103</v>
      </c>
      <c r="D451" s="79">
        <v>1</v>
      </c>
      <c r="E451" s="79">
        <v>1895.5800000000002</v>
      </c>
      <c r="F451" s="79">
        <v>1895.58</v>
      </c>
      <c r="G451" s="445"/>
      <c r="H451" s="178">
        <v>1895.59</v>
      </c>
      <c r="I451" s="178">
        <v>2331.5700000000002</v>
      </c>
      <c r="J451" s="70">
        <v>-435.99</v>
      </c>
      <c r="K451" s="320"/>
      <c r="L451" s="178">
        <v>253.37</v>
      </c>
      <c r="M451" s="178">
        <v>1642.21</v>
      </c>
      <c r="N451" s="179">
        <v>0</v>
      </c>
      <c r="O451" s="178">
        <v>1895.58</v>
      </c>
      <c r="P451" s="453"/>
      <c r="Q451" s="61"/>
      <c r="R451" s="298"/>
      <c r="S451" s="669"/>
      <c r="X451" s="444">
        <v>451</v>
      </c>
    </row>
    <row r="452" spans="1:24" ht="12">
      <c r="A452" s="83" t="s">
        <v>19141</v>
      </c>
      <c r="B452" s="146" t="s">
        <v>19142</v>
      </c>
      <c r="C452" s="134" t="s">
        <v>103</v>
      </c>
      <c r="D452" s="79">
        <v>1</v>
      </c>
      <c r="E452" s="79">
        <v>2180.1200000000003</v>
      </c>
      <c r="F452" s="79">
        <v>2180.12</v>
      </c>
      <c r="G452" s="445"/>
      <c r="H452" s="178">
        <v>2180.11</v>
      </c>
      <c r="I452" s="178">
        <v>2681.54</v>
      </c>
      <c r="J452" s="70">
        <v>-501.41999999999962</v>
      </c>
      <c r="K452" s="320"/>
      <c r="L452" s="178">
        <v>257.02999999999997</v>
      </c>
      <c r="M452" s="178">
        <v>1923.0900000000004</v>
      </c>
      <c r="N452" s="179">
        <v>0</v>
      </c>
      <c r="O452" s="178">
        <v>2180.1200000000003</v>
      </c>
      <c r="P452" s="453"/>
      <c r="Q452" s="61"/>
      <c r="R452" s="298"/>
      <c r="S452" s="669"/>
      <c r="X452" s="444">
        <v>452</v>
      </c>
    </row>
    <row r="453" spans="1:24" ht="12">
      <c r="A453" s="83" t="s">
        <v>19143</v>
      </c>
      <c r="B453" s="146" t="s">
        <v>19144</v>
      </c>
      <c r="C453" s="134" t="s">
        <v>103</v>
      </c>
      <c r="D453" s="79">
        <v>1</v>
      </c>
      <c r="E453" s="79">
        <v>3403.8599999999997</v>
      </c>
      <c r="F453" s="79">
        <v>3403.86</v>
      </c>
      <c r="G453" s="445"/>
      <c r="H453" s="178">
        <v>3403.85</v>
      </c>
      <c r="I453" s="178">
        <v>4186.7299999999996</v>
      </c>
      <c r="J453" s="70">
        <v>-782.86999999999989</v>
      </c>
      <c r="K453" s="320"/>
      <c r="L453" s="178">
        <v>461.34000000000003</v>
      </c>
      <c r="M453" s="178">
        <v>2942.5199999999995</v>
      </c>
      <c r="N453" s="179">
        <v>0</v>
      </c>
      <c r="O453" s="178">
        <v>3403.8599999999997</v>
      </c>
      <c r="P453" s="453"/>
      <c r="Q453" s="61"/>
      <c r="R453" s="298"/>
      <c r="S453" s="669"/>
      <c r="X453" s="444">
        <v>453</v>
      </c>
    </row>
    <row r="454" spans="1:24" ht="12">
      <c r="A454" s="83" t="s">
        <v>19145</v>
      </c>
      <c r="B454" s="146" t="s">
        <v>19146</v>
      </c>
      <c r="C454" s="134" t="s">
        <v>103</v>
      </c>
      <c r="D454" s="79">
        <v>1</v>
      </c>
      <c r="E454" s="79">
        <v>1613.3899999999999</v>
      </c>
      <c r="F454" s="79">
        <v>1613.39</v>
      </c>
      <c r="G454" s="445"/>
      <c r="H454" s="178">
        <v>1613.37</v>
      </c>
      <c r="I454" s="178">
        <v>1984.45</v>
      </c>
      <c r="J454" s="70">
        <v>-371.06000000000017</v>
      </c>
      <c r="K454" s="320"/>
      <c r="L454" s="178">
        <v>247.22000000000003</v>
      </c>
      <c r="M454" s="178">
        <v>1366.1699999999998</v>
      </c>
      <c r="N454" s="179">
        <v>0</v>
      </c>
      <c r="O454" s="178">
        <v>1613.3899999999999</v>
      </c>
      <c r="P454" s="453"/>
      <c r="Q454" s="61"/>
      <c r="R454" s="298"/>
      <c r="S454" s="669"/>
      <c r="X454" s="444">
        <v>454</v>
      </c>
    </row>
    <row r="455" spans="1:24" ht="12">
      <c r="A455" s="83" t="s">
        <v>19147</v>
      </c>
      <c r="B455" s="146" t="s">
        <v>19148</v>
      </c>
      <c r="C455" s="134" t="s">
        <v>103</v>
      </c>
      <c r="D455" s="79">
        <v>1</v>
      </c>
      <c r="E455" s="79">
        <v>1898.26</v>
      </c>
      <c r="F455" s="79">
        <v>1898.26</v>
      </c>
      <c r="G455" s="445"/>
      <c r="H455" s="178">
        <v>1898.26</v>
      </c>
      <c r="I455" s="178">
        <v>2334.86</v>
      </c>
      <c r="J455" s="70">
        <v>-436.60000000000014</v>
      </c>
      <c r="K455" s="320"/>
      <c r="L455" s="178">
        <v>256.94</v>
      </c>
      <c r="M455" s="178">
        <v>1641.32</v>
      </c>
      <c r="N455" s="179">
        <v>0</v>
      </c>
      <c r="O455" s="178">
        <v>1898.26</v>
      </c>
      <c r="P455" s="453"/>
      <c r="Q455" s="61"/>
      <c r="R455" s="298"/>
      <c r="S455" s="669"/>
      <c r="X455" s="444">
        <v>455</v>
      </c>
    </row>
    <row r="456" spans="1:24" ht="12">
      <c r="A456" s="83" t="s">
        <v>19149</v>
      </c>
      <c r="B456" s="146" t="s">
        <v>19150</v>
      </c>
      <c r="C456" s="134" t="s">
        <v>103</v>
      </c>
      <c r="D456" s="79">
        <v>1</v>
      </c>
      <c r="E456" s="79">
        <v>2876.5</v>
      </c>
      <c r="F456" s="79">
        <v>2876.5</v>
      </c>
      <c r="G456" s="445"/>
      <c r="H456" s="178">
        <v>2876.5</v>
      </c>
      <c r="I456" s="178">
        <v>3538.1</v>
      </c>
      <c r="J456" s="70">
        <v>-661.59999999999991</v>
      </c>
      <c r="K456" s="320"/>
      <c r="L456" s="178">
        <v>447.09</v>
      </c>
      <c r="M456" s="178">
        <v>2429.41</v>
      </c>
      <c r="N456" s="179">
        <v>0</v>
      </c>
      <c r="O456" s="178">
        <v>2876.5</v>
      </c>
      <c r="P456" s="453"/>
      <c r="Q456" s="61"/>
      <c r="R456" s="298"/>
      <c r="S456" s="669"/>
      <c r="X456" s="444">
        <v>456</v>
      </c>
    </row>
    <row r="457" spans="1:24" ht="12">
      <c r="A457" s="83" t="s">
        <v>19151</v>
      </c>
      <c r="B457" s="146" t="s">
        <v>19152</v>
      </c>
      <c r="C457" s="134" t="s">
        <v>103</v>
      </c>
      <c r="D457" s="79">
        <v>1</v>
      </c>
      <c r="E457" s="79">
        <v>1097.7199999999998</v>
      </c>
      <c r="F457" s="79">
        <v>1097.72</v>
      </c>
      <c r="G457" s="445"/>
      <c r="H457" s="178">
        <v>1097.72</v>
      </c>
      <c r="I457" s="178">
        <v>1350.2</v>
      </c>
      <c r="J457" s="70">
        <v>-252.48000000000025</v>
      </c>
      <c r="K457" s="320"/>
      <c r="L457" s="178">
        <v>276.28000000000003</v>
      </c>
      <c r="M457" s="178">
        <v>821.43999999999983</v>
      </c>
      <c r="N457" s="179">
        <v>0</v>
      </c>
      <c r="O457" s="178">
        <v>1097.7199999999998</v>
      </c>
      <c r="P457" s="453"/>
      <c r="Q457" s="61"/>
      <c r="R457" s="298"/>
      <c r="S457" s="669"/>
      <c r="X457" s="444">
        <v>457</v>
      </c>
    </row>
    <row r="458" spans="1:24" ht="12">
      <c r="A458" s="83" t="s">
        <v>19153</v>
      </c>
      <c r="B458" s="146" t="s">
        <v>19154</v>
      </c>
      <c r="C458" s="134" t="s">
        <v>165</v>
      </c>
      <c r="D458" s="79">
        <v>1</v>
      </c>
      <c r="E458" s="79">
        <v>1710.92</v>
      </c>
      <c r="F458" s="79">
        <v>1710.92</v>
      </c>
      <c r="G458" s="445"/>
      <c r="H458" s="178">
        <v>1710.92</v>
      </c>
      <c r="I458" s="178">
        <v>2104.4299999999998</v>
      </c>
      <c r="J458" s="70">
        <v>-393.50999999999976</v>
      </c>
      <c r="K458" s="320"/>
      <c r="L458" s="178">
        <v>125.87</v>
      </c>
      <c r="M458" s="178">
        <v>1585.0500000000002</v>
      </c>
      <c r="N458" s="179">
        <v>0</v>
      </c>
      <c r="O458" s="178">
        <v>1710.92</v>
      </c>
      <c r="P458" s="453"/>
      <c r="Q458" s="61"/>
      <c r="R458" s="298"/>
      <c r="S458" s="669"/>
      <c r="X458" s="444">
        <v>458</v>
      </c>
    </row>
    <row r="459" spans="1:24" ht="12">
      <c r="A459" s="83" t="s">
        <v>19155</v>
      </c>
      <c r="B459" s="146" t="s">
        <v>19156</v>
      </c>
      <c r="C459" s="134" t="s">
        <v>103</v>
      </c>
      <c r="D459" s="79">
        <v>1</v>
      </c>
      <c r="E459" s="79">
        <v>4650.7099999999991</v>
      </c>
      <c r="F459" s="79">
        <v>4650.71</v>
      </c>
      <c r="G459" s="445"/>
      <c r="H459" s="178">
        <v>4650.72</v>
      </c>
      <c r="I459" s="178">
        <v>5720.39</v>
      </c>
      <c r="J459" s="70">
        <v>-1069.6800000000012</v>
      </c>
      <c r="K459" s="320"/>
      <c r="L459" s="178">
        <v>410.08000000000004</v>
      </c>
      <c r="M459" s="178">
        <v>4240.6299999999992</v>
      </c>
      <c r="N459" s="179">
        <v>0</v>
      </c>
      <c r="O459" s="178">
        <v>4650.7099999999991</v>
      </c>
      <c r="P459" s="453"/>
      <c r="Q459" s="61"/>
      <c r="R459" s="298"/>
      <c r="S459" s="669"/>
      <c r="X459" s="444">
        <v>459</v>
      </c>
    </row>
    <row r="460" spans="1:24" ht="12">
      <c r="A460" s="83" t="s">
        <v>19157</v>
      </c>
      <c r="B460" s="146" t="s">
        <v>19158</v>
      </c>
      <c r="C460" s="134" t="s">
        <v>103</v>
      </c>
      <c r="D460" s="79">
        <v>1</v>
      </c>
      <c r="E460" s="79">
        <v>2683.37</v>
      </c>
      <c r="F460" s="79">
        <v>2683.37</v>
      </c>
      <c r="G460" s="445"/>
      <c r="H460" s="178">
        <v>2683.33</v>
      </c>
      <c r="I460" s="178">
        <v>3300.5</v>
      </c>
      <c r="J460" s="70">
        <v>-617.13000000000011</v>
      </c>
      <c r="K460" s="320"/>
      <c r="L460" s="178">
        <v>284.47000000000003</v>
      </c>
      <c r="M460" s="178">
        <v>2398.8999999999996</v>
      </c>
      <c r="N460" s="179">
        <v>0</v>
      </c>
      <c r="O460" s="178">
        <v>2683.37</v>
      </c>
      <c r="P460" s="453"/>
      <c r="Q460" s="61"/>
      <c r="R460" s="298"/>
      <c r="S460" s="669"/>
      <c r="X460" s="444">
        <v>460</v>
      </c>
    </row>
    <row r="461" spans="1:24" ht="12">
      <c r="A461" s="83" t="s">
        <v>19159</v>
      </c>
      <c r="B461" s="64" t="s">
        <v>19160</v>
      </c>
      <c r="C461" s="71" t="s">
        <v>165</v>
      </c>
      <c r="D461" s="79">
        <v>1</v>
      </c>
      <c r="E461" s="79">
        <v>247.07</v>
      </c>
      <c r="F461" s="79">
        <v>247.07</v>
      </c>
      <c r="G461" s="445"/>
      <c r="H461" s="178">
        <v>247.07</v>
      </c>
      <c r="I461" s="178">
        <v>303.89</v>
      </c>
      <c r="J461" s="70">
        <v>-56.819999999999993</v>
      </c>
      <c r="K461" s="320"/>
      <c r="L461" s="178">
        <v>12.85</v>
      </c>
      <c r="M461" s="178">
        <v>234.22</v>
      </c>
      <c r="N461" s="179">
        <v>0</v>
      </c>
      <c r="O461" s="178">
        <v>247.07</v>
      </c>
      <c r="P461" s="453"/>
      <c r="Q461" s="61"/>
      <c r="R461" s="298"/>
      <c r="S461" s="669"/>
      <c r="X461" s="444">
        <v>461</v>
      </c>
    </row>
    <row r="462" spans="1:24" ht="12">
      <c r="A462" s="83" t="s">
        <v>19161</v>
      </c>
      <c r="B462" s="64" t="s">
        <v>19162</v>
      </c>
      <c r="C462" s="71" t="s">
        <v>165</v>
      </c>
      <c r="D462" s="79">
        <v>1</v>
      </c>
      <c r="E462" s="79">
        <v>1245.8799999999999</v>
      </c>
      <c r="F462" s="79">
        <v>1245.8800000000001</v>
      </c>
      <c r="G462" s="445"/>
      <c r="H462" s="178">
        <v>1245.8499999999999</v>
      </c>
      <c r="I462" s="178">
        <v>1532.39</v>
      </c>
      <c r="J462" s="70">
        <v>-286.51000000000022</v>
      </c>
      <c r="K462" s="320"/>
      <c r="L462" s="178">
        <v>365.61</v>
      </c>
      <c r="M462" s="178">
        <v>880.26999999999987</v>
      </c>
      <c r="N462" s="179">
        <v>0</v>
      </c>
      <c r="O462" s="178">
        <v>1245.8799999999999</v>
      </c>
      <c r="P462" s="453"/>
      <c r="Q462" s="61"/>
      <c r="R462" s="298"/>
      <c r="S462" s="669"/>
      <c r="X462" s="444">
        <v>462</v>
      </c>
    </row>
    <row r="463" spans="1:24" ht="12">
      <c r="A463" s="83" t="s">
        <v>19163</v>
      </c>
      <c r="B463" s="64" t="s">
        <v>19164</v>
      </c>
      <c r="C463" s="134" t="s">
        <v>103</v>
      </c>
      <c r="D463" s="79">
        <v>1</v>
      </c>
      <c r="E463" s="79">
        <v>3835.57</v>
      </c>
      <c r="F463" s="79">
        <v>3835.57</v>
      </c>
      <c r="G463" s="445"/>
      <c r="H463" s="178">
        <v>3835.54</v>
      </c>
      <c r="I463" s="178">
        <v>4717.72</v>
      </c>
      <c r="J463" s="70">
        <v>-882.15000000000009</v>
      </c>
      <c r="K463" s="320"/>
      <c r="L463" s="178">
        <v>324.39</v>
      </c>
      <c r="M463" s="178">
        <v>3511.1800000000003</v>
      </c>
      <c r="N463" s="179">
        <v>0</v>
      </c>
      <c r="O463" s="178">
        <v>3835.57</v>
      </c>
      <c r="P463" s="453"/>
      <c r="Q463" s="61"/>
      <c r="R463" s="298"/>
      <c r="S463" s="669"/>
      <c r="X463" s="444">
        <v>463</v>
      </c>
    </row>
    <row r="464" spans="1:24" ht="12">
      <c r="A464" s="83" t="s">
        <v>19165</v>
      </c>
      <c r="B464" s="64" t="s">
        <v>19166</v>
      </c>
      <c r="C464" s="71" t="s">
        <v>165</v>
      </c>
      <c r="D464" s="79">
        <v>1</v>
      </c>
      <c r="E464" s="79">
        <v>827.05</v>
      </c>
      <c r="F464" s="79">
        <v>827.05</v>
      </c>
      <c r="G464" s="445"/>
      <c r="H464" s="178">
        <v>827.07</v>
      </c>
      <c r="I464" s="178">
        <v>1017.29</v>
      </c>
      <c r="J464" s="70">
        <v>-190.24</v>
      </c>
      <c r="K464" s="320"/>
      <c r="L464" s="178">
        <v>77.81</v>
      </c>
      <c r="M464" s="178">
        <v>749.24</v>
      </c>
      <c r="N464" s="179">
        <v>0</v>
      </c>
      <c r="O464" s="178">
        <v>827.05</v>
      </c>
      <c r="P464" s="453"/>
      <c r="Q464" s="61"/>
      <c r="R464" s="298"/>
      <c r="S464" s="669"/>
      <c r="X464" s="444">
        <v>464</v>
      </c>
    </row>
    <row r="465" spans="1:32" ht="12">
      <c r="A465" s="83" t="s">
        <v>19167</v>
      </c>
      <c r="B465" s="64" t="s">
        <v>19168</v>
      </c>
      <c r="C465" s="71" t="s">
        <v>165</v>
      </c>
      <c r="D465" s="79">
        <v>1</v>
      </c>
      <c r="E465" s="79">
        <v>1461.6299999999999</v>
      </c>
      <c r="F465" s="79">
        <v>1461.63</v>
      </c>
      <c r="G465" s="445"/>
      <c r="H465" s="178">
        <v>1461.64</v>
      </c>
      <c r="I465" s="178">
        <v>1797.82</v>
      </c>
      <c r="J465" s="70">
        <v>-336.19000000000005</v>
      </c>
      <c r="K465" s="320"/>
      <c r="L465" s="178">
        <v>324.05</v>
      </c>
      <c r="M465" s="178">
        <v>1137.58</v>
      </c>
      <c r="N465" s="179">
        <v>0</v>
      </c>
      <c r="O465" s="178">
        <v>1461.6299999999999</v>
      </c>
      <c r="P465" s="453"/>
      <c r="Q465" s="61"/>
      <c r="R465" s="298"/>
      <c r="S465" s="669"/>
      <c r="X465" s="444">
        <v>465</v>
      </c>
    </row>
    <row r="466" spans="1:32" ht="12">
      <c r="A466" s="83" t="s">
        <v>19169</v>
      </c>
      <c r="B466" s="64" t="s">
        <v>19170</v>
      </c>
      <c r="C466" s="71" t="s">
        <v>103</v>
      </c>
      <c r="D466" s="79">
        <v>1</v>
      </c>
      <c r="E466" s="79">
        <v>4127.82</v>
      </c>
      <c r="F466" s="79">
        <v>4127.82</v>
      </c>
      <c r="G466" s="445"/>
      <c r="H466" s="178">
        <v>4127.79</v>
      </c>
      <c r="I466" s="178">
        <v>5077.18</v>
      </c>
      <c r="J466" s="70">
        <v>-949.36000000000058</v>
      </c>
      <c r="K466" s="320"/>
      <c r="L466" s="178">
        <v>330.85</v>
      </c>
      <c r="M466" s="178">
        <v>3796.97</v>
      </c>
      <c r="N466" s="179">
        <v>0</v>
      </c>
      <c r="O466" s="178">
        <v>4127.82</v>
      </c>
      <c r="P466" s="453"/>
      <c r="Q466" s="61"/>
      <c r="R466" s="298"/>
      <c r="S466" s="669"/>
      <c r="X466" s="444">
        <v>466</v>
      </c>
    </row>
    <row r="467" spans="1:32" ht="12">
      <c r="A467" s="83" t="s">
        <v>19171</v>
      </c>
      <c r="B467" s="64" t="s">
        <v>19172</v>
      </c>
      <c r="C467" s="71" t="s">
        <v>165</v>
      </c>
      <c r="D467" s="79">
        <v>1</v>
      </c>
      <c r="E467" s="79">
        <v>1995.0500000000002</v>
      </c>
      <c r="F467" s="79">
        <v>1995.05</v>
      </c>
      <c r="G467" s="445"/>
      <c r="H467" s="178">
        <v>1995.03</v>
      </c>
      <c r="I467" s="178">
        <v>2453.89</v>
      </c>
      <c r="J467" s="70">
        <v>-458.83999999999969</v>
      </c>
      <c r="K467" s="320"/>
      <c r="L467" s="178">
        <v>303.54000000000002</v>
      </c>
      <c r="M467" s="178">
        <v>1691.5100000000002</v>
      </c>
      <c r="N467" s="179">
        <v>0</v>
      </c>
      <c r="O467" s="178">
        <v>1995.0500000000002</v>
      </c>
      <c r="P467" s="453"/>
      <c r="Q467" s="61"/>
      <c r="R467" s="298"/>
      <c r="S467" s="669"/>
      <c r="X467" s="444">
        <v>467</v>
      </c>
    </row>
    <row r="468" spans="1:32" ht="12">
      <c r="A468" s="83" t="s">
        <v>19173</v>
      </c>
      <c r="B468" s="64" t="s">
        <v>19174</v>
      </c>
      <c r="C468" s="71" t="s">
        <v>165</v>
      </c>
      <c r="D468" s="79">
        <v>1</v>
      </c>
      <c r="E468" s="79">
        <v>79.41</v>
      </c>
      <c r="F468" s="79">
        <v>79.41</v>
      </c>
      <c r="G468" s="445"/>
      <c r="H468" s="178">
        <v>79.41</v>
      </c>
      <c r="I468" s="178">
        <v>97.67</v>
      </c>
      <c r="J468" s="70">
        <v>-18.260000000000005</v>
      </c>
      <c r="K468" s="320"/>
      <c r="L468" s="178">
        <v>1.49</v>
      </c>
      <c r="M468" s="178">
        <v>77.92</v>
      </c>
      <c r="N468" s="179">
        <v>0</v>
      </c>
      <c r="O468" s="178">
        <v>79.41</v>
      </c>
      <c r="P468" s="453"/>
      <c r="Q468" s="61"/>
      <c r="R468" s="298"/>
      <c r="S468" s="669"/>
      <c r="X468" s="444">
        <v>468</v>
      </c>
    </row>
    <row r="469" spans="1:32" ht="12">
      <c r="A469" s="83" t="s">
        <v>19175</v>
      </c>
      <c r="B469" s="64" t="s">
        <v>19176</v>
      </c>
      <c r="C469" s="71" t="s">
        <v>103</v>
      </c>
      <c r="D469" s="79">
        <v>1</v>
      </c>
      <c r="E469" s="79">
        <v>7925.4099999999989</v>
      </c>
      <c r="F469" s="79">
        <v>7925.41</v>
      </c>
      <c r="G469" s="445"/>
      <c r="H469" s="178">
        <v>7925.4</v>
      </c>
      <c r="I469" s="178">
        <v>9748.24</v>
      </c>
      <c r="J469" s="70">
        <v>-1822.8300000000008</v>
      </c>
      <c r="K469" s="320"/>
      <c r="L469" s="178">
        <v>833.1400000000001</v>
      </c>
      <c r="M469" s="178">
        <v>7092.2699999999986</v>
      </c>
      <c r="N469" s="179">
        <v>0</v>
      </c>
      <c r="O469" s="178">
        <v>7925.4099999999989</v>
      </c>
      <c r="P469" s="453"/>
      <c r="Q469" s="61"/>
      <c r="R469" s="298"/>
      <c r="S469" s="669"/>
      <c r="X469" s="444">
        <v>469</v>
      </c>
    </row>
    <row r="470" spans="1:32" ht="12">
      <c r="A470" s="83" t="s">
        <v>19177</v>
      </c>
      <c r="B470" s="64" t="s">
        <v>19178</v>
      </c>
      <c r="C470" s="71" t="s">
        <v>103</v>
      </c>
      <c r="D470" s="79">
        <v>1</v>
      </c>
      <c r="E470" s="79">
        <v>5659.4800000000005</v>
      </c>
      <c r="F470" s="79">
        <v>5659.48</v>
      </c>
      <c r="G470" s="445"/>
      <c r="H470" s="178">
        <v>5659.5</v>
      </c>
      <c r="I470" s="178">
        <v>6961.19</v>
      </c>
      <c r="J470" s="70">
        <v>-1301.7099999999991</v>
      </c>
      <c r="K470" s="320"/>
      <c r="L470" s="178">
        <v>341.24</v>
      </c>
      <c r="M470" s="178">
        <v>5318.2400000000007</v>
      </c>
      <c r="N470" s="179">
        <v>0</v>
      </c>
      <c r="O470" s="178">
        <v>5659.4800000000005</v>
      </c>
      <c r="P470" s="453"/>
      <c r="Q470" s="61"/>
      <c r="R470" s="298"/>
      <c r="S470" s="669"/>
      <c r="X470" s="444">
        <v>470</v>
      </c>
    </row>
    <row r="471" spans="1:32" ht="12">
      <c r="A471" s="83" t="s">
        <v>19179</v>
      </c>
      <c r="B471" s="64" t="s">
        <v>19180</v>
      </c>
      <c r="C471" s="71" t="s">
        <v>103</v>
      </c>
      <c r="D471" s="79">
        <v>1</v>
      </c>
      <c r="E471" s="79">
        <v>5167.7199999999993</v>
      </c>
      <c r="F471" s="79">
        <v>5167.72</v>
      </c>
      <c r="G471" s="320"/>
      <c r="H471" s="178">
        <v>5167.71</v>
      </c>
      <c r="I471" s="178">
        <v>6356.28</v>
      </c>
      <c r="J471" s="70">
        <v>-1188.5600000000004</v>
      </c>
      <c r="K471" s="320"/>
      <c r="L471" s="178">
        <v>344.61</v>
      </c>
      <c r="M471" s="178">
        <v>4823.1099999999997</v>
      </c>
      <c r="N471" s="179">
        <v>0</v>
      </c>
      <c r="O471" s="178">
        <v>5167.7199999999993</v>
      </c>
      <c r="P471" s="453"/>
      <c r="Q471" s="61"/>
      <c r="R471" s="298"/>
      <c r="S471" s="669"/>
      <c r="T471" s="61"/>
      <c r="X471" s="444">
        <v>471</v>
      </c>
    </row>
    <row r="472" spans="1:32" ht="12">
      <c r="A472" s="83" t="s">
        <v>19181</v>
      </c>
      <c r="B472" s="64" t="s">
        <v>19182</v>
      </c>
      <c r="C472" s="71" t="s">
        <v>103</v>
      </c>
      <c r="D472" s="79">
        <v>1</v>
      </c>
      <c r="E472" s="79">
        <v>8468.4700000000012</v>
      </c>
      <c r="F472" s="79">
        <v>8468.4699999999993</v>
      </c>
      <c r="G472" s="445"/>
      <c r="H472" s="178">
        <v>8468.48</v>
      </c>
      <c r="I472" s="178">
        <v>10416.23</v>
      </c>
      <c r="J472" s="70">
        <v>-1947.7599999999984</v>
      </c>
      <c r="K472" s="320"/>
      <c r="L472" s="178">
        <v>1226.8600000000001</v>
      </c>
      <c r="M472" s="178">
        <v>7241.6100000000006</v>
      </c>
      <c r="N472" s="179">
        <v>0</v>
      </c>
      <c r="O472" s="178">
        <v>8468.4700000000012</v>
      </c>
      <c r="P472" s="453"/>
      <c r="Q472" s="61"/>
      <c r="R472" s="298"/>
      <c r="S472" s="669"/>
      <c r="U472" s="61"/>
      <c r="V472" s="61"/>
      <c r="W472" s="61"/>
      <c r="X472" s="444">
        <v>472</v>
      </c>
      <c r="Y472" s="61"/>
      <c r="Z472" s="61"/>
      <c r="AA472" s="61"/>
      <c r="AB472" s="61"/>
      <c r="AC472" s="61"/>
      <c r="AD472" s="61"/>
      <c r="AE472" s="61"/>
      <c r="AF472" s="61"/>
    </row>
    <row r="473" spans="1:32" ht="12">
      <c r="A473" s="83" t="s">
        <v>19183</v>
      </c>
      <c r="B473" s="64" t="s">
        <v>19184</v>
      </c>
      <c r="C473" s="71" t="s">
        <v>103</v>
      </c>
      <c r="D473" s="79">
        <v>1</v>
      </c>
      <c r="E473" s="79">
        <v>2868.47</v>
      </c>
      <c r="F473" s="79">
        <v>2868.47</v>
      </c>
      <c r="G473" s="445"/>
      <c r="H473" s="178">
        <v>2868.48</v>
      </c>
      <c r="I473" s="178">
        <v>3528.23</v>
      </c>
      <c r="J473" s="70">
        <v>-659.76000000000022</v>
      </c>
      <c r="K473" s="320"/>
      <c r="L473" s="178">
        <v>204.97</v>
      </c>
      <c r="M473" s="178">
        <v>2663.5</v>
      </c>
      <c r="N473" s="179">
        <v>0</v>
      </c>
      <c r="O473" s="178">
        <v>2868.47</v>
      </c>
      <c r="P473" s="453"/>
      <c r="Q473" s="61"/>
      <c r="R473" s="298"/>
      <c r="S473" s="669"/>
      <c r="X473" s="444">
        <v>473</v>
      </c>
    </row>
    <row r="474" spans="1:32" ht="12">
      <c r="A474" s="83" t="s">
        <v>19185</v>
      </c>
      <c r="B474" s="64" t="s">
        <v>19186</v>
      </c>
      <c r="C474" s="71" t="s">
        <v>103</v>
      </c>
      <c r="D474" s="79">
        <v>1</v>
      </c>
      <c r="E474" s="79">
        <v>2539.8599999999997</v>
      </c>
      <c r="F474" s="79">
        <v>2539.86</v>
      </c>
      <c r="G474" s="445"/>
      <c r="H474" s="178">
        <v>2539.89</v>
      </c>
      <c r="I474" s="178">
        <v>3124.07</v>
      </c>
      <c r="J474" s="70">
        <v>-584.21000000000049</v>
      </c>
      <c r="K474" s="320"/>
      <c r="L474" s="178">
        <v>199.53</v>
      </c>
      <c r="M474" s="178">
        <v>2340.3299999999995</v>
      </c>
      <c r="N474" s="179">
        <v>0</v>
      </c>
      <c r="O474" s="178">
        <v>2539.8599999999997</v>
      </c>
      <c r="P474" s="453"/>
      <c r="Q474" s="61"/>
      <c r="R474" s="298"/>
      <c r="S474" s="669"/>
      <c r="X474" s="444">
        <v>474</v>
      </c>
    </row>
    <row r="475" spans="1:32" ht="12">
      <c r="A475" s="83" t="s">
        <v>19187</v>
      </c>
      <c r="B475" s="64" t="s">
        <v>19188</v>
      </c>
      <c r="C475" s="71" t="s">
        <v>10216</v>
      </c>
      <c r="D475" s="79">
        <v>1</v>
      </c>
      <c r="E475" s="79">
        <v>577.26</v>
      </c>
      <c r="F475" s="79">
        <v>577.26</v>
      </c>
      <c r="G475" s="445"/>
      <c r="H475" s="178">
        <v>577.25</v>
      </c>
      <c r="I475" s="178">
        <v>710.02</v>
      </c>
      <c r="J475" s="70">
        <v>-132.76</v>
      </c>
      <c r="K475" s="320"/>
      <c r="L475" s="178"/>
      <c r="M475" s="178">
        <v>577.26</v>
      </c>
      <c r="N475" s="179">
        <v>0</v>
      </c>
      <c r="O475" s="178">
        <v>577.26</v>
      </c>
      <c r="P475" s="453"/>
      <c r="Q475" s="61"/>
      <c r="R475" s="298"/>
      <c r="S475" s="669"/>
      <c r="X475" s="444">
        <v>475</v>
      </c>
    </row>
    <row r="476" spans="1:32" ht="12">
      <c r="A476" s="83" t="s">
        <v>19189</v>
      </c>
      <c r="B476" s="64" t="s">
        <v>19190</v>
      </c>
      <c r="C476" s="71" t="s">
        <v>103</v>
      </c>
      <c r="D476" s="79">
        <v>1</v>
      </c>
      <c r="E476" s="79">
        <v>3281.88</v>
      </c>
      <c r="F476" s="79">
        <v>3281.88</v>
      </c>
      <c r="G476" s="445"/>
      <c r="H476" s="178">
        <v>3281.87</v>
      </c>
      <c r="I476" s="178">
        <v>4036.7</v>
      </c>
      <c r="J476" s="70">
        <v>-754.81999999999971</v>
      </c>
      <c r="K476" s="320"/>
      <c r="L476" s="178">
        <v>387.65999999999997</v>
      </c>
      <c r="M476" s="178">
        <v>2894.2200000000003</v>
      </c>
      <c r="N476" s="179">
        <v>0</v>
      </c>
      <c r="O476" s="178">
        <v>3281.88</v>
      </c>
      <c r="P476" s="453"/>
      <c r="Q476" s="61"/>
      <c r="R476" s="298"/>
      <c r="S476" s="669"/>
      <c r="X476" s="444">
        <v>476</v>
      </c>
    </row>
    <row r="477" spans="1:32" s="61" customFormat="1" ht="24">
      <c r="A477" s="83" t="s">
        <v>19191</v>
      </c>
      <c r="B477" s="64" t="s">
        <v>19192</v>
      </c>
      <c r="C477" s="71" t="s">
        <v>103</v>
      </c>
      <c r="D477" s="79">
        <v>1</v>
      </c>
      <c r="E477" s="79">
        <v>2864.8599999999992</v>
      </c>
      <c r="F477" s="79">
        <v>2864.86</v>
      </c>
      <c r="G477" s="445"/>
      <c r="H477" s="178">
        <v>2864.85</v>
      </c>
      <c r="I477" s="178">
        <v>3523.77</v>
      </c>
      <c r="J477" s="70">
        <v>-658.91000000000076</v>
      </c>
      <c r="K477" s="320"/>
      <c r="L477" s="178">
        <v>387.65999999999997</v>
      </c>
      <c r="M477" s="178">
        <v>2477.1999999999994</v>
      </c>
      <c r="N477" s="179">
        <v>0</v>
      </c>
      <c r="O477" s="178">
        <v>2864.8599999999992</v>
      </c>
      <c r="P477" s="453"/>
      <c r="R477" s="298"/>
      <c r="S477" s="669"/>
      <c r="T477" s="444"/>
      <c r="U477" s="444"/>
      <c r="V477" s="444"/>
      <c r="W477" s="444"/>
      <c r="X477" s="444">
        <v>477</v>
      </c>
      <c r="Y477" s="444"/>
      <c r="Z477" s="444"/>
      <c r="AA477" s="444"/>
      <c r="AB477" s="444"/>
      <c r="AC477" s="444"/>
      <c r="AD477" s="444"/>
      <c r="AE477" s="444"/>
      <c r="AF477" s="444"/>
    </row>
    <row r="478" spans="1:32" ht="12">
      <c r="A478" s="83" t="s">
        <v>19193</v>
      </c>
      <c r="B478" s="64" t="s">
        <v>19194</v>
      </c>
      <c r="C478" s="71" t="s">
        <v>103</v>
      </c>
      <c r="D478" s="79">
        <v>1</v>
      </c>
      <c r="E478" s="79">
        <v>5401.78</v>
      </c>
      <c r="F478" s="79">
        <v>5401.78</v>
      </c>
      <c r="G478" s="445"/>
      <c r="H478" s="178">
        <v>5401.75</v>
      </c>
      <c r="I478" s="178">
        <v>6644.15</v>
      </c>
      <c r="J478" s="70">
        <v>-1242.3699999999999</v>
      </c>
      <c r="K478" s="320"/>
      <c r="L478" s="178">
        <v>524.48</v>
      </c>
      <c r="M478" s="178">
        <v>4877.2999999999993</v>
      </c>
      <c r="N478" s="179">
        <v>0</v>
      </c>
      <c r="O478" s="178">
        <v>5401.7799999999988</v>
      </c>
      <c r="P478" s="453"/>
      <c r="Q478" s="61"/>
      <c r="R478" s="298"/>
      <c r="S478" s="669"/>
      <c r="X478" s="444">
        <v>478</v>
      </c>
    </row>
    <row r="479" spans="1:32" ht="24">
      <c r="A479" s="83" t="s">
        <v>19195</v>
      </c>
      <c r="B479" s="64" t="s">
        <v>19196</v>
      </c>
      <c r="C479" s="71" t="s">
        <v>103</v>
      </c>
      <c r="D479" s="79">
        <v>1</v>
      </c>
      <c r="E479" s="79">
        <v>3274.89</v>
      </c>
      <c r="F479" s="79">
        <v>3274.89</v>
      </c>
      <c r="G479" s="445"/>
      <c r="H479" s="178">
        <v>3274.89</v>
      </c>
      <c r="I479" s="178">
        <v>4028.12</v>
      </c>
      <c r="J479" s="70">
        <v>-753.23</v>
      </c>
      <c r="K479" s="320"/>
      <c r="L479" s="178">
        <v>387.65999999999997</v>
      </c>
      <c r="M479" s="178">
        <v>2887.23</v>
      </c>
      <c r="N479" s="179">
        <v>0</v>
      </c>
      <c r="O479" s="178">
        <v>3274.89</v>
      </c>
      <c r="P479" s="453"/>
      <c r="Q479" s="61"/>
      <c r="R479" s="298"/>
      <c r="S479" s="669"/>
      <c r="X479" s="444">
        <v>479</v>
      </c>
    </row>
    <row r="480" spans="1:32">
      <c r="A480" s="67" t="s">
        <v>40906</v>
      </c>
      <c r="B480" s="457" t="s">
        <v>29560</v>
      </c>
      <c r="C480" s="71" t="s">
        <v>103</v>
      </c>
      <c r="D480" s="79">
        <v>1</v>
      </c>
      <c r="E480" s="79">
        <v>3671.1699999999996</v>
      </c>
      <c r="F480" s="79">
        <v>3671.17</v>
      </c>
      <c r="H480" s="178">
        <v>3671.15</v>
      </c>
      <c r="I480" s="178">
        <v>4515.5200000000004</v>
      </c>
      <c r="J480" s="70">
        <v>-844.35000000000082</v>
      </c>
      <c r="K480" s="320"/>
      <c r="L480" s="178">
        <v>0.63</v>
      </c>
      <c r="M480" s="178">
        <v>3660.1699999999996</v>
      </c>
      <c r="N480" s="179">
        <v>10.370000000000001</v>
      </c>
      <c r="O480" s="178">
        <v>3671.1699999999996</v>
      </c>
      <c r="P480" s="453"/>
      <c r="Q480" s="61"/>
      <c r="R480" s="298"/>
      <c r="S480" s="669"/>
      <c r="X480" s="444">
        <v>480</v>
      </c>
    </row>
    <row r="481" spans="1:24" ht="24">
      <c r="A481" s="83" t="s">
        <v>19197</v>
      </c>
      <c r="B481" s="64" t="s">
        <v>39585</v>
      </c>
      <c r="C481" s="71" t="s">
        <v>509</v>
      </c>
      <c r="D481" s="79">
        <v>1</v>
      </c>
      <c r="E481" s="79">
        <v>546.4</v>
      </c>
      <c r="F481" s="79">
        <v>546.4</v>
      </c>
      <c r="G481" s="445"/>
      <c r="H481" s="178">
        <v>546.38</v>
      </c>
      <c r="I481" s="178">
        <v>672.05</v>
      </c>
      <c r="J481" s="70">
        <v>-125.64999999999998</v>
      </c>
      <c r="K481" s="320"/>
      <c r="L481" s="178"/>
      <c r="M481" s="178">
        <v>546.4</v>
      </c>
      <c r="N481" s="179">
        <v>0</v>
      </c>
      <c r="O481" s="178">
        <v>546.4</v>
      </c>
      <c r="P481" s="453"/>
      <c r="Q481" s="61"/>
      <c r="R481" s="298"/>
      <c r="S481" s="669"/>
      <c r="X481" s="444">
        <v>481</v>
      </c>
    </row>
    <row r="482" spans="1:24" ht="12">
      <c r="A482" s="83" t="s">
        <v>39586</v>
      </c>
      <c r="B482" s="64" t="s">
        <v>39587</v>
      </c>
      <c r="C482" s="71"/>
      <c r="D482" s="79" t="s">
        <v>40899</v>
      </c>
      <c r="E482" s="79" t="s">
        <v>40899</v>
      </c>
      <c r="F482" s="79"/>
      <c r="G482" s="445"/>
      <c r="H482" s="178"/>
      <c r="I482" s="178"/>
      <c r="J482" s="70"/>
      <c r="K482" s="320"/>
      <c r="L482" s="178"/>
      <c r="M482" s="178"/>
      <c r="N482" s="179"/>
      <c r="O482" s="178"/>
      <c r="P482" s="453"/>
      <c r="Q482" s="61"/>
      <c r="R482" s="298"/>
      <c r="S482" s="669"/>
      <c r="X482" s="444">
        <v>482</v>
      </c>
    </row>
    <row r="483" spans="1:24" ht="12">
      <c r="A483" s="83" t="s">
        <v>19198</v>
      </c>
      <c r="B483" s="64" t="s">
        <v>19199</v>
      </c>
      <c r="C483" s="71" t="s">
        <v>103</v>
      </c>
      <c r="D483" s="79">
        <v>1</v>
      </c>
      <c r="E483" s="79">
        <v>94.27</v>
      </c>
      <c r="F483" s="79">
        <v>94.27</v>
      </c>
      <c r="G483" s="445"/>
      <c r="H483" s="178">
        <v>94.26</v>
      </c>
      <c r="I483" s="178">
        <v>115.94</v>
      </c>
      <c r="J483" s="70">
        <v>-21.67</v>
      </c>
      <c r="K483" s="320"/>
      <c r="L483" s="178">
        <v>12.829999999999998</v>
      </c>
      <c r="M483" s="178">
        <v>81.44</v>
      </c>
      <c r="N483" s="179">
        <v>0</v>
      </c>
      <c r="O483" s="178">
        <v>94.27</v>
      </c>
      <c r="P483" s="453"/>
      <c r="Q483" s="61"/>
      <c r="R483" s="298"/>
      <c r="S483" s="669"/>
      <c r="X483" s="444">
        <v>483</v>
      </c>
    </row>
    <row r="484" spans="1:24" ht="12">
      <c r="A484" s="83" t="s">
        <v>19200</v>
      </c>
      <c r="B484" s="64" t="s">
        <v>19188</v>
      </c>
      <c r="C484" s="71" t="s">
        <v>10216</v>
      </c>
      <c r="D484" s="79">
        <v>1</v>
      </c>
      <c r="E484" s="79">
        <v>577.26</v>
      </c>
      <c r="F484" s="79">
        <v>577.26</v>
      </c>
      <c r="G484" s="445"/>
      <c r="H484" s="178">
        <v>577.25</v>
      </c>
      <c r="I484" s="178">
        <v>710.02</v>
      </c>
      <c r="J484" s="70">
        <v>-132.76</v>
      </c>
      <c r="K484" s="320"/>
      <c r="L484" s="178"/>
      <c r="M484" s="178">
        <v>577.26</v>
      </c>
      <c r="N484" s="179">
        <v>0</v>
      </c>
      <c r="O484" s="178">
        <v>577.26</v>
      </c>
      <c r="P484" s="453"/>
      <c r="Q484" s="61"/>
      <c r="R484" s="298"/>
      <c r="S484" s="669"/>
      <c r="X484" s="444">
        <v>484</v>
      </c>
    </row>
    <row r="485" spans="1:24" ht="12">
      <c r="A485" s="83" t="s">
        <v>39588</v>
      </c>
      <c r="B485" s="64" t="s">
        <v>39518</v>
      </c>
      <c r="C485" s="71"/>
      <c r="D485" s="79" t="s">
        <v>40899</v>
      </c>
      <c r="E485" s="79" t="s">
        <v>40899</v>
      </c>
      <c r="F485" s="79"/>
      <c r="G485" s="445"/>
      <c r="H485" s="178"/>
      <c r="I485" s="178"/>
      <c r="J485" s="70"/>
      <c r="K485" s="320"/>
      <c r="L485" s="178"/>
      <c r="M485" s="178"/>
      <c r="N485" s="179"/>
      <c r="O485" s="178"/>
      <c r="P485" s="453"/>
      <c r="Q485" s="61"/>
      <c r="R485" s="298"/>
      <c r="S485" s="669"/>
      <c r="X485" s="444">
        <v>485</v>
      </c>
    </row>
    <row r="486" spans="1:24" ht="12">
      <c r="A486" s="83" t="s">
        <v>19201</v>
      </c>
      <c r="B486" s="64" t="s">
        <v>19202</v>
      </c>
      <c r="C486" s="71" t="s">
        <v>509</v>
      </c>
      <c r="D486" s="79">
        <v>1</v>
      </c>
      <c r="E486" s="79">
        <v>6.7</v>
      </c>
      <c r="F486" s="79">
        <v>6.7</v>
      </c>
      <c r="G486" s="445"/>
      <c r="H486" s="178">
        <v>6.7</v>
      </c>
      <c r="I486" s="178">
        <v>8.24</v>
      </c>
      <c r="J486" s="70">
        <v>-1.54</v>
      </c>
      <c r="K486" s="320"/>
      <c r="L486" s="178">
        <v>6.7</v>
      </c>
      <c r="M486" s="178">
        <v>0</v>
      </c>
      <c r="N486" s="179">
        <v>0</v>
      </c>
      <c r="O486" s="178">
        <v>6.7</v>
      </c>
      <c r="P486" s="453"/>
      <c r="Q486" s="61"/>
      <c r="R486" s="298"/>
      <c r="S486" s="669"/>
      <c r="X486" s="444">
        <v>486</v>
      </c>
    </row>
    <row r="487" spans="1:24" ht="12">
      <c r="A487" s="83" t="s">
        <v>19203</v>
      </c>
      <c r="B487" s="64" t="s">
        <v>18570</v>
      </c>
      <c r="C487" s="71" t="s">
        <v>10216</v>
      </c>
      <c r="D487" s="79">
        <v>1</v>
      </c>
      <c r="E487" s="79">
        <v>577.26</v>
      </c>
      <c r="F487" s="79">
        <v>577.26</v>
      </c>
      <c r="G487" s="445"/>
      <c r="H487" s="178">
        <v>577.25</v>
      </c>
      <c r="I487" s="178">
        <v>710.02</v>
      </c>
      <c r="J487" s="70">
        <v>-132.76</v>
      </c>
      <c r="K487" s="320"/>
      <c r="L487" s="178"/>
      <c r="M487" s="178">
        <v>577.26</v>
      </c>
      <c r="N487" s="179">
        <v>0</v>
      </c>
      <c r="O487" s="178">
        <v>577.26</v>
      </c>
      <c r="P487" s="453"/>
      <c r="Q487" s="61"/>
      <c r="R487" s="298"/>
      <c r="S487" s="669"/>
      <c r="X487" s="444">
        <v>487</v>
      </c>
    </row>
    <row r="488" spans="1:24" ht="12">
      <c r="A488" s="83" t="s">
        <v>39589</v>
      </c>
      <c r="B488" s="64" t="s">
        <v>39520</v>
      </c>
      <c r="C488" s="71"/>
      <c r="D488" s="79" t="s">
        <v>40899</v>
      </c>
      <c r="E488" s="79" t="s">
        <v>40899</v>
      </c>
      <c r="F488" s="79"/>
      <c r="G488" s="445"/>
      <c r="H488" s="178"/>
      <c r="I488" s="178"/>
      <c r="J488" s="70"/>
      <c r="K488" s="320"/>
      <c r="L488" s="178"/>
      <c r="M488" s="178"/>
      <c r="N488" s="179"/>
      <c r="O488" s="178"/>
      <c r="P488" s="453"/>
      <c r="Q488" s="61"/>
      <c r="R488" s="298"/>
      <c r="S488" s="669"/>
      <c r="X488" s="444">
        <v>488</v>
      </c>
    </row>
    <row r="489" spans="1:24" ht="12">
      <c r="A489" s="83" t="s">
        <v>19204</v>
      </c>
      <c r="B489" s="64" t="s">
        <v>19205</v>
      </c>
      <c r="C489" s="71" t="s">
        <v>103</v>
      </c>
      <c r="D489" s="79">
        <v>1</v>
      </c>
      <c r="E489" s="79">
        <v>14.25</v>
      </c>
      <c r="F489" s="79">
        <v>14.25</v>
      </c>
      <c r="G489" s="445"/>
      <c r="H489" s="178">
        <v>14.24</v>
      </c>
      <c r="I489" s="178">
        <v>17.510000000000002</v>
      </c>
      <c r="J489" s="70">
        <v>-3.2600000000000016</v>
      </c>
      <c r="K489" s="320"/>
      <c r="L489" s="178">
        <v>14.25</v>
      </c>
      <c r="M489" s="178">
        <v>0</v>
      </c>
      <c r="N489" s="179">
        <v>0</v>
      </c>
      <c r="O489" s="178">
        <v>14.25</v>
      </c>
      <c r="P489" s="453"/>
      <c r="Q489" s="61"/>
      <c r="R489" s="298"/>
      <c r="S489" s="669"/>
      <c r="X489" s="444">
        <v>489</v>
      </c>
    </row>
    <row r="490" spans="1:24" ht="12">
      <c r="A490" s="83" t="s">
        <v>19206</v>
      </c>
      <c r="B490" s="64" t="s">
        <v>19207</v>
      </c>
      <c r="C490" s="71" t="s">
        <v>103</v>
      </c>
      <c r="D490" s="79">
        <v>1</v>
      </c>
      <c r="E490" s="79">
        <v>59.300000000000004</v>
      </c>
      <c r="F490" s="79">
        <v>59.3</v>
      </c>
      <c r="G490" s="445"/>
      <c r="H490" s="178">
        <v>59.29</v>
      </c>
      <c r="I490" s="178">
        <v>72.930000000000007</v>
      </c>
      <c r="J490" s="70">
        <v>-13.630000000000003</v>
      </c>
      <c r="K490" s="320"/>
      <c r="L490" s="178">
        <v>59.300000000000004</v>
      </c>
      <c r="M490" s="178">
        <v>0</v>
      </c>
      <c r="N490" s="179">
        <v>0</v>
      </c>
      <c r="O490" s="178">
        <v>59.300000000000004</v>
      </c>
      <c r="P490" s="453"/>
      <c r="Q490" s="61"/>
      <c r="R490" s="298"/>
      <c r="S490" s="669"/>
      <c r="X490" s="444">
        <v>490</v>
      </c>
    </row>
    <row r="491" spans="1:24" ht="12">
      <c r="A491" s="83" t="s">
        <v>19208</v>
      </c>
      <c r="B491" s="64" t="s">
        <v>19209</v>
      </c>
      <c r="C491" s="71" t="s">
        <v>165</v>
      </c>
      <c r="D491" s="79">
        <v>1</v>
      </c>
      <c r="E491" s="79">
        <v>2</v>
      </c>
      <c r="F491" s="79">
        <v>2</v>
      </c>
      <c r="G491" s="445"/>
      <c r="H491" s="178">
        <v>1.99</v>
      </c>
      <c r="I491" s="178">
        <v>2.4500000000000002</v>
      </c>
      <c r="J491" s="70">
        <v>-0.45000000000000018</v>
      </c>
      <c r="K491" s="320"/>
      <c r="L491" s="178">
        <v>2</v>
      </c>
      <c r="M491" s="178">
        <v>0</v>
      </c>
      <c r="N491" s="179">
        <v>0</v>
      </c>
      <c r="O491" s="178">
        <v>2</v>
      </c>
      <c r="P491" s="453"/>
      <c r="Q491" s="61"/>
      <c r="R491" s="298"/>
      <c r="S491" s="669"/>
      <c r="X491" s="444">
        <v>491</v>
      </c>
    </row>
    <row r="492" spans="1:24" ht="12">
      <c r="A492" s="83" t="s">
        <v>19210</v>
      </c>
      <c r="B492" s="64" t="s">
        <v>19211</v>
      </c>
      <c r="C492" s="71" t="s">
        <v>165</v>
      </c>
      <c r="D492" s="79">
        <v>1</v>
      </c>
      <c r="E492" s="79">
        <v>11.39</v>
      </c>
      <c r="F492" s="79">
        <v>11.39</v>
      </c>
      <c r="G492" s="445"/>
      <c r="H492" s="178">
        <v>11.39</v>
      </c>
      <c r="I492" s="178">
        <v>14.01</v>
      </c>
      <c r="J492" s="70">
        <v>-2.6199999999999992</v>
      </c>
      <c r="K492" s="320"/>
      <c r="L492" s="178">
        <v>11.39</v>
      </c>
      <c r="M492" s="178">
        <v>0</v>
      </c>
      <c r="N492" s="179">
        <v>0</v>
      </c>
      <c r="O492" s="178">
        <v>11.39</v>
      </c>
      <c r="P492" s="453"/>
      <c r="Q492" s="61"/>
      <c r="R492" s="298"/>
      <c r="S492" s="669"/>
      <c r="X492" s="444">
        <v>492</v>
      </c>
    </row>
    <row r="493" spans="1:24" ht="12">
      <c r="A493" s="83" t="s">
        <v>19212</v>
      </c>
      <c r="B493" s="64" t="s">
        <v>19213</v>
      </c>
      <c r="C493" s="71" t="s">
        <v>103</v>
      </c>
      <c r="D493" s="79">
        <v>1</v>
      </c>
      <c r="E493" s="79">
        <v>14.25</v>
      </c>
      <c r="F493" s="79">
        <v>14.25</v>
      </c>
      <c r="G493" s="445"/>
      <c r="H493" s="178">
        <v>14.24</v>
      </c>
      <c r="I493" s="178">
        <v>17.510000000000002</v>
      </c>
      <c r="J493" s="70">
        <v>-3.2600000000000016</v>
      </c>
      <c r="K493" s="320"/>
      <c r="L493" s="178">
        <v>14.25</v>
      </c>
      <c r="M493" s="178">
        <v>0</v>
      </c>
      <c r="N493" s="179">
        <v>0</v>
      </c>
      <c r="O493" s="178">
        <v>14.25</v>
      </c>
      <c r="P493" s="453"/>
      <c r="Q493" s="61"/>
      <c r="R493" s="298"/>
      <c r="S493" s="669"/>
      <c r="X493" s="444">
        <v>493</v>
      </c>
    </row>
    <row r="494" spans="1:24" ht="24">
      <c r="A494" s="83" t="s">
        <v>19214</v>
      </c>
      <c r="B494" s="64" t="s">
        <v>29561</v>
      </c>
      <c r="C494" s="71" t="s">
        <v>103</v>
      </c>
      <c r="D494" s="79">
        <v>1</v>
      </c>
      <c r="E494" s="79">
        <v>5.71</v>
      </c>
      <c r="F494" s="79">
        <v>5.71</v>
      </c>
      <c r="G494" s="445"/>
      <c r="H494" s="178">
        <v>5.69</v>
      </c>
      <c r="I494" s="178">
        <v>7</v>
      </c>
      <c r="J494" s="70">
        <v>-1.29</v>
      </c>
      <c r="K494" s="320"/>
      <c r="L494" s="178">
        <v>5.71</v>
      </c>
      <c r="M494" s="178">
        <v>0</v>
      </c>
      <c r="N494" s="179">
        <v>0</v>
      </c>
      <c r="O494" s="178">
        <v>5.71</v>
      </c>
      <c r="P494" s="453"/>
      <c r="Q494" s="61"/>
      <c r="R494" s="298"/>
      <c r="S494" s="669"/>
      <c r="X494" s="444">
        <v>494</v>
      </c>
    </row>
    <row r="495" spans="1:24" ht="12">
      <c r="A495" s="83" t="s">
        <v>19215</v>
      </c>
      <c r="B495" s="64" t="s">
        <v>19216</v>
      </c>
      <c r="C495" s="71" t="s">
        <v>103</v>
      </c>
      <c r="D495" s="79">
        <v>1</v>
      </c>
      <c r="E495" s="79">
        <v>5.71</v>
      </c>
      <c r="F495" s="79">
        <v>5.71</v>
      </c>
      <c r="G495" s="445"/>
      <c r="H495" s="178">
        <v>5.69</v>
      </c>
      <c r="I495" s="178">
        <v>7</v>
      </c>
      <c r="J495" s="70">
        <v>-1.29</v>
      </c>
      <c r="K495" s="320"/>
      <c r="L495" s="178">
        <v>5.71</v>
      </c>
      <c r="M495" s="178">
        <v>0</v>
      </c>
      <c r="N495" s="179">
        <v>0</v>
      </c>
      <c r="O495" s="178">
        <v>5.71</v>
      </c>
      <c r="P495" s="453"/>
      <c r="Q495" s="61"/>
      <c r="R495" s="298"/>
      <c r="S495" s="669"/>
      <c r="X495" s="444">
        <v>495</v>
      </c>
    </row>
    <row r="496" spans="1:24" ht="12">
      <c r="A496" s="83" t="s">
        <v>19217</v>
      </c>
      <c r="B496" s="64" t="s">
        <v>18572</v>
      </c>
      <c r="C496" s="71" t="s">
        <v>10216</v>
      </c>
      <c r="D496" s="79">
        <v>1</v>
      </c>
      <c r="E496" s="79">
        <v>577.26</v>
      </c>
      <c r="F496" s="79">
        <v>577.26</v>
      </c>
      <c r="G496" s="445"/>
      <c r="H496" s="178">
        <v>577.25</v>
      </c>
      <c r="I496" s="178">
        <v>710.02</v>
      </c>
      <c r="J496" s="70">
        <v>-132.76</v>
      </c>
      <c r="K496" s="320"/>
      <c r="L496" s="178"/>
      <c r="M496" s="178">
        <v>577.26</v>
      </c>
      <c r="N496" s="179">
        <v>0</v>
      </c>
      <c r="O496" s="178">
        <v>577.26</v>
      </c>
      <c r="P496" s="453"/>
      <c r="Q496" s="61"/>
      <c r="R496" s="298"/>
      <c r="S496" s="669"/>
      <c r="X496" s="444">
        <v>496</v>
      </c>
    </row>
    <row r="497" spans="1:24" ht="12">
      <c r="A497" s="83" t="s">
        <v>39590</v>
      </c>
      <c r="B497" s="64" t="s">
        <v>39591</v>
      </c>
      <c r="C497" s="71"/>
      <c r="D497" s="79" t="s">
        <v>40899</v>
      </c>
      <c r="E497" s="79" t="s">
        <v>40899</v>
      </c>
      <c r="F497" s="79"/>
      <c r="G497" s="445"/>
      <c r="H497" s="178"/>
      <c r="I497" s="178"/>
      <c r="J497" s="70"/>
      <c r="K497" s="320"/>
      <c r="L497" s="178"/>
      <c r="M497" s="178"/>
      <c r="N497" s="179"/>
      <c r="O497" s="178"/>
      <c r="P497" s="453"/>
      <c r="Q497" s="61"/>
      <c r="R497" s="298"/>
      <c r="S497" s="669"/>
      <c r="X497" s="444">
        <v>497</v>
      </c>
    </row>
    <row r="498" spans="1:24" ht="12">
      <c r="A498" s="83" t="s">
        <v>19218</v>
      </c>
      <c r="B498" s="64" t="s">
        <v>19219</v>
      </c>
      <c r="C498" s="71" t="s">
        <v>103</v>
      </c>
      <c r="D498" s="79">
        <v>1</v>
      </c>
      <c r="E498" s="79">
        <v>112.82</v>
      </c>
      <c r="F498" s="79">
        <v>112.82</v>
      </c>
      <c r="G498" s="445"/>
      <c r="H498" s="178">
        <v>112.81</v>
      </c>
      <c r="I498" s="178">
        <v>138.76</v>
      </c>
      <c r="J498" s="70">
        <v>-25.939999999999998</v>
      </c>
      <c r="K498" s="320"/>
      <c r="L498" s="178">
        <v>112.82</v>
      </c>
      <c r="M498" s="178">
        <v>0</v>
      </c>
      <c r="N498" s="179">
        <v>0</v>
      </c>
      <c r="O498" s="178">
        <v>112.82</v>
      </c>
      <c r="P498" s="453"/>
      <c r="Q498" s="61"/>
      <c r="R498" s="298"/>
      <c r="S498" s="669"/>
      <c r="X498" s="444">
        <v>498</v>
      </c>
    </row>
    <row r="499" spans="1:24" ht="12">
      <c r="A499" s="83" t="s">
        <v>19220</v>
      </c>
      <c r="B499" s="64" t="s">
        <v>19221</v>
      </c>
      <c r="C499" s="71" t="s">
        <v>103</v>
      </c>
      <c r="D499" s="79">
        <v>1</v>
      </c>
      <c r="E499" s="79">
        <v>66.28</v>
      </c>
      <c r="F499" s="79">
        <v>66.28</v>
      </c>
      <c r="G499" s="445"/>
      <c r="H499" s="178">
        <v>66.27</v>
      </c>
      <c r="I499" s="178">
        <v>81.510000000000005</v>
      </c>
      <c r="J499" s="70">
        <v>-15.230000000000004</v>
      </c>
      <c r="K499" s="320"/>
      <c r="L499" s="178">
        <v>64.25</v>
      </c>
      <c r="M499" s="178">
        <v>2.0300000000000011</v>
      </c>
      <c r="N499" s="179">
        <v>0</v>
      </c>
      <c r="O499" s="178">
        <v>66.28</v>
      </c>
      <c r="P499" s="453"/>
      <c r="Q499" s="61"/>
      <c r="R499" s="298"/>
      <c r="S499" s="669"/>
      <c r="X499" s="444">
        <v>499</v>
      </c>
    </row>
    <row r="500" spans="1:24" ht="12">
      <c r="A500" s="83" t="s">
        <v>19222</v>
      </c>
      <c r="B500" s="64" t="s">
        <v>19223</v>
      </c>
      <c r="C500" s="71" t="s">
        <v>165</v>
      </c>
      <c r="D500" s="79">
        <v>1</v>
      </c>
      <c r="E500" s="79">
        <v>2.5499999999999998</v>
      </c>
      <c r="F500" s="79">
        <v>2.5499999999999998</v>
      </c>
      <c r="G500" s="445"/>
      <c r="H500" s="178">
        <v>2.56</v>
      </c>
      <c r="I500" s="178">
        <v>3.15</v>
      </c>
      <c r="J500" s="70">
        <v>-0.60000000000000009</v>
      </c>
      <c r="K500" s="320"/>
      <c r="L500" s="178">
        <v>2.5499999999999998</v>
      </c>
      <c r="M500" s="178">
        <v>0</v>
      </c>
      <c r="N500" s="179">
        <v>0</v>
      </c>
      <c r="O500" s="178">
        <v>2.5499999999999998</v>
      </c>
      <c r="P500" s="453"/>
      <c r="Q500" s="61"/>
      <c r="R500" s="298"/>
      <c r="S500" s="669"/>
      <c r="X500" s="444">
        <v>500</v>
      </c>
    </row>
    <row r="501" spans="1:24" ht="12">
      <c r="A501" s="83" t="s">
        <v>19224</v>
      </c>
      <c r="B501" s="64" t="s">
        <v>19225</v>
      </c>
      <c r="C501" s="71" t="s">
        <v>165</v>
      </c>
      <c r="D501" s="79">
        <v>1</v>
      </c>
      <c r="E501" s="79">
        <v>27.63</v>
      </c>
      <c r="F501" s="79">
        <v>27.63</v>
      </c>
      <c r="G501" s="445"/>
      <c r="H501" s="178">
        <v>27.62</v>
      </c>
      <c r="I501" s="178">
        <v>33.97</v>
      </c>
      <c r="J501" s="70">
        <v>-6.34</v>
      </c>
      <c r="K501" s="320"/>
      <c r="L501" s="178">
        <v>25.659999999999997</v>
      </c>
      <c r="M501" s="178">
        <v>1.9700000000000024</v>
      </c>
      <c r="N501" s="179">
        <v>0</v>
      </c>
      <c r="O501" s="178">
        <v>27.63</v>
      </c>
      <c r="P501" s="453"/>
      <c r="Q501" s="61"/>
      <c r="R501" s="298"/>
      <c r="S501" s="669"/>
      <c r="X501" s="444">
        <v>501</v>
      </c>
    </row>
    <row r="502" spans="1:24" ht="12">
      <c r="A502" s="83" t="s">
        <v>19226</v>
      </c>
      <c r="B502" s="64" t="s">
        <v>19227</v>
      </c>
      <c r="C502" s="71" t="s">
        <v>103</v>
      </c>
      <c r="D502" s="79">
        <v>1</v>
      </c>
      <c r="E502" s="79">
        <v>81.539999999999992</v>
      </c>
      <c r="F502" s="79">
        <v>81.540000000000006</v>
      </c>
      <c r="G502" s="445"/>
      <c r="H502" s="178">
        <v>81.540000000000006</v>
      </c>
      <c r="I502" s="178">
        <v>100.29</v>
      </c>
      <c r="J502" s="70">
        <v>-18.750000000000014</v>
      </c>
      <c r="K502" s="320"/>
      <c r="L502" s="178">
        <v>81.539999999999992</v>
      </c>
      <c r="M502" s="178">
        <v>0</v>
      </c>
      <c r="N502" s="179">
        <v>0</v>
      </c>
      <c r="O502" s="178">
        <v>81.539999999999992</v>
      </c>
      <c r="P502" s="453"/>
      <c r="Q502" s="61"/>
      <c r="R502" s="298"/>
      <c r="S502" s="669"/>
      <c r="X502" s="444">
        <v>502</v>
      </c>
    </row>
    <row r="503" spans="1:24" ht="24">
      <c r="A503" s="83" t="s">
        <v>19228</v>
      </c>
      <c r="B503" s="64" t="s">
        <v>19229</v>
      </c>
      <c r="C503" s="71" t="s">
        <v>103</v>
      </c>
      <c r="D503" s="79">
        <v>1</v>
      </c>
      <c r="E503" s="79">
        <v>66.16</v>
      </c>
      <c r="F503" s="79">
        <v>66.16</v>
      </c>
      <c r="G503" s="445"/>
      <c r="H503" s="178">
        <v>66.150000000000006</v>
      </c>
      <c r="I503" s="178">
        <v>81.36</v>
      </c>
      <c r="J503" s="70">
        <v>-15.200000000000003</v>
      </c>
      <c r="K503" s="320"/>
      <c r="L503" s="178">
        <v>66.16</v>
      </c>
      <c r="M503" s="178">
        <v>0</v>
      </c>
      <c r="N503" s="179">
        <v>0</v>
      </c>
      <c r="O503" s="178">
        <v>66.16</v>
      </c>
      <c r="P503" s="453"/>
      <c r="Q503" s="61"/>
      <c r="R503" s="298"/>
      <c r="S503" s="669"/>
      <c r="X503" s="444">
        <v>503</v>
      </c>
    </row>
    <row r="504" spans="1:24" ht="12">
      <c r="A504" s="83" t="s">
        <v>19230</v>
      </c>
      <c r="B504" s="64" t="s">
        <v>19231</v>
      </c>
      <c r="C504" s="71" t="s">
        <v>103</v>
      </c>
      <c r="D504" s="79">
        <v>1</v>
      </c>
      <c r="E504" s="79">
        <v>8.7200000000000006</v>
      </c>
      <c r="F504" s="79">
        <v>8.7200000000000006</v>
      </c>
      <c r="G504" s="445"/>
      <c r="H504" s="178">
        <v>8.7200000000000006</v>
      </c>
      <c r="I504" s="178">
        <v>10.72</v>
      </c>
      <c r="J504" s="70">
        <v>-2</v>
      </c>
      <c r="K504" s="320"/>
      <c r="L504" s="178">
        <v>8.7200000000000006</v>
      </c>
      <c r="M504" s="178">
        <v>0</v>
      </c>
      <c r="N504" s="179">
        <v>0</v>
      </c>
      <c r="O504" s="178">
        <v>8.7200000000000006</v>
      </c>
      <c r="P504" s="453"/>
      <c r="Q504" s="61"/>
      <c r="R504" s="298"/>
      <c r="S504" s="669"/>
      <c r="X504" s="444">
        <v>504</v>
      </c>
    </row>
    <row r="505" spans="1:24" ht="12">
      <c r="A505" s="83" t="s">
        <v>19232</v>
      </c>
      <c r="B505" s="64" t="s">
        <v>19233</v>
      </c>
      <c r="C505" s="71" t="s">
        <v>10216</v>
      </c>
      <c r="D505" s="79">
        <v>1</v>
      </c>
      <c r="E505" s="79">
        <v>577.26</v>
      </c>
      <c r="F505" s="79">
        <v>577.26</v>
      </c>
      <c r="G505" s="445"/>
      <c r="H505" s="178">
        <v>577.25</v>
      </c>
      <c r="I505" s="178">
        <v>710.02</v>
      </c>
      <c r="J505" s="70">
        <v>-132.76</v>
      </c>
      <c r="K505" s="320"/>
      <c r="L505" s="178"/>
      <c r="M505" s="178">
        <v>577.26</v>
      </c>
      <c r="N505" s="179">
        <v>0</v>
      </c>
      <c r="O505" s="178">
        <v>577.26</v>
      </c>
      <c r="P505" s="453"/>
      <c r="Q505" s="61"/>
      <c r="R505" s="298"/>
      <c r="S505" s="669"/>
      <c r="X505" s="444">
        <v>505</v>
      </c>
    </row>
    <row r="506" spans="1:24" ht="12">
      <c r="A506" s="83" t="s">
        <v>39592</v>
      </c>
      <c r="B506" s="64" t="s">
        <v>39593</v>
      </c>
      <c r="C506" s="71"/>
      <c r="D506" s="79" t="s">
        <v>40899</v>
      </c>
      <c r="E506" s="79" t="s">
        <v>40899</v>
      </c>
      <c r="F506" s="79"/>
      <c r="G506" s="445"/>
      <c r="H506" s="178"/>
      <c r="I506" s="178"/>
      <c r="J506" s="70"/>
      <c r="K506" s="320"/>
      <c r="L506" s="178"/>
      <c r="M506" s="178"/>
      <c r="N506" s="179"/>
      <c r="O506" s="178"/>
      <c r="P506" s="453"/>
      <c r="Q506" s="61"/>
      <c r="R506" s="298"/>
      <c r="S506" s="669"/>
      <c r="X506" s="444">
        <v>506</v>
      </c>
    </row>
    <row r="507" spans="1:24" ht="12">
      <c r="A507" s="83" t="s">
        <v>19234</v>
      </c>
      <c r="B507" s="64" t="s">
        <v>19235</v>
      </c>
      <c r="C507" s="71" t="s">
        <v>509</v>
      </c>
      <c r="D507" s="79">
        <v>1</v>
      </c>
      <c r="E507" s="79">
        <v>197.48000000000002</v>
      </c>
      <c r="F507" s="79">
        <v>197.48</v>
      </c>
      <c r="G507" s="445"/>
      <c r="H507" s="178">
        <v>197.47</v>
      </c>
      <c r="I507" s="178">
        <v>242.89</v>
      </c>
      <c r="J507" s="70">
        <v>-45.409999999999968</v>
      </c>
      <c r="K507" s="320"/>
      <c r="L507" s="178">
        <v>66.67</v>
      </c>
      <c r="M507" s="178">
        <v>130.81</v>
      </c>
      <c r="N507" s="179">
        <v>0</v>
      </c>
      <c r="O507" s="178">
        <v>197.48000000000002</v>
      </c>
      <c r="P507" s="453"/>
      <c r="Q507" s="61"/>
      <c r="R507" s="298"/>
      <c r="S507" s="669"/>
      <c r="X507" s="444">
        <v>507</v>
      </c>
    </row>
    <row r="508" spans="1:24" ht="12">
      <c r="A508" s="83" t="s">
        <v>19236</v>
      </c>
      <c r="B508" s="64" t="s">
        <v>19237</v>
      </c>
      <c r="C508" s="71" t="s">
        <v>509</v>
      </c>
      <c r="D508" s="79">
        <v>1</v>
      </c>
      <c r="E508" s="79">
        <v>633.9</v>
      </c>
      <c r="F508" s="79">
        <v>633.9</v>
      </c>
      <c r="G508" s="445"/>
      <c r="H508" s="178">
        <v>633.89</v>
      </c>
      <c r="I508" s="178">
        <v>779.69</v>
      </c>
      <c r="J508" s="70">
        <v>-145.79000000000008</v>
      </c>
      <c r="K508" s="320"/>
      <c r="L508" s="178">
        <v>66.67</v>
      </c>
      <c r="M508" s="178">
        <v>567.23</v>
      </c>
      <c r="N508" s="179">
        <v>0</v>
      </c>
      <c r="O508" s="178">
        <v>633.9</v>
      </c>
      <c r="P508" s="453"/>
      <c r="Q508" s="61"/>
      <c r="R508" s="298"/>
      <c r="S508" s="669"/>
      <c r="X508" s="444">
        <v>508</v>
      </c>
    </row>
    <row r="509" spans="1:24" ht="12">
      <c r="A509" s="83" t="s">
        <v>19238</v>
      </c>
      <c r="B509" s="64" t="s">
        <v>19239</v>
      </c>
      <c r="C509" s="71" t="s">
        <v>509</v>
      </c>
      <c r="D509" s="79">
        <v>1</v>
      </c>
      <c r="E509" s="79">
        <v>583.64</v>
      </c>
      <c r="F509" s="79">
        <v>583.64</v>
      </c>
      <c r="G509" s="445"/>
      <c r="H509" s="178">
        <v>583.63</v>
      </c>
      <c r="I509" s="178">
        <v>717.86</v>
      </c>
      <c r="J509" s="70">
        <v>-134.22000000000003</v>
      </c>
      <c r="K509" s="320"/>
      <c r="L509" s="178">
        <v>66.67</v>
      </c>
      <c r="M509" s="178">
        <v>516.97</v>
      </c>
      <c r="N509" s="179">
        <v>0</v>
      </c>
      <c r="O509" s="178">
        <v>583.64</v>
      </c>
      <c r="P509" s="453"/>
      <c r="Q509" s="61"/>
      <c r="R509" s="298"/>
      <c r="S509" s="669"/>
      <c r="X509" s="444">
        <v>509</v>
      </c>
    </row>
    <row r="510" spans="1:24" ht="12">
      <c r="A510" s="83" t="s">
        <v>19240</v>
      </c>
      <c r="B510" s="64" t="s">
        <v>19241</v>
      </c>
      <c r="C510" s="71" t="s">
        <v>509</v>
      </c>
      <c r="D510" s="79">
        <v>1</v>
      </c>
      <c r="E510" s="79">
        <v>758.49</v>
      </c>
      <c r="F510" s="79">
        <v>758.49</v>
      </c>
      <c r="G510" s="445"/>
      <c r="H510" s="178">
        <v>758.48</v>
      </c>
      <c r="I510" s="178">
        <v>932.93</v>
      </c>
      <c r="J510" s="70">
        <v>-174.43999999999994</v>
      </c>
      <c r="K510" s="320"/>
      <c r="L510" s="178">
        <v>66.67</v>
      </c>
      <c r="M510" s="178">
        <v>691.82</v>
      </c>
      <c r="N510" s="179">
        <v>0</v>
      </c>
      <c r="O510" s="178">
        <v>758.49</v>
      </c>
      <c r="P510" s="453"/>
      <c r="Q510" s="61"/>
      <c r="R510" s="298"/>
      <c r="S510" s="669"/>
      <c r="X510" s="444">
        <v>510</v>
      </c>
    </row>
    <row r="511" spans="1:24" ht="12">
      <c r="A511" s="83" t="s">
        <v>19242</v>
      </c>
      <c r="B511" s="64" t="s">
        <v>19243</v>
      </c>
      <c r="C511" s="71" t="s">
        <v>509</v>
      </c>
      <c r="D511" s="79">
        <v>1</v>
      </c>
      <c r="E511" s="79">
        <v>808.73</v>
      </c>
      <c r="F511" s="79">
        <v>808.73</v>
      </c>
      <c r="G511" s="445"/>
      <c r="H511" s="178">
        <v>808.72</v>
      </c>
      <c r="I511" s="178">
        <v>994.73</v>
      </c>
      <c r="J511" s="70">
        <v>-186</v>
      </c>
      <c r="K511" s="320"/>
      <c r="L511" s="178">
        <v>39.489999999999995</v>
      </c>
      <c r="M511" s="178">
        <v>769.24</v>
      </c>
      <c r="N511" s="179">
        <v>0</v>
      </c>
      <c r="O511" s="178">
        <v>808.73</v>
      </c>
      <c r="P511" s="453"/>
      <c r="Q511" s="61"/>
      <c r="R511" s="298"/>
      <c r="S511" s="669"/>
      <c r="X511" s="444">
        <v>511</v>
      </c>
    </row>
    <row r="512" spans="1:24" ht="12">
      <c r="A512" s="83" t="s">
        <v>19244</v>
      </c>
      <c r="B512" s="64" t="s">
        <v>19245</v>
      </c>
      <c r="C512" s="71" t="s">
        <v>509</v>
      </c>
      <c r="D512" s="79">
        <v>1</v>
      </c>
      <c r="E512" s="79">
        <v>857.53</v>
      </c>
      <c r="F512" s="79">
        <v>857.53</v>
      </c>
      <c r="G512" s="445"/>
      <c r="H512" s="178">
        <v>857.53</v>
      </c>
      <c r="I512" s="178">
        <v>1054.76</v>
      </c>
      <c r="J512" s="70">
        <v>-197.23000000000002</v>
      </c>
      <c r="K512" s="320"/>
      <c r="L512" s="178">
        <v>51.28</v>
      </c>
      <c r="M512" s="178">
        <v>806.25</v>
      </c>
      <c r="N512" s="179">
        <v>0</v>
      </c>
      <c r="O512" s="178">
        <v>857.53</v>
      </c>
      <c r="P512" s="453"/>
      <c r="Q512" s="61"/>
      <c r="R512" s="298"/>
      <c r="S512" s="669"/>
      <c r="X512" s="444">
        <v>512</v>
      </c>
    </row>
    <row r="513" spans="1:24" ht="12">
      <c r="A513" s="83" t="s">
        <v>19246</v>
      </c>
      <c r="B513" s="64" t="s">
        <v>19247</v>
      </c>
      <c r="C513" s="71" t="s">
        <v>509</v>
      </c>
      <c r="D513" s="79">
        <v>1</v>
      </c>
      <c r="E513" s="79">
        <v>177.89</v>
      </c>
      <c r="F513" s="79">
        <v>177.89</v>
      </c>
      <c r="G513" s="445"/>
      <c r="H513" s="178">
        <v>177.89</v>
      </c>
      <c r="I513" s="178">
        <v>218.8</v>
      </c>
      <c r="J513" s="70">
        <v>-40.910000000000025</v>
      </c>
      <c r="K513" s="320"/>
      <c r="L513" s="178">
        <v>51.28</v>
      </c>
      <c r="M513" s="178">
        <v>126.60999999999999</v>
      </c>
      <c r="N513" s="179">
        <v>0</v>
      </c>
      <c r="O513" s="178">
        <v>177.89</v>
      </c>
      <c r="P513" s="453"/>
      <c r="Q513" s="61"/>
      <c r="R513" s="298"/>
      <c r="S513" s="669"/>
      <c r="X513" s="444">
        <v>513</v>
      </c>
    </row>
    <row r="514" spans="1:24" ht="12">
      <c r="A514" s="83" t="s">
        <v>19248</v>
      </c>
      <c r="B514" s="64" t="s">
        <v>19249</v>
      </c>
      <c r="C514" s="71" t="s">
        <v>396</v>
      </c>
      <c r="D514" s="79">
        <v>1</v>
      </c>
      <c r="E514" s="79">
        <v>260.15999999999997</v>
      </c>
      <c r="F514" s="79">
        <v>260.16000000000003</v>
      </c>
      <c r="G514" s="445"/>
      <c r="H514" s="178">
        <v>260.14999999999998</v>
      </c>
      <c r="I514" s="178">
        <v>319.98</v>
      </c>
      <c r="J514" s="70">
        <v>-59.82000000000005</v>
      </c>
      <c r="K514" s="320"/>
      <c r="L514" s="178">
        <v>64.25</v>
      </c>
      <c r="M514" s="178">
        <v>195.90999999999997</v>
      </c>
      <c r="N514" s="179">
        <v>0</v>
      </c>
      <c r="O514" s="178">
        <v>260.15999999999997</v>
      </c>
      <c r="P514" s="453"/>
      <c r="Q514" s="61"/>
      <c r="R514" s="298"/>
      <c r="S514" s="669"/>
      <c r="X514" s="444">
        <v>514</v>
      </c>
    </row>
    <row r="515" spans="1:24" ht="12">
      <c r="A515" s="83" t="s">
        <v>19250</v>
      </c>
      <c r="B515" s="64" t="s">
        <v>19251</v>
      </c>
      <c r="C515" s="71" t="s">
        <v>396</v>
      </c>
      <c r="D515" s="79">
        <v>1</v>
      </c>
      <c r="E515" s="79">
        <v>260.87</v>
      </c>
      <c r="F515" s="79">
        <v>260.87</v>
      </c>
      <c r="G515" s="445"/>
      <c r="H515" s="178">
        <v>260.85000000000002</v>
      </c>
      <c r="I515" s="178">
        <v>320.85000000000002</v>
      </c>
      <c r="J515" s="70">
        <v>-59.980000000000018</v>
      </c>
      <c r="K515" s="320"/>
      <c r="L515" s="178">
        <v>64.25</v>
      </c>
      <c r="M515" s="178">
        <v>196.62</v>
      </c>
      <c r="N515" s="179">
        <v>0</v>
      </c>
      <c r="O515" s="178">
        <v>260.87</v>
      </c>
      <c r="P515" s="453"/>
      <c r="Q515" s="61"/>
      <c r="R515" s="298"/>
      <c r="S515" s="669"/>
      <c r="X515" s="444">
        <v>515</v>
      </c>
    </row>
    <row r="516" spans="1:24" ht="12">
      <c r="A516" s="83" t="s">
        <v>19252</v>
      </c>
      <c r="B516" s="64" t="s">
        <v>19253</v>
      </c>
      <c r="C516" s="71" t="s">
        <v>396</v>
      </c>
      <c r="D516" s="79">
        <v>1</v>
      </c>
      <c r="E516" s="79">
        <v>420.21</v>
      </c>
      <c r="F516" s="79">
        <v>420.21</v>
      </c>
      <c r="G516" s="445"/>
      <c r="H516" s="178">
        <v>420.21</v>
      </c>
      <c r="I516" s="178">
        <v>516.86</v>
      </c>
      <c r="J516" s="70">
        <v>-96.650000000000034</v>
      </c>
      <c r="K516" s="320"/>
      <c r="L516" s="178">
        <v>98.83</v>
      </c>
      <c r="M516" s="178">
        <v>321.38</v>
      </c>
      <c r="N516" s="179">
        <v>0</v>
      </c>
      <c r="O516" s="178">
        <v>420.21</v>
      </c>
      <c r="P516" s="453"/>
      <c r="Q516" s="61"/>
      <c r="R516" s="298"/>
      <c r="S516" s="669"/>
      <c r="X516" s="444">
        <v>516</v>
      </c>
    </row>
    <row r="517" spans="1:24" ht="12">
      <c r="A517" s="83" t="s">
        <v>19254</v>
      </c>
      <c r="B517" s="64" t="s">
        <v>19255</v>
      </c>
      <c r="C517" s="71" t="s">
        <v>396</v>
      </c>
      <c r="D517" s="79">
        <v>1</v>
      </c>
      <c r="E517" s="79">
        <v>421.12</v>
      </c>
      <c r="F517" s="79">
        <v>421.12</v>
      </c>
      <c r="G517" s="445"/>
      <c r="H517" s="178">
        <v>421.12</v>
      </c>
      <c r="I517" s="178">
        <v>517.98</v>
      </c>
      <c r="J517" s="70">
        <v>-96.860000000000014</v>
      </c>
      <c r="K517" s="320"/>
      <c r="L517" s="178">
        <v>98.83</v>
      </c>
      <c r="M517" s="178">
        <v>322.29000000000002</v>
      </c>
      <c r="N517" s="179">
        <v>0</v>
      </c>
      <c r="O517" s="178">
        <v>421.12</v>
      </c>
      <c r="P517" s="453"/>
      <c r="Q517" s="61"/>
      <c r="R517" s="298"/>
      <c r="S517" s="669"/>
      <c r="X517" s="444">
        <v>517</v>
      </c>
    </row>
    <row r="518" spans="1:24" ht="12">
      <c r="A518" s="83" t="s">
        <v>19256</v>
      </c>
      <c r="B518" s="64" t="s">
        <v>19257</v>
      </c>
      <c r="C518" s="71" t="s">
        <v>165</v>
      </c>
      <c r="D518" s="79">
        <v>1</v>
      </c>
      <c r="E518" s="79">
        <v>245.05</v>
      </c>
      <c r="F518" s="79">
        <v>245.05</v>
      </c>
      <c r="G518" s="445"/>
      <c r="H518" s="178">
        <v>245.04</v>
      </c>
      <c r="I518" s="178">
        <v>301.39999999999998</v>
      </c>
      <c r="J518" s="70">
        <v>-56.349999999999966</v>
      </c>
      <c r="K518" s="320"/>
      <c r="L518" s="178">
        <v>14.83</v>
      </c>
      <c r="M518" s="178">
        <v>230.22</v>
      </c>
      <c r="N518" s="179">
        <v>0</v>
      </c>
      <c r="O518" s="178">
        <v>245.05</v>
      </c>
      <c r="P518" s="453"/>
      <c r="Q518" s="61"/>
      <c r="R518" s="298"/>
      <c r="S518" s="669"/>
      <c r="X518" s="444">
        <v>518</v>
      </c>
    </row>
    <row r="519" spans="1:24" ht="12">
      <c r="A519" s="83" t="s">
        <v>19258</v>
      </c>
      <c r="B519" s="64" t="s">
        <v>19259</v>
      </c>
      <c r="C519" s="71" t="s">
        <v>396</v>
      </c>
      <c r="D519" s="79">
        <v>1</v>
      </c>
      <c r="E519" s="79">
        <v>32.65</v>
      </c>
      <c r="F519" s="79">
        <v>32.65</v>
      </c>
      <c r="G519" s="445"/>
      <c r="H519" s="178">
        <v>32.65</v>
      </c>
      <c r="I519" s="178">
        <v>40.159999999999997</v>
      </c>
      <c r="J519" s="70">
        <v>-7.509999999999998</v>
      </c>
      <c r="K519" s="320"/>
      <c r="L519" s="178">
        <v>15.379999999999999</v>
      </c>
      <c r="M519" s="178">
        <v>17.27</v>
      </c>
      <c r="N519" s="179">
        <v>0</v>
      </c>
      <c r="O519" s="178">
        <v>32.65</v>
      </c>
      <c r="P519" s="453"/>
      <c r="Q519" s="61"/>
      <c r="R519" s="298"/>
      <c r="S519" s="669"/>
      <c r="X519" s="444">
        <v>519</v>
      </c>
    </row>
    <row r="520" spans="1:24" ht="12">
      <c r="A520" s="83" t="s">
        <v>19260</v>
      </c>
      <c r="B520" s="64" t="s">
        <v>19261</v>
      </c>
      <c r="C520" s="71" t="s">
        <v>396</v>
      </c>
      <c r="D520" s="79">
        <v>1</v>
      </c>
      <c r="E520" s="79">
        <v>46.489999999999995</v>
      </c>
      <c r="F520" s="79">
        <v>46.49</v>
      </c>
      <c r="G520" s="445"/>
      <c r="H520" s="178">
        <v>46.5</v>
      </c>
      <c r="I520" s="178">
        <v>57.19</v>
      </c>
      <c r="J520" s="70">
        <v>-10.700000000000003</v>
      </c>
      <c r="K520" s="320"/>
      <c r="L520" s="178">
        <v>29.22</v>
      </c>
      <c r="M520" s="178">
        <v>17.269999999999996</v>
      </c>
      <c r="N520" s="179">
        <v>0</v>
      </c>
      <c r="O520" s="178">
        <v>46.489999999999995</v>
      </c>
      <c r="P520" s="453"/>
      <c r="Q520" s="61"/>
      <c r="R520" s="298"/>
      <c r="S520" s="669"/>
      <c r="X520" s="444">
        <v>520</v>
      </c>
    </row>
    <row r="521" spans="1:24" ht="12">
      <c r="A521" s="83" t="s">
        <v>19262</v>
      </c>
      <c r="B521" s="64" t="s">
        <v>19263</v>
      </c>
      <c r="C521" s="71" t="s">
        <v>165</v>
      </c>
      <c r="D521" s="79">
        <v>1</v>
      </c>
      <c r="E521" s="79">
        <v>12.17</v>
      </c>
      <c r="F521" s="79">
        <v>12.17</v>
      </c>
      <c r="G521" s="445"/>
      <c r="H521" s="178">
        <v>12.16</v>
      </c>
      <c r="I521" s="178">
        <v>14.96</v>
      </c>
      <c r="J521" s="70">
        <v>-2.7900000000000009</v>
      </c>
      <c r="K521" s="320"/>
      <c r="L521" s="178">
        <v>5.13</v>
      </c>
      <c r="M521" s="178">
        <v>7.04</v>
      </c>
      <c r="N521" s="179">
        <v>0</v>
      </c>
      <c r="O521" s="178">
        <v>12.17</v>
      </c>
      <c r="P521" s="453"/>
      <c r="Q521" s="61"/>
      <c r="R521" s="298"/>
      <c r="S521" s="669"/>
      <c r="X521" s="444">
        <v>521</v>
      </c>
    </row>
    <row r="522" spans="1:24" ht="12">
      <c r="A522" s="83" t="s">
        <v>19264</v>
      </c>
      <c r="B522" s="64" t="s">
        <v>19265</v>
      </c>
      <c r="C522" s="71" t="s">
        <v>165</v>
      </c>
      <c r="D522" s="79">
        <v>1</v>
      </c>
      <c r="E522" s="79">
        <v>14.5</v>
      </c>
      <c r="F522" s="79">
        <v>14.5</v>
      </c>
      <c r="G522" s="445"/>
      <c r="H522" s="178">
        <v>14.5</v>
      </c>
      <c r="I522" s="178">
        <v>17.829999999999998</v>
      </c>
      <c r="J522" s="70">
        <v>-3.3299999999999983</v>
      </c>
      <c r="K522" s="320"/>
      <c r="L522" s="178">
        <v>5.13</v>
      </c>
      <c r="M522" s="178">
        <v>9.370000000000001</v>
      </c>
      <c r="N522" s="179">
        <v>0</v>
      </c>
      <c r="O522" s="178">
        <v>14.5</v>
      </c>
      <c r="P522" s="453"/>
      <c r="Q522" s="61"/>
      <c r="R522" s="298"/>
      <c r="S522" s="669"/>
      <c r="X522" s="444">
        <v>522</v>
      </c>
    </row>
    <row r="523" spans="1:24" ht="12">
      <c r="A523" s="83" t="s">
        <v>19266</v>
      </c>
      <c r="B523" s="64" t="s">
        <v>19267</v>
      </c>
      <c r="C523" s="71" t="s">
        <v>165</v>
      </c>
      <c r="D523" s="79">
        <v>1</v>
      </c>
      <c r="E523" s="79">
        <v>21.06</v>
      </c>
      <c r="F523" s="79">
        <v>21.06</v>
      </c>
      <c r="G523" s="445"/>
      <c r="H523" s="178">
        <v>21.05</v>
      </c>
      <c r="I523" s="178">
        <v>25.89</v>
      </c>
      <c r="J523" s="70">
        <v>-4.8300000000000018</v>
      </c>
      <c r="K523" s="320"/>
      <c r="L523" s="178">
        <v>5.13</v>
      </c>
      <c r="M523" s="178">
        <v>15.93</v>
      </c>
      <c r="N523" s="179">
        <v>0</v>
      </c>
      <c r="O523" s="178">
        <v>21.06</v>
      </c>
      <c r="P523" s="453"/>
      <c r="Q523" s="61"/>
      <c r="R523" s="298"/>
      <c r="S523" s="669"/>
      <c r="X523" s="444">
        <v>523</v>
      </c>
    </row>
    <row r="524" spans="1:24" ht="12">
      <c r="A524" s="83" t="s">
        <v>19268</v>
      </c>
      <c r="B524" s="64" t="s">
        <v>19269</v>
      </c>
      <c r="C524" s="71" t="s">
        <v>165</v>
      </c>
      <c r="D524" s="79">
        <v>1</v>
      </c>
      <c r="E524" s="79">
        <v>21.3</v>
      </c>
      <c r="F524" s="79">
        <v>21.3</v>
      </c>
      <c r="G524" s="445"/>
      <c r="H524" s="178">
        <v>21.29</v>
      </c>
      <c r="I524" s="178">
        <v>26.19</v>
      </c>
      <c r="J524" s="70">
        <v>-4.8900000000000006</v>
      </c>
      <c r="K524" s="320"/>
      <c r="L524" s="178">
        <v>5.13</v>
      </c>
      <c r="M524" s="178">
        <v>16.170000000000002</v>
      </c>
      <c r="N524" s="179">
        <v>0</v>
      </c>
      <c r="O524" s="178">
        <v>21.3</v>
      </c>
      <c r="P524" s="453"/>
      <c r="Q524" s="61"/>
      <c r="R524" s="298"/>
      <c r="S524" s="669"/>
      <c r="X524" s="444">
        <v>524</v>
      </c>
    </row>
    <row r="525" spans="1:24" ht="12">
      <c r="A525" s="83" t="s">
        <v>19270</v>
      </c>
      <c r="B525" s="64" t="s">
        <v>19271</v>
      </c>
      <c r="C525" s="71" t="s">
        <v>165</v>
      </c>
      <c r="D525" s="79">
        <v>1</v>
      </c>
      <c r="E525" s="79">
        <v>292.67</v>
      </c>
      <c r="F525" s="79">
        <v>292.67</v>
      </c>
      <c r="G525" s="445"/>
      <c r="H525" s="178">
        <v>292.66000000000003</v>
      </c>
      <c r="I525" s="178">
        <v>359.97</v>
      </c>
      <c r="J525" s="70">
        <v>-67.300000000000011</v>
      </c>
      <c r="K525" s="320"/>
      <c r="L525" s="178">
        <v>25.659999999999997</v>
      </c>
      <c r="M525" s="178">
        <v>267.01</v>
      </c>
      <c r="N525" s="179">
        <v>0</v>
      </c>
      <c r="O525" s="178">
        <v>292.66999999999996</v>
      </c>
      <c r="P525" s="453"/>
      <c r="Q525" s="61"/>
      <c r="R525" s="298"/>
      <c r="S525" s="669"/>
      <c r="X525" s="444">
        <v>525</v>
      </c>
    </row>
    <row r="526" spans="1:24" ht="12">
      <c r="A526" s="83" t="s">
        <v>19272</v>
      </c>
      <c r="B526" s="64" t="s">
        <v>19273</v>
      </c>
      <c r="C526" s="71" t="s">
        <v>103</v>
      </c>
      <c r="D526" s="79">
        <v>1</v>
      </c>
      <c r="E526" s="79">
        <v>2911.2200000000003</v>
      </c>
      <c r="F526" s="79">
        <v>2911.22</v>
      </c>
      <c r="G526" s="445"/>
      <c r="H526" s="178">
        <v>2911.2</v>
      </c>
      <c r="I526" s="178">
        <v>3580.77</v>
      </c>
      <c r="J526" s="70">
        <v>-669.54999999999973</v>
      </c>
      <c r="K526" s="320"/>
      <c r="L526" s="178">
        <v>384.64</v>
      </c>
      <c r="M526" s="178">
        <v>2526.5800000000004</v>
      </c>
      <c r="N526" s="179">
        <v>0</v>
      </c>
      <c r="O526" s="178">
        <v>2911.2200000000003</v>
      </c>
      <c r="P526" s="453"/>
      <c r="Q526" s="61"/>
      <c r="R526" s="298"/>
      <c r="S526" s="669"/>
      <c r="X526" s="444">
        <v>526</v>
      </c>
    </row>
    <row r="527" spans="1:24" ht="12">
      <c r="A527" s="83" t="s">
        <v>19274</v>
      </c>
      <c r="B527" s="64" t="s">
        <v>19275</v>
      </c>
      <c r="C527" s="71" t="s">
        <v>509</v>
      </c>
      <c r="D527" s="79">
        <v>1</v>
      </c>
      <c r="E527" s="79">
        <v>228.3</v>
      </c>
      <c r="F527" s="79">
        <v>228.3</v>
      </c>
      <c r="G527" s="445"/>
      <c r="H527" s="178">
        <v>228.29</v>
      </c>
      <c r="I527" s="178">
        <v>280.8</v>
      </c>
      <c r="J527" s="70">
        <v>-52.5</v>
      </c>
      <c r="K527" s="320"/>
      <c r="L527" s="178">
        <v>41.03</v>
      </c>
      <c r="M527" s="178">
        <v>187.27</v>
      </c>
      <c r="N527" s="179">
        <v>0</v>
      </c>
      <c r="O527" s="178">
        <v>228.3</v>
      </c>
      <c r="P527" s="453"/>
      <c r="Q527" s="61"/>
      <c r="R527" s="298"/>
      <c r="S527" s="669"/>
      <c r="X527" s="444">
        <v>527</v>
      </c>
    </row>
    <row r="528" spans="1:24" ht="12">
      <c r="A528" s="83" t="s">
        <v>19276</v>
      </c>
      <c r="B528" s="64" t="s">
        <v>19277</v>
      </c>
      <c r="C528" s="71" t="s">
        <v>103</v>
      </c>
      <c r="D528" s="79">
        <v>1</v>
      </c>
      <c r="E528" s="79">
        <v>1557.5300000000002</v>
      </c>
      <c r="F528" s="79">
        <v>1557.53</v>
      </c>
      <c r="G528" s="445"/>
      <c r="H528" s="178">
        <v>1557.53</v>
      </c>
      <c r="I528" s="178">
        <v>1915.76</v>
      </c>
      <c r="J528" s="70">
        <v>-358.22999999999979</v>
      </c>
      <c r="K528" s="320"/>
      <c r="L528" s="178">
        <v>149.74</v>
      </c>
      <c r="M528" s="178">
        <v>1407.7900000000002</v>
      </c>
      <c r="N528" s="179">
        <v>0</v>
      </c>
      <c r="O528" s="178">
        <v>1557.5300000000002</v>
      </c>
      <c r="P528" s="453"/>
      <c r="Q528" s="61"/>
      <c r="R528" s="298"/>
      <c r="S528" s="669"/>
      <c r="X528" s="444">
        <v>528</v>
      </c>
    </row>
    <row r="529" spans="1:32" ht="12">
      <c r="A529" s="459" t="s">
        <v>19278</v>
      </c>
      <c r="B529" s="64" t="s">
        <v>19279</v>
      </c>
      <c r="C529" s="71" t="s">
        <v>103</v>
      </c>
      <c r="D529" s="79">
        <v>1</v>
      </c>
      <c r="E529" s="79">
        <v>2144.9699999999998</v>
      </c>
      <c r="F529" s="79">
        <v>2144.9699999999998</v>
      </c>
      <c r="G529" s="320"/>
      <c r="H529" s="178">
        <v>2144.96</v>
      </c>
      <c r="I529" s="178">
        <v>2638.3</v>
      </c>
      <c r="J529" s="70">
        <v>-493.33000000000038</v>
      </c>
      <c r="K529" s="320"/>
      <c r="L529" s="178">
        <v>443.51</v>
      </c>
      <c r="M529" s="178">
        <v>1701.4599999999998</v>
      </c>
      <c r="N529" s="179">
        <v>0</v>
      </c>
      <c r="O529" s="178">
        <v>2144.9699999999998</v>
      </c>
      <c r="P529" s="132"/>
      <c r="Q529" s="61"/>
      <c r="R529" s="298"/>
      <c r="S529" s="669"/>
      <c r="T529" s="61"/>
      <c r="X529" s="444">
        <v>529</v>
      </c>
    </row>
    <row r="530" spans="1:32" ht="12">
      <c r="A530" s="459" t="s">
        <v>19280</v>
      </c>
      <c r="B530" s="64" t="s">
        <v>19281</v>
      </c>
      <c r="C530" s="71" t="s">
        <v>509</v>
      </c>
      <c r="D530" s="79">
        <v>1</v>
      </c>
      <c r="E530" s="79">
        <v>377.2</v>
      </c>
      <c r="F530" s="79">
        <v>377.2</v>
      </c>
      <c r="G530" s="320"/>
      <c r="H530" s="178">
        <v>377.2</v>
      </c>
      <c r="I530" s="178">
        <v>463.95</v>
      </c>
      <c r="J530" s="70">
        <v>-86.75</v>
      </c>
      <c r="K530" s="320"/>
      <c r="L530" s="178">
        <v>87.57</v>
      </c>
      <c r="M530" s="178">
        <v>289.63</v>
      </c>
      <c r="N530" s="179">
        <v>0</v>
      </c>
      <c r="O530" s="178">
        <v>377.2</v>
      </c>
      <c r="P530" s="132"/>
      <c r="Q530" s="61"/>
      <c r="R530" s="298"/>
      <c r="S530" s="669"/>
      <c r="T530" s="61"/>
      <c r="X530" s="444">
        <v>530</v>
      </c>
    </row>
    <row r="531" spans="1:32" ht="12">
      <c r="A531" s="83" t="s">
        <v>19282</v>
      </c>
      <c r="B531" s="64" t="s">
        <v>19283</v>
      </c>
      <c r="C531" s="71" t="s">
        <v>19284</v>
      </c>
      <c r="D531" s="79">
        <v>1</v>
      </c>
      <c r="E531" s="79">
        <v>290.39</v>
      </c>
      <c r="F531" s="79">
        <v>290.39</v>
      </c>
      <c r="G531" s="445"/>
      <c r="H531" s="178">
        <v>290.38</v>
      </c>
      <c r="I531" s="178">
        <v>357.17</v>
      </c>
      <c r="J531" s="70">
        <v>-66.78000000000003</v>
      </c>
      <c r="K531" s="320"/>
      <c r="L531" s="178">
        <v>81.539999999999992</v>
      </c>
      <c r="M531" s="178">
        <v>208.85</v>
      </c>
      <c r="N531" s="179">
        <v>0</v>
      </c>
      <c r="O531" s="178">
        <v>290.39</v>
      </c>
      <c r="P531" s="453"/>
      <c r="Q531" s="61"/>
      <c r="R531" s="298"/>
      <c r="S531" s="669"/>
      <c r="X531" s="444">
        <v>531</v>
      </c>
    </row>
    <row r="532" spans="1:32" ht="12">
      <c r="A532" s="83" t="s">
        <v>19285</v>
      </c>
      <c r="B532" s="64" t="s">
        <v>19286</v>
      </c>
      <c r="C532" s="71" t="s">
        <v>19284</v>
      </c>
      <c r="D532" s="79">
        <v>1</v>
      </c>
      <c r="E532" s="79">
        <v>195.14</v>
      </c>
      <c r="F532" s="79">
        <v>195.14</v>
      </c>
      <c r="G532" s="445"/>
      <c r="H532" s="178">
        <v>195.14</v>
      </c>
      <c r="I532" s="178">
        <v>240.02</v>
      </c>
      <c r="J532" s="70">
        <v>-44.880000000000024</v>
      </c>
      <c r="K532" s="320"/>
      <c r="L532" s="178">
        <v>81.539999999999992</v>
      </c>
      <c r="M532" s="178">
        <v>113.6</v>
      </c>
      <c r="N532" s="179">
        <v>0</v>
      </c>
      <c r="O532" s="178">
        <v>195.14</v>
      </c>
      <c r="P532" s="453"/>
      <c r="Q532" s="61"/>
      <c r="R532" s="298"/>
      <c r="S532" s="669"/>
      <c r="U532" s="61"/>
      <c r="V532" s="61"/>
      <c r="W532" s="61"/>
      <c r="X532" s="444">
        <v>532</v>
      </c>
      <c r="Y532" s="61"/>
      <c r="Z532" s="61"/>
      <c r="AA532" s="61"/>
      <c r="AB532" s="61"/>
      <c r="AC532" s="61"/>
      <c r="AD532" s="61"/>
      <c r="AE532" s="61"/>
      <c r="AF532" s="61"/>
    </row>
    <row r="533" spans="1:32" ht="12">
      <c r="A533" s="83" t="s">
        <v>19287</v>
      </c>
      <c r="B533" s="64" t="s">
        <v>19288</v>
      </c>
      <c r="C533" s="71" t="s">
        <v>19284</v>
      </c>
      <c r="D533" s="79">
        <v>1</v>
      </c>
      <c r="E533" s="79">
        <v>150.22999999999999</v>
      </c>
      <c r="F533" s="79">
        <v>150.22999999999999</v>
      </c>
      <c r="G533" s="445"/>
      <c r="H533" s="178">
        <v>150.22</v>
      </c>
      <c r="I533" s="178">
        <v>184.77</v>
      </c>
      <c r="J533" s="70">
        <v>-34.54000000000002</v>
      </c>
      <c r="K533" s="320"/>
      <c r="L533" s="178">
        <v>66.16</v>
      </c>
      <c r="M533" s="178">
        <v>84.07</v>
      </c>
      <c r="N533" s="179">
        <v>0</v>
      </c>
      <c r="O533" s="178">
        <v>150.22999999999999</v>
      </c>
      <c r="P533" s="453"/>
      <c r="Q533" s="61"/>
      <c r="R533" s="298"/>
      <c r="S533" s="669"/>
      <c r="U533" s="61"/>
      <c r="V533" s="61"/>
      <c r="W533" s="61"/>
      <c r="X533" s="444">
        <v>533</v>
      </c>
      <c r="Y533" s="61"/>
      <c r="Z533" s="61"/>
      <c r="AA533" s="61"/>
      <c r="AB533" s="61"/>
      <c r="AC533" s="61"/>
      <c r="AD533" s="61"/>
      <c r="AE533" s="61"/>
      <c r="AF533" s="61"/>
    </row>
    <row r="534" spans="1:32" ht="12">
      <c r="A534" s="83" t="s">
        <v>19289</v>
      </c>
      <c r="B534" s="64" t="s">
        <v>7470</v>
      </c>
      <c r="C534" s="71" t="s">
        <v>103</v>
      </c>
      <c r="D534" s="79">
        <v>1</v>
      </c>
      <c r="E534" s="79">
        <v>148.43</v>
      </c>
      <c r="F534" s="79">
        <v>148.43</v>
      </c>
      <c r="G534" s="445"/>
      <c r="H534" s="178">
        <v>148.41999999999999</v>
      </c>
      <c r="I534" s="178">
        <v>182.56</v>
      </c>
      <c r="J534" s="70">
        <v>-34.129999999999995</v>
      </c>
      <c r="K534" s="320"/>
      <c r="L534" s="178">
        <v>80.03</v>
      </c>
      <c r="M534" s="178">
        <v>68.400000000000006</v>
      </c>
      <c r="N534" s="179">
        <v>0</v>
      </c>
      <c r="O534" s="178">
        <v>148.43</v>
      </c>
      <c r="P534" s="453"/>
      <c r="Q534" s="61"/>
      <c r="R534" s="298"/>
      <c r="S534" s="669"/>
      <c r="X534" s="444">
        <v>534</v>
      </c>
    </row>
    <row r="535" spans="1:32" ht="12">
      <c r="A535" s="83" t="s">
        <v>19290</v>
      </c>
      <c r="B535" s="64" t="s">
        <v>19291</v>
      </c>
      <c r="C535" s="71" t="s">
        <v>103</v>
      </c>
      <c r="D535" s="79">
        <v>1</v>
      </c>
      <c r="E535" s="79">
        <v>49.89</v>
      </c>
      <c r="F535" s="79">
        <v>49.89</v>
      </c>
      <c r="G535" s="445"/>
      <c r="H535" s="178">
        <v>49.88</v>
      </c>
      <c r="I535" s="178">
        <v>61.35</v>
      </c>
      <c r="J535" s="70">
        <v>-11.46</v>
      </c>
      <c r="K535" s="320"/>
      <c r="L535" s="178">
        <v>12.829999999999998</v>
      </c>
      <c r="M535" s="178">
        <v>37.06</v>
      </c>
      <c r="N535" s="179">
        <v>0</v>
      </c>
      <c r="O535" s="178">
        <v>49.89</v>
      </c>
      <c r="P535" s="453"/>
      <c r="Q535" s="61"/>
      <c r="R535" s="298"/>
      <c r="S535" s="669"/>
      <c r="X535" s="444">
        <v>535</v>
      </c>
    </row>
    <row r="536" spans="1:32" ht="12">
      <c r="A536" s="83" t="s">
        <v>19292</v>
      </c>
      <c r="B536" s="64" t="s">
        <v>19293</v>
      </c>
      <c r="C536" s="71" t="s">
        <v>103</v>
      </c>
      <c r="D536" s="79">
        <v>1</v>
      </c>
      <c r="E536" s="79">
        <v>25.159999999999997</v>
      </c>
      <c r="F536" s="79">
        <v>25.16</v>
      </c>
      <c r="G536" s="445"/>
      <c r="H536" s="178">
        <v>25.15</v>
      </c>
      <c r="I536" s="178">
        <v>30.93</v>
      </c>
      <c r="J536" s="70">
        <v>-5.7700000000000031</v>
      </c>
      <c r="K536" s="320"/>
      <c r="L536" s="178">
        <v>12.829999999999998</v>
      </c>
      <c r="M536" s="178">
        <v>12.329999999999998</v>
      </c>
      <c r="N536" s="179">
        <v>0</v>
      </c>
      <c r="O536" s="178">
        <v>25.159999999999997</v>
      </c>
      <c r="P536" s="453"/>
      <c r="Q536" s="61"/>
      <c r="R536" s="298"/>
      <c r="S536" s="669"/>
      <c r="X536" s="444">
        <v>536</v>
      </c>
    </row>
    <row r="537" spans="1:32" ht="12">
      <c r="A537" s="83" t="s">
        <v>19294</v>
      </c>
      <c r="B537" s="64" t="s">
        <v>19295</v>
      </c>
      <c r="C537" s="71" t="s">
        <v>103</v>
      </c>
      <c r="D537" s="79">
        <v>1</v>
      </c>
      <c r="E537" s="79">
        <v>38.119999999999997</v>
      </c>
      <c r="F537" s="79">
        <v>38.119999999999997</v>
      </c>
      <c r="G537" s="445"/>
      <c r="H537" s="178">
        <v>38.11</v>
      </c>
      <c r="I537" s="178">
        <v>46.87</v>
      </c>
      <c r="J537" s="70">
        <v>-8.75</v>
      </c>
      <c r="K537" s="320"/>
      <c r="L537" s="178">
        <v>12.829999999999998</v>
      </c>
      <c r="M537" s="178">
        <v>25.29</v>
      </c>
      <c r="N537" s="179">
        <v>0</v>
      </c>
      <c r="O537" s="178">
        <v>38.119999999999997</v>
      </c>
      <c r="P537" s="453"/>
      <c r="Q537" s="61"/>
      <c r="R537" s="298"/>
      <c r="S537" s="669"/>
      <c r="X537" s="444">
        <v>537</v>
      </c>
    </row>
    <row r="538" spans="1:32" s="61" customFormat="1" ht="12">
      <c r="A538" s="83" t="s">
        <v>19296</v>
      </c>
      <c r="B538" s="64" t="s">
        <v>19297</v>
      </c>
      <c r="C538" s="71" t="s">
        <v>103</v>
      </c>
      <c r="D538" s="79">
        <v>1</v>
      </c>
      <c r="E538" s="79">
        <v>38.119999999999997</v>
      </c>
      <c r="F538" s="79">
        <v>38.119999999999997</v>
      </c>
      <c r="G538" s="445"/>
      <c r="H538" s="178">
        <v>38.11</v>
      </c>
      <c r="I538" s="178">
        <v>46.87</v>
      </c>
      <c r="J538" s="70">
        <v>-8.75</v>
      </c>
      <c r="K538" s="320"/>
      <c r="L538" s="178">
        <v>12.829999999999998</v>
      </c>
      <c r="M538" s="178">
        <v>25.29</v>
      </c>
      <c r="N538" s="179">
        <v>0</v>
      </c>
      <c r="O538" s="178">
        <v>38.119999999999997</v>
      </c>
      <c r="P538" s="453"/>
      <c r="R538" s="298"/>
      <c r="S538" s="669"/>
      <c r="T538" s="444"/>
      <c r="U538" s="444"/>
      <c r="V538" s="444"/>
      <c r="W538" s="444"/>
      <c r="X538" s="444">
        <v>538</v>
      </c>
      <c r="Y538" s="444"/>
      <c r="Z538" s="444"/>
      <c r="AA538" s="444"/>
      <c r="AB538" s="444"/>
      <c r="AC538" s="444"/>
      <c r="AD538" s="444"/>
      <c r="AE538" s="444"/>
      <c r="AF538" s="444"/>
    </row>
    <row r="539" spans="1:32" s="61" customFormat="1" ht="12">
      <c r="A539" s="83" t="s">
        <v>19298</v>
      </c>
      <c r="B539" s="64" t="s">
        <v>19299</v>
      </c>
      <c r="C539" s="71" t="s">
        <v>103</v>
      </c>
      <c r="D539" s="79">
        <v>1</v>
      </c>
      <c r="E539" s="79">
        <v>144.63999999999999</v>
      </c>
      <c r="F539" s="79">
        <v>144.63999999999999</v>
      </c>
      <c r="G539" s="445"/>
      <c r="H539" s="178">
        <v>144.63</v>
      </c>
      <c r="I539" s="178">
        <v>177.9</v>
      </c>
      <c r="J539" s="70">
        <v>-33.260000000000019</v>
      </c>
      <c r="K539" s="320"/>
      <c r="L539" s="178">
        <v>80.03</v>
      </c>
      <c r="M539" s="178">
        <v>64.609999999999985</v>
      </c>
      <c r="N539" s="179">
        <v>0</v>
      </c>
      <c r="O539" s="178">
        <v>144.63999999999999</v>
      </c>
      <c r="P539" s="453"/>
      <c r="R539" s="298"/>
      <c r="S539" s="669"/>
      <c r="T539" s="444"/>
      <c r="U539" s="444"/>
      <c r="V539" s="444"/>
      <c r="W539" s="444"/>
      <c r="X539" s="444">
        <v>539</v>
      </c>
      <c r="Y539" s="444"/>
      <c r="Z539" s="444"/>
      <c r="AA539" s="444"/>
      <c r="AB539" s="444"/>
      <c r="AC539" s="444"/>
      <c r="AD539" s="444"/>
      <c r="AE539" s="444"/>
      <c r="AF539" s="444"/>
    </row>
    <row r="540" spans="1:32" ht="12">
      <c r="A540" s="83" t="s">
        <v>19300</v>
      </c>
      <c r="B540" s="64" t="s">
        <v>19301</v>
      </c>
      <c r="C540" s="71" t="s">
        <v>19284</v>
      </c>
      <c r="D540" s="79">
        <v>1</v>
      </c>
      <c r="E540" s="79">
        <v>481.08</v>
      </c>
      <c r="F540" s="79">
        <v>481.08</v>
      </c>
      <c r="G540" s="445"/>
      <c r="H540" s="178">
        <v>481.08</v>
      </c>
      <c r="I540" s="178">
        <v>591.73</v>
      </c>
      <c r="J540" s="70">
        <v>-110.65000000000003</v>
      </c>
      <c r="K540" s="320"/>
      <c r="L540" s="178">
        <v>20.509999999999998</v>
      </c>
      <c r="M540" s="178">
        <v>460.57</v>
      </c>
      <c r="N540" s="179">
        <v>0</v>
      </c>
      <c r="O540" s="178">
        <v>481.08</v>
      </c>
      <c r="P540" s="453"/>
      <c r="Q540" s="61"/>
      <c r="R540" s="298"/>
      <c r="S540" s="669"/>
      <c r="X540" s="444">
        <v>540</v>
      </c>
    </row>
    <row r="541" spans="1:32" ht="12">
      <c r="A541" s="83" t="s">
        <v>19302</v>
      </c>
      <c r="B541" s="64" t="s">
        <v>19303</v>
      </c>
      <c r="C541" s="71" t="s">
        <v>165</v>
      </c>
      <c r="D541" s="79">
        <v>1</v>
      </c>
      <c r="E541" s="79">
        <v>54.6</v>
      </c>
      <c r="F541" s="79">
        <v>54.6</v>
      </c>
      <c r="G541" s="445"/>
      <c r="H541" s="178">
        <v>54.6</v>
      </c>
      <c r="I541" s="178">
        <v>67.16</v>
      </c>
      <c r="J541" s="70">
        <v>-12.559999999999995</v>
      </c>
      <c r="K541" s="320"/>
      <c r="L541" s="178">
        <v>20.509999999999998</v>
      </c>
      <c r="M541" s="178">
        <v>34.090000000000003</v>
      </c>
      <c r="N541" s="179">
        <v>0</v>
      </c>
      <c r="O541" s="178">
        <v>54.6</v>
      </c>
      <c r="P541" s="453"/>
      <c r="Q541" s="61"/>
      <c r="R541" s="298"/>
      <c r="S541" s="669"/>
      <c r="X541" s="444">
        <v>541</v>
      </c>
    </row>
    <row r="542" spans="1:32" ht="12">
      <c r="A542" s="83" t="s">
        <v>19304</v>
      </c>
      <c r="B542" s="64" t="s">
        <v>19305</v>
      </c>
      <c r="C542" s="71" t="s">
        <v>103</v>
      </c>
      <c r="D542" s="79">
        <v>1</v>
      </c>
      <c r="E542" s="79">
        <v>28.46</v>
      </c>
      <c r="F542" s="79">
        <v>28.46</v>
      </c>
      <c r="G542" s="445"/>
      <c r="H542" s="178">
        <v>28.46</v>
      </c>
      <c r="I542" s="178">
        <v>35.01</v>
      </c>
      <c r="J542" s="70">
        <v>-6.5499999999999972</v>
      </c>
      <c r="K542" s="320"/>
      <c r="L542" s="178">
        <v>15.379999999999999</v>
      </c>
      <c r="M542" s="178">
        <v>13.080000000000002</v>
      </c>
      <c r="N542" s="179">
        <v>0</v>
      </c>
      <c r="O542" s="178">
        <v>28.46</v>
      </c>
      <c r="P542" s="453"/>
      <c r="Q542" s="61"/>
      <c r="R542" s="298"/>
      <c r="S542" s="669"/>
      <c r="X542" s="444">
        <v>542</v>
      </c>
    </row>
    <row r="543" spans="1:32" ht="12">
      <c r="A543" s="83" t="s">
        <v>19306</v>
      </c>
      <c r="B543" s="64" t="s">
        <v>19307</v>
      </c>
      <c r="C543" s="71" t="s">
        <v>103</v>
      </c>
      <c r="D543" s="79">
        <v>1</v>
      </c>
      <c r="E543" s="79">
        <v>45.78</v>
      </c>
      <c r="F543" s="79">
        <v>45.78</v>
      </c>
      <c r="G543" s="445"/>
      <c r="H543" s="178">
        <v>45.77</v>
      </c>
      <c r="I543" s="178">
        <v>56.3</v>
      </c>
      <c r="J543" s="70">
        <v>-10.519999999999996</v>
      </c>
      <c r="K543" s="320"/>
      <c r="L543" s="178">
        <v>8.7200000000000006</v>
      </c>
      <c r="M543" s="178">
        <v>37.06</v>
      </c>
      <c r="N543" s="179">
        <v>0</v>
      </c>
      <c r="O543" s="178">
        <v>45.78</v>
      </c>
      <c r="P543" s="453"/>
      <c r="Q543" s="61"/>
      <c r="R543" s="298"/>
      <c r="S543" s="669"/>
      <c r="X543" s="444">
        <v>543</v>
      </c>
    </row>
    <row r="544" spans="1:32" ht="12">
      <c r="A544" s="83" t="s">
        <v>19308</v>
      </c>
      <c r="B544" s="64" t="s">
        <v>19309</v>
      </c>
      <c r="C544" s="71" t="s">
        <v>103</v>
      </c>
      <c r="D544" s="79">
        <v>1</v>
      </c>
      <c r="E544" s="79">
        <v>290.39</v>
      </c>
      <c r="F544" s="79">
        <v>290.39</v>
      </c>
      <c r="G544" s="445"/>
      <c r="H544" s="178">
        <v>290.38</v>
      </c>
      <c r="I544" s="178">
        <v>357.17</v>
      </c>
      <c r="J544" s="70">
        <v>-66.78000000000003</v>
      </c>
      <c r="K544" s="320"/>
      <c r="L544" s="178">
        <v>81.539999999999992</v>
      </c>
      <c r="M544" s="178">
        <v>208.85</v>
      </c>
      <c r="N544" s="179">
        <v>0</v>
      </c>
      <c r="O544" s="178">
        <v>290.39</v>
      </c>
      <c r="P544" s="453"/>
      <c r="Q544" s="61"/>
      <c r="R544" s="298"/>
      <c r="S544" s="669"/>
      <c r="X544" s="444">
        <v>544</v>
      </c>
    </row>
    <row r="545" spans="1:24" ht="12">
      <c r="A545" s="83" t="s">
        <v>19310</v>
      </c>
      <c r="B545" s="64" t="s">
        <v>19311</v>
      </c>
      <c r="C545" s="71" t="s">
        <v>103</v>
      </c>
      <c r="D545" s="79">
        <v>1</v>
      </c>
      <c r="E545" s="79">
        <v>95.62</v>
      </c>
      <c r="F545" s="79">
        <v>95.62</v>
      </c>
      <c r="G545" s="445"/>
      <c r="H545" s="178">
        <v>95.61</v>
      </c>
      <c r="I545" s="178">
        <v>117.6</v>
      </c>
      <c r="J545" s="70">
        <v>-21.97999999999999</v>
      </c>
      <c r="K545" s="320"/>
      <c r="L545" s="178">
        <v>41.03</v>
      </c>
      <c r="M545" s="178">
        <v>54.59</v>
      </c>
      <c r="N545" s="179">
        <v>0</v>
      </c>
      <c r="O545" s="178">
        <v>95.62</v>
      </c>
      <c r="P545" s="453"/>
      <c r="Q545" s="61"/>
      <c r="R545" s="298"/>
      <c r="S545" s="669"/>
      <c r="X545" s="444">
        <v>545</v>
      </c>
    </row>
    <row r="546" spans="1:24" ht="12">
      <c r="A546" s="83" t="s">
        <v>19312</v>
      </c>
      <c r="B546" s="64" t="s">
        <v>19313</v>
      </c>
      <c r="C546" s="71" t="s">
        <v>10216</v>
      </c>
      <c r="D546" s="79">
        <v>1</v>
      </c>
      <c r="E546" s="79">
        <v>577.26</v>
      </c>
      <c r="F546" s="79">
        <v>577.26</v>
      </c>
      <c r="G546" s="445"/>
      <c r="H546" s="178">
        <v>577.25</v>
      </c>
      <c r="I546" s="178">
        <v>710.02</v>
      </c>
      <c r="J546" s="70">
        <v>-132.76</v>
      </c>
      <c r="K546" s="320"/>
      <c r="L546" s="178"/>
      <c r="M546" s="178">
        <v>577.26</v>
      </c>
      <c r="N546" s="179">
        <v>0</v>
      </c>
      <c r="O546" s="178">
        <v>577.26</v>
      </c>
      <c r="P546" s="453"/>
      <c r="Q546" s="61"/>
      <c r="R546" s="298"/>
      <c r="S546" s="669"/>
      <c r="X546" s="444">
        <v>546</v>
      </c>
    </row>
    <row r="547" spans="1:24" ht="12">
      <c r="A547" s="83" t="s">
        <v>39594</v>
      </c>
      <c r="B547" s="64" t="s">
        <v>39595</v>
      </c>
      <c r="C547" s="71"/>
      <c r="D547" s="79" t="s">
        <v>40899</v>
      </c>
      <c r="E547" s="79" t="s">
        <v>40899</v>
      </c>
      <c r="F547" s="79"/>
      <c r="G547" s="445"/>
      <c r="H547" s="178"/>
      <c r="I547" s="178"/>
      <c r="J547" s="70"/>
      <c r="K547" s="320"/>
      <c r="L547" s="178"/>
      <c r="M547" s="178"/>
      <c r="N547" s="179"/>
      <c r="O547" s="178"/>
      <c r="P547" s="453"/>
      <c r="Q547" s="61"/>
      <c r="R547" s="298"/>
      <c r="S547" s="669"/>
      <c r="X547" s="444">
        <v>547</v>
      </c>
    </row>
    <row r="548" spans="1:24" ht="12">
      <c r="A548" s="83" t="s">
        <v>19314</v>
      </c>
      <c r="B548" s="64" t="s">
        <v>19315</v>
      </c>
      <c r="C548" s="71" t="s">
        <v>103</v>
      </c>
      <c r="D548" s="79">
        <v>1</v>
      </c>
      <c r="E548" s="79">
        <v>354.78999999999996</v>
      </c>
      <c r="F548" s="79">
        <v>354.79</v>
      </c>
      <c r="G548" s="445"/>
      <c r="H548" s="178">
        <v>354.78</v>
      </c>
      <c r="I548" s="178">
        <v>436.38</v>
      </c>
      <c r="J548" s="70">
        <v>-81.590000000000032</v>
      </c>
      <c r="K548" s="320"/>
      <c r="L548" s="178">
        <v>117.94999999999999</v>
      </c>
      <c r="M548" s="178">
        <v>236.83999999999997</v>
      </c>
      <c r="N548" s="179">
        <v>0</v>
      </c>
      <c r="O548" s="178">
        <v>354.78999999999996</v>
      </c>
      <c r="P548" s="453"/>
      <c r="Q548" s="61"/>
      <c r="R548" s="298"/>
      <c r="S548" s="669"/>
      <c r="X548" s="444">
        <v>548</v>
      </c>
    </row>
    <row r="549" spans="1:24" ht="12">
      <c r="A549" s="83" t="s">
        <v>19316</v>
      </c>
      <c r="B549" s="64" t="s">
        <v>19317</v>
      </c>
      <c r="C549" s="71" t="s">
        <v>103</v>
      </c>
      <c r="D549" s="79">
        <v>1</v>
      </c>
      <c r="E549" s="79">
        <v>361.24</v>
      </c>
      <c r="F549" s="79">
        <v>361.24</v>
      </c>
      <c r="G549" s="445"/>
      <c r="H549" s="178">
        <v>361.24</v>
      </c>
      <c r="I549" s="178">
        <v>444.32</v>
      </c>
      <c r="J549" s="70">
        <v>-83.079999999999984</v>
      </c>
      <c r="K549" s="320"/>
      <c r="L549" s="178">
        <v>117.94999999999999</v>
      </c>
      <c r="M549" s="178">
        <v>243.29000000000002</v>
      </c>
      <c r="N549" s="179">
        <v>0</v>
      </c>
      <c r="O549" s="178">
        <v>361.24</v>
      </c>
      <c r="P549" s="453"/>
      <c r="Q549" s="61"/>
      <c r="R549" s="298"/>
      <c r="S549" s="669"/>
      <c r="X549" s="444">
        <v>549</v>
      </c>
    </row>
    <row r="550" spans="1:24" ht="12">
      <c r="A550" s="83" t="s">
        <v>19318</v>
      </c>
      <c r="B550" s="64" t="s">
        <v>19319</v>
      </c>
      <c r="C550" s="71" t="s">
        <v>103</v>
      </c>
      <c r="D550" s="79">
        <v>1</v>
      </c>
      <c r="E550" s="79">
        <v>390.42</v>
      </c>
      <c r="F550" s="79">
        <v>390.42</v>
      </c>
      <c r="G550" s="445"/>
      <c r="H550" s="178">
        <v>390.41</v>
      </c>
      <c r="I550" s="178">
        <v>480.21</v>
      </c>
      <c r="J550" s="70">
        <v>-89.789999999999964</v>
      </c>
      <c r="K550" s="320"/>
      <c r="L550" s="178">
        <v>117.94999999999999</v>
      </c>
      <c r="M550" s="178">
        <v>272.47000000000003</v>
      </c>
      <c r="N550" s="179">
        <v>0</v>
      </c>
      <c r="O550" s="178">
        <v>390.42</v>
      </c>
      <c r="P550" s="453"/>
      <c r="Q550" s="61"/>
      <c r="R550" s="298"/>
      <c r="S550" s="669"/>
      <c r="X550" s="444">
        <v>550</v>
      </c>
    </row>
    <row r="551" spans="1:24" ht="12">
      <c r="A551" s="83" t="s">
        <v>19320</v>
      </c>
      <c r="B551" s="64" t="s">
        <v>19321</v>
      </c>
      <c r="C551" s="71" t="s">
        <v>103</v>
      </c>
      <c r="D551" s="79">
        <v>1</v>
      </c>
      <c r="E551" s="79">
        <v>332.13</v>
      </c>
      <c r="F551" s="79">
        <v>332.13</v>
      </c>
      <c r="G551" s="445"/>
      <c r="H551" s="178">
        <v>332.12</v>
      </c>
      <c r="I551" s="178">
        <v>408.51</v>
      </c>
      <c r="J551" s="70">
        <v>-76.38</v>
      </c>
      <c r="K551" s="320"/>
      <c r="L551" s="178">
        <v>117.94999999999999</v>
      </c>
      <c r="M551" s="178">
        <v>214.18</v>
      </c>
      <c r="N551" s="179">
        <v>0</v>
      </c>
      <c r="O551" s="178">
        <v>332.13</v>
      </c>
      <c r="P551" s="453"/>
      <c r="Q551" s="61"/>
      <c r="R551" s="298"/>
      <c r="S551" s="669"/>
      <c r="X551" s="444">
        <v>551</v>
      </c>
    </row>
    <row r="552" spans="1:24" ht="12">
      <c r="A552" s="83" t="s">
        <v>19322</v>
      </c>
      <c r="B552" s="64" t="s">
        <v>19323</v>
      </c>
      <c r="C552" s="71" t="s">
        <v>103</v>
      </c>
      <c r="D552" s="79">
        <v>1</v>
      </c>
      <c r="E552" s="79">
        <v>335.97</v>
      </c>
      <c r="F552" s="79">
        <v>335.97</v>
      </c>
      <c r="G552" s="445"/>
      <c r="H552" s="178">
        <v>335.97</v>
      </c>
      <c r="I552" s="178">
        <v>413.24</v>
      </c>
      <c r="J552" s="70">
        <v>-77.269999999999982</v>
      </c>
      <c r="K552" s="320"/>
      <c r="L552" s="178">
        <v>117.94999999999999</v>
      </c>
      <c r="M552" s="178">
        <v>218.02000000000004</v>
      </c>
      <c r="N552" s="179">
        <v>0</v>
      </c>
      <c r="O552" s="178">
        <v>335.97</v>
      </c>
      <c r="P552" s="453"/>
      <c r="Q552" s="61"/>
      <c r="R552" s="298"/>
      <c r="S552" s="669"/>
      <c r="X552" s="444">
        <v>552</v>
      </c>
    </row>
    <row r="553" spans="1:24" ht="12">
      <c r="A553" s="83" t="s">
        <v>19324</v>
      </c>
      <c r="B553" s="64" t="s">
        <v>19325</v>
      </c>
      <c r="C553" s="71" t="s">
        <v>103</v>
      </c>
      <c r="D553" s="79">
        <v>1</v>
      </c>
      <c r="E553" s="79">
        <v>373.17999999999995</v>
      </c>
      <c r="F553" s="79">
        <v>373.18</v>
      </c>
      <c r="G553" s="445"/>
      <c r="H553" s="178">
        <v>373.17</v>
      </c>
      <c r="I553" s="178">
        <v>459</v>
      </c>
      <c r="J553" s="70">
        <v>-85.82000000000005</v>
      </c>
      <c r="K553" s="320"/>
      <c r="L553" s="178">
        <v>117.94999999999999</v>
      </c>
      <c r="M553" s="178">
        <v>255.22999999999996</v>
      </c>
      <c r="N553" s="179">
        <v>0</v>
      </c>
      <c r="O553" s="178">
        <v>373.17999999999995</v>
      </c>
      <c r="P553" s="453"/>
      <c r="Q553" s="61"/>
      <c r="R553" s="298"/>
      <c r="S553" s="669"/>
      <c r="X553" s="444">
        <v>553</v>
      </c>
    </row>
    <row r="554" spans="1:24" ht="12">
      <c r="A554" s="83" t="s">
        <v>19326</v>
      </c>
      <c r="B554" s="64" t="s">
        <v>19327</v>
      </c>
      <c r="C554" s="71" t="s">
        <v>103</v>
      </c>
      <c r="D554" s="79">
        <v>1</v>
      </c>
      <c r="E554" s="79">
        <v>1349.98</v>
      </c>
      <c r="F554" s="79">
        <v>1349.98</v>
      </c>
      <c r="G554" s="445"/>
      <c r="H554" s="178">
        <v>1349.98</v>
      </c>
      <c r="I554" s="178">
        <v>1660.47</v>
      </c>
      <c r="J554" s="70">
        <v>-310.49</v>
      </c>
      <c r="K554" s="320"/>
      <c r="L554" s="178">
        <v>117.94999999999999</v>
      </c>
      <c r="M554" s="178">
        <v>1232.03</v>
      </c>
      <c r="N554" s="179">
        <v>0</v>
      </c>
      <c r="O554" s="178">
        <v>1349.98</v>
      </c>
      <c r="P554" s="453"/>
      <c r="Q554" s="61"/>
      <c r="R554" s="298"/>
      <c r="S554" s="669"/>
      <c r="X554" s="444">
        <v>554</v>
      </c>
    </row>
    <row r="555" spans="1:24" ht="12">
      <c r="A555" s="83" t="s">
        <v>19328</v>
      </c>
      <c r="B555" s="64" t="s">
        <v>19329</v>
      </c>
      <c r="C555" s="71" t="s">
        <v>103</v>
      </c>
      <c r="D555" s="79">
        <v>1</v>
      </c>
      <c r="E555" s="79">
        <v>1270.98</v>
      </c>
      <c r="F555" s="79">
        <v>1270.98</v>
      </c>
      <c r="G555" s="445"/>
      <c r="H555" s="178">
        <v>1270.98</v>
      </c>
      <c r="I555" s="178">
        <v>1563.3</v>
      </c>
      <c r="J555" s="70">
        <v>-292.31999999999994</v>
      </c>
      <c r="K555" s="320"/>
      <c r="L555" s="178">
        <v>117.94999999999999</v>
      </c>
      <c r="M555" s="178">
        <v>1153.03</v>
      </c>
      <c r="N555" s="179">
        <v>0</v>
      </c>
      <c r="O555" s="178">
        <v>1270.98</v>
      </c>
      <c r="P555" s="453"/>
      <c r="Q555" s="61"/>
      <c r="R555" s="298"/>
      <c r="S555" s="669"/>
      <c r="X555" s="444">
        <v>555</v>
      </c>
    </row>
    <row r="556" spans="1:24" ht="12">
      <c r="A556" s="83" t="s">
        <v>19330</v>
      </c>
      <c r="B556" s="64" t="s">
        <v>19331</v>
      </c>
      <c r="C556" s="71" t="s">
        <v>103</v>
      </c>
      <c r="D556" s="79">
        <v>1</v>
      </c>
      <c r="E556" s="79">
        <v>1401.65</v>
      </c>
      <c r="F556" s="79">
        <v>1401.65</v>
      </c>
      <c r="G556" s="445"/>
      <c r="H556" s="178">
        <v>1401.64</v>
      </c>
      <c r="I556" s="178">
        <v>1724.02</v>
      </c>
      <c r="J556" s="70">
        <v>-322.36999999999989</v>
      </c>
      <c r="K556" s="320"/>
      <c r="L556" s="178">
        <v>117.94999999999999</v>
      </c>
      <c r="M556" s="178">
        <v>1283.7</v>
      </c>
      <c r="N556" s="179">
        <v>0</v>
      </c>
      <c r="O556" s="178">
        <v>1401.65</v>
      </c>
      <c r="P556" s="453"/>
      <c r="Q556" s="61"/>
      <c r="R556" s="298"/>
      <c r="S556" s="669"/>
      <c r="X556" s="444">
        <v>556</v>
      </c>
    </row>
    <row r="557" spans="1:24" ht="12">
      <c r="A557" s="83" t="s">
        <v>19332</v>
      </c>
      <c r="B557" s="64" t="s">
        <v>19333</v>
      </c>
      <c r="C557" s="71" t="s">
        <v>509</v>
      </c>
      <c r="D557" s="79">
        <v>1</v>
      </c>
      <c r="E557" s="79">
        <v>886.64</v>
      </c>
      <c r="F557" s="79">
        <v>886.64</v>
      </c>
      <c r="G557" s="445"/>
      <c r="H557" s="178">
        <v>886.64</v>
      </c>
      <c r="I557" s="178">
        <v>1090.57</v>
      </c>
      <c r="J557" s="70">
        <v>-203.92999999999995</v>
      </c>
      <c r="K557" s="320"/>
      <c r="L557" s="178">
        <v>102.56</v>
      </c>
      <c r="M557" s="178">
        <v>784.07999999999993</v>
      </c>
      <c r="N557" s="179">
        <v>0</v>
      </c>
      <c r="O557" s="178">
        <v>886.63999999999987</v>
      </c>
      <c r="P557" s="453"/>
      <c r="Q557" s="61"/>
      <c r="R557" s="298"/>
      <c r="S557" s="669"/>
      <c r="X557" s="444">
        <v>557</v>
      </c>
    </row>
    <row r="558" spans="1:24" ht="12">
      <c r="A558" s="83" t="s">
        <v>19334</v>
      </c>
      <c r="B558" s="64" t="s">
        <v>19335</v>
      </c>
      <c r="C558" s="71" t="s">
        <v>396</v>
      </c>
      <c r="D558" s="79">
        <v>1</v>
      </c>
      <c r="E558" s="79">
        <v>130.22</v>
      </c>
      <c r="F558" s="79">
        <v>130.22</v>
      </c>
      <c r="G558" s="445"/>
      <c r="H558" s="178">
        <v>130.22</v>
      </c>
      <c r="I558" s="178">
        <v>160.16999999999999</v>
      </c>
      <c r="J558" s="70">
        <v>-29.949999999999989</v>
      </c>
      <c r="K558" s="320"/>
      <c r="L558" s="178">
        <v>46.15</v>
      </c>
      <c r="M558" s="178">
        <v>84.07</v>
      </c>
      <c r="N558" s="179">
        <v>0</v>
      </c>
      <c r="O558" s="178">
        <v>130.22</v>
      </c>
      <c r="P558" s="453"/>
      <c r="Q558" s="61"/>
      <c r="R558" s="298"/>
      <c r="S558" s="669"/>
      <c r="X558" s="444">
        <v>558</v>
      </c>
    </row>
    <row r="559" spans="1:24" ht="12">
      <c r="A559" s="83" t="s">
        <v>19336</v>
      </c>
      <c r="B559" s="64" t="s">
        <v>19337</v>
      </c>
      <c r="C559" s="71" t="s">
        <v>6786</v>
      </c>
      <c r="D559" s="79">
        <v>1</v>
      </c>
      <c r="E559" s="79">
        <v>206.55</v>
      </c>
      <c r="F559" s="79">
        <v>206.55</v>
      </c>
      <c r="G559" s="445"/>
      <c r="H559" s="178">
        <v>206.54</v>
      </c>
      <c r="I559" s="178">
        <v>254.04</v>
      </c>
      <c r="J559" s="70">
        <v>-47.489999999999981</v>
      </c>
      <c r="K559" s="320"/>
      <c r="L559" s="178">
        <v>12.829999999999998</v>
      </c>
      <c r="M559" s="178">
        <v>193.72000000000003</v>
      </c>
      <c r="N559" s="179">
        <v>0</v>
      </c>
      <c r="O559" s="178">
        <v>206.55</v>
      </c>
      <c r="P559" s="453"/>
      <c r="Q559" s="61"/>
      <c r="R559" s="298"/>
      <c r="S559" s="669"/>
      <c r="X559" s="444">
        <v>559</v>
      </c>
    </row>
    <row r="560" spans="1:24" ht="12">
      <c r="A560" s="83" t="s">
        <v>19338</v>
      </c>
      <c r="B560" s="64" t="s">
        <v>7671</v>
      </c>
      <c r="C560" s="71" t="s">
        <v>509</v>
      </c>
      <c r="D560" s="79">
        <v>1</v>
      </c>
      <c r="E560" s="79">
        <v>120.07999999999998</v>
      </c>
      <c r="F560" s="79">
        <v>120.08</v>
      </c>
      <c r="G560" s="445"/>
      <c r="H560" s="178">
        <v>120.08</v>
      </c>
      <c r="I560" s="178">
        <v>147.69999999999999</v>
      </c>
      <c r="J560" s="70">
        <v>-27.620000000000005</v>
      </c>
      <c r="K560" s="320"/>
      <c r="L560" s="178">
        <v>51.68</v>
      </c>
      <c r="M560" s="178">
        <v>68.399999999999977</v>
      </c>
      <c r="N560" s="179">
        <v>0</v>
      </c>
      <c r="O560" s="178">
        <v>120.07999999999998</v>
      </c>
      <c r="P560" s="453"/>
      <c r="Q560" s="61"/>
      <c r="R560" s="298"/>
      <c r="S560" s="669"/>
      <c r="X560" s="444">
        <v>560</v>
      </c>
    </row>
    <row r="561" spans="1:24" ht="24">
      <c r="A561" s="83" t="s">
        <v>19339</v>
      </c>
      <c r="B561" s="64" t="s">
        <v>39596</v>
      </c>
      <c r="C561" s="71" t="s">
        <v>103</v>
      </c>
      <c r="D561" s="79">
        <v>1</v>
      </c>
      <c r="E561" s="79">
        <v>158.63999999999999</v>
      </c>
      <c r="F561" s="79">
        <v>158.63999999999999</v>
      </c>
      <c r="G561" s="445"/>
      <c r="H561" s="178">
        <v>158.63</v>
      </c>
      <c r="I561" s="178">
        <v>195.12</v>
      </c>
      <c r="J561" s="70">
        <v>-36.480000000000018</v>
      </c>
      <c r="K561" s="320"/>
      <c r="L561" s="178">
        <v>61.54</v>
      </c>
      <c r="M561" s="178">
        <v>97.1</v>
      </c>
      <c r="N561" s="179">
        <v>0</v>
      </c>
      <c r="O561" s="178">
        <v>158.63999999999999</v>
      </c>
      <c r="P561" s="453"/>
      <c r="Q561" s="61"/>
      <c r="R561" s="298"/>
      <c r="S561" s="669"/>
      <c r="X561" s="444">
        <v>561</v>
      </c>
    </row>
    <row r="562" spans="1:24" ht="12">
      <c r="A562" s="83" t="s">
        <v>19340</v>
      </c>
      <c r="B562" s="64" t="s">
        <v>19341</v>
      </c>
      <c r="C562" s="71" t="s">
        <v>396</v>
      </c>
      <c r="D562" s="79">
        <v>1</v>
      </c>
      <c r="E562" s="79">
        <v>118.67999999999999</v>
      </c>
      <c r="F562" s="79">
        <v>118.68</v>
      </c>
      <c r="G562" s="445"/>
      <c r="H562" s="178">
        <v>118.65</v>
      </c>
      <c r="I562" s="178">
        <v>145.94</v>
      </c>
      <c r="J562" s="70">
        <v>-27.260000000000005</v>
      </c>
      <c r="K562" s="320"/>
      <c r="L562" s="178">
        <v>76.949999999999989</v>
      </c>
      <c r="M562" s="178">
        <v>41.730000000000004</v>
      </c>
      <c r="N562" s="179">
        <v>0</v>
      </c>
      <c r="O562" s="178">
        <v>118.67999999999999</v>
      </c>
      <c r="P562" s="453"/>
      <c r="Q562" s="61"/>
      <c r="R562" s="298"/>
      <c r="S562" s="669"/>
      <c r="X562" s="444">
        <v>562</v>
      </c>
    </row>
    <row r="563" spans="1:24" ht="12">
      <c r="A563" s="83" t="s">
        <v>19342</v>
      </c>
      <c r="B563" s="64" t="s">
        <v>19343</v>
      </c>
      <c r="C563" s="71" t="s">
        <v>103</v>
      </c>
      <c r="D563" s="79">
        <v>1</v>
      </c>
      <c r="E563" s="79">
        <v>21.200000000000003</v>
      </c>
      <c r="F563" s="79">
        <v>21.2</v>
      </c>
      <c r="G563" s="445"/>
      <c r="H563" s="178">
        <v>21.2</v>
      </c>
      <c r="I563" s="178">
        <v>26.08</v>
      </c>
      <c r="J563" s="70">
        <v>-4.8799999999999955</v>
      </c>
      <c r="K563" s="320"/>
      <c r="L563" s="178">
        <v>1.42</v>
      </c>
      <c r="M563" s="178">
        <v>19.78</v>
      </c>
      <c r="N563" s="179">
        <v>0</v>
      </c>
      <c r="O563" s="178">
        <v>21.200000000000003</v>
      </c>
      <c r="P563" s="453"/>
      <c r="Q563" s="61"/>
      <c r="R563" s="298"/>
      <c r="S563" s="669"/>
      <c r="X563" s="444">
        <v>563</v>
      </c>
    </row>
    <row r="564" spans="1:24" ht="12">
      <c r="A564" s="83" t="s">
        <v>19344</v>
      </c>
      <c r="B564" s="64" t="s">
        <v>19345</v>
      </c>
      <c r="C564" s="71" t="s">
        <v>103</v>
      </c>
      <c r="D564" s="79">
        <v>1</v>
      </c>
      <c r="E564" s="79">
        <v>32.35</v>
      </c>
      <c r="F564" s="79">
        <v>32.35</v>
      </c>
      <c r="G564" s="445"/>
      <c r="H564" s="178">
        <v>32.35</v>
      </c>
      <c r="I564" s="178">
        <v>39.79</v>
      </c>
      <c r="J564" s="70">
        <v>-7.4399999999999977</v>
      </c>
      <c r="K564" s="320"/>
      <c r="L564" s="178">
        <v>1.42</v>
      </c>
      <c r="M564" s="178">
        <v>30.93</v>
      </c>
      <c r="N564" s="179">
        <v>0</v>
      </c>
      <c r="O564" s="178">
        <v>32.35</v>
      </c>
      <c r="P564" s="453"/>
      <c r="Q564" s="61"/>
      <c r="R564" s="298"/>
      <c r="S564" s="669"/>
      <c r="X564" s="444">
        <v>564</v>
      </c>
    </row>
    <row r="565" spans="1:24" ht="12">
      <c r="A565" s="83" t="s">
        <v>19346</v>
      </c>
      <c r="B565" s="64" t="s">
        <v>19347</v>
      </c>
      <c r="C565" s="71" t="s">
        <v>103</v>
      </c>
      <c r="D565" s="79">
        <v>1</v>
      </c>
      <c r="E565" s="79">
        <v>44.56</v>
      </c>
      <c r="F565" s="79">
        <v>44.56</v>
      </c>
      <c r="G565" s="445"/>
      <c r="H565" s="178">
        <v>44.56</v>
      </c>
      <c r="I565" s="178">
        <v>54.81</v>
      </c>
      <c r="J565" s="70">
        <v>-10.25</v>
      </c>
      <c r="K565" s="320"/>
      <c r="L565" s="178">
        <v>1.42</v>
      </c>
      <c r="M565" s="178">
        <v>43.14</v>
      </c>
      <c r="N565" s="179">
        <v>0</v>
      </c>
      <c r="O565" s="178">
        <v>44.56</v>
      </c>
      <c r="P565" s="453"/>
      <c r="Q565" s="61"/>
      <c r="R565" s="298"/>
      <c r="S565" s="669"/>
      <c r="X565" s="444">
        <v>565</v>
      </c>
    </row>
    <row r="566" spans="1:24" ht="12">
      <c r="A566" s="83" t="s">
        <v>19348</v>
      </c>
      <c r="B566" s="64" t="s">
        <v>19349</v>
      </c>
      <c r="C566" s="71" t="s">
        <v>103</v>
      </c>
      <c r="D566" s="79">
        <v>1</v>
      </c>
      <c r="E566" s="79">
        <v>51.96</v>
      </c>
      <c r="F566" s="79">
        <v>51.96</v>
      </c>
      <c r="G566" s="445"/>
      <c r="H566" s="178">
        <v>51.96</v>
      </c>
      <c r="I566" s="178">
        <v>63.91</v>
      </c>
      <c r="J566" s="70">
        <v>-11.949999999999996</v>
      </c>
      <c r="K566" s="320"/>
      <c r="L566" s="178">
        <v>1.42</v>
      </c>
      <c r="M566" s="178">
        <v>50.54</v>
      </c>
      <c r="N566" s="179">
        <v>0</v>
      </c>
      <c r="O566" s="178">
        <v>51.96</v>
      </c>
      <c r="P566" s="453"/>
      <c r="Q566" s="61"/>
      <c r="R566" s="298"/>
      <c r="S566" s="669"/>
      <c r="X566" s="444">
        <v>566</v>
      </c>
    </row>
    <row r="567" spans="1:24" ht="12">
      <c r="A567" s="83" t="s">
        <v>19350</v>
      </c>
      <c r="B567" s="64" t="s">
        <v>19351</v>
      </c>
      <c r="C567" s="71" t="s">
        <v>103</v>
      </c>
      <c r="D567" s="79">
        <v>1</v>
      </c>
      <c r="E567" s="79">
        <v>24.630000000000003</v>
      </c>
      <c r="F567" s="79">
        <v>24.63</v>
      </c>
      <c r="G567" s="445"/>
      <c r="H567" s="178">
        <v>24.63</v>
      </c>
      <c r="I567" s="178">
        <v>30.29</v>
      </c>
      <c r="J567" s="70">
        <v>-5.6599999999999966</v>
      </c>
      <c r="K567" s="320"/>
      <c r="L567" s="178">
        <v>1.42</v>
      </c>
      <c r="M567" s="178">
        <v>23.21</v>
      </c>
      <c r="N567" s="179">
        <v>0</v>
      </c>
      <c r="O567" s="178">
        <v>24.630000000000003</v>
      </c>
      <c r="P567" s="453"/>
      <c r="Q567" s="61"/>
      <c r="R567" s="298"/>
      <c r="S567" s="669"/>
      <c r="X567" s="444">
        <v>567</v>
      </c>
    </row>
    <row r="568" spans="1:24" ht="12">
      <c r="A568" s="83" t="s">
        <v>19352</v>
      </c>
      <c r="B568" s="64" t="s">
        <v>19353</v>
      </c>
      <c r="C568" s="71" t="s">
        <v>103</v>
      </c>
      <c r="D568" s="79">
        <v>1</v>
      </c>
      <c r="E568" s="79">
        <v>12.790000000000001</v>
      </c>
      <c r="F568" s="79">
        <v>12.79</v>
      </c>
      <c r="G568" s="445"/>
      <c r="H568" s="178">
        <v>12.78</v>
      </c>
      <c r="I568" s="178">
        <v>15.72</v>
      </c>
      <c r="J568" s="70">
        <v>-2.9299999999999997</v>
      </c>
      <c r="K568" s="320"/>
      <c r="L568" s="178">
        <v>8.5500000000000007</v>
      </c>
      <c r="M568" s="178">
        <v>4.24</v>
      </c>
      <c r="N568" s="179">
        <v>0</v>
      </c>
      <c r="O568" s="178">
        <v>12.790000000000001</v>
      </c>
      <c r="P568" s="453"/>
      <c r="Q568" s="61"/>
      <c r="R568" s="298"/>
      <c r="S568" s="669"/>
      <c r="X568" s="444">
        <v>568</v>
      </c>
    </row>
    <row r="569" spans="1:24" ht="12">
      <c r="A569" s="83" t="s">
        <v>19354</v>
      </c>
      <c r="B569" s="64" t="s">
        <v>19355</v>
      </c>
      <c r="C569" s="71" t="s">
        <v>103</v>
      </c>
      <c r="D569" s="79">
        <v>1</v>
      </c>
      <c r="E569" s="79">
        <v>17.64</v>
      </c>
      <c r="F569" s="79">
        <v>17.64</v>
      </c>
      <c r="G569" s="445"/>
      <c r="H569" s="178">
        <v>17.63</v>
      </c>
      <c r="I569" s="178">
        <v>21.69</v>
      </c>
      <c r="J569" s="70">
        <v>-4.0500000000000007</v>
      </c>
      <c r="K569" s="320"/>
      <c r="L569" s="178">
        <v>8.5500000000000007</v>
      </c>
      <c r="M569" s="178">
        <v>9.09</v>
      </c>
      <c r="N569" s="179">
        <v>0</v>
      </c>
      <c r="O569" s="178">
        <v>17.64</v>
      </c>
      <c r="P569" s="453"/>
      <c r="Q569" s="61"/>
      <c r="R569" s="298"/>
      <c r="S569" s="669"/>
      <c r="X569" s="444">
        <v>569</v>
      </c>
    </row>
    <row r="570" spans="1:24" ht="12">
      <c r="A570" s="83" t="s">
        <v>19356</v>
      </c>
      <c r="B570" s="64" t="s">
        <v>19357</v>
      </c>
      <c r="C570" s="71" t="s">
        <v>103</v>
      </c>
      <c r="D570" s="79">
        <v>1</v>
      </c>
      <c r="E570" s="79">
        <v>18.670000000000002</v>
      </c>
      <c r="F570" s="79">
        <v>18.670000000000002</v>
      </c>
      <c r="G570" s="445"/>
      <c r="H570" s="178">
        <v>18.66</v>
      </c>
      <c r="I570" s="178">
        <v>22.95</v>
      </c>
      <c r="J570" s="70">
        <v>-4.2799999999999976</v>
      </c>
      <c r="K570" s="320"/>
      <c r="L570" s="178">
        <v>8.5500000000000007</v>
      </c>
      <c r="M570" s="178">
        <v>10.120000000000001</v>
      </c>
      <c r="N570" s="179">
        <v>0</v>
      </c>
      <c r="O570" s="178">
        <v>18.670000000000002</v>
      </c>
      <c r="P570" s="453"/>
      <c r="Q570" s="61"/>
      <c r="R570" s="298"/>
      <c r="S570" s="669"/>
      <c r="X570" s="444">
        <v>570</v>
      </c>
    </row>
    <row r="571" spans="1:24" ht="12">
      <c r="A571" s="83" t="s">
        <v>19358</v>
      </c>
      <c r="B571" s="64" t="s">
        <v>19359</v>
      </c>
      <c r="C571" s="71" t="s">
        <v>10216</v>
      </c>
      <c r="D571" s="79">
        <v>1</v>
      </c>
      <c r="E571" s="79">
        <v>577.26</v>
      </c>
      <c r="F571" s="79">
        <v>577.26</v>
      </c>
      <c r="G571" s="445"/>
      <c r="H571" s="178">
        <v>577.25</v>
      </c>
      <c r="I571" s="178">
        <v>710.02</v>
      </c>
      <c r="J571" s="70">
        <v>-132.76</v>
      </c>
      <c r="K571" s="320"/>
      <c r="L571" s="178">
        <v>14.83</v>
      </c>
      <c r="M571" s="178">
        <v>562.42999999999995</v>
      </c>
      <c r="N571" s="179">
        <v>0</v>
      </c>
      <c r="O571" s="178">
        <v>577.26</v>
      </c>
      <c r="P571" s="453"/>
      <c r="Q571" s="61"/>
      <c r="R571" s="298"/>
      <c r="S571" s="669"/>
      <c r="X571" s="444">
        <v>571</v>
      </c>
    </row>
    <row r="572" spans="1:24" ht="12">
      <c r="A572" s="83" t="s">
        <v>39597</v>
      </c>
      <c r="B572" s="64" t="s">
        <v>39598</v>
      </c>
      <c r="C572" s="71"/>
      <c r="D572" s="79" t="s">
        <v>40899</v>
      </c>
      <c r="E572" s="79" t="s">
        <v>40899</v>
      </c>
      <c r="F572" s="79"/>
      <c r="G572" s="445"/>
      <c r="H572" s="178"/>
      <c r="I572" s="178"/>
      <c r="J572" s="70"/>
      <c r="K572" s="320"/>
      <c r="L572" s="178"/>
      <c r="M572" s="178"/>
      <c r="N572" s="179"/>
      <c r="O572" s="178"/>
      <c r="P572" s="453"/>
      <c r="Q572" s="61"/>
      <c r="R572" s="298"/>
      <c r="S572" s="669"/>
      <c r="X572" s="444">
        <v>572</v>
      </c>
    </row>
    <row r="573" spans="1:24" ht="12">
      <c r="A573" s="83" t="s">
        <v>19360</v>
      </c>
      <c r="B573" s="64" t="s">
        <v>19361</v>
      </c>
      <c r="C573" s="71" t="s">
        <v>165</v>
      </c>
      <c r="D573" s="79">
        <v>1</v>
      </c>
      <c r="E573" s="79">
        <v>392.92999999999995</v>
      </c>
      <c r="F573" s="79">
        <v>392.93</v>
      </c>
      <c r="G573" s="445"/>
      <c r="H573" s="178">
        <v>392.93</v>
      </c>
      <c r="I573" s="178">
        <v>483.3</v>
      </c>
      <c r="J573" s="70">
        <v>-90.370000000000061</v>
      </c>
      <c r="K573" s="320"/>
      <c r="L573" s="178">
        <v>4.38</v>
      </c>
      <c r="M573" s="178">
        <v>388.54999999999995</v>
      </c>
      <c r="N573" s="179">
        <v>0</v>
      </c>
      <c r="O573" s="178">
        <v>392.92999999999995</v>
      </c>
      <c r="P573" s="453"/>
      <c r="Q573" s="61"/>
      <c r="R573" s="298"/>
      <c r="S573" s="669"/>
      <c r="X573" s="444">
        <v>573</v>
      </c>
    </row>
    <row r="574" spans="1:24" ht="12">
      <c r="A574" s="83" t="s">
        <v>19362</v>
      </c>
      <c r="B574" s="64" t="s">
        <v>19363</v>
      </c>
      <c r="C574" s="71" t="s">
        <v>10216</v>
      </c>
      <c r="D574" s="79">
        <v>1</v>
      </c>
      <c r="E574" s="79">
        <v>577.26</v>
      </c>
      <c r="F574" s="79">
        <v>577.26</v>
      </c>
      <c r="G574" s="445"/>
      <c r="H574" s="178">
        <v>577.25</v>
      </c>
      <c r="I574" s="178">
        <v>710.02</v>
      </c>
      <c r="J574" s="70">
        <v>-132.76</v>
      </c>
      <c r="K574" s="320"/>
      <c r="L574" s="178"/>
      <c r="M574" s="178">
        <v>577.26</v>
      </c>
      <c r="N574" s="179">
        <v>0</v>
      </c>
      <c r="O574" s="178">
        <v>577.26</v>
      </c>
      <c r="P574" s="453"/>
      <c r="Q574" s="61"/>
      <c r="R574" s="298"/>
      <c r="S574" s="669"/>
      <c r="X574" s="444">
        <v>574</v>
      </c>
    </row>
    <row r="575" spans="1:24" ht="12">
      <c r="A575" s="83" t="s">
        <v>39599</v>
      </c>
      <c r="B575" s="64" t="s">
        <v>39600</v>
      </c>
      <c r="C575" s="71"/>
      <c r="D575" s="79" t="s">
        <v>40899</v>
      </c>
      <c r="E575" s="79" t="s">
        <v>40899</v>
      </c>
      <c r="F575" s="79"/>
      <c r="G575" s="445"/>
      <c r="H575" s="178"/>
      <c r="I575" s="178"/>
      <c r="J575" s="70"/>
      <c r="K575" s="320"/>
      <c r="L575" s="178"/>
      <c r="M575" s="178"/>
      <c r="N575" s="179"/>
      <c r="O575" s="178"/>
      <c r="P575" s="453"/>
      <c r="Q575" s="61"/>
      <c r="R575" s="298"/>
      <c r="S575" s="669"/>
      <c r="X575" s="444">
        <v>575</v>
      </c>
    </row>
    <row r="576" spans="1:24" ht="12">
      <c r="A576" s="83" t="s">
        <v>11477</v>
      </c>
      <c r="B576" s="64" t="s">
        <v>30935</v>
      </c>
      <c r="C576" s="71"/>
      <c r="D576" s="79" t="s">
        <v>40899</v>
      </c>
      <c r="E576" s="79" t="s">
        <v>40899</v>
      </c>
      <c r="F576" s="79"/>
      <c r="G576" s="445"/>
      <c r="H576" s="178"/>
      <c r="I576" s="178"/>
      <c r="J576" s="70"/>
      <c r="K576" s="320"/>
      <c r="L576" s="178"/>
      <c r="M576" s="178"/>
      <c r="N576" s="179"/>
      <c r="O576" s="178"/>
      <c r="P576" s="453"/>
      <c r="Q576" s="61"/>
      <c r="R576" s="298"/>
      <c r="S576" s="669"/>
      <c r="X576" s="444">
        <v>576</v>
      </c>
    </row>
    <row r="577" spans="1:24" ht="12">
      <c r="A577" s="83" t="s">
        <v>19364</v>
      </c>
      <c r="B577" s="64" t="s">
        <v>7216</v>
      </c>
      <c r="C577" s="71" t="s">
        <v>103</v>
      </c>
      <c r="D577" s="79">
        <v>1</v>
      </c>
      <c r="E577" s="79">
        <v>797.58</v>
      </c>
      <c r="F577" s="79">
        <v>797.58</v>
      </c>
      <c r="G577" s="445"/>
      <c r="H577" s="178">
        <v>797.58</v>
      </c>
      <c r="I577" s="178">
        <v>981.02</v>
      </c>
      <c r="J577" s="70">
        <v>-183.43999999999994</v>
      </c>
      <c r="K577" s="320"/>
      <c r="L577" s="178">
        <v>24.71</v>
      </c>
      <c r="M577" s="178">
        <v>772.87</v>
      </c>
      <c r="N577" s="179">
        <v>0</v>
      </c>
      <c r="O577" s="178">
        <v>797.58</v>
      </c>
      <c r="P577" s="453"/>
      <c r="Q577" s="61"/>
      <c r="R577" s="298"/>
      <c r="S577" s="669"/>
      <c r="X577" s="444">
        <v>577</v>
      </c>
    </row>
    <row r="578" spans="1:24" ht="12">
      <c r="A578" s="83" t="s">
        <v>19365</v>
      </c>
      <c r="B578" s="64" t="s">
        <v>7218</v>
      </c>
      <c r="C578" s="71" t="s">
        <v>103</v>
      </c>
      <c r="D578" s="79">
        <v>1</v>
      </c>
      <c r="E578" s="79">
        <v>1391.03</v>
      </c>
      <c r="F578" s="79">
        <v>1391.03</v>
      </c>
      <c r="G578" s="445"/>
      <c r="H578" s="178">
        <v>1391.02</v>
      </c>
      <c r="I578" s="178">
        <v>1710.96</v>
      </c>
      <c r="J578" s="70">
        <v>-319.93000000000006</v>
      </c>
      <c r="K578" s="320"/>
      <c r="L578" s="178">
        <v>46.95</v>
      </c>
      <c r="M578" s="178">
        <v>1344.08</v>
      </c>
      <c r="N578" s="179">
        <v>0</v>
      </c>
      <c r="O578" s="178">
        <v>1391.03</v>
      </c>
      <c r="P578" s="453"/>
      <c r="Q578" s="61"/>
      <c r="R578" s="298"/>
      <c r="S578" s="669"/>
      <c r="X578" s="444">
        <v>578</v>
      </c>
    </row>
    <row r="579" spans="1:24" ht="12">
      <c r="A579" s="83" t="s">
        <v>19366</v>
      </c>
      <c r="B579" s="64" t="s">
        <v>7304</v>
      </c>
      <c r="C579" s="71" t="s">
        <v>103</v>
      </c>
      <c r="D579" s="79">
        <v>1</v>
      </c>
      <c r="E579" s="79">
        <v>1617.32</v>
      </c>
      <c r="F579" s="79">
        <v>1617.32</v>
      </c>
      <c r="G579" s="445"/>
      <c r="H579" s="178">
        <v>1617.32</v>
      </c>
      <c r="I579" s="178">
        <v>1989.3</v>
      </c>
      <c r="J579" s="70">
        <v>-371.98</v>
      </c>
      <c r="K579" s="320"/>
      <c r="L579" s="178">
        <v>59.300000000000004</v>
      </c>
      <c r="M579" s="178">
        <v>1558.02</v>
      </c>
      <c r="N579" s="179">
        <v>0</v>
      </c>
      <c r="O579" s="178">
        <v>1617.32</v>
      </c>
      <c r="P579" s="453"/>
      <c r="Q579" s="61"/>
      <c r="R579" s="298"/>
      <c r="S579" s="669"/>
      <c r="X579" s="444">
        <v>579</v>
      </c>
    </row>
    <row r="580" spans="1:24" ht="12">
      <c r="A580" s="83" t="s">
        <v>19367</v>
      </c>
      <c r="B580" s="64" t="s">
        <v>7206</v>
      </c>
      <c r="C580" s="71" t="s">
        <v>103</v>
      </c>
      <c r="D580" s="79">
        <v>1</v>
      </c>
      <c r="E580" s="79">
        <v>1544.63</v>
      </c>
      <c r="F580" s="79">
        <v>1544.63</v>
      </c>
      <c r="G580" s="445"/>
      <c r="H580" s="178">
        <v>1544.62</v>
      </c>
      <c r="I580" s="178">
        <v>1899.88</v>
      </c>
      <c r="J580" s="70">
        <v>-355.25</v>
      </c>
      <c r="K580" s="320"/>
      <c r="L580" s="178">
        <v>54.370000000000005</v>
      </c>
      <c r="M580" s="178">
        <v>1490.2600000000002</v>
      </c>
      <c r="N580" s="179">
        <v>0</v>
      </c>
      <c r="O580" s="178">
        <v>1544.63</v>
      </c>
      <c r="P580" s="453"/>
      <c r="Q580" s="61"/>
      <c r="R580" s="298"/>
      <c r="S580" s="669"/>
      <c r="X580" s="444">
        <v>580</v>
      </c>
    </row>
    <row r="581" spans="1:24" ht="12">
      <c r="A581" s="83" t="s">
        <v>19368</v>
      </c>
      <c r="B581" s="64" t="s">
        <v>7208</v>
      </c>
      <c r="C581" s="71" t="s">
        <v>103</v>
      </c>
      <c r="D581" s="79">
        <v>1</v>
      </c>
      <c r="E581" s="79">
        <v>2563.4699999999998</v>
      </c>
      <c r="F581" s="79">
        <v>2563.4699999999998</v>
      </c>
      <c r="G581" s="445"/>
      <c r="H581" s="178">
        <v>2563.46</v>
      </c>
      <c r="I581" s="178">
        <v>3153.05</v>
      </c>
      <c r="J581" s="70">
        <v>-589.58000000000038</v>
      </c>
      <c r="K581" s="320"/>
      <c r="L581" s="178">
        <v>103.78999999999999</v>
      </c>
      <c r="M581" s="178">
        <v>2459.6799999999998</v>
      </c>
      <c r="N581" s="179">
        <v>0</v>
      </c>
      <c r="O581" s="178">
        <v>2563.4699999999998</v>
      </c>
      <c r="P581" s="453"/>
      <c r="Q581" s="61"/>
      <c r="R581" s="298"/>
      <c r="S581" s="669"/>
      <c r="X581" s="444">
        <v>581</v>
      </c>
    </row>
    <row r="582" spans="1:24" ht="12">
      <c r="A582" s="83" t="s">
        <v>19369</v>
      </c>
      <c r="B582" s="64" t="s">
        <v>19370</v>
      </c>
      <c r="C582" s="71" t="s">
        <v>103</v>
      </c>
      <c r="D582" s="79">
        <v>1</v>
      </c>
      <c r="E582" s="79">
        <v>3850.51</v>
      </c>
      <c r="F582" s="79">
        <v>3850.51</v>
      </c>
      <c r="G582" s="445"/>
      <c r="H582" s="178">
        <v>3850.5</v>
      </c>
      <c r="I582" s="178">
        <v>4736.12</v>
      </c>
      <c r="J582" s="70">
        <v>-885.60999999999967</v>
      </c>
      <c r="K582" s="320"/>
      <c r="L582" s="178">
        <v>128.49</v>
      </c>
      <c r="M582" s="178">
        <v>3722.0200000000004</v>
      </c>
      <c r="N582" s="179">
        <v>0</v>
      </c>
      <c r="O582" s="178">
        <v>3850.51</v>
      </c>
      <c r="P582" s="453"/>
      <c r="Q582" s="61"/>
      <c r="R582" s="298"/>
      <c r="S582" s="669"/>
      <c r="X582" s="444">
        <v>582</v>
      </c>
    </row>
    <row r="583" spans="1:24" ht="12">
      <c r="A583" s="83" t="s">
        <v>19371</v>
      </c>
      <c r="B583" s="64" t="s">
        <v>7108</v>
      </c>
      <c r="C583" s="71" t="s">
        <v>103</v>
      </c>
      <c r="D583" s="79">
        <v>1</v>
      </c>
      <c r="E583" s="79">
        <v>1395.6299999999999</v>
      </c>
      <c r="F583" s="79">
        <v>1395.63</v>
      </c>
      <c r="G583" s="445"/>
      <c r="H583" s="178">
        <v>1395.63</v>
      </c>
      <c r="I583" s="178">
        <v>1716.62</v>
      </c>
      <c r="J583" s="70">
        <v>-320.99</v>
      </c>
      <c r="K583" s="320"/>
      <c r="L583" s="178">
        <v>40.03</v>
      </c>
      <c r="M583" s="178">
        <v>1355.6</v>
      </c>
      <c r="N583" s="179">
        <v>0</v>
      </c>
      <c r="O583" s="178">
        <v>1395.6299999999999</v>
      </c>
      <c r="P583" s="453"/>
      <c r="Q583" s="61"/>
      <c r="R583" s="298"/>
      <c r="S583" s="669"/>
      <c r="X583" s="444">
        <v>583</v>
      </c>
    </row>
    <row r="584" spans="1:24" ht="12">
      <c r="A584" s="83" t="s">
        <v>19372</v>
      </c>
      <c r="B584" s="64" t="s">
        <v>7106</v>
      </c>
      <c r="C584" s="71" t="s">
        <v>103</v>
      </c>
      <c r="D584" s="79">
        <v>1</v>
      </c>
      <c r="E584" s="79">
        <v>2004.02</v>
      </c>
      <c r="F584" s="79">
        <v>2004.02</v>
      </c>
      <c r="G584" s="445"/>
      <c r="H584" s="178">
        <v>2004.02</v>
      </c>
      <c r="I584" s="178">
        <v>2464.9499999999998</v>
      </c>
      <c r="J584" s="70">
        <v>-460.92999999999984</v>
      </c>
      <c r="K584" s="320"/>
      <c r="L584" s="178">
        <v>80.050000000000011</v>
      </c>
      <c r="M584" s="178">
        <v>1923.97</v>
      </c>
      <c r="N584" s="179">
        <v>0</v>
      </c>
      <c r="O584" s="178">
        <v>2004.02</v>
      </c>
      <c r="P584" s="453"/>
      <c r="Q584" s="61"/>
      <c r="R584" s="298"/>
      <c r="S584" s="669"/>
      <c r="X584" s="444">
        <v>584</v>
      </c>
    </row>
    <row r="585" spans="1:24" ht="12">
      <c r="A585" s="83" t="s">
        <v>19373</v>
      </c>
      <c r="B585" s="64" t="s">
        <v>19374</v>
      </c>
      <c r="C585" s="71" t="s">
        <v>509</v>
      </c>
      <c r="D585" s="79">
        <v>1</v>
      </c>
      <c r="E585" s="79">
        <v>667.87</v>
      </c>
      <c r="F585" s="79">
        <v>667.87</v>
      </c>
      <c r="G585" s="445"/>
      <c r="H585" s="178">
        <v>667.86</v>
      </c>
      <c r="I585" s="178">
        <v>821.47</v>
      </c>
      <c r="J585" s="70">
        <v>-153.60000000000002</v>
      </c>
      <c r="K585" s="320"/>
      <c r="L585" s="178">
        <v>49.42</v>
      </c>
      <c r="M585" s="178">
        <v>618.45000000000005</v>
      </c>
      <c r="N585" s="179">
        <v>0</v>
      </c>
      <c r="O585" s="178">
        <v>667.87</v>
      </c>
      <c r="P585" s="453"/>
      <c r="Q585" s="61"/>
      <c r="R585" s="298"/>
      <c r="S585" s="669"/>
      <c r="X585" s="444">
        <v>585</v>
      </c>
    </row>
    <row r="586" spans="1:24" ht="12">
      <c r="A586" s="83" t="s">
        <v>19375</v>
      </c>
      <c r="B586" s="64" t="s">
        <v>7122</v>
      </c>
      <c r="C586" s="71" t="s">
        <v>103</v>
      </c>
      <c r="D586" s="79">
        <v>1</v>
      </c>
      <c r="E586" s="79">
        <v>2244.86</v>
      </c>
      <c r="F586" s="79">
        <v>2244.86</v>
      </c>
      <c r="G586" s="445"/>
      <c r="H586" s="178">
        <v>2244.86</v>
      </c>
      <c r="I586" s="178">
        <v>2761.18</v>
      </c>
      <c r="J586" s="70">
        <v>-516.31999999999971</v>
      </c>
      <c r="K586" s="320"/>
      <c r="L586" s="178">
        <v>98.83</v>
      </c>
      <c r="M586" s="178">
        <v>2146.0300000000002</v>
      </c>
      <c r="N586" s="179">
        <v>0</v>
      </c>
      <c r="O586" s="178">
        <v>2244.86</v>
      </c>
      <c r="P586" s="453"/>
      <c r="Q586" s="61"/>
      <c r="R586" s="298"/>
      <c r="S586" s="669"/>
      <c r="X586" s="444">
        <v>586</v>
      </c>
    </row>
    <row r="587" spans="1:24" ht="12">
      <c r="A587" s="83" t="s">
        <v>19376</v>
      </c>
      <c r="B587" s="64" t="s">
        <v>7124</v>
      </c>
      <c r="C587" s="71" t="s">
        <v>103</v>
      </c>
      <c r="D587" s="79">
        <v>1</v>
      </c>
      <c r="E587" s="79">
        <v>4435.55</v>
      </c>
      <c r="F587" s="79">
        <v>4435.55</v>
      </c>
      <c r="G587" s="445"/>
      <c r="H587" s="178">
        <v>4435.55</v>
      </c>
      <c r="I587" s="178">
        <v>5455.73</v>
      </c>
      <c r="J587" s="70">
        <v>-1020.1799999999994</v>
      </c>
      <c r="K587" s="320"/>
      <c r="L587" s="178">
        <v>190.25</v>
      </c>
      <c r="M587" s="178">
        <v>4245.3</v>
      </c>
      <c r="N587" s="179">
        <v>0</v>
      </c>
      <c r="O587" s="178">
        <v>4435.55</v>
      </c>
      <c r="P587" s="453"/>
      <c r="Q587" s="61"/>
      <c r="R587" s="298"/>
      <c r="S587" s="669"/>
      <c r="X587" s="444">
        <v>587</v>
      </c>
    </row>
    <row r="588" spans="1:24" ht="12">
      <c r="A588" s="83" t="s">
        <v>19377</v>
      </c>
      <c r="B588" s="64" t="s">
        <v>19378</v>
      </c>
      <c r="C588" s="71" t="s">
        <v>103</v>
      </c>
      <c r="D588" s="79">
        <v>1</v>
      </c>
      <c r="E588" s="79">
        <v>809.09</v>
      </c>
      <c r="F588" s="79">
        <v>809.09</v>
      </c>
      <c r="G588" s="445"/>
      <c r="H588" s="178">
        <v>809.08</v>
      </c>
      <c r="I588" s="178">
        <v>995.17</v>
      </c>
      <c r="J588" s="70">
        <v>-186.07999999999993</v>
      </c>
      <c r="K588" s="320"/>
      <c r="L588" s="178">
        <v>24.71</v>
      </c>
      <c r="M588" s="178">
        <v>784.38</v>
      </c>
      <c r="N588" s="179">
        <v>0</v>
      </c>
      <c r="O588" s="178">
        <v>809.09</v>
      </c>
      <c r="P588" s="453"/>
      <c r="Q588" s="61"/>
      <c r="R588" s="298"/>
      <c r="S588" s="669"/>
      <c r="X588" s="444">
        <v>588</v>
      </c>
    </row>
    <row r="589" spans="1:24" ht="12">
      <c r="A589" s="83" t="s">
        <v>11479</v>
      </c>
      <c r="B589" s="64" t="s">
        <v>19379</v>
      </c>
      <c r="C589" s="71" t="s">
        <v>103</v>
      </c>
      <c r="D589" s="79">
        <v>1</v>
      </c>
      <c r="E589" s="79">
        <v>1000.09</v>
      </c>
      <c r="F589" s="79">
        <v>1000.09</v>
      </c>
      <c r="G589" s="445"/>
      <c r="H589" s="178">
        <v>1000.07</v>
      </c>
      <c r="I589" s="178">
        <v>1230.0899999999999</v>
      </c>
      <c r="J589" s="70">
        <v>-229.99999999999989</v>
      </c>
      <c r="K589" s="320"/>
      <c r="L589" s="178">
        <v>54.370000000000005</v>
      </c>
      <c r="M589" s="178">
        <v>945.72</v>
      </c>
      <c r="N589" s="179">
        <v>0</v>
      </c>
      <c r="O589" s="178">
        <v>1000.09</v>
      </c>
      <c r="P589" s="453"/>
      <c r="Q589" s="61"/>
      <c r="R589" s="298"/>
      <c r="S589" s="669"/>
      <c r="X589" s="444">
        <v>589</v>
      </c>
    </row>
    <row r="590" spans="1:24" ht="12">
      <c r="A590" s="83" t="s">
        <v>19380</v>
      </c>
      <c r="B590" s="64" t="s">
        <v>7220</v>
      </c>
      <c r="C590" s="71" t="s">
        <v>103</v>
      </c>
      <c r="D590" s="79">
        <v>1</v>
      </c>
      <c r="E590" s="79">
        <v>2440.0299999999997</v>
      </c>
      <c r="F590" s="79">
        <v>2440.0300000000002</v>
      </c>
      <c r="G590" s="445"/>
      <c r="H590" s="178">
        <v>2440.02</v>
      </c>
      <c r="I590" s="178">
        <v>3001.22</v>
      </c>
      <c r="J590" s="70">
        <v>-561.19000000000005</v>
      </c>
      <c r="K590" s="320"/>
      <c r="L590" s="178">
        <v>153.19999999999999</v>
      </c>
      <c r="M590" s="178">
        <v>2286.83</v>
      </c>
      <c r="N590" s="179">
        <v>0</v>
      </c>
      <c r="O590" s="178">
        <v>2440.0299999999997</v>
      </c>
      <c r="P590" s="453"/>
      <c r="Q590" s="61"/>
      <c r="R590" s="298"/>
      <c r="S590" s="669"/>
      <c r="X590" s="444">
        <v>590</v>
      </c>
    </row>
    <row r="591" spans="1:24" ht="12">
      <c r="A591" s="83" t="s">
        <v>19381</v>
      </c>
      <c r="B591" s="64" t="s">
        <v>7226</v>
      </c>
      <c r="C591" s="71" t="s">
        <v>103</v>
      </c>
      <c r="D591" s="79">
        <v>1</v>
      </c>
      <c r="E591" s="79">
        <v>2807.13</v>
      </c>
      <c r="F591" s="79">
        <v>2807.13</v>
      </c>
      <c r="G591" s="445"/>
      <c r="H591" s="178">
        <v>2807.13</v>
      </c>
      <c r="I591" s="178">
        <v>3452.77</v>
      </c>
      <c r="J591" s="70">
        <v>-645.63999999999987</v>
      </c>
      <c r="K591" s="320"/>
      <c r="L591" s="178">
        <v>190.25</v>
      </c>
      <c r="M591" s="178">
        <v>2616.88</v>
      </c>
      <c r="N591" s="179">
        <v>0</v>
      </c>
      <c r="O591" s="178">
        <v>2807.13</v>
      </c>
      <c r="P591" s="453"/>
      <c r="Q591" s="61"/>
      <c r="R591" s="298"/>
      <c r="S591" s="669"/>
      <c r="X591" s="444">
        <v>591</v>
      </c>
    </row>
    <row r="592" spans="1:24" ht="12">
      <c r="A592" s="83" t="s">
        <v>19382</v>
      </c>
      <c r="B592" s="64" t="s">
        <v>19383</v>
      </c>
      <c r="C592" s="71" t="s">
        <v>103</v>
      </c>
      <c r="D592" s="79">
        <v>1</v>
      </c>
      <c r="E592" s="79">
        <v>3823.5</v>
      </c>
      <c r="F592" s="79">
        <v>3823.5</v>
      </c>
      <c r="G592" s="445"/>
      <c r="H592" s="178">
        <v>3823.5</v>
      </c>
      <c r="I592" s="178">
        <v>4702.91</v>
      </c>
      <c r="J592" s="70">
        <v>-879.40999999999985</v>
      </c>
      <c r="K592" s="320"/>
      <c r="L592" s="178">
        <v>98.83</v>
      </c>
      <c r="M592" s="178">
        <v>3724.67</v>
      </c>
      <c r="N592" s="179">
        <v>0</v>
      </c>
      <c r="O592" s="178">
        <v>3823.5</v>
      </c>
      <c r="P592" s="453"/>
      <c r="Q592" s="61"/>
      <c r="R592" s="298"/>
      <c r="S592" s="669"/>
      <c r="X592" s="444">
        <v>592</v>
      </c>
    </row>
    <row r="593" spans="1:24" ht="12">
      <c r="A593" s="83" t="s">
        <v>19384</v>
      </c>
      <c r="B593" s="64" t="s">
        <v>19385</v>
      </c>
      <c r="C593" s="71" t="s">
        <v>509</v>
      </c>
      <c r="D593" s="79">
        <v>1</v>
      </c>
      <c r="E593" s="79">
        <v>1427.95</v>
      </c>
      <c r="F593" s="79">
        <v>1427.95</v>
      </c>
      <c r="G593" s="445"/>
      <c r="H593" s="178">
        <v>1427.94</v>
      </c>
      <c r="I593" s="178">
        <v>1756.37</v>
      </c>
      <c r="J593" s="70">
        <v>-328.41999999999985</v>
      </c>
      <c r="K593" s="320"/>
      <c r="L593" s="178">
        <v>49.42</v>
      </c>
      <c r="M593" s="178">
        <v>1378.53</v>
      </c>
      <c r="N593" s="179">
        <v>0</v>
      </c>
      <c r="O593" s="178">
        <v>1427.95</v>
      </c>
      <c r="P593" s="453"/>
      <c r="Q593" s="61"/>
      <c r="R593" s="298"/>
      <c r="S593" s="669"/>
      <c r="X593" s="444">
        <v>593</v>
      </c>
    </row>
    <row r="594" spans="1:24" ht="12">
      <c r="A594" s="83" t="s">
        <v>19386</v>
      </c>
      <c r="B594" s="64" t="s">
        <v>19387</v>
      </c>
      <c r="C594" s="71" t="s">
        <v>509</v>
      </c>
      <c r="D594" s="79">
        <v>1</v>
      </c>
      <c r="E594" s="79">
        <v>1297.52</v>
      </c>
      <c r="F594" s="79">
        <v>1297.52</v>
      </c>
      <c r="G594" s="445"/>
      <c r="H594" s="178">
        <v>1297.51</v>
      </c>
      <c r="I594" s="178">
        <v>1595.94</v>
      </c>
      <c r="J594" s="70">
        <v>-298.42000000000007</v>
      </c>
      <c r="K594" s="320"/>
      <c r="L594" s="178">
        <v>49.42</v>
      </c>
      <c r="M594" s="178">
        <v>1248.0999999999999</v>
      </c>
      <c r="N594" s="179">
        <v>0</v>
      </c>
      <c r="O594" s="178">
        <v>1297.52</v>
      </c>
      <c r="P594" s="453"/>
      <c r="Q594" s="61"/>
      <c r="R594" s="298"/>
      <c r="S594" s="669"/>
      <c r="X594" s="444">
        <v>594</v>
      </c>
    </row>
    <row r="595" spans="1:24" ht="12">
      <c r="A595" s="83" t="s">
        <v>19388</v>
      </c>
      <c r="B595" s="64" t="s">
        <v>19389</v>
      </c>
      <c r="C595" s="71" t="s">
        <v>509</v>
      </c>
      <c r="D595" s="79">
        <v>1</v>
      </c>
      <c r="E595" s="79">
        <v>925.08999999999992</v>
      </c>
      <c r="F595" s="79">
        <v>925.09</v>
      </c>
      <c r="G595" s="445"/>
      <c r="H595" s="178">
        <v>925.08</v>
      </c>
      <c r="I595" s="178">
        <v>1137.8499999999999</v>
      </c>
      <c r="J595" s="70">
        <v>-212.76</v>
      </c>
      <c r="K595" s="320"/>
      <c r="L595" s="178">
        <v>49.42</v>
      </c>
      <c r="M595" s="178">
        <v>875.67</v>
      </c>
      <c r="N595" s="179">
        <v>0</v>
      </c>
      <c r="O595" s="178">
        <v>925.08999999999992</v>
      </c>
      <c r="P595" s="453"/>
      <c r="Q595" s="61"/>
      <c r="R595" s="298"/>
      <c r="S595" s="669"/>
      <c r="X595" s="444">
        <v>595</v>
      </c>
    </row>
    <row r="596" spans="1:24" ht="12">
      <c r="A596" s="83" t="s">
        <v>19390</v>
      </c>
      <c r="B596" s="64" t="s">
        <v>19391</v>
      </c>
      <c r="C596" s="71" t="s">
        <v>103</v>
      </c>
      <c r="D596" s="79">
        <v>1</v>
      </c>
      <c r="E596" s="79">
        <v>7711.56</v>
      </c>
      <c r="F596" s="79">
        <v>7711.56</v>
      </c>
      <c r="G596" s="445"/>
      <c r="H596" s="178">
        <v>7711.56</v>
      </c>
      <c r="I596" s="178">
        <v>9485.2199999999993</v>
      </c>
      <c r="J596" s="70">
        <v>-1773.6599999999989</v>
      </c>
      <c r="K596" s="320"/>
      <c r="L596" s="178">
        <v>190.25</v>
      </c>
      <c r="M596" s="178">
        <v>7521.31</v>
      </c>
      <c r="N596" s="179">
        <v>0</v>
      </c>
      <c r="O596" s="178">
        <v>7711.56</v>
      </c>
      <c r="P596" s="453"/>
      <c r="Q596" s="61"/>
      <c r="R596" s="298"/>
      <c r="S596" s="669"/>
      <c r="X596" s="444">
        <v>596</v>
      </c>
    </row>
    <row r="597" spans="1:24" ht="12">
      <c r="A597" s="83" t="s">
        <v>19392</v>
      </c>
      <c r="B597" s="64" t="s">
        <v>39601</v>
      </c>
      <c r="C597" s="71" t="s">
        <v>509</v>
      </c>
      <c r="D597" s="79">
        <v>1</v>
      </c>
      <c r="E597" s="79">
        <v>344.26</v>
      </c>
      <c r="F597" s="79">
        <v>344.26</v>
      </c>
      <c r="G597" s="445"/>
      <c r="H597" s="178">
        <v>344.25</v>
      </c>
      <c r="I597" s="178">
        <v>423.43</v>
      </c>
      <c r="J597" s="70">
        <v>-79.170000000000016</v>
      </c>
      <c r="K597" s="320"/>
      <c r="L597" s="178"/>
      <c r="M597" s="178">
        <v>344.26</v>
      </c>
      <c r="N597" s="179">
        <v>0</v>
      </c>
      <c r="O597" s="178">
        <v>344.26</v>
      </c>
      <c r="P597" s="453"/>
      <c r="Q597" s="61"/>
      <c r="R597" s="298"/>
      <c r="S597" s="669"/>
      <c r="X597" s="444">
        <v>597</v>
      </c>
    </row>
    <row r="598" spans="1:24" ht="12">
      <c r="A598" s="83" t="s">
        <v>19393</v>
      </c>
      <c r="B598" s="64" t="s">
        <v>19394</v>
      </c>
      <c r="C598" s="71" t="s">
        <v>509</v>
      </c>
      <c r="D598" s="79">
        <v>1</v>
      </c>
      <c r="E598" s="79">
        <v>3239.36</v>
      </c>
      <c r="F598" s="79">
        <v>3239.36</v>
      </c>
      <c r="G598" s="445"/>
      <c r="H598" s="178">
        <v>3239.35</v>
      </c>
      <c r="I598" s="178">
        <v>3984.4</v>
      </c>
      <c r="J598" s="70">
        <v>-745.04</v>
      </c>
      <c r="K598" s="320"/>
      <c r="L598" s="178">
        <v>49.42</v>
      </c>
      <c r="M598" s="178">
        <v>3189.94</v>
      </c>
      <c r="N598" s="179">
        <v>0</v>
      </c>
      <c r="O598" s="178">
        <v>3239.36</v>
      </c>
      <c r="P598" s="453"/>
      <c r="Q598" s="61"/>
      <c r="R598" s="298"/>
      <c r="S598" s="669"/>
      <c r="X598" s="444">
        <v>598</v>
      </c>
    </row>
    <row r="599" spans="1:24" ht="12">
      <c r="A599" s="83" t="s">
        <v>11481</v>
      </c>
      <c r="B599" s="64" t="s">
        <v>19395</v>
      </c>
      <c r="C599" s="71" t="s">
        <v>103</v>
      </c>
      <c r="D599" s="79">
        <v>1</v>
      </c>
      <c r="E599" s="79">
        <v>1045.49</v>
      </c>
      <c r="F599" s="79">
        <v>1045.49</v>
      </c>
      <c r="G599" s="445"/>
      <c r="H599" s="178">
        <v>1045.49</v>
      </c>
      <c r="I599" s="178">
        <v>1285.95</v>
      </c>
      <c r="J599" s="70">
        <v>-240.46000000000004</v>
      </c>
      <c r="K599" s="320"/>
      <c r="L599" s="178">
        <v>24.71</v>
      </c>
      <c r="M599" s="178">
        <v>1020.78</v>
      </c>
      <c r="N599" s="179">
        <v>0</v>
      </c>
      <c r="O599" s="178">
        <v>1045.49</v>
      </c>
      <c r="P599" s="453"/>
      <c r="Q599" s="61"/>
      <c r="R599" s="298"/>
      <c r="S599" s="669"/>
      <c r="X599" s="444">
        <v>599</v>
      </c>
    </row>
    <row r="600" spans="1:24" ht="12">
      <c r="A600" s="83" t="s">
        <v>19396</v>
      </c>
      <c r="B600" s="64" t="s">
        <v>19397</v>
      </c>
      <c r="C600" s="71" t="s">
        <v>509</v>
      </c>
      <c r="D600" s="79">
        <v>1</v>
      </c>
      <c r="E600" s="79">
        <v>916.28</v>
      </c>
      <c r="F600" s="79">
        <v>916.28</v>
      </c>
      <c r="G600" s="445"/>
      <c r="H600" s="178">
        <v>916.28</v>
      </c>
      <c r="I600" s="178">
        <v>1127.02</v>
      </c>
      <c r="J600" s="70">
        <v>-210.74</v>
      </c>
      <c r="K600" s="320"/>
      <c r="L600" s="178">
        <v>49.42</v>
      </c>
      <c r="M600" s="178">
        <v>866.86</v>
      </c>
      <c r="N600" s="179">
        <v>0</v>
      </c>
      <c r="O600" s="178">
        <v>916.28</v>
      </c>
      <c r="P600" s="453"/>
      <c r="Q600" s="61"/>
      <c r="R600" s="298"/>
      <c r="S600" s="669"/>
      <c r="X600" s="444">
        <v>600</v>
      </c>
    </row>
    <row r="601" spans="1:24" ht="12">
      <c r="A601" s="83" t="s">
        <v>19398</v>
      </c>
      <c r="B601" s="64" t="s">
        <v>19399</v>
      </c>
      <c r="C601" s="71" t="s">
        <v>103</v>
      </c>
      <c r="D601" s="79">
        <v>1</v>
      </c>
      <c r="E601" s="79">
        <v>1073.0999999999999</v>
      </c>
      <c r="F601" s="79">
        <v>1073.0999999999999</v>
      </c>
      <c r="G601" s="445"/>
      <c r="H601" s="178">
        <v>1073.08</v>
      </c>
      <c r="I601" s="178">
        <v>1319.89</v>
      </c>
      <c r="J601" s="70">
        <v>-246.79000000000019</v>
      </c>
      <c r="K601" s="320"/>
      <c r="L601" s="178">
        <v>54.370000000000005</v>
      </c>
      <c r="M601" s="178">
        <v>1018.7299999999999</v>
      </c>
      <c r="N601" s="179">
        <v>0</v>
      </c>
      <c r="O601" s="178">
        <v>1073.0999999999999</v>
      </c>
      <c r="P601" s="453"/>
      <c r="Q601" s="61"/>
      <c r="R601" s="298"/>
      <c r="S601" s="669"/>
      <c r="X601" s="444">
        <v>601</v>
      </c>
    </row>
    <row r="602" spans="1:24" ht="12">
      <c r="A602" s="83" t="s">
        <v>19400</v>
      </c>
      <c r="B602" s="64" t="s">
        <v>19401</v>
      </c>
      <c r="C602" s="71" t="s">
        <v>103</v>
      </c>
      <c r="D602" s="79">
        <v>1</v>
      </c>
      <c r="E602" s="79">
        <v>1251.0300000000002</v>
      </c>
      <c r="F602" s="79">
        <v>1251.03</v>
      </c>
      <c r="G602" s="445"/>
      <c r="H602" s="178">
        <v>1251.02</v>
      </c>
      <c r="I602" s="178">
        <v>1538.75</v>
      </c>
      <c r="J602" s="70">
        <v>-287.7199999999998</v>
      </c>
      <c r="K602" s="320"/>
      <c r="L602" s="178">
        <v>54.370000000000005</v>
      </c>
      <c r="M602" s="178">
        <v>1196.6600000000003</v>
      </c>
      <c r="N602" s="179">
        <v>0</v>
      </c>
      <c r="O602" s="178">
        <v>1251.0300000000002</v>
      </c>
      <c r="P602" s="453"/>
      <c r="Q602" s="61"/>
      <c r="R602" s="298"/>
      <c r="S602" s="669"/>
      <c r="X602" s="444">
        <v>602</v>
      </c>
    </row>
    <row r="603" spans="1:24" ht="12">
      <c r="A603" s="63" t="s">
        <v>19402</v>
      </c>
      <c r="B603" s="146" t="s">
        <v>7238</v>
      </c>
      <c r="C603" s="134" t="s">
        <v>103</v>
      </c>
      <c r="D603" s="79">
        <v>1</v>
      </c>
      <c r="E603" s="79">
        <v>1407.1499999999999</v>
      </c>
      <c r="F603" s="79">
        <v>1407.15</v>
      </c>
      <c r="G603" s="460"/>
      <c r="H603" s="178">
        <v>1407.15</v>
      </c>
      <c r="I603" s="178">
        <v>1730.8</v>
      </c>
      <c r="J603" s="70">
        <v>-323.65000000000009</v>
      </c>
      <c r="K603" s="320"/>
      <c r="L603" s="178">
        <v>80.050000000000011</v>
      </c>
      <c r="M603" s="178">
        <v>1327.1</v>
      </c>
      <c r="N603" s="179">
        <v>0</v>
      </c>
      <c r="O603" s="178">
        <v>1407.1499999999999</v>
      </c>
      <c r="P603" s="453"/>
      <c r="Q603" s="61"/>
      <c r="R603" s="298"/>
      <c r="S603" s="669"/>
      <c r="X603" s="444">
        <v>603</v>
      </c>
    </row>
    <row r="604" spans="1:24" ht="12">
      <c r="A604" s="63" t="s">
        <v>19403</v>
      </c>
      <c r="B604" s="146" t="s">
        <v>7244</v>
      </c>
      <c r="C604" s="134" t="s">
        <v>103</v>
      </c>
      <c r="D604" s="79">
        <v>1</v>
      </c>
      <c r="E604" s="79">
        <v>1649.0500000000002</v>
      </c>
      <c r="F604" s="79">
        <v>1649.05</v>
      </c>
      <c r="G604" s="460"/>
      <c r="H604" s="178">
        <v>1649.06</v>
      </c>
      <c r="I604" s="178">
        <v>2028.34</v>
      </c>
      <c r="J604" s="70">
        <v>-379.28999999999974</v>
      </c>
      <c r="K604" s="320"/>
      <c r="L604" s="178">
        <v>93.88</v>
      </c>
      <c r="M604" s="178">
        <v>1555.17</v>
      </c>
      <c r="N604" s="179">
        <v>0</v>
      </c>
      <c r="O604" s="178">
        <v>1649.0500000000002</v>
      </c>
      <c r="P604" s="453"/>
      <c r="Q604" s="61"/>
      <c r="R604" s="298"/>
      <c r="S604" s="669"/>
      <c r="X604" s="444">
        <v>604</v>
      </c>
    </row>
    <row r="605" spans="1:24" ht="12">
      <c r="A605" s="63" t="s">
        <v>19404</v>
      </c>
      <c r="B605" s="146" t="s">
        <v>19405</v>
      </c>
      <c r="C605" s="134" t="s">
        <v>509</v>
      </c>
      <c r="D605" s="79">
        <v>1</v>
      </c>
      <c r="E605" s="79">
        <v>1184.8899999999999</v>
      </c>
      <c r="F605" s="79">
        <v>1184.8900000000001</v>
      </c>
      <c r="G605" s="460"/>
      <c r="H605" s="178">
        <v>1184.8800000000001</v>
      </c>
      <c r="I605" s="178">
        <v>1457.4</v>
      </c>
      <c r="J605" s="70">
        <v>-272.51000000000022</v>
      </c>
      <c r="K605" s="320"/>
      <c r="L605" s="178">
        <v>54.370000000000005</v>
      </c>
      <c r="M605" s="178">
        <v>1130.52</v>
      </c>
      <c r="N605" s="179">
        <v>0</v>
      </c>
      <c r="O605" s="178">
        <v>1184.8899999999999</v>
      </c>
      <c r="P605" s="453"/>
      <c r="Q605" s="61"/>
      <c r="R605" s="298"/>
      <c r="S605" s="669"/>
      <c r="X605" s="444">
        <v>605</v>
      </c>
    </row>
    <row r="606" spans="1:24" ht="12">
      <c r="A606" s="83" t="s">
        <v>19406</v>
      </c>
      <c r="B606" s="64" t="s">
        <v>19407</v>
      </c>
      <c r="C606" s="71" t="s">
        <v>103</v>
      </c>
      <c r="D606" s="79">
        <v>1</v>
      </c>
      <c r="E606" s="79">
        <v>1511.6</v>
      </c>
      <c r="F606" s="79">
        <v>1511.6</v>
      </c>
      <c r="G606" s="445"/>
      <c r="H606" s="178">
        <v>1511.59</v>
      </c>
      <c r="I606" s="178">
        <v>1859.25</v>
      </c>
      <c r="J606" s="70">
        <v>-347.65000000000009</v>
      </c>
      <c r="K606" s="320"/>
      <c r="L606" s="178">
        <v>103.78999999999999</v>
      </c>
      <c r="M606" s="178">
        <v>1407.81</v>
      </c>
      <c r="N606" s="179">
        <v>0</v>
      </c>
      <c r="O606" s="178">
        <v>1511.6</v>
      </c>
      <c r="P606" s="453"/>
      <c r="Q606" s="61"/>
      <c r="R606" s="298"/>
      <c r="S606" s="669"/>
      <c r="X606" s="444">
        <v>606</v>
      </c>
    </row>
    <row r="607" spans="1:24" ht="12">
      <c r="A607" s="63" t="s">
        <v>19408</v>
      </c>
      <c r="B607" s="64" t="s">
        <v>39602</v>
      </c>
      <c r="C607" s="71" t="s">
        <v>103</v>
      </c>
      <c r="D607" s="79">
        <v>1</v>
      </c>
      <c r="E607" s="79">
        <v>590.18000000000006</v>
      </c>
      <c r="F607" s="79">
        <v>590.17999999999995</v>
      </c>
      <c r="G607" s="445"/>
      <c r="H607" s="178">
        <v>590.16999999999996</v>
      </c>
      <c r="I607" s="178">
        <v>725.91</v>
      </c>
      <c r="J607" s="70">
        <v>-135.7299999999999</v>
      </c>
      <c r="K607" s="320"/>
      <c r="L607" s="178">
        <v>24.71</v>
      </c>
      <c r="M607" s="178">
        <v>565.47</v>
      </c>
      <c r="N607" s="179">
        <v>0</v>
      </c>
      <c r="O607" s="178">
        <v>590.18000000000006</v>
      </c>
      <c r="P607" s="453"/>
      <c r="Q607" s="61"/>
      <c r="R607" s="298"/>
      <c r="S607" s="669"/>
      <c r="X607" s="444">
        <v>607</v>
      </c>
    </row>
    <row r="608" spans="1:24" ht="12">
      <c r="A608" s="63" t="s">
        <v>19409</v>
      </c>
      <c r="B608" s="64" t="s">
        <v>39603</v>
      </c>
      <c r="C608" s="71" t="s">
        <v>103</v>
      </c>
      <c r="D608" s="79">
        <v>1</v>
      </c>
      <c r="E608" s="79">
        <v>621.82000000000005</v>
      </c>
      <c r="F608" s="79">
        <v>621.82000000000005</v>
      </c>
      <c r="G608" s="445"/>
      <c r="H608" s="178">
        <v>621.82000000000005</v>
      </c>
      <c r="I608" s="178">
        <v>764.84</v>
      </c>
      <c r="J608" s="70">
        <v>-143.01999999999998</v>
      </c>
      <c r="K608" s="320"/>
      <c r="L608" s="178">
        <v>32.119999999999997</v>
      </c>
      <c r="M608" s="178">
        <v>589.70000000000005</v>
      </c>
      <c r="N608" s="179">
        <v>0</v>
      </c>
      <c r="O608" s="178">
        <v>621.82000000000005</v>
      </c>
      <c r="P608" s="453"/>
      <c r="Q608" s="61"/>
      <c r="R608" s="298"/>
      <c r="S608" s="669"/>
      <c r="X608" s="444">
        <v>608</v>
      </c>
    </row>
    <row r="609" spans="1:32" ht="12">
      <c r="A609" s="83" t="s">
        <v>19410</v>
      </c>
      <c r="B609" s="64" t="s">
        <v>19411</v>
      </c>
      <c r="C609" s="71" t="s">
        <v>103</v>
      </c>
      <c r="D609" s="79">
        <v>1</v>
      </c>
      <c r="E609" s="79">
        <v>3431.29</v>
      </c>
      <c r="F609" s="79">
        <v>3431.29</v>
      </c>
      <c r="G609" s="445"/>
      <c r="H609" s="178">
        <v>3431.28</v>
      </c>
      <c r="I609" s="178">
        <v>4220.4799999999996</v>
      </c>
      <c r="J609" s="70">
        <v>-789.1899999999996</v>
      </c>
      <c r="K609" s="320"/>
      <c r="L609" s="178">
        <v>128.49</v>
      </c>
      <c r="M609" s="178">
        <v>3302.8</v>
      </c>
      <c r="N609" s="179">
        <v>0</v>
      </c>
      <c r="O609" s="178">
        <v>3431.29</v>
      </c>
      <c r="P609" s="453"/>
      <c r="Q609" s="61"/>
      <c r="R609" s="298"/>
      <c r="S609" s="669"/>
      <c r="X609" s="444">
        <v>609</v>
      </c>
    </row>
    <row r="610" spans="1:32" ht="12">
      <c r="A610" s="83" t="s">
        <v>19412</v>
      </c>
      <c r="B610" s="64" t="s">
        <v>19413</v>
      </c>
      <c r="C610" s="71" t="s">
        <v>103</v>
      </c>
      <c r="D610" s="79">
        <v>1</v>
      </c>
      <c r="E610" s="79">
        <v>2904.46</v>
      </c>
      <c r="F610" s="79">
        <v>2904.46</v>
      </c>
      <c r="G610" s="445"/>
      <c r="H610" s="178">
        <v>2904.44</v>
      </c>
      <c r="I610" s="178">
        <v>3572.46</v>
      </c>
      <c r="J610" s="70">
        <v>-668</v>
      </c>
      <c r="K610" s="320"/>
      <c r="L610" s="178">
        <v>103.78999999999999</v>
      </c>
      <c r="M610" s="178">
        <v>2800.67</v>
      </c>
      <c r="N610" s="179">
        <v>0</v>
      </c>
      <c r="O610" s="178">
        <v>2904.46</v>
      </c>
      <c r="P610" s="453"/>
      <c r="Q610" s="61"/>
      <c r="R610" s="298"/>
      <c r="S610" s="669"/>
      <c r="X610" s="444">
        <v>610</v>
      </c>
    </row>
    <row r="611" spans="1:32" ht="12">
      <c r="A611" s="83" t="s">
        <v>19414</v>
      </c>
      <c r="B611" s="64" t="s">
        <v>19415</v>
      </c>
      <c r="C611" s="71" t="s">
        <v>103</v>
      </c>
      <c r="D611" s="79">
        <v>1</v>
      </c>
      <c r="E611" s="79">
        <v>1558.25</v>
      </c>
      <c r="F611" s="79">
        <v>1558.25</v>
      </c>
      <c r="G611" s="445"/>
      <c r="H611" s="178">
        <v>1558.24</v>
      </c>
      <c r="I611" s="178">
        <v>1916.63</v>
      </c>
      <c r="J611" s="70">
        <v>-358.38000000000011</v>
      </c>
      <c r="K611" s="320"/>
      <c r="L611" s="178">
        <v>54.370000000000005</v>
      </c>
      <c r="M611" s="178">
        <v>1503.88</v>
      </c>
      <c r="N611" s="179">
        <v>0</v>
      </c>
      <c r="O611" s="178">
        <v>1558.25</v>
      </c>
      <c r="P611" s="453"/>
      <c r="Q611" s="61"/>
      <c r="R611" s="298"/>
      <c r="S611" s="669"/>
      <c r="X611" s="444">
        <v>611</v>
      </c>
    </row>
    <row r="612" spans="1:32" ht="12">
      <c r="A612" s="83" t="s">
        <v>19416</v>
      </c>
      <c r="B612" s="64" t="s">
        <v>19417</v>
      </c>
      <c r="C612" s="71" t="s">
        <v>103</v>
      </c>
      <c r="D612" s="79">
        <v>1</v>
      </c>
      <c r="E612" s="79">
        <v>1196.01</v>
      </c>
      <c r="F612" s="79">
        <v>1196.01</v>
      </c>
      <c r="G612" s="445"/>
      <c r="H612" s="178">
        <v>1196</v>
      </c>
      <c r="I612" s="178">
        <v>1471.08</v>
      </c>
      <c r="J612" s="70">
        <v>-275.06999999999994</v>
      </c>
      <c r="K612" s="320"/>
      <c r="L612" s="178">
        <v>40.03</v>
      </c>
      <c r="M612" s="178">
        <v>1155.98</v>
      </c>
      <c r="N612" s="179">
        <v>0</v>
      </c>
      <c r="O612" s="178">
        <v>1196.01</v>
      </c>
      <c r="P612" s="453"/>
      <c r="Q612" s="61"/>
      <c r="R612" s="298"/>
      <c r="S612" s="669"/>
      <c r="X612" s="444">
        <v>612</v>
      </c>
    </row>
    <row r="613" spans="1:32" ht="12">
      <c r="A613" s="83" t="s">
        <v>19418</v>
      </c>
      <c r="B613" s="64" t="s">
        <v>19419</v>
      </c>
      <c r="C613" s="71" t="s">
        <v>103</v>
      </c>
      <c r="D613" s="79">
        <v>1</v>
      </c>
      <c r="E613" s="79">
        <v>1638.98</v>
      </c>
      <c r="F613" s="79">
        <v>1638.98</v>
      </c>
      <c r="G613" s="445"/>
      <c r="H613" s="178">
        <v>1638.98</v>
      </c>
      <c r="I613" s="178">
        <v>2015.95</v>
      </c>
      <c r="J613" s="70">
        <v>-376.97</v>
      </c>
      <c r="K613" s="320"/>
      <c r="L613" s="178">
        <v>80.050000000000011</v>
      </c>
      <c r="M613" s="178">
        <v>1558.93</v>
      </c>
      <c r="N613" s="179">
        <v>0</v>
      </c>
      <c r="O613" s="178">
        <v>1638.98</v>
      </c>
      <c r="P613" s="453"/>
      <c r="Q613" s="61"/>
      <c r="R613" s="298"/>
      <c r="S613" s="669"/>
      <c r="X613" s="444">
        <v>613</v>
      </c>
    </row>
    <row r="614" spans="1:32" ht="12">
      <c r="A614" s="83" t="s">
        <v>19420</v>
      </c>
      <c r="B614" s="64" t="s">
        <v>19421</v>
      </c>
      <c r="C614" s="71" t="s">
        <v>509</v>
      </c>
      <c r="D614" s="79">
        <v>1</v>
      </c>
      <c r="E614" s="79">
        <v>1282.6199999999999</v>
      </c>
      <c r="F614" s="79">
        <v>1282.6199999999999</v>
      </c>
      <c r="G614" s="445"/>
      <c r="H614" s="178">
        <v>1282.6099999999999</v>
      </c>
      <c r="I614" s="178">
        <v>1577.61</v>
      </c>
      <c r="J614" s="70">
        <v>-294.99</v>
      </c>
      <c r="K614" s="320"/>
      <c r="L614" s="178">
        <v>74.13</v>
      </c>
      <c r="M614" s="178">
        <v>1208.4899999999998</v>
      </c>
      <c r="N614" s="179">
        <v>0</v>
      </c>
      <c r="O614" s="178">
        <v>1282.6199999999999</v>
      </c>
      <c r="P614" s="453"/>
      <c r="Q614" s="61"/>
      <c r="R614" s="298"/>
      <c r="S614" s="669"/>
      <c r="X614" s="444">
        <v>614</v>
      </c>
    </row>
    <row r="615" spans="1:32" ht="12">
      <c r="A615" s="83" t="s">
        <v>19422</v>
      </c>
      <c r="B615" s="64" t="s">
        <v>19423</v>
      </c>
      <c r="C615" s="71" t="s">
        <v>509</v>
      </c>
      <c r="D615" s="79">
        <v>1</v>
      </c>
      <c r="E615" s="79">
        <v>1476.5600000000002</v>
      </c>
      <c r="F615" s="79">
        <v>1476.56</v>
      </c>
      <c r="G615" s="445"/>
      <c r="H615" s="178">
        <v>1476.55</v>
      </c>
      <c r="I615" s="178">
        <v>1816.16</v>
      </c>
      <c r="J615" s="70">
        <v>-339.59999999999991</v>
      </c>
      <c r="K615" s="320"/>
      <c r="L615" s="178">
        <v>49.42</v>
      </c>
      <c r="M615" s="178">
        <v>1427.14</v>
      </c>
      <c r="N615" s="179">
        <v>0</v>
      </c>
      <c r="O615" s="178">
        <v>1476.5600000000002</v>
      </c>
      <c r="P615" s="453"/>
      <c r="Q615" s="61"/>
      <c r="R615" s="298"/>
      <c r="S615" s="669"/>
      <c r="X615" s="444">
        <v>615</v>
      </c>
    </row>
    <row r="616" spans="1:32" ht="12">
      <c r="A616" s="83" t="s">
        <v>19424</v>
      </c>
      <c r="B616" s="64" t="s">
        <v>19425</v>
      </c>
      <c r="C616" s="71" t="s">
        <v>509</v>
      </c>
      <c r="D616" s="79">
        <v>1</v>
      </c>
      <c r="E616" s="79">
        <v>1093.27</v>
      </c>
      <c r="F616" s="79">
        <v>1093.27</v>
      </c>
      <c r="G616" s="445"/>
      <c r="H616" s="178">
        <v>1093.26</v>
      </c>
      <c r="I616" s="178">
        <v>1344.71</v>
      </c>
      <c r="J616" s="70">
        <v>-251.44000000000005</v>
      </c>
      <c r="K616" s="320"/>
      <c r="L616" s="178">
        <v>74.13</v>
      </c>
      <c r="M616" s="178">
        <v>1019.14</v>
      </c>
      <c r="N616" s="179">
        <v>0</v>
      </c>
      <c r="O616" s="178">
        <v>1093.27</v>
      </c>
      <c r="P616" s="453"/>
      <c r="Q616" s="61"/>
      <c r="R616" s="298"/>
      <c r="S616" s="669"/>
      <c r="X616" s="444">
        <v>616</v>
      </c>
    </row>
    <row r="617" spans="1:32" ht="12">
      <c r="A617" s="83" t="s">
        <v>19426</v>
      </c>
      <c r="B617" s="64" t="s">
        <v>19427</v>
      </c>
      <c r="C617" s="71" t="s">
        <v>509</v>
      </c>
      <c r="D617" s="79">
        <v>1</v>
      </c>
      <c r="E617" s="79">
        <v>261.52</v>
      </c>
      <c r="F617" s="79">
        <v>261.52</v>
      </c>
      <c r="G617" s="445"/>
      <c r="H617" s="178">
        <v>261.51</v>
      </c>
      <c r="I617" s="178">
        <v>321.66000000000003</v>
      </c>
      <c r="J617" s="70">
        <v>-60.140000000000043</v>
      </c>
      <c r="K617" s="320"/>
      <c r="L617" s="178">
        <v>49.42</v>
      </c>
      <c r="M617" s="178">
        <v>212.09999999999997</v>
      </c>
      <c r="N617" s="179">
        <v>0</v>
      </c>
      <c r="O617" s="178">
        <v>261.52</v>
      </c>
      <c r="P617" s="453"/>
      <c r="Q617" s="61"/>
      <c r="R617" s="298"/>
      <c r="S617" s="669"/>
      <c r="X617" s="444">
        <v>617</v>
      </c>
    </row>
    <row r="618" spans="1:32" ht="12">
      <c r="A618" s="83" t="s">
        <v>19428</v>
      </c>
      <c r="B618" s="64" t="s">
        <v>19429</v>
      </c>
      <c r="C618" s="71" t="s">
        <v>509</v>
      </c>
      <c r="D618" s="79">
        <v>1</v>
      </c>
      <c r="E618" s="79">
        <v>506.5</v>
      </c>
      <c r="F618" s="79">
        <v>506.5</v>
      </c>
      <c r="G618" s="445"/>
      <c r="H618" s="178">
        <v>506.5</v>
      </c>
      <c r="I618" s="178">
        <v>622.99</v>
      </c>
      <c r="J618" s="70">
        <v>-116.49000000000001</v>
      </c>
      <c r="K618" s="320"/>
      <c r="L618" s="178">
        <v>49.42</v>
      </c>
      <c r="M618" s="178">
        <v>457.08</v>
      </c>
      <c r="N618" s="179">
        <v>0</v>
      </c>
      <c r="O618" s="178">
        <v>506.5</v>
      </c>
      <c r="P618" s="453"/>
      <c r="Q618" s="61"/>
      <c r="R618" s="298"/>
      <c r="S618" s="669"/>
      <c r="X618" s="444">
        <v>618</v>
      </c>
    </row>
    <row r="619" spans="1:32" ht="12">
      <c r="A619" s="83" t="s">
        <v>19430</v>
      </c>
      <c r="B619" s="64" t="s">
        <v>19431</v>
      </c>
      <c r="C619" s="71" t="s">
        <v>509</v>
      </c>
      <c r="D619" s="79">
        <v>1</v>
      </c>
      <c r="E619" s="79">
        <v>391.52000000000004</v>
      </c>
      <c r="F619" s="79">
        <v>391.52</v>
      </c>
      <c r="G619" s="445"/>
      <c r="H619" s="178">
        <v>391.51</v>
      </c>
      <c r="I619" s="178">
        <v>481.56</v>
      </c>
      <c r="J619" s="70">
        <v>-90.039999999999964</v>
      </c>
      <c r="K619" s="320"/>
      <c r="L619" s="178">
        <v>49.42</v>
      </c>
      <c r="M619" s="178">
        <v>342.1</v>
      </c>
      <c r="N619" s="179">
        <v>0</v>
      </c>
      <c r="O619" s="178">
        <v>391.52000000000004</v>
      </c>
      <c r="P619" s="453"/>
      <c r="Q619" s="61"/>
      <c r="R619" s="298"/>
      <c r="S619" s="669"/>
      <c r="X619" s="444">
        <v>619</v>
      </c>
    </row>
    <row r="620" spans="1:32" ht="12">
      <c r="A620" s="83" t="s">
        <v>19432</v>
      </c>
      <c r="B620" s="64" t="s">
        <v>19433</v>
      </c>
      <c r="C620" s="71" t="s">
        <v>509</v>
      </c>
      <c r="D620" s="79">
        <v>1</v>
      </c>
      <c r="E620" s="79">
        <v>506.5</v>
      </c>
      <c r="F620" s="79">
        <v>506.5</v>
      </c>
      <c r="G620" s="445"/>
      <c r="H620" s="178">
        <v>506.5</v>
      </c>
      <c r="I620" s="178">
        <v>622.99</v>
      </c>
      <c r="J620" s="70">
        <v>-116.49000000000001</v>
      </c>
      <c r="K620" s="320"/>
      <c r="L620" s="178">
        <v>49.42</v>
      </c>
      <c r="M620" s="178">
        <v>457.08</v>
      </c>
      <c r="N620" s="179">
        <v>0</v>
      </c>
      <c r="O620" s="178">
        <v>506.5</v>
      </c>
      <c r="P620" s="453"/>
      <c r="Q620" s="61"/>
      <c r="R620" s="298"/>
      <c r="S620" s="669"/>
      <c r="X620" s="444">
        <v>620</v>
      </c>
    </row>
    <row r="621" spans="1:32" ht="12">
      <c r="A621" s="83" t="s">
        <v>19434</v>
      </c>
      <c r="B621" s="64" t="s">
        <v>19435</v>
      </c>
      <c r="C621" s="71" t="s">
        <v>509</v>
      </c>
      <c r="D621" s="79">
        <v>1</v>
      </c>
      <c r="E621" s="79">
        <v>681.28</v>
      </c>
      <c r="F621" s="79">
        <v>681.28</v>
      </c>
      <c r="G621" s="445"/>
      <c r="H621" s="178">
        <v>681.28</v>
      </c>
      <c r="I621" s="178">
        <v>837.97</v>
      </c>
      <c r="J621" s="70">
        <v>-156.69000000000005</v>
      </c>
      <c r="K621" s="320"/>
      <c r="L621" s="178">
        <v>49.42</v>
      </c>
      <c r="M621" s="178">
        <v>631.86</v>
      </c>
      <c r="N621" s="179">
        <v>0</v>
      </c>
      <c r="O621" s="178">
        <v>681.28</v>
      </c>
      <c r="P621" s="453"/>
      <c r="Q621" s="61"/>
      <c r="R621" s="298"/>
      <c r="S621" s="669"/>
      <c r="U621" s="73"/>
      <c r="V621" s="73"/>
      <c r="W621" s="73"/>
      <c r="X621" s="444">
        <v>621</v>
      </c>
      <c r="Y621" s="73"/>
      <c r="Z621" s="73"/>
      <c r="AA621" s="73"/>
      <c r="AB621" s="73"/>
      <c r="AC621" s="73"/>
      <c r="AD621" s="73"/>
      <c r="AE621" s="73"/>
      <c r="AF621" s="73"/>
    </row>
    <row r="622" spans="1:32" ht="12">
      <c r="A622" s="83" t="s">
        <v>19436</v>
      </c>
      <c r="B622" s="64" t="s">
        <v>19437</v>
      </c>
      <c r="C622" s="71" t="s">
        <v>509</v>
      </c>
      <c r="D622" s="79">
        <v>1</v>
      </c>
      <c r="E622" s="79">
        <v>506.5</v>
      </c>
      <c r="F622" s="79">
        <v>506.5</v>
      </c>
      <c r="G622" s="445"/>
      <c r="H622" s="178">
        <v>506.5</v>
      </c>
      <c r="I622" s="178">
        <v>622.99</v>
      </c>
      <c r="J622" s="70">
        <v>-116.49000000000001</v>
      </c>
      <c r="K622" s="320"/>
      <c r="L622" s="178">
        <v>49.42</v>
      </c>
      <c r="M622" s="178">
        <v>457.08</v>
      </c>
      <c r="N622" s="179">
        <v>0</v>
      </c>
      <c r="O622" s="178">
        <v>506.5</v>
      </c>
      <c r="P622" s="453"/>
      <c r="Q622" s="61"/>
      <c r="R622" s="298"/>
      <c r="S622" s="669"/>
      <c r="U622" s="73"/>
      <c r="V622" s="73"/>
      <c r="W622" s="73"/>
      <c r="X622" s="444">
        <v>622</v>
      </c>
      <c r="Y622" s="73"/>
      <c r="Z622" s="73"/>
      <c r="AA622" s="73"/>
      <c r="AB622" s="73"/>
      <c r="AC622" s="73"/>
      <c r="AD622" s="73"/>
      <c r="AE622" s="73"/>
      <c r="AF622" s="73"/>
    </row>
    <row r="623" spans="1:32" ht="12">
      <c r="A623" s="83" t="s">
        <v>19438</v>
      </c>
      <c r="B623" s="64" t="s">
        <v>19439</v>
      </c>
      <c r="C623" s="71" t="s">
        <v>509</v>
      </c>
      <c r="D623" s="79">
        <v>1</v>
      </c>
      <c r="E623" s="79">
        <v>286.82</v>
      </c>
      <c r="F623" s="79">
        <v>286.82</v>
      </c>
      <c r="G623" s="445"/>
      <c r="H623" s="178">
        <v>286.81</v>
      </c>
      <c r="I623" s="178">
        <v>352.78</v>
      </c>
      <c r="J623" s="70">
        <v>-65.95999999999998</v>
      </c>
      <c r="K623" s="320"/>
      <c r="L623" s="178">
        <v>49.42</v>
      </c>
      <c r="M623" s="178">
        <v>237.39999999999998</v>
      </c>
      <c r="N623" s="179">
        <v>0</v>
      </c>
      <c r="O623" s="178">
        <v>286.82</v>
      </c>
      <c r="P623" s="453"/>
      <c r="Q623" s="61"/>
      <c r="R623" s="298"/>
      <c r="S623" s="669"/>
      <c r="X623" s="444">
        <v>623</v>
      </c>
    </row>
    <row r="624" spans="1:32" ht="12">
      <c r="A624" s="83" t="s">
        <v>19440</v>
      </c>
      <c r="B624" s="64" t="s">
        <v>19441</v>
      </c>
      <c r="C624" s="71" t="s">
        <v>509</v>
      </c>
      <c r="D624" s="79">
        <v>1</v>
      </c>
      <c r="E624" s="79">
        <v>678.77</v>
      </c>
      <c r="F624" s="79">
        <v>678.77</v>
      </c>
      <c r="G624" s="445"/>
      <c r="H624" s="178">
        <v>678.76</v>
      </c>
      <c r="I624" s="178">
        <v>834.88</v>
      </c>
      <c r="J624" s="70">
        <v>-156.11000000000001</v>
      </c>
      <c r="K624" s="320"/>
      <c r="L624" s="178">
        <v>49.42</v>
      </c>
      <c r="M624" s="178">
        <v>629.35</v>
      </c>
      <c r="N624" s="179">
        <v>0</v>
      </c>
      <c r="O624" s="178">
        <v>678.77</v>
      </c>
      <c r="P624" s="453"/>
      <c r="Q624" s="61"/>
      <c r="R624" s="298"/>
      <c r="S624" s="669"/>
      <c r="X624" s="444">
        <v>624</v>
      </c>
    </row>
    <row r="625" spans="1:32" ht="12">
      <c r="A625" s="83" t="s">
        <v>19442</v>
      </c>
      <c r="B625" s="64" t="s">
        <v>19443</v>
      </c>
      <c r="C625" s="71" t="s">
        <v>10216</v>
      </c>
      <c r="D625" s="79">
        <v>1</v>
      </c>
      <c r="E625" s="79">
        <v>577.26</v>
      </c>
      <c r="F625" s="79">
        <v>577.26</v>
      </c>
      <c r="G625" s="445"/>
      <c r="H625" s="178">
        <v>577.25</v>
      </c>
      <c r="I625" s="178">
        <v>710.02</v>
      </c>
      <c r="J625" s="70">
        <v>-132.76</v>
      </c>
      <c r="K625" s="320"/>
      <c r="L625" s="178"/>
      <c r="M625" s="178">
        <v>577.26</v>
      </c>
      <c r="N625" s="179">
        <v>0</v>
      </c>
      <c r="O625" s="178">
        <v>577.26</v>
      </c>
      <c r="P625" s="453"/>
      <c r="Q625" s="61"/>
      <c r="R625" s="298"/>
      <c r="S625" s="669"/>
      <c r="X625" s="444">
        <v>625</v>
      </c>
    </row>
    <row r="626" spans="1:32" ht="12">
      <c r="A626" s="83" t="s">
        <v>11483</v>
      </c>
      <c r="B626" s="64" t="s">
        <v>39604</v>
      </c>
      <c r="C626" s="71"/>
      <c r="D626" s="79" t="s">
        <v>40899</v>
      </c>
      <c r="E626" s="79" t="s">
        <v>40899</v>
      </c>
      <c r="F626" s="79"/>
      <c r="G626" s="445"/>
      <c r="H626" s="178"/>
      <c r="I626" s="178"/>
      <c r="J626" s="70"/>
      <c r="K626" s="320"/>
      <c r="L626" s="178"/>
      <c r="M626" s="178"/>
      <c r="N626" s="179"/>
      <c r="O626" s="178"/>
      <c r="P626" s="453"/>
      <c r="Q626" s="61"/>
      <c r="R626" s="298"/>
      <c r="S626" s="669"/>
      <c r="X626" s="444">
        <v>626</v>
      </c>
    </row>
    <row r="627" spans="1:32" ht="12">
      <c r="A627" s="83" t="s">
        <v>19444</v>
      </c>
      <c r="B627" s="64" t="s">
        <v>19445</v>
      </c>
      <c r="C627" s="71" t="s">
        <v>103</v>
      </c>
      <c r="D627" s="79">
        <v>1</v>
      </c>
      <c r="E627" s="79">
        <v>1941.25</v>
      </c>
      <c r="F627" s="79">
        <v>1941.25</v>
      </c>
      <c r="G627" s="445"/>
      <c r="H627" s="178">
        <v>1941.24</v>
      </c>
      <c r="I627" s="178">
        <v>2387.7199999999998</v>
      </c>
      <c r="J627" s="70">
        <v>-446.4699999999998</v>
      </c>
      <c r="K627" s="320"/>
      <c r="L627" s="178">
        <v>222.38</v>
      </c>
      <c r="M627" s="178">
        <v>1718.87</v>
      </c>
      <c r="N627" s="179">
        <v>0</v>
      </c>
      <c r="O627" s="178">
        <v>1941.25</v>
      </c>
      <c r="P627" s="453"/>
      <c r="Q627" s="61"/>
      <c r="R627" s="298"/>
      <c r="S627" s="669"/>
      <c r="X627" s="444">
        <v>627</v>
      </c>
    </row>
    <row r="628" spans="1:32" s="73" customFormat="1" ht="12">
      <c r="A628" s="83" t="s">
        <v>19446</v>
      </c>
      <c r="B628" s="64" t="s">
        <v>19447</v>
      </c>
      <c r="C628" s="71" t="s">
        <v>103</v>
      </c>
      <c r="D628" s="79">
        <v>1</v>
      </c>
      <c r="E628" s="79">
        <v>5996.93</v>
      </c>
      <c r="F628" s="79">
        <v>5996.93</v>
      </c>
      <c r="G628" s="445"/>
      <c r="H628" s="178">
        <v>5996.93</v>
      </c>
      <c r="I628" s="178">
        <v>7376.22</v>
      </c>
      <c r="J628" s="70">
        <v>-1379.29</v>
      </c>
      <c r="K628" s="320"/>
      <c r="L628" s="178">
        <v>113.66</v>
      </c>
      <c r="M628" s="178">
        <v>5883.27</v>
      </c>
      <c r="N628" s="179">
        <v>0</v>
      </c>
      <c r="O628" s="178">
        <v>5996.93</v>
      </c>
      <c r="P628" s="453"/>
      <c r="Q628" s="61"/>
      <c r="R628" s="298"/>
      <c r="S628" s="669"/>
      <c r="T628" s="444"/>
      <c r="U628" s="444"/>
      <c r="V628" s="444"/>
      <c r="W628" s="444"/>
      <c r="X628" s="444">
        <v>628</v>
      </c>
      <c r="Y628" s="444"/>
      <c r="Z628" s="444"/>
      <c r="AA628" s="444"/>
      <c r="AB628" s="444"/>
      <c r="AC628" s="444"/>
      <c r="AD628" s="444"/>
      <c r="AE628" s="444"/>
      <c r="AF628" s="444"/>
    </row>
    <row r="629" spans="1:32" s="73" customFormat="1" ht="12">
      <c r="A629" s="83" t="s">
        <v>19448</v>
      </c>
      <c r="B629" s="64" t="s">
        <v>19449</v>
      </c>
      <c r="C629" s="71" t="s">
        <v>103</v>
      </c>
      <c r="D629" s="79">
        <v>1</v>
      </c>
      <c r="E629" s="79">
        <v>4200.97</v>
      </c>
      <c r="F629" s="79">
        <v>4200.97</v>
      </c>
      <c r="G629" s="445"/>
      <c r="H629" s="178">
        <v>4200.97</v>
      </c>
      <c r="I629" s="178">
        <v>5167.1899999999996</v>
      </c>
      <c r="J629" s="70">
        <v>-966.21999999999935</v>
      </c>
      <c r="K629" s="320"/>
      <c r="L629" s="178">
        <v>69.180000000000007</v>
      </c>
      <c r="M629" s="178">
        <v>4131.79</v>
      </c>
      <c r="N629" s="179">
        <v>0</v>
      </c>
      <c r="O629" s="178">
        <v>4200.97</v>
      </c>
      <c r="P629" s="453"/>
      <c r="Q629" s="61"/>
      <c r="R629" s="298"/>
      <c r="S629" s="669"/>
      <c r="T629" s="444"/>
      <c r="U629" s="444"/>
      <c r="V629" s="444"/>
      <c r="W629" s="444"/>
      <c r="X629" s="444">
        <v>629</v>
      </c>
      <c r="Y629" s="444"/>
      <c r="Z629" s="444"/>
      <c r="AA629" s="444"/>
      <c r="AB629" s="444"/>
      <c r="AC629" s="444"/>
      <c r="AD629" s="444"/>
      <c r="AE629" s="444"/>
      <c r="AF629" s="444"/>
    </row>
    <row r="630" spans="1:32" ht="12">
      <c r="A630" s="83" t="s">
        <v>19450</v>
      </c>
      <c r="B630" s="64" t="s">
        <v>19451</v>
      </c>
      <c r="C630" s="71" t="s">
        <v>103</v>
      </c>
      <c r="D630" s="79">
        <v>1</v>
      </c>
      <c r="E630" s="79">
        <v>4500.3200000000006</v>
      </c>
      <c r="F630" s="79">
        <v>4500.32</v>
      </c>
      <c r="G630" s="445"/>
      <c r="H630" s="178">
        <v>4500.32</v>
      </c>
      <c r="I630" s="178">
        <v>5535.39</v>
      </c>
      <c r="J630" s="70">
        <v>-1035.0699999999997</v>
      </c>
      <c r="K630" s="320"/>
      <c r="L630" s="178">
        <v>69.180000000000007</v>
      </c>
      <c r="M630" s="178">
        <v>4431.1400000000003</v>
      </c>
      <c r="N630" s="179">
        <v>0</v>
      </c>
      <c r="O630" s="178">
        <v>4500.3200000000006</v>
      </c>
      <c r="P630" s="453"/>
      <c r="Q630" s="61"/>
      <c r="R630" s="298"/>
      <c r="S630" s="669"/>
      <c r="X630" s="444">
        <v>630</v>
      </c>
    </row>
    <row r="631" spans="1:32" ht="12">
      <c r="A631" s="83" t="s">
        <v>19452</v>
      </c>
      <c r="B631" s="64" t="s">
        <v>19453</v>
      </c>
      <c r="C631" s="71" t="s">
        <v>103</v>
      </c>
      <c r="D631" s="79">
        <v>1</v>
      </c>
      <c r="E631" s="79">
        <v>4862.3200000000006</v>
      </c>
      <c r="F631" s="79">
        <v>4862.32</v>
      </c>
      <c r="G631" s="445"/>
      <c r="H631" s="178">
        <v>4862.33</v>
      </c>
      <c r="I631" s="178">
        <v>5980.66</v>
      </c>
      <c r="J631" s="70">
        <v>-1118.3399999999992</v>
      </c>
      <c r="K631" s="320"/>
      <c r="L631" s="178">
        <v>84</v>
      </c>
      <c r="M631" s="178">
        <v>4778.3200000000006</v>
      </c>
      <c r="N631" s="179">
        <v>0</v>
      </c>
      <c r="O631" s="178">
        <v>4862.3200000000006</v>
      </c>
      <c r="P631" s="453"/>
      <c r="Q631" s="61"/>
      <c r="R631" s="298"/>
      <c r="S631" s="669"/>
      <c r="X631" s="444">
        <v>631</v>
      </c>
    </row>
    <row r="632" spans="1:32" ht="12">
      <c r="A632" s="83" t="s">
        <v>19454</v>
      </c>
      <c r="B632" s="64" t="s">
        <v>19455</v>
      </c>
      <c r="C632" s="71" t="s">
        <v>103</v>
      </c>
      <c r="D632" s="79">
        <v>1</v>
      </c>
      <c r="E632" s="79">
        <v>3557.7999999999997</v>
      </c>
      <c r="F632" s="79">
        <v>3557.8</v>
      </c>
      <c r="G632" s="445"/>
      <c r="H632" s="178">
        <v>3557.8</v>
      </c>
      <c r="I632" s="178">
        <v>4376.1000000000004</v>
      </c>
      <c r="J632" s="70">
        <v>-818.30000000000064</v>
      </c>
      <c r="K632" s="320"/>
      <c r="L632" s="178">
        <v>69.180000000000007</v>
      </c>
      <c r="M632" s="178">
        <v>3488.62</v>
      </c>
      <c r="N632" s="179">
        <v>0</v>
      </c>
      <c r="O632" s="178">
        <v>3557.7999999999997</v>
      </c>
      <c r="P632" s="453"/>
      <c r="Q632" s="61"/>
      <c r="R632" s="298"/>
      <c r="S632" s="669"/>
      <c r="X632" s="444">
        <v>632</v>
      </c>
    </row>
    <row r="633" spans="1:32" ht="12">
      <c r="A633" s="83" t="s">
        <v>11485</v>
      </c>
      <c r="B633" s="64" t="s">
        <v>19456</v>
      </c>
      <c r="C633" s="71" t="s">
        <v>509</v>
      </c>
      <c r="D633" s="79">
        <v>1</v>
      </c>
      <c r="E633" s="79">
        <v>1320.6</v>
      </c>
      <c r="F633" s="79">
        <v>1320.6</v>
      </c>
      <c r="G633" s="445"/>
      <c r="H633" s="178">
        <v>1320.6</v>
      </c>
      <c r="I633" s="178">
        <v>1624.34</v>
      </c>
      <c r="J633" s="70">
        <v>-303.74</v>
      </c>
      <c r="K633" s="320"/>
      <c r="L633" s="178">
        <v>63.36</v>
      </c>
      <c r="M633" s="178">
        <v>1257.24</v>
      </c>
      <c r="N633" s="179">
        <v>0</v>
      </c>
      <c r="O633" s="178">
        <v>1320.6</v>
      </c>
      <c r="P633" s="453"/>
      <c r="Q633" s="61"/>
      <c r="R633" s="298"/>
      <c r="S633" s="669"/>
      <c r="X633" s="444">
        <v>633</v>
      </c>
    </row>
    <row r="634" spans="1:32" ht="12">
      <c r="A634" s="83" t="s">
        <v>19457</v>
      </c>
      <c r="B634" s="64" t="s">
        <v>19458</v>
      </c>
      <c r="C634" s="71" t="s">
        <v>103</v>
      </c>
      <c r="D634" s="79">
        <v>1</v>
      </c>
      <c r="E634" s="79">
        <v>5908.79</v>
      </c>
      <c r="F634" s="79">
        <v>5908.79</v>
      </c>
      <c r="G634" s="445"/>
      <c r="H634" s="178">
        <v>5908.79</v>
      </c>
      <c r="I634" s="178">
        <v>7267.81</v>
      </c>
      <c r="J634" s="70">
        <v>-1359.0200000000004</v>
      </c>
      <c r="K634" s="320"/>
      <c r="L634" s="178">
        <v>98.83</v>
      </c>
      <c r="M634" s="178">
        <v>5809.96</v>
      </c>
      <c r="N634" s="179">
        <v>0</v>
      </c>
      <c r="O634" s="178">
        <v>5908.79</v>
      </c>
      <c r="P634" s="453"/>
      <c r="Q634" s="61"/>
      <c r="R634" s="298"/>
      <c r="S634" s="669"/>
      <c r="X634" s="444">
        <v>634</v>
      </c>
    </row>
    <row r="635" spans="1:32" ht="12">
      <c r="A635" s="83" t="s">
        <v>19459</v>
      </c>
      <c r="B635" s="64" t="s">
        <v>19460</v>
      </c>
      <c r="C635" s="71" t="s">
        <v>103</v>
      </c>
      <c r="D635" s="79">
        <v>1</v>
      </c>
      <c r="E635" s="79">
        <v>4284.63</v>
      </c>
      <c r="F635" s="79">
        <v>4284.63</v>
      </c>
      <c r="G635" s="445"/>
      <c r="H635" s="178">
        <v>4284.63</v>
      </c>
      <c r="I635" s="178">
        <v>5270.1</v>
      </c>
      <c r="J635" s="70">
        <v>-985.47000000000025</v>
      </c>
      <c r="K635" s="320"/>
      <c r="L635" s="178">
        <v>84</v>
      </c>
      <c r="M635" s="178">
        <v>4200.63</v>
      </c>
      <c r="N635" s="179">
        <v>0</v>
      </c>
      <c r="O635" s="178">
        <v>4284.63</v>
      </c>
      <c r="P635" s="453"/>
      <c r="Q635" s="61"/>
      <c r="R635" s="298"/>
      <c r="S635" s="669"/>
      <c r="X635" s="444">
        <v>635</v>
      </c>
    </row>
    <row r="636" spans="1:32" ht="12">
      <c r="A636" s="83" t="s">
        <v>19461</v>
      </c>
      <c r="B636" s="64" t="s">
        <v>19462</v>
      </c>
      <c r="C636" s="71" t="s">
        <v>103</v>
      </c>
      <c r="D636" s="79">
        <v>1</v>
      </c>
      <c r="E636" s="79">
        <v>3787.6799999999994</v>
      </c>
      <c r="F636" s="79">
        <v>3787.68</v>
      </c>
      <c r="G636" s="445"/>
      <c r="H636" s="178">
        <v>3787.68</v>
      </c>
      <c r="I636" s="178">
        <v>4658.8500000000004</v>
      </c>
      <c r="J636" s="70">
        <v>-871.17000000000098</v>
      </c>
      <c r="K636" s="320"/>
      <c r="L636" s="178">
        <v>69.180000000000007</v>
      </c>
      <c r="M636" s="178">
        <v>3718.4999999999995</v>
      </c>
      <c r="N636" s="179">
        <v>0</v>
      </c>
      <c r="O636" s="178">
        <v>3787.6799999999994</v>
      </c>
      <c r="P636" s="453"/>
      <c r="Q636" s="61"/>
      <c r="R636" s="298"/>
      <c r="S636" s="669"/>
      <c r="X636" s="444">
        <v>636</v>
      </c>
    </row>
    <row r="637" spans="1:32" ht="12">
      <c r="A637" s="83" t="s">
        <v>19463</v>
      </c>
      <c r="B637" s="64" t="s">
        <v>39605</v>
      </c>
      <c r="C637" s="71" t="s">
        <v>103</v>
      </c>
      <c r="D637" s="79">
        <v>1</v>
      </c>
      <c r="E637" s="79">
        <v>8130.64</v>
      </c>
      <c r="F637" s="79">
        <v>8130.64</v>
      </c>
      <c r="G637" s="445"/>
      <c r="H637" s="178">
        <v>8130.63</v>
      </c>
      <c r="I637" s="178">
        <v>10000.68</v>
      </c>
      <c r="J637" s="70">
        <v>-1870.04</v>
      </c>
      <c r="K637" s="320"/>
      <c r="L637" s="178">
        <v>113.66</v>
      </c>
      <c r="M637" s="178">
        <v>8016.9800000000005</v>
      </c>
      <c r="N637" s="179">
        <v>0</v>
      </c>
      <c r="O637" s="178">
        <v>8130.64</v>
      </c>
      <c r="P637" s="453"/>
      <c r="Q637" s="61"/>
      <c r="R637" s="298"/>
      <c r="S637" s="669"/>
      <c r="X637" s="444">
        <v>637</v>
      </c>
    </row>
    <row r="638" spans="1:32" ht="12">
      <c r="A638" s="83" t="s">
        <v>19464</v>
      </c>
      <c r="B638" s="64" t="s">
        <v>19465</v>
      </c>
      <c r="C638" s="71" t="s">
        <v>103</v>
      </c>
      <c r="D638" s="79">
        <v>1</v>
      </c>
      <c r="E638" s="79">
        <v>4356.34</v>
      </c>
      <c r="F638" s="79">
        <v>4356.34</v>
      </c>
      <c r="G638" s="445"/>
      <c r="H638" s="178">
        <v>4356.34</v>
      </c>
      <c r="I638" s="178">
        <v>5358.3</v>
      </c>
      <c r="J638" s="70">
        <v>-1001.96</v>
      </c>
      <c r="K638" s="320"/>
      <c r="L638" s="178">
        <v>84</v>
      </c>
      <c r="M638" s="178">
        <v>4272.34</v>
      </c>
      <c r="N638" s="179">
        <v>0</v>
      </c>
      <c r="O638" s="178">
        <v>4356.34</v>
      </c>
      <c r="P638" s="453"/>
      <c r="Q638" s="61"/>
      <c r="R638" s="298"/>
      <c r="S638" s="669"/>
      <c r="X638" s="444">
        <v>638</v>
      </c>
    </row>
    <row r="639" spans="1:32" ht="12">
      <c r="A639" s="83" t="s">
        <v>19466</v>
      </c>
      <c r="B639" s="64" t="s">
        <v>19467</v>
      </c>
      <c r="C639" s="71" t="s">
        <v>103</v>
      </c>
      <c r="D639" s="79">
        <v>1</v>
      </c>
      <c r="E639" s="79">
        <v>3390.7899999999995</v>
      </c>
      <c r="F639" s="79">
        <v>3390.79</v>
      </c>
      <c r="G639" s="445"/>
      <c r="H639" s="178">
        <v>3390.79</v>
      </c>
      <c r="I639" s="178">
        <v>4170.67</v>
      </c>
      <c r="J639" s="70">
        <v>-779.88000000000056</v>
      </c>
      <c r="K639" s="320"/>
      <c r="L639" s="178">
        <v>69.180000000000007</v>
      </c>
      <c r="M639" s="178">
        <v>3321.6099999999997</v>
      </c>
      <c r="N639" s="179">
        <v>0</v>
      </c>
      <c r="O639" s="178">
        <v>3390.7899999999995</v>
      </c>
      <c r="P639" s="453"/>
      <c r="Q639" s="61"/>
      <c r="R639" s="298"/>
      <c r="S639" s="669"/>
      <c r="X639" s="444">
        <v>639</v>
      </c>
    </row>
    <row r="640" spans="1:32" ht="12">
      <c r="A640" s="83" t="s">
        <v>19468</v>
      </c>
      <c r="B640" s="64" t="s">
        <v>19469</v>
      </c>
      <c r="C640" s="71" t="s">
        <v>103</v>
      </c>
      <c r="D640" s="79">
        <v>1</v>
      </c>
      <c r="E640" s="79">
        <v>3979.66</v>
      </c>
      <c r="F640" s="79">
        <v>3979.66</v>
      </c>
      <c r="G640" s="445"/>
      <c r="H640" s="178">
        <v>3979.67</v>
      </c>
      <c r="I640" s="178">
        <v>4894.99</v>
      </c>
      <c r="J640" s="70">
        <v>-915.32999999999993</v>
      </c>
      <c r="K640" s="320"/>
      <c r="L640" s="178">
        <v>84</v>
      </c>
      <c r="M640" s="178">
        <v>3895.66</v>
      </c>
      <c r="N640" s="179">
        <v>0</v>
      </c>
      <c r="O640" s="178">
        <v>3979.66</v>
      </c>
      <c r="P640" s="453"/>
      <c r="Q640" s="61"/>
      <c r="R640" s="298"/>
      <c r="S640" s="669"/>
      <c r="X640" s="444">
        <v>640</v>
      </c>
    </row>
    <row r="641" spans="1:24" ht="12">
      <c r="A641" s="83" t="s">
        <v>19470</v>
      </c>
      <c r="B641" s="64" t="s">
        <v>19471</v>
      </c>
      <c r="C641" s="71" t="s">
        <v>103</v>
      </c>
      <c r="D641" s="79">
        <v>1</v>
      </c>
      <c r="E641" s="79">
        <v>4160.87</v>
      </c>
      <c r="F641" s="79">
        <v>4160.87</v>
      </c>
      <c r="G641" s="445"/>
      <c r="H641" s="178">
        <v>4160.88</v>
      </c>
      <c r="I641" s="178">
        <v>5117.88</v>
      </c>
      <c r="J641" s="70">
        <v>-957.01000000000022</v>
      </c>
      <c r="K641" s="320"/>
      <c r="L641" s="178">
        <v>84</v>
      </c>
      <c r="M641" s="178">
        <v>4076.87</v>
      </c>
      <c r="N641" s="179">
        <v>0</v>
      </c>
      <c r="O641" s="178">
        <v>4160.87</v>
      </c>
      <c r="P641" s="453"/>
      <c r="Q641" s="61"/>
      <c r="R641" s="298"/>
      <c r="S641" s="669"/>
      <c r="X641" s="444">
        <v>641</v>
      </c>
    </row>
    <row r="642" spans="1:24" ht="12">
      <c r="A642" s="83" t="s">
        <v>19472</v>
      </c>
      <c r="B642" s="64" t="s">
        <v>19473</v>
      </c>
      <c r="C642" s="71" t="s">
        <v>103</v>
      </c>
      <c r="D642" s="79">
        <v>1</v>
      </c>
      <c r="E642" s="79">
        <v>4865.95</v>
      </c>
      <c r="F642" s="79">
        <v>4865.95</v>
      </c>
      <c r="G642" s="445"/>
      <c r="H642" s="178">
        <v>4865.95</v>
      </c>
      <c r="I642" s="178">
        <v>5985.12</v>
      </c>
      <c r="J642" s="70">
        <v>-1119.17</v>
      </c>
      <c r="K642" s="320"/>
      <c r="L642" s="178">
        <v>98.83</v>
      </c>
      <c r="M642" s="178">
        <v>4767.12</v>
      </c>
      <c r="N642" s="179">
        <v>0</v>
      </c>
      <c r="O642" s="178">
        <v>4865.95</v>
      </c>
      <c r="P642" s="453"/>
      <c r="Q642" s="61"/>
      <c r="R642" s="298"/>
      <c r="S642" s="669"/>
      <c r="X642" s="444">
        <v>642</v>
      </c>
    </row>
    <row r="643" spans="1:24" ht="12">
      <c r="A643" s="83" t="s">
        <v>19474</v>
      </c>
      <c r="B643" s="64" t="s">
        <v>19475</v>
      </c>
      <c r="C643" s="71" t="s">
        <v>103</v>
      </c>
      <c r="D643" s="79">
        <v>1</v>
      </c>
      <c r="E643" s="79">
        <v>3141.66</v>
      </c>
      <c r="F643" s="79">
        <v>3141.66</v>
      </c>
      <c r="G643" s="445"/>
      <c r="H643" s="178">
        <v>3141.66</v>
      </c>
      <c r="I643" s="178">
        <v>3864.24</v>
      </c>
      <c r="J643" s="70">
        <v>-722.57999999999993</v>
      </c>
      <c r="K643" s="320"/>
      <c r="L643" s="178">
        <v>69.180000000000007</v>
      </c>
      <c r="M643" s="178">
        <v>3072.48</v>
      </c>
      <c r="N643" s="179">
        <v>0</v>
      </c>
      <c r="O643" s="178">
        <v>3141.66</v>
      </c>
      <c r="P643" s="453"/>
      <c r="Q643" s="61"/>
      <c r="R643" s="298"/>
      <c r="S643" s="669"/>
      <c r="X643" s="444">
        <v>643</v>
      </c>
    </row>
    <row r="644" spans="1:24" ht="12">
      <c r="A644" s="83" t="s">
        <v>19476</v>
      </c>
      <c r="B644" s="64" t="s">
        <v>19477</v>
      </c>
      <c r="C644" s="71" t="s">
        <v>103</v>
      </c>
      <c r="D644" s="79">
        <v>1</v>
      </c>
      <c r="E644" s="79">
        <v>5550.3200000000006</v>
      </c>
      <c r="F644" s="79">
        <v>5550.32</v>
      </c>
      <c r="G644" s="445"/>
      <c r="H644" s="178">
        <v>5550.32</v>
      </c>
      <c r="I644" s="178">
        <v>6826.89</v>
      </c>
      <c r="J644" s="70">
        <v>-1276.5699999999997</v>
      </c>
      <c r="K644" s="320"/>
      <c r="L644" s="178">
        <v>98.83</v>
      </c>
      <c r="M644" s="178">
        <v>5451.4900000000007</v>
      </c>
      <c r="N644" s="179">
        <v>0</v>
      </c>
      <c r="O644" s="178">
        <v>5550.3200000000006</v>
      </c>
      <c r="P644" s="453"/>
      <c r="Q644" s="61"/>
      <c r="R644" s="298"/>
      <c r="S644" s="669"/>
      <c r="X644" s="444">
        <v>644</v>
      </c>
    </row>
    <row r="645" spans="1:24" ht="12">
      <c r="A645" s="63" t="s">
        <v>19478</v>
      </c>
      <c r="B645" s="146" t="s">
        <v>19479</v>
      </c>
      <c r="C645" s="71" t="s">
        <v>509</v>
      </c>
      <c r="D645" s="79">
        <v>1</v>
      </c>
      <c r="E645" s="79">
        <v>2439.2999999999997</v>
      </c>
      <c r="F645" s="79">
        <v>2439.3000000000002</v>
      </c>
      <c r="G645" s="460"/>
      <c r="H645" s="178">
        <v>2439.2800000000002</v>
      </c>
      <c r="I645" s="178">
        <v>3000.32</v>
      </c>
      <c r="J645" s="70">
        <v>-561.02000000000044</v>
      </c>
      <c r="K645" s="320"/>
      <c r="L645" s="178">
        <v>37.07</v>
      </c>
      <c r="M645" s="178">
        <v>2402.2299999999996</v>
      </c>
      <c r="N645" s="179">
        <v>0</v>
      </c>
      <c r="O645" s="178">
        <v>2439.2999999999997</v>
      </c>
      <c r="P645" s="453"/>
      <c r="Q645" s="61"/>
      <c r="R645" s="298"/>
      <c r="S645" s="669"/>
      <c r="X645" s="444">
        <v>645</v>
      </c>
    </row>
    <row r="646" spans="1:24" ht="12">
      <c r="A646" s="83" t="s">
        <v>19480</v>
      </c>
      <c r="B646" s="64" t="s">
        <v>7326</v>
      </c>
      <c r="C646" s="71" t="s">
        <v>103</v>
      </c>
      <c r="D646" s="79">
        <v>1</v>
      </c>
      <c r="E646" s="79">
        <v>8769.84</v>
      </c>
      <c r="F646" s="79">
        <v>8769.84</v>
      </c>
      <c r="G646" s="445"/>
      <c r="H646" s="178">
        <v>8769.84</v>
      </c>
      <c r="I646" s="178">
        <v>10786.9</v>
      </c>
      <c r="J646" s="70">
        <v>-2017.0599999999995</v>
      </c>
      <c r="K646" s="320"/>
      <c r="L646" s="178">
        <v>699.31999999999994</v>
      </c>
      <c r="M646" s="178">
        <v>8070.52</v>
      </c>
      <c r="N646" s="179">
        <v>0</v>
      </c>
      <c r="O646" s="178">
        <v>8769.84</v>
      </c>
      <c r="P646" s="453"/>
      <c r="Q646" s="61"/>
      <c r="R646" s="298"/>
      <c r="S646" s="669"/>
      <c r="X646" s="444">
        <v>646</v>
      </c>
    </row>
    <row r="647" spans="1:24" ht="12">
      <c r="A647" s="83" t="s">
        <v>19481</v>
      </c>
      <c r="B647" s="64" t="s">
        <v>7328</v>
      </c>
      <c r="C647" s="71" t="s">
        <v>103</v>
      </c>
      <c r="D647" s="79">
        <v>1</v>
      </c>
      <c r="E647" s="79">
        <v>4592.4000000000005</v>
      </c>
      <c r="F647" s="79">
        <v>4592.3999999999996</v>
      </c>
      <c r="G647" s="445"/>
      <c r="H647" s="178">
        <v>4592.3999999999996</v>
      </c>
      <c r="I647" s="178">
        <v>5648.65</v>
      </c>
      <c r="J647" s="70">
        <v>-1056.2499999999991</v>
      </c>
      <c r="K647" s="320"/>
      <c r="L647" s="178">
        <v>765.52</v>
      </c>
      <c r="M647" s="178">
        <v>3826.8800000000006</v>
      </c>
      <c r="N647" s="179">
        <v>0</v>
      </c>
      <c r="O647" s="178">
        <v>4592.4000000000005</v>
      </c>
      <c r="P647" s="453"/>
      <c r="Q647" s="61"/>
      <c r="R647" s="298"/>
      <c r="S647" s="669"/>
      <c r="X647" s="444">
        <v>647</v>
      </c>
    </row>
    <row r="648" spans="1:24" ht="12">
      <c r="A648" s="83" t="s">
        <v>19482</v>
      </c>
      <c r="B648" s="64" t="s">
        <v>7316</v>
      </c>
      <c r="C648" s="71" t="s">
        <v>509</v>
      </c>
      <c r="D648" s="79">
        <v>1</v>
      </c>
      <c r="E648" s="79">
        <v>382.76</v>
      </c>
      <c r="F648" s="79">
        <v>382.76</v>
      </c>
      <c r="G648" s="445"/>
      <c r="H648" s="178">
        <v>382.76</v>
      </c>
      <c r="I648" s="178">
        <v>470.8</v>
      </c>
      <c r="J648" s="70">
        <v>-88.04000000000002</v>
      </c>
      <c r="K648" s="320"/>
      <c r="L648" s="178">
        <v>80.430000000000007</v>
      </c>
      <c r="M648" s="178">
        <v>302.33</v>
      </c>
      <c r="N648" s="179">
        <v>0</v>
      </c>
      <c r="O648" s="178">
        <v>382.76</v>
      </c>
      <c r="P648" s="453"/>
      <c r="Q648" s="61"/>
      <c r="R648" s="298"/>
      <c r="S648" s="669"/>
      <c r="X648" s="444">
        <v>648</v>
      </c>
    </row>
    <row r="649" spans="1:24" ht="12">
      <c r="A649" s="83" t="s">
        <v>19483</v>
      </c>
      <c r="B649" s="64" t="s">
        <v>19484</v>
      </c>
      <c r="C649" s="71" t="s">
        <v>509</v>
      </c>
      <c r="D649" s="79">
        <v>1</v>
      </c>
      <c r="E649" s="79">
        <v>1100.7600000000002</v>
      </c>
      <c r="F649" s="79">
        <v>1100.76</v>
      </c>
      <c r="G649" s="445"/>
      <c r="H649" s="178">
        <v>1100.75</v>
      </c>
      <c r="I649" s="178">
        <v>1353.92</v>
      </c>
      <c r="J649" s="70">
        <v>-253.15999999999985</v>
      </c>
      <c r="K649" s="320"/>
      <c r="L649" s="178">
        <v>88.13</v>
      </c>
      <c r="M649" s="178">
        <v>1012.6300000000002</v>
      </c>
      <c r="N649" s="179">
        <v>0</v>
      </c>
      <c r="O649" s="178">
        <v>1100.7600000000002</v>
      </c>
      <c r="P649" s="453"/>
      <c r="Q649" s="61"/>
      <c r="R649" s="298"/>
      <c r="S649" s="669"/>
      <c r="X649" s="444">
        <v>649</v>
      </c>
    </row>
    <row r="650" spans="1:24" ht="12">
      <c r="A650" s="83" t="s">
        <v>19485</v>
      </c>
      <c r="B650" s="64" t="s">
        <v>19486</v>
      </c>
      <c r="C650" s="71" t="s">
        <v>103</v>
      </c>
      <c r="D650" s="79">
        <v>1</v>
      </c>
      <c r="E650" s="79">
        <v>10379.279999999999</v>
      </c>
      <c r="F650" s="79">
        <v>10379.280000000001</v>
      </c>
      <c r="G650" s="445"/>
      <c r="H650" s="178">
        <v>10379.280000000001</v>
      </c>
      <c r="I650" s="178">
        <v>12766.51</v>
      </c>
      <c r="J650" s="70">
        <v>-2387.2300000000014</v>
      </c>
      <c r="K650" s="320"/>
      <c r="L650" s="178">
        <v>382.48</v>
      </c>
      <c r="M650" s="178">
        <v>9996.7999999999993</v>
      </c>
      <c r="N650" s="179">
        <v>0</v>
      </c>
      <c r="O650" s="178">
        <v>10379.279999999999</v>
      </c>
      <c r="P650" s="453"/>
      <c r="Q650" s="61"/>
      <c r="R650" s="298"/>
      <c r="S650" s="669"/>
      <c r="X650" s="444">
        <v>650</v>
      </c>
    </row>
    <row r="651" spans="1:24" ht="12">
      <c r="A651" s="83" t="s">
        <v>19487</v>
      </c>
      <c r="B651" s="64" t="s">
        <v>19488</v>
      </c>
      <c r="C651" s="71" t="s">
        <v>103</v>
      </c>
      <c r="D651" s="79">
        <v>1</v>
      </c>
      <c r="E651" s="79">
        <v>20308.080000000002</v>
      </c>
      <c r="F651" s="79">
        <v>20308.080000000002</v>
      </c>
      <c r="G651" s="445"/>
      <c r="H651" s="178">
        <v>20308.060000000001</v>
      </c>
      <c r="I651" s="178">
        <v>24978.91</v>
      </c>
      <c r="J651" s="70">
        <v>-4670.8299999999981</v>
      </c>
      <c r="K651" s="320"/>
      <c r="L651" s="178">
        <v>707.87</v>
      </c>
      <c r="M651" s="178">
        <v>19600.210000000003</v>
      </c>
      <c r="N651" s="179">
        <v>0</v>
      </c>
      <c r="O651" s="178">
        <v>20308.080000000002</v>
      </c>
      <c r="P651" s="453"/>
      <c r="Q651" s="61"/>
      <c r="R651" s="298"/>
      <c r="S651" s="669"/>
      <c r="X651" s="444">
        <v>651</v>
      </c>
    </row>
    <row r="652" spans="1:24" ht="12">
      <c r="A652" s="83" t="s">
        <v>19489</v>
      </c>
      <c r="B652" s="64" t="s">
        <v>19490</v>
      </c>
      <c r="C652" s="71" t="s">
        <v>103</v>
      </c>
      <c r="D652" s="79">
        <v>1</v>
      </c>
      <c r="E652" s="79">
        <v>10717.65</v>
      </c>
      <c r="F652" s="79">
        <v>10717.65</v>
      </c>
      <c r="G652" s="445"/>
      <c r="H652" s="178">
        <v>10717.66</v>
      </c>
      <c r="I652" s="178">
        <v>13182.72</v>
      </c>
      <c r="J652" s="70">
        <v>-2465.0699999999997</v>
      </c>
      <c r="K652" s="320"/>
      <c r="L652" s="178">
        <v>391.15999999999997</v>
      </c>
      <c r="M652" s="178">
        <v>10326.49</v>
      </c>
      <c r="N652" s="179">
        <v>0</v>
      </c>
      <c r="O652" s="178">
        <v>10717.65</v>
      </c>
      <c r="P652" s="453"/>
      <c r="Q652" s="61"/>
      <c r="R652" s="298"/>
      <c r="S652" s="669"/>
      <c r="X652" s="444">
        <v>652</v>
      </c>
    </row>
    <row r="653" spans="1:24" ht="12">
      <c r="A653" s="83" t="s">
        <v>19491</v>
      </c>
      <c r="B653" s="64" t="s">
        <v>19492</v>
      </c>
      <c r="C653" s="71" t="s">
        <v>103</v>
      </c>
      <c r="D653" s="79">
        <v>1</v>
      </c>
      <c r="E653" s="79">
        <v>20645.16</v>
      </c>
      <c r="F653" s="79">
        <v>20645.16</v>
      </c>
      <c r="G653" s="445"/>
      <c r="H653" s="178">
        <v>20645.150000000001</v>
      </c>
      <c r="I653" s="178">
        <v>25393.54</v>
      </c>
      <c r="J653" s="70">
        <v>-4748.380000000001</v>
      </c>
      <c r="K653" s="320"/>
      <c r="L653" s="178">
        <v>716.81999999999994</v>
      </c>
      <c r="M653" s="178">
        <v>19928.34</v>
      </c>
      <c r="N653" s="179">
        <v>0</v>
      </c>
      <c r="O653" s="178">
        <v>20645.16</v>
      </c>
      <c r="P653" s="453"/>
      <c r="Q653" s="61"/>
      <c r="R653" s="298"/>
      <c r="S653" s="669"/>
      <c r="X653" s="444">
        <v>653</v>
      </c>
    </row>
    <row r="654" spans="1:24" ht="12">
      <c r="A654" s="83" t="s">
        <v>19493</v>
      </c>
      <c r="B654" s="64" t="s">
        <v>19494</v>
      </c>
      <c r="C654" s="71" t="s">
        <v>103</v>
      </c>
      <c r="D654" s="79">
        <v>1</v>
      </c>
      <c r="E654" s="79">
        <v>56817.040000000008</v>
      </c>
      <c r="F654" s="79">
        <v>56817.04</v>
      </c>
      <c r="G654" s="445"/>
      <c r="H654" s="178">
        <v>56817</v>
      </c>
      <c r="I654" s="178">
        <v>69884.91</v>
      </c>
      <c r="J654" s="70">
        <v>-13067.869999999995</v>
      </c>
      <c r="K654" s="320"/>
      <c r="L654" s="178">
        <v>607.07999999999993</v>
      </c>
      <c r="M654" s="178">
        <v>56209.960000000006</v>
      </c>
      <c r="N654" s="179">
        <v>0</v>
      </c>
      <c r="O654" s="178">
        <v>56817.040000000008</v>
      </c>
      <c r="P654" s="453"/>
      <c r="Q654" s="61"/>
      <c r="R654" s="298"/>
      <c r="S654" s="669"/>
      <c r="X654" s="444">
        <v>654</v>
      </c>
    </row>
    <row r="655" spans="1:24" ht="12">
      <c r="A655" s="83" t="s">
        <v>19495</v>
      </c>
      <c r="B655" s="64" t="s">
        <v>19496</v>
      </c>
      <c r="C655" s="71" t="s">
        <v>103</v>
      </c>
      <c r="D655" s="79">
        <v>1</v>
      </c>
      <c r="E655" s="79">
        <v>37382.83</v>
      </c>
      <c r="F655" s="79">
        <v>37382.83</v>
      </c>
      <c r="G655" s="445"/>
      <c r="H655" s="178">
        <v>37382.800000000003</v>
      </c>
      <c r="I655" s="178">
        <v>45980.85</v>
      </c>
      <c r="J655" s="70">
        <v>-8598.0199999999968</v>
      </c>
      <c r="K655" s="320"/>
      <c r="L655" s="178">
        <v>461.14</v>
      </c>
      <c r="M655" s="178">
        <v>36921.69</v>
      </c>
      <c r="N655" s="179">
        <v>0</v>
      </c>
      <c r="O655" s="178">
        <v>37382.83</v>
      </c>
      <c r="P655" s="453"/>
      <c r="Q655" s="61"/>
      <c r="R655" s="298"/>
      <c r="S655" s="669"/>
      <c r="X655" s="444">
        <v>655</v>
      </c>
    </row>
    <row r="656" spans="1:24" ht="12">
      <c r="A656" s="83" t="s">
        <v>19497</v>
      </c>
      <c r="B656" s="64" t="s">
        <v>19498</v>
      </c>
      <c r="C656" s="71" t="s">
        <v>103</v>
      </c>
      <c r="D656" s="79">
        <v>1</v>
      </c>
      <c r="E656" s="79">
        <v>29663.43</v>
      </c>
      <c r="F656" s="79">
        <v>29663.43</v>
      </c>
      <c r="G656" s="445"/>
      <c r="H656" s="178">
        <v>29663.42</v>
      </c>
      <c r="I656" s="178">
        <v>36486.01</v>
      </c>
      <c r="J656" s="70">
        <v>-6822.5800000000017</v>
      </c>
      <c r="K656" s="320"/>
      <c r="L656" s="178">
        <v>377.89</v>
      </c>
      <c r="M656" s="178">
        <v>29285.54</v>
      </c>
      <c r="N656" s="179">
        <v>0</v>
      </c>
      <c r="O656" s="178">
        <v>29663.43</v>
      </c>
      <c r="P656" s="453"/>
      <c r="Q656" s="61"/>
      <c r="R656" s="298"/>
      <c r="S656" s="669"/>
      <c r="X656" s="444">
        <v>656</v>
      </c>
    </row>
    <row r="657" spans="1:32" ht="12">
      <c r="A657" s="83" t="s">
        <v>19499</v>
      </c>
      <c r="B657" s="64" t="s">
        <v>19500</v>
      </c>
      <c r="C657" s="71" t="s">
        <v>509</v>
      </c>
      <c r="D657" s="79">
        <v>1</v>
      </c>
      <c r="E657" s="79">
        <v>1255.01</v>
      </c>
      <c r="F657" s="79">
        <v>1255.01</v>
      </c>
      <c r="G657" s="445"/>
      <c r="H657" s="178">
        <v>1254.99</v>
      </c>
      <c r="I657" s="178">
        <v>1543.64</v>
      </c>
      <c r="J657" s="70">
        <v>-288.63000000000011</v>
      </c>
      <c r="K657" s="320"/>
      <c r="L657" s="178">
        <v>46.2</v>
      </c>
      <c r="M657" s="178">
        <v>1208.81</v>
      </c>
      <c r="N657" s="179">
        <v>0</v>
      </c>
      <c r="O657" s="178">
        <v>1255.01</v>
      </c>
      <c r="P657" s="453"/>
      <c r="Q657" s="61"/>
      <c r="R657" s="298"/>
      <c r="S657" s="669"/>
      <c r="X657" s="444">
        <v>657</v>
      </c>
    </row>
    <row r="658" spans="1:32" ht="12">
      <c r="A658" s="83" t="s">
        <v>19501</v>
      </c>
      <c r="B658" s="64" t="s">
        <v>19502</v>
      </c>
      <c r="C658" s="71" t="s">
        <v>509</v>
      </c>
      <c r="D658" s="79">
        <v>1</v>
      </c>
      <c r="E658" s="79">
        <v>3505.59</v>
      </c>
      <c r="F658" s="79">
        <v>3505.59</v>
      </c>
      <c r="G658" s="445"/>
      <c r="H658" s="178">
        <v>3505.58</v>
      </c>
      <c r="I658" s="178">
        <v>4311.8599999999997</v>
      </c>
      <c r="J658" s="70">
        <v>-806.26999999999953</v>
      </c>
      <c r="K658" s="320"/>
      <c r="L658" s="178">
        <v>37.449999999999996</v>
      </c>
      <c r="M658" s="178">
        <v>3468.1400000000003</v>
      </c>
      <c r="N658" s="179">
        <v>0</v>
      </c>
      <c r="O658" s="178">
        <v>3505.59</v>
      </c>
      <c r="P658" s="453"/>
      <c r="Q658" s="61"/>
      <c r="R658" s="298"/>
      <c r="S658" s="669"/>
      <c r="X658" s="444">
        <v>658</v>
      </c>
    </row>
    <row r="659" spans="1:32" ht="12">
      <c r="A659" s="63" t="s">
        <v>19503</v>
      </c>
      <c r="B659" s="146" t="s">
        <v>19504</v>
      </c>
      <c r="C659" s="134" t="s">
        <v>165</v>
      </c>
      <c r="D659" s="79">
        <v>1</v>
      </c>
      <c r="E659" s="79">
        <v>155.84000000000003</v>
      </c>
      <c r="F659" s="79">
        <v>155.84</v>
      </c>
      <c r="G659" s="445"/>
      <c r="H659" s="178">
        <v>155.82</v>
      </c>
      <c r="I659" s="178">
        <v>191.66</v>
      </c>
      <c r="J659" s="70">
        <v>-35.819999999999965</v>
      </c>
      <c r="K659" s="320"/>
      <c r="L659" s="178">
        <v>59.230000000000004</v>
      </c>
      <c r="M659" s="178">
        <v>96.610000000000028</v>
      </c>
      <c r="N659" s="179">
        <v>0</v>
      </c>
      <c r="O659" s="178">
        <v>155.84000000000003</v>
      </c>
      <c r="P659" s="453"/>
      <c r="Q659" s="61"/>
      <c r="R659" s="298"/>
      <c r="S659" s="669"/>
      <c r="X659" s="444">
        <v>659</v>
      </c>
    </row>
    <row r="660" spans="1:32" ht="12">
      <c r="A660" s="63" t="s">
        <v>19505</v>
      </c>
      <c r="B660" s="146" t="s">
        <v>19506</v>
      </c>
      <c r="C660" s="134" t="s">
        <v>165</v>
      </c>
      <c r="D660" s="79">
        <v>1</v>
      </c>
      <c r="E660" s="79">
        <v>148.13</v>
      </c>
      <c r="F660" s="79">
        <v>148.13</v>
      </c>
      <c r="G660" s="445"/>
      <c r="H660" s="178">
        <v>148.11000000000001</v>
      </c>
      <c r="I660" s="178">
        <v>182.18</v>
      </c>
      <c r="J660" s="70">
        <v>-34.050000000000011</v>
      </c>
      <c r="K660" s="320"/>
      <c r="L660" s="178">
        <v>59.230000000000004</v>
      </c>
      <c r="M660" s="178">
        <v>88.899999999999991</v>
      </c>
      <c r="N660" s="179">
        <v>0</v>
      </c>
      <c r="O660" s="178">
        <v>148.13</v>
      </c>
      <c r="P660" s="453"/>
      <c r="Q660" s="61"/>
      <c r="R660" s="298"/>
      <c r="S660" s="669"/>
      <c r="X660" s="444">
        <v>660</v>
      </c>
    </row>
    <row r="661" spans="1:32" ht="24">
      <c r="A661" s="83" t="s">
        <v>19507</v>
      </c>
      <c r="B661" s="146" t="s">
        <v>39606</v>
      </c>
      <c r="C661" s="134" t="s">
        <v>165</v>
      </c>
      <c r="D661" s="79">
        <v>1</v>
      </c>
      <c r="E661" s="79">
        <v>147.15000000000003</v>
      </c>
      <c r="F661" s="79">
        <v>147.15</v>
      </c>
      <c r="G661" s="445"/>
      <c r="H661" s="178">
        <v>147.15</v>
      </c>
      <c r="I661" s="178">
        <v>180.99</v>
      </c>
      <c r="J661" s="70">
        <v>-33.839999999999975</v>
      </c>
      <c r="K661" s="320"/>
      <c r="L661" s="178"/>
      <c r="M661" s="178">
        <v>147.15000000000003</v>
      </c>
      <c r="N661" s="179">
        <v>0</v>
      </c>
      <c r="O661" s="178">
        <v>147.15000000000003</v>
      </c>
      <c r="P661" s="453"/>
      <c r="Q661" s="61"/>
      <c r="R661" s="298"/>
      <c r="S661" s="669"/>
      <c r="X661" s="444">
        <v>661</v>
      </c>
    </row>
    <row r="662" spans="1:32" ht="12">
      <c r="A662" s="83" t="s">
        <v>19508</v>
      </c>
      <c r="B662" s="64" t="s">
        <v>19443</v>
      </c>
      <c r="C662" s="71" t="s">
        <v>10216</v>
      </c>
      <c r="D662" s="79">
        <v>1</v>
      </c>
      <c r="E662" s="79">
        <v>577.26</v>
      </c>
      <c r="F662" s="79">
        <v>577.26</v>
      </c>
      <c r="G662" s="445"/>
      <c r="H662" s="178">
        <v>577.25</v>
      </c>
      <c r="I662" s="178">
        <v>710.02</v>
      </c>
      <c r="J662" s="70">
        <v>-132.76</v>
      </c>
      <c r="K662" s="320"/>
      <c r="L662" s="178"/>
      <c r="M662" s="178">
        <v>577.26</v>
      </c>
      <c r="N662" s="179">
        <v>0</v>
      </c>
      <c r="O662" s="178">
        <v>577.26</v>
      </c>
      <c r="P662" s="453"/>
      <c r="Q662" s="61"/>
      <c r="R662" s="298"/>
      <c r="S662" s="669"/>
      <c r="X662" s="444">
        <v>662</v>
      </c>
    </row>
    <row r="663" spans="1:32" ht="24">
      <c r="A663" s="525" t="s">
        <v>19509</v>
      </c>
      <c r="B663" s="461" t="s">
        <v>19510</v>
      </c>
      <c r="C663" s="526" t="s">
        <v>103</v>
      </c>
      <c r="D663" s="79">
        <v>1</v>
      </c>
      <c r="E663" s="79">
        <v>5040.43</v>
      </c>
      <c r="F663" s="79">
        <v>5040.43</v>
      </c>
      <c r="G663" s="320"/>
      <c r="H663" s="178">
        <v>5040.43</v>
      </c>
      <c r="I663" s="178">
        <v>6199.73</v>
      </c>
      <c r="J663" s="70">
        <v>-1159.2999999999993</v>
      </c>
      <c r="K663" s="320"/>
      <c r="L663" s="178">
        <v>98.83</v>
      </c>
      <c r="M663" s="178">
        <v>4941.6000000000004</v>
      </c>
      <c r="N663" s="179">
        <v>0</v>
      </c>
      <c r="O663" s="178">
        <v>5040.43</v>
      </c>
      <c r="P663" s="453"/>
      <c r="Q663" s="61"/>
      <c r="R663" s="298"/>
      <c r="S663" s="669"/>
      <c r="T663" s="69"/>
      <c r="X663" s="444">
        <v>663</v>
      </c>
    </row>
    <row r="664" spans="1:32" ht="24">
      <c r="A664" s="83" t="s">
        <v>19511</v>
      </c>
      <c r="B664" s="64" t="s">
        <v>40907</v>
      </c>
      <c r="C664" s="71" t="s">
        <v>103</v>
      </c>
      <c r="D664" s="79">
        <v>1</v>
      </c>
      <c r="E664" s="79">
        <v>9798.6700000000019</v>
      </c>
      <c r="F664" s="79">
        <v>9798.67</v>
      </c>
      <c r="G664" s="445"/>
      <c r="H664" s="178">
        <v>9798.67</v>
      </c>
      <c r="I664" s="178">
        <v>12052.36</v>
      </c>
      <c r="J664" s="70">
        <v>-2253.6899999999987</v>
      </c>
      <c r="K664" s="320"/>
      <c r="L664" s="178">
        <v>187.01</v>
      </c>
      <c r="M664" s="178">
        <v>9611.6600000000017</v>
      </c>
      <c r="N664" s="179">
        <v>0</v>
      </c>
      <c r="O664" s="178">
        <v>9798.6700000000019</v>
      </c>
      <c r="P664" s="453"/>
      <c r="Q664" s="61"/>
      <c r="R664" s="298"/>
      <c r="S664" s="669"/>
      <c r="X664" s="444">
        <v>664</v>
      </c>
    </row>
    <row r="665" spans="1:32" ht="24">
      <c r="A665" s="83" t="s">
        <v>19512</v>
      </c>
      <c r="B665" s="64" t="s">
        <v>39607</v>
      </c>
      <c r="C665" s="71" t="s">
        <v>103</v>
      </c>
      <c r="D665" s="79">
        <v>1</v>
      </c>
      <c r="E665" s="79">
        <v>27781.649999999998</v>
      </c>
      <c r="F665" s="79">
        <v>27781.65</v>
      </c>
      <c r="G665" s="445"/>
      <c r="H665" s="178">
        <v>27781.64</v>
      </c>
      <c r="I665" s="178">
        <v>34171.42</v>
      </c>
      <c r="J665" s="70">
        <v>-6389.77</v>
      </c>
      <c r="K665" s="320"/>
      <c r="L665" s="178"/>
      <c r="M665" s="178">
        <v>27781.649999999998</v>
      </c>
      <c r="N665" s="179">
        <v>0</v>
      </c>
      <c r="O665" s="178">
        <v>27781.649999999998</v>
      </c>
      <c r="P665" s="453"/>
      <c r="Q665" s="61"/>
      <c r="R665" s="298"/>
      <c r="S665" s="669"/>
      <c r="X665" s="444">
        <v>665</v>
      </c>
    </row>
    <row r="666" spans="1:32" ht="24">
      <c r="A666" s="83" t="s">
        <v>19513</v>
      </c>
      <c r="B666" s="64" t="s">
        <v>39608</v>
      </c>
      <c r="C666" s="71" t="s">
        <v>103</v>
      </c>
      <c r="D666" s="79">
        <v>1</v>
      </c>
      <c r="E666" s="79">
        <v>4698.7900000000009</v>
      </c>
      <c r="F666" s="79">
        <v>4698.79</v>
      </c>
      <c r="G666" s="445"/>
      <c r="H666" s="178">
        <v>4698.79</v>
      </c>
      <c r="I666" s="178">
        <v>5779.51</v>
      </c>
      <c r="J666" s="70">
        <v>-1080.7199999999993</v>
      </c>
      <c r="K666" s="320"/>
      <c r="L666" s="178"/>
      <c r="M666" s="178">
        <v>4698.7900000000009</v>
      </c>
      <c r="N666" s="179">
        <v>0</v>
      </c>
      <c r="O666" s="178">
        <v>4698.7900000000009</v>
      </c>
      <c r="P666" s="453"/>
      <c r="Q666" s="61"/>
      <c r="R666" s="298"/>
      <c r="S666" s="669"/>
      <c r="X666" s="444">
        <v>666</v>
      </c>
    </row>
    <row r="667" spans="1:32" ht="12">
      <c r="A667" s="83" t="s">
        <v>39609</v>
      </c>
      <c r="B667" s="64" t="s">
        <v>39610</v>
      </c>
      <c r="C667" s="71"/>
      <c r="D667" s="79" t="s">
        <v>40899</v>
      </c>
      <c r="E667" s="79" t="s">
        <v>40899</v>
      </c>
      <c r="F667" s="79"/>
      <c r="G667" s="445"/>
      <c r="H667" s="178"/>
      <c r="I667" s="178"/>
      <c r="J667" s="70"/>
      <c r="K667" s="320"/>
      <c r="L667" s="178"/>
      <c r="M667" s="178"/>
      <c r="N667" s="179"/>
      <c r="O667" s="178"/>
      <c r="P667" s="453"/>
      <c r="Q667" s="61"/>
      <c r="R667" s="298"/>
      <c r="S667" s="669"/>
      <c r="T667" s="61"/>
      <c r="X667" s="444">
        <v>667</v>
      </c>
    </row>
    <row r="668" spans="1:32" ht="12">
      <c r="A668" s="83" t="s">
        <v>19514</v>
      </c>
      <c r="B668" s="64" t="s">
        <v>19515</v>
      </c>
      <c r="C668" s="71" t="s">
        <v>103</v>
      </c>
      <c r="D668" s="79">
        <v>1</v>
      </c>
      <c r="E668" s="79">
        <v>705.54</v>
      </c>
      <c r="F668" s="79">
        <v>705.54</v>
      </c>
      <c r="G668" s="445"/>
      <c r="H668" s="178">
        <v>705.54</v>
      </c>
      <c r="I668" s="178">
        <v>867.81</v>
      </c>
      <c r="J668" s="70">
        <v>-162.26999999999998</v>
      </c>
      <c r="K668" s="320"/>
      <c r="L668" s="178">
        <v>90.22</v>
      </c>
      <c r="M668" s="178">
        <v>615.31999999999994</v>
      </c>
      <c r="N668" s="179">
        <v>0</v>
      </c>
      <c r="O668" s="178">
        <v>705.54</v>
      </c>
      <c r="P668" s="453"/>
      <c r="Q668" s="61"/>
      <c r="R668" s="298"/>
      <c r="S668" s="669"/>
      <c r="U668" s="69"/>
      <c r="V668" s="69"/>
      <c r="W668" s="69"/>
      <c r="X668" s="444">
        <v>668</v>
      </c>
      <c r="Y668" s="69"/>
      <c r="Z668" s="69"/>
      <c r="AA668" s="69"/>
      <c r="AB668" s="69"/>
      <c r="AC668" s="69"/>
      <c r="AD668" s="69"/>
      <c r="AE668" s="69"/>
      <c r="AF668" s="69"/>
    </row>
    <row r="669" spans="1:32" ht="12">
      <c r="A669" s="83" t="s">
        <v>19516</v>
      </c>
      <c r="B669" s="64" t="s">
        <v>19517</v>
      </c>
      <c r="C669" s="71" t="s">
        <v>103</v>
      </c>
      <c r="D669" s="79">
        <v>1</v>
      </c>
      <c r="E669" s="79">
        <v>664.78</v>
      </c>
      <c r="F669" s="79">
        <v>664.78</v>
      </c>
      <c r="G669" s="445"/>
      <c r="H669" s="178">
        <v>664.76</v>
      </c>
      <c r="I669" s="178">
        <v>817.66</v>
      </c>
      <c r="J669" s="70">
        <v>-152.88</v>
      </c>
      <c r="K669" s="320"/>
      <c r="L669" s="178">
        <v>139.62</v>
      </c>
      <c r="M669" s="178">
        <v>525.16</v>
      </c>
      <c r="N669" s="179">
        <v>0</v>
      </c>
      <c r="O669" s="178">
        <v>664.78</v>
      </c>
      <c r="P669" s="453"/>
      <c r="Q669" s="61"/>
      <c r="R669" s="298"/>
      <c r="S669" s="669"/>
      <c r="X669" s="444">
        <v>669</v>
      </c>
    </row>
    <row r="670" spans="1:32" ht="12">
      <c r="A670" s="83" t="s">
        <v>19518</v>
      </c>
      <c r="B670" s="64" t="s">
        <v>7436</v>
      </c>
      <c r="C670" s="71" t="s">
        <v>103</v>
      </c>
      <c r="D670" s="79">
        <v>1</v>
      </c>
      <c r="E670" s="79">
        <v>668.63</v>
      </c>
      <c r="F670" s="79">
        <v>668.63</v>
      </c>
      <c r="G670" s="445"/>
      <c r="H670" s="178">
        <v>668.63</v>
      </c>
      <c r="I670" s="178">
        <v>822.41</v>
      </c>
      <c r="J670" s="70">
        <v>-153.77999999999997</v>
      </c>
      <c r="K670" s="320"/>
      <c r="L670" s="178">
        <v>123.11999999999999</v>
      </c>
      <c r="M670" s="178">
        <v>545.51</v>
      </c>
      <c r="N670" s="179">
        <v>0</v>
      </c>
      <c r="O670" s="178">
        <v>668.63</v>
      </c>
      <c r="P670" s="453"/>
      <c r="Q670" s="61"/>
      <c r="R670" s="298"/>
      <c r="S670" s="669"/>
      <c r="X670" s="444">
        <v>670</v>
      </c>
    </row>
    <row r="671" spans="1:32" ht="12">
      <c r="A671" s="83" t="s">
        <v>19519</v>
      </c>
      <c r="B671" s="64" t="s">
        <v>19520</v>
      </c>
      <c r="C671" s="71" t="s">
        <v>103</v>
      </c>
      <c r="D671" s="79">
        <v>1</v>
      </c>
      <c r="E671" s="79">
        <v>1269.44</v>
      </c>
      <c r="F671" s="79">
        <v>1269.44</v>
      </c>
      <c r="G671" s="445"/>
      <c r="H671" s="178">
        <v>1269.44</v>
      </c>
      <c r="I671" s="178">
        <v>1561.41</v>
      </c>
      <c r="J671" s="70">
        <v>-291.97000000000003</v>
      </c>
      <c r="K671" s="320"/>
      <c r="L671" s="178">
        <v>246.23999999999998</v>
      </c>
      <c r="M671" s="178">
        <v>1023.2</v>
      </c>
      <c r="N671" s="179">
        <v>0</v>
      </c>
      <c r="O671" s="178">
        <v>1269.44</v>
      </c>
      <c r="P671" s="453"/>
      <c r="Q671" s="61"/>
      <c r="R671" s="298"/>
      <c r="S671" s="669"/>
      <c r="X671" s="444">
        <v>671</v>
      </c>
    </row>
    <row r="672" spans="1:32" ht="12">
      <c r="A672" s="63" t="s">
        <v>19521</v>
      </c>
      <c r="B672" s="64" t="s">
        <v>39611</v>
      </c>
      <c r="C672" s="71" t="s">
        <v>509</v>
      </c>
      <c r="D672" s="79">
        <v>1</v>
      </c>
      <c r="E672" s="79">
        <v>533.42999999999995</v>
      </c>
      <c r="F672" s="79">
        <v>533.42999999999995</v>
      </c>
      <c r="G672" s="445"/>
      <c r="H672" s="178">
        <v>533.41</v>
      </c>
      <c r="I672" s="178">
        <v>656.1</v>
      </c>
      <c r="J672" s="70">
        <v>-122.67000000000007</v>
      </c>
      <c r="K672" s="320"/>
      <c r="L672" s="178">
        <v>227.86</v>
      </c>
      <c r="M672" s="178">
        <v>305.56999999999994</v>
      </c>
      <c r="N672" s="179">
        <v>0</v>
      </c>
      <c r="O672" s="178">
        <v>533.42999999999995</v>
      </c>
      <c r="P672" s="453"/>
      <c r="Q672" s="61"/>
      <c r="R672" s="298"/>
      <c r="S672" s="669"/>
      <c r="X672" s="444">
        <v>672</v>
      </c>
    </row>
    <row r="673" spans="1:32" ht="12">
      <c r="A673" s="83" t="s">
        <v>19522</v>
      </c>
      <c r="B673" s="64" t="s">
        <v>19523</v>
      </c>
      <c r="C673" s="71" t="s">
        <v>165</v>
      </c>
      <c r="D673" s="79">
        <v>1</v>
      </c>
      <c r="E673" s="79">
        <v>860.13</v>
      </c>
      <c r="F673" s="79">
        <v>860.13</v>
      </c>
      <c r="G673" s="445"/>
      <c r="H673" s="178">
        <v>860.13</v>
      </c>
      <c r="I673" s="178">
        <v>1057.96</v>
      </c>
      <c r="J673" s="70">
        <v>-197.83000000000004</v>
      </c>
      <c r="K673" s="320"/>
      <c r="L673" s="178">
        <v>19.759999999999998</v>
      </c>
      <c r="M673" s="178">
        <v>840.37</v>
      </c>
      <c r="N673" s="179">
        <v>0</v>
      </c>
      <c r="O673" s="178">
        <v>860.13</v>
      </c>
      <c r="P673" s="453"/>
      <c r="Q673" s="61"/>
      <c r="R673" s="298"/>
      <c r="S673" s="669"/>
      <c r="X673" s="444">
        <v>673</v>
      </c>
    </row>
    <row r="674" spans="1:32" ht="12">
      <c r="A674" s="83" t="s">
        <v>19524</v>
      </c>
      <c r="B674" s="64" t="s">
        <v>19525</v>
      </c>
      <c r="C674" s="71" t="s">
        <v>165</v>
      </c>
      <c r="D674" s="79">
        <v>1</v>
      </c>
      <c r="E674" s="79">
        <v>1511.04</v>
      </c>
      <c r="F674" s="79">
        <v>1511.04</v>
      </c>
      <c r="G674" s="445"/>
      <c r="H674" s="178">
        <v>1511.03</v>
      </c>
      <c r="I674" s="178">
        <v>1858.57</v>
      </c>
      <c r="J674" s="70">
        <v>-347.53</v>
      </c>
      <c r="K674" s="320"/>
      <c r="L674" s="178">
        <v>110.09</v>
      </c>
      <c r="M674" s="178">
        <v>1400.95</v>
      </c>
      <c r="N674" s="179">
        <v>0</v>
      </c>
      <c r="O674" s="178">
        <v>1511.04</v>
      </c>
      <c r="P674" s="453"/>
      <c r="Q674" s="61"/>
      <c r="R674" s="298"/>
      <c r="S674" s="669"/>
      <c r="X674" s="444">
        <v>674</v>
      </c>
    </row>
    <row r="675" spans="1:32" ht="12">
      <c r="A675" s="83" t="s">
        <v>19526</v>
      </c>
      <c r="B675" s="64" t="s">
        <v>19527</v>
      </c>
      <c r="C675" s="71" t="s">
        <v>509</v>
      </c>
      <c r="D675" s="79">
        <v>1</v>
      </c>
      <c r="E675" s="79">
        <v>1006.8100000000001</v>
      </c>
      <c r="F675" s="79">
        <v>1006.81</v>
      </c>
      <c r="G675" s="445"/>
      <c r="H675" s="178">
        <v>1006.81</v>
      </c>
      <c r="I675" s="178">
        <v>1238.3800000000001</v>
      </c>
      <c r="J675" s="70">
        <v>-231.57000000000005</v>
      </c>
      <c r="K675" s="320"/>
      <c r="L675" s="178">
        <v>16.45</v>
      </c>
      <c r="M675" s="178">
        <v>990.36</v>
      </c>
      <c r="N675" s="179">
        <v>0</v>
      </c>
      <c r="O675" s="178">
        <v>1006.8100000000001</v>
      </c>
      <c r="P675" s="453"/>
      <c r="Q675" s="61"/>
      <c r="R675" s="298"/>
      <c r="S675" s="669"/>
      <c r="X675" s="444">
        <v>675</v>
      </c>
    </row>
    <row r="676" spans="1:32" s="69" customFormat="1" ht="12">
      <c r="A676" s="63" t="s">
        <v>19528</v>
      </c>
      <c r="B676" s="64" t="s">
        <v>19529</v>
      </c>
      <c r="C676" s="63" t="s">
        <v>509</v>
      </c>
      <c r="D676" s="79">
        <v>1</v>
      </c>
      <c r="E676" s="79">
        <v>913.06000000000006</v>
      </c>
      <c r="F676" s="79">
        <v>913.06</v>
      </c>
      <c r="G676" s="320"/>
      <c r="H676" s="178">
        <v>913.07</v>
      </c>
      <c r="I676" s="178">
        <v>1123.07</v>
      </c>
      <c r="J676" s="70">
        <v>-210.00999999999988</v>
      </c>
      <c r="K676" s="320"/>
      <c r="L676" s="178">
        <v>24.71</v>
      </c>
      <c r="M676" s="178">
        <v>888.35</v>
      </c>
      <c r="N676" s="179">
        <v>0</v>
      </c>
      <c r="O676" s="178">
        <v>913.06000000000006</v>
      </c>
      <c r="P676" s="453"/>
      <c r="Q676" s="61"/>
      <c r="R676" s="298"/>
      <c r="S676" s="669"/>
      <c r="T676" s="73"/>
      <c r="U676" s="444"/>
      <c r="V676" s="444"/>
      <c r="W676" s="444"/>
      <c r="X676" s="444">
        <v>676</v>
      </c>
      <c r="Y676" s="444"/>
      <c r="Z676" s="444"/>
      <c r="AA676" s="444"/>
      <c r="AB676" s="444"/>
      <c r="AC676" s="444"/>
      <c r="AD676" s="444"/>
      <c r="AE676" s="444"/>
      <c r="AF676" s="444"/>
    </row>
    <row r="677" spans="1:32" ht="12">
      <c r="A677" s="63" t="s">
        <v>19530</v>
      </c>
      <c r="B677" s="64" t="s">
        <v>19531</v>
      </c>
      <c r="C677" s="63" t="s">
        <v>103</v>
      </c>
      <c r="D677" s="79">
        <v>1</v>
      </c>
      <c r="E677" s="79">
        <v>813.8599999999999</v>
      </c>
      <c r="F677" s="79">
        <v>813.86</v>
      </c>
      <c r="G677" s="320"/>
      <c r="H677" s="178">
        <v>813.85</v>
      </c>
      <c r="I677" s="178">
        <v>1001.04</v>
      </c>
      <c r="J677" s="70">
        <v>-187.18000000000006</v>
      </c>
      <c r="K677" s="320"/>
      <c r="L677" s="178">
        <v>29.66</v>
      </c>
      <c r="M677" s="178">
        <v>784.19999999999993</v>
      </c>
      <c r="N677" s="179">
        <v>0</v>
      </c>
      <c r="O677" s="178">
        <v>813.8599999999999</v>
      </c>
      <c r="P677" s="453"/>
      <c r="Q677" s="61"/>
      <c r="R677" s="298"/>
      <c r="S677" s="669"/>
      <c r="T677" s="73"/>
      <c r="X677" s="444">
        <v>677</v>
      </c>
    </row>
    <row r="678" spans="1:32" ht="12">
      <c r="A678" s="83" t="s">
        <v>19532</v>
      </c>
      <c r="B678" s="64" t="s">
        <v>39612</v>
      </c>
      <c r="C678" s="71" t="s">
        <v>509</v>
      </c>
      <c r="D678" s="79">
        <v>1</v>
      </c>
      <c r="E678" s="79">
        <v>537.13</v>
      </c>
      <c r="F678" s="79">
        <v>537.13</v>
      </c>
      <c r="G678" s="445"/>
      <c r="H678" s="178">
        <v>537.12</v>
      </c>
      <c r="I678" s="178">
        <v>660.66</v>
      </c>
      <c r="J678" s="70">
        <v>-123.52999999999997</v>
      </c>
      <c r="K678" s="320"/>
      <c r="L678" s="178">
        <v>73.88</v>
      </c>
      <c r="M678" s="178">
        <v>463.25</v>
      </c>
      <c r="N678" s="179">
        <v>0</v>
      </c>
      <c r="O678" s="178">
        <v>537.13</v>
      </c>
      <c r="P678" s="453"/>
      <c r="Q678" s="61"/>
      <c r="R678" s="298"/>
      <c r="S678" s="669"/>
      <c r="X678" s="444">
        <v>678</v>
      </c>
    </row>
    <row r="679" spans="1:32" ht="12">
      <c r="A679" s="83" t="s">
        <v>19533</v>
      </c>
      <c r="B679" s="64" t="s">
        <v>19534</v>
      </c>
      <c r="C679" s="71" t="s">
        <v>165</v>
      </c>
      <c r="D679" s="79">
        <v>1</v>
      </c>
      <c r="E679" s="79">
        <v>166.01</v>
      </c>
      <c r="F679" s="79">
        <v>166.01</v>
      </c>
      <c r="G679" s="445"/>
      <c r="H679" s="178">
        <v>166.02</v>
      </c>
      <c r="I679" s="178">
        <v>204.21</v>
      </c>
      <c r="J679" s="70">
        <v>-38.200000000000017</v>
      </c>
      <c r="K679" s="320"/>
      <c r="L679" s="178">
        <v>36.92</v>
      </c>
      <c r="M679" s="178">
        <v>129.08999999999997</v>
      </c>
      <c r="N679" s="179">
        <v>0</v>
      </c>
      <c r="O679" s="178">
        <v>166.01</v>
      </c>
      <c r="P679" s="453"/>
      <c r="Q679" s="61"/>
      <c r="R679" s="298"/>
      <c r="S679" s="669"/>
      <c r="X679" s="444">
        <v>679</v>
      </c>
    </row>
    <row r="680" spans="1:32" ht="12">
      <c r="A680" s="83" t="s">
        <v>19535</v>
      </c>
      <c r="B680" s="64" t="s">
        <v>19536</v>
      </c>
      <c r="C680" s="71" t="s">
        <v>509</v>
      </c>
      <c r="D680" s="79">
        <v>1</v>
      </c>
      <c r="E680" s="79">
        <v>66.22</v>
      </c>
      <c r="F680" s="79">
        <v>66.22</v>
      </c>
      <c r="G680" s="445"/>
      <c r="H680" s="178">
        <v>66.22</v>
      </c>
      <c r="I680" s="178">
        <v>81.45</v>
      </c>
      <c r="J680" s="70">
        <v>-15.230000000000004</v>
      </c>
      <c r="K680" s="320"/>
      <c r="L680" s="178">
        <v>46.379999999999995</v>
      </c>
      <c r="M680" s="178">
        <v>19.840000000000003</v>
      </c>
      <c r="N680" s="179">
        <v>0</v>
      </c>
      <c r="O680" s="178">
        <v>66.22</v>
      </c>
      <c r="P680" s="453"/>
      <c r="Q680" s="61"/>
      <c r="R680" s="298"/>
      <c r="S680" s="669"/>
      <c r="U680" s="73"/>
      <c r="V680" s="73"/>
      <c r="W680" s="73"/>
      <c r="X680" s="444">
        <v>680</v>
      </c>
      <c r="Y680" s="73"/>
      <c r="Z680" s="73"/>
      <c r="AA680" s="73"/>
      <c r="AB680" s="73"/>
      <c r="AC680" s="73"/>
      <c r="AD680" s="73"/>
      <c r="AE680" s="73"/>
      <c r="AF680" s="73"/>
    </row>
    <row r="681" spans="1:32" ht="12">
      <c r="A681" s="83" t="s">
        <v>19537</v>
      </c>
      <c r="B681" s="64" t="s">
        <v>19538</v>
      </c>
      <c r="C681" s="71" t="s">
        <v>509</v>
      </c>
      <c r="D681" s="79">
        <v>1</v>
      </c>
      <c r="E681" s="79">
        <v>361.65</v>
      </c>
      <c r="F681" s="79">
        <v>361.65</v>
      </c>
      <c r="G681" s="445"/>
      <c r="H681" s="178">
        <v>361.65</v>
      </c>
      <c r="I681" s="178">
        <v>444.83</v>
      </c>
      <c r="J681" s="70">
        <v>-83.18</v>
      </c>
      <c r="K681" s="320"/>
      <c r="L681" s="178">
        <v>16.45</v>
      </c>
      <c r="M681" s="178">
        <v>345.2</v>
      </c>
      <c r="N681" s="179">
        <v>0</v>
      </c>
      <c r="O681" s="178">
        <v>361.65</v>
      </c>
      <c r="P681" s="453"/>
      <c r="Q681" s="61"/>
      <c r="R681" s="298"/>
      <c r="S681" s="669"/>
      <c r="X681" s="444">
        <v>681</v>
      </c>
    </row>
    <row r="682" spans="1:32" ht="12">
      <c r="A682" s="83" t="s">
        <v>19539</v>
      </c>
      <c r="B682" s="64" t="s">
        <v>19540</v>
      </c>
      <c r="C682" s="71" t="s">
        <v>396</v>
      </c>
      <c r="D682" s="79">
        <v>1</v>
      </c>
      <c r="E682" s="79">
        <v>723.52</v>
      </c>
      <c r="F682" s="79">
        <v>723.52</v>
      </c>
      <c r="G682" s="445"/>
      <c r="H682" s="178">
        <v>723.52</v>
      </c>
      <c r="I682" s="178">
        <v>889.93</v>
      </c>
      <c r="J682" s="70">
        <v>-166.40999999999997</v>
      </c>
      <c r="K682" s="320"/>
      <c r="L682" s="178">
        <v>24.71</v>
      </c>
      <c r="M682" s="178">
        <v>698.81</v>
      </c>
      <c r="N682" s="179">
        <v>0</v>
      </c>
      <c r="O682" s="178">
        <v>723.52</v>
      </c>
      <c r="P682" s="453"/>
      <c r="Q682" s="61"/>
      <c r="R682" s="298"/>
      <c r="S682" s="669"/>
      <c r="X682" s="444">
        <v>682</v>
      </c>
    </row>
    <row r="683" spans="1:32" ht="12">
      <c r="A683" s="83" t="s">
        <v>19541</v>
      </c>
      <c r="B683" s="64" t="s">
        <v>19542</v>
      </c>
      <c r="C683" s="71" t="s">
        <v>165</v>
      </c>
      <c r="D683" s="79">
        <v>1</v>
      </c>
      <c r="E683" s="79">
        <v>623.08000000000004</v>
      </c>
      <c r="F683" s="79">
        <v>623.08000000000004</v>
      </c>
      <c r="G683" s="445"/>
      <c r="H683" s="178">
        <v>623.07000000000005</v>
      </c>
      <c r="I683" s="178">
        <v>766.38</v>
      </c>
      <c r="J683" s="70">
        <v>-143.29999999999995</v>
      </c>
      <c r="K683" s="320"/>
      <c r="L683" s="178"/>
      <c r="M683" s="178">
        <v>623.08000000000004</v>
      </c>
      <c r="N683" s="179">
        <v>0</v>
      </c>
      <c r="O683" s="178">
        <v>623.08000000000004</v>
      </c>
      <c r="P683" s="453"/>
      <c r="Q683" s="61"/>
      <c r="R683" s="298"/>
      <c r="S683" s="669"/>
      <c r="X683" s="444">
        <v>683</v>
      </c>
    </row>
    <row r="684" spans="1:32" ht="24">
      <c r="A684" s="83" t="s">
        <v>19543</v>
      </c>
      <c r="B684" s="64" t="s">
        <v>19544</v>
      </c>
      <c r="C684" s="71" t="s">
        <v>165</v>
      </c>
      <c r="D684" s="79">
        <v>1</v>
      </c>
      <c r="E684" s="79">
        <v>843.48</v>
      </c>
      <c r="F684" s="79">
        <v>843.48</v>
      </c>
      <c r="G684" s="445"/>
      <c r="H684" s="178">
        <v>843.48</v>
      </c>
      <c r="I684" s="178">
        <v>1037.48</v>
      </c>
      <c r="J684" s="70">
        <v>-194</v>
      </c>
      <c r="K684" s="320"/>
      <c r="L684" s="178"/>
      <c r="M684" s="178">
        <v>843.48</v>
      </c>
      <c r="N684" s="179">
        <v>0</v>
      </c>
      <c r="O684" s="178">
        <v>843.48</v>
      </c>
      <c r="P684" s="453"/>
      <c r="Q684" s="61"/>
      <c r="R684" s="298"/>
      <c r="S684" s="669"/>
      <c r="X684" s="444">
        <v>684</v>
      </c>
    </row>
    <row r="685" spans="1:32" ht="12">
      <c r="A685" s="83" t="s">
        <v>19545</v>
      </c>
      <c r="B685" s="64" t="s">
        <v>19546</v>
      </c>
      <c r="C685" s="71" t="s">
        <v>165</v>
      </c>
      <c r="D685" s="79">
        <v>1</v>
      </c>
      <c r="E685" s="79">
        <v>1058.47</v>
      </c>
      <c r="F685" s="79">
        <v>1058.47</v>
      </c>
      <c r="G685" s="445"/>
      <c r="H685" s="178">
        <v>1058.46</v>
      </c>
      <c r="I685" s="178">
        <v>1301.9100000000001</v>
      </c>
      <c r="J685" s="70">
        <v>-243.44000000000005</v>
      </c>
      <c r="K685" s="320"/>
      <c r="L685" s="178"/>
      <c r="M685" s="178">
        <v>1058.47</v>
      </c>
      <c r="N685" s="179">
        <v>0</v>
      </c>
      <c r="O685" s="178">
        <v>1058.47</v>
      </c>
      <c r="P685" s="453"/>
      <c r="Q685" s="61"/>
      <c r="R685" s="298"/>
      <c r="S685" s="669"/>
      <c r="X685" s="444">
        <v>685</v>
      </c>
    </row>
    <row r="686" spans="1:32" ht="12">
      <c r="A686" s="83" t="s">
        <v>19547</v>
      </c>
      <c r="B686" s="64" t="s">
        <v>19548</v>
      </c>
      <c r="C686" s="71" t="s">
        <v>165</v>
      </c>
      <c r="D686" s="79">
        <v>1</v>
      </c>
      <c r="E686" s="79">
        <v>595.84</v>
      </c>
      <c r="F686" s="79">
        <v>595.84</v>
      </c>
      <c r="G686" s="445"/>
      <c r="H686" s="178">
        <v>595.84</v>
      </c>
      <c r="I686" s="178">
        <v>732.88</v>
      </c>
      <c r="J686" s="70">
        <v>-137.03999999999996</v>
      </c>
      <c r="K686" s="320"/>
      <c r="L686" s="178"/>
      <c r="M686" s="178">
        <v>595.84</v>
      </c>
      <c r="N686" s="179">
        <v>0</v>
      </c>
      <c r="O686" s="178">
        <v>595.84</v>
      </c>
      <c r="P686" s="453"/>
      <c r="Q686" s="61"/>
      <c r="R686" s="298"/>
      <c r="S686" s="669"/>
      <c r="X686" s="444">
        <v>686</v>
      </c>
    </row>
    <row r="687" spans="1:32" ht="36">
      <c r="A687" s="83" t="s">
        <v>19549</v>
      </c>
      <c r="B687" s="64" t="s">
        <v>39613</v>
      </c>
      <c r="C687" s="71" t="s">
        <v>165</v>
      </c>
      <c r="D687" s="79">
        <v>1</v>
      </c>
      <c r="E687" s="79">
        <v>294.65000000000003</v>
      </c>
      <c r="F687" s="79">
        <v>294.64999999999998</v>
      </c>
      <c r="G687" s="445"/>
      <c r="H687" s="178">
        <v>294.66000000000003</v>
      </c>
      <c r="I687" s="178">
        <v>362.43</v>
      </c>
      <c r="J687" s="70">
        <v>-67.779999999999973</v>
      </c>
      <c r="K687" s="320"/>
      <c r="L687" s="178">
        <v>138.17000000000002</v>
      </c>
      <c r="M687" s="178">
        <v>156.48000000000002</v>
      </c>
      <c r="N687" s="179">
        <v>0</v>
      </c>
      <c r="O687" s="178">
        <v>294.65000000000003</v>
      </c>
      <c r="P687" s="453"/>
      <c r="Q687" s="61"/>
      <c r="R687" s="298"/>
      <c r="S687" s="669"/>
      <c r="X687" s="444">
        <v>687</v>
      </c>
    </row>
    <row r="688" spans="1:32" s="73" customFormat="1" ht="12">
      <c r="A688" s="83" t="s">
        <v>19550</v>
      </c>
      <c r="B688" s="64" t="s">
        <v>19551</v>
      </c>
      <c r="C688" s="71" t="s">
        <v>165</v>
      </c>
      <c r="D688" s="79">
        <v>1</v>
      </c>
      <c r="E688" s="79">
        <v>1243.1400000000001</v>
      </c>
      <c r="F688" s="79">
        <v>1243.1400000000001</v>
      </c>
      <c r="G688" s="445"/>
      <c r="H688" s="178">
        <v>1243.1099999999999</v>
      </c>
      <c r="I688" s="178">
        <v>1529.03</v>
      </c>
      <c r="J688" s="70">
        <v>-285.88999999999987</v>
      </c>
      <c r="K688" s="320"/>
      <c r="L688" s="178">
        <v>473.64</v>
      </c>
      <c r="M688" s="178">
        <v>769.50000000000011</v>
      </c>
      <c r="N688" s="179">
        <v>0</v>
      </c>
      <c r="O688" s="178">
        <v>1243.1400000000001</v>
      </c>
      <c r="P688" s="453"/>
      <c r="Q688" s="61"/>
      <c r="R688" s="298"/>
      <c r="S688" s="669"/>
      <c r="T688" s="444"/>
      <c r="U688" s="61"/>
      <c r="V688" s="61"/>
      <c r="W688" s="61"/>
      <c r="X688" s="444">
        <v>688</v>
      </c>
      <c r="Y688" s="61"/>
      <c r="Z688" s="61"/>
      <c r="AA688" s="61"/>
      <c r="AB688" s="61"/>
      <c r="AC688" s="61"/>
      <c r="AD688" s="61"/>
      <c r="AE688" s="61"/>
      <c r="AF688" s="61"/>
    </row>
    <row r="689" spans="1:32" ht="12">
      <c r="A689" s="83" t="s">
        <v>19552</v>
      </c>
      <c r="B689" s="64" t="s">
        <v>19553</v>
      </c>
      <c r="C689" s="71" t="s">
        <v>165</v>
      </c>
      <c r="D689" s="79">
        <v>1</v>
      </c>
      <c r="E689" s="79">
        <v>1171.53</v>
      </c>
      <c r="F689" s="79">
        <v>1171.53</v>
      </c>
      <c r="G689" s="445"/>
      <c r="H689" s="178">
        <v>1171.54</v>
      </c>
      <c r="I689" s="178">
        <v>1440.99</v>
      </c>
      <c r="J689" s="70">
        <v>-269.46000000000004</v>
      </c>
      <c r="K689" s="320"/>
      <c r="L689" s="178">
        <v>437.74</v>
      </c>
      <c r="M689" s="178">
        <v>733.79</v>
      </c>
      <c r="N689" s="179">
        <v>0</v>
      </c>
      <c r="O689" s="178">
        <v>1171.53</v>
      </c>
      <c r="P689" s="453"/>
      <c r="Q689" s="61"/>
      <c r="R689" s="298"/>
      <c r="S689" s="669"/>
      <c r="U689" s="61"/>
      <c r="V689" s="61"/>
      <c r="W689" s="61"/>
      <c r="X689" s="444">
        <v>689</v>
      </c>
      <c r="Y689" s="61"/>
      <c r="Z689" s="61"/>
      <c r="AA689" s="61"/>
      <c r="AB689" s="61"/>
      <c r="AC689" s="61"/>
      <c r="AD689" s="61"/>
      <c r="AE689" s="61"/>
      <c r="AF689" s="61"/>
    </row>
    <row r="690" spans="1:32" ht="12">
      <c r="A690" s="83" t="s">
        <v>19554</v>
      </c>
      <c r="B690" s="64" t="s">
        <v>19555</v>
      </c>
      <c r="C690" s="71" t="s">
        <v>509</v>
      </c>
      <c r="D690" s="79">
        <v>1</v>
      </c>
      <c r="E690" s="79">
        <v>35.06</v>
      </c>
      <c r="F690" s="79">
        <v>35.06</v>
      </c>
      <c r="G690" s="445"/>
      <c r="H690" s="178">
        <v>35.06</v>
      </c>
      <c r="I690" s="178">
        <v>43.12</v>
      </c>
      <c r="J690" s="70">
        <v>-8.0599999999999952</v>
      </c>
      <c r="K690" s="320"/>
      <c r="L690" s="178"/>
      <c r="M690" s="178">
        <v>35.06</v>
      </c>
      <c r="N690" s="179">
        <v>0</v>
      </c>
      <c r="O690" s="178">
        <v>35.06</v>
      </c>
      <c r="P690" s="453"/>
      <c r="Q690" s="61"/>
      <c r="R690" s="298"/>
      <c r="S690" s="669"/>
      <c r="X690" s="444">
        <v>690</v>
      </c>
    </row>
    <row r="691" spans="1:32" ht="12">
      <c r="A691" s="83" t="s">
        <v>19556</v>
      </c>
      <c r="B691" s="64" t="s">
        <v>19557</v>
      </c>
      <c r="C691" s="71" t="s">
        <v>103</v>
      </c>
      <c r="D691" s="79">
        <v>1</v>
      </c>
      <c r="E691" s="79">
        <v>3744.39</v>
      </c>
      <c r="F691" s="79">
        <v>3744.39</v>
      </c>
      <c r="G691" s="445"/>
      <c r="H691" s="178">
        <v>3744.37</v>
      </c>
      <c r="I691" s="178">
        <v>4605.58</v>
      </c>
      <c r="J691" s="70">
        <v>-861.19</v>
      </c>
      <c r="K691" s="320"/>
      <c r="L691" s="178">
        <v>421</v>
      </c>
      <c r="M691" s="178">
        <v>3323.39</v>
      </c>
      <c r="N691" s="179">
        <v>0</v>
      </c>
      <c r="O691" s="178">
        <v>3744.39</v>
      </c>
      <c r="P691" s="453"/>
      <c r="Q691" s="61"/>
      <c r="R691" s="298"/>
      <c r="S691" s="669"/>
      <c r="X691" s="444">
        <v>691</v>
      </c>
    </row>
    <row r="692" spans="1:32" ht="12">
      <c r="A692" s="83" t="s">
        <v>19558</v>
      </c>
      <c r="B692" s="64" t="s">
        <v>19559</v>
      </c>
      <c r="C692" s="71" t="s">
        <v>6786</v>
      </c>
      <c r="D692" s="79">
        <v>1</v>
      </c>
      <c r="E692" s="79">
        <v>1818.47</v>
      </c>
      <c r="F692" s="79">
        <v>1818.47</v>
      </c>
      <c r="G692" s="445"/>
      <c r="H692" s="178">
        <v>1818.47</v>
      </c>
      <c r="I692" s="178">
        <v>2236.7199999999998</v>
      </c>
      <c r="J692" s="70">
        <v>-418.24999999999977</v>
      </c>
      <c r="K692" s="320"/>
      <c r="L692" s="178">
        <v>71.75</v>
      </c>
      <c r="M692" s="178">
        <v>1746.72</v>
      </c>
      <c r="N692" s="179">
        <v>0</v>
      </c>
      <c r="O692" s="178">
        <v>1818.47</v>
      </c>
      <c r="P692" s="453"/>
      <c r="Q692" s="61"/>
      <c r="R692" s="298"/>
      <c r="S692" s="669"/>
      <c r="X692" s="444">
        <v>692</v>
      </c>
    </row>
    <row r="693" spans="1:32" ht="12">
      <c r="A693" s="83" t="s">
        <v>19560</v>
      </c>
      <c r="B693" s="64" t="s">
        <v>19561</v>
      </c>
      <c r="C693" s="71" t="s">
        <v>6786</v>
      </c>
      <c r="D693" s="79">
        <v>1</v>
      </c>
      <c r="E693" s="79">
        <v>1844.43</v>
      </c>
      <c r="F693" s="79">
        <v>1844.43</v>
      </c>
      <c r="G693" s="445"/>
      <c r="H693" s="178">
        <v>1844.44</v>
      </c>
      <c r="I693" s="178">
        <v>2268.66</v>
      </c>
      <c r="J693" s="70">
        <v>-424.22999999999979</v>
      </c>
      <c r="K693" s="320"/>
      <c r="L693" s="178">
        <v>118.02</v>
      </c>
      <c r="M693" s="178">
        <v>1726.41</v>
      </c>
      <c r="N693" s="179">
        <v>0</v>
      </c>
      <c r="O693" s="178">
        <v>1844.43</v>
      </c>
      <c r="P693" s="453"/>
      <c r="Q693" s="61"/>
      <c r="R693" s="298"/>
      <c r="S693" s="669"/>
      <c r="X693" s="444">
        <v>693</v>
      </c>
    </row>
    <row r="694" spans="1:32" ht="12">
      <c r="A694" s="83" t="s">
        <v>19562</v>
      </c>
      <c r="B694" s="64" t="s">
        <v>19563</v>
      </c>
      <c r="C694" s="71" t="s">
        <v>6786</v>
      </c>
      <c r="D694" s="79">
        <v>1</v>
      </c>
      <c r="E694" s="79">
        <v>1826.1</v>
      </c>
      <c r="F694" s="79">
        <v>1826.1</v>
      </c>
      <c r="G694" s="445"/>
      <c r="H694" s="178">
        <v>1826.11</v>
      </c>
      <c r="I694" s="178">
        <v>2246.12</v>
      </c>
      <c r="J694" s="70">
        <v>-420.02</v>
      </c>
      <c r="K694" s="320"/>
      <c r="L694" s="178">
        <v>82.14</v>
      </c>
      <c r="M694" s="178">
        <v>1743.9599999999998</v>
      </c>
      <c r="N694" s="179">
        <v>0</v>
      </c>
      <c r="O694" s="178">
        <v>1826.1</v>
      </c>
      <c r="P694" s="453"/>
      <c r="Q694" s="61"/>
      <c r="R694" s="298"/>
      <c r="S694" s="669"/>
      <c r="X694" s="444">
        <v>694</v>
      </c>
    </row>
    <row r="695" spans="1:32" ht="12">
      <c r="A695" s="83" t="s">
        <v>19564</v>
      </c>
      <c r="B695" s="64" t="s">
        <v>19565</v>
      </c>
      <c r="C695" s="71" t="s">
        <v>103</v>
      </c>
      <c r="D695" s="79">
        <v>1</v>
      </c>
      <c r="E695" s="79">
        <v>1949.73</v>
      </c>
      <c r="F695" s="79">
        <v>1949.73</v>
      </c>
      <c r="G695" s="445"/>
      <c r="H695" s="178">
        <v>1949.72</v>
      </c>
      <c r="I695" s="178">
        <v>2398.16</v>
      </c>
      <c r="J695" s="70">
        <v>-448.42999999999984</v>
      </c>
      <c r="K695" s="320"/>
      <c r="L695" s="178">
        <v>177.91</v>
      </c>
      <c r="M695" s="178">
        <v>1771.82</v>
      </c>
      <c r="N695" s="179">
        <v>0</v>
      </c>
      <c r="O695" s="178">
        <v>1949.73</v>
      </c>
      <c r="P695" s="453"/>
      <c r="Q695" s="61"/>
      <c r="R695" s="298"/>
      <c r="S695" s="669"/>
      <c r="X695" s="444">
        <v>695</v>
      </c>
    </row>
    <row r="696" spans="1:32" s="61" customFormat="1" ht="12">
      <c r="A696" s="83" t="s">
        <v>19566</v>
      </c>
      <c r="B696" s="64" t="s">
        <v>19567</v>
      </c>
      <c r="C696" s="71" t="s">
        <v>103</v>
      </c>
      <c r="D696" s="79">
        <v>1</v>
      </c>
      <c r="E696" s="79">
        <v>1869.53</v>
      </c>
      <c r="F696" s="79">
        <v>1869.53</v>
      </c>
      <c r="G696" s="445"/>
      <c r="H696" s="178">
        <v>1869.54</v>
      </c>
      <c r="I696" s="178">
        <v>2299.5300000000002</v>
      </c>
      <c r="J696" s="70">
        <v>-430.00000000000023</v>
      </c>
      <c r="K696" s="320"/>
      <c r="L696" s="178">
        <v>118.02</v>
      </c>
      <c r="M696" s="178">
        <v>1751.51</v>
      </c>
      <c r="N696" s="179">
        <v>0</v>
      </c>
      <c r="O696" s="178">
        <v>1869.53</v>
      </c>
      <c r="P696" s="453"/>
      <c r="R696" s="298"/>
      <c r="S696" s="669"/>
      <c r="T696" s="444"/>
      <c r="U696" s="444"/>
      <c r="V696" s="444"/>
      <c r="W696" s="444"/>
      <c r="X696" s="444">
        <v>696</v>
      </c>
      <c r="Y696" s="444"/>
      <c r="Z696" s="444"/>
      <c r="AA696" s="444"/>
      <c r="AB696" s="444"/>
      <c r="AC696" s="444"/>
      <c r="AD696" s="444"/>
      <c r="AE696" s="444"/>
      <c r="AF696" s="444"/>
    </row>
    <row r="697" spans="1:32" s="61" customFormat="1" ht="12">
      <c r="A697" s="83" t="s">
        <v>19568</v>
      </c>
      <c r="B697" s="64" t="s">
        <v>19569</v>
      </c>
      <c r="C697" s="71" t="s">
        <v>103</v>
      </c>
      <c r="D697" s="79">
        <v>1</v>
      </c>
      <c r="E697" s="79">
        <v>1851.2</v>
      </c>
      <c r="F697" s="79">
        <v>1851.2</v>
      </c>
      <c r="G697" s="445"/>
      <c r="H697" s="178">
        <v>1851.21</v>
      </c>
      <c r="I697" s="178">
        <v>2276.9899999999998</v>
      </c>
      <c r="J697" s="70">
        <v>-425.78999999999974</v>
      </c>
      <c r="K697" s="320"/>
      <c r="L697" s="178">
        <v>82.14</v>
      </c>
      <c r="M697" s="178">
        <v>1769.06</v>
      </c>
      <c r="N697" s="179">
        <v>0</v>
      </c>
      <c r="O697" s="178">
        <v>1851.2</v>
      </c>
      <c r="P697" s="453"/>
      <c r="R697" s="298"/>
      <c r="S697" s="669"/>
      <c r="T697" s="444"/>
      <c r="U697" s="444"/>
      <c r="V697" s="444"/>
      <c r="W697" s="444"/>
      <c r="X697" s="444">
        <v>697</v>
      </c>
      <c r="Y697" s="444"/>
      <c r="Z697" s="444"/>
      <c r="AA697" s="444"/>
      <c r="AB697" s="444"/>
      <c r="AC697" s="444"/>
      <c r="AD697" s="444"/>
      <c r="AE697" s="444"/>
      <c r="AF697" s="444"/>
    </row>
    <row r="698" spans="1:32" ht="12">
      <c r="A698" s="83" t="s">
        <v>19570</v>
      </c>
      <c r="B698" s="64" t="s">
        <v>19571</v>
      </c>
      <c r="C698" s="71" t="s">
        <v>103</v>
      </c>
      <c r="D698" s="79">
        <v>1</v>
      </c>
      <c r="E698" s="79">
        <v>5495.02</v>
      </c>
      <c r="F698" s="79">
        <v>5495.02</v>
      </c>
      <c r="G698" s="445"/>
      <c r="H698" s="178">
        <v>5495</v>
      </c>
      <c r="I698" s="178">
        <v>6758.85</v>
      </c>
      <c r="J698" s="70">
        <v>-1263.83</v>
      </c>
      <c r="K698" s="320"/>
      <c r="L698" s="178">
        <v>865.44</v>
      </c>
      <c r="M698" s="178">
        <v>4629.58</v>
      </c>
      <c r="N698" s="179">
        <v>0</v>
      </c>
      <c r="O698" s="178">
        <v>5495.02</v>
      </c>
      <c r="P698" s="453"/>
      <c r="Q698" s="61"/>
      <c r="R698" s="298"/>
      <c r="S698" s="669"/>
      <c r="X698" s="444">
        <v>698</v>
      </c>
    </row>
    <row r="699" spans="1:32" ht="12">
      <c r="A699" s="83" t="s">
        <v>19572</v>
      </c>
      <c r="B699" s="64" t="s">
        <v>19573</v>
      </c>
      <c r="C699" s="71" t="s">
        <v>103</v>
      </c>
      <c r="D699" s="79">
        <v>1</v>
      </c>
      <c r="E699" s="79">
        <v>5575.0499999999993</v>
      </c>
      <c r="F699" s="79">
        <v>5575.05</v>
      </c>
      <c r="G699" s="445"/>
      <c r="H699" s="178">
        <v>5575.02</v>
      </c>
      <c r="I699" s="178">
        <v>6857.27</v>
      </c>
      <c r="J699" s="70">
        <v>-1282.2200000000012</v>
      </c>
      <c r="K699" s="320"/>
      <c r="L699" s="178">
        <v>903.3599999999999</v>
      </c>
      <c r="M699" s="178">
        <v>4671.6899999999996</v>
      </c>
      <c r="N699" s="179">
        <v>0</v>
      </c>
      <c r="O699" s="178">
        <v>5575.0499999999993</v>
      </c>
      <c r="P699" s="453"/>
      <c r="Q699" s="61"/>
      <c r="R699" s="298"/>
      <c r="S699" s="669"/>
      <c r="X699" s="444">
        <v>699</v>
      </c>
    </row>
    <row r="700" spans="1:32" ht="12">
      <c r="A700" s="67" t="s">
        <v>19574</v>
      </c>
      <c r="B700" s="64" t="s">
        <v>7406</v>
      </c>
      <c r="C700" s="71" t="s">
        <v>165</v>
      </c>
      <c r="D700" s="79">
        <v>1</v>
      </c>
      <c r="E700" s="78">
        <v>325.56</v>
      </c>
      <c r="F700" s="79">
        <v>325.56</v>
      </c>
      <c r="H700" s="178">
        <v>325.55</v>
      </c>
      <c r="I700" s="178">
        <v>400.43</v>
      </c>
      <c r="J700" s="70">
        <v>-74.87</v>
      </c>
      <c r="K700" s="320"/>
      <c r="L700" s="178"/>
      <c r="M700" s="178">
        <v>325.56</v>
      </c>
      <c r="N700" s="179">
        <v>0</v>
      </c>
      <c r="O700" s="178">
        <v>325.56</v>
      </c>
      <c r="P700" s="453"/>
      <c r="Q700" s="61"/>
      <c r="R700" s="298"/>
      <c r="S700" s="669"/>
      <c r="X700" s="444">
        <v>700</v>
      </c>
    </row>
    <row r="701" spans="1:32" ht="24">
      <c r="A701" s="67" t="s">
        <v>19575</v>
      </c>
      <c r="B701" s="64" t="s">
        <v>7408</v>
      </c>
      <c r="C701" s="71" t="s">
        <v>165</v>
      </c>
      <c r="D701" s="79">
        <v>1</v>
      </c>
      <c r="E701" s="78">
        <v>760.43</v>
      </c>
      <c r="F701" s="79">
        <v>760.43</v>
      </c>
      <c r="H701" s="178">
        <v>760.42</v>
      </c>
      <c r="I701" s="178">
        <v>935.32</v>
      </c>
      <c r="J701" s="70">
        <v>-174.8900000000001</v>
      </c>
      <c r="K701" s="320"/>
      <c r="L701" s="178"/>
      <c r="M701" s="178">
        <v>760.43</v>
      </c>
      <c r="N701" s="179">
        <v>0</v>
      </c>
      <c r="O701" s="178">
        <v>760.43</v>
      </c>
      <c r="P701" s="453"/>
      <c r="Q701" s="61"/>
      <c r="R701" s="298"/>
      <c r="S701" s="669"/>
      <c r="X701" s="444">
        <v>701</v>
      </c>
    </row>
    <row r="702" spans="1:32" ht="12">
      <c r="A702" s="67" t="s">
        <v>19576</v>
      </c>
      <c r="B702" s="64" t="s">
        <v>7410</v>
      </c>
      <c r="C702" s="71" t="s">
        <v>165</v>
      </c>
      <c r="D702" s="79">
        <v>1</v>
      </c>
      <c r="E702" s="78">
        <v>1057.27</v>
      </c>
      <c r="F702" s="79">
        <v>1057.27</v>
      </c>
      <c r="H702" s="178">
        <v>1057.27</v>
      </c>
      <c r="I702" s="178">
        <v>1300.44</v>
      </c>
      <c r="J702" s="70">
        <v>-243.17000000000007</v>
      </c>
      <c r="K702" s="320"/>
      <c r="L702" s="178"/>
      <c r="M702" s="178">
        <v>1057.27</v>
      </c>
      <c r="N702" s="179">
        <v>0</v>
      </c>
      <c r="O702" s="178">
        <v>1057.27</v>
      </c>
      <c r="P702" s="453"/>
      <c r="Q702" s="61"/>
      <c r="R702" s="298"/>
      <c r="S702" s="669"/>
      <c r="X702" s="444">
        <v>702</v>
      </c>
    </row>
    <row r="703" spans="1:32" ht="12">
      <c r="A703" s="525" t="s">
        <v>19577</v>
      </c>
      <c r="B703" s="461" t="s">
        <v>19578</v>
      </c>
      <c r="C703" s="526" t="s">
        <v>103</v>
      </c>
      <c r="D703" s="79">
        <v>1</v>
      </c>
      <c r="E703" s="79">
        <v>1276.2800000000002</v>
      </c>
      <c r="F703" s="79">
        <v>1276.28</v>
      </c>
      <c r="G703" s="320"/>
      <c r="H703" s="178">
        <v>1276.28</v>
      </c>
      <c r="I703" s="178">
        <v>1569.82</v>
      </c>
      <c r="J703" s="70">
        <v>-293.53999999999974</v>
      </c>
      <c r="K703" s="320"/>
      <c r="L703" s="178">
        <v>85.740000000000009</v>
      </c>
      <c r="M703" s="178">
        <v>1190.5400000000002</v>
      </c>
      <c r="N703" s="179">
        <v>0</v>
      </c>
      <c r="O703" s="178">
        <v>1276.2800000000002</v>
      </c>
      <c r="P703" s="453"/>
      <c r="Q703" s="61"/>
      <c r="R703" s="298"/>
      <c r="S703" s="669"/>
      <c r="T703" s="69"/>
      <c r="X703" s="444">
        <v>703</v>
      </c>
    </row>
    <row r="704" spans="1:32" ht="12">
      <c r="A704" s="67" t="s">
        <v>19579</v>
      </c>
      <c r="B704" s="456" t="s">
        <v>19580</v>
      </c>
      <c r="C704" s="71" t="s">
        <v>103</v>
      </c>
      <c r="D704" s="462">
        <v>1</v>
      </c>
      <c r="E704" s="79">
        <v>254.20000000000002</v>
      </c>
      <c r="F704" s="79">
        <v>254.2</v>
      </c>
      <c r="H704" s="70">
        <v>254.18</v>
      </c>
      <c r="I704" s="178">
        <v>312.64</v>
      </c>
      <c r="J704" s="70">
        <v>-58.439999999999969</v>
      </c>
      <c r="K704" s="320"/>
      <c r="L704" s="178">
        <v>5.57</v>
      </c>
      <c r="M704" s="178">
        <v>248.63000000000002</v>
      </c>
      <c r="N704" s="179">
        <v>0</v>
      </c>
      <c r="O704" s="753">
        <v>254.20000000000002</v>
      </c>
      <c r="P704" s="453"/>
      <c r="Q704" s="61"/>
      <c r="R704" s="298"/>
      <c r="S704" s="669"/>
      <c r="X704" s="444">
        <v>704</v>
      </c>
    </row>
    <row r="705" spans="1:32" ht="12">
      <c r="A705" s="67" t="s">
        <v>19581</v>
      </c>
      <c r="B705" s="456" t="s">
        <v>39614</v>
      </c>
      <c r="C705" s="71" t="s">
        <v>103</v>
      </c>
      <c r="D705" s="462">
        <v>1</v>
      </c>
      <c r="E705" s="79">
        <v>705.85</v>
      </c>
      <c r="F705" s="79">
        <v>705.85</v>
      </c>
      <c r="H705" s="70">
        <v>705.85</v>
      </c>
      <c r="I705" s="178">
        <v>868.19</v>
      </c>
      <c r="J705" s="70">
        <v>-162.34000000000003</v>
      </c>
      <c r="K705" s="320"/>
      <c r="L705" s="178">
        <v>24.71</v>
      </c>
      <c r="M705" s="178">
        <v>681.14</v>
      </c>
      <c r="N705" s="179">
        <v>0</v>
      </c>
      <c r="O705" s="753">
        <v>705.85</v>
      </c>
      <c r="P705" s="453"/>
      <c r="Q705" s="61"/>
      <c r="R705" s="298"/>
      <c r="S705" s="669"/>
      <c r="X705" s="444">
        <v>705</v>
      </c>
    </row>
    <row r="706" spans="1:32" ht="12">
      <c r="A706" s="83" t="s">
        <v>19582</v>
      </c>
      <c r="B706" s="64" t="s">
        <v>7192</v>
      </c>
      <c r="C706" s="71" t="s">
        <v>207</v>
      </c>
      <c r="D706" s="79">
        <v>1</v>
      </c>
      <c r="E706" s="79">
        <v>146.16</v>
      </c>
      <c r="F706" s="79">
        <v>146.16</v>
      </c>
      <c r="G706" s="445"/>
      <c r="H706" s="178">
        <v>146.16</v>
      </c>
      <c r="I706" s="178">
        <v>179.78</v>
      </c>
      <c r="J706" s="70">
        <v>-33.620000000000005</v>
      </c>
      <c r="K706" s="320"/>
      <c r="L706" s="178">
        <v>19.759999999999998</v>
      </c>
      <c r="M706" s="178">
        <v>126.4</v>
      </c>
      <c r="N706" s="179">
        <v>0</v>
      </c>
      <c r="O706" s="178">
        <v>146.16</v>
      </c>
      <c r="P706" s="453"/>
      <c r="Q706" s="61"/>
      <c r="R706" s="298"/>
      <c r="S706" s="669"/>
      <c r="X706" s="444">
        <v>706</v>
      </c>
    </row>
    <row r="707" spans="1:32" ht="12">
      <c r="A707" s="83" t="s">
        <v>19583</v>
      </c>
      <c r="B707" s="64" t="s">
        <v>19584</v>
      </c>
      <c r="C707" s="71" t="s">
        <v>207</v>
      </c>
      <c r="D707" s="79">
        <v>1</v>
      </c>
      <c r="E707" s="79">
        <v>62.75</v>
      </c>
      <c r="F707" s="79">
        <v>62.75</v>
      </c>
      <c r="G707" s="445"/>
      <c r="H707" s="178">
        <v>62.75</v>
      </c>
      <c r="I707" s="178">
        <v>77.180000000000007</v>
      </c>
      <c r="J707" s="70">
        <v>-14.430000000000007</v>
      </c>
      <c r="K707" s="320"/>
      <c r="L707" s="178"/>
      <c r="M707" s="178">
        <v>62.75</v>
      </c>
      <c r="N707" s="179">
        <v>0</v>
      </c>
      <c r="O707" s="178">
        <v>62.75</v>
      </c>
      <c r="P707" s="453"/>
      <c r="Q707" s="61"/>
      <c r="R707" s="298"/>
      <c r="S707" s="669"/>
      <c r="X707" s="444">
        <v>707</v>
      </c>
    </row>
    <row r="708" spans="1:32" ht="12">
      <c r="A708" s="83" t="s">
        <v>19585</v>
      </c>
      <c r="B708" s="64" t="s">
        <v>19443</v>
      </c>
      <c r="C708" s="71" t="s">
        <v>10216</v>
      </c>
      <c r="D708" s="79">
        <v>1</v>
      </c>
      <c r="E708" s="79">
        <v>577.26</v>
      </c>
      <c r="F708" s="79">
        <v>577.26</v>
      </c>
      <c r="G708" s="445"/>
      <c r="H708" s="178">
        <v>577.25</v>
      </c>
      <c r="I708" s="178">
        <v>710.02</v>
      </c>
      <c r="J708" s="70">
        <v>-132.76</v>
      </c>
      <c r="K708" s="320"/>
      <c r="L708" s="178"/>
      <c r="M708" s="178">
        <v>577.26</v>
      </c>
      <c r="N708" s="179">
        <v>0</v>
      </c>
      <c r="O708" s="178">
        <v>577.26</v>
      </c>
      <c r="P708" s="453"/>
      <c r="Q708" s="61"/>
      <c r="R708" s="298"/>
      <c r="S708" s="669"/>
      <c r="X708" s="444">
        <v>708</v>
      </c>
    </row>
    <row r="709" spans="1:32" ht="12">
      <c r="A709" s="67" t="s">
        <v>19586</v>
      </c>
      <c r="B709" s="64" t="s">
        <v>19587</v>
      </c>
      <c r="C709" s="71" t="s">
        <v>165</v>
      </c>
      <c r="D709" s="79">
        <v>1</v>
      </c>
      <c r="E709" s="78">
        <v>646.5200000000001</v>
      </c>
      <c r="F709" s="79">
        <v>646.52</v>
      </c>
      <c r="H709" s="178">
        <v>646.5</v>
      </c>
      <c r="I709" s="178">
        <v>795.2</v>
      </c>
      <c r="J709" s="70">
        <v>-148.67999999999995</v>
      </c>
      <c r="K709" s="320"/>
      <c r="L709" s="178">
        <v>53.57</v>
      </c>
      <c r="M709" s="178">
        <v>592.95000000000005</v>
      </c>
      <c r="N709" s="179">
        <v>0</v>
      </c>
      <c r="O709" s="178">
        <v>646.5200000000001</v>
      </c>
      <c r="P709" s="453"/>
      <c r="Q709" s="61"/>
      <c r="R709" s="298"/>
      <c r="S709" s="669"/>
      <c r="X709" s="444">
        <v>709</v>
      </c>
    </row>
    <row r="710" spans="1:32" ht="24">
      <c r="A710" s="67" t="s">
        <v>19588</v>
      </c>
      <c r="B710" s="64" t="s">
        <v>19589</v>
      </c>
      <c r="C710" s="71" t="s">
        <v>165</v>
      </c>
      <c r="D710" s="79">
        <v>1</v>
      </c>
      <c r="E710" s="78">
        <v>779.70999999999992</v>
      </c>
      <c r="F710" s="79">
        <v>779.71</v>
      </c>
      <c r="H710" s="178">
        <v>779.72</v>
      </c>
      <c r="I710" s="178">
        <v>959.05</v>
      </c>
      <c r="J710" s="70">
        <v>-179.34000000000003</v>
      </c>
      <c r="K710" s="320"/>
      <c r="L710" s="178">
        <v>65.069999999999993</v>
      </c>
      <c r="M710" s="178">
        <v>714.63999999999987</v>
      </c>
      <c r="N710" s="179">
        <v>0</v>
      </c>
      <c r="O710" s="178">
        <v>779.70999999999981</v>
      </c>
      <c r="P710" s="453"/>
      <c r="Q710" s="61"/>
      <c r="R710" s="298"/>
      <c r="S710" s="669"/>
      <c r="U710" s="69"/>
      <c r="V710" s="69"/>
      <c r="W710" s="69"/>
      <c r="X710" s="444">
        <v>710</v>
      </c>
      <c r="Y710" s="69"/>
      <c r="Z710" s="69"/>
      <c r="AA710" s="69"/>
      <c r="AB710" s="69"/>
      <c r="AC710" s="69"/>
      <c r="AD710" s="69"/>
      <c r="AE710" s="69"/>
      <c r="AF710" s="69"/>
    </row>
    <row r="711" spans="1:32" ht="12">
      <c r="A711" s="67" t="s">
        <v>19590</v>
      </c>
      <c r="B711" s="64" t="s">
        <v>19591</v>
      </c>
      <c r="C711" s="71" t="s">
        <v>165</v>
      </c>
      <c r="D711" s="79">
        <v>1</v>
      </c>
      <c r="E711" s="78">
        <v>830.81000000000006</v>
      </c>
      <c r="F711" s="79">
        <v>830.81</v>
      </c>
      <c r="H711" s="178">
        <v>830.82</v>
      </c>
      <c r="I711" s="178">
        <v>1021.91</v>
      </c>
      <c r="J711" s="70">
        <v>-191.09999999999991</v>
      </c>
      <c r="K711" s="320"/>
      <c r="L711" s="178">
        <v>66.42</v>
      </c>
      <c r="M711" s="178">
        <v>764.3900000000001</v>
      </c>
      <c r="N711" s="179">
        <v>0</v>
      </c>
      <c r="O711" s="178">
        <v>830.81000000000006</v>
      </c>
      <c r="P711" s="453"/>
      <c r="Q711" s="61"/>
      <c r="R711" s="298"/>
      <c r="S711" s="669"/>
      <c r="X711" s="444">
        <v>711</v>
      </c>
    </row>
    <row r="712" spans="1:32" ht="12">
      <c r="A712" s="67" t="s">
        <v>19592</v>
      </c>
      <c r="B712" s="64" t="s">
        <v>19593</v>
      </c>
      <c r="C712" s="71" t="s">
        <v>165</v>
      </c>
      <c r="D712" s="79">
        <v>1</v>
      </c>
      <c r="E712" s="78">
        <v>389.33000000000004</v>
      </c>
      <c r="F712" s="79">
        <v>389.33</v>
      </c>
      <c r="H712" s="178">
        <v>389.31</v>
      </c>
      <c r="I712" s="178">
        <v>478.85</v>
      </c>
      <c r="J712" s="70">
        <v>-89.519999999999982</v>
      </c>
      <c r="K712" s="320"/>
      <c r="L712" s="178">
        <v>31.75</v>
      </c>
      <c r="M712" s="178">
        <v>357.58000000000004</v>
      </c>
      <c r="N712" s="179">
        <v>0</v>
      </c>
      <c r="O712" s="178">
        <v>389.33000000000004</v>
      </c>
      <c r="P712" s="453"/>
      <c r="Q712" s="61"/>
      <c r="R712" s="298"/>
      <c r="S712" s="669"/>
      <c r="X712" s="444">
        <v>712</v>
      </c>
    </row>
    <row r="713" spans="1:32" ht="24">
      <c r="A713" s="67" t="s">
        <v>19594</v>
      </c>
      <c r="B713" s="64" t="s">
        <v>19595</v>
      </c>
      <c r="C713" s="71" t="s">
        <v>165</v>
      </c>
      <c r="D713" s="79">
        <v>1</v>
      </c>
      <c r="E713" s="78">
        <v>549.31000000000017</v>
      </c>
      <c r="F713" s="79">
        <v>549.30999999999995</v>
      </c>
      <c r="H713" s="178">
        <v>549.29999999999995</v>
      </c>
      <c r="I713" s="178">
        <v>675.64</v>
      </c>
      <c r="J713" s="70">
        <v>-126.32999999999981</v>
      </c>
      <c r="K713" s="320"/>
      <c r="L713" s="178">
        <v>63.03</v>
      </c>
      <c r="M713" s="178">
        <v>486.2800000000002</v>
      </c>
      <c r="N713" s="179">
        <v>0</v>
      </c>
      <c r="O713" s="178">
        <v>549.31000000000017</v>
      </c>
      <c r="P713" s="453"/>
      <c r="Q713" s="61"/>
      <c r="R713" s="298"/>
      <c r="S713" s="669"/>
      <c r="X713" s="444">
        <v>713</v>
      </c>
    </row>
    <row r="714" spans="1:32" ht="12">
      <c r="A714" s="67" t="s">
        <v>19596</v>
      </c>
      <c r="B714" s="64" t="s">
        <v>19597</v>
      </c>
      <c r="C714" s="71" t="s">
        <v>165</v>
      </c>
      <c r="D714" s="79">
        <v>1</v>
      </c>
      <c r="E714" s="78">
        <v>839.58999999999992</v>
      </c>
      <c r="F714" s="79">
        <v>839.59</v>
      </c>
      <c r="H714" s="178">
        <v>839.59</v>
      </c>
      <c r="I714" s="178">
        <v>1032.7</v>
      </c>
      <c r="J714" s="70">
        <v>-193.11000000000013</v>
      </c>
      <c r="K714" s="320"/>
      <c r="L714" s="178">
        <v>65.069999999999993</v>
      </c>
      <c r="M714" s="178">
        <v>774.52</v>
      </c>
      <c r="N714" s="179">
        <v>0</v>
      </c>
      <c r="O714" s="178">
        <v>839.58999999999992</v>
      </c>
      <c r="P714" s="453"/>
      <c r="Q714" s="61"/>
      <c r="R714" s="298"/>
      <c r="S714" s="669"/>
      <c r="X714" s="444">
        <v>714</v>
      </c>
    </row>
    <row r="715" spans="1:32" ht="24">
      <c r="A715" s="67" t="s">
        <v>19598</v>
      </c>
      <c r="B715" s="64" t="s">
        <v>19599</v>
      </c>
      <c r="C715" s="71" t="s">
        <v>165</v>
      </c>
      <c r="D715" s="79">
        <v>1</v>
      </c>
      <c r="E715" s="78">
        <v>517.27000000000021</v>
      </c>
      <c r="F715" s="79">
        <v>517.27</v>
      </c>
      <c r="H715" s="178">
        <v>517.26</v>
      </c>
      <c r="I715" s="178">
        <v>636.23</v>
      </c>
      <c r="J715" s="70">
        <v>-118.95999999999981</v>
      </c>
      <c r="K715" s="320"/>
      <c r="L715" s="178">
        <v>33.81</v>
      </c>
      <c r="M715" s="178">
        <v>483.46000000000021</v>
      </c>
      <c r="N715" s="179">
        <v>0</v>
      </c>
      <c r="O715" s="178">
        <v>517.27000000000021</v>
      </c>
      <c r="P715" s="453"/>
      <c r="Q715" s="61"/>
      <c r="R715" s="298"/>
      <c r="S715" s="669"/>
      <c r="X715" s="444">
        <v>715</v>
      </c>
    </row>
    <row r="716" spans="1:32" ht="24">
      <c r="A716" s="67" t="s">
        <v>19600</v>
      </c>
      <c r="B716" s="64" t="s">
        <v>39615</v>
      </c>
      <c r="C716" s="71" t="s">
        <v>165</v>
      </c>
      <c r="D716" s="79">
        <v>1</v>
      </c>
      <c r="E716" s="78">
        <v>1558.0299999999995</v>
      </c>
      <c r="F716" s="79">
        <v>1558.03</v>
      </c>
      <c r="H716" s="178">
        <v>1558</v>
      </c>
      <c r="I716" s="178">
        <v>1916.34</v>
      </c>
      <c r="J716" s="70">
        <v>-358.3100000000004</v>
      </c>
      <c r="K716" s="320"/>
      <c r="L716" s="178">
        <v>97.55</v>
      </c>
      <c r="M716" s="178">
        <v>1460.4799999999996</v>
      </c>
      <c r="N716" s="179">
        <v>0</v>
      </c>
      <c r="O716" s="178">
        <v>1558.0299999999995</v>
      </c>
      <c r="P716" s="453"/>
      <c r="Q716" s="61"/>
      <c r="R716" s="298"/>
      <c r="S716" s="669"/>
      <c r="X716" s="444">
        <v>716</v>
      </c>
    </row>
    <row r="717" spans="1:32" ht="24">
      <c r="A717" s="67" t="s">
        <v>19601</v>
      </c>
      <c r="B717" s="64" t="s">
        <v>19602</v>
      </c>
      <c r="C717" s="71" t="s">
        <v>165</v>
      </c>
      <c r="D717" s="79">
        <v>1</v>
      </c>
      <c r="E717" s="78">
        <v>1794.47</v>
      </c>
      <c r="F717" s="79">
        <v>1794.47</v>
      </c>
      <c r="H717" s="178">
        <v>1794.46</v>
      </c>
      <c r="I717" s="178">
        <v>2207.19</v>
      </c>
      <c r="J717" s="70">
        <v>-412.72</v>
      </c>
      <c r="K717" s="320"/>
      <c r="L717" s="178">
        <v>101.76</v>
      </c>
      <c r="M717" s="178">
        <v>1692.71</v>
      </c>
      <c r="N717" s="179">
        <v>0</v>
      </c>
      <c r="O717" s="178">
        <v>1794.47</v>
      </c>
      <c r="P717" s="453"/>
      <c r="Q717" s="61"/>
      <c r="R717" s="298"/>
      <c r="S717" s="669"/>
      <c r="X717" s="444">
        <v>717</v>
      </c>
    </row>
    <row r="718" spans="1:32" s="69" customFormat="1" ht="24">
      <c r="A718" s="67" t="s">
        <v>19603</v>
      </c>
      <c r="B718" s="64" t="s">
        <v>39616</v>
      </c>
      <c r="C718" s="71" t="s">
        <v>165</v>
      </c>
      <c r="D718" s="79">
        <v>1</v>
      </c>
      <c r="E718" s="78">
        <v>1086.4299999999998</v>
      </c>
      <c r="F718" s="79">
        <v>1086.43</v>
      </c>
      <c r="G718" s="444"/>
      <c r="H718" s="178">
        <v>1086.4100000000001</v>
      </c>
      <c r="I718" s="178">
        <v>1336.28</v>
      </c>
      <c r="J718" s="70">
        <v>-249.85000000000014</v>
      </c>
      <c r="K718" s="320"/>
      <c r="L718" s="178">
        <v>109.25</v>
      </c>
      <c r="M718" s="178">
        <v>977.17999999999984</v>
      </c>
      <c r="N718" s="179">
        <v>0</v>
      </c>
      <c r="O718" s="178">
        <v>1086.4299999999998</v>
      </c>
      <c r="P718" s="453"/>
      <c r="Q718" s="61"/>
      <c r="R718" s="298"/>
      <c r="S718" s="669"/>
      <c r="T718" s="444"/>
      <c r="U718" s="444"/>
      <c r="V718" s="444"/>
      <c r="W718" s="444"/>
      <c r="X718" s="444">
        <v>718</v>
      </c>
      <c r="Y718" s="444"/>
      <c r="Z718" s="444"/>
      <c r="AA718" s="444"/>
      <c r="AB718" s="444"/>
      <c r="AC718" s="444"/>
      <c r="AD718" s="444"/>
      <c r="AE718" s="444"/>
      <c r="AF718" s="444"/>
    </row>
    <row r="719" spans="1:32" ht="24">
      <c r="A719" s="67" t="s">
        <v>19604</v>
      </c>
      <c r="B719" s="64" t="s">
        <v>39617</v>
      </c>
      <c r="C719" s="71" t="s">
        <v>165</v>
      </c>
      <c r="D719" s="79">
        <v>1</v>
      </c>
      <c r="E719" s="78">
        <v>1157.58</v>
      </c>
      <c r="F719" s="79">
        <v>1157.58</v>
      </c>
      <c r="H719" s="178">
        <v>1157.56</v>
      </c>
      <c r="I719" s="178">
        <v>1423.8</v>
      </c>
      <c r="J719" s="70">
        <v>-266.22000000000003</v>
      </c>
      <c r="K719" s="320"/>
      <c r="L719" s="178">
        <v>114.13</v>
      </c>
      <c r="M719" s="178">
        <v>1043.4499999999998</v>
      </c>
      <c r="N719" s="179">
        <v>0</v>
      </c>
      <c r="O719" s="178">
        <v>1157.58</v>
      </c>
      <c r="P719" s="453"/>
      <c r="Q719" s="61"/>
      <c r="R719" s="298"/>
      <c r="S719" s="669"/>
      <c r="X719" s="444">
        <v>719</v>
      </c>
    </row>
    <row r="720" spans="1:32" ht="24">
      <c r="A720" s="67" t="s">
        <v>19605</v>
      </c>
      <c r="B720" s="64" t="s">
        <v>39618</v>
      </c>
      <c r="C720" s="71" t="s">
        <v>165</v>
      </c>
      <c r="D720" s="79">
        <v>1</v>
      </c>
      <c r="E720" s="78">
        <v>1011.4800000000001</v>
      </c>
      <c r="F720" s="79">
        <v>1011.48</v>
      </c>
      <c r="H720" s="178">
        <v>1011.46</v>
      </c>
      <c r="I720" s="178">
        <v>1244.0899999999999</v>
      </c>
      <c r="J720" s="70">
        <v>-232.60999999999979</v>
      </c>
      <c r="K720" s="320"/>
      <c r="L720" s="178">
        <v>98.81</v>
      </c>
      <c r="M720" s="178">
        <v>912.67000000000007</v>
      </c>
      <c r="N720" s="179">
        <v>0</v>
      </c>
      <c r="O720" s="178">
        <v>1011.48</v>
      </c>
      <c r="P720" s="453"/>
      <c r="Q720" s="61"/>
      <c r="R720" s="298"/>
      <c r="S720" s="669"/>
      <c r="X720" s="444">
        <v>720</v>
      </c>
    </row>
    <row r="721" spans="1:32" ht="24">
      <c r="A721" s="67" t="s">
        <v>19606</v>
      </c>
      <c r="B721" s="64" t="s">
        <v>39619</v>
      </c>
      <c r="C721" s="71" t="s">
        <v>165</v>
      </c>
      <c r="D721" s="79">
        <v>1</v>
      </c>
      <c r="E721" s="78">
        <v>1135.82</v>
      </c>
      <c r="F721" s="79">
        <v>1135.82</v>
      </c>
      <c r="H721" s="178">
        <v>1135.81</v>
      </c>
      <c r="I721" s="178">
        <v>1397.05</v>
      </c>
      <c r="J721" s="70">
        <v>-261.23</v>
      </c>
      <c r="K721" s="320"/>
      <c r="L721" s="178">
        <v>100.00999999999999</v>
      </c>
      <c r="M721" s="178">
        <v>1035.81</v>
      </c>
      <c r="N721" s="179">
        <v>0</v>
      </c>
      <c r="O721" s="178">
        <v>1135.82</v>
      </c>
      <c r="P721" s="453"/>
      <c r="Q721" s="61"/>
      <c r="R721" s="298"/>
      <c r="S721" s="669"/>
      <c r="X721" s="444">
        <v>721</v>
      </c>
    </row>
    <row r="722" spans="1:32" ht="24">
      <c r="A722" s="67" t="s">
        <v>19607</v>
      </c>
      <c r="B722" s="64" t="s">
        <v>19608</v>
      </c>
      <c r="C722" s="71" t="s">
        <v>165</v>
      </c>
      <c r="D722" s="79">
        <v>1</v>
      </c>
      <c r="E722" s="78">
        <v>619.21</v>
      </c>
      <c r="F722" s="79">
        <v>619.21</v>
      </c>
      <c r="H722" s="178">
        <v>619.20000000000005</v>
      </c>
      <c r="I722" s="178">
        <v>761.61</v>
      </c>
      <c r="J722" s="70">
        <v>-142.39999999999998</v>
      </c>
      <c r="K722" s="320"/>
      <c r="L722" s="178">
        <v>35.19</v>
      </c>
      <c r="M722" s="178">
        <v>584.02</v>
      </c>
      <c r="N722" s="179">
        <v>0</v>
      </c>
      <c r="O722" s="178">
        <v>619.21</v>
      </c>
      <c r="P722" s="453"/>
      <c r="Q722" s="61"/>
      <c r="R722" s="298"/>
      <c r="S722" s="669"/>
      <c r="X722" s="444">
        <v>722</v>
      </c>
    </row>
    <row r="723" spans="1:32" ht="24">
      <c r="A723" s="67" t="s">
        <v>19609</v>
      </c>
      <c r="B723" s="64" t="s">
        <v>39620</v>
      </c>
      <c r="C723" s="71" t="s">
        <v>103</v>
      </c>
      <c r="D723" s="79">
        <v>1</v>
      </c>
      <c r="E723" s="78">
        <v>7227.8700000000008</v>
      </c>
      <c r="F723" s="79">
        <v>7227.87</v>
      </c>
      <c r="H723" s="178">
        <v>7227.84</v>
      </c>
      <c r="I723" s="178">
        <v>8890.24</v>
      </c>
      <c r="J723" s="70">
        <v>-1662.369999999999</v>
      </c>
      <c r="K723" s="320"/>
      <c r="L723" s="178">
        <v>1837.96</v>
      </c>
      <c r="M723" s="178">
        <v>5389.9100000000008</v>
      </c>
      <c r="N723" s="179">
        <v>0</v>
      </c>
      <c r="O723" s="178">
        <v>7227.8700000000008</v>
      </c>
      <c r="P723" s="453"/>
      <c r="Q723" s="61"/>
      <c r="R723" s="298"/>
      <c r="S723" s="669"/>
      <c r="X723" s="444">
        <v>723</v>
      </c>
    </row>
    <row r="724" spans="1:32" ht="12">
      <c r="A724" s="83" t="s">
        <v>39621</v>
      </c>
      <c r="B724" s="64" t="s">
        <v>39518</v>
      </c>
      <c r="C724" s="71"/>
      <c r="D724" s="79" t="s">
        <v>40899</v>
      </c>
      <c r="E724" s="79" t="s">
        <v>40899</v>
      </c>
      <c r="F724" s="79"/>
      <c r="G724" s="445"/>
      <c r="H724" s="178"/>
      <c r="I724" s="178"/>
      <c r="J724" s="70"/>
      <c r="K724" s="320"/>
      <c r="L724" s="178"/>
      <c r="M724" s="178"/>
      <c r="N724" s="179"/>
      <c r="O724" s="178"/>
      <c r="P724" s="453"/>
      <c r="Q724" s="61"/>
      <c r="R724" s="298"/>
      <c r="S724" s="669"/>
      <c r="T724" s="61"/>
      <c r="X724" s="444">
        <v>724</v>
      </c>
    </row>
    <row r="725" spans="1:32" ht="12">
      <c r="A725" s="83" t="s">
        <v>19610</v>
      </c>
      <c r="B725" s="64" t="s">
        <v>19611</v>
      </c>
      <c r="C725" s="71" t="s">
        <v>103</v>
      </c>
      <c r="D725" s="79">
        <v>1</v>
      </c>
      <c r="E725" s="79">
        <v>4.46</v>
      </c>
      <c r="F725" s="79">
        <v>4.46</v>
      </c>
      <c r="G725" s="445"/>
      <c r="H725" s="178">
        <v>4.46</v>
      </c>
      <c r="I725" s="178">
        <v>5.49</v>
      </c>
      <c r="J725" s="70">
        <v>-1.0300000000000002</v>
      </c>
      <c r="K725" s="320"/>
      <c r="L725" s="178">
        <v>4.46</v>
      </c>
      <c r="M725" s="178">
        <v>0</v>
      </c>
      <c r="N725" s="179">
        <v>0</v>
      </c>
      <c r="O725" s="178">
        <v>4.46</v>
      </c>
      <c r="P725" s="453"/>
      <c r="Q725" s="61"/>
      <c r="R725" s="298"/>
      <c r="S725" s="669"/>
      <c r="X725" s="444">
        <v>725</v>
      </c>
    </row>
    <row r="726" spans="1:32" ht="12">
      <c r="A726" s="83" t="s">
        <v>19612</v>
      </c>
      <c r="B726" s="64" t="s">
        <v>18570</v>
      </c>
      <c r="C726" s="71" t="s">
        <v>10216</v>
      </c>
      <c r="D726" s="79">
        <v>1</v>
      </c>
      <c r="E726" s="79">
        <v>577.26</v>
      </c>
      <c r="F726" s="79">
        <v>577.26</v>
      </c>
      <c r="G726" s="445"/>
      <c r="H726" s="178">
        <v>577.25</v>
      </c>
      <c r="I726" s="178">
        <v>710.02</v>
      </c>
      <c r="J726" s="70">
        <v>-132.76</v>
      </c>
      <c r="K726" s="320"/>
      <c r="L726" s="178"/>
      <c r="M726" s="178">
        <v>577.26</v>
      </c>
      <c r="N726" s="179">
        <v>0</v>
      </c>
      <c r="O726" s="178">
        <v>577.26</v>
      </c>
      <c r="P726" s="453"/>
      <c r="Q726" s="61"/>
      <c r="R726" s="298"/>
      <c r="S726" s="669"/>
      <c r="X726" s="444">
        <v>726</v>
      </c>
    </row>
    <row r="727" spans="1:32" ht="12">
      <c r="A727" s="83" t="s">
        <v>39622</v>
      </c>
      <c r="B727" s="64" t="s">
        <v>39520</v>
      </c>
      <c r="C727" s="71"/>
      <c r="D727" s="79" t="s">
        <v>40899</v>
      </c>
      <c r="E727" s="79" t="s">
        <v>40899</v>
      </c>
      <c r="F727" s="79"/>
      <c r="G727" s="445"/>
      <c r="H727" s="178"/>
      <c r="I727" s="178"/>
      <c r="J727" s="70"/>
      <c r="K727" s="320"/>
      <c r="L727" s="178"/>
      <c r="M727" s="178"/>
      <c r="N727" s="179"/>
      <c r="O727" s="178"/>
      <c r="P727" s="453"/>
      <c r="Q727" s="61"/>
      <c r="R727" s="298"/>
      <c r="S727" s="669"/>
      <c r="T727" s="61"/>
      <c r="X727" s="444">
        <v>727</v>
      </c>
    </row>
    <row r="728" spans="1:32" ht="12">
      <c r="A728" s="83" t="s">
        <v>19613</v>
      </c>
      <c r="B728" s="64" t="s">
        <v>19614</v>
      </c>
      <c r="C728" s="71" t="s">
        <v>509</v>
      </c>
      <c r="D728" s="79">
        <v>1</v>
      </c>
      <c r="E728" s="79">
        <v>34.590000000000003</v>
      </c>
      <c r="F728" s="79">
        <v>34.590000000000003</v>
      </c>
      <c r="G728" s="445"/>
      <c r="H728" s="178">
        <v>34.590000000000003</v>
      </c>
      <c r="I728" s="178">
        <v>42.54</v>
      </c>
      <c r="J728" s="70">
        <v>-7.9499999999999957</v>
      </c>
      <c r="K728" s="320"/>
      <c r="L728" s="178">
        <v>34.590000000000003</v>
      </c>
      <c r="M728" s="178">
        <v>0</v>
      </c>
      <c r="N728" s="179">
        <v>0</v>
      </c>
      <c r="O728" s="178">
        <v>34.590000000000003</v>
      </c>
      <c r="P728" s="453"/>
      <c r="Q728" s="61"/>
      <c r="R728" s="298"/>
      <c r="S728" s="669"/>
      <c r="X728" s="444">
        <v>728</v>
      </c>
    </row>
    <row r="729" spans="1:32" ht="12">
      <c r="A729" s="83" t="s">
        <v>19615</v>
      </c>
      <c r="B729" s="64" t="s">
        <v>19616</v>
      </c>
      <c r="C729" s="71" t="s">
        <v>509</v>
      </c>
      <c r="D729" s="79">
        <v>1</v>
      </c>
      <c r="E729" s="79">
        <v>10.77</v>
      </c>
      <c r="F729" s="79">
        <v>10.77</v>
      </c>
      <c r="G729" s="445"/>
      <c r="H729" s="178">
        <v>10.77</v>
      </c>
      <c r="I729" s="178">
        <v>13.25</v>
      </c>
      <c r="J729" s="70">
        <v>-2.4800000000000004</v>
      </c>
      <c r="K729" s="320"/>
      <c r="L729" s="178">
        <v>10.77</v>
      </c>
      <c r="M729" s="178">
        <v>0</v>
      </c>
      <c r="N729" s="179">
        <v>0</v>
      </c>
      <c r="O729" s="178">
        <v>10.77</v>
      </c>
      <c r="P729" s="453"/>
      <c r="Q729" s="61"/>
      <c r="R729" s="298"/>
      <c r="S729" s="669"/>
      <c r="X729" s="444">
        <v>729</v>
      </c>
    </row>
    <row r="730" spans="1:32" ht="12">
      <c r="A730" s="83" t="s">
        <v>19617</v>
      </c>
      <c r="B730" s="64" t="s">
        <v>19618</v>
      </c>
      <c r="C730" s="71" t="s">
        <v>103</v>
      </c>
      <c r="D730" s="79">
        <v>1</v>
      </c>
      <c r="E730" s="79">
        <v>59.300000000000004</v>
      </c>
      <c r="F730" s="79">
        <v>59.3</v>
      </c>
      <c r="G730" s="445"/>
      <c r="H730" s="178">
        <v>59.29</v>
      </c>
      <c r="I730" s="178">
        <v>72.930000000000007</v>
      </c>
      <c r="J730" s="70">
        <v>-13.630000000000003</v>
      </c>
      <c r="K730" s="320"/>
      <c r="L730" s="178">
        <v>59.300000000000004</v>
      </c>
      <c r="M730" s="178">
        <v>0</v>
      </c>
      <c r="N730" s="179">
        <v>0</v>
      </c>
      <c r="O730" s="178">
        <v>59.300000000000004</v>
      </c>
      <c r="P730" s="453"/>
      <c r="Q730" s="61"/>
      <c r="R730" s="298"/>
      <c r="S730" s="669"/>
      <c r="U730" s="69"/>
      <c r="V730" s="69"/>
      <c r="W730" s="69"/>
      <c r="X730" s="444">
        <v>730</v>
      </c>
      <c r="Y730" s="69"/>
      <c r="Z730" s="69"/>
      <c r="AA730" s="69"/>
      <c r="AB730" s="69"/>
      <c r="AC730" s="69"/>
      <c r="AD730" s="69"/>
      <c r="AE730" s="69"/>
      <c r="AF730" s="69"/>
    </row>
    <row r="731" spans="1:32" ht="12">
      <c r="A731" s="83" t="s">
        <v>19619</v>
      </c>
      <c r="B731" s="64" t="s">
        <v>19620</v>
      </c>
      <c r="C731" s="71" t="s">
        <v>103</v>
      </c>
      <c r="D731" s="79">
        <v>1</v>
      </c>
      <c r="E731" s="79">
        <v>18.91</v>
      </c>
      <c r="F731" s="79">
        <v>18.91</v>
      </c>
      <c r="G731" s="445"/>
      <c r="H731" s="178">
        <v>18.91</v>
      </c>
      <c r="I731" s="178">
        <v>23.26</v>
      </c>
      <c r="J731" s="70">
        <v>-4.3500000000000014</v>
      </c>
      <c r="K731" s="320"/>
      <c r="L731" s="178">
        <v>18.91</v>
      </c>
      <c r="M731" s="178">
        <v>0</v>
      </c>
      <c r="N731" s="179">
        <v>0</v>
      </c>
      <c r="O731" s="178">
        <v>18.91</v>
      </c>
      <c r="P731" s="453"/>
      <c r="Q731" s="61"/>
      <c r="R731" s="298"/>
      <c r="S731" s="669"/>
      <c r="U731" s="69"/>
      <c r="V731" s="69"/>
      <c r="W731" s="69"/>
      <c r="X731" s="444">
        <v>731</v>
      </c>
      <c r="Y731" s="69"/>
      <c r="Z731" s="69"/>
      <c r="AA731" s="69"/>
      <c r="AB731" s="69"/>
      <c r="AC731" s="69"/>
      <c r="AD731" s="69"/>
      <c r="AE731" s="69"/>
      <c r="AF731" s="69"/>
    </row>
    <row r="732" spans="1:32" ht="12">
      <c r="A732" s="83" t="s">
        <v>19621</v>
      </c>
      <c r="B732" s="64" t="s">
        <v>19622</v>
      </c>
      <c r="C732" s="71" t="s">
        <v>103</v>
      </c>
      <c r="D732" s="79">
        <v>1</v>
      </c>
      <c r="E732" s="79">
        <v>15.14</v>
      </c>
      <c r="F732" s="79">
        <v>15.14</v>
      </c>
      <c r="G732" s="445"/>
      <c r="H732" s="178">
        <v>15.13</v>
      </c>
      <c r="I732" s="178">
        <v>18.61</v>
      </c>
      <c r="J732" s="70">
        <v>-3.4699999999999989</v>
      </c>
      <c r="K732" s="320"/>
      <c r="L732" s="178">
        <v>15.14</v>
      </c>
      <c r="M732" s="178">
        <v>0</v>
      </c>
      <c r="N732" s="179">
        <v>0</v>
      </c>
      <c r="O732" s="178">
        <v>15.14</v>
      </c>
      <c r="P732" s="453"/>
      <c r="Q732" s="61"/>
      <c r="R732" s="298"/>
      <c r="S732" s="669"/>
      <c r="X732" s="444">
        <v>732</v>
      </c>
    </row>
    <row r="733" spans="1:32" ht="12">
      <c r="A733" s="83" t="s">
        <v>19623</v>
      </c>
      <c r="B733" s="64" t="s">
        <v>19624</v>
      </c>
      <c r="C733" s="71" t="s">
        <v>103</v>
      </c>
      <c r="D733" s="79">
        <v>1</v>
      </c>
      <c r="E733" s="79">
        <v>5.3100000000000005</v>
      </c>
      <c r="F733" s="79">
        <v>5.31</v>
      </c>
      <c r="G733" s="445"/>
      <c r="H733" s="178">
        <v>5.29</v>
      </c>
      <c r="I733" s="178">
        <v>6.51</v>
      </c>
      <c r="J733" s="70">
        <v>-1.1999999999999993</v>
      </c>
      <c r="K733" s="320"/>
      <c r="L733" s="178">
        <v>5.3100000000000005</v>
      </c>
      <c r="M733" s="178">
        <v>0</v>
      </c>
      <c r="N733" s="179">
        <v>0</v>
      </c>
      <c r="O733" s="178">
        <v>5.3100000000000005</v>
      </c>
      <c r="P733" s="453"/>
      <c r="Q733" s="61"/>
      <c r="R733" s="298"/>
      <c r="S733" s="669"/>
      <c r="X733" s="444">
        <v>733</v>
      </c>
    </row>
    <row r="734" spans="1:32" ht="12">
      <c r="A734" s="83" t="s">
        <v>19625</v>
      </c>
      <c r="B734" s="64" t="s">
        <v>19626</v>
      </c>
      <c r="C734" s="71" t="s">
        <v>165</v>
      </c>
      <c r="D734" s="79">
        <v>1</v>
      </c>
      <c r="E734" s="79">
        <v>39.540000000000006</v>
      </c>
      <c r="F734" s="79">
        <v>39.54</v>
      </c>
      <c r="G734" s="445"/>
      <c r="H734" s="178">
        <v>39.53</v>
      </c>
      <c r="I734" s="178">
        <v>48.62</v>
      </c>
      <c r="J734" s="70">
        <v>-9.0799999999999912</v>
      </c>
      <c r="K734" s="320"/>
      <c r="L734" s="178">
        <v>39.540000000000006</v>
      </c>
      <c r="M734" s="178">
        <v>0</v>
      </c>
      <c r="N734" s="179">
        <v>0</v>
      </c>
      <c r="O734" s="178">
        <v>39.540000000000006</v>
      </c>
      <c r="P734" s="453"/>
      <c r="Q734" s="61"/>
      <c r="R734" s="298"/>
      <c r="S734" s="669"/>
      <c r="X734" s="444">
        <v>734</v>
      </c>
    </row>
    <row r="735" spans="1:32" ht="12">
      <c r="A735" s="83" t="s">
        <v>19627</v>
      </c>
      <c r="B735" s="64" t="s">
        <v>18572</v>
      </c>
      <c r="C735" s="71" t="s">
        <v>10216</v>
      </c>
      <c r="D735" s="79">
        <v>1</v>
      </c>
      <c r="E735" s="79">
        <v>577.26</v>
      </c>
      <c r="F735" s="79">
        <v>577.26</v>
      </c>
      <c r="G735" s="445"/>
      <c r="H735" s="178">
        <v>577.25</v>
      </c>
      <c r="I735" s="178">
        <v>710.02</v>
      </c>
      <c r="J735" s="70">
        <v>-132.76</v>
      </c>
      <c r="K735" s="320"/>
      <c r="L735" s="178"/>
      <c r="M735" s="178">
        <v>577.26</v>
      </c>
      <c r="N735" s="179">
        <v>0</v>
      </c>
      <c r="O735" s="178">
        <v>577.26</v>
      </c>
      <c r="P735" s="453"/>
      <c r="Q735" s="61"/>
      <c r="R735" s="298"/>
      <c r="S735" s="669"/>
      <c r="X735" s="444">
        <v>735</v>
      </c>
    </row>
    <row r="736" spans="1:32" ht="12">
      <c r="A736" s="83" t="s">
        <v>39623</v>
      </c>
      <c r="B736" s="64" t="s">
        <v>39624</v>
      </c>
      <c r="C736" s="71"/>
      <c r="D736" s="79" t="s">
        <v>40899</v>
      </c>
      <c r="E736" s="79" t="s">
        <v>40899</v>
      </c>
      <c r="F736" s="79"/>
      <c r="G736" s="445"/>
      <c r="H736" s="178"/>
      <c r="I736" s="178"/>
      <c r="J736" s="70"/>
      <c r="K736" s="320"/>
      <c r="L736" s="178"/>
      <c r="M736" s="178"/>
      <c r="N736" s="179"/>
      <c r="O736" s="178"/>
      <c r="P736" s="453"/>
      <c r="Q736" s="61"/>
      <c r="R736" s="298"/>
      <c r="S736" s="669"/>
      <c r="X736" s="444">
        <v>736</v>
      </c>
    </row>
    <row r="737" spans="1:32" ht="12">
      <c r="A737" s="83" t="s">
        <v>19628</v>
      </c>
      <c r="B737" s="64" t="s">
        <v>19629</v>
      </c>
      <c r="C737" s="71" t="s">
        <v>509</v>
      </c>
      <c r="D737" s="79">
        <v>1</v>
      </c>
      <c r="E737" s="79">
        <v>49.42</v>
      </c>
      <c r="F737" s="79">
        <v>49.42</v>
      </c>
      <c r="G737" s="445"/>
      <c r="H737" s="178">
        <v>49.41</v>
      </c>
      <c r="I737" s="178">
        <v>60.78</v>
      </c>
      <c r="J737" s="70">
        <v>-11.36</v>
      </c>
      <c r="K737" s="320"/>
      <c r="L737" s="178">
        <v>49.42</v>
      </c>
      <c r="M737" s="178">
        <v>0</v>
      </c>
      <c r="N737" s="179">
        <v>0</v>
      </c>
      <c r="O737" s="178">
        <v>49.42</v>
      </c>
      <c r="P737" s="453"/>
      <c r="Q737" s="61"/>
      <c r="R737" s="298"/>
      <c r="S737" s="669"/>
      <c r="T737" s="73"/>
      <c r="U737" s="73"/>
      <c r="V737" s="73"/>
      <c r="W737" s="73"/>
      <c r="X737" s="444">
        <v>737</v>
      </c>
      <c r="Y737" s="73"/>
      <c r="Z737" s="73"/>
      <c r="AA737" s="73"/>
      <c r="AB737" s="73"/>
      <c r="AC737" s="73"/>
      <c r="AD737" s="73"/>
      <c r="AE737" s="73"/>
      <c r="AF737" s="73"/>
    </row>
    <row r="738" spans="1:32" s="69" customFormat="1" ht="12">
      <c r="A738" s="83" t="s">
        <v>19630</v>
      </c>
      <c r="B738" s="64" t="s">
        <v>19631</v>
      </c>
      <c r="C738" s="71" t="s">
        <v>103</v>
      </c>
      <c r="D738" s="79">
        <v>1</v>
      </c>
      <c r="E738" s="79">
        <v>64.25</v>
      </c>
      <c r="F738" s="79">
        <v>64.25</v>
      </c>
      <c r="G738" s="445"/>
      <c r="H738" s="178">
        <v>64.239999999999995</v>
      </c>
      <c r="I738" s="178">
        <v>79.010000000000005</v>
      </c>
      <c r="J738" s="70">
        <v>-14.760000000000005</v>
      </c>
      <c r="K738" s="320"/>
      <c r="L738" s="178">
        <v>64.25</v>
      </c>
      <c r="M738" s="178">
        <v>0</v>
      </c>
      <c r="N738" s="179">
        <v>0</v>
      </c>
      <c r="O738" s="178">
        <v>64.25</v>
      </c>
      <c r="P738" s="453"/>
      <c r="Q738" s="61"/>
      <c r="R738" s="298"/>
      <c r="S738" s="669"/>
      <c r="T738" s="444"/>
      <c r="U738" s="73"/>
      <c r="V738" s="73"/>
      <c r="W738" s="73"/>
      <c r="X738" s="444">
        <v>738</v>
      </c>
      <c r="Y738" s="73"/>
      <c r="Z738" s="73"/>
      <c r="AA738" s="73"/>
      <c r="AB738" s="73"/>
      <c r="AC738" s="73"/>
      <c r="AD738" s="73"/>
      <c r="AE738" s="73"/>
      <c r="AF738" s="73"/>
    </row>
    <row r="739" spans="1:32" s="69" customFormat="1" ht="12">
      <c r="A739" s="83" t="s">
        <v>19632</v>
      </c>
      <c r="B739" s="64" t="s">
        <v>19633</v>
      </c>
      <c r="C739" s="71" t="s">
        <v>509</v>
      </c>
      <c r="D739" s="79">
        <v>1</v>
      </c>
      <c r="E739" s="79">
        <v>14.16</v>
      </c>
      <c r="F739" s="79">
        <v>14.16</v>
      </c>
      <c r="G739" s="445"/>
      <c r="H739" s="178">
        <v>14.15</v>
      </c>
      <c r="I739" s="178">
        <v>17.41</v>
      </c>
      <c r="J739" s="70">
        <v>-3.25</v>
      </c>
      <c r="K739" s="320"/>
      <c r="L739" s="178">
        <v>14.16</v>
      </c>
      <c r="M739" s="178">
        <v>0</v>
      </c>
      <c r="N739" s="179">
        <v>0</v>
      </c>
      <c r="O739" s="178">
        <v>14.16</v>
      </c>
      <c r="P739" s="453"/>
      <c r="Q739" s="61"/>
      <c r="R739" s="298"/>
      <c r="S739" s="669"/>
      <c r="T739" s="444"/>
      <c r="U739" s="73"/>
      <c r="V739" s="73"/>
      <c r="W739" s="73"/>
      <c r="X739" s="444">
        <v>739</v>
      </c>
      <c r="Y739" s="73"/>
      <c r="Z739" s="73"/>
      <c r="AA739" s="73"/>
      <c r="AB739" s="73"/>
      <c r="AC739" s="73"/>
      <c r="AD739" s="73"/>
      <c r="AE739" s="73"/>
      <c r="AF739" s="73"/>
    </row>
    <row r="740" spans="1:32" ht="12">
      <c r="A740" s="83" t="s">
        <v>19634</v>
      </c>
      <c r="B740" s="64" t="s">
        <v>19635</v>
      </c>
      <c r="C740" s="71" t="s">
        <v>165</v>
      </c>
      <c r="D740" s="79">
        <v>1</v>
      </c>
      <c r="E740" s="79">
        <v>45.4</v>
      </c>
      <c r="F740" s="79">
        <v>45.4</v>
      </c>
      <c r="G740" s="445"/>
      <c r="H740" s="178">
        <v>45.39</v>
      </c>
      <c r="I740" s="178">
        <v>55.83</v>
      </c>
      <c r="J740" s="70">
        <v>-10.43</v>
      </c>
      <c r="K740" s="320"/>
      <c r="L740" s="178">
        <v>45.4</v>
      </c>
      <c r="M740" s="178">
        <v>0</v>
      </c>
      <c r="N740" s="179">
        <v>0</v>
      </c>
      <c r="O740" s="178">
        <v>45.4</v>
      </c>
      <c r="P740" s="453"/>
      <c r="Q740" s="61"/>
      <c r="R740" s="298"/>
      <c r="S740" s="669"/>
      <c r="U740" s="73"/>
      <c r="V740" s="73"/>
      <c r="W740" s="73"/>
      <c r="X740" s="444">
        <v>740</v>
      </c>
      <c r="Y740" s="73"/>
      <c r="Z740" s="73"/>
      <c r="AA740" s="73"/>
      <c r="AB740" s="73"/>
      <c r="AC740" s="73"/>
      <c r="AD740" s="73"/>
      <c r="AE740" s="73"/>
      <c r="AF740" s="73"/>
    </row>
    <row r="741" spans="1:32" ht="12">
      <c r="A741" s="83" t="s">
        <v>19636</v>
      </c>
      <c r="B741" s="64" t="s">
        <v>19637</v>
      </c>
      <c r="C741" s="71" t="s">
        <v>103</v>
      </c>
      <c r="D741" s="79">
        <v>1</v>
      </c>
      <c r="E741" s="79">
        <v>41.599999999999994</v>
      </c>
      <c r="F741" s="79">
        <v>41.6</v>
      </c>
      <c r="G741" s="445"/>
      <c r="H741" s="178">
        <v>41.61</v>
      </c>
      <c r="I741" s="178">
        <v>51.18</v>
      </c>
      <c r="J741" s="70">
        <v>-9.5800000000000054</v>
      </c>
      <c r="K741" s="320"/>
      <c r="L741" s="178">
        <v>41.599999999999994</v>
      </c>
      <c r="M741" s="178">
        <v>0</v>
      </c>
      <c r="N741" s="179">
        <v>0</v>
      </c>
      <c r="O741" s="178">
        <v>41.599999999999994</v>
      </c>
      <c r="P741" s="453"/>
      <c r="Q741" s="61"/>
      <c r="R741" s="298"/>
      <c r="S741" s="669"/>
      <c r="U741" s="73"/>
      <c r="V741" s="73"/>
      <c r="W741" s="73"/>
      <c r="X741" s="444">
        <v>741</v>
      </c>
      <c r="Y741" s="73"/>
      <c r="Z741" s="73"/>
      <c r="AA741" s="73"/>
      <c r="AB741" s="73"/>
      <c r="AC741" s="73"/>
      <c r="AD741" s="73"/>
      <c r="AE741" s="73"/>
      <c r="AF741" s="73"/>
    </row>
    <row r="742" spans="1:32" ht="12">
      <c r="A742" s="83" t="s">
        <v>19638</v>
      </c>
      <c r="B742" s="64" t="s">
        <v>19639</v>
      </c>
      <c r="C742" s="71" t="s">
        <v>103</v>
      </c>
      <c r="D742" s="79">
        <v>1</v>
      </c>
      <c r="E742" s="79">
        <v>7.57</v>
      </c>
      <c r="F742" s="79">
        <v>7.57</v>
      </c>
      <c r="G742" s="445"/>
      <c r="H742" s="178">
        <v>7.56</v>
      </c>
      <c r="I742" s="178">
        <v>9.3000000000000007</v>
      </c>
      <c r="J742" s="70">
        <v>-1.7300000000000004</v>
      </c>
      <c r="K742" s="320"/>
      <c r="L742" s="178">
        <v>7.57</v>
      </c>
      <c r="M742" s="178">
        <v>0</v>
      </c>
      <c r="N742" s="179">
        <v>0</v>
      </c>
      <c r="O742" s="178">
        <v>7.57</v>
      </c>
      <c r="P742" s="453"/>
      <c r="Q742" s="61"/>
      <c r="R742" s="298"/>
      <c r="S742" s="669"/>
      <c r="U742" s="73"/>
      <c r="V742" s="73"/>
      <c r="W742" s="73"/>
      <c r="X742" s="444">
        <v>742</v>
      </c>
      <c r="Y742" s="73"/>
      <c r="Z742" s="73"/>
      <c r="AA742" s="73"/>
      <c r="AB742" s="73"/>
      <c r="AC742" s="73"/>
      <c r="AD742" s="73"/>
      <c r="AE742" s="73"/>
      <c r="AF742" s="73"/>
    </row>
    <row r="743" spans="1:32" ht="12">
      <c r="A743" s="83" t="s">
        <v>19640</v>
      </c>
      <c r="B743" s="64" t="s">
        <v>19641</v>
      </c>
      <c r="C743" s="71" t="s">
        <v>165</v>
      </c>
      <c r="D743" s="79">
        <v>1</v>
      </c>
      <c r="E743" s="79">
        <v>39.540000000000006</v>
      </c>
      <c r="F743" s="79">
        <v>39.54</v>
      </c>
      <c r="G743" s="445"/>
      <c r="H743" s="178">
        <v>39.53</v>
      </c>
      <c r="I743" s="178">
        <v>48.62</v>
      </c>
      <c r="J743" s="70">
        <v>-9.0799999999999912</v>
      </c>
      <c r="K743" s="320"/>
      <c r="L743" s="178">
        <v>39.540000000000006</v>
      </c>
      <c r="M743" s="178">
        <v>0</v>
      </c>
      <c r="N743" s="179">
        <v>0</v>
      </c>
      <c r="O743" s="178">
        <v>39.540000000000006</v>
      </c>
      <c r="P743" s="453"/>
      <c r="Q743" s="61"/>
      <c r="R743" s="298"/>
      <c r="S743" s="669"/>
      <c r="U743" s="73"/>
      <c r="V743" s="73"/>
      <c r="W743" s="73"/>
      <c r="X743" s="444">
        <v>743</v>
      </c>
      <c r="Y743" s="73"/>
      <c r="Z743" s="73"/>
      <c r="AA743" s="73"/>
      <c r="AB743" s="73"/>
      <c r="AC743" s="73"/>
      <c r="AD743" s="73"/>
      <c r="AE743" s="73"/>
      <c r="AF743" s="73"/>
    </row>
    <row r="744" spans="1:32" ht="12">
      <c r="A744" s="83" t="s">
        <v>19642</v>
      </c>
      <c r="B744" s="64" t="s">
        <v>19643</v>
      </c>
      <c r="C744" s="71" t="s">
        <v>10216</v>
      </c>
      <c r="D744" s="79">
        <v>1</v>
      </c>
      <c r="E744" s="79">
        <v>577.26</v>
      </c>
      <c r="F744" s="79">
        <v>577.26</v>
      </c>
      <c r="G744" s="445"/>
      <c r="H744" s="178">
        <v>577.25</v>
      </c>
      <c r="I744" s="178">
        <v>710.02</v>
      </c>
      <c r="J744" s="70">
        <v>-132.76</v>
      </c>
      <c r="K744" s="320"/>
      <c r="L744" s="178"/>
      <c r="M744" s="178">
        <v>577.26</v>
      </c>
      <c r="N744" s="179">
        <v>0</v>
      </c>
      <c r="O744" s="178">
        <v>577.26</v>
      </c>
      <c r="P744" s="453"/>
      <c r="Q744" s="61"/>
      <c r="R744" s="298"/>
      <c r="S744" s="669"/>
      <c r="U744" s="73"/>
      <c r="V744" s="73"/>
      <c r="W744" s="73"/>
      <c r="X744" s="444">
        <v>744</v>
      </c>
      <c r="Y744" s="73"/>
      <c r="Z744" s="73"/>
      <c r="AA744" s="73"/>
      <c r="AB744" s="73"/>
      <c r="AC744" s="73"/>
      <c r="AD744" s="73"/>
      <c r="AE744" s="73"/>
      <c r="AF744" s="73"/>
    </row>
    <row r="745" spans="1:32" s="73" customFormat="1" ht="12">
      <c r="A745" s="83" t="s">
        <v>39625</v>
      </c>
      <c r="B745" s="64" t="s">
        <v>39626</v>
      </c>
      <c r="C745" s="71"/>
      <c r="D745" s="79" t="s">
        <v>40899</v>
      </c>
      <c r="E745" s="79" t="s">
        <v>40899</v>
      </c>
      <c r="F745" s="79"/>
      <c r="G745" s="445"/>
      <c r="H745" s="178"/>
      <c r="I745" s="178"/>
      <c r="J745" s="70"/>
      <c r="K745" s="320"/>
      <c r="L745" s="178"/>
      <c r="M745" s="178"/>
      <c r="N745" s="179"/>
      <c r="O745" s="178"/>
      <c r="P745" s="453"/>
      <c r="Q745" s="61"/>
      <c r="R745" s="298"/>
      <c r="S745" s="669"/>
      <c r="T745" s="444"/>
      <c r="X745" s="444">
        <v>745</v>
      </c>
    </row>
    <row r="746" spans="1:32" s="73" customFormat="1" ht="12">
      <c r="A746" s="83" t="s">
        <v>19644</v>
      </c>
      <c r="B746" s="64" t="s">
        <v>19645</v>
      </c>
      <c r="C746" s="71" t="s">
        <v>509</v>
      </c>
      <c r="D746" s="79">
        <v>1</v>
      </c>
      <c r="E746" s="79">
        <v>1427.95</v>
      </c>
      <c r="F746" s="79">
        <v>1427.95</v>
      </c>
      <c r="G746" s="445"/>
      <c r="H746" s="178">
        <v>1427.94</v>
      </c>
      <c r="I746" s="178">
        <v>1756.37</v>
      </c>
      <c r="J746" s="70">
        <v>-328.41999999999985</v>
      </c>
      <c r="K746" s="320"/>
      <c r="L746" s="178">
        <v>49.42</v>
      </c>
      <c r="M746" s="178">
        <v>1378.53</v>
      </c>
      <c r="N746" s="179">
        <v>0</v>
      </c>
      <c r="O746" s="178">
        <v>1427.95</v>
      </c>
      <c r="P746" s="453"/>
      <c r="Q746" s="61"/>
      <c r="R746" s="298"/>
      <c r="S746" s="669"/>
      <c r="T746" s="61"/>
      <c r="X746" s="444">
        <v>746</v>
      </c>
    </row>
    <row r="747" spans="1:32" s="73" customFormat="1" ht="12">
      <c r="A747" s="83" t="s">
        <v>19646</v>
      </c>
      <c r="B747" s="64" t="s">
        <v>19647</v>
      </c>
      <c r="C747" s="71" t="s">
        <v>509</v>
      </c>
      <c r="D747" s="79">
        <v>1</v>
      </c>
      <c r="E747" s="79">
        <v>1297.52</v>
      </c>
      <c r="F747" s="79">
        <v>1297.52</v>
      </c>
      <c r="G747" s="445"/>
      <c r="H747" s="178">
        <v>1297.51</v>
      </c>
      <c r="I747" s="178">
        <v>1595.94</v>
      </c>
      <c r="J747" s="70">
        <v>-298.42000000000007</v>
      </c>
      <c r="K747" s="320"/>
      <c r="L747" s="178">
        <v>49.42</v>
      </c>
      <c r="M747" s="178">
        <v>1248.0999999999999</v>
      </c>
      <c r="N747" s="179">
        <v>0</v>
      </c>
      <c r="O747" s="178">
        <v>1297.52</v>
      </c>
      <c r="P747" s="453"/>
      <c r="Q747" s="61"/>
      <c r="R747" s="298"/>
      <c r="S747" s="669"/>
      <c r="T747" s="61"/>
      <c r="X747" s="444">
        <v>747</v>
      </c>
    </row>
    <row r="748" spans="1:32" s="73" customFormat="1" ht="12">
      <c r="A748" s="83" t="s">
        <v>19648</v>
      </c>
      <c r="B748" s="64" t="s">
        <v>19649</v>
      </c>
      <c r="C748" s="71" t="s">
        <v>509</v>
      </c>
      <c r="D748" s="79">
        <v>1</v>
      </c>
      <c r="E748" s="79">
        <v>1028.32</v>
      </c>
      <c r="F748" s="79">
        <v>1028.32</v>
      </c>
      <c r="G748" s="445"/>
      <c r="H748" s="178">
        <v>1028.32</v>
      </c>
      <c r="I748" s="178">
        <v>1264.83</v>
      </c>
      <c r="J748" s="70">
        <v>-236.51</v>
      </c>
      <c r="K748" s="320"/>
      <c r="L748" s="178">
        <v>49.42</v>
      </c>
      <c r="M748" s="178">
        <v>978.9</v>
      </c>
      <c r="N748" s="179">
        <v>0</v>
      </c>
      <c r="O748" s="178">
        <v>1028.32</v>
      </c>
      <c r="P748" s="453"/>
      <c r="Q748" s="61"/>
      <c r="R748" s="298"/>
      <c r="S748" s="669"/>
      <c r="T748" s="444"/>
      <c r="X748" s="444">
        <v>748</v>
      </c>
    </row>
    <row r="749" spans="1:32" s="73" customFormat="1" ht="12">
      <c r="A749" s="63" t="s">
        <v>19650</v>
      </c>
      <c r="B749" s="146" t="s">
        <v>19651</v>
      </c>
      <c r="C749" s="71" t="s">
        <v>509</v>
      </c>
      <c r="D749" s="79">
        <v>1</v>
      </c>
      <c r="E749" s="79">
        <v>406.63</v>
      </c>
      <c r="F749" s="79">
        <v>406.63</v>
      </c>
      <c r="G749" s="445"/>
      <c r="H749" s="178">
        <v>406.63</v>
      </c>
      <c r="I749" s="178">
        <v>500.16</v>
      </c>
      <c r="J749" s="70">
        <v>-93.53000000000003</v>
      </c>
      <c r="K749" s="320"/>
      <c r="L749" s="178">
        <v>30.259999999999998</v>
      </c>
      <c r="M749" s="178">
        <v>376.37</v>
      </c>
      <c r="N749" s="179">
        <v>0</v>
      </c>
      <c r="O749" s="178">
        <v>406.63</v>
      </c>
      <c r="P749" s="453"/>
      <c r="Q749" s="61"/>
      <c r="R749" s="298"/>
      <c r="S749" s="669"/>
      <c r="T749" s="444"/>
      <c r="X749" s="444">
        <v>749</v>
      </c>
    </row>
    <row r="750" spans="1:32" s="73" customFormat="1" ht="12">
      <c r="A750" s="83" t="s">
        <v>19652</v>
      </c>
      <c r="B750" s="64" t="s">
        <v>19653</v>
      </c>
      <c r="C750" s="71" t="s">
        <v>509</v>
      </c>
      <c r="D750" s="79">
        <v>1</v>
      </c>
      <c r="E750" s="79">
        <v>1084.8000000000002</v>
      </c>
      <c r="F750" s="79">
        <v>1084.8</v>
      </c>
      <c r="G750" s="445"/>
      <c r="H750" s="178">
        <v>1084.79</v>
      </c>
      <c r="I750" s="178">
        <v>1334.29</v>
      </c>
      <c r="J750" s="70">
        <v>-249.48999999999978</v>
      </c>
      <c r="K750" s="320"/>
      <c r="L750" s="178">
        <v>49.42</v>
      </c>
      <c r="M750" s="178">
        <v>1035.3800000000001</v>
      </c>
      <c r="N750" s="179">
        <v>0</v>
      </c>
      <c r="O750" s="178">
        <v>1084.8000000000002</v>
      </c>
      <c r="P750" s="453"/>
      <c r="Q750" s="61"/>
      <c r="R750" s="298"/>
      <c r="S750" s="669"/>
      <c r="T750" s="444"/>
      <c r="X750" s="444">
        <v>750</v>
      </c>
    </row>
    <row r="751" spans="1:32" s="73" customFormat="1" ht="12">
      <c r="A751" s="83" t="s">
        <v>19654</v>
      </c>
      <c r="B751" s="64" t="s">
        <v>19655</v>
      </c>
      <c r="C751" s="71" t="s">
        <v>509</v>
      </c>
      <c r="D751" s="79">
        <v>1</v>
      </c>
      <c r="E751" s="79">
        <v>226.28000000000003</v>
      </c>
      <c r="F751" s="79">
        <v>226.28</v>
      </c>
      <c r="G751" s="445"/>
      <c r="H751" s="178">
        <v>226.27</v>
      </c>
      <c r="I751" s="178">
        <v>278.31</v>
      </c>
      <c r="J751" s="70">
        <v>-52.029999999999973</v>
      </c>
      <c r="K751" s="320"/>
      <c r="L751" s="178">
        <v>39.540000000000006</v>
      </c>
      <c r="M751" s="178">
        <v>186.74</v>
      </c>
      <c r="N751" s="179">
        <v>0</v>
      </c>
      <c r="O751" s="178">
        <v>226.28000000000003</v>
      </c>
      <c r="P751" s="453"/>
      <c r="Q751" s="61"/>
      <c r="R751" s="298"/>
      <c r="S751" s="669"/>
      <c r="T751" s="444"/>
      <c r="X751" s="444">
        <v>751</v>
      </c>
    </row>
    <row r="752" spans="1:32" s="73" customFormat="1" ht="12">
      <c r="A752" s="83" t="s">
        <v>19656</v>
      </c>
      <c r="B752" s="64" t="s">
        <v>19657</v>
      </c>
      <c r="C752" s="71" t="s">
        <v>509</v>
      </c>
      <c r="D752" s="79">
        <v>1</v>
      </c>
      <c r="E752" s="79">
        <v>785.57</v>
      </c>
      <c r="F752" s="79">
        <v>785.57</v>
      </c>
      <c r="G752" s="445"/>
      <c r="H752" s="178">
        <v>785.57</v>
      </c>
      <c r="I752" s="178">
        <v>966.25</v>
      </c>
      <c r="J752" s="70">
        <v>-180.67999999999995</v>
      </c>
      <c r="K752" s="320"/>
      <c r="L752" s="178">
        <v>42</v>
      </c>
      <c r="M752" s="178">
        <v>743.57</v>
      </c>
      <c r="N752" s="179">
        <v>0</v>
      </c>
      <c r="O752" s="178">
        <v>785.57</v>
      </c>
      <c r="P752" s="453"/>
      <c r="Q752" s="61"/>
      <c r="R752" s="298"/>
      <c r="S752" s="669"/>
      <c r="T752" s="444"/>
      <c r="X752" s="444">
        <v>752</v>
      </c>
    </row>
    <row r="753" spans="1:32" s="73" customFormat="1" ht="12">
      <c r="A753" s="83" t="s">
        <v>19658</v>
      </c>
      <c r="B753" s="64" t="s">
        <v>19659</v>
      </c>
      <c r="C753" s="71" t="s">
        <v>509</v>
      </c>
      <c r="D753" s="79">
        <v>1</v>
      </c>
      <c r="E753" s="79">
        <v>749.55</v>
      </c>
      <c r="F753" s="79">
        <v>749.55</v>
      </c>
      <c r="G753" s="445"/>
      <c r="H753" s="178">
        <v>749.56</v>
      </c>
      <c r="I753" s="178">
        <v>921.96</v>
      </c>
      <c r="J753" s="70">
        <v>-172.41000000000008</v>
      </c>
      <c r="K753" s="320"/>
      <c r="L753" s="178">
        <v>27.17</v>
      </c>
      <c r="M753" s="178">
        <v>722.38</v>
      </c>
      <c r="N753" s="179">
        <v>0</v>
      </c>
      <c r="O753" s="178">
        <v>749.55</v>
      </c>
      <c r="P753" s="453"/>
      <c r="Q753" s="61"/>
      <c r="R753" s="298"/>
      <c r="S753" s="669"/>
      <c r="T753" s="444"/>
      <c r="X753" s="444">
        <v>753</v>
      </c>
    </row>
    <row r="754" spans="1:32" s="73" customFormat="1" ht="12">
      <c r="A754" s="83" t="s">
        <v>19660</v>
      </c>
      <c r="B754" s="64" t="s">
        <v>19661</v>
      </c>
      <c r="C754" s="71" t="s">
        <v>509</v>
      </c>
      <c r="D754" s="79">
        <v>1</v>
      </c>
      <c r="E754" s="79">
        <v>254.81</v>
      </c>
      <c r="F754" s="79">
        <v>254.81</v>
      </c>
      <c r="G754" s="445"/>
      <c r="H754" s="178">
        <v>254.81</v>
      </c>
      <c r="I754" s="178">
        <v>313.42</v>
      </c>
      <c r="J754" s="70">
        <v>-58.610000000000014</v>
      </c>
      <c r="K754" s="320"/>
      <c r="L754" s="178">
        <v>110.8</v>
      </c>
      <c r="M754" s="178">
        <v>144.01</v>
      </c>
      <c r="N754" s="179">
        <v>0</v>
      </c>
      <c r="O754" s="178">
        <v>254.81</v>
      </c>
      <c r="P754" s="453"/>
      <c r="Q754" s="61"/>
      <c r="R754" s="298"/>
      <c r="S754" s="669"/>
      <c r="T754" s="444"/>
      <c r="X754" s="444">
        <v>754</v>
      </c>
    </row>
    <row r="755" spans="1:32" s="73" customFormat="1" ht="12">
      <c r="A755" s="83" t="s">
        <v>19662</v>
      </c>
      <c r="B755" s="64" t="s">
        <v>19663</v>
      </c>
      <c r="C755" s="71" t="s">
        <v>509</v>
      </c>
      <c r="D755" s="79">
        <v>1</v>
      </c>
      <c r="E755" s="79">
        <v>377.05</v>
      </c>
      <c r="F755" s="79">
        <v>377.05</v>
      </c>
      <c r="G755" s="445"/>
      <c r="H755" s="178">
        <v>377.05</v>
      </c>
      <c r="I755" s="178">
        <v>463.77</v>
      </c>
      <c r="J755" s="70">
        <v>-86.71999999999997</v>
      </c>
      <c r="K755" s="320"/>
      <c r="L755" s="178">
        <v>110.8</v>
      </c>
      <c r="M755" s="178">
        <v>266.25</v>
      </c>
      <c r="N755" s="179">
        <v>0</v>
      </c>
      <c r="O755" s="178">
        <v>377.05</v>
      </c>
      <c r="P755" s="453"/>
      <c r="Q755" s="61"/>
      <c r="R755" s="298"/>
      <c r="S755" s="669"/>
      <c r="T755" s="444"/>
      <c r="X755" s="444">
        <v>755</v>
      </c>
    </row>
    <row r="756" spans="1:32" s="73" customFormat="1" ht="12">
      <c r="A756" s="83" t="s">
        <v>19664</v>
      </c>
      <c r="B756" s="64" t="s">
        <v>19665</v>
      </c>
      <c r="C756" s="71" t="s">
        <v>165</v>
      </c>
      <c r="D756" s="79">
        <v>1</v>
      </c>
      <c r="E756" s="79">
        <v>50.629999999999995</v>
      </c>
      <c r="F756" s="79">
        <v>50.63</v>
      </c>
      <c r="G756" s="445"/>
      <c r="H756" s="178">
        <v>50.62</v>
      </c>
      <c r="I756" s="178">
        <v>62.26</v>
      </c>
      <c r="J756" s="70">
        <v>-11.630000000000003</v>
      </c>
      <c r="K756" s="320"/>
      <c r="L756" s="178">
        <v>45.4</v>
      </c>
      <c r="M756" s="178">
        <v>5.2299999999999969</v>
      </c>
      <c r="N756" s="179">
        <v>0</v>
      </c>
      <c r="O756" s="178">
        <v>50.629999999999995</v>
      </c>
      <c r="P756" s="453"/>
      <c r="Q756" s="61"/>
      <c r="R756" s="298"/>
      <c r="S756" s="669"/>
      <c r="T756" s="444"/>
      <c r="U756" s="444"/>
      <c r="V756" s="444"/>
      <c r="W756" s="444"/>
      <c r="X756" s="444">
        <v>756</v>
      </c>
      <c r="Y756" s="444"/>
      <c r="Z756" s="444"/>
      <c r="AA756" s="444"/>
      <c r="AB756" s="444"/>
      <c r="AC756" s="444"/>
      <c r="AD756" s="444"/>
      <c r="AE756" s="444"/>
      <c r="AF756" s="444"/>
    </row>
    <row r="757" spans="1:32" s="73" customFormat="1" ht="12">
      <c r="A757" s="83" t="s">
        <v>19666</v>
      </c>
      <c r="B757" s="64" t="s">
        <v>19667</v>
      </c>
      <c r="C757" s="71" t="s">
        <v>103</v>
      </c>
      <c r="D757" s="79">
        <v>1</v>
      </c>
      <c r="E757" s="79">
        <v>44.179999999999993</v>
      </c>
      <c r="F757" s="79">
        <v>44.18</v>
      </c>
      <c r="G757" s="445"/>
      <c r="H757" s="178">
        <v>44.2</v>
      </c>
      <c r="I757" s="178">
        <v>54.36</v>
      </c>
      <c r="J757" s="70">
        <v>-10.180000000000007</v>
      </c>
      <c r="K757" s="320"/>
      <c r="L757" s="178">
        <v>41.599999999999994</v>
      </c>
      <c r="M757" s="178">
        <v>2.5799999999999983</v>
      </c>
      <c r="N757" s="179">
        <v>0</v>
      </c>
      <c r="O757" s="178">
        <v>44.179999999999993</v>
      </c>
      <c r="P757" s="453"/>
      <c r="Q757" s="61"/>
      <c r="R757" s="298"/>
      <c r="S757" s="669"/>
      <c r="T757" s="444"/>
      <c r="U757" s="444"/>
      <c r="V757" s="444"/>
      <c r="W757" s="444"/>
      <c r="X757" s="444">
        <v>757</v>
      </c>
      <c r="Y757" s="444"/>
      <c r="Z757" s="444"/>
      <c r="AA757" s="444"/>
      <c r="AB757" s="444"/>
      <c r="AC757" s="444"/>
      <c r="AD757" s="444"/>
      <c r="AE757" s="444"/>
      <c r="AF757" s="444"/>
    </row>
    <row r="758" spans="1:32" s="73" customFormat="1" ht="12">
      <c r="A758" s="83" t="s">
        <v>19668</v>
      </c>
      <c r="B758" s="64" t="s">
        <v>19669</v>
      </c>
      <c r="C758" s="71" t="s">
        <v>103</v>
      </c>
      <c r="D758" s="79">
        <v>1</v>
      </c>
      <c r="E758" s="79">
        <v>107.86</v>
      </c>
      <c r="F758" s="79">
        <v>107.86</v>
      </c>
      <c r="G758" s="445"/>
      <c r="H758" s="178">
        <v>107.86</v>
      </c>
      <c r="I758" s="178">
        <v>132.66999999999999</v>
      </c>
      <c r="J758" s="70">
        <v>-24.809999999999988</v>
      </c>
      <c r="K758" s="320"/>
      <c r="L758" s="178">
        <v>18.91</v>
      </c>
      <c r="M758" s="178">
        <v>88.95</v>
      </c>
      <c r="N758" s="179">
        <v>0</v>
      </c>
      <c r="O758" s="178">
        <v>107.86</v>
      </c>
      <c r="P758" s="453"/>
      <c r="Q758" s="61"/>
      <c r="R758" s="298"/>
      <c r="S758" s="669"/>
      <c r="T758" s="444"/>
      <c r="U758" s="444"/>
      <c r="V758" s="444"/>
      <c r="W758" s="444"/>
      <c r="X758" s="444">
        <v>758</v>
      </c>
      <c r="Y758" s="444"/>
      <c r="Z758" s="444"/>
      <c r="AA758" s="444"/>
      <c r="AB758" s="444"/>
      <c r="AC758" s="444"/>
      <c r="AD758" s="444"/>
      <c r="AE758" s="444"/>
      <c r="AF758" s="444"/>
    </row>
    <row r="759" spans="1:32" s="73" customFormat="1" ht="12">
      <c r="A759" s="83" t="s">
        <v>19670</v>
      </c>
      <c r="B759" s="64" t="s">
        <v>19671</v>
      </c>
      <c r="C759" s="71" t="s">
        <v>103</v>
      </c>
      <c r="D759" s="79">
        <v>1</v>
      </c>
      <c r="E759" s="79">
        <v>46.36</v>
      </c>
      <c r="F759" s="79">
        <v>46.36</v>
      </c>
      <c r="G759" s="445"/>
      <c r="H759" s="178">
        <v>46.36</v>
      </c>
      <c r="I759" s="178">
        <v>57.02</v>
      </c>
      <c r="J759" s="70">
        <v>-10.660000000000004</v>
      </c>
      <c r="K759" s="320"/>
      <c r="L759" s="178">
        <v>18.91</v>
      </c>
      <c r="M759" s="178">
        <v>27.45</v>
      </c>
      <c r="N759" s="179">
        <v>0</v>
      </c>
      <c r="O759" s="178">
        <v>46.36</v>
      </c>
      <c r="P759" s="453"/>
      <c r="Q759" s="61"/>
      <c r="R759" s="298"/>
      <c r="S759" s="669"/>
      <c r="T759" s="444"/>
      <c r="U759" s="444"/>
      <c r="V759" s="444"/>
      <c r="W759" s="444"/>
      <c r="X759" s="444">
        <v>759</v>
      </c>
      <c r="Y759" s="444"/>
      <c r="Z759" s="444"/>
      <c r="AA759" s="444"/>
      <c r="AB759" s="444"/>
      <c r="AC759" s="444"/>
      <c r="AD759" s="444"/>
      <c r="AE759" s="444"/>
      <c r="AF759" s="444"/>
    </row>
    <row r="760" spans="1:32" s="73" customFormat="1" ht="12">
      <c r="A760" s="83" t="s">
        <v>19672</v>
      </c>
      <c r="B760" s="64" t="s">
        <v>19673</v>
      </c>
      <c r="C760" s="71" t="s">
        <v>509</v>
      </c>
      <c r="D760" s="79">
        <v>1</v>
      </c>
      <c r="E760" s="79">
        <v>12.120000000000001</v>
      </c>
      <c r="F760" s="79">
        <v>12.12</v>
      </c>
      <c r="G760" s="445"/>
      <c r="H760" s="178">
        <v>12.11</v>
      </c>
      <c r="I760" s="178">
        <v>14.9</v>
      </c>
      <c r="J760" s="70">
        <v>-2.7799999999999994</v>
      </c>
      <c r="K760" s="320"/>
      <c r="L760" s="178">
        <v>9.08</v>
      </c>
      <c r="M760" s="178">
        <v>3.0400000000000009</v>
      </c>
      <c r="N760" s="179">
        <v>0</v>
      </c>
      <c r="O760" s="178">
        <v>12.120000000000001</v>
      </c>
      <c r="P760" s="453"/>
      <c r="Q760" s="61"/>
      <c r="R760" s="298"/>
      <c r="S760" s="669"/>
      <c r="T760" s="444"/>
      <c r="U760" s="444"/>
      <c r="V760" s="444"/>
      <c r="W760" s="444"/>
      <c r="X760" s="444">
        <v>760</v>
      </c>
      <c r="Y760" s="444"/>
      <c r="Z760" s="444"/>
      <c r="AA760" s="444"/>
      <c r="AB760" s="444"/>
      <c r="AC760" s="444"/>
      <c r="AD760" s="444"/>
      <c r="AE760" s="444"/>
      <c r="AF760" s="444"/>
    </row>
    <row r="761" spans="1:32" s="73" customFormat="1" ht="12">
      <c r="A761" s="83" t="s">
        <v>19674</v>
      </c>
      <c r="B761" s="64" t="s">
        <v>19675</v>
      </c>
      <c r="C761" s="71" t="s">
        <v>207</v>
      </c>
      <c r="D761" s="79">
        <v>1</v>
      </c>
      <c r="E761" s="79">
        <v>62.75</v>
      </c>
      <c r="F761" s="79">
        <v>62.75</v>
      </c>
      <c r="G761" s="445"/>
      <c r="H761" s="178">
        <v>62.75</v>
      </c>
      <c r="I761" s="178">
        <v>77.180000000000007</v>
      </c>
      <c r="J761" s="70">
        <v>-14.430000000000007</v>
      </c>
      <c r="K761" s="320"/>
      <c r="L761" s="178"/>
      <c r="M761" s="178">
        <v>62.75</v>
      </c>
      <c r="N761" s="179">
        <v>0</v>
      </c>
      <c r="O761" s="178">
        <v>62.75</v>
      </c>
      <c r="P761" s="453"/>
      <c r="Q761" s="61"/>
      <c r="R761" s="298"/>
      <c r="S761" s="669"/>
      <c r="T761" s="444"/>
      <c r="U761" s="444"/>
      <c r="V761" s="444"/>
      <c r="W761" s="444"/>
      <c r="X761" s="444">
        <v>761</v>
      </c>
      <c r="Y761" s="444"/>
      <c r="Z761" s="444"/>
      <c r="AA761" s="444"/>
      <c r="AB761" s="444"/>
      <c r="AC761" s="444"/>
      <c r="AD761" s="444"/>
      <c r="AE761" s="444"/>
      <c r="AF761" s="444"/>
    </row>
    <row r="762" spans="1:32" s="73" customFormat="1" ht="12">
      <c r="A762" s="83" t="s">
        <v>19676</v>
      </c>
      <c r="B762" s="64" t="s">
        <v>19677</v>
      </c>
      <c r="C762" s="71" t="s">
        <v>509</v>
      </c>
      <c r="D762" s="79">
        <v>1</v>
      </c>
      <c r="E762" s="79">
        <v>1068.56</v>
      </c>
      <c r="F762" s="79">
        <v>1068.56</v>
      </c>
      <c r="G762" s="445"/>
      <c r="H762" s="178">
        <v>1068.55</v>
      </c>
      <c r="I762" s="178">
        <v>1314.32</v>
      </c>
      <c r="J762" s="70">
        <v>-245.76</v>
      </c>
      <c r="K762" s="320"/>
      <c r="L762" s="178">
        <v>49.42</v>
      </c>
      <c r="M762" s="178">
        <v>1019.14</v>
      </c>
      <c r="N762" s="179">
        <v>0</v>
      </c>
      <c r="O762" s="178">
        <v>1068.56</v>
      </c>
      <c r="P762" s="453"/>
      <c r="Q762" s="61"/>
      <c r="R762" s="298"/>
      <c r="S762" s="669"/>
      <c r="T762" s="444"/>
      <c r="U762" s="444"/>
      <c r="V762" s="444"/>
      <c r="W762" s="444"/>
      <c r="X762" s="444">
        <v>762</v>
      </c>
      <c r="Y762" s="444"/>
      <c r="Z762" s="444"/>
      <c r="AA762" s="444"/>
      <c r="AB762" s="444"/>
      <c r="AC762" s="444"/>
      <c r="AD762" s="444"/>
      <c r="AE762" s="444"/>
      <c r="AF762" s="444"/>
    </row>
    <row r="763" spans="1:32" s="73" customFormat="1" ht="12">
      <c r="A763" s="83" t="s">
        <v>19678</v>
      </c>
      <c r="B763" s="64" t="s">
        <v>19679</v>
      </c>
      <c r="C763" s="71" t="s">
        <v>509</v>
      </c>
      <c r="D763" s="79">
        <v>1</v>
      </c>
      <c r="E763" s="79">
        <v>406.48</v>
      </c>
      <c r="F763" s="79">
        <v>406.48</v>
      </c>
      <c r="G763" s="445"/>
      <c r="H763" s="178">
        <v>406.47</v>
      </c>
      <c r="I763" s="178">
        <v>499.96</v>
      </c>
      <c r="J763" s="70">
        <v>-93.479999999999961</v>
      </c>
      <c r="K763" s="320"/>
      <c r="L763" s="178">
        <v>64.25</v>
      </c>
      <c r="M763" s="178">
        <v>342.23</v>
      </c>
      <c r="N763" s="179">
        <v>0</v>
      </c>
      <c r="O763" s="178">
        <v>406.48</v>
      </c>
      <c r="P763" s="453"/>
      <c r="Q763" s="61"/>
      <c r="R763" s="298"/>
      <c r="S763" s="669"/>
      <c r="T763" s="444"/>
      <c r="U763" s="444"/>
      <c r="V763" s="444"/>
      <c r="W763" s="444"/>
      <c r="X763" s="444">
        <v>763</v>
      </c>
      <c r="Y763" s="444"/>
      <c r="Z763" s="444"/>
      <c r="AA763" s="444"/>
      <c r="AB763" s="444"/>
      <c r="AC763" s="444"/>
      <c r="AD763" s="444"/>
      <c r="AE763" s="444"/>
      <c r="AF763" s="444"/>
    </row>
    <row r="764" spans="1:32" s="73" customFormat="1" ht="12">
      <c r="A764" s="83" t="s">
        <v>19680</v>
      </c>
      <c r="B764" s="64" t="s">
        <v>19681</v>
      </c>
      <c r="C764" s="71" t="s">
        <v>509</v>
      </c>
      <c r="D764" s="79">
        <v>1</v>
      </c>
      <c r="E764" s="79">
        <v>763.26</v>
      </c>
      <c r="F764" s="79">
        <v>763.26</v>
      </c>
      <c r="G764" s="445"/>
      <c r="H764" s="178">
        <v>763.25</v>
      </c>
      <c r="I764" s="178">
        <v>938.8</v>
      </c>
      <c r="J764" s="70">
        <v>-175.53999999999996</v>
      </c>
      <c r="K764" s="320"/>
      <c r="L764" s="178">
        <v>30.259999999999998</v>
      </c>
      <c r="M764" s="178">
        <v>733</v>
      </c>
      <c r="N764" s="179">
        <v>0</v>
      </c>
      <c r="O764" s="178">
        <v>763.26</v>
      </c>
      <c r="P764" s="453"/>
      <c r="Q764" s="61"/>
      <c r="R764" s="298"/>
      <c r="S764" s="669"/>
      <c r="T764" s="444"/>
      <c r="U764" s="444"/>
      <c r="V764" s="444"/>
      <c r="W764" s="444"/>
      <c r="X764" s="444">
        <v>764</v>
      </c>
      <c r="Y764" s="444"/>
      <c r="Z764" s="444"/>
      <c r="AA764" s="444"/>
      <c r="AB764" s="444"/>
      <c r="AC764" s="444"/>
      <c r="AD764" s="444"/>
      <c r="AE764" s="444"/>
      <c r="AF764" s="444"/>
    </row>
    <row r="765" spans="1:32" s="73" customFormat="1" ht="12">
      <c r="A765" s="83" t="s">
        <v>19682</v>
      </c>
      <c r="B765" s="64" t="s">
        <v>19683</v>
      </c>
      <c r="C765" s="71" t="s">
        <v>509</v>
      </c>
      <c r="D765" s="79">
        <v>1</v>
      </c>
      <c r="E765" s="79">
        <v>1555.93</v>
      </c>
      <c r="F765" s="79">
        <v>1555.93</v>
      </c>
      <c r="G765" s="445"/>
      <c r="H765" s="178">
        <v>1555.92</v>
      </c>
      <c r="I765" s="178">
        <v>1913.78</v>
      </c>
      <c r="J765" s="70">
        <v>-357.84999999999991</v>
      </c>
      <c r="K765" s="320"/>
      <c r="L765" s="178">
        <v>64.25</v>
      </c>
      <c r="M765" s="178">
        <v>1491.68</v>
      </c>
      <c r="N765" s="179">
        <v>0</v>
      </c>
      <c r="O765" s="178">
        <v>1555.93</v>
      </c>
      <c r="P765" s="453"/>
      <c r="Q765" s="61"/>
      <c r="R765" s="298"/>
      <c r="S765" s="669"/>
      <c r="T765" s="444"/>
      <c r="U765" s="444"/>
      <c r="V765" s="444"/>
      <c r="W765" s="444"/>
      <c r="X765" s="444">
        <v>765</v>
      </c>
      <c r="Y765" s="444"/>
      <c r="Z765" s="444"/>
      <c r="AA765" s="444"/>
      <c r="AB765" s="444"/>
      <c r="AC765" s="444"/>
      <c r="AD765" s="444"/>
      <c r="AE765" s="444"/>
      <c r="AF765" s="444"/>
    </row>
    <row r="766" spans="1:32" ht="12">
      <c r="A766" s="83" t="s">
        <v>19684</v>
      </c>
      <c r="B766" s="64" t="s">
        <v>19685</v>
      </c>
      <c r="C766" s="71" t="s">
        <v>165</v>
      </c>
      <c r="D766" s="79">
        <v>1</v>
      </c>
      <c r="E766" s="79">
        <v>59.35</v>
      </c>
      <c r="F766" s="79">
        <v>59.35</v>
      </c>
      <c r="G766" s="445"/>
      <c r="H766" s="178">
        <v>59.34</v>
      </c>
      <c r="I766" s="178">
        <v>72.989999999999995</v>
      </c>
      <c r="J766" s="70">
        <v>-13.639999999999993</v>
      </c>
      <c r="K766" s="320"/>
      <c r="L766" s="178">
        <v>45.4</v>
      </c>
      <c r="M766" s="178">
        <v>13.950000000000003</v>
      </c>
      <c r="N766" s="179">
        <v>0</v>
      </c>
      <c r="O766" s="178">
        <v>59.35</v>
      </c>
      <c r="P766" s="453"/>
      <c r="Q766" s="61"/>
      <c r="R766" s="298"/>
      <c r="S766" s="669"/>
      <c r="U766" s="69"/>
      <c r="V766" s="69"/>
      <c r="W766" s="69"/>
      <c r="X766" s="444">
        <v>766</v>
      </c>
      <c r="Y766" s="69"/>
      <c r="Z766" s="69"/>
      <c r="AA766" s="69"/>
      <c r="AB766" s="69"/>
      <c r="AC766" s="69"/>
      <c r="AD766" s="69"/>
      <c r="AE766" s="69"/>
      <c r="AF766" s="69"/>
    </row>
    <row r="767" spans="1:32" ht="12">
      <c r="A767" s="83" t="s">
        <v>19686</v>
      </c>
      <c r="B767" s="64" t="s">
        <v>19687</v>
      </c>
      <c r="C767" s="71" t="s">
        <v>103</v>
      </c>
      <c r="D767" s="79">
        <v>1</v>
      </c>
      <c r="E767" s="79">
        <v>35.14</v>
      </c>
      <c r="F767" s="79">
        <v>35.14</v>
      </c>
      <c r="G767" s="445"/>
      <c r="H767" s="178">
        <v>35.130000000000003</v>
      </c>
      <c r="I767" s="178">
        <v>43.21</v>
      </c>
      <c r="J767" s="70">
        <v>-8.07</v>
      </c>
      <c r="K767" s="320"/>
      <c r="L767" s="178">
        <v>7.57</v>
      </c>
      <c r="M767" s="178">
        <v>27.57</v>
      </c>
      <c r="N767" s="179">
        <v>0</v>
      </c>
      <c r="O767" s="178">
        <v>35.14</v>
      </c>
      <c r="P767" s="453"/>
      <c r="Q767" s="61"/>
      <c r="R767" s="298"/>
      <c r="S767" s="669"/>
      <c r="U767" s="69"/>
      <c r="V767" s="69"/>
      <c r="W767" s="69"/>
      <c r="X767" s="444">
        <v>767</v>
      </c>
      <c r="Y767" s="69"/>
      <c r="Z767" s="69"/>
      <c r="AA767" s="69"/>
      <c r="AB767" s="69"/>
      <c r="AC767" s="69"/>
      <c r="AD767" s="69"/>
      <c r="AE767" s="69"/>
      <c r="AF767" s="69"/>
    </row>
    <row r="768" spans="1:32" ht="12">
      <c r="A768" s="83" t="s">
        <v>19688</v>
      </c>
      <c r="B768" s="64" t="s">
        <v>19689</v>
      </c>
      <c r="C768" s="71" t="s">
        <v>10216</v>
      </c>
      <c r="D768" s="79">
        <v>1</v>
      </c>
      <c r="E768" s="79">
        <v>577.26</v>
      </c>
      <c r="F768" s="79">
        <v>577.26</v>
      </c>
      <c r="G768" s="445"/>
      <c r="H768" s="178">
        <v>577.25</v>
      </c>
      <c r="I768" s="178">
        <v>710.02</v>
      </c>
      <c r="J768" s="70">
        <v>-132.76</v>
      </c>
      <c r="K768" s="320"/>
      <c r="L768" s="178"/>
      <c r="M768" s="178">
        <v>577.26</v>
      </c>
      <c r="N768" s="179">
        <v>0</v>
      </c>
      <c r="O768" s="178">
        <v>577.26</v>
      </c>
      <c r="P768" s="453"/>
      <c r="Q768" s="61"/>
      <c r="R768" s="298"/>
      <c r="S768" s="669"/>
      <c r="U768" s="69"/>
      <c r="V768" s="69"/>
      <c r="W768" s="69"/>
      <c r="X768" s="444">
        <v>768</v>
      </c>
      <c r="Y768" s="69"/>
      <c r="Z768" s="69"/>
      <c r="AA768" s="69"/>
      <c r="AB768" s="69"/>
      <c r="AC768" s="69"/>
      <c r="AD768" s="69"/>
      <c r="AE768" s="69"/>
      <c r="AF768" s="69"/>
    </row>
    <row r="769" spans="1:32" ht="12">
      <c r="A769" s="83" t="s">
        <v>39627</v>
      </c>
      <c r="B769" s="64" t="s">
        <v>39628</v>
      </c>
      <c r="C769" s="71"/>
      <c r="D769" s="79" t="s">
        <v>40899</v>
      </c>
      <c r="E769" s="79" t="s">
        <v>40899</v>
      </c>
      <c r="F769" s="79"/>
      <c r="G769" s="445"/>
      <c r="H769" s="178"/>
      <c r="I769" s="178"/>
      <c r="J769" s="70"/>
      <c r="K769" s="320"/>
      <c r="L769" s="178"/>
      <c r="M769" s="178"/>
      <c r="N769" s="179"/>
      <c r="O769" s="178"/>
      <c r="P769" s="453"/>
      <c r="Q769" s="61"/>
      <c r="R769" s="298"/>
      <c r="S769" s="669"/>
      <c r="U769" s="69"/>
      <c r="V769" s="69"/>
      <c r="W769" s="69"/>
      <c r="X769" s="444">
        <v>769</v>
      </c>
      <c r="Y769" s="69"/>
      <c r="Z769" s="69"/>
      <c r="AA769" s="69"/>
      <c r="AB769" s="69"/>
      <c r="AC769" s="69"/>
      <c r="AD769" s="69"/>
      <c r="AE769" s="69"/>
      <c r="AF769" s="69"/>
    </row>
    <row r="770" spans="1:32" ht="12">
      <c r="A770" s="83" t="s">
        <v>11507</v>
      </c>
      <c r="B770" s="64" t="s">
        <v>39629</v>
      </c>
      <c r="C770" s="71"/>
      <c r="D770" s="79" t="s">
        <v>40899</v>
      </c>
      <c r="E770" s="79" t="s">
        <v>40899</v>
      </c>
      <c r="F770" s="79"/>
      <c r="G770" s="445"/>
      <c r="H770" s="178"/>
      <c r="I770" s="178"/>
      <c r="J770" s="70"/>
      <c r="K770" s="320"/>
      <c r="L770" s="178"/>
      <c r="M770" s="178"/>
      <c r="N770" s="179"/>
      <c r="O770" s="178"/>
      <c r="P770" s="453"/>
      <c r="Q770" s="61"/>
      <c r="R770" s="298"/>
      <c r="S770" s="669"/>
      <c r="U770" s="69"/>
      <c r="V770" s="69"/>
      <c r="W770" s="69"/>
      <c r="X770" s="444">
        <v>770</v>
      </c>
      <c r="Y770" s="69"/>
      <c r="Z770" s="69"/>
      <c r="AA770" s="69"/>
      <c r="AB770" s="69"/>
      <c r="AC770" s="69"/>
      <c r="AD770" s="69"/>
      <c r="AE770" s="69"/>
      <c r="AF770" s="69"/>
    </row>
    <row r="771" spans="1:32" ht="12">
      <c r="A771" s="83" t="s">
        <v>19690</v>
      </c>
      <c r="B771" s="64" t="s">
        <v>19691</v>
      </c>
      <c r="C771" s="71" t="s">
        <v>509</v>
      </c>
      <c r="D771" s="79">
        <v>1</v>
      </c>
      <c r="E771" s="79">
        <v>173.15000000000003</v>
      </c>
      <c r="F771" s="79">
        <v>173.15</v>
      </c>
      <c r="G771" s="445"/>
      <c r="H771" s="178">
        <v>173.13</v>
      </c>
      <c r="I771" s="178">
        <v>212.95</v>
      </c>
      <c r="J771" s="70">
        <v>-39.799999999999955</v>
      </c>
      <c r="K771" s="320"/>
      <c r="L771" s="178">
        <v>64.11</v>
      </c>
      <c r="M771" s="178">
        <v>109.04000000000003</v>
      </c>
      <c r="N771" s="179">
        <v>0</v>
      </c>
      <c r="O771" s="178">
        <v>173.15000000000003</v>
      </c>
      <c r="P771" s="453"/>
      <c r="Q771" s="61"/>
      <c r="R771" s="298"/>
      <c r="S771" s="669"/>
      <c r="U771" s="69"/>
      <c r="V771" s="69"/>
      <c r="W771" s="69"/>
      <c r="X771" s="444">
        <v>771</v>
      </c>
      <c r="Y771" s="69"/>
      <c r="Z771" s="69"/>
      <c r="AA771" s="69"/>
      <c r="AB771" s="69"/>
      <c r="AC771" s="69"/>
      <c r="AD771" s="69"/>
      <c r="AE771" s="69"/>
      <c r="AF771" s="69"/>
    </row>
    <row r="772" spans="1:32" ht="12">
      <c r="A772" s="83" t="s">
        <v>19692</v>
      </c>
      <c r="B772" s="64" t="s">
        <v>19693</v>
      </c>
      <c r="C772" s="71" t="s">
        <v>509</v>
      </c>
      <c r="D772" s="79">
        <v>1</v>
      </c>
      <c r="E772" s="79">
        <v>183.47</v>
      </c>
      <c r="F772" s="79">
        <v>183.47</v>
      </c>
      <c r="G772" s="445"/>
      <c r="H772" s="178">
        <v>183.46</v>
      </c>
      <c r="I772" s="178">
        <v>225.66</v>
      </c>
      <c r="J772" s="70">
        <v>-42.19</v>
      </c>
      <c r="K772" s="320"/>
      <c r="L772" s="178">
        <v>66.67</v>
      </c>
      <c r="M772" s="178">
        <v>116.8</v>
      </c>
      <c r="N772" s="179">
        <v>0</v>
      </c>
      <c r="O772" s="178">
        <v>183.47</v>
      </c>
      <c r="P772" s="453"/>
      <c r="Q772" s="61"/>
      <c r="R772" s="298"/>
      <c r="S772" s="669"/>
      <c r="U772" s="69"/>
      <c r="V772" s="69"/>
      <c r="W772" s="69"/>
      <c r="X772" s="444">
        <v>772</v>
      </c>
      <c r="Y772" s="69"/>
      <c r="Z772" s="69"/>
      <c r="AA772" s="69"/>
      <c r="AB772" s="69"/>
      <c r="AC772" s="69"/>
      <c r="AD772" s="69"/>
      <c r="AE772" s="69"/>
      <c r="AF772" s="69"/>
    </row>
    <row r="773" spans="1:32" ht="12">
      <c r="A773" s="83" t="s">
        <v>19694</v>
      </c>
      <c r="B773" s="64" t="s">
        <v>19695</v>
      </c>
      <c r="C773" s="71" t="s">
        <v>509</v>
      </c>
      <c r="D773" s="79">
        <v>1</v>
      </c>
      <c r="E773" s="79">
        <v>193.78</v>
      </c>
      <c r="F773" s="79">
        <v>193.78</v>
      </c>
      <c r="G773" s="445"/>
      <c r="H773" s="178">
        <v>193.79</v>
      </c>
      <c r="I773" s="178">
        <v>238.36</v>
      </c>
      <c r="J773" s="70">
        <v>-44.580000000000013</v>
      </c>
      <c r="K773" s="320"/>
      <c r="L773" s="178">
        <v>69.22</v>
      </c>
      <c r="M773" s="178">
        <v>124.56</v>
      </c>
      <c r="N773" s="179">
        <v>0</v>
      </c>
      <c r="O773" s="178">
        <v>193.78</v>
      </c>
      <c r="P773" s="453"/>
      <c r="Q773" s="61"/>
      <c r="R773" s="298"/>
      <c r="S773" s="669"/>
      <c r="U773" s="69"/>
      <c r="V773" s="69"/>
      <c r="W773" s="69"/>
      <c r="X773" s="444">
        <v>773</v>
      </c>
      <c r="Y773" s="69"/>
      <c r="Z773" s="69"/>
      <c r="AA773" s="69"/>
      <c r="AB773" s="69"/>
      <c r="AC773" s="69"/>
      <c r="AD773" s="69"/>
      <c r="AE773" s="69"/>
      <c r="AF773" s="69"/>
    </row>
    <row r="774" spans="1:32" ht="12">
      <c r="A774" s="83" t="s">
        <v>19696</v>
      </c>
      <c r="B774" s="64" t="s">
        <v>19697</v>
      </c>
      <c r="C774" s="71" t="s">
        <v>509</v>
      </c>
      <c r="D774" s="79">
        <v>1</v>
      </c>
      <c r="E774" s="79">
        <v>210.87</v>
      </c>
      <c r="F774" s="79">
        <v>210.87</v>
      </c>
      <c r="G774" s="445"/>
      <c r="H774" s="178">
        <v>210.88</v>
      </c>
      <c r="I774" s="178">
        <v>259.38</v>
      </c>
      <c r="J774" s="70">
        <v>-48.509999999999991</v>
      </c>
      <c r="K774" s="320"/>
      <c r="L774" s="178">
        <v>74.349999999999994</v>
      </c>
      <c r="M774" s="178">
        <v>136.52000000000001</v>
      </c>
      <c r="N774" s="179">
        <v>0</v>
      </c>
      <c r="O774" s="178">
        <v>210.87</v>
      </c>
      <c r="P774" s="453"/>
      <c r="Q774" s="61"/>
      <c r="R774" s="298"/>
      <c r="S774" s="669"/>
      <c r="U774" s="69"/>
      <c r="V774" s="69"/>
      <c r="W774" s="69"/>
      <c r="X774" s="444">
        <v>774</v>
      </c>
      <c r="Y774" s="69"/>
      <c r="Z774" s="69"/>
      <c r="AA774" s="69"/>
      <c r="AB774" s="69"/>
      <c r="AC774" s="69"/>
      <c r="AD774" s="69"/>
      <c r="AE774" s="69"/>
      <c r="AF774" s="69"/>
    </row>
    <row r="775" spans="1:32" ht="12">
      <c r="A775" s="83" t="s">
        <v>11509</v>
      </c>
      <c r="B775" s="64" t="s">
        <v>19698</v>
      </c>
      <c r="C775" s="71" t="s">
        <v>509</v>
      </c>
      <c r="D775" s="79">
        <v>1</v>
      </c>
      <c r="E775" s="79">
        <v>125.46</v>
      </c>
      <c r="F775" s="79">
        <v>125.46</v>
      </c>
      <c r="G775" s="445"/>
      <c r="H775" s="178">
        <v>125.44</v>
      </c>
      <c r="I775" s="178">
        <v>154.29</v>
      </c>
      <c r="J775" s="70">
        <v>-28.83</v>
      </c>
      <c r="K775" s="320"/>
      <c r="L775" s="178">
        <v>48.730000000000004</v>
      </c>
      <c r="M775" s="178">
        <v>76.72999999999999</v>
      </c>
      <c r="N775" s="179">
        <v>0</v>
      </c>
      <c r="O775" s="178">
        <v>125.46</v>
      </c>
      <c r="P775" s="453"/>
      <c r="Q775" s="61"/>
      <c r="R775" s="298"/>
      <c r="S775" s="669"/>
      <c r="U775" s="69"/>
      <c r="V775" s="69"/>
      <c r="W775" s="69"/>
      <c r="X775" s="444">
        <v>775</v>
      </c>
      <c r="Y775" s="69"/>
      <c r="Z775" s="69"/>
      <c r="AA775" s="69"/>
      <c r="AB775" s="69"/>
      <c r="AC775" s="69"/>
      <c r="AD775" s="69"/>
      <c r="AE775" s="69"/>
      <c r="AF775" s="69"/>
    </row>
    <row r="776" spans="1:32" s="69" customFormat="1" ht="12">
      <c r="A776" s="83" t="s">
        <v>19699</v>
      </c>
      <c r="B776" s="64" t="s">
        <v>19700</v>
      </c>
      <c r="C776" s="71" t="s">
        <v>509</v>
      </c>
      <c r="D776" s="79">
        <v>1</v>
      </c>
      <c r="E776" s="79">
        <v>135.76999999999998</v>
      </c>
      <c r="F776" s="79">
        <v>135.77000000000001</v>
      </c>
      <c r="G776" s="445"/>
      <c r="H776" s="178">
        <v>135.77000000000001</v>
      </c>
      <c r="I776" s="178">
        <v>167</v>
      </c>
      <c r="J776" s="70">
        <v>-31.230000000000018</v>
      </c>
      <c r="K776" s="320"/>
      <c r="L776" s="178">
        <v>51.28</v>
      </c>
      <c r="M776" s="178">
        <v>84.489999999999981</v>
      </c>
      <c r="N776" s="179">
        <v>0</v>
      </c>
      <c r="O776" s="178">
        <v>135.76999999999998</v>
      </c>
      <c r="P776" s="453"/>
      <c r="Q776" s="61"/>
      <c r="R776" s="298"/>
      <c r="S776" s="669"/>
      <c r="T776" s="444"/>
      <c r="X776" s="444">
        <v>776</v>
      </c>
    </row>
    <row r="777" spans="1:32" s="69" customFormat="1" ht="12">
      <c r="A777" s="83" t="s">
        <v>19701</v>
      </c>
      <c r="B777" s="64" t="s">
        <v>19702</v>
      </c>
      <c r="C777" s="71" t="s">
        <v>509</v>
      </c>
      <c r="D777" s="79">
        <v>1</v>
      </c>
      <c r="E777" s="79">
        <v>146.09</v>
      </c>
      <c r="F777" s="79">
        <v>146.09</v>
      </c>
      <c r="G777" s="445"/>
      <c r="H777" s="178">
        <v>146.1</v>
      </c>
      <c r="I777" s="178">
        <v>179.7</v>
      </c>
      <c r="J777" s="70">
        <v>-33.609999999999985</v>
      </c>
      <c r="K777" s="320"/>
      <c r="L777" s="178">
        <v>53.84</v>
      </c>
      <c r="M777" s="178">
        <v>92.25</v>
      </c>
      <c r="N777" s="179">
        <v>0</v>
      </c>
      <c r="O777" s="178">
        <v>146.09</v>
      </c>
      <c r="P777" s="453"/>
      <c r="Q777" s="61"/>
      <c r="R777" s="298"/>
      <c r="S777" s="669"/>
      <c r="T777" s="444"/>
      <c r="X777" s="444">
        <v>777</v>
      </c>
    </row>
    <row r="778" spans="1:32" s="69" customFormat="1" ht="12">
      <c r="A778" s="83" t="s">
        <v>19703</v>
      </c>
      <c r="B778" s="64" t="s">
        <v>19704</v>
      </c>
      <c r="C778" s="71" t="s">
        <v>509</v>
      </c>
      <c r="D778" s="79">
        <v>1</v>
      </c>
      <c r="E778" s="79">
        <v>159.60999999999999</v>
      </c>
      <c r="F778" s="79">
        <v>159.61000000000001</v>
      </c>
      <c r="G778" s="445"/>
      <c r="H778" s="178">
        <v>159.62</v>
      </c>
      <c r="I778" s="178">
        <v>196.33</v>
      </c>
      <c r="J778" s="70">
        <v>-36.720000000000027</v>
      </c>
      <c r="K778" s="320"/>
      <c r="L778" s="178">
        <v>58.96</v>
      </c>
      <c r="M778" s="178">
        <v>100.64999999999998</v>
      </c>
      <c r="N778" s="179">
        <v>0</v>
      </c>
      <c r="O778" s="178">
        <v>159.60999999999999</v>
      </c>
      <c r="P778" s="453"/>
      <c r="Q778" s="61"/>
      <c r="R778" s="298"/>
      <c r="S778" s="669"/>
      <c r="T778" s="444"/>
      <c r="X778" s="444">
        <v>778</v>
      </c>
    </row>
    <row r="779" spans="1:32" s="69" customFormat="1" ht="12">
      <c r="A779" s="83" t="s">
        <v>19705</v>
      </c>
      <c r="B779" s="64" t="s">
        <v>19706</v>
      </c>
      <c r="C779" s="71" t="s">
        <v>509</v>
      </c>
      <c r="D779" s="79">
        <v>1</v>
      </c>
      <c r="E779" s="79">
        <v>94.59</v>
      </c>
      <c r="F779" s="79">
        <v>94.59</v>
      </c>
      <c r="G779" s="445"/>
      <c r="H779" s="178">
        <v>94.58</v>
      </c>
      <c r="I779" s="178">
        <v>116.33</v>
      </c>
      <c r="J779" s="70">
        <v>-21.739999999999995</v>
      </c>
      <c r="K779" s="320"/>
      <c r="L779" s="178">
        <v>33.340000000000003</v>
      </c>
      <c r="M779" s="178">
        <v>61.25</v>
      </c>
      <c r="N779" s="179">
        <v>0</v>
      </c>
      <c r="O779" s="178">
        <v>94.59</v>
      </c>
      <c r="P779" s="453"/>
      <c r="Q779" s="61"/>
      <c r="R779" s="298"/>
      <c r="S779" s="669"/>
      <c r="T779" s="444"/>
      <c r="X779" s="444">
        <v>779</v>
      </c>
    </row>
    <row r="780" spans="1:32" s="69" customFormat="1" ht="12">
      <c r="A780" s="83" t="s">
        <v>19707</v>
      </c>
      <c r="B780" s="64" t="s">
        <v>19708</v>
      </c>
      <c r="C780" s="71" t="s">
        <v>509</v>
      </c>
      <c r="D780" s="79">
        <v>1</v>
      </c>
      <c r="E780" s="79">
        <v>28.46</v>
      </c>
      <c r="F780" s="79">
        <v>28.46</v>
      </c>
      <c r="G780" s="445"/>
      <c r="H780" s="178">
        <v>28.46</v>
      </c>
      <c r="I780" s="178">
        <v>35</v>
      </c>
      <c r="J780" s="70">
        <v>-6.5399999999999991</v>
      </c>
      <c r="K780" s="320"/>
      <c r="L780" s="178">
        <v>6.5500000000000007</v>
      </c>
      <c r="M780" s="178">
        <v>21.91</v>
      </c>
      <c r="N780" s="179">
        <v>0</v>
      </c>
      <c r="O780" s="178">
        <v>28.46</v>
      </c>
      <c r="P780" s="453"/>
      <c r="Q780" s="61"/>
      <c r="R780" s="298"/>
      <c r="S780" s="669"/>
      <c r="T780" s="444"/>
      <c r="X780" s="444">
        <v>780</v>
      </c>
    </row>
    <row r="781" spans="1:32" s="69" customFormat="1" ht="12">
      <c r="A781" s="83" t="s">
        <v>19709</v>
      </c>
      <c r="B781" s="64" t="s">
        <v>19710</v>
      </c>
      <c r="C781" s="71" t="s">
        <v>509</v>
      </c>
      <c r="D781" s="79">
        <v>1</v>
      </c>
      <c r="E781" s="79">
        <v>20.260000000000002</v>
      </c>
      <c r="F781" s="79">
        <v>20.260000000000002</v>
      </c>
      <c r="G781" s="445"/>
      <c r="H781" s="178">
        <v>20.25</v>
      </c>
      <c r="I781" s="178">
        <v>24.91</v>
      </c>
      <c r="J781" s="70">
        <v>-4.6499999999999986</v>
      </c>
      <c r="K781" s="320"/>
      <c r="L781" s="178">
        <v>6.5500000000000007</v>
      </c>
      <c r="M781" s="178">
        <v>13.71</v>
      </c>
      <c r="N781" s="179">
        <v>0</v>
      </c>
      <c r="O781" s="178">
        <v>20.260000000000002</v>
      </c>
      <c r="P781" s="453"/>
      <c r="Q781" s="61"/>
      <c r="R781" s="298"/>
      <c r="S781" s="669"/>
      <c r="T781" s="444"/>
      <c r="X781" s="444">
        <v>781</v>
      </c>
    </row>
    <row r="782" spans="1:32" s="69" customFormat="1" ht="24">
      <c r="A782" s="83" t="s">
        <v>19711</v>
      </c>
      <c r="B782" s="64" t="s">
        <v>39630</v>
      </c>
      <c r="C782" s="71" t="s">
        <v>509</v>
      </c>
      <c r="D782" s="79">
        <v>1</v>
      </c>
      <c r="E782" s="79">
        <v>59.599999999999994</v>
      </c>
      <c r="F782" s="79">
        <v>59.6</v>
      </c>
      <c r="G782" s="445"/>
      <c r="H782" s="178">
        <v>59.59</v>
      </c>
      <c r="I782" s="178">
        <v>73.3</v>
      </c>
      <c r="J782" s="70">
        <v>-13.700000000000003</v>
      </c>
      <c r="K782" s="320"/>
      <c r="L782" s="178"/>
      <c r="M782" s="178">
        <v>59.599999999999994</v>
      </c>
      <c r="N782" s="179">
        <v>0</v>
      </c>
      <c r="O782" s="178">
        <v>59.599999999999994</v>
      </c>
      <c r="P782" s="453"/>
      <c r="Q782" s="61"/>
      <c r="R782" s="298"/>
      <c r="S782" s="669"/>
      <c r="T782" s="444"/>
      <c r="X782" s="444">
        <v>782</v>
      </c>
    </row>
    <row r="783" spans="1:32" s="69" customFormat="1" ht="12">
      <c r="A783" s="83" t="s">
        <v>19712</v>
      </c>
      <c r="B783" s="64" t="s">
        <v>19713</v>
      </c>
      <c r="C783" s="71" t="s">
        <v>121</v>
      </c>
      <c r="D783" s="79">
        <v>1</v>
      </c>
      <c r="E783" s="79">
        <v>5874.7000000000007</v>
      </c>
      <c r="F783" s="79">
        <v>5874.7</v>
      </c>
      <c r="G783" s="445"/>
      <c r="H783" s="178">
        <v>5874.7</v>
      </c>
      <c r="I783" s="178">
        <v>7225.88</v>
      </c>
      <c r="J783" s="70">
        <v>-1351.1799999999994</v>
      </c>
      <c r="K783" s="320"/>
      <c r="L783" s="178">
        <v>2307.69</v>
      </c>
      <c r="M783" s="178">
        <v>3567.0100000000007</v>
      </c>
      <c r="N783" s="179">
        <v>0</v>
      </c>
      <c r="O783" s="178">
        <v>5874.7000000000007</v>
      </c>
      <c r="P783" s="453"/>
      <c r="Q783" s="61"/>
      <c r="R783" s="298"/>
      <c r="S783" s="669"/>
      <c r="T783" s="444"/>
      <c r="X783" s="444">
        <v>783</v>
      </c>
    </row>
    <row r="784" spans="1:32" s="69" customFormat="1" ht="12">
      <c r="A784" s="83" t="s">
        <v>19714</v>
      </c>
      <c r="B784" s="64" t="s">
        <v>19715</v>
      </c>
      <c r="C784" s="71" t="s">
        <v>10216</v>
      </c>
      <c r="D784" s="79">
        <v>1</v>
      </c>
      <c r="E784" s="79">
        <v>577.26</v>
      </c>
      <c r="F784" s="79">
        <v>577.26</v>
      </c>
      <c r="G784" s="445"/>
      <c r="H784" s="178">
        <v>577.25</v>
      </c>
      <c r="I784" s="178">
        <v>710.02</v>
      </c>
      <c r="J784" s="70">
        <v>-132.76</v>
      </c>
      <c r="K784" s="320"/>
      <c r="L784" s="178"/>
      <c r="M784" s="178">
        <v>577.26</v>
      </c>
      <c r="N784" s="179">
        <v>0</v>
      </c>
      <c r="O784" s="178">
        <v>577.26</v>
      </c>
      <c r="P784" s="453"/>
      <c r="Q784" s="61"/>
      <c r="R784" s="298"/>
      <c r="S784" s="669"/>
      <c r="T784" s="444"/>
      <c r="X784" s="444">
        <v>784</v>
      </c>
    </row>
    <row r="785" spans="1:32" s="69" customFormat="1" ht="24">
      <c r="A785" s="455" t="s">
        <v>19716</v>
      </c>
      <c r="B785" s="64" t="s">
        <v>18886</v>
      </c>
      <c r="C785" s="71" t="s">
        <v>207</v>
      </c>
      <c r="D785" s="79">
        <v>1</v>
      </c>
      <c r="E785" s="79">
        <v>26.36</v>
      </c>
      <c r="F785" s="79">
        <v>26.36</v>
      </c>
      <c r="G785" s="320"/>
      <c r="H785" s="178">
        <v>26.36</v>
      </c>
      <c r="I785" s="178">
        <v>32.42</v>
      </c>
      <c r="J785" s="70">
        <v>-6.0600000000000023</v>
      </c>
      <c r="K785" s="320"/>
      <c r="L785" s="178"/>
      <c r="M785" s="178">
        <v>26.36</v>
      </c>
      <c r="N785" s="179">
        <v>0</v>
      </c>
      <c r="O785" s="178">
        <v>26.36</v>
      </c>
      <c r="P785" s="453"/>
      <c r="Q785" s="61"/>
      <c r="R785" s="298"/>
      <c r="S785" s="669"/>
      <c r="U785" s="444"/>
      <c r="V785" s="444"/>
      <c r="W785" s="444"/>
      <c r="X785" s="444">
        <v>785</v>
      </c>
      <c r="Y785" s="444"/>
      <c r="Z785" s="444"/>
      <c r="AA785" s="444"/>
      <c r="AB785" s="444"/>
      <c r="AC785" s="444"/>
      <c r="AD785" s="444"/>
      <c r="AE785" s="444"/>
      <c r="AF785" s="444"/>
    </row>
    <row r="786" spans="1:32" s="69" customFormat="1" ht="24">
      <c r="A786" s="455" t="s">
        <v>19717</v>
      </c>
      <c r="B786" s="64" t="s">
        <v>18888</v>
      </c>
      <c r="C786" s="71" t="s">
        <v>207</v>
      </c>
      <c r="D786" s="79">
        <v>1</v>
      </c>
      <c r="E786" s="79">
        <v>29.07</v>
      </c>
      <c r="F786" s="79">
        <v>29.07</v>
      </c>
      <c r="G786" s="320"/>
      <c r="H786" s="178">
        <v>29.07</v>
      </c>
      <c r="I786" s="178">
        <v>35.75</v>
      </c>
      <c r="J786" s="70">
        <v>-6.68</v>
      </c>
      <c r="K786" s="320"/>
      <c r="L786" s="178"/>
      <c r="M786" s="178">
        <v>29.07</v>
      </c>
      <c r="N786" s="179">
        <v>0</v>
      </c>
      <c r="O786" s="178">
        <v>29.07</v>
      </c>
      <c r="P786" s="453"/>
      <c r="Q786" s="61"/>
      <c r="R786" s="298"/>
      <c r="S786" s="669"/>
      <c r="U786" s="444"/>
      <c r="V786" s="444"/>
      <c r="W786" s="444"/>
      <c r="X786" s="444">
        <v>786</v>
      </c>
      <c r="Y786" s="444"/>
      <c r="Z786" s="444"/>
      <c r="AA786" s="444"/>
      <c r="AB786" s="444"/>
      <c r="AC786" s="444"/>
      <c r="AD786" s="444"/>
      <c r="AE786" s="444"/>
      <c r="AF786" s="444"/>
    </row>
    <row r="787" spans="1:32" s="69" customFormat="1" ht="12">
      <c r="A787" s="83" t="s">
        <v>11517</v>
      </c>
      <c r="B787" s="64" t="s">
        <v>39631</v>
      </c>
      <c r="C787" s="71"/>
      <c r="D787" s="79" t="s">
        <v>40899</v>
      </c>
      <c r="E787" s="79" t="s">
        <v>40899</v>
      </c>
      <c r="F787" s="79"/>
      <c r="G787" s="445"/>
      <c r="H787" s="178"/>
      <c r="I787" s="178"/>
      <c r="J787" s="70"/>
      <c r="K787" s="320"/>
      <c r="L787" s="178"/>
      <c r="M787" s="178"/>
      <c r="N787" s="179"/>
      <c r="O787" s="178"/>
      <c r="P787" s="453"/>
      <c r="Q787" s="61"/>
      <c r="R787" s="298"/>
      <c r="S787" s="669"/>
      <c r="T787" s="444"/>
      <c r="U787" s="444"/>
      <c r="V787" s="444"/>
      <c r="W787" s="444"/>
      <c r="X787" s="444">
        <v>787</v>
      </c>
      <c r="Y787" s="444"/>
      <c r="Z787" s="444"/>
      <c r="AA787" s="444"/>
      <c r="AB787" s="444"/>
      <c r="AC787" s="444"/>
      <c r="AD787" s="444"/>
      <c r="AE787" s="444"/>
      <c r="AF787" s="444"/>
    </row>
    <row r="788" spans="1:32" s="69" customFormat="1" ht="12">
      <c r="A788" s="83" t="s">
        <v>19718</v>
      </c>
      <c r="B788" s="64" t="s">
        <v>19715</v>
      </c>
      <c r="C788" s="71" t="s">
        <v>10216</v>
      </c>
      <c r="D788" s="79">
        <v>1</v>
      </c>
      <c r="E788" s="79">
        <v>577.26</v>
      </c>
      <c r="F788" s="79">
        <v>577.26</v>
      </c>
      <c r="G788" s="445"/>
      <c r="H788" s="178">
        <v>577.25</v>
      </c>
      <c r="I788" s="178">
        <v>710.02</v>
      </c>
      <c r="J788" s="70">
        <v>-132.76</v>
      </c>
      <c r="K788" s="320"/>
      <c r="L788" s="178"/>
      <c r="M788" s="178">
        <v>577.26</v>
      </c>
      <c r="N788" s="179">
        <v>0</v>
      </c>
      <c r="O788" s="178">
        <v>577.26</v>
      </c>
      <c r="P788" s="453"/>
      <c r="Q788" s="61"/>
      <c r="R788" s="298"/>
      <c r="S788" s="669"/>
      <c r="T788" s="444"/>
      <c r="U788" s="444"/>
      <c r="V788" s="444"/>
      <c r="W788" s="444"/>
      <c r="X788" s="444">
        <v>788</v>
      </c>
      <c r="Y788" s="444"/>
      <c r="Z788" s="444"/>
      <c r="AA788" s="444"/>
      <c r="AB788" s="444"/>
      <c r="AC788" s="444"/>
      <c r="AD788" s="444"/>
      <c r="AE788" s="444"/>
      <c r="AF788" s="444"/>
    </row>
    <row r="789" spans="1:32" s="69" customFormat="1" ht="12">
      <c r="A789" s="83" t="s">
        <v>39632</v>
      </c>
      <c r="B789" s="64" t="s">
        <v>39628</v>
      </c>
      <c r="C789" s="71"/>
      <c r="D789" s="79" t="s">
        <v>40899</v>
      </c>
      <c r="E789" s="79" t="s">
        <v>40899</v>
      </c>
      <c r="F789" s="79"/>
      <c r="G789" s="445"/>
      <c r="H789" s="178"/>
      <c r="I789" s="178"/>
      <c r="J789" s="70"/>
      <c r="K789" s="320"/>
      <c r="L789" s="178"/>
      <c r="M789" s="178"/>
      <c r="N789" s="179"/>
      <c r="O789" s="178"/>
      <c r="P789" s="453"/>
      <c r="Q789" s="61"/>
      <c r="R789" s="298"/>
      <c r="S789" s="669"/>
      <c r="T789" s="444"/>
      <c r="U789" s="444"/>
      <c r="V789" s="444"/>
      <c r="W789" s="444"/>
      <c r="X789" s="444">
        <v>789</v>
      </c>
      <c r="Y789" s="444"/>
      <c r="Z789" s="444"/>
      <c r="AA789" s="444"/>
      <c r="AB789" s="444"/>
      <c r="AC789" s="444"/>
      <c r="AD789" s="444"/>
      <c r="AE789" s="444"/>
      <c r="AF789" s="444"/>
    </row>
    <row r="790" spans="1:32" s="69" customFormat="1" ht="12">
      <c r="A790" s="83" t="s">
        <v>19719</v>
      </c>
      <c r="B790" s="64" t="s">
        <v>19720</v>
      </c>
      <c r="C790" s="71" t="s">
        <v>509</v>
      </c>
      <c r="D790" s="79">
        <v>1</v>
      </c>
      <c r="E790" s="79">
        <v>88.11</v>
      </c>
      <c r="F790" s="79">
        <v>88.11</v>
      </c>
      <c r="G790" s="445"/>
      <c r="H790" s="178">
        <v>88.11</v>
      </c>
      <c r="I790" s="178">
        <v>108.37</v>
      </c>
      <c r="J790" s="70">
        <v>-20.260000000000005</v>
      </c>
      <c r="K790" s="320"/>
      <c r="L790" s="178">
        <v>11.280000000000001</v>
      </c>
      <c r="M790" s="178">
        <v>76.83</v>
      </c>
      <c r="N790" s="179">
        <v>0</v>
      </c>
      <c r="O790" s="178">
        <v>88.11</v>
      </c>
      <c r="P790" s="453"/>
      <c r="Q790" s="61"/>
      <c r="R790" s="298"/>
      <c r="S790" s="669"/>
      <c r="T790" s="444"/>
      <c r="U790" s="444"/>
      <c r="V790" s="444"/>
      <c r="W790" s="444"/>
      <c r="X790" s="444">
        <v>790</v>
      </c>
      <c r="Y790" s="444"/>
      <c r="Z790" s="444"/>
      <c r="AA790" s="444"/>
      <c r="AB790" s="444"/>
      <c r="AC790" s="444"/>
      <c r="AD790" s="444"/>
      <c r="AE790" s="444"/>
      <c r="AF790" s="444"/>
    </row>
    <row r="791" spans="1:32" s="69" customFormat="1" ht="12">
      <c r="A791" s="83" t="s">
        <v>19721</v>
      </c>
      <c r="B791" s="64" t="s">
        <v>19722</v>
      </c>
      <c r="C791" s="71" t="s">
        <v>509</v>
      </c>
      <c r="D791" s="79">
        <v>1</v>
      </c>
      <c r="E791" s="79">
        <v>81.59</v>
      </c>
      <c r="F791" s="79">
        <v>81.59</v>
      </c>
      <c r="G791" s="445"/>
      <c r="H791" s="178">
        <v>81.59</v>
      </c>
      <c r="I791" s="178">
        <v>100.35</v>
      </c>
      <c r="J791" s="70">
        <v>-18.759999999999991</v>
      </c>
      <c r="K791" s="320"/>
      <c r="L791" s="178">
        <v>11.280000000000001</v>
      </c>
      <c r="M791" s="178">
        <v>70.31</v>
      </c>
      <c r="N791" s="179">
        <v>0</v>
      </c>
      <c r="O791" s="178">
        <v>81.59</v>
      </c>
      <c r="P791" s="453"/>
      <c r="Q791" s="61"/>
      <c r="R791" s="298"/>
      <c r="S791" s="669"/>
      <c r="T791" s="444"/>
      <c r="X791" s="444">
        <v>791</v>
      </c>
    </row>
    <row r="792" spans="1:32" s="69" customFormat="1" ht="12">
      <c r="A792" s="83" t="s">
        <v>19723</v>
      </c>
      <c r="B792" s="64" t="s">
        <v>19724</v>
      </c>
      <c r="C792" s="71" t="s">
        <v>509</v>
      </c>
      <c r="D792" s="79">
        <v>1</v>
      </c>
      <c r="E792" s="79">
        <v>117.94</v>
      </c>
      <c r="F792" s="79">
        <v>117.94</v>
      </c>
      <c r="G792" s="445"/>
      <c r="H792" s="178">
        <v>117.93</v>
      </c>
      <c r="I792" s="178">
        <v>145.06</v>
      </c>
      <c r="J792" s="70">
        <v>-27.120000000000005</v>
      </c>
      <c r="K792" s="320"/>
      <c r="L792" s="178">
        <v>11.280000000000001</v>
      </c>
      <c r="M792" s="178">
        <v>106.66</v>
      </c>
      <c r="N792" s="179">
        <v>0</v>
      </c>
      <c r="O792" s="178">
        <v>117.94</v>
      </c>
      <c r="P792" s="453"/>
      <c r="Q792" s="61"/>
      <c r="R792" s="298"/>
      <c r="S792" s="669"/>
      <c r="T792" s="444"/>
      <c r="U792" s="444"/>
      <c r="V792" s="444"/>
      <c r="W792" s="444"/>
      <c r="X792" s="444">
        <v>792</v>
      </c>
      <c r="Y792" s="444"/>
      <c r="Z792" s="444"/>
      <c r="AA792" s="444"/>
      <c r="AB792" s="444"/>
      <c r="AC792" s="444"/>
      <c r="AD792" s="444"/>
      <c r="AE792" s="444"/>
      <c r="AF792" s="444"/>
    </row>
    <row r="793" spans="1:32" s="69" customFormat="1" ht="12">
      <c r="A793" s="83" t="s">
        <v>19725</v>
      </c>
      <c r="B793" s="64" t="s">
        <v>19726</v>
      </c>
      <c r="C793" s="71" t="s">
        <v>509</v>
      </c>
      <c r="D793" s="79">
        <v>1</v>
      </c>
      <c r="E793" s="79">
        <v>97.13000000000001</v>
      </c>
      <c r="F793" s="79">
        <v>97.13</v>
      </c>
      <c r="G793" s="445"/>
      <c r="H793" s="178">
        <v>97.13</v>
      </c>
      <c r="I793" s="178">
        <v>119.47</v>
      </c>
      <c r="J793" s="70">
        <v>-22.339999999999989</v>
      </c>
      <c r="K793" s="320"/>
      <c r="L793" s="178">
        <v>11.280000000000001</v>
      </c>
      <c r="M793" s="178">
        <v>85.850000000000009</v>
      </c>
      <c r="N793" s="179">
        <v>0</v>
      </c>
      <c r="O793" s="178">
        <v>97.13000000000001</v>
      </c>
      <c r="P793" s="453"/>
      <c r="Q793" s="61"/>
      <c r="R793" s="298"/>
      <c r="S793" s="669"/>
      <c r="T793" s="444"/>
      <c r="U793" s="444"/>
      <c r="V793" s="444"/>
      <c r="W793" s="444"/>
      <c r="X793" s="444">
        <v>793</v>
      </c>
      <c r="Y793" s="444"/>
      <c r="Z793" s="444"/>
      <c r="AA793" s="444"/>
      <c r="AB793" s="444"/>
      <c r="AC793" s="444"/>
      <c r="AD793" s="444"/>
      <c r="AE793" s="444"/>
      <c r="AF793" s="444"/>
    </row>
    <row r="794" spans="1:32" s="69" customFormat="1" ht="12">
      <c r="A794" s="83" t="s">
        <v>19727</v>
      </c>
      <c r="B794" s="64" t="s">
        <v>19728</v>
      </c>
      <c r="C794" s="71" t="s">
        <v>10216</v>
      </c>
      <c r="D794" s="79">
        <v>1</v>
      </c>
      <c r="E794" s="79">
        <v>577.26</v>
      </c>
      <c r="F794" s="79">
        <v>577.26</v>
      </c>
      <c r="G794" s="445"/>
      <c r="H794" s="178">
        <v>577.25</v>
      </c>
      <c r="I794" s="178">
        <v>710.02</v>
      </c>
      <c r="J794" s="70">
        <v>-132.76</v>
      </c>
      <c r="K794" s="320"/>
      <c r="L794" s="178"/>
      <c r="M794" s="178">
        <v>577.26</v>
      </c>
      <c r="N794" s="179">
        <v>0</v>
      </c>
      <c r="O794" s="178">
        <v>577.26</v>
      </c>
      <c r="P794" s="453"/>
      <c r="Q794" s="61"/>
      <c r="R794" s="298"/>
      <c r="S794" s="669"/>
      <c r="T794" s="444"/>
      <c r="U794" s="444"/>
      <c r="V794" s="444"/>
      <c r="W794" s="444"/>
      <c r="X794" s="444">
        <v>794</v>
      </c>
      <c r="Y794" s="444"/>
      <c r="Z794" s="444"/>
      <c r="AA794" s="444"/>
      <c r="AB794" s="444"/>
      <c r="AC794" s="444"/>
      <c r="AD794" s="444"/>
      <c r="AE794" s="444"/>
      <c r="AF794" s="444"/>
    </row>
    <row r="795" spans="1:32" ht="12">
      <c r="A795" s="63" t="s">
        <v>19729</v>
      </c>
      <c r="B795" s="64" t="s">
        <v>6665</v>
      </c>
      <c r="C795" s="71" t="s">
        <v>509</v>
      </c>
      <c r="D795" s="79">
        <v>1</v>
      </c>
      <c r="E795" s="79">
        <v>88.699999999999989</v>
      </c>
      <c r="F795" s="79">
        <v>88.7</v>
      </c>
      <c r="G795" s="320"/>
      <c r="H795" s="178">
        <v>88.67</v>
      </c>
      <c r="I795" s="178">
        <v>109.07</v>
      </c>
      <c r="J795" s="70">
        <v>-20.370000000000005</v>
      </c>
      <c r="K795" s="320"/>
      <c r="L795" s="178">
        <v>25.659999999999997</v>
      </c>
      <c r="M795" s="178">
        <v>63.039999999999992</v>
      </c>
      <c r="N795" s="179">
        <v>0</v>
      </c>
      <c r="O795" s="178">
        <v>88.699999999999989</v>
      </c>
      <c r="P795" s="453"/>
      <c r="Q795" s="61"/>
      <c r="R795" s="298"/>
      <c r="S795" s="669"/>
      <c r="T795" s="66"/>
      <c r="X795" s="444">
        <v>795</v>
      </c>
    </row>
    <row r="796" spans="1:32" ht="12">
      <c r="A796" s="63" t="s">
        <v>19730</v>
      </c>
      <c r="B796" s="64" t="s">
        <v>6667</v>
      </c>
      <c r="C796" s="71" t="s">
        <v>509</v>
      </c>
      <c r="D796" s="79">
        <v>1</v>
      </c>
      <c r="E796" s="79">
        <v>152.68</v>
      </c>
      <c r="F796" s="79">
        <v>152.68</v>
      </c>
      <c r="G796" s="320"/>
      <c r="H796" s="178">
        <v>152.66999999999999</v>
      </c>
      <c r="I796" s="178">
        <v>187.79</v>
      </c>
      <c r="J796" s="70">
        <v>-35.109999999999985</v>
      </c>
      <c r="K796" s="320"/>
      <c r="L796" s="178">
        <v>51.28</v>
      </c>
      <c r="M796" s="178">
        <v>101.4</v>
      </c>
      <c r="N796" s="179">
        <v>0</v>
      </c>
      <c r="O796" s="178">
        <v>152.68</v>
      </c>
      <c r="P796" s="453"/>
      <c r="Q796" s="61"/>
      <c r="R796" s="298"/>
      <c r="S796" s="669"/>
      <c r="T796" s="66"/>
      <c r="X796" s="444">
        <v>796</v>
      </c>
    </row>
    <row r="797" spans="1:32" ht="12">
      <c r="A797" s="63" t="s">
        <v>19731</v>
      </c>
      <c r="B797" s="64" t="s">
        <v>6677</v>
      </c>
      <c r="C797" s="71" t="s">
        <v>509</v>
      </c>
      <c r="D797" s="79">
        <v>1</v>
      </c>
      <c r="E797" s="79">
        <v>138.4</v>
      </c>
      <c r="F797" s="79">
        <v>138.4</v>
      </c>
      <c r="G797" s="320"/>
      <c r="H797" s="178">
        <v>138.38</v>
      </c>
      <c r="I797" s="178">
        <v>170.21</v>
      </c>
      <c r="J797" s="70">
        <v>-31.810000000000002</v>
      </c>
      <c r="K797" s="320"/>
      <c r="L797" s="178">
        <v>43.6</v>
      </c>
      <c r="M797" s="178">
        <v>94.800000000000011</v>
      </c>
      <c r="N797" s="179">
        <v>0</v>
      </c>
      <c r="O797" s="178">
        <v>138.4</v>
      </c>
      <c r="P797" s="453"/>
      <c r="Q797" s="61"/>
      <c r="R797" s="298"/>
      <c r="S797" s="669"/>
      <c r="T797" s="66"/>
      <c r="X797" s="444">
        <v>797</v>
      </c>
    </row>
    <row r="798" spans="1:32" ht="12">
      <c r="A798" s="63" t="s">
        <v>19732</v>
      </c>
      <c r="B798" s="64" t="s">
        <v>6673</v>
      </c>
      <c r="C798" s="71" t="s">
        <v>509</v>
      </c>
      <c r="D798" s="79">
        <v>1</v>
      </c>
      <c r="E798" s="79">
        <v>61.019999999999996</v>
      </c>
      <c r="F798" s="79">
        <v>61.02</v>
      </c>
      <c r="G798" s="320"/>
      <c r="H798" s="178">
        <v>61</v>
      </c>
      <c r="I798" s="178">
        <v>75.03</v>
      </c>
      <c r="J798" s="70">
        <v>-14.010000000000005</v>
      </c>
      <c r="K798" s="320"/>
      <c r="L798" s="178">
        <v>25.659999999999997</v>
      </c>
      <c r="M798" s="178">
        <v>35.36</v>
      </c>
      <c r="N798" s="179">
        <v>0</v>
      </c>
      <c r="O798" s="178">
        <v>61.019999999999996</v>
      </c>
      <c r="P798" s="453"/>
      <c r="Q798" s="61"/>
      <c r="R798" s="298"/>
      <c r="S798" s="669"/>
      <c r="T798" s="66"/>
      <c r="U798" s="61"/>
      <c r="V798" s="61"/>
      <c r="W798" s="61"/>
      <c r="X798" s="444">
        <v>798</v>
      </c>
      <c r="Y798" s="61"/>
      <c r="Z798" s="61"/>
      <c r="AA798" s="61"/>
      <c r="AB798" s="61"/>
      <c r="AC798" s="61"/>
      <c r="AD798" s="61"/>
      <c r="AE798" s="61"/>
      <c r="AF798" s="61"/>
    </row>
    <row r="799" spans="1:32" ht="12">
      <c r="A799" s="63" t="s">
        <v>19733</v>
      </c>
      <c r="B799" s="64" t="s">
        <v>6671</v>
      </c>
      <c r="C799" s="71" t="s">
        <v>509</v>
      </c>
      <c r="D799" s="79">
        <v>1</v>
      </c>
      <c r="E799" s="79">
        <v>103.6</v>
      </c>
      <c r="F799" s="79">
        <v>103.6</v>
      </c>
      <c r="G799" s="320"/>
      <c r="H799" s="178">
        <v>103.59</v>
      </c>
      <c r="I799" s="178">
        <v>127.41</v>
      </c>
      <c r="J799" s="70">
        <v>-23.810000000000002</v>
      </c>
      <c r="K799" s="320"/>
      <c r="L799" s="178">
        <v>43.6</v>
      </c>
      <c r="M799" s="178">
        <v>59.999999999999993</v>
      </c>
      <c r="N799" s="179">
        <v>0</v>
      </c>
      <c r="O799" s="178">
        <v>103.6</v>
      </c>
      <c r="P799" s="453"/>
      <c r="Q799" s="61"/>
      <c r="R799" s="298"/>
      <c r="S799" s="669"/>
      <c r="T799" s="66"/>
      <c r="U799" s="61"/>
      <c r="V799" s="61"/>
      <c r="W799" s="61"/>
      <c r="X799" s="444">
        <v>799</v>
      </c>
      <c r="Y799" s="61"/>
      <c r="Z799" s="61"/>
      <c r="AA799" s="61"/>
      <c r="AB799" s="61"/>
      <c r="AC799" s="61"/>
      <c r="AD799" s="61"/>
      <c r="AE799" s="61"/>
      <c r="AF799" s="61"/>
    </row>
    <row r="800" spans="1:32" ht="12">
      <c r="A800" s="63" t="s">
        <v>19734</v>
      </c>
      <c r="B800" s="64" t="s">
        <v>19907</v>
      </c>
      <c r="C800" s="71" t="s">
        <v>509</v>
      </c>
      <c r="D800" s="79">
        <v>1</v>
      </c>
      <c r="E800" s="79">
        <v>43.480000000000004</v>
      </c>
      <c r="F800" s="79">
        <v>43.48</v>
      </c>
      <c r="G800" s="320"/>
      <c r="H800" s="178">
        <v>43.49</v>
      </c>
      <c r="I800" s="178">
        <v>53.49</v>
      </c>
      <c r="J800" s="70">
        <v>-10.009999999999998</v>
      </c>
      <c r="K800" s="320"/>
      <c r="L800" s="178">
        <v>11.280000000000001</v>
      </c>
      <c r="M800" s="178">
        <v>32.200000000000003</v>
      </c>
      <c r="N800" s="179">
        <v>0</v>
      </c>
      <c r="O800" s="178">
        <v>43.480000000000004</v>
      </c>
      <c r="P800" s="132"/>
      <c r="Q800" s="61"/>
      <c r="R800" s="298"/>
      <c r="S800" s="669"/>
      <c r="T800" s="66"/>
      <c r="U800" s="61"/>
      <c r="V800" s="61"/>
      <c r="W800" s="61"/>
      <c r="X800" s="444">
        <v>800</v>
      </c>
      <c r="Y800" s="61"/>
      <c r="Z800" s="61"/>
      <c r="AA800" s="61"/>
      <c r="AB800" s="61"/>
      <c r="AC800" s="61"/>
      <c r="AD800" s="61"/>
      <c r="AE800" s="61"/>
      <c r="AF800" s="61"/>
    </row>
    <row r="801" spans="1:32" s="69" customFormat="1" ht="12">
      <c r="A801" s="63" t="s">
        <v>19735</v>
      </c>
      <c r="B801" s="64" t="s">
        <v>19736</v>
      </c>
      <c r="C801" s="71" t="s">
        <v>509</v>
      </c>
      <c r="D801" s="79">
        <v>1</v>
      </c>
      <c r="E801" s="79">
        <v>62.06</v>
      </c>
      <c r="F801" s="79">
        <v>62.06</v>
      </c>
      <c r="G801" s="320"/>
      <c r="H801" s="178">
        <v>62.06</v>
      </c>
      <c r="I801" s="178">
        <v>76.33</v>
      </c>
      <c r="J801" s="70">
        <v>-14.269999999999996</v>
      </c>
      <c r="K801" s="320"/>
      <c r="L801" s="178">
        <v>11.280000000000001</v>
      </c>
      <c r="M801" s="178">
        <v>50.78</v>
      </c>
      <c r="N801" s="179">
        <v>0</v>
      </c>
      <c r="O801" s="178">
        <v>62.06</v>
      </c>
      <c r="P801" s="132"/>
      <c r="Q801" s="61"/>
      <c r="R801" s="298"/>
      <c r="S801" s="669"/>
      <c r="T801" s="66"/>
      <c r="U801" s="61"/>
      <c r="V801" s="61"/>
      <c r="W801" s="61"/>
      <c r="X801" s="444">
        <v>801</v>
      </c>
      <c r="Y801" s="61"/>
      <c r="Z801" s="61"/>
      <c r="AA801" s="61"/>
      <c r="AB801" s="61"/>
      <c r="AC801" s="61"/>
      <c r="AD801" s="61"/>
      <c r="AE801" s="61"/>
      <c r="AF801" s="61"/>
    </row>
    <row r="802" spans="1:32" ht="12">
      <c r="A802" s="63" t="s">
        <v>19737</v>
      </c>
      <c r="B802" s="64" t="s">
        <v>39633</v>
      </c>
      <c r="C802" s="71" t="s">
        <v>509</v>
      </c>
      <c r="D802" s="79">
        <v>1</v>
      </c>
      <c r="E802" s="79">
        <v>81.459999999999994</v>
      </c>
      <c r="F802" s="79">
        <v>81.459999999999994</v>
      </c>
      <c r="G802" s="320"/>
      <c r="H802" s="178">
        <v>81.459999999999994</v>
      </c>
      <c r="I802" s="178">
        <v>100.2</v>
      </c>
      <c r="J802" s="70">
        <v>-18.740000000000009</v>
      </c>
      <c r="K802" s="320"/>
      <c r="L802" s="178">
        <v>11.280000000000001</v>
      </c>
      <c r="M802" s="178">
        <v>70.179999999999993</v>
      </c>
      <c r="N802" s="179">
        <v>0</v>
      </c>
      <c r="O802" s="178">
        <v>81.459999999999994</v>
      </c>
      <c r="P802" s="132"/>
      <c r="Q802" s="61"/>
      <c r="R802" s="298"/>
      <c r="S802" s="669"/>
      <c r="T802" s="66"/>
      <c r="U802" s="61"/>
      <c r="V802" s="61"/>
      <c r="W802" s="61"/>
      <c r="X802" s="444">
        <v>802</v>
      </c>
      <c r="Y802" s="61"/>
      <c r="Z802" s="61"/>
      <c r="AA802" s="61"/>
      <c r="AB802" s="61"/>
      <c r="AC802" s="61"/>
      <c r="AD802" s="61"/>
      <c r="AE802" s="61"/>
      <c r="AF802" s="61"/>
    </row>
    <row r="803" spans="1:32" ht="12">
      <c r="A803" s="63" t="s">
        <v>19738</v>
      </c>
      <c r="B803" s="64" t="s">
        <v>39634</v>
      </c>
      <c r="C803" s="71" t="s">
        <v>509</v>
      </c>
      <c r="D803" s="79">
        <v>1</v>
      </c>
      <c r="E803" s="79">
        <v>114.58</v>
      </c>
      <c r="F803" s="79">
        <v>114.58</v>
      </c>
      <c r="G803" s="320"/>
      <c r="H803" s="178">
        <v>114.59</v>
      </c>
      <c r="I803" s="178">
        <v>140.94</v>
      </c>
      <c r="J803" s="70">
        <v>-26.36</v>
      </c>
      <c r="K803" s="320"/>
      <c r="L803" s="178">
        <v>11.280000000000001</v>
      </c>
      <c r="M803" s="178">
        <v>103.3</v>
      </c>
      <c r="N803" s="179">
        <v>0</v>
      </c>
      <c r="O803" s="178">
        <v>114.58</v>
      </c>
      <c r="P803" s="132"/>
      <c r="Q803" s="61"/>
      <c r="R803" s="298"/>
      <c r="S803" s="669"/>
      <c r="T803" s="66"/>
      <c r="U803" s="61"/>
      <c r="V803" s="61"/>
      <c r="W803" s="61"/>
      <c r="X803" s="444">
        <v>803</v>
      </c>
      <c r="Y803" s="61"/>
      <c r="Z803" s="61"/>
      <c r="AA803" s="61"/>
      <c r="AB803" s="61"/>
      <c r="AC803" s="61"/>
      <c r="AD803" s="61"/>
      <c r="AE803" s="61"/>
      <c r="AF803" s="61"/>
    </row>
    <row r="804" spans="1:32" ht="24">
      <c r="A804" s="63" t="s">
        <v>19739</v>
      </c>
      <c r="B804" s="64" t="s">
        <v>6675</v>
      </c>
      <c r="C804" s="71" t="s">
        <v>509</v>
      </c>
      <c r="D804" s="79">
        <v>1</v>
      </c>
      <c r="E804" s="79">
        <v>111.13000000000001</v>
      </c>
      <c r="F804" s="79">
        <v>111.13</v>
      </c>
      <c r="G804" s="320"/>
      <c r="H804" s="178">
        <v>111.13</v>
      </c>
      <c r="I804" s="178">
        <v>136.69</v>
      </c>
      <c r="J804" s="70">
        <v>-25.559999999999988</v>
      </c>
      <c r="K804" s="320"/>
      <c r="L804" s="178">
        <v>20.509999999999998</v>
      </c>
      <c r="M804" s="178">
        <v>90.62</v>
      </c>
      <c r="N804" s="179">
        <v>0</v>
      </c>
      <c r="O804" s="178">
        <v>111.13</v>
      </c>
      <c r="P804" s="132"/>
      <c r="Q804" s="61"/>
      <c r="R804" s="298"/>
      <c r="S804" s="669"/>
      <c r="T804" s="66"/>
      <c r="X804" s="444">
        <v>804</v>
      </c>
    </row>
    <row r="805" spans="1:32" ht="24">
      <c r="A805" s="63" t="s">
        <v>19740</v>
      </c>
      <c r="B805" s="64" t="s">
        <v>6679</v>
      </c>
      <c r="C805" s="71" t="s">
        <v>509</v>
      </c>
      <c r="D805" s="79">
        <v>1</v>
      </c>
      <c r="E805" s="79">
        <v>126.93999999999998</v>
      </c>
      <c r="F805" s="79">
        <v>126.94</v>
      </c>
      <c r="G805" s="320"/>
      <c r="H805" s="178">
        <v>126.94</v>
      </c>
      <c r="I805" s="178">
        <v>156.13999999999999</v>
      </c>
      <c r="J805" s="70">
        <v>-29.200000000000003</v>
      </c>
      <c r="K805" s="320"/>
      <c r="L805" s="178">
        <v>20.509999999999998</v>
      </c>
      <c r="M805" s="178">
        <v>106.42999999999998</v>
      </c>
      <c r="N805" s="179">
        <v>0</v>
      </c>
      <c r="O805" s="178">
        <v>126.93999999999997</v>
      </c>
      <c r="P805" s="132"/>
      <c r="Q805" s="61"/>
      <c r="R805" s="298"/>
      <c r="S805" s="669"/>
      <c r="T805" s="66"/>
      <c r="U805" s="61"/>
      <c r="V805" s="61"/>
      <c r="W805" s="61"/>
      <c r="X805" s="444">
        <v>805</v>
      </c>
      <c r="Y805" s="61"/>
      <c r="Z805" s="61"/>
      <c r="AA805" s="61"/>
      <c r="AB805" s="61"/>
      <c r="AC805" s="61"/>
      <c r="AD805" s="61"/>
      <c r="AE805" s="61"/>
      <c r="AF805" s="61"/>
    </row>
    <row r="806" spans="1:32" ht="24">
      <c r="A806" s="63" t="s">
        <v>19741</v>
      </c>
      <c r="B806" s="64" t="s">
        <v>6681</v>
      </c>
      <c r="C806" s="71" t="s">
        <v>509</v>
      </c>
      <c r="D806" s="79">
        <v>1</v>
      </c>
      <c r="E806" s="79">
        <v>162.76</v>
      </c>
      <c r="F806" s="79">
        <v>162.76</v>
      </c>
      <c r="G806" s="320"/>
      <c r="H806" s="178">
        <v>162.76</v>
      </c>
      <c r="I806" s="178">
        <v>200.2</v>
      </c>
      <c r="J806" s="70">
        <v>-37.44</v>
      </c>
      <c r="K806" s="320"/>
      <c r="L806" s="178">
        <v>20.509999999999998</v>
      </c>
      <c r="M806" s="178">
        <v>142.25</v>
      </c>
      <c r="N806" s="179">
        <v>0</v>
      </c>
      <c r="O806" s="178">
        <v>162.76</v>
      </c>
      <c r="P806" s="132"/>
      <c r="Q806" s="61"/>
      <c r="R806" s="298"/>
      <c r="S806" s="669"/>
      <c r="T806" s="66"/>
      <c r="U806" s="61"/>
      <c r="V806" s="61"/>
      <c r="W806" s="61"/>
      <c r="X806" s="444">
        <v>806</v>
      </c>
      <c r="Y806" s="61"/>
      <c r="Z806" s="61"/>
      <c r="AA806" s="61"/>
      <c r="AB806" s="61"/>
      <c r="AC806" s="61"/>
      <c r="AD806" s="61"/>
      <c r="AE806" s="61"/>
      <c r="AF806" s="61"/>
    </row>
    <row r="807" spans="1:32" ht="12">
      <c r="A807" s="63" t="s">
        <v>19742</v>
      </c>
      <c r="B807" s="64" t="s">
        <v>39635</v>
      </c>
      <c r="C807" s="71" t="s">
        <v>509</v>
      </c>
      <c r="D807" s="79">
        <v>1</v>
      </c>
      <c r="E807" s="79">
        <v>102.83999999999999</v>
      </c>
      <c r="F807" s="79">
        <v>102.84</v>
      </c>
      <c r="G807" s="320"/>
      <c r="H807" s="178">
        <v>102.84</v>
      </c>
      <c r="I807" s="178">
        <v>126.49</v>
      </c>
      <c r="J807" s="70">
        <v>-23.650000000000006</v>
      </c>
      <c r="K807" s="320"/>
      <c r="L807" s="178">
        <v>20.509999999999998</v>
      </c>
      <c r="M807" s="178">
        <v>82.329999999999984</v>
      </c>
      <c r="N807" s="179">
        <v>0</v>
      </c>
      <c r="O807" s="178">
        <v>102.83999999999997</v>
      </c>
      <c r="P807" s="132"/>
      <c r="Q807" s="61"/>
      <c r="R807" s="298"/>
      <c r="S807" s="669"/>
      <c r="T807" s="66"/>
      <c r="U807" s="61"/>
      <c r="V807" s="61"/>
      <c r="W807" s="61"/>
      <c r="X807" s="444">
        <v>807</v>
      </c>
      <c r="Y807" s="61"/>
      <c r="Z807" s="61"/>
      <c r="AA807" s="61"/>
      <c r="AB807" s="61"/>
      <c r="AC807" s="61"/>
      <c r="AD807" s="61"/>
      <c r="AE807" s="61"/>
      <c r="AF807" s="61"/>
    </row>
    <row r="808" spans="1:32" s="61" customFormat="1" ht="12">
      <c r="A808" s="63" t="s">
        <v>19743</v>
      </c>
      <c r="B808" s="64" t="s">
        <v>39636</v>
      </c>
      <c r="C808" s="71" t="s">
        <v>509</v>
      </c>
      <c r="D808" s="79">
        <v>1</v>
      </c>
      <c r="E808" s="79">
        <v>110.18999999999998</v>
      </c>
      <c r="F808" s="79">
        <v>110.19</v>
      </c>
      <c r="G808" s="320"/>
      <c r="H808" s="178">
        <v>110.19</v>
      </c>
      <c r="I808" s="178">
        <v>135.53</v>
      </c>
      <c r="J808" s="70">
        <v>-25.340000000000018</v>
      </c>
      <c r="K808" s="320"/>
      <c r="L808" s="178">
        <v>20.509999999999998</v>
      </c>
      <c r="M808" s="178">
        <v>89.679999999999978</v>
      </c>
      <c r="N808" s="179">
        <v>0</v>
      </c>
      <c r="O808" s="178">
        <v>110.18999999999997</v>
      </c>
      <c r="P808" s="132"/>
      <c r="R808" s="298"/>
      <c r="S808" s="669"/>
      <c r="T808" s="66"/>
      <c r="X808" s="444">
        <v>808</v>
      </c>
    </row>
    <row r="809" spans="1:32" s="61" customFormat="1" ht="12">
      <c r="A809" s="63" t="s">
        <v>19744</v>
      </c>
      <c r="B809" s="64" t="s">
        <v>39637</v>
      </c>
      <c r="C809" s="71" t="s">
        <v>509</v>
      </c>
      <c r="D809" s="79">
        <v>1</v>
      </c>
      <c r="E809" s="79">
        <v>154.14000000000001</v>
      </c>
      <c r="F809" s="79">
        <v>154.13999999999999</v>
      </c>
      <c r="G809" s="320"/>
      <c r="H809" s="178">
        <v>154.13999999999999</v>
      </c>
      <c r="I809" s="178">
        <v>189.59</v>
      </c>
      <c r="J809" s="70">
        <v>-35.449999999999989</v>
      </c>
      <c r="K809" s="320"/>
      <c r="L809" s="178">
        <v>20.509999999999998</v>
      </c>
      <c r="M809" s="178">
        <v>133.63000000000002</v>
      </c>
      <c r="N809" s="179">
        <v>0</v>
      </c>
      <c r="O809" s="178">
        <v>154.14000000000001</v>
      </c>
      <c r="P809" s="132"/>
      <c r="R809" s="298"/>
      <c r="S809" s="669"/>
      <c r="T809" s="66"/>
      <c r="X809" s="444">
        <v>809</v>
      </c>
    </row>
    <row r="810" spans="1:32" s="61" customFormat="1" ht="24">
      <c r="A810" s="63" t="s">
        <v>19745</v>
      </c>
      <c r="B810" s="64" t="s">
        <v>39638</v>
      </c>
      <c r="C810" s="71" t="s">
        <v>509</v>
      </c>
      <c r="D810" s="79">
        <v>1</v>
      </c>
      <c r="E810" s="79">
        <v>298.19</v>
      </c>
      <c r="F810" s="79">
        <v>298.19</v>
      </c>
      <c r="G810" s="320"/>
      <c r="H810" s="178">
        <v>298.19</v>
      </c>
      <c r="I810" s="178">
        <v>366.77</v>
      </c>
      <c r="J810" s="70">
        <v>-68.579999999999984</v>
      </c>
      <c r="K810" s="320"/>
      <c r="L810" s="178">
        <v>20.509999999999998</v>
      </c>
      <c r="M810" s="178">
        <v>277.68</v>
      </c>
      <c r="N810" s="179">
        <v>0</v>
      </c>
      <c r="O810" s="178">
        <v>298.19</v>
      </c>
      <c r="P810" s="132"/>
      <c r="R810" s="298"/>
      <c r="S810" s="669"/>
      <c r="T810" s="66"/>
      <c r="X810" s="444">
        <v>810</v>
      </c>
    </row>
    <row r="811" spans="1:32" s="61" customFormat="1" ht="24">
      <c r="A811" s="63" t="s">
        <v>19746</v>
      </c>
      <c r="B811" s="64" t="s">
        <v>39639</v>
      </c>
      <c r="C811" s="71" t="s">
        <v>509</v>
      </c>
      <c r="D811" s="79">
        <v>1</v>
      </c>
      <c r="E811" s="79">
        <v>324.34999999999997</v>
      </c>
      <c r="F811" s="79">
        <v>324.35000000000002</v>
      </c>
      <c r="G811" s="320"/>
      <c r="H811" s="178">
        <v>324.35000000000002</v>
      </c>
      <c r="I811" s="178">
        <v>398.95</v>
      </c>
      <c r="J811" s="70">
        <v>-74.600000000000023</v>
      </c>
      <c r="K811" s="320"/>
      <c r="L811" s="178">
        <v>20.509999999999998</v>
      </c>
      <c r="M811" s="178">
        <v>303.83999999999997</v>
      </c>
      <c r="N811" s="179">
        <v>0</v>
      </c>
      <c r="O811" s="178">
        <v>324.34999999999997</v>
      </c>
      <c r="P811" s="132"/>
      <c r="R811" s="298"/>
      <c r="S811" s="669"/>
      <c r="T811" s="66"/>
      <c r="X811" s="444">
        <v>811</v>
      </c>
    </row>
    <row r="812" spans="1:32" s="61" customFormat="1" ht="24">
      <c r="A812" s="63" t="s">
        <v>19747</v>
      </c>
      <c r="B812" s="64" t="s">
        <v>39640</v>
      </c>
      <c r="C812" s="71" t="s">
        <v>509</v>
      </c>
      <c r="D812" s="79">
        <v>1</v>
      </c>
      <c r="E812" s="79">
        <v>220.21</v>
      </c>
      <c r="F812" s="79">
        <v>220.21</v>
      </c>
      <c r="G812" s="320"/>
      <c r="H812" s="178">
        <v>220.2</v>
      </c>
      <c r="I812" s="178">
        <v>270.85000000000002</v>
      </c>
      <c r="J812" s="70">
        <v>-50.640000000000015</v>
      </c>
      <c r="K812" s="320"/>
      <c r="L812" s="178">
        <v>20.509999999999998</v>
      </c>
      <c r="M812" s="178">
        <v>199.70000000000002</v>
      </c>
      <c r="N812" s="179">
        <v>0</v>
      </c>
      <c r="O812" s="178">
        <v>220.21</v>
      </c>
      <c r="P812" s="132"/>
      <c r="R812" s="298"/>
      <c r="S812" s="669"/>
      <c r="T812" s="66"/>
      <c r="X812" s="444">
        <v>812</v>
      </c>
    </row>
    <row r="813" spans="1:32" s="61" customFormat="1" ht="24">
      <c r="A813" s="63" t="s">
        <v>19748</v>
      </c>
      <c r="B813" s="64" t="s">
        <v>39641</v>
      </c>
      <c r="C813" s="71" t="s">
        <v>509</v>
      </c>
      <c r="D813" s="79">
        <v>1</v>
      </c>
      <c r="E813" s="79">
        <v>270.08</v>
      </c>
      <c r="F813" s="79">
        <v>270.08</v>
      </c>
      <c r="G813" s="320"/>
      <c r="H813" s="178">
        <v>270.08</v>
      </c>
      <c r="I813" s="178">
        <v>332.2</v>
      </c>
      <c r="J813" s="70">
        <v>-62.120000000000005</v>
      </c>
      <c r="K813" s="320"/>
      <c r="L813" s="178">
        <v>20.509999999999998</v>
      </c>
      <c r="M813" s="178">
        <v>249.57</v>
      </c>
      <c r="N813" s="179">
        <v>0</v>
      </c>
      <c r="O813" s="178">
        <v>270.08</v>
      </c>
      <c r="P813" s="132"/>
      <c r="R813" s="298"/>
      <c r="S813" s="669"/>
      <c r="T813" s="66"/>
      <c r="X813" s="444">
        <v>813</v>
      </c>
    </row>
    <row r="814" spans="1:32" ht="24">
      <c r="A814" s="463" t="s">
        <v>28530</v>
      </c>
      <c r="B814" s="64" t="s">
        <v>28529</v>
      </c>
      <c r="C814" s="71" t="s">
        <v>509</v>
      </c>
      <c r="D814" s="79">
        <v>1</v>
      </c>
      <c r="E814" s="79">
        <v>150.94</v>
      </c>
      <c r="F814" s="79">
        <v>150.94</v>
      </c>
      <c r="H814" s="70">
        <v>150.94</v>
      </c>
      <c r="I814" s="178">
        <v>185.66</v>
      </c>
      <c r="J814" s="70">
        <v>-34.72</v>
      </c>
      <c r="K814" s="320"/>
      <c r="L814" s="178">
        <v>20.509999999999998</v>
      </c>
      <c r="M814" s="70">
        <v>130.43</v>
      </c>
      <c r="N814" s="179">
        <v>0</v>
      </c>
      <c r="O814" s="753">
        <v>150.94</v>
      </c>
      <c r="Q814" s="61"/>
      <c r="R814" s="298"/>
      <c r="S814" s="669"/>
      <c r="X814" s="444">
        <v>814</v>
      </c>
    </row>
    <row r="815" spans="1:32" s="61" customFormat="1">
      <c r="A815" s="67" t="s">
        <v>29562</v>
      </c>
      <c r="B815" s="67" t="s">
        <v>33020</v>
      </c>
      <c r="C815" s="71" t="s">
        <v>509</v>
      </c>
      <c r="D815" s="79">
        <v>1</v>
      </c>
      <c r="E815" s="79">
        <v>154.14000000000001</v>
      </c>
      <c r="F815" s="79">
        <v>154.13999999999999</v>
      </c>
      <c r="G815" s="444"/>
      <c r="H815" s="178">
        <v>154.13999999999999</v>
      </c>
      <c r="I815" s="178">
        <v>189.59</v>
      </c>
      <c r="J815" s="70">
        <v>-35.449999999999989</v>
      </c>
      <c r="K815" s="320"/>
      <c r="L815" s="178">
        <v>20.509999999999998</v>
      </c>
      <c r="M815" s="178">
        <v>133.63000000000002</v>
      </c>
      <c r="N815" s="179">
        <v>0</v>
      </c>
      <c r="O815" s="178">
        <v>154.14000000000001</v>
      </c>
      <c r="P815" s="444"/>
      <c r="R815" s="298"/>
      <c r="S815" s="669"/>
      <c r="T815" s="444"/>
      <c r="U815" s="444"/>
      <c r="V815" s="444"/>
      <c r="W815" s="444"/>
      <c r="X815" s="444">
        <v>815</v>
      </c>
      <c r="Y815" s="444"/>
      <c r="Z815" s="444"/>
      <c r="AA815" s="444"/>
      <c r="AB815" s="444"/>
      <c r="AC815" s="444"/>
      <c r="AD815" s="444"/>
      <c r="AE815" s="444"/>
      <c r="AF815" s="444"/>
    </row>
    <row r="816" spans="1:32" s="61" customFormat="1">
      <c r="A816" s="67" t="s">
        <v>29563</v>
      </c>
      <c r="B816" s="67" t="s">
        <v>29564</v>
      </c>
      <c r="C816" s="71" t="s">
        <v>509</v>
      </c>
      <c r="D816" s="79">
        <v>1</v>
      </c>
      <c r="E816" s="79">
        <v>231.21</v>
      </c>
      <c r="F816" s="79">
        <v>231.21</v>
      </c>
      <c r="G816" s="444"/>
      <c r="H816" s="178">
        <v>231.21</v>
      </c>
      <c r="I816" s="178">
        <v>284.39</v>
      </c>
      <c r="J816" s="70">
        <v>-53.179999999999978</v>
      </c>
      <c r="K816" s="320"/>
      <c r="L816" s="178">
        <v>20.509999999999998</v>
      </c>
      <c r="M816" s="178">
        <v>210.70000000000002</v>
      </c>
      <c r="N816" s="179">
        <v>0</v>
      </c>
      <c r="O816" s="178">
        <v>231.21</v>
      </c>
      <c r="P816" s="444"/>
      <c r="R816" s="298"/>
      <c r="S816" s="669"/>
      <c r="T816" s="444"/>
      <c r="U816" s="444"/>
      <c r="V816" s="444"/>
      <c r="W816" s="444"/>
      <c r="X816" s="444">
        <v>816</v>
      </c>
      <c r="Y816" s="444"/>
      <c r="Z816" s="444"/>
      <c r="AA816" s="444"/>
      <c r="AB816" s="444"/>
      <c r="AC816" s="444"/>
      <c r="AD816" s="444"/>
      <c r="AE816" s="444"/>
      <c r="AF816" s="444"/>
    </row>
    <row r="817" spans="1:32">
      <c r="A817" s="67" t="s">
        <v>29565</v>
      </c>
      <c r="B817" s="67" t="s">
        <v>29566</v>
      </c>
      <c r="C817" s="71" t="s">
        <v>509</v>
      </c>
      <c r="D817" s="79">
        <v>1</v>
      </c>
      <c r="E817" s="79">
        <v>136.08000000000001</v>
      </c>
      <c r="F817" s="79">
        <v>136.08000000000001</v>
      </c>
      <c r="H817" s="178">
        <v>136.08000000000001</v>
      </c>
      <c r="I817" s="178">
        <v>167.38</v>
      </c>
      <c r="J817" s="70">
        <v>-31.299999999999983</v>
      </c>
      <c r="K817" s="320"/>
      <c r="L817" s="178">
        <v>20.509999999999998</v>
      </c>
      <c r="M817" s="178">
        <v>115.57000000000002</v>
      </c>
      <c r="N817" s="179">
        <v>0</v>
      </c>
      <c r="O817" s="178">
        <v>136.08000000000001</v>
      </c>
      <c r="Q817" s="61"/>
      <c r="R817" s="298"/>
      <c r="S817" s="669"/>
      <c r="X817" s="444">
        <v>817</v>
      </c>
    </row>
    <row r="818" spans="1:32">
      <c r="A818" s="67" t="s">
        <v>29567</v>
      </c>
      <c r="B818" s="216" t="s">
        <v>33018</v>
      </c>
      <c r="C818" s="71" t="s">
        <v>509</v>
      </c>
      <c r="D818" s="79">
        <v>1</v>
      </c>
      <c r="E818" s="79">
        <v>127.18999999999998</v>
      </c>
      <c r="F818" s="79">
        <v>127.19</v>
      </c>
      <c r="H818" s="178">
        <v>127.2</v>
      </c>
      <c r="I818" s="178">
        <v>156.44999999999999</v>
      </c>
      <c r="J818" s="70">
        <v>-29.260000000000005</v>
      </c>
      <c r="K818" s="320"/>
      <c r="L818" s="178">
        <v>20.509999999999998</v>
      </c>
      <c r="M818" s="178">
        <v>106.67999999999998</v>
      </c>
      <c r="N818" s="179">
        <v>0</v>
      </c>
      <c r="O818" s="178">
        <v>127.18999999999997</v>
      </c>
      <c r="Q818" s="61"/>
      <c r="R818" s="298"/>
      <c r="S818" s="669"/>
      <c r="X818" s="444">
        <v>818</v>
      </c>
    </row>
    <row r="819" spans="1:32">
      <c r="A819" s="67" t="s">
        <v>29568</v>
      </c>
      <c r="B819" s="216" t="s">
        <v>39642</v>
      </c>
      <c r="C819" s="71" t="s">
        <v>509</v>
      </c>
      <c r="D819" s="79">
        <v>1</v>
      </c>
      <c r="E819" s="79">
        <v>219.9</v>
      </c>
      <c r="F819" s="79">
        <v>219.9</v>
      </c>
      <c r="H819" s="178">
        <v>219.89</v>
      </c>
      <c r="I819" s="178">
        <v>270.47000000000003</v>
      </c>
      <c r="J819" s="70">
        <v>-50.570000000000022</v>
      </c>
      <c r="K819" s="320"/>
      <c r="L819" s="178">
        <v>20.509999999999998</v>
      </c>
      <c r="M819" s="178">
        <v>199.39000000000001</v>
      </c>
      <c r="N819" s="179">
        <v>0</v>
      </c>
      <c r="O819" s="178">
        <v>219.9</v>
      </c>
      <c r="Q819" s="61"/>
      <c r="R819" s="298"/>
      <c r="S819" s="669"/>
      <c r="X819" s="444">
        <v>819</v>
      </c>
    </row>
    <row r="820" spans="1:32" ht="12">
      <c r="A820" s="83" t="s">
        <v>39643</v>
      </c>
      <c r="B820" s="64" t="s">
        <v>39644</v>
      </c>
      <c r="C820" s="71"/>
      <c r="D820" s="79" t="s">
        <v>40899</v>
      </c>
      <c r="E820" s="79" t="s">
        <v>40899</v>
      </c>
      <c r="F820" s="79"/>
      <c r="G820" s="445"/>
      <c r="H820" s="178"/>
      <c r="I820" s="178"/>
      <c r="J820" s="70"/>
      <c r="K820" s="320"/>
      <c r="L820" s="178"/>
      <c r="M820" s="178"/>
      <c r="N820" s="179"/>
      <c r="O820" s="178"/>
      <c r="P820" s="453"/>
      <c r="Q820" s="61"/>
      <c r="R820" s="298"/>
      <c r="S820" s="669"/>
      <c r="U820" s="61"/>
      <c r="V820" s="61"/>
      <c r="W820" s="61"/>
      <c r="X820" s="444">
        <v>820</v>
      </c>
      <c r="Y820" s="61"/>
      <c r="Z820" s="61"/>
      <c r="AA820" s="61"/>
      <c r="AB820" s="61"/>
      <c r="AC820" s="61"/>
      <c r="AD820" s="61"/>
      <c r="AE820" s="61"/>
      <c r="AF820" s="61"/>
    </row>
    <row r="821" spans="1:32" ht="12">
      <c r="A821" s="83" t="s">
        <v>19749</v>
      </c>
      <c r="B821" s="64" t="s">
        <v>19750</v>
      </c>
      <c r="C821" s="71" t="s">
        <v>165</v>
      </c>
      <c r="D821" s="79">
        <v>1</v>
      </c>
      <c r="E821" s="79">
        <v>37.609999999999992</v>
      </c>
      <c r="F821" s="79">
        <v>37.61</v>
      </c>
      <c r="G821" s="445"/>
      <c r="H821" s="178">
        <v>37.619999999999997</v>
      </c>
      <c r="I821" s="178">
        <v>46.27</v>
      </c>
      <c r="J821" s="70">
        <v>-8.6600000000000108</v>
      </c>
      <c r="K821" s="320"/>
      <c r="L821" s="178">
        <v>19.759999999999998</v>
      </c>
      <c r="M821" s="178">
        <v>17.849999999999994</v>
      </c>
      <c r="N821" s="179">
        <v>0</v>
      </c>
      <c r="O821" s="178">
        <v>37.609999999999992</v>
      </c>
      <c r="P821" s="453"/>
      <c r="Q821" s="61"/>
      <c r="R821" s="298"/>
      <c r="S821" s="669"/>
      <c r="T821" s="73"/>
      <c r="U821" s="61"/>
      <c r="V821" s="61"/>
      <c r="W821" s="61"/>
      <c r="X821" s="444">
        <v>821</v>
      </c>
      <c r="Y821" s="61"/>
      <c r="Z821" s="61"/>
      <c r="AA821" s="61"/>
      <c r="AB821" s="61"/>
      <c r="AC821" s="61"/>
      <c r="AD821" s="61"/>
      <c r="AE821" s="61"/>
      <c r="AF821" s="61"/>
    </row>
    <row r="822" spans="1:32" ht="12">
      <c r="A822" s="83" t="s">
        <v>19751</v>
      </c>
      <c r="B822" s="64" t="s">
        <v>19752</v>
      </c>
      <c r="C822" s="71" t="s">
        <v>165</v>
      </c>
      <c r="D822" s="79">
        <v>1</v>
      </c>
      <c r="E822" s="79">
        <v>120.73</v>
      </c>
      <c r="F822" s="79">
        <v>120.73</v>
      </c>
      <c r="G822" s="445"/>
      <c r="H822" s="178">
        <v>120.72</v>
      </c>
      <c r="I822" s="178">
        <v>148.47999999999999</v>
      </c>
      <c r="J822" s="70">
        <v>-27.749999999999986</v>
      </c>
      <c r="K822" s="320"/>
      <c r="L822" s="178">
        <v>24.11</v>
      </c>
      <c r="M822" s="178">
        <v>96.62</v>
      </c>
      <c r="N822" s="179">
        <v>0</v>
      </c>
      <c r="O822" s="178">
        <v>120.73</v>
      </c>
      <c r="P822" s="453"/>
      <c r="Q822" s="61"/>
      <c r="R822" s="298"/>
      <c r="S822" s="669"/>
      <c r="U822" s="61"/>
      <c r="V822" s="61"/>
      <c r="W822" s="61"/>
      <c r="X822" s="444">
        <v>822</v>
      </c>
      <c r="Y822" s="61"/>
      <c r="Z822" s="61"/>
      <c r="AA822" s="61"/>
      <c r="AB822" s="61"/>
      <c r="AC822" s="61"/>
      <c r="AD822" s="61"/>
      <c r="AE822" s="61"/>
      <c r="AF822" s="61"/>
    </row>
    <row r="823" spans="1:32" ht="12">
      <c r="A823" s="83" t="s">
        <v>19753</v>
      </c>
      <c r="B823" s="64" t="s">
        <v>39645</v>
      </c>
      <c r="C823" s="71" t="s">
        <v>509</v>
      </c>
      <c r="D823" s="79">
        <v>1</v>
      </c>
      <c r="E823" s="79">
        <v>68.14</v>
      </c>
      <c r="F823" s="79">
        <v>68.14</v>
      </c>
      <c r="G823" s="445"/>
      <c r="H823" s="178">
        <v>68.13</v>
      </c>
      <c r="I823" s="178">
        <v>83.8</v>
      </c>
      <c r="J823" s="70">
        <v>-15.659999999999997</v>
      </c>
      <c r="K823" s="320"/>
      <c r="L823" s="178">
        <v>10.259999999999998</v>
      </c>
      <c r="M823" s="178">
        <v>57.88</v>
      </c>
      <c r="N823" s="179">
        <v>0</v>
      </c>
      <c r="O823" s="178">
        <v>68.14</v>
      </c>
      <c r="P823" s="453"/>
      <c r="Q823" s="61"/>
      <c r="R823" s="298"/>
      <c r="S823" s="669"/>
      <c r="U823" s="61"/>
      <c r="V823" s="61"/>
      <c r="W823" s="61"/>
      <c r="X823" s="444">
        <v>823</v>
      </c>
      <c r="Y823" s="61"/>
      <c r="Z823" s="61"/>
      <c r="AA823" s="61"/>
      <c r="AB823" s="61"/>
      <c r="AC823" s="61"/>
      <c r="AD823" s="61"/>
      <c r="AE823" s="61"/>
      <c r="AF823" s="61"/>
    </row>
    <row r="824" spans="1:32" s="61" customFormat="1" ht="12">
      <c r="A824" s="83" t="s">
        <v>19754</v>
      </c>
      <c r="B824" s="64" t="s">
        <v>39646</v>
      </c>
      <c r="C824" s="71" t="s">
        <v>165</v>
      </c>
      <c r="D824" s="79">
        <v>1</v>
      </c>
      <c r="E824" s="79">
        <v>135.54</v>
      </c>
      <c r="F824" s="79">
        <v>135.54</v>
      </c>
      <c r="G824" s="445"/>
      <c r="H824" s="178">
        <v>135.54</v>
      </c>
      <c r="I824" s="178">
        <v>166.72</v>
      </c>
      <c r="J824" s="70">
        <v>-31.180000000000007</v>
      </c>
      <c r="K824" s="320"/>
      <c r="L824" s="178">
        <v>44.09</v>
      </c>
      <c r="M824" s="178">
        <v>91.449999999999989</v>
      </c>
      <c r="N824" s="179">
        <v>0</v>
      </c>
      <c r="O824" s="178">
        <v>135.54</v>
      </c>
      <c r="P824" s="453"/>
      <c r="R824" s="298"/>
      <c r="S824" s="669"/>
      <c r="T824" s="444"/>
      <c r="X824" s="444">
        <v>824</v>
      </c>
    </row>
    <row r="825" spans="1:32" s="61" customFormat="1" ht="12">
      <c r="A825" s="83" t="s">
        <v>19755</v>
      </c>
      <c r="B825" s="64" t="s">
        <v>19756</v>
      </c>
      <c r="C825" s="71" t="s">
        <v>165</v>
      </c>
      <c r="D825" s="79">
        <v>1</v>
      </c>
      <c r="E825" s="79">
        <v>45.959999999999994</v>
      </c>
      <c r="F825" s="79">
        <v>45.96</v>
      </c>
      <c r="G825" s="445"/>
      <c r="H825" s="178">
        <v>45.95</v>
      </c>
      <c r="I825" s="178">
        <v>56.52</v>
      </c>
      <c r="J825" s="70">
        <v>-10.560000000000009</v>
      </c>
      <c r="K825" s="320"/>
      <c r="L825" s="178">
        <v>10.259999999999998</v>
      </c>
      <c r="M825" s="178">
        <v>35.699999999999996</v>
      </c>
      <c r="N825" s="179">
        <v>0</v>
      </c>
      <c r="O825" s="178">
        <v>45.959999999999994</v>
      </c>
      <c r="P825" s="453"/>
      <c r="R825" s="298"/>
      <c r="S825" s="669"/>
      <c r="T825" s="444"/>
      <c r="X825" s="444">
        <v>825</v>
      </c>
    </row>
    <row r="826" spans="1:32" s="61" customFormat="1" ht="12">
      <c r="A826" s="83" t="s">
        <v>19757</v>
      </c>
      <c r="B826" s="64" t="s">
        <v>19758</v>
      </c>
      <c r="C826" s="71" t="s">
        <v>165</v>
      </c>
      <c r="D826" s="79">
        <v>1</v>
      </c>
      <c r="E826" s="79">
        <v>107.23</v>
      </c>
      <c r="F826" s="79">
        <v>107.23</v>
      </c>
      <c r="G826" s="445"/>
      <c r="H826" s="178">
        <v>107.22</v>
      </c>
      <c r="I826" s="178">
        <v>131.88</v>
      </c>
      <c r="J826" s="70">
        <v>-24.649999999999991</v>
      </c>
      <c r="K826" s="320"/>
      <c r="L826" s="178">
        <v>24.11</v>
      </c>
      <c r="M826" s="178">
        <v>83.12</v>
      </c>
      <c r="N826" s="179">
        <v>0</v>
      </c>
      <c r="O826" s="178">
        <v>107.23</v>
      </c>
      <c r="P826" s="453"/>
      <c r="R826" s="298"/>
      <c r="S826" s="669"/>
      <c r="T826" s="444"/>
      <c r="X826" s="444">
        <v>826</v>
      </c>
    </row>
    <row r="827" spans="1:32" s="61" customFormat="1" ht="12">
      <c r="A827" s="83" t="s">
        <v>19759</v>
      </c>
      <c r="B827" s="64" t="s">
        <v>19760</v>
      </c>
      <c r="C827" s="71" t="s">
        <v>165</v>
      </c>
      <c r="D827" s="79">
        <v>1</v>
      </c>
      <c r="E827" s="79">
        <v>96.36</v>
      </c>
      <c r="F827" s="79">
        <v>96.36</v>
      </c>
      <c r="G827" s="445"/>
      <c r="H827" s="178">
        <v>96.37</v>
      </c>
      <c r="I827" s="178">
        <v>118.53</v>
      </c>
      <c r="J827" s="70">
        <v>-22.17</v>
      </c>
      <c r="K827" s="320"/>
      <c r="L827" s="178">
        <v>44.09</v>
      </c>
      <c r="M827" s="178">
        <v>52.269999999999996</v>
      </c>
      <c r="N827" s="179">
        <v>0</v>
      </c>
      <c r="O827" s="178">
        <v>96.36</v>
      </c>
      <c r="P827" s="453"/>
      <c r="R827" s="298"/>
      <c r="S827" s="669"/>
      <c r="T827" s="444"/>
      <c r="X827" s="444">
        <v>827</v>
      </c>
    </row>
    <row r="828" spans="1:32" s="61" customFormat="1" ht="12">
      <c r="A828" s="83" t="s">
        <v>19761</v>
      </c>
      <c r="B828" s="64" t="s">
        <v>6751</v>
      </c>
      <c r="C828" s="71" t="s">
        <v>165</v>
      </c>
      <c r="D828" s="79">
        <v>1</v>
      </c>
      <c r="E828" s="79">
        <v>23.729999999999997</v>
      </c>
      <c r="F828" s="79">
        <v>23.73</v>
      </c>
      <c r="G828" s="445"/>
      <c r="H828" s="178">
        <v>23.72</v>
      </c>
      <c r="I828" s="178">
        <v>29.18</v>
      </c>
      <c r="J828" s="70">
        <v>-5.4500000000000028</v>
      </c>
      <c r="K828" s="320"/>
      <c r="L828" s="178">
        <v>10.259999999999998</v>
      </c>
      <c r="M828" s="178">
        <v>13.469999999999999</v>
      </c>
      <c r="N828" s="179">
        <v>0</v>
      </c>
      <c r="O828" s="178">
        <v>23.729999999999997</v>
      </c>
      <c r="P828" s="453"/>
      <c r="R828" s="298"/>
      <c r="S828" s="669"/>
      <c r="T828" s="444"/>
      <c r="X828" s="444">
        <v>828</v>
      </c>
    </row>
    <row r="829" spans="1:32" s="61" customFormat="1" ht="12">
      <c r="A829" s="83" t="s">
        <v>19762</v>
      </c>
      <c r="B829" s="64" t="s">
        <v>19763</v>
      </c>
      <c r="C829" s="71" t="s">
        <v>509</v>
      </c>
      <c r="D829" s="79">
        <v>1</v>
      </c>
      <c r="E829" s="79">
        <v>925.36</v>
      </c>
      <c r="F829" s="79">
        <v>925.36</v>
      </c>
      <c r="G829" s="445"/>
      <c r="H829" s="178">
        <v>925.36</v>
      </c>
      <c r="I829" s="178">
        <v>1138.19</v>
      </c>
      <c r="J829" s="70">
        <v>-212.83000000000004</v>
      </c>
      <c r="K829" s="320"/>
      <c r="L829" s="178">
        <v>61.54</v>
      </c>
      <c r="M829" s="178">
        <v>863.82</v>
      </c>
      <c r="N829" s="179">
        <v>0</v>
      </c>
      <c r="O829" s="178">
        <v>925.36</v>
      </c>
      <c r="P829" s="453"/>
      <c r="R829" s="298"/>
      <c r="S829" s="669"/>
      <c r="T829" s="444"/>
      <c r="X829" s="444">
        <v>829</v>
      </c>
    </row>
    <row r="830" spans="1:32" s="61" customFormat="1" ht="12">
      <c r="A830" s="83" t="s">
        <v>19764</v>
      </c>
      <c r="B830" s="64" t="s">
        <v>19765</v>
      </c>
      <c r="C830" s="71" t="s">
        <v>10216</v>
      </c>
      <c r="D830" s="79">
        <v>1</v>
      </c>
      <c r="E830" s="79">
        <v>577.26</v>
      </c>
      <c r="F830" s="79">
        <v>577.26</v>
      </c>
      <c r="G830" s="445"/>
      <c r="H830" s="178">
        <v>577.25</v>
      </c>
      <c r="I830" s="178">
        <v>710.02</v>
      </c>
      <c r="J830" s="70">
        <v>-132.76</v>
      </c>
      <c r="K830" s="320"/>
      <c r="L830" s="178"/>
      <c r="M830" s="178">
        <v>577.26</v>
      </c>
      <c r="N830" s="179">
        <v>0</v>
      </c>
      <c r="O830" s="178">
        <v>577.26</v>
      </c>
      <c r="P830" s="453"/>
      <c r="R830" s="298"/>
      <c r="S830" s="669"/>
      <c r="T830" s="444"/>
      <c r="X830" s="444">
        <v>830</v>
      </c>
    </row>
    <row r="831" spans="1:32" s="61" customFormat="1" ht="12">
      <c r="A831" s="83" t="s">
        <v>19766</v>
      </c>
      <c r="B831" s="64" t="s">
        <v>19767</v>
      </c>
      <c r="C831" s="71" t="s">
        <v>165</v>
      </c>
      <c r="D831" s="79">
        <v>1</v>
      </c>
      <c r="E831" s="79">
        <v>62.91</v>
      </c>
      <c r="F831" s="79">
        <v>62.91</v>
      </c>
      <c r="G831" s="320"/>
      <c r="H831" s="178">
        <v>62.9</v>
      </c>
      <c r="I831" s="178">
        <v>77.37</v>
      </c>
      <c r="J831" s="70">
        <v>-14.460000000000008</v>
      </c>
      <c r="K831" s="320"/>
      <c r="L831" s="178">
        <v>30.77</v>
      </c>
      <c r="M831" s="178">
        <v>32.14</v>
      </c>
      <c r="N831" s="179">
        <v>0</v>
      </c>
      <c r="O831" s="178">
        <v>62.91</v>
      </c>
      <c r="P831" s="453"/>
      <c r="R831" s="298"/>
      <c r="S831" s="669"/>
      <c r="X831" s="444">
        <v>831</v>
      </c>
    </row>
    <row r="832" spans="1:32" s="61" customFormat="1" ht="12">
      <c r="A832" s="83" t="s">
        <v>19768</v>
      </c>
      <c r="B832" s="64" t="s">
        <v>19769</v>
      </c>
      <c r="C832" s="71" t="s">
        <v>165</v>
      </c>
      <c r="D832" s="79">
        <v>1</v>
      </c>
      <c r="E832" s="79">
        <v>61.36</v>
      </c>
      <c r="F832" s="79">
        <v>61.36</v>
      </c>
      <c r="G832" s="320"/>
      <c r="H832" s="178">
        <v>61.37</v>
      </c>
      <c r="I832" s="178">
        <v>75.48</v>
      </c>
      <c r="J832" s="70">
        <v>-14.120000000000005</v>
      </c>
      <c r="K832" s="320"/>
      <c r="L832" s="178">
        <v>20.509999999999998</v>
      </c>
      <c r="M832" s="178">
        <v>40.85</v>
      </c>
      <c r="N832" s="179">
        <v>0</v>
      </c>
      <c r="O832" s="178">
        <v>61.36</v>
      </c>
      <c r="P832" s="453"/>
      <c r="R832" s="298"/>
      <c r="S832" s="669"/>
      <c r="X832" s="444">
        <v>832</v>
      </c>
    </row>
    <row r="833" spans="1:32" s="61" customFormat="1" ht="12">
      <c r="A833" s="83" t="s">
        <v>19770</v>
      </c>
      <c r="B833" s="64" t="s">
        <v>19771</v>
      </c>
      <c r="C833" s="71" t="s">
        <v>165</v>
      </c>
      <c r="D833" s="79">
        <v>1</v>
      </c>
      <c r="E833" s="79">
        <v>80.97</v>
      </c>
      <c r="F833" s="79">
        <v>80.97</v>
      </c>
      <c r="G833" s="320"/>
      <c r="H833" s="178">
        <v>80.97</v>
      </c>
      <c r="I833" s="178">
        <v>99.59</v>
      </c>
      <c r="J833" s="70">
        <v>-18.620000000000005</v>
      </c>
      <c r="K833" s="320"/>
      <c r="L833" s="178">
        <v>20.509999999999998</v>
      </c>
      <c r="M833" s="178">
        <v>60.46</v>
      </c>
      <c r="N833" s="179">
        <v>0</v>
      </c>
      <c r="O833" s="178">
        <v>80.97</v>
      </c>
      <c r="P833" s="453"/>
      <c r="R833" s="298"/>
      <c r="S833" s="669"/>
      <c r="X833" s="444">
        <v>833</v>
      </c>
    </row>
    <row r="834" spans="1:32" s="61" customFormat="1">
      <c r="A834" s="67" t="s">
        <v>29569</v>
      </c>
      <c r="B834" s="67" t="s">
        <v>29570</v>
      </c>
      <c r="C834" s="71" t="s">
        <v>165</v>
      </c>
      <c r="D834" s="79">
        <v>1</v>
      </c>
      <c r="E834" s="79">
        <v>82.25</v>
      </c>
      <c r="F834" s="79">
        <v>82.25</v>
      </c>
      <c r="G834" s="444"/>
      <c r="H834" s="178">
        <v>82.24</v>
      </c>
      <c r="I834" s="178">
        <v>101.16</v>
      </c>
      <c r="J834" s="70">
        <v>-18.909999999999997</v>
      </c>
      <c r="K834" s="320"/>
      <c r="L834" s="178">
        <v>20.509999999999998</v>
      </c>
      <c r="M834" s="178">
        <v>61.74</v>
      </c>
      <c r="N834" s="179">
        <v>0</v>
      </c>
      <c r="O834" s="178">
        <v>82.25</v>
      </c>
      <c r="P834" s="444"/>
      <c r="R834" s="298"/>
      <c r="S834" s="669"/>
      <c r="T834" s="444"/>
      <c r="U834" s="444"/>
      <c r="V834" s="444"/>
      <c r="W834" s="444"/>
      <c r="X834" s="444">
        <v>834</v>
      </c>
      <c r="Y834" s="444"/>
      <c r="Z834" s="444"/>
      <c r="AA834" s="444"/>
      <c r="AB834" s="444"/>
      <c r="AC834" s="444"/>
      <c r="AD834" s="444"/>
      <c r="AE834" s="444"/>
      <c r="AF834" s="444"/>
    </row>
    <row r="835" spans="1:32" s="61" customFormat="1" ht="12">
      <c r="A835" s="83" t="s">
        <v>19772</v>
      </c>
      <c r="B835" s="64" t="s">
        <v>19773</v>
      </c>
      <c r="C835" s="71" t="s">
        <v>165</v>
      </c>
      <c r="D835" s="79">
        <v>1</v>
      </c>
      <c r="E835" s="79">
        <v>55.14</v>
      </c>
      <c r="F835" s="79">
        <v>55.14</v>
      </c>
      <c r="G835" s="320"/>
      <c r="H835" s="178">
        <v>55.14</v>
      </c>
      <c r="I835" s="178">
        <v>67.819999999999993</v>
      </c>
      <c r="J835" s="70">
        <v>-12.679999999999993</v>
      </c>
      <c r="K835" s="320"/>
      <c r="L835" s="178">
        <v>20.509999999999998</v>
      </c>
      <c r="M835" s="178">
        <v>34.630000000000003</v>
      </c>
      <c r="N835" s="179">
        <v>0</v>
      </c>
      <c r="O835" s="178">
        <v>55.14</v>
      </c>
      <c r="P835" s="453"/>
      <c r="R835" s="298"/>
      <c r="S835" s="669"/>
      <c r="X835" s="444">
        <v>835</v>
      </c>
    </row>
    <row r="836" spans="1:32" s="61" customFormat="1" ht="12">
      <c r="A836" s="83" t="s">
        <v>19774</v>
      </c>
      <c r="B836" s="64" t="s">
        <v>19775</v>
      </c>
      <c r="C836" s="71" t="s">
        <v>165</v>
      </c>
      <c r="D836" s="79">
        <v>1</v>
      </c>
      <c r="E836" s="79">
        <v>62.53</v>
      </c>
      <c r="F836" s="79">
        <v>62.53</v>
      </c>
      <c r="G836" s="320"/>
      <c r="H836" s="178">
        <v>62.53</v>
      </c>
      <c r="I836" s="178">
        <v>76.91</v>
      </c>
      <c r="J836" s="70">
        <v>-14.379999999999995</v>
      </c>
      <c r="K836" s="320"/>
      <c r="L836" s="178">
        <v>20.509999999999998</v>
      </c>
      <c r="M836" s="178">
        <v>42.02</v>
      </c>
      <c r="N836" s="179">
        <v>0</v>
      </c>
      <c r="O836" s="178">
        <v>62.53</v>
      </c>
      <c r="P836" s="453"/>
      <c r="R836" s="298"/>
      <c r="S836" s="669"/>
      <c r="X836" s="444">
        <v>836</v>
      </c>
    </row>
    <row r="837" spans="1:32" s="61" customFormat="1" ht="12">
      <c r="A837" s="83" t="s">
        <v>19776</v>
      </c>
      <c r="B837" s="64" t="s">
        <v>19777</v>
      </c>
      <c r="C837" s="71" t="s">
        <v>165</v>
      </c>
      <c r="D837" s="79">
        <v>1</v>
      </c>
      <c r="E837" s="79">
        <v>82.22</v>
      </c>
      <c r="F837" s="79">
        <v>82.22</v>
      </c>
      <c r="G837" s="320"/>
      <c r="H837" s="178">
        <v>82.21</v>
      </c>
      <c r="I837" s="178">
        <v>101.12</v>
      </c>
      <c r="J837" s="70">
        <v>-18.900000000000006</v>
      </c>
      <c r="K837" s="320"/>
      <c r="L837" s="178">
        <v>20.509999999999998</v>
      </c>
      <c r="M837" s="178">
        <v>61.71</v>
      </c>
      <c r="N837" s="179">
        <v>0</v>
      </c>
      <c r="O837" s="178">
        <v>82.22</v>
      </c>
      <c r="P837" s="453"/>
      <c r="R837" s="298"/>
      <c r="S837" s="669"/>
      <c r="X837" s="444">
        <v>837</v>
      </c>
    </row>
    <row r="838" spans="1:32">
      <c r="A838" s="67" t="s">
        <v>29571</v>
      </c>
      <c r="B838" s="67" t="s">
        <v>29572</v>
      </c>
      <c r="C838" s="71" t="s">
        <v>165</v>
      </c>
      <c r="D838" s="79">
        <v>1</v>
      </c>
      <c r="E838" s="79">
        <v>79.309999999999988</v>
      </c>
      <c r="F838" s="79">
        <v>79.31</v>
      </c>
      <c r="H838" s="178">
        <v>79.31</v>
      </c>
      <c r="I838" s="178">
        <v>97.55</v>
      </c>
      <c r="J838" s="70">
        <v>-18.240000000000009</v>
      </c>
      <c r="K838" s="320"/>
      <c r="L838" s="178">
        <v>20.509999999999998</v>
      </c>
      <c r="M838" s="178">
        <v>58.79999999999999</v>
      </c>
      <c r="N838" s="179">
        <v>0</v>
      </c>
      <c r="O838" s="178">
        <v>79.309999999999988</v>
      </c>
      <c r="Q838" s="61"/>
      <c r="R838" s="298"/>
      <c r="S838" s="669"/>
      <c r="X838" s="444">
        <v>838</v>
      </c>
    </row>
    <row r="839" spans="1:32" s="61" customFormat="1" ht="24">
      <c r="A839" s="65" t="s">
        <v>41716</v>
      </c>
      <c r="B839" s="65" t="s">
        <v>41717</v>
      </c>
      <c r="C839" s="108" t="s">
        <v>41718</v>
      </c>
      <c r="D839" s="458">
        <v>1</v>
      </c>
      <c r="E839" s="79">
        <v>64.14</v>
      </c>
      <c r="F839" s="79">
        <v>64.14</v>
      </c>
      <c r="G839" s="444"/>
      <c r="H839" s="753">
        <v>64.13</v>
      </c>
      <c r="I839" s="178">
        <v>78.88</v>
      </c>
      <c r="J839" s="753">
        <v>-14.739999999999995</v>
      </c>
      <c r="K839" s="754"/>
      <c r="L839" s="178">
        <v>12.829999999999998</v>
      </c>
      <c r="M839" s="753">
        <v>51.31</v>
      </c>
      <c r="N839" s="179">
        <v>0</v>
      </c>
      <c r="O839" s="753">
        <v>64.14</v>
      </c>
      <c r="P839" s="444"/>
      <c r="Q839" s="444"/>
      <c r="R839" s="444"/>
      <c r="S839" s="669"/>
      <c r="T839" s="444"/>
      <c r="U839" s="444"/>
      <c r="V839" s="444"/>
      <c r="W839" s="444"/>
      <c r="X839" s="444">
        <v>839</v>
      </c>
      <c r="Y839" s="444"/>
      <c r="Z839" s="444"/>
      <c r="AA839" s="444"/>
      <c r="AB839" s="444"/>
      <c r="AC839" s="444"/>
      <c r="AD839" s="444"/>
      <c r="AE839" s="444"/>
      <c r="AF839" s="444"/>
    </row>
    <row r="840" spans="1:32" s="61" customFormat="1" ht="24">
      <c r="A840" s="65" t="s">
        <v>41719</v>
      </c>
      <c r="B840" s="65" t="s">
        <v>41720</v>
      </c>
      <c r="C840" s="108" t="s">
        <v>41718</v>
      </c>
      <c r="D840" s="458">
        <v>1</v>
      </c>
      <c r="E840" s="79">
        <v>31.109999999999996</v>
      </c>
      <c r="F840" s="79">
        <v>31.11</v>
      </c>
      <c r="G840" s="444"/>
      <c r="H840" s="753">
        <v>31.1</v>
      </c>
      <c r="I840" s="178">
        <v>38.25</v>
      </c>
      <c r="J840" s="753">
        <v>-7.1400000000000041</v>
      </c>
      <c r="K840" s="754"/>
      <c r="L840" s="178">
        <v>12.829999999999998</v>
      </c>
      <c r="M840" s="753">
        <v>18.279999999999998</v>
      </c>
      <c r="N840" s="179">
        <v>0</v>
      </c>
      <c r="O840" s="753">
        <v>31.109999999999996</v>
      </c>
      <c r="P840" s="444"/>
      <c r="Q840" s="444"/>
      <c r="R840" s="444"/>
      <c r="S840" s="669"/>
      <c r="T840" s="444"/>
      <c r="U840" s="444"/>
      <c r="V840" s="444"/>
      <c r="W840" s="444"/>
      <c r="X840" s="444">
        <v>840</v>
      </c>
      <c r="Y840" s="444"/>
      <c r="Z840" s="444"/>
      <c r="AA840" s="444"/>
      <c r="AB840" s="444"/>
      <c r="AC840" s="444"/>
      <c r="AD840" s="444"/>
      <c r="AE840" s="444"/>
      <c r="AF840" s="444"/>
    </row>
    <row r="841" spans="1:32" s="61" customFormat="1" ht="12">
      <c r="A841" s="83" t="s">
        <v>19778</v>
      </c>
      <c r="B841" s="64" t="s">
        <v>19779</v>
      </c>
      <c r="C841" s="71" t="s">
        <v>165</v>
      </c>
      <c r="D841" s="79">
        <v>1</v>
      </c>
      <c r="E841" s="79">
        <v>72.84</v>
      </c>
      <c r="F841" s="79">
        <v>72.84</v>
      </c>
      <c r="G841" s="320"/>
      <c r="H841" s="178">
        <v>72.84</v>
      </c>
      <c r="I841" s="178">
        <v>89.59</v>
      </c>
      <c r="J841" s="70">
        <v>-16.75</v>
      </c>
      <c r="K841" s="320"/>
      <c r="L841" s="178">
        <v>30.77</v>
      </c>
      <c r="M841" s="178">
        <v>42.070000000000007</v>
      </c>
      <c r="N841" s="179">
        <v>0</v>
      </c>
      <c r="O841" s="178">
        <v>72.84</v>
      </c>
      <c r="P841" s="453"/>
      <c r="R841" s="298"/>
      <c r="S841" s="669"/>
      <c r="X841" s="444">
        <v>841</v>
      </c>
    </row>
    <row r="842" spans="1:32" ht="12">
      <c r="A842" s="83" t="s">
        <v>19780</v>
      </c>
      <c r="B842" s="64" t="s">
        <v>19781</v>
      </c>
      <c r="C842" s="71" t="s">
        <v>165</v>
      </c>
      <c r="D842" s="79">
        <v>1</v>
      </c>
      <c r="E842" s="79">
        <v>90.73</v>
      </c>
      <c r="F842" s="79">
        <v>90.73</v>
      </c>
      <c r="G842" s="320"/>
      <c r="H842" s="178">
        <v>90.73</v>
      </c>
      <c r="I842" s="178">
        <v>111.6</v>
      </c>
      <c r="J842" s="70">
        <v>-20.86999999999999</v>
      </c>
      <c r="K842" s="320"/>
      <c r="L842" s="178">
        <v>38.450000000000003</v>
      </c>
      <c r="M842" s="178">
        <v>52.28</v>
      </c>
      <c r="N842" s="179">
        <v>0</v>
      </c>
      <c r="O842" s="178">
        <v>90.73</v>
      </c>
      <c r="P842" s="453"/>
      <c r="Q842" s="61"/>
      <c r="R842" s="298"/>
      <c r="S842" s="669"/>
      <c r="T842" s="61"/>
      <c r="U842" s="61"/>
      <c r="V842" s="61"/>
      <c r="W842" s="61"/>
      <c r="X842" s="444">
        <v>842</v>
      </c>
      <c r="Y842" s="61"/>
      <c r="Z842" s="61"/>
      <c r="AA842" s="61"/>
      <c r="AB842" s="61"/>
      <c r="AC842" s="61"/>
      <c r="AD842" s="61"/>
      <c r="AE842" s="61"/>
      <c r="AF842" s="61"/>
    </row>
    <row r="843" spans="1:32" ht="12">
      <c r="A843" s="755" t="s">
        <v>19782</v>
      </c>
      <c r="B843" s="756" t="s">
        <v>19783</v>
      </c>
      <c r="C843" s="757" t="s">
        <v>165</v>
      </c>
      <c r="D843" s="668">
        <v>1</v>
      </c>
      <c r="E843" s="668">
        <v>53.519999999999996</v>
      </c>
      <c r="F843" s="668">
        <v>53.52</v>
      </c>
      <c r="G843" s="320"/>
      <c r="H843" s="178">
        <v>53.52</v>
      </c>
      <c r="I843" s="178">
        <v>65.83</v>
      </c>
      <c r="J843" s="70">
        <v>-12.310000000000002</v>
      </c>
      <c r="K843" s="320"/>
      <c r="L843" s="178">
        <v>30.77</v>
      </c>
      <c r="M843" s="178">
        <v>22.749999999999996</v>
      </c>
      <c r="N843" s="179">
        <v>0</v>
      </c>
      <c r="O843" s="758">
        <v>53.519999999999996</v>
      </c>
      <c r="P843" s="453"/>
      <c r="Q843" s="61"/>
      <c r="R843" s="298"/>
      <c r="S843" s="669"/>
      <c r="T843" s="61"/>
      <c r="U843" s="61"/>
      <c r="V843" s="61"/>
      <c r="W843" s="61"/>
      <c r="X843" s="444">
        <v>843</v>
      </c>
      <c r="Y843" s="61"/>
      <c r="Z843" s="61"/>
      <c r="AA843" s="61"/>
      <c r="AB843" s="61"/>
      <c r="AC843" s="61"/>
      <c r="AD843" s="61"/>
      <c r="AE843" s="61"/>
      <c r="AF843" s="61"/>
    </row>
    <row r="844" spans="1:32" ht="12">
      <c r="A844" s="755" t="s">
        <v>19784</v>
      </c>
      <c r="B844" s="756" t="s">
        <v>19785</v>
      </c>
      <c r="C844" s="757" t="s">
        <v>165</v>
      </c>
      <c r="D844" s="668">
        <v>1</v>
      </c>
      <c r="E844" s="668">
        <v>68.09</v>
      </c>
      <c r="F844" s="668">
        <v>68.09</v>
      </c>
      <c r="G844" s="320"/>
      <c r="H844" s="178">
        <v>68.099999999999994</v>
      </c>
      <c r="I844" s="178">
        <v>83.76</v>
      </c>
      <c r="J844" s="70">
        <v>-15.670000000000002</v>
      </c>
      <c r="K844" s="320"/>
      <c r="L844" s="178">
        <v>38.450000000000003</v>
      </c>
      <c r="M844" s="178">
        <v>29.64</v>
      </c>
      <c r="N844" s="179">
        <v>0</v>
      </c>
      <c r="O844" s="758">
        <v>68.09</v>
      </c>
      <c r="P844" s="453"/>
      <c r="Q844" s="61"/>
      <c r="R844" s="298"/>
      <c r="S844" s="669"/>
      <c r="T844" s="61"/>
      <c r="U844" s="61"/>
      <c r="V844" s="61"/>
      <c r="W844" s="61"/>
      <c r="X844" s="444">
        <v>844</v>
      </c>
      <c r="Y844" s="61"/>
      <c r="Z844" s="61"/>
      <c r="AA844" s="61"/>
      <c r="AB844" s="61"/>
      <c r="AC844" s="61"/>
      <c r="AD844" s="61"/>
      <c r="AE844" s="61"/>
      <c r="AF844" s="61"/>
    </row>
    <row r="845" spans="1:32" s="61" customFormat="1" ht="12">
      <c r="A845" s="83" t="s">
        <v>19786</v>
      </c>
      <c r="B845" s="64" t="s">
        <v>19787</v>
      </c>
      <c r="C845" s="71" t="s">
        <v>165</v>
      </c>
      <c r="D845" s="79">
        <v>1</v>
      </c>
      <c r="E845" s="79">
        <v>110.09</v>
      </c>
      <c r="F845" s="79">
        <v>110.09</v>
      </c>
      <c r="G845" s="320"/>
      <c r="H845" s="178">
        <v>110.08</v>
      </c>
      <c r="I845" s="178">
        <v>135.4</v>
      </c>
      <c r="J845" s="70">
        <v>-25.310000000000002</v>
      </c>
      <c r="K845" s="320"/>
      <c r="L845" s="178">
        <v>66.67</v>
      </c>
      <c r="M845" s="178">
        <v>43.42</v>
      </c>
      <c r="N845" s="179">
        <v>0</v>
      </c>
      <c r="O845" s="178">
        <v>110.09</v>
      </c>
      <c r="P845" s="453"/>
      <c r="R845" s="298"/>
      <c r="S845" s="669"/>
      <c r="X845" s="444">
        <v>845</v>
      </c>
    </row>
    <row r="846" spans="1:32" s="61" customFormat="1" ht="12">
      <c r="A846" s="83" t="s">
        <v>19788</v>
      </c>
      <c r="B846" s="64" t="s">
        <v>19789</v>
      </c>
      <c r="C846" s="71" t="s">
        <v>165</v>
      </c>
      <c r="D846" s="79">
        <v>1</v>
      </c>
      <c r="E846" s="79">
        <v>141.37</v>
      </c>
      <c r="F846" s="79">
        <v>141.37</v>
      </c>
      <c r="G846" s="320"/>
      <c r="H846" s="178">
        <v>141.36000000000001</v>
      </c>
      <c r="I846" s="178">
        <v>173.87</v>
      </c>
      <c r="J846" s="70">
        <v>-32.5</v>
      </c>
      <c r="K846" s="320"/>
      <c r="L846" s="178">
        <v>66.67</v>
      </c>
      <c r="M846" s="178">
        <v>74.7</v>
      </c>
      <c r="N846" s="179">
        <v>0</v>
      </c>
      <c r="O846" s="178">
        <v>141.37</v>
      </c>
      <c r="P846" s="453"/>
      <c r="R846" s="298"/>
      <c r="S846" s="669"/>
      <c r="X846" s="444">
        <v>846</v>
      </c>
    </row>
    <row r="847" spans="1:32" s="61" customFormat="1" ht="12">
      <c r="A847" s="83" t="s">
        <v>19790</v>
      </c>
      <c r="B847" s="64" t="s">
        <v>19791</v>
      </c>
      <c r="C847" s="71" t="s">
        <v>165</v>
      </c>
      <c r="D847" s="79">
        <v>1</v>
      </c>
      <c r="E847" s="79">
        <v>69.03</v>
      </c>
      <c r="F847" s="79">
        <v>69.03</v>
      </c>
      <c r="G847" s="320"/>
      <c r="H847" s="178">
        <v>69.02</v>
      </c>
      <c r="I847" s="178">
        <v>84.9</v>
      </c>
      <c r="J847" s="70">
        <v>-15.870000000000005</v>
      </c>
      <c r="K847" s="320"/>
      <c r="L847" s="178">
        <v>30.77</v>
      </c>
      <c r="M847" s="178">
        <v>38.260000000000005</v>
      </c>
      <c r="N847" s="179">
        <v>0</v>
      </c>
      <c r="O847" s="178">
        <v>69.03</v>
      </c>
      <c r="P847" s="453"/>
      <c r="R847" s="298"/>
      <c r="S847" s="669"/>
      <c r="X847" s="444">
        <v>847</v>
      </c>
    </row>
    <row r="848" spans="1:32" s="61" customFormat="1" ht="12">
      <c r="A848" s="83" t="s">
        <v>19792</v>
      </c>
      <c r="B848" s="64" t="s">
        <v>6785</v>
      </c>
      <c r="C848" s="71" t="s">
        <v>165</v>
      </c>
      <c r="D848" s="79">
        <v>1</v>
      </c>
      <c r="E848" s="79">
        <v>98.210000000000008</v>
      </c>
      <c r="F848" s="79">
        <v>98.21</v>
      </c>
      <c r="G848" s="320"/>
      <c r="H848" s="178">
        <v>98.21</v>
      </c>
      <c r="I848" s="178">
        <v>120.8</v>
      </c>
      <c r="J848" s="70">
        <v>-22.589999999999989</v>
      </c>
      <c r="K848" s="320"/>
      <c r="L848" s="178">
        <v>6.15</v>
      </c>
      <c r="M848" s="178">
        <v>92.06</v>
      </c>
      <c r="N848" s="179">
        <v>0</v>
      </c>
      <c r="O848" s="178">
        <v>98.210000000000008</v>
      </c>
      <c r="P848" s="132"/>
      <c r="R848" s="298"/>
      <c r="S848" s="669"/>
      <c r="X848" s="444">
        <v>848</v>
      </c>
    </row>
    <row r="849" spans="1:32" s="61" customFormat="1" ht="12">
      <c r="A849" s="83" t="s">
        <v>19793</v>
      </c>
      <c r="B849" s="64" t="s">
        <v>6788</v>
      </c>
      <c r="C849" s="71" t="s">
        <v>165</v>
      </c>
      <c r="D849" s="79">
        <v>1</v>
      </c>
      <c r="E849" s="79">
        <v>64.05</v>
      </c>
      <c r="F849" s="79">
        <v>64.05</v>
      </c>
      <c r="G849" s="320"/>
      <c r="H849" s="178">
        <v>64.03</v>
      </c>
      <c r="I849" s="178">
        <v>78.760000000000005</v>
      </c>
      <c r="J849" s="70">
        <v>-14.710000000000008</v>
      </c>
      <c r="K849" s="320"/>
      <c r="L849" s="178">
        <v>4.1099999999999994</v>
      </c>
      <c r="M849" s="178">
        <v>59.94</v>
      </c>
      <c r="N849" s="179">
        <v>0</v>
      </c>
      <c r="O849" s="178">
        <v>64.05</v>
      </c>
      <c r="P849" s="132"/>
      <c r="R849" s="298"/>
      <c r="S849" s="669"/>
      <c r="X849" s="444">
        <v>849</v>
      </c>
    </row>
    <row r="850" spans="1:32" s="61" customFormat="1" ht="12">
      <c r="A850" s="83" t="s">
        <v>19794</v>
      </c>
      <c r="B850" s="64" t="s">
        <v>6794</v>
      </c>
      <c r="C850" s="71" t="s">
        <v>165</v>
      </c>
      <c r="D850" s="79">
        <v>1</v>
      </c>
      <c r="E850" s="79">
        <v>63.68</v>
      </c>
      <c r="F850" s="79">
        <v>63.68</v>
      </c>
      <c r="G850" s="320"/>
      <c r="H850" s="178">
        <v>63.67</v>
      </c>
      <c r="I850" s="178">
        <v>78.319999999999993</v>
      </c>
      <c r="J850" s="70">
        <v>-14.639999999999993</v>
      </c>
      <c r="K850" s="320"/>
      <c r="L850" s="178">
        <v>4.1099999999999994</v>
      </c>
      <c r="M850" s="178">
        <v>59.57</v>
      </c>
      <c r="N850" s="179">
        <v>0</v>
      </c>
      <c r="O850" s="178">
        <v>63.68</v>
      </c>
      <c r="P850" s="132"/>
      <c r="R850" s="298"/>
      <c r="S850" s="669"/>
      <c r="X850" s="444">
        <v>850</v>
      </c>
    </row>
    <row r="851" spans="1:32" s="61" customFormat="1" ht="12">
      <c r="A851" s="83" t="s">
        <v>19795</v>
      </c>
      <c r="B851" s="64" t="s">
        <v>6790</v>
      </c>
      <c r="C851" s="71" t="s">
        <v>165</v>
      </c>
      <c r="D851" s="79">
        <v>1</v>
      </c>
      <c r="E851" s="79">
        <v>64.11</v>
      </c>
      <c r="F851" s="79">
        <v>64.11</v>
      </c>
      <c r="G851" s="320"/>
      <c r="H851" s="178">
        <v>64.11</v>
      </c>
      <c r="I851" s="178">
        <v>78.86</v>
      </c>
      <c r="J851" s="70">
        <v>-14.75</v>
      </c>
      <c r="K851" s="320"/>
      <c r="L851" s="178">
        <v>6.15</v>
      </c>
      <c r="M851" s="178">
        <v>57.96</v>
      </c>
      <c r="N851" s="179">
        <v>0</v>
      </c>
      <c r="O851" s="178">
        <v>64.11</v>
      </c>
      <c r="P851" s="132"/>
      <c r="R851" s="298"/>
      <c r="S851" s="669"/>
      <c r="X851" s="444">
        <v>851</v>
      </c>
    </row>
    <row r="852" spans="1:32" s="61" customFormat="1" ht="12">
      <c r="A852" s="83" t="s">
        <v>19796</v>
      </c>
      <c r="B852" s="64" t="s">
        <v>19797</v>
      </c>
      <c r="C852" s="71" t="s">
        <v>165</v>
      </c>
      <c r="D852" s="79">
        <v>1</v>
      </c>
      <c r="E852" s="79">
        <v>86.98</v>
      </c>
      <c r="F852" s="79">
        <v>86.98</v>
      </c>
      <c r="G852" s="320"/>
      <c r="H852" s="178">
        <v>86.98</v>
      </c>
      <c r="I852" s="178">
        <v>106.99</v>
      </c>
      <c r="J852" s="70">
        <v>-20.009999999999991</v>
      </c>
      <c r="K852" s="320"/>
      <c r="L852" s="178">
        <v>38.450000000000003</v>
      </c>
      <c r="M852" s="178">
        <v>48.53</v>
      </c>
      <c r="N852" s="179">
        <v>0</v>
      </c>
      <c r="O852" s="178">
        <v>86.98</v>
      </c>
      <c r="P852" s="453"/>
      <c r="R852" s="298"/>
      <c r="S852" s="669"/>
      <c r="X852" s="444">
        <v>852</v>
      </c>
    </row>
    <row r="853" spans="1:32" s="61" customFormat="1" ht="12">
      <c r="A853" s="83" t="s">
        <v>19798</v>
      </c>
      <c r="B853" s="64" t="s">
        <v>19799</v>
      </c>
      <c r="C853" s="71" t="s">
        <v>165</v>
      </c>
      <c r="D853" s="79">
        <v>1</v>
      </c>
      <c r="E853" s="79">
        <v>137.70999999999998</v>
      </c>
      <c r="F853" s="79">
        <v>137.71</v>
      </c>
      <c r="G853" s="320"/>
      <c r="H853" s="178">
        <v>137.71</v>
      </c>
      <c r="I853" s="178">
        <v>169.38</v>
      </c>
      <c r="J853" s="70">
        <v>-31.670000000000016</v>
      </c>
      <c r="K853" s="320"/>
      <c r="L853" s="178">
        <v>66.67</v>
      </c>
      <c r="M853" s="178">
        <v>71.039999999999978</v>
      </c>
      <c r="N853" s="179">
        <v>0</v>
      </c>
      <c r="O853" s="178">
        <v>137.70999999999998</v>
      </c>
      <c r="P853" s="453"/>
      <c r="R853" s="298"/>
      <c r="S853" s="669"/>
      <c r="X853" s="444">
        <v>853</v>
      </c>
    </row>
    <row r="854" spans="1:32" s="61" customFormat="1">
      <c r="A854" s="67" t="s">
        <v>29573</v>
      </c>
      <c r="B854" s="67" t="s">
        <v>29574</v>
      </c>
      <c r="C854" s="71" t="s">
        <v>165</v>
      </c>
      <c r="D854" s="79">
        <v>1</v>
      </c>
      <c r="E854" s="79">
        <v>110.33999999999999</v>
      </c>
      <c r="F854" s="79">
        <v>110.34</v>
      </c>
      <c r="G854" s="444"/>
      <c r="H854" s="178">
        <v>110.33</v>
      </c>
      <c r="I854" s="178">
        <v>135.71</v>
      </c>
      <c r="J854" s="70">
        <v>-25.370000000000019</v>
      </c>
      <c r="K854" s="320"/>
      <c r="L854" s="178">
        <v>20.509999999999998</v>
      </c>
      <c r="M854" s="178">
        <v>89.829999999999984</v>
      </c>
      <c r="N854" s="179">
        <v>0</v>
      </c>
      <c r="O854" s="178">
        <v>110.33999999999997</v>
      </c>
      <c r="P854" s="444"/>
      <c r="R854" s="298"/>
      <c r="S854" s="669"/>
      <c r="T854" s="444"/>
      <c r="U854" s="444"/>
      <c r="V854" s="444"/>
      <c r="W854" s="444"/>
      <c r="X854" s="444">
        <v>854</v>
      </c>
      <c r="Y854" s="444"/>
      <c r="Z854" s="444"/>
      <c r="AA854" s="444"/>
      <c r="AB854" s="444"/>
      <c r="AC854" s="444"/>
      <c r="AD854" s="444"/>
      <c r="AE854" s="444"/>
      <c r="AF854" s="444"/>
    </row>
    <row r="855" spans="1:32" s="61" customFormat="1">
      <c r="A855" s="67" t="s">
        <v>29575</v>
      </c>
      <c r="B855" s="67" t="s">
        <v>29576</v>
      </c>
      <c r="C855" s="71" t="s">
        <v>165</v>
      </c>
      <c r="D855" s="79">
        <v>1</v>
      </c>
      <c r="E855" s="79">
        <v>110.83</v>
      </c>
      <c r="F855" s="79">
        <v>110.83</v>
      </c>
      <c r="G855" s="444"/>
      <c r="H855" s="178">
        <v>110.83</v>
      </c>
      <c r="I855" s="178">
        <v>136.32</v>
      </c>
      <c r="J855" s="70">
        <v>-25.489999999999995</v>
      </c>
      <c r="K855" s="320"/>
      <c r="L855" s="178">
        <v>20.509999999999998</v>
      </c>
      <c r="M855" s="178">
        <v>90.32</v>
      </c>
      <c r="N855" s="179">
        <v>0</v>
      </c>
      <c r="O855" s="178">
        <v>110.82999999999998</v>
      </c>
      <c r="P855" s="444"/>
      <c r="R855" s="298"/>
      <c r="S855" s="669"/>
      <c r="T855" s="444"/>
      <c r="U855" s="444"/>
      <c r="V855" s="444"/>
      <c r="W855" s="444"/>
      <c r="X855" s="444">
        <v>855</v>
      </c>
      <c r="Y855" s="444"/>
      <c r="Z855" s="444"/>
      <c r="AA855" s="444"/>
      <c r="AB855" s="444"/>
      <c r="AC855" s="444"/>
      <c r="AD855" s="444"/>
      <c r="AE855" s="444"/>
      <c r="AF855" s="444"/>
    </row>
    <row r="856" spans="1:32" s="61" customFormat="1" ht="24">
      <c r="A856" s="65" t="s">
        <v>41721</v>
      </c>
      <c r="B856" s="65" t="s">
        <v>41722</v>
      </c>
      <c r="C856" s="108" t="s">
        <v>41718</v>
      </c>
      <c r="D856" s="458">
        <v>1</v>
      </c>
      <c r="E856" s="79">
        <v>44.11</v>
      </c>
      <c r="F856" s="79">
        <v>44.11</v>
      </c>
      <c r="G856" s="444"/>
      <c r="H856" s="753">
        <v>44.1</v>
      </c>
      <c r="I856" s="178">
        <v>54.24</v>
      </c>
      <c r="J856" s="753">
        <v>-10.130000000000003</v>
      </c>
      <c r="K856" s="754"/>
      <c r="L856" s="178">
        <v>12.829999999999998</v>
      </c>
      <c r="M856" s="753">
        <v>31.28</v>
      </c>
      <c r="N856" s="179">
        <v>0</v>
      </c>
      <c r="O856" s="753">
        <v>44.11</v>
      </c>
      <c r="P856" s="444"/>
      <c r="Q856" s="444"/>
      <c r="R856" s="444"/>
      <c r="S856" s="669"/>
      <c r="T856" s="444"/>
      <c r="U856" s="444"/>
      <c r="V856" s="444"/>
      <c r="W856" s="444"/>
      <c r="X856" s="444">
        <v>856</v>
      </c>
      <c r="Y856" s="444"/>
      <c r="Z856" s="444"/>
      <c r="AA856" s="444"/>
      <c r="AB856" s="444"/>
      <c r="AC856" s="444"/>
      <c r="AD856" s="444"/>
      <c r="AE856" s="444"/>
      <c r="AF856" s="444"/>
    </row>
    <row r="857" spans="1:32" s="61" customFormat="1">
      <c r="A857" s="67" t="s">
        <v>29577</v>
      </c>
      <c r="B857" s="67" t="s">
        <v>32922</v>
      </c>
      <c r="C857" s="71" t="s">
        <v>165</v>
      </c>
      <c r="D857" s="79">
        <v>1</v>
      </c>
      <c r="E857" s="79">
        <v>151.60999999999999</v>
      </c>
      <c r="F857" s="79">
        <v>151.61000000000001</v>
      </c>
      <c r="G857" s="444"/>
      <c r="H857" s="178">
        <v>151.6</v>
      </c>
      <c r="I857" s="178">
        <v>186.47</v>
      </c>
      <c r="J857" s="70">
        <v>-34.860000000000014</v>
      </c>
      <c r="K857" s="320"/>
      <c r="L857" s="178">
        <v>20.509999999999998</v>
      </c>
      <c r="M857" s="178">
        <v>131.1</v>
      </c>
      <c r="N857" s="179">
        <v>0</v>
      </c>
      <c r="O857" s="178">
        <v>151.60999999999999</v>
      </c>
      <c r="P857" s="444"/>
      <c r="R857" s="298"/>
      <c r="S857" s="669"/>
      <c r="T857" s="444"/>
      <c r="U857" s="444"/>
      <c r="V857" s="444"/>
      <c r="W857" s="444"/>
      <c r="X857" s="444">
        <v>857</v>
      </c>
      <c r="Y857" s="444"/>
      <c r="Z857" s="444"/>
      <c r="AA857" s="444"/>
      <c r="AB857" s="444"/>
      <c r="AC857" s="444"/>
      <c r="AD857" s="444"/>
      <c r="AE857" s="444"/>
      <c r="AF857" s="444"/>
    </row>
    <row r="858" spans="1:32">
      <c r="A858" s="67" t="s">
        <v>29578</v>
      </c>
      <c r="B858" s="67" t="s">
        <v>29579</v>
      </c>
      <c r="C858" s="71" t="s">
        <v>165</v>
      </c>
      <c r="D858" s="79">
        <v>1</v>
      </c>
      <c r="E858" s="79">
        <v>175.32</v>
      </c>
      <c r="F858" s="79">
        <v>175.32</v>
      </c>
      <c r="H858" s="178">
        <v>175.32</v>
      </c>
      <c r="I858" s="178">
        <v>215.64</v>
      </c>
      <c r="J858" s="70">
        <v>-40.319999999999993</v>
      </c>
      <c r="K858" s="320"/>
      <c r="L858" s="178">
        <v>20.509999999999998</v>
      </c>
      <c r="M858" s="178">
        <v>154.81</v>
      </c>
      <c r="N858" s="179">
        <v>0</v>
      </c>
      <c r="O858" s="178">
        <v>175.32</v>
      </c>
      <c r="Q858" s="61"/>
      <c r="R858" s="298"/>
      <c r="S858" s="669"/>
      <c r="X858" s="444">
        <v>858</v>
      </c>
    </row>
    <row r="859" spans="1:32">
      <c r="A859" s="67" t="s">
        <v>29580</v>
      </c>
      <c r="B859" s="67" t="s">
        <v>29581</v>
      </c>
      <c r="C859" s="71" t="s">
        <v>165</v>
      </c>
      <c r="D859" s="79">
        <v>1</v>
      </c>
      <c r="E859" s="79">
        <v>56.019999999999996</v>
      </c>
      <c r="F859" s="79">
        <v>56.02</v>
      </c>
      <c r="H859" s="178">
        <v>56.02</v>
      </c>
      <c r="I859" s="178">
        <v>68.900000000000006</v>
      </c>
      <c r="J859" s="70">
        <v>-12.88000000000001</v>
      </c>
      <c r="K859" s="320"/>
      <c r="L859" s="178">
        <v>20.509999999999998</v>
      </c>
      <c r="M859" s="178">
        <v>35.51</v>
      </c>
      <c r="N859" s="179">
        <v>0</v>
      </c>
      <c r="O859" s="178">
        <v>56.019999999999996</v>
      </c>
      <c r="Q859" s="61"/>
      <c r="R859" s="298"/>
      <c r="S859" s="669"/>
      <c r="X859" s="444">
        <v>859</v>
      </c>
    </row>
    <row r="860" spans="1:32">
      <c r="A860" s="759" t="s">
        <v>29582</v>
      </c>
      <c r="B860" s="759" t="s">
        <v>29583</v>
      </c>
      <c r="C860" s="757" t="s">
        <v>165</v>
      </c>
      <c r="D860" s="668">
        <v>1</v>
      </c>
      <c r="E860" s="668">
        <v>71.850000000000009</v>
      </c>
      <c r="F860" s="668">
        <v>71.849999999999994</v>
      </c>
      <c r="H860" s="178">
        <v>71.849999999999994</v>
      </c>
      <c r="I860" s="178">
        <v>88.38</v>
      </c>
      <c r="J860" s="70">
        <v>-16.529999999999987</v>
      </c>
      <c r="K860" s="320"/>
      <c r="L860" s="178">
        <v>20.509999999999998</v>
      </c>
      <c r="M860" s="178">
        <v>51.340000000000011</v>
      </c>
      <c r="N860" s="179">
        <v>0</v>
      </c>
      <c r="O860" s="758">
        <v>71.850000000000009</v>
      </c>
      <c r="Q860" s="61"/>
      <c r="R860" s="298"/>
      <c r="S860" s="669"/>
      <c r="X860" s="444">
        <v>860</v>
      </c>
    </row>
    <row r="861" spans="1:32">
      <c r="A861" s="67" t="s">
        <v>29584</v>
      </c>
      <c r="B861" s="67" t="s">
        <v>29585</v>
      </c>
      <c r="C861" s="71" t="s">
        <v>165</v>
      </c>
      <c r="D861" s="79">
        <v>1</v>
      </c>
      <c r="E861" s="79">
        <v>86.44</v>
      </c>
      <c r="F861" s="79">
        <v>86.44</v>
      </c>
      <c r="H861" s="178">
        <v>86.44</v>
      </c>
      <c r="I861" s="178">
        <v>106.32</v>
      </c>
      <c r="J861" s="70">
        <v>-19.879999999999995</v>
      </c>
      <c r="K861" s="320"/>
      <c r="L861" s="178">
        <v>20.509999999999998</v>
      </c>
      <c r="M861" s="178">
        <v>65.930000000000007</v>
      </c>
      <c r="N861" s="179">
        <v>0</v>
      </c>
      <c r="O861" s="178">
        <v>86.44</v>
      </c>
      <c r="Q861" s="61"/>
      <c r="R861" s="298"/>
      <c r="S861" s="669"/>
      <c r="X861" s="444">
        <v>861</v>
      </c>
    </row>
    <row r="862" spans="1:32">
      <c r="A862" s="67" t="s">
        <v>29586</v>
      </c>
      <c r="B862" s="67" t="s">
        <v>32998</v>
      </c>
      <c r="C862" s="71" t="s">
        <v>165</v>
      </c>
      <c r="D862" s="79">
        <v>1</v>
      </c>
      <c r="E862" s="79">
        <v>96.149999999999991</v>
      </c>
      <c r="F862" s="79">
        <v>96.15</v>
      </c>
      <c r="H862" s="178">
        <v>96.15</v>
      </c>
      <c r="I862" s="178">
        <v>118.26</v>
      </c>
      <c r="J862" s="70">
        <v>-22.110000000000014</v>
      </c>
      <c r="K862" s="320"/>
      <c r="L862" s="178">
        <v>20.509999999999998</v>
      </c>
      <c r="M862" s="178">
        <v>75.639999999999986</v>
      </c>
      <c r="N862" s="179">
        <v>0</v>
      </c>
      <c r="O862" s="178">
        <v>96.149999999999977</v>
      </c>
      <c r="Q862" s="61"/>
      <c r="R862" s="298"/>
      <c r="S862" s="669"/>
      <c r="X862" s="444">
        <v>862</v>
      </c>
    </row>
    <row r="863" spans="1:32">
      <c r="A863" s="67" t="s">
        <v>29587</v>
      </c>
      <c r="B863" s="67" t="s">
        <v>29588</v>
      </c>
      <c r="C863" s="71" t="s">
        <v>165</v>
      </c>
      <c r="D863" s="79">
        <v>1</v>
      </c>
      <c r="E863" s="79">
        <v>103.27999999999999</v>
      </c>
      <c r="F863" s="79">
        <v>103.28</v>
      </c>
      <c r="H863" s="178">
        <v>103.28</v>
      </c>
      <c r="I863" s="178">
        <v>127.03</v>
      </c>
      <c r="J863" s="70">
        <v>-23.750000000000014</v>
      </c>
      <c r="K863" s="320"/>
      <c r="L863" s="178">
        <v>20.509999999999998</v>
      </c>
      <c r="M863" s="178">
        <v>82.769999999999982</v>
      </c>
      <c r="N863" s="179">
        <v>0</v>
      </c>
      <c r="O863" s="178">
        <v>103.27999999999997</v>
      </c>
      <c r="Q863" s="61"/>
      <c r="R863" s="298"/>
      <c r="S863" s="669"/>
      <c r="X863" s="444">
        <v>863</v>
      </c>
    </row>
    <row r="864" spans="1:32">
      <c r="A864" s="67" t="s">
        <v>29589</v>
      </c>
      <c r="B864" s="67" t="s">
        <v>29590</v>
      </c>
      <c r="C864" s="71" t="s">
        <v>165</v>
      </c>
      <c r="D864" s="79">
        <v>1</v>
      </c>
      <c r="E864" s="79">
        <v>104.46</v>
      </c>
      <c r="F864" s="79">
        <v>104.46</v>
      </c>
      <c r="H864" s="178">
        <v>104.46</v>
      </c>
      <c r="I864" s="178">
        <v>128.47999999999999</v>
      </c>
      <c r="J864" s="70">
        <v>-24.019999999999996</v>
      </c>
      <c r="K864" s="320"/>
      <c r="L864" s="178">
        <v>20.509999999999998</v>
      </c>
      <c r="M864" s="178">
        <v>83.949999999999989</v>
      </c>
      <c r="N864" s="179">
        <v>0</v>
      </c>
      <c r="O864" s="178">
        <v>104.45999999999998</v>
      </c>
      <c r="Q864" s="61"/>
      <c r="R864" s="298"/>
      <c r="S864" s="669"/>
      <c r="X864" s="444">
        <v>864</v>
      </c>
    </row>
    <row r="865" spans="1:32">
      <c r="A865" s="67" t="s">
        <v>29591</v>
      </c>
      <c r="B865" s="67" t="s">
        <v>29592</v>
      </c>
      <c r="C865" s="71" t="s">
        <v>165</v>
      </c>
      <c r="D865" s="79">
        <v>1</v>
      </c>
      <c r="E865" s="79">
        <v>83.3</v>
      </c>
      <c r="F865" s="79">
        <v>83.3</v>
      </c>
      <c r="H865" s="178">
        <v>83.29</v>
      </c>
      <c r="I865" s="178">
        <v>102.45</v>
      </c>
      <c r="J865" s="70">
        <v>-19.150000000000006</v>
      </c>
      <c r="K865" s="320"/>
      <c r="L865" s="178">
        <v>20.509999999999998</v>
      </c>
      <c r="M865" s="178">
        <v>62.79</v>
      </c>
      <c r="N865" s="179">
        <v>0</v>
      </c>
      <c r="O865" s="178">
        <v>83.3</v>
      </c>
      <c r="Q865" s="61"/>
      <c r="R865" s="298"/>
      <c r="S865" s="669"/>
      <c r="X865" s="444">
        <v>865</v>
      </c>
    </row>
    <row r="866" spans="1:32">
      <c r="A866" s="67" t="s">
        <v>29593</v>
      </c>
      <c r="B866" s="67" t="s">
        <v>32979</v>
      </c>
      <c r="C866" s="71" t="s">
        <v>165</v>
      </c>
      <c r="D866" s="79">
        <v>1</v>
      </c>
      <c r="E866" s="79">
        <v>84.649999999999991</v>
      </c>
      <c r="F866" s="79">
        <v>84.65</v>
      </c>
      <c r="H866" s="178">
        <v>84.65</v>
      </c>
      <c r="I866" s="178">
        <v>104.12</v>
      </c>
      <c r="J866" s="70">
        <v>-19.470000000000013</v>
      </c>
      <c r="K866" s="320"/>
      <c r="L866" s="178">
        <v>20.509999999999998</v>
      </c>
      <c r="M866" s="178">
        <v>64.139999999999986</v>
      </c>
      <c r="N866" s="179">
        <v>0</v>
      </c>
      <c r="O866" s="178">
        <v>84.649999999999977</v>
      </c>
      <c r="Q866" s="61"/>
      <c r="R866" s="298"/>
      <c r="S866" s="669"/>
      <c r="X866" s="444">
        <v>866</v>
      </c>
    </row>
    <row r="867" spans="1:32">
      <c r="A867" s="67" t="s">
        <v>29594</v>
      </c>
      <c r="B867" s="67" t="s">
        <v>29595</v>
      </c>
      <c r="C867" s="71" t="s">
        <v>165</v>
      </c>
      <c r="D867" s="79">
        <v>1</v>
      </c>
      <c r="E867" s="79">
        <v>81.98</v>
      </c>
      <c r="F867" s="79">
        <v>81.98</v>
      </c>
      <c r="H867" s="178">
        <v>81.98</v>
      </c>
      <c r="I867" s="178">
        <v>100.83</v>
      </c>
      <c r="J867" s="70">
        <v>-18.849999999999994</v>
      </c>
      <c r="K867" s="320"/>
      <c r="L867" s="178">
        <v>20.509999999999998</v>
      </c>
      <c r="M867" s="178">
        <v>61.470000000000006</v>
      </c>
      <c r="N867" s="179">
        <v>0</v>
      </c>
      <c r="O867" s="178">
        <v>81.98</v>
      </c>
      <c r="Q867" s="61"/>
      <c r="R867" s="298"/>
      <c r="S867" s="669"/>
      <c r="X867" s="444">
        <v>867</v>
      </c>
    </row>
    <row r="868" spans="1:32">
      <c r="A868" s="67" t="s">
        <v>29596</v>
      </c>
      <c r="B868" s="67" t="s">
        <v>29597</v>
      </c>
      <c r="C868" s="71" t="s">
        <v>165</v>
      </c>
      <c r="D868" s="79">
        <v>1</v>
      </c>
      <c r="E868" s="79">
        <v>93.839999999999989</v>
      </c>
      <c r="F868" s="79">
        <v>93.84</v>
      </c>
      <c r="H868" s="178">
        <v>93.84</v>
      </c>
      <c r="I868" s="178">
        <v>115.42</v>
      </c>
      <c r="J868" s="70">
        <v>-21.580000000000013</v>
      </c>
      <c r="K868" s="320"/>
      <c r="L868" s="178">
        <v>20.509999999999998</v>
      </c>
      <c r="M868" s="178">
        <v>73.329999999999984</v>
      </c>
      <c r="N868" s="179">
        <v>0</v>
      </c>
      <c r="O868" s="178">
        <v>93.839999999999975</v>
      </c>
      <c r="Q868" s="61"/>
      <c r="R868" s="298"/>
      <c r="S868" s="669"/>
      <c r="X868" s="444">
        <v>868</v>
      </c>
    </row>
    <row r="869" spans="1:32">
      <c r="A869" s="67" t="s">
        <v>29598</v>
      </c>
      <c r="B869" s="67" t="s">
        <v>29599</v>
      </c>
      <c r="C869" s="71" t="s">
        <v>165</v>
      </c>
      <c r="D869" s="79">
        <v>1</v>
      </c>
      <c r="E869" s="79">
        <v>117.02</v>
      </c>
      <c r="F869" s="79">
        <v>117.02</v>
      </c>
      <c r="H869" s="178">
        <v>117.02</v>
      </c>
      <c r="I869" s="178">
        <v>143.94</v>
      </c>
      <c r="J869" s="70">
        <v>-26.92</v>
      </c>
      <c r="K869" s="320"/>
      <c r="L869" s="178">
        <v>20.509999999999998</v>
      </c>
      <c r="M869" s="178">
        <v>96.509999999999991</v>
      </c>
      <c r="N869" s="179">
        <v>0</v>
      </c>
      <c r="O869" s="178">
        <v>117.01999999999998</v>
      </c>
      <c r="Q869" s="61"/>
      <c r="R869" s="298"/>
      <c r="S869" s="669"/>
      <c r="X869" s="444">
        <v>869</v>
      </c>
    </row>
    <row r="870" spans="1:32">
      <c r="A870" s="67" t="s">
        <v>29600</v>
      </c>
      <c r="B870" s="67" t="s">
        <v>29601</v>
      </c>
      <c r="C870" s="71" t="s">
        <v>165</v>
      </c>
      <c r="D870" s="79">
        <v>1</v>
      </c>
      <c r="E870" s="79">
        <v>118.91000000000001</v>
      </c>
      <c r="F870" s="79">
        <v>118.91</v>
      </c>
      <c r="H870" s="178">
        <v>118.91</v>
      </c>
      <c r="I870" s="178">
        <v>146.26</v>
      </c>
      <c r="J870" s="70">
        <v>-27.34999999999998</v>
      </c>
      <c r="K870" s="320"/>
      <c r="L870" s="178">
        <v>20.509999999999998</v>
      </c>
      <c r="M870" s="178">
        <v>98.4</v>
      </c>
      <c r="N870" s="179">
        <v>0</v>
      </c>
      <c r="O870" s="178">
        <v>118.91</v>
      </c>
      <c r="Q870" s="61"/>
      <c r="R870" s="298"/>
      <c r="S870" s="669"/>
      <c r="X870" s="444">
        <v>870</v>
      </c>
    </row>
    <row r="871" spans="1:32">
      <c r="A871" s="67" t="s">
        <v>29602</v>
      </c>
      <c r="B871" s="67" t="s">
        <v>29603</v>
      </c>
      <c r="C871" s="71" t="s">
        <v>165</v>
      </c>
      <c r="D871" s="79">
        <v>1</v>
      </c>
      <c r="E871" s="79">
        <v>74.77</v>
      </c>
      <c r="F871" s="79">
        <v>74.77</v>
      </c>
      <c r="H871" s="178">
        <v>74.77</v>
      </c>
      <c r="I871" s="178">
        <v>91.97</v>
      </c>
      <c r="J871" s="70">
        <v>-17.200000000000003</v>
      </c>
      <c r="K871" s="320"/>
      <c r="L871" s="178">
        <v>20.509999999999998</v>
      </c>
      <c r="M871" s="178">
        <v>54.26</v>
      </c>
      <c r="N871" s="179">
        <v>0</v>
      </c>
      <c r="O871" s="178">
        <v>74.77</v>
      </c>
      <c r="Q871" s="61"/>
      <c r="R871" s="298"/>
      <c r="S871" s="669"/>
      <c r="X871" s="444">
        <v>871</v>
      </c>
    </row>
    <row r="872" spans="1:32">
      <c r="A872" s="67" t="s">
        <v>29604</v>
      </c>
      <c r="B872" s="67" t="s">
        <v>29605</v>
      </c>
      <c r="C872" s="71" t="s">
        <v>165</v>
      </c>
      <c r="D872" s="79">
        <v>1</v>
      </c>
      <c r="E872" s="79">
        <v>85.08</v>
      </c>
      <c r="F872" s="79">
        <v>85.08</v>
      </c>
      <c r="H872" s="178">
        <v>85.08</v>
      </c>
      <c r="I872" s="178">
        <v>104.65</v>
      </c>
      <c r="J872" s="70">
        <v>-19.570000000000007</v>
      </c>
      <c r="K872" s="320"/>
      <c r="L872" s="178">
        <v>20.509999999999998</v>
      </c>
      <c r="M872" s="178">
        <v>64.569999999999993</v>
      </c>
      <c r="N872" s="179">
        <v>0</v>
      </c>
      <c r="O872" s="178">
        <v>85.079999999999984</v>
      </c>
      <c r="Q872" s="61"/>
      <c r="R872" s="298"/>
      <c r="S872" s="669"/>
      <c r="X872" s="444">
        <v>872</v>
      </c>
    </row>
    <row r="873" spans="1:32">
      <c r="A873" s="67" t="s">
        <v>29606</v>
      </c>
      <c r="B873" s="67" t="s">
        <v>29607</v>
      </c>
      <c r="C873" s="71" t="s">
        <v>165</v>
      </c>
      <c r="D873" s="79">
        <v>1</v>
      </c>
      <c r="E873" s="79">
        <v>116.49</v>
      </c>
      <c r="F873" s="79">
        <v>116.49</v>
      </c>
      <c r="H873" s="178">
        <v>116.49</v>
      </c>
      <c r="I873" s="178">
        <v>143.28</v>
      </c>
      <c r="J873" s="70">
        <v>-26.790000000000006</v>
      </c>
      <c r="K873" s="320"/>
      <c r="L873" s="178">
        <v>20.509999999999998</v>
      </c>
      <c r="M873" s="178">
        <v>95.97999999999999</v>
      </c>
      <c r="N873" s="179">
        <v>0</v>
      </c>
      <c r="O873" s="178">
        <v>116.48999999999998</v>
      </c>
      <c r="Q873" s="61"/>
      <c r="R873" s="298"/>
      <c r="S873" s="669"/>
      <c r="X873" s="444">
        <v>873</v>
      </c>
    </row>
    <row r="874" spans="1:32">
      <c r="A874" s="67" t="s">
        <v>29608</v>
      </c>
      <c r="B874" s="67" t="s">
        <v>29609</v>
      </c>
      <c r="C874" s="71" t="s">
        <v>165</v>
      </c>
      <c r="D874" s="79">
        <v>1</v>
      </c>
      <c r="E874" s="79">
        <v>119.04</v>
      </c>
      <c r="F874" s="79">
        <v>119.04</v>
      </c>
      <c r="H874" s="178">
        <v>119.04</v>
      </c>
      <c r="I874" s="178">
        <v>146.41999999999999</v>
      </c>
      <c r="J874" s="70">
        <v>-27.379999999999981</v>
      </c>
      <c r="K874" s="320"/>
      <c r="L874" s="178">
        <v>20.509999999999998</v>
      </c>
      <c r="M874" s="178">
        <v>98.53</v>
      </c>
      <c r="N874" s="179">
        <v>0</v>
      </c>
      <c r="O874" s="178">
        <v>119.03999999999999</v>
      </c>
      <c r="Q874" s="61"/>
      <c r="R874" s="298"/>
      <c r="S874" s="669"/>
      <c r="X874" s="444">
        <v>874</v>
      </c>
    </row>
    <row r="875" spans="1:32" ht="12">
      <c r="A875" s="83" t="s">
        <v>11527</v>
      </c>
      <c r="B875" s="64" t="s">
        <v>39647</v>
      </c>
      <c r="C875" s="71"/>
      <c r="D875" s="79" t="s">
        <v>40899</v>
      </c>
      <c r="E875" s="79" t="s">
        <v>40899</v>
      </c>
      <c r="F875" s="79"/>
      <c r="G875" s="445"/>
      <c r="H875" s="178"/>
      <c r="I875" s="178"/>
      <c r="J875" s="70"/>
      <c r="K875" s="320"/>
      <c r="L875" s="178"/>
      <c r="M875" s="178"/>
      <c r="N875" s="179"/>
      <c r="O875" s="178"/>
      <c r="P875" s="453"/>
      <c r="Q875" s="61"/>
      <c r="R875" s="298"/>
      <c r="S875" s="669"/>
      <c r="U875" s="61"/>
      <c r="V875" s="61"/>
      <c r="W875" s="61"/>
      <c r="X875" s="444">
        <v>875</v>
      </c>
      <c r="Y875" s="61"/>
      <c r="Z875" s="61"/>
      <c r="AA875" s="61"/>
      <c r="AB875" s="61"/>
      <c r="AC875" s="61"/>
      <c r="AD875" s="61"/>
      <c r="AE875" s="61"/>
      <c r="AF875" s="61"/>
    </row>
    <row r="876" spans="1:32" ht="24">
      <c r="A876" s="83" t="s">
        <v>19800</v>
      </c>
      <c r="B876" s="64" t="s">
        <v>39648</v>
      </c>
      <c r="C876" s="71" t="s">
        <v>509</v>
      </c>
      <c r="D876" s="79">
        <v>1</v>
      </c>
      <c r="E876" s="79">
        <v>126.27000000000001</v>
      </c>
      <c r="F876" s="79">
        <v>126.27</v>
      </c>
      <c r="G876" s="320"/>
      <c r="H876" s="178">
        <v>126.26</v>
      </c>
      <c r="I876" s="178">
        <v>155.30000000000001</v>
      </c>
      <c r="J876" s="70">
        <v>-29.03</v>
      </c>
      <c r="K876" s="320"/>
      <c r="L876" s="178">
        <v>14.36</v>
      </c>
      <c r="M876" s="178">
        <v>111.91000000000001</v>
      </c>
      <c r="N876" s="179">
        <v>0</v>
      </c>
      <c r="O876" s="178">
        <v>126.27000000000001</v>
      </c>
      <c r="P876" s="132"/>
      <c r="Q876" s="61"/>
      <c r="R876" s="298"/>
      <c r="S876" s="669"/>
      <c r="T876" s="61"/>
      <c r="U876" s="61"/>
      <c r="V876" s="61"/>
      <c r="W876" s="61"/>
      <c r="X876" s="444">
        <v>876</v>
      </c>
      <c r="Y876" s="61"/>
      <c r="Z876" s="61"/>
      <c r="AA876" s="61"/>
      <c r="AB876" s="61"/>
      <c r="AC876" s="61"/>
      <c r="AD876" s="61"/>
      <c r="AE876" s="61"/>
      <c r="AF876" s="61"/>
    </row>
    <row r="877" spans="1:32" ht="24">
      <c r="A877" s="83" t="s">
        <v>19801</v>
      </c>
      <c r="B877" s="64" t="s">
        <v>39649</v>
      </c>
      <c r="C877" s="71" t="s">
        <v>509</v>
      </c>
      <c r="D877" s="79">
        <v>1</v>
      </c>
      <c r="E877" s="79">
        <v>124.72</v>
      </c>
      <c r="F877" s="79">
        <v>124.72</v>
      </c>
      <c r="G877" s="320"/>
      <c r="H877" s="178">
        <v>124.72</v>
      </c>
      <c r="I877" s="178">
        <v>153.4</v>
      </c>
      <c r="J877" s="70">
        <v>-28.680000000000007</v>
      </c>
      <c r="K877" s="320"/>
      <c r="L877" s="178">
        <v>14.36</v>
      </c>
      <c r="M877" s="178">
        <v>110.36</v>
      </c>
      <c r="N877" s="179">
        <v>0</v>
      </c>
      <c r="O877" s="178">
        <v>124.72</v>
      </c>
      <c r="P877" s="132"/>
      <c r="Q877" s="61"/>
      <c r="R877" s="298"/>
      <c r="S877" s="669"/>
      <c r="T877" s="61"/>
      <c r="U877" s="61"/>
      <c r="V877" s="61"/>
      <c r="W877" s="61"/>
      <c r="X877" s="444">
        <v>877</v>
      </c>
      <c r="Y877" s="61"/>
      <c r="Z877" s="61"/>
      <c r="AA877" s="61"/>
      <c r="AB877" s="61"/>
      <c r="AC877" s="61"/>
      <c r="AD877" s="61"/>
      <c r="AE877" s="61"/>
      <c r="AF877" s="61"/>
    </row>
    <row r="878" spans="1:32" ht="12">
      <c r="A878" s="83" t="s">
        <v>11529</v>
      </c>
      <c r="B878" s="64" t="s">
        <v>19802</v>
      </c>
      <c r="C878" s="71" t="s">
        <v>509</v>
      </c>
      <c r="D878" s="79">
        <v>1</v>
      </c>
      <c r="E878" s="79">
        <v>211.8</v>
      </c>
      <c r="F878" s="79">
        <v>211.8</v>
      </c>
      <c r="G878" s="445"/>
      <c r="H878" s="178">
        <v>211.79</v>
      </c>
      <c r="I878" s="178">
        <v>260.5</v>
      </c>
      <c r="J878" s="70">
        <v>-48.699999999999989</v>
      </c>
      <c r="K878" s="320"/>
      <c r="L878" s="178">
        <v>153.85</v>
      </c>
      <c r="M878" s="178">
        <v>57.950000000000017</v>
      </c>
      <c r="N878" s="179">
        <v>0</v>
      </c>
      <c r="O878" s="178">
        <v>211.8</v>
      </c>
      <c r="P878" s="453"/>
      <c r="Q878" s="61"/>
      <c r="R878" s="298"/>
      <c r="S878" s="669"/>
      <c r="U878" s="61"/>
      <c r="V878" s="61"/>
      <c r="W878" s="61"/>
      <c r="X878" s="444">
        <v>878</v>
      </c>
      <c r="Y878" s="61"/>
      <c r="Z878" s="61"/>
      <c r="AA878" s="61"/>
      <c r="AB878" s="61"/>
      <c r="AC878" s="61"/>
      <c r="AD878" s="61"/>
      <c r="AE878" s="61"/>
      <c r="AF878" s="61"/>
    </row>
    <row r="879" spans="1:32" s="61" customFormat="1" ht="24">
      <c r="A879" s="83" t="s">
        <v>19803</v>
      </c>
      <c r="B879" s="64" t="s">
        <v>39650</v>
      </c>
      <c r="C879" s="71" t="s">
        <v>509</v>
      </c>
      <c r="D879" s="79">
        <v>1</v>
      </c>
      <c r="E879" s="79">
        <v>149.91</v>
      </c>
      <c r="F879" s="79">
        <v>149.91</v>
      </c>
      <c r="G879" s="320"/>
      <c r="H879" s="178">
        <v>149.9</v>
      </c>
      <c r="I879" s="178">
        <v>184.38</v>
      </c>
      <c r="J879" s="70">
        <v>-34.47</v>
      </c>
      <c r="K879" s="320"/>
      <c r="L879" s="178">
        <v>14.36</v>
      </c>
      <c r="M879" s="178">
        <v>135.55000000000001</v>
      </c>
      <c r="N879" s="179">
        <v>0</v>
      </c>
      <c r="O879" s="178">
        <v>149.91000000000003</v>
      </c>
      <c r="P879" s="453"/>
      <c r="R879" s="298"/>
      <c r="S879" s="669"/>
      <c r="T879" s="73"/>
      <c r="X879" s="444">
        <v>879</v>
      </c>
    </row>
    <row r="880" spans="1:32" s="61" customFormat="1" ht="36">
      <c r="A880" s="525" t="s">
        <v>19804</v>
      </c>
      <c r="B880" s="461" t="s">
        <v>39651</v>
      </c>
      <c r="C880" s="526" t="s">
        <v>509</v>
      </c>
      <c r="D880" s="79">
        <v>1</v>
      </c>
      <c r="E880" s="79">
        <v>154.52000000000001</v>
      </c>
      <c r="F880" s="79">
        <v>154.52000000000001</v>
      </c>
      <c r="G880" s="320"/>
      <c r="H880" s="178">
        <v>154.51</v>
      </c>
      <c r="I880" s="178">
        <v>190.05</v>
      </c>
      <c r="J880" s="70">
        <v>-35.53</v>
      </c>
      <c r="K880" s="320"/>
      <c r="L880" s="178">
        <v>14.36</v>
      </c>
      <c r="M880" s="178">
        <v>140.16000000000003</v>
      </c>
      <c r="N880" s="179">
        <v>0</v>
      </c>
      <c r="O880" s="178">
        <v>154.52000000000004</v>
      </c>
      <c r="P880" s="453"/>
      <c r="R880" s="298"/>
      <c r="S880" s="669"/>
      <c r="T880" s="69"/>
      <c r="U880" s="444"/>
      <c r="V880" s="444"/>
      <c r="W880" s="444"/>
      <c r="X880" s="444">
        <v>880</v>
      </c>
      <c r="Y880" s="444"/>
      <c r="Z880" s="444"/>
      <c r="AA880" s="444"/>
      <c r="AB880" s="444"/>
      <c r="AC880" s="444"/>
      <c r="AD880" s="444"/>
      <c r="AE880" s="444"/>
      <c r="AF880" s="444"/>
    </row>
    <row r="881" spans="1:32" s="61" customFormat="1" ht="12">
      <c r="A881" s="83" t="s">
        <v>19805</v>
      </c>
      <c r="B881" s="64" t="s">
        <v>19806</v>
      </c>
      <c r="C881" s="71" t="s">
        <v>509</v>
      </c>
      <c r="D881" s="79">
        <v>1</v>
      </c>
      <c r="E881" s="79">
        <v>19.690000000000001</v>
      </c>
      <c r="F881" s="79">
        <v>19.690000000000001</v>
      </c>
      <c r="G881" s="445"/>
      <c r="H881" s="178">
        <v>19.68</v>
      </c>
      <c r="I881" s="178">
        <v>24.21</v>
      </c>
      <c r="J881" s="70">
        <v>-4.5199999999999996</v>
      </c>
      <c r="K881" s="320"/>
      <c r="L881" s="178">
        <v>10.259999999999998</v>
      </c>
      <c r="M881" s="178">
        <v>9.4300000000000033</v>
      </c>
      <c r="N881" s="179">
        <v>0</v>
      </c>
      <c r="O881" s="178">
        <v>19.690000000000001</v>
      </c>
      <c r="P881" s="453"/>
      <c r="R881" s="298"/>
      <c r="S881" s="669"/>
      <c r="T881" s="444"/>
      <c r="X881" s="444">
        <v>881</v>
      </c>
    </row>
    <row r="882" spans="1:32" s="61" customFormat="1" ht="12">
      <c r="A882" s="83" t="s">
        <v>19807</v>
      </c>
      <c r="B882" s="64" t="s">
        <v>19808</v>
      </c>
      <c r="C882" s="71" t="s">
        <v>10216</v>
      </c>
      <c r="D882" s="79">
        <v>1</v>
      </c>
      <c r="E882" s="79">
        <v>577.26</v>
      </c>
      <c r="F882" s="79">
        <v>577.26</v>
      </c>
      <c r="G882" s="445"/>
      <c r="H882" s="178">
        <v>577.25</v>
      </c>
      <c r="I882" s="178">
        <v>710.02</v>
      </c>
      <c r="J882" s="70">
        <v>-132.76</v>
      </c>
      <c r="K882" s="320"/>
      <c r="L882" s="178"/>
      <c r="M882" s="178">
        <v>577.26</v>
      </c>
      <c r="N882" s="179">
        <v>0</v>
      </c>
      <c r="O882" s="178">
        <v>577.26</v>
      </c>
      <c r="P882" s="453"/>
      <c r="R882" s="298"/>
      <c r="S882" s="669"/>
      <c r="T882" s="444"/>
      <c r="X882" s="444">
        <v>882</v>
      </c>
    </row>
    <row r="883" spans="1:32" s="61" customFormat="1" ht="12">
      <c r="A883" s="83" t="s">
        <v>39652</v>
      </c>
      <c r="B883" s="64" t="s">
        <v>39518</v>
      </c>
      <c r="C883" s="71"/>
      <c r="D883" s="79" t="s">
        <v>40899</v>
      </c>
      <c r="E883" s="79" t="s">
        <v>40899</v>
      </c>
      <c r="F883" s="79"/>
      <c r="G883" s="445"/>
      <c r="H883" s="178"/>
      <c r="I883" s="178"/>
      <c r="J883" s="70"/>
      <c r="K883" s="320"/>
      <c r="L883" s="178"/>
      <c r="M883" s="178"/>
      <c r="N883" s="179"/>
      <c r="O883" s="178"/>
      <c r="P883" s="453"/>
      <c r="R883" s="298"/>
      <c r="S883" s="669"/>
      <c r="T883" s="444"/>
      <c r="U883" s="444"/>
      <c r="V883" s="444"/>
      <c r="W883" s="444"/>
      <c r="X883" s="444">
        <v>883</v>
      </c>
      <c r="Y883" s="444"/>
      <c r="Z883" s="444"/>
      <c r="AA883" s="444"/>
      <c r="AB883" s="444"/>
      <c r="AC883" s="444"/>
      <c r="AD883" s="444"/>
      <c r="AE883" s="444"/>
      <c r="AF883" s="444"/>
    </row>
    <row r="884" spans="1:32" s="61" customFormat="1" ht="12">
      <c r="A884" s="83" t="s">
        <v>19809</v>
      </c>
      <c r="B884" s="64" t="s">
        <v>19810</v>
      </c>
      <c r="C884" s="71" t="s">
        <v>509</v>
      </c>
      <c r="D884" s="79">
        <v>1</v>
      </c>
      <c r="E884" s="79">
        <v>6.84</v>
      </c>
      <c r="F884" s="79">
        <v>6.84</v>
      </c>
      <c r="G884" s="445"/>
      <c r="H884" s="178">
        <v>6.84</v>
      </c>
      <c r="I884" s="178">
        <v>8.41</v>
      </c>
      <c r="J884" s="70">
        <v>-1.5700000000000003</v>
      </c>
      <c r="K884" s="320"/>
      <c r="L884" s="178">
        <v>6.84</v>
      </c>
      <c r="M884" s="178">
        <v>0</v>
      </c>
      <c r="N884" s="179">
        <v>0</v>
      </c>
      <c r="O884" s="178">
        <v>6.84</v>
      </c>
      <c r="P884" s="453"/>
      <c r="R884" s="298"/>
      <c r="S884" s="669"/>
      <c r="T884" s="444"/>
      <c r="U884" s="444"/>
      <c r="V884" s="444"/>
      <c r="W884" s="444"/>
      <c r="X884" s="444">
        <v>884</v>
      </c>
      <c r="Y884" s="444"/>
      <c r="Z884" s="444"/>
      <c r="AA884" s="444"/>
      <c r="AB884" s="444"/>
      <c r="AC884" s="444"/>
      <c r="AD884" s="444"/>
      <c r="AE884" s="444"/>
      <c r="AF884" s="444"/>
    </row>
    <row r="885" spans="1:32" s="61" customFormat="1" ht="12">
      <c r="A885" s="83" t="s">
        <v>39653</v>
      </c>
      <c r="B885" s="64" t="s">
        <v>39520</v>
      </c>
      <c r="C885" s="71"/>
      <c r="D885" s="79" t="s">
        <v>40899</v>
      </c>
      <c r="E885" s="79" t="s">
        <v>40899</v>
      </c>
      <c r="F885" s="79"/>
      <c r="G885" s="445"/>
      <c r="H885" s="178"/>
      <c r="I885" s="178"/>
      <c r="J885" s="70"/>
      <c r="K885" s="320"/>
      <c r="L885" s="178"/>
      <c r="M885" s="178"/>
      <c r="N885" s="179"/>
      <c r="O885" s="178"/>
      <c r="P885" s="453"/>
      <c r="R885" s="298"/>
      <c r="S885" s="669"/>
      <c r="T885" s="444"/>
      <c r="U885" s="69"/>
      <c r="V885" s="69"/>
      <c r="W885" s="69"/>
      <c r="X885" s="444">
        <v>885</v>
      </c>
      <c r="Y885" s="69"/>
      <c r="Z885" s="69"/>
      <c r="AA885" s="69"/>
      <c r="AB885" s="69"/>
      <c r="AC885" s="69"/>
      <c r="AD885" s="69"/>
      <c r="AE885" s="69"/>
      <c r="AF885" s="69"/>
    </row>
    <row r="886" spans="1:32" s="61" customFormat="1" ht="24">
      <c r="A886" s="83" t="s">
        <v>19811</v>
      </c>
      <c r="B886" s="64" t="s">
        <v>19812</v>
      </c>
      <c r="C886" s="71" t="s">
        <v>509</v>
      </c>
      <c r="D886" s="79">
        <v>1</v>
      </c>
      <c r="E886" s="79">
        <v>30.77</v>
      </c>
      <c r="F886" s="79">
        <v>30.77</v>
      </c>
      <c r="G886" s="445"/>
      <c r="H886" s="178">
        <v>30.76</v>
      </c>
      <c r="I886" s="178">
        <v>37.840000000000003</v>
      </c>
      <c r="J886" s="70">
        <v>-7.0700000000000038</v>
      </c>
      <c r="K886" s="320"/>
      <c r="L886" s="178">
        <v>30.77</v>
      </c>
      <c r="M886" s="178">
        <v>0</v>
      </c>
      <c r="N886" s="179">
        <v>0</v>
      </c>
      <c r="O886" s="178">
        <v>30.77</v>
      </c>
      <c r="P886" s="453"/>
      <c r="R886" s="298"/>
      <c r="S886" s="669"/>
      <c r="T886" s="444"/>
      <c r="U886" s="444"/>
      <c r="V886" s="444"/>
      <c r="W886" s="444"/>
      <c r="X886" s="444">
        <v>886</v>
      </c>
      <c r="Y886" s="444"/>
      <c r="Z886" s="444"/>
      <c r="AA886" s="444"/>
      <c r="AB886" s="444"/>
      <c r="AC886" s="444"/>
      <c r="AD886" s="444"/>
      <c r="AE886" s="444"/>
      <c r="AF886" s="444"/>
    </row>
    <row r="887" spans="1:32" s="61" customFormat="1" ht="24">
      <c r="A887" s="83" t="s">
        <v>19813</v>
      </c>
      <c r="B887" s="64" t="s">
        <v>19814</v>
      </c>
      <c r="C887" s="71" t="s">
        <v>509</v>
      </c>
      <c r="D887" s="79">
        <v>1</v>
      </c>
      <c r="E887" s="79">
        <v>43.6</v>
      </c>
      <c r="F887" s="79">
        <v>43.6</v>
      </c>
      <c r="G887" s="445"/>
      <c r="H887" s="178">
        <v>43.59</v>
      </c>
      <c r="I887" s="178">
        <v>53.61</v>
      </c>
      <c r="J887" s="70">
        <v>-10.009999999999998</v>
      </c>
      <c r="K887" s="320"/>
      <c r="L887" s="178">
        <v>43.6</v>
      </c>
      <c r="M887" s="178">
        <v>0</v>
      </c>
      <c r="N887" s="179">
        <v>0</v>
      </c>
      <c r="O887" s="178">
        <v>43.6</v>
      </c>
      <c r="P887" s="453"/>
      <c r="R887" s="298"/>
      <c r="S887" s="669"/>
      <c r="T887" s="69"/>
      <c r="U887" s="69"/>
      <c r="V887" s="69"/>
      <c r="W887" s="69"/>
      <c r="X887" s="444">
        <v>887</v>
      </c>
      <c r="Y887" s="69"/>
      <c r="Z887" s="69"/>
      <c r="AA887" s="69"/>
      <c r="AB887" s="69"/>
      <c r="AC887" s="69"/>
      <c r="AD887" s="69"/>
      <c r="AE887" s="69"/>
      <c r="AF887" s="69"/>
    </row>
    <row r="888" spans="1:32" s="61" customFormat="1" ht="24">
      <c r="A888" s="83" t="s">
        <v>19815</v>
      </c>
      <c r="B888" s="64" t="s">
        <v>19816</v>
      </c>
      <c r="C888" s="71" t="s">
        <v>509</v>
      </c>
      <c r="D888" s="79">
        <v>1</v>
      </c>
      <c r="E888" s="79">
        <v>20.509999999999998</v>
      </c>
      <c r="F888" s="79">
        <v>20.51</v>
      </c>
      <c r="G888" s="445"/>
      <c r="H888" s="178">
        <v>20.51</v>
      </c>
      <c r="I888" s="178">
        <v>25.23</v>
      </c>
      <c r="J888" s="70">
        <v>-4.7200000000000024</v>
      </c>
      <c r="K888" s="320"/>
      <c r="L888" s="178">
        <v>20.509999999999998</v>
      </c>
      <c r="M888" s="178">
        <v>0</v>
      </c>
      <c r="N888" s="179">
        <v>0</v>
      </c>
      <c r="O888" s="178">
        <v>20.509999999999998</v>
      </c>
      <c r="P888" s="453"/>
      <c r="R888" s="298"/>
      <c r="S888" s="669"/>
      <c r="T888" s="444"/>
      <c r="U888" s="69"/>
      <c r="V888" s="69"/>
      <c r="W888" s="69"/>
      <c r="X888" s="444">
        <v>888</v>
      </c>
      <c r="Y888" s="69"/>
      <c r="Z888" s="69"/>
      <c r="AA888" s="69"/>
      <c r="AB888" s="69"/>
      <c r="AC888" s="69"/>
      <c r="AD888" s="69"/>
      <c r="AE888" s="69"/>
      <c r="AF888" s="69"/>
    </row>
    <row r="889" spans="1:32" s="61" customFormat="1" ht="24">
      <c r="A889" s="83" t="s">
        <v>19817</v>
      </c>
      <c r="B889" s="64" t="s">
        <v>19818</v>
      </c>
      <c r="C889" s="71" t="s">
        <v>509</v>
      </c>
      <c r="D889" s="79">
        <v>1</v>
      </c>
      <c r="E889" s="79">
        <v>33.340000000000003</v>
      </c>
      <c r="F889" s="79">
        <v>33.340000000000003</v>
      </c>
      <c r="G889" s="445"/>
      <c r="H889" s="178">
        <v>33.33</v>
      </c>
      <c r="I889" s="178">
        <v>40.99</v>
      </c>
      <c r="J889" s="70">
        <v>-7.6499999999999986</v>
      </c>
      <c r="K889" s="320"/>
      <c r="L889" s="178">
        <v>33.340000000000003</v>
      </c>
      <c r="M889" s="178">
        <v>0</v>
      </c>
      <c r="N889" s="179">
        <v>0</v>
      </c>
      <c r="O889" s="178">
        <v>33.340000000000003</v>
      </c>
      <c r="P889" s="453"/>
      <c r="R889" s="298"/>
      <c r="S889" s="669"/>
      <c r="T889" s="444"/>
      <c r="U889" s="69"/>
      <c r="V889" s="69"/>
      <c r="W889" s="69"/>
      <c r="X889" s="444">
        <v>889</v>
      </c>
      <c r="Y889" s="69"/>
      <c r="Z889" s="69"/>
      <c r="AA889" s="69"/>
      <c r="AB889" s="69"/>
      <c r="AC889" s="69"/>
      <c r="AD889" s="69"/>
      <c r="AE889" s="69"/>
      <c r="AF889" s="69"/>
    </row>
    <row r="890" spans="1:32" s="61" customFormat="1" ht="24">
      <c r="A890" s="83" t="s">
        <v>19819</v>
      </c>
      <c r="B890" s="64" t="s">
        <v>19820</v>
      </c>
      <c r="C890" s="71" t="s">
        <v>165</v>
      </c>
      <c r="D890" s="79">
        <v>1</v>
      </c>
      <c r="E890" s="79">
        <v>5.13</v>
      </c>
      <c r="F890" s="79">
        <v>5.13</v>
      </c>
      <c r="G890" s="445"/>
      <c r="H890" s="178">
        <v>5.12</v>
      </c>
      <c r="I890" s="178">
        <v>6.3</v>
      </c>
      <c r="J890" s="70">
        <v>-1.17</v>
      </c>
      <c r="K890" s="320"/>
      <c r="L890" s="178">
        <v>5.13</v>
      </c>
      <c r="M890" s="178">
        <v>0</v>
      </c>
      <c r="N890" s="179">
        <v>0</v>
      </c>
      <c r="O890" s="178">
        <v>5.13</v>
      </c>
      <c r="P890" s="453"/>
      <c r="R890" s="298"/>
      <c r="S890" s="669"/>
      <c r="T890" s="444"/>
      <c r="U890" s="69"/>
      <c r="V890" s="69"/>
      <c r="W890" s="69"/>
      <c r="X890" s="444">
        <v>890</v>
      </c>
      <c r="Y890" s="69"/>
      <c r="Z890" s="69"/>
      <c r="AA890" s="69"/>
      <c r="AB890" s="69"/>
      <c r="AC890" s="69"/>
      <c r="AD890" s="69"/>
      <c r="AE890" s="69"/>
      <c r="AF890" s="69"/>
    </row>
    <row r="891" spans="1:32" ht="12">
      <c r="A891" s="83" t="s">
        <v>19821</v>
      </c>
      <c r="B891" s="64" t="s">
        <v>19822</v>
      </c>
      <c r="C891" s="71" t="s">
        <v>165</v>
      </c>
      <c r="D891" s="79">
        <v>1</v>
      </c>
      <c r="E891" s="79">
        <v>3.09</v>
      </c>
      <c r="F891" s="79">
        <v>3.09</v>
      </c>
      <c r="G891" s="445"/>
      <c r="H891" s="178">
        <v>3.07</v>
      </c>
      <c r="I891" s="178">
        <v>3.78</v>
      </c>
      <c r="J891" s="70">
        <v>-0.69</v>
      </c>
      <c r="K891" s="320"/>
      <c r="L891" s="178">
        <v>3.09</v>
      </c>
      <c r="M891" s="178">
        <v>0</v>
      </c>
      <c r="N891" s="179">
        <v>0</v>
      </c>
      <c r="O891" s="178">
        <v>3.09</v>
      </c>
      <c r="P891" s="453"/>
      <c r="Q891" s="61"/>
      <c r="R891" s="298"/>
      <c r="S891" s="669"/>
      <c r="U891" s="69"/>
      <c r="V891" s="69"/>
      <c r="W891" s="69"/>
      <c r="X891" s="444">
        <v>891</v>
      </c>
      <c r="Y891" s="69"/>
      <c r="Z891" s="69"/>
      <c r="AA891" s="69"/>
      <c r="AB891" s="69"/>
      <c r="AC891" s="69"/>
      <c r="AD891" s="69"/>
      <c r="AE891" s="69"/>
      <c r="AF891" s="69"/>
    </row>
    <row r="892" spans="1:32" s="61" customFormat="1" ht="12">
      <c r="A892" s="83" t="s">
        <v>19823</v>
      </c>
      <c r="B892" s="64" t="s">
        <v>19824</v>
      </c>
      <c r="C892" s="71" t="s">
        <v>165</v>
      </c>
      <c r="D892" s="79">
        <v>1</v>
      </c>
      <c r="E892" s="79">
        <v>0.51</v>
      </c>
      <c r="F892" s="79">
        <v>0.51</v>
      </c>
      <c r="G892" s="445"/>
      <c r="H892" s="178">
        <v>0.51</v>
      </c>
      <c r="I892" s="178">
        <v>0.63</v>
      </c>
      <c r="J892" s="70">
        <v>-0.12</v>
      </c>
      <c r="K892" s="320"/>
      <c r="L892" s="178">
        <v>0.51</v>
      </c>
      <c r="M892" s="178">
        <v>0</v>
      </c>
      <c r="N892" s="179">
        <v>0</v>
      </c>
      <c r="O892" s="178">
        <v>0.51</v>
      </c>
      <c r="P892" s="453"/>
      <c r="R892" s="298"/>
      <c r="S892" s="669"/>
      <c r="T892" s="444"/>
      <c r="U892" s="444"/>
      <c r="V892" s="444"/>
      <c r="W892" s="444"/>
      <c r="X892" s="444">
        <v>892</v>
      </c>
      <c r="Y892" s="444"/>
      <c r="Z892" s="444"/>
      <c r="AA892" s="444"/>
      <c r="AB892" s="444"/>
      <c r="AC892" s="444"/>
      <c r="AD892" s="444"/>
      <c r="AE892" s="444"/>
      <c r="AF892" s="444"/>
    </row>
    <row r="893" spans="1:32" s="61" customFormat="1" ht="12">
      <c r="A893" s="83" t="s">
        <v>19825</v>
      </c>
      <c r="B893" s="64" t="s">
        <v>19826</v>
      </c>
      <c r="C893" s="71" t="s">
        <v>103</v>
      </c>
      <c r="D893" s="79">
        <v>1</v>
      </c>
      <c r="E893" s="79">
        <v>7.68</v>
      </c>
      <c r="F893" s="79">
        <v>7.68</v>
      </c>
      <c r="G893" s="445"/>
      <c r="H893" s="178">
        <v>7.69</v>
      </c>
      <c r="I893" s="178">
        <v>9.4600000000000009</v>
      </c>
      <c r="J893" s="70">
        <v>-1.7800000000000011</v>
      </c>
      <c r="K893" s="320"/>
      <c r="L893" s="178">
        <v>7.68</v>
      </c>
      <c r="M893" s="178">
        <v>0</v>
      </c>
      <c r="N893" s="179">
        <v>0</v>
      </c>
      <c r="O893" s="178">
        <v>7.68</v>
      </c>
      <c r="P893" s="453"/>
      <c r="R893" s="298"/>
      <c r="S893" s="669"/>
      <c r="T893" s="444"/>
      <c r="U893" s="69"/>
      <c r="V893" s="69"/>
      <c r="W893" s="69"/>
      <c r="X893" s="444">
        <v>893</v>
      </c>
      <c r="Y893" s="69"/>
      <c r="Z893" s="69"/>
      <c r="AA893" s="69"/>
      <c r="AB893" s="69"/>
      <c r="AC893" s="69"/>
      <c r="AD893" s="69"/>
      <c r="AE893" s="69"/>
      <c r="AF893" s="69"/>
    </row>
    <row r="894" spans="1:32" ht="12">
      <c r="A894" s="83" t="s">
        <v>19827</v>
      </c>
      <c r="B894" s="64" t="s">
        <v>19828</v>
      </c>
      <c r="C894" s="71" t="s">
        <v>509</v>
      </c>
      <c r="D894" s="79">
        <v>1</v>
      </c>
      <c r="E894" s="79">
        <v>7.26</v>
      </c>
      <c r="F894" s="79">
        <v>7.26</v>
      </c>
      <c r="G894" s="445"/>
      <c r="H894" s="178">
        <v>7.26</v>
      </c>
      <c r="I894" s="178">
        <v>8.93</v>
      </c>
      <c r="J894" s="70">
        <v>-1.67</v>
      </c>
      <c r="K894" s="320"/>
      <c r="L894" s="178">
        <v>7.26</v>
      </c>
      <c r="M894" s="178">
        <v>0</v>
      </c>
      <c r="N894" s="179">
        <v>0</v>
      </c>
      <c r="O894" s="178">
        <v>7.26</v>
      </c>
      <c r="P894" s="453"/>
      <c r="Q894" s="61"/>
      <c r="R894" s="298"/>
      <c r="S894" s="669"/>
      <c r="X894" s="444">
        <v>894</v>
      </c>
    </row>
    <row r="895" spans="1:32" ht="12">
      <c r="A895" s="83" t="s">
        <v>19829</v>
      </c>
      <c r="B895" s="64" t="s">
        <v>19830</v>
      </c>
      <c r="C895" s="71" t="s">
        <v>509</v>
      </c>
      <c r="D895" s="79">
        <v>1</v>
      </c>
      <c r="E895" s="79">
        <v>5</v>
      </c>
      <c r="F895" s="79">
        <v>5</v>
      </c>
      <c r="G895" s="445"/>
      <c r="H895" s="178">
        <v>5.01</v>
      </c>
      <c r="I895" s="178">
        <v>6.16</v>
      </c>
      <c r="J895" s="70">
        <v>-1.1600000000000001</v>
      </c>
      <c r="K895" s="320"/>
      <c r="L895" s="178">
        <v>5</v>
      </c>
      <c r="M895" s="178">
        <v>0</v>
      </c>
      <c r="N895" s="179">
        <v>0</v>
      </c>
      <c r="O895" s="178">
        <v>5</v>
      </c>
      <c r="P895" s="453"/>
      <c r="Q895" s="61"/>
      <c r="R895" s="298"/>
      <c r="S895" s="669"/>
      <c r="X895" s="444">
        <v>895</v>
      </c>
    </row>
    <row r="896" spans="1:32" s="69" customFormat="1" ht="12">
      <c r="A896" s="83" t="s">
        <v>19831</v>
      </c>
      <c r="B896" s="64" t="s">
        <v>19832</v>
      </c>
      <c r="C896" s="71" t="s">
        <v>165</v>
      </c>
      <c r="D896" s="79">
        <v>1</v>
      </c>
      <c r="E896" s="79">
        <v>6.7</v>
      </c>
      <c r="F896" s="79">
        <v>6.7</v>
      </c>
      <c r="G896" s="445"/>
      <c r="H896" s="178">
        <v>6.7</v>
      </c>
      <c r="I896" s="178">
        <v>8.24</v>
      </c>
      <c r="J896" s="70">
        <v>-1.54</v>
      </c>
      <c r="K896" s="320"/>
      <c r="L896" s="178">
        <v>6.7</v>
      </c>
      <c r="M896" s="178">
        <v>0</v>
      </c>
      <c r="N896" s="179">
        <v>0</v>
      </c>
      <c r="O896" s="178">
        <v>6.7</v>
      </c>
      <c r="P896" s="453"/>
      <c r="Q896" s="61"/>
      <c r="R896" s="298"/>
      <c r="S896" s="669"/>
      <c r="T896" s="444"/>
      <c r="U896" s="444"/>
      <c r="V896" s="444"/>
      <c r="W896" s="444"/>
      <c r="X896" s="444">
        <v>896</v>
      </c>
      <c r="Y896" s="444"/>
      <c r="Z896" s="444"/>
      <c r="AA896" s="444"/>
      <c r="AB896" s="444"/>
      <c r="AC896" s="444"/>
      <c r="AD896" s="444"/>
      <c r="AE896" s="444"/>
      <c r="AF896" s="444"/>
    </row>
    <row r="897" spans="1:32" ht="12">
      <c r="A897" s="83" t="s">
        <v>19833</v>
      </c>
      <c r="B897" s="64" t="s">
        <v>19834</v>
      </c>
      <c r="C897" s="71" t="s">
        <v>165</v>
      </c>
      <c r="D897" s="79">
        <v>1</v>
      </c>
      <c r="E897" s="79">
        <v>1.67</v>
      </c>
      <c r="F897" s="79">
        <v>1.67</v>
      </c>
      <c r="G897" s="445"/>
      <c r="H897" s="178">
        <v>1.67</v>
      </c>
      <c r="I897" s="178">
        <v>2.06</v>
      </c>
      <c r="J897" s="70">
        <v>-0.39000000000000012</v>
      </c>
      <c r="K897" s="320"/>
      <c r="L897" s="178">
        <v>1.67</v>
      </c>
      <c r="M897" s="178">
        <v>0</v>
      </c>
      <c r="N897" s="179">
        <v>0</v>
      </c>
      <c r="O897" s="178">
        <v>1.67</v>
      </c>
      <c r="P897" s="453"/>
      <c r="Q897" s="61"/>
      <c r="R897" s="298"/>
      <c r="S897" s="669"/>
      <c r="X897" s="444">
        <v>897</v>
      </c>
    </row>
    <row r="898" spans="1:32" s="69" customFormat="1" ht="12">
      <c r="A898" s="83" t="s">
        <v>19835</v>
      </c>
      <c r="B898" s="64" t="s">
        <v>19836</v>
      </c>
      <c r="C898" s="71" t="s">
        <v>509</v>
      </c>
      <c r="D898" s="79">
        <v>1</v>
      </c>
      <c r="E898" s="79">
        <v>9.24</v>
      </c>
      <c r="F898" s="79">
        <v>9.24</v>
      </c>
      <c r="G898" s="445"/>
      <c r="H898" s="178">
        <v>9.23</v>
      </c>
      <c r="I898" s="178">
        <v>11.35</v>
      </c>
      <c r="J898" s="70">
        <v>-2.1099999999999994</v>
      </c>
      <c r="K898" s="320"/>
      <c r="L898" s="178">
        <v>9.24</v>
      </c>
      <c r="M898" s="178">
        <v>0</v>
      </c>
      <c r="N898" s="179">
        <v>0</v>
      </c>
      <c r="O898" s="178">
        <v>9.24</v>
      </c>
      <c r="P898" s="453"/>
      <c r="Q898" s="61"/>
      <c r="R898" s="298"/>
      <c r="S898" s="669"/>
      <c r="T898" s="444"/>
      <c r="U898" s="444"/>
      <c r="V898" s="444"/>
      <c r="W898" s="444"/>
      <c r="X898" s="444">
        <v>898</v>
      </c>
      <c r="Y898" s="444"/>
      <c r="Z898" s="444"/>
      <c r="AA898" s="444"/>
      <c r="AB898" s="444"/>
      <c r="AC898" s="444"/>
      <c r="AD898" s="444"/>
      <c r="AE898" s="444"/>
      <c r="AF898" s="444"/>
    </row>
    <row r="899" spans="1:32" s="69" customFormat="1" ht="12">
      <c r="A899" s="83" t="s">
        <v>19837</v>
      </c>
      <c r="B899" s="64" t="s">
        <v>39654</v>
      </c>
      <c r="C899" s="71" t="s">
        <v>509</v>
      </c>
      <c r="D899" s="79">
        <v>1</v>
      </c>
      <c r="E899" s="79">
        <v>6.42</v>
      </c>
      <c r="F899" s="79">
        <v>6.42</v>
      </c>
      <c r="G899" s="445"/>
      <c r="H899" s="178">
        <v>6.41</v>
      </c>
      <c r="I899" s="178">
        <v>7.88</v>
      </c>
      <c r="J899" s="70">
        <v>-1.46</v>
      </c>
      <c r="K899" s="320"/>
      <c r="L899" s="178">
        <v>6.42</v>
      </c>
      <c r="M899" s="178">
        <v>0</v>
      </c>
      <c r="N899" s="179">
        <v>0</v>
      </c>
      <c r="O899" s="178">
        <v>6.42</v>
      </c>
      <c r="P899" s="453"/>
      <c r="Q899" s="61"/>
      <c r="R899" s="298"/>
      <c r="S899" s="669"/>
      <c r="T899" s="444"/>
      <c r="U899" s="444"/>
      <c r="V899" s="444"/>
      <c r="W899" s="444"/>
      <c r="X899" s="444">
        <v>899</v>
      </c>
      <c r="Y899" s="444"/>
      <c r="Z899" s="444"/>
      <c r="AA899" s="444"/>
      <c r="AB899" s="444"/>
      <c r="AC899" s="444"/>
      <c r="AD899" s="444"/>
      <c r="AE899" s="444"/>
      <c r="AF899" s="444"/>
    </row>
    <row r="900" spans="1:32" s="69" customFormat="1" ht="12">
      <c r="A900" s="83" t="s">
        <v>19838</v>
      </c>
      <c r="B900" s="64" t="s">
        <v>19839</v>
      </c>
      <c r="C900" s="71" t="s">
        <v>165</v>
      </c>
      <c r="D900" s="79">
        <v>1</v>
      </c>
      <c r="E900" s="79">
        <v>11.41</v>
      </c>
      <c r="F900" s="79">
        <v>11.41</v>
      </c>
      <c r="G900" s="445"/>
      <c r="H900" s="178">
        <v>11.4</v>
      </c>
      <c r="I900" s="178">
        <v>14.02</v>
      </c>
      <c r="J900" s="70">
        <v>-2.6099999999999994</v>
      </c>
      <c r="K900" s="320"/>
      <c r="L900" s="178">
        <v>11.41</v>
      </c>
      <c r="M900" s="178">
        <v>0</v>
      </c>
      <c r="N900" s="179">
        <v>0</v>
      </c>
      <c r="O900" s="178">
        <v>11.41</v>
      </c>
      <c r="P900" s="453"/>
      <c r="Q900" s="61"/>
      <c r="R900" s="298"/>
      <c r="S900" s="669"/>
      <c r="T900" s="444"/>
      <c r="U900" s="444"/>
      <c r="V900" s="444"/>
      <c r="W900" s="444"/>
      <c r="X900" s="444">
        <v>900</v>
      </c>
      <c r="Y900" s="444"/>
      <c r="Z900" s="444"/>
      <c r="AA900" s="444"/>
      <c r="AB900" s="444"/>
      <c r="AC900" s="444"/>
      <c r="AD900" s="444"/>
      <c r="AE900" s="444"/>
      <c r="AF900" s="444"/>
    </row>
    <row r="901" spans="1:32" s="69" customFormat="1" ht="12">
      <c r="A901" s="83" t="s">
        <v>19840</v>
      </c>
      <c r="B901" s="64" t="s">
        <v>19841</v>
      </c>
      <c r="C901" s="71" t="s">
        <v>165</v>
      </c>
      <c r="D901" s="79">
        <v>1</v>
      </c>
      <c r="E901" s="79">
        <v>2.84</v>
      </c>
      <c r="F901" s="79">
        <v>2.84</v>
      </c>
      <c r="G901" s="445"/>
      <c r="H901" s="178">
        <v>2.85</v>
      </c>
      <c r="I901" s="178">
        <v>3.5</v>
      </c>
      <c r="J901" s="70">
        <v>-0.66000000000000014</v>
      </c>
      <c r="K901" s="320"/>
      <c r="L901" s="178">
        <v>2.84</v>
      </c>
      <c r="M901" s="178">
        <v>0</v>
      </c>
      <c r="N901" s="179">
        <v>0</v>
      </c>
      <c r="O901" s="178">
        <v>2.84</v>
      </c>
      <c r="P901" s="453"/>
      <c r="Q901" s="61"/>
      <c r="R901" s="298"/>
      <c r="S901" s="669"/>
      <c r="T901" s="444"/>
      <c r="U901" s="444"/>
      <c r="V901" s="444"/>
      <c r="W901" s="444"/>
      <c r="X901" s="444">
        <v>901</v>
      </c>
      <c r="Y901" s="444"/>
      <c r="Z901" s="444"/>
      <c r="AA901" s="444"/>
      <c r="AB901" s="444"/>
      <c r="AC901" s="444"/>
      <c r="AD901" s="444"/>
      <c r="AE901" s="444"/>
      <c r="AF901" s="444"/>
    </row>
    <row r="902" spans="1:32" s="69" customFormat="1" ht="12">
      <c r="A902" s="83" t="s">
        <v>19842</v>
      </c>
      <c r="B902" s="64" t="s">
        <v>18572</v>
      </c>
      <c r="C902" s="71" t="s">
        <v>10216</v>
      </c>
      <c r="D902" s="79">
        <v>1</v>
      </c>
      <c r="E902" s="79">
        <v>577.26</v>
      </c>
      <c r="F902" s="79">
        <v>577.26</v>
      </c>
      <c r="G902" s="445"/>
      <c r="H902" s="178">
        <v>577.25</v>
      </c>
      <c r="I902" s="178">
        <v>710.02</v>
      </c>
      <c r="J902" s="70">
        <v>-132.76</v>
      </c>
      <c r="K902" s="320"/>
      <c r="L902" s="178"/>
      <c r="M902" s="178">
        <v>577.26</v>
      </c>
      <c r="N902" s="179">
        <v>0</v>
      </c>
      <c r="O902" s="178">
        <v>577.26</v>
      </c>
      <c r="P902" s="453"/>
      <c r="Q902" s="61"/>
      <c r="R902" s="298"/>
      <c r="S902" s="669"/>
      <c r="T902" s="444"/>
      <c r="U902" s="444"/>
      <c r="V902" s="444"/>
      <c r="W902" s="444"/>
      <c r="X902" s="444">
        <v>902</v>
      </c>
      <c r="Y902" s="444"/>
      <c r="Z902" s="444"/>
      <c r="AA902" s="444"/>
      <c r="AB902" s="444"/>
      <c r="AC902" s="444"/>
      <c r="AD902" s="444"/>
      <c r="AE902" s="444"/>
      <c r="AF902" s="444"/>
    </row>
    <row r="903" spans="1:32" ht="12">
      <c r="A903" s="83" t="s">
        <v>39655</v>
      </c>
      <c r="B903" s="64" t="s">
        <v>39656</v>
      </c>
      <c r="C903" s="71"/>
      <c r="D903" s="79" t="s">
        <v>40899</v>
      </c>
      <c r="E903" s="79" t="s">
        <v>40899</v>
      </c>
      <c r="F903" s="79"/>
      <c r="G903" s="445"/>
      <c r="H903" s="178"/>
      <c r="I903" s="178"/>
      <c r="J903" s="70"/>
      <c r="K903" s="320"/>
      <c r="L903" s="178"/>
      <c r="M903" s="178"/>
      <c r="N903" s="179"/>
      <c r="O903" s="178"/>
      <c r="P903" s="453"/>
      <c r="Q903" s="61"/>
      <c r="R903" s="298"/>
      <c r="S903" s="669"/>
      <c r="X903" s="444">
        <v>903</v>
      </c>
    </row>
    <row r="904" spans="1:32" s="69" customFormat="1" ht="12">
      <c r="A904" s="83" t="s">
        <v>19843</v>
      </c>
      <c r="B904" s="64" t="s">
        <v>19844</v>
      </c>
      <c r="C904" s="71" t="s">
        <v>165</v>
      </c>
      <c r="D904" s="79">
        <v>1</v>
      </c>
      <c r="E904" s="79">
        <v>1.05</v>
      </c>
      <c r="F904" s="79">
        <v>1.05</v>
      </c>
      <c r="G904" s="445"/>
      <c r="H904" s="178">
        <v>1.03</v>
      </c>
      <c r="I904" s="178">
        <v>1.27</v>
      </c>
      <c r="J904" s="70">
        <v>-0.21999999999999997</v>
      </c>
      <c r="K904" s="320"/>
      <c r="L904" s="178">
        <v>1.04</v>
      </c>
      <c r="M904" s="178">
        <v>1.0000000000000009E-2</v>
      </c>
      <c r="N904" s="179">
        <v>0</v>
      </c>
      <c r="O904" s="178">
        <v>1.05</v>
      </c>
      <c r="P904" s="453"/>
      <c r="Q904" s="61"/>
      <c r="R904" s="298"/>
      <c r="S904" s="669"/>
      <c r="T904" s="444"/>
      <c r="U904" s="444"/>
      <c r="V904" s="444"/>
      <c r="W904" s="444"/>
      <c r="X904" s="444">
        <v>904</v>
      </c>
      <c r="Y904" s="444"/>
      <c r="Z904" s="444"/>
      <c r="AA904" s="444"/>
      <c r="AB904" s="444"/>
      <c r="AC904" s="444"/>
      <c r="AD904" s="444"/>
      <c r="AE904" s="444"/>
      <c r="AF904" s="444"/>
    </row>
    <row r="905" spans="1:32" ht="12">
      <c r="A905" s="83" t="s">
        <v>19845</v>
      </c>
      <c r="B905" s="64" t="s">
        <v>19846</v>
      </c>
      <c r="C905" s="71" t="s">
        <v>165</v>
      </c>
      <c r="D905" s="79">
        <v>1</v>
      </c>
      <c r="E905" s="79">
        <v>7.29</v>
      </c>
      <c r="F905" s="79">
        <v>7.29</v>
      </c>
      <c r="G905" s="445"/>
      <c r="H905" s="178">
        <v>7.28</v>
      </c>
      <c r="I905" s="178">
        <v>8.9499999999999993</v>
      </c>
      <c r="J905" s="70">
        <v>-1.6599999999999993</v>
      </c>
      <c r="K905" s="320"/>
      <c r="L905" s="178">
        <v>7.19</v>
      </c>
      <c r="M905" s="178">
        <v>9.9999999999999645E-2</v>
      </c>
      <c r="N905" s="179">
        <v>0</v>
      </c>
      <c r="O905" s="178">
        <v>7.29</v>
      </c>
      <c r="P905" s="453"/>
      <c r="Q905" s="61"/>
      <c r="R905" s="298"/>
      <c r="S905" s="669"/>
      <c r="X905" s="444">
        <v>905</v>
      </c>
    </row>
    <row r="906" spans="1:32" ht="12">
      <c r="A906" s="83" t="s">
        <v>19847</v>
      </c>
      <c r="B906" s="64" t="s">
        <v>19848</v>
      </c>
      <c r="C906" s="71" t="s">
        <v>165</v>
      </c>
      <c r="D906" s="79">
        <v>1</v>
      </c>
      <c r="E906" s="79">
        <v>19.23</v>
      </c>
      <c r="F906" s="79">
        <v>19.23</v>
      </c>
      <c r="G906" s="445"/>
      <c r="H906" s="178">
        <v>19.23</v>
      </c>
      <c r="I906" s="178">
        <v>23.65</v>
      </c>
      <c r="J906" s="70">
        <v>-4.4199999999999982</v>
      </c>
      <c r="K906" s="320"/>
      <c r="L906" s="178">
        <v>18.98</v>
      </c>
      <c r="M906" s="178">
        <v>0.25</v>
      </c>
      <c r="N906" s="179">
        <v>0</v>
      </c>
      <c r="O906" s="178">
        <v>19.23</v>
      </c>
      <c r="P906" s="453"/>
      <c r="Q906" s="61"/>
      <c r="R906" s="298"/>
      <c r="S906" s="669"/>
      <c r="T906" s="61"/>
      <c r="X906" s="444">
        <v>906</v>
      </c>
    </row>
    <row r="907" spans="1:32" ht="12">
      <c r="A907" s="83" t="s">
        <v>19849</v>
      </c>
      <c r="B907" s="64" t="s">
        <v>19850</v>
      </c>
      <c r="C907" s="71" t="s">
        <v>103</v>
      </c>
      <c r="D907" s="79">
        <v>1</v>
      </c>
      <c r="E907" s="79">
        <v>17.939999999999998</v>
      </c>
      <c r="F907" s="79">
        <v>17.940000000000001</v>
      </c>
      <c r="G907" s="445"/>
      <c r="H907" s="178">
        <v>17.940000000000001</v>
      </c>
      <c r="I907" s="178">
        <v>22.07</v>
      </c>
      <c r="J907" s="70">
        <v>-4.1300000000000026</v>
      </c>
      <c r="K907" s="320"/>
      <c r="L907" s="178">
        <v>17.939999999999998</v>
      </c>
      <c r="M907" s="178">
        <v>0</v>
      </c>
      <c r="N907" s="179">
        <v>0</v>
      </c>
      <c r="O907" s="178">
        <v>17.939999999999998</v>
      </c>
      <c r="P907" s="453"/>
      <c r="Q907" s="61"/>
      <c r="R907" s="298"/>
      <c r="S907" s="669"/>
      <c r="T907" s="61"/>
      <c r="X907" s="444">
        <v>907</v>
      </c>
    </row>
    <row r="908" spans="1:32" ht="12">
      <c r="A908" s="83" t="s">
        <v>19851</v>
      </c>
      <c r="B908" s="64" t="s">
        <v>19852</v>
      </c>
      <c r="C908" s="71" t="s">
        <v>509</v>
      </c>
      <c r="D908" s="79">
        <v>1</v>
      </c>
      <c r="E908" s="79">
        <v>31.410000000000004</v>
      </c>
      <c r="F908" s="79">
        <v>31.41</v>
      </c>
      <c r="G908" s="445"/>
      <c r="H908" s="178">
        <v>31.41</v>
      </c>
      <c r="I908" s="178">
        <v>38.630000000000003</v>
      </c>
      <c r="J908" s="70">
        <v>-7.2199999999999989</v>
      </c>
      <c r="K908" s="320"/>
      <c r="L908" s="178">
        <v>31.410000000000004</v>
      </c>
      <c r="M908" s="178">
        <v>0</v>
      </c>
      <c r="N908" s="179">
        <v>0</v>
      </c>
      <c r="O908" s="178">
        <v>31.410000000000004</v>
      </c>
      <c r="P908" s="453"/>
      <c r="Q908" s="61"/>
      <c r="R908" s="298"/>
      <c r="S908" s="669"/>
      <c r="T908" s="61"/>
      <c r="U908" s="69"/>
      <c r="V908" s="69"/>
      <c r="W908" s="69"/>
      <c r="X908" s="444">
        <v>908</v>
      </c>
      <c r="Y908" s="69"/>
      <c r="Z908" s="69"/>
      <c r="AA908" s="69"/>
      <c r="AB908" s="69"/>
      <c r="AC908" s="69"/>
      <c r="AD908" s="69"/>
      <c r="AE908" s="69"/>
      <c r="AF908" s="69"/>
    </row>
    <row r="909" spans="1:32" ht="12">
      <c r="A909" s="83" t="s">
        <v>19853</v>
      </c>
      <c r="B909" s="64" t="s">
        <v>19854</v>
      </c>
      <c r="C909" s="71" t="s">
        <v>509</v>
      </c>
      <c r="D909" s="79">
        <v>1</v>
      </c>
      <c r="E909" s="79">
        <v>27.55</v>
      </c>
      <c r="F909" s="79">
        <v>27.55</v>
      </c>
      <c r="G909" s="445"/>
      <c r="H909" s="178">
        <v>27.54</v>
      </c>
      <c r="I909" s="178">
        <v>33.880000000000003</v>
      </c>
      <c r="J909" s="70">
        <v>-6.3300000000000018</v>
      </c>
      <c r="K909" s="320"/>
      <c r="L909" s="178">
        <v>27.55</v>
      </c>
      <c r="M909" s="178">
        <v>0</v>
      </c>
      <c r="N909" s="179">
        <v>0</v>
      </c>
      <c r="O909" s="178">
        <v>27.55</v>
      </c>
      <c r="P909" s="453"/>
      <c r="Q909" s="61"/>
      <c r="R909" s="298"/>
      <c r="S909" s="669"/>
      <c r="U909" s="69"/>
      <c r="V909" s="69"/>
      <c r="W909" s="69"/>
      <c r="X909" s="444">
        <v>909</v>
      </c>
      <c r="Y909" s="69"/>
      <c r="Z909" s="69"/>
      <c r="AA909" s="69"/>
      <c r="AB909" s="69"/>
      <c r="AC909" s="69"/>
      <c r="AD909" s="69"/>
      <c r="AE909" s="69"/>
      <c r="AF909" s="69"/>
    </row>
    <row r="910" spans="1:32" ht="12">
      <c r="A910" s="83" t="s">
        <v>19855</v>
      </c>
      <c r="B910" s="64" t="s">
        <v>19856</v>
      </c>
      <c r="C910" s="71" t="s">
        <v>509</v>
      </c>
      <c r="D910" s="79">
        <v>1</v>
      </c>
      <c r="E910" s="79">
        <v>20.509999999999998</v>
      </c>
      <c r="F910" s="79">
        <v>20.51</v>
      </c>
      <c r="G910" s="445"/>
      <c r="H910" s="178">
        <v>20.51</v>
      </c>
      <c r="I910" s="178">
        <v>25.23</v>
      </c>
      <c r="J910" s="70">
        <v>-4.7200000000000024</v>
      </c>
      <c r="K910" s="320"/>
      <c r="L910" s="178">
        <v>20.509999999999998</v>
      </c>
      <c r="M910" s="178">
        <v>0</v>
      </c>
      <c r="N910" s="179">
        <v>0</v>
      </c>
      <c r="O910" s="178">
        <v>20.509999999999998</v>
      </c>
      <c r="P910" s="453"/>
      <c r="Q910" s="61"/>
      <c r="R910" s="298"/>
      <c r="S910" s="669"/>
      <c r="X910" s="444">
        <v>910</v>
      </c>
    </row>
    <row r="911" spans="1:32" ht="12">
      <c r="A911" s="83" t="s">
        <v>19857</v>
      </c>
      <c r="B911" s="64" t="s">
        <v>19858</v>
      </c>
      <c r="C911" s="71" t="s">
        <v>165</v>
      </c>
      <c r="D911" s="79">
        <v>1</v>
      </c>
      <c r="E911" s="79">
        <v>22.369999999999994</v>
      </c>
      <c r="F911" s="79">
        <v>22.37</v>
      </c>
      <c r="G911" s="445"/>
      <c r="H911" s="178">
        <v>22.37</v>
      </c>
      <c r="I911" s="178">
        <v>27.52</v>
      </c>
      <c r="J911" s="70">
        <v>-5.1500000000000057</v>
      </c>
      <c r="K911" s="320"/>
      <c r="L911" s="178">
        <v>19.759999999999998</v>
      </c>
      <c r="M911" s="178">
        <v>2.6099999999999959</v>
      </c>
      <c r="N911" s="179">
        <v>0</v>
      </c>
      <c r="O911" s="178">
        <v>22.369999999999994</v>
      </c>
      <c r="P911" s="453"/>
      <c r="Q911" s="61"/>
      <c r="R911" s="298"/>
      <c r="S911" s="669"/>
      <c r="X911" s="444">
        <v>911</v>
      </c>
    </row>
    <row r="912" spans="1:32" ht="12">
      <c r="A912" s="83" t="s">
        <v>19859</v>
      </c>
      <c r="B912" s="64" t="s">
        <v>19860</v>
      </c>
      <c r="C912" s="71" t="s">
        <v>165</v>
      </c>
      <c r="D912" s="79">
        <v>1</v>
      </c>
      <c r="E912" s="79">
        <v>10.259999999999998</v>
      </c>
      <c r="F912" s="79">
        <v>10.26</v>
      </c>
      <c r="G912" s="445"/>
      <c r="H912" s="178">
        <v>10.25</v>
      </c>
      <c r="I912" s="178">
        <v>12.61</v>
      </c>
      <c r="J912" s="70">
        <v>-2.3500000000000014</v>
      </c>
      <c r="K912" s="320"/>
      <c r="L912" s="178">
        <v>10.259999999999998</v>
      </c>
      <c r="M912" s="178">
        <v>0</v>
      </c>
      <c r="N912" s="179">
        <v>0</v>
      </c>
      <c r="O912" s="178">
        <v>10.259999999999998</v>
      </c>
      <c r="P912" s="453"/>
      <c r="Q912" s="61"/>
      <c r="R912" s="298"/>
      <c r="S912" s="669"/>
      <c r="X912" s="444">
        <v>912</v>
      </c>
    </row>
    <row r="913" spans="1:32" ht="12">
      <c r="A913" s="83" t="s">
        <v>19861</v>
      </c>
      <c r="B913" s="64" t="s">
        <v>19862</v>
      </c>
      <c r="C913" s="71" t="s">
        <v>10216</v>
      </c>
      <c r="D913" s="79">
        <v>1</v>
      </c>
      <c r="E913" s="79">
        <v>577.26</v>
      </c>
      <c r="F913" s="79">
        <v>577.26</v>
      </c>
      <c r="G913" s="445"/>
      <c r="H913" s="178">
        <v>577.25</v>
      </c>
      <c r="I913" s="178">
        <v>710.02</v>
      </c>
      <c r="J913" s="70">
        <v>-132.76</v>
      </c>
      <c r="K913" s="320"/>
      <c r="L913" s="178"/>
      <c r="M913" s="178">
        <v>577.26</v>
      </c>
      <c r="N913" s="179">
        <v>0</v>
      </c>
      <c r="O913" s="178">
        <v>577.26</v>
      </c>
      <c r="P913" s="453"/>
      <c r="Q913" s="61"/>
      <c r="R913" s="298"/>
      <c r="S913" s="669"/>
      <c r="X913" s="444">
        <v>913</v>
      </c>
    </row>
    <row r="914" spans="1:32" ht="12">
      <c r="A914" s="83" t="s">
        <v>39657</v>
      </c>
      <c r="B914" s="64" t="s">
        <v>39658</v>
      </c>
      <c r="C914" s="71"/>
      <c r="D914" s="79" t="s">
        <v>40899</v>
      </c>
      <c r="E914" s="79" t="s">
        <v>40899</v>
      </c>
      <c r="F914" s="79"/>
      <c r="G914" s="445"/>
      <c r="H914" s="178"/>
      <c r="I914" s="178"/>
      <c r="J914" s="70"/>
      <c r="K914" s="320"/>
      <c r="L914" s="178"/>
      <c r="M914" s="178"/>
      <c r="N914" s="179"/>
      <c r="O914" s="178"/>
      <c r="P914" s="453"/>
      <c r="Q914" s="61"/>
      <c r="R914" s="298"/>
      <c r="S914" s="669"/>
      <c r="X914" s="444">
        <v>914</v>
      </c>
    </row>
    <row r="915" spans="1:32" ht="12">
      <c r="A915" s="83" t="s">
        <v>19863</v>
      </c>
      <c r="B915" s="64" t="s">
        <v>19864</v>
      </c>
      <c r="C915" s="71" t="s">
        <v>165</v>
      </c>
      <c r="D915" s="79">
        <v>1</v>
      </c>
      <c r="E915" s="79">
        <v>8.18</v>
      </c>
      <c r="F915" s="79">
        <v>8.18</v>
      </c>
      <c r="G915" s="445"/>
      <c r="H915" s="178">
        <v>8.16</v>
      </c>
      <c r="I915" s="178">
        <v>10.039999999999999</v>
      </c>
      <c r="J915" s="70">
        <v>-1.8599999999999994</v>
      </c>
      <c r="K915" s="320"/>
      <c r="L915" s="178">
        <v>1.04</v>
      </c>
      <c r="M915" s="178">
        <v>7.14</v>
      </c>
      <c r="N915" s="179">
        <v>0</v>
      </c>
      <c r="O915" s="178">
        <v>8.18</v>
      </c>
      <c r="P915" s="453"/>
      <c r="Q915" s="61"/>
      <c r="R915" s="298"/>
      <c r="S915" s="669"/>
      <c r="X915" s="444">
        <v>915</v>
      </c>
    </row>
    <row r="916" spans="1:32" ht="12">
      <c r="A916" s="83" t="s">
        <v>19865</v>
      </c>
      <c r="B916" s="64" t="s">
        <v>19866</v>
      </c>
      <c r="C916" s="71" t="s">
        <v>165</v>
      </c>
      <c r="D916" s="79">
        <v>1</v>
      </c>
      <c r="E916" s="79">
        <v>18.040000000000003</v>
      </c>
      <c r="F916" s="79">
        <v>18.04</v>
      </c>
      <c r="G916" s="445"/>
      <c r="H916" s="178">
        <v>18.03</v>
      </c>
      <c r="I916" s="178">
        <v>22.18</v>
      </c>
      <c r="J916" s="70">
        <v>-4.139999999999997</v>
      </c>
      <c r="K916" s="320"/>
      <c r="L916" s="178">
        <v>7.19</v>
      </c>
      <c r="M916" s="178">
        <v>10.850000000000001</v>
      </c>
      <c r="N916" s="179">
        <v>0</v>
      </c>
      <c r="O916" s="178">
        <v>18.040000000000003</v>
      </c>
      <c r="P916" s="453"/>
      <c r="Q916" s="61"/>
      <c r="R916" s="298"/>
      <c r="S916" s="669"/>
      <c r="X916" s="444">
        <v>916</v>
      </c>
    </row>
    <row r="917" spans="1:32" ht="12">
      <c r="A917" s="83" t="s">
        <v>19867</v>
      </c>
      <c r="B917" s="64" t="s">
        <v>19868</v>
      </c>
      <c r="C917" s="71" t="s">
        <v>165</v>
      </c>
      <c r="D917" s="79">
        <v>1</v>
      </c>
      <c r="E917" s="79">
        <v>29.520000000000003</v>
      </c>
      <c r="F917" s="79">
        <v>29.52</v>
      </c>
      <c r="G917" s="445"/>
      <c r="H917" s="178">
        <v>29.54</v>
      </c>
      <c r="I917" s="178">
        <v>36.33</v>
      </c>
      <c r="J917" s="70">
        <v>-6.8099999999999952</v>
      </c>
      <c r="K917" s="320"/>
      <c r="L917" s="178">
        <v>8.19</v>
      </c>
      <c r="M917" s="178">
        <v>21.330000000000005</v>
      </c>
      <c r="N917" s="179">
        <v>0</v>
      </c>
      <c r="O917" s="178">
        <v>29.520000000000003</v>
      </c>
      <c r="P917" s="453"/>
      <c r="Q917" s="61"/>
      <c r="R917" s="298"/>
      <c r="S917" s="669"/>
      <c r="X917" s="444">
        <v>917</v>
      </c>
    </row>
    <row r="918" spans="1:32" ht="12">
      <c r="A918" s="83" t="s">
        <v>19869</v>
      </c>
      <c r="B918" s="64" t="s">
        <v>19870</v>
      </c>
      <c r="C918" s="71" t="s">
        <v>165</v>
      </c>
      <c r="D918" s="79">
        <v>1</v>
      </c>
      <c r="E918" s="79">
        <v>43.59</v>
      </c>
      <c r="F918" s="79">
        <v>43.59</v>
      </c>
      <c r="G918" s="445"/>
      <c r="H918" s="178">
        <v>43.57</v>
      </c>
      <c r="I918" s="178">
        <v>53.59</v>
      </c>
      <c r="J918" s="70">
        <v>-10</v>
      </c>
      <c r="K918" s="320"/>
      <c r="L918" s="178">
        <v>16.43</v>
      </c>
      <c r="M918" s="178">
        <v>27.160000000000004</v>
      </c>
      <c r="N918" s="179">
        <v>0</v>
      </c>
      <c r="O918" s="178">
        <v>43.59</v>
      </c>
      <c r="P918" s="453"/>
      <c r="Q918" s="61"/>
      <c r="R918" s="298"/>
      <c r="S918" s="669"/>
      <c r="X918" s="444">
        <v>918</v>
      </c>
    </row>
    <row r="919" spans="1:32" s="69" customFormat="1" ht="12">
      <c r="A919" s="83" t="s">
        <v>19871</v>
      </c>
      <c r="B919" s="64" t="s">
        <v>19872</v>
      </c>
      <c r="C919" s="71" t="s">
        <v>165</v>
      </c>
      <c r="D919" s="79">
        <v>1</v>
      </c>
      <c r="E919" s="79">
        <v>59.87</v>
      </c>
      <c r="F919" s="79">
        <v>59.87</v>
      </c>
      <c r="G919" s="445"/>
      <c r="H919" s="178">
        <v>59.85</v>
      </c>
      <c r="I919" s="178">
        <v>73.61</v>
      </c>
      <c r="J919" s="70">
        <v>-13.740000000000002</v>
      </c>
      <c r="K919" s="320"/>
      <c r="L919" s="178">
        <v>22.07</v>
      </c>
      <c r="M919" s="178">
        <v>37.799999999999997</v>
      </c>
      <c r="N919" s="179">
        <v>0</v>
      </c>
      <c r="O919" s="178">
        <v>59.87</v>
      </c>
      <c r="P919" s="453"/>
      <c r="Q919" s="61"/>
      <c r="R919" s="298"/>
      <c r="S919" s="669"/>
      <c r="T919" s="444"/>
      <c r="U919" s="444"/>
      <c r="V919" s="444"/>
      <c r="W919" s="444"/>
      <c r="X919" s="444">
        <v>919</v>
      </c>
      <c r="Y919" s="444"/>
      <c r="Z919" s="444"/>
      <c r="AA919" s="444"/>
      <c r="AB919" s="444"/>
      <c r="AC919" s="444"/>
      <c r="AD919" s="444"/>
      <c r="AE919" s="444"/>
      <c r="AF919" s="444"/>
    </row>
    <row r="920" spans="1:32" s="69" customFormat="1" ht="12">
      <c r="A920" s="83" t="s">
        <v>19873</v>
      </c>
      <c r="B920" s="64" t="s">
        <v>6313</v>
      </c>
      <c r="C920" s="71" t="s">
        <v>19874</v>
      </c>
      <c r="D920" s="79">
        <v>1</v>
      </c>
      <c r="E920" s="79">
        <v>9.6100000000000012</v>
      </c>
      <c r="F920" s="79">
        <v>9.61</v>
      </c>
      <c r="G920" s="445"/>
      <c r="H920" s="178">
        <v>9.59</v>
      </c>
      <c r="I920" s="178">
        <v>11.8</v>
      </c>
      <c r="J920" s="70">
        <v>-2.1899999999999995</v>
      </c>
      <c r="K920" s="320"/>
      <c r="L920" s="178">
        <v>1.04</v>
      </c>
      <c r="M920" s="178">
        <v>8.57</v>
      </c>
      <c r="N920" s="179">
        <v>0</v>
      </c>
      <c r="O920" s="178">
        <v>9.61</v>
      </c>
      <c r="P920" s="453"/>
      <c r="Q920" s="61"/>
      <c r="R920" s="298"/>
      <c r="S920" s="669"/>
      <c r="T920" s="444"/>
      <c r="U920" s="444"/>
      <c r="V920" s="444"/>
      <c r="W920" s="444"/>
      <c r="X920" s="444">
        <v>920</v>
      </c>
      <c r="Y920" s="444"/>
      <c r="Z920" s="444"/>
      <c r="AA920" s="444"/>
      <c r="AB920" s="444"/>
      <c r="AC920" s="444"/>
      <c r="AD920" s="444"/>
      <c r="AE920" s="444"/>
      <c r="AF920" s="444"/>
    </row>
    <row r="921" spans="1:32" ht="12">
      <c r="A921" s="83" t="s">
        <v>19875</v>
      </c>
      <c r="B921" s="64" t="s">
        <v>19876</v>
      </c>
      <c r="C921" s="71" t="s">
        <v>121</v>
      </c>
      <c r="D921" s="79">
        <v>1</v>
      </c>
      <c r="E921" s="79">
        <v>5874.7000000000007</v>
      </c>
      <c r="F921" s="79">
        <v>5874.7</v>
      </c>
      <c r="G921" s="445"/>
      <c r="H921" s="178">
        <v>5874.7</v>
      </c>
      <c r="I921" s="178">
        <v>7225.88</v>
      </c>
      <c r="J921" s="70">
        <v>-1351.1799999999994</v>
      </c>
      <c r="K921" s="320"/>
      <c r="L921" s="178">
        <v>2307.69</v>
      </c>
      <c r="M921" s="178">
        <v>3567.0100000000007</v>
      </c>
      <c r="N921" s="179">
        <v>0</v>
      </c>
      <c r="O921" s="178">
        <v>5874.7000000000007</v>
      </c>
      <c r="P921" s="453"/>
      <c r="Q921" s="61"/>
      <c r="R921" s="298"/>
      <c r="S921" s="669"/>
      <c r="X921" s="444">
        <v>921</v>
      </c>
    </row>
    <row r="922" spans="1:32" ht="12">
      <c r="A922" s="83" t="s">
        <v>19877</v>
      </c>
      <c r="B922" s="64" t="s">
        <v>19878</v>
      </c>
      <c r="C922" s="71" t="s">
        <v>103</v>
      </c>
      <c r="D922" s="79">
        <v>1</v>
      </c>
      <c r="E922" s="79">
        <v>6.3100000000000005</v>
      </c>
      <c r="F922" s="79">
        <v>6.31</v>
      </c>
      <c r="G922" s="445"/>
      <c r="H922" s="178">
        <v>6.3</v>
      </c>
      <c r="I922" s="178">
        <v>7.75</v>
      </c>
      <c r="J922" s="70">
        <v>-1.4399999999999995</v>
      </c>
      <c r="K922" s="320"/>
      <c r="L922" s="178">
        <v>5.13</v>
      </c>
      <c r="M922" s="178">
        <v>1.1800000000000006</v>
      </c>
      <c r="N922" s="179">
        <v>0</v>
      </c>
      <c r="O922" s="178">
        <v>6.3100000000000005</v>
      </c>
      <c r="P922" s="453"/>
      <c r="Q922" s="61"/>
      <c r="R922" s="298"/>
      <c r="S922" s="669"/>
      <c r="X922" s="444">
        <v>922</v>
      </c>
    </row>
    <row r="923" spans="1:32" ht="12">
      <c r="A923" s="83" t="s">
        <v>19879</v>
      </c>
      <c r="B923" s="64" t="s">
        <v>19880</v>
      </c>
      <c r="C923" s="71" t="s">
        <v>103</v>
      </c>
      <c r="D923" s="79">
        <v>1</v>
      </c>
      <c r="E923" s="79">
        <v>6.83</v>
      </c>
      <c r="F923" s="79">
        <v>6.83</v>
      </c>
      <c r="G923" s="445"/>
      <c r="H923" s="178">
        <v>6.82</v>
      </c>
      <c r="I923" s="178">
        <v>8.39</v>
      </c>
      <c r="J923" s="70">
        <v>-1.5600000000000005</v>
      </c>
      <c r="K923" s="320"/>
      <c r="L923" s="178">
        <v>5.13</v>
      </c>
      <c r="M923" s="178">
        <v>1.7000000000000002</v>
      </c>
      <c r="N923" s="179">
        <v>0</v>
      </c>
      <c r="O923" s="178">
        <v>6.83</v>
      </c>
      <c r="P923" s="453"/>
      <c r="Q923" s="61"/>
      <c r="R923" s="298"/>
      <c r="S923" s="669"/>
      <c r="X923" s="444">
        <v>923</v>
      </c>
    </row>
    <row r="924" spans="1:32" ht="24">
      <c r="A924" s="83" t="s">
        <v>19881</v>
      </c>
      <c r="B924" s="64" t="s">
        <v>19882</v>
      </c>
      <c r="C924" s="71" t="s">
        <v>103</v>
      </c>
      <c r="D924" s="79">
        <v>1</v>
      </c>
      <c r="E924" s="79">
        <v>265.61</v>
      </c>
      <c r="F924" s="79">
        <v>265.61</v>
      </c>
      <c r="G924" s="445"/>
      <c r="H924" s="178">
        <v>265.61</v>
      </c>
      <c r="I924" s="178">
        <v>326.7</v>
      </c>
      <c r="J924" s="70">
        <v>-61.089999999999975</v>
      </c>
      <c r="K924" s="320"/>
      <c r="L924" s="178">
        <v>17.939999999999998</v>
      </c>
      <c r="M924" s="178">
        <v>247.67000000000002</v>
      </c>
      <c r="N924" s="179">
        <v>0</v>
      </c>
      <c r="O924" s="178">
        <v>265.61</v>
      </c>
      <c r="P924" s="453"/>
      <c r="Q924" s="61"/>
      <c r="R924" s="298"/>
      <c r="S924" s="669"/>
      <c r="X924" s="444">
        <v>924</v>
      </c>
    </row>
    <row r="925" spans="1:32" ht="12">
      <c r="A925" s="83" t="s">
        <v>19883</v>
      </c>
      <c r="B925" s="64" t="s">
        <v>19884</v>
      </c>
      <c r="C925" s="71" t="s">
        <v>103</v>
      </c>
      <c r="D925" s="79">
        <v>1</v>
      </c>
      <c r="E925" s="79">
        <v>77.259999999999991</v>
      </c>
      <c r="F925" s="79">
        <v>77.260000000000005</v>
      </c>
      <c r="G925" s="445"/>
      <c r="H925" s="178">
        <v>77.27</v>
      </c>
      <c r="I925" s="178">
        <v>95.04</v>
      </c>
      <c r="J925" s="70">
        <v>-17.780000000000015</v>
      </c>
      <c r="K925" s="320"/>
      <c r="L925" s="178">
        <v>17.939999999999998</v>
      </c>
      <c r="M925" s="178">
        <v>59.319999999999993</v>
      </c>
      <c r="N925" s="179">
        <v>0</v>
      </c>
      <c r="O925" s="178">
        <v>77.259999999999991</v>
      </c>
      <c r="P925" s="453"/>
      <c r="Q925" s="61"/>
      <c r="R925" s="298"/>
      <c r="S925" s="669"/>
      <c r="X925" s="444">
        <v>925</v>
      </c>
    </row>
    <row r="926" spans="1:32" ht="12">
      <c r="A926" s="83" t="s">
        <v>19885</v>
      </c>
      <c r="B926" s="64" t="s">
        <v>19886</v>
      </c>
      <c r="C926" s="71" t="s">
        <v>103</v>
      </c>
      <c r="D926" s="79">
        <v>1</v>
      </c>
      <c r="E926" s="79">
        <v>150.44</v>
      </c>
      <c r="F926" s="79">
        <v>150.44</v>
      </c>
      <c r="G926" s="445"/>
      <c r="H926" s="178">
        <v>150.44999999999999</v>
      </c>
      <c r="I926" s="178">
        <v>185.05</v>
      </c>
      <c r="J926" s="70">
        <v>-34.610000000000014</v>
      </c>
      <c r="K926" s="320"/>
      <c r="L926" s="178">
        <v>17.939999999999998</v>
      </c>
      <c r="M926" s="178">
        <v>132.5</v>
      </c>
      <c r="N926" s="179">
        <v>0</v>
      </c>
      <c r="O926" s="178">
        <v>150.44</v>
      </c>
      <c r="P926" s="453"/>
      <c r="Q926" s="61"/>
      <c r="R926" s="298"/>
      <c r="S926" s="669"/>
      <c r="X926" s="444">
        <v>926</v>
      </c>
    </row>
    <row r="927" spans="1:32" ht="12">
      <c r="A927" s="83" t="s">
        <v>19887</v>
      </c>
      <c r="B927" s="64" t="s">
        <v>19888</v>
      </c>
      <c r="C927" s="71" t="s">
        <v>509</v>
      </c>
      <c r="D927" s="79">
        <v>1</v>
      </c>
      <c r="E927" s="79">
        <v>75.08</v>
      </c>
      <c r="F927" s="79">
        <v>75.08</v>
      </c>
      <c r="G927" s="445"/>
      <c r="H927" s="178">
        <v>75.069999999999993</v>
      </c>
      <c r="I927" s="178">
        <v>92.33</v>
      </c>
      <c r="J927" s="70">
        <v>-17.25</v>
      </c>
      <c r="K927" s="320"/>
      <c r="L927" s="178">
        <v>27.93</v>
      </c>
      <c r="M927" s="178">
        <v>47.15</v>
      </c>
      <c r="N927" s="179">
        <v>0</v>
      </c>
      <c r="O927" s="178">
        <v>75.08</v>
      </c>
      <c r="P927" s="453"/>
      <c r="Q927" s="61"/>
      <c r="R927" s="298"/>
      <c r="S927" s="669"/>
      <c r="X927" s="444">
        <v>927</v>
      </c>
    </row>
    <row r="928" spans="1:32" ht="12">
      <c r="A928" s="83" t="s">
        <v>19889</v>
      </c>
      <c r="B928" s="64" t="s">
        <v>19890</v>
      </c>
      <c r="C928" s="71" t="s">
        <v>509</v>
      </c>
      <c r="D928" s="79">
        <v>1</v>
      </c>
      <c r="E928" s="79">
        <v>66.36</v>
      </c>
      <c r="F928" s="79">
        <v>66.36</v>
      </c>
      <c r="G928" s="445"/>
      <c r="H928" s="178">
        <v>66.349999999999994</v>
      </c>
      <c r="I928" s="178">
        <v>81.61</v>
      </c>
      <c r="J928" s="70">
        <v>-15.25</v>
      </c>
      <c r="K928" s="320"/>
      <c r="L928" s="178">
        <v>27.93</v>
      </c>
      <c r="M928" s="178">
        <v>38.43</v>
      </c>
      <c r="N928" s="179">
        <v>0</v>
      </c>
      <c r="O928" s="178">
        <v>66.36</v>
      </c>
      <c r="P928" s="453"/>
      <c r="Q928" s="61"/>
      <c r="R928" s="298"/>
      <c r="S928" s="669"/>
      <c r="X928" s="444">
        <v>928</v>
      </c>
    </row>
    <row r="929" spans="1:32" ht="24">
      <c r="A929" s="525" t="s">
        <v>19891</v>
      </c>
      <c r="B929" s="461" t="s">
        <v>39659</v>
      </c>
      <c r="C929" s="526" t="s">
        <v>509</v>
      </c>
      <c r="D929" s="79">
        <v>1</v>
      </c>
      <c r="E929" s="79">
        <v>136.79000000000002</v>
      </c>
      <c r="F929" s="79">
        <v>136.79</v>
      </c>
      <c r="G929" s="320"/>
      <c r="H929" s="178">
        <v>136.78</v>
      </c>
      <c r="I929" s="178">
        <v>168.24</v>
      </c>
      <c r="J929" s="70">
        <v>-31.449999999999989</v>
      </c>
      <c r="K929" s="320"/>
      <c r="L929" s="178">
        <v>20.509999999999998</v>
      </c>
      <c r="M929" s="178">
        <v>116.28000000000003</v>
      </c>
      <c r="N929" s="179">
        <v>0</v>
      </c>
      <c r="O929" s="178">
        <v>136.79000000000002</v>
      </c>
      <c r="P929" s="453"/>
      <c r="Q929" s="61"/>
      <c r="R929" s="298"/>
      <c r="S929" s="669"/>
      <c r="T929" s="69"/>
      <c r="X929" s="444">
        <v>929</v>
      </c>
    </row>
    <row r="930" spans="1:32" ht="36">
      <c r="A930" s="525" t="s">
        <v>19892</v>
      </c>
      <c r="B930" s="461" t="s">
        <v>39660</v>
      </c>
      <c r="C930" s="526" t="s">
        <v>509</v>
      </c>
      <c r="D930" s="79">
        <v>1</v>
      </c>
      <c r="E930" s="79">
        <v>296.03999999999996</v>
      </c>
      <c r="F930" s="79">
        <v>296.04000000000002</v>
      </c>
      <c r="G930" s="320"/>
      <c r="H930" s="178">
        <v>296.02999999999997</v>
      </c>
      <c r="I930" s="178">
        <v>364.12</v>
      </c>
      <c r="J930" s="70">
        <v>-68.080000000000041</v>
      </c>
      <c r="K930" s="320"/>
      <c r="L930" s="178">
        <v>30.77</v>
      </c>
      <c r="M930" s="178">
        <v>265.27</v>
      </c>
      <c r="N930" s="179">
        <v>0</v>
      </c>
      <c r="O930" s="178">
        <v>296.03999999999996</v>
      </c>
      <c r="P930" s="453"/>
      <c r="Q930" s="61"/>
      <c r="R930" s="298"/>
      <c r="S930" s="669"/>
      <c r="T930" s="69"/>
      <c r="X930" s="444">
        <v>930</v>
      </c>
    </row>
    <row r="931" spans="1:32" ht="36">
      <c r="A931" s="525" t="s">
        <v>19893</v>
      </c>
      <c r="B931" s="461" t="s">
        <v>39661</v>
      </c>
      <c r="C931" s="526" t="s">
        <v>509</v>
      </c>
      <c r="D931" s="79">
        <v>1</v>
      </c>
      <c r="E931" s="79">
        <v>321.08000000000004</v>
      </c>
      <c r="F931" s="79">
        <v>321.08</v>
      </c>
      <c r="G931" s="320"/>
      <c r="H931" s="178">
        <v>321.07</v>
      </c>
      <c r="I931" s="178">
        <v>394.92</v>
      </c>
      <c r="J931" s="70">
        <v>-73.839999999999975</v>
      </c>
      <c r="K931" s="320"/>
      <c r="L931" s="178">
        <v>30.77</v>
      </c>
      <c r="M931" s="178">
        <v>290.31000000000006</v>
      </c>
      <c r="N931" s="179">
        <v>0</v>
      </c>
      <c r="O931" s="178">
        <v>321.08000000000004</v>
      </c>
      <c r="P931" s="453"/>
      <c r="Q931" s="61"/>
      <c r="R931" s="298"/>
      <c r="S931" s="669"/>
      <c r="T931" s="69"/>
      <c r="X931" s="444">
        <v>931</v>
      </c>
    </row>
    <row r="932" spans="1:32" ht="12">
      <c r="A932" s="83" t="s">
        <v>19894</v>
      </c>
      <c r="B932" s="64" t="s">
        <v>19895</v>
      </c>
      <c r="C932" s="71" t="s">
        <v>509</v>
      </c>
      <c r="D932" s="79">
        <v>1</v>
      </c>
      <c r="E932" s="79">
        <v>88.699999999999989</v>
      </c>
      <c r="F932" s="79">
        <v>88.7</v>
      </c>
      <c r="G932" s="445"/>
      <c r="H932" s="178">
        <v>88.67</v>
      </c>
      <c r="I932" s="178">
        <v>109.07</v>
      </c>
      <c r="J932" s="70">
        <v>-20.370000000000005</v>
      </c>
      <c r="K932" s="320"/>
      <c r="L932" s="178">
        <v>25.659999999999997</v>
      </c>
      <c r="M932" s="178">
        <v>63.039999999999992</v>
      </c>
      <c r="N932" s="179">
        <v>0</v>
      </c>
      <c r="O932" s="178">
        <v>88.699999999999989</v>
      </c>
      <c r="P932" s="453"/>
      <c r="Q932" s="61"/>
      <c r="R932" s="298"/>
      <c r="S932" s="669"/>
      <c r="X932" s="444">
        <v>932</v>
      </c>
    </row>
    <row r="933" spans="1:32" ht="12">
      <c r="A933" s="83" t="s">
        <v>19896</v>
      </c>
      <c r="B933" s="64" t="s">
        <v>19897</v>
      </c>
      <c r="C933" s="71" t="s">
        <v>165</v>
      </c>
      <c r="D933" s="79">
        <v>1</v>
      </c>
      <c r="E933" s="79">
        <v>37.609999999999992</v>
      </c>
      <c r="F933" s="79">
        <v>37.61</v>
      </c>
      <c r="G933" s="445"/>
      <c r="H933" s="178">
        <v>37.619999999999997</v>
      </c>
      <c r="I933" s="178">
        <v>46.27</v>
      </c>
      <c r="J933" s="70">
        <v>-8.6600000000000108</v>
      </c>
      <c r="K933" s="320"/>
      <c r="L933" s="178">
        <v>19.759999999999998</v>
      </c>
      <c r="M933" s="178">
        <v>17.849999999999994</v>
      </c>
      <c r="N933" s="179">
        <v>0</v>
      </c>
      <c r="O933" s="178">
        <v>37.609999999999992</v>
      </c>
      <c r="P933" s="453"/>
      <c r="Q933" s="61"/>
      <c r="R933" s="298"/>
      <c r="S933" s="669"/>
      <c r="X933" s="444">
        <v>933</v>
      </c>
    </row>
    <row r="934" spans="1:32" ht="12">
      <c r="A934" s="83" t="s">
        <v>19898</v>
      </c>
      <c r="B934" s="64" t="s">
        <v>19899</v>
      </c>
      <c r="C934" s="71" t="s">
        <v>509</v>
      </c>
      <c r="D934" s="79">
        <v>1</v>
      </c>
      <c r="E934" s="79">
        <v>116.44</v>
      </c>
      <c r="F934" s="79">
        <v>116.44</v>
      </c>
      <c r="G934" s="445"/>
      <c r="H934" s="178">
        <v>116.44</v>
      </c>
      <c r="I934" s="178">
        <v>143.22</v>
      </c>
      <c r="J934" s="70">
        <v>-26.78</v>
      </c>
      <c r="K934" s="320"/>
      <c r="L934" s="178">
        <v>30.77</v>
      </c>
      <c r="M934" s="178">
        <v>85.67</v>
      </c>
      <c r="N934" s="179">
        <v>0</v>
      </c>
      <c r="O934" s="178">
        <v>116.44</v>
      </c>
      <c r="P934" s="453"/>
      <c r="Q934" s="61"/>
      <c r="R934" s="298"/>
      <c r="S934" s="669"/>
      <c r="U934" s="69"/>
      <c r="V934" s="69"/>
      <c r="W934" s="69"/>
      <c r="X934" s="444">
        <v>934</v>
      </c>
      <c r="Y934" s="69"/>
      <c r="Z934" s="69"/>
      <c r="AA934" s="69"/>
      <c r="AB934" s="69"/>
      <c r="AC934" s="69"/>
      <c r="AD934" s="69"/>
      <c r="AE934" s="69"/>
      <c r="AF934" s="69"/>
    </row>
    <row r="935" spans="1:32" ht="12">
      <c r="A935" s="83" t="s">
        <v>19900</v>
      </c>
      <c r="B935" s="64" t="s">
        <v>19901</v>
      </c>
      <c r="C935" s="71" t="s">
        <v>509</v>
      </c>
      <c r="D935" s="79">
        <v>1</v>
      </c>
      <c r="E935" s="79">
        <v>8.92</v>
      </c>
      <c r="F935" s="79">
        <v>8.92</v>
      </c>
      <c r="G935" s="320"/>
      <c r="H935" s="178">
        <v>8.93</v>
      </c>
      <c r="I935" s="178">
        <v>10.98</v>
      </c>
      <c r="J935" s="70">
        <v>-2.0600000000000005</v>
      </c>
      <c r="K935" s="320"/>
      <c r="L935" s="178">
        <v>8.92</v>
      </c>
      <c r="M935" s="178">
        <v>0</v>
      </c>
      <c r="N935" s="179">
        <v>0</v>
      </c>
      <c r="O935" s="178">
        <v>8.92</v>
      </c>
      <c r="P935" s="453"/>
      <c r="Q935" s="61"/>
      <c r="R935" s="298"/>
      <c r="S935" s="669"/>
      <c r="U935" s="69"/>
      <c r="V935" s="69"/>
      <c r="W935" s="69"/>
      <c r="X935" s="444">
        <v>935</v>
      </c>
      <c r="Y935" s="69"/>
      <c r="Z935" s="69"/>
      <c r="AA935" s="69"/>
      <c r="AB935" s="69"/>
      <c r="AC935" s="69"/>
      <c r="AD935" s="69"/>
      <c r="AE935" s="69"/>
      <c r="AF935" s="69"/>
    </row>
    <row r="936" spans="1:32" ht="12">
      <c r="A936" s="83" t="s">
        <v>19902</v>
      </c>
      <c r="B936" s="64" t="s">
        <v>19903</v>
      </c>
      <c r="C936" s="71" t="s">
        <v>509</v>
      </c>
      <c r="D936" s="79">
        <v>1</v>
      </c>
      <c r="E936" s="79">
        <v>181.57</v>
      </c>
      <c r="F936" s="79">
        <v>181.57</v>
      </c>
      <c r="G936" s="320"/>
      <c r="H936" s="178">
        <v>181.55</v>
      </c>
      <c r="I936" s="178">
        <v>223.31</v>
      </c>
      <c r="J936" s="70">
        <v>-41.740000000000009</v>
      </c>
      <c r="K936" s="320"/>
      <c r="L936" s="178">
        <v>22.22</v>
      </c>
      <c r="M936" s="178">
        <v>159.35</v>
      </c>
      <c r="N936" s="179">
        <v>0</v>
      </c>
      <c r="O936" s="178">
        <v>181.57</v>
      </c>
      <c r="P936" s="453"/>
      <c r="Q936" s="61"/>
      <c r="R936" s="298"/>
      <c r="S936" s="669"/>
      <c r="U936" s="69"/>
      <c r="V936" s="69"/>
      <c r="W936" s="69"/>
      <c r="X936" s="444">
        <v>936</v>
      </c>
      <c r="Y936" s="69"/>
      <c r="Z936" s="69"/>
      <c r="AA936" s="69"/>
      <c r="AB936" s="69"/>
      <c r="AC936" s="69"/>
      <c r="AD936" s="69"/>
      <c r="AE936" s="69"/>
      <c r="AF936" s="69"/>
    </row>
    <row r="937" spans="1:32" ht="12">
      <c r="A937" s="83" t="s">
        <v>19904</v>
      </c>
      <c r="B937" s="64" t="s">
        <v>6771</v>
      </c>
      <c r="C937" s="71" t="s">
        <v>509</v>
      </c>
      <c r="D937" s="79">
        <v>1</v>
      </c>
      <c r="E937" s="79">
        <v>163.30000000000001</v>
      </c>
      <c r="F937" s="79">
        <v>163.30000000000001</v>
      </c>
      <c r="G937" s="320"/>
      <c r="H937" s="178">
        <v>163.28</v>
      </c>
      <c r="I937" s="178">
        <v>200.84</v>
      </c>
      <c r="J937" s="70">
        <v>-37.539999999999992</v>
      </c>
      <c r="K937" s="320"/>
      <c r="L937" s="178">
        <v>19.27</v>
      </c>
      <c r="M937" s="178">
        <v>144.03</v>
      </c>
      <c r="N937" s="179">
        <v>0</v>
      </c>
      <c r="O937" s="178">
        <v>163.30000000000001</v>
      </c>
      <c r="P937" s="453"/>
      <c r="Q937" s="61"/>
      <c r="R937" s="298"/>
      <c r="S937" s="669"/>
      <c r="X937" s="444">
        <v>937</v>
      </c>
    </row>
    <row r="938" spans="1:32" ht="12">
      <c r="A938" s="83" t="s">
        <v>19905</v>
      </c>
      <c r="B938" s="64" t="s">
        <v>39634</v>
      </c>
      <c r="C938" s="71" t="s">
        <v>509</v>
      </c>
      <c r="D938" s="79">
        <v>1</v>
      </c>
      <c r="E938" s="79">
        <v>114.58</v>
      </c>
      <c r="F938" s="79">
        <v>114.58</v>
      </c>
      <c r="G938" s="320"/>
      <c r="H938" s="178">
        <v>114.59</v>
      </c>
      <c r="I938" s="178">
        <v>140.94</v>
      </c>
      <c r="J938" s="70">
        <v>-26.36</v>
      </c>
      <c r="K938" s="320"/>
      <c r="L938" s="178">
        <v>11.280000000000001</v>
      </c>
      <c r="M938" s="178">
        <v>103.3</v>
      </c>
      <c r="N938" s="179">
        <v>0</v>
      </c>
      <c r="O938" s="178">
        <v>114.58</v>
      </c>
      <c r="P938" s="453"/>
      <c r="Q938" s="61"/>
      <c r="R938" s="298"/>
      <c r="S938" s="669"/>
      <c r="X938" s="444">
        <v>938</v>
      </c>
    </row>
    <row r="939" spans="1:32" ht="12">
      <c r="A939" s="83" t="s">
        <v>19906</v>
      </c>
      <c r="B939" s="64" t="s">
        <v>19907</v>
      </c>
      <c r="C939" s="71" t="s">
        <v>509</v>
      </c>
      <c r="D939" s="79">
        <v>1</v>
      </c>
      <c r="E939" s="79">
        <v>43.480000000000004</v>
      </c>
      <c r="F939" s="79">
        <v>43.48</v>
      </c>
      <c r="G939" s="320"/>
      <c r="H939" s="178">
        <v>43.49</v>
      </c>
      <c r="I939" s="178">
        <v>53.49</v>
      </c>
      <c r="J939" s="70">
        <v>-10.009999999999998</v>
      </c>
      <c r="K939" s="320"/>
      <c r="L939" s="178">
        <v>11.280000000000001</v>
      </c>
      <c r="M939" s="178">
        <v>32.200000000000003</v>
      </c>
      <c r="N939" s="179">
        <v>0</v>
      </c>
      <c r="O939" s="178">
        <v>43.480000000000004</v>
      </c>
      <c r="P939" s="453"/>
      <c r="Q939" s="61"/>
      <c r="R939" s="298"/>
      <c r="S939" s="669"/>
      <c r="X939" s="444">
        <v>939</v>
      </c>
    </row>
    <row r="940" spans="1:32" ht="12">
      <c r="A940" s="83" t="s">
        <v>19908</v>
      </c>
      <c r="B940" s="64" t="s">
        <v>19736</v>
      </c>
      <c r="C940" s="71" t="s">
        <v>509</v>
      </c>
      <c r="D940" s="79">
        <v>1</v>
      </c>
      <c r="E940" s="79">
        <v>62.06</v>
      </c>
      <c r="F940" s="79">
        <v>62.06</v>
      </c>
      <c r="G940" s="320"/>
      <c r="H940" s="178">
        <v>62.06</v>
      </c>
      <c r="I940" s="178">
        <v>76.33</v>
      </c>
      <c r="J940" s="70">
        <v>-14.269999999999996</v>
      </c>
      <c r="K940" s="320"/>
      <c r="L940" s="178">
        <v>11.280000000000001</v>
      </c>
      <c r="M940" s="178">
        <v>50.78</v>
      </c>
      <c r="N940" s="179">
        <v>0</v>
      </c>
      <c r="O940" s="178">
        <v>62.06</v>
      </c>
      <c r="P940" s="453"/>
      <c r="Q940" s="61"/>
      <c r="R940" s="298"/>
      <c r="S940" s="669"/>
      <c r="X940" s="444">
        <v>940</v>
      </c>
    </row>
    <row r="941" spans="1:32" ht="12">
      <c r="A941" s="83" t="s">
        <v>19909</v>
      </c>
      <c r="B941" s="64" t="s">
        <v>6783</v>
      </c>
      <c r="C941" s="71" t="s">
        <v>165</v>
      </c>
      <c r="D941" s="79">
        <v>1</v>
      </c>
      <c r="E941" s="79">
        <v>68.900000000000006</v>
      </c>
      <c r="F941" s="79">
        <v>68.900000000000006</v>
      </c>
      <c r="G941" s="320"/>
      <c r="H941" s="178">
        <v>68.89</v>
      </c>
      <c r="I941" s="178">
        <v>84.74</v>
      </c>
      <c r="J941" s="70">
        <v>-15.839999999999989</v>
      </c>
      <c r="K941" s="320"/>
      <c r="L941" s="178">
        <v>6.15</v>
      </c>
      <c r="M941" s="178">
        <v>62.750000000000007</v>
      </c>
      <c r="N941" s="179">
        <v>0</v>
      </c>
      <c r="O941" s="178">
        <v>68.900000000000006</v>
      </c>
      <c r="P941" s="453"/>
      <c r="Q941" s="61"/>
      <c r="R941" s="298"/>
      <c r="S941" s="669"/>
      <c r="X941" s="444">
        <v>941</v>
      </c>
    </row>
    <row r="942" spans="1:32" ht="12">
      <c r="A942" s="83" t="s">
        <v>19910</v>
      </c>
      <c r="B942" s="64" t="s">
        <v>6785</v>
      </c>
      <c r="C942" s="71" t="s">
        <v>165</v>
      </c>
      <c r="D942" s="79">
        <v>1</v>
      </c>
      <c r="E942" s="79">
        <v>98.210000000000008</v>
      </c>
      <c r="F942" s="79">
        <v>98.21</v>
      </c>
      <c r="G942" s="320"/>
      <c r="H942" s="178">
        <v>98.21</v>
      </c>
      <c r="I942" s="178">
        <v>120.8</v>
      </c>
      <c r="J942" s="70">
        <v>-22.589999999999989</v>
      </c>
      <c r="K942" s="320"/>
      <c r="L942" s="178">
        <v>6.15</v>
      </c>
      <c r="M942" s="178">
        <v>92.06</v>
      </c>
      <c r="N942" s="179">
        <v>0</v>
      </c>
      <c r="O942" s="178">
        <v>98.210000000000008</v>
      </c>
      <c r="P942" s="453"/>
      <c r="Q942" s="61"/>
      <c r="R942" s="298"/>
      <c r="S942" s="669"/>
      <c r="X942" s="444">
        <v>942</v>
      </c>
    </row>
    <row r="943" spans="1:32" ht="12">
      <c r="A943" s="83" t="s">
        <v>19911</v>
      </c>
      <c r="B943" s="64" t="s">
        <v>6788</v>
      </c>
      <c r="C943" s="71" t="s">
        <v>165</v>
      </c>
      <c r="D943" s="79">
        <v>1</v>
      </c>
      <c r="E943" s="79">
        <v>64.05</v>
      </c>
      <c r="F943" s="79">
        <v>64.05</v>
      </c>
      <c r="G943" s="320"/>
      <c r="H943" s="178">
        <v>64.03</v>
      </c>
      <c r="I943" s="178">
        <v>78.760000000000005</v>
      </c>
      <c r="J943" s="70">
        <v>-14.710000000000008</v>
      </c>
      <c r="K943" s="320"/>
      <c r="L943" s="178">
        <v>4.1099999999999994</v>
      </c>
      <c r="M943" s="178">
        <v>59.94</v>
      </c>
      <c r="N943" s="179">
        <v>0</v>
      </c>
      <c r="O943" s="178">
        <v>64.05</v>
      </c>
      <c r="P943" s="453"/>
      <c r="Q943" s="61"/>
      <c r="R943" s="298"/>
      <c r="S943" s="669"/>
      <c r="X943" s="444">
        <v>943</v>
      </c>
    </row>
    <row r="944" spans="1:32" ht="12">
      <c r="A944" s="83" t="s">
        <v>19912</v>
      </c>
      <c r="B944" s="64" t="s">
        <v>6790</v>
      </c>
      <c r="C944" s="71" t="s">
        <v>165</v>
      </c>
      <c r="D944" s="79">
        <v>1</v>
      </c>
      <c r="E944" s="79">
        <v>64.11</v>
      </c>
      <c r="F944" s="79">
        <v>64.11</v>
      </c>
      <c r="G944" s="320"/>
      <c r="H944" s="178">
        <v>64.11</v>
      </c>
      <c r="I944" s="178">
        <v>78.86</v>
      </c>
      <c r="J944" s="70">
        <v>-14.75</v>
      </c>
      <c r="K944" s="320"/>
      <c r="L944" s="178">
        <v>6.15</v>
      </c>
      <c r="M944" s="178">
        <v>57.96</v>
      </c>
      <c r="N944" s="179">
        <v>0</v>
      </c>
      <c r="O944" s="178">
        <v>64.11</v>
      </c>
      <c r="P944" s="453"/>
      <c r="Q944" s="61"/>
      <c r="R944" s="298"/>
      <c r="S944" s="669"/>
      <c r="X944" s="444">
        <v>944</v>
      </c>
    </row>
    <row r="945" spans="1:32" s="69" customFormat="1" ht="12">
      <c r="A945" s="83" t="s">
        <v>19913</v>
      </c>
      <c r="B945" s="64" t="s">
        <v>19914</v>
      </c>
      <c r="C945" s="71" t="s">
        <v>165</v>
      </c>
      <c r="D945" s="79">
        <v>1</v>
      </c>
      <c r="E945" s="79">
        <v>63.58</v>
      </c>
      <c r="F945" s="79">
        <v>63.58</v>
      </c>
      <c r="G945" s="320"/>
      <c r="H945" s="178">
        <v>63.59</v>
      </c>
      <c r="I945" s="178">
        <v>78.22</v>
      </c>
      <c r="J945" s="70">
        <v>-14.64</v>
      </c>
      <c r="K945" s="320"/>
      <c r="L945" s="178">
        <v>4.5999999999999996</v>
      </c>
      <c r="M945" s="178">
        <v>58.98</v>
      </c>
      <c r="N945" s="179">
        <v>0</v>
      </c>
      <c r="O945" s="178">
        <v>63.58</v>
      </c>
      <c r="P945" s="453"/>
      <c r="Q945" s="61"/>
      <c r="R945" s="298"/>
      <c r="S945" s="669"/>
      <c r="T945" s="444"/>
      <c r="U945" s="444"/>
      <c r="V945" s="444"/>
      <c r="W945" s="444"/>
      <c r="X945" s="444">
        <v>945</v>
      </c>
      <c r="Y945" s="444"/>
      <c r="Z945" s="444"/>
      <c r="AA945" s="444"/>
      <c r="AB945" s="444"/>
      <c r="AC945" s="444"/>
      <c r="AD945" s="444"/>
      <c r="AE945" s="444"/>
      <c r="AF945" s="444"/>
    </row>
    <row r="946" spans="1:32" s="69" customFormat="1" ht="12">
      <c r="A946" s="83" t="s">
        <v>19915</v>
      </c>
      <c r="B946" s="64" t="s">
        <v>6794</v>
      </c>
      <c r="C946" s="71" t="s">
        <v>165</v>
      </c>
      <c r="D946" s="79">
        <v>1</v>
      </c>
      <c r="E946" s="79">
        <v>63.68</v>
      </c>
      <c r="F946" s="79">
        <v>63.68</v>
      </c>
      <c r="G946" s="320"/>
      <c r="H946" s="178">
        <v>63.67</v>
      </c>
      <c r="I946" s="178">
        <v>78.319999999999993</v>
      </c>
      <c r="J946" s="70">
        <v>-14.639999999999993</v>
      </c>
      <c r="K946" s="320"/>
      <c r="L946" s="178">
        <v>4.1099999999999994</v>
      </c>
      <c r="M946" s="178">
        <v>59.57</v>
      </c>
      <c r="N946" s="179">
        <v>0</v>
      </c>
      <c r="O946" s="178">
        <v>63.68</v>
      </c>
      <c r="P946" s="453"/>
      <c r="Q946" s="61"/>
      <c r="R946" s="298"/>
      <c r="S946" s="669"/>
      <c r="T946" s="444"/>
      <c r="U946" s="444"/>
      <c r="V946" s="444"/>
      <c r="W946" s="444"/>
      <c r="X946" s="444">
        <v>946</v>
      </c>
      <c r="Y946" s="444"/>
      <c r="Z946" s="444"/>
      <c r="AA946" s="444"/>
      <c r="AB946" s="444"/>
      <c r="AC946" s="444"/>
      <c r="AD946" s="444"/>
      <c r="AE946" s="444"/>
      <c r="AF946" s="444"/>
    </row>
    <row r="947" spans="1:32" s="69" customFormat="1" ht="12">
      <c r="A947" s="83" t="s">
        <v>19916</v>
      </c>
      <c r="B947" s="64" t="s">
        <v>19917</v>
      </c>
      <c r="C947" s="71" t="s">
        <v>509</v>
      </c>
      <c r="D947" s="79">
        <v>1</v>
      </c>
      <c r="E947" s="79">
        <v>62.449999999999996</v>
      </c>
      <c r="F947" s="79">
        <v>62.45</v>
      </c>
      <c r="G947" s="320"/>
      <c r="H947" s="178">
        <v>62.45</v>
      </c>
      <c r="I947" s="178">
        <v>76.81</v>
      </c>
      <c r="J947" s="70">
        <v>-14.360000000000007</v>
      </c>
      <c r="K947" s="320"/>
      <c r="L947" s="178">
        <v>14.36</v>
      </c>
      <c r="M947" s="178">
        <v>48.089999999999996</v>
      </c>
      <c r="N947" s="179">
        <v>0</v>
      </c>
      <c r="O947" s="178">
        <v>62.449999999999996</v>
      </c>
      <c r="P947" s="453"/>
      <c r="Q947" s="61"/>
      <c r="R947" s="298"/>
      <c r="S947" s="669"/>
      <c r="T947" s="444"/>
      <c r="U947" s="444"/>
      <c r="V947" s="444"/>
      <c r="W947" s="444"/>
      <c r="X947" s="444">
        <v>947</v>
      </c>
      <c r="Y947" s="444"/>
      <c r="Z947" s="444"/>
      <c r="AA947" s="444"/>
      <c r="AB947" s="444"/>
      <c r="AC947" s="444"/>
      <c r="AD947" s="444"/>
      <c r="AE947" s="444"/>
      <c r="AF947" s="444"/>
    </row>
    <row r="948" spans="1:32" ht="12">
      <c r="A948" s="83" t="s">
        <v>19918</v>
      </c>
      <c r="B948" s="64" t="s">
        <v>19919</v>
      </c>
      <c r="C948" s="71" t="s">
        <v>165</v>
      </c>
      <c r="D948" s="79">
        <v>1</v>
      </c>
      <c r="E948" s="79">
        <v>159.61999999999998</v>
      </c>
      <c r="F948" s="79">
        <v>159.62</v>
      </c>
      <c r="G948" s="320"/>
      <c r="H948" s="178">
        <v>159.6</v>
      </c>
      <c r="I948" s="178">
        <v>196.31</v>
      </c>
      <c r="J948" s="70">
        <v>-36.690000000000026</v>
      </c>
      <c r="K948" s="320"/>
      <c r="L948" s="178">
        <v>7.19</v>
      </c>
      <c r="M948" s="178">
        <v>152.42999999999998</v>
      </c>
      <c r="N948" s="179">
        <v>0</v>
      </c>
      <c r="O948" s="178">
        <v>159.61999999999998</v>
      </c>
      <c r="P948" s="453"/>
      <c r="Q948" s="61"/>
      <c r="R948" s="298"/>
      <c r="S948" s="669"/>
      <c r="X948" s="444">
        <v>948</v>
      </c>
    </row>
    <row r="949" spans="1:32" ht="12">
      <c r="A949" s="83" t="s">
        <v>19920</v>
      </c>
      <c r="B949" s="64" t="s">
        <v>19921</v>
      </c>
      <c r="C949" s="71" t="s">
        <v>165</v>
      </c>
      <c r="D949" s="79">
        <v>1</v>
      </c>
      <c r="E949" s="79">
        <v>145.81</v>
      </c>
      <c r="F949" s="79">
        <v>145.81</v>
      </c>
      <c r="G949" s="320"/>
      <c r="H949" s="178">
        <v>145.80000000000001</v>
      </c>
      <c r="I949" s="178">
        <v>179.33</v>
      </c>
      <c r="J949" s="70">
        <v>-33.52000000000001</v>
      </c>
      <c r="K949" s="320"/>
      <c r="L949" s="178">
        <v>7.19</v>
      </c>
      <c r="M949" s="178">
        <v>138.62</v>
      </c>
      <c r="N949" s="179">
        <v>0</v>
      </c>
      <c r="O949" s="178">
        <v>145.81</v>
      </c>
      <c r="P949" s="453"/>
      <c r="Q949" s="61"/>
      <c r="R949" s="298"/>
      <c r="S949" s="669"/>
      <c r="X949" s="444">
        <v>949</v>
      </c>
    </row>
    <row r="950" spans="1:32" ht="12">
      <c r="A950" s="83" t="s">
        <v>19922</v>
      </c>
      <c r="B950" s="64" t="s">
        <v>19923</v>
      </c>
      <c r="C950" s="71" t="s">
        <v>165</v>
      </c>
      <c r="D950" s="79">
        <v>1</v>
      </c>
      <c r="E950" s="79">
        <v>108.38000000000001</v>
      </c>
      <c r="F950" s="79">
        <v>108.38</v>
      </c>
      <c r="G950" s="320"/>
      <c r="H950" s="178">
        <v>108.39</v>
      </c>
      <c r="I950" s="178">
        <v>133.32</v>
      </c>
      <c r="J950" s="70">
        <v>-24.939999999999984</v>
      </c>
      <c r="K950" s="320"/>
      <c r="L950" s="178">
        <v>6.15</v>
      </c>
      <c r="M950" s="178">
        <v>102.23</v>
      </c>
      <c r="N950" s="179">
        <v>0</v>
      </c>
      <c r="O950" s="178">
        <v>108.38000000000001</v>
      </c>
      <c r="P950" s="453"/>
      <c r="Q950" s="61"/>
      <c r="R950" s="298"/>
      <c r="S950" s="669"/>
      <c r="X950" s="444">
        <v>950</v>
      </c>
    </row>
    <row r="951" spans="1:32" ht="12">
      <c r="A951" s="83" t="s">
        <v>19924</v>
      </c>
      <c r="B951" s="64" t="s">
        <v>19925</v>
      </c>
      <c r="C951" s="71" t="s">
        <v>165</v>
      </c>
      <c r="D951" s="79">
        <v>1</v>
      </c>
      <c r="E951" s="79">
        <v>120.18</v>
      </c>
      <c r="F951" s="79">
        <v>120.18</v>
      </c>
      <c r="G951" s="320"/>
      <c r="H951" s="178">
        <v>120.16</v>
      </c>
      <c r="I951" s="178">
        <v>147.80000000000001</v>
      </c>
      <c r="J951" s="70">
        <v>-27.620000000000005</v>
      </c>
      <c r="K951" s="320"/>
      <c r="L951" s="178">
        <v>7.19</v>
      </c>
      <c r="M951" s="178">
        <v>112.99000000000001</v>
      </c>
      <c r="N951" s="179">
        <v>0</v>
      </c>
      <c r="O951" s="178">
        <v>120.18</v>
      </c>
      <c r="P951" s="453"/>
      <c r="Q951" s="61"/>
      <c r="R951" s="298"/>
      <c r="S951" s="669"/>
      <c r="X951" s="444">
        <v>951</v>
      </c>
    </row>
    <row r="952" spans="1:32" ht="12">
      <c r="A952" s="83" t="s">
        <v>19926</v>
      </c>
      <c r="B952" s="64" t="s">
        <v>19927</v>
      </c>
      <c r="C952" s="71" t="s">
        <v>165</v>
      </c>
      <c r="D952" s="79">
        <v>1</v>
      </c>
      <c r="E952" s="79">
        <v>263.23</v>
      </c>
      <c r="F952" s="79">
        <v>263.23</v>
      </c>
      <c r="G952" s="320"/>
      <c r="H952" s="178">
        <v>263.23</v>
      </c>
      <c r="I952" s="178">
        <v>323.77</v>
      </c>
      <c r="J952" s="70">
        <v>-60.539999999999964</v>
      </c>
      <c r="K952" s="320"/>
      <c r="L952" s="178">
        <v>10.259999999999998</v>
      </c>
      <c r="M952" s="178">
        <v>252.97000000000003</v>
      </c>
      <c r="N952" s="179">
        <v>0</v>
      </c>
      <c r="O952" s="178">
        <v>263.23</v>
      </c>
      <c r="P952" s="453"/>
      <c r="Q952" s="61"/>
      <c r="R952" s="298"/>
      <c r="S952" s="669"/>
      <c r="X952" s="444">
        <v>952</v>
      </c>
    </row>
    <row r="953" spans="1:32" ht="12">
      <c r="A953" s="83" t="s">
        <v>19928</v>
      </c>
      <c r="B953" s="64" t="s">
        <v>19929</v>
      </c>
      <c r="C953" s="71" t="s">
        <v>165</v>
      </c>
      <c r="D953" s="79">
        <v>1</v>
      </c>
      <c r="E953" s="79">
        <v>285.63</v>
      </c>
      <c r="F953" s="79">
        <v>285.63</v>
      </c>
      <c r="G953" s="320"/>
      <c r="H953" s="178">
        <v>285.63</v>
      </c>
      <c r="I953" s="178">
        <v>351.32</v>
      </c>
      <c r="J953" s="70">
        <v>-65.69</v>
      </c>
      <c r="K953" s="320"/>
      <c r="L953" s="178">
        <v>10.259999999999998</v>
      </c>
      <c r="M953" s="178">
        <v>275.37</v>
      </c>
      <c r="N953" s="179">
        <v>0</v>
      </c>
      <c r="O953" s="178">
        <v>285.63</v>
      </c>
      <c r="P953" s="453"/>
      <c r="Q953" s="61"/>
      <c r="R953" s="298"/>
      <c r="S953" s="669"/>
      <c r="X953" s="444">
        <v>953</v>
      </c>
    </row>
    <row r="954" spans="1:32" ht="12">
      <c r="A954" s="83" t="s">
        <v>19930</v>
      </c>
      <c r="B954" s="64" t="s">
        <v>19931</v>
      </c>
      <c r="C954" s="71" t="s">
        <v>165</v>
      </c>
      <c r="D954" s="79">
        <v>1</v>
      </c>
      <c r="E954" s="79">
        <v>54.53</v>
      </c>
      <c r="F954" s="79">
        <v>54.53</v>
      </c>
      <c r="G954" s="320"/>
      <c r="H954" s="178">
        <v>54.53</v>
      </c>
      <c r="I954" s="178">
        <v>67.069999999999993</v>
      </c>
      <c r="J954" s="70">
        <v>-12.539999999999992</v>
      </c>
      <c r="K954" s="320"/>
      <c r="L954" s="178">
        <v>6.15</v>
      </c>
      <c r="M954" s="178">
        <v>48.38</v>
      </c>
      <c r="N954" s="179">
        <v>0</v>
      </c>
      <c r="O954" s="178">
        <v>54.53</v>
      </c>
      <c r="P954" s="453"/>
      <c r="Q954" s="61"/>
      <c r="R954" s="298"/>
      <c r="S954" s="669"/>
      <c r="X954" s="444">
        <v>954</v>
      </c>
    </row>
    <row r="955" spans="1:32" ht="12">
      <c r="A955" s="83" t="s">
        <v>19932</v>
      </c>
      <c r="B955" s="64" t="s">
        <v>19933</v>
      </c>
      <c r="C955" s="71" t="s">
        <v>509</v>
      </c>
      <c r="D955" s="79">
        <v>1</v>
      </c>
      <c r="E955" s="79">
        <v>1157.98</v>
      </c>
      <c r="F955" s="79">
        <v>1157.98</v>
      </c>
      <c r="G955" s="320"/>
      <c r="H955" s="178">
        <v>1157.96</v>
      </c>
      <c r="I955" s="178">
        <v>1424.29</v>
      </c>
      <c r="J955" s="70">
        <v>-266.30999999999995</v>
      </c>
      <c r="K955" s="320"/>
      <c r="L955" s="178">
        <v>25.659999999999997</v>
      </c>
      <c r="M955" s="178">
        <v>1132.32</v>
      </c>
      <c r="N955" s="179">
        <v>0</v>
      </c>
      <c r="O955" s="178">
        <v>1157.98</v>
      </c>
      <c r="P955" s="453"/>
      <c r="Q955" s="61"/>
      <c r="R955" s="298"/>
      <c r="S955" s="669"/>
      <c r="T955" s="61"/>
      <c r="X955" s="444">
        <v>955</v>
      </c>
    </row>
    <row r="956" spans="1:32" ht="12">
      <c r="A956" s="83" t="s">
        <v>19934</v>
      </c>
      <c r="B956" s="64" t="s">
        <v>19935</v>
      </c>
      <c r="C956" s="71" t="s">
        <v>509</v>
      </c>
      <c r="D956" s="79">
        <v>1</v>
      </c>
      <c r="E956" s="79">
        <v>191.83</v>
      </c>
      <c r="F956" s="79">
        <v>191.83</v>
      </c>
      <c r="G956" s="320"/>
      <c r="H956" s="178">
        <v>191.82</v>
      </c>
      <c r="I956" s="178">
        <v>235.94</v>
      </c>
      <c r="J956" s="70">
        <v>-44.109999999999985</v>
      </c>
      <c r="K956" s="320"/>
      <c r="L956" s="178">
        <v>29.060000000000002</v>
      </c>
      <c r="M956" s="178">
        <v>162.77000000000001</v>
      </c>
      <c r="N956" s="179">
        <v>0</v>
      </c>
      <c r="O956" s="178">
        <v>191.83</v>
      </c>
      <c r="P956" s="132"/>
      <c r="Q956" s="61"/>
      <c r="R956" s="298"/>
      <c r="S956" s="669"/>
      <c r="T956" s="61"/>
      <c r="X956" s="444">
        <v>956</v>
      </c>
    </row>
    <row r="957" spans="1:32" ht="12">
      <c r="A957" s="83" t="s">
        <v>19936</v>
      </c>
      <c r="B957" s="64" t="s">
        <v>19937</v>
      </c>
      <c r="C957" s="71" t="s">
        <v>509</v>
      </c>
      <c r="D957" s="79">
        <v>1</v>
      </c>
      <c r="E957" s="79">
        <v>122.32</v>
      </c>
      <c r="F957" s="79">
        <v>122.32</v>
      </c>
      <c r="G957" s="320"/>
      <c r="H957" s="178">
        <v>122.33</v>
      </c>
      <c r="I957" s="178">
        <v>150.46</v>
      </c>
      <c r="J957" s="70">
        <v>-28.140000000000015</v>
      </c>
      <c r="K957" s="320"/>
      <c r="L957" s="178">
        <v>11.280000000000001</v>
      </c>
      <c r="M957" s="178">
        <v>111.03999999999999</v>
      </c>
      <c r="N957" s="179">
        <v>0</v>
      </c>
      <c r="O957" s="178">
        <v>122.32</v>
      </c>
      <c r="P957" s="132"/>
      <c r="Q957" s="61"/>
      <c r="R957" s="298"/>
      <c r="S957" s="669"/>
      <c r="T957" s="61"/>
      <c r="U957" s="61"/>
      <c r="V957" s="61"/>
      <c r="W957" s="61"/>
      <c r="X957" s="444">
        <v>957</v>
      </c>
      <c r="Y957" s="61"/>
      <c r="Z957" s="61"/>
      <c r="AA957" s="61"/>
      <c r="AB957" s="61"/>
      <c r="AC957" s="61"/>
      <c r="AD957" s="61"/>
      <c r="AE957" s="61"/>
      <c r="AF957" s="61"/>
    </row>
    <row r="958" spans="1:32" ht="12">
      <c r="A958" s="83" t="s">
        <v>19938</v>
      </c>
      <c r="B958" s="64" t="s">
        <v>19939</v>
      </c>
      <c r="C958" s="71" t="s">
        <v>509</v>
      </c>
      <c r="D958" s="79">
        <v>1</v>
      </c>
      <c r="E958" s="79">
        <v>97.64</v>
      </c>
      <c r="F958" s="79">
        <v>97.64</v>
      </c>
      <c r="G958" s="320"/>
      <c r="H958" s="178">
        <v>97.64</v>
      </c>
      <c r="I958" s="178">
        <v>120.1</v>
      </c>
      <c r="J958" s="70">
        <v>-22.459999999999994</v>
      </c>
      <c r="K958" s="320"/>
      <c r="L958" s="178">
        <v>15.379999999999999</v>
      </c>
      <c r="M958" s="178">
        <v>82.26</v>
      </c>
      <c r="N958" s="179">
        <v>0</v>
      </c>
      <c r="O958" s="178">
        <v>97.64</v>
      </c>
      <c r="P958" s="132"/>
      <c r="Q958" s="61"/>
      <c r="R958" s="298"/>
      <c r="S958" s="669"/>
      <c r="T958" s="61"/>
      <c r="X958" s="444">
        <v>958</v>
      </c>
    </row>
    <row r="959" spans="1:32" ht="12">
      <c r="A959" s="83" t="s">
        <v>19940</v>
      </c>
      <c r="B959" s="64" t="s">
        <v>19941</v>
      </c>
      <c r="C959" s="71" t="s">
        <v>509</v>
      </c>
      <c r="D959" s="79">
        <v>1</v>
      </c>
      <c r="E959" s="79">
        <v>100.88</v>
      </c>
      <c r="F959" s="79">
        <v>100.88</v>
      </c>
      <c r="G959" s="320"/>
      <c r="H959" s="178">
        <v>100.89</v>
      </c>
      <c r="I959" s="178">
        <v>124.09</v>
      </c>
      <c r="J959" s="70">
        <v>-23.210000000000008</v>
      </c>
      <c r="K959" s="320"/>
      <c r="L959" s="178">
        <v>15.379999999999999</v>
      </c>
      <c r="M959" s="178">
        <v>85.5</v>
      </c>
      <c r="N959" s="179">
        <v>0</v>
      </c>
      <c r="O959" s="178">
        <v>100.88</v>
      </c>
      <c r="P959" s="132"/>
      <c r="Q959" s="61"/>
      <c r="R959" s="298"/>
      <c r="S959" s="669"/>
      <c r="T959" s="61"/>
      <c r="X959" s="444">
        <v>959</v>
      </c>
    </row>
    <row r="960" spans="1:32" ht="12">
      <c r="A960" s="83" t="s">
        <v>19942</v>
      </c>
      <c r="B960" s="64" t="s">
        <v>19943</v>
      </c>
      <c r="C960" s="71" t="s">
        <v>103</v>
      </c>
      <c r="D960" s="79">
        <v>1</v>
      </c>
      <c r="E960" s="79">
        <v>6.15</v>
      </c>
      <c r="F960" s="79">
        <v>6.15</v>
      </c>
      <c r="G960" s="445"/>
      <c r="H960" s="178">
        <v>6.15</v>
      </c>
      <c r="I960" s="178">
        <v>7.56</v>
      </c>
      <c r="J960" s="70">
        <v>-1.4099999999999993</v>
      </c>
      <c r="K960" s="320"/>
      <c r="L960" s="178">
        <v>5.13</v>
      </c>
      <c r="M960" s="178">
        <v>1.0200000000000005</v>
      </c>
      <c r="N960" s="179">
        <v>0</v>
      </c>
      <c r="O960" s="178">
        <v>6.15</v>
      </c>
      <c r="P960" s="453"/>
      <c r="Q960" s="61"/>
      <c r="R960" s="298"/>
      <c r="S960" s="669"/>
      <c r="U960" s="61"/>
      <c r="V960" s="61"/>
      <c r="W960" s="61"/>
      <c r="X960" s="444">
        <v>960</v>
      </c>
      <c r="Y960" s="61"/>
      <c r="Z960" s="61"/>
      <c r="AA960" s="61"/>
      <c r="AB960" s="61"/>
      <c r="AC960" s="61"/>
      <c r="AD960" s="61"/>
      <c r="AE960" s="61"/>
      <c r="AF960" s="61"/>
    </row>
    <row r="961" spans="1:32" ht="12">
      <c r="A961" s="83" t="s">
        <v>19944</v>
      </c>
      <c r="B961" s="64" t="s">
        <v>19945</v>
      </c>
      <c r="C961" s="71" t="s">
        <v>103</v>
      </c>
      <c r="D961" s="79">
        <v>1</v>
      </c>
      <c r="E961" s="79">
        <v>6.3100000000000005</v>
      </c>
      <c r="F961" s="79">
        <v>6.31</v>
      </c>
      <c r="G961" s="445"/>
      <c r="H961" s="178">
        <v>6.3</v>
      </c>
      <c r="I961" s="178">
        <v>7.75</v>
      </c>
      <c r="J961" s="70">
        <v>-1.4399999999999995</v>
      </c>
      <c r="K961" s="320"/>
      <c r="L961" s="178">
        <v>5.13</v>
      </c>
      <c r="M961" s="178">
        <v>1.1800000000000006</v>
      </c>
      <c r="N961" s="179">
        <v>0</v>
      </c>
      <c r="O961" s="178">
        <v>6.3100000000000005</v>
      </c>
      <c r="P961" s="453"/>
      <c r="Q961" s="61"/>
      <c r="R961" s="298"/>
      <c r="S961" s="669"/>
      <c r="U961" s="61"/>
      <c r="V961" s="61"/>
      <c r="W961" s="61"/>
      <c r="X961" s="444">
        <v>961</v>
      </c>
      <c r="Y961" s="61"/>
      <c r="Z961" s="61"/>
      <c r="AA961" s="61"/>
      <c r="AB961" s="61"/>
      <c r="AC961" s="61"/>
      <c r="AD961" s="61"/>
      <c r="AE961" s="61"/>
      <c r="AF961" s="61"/>
    </row>
    <row r="962" spans="1:32" ht="12">
      <c r="A962" s="83" t="s">
        <v>19946</v>
      </c>
      <c r="B962" s="64" t="s">
        <v>19947</v>
      </c>
      <c r="C962" s="71" t="s">
        <v>103</v>
      </c>
      <c r="D962" s="79">
        <v>1</v>
      </c>
      <c r="E962" s="79">
        <v>6.15</v>
      </c>
      <c r="F962" s="79">
        <v>6.15</v>
      </c>
      <c r="G962" s="445"/>
      <c r="H962" s="178">
        <v>6.15</v>
      </c>
      <c r="I962" s="178">
        <v>7.56</v>
      </c>
      <c r="J962" s="70">
        <v>-1.4099999999999993</v>
      </c>
      <c r="K962" s="320"/>
      <c r="L962" s="178">
        <v>5.13</v>
      </c>
      <c r="M962" s="178">
        <v>1.0200000000000005</v>
      </c>
      <c r="N962" s="179">
        <v>0</v>
      </c>
      <c r="O962" s="178">
        <v>6.15</v>
      </c>
      <c r="P962" s="453"/>
      <c r="Q962" s="61"/>
      <c r="R962" s="298"/>
      <c r="S962" s="669"/>
      <c r="U962" s="61"/>
      <c r="V962" s="61"/>
      <c r="W962" s="61"/>
      <c r="X962" s="444">
        <v>962</v>
      </c>
      <c r="Y962" s="61"/>
      <c r="Z962" s="61"/>
      <c r="AA962" s="61"/>
      <c r="AB962" s="61"/>
      <c r="AC962" s="61"/>
      <c r="AD962" s="61"/>
      <c r="AE962" s="61"/>
      <c r="AF962" s="61"/>
    </row>
    <row r="963" spans="1:32" ht="12">
      <c r="A963" s="83" t="s">
        <v>19948</v>
      </c>
      <c r="B963" s="64" t="s">
        <v>19949</v>
      </c>
      <c r="C963" s="71" t="s">
        <v>509</v>
      </c>
      <c r="D963" s="79">
        <v>1</v>
      </c>
      <c r="E963" s="79">
        <v>19.059999999999999</v>
      </c>
      <c r="F963" s="79">
        <v>19.059999999999999</v>
      </c>
      <c r="G963" s="445"/>
      <c r="H963" s="178">
        <v>19.07</v>
      </c>
      <c r="I963" s="178">
        <v>23.45</v>
      </c>
      <c r="J963" s="70">
        <v>-4.3900000000000006</v>
      </c>
      <c r="K963" s="320"/>
      <c r="L963" s="178">
        <v>13.54</v>
      </c>
      <c r="M963" s="178">
        <v>5.52</v>
      </c>
      <c r="N963" s="179">
        <v>0</v>
      </c>
      <c r="O963" s="178">
        <v>19.059999999999999</v>
      </c>
      <c r="P963" s="453"/>
      <c r="Q963" s="61"/>
      <c r="R963" s="298"/>
      <c r="S963" s="669"/>
      <c r="U963" s="61"/>
      <c r="V963" s="61"/>
      <c r="W963" s="61"/>
      <c r="X963" s="444">
        <v>963</v>
      </c>
      <c r="Y963" s="61"/>
      <c r="Z963" s="61"/>
      <c r="AA963" s="61"/>
      <c r="AB963" s="61"/>
      <c r="AC963" s="61"/>
      <c r="AD963" s="61"/>
      <c r="AE963" s="61"/>
      <c r="AF963" s="61"/>
    </row>
    <row r="964" spans="1:32" ht="12">
      <c r="A964" s="83" t="s">
        <v>19950</v>
      </c>
      <c r="B964" s="64" t="s">
        <v>19951</v>
      </c>
      <c r="C964" s="71" t="s">
        <v>165</v>
      </c>
      <c r="D964" s="79">
        <v>1</v>
      </c>
      <c r="E964" s="79">
        <v>16.28</v>
      </c>
      <c r="F964" s="79">
        <v>16.28</v>
      </c>
      <c r="G964" s="445"/>
      <c r="H964" s="178">
        <v>16.28</v>
      </c>
      <c r="I964" s="178">
        <v>20.02</v>
      </c>
      <c r="J964" s="70">
        <v>-3.7399999999999984</v>
      </c>
      <c r="K964" s="320"/>
      <c r="L964" s="178">
        <v>15.270000000000001</v>
      </c>
      <c r="M964" s="178">
        <v>1.0099999999999998</v>
      </c>
      <c r="N964" s="179">
        <v>0</v>
      </c>
      <c r="O964" s="178">
        <v>16.28</v>
      </c>
      <c r="P964" s="453"/>
      <c r="Q964" s="61"/>
      <c r="R964" s="298"/>
      <c r="S964" s="669"/>
      <c r="U964" s="61"/>
      <c r="V964" s="61"/>
      <c r="W964" s="61"/>
      <c r="X964" s="444">
        <v>964</v>
      </c>
      <c r="Y964" s="61"/>
      <c r="Z964" s="61"/>
      <c r="AA964" s="61"/>
      <c r="AB964" s="61"/>
      <c r="AC964" s="61"/>
      <c r="AD964" s="61"/>
      <c r="AE964" s="61"/>
      <c r="AF964" s="61"/>
    </row>
    <row r="965" spans="1:32" ht="12">
      <c r="A965" s="83" t="s">
        <v>19952</v>
      </c>
      <c r="B965" s="64" t="s">
        <v>19953</v>
      </c>
      <c r="C965" s="71" t="s">
        <v>10216</v>
      </c>
      <c r="D965" s="79">
        <v>1</v>
      </c>
      <c r="E965" s="79">
        <v>577.26</v>
      </c>
      <c r="F965" s="79">
        <v>577.26</v>
      </c>
      <c r="G965" s="445"/>
      <c r="H965" s="178">
        <v>577.25</v>
      </c>
      <c r="I965" s="178">
        <v>710.02</v>
      </c>
      <c r="J965" s="70">
        <v>-132.76</v>
      </c>
      <c r="K965" s="320"/>
      <c r="L965" s="178"/>
      <c r="M965" s="178">
        <v>577.26</v>
      </c>
      <c r="N965" s="179">
        <v>0</v>
      </c>
      <c r="O965" s="178">
        <v>577.26</v>
      </c>
      <c r="P965" s="453"/>
      <c r="Q965" s="61"/>
      <c r="R965" s="298"/>
      <c r="S965" s="669"/>
      <c r="X965" s="444">
        <v>965</v>
      </c>
    </row>
    <row r="966" spans="1:32" ht="12">
      <c r="A966" s="83" t="s">
        <v>39662</v>
      </c>
      <c r="B966" s="64" t="s">
        <v>39663</v>
      </c>
      <c r="C966" s="71"/>
      <c r="D966" s="79" t="s">
        <v>40899</v>
      </c>
      <c r="E966" s="79" t="s">
        <v>40899</v>
      </c>
      <c r="F966" s="79"/>
      <c r="G966" s="445"/>
      <c r="H966" s="178"/>
      <c r="I966" s="178"/>
      <c r="J966" s="70"/>
      <c r="K966" s="320"/>
      <c r="L966" s="178"/>
      <c r="M966" s="178"/>
      <c r="N966" s="179"/>
      <c r="O966" s="178"/>
      <c r="P966" s="453"/>
      <c r="Q966" s="61"/>
      <c r="R966" s="298"/>
      <c r="S966" s="669"/>
      <c r="U966" s="61"/>
      <c r="V966" s="61"/>
      <c r="W966" s="61"/>
      <c r="X966" s="444">
        <v>966</v>
      </c>
      <c r="Y966" s="61"/>
      <c r="Z966" s="61"/>
      <c r="AA966" s="61"/>
      <c r="AB966" s="61"/>
      <c r="AC966" s="61"/>
      <c r="AD966" s="61"/>
      <c r="AE966" s="61"/>
      <c r="AF966" s="61"/>
    </row>
    <row r="967" spans="1:32" ht="12">
      <c r="A967" s="83" t="s">
        <v>11559</v>
      </c>
      <c r="B967" s="64" t="s">
        <v>39664</v>
      </c>
      <c r="C967" s="71"/>
      <c r="D967" s="79" t="s">
        <v>40899</v>
      </c>
      <c r="E967" s="79" t="s">
        <v>40899</v>
      </c>
      <c r="F967" s="79"/>
      <c r="G967" s="445"/>
      <c r="H967" s="178"/>
      <c r="I967" s="178"/>
      <c r="J967" s="70"/>
      <c r="K967" s="320"/>
      <c r="L967" s="178"/>
      <c r="M967" s="178"/>
      <c r="N967" s="179"/>
      <c r="O967" s="178"/>
      <c r="P967" s="453"/>
      <c r="Q967" s="61"/>
      <c r="R967" s="298"/>
      <c r="S967" s="669"/>
      <c r="X967" s="444">
        <v>967</v>
      </c>
    </row>
    <row r="968" spans="1:32" ht="12">
      <c r="A968" s="83" t="s">
        <v>19954</v>
      </c>
      <c r="B968" s="64" t="s">
        <v>19955</v>
      </c>
      <c r="C968" s="71" t="s">
        <v>103</v>
      </c>
      <c r="D968" s="79">
        <v>1</v>
      </c>
      <c r="E968" s="79">
        <v>1806.6000000000004</v>
      </c>
      <c r="F968" s="79">
        <v>1806.6</v>
      </c>
      <c r="G968" s="445"/>
      <c r="H968" s="178">
        <v>1806.59</v>
      </c>
      <c r="I968" s="178">
        <v>2222.11</v>
      </c>
      <c r="J968" s="70">
        <v>-415.50999999999976</v>
      </c>
      <c r="K968" s="320"/>
      <c r="L968" s="178">
        <v>652.80999999999995</v>
      </c>
      <c r="M968" s="178">
        <v>1153.7900000000004</v>
      </c>
      <c r="N968" s="179">
        <v>0</v>
      </c>
      <c r="O968" s="178">
        <v>1806.6000000000004</v>
      </c>
      <c r="P968" s="453"/>
      <c r="Q968" s="61"/>
      <c r="R968" s="298"/>
      <c r="S968" s="669"/>
      <c r="X968" s="444">
        <v>968</v>
      </c>
    </row>
    <row r="969" spans="1:32" s="61" customFormat="1" ht="12">
      <c r="A969" s="83" t="s">
        <v>19956</v>
      </c>
      <c r="B969" s="64" t="s">
        <v>19957</v>
      </c>
      <c r="C969" s="71" t="s">
        <v>103</v>
      </c>
      <c r="D969" s="79">
        <v>1</v>
      </c>
      <c r="E969" s="79">
        <v>1840.6500000000003</v>
      </c>
      <c r="F969" s="79">
        <v>1840.65</v>
      </c>
      <c r="G969" s="445"/>
      <c r="H969" s="178">
        <v>1840.64</v>
      </c>
      <c r="I969" s="178">
        <v>2263.9899999999998</v>
      </c>
      <c r="J969" s="70">
        <v>-423.33999999999946</v>
      </c>
      <c r="K969" s="320"/>
      <c r="L969" s="178">
        <v>652.80999999999995</v>
      </c>
      <c r="M969" s="178">
        <v>1187.8400000000004</v>
      </c>
      <c r="N969" s="179">
        <v>0</v>
      </c>
      <c r="O969" s="178">
        <v>1840.6500000000003</v>
      </c>
      <c r="P969" s="453"/>
      <c r="R969" s="298"/>
      <c r="S969" s="669"/>
      <c r="T969" s="444"/>
      <c r="U969" s="444"/>
      <c r="V969" s="444"/>
      <c r="W969" s="444"/>
      <c r="X969" s="444">
        <v>969</v>
      </c>
      <c r="Y969" s="444"/>
      <c r="Z969" s="444"/>
      <c r="AA969" s="444"/>
      <c r="AB969" s="444"/>
      <c r="AC969" s="444"/>
      <c r="AD969" s="444"/>
      <c r="AE969" s="444"/>
      <c r="AF969" s="444"/>
    </row>
    <row r="970" spans="1:32" ht="12">
      <c r="A970" s="63" t="s">
        <v>19958</v>
      </c>
      <c r="B970" s="146" t="s">
        <v>19959</v>
      </c>
      <c r="C970" s="71" t="s">
        <v>103</v>
      </c>
      <c r="D970" s="79">
        <v>1</v>
      </c>
      <c r="E970" s="79">
        <v>12738.7</v>
      </c>
      <c r="F970" s="79">
        <v>12738.7</v>
      </c>
      <c r="G970" s="320"/>
      <c r="H970" s="178">
        <v>12738.71</v>
      </c>
      <c r="I970" s="178">
        <v>15668.61</v>
      </c>
      <c r="J970" s="70">
        <v>-2929.91</v>
      </c>
      <c r="K970" s="320"/>
      <c r="L970" s="178">
        <v>1208.28</v>
      </c>
      <c r="M970" s="178">
        <v>11530.42</v>
      </c>
      <c r="N970" s="179">
        <v>0</v>
      </c>
      <c r="O970" s="178">
        <v>12738.7</v>
      </c>
      <c r="P970" s="453"/>
      <c r="Q970" s="61"/>
      <c r="R970" s="298"/>
      <c r="S970" s="669"/>
      <c r="X970" s="444">
        <v>970</v>
      </c>
    </row>
    <row r="971" spans="1:32" ht="12">
      <c r="A971" s="83" t="s">
        <v>19960</v>
      </c>
      <c r="B971" s="64" t="s">
        <v>19961</v>
      </c>
      <c r="C971" s="71" t="s">
        <v>10216</v>
      </c>
      <c r="D971" s="79">
        <v>1</v>
      </c>
      <c r="E971" s="79">
        <v>577.26</v>
      </c>
      <c r="F971" s="79">
        <v>577.26</v>
      </c>
      <c r="G971" s="445"/>
      <c r="H971" s="178">
        <v>577.25</v>
      </c>
      <c r="I971" s="178">
        <v>710.02</v>
      </c>
      <c r="J971" s="70">
        <v>-132.76</v>
      </c>
      <c r="K971" s="320"/>
      <c r="L971" s="178">
        <v>0</v>
      </c>
      <c r="M971" s="178">
        <v>577.26</v>
      </c>
      <c r="N971" s="179">
        <v>0</v>
      </c>
      <c r="O971" s="178">
        <v>577.26</v>
      </c>
      <c r="P971" s="453"/>
      <c r="Q971" s="61"/>
      <c r="R971" s="298"/>
      <c r="S971" s="669"/>
      <c r="X971" s="444">
        <v>971</v>
      </c>
    </row>
    <row r="972" spans="1:32" s="61" customFormat="1" ht="12">
      <c r="A972" s="83" t="s">
        <v>11572</v>
      </c>
      <c r="B972" s="64" t="s">
        <v>39665</v>
      </c>
      <c r="C972" s="71"/>
      <c r="D972" s="79" t="s">
        <v>40899</v>
      </c>
      <c r="E972" s="79" t="s">
        <v>40899</v>
      </c>
      <c r="F972" s="79"/>
      <c r="G972" s="445"/>
      <c r="H972" s="178"/>
      <c r="I972" s="178"/>
      <c r="J972" s="70"/>
      <c r="K972" s="320"/>
      <c r="L972" s="178"/>
      <c r="M972" s="178"/>
      <c r="N972" s="179"/>
      <c r="O972" s="178"/>
      <c r="P972" s="453"/>
      <c r="R972" s="298"/>
      <c r="S972" s="669"/>
      <c r="T972" s="444"/>
      <c r="U972" s="444"/>
      <c r="V972" s="444"/>
      <c r="W972" s="444"/>
      <c r="X972" s="444">
        <v>972</v>
      </c>
      <c r="Y972" s="444"/>
      <c r="Z972" s="444"/>
      <c r="AA972" s="444"/>
      <c r="AB972" s="444"/>
      <c r="AC972" s="444"/>
      <c r="AD972" s="444"/>
      <c r="AE972" s="444"/>
      <c r="AF972" s="444"/>
    </row>
    <row r="973" spans="1:32" s="61" customFormat="1" ht="12">
      <c r="A973" s="83" t="s">
        <v>19962</v>
      </c>
      <c r="B973" s="64" t="s">
        <v>19963</v>
      </c>
      <c r="C973" s="71" t="s">
        <v>103</v>
      </c>
      <c r="D973" s="79">
        <v>1</v>
      </c>
      <c r="E973" s="79">
        <v>8103.5300000000007</v>
      </c>
      <c r="F973" s="79">
        <v>8103.53</v>
      </c>
      <c r="G973" s="445"/>
      <c r="H973" s="178">
        <v>8103.53</v>
      </c>
      <c r="I973" s="178">
        <v>9967.34</v>
      </c>
      <c r="J973" s="70">
        <v>-1863.8099999999995</v>
      </c>
      <c r="K973" s="320"/>
      <c r="L973" s="178">
        <v>1823.6399999999999</v>
      </c>
      <c r="M973" s="178">
        <v>6279.8900000000012</v>
      </c>
      <c r="N973" s="179">
        <v>0</v>
      </c>
      <c r="O973" s="178">
        <v>8103.5300000000007</v>
      </c>
      <c r="P973" s="453"/>
      <c r="R973" s="298"/>
      <c r="S973" s="669"/>
      <c r="T973" s="444"/>
      <c r="U973" s="444"/>
      <c r="V973" s="444"/>
      <c r="W973" s="444"/>
      <c r="X973" s="444">
        <v>973</v>
      </c>
      <c r="Y973" s="444"/>
      <c r="Z973" s="444"/>
      <c r="AA973" s="444"/>
      <c r="AB973" s="444"/>
      <c r="AC973" s="444"/>
      <c r="AD973" s="444"/>
      <c r="AE973" s="444"/>
      <c r="AF973" s="444"/>
    </row>
    <row r="974" spans="1:32" s="61" customFormat="1" ht="12">
      <c r="A974" s="83" t="s">
        <v>19964</v>
      </c>
      <c r="B974" s="64" t="s">
        <v>19965</v>
      </c>
      <c r="C974" s="71" t="s">
        <v>103</v>
      </c>
      <c r="D974" s="79">
        <v>1</v>
      </c>
      <c r="E974" s="79">
        <v>13141.090000000002</v>
      </c>
      <c r="F974" s="79">
        <v>13141.09</v>
      </c>
      <c r="G974" s="445"/>
      <c r="H974" s="178">
        <v>13141.08</v>
      </c>
      <c r="I974" s="178">
        <v>16163.53</v>
      </c>
      <c r="J974" s="70">
        <v>-3022.4399999999987</v>
      </c>
      <c r="K974" s="320"/>
      <c r="L974" s="178">
        <v>2404.4399999999996</v>
      </c>
      <c r="M974" s="178">
        <v>10736.650000000001</v>
      </c>
      <c r="N974" s="179">
        <v>0</v>
      </c>
      <c r="O974" s="178">
        <v>13141.09</v>
      </c>
      <c r="P974" s="453"/>
      <c r="R974" s="298"/>
      <c r="S974" s="669"/>
      <c r="T974" s="444"/>
      <c r="U974" s="444"/>
      <c r="V974" s="444"/>
      <c r="W974" s="444"/>
      <c r="X974" s="444">
        <v>974</v>
      </c>
      <c r="Y974" s="444"/>
      <c r="Z974" s="444"/>
      <c r="AA974" s="444"/>
      <c r="AB974" s="444"/>
      <c r="AC974" s="444"/>
      <c r="AD974" s="444"/>
      <c r="AE974" s="444"/>
      <c r="AF974" s="444"/>
    </row>
    <row r="975" spans="1:32" s="61" customFormat="1" ht="12">
      <c r="A975" s="83" t="s">
        <v>19966</v>
      </c>
      <c r="B975" s="64" t="s">
        <v>19967</v>
      </c>
      <c r="C975" s="71" t="s">
        <v>103</v>
      </c>
      <c r="D975" s="79">
        <v>1</v>
      </c>
      <c r="E975" s="79">
        <v>17222.799999999996</v>
      </c>
      <c r="F975" s="79">
        <v>17222.8</v>
      </c>
      <c r="G975" s="445"/>
      <c r="H975" s="178">
        <v>17222.79</v>
      </c>
      <c r="I975" s="178">
        <v>21184.03</v>
      </c>
      <c r="J975" s="70">
        <v>-3961.2300000000032</v>
      </c>
      <c r="K975" s="320"/>
      <c r="L975" s="178">
        <v>2915.9</v>
      </c>
      <c r="M975" s="178">
        <v>14306.899999999996</v>
      </c>
      <c r="N975" s="179">
        <v>0</v>
      </c>
      <c r="O975" s="178">
        <v>17222.799999999996</v>
      </c>
      <c r="P975" s="453"/>
      <c r="R975" s="298"/>
      <c r="S975" s="669"/>
      <c r="T975" s="444"/>
      <c r="U975" s="444"/>
      <c r="V975" s="444"/>
      <c r="W975" s="444"/>
      <c r="X975" s="444">
        <v>975</v>
      </c>
      <c r="Y975" s="444"/>
      <c r="Z975" s="444"/>
      <c r="AA975" s="444"/>
      <c r="AB975" s="444"/>
      <c r="AC975" s="444"/>
      <c r="AD975" s="444"/>
      <c r="AE975" s="444"/>
      <c r="AF975" s="444"/>
    </row>
    <row r="976" spans="1:32" s="61" customFormat="1" ht="12">
      <c r="A976" s="83" t="s">
        <v>19968</v>
      </c>
      <c r="B976" s="64" t="s">
        <v>19969</v>
      </c>
      <c r="C976" s="71" t="s">
        <v>103</v>
      </c>
      <c r="D976" s="79">
        <v>1</v>
      </c>
      <c r="E976" s="79">
        <v>1884.4</v>
      </c>
      <c r="F976" s="79">
        <v>1884.4</v>
      </c>
      <c r="G976" s="445"/>
      <c r="H976" s="178">
        <v>1884.38</v>
      </c>
      <c r="I976" s="178">
        <v>2317.79</v>
      </c>
      <c r="J976" s="70">
        <v>-433.38999999999987</v>
      </c>
      <c r="K976" s="320"/>
      <c r="L976" s="178">
        <v>671.11</v>
      </c>
      <c r="M976" s="178">
        <v>1213.29</v>
      </c>
      <c r="N976" s="179">
        <v>0</v>
      </c>
      <c r="O976" s="178">
        <v>1884.4</v>
      </c>
      <c r="P976" s="453"/>
      <c r="R976" s="298"/>
      <c r="S976" s="669"/>
      <c r="T976" s="444"/>
      <c r="U976" s="444"/>
      <c r="V976" s="444"/>
      <c r="W976" s="444"/>
      <c r="X976" s="444">
        <v>976</v>
      </c>
      <c r="Y976" s="444"/>
      <c r="Z976" s="444"/>
      <c r="AA976" s="444"/>
      <c r="AB976" s="444"/>
      <c r="AC976" s="444"/>
      <c r="AD976" s="444"/>
      <c r="AE976" s="444"/>
      <c r="AF976" s="444"/>
    </row>
    <row r="977" spans="1:32" ht="12">
      <c r="A977" s="83" t="s">
        <v>19970</v>
      </c>
      <c r="B977" s="64" t="s">
        <v>19971</v>
      </c>
      <c r="C977" s="71" t="s">
        <v>103</v>
      </c>
      <c r="D977" s="79">
        <v>1</v>
      </c>
      <c r="E977" s="79">
        <v>2743.67</v>
      </c>
      <c r="F977" s="79">
        <v>2743.67</v>
      </c>
      <c r="G977" s="445"/>
      <c r="H977" s="178">
        <v>2743.67</v>
      </c>
      <c r="I977" s="178">
        <v>3374.71</v>
      </c>
      <c r="J977" s="70">
        <v>-631.04</v>
      </c>
      <c r="K977" s="320"/>
      <c r="L977" s="178">
        <v>851.35</v>
      </c>
      <c r="M977" s="178">
        <v>1892.3200000000002</v>
      </c>
      <c r="N977" s="179">
        <v>0</v>
      </c>
      <c r="O977" s="178">
        <v>2743.67</v>
      </c>
      <c r="P977" s="453"/>
      <c r="Q977" s="61"/>
      <c r="R977" s="298"/>
      <c r="S977" s="669"/>
      <c r="X977" s="444">
        <v>977</v>
      </c>
    </row>
    <row r="978" spans="1:32" s="61" customFormat="1" ht="12">
      <c r="A978" s="83" t="s">
        <v>19972</v>
      </c>
      <c r="B978" s="64" t="s">
        <v>19973</v>
      </c>
      <c r="C978" s="71" t="s">
        <v>165</v>
      </c>
      <c r="D978" s="79">
        <v>1</v>
      </c>
      <c r="E978" s="79">
        <v>27.48</v>
      </c>
      <c r="F978" s="79">
        <v>27.48</v>
      </c>
      <c r="G978" s="445"/>
      <c r="H978" s="178">
        <v>27.47</v>
      </c>
      <c r="I978" s="178">
        <v>33.79</v>
      </c>
      <c r="J978" s="70">
        <v>-6.3099999999999987</v>
      </c>
      <c r="K978" s="320"/>
      <c r="L978" s="178">
        <v>3.46</v>
      </c>
      <c r="M978" s="178">
        <v>24.02</v>
      </c>
      <c r="N978" s="179">
        <v>0</v>
      </c>
      <c r="O978" s="178">
        <v>27.48</v>
      </c>
      <c r="P978" s="453"/>
      <c r="R978" s="298"/>
      <c r="S978" s="669"/>
      <c r="T978" s="444"/>
      <c r="U978" s="444"/>
      <c r="V978" s="444"/>
      <c r="W978" s="444"/>
      <c r="X978" s="444">
        <v>978</v>
      </c>
      <c r="Y978" s="444"/>
      <c r="Z978" s="444"/>
      <c r="AA978" s="444"/>
      <c r="AB978" s="444"/>
      <c r="AC978" s="444"/>
      <c r="AD978" s="444"/>
      <c r="AE978" s="444"/>
      <c r="AF978" s="444"/>
    </row>
    <row r="979" spans="1:32" ht="12">
      <c r="A979" s="83" t="s">
        <v>19974</v>
      </c>
      <c r="B979" s="64" t="s">
        <v>19975</v>
      </c>
      <c r="C979" s="71" t="s">
        <v>165</v>
      </c>
      <c r="D979" s="79">
        <v>1</v>
      </c>
      <c r="E979" s="79">
        <v>13.66</v>
      </c>
      <c r="F979" s="79">
        <v>13.66</v>
      </c>
      <c r="G979" s="445"/>
      <c r="H979" s="178">
        <v>13.64</v>
      </c>
      <c r="I979" s="178">
        <v>16.78</v>
      </c>
      <c r="J979" s="70">
        <v>-3.120000000000001</v>
      </c>
      <c r="K979" s="320"/>
      <c r="L979" s="178">
        <v>10.210000000000001</v>
      </c>
      <c r="M979" s="178">
        <v>3.4499999999999993</v>
      </c>
      <c r="N979" s="179">
        <v>0</v>
      </c>
      <c r="O979" s="178">
        <v>13.66</v>
      </c>
      <c r="P979" s="453"/>
      <c r="Q979" s="61"/>
      <c r="R979" s="298"/>
      <c r="S979" s="669"/>
      <c r="X979" s="444">
        <v>979</v>
      </c>
    </row>
    <row r="980" spans="1:32" ht="12">
      <c r="A980" s="83" t="s">
        <v>19976</v>
      </c>
      <c r="B980" s="64" t="s">
        <v>19977</v>
      </c>
      <c r="C980" s="71" t="s">
        <v>103</v>
      </c>
      <c r="D980" s="79">
        <v>1</v>
      </c>
      <c r="E980" s="79">
        <v>797.91</v>
      </c>
      <c r="F980" s="79">
        <v>797.91</v>
      </c>
      <c r="G980" s="445"/>
      <c r="H980" s="178">
        <v>797.91</v>
      </c>
      <c r="I980" s="178">
        <v>981.43</v>
      </c>
      <c r="J980" s="70">
        <v>-183.51999999999998</v>
      </c>
      <c r="K980" s="320"/>
      <c r="L980" s="178">
        <v>101.94</v>
      </c>
      <c r="M980" s="178">
        <v>695.97</v>
      </c>
      <c r="N980" s="179">
        <v>0</v>
      </c>
      <c r="O980" s="178">
        <v>797.91000000000008</v>
      </c>
      <c r="P980" s="453"/>
      <c r="Q980" s="61"/>
      <c r="R980" s="298"/>
      <c r="S980" s="669"/>
      <c r="X980" s="444">
        <v>980</v>
      </c>
    </row>
    <row r="981" spans="1:32" ht="12">
      <c r="A981" s="83" t="s">
        <v>11576</v>
      </c>
      <c r="B981" s="64" t="s">
        <v>19978</v>
      </c>
      <c r="C981" s="71" t="s">
        <v>165</v>
      </c>
      <c r="D981" s="79">
        <v>1</v>
      </c>
      <c r="E981" s="79">
        <v>188.59000000000003</v>
      </c>
      <c r="F981" s="79">
        <v>188.59</v>
      </c>
      <c r="G981" s="445"/>
      <c r="H981" s="178">
        <v>188.58</v>
      </c>
      <c r="I981" s="178">
        <v>231.95</v>
      </c>
      <c r="J981" s="70">
        <v>-43.359999999999957</v>
      </c>
      <c r="K981" s="320"/>
      <c r="L981" s="178">
        <v>56.08</v>
      </c>
      <c r="M981" s="178">
        <v>132.51000000000005</v>
      </c>
      <c r="N981" s="179">
        <v>0</v>
      </c>
      <c r="O981" s="178">
        <v>188.59000000000003</v>
      </c>
      <c r="P981" s="453"/>
      <c r="Q981" s="61"/>
      <c r="R981" s="298"/>
      <c r="S981" s="669"/>
      <c r="X981" s="444">
        <v>981</v>
      </c>
    </row>
    <row r="982" spans="1:32" ht="12">
      <c r="A982" s="83" t="s">
        <v>19979</v>
      </c>
      <c r="B982" s="64" t="s">
        <v>19980</v>
      </c>
      <c r="C982" s="71" t="s">
        <v>165</v>
      </c>
      <c r="D982" s="79">
        <v>1</v>
      </c>
      <c r="E982" s="79">
        <v>207.89</v>
      </c>
      <c r="F982" s="79">
        <v>207.89</v>
      </c>
      <c r="G982" s="445"/>
      <c r="H982" s="178">
        <v>207.91</v>
      </c>
      <c r="I982" s="178">
        <v>255.73</v>
      </c>
      <c r="J982" s="70">
        <v>-47.84</v>
      </c>
      <c r="K982" s="320"/>
      <c r="L982" s="178">
        <v>66.240000000000009</v>
      </c>
      <c r="M982" s="178">
        <v>141.64999999999998</v>
      </c>
      <c r="N982" s="179">
        <v>0</v>
      </c>
      <c r="O982" s="178">
        <v>207.89</v>
      </c>
      <c r="P982" s="453"/>
      <c r="Q982" s="61"/>
      <c r="R982" s="298"/>
      <c r="S982" s="669"/>
      <c r="X982" s="444">
        <v>982</v>
      </c>
    </row>
    <row r="983" spans="1:32" ht="12">
      <c r="A983" s="83" t="s">
        <v>19981</v>
      </c>
      <c r="B983" s="64" t="s">
        <v>19982</v>
      </c>
      <c r="C983" s="71" t="s">
        <v>165</v>
      </c>
      <c r="D983" s="79">
        <v>1</v>
      </c>
      <c r="E983" s="79">
        <v>248.28</v>
      </c>
      <c r="F983" s="79">
        <v>248.28</v>
      </c>
      <c r="G983" s="445"/>
      <c r="H983" s="178">
        <v>248.28</v>
      </c>
      <c r="I983" s="178">
        <v>305.38</v>
      </c>
      <c r="J983" s="70">
        <v>-57.099999999999994</v>
      </c>
      <c r="K983" s="320"/>
      <c r="L983" s="178">
        <v>71.349999999999994</v>
      </c>
      <c r="M983" s="178">
        <v>176.93</v>
      </c>
      <c r="N983" s="179">
        <v>0</v>
      </c>
      <c r="O983" s="178">
        <v>248.28</v>
      </c>
      <c r="P983" s="453"/>
      <c r="Q983" s="61"/>
      <c r="R983" s="298"/>
      <c r="S983" s="669"/>
      <c r="X983" s="444">
        <v>983</v>
      </c>
    </row>
    <row r="984" spans="1:32" ht="12">
      <c r="A984" s="83" t="s">
        <v>19983</v>
      </c>
      <c r="B984" s="64" t="s">
        <v>19984</v>
      </c>
      <c r="C984" s="71" t="s">
        <v>165</v>
      </c>
      <c r="D984" s="79">
        <v>1</v>
      </c>
      <c r="E984" s="79">
        <v>270.47000000000003</v>
      </c>
      <c r="F984" s="79">
        <v>270.47000000000003</v>
      </c>
      <c r="G984" s="445"/>
      <c r="H984" s="178">
        <v>270.45999999999998</v>
      </c>
      <c r="I984" s="178">
        <v>332.67</v>
      </c>
      <c r="J984" s="70">
        <v>-62.199999999999989</v>
      </c>
      <c r="K984" s="320"/>
      <c r="L984" s="178">
        <v>81.56</v>
      </c>
      <c r="M984" s="178">
        <v>188.91000000000003</v>
      </c>
      <c r="N984" s="179">
        <v>0</v>
      </c>
      <c r="O984" s="178">
        <v>270.47000000000003</v>
      </c>
      <c r="P984" s="453"/>
      <c r="Q984" s="61"/>
      <c r="R984" s="298"/>
      <c r="S984" s="669"/>
      <c r="X984" s="444">
        <v>984</v>
      </c>
    </row>
    <row r="985" spans="1:32" ht="12">
      <c r="A985" s="83" t="s">
        <v>11578</v>
      </c>
      <c r="B985" s="64" t="s">
        <v>19985</v>
      </c>
      <c r="C985" s="71" t="s">
        <v>165</v>
      </c>
      <c r="D985" s="79">
        <v>1</v>
      </c>
      <c r="E985" s="79">
        <v>43.72</v>
      </c>
      <c r="F985" s="79">
        <v>43.72</v>
      </c>
      <c r="G985" s="445"/>
      <c r="H985" s="178">
        <v>43.7</v>
      </c>
      <c r="I985" s="178">
        <v>53.75</v>
      </c>
      <c r="J985" s="70">
        <v>-10.030000000000001</v>
      </c>
      <c r="K985" s="320"/>
      <c r="L985" s="178">
        <v>5.1099999999999994</v>
      </c>
      <c r="M985" s="178">
        <v>38.61</v>
      </c>
      <c r="N985" s="179">
        <v>0</v>
      </c>
      <c r="O985" s="178">
        <v>43.72</v>
      </c>
      <c r="P985" s="453"/>
      <c r="Q985" s="61"/>
      <c r="R985" s="298"/>
      <c r="S985" s="669"/>
      <c r="X985" s="444">
        <v>985</v>
      </c>
    </row>
    <row r="986" spans="1:32" ht="12">
      <c r="A986" s="83" t="s">
        <v>11580</v>
      </c>
      <c r="B986" s="64" t="s">
        <v>19986</v>
      </c>
      <c r="C986" s="71" t="s">
        <v>165</v>
      </c>
      <c r="D986" s="79">
        <v>1</v>
      </c>
      <c r="E986" s="79">
        <v>141.66999999999999</v>
      </c>
      <c r="F986" s="79">
        <v>141.66999999999999</v>
      </c>
      <c r="G986" s="445"/>
      <c r="H986" s="178">
        <v>141.69999999999999</v>
      </c>
      <c r="I986" s="178">
        <v>174.29</v>
      </c>
      <c r="J986" s="70">
        <v>-32.620000000000005</v>
      </c>
      <c r="K986" s="320"/>
      <c r="L986" s="178">
        <v>66.240000000000009</v>
      </c>
      <c r="M986" s="178">
        <v>75.429999999999978</v>
      </c>
      <c r="N986" s="179">
        <v>0</v>
      </c>
      <c r="O986" s="178">
        <v>141.66999999999999</v>
      </c>
      <c r="P986" s="453"/>
      <c r="Q986" s="61"/>
      <c r="R986" s="298"/>
      <c r="S986" s="669"/>
      <c r="X986" s="444">
        <v>986</v>
      </c>
    </row>
    <row r="987" spans="1:32" ht="12">
      <c r="A987" s="83" t="s">
        <v>19987</v>
      </c>
      <c r="B987" s="64" t="s">
        <v>19988</v>
      </c>
      <c r="C987" s="71" t="s">
        <v>165</v>
      </c>
      <c r="D987" s="79">
        <v>1</v>
      </c>
      <c r="E987" s="79">
        <v>185.89000000000001</v>
      </c>
      <c r="F987" s="79">
        <v>185.89</v>
      </c>
      <c r="G987" s="445"/>
      <c r="H987" s="178">
        <v>185.91</v>
      </c>
      <c r="I987" s="178">
        <v>228.67</v>
      </c>
      <c r="J987" s="70">
        <v>-42.779999999999973</v>
      </c>
      <c r="K987" s="320"/>
      <c r="L987" s="178">
        <v>66.240000000000009</v>
      </c>
      <c r="M987" s="178">
        <v>119.65</v>
      </c>
      <c r="N987" s="179">
        <v>0</v>
      </c>
      <c r="O987" s="178">
        <v>185.89000000000001</v>
      </c>
      <c r="P987" s="453"/>
      <c r="Q987" s="61"/>
      <c r="R987" s="298"/>
      <c r="S987" s="669"/>
      <c r="X987" s="444">
        <v>987</v>
      </c>
    </row>
    <row r="988" spans="1:32" ht="12">
      <c r="A988" s="83" t="s">
        <v>19989</v>
      </c>
      <c r="B988" s="64" t="s">
        <v>19990</v>
      </c>
      <c r="C988" s="71" t="s">
        <v>165</v>
      </c>
      <c r="D988" s="79">
        <v>1</v>
      </c>
      <c r="E988" s="79">
        <v>227.12</v>
      </c>
      <c r="F988" s="79">
        <v>227.12</v>
      </c>
      <c r="G988" s="445"/>
      <c r="H988" s="178">
        <v>227.12</v>
      </c>
      <c r="I988" s="178">
        <v>279.36</v>
      </c>
      <c r="J988" s="70">
        <v>-52.240000000000009</v>
      </c>
      <c r="K988" s="320"/>
      <c r="L988" s="178">
        <v>71.349999999999994</v>
      </c>
      <c r="M988" s="178">
        <v>155.77000000000001</v>
      </c>
      <c r="N988" s="179">
        <v>0</v>
      </c>
      <c r="O988" s="178">
        <v>227.12</v>
      </c>
      <c r="P988" s="453"/>
      <c r="Q988" s="61"/>
      <c r="R988" s="298"/>
      <c r="S988" s="669"/>
      <c r="X988" s="444">
        <v>988</v>
      </c>
    </row>
    <row r="989" spans="1:32" ht="12">
      <c r="A989" s="83" t="s">
        <v>19991</v>
      </c>
      <c r="B989" s="64" t="s">
        <v>19992</v>
      </c>
      <c r="C989" s="71" t="s">
        <v>165</v>
      </c>
      <c r="D989" s="79">
        <v>1</v>
      </c>
      <c r="E989" s="79">
        <v>325.5</v>
      </c>
      <c r="F989" s="79">
        <v>325.5</v>
      </c>
      <c r="G989" s="445"/>
      <c r="H989" s="178">
        <v>325.5</v>
      </c>
      <c r="I989" s="178">
        <v>400.37</v>
      </c>
      <c r="J989" s="70">
        <v>-74.87</v>
      </c>
      <c r="K989" s="320"/>
      <c r="L989" s="178">
        <v>71.349999999999994</v>
      </c>
      <c r="M989" s="178">
        <v>254.15</v>
      </c>
      <c r="N989" s="179">
        <v>0</v>
      </c>
      <c r="O989" s="178">
        <v>325.5</v>
      </c>
      <c r="P989" s="453"/>
      <c r="Q989" s="61"/>
      <c r="R989" s="298"/>
      <c r="S989" s="669"/>
      <c r="X989" s="444">
        <v>989</v>
      </c>
    </row>
    <row r="990" spans="1:32" ht="12">
      <c r="A990" s="83" t="s">
        <v>19993</v>
      </c>
      <c r="B990" s="64" t="s">
        <v>19994</v>
      </c>
      <c r="C990" s="71" t="s">
        <v>165</v>
      </c>
      <c r="D990" s="79">
        <v>1</v>
      </c>
      <c r="E990" s="79">
        <v>388.11</v>
      </c>
      <c r="F990" s="79">
        <v>388.11</v>
      </c>
      <c r="G990" s="445"/>
      <c r="H990" s="178">
        <v>388.1</v>
      </c>
      <c r="I990" s="178">
        <v>477.36</v>
      </c>
      <c r="J990" s="70">
        <v>-89.25</v>
      </c>
      <c r="K990" s="320"/>
      <c r="L990" s="178">
        <v>76.460000000000008</v>
      </c>
      <c r="M990" s="178">
        <v>311.64999999999998</v>
      </c>
      <c r="N990" s="179">
        <v>0</v>
      </c>
      <c r="O990" s="178">
        <v>388.11</v>
      </c>
      <c r="P990" s="453"/>
      <c r="Q990" s="61"/>
      <c r="R990" s="298"/>
      <c r="S990" s="669"/>
      <c r="X990" s="444">
        <v>990</v>
      </c>
    </row>
    <row r="991" spans="1:32" ht="12">
      <c r="A991" s="83" t="s">
        <v>19995</v>
      </c>
      <c r="B991" s="64" t="s">
        <v>19996</v>
      </c>
      <c r="C991" s="71" t="s">
        <v>10216</v>
      </c>
      <c r="D991" s="79">
        <v>1</v>
      </c>
      <c r="E991" s="79">
        <v>577.26</v>
      </c>
      <c r="F991" s="79">
        <v>577.26</v>
      </c>
      <c r="G991" s="445"/>
      <c r="H991" s="178">
        <v>577.25</v>
      </c>
      <c r="I991" s="178">
        <v>710.02</v>
      </c>
      <c r="J991" s="70">
        <v>-132.76</v>
      </c>
      <c r="K991" s="320"/>
      <c r="L991" s="178"/>
      <c r="M991" s="178">
        <v>577.26</v>
      </c>
      <c r="N991" s="179">
        <v>0</v>
      </c>
      <c r="O991" s="178">
        <v>577.26</v>
      </c>
      <c r="P991" s="453"/>
      <c r="Q991" s="61"/>
      <c r="R991" s="298"/>
      <c r="S991" s="669"/>
      <c r="X991" s="444">
        <v>991</v>
      </c>
    </row>
    <row r="992" spans="1:32" ht="12">
      <c r="A992" s="83" t="s">
        <v>11582</v>
      </c>
      <c r="B992" s="64" t="s">
        <v>39666</v>
      </c>
      <c r="C992" s="71"/>
      <c r="D992" s="79" t="s">
        <v>40899</v>
      </c>
      <c r="E992" s="79" t="s">
        <v>40899</v>
      </c>
      <c r="F992" s="79"/>
      <c r="G992" s="445"/>
      <c r="H992" s="178"/>
      <c r="I992" s="178"/>
      <c r="J992" s="70"/>
      <c r="K992" s="320"/>
      <c r="L992" s="178"/>
      <c r="M992" s="178"/>
      <c r="N992" s="179"/>
      <c r="O992" s="178"/>
      <c r="P992" s="453"/>
      <c r="Q992" s="61"/>
      <c r="R992" s="298"/>
      <c r="S992" s="669"/>
      <c r="X992" s="444">
        <v>992</v>
      </c>
    </row>
    <row r="993" spans="1:32" ht="12">
      <c r="A993" s="83" t="s">
        <v>19997</v>
      </c>
      <c r="B993" s="64" t="s">
        <v>19998</v>
      </c>
      <c r="C993" s="71" t="s">
        <v>165</v>
      </c>
      <c r="D993" s="79">
        <v>1</v>
      </c>
      <c r="E993" s="79">
        <v>71.13000000000001</v>
      </c>
      <c r="F993" s="79">
        <v>71.13</v>
      </c>
      <c r="G993" s="445"/>
      <c r="H993" s="178">
        <v>71.11</v>
      </c>
      <c r="I993" s="178">
        <v>87.47</v>
      </c>
      <c r="J993" s="70">
        <v>-16.339999999999989</v>
      </c>
      <c r="K993" s="320"/>
      <c r="L993" s="178">
        <v>35.700000000000003</v>
      </c>
      <c r="M993" s="178">
        <v>35.430000000000007</v>
      </c>
      <c r="N993" s="179">
        <v>0</v>
      </c>
      <c r="O993" s="178">
        <v>71.13000000000001</v>
      </c>
      <c r="P993" s="453"/>
      <c r="Q993" s="61"/>
      <c r="R993" s="298"/>
      <c r="S993" s="669"/>
      <c r="X993" s="444">
        <v>993</v>
      </c>
    </row>
    <row r="994" spans="1:32" ht="12">
      <c r="A994" s="83" t="s">
        <v>19999</v>
      </c>
      <c r="B994" s="64" t="s">
        <v>20000</v>
      </c>
      <c r="C994" s="71" t="s">
        <v>165</v>
      </c>
      <c r="D994" s="79">
        <v>1</v>
      </c>
      <c r="E994" s="79">
        <v>80.36</v>
      </c>
      <c r="F994" s="79">
        <v>80.36</v>
      </c>
      <c r="G994" s="445"/>
      <c r="H994" s="178">
        <v>80.37</v>
      </c>
      <c r="I994" s="178">
        <v>98.86</v>
      </c>
      <c r="J994" s="70">
        <v>-18.5</v>
      </c>
      <c r="K994" s="320"/>
      <c r="L994" s="178">
        <v>40.76</v>
      </c>
      <c r="M994" s="178">
        <v>39.6</v>
      </c>
      <c r="N994" s="179">
        <v>0</v>
      </c>
      <c r="O994" s="178">
        <v>80.36</v>
      </c>
      <c r="P994" s="453"/>
      <c r="Q994" s="61"/>
      <c r="R994" s="298"/>
      <c r="S994" s="669"/>
      <c r="X994" s="444">
        <v>994</v>
      </c>
    </row>
    <row r="995" spans="1:32" ht="12">
      <c r="A995" s="83" t="s">
        <v>20001</v>
      </c>
      <c r="B995" s="64" t="s">
        <v>20002</v>
      </c>
      <c r="C995" s="71" t="s">
        <v>165</v>
      </c>
      <c r="D995" s="79">
        <v>1</v>
      </c>
      <c r="E995" s="79">
        <v>109.33999999999999</v>
      </c>
      <c r="F995" s="79">
        <v>109.34</v>
      </c>
      <c r="G995" s="445"/>
      <c r="H995" s="178">
        <v>109.32</v>
      </c>
      <c r="I995" s="178">
        <v>134.46</v>
      </c>
      <c r="J995" s="70">
        <v>-25.120000000000019</v>
      </c>
      <c r="K995" s="320"/>
      <c r="L995" s="178">
        <v>56.08</v>
      </c>
      <c r="M995" s="178">
        <v>53.259999999999991</v>
      </c>
      <c r="N995" s="179">
        <v>0</v>
      </c>
      <c r="O995" s="178">
        <v>109.33999999999999</v>
      </c>
      <c r="P995" s="453"/>
      <c r="Q995" s="61"/>
      <c r="R995" s="298"/>
      <c r="S995" s="669"/>
      <c r="X995" s="444">
        <v>995</v>
      </c>
    </row>
    <row r="996" spans="1:32" ht="12">
      <c r="A996" s="83" t="s">
        <v>20003</v>
      </c>
      <c r="B996" s="64" t="s">
        <v>20004</v>
      </c>
      <c r="C996" s="71" t="s">
        <v>165</v>
      </c>
      <c r="D996" s="79">
        <v>1</v>
      </c>
      <c r="E996" s="79">
        <v>130.36000000000001</v>
      </c>
      <c r="F996" s="79">
        <v>130.36000000000001</v>
      </c>
      <c r="G996" s="445"/>
      <c r="H996" s="178">
        <v>130.34</v>
      </c>
      <c r="I996" s="178">
        <v>160.32</v>
      </c>
      <c r="J996" s="70">
        <v>-29.95999999999998</v>
      </c>
      <c r="K996" s="320"/>
      <c r="L996" s="178">
        <v>61.18</v>
      </c>
      <c r="M996" s="178">
        <v>69.180000000000007</v>
      </c>
      <c r="N996" s="179">
        <v>0</v>
      </c>
      <c r="O996" s="178">
        <v>130.36000000000001</v>
      </c>
      <c r="P996" s="453"/>
      <c r="Q996" s="61"/>
      <c r="R996" s="298"/>
      <c r="S996" s="669"/>
      <c r="T996" s="69"/>
      <c r="X996" s="444">
        <v>996</v>
      </c>
    </row>
    <row r="997" spans="1:32" ht="12">
      <c r="A997" s="83" t="s">
        <v>20005</v>
      </c>
      <c r="B997" s="64" t="s">
        <v>20006</v>
      </c>
      <c r="C997" s="71" t="s">
        <v>165</v>
      </c>
      <c r="D997" s="79">
        <v>1</v>
      </c>
      <c r="E997" s="79">
        <v>149.4</v>
      </c>
      <c r="F997" s="79">
        <v>149.4</v>
      </c>
      <c r="G997" s="445"/>
      <c r="H997" s="178">
        <v>149.41</v>
      </c>
      <c r="I997" s="178">
        <v>183.77</v>
      </c>
      <c r="J997" s="70">
        <v>-34.370000000000005</v>
      </c>
      <c r="K997" s="320"/>
      <c r="L997" s="178">
        <v>71.349999999999994</v>
      </c>
      <c r="M997" s="178">
        <v>78.050000000000011</v>
      </c>
      <c r="N997" s="179">
        <v>0</v>
      </c>
      <c r="O997" s="178">
        <v>149.4</v>
      </c>
      <c r="P997" s="453"/>
      <c r="Q997" s="61"/>
      <c r="R997" s="298"/>
      <c r="S997" s="669"/>
      <c r="T997" s="69"/>
      <c r="X997" s="444">
        <v>997</v>
      </c>
    </row>
    <row r="998" spans="1:32" ht="12">
      <c r="A998" s="83" t="s">
        <v>20007</v>
      </c>
      <c r="B998" s="64" t="s">
        <v>20008</v>
      </c>
      <c r="C998" s="71" t="s">
        <v>165</v>
      </c>
      <c r="D998" s="79">
        <v>1</v>
      </c>
      <c r="E998" s="79">
        <v>185.53</v>
      </c>
      <c r="F998" s="79">
        <v>185.53</v>
      </c>
      <c r="G998" s="445"/>
      <c r="H998" s="178">
        <v>185.51</v>
      </c>
      <c r="I998" s="178">
        <v>228.18</v>
      </c>
      <c r="J998" s="70">
        <v>-42.650000000000006</v>
      </c>
      <c r="K998" s="320"/>
      <c r="L998" s="178">
        <v>81.56</v>
      </c>
      <c r="M998" s="178">
        <v>103.97</v>
      </c>
      <c r="N998" s="179">
        <v>0</v>
      </c>
      <c r="O998" s="178">
        <v>185.53</v>
      </c>
      <c r="P998" s="453"/>
      <c r="Q998" s="61"/>
      <c r="R998" s="298"/>
      <c r="S998" s="669"/>
      <c r="X998" s="444">
        <v>998</v>
      </c>
    </row>
    <row r="999" spans="1:32" ht="12">
      <c r="A999" s="83" t="s">
        <v>20009</v>
      </c>
      <c r="B999" s="64" t="s">
        <v>20010</v>
      </c>
      <c r="C999" s="71" t="s">
        <v>165</v>
      </c>
      <c r="D999" s="79">
        <v>1</v>
      </c>
      <c r="E999" s="79">
        <v>224.6</v>
      </c>
      <c r="F999" s="79">
        <v>224.6</v>
      </c>
      <c r="G999" s="445"/>
      <c r="H999" s="178">
        <v>224.62</v>
      </c>
      <c r="I999" s="178">
        <v>276.27999999999997</v>
      </c>
      <c r="J999" s="70">
        <v>-51.679999999999978</v>
      </c>
      <c r="K999" s="320"/>
      <c r="L999" s="178">
        <v>91.72999999999999</v>
      </c>
      <c r="M999" s="178">
        <v>132.87</v>
      </c>
      <c r="N999" s="179">
        <v>0</v>
      </c>
      <c r="O999" s="178">
        <v>224.6</v>
      </c>
      <c r="P999" s="453"/>
      <c r="Q999" s="61"/>
      <c r="R999" s="298"/>
      <c r="S999" s="669"/>
      <c r="X999" s="444">
        <v>999</v>
      </c>
    </row>
    <row r="1000" spans="1:32" ht="12">
      <c r="A1000" s="83" t="s">
        <v>20011</v>
      </c>
      <c r="B1000" s="64" t="s">
        <v>20012</v>
      </c>
      <c r="C1000" s="71" t="s">
        <v>165</v>
      </c>
      <c r="D1000" s="79">
        <v>1</v>
      </c>
      <c r="E1000" s="79">
        <v>250.95</v>
      </c>
      <c r="F1000" s="79">
        <v>250.95</v>
      </c>
      <c r="G1000" s="445"/>
      <c r="H1000" s="178">
        <v>250.94</v>
      </c>
      <c r="I1000" s="178">
        <v>308.66000000000003</v>
      </c>
      <c r="J1000" s="70">
        <v>-57.710000000000036</v>
      </c>
      <c r="K1000" s="320"/>
      <c r="L1000" s="178">
        <v>101.94</v>
      </c>
      <c r="M1000" s="178">
        <v>149.01</v>
      </c>
      <c r="N1000" s="179">
        <v>0</v>
      </c>
      <c r="O1000" s="178">
        <v>250.95</v>
      </c>
      <c r="P1000" s="453"/>
      <c r="Q1000" s="61"/>
      <c r="R1000" s="298"/>
      <c r="S1000" s="669"/>
      <c r="X1000" s="444">
        <v>1000</v>
      </c>
    </row>
    <row r="1001" spans="1:32" ht="12">
      <c r="A1001" s="83" t="s">
        <v>20013</v>
      </c>
      <c r="B1001" s="64" t="s">
        <v>20014</v>
      </c>
      <c r="C1001" s="71" t="s">
        <v>165</v>
      </c>
      <c r="D1001" s="79">
        <v>1</v>
      </c>
      <c r="E1001" s="79">
        <v>335.11</v>
      </c>
      <c r="F1001" s="79">
        <v>335.11</v>
      </c>
      <c r="G1001" s="445"/>
      <c r="H1001" s="178">
        <v>335.09</v>
      </c>
      <c r="I1001" s="178">
        <v>412.16</v>
      </c>
      <c r="J1001" s="70">
        <v>-77.050000000000011</v>
      </c>
      <c r="K1001" s="320"/>
      <c r="L1001" s="178">
        <v>112.15</v>
      </c>
      <c r="M1001" s="178">
        <v>222.96</v>
      </c>
      <c r="N1001" s="179">
        <v>0</v>
      </c>
      <c r="O1001" s="178">
        <v>335.11</v>
      </c>
      <c r="P1001" s="453"/>
      <c r="Q1001" s="61"/>
      <c r="R1001" s="298"/>
      <c r="S1001" s="669"/>
      <c r="X1001" s="444">
        <v>1001</v>
      </c>
    </row>
    <row r="1002" spans="1:32" ht="12">
      <c r="A1002" s="83" t="s">
        <v>20015</v>
      </c>
      <c r="B1002" s="64" t="s">
        <v>20016</v>
      </c>
      <c r="C1002" s="71" t="s">
        <v>165</v>
      </c>
      <c r="D1002" s="79">
        <v>1</v>
      </c>
      <c r="E1002" s="79">
        <v>569.39</v>
      </c>
      <c r="F1002" s="79">
        <v>569.39</v>
      </c>
      <c r="G1002" s="445"/>
      <c r="H1002" s="178">
        <v>569.37</v>
      </c>
      <c r="I1002" s="178">
        <v>700.32</v>
      </c>
      <c r="J1002" s="70">
        <v>-130.93000000000006</v>
      </c>
      <c r="K1002" s="320"/>
      <c r="L1002" s="178">
        <v>135.09</v>
      </c>
      <c r="M1002" s="178">
        <v>434.29999999999995</v>
      </c>
      <c r="N1002" s="179">
        <v>0</v>
      </c>
      <c r="O1002" s="178">
        <v>569.39</v>
      </c>
      <c r="P1002" s="453"/>
      <c r="Q1002" s="61"/>
      <c r="R1002" s="298"/>
      <c r="S1002" s="669"/>
      <c r="X1002" s="444">
        <v>1002</v>
      </c>
    </row>
    <row r="1003" spans="1:32" ht="12">
      <c r="A1003" s="83" t="s">
        <v>20017</v>
      </c>
      <c r="B1003" s="64" t="s">
        <v>19973</v>
      </c>
      <c r="C1003" s="71" t="s">
        <v>165</v>
      </c>
      <c r="D1003" s="79">
        <v>1</v>
      </c>
      <c r="E1003" s="79">
        <v>27.48</v>
      </c>
      <c r="F1003" s="79">
        <v>27.48</v>
      </c>
      <c r="G1003" s="445"/>
      <c r="H1003" s="178">
        <v>27.47</v>
      </c>
      <c r="I1003" s="178">
        <v>33.79</v>
      </c>
      <c r="J1003" s="70">
        <v>-6.3099999999999987</v>
      </c>
      <c r="K1003" s="320"/>
      <c r="L1003" s="178">
        <v>3.46</v>
      </c>
      <c r="M1003" s="178">
        <v>24.02</v>
      </c>
      <c r="N1003" s="179">
        <v>0</v>
      </c>
      <c r="O1003" s="178">
        <v>27.48</v>
      </c>
      <c r="P1003" s="453"/>
      <c r="Q1003" s="61"/>
      <c r="R1003" s="298"/>
      <c r="S1003" s="669"/>
      <c r="X1003" s="444">
        <v>1003</v>
      </c>
    </row>
    <row r="1004" spans="1:32" ht="12">
      <c r="A1004" s="83" t="s">
        <v>20018</v>
      </c>
      <c r="B1004" s="64" t="s">
        <v>20019</v>
      </c>
      <c r="C1004" s="71" t="s">
        <v>165</v>
      </c>
      <c r="D1004" s="79">
        <v>1</v>
      </c>
      <c r="E1004" s="79">
        <v>23.94</v>
      </c>
      <c r="F1004" s="79">
        <v>23.94</v>
      </c>
      <c r="G1004" s="445"/>
      <c r="H1004" s="178">
        <v>23.95</v>
      </c>
      <c r="I1004" s="178">
        <v>29.46</v>
      </c>
      <c r="J1004" s="70">
        <v>-5.52</v>
      </c>
      <c r="K1004" s="320"/>
      <c r="L1004" s="178">
        <v>17.830000000000002</v>
      </c>
      <c r="M1004" s="178">
        <v>6.1099999999999994</v>
      </c>
      <c r="N1004" s="179">
        <v>0</v>
      </c>
      <c r="O1004" s="178">
        <v>23.94</v>
      </c>
      <c r="P1004" s="453"/>
      <c r="Q1004" s="61"/>
      <c r="R1004" s="298"/>
      <c r="S1004" s="669"/>
      <c r="X1004" s="444">
        <v>1004</v>
      </c>
    </row>
    <row r="1005" spans="1:32" ht="12">
      <c r="A1005" s="83" t="s">
        <v>20020</v>
      </c>
      <c r="B1005" s="64" t="s">
        <v>20021</v>
      </c>
      <c r="C1005" s="71" t="s">
        <v>165</v>
      </c>
      <c r="D1005" s="79">
        <v>1</v>
      </c>
      <c r="E1005" s="79">
        <v>26.65</v>
      </c>
      <c r="F1005" s="79">
        <v>26.65</v>
      </c>
      <c r="G1005" s="445"/>
      <c r="H1005" s="178">
        <v>26.66</v>
      </c>
      <c r="I1005" s="178">
        <v>32.79</v>
      </c>
      <c r="J1005" s="70">
        <v>-6.1400000000000006</v>
      </c>
      <c r="K1005" s="320"/>
      <c r="L1005" s="178">
        <v>20.38</v>
      </c>
      <c r="M1005" s="178">
        <v>6.27</v>
      </c>
      <c r="N1005" s="179">
        <v>0</v>
      </c>
      <c r="O1005" s="178">
        <v>26.65</v>
      </c>
      <c r="P1005" s="453"/>
      <c r="Q1005" s="61"/>
      <c r="R1005" s="298"/>
      <c r="S1005" s="669"/>
      <c r="X1005" s="444">
        <v>1005</v>
      </c>
    </row>
    <row r="1006" spans="1:32" ht="12">
      <c r="A1006" s="83" t="s">
        <v>20022</v>
      </c>
      <c r="B1006" s="64" t="s">
        <v>20023</v>
      </c>
      <c r="C1006" s="71" t="s">
        <v>165</v>
      </c>
      <c r="D1006" s="79">
        <v>1</v>
      </c>
      <c r="E1006" s="79">
        <v>35.56</v>
      </c>
      <c r="F1006" s="79">
        <v>35.56</v>
      </c>
      <c r="G1006" s="445"/>
      <c r="H1006" s="178">
        <v>35.56</v>
      </c>
      <c r="I1006" s="178">
        <v>43.74</v>
      </c>
      <c r="J1006" s="70">
        <v>-8.18</v>
      </c>
      <c r="K1006" s="320"/>
      <c r="L1006" s="178">
        <v>22.93</v>
      </c>
      <c r="M1006" s="178">
        <v>12.630000000000003</v>
      </c>
      <c r="N1006" s="179">
        <v>0</v>
      </c>
      <c r="O1006" s="178">
        <v>35.56</v>
      </c>
      <c r="P1006" s="453"/>
      <c r="Q1006" s="61"/>
      <c r="R1006" s="298"/>
      <c r="S1006" s="669"/>
      <c r="X1006" s="444">
        <v>1006</v>
      </c>
    </row>
    <row r="1007" spans="1:32" ht="12">
      <c r="A1007" s="83" t="s">
        <v>20024</v>
      </c>
      <c r="B1007" s="64" t="s">
        <v>20025</v>
      </c>
      <c r="C1007" s="71" t="s">
        <v>165</v>
      </c>
      <c r="D1007" s="79">
        <v>1</v>
      </c>
      <c r="E1007" s="79">
        <v>48.94</v>
      </c>
      <c r="F1007" s="79">
        <v>48.94</v>
      </c>
      <c r="G1007" s="445"/>
      <c r="H1007" s="178">
        <v>48.92</v>
      </c>
      <c r="I1007" s="178">
        <v>60.17</v>
      </c>
      <c r="J1007" s="70">
        <v>-11.230000000000004</v>
      </c>
      <c r="K1007" s="320"/>
      <c r="L1007" s="178">
        <v>25.490000000000002</v>
      </c>
      <c r="M1007" s="178">
        <v>23.449999999999996</v>
      </c>
      <c r="N1007" s="179">
        <v>0</v>
      </c>
      <c r="O1007" s="178">
        <v>48.94</v>
      </c>
      <c r="P1007" s="453"/>
      <c r="Q1007" s="61"/>
      <c r="R1007" s="298"/>
      <c r="S1007" s="669"/>
      <c r="U1007" s="61"/>
      <c r="V1007" s="61"/>
      <c r="W1007" s="61"/>
      <c r="X1007" s="444">
        <v>1007</v>
      </c>
      <c r="Y1007" s="61"/>
      <c r="Z1007" s="61"/>
      <c r="AA1007" s="61"/>
      <c r="AB1007" s="61"/>
      <c r="AC1007" s="61"/>
      <c r="AD1007" s="61"/>
      <c r="AE1007" s="61"/>
      <c r="AF1007" s="61"/>
    </row>
    <row r="1008" spans="1:32" ht="12">
      <c r="A1008" s="83" t="s">
        <v>20026</v>
      </c>
      <c r="B1008" s="64" t="s">
        <v>20027</v>
      </c>
      <c r="C1008" s="71" t="s">
        <v>165</v>
      </c>
      <c r="D1008" s="79">
        <v>1</v>
      </c>
      <c r="E1008" s="79">
        <v>51.66</v>
      </c>
      <c r="F1008" s="79">
        <v>51.66</v>
      </c>
      <c r="G1008" s="445"/>
      <c r="H1008" s="178">
        <v>51.64</v>
      </c>
      <c r="I1008" s="178">
        <v>63.52</v>
      </c>
      <c r="J1008" s="70">
        <v>-11.860000000000007</v>
      </c>
      <c r="K1008" s="320"/>
      <c r="L1008" s="178">
        <v>30.59</v>
      </c>
      <c r="M1008" s="178">
        <v>21.069999999999997</v>
      </c>
      <c r="N1008" s="179">
        <v>0</v>
      </c>
      <c r="O1008" s="178">
        <v>51.66</v>
      </c>
      <c r="P1008" s="453"/>
      <c r="Q1008" s="61"/>
      <c r="R1008" s="298"/>
      <c r="S1008" s="669"/>
      <c r="U1008" s="61"/>
      <c r="V1008" s="61"/>
      <c r="W1008" s="61"/>
      <c r="X1008" s="444">
        <v>1008</v>
      </c>
      <c r="Y1008" s="61"/>
      <c r="Z1008" s="61"/>
      <c r="AA1008" s="61"/>
      <c r="AB1008" s="61"/>
      <c r="AC1008" s="61"/>
      <c r="AD1008" s="61"/>
      <c r="AE1008" s="61"/>
      <c r="AF1008" s="61"/>
    </row>
    <row r="1009" spans="1:32" ht="12">
      <c r="A1009" s="83" t="s">
        <v>11584</v>
      </c>
      <c r="B1009" s="64" t="s">
        <v>20028</v>
      </c>
      <c r="C1009" s="71" t="s">
        <v>165</v>
      </c>
      <c r="D1009" s="79">
        <v>1</v>
      </c>
      <c r="E1009" s="79">
        <v>80.490000000000009</v>
      </c>
      <c r="F1009" s="79">
        <v>80.489999999999995</v>
      </c>
      <c r="G1009" s="445"/>
      <c r="H1009" s="178">
        <v>80.459999999999994</v>
      </c>
      <c r="I1009" s="178">
        <v>98.97</v>
      </c>
      <c r="J1009" s="70">
        <v>-18.47999999999999</v>
      </c>
      <c r="K1009" s="320"/>
      <c r="L1009" s="178">
        <v>35.700000000000003</v>
      </c>
      <c r="M1009" s="178">
        <v>44.790000000000006</v>
      </c>
      <c r="N1009" s="179">
        <v>0</v>
      </c>
      <c r="O1009" s="178">
        <v>80.490000000000009</v>
      </c>
      <c r="P1009" s="453"/>
      <c r="Q1009" s="61"/>
      <c r="R1009" s="298"/>
      <c r="S1009" s="669"/>
      <c r="X1009" s="444">
        <v>1009</v>
      </c>
    </row>
    <row r="1010" spans="1:32" ht="12">
      <c r="A1010" s="83" t="s">
        <v>20029</v>
      </c>
      <c r="B1010" s="64" t="s">
        <v>20030</v>
      </c>
      <c r="C1010" s="71" t="s">
        <v>165</v>
      </c>
      <c r="D1010" s="79">
        <v>1</v>
      </c>
      <c r="E1010" s="79">
        <v>108.06000000000002</v>
      </c>
      <c r="F1010" s="79">
        <v>108.06</v>
      </c>
      <c r="G1010" s="445"/>
      <c r="H1010" s="178">
        <v>108.06</v>
      </c>
      <c r="I1010" s="178">
        <v>132.91</v>
      </c>
      <c r="J1010" s="70">
        <v>-24.84999999999998</v>
      </c>
      <c r="K1010" s="320"/>
      <c r="L1010" s="178">
        <v>45.870000000000005</v>
      </c>
      <c r="M1010" s="178">
        <v>62.190000000000012</v>
      </c>
      <c r="N1010" s="179">
        <v>0</v>
      </c>
      <c r="O1010" s="178">
        <v>108.06000000000002</v>
      </c>
      <c r="P1010" s="453"/>
      <c r="Q1010" s="61"/>
      <c r="R1010" s="298"/>
      <c r="S1010" s="669"/>
      <c r="X1010" s="444">
        <v>1010</v>
      </c>
    </row>
    <row r="1011" spans="1:32" ht="12">
      <c r="A1011" s="83" t="s">
        <v>20031</v>
      </c>
      <c r="B1011" s="64" t="s">
        <v>20032</v>
      </c>
      <c r="C1011" s="71" t="s">
        <v>165</v>
      </c>
      <c r="D1011" s="79">
        <v>1</v>
      </c>
      <c r="E1011" s="79">
        <v>123.4</v>
      </c>
      <c r="F1011" s="79">
        <v>123.4</v>
      </c>
      <c r="G1011" s="445"/>
      <c r="H1011" s="178">
        <v>123.4</v>
      </c>
      <c r="I1011" s="178">
        <v>151.78</v>
      </c>
      <c r="J1011" s="70">
        <v>-28.379999999999995</v>
      </c>
      <c r="K1011" s="320"/>
      <c r="L1011" s="178">
        <v>50.97</v>
      </c>
      <c r="M1011" s="178">
        <v>72.430000000000007</v>
      </c>
      <c r="N1011" s="179">
        <v>0</v>
      </c>
      <c r="O1011" s="178">
        <v>123.4</v>
      </c>
      <c r="P1011" s="453"/>
      <c r="Q1011" s="61"/>
      <c r="R1011" s="298"/>
      <c r="S1011" s="669"/>
      <c r="X1011" s="444">
        <v>1011</v>
      </c>
    </row>
    <row r="1012" spans="1:32" ht="12">
      <c r="A1012" s="83" t="s">
        <v>20033</v>
      </c>
      <c r="B1012" s="64" t="s">
        <v>20034</v>
      </c>
      <c r="C1012" s="71" t="s">
        <v>165</v>
      </c>
      <c r="D1012" s="79">
        <v>1</v>
      </c>
      <c r="E1012" s="79">
        <v>181.41000000000003</v>
      </c>
      <c r="F1012" s="79">
        <v>181.41</v>
      </c>
      <c r="G1012" s="445"/>
      <c r="H1012" s="178">
        <v>181.4</v>
      </c>
      <c r="I1012" s="178">
        <v>223.12</v>
      </c>
      <c r="J1012" s="70">
        <v>-41.70999999999998</v>
      </c>
      <c r="K1012" s="320"/>
      <c r="L1012" s="178">
        <v>56.08</v>
      </c>
      <c r="M1012" s="178">
        <v>125.33000000000003</v>
      </c>
      <c r="N1012" s="179">
        <v>0</v>
      </c>
      <c r="O1012" s="178">
        <v>181.41000000000003</v>
      </c>
      <c r="P1012" s="453"/>
      <c r="Q1012" s="61"/>
      <c r="R1012" s="298"/>
      <c r="S1012" s="669"/>
      <c r="X1012" s="444">
        <v>1012</v>
      </c>
    </row>
    <row r="1013" spans="1:32" ht="12">
      <c r="A1013" s="83" t="s">
        <v>20035</v>
      </c>
      <c r="B1013" s="64" t="s">
        <v>20036</v>
      </c>
      <c r="C1013" s="71" t="s">
        <v>10216</v>
      </c>
      <c r="D1013" s="79">
        <v>1</v>
      </c>
      <c r="E1013" s="79">
        <v>577.26</v>
      </c>
      <c r="F1013" s="79">
        <v>577.26</v>
      </c>
      <c r="G1013" s="445"/>
      <c r="H1013" s="178">
        <v>577.25</v>
      </c>
      <c r="I1013" s="178">
        <v>710.02</v>
      </c>
      <c r="J1013" s="70">
        <v>-132.76</v>
      </c>
      <c r="K1013" s="320"/>
      <c r="L1013" s="178"/>
      <c r="M1013" s="178">
        <v>577.26</v>
      </c>
      <c r="N1013" s="179">
        <v>0</v>
      </c>
      <c r="O1013" s="178">
        <v>577.26</v>
      </c>
      <c r="P1013" s="453"/>
      <c r="Q1013" s="61"/>
      <c r="R1013" s="298"/>
      <c r="S1013" s="669"/>
      <c r="X1013" s="444">
        <v>1013</v>
      </c>
    </row>
    <row r="1014" spans="1:32" ht="12">
      <c r="A1014" s="83" t="s">
        <v>39667</v>
      </c>
      <c r="B1014" s="64" t="s">
        <v>39668</v>
      </c>
      <c r="C1014" s="71"/>
      <c r="D1014" s="79" t="s">
        <v>40899</v>
      </c>
      <c r="E1014" s="79" t="s">
        <v>40899</v>
      </c>
      <c r="F1014" s="79"/>
      <c r="G1014" s="445"/>
      <c r="H1014" s="178"/>
      <c r="I1014" s="178"/>
      <c r="J1014" s="70"/>
      <c r="K1014" s="320"/>
      <c r="L1014" s="178"/>
      <c r="M1014" s="178"/>
      <c r="N1014" s="179"/>
      <c r="O1014" s="178"/>
      <c r="P1014" s="453"/>
      <c r="Q1014" s="61"/>
      <c r="R1014" s="298"/>
      <c r="S1014" s="669"/>
      <c r="X1014" s="444">
        <v>1014</v>
      </c>
    </row>
    <row r="1015" spans="1:32" ht="12">
      <c r="A1015" s="83" t="s">
        <v>11586</v>
      </c>
      <c r="B1015" s="64" t="s">
        <v>39669</v>
      </c>
      <c r="C1015" s="71"/>
      <c r="D1015" s="79" t="s">
        <v>40899</v>
      </c>
      <c r="E1015" s="79" t="s">
        <v>40899</v>
      </c>
      <c r="F1015" s="79"/>
      <c r="G1015" s="445"/>
      <c r="H1015" s="178"/>
      <c r="I1015" s="178"/>
      <c r="J1015" s="70"/>
      <c r="K1015" s="320"/>
      <c r="L1015" s="178"/>
      <c r="M1015" s="178"/>
      <c r="N1015" s="179"/>
      <c r="O1015" s="178"/>
      <c r="P1015" s="453"/>
      <c r="Q1015" s="61"/>
      <c r="R1015" s="298"/>
      <c r="S1015" s="669"/>
      <c r="X1015" s="444">
        <v>1015</v>
      </c>
    </row>
    <row r="1016" spans="1:32" ht="24">
      <c r="A1016" s="83" t="s">
        <v>11588</v>
      </c>
      <c r="B1016" s="64" t="s">
        <v>20037</v>
      </c>
      <c r="C1016" s="71" t="s">
        <v>165</v>
      </c>
      <c r="D1016" s="79">
        <v>1</v>
      </c>
      <c r="E1016" s="79">
        <v>83.050000000000011</v>
      </c>
      <c r="F1016" s="79">
        <v>83.05</v>
      </c>
      <c r="G1016" s="445"/>
      <c r="H1016" s="178">
        <v>83.04</v>
      </c>
      <c r="I1016" s="178">
        <v>102.14</v>
      </c>
      <c r="J1016" s="70">
        <v>-19.089999999999989</v>
      </c>
      <c r="K1016" s="320"/>
      <c r="L1016" s="178"/>
      <c r="M1016" s="178">
        <v>83.050000000000011</v>
      </c>
      <c r="N1016" s="179">
        <v>0</v>
      </c>
      <c r="O1016" s="178">
        <v>83.050000000000011</v>
      </c>
      <c r="P1016" s="453"/>
      <c r="Q1016" s="61"/>
      <c r="R1016" s="298"/>
      <c r="S1016" s="669"/>
      <c r="X1016" s="444">
        <v>1016</v>
      </c>
    </row>
    <row r="1017" spans="1:32" ht="24">
      <c r="A1017" s="83" t="s">
        <v>20038</v>
      </c>
      <c r="B1017" s="64" t="s">
        <v>20039</v>
      </c>
      <c r="C1017" s="71" t="s">
        <v>165</v>
      </c>
      <c r="D1017" s="79">
        <v>1</v>
      </c>
      <c r="E1017" s="79">
        <v>108.47</v>
      </c>
      <c r="F1017" s="79">
        <v>108.47</v>
      </c>
      <c r="G1017" s="445"/>
      <c r="H1017" s="178">
        <v>108.48</v>
      </c>
      <c r="I1017" s="178">
        <v>133.43</v>
      </c>
      <c r="J1017" s="70">
        <v>-24.960000000000008</v>
      </c>
      <c r="K1017" s="320"/>
      <c r="L1017" s="178"/>
      <c r="M1017" s="178">
        <v>108.47</v>
      </c>
      <c r="N1017" s="179">
        <v>0</v>
      </c>
      <c r="O1017" s="178">
        <v>108.47</v>
      </c>
      <c r="P1017" s="453"/>
      <c r="Q1017" s="61"/>
      <c r="R1017" s="298"/>
      <c r="S1017" s="669"/>
      <c r="X1017" s="444">
        <v>1017</v>
      </c>
    </row>
    <row r="1018" spans="1:32" ht="24">
      <c r="A1018" s="83" t="s">
        <v>20040</v>
      </c>
      <c r="B1018" s="64" t="s">
        <v>20041</v>
      </c>
      <c r="C1018" s="71" t="s">
        <v>165</v>
      </c>
      <c r="D1018" s="79">
        <v>1</v>
      </c>
      <c r="E1018" s="79">
        <v>179.41</v>
      </c>
      <c r="F1018" s="79">
        <v>179.41</v>
      </c>
      <c r="G1018" s="445"/>
      <c r="H1018" s="178">
        <v>179.38</v>
      </c>
      <c r="I1018" s="178">
        <v>220.64</v>
      </c>
      <c r="J1018" s="70">
        <v>-41.22999999999999</v>
      </c>
      <c r="K1018" s="320"/>
      <c r="L1018" s="178"/>
      <c r="M1018" s="178">
        <v>179.41</v>
      </c>
      <c r="N1018" s="179">
        <v>0</v>
      </c>
      <c r="O1018" s="178">
        <v>179.41</v>
      </c>
      <c r="P1018" s="453"/>
      <c r="Q1018" s="61"/>
      <c r="R1018" s="298"/>
      <c r="S1018" s="669"/>
      <c r="X1018" s="444">
        <v>1018</v>
      </c>
    </row>
    <row r="1019" spans="1:32" s="61" customFormat="1" ht="24">
      <c r="A1019" s="83" t="s">
        <v>20042</v>
      </c>
      <c r="B1019" s="64" t="s">
        <v>39670</v>
      </c>
      <c r="C1019" s="71" t="s">
        <v>165</v>
      </c>
      <c r="D1019" s="79">
        <v>1</v>
      </c>
      <c r="E1019" s="79">
        <v>19.95</v>
      </c>
      <c r="F1019" s="79">
        <v>19.95</v>
      </c>
      <c r="G1019" s="445"/>
      <c r="H1019" s="178">
        <v>19.93</v>
      </c>
      <c r="I1019" s="178">
        <v>24.52</v>
      </c>
      <c r="J1019" s="70">
        <v>-4.57</v>
      </c>
      <c r="K1019" s="320"/>
      <c r="L1019" s="178"/>
      <c r="M1019" s="178">
        <v>19.95</v>
      </c>
      <c r="N1019" s="179">
        <v>0</v>
      </c>
      <c r="O1019" s="178">
        <v>19.95</v>
      </c>
      <c r="P1019" s="453"/>
      <c r="R1019" s="298"/>
      <c r="S1019" s="669"/>
      <c r="T1019" s="444"/>
      <c r="U1019" s="444"/>
      <c r="V1019" s="444"/>
      <c r="W1019" s="444"/>
      <c r="X1019" s="444">
        <v>1019</v>
      </c>
      <c r="Y1019" s="444"/>
      <c r="Z1019" s="444"/>
      <c r="AA1019" s="444"/>
      <c r="AB1019" s="444"/>
      <c r="AC1019" s="444"/>
      <c r="AD1019" s="444"/>
      <c r="AE1019" s="444"/>
      <c r="AF1019" s="444"/>
    </row>
    <row r="1020" spans="1:32" s="61" customFormat="1" ht="24">
      <c r="A1020" s="83" t="s">
        <v>20043</v>
      </c>
      <c r="B1020" s="64" t="s">
        <v>39671</v>
      </c>
      <c r="C1020" s="71" t="s">
        <v>165</v>
      </c>
      <c r="D1020" s="79">
        <v>1</v>
      </c>
      <c r="E1020" s="79">
        <v>21.939999999999998</v>
      </c>
      <c r="F1020" s="79">
        <v>21.94</v>
      </c>
      <c r="G1020" s="445"/>
      <c r="H1020" s="178">
        <v>21.93</v>
      </c>
      <c r="I1020" s="178">
        <v>26.97</v>
      </c>
      <c r="J1020" s="70">
        <v>-5.0300000000000011</v>
      </c>
      <c r="K1020" s="320"/>
      <c r="L1020" s="178"/>
      <c r="M1020" s="178">
        <v>21.939999999999998</v>
      </c>
      <c r="N1020" s="179">
        <v>0</v>
      </c>
      <c r="O1020" s="178">
        <v>21.939999999999998</v>
      </c>
      <c r="P1020" s="453"/>
      <c r="R1020" s="298"/>
      <c r="S1020" s="669"/>
      <c r="T1020" s="444"/>
      <c r="U1020" s="444"/>
      <c r="V1020" s="444"/>
      <c r="W1020" s="444"/>
      <c r="X1020" s="444">
        <v>1020</v>
      </c>
      <c r="Y1020" s="444"/>
      <c r="Z1020" s="444"/>
      <c r="AA1020" s="444"/>
      <c r="AB1020" s="444"/>
      <c r="AC1020" s="444"/>
      <c r="AD1020" s="444"/>
      <c r="AE1020" s="444"/>
      <c r="AF1020" s="444"/>
    </row>
    <row r="1021" spans="1:32" ht="24">
      <c r="A1021" s="83" t="s">
        <v>20044</v>
      </c>
      <c r="B1021" s="64" t="s">
        <v>39672</v>
      </c>
      <c r="C1021" s="71" t="s">
        <v>165</v>
      </c>
      <c r="D1021" s="79">
        <v>1</v>
      </c>
      <c r="E1021" s="79">
        <v>26.75</v>
      </c>
      <c r="F1021" s="79">
        <v>26.75</v>
      </c>
      <c r="G1021" s="445"/>
      <c r="H1021" s="178">
        <v>26.75</v>
      </c>
      <c r="I1021" s="178">
        <v>32.9</v>
      </c>
      <c r="J1021" s="70">
        <v>-6.1499999999999986</v>
      </c>
      <c r="K1021" s="320"/>
      <c r="L1021" s="178"/>
      <c r="M1021" s="178">
        <v>26.75</v>
      </c>
      <c r="N1021" s="179">
        <v>0</v>
      </c>
      <c r="O1021" s="178">
        <v>26.75</v>
      </c>
      <c r="P1021" s="453"/>
      <c r="Q1021" s="61"/>
      <c r="R1021" s="298"/>
      <c r="S1021" s="669"/>
      <c r="X1021" s="444">
        <v>1021</v>
      </c>
    </row>
    <row r="1022" spans="1:32" ht="24">
      <c r="A1022" s="83" t="s">
        <v>20045</v>
      </c>
      <c r="B1022" s="64" t="s">
        <v>39673</v>
      </c>
      <c r="C1022" s="71" t="s">
        <v>165</v>
      </c>
      <c r="D1022" s="79">
        <v>1</v>
      </c>
      <c r="E1022" s="79">
        <v>30.28</v>
      </c>
      <c r="F1022" s="79">
        <v>30.28</v>
      </c>
      <c r="G1022" s="445"/>
      <c r="H1022" s="178">
        <v>30.27</v>
      </c>
      <c r="I1022" s="178">
        <v>37.229999999999997</v>
      </c>
      <c r="J1022" s="70">
        <v>-6.9499999999999957</v>
      </c>
      <c r="K1022" s="320"/>
      <c r="L1022" s="178"/>
      <c r="M1022" s="178">
        <v>30.28</v>
      </c>
      <c r="N1022" s="179">
        <v>0</v>
      </c>
      <c r="O1022" s="178">
        <v>30.28</v>
      </c>
      <c r="P1022" s="453"/>
      <c r="Q1022" s="61"/>
      <c r="R1022" s="298"/>
      <c r="S1022" s="669"/>
      <c r="X1022" s="444">
        <v>1022</v>
      </c>
    </row>
    <row r="1023" spans="1:32" ht="12">
      <c r="A1023" s="83" t="s">
        <v>20046</v>
      </c>
      <c r="B1023" s="64" t="s">
        <v>20047</v>
      </c>
      <c r="C1023" s="71" t="s">
        <v>103</v>
      </c>
      <c r="D1023" s="79">
        <v>1</v>
      </c>
      <c r="E1023" s="79">
        <v>70.36999999999999</v>
      </c>
      <c r="F1023" s="79">
        <v>70.37</v>
      </c>
      <c r="G1023" s="445"/>
      <c r="H1023" s="178">
        <v>70.36</v>
      </c>
      <c r="I1023" s="760">
        <v>86.54</v>
      </c>
      <c r="J1023" s="70">
        <v>-16.170000000000016</v>
      </c>
      <c r="K1023" s="320"/>
      <c r="L1023" s="178">
        <v>27.53</v>
      </c>
      <c r="M1023" s="178">
        <v>42.839999999999989</v>
      </c>
      <c r="N1023" s="179">
        <v>0</v>
      </c>
      <c r="O1023" s="178">
        <v>70.36999999999999</v>
      </c>
      <c r="P1023" s="453"/>
      <c r="Q1023" s="61"/>
      <c r="R1023" s="298"/>
      <c r="S1023" s="669"/>
      <c r="X1023" s="444">
        <v>1023</v>
      </c>
    </row>
    <row r="1024" spans="1:32" ht="12">
      <c r="A1024" s="83" t="s">
        <v>20048</v>
      </c>
      <c r="B1024" s="64" t="s">
        <v>20049</v>
      </c>
      <c r="C1024" s="71" t="s">
        <v>103</v>
      </c>
      <c r="D1024" s="79">
        <v>1</v>
      </c>
      <c r="E1024" s="79">
        <v>84.6</v>
      </c>
      <c r="F1024" s="79">
        <v>84.6</v>
      </c>
      <c r="G1024" s="445"/>
      <c r="H1024" s="178">
        <v>84.59</v>
      </c>
      <c r="I1024" s="760">
        <v>104.04</v>
      </c>
      <c r="J1024" s="70">
        <v>-19.440000000000012</v>
      </c>
      <c r="K1024" s="320"/>
      <c r="L1024" s="178">
        <v>27.53</v>
      </c>
      <c r="M1024" s="178">
        <v>57.069999999999993</v>
      </c>
      <c r="N1024" s="179">
        <v>0</v>
      </c>
      <c r="O1024" s="178">
        <v>84.6</v>
      </c>
      <c r="P1024" s="453"/>
      <c r="Q1024" s="61"/>
      <c r="R1024" s="298"/>
      <c r="S1024" s="669"/>
      <c r="X1024" s="444">
        <v>1024</v>
      </c>
    </row>
    <row r="1025" spans="1:24" ht="12">
      <c r="A1025" s="83" t="s">
        <v>20050</v>
      </c>
      <c r="B1025" s="64" t="s">
        <v>20051</v>
      </c>
      <c r="C1025" s="71" t="s">
        <v>103</v>
      </c>
      <c r="D1025" s="79">
        <v>1</v>
      </c>
      <c r="E1025" s="79">
        <v>94.539999999999992</v>
      </c>
      <c r="F1025" s="79">
        <v>94.54</v>
      </c>
      <c r="G1025" s="445"/>
      <c r="H1025" s="178">
        <v>94.53</v>
      </c>
      <c r="I1025" s="760">
        <v>116.27</v>
      </c>
      <c r="J1025" s="70">
        <v>-21.730000000000004</v>
      </c>
      <c r="K1025" s="320"/>
      <c r="L1025" s="178">
        <v>27.53</v>
      </c>
      <c r="M1025" s="178">
        <v>67.009999999999991</v>
      </c>
      <c r="N1025" s="179">
        <v>0</v>
      </c>
      <c r="O1025" s="178">
        <v>94.539999999999992</v>
      </c>
      <c r="P1025" s="453"/>
      <c r="Q1025" s="61"/>
      <c r="R1025" s="298"/>
      <c r="S1025" s="669"/>
      <c r="X1025" s="444">
        <v>1025</v>
      </c>
    </row>
    <row r="1026" spans="1:24" ht="12">
      <c r="A1026" s="83" t="s">
        <v>20052</v>
      </c>
      <c r="B1026" s="64" t="s">
        <v>20053</v>
      </c>
      <c r="C1026" s="71" t="s">
        <v>103</v>
      </c>
      <c r="D1026" s="79">
        <v>1</v>
      </c>
      <c r="E1026" s="79">
        <v>135.66000000000003</v>
      </c>
      <c r="F1026" s="79">
        <v>135.66</v>
      </c>
      <c r="G1026" s="445"/>
      <c r="H1026" s="178">
        <v>135.66999999999999</v>
      </c>
      <c r="I1026" s="760">
        <v>166.87</v>
      </c>
      <c r="J1026" s="70">
        <v>-31.20999999999998</v>
      </c>
      <c r="K1026" s="320"/>
      <c r="L1026" s="178">
        <v>43.31</v>
      </c>
      <c r="M1026" s="178">
        <v>92.350000000000023</v>
      </c>
      <c r="N1026" s="179">
        <v>0</v>
      </c>
      <c r="O1026" s="178">
        <v>135.66000000000003</v>
      </c>
      <c r="P1026" s="453"/>
      <c r="Q1026" s="61"/>
      <c r="R1026" s="298"/>
      <c r="S1026" s="669"/>
      <c r="X1026" s="444">
        <v>1026</v>
      </c>
    </row>
    <row r="1027" spans="1:24" ht="12">
      <c r="A1027" s="83" t="s">
        <v>20054</v>
      </c>
      <c r="B1027" s="64" t="s">
        <v>20055</v>
      </c>
      <c r="C1027" s="71" t="s">
        <v>103</v>
      </c>
      <c r="D1027" s="79">
        <v>1</v>
      </c>
      <c r="E1027" s="79">
        <v>154.41000000000003</v>
      </c>
      <c r="F1027" s="79">
        <v>154.41</v>
      </c>
      <c r="G1027" s="445"/>
      <c r="H1027" s="178">
        <v>154.41999999999999</v>
      </c>
      <c r="I1027" s="760">
        <v>189.94</v>
      </c>
      <c r="J1027" s="70">
        <v>-35.529999999999973</v>
      </c>
      <c r="K1027" s="320"/>
      <c r="L1027" s="178">
        <v>43.31</v>
      </c>
      <c r="M1027" s="178">
        <v>111.10000000000002</v>
      </c>
      <c r="N1027" s="179">
        <v>0</v>
      </c>
      <c r="O1027" s="178">
        <v>154.41000000000003</v>
      </c>
      <c r="P1027" s="453"/>
      <c r="Q1027" s="61"/>
      <c r="R1027" s="298"/>
      <c r="S1027" s="669"/>
      <c r="X1027" s="444">
        <v>1027</v>
      </c>
    </row>
    <row r="1028" spans="1:24" ht="12">
      <c r="A1028" s="83" t="s">
        <v>20056</v>
      </c>
      <c r="B1028" s="64" t="s">
        <v>20057</v>
      </c>
      <c r="C1028" s="71" t="s">
        <v>103</v>
      </c>
      <c r="D1028" s="79">
        <v>1</v>
      </c>
      <c r="E1028" s="79">
        <v>224.82999999999998</v>
      </c>
      <c r="F1028" s="79">
        <v>224.83</v>
      </c>
      <c r="G1028" s="445"/>
      <c r="H1028" s="178">
        <v>224.84</v>
      </c>
      <c r="I1028" s="760">
        <v>276.55</v>
      </c>
      <c r="J1028" s="70">
        <v>-51.720000000000027</v>
      </c>
      <c r="K1028" s="320"/>
      <c r="L1028" s="178">
        <v>43.31</v>
      </c>
      <c r="M1028" s="178">
        <v>181.51999999999998</v>
      </c>
      <c r="N1028" s="179">
        <v>0</v>
      </c>
      <c r="O1028" s="178">
        <v>224.82999999999998</v>
      </c>
      <c r="P1028" s="453"/>
      <c r="Q1028" s="61"/>
      <c r="R1028" s="298"/>
      <c r="S1028" s="669"/>
      <c r="X1028" s="444">
        <v>1028</v>
      </c>
    </row>
    <row r="1029" spans="1:24" ht="12">
      <c r="A1029" s="83" t="s">
        <v>20058</v>
      </c>
      <c r="B1029" s="64" t="s">
        <v>20059</v>
      </c>
      <c r="C1029" s="71" t="s">
        <v>103</v>
      </c>
      <c r="D1029" s="79">
        <v>1</v>
      </c>
      <c r="E1029" s="79">
        <v>444.19</v>
      </c>
      <c r="F1029" s="79">
        <v>444.19</v>
      </c>
      <c r="G1029" s="445"/>
      <c r="H1029" s="178">
        <v>444.17</v>
      </c>
      <c r="I1029" s="760">
        <v>546.33000000000004</v>
      </c>
      <c r="J1029" s="70">
        <v>-102.14000000000004</v>
      </c>
      <c r="K1029" s="320"/>
      <c r="L1029" s="178">
        <v>58.629999999999995</v>
      </c>
      <c r="M1029" s="178">
        <v>385.56</v>
      </c>
      <c r="N1029" s="179">
        <v>0</v>
      </c>
      <c r="O1029" s="178">
        <v>444.19</v>
      </c>
      <c r="P1029" s="453"/>
      <c r="Q1029" s="61"/>
      <c r="R1029" s="298"/>
      <c r="S1029" s="669"/>
      <c r="X1029" s="444">
        <v>1029</v>
      </c>
    </row>
    <row r="1030" spans="1:24" ht="12">
      <c r="A1030" s="83" t="s">
        <v>20060</v>
      </c>
      <c r="B1030" s="64" t="s">
        <v>20061</v>
      </c>
      <c r="C1030" s="71" t="s">
        <v>103</v>
      </c>
      <c r="D1030" s="79">
        <v>1</v>
      </c>
      <c r="E1030" s="79">
        <v>706.67</v>
      </c>
      <c r="F1030" s="79">
        <v>706.67</v>
      </c>
      <c r="G1030" s="445"/>
      <c r="H1030" s="178">
        <v>706.65</v>
      </c>
      <c r="I1030" s="760">
        <v>869.18</v>
      </c>
      <c r="J1030" s="70">
        <v>-162.51</v>
      </c>
      <c r="K1030" s="320"/>
      <c r="L1030" s="178">
        <v>58.629999999999995</v>
      </c>
      <c r="M1030" s="178">
        <v>648.04</v>
      </c>
      <c r="N1030" s="179">
        <v>0</v>
      </c>
      <c r="O1030" s="178">
        <v>706.67</v>
      </c>
      <c r="P1030" s="453"/>
      <c r="Q1030" s="61"/>
      <c r="R1030" s="298"/>
      <c r="S1030" s="669"/>
      <c r="X1030" s="444">
        <v>1030</v>
      </c>
    </row>
    <row r="1031" spans="1:24" ht="12">
      <c r="A1031" s="83" t="s">
        <v>20062</v>
      </c>
      <c r="B1031" s="64" t="s">
        <v>20063</v>
      </c>
      <c r="C1031" s="71" t="s">
        <v>103</v>
      </c>
      <c r="D1031" s="79">
        <v>1</v>
      </c>
      <c r="E1031" s="79">
        <v>1200</v>
      </c>
      <c r="F1031" s="79">
        <v>1200</v>
      </c>
      <c r="G1031" s="445"/>
      <c r="H1031" s="178">
        <v>1199.99</v>
      </c>
      <c r="I1031" s="760">
        <v>1475.99</v>
      </c>
      <c r="J1031" s="70">
        <v>-275.99</v>
      </c>
      <c r="K1031" s="320"/>
      <c r="L1031" s="178">
        <v>75.44</v>
      </c>
      <c r="M1031" s="178">
        <v>1124.56</v>
      </c>
      <c r="N1031" s="179">
        <v>0</v>
      </c>
      <c r="O1031" s="178">
        <v>1200</v>
      </c>
      <c r="P1031" s="453"/>
      <c r="Q1031" s="61"/>
      <c r="R1031" s="298"/>
      <c r="S1031" s="669"/>
      <c r="X1031" s="444">
        <v>1031</v>
      </c>
    </row>
    <row r="1032" spans="1:24" ht="12">
      <c r="A1032" s="83" t="s">
        <v>20064</v>
      </c>
      <c r="B1032" s="64" t="s">
        <v>20065</v>
      </c>
      <c r="C1032" s="71" t="s">
        <v>103</v>
      </c>
      <c r="D1032" s="79">
        <v>1</v>
      </c>
      <c r="E1032" s="79">
        <v>87.779999999999987</v>
      </c>
      <c r="F1032" s="79">
        <v>87.78</v>
      </c>
      <c r="G1032" s="445"/>
      <c r="H1032" s="178">
        <v>87.78</v>
      </c>
      <c r="I1032" s="760">
        <v>107.97</v>
      </c>
      <c r="J1032" s="70">
        <v>-20.190000000000012</v>
      </c>
      <c r="K1032" s="320"/>
      <c r="L1032" s="178">
        <v>22.93</v>
      </c>
      <c r="M1032" s="178">
        <v>64.849999999999994</v>
      </c>
      <c r="N1032" s="179">
        <v>0</v>
      </c>
      <c r="O1032" s="178">
        <v>87.78</v>
      </c>
      <c r="P1032" s="453"/>
      <c r="Q1032" s="61"/>
      <c r="R1032" s="298"/>
      <c r="S1032" s="669"/>
      <c r="X1032" s="444">
        <v>1032</v>
      </c>
    </row>
    <row r="1033" spans="1:24" ht="12">
      <c r="A1033" s="83" t="s">
        <v>20066</v>
      </c>
      <c r="B1033" s="64" t="s">
        <v>20067</v>
      </c>
      <c r="C1033" s="71" t="s">
        <v>103</v>
      </c>
      <c r="D1033" s="79">
        <v>1</v>
      </c>
      <c r="E1033" s="79">
        <v>98.7</v>
      </c>
      <c r="F1033" s="79">
        <v>98.7</v>
      </c>
      <c r="G1033" s="445"/>
      <c r="H1033" s="178">
        <v>98.69</v>
      </c>
      <c r="I1033" s="760">
        <v>121.39</v>
      </c>
      <c r="J1033" s="70">
        <v>-22.689999999999998</v>
      </c>
      <c r="K1033" s="320"/>
      <c r="L1033" s="178">
        <v>30.59</v>
      </c>
      <c r="M1033" s="178">
        <v>68.11</v>
      </c>
      <c r="N1033" s="179">
        <v>0</v>
      </c>
      <c r="O1033" s="178">
        <v>98.7</v>
      </c>
      <c r="P1033" s="453"/>
      <c r="Q1033" s="61"/>
      <c r="R1033" s="298"/>
      <c r="S1033" s="669"/>
      <c r="X1033" s="444">
        <v>1033</v>
      </c>
    </row>
    <row r="1034" spans="1:24" ht="12">
      <c r="A1034" s="83" t="s">
        <v>20068</v>
      </c>
      <c r="B1034" s="64" t="s">
        <v>20069</v>
      </c>
      <c r="C1034" s="71" t="s">
        <v>103</v>
      </c>
      <c r="D1034" s="79">
        <v>1</v>
      </c>
      <c r="E1034" s="79">
        <v>88.35</v>
      </c>
      <c r="F1034" s="79">
        <v>88.35</v>
      </c>
      <c r="G1034" s="445"/>
      <c r="H1034" s="178">
        <v>88.36</v>
      </c>
      <c r="I1034" s="760">
        <v>108.68</v>
      </c>
      <c r="J1034" s="70">
        <v>-20.330000000000013</v>
      </c>
      <c r="K1034" s="320"/>
      <c r="L1034" s="178">
        <v>31.08</v>
      </c>
      <c r="M1034" s="178">
        <v>57.269999999999996</v>
      </c>
      <c r="N1034" s="179">
        <v>0</v>
      </c>
      <c r="O1034" s="178">
        <v>88.35</v>
      </c>
      <c r="P1034" s="453"/>
      <c r="Q1034" s="61"/>
      <c r="R1034" s="298"/>
      <c r="S1034" s="669"/>
      <c r="X1034" s="444">
        <v>1034</v>
      </c>
    </row>
    <row r="1035" spans="1:24" ht="12">
      <c r="A1035" s="83" t="s">
        <v>20070</v>
      </c>
      <c r="B1035" s="64" t="s">
        <v>20071</v>
      </c>
      <c r="C1035" s="71" t="s">
        <v>103</v>
      </c>
      <c r="D1035" s="79">
        <v>1</v>
      </c>
      <c r="E1035" s="79">
        <v>84.27</v>
      </c>
      <c r="F1035" s="79">
        <v>84.27</v>
      </c>
      <c r="G1035" s="445"/>
      <c r="H1035" s="178">
        <v>84.28</v>
      </c>
      <c r="I1035" s="760">
        <v>103.66</v>
      </c>
      <c r="J1035" s="70">
        <v>-19.39</v>
      </c>
      <c r="K1035" s="320"/>
      <c r="L1035" s="178">
        <v>31.08</v>
      </c>
      <c r="M1035" s="178">
        <v>53.19</v>
      </c>
      <c r="N1035" s="179">
        <v>0</v>
      </c>
      <c r="O1035" s="178">
        <v>84.27</v>
      </c>
      <c r="P1035" s="453"/>
      <c r="Q1035" s="61"/>
      <c r="R1035" s="298"/>
      <c r="S1035" s="669"/>
      <c r="X1035" s="444">
        <v>1035</v>
      </c>
    </row>
    <row r="1036" spans="1:24" ht="12">
      <c r="A1036" s="83" t="s">
        <v>20072</v>
      </c>
      <c r="B1036" s="64" t="s">
        <v>20073</v>
      </c>
      <c r="C1036" s="71" t="s">
        <v>103</v>
      </c>
      <c r="D1036" s="79">
        <v>1</v>
      </c>
      <c r="E1036" s="79">
        <v>118.6</v>
      </c>
      <c r="F1036" s="79">
        <v>118.6</v>
      </c>
      <c r="G1036" s="445"/>
      <c r="H1036" s="178">
        <v>118.6</v>
      </c>
      <c r="I1036" s="760">
        <v>145.88</v>
      </c>
      <c r="J1036" s="70">
        <v>-27.28</v>
      </c>
      <c r="K1036" s="320"/>
      <c r="L1036" s="178">
        <v>31.08</v>
      </c>
      <c r="M1036" s="178">
        <v>87.52</v>
      </c>
      <c r="N1036" s="179">
        <v>0</v>
      </c>
      <c r="O1036" s="178">
        <v>118.6</v>
      </c>
      <c r="P1036" s="453"/>
      <c r="Q1036" s="61"/>
      <c r="R1036" s="298"/>
      <c r="S1036" s="669"/>
      <c r="X1036" s="444">
        <v>1036</v>
      </c>
    </row>
    <row r="1037" spans="1:24" ht="12">
      <c r="A1037" s="83" t="s">
        <v>20074</v>
      </c>
      <c r="B1037" s="64" t="s">
        <v>20075</v>
      </c>
      <c r="C1037" s="71" t="s">
        <v>103</v>
      </c>
      <c r="D1037" s="79">
        <v>1</v>
      </c>
      <c r="E1037" s="79">
        <v>152.72000000000003</v>
      </c>
      <c r="F1037" s="79">
        <v>152.72</v>
      </c>
      <c r="G1037" s="445"/>
      <c r="H1037" s="178">
        <v>152.72</v>
      </c>
      <c r="I1037" s="760">
        <v>187.84</v>
      </c>
      <c r="J1037" s="70">
        <v>-35.119999999999976</v>
      </c>
      <c r="K1037" s="320"/>
      <c r="L1037" s="178">
        <v>48.42</v>
      </c>
      <c r="M1037" s="178">
        <v>104.30000000000003</v>
      </c>
      <c r="N1037" s="179">
        <v>0</v>
      </c>
      <c r="O1037" s="178">
        <v>152.72000000000003</v>
      </c>
      <c r="P1037" s="453"/>
      <c r="Q1037" s="61"/>
      <c r="R1037" s="298"/>
      <c r="S1037" s="669"/>
      <c r="X1037" s="444">
        <v>1037</v>
      </c>
    </row>
    <row r="1038" spans="1:24" ht="12">
      <c r="A1038" s="83" t="s">
        <v>20076</v>
      </c>
      <c r="B1038" s="64" t="s">
        <v>20077</v>
      </c>
      <c r="C1038" s="71" t="s">
        <v>103</v>
      </c>
      <c r="D1038" s="79">
        <v>1</v>
      </c>
      <c r="E1038" s="79">
        <v>193.28000000000003</v>
      </c>
      <c r="F1038" s="79">
        <v>193.28</v>
      </c>
      <c r="G1038" s="445"/>
      <c r="H1038" s="178">
        <v>193.28</v>
      </c>
      <c r="I1038" s="760">
        <v>237.73</v>
      </c>
      <c r="J1038" s="70">
        <v>-44.44999999999996</v>
      </c>
      <c r="K1038" s="320"/>
      <c r="L1038" s="178">
        <v>48.42</v>
      </c>
      <c r="M1038" s="178">
        <v>144.86000000000001</v>
      </c>
      <c r="N1038" s="179">
        <v>0</v>
      </c>
      <c r="O1038" s="178">
        <v>193.28000000000003</v>
      </c>
      <c r="P1038" s="453"/>
      <c r="Q1038" s="61"/>
      <c r="R1038" s="298"/>
      <c r="S1038" s="669"/>
      <c r="X1038" s="444">
        <v>1038</v>
      </c>
    </row>
    <row r="1039" spans="1:24" ht="12">
      <c r="A1039" s="83" t="s">
        <v>20078</v>
      </c>
      <c r="B1039" s="64" t="s">
        <v>20079</v>
      </c>
      <c r="C1039" s="71" t="s">
        <v>103</v>
      </c>
      <c r="D1039" s="79">
        <v>1</v>
      </c>
      <c r="E1039" s="79">
        <v>90.67</v>
      </c>
      <c r="F1039" s="79">
        <v>90.67</v>
      </c>
      <c r="G1039" s="445"/>
      <c r="H1039" s="178">
        <v>90.67</v>
      </c>
      <c r="I1039" s="760">
        <v>111.53</v>
      </c>
      <c r="J1039" s="70">
        <v>-20.86</v>
      </c>
      <c r="K1039" s="320"/>
      <c r="L1039" s="178">
        <v>31.08</v>
      </c>
      <c r="M1039" s="178">
        <v>59.59</v>
      </c>
      <c r="N1039" s="179">
        <v>0</v>
      </c>
      <c r="O1039" s="178">
        <v>90.67</v>
      </c>
      <c r="P1039" s="453"/>
      <c r="Q1039" s="61"/>
      <c r="R1039" s="298"/>
      <c r="S1039" s="669"/>
      <c r="X1039" s="444">
        <v>1039</v>
      </c>
    </row>
    <row r="1040" spans="1:24" ht="12">
      <c r="A1040" s="83" t="s">
        <v>20080</v>
      </c>
      <c r="B1040" s="64" t="s">
        <v>20081</v>
      </c>
      <c r="C1040" s="71" t="s">
        <v>103</v>
      </c>
      <c r="D1040" s="79">
        <v>1</v>
      </c>
      <c r="E1040" s="79">
        <v>77.739999999999995</v>
      </c>
      <c r="F1040" s="79">
        <v>77.739999999999995</v>
      </c>
      <c r="G1040" s="445"/>
      <c r="H1040" s="178">
        <v>77.739999999999995</v>
      </c>
      <c r="I1040" s="760">
        <v>95.62</v>
      </c>
      <c r="J1040" s="70">
        <v>-17.88000000000001</v>
      </c>
      <c r="K1040" s="320"/>
      <c r="L1040" s="178">
        <v>31.08</v>
      </c>
      <c r="M1040" s="178">
        <v>46.66</v>
      </c>
      <c r="N1040" s="179">
        <v>0</v>
      </c>
      <c r="O1040" s="178">
        <v>77.739999999999995</v>
      </c>
      <c r="P1040" s="453"/>
      <c r="Q1040" s="61"/>
      <c r="R1040" s="298"/>
      <c r="S1040" s="669"/>
      <c r="X1040" s="444">
        <v>1040</v>
      </c>
    </row>
    <row r="1041" spans="1:32" ht="12">
      <c r="A1041" s="83" t="s">
        <v>20082</v>
      </c>
      <c r="B1041" s="64" t="s">
        <v>20083</v>
      </c>
      <c r="C1041" s="71" t="s">
        <v>103</v>
      </c>
      <c r="D1041" s="79">
        <v>1</v>
      </c>
      <c r="E1041" s="79">
        <v>515.51</v>
      </c>
      <c r="F1041" s="79">
        <v>515.51</v>
      </c>
      <c r="G1041" s="445"/>
      <c r="H1041" s="178">
        <v>515.51</v>
      </c>
      <c r="I1041" s="760">
        <v>634.08000000000004</v>
      </c>
      <c r="J1041" s="70">
        <v>-118.57000000000005</v>
      </c>
      <c r="K1041" s="320"/>
      <c r="L1041" s="178">
        <v>101.94</v>
      </c>
      <c r="M1041" s="178">
        <v>413.57</v>
      </c>
      <c r="N1041" s="179">
        <v>0</v>
      </c>
      <c r="O1041" s="178">
        <v>515.51</v>
      </c>
      <c r="P1041" s="453"/>
      <c r="Q1041" s="61"/>
      <c r="R1041" s="298"/>
      <c r="S1041" s="669"/>
      <c r="X1041" s="444">
        <v>1041</v>
      </c>
    </row>
    <row r="1042" spans="1:32" ht="12">
      <c r="A1042" s="83" t="s">
        <v>20084</v>
      </c>
      <c r="B1042" s="64" t="s">
        <v>20085</v>
      </c>
      <c r="C1042" s="71" t="s">
        <v>103</v>
      </c>
      <c r="D1042" s="79">
        <v>1</v>
      </c>
      <c r="E1042" s="79">
        <v>578.34</v>
      </c>
      <c r="F1042" s="79">
        <v>578.34</v>
      </c>
      <c r="G1042" s="445"/>
      <c r="H1042" s="178">
        <v>578.34</v>
      </c>
      <c r="I1042" s="760">
        <v>711.36</v>
      </c>
      <c r="J1042" s="70">
        <v>-133.01999999999998</v>
      </c>
      <c r="K1042" s="320"/>
      <c r="L1042" s="178">
        <v>101.94</v>
      </c>
      <c r="M1042" s="178">
        <v>476.40000000000003</v>
      </c>
      <c r="N1042" s="179">
        <v>0</v>
      </c>
      <c r="O1042" s="178">
        <v>578.34</v>
      </c>
      <c r="P1042" s="453"/>
      <c r="Q1042" s="61"/>
      <c r="R1042" s="298"/>
      <c r="S1042" s="669"/>
      <c r="X1042" s="444">
        <v>1042</v>
      </c>
    </row>
    <row r="1043" spans="1:32" ht="12">
      <c r="A1043" s="83" t="s">
        <v>20086</v>
      </c>
      <c r="B1043" s="64" t="s">
        <v>20087</v>
      </c>
      <c r="C1043" s="71" t="s">
        <v>103</v>
      </c>
      <c r="D1043" s="79">
        <v>1</v>
      </c>
      <c r="E1043" s="79">
        <v>591.57000000000005</v>
      </c>
      <c r="F1043" s="79">
        <v>591.57000000000005</v>
      </c>
      <c r="G1043" s="445"/>
      <c r="H1043" s="178">
        <v>591.58000000000004</v>
      </c>
      <c r="I1043" s="760">
        <v>727.64</v>
      </c>
      <c r="J1043" s="70">
        <v>-136.06999999999994</v>
      </c>
      <c r="K1043" s="320"/>
      <c r="L1043" s="178">
        <v>34.14</v>
      </c>
      <c r="M1043" s="178">
        <v>557.43000000000006</v>
      </c>
      <c r="N1043" s="179">
        <v>0</v>
      </c>
      <c r="O1043" s="178">
        <v>591.57000000000005</v>
      </c>
      <c r="P1043" s="453"/>
      <c r="Q1043" s="61"/>
      <c r="R1043" s="298"/>
      <c r="S1043" s="669"/>
      <c r="X1043" s="444">
        <v>1043</v>
      </c>
    </row>
    <row r="1044" spans="1:32" ht="12">
      <c r="A1044" s="83" t="s">
        <v>20088</v>
      </c>
      <c r="B1044" s="64" t="s">
        <v>20089</v>
      </c>
      <c r="C1044" s="71" t="s">
        <v>103</v>
      </c>
      <c r="D1044" s="79">
        <v>1</v>
      </c>
      <c r="E1044" s="79">
        <v>353.23</v>
      </c>
      <c r="F1044" s="79">
        <v>353.23</v>
      </c>
      <c r="G1044" s="445"/>
      <c r="H1044" s="178">
        <v>353.23</v>
      </c>
      <c r="I1044" s="760">
        <v>434.47</v>
      </c>
      <c r="J1044" s="70">
        <v>-81.240000000000009</v>
      </c>
      <c r="K1044" s="320"/>
      <c r="L1044" s="178">
        <v>101.94</v>
      </c>
      <c r="M1044" s="178">
        <v>251.29000000000002</v>
      </c>
      <c r="N1044" s="179">
        <v>0</v>
      </c>
      <c r="O1044" s="178">
        <v>353.23</v>
      </c>
      <c r="P1044" s="453"/>
      <c r="Q1044" s="61"/>
      <c r="R1044" s="298"/>
      <c r="S1044" s="669"/>
      <c r="X1044" s="444">
        <v>1044</v>
      </c>
    </row>
    <row r="1045" spans="1:32" ht="12">
      <c r="A1045" s="83" t="s">
        <v>20090</v>
      </c>
      <c r="B1045" s="64" t="s">
        <v>20091</v>
      </c>
      <c r="C1045" s="71" t="s">
        <v>103</v>
      </c>
      <c r="D1045" s="79">
        <v>1</v>
      </c>
      <c r="E1045" s="79">
        <v>432.8</v>
      </c>
      <c r="F1045" s="79">
        <v>432.8</v>
      </c>
      <c r="G1045" s="445"/>
      <c r="H1045" s="178">
        <v>432.8</v>
      </c>
      <c r="I1045" s="760">
        <v>532.34</v>
      </c>
      <c r="J1045" s="70">
        <v>-99.54000000000002</v>
      </c>
      <c r="K1045" s="320"/>
      <c r="L1045" s="178">
        <v>101.94</v>
      </c>
      <c r="M1045" s="178">
        <v>330.86</v>
      </c>
      <c r="N1045" s="179">
        <v>0</v>
      </c>
      <c r="O1045" s="178">
        <v>432.8</v>
      </c>
      <c r="P1045" s="453"/>
      <c r="Q1045" s="61"/>
      <c r="R1045" s="298"/>
      <c r="S1045" s="669"/>
      <c r="X1045" s="444">
        <v>1045</v>
      </c>
    </row>
    <row r="1046" spans="1:32" ht="24">
      <c r="A1046" s="83" t="s">
        <v>20092</v>
      </c>
      <c r="B1046" s="64" t="s">
        <v>39674</v>
      </c>
      <c r="C1046" s="71" t="s">
        <v>103</v>
      </c>
      <c r="D1046" s="79">
        <v>1</v>
      </c>
      <c r="E1046" s="79">
        <v>454.68</v>
      </c>
      <c r="F1046" s="79">
        <v>454.68</v>
      </c>
      <c r="G1046" s="445"/>
      <c r="H1046" s="178">
        <v>454.67</v>
      </c>
      <c r="I1046" s="760">
        <v>559.25</v>
      </c>
      <c r="J1046" s="70">
        <v>-104.57</v>
      </c>
      <c r="K1046" s="320"/>
      <c r="L1046" s="178">
        <v>101.94</v>
      </c>
      <c r="M1046" s="178">
        <v>352.74</v>
      </c>
      <c r="N1046" s="179">
        <v>0</v>
      </c>
      <c r="O1046" s="178">
        <v>454.68</v>
      </c>
      <c r="P1046" s="453"/>
      <c r="Q1046" s="61"/>
      <c r="R1046" s="298"/>
      <c r="S1046" s="669"/>
      <c r="X1046" s="444">
        <v>1046</v>
      </c>
    </row>
    <row r="1047" spans="1:32" ht="24">
      <c r="A1047" s="83" t="s">
        <v>20093</v>
      </c>
      <c r="B1047" s="64" t="s">
        <v>39675</v>
      </c>
      <c r="C1047" s="71" t="s">
        <v>103</v>
      </c>
      <c r="D1047" s="79">
        <v>1</v>
      </c>
      <c r="E1047" s="79">
        <v>499.44</v>
      </c>
      <c r="F1047" s="79">
        <v>499.44</v>
      </c>
      <c r="G1047" s="445"/>
      <c r="H1047" s="178">
        <v>499.44</v>
      </c>
      <c r="I1047" s="760">
        <v>614.30999999999995</v>
      </c>
      <c r="J1047" s="70">
        <v>-114.86999999999995</v>
      </c>
      <c r="K1047" s="320"/>
      <c r="L1047" s="178">
        <v>101.94</v>
      </c>
      <c r="M1047" s="178">
        <v>397.5</v>
      </c>
      <c r="N1047" s="179">
        <v>0</v>
      </c>
      <c r="O1047" s="178">
        <v>499.44</v>
      </c>
      <c r="P1047" s="453"/>
      <c r="Q1047" s="61"/>
      <c r="R1047" s="298"/>
      <c r="S1047" s="669"/>
      <c r="X1047" s="444">
        <v>1047</v>
      </c>
    </row>
    <row r="1048" spans="1:32" ht="12">
      <c r="A1048" s="83" t="s">
        <v>20094</v>
      </c>
      <c r="B1048" s="64" t="s">
        <v>20095</v>
      </c>
      <c r="C1048" s="71" t="s">
        <v>165</v>
      </c>
      <c r="D1048" s="79">
        <v>1</v>
      </c>
      <c r="E1048" s="79">
        <v>22.189999999999998</v>
      </c>
      <c r="F1048" s="79">
        <v>22.19</v>
      </c>
      <c r="G1048" s="445"/>
      <c r="H1048" s="178">
        <v>22.2</v>
      </c>
      <c r="I1048" s="760">
        <v>27.3</v>
      </c>
      <c r="J1048" s="70">
        <v>-5.110000000000003</v>
      </c>
      <c r="K1048" s="320"/>
      <c r="L1048" s="178">
        <v>17.25</v>
      </c>
      <c r="M1048" s="178">
        <v>4.9399999999999977</v>
      </c>
      <c r="N1048" s="179">
        <v>0</v>
      </c>
      <c r="O1048" s="178">
        <v>22.189999999999998</v>
      </c>
      <c r="P1048" s="453"/>
      <c r="Q1048" s="61"/>
      <c r="R1048" s="298"/>
      <c r="S1048" s="669"/>
      <c r="X1048" s="444">
        <v>1048</v>
      </c>
    </row>
    <row r="1049" spans="1:32" ht="12">
      <c r="A1049" s="83" t="s">
        <v>20096</v>
      </c>
      <c r="B1049" s="64" t="s">
        <v>20036</v>
      </c>
      <c r="C1049" s="71" t="s">
        <v>10216</v>
      </c>
      <c r="D1049" s="79">
        <v>1</v>
      </c>
      <c r="E1049" s="79">
        <v>577.26</v>
      </c>
      <c r="F1049" s="79">
        <v>577.26</v>
      </c>
      <c r="G1049" s="445"/>
      <c r="H1049" s="178">
        <v>577.25</v>
      </c>
      <c r="I1049" s="760">
        <v>710.02</v>
      </c>
      <c r="J1049" s="70">
        <v>-132.76</v>
      </c>
      <c r="K1049" s="320"/>
      <c r="L1049" s="178"/>
      <c r="M1049" s="178">
        <v>577.26</v>
      </c>
      <c r="N1049" s="179">
        <v>0</v>
      </c>
      <c r="O1049" s="178">
        <v>577.26</v>
      </c>
      <c r="P1049" s="453"/>
      <c r="Q1049" s="61"/>
      <c r="R1049" s="298"/>
      <c r="S1049" s="669"/>
      <c r="X1049" s="444">
        <v>1049</v>
      </c>
    </row>
    <row r="1050" spans="1:32" ht="12">
      <c r="A1050" s="83" t="s">
        <v>20097</v>
      </c>
      <c r="B1050" s="64" t="s">
        <v>20098</v>
      </c>
      <c r="C1050" s="71" t="s">
        <v>165</v>
      </c>
      <c r="D1050" s="79">
        <v>1</v>
      </c>
      <c r="E1050" s="79">
        <v>51.78</v>
      </c>
      <c r="F1050" s="79">
        <v>51.78</v>
      </c>
      <c r="G1050" s="445"/>
      <c r="H1050" s="178">
        <v>51.77</v>
      </c>
      <c r="I1050" s="760">
        <v>63.68</v>
      </c>
      <c r="J1050" s="70">
        <v>-11.899999999999999</v>
      </c>
      <c r="K1050" s="320"/>
      <c r="L1050" s="178"/>
      <c r="M1050" s="178">
        <v>51.78</v>
      </c>
      <c r="N1050" s="179">
        <v>0</v>
      </c>
      <c r="O1050" s="178">
        <v>51.78</v>
      </c>
      <c r="P1050" s="453"/>
      <c r="Q1050" s="61"/>
      <c r="R1050" s="298"/>
      <c r="S1050" s="669"/>
      <c r="X1050" s="444">
        <v>1050</v>
      </c>
    </row>
    <row r="1051" spans="1:32" ht="12">
      <c r="A1051" s="83" t="s">
        <v>20099</v>
      </c>
      <c r="B1051" s="64" t="s">
        <v>20100</v>
      </c>
      <c r="C1051" s="71" t="s">
        <v>165</v>
      </c>
      <c r="D1051" s="79">
        <v>1</v>
      </c>
      <c r="E1051" s="79">
        <v>77.460000000000008</v>
      </c>
      <c r="F1051" s="79">
        <v>77.459999999999994</v>
      </c>
      <c r="G1051" s="445"/>
      <c r="H1051" s="178">
        <v>77.45</v>
      </c>
      <c r="I1051" s="760">
        <v>95.26</v>
      </c>
      <c r="J1051" s="70">
        <v>-17.799999999999997</v>
      </c>
      <c r="K1051" s="320"/>
      <c r="L1051" s="178"/>
      <c r="M1051" s="178">
        <v>77.460000000000008</v>
      </c>
      <c r="N1051" s="179">
        <v>0</v>
      </c>
      <c r="O1051" s="178">
        <v>77.460000000000008</v>
      </c>
      <c r="P1051" s="453"/>
      <c r="Q1051" s="61"/>
      <c r="R1051" s="298"/>
      <c r="S1051" s="669"/>
      <c r="X1051" s="444">
        <v>1051</v>
      </c>
    </row>
    <row r="1052" spans="1:32" ht="12">
      <c r="A1052" s="83" t="s">
        <v>20101</v>
      </c>
      <c r="B1052" s="64" t="s">
        <v>20102</v>
      </c>
      <c r="C1052" s="71" t="s">
        <v>165</v>
      </c>
      <c r="D1052" s="79">
        <v>1</v>
      </c>
      <c r="E1052" s="79">
        <v>101.69</v>
      </c>
      <c r="F1052" s="79">
        <v>101.69</v>
      </c>
      <c r="G1052" s="445"/>
      <c r="H1052" s="178">
        <v>101.7</v>
      </c>
      <c r="I1052" s="760">
        <v>125.09</v>
      </c>
      <c r="J1052" s="70">
        <v>-23.400000000000006</v>
      </c>
      <c r="K1052" s="320"/>
      <c r="L1052" s="178"/>
      <c r="M1052" s="178">
        <v>101.69</v>
      </c>
      <c r="N1052" s="179">
        <v>0</v>
      </c>
      <c r="O1052" s="178">
        <v>101.69</v>
      </c>
      <c r="P1052" s="453"/>
      <c r="Q1052" s="61"/>
      <c r="R1052" s="298"/>
      <c r="S1052" s="669"/>
      <c r="U1052" s="73"/>
      <c r="V1052" s="73"/>
      <c r="W1052" s="73"/>
      <c r="X1052" s="444">
        <v>1052</v>
      </c>
      <c r="Y1052" s="73"/>
      <c r="Z1052" s="73"/>
      <c r="AA1052" s="73"/>
      <c r="AB1052" s="73"/>
      <c r="AC1052" s="73"/>
      <c r="AD1052" s="73"/>
      <c r="AE1052" s="73"/>
      <c r="AF1052" s="73"/>
    </row>
    <row r="1053" spans="1:32" ht="12">
      <c r="A1053" s="83" t="s">
        <v>20103</v>
      </c>
      <c r="B1053" s="64" t="s">
        <v>20104</v>
      </c>
      <c r="C1053" s="71" t="s">
        <v>165</v>
      </c>
      <c r="D1053" s="79">
        <v>1</v>
      </c>
      <c r="E1053" s="79">
        <v>170.85</v>
      </c>
      <c r="F1053" s="79">
        <v>170.85</v>
      </c>
      <c r="G1053" s="445"/>
      <c r="H1053" s="178">
        <v>170.84</v>
      </c>
      <c r="I1053" s="760">
        <v>210.13</v>
      </c>
      <c r="J1053" s="70">
        <v>-39.28</v>
      </c>
      <c r="K1053" s="320"/>
      <c r="L1053" s="178"/>
      <c r="M1053" s="178">
        <v>170.85</v>
      </c>
      <c r="N1053" s="179">
        <v>0</v>
      </c>
      <c r="O1053" s="178">
        <v>170.85</v>
      </c>
      <c r="P1053" s="453"/>
      <c r="Q1053" s="61"/>
      <c r="R1053" s="298"/>
      <c r="S1053" s="669"/>
      <c r="X1053" s="444">
        <v>1053</v>
      </c>
    </row>
    <row r="1054" spans="1:32" ht="24">
      <c r="A1054" s="83" t="s">
        <v>20105</v>
      </c>
      <c r="B1054" s="64" t="s">
        <v>20106</v>
      </c>
      <c r="C1054" s="71" t="s">
        <v>165</v>
      </c>
      <c r="D1054" s="79">
        <v>1</v>
      </c>
      <c r="E1054" s="79">
        <v>57.359999999999992</v>
      </c>
      <c r="F1054" s="79">
        <v>57.36</v>
      </c>
      <c r="G1054" s="445"/>
      <c r="H1054" s="178">
        <v>57.37</v>
      </c>
      <c r="I1054" s="760">
        <v>70.56</v>
      </c>
      <c r="J1054" s="70">
        <v>-13.20000000000001</v>
      </c>
      <c r="K1054" s="320"/>
      <c r="L1054" s="178"/>
      <c r="M1054" s="178">
        <v>57.359999999999992</v>
      </c>
      <c r="N1054" s="179">
        <v>0</v>
      </c>
      <c r="O1054" s="178">
        <v>57.359999999999992</v>
      </c>
      <c r="P1054" s="453"/>
      <c r="Q1054" s="61"/>
      <c r="R1054" s="298"/>
      <c r="S1054" s="669"/>
      <c r="X1054" s="444">
        <v>1054</v>
      </c>
    </row>
    <row r="1055" spans="1:32" ht="12">
      <c r="A1055" s="83" t="s">
        <v>20107</v>
      </c>
      <c r="B1055" s="64" t="s">
        <v>20108</v>
      </c>
      <c r="C1055" s="71" t="s">
        <v>10216</v>
      </c>
      <c r="D1055" s="79">
        <v>1</v>
      </c>
      <c r="E1055" s="79">
        <v>577.26</v>
      </c>
      <c r="F1055" s="79">
        <v>577.26</v>
      </c>
      <c r="G1055" s="445"/>
      <c r="H1055" s="178">
        <v>577.25</v>
      </c>
      <c r="I1055" s="760">
        <v>710.02</v>
      </c>
      <c r="J1055" s="70">
        <v>-132.76</v>
      </c>
      <c r="K1055" s="320"/>
      <c r="L1055" s="178"/>
      <c r="M1055" s="178">
        <v>577.26</v>
      </c>
      <c r="N1055" s="179">
        <v>0</v>
      </c>
      <c r="O1055" s="178">
        <v>577.26</v>
      </c>
      <c r="P1055" s="453"/>
      <c r="Q1055" s="61"/>
      <c r="R1055" s="298"/>
      <c r="S1055" s="669"/>
      <c r="X1055" s="444">
        <v>1055</v>
      </c>
    </row>
    <row r="1056" spans="1:32" ht="12">
      <c r="A1056" s="83" t="s">
        <v>11600</v>
      </c>
      <c r="B1056" s="64" t="s">
        <v>39676</v>
      </c>
      <c r="C1056" s="71"/>
      <c r="D1056" s="79"/>
      <c r="E1056" s="79"/>
      <c r="F1056" s="79"/>
      <c r="G1056" s="445"/>
      <c r="H1056" s="178"/>
      <c r="I1056" s="760"/>
      <c r="J1056" s="70"/>
      <c r="K1056" s="320"/>
      <c r="L1056" s="178"/>
      <c r="M1056" s="178"/>
      <c r="N1056" s="179"/>
      <c r="O1056" s="178"/>
      <c r="P1056" s="453"/>
      <c r="Q1056" s="61"/>
      <c r="R1056" s="298"/>
      <c r="S1056" s="669"/>
      <c r="X1056" s="444">
        <v>1056</v>
      </c>
    </row>
    <row r="1057" spans="1:32" ht="36">
      <c r="A1057" s="83" t="s">
        <v>20109</v>
      </c>
      <c r="B1057" s="64" t="s">
        <v>39677</v>
      </c>
      <c r="C1057" s="71" t="s">
        <v>103</v>
      </c>
      <c r="D1057" s="79">
        <v>1</v>
      </c>
      <c r="E1057" s="79">
        <v>39053.370000000003</v>
      </c>
      <c r="F1057" s="79">
        <v>39053.370000000003</v>
      </c>
      <c r="G1057" s="445"/>
      <c r="H1057" s="178">
        <v>39053.370000000003</v>
      </c>
      <c r="I1057" s="760">
        <v>48035.64</v>
      </c>
      <c r="J1057" s="70">
        <v>-8982.2699999999968</v>
      </c>
      <c r="K1057" s="320"/>
      <c r="L1057" s="178"/>
      <c r="M1057" s="178">
        <v>39053.370000000003</v>
      </c>
      <c r="N1057" s="179">
        <v>0</v>
      </c>
      <c r="O1057" s="178">
        <v>39053.370000000003</v>
      </c>
      <c r="P1057" s="453"/>
      <c r="Q1057" s="61"/>
      <c r="R1057" s="298"/>
      <c r="S1057" s="669"/>
      <c r="X1057" s="444">
        <v>1057</v>
      </c>
    </row>
    <row r="1058" spans="1:32">
      <c r="A1058" s="67" t="s">
        <v>20110</v>
      </c>
      <c r="B1058" s="67" t="s">
        <v>39678</v>
      </c>
      <c r="C1058" s="71" t="s">
        <v>103</v>
      </c>
      <c r="D1058" s="79">
        <v>1</v>
      </c>
      <c r="E1058" s="79">
        <v>93803.35</v>
      </c>
      <c r="F1058" s="79">
        <v>93803.35</v>
      </c>
      <c r="G1058" s="69"/>
      <c r="H1058" s="178">
        <v>93803.35</v>
      </c>
      <c r="I1058" s="752">
        <v>115378.12</v>
      </c>
      <c r="J1058" s="70">
        <v>-21574.76999999999</v>
      </c>
      <c r="K1058" s="320"/>
      <c r="L1058" s="178"/>
      <c r="M1058" s="178">
        <v>93803.35</v>
      </c>
      <c r="N1058" s="179">
        <v>0</v>
      </c>
      <c r="O1058" s="178">
        <v>93803.35</v>
      </c>
      <c r="Q1058" s="61"/>
      <c r="R1058" s="298"/>
      <c r="S1058" s="669"/>
      <c r="X1058" s="444">
        <v>1058</v>
      </c>
    </row>
    <row r="1059" spans="1:32" ht="12">
      <c r="A1059" s="83" t="s">
        <v>11608</v>
      </c>
      <c r="B1059" s="64" t="s">
        <v>39679</v>
      </c>
      <c r="C1059" s="71"/>
      <c r="D1059" s="79" t="s">
        <v>40899</v>
      </c>
      <c r="E1059" s="79" t="s">
        <v>40899</v>
      </c>
      <c r="F1059" s="79"/>
      <c r="G1059" s="445"/>
      <c r="H1059" s="178"/>
      <c r="I1059" s="178"/>
      <c r="J1059" s="70"/>
      <c r="K1059" s="320"/>
      <c r="L1059" s="178"/>
      <c r="M1059" s="178"/>
      <c r="N1059" s="179"/>
      <c r="O1059" s="178"/>
      <c r="P1059" s="453"/>
      <c r="Q1059" s="61"/>
      <c r="R1059" s="298"/>
      <c r="S1059" s="669"/>
      <c r="X1059" s="444">
        <v>1059</v>
      </c>
    </row>
    <row r="1060" spans="1:32" ht="12">
      <c r="A1060" s="83" t="s">
        <v>20111</v>
      </c>
      <c r="B1060" s="146" t="s">
        <v>20112</v>
      </c>
      <c r="C1060" s="71" t="s">
        <v>165</v>
      </c>
      <c r="D1060" s="79">
        <v>1</v>
      </c>
      <c r="E1060" s="79">
        <v>224.6</v>
      </c>
      <c r="F1060" s="79">
        <v>224.6</v>
      </c>
      <c r="G1060" s="445"/>
      <c r="H1060" s="178">
        <v>224.62</v>
      </c>
      <c r="I1060" s="760">
        <v>276.27999999999997</v>
      </c>
      <c r="J1060" s="70">
        <v>-51.679999999999978</v>
      </c>
      <c r="K1060" s="320"/>
      <c r="L1060" s="178">
        <v>91.72999999999999</v>
      </c>
      <c r="M1060" s="178">
        <v>132.87</v>
      </c>
      <c r="N1060" s="179">
        <v>0</v>
      </c>
      <c r="O1060" s="178">
        <v>224.6</v>
      </c>
      <c r="P1060" s="453"/>
      <c r="Q1060" s="61"/>
      <c r="R1060" s="298"/>
      <c r="S1060" s="669"/>
      <c r="X1060" s="444">
        <v>1060</v>
      </c>
    </row>
    <row r="1061" spans="1:32" ht="12">
      <c r="A1061" s="83" t="s">
        <v>20113</v>
      </c>
      <c r="B1061" s="146" t="s">
        <v>20012</v>
      </c>
      <c r="C1061" s="71" t="s">
        <v>165</v>
      </c>
      <c r="D1061" s="79">
        <v>1</v>
      </c>
      <c r="E1061" s="79">
        <v>250.95</v>
      </c>
      <c r="F1061" s="79">
        <v>250.95</v>
      </c>
      <c r="G1061" s="445"/>
      <c r="H1061" s="178">
        <v>250.94</v>
      </c>
      <c r="I1061" s="760">
        <v>308.66000000000003</v>
      </c>
      <c r="J1061" s="70">
        <v>-57.710000000000036</v>
      </c>
      <c r="K1061" s="320"/>
      <c r="L1061" s="178">
        <v>101.94</v>
      </c>
      <c r="M1061" s="178">
        <v>149.01</v>
      </c>
      <c r="N1061" s="179">
        <v>0</v>
      </c>
      <c r="O1061" s="178">
        <v>250.95</v>
      </c>
      <c r="P1061" s="453"/>
      <c r="Q1061" s="61"/>
      <c r="R1061" s="298"/>
      <c r="S1061" s="669"/>
      <c r="X1061" s="444">
        <v>1061</v>
      </c>
    </row>
    <row r="1062" spans="1:32" ht="12">
      <c r="A1062" s="83" t="s">
        <v>20114</v>
      </c>
      <c r="B1062" s="146" t="s">
        <v>20115</v>
      </c>
      <c r="C1062" s="71" t="s">
        <v>165</v>
      </c>
      <c r="D1062" s="79">
        <v>1</v>
      </c>
      <c r="E1062" s="79">
        <v>335.11</v>
      </c>
      <c r="F1062" s="79">
        <v>335.11</v>
      </c>
      <c r="G1062" s="445"/>
      <c r="H1062" s="178">
        <v>335.09</v>
      </c>
      <c r="I1062" s="760">
        <v>412.16</v>
      </c>
      <c r="J1062" s="70">
        <v>-77.050000000000011</v>
      </c>
      <c r="K1062" s="320"/>
      <c r="L1062" s="178">
        <v>112.15</v>
      </c>
      <c r="M1062" s="178">
        <v>222.96</v>
      </c>
      <c r="N1062" s="179">
        <v>0</v>
      </c>
      <c r="O1062" s="178">
        <v>335.11</v>
      </c>
      <c r="P1062" s="453"/>
      <c r="Q1062" s="61"/>
      <c r="R1062" s="298"/>
      <c r="S1062" s="669"/>
      <c r="X1062" s="444">
        <v>1062</v>
      </c>
    </row>
    <row r="1063" spans="1:32" ht="12">
      <c r="A1063" s="83" t="s">
        <v>20116</v>
      </c>
      <c r="B1063" s="64" t="s">
        <v>20016</v>
      </c>
      <c r="C1063" s="71" t="s">
        <v>165</v>
      </c>
      <c r="D1063" s="79">
        <v>1</v>
      </c>
      <c r="E1063" s="79">
        <v>569.39</v>
      </c>
      <c r="F1063" s="79">
        <v>569.39</v>
      </c>
      <c r="G1063" s="445"/>
      <c r="H1063" s="178">
        <v>569.37</v>
      </c>
      <c r="I1063" s="178">
        <v>700.32</v>
      </c>
      <c r="J1063" s="70">
        <v>-130.93000000000006</v>
      </c>
      <c r="K1063" s="320"/>
      <c r="L1063" s="178">
        <v>135.09</v>
      </c>
      <c r="M1063" s="178">
        <v>434.29999999999995</v>
      </c>
      <c r="N1063" s="179">
        <v>0</v>
      </c>
      <c r="O1063" s="178">
        <v>569.39</v>
      </c>
      <c r="P1063" s="453"/>
      <c r="Q1063" s="61"/>
      <c r="R1063" s="298"/>
      <c r="S1063" s="669"/>
      <c r="X1063" s="444">
        <v>1063</v>
      </c>
    </row>
    <row r="1064" spans="1:32" ht="12">
      <c r="A1064" s="83" t="s">
        <v>20117</v>
      </c>
      <c r="B1064" s="64" t="s">
        <v>20118</v>
      </c>
      <c r="C1064" s="71" t="s">
        <v>165</v>
      </c>
      <c r="D1064" s="79">
        <v>1</v>
      </c>
      <c r="E1064" s="79">
        <v>50.29</v>
      </c>
      <c r="F1064" s="79">
        <v>50.29</v>
      </c>
      <c r="G1064" s="445"/>
      <c r="H1064" s="178">
        <v>50.28</v>
      </c>
      <c r="I1064" s="178">
        <v>61.84</v>
      </c>
      <c r="J1064" s="70">
        <v>-11.550000000000004</v>
      </c>
      <c r="K1064" s="320"/>
      <c r="L1064" s="178">
        <v>2.89</v>
      </c>
      <c r="M1064" s="178">
        <v>47.4</v>
      </c>
      <c r="N1064" s="179">
        <v>0</v>
      </c>
      <c r="O1064" s="178">
        <v>50.29</v>
      </c>
      <c r="P1064" s="453"/>
      <c r="Q1064" s="61"/>
      <c r="R1064" s="298"/>
      <c r="S1064" s="669"/>
      <c r="X1064" s="444">
        <v>1064</v>
      </c>
    </row>
    <row r="1065" spans="1:32" s="73" customFormat="1" ht="12">
      <c r="A1065" s="83" t="s">
        <v>20119</v>
      </c>
      <c r="B1065" s="64" t="s">
        <v>20120</v>
      </c>
      <c r="C1065" s="71" t="s">
        <v>10216</v>
      </c>
      <c r="D1065" s="79">
        <v>1</v>
      </c>
      <c r="E1065" s="79">
        <v>577.26</v>
      </c>
      <c r="F1065" s="79">
        <v>577.26</v>
      </c>
      <c r="G1065" s="445"/>
      <c r="H1065" s="178">
        <v>577.25</v>
      </c>
      <c r="I1065" s="178">
        <v>710.02</v>
      </c>
      <c r="J1065" s="70">
        <v>-132.76</v>
      </c>
      <c r="K1065" s="320"/>
      <c r="L1065" s="178"/>
      <c r="M1065" s="178">
        <v>577.26</v>
      </c>
      <c r="N1065" s="179">
        <v>0</v>
      </c>
      <c r="O1065" s="178">
        <v>577.26</v>
      </c>
      <c r="P1065" s="453"/>
      <c r="Q1065" s="61"/>
      <c r="R1065" s="298"/>
      <c r="S1065" s="669"/>
      <c r="T1065" s="444"/>
      <c r="U1065" s="444"/>
      <c r="V1065" s="444"/>
      <c r="W1065" s="444"/>
      <c r="X1065" s="444">
        <v>1065</v>
      </c>
      <c r="Y1065" s="444"/>
      <c r="Z1065" s="444"/>
      <c r="AA1065" s="444"/>
      <c r="AB1065" s="444"/>
      <c r="AC1065" s="444"/>
      <c r="AD1065" s="444"/>
      <c r="AE1065" s="444"/>
      <c r="AF1065" s="444"/>
    </row>
    <row r="1066" spans="1:32" ht="12">
      <c r="A1066" s="83" t="s">
        <v>39680</v>
      </c>
      <c r="B1066" s="64" t="s">
        <v>39681</v>
      </c>
      <c r="C1066" s="71"/>
      <c r="D1066" s="79" t="s">
        <v>40899</v>
      </c>
      <c r="E1066" s="79" t="s">
        <v>40899</v>
      </c>
      <c r="F1066" s="79"/>
      <c r="G1066" s="445"/>
      <c r="H1066" s="178"/>
      <c r="I1066" s="178"/>
      <c r="J1066" s="70"/>
      <c r="K1066" s="320"/>
      <c r="L1066" s="178"/>
      <c r="M1066" s="178"/>
      <c r="N1066" s="179"/>
      <c r="O1066" s="178"/>
      <c r="P1066" s="453"/>
      <c r="Q1066" s="61"/>
      <c r="R1066" s="298"/>
      <c r="S1066" s="669"/>
      <c r="X1066" s="444">
        <v>1066</v>
      </c>
    </row>
    <row r="1067" spans="1:32" ht="12">
      <c r="A1067" s="83" t="s">
        <v>20121</v>
      </c>
      <c r="B1067" s="64" t="s">
        <v>20059</v>
      </c>
      <c r="C1067" s="71" t="s">
        <v>103</v>
      </c>
      <c r="D1067" s="79">
        <v>1</v>
      </c>
      <c r="E1067" s="79">
        <v>444.19</v>
      </c>
      <c r="F1067" s="79">
        <v>444.19</v>
      </c>
      <c r="G1067" s="445"/>
      <c r="H1067" s="178">
        <v>444.17</v>
      </c>
      <c r="I1067" s="178">
        <v>546.33000000000004</v>
      </c>
      <c r="J1067" s="70">
        <v>-102.14000000000004</v>
      </c>
      <c r="K1067" s="320"/>
      <c r="L1067" s="178">
        <v>58.629999999999995</v>
      </c>
      <c r="M1067" s="178">
        <v>385.56</v>
      </c>
      <c r="N1067" s="179">
        <v>0</v>
      </c>
      <c r="O1067" s="178">
        <v>444.19</v>
      </c>
      <c r="P1067" s="453"/>
      <c r="Q1067" s="61"/>
      <c r="R1067" s="298"/>
      <c r="S1067" s="669"/>
      <c r="X1067" s="444">
        <v>1067</v>
      </c>
    </row>
    <row r="1068" spans="1:32" ht="12">
      <c r="A1068" s="83" t="s">
        <v>20122</v>
      </c>
      <c r="B1068" s="64" t="s">
        <v>20061</v>
      </c>
      <c r="C1068" s="71" t="s">
        <v>103</v>
      </c>
      <c r="D1068" s="79">
        <v>1</v>
      </c>
      <c r="E1068" s="79">
        <v>706.67</v>
      </c>
      <c r="F1068" s="79">
        <v>706.67</v>
      </c>
      <c r="G1068" s="445"/>
      <c r="H1068" s="178">
        <v>706.65</v>
      </c>
      <c r="I1068" s="178">
        <v>869.18</v>
      </c>
      <c r="J1068" s="70">
        <v>-162.51</v>
      </c>
      <c r="K1068" s="320"/>
      <c r="L1068" s="178">
        <v>58.629999999999995</v>
      </c>
      <c r="M1068" s="178">
        <v>648.04</v>
      </c>
      <c r="N1068" s="179">
        <v>0</v>
      </c>
      <c r="O1068" s="178">
        <v>706.67</v>
      </c>
      <c r="P1068" s="453"/>
      <c r="Q1068" s="61"/>
      <c r="R1068" s="298"/>
      <c r="S1068" s="669"/>
      <c r="X1068" s="444">
        <v>1068</v>
      </c>
    </row>
    <row r="1069" spans="1:32" ht="12">
      <c r="A1069" s="83" t="s">
        <v>20123</v>
      </c>
      <c r="B1069" s="64" t="s">
        <v>20063</v>
      </c>
      <c r="C1069" s="71" t="s">
        <v>103</v>
      </c>
      <c r="D1069" s="79">
        <v>1</v>
      </c>
      <c r="E1069" s="79">
        <v>1200</v>
      </c>
      <c r="F1069" s="79">
        <v>1200</v>
      </c>
      <c r="G1069" s="445"/>
      <c r="H1069" s="178">
        <v>1199.99</v>
      </c>
      <c r="I1069" s="178">
        <v>1475.99</v>
      </c>
      <c r="J1069" s="70">
        <v>-275.99</v>
      </c>
      <c r="K1069" s="320"/>
      <c r="L1069" s="178">
        <v>75.44</v>
      </c>
      <c r="M1069" s="178">
        <v>1124.56</v>
      </c>
      <c r="N1069" s="179">
        <v>0</v>
      </c>
      <c r="O1069" s="178">
        <v>1200</v>
      </c>
      <c r="P1069" s="453"/>
      <c r="Q1069" s="61"/>
      <c r="R1069" s="298"/>
      <c r="S1069" s="669"/>
      <c r="X1069" s="444">
        <v>1069</v>
      </c>
    </row>
    <row r="1070" spans="1:32" ht="12">
      <c r="A1070" s="83" t="s">
        <v>20124</v>
      </c>
      <c r="B1070" s="64" t="s">
        <v>20125</v>
      </c>
      <c r="C1070" s="71" t="s">
        <v>103</v>
      </c>
      <c r="D1070" s="79">
        <v>1</v>
      </c>
      <c r="E1070" s="79">
        <v>327.22000000000003</v>
      </c>
      <c r="F1070" s="79">
        <v>327.22000000000003</v>
      </c>
      <c r="G1070" s="445"/>
      <c r="H1070" s="178">
        <v>327.24</v>
      </c>
      <c r="I1070" s="178">
        <v>402.5</v>
      </c>
      <c r="J1070" s="70">
        <v>-75.279999999999973</v>
      </c>
      <c r="K1070" s="320"/>
      <c r="L1070" s="178">
        <v>91.72999999999999</v>
      </c>
      <c r="M1070" s="178">
        <v>235.49000000000004</v>
      </c>
      <c r="N1070" s="179">
        <v>0</v>
      </c>
      <c r="O1070" s="178">
        <v>327.22000000000003</v>
      </c>
      <c r="P1070" s="453"/>
      <c r="Q1070" s="61"/>
      <c r="R1070" s="298"/>
      <c r="S1070" s="669"/>
      <c r="X1070" s="444">
        <v>1070</v>
      </c>
    </row>
    <row r="1071" spans="1:32" ht="12">
      <c r="A1071" s="83" t="s">
        <v>20126</v>
      </c>
      <c r="B1071" s="64" t="s">
        <v>20127</v>
      </c>
      <c r="C1071" s="71" t="s">
        <v>103</v>
      </c>
      <c r="D1071" s="79">
        <v>1</v>
      </c>
      <c r="E1071" s="79">
        <v>1018.04</v>
      </c>
      <c r="F1071" s="79">
        <v>1018.04</v>
      </c>
      <c r="G1071" s="445"/>
      <c r="H1071" s="178">
        <v>1018.02</v>
      </c>
      <c r="I1071" s="178">
        <v>1252.17</v>
      </c>
      <c r="J1071" s="70">
        <v>-234.13000000000011</v>
      </c>
      <c r="K1071" s="320"/>
      <c r="L1071" s="178">
        <v>256.01</v>
      </c>
      <c r="M1071" s="178">
        <v>762.03</v>
      </c>
      <c r="N1071" s="179">
        <v>0</v>
      </c>
      <c r="O1071" s="178">
        <v>1018.04</v>
      </c>
      <c r="P1071" s="453"/>
      <c r="Q1071" s="61"/>
      <c r="R1071" s="298"/>
      <c r="S1071" s="669"/>
      <c r="X1071" s="444">
        <v>1071</v>
      </c>
    </row>
    <row r="1072" spans="1:32" ht="12">
      <c r="A1072" s="83" t="s">
        <v>20128</v>
      </c>
      <c r="B1072" s="64" t="s">
        <v>20129</v>
      </c>
      <c r="C1072" s="71" t="s">
        <v>103</v>
      </c>
      <c r="D1072" s="79">
        <v>1</v>
      </c>
      <c r="E1072" s="79">
        <v>481.59000000000003</v>
      </c>
      <c r="F1072" s="79">
        <v>481.59</v>
      </c>
      <c r="G1072" s="445"/>
      <c r="H1072" s="178">
        <v>481.58</v>
      </c>
      <c r="I1072" s="178">
        <v>592.34</v>
      </c>
      <c r="J1072" s="70">
        <v>-110.75</v>
      </c>
      <c r="K1072" s="320"/>
      <c r="L1072" s="178">
        <v>76.460000000000008</v>
      </c>
      <c r="M1072" s="178">
        <v>405.13</v>
      </c>
      <c r="N1072" s="179">
        <v>0</v>
      </c>
      <c r="O1072" s="178">
        <v>481.59000000000003</v>
      </c>
      <c r="P1072" s="453"/>
      <c r="Q1072" s="61"/>
      <c r="R1072" s="298"/>
      <c r="S1072" s="669"/>
      <c r="X1072" s="444">
        <v>1072</v>
      </c>
    </row>
    <row r="1073" spans="1:24" ht="12">
      <c r="A1073" s="83" t="s">
        <v>20130</v>
      </c>
      <c r="B1073" s="64" t="s">
        <v>20131</v>
      </c>
      <c r="C1073" s="71" t="s">
        <v>103</v>
      </c>
      <c r="D1073" s="79">
        <v>1</v>
      </c>
      <c r="E1073" s="79">
        <v>676.71</v>
      </c>
      <c r="F1073" s="79">
        <v>676.71</v>
      </c>
      <c r="G1073" s="445"/>
      <c r="H1073" s="178">
        <v>676.72</v>
      </c>
      <c r="I1073" s="178">
        <v>832.36</v>
      </c>
      <c r="J1073" s="70">
        <v>-155.64999999999998</v>
      </c>
      <c r="K1073" s="320"/>
      <c r="L1073" s="178">
        <v>101.94</v>
      </c>
      <c r="M1073" s="178">
        <v>574.77</v>
      </c>
      <c r="N1073" s="179">
        <v>0</v>
      </c>
      <c r="O1073" s="178">
        <v>676.71</v>
      </c>
      <c r="P1073" s="453"/>
      <c r="Q1073" s="61"/>
      <c r="R1073" s="298"/>
      <c r="S1073" s="669"/>
      <c r="X1073" s="444">
        <v>1073</v>
      </c>
    </row>
    <row r="1074" spans="1:24" ht="12">
      <c r="A1074" s="83" t="s">
        <v>20132</v>
      </c>
      <c r="B1074" s="64" t="s">
        <v>20133</v>
      </c>
      <c r="C1074" s="71" t="s">
        <v>103</v>
      </c>
      <c r="D1074" s="79">
        <v>1</v>
      </c>
      <c r="E1074" s="79">
        <v>1096.8800000000001</v>
      </c>
      <c r="F1074" s="79">
        <v>1096.8800000000001</v>
      </c>
      <c r="G1074" s="445"/>
      <c r="H1074" s="178">
        <v>1096.8800000000001</v>
      </c>
      <c r="I1074" s="178">
        <v>1349.16</v>
      </c>
      <c r="J1074" s="70">
        <v>-252.27999999999997</v>
      </c>
      <c r="K1074" s="320"/>
      <c r="L1074" s="178">
        <v>101.94</v>
      </c>
      <c r="M1074" s="178">
        <v>994.94</v>
      </c>
      <c r="N1074" s="179">
        <v>0</v>
      </c>
      <c r="O1074" s="178">
        <v>1096.8800000000001</v>
      </c>
      <c r="P1074" s="453"/>
      <c r="Q1074" s="61"/>
      <c r="R1074" s="298"/>
      <c r="S1074" s="669"/>
      <c r="X1074" s="444">
        <v>1074</v>
      </c>
    </row>
    <row r="1075" spans="1:24" ht="12">
      <c r="A1075" s="83" t="s">
        <v>20134</v>
      </c>
      <c r="B1075" s="64" t="s">
        <v>20135</v>
      </c>
      <c r="C1075" s="71" t="s">
        <v>103</v>
      </c>
      <c r="D1075" s="79">
        <v>1</v>
      </c>
      <c r="E1075" s="79">
        <v>222.33</v>
      </c>
      <c r="F1075" s="79">
        <v>222.33</v>
      </c>
      <c r="G1075" s="445"/>
      <c r="H1075" s="178">
        <v>222.32</v>
      </c>
      <c r="I1075" s="178">
        <v>273.45</v>
      </c>
      <c r="J1075" s="70">
        <v>-51.119999999999976</v>
      </c>
      <c r="K1075" s="320"/>
      <c r="L1075" s="178">
        <v>76.460000000000008</v>
      </c>
      <c r="M1075" s="178">
        <v>145.87</v>
      </c>
      <c r="N1075" s="179">
        <v>0</v>
      </c>
      <c r="O1075" s="178">
        <v>222.33</v>
      </c>
      <c r="P1075" s="453"/>
      <c r="Q1075" s="61"/>
      <c r="R1075" s="298"/>
      <c r="S1075" s="669"/>
      <c r="X1075" s="444">
        <v>1075</v>
      </c>
    </row>
    <row r="1076" spans="1:24" ht="12">
      <c r="A1076" s="83" t="s">
        <v>20136</v>
      </c>
      <c r="B1076" s="64" t="s">
        <v>39682</v>
      </c>
      <c r="C1076" s="71" t="s">
        <v>103</v>
      </c>
      <c r="D1076" s="79">
        <v>1</v>
      </c>
      <c r="E1076" s="79">
        <v>1778.78</v>
      </c>
      <c r="F1076" s="79">
        <v>1778.78</v>
      </c>
      <c r="G1076" s="445"/>
      <c r="H1076" s="178">
        <v>1778.75</v>
      </c>
      <c r="I1076" s="178">
        <v>2187.86</v>
      </c>
      <c r="J1076" s="70">
        <v>-409.08000000000015</v>
      </c>
      <c r="K1076" s="320"/>
      <c r="L1076" s="178">
        <v>265.07</v>
      </c>
      <c r="M1076" s="178">
        <v>1513.71</v>
      </c>
      <c r="N1076" s="179">
        <v>0</v>
      </c>
      <c r="O1076" s="178">
        <v>1778.78</v>
      </c>
      <c r="P1076" s="453"/>
      <c r="Q1076" s="61"/>
      <c r="R1076" s="298"/>
      <c r="S1076" s="669"/>
      <c r="X1076" s="444">
        <v>1076</v>
      </c>
    </row>
    <row r="1077" spans="1:24" ht="12">
      <c r="A1077" s="83" t="s">
        <v>20137</v>
      </c>
      <c r="B1077" s="64" t="s">
        <v>20138</v>
      </c>
      <c r="C1077" s="71" t="s">
        <v>165</v>
      </c>
      <c r="D1077" s="79">
        <v>1</v>
      </c>
      <c r="E1077" s="79">
        <v>26.16</v>
      </c>
      <c r="F1077" s="79">
        <v>26.16</v>
      </c>
      <c r="G1077" s="445"/>
      <c r="H1077" s="178">
        <v>26.15</v>
      </c>
      <c r="I1077" s="178">
        <v>32.159999999999997</v>
      </c>
      <c r="J1077" s="70">
        <v>-5.9999999999999964</v>
      </c>
      <c r="K1077" s="320"/>
      <c r="L1077" s="178">
        <v>5.1099999999999994</v>
      </c>
      <c r="M1077" s="178">
        <v>21.05</v>
      </c>
      <c r="N1077" s="179">
        <v>0</v>
      </c>
      <c r="O1077" s="178">
        <v>26.16</v>
      </c>
      <c r="P1077" s="453"/>
      <c r="Q1077" s="61"/>
      <c r="R1077" s="298"/>
      <c r="S1077" s="669"/>
      <c r="X1077" s="444">
        <v>1077</v>
      </c>
    </row>
    <row r="1078" spans="1:24" ht="12">
      <c r="A1078" s="83" t="s">
        <v>20139</v>
      </c>
      <c r="B1078" s="64" t="s">
        <v>20140</v>
      </c>
      <c r="C1078" s="71" t="s">
        <v>165</v>
      </c>
      <c r="D1078" s="79">
        <v>1</v>
      </c>
      <c r="E1078" s="79">
        <v>35.730000000000004</v>
      </c>
      <c r="F1078" s="79">
        <v>35.729999999999997</v>
      </c>
      <c r="G1078" s="445"/>
      <c r="H1078" s="178">
        <v>35.72</v>
      </c>
      <c r="I1078" s="178">
        <v>43.93</v>
      </c>
      <c r="J1078" s="70">
        <v>-8.1999999999999957</v>
      </c>
      <c r="K1078" s="320"/>
      <c r="L1078" s="178">
        <v>5.1099999999999994</v>
      </c>
      <c r="M1078" s="178">
        <v>30.620000000000005</v>
      </c>
      <c r="N1078" s="179">
        <v>0</v>
      </c>
      <c r="O1078" s="178">
        <v>35.730000000000004</v>
      </c>
      <c r="P1078" s="453"/>
      <c r="Q1078" s="61"/>
      <c r="R1078" s="298"/>
      <c r="S1078" s="669"/>
      <c r="X1078" s="444">
        <v>1078</v>
      </c>
    </row>
    <row r="1079" spans="1:24" ht="12">
      <c r="A1079" s="83" t="s">
        <v>20141</v>
      </c>
      <c r="B1079" s="64" t="s">
        <v>20142</v>
      </c>
      <c r="C1079" s="71" t="s">
        <v>103</v>
      </c>
      <c r="D1079" s="79">
        <v>1</v>
      </c>
      <c r="E1079" s="79">
        <v>81.739999999999995</v>
      </c>
      <c r="F1079" s="79">
        <v>81.739999999999995</v>
      </c>
      <c r="G1079" s="445"/>
      <c r="H1079" s="178">
        <v>81.72</v>
      </c>
      <c r="I1079" s="178">
        <v>100.52</v>
      </c>
      <c r="J1079" s="70">
        <v>-18.78</v>
      </c>
      <c r="K1079" s="320"/>
      <c r="L1079" s="178">
        <v>5.1099999999999994</v>
      </c>
      <c r="M1079" s="178">
        <v>76.63</v>
      </c>
      <c r="N1079" s="179">
        <v>0</v>
      </c>
      <c r="O1079" s="178">
        <v>81.739999999999995</v>
      </c>
      <c r="P1079" s="453"/>
      <c r="Q1079" s="61"/>
      <c r="R1079" s="298"/>
      <c r="S1079" s="669"/>
      <c r="X1079" s="444">
        <v>1079</v>
      </c>
    </row>
    <row r="1080" spans="1:24" ht="12">
      <c r="A1080" s="83" t="s">
        <v>20143</v>
      </c>
      <c r="B1080" s="64" t="s">
        <v>20144</v>
      </c>
      <c r="C1080" s="71" t="s">
        <v>103</v>
      </c>
      <c r="D1080" s="79">
        <v>1</v>
      </c>
      <c r="E1080" s="79">
        <v>60.33</v>
      </c>
      <c r="F1080" s="79">
        <v>60.33</v>
      </c>
      <c r="G1080" s="445"/>
      <c r="H1080" s="178">
        <v>60.32</v>
      </c>
      <c r="I1080" s="178">
        <v>74.19</v>
      </c>
      <c r="J1080" s="70">
        <v>-13.86</v>
      </c>
      <c r="K1080" s="320"/>
      <c r="L1080" s="178">
        <v>5.1099999999999994</v>
      </c>
      <c r="M1080" s="178">
        <v>55.22</v>
      </c>
      <c r="N1080" s="179">
        <v>0</v>
      </c>
      <c r="O1080" s="178">
        <v>60.33</v>
      </c>
      <c r="P1080" s="453"/>
      <c r="Q1080" s="61"/>
      <c r="R1080" s="298"/>
      <c r="S1080" s="669"/>
      <c r="X1080" s="444">
        <v>1080</v>
      </c>
    </row>
    <row r="1081" spans="1:24" ht="12">
      <c r="A1081" s="83" t="s">
        <v>20145</v>
      </c>
      <c r="B1081" s="64" t="s">
        <v>20146</v>
      </c>
      <c r="C1081" s="71" t="s">
        <v>103</v>
      </c>
      <c r="D1081" s="79">
        <v>1</v>
      </c>
      <c r="E1081" s="79">
        <v>143.08999999999997</v>
      </c>
      <c r="F1081" s="79">
        <v>143.09</v>
      </c>
      <c r="G1081" s="445"/>
      <c r="H1081" s="178">
        <v>143.07</v>
      </c>
      <c r="I1081" s="178">
        <v>175.98</v>
      </c>
      <c r="J1081" s="70">
        <v>-32.890000000000015</v>
      </c>
      <c r="K1081" s="320"/>
      <c r="L1081" s="178">
        <v>5.1099999999999994</v>
      </c>
      <c r="M1081" s="178">
        <v>137.97999999999996</v>
      </c>
      <c r="N1081" s="179">
        <v>0</v>
      </c>
      <c r="O1081" s="178">
        <v>143.08999999999997</v>
      </c>
      <c r="P1081" s="453"/>
      <c r="Q1081" s="61"/>
      <c r="R1081" s="298"/>
      <c r="S1081" s="669"/>
      <c r="T1081" s="61"/>
      <c r="X1081" s="444">
        <v>1081</v>
      </c>
    </row>
    <row r="1082" spans="1:24" ht="12">
      <c r="A1082" s="83" t="s">
        <v>20147</v>
      </c>
      <c r="B1082" s="64" t="s">
        <v>20148</v>
      </c>
      <c r="C1082" s="71" t="s">
        <v>103</v>
      </c>
      <c r="D1082" s="79">
        <v>1</v>
      </c>
      <c r="E1082" s="79">
        <v>699.72</v>
      </c>
      <c r="F1082" s="79">
        <v>699.72</v>
      </c>
      <c r="G1082" s="445"/>
      <c r="H1082" s="178">
        <v>699.7</v>
      </c>
      <c r="I1082" s="178">
        <v>860.63</v>
      </c>
      <c r="J1082" s="70">
        <v>-160.90999999999997</v>
      </c>
      <c r="K1082" s="320"/>
      <c r="L1082" s="178">
        <v>58.629999999999995</v>
      </c>
      <c r="M1082" s="178">
        <v>641.09</v>
      </c>
      <c r="N1082" s="179">
        <v>0</v>
      </c>
      <c r="O1082" s="178">
        <v>699.72</v>
      </c>
      <c r="P1082" s="453"/>
      <c r="Q1082" s="61"/>
      <c r="R1082" s="298"/>
      <c r="S1082" s="669"/>
      <c r="T1082" s="61"/>
      <c r="X1082" s="444">
        <v>1082</v>
      </c>
    </row>
    <row r="1083" spans="1:24" ht="12">
      <c r="A1083" s="83" t="s">
        <v>20149</v>
      </c>
      <c r="B1083" s="64" t="s">
        <v>20150</v>
      </c>
      <c r="C1083" s="71" t="s">
        <v>103</v>
      </c>
      <c r="D1083" s="79">
        <v>1</v>
      </c>
      <c r="E1083" s="79">
        <v>830.93</v>
      </c>
      <c r="F1083" s="79">
        <v>830.93</v>
      </c>
      <c r="G1083" s="445"/>
      <c r="H1083" s="178">
        <v>830.92</v>
      </c>
      <c r="I1083" s="178">
        <v>1022.03</v>
      </c>
      <c r="J1083" s="70">
        <v>-191.10000000000002</v>
      </c>
      <c r="K1083" s="320"/>
      <c r="L1083" s="178">
        <v>58.629999999999995</v>
      </c>
      <c r="M1083" s="178">
        <v>772.3</v>
      </c>
      <c r="N1083" s="179">
        <v>0</v>
      </c>
      <c r="O1083" s="178">
        <v>830.93</v>
      </c>
      <c r="P1083" s="453"/>
      <c r="Q1083" s="61"/>
      <c r="R1083" s="298"/>
      <c r="S1083" s="669"/>
      <c r="X1083" s="444">
        <v>1083</v>
      </c>
    </row>
    <row r="1084" spans="1:24" ht="12">
      <c r="A1084" s="83" t="s">
        <v>20151</v>
      </c>
      <c r="B1084" s="64" t="s">
        <v>20152</v>
      </c>
      <c r="C1084" s="71" t="s">
        <v>103</v>
      </c>
      <c r="D1084" s="79">
        <v>1</v>
      </c>
      <c r="E1084" s="79">
        <v>1429.14</v>
      </c>
      <c r="F1084" s="79">
        <v>1429.14</v>
      </c>
      <c r="G1084" s="445"/>
      <c r="H1084" s="178">
        <v>1429.13</v>
      </c>
      <c r="I1084" s="178">
        <v>1757.83</v>
      </c>
      <c r="J1084" s="70">
        <v>-328.68999999999983</v>
      </c>
      <c r="K1084" s="320"/>
      <c r="L1084" s="178">
        <v>75.44</v>
      </c>
      <c r="M1084" s="178">
        <v>1353.7</v>
      </c>
      <c r="N1084" s="179">
        <v>0</v>
      </c>
      <c r="O1084" s="178">
        <v>1429.14</v>
      </c>
      <c r="P1084" s="453"/>
      <c r="Q1084" s="61"/>
      <c r="R1084" s="298"/>
      <c r="S1084" s="669"/>
      <c r="X1084" s="444">
        <v>1084</v>
      </c>
    </row>
    <row r="1085" spans="1:24" ht="12">
      <c r="A1085" s="83" t="s">
        <v>20153</v>
      </c>
      <c r="B1085" s="64" t="s">
        <v>20154</v>
      </c>
      <c r="C1085" s="71" t="s">
        <v>103</v>
      </c>
      <c r="D1085" s="79">
        <v>1</v>
      </c>
      <c r="E1085" s="79">
        <v>618.69000000000005</v>
      </c>
      <c r="F1085" s="79">
        <v>618.69000000000005</v>
      </c>
      <c r="G1085" s="445"/>
      <c r="H1085" s="178">
        <v>618.66999999999996</v>
      </c>
      <c r="I1085" s="178">
        <v>760.97</v>
      </c>
      <c r="J1085" s="70">
        <v>-142.27999999999997</v>
      </c>
      <c r="K1085" s="320"/>
      <c r="L1085" s="178">
        <v>19.560000000000002</v>
      </c>
      <c r="M1085" s="178">
        <v>599.13000000000011</v>
      </c>
      <c r="N1085" s="179">
        <v>0</v>
      </c>
      <c r="O1085" s="178">
        <v>618.69000000000005</v>
      </c>
      <c r="P1085" s="453"/>
      <c r="Q1085" s="61"/>
      <c r="R1085" s="298"/>
      <c r="S1085" s="669"/>
      <c r="X1085" s="444">
        <v>1085</v>
      </c>
    </row>
    <row r="1086" spans="1:24" ht="12">
      <c r="A1086" s="83" t="s">
        <v>20155</v>
      </c>
      <c r="B1086" s="64" t="s">
        <v>20156</v>
      </c>
      <c r="C1086" s="71" t="s">
        <v>103</v>
      </c>
      <c r="D1086" s="79">
        <v>1</v>
      </c>
      <c r="E1086" s="79">
        <v>609.45000000000005</v>
      </c>
      <c r="F1086" s="79">
        <v>609.45000000000005</v>
      </c>
      <c r="G1086" s="445"/>
      <c r="H1086" s="178">
        <v>609.44000000000005</v>
      </c>
      <c r="I1086" s="178">
        <v>749.61</v>
      </c>
      <c r="J1086" s="70">
        <v>-140.15999999999997</v>
      </c>
      <c r="K1086" s="320"/>
      <c r="L1086" s="178">
        <v>19.560000000000002</v>
      </c>
      <c r="M1086" s="178">
        <v>589.8900000000001</v>
      </c>
      <c r="N1086" s="179">
        <v>0</v>
      </c>
      <c r="O1086" s="178">
        <v>609.45000000000005</v>
      </c>
      <c r="P1086" s="453"/>
      <c r="Q1086" s="61"/>
      <c r="R1086" s="298"/>
      <c r="S1086" s="669"/>
      <c r="X1086" s="444">
        <v>1086</v>
      </c>
    </row>
    <row r="1087" spans="1:24" ht="12">
      <c r="A1087" s="83" t="s">
        <v>20157</v>
      </c>
      <c r="B1087" s="64" t="s">
        <v>20158</v>
      </c>
      <c r="C1087" s="71" t="s">
        <v>103</v>
      </c>
      <c r="D1087" s="79">
        <v>1</v>
      </c>
      <c r="E1087" s="79">
        <v>167.2</v>
      </c>
      <c r="F1087" s="79">
        <v>167.2</v>
      </c>
      <c r="G1087" s="445"/>
      <c r="H1087" s="178">
        <v>167.19</v>
      </c>
      <c r="I1087" s="178">
        <v>205.64</v>
      </c>
      <c r="J1087" s="70">
        <v>-38.44</v>
      </c>
      <c r="K1087" s="320"/>
      <c r="L1087" s="178">
        <v>19.560000000000002</v>
      </c>
      <c r="M1087" s="178">
        <v>147.63999999999999</v>
      </c>
      <c r="N1087" s="179">
        <v>0</v>
      </c>
      <c r="O1087" s="178">
        <v>167.2</v>
      </c>
      <c r="P1087" s="453"/>
      <c r="Q1087" s="61"/>
      <c r="R1087" s="298"/>
      <c r="S1087" s="669"/>
      <c r="X1087" s="444">
        <v>1087</v>
      </c>
    </row>
    <row r="1088" spans="1:24" ht="12">
      <c r="A1088" s="83" t="s">
        <v>20159</v>
      </c>
      <c r="B1088" s="64" t="s">
        <v>20160</v>
      </c>
      <c r="C1088" s="71" t="s">
        <v>103</v>
      </c>
      <c r="D1088" s="79">
        <v>1</v>
      </c>
      <c r="E1088" s="79">
        <v>270.98</v>
      </c>
      <c r="F1088" s="79">
        <v>270.98</v>
      </c>
      <c r="G1088" s="445"/>
      <c r="H1088" s="178">
        <v>270.97000000000003</v>
      </c>
      <c r="I1088" s="178">
        <v>333.29</v>
      </c>
      <c r="J1088" s="70">
        <v>-62.31</v>
      </c>
      <c r="K1088" s="320"/>
      <c r="L1088" s="178">
        <v>19.560000000000002</v>
      </c>
      <c r="M1088" s="178">
        <v>251.42000000000002</v>
      </c>
      <c r="N1088" s="179">
        <v>0</v>
      </c>
      <c r="O1088" s="178">
        <v>270.98</v>
      </c>
      <c r="P1088" s="453"/>
      <c r="Q1088" s="61"/>
      <c r="R1088" s="298"/>
      <c r="S1088" s="669"/>
      <c r="X1088" s="444">
        <v>1088</v>
      </c>
    </row>
    <row r="1089" spans="1:24" ht="12">
      <c r="A1089" s="83" t="s">
        <v>20161</v>
      </c>
      <c r="B1089" s="64" t="s">
        <v>20162</v>
      </c>
      <c r="C1089" s="71" t="s">
        <v>103</v>
      </c>
      <c r="D1089" s="79">
        <v>1</v>
      </c>
      <c r="E1089" s="79">
        <v>196.64000000000001</v>
      </c>
      <c r="F1089" s="79">
        <v>196.64</v>
      </c>
      <c r="G1089" s="445"/>
      <c r="H1089" s="178">
        <v>196.63</v>
      </c>
      <c r="I1089" s="178">
        <v>241.85</v>
      </c>
      <c r="J1089" s="70">
        <v>-45.20999999999998</v>
      </c>
      <c r="K1089" s="320"/>
      <c r="L1089" s="178">
        <v>19.560000000000002</v>
      </c>
      <c r="M1089" s="178">
        <v>177.08</v>
      </c>
      <c r="N1089" s="179">
        <v>0</v>
      </c>
      <c r="O1089" s="178">
        <v>196.64000000000001</v>
      </c>
      <c r="P1089" s="453"/>
      <c r="Q1089" s="61"/>
      <c r="R1089" s="298"/>
      <c r="S1089" s="669"/>
      <c r="X1089" s="444">
        <v>1089</v>
      </c>
    </row>
    <row r="1090" spans="1:24" ht="12">
      <c r="A1090" s="83" t="s">
        <v>20163</v>
      </c>
      <c r="B1090" s="64" t="s">
        <v>20164</v>
      </c>
      <c r="C1090" s="71" t="s">
        <v>103</v>
      </c>
      <c r="D1090" s="79">
        <v>1</v>
      </c>
      <c r="E1090" s="79">
        <v>205.52</v>
      </c>
      <c r="F1090" s="79">
        <v>205.52</v>
      </c>
      <c r="G1090" s="445"/>
      <c r="H1090" s="178">
        <v>205.5</v>
      </c>
      <c r="I1090" s="178">
        <v>252.77</v>
      </c>
      <c r="J1090" s="70">
        <v>-47.25</v>
      </c>
      <c r="K1090" s="320"/>
      <c r="L1090" s="178">
        <v>19.560000000000002</v>
      </c>
      <c r="M1090" s="178">
        <v>185.96</v>
      </c>
      <c r="N1090" s="179">
        <v>0</v>
      </c>
      <c r="O1090" s="178">
        <v>205.52</v>
      </c>
      <c r="P1090" s="453"/>
      <c r="Q1090" s="61"/>
      <c r="R1090" s="298"/>
      <c r="S1090" s="669"/>
      <c r="X1090" s="444">
        <v>1090</v>
      </c>
    </row>
    <row r="1091" spans="1:24" ht="12">
      <c r="A1091" s="83" t="s">
        <v>20165</v>
      </c>
      <c r="B1091" s="64" t="s">
        <v>20166</v>
      </c>
      <c r="C1091" s="71" t="s">
        <v>103</v>
      </c>
      <c r="D1091" s="79">
        <v>1</v>
      </c>
      <c r="E1091" s="79">
        <v>239.85</v>
      </c>
      <c r="F1091" s="79">
        <v>239.85</v>
      </c>
      <c r="G1091" s="445"/>
      <c r="H1091" s="178">
        <v>239.84</v>
      </c>
      <c r="I1091" s="178">
        <v>295</v>
      </c>
      <c r="J1091" s="70">
        <v>-55.150000000000006</v>
      </c>
      <c r="K1091" s="320"/>
      <c r="L1091" s="178">
        <v>19.560000000000002</v>
      </c>
      <c r="M1091" s="178">
        <v>220.29</v>
      </c>
      <c r="N1091" s="179">
        <v>0</v>
      </c>
      <c r="O1091" s="178">
        <v>239.85</v>
      </c>
      <c r="P1091" s="453"/>
      <c r="Q1091" s="61"/>
      <c r="R1091" s="298"/>
      <c r="S1091" s="669"/>
      <c r="X1091" s="444">
        <v>1091</v>
      </c>
    </row>
    <row r="1092" spans="1:24" ht="12">
      <c r="A1092" s="83" t="s">
        <v>20167</v>
      </c>
      <c r="B1092" s="64" t="s">
        <v>20168</v>
      </c>
      <c r="C1092" s="71" t="s">
        <v>103</v>
      </c>
      <c r="D1092" s="79">
        <v>1</v>
      </c>
      <c r="E1092" s="79">
        <v>557.30999999999995</v>
      </c>
      <c r="F1092" s="79">
        <v>557.30999999999995</v>
      </c>
      <c r="G1092" s="445"/>
      <c r="H1092" s="178">
        <v>557.32000000000005</v>
      </c>
      <c r="I1092" s="178">
        <v>685.5</v>
      </c>
      <c r="J1092" s="70">
        <v>-128.19000000000005</v>
      </c>
      <c r="K1092" s="320"/>
      <c r="L1092" s="178">
        <v>22.93</v>
      </c>
      <c r="M1092" s="178">
        <v>534.38</v>
      </c>
      <c r="N1092" s="179">
        <v>0</v>
      </c>
      <c r="O1092" s="178">
        <v>557.30999999999995</v>
      </c>
      <c r="P1092" s="453"/>
      <c r="Q1092" s="61"/>
      <c r="R1092" s="298"/>
      <c r="S1092" s="669"/>
      <c r="X1092" s="444">
        <v>1092</v>
      </c>
    </row>
    <row r="1093" spans="1:24" ht="12">
      <c r="A1093" s="83" t="s">
        <v>20169</v>
      </c>
      <c r="B1093" s="64" t="s">
        <v>20170</v>
      </c>
      <c r="C1093" s="71" t="s">
        <v>103</v>
      </c>
      <c r="D1093" s="79">
        <v>1</v>
      </c>
      <c r="E1093" s="79">
        <v>3104.9</v>
      </c>
      <c r="F1093" s="79">
        <v>3104.9</v>
      </c>
      <c r="G1093" s="445"/>
      <c r="H1093" s="178">
        <v>3104.89</v>
      </c>
      <c r="I1093" s="178">
        <v>3819.01</v>
      </c>
      <c r="J1093" s="70">
        <v>-714.11000000000013</v>
      </c>
      <c r="K1093" s="320"/>
      <c r="L1093" s="178">
        <v>159.48000000000002</v>
      </c>
      <c r="M1093" s="178">
        <v>2945.42</v>
      </c>
      <c r="N1093" s="179">
        <v>0</v>
      </c>
      <c r="O1093" s="178">
        <v>3104.9</v>
      </c>
      <c r="P1093" s="453"/>
      <c r="Q1093" s="61"/>
      <c r="R1093" s="298"/>
      <c r="S1093" s="669"/>
      <c r="X1093" s="444">
        <v>1093</v>
      </c>
    </row>
    <row r="1094" spans="1:24" ht="12">
      <c r="A1094" s="83" t="s">
        <v>20171</v>
      </c>
      <c r="B1094" s="64" t="s">
        <v>20172</v>
      </c>
      <c r="C1094" s="71" t="s">
        <v>103</v>
      </c>
      <c r="D1094" s="79">
        <v>1</v>
      </c>
      <c r="E1094" s="79">
        <v>3010.13</v>
      </c>
      <c r="F1094" s="79">
        <v>3010.13</v>
      </c>
      <c r="G1094" s="445"/>
      <c r="H1094" s="178">
        <v>3010.1</v>
      </c>
      <c r="I1094" s="178">
        <v>3702.42</v>
      </c>
      <c r="J1094" s="70">
        <v>-692.29</v>
      </c>
      <c r="K1094" s="320"/>
      <c r="L1094" s="178">
        <v>1155.8400000000001</v>
      </c>
      <c r="M1094" s="178">
        <v>1854.29</v>
      </c>
      <c r="N1094" s="179">
        <v>0</v>
      </c>
      <c r="O1094" s="178">
        <v>3010.13</v>
      </c>
      <c r="P1094" s="453"/>
      <c r="Q1094" s="61"/>
      <c r="R1094" s="298"/>
      <c r="S1094" s="669"/>
      <c r="X1094" s="444">
        <v>1094</v>
      </c>
    </row>
    <row r="1095" spans="1:24" ht="12">
      <c r="A1095" s="83" t="s">
        <v>20173</v>
      </c>
      <c r="B1095" s="64" t="s">
        <v>20174</v>
      </c>
      <c r="C1095" s="71" t="s">
        <v>103</v>
      </c>
      <c r="D1095" s="79">
        <v>1</v>
      </c>
      <c r="E1095" s="79">
        <v>1718.88</v>
      </c>
      <c r="F1095" s="79">
        <v>1718.88</v>
      </c>
      <c r="G1095" s="445"/>
      <c r="H1095" s="178">
        <v>1718.88</v>
      </c>
      <c r="I1095" s="178">
        <v>2114.2199999999998</v>
      </c>
      <c r="J1095" s="70">
        <v>-395.33999999999969</v>
      </c>
      <c r="K1095" s="320"/>
      <c r="L1095" s="178">
        <v>178.4</v>
      </c>
      <c r="M1095" s="178">
        <v>1540.48</v>
      </c>
      <c r="N1095" s="179">
        <v>0</v>
      </c>
      <c r="O1095" s="178">
        <v>1718.88</v>
      </c>
      <c r="P1095" s="453"/>
      <c r="Q1095" s="61"/>
      <c r="R1095" s="298"/>
      <c r="S1095" s="669"/>
      <c r="X1095" s="444">
        <v>1095</v>
      </c>
    </row>
    <row r="1096" spans="1:24" ht="12">
      <c r="A1096" s="83" t="s">
        <v>20175</v>
      </c>
      <c r="B1096" s="64" t="s">
        <v>20176</v>
      </c>
      <c r="C1096" s="71" t="s">
        <v>103</v>
      </c>
      <c r="D1096" s="79">
        <v>1</v>
      </c>
      <c r="E1096" s="79">
        <v>1913.6200000000001</v>
      </c>
      <c r="F1096" s="79">
        <v>1913.62</v>
      </c>
      <c r="G1096" s="445"/>
      <c r="H1096" s="178">
        <v>1913.62</v>
      </c>
      <c r="I1096" s="178">
        <v>2353.75</v>
      </c>
      <c r="J1096" s="70">
        <v>-440.12999999999988</v>
      </c>
      <c r="K1096" s="320"/>
      <c r="L1096" s="178">
        <v>178.4</v>
      </c>
      <c r="M1096" s="178">
        <v>1735.22</v>
      </c>
      <c r="N1096" s="179">
        <v>0</v>
      </c>
      <c r="O1096" s="178">
        <v>1913.6200000000001</v>
      </c>
      <c r="P1096" s="453"/>
      <c r="Q1096" s="61"/>
      <c r="R1096" s="298"/>
      <c r="S1096" s="669"/>
      <c r="X1096" s="444">
        <v>1096</v>
      </c>
    </row>
    <row r="1097" spans="1:24" ht="12">
      <c r="A1097" s="83" t="s">
        <v>20177</v>
      </c>
      <c r="B1097" s="64" t="s">
        <v>20178</v>
      </c>
      <c r="C1097" s="71" t="s">
        <v>103</v>
      </c>
      <c r="D1097" s="79">
        <v>1</v>
      </c>
      <c r="E1097" s="79">
        <v>2156.1999999999998</v>
      </c>
      <c r="F1097" s="79">
        <v>2156.1999999999998</v>
      </c>
      <c r="G1097" s="445"/>
      <c r="H1097" s="178">
        <v>2156.1999999999998</v>
      </c>
      <c r="I1097" s="178">
        <v>2652.12</v>
      </c>
      <c r="J1097" s="70">
        <v>-495.92000000000007</v>
      </c>
      <c r="K1097" s="320"/>
      <c r="L1097" s="178">
        <v>178.4</v>
      </c>
      <c r="M1097" s="178">
        <v>1977.7999999999997</v>
      </c>
      <c r="N1097" s="179">
        <v>0</v>
      </c>
      <c r="O1097" s="178">
        <v>2156.1999999999998</v>
      </c>
      <c r="P1097" s="453"/>
      <c r="Q1097" s="61"/>
      <c r="R1097" s="298"/>
      <c r="S1097" s="669"/>
      <c r="X1097" s="444">
        <v>1097</v>
      </c>
    </row>
    <row r="1098" spans="1:24" ht="12">
      <c r="A1098" s="83" t="s">
        <v>20179</v>
      </c>
      <c r="B1098" s="64" t="s">
        <v>20180</v>
      </c>
      <c r="C1098" s="71" t="s">
        <v>103</v>
      </c>
      <c r="D1098" s="79">
        <v>1</v>
      </c>
      <c r="E1098" s="79">
        <v>2473.75</v>
      </c>
      <c r="F1098" s="79">
        <v>2473.75</v>
      </c>
      <c r="G1098" s="445"/>
      <c r="H1098" s="178">
        <v>2473.75</v>
      </c>
      <c r="I1098" s="178">
        <v>3042.71</v>
      </c>
      <c r="J1098" s="70">
        <v>-568.96</v>
      </c>
      <c r="K1098" s="320"/>
      <c r="L1098" s="178">
        <v>178.4</v>
      </c>
      <c r="M1098" s="178">
        <v>2295.35</v>
      </c>
      <c r="N1098" s="179">
        <v>0</v>
      </c>
      <c r="O1098" s="178">
        <v>2473.75</v>
      </c>
      <c r="P1098" s="453"/>
      <c r="Q1098" s="61"/>
      <c r="R1098" s="298"/>
      <c r="S1098" s="669"/>
      <c r="X1098" s="444">
        <v>1098</v>
      </c>
    </row>
    <row r="1099" spans="1:24" ht="12">
      <c r="A1099" s="83" t="s">
        <v>20181</v>
      </c>
      <c r="B1099" s="64" t="s">
        <v>20182</v>
      </c>
      <c r="C1099" s="71" t="s">
        <v>103</v>
      </c>
      <c r="D1099" s="79">
        <v>1</v>
      </c>
      <c r="E1099" s="79">
        <v>2785.28</v>
      </c>
      <c r="F1099" s="79">
        <v>2785.28</v>
      </c>
      <c r="G1099" s="445"/>
      <c r="H1099" s="178">
        <v>2785.28</v>
      </c>
      <c r="I1099" s="178">
        <v>3425.89</v>
      </c>
      <c r="J1099" s="70">
        <v>-640.60999999999967</v>
      </c>
      <c r="K1099" s="320"/>
      <c r="L1099" s="178">
        <v>178.4</v>
      </c>
      <c r="M1099" s="178">
        <v>2606.88</v>
      </c>
      <c r="N1099" s="179">
        <v>0</v>
      </c>
      <c r="O1099" s="178">
        <v>2785.28</v>
      </c>
      <c r="P1099" s="453"/>
      <c r="Q1099" s="61"/>
      <c r="R1099" s="298"/>
      <c r="S1099" s="669"/>
      <c r="X1099" s="444">
        <v>1099</v>
      </c>
    </row>
    <row r="1100" spans="1:24" ht="12">
      <c r="A1100" s="83" t="s">
        <v>20183</v>
      </c>
      <c r="B1100" s="64" t="s">
        <v>20184</v>
      </c>
      <c r="C1100" s="71" t="s">
        <v>103</v>
      </c>
      <c r="D1100" s="79">
        <v>1</v>
      </c>
      <c r="E1100" s="79">
        <v>3763.06</v>
      </c>
      <c r="F1100" s="79">
        <v>3763.06</v>
      </c>
      <c r="G1100" s="445"/>
      <c r="H1100" s="178">
        <v>3763.06</v>
      </c>
      <c r="I1100" s="178">
        <v>4628.5600000000004</v>
      </c>
      <c r="J1100" s="70">
        <v>-865.50000000000045</v>
      </c>
      <c r="K1100" s="320"/>
      <c r="L1100" s="178">
        <v>178.4</v>
      </c>
      <c r="M1100" s="178">
        <v>3584.66</v>
      </c>
      <c r="N1100" s="179">
        <v>0</v>
      </c>
      <c r="O1100" s="178">
        <v>3763.06</v>
      </c>
      <c r="P1100" s="453"/>
      <c r="Q1100" s="61"/>
      <c r="R1100" s="298"/>
      <c r="S1100" s="669"/>
      <c r="X1100" s="444">
        <v>1100</v>
      </c>
    </row>
    <row r="1101" spans="1:24" ht="12">
      <c r="A1101" s="83" t="s">
        <v>20185</v>
      </c>
      <c r="B1101" s="64" t="s">
        <v>20186</v>
      </c>
      <c r="C1101" s="71" t="s">
        <v>103</v>
      </c>
      <c r="D1101" s="79">
        <v>1</v>
      </c>
      <c r="E1101" s="79">
        <v>4688.8099999999995</v>
      </c>
      <c r="F1101" s="79">
        <v>4688.8100000000004</v>
      </c>
      <c r="G1101" s="445"/>
      <c r="H1101" s="178">
        <v>4688.8</v>
      </c>
      <c r="I1101" s="178">
        <v>5767.23</v>
      </c>
      <c r="J1101" s="70">
        <v>-1078.42</v>
      </c>
      <c r="K1101" s="320"/>
      <c r="L1101" s="178">
        <v>178.4</v>
      </c>
      <c r="M1101" s="178">
        <v>4510.41</v>
      </c>
      <c r="N1101" s="179">
        <v>0</v>
      </c>
      <c r="O1101" s="178">
        <v>4688.8099999999995</v>
      </c>
      <c r="P1101" s="453"/>
      <c r="Q1101" s="61"/>
      <c r="R1101" s="298"/>
      <c r="S1101" s="669"/>
      <c r="X1101" s="444">
        <v>1101</v>
      </c>
    </row>
    <row r="1102" spans="1:24" ht="12">
      <c r="A1102" s="83" t="s">
        <v>20187</v>
      </c>
      <c r="B1102" s="64" t="s">
        <v>20188</v>
      </c>
      <c r="C1102" s="71" t="s">
        <v>103</v>
      </c>
      <c r="D1102" s="79">
        <v>1</v>
      </c>
      <c r="E1102" s="79">
        <v>5556.3799999999992</v>
      </c>
      <c r="F1102" s="79">
        <v>5556.38</v>
      </c>
      <c r="G1102" s="445"/>
      <c r="H1102" s="178">
        <v>5556.37</v>
      </c>
      <c r="I1102" s="178">
        <v>6834.34</v>
      </c>
      <c r="J1102" s="70">
        <v>-1277.9600000000009</v>
      </c>
      <c r="K1102" s="320"/>
      <c r="L1102" s="178">
        <v>178.4</v>
      </c>
      <c r="M1102" s="178">
        <v>5377.98</v>
      </c>
      <c r="N1102" s="179">
        <v>0</v>
      </c>
      <c r="O1102" s="178">
        <v>5556.3799999999992</v>
      </c>
      <c r="P1102" s="453"/>
      <c r="Q1102" s="61"/>
      <c r="R1102" s="298"/>
      <c r="S1102" s="669"/>
      <c r="X1102" s="444">
        <v>1102</v>
      </c>
    </row>
    <row r="1103" spans="1:24" ht="12">
      <c r="A1103" s="83" t="s">
        <v>20189</v>
      </c>
      <c r="B1103" s="64" t="s">
        <v>20190</v>
      </c>
      <c r="C1103" s="71" t="s">
        <v>103</v>
      </c>
      <c r="D1103" s="79">
        <v>1</v>
      </c>
      <c r="E1103" s="79">
        <v>6824.75</v>
      </c>
      <c r="F1103" s="79">
        <v>6824.75</v>
      </c>
      <c r="G1103" s="445"/>
      <c r="H1103" s="178">
        <v>6824.75</v>
      </c>
      <c r="I1103" s="178">
        <v>8394.44</v>
      </c>
      <c r="J1103" s="70">
        <v>-1569.6900000000005</v>
      </c>
      <c r="K1103" s="320"/>
      <c r="L1103" s="178">
        <v>178.4</v>
      </c>
      <c r="M1103" s="178">
        <v>6646.35</v>
      </c>
      <c r="N1103" s="179">
        <v>0</v>
      </c>
      <c r="O1103" s="178">
        <v>6824.75</v>
      </c>
      <c r="P1103" s="453"/>
      <c r="Q1103" s="61"/>
      <c r="R1103" s="298"/>
      <c r="S1103" s="669"/>
      <c r="X1103" s="444">
        <v>1103</v>
      </c>
    </row>
    <row r="1104" spans="1:24" ht="12">
      <c r="A1104" s="83" t="s">
        <v>20191</v>
      </c>
      <c r="B1104" s="64" t="s">
        <v>20192</v>
      </c>
      <c r="C1104" s="71" t="s">
        <v>103</v>
      </c>
      <c r="D1104" s="79">
        <v>1</v>
      </c>
      <c r="E1104" s="79">
        <v>9734.2899999999991</v>
      </c>
      <c r="F1104" s="79">
        <v>9734.2900000000009</v>
      </c>
      <c r="G1104" s="445"/>
      <c r="H1104" s="178">
        <v>9734.2800000000007</v>
      </c>
      <c r="I1104" s="178">
        <v>11973.17</v>
      </c>
      <c r="J1104" s="70">
        <v>-2238.880000000001</v>
      </c>
      <c r="K1104" s="320"/>
      <c r="L1104" s="178">
        <v>178.4</v>
      </c>
      <c r="M1104" s="178">
        <v>9555.89</v>
      </c>
      <c r="N1104" s="179">
        <v>0</v>
      </c>
      <c r="O1104" s="178">
        <v>9734.2899999999991</v>
      </c>
      <c r="P1104" s="453"/>
      <c r="Q1104" s="61"/>
      <c r="R1104" s="298"/>
      <c r="S1104" s="669"/>
      <c r="X1104" s="444">
        <v>1104</v>
      </c>
    </row>
    <row r="1105" spans="1:24" ht="24">
      <c r="A1105" s="454" t="s">
        <v>20193</v>
      </c>
      <c r="B1105" s="146" t="s">
        <v>20194</v>
      </c>
      <c r="C1105" s="134" t="s">
        <v>103</v>
      </c>
      <c r="D1105" s="79">
        <v>1</v>
      </c>
      <c r="E1105" s="79">
        <v>144.33000000000001</v>
      </c>
      <c r="F1105" s="79">
        <v>144.33000000000001</v>
      </c>
      <c r="G1105" s="445"/>
      <c r="H1105" s="178">
        <v>144.33000000000001</v>
      </c>
      <c r="I1105" s="178">
        <v>177.52</v>
      </c>
      <c r="J1105" s="70">
        <v>-33.19</v>
      </c>
      <c r="K1105" s="320"/>
      <c r="L1105" s="178"/>
      <c r="M1105" s="178">
        <v>144.33000000000001</v>
      </c>
      <c r="N1105" s="179">
        <v>0</v>
      </c>
      <c r="O1105" s="178">
        <v>144.33000000000001</v>
      </c>
      <c r="P1105" s="453"/>
      <c r="Q1105" s="61"/>
      <c r="R1105" s="298"/>
      <c r="S1105" s="669"/>
      <c r="X1105" s="444">
        <v>1105</v>
      </c>
    </row>
    <row r="1106" spans="1:24" ht="12">
      <c r="A1106" s="83" t="s">
        <v>20195</v>
      </c>
      <c r="B1106" s="64" t="s">
        <v>20120</v>
      </c>
      <c r="C1106" s="71" t="s">
        <v>10216</v>
      </c>
      <c r="D1106" s="79">
        <v>1</v>
      </c>
      <c r="E1106" s="79">
        <v>577.26</v>
      </c>
      <c r="F1106" s="79">
        <v>577.26</v>
      </c>
      <c r="G1106" s="445"/>
      <c r="H1106" s="178">
        <v>577.25</v>
      </c>
      <c r="I1106" s="178">
        <v>710.02</v>
      </c>
      <c r="J1106" s="70">
        <v>-132.76</v>
      </c>
      <c r="K1106" s="320"/>
      <c r="L1106" s="178"/>
      <c r="M1106" s="178">
        <v>577.26</v>
      </c>
      <c r="N1106" s="179">
        <v>0</v>
      </c>
      <c r="O1106" s="178">
        <v>577.26</v>
      </c>
      <c r="P1106" s="453"/>
      <c r="Q1106" s="61"/>
      <c r="R1106" s="298"/>
      <c r="S1106" s="669"/>
      <c r="X1106" s="444">
        <v>1106</v>
      </c>
    </row>
    <row r="1107" spans="1:24" ht="12">
      <c r="A1107" s="83" t="s">
        <v>39680</v>
      </c>
      <c r="B1107" s="64" t="s">
        <v>39683</v>
      </c>
      <c r="C1107" s="71"/>
      <c r="D1107" s="79" t="s">
        <v>40899</v>
      </c>
      <c r="E1107" s="79" t="s">
        <v>40899</v>
      </c>
      <c r="F1107" s="79"/>
      <c r="G1107" s="445"/>
      <c r="H1107" s="178"/>
      <c r="I1107" s="178"/>
      <c r="J1107" s="70"/>
      <c r="K1107" s="320"/>
      <c r="L1107" s="178"/>
      <c r="M1107" s="178"/>
      <c r="N1107" s="179"/>
      <c r="O1107" s="178"/>
      <c r="P1107" s="453"/>
      <c r="Q1107" s="61"/>
      <c r="R1107" s="298"/>
      <c r="S1107" s="669"/>
      <c r="X1107" s="444">
        <v>1107</v>
      </c>
    </row>
    <row r="1108" spans="1:24" ht="12">
      <c r="A1108" s="83" t="s">
        <v>20196</v>
      </c>
      <c r="B1108" s="64" t="s">
        <v>39684</v>
      </c>
      <c r="C1108" s="71" t="s">
        <v>165</v>
      </c>
      <c r="D1108" s="79">
        <v>1</v>
      </c>
      <c r="E1108" s="79">
        <v>367.09999999999997</v>
      </c>
      <c r="F1108" s="79">
        <v>367.1</v>
      </c>
      <c r="G1108" s="445"/>
      <c r="H1108" s="178">
        <v>367.11</v>
      </c>
      <c r="I1108" s="178">
        <v>451.55</v>
      </c>
      <c r="J1108" s="70">
        <v>-84.450000000000045</v>
      </c>
      <c r="K1108" s="320"/>
      <c r="L1108" s="178">
        <v>91.72999999999999</v>
      </c>
      <c r="M1108" s="178">
        <v>275.37</v>
      </c>
      <c r="N1108" s="179">
        <v>0</v>
      </c>
      <c r="O1108" s="178">
        <v>367.1</v>
      </c>
      <c r="P1108" s="453"/>
      <c r="Q1108" s="61"/>
      <c r="R1108" s="298"/>
      <c r="S1108" s="669"/>
      <c r="X1108" s="444">
        <v>1108</v>
      </c>
    </row>
    <row r="1109" spans="1:24" ht="12">
      <c r="A1109" s="83" t="s">
        <v>20197</v>
      </c>
      <c r="B1109" s="64" t="s">
        <v>39685</v>
      </c>
      <c r="C1109" s="71" t="s">
        <v>165</v>
      </c>
      <c r="D1109" s="79">
        <v>1</v>
      </c>
      <c r="E1109" s="79">
        <v>513.80999999999995</v>
      </c>
      <c r="F1109" s="79">
        <v>513.80999999999995</v>
      </c>
      <c r="G1109" s="445"/>
      <c r="H1109" s="178">
        <v>513.79999999999995</v>
      </c>
      <c r="I1109" s="178">
        <v>631.98</v>
      </c>
      <c r="J1109" s="70">
        <v>-118.17000000000007</v>
      </c>
      <c r="K1109" s="320"/>
      <c r="L1109" s="178">
        <v>101.94</v>
      </c>
      <c r="M1109" s="178">
        <v>411.86999999999995</v>
      </c>
      <c r="N1109" s="179">
        <v>0</v>
      </c>
      <c r="O1109" s="178">
        <v>513.80999999999995</v>
      </c>
      <c r="P1109" s="453"/>
      <c r="Q1109" s="61"/>
      <c r="R1109" s="298"/>
      <c r="S1109" s="669"/>
      <c r="X1109" s="444">
        <v>1109</v>
      </c>
    </row>
    <row r="1110" spans="1:24" ht="12">
      <c r="A1110" s="83" t="s">
        <v>20198</v>
      </c>
      <c r="B1110" s="64" t="s">
        <v>39686</v>
      </c>
      <c r="C1110" s="71" t="s">
        <v>165</v>
      </c>
      <c r="D1110" s="79">
        <v>1</v>
      </c>
      <c r="E1110" s="79">
        <v>525.91</v>
      </c>
      <c r="F1110" s="79">
        <v>525.91</v>
      </c>
      <c r="G1110" s="445"/>
      <c r="H1110" s="178">
        <v>525.91</v>
      </c>
      <c r="I1110" s="178">
        <v>646.87</v>
      </c>
      <c r="J1110" s="70">
        <v>-120.96000000000004</v>
      </c>
      <c r="K1110" s="320"/>
      <c r="L1110" s="178">
        <v>117.22</v>
      </c>
      <c r="M1110" s="178">
        <v>408.68999999999994</v>
      </c>
      <c r="N1110" s="179">
        <v>0</v>
      </c>
      <c r="O1110" s="178">
        <v>525.91</v>
      </c>
      <c r="P1110" s="453"/>
      <c r="Q1110" s="61"/>
      <c r="R1110" s="298"/>
      <c r="S1110" s="669"/>
      <c r="X1110" s="444">
        <v>1110</v>
      </c>
    </row>
    <row r="1111" spans="1:24" ht="12">
      <c r="A1111" s="83" t="s">
        <v>20199</v>
      </c>
      <c r="B1111" s="64" t="s">
        <v>20200</v>
      </c>
      <c r="C1111" s="71" t="s">
        <v>165</v>
      </c>
      <c r="D1111" s="79">
        <v>1</v>
      </c>
      <c r="E1111" s="79">
        <v>52.870000000000005</v>
      </c>
      <c r="F1111" s="79">
        <v>52.87</v>
      </c>
      <c r="G1111" s="445"/>
      <c r="H1111" s="178">
        <v>52.88</v>
      </c>
      <c r="I1111" s="178">
        <v>65.040000000000006</v>
      </c>
      <c r="J1111" s="70">
        <v>-12.170000000000002</v>
      </c>
      <c r="K1111" s="320"/>
      <c r="L1111" s="178">
        <v>40.76</v>
      </c>
      <c r="M1111" s="178">
        <v>12.110000000000007</v>
      </c>
      <c r="N1111" s="179">
        <v>0</v>
      </c>
      <c r="O1111" s="178">
        <v>52.870000000000005</v>
      </c>
      <c r="P1111" s="453"/>
      <c r="Q1111" s="61"/>
      <c r="R1111" s="298"/>
      <c r="S1111" s="669"/>
      <c r="X1111" s="444">
        <v>1111</v>
      </c>
    </row>
    <row r="1112" spans="1:24" ht="12">
      <c r="A1112" s="83" t="s">
        <v>20201</v>
      </c>
      <c r="B1112" s="64" t="s">
        <v>20202</v>
      </c>
      <c r="C1112" s="71" t="s">
        <v>165</v>
      </c>
      <c r="D1112" s="79">
        <v>1</v>
      </c>
      <c r="E1112" s="79">
        <v>57.209999999999994</v>
      </c>
      <c r="F1112" s="79">
        <v>57.21</v>
      </c>
      <c r="G1112" s="445"/>
      <c r="H1112" s="178">
        <v>57.22</v>
      </c>
      <c r="I1112" s="178">
        <v>70.38</v>
      </c>
      <c r="J1112" s="70">
        <v>-13.170000000000002</v>
      </c>
      <c r="K1112" s="320"/>
      <c r="L1112" s="178">
        <v>40.76</v>
      </c>
      <c r="M1112" s="178">
        <v>16.449999999999996</v>
      </c>
      <c r="N1112" s="179">
        <v>0</v>
      </c>
      <c r="O1112" s="178">
        <v>57.209999999999994</v>
      </c>
      <c r="P1112" s="453"/>
      <c r="Q1112" s="61"/>
      <c r="R1112" s="298"/>
      <c r="S1112" s="669"/>
      <c r="X1112" s="444">
        <v>1112</v>
      </c>
    </row>
    <row r="1113" spans="1:24" ht="12">
      <c r="A1113" s="83" t="s">
        <v>20203</v>
      </c>
      <c r="B1113" s="64" t="s">
        <v>20204</v>
      </c>
      <c r="C1113" s="71" t="s">
        <v>165</v>
      </c>
      <c r="D1113" s="79">
        <v>1</v>
      </c>
      <c r="E1113" s="79">
        <v>71.650000000000006</v>
      </c>
      <c r="F1113" s="79">
        <v>71.650000000000006</v>
      </c>
      <c r="G1113" s="445"/>
      <c r="H1113" s="178">
        <v>71.64</v>
      </c>
      <c r="I1113" s="178">
        <v>88.12</v>
      </c>
      <c r="J1113" s="70">
        <v>-16.47</v>
      </c>
      <c r="K1113" s="320"/>
      <c r="L1113" s="178">
        <v>45.870000000000005</v>
      </c>
      <c r="M1113" s="178">
        <v>25.78</v>
      </c>
      <c r="N1113" s="179">
        <v>0</v>
      </c>
      <c r="O1113" s="178">
        <v>71.650000000000006</v>
      </c>
      <c r="P1113" s="453"/>
      <c r="Q1113" s="61"/>
      <c r="R1113" s="298"/>
      <c r="S1113" s="669"/>
      <c r="X1113" s="444">
        <v>1113</v>
      </c>
    </row>
    <row r="1114" spans="1:24" ht="12">
      <c r="A1114" s="83" t="s">
        <v>20205</v>
      </c>
      <c r="B1114" s="64" t="s">
        <v>20206</v>
      </c>
      <c r="C1114" s="71" t="s">
        <v>165</v>
      </c>
      <c r="D1114" s="79">
        <v>1</v>
      </c>
      <c r="E1114" s="79">
        <v>75.52000000000001</v>
      </c>
      <c r="F1114" s="79">
        <v>75.52</v>
      </c>
      <c r="G1114" s="445"/>
      <c r="H1114" s="178">
        <v>75.510000000000005</v>
      </c>
      <c r="I1114" s="178">
        <v>92.88</v>
      </c>
      <c r="J1114" s="70">
        <v>-17.359999999999985</v>
      </c>
      <c r="K1114" s="320"/>
      <c r="L1114" s="178">
        <v>50.97</v>
      </c>
      <c r="M1114" s="178">
        <v>24.550000000000011</v>
      </c>
      <c r="N1114" s="179">
        <v>0</v>
      </c>
      <c r="O1114" s="178">
        <v>75.52000000000001</v>
      </c>
      <c r="P1114" s="453"/>
      <c r="Q1114" s="61"/>
      <c r="R1114" s="298"/>
      <c r="S1114" s="669"/>
      <c r="X1114" s="444">
        <v>1114</v>
      </c>
    </row>
    <row r="1115" spans="1:24" ht="12">
      <c r="A1115" s="83" t="s">
        <v>20207</v>
      </c>
      <c r="B1115" s="64" t="s">
        <v>20208</v>
      </c>
      <c r="C1115" s="71" t="s">
        <v>165</v>
      </c>
      <c r="D1115" s="79">
        <v>1</v>
      </c>
      <c r="E1115" s="79">
        <v>143.66000000000003</v>
      </c>
      <c r="F1115" s="79">
        <v>143.66</v>
      </c>
      <c r="G1115" s="445"/>
      <c r="H1115" s="178">
        <v>143.65</v>
      </c>
      <c r="I1115" s="178">
        <v>176.69</v>
      </c>
      <c r="J1115" s="70">
        <v>-33.029999999999973</v>
      </c>
      <c r="K1115" s="320"/>
      <c r="L1115" s="178">
        <v>88.960000000000008</v>
      </c>
      <c r="M1115" s="178">
        <v>54.700000000000017</v>
      </c>
      <c r="N1115" s="179">
        <v>0</v>
      </c>
      <c r="O1115" s="178">
        <v>143.66000000000003</v>
      </c>
      <c r="P1115" s="453"/>
      <c r="Q1115" s="61"/>
      <c r="R1115" s="298"/>
      <c r="S1115" s="669"/>
      <c r="X1115" s="444">
        <v>1115</v>
      </c>
    </row>
    <row r="1116" spans="1:24" ht="12">
      <c r="A1116" s="83" t="s">
        <v>20209</v>
      </c>
      <c r="B1116" s="64" t="s">
        <v>20210</v>
      </c>
      <c r="C1116" s="71" t="s">
        <v>165</v>
      </c>
      <c r="D1116" s="79">
        <v>1</v>
      </c>
      <c r="E1116" s="79">
        <v>157.29</v>
      </c>
      <c r="F1116" s="79">
        <v>157.29</v>
      </c>
      <c r="G1116" s="445"/>
      <c r="H1116" s="178">
        <v>157.28</v>
      </c>
      <c r="I1116" s="178">
        <v>193.46</v>
      </c>
      <c r="J1116" s="70">
        <v>-36.170000000000016</v>
      </c>
      <c r="K1116" s="320"/>
      <c r="L1116" s="178">
        <v>76.460000000000008</v>
      </c>
      <c r="M1116" s="178">
        <v>80.829999999999984</v>
      </c>
      <c r="N1116" s="179">
        <v>0</v>
      </c>
      <c r="O1116" s="178">
        <v>157.29</v>
      </c>
      <c r="P1116" s="453"/>
      <c r="Q1116" s="61"/>
      <c r="R1116" s="298"/>
      <c r="S1116" s="669"/>
      <c r="X1116" s="444">
        <v>1116</v>
      </c>
    </row>
    <row r="1117" spans="1:24" ht="12">
      <c r="A1117" s="83" t="s">
        <v>20211</v>
      </c>
      <c r="B1117" s="64" t="s">
        <v>20212</v>
      </c>
      <c r="C1117" s="71" t="s">
        <v>165</v>
      </c>
      <c r="D1117" s="79">
        <v>1</v>
      </c>
      <c r="E1117" s="79">
        <v>55.07</v>
      </c>
      <c r="F1117" s="79">
        <v>55.07</v>
      </c>
      <c r="G1117" s="445"/>
      <c r="H1117" s="178">
        <v>55.08</v>
      </c>
      <c r="I1117" s="178">
        <v>67.75</v>
      </c>
      <c r="J1117" s="70">
        <v>-12.68</v>
      </c>
      <c r="K1117" s="320"/>
      <c r="L1117" s="178">
        <v>40.76</v>
      </c>
      <c r="M1117" s="178">
        <v>14.310000000000002</v>
      </c>
      <c r="N1117" s="179">
        <v>0</v>
      </c>
      <c r="O1117" s="178">
        <v>55.07</v>
      </c>
      <c r="P1117" s="453"/>
      <c r="Q1117" s="61"/>
      <c r="R1117" s="298"/>
      <c r="S1117" s="669"/>
      <c r="X1117" s="444">
        <v>1117</v>
      </c>
    </row>
    <row r="1118" spans="1:24" ht="12">
      <c r="A1118" s="83" t="s">
        <v>20213</v>
      </c>
      <c r="B1118" s="64" t="s">
        <v>20214</v>
      </c>
      <c r="C1118" s="71" t="s">
        <v>165</v>
      </c>
      <c r="D1118" s="79">
        <v>1</v>
      </c>
      <c r="E1118" s="79">
        <v>58.82</v>
      </c>
      <c r="F1118" s="79">
        <v>58.82</v>
      </c>
      <c r="G1118" s="445"/>
      <c r="H1118" s="178">
        <v>58.83</v>
      </c>
      <c r="I1118" s="178">
        <v>72.36</v>
      </c>
      <c r="J1118" s="70">
        <v>-13.54</v>
      </c>
      <c r="K1118" s="320"/>
      <c r="L1118" s="178">
        <v>40.76</v>
      </c>
      <c r="M1118" s="178">
        <v>18.060000000000002</v>
      </c>
      <c r="N1118" s="179">
        <v>0</v>
      </c>
      <c r="O1118" s="178">
        <v>58.82</v>
      </c>
      <c r="P1118" s="453"/>
      <c r="Q1118" s="61"/>
      <c r="R1118" s="298"/>
      <c r="S1118" s="669"/>
      <c r="X1118" s="444">
        <v>1118</v>
      </c>
    </row>
    <row r="1119" spans="1:24" ht="12">
      <c r="A1119" s="83" t="s">
        <v>20215</v>
      </c>
      <c r="B1119" s="64" t="s">
        <v>20216</v>
      </c>
      <c r="C1119" s="71" t="s">
        <v>165</v>
      </c>
      <c r="D1119" s="79">
        <v>1</v>
      </c>
      <c r="E1119" s="79">
        <v>76.84</v>
      </c>
      <c r="F1119" s="79">
        <v>76.84</v>
      </c>
      <c r="G1119" s="445"/>
      <c r="H1119" s="178">
        <v>76.84</v>
      </c>
      <c r="I1119" s="178">
        <v>94.51</v>
      </c>
      <c r="J1119" s="70">
        <v>-17.670000000000002</v>
      </c>
      <c r="K1119" s="320"/>
      <c r="L1119" s="178">
        <v>45.870000000000005</v>
      </c>
      <c r="M1119" s="178">
        <v>30.97</v>
      </c>
      <c r="N1119" s="179">
        <v>0</v>
      </c>
      <c r="O1119" s="178">
        <v>76.84</v>
      </c>
      <c r="P1119" s="453"/>
      <c r="Q1119" s="61"/>
      <c r="R1119" s="298"/>
      <c r="S1119" s="669"/>
      <c r="X1119" s="444">
        <v>1119</v>
      </c>
    </row>
    <row r="1120" spans="1:24" ht="12">
      <c r="A1120" s="83" t="s">
        <v>20217</v>
      </c>
      <c r="B1120" s="64" t="s">
        <v>20218</v>
      </c>
      <c r="C1120" s="71" t="s">
        <v>165</v>
      </c>
      <c r="D1120" s="79">
        <v>1</v>
      </c>
      <c r="E1120" s="79">
        <v>96.39</v>
      </c>
      <c r="F1120" s="79">
        <v>96.39</v>
      </c>
      <c r="G1120" s="445"/>
      <c r="H1120" s="178">
        <v>96.38</v>
      </c>
      <c r="I1120" s="178">
        <v>118.55</v>
      </c>
      <c r="J1120" s="70">
        <v>-22.159999999999997</v>
      </c>
      <c r="K1120" s="320"/>
      <c r="L1120" s="178">
        <v>50.97</v>
      </c>
      <c r="M1120" s="178">
        <v>45.42</v>
      </c>
      <c r="N1120" s="179">
        <v>0</v>
      </c>
      <c r="O1120" s="178">
        <v>96.39</v>
      </c>
      <c r="P1120" s="453"/>
      <c r="Q1120" s="61"/>
      <c r="R1120" s="298"/>
      <c r="S1120" s="669"/>
      <c r="X1120" s="444">
        <v>1120</v>
      </c>
    </row>
    <row r="1121" spans="1:32" ht="12">
      <c r="A1121" s="83" t="s">
        <v>20219</v>
      </c>
      <c r="B1121" s="64" t="s">
        <v>20220</v>
      </c>
      <c r="C1121" s="71" t="s">
        <v>165</v>
      </c>
      <c r="D1121" s="79">
        <v>1</v>
      </c>
      <c r="E1121" s="79">
        <v>143.32999999999998</v>
      </c>
      <c r="F1121" s="79">
        <v>143.33000000000001</v>
      </c>
      <c r="G1121" s="445"/>
      <c r="H1121" s="178">
        <v>143.32</v>
      </c>
      <c r="I1121" s="178">
        <v>176.28</v>
      </c>
      <c r="J1121" s="70">
        <v>-32.950000000000017</v>
      </c>
      <c r="K1121" s="320"/>
      <c r="L1121" s="178">
        <v>61.18</v>
      </c>
      <c r="M1121" s="178">
        <v>82.149999999999977</v>
      </c>
      <c r="N1121" s="179">
        <v>0</v>
      </c>
      <c r="O1121" s="178">
        <v>143.32999999999998</v>
      </c>
      <c r="P1121" s="453"/>
      <c r="Q1121" s="61"/>
      <c r="R1121" s="298"/>
      <c r="S1121" s="669"/>
      <c r="X1121" s="444">
        <v>1121</v>
      </c>
    </row>
    <row r="1122" spans="1:32" ht="12">
      <c r="A1122" s="83" t="s">
        <v>20221</v>
      </c>
      <c r="B1122" s="64" t="s">
        <v>20222</v>
      </c>
      <c r="C1122" s="71" t="s">
        <v>10216</v>
      </c>
      <c r="D1122" s="79">
        <v>1</v>
      </c>
      <c r="E1122" s="79">
        <v>577.26</v>
      </c>
      <c r="F1122" s="79">
        <v>577.26</v>
      </c>
      <c r="G1122" s="445"/>
      <c r="H1122" s="178">
        <v>577.25</v>
      </c>
      <c r="I1122" s="178">
        <v>710.02</v>
      </c>
      <c r="J1122" s="70">
        <v>-132.76</v>
      </c>
      <c r="K1122" s="320"/>
      <c r="L1122" s="178"/>
      <c r="M1122" s="178">
        <v>577.26</v>
      </c>
      <c r="N1122" s="179">
        <v>0</v>
      </c>
      <c r="O1122" s="178">
        <v>577.26</v>
      </c>
      <c r="P1122" s="453"/>
      <c r="Q1122" s="61"/>
      <c r="R1122" s="298"/>
      <c r="S1122" s="669"/>
      <c r="X1122" s="444">
        <v>1122</v>
      </c>
    </row>
    <row r="1123" spans="1:32" ht="12">
      <c r="A1123" s="83" t="s">
        <v>11618</v>
      </c>
      <c r="B1123" s="64" t="s">
        <v>39687</v>
      </c>
      <c r="C1123" s="71"/>
      <c r="D1123" s="79" t="s">
        <v>40899</v>
      </c>
      <c r="E1123" s="79" t="s">
        <v>40899</v>
      </c>
      <c r="F1123" s="79"/>
      <c r="G1123" s="445"/>
      <c r="H1123" s="178"/>
      <c r="I1123" s="178"/>
      <c r="J1123" s="70"/>
      <c r="K1123" s="320"/>
      <c r="L1123" s="178"/>
      <c r="M1123" s="178"/>
      <c r="N1123" s="179"/>
      <c r="O1123" s="178"/>
      <c r="P1123" s="453"/>
      <c r="Q1123" s="61"/>
      <c r="R1123" s="298"/>
      <c r="S1123" s="669"/>
      <c r="X1123" s="444">
        <v>1123</v>
      </c>
    </row>
    <row r="1124" spans="1:32" ht="12">
      <c r="A1124" s="83" t="s">
        <v>20223</v>
      </c>
      <c r="B1124" s="64" t="s">
        <v>20224</v>
      </c>
      <c r="C1124" s="71" t="s">
        <v>103</v>
      </c>
      <c r="D1124" s="79">
        <v>1</v>
      </c>
      <c r="E1124" s="79">
        <v>83.14</v>
      </c>
      <c r="F1124" s="79">
        <v>83.14</v>
      </c>
      <c r="G1124" s="445"/>
      <c r="H1124" s="178">
        <v>83.15</v>
      </c>
      <c r="I1124" s="178">
        <v>102.27</v>
      </c>
      <c r="J1124" s="70">
        <v>-19.129999999999995</v>
      </c>
      <c r="K1124" s="320"/>
      <c r="L1124" s="178">
        <v>20.38</v>
      </c>
      <c r="M1124" s="178">
        <v>62.760000000000005</v>
      </c>
      <c r="N1124" s="179">
        <v>0</v>
      </c>
      <c r="O1124" s="178">
        <v>83.14</v>
      </c>
      <c r="P1124" s="453"/>
      <c r="Q1124" s="61"/>
      <c r="R1124" s="298"/>
      <c r="S1124" s="669"/>
      <c r="X1124" s="444">
        <v>1124</v>
      </c>
    </row>
    <row r="1125" spans="1:32" ht="12">
      <c r="A1125" s="83" t="s">
        <v>20225</v>
      </c>
      <c r="B1125" s="64" t="s">
        <v>20226</v>
      </c>
      <c r="C1125" s="71" t="s">
        <v>103</v>
      </c>
      <c r="D1125" s="79">
        <v>1</v>
      </c>
      <c r="E1125" s="79">
        <v>87.19</v>
      </c>
      <c r="F1125" s="79">
        <v>87.19</v>
      </c>
      <c r="G1125" s="445"/>
      <c r="H1125" s="178">
        <v>87.2</v>
      </c>
      <c r="I1125" s="178">
        <v>107.25</v>
      </c>
      <c r="J1125" s="70">
        <v>-20.060000000000002</v>
      </c>
      <c r="K1125" s="320"/>
      <c r="L1125" s="178">
        <v>20.38</v>
      </c>
      <c r="M1125" s="178">
        <v>66.81</v>
      </c>
      <c r="N1125" s="179">
        <v>0</v>
      </c>
      <c r="O1125" s="178">
        <v>87.19</v>
      </c>
      <c r="P1125" s="453"/>
      <c r="Q1125" s="61"/>
      <c r="R1125" s="298"/>
      <c r="S1125" s="669"/>
      <c r="X1125" s="444">
        <v>1125</v>
      </c>
    </row>
    <row r="1126" spans="1:32" ht="12">
      <c r="A1126" s="83" t="s">
        <v>20227</v>
      </c>
      <c r="B1126" s="64" t="s">
        <v>20228</v>
      </c>
      <c r="C1126" s="71" t="s">
        <v>103</v>
      </c>
      <c r="D1126" s="79">
        <v>1</v>
      </c>
      <c r="E1126" s="79">
        <v>120.06</v>
      </c>
      <c r="F1126" s="79">
        <v>120.06</v>
      </c>
      <c r="G1126" s="445"/>
      <c r="H1126" s="178">
        <v>120.07</v>
      </c>
      <c r="I1126" s="178">
        <v>147.68</v>
      </c>
      <c r="J1126" s="70">
        <v>-27.620000000000005</v>
      </c>
      <c r="K1126" s="320"/>
      <c r="L1126" s="178">
        <v>20.38</v>
      </c>
      <c r="M1126" s="178">
        <v>99.68</v>
      </c>
      <c r="N1126" s="179">
        <v>0</v>
      </c>
      <c r="O1126" s="178">
        <v>120.06</v>
      </c>
      <c r="P1126" s="453"/>
      <c r="Q1126" s="61"/>
      <c r="R1126" s="298"/>
      <c r="S1126" s="669"/>
      <c r="X1126" s="444">
        <v>1126</v>
      </c>
    </row>
    <row r="1127" spans="1:32" ht="24">
      <c r="A1127" s="83" t="s">
        <v>20229</v>
      </c>
      <c r="B1127" s="64" t="s">
        <v>20230</v>
      </c>
      <c r="C1127" s="71" t="s">
        <v>103</v>
      </c>
      <c r="D1127" s="79">
        <v>1</v>
      </c>
      <c r="E1127" s="79">
        <v>62.25</v>
      </c>
      <c r="F1127" s="79">
        <v>62.25</v>
      </c>
      <c r="G1127" s="445"/>
      <c r="H1127" s="178">
        <v>62.25</v>
      </c>
      <c r="I1127" s="178">
        <v>76.569999999999993</v>
      </c>
      <c r="J1127" s="70">
        <v>-14.319999999999993</v>
      </c>
      <c r="K1127" s="320"/>
      <c r="L1127" s="178">
        <v>20.38</v>
      </c>
      <c r="M1127" s="178">
        <v>41.870000000000005</v>
      </c>
      <c r="N1127" s="179">
        <v>0</v>
      </c>
      <c r="O1127" s="178">
        <v>62.25</v>
      </c>
      <c r="P1127" s="453"/>
      <c r="Q1127" s="61"/>
      <c r="R1127" s="298"/>
      <c r="S1127" s="669"/>
      <c r="X1127" s="444">
        <v>1127</v>
      </c>
    </row>
    <row r="1128" spans="1:32" ht="24">
      <c r="A1128" s="83" t="s">
        <v>20231</v>
      </c>
      <c r="B1128" s="64" t="s">
        <v>20232</v>
      </c>
      <c r="C1128" s="71" t="s">
        <v>103</v>
      </c>
      <c r="D1128" s="79">
        <v>1</v>
      </c>
      <c r="E1128" s="79">
        <v>82.66</v>
      </c>
      <c r="F1128" s="79">
        <v>82.66</v>
      </c>
      <c r="G1128" s="445"/>
      <c r="H1128" s="178">
        <v>82.67</v>
      </c>
      <c r="I1128" s="178">
        <v>101.68</v>
      </c>
      <c r="J1128" s="70">
        <v>-19.02000000000001</v>
      </c>
      <c r="K1128" s="320"/>
      <c r="L1128" s="178">
        <v>20.38</v>
      </c>
      <c r="M1128" s="178">
        <v>62.28</v>
      </c>
      <c r="N1128" s="179">
        <v>0</v>
      </c>
      <c r="O1128" s="178">
        <v>82.66</v>
      </c>
      <c r="P1128" s="453"/>
      <c r="Q1128" s="61"/>
      <c r="R1128" s="298"/>
      <c r="S1128" s="669"/>
      <c r="T1128" s="73"/>
      <c r="X1128" s="444">
        <v>1128</v>
      </c>
    </row>
    <row r="1129" spans="1:32" ht="12">
      <c r="A1129" s="83" t="s">
        <v>20233</v>
      </c>
      <c r="B1129" s="64" t="s">
        <v>20234</v>
      </c>
      <c r="C1129" s="71" t="s">
        <v>103</v>
      </c>
      <c r="D1129" s="79">
        <v>1</v>
      </c>
      <c r="E1129" s="79">
        <v>68.2</v>
      </c>
      <c r="F1129" s="79">
        <v>68.2</v>
      </c>
      <c r="G1129" s="445"/>
      <c r="H1129" s="178">
        <v>68.2</v>
      </c>
      <c r="I1129" s="178">
        <v>83.89</v>
      </c>
      <c r="J1129" s="70">
        <v>-15.689999999999998</v>
      </c>
      <c r="K1129" s="320"/>
      <c r="L1129" s="178">
        <v>20.38</v>
      </c>
      <c r="M1129" s="178">
        <v>47.820000000000007</v>
      </c>
      <c r="N1129" s="179">
        <v>0</v>
      </c>
      <c r="O1129" s="178">
        <v>68.2</v>
      </c>
      <c r="P1129" s="453"/>
      <c r="Q1129" s="61"/>
      <c r="R1129" s="298"/>
      <c r="S1129" s="669"/>
      <c r="X1129" s="444">
        <v>1129</v>
      </c>
    </row>
    <row r="1130" spans="1:32" ht="12">
      <c r="A1130" s="83" t="s">
        <v>20235</v>
      </c>
      <c r="B1130" s="64" t="s">
        <v>20236</v>
      </c>
      <c r="C1130" s="71" t="s">
        <v>103</v>
      </c>
      <c r="D1130" s="79">
        <v>1</v>
      </c>
      <c r="E1130" s="79">
        <v>112.72999999999999</v>
      </c>
      <c r="F1130" s="79">
        <v>112.73</v>
      </c>
      <c r="G1130" s="445"/>
      <c r="H1130" s="178">
        <v>112.73</v>
      </c>
      <c r="I1130" s="178">
        <v>138.66</v>
      </c>
      <c r="J1130" s="70">
        <v>-25.930000000000007</v>
      </c>
      <c r="K1130" s="320"/>
      <c r="L1130" s="178"/>
      <c r="M1130" s="178">
        <v>112.72999999999999</v>
      </c>
      <c r="N1130" s="179">
        <v>0</v>
      </c>
      <c r="O1130" s="178">
        <v>112.72999999999999</v>
      </c>
      <c r="P1130" s="453"/>
      <c r="Q1130" s="61"/>
      <c r="R1130" s="298"/>
      <c r="S1130" s="669"/>
      <c r="U1130" s="69"/>
      <c r="V1130" s="69"/>
      <c r="W1130" s="69"/>
      <c r="X1130" s="444">
        <v>1130</v>
      </c>
      <c r="Y1130" s="69"/>
      <c r="Z1130" s="69"/>
      <c r="AA1130" s="69"/>
      <c r="AB1130" s="69"/>
      <c r="AC1130" s="69"/>
      <c r="AD1130" s="69"/>
      <c r="AE1130" s="69"/>
      <c r="AF1130" s="69"/>
    </row>
    <row r="1131" spans="1:32" ht="12">
      <c r="A1131" s="83" t="s">
        <v>20237</v>
      </c>
      <c r="B1131" s="64" t="s">
        <v>10035</v>
      </c>
      <c r="C1131" s="71" t="s">
        <v>103</v>
      </c>
      <c r="D1131" s="79">
        <v>1</v>
      </c>
      <c r="E1131" s="79">
        <v>95.47999999999999</v>
      </c>
      <c r="F1131" s="79">
        <v>95.48</v>
      </c>
      <c r="G1131" s="445"/>
      <c r="H1131" s="178">
        <v>95.49</v>
      </c>
      <c r="I1131" s="178">
        <v>117.45</v>
      </c>
      <c r="J1131" s="70">
        <v>-21.970000000000013</v>
      </c>
      <c r="K1131" s="320"/>
      <c r="L1131" s="178">
        <v>71.349999999999994</v>
      </c>
      <c r="M1131" s="178">
        <v>24.129999999999995</v>
      </c>
      <c r="N1131" s="179">
        <v>0</v>
      </c>
      <c r="O1131" s="178">
        <v>95.47999999999999</v>
      </c>
      <c r="P1131" s="453"/>
      <c r="Q1131" s="61"/>
      <c r="R1131" s="298"/>
      <c r="S1131" s="669"/>
      <c r="X1131" s="444">
        <v>1131</v>
      </c>
    </row>
    <row r="1132" spans="1:32" ht="12">
      <c r="A1132" s="83" t="s">
        <v>20238</v>
      </c>
      <c r="B1132" s="64" t="s">
        <v>20239</v>
      </c>
      <c r="C1132" s="71" t="s">
        <v>103</v>
      </c>
      <c r="D1132" s="79">
        <v>1</v>
      </c>
      <c r="E1132" s="79">
        <v>634.73</v>
      </c>
      <c r="F1132" s="79">
        <v>634.73</v>
      </c>
      <c r="G1132" s="445"/>
      <c r="H1132" s="178">
        <v>634.73</v>
      </c>
      <c r="I1132" s="178">
        <v>780.72</v>
      </c>
      <c r="J1132" s="70">
        <v>-145.99</v>
      </c>
      <c r="K1132" s="320"/>
      <c r="L1132" s="178">
        <v>71.349999999999994</v>
      </c>
      <c r="M1132" s="178">
        <v>563.38</v>
      </c>
      <c r="N1132" s="179">
        <v>0</v>
      </c>
      <c r="O1132" s="178">
        <v>634.73</v>
      </c>
      <c r="P1132" s="453"/>
      <c r="Q1132" s="61"/>
      <c r="R1132" s="298"/>
      <c r="S1132" s="669"/>
      <c r="X1132" s="444">
        <v>1132</v>
      </c>
    </row>
    <row r="1133" spans="1:32" ht="12">
      <c r="A1133" s="83" t="s">
        <v>20240</v>
      </c>
      <c r="B1133" s="64" t="s">
        <v>10027</v>
      </c>
      <c r="C1133" s="71" t="s">
        <v>103</v>
      </c>
      <c r="D1133" s="79">
        <v>1</v>
      </c>
      <c r="E1133" s="79">
        <v>93.81</v>
      </c>
      <c r="F1133" s="79">
        <v>93.81</v>
      </c>
      <c r="G1133" s="445"/>
      <c r="H1133" s="178">
        <v>93.81</v>
      </c>
      <c r="I1133" s="178">
        <v>115.39</v>
      </c>
      <c r="J1133" s="70">
        <v>-21.58</v>
      </c>
      <c r="K1133" s="320"/>
      <c r="L1133" s="178">
        <v>71.349999999999994</v>
      </c>
      <c r="M1133" s="178">
        <v>22.460000000000008</v>
      </c>
      <c r="N1133" s="179">
        <v>0</v>
      </c>
      <c r="O1133" s="178">
        <v>93.81</v>
      </c>
      <c r="P1133" s="453"/>
      <c r="Q1133" s="61"/>
      <c r="R1133" s="298"/>
      <c r="S1133" s="669"/>
      <c r="X1133" s="444">
        <v>1133</v>
      </c>
    </row>
    <row r="1134" spans="1:32" ht="12">
      <c r="A1134" s="83" t="s">
        <v>20241</v>
      </c>
      <c r="B1134" s="64" t="s">
        <v>20242</v>
      </c>
      <c r="C1134" s="71" t="s">
        <v>103</v>
      </c>
      <c r="D1134" s="79">
        <v>1</v>
      </c>
      <c r="E1134" s="79">
        <v>252.13</v>
      </c>
      <c r="F1134" s="79">
        <v>252.13</v>
      </c>
      <c r="G1134" s="445"/>
      <c r="H1134" s="178">
        <v>252.14</v>
      </c>
      <c r="I1134" s="178">
        <v>310.13</v>
      </c>
      <c r="J1134" s="70">
        <v>-58</v>
      </c>
      <c r="K1134" s="320"/>
      <c r="L1134" s="178">
        <v>71.349999999999994</v>
      </c>
      <c r="M1134" s="178">
        <v>180.78</v>
      </c>
      <c r="N1134" s="179">
        <v>0</v>
      </c>
      <c r="O1134" s="178">
        <v>252.13</v>
      </c>
      <c r="P1134" s="453"/>
      <c r="Q1134" s="61"/>
      <c r="R1134" s="298"/>
      <c r="S1134" s="669"/>
      <c r="X1134" s="444">
        <v>1134</v>
      </c>
    </row>
    <row r="1135" spans="1:32" ht="12">
      <c r="A1135" s="83" t="s">
        <v>20243</v>
      </c>
      <c r="B1135" s="64" t="s">
        <v>20244</v>
      </c>
      <c r="C1135" s="71" t="s">
        <v>103</v>
      </c>
      <c r="D1135" s="79">
        <v>1</v>
      </c>
      <c r="E1135" s="79">
        <v>17.77</v>
      </c>
      <c r="F1135" s="79">
        <v>17.77</v>
      </c>
      <c r="G1135" s="445"/>
      <c r="H1135" s="178">
        <v>17.760000000000002</v>
      </c>
      <c r="I1135" s="178">
        <v>21.85</v>
      </c>
      <c r="J1135" s="70">
        <v>-4.0800000000000018</v>
      </c>
      <c r="K1135" s="320"/>
      <c r="L1135" s="178">
        <v>5.59</v>
      </c>
      <c r="M1135" s="178">
        <v>12.18</v>
      </c>
      <c r="N1135" s="179">
        <v>0</v>
      </c>
      <c r="O1135" s="178">
        <v>17.77</v>
      </c>
      <c r="P1135" s="453"/>
      <c r="Q1135" s="61"/>
      <c r="R1135" s="298"/>
      <c r="S1135" s="669"/>
      <c r="X1135" s="444">
        <v>1135</v>
      </c>
    </row>
    <row r="1136" spans="1:32" ht="12">
      <c r="A1136" s="83" t="s">
        <v>20245</v>
      </c>
      <c r="B1136" s="64" t="s">
        <v>20246</v>
      </c>
      <c r="C1136" s="71" t="s">
        <v>103</v>
      </c>
      <c r="D1136" s="79">
        <v>1</v>
      </c>
      <c r="E1136" s="79">
        <v>32.83</v>
      </c>
      <c r="F1136" s="79">
        <v>32.83</v>
      </c>
      <c r="G1136" s="445"/>
      <c r="H1136" s="178">
        <v>32.82</v>
      </c>
      <c r="I1136" s="178">
        <v>40.369999999999997</v>
      </c>
      <c r="J1136" s="70">
        <v>-7.5399999999999991</v>
      </c>
      <c r="K1136" s="320"/>
      <c r="L1136" s="178">
        <v>5.59</v>
      </c>
      <c r="M1136" s="178">
        <v>27.24</v>
      </c>
      <c r="N1136" s="179">
        <v>0</v>
      </c>
      <c r="O1136" s="178">
        <v>32.83</v>
      </c>
      <c r="P1136" s="453"/>
      <c r="Q1136" s="61"/>
      <c r="R1136" s="298"/>
      <c r="S1136" s="669"/>
      <c r="X1136" s="444">
        <v>1136</v>
      </c>
    </row>
    <row r="1137" spans="1:32" ht="12">
      <c r="A1137" s="83" t="s">
        <v>20247</v>
      </c>
      <c r="B1137" s="64" t="s">
        <v>20248</v>
      </c>
      <c r="C1137" s="71" t="s">
        <v>103</v>
      </c>
      <c r="D1137" s="79">
        <v>1</v>
      </c>
      <c r="E1137" s="79">
        <v>36.97</v>
      </c>
      <c r="F1137" s="79">
        <v>36.97</v>
      </c>
      <c r="G1137" s="445"/>
      <c r="H1137" s="178">
        <v>36.96</v>
      </c>
      <c r="I1137" s="178">
        <v>45.46</v>
      </c>
      <c r="J1137" s="70">
        <v>-8.490000000000002</v>
      </c>
      <c r="K1137" s="320"/>
      <c r="L1137" s="178">
        <v>5.59</v>
      </c>
      <c r="M1137" s="178">
        <v>31.38</v>
      </c>
      <c r="N1137" s="179">
        <v>0</v>
      </c>
      <c r="O1137" s="178">
        <v>36.97</v>
      </c>
      <c r="P1137" s="453"/>
      <c r="Q1137" s="61"/>
      <c r="R1137" s="298"/>
      <c r="S1137" s="669"/>
      <c r="X1137" s="444">
        <v>1137</v>
      </c>
    </row>
    <row r="1138" spans="1:32" ht="12">
      <c r="A1138" s="83" t="s">
        <v>20249</v>
      </c>
      <c r="B1138" s="64" t="s">
        <v>20222</v>
      </c>
      <c r="C1138" s="71" t="s">
        <v>10216</v>
      </c>
      <c r="D1138" s="79">
        <v>1</v>
      </c>
      <c r="E1138" s="79">
        <v>577.26</v>
      </c>
      <c r="F1138" s="79">
        <v>577.26</v>
      </c>
      <c r="G1138" s="445"/>
      <c r="H1138" s="178">
        <v>577.25</v>
      </c>
      <c r="I1138" s="178">
        <v>710.02</v>
      </c>
      <c r="J1138" s="70">
        <v>-132.76</v>
      </c>
      <c r="K1138" s="320"/>
      <c r="L1138" s="178"/>
      <c r="M1138" s="178">
        <v>577.26</v>
      </c>
      <c r="N1138" s="179">
        <v>0</v>
      </c>
      <c r="O1138" s="178">
        <v>577.26</v>
      </c>
      <c r="P1138" s="453"/>
      <c r="Q1138" s="61"/>
      <c r="R1138" s="298"/>
      <c r="S1138" s="669"/>
      <c r="X1138" s="444">
        <v>1138</v>
      </c>
    </row>
    <row r="1139" spans="1:32" ht="12">
      <c r="A1139" s="83" t="s">
        <v>39688</v>
      </c>
      <c r="B1139" s="64" t="s">
        <v>39689</v>
      </c>
      <c r="C1139" s="71"/>
      <c r="D1139" s="79" t="s">
        <v>40899</v>
      </c>
      <c r="E1139" s="79" t="s">
        <v>40899</v>
      </c>
      <c r="F1139" s="79"/>
      <c r="G1139" s="445"/>
      <c r="H1139" s="178"/>
      <c r="I1139" s="178"/>
      <c r="J1139" s="70"/>
      <c r="K1139" s="320"/>
      <c r="L1139" s="178"/>
      <c r="M1139" s="178"/>
      <c r="N1139" s="179"/>
      <c r="O1139" s="178"/>
      <c r="P1139" s="453"/>
      <c r="Q1139" s="61"/>
      <c r="R1139" s="298"/>
      <c r="S1139" s="669"/>
      <c r="X1139" s="444">
        <v>1139</v>
      </c>
    </row>
    <row r="1140" spans="1:32" ht="12">
      <c r="A1140" s="83" t="s">
        <v>20250</v>
      </c>
      <c r="B1140" s="64" t="s">
        <v>20251</v>
      </c>
      <c r="C1140" s="71" t="s">
        <v>165</v>
      </c>
      <c r="D1140" s="79">
        <v>1</v>
      </c>
      <c r="E1140" s="79">
        <v>248.24</v>
      </c>
      <c r="F1140" s="79">
        <v>248.24</v>
      </c>
      <c r="G1140" s="445"/>
      <c r="H1140" s="178">
        <v>248.25</v>
      </c>
      <c r="I1140" s="178">
        <v>305.35000000000002</v>
      </c>
      <c r="J1140" s="70">
        <v>-57.110000000000014</v>
      </c>
      <c r="K1140" s="320"/>
      <c r="L1140" s="178">
        <v>40.76</v>
      </c>
      <c r="M1140" s="178">
        <v>207.48000000000002</v>
      </c>
      <c r="N1140" s="179">
        <v>0</v>
      </c>
      <c r="O1140" s="178">
        <v>248.24</v>
      </c>
      <c r="P1140" s="453"/>
      <c r="Q1140" s="61"/>
      <c r="R1140" s="298"/>
      <c r="S1140" s="669"/>
      <c r="X1140" s="444">
        <v>1140</v>
      </c>
    </row>
    <row r="1141" spans="1:32" ht="12">
      <c r="A1141" s="83" t="s">
        <v>20252</v>
      </c>
      <c r="B1141" s="64" t="s">
        <v>20253</v>
      </c>
      <c r="C1141" s="71" t="s">
        <v>165</v>
      </c>
      <c r="D1141" s="79">
        <v>1</v>
      </c>
      <c r="E1141" s="79">
        <v>355.91</v>
      </c>
      <c r="F1141" s="79">
        <v>355.91</v>
      </c>
      <c r="G1141" s="445"/>
      <c r="H1141" s="178">
        <v>355.91</v>
      </c>
      <c r="I1141" s="178">
        <v>437.77</v>
      </c>
      <c r="J1141" s="70">
        <v>-81.859999999999957</v>
      </c>
      <c r="K1141" s="320"/>
      <c r="L1141" s="178">
        <v>45.870000000000005</v>
      </c>
      <c r="M1141" s="178">
        <v>310.04000000000002</v>
      </c>
      <c r="N1141" s="179">
        <v>0</v>
      </c>
      <c r="O1141" s="178">
        <v>355.91</v>
      </c>
      <c r="P1141" s="453"/>
      <c r="Q1141" s="61"/>
      <c r="R1141" s="298"/>
      <c r="S1141" s="669"/>
      <c r="X1141" s="444">
        <v>1141</v>
      </c>
    </row>
    <row r="1142" spans="1:32" s="69" customFormat="1" ht="12">
      <c r="A1142" s="83" t="s">
        <v>20254</v>
      </c>
      <c r="B1142" s="64" t="s">
        <v>20255</v>
      </c>
      <c r="C1142" s="71" t="s">
        <v>165</v>
      </c>
      <c r="D1142" s="79">
        <v>1</v>
      </c>
      <c r="E1142" s="79">
        <v>384.1</v>
      </c>
      <c r="F1142" s="79">
        <v>384.1</v>
      </c>
      <c r="G1142" s="445"/>
      <c r="H1142" s="178">
        <v>384.08</v>
      </c>
      <c r="I1142" s="178">
        <v>472.42</v>
      </c>
      <c r="J1142" s="70">
        <v>-88.32</v>
      </c>
      <c r="K1142" s="320"/>
      <c r="L1142" s="178">
        <v>56.08</v>
      </c>
      <c r="M1142" s="178">
        <v>328.02000000000004</v>
      </c>
      <c r="N1142" s="179">
        <v>0</v>
      </c>
      <c r="O1142" s="178">
        <v>384.1</v>
      </c>
      <c r="P1142" s="453"/>
      <c r="Q1142" s="61"/>
      <c r="R1142" s="298"/>
      <c r="S1142" s="669"/>
      <c r="T1142" s="444"/>
      <c r="U1142" s="444"/>
      <c r="V1142" s="444"/>
      <c r="W1142" s="444"/>
      <c r="X1142" s="444">
        <v>1142</v>
      </c>
      <c r="Y1142" s="444"/>
      <c r="Z1142" s="444"/>
      <c r="AA1142" s="444"/>
      <c r="AB1142" s="444"/>
      <c r="AC1142" s="444"/>
      <c r="AD1142" s="444"/>
      <c r="AE1142" s="444"/>
      <c r="AF1142" s="444"/>
    </row>
    <row r="1143" spans="1:32" ht="12">
      <c r="A1143" s="83" t="s">
        <v>20256</v>
      </c>
      <c r="B1143" s="64" t="s">
        <v>20257</v>
      </c>
      <c r="C1143" s="71" t="s">
        <v>165</v>
      </c>
      <c r="D1143" s="79">
        <v>1</v>
      </c>
      <c r="E1143" s="79">
        <v>509.16</v>
      </c>
      <c r="F1143" s="79">
        <v>509.16</v>
      </c>
      <c r="G1143" s="445"/>
      <c r="H1143" s="178">
        <v>509.17</v>
      </c>
      <c r="I1143" s="178">
        <v>626.28</v>
      </c>
      <c r="J1143" s="70">
        <v>-117.11999999999995</v>
      </c>
      <c r="K1143" s="320"/>
      <c r="L1143" s="178">
        <v>66.240000000000009</v>
      </c>
      <c r="M1143" s="178">
        <v>442.92</v>
      </c>
      <c r="N1143" s="179">
        <v>0</v>
      </c>
      <c r="O1143" s="178">
        <v>509.16</v>
      </c>
      <c r="P1143" s="453"/>
      <c r="Q1143" s="61"/>
      <c r="R1143" s="298"/>
      <c r="S1143" s="669"/>
      <c r="X1143" s="444">
        <v>1143</v>
      </c>
    </row>
    <row r="1144" spans="1:32" ht="24">
      <c r="A1144" s="83" t="s">
        <v>20258</v>
      </c>
      <c r="B1144" s="64" t="s">
        <v>20259</v>
      </c>
      <c r="C1144" s="71" t="s">
        <v>103</v>
      </c>
      <c r="D1144" s="79">
        <v>1</v>
      </c>
      <c r="E1144" s="79">
        <v>922.35</v>
      </c>
      <c r="F1144" s="79">
        <v>922.35</v>
      </c>
      <c r="G1144" s="445"/>
      <c r="H1144" s="178">
        <v>922.33</v>
      </c>
      <c r="I1144" s="178">
        <v>1134.47</v>
      </c>
      <c r="J1144" s="70">
        <v>-212.12</v>
      </c>
      <c r="K1144" s="320"/>
      <c r="L1144" s="178">
        <v>56.08</v>
      </c>
      <c r="M1144" s="178">
        <v>866.27</v>
      </c>
      <c r="N1144" s="179">
        <v>0</v>
      </c>
      <c r="O1144" s="178">
        <v>922.35</v>
      </c>
      <c r="P1144" s="453"/>
      <c r="Q1144" s="61"/>
      <c r="R1144" s="298"/>
      <c r="S1144" s="669"/>
      <c r="X1144" s="444">
        <v>1144</v>
      </c>
    </row>
    <row r="1145" spans="1:32" ht="24">
      <c r="A1145" s="83" t="s">
        <v>20260</v>
      </c>
      <c r="B1145" s="64" t="s">
        <v>20261</v>
      </c>
      <c r="C1145" s="71" t="s">
        <v>103</v>
      </c>
      <c r="D1145" s="79">
        <v>1</v>
      </c>
      <c r="E1145" s="79">
        <v>1395.03</v>
      </c>
      <c r="F1145" s="79">
        <v>1395.03</v>
      </c>
      <c r="G1145" s="445"/>
      <c r="H1145" s="178">
        <v>1395.02</v>
      </c>
      <c r="I1145" s="178">
        <v>1715.87</v>
      </c>
      <c r="J1145" s="70">
        <v>-320.83999999999992</v>
      </c>
      <c r="K1145" s="320"/>
      <c r="L1145" s="178">
        <v>56.08</v>
      </c>
      <c r="M1145" s="178">
        <v>1338.95</v>
      </c>
      <c r="N1145" s="179">
        <v>0</v>
      </c>
      <c r="O1145" s="178">
        <v>1395.03</v>
      </c>
      <c r="P1145" s="453"/>
      <c r="Q1145" s="61"/>
      <c r="R1145" s="298"/>
      <c r="S1145" s="669"/>
      <c r="X1145" s="444">
        <v>1145</v>
      </c>
    </row>
    <row r="1146" spans="1:32" ht="12">
      <c r="A1146" s="83" t="s">
        <v>20262</v>
      </c>
      <c r="B1146" s="64" t="s">
        <v>9389</v>
      </c>
      <c r="C1146" s="71" t="s">
        <v>165</v>
      </c>
      <c r="D1146" s="79">
        <v>1</v>
      </c>
      <c r="E1146" s="79">
        <v>151.95999999999998</v>
      </c>
      <c r="F1146" s="79">
        <v>151.96</v>
      </c>
      <c r="G1146" s="445"/>
      <c r="H1146" s="178">
        <v>151.94999999999999</v>
      </c>
      <c r="I1146" s="178">
        <v>186.9</v>
      </c>
      <c r="J1146" s="70">
        <v>-34.940000000000026</v>
      </c>
      <c r="K1146" s="320"/>
      <c r="L1146" s="178">
        <v>62.849999999999994</v>
      </c>
      <c r="M1146" s="178">
        <v>89.109999999999985</v>
      </c>
      <c r="N1146" s="179">
        <v>0</v>
      </c>
      <c r="O1146" s="178">
        <v>151.95999999999998</v>
      </c>
      <c r="P1146" s="453"/>
      <c r="Q1146" s="61"/>
      <c r="R1146" s="298"/>
      <c r="S1146" s="669"/>
      <c r="X1146" s="444">
        <v>1146</v>
      </c>
    </row>
    <row r="1147" spans="1:32" ht="12">
      <c r="A1147" s="83" t="s">
        <v>20263</v>
      </c>
      <c r="B1147" s="64" t="s">
        <v>9391</v>
      </c>
      <c r="C1147" s="71" t="s">
        <v>165</v>
      </c>
      <c r="D1147" s="79">
        <v>1</v>
      </c>
      <c r="E1147" s="79">
        <v>177.61</v>
      </c>
      <c r="F1147" s="79">
        <v>177.61</v>
      </c>
      <c r="G1147" s="445"/>
      <c r="H1147" s="178">
        <v>177.6</v>
      </c>
      <c r="I1147" s="178">
        <v>218.45</v>
      </c>
      <c r="J1147" s="70">
        <v>-40.839999999999975</v>
      </c>
      <c r="K1147" s="320"/>
      <c r="L1147" s="178">
        <v>77.169999999999987</v>
      </c>
      <c r="M1147" s="178">
        <v>100.44000000000003</v>
      </c>
      <c r="N1147" s="179">
        <v>0</v>
      </c>
      <c r="O1147" s="178">
        <v>177.61</v>
      </c>
      <c r="P1147" s="453"/>
      <c r="Q1147" s="61"/>
      <c r="R1147" s="298"/>
      <c r="S1147" s="669"/>
      <c r="X1147" s="444">
        <v>1147</v>
      </c>
    </row>
    <row r="1148" spans="1:32" ht="12">
      <c r="A1148" s="83" t="s">
        <v>20264</v>
      </c>
      <c r="B1148" s="64" t="s">
        <v>9393</v>
      </c>
      <c r="C1148" s="71" t="s">
        <v>165</v>
      </c>
      <c r="D1148" s="79">
        <v>1</v>
      </c>
      <c r="E1148" s="79">
        <v>221.17000000000002</v>
      </c>
      <c r="F1148" s="79">
        <v>221.17</v>
      </c>
      <c r="G1148" s="445"/>
      <c r="H1148" s="178">
        <v>221.17</v>
      </c>
      <c r="I1148" s="178">
        <v>272.04000000000002</v>
      </c>
      <c r="J1148" s="70">
        <v>-50.870000000000005</v>
      </c>
      <c r="K1148" s="320"/>
      <c r="L1148" s="178">
        <v>92.15</v>
      </c>
      <c r="M1148" s="178">
        <v>129.02000000000001</v>
      </c>
      <c r="N1148" s="179">
        <v>0</v>
      </c>
      <c r="O1148" s="178">
        <v>221.17000000000002</v>
      </c>
      <c r="P1148" s="453"/>
      <c r="Q1148" s="61"/>
      <c r="R1148" s="298"/>
      <c r="S1148" s="669"/>
      <c r="X1148" s="444">
        <v>1148</v>
      </c>
    </row>
    <row r="1149" spans="1:32" ht="12">
      <c r="A1149" s="83" t="s">
        <v>20265</v>
      </c>
      <c r="B1149" s="64" t="s">
        <v>9395</v>
      </c>
      <c r="C1149" s="71" t="s">
        <v>165</v>
      </c>
      <c r="D1149" s="79">
        <v>1</v>
      </c>
      <c r="E1149" s="79">
        <v>270.17</v>
      </c>
      <c r="F1149" s="79">
        <v>270.17</v>
      </c>
      <c r="G1149" s="445"/>
      <c r="H1149" s="178">
        <v>270.14999999999998</v>
      </c>
      <c r="I1149" s="178">
        <v>332.29</v>
      </c>
      <c r="J1149" s="70">
        <v>-62.120000000000005</v>
      </c>
      <c r="K1149" s="320"/>
      <c r="L1149" s="178">
        <v>110.53</v>
      </c>
      <c r="M1149" s="178">
        <v>159.64000000000001</v>
      </c>
      <c r="N1149" s="179">
        <v>0</v>
      </c>
      <c r="O1149" s="178">
        <v>270.17</v>
      </c>
      <c r="P1149" s="453"/>
      <c r="Q1149" s="61"/>
      <c r="R1149" s="298"/>
      <c r="S1149" s="669"/>
      <c r="X1149" s="444">
        <v>1149</v>
      </c>
    </row>
    <row r="1150" spans="1:32" ht="12">
      <c r="A1150" s="83" t="s">
        <v>20266</v>
      </c>
      <c r="B1150" s="64" t="s">
        <v>20267</v>
      </c>
      <c r="C1150" s="71" t="s">
        <v>165</v>
      </c>
      <c r="D1150" s="79">
        <v>1</v>
      </c>
      <c r="E1150" s="79">
        <v>55.07</v>
      </c>
      <c r="F1150" s="79">
        <v>55.07</v>
      </c>
      <c r="G1150" s="445"/>
      <c r="H1150" s="178">
        <v>55.08</v>
      </c>
      <c r="I1150" s="178">
        <v>67.75</v>
      </c>
      <c r="J1150" s="70">
        <v>-12.68</v>
      </c>
      <c r="K1150" s="320"/>
      <c r="L1150" s="178">
        <v>40.76</v>
      </c>
      <c r="M1150" s="178">
        <v>14.310000000000002</v>
      </c>
      <c r="N1150" s="179">
        <v>0</v>
      </c>
      <c r="O1150" s="178">
        <v>55.07</v>
      </c>
      <c r="P1150" s="453"/>
      <c r="Q1150" s="61"/>
      <c r="R1150" s="298"/>
      <c r="S1150" s="669"/>
      <c r="X1150" s="444">
        <v>1150</v>
      </c>
    </row>
    <row r="1151" spans="1:32" ht="12">
      <c r="A1151" s="83" t="s">
        <v>20268</v>
      </c>
      <c r="B1151" s="64" t="s">
        <v>20269</v>
      </c>
      <c r="C1151" s="71" t="s">
        <v>165</v>
      </c>
      <c r="D1151" s="79">
        <v>1</v>
      </c>
      <c r="E1151" s="79">
        <v>58.82</v>
      </c>
      <c r="F1151" s="79">
        <v>58.82</v>
      </c>
      <c r="G1151" s="445"/>
      <c r="H1151" s="178">
        <v>58.83</v>
      </c>
      <c r="I1151" s="178">
        <v>72.36</v>
      </c>
      <c r="J1151" s="70">
        <v>-13.54</v>
      </c>
      <c r="K1151" s="320"/>
      <c r="L1151" s="178">
        <v>40.76</v>
      </c>
      <c r="M1151" s="178">
        <v>18.060000000000002</v>
      </c>
      <c r="N1151" s="179">
        <v>0</v>
      </c>
      <c r="O1151" s="178">
        <v>58.82</v>
      </c>
      <c r="P1151" s="453"/>
      <c r="Q1151" s="61"/>
      <c r="R1151" s="298"/>
      <c r="S1151" s="669"/>
      <c r="X1151" s="444">
        <v>1151</v>
      </c>
    </row>
    <row r="1152" spans="1:32" ht="12">
      <c r="A1152" s="83" t="s">
        <v>20270</v>
      </c>
      <c r="B1152" s="64" t="s">
        <v>20271</v>
      </c>
      <c r="C1152" s="71" t="s">
        <v>165</v>
      </c>
      <c r="D1152" s="79">
        <v>1</v>
      </c>
      <c r="E1152" s="79">
        <v>76.84</v>
      </c>
      <c r="F1152" s="79">
        <v>76.84</v>
      </c>
      <c r="G1152" s="445"/>
      <c r="H1152" s="178">
        <v>76.84</v>
      </c>
      <c r="I1152" s="178">
        <v>94.51</v>
      </c>
      <c r="J1152" s="70">
        <v>-17.670000000000002</v>
      </c>
      <c r="K1152" s="320"/>
      <c r="L1152" s="178">
        <v>45.870000000000005</v>
      </c>
      <c r="M1152" s="178">
        <v>30.97</v>
      </c>
      <c r="N1152" s="179">
        <v>0</v>
      </c>
      <c r="O1152" s="178">
        <v>76.84</v>
      </c>
      <c r="P1152" s="453"/>
      <c r="Q1152" s="61"/>
      <c r="R1152" s="298"/>
      <c r="S1152" s="669"/>
      <c r="X1152" s="444">
        <v>1152</v>
      </c>
    </row>
    <row r="1153" spans="1:32" ht="12">
      <c r="A1153" s="83" t="s">
        <v>20272</v>
      </c>
      <c r="B1153" s="64" t="s">
        <v>20273</v>
      </c>
      <c r="C1153" s="71" t="s">
        <v>165</v>
      </c>
      <c r="D1153" s="79">
        <v>1</v>
      </c>
      <c r="E1153" s="79">
        <v>96.39</v>
      </c>
      <c r="F1153" s="79">
        <v>96.39</v>
      </c>
      <c r="G1153" s="445"/>
      <c r="H1153" s="178">
        <v>96.38</v>
      </c>
      <c r="I1153" s="178">
        <v>118.55</v>
      </c>
      <c r="J1153" s="70">
        <v>-22.159999999999997</v>
      </c>
      <c r="K1153" s="320"/>
      <c r="L1153" s="178">
        <v>50.97</v>
      </c>
      <c r="M1153" s="178">
        <v>45.42</v>
      </c>
      <c r="N1153" s="179">
        <v>0</v>
      </c>
      <c r="O1153" s="178">
        <v>96.39</v>
      </c>
      <c r="P1153" s="453"/>
      <c r="Q1153" s="61"/>
      <c r="R1153" s="298"/>
      <c r="S1153" s="669"/>
      <c r="X1153" s="444">
        <v>1153</v>
      </c>
    </row>
    <row r="1154" spans="1:32" ht="12">
      <c r="A1154" s="83" t="s">
        <v>20274</v>
      </c>
      <c r="B1154" s="64" t="s">
        <v>20275</v>
      </c>
      <c r="C1154" s="71" t="s">
        <v>165</v>
      </c>
      <c r="D1154" s="79">
        <v>1</v>
      </c>
      <c r="E1154" s="79">
        <v>143.32999999999998</v>
      </c>
      <c r="F1154" s="79">
        <v>143.33000000000001</v>
      </c>
      <c r="G1154" s="445"/>
      <c r="H1154" s="178">
        <v>143.32</v>
      </c>
      <c r="I1154" s="178">
        <v>176.28</v>
      </c>
      <c r="J1154" s="70">
        <v>-32.950000000000017</v>
      </c>
      <c r="K1154" s="320"/>
      <c r="L1154" s="178">
        <v>61.18</v>
      </c>
      <c r="M1154" s="178">
        <v>82.149999999999977</v>
      </c>
      <c r="N1154" s="179">
        <v>0</v>
      </c>
      <c r="O1154" s="178">
        <v>143.32999999999998</v>
      </c>
      <c r="P1154" s="453"/>
      <c r="Q1154" s="61"/>
      <c r="R1154" s="298"/>
      <c r="S1154" s="669"/>
      <c r="X1154" s="444">
        <v>1154</v>
      </c>
    </row>
    <row r="1155" spans="1:32" ht="12">
      <c r="A1155" s="83" t="s">
        <v>20276</v>
      </c>
      <c r="B1155" s="64" t="s">
        <v>20277</v>
      </c>
      <c r="C1155" s="71" t="s">
        <v>10216</v>
      </c>
      <c r="D1155" s="79">
        <v>1</v>
      </c>
      <c r="E1155" s="79">
        <v>577.26</v>
      </c>
      <c r="F1155" s="79">
        <v>577.26</v>
      </c>
      <c r="G1155" s="445"/>
      <c r="H1155" s="178">
        <v>577.25</v>
      </c>
      <c r="I1155" s="178">
        <v>710.02</v>
      </c>
      <c r="J1155" s="70">
        <v>-132.76</v>
      </c>
      <c r="K1155" s="320"/>
      <c r="L1155" s="178"/>
      <c r="M1155" s="178">
        <v>577.26</v>
      </c>
      <c r="N1155" s="179">
        <v>0</v>
      </c>
      <c r="O1155" s="178">
        <v>577.26</v>
      </c>
      <c r="P1155" s="453"/>
      <c r="Q1155" s="61"/>
      <c r="R1155" s="298"/>
      <c r="S1155" s="669"/>
      <c r="X1155" s="444">
        <v>1155</v>
      </c>
    </row>
    <row r="1156" spans="1:32" ht="12">
      <c r="A1156" s="83" t="s">
        <v>39690</v>
      </c>
      <c r="B1156" s="64" t="s">
        <v>39691</v>
      </c>
      <c r="C1156" s="71"/>
      <c r="D1156" s="79" t="s">
        <v>40899</v>
      </c>
      <c r="E1156" s="79" t="s">
        <v>40899</v>
      </c>
      <c r="F1156" s="79"/>
      <c r="G1156" s="445"/>
      <c r="H1156" s="178"/>
      <c r="I1156" s="178"/>
      <c r="J1156" s="70"/>
      <c r="K1156" s="320"/>
      <c r="L1156" s="178"/>
      <c r="M1156" s="178"/>
      <c r="N1156" s="179"/>
      <c r="O1156" s="178"/>
      <c r="P1156" s="453"/>
      <c r="Q1156" s="61"/>
      <c r="R1156" s="298"/>
      <c r="S1156" s="669"/>
      <c r="X1156" s="444">
        <v>1156</v>
      </c>
    </row>
    <row r="1157" spans="1:32" ht="12">
      <c r="A1157" s="83" t="s">
        <v>20278</v>
      </c>
      <c r="B1157" s="64" t="s">
        <v>20279</v>
      </c>
      <c r="C1157" s="71" t="s">
        <v>165</v>
      </c>
      <c r="D1157" s="79">
        <v>1</v>
      </c>
      <c r="E1157" s="79">
        <v>77.09</v>
      </c>
      <c r="F1157" s="79">
        <v>77.09</v>
      </c>
      <c r="G1157" s="445"/>
      <c r="H1157" s="178">
        <v>77.11</v>
      </c>
      <c r="I1157" s="178">
        <v>94.84</v>
      </c>
      <c r="J1157" s="70">
        <v>-17.75</v>
      </c>
      <c r="K1157" s="320"/>
      <c r="L1157" s="178">
        <v>40.76</v>
      </c>
      <c r="M1157" s="178">
        <v>36.330000000000005</v>
      </c>
      <c r="N1157" s="179">
        <v>0</v>
      </c>
      <c r="O1157" s="178">
        <v>77.09</v>
      </c>
      <c r="P1157" s="453"/>
      <c r="Q1157" s="61"/>
      <c r="R1157" s="298"/>
      <c r="S1157" s="669"/>
      <c r="U1157" s="61"/>
      <c r="V1157" s="61"/>
      <c r="W1157" s="61"/>
      <c r="X1157" s="444">
        <v>1157</v>
      </c>
      <c r="Y1157" s="61"/>
      <c r="Z1157" s="61"/>
      <c r="AA1157" s="61"/>
      <c r="AB1157" s="61"/>
      <c r="AC1157" s="61"/>
      <c r="AD1157" s="61"/>
      <c r="AE1157" s="61"/>
      <c r="AF1157" s="61"/>
    </row>
    <row r="1158" spans="1:32" ht="12">
      <c r="A1158" s="83" t="s">
        <v>20280</v>
      </c>
      <c r="B1158" s="64" t="s">
        <v>20281</v>
      </c>
      <c r="C1158" s="71" t="s">
        <v>165</v>
      </c>
      <c r="D1158" s="79">
        <v>1</v>
      </c>
      <c r="E1158" s="79">
        <v>70.19</v>
      </c>
      <c r="F1158" s="79">
        <v>70.19</v>
      </c>
      <c r="G1158" s="445"/>
      <c r="H1158" s="178">
        <v>70.2</v>
      </c>
      <c r="I1158" s="178">
        <v>86.35</v>
      </c>
      <c r="J1158" s="70">
        <v>-16.159999999999997</v>
      </c>
      <c r="K1158" s="320"/>
      <c r="L1158" s="178">
        <v>40.76</v>
      </c>
      <c r="M1158" s="178">
        <v>29.43</v>
      </c>
      <c r="N1158" s="179">
        <v>0</v>
      </c>
      <c r="O1158" s="178">
        <v>70.19</v>
      </c>
      <c r="P1158" s="453"/>
      <c r="Q1158" s="61"/>
      <c r="R1158" s="298"/>
      <c r="S1158" s="669"/>
      <c r="U1158" s="61"/>
      <c r="V1158" s="61"/>
      <c r="W1158" s="61"/>
      <c r="X1158" s="444">
        <v>1158</v>
      </c>
      <c r="Y1158" s="61"/>
      <c r="Z1158" s="61"/>
      <c r="AA1158" s="61"/>
      <c r="AB1158" s="61"/>
      <c r="AC1158" s="61"/>
      <c r="AD1158" s="61"/>
      <c r="AE1158" s="61"/>
      <c r="AF1158" s="61"/>
    </row>
    <row r="1159" spans="1:32" ht="12">
      <c r="A1159" s="83" t="s">
        <v>20282</v>
      </c>
      <c r="B1159" s="64" t="s">
        <v>20283</v>
      </c>
      <c r="C1159" s="71" t="s">
        <v>165</v>
      </c>
      <c r="D1159" s="79">
        <v>1</v>
      </c>
      <c r="E1159" s="79">
        <v>87.88</v>
      </c>
      <c r="F1159" s="79">
        <v>87.88</v>
      </c>
      <c r="G1159" s="445"/>
      <c r="H1159" s="178">
        <v>87.89</v>
      </c>
      <c r="I1159" s="178">
        <v>108.11</v>
      </c>
      <c r="J1159" s="70">
        <v>-20.230000000000004</v>
      </c>
      <c r="K1159" s="320"/>
      <c r="L1159" s="178">
        <v>40.76</v>
      </c>
      <c r="M1159" s="178">
        <v>47.12</v>
      </c>
      <c r="N1159" s="179">
        <v>0</v>
      </c>
      <c r="O1159" s="178">
        <v>87.88</v>
      </c>
      <c r="P1159" s="453"/>
      <c r="Q1159" s="61"/>
      <c r="R1159" s="298"/>
      <c r="S1159" s="669"/>
      <c r="X1159" s="444">
        <v>1159</v>
      </c>
    </row>
    <row r="1160" spans="1:32" ht="12">
      <c r="A1160" s="83" t="s">
        <v>20284</v>
      </c>
      <c r="B1160" s="64" t="s">
        <v>20285</v>
      </c>
      <c r="C1160" s="71" t="s">
        <v>165</v>
      </c>
      <c r="D1160" s="79">
        <v>1</v>
      </c>
      <c r="E1160" s="79">
        <v>78.11</v>
      </c>
      <c r="F1160" s="79">
        <v>78.11</v>
      </c>
      <c r="G1160" s="445"/>
      <c r="H1160" s="178">
        <v>78.12</v>
      </c>
      <c r="I1160" s="178">
        <v>96.09</v>
      </c>
      <c r="J1160" s="70">
        <v>-17.980000000000004</v>
      </c>
      <c r="K1160" s="320"/>
      <c r="L1160" s="178">
        <v>40.76</v>
      </c>
      <c r="M1160" s="178">
        <v>37.35</v>
      </c>
      <c r="N1160" s="179">
        <v>0</v>
      </c>
      <c r="O1160" s="178">
        <v>78.11</v>
      </c>
      <c r="P1160" s="453"/>
      <c r="Q1160" s="61"/>
      <c r="R1160" s="298"/>
      <c r="S1160" s="669"/>
      <c r="X1160" s="444">
        <v>1160</v>
      </c>
    </row>
    <row r="1161" spans="1:32" ht="12">
      <c r="A1161" s="83" t="s">
        <v>20286</v>
      </c>
      <c r="B1161" s="64" t="s">
        <v>20287</v>
      </c>
      <c r="C1161" s="71" t="s">
        <v>103</v>
      </c>
      <c r="D1161" s="79">
        <v>1</v>
      </c>
      <c r="E1161" s="79">
        <v>83.68</v>
      </c>
      <c r="F1161" s="79">
        <v>83.68</v>
      </c>
      <c r="G1161" s="445"/>
      <c r="H1161" s="178">
        <v>83.67</v>
      </c>
      <c r="I1161" s="178">
        <v>102.92</v>
      </c>
      <c r="J1161" s="70">
        <v>-19.239999999999995</v>
      </c>
      <c r="K1161" s="320"/>
      <c r="L1161" s="178">
        <v>50.97</v>
      </c>
      <c r="M1161" s="178">
        <v>32.710000000000008</v>
      </c>
      <c r="N1161" s="179">
        <v>0</v>
      </c>
      <c r="O1161" s="178">
        <v>83.68</v>
      </c>
      <c r="P1161" s="453"/>
      <c r="Q1161" s="61"/>
      <c r="R1161" s="298"/>
      <c r="S1161" s="669"/>
      <c r="X1161" s="444">
        <v>1161</v>
      </c>
    </row>
    <row r="1162" spans="1:32" ht="12">
      <c r="A1162" s="83" t="s">
        <v>20288</v>
      </c>
      <c r="B1162" s="64" t="s">
        <v>20289</v>
      </c>
      <c r="C1162" s="71" t="s">
        <v>103</v>
      </c>
      <c r="D1162" s="79">
        <v>1</v>
      </c>
      <c r="E1162" s="79">
        <v>88.62</v>
      </c>
      <c r="F1162" s="79">
        <v>88.62</v>
      </c>
      <c r="G1162" s="445"/>
      <c r="H1162" s="178">
        <v>88.62</v>
      </c>
      <c r="I1162" s="178">
        <v>109</v>
      </c>
      <c r="J1162" s="70">
        <v>-20.379999999999995</v>
      </c>
      <c r="K1162" s="320"/>
      <c r="L1162" s="178">
        <v>50.97</v>
      </c>
      <c r="M1162" s="178">
        <v>37.650000000000006</v>
      </c>
      <c r="N1162" s="179">
        <v>0</v>
      </c>
      <c r="O1162" s="178">
        <v>88.62</v>
      </c>
      <c r="P1162" s="453"/>
      <c r="Q1162" s="61"/>
      <c r="R1162" s="298"/>
      <c r="S1162" s="669"/>
      <c r="X1162" s="444">
        <v>1162</v>
      </c>
    </row>
    <row r="1163" spans="1:32" ht="12">
      <c r="A1163" s="83" t="s">
        <v>20290</v>
      </c>
      <c r="B1163" s="64" t="s">
        <v>20291</v>
      </c>
      <c r="C1163" s="71" t="s">
        <v>165</v>
      </c>
      <c r="D1163" s="79">
        <v>1</v>
      </c>
      <c r="E1163" s="79">
        <v>113.51</v>
      </c>
      <c r="F1163" s="79">
        <v>113.51</v>
      </c>
      <c r="G1163" s="445"/>
      <c r="H1163" s="178">
        <v>113.49</v>
      </c>
      <c r="I1163" s="178">
        <v>139.59</v>
      </c>
      <c r="J1163" s="70">
        <v>-26.08</v>
      </c>
      <c r="K1163" s="320"/>
      <c r="L1163" s="178">
        <v>56.08</v>
      </c>
      <c r="M1163" s="178">
        <v>57.430000000000007</v>
      </c>
      <c r="N1163" s="179">
        <v>0</v>
      </c>
      <c r="O1163" s="178">
        <v>113.51</v>
      </c>
      <c r="P1163" s="453"/>
      <c r="Q1163" s="61"/>
      <c r="R1163" s="298"/>
      <c r="S1163" s="669"/>
      <c r="X1163" s="444">
        <v>1163</v>
      </c>
    </row>
    <row r="1164" spans="1:32" ht="12">
      <c r="A1164" s="83" t="s">
        <v>20292</v>
      </c>
      <c r="B1164" s="64" t="s">
        <v>20293</v>
      </c>
      <c r="C1164" s="71" t="s">
        <v>165</v>
      </c>
      <c r="D1164" s="79">
        <v>1</v>
      </c>
      <c r="E1164" s="79">
        <v>155.32000000000002</v>
      </c>
      <c r="F1164" s="79">
        <v>155.32</v>
      </c>
      <c r="G1164" s="445"/>
      <c r="H1164" s="178">
        <v>155.34</v>
      </c>
      <c r="I1164" s="178">
        <v>191.07</v>
      </c>
      <c r="J1164" s="70">
        <v>-35.749999999999972</v>
      </c>
      <c r="K1164" s="320"/>
      <c r="L1164" s="178">
        <v>66.240000000000009</v>
      </c>
      <c r="M1164" s="178">
        <v>89.080000000000013</v>
      </c>
      <c r="N1164" s="179">
        <v>0</v>
      </c>
      <c r="O1164" s="178">
        <v>155.32000000000002</v>
      </c>
      <c r="P1164" s="453"/>
      <c r="Q1164" s="61"/>
      <c r="R1164" s="298"/>
      <c r="S1164" s="669"/>
      <c r="X1164" s="444">
        <v>1164</v>
      </c>
    </row>
    <row r="1165" spans="1:32" ht="12">
      <c r="A1165" s="83" t="s">
        <v>20294</v>
      </c>
      <c r="B1165" s="64" t="s">
        <v>20295</v>
      </c>
      <c r="C1165" s="71" t="s">
        <v>165</v>
      </c>
      <c r="D1165" s="79">
        <v>1</v>
      </c>
      <c r="E1165" s="79">
        <v>237.99</v>
      </c>
      <c r="F1165" s="79">
        <v>237.99</v>
      </c>
      <c r="G1165" s="445"/>
      <c r="H1165" s="178">
        <v>238.01</v>
      </c>
      <c r="I1165" s="178">
        <v>292.75</v>
      </c>
      <c r="J1165" s="70">
        <v>-54.759999999999991</v>
      </c>
      <c r="K1165" s="320"/>
      <c r="L1165" s="178">
        <v>71.349999999999994</v>
      </c>
      <c r="M1165" s="178">
        <v>166.64000000000001</v>
      </c>
      <c r="N1165" s="179">
        <v>0</v>
      </c>
      <c r="O1165" s="178">
        <v>237.99</v>
      </c>
      <c r="P1165" s="453"/>
      <c r="Q1165" s="61"/>
      <c r="R1165" s="298"/>
      <c r="S1165" s="669"/>
      <c r="X1165" s="444">
        <v>1165</v>
      </c>
    </row>
    <row r="1166" spans="1:32" ht="24">
      <c r="A1166" s="83" t="s">
        <v>40908</v>
      </c>
      <c r="B1166" s="64" t="s">
        <v>39692</v>
      </c>
      <c r="C1166" s="71" t="s">
        <v>509</v>
      </c>
      <c r="D1166" s="79">
        <v>1</v>
      </c>
      <c r="E1166" s="79">
        <v>219.9</v>
      </c>
      <c r="F1166" s="79">
        <v>219.9</v>
      </c>
      <c r="H1166" s="70">
        <v>219.91</v>
      </c>
      <c r="I1166" s="178">
        <v>270.49</v>
      </c>
      <c r="J1166" s="70">
        <v>-50.59</v>
      </c>
      <c r="K1166" s="320"/>
      <c r="L1166" s="178">
        <v>71.349999999999994</v>
      </c>
      <c r="M1166" s="70">
        <v>148.55000000000001</v>
      </c>
      <c r="N1166" s="179">
        <v>0</v>
      </c>
      <c r="O1166" s="753">
        <v>219.9</v>
      </c>
      <c r="Q1166" s="61"/>
      <c r="R1166" s="298"/>
      <c r="S1166" s="669"/>
      <c r="X1166" s="444">
        <v>1166</v>
      </c>
    </row>
    <row r="1167" spans="1:32" ht="12">
      <c r="A1167" s="83" t="s">
        <v>20296</v>
      </c>
      <c r="B1167" s="64" t="s">
        <v>20297</v>
      </c>
      <c r="C1167" s="71" t="s">
        <v>165</v>
      </c>
      <c r="D1167" s="79">
        <v>1</v>
      </c>
      <c r="E1167" s="79">
        <v>103.83999999999999</v>
      </c>
      <c r="F1167" s="79">
        <v>103.84</v>
      </c>
      <c r="G1167" s="445"/>
      <c r="H1167" s="178">
        <v>103.82</v>
      </c>
      <c r="I1167" s="178">
        <v>127.7</v>
      </c>
      <c r="J1167" s="70">
        <v>-23.860000000000014</v>
      </c>
      <c r="K1167" s="320"/>
      <c r="L1167" s="178">
        <v>56.08</v>
      </c>
      <c r="M1167" s="178">
        <v>47.759999999999991</v>
      </c>
      <c r="N1167" s="179">
        <v>0</v>
      </c>
      <c r="O1167" s="178">
        <v>103.83999999999999</v>
      </c>
      <c r="P1167" s="453"/>
      <c r="Q1167" s="61"/>
      <c r="R1167" s="298"/>
      <c r="S1167" s="669"/>
      <c r="X1167" s="444">
        <v>1167</v>
      </c>
    </row>
    <row r="1168" spans="1:32" ht="12">
      <c r="A1168" s="83" t="s">
        <v>20298</v>
      </c>
      <c r="B1168" s="64" t="s">
        <v>20299</v>
      </c>
      <c r="C1168" s="71" t="s">
        <v>165</v>
      </c>
      <c r="D1168" s="79">
        <v>1</v>
      </c>
      <c r="E1168" s="79">
        <v>140.5</v>
      </c>
      <c r="F1168" s="79">
        <v>140.5</v>
      </c>
      <c r="G1168" s="445"/>
      <c r="H1168" s="178">
        <v>140.53</v>
      </c>
      <c r="I1168" s="178">
        <v>172.85</v>
      </c>
      <c r="J1168" s="70">
        <v>-32.349999999999994</v>
      </c>
      <c r="K1168" s="320"/>
      <c r="L1168" s="178">
        <v>66.240000000000009</v>
      </c>
      <c r="M1168" s="178">
        <v>74.259999999999991</v>
      </c>
      <c r="N1168" s="179">
        <v>0</v>
      </c>
      <c r="O1168" s="178">
        <v>140.5</v>
      </c>
      <c r="P1168" s="453"/>
      <c r="Q1168" s="61"/>
      <c r="R1168" s="298"/>
      <c r="S1168" s="669"/>
      <c r="X1168" s="444">
        <v>1168</v>
      </c>
    </row>
    <row r="1169" spans="1:32" s="61" customFormat="1" ht="12">
      <c r="A1169" s="83" t="s">
        <v>20300</v>
      </c>
      <c r="B1169" s="64" t="s">
        <v>20301</v>
      </c>
      <c r="C1169" s="71" t="s">
        <v>165</v>
      </c>
      <c r="D1169" s="79">
        <v>1</v>
      </c>
      <c r="E1169" s="79">
        <v>219.9</v>
      </c>
      <c r="F1169" s="79">
        <v>219.9</v>
      </c>
      <c r="G1169" s="445"/>
      <c r="H1169" s="178">
        <v>219.91</v>
      </c>
      <c r="I1169" s="178">
        <v>270.49</v>
      </c>
      <c r="J1169" s="70">
        <v>-50.59</v>
      </c>
      <c r="K1169" s="320"/>
      <c r="L1169" s="178">
        <v>71.349999999999994</v>
      </c>
      <c r="M1169" s="178">
        <v>148.55000000000001</v>
      </c>
      <c r="N1169" s="179">
        <v>0</v>
      </c>
      <c r="O1169" s="178">
        <v>219.9</v>
      </c>
      <c r="P1169" s="453"/>
      <c r="R1169" s="298"/>
      <c r="S1169" s="669"/>
      <c r="T1169" s="444"/>
      <c r="U1169" s="444"/>
      <c r="V1169" s="444"/>
      <c r="W1169" s="444"/>
      <c r="X1169" s="444">
        <v>1169</v>
      </c>
      <c r="Y1169" s="444"/>
      <c r="Z1169" s="444"/>
      <c r="AA1169" s="444"/>
      <c r="AB1169" s="444"/>
      <c r="AC1169" s="444"/>
      <c r="AD1169" s="444"/>
      <c r="AE1169" s="444"/>
      <c r="AF1169" s="444"/>
    </row>
    <row r="1170" spans="1:32" ht="24">
      <c r="A1170" s="83" t="s">
        <v>40909</v>
      </c>
      <c r="B1170" s="64" t="s">
        <v>39693</v>
      </c>
      <c r="C1170" s="71" t="s">
        <v>509</v>
      </c>
      <c r="D1170" s="79">
        <v>1</v>
      </c>
      <c r="E1170" s="79">
        <v>237.99</v>
      </c>
      <c r="F1170" s="79">
        <v>237.99</v>
      </c>
      <c r="H1170" s="70">
        <v>238.01</v>
      </c>
      <c r="I1170" s="178">
        <v>292.75</v>
      </c>
      <c r="J1170" s="70">
        <v>-54.759999999999991</v>
      </c>
      <c r="K1170" s="320"/>
      <c r="L1170" s="178">
        <v>71.349999999999994</v>
      </c>
      <c r="M1170" s="70">
        <v>166.64000000000001</v>
      </c>
      <c r="N1170" s="179">
        <v>0</v>
      </c>
      <c r="O1170" s="753">
        <v>237.99</v>
      </c>
      <c r="Q1170" s="61"/>
      <c r="R1170" s="298"/>
      <c r="S1170" s="669"/>
      <c r="X1170" s="444">
        <v>1170</v>
      </c>
    </row>
    <row r="1171" spans="1:32" s="61" customFormat="1" ht="12">
      <c r="A1171" s="83" t="s">
        <v>20302</v>
      </c>
      <c r="B1171" s="64" t="s">
        <v>20303</v>
      </c>
      <c r="C1171" s="71" t="s">
        <v>165</v>
      </c>
      <c r="D1171" s="79">
        <v>1</v>
      </c>
      <c r="E1171" s="79">
        <v>49.99</v>
      </c>
      <c r="F1171" s="79">
        <v>49.99</v>
      </c>
      <c r="G1171" s="445"/>
      <c r="H1171" s="178">
        <v>49.98</v>
      </c>
      <c r="I1171" s="178">
        <v>61.48</v>
      </c>
      <c r="J1171" s="70">
        <v>-11.489999999999995</v>
      </c>
      <c r="K1171" s="320"/>
      <c r="L1171" s="178">
        <v>25.490000000000002</v>
      </c>
      <c r="M1171" s="178">
        <v>24.5</v>
      </c>
      <c r="N1171" s="179">
        <v>0</v>
      </c>
      <c r="O1171" s="178">
        <v>49.99</v>
      </c>
      <c r="P1171" s="453"/>
      <c r="R1171" s="298"/>
      <c r="S1171" s="669"/>
      <c r="T1171" s="444"/>
      <c r="U1171" s="444"/>
      <c r="V1171" s="444"/>
      <c r="W1171" s="444"/>
      <c r="X1171" s="444">
        <v>1171</v>
      </c>
      <c r="Y1171" s="444"/>
      <c r="Z1171" s="444"/>
      <c r="AA1171" s="444"/>
      <c r="AB1171" s="444"/>
      <c r="AC1171" s="444"/>
      <c r="AD1171" s="444"/>
      <c r="AE1171" s="444"/>
      <c r="AF1171" s="444"/>
    </row>
    <row r="1172" spans="1:32" ht="12">
      <c r="A1172" s="83" t="s">
        <v>20304</v>
      </c>
      <c r="B1172" s="64" t="s">
        <v>20305</v>
      </c>
      <c r="C1172" s="71" t="s">
        <v>165</v>
      </c>
      <c r="D1172" s="79">
        <v>1</v>
      </c>
      <c r="E1172" s="79">
        <v>62.16</v>
      </c>
      <c r="F1172" s="79">
        <v>62.16</v>
      </c>
      <c r="G1172" s="445"/>
      <c r="H1172" s="178">
        <v>62.15</v>
      </c>
      <c r="I1172" s="178">
        <v>76.45</v>
      </c>
      <c r="J1172" s="70">
        <v>-14.290000000000006</v>
      </c>
      <c r="K1172" s="320"/>
      <c r="L1172" s="178">
        <v>25.490000000000002</v>
      </c>
      <c r="M1172" s="178">
        <v>36.669999999999995</v>
      </c>
      <c r="N1172" s="179">
        <v>0</v>
      </c>
      <c r="O1172" s="178">
        <v>62.16</v>
      </c>
      <c r="P1172" s="453"/>
      <c r="Q1172" s="61"/>
      <c r="R1172" s="298"/>
      <c r="S1172" s="669"/>
      <c r="X1172" s="444">
        <v>1172</v>
      </c>
    </row>
    <row r="1173" spans="1:32" ht="12">
      <c r="A1173" s="83" t="s">
        <v>20306</v>
      </c>
      <c r="B1173" s="64" t="s">
        <v>20307</v>
      </c>
      <c r="C1173" s="71" t="s">
        <v>165</v>
      </c>
      <c r="D1173" s="79">
        <v>1</v>
      </c>
      <c r="E1173" s="79">
        <v>73.69</v>
      </c>
      <c r="F1173" s="79">
        <v>73.69</v>
      </c>
      <c r="G1173" s="445"/>
      <c r="H1173" s="178">
        <v>73.680000000000007</v>
      </c>
      <c r="I1173" s="178">
        <v>90.63</v>
      </c>
      <c r="J1173" s="70">
        <v>-16.939999999999998</v>
      </c>
      <c r="K1173" s="320"/>
      <c r="L1173" s="178">
        <v>25.490000000000002</v>
      </c>
      <c r="M1173" s="178">
        <v>48.199999999999996</v>
      </c>
      <c r="N1173" s="179">
        <v>0</v>
      </c>
      <c r="O1173" s="178">
        <v>73.69</v>
      </c>
      <c r="P1173" s="453"/>
      <c r="Q1173" s="61"/>
      <c r="R1173" s="298"/>
      <c r="S1173" s="669"/>
      <c r="X1173" s="444">
        <v>1173</v>
      </c>
    </row>
    <row r="1174" spans="1:32" ht="12">
      <c r="A1174" s="83" t="s">
        <v>20308</v>
      </c>
      <c r="B1174" s="64" t="s">
        <v>20309</v>
      </c>
      <c r="C1174" s="71" t="s">
        <v>165</v>
      </c>
      <c r="D1174" s="79">
        <v>1</v>
      </c>
      <c r="E1174" s="79">
        <v>103.53</v>
      </c>
      <c r="F1174" s="79">
        <v>103.53</v>
      </c>
      <c r="G1174" s="445"/>
      <c r="H1174" s="178">
        <v>103.52</v>
      </c>
      <c r="I1174" s="178">
        <v>127.33</v>
      </c>
      <c r="J1174" s="70">
        <v>-23.799999999999997</v>
      </c>
      <c r="K1174" s="320"/>
      <c r="L1174" s="178">
        <v>30.59</v>
      </c>
      <c r="M1174" s="178">
        <v>72.94</v>
      </c>
      <c r="N1174" s="179">
        <v>0</v>
      </c>
      <c r="O1174" s="178">
        <v>103.53</v>
      </c>
      <c r="P1174" s="453"/>
      <c r="Q1174" s="61"/>
      <c r="R1174" s="298"/>
      <c r="S1174" s="669"/>
      <c r="X1174" s="444">
        <v>1174</v>
      </c>
    </row>
    <row r="1175" spans="1:32" ht="12">
      <c r="A1175" s="83" t="s">
        <v>20310</v>
      </c>
      <c r="B1175" s="64" t="s">
        <v>20311</v>
      </c>
      <c r="C1175" s="71" t="s">
        <v>165</v>
      </c>
      <c r="D1175" s="79">
        <v>1</v>
      </c>
      <c r="E1175" s="79">
        <v>174.79</v>
      </c>
      <c r="F1175" s="79">
        <v>174.79</v>
      </c>
      <c r="G1175" s="445"/>
      <c r="H1175" s="178">
        <v>174.8</v>
      </c>
      <c r="I1175" s="178">
        <v>215</v>
      </c>
      <c r="J1175" s="70">
        <v>-40.210000000000008</v>
      </c>
      <c r="K1175" s="320"/>
      <c r="L1175" s="178">
        <v>40.76</v>
      </c>
      <c r="M1175" s="178">
        <v>134.03</v>
      </c>
      <c r="N1175" s="179">
        <v>0</v>
      </c>
      <c r="O1175" s="178">
        <v>174.79</v>
      </c>
      <c r="P1175" s="453"/>
      <c r="Q1175" s="61"/>
      <c r="R1175" s="298"/>
      <c r="S1175" s="669"/>
      <c r="X1175" s="444">
        <v>1175</v>
      </c>
    </row>
    <row r="1176" spans="1:32" ht="12">
      <c r="A1176" s="83" t="s">
        <v>20312</v>
      </c>
      <c r="B1176" s="64" t="s">
        <v>20313</v>
      </c>
      <c r="C1176" s="71" t="s">
        <v>165</v>
      </c>
      <c r="D1176" s="79">
        <v>1</v>
      </c>
      <c r="E1176" s="79">
        <v>46.09</v>
      </c>
      <c r="F1176" s="79">
        <v>46.09</v>
      </c>
      <c r="G1176" s="445"/>
      <c r="H1176" s="178">
        <v>46.09</v>
      </c>
      <c r="I1176" s="178">
        <v>56.69</v>
      </c>
      <c r="J1176" s="70">
        <v>-10.599999999999994</v>
      </c>
      <c r="K1176" s="320"/>
      <c r="L1176" s="178">
        <v>25.490000000000002</v>
      </c>
      <c r="M1176" s="178">
        <v>20.6</v>
      </c>
      <c r="N1176" s="179">
        <v>0</v>
      </c>
      <c r="O1176" s="178">
        <v>46.09</v>
      </c>
      <c r="P1176" s="453"/>
      <c r="Q1176" s="61"/>
      <c r="R1176" s="298"/>
      <c r="S1176" s="669"/>
      <c r="X1176" s="444">
        <v>1176</v>
      </c>
    </row>
    <row r="1177" spans="1:32" ht="12">
      <c r="A1177" s="83" t="s">
        <v>20314</v>
      </c>
      <c r="B1177" s="64" t="s">
        <v>20315</v>
      </c>
      <c r="C1177" s="71" t="s">
        <v>165</v>
      </c>
      <c r="D1177" s="79">
        <v>1</v>
      </c>
      <c r="E1177" s="79">
        <v>56.22</v>
      </c>
      <c r="F1177" s="79">
        <v>56.22</v>
      </c>
      <c r="G1177" s="445"/>
      <c r="H1177" s="178">
        <v>56.21</v>
      </c>
      <c r="I1177" s="178">
        <v>69.14</v>
      </c>
      <c r="J1177" s="70">
        <v>-12.920000000000002</v>
      </c>
      <c r="K1177" s="320"/>
      <c r="L1177" s="178">
        <v>25.490000000000002</v>
      </c>
      <c r="M1177" s="178">
        <v>30.729999999999997</v>
      </c>
      <c r="N1177" s="179">
        <v>0</v>
      </c>
      <c r="O1177" s="178">
        <v>56.22</v>
      </c>
      <c r="P1177" s="453"/>
      <c r="Q1177" s="61"/>
      <c r="R1177" s="298"/>
      <c r="S1177" s="669"/>
      <c r="X1177" s="444">
        <v>1177</v>
      </c>
    </row>
    <row r="1178" spans="1:32" ht="12">
      <c r="A1178" s="83" t="s">
        <v>20316</v>
      </c>
      <c r="B1178" s="64" t="s">
        <v>20317</v>
      </c>
      <c r="C1178" s="71" t="s">
        <v>165</v>
      </c>
      <c r="D1178" s="79">
        <v>1</v>
      </c>
      <c r="E1178" s="79">
        <v>65.5</v>
      </c>
      <c r="F1178" s="79">
        <v>65.5</v>
      </c>
      <c r="G1178" s="445"/>
      <c r="H1178" s="178">
        <v>65.5</v>
      </c>
      <c r="I1178" s="178">
        <v>80.56</v>
      </c>
      <c r="J1178" s="70">
        <v>-15.060000000000002</v>
      </c>
      <c r="K1178" s="320"/>
      <c r="L1178" s="178">
        <v>25.490000000000002</v>
      </c>
      <c r="M1178" s="178">
        <v>40.01</v>
      </c>
      <c r="N1178" s="179">
        <v>0</v>
      </c>
      <c r="O1178" s="178">
        <v>65.5</v>
      </c>
      <c r="P1178" s="453"/>
      <c r="Q1178" s="61"/>
      <c r="R1178" s="298"/>
      <c r="S1178" s="669"/>
      <c r="X1178" s="444">
        <v>1178</v>
      </c>
    </row>
    <row r="1179" spans="1:32" ht="12">
      <c r="A1179" s="83" t="s">
        <v>20318</v>
      </c>
      <c r="B1179" s="64" t="s">
        <v>20319</v>
      </c>
      <c r="C1179" s="71" t="s">
        <v>165</v>
      </c>
      <c r="D1179" s="79">
        <v>1</v>
      </c>
      <c r="E1179" s="79">
        <v>90.84</v>
      </c>
      <c r="F1179" s="79">
        <v>90.84</v>
      </c>
      <c r="G1179" s="445"/>
      <c r="H1179" s="178">
        <v>90.84</v>
      </c>
      <c r="I1179" s="178">
        <v>111.73</v>
      </c>
      <c r="J1179" s="70">
        <v>-20.89</v>
      </c>
      <c r="K1179" s="320"/>
      <c r="L1179" s="178">
        <v>30.59</v>
      </c>
      <c r="M1179" s="178">
        <v>60.25</v>
      </c>
      <c r="N1179" s="179">
        <v>0</v>
      </c>
      <c r="O1179" s="178">
        <v>90.84</v>
      </c>
      <c r="P1179" s="453"/>
      <c r="Q1179" s="61"/>
      <c r="R1179" s="298"/>
      <c r="S1179" s="669"/>
      <c r="X1179" s="444">
        <v>1179</v>
      </c>
    </row>
    <row r="1180" spans="1:32" ht="12">
      <c r="A1180" s="83" t="s">
        <v>20320</v>
      </c>
      <c r="B1180" s="64" t="s">
        <v>20321</v>
      </c>
      <c r="C1180" s="71" t="s">
        <v>165</v>
      </c>
      <c r="D1180" s="79">
        <v>1</v>
      </c>
      <c r="E1180" s="79">
        <v>161.25</v>
      </c>
      <c r="F1180" s="79">
        <v>161.25</v>
      </c>
      <c r="G1180" s="445"/>
      <c r="H1180" s="178">
        <v>161.26</v>
      </c>
      <c r="I1180" s="178">
        <v>198.35</v>
      </c>
      <c r="J1180" s="70">
        <v>-37.099999999999994</v>
      </c>
      <c r="K1180" s="320"/>
      <c r="L1180" s="178">
        <v>40.76</v>
      </c>
      <c r="M1180" s="178">
        <v>120.49000000000001</v>
      </c>
      <c r="N1180" s="179">
        <v>0</v>
      </c>
      <c r="O1180" s="178">
        <v>161.25</v>
      </c>
      <c r="P1180" s="453"/>
      <c r="Q1180" s="61"/>
      <c r="R1180" s="298"/>
      <c r="S1180" s="669"/>
      <c r="X1180" s="444">
        <v>1180</v>
      </c>
    </row>
    <row r="1181" spans="1:32" ht="12">
      <c r="A1181" s="83" t="s">
        <v>20322</v>
      </c>
      <c r="B1181" s="64" t="s">
        <v>20323</v>
      </c>
      <c r="C1181" s="71" t="s">
        <v>103</v>
      </c>
      <c r="D1181" s="79">
        <v>1</v>
      </c>
      <c r="E1181" s="79">
        <v>13.23</v>
      </c>
      <c r="F1181" s="79">
        <v>13.23</v>
      </c>
      <c r="G1181" s="445"/>
      <c r="H1181" s="178">
        <v>13.22</v>
      </c>
      <c r="I1181" s="178">
        <v>16.260000000000002</v>
      </c>
      <c r="J1181" s="70">
        <v>-3.0300000000000011</v>
      </c>
      <c r="K1181" s="320"/>
      <c r="L1181" s="178">
        <v>2.8</v>
      </c>
      <c r="M1181" s="178">
        <v>10.43</v>
      </c>
      <c r="N1181" s="179">
        <v>0</v>
      </c>
      <c r="O1181" s="178">
        <v>13.23</v>
      </c>
      <c r="P1181" s="453"/>
      <c r="Q1181" s="61"/>
      <c r="R1181" s="298"/>
      <c r="S1181" s="669"/>
      <c r="X1181" s="444">
        <v>1181</v>
      </c>
    </row>
    <row r="1182" spans="1:32" ht="12">
      <c r="A1182" s="83" t="s">
        <v>20324</v>
      </c>
      <c r="B1182" s="64" t="s">
        <v>20325</v>
      </c>
      <c r="C1182" s="71" t="s">
        <v>103</v>
      </c>
      <c r="D1182" s="79">
        <v>1</v>
      </c>
      <c r="E1182" s="79">
        <v>15.45</v>
      </c>
      <c r="F1182" s="79">
        <v>15.45</v>
      </c>
      <c r="G1182" s="445"/>
      <c r="H1182" s="178">
        <v>15.44</v>
      </c>
      <c r="I1182" s="178">
        <v>18.989999999999998</v>
      </c>
      <c r="J1182" s="70">
        <v>-3.5399999999999991</v>
      </c>
      <c r="K1182" s="320"/>
      <c r="L1182" s="178">
        <v>2.8</v>
      </c>
      <c r="M1182" s="178">
        <v>12.649999999999999</v>
      </c>
      <c r="N1182" s="179">
        <v>0</v>
      </c>
      <c r="O1182" s="178">
        <v>15.45</v>
      </c>
      <c r="P1182" s="453"/>
      <c r="Q1182" s="61"/>
      <c r="R1182" s="298"/>
      <c r="S1182" s="669"/>
      <c r="X1182" s="444">
        <v>1182</v>
      </c>
    </row>
    <row r="1183" spans="1:32" ht="12">
      <c r="A1183" s="83" t="s">
        <v>20326</v>
      </c>
      <c r="B1183" s="64" t="s">
        <v>20327</v>
      </c>
      <c r="C1183" s="71" t="s">
        <v>103</v>
      </c>
      <c r="D1183" s="79">
        <v>1</v>
      </c>
      <c r="E1183" s="79">
        <v>35.81</v>
      </c>
      <c r="F1183" s="79">
        <v>35.81</v>
      </c>
      <c r="G1183" s="445"/>
      <c r="H1183" s="178">
        <v>35.799999999999997</v>
      </c>
      <c r="I1183" s="178">
        <v>44.03</v>
      </c>
      <c r="J1183" s="70">
        <v>-8.2199999999999989</v>
      </c>
      <c r="K1183" s="320"/>
      <c r="L1183" s="178">
        <v>4.2</v>
      </c>
      <c r="M1183" s="178">
        <v>31.610000000000003</v>
      </c>
      <c r="N1183" s="179">
        <v>0</v>
      </c>
      <c r="O1183" s="178">
        <v>35.81</v>
      </c>
      <c r="P1183" s="453"/>
      <c r="Q1183" s="61"/>
      <c r="R1183" s="298"/>
      <c r="S1183" s="669"/>
      <c r="X1183" s="444">
        <v>1183</v>
      </c>
    </row>
    <row r="1184" spans="1:32" ht="24">
      <c r="A1184" s="83" t="s">
        <v>40910</v>
      </c>
      <c r="B1184" s="464" t="s">
        <v>39694</v>
      </c>
      <c r="C1184" s="71" t="s">
        <v>509</v>
      </c>
      <c r="D1184" s="79">
        <v>1</v>
      </c>
      <c r="E1184" s="79">
        <v>161.25</v>
      </c>
      <c r="F1184" s="79">
        <v>161.25</v>
      </c>
      <c r="H1184" s="70">
        <v>161.26</v>
      </c>
      <c r="I1184" s="178">
        <v>198.35</v>
      </c>
      <c r="J1184" s="70">
        <v>-37.099999999999994</v>
      </c>
      <c r="K1184" s="320"/>
      <c r="L1184" s="178">
        <v>40.76</v>
      </c>
      <c r="M1184" s="70">
        <v>120.49000000000001</v>
      </c>
      <c r="N1184" s="179">
        <v>0</v>
      </c>
      <c r="O1184" s="753">
        <v>161.25</v>
      </c>
      <c r="Q1184" s="61"/>
      <c r="R1184" s="298"/>
      <c r="S1184" s="669"/>
      <c r="X1184" s="444">
        <v>1184</v>
      </c>
    </row>
    <row r="1185" spans="1:24" ht="24">
      <c r="A1185" s="83" t="s">
        <v>40911</v>
      </c>
      <c r="B1185" s="64" t="s">
        <v>39695</v>
      </c>
      <c r="C1185" s="71" t="s">
        <v>509</v>
      </c>
      <c r="D1185" s="79">
        <v>1</v>
      </c>
      <c r="E1185" s="79">
        <v>174.79</v>
      </c>
      <c r="F1185" s="79">
        <v>174.79</v>
      </c>
      <c r="H1185" s="70">
        <v>174.8</v>
      </c>
      <c r="I1185" s="178">
        <v>215</v>
      </c>
      <c r="J1185" s="70">
        <v>-40.210000000000008</v>
      </c>
      <c r="K1185" s="320"/>
      <c r="L1185" s="178">
        <v>40.76</v>
      </c>
      <c r="M1185" s="70">
        <v>134.03</v>
      </c>
      <c r="N1185" s="179">
        <v>0</v>
      </c>
      <c r="O1185" s="753">
        <v>174.79</v>
      </c>
      <c r="Q1185" s="61"/>
      <c r="R1185" s="298"/>
      <c r="S1185" s="669"/>
      <c r="X1185" s="444">
        <v>1185</v>
      </c>
    </row>
    <row r="1186" spans="1:24" ht="12">
      <c r="A1186" s="83" t="s">
        <v>20328</v>
      </c>
      <c r="B1186" s="64" t="s">
        <v>20329</v>
      </c>
      <c r="C1186" s="71" t="s">
        <v>103</v>
      </c>
      <c r="D1186" s="79">
        <v>1</v>
      </c>
      <c r="E1186" s="79">
        <v>252.13</v>
      </c>
      <c r="F1186" s="79">
        <v>252.13</v>
      </c>
      <c r="G1186" s="445"/>
      <c r="H1186" s="178">
        <v>252.14</v>
      </c>
      <c r="I1186" s="178">
        <v>310.13</v>
      </c>
      <c r="J1186" s="70">
        <v>-58</v>
      </c>
      <c r="K1186" s="320"/>
      <c r="L1186" s="178">
        <v>71.349999999999994</v>
      </c>
      <c r="M1186" s="178">
        <v>180.78</v>
      </c>
      <c r="N1186" s="179">
        <v>0</v>
      </c>
      <c r="O1186" s="178">
        <v>252.13</v>
      </c>
      <c r="P1186" s="453"/>
      <c r="Q1186" s="61"/>
      <c r="R1186" s="298"/>
      <c r="S1186" s="669"/>
      <c r="X1186" s="444">
        <v>1186</v>
      </c>
    </row>
    <row r="1187" spans="1:24" ht="12">
      <c r="A1187" s="83" t="s">
        <v>20330</v>
      </c>
      <c r="B1187" s="64" t="s">
        <v>20277</v>
      </c>
      <c r="C1187" s="71" t="s">
        <v>10216</v>
      </c>
      <c r="D1187" s="79">
        <v>1</v>
      </c>
      <c r="E1187" s="79">
        <v>577.26</v>
      </c>
      <c r="F1187" s="79">
        <v>577.26</v>
      </c>
      <c r="G1187" s="445"/>
      <c r="H1187" s="178">
        <v>577.25</v>
      </c>
      <c r="I1187" s="178">
        <v>710.02</v>
      </c>
      <c r="J1187" s="70">
        <v>-132.76</v>
      </c>
      <c r="K1187" s="320"/>
      <c r="L1187" s="178"/>
      <c r="M1187" s="178">
        <v>577.26</v>
      </c>
      <c r="N1187" s="179">
        <v>0</v>
      </c>
      <c r="O1187" s="178">
        <v>577.26</v>
      </c>
      <c r="P1187" s="453"/>
      <c r="Q1187" s="61"/>
      <c r="R1187" s="298"/>
      <c r="S1187" s="669"/>
      <c r="X1187" s="444">
        <v>1187</v>
      </c>
    </row>
    <row r="1188" spans="1:24" ht="12">
      <c r="A1188" s="83" t="s">
        <v>39696</v>
      </c>
      <c r="B1188" s="64" t="s">
        <v>39697</v>
      </c>
      <c r="C1188" s="71"/>
      <c r="D1188" s="79" t="s">
        <v>40899</v>
      </c>
      <c r="E1188" s="79" t="s">
        <v>40899</v>
      </c>
      <c r="F1188" s="79"/>
      <c r="G1188" s="445"/>
      <c r="H1188" s="178"/>
      <c r="I1188" s="178"/>
      <c r="J1188" s="70"/>
      <c r="K1188" s="320"/>
      <c r="L1188" s="178"/>
      <c r="M1188" s="178"/>
      <c r="N1188" s="179"/>
      <c r="O1188" s="178"/>
      <c r="P1188" s="453"/>
      <c r="Q1188" s="61"/>
      <c r="R1188" s="298"/>
      <c r="S1188" s="669"/>
      <c r="X1188" s="444">
        <v>1188</v>
      </c>
    </row>
    <row r="1189" spans="1:24" ht="12">
      <c r="A1189" s="83" t="s">
        <v>20331</v>
      </c>
      <c r="B1189" s="64" t="s">
        <v>20021</v>
      </c>
      <c r="C1189" s="71" t="s">
        <v>165</v>
      </c>
      <c r="D1189" s="79">
        <v>1</v>
      </c>
      <c r="E1189" s="79">
        <v>26.65</v>
      </c>
      <c r="F1189" s="79">
        <v>26.65</v>
      </c>
      <c r="G1189" s="445"/>
      <c r="H1189" s="178">
        <v>26.66</v>
      </c>
      <c r="I1189" s="178">
        <v>32.79</v>
      </c>
      <c r="J1189" s="70">
        <v>-6.1400000000000006</v>
      </c>
      <c r="K1189" s="320"/>
      <c r="L1189" s="178">
        <v>20.38</v>
      </c>
      <c r="M1189" s="178">
        <v>6.27</v>
      </c>
      <c r="N1189" s="179">
        <v>0</v>
      </c>
      <c r="O1189" s="178">
        <v>26.65</v>
      </c>
      <c r="P1189" s="453"/>
      <c r="Q1189" s="61"/>
      <c r="R1189" s="298"/>
      <c r="S1189" s="669"/>
      <c r="X1189" s="444">
        <v>1189</v>
      </c>
    </row>
    <row r="1190" spans="1:24" ht="12">
      <c r="A1190" s="83" t="s">
        <v>20332</v>
      </c>
      <c r="B1190" s="64" t="s">
        <v>20023</v>
      </c>
      <c r="C1190" s="71" t="s">
        <v>165</v>
      </c>
      <c r="D1190" s="79">
        <v>1</v>
      </c>
      <c r="E1190" s="79">
        <v>35.56</v>
      </c>
      <c r="F1190" s="79">
        <v>35.56</v>
      </c>
      <c r="G1190" s="445"/>
      <c r="H1190" s="178">
        <v>35.56</v>
      </c>
      <c r="I1190" s="178">
        <v>43.74</v>
      </c>
      <c r="J1190" s="70">
        <v>-8.18</v>
      </c>
      <c r="K1190" s="320"/>
      <c r="L1190" s="178">
        <v>22.93</v>
      </c>
      <c r="M1190" s="178">
        <v>12.630000000000003</v>
      </c>
      <c r="N1190" s="179">
        <v>0</v>
      </c>
      <c r="O1190" s="178">
        <v>35.56</v>
      </c>
      <c r="P1190" s="453"/>
      <c r="Q1190" s="61"/>
      <c r="R1190" s="298"/>
      <c r="S1190" s="669"/>
      <c r="X1190" s="444">
        <v>1190</v>
      </c>
    </row>
    <row r="1191" spans="1:24" ht="12">
      <c r="A1191" s="83" t="s">
        <v>20333</v>
      </c>
      <c r="B1191" s="64" t="s">
        <v>20025</v>
      </c>
      <c r="C1191" s="71" t="s">
        <v>165</v>
      </c>
      <c r="D1191" s="79">
        <v>1</v>
      </c>
      <c r="E1191" s="79">
        <v>48.94</v>
      </c>
      <c r="F1191" s="79">
        <v>48.94</v>
      </c>
      <c r="G1191" s="445"/>
      <c r="H1191" s="178">
        <v>48.92</v>
      </c>
      <c r="I1191" s="178">
        <v>60.17</v>
      </c>
      <c r="J1191" s="70">
        <v>-11.230000000000004</v>
      </c>
      <c r="K1191" s="320"/>
      <c r="L1191" s="178">
        <v>25.490000000000002</v>
      </c>
      <c r="M1191" s="178">
        <v>23.449999999999996</v>
      </c>
      <c r="N1191" s="179">
        <v>0</v>
      </c>
      <c r="O1191" s="178">
        <v>48.94</v>
      </c>
      <c r="P1191" s="453"/>
      <c r="Q1191" s="61"/>
      <c r="R1191" s="298"/>
      <c r="S1191" s="669"/>
      <c r="X1191" s="444">
        <v>1191</v>
      </c>
    </row>
    <row r="1192" spans="1:24" ht="12">
      <c r="A1192" s="83" t="s">
        <v>20334</v>
      </c>
      <c r="B1192" s="64" t="s">
        <v>20027</v>
      </c>
      <c r="C1192" s="71" t="s">
        <v>165</v>
      </c>
      <c r="D1192" s="79">
        <v>1</v>
      </c>
      <c r="E1192" s="79">
        <v>51.66</v>
      </c>
      <c r="F1192" s="79">
        <v>51.66</v>
      </c>
      <c r="G1192" s="445"/>
      <c r="H1192" s="178">
        <v>51.64</v>
      </c>
      <c r="I1192" s="178">
        <v>63.52</v>
      </c>
      <c r="J1192" s="70">
        <v>-11.860000000000007</v>
      </c>
      <c r="K1192" s="320"/>
      <c r="L1192" s="178">
        <v>30.59</v>
      </c>
      <c r="M1192" s="178">
        <v>21.069999999999997</v>
      </c>
      <c r="N1192" s="179">
        <v>0</v>
      </c>
      <c r="O1192" s="178">
        <v>51.66</v>
      </c>
      <c r="P1192" s="453"/>
      <c r="Q1192" s="61"/>
      <c r="R1192" s="298"/>
      <c r="S1192" s="669"/>
      <c r="X1192" s="444">
        <v>1192</v>
      </c>
    </row>
    <row r="1193" spans="1:24" ht="12">
      <c r="A1193" s="83" t="s">
        <v>20335</v>
      </c>
      <c r="B1193" s="64" t="s">
        <v>20028</v>
      </c>
      <c r="C1193" s="71" t="s">
        <v>165</v>
      </c>
      <c r="D1193" s="79">
        <v>1</v>
      </c>
      <c r="E1193" s="79">
        <v>80.490000000000009</v>
      </c>
      <c r="F1193" s="79">
        <v>80.489999999999995</v>
      </c>
      <c r="G1193" s="445"/>
      <c r="H1193" s="178">
        <v>80.459999999999994</v>
      </c>
      <c r="I1193" s="178">
        <v>98.97</v>
      </c>
      <c r="J1193" s="70">
        <v>-18.47999999999999</v>
      </c>
      <c r="K1193" s="320"/>
      <c r="L1193" s="178">
        <v>35.700000000000003</v>
      </c>
      <c r="M1193" s="178">
        <v>44.790000000000006</v>
      </c>
      <c r="N1193" s="179">
        <v>0</v>
      </c>
      <c r="O1193" s="178">
        <v>80.490000000000009</v>
      </c>
      <c r="P1193" s="453"/>
      <c r="Q1193" s="61"/>
      <c r="R1193" s="298"/>
      <c r="S1193" s="669"/>
      <c r="X1193" s="444">
        <v>1193</v>
      </c>
    </row>
    <row r="1194" spans="1:24" ht="12">
      <c r="A1194" s="83" t="s">
        <v>20336</v>
      </c>
      <c r="B1194" s="64" t="s">
        <v>20030</v>
      </c>
      <c r="C1194" s="71" t="s">
        <v>165</v>
      </c>
      <c r="D1194" s="79">
        <v>1</v>
      </c>
      <c r="E1194" s="79">
        <v>108.06000000000002</v>
      </c>
      <c r="F1194" s="79">
        <v>108.06</v>
      </c>
      <c r="G1194" s="445"/>
      <c r="H1194" s="178">
        <v>108.06</v>
      </c>
      <c r="I1194" s="178">
        <v>132.91</v>
      </c>
      <c r="J1194" s="70">
        <v>-24.84999999999998</v>
      </c>
      <c r="K1194" s="320"/>
      <c r="L1194" s="178">
        <v>45.870000000000005</v>
      </c>
      <c r="M1194" s="178">
        <v>62.190000000000012</v>
      </c>
      <c r="N1194" s="179">
        <v>0</v>
      </c>
      <c r="O1194" s="178">
        <v>108.06000000000002</v>
      </c>
      <c r="P1194" s="453"/>
      <c r="Q1194" s="61"/>
      <c r="R1194" s="298"/>
      <c r="S1194" s="669"/>
      <c r="X1194" s="444">
        <v>1194</v>
      </c>
    </row>
    <row r="1195" spans="1:24" ht="12">
      <c r="A1195" s="83" t="s">
        <v>20337</v>
      </c>
      <c r="B1195" s="64" t="s">
        <v>20032</v>
      </c>
      <c r="C1195" s="71" t="s">
        <v>165</v>
      </c>
      <c r="D1195" s="79">
        <v>1</v>
      </c>
      <c r="E1195" s="79">
        <v>123.4</v>
      </c>
      <c r="F1195" s="79">
        <v>123.4</v>
      </c>
      <c r="G1195" s="445"/>
      <c r="H1195" s="178">
        <v>123.4</v>
      </c>
      <c r="I1195" s="178">
        <v>151.78</v>
      </c>
      <c r="J1195" s="70">
        <v>-28.379999999999995</v>
      </c>
      <c r="K1195" s="320"/>
      <c r="L1195" s="178">
        <v>50.97</v>
      </c>
      <c r="M1195" s="178">
        <v>72.430000000000007</v>
      </c>
      <c r="N1195" s="179">
        <v>0</v>
      </c>
      <c r="O1195" s="178">
        <v>123.4</v>
      </c>
      <c r="P1195" s="453"/>
      <c r="Q1195" s="61"/>
      <c r="R1195" s="298"/>
      <c r="S1195" s="669"/>
      <c r="X1195" s="444">
        <v>1195</v>
      </c>
    </row>
    <row r="1196" spans="1:24" ht="12">
      <c r="A1196" s="83" t="s">
        <v>20338</v>
      </c>
      <c r="B1196" s="64" t="s">
        <v>20034</v>
      </c>
      <c r="C1196" s="71" t="s">
        <v>165</v>
      </c>
      <c r="D1196" s="79">
        <v>1</v>
      </c>
      <c r="E1196" s="79">
        <v>181.41000000000003</v>
      </c>
      <c r="F1196" s="79">
        <v>181.41</v>
      </c>
      <c r="G1196" s="445"/>
      <c r="H1196" s="178">
        <v>181.4</v>
      </c>
      <c r="I1196" s="178">
        <v>223.12</v>
      </c>
      <c r="J1196" s="70">
        <v>-41.70999999999998</v>
      </c>
      <c r="K1196" s="320"/>
      <c r="L1196" s="178">
        <v>56.08</v>
      </c>
      <c r="M1196" s="178">
        <v>125.33000000000003</v>
      </c>
      <c r="N1196" s="179">
        <v>0</v>
      </c>
      <c r="O1196" s="178">
        <v>181.41000000000003</v>
      </c>
      <c r="P1196" s="453"/>
      <c r="Q1196" s="61"/>
      <c r="R1196" s="298"/>
      <c r="S1196" s="669"/>
      <c r="X1196" s="444">
        <v>1196</v>
      </c>
    </row>
    <row r="1197" spans="1:24" ht="12">
      <c r="A1197" s="83" t="s">
        <v>20339</v>
      </c>
      <c r="B1197" s="64" t="s">
        <v>20000</v>
      </c>
      <c r="C1197" s="71" t="s">
        <v>165</v>
      </c>
      <c r="D1197" s="79">
        <v>1</v>
      </c>
      <c r="E1197" s="79">
        <v>80.36</v>
      </c>
      <c r="F1197" s="79">
        <v>80.36</v>
      </c>
      <c r="G1197" s="445"/>
      <c r="H1197" s="178">
        <v>80.37</v>
      </c>
      <c r="I1197" s="178">
        <v>98.86</v>
      </c>
      <c r="J1197" s="70">
        <v>-18.5</v>
      </c>
      <c r="K1197" s="320"/>
      <c r="L1197" s="178">
        <v>40.76</v>
      </c>
      <c r="M1197" s="178">
        <v>39.6</v>
      </c>
      <c r="N1197" s="179">
        <v>0</v>
      </c>
      <c r="O1197" s="178">
        <v>80.36</v>
      </c>
      <c r="P1197" s="453"/>
      <c r="Q1197" s="61"/>
      <c r="R1197" s="298"/>
      <c r="S1197" s="669"/>
      <c r="X1197" s="444">
        <v>1197</v>
      </c>
    </row>
    <row r="1198" spans="1:24" ht="12">
      <c r="A1198" s="83" t="s">
        <v>20340</v>
      </c>
      <c r="B1198" s="64" t="s">
        <v>20341</v>
      </c>
      <c r="C1198" s="71" t="s">
        <v>165</v>
      </c>
      <c r="D1198" s="79">
        <v>1</v>
      </c>
      <c r="E1198" s="79">
        <v>109.33999999999999</v>
      </c>
      <c r="F1198" s="79">
        <v>109.34</v>
      </c>
      <c r="G1198" s="445"/>
      <c r="H1198" s="178">
        <v>109.32</v>
      </c>
      <c r="I1198" s="178">
        <v>134.46</v>
      </c>
      <c r="J1198" s="70">
        <v>-25.120000000000019</v>
      </c>
      <c r="K1198" s="320"/>
      <c r="L1198" s="178">
        <v>56.08</v>
      </c>
      <c r="M1198" s="178">
        <v>53.259999999999991</v>
      </c>
      <c r="N1198" s="179">
        <v>0</v>
      </c>
      <c r="O1198" s="178">
        <v>109.33999999999999</v>
      </c>
      <c r="P1198" s="453"/>
      <c r="Q1198" s="61"/>
      <c r="R1198" s="298"/>
      <c r="S1198" s="669"/>
      <c r="X1198" s="444">
        <v>1198</v>
      </c>
    </row>
    <row r="1199" spans="1:24" ht="12">
      <c r="A1199" s="83" t="s">
        <v>20342</v>
      </c>
      <c r="B1199" s="64" t="s">
        <v>20343</v>
      </c>
      <c r="C1199" s="71" t="s">
        <v>165</v>
      </c>
      <c r="D1199" s="79">
        <v>1</v>
      </c>
      <c r="E1199" s="79">
        <v>130.36000000000001</v>
      </c>
      <c r="F1199" s="79">
        <v>130.36000000000001</v>
      </c>
      <c r="G1199" s="445"/>
      <c r="H1199" s="178">
        <v>130.34</v>
      </c>
      <c r="I1199" s="178">
        <v>160.32</v>
      </c>
      <c r="J1199" s="70">
        <v>-29.95999999999998</v>
      </c>
      <c r="K1199" s="320"/>
      <c r="L1199" s="178">
        <v>61.18</v>
      </c>
      <c r="M1199" s="178">
        <v>69.180000000000007</v>
      </c>
      <c r="N1199" s="179">
        <v>0</v>
      </c>
      <c r="O1199" s="178">
        <v>130.36000000000001</v>
      </c>
      <c r="P1199" s="453"/>
      <c r="Q1199" s="61"/>
      <c r="R1199" s="298"/>
      <c r="S1199" s="669"/>
      <c r="X1199" s="444">
        <v>1199</v>
      </c>
    </row>
    <row r="1200" spans="1:24" ht="12">
      <c r="A1200" s="83" t="s">
        <v>20344</v>
      </c>
      <c r="B1200" s="64" t="s">
        <v>20345</v>
      </c>
      <c r="C1200" s="71" t="s">
        <v>165</v>
      </c>
      <c r="D1200" s="79">
        <v>1</v>
      </c>
      <c r="E1200" s="79">
        <v>149.4</v>
      </c>
      <c r="F1200" s="79">
        <v>149.4</v>
      </c>
      <c r="G1200" s="445"/>
      <c r="H1200" s="178">
        <v>149.41</v>
      </c>
      <c r="I1200" s="178">
        <v>183.77</v>
      </c>
      <c r="J1200" s="70">
        <v>-34.370000000000005</v>
      </c>
      <c r="K1200" s="320"/>
      <c r="L1200" s="178">
        <v>71.349999999999994</v>
      </c>
      <c r="M1200" s="178">
        <v>78.050000000000011</v>
      </c>
      <c r="N1200" s="179">
        <v>0</v>
      </c>
      <c r="O1200" s="178">
        <v>149.4</v>
      </c>
      <c r="P1200" s="453"/>
      <c r="Q1200" s="61"/>
      <c r="R1200" s="298"/>
      <c r="S1200" s="669"/>
      <c r="X1200" s="444">
        <v>1200</v>
      </c>
    </row>
    <row r="1201" spans="1:24" ht="12">
      <c r="A1201" s="83" t="s">
        <v>20346</v>
      </c>
      <c r="B1201" s="64" t="s">
        <v>20008</v>
      </c>
      <c r="C1201" s="71" t="s">
        <v>165</v>
      </c>
      <c r="D1201" s="79">
        <v>1</v>
      </c>
      <c r="E1201" s="79">
        <v>185.53</v>
      </c>
      <c r="F1201" s="79">
        <v>185.53</v>
      </c>
      <c r="G1201" s="445"/>
      <c r="H1201" s="178">
        <v>185.51</v>
      </c>
      <c r="I1201" s="178">
        <v>228.18</v>
      </c>
      <c r="J1201" s="70">
        <v>-42.650000000000006</v>
      </c>
      <c r="K1201" s="320"/>
      <c r="L1201" s="178">
        <v>81.56</v>
      </c>
      <c r="M1201" s="178">
        <v>103.97</v>
      </c>
      <c r="N1201" s="179">
        <v>0</v>
      </c>
      <c r="O1201" s="178">
        <v>185.53</v>
      </c>
      <c r="P1201" s="453"/>
      <c r="Q1201" s="61"/>
      <c r="R1201" s="298"/>
      <c r="S1201" s="669"/>
      <c r="X1201" s="444">
        <v>1201</v>
      </c>
    </row>
    <row r="1202" spans="1:24" ht="12">
      <c r="A1202" s="83" t="s">
        <v>20347</v>
      </c>
      <c r="B1202" s="64" t="s">
        <v>20348</v>
      </c>
      <c r="C1202" s="71" t="s">
        <v>165</v>
      </c>
      <c r="D1202" s="79">
        <v>1</v>
      </c>
      <c r="E1202" s="79">
        <v>224.6</v>
      </c>
      <c r="F1202" s="79">
        <v>224.6</v>
      </c>
      <c r="G1202" s="445"/>
      <c r="H1202" s="178">
        <v>224.62</v>
      </c>
      <c r="I1202" s="178">
        <v>276.27999999999997</v>
      </c>
      <c r="J1202" s="70">
        <v>-51.679999999999978</v>
      </c>
      <c r="K1202" s="320"/>
      <c r="L1202" s="178">
        <v>91.72999999999999</v>
      </c>
      <c r="M1202" s="178">
        <v>132.87</v>
      </c>
      <c r="N1202" s="179">
        <v>0</v>
      </c>
      <c r="O1202" s="178">
        <v>224.6</v>
      </c>
      <c r="P1202" s="453"/>
      <c r="Q1202" s="61"/>
      <c r="R1202" s="298"/>
      <c r="S1202" s="669"/>
      <c r="X1202" s="444">
        <v>1202</v>
      </c>
    </row>
    <row r="1203" spans="1:24" ht="12">
      <c r="A1203" s="83" t="s">
        <v>20349</v>
      </c>
      <c r="B1203" s="64" t="s">
        <v>20012</v>
      </c>
      <c r="C1203" s="71" t="s">
        <v>165</v>
      </c>
      <c r="D1203" s="79">
        <v>1</v>
      </c>
      <c r="E1203" s="79">
        <v>250.95</v>
      </c>
      <c r="F1203" s="79">
        <v>250.95</v>
      </c>
      <c r="G1203" s="445"/>
      <c r="H1203" s="178">
        <v>250.94</v>
      </c>
      <c r="I1203" s="178">
        <v>308.66000000000003</v>
      </c>
      <c r="J1203" s="70">
        <v>-57.710000000000036</v>
      </c>
      <c r="K1203" s="320"/>
      <c r="L1203" s="178">
        <v>101.94</v>
      </c>
      <c r="M1203" s="178">
        <v>149.01</v>
      </c>
      <c r="N1203" s="179">
        <v>0</v>
      </c>
      <c r="O1203" s="178">
        <v>250.95</v>
      </c>
      <c r="P1203" s="453"/>
      <c r="Q1203" s="61"/>
      <c r="R1203" s="298"/>
      <c r="S1203" s="669"/>
      <c r="X1203" s="444">
        <v>1203</v>
      </c>
    </row>
    <row r="1204" spans="1:24" ht="12">
      <c r="A1204" s="83" t="s">
        <v>20350</v>
      </c>
      <c r="B1204" s="64" t="s">
        <v>20014</v>
      </c>
      <c r="C1204" s="71" t="s">
        <v>165</v>
      </c>
      <c r="D1204" s="79">
        <v>1</v>
      </c>
      <c r="E1204" s="79">
        <v>335.11</v>
      </c>
      <c r="F1204" s="79">
        <v>335.11</v>
      </c>
      <c r="G1204" s="445"/>
      <c r="H1204" s="178">
        <v>335.09</v>
      </c>
      <c r="I1204" s="178">
        <v>412.16</v>
      </c>
      <c r="J1204" s="70">
        <v>-77.050000000000011</v>
      </c>
      <c r="K1204" s="320"/>
      <c r="L1204" s="178">
        <v>112.15</v>
      </c>
      <c r="M1204" s="178">
        <v>222.96</v>
      </c>
      <c r="N1204" s="179">
        <v>0</v>
      </c>
      <c r="O1204" s="178">
        <v>335.11</v>
      </c>
      <c r="P1204" s="453"/>
      <c r="Q1204" s="61"/>
      <c r="R1204" s="298"/>
      <c r="S1204" s="669"/>
      <c r="T1204" s="69"/>
      <c r="X1204" s="444">
        <v>1204</v>
      </c>
    </row>
    <row r="1205" spans="1:24" ht="12">
      <c r="A1205" s="83" t="s">
        <v>20351</v>
      </c>
      <c r="B1205" s="64" t="s">
        <v>20352</v>
      </c>
      <c r="C1205" s="71" t="s">
        <v>10216</v>
      </c>
      <c r="D1205" s="79">
        <v>1</v>
      </c>
      <c r="E1205" s="79">
        <v>577.26</v>
      </c>
      <c r="F1205" s="79">
        <v>577.26</v>
      </c>
      <c r="G1205" s="445"/>
      <c r="H1205" s="178">
        <v>577.25</v>
      </c>
      <c r="I1205" s="178">
        <v>710.02</v>
      </c>
      <c r="J1205" s="70">
        <v>-132.76</v>
      </c>
      <c r="K1205" s="320"/>
      <c r="L1205" s="178"/>
      <c r="M1205" s="178">
        <v>577.26</v>
      </c>
      <c r="N1205" s="179">
        <v>0</v>
      </c>
      <c r="O1205" s="178">
        <v>577.26</v>
      </c>
      <c r="P1205" s="453"/>
      <c r="Q1205" s="61"/>
      <c r="R1205" s="298"/>
      <c r="S1205" s="669"/>
      <c r="X1205" s="444">
        <v>1205</v>
      </c>
    </row>
    <row r="1206" spans="1:24" ht="12">
      <c r="A1206" s="83" t="s">
        <v>39698</v>
      </c>
      <c r="B1206" s="64" t="s">
        <v>39699</v>
      </c>
      <c r="C1206" s="71"/>
      <c r="D1206" s="79" t="s">
        <v>40899</v>
      </c>
      <c r="E1206" s="79" t="s">
        <v>40899</v>
      </c>
      <c r="F1206" s="79"/>
      <c r="G1206" s="445"/>
      <c r="H1206" s="178"/>
      <c r="I1206" s="178"/>
      <c r="J1206" s="70"/>
      <c r="K1206" s="320"/>
      <c r="L1206" s="178"/>
      <c r="M1206" s="178"/>
      <c r="N1206" s="179"/>
      <c r="O1206" s="178"/>
      <c r="P1206" s="453"/>
      <c r="Q1206" s="61"/>
      <c r="R1206" s="298"/>
      <c r="S1206" s="669"/>
      <c r="X1206" s="444">
        <v>1206</v>
      </c>
    </row>
    <row r="1207" spans="1:24" ht="12">
      <c r="A1207" s="83" t="s">
        <v>20353</v>
      </c>
      <c r="B1207" s="64" t="s">
        <v>20049</v>
      </c>
      <c r="C1207" s="71" t="s">
        <v>103</v>
      </c>
      <c r="D1207" s="79">
        <v>1</v>
      </c>
      <c r="E1207" s="79">
        <v>84.6</v>
      </c>
      <c r="F1207" s="79">
        <v>84.6</v>
      </c>
      <c r="G1207" s="445"/>
      <c r="H1207" s="178">
        <v>84.59</v>
      </c>
      <c r="I1207" s="178">
        <v>104.04</v>
      </c>
      <c r="J1207" s="70">
        <v>-19.440000000000012</v>
      </c>
      <c r="K1207" s="320"/>
      <c r="L1207" s="178">
        <v>27.53</v>
      </c>
      <c r="M1207" s="178">
        <v>57.069999999999993</v>
      </c>
      <c r="N1207" s="179">
        <v>0</v>
      </c>
      <c r="O1207" s="178">
        <v>84.6</v>
      </c>
      <c r="P1207" s="453"/>
      <c r="Q1207" s="61"/>
      <c r="R1207" s="298"/>
      <c r="S1207" s="669"/>
      <c r="X1207" s="444">
        <v>1207</v>
      </c>
    </row>
    <row r="1208" spans="1:24" ht="12">
      <c r="A1208" s="83" t="s">
        <v>20354</v>
      </c>
      <c r="B1208" s="64" t="s">
        <v>20051</v>
      </c>
      <c r="C1208" s="71" t="s">
        <v>103</v>
      </c>
      <c r="D1208" s="79">
        <v>1</v>
      </c>
      <c r="E1208" s="79">
        <v>94.539999999999992</v>
      </c>
      <c r="F1208" s="79">
        <v>94.54</v>
      </c>
      <c r="G1208" s="445"/>
      <c r="H1208" s="178">
        <v>94.53</v>
      </c>
      <c r="I1208" s="178">
        <v>116.27</v>
      </c>
      <c r="J1208" s="70">
        <v>-21.730000000000004</v>
      </c>
      <c r="K1208" s="320"/>
      <c r="L1208" s="178">
        <v>27.53</v>
      </c>
      <c r="M1208" s="178">
        <v>67.009999999999991</v>
      </c>
      <c r="N1208" s="179">
        <v>0</v>
      </c>
      <c r="O1208" s="178">
        <v>94.539999999999992</v>
      </c>
      <c r="P1208" s="453"/>
      <c r="Q1208" s="61"/>
      <c r="R1208" s="298"/>
      <c r="S1208" s="669"/>
      <c r="X1208" s="444">
        <v>1208</v>
      </c>
    </row>
    <row r="1209" spans="1:24" ht="12">
      <c r="A1209" s="83" t="s">
        <v>20355</v>
      </c>
      <c r="B1209" s="64" t="s">
        <v>20053</v>
      </c>
      <c r="C1209" s="71" t="s">
        <v>103</v>
      </c>
      <c r="D1209" s="79">
        <v>1</v>
      </c>
      <c r="E1209" s="79">
        <v>135.66000000000003</v>
      </c>
      <c r="F1209" s="79">
        <v>135.66</v>
      </c>
      <c r="G1209" s="445"/>
      <c r="H1209" s="178">
        <v>135.66999999999999</v>
      </c>
      <c r="I1209" s="178">
        <v>166.87</v>
      </c>
      <c r="J1209" s="70">
        <v>-31.20999999999998</v>
      </c>
      <c r="K1209" s="320"/>
      <c r="L1209" s="178">
        <v>43.31</v>
      </c>
      <c r="M1209" s="178">
        <v>92.350000000000023</v>
      </c>
      <c r="N1209" s="179">
        <v>0</v>
      </c>
      <c r="O1209" s="178">
        <v>135.66000000000003</v>
      </c>
      <c r="P1209" s="453"/>
      <c r="Q1209" s="61"/>
      <c r="R1209" s="298"/>
      <c r="S1209" s="669"/>
      <c r="X1209" s="444">
        <v>1209</v>
      </c>
    </row>
    <row r="1210" spans="1:24" ht="12">
      <c r="A1210" s="83" t="s">
        <v>20356</v>
      </c>
      <c r="B1210" s="64" t="s">
        <v>20357</v>
      </c>
      <c r="C1210" s="71" t="s">
        <v>103</v>
      </c>
      <c r="D1210" s="79">
        <v>1</v>
      </c>
      <c r="E1210" s="79">
        <v>154.41000000000003</v>
      </c>
      <c r="F1210" s="79">
        <v>154.41</v>
      </c>
      <c r="G1210" s="445"/>
      <c r="H1210" s="178">
        <v>154.41999999999999</v>
      </c>
      <c r="I1210" s="178">
        <v>189.94</v>
      </c>
      <c r="J1210" s="70">
        <v>-35.529999999999973</v>
      </c>
      <c r="K1210" s="320"/>
      <c r="L1210" s="178">
        <v>43.31</v>
      </c>
      <c r="M1210" s="178">
        <v>111.10000000000002</v>
      </c>
      <c r="N1210" s="179">
        <v>0</v>
      </c>
      <c r="O1210" s="178">
        <v>154.41000000000003</v>
      </c>
      <c r="P1210" s="453"/>
      <c r="Q1210" s="61"/>
      <c r="R1210" s="298"/>
      <c r="S1210" s="669"/>
      <c r="X1210" s="444">
        <v>1210</v>
      </c>
    </row>
    <row r="1211" spans="1:24" ht="12">
      <c r="A1211" s="83" t="s">
        <v>20358</v>
      </c>
      <c r="B1211" s="64" t="s">
        <v>20057</v>
      </c>
      <c r="C1211" s="71" t="s">
        <v>103</v>
      </c>
      <c r="D1211" s="79">
        <v>1</v>
      </c>
      <c r="E1211" s="79">
        <v>224.82999999999998</v>
      </c>
      <c r="F1211" s="79">
        <v>224.83</v>
      </c>
      <c r="G1211" s="445"/>
      <c r="H1211" s="178">
        <v>224.84</v>
      </c>
      <c r="I1211" s="178">
        <v>276.55</v>
      </c>
      <c r="J1211" s="70">
        <v>-51.720000000000027</v>
      </c>
      <c r="K1211" s="320"/>
      <c r="L1211" s="178">
        <v>43.31</v>
      </c>
      <c r="M1211" s="178">
        <v>181.51999999999998</v>
      </c>
      <c r="N1211" s="179">
        <v>0</v>
      </c>
      <c r="O1211" s="178">
        <v>224.82999999999998</v>
      </c>
      <c r="P1211" s="453"/>
      <c r="Q1211" s="61"/>
      <c r="R1211" s="298"/>
      <c r="S1211" s="669"/>
      <c r="X1211" s="444">
        <v>1211</v>
      </c>
    </row>
    <row r="1212" spans="1:24" ht="12">
      <c r="A1212" s="83" t="s">
        <v>20359</v>
      </c>
      <c r="B1212" s="64" t="s">
        <v>20360</v>
      </c>
      <c r="C1212" s="71" t="s">
        <v>103</v>
      </c>
      <c r="D1212" s="79">
        <v>1</v>
      </c>
      <c r="E1212" s="79">
        <v>444.19</v>
      </c>
      <c r="F1212" s="79">
        <v>444.19</v>
      </c>
      <c r="G1212" s="445"/>
      <c r="H1212" s="178">
        <v>444.17</v>
      </c>
      <c r="I1212" s="178">
        <v>546.33000000000004</v>
      </c>
      <c r="J1212" s="70">
        <v>-102.14000000000004</v>
      </c>
      <c r="K1212" s="320"/>
      <c r="L1212" s="178">
        <v>58.629999999999995</v>
      </c>
      <c r="M1212" s="178">
        <v>385.56</v>
      </c>
      <c r="N1212" s="179">
        <v>0</v>
      </c>
      <c r="O1212" s="178">
        <v>444.19</v>
      </c>
      <c r="P1212" s="453"/>
      <c r="Q1212" s="61"/>
      <c r="R1212" s="298"/>
      <c r="S1212" s="669"/>
      <c r="X1212" s="444">
        <v>1212</v>
      </c>
    </row>
    <row r="1213" spans="1:24" ht="12">
      <c r="A1213" s="83" t="s">
        <v>20361</v>
      </c>
      <c r="B1213" s="64" t="s">
        <v>20061</v>
      </c>
      <c r="C1213" s="71" t="s">
        <v>103</v>
      </c>
      <c r="D1213" s="79">
        <v>1</v>
      </c>
      <c r="E1213" s="79">
        <v>706.67</v>
      </c>
      <c r="F1213" s="79">
        <v>706.67</v>
      </c>
      <c r="G1213" s="445"/>
      <c r="H1213" s="178">
        <v>706.65</v>
      </c>
      <c r="I1213" s="178">
        <v>869.18</v>
      </c>
      <c r="J1213" s="70">
        <v>-162.51</v>
      </c>
      <c r="K1213" s="320"/>
      <c r="L1213" s="178">
        <v>58.629999999999995</v>
      </c>
      <c r="M1213" s="178">
        <v>648.04</v>
      </c>
      <c r="N1213" s="179">
        <v>0</v>
      </c>
      <c r="O1213" s="178">
        <v>706.67</v>
      </c>
      <c r="P1213" s="453"/>
      <c r="Q1213" s="61"/>
      <c r="R1213" s="298"/>
      <c r="S1213" s="669"/>
      <c r="X1213" s="444">
        <v>1213</v>
      </c>
    </row>
    <row r="1214" spans="1:24" ht="12">
      <c r="A1214" s="83" t="s">
        <v>20362</v>
      </c>
      <c r="B1214" s="64" t="s">
        <v>20063</v>
      </c>
      <c r="C1214" s="71" t="s">
        <v>103</v>
      </c>
      <c r="D1214" s="79">
        <v>1</v>
      </c>
      <c r="E1214" s="79">
        <v>1200</v>
      </c>
      <c r="F1214" s="79">
        <v>1200</v>
      </c>
      <c r="G1214" s="445"/>
      <c r="H1214" s="178">
        <v>1199.99</v>
      </c>
      <c r="I1214" s="178">
        <v>1475.99</v>
      </c>
      <c r="J1214" s="70">
        <v>-275.99</v>
      </c>
      <c r="K1214" s="320"/>
      <c r="L1214" s="178">
        <v>75.44</v>
      </c>
      <c r="M1214" s="178">
        <v>1124.56</v>
      </c>
      <c r="N1214" s="179">
        <v>0</v>
      </c>
      <c r="O1214" s="178">
        <v>1200</v>
      </c>
      <c r="P1214" s="453"/>
      <c r="Q1214" s="61"/>
      <c r="R1214" s="298"/>
      <c r="S1214" s="669"/>
      <c r="X1214" s="444">
        <v>1214</v>
      </c>
    </row>
    <row r="1215" spans="1:24" ht="12">
      <c r="A1215" s="83" t="s">
        <v>20363</v>
      </c>
      <c r="B1215" s="64" t="s">
        <v>20364</v>
      </c>
      <c r="C1215" s="71" t="s">
        <v>103</v>
      </c>
      <c r="D1215" s="79">
        <v>1</v>
      </c>
      <c r="E1215" s="79">
        <v>187.38</v>
      </c>
      <c r="F1215" s="79">
        <v>187.38</v>
      </c>
      <c r="G1215" s="445"/>
      <c r="H1215" s="178">
        <v>187.35</v>
      </c>
      <c r="I1215" s="178">
        <v>230.44</v>
      </c>
      <c r="J1215" s="70">
        <v>-43.06</v>
      </c>
      <c r="K1215" s="320"/>
      <c r="L1215" s="178">
        <v>38.25</v>
      </c>
      <c r="M1215" s="178">
        <v>149.13</v>
      </c>
      <c r="N1215" s="179">
        <v>0</v>
      </c>
      <c r="O1215" s="178">
        <v>187.38</v>
      </c>
      <c r="P1215" s="453"/>
      <c r="Q1215" s="61"/>
      <c r="R1215" s="298"/>
      <c r="S1215" s="669"/>
      <c r="X1215" s="444">
        <v>1215</v>
      </c>
    </row>
    <row r="1216" spans="1:24" ht="12">
      <c r="A1216" s="83" t="s">
        <v>20365</v>
      </c>
      <c r="B1216" s="64" t="s">
        <v>20366</v>
      </c>
      <c r="C1216" s="71" t="s">
        <v>103</v>
      </c>
      <c r="D1216" s="79">
        <v>1</v>
      </c>
      <c r="E1216" s="79">
        <v>253.96</v>
      </c>
      <c r="F1216" s="79">
        <v>253.96</v>
      </c>
      <c r="G1216" s="445"/>
      <c r="H1216" s="178">
        <v>253.96</v>
      </c>
      <c r="I1216" s="178">
        <v>312.37</v>
      </c>
      <c r="J1216" s="70">
        <v>-58.41</v>
      </c>
      <c r="K1216" s="320"/>
      <c r="L1216" s="178">
        <v>45.870000000000005</v>
      </c>
      <c r="M1216" s="178">
        <v>208.09</v>
      </c>
      <c r="N1216" s="179">
        <v>0</v>
      </c>
      <c r="O1216" s="178">
        <v>253.96</v>
      </c>
      <c r="P1216" s="453"/>
      <c r="Q1216" s="61"/>
      <c r="R1216" s="298"/>
      <c r="S1216" s="669"/>
      <c r="X1216" s="444">
        <v>1216</v>
      </c>
    </row>
    <row r="1217" spans="1:24" ht="12">
      <c r="A1217" s="83" t="s">
        <v>20367</v>
      </c>
      <c r="B1217" s="64" t="s">
        <v>20368</v>
      </c>
      <c r="C1217" s="71" t="s">
        <v>103</v>
      </c>
      <c r="D1217" s="79">
        <v>1</v>
      </c>
      <c r="E1217" s="79">
        <v>295.91999999999996</v>
      </c>
      <c r="F1217" s="79">
        <v>295.92</v>
      </c>
      <c r="G1217" s="445"/>
      <c r="H1217" s="178">
        <v>295.92</v>
      </c>
      <c r="I1217" s="178">
        <v>363.98</v>
      </c>
      <c r="J1217" s="70">
        <v>-68.060000000000059</v>
      </c>
      <c r="K1217" s="320"/>
      <c r="L1217" s="178">
        <v>50.97</v>
      </c>
      <c r="M1217" s="178">
        <v>244.94999999999996</v>
      </c>
      <c r="N1217" s="179">
        <v>0</v>
      </c>
      <c r="O1217" s="178">
        <v>295.91999999999996</v>
      </c>
      <c r="P1217" s="453"/>
      <c r="Q1217" s="61"/>
      <c r="R1217" s="298"/>
      <c r="S1217" s="669"/>
      <c r="X1217" s="444">
        <v>1217</v>
      </c>
    </row>
    <row r="1218" spans="1:24" ht="12">
      <c r="A1218" s="83" t="s">
        <v>20369</v>
      </c>
      <c r="B1218" s="64" t="s">
        <v>20370</v>
      </c>
      <c r="C1218" s="71" t="s">
        <v>103</v>
      </c>
      <c r="D1218" s="79">
        <v>1</v>
      </c>
      <c r="E1218" s="79">
        <v>432.18</v>
      </c>
      <c r="F1218" s="79">
        <v>432.18</v>
      </c>
      <c r="G1218" s="445"/>
      <c r="H1218" s="178">
        <v>432.15</v>
      </c>
      <c r="I1218" s="178">
        <v>531.54</v>
      </c>
      <c r="J1218" s="70">
        <v>-99.359999999999957</v>
      </c>
      <c r="K1218" s="320"/>
      <c r="L1218" s="178">
        <v>63.74</v>
      </c>
      <c r="M1218" s="178">
        <v>368.44</v>
      </c>
      <c r="N1218" s="179">
        <v>0</v>
      </c>
      <c r="O1218" s="178">
        <v>432.18</v>
      </c>
      <c r="P1218" s="453"/>
      <c r="Q1218" s="61"/>
      <c r="R1218" s="298"/>
      <c r="S1218" s="669"/>
      <c r="X1218" s="444">
        <v>1218</v>
      </c>
    </row>
    <row r="1219" spans="1:24" ht="12">
      <c r="A1219" s="83" t="s">
        <v>20371</v>
      </c>
      <c r="B1219" s="64" t="s">
        <v>20372</v>
      </c>
      <c r="C1219" s="71" t="s">
        <v>103</v>
      </c>
      <c r="D1219" s="79">
        <v>1</v>
      </c>
      <c r="E1219" s="79">
        <v>699.72</v>
      </c>
      <c r="F1219" s="79">
        <v>699.72</v>
      </c>
      <c r="G1219" s="445"/>
      <c r="H1219" s="178">
        <v>699.7</v>
      </c>
      <c r="I1219" s="178">
        <v>860.63</v>
      </c>
      <c r="J1219" s="70">
        <v>-160.90999999999997</v>
      </c>
      <c r="K1219" s="320"/>
      <c r="L1219" s="178">
        <v>58.629999999999995</v>
      </c>
      <c r="M1219" s="178">
        <v>641.09</v>
      </c>
      <c r="N1219" s="179">
        <v>0</v>
      </c>
      <c r="O1219" s="178">
        <v>699.72</v>
      </c>
      <c r="P1219" s="453"/>
      <c r="Q1219" s="61"/>
      <c r="R1219" s="298"/>
      <c r="S1219" s="669"/>
      <c r="X1219" s="444">
        <v>1219</v>
      </c>
    </row>
    <row r="1220" spans="1:24" ht="12">
      <c r="A1220" s="83" t="s">
        <v>20373</v>
      </c>
      <c r="B1220" s="64" t="s">
        <v>20374</v>
      </c>
      <c r="C1220" s="71" t="s">
        <v>103</v>
      </c>
      <c r="D1220" s="79">
        <v>1</v>
      </c>
      <c r="E1220" s="79">
        <v>830.93</v>
      </c>
      <c r="F1220" s="79">
        <v>830.93</v>
      </c>
      <c r="G1220" s="445"/>
      <c r="H1220" s="178">
        <v>830.92</v>
      </c>
      <c r="I1220" s="178">
        <v>1022.03</v>
      </c>
      <c r="J1220" s="70">
        <v>-191.10000000000002</v>
      </c>
      <c r="K1220" s="320"/>
      <c r="L1220" s="178">
        <v>58.629999999999995</v>
      </c>
      <c r="M1220" s="178">
        <v>772.3</v>
      </c>
      <c r="N1220" s="179">
        <v>0</v>
      </c>
      <c r="O1220" s="178">
        <v>830.93</v>
      </c>
      <c r="P1220" s="453"/>
      <c r="Q1220" s="61"/>
      <c r="R1220" s="298"/>
      <c r="S1220" s="669"/>
      <c r="X1220" s="444">
        <v>1220</v>
      </c>
    </row>
    <row r="1221" spans="1:24" ht="12">
      <c r="A1221" s="83" t="s">
        <v>20375</v>
      </c>
      <c r="B1221" s="64" t="s">
        <v>20376</v>
      </c>
      <c r="C1221" s="71" t="s">
        <v>103</v>
      </c>
      <c r="D1221" s="79">
        <v>1</v>
      </c>
      <c r="E1221" s="79">
        <v>1429.14</v>
      </c>
      <c r="F1221" s="79">
        <v>1429.14</v>
      </c>
      <c r="G1221" s="445"/>
      <c r="H1221" s="178">
        <v>1429.13</v>
      </c>
      <c r="I1221" s="178">
        <v>1757.83</v>
      </c>
      <c r="J1221" s="70">
        <v>-328.68999999999983</v>
      </c>
      <c r="K1221" s="320"/>
      <c r="L1221" s="178">
        <v>75.44</v>
      </c>
      <c r="M1221" s="178">
        <v>1353.7</v>
      </c>
      <c r="N1221" s="179">
        <v>0</v>
      </c>
      <c r="O1221" s="178">
        <v>1429.14</v>
      </c>
      <c r="P1221" s="453"/>
      <c r="Q1221" s="61"/>
      <c r="R1221" s="298"/>
      <c r="S1221" s="669"/>
      <c r="X1221" s="444">
        <v>1221</v>
      </c>
    </row>
    <row r="1222" spans="1:24" ht="12">
      <c r="A1222" s="83" t="s">
        <v>20377</v>
      </c>
      <c r="B1222" s="64" t="s">
        <v>20378</v>
      </c>
      <c r="C1222" s="71" t="s">
        <v>103</v>
      </c>
      <c r="D1222" s="79">
        <v>1</v>
      </c>
      <c r="E1222" s="79">
        <v>133.4</v>
      </c>
      <c r="F1222" s="79">
        <v>133.4</v>
      </c>
      <c r="G1222" s="445"/>
      <c r="H1222" s="178">
        <v>133.37</v>
      </c>
      <c r="I1222" s="178">
        <v>164.05</v>
      </c>
      <c r="J1222" s="70">
        <v>-30.650000000000006</v>
      </c>
      <c r="K1222" s="320"/>
      <c r="L1222" s="178">
        <v>38.25</v>
      </c>
      <c r="M1222" s="178">
        <v>95.15</v>
      </c>
      <c r="N1222" s="179">
        <v>0</v>
      </c>
      <c r="O1222" s="178">
        <v>133.4</v>
      </c>
      <c r="P1222" s="453"/>
      <c r="Q1222" s="61"/>
      <c r="R1222" s="298"/>
      <c r="S1222" s="669"/>
      <c r="X1222" s="444">
        <v>1222</v>
      </c>
    </row>
    <row r="1223" spans="1:24" ht="12">
      <c r="A1223" s="83" t="s">
        <v>20379</v>
      </c>
      <c r="B1223" s="64" t="s">
        <v>20380</v>
      </c>
      <c r="C1223" s="71" t="s">
        <v>103</v>
      </c>
      <c r="D1223" s="79">
        <v>1</v>
      </c>
      <c r="E1223" s="79">
        <v>190.92000000000002</v>
      </c>
      <c r="F1223" s="79">
        <v>190.92</v>
      </c>
      <c r="G1223" s="445"/>
      <c r="H1223" s="178">
        <v>190.92</v>
      </c>
      <c r="I1223" s="178">
        <v>234.83</v>
      </c>
      <c r="J1223" s="70">
        <v>-43.91</v>
      </c>
      <c r="K1223" s="320"/>
      <c r="L1223" s="178">
        <v>45.870000000000005</v>
      </c>
      <c r="M1223" s="178">
        <v>145.05000000000001</v>
      </c>
      <c r="N1223" s="179">
        <v>0</v>
      </c>
      <c r="O1223" s="178">
        <v>190.92000000000002</v>
      </c>
      <c r="P1223" s="453"/>
      <c r="Q1223" s="61"/>
      <c r="R1223" s="298"/>
      <c r="S1223" s="669"/>
      <c r="X1223" s="444">
        <v>1223</v>
      </c>
    </row>
    <row r="1224" spans="1:24" ht="12">
      <c r="A1224" s="83" t="s">
        <v>20381</v>
      </c>
      <c r="B1224" s="64" t="s">
        <v>20382</v>
      </c>
      <c r="C1224" s="71" t="s">
        <v>103</v>
      </c>
      <c r="D1224" s="79">
        <v>1</v>
      </c>
      <c r="E1224" s="79">
        <v>220.37</v>
      </c>
      <c r="F1224" s="79">
        <v>220.37</v>
      </c>
      <c r="G1224" s="445"/>
      <c r="H1224" s="178">
        <v>220.37</v>
      </c>
      <c r="I1224" s="178">
        <v>271.05</v>
      </c>
      <c r="J1224" s="70">
        <v>-50.680000000000007</v>
      </c>
      <c r="K1224" s="320"/>
      <c r="L1224" s="178">
        <v>50.97</v>
      </c>
      <c r="M1224" s="178">
        <v>169.4</v>
      </c>
      <c r="N1224" s="179">
        <v>0</v>
      </c>
      <c r="O1224" s="178">
        <v>220.37</v>
      </c>
      <c r="P1224" s="453"/>
      <c r="Q1224" s="61"/>
      <c r="R1224" s="298"/>
      <c r="S1224" s="669"/>
      <c r="X1224" s="444">
        <v>1224</v>
      </c>
    </row>
    <row r="1225" spans="1:24" ht="12">
      <c r="A1225" s="83" t="s">
        <v>20383</v>
      </c>
      <c r="B1225" s="64" t="s">
        <v>20384</v>
      </c>
      <c r="C1225" s="71" t="s">
        <v>103</v>
      </c>
      <c r="D1225" s="79">
        <v>1</v>
      </c>
      <c r="E1225" s="79">
        <v>307.73</v>
      </c>
      <c r="F1225" s="79">
        <v>307.73</v>
      </c>
      <c r="G1225" s="445"/>
      <c r="H1225" s="178">
        <v>307.7</v>
      </c>
      <c r="I1225" s="178">
        <v>378.47</v>
      </c>
      <c r="J1225" s="70">
        <v>-70.740000000000009</v>
      </c>
      <c r="K1225" s="320"/>
      <c r="L1225" s="178">
        <v>63.74</v>
      </c>
      <c r="M1225" s="178">
        <v>243.99</v>
      </c>
      <c r="N1225" s="179">
        <v>0</v>
      </c>
      <c r="O1225" s="178">
        <v>307.73</v>
      </c>
      <c r="P1225" s="453"/>
      <c r="Q1225" s="61"/>
      <c r="R1225" s="298"/>
      <c r="S1225" s="669"/>
      <c r="X1225" s="444">
        <v>1225</v>
      </c>
    </row>
    <row r="1226" spans="1:24" ht="12">
      <c r="A1226" s="83" t="s">
        <v>20385</v>
      </c>
      <c r="B1226" s="64" t="s">
        <v>20386</v>
      </c>
      <c r="C1226" s="71" t="s">
        <v>103</v>
      </c>
      <c r="D1226" s="79">
        <v>1</v>
      </c>
      <c r="E1226" s="79">
        <v>481.59000000000003</v>
      </c>
      <c r="F1226" s="79">
        <v>481.59</v>
      </c>
      <c r="G1226" s="445"/>
      <c r="H1226" s="178">
        <v>481.58</v>
      </c>
      <c r="I1226" s="178">
        <v>592.34</v>
      </c>
      <c r="J1226" s="70">
        <v>-110.75</v>
      </c>
      <c r="K1226" s="320"/>
      <c r="L1226" s="178">
        <v>76.460000000000008</v>
      </c>
      <c r="M1226" s="178">
        <v>405.13</v>
      </c>
      <c r="N1226" s="179">
        <v>0</v>
      </c>
      <c r="O1226" s="178">
        <v>481.59000000000003</v>
      </c>
      <c r="P1226" s="453"/>
      <c r="Q1226" s="61"/>
      <c r="R1226" s="298"/>
      <c r="S1226" s="669"/>
      <c r="X1226" s="444">
        <v>1226</v>
      </c>
    </row>
    <row r="1227" spans="1:24" ht="12">
      <c r="A1227" s="83" t="s">
        <v>20387</v>
      </c>
      <c r="B1227" s="64" t="s">
        <v>20388</v>
      </c>
      <c r="C1227" s="71" t="s">
        <v>103</v>
      </c>
      <c r="D1227" s="79">
        <v>1</v>
      </c>
      <c r="E1227" s="79">
        <v>676.71</v>
      </c>
      <c r="F1227" s="79">
        <v>676.71</v>
      </c>
      <c r="G1227" s="445"/>
      <c r="H1227" s="178">
        <v>676.72</v>
      </c>
      <c r="I1227" s="178">
        <v>832.36</v>
      </c>
      <c r="J1227" s="70">
        <v>-155.64999999999998</v>
      </c>
      <c r="K1227" s="320"/>
      <c r="L1227" s="178">
        <v>101.94</v>
      </c>
      <c r="M1227" s="178">
        <v>574.77</v>
      </c>
      <c r="N1227" s="179">
        <v>0</v>
      </c>
      <c r="O1227" s="178">
        <v>676.71</v>
      </c>
      <c r="P1227" s="453"/>
      <c r="Q1227" s="61"/>
      <c r="R1227" s="298"/>
      <c r="S1227" s="669"/>
      <c r="X1227" s="444">
        <v>1227</v>
      </c>
    </row>
    <row r="1228" spans="1:24" ht="12">
      <c r="A1228" s="83" t="s">
        <v>20389</v>
      </c>
      <c r="B1228" s="64" t="s">
        <v>20390</v>
      </c>
      <c r="C1228" s="71" t="s">
        <v>103</v>
      </c>
      <c r="D1228" s="79">
        <v>1</v>
      </c>
      <c r="E1228" s="79">
        <v>1096.8800000000001</v>
      </c>
      <c r="F1228" s="79">
        <v>1096.8800000000001</v>
      </c>
      <c r="G1228" s="445"/>
      <c r="H1228" s="178">
        <v>1096.8800000000001</v>
      </c>
      <c r="I1228" s="178">
        <v>1349.16</v>
      </c>
      <c r="J1228" s="70">
        <v>-252.27999999999997</v>
      </c>
      <c r="K1228" s="320"/>
      <c r="L1228" s="178">
        <v>101.94</v>
      </c>
      <c r="M1228" s="178">
        <v>994.94</v>
      </c>
      <c r="N1228" s="179">
        <v>0</v>
      </c>
      <c r="O1228" s="178">
        <v>1096.8800000000001</v>
      </c>
      <c r="P1228" s="453"/>
      <c r="Q1228" s="61"/>
      <c r="R1228" s="298"/>
      <c r="S1228" s="669"/>
      <c r="X1228" s="444">
        <v>1228</v>
      </c>
    </row>
    <row r="1229" spans="1:24" ht="12">
      <c r="A1229" s="83" t="s">
        <v>20391</v>
      </c>
      <c r="B1229" s="64" t="s">
        <v>20392</v>
      </c>
      <c r="C1229" s="71" t="s">
        <v>103</v>
      </c>
      <c r="D1229" s="79">
        <v>1</v>
      </c>
      <c r="E1229" s="79">
        <v>125.39</v>
      </c>
      <c r="F1229" s="79">
        <v>125.39</v>
      </c>
      <c r="G1229" s="445"/>
      <c r="H1229" s="178">
        <v>125.36</v>
      </c>
      <c r="I1229" s="178">
        <v>154.19</v>
      </c>
      <c r="J1229" s="70">
        <v>-28.799999999999997</v>
      </c>
      <c r="K1229" s="320"/>
      <c r="L1229" s="178">
        <v>38.25</v>
      </c>
      <c r="M1229" s="178">
        <v>87.14</v>
      </c>
      <c r="N1229" s="179">
        <v>0</v>
      </c>
      <c r="O1229" s="178">
        <v>125.39</v>
      </c>
      <c r="P1229" s="453"/>
      <c r="Q1229" s="61"/>
      <c r="R1229" s="298"/>
      <c r="S1229" s="669"/>
      <c r="X1229" s="444">
        <v>1229</v>
      </c>
    </row>
    <row r="1230" spans="1:24" ht="12">
      <c r="A1230" s="83" t="s">
        <v>20393</v>
      </c>
      <c r="B1230" s="64" t="s">
        <v>20394</v>
      </c>
      <c r="C1230" s="71" t="s">
        <v>103</v>
      </c>
      <c r="D1230" s="79">
        <v>1</v>
      </c>
      <c r="E1230" s="79">
        <v>179.17</v>
      </c>
      <c r="F1230" s="79">
        <v>179.17</v>
      </c>
      <c r="G1230" s="445"/>
      <c r="H1230" s="178">
        <v>179.16</v>
      </c>
      <c r="I1230" s="178">
        <v>220.37</v>
      </c>
      <c r="J1230" s="70">
        <v>-41.200000000000017</v>
      </c>
      <c r="K1230" s="320"/>
      <c r="L1230" s="178">
        <v>50.97</v>
      </c>
      <c r="M1230" s="178">
        <v>128.19999999999999</v>
      </c>
      <c r="N1230" s="179">
        <v>0</v>
      </c>
      <c r="O1230" s="178">
        <v>179.17</v>
      </c>
      <c r="P1230" s="453"/>
      <c r="Q1230" s="61"/>
      <c r="R1230" s="298"/>
      <c r="S1230" s="669"/>
      <c r="X1230" s="444">
        <v>1230</v>
      </c>
    </row>
    <row r="1231" spans="1:24" ht="12">
      <c r="A1231" s="83" t="s">
        <v>20395</v>
      </c>
      <c r="B1231" s="64" t="s">
        <v>20396</v>
      </c>
      <c r="C1231" s="71" t="s">
        <v>103</v>
      </c>
      <c r="D1231" s="79">
        <v>1</v>
      </c>
      <c r="E1231" s="79">
        <v>209.55</v>
      </c>
      <c r="F1231" s="79">
        <v>209.55</v>
      </c>
      <c r="G1231" s="445"/>
      <c r="H1231" s="178">
        <v>209.54</v>
      </c>
      <c r="I1231" s="178">
        <v>257.74</v>
      </c>
      <c r="J1231" s="70">
        <v>-48.19</v>
      </c>
      <c r="K1231" s="320"/>
      <c r="L1231" s="178">
        <v>50.97</v>
      </c>
      <c r="M1231" s="178">
        <v>158.58000000000001</v>
      </c>
      <c r="N1231" s="179">
        <v>0</v>
      </c>
      <c r="O1231" s="178">
        <v>209.55</v>
      </c>
      <c r="P1231" s="453"/>
      <c r="Q1231" s="61"/>
      <c r="R1231" s="298"/>
      <c r="S1231" s="669"/>
      <c r="X1231" s="444">
        <v>1231</v>
      </c>
    </row>
    <row r="1232" spans="1:24" ht="12">
      <c r="A1232" s="83" t="s">
        <v>20397</v>
      </c>
      <c r="B1232" s="64" t="s">
        <v>20398</v>
      </c>
      <c r="C1232" s="71" t="s">
        <v>103</v>
      </c>
      <c r="D1232" s="79">
        <v>1</v>
      </c>
      <c r="E1232" s="79">
        <v>266.89000000000004</v>
      </c>
      <c r="F1232" s="79">
        <v>266.89</v>
      </c>
      <c r="G1232" s="445"/>
      <c r="H1232" s="178">
        <v>266.86</v>
      </c>
      <c r="I1232" s="178">
        <v>328.24</v>
      </c>
      <c r="J1232" s="70">
        <v>-61.349999999999966</v>
      </c>
      <c r="K1232" s="320"/>
      <c r="L1232" s="178">
        <v>63.74</v>
      </c>
      <c r="M1232" s="178">
        <v>203.15000000000003</v>
      </c>
      <c r="N1232" s="179">
        <v>0</v>
      </c>
      <c r="O1232" s="178">
        <v>266.89000000000004</v>
      </c>
      <c r="P1232" s="453"/>
      <c r="Q1232" s="61"/>
      <c r="R1232" s="298"/>
      <c r="S1232" s="669"/>
      <c r="T1232" s="61"/>
      <c r="X1232" s="444">
        <v>1232</v>
      </c>
    </row>
    <row r="1233" spans="1:32" ht="12">
      <c r="A1233" s="83" t="s">
        <v>20399</v>
      </c>
      <c r="B1233" s="64" t="s">
        <v>20400</v>
      </c>
      <c r="C1233" s="71" t="s">
        <v>103</v>
      </c>
      <c r="D1233" s="79">
        <v>1</v>
      </c>
      <c r="E1233" s="79">
        <v>443.03999999999996</v>
      </c>
      <c r="F1233" s="79">
        <v>443.04</v>
      </c>
      <c r="G1233" s="445"/>
      <c r="H1233" s="178">
        <v>443.03</v>
      </c>
      <c r="I1233" s="178">
        <v>544.92999999999995</v>
      </c>
      <c r="J1233" s="70">
        <v>-101.88999999999999</v>
      </c>
      <c r="K1233" s="320"/>
      <c r="L1233" s="178">
        <v>76.460000000000008</v>
      </c>
      <c r="M1233" s="178">
        <v>366.57999999999993</v>
      </c>
      <c r="N1233" s="179">
        <v>0</v>
      </c>
      <c r="O1233" s="178">
        <v>443.03999999999996</v>
      </c>
      <c r="P1233" s="453"/>
      <c r="Q1233" s="61"/>
      <c r="R1233" s="298"/>
      <c r="S1233" s="669"/>
      <c r="T1233" s="61"/>
      <c r="X1233" s="444">
        <v>1233</v>
      </c>
    </row>
    <row r="1234" spans="1:32" ht="12">
      <c r="A1234" s="83" t="s">
        <v>20401</v>
      </c>
      <c r="B1234" s="64" t="s">
        <v>20402</v>
      </c>
      <c r="C1234" s="71" t="s">
        <v>103</v>
      </c>
      <c r="D1234" s="79">
        <v>1</v>
      </c>
      <c r="E1234" s="79">
        <v>615.2700000000001</v>
      </c>
      <c r="F1234" s="79">
        <v>615.27</v>
      </c>
      <c r="G1234" s="445"/>
      <c r="H1234" s="178">
        <v>615.26</v>
      </c>
      <c r="I1234" s="178">
        <v>756.77</v>
      </c>
      <c r="J1234" s="70">
        <v>-141.49999999999989</v>
      </c>
      <c r="K1234" s="320"/>
      <c r="L1234" s="178">
        <v>76.460000000000008</v>
      </c>
      <c r="M1234" s="178">
        <v>538.81000000000006</v>
      </c>
      <c r="N1234" s="179">
        <v>0</v>
      </c>
      <c r="O1234" s="178">
        <v>615.2700000000001</v>
      </c>
      <c r="P1234" s="453"/>
      <c r="Q1234" s="61"/>
      <c r="R1234" s="298"/>
      <c r="S1234" s="669"/>
      <c r="X1234" s="444">
        <v>1234</v>
      </c>
    </row>
    <row r="1235" spans="1:32" ht="12">
      <c r="A1235" s="83" t="s">
        <v>20403</v>
      </c>
      <c r="B1235" s="64" t="s">
        <v>10181</v>
      </c>
      <c r="C1235" s="71" t="s">
        <v>103</v>
      </c>
      <c r="D1235" s="79">
        <v>1</v>
      </c>
      <c r="E1235" s="79">
        <v>108.72</v>
      </c>
      <c r="F1235" s="79">
        <v>108.72</v>
      </c>
      <c r="G1235" s="445"/>
      <c r="H1235" s="178">
        <v>108.74</v>
      </c>
      <c r="I1235" s="178">
        <v>133.75</v>
      </c>
      <c r="J1235" s="70">
        <v>-25.03</v>
      </c>
      <c r="K1235" s="320"/>
      <c r="L1235" s="178">
        <v>15.27</v>
      </c>
      <c r="M1235" s="178">
        <v>93.45</v>
      </c>
      <c r="N1235" s="179">
        <v>0</v>
      </c>
      <c r="O1235" s="178">
        <v>108.72</v>
      </c>
      <c r="P1235" s="453"/>
      <c r="Q1235" s="61"/>
      <c r="R1235" s="298"/>
      <c r="S1235" s="669"/>
      <c r="X1235" s="444">
        <v>1235</v>
      </c>
    </row>
    <row r="1236" spans="1:32" ht="12">
      <c r="A1236" s="83" t="s">
        <v>20404</v>
      </c>
      <c r="B1236" s="64" t="s">
        <v>10183</v>
      </c>
      <c r="C1236" s="71" t="s">
        <v>103</v>
      </c>
      <c r="D1236" s="79">
        <v>1</v>
      </c>
      <c r="E1236" s="79">
        <v>140.4</v>
      </c>
      <c r="F1236" s="79">
        <v>140.4</v>
      </c>
      <c r="G1236" s="445"/>
      <c r="H1236" s="178">
        <v>140.4</v>
      </c>
      <c r="I1236" s="178">
        <v>172.69</v>
      </c>
      <c r="J1236" s="70">
        <v>-32.289999999999992</v>
      </c>
      <c r="K1236" s="320"/>
      <c r="L1236" s="178">
        <v>20.38</v>
      </c>
      <c r="M1236" s="178">
        <v>120.02000000000001</v>
      </c>
      <c r="N1236" s="179">
        <v>0</v>
      </c>
      <c r="O1236" s="178">
        <v>140.4</v>
      </c>
      <c r="P1236" s="453"/>
      <c r="Q1236" s="61"/>
      <c r="R1236" s="298"/>
      <c r="S1236" s="669"/>
      <c r="X1236" s="444">
        <v>1236</v>
      </c>
    </row>
    <row r="1237" spans="1:32" ht="12">
      <c r="A1237" s="83" t="s">
        <v>20405</v>
      </c>
      <c r="B1237" s="64" t="s">
        <v>20406</v>
      </c>
      <c r="C1237" s="71" t="s">
        <v>103</v>
      </c>
      <c r="D1237" s="79">
        <v>1</v>
      </c>
      <c r="E1237" s="79">
        <v>347.18</v>
      </c>
      <c r="F1237" s="79">
        <v>347.18</v>
      </c>
      <c r="G1237" s="445"/>
      <c r="H1237" s="178">
        <v>347.16</v>
      </c>
      <c r="I1237" s="178">
        <v>427.01</v>
      </c>
      <c r="J1237" s="70">
        <v>-79.829999999999984</v>
      </c>
      <c r="K1237" s="320"/>
      <c r="L1237" s="178">
        <v>30.59</v>
      </c>
      <c r="M1237" s="178">
        <v>316.59000000000003</v>
      </c>
      <c r="N1237" s="179">
        <v>0</v>
      </c>
      <c r="O1237" s="178">
        <v>347.18</v>
      </c>
      <c r="P1237" s="453"/>
      <c r="Q1237" s="61"/>
      <c r="R1237" s="298"/>
      <c r="S1237" s="669"/>
      <c r="U1237" s="61"/>
      <c r="V1237" s="61"/>
      <c r="W1237" s="61"/>
      <c r="X1237" s="444">
        <v>1237</v>
      </c>
      <c r="Y1237" s="61"/>
      <c r="Z1237" s="61"/>
      <c r="AA1237" s="61"/>
      <c r="AB1237" s="61"/>
      <c r="AC1237" s="61"/>
      <c r="AD1237" s="61"/>
      <c r="AE1237" s="61"/>
      <c r="AF1237" s="61"/>
    </row>
    <row r="1238" spans="1:32" ht="12">
      <c r="A1238" s="83" t="s">
        <v>20407</v>
      </c>
      <c r="B1238" s="64" t="s">
        <v>20408</v>
      </c>
      <c r="C1238" s="71" t="s">
        <v>165</v>
      </c>
      <c r="D1238" s="79">
        <v>1</v>
      </c>
      <c r="E1238" s="79">
        <v>22827.040000000001</v>
      </c>
      <c r="F1238" s="79">
        <v>22827.040000000001</v>
      </c>
      <c r="G1238" s="445"/>
      <c r="H1238" s="178">
        <v>22827.03</v>
      </c>
      <c r="I1238" s="178">
        <v>28077.25</v>
      </c>
      <c r="J1238" s="70">
        <v>-5250.2099999999991</v>
      </c>
      <c r="K1238" s="320"/>
      <c r="L1238" s="178"/>
      <c r="M1238" s="178">
        <v>22827.040000000001</v>
      </c>
      <c r="N1238" s="179">
        <v>0</v>
      </c>
      <c r="O1238" s="178">
        <v>22827.040000000001</v>
      </c>
      <c r="P1238" s="453"/>
      <c r="Q1238" s="61"/>
      <c r="R1238" s="298"/>
      <c r="S1238" s="669"/>
      <c r="X1238" s="444">
        <v>1238</v>
      </c>
    </row>
    <row r="1239" spans="1:32" ht="12">
      <c r="A1239" s="83" t="s">
        <v>20409</v>
      </c>
      <c r="B1239" s="64" t="s">
        <v>20410</v>
      </c>
      <c r="C1239" s="71" t="s">
        <v>103</v>
      </c>
      <c r="D1239" s="79">
        <v>1</v>
      </c>
      <c r="E1239" s="79">
        <v>5866.45</v>
      </c>
      <c r="F1239" s="79">
        <v>5866.45</v>
      </c>
      <c r="G1239" s="445"/>
      <c r="H1239" s="178">
        <v>5866.45</v>
      </c>
      <c r="I1239" s="178">
        <v>7215.73</v>
      </c>
      <c r="J1239" s="70">
        <v>-1349.2799999999997</v>
      </c>
      <c r="K1239" s="320"/>
      <c r="L1239" s="178"/>
      <c r="M1239" s="178">
        <v>5866.45</v>
      </c>
      <c r="N1239" s="179">
        <v>0</v>
      </c>
      <c r="O1239" s="178">
        <v>5866.45</v>
      </c>
      <c r="P1239" s="453"/>
      <c r="Q1239" s="61"/>
      <c r="R1239" s="298"/>
      <c r="S1239" s="669"/>
      <c r="X1239" s="444">
        <v>1239</v>
      </c>
    </row>
    <row r="1240" spans="1:32" ht="12">
      <c r="A1240" s="83" t="s">
        <v>20411</v>
      </c>
      <c r="B1240" s="64" t="s">
        <v>20412</v>
      </c>
      <c r="C1240" s="71" t="s">
        <v>103</v>
      </c>
      <c r="D1240" s="79">
        <v>1</v>
      </c>
      <c r="E1240" s="79">
        <v>7666.82</v>
      </c>
      <c r="F1240" s="79">
        <v>7666.82</v>
      </c>
      <c r="G1240" s="445"/>
      <c r="H1240" s="178">
        <v>7666.81</v>
      </c>
      <c r="I1240" s="178">
        <v>9430.18</v>
      </c>
      <c r="J1240" s="70">
        <v>-1763.3600000000006</v>
      </c>
      <c r="K1240" s="320"/>
      <c r="L1240" s="178"/>
      <c r="M1240" s="178">
        <v>7666.82</v>
      </c>
      <c r="N1240" s="179">
        <v>0</v>
      </c>
      <c r="O1240" s="178">
        <v>7666.82</v>
      </c>
      <c r="P1240" s="453"/>
      <c r="Q1240" s="61"/>
      <c r="R1240" s="298"/>
      <c r="S1240" s="669"/>
      <c r="X1240" s="444">
        <v>1240</v>
      </c>
    </row>
    <row r="1241" spans="1:32" ht="12">
      <c r="A1241" s="83" t="s">
        <v>20413</v>
      </c>
      <c r="B1241" s="64" t="s">
        <v>20414</v>
      </c>
      <c r="C1241" s="71" t="s">
        <v>103</v>
      </c>
      <c r="D1241" s="79">
        <v>1</v>
      </c>
      <c r="E1241" s="79">
        <v>1718.88</v>
      </c>
      <c r="F1241" s="79">
        <v>1718.88</v>
      </c>
      <c r="G1241" s="445"/>
      <c r="H1241" s="178">
        <v>1718.88</v>
      </c>
      <c r="I1241" s="178">
        <v>2114.2199999999998</v>
      </c>
      <c r="J1241" s="70">
        <v>-395.33999999999969</v>
      </c>
      <c r="K1241" s="320"/>
      <c r="L1241" s="178">
        <v>178.4</v>
      </c>
      <c r="M1241" s="178">
        <v>1540.48</v>
      </c>
      <c r="N1241" s="179">
        <v>0</v>
      </c>
      <c r="O1241" s="178">
        <v>1718.88</v>
      </c>
      <c r="P1241" s="453"/>
      <c r="Q1241" s="61"/>
      <c r="R1241" s="298"/>
      <c r="S1241" s="669"/>
      <c r="X1241" s="444">
        <v>1241</v>
      </c>
    </row>
    <row r="1242" spans="1:32" ht="12">
      <c r="A1242" s="83" t="s">
        <v>20415</v>
      </c>
      <c r="B1242" s="64" t="s">
        <v>20416</v>
      </c>
      <c r="C1242" s="71" t="s">
        <v>103</v>
      </c>
      <c r="D1242" s="79">
        <v>1</v>
      </c>
      <c r="E1242" s="79">
        <v>1913.6200000000001</v>
      </c>
      <c r="F1242" s="79">
        <v>1913.62</v>
      </c>
      <c r="G1242" s="445"/>
      <c r="H1242" s="178">
        <v>1913.62</v>
      </c>
      <c r="I1242" s="178">
        <v>2353.75</v>
      </c>
      <c r="J1242" s="70">
        <v>-440.12999999999988</v>
      </c>
      <c r="K1242" s="320"/>
      <c r="L1242" s="178">
        <v>178.4</v>
      </c>
      <c r="M1242" s="178">
        <v>1735.22</v>
      </c>
      <c r="N1242" s="179">
        <v>0</v>
      </c>
      <c r="O1242" s="178">
        <v>1913.6200000000001</v>
      </c>
      <c r="P1242" s="453"/>
      <c r="Q1242" s="61"/>
      <c r="R1242" s="298"/>
      <c r="S1242" s="669"/>
      <c r="X1242" s="444">
        <v>1242</v>
      </c>
    </row>
    <row r="1243" spans="1:32" ht="12">
      <c r="A1243" s="83" t="s">
        <v>20417</v>
      </c>
      <c r="B1243" s="64" t="s">
        <v>20418</v>
      </c>
      <c r="C1243" s="71" t="s">
        <v>103</v>
      </c>
      <c r="D1243" s="79">
        <v>1</v>
      </c>
      <c r="E1243" s="79">
        <v>2544.02</v>
      </c>
      <c r="F1243" s="79">
        <v>2544.02</v>
      </c>
      <c r="G1243" s="445"/>
      <c r="H1243" s="178">
        <v>2544.02</v>
      </c>
      <c r="I1243" s="178">
        <v>3129.14</v>
      </c>
      <c r="J1243" s="70">
        <v>-585.11999999999989</v>
      </c>
      <c r="K1243" s="320"/>
      <c r="L1243" s="178">
        <v>178.4</v>
      </c>
      <c r="M1243" s="178">
        <v>2365.62</v>
      </c>
      <c r="N1243" s="179">
        <v>0</v>
      </c>
      <c r="O1243" s="178">
        <v>2544.02</v>
      </c>
      <c r="P1243" s="453"/>
      <c r="Q1243" s="61"/>
      <c r="R1243" s="298"/>
      <c r="S1243" s="669"/>
      <c r="X1243" s="444">
        <v>1243</v>
      </c>
    </row>
    <row r="1244" spans="1:32" ht="12">
      <c r="A1244" s="83" t="s">
        <v>20419</v>
      </c>
      <c r="B1244" s="64" t="s">
        <v>20420</v>
      </c>
      <c r="C1244" s="71" t="s">
        <v>103</v>
      </c>
      <c r="D1244" s="79">
        <v>1</v>
      </c>
      <c r="E1244" s="79">
        <v>4052.55</v>
      </c>
      <c r="F1244" s="79">
        <v>4052.55</v>
      </c>
      <c r="G1244" s="445"/>
      <c r="H1244" s="178">
        <v>4052.54</v>
      </c>
      <c r="I1244" s="178">
        <v>4984.63</v>
      </c>
      <c r="J1244" s="70">
        <v>-932.07999999999993</v>
      </c>
      <c r="K1244" s="320"/>
      <c r="L1244" s="178">
        <v>178.4</v>
      </c>
      <c r="M1244" s="178">
        <v>3874.15</v>
      </c>
      <c r="N1244" s="179">
        <v>0</v>
      </c>
      <c r="O1244" s="178">
        <v>4052.55</v>
      </c>
      <c r="P1244" s="453"/>
      <c r="Q1244" s="61"/>
      <c r="R1244" s="298"/>
      <c r="S1244" s="669"/>
      <c r="X1244" s="444">
        <v>1244</v>
      </c>
    </row>
    <row r="1245" spans="1:32" ht="12">
      <c r="A1245" s="83" t="s">
        <v>20421</v>
      </c>
      <c r="B1245" s="64" t="s">
        <v>20422</v>
      </c>
      <c r="C1245" s="71" t="s">
        <v>103</v>
      </c>
      <c r="D1245" s="79">
        <v>1</v>
      </c>
      <c r="E1245" s="79">
        <v>4341.6099999999997</v>
      </c>
      <c r="F1245" s="79">
        <v>4341.6099999999997</v>
      </c>
      <c r="G1245" s="445"/>
      <c r="H1245" s="178">
        <v>4341.6000000000004</v>
      </c>
      <c r="I1245" s="178">
        <v>5340.17</v>
      </c>
      <c r="J1245" s="70">
        <v>-998.5600000000004</v>
      </c>
      <c r="K1245" s="320"/>
      <c r="L1245" s="178">
        <v>178.4</v>
      </c>
      <c r="M1245" s="178">
        <v>4163.21</v>
      </c>
      <c r="N1245" s="179">
        <v>0</v>
      </c>
      <c r="O1245" s="178">
        <v>4341.6099999999997</v>
      </c>
      <c r="P1245" s="453"/>
      <c r="Q1245" s="61"/>
      <c r="R1245" s="298"/>
      <c r="S1245" s="669"/>
      <c r="X1245" s="444">
        <v>1245</v>
      </c>
    </row>
    <row r="1246" spans="1:32" ht="12">
      <c r="A1246" s="83" t="s">
        <v>20423</v>
      </c>
      <c r="B1246" s="64" t="s">
        <v>20424</v>
      </c>
      <c r="C1246" s="71" t="s">
        <v>103</v>
      </c>
      <c r="D1246" s="79">
        <v>1</v>
      </c>
      <c r="E1246" s="79">
        <v>2156.1999999999998</v>
      </c>
      <c r="F1246" s="79">
        <v>2156.1999999999998</v>
      </c>
      <c r="G1246" s="445"/>
      <c r="H1246" s="178">
        <v>2156.1999999999998</v>
      </c>
      <c r="I1246" s="178">
        <v>2652.12</v>
      </c>
      <c r="J1246" s="70">
        <v>-495.92000000000007</v>
      </c>
      <c r="K1246" s="320"/>
      <c r="L1246" s="178">
        <v>178.4</v>
      </c>
      <c r="M1246" s="178">
        <v>1977.7999999999997</v>
      </c>
      <c r="N1246" s="179">
        <v>0</v>
      </c>
      <c r="O1246" s="178">
        <v>2156.1999999999998</v>
      </c>
      <c r="P1246" s="453"/>
      <c r="Q1246" s="61"/>
      <c r="R1246" s="298"/>
      <c r="S1246" s="669"/>
      <c r="X1246" s="444">
        <v>1246</v>
      </c>
    </row>
    <row r="1247" spans="1:32" ht="12">
      <c r="A1247" s="83" t="s">
        <v>20425</v>
      </c>
      <c r="B1247" s="64" t="s">
        <v>20426</v>
      </c>
      <c r="C1247" s="71" t="s">
        <v>165</v>
      </c>
      <c r="D1247" s="79">
        <v>1</v>
      </c>
      <c r="E1247" s="79">
        <v>17527.400000000001</v>
      </c>
      <c r="F1247" s="79">
        <v>17527.400000000001</v>
      </c>
      <c r="G1247" s="445"/>
      <c r="H1247" s="178">
        <v>17527.400000000001</v>
      </c>
      <c r="I1247" s="178">
        <v>21558.7</v>
      </c>
      <c r="J1247" s="70">
        <v>-4031.2999999999993</v>
      </c>
      <c r="K1247" s="320"/>
      <c r="L1247" s="178"/>
      <c r="M1247" s="178">
        <v>17527.400000000001</v>
      </c>
      <c r="N1247" s="179">
        <v>0</v>
      </c>
      <c r="O1247" s="178">
        <v>17527.400000000001</v>
      </c>
      <c r="P1247" s="453"/>
      <c r="Q1247" s="61"/>
      <c r="R1247" s="298"/>
      <c r="S1247" s="669"/>
      <c r="X1247" s="444">
        <v>1247</v>
      </c>
    </row>
    <row r="1248" spans="1:32" ht="12">
      <c r="A1248" s="83" t="s">
        <v>20427</v>
      </c>
      <c r="B1248" s="64" t="s">
        <v>20428</v>
      </c>
      <c r="C1248" s="71" t="s">
        <v>103</v>
      </c>
      <c r="D1248" s="79">
        <v>1</v>
      </c>
      <c r="E1248" s="79">
        <v>4574.8999999999996</v>
      </c>
      <c r="F1248" s="79">
        <v>4574.8999999999996</v>
      </c>
      <c r="G1248" s="445"/>
      <c r="H1248" s="178">
        <v>4574.8900000000003</v>
      </c>
      <c r="I1248" s="178">
        <v>5627.12</v>
      </c>
      <c r="J1248" s="70">
        <v>-1052.2200000000003</v>
      </c>
      <c r="K1248" s="320"/>
      <c r="L1248" s="178"/>
      <c r="M1248" s="178">
        <v>4574.8999999999996</v>
      </c>
      <c r="N1248" s="179">
        <v>0</v>
      </c>
      <c r="O1248" s="178">
        <v>4574.8999999999996</v>
      </c>
      <c r="P1248" s="453"/>
      <c r="Q1248" s="61"/>
      <c r="R1248" s="298"/>
      <c r="S1248" s="669"/>
      <c r="X1248" s="444">
        <v>1248</v>
      </c>
    </row>
    <row r="1249" spans="1:32" s="61" customFormat="1" ht="12">
      <c r="A1249" s="83" t="s">
        <v>20429</v>
      </c>
      <c r="B1249" s="64" t="s">
        <v>20430</v>
      </c>
      <c r="C1249" s="71" t="s">
        <v>103</v>
      </c>
      <c r="D1249" s="79">
        <v>1</v>
      </c>
      <c r="E1249" s="79">
        <v>6669.3</v>
      </c>
      <c r="F1249" s="79">
        <v>6669.3</v>
      </c>
      <c r="G1249" s="445"/>
      <c r="H1249" s="178">
        <v>6669.29</v>
      </c>
      <c r="I1249" s="178">
        <v>8203.23</v>
      </c>
      <c r="J1249" s="70">
        <v>-1533.9299999999994</v>
      </c>
      <c r="K1249" s="320"/>
      <c r="L1249" s="178"/>
      <c r="M1249" s="178">
        <v>6669.3</v>
      </c>
      <c r="N1249" s="179">
        <v>0</v>
      </c>
      <c r="O1249" s="178">
        <v>6669.3</v>
      </c>
      <c r="P1249" s="453"/>
      <c r="R1249" s="298"/>
      <c r="S1249" s="669"/>
      <c r="T1249" s="444"/>
      <c r="U1249" s="444"/>
      <c r="V1249" s="444"/>
      <c r="W1249" s="444"/>
      <c r="X1249" s="444">
        <v>1249</v>
      </c>
      <c r="Y1249" s="444"/>
      <c r="Z1249" s="444"/>
      <c r="AA1249" s="444"/>
      <c r="AB1249" s="444"/>
      <c r="AC1249" s="444"/>
      <c r="AD1249" s="444"/>
      <c r="AE1249" s="444"/>
      <c r="AF1249" s="444"/>
    </row>
    <row r="1250" spans="1:32" ht="12">
      <c r="A1250" s="83" t="s">
        <v>20431</v>
      </c>
      <c r="B1250" s="64" t="s">
        <v>20432</v>
      </c>
      <c r="C1250" s="71" t="s">
        <v>10216</v>
      </c>
      <c r="D1250" s="79">
        <v>1</v>
      </c>
      <c r="E1250" s="79">
        <v>577.26</v>
      </c>
      <c r="F1250" s="79">
        <v>577.26</v>
      </c>
      <c r="G1250" s="445"/>
      <c r="H1250" s="178">
        <v>577.25</v>
      </c>
      <c r="I1250" s="178">
        <v>710.02</v>
      </c>
      <c r="J1250" s="70">
        <v>-132.76</v>
      </c>
      <c r="K1250" s="320"/>
      <c r="L1250" s="178"/>
      <c r="M1250" s="178">
        <v>577.26</v>
      </c>
      <c r="N1250" s="179">
        <v>0</v>
      </c>
      <c r="O1250" s="178">
        <v>577.26</v>
      </c>
      <c r="P1250" s="453"/>
      <c r="Q1250" s="61"/>
      <c r="R1250" s="298"/>
      <c r="S1250" s="669"/>
      <c r="X1250" s="444">
        <v>1250</v>
      </c>
    </row>
    <row r="1251" spans="1:32" ht="12">
      <c r="A1251" s="83" t="s">
        <v>20433</v>
      </c>
      <c r="B1251" s="64" t="s">
        <v>20434</v>
      </c>
      <c r="C1251" s="71" t="s">
        <v>103</v>
      </c>
      <c r="D1251" s="79">
        <v>1</v>
      </c>
      <c r="E1251" s="79">
        <v>521.51</v>
      </c>
      <c r="F1251" s="79">
        <v>521.51</v>
      </c>
      <c r="G1251" s="320"/>
      <c r="H1251" s="178">
        <v>521.5</v>
      </c>
      <c r="I1251" s="178">
        <v>641.44000000000005</v>
      </c>
      <c r="J1251" s="70">
        <v>-119.93000000000006</v>
      </c>
      <c r="K1251" s="320"/>
      <c r="L1251" s="178">
        <v>25.490000000000002</v>
      </c>
      <c r="M1251" s="178">
        <v>496.02</v>
      </c>
      <c r="N1251" s="179">
        <v>0</v>
      </c>
      <c r="O1251" s="178">
        <v>521.51</v>
      </c>
      <c r="P1251" s="453"/>
      <c r="Q1251" s="61"/>
      <c r="R1251" s="298"/>
      <c r="S1251" s="669"/>
      <c r="X1251" s="444">
        <v>1251</v>
      </c>
    </row>
    <row r="1252" spans="1:32" ht="12">
      <c r="A1252" s="83" t="s">
        <v>20435</v>
      </c>
      <c r="B1252" s="64" t="s">
        <v>20436</v>
      </c>
      <c r="C1252" s="71" t="s">
        <v>103</v>
      </c>
      <c r="D1252" s="79">
        <v>1</v>
      </c>
      <c r="E1252" s="79">
        <v>679.18</v>
      </c>
      <c r="F1252" s="79">
        <v>679.18</v>
      </c>
      <c r="G1252" s="320"/>
      <c r="H1252" s="178">
        <v>679.16</v>
      </c>
      <c r="I1252" s="178">
        <v>835.37</v>
      </c>
      <c r="J1252" s="70">
        <v>-156.19000000000005</v>
      </c>
      <c r="K1252" s="320"/>
      <c r="L1252" s="178">
        <v>25.490000000000002</v>
      </c>
      <c r="M1252" s="178">
        <v>653.68999999999994</v>
      </c>
      <c r="N1252" s="179">
        <v>0</v>
      </c>
      <c r="O1252" s="178">
        <v>679.18</v>
      </c>
      <c r="P1252" s="453"/>
      <c r="Q1252" s="61"/>
      <c r="R1252" s="298"/>
      <c r="S1252" s="669"/>
      <c r="X1252" s="444">
        <v>1252</v>
      </c>
    </row>
    <row r="1253" spans="1:32" ht="12">
      <c r="A1253" s="83" t="s">
        <v>39700</v>
      </c>
      <c r="B1253" s="64" t="s">
        <v>39701</v>
      </c>
      <c r="C1253" s="71"/>
      <c r="D1253" s="79" t="s">
        <v>40899</v>
      </c>
      <c r="E1253" s="79" t="s">
        <v>40899</v>
      </c>
      <c r="F1253" s="79"/>
      <c r="G1253" s="445"/>
      <c r="H1253" s="178"/>
      <c r="I1253" s="178"/>
      <c r="J1253" s="70"/>
      <c r="K1253" s="320"/>
      <c r="L1253" s="178"/>
      <c r="M1253" s="178"/>
      <c r="N1253" s="179"/>
      <c r="O1253" s="178"/>
      <c r="P1253" s="453"/>
      <c r="Q1253" s="61"/>
      <c r="R1253" s="298"/>
      <c r="S1253" s="669"/>
      <c r="X1253" s="444">
        <v>1253</v>
      </c>
    </row>
    <row r="1254" spans="1:32" ht="12">
      <c r="A1254" s="83" t="s">
        <v>20437</v>
      </c>
      <c r="B1254" s="64" t="s">
        <v>20438</v>
      </c>
      <c r="C1254" s="71" t="s">
        <v>103</v>
      </c>
      <c r="D1254" s="79">
        <v>1</v>
      </c>
      <c r="E1254" s="79">
        <v>4159.4400000000005</v>
      </c>
      <c r="F1254" s="79">
        <v>4159.4399999999996</v>
      </c>
      <c r="G1254" s="445"/>
      <c r="H1254" s="178">
        <v>4159.3900000000003</v>
      </c>
      <c r="I1254" s="178">
        <v>5116.05</v>
      </c>
      <c r="J1254" s="70">
        <v>-956.60999999999967</v>
      </c>
      <c r="K1254" s="320"/>
      <c r="L1254" s="178">
        <v>201.69</v>
      </c>
      <c r="M1254" s="178">
        <v>3957.7500000000005</v>
      </c>
      <c r="N1254" s="179">
        <v>0</v>
      </c>
      <c r="O1254" s="178">
        <v>4159.4400000000005</v>
      </c>
      <c r="P1254" s="453"/>
      <c r="Q1254" s="61"/>
      <c r="R1254" s="298"/>
      <c r="S1254" s="669"/>
      <c r="X1254" s="444">
        <v>1254</v>
      </c>
    </row>
    <row r="1255" spans="1:32" ht="12">
      <c r="A1255" s="83" t="s">
        <v>20439</v>
      </c>
      <c r="B1255" s="64" t="s">
        <v>20440</v>
      </c>
      <c r="C1255" s="71" t="s">
        <v>396</v>
      </c>
      <c r="D1255" s="79">
        <v>1</v>
      </c>
      <c r="E1255" s="79">
        <v>1299.5800000000002</v>
      </c>
      <c r="F1255" s="79">
        <v>1299.58</v>
      </c>
      <c r="G1255" s="445"/>
      <c r="H1255" s="178">
        <v>1299.58</v>
      </c>
      <c r="I1255" s="178">
        <v>1598.48</v>
      </c>
      <c r="J1255" s="70">
        <v>-298.89999999999986</v>
      </c>
      <c r="K1255" s="320"/>
      <c r="L1255" s="178">
        <v>82.539999999999992</v>
      </c>
      <c r="M1255" s="178">
        <v>1217.0400000000002</v>
      </c>
      <c r="N1255" s="179">
        <v>0</v>
      </c>
      <c r="O1255" s="178">
        <v>1299.5800000000002</v>
      </c>
      <c r="P1255" s="453"/>
      <c r="Q1255" s="61"/>
      <c r="R1255" s="298"/>
      <c r="S1255" s="669"/>
      <c r="X1255" s="444">
        <v>1255</v>
      </c>
    </row>
    <row r="1256" spans="1:32" ht="12">
      <c r="A1256" s="83" t="s">
        <v>20441</v>
      </c>
      <c r="B1256" s="64" t="s">
        <v>20442</v>
      </c>
      <c r="C1256" s="71" t="s">
        <v>165</v>
      </c>
      <c r="D1256" s="79">
        <v>1</v>
      </c>
      <c r="E1256" s="79">
        <v>1973.0100000000002</v>
      </c>
      <c r="F1256" s="79">
        <v>1973.01</v>
      </c>
      <c r="G1256" s="445"/>
      <c r="H1256" s="178">
        <v>1973.02</v>
      </c>
      <c r="I1256" s="178">
        <v>2426.81</v>
      </c>
      <c r="J1256" s="70">
        <v>-453.79999999999973</v>
      </c>
      <c r="K1256" s="320"/>
      <c r="L1256" s="178">
        <v>505.07000000000005</v>
      </c>
      <c r="M1256" s="178">
        <v>1467.94</v>
      </c>
      <c r="N1256" s="179">
        <v>0</v>
      </c>
      <c r="O1256" s="178">
        <v>1973.0100000000002</v>
      </c>
      <c r="P1256" s="453"/>
      <c r="Q1256" s="61"/>
      <c r="R1256" s="298"/>
      <c r="S1256" s="669"/>
      <c r="X1256" s="444">
        <v>1256</v>
      </c>
    </row>
    <row r="1257" spans="1:32" ht="12">
      <c r="A1257" s="83" t="s">
        <v>20443</v>
      </c>
      <c r="B1257" s="64" t="s">
        <v>20444</v>
      </c>
      <c r="C1257" s="71" t="s">
        <v>165</v>
      </c>
      <c r="D1257" s="79">
        <v>1</v>
      </c>
      <c r="E1257" s="79">
        <v>1084.77</v>
      </c>
      <c r="F1257" s="79">
        <v>1084.77</v>
      </c>
      <c r="G1257" s="445"/>
      <c r="H1257" s="178">
        <v>1084.76</v>
      </c>
      <c r="I1257" s="178">
        <v>1334.26</v>
      </c>
      <c r="J1257" s="70">
        <v>-249.49</v>
      </c>
      <c r="K1257" s="320"/>
      <c r="L1257" s="178">
        <v>486.85</v>
      </c>
      <c r="M1257" s="178">
        <v>597.91999999999996</v>
      </c>
      <c r="N1257" s="179">
        <v>0</v>
      </c>
      <c r="O1257" s="178">
        <v>1084.77</v>
      </c>
      <c r="P1257" s="453"/>
      <c r="Q1257" s="61"/>
      <c r="R1257" s="298"/>
      <c r="S1257" s="669"/>
      <c r="X1257" s="444">
        <v>1257</v>
      </c>
    </row>
    <row r="1258" spans="1:32" ht="24">
      <c r="A1258" s="83" t="s">
        <v>20445</v>
      </c>
      <c r="B1258" s="64" t="s">
        <v>39702</v>
      </c>
      <c r="C1258" s="71" t="s">
        <v>103</v>
      </c>
      <c r="D1258" s="79">
        <v>1</v>
      </c>
      <c r="E1258" s="79">
        <v>3326.09</v>
      </c>
      <c r="F1258" s="79">
        <v>3326.09</v>
      </c>
      <c r="G1258" s="445"/>
      <c r="H1258" s="178">
        <v>3326.09</v>
      </c>
      <c r="I1258" s="178">
        <v>4091.09</v>
      </c>
      <c r="J1258" s="70">
        <v>-765</v>
      </c>
      <c r="K1258" s="320"/>
      <c r="L1258" s="178">
        <v>0</v>
      </c>
      <c r="M1258" s="178">
        <v>3326.09</v>
      </c>
      <c r="N1258" s="179">
        <v>0</v>
      </c>
      <c r="O1258" s="178">
        <v>3326.09</v>
      </c>
      <c r="P1258" s="453"/>
      <c r="Q1258" s="61"/>
      <c r="R1258" s="298"/>
      <c r="S1258" s="669"/>
      <c r="X1258" s="444">
        <v>1258</v>
      </c>
    </row>
    <row r="1259" spans="1:32" ht="12">
      <c r="A1259" s="83" t="s">
        <v>20446</v>
      </c>
      <c r="B1259" s="64" t="s">
        <v>20447</v>
      </c>
      <c r="C1259" s="71" t="s">
        <v>165</v>
      </c>
      <c r="D1259" s="79">
        <v>1</v>
      </c>
      <c r="E1259" s="79">
        <v>2303.35</v>
      </c>
      <c r="F1259" s="79">
        <v>2303.35</v>
      </c>
      <c r="G1259" s="445"/>
      <c r="H1259" s="178">
        <v>2303.37</v>
      </c>
      <c r="I1259" s="178">
        <v>2833.14</v>
      </c>
      <c r="J1259" s="70">
        <v>-529.79</v>
      </c>
      <c r="K1259" s="320"/>
      <c r="L1259" s="178">
        <v>162.37</v>
      </c>
      <c r="M1259" s="178">
        <v>2140.98</v>
      </c>
      <c r="N1259" s="179">
        <v>0</v>
      </c>
      <c r="O1259" s="178">
        <v>2303.35</v>
      </c>
      <c r="P1259" s="453"/>
      <c r="Q1259" s="61"/>
      <c r="R1259" s="298"/>
      <c r="S1259" s="669"/>
      <c r="X1259" s="444">
        <v>1259</v>
      </c>
    </row>
    <row r="1260" spans="1:32" ht="12">
      <c r="A1260" s="83" t="s">
        <v>20448</v>
      </c>
      <c r="B1260" s="64" t="s">
        <v>20449</v>
      </c>
      <c r="C1260" s="71" t="s">
        <v>165</v>
      </c>
      <c r="D1260" s="79">
        <v>1</v>
      </c>
      <c r="E1260" s="79">
        <v>2734.72</v>
      </c>
      <c r="F1260" s="79">
        <v>2734.72</v>
      </c>
      <c r="G1260" s="445"/>
      <c r="H1260" s="178">
        <v>2734.72</v>
      </c>
      <c r="I1260" s="178">
        <v>3363.71</v>
      </c>
      <c r="J1260" s="70">
        <v>-628.99000000000024</v>
      </c>
      <c r="K1260" s="320"/>
      <c r="L1260" s="178">
        <v>220.87</v>
      </c>
      <c r="M1260" s="178">
        <v>2513.85</v>
      </c>
      <c r="N1260" s="179">
        <v>0</v>
      </c>
      <c r="O1260" s="178">
        <v>2734.72</v>
      </c>
      <c r="P1260" s="453"/>
      <c r="Q1260" s="61"/>
      <c r="R1260" s="298"/>
      <c r="S1260" s="669"/>
      <c r="X1260" s="444">
        <v>1260</v>
      </c>
    </row>
    <row r="1261" spans="1:32" ht="12">
      <c r="A1261" s="83" t="s">
        <v>20450</v>
      </c>
      <c r="B1261" s="64" t="s">
        <v>20451</v>
      </c>
      <c r="C1261" s="71" t="s">
        <v>165</v>
      </c>
      <c r="D1261" s="79">
        <v>1</v>
      </c>
      <c r="E1261" s="79">
        <v>2145.62</v>
      </c>
      <c r="F1261" s="79">
        <v>2145.62</v>
      </c>
      <c r="G1261" s="445"/>
      <c r="H1261" s="178">
        <v>2145.69</v>
      </c>
      <c r="I1261" s="178">
        <v>2639.2</v>
      </c>
      <c r="J1261" s="70">
        <v>-493.57999999999993</v>
      </c>
      <c r="K1261" s="320"/>
      <c r="L1261" s="178">
        <v>258.54000000000002</v>
      </c>
      <c r="M1261" s="178">
        <v>1887.08</v>
      </c>
      <c r="N1261" s="179">
        <v>0</v>
      </c>
      <c r="O1261" s="178">
        <v>2145.62</v>
      </c>
      <c r="P1261" s="453"/>
      <c r="Q1261" s="61"/>
      <c r="R1261" s="298"/>
      <c r="S1261" s="669"/>
      <c r="X1261" s="444">
        <v>1261</v>
      </c>
    </row>
    <row r="1262" spans="1:32" ht="12">
      <c r="A1262" s="83" t="s">
        <v>20452</v>
      </c>
      <c r="B1262" s="64" t="s">
        <v>20453</v>
      </c>
      <c r="C1262" s="71" t="s">
        <v>10216</v>
      </c>
      <c r="D1262" s="79">
        <v>1</v>
      </c>
      <c r="E1262" s="79">
        <v>577.26</v>
      </c>
      <c r="F1262" s="79">
        <v>577.26</v>
      </c>
      <c r="G1262" s="445"/>
      <c r="H1262" s="178">
        <v>577.25</v>
      </c>
      <c r="I1262" s="178">
        <v>710.02</v>
      </c>
      <c r="J1262" s="70">
        <v>-132.76</v>
      </c>
      <c r="K1262" s="320"/>
      <c r="L1262" s="178"/>
      <c r="M1262" s="178">
        <v>577.26</v>
      </c>
      <c r="N1262" s="179">
        <v>0</v>
      </c>
      <c r="O1262" s="178">
        <v>577.26</v>
      </c>
      <c r="P1262" s="453"/>
      <c r="Q1262" s="61"/>
      <c r="R1262" s="298"/>
      <c r="S1262" s="669"/>
      <c r="X1262" s="444">
        <v>1262</v>
      </c>
    </row>
    <row r="1263" spans="1:32" ht="12">
      <c r="A1263" s="83" t="s">
        <v>39703</v>
      </c>
      <c r="B1263" s="64" t="s">
        <v>39704</v>
      </c>
      <c r="C1263" s="71"/>
      <c r="D1263" s="79" t="s">
        <v>40899</v>
      </c>
      <c r="E1263" s="79" t="s">
        <v>40899</v>
      </c>
      <c r="F1263" s="79"/>
      <c r="G1263" s="445"/>
      <c r="H1263" s="178"/>
      <c r="I1263" s="178"/>
      <c r="J1263" s="70"/>
      <c r="K1263" s="320"/>
      <c r="L1263" s="178"/>
      <c r="M1263" s="178"/>
      <c r="N1263" s="179"/>
      <c r="O1263" s="178"/>
      <c r="P1263" s="453"/>
      <c r="Q1263" s="61"/>
      <c r="R1263" s="298"/>
      <c r="S1263" s="669"/>
      <c r="X1263" s="444">
        <v>1263</v>
      </c>
    </row>
    <row r="1264" spans="1:32" ht="12">
      <c r="A1264" s="83" t="s">
        <v>20454</v>
      </c>
      <c r="B1264" s="64" t="s">
        <v>20455</v>
      </c>
      <c r="C1264" s="71" t="s">
        <v>103</v>
      </c>
      <c r="D1264" s="79">
        <v>1</v>
      </c>
      <c r="E1264" s="79">
        <v>315.72999999999996</v>
      </c>
      <c r="F1264" s="79">
        <v>315.73</v>
      </c>
      <c r="G1264" s="445"/>
      <c r="H1264" s="178">
        <v>315.73</v>
      </c>
      <c r="I1264" s="178">
        <v>388.35</v>
      </c>
      <c r="J1264" s="70">
        <v>-72.620000000000061</v>
      </c>
      <c r="K1264" s="320"/>
      <c r="L1264" s="178">
        <v>50.97</v>
      </c>
      <c r="M1264" s="178">
        <v>264.76</v>
      </c>
      <c r="N1264" s="179">
        <v>0</v>
      </c>
      <c r="O1264" s="178">
        <v>315.73</v>
      </c>
      <c r="P1264" s="453"/>
      <c r="Q1264" s="61"/>
      <c r="R1264" s="298"/>
      <c r="S1264" s="669"/>
      <c r="X1264" s="444">
        <v>1264</v>
      </c>
    </row>
    <row r="1265" spans="1:24" ht="12">
      <c r="A1265" s="83" t="s">
        <v>20456</v>
      </c>
      <c r="B1265" s="64" t="s">
        <v>20457</v>
      </c>
      <c r="C1265" s="71" t="s">
        <v>103</v>
      </c>
      <c r="D1265" s="79">
        <v>1</v>
      </c>
      <c r="E1265" s="79">
        <v>602.46999999999991</v>
      </c>
      <c r="F1265" s="79">
        <v>602.47</v>
      </c>
      <c r="G1265" s="445"/>
      <c r="H1265" s="178">
        <v>602.48</v>
      </c>
      <c r="I1265" s="178">
        <v>741.05</v>
      </c>
      <c r="J1265" s="70">
        <v>-138.58000000000004</v>
      </c>
      <c r="K1265" s="320"/>
      <c r="L1265" s="178">
        <v>40.76</v>
      </c>
      <c r="M1265" s="178">
        <v>561.70999999999992</v>
      </c>
      <c r="N1265" s="179">
        <v>0</v>
      </c>
      <c r="O1265" s="178">
        <v>602.46999999999991</v>
      </c>
      <c r="P1265" s="453"/>
      <c r="Q1265" s="61"/>
      <c r="R1265" s="298"/>
      <c r="S1265" s="669"/>
      <c r="X1265" s="444">
        <v>1265</v>
      </c>
    </row>
    <row r="1266" spans="1:24" ht="12">
      <c r="A1266" s="83" t="s">
        <v>20458</v>
      </c>
      <c r="B1266" s="64" t="s">
        <v>20459</v>
      </c>
      <c r="C1266" s="71" t="s">
        <v>103</v>
      </c>
      <c r="D1266" s="79">
        <v>1</v>
      </c>
      <c r="E1266" s="79">
        <v>641.49</v>
      </c>
      <c r="F1266" s="79">
        <v>641.49</v>
      </c>
      <c r="G1266" s="445"/>
      <c r="H1266" s="178">
        <v>641.49</v>
      </c>
      <c r="I1266" s="178">
        <v>789.03</v>
      </c>
      <c r="J1266" s="70">
        <v>-147.53999999999996</v>
      </c>
      <c r="K1266" s="320"/>
      <c r="L1266" s="178">
        <v>101.94</v>
      </c>
      <c r="M1266" s="178">
        <v>539.54999999999995</v>
      </c>
      <c r="N1266" s="179">
        <v>0</v>
      </c>
      <c r="O1266" s="178">
        <v>641.49</v>
      </c>
      <c r="P1266" s="453"/>
      <c r="Q1266" s="61"/>
      <c r="R1266" s="298"/>
      <c r="S1266" s="669"/>
      <c r="X1266" s="444">
        <v>1266</v>
      </c>
    </row>
    <row r="1267" spans="1:24" ht="12">
      <c r="A1267" s="83" t="s">
        <v>20460</v>
      </c>
      <c r="B1267" s="64" t="s">
        <v>20461</v>
      </c>
      <c r="C1267" s="71" t="s">
        <v>103</v>
      </c>
      <c r="D1267" s="79">
        <v>1</v>
      </c>
      <c r="E1267" s="79">
        <v>1069.06</v>
      </c>
      <c r="F1267" s="79">
        <v>1069.06</v>
      </c>
      <c r="G1267" s="445"/>
      <c r="H1267" s="178">
        <v>1069.06</v>
      </c>
      <c r="I1267" s="178">
        <v>1314.94</v>
      </c>
      <c r="J1267" s="70">
        <v>-245.88000000000011</v>
      </c>
      <c r="K1267" s="320"/>
      <c r="L1267" s="178">
        <v>127.43</v>
      </c>
      <c r="M1267" s="178">
        <v>941.62999999999988</v>
      </c>
      <c r="N1267" s="179">
        <v>0</v>
      </c>
      <c r="O1267" s="178">
        <v>1069.06</v>
      </c>
      <c r="P1267" s="453"/>
      <c r="Q1267" s="61"/>
      <c r="R1267" s="298"/>
      <c r="S1267" s="669"/>
      <c r="X1267" s="444">
        <v>1267</v>
      </c>
    </row>
    <row r="1268" spans="1:24" ht="12">
      <c r="A1268" s="83" t="s">
        <v>20462</v>
      </c>
      <c r="B1268" s="64" t="s">
        <v>20463</v>
      </c>
      <c r="C1268" s="71" t="s">
        <v>103</v>
      </c>
      <c r="D1268" s="79">
        <v>1</v>
      </c>
      <c r="E1268" s="79">
        <v>613.45000000000005</v>
      </c>
      <c r="F1268" s="79">
        <v>613.45000000000005</v>
      </c>
      <c r="G1268" s="445"/>
      <c r="H1268" s="178">
        <v>613.45000000000005</v>
      </c>
      <c r="I1268" s="178">
        <v>754.54</v>
      </c>
      <c r="J1268" s="70">
        <v>-141.08999999999992</v>
      </c>
      <c r="K1268" s="320"/>
      <c r="L1268" s="178">
        <v>127.43</v>
      </c>
      <c r="M1268" s="178">
        <v>486.02000000000004</v>
      </c>
      <c r="N1268" s="179">
        <v>0</v>
      </c>
      <c r="O1268" s="178">
        <v>613.45000000000005</v>
      </c>
      <c r="P1268" s="453"/>
      <c r="Q1268" s="61"/>
      <c r="R1268" s="298"/>
      <c r="S1268" s="669"/>
      <c r="X1268" s="444">
        <v>1268</v>
      </c>
    </row>
    <row r="1269" spans="1:24" ht="12">
      <c r="A1269" s="83" t="s">
        <v>20464</v>
      </c>
      <c r="B1269" s="64" t="s">
        <v>20465</v>
      </c>
      <c r="C1269" s="71" t="s">
        <v>103</v>
      </c>
      <c r="D1269" s="79">
        <v>1</v>
      </c>
      <c r="E1269" s="79">
        <v>1074.4600000000003</v>
      </c>
      <c r="F1269" s="79">
        <v>1074.46</v>
      </c>
      <c r="G1269" s="445"/>
      <c r="H1269" s="178">
        <v>1074.43</v>
      </c>
      <c r="I1269" s="178">
        <v>1321.55</v>
      </c>
      <c r="J1269" s="70">
        <v>-247.08999999999969</v>
      </c>
      <c r="K1269" s="320"/>
      <c r="L1269" s="178">
        <v>140.19</v>
      </c>
      <c r="M1269" s="178">
        <v>934.27000000000021</v>
      </c>
      <c r="N1269" s="179">
        <v>0</v>
      </c>
      <c r="O1269" s="178">
        <v>1074.4600000000003</v>
      </c>
      <c r="P1269" s="453"/>
      <c r="Q1269" s="61"/>
      <c r="R1269" s="298"/>
      <c r="S1269" s="669"/>
      <c r="X1269" s="444">
        <v>1269</v>
      </c>
    </row>
    <row r="1270" spans="1:24" ht="12">
      <c r="A1270" s="83" t="s">
        <v>20466</v>
      </c>
      <c r="B1270" s="64" t="s">
        <v>20467</v>
      </c>
      <c r="C1270" s="71" t="s">
        <v>103</v>
      </c>
      <c r="D1270" s="79">
        <v>1</v>
      </c>
      <c r="E1270" s="79">
        <v>1454.24</v>
      </c>
      <c r="F1270" s="79">
        <v>1454.24</v>
      </c>
      <c r="G1270" s="445"/>
      <c r="H1270" s="178">
        <v>1454.21</v>
      </c>
      <c r="I1270" s="178">
        <v>1788.68</v>
      </c>
      <c r="J1270" s="70">
        <v>-334.44000000000005</v>
      </c>
      <c r="K1270" s="320"/>
      <c r="L1270" s="178">
        <v>140.19</v>
      </c>
      <c r="M1270" s="178">
        <v>1314.05</v>
      </c>
      <c r="N1270" s="179">
        <v>0</v>
      </c>
      <c r="O1270" s="178">
        <v>1454.24</v>
      </c>
      <c r="P1270" s="453"/>
      <c r="Q1270" s="61"/>
      <c r="R1270" s="298"/>
      <c r="S1270" s="669"/>
      <c r="X1270" s="444">
        <v>1270</v>
      </c>
    </row>
    <row r="1271" spans="1:24" ht="12">
      <c r="A1271" s="83" t="s">
        <v>20468</v>
      </c>
      <c r="B1271" s="64" t="s">
        <v>20469</v>
      </c>
      <c r="C1271" s="71" t="s">
        <v>103</v>
      </c>
      <c r="D1271" s="79">
        <v>1</v>
      </c>
      <c r="E1271" s="79">
        <v>86.52000000000001</v>
      </c>
      <c r="F1271" s="79">
        <v>86.52</v>
      </c>
      <c r="G1271" s="445"/>
      <c r="H1271" s="178">
        <v>86.52</v>
      </c>
      <c r="I1271" s="178">
        <v>106.42</v>
      </c>
      <c r="J1271" s="70">
        <v>-19.899999999999991</v>
      </c>
      <c r="K1271" s="320"/>
      <c r="L1271" s="178">
        <v>54.61</v>
      </c>
      <c r="M1271" s="178">
        <v>31.910000000000011</v>
      </c>
      <c r="N1271" s="179">
        <v>0</v>
      </c>
      <c r="O1271" s="178">
        <v>86.52000000000001</v>
      </c>
      <c r="P1271" s="453"/>
      <c r="Q1271" s="61"/>
      <c r="R1271" s="298"/>
      <c r="S1271" s="669"/>
      <c r="X1271" s="444">
        <v>1271</v>
      </c>
    </row>
    <row r="1272" spans="1:24" ht="12">
      <c r="A1272" s="83" t="s">
        <v>20470</v>
      </c>
      <c r="B1272" s="64" t="s">
        <v>20471</v>
      </c>
      <c r="C1272" s="71" t="s">
        <v>103</v>
      </c>
      <c r="D1272" s="79">
        <v>1</v>
      </c>
      <c r="E1272" s="79">
        <v>101.87</v>
      </c>
      <c r="F1272" s="79">
        <v>101.87</v>
      </c>
      <c r="G1272" s="445"/>
      <c r="H1272" s="178">
        <v>101.87</v>
      </c>
      <c r="I1272" s="178">
        <v>125.3</v>
      </c>
      <c r="J1272" s="70">
        <v>-23.429999999999993</v>
      </c>
      <c r="K1272" s="320"/>
      <c r="L1272" s="178">
        <v>54.61</v>
      </c>
      <c r="M1272" s="178">
        <v>47.260000000000005</v>
      </c>
      <c r="N1272" s="179">
        <v>0</v>
      </c>
      <c r="O1272" s="178">
        <v>101.87</v>
      </c>
      <c r="P1272" s="453"/>
      <c r="Q1272" s="61"/>
      <c r="R1272" s="298"/>
      <c r="S1272" s="669"/>
      <c r="X1272" s="444">
        <v>1272</v>
      </c>
    </row>
    <row r="1273" spans="1:24" ht="12">
      <c r="A1273" s="67" t="s">
        <v>20472</v>
      </c>
      <c r="B1273" s="456" t="s">
        <v>20473</v>
      </c>
      <c r="C1273" s="71" t="s">
        <v>396</v>
      </c>
      <c r="D1273" s="462">
        <v>1</v>
      </c>
      <c r="E1273" s="79">
        <v>2989.9100000000003</v>
      </c>
      <c r="F1273" s="79">
        <v>2989.91</v>
      </c>
      <c r="H1273" s="70">
        <v>2989.88</v>
      </c>
      <c r="I1273" s="178">
        <v>3677.55</v>
      </c>
      <c r="J1273" s="70">
        <v>-687.63999999999987</v>
      </c>
      <c r="K1273" s="320"/>
      <c r="L1273" s="178">
        <v>72.77</v>
      </c>
      <c r="M1273" s="70">
        <v>2917.1400000000003</v>
      </c>
      <c r="N1273" s="179">
        <v>0</v>
      </c>
      <c r="O1273" s="753">
        <v>2989.9100000000003</v>
      </c>
      <c r="Q1273" s="61"/>
      <c r="R1273" s="298"/>
      <c r="S1273" s="669"/>
      <c r="X1273" s="444">
        <v>1273</v>
      </c>
    </row>
    <row r="1274" spans="1:24" ht="12">
      <c r="A1274" s="67" t="s">
        <v>20474</v>
      </c>
      <c r="B1274" s="456" t="s">
        <v>20475</v>
      </c>
      <c r="C1274" s="71" t="s">
        <v>396</v>
      </c>
      <c r="D1274" s="462">
        <v>1</v>
      </c>
      <c r="E1274" s="79">
        <v>3084.9900000000002</v>
      </c>
      <c r="F1274" s="79">
        <v>3084.99</v>
      </c>
      <c r="H1274" s="70">
        <v>3084.98</v>
      </c>
      <c r="I1274" s="178">
        <v>3794.53</v>
      </c>
      <c r="J1274" s="70">
        <v>-709.54</v>
      </c>
      <c r="K1274" s="320"/>
      <c r="L1274" s="178">
        <v>278.79000000000002</v>
      </c>
      <c r="M1274" s="70">
        <v>2806.2000000000003</v>
      </c>
      <c r="N1274" s="179">
        <v>0</v>
      </c>
      <c r="O1274" s="753">
        <v>3084.9900000000002</v>
      </c>
      <c r="Q1274" s="61"/>
      <c r="R1274" s="298"/>
      <c r="S1274" s="669"/>
      <c r="X1274" s="444">
        <v>1274</v>
      </c>
    </row>
    <row r="1275" spans="1:24" ht="12">
      <c r="A1275" s="67" t="s">
        <v>20476</v>
      </c>
      <c r="B1275" s="456" t="s">
        <v>20477</v>
      </c>
      <c r="C1275" s="71" t="s">
        <v>396</v>
      </c>
      <c r="D1275" s="462">
        <v>1</v>
      </c>
      <c r="E1275" s="79">
        <v>1926.1499999999999</v>
      </c>
      <c r="F1275" s="79">
        <v>1926.15</v>
      </c>
      <c r="H1275" s="70">
        <v>1926.15</v>
      </c>
      <c r="I1275" s="178">
        <v>2369.16</v>
      </c>
      <c r="J1275" s="70">
        <v>-443.01</v>
      </c>
      <c r="K1275" s="320"/>
      <c r="L1275" s="178">
        <v>176.85</v>
      </c>
      <c r="M1275" s="70">
        <v>1749.3</v>
      </c>
      <c r="N1275" s="179">
        <v>0</v>
      </c>
      <c r="O1275" s="753">
        <v>1926.1499999999999</v>
      </c>
      <c r="Q1275" s="61"/>
      <c r="R1275" s="298"/>
      <c r="S1275" s="669"/>
      <c r="X1275" s="444">
        <v>1275</v>
      </c>
    </row>
    <row r="1276" spans="1:24" ht="12">
      <c r="A1276" s="67" t="s">
        <v>20478</v>
      </c>
      <c r="B1276" s="456" t="s">
        <v>20479</v>
      </c>
      <c r="C1276" s="71" t="s">
        <v>396</v>
      </c>
      <c r="D1276" s="462">
        <v>1</v>
      </c>
      <c r="E1276" s="79">
        <v>1369.83</v>
      </c>
      <c r="F1276" s="79">
        <v>1369.83</v>
      </c>
      <c r="H1276" s="70">
        <v>1369.82</v>
      </c>
      <c r="I1276" s="178">
        <v>1684.88</v>
      </c>
      <c r="J1276" s="70">
        <v>-315.05000000000018</v>
      </c>
      <c r="K1276" s="320"/>
      <c r="L1276" s="178">
        <v>176.85</v>
      </c>
      <c r="M1276" s="70">
        <v>1192.98</v>
      </c>
      <c r="N1276" s="179">
        <v>0</v>
      </c>
      <c r="O1276" s="753">
        <v>1369.83</v>
      </c>
      <c r="Q1276" s="61"/>
      <c r="R1276" s="298"/>
      <c r="S1276" s="669"/>
      <c r="X1276" s="444">
        <v>1276</v>
      </c>
    </row>
    <row r="1277" spans="1:24" ht="12">
      <c r="A1277" s="83" t="s">
        <v>20480</v>
      </c>
      <c r="B1277" s="64" t="s">
        <v>20481</v>
      </c>
      <c r="C1277" s="71" t="s">
        <v>103</v>
      </c>
      <c r="D1277" s="79">
        <v>1</v>
      </c>
      <c r="E1277" s="79">
        <v>117.55000000000001</v>
      </c>
      <c r="F1277" s="79">
        <v>117.55</v>
      </c>
      <c r="G1277" s="445"/>
      <c r="H1277" s="178">
        <v>117.55</v>
      </c>
      <c r="I1277" s="178">
        <v>144.59</v>
      </c>
      <c r="J1277" s="70">
        <v>-27.039999999999992</v>
      </c>
      <c r="K1277" s="320"/>
      <c r="L1277" s="178">
        <v>54.61</v>
      </c>
      <c r="M1277" s="178">
        <v>62.940000000000012</v>
      </c>
      <c r="N1277" s="179">
        <v>0</v>
      </c>
      <c r="O1277" s="178">
        <v>117.55000000000001</v>
      </c>
      <c r="P1277" s="453"/>
      <c r="Q1277" s="61"/>
      <c r="R1277" s="298"/>
      <c r="S1277" s="669"/>
      <c r="X1277" s="444">
        <v>1277</v>
      </c>
    </row>
    <row r="1278" spans="1:24" ht="12">
      <c r="A1278" s="83" t="s">
        <v>20482</v>
      </c>
      <c r="B1278" s="64" t="s">
        <v>20483</v>
      </c>
      <c r="C1278" s="71" t="s">
        <v>103</v>
      </c>
      <c r="D1278" s="79">
        <v>1</v>
      </c>
      <c r="E1278" s="79">
        <v>64.400000000000006</v>
      </c>
      <c r="F1278" s="79">
        <v>64.400000000000006</v>
      </c>
      <c r="G1278" s="445"/>
      <c r="H1278" s="178">
        <v>64.400000000000006</v>
      </c>
      <c r="I1278" s="178">
        <v>79.209999999999994</v>
      </c>
      <c r="J1278" s="70">
        <v>-14.809999999999988</v>
      </c>
      <c r="K1278" s="320"/>
      <c r="L1278" s="178">
        <v>54.61</v>
      </c>
      <c r="M1278" s="178">
        <v>9.7900000000000063</v>
      </c>
      <c r="N1278" s="179">
        <v>0</v>
      </c>
      <c r="O1278" s="178">
        <v>64.400000000000006</v>
      </c>
      <c r="P1278" s="453"/>
      <c r="Q1278" s="61"/>
      <c r="R1278" s="298"/>
      <c r="S1278" s="669"/>
      <c r="X1278" s="444">
        <v>1278</v>
      </c>
    </row>
    <row r="1279" spans="1:24" ht="12">
      <c r="A1279" s="83" t="s">
        <v>20484</v>
      </c>
      <c r="B1279" s="64" t="s">
        <v>20485</v>
      </c>
      <c r="C1279" s="71" t="s">
        <v>165</v>
      </c>
      <c r="D1279" s="79">
        <v>1</v>
      </c>
      <c r="E1279" s="79">
        <v>419.08</v>
      </c>
      <c r="F1279" s="79">
        <v>419.08</v>
      </c>
      <c r="G1279" s="445"/>
      <c r="H1279" s="178">
        <v>419.1</v>
      </c>
      <c r="I1279" s="178">
        <v>515.49</v>
      </c>
      <c r="J1279" s="70">
        <v>-96.410000000000025</v>
      </c>
      <c r="K1279" s="320"/>
      <c r="L1279" s="178">
        <v>63.27000000000001</v>
      </c>
      <c r="M1279" s="178">
        <v>355.80999999999995</v>
      </c>
      <c r="N1279" s="179">
        <v>0</v>
      </c>
      <c r="O1279" s="178">
        <v>419.07999999999993</v>
      </c>
      <c r="P1279" s="453"/>
      <c r="Q1279" s="61"/>
      <c r="R1279" s="298"/>
      <c r="S1279" s="669"/>
      <c r="X1279" s="444">
        <v>1279</v>
      </c>
    </row>
    <row r="1280" spans="1:24" ht="12">
      <c r="A1280" s="83" t="s">
        <v>20486</v>
      </c>
      <c r="B1280" s="64" t="s">
        <v>20487</v>
      </c>
      <c r="C1280" s="71" t="s">
        <v>103</v>
      </c>
      <c r="D1280" s="79">
        <v>1</v>
      </c>
      <c r="E1280" s="79">
        <v>547.13</v>
      </c>
      <c r="F1280" s="79">
        <v>547.13</v>
      </c>
      <c r="G1280" s="445"/>
      <c r="H1280" s="178">
        <v>547.13</v>
      </c>
      <c r="I1280" s="178">
        <v>672.97</v>
      </c>
      <c r="J1280" s="70">
        <v>-125.84000000000003</v>
      </c>
      <c r="K1280" s="320"/>
      <c r="L1280" s="178">
        <v>19.759999999999998</v>
      </c>
      <c r="M1280" s="178">
        <v>527.37</v>
      </c>
      <c r="N1280" s="179">
        <v>0</v>
      </c>
      <c r="O1280" s="178">
        <v>547.13</v>
      </c>
      <c r="P1280" s="453"/>
      <c r="Q1280" s="61"/>
      <c r="R1280" s="298"/>
      <c r="S1280" s="669"/>
      <c r="X1280" s="444">
        <v>1280</v>
      </c>
    </row>
    <row r="1281" spans="1:24" ht="12">
      <c r="A1281" s="83" t="s">
        <v>20488</v>
      </c>
      <c r="B1281" s="64" t="s">
        <v>20489</v>
      </c>
      <c r="C1281" s="71" t="s">
        <v>396</v>
      </c>
      <c r="D1281" s="79">
        <v>1</v>
      </c>
      <c r="E1281" s="79">
        <v>2968.54</v>
      </c>
      <c r="F1281" s="79">
        <v>2968.54</v>
      </c>
      <c r="G1281" s="445"/>
      <c r="H1281" s="178">
        <v>2968.53</v>
      </c>
      <c r="I1281" s="178">
        <v>3651.29</v>
      </c>
      <c r="J1281" s="70">
        <v>-682.75</v>
      </c>
      <c r="K1281" s="320"/>
      <c r="L1281" s="178">
        <v>266.44</v>
      </c>
      <c r="M1281" s="178">
        <v>2702.1</v>
      </c>
      <c r="N1281" s="179">
        <v>0</v>
      </c>
      <c r="O1281" s="178">
        <v>2968.54</v>
      </c>
      <c r="P1281" s="453"/>
      <c r="Q1281" s="61"/>
      <c r="R1281" s="298"/>
      <c r="S1281" s="669"/>
      <c r="X1281" s="444">
        <v>1281</v>
      </c>
    </row>
    <row r="1282" spans="1:24" ht="12">
      <c r="A1282" s="83" t="s">
        <v>20490</v>
      </c>
      <c r="B1282" s="64" t="s">
        <v>39705</v>
      </c>
      <c r="C1282" s="71" t="s">
        <v>396</v>
      </c>
      <c r="D1282" s="79">
        <v>1</v>
      </c>
      <c r="E1282" s="79">
        <v>1807.84</v>
      </c>
      <c r="F1282" s="79">
        <v>1807.84</v>
      </c>
      <c r="G1282" s="445"/>
      <c r="H1282" s="178">
        <v>1807.84</v>
      </c>
      <c r="I1282" s="178">
        <v>2223.64</v>
      </c>
      <c r="J1282" s="70">
        <v>-415.79999999999995</v>
      </c>
      <c r="K1282" s="320"/>
      <c r="L1282" s="178">
        <v>176.85</v>
      </c>
      <c r="M1282" s="178">
        <v>1630.99</v>
      </c>
      <c r="N1282" s="179">
        <v>0</v>
      </c>
      <c r="O1282" s="178">
        <v>1807.84</v>
      </c>
      <c r="P1282" s="453"/>
      <c r="Q1282" s="61"/>
      <c r="R1282" s="298"/>
      <c r="S1282" s="669"/>
      <c r="X1282" s="444">
        <v>1282</v>
      </c>
    </row>
    <row r="1283" spans="1:24" ht="12">
      <c r="A1283" s="83" t="s">
        <v>20491</v>
      </c>
      <c r="B1283" s="64" t="s">
        <v>39706</v>
      </c>
      <c r="C1283" s="71" t="s">
        <v>396</v>
      </c>
      <c r="D1283" s="79">
        <v>1</v>
      </c>
      <c r="E1283" s="79">
        <v>3440.48</v>
      </c>
      <c r="F1283" s="79">
        <v>3440.48</v>
      </c>
      <c r="G1283" s="445"/>
      <c r="H1283" s="178">
        <v>3440.47</v>
      </c>
      <c r="I1283" s="178">
        <v>4231.78</v>
      </c>
      <c r="J1283" s="70">
        <v>-791.29999999999973</v>
      </c>
      <c r="K1283" s="320"/>
      <c r="L1283" s="178">
        <v>266.44</v>
      </c>
      <c r="M1283" s="178">
        <v>3174.04</v>
      </c>
      <c r="N1283" s="179">
        <v>0</v>
      </c>
      <c r="O1283" s="178">
        <v>3440.48</v>
      </c>
      <c r="P1283" s="453"/>
      <c r="Q1283" s="61"/>
      <c r="R1283" s="298"/>
      <c r="S1283" s="669"/>
      <c r="X1283" s="444">
        <v>1283</v>
      </c>
    </row>
    <row r="1284" spans="1:24" ht="12">
      <c r="A1284" s="83" t="s">
        <v>20492</v>
      </c>
      <c r="B1284" s="64" t="s">
        <v>20493</v>
      </c>
      <c r="C1284" s="71" t="s">
        <v>103</v>
      </c>
      <c r="D1284" s="79">
        <v>1</v>
      </c>
      <c r="E1284" s="79">
        <v>401.32</v>
      </c>
      <c r="F1284" s="79">
        <v>401.32</v>
      </c>
      <c r="G1284" s="445"/>
      <c r="H1284" s="178">
        <v>401.32</v>
      </c>
      <c r="I1284" s="178">
        <v>493.62</v>
      </c>
      <c r="J1284" s="70">
        <v>-92.300000000000011</v>
      </c>
      <c r="K1284" s="320"/>
      <c r="L1284" s="178">
        <v>24.71</v>
      </c>
      <c r="M1284" s="178">
        <v>376.61</v>
      </c>
      <c r="N1284" s="179">
        <v>0</v>
      </c>
      <c r="O1284" s="178">
        <v>401.32</v>
      </c>
      <c r="P1284" s="453"/>
      <c r="Q1284" s="61"/>
      <c r="R1284" s="298"/>
      <c r="S1284" s="669"/>
      <c r="X1284" s="444">
        <v>1284</v>
      </c>
    </row>
    <row r="1285" spans="1:24" ht="12">
      <c r="A1285" s="83" t="s">
        <v>20494</v>
      </c>
      <c r="B1285" s="64" t="s">
        <v>20495</v>
      </c>
      <c r="C1285" s="71" t="s">
        <v>103</v>
      </c>
      <c r="D1285" s="79">
        <v>1</v>
      </c>
      <c r="E1285" s="79">
        <v>3271.8199999999997</v>
      </c>
      <c r="F1285" s="79">
        <v>3271.82</v>
      </c>
      <c r="G1285" s="445"/>
      <c r="H1285" s="178">
        <v>3271.82</v>
      </c>
      <c r="I1285" s="178">
        <v>4024.34</v>
      </c>
      <c r="J1285" s="70">
        <v>-752.52000000000044</v>
      </c>
      <c r="K1285" s="320"/>
      <c r="L1285" s="178">
        <v>419.20000000000005</v>
      </c>
      <c r="M1285" s="178">
        <v>2852.62</v>
      </c>
      <c r="N1285" s="179">
        <v>0</v>
      </c>
      <c r="O1285" s="178">
        <v>3271.8199999999997</v>
      </c>
      <c r="P1285" s="453"/>
      <c r="Q1285" s="61"/>
      <c r="R1285" s="298"/>
      <c r="S1285" s="669"/>
      <c r="X1285" s="444">
        <v>1285</v>
      </c>
    </row>
    <row r="1286" spans="1:24" ht="12">
      <c r="A1286" s="83" t="s">
        <v>20496</v>
      </c>
      <c r="B1286" s="64" t="s">
        <v>20497</v>
      </c>
      <c r="C1286" s="71" t="s">
        <v>396</v>
      </c>
      <c r="D1286" s="79">
        <v>1</v>
      </c>
      <c r="E1286" s="79">
        <v>2884.7100000000005</v>
      </c>
      <c r="F1286" s="79">
        <v>2884.71</v>
      </c>
      <c r="G1286" s="445"/>
      <c r="H1286" s="178">
        <v>2884.68</v>
      </c>
      <c r="I1286" s="178">
        <v>3548.16</v>
      </c>
      <c r="J1286" s="70">
        <v>-663.44999999999936</v>
      </c>
      <c r="K1286" s="320"/>
      <c r="L1286" s="178">
        <v>70.289999999999992</v>
      </c>
      <c r="M1286" s="178">
        <v>2814.4200000000005</v>
      </c>
      <c r="N1286" s="179">
        <v>0</v>
      </c>
      <c r="O1286" s="178">
        <v>2884.7100000000005</v>
      </c>
      <c r="P1286" s="453"/>
      <c r="Q1286" s="61"/>
      <c r="R1286" s="298"/>
      <c r="S1286" s="669"/>
      <c r="X1286" s="444">
        <v>1286</v>
      </c>
    </row>
    <row r="1287" spans="1:24" ht="12">
      <c r="A1287" s="83" t="s">
        <v>20498</v>
      </c>
      <c r="B1287" s="64" t="s">
        <v>20499</v>
      </c>
      <c r="C1287" s="71" t="s">
        <v>10216</v>
      </c>
      <c r="D1287" s="79">
        <v>1</v>
      </c>
      <c r="E1287" s="79">
        <v>577.26</v>
      </c>
      <c r="F1287" s="79">
        <v>577.26</v>
      </c>
      <c r="G1287" s="445"/>
      <c r="H1287" s="178">
        <v>577.25</v>
      </c>
      <c r="I1287" s="178">
        <v>710.02</v>
      </c>
      <c r="J1287" s="70">
        <v>-132.76</v>
      </c>
      <c r="K1287" s="320"/>
      <c r="L1287" s="178"/>
      <c r="M1287" s="178">
        <v>577.26</v>
      </c>
      <c r="N1287" s="179">
        <v>0</v>
      </c>
      <c r="O1287" s="178">
        <v>577.26</v>
      </c>
      <c r="P1287" s="453"/>
      <c r="Q1287" s="61"/>
      <c r="R1287" s="298"/>
      <c r="S1287" s="669"/>
      <c r="X1287" s="444">
        <v>1287</v>
      </c>
    </row>
    <row r="1288" spans="1:24" ht="12">
      <c r="A1288" s="83" t="s">
        <v>39707</v>
      </c>
      <c r="B1288" s="64" t="s">
        <v>20500</v>
      </c>
      <c r="C1288" s="71"/>
      <c r="D1288" s="79" t="s">
        <v>40899</v>
      </c>
      <c r="E1288" s="79" t="s">
        <v>40899</v>
      </c>
      <c r="F1288" s="79"/>
      <c r="G1288" s="445"/>
      <c r="H1288" s="178"/>
      <c r="I1288" s="178"/>
      <c r="J1288" s="70"/>
      <c r="K1288" s="320"/>
      <c r="L1288" s="178"/>
      <c r="M1288" s="178"/>
      <c r="N1288" s="179"/>
      <c r="O1288" s="178"/>
      <c r="P1288" s="453"/>
      <c r="Q1288" s="61"/>
      <c r="R1288" s="298"/>
      <c r="S1288" s="669"/>
      <c r="X1288" s="444">
        <v>1288</v>
      </c>
    </row>
    <row r="1289" spans="1:24" ht="12">
      <c r="A1289" s="83" t="s">
        <v>20501</v>
      </c>
      <c r="B1289" s="64" t="s">
        <v>20502</v>
      </c>
      <c r="C1289" s="71" t="s">
        <v>165</v>
      </c>
      <c r="D1289" s="79">
        <v>1</v>
      </c>
      <c r="E1289" s="79">
        <v>1326.82</v>
      </c>
      <c r="F1289" s="79">
        <v>1326.82</v>
      </c>
      <c r="G1289" s="445"/>
      <c r="H1289" s="178">
        <v>1326.8</v>
      </c>
      <c r="I1289" s="178">
        <v>1631.97</v>
      </c>
      <c r="J1289" s="70">
        <v>-305.15000000000009</v>
      </c>
      <c r="K1289" s="320"/>
      <c r="L1289" s="178">
        <v>127.43</v>
      </c>
      <c r="M1289" s="178">
        <v>1199.3899999999999</v>
      </c>
      <c r="N1289" s="179">
        <v>0</v>
      </c>
      <c r="O1289" s="178">
        <v>1326.82</v>
      </c>
      <c r="P1289" s="453"/>
      <c r="Q1289" s="61"/>
      <c r="R1289" s="298"/>
      <c r="S1289" s="669"/>
      <c r="X1289" s="444">
        <v>1289</v>
      </c>
    </row>
    <row r="1290" spans="1:24" ht="12">
      <c r="A1290" s="83" t="s">
        <v>20503</v>
      </c>
      <c r="B1290" s="64" t="s">
        <v>20504</v>
      </c>
      <c r="C1290" s="71" t="s">
        <v>509</v>
      </c>
      <c r="D1290" s="79">
        <v>1</v>
      </c>
      <c r="E1290" s="79">
        <v>1264.1999999999998</v>
      </c>
      <c r="F1290" s="79">
        <v>1264.2</v>
      </c>
      <c r="G1290" s="445"/>
      <c r="H1290" s="178">
        <v>1264.2</v>
      </c>
      <c r="I1290" s="178">
        <v>1554.96</v>
      </c>
      <c r="J1290" s="70">
        <v>-290.76000000000022</v>
      </c>
      <c r="K1290" s="320"/>
      <c r="L1290" s="178">
        <v>98.83</v>
      </c>
      <c r="M1290" s="178">
        <v>1165.3699999999999</v>
      </c>
      <c r="N1290" s="179">
        <v>0</v>
      </c>
      <c r="O1290" s="178">
        <v>1264.1999999999998</v>
      </c>
      <c r="P1290" s="453"/>
      <c r="Q1290" s="61"/>
      <c r="R1290" s="298"/>
      <c r="S1290" s="669"/>
      <c r="X1290" s="444">
        <v>1290</v>
      </c>
    </row>
    <row r="1291" spans="1:24" ht="12">
      <c r="A1291" s="83" t="s">
        <v>20505</v>
      </c>
      <c r="B1291" s="64" t="s">
        <v>20506</v>
      </c>
      <c r="C1291" s="71" t="s">
        <v>103</v>
      </c>
      <c r="D1291" s="79">
        <v>1</v>
      </c>
      <c r="E1291" s="79">
        <v>1330.54</v>
      </c>
      <c r="F1291" s="79">
        <v>1330.54</v>
      </c>
      <c r="G1291" s="445"/>
      <c r="H1291" s="178">
        <v>1330.54</v>
      </c>
      <c r="I1291" s="178">
        <v>1636.56</v>
      </c>
      <c r="J1291" s="70">
        <v>-306.02</v>
      </c>
      <c r="K1291" s="320"/>
      <c r="L1291" s="178">
        <v>76.460000000000008</v>
      </c>
      <c r="M1291" s="178">
        <v>1254.08</v>
      </c>
      <c r="N1291" s="179">
        <v>0</v>
      </c>
      <c r="O1291" s="178">
        <v>1330.54</v>
      </c>
      <c r="P1291" s="453"/>
      <c r="Q1291" s="61"/>
      <c r="R1291" s="298"/>
      <c r="S1291" s="669"/>
      <c r="X1291" s="444">
        <v>1291</v>
      </c>
    </row>
    <row r="1292" spans="1:24" ht="12">
      <c r="A1292" s="83" t="s">
        <v>20507</v>
      </c>
      <c r="B1292" s="64" t="s">
        <v>20508</v>
      </c>
      <c r="C1292" s="71" t="s">
        <v>103</v>
      </c>
      <c r="D1292" s="79">
        <v>1</v>
      </c>
      <c r="E1292" s="79">
        <v>194.36</v>
      </c>
      <c r="F1292" s="79">
        <v>194.36</v>
      </c>
      <c r="G1292" s="445"/>
      <c r="H1292" s="178">
        <v>194.35</v>
      </c>
      <c r="I1292" s="178">
        <v>239.05</v>
      </c>
      <c r="J1292" s="70">
        <v>-44.69</v>
      </c>
      <c r="K1292" s="320"/>
      <c r="L1292" s="178">
        <v>25.490000000000002</v>
      </c>
      <c r="M1292" s="178">
        <v>168.87</v>
      </c>
      <c r="N1292" s="179">
        <v>0</v>
      </c>
      <c r="O1292" s="178">
        <v>194.36</v>
      </c>
      <c r="P1292" s="453"/>
      <c r="Q1292" s="61"/>
      <c r="R1292" s="298"/>
      <c r="S1292" s="669"/>
      <c r="X1292" s="444">
        <v>1292</v>
      </c>
    </row>
    <row r="1293" spans="1:24" ht="12">
      <c r="A1293" s="83" t="s">
        <v>20509</v>
      </c>
      <c r="B1293" s="64" t="s">
        <v>9072</v>
      </c>
      <c r="C1293" s="71" t="s">
        <v>103</v>
      </c>
      <c r="D1293" s="79">
        <v>1</v>
      </c>
      <c r="E1293" s="79">
        <v>567.55999999999995</v>
      </c>
      <c r="F1293" s="79">
        <v>567.55999999999995</v>
      </c>
      <c r="G1293" s="445"/>
      <c r="H1293" s="178">
        <v>567.54999999999995</v>
      </c>
      <c r="I1293" s="178">
        <v>698.09</v>
      </c>
      <c r="J1293" s="70">
        <v>-130.53000000000009</v>
      </c>
      <c r="K1293" s="320"/>
      <c r="L1293" s="178">
        <v>40</v>
      </c>
      <c r="M1293" s="178">
        <v>527.55999999999995</v>
      </c>
      <c r="N1293" s="179">
        <v>0</v>
      </c>
      <c r="O1293" s="178">
        <v>567.55999999999995</v>
      </c>
      <c r="P1293" s="453"/>
      <c r="Q1293" s="61"/>
      <c r="R1293" s="298"/>
      <c r="S1293" s="669"/>
      <c r="X1293" s="444">
        <v>1293</v>
      </c>
    </row>
    <row r="1294" spans="1:24" ht="12">
      <c r="A1294" s="83" t="s">
        <v>20510</v>
      </c>
      <c r="B1294" s="64" t="s">
        <v>20511</v>
      </c>
      <c r="C1294" s="71" t="s">
        <v>103</v>
      </c>
      <c r="D1294" s="79">
        <v>1</v>
      </c>
      <c r="E1294" s="79">
        <v>868.44</v>
      </c>
      <c r="F1294" s="79">
        <v>868.44</v>
      </c>
      <c r="G1294" s="445"/>
      <c r="H1294" s="178">
        <v>868.43</v>
      </c>
      <c r="I1294" s="178">
        <v>1068.17</v>
      </c>
      <c r="J1294" s="70">
        <v>-199.73000000000002</v>
      </c>
      <c r="K1294" s="320"/>
      <c r="L1294" s="178">
        <v>40</v>
      </c>
      <c r="M1294" s="178">
        <v>828.44</v>
      </c>
      <c r="N1294" s="179">
        <v>0</v>
      </c>
      <c r="O1294" s="178">
        <v>868.44</v>
      </c>
      <c r="P1294" s="453"/>
      <c r="Q1294" s="61"/>
      <c r="R1294" s="298"/>
      <c r="S1294" s="669"/>
      <c r="X1294" s="444">
        <v>1294</v>
      </c>
    </row>
    <row r="1295" spans="1:24" ht="12">
      <c r="A1295" s="83" t="s">
        <v>20512</v>
      </c>
      <c r="B1295" s="64" t="s">
        <v>20513</v>
      </c>
      <c r="C1295" s="71" t="s">
        <v>103</v>
      </c>
      <c r="D1295" s="79">
        <v>1</v>
      </c>
      <c r="E1295" s="79">
        <v>3924.28</v>
      </c>
      <c r="F1295" s="79">
        <v>3924.28</v>
      </c>
      <c r="G1295" s="445"/>
      <c r="H1295" s="178">
        <v>3924.28</v>
      </c>
      <c r="I1295" s="178">
        <v>4826.8599999999997</v>
      </c>
      <c r="J1295" s="70">
        <v>-902.57999999999947</v>
      </c>
      <c r="K1295" s="320"/>
      <c r="L1295" s="178"/>
      <c r="M1295" s="178">
        <v>3924.28</v>
      </c>
      <c r="N1295" s="179">
        <v>0</v>
      </c>
      <c r="O1295" s="178">
        <v>3924.28</v>
      </c>
      <c r="P1295" s="453"/>
      <c r="Q1295" s="61"/>
      <c r="R1295" s="298"/>
      <c r="S1295" s="669"/>
      <c r="X1295" s="444">
        <v>1295</v>
      </c>
    </row>
    <row r="1296" spans="1:24" ht="12">
      <c r="A1296" s="83" t="s">
        <v>20514</v>
      </c>
      <c r="B1296" s="64" t="s">
        <v>20515</v>
      </c>
      <c r="C1296" s="71" t="s">
        <v>103</v>
      </c>
      <c r="D1296" s="79">
        <v>1</v>
      </c>
      <c r="E1296" s="79">
        <v>1587.03</v>
      </c>
      <c r="F1296" s="79">
        <v>1587.03</v>
      </c>
      <c r="G1296" s="445"/>
      <c r="H1296" s="178">
        <v>1587.03</v>
      </c>
      <c r="I1296" s="178">
        <v>1952.05</v>
      </c>
      <c r="J1296" s="70">
        <v>-365.02</v>
      </c>
      <c r="K1296" s="320"/>
      <c r="L1296" s="178">
        <v>105.58000000000001</v>
      </c>
      <c r="M1296" s="178">
        <v>1481.45</v>
      </c>
      <c r="N1296" s="179">
        <v>0</v>
      </c>
      <c r="O1296" s="178">
        <v>1587.03</v>
      </c>
      <c r="P1296" s="453"/>
      <c r="Q1296" s="61"/>
      <c r="R1296" s="298"/>
      <c r="S1296" s="669"/>
      <c r="X1296" s="444">
        <v>1296</v>
      </c>
    </row>
    <row r="1297" spans="1:24" ht="12">
      <c r="A1297" s="83" t="s">
        <v>20516</v>
      </c>
      <c r="B1297" s="64" t="s">
        <v>20517</v>
      </c>
      <c r="C1297" s="71" t="s">
        <v>103</v>
      </c>
      <c r="D1297" s="79">
        <v>1</v>
      </c>
      <c r="E1297" s="79">
        <v>1225.9099999999999</v>
      </c>
      <c r="F1297" s="79">
        <v>1225.9100000000001</v>
      </c>
      <c r="G1297" s="445"/>
      <c r="H1297" s="178">
        <v>1225.9100000000001</v>
      </c>
      <c r="I1297" s="178">
        <v>1507.87</v>
      </c>
      <c r="J1297" s="70">
        <v>-281.96000000000004</v>
      </c>
      <c r="K1297" s="320"/>
      <c r="L1297" s="178">
        <v>105.58000000000001</v>
      </c>
      <c r="M1297" s="178">
        <v>1120.33</v>
      </c>
      <c r="N1297" s="179">
        <v>0</v>
      </c>
      <c r="O1297" s="178">
        <v>1225.9099999999999</v>
      </c>
      <c r="P1297" s="453"/>
      <c r="Q1297" s="61"/>
      <c r="R1297" s="298"/>
      <c r="S1297" s="669"/>
      <c r="X1297" s="444">
        <v>1297</v>
      </c>
    </row>
    <row r="1298" spans="1:24" ht="12">
      <c r="A1298" s="83" t="s">
        <v>20518</v>
      </c>
      <c r="B1298" s="64" t="s">
        <v>20519</v>
      </c>
      <c r="C1298" s="71" t="s">
        <v>103</v>
      </c>
      <c r="D1298" s="79">
        <v>1</v>
      </c>
      <c r="E1298" s="79">
        <v>438.93</v>
      </c>
      <c r="F1298" s="79">
        <v>438.93</v>
      </c>
      <c r="G1298" s="445"/>
      <c r="H1298" s="178">
        <v>438.93</v>
      </c>
      <c r="I1298" s="178">
        <v>539.88</v>
      </c>
      <c r="J1298" s="70">
        <v>-100.94999999999999</v>
      </c>
      <c r="K1298" s="320"/>
      <c r="L1298" s="178">
        <v>101.94</v>
      </c>
      <c r="M1298" s="178">
        <v>336.99</v>
      </c>
      <c r="N1298" s="179">
        <v>0</v>
      </c>
      <c r="O1298" s="178">
        <v>438.93</v>
      </c>
      <c r="P1298" s="453"/>
      <c r="Q1298" s="61"/>
      <c r="R1298" s="298"/>
      <c r="S1298" s="669"/>
      <c r="T1298" s="61"/>
      <c r="X1298" s="444">
        <v>1298</v>
      </c>
    </row>
    <row r="1299" spans="1:24" ht="12">
      <c r="A1299" s="83" t="s">
        <v>20520</v>
      </c>
      <c r="B1299" s="64" t="s">
        <v>20521</v>
      </c>
      <c r="C1299" s="71" t="s">
        <v>103</v>
      </c>
      <c r="D1299" s="79">
        <v>1</v>
      </c>
      <c r="E1299" s="79">
        <v>621.82000000000005</v>
      </c>
      <c r="F1299" s="79">
        <v>621.82000000000005</v>
      </c>
      <c r="G1299" s="445"/>
      <c r="H1299" s="178">
        <v>621.82000000000005</v>
      </c>
      <c r="I1299" s="178">
        <v>764.84</v>
      </c>
      <c r="J1299" s="70">
        <v>-143.01999999999998</v>
      </c>
      <c r="K1299" s="320"/>
      <c r="L1299" s="178">
        <v>101.94</v>
      </c>
      <c r="M1299" s="178">
        <v>519.88000000000011</v>
      </c>
      <c r="N1299" s="179">
        <v>0</v>
      </c>
      <c r="O1299" s="178">
        <v>621.82000000000016</v>
      </c>
      <c r="P1299" s="453"/>
      <c r="Q1299" s="61"/>
      <c r="R1299" s="298"/>
      <c r="S1299" s="669"/>
      <c r="X1299" s="444">
        <v>1299</v>
      </c>
    </row>
    <row r="1300" spans="1:24" ht="12">
      <c r="A1300" s="83" t="s">
        <v>20522</v>
      </c>
      <c r="B1300" s="64" t="s">
        <v>20523</v>
      </c>
      <c r="C1300" s="71" t="s">
        <v>103</v>
      </c>
      <c r="D1300" s="79">
        <v>1</v>
      </c>
      <c r="E1300" s="79">
        <v>664.79</v>
      </c>
      <c r="F1300" s="79">
        <v>664.79</v>
      </c>
      <c r="G1300" s="445"/>
      <c r="H1300" s="178">
        <v>664.78</v>
      </c>
      <c r="I1300" s="178">
        <v>817.68</v>
      </c>
      <c r="J1300" s="70">
        <v>-152.88999999999999</v>
      </c>
      <c r="K1300" s="320"/>
      <c r="L1300" s="178">
        <v>101.94</v>
      </c>
      <c r="M1300" s="178">
        <v>562.84999999999991</v>
      </c>
      <c r="N1300" s="179">
        <v>0</v>
      </c>
      <c r="O1300" s="178">
        <v>664.79</v>
      </c>
      <c r="P1300" s="453"/>
      <c r="Q1300" s="61"/>
      <c r="R1300" s="298"/>
      <c r="S1300" s="669"/>
      <c r="X1300" s="444">
        <v>1300</v>
      </c>
    </row>
    <row r="1301" spans="1:24" ht="12">
      <c r="A1301" s="83" t="s">
        <v>20524</v>
      </c>
      <c r="B1301" s="64" t="s">
        <v>20525</v>
      </c>
      <c r="C1301" s="71" t="s">
        <v>103</v>
      </c>
      <c r="D1301" s="79">
        <v>1</v>
      </c>
      <c r="E1301" s="79">
        <v>61.21</v>
      </c>
      <c r="F1301" s="79">
        <v>61.21</v>
      </c>
      <c r="G1301" s="445"/>
      <c r="H1301" s="178">
        <v>61.22</v>
      </c>
      <c r="I1301" s="178">
        <v>75.3</v>
      </c>
      <c r="J1301" s="70">
        <v>-14.089999999999996</v>
      </c>
      <c r="K1301" s="320"/>
      <c r="L1301" s="178">
        <v>31.08</v>
      </c>
      <c r="M1301" s="178">
        <v>30.130000000000003</v>
      </c>
      <c r="N1301" s="179">
        <v>0</v>
      </c>
      <c r="O1301" s="178">
        <v>61.21</v>
      </c>
      <c r="P1301" s="453"/>
      <c r="Q1301" s="61"/>
      <c r="R1301" s="298"/>
      <c r="S1301" s="669"/>
      <c r="X1301" s="444">
        <v>1301</v>
      </c>
    </row>
    <row r="1302" spans="1:24" ht="12">
      <c r="A1302" s="83" t="s">
        <v>20526</v>
      </c>
      <c r="B1302" s="64" t="s">
        <v>20527</v>
      </c>
      <c r="C1302" s="71" t="s">
        <v>103</v>
      </c>
      <c r="D1302" s="79">
        <v>1</v>
      </c>
      <c r="E1302" s="79">
        <v>62</v>
      </c>
      <c r="F1302" s="79">
        <v>62</v>
      </c>
      <c r="G1302" s="445"/>
      <c r="H1302" s="178">
        <v>62.01</v>
      </c>
      <c r="I1302" s="178">
        <v>76.27</v>
      </c>
      <c r="J1302" s="70">
        <v>-14.269999999999996</v>
      </c>
      <c r="K1302" s="320"/>
      <c r="L1302" s="178">
        <v>31.08</v>
      </c>
      <c r="M1302" s="178">
        <v>30.92</v>
      </c>
      <c r="N1302" s="179">
        <v>0</v>
      </c>
      <c r="O1302" s="178">
        <v>62</v>
      </c>
      <c r="P1302" s="453"/>
      <c r="Q1302" s="61"/>
      <c r="R1302" s="298"/>
      <c r="S1302" s="669"/>
      <c r="X1302" s="444">
        <v>1302</v>
      </c>
    </row>
    <row r="1303" spans="1:24" ht="12">
      <c r="A1303" s="83" t="s">
        <v>20528</v>
      </c>
      <c r="B1303" s="64" t="s">
        <v>9879</v>
      </c>
      <c r="C1303" s="71" t="s">
        <v>103</v>
      </c>
      <c r="D1303" s="79">
        <v>1</v>
      </c>
      <c r="E1303" s="79">
        <v>684.29</v>
      </c>
      <c r="F1303" s="79">
        <v>684.29</v>
      </c>
      <c r="G1303" s="445"/>
      <c r="H1303" s="178">
        <v>684.28</v>
      </c>
      <c r="I1303" s="178">
        <v>841.67</v>
      </c>
      <c r="J1303" s="70">
        <v>-157.38</v>
      </c>
      <c r="K1303" s="320"/>
      <c r="L1303" s="178">
        <v>93.28</v>
      </c>
      <c r="M1303" s="178">
        <v>591.01</v>
      </c>
      <c r="N1303" s="179">
        <v>0</v>
      </c>
      <c r="O1303" s="178">
        <v>684.29</v>
      </c>
      <c r="P1303" s="453"/>
      <c r="Q1303" s="61"/>
      <c r="R1303" s="298"/>
      <c r="S1303" s="669"/>
      <c r="X1303" s="444">
        <v>1303</v>
      </c>
    </row>
    <row r="1304" spans="1:24" ht="12">
      <c r="A1304" s="83" t="s">
        <v>20529</v>
      </c>
      <c r="B1304" s="64" t="s">
        <v>20530</v>
      </c>
      <c r="C1304" s="71" t="s">
        <v>103</v>
      </c>
      <c r="D1304" s="79">
        <v>1</v>
      </c>
      <c r="E1304" s="79">
        <v>77.52000000000001</v>
      </c>
      <c r="F1304" s="79">
        <v>77.52</v>
      </c>
      <c r="G1304" s="445"/>
      <c r="H1304" s="178">
        <v>77.510000000000005</v>
      </c>
      <c r="I1304" s="178">
        <v>95.34</v>
      </c>
      <c r="J1304" s="70">
        <v>-17.819999999999993</v>
      </c>
      <c r="K1304" s="320"/>
      <c r="L1304" s="178">
        <v>25.490000000000002</v>
      </c>
      <c r="M1304" s="178">
        <v>52.030000000000008</v>
      </c>
      <c r="N1304" s="179">
        <v>0</v>
      </c>
      <c r="O1304" s="178">
        <v>77.52000000000001</v>
      </c>
      <c r="P1304" s="453"/>
      <c r="Q1304" s="61"/>
      <c r="R1304" s="298"/>
      <c r="S1304" s="669"/>
      <c r="X1304" s="444">
        <v>1304</v>
      </c>
    </row>
    <row r="1305" spans="1:24" ht="12">
      <c r="A1305" s="83" t="s">
        <v>20531</v>
      </c>
      <c r="B1305" s="64" t="s">
        <v>20532</v>
      </c>
      <c r="C1305" s="71" t="s">
        <v>103</v>
      </c>
      <c r="D1305" s="79">
        <v>1</v>
      </c>
      <c r="E1305" s="79">
        <v>597.21</v>
      </c>
      <c r="F1305" s="79">
        <v>597.21</v>
      </c>
      <c r="G1305" s="445"/>
      <c r="H1305" s="178">
        <v>597.19000000000005</v>
      </c>
      <c r="I1305" s="178">
        <v>734.54</v>
      </c>
      <c r="J1305" s="70">
        <v>-137.32999999999993</v>
      </c>
      <c r="K1305" s="320"/>
      <c r="L1305" s="178">
        <v>75.009999999999991</v>
      </c>
      <c r="M1305" s="178">
        <v>522.20000000000005</v>
      </c>
      <c r="N1305" s="179">
        <v>0</v>
      </c>
      <c r="O1305" s="178">
        <v>597.21</v>
      </c>
      <c r="P1305" s="453"/>
      <c r="Q1305" s="61"/>
      <c r="R1305" s="298"/>
      <c r="S1305" s="669"/>
      <c r="X1305" s="444">
        <v>1305</v>
      </c>
    </row>
    <row r="1306" spans="1:24" ht="12">
      <c r="A1306" s="83" t="s">
        <v>20533</v>
      </c>
      <c r="B1306" s="64" t="s">
        <v>20534</v>
      </c>
      <c r="C1306" s="71" t="s">
        <v>103</v>
      </c>
      <c r="D1306" s="79">
        <v>1</v>
      </c>
      <c r="E1306" s="79">
        <v>794.96</v>
      </c>
      <c r="F1306" s="79">
        <v>794.96</v>
      </c>
      <c r="G1306" s="445"/>
      <c r="H1306" s="178">
        <v>794.95</v>
      </c>
      <c r="I1306" s="178">
        <v>977.79</v>
      </c>
      <c r="J1306" s="70">
        <v>-182.82999999999993</v>
      </c>
      <c r="K1306" s="320"/>
      <c r="L1306" s="178">
        <v>353.16</v>
      </c>
      <c r="M1306" s="178">
        <v>441.8</v>
      </c>
      <c r="N1306" s="179">
        <v>0</v>
      </c>
      <c r="O1306" s="178">
        <v>794.96</v>
      </c>
      <c r="P1306" s="453"/>
      <c r="Q1306" s="61"/>
      <c r="R1306" s="298"/>
      <c r="S1306" s="669"/>
      <c r="X1306" s="444">
        <v>1306</v>
      </c>
    </row>
    <row r="1307" spans="1:24" ht="12">
      <c r="A1307" s="83" t="s">
        <v>20535</v>
      </c>
      <c r="B1307" s="64" t="s">
        <v>20536</v>
      </c>
      <c r="C1307" s="71" t="s">
        <v>103</v>
      </c>
      <c r="D1307" s="79">
        <v>1</v>
      </c>
      <c r="E1307" s="79">
        <v>628.37</v>
      </c>
      <c r="F1307" s="79">
        <v>628.37</v>
      </c>
      <c r="G1307" s="445"/>
      <c r="H1307" s="178">
        <v>628.35</v>
      </c>
      <c r="I1307" s="178">
        <v>772.87</v>
      </c>
      <c r="J1307" s="70">
        <v>-144.5</v>
      </c>
      <c r="K1307" s="320"/>
      <c r="L1307" s="178">
        <v>61.18</v>
      </c>
      <c r="M1307" s="178">
        <v>567.19000000000005</v>
      </c>
      <c r="N1307" s="179">
        <v>0</v>
      </c>
      <c r="O1307" s="178">
        <v>628.37</v>
      </c>
      <c r="P1307" s="453"/>
      <c r="Q1307" s="61"/>
      <c r="R1307" s="298"/>
      <c r="S1307" s="669"/>
      <c r="X1307" s="444">
        <v>1307</v>
      </c>
    </row>
    <row r="1308" spans="1:24" ht="12">
      <c r="A1308" s="83" t="s">
        <v>20537</v>
      </c>
      <c r="B1308" s="64" t="s">
        <v>9875</v>
      </c>
      <c r="C1308" s="71" t="s">
        <v>103</v>
      </c>
      <c r="D1308" s="79">
        <v>1</v>
      </c>
      <c r="E1308" s="79">
        <v>664.85</v>
      </c>
      <c r="F1308" s="79">
        <v>664.85</v>
      </c>
      <c r="G1308" s="445"/>
      <c r="H1308" s="178">
        <v>664.85</v>
      </c>
      <c r="I1308" s="178">
        <v>817.76</v>
      </c>
      <c r="J1308" s="70">
        <v>-152.90999999999997</v>
      </c>
      <c r="K1308" s="320"/>
      <c r="L1308" s="178">
        <v>76.460000000000008</v>
      </c>
      <c r="M1308" s="178">
        <v>588.39</v>
      </c>
      <c r="N1308" s="179">
        <v>0</v>
      </c>
      <c r="O1308" s="178">
        <v>664.85</v>
      </c>
      <c r="P1308" s="453"/>
      <c r="Q1308" s="61"/>
      <c r="R1308" s="298"/>
      <c r="S1308" s="669"/>
      <c r="X1308" s="444">
        <v>1308</v>
      </c>
    </row>
    <row r="1309" spans="1:24" ht="12">
      <c r="A1309" s="83" t="s">
        <v>20538</v>
      </c>
      <c r="B1309" s="64" t="s">
        <v>20539</v>
      </c>
      <c r="C1309" s="71" t="s">
        <v>103</v>
      </c>
      <c r="D1309" s="79">
        <v>1</v>
      </c>
      <c r="E1309" s="79">
        <v>727.56</v>
      </c>
      <c r="F1309" s="79">
        <v>727.56</v>
      </c>
      <c r="G1309" s="445"/>
      <c r="H1309" s="178">
        <v>727.55</v>
      </c>
      <c r="I1309" s="178">
        <v>894.89</v>
      </c>
      <c r="J1309" s="70">
        <v>-167.33000000000004</v>
      </c>
      <c r="K1309" s="320"/>
      <c r="L1309" s="178">
        <v>93.28</v>
      </c>
      <c r="M1309" s="178">
        <v>634.28</v>
      </c>
      <c r="N1309" s="179">
        <v>0</v>
      </c>
      <c r="O1309" s="178">
        <v>727.56</v>
      </c>
      <c r="P1309" s="453"/>
      <c r="Q1309" s="61"/>
      <c r="R1309" s="298"/>
      <c r="S1309" s="669"/>
      <c r="X1309" s="444">
        <v>1309</v>
      </c>
    </row>
    <row r="1310" spans="1:24" ht="12">
      <c r="A1310" s="83" t="s">
        <v>20540</v>
      </c>
      <c r="B1310" s="64" t="s">
        <v>20541</v>
      </c>
      <c r="C1310" s="71" t="s">
        <v>103</v>
      </c>
      <c r="D1310" s="79">
        <v>1</v>
      </c>
      <c r="E1310" s="79">
        <v>203.73</v>
      </c>
      <c r="F1310" s="79">
        <v>203.73</v>
      </c>
      <c r="G1310" s="445"/>
      <c r="H1310" s="178">
        <v>203.74</v>
      </c>
      <c r="I1310" s="178">
        <v>250.6</v>
      </c>
      <c r="J1310" s="70">
        <v>-46.870000000000005</v>
      </c>
      <c r="K1310" s="320"/>
      <c r="L1310" s="178">
        <v>34.14</v>
      </c>
      <c r="M1310" s="178">
        <v>169.58999999999997</v>
      </c>
      <c r="N1310" s="179">
        <v>0</v>
      </c>
      <c r="O1310" s="178">
        <v>203.72999999999996</v>
      </c>
      <c r="P1310" s="453"/>
      <c r="Q1310" s="61"/>
      <c r="R1310" s="298"/>
      <c r="S1310" s="669"/>
      <c r="X1310" s="444">
        <v>1310</v>
      </c>
    </row>
    <row r="1311" spans="1:24" ht="12">
      <c r="A1311" s="83" t="s">
        <v>20542</v>
      </c>
      <c r="B1311" s="64" t="s">
        <v>20543</v>
      </c>
      <c r="C1311" s="71" t="s">
        <v>103</v>
      </c>
      <c r="D1311" s="79">
        <v>1</v>
      </c>
      <c r="E1311" s="79">
        <v>356.40999999999997</v>
      </c>
      <c r="F1311" s="79">
        <v>356.41</v>
      </c>
      <c r="G1311" s="445"/>
      <c r="H1311" s="178">
        <v>356.41</v>
      </c>
      <c r="I1311" s="178">
        <v>438.39</v>
      </c>
      <c r="J1311" s="70">
        <v>-81.980000000000018</v>
      </c>
      <c r="K1311" s="320"/>
      <c r="L1311" s="178">
        <v>34.14</v>
      </c>
      <c r="M1311" s="178">
        <v>322.27</v>
      </c>
      <c r="N1311" s="179">
        <v>0</v>
      </c>
      <c r="O1311" s="178">
        <v>356.40999999999997</v>
      </c>
      <c r="P1311" s="453"/>
      <c r="Q1311" s="61"/>
      <c r="R1311" s="298"/>
      <c r="S1311" s="669"/>
      <c r="X1311" s="444">
        <v>1311</v>
      </c>
    </row>
    <row r="1312" spans="1:24" ht="12">
      <c r="A1312" s="83" t="s">
        <v>20544</v>
      </c>
      <c r="B1312" s="64" t="s">
        <v>20545</v>
      </c>
      <c r="C1312" s="71" t="s">
        <v>10216</v>
      </c>
      <c r="D1312" s="79">
        <v>1</v>
      </c>
      <c r="E1312" s="79">
        <v>577.26</v>
      </c>
      <c r="F1312" s="79">
        <v>577.26</v>
      </c>
      <c r="G1312" s="445"/>
      <c r="H1312" s="178">
        <v>577.25</v>
      </c>
      <c r="I1312" s="178">
        <v>710.02</v>
      </c>
      <c r="J1312" s="70">
        <v>-132.76</v>
      </c>
      <c r="K1312" s="320"/>
      <c r="L1312" s="178"/>
      <c r="M1312" s="178">
        <v>577.26</v>
      </c>
      <c r="N1312" s="179">
        <v>0</v>
      </c>
      <c r="O1312" s="178">
        <v>577.26</v>
      </c>
      <c r="P1312" s="453"/>
      <c r="Q1312" s="61"/>
      <c r="R1312" s="298"/>
      <c r="S1312" s="669"/>
      <c r="X1312" s="444">
        <v>1312</v>
      </c>
    </row>
    <row r="1313" spans="1:24" ht="12">
      <c r="A1313" s="83" t="s">
        <v>39708</v>
      </c>
      <c r="B1313" s="64" t="s">
        <v>39518</v>
      </c>
      <c r="C1313" s="71"/>
      <c r="D1313" s="79" t="s">
        <v>40899</v>
      </c>
      <c r="E1313" s="79" t="s">
        <v>40899</v>
      </c>
      <c r="F1313" s="79"/>
      <c r="G1313" s="445"/>
      <c r="H1313" s="178"/>
      <c r="I1313" s="178"/>
      <c r="J1313" s="70"/>
      <c r="K1313" s="320"/>
      <c r="L1313" s="178"/>
      <c r="M1313" s="178"/>
      <c r="N1313" s="179"/>
      <c r="O1313" s="178"/>
      <c r="P1313" s="453"/>
      <c r="Q1313" s="61"/>
      <c r="R1313" s="298"/>
      <c r="S1313" s="669"/>
      <c r="X1313" s="444">
        <v>1313</v>
      </c>
    </row>
    <row r="1314" spans="1:24" ht="12">
      <c r="A1314" s="83" t="s">
        <v>20546</v>
      </c>
      <c r="B1314" s="64" t="s">
        <v>20547</v>
      </c>
      <c r="C1314" s="71" t="s">
        <v>165</v>
      </c>
      <c r="D1314" s="79">
        <v>1</v>
      </c>
      <c r="E1314" s="79">
        <v>8.92</v>
      </c>
      <c r="F1314" s="79">
        <v>8.92</v>
      </c>
      <c r="G1314" s="445"/>
      <c r="H1314" s="178">
        <v>8.93</v>
      </c>
      <c r="I1314" s="178">
        <v>10.98</v>
      </c>
      <c r="J1314" s="70">
        <v>-2.0600000000000005</v>
      </c>
      <c r="K1314" s="320"/>
      <c r="L1314" s="178">
        <v>8.92</v>
      </c>
      <c r="M1314" s="178">
        <v>0</v>
      </c>
      <c r="N1314" s="179">
        <v>0</v>
      </c>
      <c r="O1314" s="178">
        <v>8.92</v>
      </c>
      <c r="P1314" s="453"/>
      <c r="Q1314" s="61"/>
      <c r="R1314" s="298"/>
      <c r="S1314" s="669"/>
      <c r="X1314" s="444">
        <v>1314</v>
      </c>
    </row>
    <row r="1315" spans="1:24" ht="12">
      <c r="A1315" s="83" t="s">
        <v>20548</v>
      </c>
      <c r="B1315" s="64" t="s">
        <v>20549</v>
      </c>
      <c r="C1315" s="71" t="s">
        <v>165</v>
      </c>
      <c r="D1315" s="79">
        <v>1</v>
      </c>
      <c r="E1315" s="79">
        <v>5.13</v>
      </c>
      <c r="F1315" s="79">
        <v>5.13</v>
      </c>
      <c r="G1315" s="445"/>
      <c r="H1315" s="178">
        <v>5.13</v>
      </c>
      <c r="I1315" s="178">
        <v>6.31</v>
      </c>
      <c r="J1315" s="70">
        <v>-1.1799999999999997</v>
      </c>
      <c r="K1315" s="320"/>
      <c r="L1315" s="178">
        <v>5.13</v>
      </c>
      <c r="M1315" s="178">
        <v>0</v>
      </c>
      <c r="N1315" s="179">
        <v>0</v>
      </c>
      <c r="O1315" s="178">
        <v>5.13</v>
      </c>
      <c r="P1315" s="453"/>
      <c r="Q1315" s="61"/>
      <c r="R1315" s="298"/>
      <c r="S1315" s="669"/>
      <c r="X1315" s="444">
        <v>1315</v>
      </c>
    </row>
    <row r="1316" spans="1:24" ht="12">
      <c r="A1316" s="83" t="s">
        <v>20550</v>
      </c>
      <c r="B1316" s="64" t="s">
        <v>20551</v>
      </c>
      <c r="C1316" s="71" t="s">
        <v>165</v>
      </c>
      <c r="D1316" s="79">
        <v>1</v>
      </c>
      <c r="E1316" s="79">
        <v>3.35</v>
      </c>
      <c r="F1316" s="79">
        <v>3.35</v>
      </c>
      <c r="G1316" s="445"/>
      <c r="H1316" s="178">
        <v>3.35</v>
      </c>
      <c r="I1316" s="178">
        <v>4.12</v>
      </c>
      <c r="J1316" s="70">
        <v>-0.77</v>
      </c>
      <c r="K1316" s="320"/>
      <c r="L1316" s="178">
        <v>3.35</v>
      </c>
      <c r="M1316" s="178">
        <v>0</v>
      </c>
      <c r="N1316" s="179">
        <v>0</v>
      </c>
      <c r="O1316" s="178">
        <v>3.35</v>
      </c>
      <c r="P1316" s="453"/>
      <c r="Q1316" s="61"/>
      <c r="R1316" s="298"/>
      <c r="S1316" s="669"/>
      <c r="X1316" s="444">
        <v>1316</v>
      </c>
    </row>
    <row r="1317" spans="1:24" ht="12">
      <c r="A1317" s="83" t="s">
        <v>20552</v>
      </c>
      <c r="B1317" s="64" t="s">
        <v>18570</v>
      </c>
      <c r="C1317" s="71" t="s">
        <v>10216</v>
      </c>
      <c r="D1317" s="79">
        <v>1</v>
      </c>
      <c r="E1317" s="79">
        <v>577.26</v>
      </c>
      <c r="F1317" s="79">
        <v>577.26</v>
      </c>
      <c r="G1317" s="445"/>
      <c r="H1317" s="178">
        <v>577.25</v>
      </c>
      <c r="I1317" s="178">
        <v>710.02</v>
      </c>
      <c r="J1317" s="70">
        <v>-132.76</v>
      </c>
      <c r="K1317" s="320"/>
      <c r="L1317" s="178"/>
      <c r="M1317" s="178">
        <v>577.26</v>
      </c>
      <c r="N1317" s="179">
        <v>0</v>
      </c>
      <c r="O1317" s="178">
        <v>577.26</v>
      </c>
      <c r="P1317" s="453"/>
      <c r="Q1317" s="61"/>
      <c r="R1317" s="298"/>
      <c r="S1317" s="669"/>
      <c r="X1317" s="444">
        <v>1317</v>
      </c>
    </row>
    <row r="1318" spans="1:24" ht="12">
      <c r="A1318" s="83" t="s">
        <v>39709</v>
      </c>
      <c r="B1318" s="64" t="s">
        <v>39520</v>
      </c>
      <c r="C1318" s="71"/>
      <c r="D1318" s="79" t="s">
        <v>40899</v>
      </c>
      <c r="E1318" s="79" t="s">
        <v>40899</v>
      </c>
      <c r="F1318" s="79"/>
      <c r="G1318" s="445"/>
      <c r="H1318" s="178"/>
      <c r="I1318" s="178"/>
      <c r="J1318" s="70"/>
      <c r="K1318" s="320"/>
      <c r="L1318" s="178"/>
      <c r="M1318" s="178"/>
      <c r="N1318" s="179"/>
      <c r="O1318" s="178"/>
      <c r="P1318" s="453"/>
      <c r="Q1318" s="61"/>
      <c r="R1318" s="298"/>
      <c r="S1318" s="669"/>
      <c r="X1318" s="444">
        <v>1318</v>
      </c>
    </row>
    <row r="1319" spans="1:24" ht="12">
      <c r="A1319" s="83" t="s">
        <v>20553</v>
      </c>
      <c r="B1319" s="64" t="s">
        <v>20554</v>
      </c>
      <c r="C1319" s="71" t="s">
        <v>103</v>
      </c>
      <c r="D1319" s="79">
        <v>1</v>
      </c>
      <c r="E1319" s="79">
        <v>76.460000000000008</v>
      </c>
      <c r="F1319" s="79">
        <v>76.459999999999994</v>
      </c>
      <c r="G1319" s="445"/>
      <c r="H1319" s="178">
        <v>76.459999999999994</v>
      </c>
      <c r="I1319" s="178">
        <v>94.04</v>
      </c>
      <c r="J1319" s="70">
        <v>-17.579999999999998</v>
      </c>
      <c r="K1319" s="320"/>
      <c r="L1319" s="178">
        <v>76.460000000000008</v>
      </c>
      <c r="M1319" s="178">
        <v>0</v>
      </c>
      <c r="N1319" s="179">
        <v>0</v>
      </c>
      <c r="O1319" s="178">
        <v>76.460000000000008</v>
      </c>
      <c r="P1319" s="453"/>
      <c r="Q1319" s="61"/>
      <c r="R1319" s="298"/>
      <c r="S1319" s="669"/>
      <c r="X1319" s="444">
        <v>1319</v>
      </c>
    </row>
    <row r="1320" spans="1:24" ht="12">
      <c r="A1320" s="83" t="s">
        <v>20555</v>
      </c>
      <c r="B1320" s="64" t="s">
        <v>20556</v>
      </c>
      <c r="C1320" s="71" t="s">
        <v>103</v>
      </c>
      <c r="D1320" s="79">
        <v>1</v>
      </c>
      <c r="E1320" s="79">
        <v>30.72</v>
      </c>
      <c r="F1320" s="79">
        <v>30.72</v>
      </c>
      <c r="G1320" s="445"/>
      <c r="H1320" s="178">
        <v>30.72</v>
      </c>
      <c r="I1320" s="178">
        <v>37.78</v>
      </c>
      <c r="J1320" s="70">
        <v>-7.0600000000000023</v>
      </c>
      <c r="K1320" s="320"/>
      <c r="L1320" s="178">
        <v>30.72</v>
      </c>
      <c r="M1320" s="178">
        <v>0</v>
      </c>
      <c r="N1320" s="179">
        <v>0</v>
      </c>
      <c r="O1320" s="178">
        <v>30.72</v>
      </c>
      <c r="P1320" s="453"/>
      <c r="Q1320" s="61"/>
      <c r="R1320" s="298"/>
      <c r="S1320" s="669"/>
      <c r="X1320" s="444">
        <v>1320</v>
      </c>
    </row>
    <row r="1321" spans="1:24" ht="12">
      <c r="A1321" s="83" t="s">
        <v>20557</v>
      </c>
      <c r="B1321" s="64" t="s">
        <v>20558</v>
      </c>
      <c r="C1321" s="71" t="s">
        <v>103</v>
      </c>
      <c r="D1321" s="79">
        <v>1</v>
      </c>
      <c r="E1321" s="79">
        <v>7.26</v>
      </c>
      <c r="F1321" s="79">
        <v>7.26</v>
      </c>
      <c r="G1321" s="445"/>
      <c r="H1321" s="178">
        <v>7.26</v>
      </c>
      <c r="I1321" s="178">
        <v>8.93</v>
      </c>
      <c r="J1321" s="70">
        <v>-1.67</v>
      </c>
      <c r="K1321" s="320"/>
      <c r="L1321" s="178">
        <v>7.26</v>
      </c>
      <c r="M1321" s="178">
        <v>0</v>
      </c>
      <c r="N1321" s="179">
        <v>0</v>
      </c>
      <c r="O1321" s="178">
        <v>7.26</v>
      </c>
      <c r="P1321" s="453"/>
      <c r="Q1321" s="61"/>
      <c r="R1321" s="298"/>
      <c r="S1321" s="669"/>
      <c r="X1321" s="444">
        <v>1321</v>
      </c>
    </row>
    <row r="1322" spans="1:24" ht="12">
      <c r="A1322" s="83" t="s">
        <v>20559</v>
      </c>
      <c r="B1322" s="64" t="s">
        <v>20560</v>
      </c>
      <c r="C1322" s="71" t="s">
        <v>103</v>
      </c>
      <c r="D1322" s="79">
        <v>1</v>
      </c>
      <c r="E1322" s="79">
        <v>11.17</v>
      </c>
      <c r="F1322" s="79">
        <v>11.17</v>
      </c>
      <c r="G1322" s="445"/>
      <c r="H1322" s="178">
        <v>11.17</v>
      </c>
      <c r="I1322" s="178">
        <v>13.74</v>
      </c>
      <c r="J1322" s="70">
        <v>-2.5700000000000003</v>
      </c>
      <c r="K1322" s="320"/>
      <c r="L1322" s="178">
        <v>11.17</v>
      </c>
      <c r="M1322" s="178">
        <v>0</v>
      </c>
      <c r="N1322" s="179">
        <v>0</v>
      </c>
      <c r="O1322" s="178">
        <v>11.17</v>
      </c>
      <c r="P1322" s="453"/>
      <c r="Q1322" s="61"/>
      <c r="R1322" s="298"/>
      <c r="S1322" s="669"/>
      <c r="X1322" s="444">
        <v>1322</v>
      </c>
    </row>
    <row r="1323" spans="1:24" ht="12">
      <c r="A1323" s="83" t="s">
        <v>20561</v>
      </c>
      <c r="B1323" s="64" t="s">
        <v>20562</v>
      </c>
      <c r="C1323" s="71" t="s">
        <v>103</v>
      </c>
      <c r="D1323" s="79">
        <v>1</v>
      </c>
      <c r="E1323" s="79">
        <v>55.86</v>
      </c>
      <c r="F1323" s="79">
        <v>55.86</v>
      </c>
      <c r="G1323" s="445"/>
      <c r="H1323" s="178">
        <v>55.85</v>
      </c>
      <c r="I1323" s="178">
        <v>68.7</v>
      </c>
      <c r="J1323" s="70">
        <v>-12.840000000000003</v>
      </c>
      <c r="K1323" s="320"/>
      <c r="L1323" s="178">
        <v>55.86</v>
      </c>
      <c r="M1323" s="178">
        <v>0</v>
      </c>
      <c r="N1323" s="179">
        <v>0</v>
      </c>
      <c r="O1323" s="178">
        <v>55.86</v>
      </c>
      <c r="P1323" s="453"/>
      <c r="Q1323" s="61"/>
      <c r="R1323" s="298"/>
      <c r="S1323" s="669"/>
      <c r="X1323" s="444">
        <v>1323</v>
      </c>
    </row>
    <row r="1324" spans="1:24" ht="12">
      <c r="A1324" s="83" t="s">
        <v>20563</v>
      </c>
      <c r="B1324" s="64" t="s">
        <v>20564</v>
      </c>
      <c r="C1324" s="71" t="s">
        <v>103</v>
      </c>
      <c r="D1324" s="79">
        <v>1</v>
      </c>
      <c r="E1324" s="79">
        <v>152.91</v>
      </c>
      <c r="F1324" s="79">
        <v>152.91</v>
      </c>
      <c r="G1324" s="445"/>
      <c r="H1324" s="178">
        <v>152.91</v>
      </c>
      <c r="I1324" s="178">
        <v>188.08</v>
      </c>
      <c r="J1324" s="70">
        <v>-35.170000000000016</v>
      </c>
      <c r="K1324" s="320"/>
      <c r="L1324" s="178">
        <v>152.91</v>
      </c>
      <c r="M1324" s="178">
        <v>0</v>
      </c>
      <c r="N1324" s="179">
        <v>0</v>
      </c>
      <c r="O1324" s="178">
        <v>152.91</v>
      </c>
      <c r="P1324" s="453"/>
      <c r="Q1324" s="61"/>
      <c r="R1324" s="298"/>
      <c r="S1324" s="669"/>
      <c r="X1324" s="444">
        <v>1324</v>
      </c>
    </row>
    <row r="1325" spans="1:24" ht="12">
      <c r="A1325" s="83" t="s">
        <v>20565</v>
      </c>
      <c r="B1325" s="64" t="s">
        <v>20566</v>
      </c>
      <c r="C1325" s="71" t="s">
        <v>103</v>
      </c>
      <c r="D1325" s="79">
        <v>1</v>
      </c>
      <c r="E1325" s="79">
        <v>223.42000000000002</v>
      </c>
      <c r="F1325" s="79">
        <v>223.42</v>
      </c>
      <c r="G1325" s="445"/>
      <c r="H1325" s="178">
        <v>223.41</v>
      </c>
      <c r="I1325" s="178">
        <v>274.8</v>
      </c>
      <c r="J1325" s="70">
        <v>-51.379999999999995</v>
      </c>
      <c r="K1325" s="320"/>
      <c r="L1325" s="178">
        <v>223.42000000000002</v>
      </c>
      <c r="M1325" s="178">
        <v>0</v>
      </c>
      <c r="N1325" s="179">
        <v>0</v>
      </c>
      <c r="O1325" s="178">
        <v>223.42000000000002</v>
      </c>
      <c r="P1325" s="453"/>
      <c r="Q1325" s="61"/>
      <c r="R1325" s="298"/>
      <c r="S1325" s="669"/>
      <c r="X1325" s="444">
        <v>1325</v>
      </c>
    </row>
    <row r="1326" spans="1:24" ht="12">
      <c r="A1326" s="83" t="s">
        <v>20567</v>
      </c>
      <c r="B1326" s="64" t="s">
        <v>20568</v>
      </c>
      <c r="C1326" s="71" t="s">
        <v>103</v>
      </c>
      <c r="D1326" s="79">
        <v>1</v>
      </c>
      <c r="E1326" s="79">
        <v>83.78</v>
      </c>
      <c r="F1326" s="79">
        <v>83.78</v>
      </c>
      <c r="G1326" s="445"/>
      <c r="H1326" s="178">
        <v>83.78</v>
      </c>
      <c r="I1326" s="178">
        <v>103.05</v>
      </c>
      <c r="J1326" s="70">
        <v>-19.269999999999996</v>
      </c>
      <c r="K1326" s="320"/>
      <c r="L1326" s="178">
        <v>83.78</v>
      </c>
      <c r="M1326" s="178">
        <v>0</v>
      </c>
      <c r="N1326" s="179">
        <v>0</v>
      </c>
      <c r="O1326" s="178">
        <v>83.78</v>
      </c>
      <c r="P1326" s="453"/>
      <c r="Q1326" s="61"/>
      <c r="R1326" s="298"/>
      <c r="S1326" s="669"/>
      <c r="X1326" s="444">
        <v>1326</v>
      </c>
    </row>
    <row r="1327" spans="1:24" ht="12">
      <c r="A1327" s="83" t="s">
        <v>20569</v>
      </c>
      <c r="B1327" s="64" t="s">
        <v>18572</v>
      </c>
      <c r="C1327" s="71" t="s">
        <v>10216</v>
      </c>
      <c r="D1327" s="79">
        <v>1</v>
      </c>
      <c r="E1327" s="79">
        <v>577.26</v>
      </c>
      <c r="F1327" s="79">
        <v>577.26</v>
      </c>
      <c r="G1327" s="445"/>
      <c r="H1327" s="178">
        <v>577.25</v>
      </c>
      <c r="I1327" s="178">
        <v>710.02</v>
      </c>
      <c r="J1327" s="70">
        <v>-132.76</v>
      </c>
      <c r="K1327" s="320"/>
      <c r="L1327" s="178"/>
      <c r="M1327" s="178">
        <v>577.26</v>
      </c>
      <c r="N1327" s="179">
        <v>0</v>
      </c>
      <c r="O1327" s="178">
        <v>577.26</v>
      </c>
      <c r="P1327" s="453"/>
      <c r="Q1327" s="61"/>
      <c r="R1327" s="298"/>
      <c r="S1327" s="669"/>
      <c r="X1327" s="444">
        <v>1327</v>
      </c>
    </row>
    <row r="1328" spans="1:24" ht="12">
      <c r="A1328" s="83" t="s">
        <v>39710</v>
      </c>
      <c r="B1328" s="64" t="s">
        <v>39711</v>
      </c>
      <c r="C1328" s="71"/>
      <c r="D1328" s="79" t="s">
        <v>40899</v>
      </c>
      <c r="E1328" s="79" t="s">
        <v>40899</v>
      </c>
      <c r="F1328" s="79"/>
      <c r="G1328" s="445"/>
      <c r="H1328" s="178"/>
      <c r="I1328" s="178"/>
      <c r="J1328" s="70"/>
      <c r="K1328" s="320"/>
      <c r="L1328" s="178"/>
      <c r="M1328" s="178"/>
      <c r="N1328" s="179"/>
      <c r="O1328" s="178"/>
      <c r="P1328" s="453"/>
      <c r="Q1328" s="61"/>
      <c r="R1328" s="298"/>
      <c r="S1328" s="669"/>
      <c r="T1328" s="61"/>
      <c r="X1328" s="444">
        <v>1328</v>
      </c>
    </row>
    <row r="1329" spans="1:24" ht="12">
      <c r="A1329" s="83" t="s">
        <v>20570</v>
      </c>
      <c r="B1329" s="64" t="s">
        <v>20571</v>
      </c>
      <c r="C1329" s="71" t="s">
        <v>103</v>
      </c>
      <c r="D1329" s="79">
        <v>1</v>
      </c>
      <c r="E1329" s="79">
        <v>154.54999999999998</v>
      </c>
      <c r="F1329" s="79">
        <v>154.55000000000001</v>
      </c>
      <c r="G1329" s="445"/>
      <c r="H1329" s="178">
        <v>154.54</v>
      </c>
      <c r="I1329" s="178">
        <v>190.09</v>
      </c>
      <c r="J1329" s="70">
        <v>-35.54000000000002</v>
      </c>
      <c r="K1329" s="320"/>
      <c r="L1329" s="178">
        <v>152.91</v>
      </c>
      <c r="M1329" s="178">
        <v>1.6399999999999864</v>
      </c>
      <c r="N1329" s="179">
        <v>0</v>
      </c>
      <c r="O1329" s="178">
        <v>154.54999999999998</v>
      </c>
      <c r="P1329" s="453"/>
      <c r="Q1329" s="61"/>
      <c r="R1329" s="298"/>
      <c r="S1329" s="669"/>
      <c r="X1329" s="444">
        <v>1329</v>
      </c>
    </row>
    <row r="1330" spans="1:24" ht="12">
      <c r="A1330" s="83" t="s">
        <v>20572</v>
      </c>
      <c r="B1330" s="64" t="s">
        <v>20573</v>
      </c>
      <c r="C1330" s="71" t="s">
        <v>103</v>
      </c>
      <c r="D1330" s="79">
        <v>1</v>
      </c>
      <c r="E1330" s="79">
        <v>53.09</v>
      </c>
      <c r="F1330" s="79">
        <v>53.09</v>
      </c>
      <c r="G1330" s="445"/>
      <c r="H1330" s="178">
        <v>53.08</v>
      </c>
      <c r="I1330" s="178">
        <v>65.290000000000006</v>
      </c>
      <c r="J1330" s="70">
        <v>-12.200000000000003</v>
      </c>
      <c r="K1330" s="320"/>
      <c r="L1330" s="178">
        <v>50.97</v>
      </c>
      <c r="M1330" s="178">
        <v>2.1200000000000045</v>
      </c>
      <c r="N1330" s="179">
        <v>0</v>
      </c>
      <c r="O1330" s="178">
        <v>53.09</v>
      </c>
      <c r="P1330" s="453"/>
      <c r="Q1330" s="61"/>
      <c r="R1330" s="298"/>
      <c r="S1330" s="669"/>
      <c r="X1330" s="444">
        <v>1330</v>
      </c>
    </row>
    <row r="1331" spans="1:24" ht="12">
      <c r="A1331" s="83" t="s">
        <v>20574</v>
      </c>
      <c r="B1331" s="64" t="s">
        <v>20575</v>
      </c>
      <c r="C1331" s="71" t="s">
        <v>103</v>
      </c>
      <c r="D1331" s="79">
        <v>1</v>
      </c>
      <c r="E1331" s="79">
        <v>25.490000000000002</v>
      </c>
      <c r="F1331" s="79">
        <v>25.49</v>
      </c>
      <c r="G1331" s="445"/>
      <c r="H1331" s="178">
        <v>25.48</v>
      </c>
      <c r="I1331" s="178">
        <v>31.34</v>
      </c>
      <c r="J1331" s="70">
        <v>-5.8499999999999979</v>
      </c>
      <c r="K1331" s="320"/>
      <c r="L1331" s="178">
        <v>25.490000000000002</v>
      </c>
      <c r="M1331" s="178">
        <v>0</v>
      </c>
      <c r="N1331" s="179">
        <v>0</v>
      </c>
      <c r="O1331" s="178">
        <v>25.490000000000002</v>
      </c>
      <c r="P1331" s="453"/>
      <c r="Q1331" s="61"/>
      <c r="R1331" s="298"/>
      <c r="S1331" s="669"/>
      <c r="X1331" s="444">
        <v>1331</v>
      </c>
    </row>
    <row r="1332" spans="1:24" ht="12">
      <c r="A1332" s="83" t="s">
        <v>20576</v>
      </c>
      <c r="B1332" s="64" t="s">
        <v>20577</v>
      </c>
      <c r="C1332" s="71" t="s">
        <v>103</v>
      </c>
      <c r="D1332" s="79">
        <v>1</v>
      </c>
      <c r="E1332" s="79">
        <v>25.490000000000002</v>
      </c>
      <c r="F1332" s="79">
        <v>25.49</v>
      </c>
      <c r="G1332" s="445"/>
      <c r="H1332" s="178">
        <v>25.48</v>
      </c>
      <c r="I1332" s="178">
        <v>31.34</v>
      </c>
      <c r="J1332" s="70">
        <v>-5.8499999999999979</v>
      </c>
      <c r="K1332" s="320"/>
      <c r="L1332" s="178">
        <v>25.490000000000002</v>
      </c>
      <c r="M1332" s="178">
        <v>0</v>
      </c>
      <c r="N1332" s="179">
        <v>0</v>
      </c>
      <c r="O1332" s="178">
        <v>25.490000000000002</v>
      </c>
      <c r="P1332" s="453"/>
      <c r="Q1332" s="61"/>
      <c r="R1332" s="298"/>
      <c r="S1332" s="669"/>
      <c r="X1332" s="444">
        <v>1332</v>
      </c>
    </row>
    <row r="1333" spans="1:24" ht="12">
      <c r="A1333" s="83" t="s">
        <v>20578</v>
      </c>
      <c r="B1333" s="64" t="s">
        <v>20579</v>
      </c>
      <c r="C1333" s="71" t="s">
        <v>103</v>
      </c>
      <c r="D1333" s="79">
        <v>1</v>
      </c>
      <c r="E1333" s="79">
        <v>203.88</v>
      </c>
      <c r="F1333" s="79">
        <v>203.88</v>
      </c>
      <c r="G1333" s="445"/>
      <c r="H1333" s="178">
        <v>203.88</v>
      </c>
      <c r="I1333" s="178">
        <v>250.77</v>
      </c>
      <c r="J1333" s="70">
        <v>-46.890000000000015</v>
      </c>
      <c r="K1333" s="320"/>
      <c r="L1333" s="178">
        <v>203.88</v>
      </c>
      <c r="M1333" s="178">
        <v>0</v>
      </c>
      <c r="N1333" s="179">
        <v>0</v>
      </c>
      <c r="O1333" s="178">
        <v>203.88</v>
      </c>
      <c r="P1333" s="453"/>
      <c r="Q1333" s="61"/>
      <c r="R1333" s="298"/>
      <c r="S1333" s="669"/>
      <c r="X1333" s="444">
        <v>1333</v>
      </c>
    </row>
    <row r="1334" spans="1:24" ht="12">
      <c r="A1334" s="83" t="s">
        <v>20580</v>
      </c>
      <c r="B1334" s="64" t="s">
        <v>20581</v>
      </c>
      <c r="C1334" s="71" t="s">
        <v>103</v>
      </c>
      <c r="D1334" s="79">
        <v>1</v>
      </c>
      <c r="E1334" s="79">
        <v>203.88</v>
      </c>
      <c r="F1334" s="79">
        <v>203.88</v>
      </c>
      <c r="G1334" s="445"/>
      <c r="H1334" s="178">
        <v>203.88</v>
      </c>
      <c r="I1334" s="178">
        <v>250.77</v>
      </c>
      <c r="J1334" s="70">
        <v>-46.890000000000015</v>
      </c>
      <c r="K1334" s="320"/>
      <c r="L1334" s="178">
        <v>203.88</v>
      </c>
      <c r="M1334" s="178">
        <v>0</v>
      </c>
      <c r="N1334" s="179">
        <v>0</v>
      </c>
      <c r="O1334" s="178">
        <v>203.88</v>
      </c>
      <c r="P1334" s="453"/>
      <c r="Q1334" s="61"/>
      <c r="R1334" s="298"/>
      <c r="S1334" s="669"/>
      <c r="X1334" s="444">
        <v>1334</v>
      </c>
    </row>
    <row r="1335" spans="1:24" ht="12">
      <c r="A1335" s="83" t="s">
        <v>20582</v>
      </c>
      <c r="B1335" s="64" t="s">
        <v>20583</v>
      </c>
      <c r="C1335" s="71" t="s">
        <v>103</v>
      </c>
      <c r="D1335" s="79">
        <v>1</v>
      </c>
      <c r="E1335" s="79">
        <v>265.07</v>
      </c>
      <c r="F1335" s="79">
        <v>265.07</v>
      </c>
      <c r="G1335" s="445"/>
      <c r="H1335" s="178">
        <v>265.05</v>
      </c>
      <c r="I1335" s="178">
        <v>326.01</v>
      </c>
      <c r="J1335" s="70">
        <v>-60.94</v>
      </c>
      <c r="K1335" s="320"/>
      <c r="L1335" s="178">
        <v>265.07</v>
      </c>
      <c r="M1335" s="178">
        <v>0</v>
      </c>
      <c r="N1335" s="179">
        <v>0</v>
      </c>
      <c r="O1335" s="178">
        <v>265.07</v>
      </c>
      <c r="P1335" s="453"/>
      <c r="Q1335" s="61"/>
      <c r="R1335" s="298"/>
      <c r="S1335" s="669"/>
      <c r="X1335" s="444">
        <v>1335</v>
      </c>
    </row>
    <row r="1336" spans="1:24" ht="12">
      <c r="A1336" s="83" t="s">
        <v>20584</v>
      </c>
      <c r="B1336" s="64" t="s">
        <v>20585</v>
      </c>
      <c r="C1336" s="71" t="s">
        <v>103</v>
      </c>
      <c r="D1336" s="79">
        <v>1</v>
      </c>
      <c r="E1336" s="79">
        <v>127.43</v>
      </c>
      <c r="F1336" s="79">
        <v>127.43</v>
      </c>
      <c r="G1336" s="445"/>
      <c r="H1336" s="178">
        <v>127.42</v>
      </c>
      <c r="I1336" s="178">
        <v>156.72999999999999</v>
      </c>
      <c r="J1336" s="70">
        <v>-29.299999999999983</v>
      </c>
      <c r="K1336" s="320"/>
      <c r="L1336" s="178">
        <v>127.43</v>
      </c>
      <c r="M1336" s="178">
        <v>0</v>
      </c>
      <c r="N1336" s="179">
        <v>0</v>
      </c>
      <c r="O1336" s="178">
        <v>127.43</v>
      </c>
      <c r="P1336" s="453"/>
      <c r="Q1336" s="61"/>
      <c r="R1336" s="298"/>
      <c r="S1336" s="669"/>
      <c r="X1336" s="444">
        <v>1336</v>
      </c>
    </row>
    <row r="1337" spans="1:24" ht="12">
      <c r="A1337" s="83" t="s">
        <v>20586</v>
      </c>
      <c r="B1337" s="64" t="s">
        <v>20587</v>
      </c>
      <c r="C1337" s="71" t="s">
        <v>10216</v>
      </c>
      <c r="D1337" s="79">
        <v>1</v>
      </c>
      <c r="E1337" s="79">
        <v>577.26</v>
      </c>
      <c r="F1337" s="79">
        <v>577.26</v>
      </c>
      <c r="G1337" s="445"/>
      <c r="H1337" s="178">
        <v>577.25</v>
      </c>
      <c r="I1337" s="178">
        <v>710.02</v>
      </c>
      <c r="J1337" s="70">
        <v>-132.76</v>
      </c>
      <c r="K1337" s="320"/>
      <c r="L1337" s="178"/>
      <c r="M1337" s="178">
        <v>577.26</v>
      </c>
      <c r="N1337" s="179">
        <v>0</v>
      </c>
      <c r="O1337" s="178">
        <v>577.26</v>
      </c>
      <c r="P1337" s="453"/>
      <c r="Q1337" s="61"/>
      <c r="R1337" s="298"/>
      <c r="S1337" s="669"/>
      <c r="X1337" s="444">
        <v>1337</v>
      </c>
    </row>
    <row r="1338" spans="1:24" ht="12">
      <c r="A1338" s="83" t="s">
        <v>39712</v>
      </c>
      <c r="B1338" s="64" t="s">
        <v>39713</v>
      </c>
      <c r="C1338" s="71"/>
      <c r="D1338" s="79" t="s">
        <v>40899</v>
      </c>
      <c r="E1338" s="79" t="s">
        <v>40899</v>
      </c>
      <c r="F1338" s="79"/>
      <c r="G1338" s="445"/>
      <c r="H1338" s="178"/>
      <c r="I1338" s="178"/>
      <c r="J1338" s="70"/>
      <c r="K1338" s="320"/>
      <c r="L1338" s="178"/>
      <c r="M1338" s="178"/>
      <c r="N1338" s="179"/>
      <c r="O1338" s="178"/>
      <c r="P1338" s="453"/>
      <c r="Q1338" s="61"/>
      <c r="R1338" s="298"/>
      <c r="S1338" s="669"/>
      <c r="T1338" s="61"/>
      <c r="X1338" s="444">
        <v>1338</v>
      </c>
    </row>
    <row r="1339" spans="1:24" ht="12">
      <c r="A1339" s="83" t="s">
        <v>20588</v>
      </c>
      <c r="B1339" s="146" t="s">
        <v>20589</v>
      </c>
      <c r="C1339" s="71" t="s">
        <v>103</v>
      </c>
      <c r="D1339" s="79">
        <v>1</v>
      </c>
      <c r="E1339" s="79">
        <v>317.52</v>
      </c>
      <c r="F1339" s="79">
        <v>317.52</v>
      </c>
      <c r="G1339" s="445"/>
      <c r="H1339" s="178">
        <v>317.52999999999997</v>
      </c>
      <c r="I1339" s="178">
        <v>390.56</v>
      </c>
      <c r="J1339" s="70">
        <v>-73.04000000000002</v>
      </c>
      <c r="K1339" s="320"/>
      <c r="L1339" s="178">
        <v>203.88</v>
      </c>
      <c r="M1339" s="178">
        <v>113.63999999999999</v>
      </c>
      <c r="N1339" s="179">
        <v>0</v>
      </c>
      <c r="O1339" s="178">
        <v>317.52</v>
      </c>
      <c r="P1339" s="453"/>
      <c r="Q1339" s="61"/>
      <c r="R1339" s="298"/>
      <c r="S1339" s="669"/>
      <c r="X1339" s="444">
        <v>1339</v>
      </c>
    </row>
    <row r="1340" spans="1:24" ht="12">
      <c r="A1340" s="83" t="s">
        <v>20590</v>
      </c>
      <c r="B1340" s="146" t="s">
        <v>20591</v>
      </c>
      <c r="C1340" s="71" t="s">
        <v>103</v>
      </c>
      <c r="D1340" s="79">
        <v>1</v>
      </c>
      <c r="E1340" s="79">
        <v>352.09</v>
      </c>
      <c r="F1340" s="79">
        <v>352.09</v>
      </c>
      <c r="G1340" s="445"/>
      <c r="H1340" s="178">
        <v>352.1</v>
      </c>
      <c r="I1340" s="178">
        <v>433.08</v>
      </c>
      <c r="J1340" s="70">
        <v>-80.990000000000009</v>
      </c>
      <c r="K1340" s="320"/>
      <c r="L1340" s="178">
        <v>203.88</v>
      </c>
      <c r="M1340" s="178">
        <v>148.20999999999998</v>
      </c>
      <c r="N1340" s="179">
        <v>0</v>
      </c>
      <c r="O1340" s="178">
        <v>352.09</v>
      </c>
      <c r="P1340" s="453"/>
      <c r="Q1340" s="61"/>
      <c r="R1340" s="298"/>
      <c r="S1340" s="669"/>
      <c r="X1340" s="444">
        <v>1340</v>
      </c>
    </row>
    <row r="1341" spans="1:24" ht="12">
      <c r="A1341" s="83" t="s">
        <v>20592</v>
      </c>
      <c r="B1341" s="146" t="s">
        <v>20593</v>
      </c>
      <c r="C1341" s="71" t="s">
        <v>103</v>
      </c>
      <c r="D1341" s="79">
        <v>1</v>
      </c>
      <c r="E1341" s="79">
        <v>467.96000000000004</v>
      </c>
      <c r="F1341" s="79">
        <v>467.96</v>
      </c>
      <c r="G1341" s="445"/>
      <c r="H1341" s="178">
        <v>467.95</v>
      </c>
      <c r="I1341" s="178">
        <v>575.58000000000004</v>
      </c>
      <c r="J1341" s="70">
        <v>-107.62</v>
      </c>
      <c r="K1341" s="320"/>
      <c r="L1341" s="178">
        <v>229.37</v>
      </c>
      <c r="M1341" s="178">
        <v>238.59000000000003</v>
      </c>
      <c r="N1341" s="179">
        <v>0</v>
      </c>
      <c r="O1341" s="178">
        <v>467.96000000000004</v>
      </c>
      <c r="P1341" s="453"/>
      <c r="Q1341" s="61"/>
      <c r="R1341" s="298"/>
      <c r="S1341" s="669"/>
      <c r="X1341" s="444">
        <v>1341</v>
      </c>
    </row>
    <row r="1342" spans="1:24" ht="12">
      <c r="A1342" s="83" t="s">
        <v>20594</v>
      </c>
      <c r="B1342" s="64" t="s">
        <v>20595</v>
      </c>
      <c r="C1342" s="71" t="s">
        <v>103</v>
      </c>
      <c r="D1342" s="79">
        <v>1</v>
      </c>
      <c r="E1342" s="79">
        <v>83.32</v>
      </c>
      <c r="F1342" s="79">
        <v>83.32</v>
      </c>
      <c r="G1342" s="445"/>
      <c r="H1342" s="178">
        <v>83.33</v>
      </c>
      <c r="I1342" s="178">
        <v>102.49</v>
      </c>
      <c r="J1342" s="70">
        <v>-19.170000000000002</v>
      </c>
      <c r="K1342" s="320"/>
      <c r="L1342" s="178">
        <v>3.91</v>
      </c>
      <c r="M1342" s="178">
        <v>79.41</v>
      </c>
      <c r="N1342" s="179">
        <v>0</v>
      </c>
      <c r="O1342" s="178">
        <v>83.32</v>
      </c>
      <c r="P1342" s="453"/>
      <c r="Q1342" s="61"/>
      <c r="R1342" s="298"/>
      <c r="S1342" s="669"/>
      <c r="X1342" s="444">
        <v>1342</v>
      </c>
    </row>
    <row r="1343" spans="1:24" ht="12">
      <c r="A1343" s="83" t="s">
        <v>20596</v>
      </c>
      <c r="B1343" s="64" t="s">
        <v>20597</v>
      </c>
      <c r="C1343" s="71" t="s">
        <v>103</v>
      </c>
      <c r="D1343" s="79">
        <v>1</v>
      </c>
      <c r="E1343" s="79">
        <v>137</v>
      </c>
      <c r="F1343" s="79">
        <v>137</v>
      </c>
      <c r="G1343" s="445"/>
      <c r="H1343" s="178">
        <v>137</v>
      </c>
      <c r="I1343" s="178">
        <v>168.51</v>
      </c>
      <c r="J1343" s="70">
        <v>-31.509999999999991</v>
      </c>
      <c r="K1343" s="320"/>
      <c r="L1343" s="178">
        <v>3.91</v>
      </c>
      <c r="M1343" s="178">
        <v>133.09</v>
      </c>
      <c r="N1343" s="179">
        <v>0</v>
      </c>
      <c r="O1343" s="178">
        <v>137</v>
      </c>
      <c r="P1343" s="453"/>
      <c r="Q1343" s="61"/>
      <c r="R1343" s="298"/>
      <c r="S1343" s="669"/>
      <c r="X1343" s="444">
        <v>1343</v>
      </c>
    </row>
    <row r="1344" spans="1:24" ht="12">
      <c r="A1344" s="83" t="s">
        <v>20598</v>
      </c>
      <c r="B1344" s="64" t="s">
        <v>20599</v>
      </c>
      <c r="C1344" s="71" t="s">
        <v>103</v>
      </c>
      <c r="D1344" s="79">
        <v>1</v>
      </c>
      <c r="E1344" s="79">
        <v>26.84</v>
      </c>
      <c r="F1344" s="79">
        <v>26.84</v>
      </c>
      <c r="G1344" s="445"/>
      <c r="H1344" s="178">
        <v>26.85</v>
      </c>
      <c r="I1344" s="178">
        <v>33.020000000000003</v>
      </c>
      <c r="J1344" s="70">
        <v>-6.1800000000000033</v>
      </c>
      <c r="K1344" s="320"/>
      <c r="L1344" s="178">
        <v>3.91</v>
      </c>
      <c r="M1344" s="178">
        <v>22.93</v>
      </c>
      <c r="N1344" s="179">
        <v>0</v>
      </c>
      <c r="O1344" s="178">
        <v>26.84</v>
      </c>
      <c r="P1344" s="453"/>
      <c r="Q1344" s="61"/>
      <c r="R1344" s="298"/>
      <c r="S1344" s="669"/>
      <c r="X1344" s="444">
        <v>1344</v>
      </c>
    </row>
    <row r="1345" spans="1:24" ht="12">
      <c r="A1345" s="83" t="s">
        <v>20600</v>
      </c>
      <c r="B1345" s="64" t="s">
        <v>20601</v>
      </c>
      <c r="C1345" s="71" t="s">
        <v>103</v>
      </c>
      <c r="D1345" s="79">
        <v>1</v>
      </c>
      <c r="E1345" s="79">
        <v>53.269999999999996</v>
      </c>
      <c r="F1345" s="79">
        <v>53.27</v>
      </c>
      <c r="G1345" s="445"/>
      <c r="H1345" s="178">
        <v>53.28</v>
      </c>
      <c r="I1345" s="178">
        <v>65.53</v>
      </c>
      <c r="J1345" s="70">
        <v>-12.260000000000005</v>
      </c>
      <c r="K1345" s="320"/>
      <c r="L1345" s="178">
        <v>3.91</v>
      </c>
      <c r="M1345" s="178">
        <v>49.36</v>
      </c>
      <c r="N1345" s="179">
        <v>0</v>
      </c>
      <c r="O1345" s="178">
        <v>53.269999999999996</v>
      </c>
      <c r="P1345" s="453"/>
      <c r="Q1345" s="61"/>
      <c r="R1345" s="298"/>
      <c r="S1345" s="669"/>
      <c r="X1345" s="444">
        <v>1345</v>
      </c>
    </row>
    <row r="1346" spans="1:24" ht="12">
      <c r="A1346" s="83" t="s">
        <v>20602</v>
      </c>
      <c r="B1346" s="64" t="s">
        <v>20603</v>
      </c>
      <c r="C1346" s="71" t="s">
        <v>103</v>
      </c>
      <c r="D1346" s="79">
        <v>1</v>
      </c>
      <c r="E1346" s="79">
        <v>311.89999999999998</v>
      </c>
      <c r="F1346" s="79">
        <v>311.89999999999998</v>
      </c>
      <c r="G1346" s="445"/>
      <c r="H1346" s="178">
        <v>311.91000000000003</v>
      </c>
      <c r="I1346" s="178">
        <v>383.65</v>
      </c>
      <c r="J1346" s="70">
        <v>-71.75</v>
      </c>
      <c r="K1346" s="320"/>
      <c r="L1346" s="178">
        <v>40.76</v>
      </c>
      <c r="M1346" s="178">
        <v>271.14</v>
      </c>
      <c r="N1346" s="179">
        <v>0</v>
      </c>
      <c r="O1346" s="178">
        <v>311.89999999999998</v>
      </c>
      <c r="P1346" s="453"/>
      <c r="Q1346" s="61"/>
      <c r="R1346" s="298"/>
      <c r="S1346" s="669"/>
      <c r="X1346" s="444">
        <v>1346</v>
      </c>
    </row>
    <row r="1347" spans="1:24" ht="12">
      <c r="A1347" s="83" t="s">
        <v>20604</v>
      </c>
      <c r="B1347" s="64" t="s">
        <v>20605</v>
      </c>
      <c r="C1347" s="71" t="s">
        <v>396</v>
      </c>
      <c r="D1347" s="79">
        <v>1</v>
      </c>
      <c r="E1347" s="79">
        <v>158.66</v>
      </c>
      <c r="F1347" s="79">
        <v>158.66</v>
      </c>
      <c r="G1347" s="445"/>
      <c r="H1347" s="178">
        <v>158.66</v>
      </c>
      <c r="I1347" s="178">
        <v>195.15</v>
      </c>
      <c r="J1347" s="70">
        <v>-36.490000000000009</v>
      </c>
      <c r="K1347" s="320"/>
      <c r="L1347" s="178">
        <v>50.97</v>
      </c>
      <c r="M1347" s="178">
        <v>107.69</v>
      </c>
      <c r="N1347" s="179">
        <v>0</v>
      </c>
      <c r="O1347" s="178">
        <v>158.66</v>
      </c>
      <c r="P1347" s="453"/>
      <c r="Q1347" s="61"/>
      <c r="R1347" s="298"/>
      <c r="S1347" s="669"/>
      <c r="X1347" s="444">
        <v>1347</v>
      </c>
    </row>
    <row r="1348" spans="1:24" ht="12">
      <c r="A1348" s="83" t="s">
        <v>20606</v>
      </c>
      <c r="B1348" s="64" t="s">
        <v>20607</v>
      </c>
      <c r="C1348" s="71" t="s">
        <v>103</v>
      </c>
      <c r="D1348" s="79">
        <v>1</v>
      </c>
      <c r="E1348" s="79">
        <v>150.92000000000002</v>
      </c>
      <c r="F1348" s="79">
        <v>150.91999999999999</v>
      </c>
      <c r="G1348" s="445"/>
      <c r="H1348" s="178">
        <v>150.91999999999999</v>
      </c>
      <c r="I1348" s="178">
        <v>185.63</v>
      </c>
      <c r="J1348" s="70">
        <v>-34.70999999999998</v>
      </c>
      <c r="K1348" s="320"/>
      <c r="L1348" s="178">
        <v>45.870000000000005</v>
      </c>
      <c r="M1348" s="178">
        <v>105.05000000000001</v>
      </c>
      <c r="N1348" s="179">
        <v>0</v>
      </c>
      <c r="O1348" s="178">
        <v>150.92000000000002</v>
      </c>
      <c r="P1348" s="453"/>
      <c r="Q1348" s="61"/>
      <c r="R1348" s="298"/>
      <c r="S1348" s="669"/>
      <c r="X1348" s="444">
        <v>1348</v>
      </c>
    </row>
    <row r="1349" spans="1:24" ht="12">
      <c r="A1349" s="83" t="s">
        <v>20608</v>
      </c>
      <c r="B1349" s="64" t="s">
        <v>20609</v>
      </c>
      <c r="C1349" s="71" t="s">
        <v>103</v>
      </c>
      <c r="D1349" s="79">
        <v>1</v>
      </c>
      <c r="E1349" s="79">
        <v>35.74</v>
      </c>
      <c r="F1349" s="79">
        <v>35.74</v>
      </c>
      <c r="G1349" s="445"/>
      <c r="H1349" s="178">
        <v>35.729999999999997</v>
      </c>
      <c r="I1349" s="178">
        <v>43.95</v>
      </c>
      <c r="J1349" s="70">
        <v>-8.2100000000000009</v>
      </c>
      <c r="K1349" s="320"/>
      <c r="L1349" s="178">
        <v>25.490000000000002</v>
      </c>
      <c r="M1349" s="178">
        <v>10.25</v>
      </c>
      <c r="N1349" s="179">
        <v>0</v>
      </c>
      <c r="O1349" s="178">
        <v>35.74</v>
      </c>
      <c r="P1349" s="453"/>
      <c r="Q1349" s="61"/>
      <c r="R1349" s="298"/>
      <c r="S1349" s="669"/>
      <c r="X1349" s="444">
        <v>1349</v>
      </c>
    </row>
    <row r="1350" spans="1:24" ht="12">
      <c r="A1350" s="83" t="s">
        <v>20610</v>
      </c>
      <c r="B1350" s="64" t="s">
        <v>20611</v>
      </c>
      <c r="C1350" s="71" t="s">
        <v>103</v>
      </c>
      <c r="D1350" s="79">
        <v>1</v>
      </c>
      <c r="E1350" s="79">
        <v>41.540000000000006</v>
      </c>
      <c r="F1350" s="79">
        <v>41.54</v>
      </c>
      <c r="G1350" s="445"/>
      <c r="H1350" s="178">
        <v>41.54</v>
      </c>
      <c r="I1350" s="178">
        <v>51.1</v>
      </c>
      <c r="J1350" s="70">
        <v>-9.5599999999999952</v>
      </c>
      <c r="K1350" s="320"/>
      <c r="L1350" s="178">
        <v>8.66</v>
      </c>
      <c r="M1350" s="178">
        <v>32.88000000000001</v>
      </c>
      <c r="N1350" s="179">
        <v>0</v>
      </c>
      <c r="O1350" s="178">
        <v>41.540000000000006</v>
      </c>
      <c r="P1350" s="453"/>
      <c r="Q1350" s="61"/>
      <c r="R1350" s="298"/>
      <c r="S1350" s="669"/>
      <c r="X1350" s="444">
        <v>1350</v>
      </c>
    </row>
    <row r="1351" spans="1:24" ht="12">
      <c r="A1351" s="83" t="s">
        <v>20612</v>
      </c>
      <c r="B1351" s="64" t="s">
        <v>20613</v>
      </c>
      <c r="C1351" s="71" t="s">
        <v>103</v>
      </c>
      <c r="D1351" s="79">
        <v>1</v>
      </c>
      <c r="E1351" s="79">
        <v>158.20000000000002</v>
      </c>
      <c r="F1351" s="79">
        <v>158.19999999999999</v>
      </c>
      <c r="G1351" s="445"/>
      <c r="H1351" s="178">
        <v>158.16999999999999</v>
      </c>
      <c r="I1351" s="178">
        <v>194.55</v>
      </c>
      <c r="J1351" s="70">
        <v>-36.349999999999994</v>
      </c>
      <c r="K1351" s="320"/>
      <c r="L1351" s="178">
        <v>12.77</v>
      </c>
      <c r="M1351" s="178">
        <v>145.43</v>
      </c>
      <c r="N1351" s="179">
        <v>0</v>
      </c>
      <c r="O1351" s="178">
        <v>158.20000000000002</v>
      </c>
      <c r="P1351" s="453"/>
      <c r="Q1351" s="61"/>
      <c r="R1351" s="298"/>
      <c r="S1351" s="669"/>
      <c r="X1351" s="444">
        <v>1351</v>
      </c>
    </row>
    <row r="1352" spans="1:24" ht="12">
      <c r="A1352" s="83" t="s">
        <v>20614</v>
      </c>
      <c r="B1352" s="64" t="s">
        <v>20615</v>
      </c>
      <c r="C1352" s="71" t="s">
        <v>103</v>
      </c>
      <c r="D1352" s="79">
        <v>1</v>
      </c>
      <c r="E1352" s="79">
        <v>122.27</v>
      </c>
      <c r="F1352" s="79">
        <v>122.27</v>
      </c>
      <c r="G1352" s="445"/>
      <c r="H1352" s="178">
        <v>122.26</v>
      </c>
      <c r="I1352" s="178">
        <v>150.38</v>
      </c>
      <c r="J1352" s="70">
        <v>-28.11</v>
      </c>
      <c r="K1352" s="320"/>
      <c r="L1352" s="178">
        <v>25.490000000000002</v>
      </c>
      <c r="M1352" s="178">
        <v>96.78</v>
      </c>
      <c r="N1352" s="179">
        <v>0</v>
      </c>
      <c r="O1352" s="178">
        <v>122.27000000000001</v>
      </c>
      <c r="P1352" s="453"/>
      <c r="Q1352" s="61"/>
      <c r="R1352" s="298"/>
      <c r="S1352" s="669"/>
      <c r="X1352" s="444">
        <v>1352</v>
      </c>
    </row>
    <row r="1353" spans="1:24" ht="24">
      <c r="A1353" s="83" t="s">
        <v>20616</v>
      </c>
      <c r="B1353" s="64" t="s">
        <v>39714</v>
      </c>
      <c r="C1353" s="71" t="s">
        <v>103</v>
      </c>
      <c r="D1353" s="79">
        <v>1</v>
      </c>
      <c r="E1353" s="79">
        <v>1894.75</v>
      </c>
      <c r="F1353" s="79">
        <v>1894.75</v>
      </c>
      <c r="G1353" s="445"/>
      <c r="H1353" s="178">
        <v>1894.75</v>
      </c>
      <c r="I1353" s="178">
        <v>2330.54</v>
      </c>
      <c r="J1353" s="70">
        <v>-435.78999999999996</v>
      </c>
      <c r="K1353" s="320"/>
      <c r="L1353" s="178">
        <v>0</v>
      </c>
      <c r="M1353" s="178">
        <v>1894.75</v>
      </c>
      <c r="N1353" s="179">
        <v>0</v>
      </c>
      <c r="O1353" s="178">
        <v>1894.75</v>
      </c>
      <c r="P1353" s="453"/>
      <c r="Q1353" s="61"/>
      <c r="R1353" s="298"/>
      <c r="S1353" s="669"/>
      <c r="X1353" s="444">
        <v>1353</v>
      </c>
    </row>
    <row r="1354" spans="1:24" ht="12">
      <c r="A1354" s="83" t="s">
        <v>20617</v>
      </c>
      <c r="B1354" s="64" t="s">
        <v>20618</v>
      </c>
      <c r="C1354" s="71" t="s">
        <v>103</v>
      </c>
      <c r="D1354" s="79">
        <v>1</v>
      </c>
      <c r="E1354" s="79">
        <v>443.69000000000005</v>
      </c>
      <c r="F1354" s="79">
        <v>443.69</v>
      </c>
      <c r="G1354" s="445"/>
      <c r="H1354" s="178">
        <v>443.68</v>
      </c>
      <c r="I1354" s="178">
        <v>545.73</v>
      </c>
      <c r="J1354" s="70">
        <v>-102.03999999999996</v>
      </c>
      <c r="K1354" s="320"/>
      <c r="L1354" s="178">
        <v>77.830000000000013</v>
      </c>
      <c r="M1354" s="178">
        <v>365.86</v>
      </c>
      <c r="N1354" s="179">
        <v>0</v>
      </c>
      <c r="O1354" s="178">
        <v>443.69000000000005</v>
      </c>
      <c r="P1354" s="453"/>
      <c r="Q1354" s="61"/>
      <c r="R1354" s="298"/>
      <c r="S1354" s="669"/>
      <c r="X1354" s="444">
        <v>1354</v>
      </c>
    </row>
    <row r="1355" spans="1:24" ht="12">
      <c r="A1355" s="83" t="s">
        <v>20619</v>
      </c>
      <c r="B1355" s="64" t="s">
        <v>20620</v>
      </c>
      <c r="C1355" s="71" t="s">
        <v>103</v>
      </c>
      <c r="D1355" s="79">
        <v>1</v>
      </c>
      <c r="E1355" s="79">
        <v>84</v>
      </c>
      <c r="F1355" s="79">
        <v>84</v>
      </c>
      <c r="G1355" s="445"/>
      <c r="H1355" s="178">
        <v>83.99</v>
      </c>
      <c r="I1355" s="178">
        <v>103.31</v>
      </c>
      <c r="J1355" s="70">
        <v>-19.310000000000002</v>
      </c>
      <c r="K1355" s="320"/>
      <c r="L1355" s="178">
        <v>3.8</v>
      </c>
      <c r="M1355" s="178">
        <v>80.2</v>
      </c>
      <c r="N1355" s="179">
        <v>0</v>
      </c>
      <c r="O1355" s="178">
        <v>84</v>
      </c>
      <c r="P1355" s="453"/>
      <c r="Q1355" s="61"/>
      <c r="R1355" s="298"/>
      <c r="S1355" s="669"/>
      <c r="X1355" s="444">
        <v>1355</v>
      </c>
    </row>
    <row r="1356" spans="1:24" ht="12">
      <c r="A1356" s="83" t="s">
        <v>20621</v>
      </c>
      <c r="B1356" s="64" t="s">
        <v>20622</v>
      </c>
      <c r="C1356" s="71" t="s">
        <v>103</v>
      </c>
      <c r="D1356" s="79">
        <v>1</v>
      </c>
      <c r="E1356" s="79">
        <v>91.73</v>
      </c>
      <c r="F1356" s="79">
        <v>91.73</v>
      </c>
      <c r="G1356" s="445"/>
      <c r="H1356" s="178">
        <v>91.72</v>
      </c>
      <c r="I1356" s="178">
        <v>112.82</v>
      </c>
      <c r="J1356" s="70">
        <v>-21.089999999999989</v>
      </c>
      <c r="K1356" s="320"/>
      <c r="L1356" s="178">
        <v>3.8</v>
      </c>
      <c r="M1356" s="178">
        <v>87.93</v>
      </c>
      <c r="N1356" s="179">
        <v>0</v>
      </c>
      <c r="O1356" s="178">
        <v>91.73</v>
      </c>
      <c r="P1356" s="453"/>
      <c r="Q1356" s="61"/>
      <c r="R1356" s="298"/>
      <c r="S1356" s="669"/>
      <c r="X1356" s="444">
        <v>1356</v>
      </c>
    </row>
    <row r="1357" spans="1:24" ht="12">
      <c r="A1357" s="83" t="s">
        <v>20623</v>
      </c>
      <c r="B1357" s="64" t="s">
        <v>20624</v>
      </c>
      <c r="C1357" s="71" t="s">
        <v>103</v>
      </c>
      <c r="D1357" s="79">
        <v>1</v>
      </c>
      <c r="E1357" s="79">
        <v>36.339999999999996</v>
      </c>
      <c r="F1357" s="79">
        <v>36.340000000000003</v>
      </c>
      <c r="G1357" s="445"/>
      <c r="H1357" s="178">
        <v>36.33</v>
      </c>
      <c r="I1357" s="178">
        <v>44.69</v>
      </c>
      <c r="J1357" s="70">
        <v>-8.3500000000000014</v>
      </c>
      <c r="K1357" s="320"/>
      <c r="L1357" s="178">
        <v>3.8</v>
      </c>
      <c r="M1357" s="178">
        <v>32.54</v>
      </c>
      <c r="N1357" s="179">
        <v>0</v>
      </c>
      <c r="O1357" s="178">
        <v>36.339999999999996</v>
      </c>
      <c r="P1357" s="453"/>
      <c r="Q1357" s="61"/>
      <c r="R1357" s="298"/>
      <c r="S1357" s="669"/>
      <c r="X1357" s="444">
        <v>1357</v>
      </c>
    </row>
    <row r="1358" spans="1:24" ht="12">
      <c r="A1358" s="83" t="s">
        <v>20625</v>
      </c>
      <c r="B1358" s="64" t="s">
        <v>20626</v>
      </c>
      <c r="C1358" s="71" t="s">
        <v>103</v>
      </c>
      <c r="D1358" s="79">
        <v>1</v>
      </c>
      <c r="E1358" s="79">
        <v>28.55</v>
      </c>
      <c r="F1358" s="79">
        <v>28.55</v>
      </c>
      <c r="G1358" s="445"/>
      <c r="H1358" s="178">
        <v>28.54</v>
      </c>
      <c r="I1358" s="178">
        <v>35.11</v>
      </c>
      <c r="J1358" s="70">
        <v>-6.5599999999999987</v>
      </c>
      <c r="K1358" s="320"/>
      <c r="L1358" s="178">
        <v>3.8</v>
      </c>
      <c r="M1358" s="178">
        <v>24.75</v>
      </c>
      <c r="N1358" s="179">
        <v>0</v>
      </c>
      <c r="O1358" s="178">
        <v>28.55</v>
      </c>
      <c r="P1358" s="453"/>
      <c r="Q1358" s="61"/>
      <c r="R1358" s="298"/>
      <c r="S1358" s="669"/>
      <c r="X1358" s="444">
        <v>1358</v>
      </c>
    </row>
    <row r="1359" spans="1:24" ht="12">
      <c r="A1359" s="83" t="s">
        <v>20627</v>
      </c>
      <c r="B1359" s="64" t="s">
        <v>20628</v>
      </c>
      <c r="C1359" s="71" t="s">
        <v>10216</v>
      </c>
      <c r="D1359" s="79">
        <v>1</v>
      </c>
      <c r="E1359" s="79">
        <v>577.26</v>
      </c>
      <c r="F1359" s="79">
        <v>577.26</v>
      </c>
      <c r="G1359" s="445"/>
      <c r="H1359" s="178">
        <v>577.25</v>
      </c>
      <c r="I1359" s="178">
        <v>710.02</v>
      </c>
      <c r="J1359" s="70">
        <v>-132.76</v>
      </c>
      <c r="K1359" s="320"/>
      <c r="L1359" s="178"/>
      <c r="M1359" s="178">
        <v>577.26</v>
      </c>
      <c r="N1359" s="179">
        <v>0</v>
      </c>
      <c r="O1359" s="178">
        <v>577.26</v>
      </c>
      <c r="P1359" s="453"/>
      <c r="Q1359" s="61"/>
      <c r="R1359" s="298"/>
      <c r="S1359" s="669"/>
      <c r="X1359" s="444">
        <v>1359</v>
      </c>
    </row>
    <row r="1360" spans="1:24" ht="12">
      <c r="A1360" s="83" t="s">
        <v>39715</v>
      </c>
      <c r="B1360" s="64" t="s">
        <v>39716</v>
      </c>
      <c r="C1360" s="71"/>
      <c r="D1360" s="79" t="s">
        <v>40899</v>
      </c>
      <c r="E1360" s="79" t="s">
        <v>40899</v>
      </c>
      <c r="F1360" s="79"/>
      <c r="G1360" s="445"/>
      <c r="H1360" s="178"/>
      <c r="I1360" s="178"/>
      <c r="J1360" s="70"/>
      <c r="K1360" s="320"/>
      <c r="L1360" s="178"/>
      <c r="M1360" s="178"/>
      <c r="N1360" s="179"/>
      <c r="O1360" s="178"/>
      <c r="P1360" s="453"/>
      <c r="Q1360" s="61"/>
      <c r="R1360" s="298"/>
      <c r="S1360" s="669"/>
      <c r="T1360" s="61"/>
      <c r="X1360" s="444">
        <v>1360</v>
      </c>
    </row>
    <row r="1361" spans="1:24" ht="12">
      <c r="A1361" s="83" t="s">
        <v>20629</v>
      </c>
      <c r="B1361" s="64" t="s">
        <v>20630</v>
      </c>
      <c r="C1361" s="71" t="s">
        <v>103</v>
      </c>
      <c r="D1361" s="79">
        <v>1</v>
      </c>
      <c r="E1361" s="79">
        <v>668.72</v>
      </c>
      <c r="F1361" s="79">
        <v>668.72</v>
      </c>
      <c r="G1361" s="445"/>
      <c r="H1361" s="178">
        <v>668.72</v>
      </c>
      <c r="I1361" s="178">
        <v>822.53</v>
      </c>
      <c r="J1361" s="70">
        <v>-153.80999999999995</v>
      </c>
      <c r="K1361" s="320"/>
      <c r="L1361" s="178">
        <v>71.349999999999994</v>
      </c>
      <c r="M1361" s="178">
        <v>597.37</v>
      </c>
      <c r="N1361" s="179">
        <v>0</v>
      </c>
      <c r="O1361" s="178">
        <v>668.72</v>
      </c>
      <c r="P1361" s="453"/>
      <c r="Q1361" s="61"/>
      <c r="R1361" s="298"/>
      <c r="S1361" s="669"/>
      <c r="X1361" s="444">
        <v>1361</v>
      </c>
    </row>
    <row r="1362" spans="1:24" ht="12">
      <c r="A1362" s="83" t="s">
        <v>20631</v>
      </c>
      <c r="B1362" s="64" t="s">
        <v>20632</v>
      </c>
      <c r="C1362" s="71" t="s">
        <v>103</v>
      </c>
      <c r="D1362" s="79">
        <v>1</v>
      </c>
      <c r="E1362" s="79">
        <v>24.759999999999998</v>
      </c>
      <c r="F1362" s="79">
        <v>24.76</v>
      </c>
      <c r="G1362" s="445"/>
      <c r="H1362" s="178">
        <v>24.75</v>
      </c>
      <c r="I1362" s="178">
        <v>30.44</v>
      </c>
      <c r="J1362" s="70">
        <v>-5.6800000000000033</v>
      </c>
      <c r="K1362" s="320"/>
      <c r="L1362" s="178">
        <v>2.2400000000000002</v>
      </c>
      <c r="M1362" s="178">
        <v>22.519999999999996</v>
      </c>
      <c r="N1362" s="179">
        <v>0</v>
      </c>
      <c r="O1362" s="178">
        <v>24.759999999999998</v>
      </c>
      <c r="P1362" s="453"/>
      <c r="Q1362" s="61"/>
      <c r="R1362" s="298"/>
      <c r="S1362" s="669"/>
      <c r="X1362" s="444">
        <v>1362</v>
      </c>
    </row>
    <row r="1363" spans="1:24" ht="12">
      <c r="A1363" s="83" t="s">
        <v>20633</v>
      </c>
      <c r="B1363" s="64" t="s">
        <v>20634</v>
      </c>
      <c r="C1363" s="71" t="s">
        <v>103</v>
      </c>
      <c r="D1363" s="79">
        <v>1</v>
      </c>
      <c r="E1363" s="79">
        <v>12.77</v>
      </c>
      <c r="F1363" s="79">
        <v>12.77</v>
      </c>
      <c r="G1363" s="445"/>
      <c r="H1363" s="178">
        <v>12.76</v>
      </c>
      <c r="I1363" s="178">
        <v>15.69</v>
      </c>
      <c r="J1363" s="70">
        <v>-2.92</v>
      </c>
      <c r="K1363" s="320"/>
      <c r="L1363" s="178">
        <v>2.2400000000000002</v>
      </c>
      <c r="M1363" s="178">
        <v>10.53</v>
      </c>
      <c r="N1363" s="179">
        <v>0</v>
      </c>
      <c r="O1363" s="178">
        <v>12.77</v>
      </c>
      <c r="P1363" s="453"/>
      <c r="Q1363" s="61"/>
      <c r="R1363" s="298"/>
      <c r="S1363" s="669"/>
      <c r="X1363" s="444">
        <v>1363</v>
      </c>
    </row>
    <row r="1364" spans="1:24" ht="12">
      <c r="A1364" s="83" t="s">
        <v>20635</v>
      </c>
      <c r="B1364" s="64" t="s">
        <v>20636</v>
      </c>
      <c r="C1364" s="71" t="s">
        <v>103</v>
      </c>
      <c r="D1364" s="79">
        <v>1</v>
      </c>
      <c r="E1364" s="79">
        <v>54.96</v>
      </c>
      <c r="F1364" s="79">
        <v>54.96</v>
      </c>
      <c r="G1364" s="445"/>
      <c r="H1364" s="178">
        <v>54.95</v>
      </c>
      <c r="I1364" s="178">
        <v>67.59</v>
      </c>
      <c r="J1364" s="70">
        <v>-12.630000000000003</v>
      </c>
      <c r="K1364" s="320"/>
      <c r="L1364" s="178">
        <v>2.2400000000000002</v>
      </c>
      <c r="M1364" s="178">
        <v>52.72</v>
      </c>
      <c r="N1364" s="179">
        <v>0</v>
      </c>
      <c r="O1364" s="178">
        <v>54.96</v>
      </c>
      <c r="P1364" s="453"/>
      <c r="Q1364" s="61"/>
      <c r="R1364" s="298"/>
      <c r="S1364" s="669"/>
      <c r="X1364" s="444">
        <v>1364</v>
      </c>
    </row>
    <row r="1365" spans="1:24" ht="12">
      <c r="A1365" s="83" t="s">
        <v>20637</v>
      </c>
      <c r="B1365" s="64" t="s">
        <v>20638</v>
      </c>
      <c r="C1365" s="71" t="s">
        <v>103</v>
      </c>
      <c r="D1365" s="79">
        <v>1</v>
      </c>
      <c r="E1365" s="79">
        <v>33.64</v>
      </c>
      <c r="F1365" s="79">
        <v>33.64</v>
      </c>
      <c r="G1365" s="445"/>
      <c r="H1365" s="178">
        <v>33.630000000000003</v>
      </c>
      <c r="I1365" s="178">
        <v>41.36</v>
      </c>
      <c r="J1365" s="70">
        <v>-7.7199999999999989</v>
      </c>
      <c r="K1365" s="320"/>
      <c r="L1365" s="178">
        <v>2.2400000000000002</v>
      </c>
      <c r="M1365" s="178">
        <v>31.4</v>
      </c>
      <c r="N1365" s="179">
        <v>0</v>
      </c>
      <c r="O1365" s="178">
        <v>33.64</v>
      </c>
      <c r="P1365" s="453"/>
      <c r="Q1365" s="61"/>
      <c r="R1365" s="298"/>
      <c r="S1365" s="669"/>
      <c r="X1365" s="444">
        <v>1365</v>
      </c>
    </row>
    <row r="1366" spans="1:24" ht="12">
      <c r="A1366" s="83" t="s">
        <v>20639</v>
      </c>
      <c r="B1366" s="64" t="s">
        <v>9757</v>
      </c>
      <c r="C1366" s="71" t="s">
        <v>103</v>
      </c>
      <c r="D1366" s="79">
        <v>1</v>
      </c>
      <c r="E1366" s="79">
        <v>241.79000000000002</v>
      </c>
      <c r="F1366" s="79">
        <v>241.79</v>
      </c>
      <c r="G1366" s="445"/>
      <c r="H1366" s="178">
        <v>241.78</v>
      </c>
      <c r="I1366" s="178">
        <v>297.39</v>
      </c>
      <c r="J1366" s="70">
        <v>-55.599999999999966</v>
      </c>
      <c r="K1366" s="320"/>
      <c r="L1366" s="178">
        <v>25.490000000000002</v>
      </c>
      <c r="M1366" s="178">
        <v>216.3</v>
      </c>
      <c r="N1366" s="179">
        <v>0</v>
      </c>
      <c r="O1366" s="178">
        <v>241.79000000000002</v>
      </c>
      <c r="P1366" s="453"/>
      <c r="Q1366" s="61"/>
      <c r="R1366" s="298"/>
      <c r="S1366" s="669"/>
      <c r="X1366" s="444">
        <v>1366</v>
      </c>
    </row>
    <row r="1367" spans="1:24" ht="12">
      <c r="A1367" s="83" t="s">
        <v>20640</v>
      </c>
      <c r="B1367" s="64" t="s">
        <v>20641</v>
      </c>
      <c r="C1367" s="71" t="s">
        <v>103</v>
      </c>
      <c r="D1367" s="79">
        <v>1</v>
      </c>
      <c r="E1367" s="79">
        <v>118.92000000000002</v>
      </c>
      <c r="F1367" s="79">
        <v>118.92</v>
      </c>
      <c r="G1367" s="445"/>
      <c r="H1367" s="178">
        <v>118.91</v>
      </c>
      <c r="I1367" s="178">
        <v>146.26</v>
      </c>
      <c r="J1367" s="70">
        <v>-27.339999999999975</v>
      </c>
      <c r="K1367" s="320"/>
      <c r="L1367" s="178">
        <v>25.490000000000002</v>
      </c>
      <c r="M1367" s="178">
        <v>93.43</v>
      </c>
      <c r="N1367" s="179">
        <v>0</v>
      </c>
      <c r="O1367" s="178">
        <v>118.92000000000002</v>
      </c>
      <c r="P1367" s="453"/>
      <c r="Q1367" s="61"/>
      <c r="R1367" s="298"/>
      <c r="S1367" s="669"/>
      <c r="X1367" s="444">
        <v>1367</v>
      </c>
    </row>
    <row r="1368" spans="1:24" ht="12">
      <c r="A1368" s="83" t="s">
        <v>20642</v>
      </c>
      <c r="B1368" s="64" t="s">
        <v>9753</v>
      </c>
      <c r="C1368" s="71" t="s">
        <v>103</v>
      </c>
      <c r="D1368" s="79">
        <v>1</v>
      </c>
      <c r="E1368" s="79">
        <v>30.919999999999998</v>
      </c>
      <c r="F1368" s="79">
        <v>30.92</v>
      </c>
      <c r="G1368" s="445"/>
      <c r="H1368" s="178">
        <v>30.93</v>
      </c>
      <c r="I1368" s="178">
        <v>38.04</v>
      </c>
      <c r="J1368" s="70">
        <v>-7.120000000000001</v>
      </c>
      <c r="K1368" s="320"/>
      <c r="L1368" s="178">
        <v>20.38</v>
      </c>
      <c r="M1368" s="178">
        <v>10.54</v>
      </c>
      <c r="N1368" s="179">
        <v>0</v>
      </c>
      <c r="O1368" s="178">
        <v>30.919999999999998</v>
      </c>
      <c r="P1368" s="453"/>
      <c r="Q1368" s="61"/>
      <c r="R1368" s="298"/>
      <c r="S1368" s="669"/>
      <c r="X1368" s="444">
        <v>1368</v>
      </c>
    </row>
    <row r="1369" spans="1:24" ht="12">
      <c r="A1369" s="83" t="s">
        <v>20643</v>
      </c>
      <c r="B1369" s="64" t="s">
        <v>20644</v>
      </c>
      <c r="C1369" s="71" t="s">
        <v>165</v>
      </c>
      <c r="D1369" s="79">
        <v>1</v>
      </c>
      <c r="E1369" s="79">
        <v>12.370000000000001</v>
      </c>
      <c r="F1369" s="79">
        <v>12.37</v>
      </c>
      <c r="G1369" s="445"/>
      <c r="H1369" s="178">
        <v>12.35</v>
      </c>
      <c r="I1369" s="178">
        <v>15.19</v>
      </c>
      <c r="J1369" s="70">
        <v>-2.8199999999999985</v>
      </c>
      <c r="K1369" s="320"/>
      <c r="L1369" s="178">
        <v>12.370000000000001</v>
      </c>
      <c r="M1369" s="178">
        <v>0</v>
      </c>
      <c r="N1369" s="179">
        <v>0</v>
      </c>
      <c r="O1369" s="178">
        <v>12.370000000000001</v>
      </c>
      <c r="P1369" s="453"/>
      <c r="Q1369" s="61"/>
      <c r="R1369" s="298"/>
      <c r="S1369" s="669"/>
      <c r="X1369" s="444">
        <v>1369</v>
      </c>
    </row>
    <row r="1370" spans="1:24" ht="12">
      <c r="A1370" s="83" t="s">
        <v>20645</v>
      </c>
      <c r="B1370" s="64" t="s">
        <v>20646</v>
      </c>
      <c r="C1370" s="71" t="s">
        <v>165</v>
      </c>
      <c r="D1370" s="79">
        <v>1</v>
      </c>
      <c r="E1370" s="79">
        <v>4.1500000000000004</v>
      </c>
      <c r="F1370" s="79">
        <v>4.1500000000000004</v>
      </c>
      <c r="G1370" s="445"/>
      <c r="H1370" s="178">
        <v>4.1500000000000004</v>
      </c>
      <c r="I1370" s="178">
        <v>5.0999999999999996</v>
      </c>
      <c r="J1370" s="70">
        <v>-0.94999999999999929</v>
      </c>
      <c r="K1370" s="320"/>
      <c r="L1370" s="178">
        <v>4.1500000000000004</v>
      </c>
      <c r="M1370" s="178">
        <v>0</v>
      </c>
      <c r="N1370" s="179">
        <v>0</v>
      </c>
      <c r="O1370" s="178">
        <v>4.1500000000000004</v>
      </c>
      <c r="P1370" s="453"/>
      <c r="Q1370" s="61"/>
      <c r="R1370" s="298"/>
      <c r="S1370" s="669"/>
      <c r="X1370" s="444">
        <v>1370</v>
      </c>
    </row>
    <row r="1371" spans="1:24" ht="12">
      <c r="A1371" s="83" t="s">
        <v>20647</v>
      </c>
      <c r="B1371" s="64" t="s">
        <v>20648</v>
      </c>
      <c r="C1371" s="71" t="s">
        <v>509</v>
      </c>
      <c r="D1371" s="79">
        <v>1</v>
      </c>
      <c r="E1371" s="79">
        <v>10.06</v>
      </c>
      <c r="F1371" s="79">
        <v>10.06</v>
      </c>
      <c r="G1371" s="445"/>
      <c r="H1371" s="178">
        <v>10.050000000000001</v>
      </c>
      <c r="I1371" s="178">
        <v>12.36</v>
      </c>
      <c r="J1371" s="70">
        <v>-2.2999999999999989</v>
      </c>
      <c r="K1371" s="320"/>
      <c r="L1371" s="178">
        <v>10.06</v>
      </c>
      <c r="M1371" s="178">
        <v>0</v>
      </c>
      <c r="N1371" s="179">
        <v>0</v>
      </c>
      <c r="O1371" s="178">
        <v>10.06</v>
      </c>
      <c r="P1371" s="453"/>
      <c r="Q1371" s="61"/>
      <c r="R1371" s="298"/>
      <c r="S1371" s="669"/>
      <c r="X1371" s="444">
        <v>1371</v>
      </c>
    </row>
    <row r="1372" spans="1:24" ht="12">
      <c r="A1372" s="83" t="s">
        <v>20649</v>
      </c>
      <c r="B1372" s="64" t="s">
        <v>20650</v>
      </c>
      <c r="C1372" s="71" t="s">
        <v>165</v>
      </c>
      <c r="D1372" s="79">
        <v>1</v>
      </c>
      <c r="E1372" s="79">
        <v>5.59</v>
      </c>
      <c r="F1372" s="79">
        <v>5.59</v>
      </c>
      <c r="G1372" s="445"/>
      <c r="H1372" s="178">
        <v>5.58</v>
      </c>
      <c r="I1372" s="178">
        <v>6.86</v>
      </c>
      <c r="J1372" s="70">
        <v>-1.2700000000000005</v>
      </c>
      <c r="K1372" s="320"/>
      <c r="L1372" s="178">
        <v>5.59</v>
      </c>
      <c r="M1372" s="178">
        <v>0</v>
      </c>
      <c r="N1372" s="179">
        <v>0</v>
      </c>
      <c r="O1372" s="178">
        <v>5.59</v>
      </c>
      <c r="P1372" s="453"/>
      <c r="Q1372" s="61"/>
      <c r="R1372" s="298"/>
      <c r="S1372" s="669"/>
      <c r="X1372" s="444">
        <v>1372</v>
      </c>
    </row>
    <row r="1373" spans="1:24" ht="12">
      <c r="A1373" s="83" t="s">
        <v>20651</v>
      </c>
      <c r="B1373" s="64" t="s">
        <v>20652</v>
      </c>
      <c r="C1373" s="71" t="s">
        <v>165</v>
      </c>
      <c r="D1373" s="79">
        <v>1</v>
      </c>
      <c r="E1373" s="79">
        <v>98.080000000000013</v>
      </c>
      <c r="F1373" s="79">
        <v>98.08</v>
      </c>
      <c r="G1373" s="445"/>
      <c r="H1373" s="178">
        <v>98.07</v>
      </c>
      <c r="I1373" s="178">
        <v>120.63</v>
      </c>
      <c r="J1373" s="70">
        <v>-22.549999999999983</v>
      </c>
      <c r="K1373" s="320"/>
      <c r="L1373" s="178">
        <v>76.460000000000008</v>
      </c>
      <c r="M1373" s="178">
        <v>21.620000000000005</v>
      </c>
      <c r="N1373" s="179">
        <v>0</v>
      </c>
      <c r="O1373" s="178">
        <v>98.080000000000013</v>
      </c>
      <c r="P1373" s="453"/>
      <c r="Q1373" s="61"/>
      <c r="R1373" s="298"/>
      <c r="S1373" s="669"/>
      <c r="X1373" s="444">
        <v>1373</v>
      </c>
    </row>
    <row r="1374" spans="1:24" ht="12">
      <c r="A1374" s="83" t="s">
        <v>20653</v>
      </c>
      <c r="B1374" s="64" t="s">
        <v>20654</v>
      </c>
      <c r="C1374" s="71" t="s">
        <v>165</v>
      </c>
      <c r="D1374" s="79">
        <v>1</v>
      </c>
      <c r="E1374" s="79">
        <v>89.990000000000009</v>
      </c>
      <c r="F1374" s="79">
        <v>89.99</v>
      </c>
      <c r="G1374" s="445"/>
      <c r="H1374" s="178">
        <v>90</v>
      </c>
      <c r="I1374" s="178">
        <v>110.7</v>
      </c>
      <c r="J1374" s="70">
        <v>-20.709999999999994</v>
      </c>
      <c r="K1374" s="320"/>
      <c r="L1374" s="178">
        <v>68.800000000000011</v>
      </c>
      <c r="M1374" s="178">
        <v>21.189999999999998</v>
      </c>
      <c r="N1374" s="179">
        <v>0</v>
      </c>
      <c r="O1374" s="178">
        <v>89.990000000000009</v>
      </c>
      <c r="P1374" s="453"/>
      <c r="Q1374" s="61"/>
      <c r="R1374" s="298"/>
      <c r="S1374" s="669"/>
      <c r="X1374" s="444">
        <v>1374</v>
      </c>
    </row>
    <row r="1375" spans="1:24" ht="12">
      <c r="A1375" s="83" t="s">
        <v>20655</v>
      </c>
      <c r="B1375" s="64" t="s">
        <v>20656</v>
      </c>
      <c r="C1375" s="71" t="s">
        <v>10216</v>
      </c>
      <c r="D1375" s="79">
        <v>1</v>
      </c>
      <c r="E1375" s="79">
        <v>577.26</v>
      </c>
      <c r="F1375" s="79">
        <v>577.26</v>
      </c>
      <c r="G1375" s="445"/>
      <c r="H1375" s="178">
        <v>577.25</v>
      </c>
      <c r="I1375" s="178">
        <v>710.02</v>
      </c>
      <c r="J1375" s="70">
        <v>-132.76</v>
      </c>
      <c r="K1375" s="320"/>
      <c r="L1375" s="178"/>
      <c r="M1375" s="178">
        <v>577.26</v>
      </c>
      <c r="N1375" s="179">
        <v>0</v>
      </c>
      <c r="O1375" s="178">
        <v>577.26</v>
      </c>
      <c r="P1375" s="453"/>
      <c r="Q1375" s="61"/>
      <c r="R1375" s="298"/>
      <c r="S1375" s="669"/>
      <c r="X1375" s="444">
        <v>1375</v>
      </c>
    </row>
    <row r="1376" spans="1:24" ht="12">
      <c r="A1376" s="83" t="s">
        <v>39717</v>
      </c>
      <c r="B1376" s="64" t="s">
        <v>39718</v>
      </c>
      <c r="C1376" s="71"/>
      <c r="D1376" s="79" t="s">
        <v>40899</v>
      </c>
      <c r="E1376" s="79" t="s">
        <v>40899</v>
      </c>
      <c r="F1376" s="79"/>
      <c r="G1376" s="445"/>
      <c r="H1376" s="178"/>
      <c r="I1376" s="178"/>
      <c r="J1376" s="70"/>
      <c r="K1376" s="320"/>
      <c r="L1376" s="178"/>
      <c r="M1376" s="178"/>
      <c r="N1376" s="179"/>
      <c r="O1376" s="178"/>
      <c r="P1376" s="453"/>
      <c r="Q1376" s="61"/>
      <c r="R1376" s="298"/>
      <c r="S1376" s="669"/>
      <c r="T1376" s="61"/>
      <c r="X1376" s="444">
        <v>1376</v>
      </c>
    </row>
    <row r="1377" spans="1:24" ht="12">
      <c r="A1377" s="83" t="s">
        <v>20657</v>
      </c>
      <c r="B1377" s="64" t="s">
        <v>20658</v>
      </c>
      <c r="C1377" s="71" t="s">
        <v>103</v>
      </c>
      <c r="D1377" s="79">
        <v>1</v>
      </c>
      <c r="E1377" s="79">
        <v>41.78</v>
      </c>
      <c r="F1377" s="79">
        <v>41.78</v>
      </c>
      <c r="G1377" s="445"/>
      <c r="H1377" s="178">
        <v>41.77</v>
      </c>
      <c r="I1377" s="178">
        <v>51.38</v>
      </c>
      <c r="J1377" s="70">
        <v>-9.6000000000000014</v>
      </c>
      <c r="K1377" s="320"/>
      <c r="L1377" s="178">
        <v>3.46</v>
      </c>
      <c r="M1377" s="178">
        <v>38.32</v>
      </c>
      <c r="N1377" s="179">
        <v>0</v>
      </c>
      <c r="O1377" s="178">
        <v>41.78</v>
      </c>
      <c r="P1377" s="453"/>
      <c r="Q1377" s="61"/>
      <c r="R1377" s="298"/>
      <c r="S1377" s="669"/>
      <c r="X1377" s="444">
        <v>1377</v>
      </c>
    </row>
    <row r="1378" spans="1:24" ht="12">
      <c r="A1378" s="83" t="s">
        <v>20659</v>
      </c>
      <c r="B1378" s="64" t="s">
        <v>20660</v>
      </c>
      <c r="C1378" s="71" t="s">
        <v>103</v>
      </c>
      <c r="D1378" s="79">
        <v>1</v>
      </c>
      <c r="E1378" s="79">
        <v>17.93</v>
      </c>
      <c r="F1378" s="79">
        <v>17.93</v>
      </c>
      <c r="G1378" s="445"/>
      <c r="H1378" s="178">
        <v>17.93</v>
      </c>
      <c r="I1378" s="178">
        <v>22.06</v>
      </c>
      <c r="J1378" s="70">
        <v>-4.129999999999999</v>
      </c>
      <c r="K1378" s="320"/>
      <c r="L1378" s="178">
        <v>8.66</v>
      </c>
      <c r="M1378" s="178">
        <v>9.27</v>
      </c>
      <c r="N1378" s="179">
        <v>0</v>
      </c>
      <c r="O1378" s="178">
        <v>17.93</v>
      </c>
      <c r="P1378" s="453"/>
      <c r="Q1378" s="61"/>
      <c r="R1378" s="298"/>
      <c r="S1378" s="669"/>
      <c r="X1378" s="444">
        <v>1378</v>
      </c>
    </row>
    <row r="1379" spans="1:24" ht="12">
      <c r="A1379" s="83" t="s">
        <v>20661</v>
      </c>
      <c r="B1379" s="64" t="s">
        <v>20662</v>
      </c>
      <c r="C1379" s="71" t="s">
        <v>103</v>
      </c>
      <c r="D1379" s="79">
        <v>1</v>
      </c>
      <c r="E1379" s="79">
        <v>55.45</v>
      </c>
      <c r="F1379" s="79">
        <v>55.45</v>
      </c>
      <c r="G1379" s="445"/>
      <c r="H1379" s="178">
        <v>55.46</v>
      </c>
      <c r="I1379" s="178">
        <v>68.209999999999994</v>
      </c>
      <c r="J1379" s="70">
        <v>-12.759999999999991</v>
      </c>
      <c r="K1379" s="320"/>
      <c r="L1379" s="178">
        <v>54.61</v>
      </c>
      <c r="M1379" s="178">
        <v>0.84000000000000341</v>
      </c>
      <c r="N1379" s="179">
        <v>0</v>
      </c>
      <c r="O1379" s="178">
        <v>55.45</v>
      </c>
      <c r="P1379" s="453"/>
      <c r="Q1379" s="61"/>
      <c r="R1379" s="298"/>
      <c r="S1379" s="669"/>
      <c r="X1379" s="444">
        <v>1379</v>
      </c>
    </row>
    <row r="1380" spans="1:24" ht="12">
      <c r="A1380" s="83" t="s">
        <v>20663</v>
      </c>
      <c r="B1380" s="64" t="s">
        <v>9879</v>
      </c>
      <c r="C1380" s="71" t="s">
        <v>103</v>
      </c>
      <c r="D1380" s="79">
        <v>1</v>
      </c>
      <c r="E1380" s="79">
        <v>667.47</v>
      </c>
      <c r="F1380" s="79">
        <v>667.47</v>
      </c>
      <c r="G1380" s="445"/>
      <c r="H1380" s="178">
        <v>667.46</v>
      </c>
      <c r="I1380" s="178">
        <v>820.98</v>
      </c>
      <c r="J1380" s="70">
        <v>-153.51</v>
      </c>
      <c r="K1380" s="320"/>
      <c r="L1380" s="178">
        <v>76.460000000000008</v>
      </c>
      <c r="M1380" s="178">
        <v>591.01</v>
      </c>
      <c r="N1380" s="179">
        <v>0</v>
      </c>
      <c r="O1380" s="178">
        <v>667.47</v>
      </c>
      <c r="P1380" s="453"/>
      <c r="Q1380" s="61"/>
      <c r="R1380" s="298"/>
      <c r="S1380" s="669"/>
      <c r="X1380" s="444">
        <v>1380</v>
      </c>
    </row>
    <row r="1381" spans="1:24" ht="12">
      <c r="A1381" s="83" t="s">
        <v>20664</v>
      </c>
      <c r="B1381" s="64" t="s">
        <v>9875</v>
      </c>
      <c r="C1381" s="71" t="s">
        <v>103</v>
      </c>
      <c r="D1381" s="79">
        <v>1</v>
      </c>
      <c r="E1381" s="79">
        <v>662.46</v>
      </c>
      <c r="F1381" s="79">
        <v>662.46</v>
      </c>
      <c r="G1381" s="445"/>
      <c r="H1381" s="178">
        <v>662.46</v>
      </c>
      <c r="I1381" s="178">
        <v>814.82</v>
      </c>
      <c r="J1381" s="70">
        <v>-152.36000000000001</v>
      </c>
      <c r="K1381" s="320"/>
      <c r="L1381" s="178">
        <v>76.460000000000008</v>
      </c>
      <c r="M1381" s="178">
        <v>586</v>
      </c>
      <c r="N1381" s="179">
        <v>0</v>
      </c>
      <c r="O1381" s="178">
        <v>662.46</v>
      </c>
      <c r="P1381" s="453"/>
      <c r="Q1381" s="61"/>
      <c r="R1381" s="298"/>
      <c r="S1381" s="669"/>
      <c r="X1381" s="444">
        <v>1381</v>
      </c>
    </row>
    <row r="1382" spans="1:24" ht="12">
      <c r="A1382" s="83" t="s">
        <v>20665</v>
      </c>
      <c r="B1382" s="64" t="s">
        <v>20539</v>
      </c>
      <c r="C1382" s="71" t="s">
        <v>103</v>
      </c>
      <c r="D1382" s="79">
        <v>1</v>
      </c>
      <c r="E1382" s="79">
        <v>710.56</v>
      </c>
      <c r="F1382" s="79">
        <v>710.56</v>
      </c>
      <c r="G1382" s="445"/>
      <c r="H1382" s="178">
        <v>710.55</v>
      </c>
      <c r="I1382" s="178">
        <v>873.98</v>
      </c>
      <c r="J1382" s="70">
        <v>-163.42000000000007</v>
      </c>
      <c r="K1382" s="320"/>
      <c r="L1382" s="178">
        <v>76.460000000000008</v>
      </c>
      <c r="M1382" s="178">
        <v>634.09999999999991</v>
      </c>
      <c r="N1382" s="179">
        <v>0</v>
      </c>
      <c r="O1382" s="178">
        <v>710.56</v>
      </c>
      <c r="P1382" s="453"/>
      <c r="Q1382" s="61"/>
      <c r="R1382" s="298"/>
      <c r="S1382" s="669"/>
      <c r="X1382" s="444">
        <v>1382</v>
      </c>
    </row>
    <row r="1383" spans="1:24" ht="12">
      <c r="A1383" s="83" t="s">
        <v>20666</v>
      </c>
      <c r="B1383" s="64" t="s">
        <v>20667</v>
      </c>
      <c r="C1383" s="71" t="s">
        <v>103</v>
      </c>
      <c r="D1383" s="79">
        <v>1</v>
      </c>
      <c r="E1383" s="79">
        <v>287.51000000000005</v>
      </c>
      <c r="F1383" s="79">
        <v>287.51</v>
      </c>
      <c r="G1383" s="445"/>
      <c r="H1383" s="178">
        <v>287.5</v>
      </c>
      <c r="I1383" s="178">
        <v>353.63</v>
      </c>
      <c r="J1383" s="70">
        <v>-66.119999999999948</v>
      </c>
      <c r="K1383" s="320"/>
      <c r="L1383" s="178">
        <v>76.460000000000008</v>
      </c>
      <c r="M1383" s="178">
        <v>211.05000000000004</v>
      </c>
      <c r="N1383" s="179">
        <v>0</v>
      </c>
      <c r="O1383" s="178">
        <v>287.51000000000005</v>
      </c>
      <c r="P1383" s="453"/>
      <c r="Q1383" s="61"/>
      <c r="R1383" s="298"/>
      <c r="S1383" s="669"/>
      <c r="X1383" s="444">
        <v>1383</v>
      </c>
    </row>
    <row r="1384" spans="1:24" ht="12">
      <c r="A1384" s="83" t="s">
        <v>20668</v>
      </c>
      <c r="B1384" s="64" t="s">
        <v>20669</v>
      </c>
      <c r="C1384" s="71" t="s">
        <v>103</v>
      </c>
      <c r="D1384" s="79">
        <v>1</v>
      </c>
      <c r="E1384" s="79">
        <v>481.46</v>
      </c>
      <c r="F1384" s="79">
        <v>481.46</v>
      </c>
      <c r="G1384" s="445"/>
      <c r="H1384" s="178">
        <v>481.46</v>
      </c>
      <c r="I1384" s="178">
        <v>592.19000000000005</v>
      </c>
      <c r="J1384" s="70">
        <v>-110.73000000000008</v>
      </c>
      <c r="K1384" s="320"/>
      <c r="L1384" s="178">
        <v>76.460000000000008</v>
      </c>
      <c r="M1384" s="178">
        <v>405</v>
      </c>
      <c r="N1384" s="179">
        <v>0</v>
      </c>
      <c r="O1384" s="178">
        <v>481.46000000000004</v>
      </c>
      <c r="P1384" s="453"/>
      <c r="Q1384" s="61"/>
      <c r="R1384" s="298"/>
      <c r="S1384" s="669"/>
      <c r="X1384" s="444">
        <v>1384</v>
      </c>
    </row>
    <row r="1385" spans="1:24" ht="12">
      <c r="A1385" s="83" t="s">
        <v>20670</v>
      </c>
      <c r="B1385" s="64" t="s">
        <v>20671</v>
      </c>
      <c r="C1385" s="71" t="s">
        <v>103</v>
      </c>
      <c r="D1385" s="79">
        <v>1</v>
      </c>
      <c r="E1385" s="79">
        <v>446.87000000000006</v>
      </c>
      <c r="F1385" s="79">
        <v>446.87</v>
      </c>
      <c r="G1385" s="445"/>
      <c r="H1385" s="178">
        <v>446.86</v>
      </c>
      <c r="I1385" s="178">
        <v>549.64</v>
      </c>
      <c r="J1385" s="70">
        <v>-102.76999999999992</v>
      </c>
      <c r="K1385" s="320"/>
      <c r="L1385" s="178">
        <v>76.460000000000008</v>
      </c>
      <c r="M1385" s="178">
        <v>370.41000000000008</v>
      </c>
      <c r="N1385" s="179">
        <v>0</v>
      </c>
      <c r="O1385" s="178">
        <v>446.87000000000012</v>
      </c>
      <c r="P1385" s="453"/>
      <c r="Q1385" s="61"/>
      <c r="R1385" s="298"/>
      <c r="S1385" s="669"/>
      <c r="X1385" s="444">
        <v>1385</v>
      </c>
    </row>
    <row r="1386" spans="1:24" ht="12">
      <c r="A1386" s="83" t="s">
        <v>20672</v>
      </c>
      <c r="B1386" s="64" t="s">
        <v>9881</v>
      </c>
      <c r="C1386" s="71" t="s">
        <v>103</v>
      </c>
      <c r="D1386" s="79">
        <v>1</v>
      </c>
      <c r="E1386" s="79">
        <v>925.05000000000007</v>
      </c>
      <c r="F1386" s="79">
        <v>925.05</v>
      </c>
      <c r="G1386" s="445"/>
      <c r="H1386" s="178">
        <v>925.04</v>
      </c>
      <c r="I1386" s="178">
        <v>1137.8</v>
      </c>
      <c r="J1386" s="70">
        <v>-212.74999999999989</v>
      </c>
      <c r="K1386" s="320"/>
      <c r="L1386" s="178">
        <v>76.460000000000008</v>
      </c>
      <c r="M1386" s="178">
        <v>848.59</v>
      </c>
      <c r="N1386" s="179">
        <v>0</v>
      </c>
      <c r="O1386" s="178">
        <v>925.05000000000007</v>
      </c>
      <c r="P1386" s="453"/>
      <c r="Q1386" s="61"/>
      <c r="R1386" s="298"/>
      <c r="S1386" s="669"/>
      <c r="X1386" s="444">
        <v>1386</v>
      </c>
    </row>
    <row r="1387" spans="1:24" ht="12">
      <c r="A1387" s="83" t="s">
        <v>20673</v>
      </c>
      <c r="B1387" s="64" t="s">
        <v>20674</v>
      </c>
      <c r="C1387" s="71" t="s">
        <v>103</v>
      </c>
      <c r="D1387" s="79">
        <v>1</v>
      </c>
      <c r="E1387" s="79">
        <v>456.53000000000003</v>
      </c>
      <c r="F1387" s="79">
        <v>456.53</v>
      </c>
      <c r="G1387" s="445"/>
      <c r="H1387" s="178">
        <v>456.52</v>
      </c>
      <c r="I1387" s="178">
        <v>561.52</v>
      </c>
      <c r="J1387" s="70">
        <v>-104.98999999999995</v>
      </c>
      <c r="K1387" s="320"/>
      <c r="L1387" s="178">
        <v>25.490000000000002</v>
      </c>
      <c r="M1387" s="178">
        <v>431.04</v>
      </c>
      <c r="N1387" s="179">
        <v>0</v>
      </c>
      <c r="O1387" s="178">
        <v>456.53000000000003</v>
      </c>
      <c r="P1387" s="453"/>
      <c r="Q1387" s="61"/>
      <c r="R1387" s="298"/>
      <c r="S1387" s="669"/>
      <c r="X1387" s="444">
        <v>1387</v>
      </c>
    </row>
    <row r="1388" spans="1:24" ht="12">
      <c r="A1388" s="83" t="s">
        <v>20675</v>
      </c>
      <c r="B1388" s="64" t="s">
        <v>20676</v>
      </c>
      <c r="C1388" s="71" t="s">
        <v>103</v>
      </c>
      <c r="D1388" s="79">
        <v>1</v>
      </c>
      <c r="E1388" s="79">
        <v>85.6</v>
      </c>
      <c r="F1388" s="79">
        <v>85.6</v>
      </c>
      <c r="G1388" s="445"/>
      <c r="H1388" s="178">
        <v>85.59</v>
      </c>
      <c r="I1388" s="178">
        <v>105.27</v>
      </c>
      <c r="J1388" s="70">
        <v>-19.670000000000002</v>
      </c>
      <c r="K1388" s="320"/>
      <c r="L1388" s="178">
        <v>6.99</v>
      </c>
      <c r="M1388" s="178">
        <v>78.61</v>
      </c>
      <c r="N1388" s="179">
        <v>0</v>
      </c>
      <c r="O1388" s="178">
        <v>85.6</v>
      </c>
      <c r="P1388" s="453"/>
      <c r="Q1388" s="61"/>
      <c r="R1388" s="298"/>
      <c r="S1388" s="669"/>
      <c r="X1388" s="444">
        <v>1388</v>
      </c>
    </row>
    <row r="1389" spans="1:24" ht="12">
      <c r="A1389" s="83" t="s">
        <v>20677</v>
      </c>
      <c r="B1389" s="64" t="s">
        <v>20678</v>
      </c>
      <c r="C1389" s="71" t="s">
        <v>103</v>
      </c>
      <c r="D1389" s="79">
        <v>1</v>
      </c>
      <c r="E1389" s="79">
        <v>113.5</v>
      </c>
      <c r="F1389" s="79">
        <v>113.5</v>
      </c>
      <c r="G1389" s="445"/>
      <c r="H1389" s="178">
        <v>113.49</v>
      </c>
      <c r="I1389" s="178">
        <v>139.59</v>
      </c>
      <c r="J1389" s="70">
        <v>-26.090000000000003</v>
      </c>
      <c r="K1389" s="320"/>
      <c r="L1389" s="178">
        <v>6.99</v>
      </c>
      <c r="M1389" s="178">
        <v>106.51</v>
      </c>
      <c r="N1389" s="179">
        <v>0</v>
      </c>
      <c r="O1389" s="178">
        <v>113.5</v>
      </c>
      <c r="P1389" s="453"/>
      <c r="Q1389" s="61"/>
      <c r="R1389" s="298"/>
      <c r="S1389" s="669"/>
      <c r="X1389" s="444">
        <v>1389</v>
      </c>
    </row>
    <row r="1390" spans="1:24" ht="12">
      <c r="A1390" s="83" t="s">
        <v>20679</v>
      </c>
      <c r="B1390" s="64" t="s">
        <v>20680</v>
      </c>
      <c r="C1390" s="71" t="s">
        <v>509</v>
      </c>
      <c r="D1390" s="79">
        <v>1</v>
      </c>
      <c r="E1390" s="79">
        <v>1264.1999999999998</v>
      </c>
      <c r="F1390" s="79">
        <v>1264.2</v>
      </c>
      <c r="G1390" s="445"/>
      <c r="H1390" s="178">
        <v>1264.2</v>
      </c>
      <c r="I1390" s="178">
        <v>1554.96</v>
      </c>
      <c r="J1390" s="70">
        <v>-290.76000000000022</v>
      </c>
      <c r="K1390" s="320"/>
      <c r="L1390" s="178">
        <v>98.83</v>
      </c>
      <c r="M1390" s="178">
        <v>1165.3699999999999</v>
      </c>
      <c r="N1390" s="179">
        <v>0</v>
      </c>
      <c r="O1390" s="178">
        <v>1264.1999999999998</v>
      </c>
      <c r="P1390" s="453"/>
      <c r="Q1390" s="61"/>
      <c r="R1390" s="298"/>
      <c r="S1390" s="669"/>
      <c r="X1390" s="444">
        <v>1390</v>
      </c>
    </row>
    <row r="1391" spans="1:24" ht="12">
      <c r="A1391" s="83" t="s">
        <v>20681</v>
      </c>
      <c r="B1391" s="64" t="s">
        <v>20682</v>
      </c>
      <c r="C1391" s="71" t="s">
        <v>509</v>
      </c>
      <c r="D1391" s="79">
        <v>1</v>
      </c>
      <c r="E1391" s="79">
        <v>606.80999999999995</v>
      </c>
      <c r="F1391" s="79">
        <v>606.80999999999995</v>
      </c>
      <c r="G1391" s="445"/>
      <c r="H1391" s="178">
        <v>606.79999999999995</v>
      </c>
      <c r="I1391" s="178">
        <v>746.37</v>
      </c>
      <c r="J1391" s="70">
        <v>-139.56000000000006</v>
      </c>
      <c r="K1391" s="320"/>
      <c r="L1391" s="178">
        <v>98.83</v>
      </c>
      <c r="M1391" s="178">
        <v>507.97999999999996</v>
      </c>
      <c r="N1391" s="179">
        <v>0</v>
      </c>
      <c r="O1391" s="178">
        <v>606.80999999999995</v>
      </c>
      <c r="P1391" s="453"/>
      <c r="Q1391" s="61"/>
      <c r="R1391" s="298"/>
      <c r="S1391" s="669"/>
      <c r="X1391" s="444">
        <v>1391</v>
      </c>
    </row>
    <row r="1392" spans="1:24" ht="12">
      <c r="A1392" s="83" t="s">
        <v>20683</v>
      </c>
      <c r="B1392" s="64" t="s">
        <v>20684</v>
      </c>
      <c r="C1392" s="71" t="s">
        <v>509</v>
      </c>
      <c r="D1392" s="79">
        <v>1</v>
      </c>
      <c r="E1392" s="79">
        <v>2638.4500000000003</v>
      </c>
      <c r="F1392" s="79">
        <v>2638.45</v>
      </c>
      <c r="G1392" s="445"/>
      <c r="H1392" s="178">
        <v>2638.45</v>
      </c>
      <c r="I1392" s="178">
        <v>3245.29</v>
      </c>
      <c r="J1392" s="70">
        <v>-606.83999999999969</v>
      </c>
      <c r="K1392" s="320"/>
      <c r="L1392" s="178">
        <v>98.83</v>
      </c>
      <c r="M1392" s="178">
        <v>2539.6200000000003</v>
      </c>
      <c r="N1392" s="179">
        <v>0</v>
      </c>
      <c r="O1392" s="178">
        <v>2638.4500000000003</v>
      </c>
      <c r="P1392" s="453"/>
      <c r="Q1392" s="61"/>
      <c r="R1392" s="298"/>
      <c r="S1392" s="669"/>
      <c r="X1392" s="444">
        <v>1392</v>
      </c>
    </row>
    <row r="1393" spans="1:32" ht="12">
      <c r="A1393" s="83" t="s">
        <v>20685</v>
      </c>
      <c r="B1393" s="64" t="s">
        <v>20686</v>
      </c>
      <c r="C1393" s="71" t="s">
        <v>509</v>
      </c>
      <c r="D1393" s="79">
        <v>1</v>
      </c>
      <c r="E1393" s="79">
        <v>2839.34</v>
      </c>
      <c r="F1393" s="79">
        <v>2839.34</v>
      </c>
      <c r="G1393" s="445"/>
      <c r="H1393" s="178">
        <v>2839.33</v>
      </c>
      <c r="I1393" s="178">
        <v>3492.38</v>
      </c>
      <c r="J1393" s="70">
        <v>-653.04</v>
      </c>
      <c r="K1393" s="320"/>
      <c r="L1393" s="178">
        <v>98.83</v>
      </c>
      <c r="M1393" s="178">
        <v>2740.51</v>
      </c>
      <c r="N1393" s="179">
        <v>0</v>
      </c>
      <c r="O1393" s="178">
        <v>2839.34</v>
      </c>
      <c r="P1393" s="453"/>
      <c r="Q1393" s="61"/>
      <c r="R1393" s="298"/>
      <c r="S1393" s="669"/>
      <c r="X1393" s="444">
        <v>1393</v>
      </c>
    </row>
    <row r="1394" spans="1:32" ht="12">
      <c r="A1394" s="83" t="s">
        <v>20687</v>
      </c>
      <c r="B1394" s="64" t="s">
        <v>20688</v>
      </c>
      <c r="C1394" s="71" t="s">
        <v>103</v>
      </c>
      <c r="D1394" s="79">
        <v>1</v>
      </c>
      <c r="E1394" s="79">
        <v>270.39999999999998</v>
      </c>
      <c r="F1394" s="79">
        <v>270.39999999999998</v>
      </c>
      <c r="G1394" s="445"/>
      <c r="H1394" s="178">
        <v>270.39999999999998</v>
      </c>
      <c r="I1394" s="178">
        <v>332.59</v>
      </c>
      <c r="J1394" s="70">
        <v>-62.19</v>
      </c>
      <c r="K1394" s="320"/>
      <c r="L1394" s="178">
        <v>50.97</v>
      </c>
      <c r="M1394" s="178">
        <v>219.42999999999998</v>
      </c>
      <c r="N1394" s="179">
        <v>0</v>
      </c>
      <c r="O1394" s="178">
        <v>270.39999999999998</v>
      </c>
      <c r="P1394" s="453"/>
      <c r="Q1394" s="61"/>
      <c r="R1394" s="298"/>
      <c r="S1394" s="669"/>
      <c r="X1394" s="444">
        <v>1394</v>
      </c>
    </row>
    <row r="1395" spans="1:32" ht="12">
      <c r="A1395" s="83" t="s">
        <v>20689</v>
      </c>
      <c r="B1395" s="64" t="s">
        <v>20690</v>
      </c>
      <c r="C1395" s="71" t="s">
        <v>103</v>
      </c>
      <c r="D1395" s="79">
        <v>1</v>
      </c>
      <c r="E1395" s="79">
        <v>290.13</v>
      </c>
      <c r="F1395" s="79">
        <v>290.13</v>
      </c>
      <c r="G1395" s="445"/>
      <c r="H1395" s="178">
        <v>290.13</v>
      </c>
      <c r="I1395" s="178">
        <v>356.86</v>
      </c>
      <c r="J1395" s="70">
        <v>-66.730000000000018</v>
      </c>
      <c r="K1395" s="320"/>
      <c r="L1395" s="178">
        <v>50.97</v>
      </c>
      <c r="M1395" s="178">
        <v>239.16</v>
      </c>
      <c r="N1395" s="179">
        <v>0</v>
      </c>
      <c r="O1395" s="178">
        <v>290.13</v>
      </c>
      <c r="P1395" s="453"/>
      <c r="Q1395" s="61"/>
      <c r="R1395" s="298"/>
      <c r="S1395" s="669"/>
      <c r="X1395" s="444">
        <v>1395</v>
      </c>
    </row>
    <row r="1396" spans="1:32" ht="12">
      <c r="A1396" s="83" t="s">
        <v>20691</v>
      </c>
      <c r="B1396" s="64" t="s">
        <v>20692</v>
      </c>
      <c r="C1396" s="71" t="s">
        <v>103</v>
      </c>
      <c r="D1396" s="79">
        <v>1</v>
      </c>
      <c r="E1396" s="79">
        <v>453.36</v>
      </c>
      <c r="F1396" s="79">
        <v>453.36</v>
      </c>
      <c r="G1396" s="445"/>
      <c r="H1396" s="178">
        <v>453.35</v>
      </c>
      <c r="I1396" s="178">
        <v>557.62</v>
      </c>
      <c r="J1396" s="70">
        <v>-104.25999999999999</v>
      </c>
      <c r="K1396" s="320"/>
      <c r="L1396" s="178">
        <v>76.460000000000008</v>
      </c>
      <c r="M1396" s="178">
        <v>376.9</v>
      </c>
      <c r="N1396" s="179">
        <v>0</v>
      </c>
      <c r="O1396" s="178">
        <v>453.36</v>
      </c>
      <c r="P1396" s="453"/>
      <c r="Q1396" s="61"/>
      <c r="R1396" s="298"/>
      <c r="S1396" s="669"/>
      <c r="X1396" s="444">
        <v>1396</v>
      </c>
    </row>
    <row r="1397" spans="1:32" ht="12">
      <c r="A1397" s="83" t="s">
        <v>20693</v>
      </c>
      <c r="B1397" s="64" t="s">
        <v>20694</v>
      </c>
      <c r="C1397" s="71" t="s">
        <v>509</v>
      </c>
      <c r="D1397" s="79">
        <v>1</v>
      </c>
      <c r="E1397" s="79">
        <v>1384.58</v>
      </c>
      <c r="F1397" s="79">
        <v>1384.58</v>
      </c>
      <c r="G1397" s="445"/>
      <c r="H1397" s="178">
        <v>1384.58</v>
      </c>
      <c r="I1397" s="178">
        <v>1703.03</v>
      </c>
      <c r="J1397" s="70">
        <v>-318.45000000000005</v>
      </c>
      <c r="K1397" s="320"/>
      <c r="L1397" s="178">
        <v>98.83</v>
      </c>
      <c r="M1397" s="178">
        <v>1285.75</v>
      </c>
      <c r="N1397" s="179">
        <v>0</v>
      </c>
      <c r="O1397" s="178">
        <v>1384.58</v>
      </c>
      <c r="P1397" s="453"/>
      <c r="Q1397" s="61"/>
      <c r="R1397" s="298"/>
      <c r="S1397" s="669"/>
      <c r="X1397" s="444">
        <v>1397</v>
      </c>
    </row>
    <row r="1398" spans="1:32" ht="12">
      <c r="A1398" s="83" t="s">
        <v>20695</v>
      </c>
      <c r="B1398" s="64" t="s">
        <v>20696</v>
      </c>
      <c r="C1398" s="71" t="s">
        <v>103</v>
      </c>
      <c r="D1398" s="79">
        <v>1</v>
      </c>
      <c r="E1398" s="79">
        <v>91.61999999999999</v>
      </c>
      <c r="F1398" s="79">
        <v>91.62</v>
      </c>
      <c r="G1398" s="445"/>
      <c r="H1398" s="178">
        <v>91.61</v>
      </c>
      <c r="I1398" s="178">
        <v>112.68</v>
      </c>
      <c r="J1398" s="70">
        <v>-21.060000000000016</v>
      </c>
      <c r="K1398" s="320"/>
      <c r="L1398" s="178">
        <v>2.2400000000000002</v>
      </c>
      <c r="M1398" s="178">
        <v>89.38</v>
      </c>
      <c r="N1398" s="179">
        <v>0</v>
      </c>
      <c r="O1398" s="178">
        <v>91.61999999999999</v>
      </c>
      <c r="P1398" s="453"/>
      <c r="Q1398" s="61"/>
      <c r="R1398" s="298"/>
      <c r="S1398" s="669"/>
      <c r="X1398" s="444">
        <v>1398</v>
      </c>
    </row>
    <row r="1399" spans="1:32" ht="12">
      <c r="A1399" s="83" t="s">
        <v>20697</v>
      </c>
      <c r="B1399" s="64" t="s">
        <v>20698</v>
      </c>
      <c r="C1399" s="71" t="s">
        <v>103</v>
      </c>
      <c r="D1399" s="79">
        <v>1</v>
      </c>
      <c r="E1399" s="79">
        <v>99.140000000000015</v>
      </c>
      <c r="F1399" s="79">
        <v>99.14</v>
      </c>
      <c r="G1399" s="445"/>
      <c r="H1399" s="178">
        <v>99.13</v>
      </c>
      <c r="I1399" s="178">
        <v>121.93</v>
      </c>
      <c r="J1399" s="70">
        <v>-22.789999999999992</v>
      </c>
      <c r="K1399" s="320"/>
      <c r="L1399" s="178">
        <v>25.490000000000002</v>
      </c>
      <c r="M1399" s="178">
        <v>73.650000000000006</v>
      </c>
      <c r="N1399" s="179">
        <v>0</v>
      </c>
      <c r="O1399" s="178">
        <v>99.140000000000015</v>
      </c>
      <c r="P1399" s="453"/>
      <c r="Q1399" s="61"/>
      <c r="R1399" s="298"/>
      <c r="S1399" s="669"/>
      <c r="X1399" s="444">
        <v>1399</v>
      </c>
    </row>
    <row r="1400" spans="1:32" ht="12">
      <c r="A1400" s="83" t="s">
        <v>20699</v>
      </c>
      <c r="B1400" s="64" t="s">
        <v>20700</v>
      </c>
      <c r="C1400" s="71" t="s">
        <v>103</v>
      </c>
      <c r="D1400" s="79">
        <v>1</v>
      </c>
      <c r="E1400" s="79">
        <v>434.77</v>
      </c>
      <c r="F1400" s="79">
        <v>434.77</v>
      </c>
      <c r="G1400" s="445"/>
      <c r="H1400" s="178">
        <v>434.76</v>
      </c>
      <c r="I1400" s="178">
        <v>534.75</v>
      </c>
      <c r="J1400" s="70">
        <v>-99.980000000000018</v>
      </c>
      <c r="K1400" s="320"/>
      <c r="L1400" s="178">
        <v>5.77</v>
      </c>
      <c r="M1400" s="178">
        <v>429</v>
      </c>
      <c r="N1400" s="179">
        <v>0</v>
      </c>
      <c r="O1400" s="178">
        <v>434.77</v>
      </c>
      <c r="P1400" s="453"/>
      <c r="Q1400" s="61"/>
      <c r="R1400" s="298"/>
      <c r="S1400" s="669"/>
      <c r="X1400" s="444">
        <v>1400</v>
      </c>
    </row>
    <row r="1401" spans="1:32" ht="12">
      <c r="A1401" s="83" t="s">
        <v>20701</v>
      </c>
      <c r="B1401" s="64" t="s">
        <v>20702</v>
      </c>
      <c r="C1401" s="71" t="s">
        <v>103</v>
      </c>
      <c r="D1401" s="79">
        <v>1</v>
      </c>
      <c r="E1401" s="79">
        <v>703.56999999999994</v>
      </c>
      <c r="F1401" s="79">
        <v>703.57</v>
      </c>
      <c r="G1401" s="445"/>
      <c r="H1401" s="178">
        <v>703.55</v>
      </c>
      <c r="I1401" s="178">
        <v>865.37</v>
      </c>
      <c r="J1401" s="70">
        <v>-161.80000000000007</v>
      </c>
      <c r="K1401" s="320"/>
      <c r="L1401" s="178">
        <v>5.77</v>
      </c>
      <c r="M1401" s="178">
        <v>697.8</v>
      </c>
      <c r="N1401" s="179">
        <v>0</v>
      </c>
      <c r="O1401" s="178">
        <v>703.56999999999994</v>
      </c>
      <c r="P1401" s="453"/>
      <c r="Q1401" s="61"/>
      <c r="R1401" s="298"/>
      <c r="S1401" s="669"/>
      <c r="X1401" s="444">
        <v>1401</v>
      </c>
    </row>
    <row r="1402" spans="1:32" ht="12">
      <c r="A1402" s="83" t="s">
        <v>20703</v>
      </c>
      <c r="B1402" s="64" t="s">
        <v>20704</v>
      </c>
      <c r="C1402" s="71" t="s">
        <v>10216</v>
      </c>
      <c r="D1402" s="79">
        <v>1</v>
      </c>
      <c r="E1402" s="79">
        <v>577.26</v>
      </c>
      <c r="F1402" s="79">
        <v>577.26</v>
      </c>
      <c r="G1402" s="445"/>
      <c r="H1402" s="178">
        <v>577.25</v>
      </c>
      <c r="I1402" s="178">
        <v>710.02</v>
      </c>
      <c r="J1402" s="70">
        <v>-132.76</v>
      </c>
      <c r="K1402" s="320"/>
      <c r="L1402" s="178"/>
      <c r="M1402" s="178">
        <v>577.26</v>
      </c>
      <c r="N1402" s="179">
        <v>0</v>
      </c>
      <c r="O1402" s="178">
        <v>577.26</v>
      </c>
      <c r="P1402" s="453"/>
      <c r="Q1402" s="61"/>
      <c r="R1402" s="298"/>
      <c r="S1402" s="669"/>
      <c r="U1402" s="69"/>
      <c r="V1402" s="69"/>
      <c r="W1402" s="69"/>
      <c r="X1402" s="444">
        <v>1402</v>
      </c>
      <c r="Y1402" s="69"/>
      <c r="Z1402" s="69"/>
      <c r="AA1402" s="69"/>
      <c r="AB1402" s="69"/>
      <c r="AC1402" s="69"/>
      <c r="AD1402" s="69"/>
      <c r="AE1402" s="69"/>
      <c r="AF1402" s="69"/>
    </row>
    <row r="1403" spans="1:32" ht="12">
      <c r="A1403" s="83" t="s">
        <v>39719</v>
      </c>
      <c r="B1403" s="64" t="s">
        <v>39720</v>
      </c>
      <c r="C1403" s="71"/>
      <c r="D1403" s="79" t="s">
        <v>40899</v>
      </c>
      <c r="E1403" s="79" t="s">
        <v>40899</v>
      </c>
      <c r="F1403" s="79"/>
      <c r="G1403" s="445"/>
      <c r="H1403" s="178"/>
      <c r="I1403" s="178"/>
      <c r="J1403" s="70"/>
      <c r="K1403" s="320"/>
      <c r="L1403" s="178"/>
      <c r="M1403" s="178"/>
      <c r="N1403" s="179"/>
      <c r="O1403" s="178"/>
      <c r="P1403" s="453"/>
      <c r="Q1403" s="61"/>
      <c r="R1403" s="298"/>
      <c r="S1403" s="669"/>
      <c r="T1403" s="61"/>
      <c r="U1403" s="69"/>
      <c r="V1403" s="69"/>
      <c r="W1403" s="69"/>
      <c r="X1403" s="444">
        <v>1403</v>
      </c>
      <c r="Y1403" s="69"/>
      <c r="Z1403" s="69"/>
      <c r="AA1403" s="69"/>
      <c r="AB1403" s="69"/>
      <c r="AC1403" s="69"/>
      <c r="AD1403" s="69"/>
      <c r="AE1403" s="69"/>
      <c r="AF1403" s="69"/>
    </row>
    <row r="1404" spans="1:32" ht="12">
      <c r="A1404" s="83" t="s">
        <v>20705</v>
      </c>
      <c r="B1404" s="64" t="s">
        <v>20706</v>
      </c>
      <c r="C1404" s="71" t="s">
        <v>10216</v>
      </c>
      <c r="D1404" s="79">
        <v>1</v>
      </c>
      <c r="E1404" s="79">
        <v>577.26</v>
      </c>
      <c r="F1404" s="79">
        <v>577.26</v>
      </c>
      <c r="G1404" s="445"/>
      <c r="H1404" s="178">
        <v>577.25</v>
      </c>
      <c r="I1404" s="178">
        <v>710.02</v>
      </c>
      <c r="J1404" s="70">
        <v>-132.76</v>
      </c>
      <c r="K1404" s="320"/>
      <c r="L1404" s="178"/>
      <c r="M1404" s="178">
        <v>577.26</v>
      </c>
      <c r="N1404" s="179">
        <v>0</v>
      </c>
      <c r="O1404" s="178">
        <v>577.26</v>
      </c>
      <c r="P1404" s="453"/>
      <c r="Q1404" s="61"/>
      <c r="R1404" s="298"/>
      <c r="S1404" s="669"/>
      <c r="X1404" s="444">
        <v>1404</v>
      </c>
    </row>
    <row r="1405" spans="1:32" ht="12">
      <c r="A1405" s="83" t="s">
        <v>39721</v>
      </c>
      <c r="B1405" s="64" t="s">
        <v>39722</v>
      </c>
      <c r="C1405" s="71"/>
      <c r="D1405" s="79" t="s">
        <v>40899</v>
      </c>
      <c r="E1405" s="79" t="s">
        <v>40899</v>
      </c>
      <c r="F1405" s="79"/>
      <c r="G1405" s="445"/>
      <c r="H1405" s="178"/>
      <c r="I1405" s="178"/>
      <c r="J1405" s="70"/>
      <c r="K1405" s="320"/>
      <c r="L1405" s="178"/>
      <c r="M1405" s="178"/>
      <c r="N1405" s="179"/>
      <c r="O1405" s="178"/>
      <c r="P1405" s="453"/>
      <c r="Q1405" s="61"/>
      <c r="R1405" s="298"/>
      <c r="S1405" s="669"/>
      <c r="T1405" s="61"/>
      <c r="X1405" s="444">
        <v>1405</v>
      </c>
    </row>
    <row r="1406" spans="1:32" ht="12">
      <c r="A1406" s="83" t="s">
        <v>11630</v>
      </c>
      <c r="B1406" s="64" t="s">
        <v>39723</v>
      </c>
      <c r="C1406" s="71"/>
      <c r="D1406" s="79" t="s">
        <v>40899</v>
      </c>
      <c r="E1406" s="79" t="s">
        <v>40899</v>
      </c>
      <c r="F1406" s="79"/>
      <c r="G1406" s="445"/>
      <c r="H1406" s="178"/>
      <c r="I1406" s="178"/>
      <c r="J1406" s="70"/>
      <c r="K1406" s="320"/>
      <c r="L1406" s="178"/>
      <c r="M1406" s="178"/>
      <c r="N1406" s="179"/>
      <c r="O1406" s="178"/>
      <c r="P1406" s="453"/>
      <c r="Q1406" s="61"/>
      <c r="R1406" s="298"/>
      <c r="S1406" s="669"/>
      <c r="T1406" s="61"/>
      <c r="X1406" s="444">
        <v>1406</v>
      </c>
    </row>
    <row r="1407" spans="1:32" ht="12">
      <c r="A1407" s="83" t="s">
        <v>20707</v>
      </c>
      <c r="B1407" s="64" t="s">
        <v>39724</v>
      </c>
      <c r="C1407" s="71" t="s">
        <v>103</v>
      </c>
      <c r="D1407" s="79">
        <v>1</v>
      </c>
      <c r="E1407" s="79">
        <v>60035.490000000013</v>
      </c>
      <c r="F1407" s="79">
        <v>60035.49</v>
      </c>
      <c r="G1407" s="445"/>
      <c r="H1407" s="178">
        <v>60035.48</v>
      </c>
      <c r="I1407" s="178">
        <v>73843.64</v>
      </c>
      <c r="J1407" s="70">
        <v>-13808.149999999987</v>
      </c>
      <c r="K1407" s="320"/>
      <c r="L1407" s="178">
        <v>6215.91</v>
      </c>
      <c r="M1407" s="178">
        <v>53819.580000000016</v>
      </c>
      <c r="N1407" s="179">
        <v>0</v>
      </c>
      <c r="O1407" s="178">
        <v>60035.49000000002</v>
      </c>
      <c r="P1407" s="453"/>
      <c r="Q1407" s="61"/>
      <c r="R1407" s="298"/>
      <c r="S1407" s="669"/>
      <c r="X1407" s="444">
        <v>1407</v>
      </c>
    </row>
    <row r="1408" spans="1:32" ht="12">
      <c r="A1408" s="83" t="s">
        <v>20708</v>
      </c>
      <c r="B1408" s="64" t="s">
        <v>20709</v>
      </c>
      <c r="C1408" s="71" t="s">
        <v>103</v>
      </c>
      <c r="D1408" s="79">
        <v>1</v>
      </c>
      <c r="E1408" s="79">
        <v>65557.02</v>
      </c>
      <c r="F1408" s="79">
        <v>65557.02</v>
      </c>
      <c r="G1408" s="445"/>
      <c r="H1408" s="178">
        <v>65557.02</v>
      </c>
      <c r="I1408" s="178">
        <v>80635.13</v>
      </c>
      <c r="J1408" s="70">
        <v>-15078.11</v>
      </c>
      <c r="K1408" s="320"/>
      <c r="L1408" s="178">
        <v>6215.91</v>
      </c>
      <c r="M1408" s="178">
        <v>59341.11</v>
      </c>
      <c r="N1408" s="179">
        <v>0</v>
      </c>
      <c r="O1408" s="178">
        <v>65557.02</v>
      </c>
      <c r="P1408" s="453"/>
      <c r="Q1408" s="61"/>
      <c r="R1408" s="298"/>
      <c r="S1408" s="669"/>
      <c r="X1408" s="444">
        <v>1408</v>
      </c>
    </row>
    <row r="1409" spans="1:32" ht="12">
      <c r="A1409" s="83" t="s">
        <v>20710</v>
      </c>
      <c r="B1409" s="64" t="s">
        <v>20711</v>
      </c>
      <c r="C1409" s="71" t="s">
        <v>103</v>
      </c>
      <c r="D1409" s="79">
        <v>1</v>
      </c>
      <c r="E1409" s="79">
        <v>80741.129999999932</v>
      </c>
      <c r="F1409" s="79">
        <v>80741.13</v>
      </c>
      <c r="G1409" s="445"/>
      <c r="H1409" s="178">
        <v>80741.119999999995</v>
      </c>
      <c r="I1409" s="178">
        <v>99311.58</v>
      </c>
      <c r="J1409" s="70">
        <v>-18570.45000000007</v>
      </c>
      <c r="K1409" s="320"/>
      <c r="L1409" s="178">
        <v>6215.91</v>
      </c>
      <c r="M1409" s="178">
        <v>74525.219999999928</v>
      </c>
      <c r="N1409" s="179">
        <v>0</v>
      </c>
      <c r="O1409" s="178">
        <v>80741.129999999932</v>
      </c>
      <c r="P1409" s="453"/>
      <c r="Q1409" s="61"/>
      <c r="R1409" s="298"/>
      <c r="S1409" s="669"/>
      <c r="X1409" s="444">
        <v>1409</v>
      </c>
    </row>
    <row r="1410" spans="1:32" ht="12">
      <c r="A1410" s="83" t="s">
        <v>20712</v>
      </c>
      <c r="B1410" s="64" t="s">
        <v>20713</v>
      </c>
      <c r="C1410" s="71" t="s">
        <v>103</v>
      </c>
      <c r="D1410" s="79">
        <v>1</v>
      </c>
      <c r="E1410" s="79">
        <v>89758.219999999928</v>
      </c>
      <c r="F1410" s="79">
        <v>89758.22</v>
      </c>
      <c r="G1410" s="445"/>
      <c r="H1410" s="178">
        <v>89758.22</v>
      </c>
      <c r="I1410" s="178">
        <v>110402.61</v>
      </c>
      <c r="J1410" s="70">
        <v>-20644.390000000072</v>
      </c>
      <c r="K1410" s="320"/>
      <c r="L1410" s="178">
        <v>6215.91</v>
      </c>
      <c r="M1410" s="178">
        <v>83542.309999999925</v>
      </c>
      <c r="N1410" s="179">
        <v>0</v>
      </c>
      <c r="O1410" s="178">
        <v>89758.219999999928</v>
      </c>
      <c r="P1410" s="453"/>
      <c r="Q1410" s="61"/>
      <c r="R1410" s="298"/>
      <c r="S1410" s="669"/>
      <c r="X1410" s="444">
        <v>1410</v>
      </c>
    </row>
    <row r="1411" spans="1:32" ht="12">
      <c r="A1411" s="83" t="s">
        <v>20714</v>
      </c>
      <c r="B1411" s="64" t="s">
        <v>39725</v>
      </c>
      <c r="C1411" s="71" t="s">
        <v>103</v>
      </c>
      <c r="D1411" s="79">
        <v>1</v>
      </c>
      <c r="E1411" s="79">
        <v>57518.310000000005</v>
      </c>
      <c r="F1411" s="79">
        <v>57518.31</v>
      </c>
      <c r="G1411" s="445"/>
      <c r="H1411" s="178">
        <v>57518.28</v>
      </c>
      <c r="I1411" s="178">
        <v>70747.48</v>
      </c>
      <c r="J1411" s="70">
        <v>-13229.169999999991</v>
      </c>
      <c r="K1411" s="320"/>
      <c r="L1411" s="178">
        <v>6154.46</v>
      </c>
      <c r="M1411" s="178">
        <v>51363.850000000006</v>
      </c>
      <c r="N1411" s="179">
        <v>0</v>
      </c>
      <c r="O1411" s="178">
        <v>57518.310000000005</v>
      </c>
      <c r="P1411" s="453"/>
      <c r="Q1411" s="61"/>
      <c r="R1411" s="298"/>
      <c r="S1411" s="669"/>
      <c r="X1411" s="444">
        <v>1411</v>
      </c>
    </row>
    <row r="1412" spans="1:32" ht="12">
      <c r="A1412" s="83" t="s">
        <v>20715</v>
      </c>
      <c r="B1412" s="64" t="s">
        <v>39726</v>
      </c>
      <c r="C1412" s="71" t="s">
        <v>103</v>
      </c>
      <c r="D1412" s="79">
        <v>1</v>
      </c>
      <c r="E1412" s="79">
        <v>64501.55</v>
      </c>
      <c r="F1412" s="79">
        <v>64501.55</v>
      </c>
      <c r="G1412" s="445"/>
      <c r="H1412" s="178">
        <v>64501.52</v>
      </c>
      <c r="I1412" s="178">
        <v>79336.87</v>
      </c>
      <c r="J1412" s="70">
        <v>-14835.319999999992</v>
      </c>
      <c r="K1412" s="320"/>
      <c r="L1412" s="178">
        <v>6154.46</v>
      </c>
      <c r="M1412" s="178">
        <v>58347.090000000004</v>
      </c>
      <c r="N1412" s="179">
        <v>0</v>
      </c>
      <c r="O1412" s="178">
        <v>64501.55</v>
      </c>
      <c r="P1412" s="453"/>
      <c r="Q1412" s="61"/>
      <c r="R1412" s="298"/>
      <c r="S1412" s="669"/>
      <c r="X1412" s="444">
        <v>1412</v>
      </c>
    </row>
    <row r="1413" spans="1:32" ht="12">
      <c r="A1413" s="83" t="s">
        <v>20716</v>
      </c>
      <c r="B1413" s="64" t="s">
        <v>39727</v>
      </c>
      <c r="C1413" s="71" t="s">
        <v>103</v>
      </c>
      <c r="D1413" s="79">
        <v>1</v>
      </c>
      <c r="E1413" s="79">
        <v>80512.459999999934</v>
      </c>
      <c r="F1413" s="79">
        <v>80512.460000000006</v>
      </c>
      <c r="G1413" s="445"/>
      <c r="H1413" s="178">
        <v>80512.42</v>
      </c>
      <c r="I1413" s="178">
        <v>99030.28</v>
      </c>
      <c r="J1413" s="70">
        <v>-18517.820000000065</v>
      </c>
      <c r="K1413" s="320"/>
      <c r="L1413" s="178">
        <v>6154.46</v>
      </c>
      <c r="M1413" s="178">
        <v>74357.999999999927</v>
      </c>
      <c r="N1413" s="179">
        <v>0</v>
      </c>
      <c r="O1413" s="178">
        <v>80512.459999999934</v>
      </c>
      <c r="P1413" s="453"/>
      <c r="Q1413" s="61"/>
      <c r="R1413" s="298"/>
      <c r="S1413" s="669"/>
      <c r="X1413" s="444">
        <v>1413</v>
      </c>
    </row>
    <row r="1414" spans="1:32" s="69" customFormat="1" ht="12">
      <c r="A1414" s="83" t="s">
        <v>20717</v>
      </c>
      <c r="B1414" s="64" t="s">
        <v>39728</v>
      </c>
      <c r="C1414" s="71" t="s">
        <v>103</v>
      </c>
      <c r="D1414" s="79">
        <v>1</v>
      </c>
      <c r="E1414" s="79">
        <v>89529.54999999993</v>
      </c>
      <c r="F1414" s="79">
        <v>89529.55</v>
      </c>
      <c r="G1414" s="445"/>
      <c r="H1414" s="178">
        <v>89529.52</v>
      </c>
      <c r="I1414" s="178">
        <v>110121.31</v>
      </c>
      <c r="J1414" s="70">
        <v>-20591.760000000068</v>
      </c>
      <c r="K1414" s="320"/>
      <c r="L1414" s="178">
        <v>6154.46</v>
      </c>
      <c r="M1414" s="178">
        <v>83375.089999999924</v>
      </c>
      <c r="N1414" s="179">
        <v>0</v>
      </c>
      <c r="O1414" s="178">
        <v>89529.54999999993</v>
      </c>
      <c r="P1414" s="453"/>
      <c r="Q1414" s="61"/>
      <c r="R1414" s="298"/>
      <c r="S1414" s="669"/>
      <c r="T1414" s="444"/>
      <c r="U1414" s="444"/>
      <c r="V1414" s="444"/>
      <c r="W1414" s="444"/>
      <c r="X1414" s="444">
        <v>1414</v>
      </c>
      <c r="Y1414" s="444"/>
      <c r="Z1414" s="444"/>
      <c r="AA1414" s="444"/>
      <c r="AB1414" s="444"/>
      <c r="AC1414" s="444"/>
      <c r="AD1414" s="444"/>
      <c r="AE1414" s="444"/>
      <c r="AF1414" s="444"/>
    </row>
    <row r="1415" spans="1:32" s="69" customFormat="1" ht="24">
      <c r="A1415" s="83" t="s">
        <v>20718</v>
      </c>
      <c r="B1415" s="64" t="s">
        <v>39729</v>
      </c>
      <c r="C1415" s="71" t="s">
        <v>103</v>
      </c>
      <c r="D1415" s="79">
        <v>1</v>
      </c>
      <c r="E1415" s="79">
        <v>60197.810000000005</v>
      </c>
      <c r="F1415" s="79">
        <v>60197.81</v>
      </c>
      <c r="G1415" s="445"/>
      <c r="H1415" s="178">
        <v>60197.81</v>
      </c>
      <c r="I1415" s="178">
        <v>74043.31</v>
      </c>
      <c r="J1415" s="70">
        <v>-13845.499999999993</v>
      </c>
      <c r="K1415" s="320"/>
      <c r="L1415" s="178">
        <v>6209.87</v>
      </c>
      <c r="M1415" s="178">
        <v>53987.94</v>
      </c>
      <c r="N1415" s="179">
        <v>0</v>
      </c>
      <c r="O1415" s="178">
        <v>60197.810000000005</v>
      </c>
      <c r="P1415" s="453"/>
      <c r="Q1415" s="61"/>
      <c r="R1415" s="298"/>
      <c r="S1415" s="669"/>
      <c r="T1415" s="444"/>
      <c r="U1415" s="444"/>
      <c r="V1415" s="444"/>
      <c r="W1415" s="444"/>
      <c r="X1415" s="444">
        <v>1415</v>
      </c>
      <c r="Y1415" s="444"/>
      <c r="Z1415" s="444"/>
      <c r="AA1415" s="444"/>
      <c r="AB1415" s="444"/>
      <c r="AC1415" s="444"/>
      <c r="AD1415" s="444"/>
      <c r="AE1415" s="444"/>
      <c r="AF1415" s="444"/>
    </row>
    <row r="1416" spans="1:32" ht="24">
      <c r="A1416" s="83" t="s">
        <v>20719</v>
      </c>
      <c r="B1416" s="64" t="s">
        <v>39730</v>
      </c>
      <c r="C1416" s="71" t="s">
        <v>103</v>
      </c>
      <c r="D1416" s="79">
        <v>1</v>
      </c>
      <c r="E1416" s="79">
        <v>65830.510000000009</v>
      </c>
      <c r="F1416" s="79">
        <v>65830.509999999995</v>
      </c>
      <c r="G1416" s="445"/>
      <c r="H1416" s="178">
        <v>65830.509999999995</v>
      </c>
      <c r="I1416" s="178">
        <v>80971.53</v>
      </c>
      <c r="J1416" s="70">
        <v>-15141.01999999999</v>
      </c>
      <c r="K1416" s="320"/>
      <c r="L1416" s="178">
        <v>6209.87</v>
      </c>
      <c r="M1416" s="178">
        <v>59620.640000000007</v>
      </c>
      <c r="N1416" s="179">
        <v>0</v>
      </c>
      <c r="O1416" s="178">
        <v>65830.510000000009</v>
      </c>
      <c r="P1416" s="453"/>
      <c r="Q1416" s="61"/>
      <c r="R1416" s="298"/>
      <c r="S1416" s="669"/>
      <c r="X1416" s="444">
        <v>1416</v>
      </c>
    </row>
    <row r="1417" spans="1:32" ht="24">
      <c r="A1417" s="83" t="s">
        <v>20720</v>
      </c>
      <c r="B1417" s="64" t="s">
        <v>39731</v>
      </c>
      <c r="C1417" s="71" t="s">
        <v>103</v>
      </c>
      <c r="D1417" s="79">
        <v>1</v>
      </c>
      <c r="E1417" s="79">
        <v>81051.42999999992</v>
      </c>
      <c r="F1417" s="79">
        <v>81051.429999999993</v>
      </c>
      <c r="G1417" s="445"/>
      <c r="H1417" s="178">
        <v>81051.429999999993</v>
      </c>
      <c r="I1417" s="178">
        <v>99693.26</v>
      </c>
      <c r="J1417" s="70">
        <v>-18641.830000000075</v>
      </c>
      <c r="K1417" s="320"/>
      <c r="L1417" s="178">
        <v>6209.87</v>
      </c>
      <c r="M1417" s="178">
        <v>74841.559999999925</v>
      </c>
      <c r="N1417" s="179">
        <v>0</v>
      </c>
      <c r="O1417" s="178">
        <v>81051.42999999992</v>
      </c>
      <c r="P1417" s="453"/>
      <c r="Q1417" s="61"/>
      <c r="R1417" s="298"/>
      <c r="S1417" s="669"/>
      <c r="X1417" s="444">
        <v>1417</v>
      </c>
    </row>
    <row r="1418" spans="1:32" ht="24">
      <c r="A1418" s="83" t="s">
        <v>20721</v>
      </c>
      <c r="B1418" s="64" t="s">
        <v>39732</v>
      </c>
      <c r="C1418" s="71" t="s">
        <v>103</v>
      </c>
      <c r="D1418" s="79">
        <v>1</v>
      </c>
      <c r="E1418" s="79">
        <v>90068.519999999931</v>
      </c>
      <c r="F1418" s="79">
        <v>90068.52</v>
      </c>
      <c r="G1418" s="445"/>
      <c r="H1418" s="178">
        <v>90068.53</v>
      </c>
      <c r="I1418" s="178">
        <v>110784.29</v>
      </c>
      <c r="J1418" s="70">
        <v>-20715.770000000062</v>
      </c>
      <c r="K1418" s="320"/>
      <c r="L1418" s="178">
        <v>6209.87</v>
      </c>
      <c r="M1418" s="178">
        <v>83858.649999999936</v>
      </c>
      <c r="N1418" s="179">
        <v>0</v>
      </c>
      <c r="O1418" s="178">
        <v>90068.519999999931</v>
      </c>
      <c r="P1418" s="453"/>
      <c r="Q1418" s="61"/>
      <c r="R1418" s="298"/>
      <c r="S1418" s="669"/>
      <c r="X1418" s="444">
        <v>1418</v>
      </c>
    </row>
    <row r="1419" spans="1:32" ht="24">
      <c r="A1419" s="459" t="s">
        <v>20722</v>
      </c>
      <c r="B1419" s="65" t="s">
        <v>39733</v>
      </c>
      <c r="C1419" s="71" t="s">
        <v>103</v>
      </c>
      <c r="D1419" s="79">
        <v>1</v>
      </c>
      <c r="E1419" s="79">
        <v>43871.47</v>
      </c>
      <c r="F1419" s="79">
        <v>43871.47</v>
      </c>
      <c r="G1419" s="445"/>
      <c r="H1419" s="178">
        <v>43871.47</v>
      </c>
      <c r="I1419" s="178">
        <v>53961.91</v>
      </c>
      <c r="J1419" s="70">
        <v>-10090.440000000002</v>
      </c>
      <c r="K1419" s="320"/>
      <c r="L1419" s="178">
        <v>791.65000000000009</v>
      </c>
      <c r="M1419" s="178">
        <v>43079.82</v>
      </c>
      <c r="N1419" s="179">
        <v>0</v>
      </c>
      <c r="O1419" s="178">
        <v>43871.47</v>
      </c>
      <c r="P1419" s="453"/>
      <c r="Q1419" s="61"/>
      <c r="R1419" s="298"/>
      <c r="S1419" s="669"/>
      <c r="X1419" s="444">
        <v>1419</v>
      </c>
    </row>
    <row r="1420" spans="1:32" ht="24">
      <c r="A1420" s="459" t="s">
        <v>20723</v>
      </c>
      <c r="B1420" s="65" t="s">
        <v>8405</v>
      </c>
      <c r="C1420" s="71" t="s">
        <v>103</v>
      </c>
      <c r="D1420" s="79">
        <v>1</v>
      </c>
      <c r="E1420" s="79">
        <v>49433.07</v>
      </c>
      <c r="F1420" s="79">
        <v>49433.07</v>
      </c>
      <c r="G1420" s="445"/>
      <c r="H1420" s="178">
        <v>49433.07</v>
      </c>
      <c r="I1420" s="178">
        <v>60802.67</v>
      </c>
      <c r="J1420" s="70">
        <v>-11369.599999999999</v>
      </c>
      <c r="K1420" s="320"/>
      <c r="L1420" s="178">
        <v>791.65000000000009</v>
      </c>
      <c r="M1420" s="178">
        <v>48641.42</v>
      </c>
      <c r="N1420" s="179">
        <v>0</v>
      </c>
      <c r="O1420" s="178">
        <v>49433.07</v>
      </c>
      <c r="P1420" s="453"/>
      <c r="Q1420" s="61"/>
      <c r="R1420" s="298"/>
      <c r="S1420" s="669"/>
      <c r="X1420" s="444">
        <v>1420</v>
      </c>
    </row>
    <row r="1421" spans="1:32" ht="24">
      <c r="A1421" s="459" t="s">
        <v>20724</v>
      </c>
      <c r="B1421" s="65" t="s">
        <v>39734</v>
      </c>
      <c r="C1421" s="71" t="s">
        <v>103</v>
      </c>
      <c r="D1421" s="79">
        <v>1</v>
      </c>
      <c r="E1421" s="79">
        <v>55722.11</v>
      </c>
      <c r="F1421" s="79">
        <v>55722.11</v>
      </c>
      <c r="G1421" s="445"/>
      <c r="H1421" s="178">
        <v>55722.1</v>
      </c>
      <c r="I1421" s="178">
        <v>68538.179999999993</v>
      </c>
      <c r="J1421" s="70">
        <v>-12816.069999999992</v>
      </c>
      <c r="K1421" s="320"/>
      <c r="L1421" s="178">
        <v>989.57</v>
      </c>
      <c r="M1421" s="178">
        <v>54732.54</v>
      </c>
      <c r="N1421" s="179">
        <v>0</v>
      </c>
      <c r="O1421" s="178">
        <v>55722.11</v>
      </c>
      <c r="P1421" s="453"/>
      <c r="Q1421" s="61"/>
      <c r="R1421" s="298"/>
      <c r="S1421" s="669"/>
      <c r="X1421" s="444">
        <v>1421</v>
      </c>
    </row>
    <row r="1422" spans="1:32" ht="24">
      <c r="A1422" s="459" t="s">
        <v>20725</v>
      </c>
      <c r="B1422" s="65" t="s">
        <v>8409</v>
      </c>
      <c r="C1422" s="71" t="s">
        <v>103</v>
      </c>
      <c r="D1422" s="79">
        <v>1</v>
      </c>
      <c r="E1422" s="79">
        <v>63007.53</v>
      </c>
      <c r="F1422" s="79">
        <v>63007.53</v>
      </c>
      <c r="G1422" s="445"/>
      <c r="H1422" s="178">
        <v>63007.519999999997</v>
      </c>
      <c r="I1422" s="178">
        <v>77499.25</v>
      </c>
      <c r="J1422" s="70">
        <v>-14491.720000000001</v>
      </c>
      <c r="K1422" s="320"/>
      <c r="L1422" s="178">
        <v>989.57</v>
      </c>
      <c r="M1422" s="178">
        <v>62017.96</v>
      </c>
      <c r="N1422" s="179">
        <v>0</v>
      </c>
      <c r="O1422" s="178">
        <v>63007.53</v>
      </c>
      <c r="P1422" s="453"/>
      <c r="Q1422" s="61"/>
      <c r="R1422" s="298"/>
      <c r="S1422" s="669"/>
      <c r="X1422" s="444">
        <v>1422</v>
      </c>
    </row>
    <row r="1423" spans="1:32" ht="36">
      <c r="A1423" s="459" t="s">
        <v>20726</v>
      </c>
      <c r="B1423" s="65" t="s">
        <v>39735</v>
      </c>
      <c r="C1423" s="71" t="s">
        <v>103</v>
      </c>
      <c r="D1423" s="79">
        <v>1</v>
      </c>
      <c r="E1423" s="79">
        <v>66142.39</v>
      </c>
      <c r="F1423" s="79">
        <v>66142.39</v>
      </c>
      <c r="G1423" s="445"/>
      <c r="H1423" s="178">
        <v>66142.39</v>
      </c>
      <c r="I1423" s="178">
        <v>81355.14</v>
      </c>
      <c r="J1423" s="70">
        <v>-15212.75</v>
      </c>
      <c r="K1423" s="320"/>
      <c r="L1423" s="178">
        <v>791.65000000000009</v>
      </c>
      <c r="M1423" s="178">
        <v>65350.74</v>
      </c>
      <c r="N1423" s="179">
        <v>0</v>
      </c>
      <c r="O1423" s="178">
        <v>66142.39</v>
      </c>
      <c r="P1423" s="453"/>
      <c r="Q1423" s="61"/>
      <c r="R1423" s="298"/>
      <c r="S1423" s="669"/>
      <c r="X1423" s="444">
        <v>1423</v>
      </c>
    </row>
    <row r="1424" spans="1:32">
      <c r="A1424" s="67" t="s">
        <v>20727</v>
      </c>
      <c r="B1424" s="67" t="s">
        <v>39736</v>
      </c>
      <c r="C1424" s="71" t="s">
        <v>103</v>
      </c>
      <c r="D1424" s="79">
        <v>1</v>
      </c>
      <c r="E1424" s="79">
        <v>159363.67000000004</v>
      </c>
      <c r="F1424" s="79">
        <v>159363.67000000001</v>
      </c>
      <c r="G1424" s="69"/>
      <c r="H1424" s="178">
        <v>159363.67000000001</v>
      </c>
      <c r="I1424" s="752">
        <v>196017.32</v>
      </c>
      <c r="J1424" s="70">
        <v>-36653.649999999965</v>
      </c>
      <c r="K1424" s="320"/>
      <c r="L1424" s="178">
        <v>3112.8199999999997</v>
      </c>
      <c r="M1424" s="178">
        <v>156250.85000000003</v>
      </c>
      <c r="N1424" s="179">
        <v>0</v>
      </c>
      <c r="O1424" s="178">
        <v>159363.67000000004</v>
      </c>
      <c r="Q1424" s="61"/>
      <c r="R1424" s="298"/>
      <c r="S1424" s="669"/>
      <c r="X1424" s="444">
        <v>1424</v>
      </c>
    </row>
    <row r="1425" spans="1:24">
      <c r="A1425" s="67" t="s">
        <v>20728</v>
      </c>
      <c r="B1425" s="67" t="s">
        <v>39737</v>
      </c>
      <c r="C1425" s="71" t="s">
        <v>103</v>
      </c>
      <c r="D1425" s="79">
        <v>1</v>
      </c>
      <c r="E1425" s="79">
        <v>164925.27000000005</v>
      </c>
      <c r="F1425" s="79">
        <v>164925.26999999999</v>
      </c>
      <c r="G1425" s="69"/>
      <c r="H1425" s="178">
        <v>164925.26999999999</v>
      </c>
      <c r="I1425" s="752">
        <v>202858.08</v>
      </c>
      <c r="J1425" s="70">
        <v>-37932.809999999939</v>
      </c>
      <c r="K1425" s="320"/>
      <c r="L1425" s="178">
        <v>3112.8199999999997</v>
      </c>
      <c r="M1425" s="178">
        <v>161812.45000000004</v>
      </c>
      <c r="N1425" s="179">
        <v>0</v>
      </c>
      <c r="O1425" s="178">
        <v>164925.27000000005</v>
      </c>
      <c r="Q1425" s="61"/>
      <c r="R1425" s="298"/>
      <c r="S1425" s="669"/>
      <c r="X1425" s="444">
        <v>1425</v>
      </c>
    </row>
    <row r="1426" spans="1:24">
      <c r="A1426" s="67" t="s">
        <v>20729</v>
      </c>
      <c r="B1426" s="67" t="s">
        <v>39738</v>
      </c>
      <c r="C1426" s="71" t="s">
        <v>103</v>
      </c>
      <c r="D1426" s="79">
        <v>1</v>
      </c>
      <c r="E1426" s="79">
        <v>171016.39000000004</v>
      </c>
      <c r="F1426" s="79">
        <v>171016.39</v>
      </c>
      <c r="G1426" s="69"/>
      <c r="H1426" s="178">
        <v>171016.39</v>
      </c>
      <c r="I1426" s="752">
        <v>210350.16</v>
      </c>
      <c r="J1426" s="70">
        <v>-39333.76999999996</v>
      </c>
      <c r="K1426" s="320"/>
      <c r="L1426" s="178">
        <v>3112.8199999999997</v>
      </c>
      <c r="M1426" s="178">
        <v>167903.57000000004</v>
      </c>
      <c r="N1426" s="179">
        <v>0</v>
      </c>
      <c r="O1426" s="178">
        <v>171016.39000000004</v>
      </c>
      <c r="Q1426" s="61"/>
      <c r="R1426" s="298"/>
      <c r="S1426" s="669"/>
      <c r="X1426" s="444">
        <v>1426</v>
      </c>
    </row>
    <row r="1427" spans="1:24">
      <c r="A1427" s="67" t="s">
        <v>20730</v>
      </c>
      <c r="B1427" s="67" t="s">
        <v>39739</v>
      </c>
      <c r="C1427" s="71" t="s">
        <v>103</v>
      </c>
      <c r="D1427" s="79">
        <v>1</v>
      </c>
      <c r="E1427" s="79">
        <v>178301.81000000003</v>
      </c>
      <c r="F1427" s="79">
        <v>178301.81</v>
      </c>
      <c r="G1427" s="69"/>
      <c r="H1427" s="178">
        <v>178301.81</v>
      </c>
      <c r="I1427" s="752">
        <v>219311.23</v>
      </c>
      <c r="J1427" s="70">
        <v>-41009.419999999984</v>
      </c>
      <c r="K1427" s="320"/>
      <c r="L1427" s="178">
        <v>3112.8199999999997</v>
      </c>
      <c r="M1427" s="178">
        <v>175188.99000000002</v>
      </c>
      <c r="N1427" s="179">
        <v>0</v>
      </c>
      <c r="O1427" s="178">
        <v>178301.81000000003</v>
      </c>
      <c r="Q1427" s="61"/>
      <c r="R1427" s="298"/>
      <c r="S1427" s="669"/>
      <c r="X1427" s="444">
        <v>1427</v>
      </c>
    </row>
    <row r="1428" spans="1:24" ht="24">
      <c r="A1428" s="65" t="s">
        <v>41723</v>
      </c>
      <c r="B1428" s="761" t="s">
        <v>41724</v>
      </c>
      <c r="C1428" s="108" t="s">
        <v>41718</v>
      </c>
      <c r="D1428" s="458">
        <v>1</v>
      </c>
      <c r="E1428" s="79">
        <v>51382.94</v>
      </c>
      <c r="F1428" s="79">
        <v>51382.94</v>
      </c>
      <c r="H1428" s="753">
        <v>51382.94</v>
      </c>
      <c r="I1428" s="178">
        <v>63201.02</v>
      </c>
      <c r="J1428" s="753">
        <v>-11818.079999999994</v>
      </c>
      <c r="K1428" s="754"/>
      <c r="L1428" s="178">
        <v>6209.87</v>
      </c>
      <c r="M1428" s="753">
        <v>45173.07</v>
      </c>
      <c r="N1428" s="179">
        <v>0</v>
      </c>
      <c r="O1428" s="753">
        <v>51382.94</v>
      </c>
      <c r="S1428" s="669"/>
      <c r="X1428" s="444">
        <v>1428</v>
      </c>
    </row>
    <row r="1429" spans="1:24" ht="24">
      <c r="A1429" s="65" t="s">
        <v>41725</v>
      </c>
      <c r="B1429" s="65" t="s">
        <v>41726</v>
      </c>
      <c r="C1429" s="108" t="s">
        <v>41718</v>
      </c>
      <c r="D1429" s="458">
        <v>1</v>
      </c>
      <c r="E1429" s="79">
        <v>57908.849999999991</v>
      </c>
      <c r="F1429" s="79">
        <v>57908.85</v>
      </c>
      <c r="H1429" s="753">
        <v>57908.85</v>
      </c>
      <c r="I1429" s="178">
        <v>71227.88</v>
      </c>
      <c r="J1429" s="753">
        <v>-13319.030000000013</v>
      </c>
      <c r="K1429" s="754"/>
      <c r="L1429" s="178">
        <v>6209.87</v>
      </c>
      <c r="M1429" s="753">
        <v>51698.979999999989</v>
      </c>
      <c r="N1429" s="179">
        <v>0</v>
      </c>
      <c r="O1429" s="753">
        <v>57908.849999999991</v>
      </c>
      <c r="S1429" s="669"/>
      <c r="X1429" s="444">
        <v>1429</v>
      </c>
    </row>
    <row r="1430" spans="1:24" ht="24">
      <c r="A1430" s="65" t="s">
        <v>41727</v>
      </c>
      <c r="B1430" s="65" t="s">
        <v>41728</v>
      </c>
      <c r="C1430" s="108" t="s">
        <v>41718</v>
      </c>
      <c r="D1430" s="458">
        <v>1</v>
      </c>
      <c r="E1430" s="79">
        <v>73071.119999999952</v>
      </c>
      <c r="F1430" s="79">
        <v>73071.12</v>
      </c>
      <c r="H1430" s="753">
        <v>73071.12</v>
      </c>
      <c r="I1430" s="178">
        <v>89877.48</v>
      </c>
      <c r="J1430" s="753">
        <v>-16806.360000000044</v>
      </c>
      <c r="K1430" s="754"/>
      <c r="L1430" s="178">
        <v>6209.87</v>
      </c>
      <c r="M1430" s="753">
        <v>66861.249999999956</v>
      </c>
      <c r="N1430" s="179">
        <v>0</v>
      </c>
      <c r="O1430" s="753">
        <v>73071.119999999952</v>
      </c>
      <c r="S1430" s="669"/>
      <c r="X1430" s="444">
        <v>1430</v>
      </c>
    </row>
    <row r="1431" spans="1:24" ht="24">
      <c r="A1431" s="65" t="s">
        <v>41729</v>
      </c>
      <c r="B1431" s="761" t="s">
        <v>41730</v>
      </c>
      <c r="C1431" s="108" t="s">
        <v>41718</v>
      </c>
      <c r="D1431" s="458">
        <v>1</v>
      </c>
      <c r="E1431" s="79">
        <v>85630.629999999946</v>
      </c>
      <c r="F1431" s="79">
        <v>85630.63</v>
      </c>
      <c r="H1431" s="753">
        <v>85630.63</v>
      </c>
      <c r="I1431" s="178">
        <v>105325.67</v>
      </c>
      <c r="J1431" s="753">
        <v>-19695.040000000052</v>
      </c>
      <c r="K1431" s="754"/>
      <c r="L1431" s="178">
        <v>6209.87</v>
      </c>
      <c r="M1431" s="753">
        <v>79420.759999999951</v>
      </c>
      <c r="N1431" s="179">
        <v>0</v>
      </c>
      <c r="O1431" s="753">
        <v>85630.629999999946</v>
      </c>
      <c r="S1431" s="669"/>
      <c r="X1431" s="444">
        <v>1431</v>
      </c>
    </row>
    <row r="1432" spans="1:24">
      <c r="A1432" s="759" t="s">
        <v>44243</v>
      </c>
      <c r="B1432" s="762" t="s">
        <v>44244</v>
      </c>
      <c r="C1432" s="757" t="s">
        <v>103</v>
      </c>
      <c r="D1432" s="668">
        <v>1</v>
      </c>
      <c r="E1432" s="668">
        <v>55209.429999999993</v>
      </c>
      <c r="F1432" s="668">
        <v>55209.43</v>
      </c>
      <c r="H1432" s="178">
        <v>55209.41</v>
      </c>
      <c r="I1432" s="751">
        <v>67907.58</v>
      </c>
      <c r="J1432" s="70">
        <v>-12698.150000000009</v>
      </c>
      <c r="K1432" s="320"/>
      <c r="L1432" s="178">
        <v>5609.36</v>
      </c>
      <c r="M1432" s="178">
        <v>49600.069999999992</v>
      </c>
      <c r="N1432" s="179">
        <v>0</v>
      </c>
      <c r="O1432" s="758">
        <v>55209.429999999993</v>
      </c>
      <c r="P1432" s="453"/>
      <c r="Q1432" s="61"/>
      <c r="R1432" s="298"/>
      <c r="S1432" s="669"/>
      <c r="X1432" s="444">
        <v>1432</v>
      </c>
    </row>
    <row r="1433" spans="1:24">
      <c r="A1433" s="759" t="s">
        <v>44245</v>
      </c>
      <c r="B1433" s="762" t="s">
        <v>44246</v>
      </c>
      <c r="C1433" s="757" t="s">
        <v>103</v>
      </c>
      <c r="D1433" s="668">
        <v>1</v>
      </c>
      <c r="E1433" s="668">
        <v>62361.359999999986</v>
      </c>
      <c r="F1433" s="668">
        <v>62361.36</v>
      </c>
      <c r="H1433" s="178">
        <v>62361.34</v>
      </c>
      <c r="I1433" s="751">
        <v>76704.45</v>
      </c>
      <c r="J1433" s="70">
        <v>-14343.090000000011</v>
      </c>
      <c r="K1433" s="320"/>
      <c r="L1433" s="178">
        <v>5609.36</v>
      </c>
      <c r="M1433" s="178">
        <v>56751.999999999985</v>
      </c>
      <c r="N1433" s="179">
        <v>0</v>
      </c>
      <c r="O1433" s="758">
        <v>62361.359999999986</v>
      </c>
      <c r="P1433" s="453"/>
      <c r="Q1433" s="61"/>
      <c r="R1433" s="298"/>
      <c r="S1433" s="669"/>
      <c r="X1433" s="444">
        <v>1433</v>
      </c>
    </row>
    <row r="1434" spans="1:24">
      <c r="A1434" s="759" t="s">
        <v>44247</v>
      </c>
      <c r="B1434" s="762" t="s">
        <v>44248</v>
      </c>
      <c r="C1434" s="757" t="s">
        <v>103</v>
      </c>
      <c r="D1434" s="668">
        <v>1</v>
      </c>
      <c r="E1434" s="668">
        <v>80578.42999999992</v>
      </c>
      <c r="F1434" s="668">
        <v>80578.429999999993</v>
      </c>
      <c r="H1434" s="178">
        <v>80578.41</v>
      </c>
      <c r="I1434" s="751">
        <v>99111.45</v>
      </c>
      <c r="J1434" s="70">
        <v>-18533.020000000077</v>
      </c>
      <c r="K1434" s="320"/>
      <c r="L1434" s="178">
        <v>5609.36</v>
      </c>
      <c r="M1434" s="178">
        <v>74969.06999999992</v>
      </c>
      <c r="N1434" s="179">
        <v>0</v>
      </c>
      <c r="O1434" s="758">
        <v>80578.42999999992</v>
      </c>
      <c r="P1434" s="453"/>
      <c r="Q1434" s="61"/>
      <c r="R1434" s="298"/>
      <c r="S1434" s="669"/>
      <c r="X1434" s="444">
        <v>1434</v>
      </c>
    </row>
    <row r="1435" spans="1:24">
      <c r="A1435" s="759" t="s">
        <v>44249</v>
      </c>
      <c r="B1435" s="762" t="s">
        <v>44250</v>
      </c>
      <c r="C1435" s="757" t="s">
        <v>103</v>
      </c>
      <c r="D1435" s="668">
        <v>1</v>
      </c>
      <c r="E1435" s="668">
        <v>89248.159999999931</v>
      </c>
      <c r="F1435" s="668">
        <v>89248.16</v>
      </c>
      <c r="H1435" s="178">
        <v>89248.14</v>
      </c>
      <c r="I1435" s="751">
        <v>109775.21</v>
      </c>
      <c r="J1435" s="70">
        <v>-20527.050000000076</v>
      </c>
      <c r="K1435" s="320"/>
      <c r="L1435" s="178">
        <v>5609.36</v>
      </c>
      <c r="M1435" s="178">
        <v>83638.79999999993</v>
      </c>
      <c r="N1435" s="179">
        <v>0</v>
      </c>
      <c r="O1435" s="758">
        <v>89248.159999999931</v>
      </c>
      <c r="P1435" s="453"/>
      <c r="Q1435" s="61"/>
      <c r="R1435" s="298"/>
      <c r="S1435" s="669"/>
      <c r="X1435" s="444">
        <v>1435</v>
      </c>
    </row>
    <row r="1436" spans="1:24" ht="12">
      <c r="A1436" s="83" t="s">
        <v>20731</v>
      </c>
      <c r="B1436" s="64" t="s">
        <v>20732</v>
      </c>
      <c r="C1436" s="71" t="s">
        <v>10216</v>
      </c>
      <c r="D1436" s="79">
        <v>1</v>
      </c>
      <c r="E1436" s="79">
        <v>577.26</v>
      </c>
      <c r="F1436" s="79">
        <v>577.26</v>
      </c>
      <c r="G1436" s="445"/>
      <c r="H1436" s="178">
        <v>577.25</v>
      </c>
      <c r="I1436" s="178">
        <v>710.02</v>
      </c>
      <c r="J1436" s="70">
        <v>-132.76</v>
      </c>
      <c r="K1436" s="320"/>
      <c r="L1436" s="178"/>
      <c r="M1436" s="178">
        <v>577.26</v>
      </c>
      <c r="N1436" s="179">
        <v>0</v>
      </c>
      <c r="O1436" s="178">
        <v>577.26</v>
      </c>
      <c r="P1436" s="453"/>
      <c r="Q1436" s="61"/>
      <c r="R1436" s="298"/>
      <c r="S1436" s="669"/>
      <c r="X1436" s="444">
        <v>1436</v>
      </c>
    </row>
    <row r="1437" spans="1:24" ht="12">
      <c r="A1437" s="763" t="s">
        <v>41731</v>
      </c>
      <c r="B1437" s="763" t="s">
        <v>41732</v>
      </c>
      <c r="C1437" s="764" t="s">
        <v>41733</v>
      </c>
      <c r="D1437" s="458">
        <v>1</v>
      </c>
      <c r="E1437" s="79">
        <v>1554.1499999999999</v>
      </c>
      <c r="F1437" s="79">
        <v>1554.15</v>
      </c>
      <c r="H1437" s="753">
        <v>1554.15</v>
      </c>
      <c r="I1437" s="178">
        <v>1911.6</v>
      </c>
      <c r="J1437" s="753">
        <v>-357.45000000000005</v>
      </c>
      <c r="K1437" s="754"/>
      <c r="L1437" s="178">
        <v>61.559999999999995</v>
      </c>
      <c r="M1437" s="753">
        <v>1492.59</v>
      </c>
      <c r="N1437" s="179">
        <v>0</v>
      </c>
      <c r="O1437" s="753">
        <v>1554.1499999999999</v>
      </c>
      <c r="S1437" s="669"/>
      <c r="X1437" s="444">
        <v>1437</v>
      </c>
    </row>
    <row r="1438" spans="1:24" ht="12">
      <c r="A1438" s="68" t="s">
        <v>11642</v>
      </c>
      <c r="B1438" s="9" t="s">
        <v>39740</v>
      </c>
      <c r="D1438" s="79" t="s">
        <v>40899</v>
      </c>
      <c r="E1438" s="79" t="s">
        <v>40899</v>
      </c>
      <c r="F1438" s="79"/>
      <c r="G1438" s="445"/>
      <c r="H1438" s="178"/>
      <c r="I1438" s="178"/>
      <c r="J1438" s="70"/>
      <c r="K1438" s="320"/>
      <c r="L1438" s="178"/>
      <c r="M1438" s="178"/>
      <c r="N1438" s="179"/>
      <c r="O1438" s="178"/>
      <c r="P1438" s="453"/>
      <c r="Q1438" s="61"/>
      <c r="R1438" s="298"/>
      <c r="S1438" s="669"/>
      <c r="X1438" s="444">
        <v>1438</v>
      </c>
    </row>
    <row r="1439" spans="1:24" ht="12">
      <c r="A1439" s="68" t="s">
        <v>20733</v>
      </c>
      <c r="B1439" s="9" t="s">
        <v>20734</v>
      </c>
      <c r="C1439" s="72" t="s">
        <v>103</v>
      </c>
      <c r="D1439" s="79">
        <v>1</v>
      </c>
      <c r="E1439" s="79">
        <v>1917.87</v>
      </c>
      <c r="F1439" s="79">
        <v>1917.87</v>
      </c>
      <c r="G1439" s="445"/>
      <c r="H1439" s="178">
        <v>1917.85</v>
      </c>
      <c r="I1439" s="178">
        <v>2358.96</v>
      </c>
      <c r="J1439" s="70">
        <v>-441.09000000000015</v>
      </c>
      <c r="K1439" s="320"/>
      <c r="L1439" s="178">
        <v>190.83</v>
      </c>
      <c r="M1439" s="178">
        <v>1727.04</v>
      </c>
      <c r="N1439" s="179">
        <v>0</v>
      </c>
      <c r="O1439" s="178">
        <v>1917.87</v>
      </c>
      <c r="P1439" s="453"/>
      <c r="Q1439" s="61"/>
      <c r="R1439" s="298"/>
      <c r="S1439" s="669"/>
      <c r="X1439" s="444">
        <v>1439</v>
      </c>
    </row>
    <row r="1440" spans="1:24" ht="12">
      <c r="A1440" s="763" t="s">
        <v>41734</v>
      </c>
      <c r="B1440" s="763" t="s">
        <v>41735</v>
      </c>
      <c r="C1440" s="764" t="s">
        <v>41718</v>
      </c>
      <c r="D1440" s="458">
        <v>1</v>
      </c>
      <c r="E1440" s="79">
        <v>5581.4299999999976</v>
      </c>
      <c r="F1440" s="79">
        <v>5581.43</v>
      </c>
      <c r="H1440" s="753">
        <v>5581.41</v>
      </c>
      <c r="I1440" s="178">
        <v>6865.13</v>
      </c>
      <c r="J1440" s="753">
        <v>-1283.7000000000025</v>
      </c>
      <c r="K1440" s="754"/>
      <c r="L1440" s="178">
        <v>1647.53</v>
      </c>
      <c r="M1440" s="753">
        <v>3933.8999999999978</v>
      </c>
      <c r="N1440" s="179">
        <v>0</v>
      </c>
      <c r="O1440" s="753">
        <v>5581.4299999999976</v>
      </c>
      <c r="S1440" s="669"/>
      <c r="X1440" s="444">
        <v>1440</v>
      </c>
    </row>
    <row r="1441" spans="1:24" ht="12">
      <c r="A1441" s="665" t="s">
        <v>41736</v>
      </c>
      <c r="B1441" s="665" t="s">
        <v>41737</v>
      </c>
      <c r="C1441" s="666" t="s">
        <v>41718</v>
      </c>
      <c r="D1441" s="667">
        <v>1</v>
      </c>
      <c r="E1441" s="668">
        <v>10061.890000000001</v>
      </c>
      <c r="F1441" s="668">
        <v>10061.89</v>
      </c>
      <c r="H1441" s="753">
        <v>10061.89</v>
      </c>
      <c r="I1441" s="178">
        <v>12376.12</v>
      </c>
      <c r="J1441" s="753">
        <v>-2314.2299999999996</v>
      </c>
      <c r="K1441" s="754"/>
      <c r="L1441" s="178">
        <v>2033.1399999999999</v>
      </c>
      <c r="M1441" s="753">
        <v>8028.7500000000018</v>
      </c>
      <c r="N1441" s="179">
        <v>0</v>
      </c>
      <c r="O1441" s="765">
        <v>10061.890000000001</v>
      </c>
      <c r="S1441" s="669"/>
      <c r="X1441" s="444">
        <v>1441</v>
      </c>
    </row>
    <row r="1442" spans="1:24" ht="12">
      <c r="A1442" s="65" t="s">
        <v>41738</v>
      </c>
      <c r="B1442" s="65" t="s">
        <v>41739</v>
      </c>
      <c r="C1442" s="108" t="s">
        <v>41718</v>
      </c>
      <c r="D1442" s="458">
        <v>1</v>
      </c>
      <c r="E1442" s="79">
        <v>13031.340000000004</v>
      </c>
      <c r="F1442" s="79">
        <v>13031.34</v>
      </c>
      <c r="H1442" s="753">
        <v>13031.34</v>
      </c>
      <c r="I1442" s="178">
        <v>16028.55</v>
      </c>
      <c r="J1442" s="753">
        <v>-2997.2099999999955</v>
      </c>
      <c r="K1442" s="754"/>
      <c r="L1442" s="178">
        <v>2033.1399999999999</v>
      </c>
      <c r="M1442" s="753">
        <v>10998.200000000004</v>
      </c>
      <c r="N1442" s="179">
        <v>0</v>
      </c>
      <c r="O1442" s="753">
        <v>13031.340000000004</v>
      </c>
      <c r="S1442" s="669"/>
      <c r="X1442" s="444">
        <v>1442</v>
      </c>
    </row>
    <row r="1443" spans="1:24" ht="12">
      <c r="A1443" s="83" t="s">
        <v>20735</v>
      </c>
      <c r="B1443" s="64" t="s">
        <v>20736</v>
      </c>
      <c r="C1443" s="71" t="s">
        <v>103</v>
      </c>
      <c r="D1443" s="79">
        <v>1</v>
      </c>
      <c r="E1443" s="79">
        <v>147.97</v>
      </c>
      <c r="F1443" s="79">
        <v>147.97</v>
      </c>
      <c r="G1443" s="445"/>
      <c r="H1443" s="178">
        <v>147.97</v>
      </c>
      <c r="I1443" s="178">
        <v>182</v>
      </c>
      <c r="J1443" s="70">
        <v>-34.03</v>
      </c>
      <c r="K1443" s="320"/>
      <c r="L1443" s="178">
        <v>49.150000000000006</v>
      </c>
      <c r="M1443" s="178">
        <v>98.82</v>
      </c>
      <c r="N1443" s="179">
        <v>0</v>
      </c>
      <c r="O1443" s="178">
        <v>147.97</v>
      </c>
      <c r="P1443" s="453"/>
      <c r="Q1443" s="61"/>
      <c r="R1443" s="298"/>
      <c r="S1443" s="669"/>
      <c r="X1443" s="444">
        <v>1443</v>
      </c>
    </row>
    <row r="1444" spans="1:24" ht="12">
      <c r="A1444" s="755" t="s">
        <v>20737</v>
      </c>
      <c r="B1444" s="756" t="s">
        <v>20738</v>
      </c>
      <c r="C1444" s="757" t="s">
        <v>103</v>
      </c>
      <c r="D1444" s="668">
        <v>1</v>
      </c>
      <c r="E1444" s="668">
        <v>240.91</v>
      </c>
      <c r="F1444" s="668">
        <v>240.91</v>
      </c>
      <c r="G1444" s="445"/>
      <c r="H1444" s="178">
        <v>240.91</v>
      </c>
      <c r="I1444" s="178">
        <v>296.32</v>
      </c>
      <c r="J1444" s="70">
        <v>-55.41</v>
      </c>
      <c r="K1444" s="320"/>
      <c r="L1444" s="178">
        <v>49.150000000000006</v>
      </c>
      <c r="M1444" s="178">
        <v>191.76</v>
      </c>
      <c r="N1444" s="179">
        <v>0</v>
      </c>
      <c r="O1444" s="758">
        <v>240.91</v>
      </c>
      <c r="P1444" s="453"/>
      <c r="Q1444" s="61"/>
      <c r="R1444" s="298"/>
      <c r="S1444" s="669"/>
      <c r="X1444" s="444">
        <v>1444</v>
      </c>
    </row>
    <row r="1445" spans="1:24" ht="12">
      <c r="A1445" s="755" t="s">
        <v>20739</v>
      </c>
      <c r="B1445" s="756" t="s">
        <v>20740</v>
      </c>
      <c r="C1445" s="757" t="s">
        <v>103</v>
      </c>
      <c r="D1445" s="668">
        <v>1</v>
      </c>
      <c r="E1445" s="668">
        <v>2959.34</v>
      </c>
      <c r="F1445" s="668">
        <v>2959.34</v>
      </c>
      <c r="G1445" s="445"/>
      <c r="H1445" s="178">
        <v>2959.33</v>
      </c>
      <c r="I1445" s="178">
        <v>3639.97</v>
      </c>
      <c r="J1445" s="70">
        <v>-680.62999999999965</v>
      </c>
      <c r="K1445" s="320"/>
      <c r="L1445" s="178">
        <v>56.79</v>
      </c>
      <c r="M1445" s="178">
        <v>2902.55</v>
      </c>
      <c r="N1445" s="179">
        <v>0</v>
      </c>
      <c r="O1445" s="758">
        <v>2959.34</v>
      </c>
      <c r="P1445" s="453"/>
      <c r="Q1445" s="61"/>
      <c r="R1445" s="298"/>
      <c r="S1445" s="669"/>
      <c r="X1445" s="444">
        <v>1445</v>
      </c>
    </row>
    <row r="1446" spans="1:24" ht="12">
      <c r="A1446" s="755" t="s">
        <v>20741</v>
      </c>
      <c r="B1446" s="756" t="s">
        <v>20742</v>
      </c>
      <c r="C1446" s="757" t="s">
        <v>103</v>
      </c>
      <c r="D1446" s="668">
        <v>1</v>
      </c>
      <c r="E1446" s="668">
        <v>8101.1000000000013</v>
      </c>
      <c r="F1446" s="668">
        <v>8101.1</v>
      </c>
      <c r="G1446" s="445"/>
      <c r="H1446" s="178">
        <v>8101.08</v>
      </c>
      <c r="I1446" s="178">
        <v>9964.33</v>
      </c>
      <c r="J1446" s="70">
        <v>-1863.2299999999987</v>
      </c>
      <c r="K1446" s="320"/>
      <c r="L1446" s="178">
        <v>273.06</v>
      </c>
      <c r="M1446" s="178">
        <v>7828.0400000000009</v>
      </c>
      <c r="N1446" s="179">
        <v>0</v>
      </c>
      <c r="O1446" s="758">
        <v>8101.1000000000013</v>
      </c>
      <c r="P1446" s="453"/>
      <c r="Q1446" s="61"/>
      <c r="R1446" s="298"/>
      <c r="S1446" s="669"/>
      <c r="X1446" s="444">
        <v>1446</v>
      </c>
    </row>
    <row r="1447" spans="1:24" ht="12">
      <c r="A1447" s="83" t="s">
        <v>20743</v>
      </c>
      <c r="B1447" s="64" t="s">
        <v>20744</v>
      </c>
      <c r="C1447" s="71" t="s">
        <v>103</v>
      </c>
      <c r="D1447" s="79">
        <v>1</v>
      </c>
      <c r="E1447" s="79">
        <v>10126.189999999999</v>
      </c>
      <c r="F1447" s="79">
        <v>10126.19</v>
      </c>
      <c r="G1447" s="445"/>
      <c r="H1447" s="178">
        <v>10126.17</v>
      </c>
      <c r="I1447" s="178">
        <v>12455.19</v>
      </c>
      <c r="J1447" s="70">
        <v>-2329.0000000000018</v>
      </c>
      <c r="K1447" s="320"/>
      <c r="L1447" s="178">
        <v>273.06</v>
      </c>
      <c r="M1447" s="178">
        <v>9853.1299999999992</v>
      </c>
      <c r="N1447" s="179">
        <v>0</v>
      </c>
      <c r="O1447" s="178">
        <v>10126.189999999999</v>
      </c>
      <c r="P1447" s="453"/>
      <c r="Q1447" s="61"/>
      <c r="R1447" s="298"/>
      <c r="S1447" s="669"/>
      <c r="X1447" s="444">
        <v>1447</v>
      </c>
    </row>
    <row r="1448" spans="1:24" ht="24">
      <c r="A1448" s="83" t="s">
        <v>20745</v>
      </c>
      <c r="B1448" s="64" t="s">
        <v>39741</v>
      </c>
      <c r="C1448" s="71" t="s">
        <v>103</v>
      </c>
      <c r="D1448" s="79">
        <v>1</v>
      </c>
      <c r="E1448" s="79">
        <v>6078.1099999999988</v>
      </c>
      <c r="F1448" s="79">
        <v>6078.11</v>
      </c>
      <c r="G1448" s="445"/>
      <c r="H1448" s="178">
        <v>6078.09</v>
      </c>
      <c r="I1448" s="178">
        <v>7476.05</v>
      </c>
      <c r="J1448" s="70">
        <v>-1397.9400000000014</v>
      </c>
      <c r="K1448" s="320"/>
      <c r="L1448" s="178">
        <v>877.34</v>
      </c>
      <c r="M1448" s="178">
        <v>5200.7699999999986</v>
      </c>
      <c r="N1448" s="179">
        <v>0</v>
      </c>
      <c r="O1448" s="178">
        <v>6078.1099999999988</v>
      </c>
      <c r="P1448" s="453"/>
      <c r="Q1448" s="61"/>
      <c r="R1448" s="298"/>
      <c r="S1448" s="669"/>
      <c r="X1448" s="444">
        <v>1448</v>
      </c>
    </row>
    <row r="1449" spans="1:24" ht="24">
      <c r="A1449" s="83" t="s">
        <v>20746</v>
      </c>
      <c r="B1449" s="64" t="s">
        <v>39742</v>
      </c>
      <c r="C1449" s="71" t="s">
        <v>103</v>
      </c>
      <c r="D1449" s="79">
        <v>1</v>
      </c>
      <c r="E1449" s="79">
        <v>5656.1699999999992</v>
      </c>
      <c r="F1449" s="79">
        <v>5656.17</v>
      </c>
      <c r="G1449" s="445"/>
      <c r="H1449" s="178">
        <v>5656.18</v>
      </c>
      <c r="I1449" s="178">
        <v>6957.1</v>
      </c>
      <c r="J1449" s="70">
        <v>-1300.9300000000012</v>
      </c>
      <c r="K1449" s="320"/>
      <c r="L1449" s="178">
        <v>883.85000000000014</v>
      </c>
      <c r="M1449" s="178">
        <v>4772.3199999999988</v>
      </c>
      <c r="N1449" s="179">
        <v>0</v>
      </c>
      <c r="O1449" s="178">
        <v>5656.1699999999992</v>
      </c>
      <c r="P1449" s="453"/>
      <c r="Q1449" s="61"/>
      <c r="R1449" s="298"/>
      <c r="S1449" s="669"/>
      <c r="X1449" s="444">
        <v>1449</v>
      </c>
    </row>
    <row r="1450" spans="1:24" ht="24">
      <c r="A1450" s="83" t="s">
        <v>20747</v>
      </c>
      <c r="B1450" s="64" t="s">
        <v>20748</v>
      </c>
      <c r="C1450" s="71" t="s">
        <v>103</v>
      </c>
      <c r="D1450" s="79">
        <v>1</v>
      </c>
      <c r="E1450" s="79">
        <v>2864.9899999999989</v>
      </c>
      <c r="F1450" s="79">
        <v>2864.99</v>
      </c>
      <c r="G1450" s="445"/>
      <c r="H1450" s="178">
        <v>2865.01</v>
      </c>
      <c r="I1450" s="178">
        <v>3523.96</v>
      </c>
      <c r="J1450" s="70">
        <v>-658.97000000000116</v>
      </c>
      <c r="K1450" s="320"/>
      <c r="L1450" s="178">
        <v>1115.6399999999999</v>
      </c>
      <c r="M1450" s="178">
        <v>1749.349999999999</v>
      </c>
      <c r="N1450" s="179">
        <v>0</v>
      </c>
      <c r="O1450" s="178">
        <v>2864.9899999999989</v>
      </c>
      <c r="P1450" s="453"/>
      <c r="Q1450" s="61"/>
      <c r="R1450" s="298"/>
      <c r="S1450" s="669"/>
      <c r="X1450" s="444">
        <v>1450</v>
      </c>
    </row>
    <row r="1451" spans="1:24" ht="12">
      <c r="A1451" s="83" t="s">
        <v>11648</v>
      </c>
      <c r="B1451" s="64" t="s">
        <v>20749</v>
      </c>
      <c r="C1451" s="71" t="s">
        <v>103</v>
      </c>
      <c r="D1451" s="79">
        <v>1</v>
      </c>
      <c r="E1451" s="79">
        <v>3510.0499999999997</v>
      </c>
      <c r="F1451" s="79">
        <v>3510.05</v>
      </c>
      <c r="G1451" s="445"/>
      <c r="H1451" s="178">
        <v>3510.07</v>
      </c>
      <c r="I1451" s="178">
        <v>4317.38</v>
      </c>
      <c r="J1451" s="70">
        <v>-807.33000000000038</v>
      </c>
      <c r="K1451" s="320"/>
      <c r="L1451" s="178">
        <v>1251.3000000000002</v>
      </c>
      <c r="M1451" s="178">
        <v>2258.7499999999995</v>
      </c>
      <c r="N1451" s="179">
        <v>0</v>
      </c>
      <c r="O1451" s="178">
        <v>3510.0499999999997</v>
      </c>
      <c r="P1451" s="453"/>
      <c r="Q1451" s="61"/>
      <c r="R1451" s="298"/>
      <c r="S1451" s="669"/>
      <c r="X1451" s="444">
        <v>1451</v>
      </c>
    </row>
    <row r="1452" spans="1:24" ht="24">
      <c r="A1452" s="83" t="s">
        <v>20750</v>
      </c>
      <c r="B1452" s="64" t="s">
        <v>20751</v>
      </c>
      <c r="C1452" s="71" t="s">
        <v>103</v>
      </c>
      <c r="D1452" s="79">
        <v>1</v>
      </c>
      <c r="E1452" s="79">
        <v>7016.8499999999976</v>
      </c>
      <c r="F1452" s="79">
        <v>7016.85</v>
      </c>
      <c r="G1452" s="445"/>
      <c r="H1452" s="178">
        <v>7016.85</v>
      </c>
      <c r="I1452" s="178">
        <v>8630.7199999999993</v>
      </c>
      <c r="J1452" s="70">
        <v>-1613.8700000000017</v>
      </c>
      <c r="K1452" s="320"/>
      <c r="L1452" s="178">
        <v>1967.2799999999997</v>
      </c>
      <c r="M1452" s="178">
        <v>5049.5699999999979</v>
      </c>
      <c r="N1452" s="179">
        <v>0</v>
      </c>
      <c r="O1452" s="178">
        <v>7016.8499999999976</v>
      </c>
      <c r="P1452" s="453"/>
      <c r="Q1452" s="61"/>
      <c r="R1452" s="298"/>
      <c r="S1452" s="669"/>
      <c r="X1452" s="444">
        <v>1452</v>
      </c>
    </row>
    <row r="1453" spans="1:24" ht="12">
      <c r="A1453" s="83" t="s">
        <v>20752</v>
      </c>
      <c r="B1453" s="64" t="s">
        <v>20753</v>
      </c>
      <c r="C1453" s="71" t="s">
        <v>103</v>
      </c>
      <c r="D1453" s="79">
        <v>1</v>
      </c>
      <c r="E1453" s="79">
        <v>995.93000000000006</v>
      </c>
      <c r="F1453" s="79">
        <v>995.93</v>
      </c>
      <c r="G1453" s="445"/>
      <c r="H1453" s="178">
        <v>995.98</v>
      </c>
      <c r="I1453" s="178">
        <v>1225.06</v>
      </c>
      <c r="J1453" s="70">
        <v>-229.12999999999988</v>
      </c>
      <c r="K1453" s="320"/>
      <c r="L1453" s="178">
        <v>273.06</v>
      </c>
      <c r="M1453" s="178">
        <v>722.87000000000012</v>
      </c>
      <c r="N1453" s="179">
        <v>0</v>
      </c>
      <c r="O1453" s="178">
        <v>995.93000000000006</v>
      </c>
      <c r="P1453" s="453"/>
      <c r="Q1453" s="61"/>
      <c r="R1453" s="298"/>
      <c r="S1453" s="669"/>
      <c r="X1453" s="444">
        <v>1453</v>
      </c>
    </row>
    <row r="1454" spans="1:24" ht="12">
      <c r="A1454" s="83" t="s">
        <v>20754</v>
      </c>
      <c r="B1454" s="64" t="s">
        <v>20755</v>
      </c>
      <c r="C1454" s="71" t="s">
        <v>103</v>
      </c>
      <c r="D1454" s="79">
        <v>1</v>
      </c>
      <c r="E1454" s="79">
        <v>1284.23</v>
      </c>
      <c r="F1454" s="79">
        <v>1284.23</v>
      </c>
      <c r="G1454" s="445"/>
      <c r="H1454" s="178">
        <v>1284.28</v>
      </c>
      <c r="I1454" s="178">
        <v>1579.66</v>
      </c>
      <c r="J1454" s="70">
        <v>-295.43000000000006</v>
      </c>
      <c r="K1454" s="320"/>
      <c r="L1454" s="178">
        <v>273.06</v>
      </c>
      <c r="M1454" s="178">
        <v>1011.1700000000001</v>
      </c>
      <c r="N1454" s="179">
        <v>0</v>
      </c>
      <c r="O1454" s="178">
        <v>1284.23</v>
      </c>
      <c r="P1454" s="453"/>
      <c r="Q1454" s="61"/>
      <c r="R1454" s="298"/>
      <c r="S1454" s="669"/>
      <c r="X1454" s="444">
        <v>1454</v>
      </c>
    </row>
    <row r="1455" spans="1:24" ht="12">
      <c r="A1455" s="83" t="s">
        <v>20756</v>
      </c>
      <c r="B1455" s="64" t="s">
        <v>20757</v>
      </c>
      <c r="C1455" s="71" t="s">
        <v>103</v>
      </c>
      <c r="D1455" s="79">
        <v>1</v>
      </c>
      <c r="E1455" s="79">
        <v>1529.8700000000003</v>
      </c>
      <c r="F1455" s="79">
        <v>1529.87</v>
      </c>
      <c r="G1455" s="445"/>
      <c r="H1455" s="178">
        <v>1529.86</v>
      </c>
      <c r="I1455" s="178">
        <v>1881.73</v>
      </c>
      <c r="J1455" s="70">
        <v>-351.85999999999967</v>
      </c>
      <c r="K1455" s="320"/>
      <c r="L1455" s="178">
        <v>273.06</v>
      </c>
      <c r="M1455" s="178">
        <v>1256.8100000000004</v>
      </c>
      <c r="N1455" s="179">
        <v>0</v>
      </c>
      <c r="O1455" s="178">
        <v>1529.8700000000003</v>
      </c>
      <c r="P1455" s="453"/>
      <c r="Q1455" s="61"/>
      <c r="R1455" s="298"/>
      <c r="S1455" s="669"/>
      <c r="X1455" s="444">
        <v>1455</v>
      </c>
    </row>
    <row r="1456" spans="1:24" ht="12">
      <c r="A1456" s="83" t="s">
        <v>20758</v>
      </c>
      <c r="B1456" s="64" t="s">
        <v>20759</v>
      </c>
      <c r="C1456" s="71" t="s">
        <v>103</v>
      </c>
      <c r="D1456" s="79">
        <v>1</v>
      </c>
      <c r="E1456" s="79">
        <v>1794.0700000000002</v>
      </c>
      <c r="F1456" s="79">
        <v>1794.07</v>
      </c>
      <c r="G1456" s="445"/>
      <c r="H1456" s="178">
        <v>1794.07</v>
      </c>
      <c r="I1456" s="178">
        <v>2206.6999999999998</v>
      </c>
      <c r="J1456" s="70">
        <v>-412.62999999999965</v>
      </c>
      <c r="K1456" s="320"/>
      <c r="L1456" s="178">
        <v>273.06</v>
      </c>
      <c r="M1456" s="178">
        <v>1521.0100000000002</v>
      </c>
      <c r="N1456" s="179">
        <v>0</v>
      </c>
      <c r="O1456" s="178">
        <v>1794.0700000000002</v>
      </c>
      <c r="P1456" s="453"/>
      <c r="Q1456" s="61"/>
      <c r="R1456" s="298"/>
      <c r="S1456" s="669"/>
      <c r="X1456" s="444">
        <v>1456</v>
      </c>
    </row>
    <row r="1457" spans="1:24" ht="12">
      <c r="A1457" s="83" t="s">
        <v>20760</v>
      </c>
      <c r="B1457" s="64" t="s">
        <v>20761</v>
      </c>
      <c r="C1457" s="71" t="s">
        <v>103</v>
      </c>
      <c r="D1457" s="79">
        <v>1</v>
      </c>
      <c r="E1457" s="79">
        <v>2276.0000000000005</v>
      </c>
      <c r="F1457" s="79">
        <v>2276</v>
      </c>
      <c r="G1457" s="445"/>
      <c r="H1457" s="178">
        <v>2275.9899999999998</v>
      </c>
      <c r="I1457" s="178">
        <v>2799.47</v>
      </c>
      <c r="J1457" s="70">
        <v>-523.46999999999935</v>
      </c>
      <c r="K1457" s="320"/>
      <c r="L1457" s="178">
        <v>273.06</v>
      </c>
      <c r="M1457" s="178">
        <v>2002.9400000000005</v>
      </c>
      <c r="N1457" s="179">
        <v>0</v>
      </c>
      <c r="O1457" s="178">
        <v>2276.0000000000005</v>
      </c>
      <c r="P1457" s="453"/>
      <c r="Q1457" s="61"/>
      <c r="R1457" s="298"/>
      <c r="S1457" s="669"/>
      <c r="X1457" s="444">
        <v>1457</v>
      </c>
    </row>
    <row r="1458" spans="1:24" ht="12">
      <c r="A1458" s="83" t="s">
        <v>20762</v>
      </c>
      <c r="B1458" s="64" t="s">
        <v>20763</v>
      </c>
      <c r="C1458" s="71" t="s">
        <v>103</v>
      </c>
      <c r="D1458" s="79">
        <v>1</v>
      </c>
      <c r="E1458" s="79">
        <v>3023.97</v>
      </c>
      <c r="F1458" s="79">
        <v>3023.97</v>
      </c>
      <c r="G1458" s="445"/>
      <c r="H1458" s="178">
        <v>3023.96</v>
      </c>
      <c r="I1458" s="178">
        <v>3719.47</v>
      </c>
      <c r="J1458" s="70">
        <v>-695.5</v>
      </c>
      <c r="K1458" s="320"/>
      <c r="L1458" s="178">
        <v>273.06</v>
      </c>
      <c r="M1458" s="178">
        <v>2750.91</v>
      </c>
      <c r="N1458" s="179">
        <v>0</v>
      </c>
      <c r="O1458" s="178">
        <v>3023.97</v>
      </c>
      <c r="P1458" s="453"/>
      <c r="Q1458" s="61"/>
      <c r="R1458" s="298"/>
      <c r="S1458" s="669"/>
      <c r="X1458" s="444">
        <v>1458</v>
      </c>
    </row>
    <row r="1459" spans="1:24" ht="12">
      <c r="A1459" s="83" t="s">
        <v>20764</v>
      </c>
      <c r="B1459" s="64" t="s">
        <v>20765</v>
      </c>
      <c r="C1459" s="71" t="s">
        <v>103</v>
      </c>
      <c r="D1459" s="79">
        <v>1</v>
      </c>
      <c r="E1459" s="79">
        <v>3655.4099999999994</v>
      </c>
      <c r="F1459" s="79">
        <v>3655.41</v>
      </c>
      <c r="G1459" s="445"/>
      <c r="H1459" s="178">
        <v>3655.4</v>
      </c>
      <c r="I1459" s="178">
        <v>4496.1400000000003</v>
      </c>
      <c r="J1459" s="70">
        <v>-840.73000000000093</v>
      </c>
      <c r="K1459" s="320"/>
      <c r="L1459" s="178">
        <v>273.06</v>
      </c>
      <c r="M1459" s="178">
        <v>3382.3499999999995</v>
      </c>
      <c r="N1459" s="179">
        <v>0</v>
      </c>
      <c r="O1459" s="178">
        <v>3655.4099999999994</v>
      </c>
      <c r="P1459" s="453"/>
      <c r="Q1459" s="61"/>
      <c r="R1459" s="298"/>
      <c r="S1459" s="669"/>
      <c r="X1459" s="444">
        <v>1459</v>
      </c>
    </row>
    <row r="1460" spans="1:24" ht="12">
      <c r="A1460" s="83" t="s">
        <v>20766</v>
      </c>
      <c r="B1460" s="64" t="s">
        <v>20767</v>
      </c>
      <c r="C1460" s="71" t="s">
        <v>103</v>
      </c>
      <c r="D1460" s="79">
        <v>1</v>
      </c>
      <c r="E1460" s="79">
        <v>4699.22</v>
      </c>
      <c r="F1460" s="79">
        <v>4699.22</v>
      </c>
      <c r="G1460" s="445"/>
      <c r="H1460" s="178">
        <v>4699.21</v>
      </c>
      <c r="I1460" s="178">
        <v>5780.03</v>
      </c>
      <c r="J1460" s="70">
        <v>-1080.8099999999995</v>
      </c>
      <c r="K1460" s="320"/>
      <c r="L1460" s="178">
        <v>273.06</v>
      </c>
      <c r="M1460" s="178">
        <v>4426.16</v>
      </c>
      <c r="N1460" s="179">
        <v>0</v>
      </c>
      <c r="O1460" s="178">
        <v>4699.22</v>
      </c>
      <c r="P1460" s="453"/>
      <c r="Q1460" s="61"/>
      <c r="R1460" s="298"/>
      <c r="S1460" s="669"/>
      <c r="X1460" s="444">
        <v>1460</v>
      </c>
    </row>
    <row r="1461" spans="1:24" ht="12">
      <c r="A1461" s="83" t="s">
        <v>20768</v>
      </c>
      <c r="B1461" s="64" t="s">
        <v>20769</v>
      </c>
      <c r="C1461" s="71" t="s">
        <v>103</v>
      </c>
      <c r="D1461" s="79">
        <v>1</v>
      </c>
      <c r="E1461" s="79">
        <v>5590.2000000000007</v>
      </c>
      <c r="F1461" s="79">
        <v>5590.2</v>
      </c>
      <c r="G1461" s="445"/>
      <c r="H1461" s="178">
        <v>5590.19</v>
      </c>
      <c r="I1461" s="178">
        <v>6875.93</v>
      </c>
      <c r="J1461" s="70">
        <v>-1285.7299999999996</v>
      </c>
      <c r="K1461" s="320"/>
      <c r="L1461" s="178">
        <v>273.06</v>
      </c>
      <c r="M1461" s="178">
        <v>5317.14</v>
      </c>
      <c r="N1461" s="179">
        <v>0</v>
      </c>
      <c r="O1461" s="178">
        <v>5590.2000000000007</v>
      </c>
      <c r="P1461" s="453"/>
      <c r="Q1461" s="61"/>
      <c r="R1461" s="298"/>
      <c r="S1461" s="669"/>
      <c r="X1461" s="444">
        <v>1461</v>
      </c>
    </row>
    <row r="1462" spans="1:24" ht="12">
      <c r="A1462" s="83" t="s">
        <v>20770</v>
      </c>
      <c r="B1462" s="64" t="s">
        <v>20771</v>
      </c>
      <c r="C1462" s="71" t="s">
        <v>103</v>
      </c>
      <c r="D1462" s="79">
        <v>1</v>
      </c>
      <c r="E1462" s="79">
        <v>6506.420000000001</v>
      </c>
      <c r="F1462" s="79">
        <v>6506.42</v>
      </c>
      <c r="G1462" s="445"/>
      <c r="H1462" s="178">
        <v>6506.41</v>
      </c>
      <c r="I1462" s="178">
        <v>8002.88</v>
      </c>
      <c r="J1462" s="70">
        <v>-1496.4599999999991</v>
      </c>
      <c r="K1462" s="320"/>
      <c r="L1462" s="178">
        <v>273.06</v>
      </c>
      <c r="M1462" s="178">
        <v>6233.3600000000006</v>
      </c>
      <c r="N1462" s="179">
        <v>0</v>
      </c>
      <c r="O1462" s="178">
        <v>6506.420000000001</v>
      </c>
      <c r="P1462" s="453"/>
      <c r="Q1462" s="61"/>
      <c r="R1462" s="298"/>
      <c r="S1462" s="669"/>
      <c r="X1462" s="444">
        <v>1462</v>
      </c>
    </row>
    <row r="1463" spans="1:24" ht="12">
      <c r="A1463" s="83" t="s">
        <v>20772</v>
      </c>
      <c r="B1463" s="64" t="s">
        <v>20773</v>
      </c>
      <c r="C1463" s="71" t="s">
        <v>103</v>
      </c>
      <c r="D1463" s="79">
        <v>1</v>
      </c>
      <c r="E1463" s="79">
        <v>1198.92</v>
      </c>
      <c r="F1463" s="79">
        <v>1198.92</v>
      </c>
      <c r="G1463" s="445"/>
      <c r="H1463" s="178">
        <v>1198.98</v>
      </c>
      <c r="I1463" s="178">
        <v>1474.74</v>
      </c>
      <c r="J1463" s="70">
        <v>-275.81999999999994</v>
      </c>
      <c r="K1463" s="320"/>
      <c r="L1463" s="178">
        <v>273.06</v>
      </c>
      <c r="M1463" s="178">
        <v>925.86000000000013</v>
      </c>
      <c r="N1463" s="179">
        <v>0</v>
      </c>
      <c r="O1463" s="178">
        <v>1198.92</v>
      </c>
      <c r="P1463" s="453"/>
      <c r="Q1463" s="61"/>
      <c r="R1463" s="298"/>
      <c r="S1463" s="669"/>
      <c r="X1463" s="444">
        <v>1463</v>
      </c>
    </row>
    <row r="1464" spans="1:24" ht="12">
      <c r="A1464" s="83" t="s">
        <v>20774</v>
      </c>
      <c r="B1464" s="64" t="s">
        <v>20775</v>
      </c>
      <c r="C1464" s="71" t="s">
        <v>103</v>
      </c>
      <c r="D1464" s="79">
        <v>1</v>
      </c>
      <c r="E1464" s="79">
        <v>1427.6</v>
      </c>
      <c r="F1464" s="79">
        <v>1427.6</v>
      </c>
      <c r="G1464" s="445"/>
      <c r="H1464" s="178">
        <v>1427.66</v>
      </c>
      <c r="I1464" s="178">
        <v>1756.02</v>
      </c>
      <c r="J1464" s="70">
        <v>-328.42000000000007</v>
      </c>
      <c r="K1464" s="320"/>
      <c r="L1464" s="178">
        <v>273.06</v>
      </c>
      <c r="M1464" s="178">
        <v>1154.54</v>
      </c>
      <c r="N1464" s="179">
        <v>0</v>
      </c>
      <c r="O1464" s="178">
        <v>1427.6</v>
      </c>
      <c r="P1464" s="453"/>
      <c r="Q1464" s="61"/>
      <c r="R1464" s="298"/>
      <c r="S1464" s="669"/>
      <c r="X1464" s="444">
        <v>1464</v>
      </c>
    </row>
    <row r="1465" spans="1:24" ht="12">
      <c r="A1465" s="83" t="s">
        <v>20776</v>
      </c>
      <c r="B1465" s="64" t="s">
        <v>20777</v>
      </c>
      <c r="C1465" s="71" t="s">
        <v>103</v>
      </c>
      <c r="D1465" s="79">
        <v>1</v>
      </c>
      <c r="E1465" s="79">
        <v>1747.5800000000004</v>
      </c>
      <c r="F1465" s="79">
        <v>1747.58</v>
      </c>
      <c r="G1465" s="445"/>
      <c r="H1465" s="178">
        <v>1747.58</v>
      </c>
      <c r="I1465" s="178">
        <v>2149.52</v>
      </c>
      <c r="J1465" s="70">
        <v>-401.9399999999996</v>
      </c>
      <c r="K1465" s="320"/>
      <c r="L1465" s="178">
        <v>273.06</v>
      </c>
      <c r="M1465" s="178">
        <v>1474.5200000000004</v>
      </c>
      <c r="N1465" s="179">
        <v>0</v>
      </c>
      <c r="O1465" s="178">
        <v>1747.5800000000004</v>
      </c>
      <c r="P1465" s="453"/>
      <c r="Q1465" s="61"/>
      <c r="R1465" s="298"/>
      <c r="S1465" s="669"/>
      <c r="X1465" s="444">
        <v>1465</v>
      </c>
    </row>
    <row r="1466" spans="1:24" ht="12">
      <c r="A1466" s="83" t="s">
        <v>20778</v>
      </c>
      <c r="B1466" s="64" t="s">
        <v>20779</v>
      </c>
      <c r="C1466" s="71" t="s">
        <v>103</v>
      </c>
      <c r="D1466" s="79">
        <v>1</v>
      </c>
      <c r="E1466" s="79">
        <v>2089.9900000000002</v>
      </c>
      <c r="F1466" s="79">
        <v>2089.9899999999998</v>
      </c>
      <c r="G1466" s="445"/>
      <c r="H1466" s="178">
        <v>2089.98</v>
      </c>
      <c r="I1466" s="178">
        <v>2570.6799999999998</v>
      </c>
      <c r="J1466" s="70">
        <v>-480.6899999999996</v>
      </c>
      <c r="K1466" s="320"/>
      <c r="L1466" s="178">
        <v>273.06</v>
      </c>
      <c r="M1466" s="178">
        <v>1816.9300000000003</v>
      </c>
      <c r="N1466" s="179">
        <v>0</v>
      </c>
      <c r="O1466" s="178">
        <v>2089.9900000000002</v>
      </c>
      <c r="P1466" s="453"/>
      <c r="Q1466" s="61"/>
      <c r="R1466" s="298"/>
      <c r="S1466" s="669"/>
      <c r="X1466" s="444">
        <v>1466</v>
      </c>
    </row>
    <row r="1467" spans="1:24" ht="12">
      <c r="A1467" s="83" t="s">
        <v>20780</v>
      </c>
      <c r="B1467" s="64" t="s">
        <v>20781</v>
      </c>
      <c r="C1467" s="71" t="s">
        <v>103</v>
      </c>
      <c r="D1467" s="79">
        <v>1</v>
      </c>
      <c r="E1467" s="79">
        <v>2704.0400000000004</v>
      </c>
      <c r="F1467" s="79">
        <v>2704.04</v>
      </c>
      <c r="G1467" s="445"/>
      <c r="H1467" s="178">
        <v>2704.03</v>
      </c>
      <c r="I1467" s="178">
        <v>3325.96</v>
      </c>
      <c r="J1467" s="70">
        <v>-621.91999999999962</v>
      </c>
      <c r="K1467" s="320"/>
      <c r="L1467" s="178">
        <v>273.06</v>
      </c>
      <c r="M1467" s="178">
        <v>2430.9800000000005</v>
      </c>
      <c r="N1467" s="179">
        <v>0</v>
      </c>
      <c r="O1467" s="178">
        <v>2704.0400000000004</v>
      </c>
      <c r="P1467" s="453"/>
      <c r="Q1467" s="61"/>
      <c r="R1467" s="298"/>
      <c r="S1467" s="669"/>
      <c r="X1467" s="444">
        <v>1467</v>
      </c>
    </row>
    <row r="1468" spans="1:24" ht="12">
      <c r="A1468" s="83" t="s">
        <v>20782</v>
      </c>
      <c r="B1468" s="64" t="s">
        <v>20783</v>
      </c>
      <c r="C1468" s="71" t="s">
        <v>103</v>
      </c>
      <c r="D1468" s="79">
        <v>1</v>
      </c>
      <c r="E1468" s="79">
        <v>3628.0499999999997</v>
      </c>
      <c r="F1468" s="79">
        <v>3628.05</v>
      </c>
      <c r="G1468" s="445"/>
      <c r="H1468" s="178">
        <v>3628.04</v>
      </c>
      <c r="I1468" s="178">
        <v>4462.49</v>
      </c>
      <c r="J1468" s="70">
        <v>-834.44</v>
      </c>
      <c r="K1468" s="320"/>
      <c r="L1468" s="178">
        <v>273.06</v>
      </c>
      <c r="M1468" s="178">
        <v>3354.99</v>
      </c>
      <c r="N1468" s="179">
        <v>0</v>
      </c>
      <c r="O1468" s="178">
        <v>3628.0499999999997</v>
      </c>
      <c r="P1468" s="453"/>
      <c r="Q1468" s="61"/>
      <c r="R1468" s="298"/>
      <c r="S1468" s="669"/>
      <c r="X1468" s="444">
        <v>1468</v>
      </c>
    </row>
    <row r="1469" spans="1:24" ht="12">
      <c r="A1469" s="83" t="s">
        <v>20784</v>
      </c>
      <c r="B1469" s="64" t="s">
        <v>20785</v>
      </c>
      <c r="C1469" s="71" t="s">
        <v>103</v>
      </c>
      <c r="D1469" s="79">
        <v>1</v>
      </c>
      <c r="E1469" s="79">
        <v>4454.43</v>
      </c>
      <c r="F1469" s="79">
        <v>4454.43</v>
      </c>
      <c r="G1469" s="445"/>
      <c r="H1469" s="178">
        <v>4454.42</v>
      </c>
      <c r="I1469" s="178">
        <v>5478.94</v>
      </c>
      <c r="J1469" s="70">
        <v>-1024.5099999999993</v>
      </c>
      <c r="K1469" s="320"/>
      <c r="L1469" s="178">
        <v>273.06</v>
      </c>
      <c r="M1469" s="178">
        <v>4181.37</v>
      </c>
      <c r="N1469" s="179">
        <v>0</v>
      </c>
      <c r="O1469" s="178">
        <v>4454.43</v>
      </c>
      <c r="P1469" s="453"/>
      <c r="Q1469" s="61"/>
      <c r="R1469" s="298"/>
      <c r="S1469" s="669"/>
      <c r="X1469" s="444">
        <v>1469</v>
      </c>
    </row>
    <row r="1470" spans="1:24" ht="12">
      <c r="A1470" s="83" t="s">
        <v>20786</v>
      </c>
      <c r="B1470" s="64" t="s">
        <v>20787</v>
      </c>
      <c r="C1470" s="71" t="s">
        <v>103</v>
      </c>
      <c r="D1470" s="79">
        <v>1</v>
      </c>
      <c r="E1470" s="79">
        <v>5710.55</v>
      </c>
      <c r="F1470" s="79">
        <v>5710.55</v>
      </c>
      <c r="G1470" s="445"/>
      <c r="H1470" s="178">
        <v>5710.54</v>
      </c>
      <c r="I1470" s="178">
        <v>7023.96</v>
      </c>
      <c r="J1470" s="70">
        <v>-1313.4099999999999</v>
      </c>
      <c r="K1470" s="320"/>
      <c r="L1470" s="178">
        <v>273.06</v>
      </c>
      <c r="M1470" s="178">
        <v>5437.49</v>
      </c>
      <c r="N1470" s="179">
        <v>0</v>
      </c>
      <c r="O1470" s="178">
        <v>5710.55</v>
      </c>
      <c r="P1470" s="453"/>
      <c r="Q1470" s="61"/>
      <c r="R1470" s="298"/>
      <c r="S1470" s="669"/>
      <c r="X1470" s="444">
        <v>1470</v>
      </c>
    </row>
    <row r="1471" spans="1:24" ht="12">
      <c r="A1471" s="83" t="s">
        <v>11650</v>
      </c>
      <c r="B1471" s="64" t="s">
        <v>20788</v>
      </c>
      <c r="C1471" s="71" t="s">
        <v>103</v>
      </c>
      <c r="D1471" s="79">
        <v>1</v>
      </c>
      <c r="E1471" s="79">
        <v>6857.130000000001</v>
      </c>
      <c r="F1471" s="79">
        <v>6857.13</v>
      </c>
      <c r="G1471" s="445"/>
      <c r="H1471" s="178">
        <v>6857.12</v>
      </c>
      <c r="I1471" s="178">
        <v>8434.26</v>
      </c>
      <c r="J1471" s="70">
        <v>-1577.1299999999992</v>
      </c>
      <c r="K1471" s="320"/>
      <c r="L1471" s="178">
        <v>273.06</v>
      </c>
      <c r="M1471" s="178">
        <v>6584.0700000000006</v>
      </c>
      <c r="N1471" s="179">
        <v>0</v>
      </c>
      <c r="O1471" s="178">
        <v>6857.130000000001</v>
      </c>
      <c r="P1471" s="453"/>
      <c r="Q1471" s="61"/>
      <c r="R1471" s="298"/>
      <c r="S1471" s="669"/>
      <c r="X1471" s="444">
        <v>1471</v>
      </c>
    </row>
    <row r="1472" spans="1:24" ht="12">
      <c r="A1472" s="83" t="s">
        <v>20789</v>
      </c>
      <c r="B1472" s="64" t="s">
        <v>20790</v>
      </c>
      <c r="C1472" s="71" t="s">
        <v>103</v>
      </c>
      <c r="D1472" s="79">
        <v>1</v>
      </c>
      <c r="E1472" s="79">
        <v>8034.170000000001</v>
      </c>
      <c r="F1472" s="79">
        <v>8034.17</v>
      </c>
      <c r="G1472" s="445"/>
      <c r="H1472" s="178">
        <v>8034.16</v>
      </c>
      <c r="I1472" s="178">
        <v>9882.02</v>
      </c>
      <c r="J1472" s="70">
        <v>-1847.8499999999995</v>
      </c>
      <c r="K1472" s="320"/>
      <c r="L1472" s="178">
        <v>273.06</v>
      </c>
      <c r="M1472" s="178">
        <v>7761.1100000000006</v>
      </c>
      <c r="N1472" s="179">
        <v>0</v>
      </c>
      <c r="O1472" s="178">
        <v>8034.170000000001</v>
      </c>
      <c r="P1472" s="453"/>
      <c r="Q1472" s="61"/>
      <c r="R1472" s="298"/>
      <c r="S1472" s="669"/>
      <c r="X1472" s="444">
        <v>1472</v>
      </c>
    </row>
    <row r="1473" spans="1:24" ht="12">
      <c r="A1473" s="83" t="s">
        <v>20791</v>
      </c>
      <c r="B1473" s="64" t="s">
        <v>8704</v>
      </c>
      <c r="C1473" s="71" t="s">
        <v>103</v>
      </c>
      <c r="D1473" s="79">
        <v>1</v>
      </c>
      <c r="E1473" s="79">
        <v>105.82000000000001</v>
      </c>
      <c r="F1473" s="79">
        <v>105.82</v>
      </c>
      <c r="G1473" s="445"/>
      <c r="H1473" s="178">
        <v>105.81</v>
      </c>
      <c r="I1473" s="178">
        <v>130.15</v>
      </c>
      <c r="J1473" s="70">
        <v>-24.33</v>
      </c>
      <c r="K1473" s="320"/>
      <c r="L1473" s="178">
        <v>49.150000000000006</v>
      </c>
      <c r="M1473" s="178">
        <v>56.67</v>
      </c>
      <c r="N1473" s="179">
        <v>0</v>
      </c>
      <c r="O1473" s="178">
        <v>105.82000000000001</v>
      </c>
      <c r="P1473" s="453"/>
      <c r="Q1473" s="61"/>
      <c r="R1473" s="298"/>
      <c r="S1473" s="669"/>
      <c r="X1473" s="444">
        <v>1473</v>
      </c>
    </row>
    <row r="1474" spans="1:24" ht="12">
      <c r="A1474" s="83" t="s">
        <v>20792</v>
      </c>
      <c r="B1474" s="64" t="s">
        <v>8706</v>
      </c>
      <c r="C1474" s="71" t="s">
        <v>103</v>
      </c>
      <c r="D1474" s="79">
        <v>1</v>
      </c>
      <c r="E1474" s="79">
        <v>136.08000000000001</v>
      </c>
      <c r="F1474" s="79">
        <v>136.08000000000001</v>
      </c>
      <c r="G1474" s="445"/>
      <c r="H1474" s="178">
        <v>136.07</v>
      </c>
      <c r="I1474" s="178">
        <v>167.37</v>
      </c>
      <c r="J1474" s="70">
        <v>-31.289999999999992</v>
      </c>
      <c r="K1474" s="320"/>
      <c r="L1474" s="178">
        <v>49.150000000000006</v>
      </c>
      <c r="M1474" s="178">
        <v>86.93</v>
      </c>
      <c r="N1474" s="179">
        <v>0</v>
      </c>
      <c r="O1474" s="178">
        <v>136.08000000000001</v>
      </c>
      <c r="P1474" s="453"/>
      <c r="Q1474" s="61"/>
      <c r="R1474" s="298"/>
      <c r="S1474" s="669"/>
      <c r="X1474" s="444">
        <v>1474</v>
      </c>
    </row>
    <row r="1475" spans="1:24" ht="12">
      <c r="A1475" s="83" t="s">
        <v>20793</v>
      </c>
      <c r="B1475" s="64" t="s">
        <v>8710</v>
      </c>
      <c r="C1475" s="71" t="s">
        <v>103</v>
      </c>
      <c r="D1475" s="79">
        <v>1</v>
      </c>
      <c r="E1475" s="79">
        <v>119.83000000000001</v>
      </c>
      <c r="F1475" s="79">
        <v>119.83</v>
      </c>
      <c r="G1475" s="445"/>
      <c r="H1475" s="178">
        <v>119.83</v>
      </c>
      <c r="I1475" s="178">
        <v>147.38999999999999</v>
      </c>
      <c r="J1475" s="70">
        <v>-27.559999999999974</v>
      </c>
      <c r="K1475" s="320"/>
      <c r="L1475" s="178">
        <v>49.150000000000006</v>
      </c>
      <c r="M1475" s="178">
        <v>70.680000000000007</v>
      </c>
      <c r="N1475" s="179">
        <v>0</v>
      </c>
      <c r="O1475" s="178">
        <v>119.83000000000001</v>
      </c>
      <c r="P1475" s="453"/>
      <c r="Q1475" s="61"/>
      <c r="R1475" s="298"/>
      <c r="S1475" s="669"/>
      <c r="X1475" s="444">
        <v>1475</v>
      </c>
    </row>
    <row r="1476" spans="1:24" ht="12">
      <c r="A1476" s="83" t="s">
        <v>20794</v>
      </c>
      <c r="B1476" s="64" t="s">
        <v>8716</v>
      </c>
      <c r="C1476" s="71" t="s">
        <v>103</v>
      </c>
      <c r="D1476" s="79">
        <v>1</v>
      </c>
      <c r="E1476" s="79">
        <v>148.74</v>
      </c>
      <c r="F1476" s="79">
        <v>148.74</v>
      </c>
      <c r="G1476" s="445"/>
      <c r="H1476" s="178">
        <v>148.74</v>
      </c>
      <c r="I1476" s="178">
        <v>182.95</v>
      </c>
      <c r="J1476" s="70">
        <v>-34.20999999999998</v>
      </c>
      <c r="K1476" s="320"/>
      <c r="L1476" s="178">
        <v>49.150000000000006</v>
      </c>
      <c r="M1476" s="178">
        <v>99.59</v>
      </c>
      <c r="N1476" s="179">
        <v>0</v>
      </c>
      <c r="O1476" s="178">
        <v>148.74</v>
      </c>
      <c r="P1476" s="453"/>
      <c r="Q1476" s="61"/>
      <c r="R1476" s="298"/>
      <c r="S1476" s="669"/>
      <c r="X1476" s="444">
        <v>1476</v>
      </c>
    </row>
    <row r="1477" spans="1:24" ht="12">
      <c r="A1477" s="83" t="s">
        <v>20795</v>
      </c>
      <c r="B1477" s="64" t="s">
        <v>20796</v>
      </c>
      <c r="C1477" s="71" t="s">
        <v>103</v>
      </c>
      <c r="D1477" s="79">
        <v>1</v>
      </c>
      <c r="E1477" s="79">
        <v>480.02</v>
      </c>
      <c r="F1477" s="79">
        <v>480.02</v>
      </c>
      <c r="G1477" s="445"/>
      <c r="H1477" s="178">
        <v>480.02</v>
      </c>
      <c r="I1477" s="178">
        <v>590.41999999999996</v>
      </c>
      <c r="J1477" s="70">
        <v>-110.39999999999998</v>
      </c>
      <c r="K1477" s="320"/>
      <c r="L1477" s="178">
        <v>49.150000000000006</v>
      </c>
      <c r="M1477" s="178">
        <v>430.87</v>
      </c>
      <c r="N1477" s="179">
        <v>0</v>
      </c>
      <c r="O1477" s="178">
        <v>480.02</v>
      </c>
      <c r="P1477" s="453"/>
      <c r="Q1477" s="61"/>
      <c r="R1477" s="298"/>
      <c r="S1477" s="669"/>
      <c r="X1477" s="444">
        <v>1477</v>
      </c>
    </row>
    <row r="1478" spans="1:24" ht="12">
      <c r="A1478" s="83" t="s">
        <v>20797</v>
      </c>
      <c r="B1478" s="64" t="s">
        <v>20798</v>
      </c>
      <c r="C1478" s="71" t="s">
        <v>10216</v>
      </c>
      <c r="D1478" s="79">
        <v>1</v>
      </c>
      <c r="E1478" s="79">
        <v>577.26</v>
      </c>
      <c r="F1478" s="79">
        <v>577.26</v>
      </c>
      <c r="G1478" s="445"/>
      <c r="H1478" s="178">
        <v>577.25</v>
      </c>
      <c r="I1478" s="178">
        <v>710.02</v>
      </c>
      <c r="J1478" s="70">
        <v>-132.76</v>
      </c>
      <c r="K1478" s="320"/>
      <c r="L1478" s="178"/>
      <c r="M1478" s="178">
        <v>577.26</v>
      </c>
      <c r="N1478" s="179">
        <v>0</v>
      </c>
      <c r="O1478" s="178">
        <v>577.26</v>
      </c>
      <c r="P1478" s="453"/>
      <c r="Q1478" s="61"/>
      <c r="R1478" s="298"/>
      <c r="S1478" s="669"/>
      <c r="X1478" s="444">
        <v>1478</v>
      </c>
    </row>
    <row r="1479" spans="1:24" ht="12">
      <c r="A1479" s="65" t="s">
        <v>41740</v>
      </c>
      <c r="B1479" s="65" t="s">
        <v>41741</v>
      </c>
      <c r="C1479" s="108" t="s">
        <v>41718</v>
      </c>
      <c r="D1479" s="458">
        <v>1</v>
      </c>
      <c r="E1479" s="79">
        <v>5185.9399999999996</v>
      </c>
      <c r="F1479" s="79">
        <v>5185.9399999999996</v>
      </c>
      <c r="H1479" s="753">
        <v>5185.95</v>
      </c>
      <c r="I1479" s="178">
        <v>6378.72</v>
      </c>
      <c r="J1479" s="753">
        <v>-1192.7800000000007</v>
      </c>
      <c r="K1479" s="754"/>
      <c r="L1479" s="178">
        <v>1470.77</v>
      </c>
      <c r="M1479" s="753">
        <v>3715.1699999999996</v>
      </c>
      <c r="N1479" s="179">
        <v>0</v>
      </c>
      <c r="O1479" s="753">
        <v>5185.9399999999996</v>
      </c>
      <c r="S1479" s="669"/>
      <c r="X1479" s="444">
        <v>1479</v>
      </c>
    </row>
    <row r="1480" spans="1:24" ht="12">
      <c r="A1480" s="83" t="s">
        <v>20799</v>
      </c>
      <c r="B1480" s="64" t="s">
        <v>20800</v>
      </c>
      <c r="C1480" s="71" t="s">
        <v>103</v>
      </c>
      <c r="D1480" s="79">
        <v>1</v>
      </c>
      <c r="E1480" s="79">
        <v>732.57</v>
      </c>
      <c r="F1480" s="79">
        <v>732.57</v>
      </c>
      <c r="G1480" s="320"/>
      <c r="H1480" s="178">
        <v>732.54</v>
      </c>
      <c r="I1480" s="178">
        <v>901.03</v>
      </c>
      <c r="J1480" s="70">
        <v>-168.45999999999992</v>
      </c>
      <c r="K1480" s="320"/>
      <c r="L1480" s="178">
        <v>136.55000000000001</v>
      </c>
      <c r="M1480" s="178">
        <v>596.02</v>
      </c>
      <c r="N1480" s="179">
        <v>0</v>
      </c>
      <c r="O1480" s="178">
        <v>732.56999999999994</v>
      </c>
      <c r="P1480" s="453"/>
      <c r="Q1480" s="61"/>
      <c r="R1480" s="298"/>
      <c r="S1480" s="669"/>
      <c r="X1480" s="444">
        <v>1480</v>
      </c>
    </row>
    <row r="1481" spans="1:24" ht="12">
      <c r="A1481" s="83" t="s">
        <v>20801</v>
      </c>
      <c r="B1481" s="64" t="s">
        <v>39743</v>
      </c>
      <c r="C1481" s="71" t="s">
        <v>103</v>
      </c>
      <c r="D1481" s="79">
        <v>1</v>
      </c>
      <c r="E1481" s="79">
        <v>641.66000000000008</v>
      </c>
      <c r="F1481" s="79">
        <v>641.66</v>
      </c>
      <c r="G1481" s="320"/>
      <c r="H1481" s="178">
        <v>641.63</v>
      </c>
      <c r="I1481" s="178">
        <v>789.21</v>
      </c>
      <c r="J1481" s="70">
        <v>-147.54999999999995</v>
      </c>
      <c r="K1481" s="320"/>
      <c r="L1481" s="178">
        <v>136.55000000000001</v>
      </c>
      <c r="M1481" s="178">
        <v>505.11000000000007</v>
      </c>
      <c r="N1481" s="179">
        <v>0</v>
      </c>
      <c r="O1481" s="178">
        <v>641.66000000000008</v>
      </c>
      <c r="P1481" s="453"/>
      <c r="Q1481" s="61"/>
      <c r="R1481" s="298"/>
      <c r="S1481" s="669"/>
      <c r="X1481" s="444">
        <v>1481</v>
      </c>
    </row>
    <row r="1482" spans="1:24" ht="12">
      <c r="A1482" s="83" t="s">
        <v>20802</v>
      </c>
      <c r="B1482" s="64" t="s">
        <v>39744</v>
      </c>
      <c r="C1482" s="71" t="s">
        <v>103</v>
      </c>
      <c r="D1482" s="79">
        <v>1</v>
      </c>
      <c r="E1482" s="79">
        <v>629.24</v>
      </c>
      <c r="F1482" s="79">
        <v>629.24</v>
      </c>
      <c r="G1482" s="320"/>
      <c r="H1482" s="178">
        <v>629.22</v>
      </c>
      <c r="I1482" s="178">
        <v>773.94</v>
      </c>
      <c r="J1482" s="70">
        <v>-144.70000000000005</v>
      </c>
      <c r="K1482" s="320"/>
      <c r="L1482" s="178">
        <v>136.55000000000001</v>
      </c>
      <c r="M1482" s="178">
        <v>492.69</v>
      </c>
      <c r="N1482" s="179">
        <v>0</v>
      </c>
      <c r="O1482" s="178">
        <v>629.24</v>
      </c>
      <c r="P1482" s="453"/>
      <c r="Q1482" s="61"/>
      <c r="R1482" s="298"/>
      <c r="S1482" s="669"/>
      <c r="T1482" s="69"/>
      <c r="X1482" s="444">
        <v>1482</v>
      </c>
    </row>
    <row r="1483" spans="1:24" ht="12">
      <c r="A1483" s="665" t="s">
        <v>41742</v>
      </c>
      <c r="B1483" s="665" t="s">
        <v>41743</v>
      </c>
      <c r="C1483" s="666" t="s">
        <v>41718</v>
      </c>
      <c r="D1483" s="667">
        <v>1</v>
      </c>
      <c r="E1483" s="668">
        <v>6798.5599999999977</v>
      </c>
      <c r="F1483" s="668">
        <v>6798.56</v>
      </c>
      <c r="H1483" s="753">
        <v>6798.58</v>
      </c>
      <c r="I1483" s="178">
        <v>8362.25</v>
      </c>
      <c r="J1483" s="753">
        <v>-1563.6900000000023</v>
      </c>
      <c r="K1483" s="754"/>
      <c r="L1483" s="178">
        <v>1470.77</v>
      </c>
      <c r="M1483" s="753">
        <v>5327.7899999999972</v>
      </c>
      <c r="N1483" s="179">
        <v>0</v>
      </c>
      <c r="O1483" s="765">
        <v>6798.5599999999977</v>
      </c>
      <c r="S1483" s="669"/>
      <c r="X1483" s="444">
        <v>1483</v>
      </c>
    </row>
    <row r="1484" spans="1:24" ht="12">
      <c r="A1484" s="65" t="s">
        <v>41744</v>
      </c>
      <c r="B1484" s="65" t="s">
        <v>41745</v>
      </c>
      <c r="C1484" s="108" t="s">
        <v>41718</v>
      </c>
      <c r="D1484" s="458">
        <v>1</v>
      </c>
      <c r="E1484" s="79">
        <v>7313.369999999999</v>
      </c>
      <c r="F1484" s="79">
        <v>7313.37</v>
      </c>
      <c r="H1484" s="753">
        <v>7313.38</v>
      </c>
      <c r="I1484" s="178">
        <v>8995.4599999999991</v>
      </c>
      <c r="J1484" s="753">
        <v>-1682.0900000000001</v>
      </c>
      <c r="K1484" s="754"/>
      <c r="L1484" s="178">
        <v>1470.77</v>
      </c>
      <c r="M1484" s="753">
        <v>5842.5999999999985</v>
      </c>
      <c r="N1484" s="179">
        <v>0</v>
      </c>
      <c r="O1484" s="753">
        <v>7313.369999999999</v>
      </c>
      <c r="S1484" s="669"/>
      <c r="X1484" s="444">
        <v>1484</v>
      </c>
    </row>
    <row r="1485" spans="1:24" ht="12">
      <c r="A1485" s="65" t="s">
        <v>41746</v>
      </c>
      <c r="B1485" s="65" t="s">
        <v>41747</v>
      </c>
      <c r="C1485" s="108" t="s">
        <v>41718</v>
      </c>
      <c r="D1485" s="458">
        <v>1</v>
      </c>
      <c r="E1485" s="79">
        <v>7914.2999999999993</v>
      </c>
      <c r="F1485" s="79">
        <v>7914.3</v>
      </c>
      <c r="H1485" s="753">
        <v>7914.25</v>
      </c>
      <c r="I1485" s="178">
        <v>9734.5300000000007</v>
      </c>
      <c r="J1485" s="753">
        <v>-1820.2300000000014</v>
      </c>
      <c r="K1485" s="754"/>
      <c r="L1485" s="178">
        <v>398.79999999999995</v>
      </c>
      <c r="M1485" s="753">
        <v>7515.4999999999991</v>
      </c>
      <c r="N1485" s="179">
        <v>0</v>
      </c>
      <c r="O1485" s="753">
        <v>7914.2999999999993</v>
      </c>
      <c r="S1485" s="669"/>
      <c r="X1485" s="444">
        <v>1485</v>
      </c>
    </row>
    <row r="1486" spans="1:24" ht="12">
      <c r="A1486" s="65" t="s">
        <v>41748</v>
      </c>
      <c r="B1486" s="65" t="s">
        <v>41749</v>
      </c>
      <c r="C1486" s="108" t="s">
        <v>41718</v>
      </c>
      <c r="D1486" s="458">
        <v>1</v>
      </c>
      <c r="E1486" s="79">
        <v>8557.510000000002</v>
      </c>
      <c r="F1486" s="79">
        <v>8557.51</v>
      </c>
      <c r="H1486" s="753">
        <v>8557.4599999999991</v>
      </c>
      <c r="I1486" s="178">
        <v>10525.68</v>
      </c>
      <c r="J1486" s="753">
        <v>-1968.1699999999983</v>
      </c>
      <c r="K1486" s="754"/>
      <c r="L1486" s="178">
        <v>398.79999999999995</v>
      </c>
      <c r="M1486" s="753">
        <v>8158.7100000000019</v>
      </c>
      <c r="N1486" s="179">
        <v>0</v>
      </c>
      <c r="O1486" s="753">
        <v>8557.510000000002</v>
      </c>
      <c r="S1486" s="669"/>
      <c r="X1486" s="444">
        <v>1486</v>
      </c>
    </row>
    <row r="1487" spans="1:24" ht="12">
      <c r="A1487" s="665" t="s">
        <v>41750</v>
      </c>
      <c r="B1487" s="665" t="s">
        <v>41751</v>
      </c>
      <c r="C1487" s="666" t="s">
        <v>41718</v>
      </c>
      <c r="D1487" s="667">
        <v>1</v>
      </c>
      <c r="E1487" s="668">
        <v>9304.8200000000015</v>
      </c>
      <c r="F1487" s="668">
        <v>9304.82</v>
      </c>
      <c r="H1487" s="753">
        <v>9304.77</v>
      </c>
      <c r="I1487" s="178">
        <v>11444.87</v>
      </c>
      <c r="J1487" s="753">
        <v>-2140.0499999999993</v>
      </c>
      <c r="K1487" s="754"/>
      <c r="L1487" s="178">
        <v>398.79999999999995</v>
      </c>
      <c r="M1487" s="753">
        <v>8906.0200000000023</v>
      </c>
      <c r="N1487" s="179">
        <v>0</v>
      </c>
      <c r="O1487" s="765">
        <v>9304.8200000000015</v>
      </c>
      <c r="S1487" s="669"/>
      <c r="X1487" s="444">
        <v>1487</v>
      </c>
    </row>
    <row r="1488" spans="1:24" ht="12">
      <c r="A1488" s="665" t="s">
        <v>41752</v>
      </c>
      <c r="B1488" s="665" t="s">
        <v>41753</v>
      </c>
      <c r="C1488" s="666" t="s">
        <v>41718</v>
      </c>
      <c r="D1488" s="667">
        <v>1</v>
      </c>
      <c r="E1488" s="668">
        <v>8708.8500000000022</v>
      </c>
      <c r="F1488" s="668">
        <v>8708.85</v>
      </c>
      <c r="H1488" s="753">
        <v>8708.86</v>
      </c>
      <c r="I1488" s="178">
        <v>10711.9</v>
      </c>
      <c r="J1488" s="753">
        <v>-2003.0499999999975</v>
      </c>
      <c r="K1488" s="754"/>
      <c r="L1488" s="178">
        <v>1840.3400000000001</v>
      </c>
      <c r="M1488" s="753">
        <v>6868.510000000002</v>
      </c>
      <c r="N1488" s="179">
        <v>0</v>
      </c>
      <c r="O1488" s="765">
        <v>8708.8500000000022</v>
      </c>
      <c r="S1488" s="669"/>
      <c r="X1488" s="444">
        <v>1488</v>
      </c>
    </row>
    <row r="1489" spans="1:32" ht="12">
      <c r="A1489" s="665" t="s">
        <v>41754</v>
      </c>
      <c r="B1489" s="665" t="s">
        <v>41755</v>
      </c>
      <c r="C1489" s="666" t="s">
        <v>41718</v>
      </c>
      <c r="D1489" s="667">
        <v>1</v>
      </c>
      <c r="E1489" s="668">
        <v>8830.6000000000022</v>
      </c>
      <c r="F1489" s="668">
        <v>8830.6</v>
      </c>
      <c r="H1489" s="753">
        <v>8830.61</v>
      </c>
      <c r="I1489" s="178">
        <v>10861.65</v>
      </c>
      <c r="J1489" s="753">
        <v>-2031.0499999999975</v>
      </c>
      <c r="K1489" s="754"/>
      <c r="L1489" s="178">
        <v>1840.3400000000001</v>
      </c>
      <c r="M1489" s="753">
        <v>6990.260000000002</v>
      </c>
      <c r="N1489" s="179">
        <v>0</v>
      </c>
      <c r="O1489" s="765">
        <v>8830.6000000000022</v>
      </c>
      <c r="S1489" s="669"/>
      <c r="X1489" s="444">
        <v>1489</v>
      </c>
    </row>
    <row r="1490" spans="1:32" ht="12">
      <c r="A1490" s="665" t="s">
        <v>41756</v>
      </c>
      <c r="B1490" s="665" t="s">
        <v>41757</v>
      </c>
      <c r="C1490" s="666" t="s">
        <v>41718</v>
      </c>
      <c r="D1490" s="667">
        <v>1</v>
      </c>
      <c r="E1490" s="668">
        <v>9465.9400000000023</v>
      </c>
      <c r="F1490" s="668">
        <v>9465.94</v>
      </c>
      <c r="H1490" s="753">
        <v>9465.9500000000007</v>
      </c>
      <c r="I1490" s="178">
        <v>11643.12</v>
      </c>
      <c r="J1490" s="753">
        <v>-2177.1799999999985</v>
      </c>
      <c r="K1490" s="754"/>
      <c r="L1490" s="178">
        <v>1840.3400000000001</v>
      </c>
      <c r="M1490" s="753">
        <v>7625.6000000000022</v>
      </c>
      <c r="N1490" s="179">
        <v>0</v>
      </c>
      <c r="O1490" s="765">
        <v>9465.9400000000023</v>
      </c>
      <c r="S1490" s="669"/>
      <c r="X1490" s="444">
        <v>1490</v>
      </c>
    </row>
    <row r="1491" spans="1:32" ht="12">
      <c r="A1491" s="665" t="s">
        <v>41758</v>
      </c>
      <c r="B1491" s="665" t="s">
        <v>41759</v>
      </c>
      <c r="C1491" s="666" t="s">
        <v>41718</v>
      </c>
      <c r="D1491" s="667">
        <v>1</v>
      </c>
      <c r="E1491" s="668">
        <v>7729.9799999999977</v>
      </c>
      <c r="F1491" s="668">
        <v>7729.98</v>
      </c>
      <c r="H1491" s="753">
        <v>7729.98</v>
      </c>
      <c r="I1491" s="178">
        <v>9507.8799999999992</v>
      </c>
      <c r="J1491" s="753">
        <v>-1777.9000000000015</v>
      </c>
      <c r="K1491" s="754"/>
      <c r="L1491" s="178">
        <v>1862.8200000000002</v>
      </c>
      <c r="M1491" s="753">
        <v>5867.159999999998</v>
      </c>
      <c r="N1491" s="179">
        <v>0</v>
      </c>
      <c r="O1491" s="765">
        <v>7729.9799999999977</v>
      </c>
      <c r="S1491" s="669"/>
      <c r="X1491" s="444">
        <v>1491</v>
      </c>
    </row>
    <row r="1492" spans="1:32" ht="12">
      <c r="A1492" s="665" t="s">
        <v>41760</v>
      </c>
      <c r="B1492" s="665" t="s">
        <v>41761</v>
      </c>
      <c r="C1492" s="666" t="s">
        <v>41718</v>
      </c>
      <c r="D1492" s="667">
        <v>1</v>
      </c>
      <c r="E1492" s="668">
        <v>6786.5099999999975</v>
      </c>
      <c r="F1492" s="668">
        <v>6786.51</v>
      </c>
      <c r="H1492" s="753">
        <v>6786.54</v>
      </c>
      <c r="I1492" s="178">
        <v>8347.4500000000007</v>
      </c>
      <c r="J1492" s="753">
        <v>-1560.9400000000032</v>
      </c>
      <c r="K1492" s="754"/>
      <c r="L1492" s="178">
        <v>1999.3999999999999</v>
      </c>
      <c r="M1492" s="753">
        <v>4787.1099999999979</v>
      </c>
      <c r="N1492" s="179">
        <v>0</v>
      </c>
      <c r="O1492" s="765">
        <v>6786.5099999999975</v>
      </c>
      <c r="S1492" s="669"/>
      <c r="X1492" s="444">
        <v>1492</v>
      </c>
    </row>
    <row r="1493" spans="1:32" ht="12">
      <c r="A1493" s="665" t="s">
        <v>41762</v>
      </c>
      <c r="B1493" s="665" t="s">
        <v>41763</v>
      </c>
      <c r="C1493" s="666" t="s">
        <v>41718</v>
      </c>
      <c r="D1493" s="667">
        <v>1</v>
      </c>
      <c r="E1493" s="668">
        <v>7908.8599999999969</v>
      </c>
      <c r="F1493" s="668">
        <v>7908.86</v>
      </c>
      <c r="H1493" s="753">
        <v>7908.87</v>
      </c>
      <c r="I1493" s="178">
        <v>9727.91</v>
      </c>
      <c r="J1493" s="753">
        <v>-1819.0500000000029</v>
      </c>
      <c r="K1493" s="754"/>
      <c r="L1493" s="178">
        <v>1862.8200000000002</v>
      </c>
      <c r="M1493" s="753">
        <v>6046.0399999999972</v>
      </c>
      <c r="N1493" s="179">
        <v>0</v>
      </c>
      <c r="O1493" s="765">
        <v>7908.8599999999969</v>
      </c>
      <c r="S1493" s="669"/>
      <c r="X1493" s="444">
        <v>1493</v>
      </c>
    </row>
    <row r="1494" spans="1:32" ht="12">
      <c r="A1494" s="665" t="s">
        <v>41764</v>
      </c>
      <c r="B1494" s="665" t="s">
        <v>41765</v>
      </c>
      <c r="C1494" s="666" t="s">
        <v>41718</v>
      </c>
      <c r="D1494" s="667">
        <v>1</v>
      </c>
      <c r="E1494" s="668">
        <v>7918.2099999999964</v>
      </c>
      <c r="F1494" s="668">
        <v>7918.21</v>
      </c>
      <c r="H1494" s="753">
        <v>7918.21</v>
      </c>
      <c r="I1494" s="178">
        <v>9739.4</v>
      </c>
      <c r="J1494" s="753">
        <v>-1821.1900000000032</v>
      </c>
      <c r="K1494" s="754"/>
      <c r="L1494" s="178">
        <v>7918.2099999999964</v>
      </c>
      <c r="M1494" s="753">
        <v>0</v>
      </c>
      <c r="N1494" s="179">
        <v>0</v>
      </c>
      <c r="O1494" s="765">
        <v>7918.2099999999964</v>
      </c>
      <c r="S1494" s="669"/>
      <c r="X1494" s="444">
        <v>1494</v>
      </c>
    </row>
    <row r="1495" spans="1:32" ht="12">
      <c r="A1495" s="665" t="s">
        <v>41766</v>
      </c>
      <c r="B1495" s="665" t="s">
        <v>41767</v>
      </c>
      <c r="C1495" s="666" t="s">
        <v>41718</v>
      </c>
      <c r="D1495" s="667">
        <v>1</v>
      </c>
      <c r="E1495" s="668">
        <v>7239.3199999999961</v>
      </c>
      <c r="F1495" s="668">
        <v>7239.32</v>
      </c>
      <c r="H1495" s="753">
        <v>7239.35</v>
      </c>
      <c r="I1495" s="178">
        <v>8904.4</v>
      </c>
      <c r="J1495" s="753">
        <v>-1665.0800000000036</v>
      </c>
      <c r="K1495" s="754"/>
      <c r="L1495" s="178">
        <v>1999.3999999999999</v>
      </c>
      <c r="M1495" s="753">
        <v>5239.9199999999964</v>
      </c>
      <c r="N1495" s="179">
        <v>0</v>
      </c>
      <c r="O1495" s="765">
        <v>7239.3199999999961</v>
      </c>
      <c r="S1495" s="669"/>
      <c r="X1495" s="444">
        <v>1495</v>
      </c>
    </row>
    <row r="1496" spans="1:32" ht="12">
      <c r="A1496" s="665" t="s">
        <v>41768</v>
      </c>
      <c r="B1496" s="665" t="s">
        <v>41769</v>
      </c>
      <c r="C1496" s="666" t="s">
        <v>41718</v>
      </c>
      <c r="D1496" s="667">
        <v>1</v>
      </c>
      <c r="E1496" s="668">
        <v>8278.6699999999964</v>
      </c>
      <c r="F1496" s="668">
        <v>8278.67</v>
      </c>
      <c r="H1496" s="753">
        <v>8278.67</v>
      </c>
      <c r="I1496" s="178">
        <v>10182.77</v>
      </c>
      <c r="J1496" s="753">
        <v>-1904.100000000004</v>
      </c>
      <c r="K1496" s="754"/>
      <c r="L1496" s="178">
        <v>1862.8200000000002</v>
      </c>
      <c r="M1496" s="753">
        <v>6415.8499999999967</v>
      </c>
      <c r="N1496" s="179">
        <v>0</v>
      </c>
      <c r="O1496" s="765">
        <v>8278.6699999999964</v>
      </c>
      <c r="S1496" s="669"/>
      <c r="X1496" s="444">
        <v>1496</v>
      </c>
    </row>
    <row r="1497" spans="1:32" ht="12">
      <c r="A1497" s="665" t="s">
        <v>41770</v>
      </c>
      <c r="B1497" s="665" t="s">
        <v>41771</v>
      </c>
      <c r="C1497" s="666" t="s">
        <v>41718</v>
      </c>
      <c r="D1497" s="667">
        <v>1</v>
      </c>
      <c r="E1497" s="668">
        <v>7970.2199999999975</v>
      </c>
      <c r="F1497" s="668">
        <v>7970.22</v>
      </c>
      <c r="H1497" s="753">
        <v>7970.25</v>
      </c>
      <c r="I1497" s="178">
        <v>9803.41</v>
      </c>
      <c r="J1497" s="753">
        <v>-1833.1900000000023</v>
      </c>
      <c r="K1497" s="754"/>
      <c r="L1497" s="178">
        <v>1999.3999999999999</v>
      </c>
      <c r="M1497" s="753">
        <v>5970.8199999999979</v>
      </c>
      <c r="N1497" s="179">
        <v>0</v>
      </c>
      <c r="O1497" s="765">
        <v>7970.2199999999975</v>
      </c>
      <c r="S1497" s="669"/>
      <c r="X1497" s="444">
        <v>1497</v>
      </c>
    </row>
    <row r="1498" spans="1:32" ht="12">
      <c r="A1498" s="755" t="s">
        <v>20803</v>
      </c>
      <c r="B1498" s="756" t="s">
        <v>20804</v>
      </c>
      <c r="C1498" s="757" t="s">
        <v>103</v>
      </c>
      <c r="D1498" s="668">
        <v>1</v>
      </c>
      <c r="E1498" s="668">
        <v>333.57</v>
      </c>
      <c r="F1498" s="668">
        <v>333.57</v>
      </c>
      <c r="G1498" s="445"/>
      <c r="H1498" s="178">
        <v>333.57</v>
      </c>
      <c r="I1498" s="178">
        <v>410.29</v>
      </c>
      <c r="J1498" s="70">
        <v>-76.720000000000027</v>
      </c>
      <c r="K1498" s="320"/>
      <c r="L1498" s="178">
        <v>54.61</v>
      </c>
      <c r="M1498" s="178">
        <v>278.95999999999998</v>
      </c>
      <c r="N1498" s="179">
        <v>0</v>
      </c>
      <c r="O1498" s="758">
        <v>333.57</v>
      </c>
      <c r="P1498" s="453"/>
      <c r="Q1498" s="61"/>
      <c r="R1498" s="298"/>
      <c r="S1498" s="669"/>
      <c r="T1498" s="69"/>
      <c r="X1498" s="444">
        <v>1498</v>
      </c>
    </row>
    <row r="1499" spans="1:32" ht="12">
      <c r="A1499" s="755" t="s">
        <v>20805</v>
      </c>
      <c r="B1499" s="756" t="s">
        <v>8646</v>
      </c>
      <c r="C1499" s="757" t="s">
        <v>103</v>
      </c>
      <c r="D1499" s="668">
        <v>1</v>
      </c>
      <c r="E1499" s="668">
        <v>1454.92</v>
      </c>
      <c r="F1499" s="668">
        <v>1454.92</v>
      </c>
      <c r="G1499" s="445"/>
      <c r="H1499" s="178">
        <v>1454.92</v>
      </c>
      <c r="I1499" s="178">
        <v>1789.55</v>
      </c>
      <c r="J1499" s="70">
        <v>-334.62999999999988</v>
      </c>
      <c r="K1499" s="320"/>
      <c r="L1499" s="178">
        <v>109.22</v>
      </c>
      <c r="M1499" s="178">
        <v>1345.7</v>
      </c>
      <c r="N1499" s="179">
        <v>0</v>
      </c>
      <c r="O1499" s="758">
        <v>1454.92</v>
      </c>
      <c r="P1499" s="453"/>
      <c r="Q1499" s="61"/>
      <c r="R1499" s="298"/>
      <c r="S1499" s="669"/>
      <c r="X1499" s="444">
        <v>1499</v>
      </c>
    </row>
    <row r="1500" spans="1:32" ht="12">
      <c r="A1500" s="755" t="s">
        <v>39745</v>
      </c>
      <c r="B1500" s="756" t="s">
        <v>39746</v>
      </c>
      <c r="C1500" s="757"/>
      <c r="D1500" s="668" t="s">
        <v>40899</v>
      </c>
      <c r="E1500" s="668" t="s">
        <v>40899</v>
      </c>
      <c r="F1500" s="668"/>
      <c r="G1500" s="445"/>
      <c r="H1500" s="178"/>
      <c r="I1500" s="178"/>
      <c r="J1500" s="70"/>
      <c r="K1500" s="320"/>
      <c r="L1500" s="178"/>
      <c r="M1500" s="178"/>
      <c r="N1500" s="179"/>
      <c r="O1500" s="758"/>
      <c r="P1500" s="453"/>
      <c r="Q1500" s="61"/>
      <c r="R1500" s="298"/>
      <c r="S1500" s="669"/>
      <c r="X1500" s="444">
        <v>1500</v>
      </c>
    </row>
    <row r="1501" spans="1:32" ht="12">
      <c r="A1501" s="755" t="s">
        <v>20806</v>
      </c>
      <c r="B1501" s="756" t="s">
        <v>29610</v>
      </c>
      <c r="C1501" s="757" t="s">
        <v>165</v>
      </c>
      <c r="D1501" s="668">
        <v>1</v>
      </c>
      <c r="E1501" s="668">
        <v>22.67</v>
      </c>
      <c r="F1501" s="668">
        <v>22.67</v>
      </c>
      <c r="G1501" s="445"/>
      <c r="H1501" s="178">
        <v>22.67</v>
      </c>
      <c r="I1501" s="178">
        <v>27.88</v>
      </c>
      <c r="J1501" s="70">
        <v>-5.2099999999999973</v>
      </c>
      <c r="K1501" s="320"/>
      <c r="L1501" s="178">
        <v>7.1</v>
      </c>
      <c r="M1501" s="178">
        <v>15.570000000000002</v>
      </c>
      <c r="N1501" s="179">
        <v>0</v>
      </c>
      <c r="O1501" s="758">
        <v>22.67</v>
      </c>
      <c r="P1501" s="453"/>
      <c r="Q1501" s="61"/>
      <c r="R1501" s="298"/>
      <c r="S1501" s="669"/>
      <c r="X1501" s="444">
        <v>1501</v>
      </c>
    </row>
    <row r="1502" spans="1:32" s="61" customFormat="1" ht="12">
      <c r="A1502" s="83" t="s">
        <v>20807</v>
      </c>
      <c r="B1502" s="64" t="s">
        <v>29611</v>
      </c>
      <c r="C1502" s="71" t="s">
        <v>165</v>
      </c>
      <c r="D1502" s="79">
        <v>1</v>
      </c>
      <c r="E1502" s="79">
        <v>37.840000000000003</v>
      </c>
      <c r="F1502" s="79">
        <v>37.840000000000003</v>
      </c>
      <c r="G1502" s="445"/>
      <c r="H1502" s="178">
        <v>37.840000000000003</v>
      </c>
      <c r="I1502" s="178">
        <v>46.54</v>
      </c>
      <c r="J1502" s="70">
        <v>-8.6999999999999957</v>
      </c>
      <c r="K1502" s="320"/>
      <c r="L1502" s="178">
        <v>13.65</v>
      </c>
      <c r="M1502" s="178">
        <v>24.190000000000005</v>
      </c>
      <c r="N1502" s="179">
        <v>0</v>
      </c>
      <c r="O1502" s="178">
        <v>37.840000000000003</v>
      </c>
      <c r="P1502" s="453"/>
      <c r="R1502" s="298"/>
      <c r="S1502" s="669"/>
      <c r="T1502" s="444"/>
      <c r="U1502" s="444"/>
      <c r="V1502" s="444"/>
      <c r="W1502" s="444"/>
      <c r="X1502" s="444">
        <v>1502</v>
      </c>
      <c r="Y1502" s="444"/>
      <c r="Z1502" s="444"/>
      <c r="AA1502" s="444"/>
      <c r="AB1502" s="444"/>
      <c r="AC1502" s="444"/>
      <c r="AD1502" s="444"/>
      <c r="AE1502" s="444"/>
      <c r="AF1502" s="444"/>
    </row>
    <row r="1503" spans="1:32" ht="12">
      <c r="A1503" s="83" t="s">
        <v>20808</v>
      </c>
      <c r="B1503" s="64" t="s">
        <v>29612</v>
      </c>
      <c r="C1503" s="71" t="s">
        <v>165</v>
      </c>
      <c r="D1503" s="79">
        <v>1</v>
      </c>
      <c r="E1503" s="79">
        <v>54.72</v>
      </c>
      <c r="F1503" s="79">
        <v>54.72</v>
      </c>
      <c r="G1503" s="445"/>
      <c r="H1503" s="178">
        <v>54.72</v>
      </c>
      <c r="I1503" s="178">
        <v>67.31</v>
      </c>
      <c r="J1503" s="70">
        <v>-12.590000000000003</v>
      </c>
      <c r="K1503" s="320"/>
      <c r="L1503" s="178">
        <v>21.84</v>
      </c>
      <c r="M1503" s="178">
        <v>32.879999999999995</v>
      </c>
      <c r="N1503" s="179">
        <v>0</v>
      </c>
      <c r="O1503" s="178">
        <v>54.72</v>
      </c>
      <c r="P1503" s="453"/>
      <c r="Q1503" s="61"/>
      <c r="R1503" s="298"/>
      <c r="S1503" s="669"/>
      <c r="X1503" s="444">
        <v>1503</v>
      </c>
    </row>
    <row r="1504" spans="1:32" ht="12">
      <c r="A1504" s="83" t="s">
        <v>20809</v>
      </c>
      <c r="B1504" s="64" t="s">
        <v>29613</v>
      </c>
      <c r="C1504" s="71" t="s">
        <v>165</v>
      </c>
      <c r="D1504" s="79">
        <v>1</v>
      </c>
      <c r="E1504" s="79">
        <v>80.330000000000013</v>
      </c>
      <c r="F1504" s="79">
        <v>80.33</v>
      </c>
      <c r="G1504" s="445"/>
      <c r="H1504" s="178">
        <v>80.33</v>
      </c>
      <c r="I1504" s="178">
        <v>98.8</v>
      </c>
      <c r="J1504" s="70">
        <v>-18.469999999999985</v>
      </c>
      <c r="K1504" s="320"/>
      <c r="L1504" s="178">
        <v>32.770000000000003</v>
      </c>
      <c r="M1504" s="178">
        <v>47.560000000000009</v>
      </c>
      <c r="N1504" s="179">
        <v>0</v>
      </c>
      <c r="O1504" s="178">
        <v>80.330000000000013</v>
      </c>
      <c r="P1504" s="453"/>
      <c r="Q1504" s="61"/>
      <c r="R1504" s="298"/>
      <c r="S1504" s="669"/>
      <c r="X1504" s="444">
        <v>1504</v>
      </c>
    </row>
    <row r="1505" spans="1:24" ht="12">
      <c r="A1505" s="83" t="s">
        <v>20810</v>
      </c>
      <c r="B1505" s="64" t="s">
        <v>29614</v>
      </c>
      <c r="C1505" s="71" t="s">
        <v>165</v>
      </c>
      <c r="D1505" s="79">
        <v>1</v>
      </c>
      <c r="E1505" s="79">
        <v>105.35000000000001</v>
      </c>
      <c r="F1505" s="79">
        <v>105.35</v>
      </c>
      <c r="G1505" s="445"/>
      <c r="H1505" s="178">
        <v>105.34</v>
      </c>
      <c r="I1505" s="178">
        <v>129.57</v>
      </c>
      <c r="J1505" s="70">
        <v>-24.219999999999985</v>
      </c>
      <c r="K1505" s="320"/>
      <c r="L1505" s="178">
        <v>38.230000000000004</v>
      </c>
      <c r="M1505" s="178">
        <v>67.12</v>
      </c>
      <c r="N1505" s="179">
        <v>0</v>
      </c>
      <c r="O1505" s="178">
        <v>105.35000000000001</v>
      </c>
      <c r="P1505" s="453"/>
      <c r="Q1505" s="61"/>
      <c r="R1505" s="298"/>
      <c r="S1505" s="669"/>
      <c r="X1505" s="444">
        <v>1505</v>
      </c>
    </row>
    <row r="1506" spans="1:24" ht="12">
      <c r="A1506" s="83" t="s">
        <v>20811</v>
      </c>
      <c r="B1506" s="64" t="s">
        <v>29615</v>
      </c>
      <c r="C1506" s="71" t="s">
        <v>165</v>
      </c>
      <c r="D1506" s="79">
        <v>1</v>
      </c>
      <c r="E1506" s="79">
        <v>148.85</v>
      </c>
      <c r="F1506" s="79">
        <v>148.85</v>
      </c>
      <c r="G1506" s="445"/>
      <c r="H1506" s="178">
        <v>148.85</v>
      </c>
      <c r="I1506" s="178">
        <v>183.08</v>
      </c>
      <c r="J1506" s="70">
        <v>-34.230000000000018</v>
      </c>
      <c r="K1506" s="320"/>
      <c r="L1506" s="178">
        <v>60.07</v>
      </c>
      <c r="M1506" s="178">
        <v>88.78</v>
      </c>
      <c r="N1506" s="179">
        <v>0</v>
      </c>
      <c r="O1506" s="178">
        <v>148.85</v>
      </c>
      <c r="P1506" s="453"/>
      <c r="Q1506" s="61"/>
      <c r="R1506" s="298"/>
      <c r="S1506" s="669"/>
      <c r="X1506" s="444">
        <v>1506</v>
      </c>
    </row>
    <row r="1507" spans="1:24" ht="12">
      <c r="A1507" s="83" t="s">
        <v>20812</v>
      </c>
      <c r="B1507" s="64" t="s">
        <v>29616</v>
      </c>
      <c r="C1507" s="71" t="s">
        <v>165</v>
      </c>
      <c r="D1507" s="79">
        <v>1</v>
      </c>
      <c r="E1507" s="79">
        <v>183.37</v>
      </c>
      <c r="F1507" s="79">
        <v>183.37</v>
      </c>
      <c r="G1507" s="445"/>
      <c r="H1507" s="178">
        <v>183.36</v>
      </c>
      <c r="I1507" s="178">
        <v>225.53</v>
      </c>
      <c r="J1507" s="70">
        <v>-42.16</v>
      </c>
      <c r="K1507" s="320"/>
      <c r="L1507" s="178">
        <v>71</v>
      </c>
      <c r="M1507" s="178">
        <v>112.37</v>
      </c>
      <c r="N1507" s="179">
        <v>0</v>
      </c>
      <c r="O1507" s="178">
        <v>183.37</v>
      </c>
      <c r="P1507" s="453"/>
      <c r="Q1507" s="61"/>
      <c r="R1507" s="298"/>
      <c r="S1507" s="669"/>
      <c r="X1507" s="444">
        <v>1507</v>
      </c>
    </row>
    <row r="1508" spans="1:24" ht="12">
      <c r="A1508" s="83" t="s">
        <v>20813</v>
      </c>
      <c r="B1508" s="64" t="s">
        <v>29617</v>
      </c>
      <c r="C1508" s="71" t="s">
        <v>165</v>
      </c>
      <c r="D1508" s="79">
        <v>1</v>
      </c>
      <c r="E1508" s="79">
        <v>222.71</v>
      </c>
      <c r="F1508" s="79">
        <v>222.71</v>
      </c>
      <c r="G1508" s="445"/>
      <c r="H1508" s="178">
        <v>222.68</v>
      </c>
      <c r="I1508" s="178">
        <v>273.89999999999998</v>
      </c>
      <c r="J1508" s="70">
        <v>-51.189999999999969</v>
      </c>
      <c r="K1508" s="320"/>
      <c r="L1508" s="178">
        <v>81.94</v>
      </c>
      <c r="M1508" s="178">
        <v>140.77000000000001</v>
      </c>
      <c r="N1508" s="179">
        <v>0</v>
      </c>
      <c r="O1508" s="178">
        <v>222.71</v>
      </c>
      <c r="P1508" s="453"/>
      <c r="Q1508" s="61"/>
      <c r="R1508" s="298"/>
      <c r="S1508" s="669"/>
      <c r="X1508" s="444">
        <v>1508</v>
      </c>
    </row>
    <row r="1509" spans="1:24" ht="12">
      <c r="A1509" s="83" t="s">
        <v>20814</v>
      </c>
      <c r="B1509" s="64" t="s">
        <v>29618</v>
      </c>
      <c r="C1509" s="71" t="s">
        <v>165</v>
      </c>
      <c r="D1509" s="79">
        <v>1</v>
      </c>
      <c r="E1509" s="79">
        <v>273.51</v>
      </c>
      <c r="F1509" s="79">
        <v>273.51</v>
      </c>
      <c r="G1509" s="445"/>
      <c r="H1509" s="178">
        <v>273.51</v>
      </c>
      <c r="I1509" s="178">
        <v>336.42</v>
      </c>
      <c r="J1509" s="70">
        <v>-62.910000000000025</v>
      </c>
      <c r="K1509" s="320"/>
      <c r="L1509" s="178">
        <v>103.75999999999999</v>
      </c>
      <c r="M1509" s="178">
        <v>169.75</v>
      </c>
      <c r="N1509" s="179">
        <v>0</v>
      </c>
      <c r="O1509" s="178">
        <v>273.51</v>
      </c>
      <c r="P1509" s="453"/>
      <c r="Q1509" s="61"/>
      <c r="R1509" s="298"/>
      <c r="S1509" s="669"/>
      <c r="X1509" s="444">
        <v>1509</v>
      </c>
    </row>
    <row r="1510" spans="1:24" ht="12">
      <c r="A1510" s="83" t="s">
        <v>20815</v>
      </c>
      <c r="B1510" s="64" t="s">
        <v>29619</v>
      </c>
      <c r="C1510" s="71" t="s">
        <v>165</v>
      </c>
      <c r="D1510" s="79">
        <v>1</v>
      </c>
      <c r="E1510" s="79">
        <v>339.7</v>
      </c>
      <c r="F1510" s="79">
        <v>339.7</v>
      </c>
      <c r="G1510" s="445"/>
      <c r="H1510" s="178">
        <v>339.69</v>
      </c>
      <c r="I1510" s="178">
        <v>417.82</v>
      </c>
      <c r="J1510" s="70">
        <v>-78.12</v>
      </c>
      <c r="K1510" s="320"/>
      <c r="L1510" s="178">
        <v>114.69</v>
      </c>
      <c r="M1510" s="178">
        <v>225.01</v>
      </c>
      <c r="N1510" s="179">
        <v>0</v>
      </c>
      <c r="O1510" s="178">
        <v>339.7</v>
      </c>
      <c r="P1510" s="453"/>
      <c r="Q1510" s="61"/>
      <c r="R1510" s="298"/>
      <c r="S1510" s="669"/>
      <c r="X1510" s="444">
        <v>1510</v>
      </c>
    </row>
    <row r="1511" spans="1:24" ht="12">
      <c r="A1511" s="83" t="s">
        <v>20816</v>
      </c>
      <c r="B1511" s="64" t="s">
        <v>29620</v>
      </c>
      <c r="C1511" s="71" t="s">
        <v>165</v>
      </c>
      <c r="D1511" s="79">
        <v>1</v>
      </c>
      <c r="E1511" s="79">
        <v>395.08000000000004</v>
      </c>
      <c r="F1511" s="79">
        <v>395.08</v>
      </c>
      <c r="G1511" s="445"/>
      <c r="H1511" s="178">
        <v>395.08</v>
      </c>
      <c r="I1511" s="178">
        <v>485.95</v>
      </c>
      <c r="J1511" s="70">
        <v>-90.869999999999948</v>
      </c>
      <c r="K1511" s="320"/>
      <c r="L1511" s="178">
        <v>109.22</v>
      </c>
      <c r="M1511" s="178">
        <v>285.86</v>
      </c>
      <c r="N1511" s="179">
        <v>0</v>
      </c>
      <c r="O1511" s="178">
        <v>395.08000000000004</v>
      </c>
      <c r="P1511" s="453"/>
      <c r="Q1511" s="61"/>
      <c r="R1511" s="298"/>
      <c r="S1511" s="669"/>
      <c r="X1511" s="444">
        <v>1511</v>
      </c>
    </row>
    <row r="1512" spans="1:24" ht="12">
      <c r="A1512" s="83" t="s">
        <v>20817</v>
      </c>
      <c r="B1512" s="64" t="s">
        <v>29621</v>
      </c>
      <c r="C1512" s="71" t="s">
        <v>165</v>
      </c>
      <c r="D1512" s="79">
        <v>1</v>
      </c>
      <c r="E1512" s="79">
        <v>15.129999999999999</v>
      </c>
      <c r="F1512" s="79">
        <v>15.13</v>
      </c>
      <c r="G1512" s="445"/>
      <c r="H1512" s="178">
        <v>15.11</v>
      </c>
      <c r="I1512" s="178">
        <v>18.579999999999998</v>
      </c>
      <c r="J1512" s="70">
        <v>-3.4499999999999993</v>
      </c>
      <c r="K1512" s="320"/>
      <c r="L1512" s="178">
        <v>4.93</v>
      </c>
      <c r="M1512" s="178">
        <v>10.199999999999999</v>
      </c>
      <c r="N1512" s="179">
        <v>0</v>
      </c>
      <c r="O1512" s="178">
        <v>15.129999999999999</v>
      </c>
      <c r="P1512" s="453"/>
      <c r="Q1512" s="61"/>
      <c r="R1512" s="298"/>
      <c r="S1512" s="669"/>
      <c r="X1512" s="444">
        <v>1512</v>
      </c>
    </row>
    <row r="1513" spans="1:24" ht="12">
      <c r="A1513" s="63" t="s">
        <v>20818</v>
      </c>
      <c r="B1513" s="146" t="s">
        <v>29622</v>
      </c>
      <c r="C1513" s="134" t="s">
        <v>165</v>
      </c>
      <c r="D1513" s="79">
        <v>1</v>
      </c>
      <c r="E1513" s="79">
        <v>7.85</v>
      </c>
      <c r="F1513" s="79">
        <v>7.85</v>
      </c>
      <c r="G1513" s="445"/>
      <c r="H1513" s="178">
        <v>7.87</v>
      </c>
      <c r="I1513" s="178">
        <v>9.68</v>
      </c>
      <c r="J1513" s="70">
        <v>-1.83</v>
      </c>
      <c r="K1513" s="320"/>
      <c r="L1513" s="178">
        <v>3.26</v>
      </c>
      <c r="M1513" s="178">
        <v>4.59</v>
      </c>
      <c r="N1513" s="179">
        <v>0</v>
      </c>
      <c r="O1513" s="178">
        <v>7.85</v>
      </c>
      <c r="P1513" s="453"/>
      <c r="Q1513" s="61"/>
      <c r="R1513" s="298"/>
      <c r="S1513" s="669"/>
      <c r="X1513" s="444">
        <v>1513</v>
      </c>
    </row>
    <row r="1514" spans="1:24" ht="12">
      <c r="A1514" s="63" t="s">
        <v>20819</v>
      </c>
      <c r="B1514" s="146" t="s">
        <v>29623</v>
      </c>
      <c r="C1514" s="134" t="s">
        <v>165</v>
      </c>
      <c r="D1514" s="79">
        <v>1</v>
      </c>
      <c r="E1514" s="79">
        <v>11.96</v>
      </c>
      <c r="F1514" s="79">
        <v>11.96</v>
      </c>
      <c r="G1514" s="445"/>
      <c r="H1514" s="178">
        <v>11.96</v>
      </c>
      <c r="I1514" s="178">
        <v>14.71</v>
      </c>
      <c r="J1514" s="70">
        <v>-2.75</v>
      </c>
      <c r="K1514" s="320"/>
      <c r="L1514" s="178">
        <v>5.46</v>
      </c>
      <c r="M1514" s="178">
        <v>6.5000000000000009</v>
      </c>
      <c r="N1514" s="179">
        <v>0</v>
      </c>
      <c r="O1514" s="178">
        <v>11.96</v>
      </c>
      <c r="P1514" s="453"/>
      <c r="Q1514" s="61"/>
      <c r="R1514" s="298"/>
      <c r="S1514" s="669"/>
      <c r="X1514" s="444">
        <v>1514</v>
      </c>
    </row>
    <row r="1515" spans="1:24" ht="12">
      <c r="A1515" s="63" t="s">
        <v>20820</v>
      </c>
      <c r="B1515" s="146" t="s">
        <v>29624</v>
      </c>
      <c r="C1515" s="134" t="s">
        <v>165</v>
      </c>
      <c r="D1515" s="79">
        <v>1</v>
      </c>
      <c r="E1515" s="79">
        <v>18.479999999999997</v>
      </c>
      <c r="F1515" s="79">
        <v>18.48</v>
      </c>
      <c r="G1515" s="445"/>
      <c r="H1515" s="178">
        <v>18.48</v>
      </c>
      <c r="I1515" s="178">
        <v>22.73</v>
      </c>
      <c r="J1515" s="70">
        <v>-4.2500000000000036</v>
      </c>
      <c r="K1515" s="320"/>
      <c r="L1515" s="178">
        <v>8.19</v>
      </c>
      <c r="M1515" s="178">
        <v>10.289999999999997</v>
      </c>
      <c r="N1515" s="179">
        <v>0</v>
      </c>
      <c r="O1515" s="178">
        <v>18.479999999999997</v>
      </c>
      <c r="P1515" s="453"/>
      <c r="Q1515" s="61"/>
      <c r="R1515" s="298"/>
      <c r="S1515" s="669"/>
      <c r="X1515" s="444">
        <v>1515</v>
      </c>
    </row>
    <row r="1516" spans="1:24" ht="12">
      <c r="A1516" s="454" t="s">
        <v>20821</v>
      </c>
      <c r="B1516" s="146" t="s">
        <v>29625</v>
      </c>
      <c r="C1516" s="134" t="s">
        <v>165</v>
      </c>
      <c r="D1516" s="79">
        <v>1</v>
      </c>
      <c r="E1516" s="79">
        <v>31.75</v>
      </c>
      <c r="F1516" s="79">
        <v>31.75</v>
      </c>
      <c r="G1516" s="445"/>
      <c r="H1516" s="178">
        <v>31.76</v>
      </c>
      <c r="I1516" s="178">
        <v>39.06</v>
      </c>
      <c r="J1516" s="70">
        <v>-7.3100000000000023</v>
      </c>
      <c r="K1516" s="320"/>
      <c r="L1516" s="178">
        <v>15.829999999999998</v>
      </c>
      <c r="M1516" s="178">
        <v>15.920000000000002</v>
      </c>
      <c r="N1516" s="179">
        <v>0</v>
      </c>
      <c r="O1516" s="178">
        <v>31.75</v>
      </c>
      <c r="P1516" s="453"/>
      <c r="Q1516" s="61"/>
      <c r="R1516" s="298"/>
      <c r="S1516" s="669"/>
      <c r="X1516" s="444">
        <v>1516</v>
      </c>
    </row>
    <row r="1517" spans="1:24" ht="12">
      <c r="A1517" s="63" t="s">
        <v>20822</v>
      </c>
      <c r="B1517" s="146" t="s">
        <v>29626</v>
      </c>
      <c r="C1517" s="134" t="s">
        <v>165</v>
      </c>
      <c r="D1517" s="79">
        <v>1</v>
      </c>
      <c r="E1517" s="79">
        <v>50.650000000000006</v>
      </c>
      <c r="F1517" s="79">
        <v>50.65</v>
      </c>
      <c r="G1517" s="445"/>
      <c r="H1517" s="178">
        <v>50.66</v>
      </c>
      <c r="I1517" s="178">
        <v>62.31</v>
      </c>
      <c r="J1517" s="70">
        <v>-11.659999999999997</v>
      </c>
      <c r="K1517" s="320"/>
      <c r="L1517" s="178">
        <v>26.200000000000003</v>
      </c>
      <c r="M1517" s="178">
        <v>24.450000000000003</v>
      </c>
      <c r="N1517" s="179">
        <v>0</v>
      </c>
      <c r="O1517" s="178">
        <v>50.650000000000006</v>
      </c>
      <c r="P1517" s="453"/>
      <c r="Q1517" s="61"/>
      <c r="R1517" s="298"/>
      <c r="S1517" s="669"/>
      <c r="X1517" s="444">
        <v>1517</v>
      </c>
    </row>
    <row r="1518" spans="1:24" ht="12">
      <c r="A1518" s="63" t="s">
        <v>20823</v>
      </c>
      <c r="B1518" s="146" t="s">
        <v>29627</v>
      </c>
      <c r="C1518" s="134" t="s">
        <v>165</v>
      </c>
      <c r="D1518" s="79">
        <v>1</v>
      </c>
      <c r="E1518" s="79">
        <v>72.09</v>
      </c>
      <c r="F1518" s="79">
        <v>72.09</v>
      </c>
      <c r="G1518" s="445"/>
      <c r="H1518" s="178">
        <v>72.08</v>
      </c>
      <c r="I1518" s="178">
        <v>88.66</v>
      </c>
      <c r="J1518" s="70">
        <v>-16.569999999999993</v>
      </c>
      <c r="K1518" s="320"/>
      <c r="L1518" s="178">
        <v>38.230000000000004</v>
      </c>
      <c r="M1518" s="178">
        <v>33.86</v>
      </c>
      <c r="N1518" s="179">
        <v>0</v>
      </c>
      <c r="O1518" s="178">
        <v>72.09</v>
      </c>
      <c r="P1518" s="453"/>
      <c r="Q1518" s="61"/>
      <c r="R1518" s="298"/>
      <c r="S1518" s="669"/>
      <c r="X1518" s="444">
        <v>1518</v>
      </c>
    </row>
    <row r="1519" spans="1:24" ht="12">
      <c r="A1519" s="63" t="s">
        <v>20824</v>
      </c>
      <c r="B1519" s="146" t="s">
        <v>29628</v>
      </c>
      <c r="C1519" s="134" t="s">
        <v>165</v>
      </c>
      <c r="D1519" s="79">
        <v>1</v>
      </c>
      <c r="E1519" s="79">
        <v>92.3</v>
      </c>
      <c r="F1519" s="79">
        <v>92.3</v>
      </c>
      <c r="G1519" s="445"/>
      <c r="H1519" s="178">
        <v>92.29</v>
      </c>
      <c r="I1519" s="178">
        <v>113.52</v>
      </c>
      <c r="J1519" s="70">
        <v>-21.22</v>
      </c>
      <c r="K1519" s="320"/>
      <c r="L1519" s="178">
        <v>43.69</v>
      </c>
      <c r="M1519" s="178">
        <v>48.61</v>
      </c>
      <c r="N1519" s="179">
        <v>0</v>
      </c>
      <c r="O1519" s="178">
        <v>92.3</v>
      </c>
      <c r="P1519" s="453"/>
      <c r="Q1519" s="61"/>
      <c r="R1519" s="298"/>
      <c r="S1519" s="669"/>
      <c r="X1519" s="444">
        <v>1519</v>
      </c>
    </row>
    <row r="1520" spans="1:24" ht="12">
      <c r="A1520" s="63" t="s">
        <v>20825</v>
      </c>
      <c r="B1520" s="146" t="s">
        <v>29629</v>
      </c>
      <c r="C1520" s="134" t="s">
        <v>165</v>
      </c>
      <c r="D1520" s="79">
        <v>1</v>
      </c>
      <c r="E1520" s="79">
        <v>122.38</v>
      </c>
      <c r="F1520" s="79">
        <v>122.38</v>
      </c>
      <c r="G1520" s="445"/>
      <c r="H1520" s="178">
        <v>122.38</v>
      </c>
      <c r="I1520" s="178">
        <v>150.53</v>
      </c>
      <c r="J1520" s="70">
        <v>-28.150000000000006</v>
      </c>
      <c r="K1520" s="320"/>
      <c r="L1520" s="178">
        <v>54.61</v>
      </c>
      <c r="M1520" s="178">
        <v>67.77</v>
      </c>
      <c r="N1520" s="179">
        <v>0</v>
      </c>
      <c r="O1520" s="178">
        <v>122.38</v>
      </c>
      <c r="P1520" s="453"/>
      <c r="Q1520" s="61"/>
      <c r="R1520" s="298"/>
      <c r="S1520" s="669"/>
      <c r="X1520" s="444">
        <v>1520</v>
      </c>
    </row>
    <row r="1521" spans="1:32" ht="12">
      <c r="A1521" s="63" t="s">
        <v>20826</v>
      </c>
      <c r="B1521" s="146" t="s">
        <v>29630</v>
      </c>
      <c r="C1521" s="134" t="s">
        <v>165</v>
      </c>
      <c r="D1521" s="79">
        <v>1</v>
      </c>
      <c r="E1521" s="79">
        <v>160.69999999999999</v>
      </c>
      <c r="F1521" s="79">
        <v>160.69999999999999</v>
      </c>
      <c r="G1521" s="445"/>
      <c r="H1521" s="178">
        <v>160.69</v>
      </c>
      <c r="I1521" s="178">
        <v>197.65</v>
      </c>
      <c r="J1521" s="70">
        <v>-36.950000000000017</v>
      </c>
      <c r="K1521" s="320"/>
      <c r="L1521" s="178">
        <v>71</v>
      </c>
      <c r="M1521" s="178">
        <v>89.699999999999989</v>
      </c>
      <c r="N1521" s="179">
        <v>0</v>
      </c>
      <c r="O1521" s="178">
        <v>160.69999999999999</v>
      </c>
      <c r="P1521" s="453"/>
      <c r="Q1521" s="61"/>
      <c r="R1521" s="298"/>
      <c r="S1521" s="669"/>
      <c r="X1521" s="444">
        <v>1521</v>
      </c>
    </row>
    <row r="1522" spans="1:32" ht="12">
      <c r="A1522" s="63" t="s">
        <v>20827</v>
      </c>
      <c r="B1522" s="146" t="s">
        <v>29631</v>
      </c>
      <c r="C1522" s="134" t="s">
        <v>165</v>
      </c>
      <c r="D1522" s="79">
        <v>1</v>
      </c>
      <c r="E1522" s="79">
        <v>195.89999999999998</v>
      </c>
      <c r="F1522" s="79">
        <v>195.9</v>
      </c>
      <c r="G1522" s="445"/>
      <c r="H1522" s="178">
        <v>195.87</v>
      </c>
      <c r="I1522" s="178">
        <v>240.92</v>
      </c>
      <c r="J1522" s="70">
        <v>-45.02000000000001</v>
      </c>
      <c r="K1522" s="320"/>
      <c r="L1522" s="178">
        <v>81.94</v>
      </c>
      <c r="M1522" s="178">
        <v>113.95999999999998</v>
      </c>
      <c r="N1522" s="179">
        <v>0</v>
      </c>
      <c r="O1522" s="178">
        <v>195.89999999999998</v>
      </c>
      <c r="P1522" s="453"/>
      <c r="Q1522" s="61"/>
      <c r="R1522" s="298"/>
      <c r="S1522" s="669"/>
      <c r="X1522" s="444">
        <v>1522</v>
      </c>
    </row>
    <row r="1523" spans="1:32" ht="12">
      <c r="A1523" s="63" t="s">
        <v>20828</v>
      </c>
      <c r="B1523" s="146" t="s">
        <v>29632</v>
      </c>
      <c r="C1523" s="134" t="s">
        <v>165</v>
      </c>
      <c r="D1523" s="79">
        <v>1</v>
      </c>
      <c r="E1523" s="79">
        <v>235.5</v>
      </c>
      <c r="F1523" s="79">
        <v>235.5</v>
      </c>
      <c r="G1523" s="445"/>
      <c r="H1523" s="178">
        <v>235.49</v>
      </c>
      <c r="I1523" s="178">
        <v>289.64999999999998</v>
      </c>
      <c r="J1523" s="70">
        <v>-54.149999999999977</v>
      </c>
      <c r="K1523" s="320"/>
      <c r="L1523" s="178">
        <v>92.84</v>
      </c>
      <c r="M1523" s="178">
        <v>142.66</v>
      </c>
      <c r="N1523" s="179">
        <v>0</v>
      </c>
      <c r="O1523" s="178">
        <v>235.5</v>
      </c>
      <c r="P1523" s="453"/>
      <c r="Q1523" s="61"/>
      <c r="R1523" s="298"/>
      <c r="S1523" s="669"/>
      <c r="X1523" s="444">
        <v>1523</v>
      </c>
    </row>
    <row r="1524" spans="1:32" ht="12">
      <c r="A1524" s="63" t="s">
        <v>20829</v>
      </c>
      <c r="B1524" s="146" t="s">
        <v>29633</v>
      </c>
      <c r="C1524" s="134" t="s">
        <v>165</v>
      </c>
      <c r="D1524" s="79">
        <v>1</v>
      </c>
      <c r="E1524" s="79">
        <v>280.58000000000004</v>
      </c>
      <c r="F1524" s="79">
        <v>280.58</v>
      </c>
      <c r="G1524" s="445"/>
      <c r="H1524" s="178">
        <v>280.58</v>
      </c>
      <c r="I1524" s="178">
        <v>345.11</v>
      </c>
      <c r="J1524" s="70">
        <v>-64.529999999999973</v>
      </c>
      <c r="K1524" s="320"/>
      <c r="L1524" s="178">
        <v>109.22</v>
      </c>
      <c r="M1524" s="178">
        <v>171.36000000000004</v>
      </c>
      <c r="N1524" s="179">
        <v>0</v>
      </c>
      <c r="O1524" s="178">
        <v>280.58000000000004</v>
      </c>
      <c r="P1524" s="453"/>
      <c r="Q1524" s="61"/>
      <c r="R1524" s="298"/>
      <c r="S1524" s="669"/>
      <c r="X1524" s="444">
        <v>1524</v>
      </c>
    </row>
    <row r="1525" spans="1:32" ht="12">
      <c r="A1525" s="63" t="s">
        <v>20830</v>
      </c>
      <c r="B1525" s="146" t="s">
        <v>29634</v>
      </c>
      <c r="C1525" s="134" t="s">
        <v>165</v>
      </c>
      <c r="D1525" s="79">
        <v>1</v>
      </c>
      <c r="E1525" s="79">
        <v>347.39</v>
      </c>
      <c r="F1525" s="79">
        <v>347.39</v>
      </c>
      <c r="G1525" s="445"/>
      <c r="H1525" s="178">
        <v>347.38</v>
      </c>
      <c r="I1525" s="178">
        <v>427.28</v>
      </c>
      <c r="J1525" s="70">
        <v>-79.889999999999986</v>
      </c>
      <c r="K1525" s="320"/>
      <c r="L1525" s="178">
        <v>120.15</v>
      </c>
      <c r="M1525" s="178">
        <v>227.23999999999998</v>
      </c>
      <c r="N1525" s="179">
        <v>0</v>
      </c>
      <c r="O1525" s="178">
        <v>347.39</v>
      </c>
      <c r="P1525" s="453"/>
      <c r="Q1525" s="61"/>
      <c r="R1525" s="298"/>
      <c r="S1525" s="669"/>
      <c r="X1525" s="444">
        <v>1525</v>
      </c>
    </row>
    <row r="1526" spans="1:32" ht="12">
      <c r="A1526" s="454" t="s">
        <v>20831</v>
      </c>
      <c r="B1526" s="146" t="s">
        <v>29635</v>
      </c>
      <c r="C1526" s="134" t="s">
        <v>165</v>
      </c>
      <c r="D1526" s="79">
        <v>1</v>
      </c>
      <c r="E1526" s="79">
        <v>427.31</v>
      </c>
      <c r="F1526" s="79">
        <v>427.31</v>
      </c>
      <c r="G1526" s="445"/>
      <c r="H1526" s="178">
        <v>427.28</v>
      </c>
      <c r="I1526" s="178">
        <v>525.55999999999995</v>
      </c>
      <c r="J1526" s="70">
        <v>-98.249999999999943</v>
      </c>
      <c r="K1526" s="320"/>
      <c r="L1526" s="178">
        <v>136.55000000000001</v>
      </c>
      <c r="M1526" s="178">
        <v>290.76</v>
      </c>
      <c r="N1526" s="179">
        <v>0</v>
      </c>
      <c r="O1526" s="178">
        <v>427.31</v>
      </c>
      <c r="P1526" s="453"/>
      <c r="Q1526" s="61"/>
      <c r="R1526" s="298"/>
      <c r="S1526" s="669"/>
      <c r="X1526" s="444">
        <v>1526</v>
      </c>
    </row>
    <row r="1527" spans="1:32" ht="12">
      <c r="A1527" s="83" t="s">
        <v>20832</v>
      </c>
      <c r="B1527" s="64" t="s">
        <v>20833</v>
      </c>
      <c r="C1527" s="71" t="s">
        <v>165</v>
      </c>
      <c r="D1527" s="79">
        <v>1</v>
      </c>
      <c r="E1527" s="79">
        <v>35.479999999999997</v>
      </c>
      <c r="F1527" s="79">
        <v>35.479999999999997</v>
      </c>
      <c r="G1527" s="445"/>
      <c r="H1527" s="178">
        <v>35.46</v>
      </c>
      <c r="I1527" s="178">
        <v>43.61</v>
      </c>
      <c r="J1527" s="70">
        <v>-8.1300000000000026</v>
      </c>
      <c r="K1527" s="320"/>
      <c r="L1527" s="178">
        <v>27.33</v>
      </c>
      <c r="M1527" s="178">
        <v>8.1499999999999986</v>
      </c>
      <c r="N1527" s="179">
        <v>0</v>
      </c>
      <c r="O1527" s="178">
        <v>35.479999999999997</v>
      </c>
      <c r="P1527" s="453"/>
      <c r="Q1527" s="61"/>
      <c r="R1527" s="298"/>
      <c r="S1527" s="669"/>
      <c r="U1527" s="61"/>
      <c r="V1527" s="61"/>
      <c r="W1527" s="61"/>
      <c r="X1527" s="444">
        <v>1527</v>
      </c>
      <c r="Y1527" s="61"/>
      <c r="Z1527" s="61"/>
      <c r="AA1527" s="61"/>
      <c r="AB1527" s="61"/>
      <c r="AC1527" s="61"/>
      <c r="AD1527" s="61"/>
      <c r="AE1527" s="61"/>
      <c r="AF1527" s="61"/>
    </row>
    <row r="1528" spans="1:32" ht="12">
      <c r="A1528" s="83" t="s">
        <v>20834</v>
      </c>
      <c r="B1528" s="64" t="s">
        <v>20835</v>
      </c>
      <c r="C1528" s="71" t="s">
        <v>165</v>
      </c>
      <c r="D1528" s="79">
        <v>1</v>
      </c>
      <c r="E1528" s="79">
        <v>44.38</v>
      </c>
      <c r="F1528" s="79">
        <v>44.38</v>
      </c>
      <c r="G1528" s="445"/>
      <c r="H1528" s="178">
        <v>44.37</v>
      </c>
      <c r="I1528" s="178">
        <v>54.57</v>
      </c>
      <c r="J1528" s="70">
        <v>-10.189999999999998</v>
      </c>
      <c r="K1528" s="320"/>
      <c r="L1528" s="178">
        <v>32.770000000000003</v>
      </c>
      <c r="M1528" s="178">
        <v>11.61</v>
      </c>
      <c r="N1528" s="179">
        <v>0</v>
      </c>
      <c r="O1528" s="178">
        <v>44.38</v>
      </c>
      <c r="P1528" s="453"/>
      <c r="Q1528" s="61"/>
      <c r="R1528" s="298"/>
      <c r="S1528" s="669"/>
      <c r="U1528" s="61"/>
      <c r="V1528" s="61"/>
      <c r="W1528" s="61"/>
      <c r="X1528" s="444">
        <v>1528</v>
      </c>
      <c r="Y1528" s="61"/>
      <c r="Z1528" s="61"/>
      <c r="AA1528" s="61"/>
      <c r="AB1528" s="61"/>
      <c r="AC1528" s="61"/>
      <c r="AD1528" s="61"/>
      <c r="AE1528" s="61"/>
      <c r="AF1528" s="61"/>
    </row>
    <row r="1529" spans="1:32" ht="12">
      <c r="A1529" s="83" t="s">
        <v>20836</v>
      </c>
      <c r="B1529" s="64" t="s">
        <v>20837</v>
      </c>
      <c r="C1529" s="71" t="s">
        <v>165</v>
      </c>
      <c r="D1529" s="79">
        <v>1</v>
      </c>
      <c r="E1529" s="79">
        <v>56.710000000000008</v>
      </c>
      <c r="F1529" s="79">
        <v>56.71</v>
      </c>
      <c r="G1529" s="445"/>
      <c r="H1529" s="178">
        <v>56.71</v>
      </c>
      <c r="I1529" s="178">
        <v>69.75</v>
      </c>
      <c r="J1529" s="70">
        <v>-13.039999999999992</v>
      </c>
      <c r="K1529" s="320"/>
      <c r="L1529" s="178">
        <v>38.230000000000004</v>
      </c>
      <c r="M1529" s="178">
        <v>18.480000000000004</v>
      </c>
      <c r="N1529" s="179">
        <v>0</v>
      </c>
      <c r="O1529" s="178">
        <v>56.710000000000008</v>
      </c>
      <c r="P1529" s="453"/>
      <c r="Q1529" s="61"/>
      <c r="R1529" s="298"/>
      <c r="S1529" s="669"/>
      <c r="X1529" s="444">
        <v>1529</v>
      </c>
    </row>
    <row r="1530" spans="1:32" ht="12">
      <c r="A1530" s="83" t="s">
        <v>20838</v>
      </c>
      <c r="B1530" s="64" t="s">
        <v>20839</v>
      </c>
      <c r="C1530" s="71" t="s">
        <v>165</v>
      </c>
      <c r="D1530" s="79">
        <v>1</v>
      </c>
      <c r="E1530" s="79">
        <v>63.339999999999996</v>
      </c>
      <c r="F1530" s="79">
        <v>63.34</v>
      </c>
      <c r="G1530" s="445"/>
      <c r="H1530" s="178">
        <v>63.33</v>
      </c>
      <c r="I1530" s="178">
        <v>77.900000000000006</v>
      </c>
      <c r="J1530" s="70">
        <v>-14.560000000000009</v>
      </c>
      <c r="K1530" s="320"/>
      <c r="L1530" s="178">
        <v>43.69</v>
      </c>
      <c r="M1530" s="178">
        <v>19.649999999999999</v>
      </c>
      <c r="N1530" s="179">
        <v>0</v>
      </c>
      <c r="O1530" s="178">
        <v>63.339999999999996</v>
      </c>
      <c r="P1530" s="453"/>
      <c r="Q1530" s="61"/>
      <c r="R1530" s="298"/>
      <c r="S1530" s="669"/>
      <c r="X1530" s="444">
        <v>1530</v>
      </c>
    </row>
    <row r="1531" spans="1:32" ht="12">
      <c r="A1531" s="83" t="s">
        <v>20840</v>
      </c>
      <c r="B1531" s="64" t="s">
        <v>20841</v>
      </c>
      <c r="C1531" s="71" t="s">
        <v>165</v>
      </c>
      <c r="D1531" s="79">
        <v>1</v>
      </c>
      <c r="E1531" s="79">
        <v>73.47</v>
      </c>
      <c r="F1531" s="79">
        <v>73.47</v>
      </c>
      <c r="G1531" s="445"/>
      <c r="H1531" s="178">
        <v>73.47</v>
      </c>
      <c r="I1531" s="178">
        <v>90.37</v>
      </c>
      <c r="J1531" s="70">
        <v>-16.900000000000006</v>
      </c>
      <c r="K1531" s="320"/>
      <c r="L1531" s="178">
        <v>49.150000000000006</v>
      </c>
      <c r="M1531" s="178">
        <v>24.319999999999993</v>
      </c>
      <c r="N1531" s="179">
        <v>0</v>
      </c>
      <c r="O1531" s="178">
        <v>73.47</v>
      </c>
      <c r="P1531" s="453"/>
      <c r="Q1531" s="61"/>
      <c r="R1531" s="298"/>
      <c r="S1531" s="669"/>
      <c r="X1531" s="444">
        <v>1531</v>
      </c>
    </row>
    <row r="1532" spans="1:32" ht="12">
      <c r="A1532" s="83" t="s">
        <v>20842</v>
      </c>
      <c r="B1532" s="64" t="s">
        <v>20843</v>
      </c>
      <c r="C1532" s="71" t="s">
        <v>165</v>
      </c>
      <c r="D1532" s="79">
        <v>1</v>
      </c>
      <c r="E1532" s="79">
        <v>103.66</v>
      </c>
      <c r="F1532" s="79">
        <v>103.66</v>
      </c>
      <c r="G1532" s="445"/>
      <c r="H1532" s="178">
        <v>103.66</v>
      </c>
      <c r="I1532" s="178">
        <v>127.5</v>
      </c>
      <c r="J1532" s="70">
        <v>-23.840000000000003</v>
      </c>
      <c r="K1532" s="320"/>
      <c r="L1532" s="178">
        <v>54.61</v>
      </c>
      <c r="M1532" s="178">
        <v>49.05</v>
      </c>
      <c r="N1532" s="179">
        <v>0</v>
      </c>
      <c r="O1532" s="178">
        <v>103.66</v>
      </c>
      <c r="P1532" s="453"/>
      <c r="Q1532" s="61"/>
      <c r="R1532" s="298"/>
      <c r="S1532" s="669"/>
      <c r="X1532" s="444">
        <v>1532</v>
      </c>
    </row>
    <row r="1533" spans="1:32" ht="12">
      <c r="A1533" s="83" t="s">
        <v>20844</v>
      </c>
      <c r="B1533" s="64" t="s">
        <v>20845</v>
      </c>
      <c r="C1533" s="71" t="s">
        <v>165</v>
      </c>
      <c r="D1533" s="79">
        <v>1</v>
      </c>
      <c r="E1533" s="79">
        <v>118.47</v>
      </c>
      <c r="F1533" s="79">
        <v>118.47</v>
      </c>
      <c r="G1533" s="445"/>
      <c r="H1533" s="178">
        <v>118.47</v>
      </c>
      <c r="I1533" s="178">
        <v>145.72</v>
      </c>
      <c r="J1533" s="70">
        <v>-27.25</v>
      </c>
      <c r="K1533" s="320"/>
      <c r="L1533" s="178">
        <v>60.07</v>
      </c>
      <c r="M1533" s="178">
        <v>58.4</v>
      </c>
      <c r="N1533" s="179">
        <v>0</v>
      </c>
      <c r="O1533" s="178">
        <v>118.47</v>
      </c>
      <c r="P1533" s="453"/>
      <c r="Q1533" s="61"/>
      <c r="R1533" s="298"/>
      <c r="S1533" s="669"/>
      <c r="X1533" s="444">
        <v>1533</v>
      </c>
    </row>
    <row r="1534" spans="1:32" ht="12">
      <c r="A1534" s="83" t="s">
        <v>20846</v>
      </c>
      <c r="B1534" s="64" t="s">
        <v>20847</v>
      </c>
      <c r="C1534" s="71" t="s">
        <v>165</v>
      </c>
      <c r="D1534" s="79">
        <v>1</v>
      </c>
      <c r="E1534" s="79">
        <v>156.88999999999999</v>
      </c>
      <c r="F1534" s="79">
        <v>156.88999999999999</v>
      </c>
      <c r="G1534" s="445"/>
      <c r="H1534" s="178">
        <v>156.88</v>
      </c>
      <c r="I1534" s="178">
        <v>192.96</v>
      </c>
      <c r="J1534" s="70">
        <v>-36.070000000000022</v>
      </c>
      <c r="K1534" s="320"/>
      <c r="L1534" s="178">
        <v>71</v>
      </c>
      <c r="M1534" s="178">
        <v>85.889999999999986</v>
      </c>
      <c r="N1534" s="179">
        <v>0</v>
      </c>
      <c r="O1534" s="178">
        <v>156.88999999999999</v>
      </c>
      <c r="P1534" s="453"/>
      <c r="Q1534" s="61"/>
      <c r="R1534" s="298"/>
      <c r="S1534" s="669"/>
      <c r="X1534" s="444">
        <v>1534</v>
      </c>
    </row>
    <row r="1535" spans="1:32" ht="12">
      <c r="A1535" s="83" t="s">
        <v>20848</v>
      </c>
      <c r="B1535" s="64" t="s">
        <v>20849</v>
      </c>
      <c r="C1535" s="71" t="s">
        <v>165</v>
      </c>
      <c r="D1535" s="79">
        <v>1</v>
      </c>
      <c r="E1535" s="79">
        <v>29.61</v>
      </c>
      <c r="F1535" s="79">
        <v>29.61</v>
      </c>
      <c r="G1535" s="445"/>
      <c r="H1535" s="178">
        <v>29.58</v>
      </c>
      <c r="I1535" s="178">
        <v>36.380000000000003</v>
      </c>
      <c r="J1535" s="70">
        <v>-6.7700000000000031</v>
      </c>
      <c r="K1535" s="320"/>
      <c r="L1535" s="178">
        <v>27.33</v>
      </c>
      <c r="M1535" s="178">
        <v>2.2800000000000011</v>
      </c>
      <c r="N1535" s="179">
        <v>0</v>
      </c>
      <c r="O1535" s="178">
        <v>29.61</v>
      </c>
      <c r="P1535" s="453"/>
      <c r="Q1535" s="61"/>
      <c r="R1535" s="298"/>
      <c r="S1535" s="669"/>
      <c r="X1535" s="444">
        <v>1535</v>
      </c>
    </row>
    <row r="1536" spans="1:32" ht="12">
      <c r="A1536" s="83" t="s">
        <v>20850</v>
      </c>
      <c r="B1536" s="64" t="s">
        <v>20851</v>
      </c>
      <c r="C1536" s="71" t="s">
        <v>165</v>
      </c>
      <c r="D1536" s="79">
        <v>1</v>
      </c>
      <c r="E1536" s="79">
        <v>36.14</v>
      </c>
      <c r="F1536" s="79">
        <v>36.14</v>
      </c>
      <c r="G1536" s="445"/>
      <c r="H1536" s="178">
        <v>36.130000000000003</v>
      </c>
      <c r="I1536" s="178">
        <v>44.44</v>
      </c>
      <c r="J1536" s="70">
        <v>-8.2999999999999972</v>
      </c>
      <c r="K1536" s="320"/>
      <c r="L1536" s="178">
        <v>32.770000000000003</v>
      </c>
      <c r="M1536" s="178">
        <v>3.3699999999999974</v>
      </c>
      <c r="N1536" s="179">
        <v>0</v>
      </c>
      <c r="O1536" s="178">
        <v>36.14</v>
      </c>
      <c r="P1536" s="453"/>
      <c r="Q1536" s="61"/>
      <c r="R1536" s="298"/>
      <c r="S1536" s="669"/>
      <c r="X1536" s="444">
        <v>1536</v>
      </c>
    </row>
    <row r="1537" spans="1:32" ht="12">
      <c r="A1537" s="83" t="s">
        <v>20852</v>
      </c>
      <c r="B1537" s="64" t="s">
        <v>20095</v>
      </c>
      <c r="C1537" s="71" t="s">
        <v>165</v>
      </c>
      <c r="D1537" s="79">
        <v>1</v>
      </c>
      <c r="E1537" s="79">
        <v>22.189999999999998</v>
      </c>
      <c r="F1537" s="79">
        <v>22.19</v>
      </c>
      <c r="G1537" s="445"/>
      <c r="H1537" s="178">
        <v>22.2</v>
      </c>
      <c r="I1537" s="178">
        <v>27.3</v>
      </c>
      <c r="J1537" s="70">
        <v>-5.110000000000003</v>
      </c>
      <c r="K1537" s="320"/>
      <c r="L1537" s="178">
        <v>17.25</v>
      </c>
      <c r="M1537" s="178">
        <v>4.9399999999999977</v>
      </c>
      <c r="N1537" s="179">
        <v>0</v>
      </c>
      <c r="O1537" s="178">
        <v>22.189999999999998</v>
      </c>
      <c r="P1537" s="453"/>
      <c r="Q1537" s="61"/>
      <c r="R1537" s="298"/>
      <c r="S1537" s="669"/>
      <c r="X1537" s="444">
        <v>1537</v>
      </c>
    </row>
    <row r="1538" spans="1:32" ht="12">
      <c r="A1538" s="83" t="s">
        <v>20853</v>
      </c>
      <c r="B1538" s="64" t="s">
        <v>20854</v>
      </c>
      <c r="C1538" s="71" t="s">
        <v>10216</v>
      </c>
      <c r="D1538" s="79">
        <v>1</v>
      </c>
      <c r="E1538" s="79">
        <v>577.26</v>
      </c>
      <c r="F1538" s="79">
        <v>577.26</v>
      </c>
      <c r="G1538" s="445"/>
      <c r="H1538" s="178">
        <v>577.25</v>
      </c>
      <c r="I1538" s="178">
        <v>710.02</v>
      </c>
      <c r="J1538" s="70">
        <v>-132.76</v>
      </c>
      <c r="K1538" s="320"/>
      <c r="L1538" s="178"/>
      <c r="M1538" s="178">
        <v>577.26</v>
      </c>
      <c r="N1538" s="179">
        <v>0</v>
      </c>
      <c r="O1538" s="178">
        <v>577.26</v>
      </c>
      <c r="P1538" s="453"/>
      <c r="Q1538" s="61"/>
      <c r="R1538" s="298"/>
      <c r="S1538" s="669"/>
      <c r="X1538" s="444">
        <v>1538</v>
      </c>
    </row>
    <row r="1539" spans="1:32" ht="12">
      <c r="A1539" s="83" t="s">
        <v>11662</v>
      </c>
      <c r="B1539" s="64" t="s">
        <v>39747</v>
      </c>
      <c r="C1539" s="71"/>
      <c r="D1539" s="79" t="s">
        <v>40899</v>
      </c>
      <c r="E1539" s="79" t="s">
        <v>40899</v>
      </c>
      <c r="F1539" s="79"/>
      <c r="G1539" s="445"/>
      <c r="H1539" s="178"/>
      <c r="I1539" s="178"/>
      <c r="J1539" s="70"/>
      <c r="K1539" s="320"/>
      <c r="L1539" s="178"/>
      <c r="M1539" s="178"/>
      <c r="N1539" s="179"/>
      <c r="O1539" s="178"/>
      <c r="P1539" s="453"/>
      <c r="Q1539" s="61"/>
      <c r="R1539" s="298"/>
      <c r="S1539" s="669"/>
      <c r="X1539" s="444">
        <v>1539</v>
      </c>
    </row>
    <row r="1540" spans="1:32" ht="12">
      <c r="A1540" s="83" t="s">
        <v>20855</v>
      </c>
      <c r="B1540" s="64" t="s">
        <v>20856</v>
      </c>
      <c r="C1540" s="71" t="s">
        <v>509</v>
      </c>
      <c r="D1540" s="79">
        <v>1</v>
      </c>
      <c r="E1540" s="79">
        <v>2066.16</v>
      </c>
      <c r="F1540" s="79">
        <v>2066.16</v>
      </c>
      <c r="G1540" s="445"/>
      <c r="H1540" s="178">
        <v>2066.16</v>
      </c>
      <c r="I1540" s="178">
        <v>2541.38</v>
      </c>
      <c r="J1540" s="70">
        <v>-475.22000000000025</v>
      </c>
      <c r="K1540" s="320"/>
      <c r="L1540" s="178">
        <v>273.06</v>
      </c>
      <c r="M1540" s="178">
        <v>1793.1</v>
      </c>
      <c r="N1540" s="179">
        <v>0</v>
      </c>
      <c r="O1540" s="178">
        <v>2066.16</v>
      </c>
      <c r="P1540" s="453"/>
      <c r="Q1540" s="61"/>
      <c r="R1540" s="298"/>
      <c r="S1540" s="669"/>
      <c r="X1540" s="444">
        <v>1540</v>
      </c>
    </row>
    <row r="1541" spans="1:32" ht="12">
      <c r="A1541" s="83" t="s">
        <v>20857</v>
      </c>
      <c r="B1541" s="64" t="s">
        <v>20858</v>
      </c>
      <c r="C1541" s="71" t="s">
        <v>103</v>
      </c>
      <c r="D1541" s="79">
        <v>1</v>
      </c>
      <c r="E1541" s="79">
        <v>119.83000000000001</v>
      </c>
      <c r="F1541" s="79">
        <v>119.83</v>
      </c>
      <c r="G1541" s="445"/>
      <c r="H1541" s="178">
        <v>119.83</v>
      </c>
      <c r="I1541" s="178">
        <v>147.38999999999999</v>
      </c>
      <c r="J1541" s="70">
        <v>-27.559999999999974</v>
      </c>
      <c r="K1541" s="320"/>
      <c r="L1541" s="178">
        <v>49.150000000000006</v>
      </c>
      <c r="M1541" s="178">
        <v>70.680000000000007</v>
      </c>
      <c r="N1541" s="179">
        <v>0</v>
      </c>
      <c r="O1541" s="178">
        <v>119.83000000000001</v>
      </c>
      <c r="P1541" s="453"/>
      <c r="Q1541" s="61"/>
      <c r="R1541" s="298"/>
      <c r="S1541" s="669"/>
      <c r="X1541" s="444">
        <v>1541</v>
      </c>
    </row>
    <row r="1542" spans="1:32" ht="12">
      <c r="A1542" s="83" t="s">
        <v>11664</v>
      </c>
      <c r="B1542" s="64" t="s">
        <v>20859</v>
      </c>
      <c r="C1542" s="71" t="s">
        <v>103</v>
      </c>
      <c r="D1542" s="79">
        <v>1</v>
      </c>
      <c r="E1542" s="79">
        <v>148.74</v>
      </c>
      <c r="F1542" s="79">
        <v>148.74</v>
      </c>
      <c r="G1542" s="445"/>
      <c r="H1542" s="178">
        <v>148.74</v>
      </c>
      <c r="I1542" s="178">
        <v>182.95</v>
      </c>
      <c r="J1542" s="70">
        <v>-34.20999999999998</v>
      </c>
      <c r="K1542" s="320"/>
      <c r="L1542" s="178">
        <v>49.150000000000006</v>
      </c>
      <c r="M1542" s="178">
        <v>99.59</v>
      </c>
      <c r="N1542" s="179">
        <v>0</v>
      </c>
      <c r="O1542" s="178">
        <v>148.74</v>
      </c>
      <c r="P1542" s="453"/>
      <c r="Q1542" s="61"/>
      <c r="R1542" s="298"/>
      <c r="S1542" s="669"/>
      <c r="X1542" s="444">
        <v>1542</v>
      </c>
    </row>
    <row r="1543" spans="1:32" ht="12">
      <c r="A1543" s="83" t="s">
        <v>20860</v>
      </c>
      <c r="B1543" s="64" t="s">
        <v>20861</v>
      </c>
      <c r="C1543" s="71" t="s">
        <v>103</v>
      </c>
      <c r="D1543" s="79">
        <v>1</v>
      </c>
      <c r="E1543" s="79">
        <v>545.02</v>
      </c>
      <c r="F1543" s="79">
        <v>545.02</v>
      </c>
      <c r="G1543" s="445"/>
      <c r="H1543" s="178">
        <v>545.02</v>
      </c>
      <c r="I1543" s="178">
        <v>670.37</v>
      </c>
      <c r="J1543" s="70">
        <v>-125.35000000000002</v>
      </c>
      <c r="K1543" s="320"/>
      <c r="L1543" s="178">
        <v>49.150000000000006</v>
      </c>
      <c r="M1543" s="178">
        <v>495.87</v>
      </c>
      <c r="N1543" s="179">
        <v>0</v>
      </c>
      <c r="O1543" s="178">
        <v>545.02</v>
      </c>
      <c r="P1543" s="453"/>
      <c r="Q1543" s="61"/>
      <c r="R1543" s="298"/>
      <c r="S1543" s="669"/>
      <c r="X1543" s="444">
        <v>1543</v>
      </c>
    </row>
    <row r="1544" spans="1:32" ht="12">
      <c r="A1544" s="83" t="s">
        <v>20862</v>
      </c>
      <c r="B1544" s="64" t="s">
        <v>20863</v>
      </c>
      <c r="C1544" s="71" t="s">
        <v>103</v>
      </c>
      <c r="D1544" s="79">
        <v>1</v>
      </c>
      <c r="E1544" s="79">
        <v>1394.8500000000001</v>
      </c>
      <c r="F1544" s="79">
        <v>1394.85</v>
      </c>
      <c r="G1544" s="445"/>
      <c r="H1544" s="178">
        <v>1394.85</v>
      </c>
      <c r="I1544" s="178">
        <v>1715.66</v>
      </c>
      <c r="J1544" s="70">
        <v>-320.80999999999995</v>
      </c>
      <c r="K1544" s="320"/>
      <c r="L1544" s="178">
        <v>49.150000000000006</v>
      </c>
      <c r="M1544" s="178">
        <v>1345.7</v>
      </c>
      <c r="N1544" s="179">
        <v>0</v>
      </c>
      <c r="O1544" s="178">
        <v>1394.8500000000001</v>
      </c>
      <c r="P1544" s="453"/>
      <c r="Q1544" s="61"/>
      <c r="R1544" s="298"/>
      <c r="S1544" s="669"/>
      <c r="X1544" s="444">
        <v>1544</v>
      </c>
    </row>
    <row r="1545" spans="1:32" s="61" customFormat="1" ht="12">
      <c r="A1545" s="83" t="s">
        <v>20864</v>
      </c>
      <c r="B1545" s="64" t="s">
        <v>20865</v>
      </c>
      <c r="C1545" s="71" t="s">
        <v>103</v>
      </c>
      <c r="D1545" s="79">
        <v>1</v>
      </c>
      <c r="E1545" s="79">
        <v>1927.8000000000002</v>
      </c>
      <c r="F1545" s="79">
        <v>1927.8</v>
      </c>
      <c r="G1545" s="445"/>
      <c r="H1545" s="178">
        <v>1927.8</v>
      </c>
      <c r="I1545" s="178">
        <v>2371.19</v>
      </c>
      <c r="J1545" s="70">
        <v>-443.38999999999987</v>
      </c>
      <c r="K1545" s="320"/>
      <c r="L1545" s="178">
        <v>49.150000000000006</v>
      </c>
      <c r="M1545" s="178">
        <v>1878.65</v>
      </c>
      <c r="N1545" s="179">
        <v>0</v>
      </c>
      <c r="O1545" s="178">
        <v>1927.8000000000002</v>
      </c>
      <c r="P1545" s="453"/>
      <c r="R1545" s="298"/>
      <c r="S1545" s="669"/>
      <c r="T1545" s="444"/>
      <c r="U1545" s="444"/>
      <c r="V1545" s="444"/>
      <c r="W1545" s="444"/>
      <c r="X1545" s="444">
        <v>1545</v>
      </c>
      <c r="Y1545" s="444"/>
      <c r="Z1545" s="444"/>
      <c r="AA1545" s="444"/>
      <c r="AB1545" s="444"/>
      <c r="AC1545" s="444"/>
      <c r="AD1545" s="444"/>
      <c r="AE1545" s="444"/>
      <c r="AF1545" s="444"/>
    </row>
    <row r="1546" spans="1:32" s="61" customFormat="1" ht="12">
      <c r="A1546" s="83" t="s">
        <v>20866</v>
      </c>
      <c r="B1546" s="64" t="s">
        <v>20867</v>
      </c>
      <c r="C1546" s="71" t="s">
        <v>103</v>
      </c>
      <c r="D1546" s="79">
        <v>1</v>
      </c>
      <c r="E1546" s="79">
        <v>4065.37</v>
      </c>
      <c r="F1546" s="79">
        <v>4065.37</v>
      </c>
      <c r="G1546" s="445"/>
      <c r="H1546" s="178">
        <v>4065.37</v>
      </c>
      <c r="I1546" s="178">
        <v>5000.3999999999996</v>
      </c>
      <c r="J1546" s="70">
        <v>-935.02999999999975</v>
      </c>
      <c r="K1546" s="320"/>
      <c r="L1546" s="178">
        <v>49.150000000000006</v>
      </c>
      <c r="M1546" s="178">
        <v>4016.22</v>
      </c>
      <c r="N1546" s="179">
        <v>0</v>
      </c>
      <c r="O1546" s="178">
        <v>4065.37</v>
      </c>
      <c r="P1546" s="453"/>
      <c r="R1546" s="298"/>
      <c r="S1546" s="669"/>
      <c r="T1546" s="444"/>
      <c r="U1546" s="444"/>
      <c r="V1546" s="444"/>
      <c r="W1546" s="444"/>
      <c r="X1546" s="444">
        <v>1546</v>
      </c>
      <c r="Y1546" s="444"/>
      <c r="Z1546" s="444"/>
      <c r="AA1546" s="444"/>
      <c r="AB1546" s="444"/>
      <c r="AC1546" s="444"/>
      <c r="AD1546" s="444"/>
      <c r="AE1546" s="444"/>
      <c r="AF1546" s="444"/>
    </row>
    <row r="1547" spans="1:32" ht="12">
      <c r="A1547" s="83" t="s">
        <v>20868</v>
      </c>
      <c r="B1547" s="64" t="s">
        <v>20869</v>
      </c>
      <c r="C1547" s="71" t="s">
        <v>103</v>
      </c>
      <c r="D1547" s="79">
        <v>1</v>
      </c>
      <c r="E1547" s="79">
        <v>480.02</v>
      </c>
      <c r="F1547" s="79">
        <v>480.02</v>
      </c>
      <c r="G1547" s="445"/>
      <c r="H1547" s="178">
        <v>480.02</v>
      </c>
      <c r="I1547" s="178">
        <v>590.41999999999996</v>
      </c>
      <c r="J1547" s="70">
        <v>-110.39999999999998</v>
      </c>
      <c r="K1547" s="320"/>
      <c r="L1547" s="178">
        <v>49.150000000000006</v>
      </c>
      <c r="M1547" s="178">
        <v>430.87</v>
      </c>
      <c r="N1547" s="179">
        <v>0</v>
      </c>
      <c r="O1547" s="178">
        <v>480.02</v>
      </c>
      <c r="P1547" s="453"/>
      <c r="Q1547" s="61"/>
      <c r="R1547" s="298"/>
      <c r="S1547" s="669"/>
      <c r="X1547" s="444">
        <v>1547</v>
      </c>
    </row>
    <row r="1548" spans="1:32" ht="12">
      <c r="A1548" s="83" t="s">
        <v>20870</v>
      </c>
      <c r="B1548" s="64" t="s">
        <v>20871</v>
      </c>
      <c r="C1548" s="71" t="s">
        <v>103</v>
      </c>
      <c r="D1548" s="79">
        <v>1</v>
      </c>
      <c r="E1548" s="79">
        <v>2959.34</v>
      </c>
      <c r="F1548" s="79">
        <v>2959.34</v>
      </c>
      <c r="G1548" s="445"/>
      <c r="H1548" s="178">
        <v>2959.33</v>
      </c>
      <c r="I1548" s="178">
        <v>3639.97</v>
      </c>
      <c r="J1548" s="70">
        <v>-680.62999999999965</v>
      </c>
      <c r="K1548" s="320"/>
      <c r="L1548" s="178">
        <v>56.79</v>
      </c>
      <c r="M1548" s="178">
        <v>2902.55</v>
      </c>
      <c r="N1548" s="179">
        <v>0</v>
      </c>
      <c r="O1548" s="178">
        <v>2959.34</v>
      </c>
      <c r="P1548" s="453"/>
      <c r="Q1548" s="61"/>
      <c r="R1548" s="298"/>
      <c r="S1548" s="669"/>
      <c r="T1548" s="61"/>
      <c r="X1548" s="444">
        <v>1548</v>
      </c>
    </row>
    <row r="1549" spans="1:32" ht="12">
      <c r="A1549" s="83" t="s">
        <v>20872</v>
      </c>
      <c r="B1549" s="64" t="s">
        <v>20873</v>
      </c>
      <c r="C1549" s="71" t="s">
        <v>103</v>
      </c>
      <c r="D1549" s="79">
        <v>1</v>
      </c>
      <c r="E1549" s="79">
        <v>499.28000000000009</v>
      </c>
      <c r="F1549" s="79">
        <v>499.28</v>
      </c>
      <c r="G1549" s="445"/>
      <c r="H1549" s="178">
        <v>499.28</v>
      </c>
      <c r="I1549" s="178">
        <v>614.11</v>
      </c>
      <c r="J1549" s="70">
        <v>-114.82999999999993</v>
      </c>
      <c r="K1549" s="320"/>
      <c r="L1549" s="178">
        <v>54.61</v>
      </c>
      <c r="M1549" s="178">
        <v>444.67000000000007</v>
      </c>
      <c r="N1549" s="179">
        <v>0</v>
      </c>
      <c r="O1549" s="178">
        <v>499.28000000000009</v>
      </c>
      <c r="P1549" s="453"/>
      <c r="Q1549" s="61"/>
      <c r="R1549" s="298"/>
      <c r="S1549" s="669"/>
      <c r="T1549" s="61"/>
      <c r="X1549" s="444">
        <v>1549</v>
      </c>
    </row>
    <row r="1550" spans="1:32" ht="12">
      <c r="A1550" s="83" t="s">
        <v>20874</v>
      </c>
      <c r="B1550" s="64" t="s">
        <v>20875</v>
      </c>
      <c r="C1550" s="71" t="s">
        <v>103</v>
      </c>
      <c r="D1550" s="79">
        <v>1</v>
      </c>
      <c r="E1550" s="79">
        <v>528.54000000000008</v>
      </c>
      <c r="F1550" s="79">
        <v>528.54</v>
      </c>
      <c r="G1550" s="445"/>
      <c r="H1550" s="178">
        <v>528.54</v>
      </c>
      <c r="I1550" s="178">
        <v>650.1</v>
      </c>
      <c r="J1550" s="70">
        <v>-121.55999999999995</v>
      </c>
      <c r="K1550" s="320"/>
      <c r="L1550" s="178">
        <v>54.61</v>
      </c>
      <c r="M1550" s="178">
        <v>473.93000000000006</v>
      </c>
      <c r="N1550" s="179">
        <v>0</v>
      </c>
      <c r="O1550" s="178">
        <v>528.54000000000008</v>
      </c>
      <c r="P1550" s="453"/>
      <c r="Q1550" s="61"/>
      <c r="R1550" s="298"/>
      <c r="S1550" s="669"/>
      <c r="X1550" s="444">
        <v>1550</v>
      </c>
    </row>
    <row r="1551" spans="1:32" ht="12">
      <c r="A1551" s="83" t="s">
        <v>20876</v>
      </c>
      <c r="B1551" s="64" t="s">
        <v>20877</v>
      </c>
      <c r="C1551" s="71" t="s">
        <v>103</v>
      </c>
      <c r="D1551" s="79">
        <v>1</v>
      </c>
      <c r="E1551" s="79">
        <v>521.12</v>
      </c>
      <c r="F1551" s="79">
        <v>521.12</v>
      </c>
      <c r="G1551" s="445"/>
      <c r="H1551" s="178">
        <v>521.12</v>
      </c>
      <c r="I1551" s="178">
        <v>640.98</v>
      </c>
      <c r="J1551" s="70">
        <v>-119.86000000000001</v>
      </c>
      <c r="K1551" s="320"/>
      <c r="L1551" s="178">
        <v>54.61</v>
      </c>
      <c r="M1551" s="178">
        <v>466.51</v>
      </c>
      <c r="N1551" s="179">
        <v>0</v>
      </c>
      <c r="O1551" s="178">
        <v>521.12</v>
      </c>
      <c r="P1551" s="453"/>
      <c r="Q1551" s="61"/>
      <c r="R1551" s="298"/>
      <c r="S1551" s="669"/>
      <c r="X1551" s="444">
        <v>1551</v>
      </c>
    </row>
    <row r="1552" spans="1:32" ht="12">
      <c r="A1552" s="83" t="s">
        <v>20878</v>
      </c>
      <c r="B1552" s="64" t="s">
        <v>20879</v>
      </c>
      <c r="C1552" s="71" t="s">
        <v>103</v>
      </c>
      <c r="D1552" s="79">
        <v>1</v>
      </c>
      <c r="E1552" s="79">
        <v>528.59</v>
      </c>
      <c r="F1552" s="79">
        <v>528.59</v>
      </c>
      <c r="G1552" s="445"/>
      <c r="H1552" s="178">
        <v>528.59</v>
      </c>
      <c r="I1552" s="178">
        <v>650.16</v>
      </c>
      <c r="J1552" s="70">
        <v>-121.56999999999994</v>
      </c>
      <c r="K1552" s="320"/>
      <c r="L1552" s="178">
        <v>54.61</v>
      </c>
      <c r="M1552" s="178">
        <v>473.98</v>
      </c>
      <c r="N1552" s="179">
        <v>0</v>
      </c>
      <c r="O1552" s="178">
        <v>528.59</v>
      </c>
      <c r="P1552" s="453"/>
      <c r="Q1552" s="61"/>
      <c r="R1552" s="298"/>
      <c r="S1552" s="669"/>
      <c r="X1552" s="444">
        <v>1552</v>
      </c>
    </row>
    <row r="1553" spans="1:24" ht="12">
      <c r="A1553" s="83" t="s">
        <v>11668</v>
      </c>
      <c r="B1553" s="64" t="s">
        <v>20880</v>
      </c>
      <c r="C1553" s="71" t="s">
        <v>165</v>
      </c>
      <c r="D1553" s="79">
        <v>1</v>
      </c>
      <c r="E1553" s="79">
        <v>17.310000000000002</v>
      </c>
      <c r="F1553" s="79">
        <v>17.309999999999999</v>
      </c>
      <c r="G1553" s="445"/>
      <c r="H1553" s="178">
        <v>17.3</v>
      </c>
      <c r="I1553" s="178">
        <v>21.28</v>
      </c>
      <c r="J1553" s="70">
        <v>-3.9699999999999989</v>
      </c>
      <c r="K1553" s="320"/>
      <c r="L1553" s="178">
        <v>7.26</v>
      </c>
      <c r="M1553" s="178">
        <v>10.050000000000002</v>
      </c>
      <c r="N1553" s="179">
        <v>0</v>
      </c>
      <c r="O1553" s="178">
        <v>17.310000000000002</v>
      </c>
      <c r="P1553" s="453"/>
      <c r="Q1553" s="61"/>
      <c r="R1553" s="298"/>
      <c r="S1553" s="669"/>
      <c r="X1553" s="444">
        <v>1553</v>
      </c>
    </row>
    <row r="1554" spans="1:24" ht="12">
      <c r="A1554" s="83" t="s">
        <v>20881</v>
      </c>
      <c r="B1554" s="64" t="s">
        <v>20882</v>
      </c>
      <c r="C1554" s="71" t="s">
        <v>165</v>
      </c>
      <c r="D1554" s="79">
        <v>1</v>
      </c>
      <c r="E1554" s="79">
        <v>23.75</v>
      </c>
      <c r="F1554" s="79">
        <v>23.75</v>
      </c>
      <c r="G1554" s="445"/>
      <c r="H1554" s="178">
        <v>23.74</v>
      </c>
      <c r="I1554" s="178">
        <v>29.2</v>
      </c>
      <c r="J1554" s="70">
        <v>-5.4499999999999993</v>
      </c>
      <c r="K1554" s="320"/>
      <c r="L1554" s="178">
        <v>7.26</v>
      </c>
      <c r="M1554" s="178">
        <v>16.490000000000002</v>
      </c>
      <c r="N1554" s="179">
        <v>0</v>
      </c>
      <c r="O1554" s="178">
        <v>23.75</v>
      </c>
      <c r="P1554" s="453"/>
      <c r="Q1554" s="61"/>
      <c r="R1554" s="298"/>
      <c r="S1554" s="669"/>
      <c r="X1554" s="444">
        <v>1554</v>
      </c>
    </row>
    <row r="1555" spans="1:24" ht="12">
      <c r="A1555" s="83" t="s">
        <v>20883</v>
      </c>
      <c r="B1555" s="64" t="s">
        <v>20884</v>
      </c>
      <c r="C1555" s="71" t="s">
        <v>165</v>
      </c>
      <c r="D1555" s="79">
        <v>1</v>
      </c>
      <c r="E1555" s="79">
        <v>39.979999999999997</v>
      </c>
      <c r="F1555" s="79">
        <v>39.979999999999997</v>
      </c>
      <c r="G1555" s="445"/>
      <c r="H1555" s="178">
        <v>39.97</v>
      </c>
      <c r="I1555" s="178">
        <v>49.16</v>
      </c>
      <c r="J1555" s="70">
        <v>-9.18</v>
      </c>
      <c r="K1555" s="320"/>
      <c r="L1555" s="178">
        <v>7.26</v>
      </c>
      <c r="M1555" s="178">
        <v>32.72</v>
      </c>
      <c r="N1555" s="179">
        <v>0</v>
      </c>
      <c r="O1555" s="178">
        <v>39.979999999999997</v>
      </c>
      <c r="P1555" s="453"/>
      <c r="Q1555" s="61"/>
      <c r="R1555" s="298"/>
      <c r="S1555" s="669"/>
      <c r="X1555" s="444">
        <v>1555</v>
      </c>
    </row>
    <row r="1556" spans="1:24" ht="12">
      <c r="A1556" s="83" t="s">
        <v>20885</v>
      </c>
      <c r="B1556" s="64" t="s">
        <v>20886</v>
      </c>
      <c r="C1556" s="71" t="s">
        <v>165</v>
      </c>
      <c r="D1556" s="79">
        <v>1</v>
      </c>
      <c r="E1556" s="79">
        <v>51.72</v>
      </c>
      <c r="F1556" s="79">
        <v>51.72</v>
      </c>
      <c r="G1556" s="445"/>
      <c r="H1556" s="178">
        <v>51.72</v>
      </c>
      <c r="I1556" s="178">
        <v>63.62</v>
      </c>
      <c r="J1556" s="70">
        <v>-11.899999999999999</v>
      </c>
      <c r="K1556" s="320"/>
      <c r="L1556" s="178">
        <v>8.6999999999999993</v>
      </c>
      <c r="M1556" s="178">
        <v>43.019999999999996</v>
      </c>
      <c r="N1556" s="179">
        <v>0</v>
      </c>
      <c r="O1556" s="178">
        <v>51.72</v>
      </c>
      <c r="P1556" s="453"/>
      <c r="Q1556" s="61"/>
      <c r="R1556" s="298"/>
      <c r="S1556" s="669"/>
      <c r="X1556" s="444">
        <v>1556</v>
      </c>
    </row>
    <row r="1557" spans="1:24" ht="12">
      <c r="A1557" s="83" t="s">
        <v>20887</v>
      </c>
      <c r="B1557" s="64" t="s">
        <v>20888</v>
      </c>
      <c r="C1557" s="71" t="s">
        <v>165</v>
      </c>
      <c r="D1557" s="79">
        <v>1</v>
      </c>
      <c r="E1557" s="79">
        <v>74.08</v>
      </c>
      <c r="F1557" s="79">
        <v>74.08</v>
      </c>
      <c r="G1557" s="445"/>
      <c r="H1557" s="178">
        <v>74.08</v>
      </c>
      <c r="I1557" s="178">
        <v>91.12</v>
      </c>
      <c r="J1557" s="70">
        <v>-17.040000000000006</v>
      </c>
      <c r="K1557" s="320"/>
      <c r="L1557" s="178">
        <v>8.6999999999999993</v>
      </c>
      <c r="M1557" s="178">
        <v>65.38</v>
      </c>
      <c r="N1557" s="179">
        <v>0</v>
      </c>
      <c r="O1557" s="178">
        <v>74.08</v>
      </c>
      <c r="P1557" s="453"/>
      <c r="Q1557" s="61"/>
      <c r="R1557" s="298"/>
      <c r="S1557" s="669"/>
      <c r="X1557" s="444">
        <v>1557</v>
      </c>
    </row>
    <row r="1558" spans="1:24" ht="12">
      <c r="A1558" s="83" t="s">
        <v>20889</v>
      </c>
      <c r="B1558" s="64" t="s">
        <v>20890</v>
      </c>
      <c r="C1558" s="71" t="s">
        <v>165</v>
      </c>
      <c r="D1558" s="79">
        <v>1</v>
      </c>
      <c r="E1558" s="79">
        <v>261.83999999999997</v>
      </c>
      <c r="F1558" s="79">
        <v>261.83999999999997</v>
      </c>
      <c r="G1558" s="445"/>
      <c r="H1558" s="178">
        <v>261.83999999999997</v>
      </c>
      <c r="I1558" s="178">
        <v>322.06</v>
      </c>
      <c r="J1558" s="70">
        <v>-60.220000000000027</v>
      </c>
      <c r="K1558" s="320"/>
      <c r="L1558" s="178">
        <v>8.6999999999999993</v>
      </c>
      <c r="M1558" s="178">
        <v>253.14</v>
      </c>
      <c r="N1558" s="179">
        <v>0</v>
      </c>
      <c r="O1558" s="178">
        <v>261.83999999999997</v>
      </c>
      <c r="P1558" s="453"/>
      <c r="Q1558" s="61"/>
      <c r="R1558" s="298"/>
      <c r="S1558" s="669"/>
      <c r="X1558" s="444">
        <v>1558</v>
      </c>
    </row>
    <row r="1559" spans="1:24" ht="12">
      <c r="A1559" s="83" t="s">
        <v>20891</v>
      </c>
      <c r="B1559" s="64" t="s">
        <v>20892</v>
      </c>
      <c r="C1559" s="71" t="s">
        <v>165</v>
      </c>
      <c r="D1559" s="79">
        <v>1</v>
      </c>
      <c r="E1559" s="79">
        <v>440.73</v>
      </c>
      <c r="F1559" s="79">
        <v>440.73</v>
      </c>
      <c r="G1559" s="445"/>
      <c r="H1559" s="178">
        <v>440.72</v>
      </c>
      <c r="I1559" s="178">
        <v>542.09</v>
      </c>
      <c r="J1559" s="70">
        <v>-101.36000000000001</v>
      </c>
      <c r="K1559" s="320"/>
      <c r="L1559" s="178">
        <v>92.11</v>
      </c>
      <c r="M1559" s="178">
        <v>348.62</v>
      </c>
      <c r="N1559" s="179">
        <v>0</v>
      </c>
      <c r="O1559" s="178">
        <v>440.73</v>
      </c>
      <c r="P1559" s="453"/>
      <c r="Q1559" s="61"/>
      <c r="R1559" s="298"/>
      <c r="S1559" s="669"/>
      <c r="X1559" s="444">
        <v>1559</v>
      </c>
    </row>
    <row r="1560" spans="1:24" ht="12">
      <c r="A1560" s="83" t="s">
        <v>20893</v>
      </c>
      <c r="B1560" s="64" t="s">
        <v>20894</v>
      </c>
      <c r="C1560" s="71" t="s">
        <v>165</v>
      </c>
      <c r="D1560" s="79">
        <v>1</v>
      </c>
      <c r="E1560" s="79">
        <v>644.58999999999992</v>
      </c>
      <c r="F1560" s="79">
        <v>644.59</v>
      </c>
      <c r="G1560" s="445"/>
      <c r="H1560" s="178">
        <v>644.54</v>
      </c>
      <c r="I1560" s="178">
        <v>792.79</v>
      </c>
      <c r="J1560" s="70">
        <v>-148.20000000000005</v>
      </c>
      <c r="K1560" s="320"/>
      <c r="L1560" s="178">
        <v>138.19999999999999</v>
      </c>
      <c r="M1560" s="178">
        <v>506.38999999999993</v>
      </c>
      <c r="N1560" s="179">
        <v>0</v>
      </c>
      <c r="O1560" s="178">
        <v>644.58999999999992</v>
      </c>
      <c r="P1560" s="453"/>
      <c r="Q1560" s="61"/>
      <c r="R1560" s="298"/>
      <c r="S1560" s="669"/>
      <c r="X1560" s="444">
        <v>1560</v>
      </c>
    </row>
    <row r="1561" spans="1:24" ht="12">
      <c r="A1561" s="83" t="s">
        <v>20895</v>
      </c>
      <c r="B1561" s="64" t="s">
        <v>20896</v>
      </c>
      <c r="C1561" s="71" t="s">
        <v>165</v>
      </c>
      <c r="D1561" s="79">
        <v>1</v>
      </c>
      <c r="E1561" s="79">
        <v>356.53</v>
      </c>
      <c r="F1561" s="79">
        <v>356.53</v>
      </c>
      <c r="G1561" s="445"/>
      <c r="H1561" s="178">
        <v>356.52</v>
      </c>
      <c r="I1561" s="178">
        <v>438.52</v>
      </c>
      <c r="J1561" s="70">
        <v>-81.990000000000009</v>
      </c>
      <c r="K1561" s="320"/>
      <c r="L1561" s="178">
        <v>92.11</v>
      </c>
      <c r="M1561" s="178">
        <v>264.41999999999996</v>
      </c>
      <c r="N1561" s="179">
        <v>0</v>
      </c>
      <c r="O1561" s="178">
        <v>356.53</v>
      </c>
      <c r="P1561" s="453"/>
      <c r="Q1561" s="61"/>
      <c r="R1561" s="298"/>
      <c r="S1561" s="669"/>
      <c r="X1561" s="444">
        <v>1561</v>
      </c>
    </row>
    <row r="1562" spans="1:24" ht="12">
      <c r="A1562" s="83" t="s">
        <v>11670</v>
      </c>
      <c r="B1562" s="64" t="s">
        <v>20897</v>
      </c>
      <c r="C1562" s="71" t="s">
        <v>509</v>
      </c>
      <c r="D1562" s="79">
        <v>1</v>
      </c>
      <c r="E1562" s="79">
        <v>306.52</v>
      </c>
      <c r="F1562" s="79">
        <v>306.52</v>
      </c>
      <c r="G1562" s="445"/>
      <c r="H1562" s="178">
        <v>306.52</v>
      </c>
      <c r="I1562" s="178">
        <v>377.02</v>
      </c>
      <c r="J1562" s="70">
        <v>-70.5</v>
      </c>
      <c r="K1562" s="320"/>
      <c r="L1562" s="178">
        <v>43.69</v>
      </c>
      <c r="M1562" s="178">
        <v>262.83</v>
      </c>
      <c r="N1562" s="179">
        <v>0</v>
      </c>
      <c r="O1562" s="178">
        <v>306.52</v>
      </c>
      <c r="P1562" s="453"/>
      <c r="Q1562" s="61"/>
      <c r="R1562" s="298"/>
      <c r="S1562" s="669"/>
      <c r="X1562" s="444">
        <v>1562</v>
      </c>
    </row>
    <row r="1563" spans="1:24" ht="12">
      <c r="A1563" s="83" t="s">
        <v>20898</v>
      </c>
      <c r="B1563" s="64" t="s">
        <v>20899</v>
      </c>
      <c r="C1563" s="71" t="s">
        <v>165</v>
      </c>
      <c r="D1563" s="79">
        <v>1</v>
      </c>
      <c r="E1563" s="79">
        <v>44.38</v>
      </c>
      <c r="F1563" s="79">
        <v>44.38</v>
      </c>
      <c r="G1563" s="445"/>
      <c r="H1563" s="178">
        <v>44.37</v>
      </c>
      <c r="I1563" s="178">
        <v>54.57</v>
      </c>
      <c r="J1563" s="70">
        <v>-10.189999999999998</v>
      </c>
      <c r="K1563" s="320"/>
      <c r="L1563" s="178">
        <v>32.770000000000003</v>
      </c>
      <c r="M1563" s="178">
        <v>11.61</v>
      </c>
      <c r="N1563" s="179">
        <v>0</v>
      </c>
      <c r="O1563" s="178">
        <v>44.38</v>
      </c>
      <c r="P1563" s="453"/>
      <c r="Q1563" s="61"/>
      <c r="R1563" s="298"/>
      <c r="S1563" s="669"/>
      <c r="X1563" s="444">
        <v>1563</v>
      </c>
    </row>
    <row r="1564" spans="1:24" ht="12">
      <c r="A1564" s="83" t="s">
        <v>20900</v>
      </c>
      <c r="B1564" s="64" t="s">
        <v>20901</v>
      </c>
      <c r="C1564" s="71" t="s">
        <v>165</v>
      </c>
      <c r="D1564" s="79">
        <v>1</v>
      </c>
      <c r="E1564" s="79">
        <v>9.41</v>
      </c>
      <c r="F1564" s="79">
        <v>9.41</v>
      </c>
      <c r="G1564" s="445"/>
      <c r="H1564" s="178">
        <v>9.42</v>
      </c>
      <c r="I1564" s="178">
        <v>11.59</v>
      </c>
      <c r="J1564" s="70">
        <v>-2.1799999999999997</v>
      </c>
      <c r="K1564" s="320"/>
      <c r="L1564" s="178">
        <v>3.26</v>
      </c>
      <c r="M1564" s="178">
        <v>6.15</v>
      </c>
      <c r="N1564" s="179">
        <v>0</v>
      </c>
      <c r="O1564" s="178">
        <v>9.41</v>
      </c>
      <c r="P1564" s="453"/>
      <c r="Q1564" s="61"/>
      <c r="R1564" s="298"/>
      <c r="S1564" s="669"/>
      <c r="X1564" s="444">
        <v>1564</v>
      </c>
    </row>
    <row r="1565" spans="1:24" ht="12">
      <c r="A1565" s="83" t="s">
        <v>20902</v>
      </c>
      <c r="B1565" s="64" t="s">
        <v>20903</v>
      </c>
      <c r="C1565" s="71" t="s">
        <v>165</v>
      </c>
      <c r="D1565" s="79">
        <v>1</v>
      </c>
      <c r="E1565" s="79">
        <v>14.49</v>
      </c>
      <c r="F1565" s="79">
        <v>14.49</v>
      </c>
      <c r="G1565" s="445"/>
      <c r="H1565" s="178">
        <v>14.47</v>
      </c>
      <c r="I1565" s="178">
        <v>17.8</v>
      </c>
      <c r="J1565" s="70">
        <v>-3.3100000000000005</v>
      </c>
      <c r="K1565" s="320"/>
      <c r="L1565" s="178">
        <v>4.93</v>
      </c>
      <c r="M1565" s="178">
        <v>9.56</v>
      </c>
      <c r="N1565" s="179">
        <v>0</v>
      </c>
      <c r="O1565" s="178">
        <v>14.49</v>
      </c>
      <c r="P1565" s="453"/>
      <c r="Q1565" s="61"/>
      <c r="R1565" s="298"/>
      <c r="S1565" s="669"/>
      <c r="X1565" s="444">
        <v>1565</v>
      </c>
    </row>
    <row r="1566" spans="1:24" ht="12">
      <c r="A1566" s="83" t="s">
        <v>20904</v>
      </c>
      <c r="B1566" s="64" t="s">
        <v>20905</v>
      </c>
      <c r="C1566" s="71" t="s">
        <v>165</v>
      </c>
      <c r="D1566" s="79">
        <v>1</v>
      </c>
      <c r="E1566" s="79">
        <v>22.75</v>
      </c>
      <c r="F1566" s="79">
        <v>22.75</v>
      </c>
      <c r="G1566" s="445"/>
      <c r="H1566" s="178">
        <v>22.75</v>
      </c>
      <c r="I1566" s="178">
        <v>27.98</v>
      </c>
      <c r="J1566" s="70">
        <v>-5.23</v>
      </c>
      <c r="K1566" s="320"/>
      <c r="L1566" s="178">
        <v>7.1</v>
      </c>
      <c r="M1566" s="178">
        <v>15.65</v>
      </c>
      <c r="N1566" s="179">
        <v>0</v>
      </c>
      <c r="O1566" s="178">
        <v>22.75</v>
      </c>
      <c r="P1566" s="453"/>
      <c r="Q1566" s="61"/>
      <c r="R1566" s="298"/>
      <c r="S1566" s="669"/>
      <c r="X1566" s="444">
        <v>1566</v>
      </c>
    </row>
    <row r="1567" spans="1:24" ht="12">
      <c r="A1567" s="83" t="s">
        <v>20906</v>
      </c>
      <c r="B1567" s="64" t="s">
        <v>20907</v>
      </c>
      <c r="C1567" s="71" t="s">
        <v>165</v>
      </c>
      <c r="D1567" s="79">
        <v>1</v>
      </c>
      <c r="E1567" s="79">
        <v>37.160000000000004</v>
      </c>
      <c r="F1567" s="79">
        <v>37.159999999999997</v>
      </c>
      <c r="G1567" s="445"/>
      <c r="H1567" s="178">
        <v>37.159999999999997</v>
      </c>
      <c r="I1567" s="178">
        <v>45.71</v>
      </c>
      <c r="J1567" s="70">
        <v>-8.5499999999999972</v>
      </c>
      <c r="K1567" s="320"/>
      <c r="L1567" s="178">
        <v>13.65</v>
      </c>
      <c r="M1567" s="178">
        <v>23.510000000000005</v>
      </c>
      <c r="N1567" s="179">
        <v>0</v>
      </c>
      <c r="O1567" s="178">
        <v>37.160000000000004</v>
      </c>
      <c r="P1567" s="453"/>
      <c r="Q1567" s="61"/>
      <c r="R1567" s="298"/>
      <c r="S1567" s="669"/>
      <c r="X1567" s="444">
        <v>1567</v>
      </c>
    </row>
    <row r="1568" spans="1:24" ht="12">
      <c r="A1568" s="83" t="s">
        <v>20908</v>
      </c>
      <c r="B1568" s="64" t="s">
        <v>20909</v>
      </c>
      <c r="C1568" s="71" t="s">
        <v>165</v>
      </c>
      <c r="D1568" s="79">
        <v>1</v>
      </c>
      <c r="E1568" s="79">
        <v>58.44</v>
      </c>
      <c r="F1568" s="79">
        <v>58.44</v>
      </c>
      <c r="G1568" s="445"/>
      <c r="H1568" s="178">
        <v>58.44</v>
      </c>
      <c r="I1568" s="178">
        <v>71.88</v>
      </c>
      <c r="J1568" s="70">
        <v>-13.439999999999998</v>
      </c>
      <c r="K1568" s="320"/>
      <c r="L1568" s="178">
        <v>21.84</v>
      </c>
      <c r="M1568" s="178">
        <v>36.599999999999994</v>
      </c>
      <c r="N1568" s="179">
        <v>0</v>
      </c>
      <c r="O1568" s="178">
        <v>58.44</v>
      </c>
      <c r="P1568" s="453"/>
      <c r="Q1568" s="61"/>
      <c r="R1568" s="298"/>
      <c r="S1568" s="669"/>
      <c r="X1568" s="444">
        <v>1568</v>
      </c>
    </row>
    <row r="1569" spans="1:24" ht="12">
      <c r="A1569" s="83" t="s">
        <v>20910</v>
      </c>
      <c r="B1569" s="64" t="s">
        <v>20911</v>
      </c>
      <c r="C1569" s="71" t="s">
        <v>165</v>
      </c>
      <c r="D1569" s="79">
        <v>1</v>
      </c>
      <c r="E1569" s="79">
        <v>82.69</v>
      </c>
      <c r="F1569" s="79">
        <v>82.69</v>
      </c>
      <c r="G1569" s="445"/>
      <c r="H1569" s="178">
        <v>82.68</v>
      </c>
      <c r="I1569" s="178">
        <v>101.7</v>
      </c>
      <c r="J1569" s="70">
        <v>-19.010000000000005</v>
      </c>
      <c r="K1569" s="320"/>
      <c r="L1569" s="178">
        <v>32.770000000000003</v>
      </c>
      <c r="M1569" s="178">
        <v>49.919999999999995</v>
      </c>
      <c r="N1569" s="179">
        <v>0</v>
      </c>
      <c r="O1569" s="178">
        <v>82.69</v>
      </c>
      <c r="P1569" s="453"/>
      <c r="Q1569" s="61"/>
      <c r="R1569" s="298"/>
      <c r="S1569" s="669"/>
      <c r="X1569" s="444">
        <v>1569</v>
      </c>
    </row>
    <row r="1570" spans="1:24" ht="12">
      <c r="A1570" s="83" t="s">
        <v>20912</v>
      </c>
      <c r="B1570" s="64" t="s">
        <v>20913</v>
      </c>
      <c r="C1570" s="71" t="s">
        <v>165</v>
      </c>
      <c r="D1570" s="79">
        <v>1</v>
      </c>
      <c r="E1570" s="79">
        <v>101.73</v>
      </c>
      <c r="F1570" s="79">
        <v>101.73</v>
      </c>
      <c r="G1570" s="445"/>
      <c r="H1570" s="178">
        <v>101.72</v>
      </c>
      <c r="I1570" s="178">
        <v>125.12</v>
      </c>
      <c r="J1570" s="70">
        <v>-23.39</v>
      </c>
      <c r="K1570" s="320"/>
      <c r="L1570" s="178">
        <v>38.230000000000004</v>
      </c>
      <c r="M1570" s="178">
        <v>63.5</v>
      </c>
      <c r="N1570" s="179">
        <v>0</v>
      </c>
      <c r="O1570" s="178">
        <v>101.73</v>
      </c>
      <c r="P1570" s="453"/>
      <c r="Q1570" s="61"/>
      <c r="R1570" s="298"/>
      <c r="S1570" s="669"/>
      <c r="X1570" s="444">
        <v>1570</v>
      </c>
    </row>
    <row r="1571" spans="1:24" ht="12">
      <c r="A1571" s="83" t="s">
        <v>20914</v>
      </c>
      <c r="B1571" s="64" t="s">
        <v>20915</v>
      </c>
      <c r="C1571" s="71" t="s">
        <v>165</v>
      </c>
      <c r="D1571" s="79">
        <v>1</v>
      </c>
      <c r="E1571" s="79">
        <v>159.05000000000001</v>
      </c>
      <c r="F1571" s="79">
        <v>159.05000000000001</v>
      </c>
      <c r="G1571" s="445"/>
      <c r="H1571" s="178">
        <v>159.05000000000001</v>
      </c>
      <c r="I1571" s="178">
        <v>195.63</v>
      </c>
      <c r="J1571" s="70">
        <v>-36.579999999999984</v>
      </c>
      <c r="K1571" s="320"/>
      <c r="L1571" s="178">
        <v>60.07</v>
      </c>
      <c r="M1571" s="178">
        <v>98.980000000000018</v>
      </c>
      <c r="N1571" s="179">
        <v>0</v>
      </c>
      <c r="O1571" s="178">
        <v>159.05000000000001</v>
      </c>
      <c r="P1571" s="453"/>
      <c r="Q1571" s="61"/>
      <c r="R1571" s="298"/>
      <c r="S1571" s="669"/>
      <c r="X1571" s="444">
        <v>1571</v>
      </c>
    </row>
    <row r="1572" spans="1:24" ht="12">
      <c r="A1572" s="83" t="s">
        <v>20916</v>
      </c>
      <c r="B1572" s="64" t="s">
        <v>20917</v>
      </c>
      <c r="C1572" s="71" t="s">
        <v>165</v>
      </c>
      <c r="D1572" s="79">
        <v>1</v>
      </c>
      <c r="E1572" s="79">
        <v>199.31</v>
      </c>
      <c r="F1572" s="79">
        <v>199.31</v>
      </c>
      <c r="G1572" s="320"/>
      <c r="H1572" s="178">
        <v>199.3</v>
      </c>
      <c r="I1572" s="178">
        <v>245.14</v>
      </c>
      <c r="J1572" s="70">
        <v>-45.829999999999984</v>
      </c>
      <c r="K1572" s="320"/>
      <c r="L1572" s="178">
        <v>71</v>
      </c>
      <c r="M1572" s="178">
        <v>128.31</v>
      </c>
      <c r="N1572" s="179">
        <v>0</v>
      </c>
      <c r="O1572" s="178">
        <v>199.31</v>
      </c>
      <c r="P1572" s="453"/>
      <c r="Q1572" s="61"/>
      <c r="R1572" s="298"/>
      <c r="S1572" s="669"/>
      <c r="X1572" s="444">
        <v>1572</v>
      </c>
    </row>
    <row r="1573" spans="1:24" ht="12">
      <c r="A1573" s="83" t="s">
        <v>20918</v>
      </c>
      <c r="B1573" s="64" t="s">
        <v>20919</v>
      </c>
      <c r="C1573" s="71" t="s">
        <v>103</v>
      </c>
      <c r="D1573" s="79">
        <v>1</v>
      </c>
      <c r="E1573" s="79">
        <v>389.31</v>
      </c>
      <c r="F1573" s="79">
        <v>389.31</v>
      </c>
      <c r="G1573" s="320"/>
      <c r="H1573" s="178">
        <v>389.29</v>
      </c>
      <c r="I1573" s="178">
        <v>478.83</v>
      </c>
      <c r="J1573" s="70">
        <v>-89.519999999999982</v>
      </c>
      <c r="K1573" s="320"/>
      <c r="L1573" s="178">
        <v>40.120000000000005</v>
      </c>
      <c r="M1573" s="178">
        <v>349.19</v>
      </c>
      <c r="N1573" s="179">
        <v>0</v>
      </c>
      <c r="O1573" s="178">
        <v>389.31</v>
      </c>
      <c r="P1573" s="453"/>
      <c r="Q1573" s="61"/>
      <c r="R1573" s="298"/>
      <c r="S1573" s="669"/>
      <c r="X1573" s="444">
        <v>1573</v>
      </c>
    </row>
    <row r="1574" spans="1:24" ht="12">
      <c r="A1574" s="83" t="s">
        <v>20920</v>
      </c>
      <c r="B1574" s="64" t="s">
        <v>8714</v>
      </c>
      <c r="C1574" s="71" t="s">
        <v>103</v>
      </c>
      <c r="D1574" s="79">
        <v>1</v>
      </c>
      <c r="E1574" s="79">
        <v>31.310000000000002</v>
      </c>
      <c r="F1574" s="79">
        <v>31.31</v>
      </c>
      <c r="G1574" s="445"/>
      <c r="H1574" s="178">
        <v>31.31</v>
      </c>
      <c r="I1574" s="178">
        <v>38.51</v>
      </c>
      <c r="J1574" s="70">
        <v>-7.1999999999999957</v>
      </c>
      <c r="K1574" s="320"/>
      <c r="L1574" s="178">
        <v>13.65</v>
      </c>
      <c r="M1574" s="178">
        <v>17.660000000000004</v>
      </c>
      <c r="N1574" s="179">
        <v>0</v>
      </c>
      <c r="O1574" s="178">
        <v>31.310000000000002</v>
      </c>
      <c r="P1574" s="453"/>
      <c r="Q1574" s="61"/>
      <c r="R1574" s="298"/>
      <c r="S1574" s="669"/>
      <c r="X1574" s="444">
        <v>1574</v>
      </c>
    </row>
    <row r="1575" spans="1:24" ht="12">
      <c r="A1575" s="83" t="s">
        <v>20921</v>
      </c>
      <c r="B1575" s="64" t="s">
        <v>20922</v>
      </c>
      <c r="C1575" s="71" t="s">
        <v>103</v>
      </c>
      <c r="D1575" s="79">
        <v>1</v>
      </c>
      <c r="E1575" s="79">
        <v>24.18</v>
      </c>
      <c r="F1575" s="79">
        <v>24.18</v>
      </c>
      <c r="G1575" s="445"/>
      <c r="H1575" s="178">
        <v>24.18</v>
      </c>
      <c r="I1575" s="178">
        <v>29.74</v>
      </c>
      <c r="J1575" s="70">
        <v>-5.5599999999999987</v>
      </c>
      <c r="K1575" s="320"/>
      <c r="L1575" s="178">
        <v>13.65</v>
      </c>
      <c r="M1575" s="178">
        <v>10.53</v>
      </c>
      <c r="N1575" s="179">
        <v>0</v>
      </c>
      <c r="O1575" s="178">
        <v>24.18</v>
      </c>
      <c r="P1575" s="453"/>
      <c r="Q1575" s="61"/>
      <c r="R1575" s="298"/>
      <c r="S1575" s="669"/>
      <c r="X1575" s="444">
        <v>1575</v>
      </c>
    </row>
    <row r="1576" spans="1:24" ht="12">
      <c r="A1576" s="83" t="s">
        <v>20923</v>
      </c>
      <c r="B1576" s="64" t="s">
        <v>8704</v>
      </c>
      <c r="C1576" s="71" t="s">
        <v>103</v>
      </c>
      <c r="D1576" s="79">
        <v>1</v>
      </c>
      <c r="E1576" s="79">
        <v>70.320000000000007</v>
      </c>
      <c r="F1576" s="79">
        <v>70.319999999999993</v>
      </c>
      <c r="G1576" s="445"/>
      <c r="H1576" s="178">
        <v>70.319999999999993</v>
      </c>
      <c r="I1576" s="178">
        <v>86.49</v>
      </c>
      <c r="J1576" s="70">
        <v>-16.169999999999987</v>
      </c>
      <c r="K1576" s="320"/>
      <c r="L1576" s="178">
        <v>13.65</v>
      </c>
      <c r="M1576" s="178">
        <v>56.670000000000009</v>
      </c>
      <c r="N1576" s="179">
        <v>0</v>
      </c>
      <c r="O1576" s="178">
        <v>70.320000000000007</v>
      </c>
      <c r="P1576" s="453"/>
      <c r="Q1576" s="61"/>
      <c r="R1576" s="298"/>
      <c r="S1576" s="669"/>
      <c r="X1576" s="444">
        <v>1576</v>
      </c>
    </row>
    <row r="1577" spans="1:24" ht="12">
      <c r="A1577" s="83" t="s">
        <v>20924</v>
      </c>
      <c r="B1577" s="64" t="s">
        <v>8706</v>
      </c>
      <c r="C1577" s="71" t="s">
        <v>103</v>
      </c>
      <c r="D1577" s="79">
        <v>1</v>
      </c>
      <c r="E1577" s="79">
        <v>100.58000000000001</v>
      </c>
      <c r="F1577" s="79">
        <v>100.58</v>
      </c>
      <c r="G1577" s="445"/>
      <c r="H1577" s="178">
        <v>100.58</v>
      </c>
      <c r="I1577" s="178">
        <v>123.71</v>
      </c>
      <c r="J1577" s="70">
        <v>-23.129999999999981</v>
      </c>
      <c r="K1577" s="320"/>
      <c r="L1577" s="178">
        <v>13.65</v>
      </c>
      <c r="M1577" s="178">
        <v>86.93</v>
      </c>
      <c r="N1577" s="179">
        <v>0</v>
      </c>
      <c r="O1577" s="178">
        <v>100.58000000000001</v>
      </c>
      <c r="P1577" s="453"/>
      <c r="Q1577" s="61"/>
      <c r="R1577" s="298"/>
      <c r="S1577" s="669"/>
      <c r="X1577" s="444">
        <v>1577</v>
      </c>
    </row>
    <row r="1578" spans="1:24" ht="12">
      <c r="A1578" s="83" t="s">
        <v>20925</v>
      </c>
      <c r="B1578" s="64" t="s">
        <v>20926</v>
      </c>
      <c r="C1578" s="71" t="s">
        <v>103</v>
      </c>
      <c r="D1578" s="79">
        <v>1</v>
      </c>
      <c r="E1578" s="79">
        <v>292.60999999999996</v>
      </c>
      <c r="F1578" s="79">
        <v>292.61</v>
      </c>
      <c r="G1578" s="445"/>
      <c r="H1578" s="178">
        <v>292.61</v>
      </c>
      <c r="I1578" s="178">
        <v>359.91</v>
      </c>
      <c r="J1578" s="70">
        <v>-67.300000000000068</v>
      </c>
      <c r="K1578" s="320"/>
      <c r="L1578" s="178">
        <v>13.65</v>
      </c>
      <c r="M1578" s="178">
        <v>278.95999999999998</v>
      </c>
      <c r="N1578" s="179">
        <v>0</v>
      </c>
      <c r="O1578" s="178">
        <v>292.60999999999996</v>
      </c>
      <c r="P1578" s="453"/>
      <c r="Q1578" s="61"/>
      <c r="R1578" s="298"/>
      <c r="S1578" s="669"/>
      <c r="X1578" s="444">
        <v>1578</v>
      </c>
    </row>
    <row r="1579" spans="1:24" ht="12">
      <c r="A1579" s="83" t="s">
        <v>20927</v>
      </c>
      <c r="B1579" s="64" t="s">
        <v>20928</v>
      </c>
      <c r="C1579" s="71" t="s">
        <v>103</v>
      </c>
      <c r="D1579" s="79">
        <v>1</v>
      </c>
      <c r="E1579" s="79">
        <v>41.32</v>
      </c>
      <c r="F1579" s="79">
        <v>41.32</v>
      </c>
      <c r="G1579" s="445"/>
      <c r="H1579" s="178">
        <v>41.32</v>
      </c>
      <c r="I1579" s="178">
        <v>50.82</v>
      </c>
      <c r="J1579" s="70">
        <v>-9.5</v>
      </c>
      <c r="K1579" s="320"/>
      <c r="L1579" s="178">
        <v>13.65</v>
      </c>
      <c r="M1579" s="178">
        <v>27.67</v>
      </c>
      <c r="N1579" s="179">
        <v>0</v>
      </c>
      <c r="O1579" s="178">
        <v>41.32</v>
      </c>
      <c r="P1579" s="453"/>
      <c r="Q1579" s="61"/>
      <c r="R1579" s="298"/>
      <c r="S1579" s="669"/>
      <c r="X1579" s="444">
        <v>1579</v>
      </c>
    </row>
    <row r="1580" spans="1:24" ht="12">
      <c r="A1580" s="83" t="s">
        <v>20929</v>
      </c>
      <c r="B1580" s="64" t="s">
        <v>8694</v>
      </c>
      <c r="C1580" s="71" t="s">
        <v>103</v>
      </c>
      <c r="D1580" s="79">
        <v>1</v>
      </c>
      <c r="E1580" s="79">
        <v>74.540000000000006</v>
      </c>
      <c r="F1580" s="79">
        <v>74.540000000000006</v>
      </c>
      <c r="G1580" s="445"/>
      <c r="H1580" s="178">
        <v>74.540000000000006</v>
      </c>
      <c r="I1580" s="178">
        <v>91.68</v>
      </c>
      <c r="J1580" s="70">
        <v>-17.14</v>
      </c>
      <c r="K1580" s="320"/>
      <c r="L1580" s="178">
        <v>13.65</v>
      </c>
      <c r="M1580" s="178">
        <v>60.890000000000008</v>
      </c>
      <c r="N1580" s="179">
        <v>0</v>
      </c>
      <c r="O1580" s="178">
        <v>74.540000000000006</v>
      </c>
      <c r="P1580" s="453"/>
      <c r="Q1580" s="61"/>
      <c r="R1580" s="298"/>
      <c r="S1580" s="669"/>
      <c r="X1580" s="444">
        <v>1580</v>
      </c>
    </row>
    <row r="1581" spans="1:24" ht="12">
      <c r="A1581" s="83" t="s">
        <v>20930</v>
      </c>
      <c r="B1581" s="64" t="s">
        <v>20931</v>
      </c>
      <c r="C1581" s="71" t="s">
        <v>10216</v>
      </c>
      <c r="D1581" s="79">
        <v>1</v>
      </c>
      <c r="E1581" s="79">
        <v>577.26</v>
      </c>
      <c r="F1581" s="79">
        <v>577.26</v>
      </c>
      <c r="G1581" s="445"/>
      <c r="H1581" s="178">
        <v>577.25</v>
      </c>
      <c r="I1581" s="178">
        <v>710.02</v>
      </c>
      <c r="J1581" s="70">
        <v>-132.76</v>
      </c>
      <c r="K1581" s="320"/>
      <c r="L1581" s="178"/>
      <c r="M1581" s="178">
        <v>577.26</v>
      </c>
      <c r="N1581" s="179">
        <v>0</v>
      </c>
      <c r="O1581" s="178">
        <v>577.26</v>
      </c>
      <c r="P1581" s="453"/>
      <c r="Q1581" s="61"/>
      <c r="R1581" s="298"/>
      <c r="S1581" s="669"/>
      <c r="X1581" s="444">
        <v>1581</v>
      </c>
    </row>
    <row r="1582" spans="1:24" ht="12">
      <c r="A1582" s="83" t="s">
        <v>39748</v>
      </c>
      <c r="B1582" s="64" t="s">
        <v>39749</v>
      </c>
      <c r="C1582" s="71"/>
      <c r="D1582" s="79" t="s">
        <v>40899</v>
      </c>
      <c r="E1582" s="79" t="s">
        <v>40899</v>
      </c>
      <c r="F1582" s="79"/>
      <c r="G1582" s="445"/>
      <c r="H1582" s="178"/>
      <c r="I1582" s="178"/>
      <c r="J1582" s="70"/>
      <c r="K1582" s="320"/>
      <c r="L1582" s="178"/>
      <c r="M1582" s="178"/>
      <c r="N1582" s="179"/>
      <c r="O1582" s="178"/>
      <c r="P1582" s="453"/>
      <c r="Q1582" s="61"/>
      <c r="R1582" s="298"/>
      <c r="S1582" s="669"/>
      <c r="X1582" s="444">
        <v>1582</v>
      </c>
    </row>
    <row r="1583" spans="1:24" ht="12">
      <c r="A1583" s="83" t="s">
        <v>20932</v>
      </c>
      <c r="B1583" s="64" t="s">
        <v>20933</v>
      </c>
      <c r="C1583" s="71" t="s">
        <v>165</v>
      </c>
      <c r="D1583" s="79">
        <v>1</v>
      </c>
      <c r="E1583" s="79">
        <v>51.61</v>
      </c>
      <c r="F1583" s="79">
        <v>51.61</v>
      </c>
      <c r="G1583" s="445"/>
      <c r="H1583" s="178">
        <v>51.6</v>
      </c>
      <c r="I1583" s="178">
        <v>63.47</v>
      </c>
      <c r="J1583" s="70">
        <v>-11.86</v>
      </c>
      <c r="K1583" s="320"/>
      <c r="L1583" s="178">
        <v>32.770000000000003</v>
      </c>
      <c r="M1583" s="178">
        <v>18.839999999999996</v>
      </c>
      <c r="N1583" s="179">
        <v>0</v>
      </c>
      <c r="O1583" s="178">
        <v>51.61</v>
      </c>
      <c r="P1583" s="453"/>
      <c r="Q1583" s="61"/>
      <c r="R1583" s="298"/>
      <c r="S1583" s="669"/>
      <c r="X1583" s="444">
        <v>1583</v>
      </c>
    </row>
    <row r="1584" spans="1:24" ht="12">
      <c r="A1584" s="83" t="s">
        <v>20934</v>
      </c>
      <c r="B1584" s="64" t="s">
        <v>20935</v>
      </c>
      <c r="C1584" s="71" t="s">
        <v>165</v>
      </c>
      <c r="D1584" s="79">
        <v>1</v>
      </c>
      <c r="E1584" s="79">
        <v>62.11</v>
      </c>
      <c r="F1584" s="79">
        <v>62.11</v>
      </c>
      <c r="G1584" s="445"/>
      <c r="H1584" s="178">
        <v>62.1</v>
      </c>
      <c r="I1584" s="178">
        <v>76.38</v>
      </c>
      <c r="J1584" s="70">
        <v>-14.269999999999996</v>
      </c>
      <c r="K1584" s="320"/>
      <c r="L1584" s="178">
        <v>38.230000000000004</v>
      </c>
      <c r="M1584" s="178">
        <v>23.879999999999995</v>
      </c>
      <c r="N1584" s="179">
        <v>0</v>
      </c>
      <c r="O1584" s="178">
        <v>62.11</v>
      </c>
      <c r="P1584" s="453"/>
      <c r="Q1584" s="61"/>
      <c r="R1584" s="298"/>
      <c r="S1584" s="669"/>
      <c r="X1584" s="444">
        <v>1584</v>
      </c>
    </row>
    <row r="1585" spans="1:24" ht="12">
      <c r="A1585" s="83" t="s">
        <v>20936</v>
      </c>
      <c r="B1585" s="64" t="s">
        <v>20937</v>
      </c>
      <c r="C1585" s="71" t="s">
        <v>165</v>
      </c>
      <c r="D1585" s="79">
        <v>1</v>
      </c>
      <c r="E1585" s="79">
        <v>82.1</v>
      </c>
      <c r="F1585" s="79">
        <v>82.1</v>
      </c>
      <c r="G1585" s="445"/>
      <c r="H1585" s="178">
        <v>82.1</v>
      </c>
      <c r="I1585" s="178">
        <v>100.98</v>
      </c>
      <c r="J1585" s="70">
        <v>-18.88000000000001</v>
      </c>
      <c r="K1585" s="320"/>
      <c r="L1585" s="178">
        <v>43.69</v>
      </c>
      <c r="M1585" s="178">
        <v>38.409999999999997</v>
      </c>
      <c r="N1585" s="179">
        <v>0</v>
      </c>
      <c r="O1585" s="178">
        <v>82.1</v>
      </c>
      <c r="P1585" s="453"/>
      <c r="Q1585" s="61"/>
      <c r="R1585" s="298"/>
      <c r="S1585" s="669"/>
      <c r="X1585" s="444">
        <v>1585</v>
      </c>
    </row>
    <row r="1586" spans="1:24" ht="12">
      <c r="A1586" s="83" t="s">
        <v>20938</v>
      </c>
      <c r="B1586" s="64" t="s">
        <v>20939</v>
      </c>
      <c r="C1586" s="71" t="s">
        <v>165</v>
      </c>
      <c r="D1586" s="79">
        <v>1</v>
      </c>
      <c r="E1586" s="79">
        <v>94.06</v>
      </c>
      <c r="F1586" s="79">
        <v>94.06</v>
      </c>
      <c r="G1586" s="445"/>
      <c r="H1586" s="178">
        <v>94.06</v>
      </c>
      <c r="I1586" s="178">
        <v>115.69</v>
      </c>
      <c r="J1586" s="70">
        <v>-21.629999999999995</v>
      </c>
      <c r="K1586" s="320"/>
      <c r="L1586" s="178">
        <v>49.150000000000006</v>
      </c>
      <c r="M1586" s="178">
        <v>44.91</v>
      </c>
      <c r="N1586" s="179">
        <v>0</v>
      </c>
      <c r="O1586" s="178">
        <v>94.06</v>
      </c>
      <c r="P1586" s="453"/>
      <c r="Q1586" s="61"/>
      <c r="R1586" s="298"/>
      <c r="S1586" s="669"/>
      <c r="X1586" s="444">
        <v>1586</v>
      </c>
    </row>
    <row r="1587" spans="1:24" ht="12">
      <c r="A1587" s="83" t="s">
        <v>20940</v>
      </c>
      <c r="B1587" s="64" t="s">
        <v>20941</v>
      </c>
      <c r="C1587" s="71" t="s">
        <v>165</v>
      </c>
      <c r="D1587" s="79">
        <v>1</v>
      </c>
      <c r="E1587" s="79">
        <v>111.72</v>
      </c>
      <c r="F1587" s="79">
        <v>111.72</v>
      </c>
      <c r="G1587" s="445"/>
      <c r="H1587" s="178">
        <v>111.72</v>
      </c>
      <c r="I1587" s="178">
        <v>137.41</v>
      </c>
      <c r="J1587" s="70">
        <v>-25.689999999999998</v>
      </c>
      <c r="K1587" s="320"/>
      <c r="L1587" s="178">
        <v>54.61</v>
      </c>
      <c r="M1587" s="178">
        <v>57.11</v>
      </c>
      <c r="N1587" s="179">
        <v>0</v>
      </c>
      <c r="O1587" s="178">
        <v>111.72</v>
      </c>
      <c r="P1587" s="453"/>
      <c r="Q1587" s="61"/>
      <c r="R1587" s="298"/>
      <c r="S1587" s="669"/>
      <c r="X1587" s="444">
        <v>1587</v>
      </c>
    </row>
    <row r="1588" spans="1:24" ht="12">
      <c r="A1588" s="83" t="s">
        <v>20942</v>
      </c>
      <c r="B1588" s="64" t="s">
        <v>20943</v>
      </c>
      <c r="C1588" s="71" t="s">
        <v>165</v>
      </c>
      <c r="D1588" s="79">
        <v>1</v>
      </c>
      <c r="E1588" s="79">
        <v>145.02000000000001</v>
      </c>
      <c r="F1588" s="79">
        <v>145.02000000000001</v>
      </c>
      <c r="G1588" s="445"/>
      <c r="H1588" s="178">
        <v>145.02000000000001</v>
      </c>
      <c r="I1588" s="178">
        <v>178.37</v>
      </c>
      <c r="J1588" s="70">
        <v>-33.349999999999994</v>
      </c>
      <c r="K1588" s="320"/>
      <c r="L1588" s="178">
        <v>60.07</v>
      </c>
      <c r="M1588" s="178">
        <v>84.950000000000017</v>
      </c>
      <c r="N1588" s="179">
        <v>0</v>
      </c>
      <c r="O1588" s="178">
        <v>145.02000000000001</v>
      </c>
      <c r="P1588" s="453"/>
      <c r="Q1588" s="61"/>
      <c r="R1588" s="298"/>
      <c r="S1588" s="669"/>
      <c r="X1588" s="444">
        <v>1588</v>
      </c>
    </row>
    <row r="1589" spans="1:24" ht="12">
      <c r="A1589" s="83" t="s">
        <v>20944</v>
      </c>
      <c r="B1589" s="64" t="s">
        <v>20945</v>
      </c>
      <c r="C1589" s="71" t="s">
        <v>165</v>
      </c>
      <c r="D1589" s="79">
        <v>1</v>
      </c>
      <c r="E1589" s="79">
        <v>158.69999999999999</v>
      </c>
      <c r="F1589" s="79">
        <v>158.69999999999999</v>
      </c>
      <c r="G1589" s="445"/>
      <c r="H1589" s="178">
        <v>158.69999999999999</v>
      </c>
      <c r="I1589" s="178">
        <v>195.2</v>
      </c>
      <c r="J1589" s="70">
        <v>-36.5</v>
      </c>
      <c r="K1589" s="320"/>
      <c r="L1589" s="178">
        <v>65.53</v>
      </c>
      <c r="M1589" s="178">
        <v>93.169999999999987</v>
      </c>
      <c r="N1589" s="179">
        <v>0</v>
      </c>
      <c r="O1589" s="178">
        <v>158.69999999999999</v>
      </c>
      <c r="P1589" s="453"/>
      <c r="Q1589" s="61"/>
      <c r="R1589" s="298"/>
      <c r="S1589" s="669"/>
      <c r="X1589" s="444">
        <v>1589</v>
      </c>
    </row>
    <row r="1590" spans="1:24">
      <c r="A1590" s="67" t="s">
        <v>20946</v>
      </c>
      <c r="B1590" s="67" t="s">
        <v>39750</v>
      </c>
      <c r="C1590" s="71" t="s">
        <v>165</v>
      </c>
      <c r="D1590" s="79">
        <v>1</v>
      </c>
      <c r="E1590" s="79">
        <v>33.71</v>
      </c>
      <c r="F1590" s="79">
        <v>33.71</v>
      </c>
      <c r="G1590" s="69"/>
      <c r="H1590" s="178">
        <v>33.68</v>
      </c>
      <c r="I1590" s="752">
        <v>41.43</v>
      </c>
      <c r="J1590" s="70">
        <v>-7.7199999999999989</v>
      </c>
      <c r="K1590" s="320"/>
      <c r="L1590" s="178">
        <v>27.33</v>
      </c>
      <c r="M1590" s="178">
        <v>6.3800000000000026</v>
      </c>
      <c r="N1590" s="179">
        <v>0</v>
      </c>
      <c r="O1590" s="178">
        <v>33.71</v>
      </c>
      <c r="Q1590" s="61"/>
      <c r="R1590" s="298"/>
      <c r="S1590" s="669"/>
      <c r="X1590" s="444">
        <v>1590</v>
      </c>
    </row>
    <row r="1591" spans="1:24" ht="12">
      <c r="A1591" s="83" t="s">
        <v>20947</v>
      </c>
      <c r="B1591" s="64" t="s">
        <v>20833</v>
      </c>
      <c r="C1591" s="71" t="s">
        <v>165</v>
      </c>
      <c r="D1591" s="79">
        <v>1</v>
      </c>
      <c r="E1591" s="79">
        <v>35.479999999999997</v>
      </c>
      <c r="F1591" s="79">
        <v>35.479999999999997</v>
      </c>
      <c r="G1591" s="445"/>
      <c r="H1591" s="178">
        <v>35.46</v>
      </c>
      <c r="I1591" s="178">
        <v>43.61</v>
      </c>
      <c r="J1591" s="70">
        <v>-8.1300000000000026</v>
      </c>
      <c r="K1591" s="320"/>
      <c r="L1591" s="178">
        <v>27.33</v>
      </c>
      <c r="M1591" s="178">
        <v>8.1499999999999986</v>
      </c>
      <c r="N1591" s="179">
        <v>0</v>
      </c>
      <c r="O1591" s="178">
        <v>35.479999999999997</v>
      </c>
      <c r="P1591" s="453"/>
      <c r="Q1591" s="61"/>
      <c r="R1591" s="298"/>
      <c r="S1591" s="669"/>
      <c r="X1591" s="444">
        <v>1591</v>
      </c>
    </row>
    <row r="1592" spans="1:24" ht="12">
      <c r="A1592" s="83" t="s">
        <v>20948</v>
      </c>
      <c r="B1592" s="64" t="s">
        <v>20835</v>
      </c>
      <c r="C1592" s="71" t="s">
        <v>165</v>
      </c>
      <c r="D1592" s="79">
        <v>1</v>
      </c>
      <c r="E1592" s="79">
        <v>44.38</v>
      </c>
      <c r="F1592" s="79">
        <v>44.38</v>
      </c>
      <c r="G1592" s="445"/>
      <c r="H1592" s="178">
        <v>44.37</v>
      </c>
      <c r="I1592" s="178">
        <v>54.57</v>
      </c>
      <c r="J1592" s="70">
        <v>-10.189999999999998</v>
      </c>
      <c r="K1592" s="320"/>
      <c r="L1592" s="178">
        <v>32.770000000000003</v>
      </c>
      <c r="M1592" s="178">
        <v>11.61</v>
      </c>
      <c r="N1592" s="179">
        <v>0</v>
      </c>
      <c r="O1592" s="178">
        <v>44.38</v>
      </c>
      <c r="P1592" s="453"/>
      <c r="Q1592" s="61"/>
      <c r="R1592" s="298"/>
      <c r="S1592" s="669"/>
      <c r="X1592" s="444">
        <v>1592</v>
      </c>
    </row>
    <row r="1593" spans="1:24" ht="12">
      <c r="A1593" s="83" t="s">
        <v>20949</v>
      </c>
      <c r="B1593" s="64" t="s">
        <v>20837</v>
      </c>
      <c r="C1593" s="71" t="s">
        <v>165</v>
      </c>
      <c r="D1593" s="79">
        <v>1</v>
      </c>
      <c r="E1593" s="79">
        <v>56.710000000000008</v>
      </c>
      <c r="F1593" s="79">
        <v>56.71</v>
      </c>
      <c r="G1593" s="445"/>
      <c r="H1593" s="178">
        <v>56.71</v>
      </c>
      <c r="I1593" s="178">
        <v>69.75</v>
      </c>
      <c r="J1593" s="70">
        <v>-13.039999999999992</v>
      </c>
      <c r="K1593" s="320"/>
      <c r="L1593" s="178">
        <v>38.230000000000004</v>
      </c>
      <c r="M1593" s="178">
        <v>18.480000000000004</v>
      </c>
      <c r="N1593" s="179">
        <v>0</v>
      </c>
      <c r="O1593" s="178">
        <v>56.710000000000008</v>
      </c>
      <c r="P1593" s="453"/>
      <c r="Q1593" s="61"/>
      <c r="R1593" s="298"/>
      <c r="S1593" s="669"/>
      <c r="X1593" s="444">
        <v>1593</v>
      </c>
    </row>
    <row r="1594" spans="1:24" ht="12">
      <c r="A1594" s="83" t="s">
        <v>20950</v>
      </c>
      <c r="B1594" s="64" t="s">
        <v>20839</v>
      </c>
      <c r="C1594" s="71" t="s">
        <v>165</v>
      </c>
      <c r="D1594" s="79">
        <v>1</v>
      </c>
      <c r="E1594" s="79">
        <v>63.339999999999996</v>
      </c>
      <c r="F1594" s="79">
        <v>63.34</v>
      </c>
      <c r="G1594" s="445"/>
      <c r="H1594" s="178">
        <v>63.33</v>
      </c>
      <c r="I1594" s="178">
        <v>77.900000000000006</v>
      </c>
      <c r="J1594" s="70">
        <v>-14.560000000000009</v>
      </c>
      <c r="K1594" s="320"/>
      <c r="L1594" s="178">
        <v>43.69</v>
      </c>
      <c r="M1594" s="178">
        <v>19.649999999999999</v>
      </c>
      <c r="N1594" s="179">
        <v>0</v>
      </c>
      <c r="O1594" s="178">
        <v>63.339999999999996</v>
      </c>
      <c r="P1594" s="453"/>
      <c r="Q1594" s="61"/>
      <c r="R1594" s="298"/>
      <c r="S1594" s="669"/>
      <c r="T1594" s="61"/>
      <c r="X1594" s="444">
        <v>1594</v>
      </c>
    </row>
    <row r="1595" spans="1:24" ht="12">
      <c r="A1595" s="83" t="s">
        <v>20951</v>
      </c>
      <c r="B1595" s="64" t="s">
        <v>20841</v>
      </c>
      <c r="C1595" s="71" t="s">
        <v>165</v>
      </c>
      <c r="D1595" s="79">
        <v>1</v>
      </c>
      <c r="E1595" s="79">
        <v>73.47</v>
      </c>
      <c r="F1595" s="79">
        <v>73.47</v>
      </c>
      <c r="G1595" s="445"/>
      <c r="H1595" s="178">
        <v>73.47</v>
      </c>
      <c r="I1595" s="178">
        <v>90.37</v>
      </c>
      <c r="J1595" s="70">
        <v>-16.900000000000006</v>
      </c>
      <c r="K1595" s="320"/>
      <c r="L1595" s="178">
        <v>49.150000000000006</v>
      </c>
      <c r="M1595" s="178">
        <v>24.319999999999993</v>
      </c>
      <c r="N1595" s="179">
        <v>0</v>
      </c>
      <c r="O1595" s="178">
        <v>73.47</v>
      </c>
      <c r="P1595" s="453"/>
      <c r="Q1595" s="61"/>
      <c r="R1595" s="298"/>
      <c r="S1595" s="669"/>
      <c r="T1595" s="61"/>
      <c r="X1595" s="444">
        <v>1595</v>
      </c>
    </row>
    <row r="1596" spans="1:24" ht="12">
      <c r="A1596" s="83" t="s">
        <v>20952</v>
      </c>
      <c r="B1596" s="64" t="s">
        <v>20843</v>
      </c>
      <c r="C1596" s="71" t="s">
        <v>165</v>
      </c>
      <c r="D1596" s="79">
        <v>1</v>
      </c>
      <c r="E1596" s="79">
        <v>103.66</v>
      </c>
      <c r="F1596" s="79">
        <v>103.66</v>
      </c>
      <c r="G1596" s="445"/>
      <c r="H1596" s="178">
        <v>103.66</v>
      </c>
      <c r="I1596" s="178">
        <v>127.5</v>
      </c>
      <c r="J1596" s="70">
        <v>-23.840000000000003</v>
      </c>
      <c r="K1596" s="320"/>
      <c r="L1596" s="178">
        <v>54.61</v>
      </c>
      <c r="M1596" s="178">
        <v>49.05</v>
      </c>
      <c r="N1596" s="179">
        <v>0</v>
      </c>
      <c r="O1596" s="178">
        <v>103.66</v>
      </c>
      <c r="P1596" s="453"/>
      <c r="Q1596" s="61"/>
      <c r="R1596" s="298"/>
      <c r="S1596" s="669"/>
      <c r="X1596" s="444">
        <v>1596</v>
      </c>
    </row>
    <row r="1597" spans="1:24" ht="12">
      <c r="A1597" s="83" t="s">
        <v>20953</v>
      </c>
      <c r="B1597" s="64" t="s">
        <v>20845</v>
      </c>
      <c r="C1597" s="71" t="s">
        <v>165</v>
      </c>
      <c r="D1597" s="79">
        <v>1</v>
      </c>
      <c r="E1597" s="79">
        <v>118.47</v>
      </c>
      <c r="F1597" s="79">
        <v>118.47</v>
      </c>
      <c r="G1597" s="445"/>
      <c r="H1597" s="178">
        <v>118.47</v>
      </c>
      <c r="I1597" s="178">
        <v>145.72</v>
      </c>
      <c r="J1597" s="70">
        <v>-27.25</v>
      </c>
      <c r="K1597" s="320"/>
      <c r="L1597" s="178">
        <v>60.07</v>
      </c>
      <c r="M1597" s="178">
        <v>58.4</v>
      </c>
      <c r="N1597" s="179">
        <v>0</v>
      </c>
      <c r="O1597" s="178">
        <v>118.47</v>
      </c>
      <c r="P1597" s="453"/>
      <c r="Q1597" s="61"/>
      <c r="R1597" s="298"/>
      <c r="S1597" s="669"/>
      <c r="X1597" s="444">
        <v>1597</v>
      </c>
    </row>
    <row r="1598" spans="1:24" ht="12">
      <c r="A1598" s="83" t="s">
        <v>20954</v>
      </c>
      <c r="B1598" s="64" t="s">
        <v>20847</v>
      </c>
      <c r="C1598" s="71" t="s">
        <v>165</v>
      </c>
      <c r="D1598" s="79">
        <v>1</v>
      </c>
      <c r="E1598" s="79">
        <v>156.88999999999999</v>
      </c>
      <c r="F1598" s="79">
        <v>156.88999999999999</v>
      </c>
      <c r="G1598" s="445"/>
      <c r="H1598" s="178">
        <v>156.88</v>
      </c>
      <c r="I1598" s="178">
        <v>192.96</v>
      </c>
      <c r="J1598" s="70">
        <v>-36.070000000000022</v>
      </c>
      <c r="K1598" s="320"/>
      <c r="L1598" s="178">
        <v>71</v>
      </c>
      <c r="M1598" s="178">
        <v>85.889999999999986</v>
      </c>
      <c r="N1598" s="179">
        <v>0</v>
      </c>
      <c r="O1598" s="178">
        <v>156.88999999999999</v>
      </c>
      <c r="P1598" s="453"/>
      <c r="Q1598" s="61"/>
      <c r="R1598" s="298"/>
      <c r="S1598" s="669"/>
      <c r="X1598" s="444">
        <v>1598</v>
      </c>
    </row>
    <row r="1599" spans="1:24">
      <c r="A1599" s="67" t="s">
        <v>20955</v>
      </c>
      <c r="B1599" s="67" t="s">
        <v>20956</v>
      </c>
      <c r="C1599" s="71" t="s">
        <v>165</v>
      </c>
      <c r="D1599" s="79">
        <v>1</v>
      </c>
      <c r="E1599" s="79">
        <v>42.72</v>
      </c>
      <c r="F1599" s="79">
        <v>42.72</v>
      </c>
      <c r="G1599" s="69"/>
      <c r="H1599" s="178">
        <v>42.69</v>
      </c>
      <c r="I1599" s="752">
        <v>52.51</v>
      </c>
      <c r="J1599" s="70">
        <v>-9.7899999999999991</v>
      </c>
      <c r="K1599" s="320"/>
      <c r="L1599" s="178">
        <v>27.33</v>
      </c>
      <c r="M1599" s="178">
        <v>15.39</v>
      </c>
      <c r="N1599" s="179">
        <v>0</v>
      </c>
      <c r="O1599" s="178">
        <v>42.72</v>
      </c>
      <c r="Q1599" s="61"/>
      <c r="R1599" s="298"/>
      <c r="S1599" s="669"/>
      <c r="X1599" s="444">
        <v>1599</v>
      </c>
    </row>
    <row r="1600" spans="1:24">
      <c r="A1600" s="67" t="s">
        <v>20957</v>
      </c>
      <c r="B1600" s="67" t="s">
        <v>20958</v>
      </c>
      <c r="C1600" s="71" t="s">
        <v>165</v>
      </c>
      <c r="D1600" s="79">
        <v>1</v>
      </c>
      <c r="E1600" s="79">
        <v>68.789999999999992</v>
      </c>
      <c r="F1600" s="79">
        <v>68.790000000000006</v>
      </c>
      <c r="G1600" s="69"/>
      <c r="H1600" s="178">
        <v>68.760000000000005</v>
      </c>
      <c r="I1600" s="752">
        <v>84.57</v>
      </c>
      <c r="J1600" s="70">
        <v>-15.780000000000001</v>
      </c>
      <c r="K1600" s="320"/>
      <c r="L1600" s="178">
        <v>27.33</v>
      </c>
      <c r="M1600" s="178">
        <v>41.459999999999994</v>
      </c>
      <c r="N1600" s="179">
        <v>0</v>
      </c>
      <c r="O1600" s="178">
        <v>68.789999999999992</v>
      </c>
      <c r="Q1600" s="61"/>
      <c r="R1600" s="298"/>
      <c r="S1600" s="669"/>
      <c r="X1600" s="444">
        <v>1600</v>
      </c>
    </row>
    <row r="1601" spans="1:24">
      <c r="A1601" s="67" t="s">
        <v>20959</v>
      </c>
      <c r="B1601" s="67" t="s">
        <v>20960</v>
      </c>
      <c r="C1601" s="71" t="s">
        <v>165</v>
      </c>
      <c r="D1601" s="79">
        <v>1</v>
      </c>
      <c r="E1601" s="79">
        <v>88.92</v>
      </c>
      <c r="F1601" s="79">
        <v>88.92</v>
      </c>
      <c r="G1601" s="69"/>
      <c r="H1601" s="178">
        <v>88.92</v>
      </c>
      <c r="I1601" s="752">
        <v>109.37</v>
      </c>
      <c r="J1601" s="70">
        <v>-20.450000000000003</v>
      </c>
      <c r="K1601" s="320"/>
      <c r="L1601" s="178">
        <v>32.770000000000003</v>
      </c>
      <c r="M1601" s="178">
        <v>56.15</v>
      </c>
      <c r="N1601" s="179">
        <v>0</v>
      </c>
      <c r="O1601" s="178">
        <v>88.92</v>
      </c>
      <c r="Q1601" s="61"/>
      <c r="R1601" s="298"/>
      <c r="S1601" s="669"/>
      <c r="X1601" s="444">
        <v>1601</v>
      </c>
    </row>
    <row r="1602" spans="1:24">
      <c r="A1602" s="67" t="s">
        <v>20961</v>
      </c>
      <c r="B1602" s="67" t="s">
        <v>20962</v>
      </c>
      <c r="C1602" s="71" t="s">
        <v>165</v>
      </c>
      <c r="D1602" s="79">
        <v>1</v>
      </c>
      <c r="E1602" s="79">
        <v>97.350000000000009</v>
      </c>
      <c r="F1602" s="79">
        <v>97.35</v>
      </c>
      <c r="G1602" s="69"/>
      <c r="H1602" s="178">
        <v>97.35</v>
      </c>
      <c r="I1602" s="752">
        <v>119.74</v>
      </c>
      <c r="J1602" s="70">
        <v>-22.389999999999986</v>
      </c>
      <c r="K1602" s="320"/>
      <c r="L1602" s="178">
        <v>32.770000000000003</v>
      </c>
      <c r="M1602" s="178">
        <v>64.580000000000013</v>
      </c>
      <c r="N1602" s="179">
        <v>0</v>
      </c>
      <c r="O1602" s="178">
        <v>97.350000000000023</v>
      </c>
      <c r="Q1602" s="61"/>
      <c r="R1602" s="298"/>
      <c r="S1602" s="669"/>
      <c r="X1602" s="444">
        <v>1602</v>
      </c>
    </row>
    <row r="1603" spans="1:24" ht="12">
      <c r="A1603" s="83" t="s">
        <v>20963</v>
      </c>
      <c r="B1603" s="64" t="s">
        <v>20849</v>
      </c>
      <c r="C1603" s="71" t="s">
        <v>165</v>
      </c>
      <c r="D1603" s="79">
        <v>1</v>
      </c>
      <c r="E1603" s="79">
        <v>29.61</v>
      </c>
      <c r="F1603" s="79">
        <v>29.61</v>
      </c>
      <c r="G1603" s="445"/>
      <c r="H1603" s="178">
        <v>29.58</v>
      </c>
      <c r="I1603" s="178">
        <v>36.380000000000003</v>
      </c>
      <c r="J1603" s="70">
        <v>-6.7700000000000031</v>
      </c>
      <c r="K1603" s="320"/>
      <c r="L1603" s="178">
        <v>27.33</v>
      </c>
      <c r="M1603" s="178">
        <v>2.2800000000000011</v>
      </c>
      <c r="N1603" s="179">
        <v>0</v>
      </c>
      <c r="O1603" s="178">
        <v>29.61</v>
      </c>
      <c r="P1603" s="453"/>
      <c r="Q1603" s="61"/>
      <c r="R1603" s="298"/>
      <c r="S1603" s="669"/>
      <c r="X1603" s="444">
        <v>1603</v>
      </c>
    </row>
    <row r="1604" spans="1:24" ht="12">
      <c r="A1604" s="83" t="s">
        <v>20964</v>
      </c>
      <c r="B1604" s="64" t="s">
        <v>20851</v>
      </c>
      <c r="C1604" s="71" t="s">
        <v>165</v>
      </c>
      <c r="D1604" s="79">
        <v>1</v>
      </c>
      <c r="E1604" s="79">
        <v>36.14</v>
      </c>
      <c r="F1604" s="79">
        <v>36.14</v>
      </c>
      <c r="G1604" s="445"/>
      <c r="H1604" s="178">
        <v>36.130000000000003</v>
      </c>
      <c r="I1604" s="178">
        <v>44.44</v>
      </c>
      <c r="J1604" s="70">
        <v>-8.2999999999999972</v>
      </c>
      <c r="K1604" s="320"/>
      <c r="L1604" s="178">
        <v>32.770000000000003</v>
      </c>
      <c r="M1604" s="178">
        <v>3.3699999999999974</v>
      </c>
      <c r="N1604" s="179">
        <v>0</v>
      </c>
      <c r="O1604" s="178">
        <v>36.14</v>
      </c>
      <c r="P1604" s="453"/>
      <c r="Q1604" s="61"/>
      <c r="R1604" s="298"/>
      <c r="S1604" s="669"/>
      <c r="X1604" s="444">
        <v>1604</v>
      </c>
    </row>
    <row r="1605" spans="1:24" ht="12">
      <c r="A1605" s="83" t="s">
        <v>20965</v>
      </c>
      <c r="B1605" s="64" t="s">
        <v>20095</v>
      </c>
      <c r="C1605" s="71" t="s">
        <v>165</v>
      </c>
      <c r="D1605" s="79">
        <v>1</v>
      </c>
      <c r="E1605" s="79">
        <v>22.189999999999998</v>
      </c>
      <c r="F1605" s="79">
        <v>22.19</v>
      </c>
      <c r="G1605" s="445"/>
      <c r="H1605" s="178">
        <v>22.2</v>
      </c>
      <c r="I1605" s="178">
        <v>27.3</v>
      </c>
      <c r="J1605" s="70">
        <v>-5.110000000000003</v>
      </c>
      <c r="K1605" s="320"/>
      <c r="L1605" s="178">
        <v>17.25</v>
      </c>
      <c r="M1605" s="178">
        <v>4.9399999999999977</v>
      </c>
      <c r="N1605" s="179">
        <v>0</v>
      </c>
      <c r="O1605" s="178">
        <v>22.189999999999998</v>
      </c>
      <c r="P1605" s="453"/>
      <c r="Q1605" s="61"/>
      <c r="R1605" s="298"/>
      <c r="S1605" s="669"/>
      <c r="X1605" s="444">
        <v>1605</v>
      </c>
    </row>
    <row r="1606" spans="1:24" ht="12">
      <c r="A1606" s="83" t="s">
        <v>20966</v>
      </c>
      <c r="B1606" s="64" t="s">
        <v>20967</v>
      </c>
      <c r="C1606" s="71" t="s">
        <v>103</v>
      </c>
      <c r="D1606" s="79">
        <v>1</v>
      </c>
      <c r="E1606" s="79">
        <v>350.93</v>
      </c>
      <c r="F1606" s="79">
        <v>350.93</v>
      </c>
      <c r="G1606" s="445"/>
      <c r="H1606" s="178">
        <v>350.93</v>
      </c>
      <c r="I1606" s="178">
        <v>431.64</v>
      </c>
      <c r="J1606" s="70">
        <v>-80.70999999999998</v>
      </c>
      <c r="K1606" s="320"/>
      <c r="L1606" s="178">
        <v>109.22</v>
      </c>
      <c r="M1606" s="178">
        <v>241.71</v>
      </c>
      <c r="N1606" s="179">
        <v>0</v>
      </c>
      <c r="O1606" s="178">
        <v>350.93</v>
      </c>
      <c r="P1606" s="453"/>
      <c r="Q1606" s="61"/>
      <c r="R1606" s="298"/>
      <c r="S1606" s="669"/>
      <c r="X1606" s="444">
        <v>1606</v>
      </c>
    </row>
    <row r="1607" spans="1:24" ht="12">
      <c r="A1607" s="83" t="s">
        <v>20968</v>
      </c>
      <c r="B1607" s="64" t="s">
        <v>20969</v>
      </c>
      <c r="C1607" s="71" t="s">
        <v>103</v>
      </c>
      <c r="D1607" s="79">
        <v>1</v>
      </c>
      <c r="E1607" s="79">
        <v>411.36</v>
      </c>
      <c r="F1607" s="79">
        <v>411.36</v>
      </c>
      <c r="G1607" s="445"/>
      <c r="H1607" s="178">
        <v>411.36</v>
      </c>
      <c r="I1607" s="178">
        <v>505.97</v>
      </c>
      <c r="J1607" s="70">
        <v>-94.610000000000014</v>
      </c>
      <c r="K1607" s="320"/>
      <c r="L1607" s="178">
        <v>109.22</v>
      </c>
      <c r="M1607" s="178">
        <v>302.14</v>
      </c>
      <c r="N1607" s="179">
        <v>0</v>
      </c>
      <c r="O1607" s="178">
        <v>411.36</v>
      </c>
      <c r="P1607" s="453"/>
      <c r="Q1607" s="61"/>
      <c r="R1607" s="298"/>
      <c r="S1607" s="669"/>
      <c r="X1607" s="444">
        <v>1607</v>
      </c>
    </row>
    <row r="1608" spans="1:24" ht="12">
      <c r="A1608" s="83" t="s">
        <v>20970</v>
      </c>
      <c r="B1608" s="64" t="s">
        <v>20971</v>
      </c>
      <c r="C1608" s="71" t="s">
        <v>103</v>
      </c>
      <c r="D1608" s="79">
        <v>1</v>
      </c>
      <c r="E1608" s="79">
        <v>587.26</v>
      </c>
      <c r="F1608" s="79">
        <v>587.26</v>
      </c>
      <c r="G1608" s="445"/>
      <c r="H1608" s="178">
        <v>587.25</v>
      </c>
      <c r="I1608" s="178">
        <v>722.32</v>
      </c>
      <c r="J1608" s="70">
        <v>-135.06000000000006</v>
      </c>
      <c r="K1608" s="320"/>
      <c r="L1608" s="178">
        <v>163.84000000000003</v>
      </c>
      <c r="M1608" s="178">
        <v>423.41999999999996</v>
      </c>
      <c r="N1608" s="179">
        <v>0</v>
      </c>
      <c r="O1608" s="178">
        <v>587.26</v>
      </c>
      <c r="P1608" s="453"/>
      <c r="Q1608" s="61"/>
      <c r="R1608" s="298"/>
      <c r="S1608" s="669"/>
      <c r="X1608" s="444">
        <v>1608</v>
      </c>
    </row>
    <row r="1609" spans="1:24" ht="12">
      <c r="A1609" s="83" t="s">
        <v>20972</v>
      </c>
      <c r="B1609" s="64" t="s">
        <v>20973</v>
      </c>
      <c r="C1609" s="71" t="s">
        <v>103</v>
      </c>
      <c r="D1609" s="79">
        <v>1</v>
      </c>
      <c r="E1609" s="79">
        <v>663.42000000000007</v>
      </c>
      <c r="F1609" s="79">
        <v>663.42</v>
      </c>
      <c r="G1609" s="445"/>
      <c r="H1609" s="178">
        <v>663.41</v>
      </c>
      <c r="I1609" s="178">
        <v>816</v>
      </c>
      <c r="J1609" s="70">
        <v>-152.57999999999993</v>
      </c>
      <c r="K1609" s="320"/>
      <c r="L1609" s="178">
        <v>218.45</v>
      </c>
      <c r="M1609" s="178">
        <v>444.97000000000008</v>
      </c>
      <c r="N1609" s="179">
        <v>0</v>
      </c>
      <c r="O1609" s="178">
        <v>663.42000000000007</v>
      </c>
      <c r="P1609" s="453"/>
      <c r="Q1609" s="61"/>
      <c r="R1609" s="298"/>
      <c r="S1609" s="669"/>
      <c r="X1609" s="444">
        <v>1609</v>
      </c>
    </row>
    <row r="1610" spans="1:24" ht="12">
      <c r="A1610" s="83" t="s">
        <v>20974</v>
      </c>
      <c r="B1610" s="64" t="s">
        <v>20975</v>
      </c>
      <c r="C1610" s="71" t="s">
        <v>103</v>
      </c>
      <c r="D1610" s="79">
        <v>1</v>
      </c>
      <c r="E1610" s="79">
        <v>898</v>
      </c>
      <c r="F1610" s="79">
        <v>898</v>
      </c>
      <c r="G1610" s="445"/>
      <c r="H1610" s="178">
        <v>898</v>
      </c>
      <c r="I1610" s="178">
        <v>1104.54</v>
      </c>
      <c r="J1610" s="70">
        <v>-206.53999999999996</v>
      </c>
      <c r="K1610" s="320"/>
      <c r="L1610" s="178">
        <v>273.06</v>
      </c>
      <c r="M1610" s="178">
        <v>624.94000000000005</v>
      </c>
      <c r="N1610" s="179">
        <v>0</v>
      </c>
      <c r="O1610" s="178">
        <v>898</v>
      </c>
      <c r="P1610" s="453"/>
      <c r="Q1610" s="61"/>
      <c r="R1610" s="298"/>
      <c r="S1610" s="669"/>
      <c r="X1610" s="444">
        <v>1610</v>
      </c>
    </row>
    <row r="1611" spans="1:24" ht="12">
      <c r="A1611" s="83" t="s">
        <v>20976</v>
      </c>
      <c r="B1611" s="64" t="s">
        <v>20977</v>
      </c>
      <c r="C1611" s="71" t="s">
        <v>165</v>
      </c>
      <c r="D1611" s="79">
        <v>1</v>
      </c>
      <c r="E1611" s="79">
        <v>17.310000000000002</v>
      </c>
      <c r="F1611" s="79">
        <v>17.309999999999999</v>
      </c>
      <c r="G1611" s="445"/>
      <c r="H1611" s="178">
        <v>17.3</v>
      </c>
      <c r="I1611" s="178">
        <v>21.28</v>
      </c>
      <c r="J1611" s="70">
        <v>-3.9699999999999989</v>
      </c>
      <c r="K1611" s="320"/>
      <c r="L1611" s="178">
        <v>7.26</v>
      </c>
      <c r="M1611" s="178">
        <v>10.050000000000002</v>
      </c>
      <c r="N1611" s="179">
        <v>0</v>
      </c>
      <c r="O1611" s="178">
        <v>17.310000000000002</v>
      </c>
      <c r="P1611" s="453"/>
      <c r="Q1611" s="61"/>
      <c r="R1611" s="298"/>
      <c r="S1611" s="669"/>
      <c r="X1611" s="444">
        <v>1611</v>
      </c>
    </row>
    <row r="1612" spans="1:24" ht="12">
      <c r="A1612" s="83" t="s">
        <v>20978</v>
      </c>
      <c r="B1612" s="64" t="s">
        <v>20979</v>
      </c>
      <c r="C1612" s="71" t="s">
        <v>165</v>
      </c>
      <c r="D1612" s="79">
        <v>1</v>
      </c>
      <c r="E1612" s="79">
        <v>23.75</v>
      </c>
      <c r="F1612" s="79">
        <v>23.75</v>
      </c>
      <c r="G1612" s="445"/>
      <c r="H1612" s="178">
        <v>23.74</v>
      </c>
      <c r="I1612" s="178">
        <v>29.2</v>
      </c>
      <c r="J1612" s="70">
        <v>-5.4499999999999993</v>
      </c>
      <c r="K1612" s="320"/>
      <c r="L1612" s="178">
        <v>7.26</v>
      </c>
      <c r="M1612" s="178">
        <v>16.490000000000002</v>
      </c>
      <c r="N1612" s="179">
        <v>0</v>
      </c>
      <c r="O1612" s="178">
        <v>23.75</v>
      </c>
      <c r="P1612" s="453"/>
      <c r="Q1612" s="61"/>
      <c r="R1612" s="298"/>
      <c r="S1612" s="669"/>
      <c r="X1612" s="444">
        <v>1612</v>
      </c>
    </row>
    <row r="1613" spans="1:24" ht="12">
      <c r="A1613" s="83" t="s">
        <v>20980</v>
      </c>
      <c r="B1613" s="64" t="s">
        <v>20981</v>
      </c>
      <c r="C1613" s="71" t="s">
        <v>165</v>
      </c>
      <c r="D1613" s="79">
        <v>1</v>
      </c>
      <c r="E1613" s="79">
        <v>39.979999999999997</v>
      </c>
      <c r="F1613" s="79">
        <v>39.979999999999997</v>
      </c>
      <c r="G1613" s="445"/>
      <c r="H1613" s="178">
        <v>39.97</v>
      </c>
      <c r="I1613" s="178">
        <v>49.16</v>
      </c>
      <c r="J1613" s="70">
        <v>-9.18</v>
      </c>
      <c r="K1613" s="320"/>
      <c r="L1613" s="178">
        <v>7.26</v>
      </c>
      <c r="M1613" s="178">
        <v>32.72</v>
      </c>
      <c r="N1613" s="179">
        <v>0</v>
      </c>
      <c r="O1613" s="178">
        <v>39.979999999999997</v>
      </c>
      <c r="P1613" s="453"/>
      <c r="Q1613" s="61"/>
      <c r="R1613" s="298"/>
      <c r="S1613" s="669"/>
      <c r="X1613" s="444">
        <v>1613</v>
      </c>
    </row>
    <row r="1614" spans="1:24" ht="24">
      <c r="A1614" s="83" t="s">
        <v>39751</v>
      </c>
      <c r="B1614" s="64" t="s">
        <v>39752</v>
      </c>
      <c r="C1614" s="71" t="s">
        <v>103</v>
      </c>
      <c r="D1614" s="79">
        <v>1</v>
      </c>
      <c r="E1614" s="79">
        <v>229.41000000000003</v>
      </c>
      <c r="F1614" s="79">
        <v>229.41</v>
      </c>
      <c r="G1614" s="445"/>
      <c r="H1614" s="178">
        <v>229.38</v>
      </c>
      <c r="I1614" s="178">
        <v>282.14</v>
      </c>
      <c r="J1614" s="70">
        <v>-52.729999999999961</v>
      </c>
      <c r="K1614" s="320"/>
      <c r="L1614" s="178">
        <v>30.01</v>
      </c>
      <c r="M1614" s="178">
        <v>99.230000000000032</v>
      </c>
      <c r="N1614" s="179">
        <v>100.17</v>
      </c>
      <c r="O1614" s="178">
        <v>229.41000000000003</v>
      </c>
      <c r="P1614" s="453"/>
      <c r="Q1614" s="61"/>
      <c r="R1614" s="298"/>
      <c r="S1614" s="669"/>
      <c r="X1614" s="444">
        <v>1614</v>
      </c>
    </row>
    <row r="1615" spans="1:24" ht="24">
      <c r="A1615" s="83" t="s">
        <v>39753</v>
      </c>
      <c r="B1615" s="64" t="s">
        <v>39754</v>
      </c>
      <c r="C1615" s="71" t="s">
        <v>103</v>
      </c>
      <c r="D1615" s="79">
        <v>1</v>
      </c>
      <c r="E1615" s="79">
        <v>155.54</v>
      </c>
      <c r="F1615" s="79">
        <v>155.54</v>
      </c>
      <c r="G1615" s="445"/>
      <c r="H1615" s="178">
        <v>155.51</v>
      </c>
      <c r="I1615" s="178">
        <v>191.28</v>
      </c>
      <c r="J1615" s="70">
        <v>-35.740000000000009</v>
      </c>
      <c r="K1615" s="320"/>
      <c r="L1615" s="178">
        <v>30.01</v>
      </c>
      <c r="M1615" s="178">
        <v>25.359999999999985</v>
      </c>
      <c r="N1615" s="179">
        <v>100.17</v>
      </c>
      <c r="O1615" s="178">
        <v>155.54</v>
      </c>
      <c r="P1615" s="453"/>
      <c r="Q1615" s="61"/>
      <c r="R1615" s="298"/>
      <c r="S1615" s="669"/>
      <c r="X1615" s="444">
        <v>1615</v>
      </c>
    </row>
    <row r="1616" spans="1:24" ht="12">
      <c r="A1616" s="83" t="s">
        <v>20982</v>
      </c>
      <c r="B1616" s="64" t="s">
        <v>20983</v>
      </c>
      <c r="C1616" s="71" t="s">
        <v>103</v>
      </c>
      <c r="D1616" s="79">
        <v>1</v>
      </c>
      <c r="E1616" s="79">
        <v>100.17</v>
      </c>
      <c r="F1616" s="79">
        <v>100.17</v>
      </c>
      <c r="G1616" s="445"/>
      <c r="H1616" s="178">
        <v>100.17</v>
      </c>
      <c r="I1616" s="178">
        <v>123.21</v>
      </c>
      <c r="J1616" s="70">
        <v>-23.039999999999992</v>
      </c>
      <c r="K1616" s="320"/>
      <c r="L1616" s="178">
        <v>54.61</v>
      </c>
      <c r="M1616" s="178">
        <v>45.56</v>
      </c>
      <c r="N1616" s="179">
        <v>0</v>
      </c>
      <c r="O1616" s="178">
        <v>100.17</v>
      </c>
      <c r="P1616" s="453"/>
      <c r="Q1616" s="61"/>
      <c r="R1616" s="298"/>
      <c r="S1616" s="669"/>
      <c r="X1616" s="444">
        <v>1616</v>
      </c>
    </row>
    <row r="1617" spans="1:24" ht="12">
      <c r="A1617" s="83" t="s">
        <v>20984</v>
      </c>
      <c r="B1617" s="64" t="s">
        <v>8704</v>
      </c>
      <c r="C1617" s="71" t="s">
        <v>103</v>
      </c>
      <c r="D1617" s="79">
        <v>1</v>
      </c>
      <c r="E1617" s="79">
        <v>89.44</v>
      </c>
      <c r="F1617" s="79">
        <v>89.44</v>
      </c>
      <c r="G1617" s="445"/>
      <c r="H1617" s="178">
        <v>89.43</v>
      </c>
      <c r="I1617" s="178">
        <v>110</v>
      </c>
      <c r="J1617" s="70">
        <v>-20.560000000000002</v>
      </c>
      <c r="K1617" s="320"/>
      <c r="L1617" s="178">
        <v>32.770000000000003</v>
      </c>
      <c r="M1617" s="178">
        <v>56.669999999999995</v>
      </c>
      <c r="N1617" s="179">
        <v>0</v>
      </c>
      <c r="O1617" s="178">
        <v>89.44</v>
      </c>
      <c r="P1617" s="453"/>
      <c r="Q1617" s="61"/>
      <c r="R1617" s="298"/>
      <c r="S1617" s="669"/>
      <c r="X1617" s="444">
        <v>1617</v>
      </c>
    </row>
    <row r="1618" spans="1:24" ht="12">
      <c r="A1618" s="83" t="s">
        <v>20985</v>
      </c>
      <c r="B1618" s="64" t="s">
        <v>8706</v>
      </c>
      <c r="C1618" s="71" t="s">
        <v>103</v>
      </c>
      <c r="D1618" s="79">
        <v>1</v>
      </c>
      <c r="E1618" s="79">
        <v>119.70000000000002</v>
      </c>
      <c r="F1618" s="79">
        <v>119.7</v>
      </c>
      <c r="G1618" s="445"/>
      <c r="H1618" s="178">
        <v>119.69</v>
      </c>
      <c r="I1618" s="178">
        <v>147.22</v>
      </c>
      <c r="J1618" s="70">
        <v>-27.519999999999982</v>
      </c>
      <c r="K1618" s="320"/>
      <c r="L1618" s="178">
        <v>32.770000000000003</v>
      </c>
      <c r="M1618" s="178">
        <v>86.93</v>
      </c>
      <c r="N1618" s="179">
        <v>0</v>
      </c>
      <c r="O1618" s="178">
        <v>119.70000000000002</v>
      </c>
      <c r="P1618" s="453"/>
      <c r="Q1618" s="61"/>
      <c r="R1618" s="298"/>
      <c r="S1618" s="669"/>
      <c r="X1618" s="444">
        <v>1618</v>
      </c>
    </row>
    <row r="1619" spans="1:24" ht="12">
      <c r="A1619" s="83" t="s">
        <v>20986</v>
      </c>
      <c r="B1619" s="64" t="s">
        <v>8712</v>
      </c>
      <c r="C1619" s="71" t="s">
        <v>103</v>
      </c>
      <c r="D1619" s="79">
        <v>1</v>
      </c>
      <c r="E1619" s="79">
        <v>26.909999999999997</v>
      </c>
      <c r="F1619" s="79">
        <v>26.91</v>
      </c>
      <c r="G1619" s="445"/>
      <c r="H1619" s="178">
        <v>26.91</v>
      </c>
      <c r="I1619" s="178">
        <v>33.1</v>
      </c>
      <c r="J1619" s="70">
        <v>-6.1900000000000048</v>
      </c>
      <c r="K1619" s="320"/>
      <c r="L1619" s="178">
        <v>16.38</v>
      </c>
      <c r="M1619" s="178">
        <v>10.529999999999998</v>
      </c>
      <c r="N1619" s="179">
        <v>0</v>
      </c>
      <c r="O1619" s="178">
        <v>26.909999999999997</v>
      </c>
      <c r="P1619" s="453"/>
      <c r="Q1619" s="61"/>
      <c r="R1619" s="298"/>
      <c r="S1619" s="669"/>
      <c r="X1619" s="444">
        <v>1619</v>
      </c>
    </row>
    <row r="1620" spans="1:24" ht="12">
      <c r="A1620" s="83" t="s">
        <v>20987</v>
      </c>
      <c r="B1620" s="64" t="s">
        <v>8710</v>
      </c>
      <c r="C1620" s="71" t="s">
        <v>103</v>
      </c>
      <c r="D1620" s="79">
        <v>1</v>
      </c>
      <c r="E1620" s="79">
        <v>119.83000000000001</v>
      </c>
      <c r="F1620" s="79">
        <v>119.83</v>
      </c>
      <c r="G1620" s="445"/>
      <c r="H1620" s="178">
        <v>119.83</v>
      </c>
      <c r="I1620" s="178">
        <v>147.38999999999999</v>
      </c>
      <c r="J1620" s="70">
        <v>-27.559999999999974</v>
      </c>
      <c r="K1620" s="320"/>
      <c r="L1620" s="178">
        <v>49.150000000000006</v>
      </c>
      <c r="M1620" s="178">
        <v>70.680000000000007</v>
      </c>
      <c r="N1620" s="179">
        <v>0</v>
      </c>
      <c r="O1620" s="178">
        <v>119.83000000000001</v>
      </c>
      <c r="P1620" s="453"/>
      <c r="Q1620" s="61"/>
      <c r="R1620" s="298"/>
      <c r="S1620" s="669"/>
      <c r="X1620" s="444">
        <v>1620</v>
      </c>
    </row>
    <row r="1621" spans="1:24" ht="12">
      <c r="A1621" s="83" t="s">
        <v>20988</v>
      </c>
      <c r="B1621" s="64" t="s">
        <v>8716</v>
      </c>
      <c r="C1621" s="71" t="s">
        <v>103</v>
      </c>
      <c r="D1621" s="79">
        <v>1</v>
      </c>
      <c r="E1621" s="79">
        <v>148.74</v>
      </c>
      <c r="F1621" s="79">
        <v>148.74</v>
      </c>
      <c r="G1621" s="445"/>
      <c r="H1621" s="178">
        <v>148.74</v>
      </c>
      <c r="I1621" s="178">
        <v>182.95</v>
      </c>
      <c r="J1621" s="70">
        <v>-34.20999999999998</v>
      </c>
      <c r="K1621" s="320"/>
      <c r="L1621" s="178">
        <v>49.150000000000006</v>
      </c>
      <c r="M1621" s="178">
        <v>99.59</v>
      </c>
      <c r="N1621" s="179">
        <v>0</v>
      </c>
      <c r="O1621" s="178">
        <v>148.74</v>
      </c>
      <c r="P1621" s="453"/>
      <c r="Q1621" s="61"/>
      <c r="R1621" s="298"/>
      <c r="S1621" s="669"/>
      <c r="X1621" s="444">
        <v>1621</v>
      </c>
    </row>
    <row r="1622" spans="1:24" ht="12">
      <c r="A1622" s="83" t="s">
        <v>20989</v>
      </c>
      <c r="B1622" s="64" t="s">
        <v>20990</v>
      </c>
      <c r="C1622" s="71" t="s">
        <v>103</v>
      </c>
      <c r="D1622" s="79">
        <v>1</v>
      </c>
      <c r="E1622" s="79">
        <v>1781.19</v>
      </c>
      <c r="F1622" s="79">
        <v>1781.19</v>
      </c>
      <c r="G1622" s="445"/>
      <c r="H1622" s="178">
        <v>1781.2</v>
      </c>
      <c r="I1622" s="178">
        <v>2190.87</v>
      </c>
      <c r="J1622" s="70">
        <v>-409.67999999999984</v>
      </c>
      <c r="K1622" s="320"/>
      <c r="L1622" s="178">
        <v>327.67</v>
      </c>
      <c r="M1622" s="178">
        <v>1453.52</v>
      </c>
      <c r="N1622" s="179">
        <v>0</v>
      </c>
      <c r="O1622" s="178">
        <v>1781.19</v>
      </c>
      <c r="P1622" s="453"/>
      <c r="Q1622" s="61"/>
      <c r="R1622" s="298"/>
      <c r="S1622" s="669"/>
      <c r="X1622" s="444">
        <v>1622</v>
      </c>
    </row>
    <row r="1623" spans="1:24" ht="12">
      <c r="A1623" s="83" t="s">
        <v>20991</v>
      </c>
      <c r="B1623" s="64" t="s">
        <v>20992</v>
      </c>
      <c r="C1623" s="71" t="s">
        <v>103</v>
      </c>
      <c r="D1623" s="79">
        <v>1</v>
      </c>
      <c r="E1623" s="79">
        <v>1790.97</v>
      </c>
      <c r="F1623" s="79">
        <v>1790.97</v>
      </c>
      <c r="G1623" s="445"/>
      <c r="H1623" s="178">
        <v>1790.97</v>
      </c>
      <c r="I1623" s="178">
        <v>2202.89</v>
      </c>
      <c r="J1623" s="70">
        <v>-411.91999999999985</v>
      </c>
      <c r="K1623" s="320"/>
      <c r="L1623" s="178">
        <v>327.67</v>
      </c>
      <c r="M1623" s="178">
        <v>1463.3</v>
      </c>
      <c r="N1623" s="179">
        <v>0</v>
      </c>
      <c r="O1623" s="178">
        <v>1790.97</v>
      </c>
      <c r="P1623" s="453"/>
      <c r="Q1623" s="61"/>
      <c r="R1623" s="298"/>
      <c r="S1623" s="669"/>
      <c r="X1623" s="444">
        <v>1623</v>
      </c>
    </row>
    <row r="1624" spans="1:24" ht="12">
      <c r="A1624" s="83" t="s">
        <v>20993</v>
      </c>
      <c r="B1624" s="64" t="s">
        <v>20994</v>
      </c>
      <c r="C1624" s="71" t="s">
        <v>103</v>
      </c>
      <c r="D1624" s="79">
        <v>1</v>
      </c>
      <c r="E1624" s="79">
        <v>1761.94</v>
      </c>
      <c r="F1624" s="79">
        <v>1761.94</v>
      </c>
      <c r="G1624" s="445"/>
      <c r="H1624" s="178">
        <v>1761.94</v>
      </c>
      <c r="I1624" s="178">
        <v>2167.19</v>
      </c>
      <c r="J1624" s="70">
        <v>-405.25</v>
      </c>
      <c r="K1624" s="320"/>
      <c r="L1624" s="178">
        <v>327.67</v>
      </c>
      <c r="M1624" s="178">
        <v>1434.27</v>
      </c>
      <c r="N1624" s="179">
        <v>0</v>
      </c>
      <c r="O1624" s="178">
        <v>1761.94</v>
      </c>
      <c r="P1624" s="453"/>
      <c r="Q1624" s="61"/>
      <c r="R1624" s="298"/>
      <c r="S1624" s="669"/>
      <c r="X1624" s="444">
        <v>1624</v>
      </c>
    </row>
    <row r="1625" spans="1:24" ht="12">
      <c r="A1625" s="83" t="s">
        <v>20995</v>
      </c>
      <c r="B1625" s="64" t="s">
        <v>20996</v>
      </c>
      <c r="C1625" s="71" t="s">
        <v>103</v>
      </c>
      <c r="D1625" s="79">
        <v>1</v>
      </c>
      <c r="E1625" s="79">
        <v>1591.4900000000002</v>
      </c>
      <c r="F1625" s="79">
        <v>1591.49</v>
      </c>
      <c r="G1625" s="445"/>
      <c r="H1625" s="178">
        <v>1591.49</v>
      </c>
      <c r="I1625" s="178">
        <v>1957.53</v>
      </c>
      <c r="J1625" s="70">
        <v>-366.03999999999974</v>
      </c>
      <c r="K1625" s="320"/>
      <c r="L1625" s="178">
        <v>327.67</v>
      </c>
      <c r="M1625" s="178">
        <v>1263.8200000000002</v>
      </c>
      <c r="N1625" s="179">
        <v>0</v>
      </c>
      <c r="O1625" s="178">
        <v>1591.4900000000002</v>
      </c>
      <c r="P1625" s="453"/>
      <c r="Q1625" s="61"/>
      <c r="R1625" s="298"/>
      <c r="S1625" s="669"/>
      <c r="X1625" s="444">
        <v>1625</v>
      </c>
    </row>
    <row r="1626" spans="1:24" ht="12">
      <c r="A1626" s="83" t="s">
        <v>20997</v>
      </c>
      <c r="B1626" s="64" t="s">
        <v>20998</v>
      </c>
      <c r="C1626" s="71" t="s">
        <v>103</v>
      </c>
      <c r="D1626" s="79">
        <v>1</v>
      </c>
      <c r="E1626" s="79">
        <v>1788.1000000000001</v>
      </c>
      <c r="F1626" s="79">
        <v>1788.1</v>
      </c>
      <c r="G1626" s="445"/>
      <c r="H1626" s="178">
        <v>1788.1</v>
      </c>
      <c r="I1626" s="178">
        <v>2199.36</v>
      </c>
      <c r="J1626" s="70">
        <v>-411.26</v>
      </c>
      <c r="K1626" s="320"/>
      <c r="L1626" s="178">
        <v>327.67</v>
      </c>
      <c r="M1626" s="178">
        <v>1460.43</v>
      </c>
      <c r="N1626" s="179">
        <v>0</v>
      </c>
      <c r="O1626" s="178">
        <v>1788.1000000000001</v>
      </c>
      <c r="P1626" s="453"/>
      <c r="Q1626" s="61"/>
      <c r="R1626" s="298"/>
      <c r="S1626" s="669"/>
      <c r="X1626" s="444">
        <v>1626</v>
      </c>
    </row>
    <row r="1627" spans="1:24" ht="12">
      <c r="A1627" s="83" t="s">
        <v>20999</v>
      </c>
      <c r="B1627" s="64" t="s">
        <v>21000</v>
      </c>
      <c r="C1627" s="71" t="s">
        <v>103</v>
      </c>
      <c r="D1627" s="79">
        <v>1</v>
      </c>
      <c r="E1627" s="79">
        <v>1868.43</v>
      </c>
      <c r="F1627" s="79">
        <v>1868.43</v>
      </c>
      <c r="G1627" s="445"/>
      <c r="H1627" s="178">
        <v>1868.43</v>
      </c>
      <c r="I1627" s="178">
        <v>2298.17</v>
      </c>
      <c r="J1627" s="70">
        <v>-429.74</v>
      </c>
      <c r="K1627" s="320"/>
      <c r="L1627" s="178">
        <v>327.67</v>
      </c>
      <c r="M1627" s="178">
        <v>1540.76</v>
      </c>
      <c r="N1627" s="179">
        <v>0</v>
      </c>
      <c r="O1627" s="178">
        <v>1868.43</v>
      </c>
      <c r="P1627" s="453"/>
      <c r="Q1627" s="61"/>
      <c r="R1627" s="298"/>
      <c r="S1627" s="669"/>
      <c r="X1627" s="444">
        <v>1627</v>
      </c>
    </row>
    <row r="1628" spans="1:24" ht="12">
      <c r="A1628" s="83" t="s">
        <v>21001</v>
      </c>
      <c r="B1628" s="64" t="s">
        <v>21002</v>
      </c>
      <c r="C1628" s="71" t="s">
        <v>103</v>
      </c>
      <c r="D1628" s="79">
        <v>1</v>
      </c>
      <c r="E1628" s="79">
        <v>1726.8799999999999</v>
      </c>
      <c r="F1628" s="79">
        <v>1726.88</v>
      </c>
      <c r="G1628" s="445"/>
      <c r="H1628" s="178">
        <v>1726.89</v>
      </c>
      <c r="I1628" s="178">
        <v>2124.0700000000002</v>
      </c>
      <c r="J1628" s="70">
        <v>-397.19000000000028</v>
      </c>
      <c r="K1628" s="320"/>
      <c r="L1628" s="178">
        <v>338.59</v>
      </c>
      <c r="M1628" s="178">
        <v>1388.29</v>
      </c>
      <c r="N1628" s="179">
        <v>0</v>
      </c>
      <c r="O1628" s="178">
        <v>1726.8799999999999</v>
      </c>
      <c r="P1628" s="453"/>
      <c r="Q1628" s="61"/>
      <c r="R1628" s="298"/>
      <c r="S1628" s="669"/>
      <c r="X1628" s="444">
        <v>1628</v>
      </c>
    </row>
    <row r="1629" spans="1:24" ht="12">
      <c r="A1629" s="83" t="s">
        <v>21003</v>
      </c>
      <c r="B1629" s="64" t="s">
        <v>21004</v>
      </c>
      <c r="C1629" s="71" t="s">
        <v>103</v>
      </c>
      <c r="D1629" s="79">
        <v>1</v>
      </c>
      <c r="E1629" s="79">
        <v>1712.8700000000001</v>
      </c>
      <c r="F1629" s="79">
        <v>1712.87</v>
      </c>
      <c r="G1629" s="445"/>
      <c r="H1629" s="178">
        <v>1712.87</v>
      </c>
      <c r="I1629" s="178">
        <v>2106.83</v>
      </c>
      <c r="J1629" s="70">
        <v>-393.95999999999981</v>
      </c>
      <c r="K1629" s="320"/>
      <c r="L1629" s="178">
        <v>338.59</v>
      </c>
      <c r="M1629" s="178">
        <v>1374.2800000000002</v>
      </c>
      <c r="N1629" s="179">
        <v>0</v>
      </c>
      <c r="O1629" s="178">
        <v>1712.8700000000001</v>
      </c>
      <c r="P1629" s="453"/>
      <c r="Q1629" s="61"/>
      <c r="R1629" s="298"/>
      <c r="S1629" s="669"/>
      <c r="X1629" s="444">
        <v>1629</v>
      </c>
    </row>
    <row r="1630" spans="1:24" ht="12">
      <c r="A1630" s="83" t="s">
        <v>21005</v>
      </c>
      <c r="B1630" s="64" t="s">
        <v>21006</v>
      </c>
      <c r="C1630" s="71" t="s">
        <v>103</v>
      </c>
      <c r="D1630" s="79">
        <v>1</v>
      </c>
      <c r="E1630" s="79">
        <v>1749.3799999999999</v>
      </c>
      <c r="F1630" s="79">
        <v>1749.38</v>
      </c>
      <c r="G1630" s="445"/>
      <c r="H1630" s="178">
        <v>1749.38</v>
      </c>
      <c r="I1630" s="178">
        <v>2151.7399999999998</v>
      </c>
      <c r="J1630" s="70">
        <v>-402.3599999999999</v>
      </c>
      <c r="K1630" s="320"/>
      <c r="L1630" s="178">
        <v>338.59</v>
      </c>
      <c r="M1630" s="178">
        <v>1410.79</v>
      </c>
      <c r="N1630" s="179">
        <v>0</v>
      </c>
      <c r="O1630" s="178">
        <v>1749.3799999999999</v>
      </c>
      <c r="P1630" s="453"/>
      <c r="Q1630" s="61"/>
      <c r="R1630" s="298"/>
      <c r="S1630" s="669"/>
      <c r="X1630" s="444">
        <v>1630</v>
      </c>
    </row>
    <row r="1631" spans="1:24" ht="12">
      <c r="A1631" s="83" t="s">
        <v>21007</v>
      </c>
      <c r="B1631" s="64" t="s">
        <v>21008</v>
      </c>
      <c r="C1631" s="71" t="s">
        <v>103</v>
      </c>
      <c r="D1631" s="79">
        <v>1</v>
      </c>
      <c r="E1631" s="79">
        <v>913.67000000000007</v>
      </c>
      <c r="F1631" s="79">
        <v>913.67</v>
      </c>
      <c r="G1631" s="445"/>
      <c r="H1631" s="178">
        <v>913.67</v>
      </c>
      <c r="I1631" s="178">
        <v>1123.81</v>
      </c>
      <c r="J1631" s="70">
        <v>-210.13999999999987</v>
      </c>
      <c r="K1631" s="320"/>
      <c r="L1631" s="178">
        <v>218.45</v>
      </c>
      <c r="M1631" s="178">
        <v>695.22</v>
      </c>
      <c r="N1631" s="179">
        <v>0</v>
      </c>
      <c r="O1631" s="178">
        <v>913.67000000000007</v>
      </c>
      <c r="P1631" s="453"/>
      <c r="Q1631" s="61"/>
      <c r="R1631" s="298"/>
      <c r="S1631" s="669"/>
      <c r="X1631" s="444">
        <v>1631</v>
      </c>
    </row>
    <row r="1632" spans="1:24" ht="12">
      <c r="A1632" s="83" t="s">
        <v>21009</v>
      </c>
      <c r="B1632" s="64" t="s">
        <v>21010</v>
      </c>
      <c r="C1632" s="71" t="s">
        <v>103</v>
      </c>
      <c r="D1632" s="79">
        <v>1</v>
      </c>
      <c r="E1632" s="79">
        <v>895.06</v>
      </c>
      <c r="F1632" s="79">
        <v>895.06</v>
      </c>
      <c r="G1632" s="445"/>
      <c r="H1632" s="178">
        <v>895.06</v>
      </c>
      <c r="I1632" s="178">
        <v>1100.92</v>
      </c>
      <c r="J1632" s="70">
        <v>-205.86000000000013</v>
      </c>
      <c r="K1632" s="320"/>
      <c r="L1632" s="178">
        <v>218.45</v>
      </c>
      <c r="M1632" s="178">
        <v>676.6099999999999</v>
      </c>
      <c r="N1632" s="179">
        <v>0</v>
      </c>
      <c r="O1632" s="178">
        <v>895.06</v>
      </c>
      <c r="P1632" s="453"/>
      <c r="Q1632" s="61"/>
      <c r="R1632" s="298"/>
      <c r="S1632" s="669"/>
      <c r="X1632" s="444">
        <v>1632</v>
      </c>
    </row>
    <row r="1633" spans="1:24" ht="12">
      <c r="A1633" s="83" t="s">
        <v>21011</v>
      </c>
      <c r="B1633" s="64" t="s">
        <v>21012</v>
      </c>
      <c r="C1633" s="71" t="s">
        <v>103</v>
      </c>
      <c r="D1633" s="79">
        <v>1</v>
      </c>
      <c r="E1633" s="79">
        <v>880.11000000000013</v>
      </c>
      <c r="F1633" s="79">
        <v>880.11</v>
      </c>
      <c r="G1633" s="445"/>
      <c r="H1633" s="178">
        <v>880.11</v>
      </c>
      <c r="I1633" s="178">
        <v>1082.53</v>
      </c>
      <c r="J1633" s="70">
        <v>-202.41999999999985</v>
      </c>
      <c r="K1633" s="320"/>
      <c r="L1633" s="178">
        <v>218.45</v>
      </c>
      <c r="M1633" s="178">
        <v>661.66000000000008</v>
      </c>
      <c r="N1633" s="179">
        <v>0</v>
      </c>
      <c r="O1633" s="178">
        <v>880.11000000000013</v>
      </c>
      <c r="P1633" s="453"/>
      <c r="Q1633" s="61"/>
      <c r="R1633" s="298"/>
      <c r="S1633" s="669"/>
      <c r="X1633" s="444">
        <v>1633</v>
      </c>
    </row>
    <row r="1634" spans="1:24" ht="12">
      <c r="A1634" s="83" t="s">
        <v>21013</v>
      </c>
      <c r="B1634" s="64" t="s">
        <v>21014</v>
      </c>
      <c r="C1634" s="71" t="s">
        <v>103</v>
      </c>
      <c r="D1634" s="79">
        <v>1</v>
      </c>
      <c r="E1634" s="79">
        <v>936.32999999999993</v>
      </c>
      <c r="F1634" s="79">
        <v>936.33</v>
      </c>
      <c r="G1634" s="445"/>
      <c r="H1634" s="178">
        <v>936.33</v>
      </c>
      <c r="I1634" s="178">
        <v>1151.68</v>
      </c>
      <c r="J1634" s="70">
        <v>-215.35000000000014</v>
      </c>
      <c r="K1634" s="320"/>
      <c r="L1634" s="178">
        <v>218.45</v>
      </c>
      <c r="M1634" s="178">
        <v>717.87999999999988</v>
      </c>
      <c r="N1634" s="179">
        <v>0</v>
      </c>
      <c r="O1634" s="178">
        <v>936.32999999999993</v>
      </c>
      <c r="P1634" s="453"/>
      <c r="Q1634" s="61"/>
      <c r="R1634" s="298"/>
      <c r="S1634" s="669"/>
      <c r="X1634" s="444">
        <v>1634</v>
      </c>
    </row>
    <row r="1635" spans="1:24" ht="12">
      <c r="A1635" s="83" t="s">
        <v>21015</v>
      </c>
      <c r="B1635" s="64" t="s">
        <v>21016</v>
      </c>
      <c r="C1635" s="71" t="s">
        <v>103</v>
      </c>
      <c r="D1635" s="79">
        <v>1</v>
      </c>
      <c r="E1635" s="79">
        <v>1176.3800000000001</v>
      </c>
      <c r="F1635" s="79">
        <v>1176.3800000000001</v>
      </c>
      <c r="G1635" s="445"/>
      <c r="H1635" s="178">
        <v>1176.3699999999999</v>
      </c>
      <c r="I1635" s="178">
        <v>1446.94</v>
      </c>
      <c r="J1635" s="70">
        <v>-270.55999999999995</v>
      </c>
      <c r="K1635" s="320"/>
      <c r="L1635" s="178">
        <v>218.45</v>
      </c>
      <c r="M1635" s="178">
        <v>957.93000000000006</v>
      </c>
      <c r="N1635" s="179">
        <v>0</v>
      </c>
      <c r="O1635" s="178">
        <v>1176.3800000000001</v>
      </c>
      <c r="P1635" s="453"/>
      <c r="Q1635" s="61"/>
      <c r="R1635" s="298"/>
      <c r="S1635" s="669"/>
      <c r="X1635" s="444">
        <v>1635</v>
      </c>
    </row>
    <row r="1636" spans="1:24" ht="12">
      <c r="A1636" s="83" t="s">
        <v>21017</v>
      </c>
      <c r="B1636" s="64" t="s">
        <v>21018</v>
      </c>
      <c r="C1636" s="71" t="s">
        <v>103</v>
      </c>
      <c r="D1636" s="79">
        <v>1</v>
      </c>
      <c r="E1636" s="79">
        <v>907.43000000000006</v>
      </c>
      <c r="F1636" s="79">
        <v>907.43</v>
      </c>
      <c r="G1636" s="445"/>
      <c r="H1636" s="178">
        <v>907.42</v>
      </c>
      <c r="I1636" s="178">
        <v>1116.1300000000001</v>
      </c>
      <c r="J1636" s="70">
        <v>-208.70000000000005</v>
      </c>
      <c r="K1636" s="320"/>
      <c r="L1636" s="178">
        <v>218.45</v>
      </c>
      <c r="M1636" s="178">
        <v>688.98</v>
      </c>
      <c r="N1636" s="179">
        <v>0</v>
      </c>
      <c r="O1636" s="178">
        <v>907.43000000000006</v>
      </c>
      <c r="P1636" s="453"/>
      <c r="Q1636" s="61"/>
      <c r="R1636" s="298"/>
      <c r="S1636" s="669"/>
      <c r="X1636" s="444">
        <v>1636</v>
      </c>
    </row>
    <row r="1637" spans="1:24" ht="12">
      <c r="A1637" s="83" t="s">
        <v>21019</v>
      </c>
      <c r="B1637" s="64" t="s">
        <v>21020</v>
      </c>
      <c r="C1637" s="71" t="s">
        <v>103</v>
      </c>
      <c r="D1637" s="79">
        <v>1</v>
      </c>
      <c r="E1637" s="79">
        <v>888.81999999999994</v>
      </c>
      <c r="F1637" s="79">
        <v>888.82</v>
      </c>
      <c r="G1637" s="445"/>
      <c r="H1637" s="178">
        <v>888.81</v>
      </c>
      <c r="I1637" s="178">
        <v>1093.24</v>
      </c>
      <c r="J1637" s="70">
        <v>-204.42000000000007</v>
      </c>
      <c r="K1637" s="320"/>
      <c r="L1637" s="178">
        <v>218.45</v>
      </c>
      <c r="M1637" s="178">
        <v>670.36999999999989</v>
      </c>
      <c r="N1637" s="179">
        <v>0</v>
      </c>
      <c r="O1637" s="178">
        <v>888.81999999999994</v>
      </c>
      <c r="P1637" s="453"/>
      <c r="Q1637" s="61"/>
      <c r="R1637" s="298"/>
      <c r="S1637" s="669"/>
      <c r="X1637" s="444">
        <v>1637</v>
      </c>
    </row>
    <row r="1638" spans="1:24" ht="12">
      <c r="A1638" s="83" t="s">
        <v>21021</v>
      </c>
      <c r="B1638" s="64" t="s">
        <v>21022</v>
      </c>
      <c r="C1638" s="71" t="s">
        <v>103</v>
      </c>
      <c r="D1638" s="79">
        <v>1</v>
      </c>
      <c r="E1638" s="79">
        <v>499.28000000000009</v>
      </c>
      <c r="F1638" s="79">
        <v>499.28</v>
      </c>
      <c r="G1638" s="445"/>
      <c r="H1638" s="178">
        <v>499.28</v>
      </c>
      <c r="I1638" s="178">
        <v>614.11</v>
      </c>
      <c r="J1638" s="70">
        <v>-114.82999999999993</v>
      </c>
      <c r="K1638" s="320"/>
      <c r="L1638" s="178">
        <v>54.61</v>
      </c>
      <c r="M1638" s="178">
        <v>444.67000000000007</v>
      </c>
      <c r="N1638" s="179">
        <v>0</v>
      </c>
      <c r="O1638" s="178">
        <v>499.28000000000009</v>
      </c>
      <c r="P1638" s="453"/>
      <c r="Q1638" s="61"/>
      <c r="R1638" s="298"/>
      <c r="S1638" s="669"/>
      <c r="X1638" s="444">
        <v>1638</v>
      </c>
    </row>
    <row r="1639" spans="1:24" ht="12">
      <c r="A1639" s="83" t="s">
        <v>21023</v>
      </c>
      <c r="B1639" s="64" t="s">
        <v>21024</v>
      </c>
      <c r="C1639" s="71" t="s">
        <v>103</v>
      </c>
      <c r="D1639" s="79">
        <v>1</v>
      </c>
      <c r="E1639" s="79">
        <v>528.54000000000008</v>
      </c>
      <c r="F1639" s="79">
        <v>528.54</v>
      </c>
      <c r="G1639" s="445"/>
      <c r="H1639" s="178">
        <v>528.54</v>
      </c>
      <c r="I1639" s="178">
        <v>650.1</v>
      </c>
      <c r="J1639" s="70">
        <v>-121.55999999999995</v>
      </c>
      <c r="K1639" s="320"/>
      <c r="L1639" s="178">
        <v>54.61</v>
      </c>
      <c r="M1639" s="178">
        <v>473.93000000000006</v>
      </c>
      <c r="N1639" s="179">
        <v>0</v>
      </c>
      <c r="O1639" s="178">
        <v>528.54000000000008</v>
      </c>
      <c r="P1639" s="453"/>
      <c r="Q1639" s="61"/>
      <c r="R1639" s="298"/>
      <c r="S1639" s="669"/>
      <c r="X1639" s="444">
        <v>1639</v>
      </c>
    </row>
    <row r="1640" spans="1:24" ht="12">
      <c r="A1640" s="83" t="s">
        <v>21025</v>
      </c>
      <c r="B1640" s="64" t="s">
        <v>21026</v>
      </c>
      <c r="C1640" s="71" t="s">
        <v>103</v>
      </c>
      <c r="D1640" s="79">
        <v>1</v>
      </c>
      <c r="E1640" s="79">
        <v>521.12</v>
      </c>
      <c r="F1640" s="79">
        <v>521.12</v>
      </c>
      <c r="G1640" s="445"/>
      <c r="H1640" s="178">
        <v>521.12</v>
      </c>
      <c r="I1640" s="178">
        <v>640.98</v>
      </c>
      <c r="J1640" s="70">
        <v>-119.86000000000001</v>
      </c>
      <c r="K1640" s="320"/>
      <c r="L1640" s="178">
        <v>54.61</v>
      </c>
      <c r="M1640" s="178">
        <v>466.51</v>
      </c>
      <c r="N1640" s="179">
        <v>0</v>
      </c>
      <c r="O1640" s="178">
        <v>521.12</v>
      </c>
      <c r="P1640" s="453"/>
      <c r="Q1640" s="61"/>
      <c r="R1640" s="298"/>
      <c r="S1640" s="669"/>
      <c r="X1640" s="444">
        <v>1640</v>
      </c>
    </row>
    <row r="1641" spans="1:24" ht="12">
      <c r="A1641" s="83" t="s">
        <v>21027</v>
      </c>
      <c r="B1641" s="64" t="s">
        <v>21028</v>
      </c>
      <c r="C1641" s="71" t="s">
        <v>103</v>
      </c>
      <c r="D1641" s="79">
        <v>1</v>
      </c>
      <c r="E1641" s="79">
        <v>528.59</v>
      </c>
      <c r="F1641" s="79">
        <v>528.59</v>
      </c>
      <c r="G1641" s="445"/>
      <c r="H1641" s="178">
        <v>528.59</v>
      </c>
      <c r="I1641" s="178">
        <v>650.16</v>
      </c>
      <c r="J1641" s="70">
        <v>-121.56999999999994</v>
      </c>
      <c r="K1641" s="320"/>
      <c r="L1641" s="178">
        <v>54.61</v>
      </c>
      <c r="M1641" s="178">
        <v>473.98</v>
      </c>
      <c r="N1641" s="179">
        <v>0</v>
      </c>
      <c r="O1641" s="178">
        <v>528.59</v>
      </c>
      <c r="P1641" s="453"/>
      <c r="Q1641" s="61"/>
      <c r="R1641" s="298"/>
      <c r="S1641" s="669"/>
      <c r="X1641" s="444">
        <v>1641</v>
      </c>
    </row>
    <row r="1642" spans="1:24" ht="12">
      <c r="A1642" s="83" t="s">
        <v>21029</v>
      </c>
      <c r="B1642" s="64" t="s">
        <v>9080</v>
      </c>
      <c r="C1642" s="71" t="s">
        <v>103</v>
      </c>
      <c r="D1642" s="79">
        <v>1</v>
      </c>
      <c r="E1642" s="79">
        <v>879.97</v>
      </c>
      <c r="F1642" s="79">
        <v>879.97</v>
      </c>
      <c r="G1642" s="445"/>
      <c r="H1642" s="178">
        <v>879.96</v>
      </c>
      <c r="I1642" s="178">
        <v>1082.3499999999999</v>
      </c>
      <c r="J1642" s="70">
        <v>-202.37999999999988</v>
      </c>
      <c r="K1642" s="320"/>
      <c r="L1642" s="178">
        <v>123.74</v>
      </c>
      <c r="M1642" s="178">
        <v>756.23</v>
      </c>
      <c r="N1642" s="179">
        <v>0</v>
      </c>
      <c r="O1642" s="178">
        <v>879.97</v>
      </c>
      <c r="P1642" s="453"/>
      <c r="Q1642" s="61"/>
      <c r="R1642" s="298"/>
      <c r="S1642" s="669"/>
      <c r="X1642" s="444">
        <v>1642</v>
      </c>
    </row>
    <row r="1643" spans="1:24" ht="12">
      <c r="A1643" s="83" t="s">
        <v>21030</v>
      </c>
      <c r="B1643" s="64" t="s">
        <v>9082</v>
      </c>
      <c r="C1643" s="71" t="s">
        <v>103</v>
      </c>
      <c r="D1643" s="79">
        <v>1</v>
      </c>
      <c r="E1643" s="79">
        <v>1327.04</v>
      </c>
      <c r="F1643" s="79">
        <v>1327.04</v>
      </c>
      <c r="G1643" s="445"/>
      <c r="H1643" s="178">
        <v>1327.03</v>
      </c>
      <c r="I1643" s="178">
        <v>1632.25</v>
      </c>
      <c r="J1643" s="70">
        <v>-305.21000000000004</v>
      </c>
      <c r="K1643" s="320"/>
      <c r="L1643" s="178">
        <v>178.35000000000002</v>
      </c>
      <c r="M1643" s="178">
        <v>1148.69</v>
      </c>
      <c r="N1643" s="179">
        <v>0</v>
      </c>
      <c r="O1643" s="178">
        <v>1327.04</v>
      </c>
      <c r="P1643" s="453"/>
      <c r="Q1643" s="61"/>
      <c r="R1643" s="298"/>
      <c r="S1643" s="669"/>
      <c r="X1643" s="444">
        <v>1643</v>
      </c>
    </row>
    <row r="1644" spans="1:24" ht="12">
      <c r="A1644" s="83" t="s">
        <v>21031</v>
      </c>
      <c r="B1644" s="64" t="s">
        <v>21032</v>
      </c>
      <c r="C1644" s="71" t="s">
        <v>10216</v>
      </c>
      <c r="D1644" s="79">
        <v>1</v>
      </c>
      <c r="E1644" s="79">
        <v>577.26</v>
      </c>
      <c r="F1644" s="79">
        <v>577.26</v>
      </c>
      <c r="G1644" s="445"/>
      <c r="H1644" s="178">
        <v>577.25</v>
      </c>
      <c r="I1644" s="178">
        <v>710.02</v>
      </c>
      <c r="J1644" s="70">
        <v>-132.76</v>
      </c>
      <c r="K1644" s="320"/>
      <c r="L1644" s="178"/>
      <c r="M1644" s="178">
        <v>577.26</v>
      </c>
      <c r="N1644" s="179">
        <v>0</v>
      </c>
      <c r="O1644" s="178">
        <v>577.26</v>
      </c>
      <c r="P1644" s="453"/>
      <c r="Q1644" s="61"/>
      <c r="R1644" s="298"/>
      <c r="S1644" s="669"/>
      <c r="X1644" s="444">
        <v>1644</v>
      </c>
    </row>
    <row r="1645" spans="1:24" ht="12">
      <c r="A1645" s="83" t="s">
        <v>39755</v>
      </c>
      <c r="B1645" s="64" t="s">
        <v>39756</v>
      </c>
      <c r="C1645" s="71"/>
      <c r="D1645" s="79" t="s">
        <v>40899</v>
      </c>
      <c r="E1645" s="79" t="s">
        <v>40899</v>
      </c>
      <c r="F1645" s="79"/>
      <c r="G1645" s="445"/>
      <c r="H1645" s="178"/>
      <c r="I1645" s="178"/>
      <c r="J1645" s="70"/>
      <c r="K1645" s="320"/>
      <c r="L1645" s="178"/>
      <c r="M1645" s="178"/>
      <c r="N1645" s="179"/>
      <c r="O1645" s="178"/>
      <c r="P1645" s="453"/>
      <c r="Q1645" s="61"/>
      <c r="R1645" s="298"/>
      <c r="S1645" s="669"/>
      <c r="X1645" s="444">
        <v>1645</v>
      </c>
    </row>
    <row r="1646" spans="1:24" ht="12">
      <c r="A1646" s="83" t="s">
        <v>21033</v>
      </c>
      <c r="B1646" s="64" t="s">
        <v>21034</v>
      </c>
      <c r="C1646" s="71" t="s">
        <v>103</v>
      </c>
      <c r="D1646" s="79">
        <v>1</v>
      </c>
      <c r="E1646" s="79">
        <v>25.150000000000002</v>
      </c>
      <c r="F1646" s="79">
        <v>25.15</v>
      </c>
      <c r="G1646" s="445"/>
      <c r="H1646" s="178">
        <v>25.15</v>
      </c>
      <c r="I1646" s="178">
        <v>30.93</v>
      </c>
      <c r="J1646" s="70">
        <v>-5.7799999999999976</v>
      </c>
      <c r="K1646" s="320"/>
      <c r="L1646" s="178">
        <v>16.38</v>
      </c>
      <c r="M1646" s="178">
        <v>8.7700000000000031</v>
      </c>
      <c r="N1646" s="179">
        <v>0</v>
      </c>
      <c r="O1646" s="178">
        <v>25.150000000000002</v>
      </c>
      <c r="P1646" s="453"/>
      <c r="Q1646" s="61"/>
      <c r="R1646" s="298"/>
      <c r="S1646" s="669"/>
      <c r="X1646" s="444">
        <v>1646</v>
      </c>
    </row>
    <row r="1647" spans="1:24" ht="12">
      <c r="A1647" s="83" t="s">
        <v>21035</v>
      </c>
      <c r="B1647" s="64" t="s">
        <v>21036</v>
      </c>
      <c r="C1647" s="71" t="s">
        <v>103</v>
      </c>
      <c r="D1647" s="79">
        <v>1</v>
      </c>
      <c r="E1647" s="79">
        <v>39.799999999999997</v>
      </c>
      <c r="F1647" s="79">
        <v>39.799999999999997</v>
      </c>
      <c r="G1647" s="445"/>
      <c r="H1647" s="178">
        <v>39.799999999999997</v>
      </c>
      <c r="I1647" s="178">
        <v>48.95</v>
      </c>
      <c r="J1647" s="70">
        <v>-9.1500000000000057</v>
      </c>
      <c r="K1647" s="320"/>
      <c r="L1647" s="178">
        <v>21.84</v>
      </c>
      <c r="M1647" s="178">
        <v>17.959999999999997</v>
      </c>
      <c r="N1647" s="179">
        <v>0</v>
      </c>
      <c r="O1647" s="178">
        <v>39.799999999999997</v>
      </c>
      <c r="P1647" s="453"/>
      <c r="Q1647" s="61"/>
      <c r="R1647" s="298"/>
      <c r="S1647" s="669"/>
      <c r="X1647" s="444">
        <v>1647</v>
      </c>
    </row>
    <row r="1648" spans="1:24" ht="12">
      <c r="A1648" s="83" t="s">
        <v>21037</v>
      </c>
      <c r="B1648" s="64" t="s">
        <v>21038</v>
      </c>
      <c r="C1648" s="71" t="s">
        <v>103</v>
      </c>
      <c r="D1648" s="79">
        <v>1</v>
      </c>
      <c r="E1648" s="79">
        <v>29.12</v>
      </c>
      <c r="F1648" s="79">
        <v>29.12</v>
      </c>
      <c r="G1648" s="445"/>
      <c r="H1648" s="178">
        <v>29.12</v>
      </c>
      <c r="I1648" s="178">
        <v>35.82</v>
      </c>
      <c r="J1648" s="70">
        <v>-6.6999999999999993</v>
      </c>
      <c r="K1648" s="320"/>
      <c r="L1648" s="178">
        <v>21.84</v>
      </c>
      <c r="M1648" s="178">
        <v>7.2800000000000011</v>
      </c>
      <c r="N1648" s="179">
        <v>0</v>
      </c>
      <c r="O1648" s="178">
        <v>29.12</v>
      </c>
      <c r="P1648" s="453"/>
      <c r="Q1648" s="61"/>
      <c r="R1648" s="298"/>
      <c r="S1648" s="669"/>
      <c r="X1648" s="444">
        <v>1648</v>
      </c>
    </row>
    <row r="1649" spans="1:24" ht="12">
      <c r="A1649" s="83" t="s">
        <v>21039</v>
      </c>
      <c r="B1649" s="64" t="s">
        <v>21040</v>
      </c>
      <c r="C1649" s="71" t="s">
        <v>103</v>
      </c>
      <c r="D1649" s="79">
        <v>1</v>
      </c>
      <c r="E1649" s="79">
        <v>45.180000000000007</v>
      </c>
      <c r="F1649" s="79">
        <v>45.18</v>
      </c>
      <c r="G1649" s="445"/>
      <c r="H1649" s="178">
        <v>45.17</v>
      </c>
      <c r="I1649" s="178">
        <v>55.56</v>
      </c>
      <c r="J1649" s="70">
        <v>-10.379999999999995</v>
      </c>
      <c r="K1649" s="320"/>
      <c r="L1649" s="178">
        <v>32.770000000000003</v>
      </c>
      <c r="M1649" s="178">
        <v>12.410000000000004</v>
      </c>
      <c r="N1649" s="179">
        <v>0</v>
      </c>
      <c r="O1649" s="178">
        <v>45.180000000000007</v>
      </c>
      <c r="P1649" s="453"/>
      <c r="Q1649" s="61"/>
      <c r="R1649" s="298"/>
      <c r="S1649" s="669"/>
      <c r="X1649" s="444">
        <v>1649</v>
      </c>
    </row>
    <row r="1650" spans="1:24" ht="12">
      <c r="A1650" s="83" t="s">
        <v>21041</v>
      </c>
      <c r="B1650" s="64" t="s">
        <v>21042</v>
      </c>
      <c r="C1650" s="71" t="s">
        <v>103</v>
      </c>
      <c r="D1650" s="79">
        <v>1</v>
      </c>
      <c r="E1650" s="79">
        <v>69.45</v>
      </c>
      <c r="F1650" s="79">
        <v>69.45</v>
      </c>
      <c r="G1650" s="445"/>
      <c r="H1650" s="178">
        <v>69.45</v>
      </c>
      <c r="I1650" s="178">
        <v>85.42</v>
      </c>
      <c r="J1650" s="70">
        <v>-15.969999999999999</v>
      </c>
      <c r="K1650" s="320"/>
      <c r="L1650" s="178">
        <v>49.150000000000006</v>
      </c>
      <c r="M1650" s="178">
        <v>20.299999999999997</v>
      </c>
      <c r="N1650" s="179">
        <v>0</v>
      </c>
      <c r="O1650" s="178">
        <v>69.45</v>
      </c>
      <c r="P1650" s="453"/>
      <c r="Q1650" s="61"/>
      <c r="R1650" s="298"/>
      <c r="S1650" s="669"/>
      <c r="X1650" s="444">
        <v>1650</v>
      </c>
    </row>
    <row r="1651" spans="1:24" ht="12">
      <c r="A1651" s="83" t="s">
        <v>21043</v>
      </c>
      <c r="B1651" s="64" t="s">
        <v>21044</v>
      </c>
      <c r="C1651" s="71" t="s">
        <v>103</v>
      </c>
      <c r="D1651" s="79">
        <v>1</v>
      </c>
      <c r="E1651" s="79">
        <v>104.59</v>
      </c>
      <c r="F1651" s="79">
        <v>104.59</v>
      </c>
      <c r="G1651" s="445"/>
      <c r="H1651" s="178">
        <v>104.59</v>
      </c>
      <c r="I1651" s="178">
        <v>128.65</v>
      </c>
      <c r="J1651" s="70">
        <v>-24.060000000000002</v>
      </c>
      <c r="K1651" s="320"/>
      <c r="L1651" s="178">
        <v>65.53</v>
      </c>
      <c r="M1651" s="178">
        <v>39.06</v>
      </c>
      <c r="N1651" s="179">
        <v>0</v>
      </c>
      <c r="O1651" s="178">
        <v>104.59</v>
      </c>
      <c r="P1651" s="453"/>
      <c r="Q1651" s="61"/>
      <c r="R1651" s="298"/>
      <c r="S1651" s="669"/>
      <c r="X1651" s="444">
        <v>1651</v>
      </c>
    </row>
    <row r="1652" spans="1:24" ht="12">
      <c r="A1652" s="83" t="s">
        <v>21045</v>
      </c>
      <c r="B1652" s="64" t="s">
        <v>21046</v>
      </c>
      <c r="C1652" s="71" t="s">
        <v>103</v>
      </c>
      <c r="D1652" s="79">
        <v>1</v>
      </c>
      <c r="E1652" s="79">
        <v>146.32999999999998</v>
      </c>
      <c r="F1652" s="79">
        <v>146.33000000000001</v>
      </c>
      <c r="G1652" s="445"/>
      <c r="H1652" s="178">
        <v>146.30000000000001</v>
      </c>
      <c r="I1652" s="178">
        <v>179.95</v>
      </c>
      <c r="J1652" s="70">
        <v>-33.620000000000005</v>
      </c>
      <c r="K1652" s="320"/>
      <c r="L1652" s="178">
        <v>81.94</v>
      </c>
      <c r="M1652" s="178">
        <v>64.389999999999986</v>
      </c>
      <c r="N1652" s="179">
        <v>0</v>
      </c>
      <c r="O1652" s="178">
        <v>146.32999999999998</v>
      </c>
      <c r="P1652" s="453"/>
      <c r="Q1652" s="61"/>
      <c r="R1652" s="298"/>
      <c r="S1652" s="669"/>
      <c r="X1652" s="444">
        <v>1652</v>
      </c>
    </row>
    <row r="1653" spans="1:24" ht="12">
      <c r="A1653" s="83" t="s">
        <v>21047</v>
      </c>
      <c r="B1653" s="64" t="s">
        <v>21048</v>
      </c>
      <c r="C1653" s="71" t="s">
        <v>103</v>
      </c>
      <c r="D1653" s="79">
        <v>1</v>
      </c>
      <c r="E1653" s="79">
        <v>199.48</v>
      </c>
      <c r="F1653" s="79">
        <v>199.48</v>
      </c>
      <c r="G1653" s="445"/>
      <c r="H1653" s="178">
        <v>199.48</v>
      </c>
      <c r="I1653" s="178">
        <v>245.36</v>
      </c>
      <c r="J1653" s="70">
        <v>-45.880000000000024</v>
      </c>
      <c r="K1653" s="320"/>
      <c r="L1653" s="178">
        <v>103.75999999999999</v>
      </c>
      <c r="M1653" s="178">
        <v>95.72</v>
      </c>
      <c r="N1653" s="179">
        <v>0</v>
      </c>
      <c r="O1653" s="178">
        <v>199.48</v>
      </c>
      <c r="P1653" s="453"/>
      <c r="Q1653" s="61"/>
      <c r="R1653" s="298"/>
      <c r="S1653" s="669"/>
      <c r="X1653" s="444">
        <v>1653</v>
      </c>
    </row>
    <row r="1654" spans="1:24" ht="12">
      <c r="A1654" s="83" t="s">
        <v>21049</v>
      </c>
      <c r="B1654" s="64" t="s">
        <v>21050</v>
      </c>
      <c r="C1654" s="71" t="s">
        <v>103</v>
      </c>
      <c r="D1654" s="79">
        <v>1</v>
      </c>
      <c r="E1654" s="79">
        <v>245.81000000000003</v>
      </c>
      <c r="F1654" s="79">
        <v>245.81</v>
      </c>
      <c r="G1654" s="445"/>
      <c r="H1654" s="178">
        <v>245.82</v>
      </c>
      <c r="I1654" s="178">
        <v>302.36</v>
      </c>
      <c r="J1654" s="70">
        <v>-56.549999999999983</v>
      </c>
      <c r="K1654" s="320"/>
      <c r="L1654" s="178">
        <v>158.80000000000001</v>
      </c>
      <c r="M1654" s="178">
        <v>87.010000000000019</v>
      </c>
      <c r="N1654" s="179">
        <v>0</v>
      </c>
      <c r="O1654" s="178">
        <v>245.81000000000003</v>
      </c>
      <c r="P1654" s="453"/>
      <c r="Q1654" s="61"/>
      <c r="R1654" s="298"/>
      <c r="S1654" s="669"/>
      <c r="X1654" s="444">
        <v>1654</v>
      </c>
    </row>
    <row r="1655" spans="1:24" ht="12">
      <c r="A1655" s="83" t="s">
        <v>21051</v>
      </c>
      <c r="B1655" s="64" t="s">
        <v>21052</v>
      </c>
      <c r="C1655" s="71" t="s">
        <v>103</v>
      </c>
      <c r="D1655" s="79">
        <v>1</v>
      </c>
      <c r="E1655" s="79">
        <v>516.68000000000006</v>
      </c>
      <c r="F1655" s="79">
        <v>516.67999999999995</v>
      </c>
      <c r="G1655" s="445"/>
      <c r="H1655" s="178">
        <v>516.66999999999996</v>
      </c>
      <c r="I1655" s="178">
        <v>635.5</v>
      </c>
      <c r="J1655" s="70">
        <v>-118.81999999999994</v>
      </c>
      <c r="K1655" s="320"/>
      <c r="L1655" s="178">
        <v>342.24</v>
      </c>
      <c r="M1655" s="178">
        <v>174.44000000000005</v>
      </c>
      <c r="N1655" s="179">
        <v>0</v>
      </c>
      <c r="O1655" s="178">
        <v>516.68000000000006</v>
      </c>
      <c r="P1655" s="453"/>
      <c r="Q1655" s="61"/>
      <c r="R1655" s="298"/>
      <c r="S1655" s="669"/>
      <c r="X1655" s="444">
        <v>1655</v>
      </c>
    </row>
    <row r="1656" spans="1:24" ht="12">
      <c r="A1656" s="83" t="s">
        <v>21053</v>
      </c>
      <c r="B1656" s="64" t="s">
        <v>21054</v>
      </c>
      <c r="C1656" s="71" t="s">
        <v>103</v>
      </c>
      <c r="D1656" s="79">
        <v>1</v>
      </c>
      <c r="E1656" s="79">
        <v>851.46</v>
      </c>
      <c r="F1656" s="79">
        <v>851.46</v>
      </c>
      <c r="G1656" s="445"/>
      <c r="H1656" s="178">
        <v>851.46</v>
      </c>
      <c r="I1656" s="178">
        <v>1047.29</v>
      </c>
      <c r="J1656" s="70">
        <v>-195.82999999999993</v>
      </c>
      <c r="K1656" s="320"/>
      <c r="L1656" s="178">
        <v>574.16</v>
      </c>
      <c r="M1656" s="178">
        <v>277.30000000000007</v>
      </c>
      <c r="N1656" s="179">
        <v>0</v>
      </c>
      <c r="O1656" s="178">
        <v>851.46</v>
      </c>
      <c r="P1656" s="453"/>
      <c r="Q1656" s="61"/>
      <c r="R1656" s="298"/>
      <c r="S1656" s="669"/>
      <c r="X1656" s="444">
        <v>1656</v>
      </c>
    </row>
    <row r="1657" spans="1:24" ht="12">
      <c r="A1657" s="83" t="s">
        <v>21055</v>
      </c>
      <c r="B1657" s="64" t="s">
        <v>21056</v>
      </c>
      <c r="C1657" s="71" t="s">
        <v>103</v>
      </c>
      <c r="D1657" s="79">
        <v>1</v>
      </c>
      <c r="E1657" s="79">
        <v>825.5</v>
      </c>
      <c r="F1657" s="79">
        <v>825.5</v>
      </c>
      <c r="G1657" s="445"/>
      <c r="H1657" s="178">
        <v>825.5</v>
      </c>
      <c r="I1657" s="178">
        <v>1015.36</v>
      </c>
      <c r="J1657" s="70">
        <v>-189.86</v>
      </c>
      <c r="K1657" s="320"/>
      <c r="L1657" s="178">
        <v>511.92999999999995</v>
      </c>
      <c r="M1657" s="178">
        <v>313.57000000000005</v>
      </c>
      <c r="N1657" s="179">
        <v>0</v>
      </c>
      <c r="O1657" s="178">
        <v>825.5</v>
      </c>
      <c r="P1657" s="453"/>
      <c r="Q1657" s="61"/>
      <c r="R1657" s="298"/>
      <c r="S1657" s="669"/>
      <c r="X1657" s="444">
        <v>1657</v>
      </c>
    </row>
    <row r="1658" spans="1:24" ht="12">
      <c r="A1658" s="83" t="s">
        <v>21057</v>
      </c>
      <c r="B1658" s="64" t="s">
        <v>21058</v>
      </c>
      <c r="C1658" s="71" t="s">
        <v>103</v>
      </c>
      <c r="D1658" s="79">
        <v>1</v>
      </c>
      <c r="E1658" s="79">
        <v>474.78000000000003</v>
      </c>
      <c r="F1658" s="79">
        <v>474.78</v>
      </c>
      <c r="G1658" s="445"/>
      <c r="H1658" s="178">
        <v>474.78</v>
      </c>
      <c r="I1658" s="178">
        <v>583.98</v>
      </c>
      <c r="J1658" s="70">
        <v>-109.19999999999999</v>
      </c>
      <c r="K1658" s="320"/>
      <c r="L1658" s="178">
        <v>290.14999999999998</v>
      </c>
      <c r="M1658" s="178">
        <v>184.63000000000005</v>
      </c>
      <c r="N1658" s="179">
        <v>0</v>
      </c>
      <c r="O1658" s="178">
        <v>474.78000000000003</v>
      </c>
      <c r="P1658" s="453"/>
      <c r="Q1658" s="61"/>
      <c r="R1658" s="298"/>
      <c r="S1658" s="669"/>
      <c r="X1658" s="444">
        <v>1658</v>
      </c>
    </row>
    <row r="1659" spans="1:24" ht="12">
      <c r="A1659" s="83" t="s">
        <v>21059</v>
      </c>
      <c r="B1659" s="64" t="s">
        <v>21060</v>
      </c>
      <c r="C1659" s="71" t="s">
        <v>103</v>
      </c>
      <c r="D1659" s="79">
        <v>1</v>
      </c>
      <c r="E1659" s="79">
        <v>101.22000000000001</v>
      </c>
      <c r="F1659" s="79">
        <v>101.22</v>
      </c>
      <c r="G1659" s="445"/>
      <c r="H1659" s="178">
        <v>101.21</v>
      </c>
      <c r="I1659" s="178">
        <v>124.49</v>
      </c>
      <c r="J1659" s="70">
        <v>-23.269999999999982</v>
      </c>
      <c r="K1659" s="320"/>
      <c r="L1659" s="178">
        <v>76.460000000000008</v>
      </c>
      <c r="M1659" s="178">
        <v>24.760000000000005</v>
      </c>
      <c r="N1659" s="179">
        <v>0</v>
      </c>
      <c r="O1659" s="178">
        <v>101.22000000000001</v>
      </c>
      <c r="P1659" s="453"/>
      <c r="Q1659" s="61"/>
      <c r="R1659" s="298"/>
      <c r="S1659" s="669"/>
      <c r="X1659" s="444">
        <v>1659</v>
      </c>
    </row>
    <row r="1660" spans="1:24" ht="12">
      <c r="A1660" s="83" t="s">
        <v>21061</v>
      </c>
      <c r="B1660" s="64" t="s">
        <v>21062</v>
      </c>
      <c r="C1660" s="71" t="s">
        <v>103</v>
      </c>
      <c r="D1660" s="79">
        <v>1</v>
      </c>
      <c r="E1660" s="79">
        <v>134.19999999999999</v>
      </c>
      <c r="F1660" s="79">
        <v>134.19999999999999</v>
      </c>
      <c r="G1660" s="445"/>
      <c r="H1660" s="178">
        <v>134.16999999999999</v>
      </c>
      <c r="I1660" s="178">
        <v>165.03</v>
      </c>
      <c r="J1660" s="70">
        <v>-30.830000000000013</v>
      </c>
      <c r="K1660" s="320"/>
      <c r="L1660" s="178">
        <v>81.94</v>
      </c>
      <c r="M1660" s="178">
        <v>52.259999999999991</v>
      </c>
      <c r="N1660" s="179">
        <v>0</v>
      </c>
      <c r="O1660" s="178">
        <v>134.19999999999999</v>
      </c>
      <c r="P1660" s="453"/>
      <c r="Q1660" s="61"/>
      <c r="R1660" s="298"/>
      <c r="S1660" s="669"/>
      <c r="X1660" s="444">
        <v>1660</v>
      </c>
    </row>
    <row r="1661" spans="1:24" ht="12">
      <c r="A1661" s="83" t="s">
        <v>21063</v>
      </c>
      <c r="B1661" s="64" t="s">
        <v>21064</v>
      </c>
      <c r="C1661" s="71" t="s">
        <v>103</v>
      </c>
      <c r="D1661" s="79">
        <v>1</v>
      </c>
      <c r="E1661" s="79">
        <v>160.20999999999998</v>
      </c>
      <c r="F1661" s="79">
        <v>160.21</v>
      </c>
      <c r="G1661" s="445"/>
      <c r="H1661" s="178">
        <v>160.19</v>
      </c>
      <c r="I1661" s="178">
        <v>197.03</v>
      </c>
      <c r="J1661" s="70">
        <v>-36.820000000000022</v>
      </c>
      <c r="K1661" s="320"/>
      <c r="L1661" s="178">
        <v>81.94</v>
      </c>
      <c r="M1661" s="178">
        <v>78.269999999999982</v>
      </c>
      <c r="N1661" s="179">
        <v>0</v>
      </c>
      <c r="O1661" s="178">
        <v>160.20999999999998</v>
      </c>
      <c r="P1661" s="453"/>
      <c r="Q1661" s="61"/>
      <c r="R1661" s="298"/>
      <c r="S1661" s="669"/>
      <c r="X1661" s="444">
        <v>1661</v>
      </c>
    </row>
    <row r="1662" spans="1:24" ht="12">
      <c r="A1662" s="83" t="s">
        <v>21065</v>
      </c>
      <c r="B1662" s="64" t="s">
        <v>21066</v>
      </c>
      <c r="C1662" s="71" t="s">
        <v>103</v>
      </c>
      <c r="D1662" s="79">
        <v>1</v>
      </c>
      <c r="E1662" s="79">
        <v>293.16999999999996</v>
      </c>
      <c r="F1662" s="79">
        <v>293.17</v>
      </c>
      <c r="G1662" s="445"/>
      <c r="H1662" s="178">
        <v>293.16000000000003</v>
      </c>
      <c r="I1662" s="178">
        <v>360.59</v>
      </c>
      <c r="J1662" s="70">
        <v>-67.420000000000016</v>
      </c>
      <c r="K1662" s="320"/>
      <c r="L1662" s="178">
        <v>87.38</v>
      </c>
      <c r="M1662" s="178">
        <v>205.78999999999996</v>
      </c>
      <c r="N1662" s="179">
        <v>0</v>
      </c>
      <c r="O1662" s="178">
        <v>293.16999999999996</v>
      </c>
      <c r="P1662" s="453"/>
      <c r="Q1662" s="61"/>
      <c r="R1662" s="298"/>
      <c r="S1662" s="669"/>
      <c r="X1662" s="444">
        <v>1662</v>
      </c>
    </row>
    <row r="1663" spans="1:24" ht="12">
      <c r="A1663" s="83" t="s">
        <v>21067</v>
      </c>
      <c r="B1663" s="64" t="s">
        <v>21068</v>
      </c>
      <c r="C1663" s="71" t="s">
        <v>103</v>
      </c>
      <c r="D1663" s="79">
        <v>1</v>
      </c>
      <c r="E1663" s="79">
        <v>650.99</v>
      </c>
      <c r="F1663" s="79">
        <v>650.99</v>
      </c>
      <c r="G1663" s="445"/>
      <c r="H1663" s="178">
        <v>650.98</v>
      </c>
      <c r="I1663" s="178">
        <v>800.71</v>
      </c>
      <c r="J1663" s="70">
        <v>-149.72000000000003</v>
      </c>
      <c r="K1663" s="320"/>
      <c r="L1663" s="178">
        <v>98.300000000000011</v>
      </c>
      <c r="M1663" s="178">
        <v>552.69000000000005</v>
      </c>
      <c r="N1663" s="179">
        <v>0</v>
      </c>
      <c r="O1663" s="178">
        <v>650.99</v>
      </c>
      <c r="P1663" s="453"/>
      <c r="Q1663" s="61"/>
      <c r="R1663" s="298"/>
      <c r="S1663" s="669"/>
      <c r="X1663" s="444">
        <v>1663</v>
      </c>
    </row>
    <row r="1664" spans="1:24" ht="12">
      <c r="A1664" s="83" t="s">
        <v>21069</v>
      </c>
      <c r="B1664" s="64" t="s">
        <v>21070</v>
      </c>
      <c r="C1664" s="71" t="s">
        <v>103</v>
      </c>
      <c r="D1664" s="79">
        <v>1</v>
      </c>
      <c r="E1664" s="79">
        <v>134.45999999999998</v>
      </c>
      <c r="F1664" s="79">
        <v>134.46</v>
      </c>
      <c r="G1664" s="445"/>
      <c r="H1664" s="178">
        <v>134.46</v>
      </c>
      <c r="I1664" s="178">
        <v>165.38</v>
      </c>
      <c r="J1664" s="70">
        <v>-30.920000000000016</v>
      </c>
      <c r="K1664" s="320"/>
      <c r="L1664" s="178">
        <v>54.61</v>
      </c>
      <c r="M1664" s="178">
        <v>79.84999999999998</v>
      </c>
      <c r="N1664" s="179">
        <v>0</v>
      </c>
      <c r="O1664" s="178">
        <v>134.45999999999998</v>
      </c>
      <c r="P1664" s="453"/>
      <c r="Q1664" s="61"/>
      <c r="R1664" s="298"/>
      <c r="S1664" s="669"/>
      <c r="X1664" s="444">
        <v>1664</v>
      </c>
    </row>
    <row r="1665" spans="1:24" ht="12">
      <c r="A1665" s="83" t="s">
        <v>21071</v>
      </c>
      <c r="B1665" s="64" t="s">
        <v>21072</v>
      </c>
      <c r="C1665" s="71" t="s">
        <v>103</v>
      </c>
      <c r="D1665" s="79">
        <v>1</v>
      </c>
      <c r="E1665" s="79">
        <v>218.19</v>
      </c>
      <c r="F1665" s="79">
        <v>218.19</v>
      </c>
      <c r="G1665" s="445"/>
      <c r="H1665" s="178">
        <v>218.19</v>
      </c>
      <c r="I1665" s="178">
        <v>268.37</v>
      </c>
      <c r="J1665" s="70">
        <v>-50.180000000000007</v>
      </c>
      <c r="K1665" s="320"/>
      <c r="L1665" s="178">
        <v>54.61</v>
      </c>
      <c r="M1665" s="178">
        <v>163.57999999999998</v>
      </c>
      <c r="N1665" s="179">
        <v>0</v>
      </c>
      <c r="O1665" s="178">
        <v>218.19</v>
      </c>
      <c r="P1665" s="453"/>
      <c r="Q1665" s="61"/>
      <c r="R1665" s="298"/>
      <c r="S1665" s="669"/>
      <c r="X1665" s="444">
        <v>1665</v>
      </c>
    </row>
    <row r="1666" spans="1:24" ht="12">
      <c r="A1666" s="83" t="s">
        <v>21073</v>
      </c>
      <c r="B1666" s="64" t="s">
        <v>21074</v>
      </c>
      <c r="C1666" s="71" t="s">
        <v>103</v>
      </c>
      <c r="D1666" s="79">
        <v>1</v>
      </c>
      <c r="E1666" s="79">
        <v>385.90999999999997</v>
      </c>
      <c r="F1666" s="79">
        <v>385.91</v>
      </c>
      <c r="G1666" s="445"/>
      <c r="H1666" s="178">
        <v>385.91</v>
      </c>
      <c r="I1666" s="178">
        <v>474.67</v>
      </c>
      <c r="J1666" s="70">
        <v>-88.760000000000048</v>
      </c>
      <c r="K1666" s="320"/>
      <c r="L1666" s="178">
        <v>109.22</v>
      </c>
      <c r="M1666" s="178">
        <v>276.68999999999994</v>
      </c>
      <c r="N1666" s="179">
        <v>0</v>
      </c>
      <c r="O1666" s="178">
        <v>385.90999999999997</v>
      </c>
      <c r="P1666" s="453"/>
      <c r="Q1666" s="61"/>
      <c r="R1666" s="298"/>
      <c r="S1666" s="669"/>
      <c r="X1666" s="444">
        <v>1666</v>
      </c>
    </row>
    <row r="1667" spans="1:24" ht="12">
      <c r="A1667" s="65" t="s">
        <v>40912</v>
      </c>
      <c r="B1667" s="67" t="s">
        <v>39757</v>
      </c>
      <c r="C1667" s="108" t="s">
        <v>103</v>
      </c>
      <c r="D1667" s="79">
        <v>1</v>
      </c>
      <c r="E1667" s="79">
        <v>19.669999999999998</v>
      </c>
      <c r="F1667" s="79">
        <v>19.670000000000002</v>
      </c>
      <c r="H1667" s="178">
        <v>19.670000000000002</v>
      </c>
      <c r="I1667" s="178">
        <v>24.19</v>
      </c>
      <c r="J1667" s="70">
        <v>-4.5200000000000031</v>
      </c>
      <c r="K1667" s="320"/>
      <c r="L1667" s="178">
        <v>16.38</v>
      </c>
      <c r="M1667" s="178">
        <v>3.2899999999999991</v>
      </c>
      <c r="N1667" s="179">
        <v>0</v>
      </c>
      <c r="O1667" s="178">
        <v>19.669999999999998</v>
      </c>
      <c r="Q1667" s="61"/>
      <c r="R1667" s="298"/>
      <c r="S1667" s="669"/>
      <c r="X1667" s="444">
        <v>1667</v>
      </c>
    </row>
    <row r="1668" spans="1:24" ht="12">
      <c r="A1668" s="65" t="s">
        <v>40913</v>
      </c>
      <c r="B1668" s="67" t="s">
        <v>39758</v>
      </c>
      <c r="C1668" s="108" t="s">
        <v>103</v>
      </c>
      <c r="D1668" s="79">
        <v>1</v>
      </c>
      <c r="E1668" s="79">
        <v>19.669999999999998</v>
      </c>
      <c r="F1668" s="79">
        <v>19.670000000000002</v>
      </c>
      <c r="H1668" s="178">
        <v>19.670000000000002</v>
      </c>
      <c r="I1668" s="178">
        <v>24.19</v>
      </c>
      <c r="J1668" s="70">
        <v>-4.5200000000000031</v>
      </c>
      <c r="K1668" s="320"/>
      <c r="L1668" s="178">
        <v>16.38</v>
      </c>
      <c r="M1668" s="178">
        <v>3.2899999999999991</v>
      </c>
      <c r="N1668" s="179">
        <v>0</v>
      </c>
      <c r="O1668" s="178">
        <v>19.669999999999998</v>
      </c>
      <c r="Q1668" s="61"/>
      <c r="R1668" s="298"/>
      <c r="S1668" s="669"/>
      <c r="X1668" s="444">
        <v>1668</v>
      </c>
    </row>
    <row r="1669" spans="1:24" ht="12">
      <c r="A1669" s="65" t="s">
        <v>40914</v>
      </c>
      <c r="B1669" s="67" t="s">
        <v>39759</v>
      </c>
      <c r="C1669" s="108" t="s">
        <v>103</v>
      </c>
      <c r="D1669" s="79">
        <v>1</v>
      </c>
      <c r="E1669" s="79">
        <v>19.669999999999998</v>
      </c>
      <c r="F1669" s="79">
        <v>19.670000000000002</v>
      </c>
      <c r="H1669" s="178">
        <v>19.670000000000002</v>
      </c>
      <c r="I1669" s="178">
        <v>24.19</v>
      </c>
      <c r="J1669" s="70">
        <v>-4.5200000000000031</v>
      </c>
      <c r="K1669" s="320"/>
      <c r="L1669" s="178">
        <v>16.38</v>
      </c>
      <c r="M1669" s="178">
        <v>3.2899999999999991</v>
      </c>
      <c r="N1669" s="179">
        <v>0</v>
      </c>
      <c r="O1669" s="178">
        <v>19.669999999999998</v>
      </c>
      <c r="Q1669" s="61"/>
      <c r="R1669" s="298"/>
      <c r="S1669" s="669"/>
      <c r="X1669" s="444">
        <v>1669</v>
      </c>
    </row>
    <row r="1670" spans="1:24" ht="12">
      <c r="A1670" s="65" t="s">
        <v>40915</v>
      </c>
      <c r="B1670" s="67" t="s">
        <v>39760</v>
      </c>
      <c r="C1670" s="108" t="s">
        <v>103</v>
      </c>
      <c r="D1670" s="79">
        <v>1</v>
      </c>
      <c r="E1670" s="79">
        <v>19.669999999999998</v>
      </c>
      <c r="F1670" s="79">
        <v>19.670000000000002</v>
      </c>
      <c r="H1670" s="178">
        <v>19.670000000000002</v>
      </c>
      <c r="I1670" s="178">
        <v>24.19</v>
      </c>
      <c r="J1670" s="70">
        <v>-4.5200000000000031</v>
      </c>
      <c r="K1670" s="320"/>
      <c r="L1670" s="178">
        <v>16.38</v>
      </c>
      <c r="M1670" s="178">
        <v>3.2899999999999991</v>
      </c>
      <c r="N1670" s="179">
        <v>0</v>
      </c>
      <c r="O1670" s="178">
        <v>19.669999999999998</v>
      </c>
      <c r="Q1670" s="61"/>
      <c r="R1670" s="298"/>
      <c r="S1670" s="669"/>
      <c r="X1670" s="444">
        <v>1670</v>
      </c>
    </row>
    <row r="1671" spans="1:24" ht="12">
      <c r="A1671" s="65" t="s">
        <v>40916</v>
      </c>
      <c r="B1671" s="67" t="s">
        <v>39761</v>
      </c>
      <c r="C1671" s="108" t="s">
        <v>103</v>
      </c>
      <c r="D1671" s="79">
        <v>1</v>
      </c>
      <c r="E1671" s="79">
        <v>26.16</v>
      </c>
      <c r="F1671" s="79">
        <v>26.16</v>
      </c>
      <c r="H1671" s="178">
        <v>26.16</v>
      </c>
      <c r="I1671" s="178">
        <v>32.18</v>
      </c>
      <c r="J1671" s="70">
        <v>-6.02</v>
      </c>
      <c r="K1671" s="320"/>
      <c r="L1671" s="178">
        <v>21.84</v>
      </c>
      <c r="M1671" s="178">
        <v>4.32</v>
      </c>
      <c r="N1671" s="179">
        <v>0</v>
      </c>
      <c r="O1671" s="178">
        <v>26.16</v>
      </c>
      <c r="Q1671" s="61"/>
      <c r="R1671" s="298"/>
      <c r="S1671" s="669"/>
      <c r="X1671" s="444">
        <v>1671</v>
      </c>
    </row>
    <row r="1672" spans="1:24" ht="12">
      <c r="A1672" s="65" t="s">
        <v>40917</v>
      </c>
      <c r="B1672" s="67" t="s">
        <v>39762</v>
      </c>
      <c r="C1672" s="108" t="s">
        <v>103</v>
      </c>
      <c r="D1672" s="79">
        <v>1</v>
      </c>
      <c r="E1672" s="79">
        <v>26.16</v>
      </c>
      <c r="F1672" s="79">
        <v>26.16</v>
      </c>
      <c r="H1672" s="178">
        <v>26.16</v>
      </c>
      <c r="I1672" s="178">
        <v>32.18</v>
      </c>
      <c r="J1672" s="70">
        <v>-6.02</v>
      </c>
      <c r="K1672" s="320"/>
      <c r="L1672" s="178">
        <v>21.84</v>
      </c>
      <c r="M1672" s="178">
        <v>4.32</v>
      </c>
      <c r="N1672" s="179">
        <v>0</v>
      </c>
      <c r="O1672" s="178">
        <v>26.16</v>
      </c>
      <c r="Q1672" s="61"/>
      <c r="R1672" s="298"/>
      <c r="S1672" s="669"/>
      <c r="X1672" s="444">
        <v>1672</v>
      </c>
    </row>
    <row r="1673" spans="1:24" ht="12">
      <c r="A1673" s="65" t="s">
        <v>40918</v>
      </c>
      <c r="B1673" s="67" t="s">
        <v>39763</v>
      </c>
      <c r="C1673" s="108" t="s">
        <v>103</v>
      </c>
      <c r="D1673" s="79">
        <v>1</v>
      </c>
      <c r="E1673" s="79">
        <v>26.16</v>
      </c>
      <c r="F1673" s="79">
        <v>26.16</v>
      </c>
      <c r="H1673" s="178">
        <v>26.16</v>
      </c>
      <c r="I1673" s="178">
        <v>32.18</v>
      </c>
      <c r="J1673" s="70">
        <v>-6.02</v>
      </c>
      <c r="K1673" s="320"/>
      <c r="L1673" s="178">
        <v>21.84</v>
      </c>
      <c r="M1673" s="178">
        <v>4.32</v>
      </c>
      <c r="N1673" s="179">
        <v>0</v>
      </c>
      <c r="O1673" s="178">
        <v>26.16</v>
      </c>
      <c r="Q1673" s="61"/>
      <c r="R1673" s="298"/>
      <c r="S1673" s="669"/>
      <c r="X1673" s="444">
        <v>1673</v>
      </c>
    </row>
    <row r="1674" spans="1:24" ht="12">
      <c r="A1674" s="65" t="s">
        <v>40919</v>
      </c>
      <c r="B1674" s="67" t="s">
        <v>39764</v>
      </c>
      <c r="C1674" s="108" t="s">
        <v>103</v>
      </c>
      <c r="D1674" s="79">
        <v>1</v>
      </c>
      <c r="E1674" s="79">
        <v>26.16</v>
      </c>
      <c r="F1674" s="79">
        <v>26.16</v>
      </c>
      <c r="H1674" s="178">
        <v>26.16</v>
      </c>
      <c r="I1674" s="178">
        <v>32.18</v>
      </c>
      <c r="J1674" s="70">
        <v>-6.02</v>
      </c>
      <c r="K1674" s="320"/>
      <c r="L1674" s="178">
        <v>21.84</v>
      </c>
      <c r="M1674" s="178">
        <v>4.32</v>
      </c>
      <c r="N1674" s="179">
        <v>0</v>
      </c>
      <c r="O1674" s="178">
        <v>26.16</v>
      </c>
      <c r="Q1674" s="61"/>
      <c r="R1674" s="298"/>
      <c r="S1674" s="669"/>
      <c r="X1674" s="444">
        <v>1674</v>
      </c>
    </row>
    <row r="1675" spans="1:24" ht="12">
      <c r="A1675" s="83" t="s">
        <v>21075</v>
      </c>
      <c r="B1675" s="64" t="s">
        <v>21076</v>
      </c>
      <c r="C1675" s="71" t="s">
        <v>10216</v>
      </c>
      <c r="D1675" s="79">
        <v>1</v>
      </c>
      <c r="E1675" s="79">
        <v>577.26</v>
      </c>
      <c r="F1675" s="79">
        <v>577.26</v>
      </c>
      <c r="G1675" s="445"/>
      <c r="H1675" s="178">
        <v>577.25</v>
      </c>
      <c r="I1675" s="178">
        <v>710.02</v>
      </c>
      <c r="J1675" s="70">
        <v>-132.76</v>
      </c>
      <c r="K1675" s="320"/>
      <c r="L1675" s="178"/>
      <c r="M1675" s="178">
        <v>577.26</v>
      </c>
      <c r="N1675" s="179">
        <v>0</v>
      </c>
      <c r="O1675" s="178">
        <v>577.26</v>
      </c>
      <c r="P1675" s="453"/>
      <c r="Q1675" s="61"/>
      <c r="R1675" s="298"/>
      <c r="S1675" s="669"/>
      <c r="X1675" s="444">
        <v>1675</v>
      </c>
    </row>
    <row r="1676" spans="1:24" ht="12">
      <c r="A1676" s="83" t="s">
        <v>11676</v>
      </c>
      <c r="B1676" s="64" t="s">
        <v>39765</v>
      </c>
      <c r="C1676" s="71"/>
      <c r="D1676" s="79" t="s">
        <v>40899</v>
      </c>
      <c r="E1676" s="79" t="s">
        <v>40899</v>
      </c>
      <c r="F1676" s="79"/>
      <c r="G1676" s="445"/>
      <c r="H1676" s="178"/>
      <c r="I1676" s="178"/>
      <c r="J1676" s="70"/>
      <c r="K1676" s="320"/>
      <c r="L1676" s="178"/>
      <c r="M1676" s="178"/>
      <c r="N1676" s="179"/>
      <c r="O1676" s="178"/>
      <c r="P1676" s="453"/>
      <c r="Q1676" s="61"/>
      <c r="R1676" s="298"/>
      <c r="S1676" s="669"/>
      <c r="X1676" s="444">
        <v>1676</v>
      </c>
    </row>
    <row r="1677" spans="1:24" ht="12">
      <c r="A1677" s="83" t="s">
        <v>21077</v>
      </c>
      <c r="B1677" s="64" t="s">
        <v>29636</v>
      </c>
      <c r="C1677" s="71" t="s">
        <v>165</v>
      </c>
      <c r="D1677" s="79">
        <v>1</v>
      </c>
      <c r="E1677" s="79">
        <v>3.6399999999999997</v>
      </c>
      <c r="F1677" s="79">
        <v>3.64</v>
      </c>
      <c r="G1677" s="445"/>
      <c r="H1677" s="178">
        <v>3.64</v>
      </c>
      <c r="I1677" s="178">
        <v>4.4800000000000004</v>
      </c>
      <c r="J1677" s="70">
        <v>-0.84000000000000075</v>
      </c>
      <c r="K1677" s="320"/>
      <c r="L1677" s="178">
        <v>2.1799999999999997</v>
      </c>
      <c r="M1677" s="178">
        <v>1.46</v>
      </c>
      <c r="N1677" s="179">
        <v>0</v>
      </c>
      <c r="O1677" s="178">
        <v>3.6399999999999997</v>
      </c>
      <c r="P1677" s="453"/>
      <c r="Q1677" s="61"/>
      <c r="R1677" s="298"/>
      <c r="S1677" s="669"/>
      <c r="X1677" s="444">
        <v>1677</v>
      </c>
    </row>
    <row r="1678" spans="1:24" ht="12">
      <c r="A1678" s="83" t="s">
        <v>21078</v>
      </c>
      <c r="B1678" s="64" t="s">
        <v>29637</v>
      </c>
      <c r="C1678" s="71" t="s">
        <v>165</v>
      </c>
      <c r="D1678" s="79">
        <v>1</v>
      </c>
      <c r="E1678" s="79">
        <v>5</v>
      </c>
      <c r="F1678" s="79">
        <v>5</v>
      </c>
      <c r="G1678" s="445"/>
      <c r="H1678" s="178">
        <v>5</v>
      </c>
      <c r="I1678" s="178">
        <v>6.15</v>
      </c>
      <c r="J1678" s="70">
        <v>-1.1500000000000004</v>
      </c>
      <c r="K1678" s="320"/>
      <c r="L1678" s="178">
        <v>2.73</v>
      </c>
      <c r="M1678" s="178">
        <v>2.27</v>
      </c>
      <c r="N1678" s="179">
        <v>0</v>
      </c>
      <c r="O1678" s="178">
        <v>5</v>
      </c>
      <c r="P1678" s="453"/>
      <c r="Q1678" s="61"/>
      <c r="R1678" s="298"/>
      <c r="S1678" s="669"/>
      <c r="X1678" s="444">
        <v>1678</v>
      </c>
    </row>
    <row r="1679" spans="1:24" ht="12">
      <c r="A1679" s="83" t="s">
        <v>21079</v>
      </c>
      <c r="B1679" s="64" t="s">
        <v>29638</v>
      </c>
      <c r="C1679" s="71" t="s">
        <v>165</v>
      </c>
      <c r="D1679" s="79">
        <v>1</v>
      </c>
      <c r="E1679" s="79">
        <v>6.62</v>
      </c>
      <c r="F1679" s="79">
        <v>6.62</v>
      </c>
      <c r="G1679" s="445"/>
      <c r="H1679" s="178">
        <v>6.62</v>
      </c>
      <c r="I1679" s="178">
        <v>8.14</v>
      </c>
      <c r="J1679" s="70">
        <v>-1.5200000000000005</v>
      </c>
      <c r="K1679" s="320"/>
      <c r="L1679" s="178">
        <v>3</v>
      </c>
      <c r="M1679" s="178">
        <v>3.62</v>
      </c>
      <c r="N1679" s="179">
        <v>0</v>
      </c>
      <c r="O1679" s="178">
        <v>6.62</v>
      </c>
      <c r="P1679" s="453"/>
      <c r="Q1679" s="61"/>
      <c r="R1679" s="298"/>
      <c r="S1679" s="669"/>
      <c r="X1679" s="444">
        <v>1679</v>
      </c>
    </row>
    <row r="1680" spans="1:24" ht="12">
      <c r="A1680" s="83" t="s">
        <v>21080</v>
      </c>
      <c r="B1680" s="64" t="s">
        <v>29639</v>
      </c>
      <c r="C1680" s="71" t="s">
        <v>165</v>
      </c>
      <c r="D1680" s="79">
        <v>1</v>
      </c>
      <c r="E1680" s="79">
        <v>8.6</v>
      </c>
      <c r="F1680" s="79">
        <v>8.6</v>
      </c>
      <c r="G1680" s="445"/>
      <c r="H1680" s="178">
        <v>8.61</v>
      </c>
      <c r="I1680" s="178">
        <v>10.59</v>
      </c>
      <c r="J1680" s="70">
        <v>-1.9900000000000002</v>
      </c>
      <c r="K1680" s="320"/>
      <c r="L1680" s="178">
        <v>3.26</v>
      </c>
      <c r="M1680" s="178">
        <v>5.34</v>
      </c>
      <c r="N1680" s="179">
        <v>0</v>
      </c>
      <c r="O1680" s="178">
        <v>8.6</v>
      </c>
      <c r="P1680" s="453"/>
      <c r="Q1680" s="61"/>
      <c r="R1680" s="298"/>
      <c r="S1680" s="669"/>
      <c r="X1680" s="444">
        <v>1680</v>
      </c>
    </row>
    <row r="1681" spans="1:32" ht="12">
      <c r="A1681" s="83" t="s">
        <v>21081</v>
      </c>
      <c r="B1681" s="64" t="s">
        <v>21082</v>
      </c>
      <c r="C1681" s="71" t="s">
        <v>165</v>
      </c>
      <c r="D1681" s="79">
        <v>1</v>
      </c>
      <c r="E1681" s="79">
        <v>2.54</v>
      </c>
      <c r="F1681" s="79">
        <v>2.54</v>
      </c>
      <c r="G1681" s="445"/>
      <c r="H1681" s="178">
        <v>2.54</v>
      </c>
      <c r="I1681" s="178">
        <v>3.12</v>
      </c>
      <c r="J1681" s="70">
        <v>-0.58000000000000007</v>
      </c>
      <c r="K1681" s="320"/>
      <c r="L1681" s="178">
        <v>1.0899999999999999</v>
      </c>
      <c r="M1681" s="178">
        <v>1.4500000000000002</v>
      </c>
      <c r="N1681" s="179">
        <v>0</v>
      </c>
      <c r="O1681" s="178">
        <v>2.54</v>
      </c>
      <c r="P1681" s="453"/>
      <c r="Q1681" s="61"/>
      <c r="R1681" s="298"/>
      <c r="S1681" s="669"/>
      <c r="X1681" s="444">
        <v>1681</v>
      </c>
    </row>
    <row r="1682" spans="1:32" ht="12">
      <c r="A1682" s="83" t="s">
        <v>21083</v>
      </c>
      <c r="B1682" s="64" t="s">
        <v>29621</v>
      </c>
      <c r="C1682" s="71" t="s">
        <v>165</v>
      </c>
      <c r="D1682" s="79">
        <v>1</v>
      </c>
      <c r="E1682" s="79">
        <v>15.129999999999999</v>
      </c>
      <c r="F1682" s="79">
        <v>15.13</v>
      </c>
      <c r="G1682" s="445"/>
      <c r="H1682" s="178">
        <v>15.11</v>
      </c>
      <c r="I1682" s="178">
        <v>18.579999999999998</v>
      </c>
      <c r="J1682" s="70">
        <v>-3.4499999999999993</v>
      </c>
      <c r="K1682" s="320"/>
      <c r="L1682" s="178">
        <v>4.93</v>
      </c>
      <c r="M1682" s="178">
        <v>10.199999999999999</v>
      </c>
      <c r="N1682" s="179">
        <v>0</v>
      </c>
      <c r="O1682" s="178">
        <v>15.129999999999999</v>
      </c>
      <c r="P1682" s="453"/>
      <c r="Q1682" s="61"/>
      <c r="R1682" s="298"/>
      <c r="S1682" s="669"/>
      <c r="X1682" s="444">
        <v>1682</v>
      </c>
    </row>
    <row r="1683" spans="1:32" ht="12">
      <c r="A1683" s="83" t="s">
        <v>21084</v>
      </c>
      <c r="B1683" s="64" t="s">
        <v>29610</v>
      </c>
      <c r="C1683" s="71" t="s">
        <v>165</v>
      </c>
      <c r="D1683" s="79">
        <v>1</v>
      </c>
      <c r="E1683" s="79">
        <v>22.67</v>
      </c>
      <c r="F1683" s="79">
        <v>22.67</v>
      </c>
      <c r="G1683" s="445"/>
      <c r="H1683" s="178">
        <v>22.67</v>
      </c>
      <c r="I1683" s="178">
        <v>27.88</v>
      </c>
      <c r="J1683" s="70">
        <v>-5.2099999999999973</v>
      </c>
      <c r="K1683" s="320"/>
      <c r="L1683" s="178">
        <v>7.1</v>
      </c>
      <c r="M1683" s="178">
        <v>15.570000000000002</v>
      </c>
      <c r="N1683" s="179">
        <v>0</v>
      </c>
      <c r="O1683" s="178">
        <v>22.67</v>
      </c>
      <c r="P1683" s="453"/>
      <c r="Q1683" s="61"/>
      <c r="R1683" s="298"/>
      <c r="S1683" s="669"/>
      <c r="X1683" s="444">
        <v>1683</v>
      </c>
    </row>
    <row r="1684" spans="1:32" ht="12">
      <c r="A1684" s="83" t="s">
        <v>21085</v>
      </c>
      <c r="B1684" s="64" t="s">
        <v>29611</v>
      </c>
      <c r="C1684" s="71" t="s">
        <v>165</v>
      </c>
      <c r="D1684" s="79">
        <v>1</v>
      </c>
      <c r="E1684" s="79">
        <v>37.840000000000003</v>
      </c>
      <c r="F1684" s="79">
        <v>37.840000000000003</v>
      </c>
      <c r="G1684" s="445"/>
      <c r="H1684" s="178">
        <v>37.840000000000003</v>
      </c>
      <c r="I1684" s="178">
        <v>46.54</v>
      </c>
      <c r="J1684" s="70">
        <v>-8.6999999999999957</v>
      </c>
      <c r="K1684" s="320"/>
      <c r="L1684" s="178">
        <v>13.65</v>
      </c>
      <c r="M1684" s="178">
        <v>24.190000000000005</v>
      </c>
      <c r="N1684" s="179">
        <v>0</v>
      </c>
      <c r="O1684" s="178">
        <v>37.840000000000003</v>
      </c>
      <c r="P1684" s="453"/>
      <c r="Q1684" s="61"/>
      <c r="R1684" s="298"/>
      <c r="S1684" s="669"/>
      <c r="X1684" s="444">
        <v>1684</v>
      </c>
    </row>
    <row r="1685" spans="1:32" ht="12">
      <c r="A1685" s="83" t="s">
        <v>21086</v>
      </c>
      <c r="B1685" s="64" t="s">
        <v>29612</v>
      </c>
      <c r="C1685" s="71" t="s">
        <v>165</v>
      </c>
      <c r="D1685" s="79">
        <v>1</v>
      </c>
      <c r="E1685" s="79">
        <v>54.72</v>
      </c>
      <c r="F1685" s="79">
        <v>54.72</v>
      </c>
      <c r="G1685" s="445"/>
      <c r="H1685" s="178">
        <v>54.72</v>
      </c>
      <c r="I1685" s="178">
        <v>67.31</v>
      </c>
      <c r="J1685" s="70">
        <v>-12.590000000000003</v>
      </c>
      <c r="K1685" s="320"/>
      <c r="L1685" s="178">
        <v>21.84</v>
      </c>
      <c r="M1685" s="178">
        <v>32.879999999999995</v>
      </c>
      <c r="N1685" s="179">
        <v>0</v>
      </c>
      <c r="O1685" s="178">
        <v>54.72</v>
      </c>
      <c r="P1685" s="453"/>
      <c r="Q1685" s="61"/>
      <c r="R1685" s="298"/>
      <c r="S1685" s="669"/>
      <c r="X1685" s="444">
        <v>1685</v>
      </c>
    </row>
    <row r="1686" spans="1:32" ht="12">
      <c r="A1686" s="83" t="s">
        <v>21087</v>
      </c>
      <c r="B1686" s="64" t="s">
        <v>29613</v>
      </c>
      <c r="C1686" s="71" t="s">
        <v>165</v>
      </c>
      <c r="D1686" s="79">
        <v>1</v>
      </c>
      <c r="E1686" s="79">
        <v>80.330000000000013</v>
      </c>
      <c r="F1686" s="79">
        <v>80.33</v>
      </c>
      <c r="G1686" s="445"/>
      <c r="H1686" s="178">
        <v>80.33</v>
      </c>
      <c r="I1686" s="178">
        <v>98.8</v>
      </c>
      <c r="J1686" s="70">
        <v>-18.469999999999985</v>
      </c>
      <c r="K1686" s="320"/>
      <c r="L1686" s="178">
        <v>32.770000000000003</v>
      </c>
      <c r="M1686" s="178">
        <v>47.560000000000009</v>
      </c>
      <c r="N1686" s="179">
        <v>0</v>
      </c>
      <c r="O1686" s="178">
        <v>80.330000000000013</v>
      </c>
      <c r="P1686" s="453"/>
      <c r="Q1686" s="61"/>
      <c r="R1686" s="298"/>
      <c r="S1686" s="669"/>
      <c r="X1686" s="444">
        <v>1686</v>
      </c>
    </row>
    <row r="1687" spans="1:32" ht="12">
      <c r="A1687" s="83" t="s">
        <v>21088</v>
      </c>
      <c r="B1687" s="64" t="s">
        <v>29614</v>
      </c>
      <c r="C1687" s="71" t="s">
        <v>165</v>
      </c>
      <c r="D1687" s="79">
        <v>1</v>
      </c>
      <c r="E1687" s="79">
        <v>105.35000000000001</v>
      </c>
      <c r="F1687" s="79">
        <v>105.35</v>
      </c>
      <c r="G1687" s="445"/>
      <c r="H1687" s="178">
        <v>105.34</v>
      </c>
      <c r="I1687" s="178">
        <v>129.57</v>
      </c>
      <c r="J1687" s="70">
        <v>-24.219999999999985</v>
      </c>
      <c r="K1687" s="320"/>
      <c r="L1687" s="178">
        <v>38.230000000000004</v>
      </c>
      <c r="M1687" s="178">
        <v>67.12</v>
      </c>
      <c r="N1687" s="179">
        <v>0</v>
      </c>
      <c r="O1687" s="178">
        <v>105.35000000000001</v>
      </c>
      <c r="P1687" s="453"/>
      <c r="Q1687" s="61"/>
      <c r="R1687" s="298"/>
      <c r="S1687" s="669"/>
      <c r="X1687" s="444">
        <v>1687</v>
      </c>
    </row>
    <row r="1688" spans="1:32" ht="12">
      <c r="A1688" s="83" t="s">
        <v>21089</v>
      </c>
      <c r="B1688" s="64" t="s">
        <v>29615</v>
      </c>
      <c r="C1688" s="71" t="s">
        <v>165</v>
      </c>
      <c r="D1688" s="79">
        <v>1</v>
      </c>
      <c r="E1688" s="79">
        <v>148.85</v>
      </c>
      <c r="F1688" s="79">
        <v>148.85</v>
      </c>
      <c r="G1688" s="445"/>
      <c r="H1688" s="178">
        <v>148.85</v>
      </c>
      <c r="I1688" s="178">
        <v>183.08</v>
      </c>
      <c r="J1688" s="70">
        <v>-34.230000000000018</v>
      </c>
      <c r="K1688" s="320"/>
      <c r="L1688" s="178">
        <v>60.07</v>
      </c>
      <c r="M1688" s="178">
        <v>88.78</v>
      </c>
      <c r="N1688" s="179">
        <v>0</v>
      </c>
      <c r="O1688" s="178">
        <v>148.85</v>
      </c>
      <c r="P1688" s="453"/>
      <c r="Q1688" s="61"/>
      <c r="R1688" s="298"/>
      <c r="S1688" s="669"/>
      <c r="X1688" s="444">
        <v>1688</v>
      </c>
    </row>
    <row r="1689" spans="1:32" ht="12">
      <c r="A1689" s="83" t="s">
        <v>21090</v>
      </c>
      <c r="B1689" s="64" t="s">
        <v>29616</v>
      </c>
      <c r="C1689" s="71" t="s">
        <v>165</v>
      </c>
      <c r="D1689" s="79">
        <v>1</v>
      </c>
      <c r="E1689" s="79">
        <v>183.37</v>
      </c>
      <c r="F1689" s="79">
        <v>183.37</v>
      </c>
      <c r="G1689" s="445"/>
      <c r="H1689" s="178">
        <v>183.36</v>
      </c>
      <c r="I1689" s="178">
        <v>225.53</v>
      </c>
      <c r="J1689" s="70">
        <v>-42.16</v>
      </c>
      <c r="K1689" s="320"/>
      <c r="L1689" s="178">
        <v>71</v>
      </c>
      <c r="M1689" s="178">
        <v>112.37</v>
      </c>
      <c r="N1689" s="179">
        <v>0</v>
      </c>
      <c r="O1689" s="178">
        <v>183.37</v>
      </c>
      <c r="P1689" s="453"/>
      <c r="Q1689" s="61"/>
      <c r="R1689" s="298"/>
      <c r="S1689" s="669"/>
      <c r="X1689" s="444">
        <v>1689</v>
      </c>
    </row>
    <row r="1690" spans="1:32" ht="12">
      <c r="A1690" s="83" t="s">
        <v>21091</v>
      </c>
      <c r="B1690" s="64" t="s">
        <v>29617</v>
      </c>
      <c r="C1690" s="71" t="s">
        <v>165</v>
      </c>
      <c r="D1690" s="79">
        <v>1</v>
      </c>
      <c r="E1690" s="79">
        <v>222.71</v>
      </c>
      <c r="F1690" s="79">
        <v>222.71</v>
      </c>
      <c r="G1690" s="445"/>
      <c r="H1690" s="178">
        <v>222.68</v>
      </c>
      <c r="I1690" s="178">
        <v>273.89999999999998</v>
      </c>
      <c r="J1690" s="70">
        <v>-51.189999999999969</v>
      </c>
      <c r="K1690" s="320"/>
      <c r="L1690" s="178">
        <v>81.94</v>
      </c>
      <c r="M1690" s="178">
        <v>140.77000000000001</v>
      </c>
      <c r="N1690" s="179">
        <v>0</v>
      </c>
      <c r="O1690" s="178">
        <v>222.71</v>
      </c>
      <c r="P1690" s="453"/>
      <c r="Q1690" s="61"/>
      <c r="R1690" s="298"/>
      <c r="S1690" s="669"/>
      <c r="X1690" s="444">
        <v>1690</v>
      </c>
    </row>
    <row r="1691" spans="1:32" ht="12">
      <c r="A1691" s="83" t="s">
        <v>21092</v>
      </c>
      <c r="B1691" s="64" t="s">
        <v>29618</v>
      </c>
      <c r="C1691" s="71" t="s">
        <v>165</v>
      </c>
      <c r="D1691" s="79">
        <v>1</v>
      </c>
      <c r="E1691" s="79">
        <v>273.51</v>
      </c>
      <c r="F1691" s="79">
        <v>273.51</v>
      </c>
      <c r="G1691" s="445"/>
      <c r="H1691" s="178">
        <v>273.51</v>
      </c>
      <c r="I1691" s="178">
        <v>336.42</v>
      </c>
      <c r="J1691" s="70">
        <v>-62.910000000000025</v>
      </c>
      <c r="K1691" s="320"/>
      <c r="L1691" s="178">
        <v>103.75999999999999</v>
      </c>
      <c r="M1691" s="178">
        <v>169.75</v>
      </c>
      <c r="N1691" s="179">
        <v>0</v>
      </c>
      <c r="O1691" s="178">
        <v>273.51</v>
      </c>
      <c r="P1691" s="453"/>
      <c r="Q1691" s="61"/>
      <c r="R1691" s="298"/>
      <c r="S1691" s="669"/>
      <c r="X1691" s="444">
        <v>1691</v>
      </c>
    </row>
    <row r="1692" spans="1:32" ht="12">
      <c r="A1692" s="83" t="s">
        <v>21093</v>
      </c>
      <c r="B1692" s="64" t="s">
        <v>29619</v>
      </c>
      <c r="C1692" s="71" t="s">
        <v>165</v>
      </c>
      <c r="D1692" s="79">
        <v>1</v>
      </c>
      <c r="E1692" s="79">
        <v>339.7</v>
      </c>
      <c r="F1692" s="79">
        <v>339.7</v>
      </c>
      <c r="G1692" s="445"/>
      <c r="H1692" s="178">
        <v>339.69</v>
      </c>
      <c r="I1692" s="178">
        <v>417.82</v>
      </c>
      <c r="J1692" s="70">
        <v>-78.12</v>
      </c>
      <c r="K1692" s="320"/>
      <c r="L1692" s="178">
        <v>114.69</v>
      </c>
      <c r="M1692" s="178">
        <v>225.01</v>
      </c>
      <c r="N1692" s="179">
        <v>0</v>
      </c>
      <c r="O1692" s="178">
        <v>339.7</v>
      </c>
      <c r="P1692" s="453"/>
      <c r="Q1692" s="61"/>
      <c r="R1692" s="298"/>
      <c r="S1692" s="669"/>
      <c r="U1692" s="61"/>
      <c r="V1692" s="61"/>
      <c r="W1692" s="61"/>
      <c r="X1692" s="444">
        <v>1692</v>
      </c>
      <c r="Y1692" s="61"/>
      <c r="Z1692" s="61"/>
      <c r="AA1692" s="61"/>
      <c r="AB1692" s="61"/>
      <c r="AC1692" s="61"/>
      <c r="AD1692" s="61"/>
      <c r="AE1692" s="61"/>
      <c r="AF1692" s="61"/>
    </row>
    <row r="1693" spans="1:32" ht="12">
      <c r="A1693" s="83" t="s">
        <v>21094</v>
      </c>
      <c r="B1693" s="64" t="s">
        <v>29620</v>
      </c>
      <c r="C1693" s="71" t="s">
        <v>165</v>
      </c>
      <c r="D1693" s="79">
        <v>1</v>
      </c>
      <c r="E1693" s="79">
        <v>395.08000000000004</v>
      </c>
      <c r="F1693" s="79">
        <v>395.08</v>
      </c>
      <c r="G1693" s="445"/>
      <c r="H1693" s="178">
        <v>395.08</v>
      </c>
      <c r="I1693" s="178">
        <v>485.95</v>
      </c>
      <c r="J1693" s="70">
        <v>-90.869999999999948</v>
      </c>
      <c r="K1693" s="320"/>
      <c r="L1693" s="178">
        <v>109.22</v>
      </c>
      <c r="M1693" s="178">
        <v>285.86</v>
      </c>
      <c r="N1693" s="179">
        <v>0</v>
      </c>
      <c r="O1693" s="178">
        <v>395.08000000000004</v>
      </c>
      <c r="P1693" s="453"/>
      <c r="Q1693" s="61"/>
      <c r="R1693" s="298"/>
      <c r="S1693" s="669"/>
      <c r="U1693" s="69"/>
      <c r="V1693" s="69"/>
      <c r="W1693" s="69"/>
      <c r="X1693" s="444">
        <v>1693</v>
      </c>
      <c r="Y1693" s="69"/>
      <c r="Z1693" s="69"/>
      <c r="AA1693" s="69"/>
      <c r="AB1693" s="69"/>
      <c r="AC1693" s="69"/>
      <c r="AD1693" s="69"/>
      <c r="AE1693" s="69"/>
      <c r="AF1693" s="69"/>
    </row>
    <row r="1694" spans="1:32" ht="12">
      <c r="A1694" s="83" t="s">
        <v>21095</v>
      </c>
      <c r="B1694" s="64" t="s">
        <v>29640</v>
      </c>
      <c r="C1694" s="71" t="s">
        <v>165</v>
      </c>
      <c r="D1694" s="79">
        <v>1</v>
      </c>
      <c r="E1694" s="79">
        <v>3.8499999999999996</v>
      </c>
      <c r="F1694" s="79">
        <v>3.85</v>
      </c>
      <c r="G1694" s="445"/>
      <c r="H1694" s="178">
        <v>3.85</v>
      </c>
      <c r="I1694" s="178">
        <v>4.7300000000000004</v>
      </c>
      <c r="J1694" s="70">
        <v>-0.88000000000000078</v>
      </c>
      <c r="K1694" s="320"/>
      <c r="L1694" s="178">
        <v>2.1799999999999997</v>
      </c>
      <c r="M1694" s="178">
        <v>1.67</v>
      </c>
      <c r="N1694" s="179">
        <v>0</v>
      </c>
      <c r="O1694" s="178">
        <v>3.8499999999999996</v>
      </c>
      <c r="P1694" s="453"/>
      <c r="Q1694" s="61"/>
      <c r="R1694" s="298"/>
      <c r="S1694" s="669"/>
      <c r="U1694" s="69"/>
      <c r="V1694" s="69"/>
      <c r="W1694" s="69"/>
      <c r="X1694" s="444">
        <v>1694</v>
      </c>
      <c r="Y1694" s="69"/>
      <c r="Z1694" s="69"/>
      <c r="AA1694" s="69"/>
      <c r="AB1694" s="69"/>
      <c r="AC1694" s="69"/>
      <c r="AD1694" s="69"/>
      <c r="AE1694" s="69"/>
      <c r="AF1694" s="69"/>
    </row>
    <row r="1695" spans="1:32" ht="12">
      <c r="A1695" s="83" t="s">
        <v>21096</v>
      </c>
      <c r="B1695" s="64" t="s">
        <v>29641</v>
      </c>
      <c r="C1695" s="71" t="s">
        <v>165</v>
      </c>
      <c r="D1695" s="79">
        <v>1</v>
      </c>
      <c r="E1695" s="79">
        <v>5.35</v>
      </c>
      <c r="F1695" s="79">
        <v>5.35</v>
      </c>
      <c r="G1695" s="445"/>
      <c r="H1695" s="178">
        <v>5.34</v>
      </c>
      <c r="I1695" s="178">
        <v>6.57</v>
      </c>
      <c r="J1695" s="70">
        <v>-1.2200000000000006</v>
      </c>
      <c r="K1695" s="320"/>
      <c r="L1695" s="178">
        <v>2.73</v>
      </c>
      <c r="M1695" s="178">
        <v>2.6199999999999997</v>
      </c>
      <c r="N1695" s="179">
        <v>0</v>
      </c>
      <c r="O1695" s="178">
        <v>5.35</v>
      </c>
      <c r="P1695" s="453"/>
      <c r="Q1695" s="61"/>
      <c r="R1695" s="298"/>
      <c r="S1695" s="669"/>
      <c r="X1695" s="444">
        <v>1695</v>
      </c>
    </row>
    <row r="1696" spans="1:32" ht="12">
      <c r="A1696" s="83" t="s">
        <v>21097</v>
      </c>
      <c r="B1696" s="64" t="s">
        <v>29642</v>
      </c>
      <c r="C1696" s="71" t="s">
        <v>165</v>
      </c>
      <c r="D1696" s="79">
        <v>1</v>
      </c>
      <c r="E1696" s="79">
        <v>7.12</v>
      </c>
      <c r="F1696" s="79">
        <v>7.12</v>
      </c>
      <c r="G1696" s="445"/>
      <c r="H1696" s="178">
        <v>7.12</v>
      </c>
      <c r="I1696" s="178">
        <v>8.76</v>
      </c>
      <c r="J1696" s="70">
        <v>-1.6399999999999997</v>
      </c>
      <c r="K1696" s="320"/>
      <c r="L1696" s="178">
        <v>3</v>
      </c>
      <c r="M1696" s="178">
        <v>4.12</v>
      </c>
      <c r="N1696" s="179">
        <v>0</v>
      </c>
      <c r="O1696" s="178">
        <v>7.12</v>
      </c>
      <c r="P1696" s="453"/>
      <c r="Q1696" s="61"/>
      <c r="R1696" s="298"/>
      <c r="S1696" s="669"/>
      <c r="X1696" s="444">
        <v>1696</v>
      </c>
    </row>
    <row r="1697" spans="1:32" ht="12">
      <c r="A1697" s="83" t="s">
        <v>21098</v>
      </c>
      <c r="B1697" s="64" t="s">
        <v>29643</v>
      </c>
      <c r="C1697" s="71" t="s">
        <v>165</v>
      </c>
      <c r="D1697" s="79">
        <v>1</v>
      </c>
      <c r="E1697" s="79">
        <v>9.32</v>
      </c>
      <c r="F1697" s="79">
        <v>9.32</v>
      </c>
      <c r="G1697" s="445"/>
      <c r="H1697" s="178">
        <v>9.33</v>
      </c>
      <c r="I1697" s="178">
        <v>11.47</v>
      </c>
      <c r="J1697" s="70">
        <v>-2.1500000000000004</v>
      </c>
      <c r="K1697" s="320"/>
      <c r="L1697" s="178">
        <v>3.26</v>
      </c>
      <c r="M1697" s="178">
        <v>6.0600000000000005</v>
      </c>
      <c r="N1697" s="179">
        <v>0</v>
      </c>
      <c r="O1697" s="178">
        <v>9.32</v>
      </c>
      <c r="P1697" s="453"/>
      <c r="Q1697" s="61"/>
      <c r="R1697" s="298"/>
      <c r="S1697" s="669"/>
      <c r="X1697" s="444">
        <v>1697</v>
      </c>
    </row>
    <row r="1698" spans="1:32" ht="12">
      <c r="A1698" s="83" t="s">
        <v>21099</v>
      </c>
      <c r="B1698" s="64" t="s">
        <v>21100</v>
      </c>
      <c r="C1698" s="71" t="s">
        <v>10216</v>
      </c>
      <c r="D1698" s="79">
        <v>1</v>
      </c>
      <c r="E1698" s="79">
        <v>577.26</v>
      </c>
      <c r="F1698" s="79">
        <v>577.26</v>
      </c>
      <c r="G1698" s="445"/>
      <c r="H1698" s="178">
        <v>577.25</v>
      </c>
      <c r="I1698" s="178">
        <v>710.02</v>
      </c>
      <c r="J1698" s="70">
        <v>-132.76</v>
      </c>
      <c r="K1698" s="320"/>
      <c r="L1698" s="178"/>
      <c r="M1698" s="178">
        <v>577.26</v>
      </c>
      <c r="N1698" s="179">
        <v>0</v>
      </c>
      <c r="O1698" s="178">
        <v>577.26</v>
      </c>
      <c r="P1698" s="453"/>
      <c r="Q1698" s="61"/>
      <c r="R1698" s="298"/>
      <c r="S1698" s="669"/>
      <c r="X1698" s="444">
        <v>1698</v>
      </c>
    </row>
    <row r="1699" spans="1:32" ht="12">
      <c r="A1699" s="83" t="s">
        <v>39766</v>
      </c>
      <c r="B1699" s="64" t="s">
        <v>39767</v>
      </c>
      <c r="C1699" s="71"/>
      <c r="D1699" s="79" t="s">
        <v>40899</v>
      </c>
      <c r="E1699" s="79" t="s">
        <v>40899</v>
      </c>
      <c r="F1699" s="79"/>
      <c r="G1699" s="445"/>
      <c r="H1699" s="178"/>
      <c r="I1699" s="178"/>
      <c r="J1699" s="70"/>
      <c r="K1699" s="320"/>
      <c r="L1699" s="178"/>
      <c r="M1699" s="178"/>
      <c r="N1699" s="179"/>
      <c r="O1699" s="178"/>
      <c r="P1699" s="453"/>
      <c r="Q1699" s="61"/>
      <c r="R1699" s="298"/>
      <c r="S1699" s="669"/>
      <c r="T1699" s="61"/>
      <c r="X1699" s="444">
        <v>1699</v>
      </c>
    </row>
    <row r="1700" spans="1:32" ht="12">
      <c r="A1700" s="83" t="s">
        <v>21101</v>
      </c>
      <c r="B1700" s="64" t="s">
        <v>21102</v>
      </c>
      <c r="C1700" s="71" t="s">
        <v>103</v>
      </c>
      <c r="D1700" s="79">
        <v>1</v>
      </c>
      <c r="E1700" s="79">
        <v>219.96</v>
      </c>
      <c r="F1700" s="79">
        <v>219.96</v>
      </c>
      <c r="G1700" s="445"/>
      <c r="H1700" s="178">
        <v>219.95</v>
      </c>
      <c r="I1700" s="178">
        <v>270.54000000000002</v>
      </c>
      <c r="J1700" s="70">
        <v>-50.580000000000013</v>
      </c>
      <c r="K1700" s="320"/>
      <c r="L1700" s="178">
        <v>125.61</v>
      </c>
      <c r="M1700" s="178">
        <v>94.350000000000009</v>
      </c>
      <c r="N1700" s="179">
        <v>0</v>
      </c>
      <c r="O1700" s="178">
        <v>219.96</v>
      </c>
      <c r="P1700" s="453"/>
      <c r="Q1700" s="61"/>
      <c r="R1700" s="298"/>
      <c r="S1700" s="669"/>
      <c r="X1700" s="444">
        <v>1700</v>
      </c>
    </row>
    <row r="1701" spans="1:32" ht="12">
      <c r="A1701" s="83" t="s">
        <v>21103</v>
      </c>
      <c r="B1701" s="64" t="s">
        <v>21104</v>
      </c>
      <c r="C1701" s="71" t="s">
        <v>103</v>
      </c>
      <c r="D1701" s="79">
        <v>1</v>
      </c>
      <c r="E1701" s="79">
        <v>301.74</v>
      </c>
      <c r="F1701" s="79">
        <v>301.74</v>
      </c>
      <c r="G1701" s="445"/>
      <c r="H1701" s="178">
        <v>301.74</v>
      </c>
      <c r="I1701" s="178">
        <v>371.14</v>
      </c>
      <c r="J1701" s="70">
        <v>-69.399999999999977</v>
      </c>
      <c r="K1701" s="320"/>
      <c r="L1701" s="178">
        <v>185.68</v>
      </c>
      <c r="M1701" s="178">
        <v>116.06</v>
      </c>
      <c r="N1701" s="179">
        <v>0</v>
      </c>
      <c r="O1701" s="178">
        <v>301.74</v>
      </c>
      <c r="P1701" s="453"/>
      <c r="Q1701" s="61"/>
      <c r="R1701" s="298"/>
      <c r="S1701" s="669"/>
      <c r="X1701" s="444">
        <v>1701</v>
      </c>
    </row>
    <row r="1702" spans="1:32" ht="12">
      <c r="A1702" s="83" t="s">
        <v>21105</v>
      </c>
      <c r="B1702" s="64" t="s">
        <v>21106</v>
      </c>
      <c r="C1702" s="71" t="s">
        <v>103</v>
      </c>
      <c r="D1702" s="79">
        <v>1</v>
      </c>
      <c r="E1702" s="79">
        <v>311.77999999999997</v>
      </c>
      <c r="F1702" s="79">
        <v>311.77999999999997</v>
      </c>
      <c r="G1702" s="445"/>
      <c r="H1702" s="178">
        <v>311.77999999999997</v>
      </c>
      <c r="I1702" s="178">
        <v>383.49</v>
      </c>
      <c r="J1702" s="70">
        <v>-71.710000000000036</v>
      </c>
      <c r="K1702" s="320"/>
      <c r="L1702" s="178">
        <v>185.68</v>
      </c>
      <c r="M1702" s="178">
        <v>126.09999999999997</v>
      </c>
      <c r="N1702" s="179">
        <v>0</v>
      </c>
      <c r="O1702" s="178">
        <v>311.77999999999997</v>
      </c>
      <c r="P1702" s="453"/>
      <c r="Q1702" s="61"/>
      <c r="R1702" s="298"/>
      <c r="S1702" s="669"/>
      <c r="X1702" s="444">
        <v>1702</v>
      </c>
    </row>
    <row r="1703" spans="1:32" ht="24">
      <c r="A1703" s="83" t="s">
        <v>21107</v>
      </c>
      <c r="B1703" s="64" t="s">
        <v>39768</v>
      </c>
      <c r="C1703" s="71" t="s">
        <v>103</v>
      </c>
      <c r="D1703" s="79">
        <v>1</v>
      </c>
      <c r="E1703" s="79">
        <v>256.96000000000004</v>
      </c>
      <c r="F1703" s="79">
        <v>256.95999999999998</v>
      </c>
      <c r="G1703" s="445"/>
      <c r="H1703" s="178">
        <v>256.95</v>
      </c>
      <c r="I1703" s="178">
        <v>316.05</v>
      </c>
      <c r="J1703" s="70">
        <v>-59.089999999999975</v>
      </c>
      <c r="K1703" s="320"/>
      <c r="L1703" s="178">
        <v>125.61</v>
      </c>
      <c r="M1703" s="178">
        <v>131.35000000000002</v>
      </c>
      <c r="N1703" s="179">
        <v>0</v>
      </c>
      <c r="O1703" s="178">
        <v>256.96000000000004</v>
      </c>
      <c r="P1703" s="453"/>
      <c r="Q1703" s="61"/>
      <c r="R1703" s="298"/>
      <c r="S1703" s="669"/>
      <c r="X1703" s="444">
        <v>1703</v>
      </c>
    </row>
    <row r="1704" spans="1:32" ht="12">
      <c r="A1704" s="83" t="s">
        <v>21108</v>
      </c>
      <c r="B1704" s="64" t="s">
        <v>21109</v>
      </c>
      <c r="C1704" s="71" t="s">
        <v>103</v>
      </c>
      <c r="D1704" s="79">
        <v>1</v>
      </c>
      <c r="E1704" s="79">
        <v>366.48</v>
      </c>
      <c r="F1704" s="79">
        <v>366.48</v>
      </c>
      <c r="G1704" s="445"/>
      <c r="H1704" s="178">
        <v>366.48</v>
      </c>
      <c r="I1704" s="178">
        <v>450.77</v>
      </c>
      <c r="J1704" s="70">
        <v>-84.289999999999964</v>
      </c>
      <c r="K1704" s="320"/>
      <c r="L1704" s="178">
        <v>185.68</v>
      </c>
      <c r="M1704" s="178">
        <v>180.8</v>
      </c>
      <c r="N1704" s="179">
        <v>0</v>
      </c>
      <c r="O1704" s="178">
        <v>366.48</v>
      </c>
      <c r="P1704" s="453"/>
      <c r="Q1704" s="61"/>
      <c r="R1704" s="298"/>
      <c r="S1704" s="669"/>
      <c r="X1704" s="444">
        <v>1704</v>
      </c>
    </row>
    <row r="1705" spans="1:32" ht="12">
      <c r="A1705" s="83" t="s">
        <v>21110</v>
      </c>
      <c r="B1705" s="64" t="s">
        <v>21111</v>
      </c>
      <c r="C1705" s="71" t="s">
        <v>103</v>
      </c>
      <c r="D1705" s="79">
        <v>1</v>
      </c>
      <c r="E1705" s="79">
        <v>296.67</v>
      </c>
      <c r="F1705" s="79">
        <v>296.67</v>
      </c>
      <c r="G1705" s="445"/>
      <c r="H1705" s="178">
        <v>296.67</v>
      </c>
      <c r="I1705" s="178">
        <v>364.9</v>
      </c>
      <c r="J1705" s="70">
        <v>-68.229999999999961</v>
      </c>
      <c r="K1705" s="320"/>
      <c r="L1705" s="178">
        <v>185.68</v>
      </c>
      <c r="M1705" s="178">
        <v>110.99000000000001</v>
      </c>
      <c r="N1705" s="179">
        <v>0</v>
      </c>
      <c r="O1705" s="178">
        <v>296.67</v>
      </c>
      <c r="P1705" s="453"/>
      <c r="Q1705" s="61"/>
      <c r="R1705" s="298"/>
      <c r="S1705" s="669"/>
      <c r="X1705" s="444">
        <v>1705</v>
      </c>
    </row>
    <row r="1706" spans="1:32" ht="12">
      <c r="A1706" s="83" t="s">
        <v>21112</v>
      </c>
      <c r="B1706" s="64" t="s">
        <v>21113</v>
      </c>
      <c r="C1706" s="71" t="s">
        <v>103</v>
      </c>
      <c r="D1706" s="79">
        <v>1</v>
      </c>
      <c r="E1706" s="79">
        <v>355.68</v>
      </c>
      <c r="F1706" s="79">
        <v>355.68</v>
      </c>
      <c r="G1706" s="445"/>
      <c r="H1706" s="178">
        <v>355.67</v>
      </c>
      <c r="I1706" s="178">
        <v>437.48</v>
      </c>
      <c r="J1706" s="70">
        <v>-81.800000000000011</v>
      </c>
      <c r="K1706" s="320"/>
      <c r="L1706" s="178">
        <v>185.68</v>
      </c>
      <c r="M1706" s="178">
        <v>170</v>
      </c>
      <c r="N1706" s="179">
        <v>0</v>
      </c>
      <c r="O1706" s="178">
        <v>355.68</v>
      </c>
      <c r="P1706" s="453"/>
      <c r="Q1706" s="61"/>
      <c r="R1706" s="298"/>
      <c r="S1706" s="669"/>
      <c r="U1706" s="61"/>
      <c r="V1706" s="61"/>
      <c r="W1706" s="61"/>
      <c r="X1706" s="444">
        <v>1706</v>
      </c>
      <c r="Y1706" s="61"/>
      <c r="Z1706" s="61"/>
      <c r="AA1706" s="61"/>
      <c r="AB1706" s="61"/>
      <c r="AC1706" s="61"/>
      <c r="AD1706" s="61"/>
      <c r="AE1706" s="61"/>
      <c r="AF1706" s="61"/>
    </row>
    <row r="1707" spans="1:32" ht="24">
      <c r="A1707" s="83" t="s">
        <v>21114</v>
      </c>
      <c r="B1707" s="64" t="s">
        <v>21115</v>
      </c>
      <c r="C1707" s="71" t="s">
        <v>103</v>
      </c>
      <c r="D1707" s="79">
        <v>1</v>
      </c>
      <c r="E1707" s="79">
        <v>244.43000000000004</v>
      </c>
      <c r="F1707" s="79">
        <v>244.43</v>
      </c>
      <c r="G1707" s="445"/>
      <c r="H1707" s="178">
        <v>244.42</v>
      </c>
      <c r="I1707" s="178">
        <v>300.64</v>
      </c>
      <c r="J1707" s="70">
        <v>-56.209999999999951</v>
      </c>
      <c r="K1707" s="320"/>
      <c r="L1707" s="178">
        <v>125.61</v>
      </c>
      <c r="M1707" s="178">
        <v>118.82000000000004</v>
      </c>
      <c r="N1707" s="179">
        <v>0</v>
      </c>
      <c r="O1707" s="178">
        <v>244.43000000000004</v>
      </c>
      <c r="P1707" s="453"/>
      <c r="Q1707" s="61"/>
      <c r="R1707" s="298"/>
      <c r="S1707" s="669"/>
      <c r="X1707" s="444">
        <v>1707</v>
      </c>
    </row>
    <row r="1708" spans="1:32" ht="24">
      <c r="A1708" s="459" t="s">
        <v>21116</v>
      </c>
      <c r="B1708" s="64" t="s">
        <v>21117</v>
      </c>
      <c r="C1708" s="71" t="s">
        <v>103</v>
      </c>
      <c r="D1708" s="79">
        <v>1</v>
      </c>
      <c r="E1708" s="79">
        <v>70.78</v>
      </c>
      <c r="F1708" s="79">
        <v>70.78</v>
      </c>
      <c r="G1708" s="460"/>
      <c r="H1708" s="766">
        <v>70.78</v>
      </c>
      <c r="I1708" s="766">
        <v>87.06</v>
      </c>
      <c r="J1708" s="500">
        <v>-16.28</v>
      </c>
      <c r="K1708" s="466"/>
      <c r="L1708" s="766">
        <v>16.38</v>
      </c>
      <c r="M1708" s="766">
        <v>54.400000000000006</v>
      </c>
      <c r="N1708" s="767">
        <v>0</v>
      </c>
      <c r="O1708" s="766">
        <v>70.78</v>
      </c>
      <c r="P1708" s="446"/>
      <c r="Q1708" s="61"/>
      <c r="R1708" s="298"/>
      <c r="S1708" s="669"/>
      <c r="T1708" s="73"/>
      <c r="X1708" s="444">
        <v>1708</v>
      </c>
    </row>
    <row r="1709" spans="1:32" ht="12">
      <c r="A1709" s="83" t="s">
        <v>21118</v>
      </c>
      <c r="B1709" s="64" t="s">
        <v>21119</v>
      </c>
      <c r="C1709" s="71" t="s">
        <v>103</v>
      </c>
      <c r="D1709" s="79">
        <v>1</v>
      </c>
      <c r="E1709" s="79">
        <v>241.81</v>
      </c>
      <c r="F1709" s="79">
        <v>241.81</v>
      </c>
      <c r="G1709" s="445"/>
      <c r="H1709" s="178">
        <v>241.82</v>
      </c>
      <c r="I1709" s="178">
        <v>297.44</v>
      </c>
      <c r="J1709" s="70">
        <v>-55.629999999999995</v>
      </c>
      <c r="K1709" s="320"/>
      <c r="L1709" s="178">
        <v>138.38999999999999</v>
      </c>
      <c r="M1709" s="178">
        <v>103.42000000000002</v>
      </c>
      <c r="N1709" s="179">
        <v>0</v>
      </c>
      <c r="O1709" s="178">
        <v>241.81</v>
      </c>
      <c r="P1709" s="453"/>
      <c r="Q1709" s="61"/>
      <c r="R1709" s="298"/>
      <c r="S1709" s="669"/>
      <c r="X1709" s="444">
        <v>1709</v>
      </c>
    </row>
    <row r="1710" spans="1:32" ht="12">
      <c r="A1710" s="83" t="s">
        <v>21120</v>
      </c>
      <c r="B1710" s="64" t="s">
        <v>39769</v>
      </c>
      <c r="C1710" s="71" t="s">
        <v>103</v>
      </c>
      <c r="D1710" s="79">
        <v>1</v>
      </c>
      <c r="E1710" s="79">
        <v>287.32999999999993</v>
      </c>
      <c r="F1710" s="79">
        <v>287.33</v>
      </c>
      <c r="G1710" s="445"/>
      <c r="H1710" s="178">
        <v>287.33999999999997</v>
      </c>
      <c r="I1710" s="178">
        <v>353.43</v>
      </c>
      <c r="J1710" s="70">
        <v>-66.10000000000008</v>
      </c>
      <c r="K1710" s="320"/>
      <c r="L1710" s="178">
        <v>138.38999999999999</v>
      </c>
      <c r="M1710" s="178">
        <v>148.93999999999994</v>
      </c>
      <c r="N1710" s="179">
        <v>0</v>
      </c>
      <c r="O1710" s="178">
        <v>287.32999999999993</v>
      </c>
      <c r="P1710" s="453"/>
      <c r="Q1710" s="61"/>
      <c r="R1710" s="298"/>
      <c r="S1710" s="669"/>
      <c r="X1710" s="444">
        <v>1710</v>
      </c>
    </row>
    <row r="1711" spans="1:32" ht="12">
      <c r="A1711" s="83" t="s">
        <v>21121</v>
      </c>
      <c r="B1711" s="64" t="s">
        <v>21122</v>
      </c>
      <c r="C1711" s="71" t="s">
        <v>103</v>
      </c>
      <c r="D1711" s="79">
        <v>1</v>
      </c>
      <c r="E1711" s="79">
        <v>148.41</v>
      </c>
      <c r="F1711" s="79">
        <v>148.41</v>
      </c>
      <c r="G1711" s="445"/>
      <c r="H1711" s="178">
        <v>148.41</v>
      </c>
      <c r="I1711" s="178">
        <v>182.54</v>
      </c>
      <c r="J1711" s="70">
        <v>-34.129999999999995</v>
      </c>
      <c r="K1711" s="320"/>
      <c r="L1711" s="178">
        <v>109.22</v>
      </c>
      <c r="M1711" s="178">
        <v>39.19</v>
      </c>
      <c r="N1711" s="179">
        <v>0</v>
      </c>
      <c r="O1711" s="178">
        <v>148.41</v>
      </c>
      <c r="P1711" s="453"/>
      <c r="Q1711" s="61"/>
      <c r="R1711" s="298"/>
      <c r="S1711" s="669"/>
      <c r="X1711" s="444">
        <v>1711</v>
      </c>
    </row>
    <row r="1712" spans="1:32" ht="12">
      <c r="A1712" s="83" t="s">
        <v>21123</v>
      </c>
      <c r="B1712" s="64" t="s">
        <v>21124</v>
      </c>
      <c r="C1712" s="71" t="s">
        <v>103</v>
      </c>
      <c r="D1712" s="79">
        <v>1</v>
      </c>
      <c r="E1712" s="79">
        <v>226.03</v>
      </c>
      <c r="F1712" s="79">
        <v>226.03</v>
      </c>
      <c r="G1712" s="445"/>
      <c r="H1712" s="178">
        <v>226.02</v>
      </c>
      <c r="I1712" s="178">
        <v>278.01</v>
      </c>
      <c r="J1712" s="70">
        <v>-51.97999999999999</v>
      </c>
      <c r="K1712" s="320"/>
      <c r="L1712" s="178">
        <v>169.3</v>
      </c>
      <c r="M1712" s="178">
        <v>56.72999999999999</v>
      </c>
      <c r="N1712" s="179">
        <v>0</v>
      </c>
      <c r="O1712" s="178">
        <v>226.03</v>
      </c>
      <c r="P1712" s="453"/>
      <c r="Q1712" s="61"/>
      <c r="R1712" s="298"/>
      <c r="S1712" s="669"/>
      <c r="X1712" s="444">
        <v>1712</v>
      </c>
    </row>
    <row r="1713" spans="1:32" ht="12">
      <c r="A1713" s="83" t="s">
        <v>21125</v>
      </c>
      <c r="B1713" s="64" t="s">
        <v>21126</v>
      </c>
      <c r="C1713" s="71" t="s">
        <v>103</v>
      </c>
      <c r="D1713" s="79">
        <v>1</v>
      </c>
      <c r="E1713" s="79">
        <v>243.79000000000002</v>
      </c>
      <c r="F1713" s="79">
        <v>243.79</v>
      </c>
      <c r="G1713" s="445"/>
      <c r="H1713" s="178">
        <v>243.78</v>
      </c>
      <c r="I1713" s="178">
        <v>299.85000000000002</v>
      </c>
      <c r="J1713" s="70">
        <v>-56.06</v>
      </c>
      <c r="K1713" s="320"/>
      <c r="L1713" s="178">
        <v>169.3</v>
      </c>
      <c r="M1713" s="178">
        <v>74.490000000000009</v>
      </c>
      <c r="N1713" s="179">
        <v>0</v>
      </c>
      <c r="O1713" s="178">
        <v>243.79000000000002</v>
      </c>
      <c r="P1713" s="453"/>
      <c r="Q1713" s="61"/>
      <c r="R1713" s="298"/>
      <c r="S1713" s="669"/>
      <c r="U1713" s="61"/>
      <c r="V1713" s="61"/>
      <c r="W1713" s="61"/>
      <c r="X1713" s="444">
        <v>1713</v>
      </c>
      <c r="Y1713" s="61"/>
      <c r="Z1713" s="61"/>
      <c r="AA1713" s="61"/>
      <c r="AB1713" s="61"/>
      <c r="AC1713" s="61"/>
      <c r="AD1713" s="61"/>
      <c r="AE1713" s="61"/>
      <c r="AF1713" s="61"/>
    </row>
    <row r="1714" spans="1:32" s="61" customFormat="1" ht="12">
      <c r="A1714" s="83" t="s">
        <v>21127</v>
      </c>
      <c r="B1714" s="64" t="s">
        <v>39770</v>
      </c>
      <c r="C1714" s="71" t="s">
        <v>103</v>
      </c>
      <c r="D1714" s="79">
        <v>1</v>
      </c>
      <c r="E1714" s="79">
        <v>228.01000000000002</v>
      </c>
      <c r="F1714" s="79">
        <v>228.01</v>
      </c>
      <c r="G1714" s="445"/>
      <c r="H1714" s="178">
        <v>228</v>
      </c>
      <c r="I1714" s="178">
        <v>280.44</v>
      </c>
      <c r="J1714" s="70">
        <v>-52.429999999999978</v>
      </c>
      <c r="K1714" s="320"/>
      <c r="L1714" s="178">
        <v>169.3</v>
      </c>
      <c r="M1714" s="178">
        <v>58.710000000000008</v>
      </c>
      <c r="N1714" s="179">
        <v>0</v>
      </c>
      <c r="O1714" s="178">
        <v>228.01000000000002</v>
      </c>
      <c r="P1714" s="453"/>
      <c r="R1714" s="298"/>
      <c r="S1714" s="669"/>
      <c r="T1714" s="444"/>
      <c r="U1714" s="444"/>
      <c r="V1714" s="444"/>
      <c r="W1714" s="444"/>
      <c r="X1714" s="444">
        <v>1714</v>
      </c>
      <c r="Y1714" s="444"/>
      <c r="Z1714" s="444"/>
      <c r="AA1714" s="444"/>
      <c r="AB1714" s="444"/>
      <c r="AC1714" s="444"/>
      <c r="AD1714" s="444"/>
      <c r="AE1714" s="444"/>
      <c r="AF1714" s="444"/>
    </row>
    <row r="1715" spans="1:32" s="69" customFormat="1" ht="12">
      <c r="A1715" s="83" t="s">
        <v>21128</v>
      </c>
      <c r="B1715" s="64" t="s">
        <v>39771</v>
      </c>
      <c r="C1715" s="71" t="s">
        <v>103</v>
      </c>
      <c r="D1715" s="79">
        <v>1</v>
      </c>
      <c r="E1715" s="79">
        <v>277.02</v>
      </c>
      <c r="F1715" s="79">
        <v>277.02</v>
      </c>
      <c r="G1715" s="445"/>
      <c r="H1715" s="178">
        <v>277.02</v>
      </c>
      <c r="I1715" s="178">
        <v>340.73</v>
      </c>
      <c r="J1715" s="70">
        <v>-63.710000000000036</v>
      </c>
      <c r="K1715" s="320"/>
      <c r="L1715" s="178">
        <v>218.45</v>
      </c>
      <c r="M1715" s="178">
        <v>58.569999999999993</v>
      </c>
      <c r="N1715" s="179">
        <v>0</v>
      </c>
      <c r="O1715" s="178">
        <v>277.02</v>
      </c>
      <c r="P1715" s="453"/>
      <c r="Q1715" s="61"/>
      <c r="R1715" s="298"/>
      <c r="S1715" s="669"/>
      <c r="T1715" s="444"/>
      <c r="U1715" s="444"/>
      <c r="V1715" s="444"/>
      <c r="W1715" s="444"/>
      <c r="X1715" s="444">
        <v>1715</v>
      </c>
      <c r="Y1715" s="444"/>
      <c r="Z1715" s="444"/>
      <c r="AA1715" s="444"/>
      <c r="AB1715" s="444"/>
      <c r="AC1715" s="444"/>
      <c r="AD1715" s="444"/>
      <c r="AE1715" s="444"/>
      <c r="AF1715" s="444"/>
    </row>
    <row r="1716" spans="1:32" s="69" customFormat="1" ht="24">
      <c r="A1716" s="83" t="s">
        <v>21129</v>
      </c>
      <c r="B1716" s="64" t="s">
        <v>21130</v>
      </c>
      <c r="C1716" s="71" t="s">
        <v>103</v>
      </c>
      <c r="D1716" s="79">
        <v>1</v>
      </c>
      <c r="E1716" s="79">
        <v>193.34</v>
      </c>
      <c r="F1716" s="79">
        <v>193.34</v>
      </c>
      <c r="G1716" s="445"/>
      <c r="H1716" s="178">
        <v>193.34</v>
      </c>
      <c r="I1716" s="178">
        <v>237.81</v>
      </c>
      <c r="J1716" s="70">
        <v>-44.47</v>
      </c>
      <c r="K1716" s="320"/>
      <c r="L1716" s="178">
        <v>109.22</v>
      </c>
      <c r="M1716" s="178">
        <v>84.12</v>
      </c>
      <c r="N1716" s="179">
        <v>0</v>
      </c>
      <c r="O1716" s="178">
        <v>193.34</v>
      </c>
      <c r="P1716" s="453"/>
      <c r="Q1716" s="61"/>
      <c r="R1716" s="298"/>
      <c r="S1716" s="669"/>
      <c r="T1716" s="444"/>
      <c r="U1716" s="444"/>
      <c r="V1716" s="444"/>
      <c r="W1716" s="444"/>
      <c r="X1716" s="444">
        <v>1716</v>
      </c>
      <c r="Y1716" s="444"/>
      <c r="Z1716" s="444"/>
      <c r="AA1716" s="444"/>
      <c r="AB1716" s="444"/>
      <c r="AC1716" s="444"/>
      <c r="AD1716" s="444"/>
      <c r="AE1716" s="444"/>
      <c r="AF1716" s="444"/>
    </row>
    <row r="1717" spans="1:32" ht="24">
      <c r="A1717" s="83" t="s">
        <v>21131</v>
      </c>
      <c r="B1717" s="64" t="s">
        <v>21132</v>
      </c>
      <c r="C1717" s="71" t="s">
        <v>103</v>
      </c>
      <c r="D1717" s="79">
        <v>1</v>
      </c>
      <c r="E1717" s="79">
        <v>264.87</v>
      </c>
      <c r="F1717" s="79">
        <v>264.87</v>
      </c>
      <c r="G1717" s="445"/>
      <c r="H1717" s="178">
        <v>264.86</v>
      </c>
      <c r="I1717" s="178">
        <v>325.77999999999997</v>
      </c>
      <c r="J1717" s="70">
        <v>-60.909999999999968</v>
      </c>
      <c r="K1717" s="320"/>
      <c r="L1717" s="178">
        <v>169.3</v>
      </c>
      <c r="M1717" s="178">
        <v>95.57</v>
      </c>
      <c r="N1717" s="179">
        <v>0</v>
      </c>
      <c r="O1717" s="178">
        <v>264.87</v>
      </c>
      <c r="P1717" s="453"/>
      <c r="Q1717" s="61"/>
      <c r="R1717" s="298"/>
      <c r="S1717" s="669"/>
      <c r="X1717" s="444">
        <v>1717</v>
      </c>
    </row>
    <row r="1718" spans="1:32" ht="24">
      <c r="A1718" s="83" t="s">
        <v>21133</v>
      </c>
      <c r="B1718" s="64" t="s">
        <v>21134</v>
      </c>
      <c r="C1718" s="71" t="s">
        <v>103</v>
      </c>
      <c r="D1718" s="79">
        <v>1</v>
      </c>
      <c r="E1718" s="79">
        <v>318.15999999999997</v>
      </c>
      <c r="F1718" s="79">
        <v>318.16000000000003</v>
      </c>
      <c r="G1718" s="445"/>
      <c r="H1718" s="178">
        <v>318.14999999999998</v>
      </c>
      <c r="I1718" s="178">
        <v>391.33</v>
      </c>
      <c r="J1718" s="70">
        <v>-73.170000000000016</v>
      </c>
      <c r="K1718" s="320"/>
      <c r="L1718" s="178">
        <v>218.45</v>
      </c>
      <c r="M1718" s="178">
        <v>99.70999999999998</v>
      </c>
      <c r="N1718" s="179">
        <v>0</v>
      </c>
      <c r="O1718" s="178">
        <v>318.15999999999997</v>
      </c>
      <c r="P1718" s="453"/>
      <c r="Q1718" s="61"/>
      <c r="R1718" s="298"/>
      <c r="S1718" s="669"/>
      <c r="X1718" s="444">
        <v>1718</v>
      </c>
    </row>
    <row r="1719" spans="1:32" ht="12">
      <c r="A1719" s="83" t="s">
        <v>21135</v>
      </c>
      <c r="B1719" s="64" t="s">
        <v>39772</v>
      </c>
      <c r="C1719" s="71" t="s">
        <v>103</v>
      </c>
      <c r="D1719" s="79">
        <v>1</v>
      </c>
      <c r="E1719" s="79">
        <v>226.37</v>
      </c>
      <c r="F1719" s="79">
        <v>226.37</v>
      </c>
      <c r="G1719" s="445"/>
      <c r="H1719" s="178">
        <v>226.37</v>
      </c>
      <c r="I1719" s="178">
        <v>278.43</v>
      </c>
      <c r="J1719" s="70">
        <v>-52.06</v>
      </c>
      <c r="K1719" s="320"/>
      <c r="L1719" s="178">
        <v>169.3</v>
      </c>
      <c r="M1719" s="178">
        <v>57.069999999999993</v>
      </c>
      <c r="N1719" s="179">
        <v>0</v>
      </c>
      <c r="O1719" s="178">
        <v>226.37</v>
      </c>
      <c r="P1719" s="453"/>
      <c r="Q1719" s="61"/>
      <c r="R1719" s="298"/>
      <c r="S1719" s="669"/>
      <c r="X1719" s="444">
        <v>1719</v>
      </c>
    </row>
    <row r="1720" spans="1:32" ht="24">
      <c r="A1720" s="83" t="s">
        <v>21136</v>
      </c>
      <c r="B1720" s="64" t="s">
        <v>21137</v>
      </c>
      <c r="C1720" s="71" t="s">
        <v>103</v>
      </c>
      <c r="D1720" s="79">
        <v>1</v>
      </c>
      <c r="E1720" s="79">
        <v>287.57</v>
      </c>
      <c r="F1720" s="79">
        <v>287.57</v>
      </c>
      <c r="G1720" s="445"/>
      <c r="H1720" s="178">
        <v>287.56</v>
      </c>
      <c r="I1720" s="178">
        <v>353.7</v>
      </c>
      <c r="J1720" s="70">
        <v>-66.13</v>
      </c>
      <c r="K1720" s="320"/>
      <c r="L1720" s="178">
        <v>169.3</v>
      </c>
      <c r="M1720" s="178">
        <v>118.26999999999998</v>
      </c>
      <c r="N1720" s="179">
        <v>0</v>
      </c>
      <c r="O1720" s="178">
        <v>287.57</v>
      </c>
      <c r="P1720" s="453"/>
      <c r="Q1720" s="61"/>
      <c r="R1720" s="298"/>
      <c r="S1720" s="669"/>
      <c r="X1720" s="444">
        <v>1720</v>
      </c>
    </row>
    <row r="1721" spans="1:32" ht="24">
      <c r="A1721" s="83" t="s">
        <v>21138</v>
      </c>
      <c r="B1721" s="64" t="s">
        <v>21139</v>
      </c>
      <c r="C1721" s="71" t="s">
        <v>103</v>
      </c>
      <c r="D1721" s="79">
        <v>1</v>
      </c>
      <c r="E1721" s="79">
        <v>174.22</v>
      </c>
      <c r="F1721" s="79">
        <v>174.22</v>
      </c>
      <c r="G1721" s="445"/>
      <c r="H1721" s="178">
        <v>174.22</v>
      </c>
      <c r="I1721" s="178">
        <v>214.29</v>
      </c>
      <c r="J1721" s="70">
        <v>-40.069999999999993</v>
      </c>
      <c r="K1721" s="320"/>
      <c r="L1721" s="178">
        <v>109.22</v>
      </c>
      <c r="M1721" s="178">
        <v>65</v>
      </c>
      <c r="N1721" s="179">
        <v>0</v>
      </c>
      <c r="O1721" s="178">
        <v>174.22</v>
      </c>
      <c r="P1721" s="453"/>
      <c r="Q1721" s="61"/>
      <c r="R1721" s="298"/>
      <c r="S1721" s="669"/>
      <c r="X1721" s="444">
        <v>1721</v>
      </c>
    </row>
    <row r="1722" spans="1:32" ht="24">
      <c r="A1722" s="83" t="s">
        <v>21140</v>
      </c>
      <c r="B1722" s="64" t="s">
        <v>21141</v>
      </c>
      <c r="C1722" s="71" t="s">
        <v>103</v>
      </c>
      <c r="D1722" s="79">
        <v>1</v>
      </c>
      <c r="E1722" s="79">
        <v>166.86</v>
      </c>
      <c r="F1722" s="79">
        <v>166.86</v>
      </c>
      <c r="G1722" s="445"/>
      <c r="H1722" s="178">
        <v>166.85</v>
      </c>
      <c r="I1722" s="178">
        <v>205.22</v>
      </c>
      <c r="J1722" s="70">
        <v>-38.359999999999985</v>
      </c>
      <c r="K1722" s="320"/>
      <c r="L1722" s="178">
        <v>122.03</v>
      </c>
      <c r="M1722" s="178">
        <v>44.830000000000013</v>
      </c>
      <c r="N1722" s="179">
        <v>0</v>
      </c>
      <c r="O1722" s="178">
        <v>166.86</v>
      </c>
      <c r="P1722" s="453"/>
      <c r="Q1722" s="61"/>
      <c r="R1722" s="298"/>
      <c r="S1722" s="669"/>
      <c r="X1722" s="444">
        <v>1722</v>
      </c>
    </row>
    <row r="1723" spans="1:32" ht="24">
      <c r="A1723" s="83" t="s">
        <v>21142</v>
      </c>
      <c r="B1723" s="64" t="s">
        <v>21143</v>
      </c>
      <c r="C1723" s="71" t="s">
        <v>103</v>
      </c>
      <c r="D1723" s="79">
        <v>1</v>
      </c>
      <c r="E1723" s="79">
        <v>183.57999999999998</v>
      </c>
      <c r="F1723" s="79">
        <v>183.58</v>
      </c>
      <c r="G1723" s="445"/>
      <c r="H1723" s="178">
        <v>183.57</v>
      </c>
      <c r="I1723" s="178">
        <v>225.79</v>
      </c>
      <c r="J1723" s="70">
        <v>-42.210000000000008</v>
      </c>
      <c r="K1723" s="320"/>
      <c r="L1723" s="178">
        <v>122.03</v>
      </c>
      <c r="M1723" s="178">
        <v>61.549999999999983</v>
      </c>
      <c r="N1723" s="179">
        <v>0</v>
      </c>
      <c r="O1723" s="178">
        <v>183.57999999999998</v>
      </c>
      <c r="P1723" s="453"/>
      <c r="Q1723" s="61"/>
      <c r="R1723" s="298"/>
      <c r="S1723" s="669"/>
      <c r="X1723" s="444">
        <v>1723</v>
      </c>
    </row>
    <row r="1724" spans="1:32" ht="24">
      <c r="A1724" s="83" t="s">
        <v>21144</v>
      </c>
      <c r="B1724" s="64" t="s">
        <v>39773</v>
      </c>
      <c r="C1724" s="71" t="s">
        <v>103</v>
      </c>
      <c r="D1724" s="79">
        <v>1</v>
      </c>
      <c r="E1724" s="79">
        <v>241.21</v>
      </c>
      <c r="F1724" s="79">
        <v>241.21</v>
      </c>
      <c r="G1724" s="445"/>
      <c r="H1724" s="178">
        <v>241.19</v>
      </c>
      <c r="I1724" s="178">
        <v>296.66000000000003</v>
      </c>
      <c r="J1724" s="70">
        <v>-55.450000000000017</v>
      </c>
      <c r="K1724" s="320"/>
      <c r="L1724" s="178">
        <v>136.55000000000001</v>
      </c>
      <c r="M1724" s="178">
        <v>104.66</v>
      </c>
      <c r="N1724" s="179">
        <v>0</v>
      </c>
      <c r="O1724" s="178">
        <v>241.21</v>
      </c>
      <c r="P1724" s="453"/>
      <c r="Q1724" s="61"/>
      <c r="R1724" s="298"/>
      <c r="S1724" s="669"/>
      <c r="X1724" s="444">
        <v>1724</v>
      </c>
    </row>
    <row r="1725" spans="1:32" ht="12">
      <c r="A1725" s="83" t="s">
        <v>21145</v>
      </c>
      <c r="B1725" s="64" t="s">
        <v>21146</v>
      </c>
      <c r="C1725" s="71" t="s">
        <v>103</v>
      </c>
      <c r="D1725" s="79">
        <v>1</v>
      </c>
      <c r="E1725" s="79">
        <v>230.52</v>
      </c>
      <c r="F1725" s="79">
        <v>230.52</v>
      </c>
      <c r="G1725" s="445"/>
      <c r="H1725" s="178">
        <v>230.5</v>
      </c>
      <c r="I1725" s="178">
        <v>283.51</v>
      </c>
      <c r="J1725" s="70">
        <v>-52.989999999999981</v>
      </c>
      <c r="K1725" s="320"/>
      <c r="L1725" s="178">
        <v>191.16</v>
      </c>
      <c r="M1725" s="178">
        <v>39.360000000000014</v>
      </c>
      <c r="N1725" s="179">
        <v>0</v>
      </c>
      <c r="O1725" s="178">
        <v>230.52</v>
      </c>
      <c r="P1725" s="453"/>
      <c r="Q1725" s="61"/>
      <c r="R1725" s="298"/>
      <c r="S1725" s="669"/>
      <c r="X1725" s="444">
        <v>1725</v>
      </c>
    </row>
    <row r="1726" spans="1:32" ht="12">
      <c r="A1726" s="83" t="s">
        <v>21147</v>
      </c>
      <c r="B1726" s="64" t="s">
        <v>21148</v>
      </c>
      <c r="C1726" s="71" t="s">
        <v>103</v>
      </c>
      <c r="D1726" s="79">
        <v>1</v>
      </c>
      <c r="E1726" s="79">
        <v>359.44999999999993</v>
      </c>
      <c r="F1726" s="79">
        <v>359.45</v>
      </c>
      <c r="G1726" s="445"/>
      <c r="H1726" s="178">
        <v>359.45</v>
      </c>
      <c r="I1726" s="178">
        <v>442.12</v>
      </c>
      <c r="J1726" s="70">
        <v>-82.670000000000073</v>
      </c>
      <c r="K1726" s="320"/>
      <c r="L1726" s="178">
        <v>273.06</v>
      </c>
      <c r="M1726" s="178">
        <v>86.38999999999993</v>
      </c>
      <c r="N1726" s="179">
        <v>0</v>
      </c>
      <c r="O1726" s="178">
        <v>359.44999999999993</v>
      </c>
      <c r="P1726" s="453"/>
      <c r="Q1726" s="61"/>
      <c r="R1726" s="298"/>
      <c r="S1726" s="669"/>
      <c r="U1726" s="61"/>
      <c r="V1726" s="61"/>
      <c r="W1726" s="61"/>
      <c r="X1726" s="444">
        <v>1726</v>
      </c>
      <c r="Y1726" s="61"/>
      <c r="Z1726" s="61"/>
      <c r="AA1726" s="61"/>
      <c r="AB1726" s="61"/>
      <c r="AC1726" s="61"/>
      <c r="AD1726" s="61"/>
      <c r="AE1726" s="61"/>
      <c r="AF1726" s="61"/>
    </row>
    <row r="1727" spans="1:32" ht="12">
      <c r="A1727" s="83" t="s">
        <v>21149</v>
      </c>
      <c r="B1727" s="64" t="s">
        <v>21150</v>
      </c>
      <c r="C1727" s="71" t="s">
        <v>103</v>
      </c>
      <c r="D1727" s="79">
        <v>1</v>
      </c>
      <c r="E1727" s="79">
        <v>496.75</v>
      </c>
      <c r="F1727" s="79">
        <v>496.75</v>
      </c>
      <c r="G1727" s="445"/>
      <c r="H1727" s="178">
        <v>496.75</v>
      </c>
      <c r="I1727" s="178">
        <v>611</v>
      </c>
      <c r="J1727" s="70">
        <v>-114.25</v>
      </c>
      <c r="K1727" s="320"/>
      <c r="L1727" s="178">
        <v>273.06</v>
      </c>
      <c r="M1727" s="178">
        <v>223.69</v>
      </c>
      <c r="N1727" s="179">
        <v>0</v>
      </c>
      <c r="O1727" s="178">
        <v>496.75</v>
      </c>
      <c r="P1727" s="453"/>
      <c r="Q1727" s="61"/>
      <c r="R1727" s="298"/>
      <c r="S1727" s="669"/>
      <c r="U1727" s="61"/>
      <c r="V1727" s="61"/>
      <c r="W1727" s="61"/>
      <c r="X1727" s="444">
        <v>1727</v>
      </c>
      <c r="Y1727" s="61"/>
      <c r="Z1727" s="61"/>
      <c r="AA1727" s="61"/>
      <c r="AB1727" s="61"/>
      <c r="AC1727" s="61"/>
      <c r="AD1727" s="61"/>
      <c r="AE1727" s="61"/>
      <c r="AF1727" s="61"/>
    </row>
    <row r="1728" spans="1:32" ht="12">
      <c r="A1728" s="83" t="s">
        <v>21151</v>
      </c>
      <c r="B1728" s="64" t="s">
        <v>21152</v>
      </c>
      <c r="C1728" s="71" t="s">
        <v>103</v>
      </c>
      <c r="D1728" s="79">
        <v>1</v>
      </c>
      <c r="E1728" s="79">
        <v>377.42</v>
      </c>
      <c r="F1728" s="79">
        <v>377.42</v>
      </c>
      <c r="G1728" s="445"/>
      <c r="H1728" s="178">
        <v>377.4</v>
      </c>
      <c r="I1728" s="178">
        <v>464.2</v>
      </c>
      <c r="J1728" s="70">
        <v>-86.779999999999973</v>
      </c>
      <c r="K1728" s="320"/>
      <c r="L1728" s="178">
        <v>136.55000000000001</v>
      </c>
      <c r="M1728" s="178">
        <v>240.87</v>
      </c>
      <c r="N1728" s="179">
        <v>0</v>
      </c>
      <c r="O1728" s="178">
        <v>377.42</v>
      </c>
      <c r="P1728" s="453"/>
      <c r="Q1728" s="61"/>
      <c r="R1728" s="298"/>
      <c r="S1728" s="669"/>
      <c r="X1728" s="444">
        <v>1728</v>
      </c>
    </row>
    <row r="1729" spans="1:32" ht="24">
      <c r="A1729" s="83" t="s">
        <v>21153</v>
      </c>
      <c r="B1729" s="64" t="s">
        <v>29644</v>
      </c>
      <c r="C1729" s="71" t="s">
        <v>103</v>
      </c>
      <c r="D1729" s="79">
        <v>1</v>
      </c>
      <c r="E1729" s="79">
        <v>175.91000000000003</v>
      </c>
      <c r="F1729" s="79">
        <v>175.91</v>
      </c>
      <c r="G1729" s="445"/>
      <c r="H1729" s="178">
        <v>175.89</v>
      </c>
      <c r="I1729" s="178">
        <v>216.34</v>
      </c>
      <c r="J1729" s="70">
        <v>-40.429999999999978</v>
      </c>
      <c r="K1729" s="320"/>
      <c r="L1729" s="178">
        <v>136.55000000000001</v>
      </c>
      <c r="M1729" s="178">
        <v>39.360000000000014</v>
      </c>
      <c r="N1729" s="179">
        <v>0</v>
      </c>
      <c r="O1729" s="178">
        <v>175.91000000000003</v>
      </c>
      <c r="P1729" s="453"/>
      <c r="Q1729" s="61"/>
      <c r="R1729" s="298"/>
      <c r="S1729" s="669"/>
      <c r="X1729" s="444">
        <v>1729</v>
      </c>
    </row>
    <row r="1730" spans="1:32" ht="12">
      <c r="A1730" s="83" t="s">
        <v>21154</v>
      </c>
      <c r="B1730" s="64" t="s">
        <v>21155</v>
      </c>
      <c r="C1730" s="71" t="s">
        <v>103</v>
      </c>
      <c r="D1730" s="79">
        <v>1</v>
      </c>
      <c r="E1730" s="79">
        <v>164.22</v>
      </c>
      <c r="F1730" s="79">
        <v>164.22</v>
      </c>
      <c r="G1730" s="445"/>
      <c r="H1730" s="178">
        <v>164.22</v>
      </c>
      <c r="I1730" s="178">
        <v>201.99</v>
      </c>
      <c r="J1730" s="70">
        <v>-37.77000000000001</v>
      </c>
      <c r="K1730" s="320"/>
      <c r="L1730" s="178">
        <v>109.22</v>
      </c>
      <c r="M1730" s="178">
        <v>55</v>
      </c>
      <c r="N1730" s="179">
        <v>0</v>
      </c>
      <c r="O1730" s="178">
        <v>164.22</v>
      </c>
      <c r="P1730" s="453"/>
      <c r="Q1730" s="61"/>
      <c r="R1730" s="298"/>
      <c r="S1730" s="669"/>
      <c r="X1730" s="444">
        <v>1730</v>
      </c>
    </row>
    <row r="1731" spans="1:32" s="61" customFormat="1" ht="12">
      <c r="A1731" s="83" t="s">
        <v>21156</v>
      </c>
      <c r="B1731" s="64" t="s">
        <v>21157</v>
      </c>
      <c r="C1731" s="71" t="s">
        <v>103</v>
      </c>
      <c r="D1731" s="79">
        <v>1</v>
      </c>
      <c r="E1731" s="79">
        <v>241.84</v>
      </c>
      <c r="F1731" s="79">
        <v>241.84</v>
      </c>
      <c r="G1731" s="445"/>
      <c r="H1731" s="178">
        <v>241.83</v>
      </c>
      <c r="I1731" s="178">
        <v>297.45</v>
      </c>
      <c r="J1731" s="70">
        <v>-55.609999999999985</v>
      </c>
      <c r="K1731" s="320"/>
      <c r="L1731" s="178">
        <v>169.3</v>
      </c>
      <c r="M1731" s="178">
        <v>72.539999999999992</v>
      </c>
      <c r="N1731" s="179">
        <v>0</v>
      </c>
      <c r="O1731" s="178">
        <v>241.84</v>
      </c>
      <c r="P1731" s="453"/>
      <c r="R1731" s="298"/>
      <c r="S1731" s="669"/>
      <c r="T1731" s="444"/>
      <c r="U1731" s="444"/>
      <c r="V1731" s="444"/>
      <c r="W1731" s="444"/>
      <c r="X1731" s="444">
        <v>1731</v>
      </c>
      <c r="Y1731" s="444"/>
      <c r="Z1731" s="444"/>
      <c r="AA1731" s="444"/>
      <c r="AB1731" s="444"/>
      <c r="AC1731" s="444"/>
      <c r="AD1731" s="444"/>
      <c r="AE1731" s="444"/>
      <c r="AF1731" s="444"/>
    </row>
    <row r="1732" spans="1:32" ht="12">
      <c r="A1732" s="83" t="s">
        <v>21158</v>
      </c>
      <c r="B1732" s="64" t="s">
        <v>21159</v>
      </c>
      <c r="C1732" s="71" t="s">
        <v>103</v>
      </c>
      <c r="D1732" s="79">
        <v>1</v>
      </c>
      <c r="E1732" s="79">
        <v>259.60000000000002</v>
      </c>
      <c r="F1732" s="79">
        <v>259.60000000000002</v>
      </c>
      <c r="G1732" s="445"/>
      <c r="H1732" s="178">
        <v>259.58999999999997</v>
      </c>
      <c r="I1732" s="178">
        <v>319.3</v>
      </c>
      <c r="J1732" s="70">
        <v>-59.699999999999989</v>
      </c>
      <c r="K1732" s="320"/>
      <c r="L1732" s="178">
        <v>169.3</v>
      </c>
      <c r="M1732" s="178">
        <v>90.300000000000011</v>
      </c>
      <c r="N1732" s="179">
        <v>0</v>
      </c>
      <c r="O1732" s="178">
        <v>259.60000000000002</v>
      </c>
      <c r="P1732" s="453"/>
      <c r="Q1732" s="61"/>
      <c r="R1732" s="298"/>
      <c r="S1732" s="669"/>
      <c r="X1732" s="444">
        <v>1732</v>
      </c>
    </row>
    <row r="1733" spans="1:32" ht="12">
      <c r="A1733" s="83" t="s">
        <v>21160</v>
      </c>
      <c r="B1733" s="64" t="s">
        <v>21161</v>
      </c>
      <c r="C1733" s="71" t="s">
        <v>103</v>
      </c>
      <c r="D1733" s="79">
        <v>1</v>
      </c>
      <c r="E1733" s="79">
        <v>243.82000000000002</v>
      </c>
      <c r="F1733" s="79">
        <v>243.82</v>
      </c>
      <c r="G1733" s="445"/>
      <c r="H1733" s="178">
        <v>243.81</v>
      </c>
      <c r="I1733" s="178">
        <v>299.89</v>
      </c>
      <c r="J1733" s="70">
        <v>-56.069999999999965</v>
      </c>
      <c r="K1733" s="320"/>
      <c r="L1733" s="178">
        <v>169.3</v>
      </c>
      <c r="M1733" s="178">
        <v>74.52000000000001</v>
      </c>
      <c r="N1733" s="179">
        <v>0</v>
      </c>
      <c r="O1733" s="178">
        <v>243.82000000000002</v>
      </c>
      <c r="P1733" s="453"/>
      <c r="Q1733" s="61"/>
      <c r="R1733" s="298"/>
      <c r="S1733" s="669"/>
      <c r="X1733" s="444">
        <v>1733</v>
      </c>
    </row>
    <row r="1734" spans="1:32" ht="12">
      <c r="A1734" s="83" t="s">
        <v>21162</v>
      </c>
      <c r="B1734" s="64" t="s">
        <v>21163</v>
      </c>
      <c r="C1734" s="71" t="s">
        <v>103</v>
      </c>
      <c r="D1734" s="79">
        <v>1</v>
      </c>
      <c r="E1734" s="79">
        <v>306.72999999999996</v>
      </c>
      <c r="F1734" s="79">
        <v>306.73</v>
      </c>
      <c r="G1734" s="445"/>
      <c r="H1734" s="178">
        <v>306.72000000000003</v>
      </c>
      <c r="I1734" s="178">
        <v>377.27</v>
      </c>
      <c r="J1734" s="70">
        <v>-70.54000000000002</v>
      </c>
      <c r="K1734" s="320"/>
      <c r="L1734" s="178">
        <v>218.45</v>
      </c>
      <c r="M1734" s="178">
        <v>88.279999999999973</v>
      </c>
      <c r="N1734" s="179">
        <v>0</v>
      </c>
      <c r="O1734" s="178">
        <v>306.72999999999996</v>
      </c>
      <c r="P1734" s="453"/>
      <c r="Q1734" s="61"/>
      <c r="R1734" s="298"/>
      <c r="S1734" s="669"/>
      <c r="X1734" s="444">
        <v>1734</v>
      </c>
    </row>
    <row r="1735" spans="1:32" ht="24">
      <c r="A1735" s="63" t="s">
        <v>21164</v>
      </c>
      <c r="B1735" s="146" t="s">
        <v>39774</v>
      </c>
      <c r="C1735" s="134" t="s">
        <v>103</v>
      </c>
      <c r="D1735" s="79">
        <v>1</v>
      </c>
      <c r="E1735" s="79">
        <v>893.43</v>
      </c>
      <c r="F1735" s="79">
        <v>893.43</v>
      </c>
      <c r="G1735" s="320"/>
      <c r="H1735" s="178">
        <v>893.42</v>
      </c>
      <c r="I1735" s="178">
        <v>1098.9100000000001</v>
      </c>
      <c r="J1735" s="70">
        <v>-205.48000000000013</v>
      </c>
      <c r="K1735" s="320"/>
      <c r="L1735" s="178">
        <v>116.91</v>
      </c>
      <c r="M1735" s="178">
        <v>776.52</v>
      </c>
      <c r="N1735" s="179">
        <v>0</v>
      </c>
      <c r="O1735" s="178">
        <v>893.43</v>
      </c>
      <c r="P1735" s="453"/>
      <c r="Q1735" s="61"/>
      <c r="R1735" s="298"/>
      <c r="S1735" s="669"/>
      <c r="X1735" s="444">
        <v>1735</v>
      </c>
    </row>
    <row r="1736" spans="1:32" ht="12">
      <c r="A1736" s="83" t="s">
        <v>21165</v>
      </c>
      <c r="B1736" s="64" t="s">
        <v>21166</v>
      </c>
      <c r="C1736" s="71" t="s">
        <v>103</v>
      </c>
      <c r="D1736" s="79">
        <v>1</v>
      </c>
      <c r="E1736" s="79">
        <v>209.15</v>
      </c>
      <c r="F1736" s="79">
        <v>209.15</v>
      </c>
      <c r="G1736" s="445"/>
      <c r="H1736" s="178">
        <v>209.15</v>
      </c>
      <c r="I1736" s="178">
        <v>257.25</v>
      </c>
      <c r="J1736" s="70">
        <v>-48.099999999999994</v>
      </c>
      <c r="K1736" s="320"/>
      <c r="L1736" s="178">
        <v>109.22</v>
      </c>
      <c r="M1736" s="178">
        <v>99.93</v>
      </c>
      <c r="N1736" s="179">
        <v>0</v>
      </c>
      <c r="O1736" s="178">
        <v>209.15</v>
      </c>
      <c r="P1736" s="453"/>
      <c r="Q1736" s="61"/>
      <c r="R1736" s="298"/>
      <c r="S1736" s="669"/>
      <c r="X1736" s="444">
        <v>1736</v>
      </c>
    </row>
    <row r="1737" spans="1:32" ht="12">
      <c r="A1737" s="83" t="s">
        <v>21167</v>
      </c>
      <c r="B1737" s="64" t="s">
        <v>21168</v>
      </c>
      <c r="C1737" s="71" t="s">
        <v>103</v>
      </c>
      <c r="D1737" s="79">
        <v>1</v>
      </c>
      <c r="E1737" s="79">
        <v>311.01</v>
      </c>
      <c r="F1737" s="79">
        <v>311.01</v>
      </c>
      <c r="G1737" s="445"/>
      <c r="H1737" s="178">
        <v>311</v>
      </c>
      <c r="I1737" s="178">
        <v>382.53</v>
      </c>
      <c r="J1737" s="70">
        <v>-71.519999999999982</v>
      </c>
      <c r="K1737" s="320"/>
      <c r="L1737" s="178">
        <v>169.3</v>
      </c>
      <c r="M1737" s="178">
        <v>141.70999999999998</v>
      </c>
      <c r="N1737" s="179">
        <v>0</v>
      </c>
      <c r="O1737" s="178">
        <v>311.01</v>
      </c>
      <c r="P1737" s="453"/>
      <c r="Q1737" s="61"/>
      <c r="R1737" s="298"/>
      <c r="S1737" s="669"/>
      <c r="X1737" s="444">
        <v>1737</v>
      </c>
    </row>
    <row r="1738" spans="1:32" s="61" customFormat="1" ht="12">
      <c r="A1738" s="83" t="s">
        <v>21169</v>
      </c>
      <c r="B1738" s="64" t="s">
        <v>21170</v>
      </c>
      <c r="C1738" s="71" t="s">
        <v>103</v>
      </c>
      <c r="D1738" s="79">
        <v>1</v>
      </c>
      <c r="E1738" s="79">
        <v>333.96999999999997</v>
      </c>
      <c r="F1738" s="79">
        <v>333.97</v>
      </c>
      <c r="G1738" s="445"/>
      <c r="H1738" s="178">
        <v>333.97</v>
      </c>
      <c r="I1738" s="178">
        <v>410.78</v>
      </c>
      <c r="J1738" s="70">
        <v>-76.81</v>
      </c>
      <c r="K1738" s="320"/>
      <c r="L1738" s="178">
        <v>218.45</v>
      </c>
      <c r="M1738" s="178">
        <v>115.51999999999998</v>
      </c>
      <c r="N1738" s="179">
        <v>0</v>
      </c>
      <c r="O1738" s="178">
        <v>333.96999999999997</v>
      </c>
      <c r="P1738" s="453"/>
      <c r="R1738" s="298"/>
      <c r="S1738" s="669"/>
      <c r="T1738" s="444"/>
      <c r="U1738" s="444"/>
      <c r="V1738" s="444"/>
      <c r="W1738" s="444"/>
      <c r="X1738" s="444">
        <v>1738</v>
      </c>
      <c r="Y1738" s="444"/>
      <c r="Z1738" s="444"/>
      <c r="AA1738" s="444"/>
      <c r="AB1738" s="444"/>
      <c r="AC1738" s="444"/>
      <c r="AD1738" s="444"/>
      <c r="AE1738" s="444"/>
      <c r="AF1738" s="444"/>
    </row>
    <row r="1739" spans="1:32" ht="12">
      <c r="A1739" s="83" t="s">
        <v>21171</v>
      </c>
      <c r="B1739" s="64" t="s">
        <v>21172</v>
      </c>
      <c r="C1739" s="71" t="s">
        <v>103</v>
      </c>
      <c r="D1739" s="79">
        <v>1</v>
      </c>
      <c r="E1739" s="79">
        <v>242.18</v>
      </c>
      <c r="F1739" s="79">
        <v>242.18</v>
      </c>
      <c r="G1739" s="445"/>
      <c r="H1739" s="178">
        <v>242.17</v>
      </c>
      <c r="I1739" s="178">
        <v>297.87</v>
      </c>
      <c r="J1739" s="70">
        <v>-55.69</v>
      </c>
      <c r="K1739" s="320"/>
      <c r="L1739" s="178">
        <v>169.3</v>
      </c>
      <c r="M1739" s="178">
        <v>72.88</v>
      </c>
      <c r="N1739" s="179">
        <v>0</v>
      </c>
      <c r="O1739" s="178">
        <v>242.18</v>
      </c>
      <c r="P1739" s="453"/>
      <c r="Q1739" s="61"/>
      <c r="R1739" s="298"/>
      <c r="S1739" s="669"/>
      <c r="X1739" s="444">
        <v>1739</v>
      </c>
    </row>
    <row r="1740" spans="1:32" ht="12">
      <c r="A1740" s="83" t="s">
        <v>21173</v>
      </c>
      <c r="B1740" s="64" t="s">
        <v>21174</v>
      </c>
      <c r="C1740" s="71" t="s">
        <v>103</v>
      </c>
      <c r="D1740" s="79">
        <v>1</v>
      </c>
      <c r="E1740" s="79">
        <v>303.38</v>
      </c>
      <c r="F1740" s="79">
        <v>303.38</v>
      </c>
      <c r="G1740" s="445"/>
      <c r="H1740" s="178">
        <v>303.37</v>
      </c>
      <c r="I1740" s="178">
        <v>373.15</v>
      </c>
      <c r="J1740" s="70">
        <v>-69.769999999999982</v>
      </c>
      <c r="K1740" s="320"/>
      <c r="L1740" s="178">
        <v>169.3</v>
      </c>
      <c r="M1740" s="178">
        <v>134.07999999999998</v>
      </c>
      <c r="N1740" s="179">
        <v>0</v>
      </c>
      <c r="O1740" s="178">
        <v>303.38</v>
      </c>
      <c r="P1740" s="453"/>
      <c r="Q1740" s="61"/>
      <c r="R1740" s="298"/>
      <c r="S1740" s="669"/>
      <c r="X1740" s="444">
        <v>1740</v>
      </c>
    </row>
    <row r="1741" spans="1:32" ht="24">
      <c r="A1741" s="83" t="s">
        <v>21175</v>
      </c>
      <c r="B1741" s="64" t="s">
        <v>21176</v>
      </c>
      <c r="C1741" s="71" t="s">
        <v>103</v>
      </c>
      <c r="D1741" s="79">
        <v>1</v>
      </c>
      <c r="E1741" s="79">
        <v>190.03</v>
      </c>
      <c r="F1741" s="79">
        <v>190.03</v>
      </c>
      <c r="G1741" s="445"/>
      <c r="H1741" s="178">
        <v>190.03</v>
      </c>
      <c r="I1741" s="178">
        <v>233.74</v>
      </c>
      <c r="J1741" s="70">
        <v>-43.710000000000008</v>
      </c>
      <c r="K1741" s="320"/>
      <c r="L1741" s="178">
        <v>109.22</v>
      </c>
      <c r="M1741" s="178">
        <v>80.81</v>
      </c>
      <c r="N1741" s="179">
        <v>0</v>
      </c>
      <c r="O1741" s="178">
        <v>190.03</v>
      </c>
      <c r="P1741" s="453"/>
      <c r="Q1741" s="61"/>
      <c r="R1741" s="298"/>
      <c r="S1741" s="669"/>
      <c r="X1741" s="444">
        <v>1741</v>
      </c>
    </row>
    <row r="1742" spans="1:32" ht="24">
      <c r="A1742" s="63" t="s">
        <v>21177</v>
      </c>
      <c r="B1742" s="146" t="s">
        <v>39775</v>
      </c>
      <c r="C1742" s="134" t="s">
        <v>103</v>
      </c>
      <c r="D1742" s="79">
        <v>1</v>
      </c>
      <c r="E1742" s="79">
        <v>909.24</v>
      </c>
      <c r="F1742" s="79">
        <v>909.24</v>
      </c>
      <c r="G1742" s="320"/>
      <c r="H1742" s="178">
        <v>909.23</v>
      </c>
      <c r="I1742" s="178">
        <v>1118.3499999999999</v>
      </c>
      <c r="J1742" s="70">
        <v>-209.1099999999999</v>
      </c>
      <c r="K1742" s="320"/>
      <c r="L1742" s="178">
        <v>116.91</v>
      </c>
      <c r="M1742" s="178">
        <v>792.33</v>
      </c>
      <c r="N1742" s="179">
        <v>0</v>
      </c>
      <c r="O1742" s="178">
        <v>909.24</v>
      </c>
      <c r="P1742" s="453"/>
      <c r="Q1742" s="61"/>
      <c r="R1742" s="298"/>
      <c r="S1742" s="669"/>
      <c r="U1742" s="73"/>
      <c r="V1742" s="73"/>
      <c r="W1742" s="73"/>
      <c r="X1742" s="444">
        <v>1742</v>
      </c>
      <c r="Y1742" s="73"/>
      <c r="Z1742" s="73"/>
      <c r="AA1742" s="73"/>
      <c r="AB1742" s="73"/>
      <c r="AC1742" s="73"/>
      <c r="AD1742" s="73"/>
      <c r="AE1742" s="73"/>
      <c r="AF1742" s="73"/>
    </row>
    <row r="1743" spans="1:32" ht="12">
      <c r="A1743" s="83" t="s">
        <v>21178</v>
      </c>
      <c r="B1743" s="64" t="s">
        <v>21179</v>
      </c>
      <c r="C1743" s="71" t="s">
        <v>103</v>
      </c>
      <c r="D1743" s="79">
        <v>1</v>
      </c>
      <c r="E1743" s="79">
        <v>182.67000000000002</v>
      </c>
      <c r="F1743" s="79">
        <v>182.67</v>
      </c>
      <c r="G1743" s="445"/>
      <c r="H1743" s="178">
        <v>182.66</v>
      </c>
      <c r="I1743" s="178">
        <v>224.67</v>
      </c>
      <c r="J1743" s="70">
        <v>-41.999999999999972</v>
      </c>
      <c r="K1743" s="320"/>
      <c r="L1743" s="178">
        <v>122.03</v>
      </c>
      <c r="M1743" s="178">
        <v>60.640000000000015</v>
      </c>
      <c r="N1743" s="179">
        <v>0</v>
      </c>
      <c r="O1743" s="178">
        <v>182.67000000000002</v>
      </c>
      <c r="P1743" s="453"/>
      <c r="Q1743" s="61"/>
      <c r="R1743" s="298"/>
      <c r="S1743" s="669"/>
      <c r="X1743" s="444">
        <v>1743</v>
      </c>
    </row>
    <row r="1744" spans="1:32" ht="12">
      <c r="A1744" s="83" t="s">
        <v>21180</v>
      </c>
      <c r="B1744" s="64" t="s">
        <v>21181</v>
      </c>
      <c r="C1744" s="71" t="s">
        <v>103</v>
      </c>
      <c r="D1744" s="79">
        <v>1</v>
      </c>
      <c r="E1744" s="79">
        <v>242.5</v>
      </c>
      <c r="F1744" s="79">
        <v>242.5</v>
      </c>
      <c r="G1744" s="445"/>
      <c r="H1744" s="178">
        <v>242.49</v>
      </c>
      <c r="I1744" s="178">
        <v>298.26</v>
      </c>
      <c r="J1744" s="70">
        <v>-55.759999999999991</v>
      </c>
      <c r="K1744" s="320"/>
      <c r="L1744" s="178">
        <v>122.03</v>
      </c>
      <c r="M1744" s="178">
        <v>120.47</v>
      </c>
      <c r="N1744" s="179">
        <v>0</v>
      </c>
      <c r="O1744" s="178">
        <v>242.5</v>
      </c>
      <c r="P1744" s="453"/>
      <c r="Q1744" s="61"/>
      <c r="R1744" s="298"/>
      <c r="S1744" s="669"/>
      <c r="X1744" s="444">
        <v>1744</v>
      </c>
    </row>
    <row r="1745" spans="1:32" ht="12">
      <c r="A1745" s="83" t="s">
        <v>21182</v>
      </c>
      <c r="B1745" s="64" t="s">
        <v>21183</v>
      </c>
      <c r="C1745" s="71" t="s">
        <v>103</v>
      </c>
      <c r="D1745" s="79">
        <v>1</v>
      </c>
      <c r="E1745" s="79">
        <v>142.63</v>
      </c>
      <c r="F1745" s="79">
        <v>142.63</v>
      </c>
      <c r="G1745" s="445"/>
      <c r="H1745" s="178">
        <v>142.63</v>
      </c>
      <c r="I1745" s="178">
        <v>175.43</v>
      </c>
      <c r="J1745" s="70">
        <v>-32.800000000000011</v>
      </c>
      <c r="K1745" s="320"/>
      <c r="L1745" s="178">
        <v>80.209999999999994</v>
      </c>
      <c r="M1745" s="178">
        <v>62.42</v>
      </c>
      <c r="N1745" s="179">
        <v>0</v>
      </c>
      <c r="O1745" s="178">
        <v>142.63</v>
      </c>
      <c r="P1745" s="453"/>
      <c r="Q1745" s="61"/>
      <c r="R1745" s="298"/>
      <c r="S1745" s="669"/>
      <c r="X1745" s="444">
        <v>1745</v>
      </c>
    </row>
    <row r="1746" spans="1:32" ht="12">
      <c r="A1746" s="83" t="s">
        <v>21184</v>
      </c>
      <c r="B1746" s="64" t="s">
        <v>21185</v>
      </c>
      <c r="C1746" s="71" t="s">
        <v>103</v>
      </c>
      <c r="D1746" s="79">
        <v>1</v>
      </c>
      <c r="E1746" s="79">
        <v>232.35000000000002</v>
      </c>
      <c r="F1746" s="79">
        <v>232.35</v>
      </c>
      <c r="G1746" s="445"/>
      <c r="H1746" s="178">
        <v>232.35</v>
      </c>
      <c r="I1746" s="178">
        <v>285.79000000000002</v>
      </c>
      <c r="J1746" s="70">
        <v>-53.44</v>
      </c>
      <c r="K1746" s="320"/>
      <c r="L1746" s="178">
        <v>109.22</v>
      </c>
      <c r="M1746" s="178">
        <v>123.13000000000002</v>
      </c>
      <c r="N1746" s="179">
        <v>0</v>
      </c>
      <c r="O1746" s="178">
        <v>232.35000000000002</v>
      </c>
      <c r="P1746" s="453"/>
      <c r="Q1746" s="61"/>
      <c r="R1746" s="298"/>
      <c r="S1746" s="669"/>
      <c r="X1746" s="444">
        <v>1746</v>
      </c>
    </row>
    <row r="1747" spans="1:32" ht="12">
      <c r="A1747" s="83" t="s">
        <v>21186</v>
      </c>
      <c r="B1747" s="64" t="s">
        <v>21187</v>
      </c>
      <c r="C1747" s="71" t="s">
        <v>103</v>
      </c>
      <c r="D1747" s="79">
        <v>1</v>
      </c>
      <c r="E1747" s="79">
        <v>161.12</v>
      </c>
      <c r="F1747" s="79">
        <v>161.12</v>
      </c>
      <c r="G1747" s="445"/>
      <c r="H1747" s="178">
        <v>161.11000000000001</v>
      </c>
      <c r="I1747" s="178">
        <v>198.17</v>
      </c>
      <c r="J1747" s="70">
        <v>-37.049999999999983</v>
      </c>
      <c r="K1747" s="320"/>
      <c r="L1747" s="178">
        <v>38.230000000000004</v>
      </c>
      <c r="M1747" s="178">
        <v>122.89</v>
      </c>
      <c r="N1747" s="179">
        <v>0</v>
      </c>
      <c r="O1747" s="178">
        <v>161.12</v>
      </c>
      <c r="P1747" s="453"/>
      <c r="Q1747" s="61"/>
      <c r="R1747" s="298"/>
      <c r="S1747" s="669"/>
      <c r="U1747" s="69"/>
      <c r="V1747" s="69"/>
      <c r="W1747" s="69"/>
      <c r="X1747" s="444">
        <v>1747</v>
      </c>
      <c r="Y1747" s="69"/>
      <c r="Z1747" s="69"/>
      <c r="AA1747" s="69"/>
      <c r="AB1747" s="69"/>
      <c r="AC1747" s="69"/>
      <c r="AD1747" s="69"/>
      <c r="AE1747" s="69"/>
      <c r="AF1747" s="69"/>
    </row>
    <row r="1748" spans="1:32" ht="12">
      <c r="A1748" s="83" t="s">
        <v>21188</v>
      </c>
      <c r="B1748" s="64" t="s">
        <v>21189</v>
      </c>
      <c r="C1748" s="71" t="s">
        <v>103</v>
      </c>
      <c r="D1748" s="79">
        <v>1</v>
      </c>
      <c r="E1748" s="79">
        <v>330.76</v>
      </c>
      <c r="F1748" s="79">
        <v>330.76</v>
      </c>
      <c r="G1748" s="445"/>
      <c r="H1748" s="178">
        <v>330.76</v>
      </c>
      <c r="I1748" s="178">
        <v>406.83</v>
      </c>
      <c r="J1748" s="70">
        <v>-76.069999999999993</v>
      </c>
      <c r="K1748" s="320"/>
      <c r="L1748" s="178">
        <v>38.230000000000004</v>
      </c>
      <c r="M1748" s="178">
        <v>292.52999999999997</v>
      </c>
      <c r="N1748" s="179">
        <v>0</v>
      </c>
      <c r="O1748" s="178">
        <v>330.76</v>
      </c>
      <c r="P1748" s="453"/>
      <c r="Q1748" s="61"/>
      <c r="R1748" s="298"/>
      <c r="S1748" s="669"/>
      <c r="U1748" s="69"/>
      <c r="V1748" s="69"/>
      <c r="W1748" s="69"/>
      <c r="X1748" s="444">
        <v>1748</v>
      </c>
      <c r="Y1748" s="69"/>
      <c r="Z1748" s="69"/>
      <c r="AA1748" s="69"/>
      <c r="AB1748" s="69"/>
      <c r="AC1748" s="69"/>
      <c r="AD1748" s="69"/>
      <c r="AE1748" s="69"/>
      <c r="AF1748" s="69"/>
    </row>
    <row r="1749" spans="1:32" ht="12">
      <c r="A1749" s="83" t="s">
        <v>21190</v>
      </c>
      <c r="B1749" s="64" t="s">
        <v>21191</v>
      </c>
      <c r="C1749" s="71" t="s">
        <v>103</v>
      </c>
      <c r="D1749" s="79">
        <v>1</v>
      </c>
      <c r="E1749" s="79">
        <v>142.63</v>
      </c>
      <c r="F1749" s="79">
        <v>142.63</v>
      </c>
      <c r="G1749" s="445"/>
      <c r="H1749" s="178">
        <v>142.63</v>
      </c>
      <c r="I1749" s="178">
        <v>175.43</v>
      </c>
      <c r="J1749" s="70">
        <v>-32.800000000000011</v>
      </c>
      <c r="K1749" s="320"/>
      <c r="L1749" s="178">
        <v>80.209999999999994</v>
      </c>
      <c r="M1749" s="178">
        <v>62.42</v>
      </c>
      <c r="N1749" s="179">
        <v>0</v>
      </c>
      <c r="O1749" s="178">
        <v>142.63</v>
      </c>
      <c r="P1749" s="453"/>
      <c r="Q1749" s="61"/>
      <c r="R1749" s="298"/>
      <c r="S1749" s="669"/>
      <c r="X1749" s="444">
        <v>1749</v>
      </c>
    </row>
    <row r="1750" spans="1:32" ht="12">
      <c r="A1750" s="83" t="s">
        <v>21192</v>
      </c>
      <c r="B1750" s="64" t="s">
        <v>21193</v>
      </c>
      <c r="C1750" s="71" t="s">
        <v>103</v>
      </c>
      <c r="D1750" s="79">
        <v>1</v>
      </c>
      <c r="E1750" s="79">
        <v>273.94</v>
      </c>
      <c r="F1750" s="79">
        <v>273.94</v>
      </c>
      <c r="G1750" s="445"/>
      <c r="H1750" s="178">
        <v>273.93</v>
      </c>
      <c r="I1750" s="178">
        <v>336.93</v>
      </c>
      <c r="J1750" s="70">
        <v>-62.990000000000009</v>
      </c>
      <c r="K1750" s="320"/>
      <c r="L1750" s="178">
        <v>151.05000000000001</v>
      </c>
      <c r="M1750" s="178">
        <v>122.88999999999999</v>
      </c>
      <c r="N1750" s="179">
        <v>0</v>
      </c>
      <c r="O1750" s="178">
        <v>273.94</v>
      </c>
      <c r="P1750" s="453"/>
      <c r="Q1750" s="61"/>
      <c r="R1750" s="298"/>
      <c r="S1750" s="669"/>
      <c r="X1750" s="444">
        <v>1750</v>
      </c>
    </row>
    <row r="1751" spans="1:32" s="61" customFormat="1" ht="12">
      <c r="A1751" s="83" t="s">
        <v>21194</v>
      </c>
      <c r="B1751" s="64" t="s">
        <v>21195</v>
      </c>
      <c r="C1751" s="71" t="s">
        <v>103</v>
      </c>
      <c r="D1751" s="79">
        <v>1</v>
      </c>
      <c r="E1751" s="79">
        <v>135.99</v>
      </c>
      <c r="F1751" s="79">
        <v>135.99</v>
      </c>
      <c r="G1751" s="445"/>
      <c r="H1751" s="178">
        <v>135.97999999999999</v>
      </c>
      <c r="I1751" s="178">
        <v>167.26</v>
      </c>
      <c r="J1751" s="70">
        <v>-31.269999999999982</v>
      </c>
      <c r="K1751" s="320"/>
      <c r="L1751" s="178">
        <v>38.230000000000004</v>
      </c>
      <c r="M1751" s="178">
        <v>97.76</v>
      </c>
      <c r="N1751" s="179">
        <v>0</v>
      </c>
      <c r="O1751" s="178">
        <v>135.99</v>
      </c>
      <c r="P1751" s="453"/>
      <c r="R1751" s="298"/>
      <c r="S1751" s="669"/>
      <c r="T1751" s="444"/>
      <c r="U1751" s="444"/>
      <c r="V1751" s="444"/>
      <c r="W1751" s="444"/>
      <c r="X1751" s="444">
        <v>1751</v>
      </c>
      <c r="Y1751" s="444"/>
      <c r="Z1751" s="444"/>
      <c r="AA1751" s="444"/>
      <c r="AB1751" s="444"/>
      <c r="AC1751" s="444"/>
      <c r="AD1751" s="444"/>
      <c r="AE1751" s="444"/>
      <c r="AF1751" s="444"/>
    </row>
    <row r="1752" spans="1:32" s="61" customFormat="1" ht="12">
      <c r="A1752" s="83" t="s">
        <v>21196</v>
      </c>
      <c r="B1752" s="64" t="s">
        <v>21197</v>
      </c>
      <c r="C1752" s="71" t="s">
        <v>103</v>
      </c>
      <c r="D1752" s="79">
        <v>1</v>
      </c>
      <c r="E1752" s="79">
        <v>199.39</v>
      </c>
      <c r="F1752" s="79">
        <v>199.39</v>
      </c>
      <c r="G1752" s="445"/>
      <c r="H1752" s="178">
        <v>199.38</v>
      </c>
      <c r="I1752" s="178">
        <v>245.24</v>
      </c>
      <c r="J1752" s="70">
        <v>-45.850000000000023</v>
      </c>
      <c r="K1752" s="320"/>
      <c r="L1752" s="178">
        <v>122.03</v>
      </c>
      <c r="M1752" s="178">
        <v>77.359999999999985</v>
      </c>
      <c r="N1752" s="179">
        <v>0</v>
      </c>
      <c r="O1752" s="178">
        <v>199.39</v>
      </c>
      <c r="P1752" s="453"/>
      <c r="R1752" s="298"/>
      <c r="S1752" s="669"/>
      <c r="T1752" s="444"/>
      <c r="U1752" s="444"/>
      <c r="V1752" s="444"/>
      <c r="W1752" s="444"/>
      <c r="X1752" s="444">
        <v>1752</v>
      </c>
      <c r="Y1752" s="444"/>
      <c r="Z1752" s="444"/>
      <c r="AA1752" s="444"/>
      <c r="AB1752" s="444"/>
      <c r="AC1752" s="444"/>
      <c r="AD1752" s="444"/>
      <c r="AE1752" s="444"/>
      <c r="AF1752" s="444"/>
    </row>
    <row r="1753" spans="1:32" ht="12">
      <c r="A1753" s="454" t="s">
        <v>21198</v>
      </c>
      <c r="B1753" s="146" t="s">
        <v>21199</v>
      </c>
      <c r="C1753" s="134" t="s">
        <v>103</v>
      </c>
      <c r="D1753" s="79">
        <v>1</v>
      </c>
      <c r="E1753" s="79">
        <v>387.98</v>
      </c>
      <c r="F1753" s="79">
        <v>387.98</v>
      </c>
      <c r="G1753" s="320"/>
      <c r="H1753" s="178">
        <v>387.98</v>
      </c>
      <c r="I1753" s="178">
        <v>477.21</v>
      </c>
      <c r="J1753" s="70">
        <v>-89.229999999999961</v>
      </c>
      <c r="K1753" s="320"/>
      <c r="L1753" s="178">
        <v>43.69</v>
      </c>
      <c r="M1753" s="178">
        <v>344.29</v>
      </c>
      <c r="N1753" s="179">
        <v>0</v>
      </c>
      <c r="O1753" s="178">
        <v>387.98</v>
      </c>
      <c r="P1753" s="453"/>
      <c r="Q1753" s="61"/>
      <c r="R1753" s="298"/>
      <c r="S1753" s="669"/>
      <c r="U1753" s="69"/>
      <c r="V1753" s="69"/>
      <c r="W1753" s="69"/>
      <c r="X1753" s="444">
        <v>1753</v>
      </c>
      <c r="Y1753" s="69"/>
      <c r="Z1753" s="69"/>
      <c r="AA1753" s="69"/>
      <c r="AB1753" s="69"/>
      <c r="AC1753" s="69"/>
      <c r="AD1753" s="69"/>
      <c r="AE1753" s="69"/>
      <c r="AF1753" s="69"/>
    </row>
    <row r="1754" spans="1:32">
      <c r="A1754" s="304" t="s">
        <v>44251</v>
      </c>
      <c r="B1754" s="304" t="s">
        <v>44252</v>
      </c>
      <c r="C1754" s="768" t="s">
        <v>41718</v>
      </c>
      <c r="D1754" s="769">
        <v>1</v>
      </c>
      <c r="E1754" s="79">
        <v>9</v>
      </c>
      <c r="F1754" s="79">
        <v>9</v>
      </c>
      <c r="H1754" s="70">
        <v>204.02</v>
      </c>
      <c r="I1754" s="178">
        <v>250.95</v>
      </c>
      <c r="J1754" s="70">
        <v>-241.95</v>
      </c>
      <c r="K1754" s="320"/>
      <c r="L1754" s="178">
        <v>86.93</v>
      </c>
      <c r="M1754" s="178">
        <v>-85.31</v>
      </c>
      <c r="N1754" s="179">
        <v>7.38</v>
      </c>
      <c r="O1754" s="753">
        <v>9.0000000000000036</v>
      </c>
      <c r="P1754" s="453"/>
      <c r="X1754" s="444">
        <v>1754</v>
      </c>
    </row>
    <row r="1755" spans="1:32">
      <c r="A1755" s="67" t="s">
        <v>21200</v>
      </c>
      <c r="B1755" s="67" t="s">
        <v>39776</v>
      </c>
      <c r="C1755" s="71" t="s">
        <v>103</v>
      </c>
      <c r="D1755" s="79">
        <v>1</v>
      </c>
      <c r="E1755" s="79">
        <v>122.03000000000002</v>
      </c>
      <c r="F1755" s="79">
        <v>122.03</v>
      </c>
      <c r="G1755" s="69"/>
      <c r="H1755" s="178">
        <v>122</v>
      </c>
      <c r="I1755" s="752">
        <v>150.06</v>
      </c>
      <c r="J1755" s="70">
        <v>-28.029999999999987</v>
      </c>
      <c r="K1755" s="320"/>
      <c r="L1755" s="178">
        <v>81.94</v>
      </c>
      <c r="M1755" s="178">
        <v>40.090000000000018</v>
      </c>
      <c r="N1755" s="179">
        <v>0</v>
      </c>
      <c r="O1755" s="178">
        <v>122.03000000000002</v>
      </c>
      <c r="Q1755" s="61"/>
      <c r="R1755" s="298"/>
      <c r="S1755" s="669"/>
      <c r="X1755" s="444">
        <v>1755</v>
      </c>
    </row>
    <row r="1756" spans="1:32">
      <c r="A1756" s="304" t="s">
        <v>44253</v>
      </c>
      <c r="B1756" s="304" t="s">
        <v>44254</v>
      </c>
      <c r="C1756" s="768" t="s">
        <v>41718</v>
      </c>
      <c r="D1756" s="769">
        <v>1</v>
      </c>
      <c r="E1756" s="79">
        <v>148.74</v>
      </c>
      <c r="F1756" s="79">
        <v>148.74</v>
      </c>
      <c r="H1756" s="70">
        <v>399.47</v>
      </c>
      <c r="I1756" s="178">
        <v>491.35</v>
      </c>
      <c r="J1756" s="70">
        <v>-342.61</v>
      </c>
      <c r="K1756" s="320"/>
      <c r="L1756" s="178">
        <v>11.76</v>
      </c>
      <c r="M1756" s="178">
        <v>136.98000000000002</v>
      </c>
      <c r="N1756" s="179">
        <v>0</v>
      </c>
      <c r="O1756" s="753">
        <v>148.74</v>
      </c>
      <c r="P1756" s="453"/>
      <c r="X1756" s="444">
        <v>1756</v>
      </c>
    </row>
    <row r="1757" spans="1:32" ht="15">
      <c r="A1757" s="304" t="s">
        <v>44255</v>
      </c>
      <c r="B1757" s="770" t="s">
        <v>44256</v>
      </c>
      <c r="C1757" s="768" t="s">
        <v>41718</v>
      </c>
      <c r="D1757" s="769">
        <v>1</v>
      </c>
      <c r="E1757" s="79">
        <v>269.55</v>
      </c>
      <c r="F1757" s="79">
        <v>269.55</v>
      </c>
      <c r="H1757" s="70">
        <v>147.62</v>
      </c>
      <c r="I1757" s="178">
        <v>181.57</v>
      </c>
      <c r="J1757" s="70">
        <v>87.980000000000018</v>
      </c>
      <c r="K1757" s="320"/>
      <c r="L1757" s="178">
        <v>327.67</v>
      </c>
      <c r="M1757" s="178">
        <v>-79.06</v>
      </c>
      <c r="N1757" s="179">
        <v>20.94</v>
      </c>
      <c r="O1757" s="753">
        <v>269.55</v>
      </c>
      <c r="P1757" s="453"/>
      <c r="X1757" s="444">
        <v>1757</v>
      </c>
    </row>
    <row r="1758" spans="1:32" ht="15">
      <c r="A1758" s="304" t="s">
        <v>44257</v>
      </c>
      <c r="B1758" s="770" t="s">
        <v>44258</v>
      </c>
      <c r="C1758" s="768" t="s">
        <v>41718</v>
      </c>
      <c r="D1758" s="769">
        <v>1</v>
      </c>
      <c r="E1758" s="79">
        <v>327.67</v>
      </c>
      <c r="F1758" s="79">
        <v>327.67</v>
      </c>
      <c r="H1758" s="70">
        <v>156.59</v>
      </c>
      <c r="I1758" s="178">
        <v>192.61</v>
      </c>
      <c r="J1758" s="70">
        <v>135.06</v>
      </c>
      <c r="K1758" s="320"/>
      <c r="L1758" s="178">
        <v>1781.19</v>
      </c>
      <c r="M1758" s="178">
        <v>-1633.59</v>
      </c>
      <c r="N1758" s="179">
        <v>180.07</v>
      </c>
      <c r="O1758" s="753">
        <v>327.67000000000013</v>
      </c>
      <c r="P1758" s="453"/>
      <c r="X1758" s="444">
        <v>1758</v>
      </c>
    </row>
    <row r="1759" spans="1:32" ht="24">
      <c r="A1759" s="63" t="s">
        <v>21201</v>
      </c>
      <c r="B1759" s="146" t="s">
        <v>21202</v>
      </c>
      <c r="C1759" s="134" t="s">
        <v>103</v>
      </c>
      <c r="D1759" s="79">
        <v>1</v>
      </c>
      <c r="E1759" s="79">
        <v>945.94999999999993</v>
      </c>
      <c r="F1759" s="79">
        <v>945.95</v>
      </c>
      <c r="G1759" s="320"/>
      <c r="H1759" s="178">
        <v>945.93</v>
      </c>
      <c r="I1759" s="178">
        <v>1163.5</v>
      </c>
      <c r="J1759" s="70">
        <v>-217.55000000000007</v>
      </c>
      <c r="K1759" s="320"/>
      <c r="L1759" s="178">
        <v>122.03</v>
      </c>
      <c r="M1759" s="178">
        <v>823.92</v>
      </c>
      <c r="N1759" s="179">
        <v>0</v>
      </c>
      <c r="O1759" s="178">
        <v>945.94999999999993</v>
      </c>
      <c r="P1759" s="453"/>
      <c r="Q1759" s="61"/>
      <c r="R1759" s="298"/>
      <c r="S1759" s="669"/>
      <c r="U1759" s="69"/>
      <c r="V1759" s="69"/>
      <c r="W1759" s="69"/>
      <c r="X1759" s="444">
        <v>1759</v>
      </c>
      <c r="Y1759" s="69"/>
      <c r="Z1759" s="69"/>
      <c r="AA1759" s="69"/>
      <c r="AB1759" s="69"/>
      <c r="AC1759" s="69"/>
      <c r="AD1759" s="69"/>
      <c r="AE1759" s="69"/>
      <c r="AF1759" s="69"/>
    </row>
    <row r="1760" spans="1:32" ht="15">
      <c r="A1760" s="304" t="s">
        <v>44259</v>
      </c>
      <c r="B1760" s="770" t="s">
        <v>44260</v>
      </c>
      <c r="C1760" s="768" t="s">
        <v>41718</v>
      </c>
      <c r="D1760" s="769">
        <v>1</v>
      </c>
      <c r="E1760" s="79">
        <v>7.98</v>
      </c>
      <c r="F1760" s="79">
        <v>7.98</v>
      </c>
      <c r="H1760" s="70">
        <v>129.16999999999999</v>
      </c>
      <c r="I1760" s="178">
        <v>158.88</v>
      </c>
      <c r="J1760" s="70">
        <v>-150.9</v>
      </c>
      <c r="K1760" s="320"/>
      <c r="L1760" s="178">
        <v>69.180000000000007</v>
      </c>
      <c r="M1760" s="178">
        <v>-366.37</v>
      </c>
      <c r="N1760" s="179">
        <v>305.17</v>
      </c>
      <c r="O1760" s="753">
        <v>7.9800000000000182</v>
      </c>
      <c r="P1760" s="453"/>
      <c r="X1760" s="444">
        <v>1760</v>
      </c>
    </row>
    <row r="1761" spans="1:32" ht="15">
      <c r="A1761" s="304" t="s">
        <v>44261</v>
      </c>
      <c r="B1761" s="770" t="s">
        <v>44262</v>
      </c>
      <c r="C1761" s="768" t="s">
        <v>41718</v>
      </c>
      <c r="D1761" s="769">
        <v>1</v>
      </c>
      <c r="E1761" s="79">
        <v>69.180000000000007</v>
      </c>
      <c r="F1761" s="79">
        <v>69.180000000000007</v>
      </c>
      <c r="H1761" s="70">
        <v>138.15</v>
      </c>
      <c r="I1761" s="178">
        <v>169.92</v>
      </c>
      <c r="J1761" s="70">
        <v>-100.73999999999998</v>
      </c>
      <c r="K1761" s="320"/>
      <c r="L1761" s="178">
        <v>464.47</v>
      </c>
      <c r="M1761" s="178">
        <v>-473.71000000000004</v>
      </c>
      <c r="N1761" s="179">
        <v>78.42</v>
      </c>
      <c r="O1761" s="753">
        <v>69.179999999999993</v>
      </c>
      <c r="P1761" s="453"/>
      <c r="X1761" s="444">
        <v>1761</v>
      </c>
    </row>
    <row r="1762" spans="1:32" ht="12">
      <c r="A1762" s="83" t="s">
        <v>21203</v>
      </c>
      <c r="B1762" s="64" t="s">
        <v>21204</v>
      </c>
      <c r="C1762" s="71" t="s">
        <v>10216</v>
      </c>
      <c r="D1762" s="79">
        <v>1</v>
      </c>
      <c r="E1762" s="79">
        <v>577.26</v>
      </c>
      <c r="F1762" s="79">
        <v>577.26</v>
      </c>
      <c r="G1762" s="445"/>
      <c r="H1762" s="178">
        <v>577.25</v>
      </c>
      <c r="I1762" s="178">
        <v>710.02</v>
      </c>
      <c r="J1762" s="70">
        <v>-132.76</v>
      </c>
      <c r="K1762" s="320"/>
      <c r="L1762" s="178"/>
      <c r="M1762" s="178">
        <v>577.26</v>
      </c>
      <c r="N1762" s="179">
        <v>0</v>
      </c>
      <c r="O1762" s="178">
        <v>577.26</v>
      </c>
      <c r="P1762" s="453"/>
      <c r="Q1762" s="61"/>
      <c r="R1762" s="298"/>
      <c r="S1762" s="669"/>
      <c r="X1762" s="444">
        <v>1762</v>
      </c>
    </row>
    <row r="1763" spans="1:32">
      <c r="A1763" s="304" t="s">
        <v>44263</v>
      </c>
      <c r="B1763" s="304" t="s">
        <v>44264</v>
      </c>
      <c r="C1763" s="768" t="s">
        <v>41718</v>
      </c>
      <c r="D1763" s="769">
        <v>1</v>
      </c>
      <c r="E1763" s="79">
        <v>1263.82</v>
      </c>
      <c r="F1763" s="79">
        <v>1263.82</v>
      </c>
      <c r="H1763" s="70">
        <v>3.96</v>
      </c>
      <c r="I1763" s="178">
        <v>4.87</v>
      </c>
      <c r="J1763" s="70">
        <v>1258.95</v>
      </c>
      <c r="K1763" s="320"/>
      <c r="L1763" s="178">
        <v>107.82</v>
      </c>
      <c r="M1763" s="178">
        <v>1149.76</v>
      </c>
      <c r="N1763" s="179">
        <v>6.24</v>
      </c>
      <c r="O1763" s="753">
        <v>1263.82</v>
      </c>
      <c r="P1763" s="453"/>
      <c r="X1763" s="444">
        <v>1763</v>
      </c>
    </row>
    <row r="1764" spans="1:32">
      <c r="A1764" s="304" t="s">
        <v>44265</v>
      </c>
      <c r="B1764" s="304" t="s">
        <v>44266</v>
      </c>
      <c r="C1764" s="768" t="s">
        <v>41718</v>
      </c>
      <c r="D1764" s="769">
        <v>1</v>
      </c>
      <c r="E1764" s="79">
        <v>2.91</v>
      </c>
      <c r="F1764" s="79">
        <v>2.91</v>
      </c>
      <c r="H1764" s="70">
        <v>12.41</v>
      </c>
      <c r="I1764" s="178">
        <v>15.27</v>
      </c>
      <c r="J1764" s="70">
        <v>-12.36</v>
      </c>
      <c r="K1764" s="320"/>
      <c r="L1764" s="178">
        <v>78.42</v>
      </c>
      <c r="M1764" s="178">
        <v>-79.190000000000012</v>
      </c>
      <c r="N1764" s="179">
        <v>3.68</v>
      </c>
      <c r="O1764" s="753">
        <v>2.9099999999999899</v>
      </c>
      <c r="P1764" s="453"/>
      <c r="X1764" s="444">
        <v>1764</v>
      </c>
    </row>
    <row r="1765" spans="1:32">
      <c r="A1765" s="304" t="s">
        <v>44267</v>
      </c>
      <c r="B1765" s="304" t="s">
        <v>44268</v>
      </c>
      <c r="C1765" s="768" t="s">
        <v>41718</v>
      </c>
      <c r="D1765" s="769">
        <v>1</v>
      </c>
      <c r="E1765" s="79">
        <v>1460.43</v>
      </c>
      <c r="F1765" s="79">
        <v>1460.43</v>
      </c>
      <c r="H1765" s="70">
        <v>20.67</v>
      </c>
      <c r="I1765" s="178">
        <v>25.43</v>
      </c>
      <c r="J1765" s="70">
        <v>1435</v>
      </c>
      <c r="K1765" s="320"/>
      <c r="L1765" s="178">
        <v>20.94</v>
      </c>
      <c r="M1765" s="178">
        <v>1433.25</v>
      </c>
      <c r="N1765" s="179">
        <v>6.24</v>
      </c>
      <c r="O1765" s="753">
        <v>1460.43</v>
      </c>
      <c r="P1765" s="453"/>
      <c r="X1765" s="444">
        <v>1765</v>
      </c>
    </row>
    <row r="1766" spans="1:32">
      <c r="A1766" s="304" t="s">
        <v>44269</v>
      </c>
      <c r="B1766" s="304" t="s">
        <v>44270</v>
      </c>
      <c r="C1766" s="768" t="s">
        <v>41718</v>
      </c>
      <c r="D1766" s="769">
        <v>1</v>
      </c>
      <c r="E1766" s="79">
        <v>302.06</v>
      </c>
      <c r="F1766" s="79">
        <v>302.06</v>
      </c>
      <c r="H1766" s="70">
        <v>34.020000000000003</v>
      </c>
      <c r="I1766" s="178">
        <v>41.84</v>
      </c>
      <c r="J1766" s="70">
        <v>260.22000000000003</v>
      </c>
      <c r="K1766" s="320"/>
      <c r="L1766" s="178">
        <v>69.180000000000007</v>
      </c>
      <c r="M1766" s="178">
        <v>229.97</v>
      </c>
      <c r="N1766" s="179">
        <v>2.91</v>
      </c>
      <c r="O1766" s="753">
        <v>302.06</v>
      </c>
      <c r="P1766" s="453"/>
      <c r="X1766" s="444">
        <v>1766</v>
      </c>
    </row>
    <row r="1767" spans="1:32">
      <c r="A1767" s="304" t="s">
        <v>44271</v>
      </c>
      <c r="B1767" s="304" t="s">
        <v>44272</v>
      </c>
      <c r="C1767" s="768" t="s">
        <v>41718</v>
      </c>
      <c r="D1767" s="769">
        <v>1</v>
      </c>
      <c r="E1767" s="79">
        <v>0</v>
      </c>
      <c r="F1767" s="79">
        <v>0</v>
      </c>
      <c r="H1767" s="70">
        <v>70.989999999999995</v>
      </c>
      <c r="I1767" s="178">
        <v>87.32</v>
      </c>
      <c r="J1767" s="70">
        <v>-87.32</v>
      </c>
      <c r="K1767" s="320"/>
      <c r="L1767" s="178">
        <v>22.2</v>
      </c>
      <c r="M1767" s="178">
        <v>-1890.63</v>
      </c>
      <c r="N1767" s="179">
        <v>1868.43</v>
      </c>
      <c r="O1767" s="753">
        <v>0</v>
      </c>
      <c r="P1767" s="453"/>
      <c r="X1767" s="444">
        <v>1767</v>
      </c>
    </row>
    <row r="1768" spans="1:32">
      <c r="A1768" s="304" t="s">
        <v>44273</v>
      </c>
      <c r="B1768" s="304" t="s">
        <v>44274</v>
      </c>
      <c r="C1768" s="768" t="s">
        <v>41718</v>
      </c>
      <c r="D1768" s="769">
        <v>1</v>
      </c>
      <c r="E1768" s="79">
        <v>7.98</v>
      </c>
      <c r="F1768" s="79">
        <v>7.98</v>
      </c>
      <c r="H1768" s="70">
        <v>100.52</v>
      </c>
      <c r="I1768" s="178">
        <v>123.64</v>
      </c>
      <c r="J1768" s="70">
        <v>-115.66</v>
      </c>
      <c r="K1768" s="320"/>
      <c r="L1768" s="178">
        <v>186.07</v>
      </c>
      <c r="M1768" s="178">
        <v>-501.87</v>
      </c>
      <c r="N1768" s="179">
        <v>323.77999999999997</v>
      </c>
      <c r="O1768" s="753">
        <v>7.9799999999999613</v>
      </c>
      <c r="P1768" s="453"/>
      <c r="X1768" s="444">
        <v>1768</v>
      </c>
    </row>
    <row r="1769" spans="1:32">
      <c r="A1769" s="304" t="s">
        <v>44275</v>
      </c>
      <c r="B1769" s="304" t="s">
        <v>44276</v>
      </c>
      <c r="C1769" s="768" t="s">
        <v>41718</v>
      </c>
      <c r="D1769" s="769">
        <v>1</v>
      </c>
      <c r="E1769" s="79">
        <v>0</v>
      </c>
      <c r="F1769" s="79">
        <v>0</v>
      </c>
      <c r="H1769" s="70">
        <v>147.28</v>
      </c>
      <c r="I1769" s="178">
        <v>181.16</v>
      </c>
      <c r="J1769" s="70">
        <v>-181.16</v>
      </c>
      <c r="K1769" s="320"/>
      <c r="L1769" s="178">
        <v>464.47</v>
      </c>
      <c r="M1769" s="178">
        <v>-2191.35</v>
      </c>
      <c r="N1769" s="179">
        <v>1726.8799999999999</v>
      </c>
      <c r="O1769" s="753">
        <v>0</v>
      </c>
      <c r="P1769" s="453"/>
      <c r="X1769" s="444">
        <v>1769</v>
      </c>
    </row>
    <row r="1770" spans="1:32">
      <c r="A1770" s="304" t="s">
        <v>44277</v>
      </c>
      <c r="B1770" s="304" t="s">
        <v>44278</v>
      </c>
      <c r="C1770" s="768" t="s">
        <v>41718</v>
      </c>
      <c r="D1770" s="769">
        <v>1</v>
      </c>
      <c r="E1770" s="79">
        <v>73.23</v>
      </c>
      <c r="F1770" s="79">
        <v>73.23</v>
      </c>
      <c r="H1770" s="70">
        <v>23.86</v>
      </c>
      <c r="I1770" s="178">
        <v>29.35</v>
      </c>
      <c r="J1770" s="70">
        <v>43.88</v>
      </c>
      <c r="K1770" s="320"/>
      <c r="L1770" s="178">
        <v>3.68</v>
      </c>
      <c r="M1770" s="178">
        <v>61.569999999999993</v>
      </c>
      <c r="N1770" s="179">
        <v>7.98</v>
      </c>
      <c r="O1770" s="753">
        <v>73.23</v>
      </c>
      <c r="P1770" s="453"/>
      <c r="X1770" s="444">
        <v>1770</v>
      </c>
    </row>
    <row r="1771" spans="1:32" ht="12">
      <c r="A1771" s="83" t="s">
        <v>39777</v>
      </c>
      <c r="B1771" s="64" t="s">
        <v>39778</v>
      </c>
      <c r="C1771" s="71"/>
      <c r="D1771" s="79" t="s">
        <v>40899</v>
      </c>
      <c r="E1771" s="79" t="s">
        <v>40899</v>
      </c>
      <c r="F1771" s="79"/>
      <c r="G1771" s="445"/>
      <c r="H1771" s="178"/>
      <c r="I1771" s="178"/>
      <c r="J1771" s="70"/>
      <c r="K1771" s="320"/>
      <c r="L1771" s="178"/>
      <c r="M1771" s="178"/>
      <c r="N1771" s="179"/>
      <c r="O1771" s="178"/>
      <c r="P1771" s="453"/>
      <c r="Q1771" s="61"/>
      <c r="R1771" s="298"/>
      <c r="S1771" s="669"/>
      <c r="T1771" s="61"/>
      <c r="U1771" s="73"/>
      <c r="V1771" s="73"/>
      <c r="W1771" s="73"/>
      <c r="X1771" s="444">
        <v>1771</v>
      </c>
      <c r="Y1771" s="73"/>
      <c r="Z1771" s="73"/>
      <c r="AA1771" s="73"/>
      <c r="AB1771" s="73"/>
      <c r="AC1771" s="73"/>
      <c r="AD1771" s="73"/>
      <c r="AE1771" s="73"/>
      <c r="AF1771" s="73"/>
    </row>
    <row r="1772" spans="1:32" ht="24">
      <c r="A1772" s="65" t="s">
        <v>21205</v>
      </c>
      <c r="B1772" s="456" t="s">
        <v>21206</v>
      </c>
      <c r="C1772" s="108" t="s">
        <v>103</v>
      </c>
      <c r="D1772" s="79">
        <v>1</v>
      </c>
      <c r="E1772" s="79">
        <v>1331.6999999999998</v>
      </c>
      <c r="F1772" s="79">
        <v>1331.7</v>
      </c>
      <c r="H1772" s="178">
        <v>1331.69</v>
      </c>
      <c r="I1772" s="771">
        <v>1637.98</v>
      </c>
      <c r="J1772" s="70">
        <v>-306.2800000000002</v>
      </c>
      <c r="K1772" s="320"/>
      <c r="L1772" s="178">
        <v>54.61</v>
      </c>
      <c r="M1772" s="178">
        <v>1277.0899999999999</v>
      </c>
      <c r="N1772" s="179">
        <v>0</v>
      </c>
      <c r="O1772" s="178">
        <v>1331.6999999999998</v>
      </c>
      <c r="P1772" s="453"/>
      <c r="Q1772" s="61"/>
      <c r="R1772" s="298"/>
      <c r="S1772" s="669"/>
      <c r="X1772" s="444">
        <v>1772</v>
      </c>
    </row>
    <row r="1773" spans="1:32" ht="12">
      <c r="A1773" s="65" t="s">
        <v>21207</v>
      </c>
      <c r="B1773" s="456" t="s">
        <v>39779</v>
      </c>
      <c r="C1773" s="108" t="s">
        <v>103</v>
      </c>
      <c r="D1773" s="79">
        <v>1</v>
      </c>
      <c r="E1773" s="79">
        <v>215.73999999999998</v>
      </c>
      <c r="F1773" s="79">
        <v>215.74</v>
      </c>
      <c r="H1773" s="178">
        <v>215.73</v>
      </c>
      <c r="I1773" s="771">
        <v>265.35000000000002</v>
      </c>
      <c r="J1773" s="70">
        <v>-49.610000000000042</v>
      </c>
      <c r="K1773" s="320"/>
      <c r="L1773" s="178">
        <v>43.69</v>
      </c>
      <c r="M1773" s="178">
        <v>172.04999999999998</v>
      </c>
      <c r="N1773" s="179">
        <v>0</v>
      </c>
      <c r="O1773" s="178">
        <v>215.73999999999998</v>
      </c>
      <c r="P1773" s="453"/>
      <c r="Q1773" s="61"/>
      <c r="R1773" s="298"/>
      <c r="S1773" s="669"/>
      <c r="X1773" s="444">
        <v>1773</v>
      </c>
    </row>
    <row r="1774" spans="1:32" ht="12">
      <c r="A1774" s="65" t="s">
        <v>21208</v>
      </c>
      <c r="B1774" s="456" t="s">
        <v>39780</v>
      </c>
      <c r="C1774" s="108" t="s">
        <v>103</v>
      </c>
      <c r="D1774" s="79">
        <v>1</v>
      </c>
      <c r="E1774" s="79">
        <v>331.43</v>
      </c>
      <c r="F1774" s="79">
        <v>331.43</v>
      </c>
      <c r="H1774" s="178">
        <v>331.42</v>
      </c>
      <c r="I1774" s="771">
        <v>407.65</v>
      </c>
      <c r="J1774" s="70">
        <v>-76.21999999999997</v>
      </c>
      <c r="K1774" s="320"/>
      <c r="L1774" s="178">
        <v>43.69</v>
      </c>
      <c r="M1774" s="178">
        <v>287.74</v>
      </c>
      <c r="N1774" s="179">
        <v>0</v>
      </c>
      <c r="O1774" s="178">
        <v>331.43</v>
      </c>
      <c r="P1774" s="453"/>
      <c r="Q1774" s="61"/>
      <c r="R1774" s="298"/>
      <c r="S1774" s="669"/>
      <c r="X1774" s="444">
        <v>1774</v>
      </c>
    </row>
    <row r="1775" spans="1:32" ht="24">
      <c r="A1775" s="459" t="s">
        <v>21209</v>
      </c>
      <c r="B1775" s="64" t="s">
        <v>21210</v>
      </c>
      <c r="C1775" s="71" t="s">
        <v>103</v>
      </c>
      <c r="D1775" s="79">
        <v>1</v>
      </c>
      <c r="E1775" s="79">
        <v>592.75</v>
      </c>
      <c r="F1775" s="79">
        <v>592.75</v>
      </c>
      <c r="G1775" s="460"/>
      <c r="H1775" s="766">
        <v>592.75</v>
      </c>
      <c r="I1775" s="766">
        <v>729.08</v>
      </c>
      <c r="J1775" s="500">
        <v>-136.33000000000004</v>
      </c>
      <c r="K1775" s="466"/>
      <c r="L1775" s="766"/>
      <c r="M1775" s="766">
        <v>592.75</v>
      </c>
      <c r="N1775" s="767">
        <v>0</v>
      </c>
      <c r="O1775" s="766">
        <v>592.75</v>
      </c>
      <c r="P1775" s="446"/>
      <c r="Q1775" s="61"/>
      <c r="R1775" s="298"/>
      <c r="S1775" s="669"/>
      <c r="T1775" s="73"/>
      <c r="X1775" s="444">
        <v>1775</v>
      </c>
    </row>
    <row r="1776" spans="1:32" ht="12">
      <c r="A1776" s="83" t="s">
        <v>21211</v>
      </c>
      <c r="B1776" s="64" t="s">
        <v>21212</v>
      </c>
      <c r="C1776" s="71" t="s">
        <v>103</v>
      </c>
      <c r="D1776" s="79">
        <v>1</v>
      </c>
      <c r="E1776" s="79">
        <v>592.52</v>
      </c>
      <c r="F1776" s="79">
        <v>592.52</v>
      </c>
      <c r="G1776" s="445"/>
      <c r="H1776" s="178">
        <v>592.51</v>
      </c>
      <c r="I1776" s="178">
        <v>728.79</v>
      </c>
      <c r="J1776" s="70">
        <v>-136.26999999999998</v>
      </c>
      <c r="K1776" s="320"/>
      <c r="L1776" s="178">
        <v>43.69</v>
      </c>
      <c r="M1776" s="178">
        <v>548.82999999999993</v>
      </c>
      <c r="N1776" s="179">
        <v>0</v>
      </c>
      <c r="O1776" s="178">
        <v>592.52</v>
      </c>
      <c r="P1776" s="453"/>
      <c r="Q1776" s="61"/>
      <c r="R1776" s="298"/>
      <c r="S1776" s="669"/>
      <c r="U1776" s="69"/>
      <c r="V1776" s="69"/>
      <c r="W1776" s="69"/>
      <c r="X1776" s="444">
        <v>1776</v>
      </c>
      <c r="Y1776" s="69"/>
      <c r="Z1776" s="69"/>
      <c r="AA1776" s="69"/>
      <c r="AB1776" s="69"/>
      <c r="AC1776" s="69"/>
      <c r="AD1776" s="69"/>
      <c r="AE1776" s="69"/>
      <c r="AF1776" s="69"/>
    </row>
    <row r="1777" spans="1:32" ht="12">
      <c r="A1777" s="83" t="s">
        <v>21213</v>
      </c>
      <c r="B1777" s="64" t="s">
        <v>21214</v>
      </c>
      <c r="C1777" s="71" t="s">
        <v>103</v>
      </c>
      <c r="D1777" s="79">
        <v>1</v>
      </c>
      <c r="E1777" s="79">
        <v>632.79999999999995</v>
      </c>
      <c r="F1777" s="79">
        <v>632.79999999999995</v>
      </c>
      <c r="G1777" s="445"/>
      <c r="H1777" s="178">
        <v>632.79999999999995</v>
      </c>
      <c r="I1777" s="178">
        <v>778.34</v>
      </c>
      <c r="J1777" s="70">
        <v>-145.54000000000008</v>
      </c>
      <c r="K1777" s="320"/>
      <c r="L1777" s="178">
        <v>43.69</v>
      </c>
      <c r="M1777" s="178">
        <v>589.1099999999999</v>
      </c>
      <c r="N1777" s="179">
        <v>0</v>
      </c>
      <c r="O1777" s="178">
        <v>632.79999999999995</v>
      </c>
      <c r="P1777" s="453"/>
      <c r="Q1777" s="61"/>
      <c r="R1777" s="298"/>
      <c r="S1777" s="669"/>
      <c r="U1777" s="69"/>
      <c r="V1777" s="69"/>
      <c r="W1777" s="69"/>
      <c r="X1777" s="444">
        <v>1777</v>
      </c>
      <c r="Y1777" s="69"/>
      <c r="Z1777" s="69"/>
      <c r="AA1777" s="69"/>
      <c r="AB1777" s="69"/>
      <c r="AC1777" s="69"/>
      <c r="AD1777" s="69"/>
      <c r="AE1777" s="69"/>
      <c r="AF1777" s="69"/>
    </row>
    <row r="1778" spans="1:32" ht="12">
      <c r="A1778" s="525" t="s">
        <v>21215</v>
      </c>
      <c r="B1778" s="461" t="s">
        <v>39781</v>
      </c>
      <c r="C1778" s="526" t="s">
        <v>103</v>
      </c>
      <c r="D1778" s="79">
        <v>1</v>
      </c>
      <c r="E1778" s="79">
        <v>127.33000000000001</v>
      </c>
      <c r="F1778" s="79">
        <v>127.33</v>
      </c>
      <c r="G1778" s="320"/>
      <c r="H1778" s="178">
        <v>127.33</v>
      </c>
      <c r="I1778" s="178">
        <v>156.61000000000001</v>
      </c>
      <c r="J1778" s="70">
        <v>-29.28</v>
      </c>
      <c r="K1778" s="320"/>
      <c r="L1778" s="178">
        <v>32.770000000000003</v>
      </c>
      <c r="M1778" s="178">
        <v>94.56</v>
      </c>
      <c r="N1778" s="179">
        <v>0</v>
      </c>
      <c r="O1778" s="178">
        <v>127.33000000000001</v>
      </c>
      <c r="P1778" s="453"/>
      <c r="Q1778" s="61"/>
      <c r="R1778" s="298"/>
      <c r="S1778" s="669"/>
      <c r="T1778" s="69"/>
      <c r="X1778" s="444">
        <v>1778</v>
      </c>
    </row>
    <row r="1779" spans="1:32" ht="12">
      <c r="A1779" s="83" t="s">
        <v>21216</v>
      </c>
      <c r="B1779" s="64" t="s">
        <v>21217</v>
      </c>
      <c r="C1779" s="71" t="s">
        <v>103</v>
      </c>
      <c r="D1779" s="79">
        <v>1</v>
      </c>
      <c r="E1779" s="79">
        <v>270.88</v>
      </c>
      <c r="F1779" s="79">
        <v>270.88</v>
      </c>
      <c r="G1779" s="445"/>
      <c r="H1779" s="178">
        <v>270.88</v>
      </c>
      <c r="I1779" s="178">
        <v>333.18</v>
      </c>
      <c r="J1779" s="70">
        <v>-62.300000000000011</v>
      </c>
      <c r="K1779" s="320"/>
      <c r="L1779" s="178">
        <v>60.07</v>
      </c>
      <c r="M1779" s="178">
        <v>210.81</v>
      </c>
      <c r="N1779" s="179">
        <v>0</v>
      </c>
      <c r="O1779" s="178">
        <v>270.88</v>
      </c>
      <c r="P1779" s="453"/>
      <c r="Q1779" s="61"/>
      <c r="R1779" s="298"/>
      <c r="S1779" s="669"/>
      <c r="X1779" s="444">
        <v>1779</v>
      </c>
    </row>
    <row r="1780" spans="1:32" ht="12">
      <c r="A1780" s="83" t="s">
        <v>21218</v>
      </c>
      <c r="B1780" s="64" t="s">
        <v>21219</v>
      </c>
      <c r="C1780" s="71" t="s">
        <v>103</v>
      </c>
      <c r="D1780" s="79">
        <v>1</v>
      </c>
      <c r="E1780" s="79">
        <v>879.13</v>
      </c>
      <c r="F1780" s="79">
        <v>879.13</v>
      </c>
      <c r="G1780" s="445"/>
      <c r="H1780" s="178">
        <v>879.12</v>
      </c>
      <c r="I1780" s="178">
        <v>1081.32</v>
      </c>
      <c r="J1780" s="70">
        <v>-202.18999999999994</v>
      </c>
      <c r="K1780" s="320"/>
      <c r="L1780" s="178">
        <v>87.38</v>
      </c>
      <c r="M1780" s="178">
        <v>791.75</v>
      </c>
      <c r="N1780" s="179">
        <v>0</v>
      </c>
      <c r="O1780" s="178">
        <v>879.13</v>
      </c>
      <c r="P1780" s="453"/>
      <c r="Q1780" s="61"/>
      <c r="R1780" s="298"/>
      <c r="S1780" s="669"/>
      <c r="T1780" s="61"/>
      <c r="X1780" s="444">
        <v>1780</v>
      </c>
    </row>
    <row r="1781" spans="1:32" ht="12">
      <c r="A1781" s="83" t="s">
        <v>21220</v>
      </c>
      <c r="B1781" s="64" t="s">
        <v>21221</v>
      </c>
      <c r="C1781" s="71" t="s">
        <v>103</v>
      </c>
      <c r="D1781" s="79">
        <v>1</v>
      </c>
      <c r="E1781" s="79">
        <v>948.99</v>
      </c>
      <c r="F1781" s="79">
        <v>948.99</v>
      </c>
      <c r="G1781" s="445"/>
      <c r="H1781" s="178">
        <v>948.98</v>
      </c>
      <c r="I1781" s="178">
        <v>1167.25</v>
      </c>
      <c r="J1781" s="70">
        <v>-218.26</v>
      </c>
      <c r="K1781" s="320"/>
      <c r="L1781" s="178">
        <v>163.84000000000003</v>
      </c>
      <c r="M1781" s="178">
        <v>785.15</v>
      </c>
      <c r="N1781" s="179">
        <v>0</v>
      </c>
      <c r="O1781" s="178">
        <v>948.99</v>
      </c>
      <c r="P1781" s="453"/>
      <c r="Q1781" s="61"/>
      <c r="R1781" s="298"/>
      <c r="S1781" s="669"/>
      <c r="X1781" s="444">
        <v>1781</v>
      </c>
    </row>
    <row r="1782" spans="1:32" ht="12">
      <c r="A1782" s="459" t="s">
        <v>21222</v>
      </c>
      <c r="B1782" s="64" t="s">
        <v>8917</v>
      </c>
      <c r="C1782" s="71" t="s">
        <v>103</v>
      </c>
      <c r="D1782" s="79">
        <v>1</v>
      </c>
      <c r="E1782" s="79">
        <v>329.04</v>
      </c>
      <c r="F1782" s="79">
        <v>329.04</v>
      </c>
      <c r="G1782" s="460"/>
      <c r="H1782" s="766">
        <v>329.03</v>
      </c>
      <c r="I1782" s="766">
        <v>404.71</v>
      </c>
      <c r="J1782" s="500">
        <v>-75.669999999999959</v>
      </c>
      <c r="K1782" s="466"/>
      <c r="L1782" s="766">
        <v>60.07</v>
      </c>
      <c r="M1782" s="766">
        <v>268.97000000000003</v>
      </c>
      <c r="N1782" s="767">
        <v>0</v>
      </c>
      <c r="O1782" s="766">
        <v>329.04</v>
      </c>
      <c r="P1782" s="446"/>
      <c r="Q1782" s="61"/>
      <c r="R1782" s="298"/>
      <c r="S1782" s="669"/>
      <c r="T1782" s="73"/>
      <c r="X1782" s="444">
        <v>1782</v>
      </c>
    </row>
    <row r="1783" spans="1:32" ht="12">
      <c r="A1783" s="459" t="s">
        <v>21223</v>
      </c>
      <c r="B1783" s="64" t="s">
        <v>8921</v>
      </c>
      <c r="C1783" s="71" t="s">
        <v>103</v>
      </c>
      <c r="D1783" s="79">
        <v>1</v>
      </c>
      <c r="E1783" s="79">
        <v>464.51000000000005</v>
      </c>
      <c r="F1783" s="79">
        <v>464.51</v>
      </c>
      <c r="G1783" s="460"/>
      <c r="H1783" s="766">
        <v>464.5</v>
      </c>
      <c r="I1783" s="766">
        <v>571.34</v>
      </c>
      <c r="J1783" s="500">
        <v>-106.82999999999998</v>
      </c>
      <c r="K1783" s="466"/>
      <c r="L1783" s="766">
        <v>60.07</v>
      </c>
      <c r="M1783" s="766">
        <v>404.44000000000005</v>
      </c>
      <c r="N1783" s="767">
        <v>0</v>
      </c>
      <c r="O1783" s="766">
        <v>464.51000000000005</v>
      </c>
      <c r="P1783" s="446"/>
      <c r="Q1783" s="61"/>
      <c r="R1783" s="298"/>
      <c r="S1783" s="669"/>
      <c r="T1783" s="73"/>
      <c r="X1783" s="444">
        <v>1783</v>
      </c>
    </row>
    <row r="1784" spans="1:32" ht="12">
      <c r="A1784" s="83" t="s">
        <v>21224</v>
      </c>
      <c r="B1784" s="64" t="s">
        <v>21225</v>
      </c>
      <c r="C1784" s="71" t="s">
        <v>103</v>
      </c>
      <c r="D1784" s="79">
        <v>1</v>
      </c>
      <c r="E1784" s="79">
        <v>333.76000000000005</v>
      </c>
      <c r="F1784" s="79">
        <v>333.76</v>
      </c>
      <c r="G1784" s="320"/>
      <c r="H1784" s="178">
        <v>333.76</v>
      </c>
      <c r="I1784" s="178">
        <v>410.53</v>
      </c>
      <c r="J1784" s="70">
        <v>-76.769999999999925</v>
      </c>
      <c r="K1784" s="320"/>
      <c r="L1784" s="178">
        <v>60.07</v>
      </c>
      <c r="M1784" s="178">
        <v>273.69000000000005</v>
      </c>
      <c r="N1784" s="179">
        <v>0</v>
      </c>
      <c r="O1784" s="178">
        <v>333.76000000000005</v>
      </c>
      <c r="P1784" s="453"/>
      <c r="Q1784" s="61"/>
      <c r="R1784" s="298"/>
      <c r="S1784" s="669"/>
      <c r="T1784" s="73"/>
      <c r="X1784" s="444">
        <v>1784</v>
      </c>
    </row>
    <row r="1785" spans="1:32" s="73" customFormat="1" ht="12">
      <c r="A1785" s="67" t="s">
        <v>40920</v>
      </c>
      <c r="B1785" s="465" t="s">
        <v>39782</v>
      </c>
      <c r="C1785" s="71" t="s">
        <v>103</v>
      </c>
      <c r="D1785" s="79">
        <v>1</v>
      </c>
      <c r="E1785" s="79">
        <v>292.50000000000006</v>
      </c>
      <c r="F1785" s="79">
        <v>292.5</v>
      </c>
      <c r="G1785" s="444"/>
      <c r="H1785" s="178">
        <v>292.5</v>
      </c>
      <c r="I1785" s="178">
        <v>359.78</v>
      </c>
      <c r="J1785" s="70">
        <v>-67.279999999999916</v>
      </c>
      <c r="K1785" s="320"/>
      <c r="L1785" s="178">
        <v>60.07</v>
      </c>
      <c r="M1785" s="178">
        <v>232.43000000000006</v>
      </c>
      <c r="N1785" s="179">
        <v>0</v>
      </c>
      <c r="O1785" s="178">
        <v>292.50000000000006</v>
      </c>
      <c r="P1785" s="453"/>
      <c r="Q1785" s="61"/>
      <c r="R1785" s="298"/>
      <c r="S1785" s="669"/>
      <c r="T1785" s="444"/>
      <c r="U1785" s="444"/>
      <c r="V1785" s="444"/>
      <c r="W1785" s="444"/>
      <c r="X1785" s="444">
        <v>1785</v>
      </c>
      <c r="Y1785" s="444"/>
      <c r="Z1785" s="444"/>
      <c r="AA1785" s="444"/>
      <c r="AB1785" s="444"/>
      <c r="AC1785" s="444"/>
      <c r="AD1785" s="444"/>
      <c r="AE1785" s="444"/>
      <c r="AF1785" s="444"/>
    </row>
    <row r="1786" spans="1:32" ht="12">
      <c r="A1786" s="67" t="s">
        <v>40921</v>
      </c>
      <c r="B1786" s="465" t="s">
        <v>8892</v>
      </c>
      <c r="C1786" s="71" t="s">
        <v>103</v>
      </c>
      <c r="D1786" s="79">
        <v>1</v>
      </c>
      <c r="E1786" s="79">
        <v>170.59</v>
      </c>
      <c r="F1786" s="79">
        <v>170.59</v>
      </c>
      <c r="H1786" s="178">
        <v>170.59</v>
      </c>
      <c r="I1786" s="178">
        <v>209.83</v>
      </c>
      <c r="J1786" s="70">
        <v>-39.240000000000009</v>
      </c>
      <c r="K1786" s="320"/>
      <c r="L1786" s="178">
        <v>60.07</v>
      </c>
      <c r="M1786" s="178">
        <v>110.52000000000001</v>
      </c>
      <c r="N1786" s="179">
        <v>0</v>
      </c>
      <c r="O1786" s="178">
        <v>170.59</v>
      </c>
      <c r="P1786" s="453"/>
      <c r="Q1786" s="61"/>
      <c r="R1786" s="298"/>
      <c r="S1786" s="669"/>
      <c r="X1786" s="444">
        <v>1786</v>
      </c>
    </row>
    <row r="1787" spans="1:32" ht="12">
      <c r="A1787" s="83" t="s">
        <v>21226</v>
      </c>
      <c r="B1787" s="64" t="s">
        <v>21227</v>
      </c>
      <c r="C1787" s="71" t="s">
        <v>103</v>
      </c>
      <c r="D1787" s="79">
        <v>1</v>
      </c>
      <c r="E1787" s="79">
        <v>480.39</v>
      </c>
      <c r="F1787" s="79">
        <v>480.39</v>
      </c>
      <c r="G1787" s="445"/>
      <c r="H1787" s="178">
        <v>480.38</v>
      </c>
      <c r="I1787" s="178">
        <v>590.87</v>
      </c>
      <c r="J1787" s="70">
        <v>-110.48000000000002</v>
      </c>
      <c r="K1787" s="320"/>
      <c r="L1787" s="178">
        <v>43.69</v>
      </c>
      <c r="M1787" s="178">
        <v>436.7</v>
      </c>
      <c r="N1787" s="179">
        <v>0</v>
      </c>
      <c r="O1787" s="178">
        <v>480.39</v>
      </c>
      <c r="P1787" s="453"/>
      <c r="Q1787" s="61"/>
      <c r="R1787" s="298"/>
      <c r="S1787" s="669"/>
      <c r="X1787" s="444">
        <v>1787</v>
      </c>
    </row>
    <row r="1788" spans="1:32" ht="36">
      <c r="A1788" s="83" t="s">
        <v>21228</v>
      </c>
      <c r="B1788" s="64" t="s">
        <v>39783</v>
      </c>
      <c r="C1788" s="71" t="s">
        <v>103</v>
      </c>
      <c r="D1788" s="79">
        <v>1</v>
      </c>
      <c r="E1788" s="79">
        <v>311.64999999999998</v>
      </c>
      <c r="F1788" s="79">
        <v>311.64999999999998</v>
      </c>
      <c r="G1788" s="445"/>
      <c r="H1788" s="178">
        <v>311.64</v>
      </c>
      <c r="I1788" s="178">
        <v>383.32</v>
      </c>
      <c r="J1788" s="70">
        <v>-71.670000000000016</v>
      </c>
      <c r="K1788" s="320"/>
      <c r="L1788" s="178">
        <v>43.69</v>
      </c>
      <c r="M1788" s="178">
        <v>267.95999999999998</v>
      </c>
      <c r="N1788" s="179">
        <v>0</v>
      </c>
      <c r="O1788" s="178">
        <v>311.64999999999998</v>
      </c>
      <c r="P1788" s="453"/>
      <c r="Q1788" s="61"/>
      <c r="R1788" s="298"/>
      <c r="S1788" s="669"/>
      <c r="T1788" s="69"/>
      <c r="X1788" s="444">
        <v>1788</v>
      </c>
    </row>
    <row r="1789" spans="1:32" ht="12">
      <c r="A1789" s="83" t="s">
        <v>21229</v>
      </c>
      <c r="B1789" s="64" t="s">
        <v>21230</v>
      </c>
      <c r="C1789" s="71" t="s">
        <v>103</v>
      </c>
      <c r="D1789" s="79">
        <v>1</v>
      </c>
      <c r="E1789" s="79">
        <v>261.14</v>
      </c>
      <c r="F1789" s="79">
        <v>261.14</v>
      </c>
      <c r="G1789" s="445"/>
      <c r="H1789" s="178">
        <v>261.14</v>
      </c>
      <c r="I1789" s="178">
        <v>321.2</v>
      </c>
      <c r="J1789" s="70">
        <v>-60.06</v>
      </c>
      <c r="K1789" s="320"/>
      <c r="L1789" s="178">
        <v>43.69</v>
      </c>
      <c r="M1789" s="178">
        <v>217.45</v>
      </c>
      <c r="N1789" s="179">
        <v>0</v>
      </c>
      <c r="O1789" s="178">
        <v>261.14</v>
      </c>
      <c r="P1789" s="453"/>
      <c r="Q1789" s="61"/>
      <c r="R1789" s="298"/>
      <c r="S1789" s="669"/>
      <c r="X1789" s="444">
        <v>1789</v>
      </c>
    </row>
    <row r="1790" spans="1:32" s="69" customFormat="1" ht="12">
      <c r="A1790" s="67" t="s">
        <v>40922</v>
      </c>
      <c r="B1790" s="465" t="s">
        <v>21231</v>
      </c>
      <c r="C1790" s="71" t="s">
        <v>103</v>
      </c>
      <c r="D1790" s="79">
        <v>1</v>
      </c>
      <c r="E1790" s="79">
        <v>419.73</v>
      </c>
      <c r="F1790" s="79">
        <v>419.73</v>
      </c>
      <c r="G1790" s="444"/>
      <c r="H1790" s="178">
        <v>419.72</v>
      </c>
      <c r="I1790" s="178">
        <v>516.26</v>
      </c>
      <c r="J1790" s="70">
        <v>-96.529999999999973</v>
      </c>
      <c r="K1790" s="320"/>
      <c r="L1790" s="178">
        <v>60.07</v>
      </c>
      <c r="M1790" s="178">
        <v>359.66</v>
      </c>
      <c r="N1790" s="179">
        <v>0</v>
      </c>
      <c r="O1790" s="178">
        <v>419.73</v>
      </c>
      <c r="P1790" s="453"/>
      <c r="Q1790" s="61"/>
      <c r="R1790" s="298"/>
      <c r="S1790" s="669"/>
      <c r="T1790" s="444"/>
      <c r="U1790" s="444"/>
      <c r="V1790" s="444"/>
      <c r="W1790" s="444"/>
      <c r="X1790" s="444">
        <v>1790</v>
      </c>
      <c r="Y1790" s="444"/>
      <c r="Z1790" s="444"/>
      <c r="AA1790" s="444"/>
      <c r="AB1790" s="444"/>
      <c r="AC1790" s="444"/>
      <c r="AD1790" s="444"/>
      <c r="AE1790" s="444"/>
      <c r="AF1790" s="444"/>
    </row>
    <row r="1791" spans="1:32" s="69" customFormat="1" ht="12">
      <c r="A1791" s="67" t="s">
        <v>40923</v>
      </c>
      <c r="B1791" s="465" t="s">
        <v>8896</v>
      </c>
      <c r="C1791" s="71" t="s">
        <v>103</v>
      </c>
      <c r="D1791" s="79">
        <v>1</v>
      </c>
      <c r="E1791" s="79">
        <v>454.6</v>
      </c>
      <c r="F1791" s="79">
        <v>454.6</v>
      </c>
      <c r="G1791" s="444"/>
      <c r="H1791" s="178">
        <v>454.6</v>
      </c>
      <c r="I1791" s="178">
        <v>559.16</v>
      </c>
      <c r="J1791" s="70">
        <v>-104.55999999999995</v>
      </c>
      <c r="K1791" s="320"/>
      <c r="L1791" s="178">
        <v>60.07</v>
      </c>
      <c r="M1791" s="178">
        <v>394.53000000000003</v>
      </c>
      <c r="N1791" s="179">
        <v>0</v>
      </c>
      <c r="O1791" s="178">
        <v>454.6</v>
      </c>
      <c r="P1791" s="453"/>
      <c r="Q1791" s="61"/>
      <c r="R1791" s="298"/>
      <c r="S1791" s="669"/>
      <c r="T1791" s="444"/>
      <c r="U1791" s="444"/>
      <c r="V1791" s="444"/>
      <c r="W1791" s="444"/>
      <c r="X1791" s="444">
        <v>1791</v>
      </c>
      <c r="Y1791" s="444"/>
      <c r="Z1791" s="444"/>
      <c r="AA1791" s="444"/>
      <c r="AB1791" s="444"/>
      <c r="AC1791" s="444"/>
      <c r="AD1791" s="444"/>
      <c r="AE1791" s="444"/>
      <c r="AF1791" s="444"/>
    </row>
    <row r="1792" spans="1:32" ht="24">
      <c r="A1792" s="67" t="s">
        <v>40924</v>
      </c>
      <c r="B1792" s="465" t="s">
        <v>8949</v>
      </c>
      <c r="C1792" s="71" t="s">
        <v>103</v>
      </c>
      <c r="D1792" s="79">
        <v>1</v>
      </c>
      <c r="E1792" s="79">
        <v>543.40000000000009</v>
      </c>
      <c r="F1792" s="79">
        <v>543.4</v>
      </c>
      <c r="H1792" s="178">
        <v>543.41</v>
      </c>
      <c r="I1792" s="178">
        <v>668.39</v>
      </c>
      <c r="J1792" s="70">
        <v>-124.9899999999999</v>
      </c>
      <c r="K1792" s="320"/>
      <c r="L1792" s="178">
        <v>60.07</v>
      </c>
      <c r="M1792" s="178">
        <v>483.3300000000001</v>
      </c>
      <c r="N1792" s="179">
        <v>0</v>
      </c>
      <c r="O1792" s="178">
        <v>543.40000000000009</v>
      </c>
      <c r="P1792" s="453"/>
      <c r="Q1792" s="61"/>
      <c r="R1792" s="298"/>
      <c r="S1792" s="669"/>
      <c r="X1792" s="444">
        <v>1792</v>
      </c>
    </row>
    <row r="1793" spans="1:32" ht="12">
      <c r="A1793" s="83" t="s">
        <v>21232</v>
      </c>
      <c r="B1793" s="64" t="s">
        <v>21233</v>
      </c>
      <c r="C1793" s="71" t="s">
        <v>103</v>
      </c>
      <c r="D1793" s="79">
        <v>1</v>
      </c>
      <c r="E1793" s="79">
        <v>176.59</v>
      </c>
      <c r="F1793" s="79">
        <v>176.59</v>
      </c>
      <c r="G1793" s="445"/>
      <c r="H1793" s="178">
        <v>176.59</v>
      </c>
      <c r="I1793" s="178">
        <v>217.2</v>
      </c>
      <c r="J1793" s="70">
        <v>-40.609999999999985</v>
      </c>
      <c r="K1793" s="320"/>
      <c r="L1793" s="178">
        <v>32.770000000000003</v>
      </c>
      <c r="M1793" s="178">
        <v>143.82</v>
      </c>
      <c r="N1793" s="179">
        <v>0</v>
      </c>
      <c r="O1793" s="178">
        <v>176.59</v>
      </c>
      <c r="P1793" s="453"/>
      <c r="Q1793" s="61"/>
      <c r="R1793" s="298"/>
      <c r="S1793" s="669"/>
      <c r="X1793" s="444">
        <v>1793</v>
      </c>
    </row>
    <row r="1794" spans="1:32" ht="12">
      <c r="A1794" s="83" t="s">
        <v>21234</v>
      </c>
      <c r="B1794" s="64" t="s">
        <v>21235</v>
      </c>
      <c r="C1794" s="71" t="s">
        <v>103</v>
      </c>
      <c r="D1794" s="79">
        <v>1</v>
      </c>
      <c r="E1794" s="79">
        <v>254.2</v>
      </c>
      <c r="F1794" s="79">
        <v>254.2</v>
      </c>
      <c r="G1794" s="445"/>
      <c r="H1794" s="178">
        <v>254.2</v>
      </c>
      <c r="I1794" s="178">
        <v>312.66000000000003</v>
      </c>
      <c r="J1794" s="70">
        <v>-58.460000000000036</v>
      </c>
      <c r="K1794" s="320"/>
      <c r="L1794" s="178">
        <v>60.07</v>
      </c>
      <c r="M1794" s="178">
        <v>194.13</v>
      </c>
      <c r="N1794" s="179">
        <v>0</v>
      </c>
      <c r="O1794" s="178">
        <v>254.2</v>
      </c>
      <c r="P1794" s="453"/>
      <c r="Q1794" s="61"/>
      <c r="R1794" s="298"/>
      <c r="S1794" s="669"/>
      <c r="U1794" s="73"/>
      <c r="V1794" s="73"/>
      <c r="W1794" s="73"/>
      <c r="X1794" s="444">
        <v>1794</v>
      </c>
      <c r="Y1794" s="73"/>
      <c r="Z1794" s="73"/>
      <c r="AA1794" s="73"/>
      <c r="AB1794" s="73"/>
      <c r="AC1794" s="73"/>
      <c r="AD1794" s="73"/>
      <c r="AE1794" s="73"/>
      <c r="AF1794" s="73"/>
    </row>
    <row r="1795" spans="1:32" ht="12">
      <c r="A1795" s="83" t="s">
        <v>21236</v>
      </c>
      <c r="B1795" s="64" t="s">
        <v>21237</v>
      </c>
      <c r="C1795" s="71" t="s">
        <v>103</v>
      </c>
      <c r="D1795" s="79">
        <v>1</v>
      </c>
      <c r="E1795" s="79">
        <v>425.32</v>
      </c>
      <c r="F1795" s="79">
        <v>425.32</v>
      </c>
      <c r="G1795" s="445"/>
      <c r="H1795" s="178">
        <v>425.32</v>
      </c>
      <c r="I1795" s="178">
        <v>523.14</v>
      </c>
      <c r="J1795" s="70">
        <v>-97.82</v>
      </c>
      <c r="K1795" s="320"/>
      <c r="L1795" s="178">
        <v>60.07</v>
      </c>
      <c r="M1795" s="178">
        <v>365.25</v>
      </c>
      <c r="N1795" s="179">
        <v>0</v>
      </c>
      <c r="O1795" s="178">
        <v>425.32</v>
      </c>
      <c r="P1795" s="453"/>
      <c r="Q1795" s="61"/>
      <c r="R1795" s="298"/>
      <c r="S1795" s="669"/>
      <c r="X1795" s="444">
        <v>1795</v>
      </c>
    </row>
    <row r="1796" spans="1:32" s="69" customFormat="1" ht="12">
      <c r="A1796" s="525" t="s">
        <v>21238</v>
      </c>
      <c r="B1796" s="461" t="s">
        <v>39784</v>
      </c>
      <c r="C1796" s="526" t="s">
        <v>103</v>
      </c>
      <c r="D1796" s="79">
        <v>1</v>
      </c>
      <c r="E1796" s="79">
        <v>158.95000000000002</v>
      </c>
      <c r="F1796" s="79">
        <v>158.94999999999999</v>
      </c>
      <c r="G1796" s="320"/>
      <c r="H1796" s="178">
        <v>158.94</v>
      </c>
      <c r="I1796" s="178">
        <v>195.5</v>
      </c>
      <c r="J1796" s="70">
        <v>-36.549999999999983</v>
      </c>
      <c r="K1796" s="320"/>
      <c r="L1796" s="178">
        <v>32.770000000000003</v>
      </c>
      <c r="M1796" s="178">
        <v>126.18</v>
      </c>
      <c r="N1796" s="179">
        <v>0</v>
      </c>
      <c r="O1796" s="178">
        <v>158.95000000000002</v>
      </c>
      <c r="P1796" s="453"/>
      <c r="Q1796" s="61"/>
      <c r="R1796" s="298"/>
      <c r="S1796" s="669"/>
      <c r="U1796" s="444"/>
      <c r="V1796" s="444"/>
      <c r="W1796" s="444"/>
      <c r="X1796" s="444">
        <v>1796</v>
      </c>
      <c r="Y1796" s="444"/>
      <c r="Z1796" s="444"/>
      <c r="AA1796" s="444"/>
      <c r="AB1796" s="444"/>
      <c r="AC1796" s="444"/>
      <c r="AD1796" s="444"/>
      <c r="AE1796" s="444"/>
      <c r="AF1796" s="444"/>
    </row>
    <row r="1797" spans="1:32" s="69" customFormat="1" ht="12">
      <c r="A1797" s="459" t="s">
        <v>21239</v>
      </c>
      <c r="B1797" s="64" t="s">
        <v>8919</v>
      </c>
      <c r="C1797" s="71" t="s">
        <v>103</v>
      </c>
      <c r="D1797" s="79">
        <v>1</v>
      </c>
      <c r="E1797" s="79">
        <v>352.3</v>
      </c>
      <c r="F1797" s="79">
        <v>352.3</v>
      </c>
      <c r="G1797" s="466"/>
      <c r="H1797" s="766">
        <v>352.29</v>
      </c>
      <c r="I1797" s="766">
        <v>433.32</v>
      </c>
      <c r="J1797" s="500">
        <v>-81.019999999999982</v>
      </c>
      <c r="K1797" s="466"/>
      <c r="L1797" s="766">
        <v>60.07</v>
      </c>
      <c r="M1797" s="766">
        <v>292.23</v>
      </c>
      <c r="N1797" s="767">
        <v>0</v>
      </c>
      <c r="O1797" s="766">
        <v>352.3</v>
      </c>
      <c r="P1797" s="469"/>
      <c r="Q1797" s="61"/>
      <c r="R1797" s="298"/>
      <c r="S1797" s="669"/>
      <c r="T1797" s="66"/>
      <c r="U1797" s="61"/>
      <c r="V1797" s="61"/>
      <c r="W1797" s="61"/>
      <c r="X1797" s="444">
        <v>1797</v>
      </c>
      <c r="Y1797" s="61"/>
      <c r="Z1797" s="61"/>
      <c r="AA1797" s="61"/>
      <c r="AB1797" s="61"/>
      <c r="AC1797" s="61"/>
      <c r="AD1797" s="61"/>
      <c r="AE1797" s="61"/>
      <c r="AF1797" s="61"/>
    </row>
    <row r="1798" spans="1:32" ht="12">
      <c r="A1798" s="459" t="s">
        <v>21240</v>
      </c>
      <c r="B1798" s="64" t="s">
        <v>8933</v>
      </c>
      <c r="C1798" s="71" t="s">
        <v>103</v>
      </c>
      <c r="D1798" s="79">
        <v>1</v>
      </c>
      <c r="E1798" s="79">
        <v>403.49</v>
      </c>
      <c r="F1798" s="79">
        <v>403.49</v>
      </c>
      <c r="G1798" s="460"/>
      <c r="H1798" s="766">
        <v>403.48</v>
      </c>
      <c r="I1798" s="766">
        <v>496.28</v>
      </c>
      <c r="J1798" s="500">
        <v>-92.789999999999964</v>
      </c>
      <c r="K1798" s="466"/>
      <c r="L1798" s="766">
        <v>60.07</v>
      </c>
      <c r="M1798" s="766">
        <v>343.42</v>
      </c>
      <c r="N1798" s="767">
        <v>0</v>
      </c>
      <c r="O1798" s="766">
        <v>403.49</v>
      </c>
      <c r="P1798" s="446"/>
      <c r="Q1798" s="61"/>
      <c r="R1798" s="298"/>
      <c r="S1798" s="669"/>
      <c r="T1798" s="73"/>
      <c r="X1798" s="444">
        <v>1798</v>
      </c>
    </row>
    <row r="1799" spans="1:32" ht="12">
      <c r="A1799" s="83" t="s">
        <v>21241</v>
      </c>
      <c r="B1799" s="64" t="s">
        <v>21242</v>
      </c>
      <c r="C1799" s="71" t="s">
        <v>103</v>
      </c>
      <c r="D1799" s="79">
        <v>1</v>
      </c>
      <c r="E1799" s="79">
        <v>355.31</v>
      </c>
      <c r="F1799" s="79">
        <v>355.31</v>
      </c>
      <c r="G1799" s="445"/>
      <c r="H1799" s="178">
        <v>355.31</v>
      </c>
      <c r="I1799" s="178">
        <v>437.03</v>
      </c>
      <c r="J1799" s="70">
        <v>-81.71999999999997</v>
      </c>
      <c r="K1799" s="320"/>
      <c r="L1799" s="178">
        <v>60.07</v>
      </c>
      <c r="M1799" s="178">
        <v>295.24</v>
      </c>
      <c r="N1799" s="179">
        <v>0</v>
      </c>
      <c r="O1799" s="178">
        <v>355.31</v>
      </c>
      <c r="P1799" s="453"/>
      <c r="Q1799" s="61"/>
      <c r="R1799" s="298"/>
      <c r="S1799" s="669"/>
      <c r="X1799" s="444">
        <v>1799</v>
      </c>
    </row>
    <row r="1800" spans="1:32" s="69" customFormat="1" ht="12">
      <c r="A1800" s="83" t="s">
        <v>21243</v>
      </c>
      <c r="B1800" s="64" t="s">
        <v>21244</v>
      </c>
      <c r="C1800" s="71" t="s">
        <v>103</v>
      </c>
      <c r="D1800" s="79">
        <v>1</v>
      </c>
      <c r="E1800" s="79">
        <v>291.58</v>
      </c>
      <c r="F1800" s="79">
        <v>291.58</v>
      </c>
      <c r="G1800" s="445"/>
      <c r="H1800" s="178">
        <v>291.58</v>
      </c>
      <c r="I1800" s="178">
        <v>358.64</v>
      </c>
      <c r="J1800" s="70">
        <v>-67.06</v>
      </c>
      <c r="K1800" s="320"/>
      <c r="L1800" s="178">
        <v>65.53</v>
      </c>
      <c r="M1800" s="178">
        <v>226.04999999999998</v>
      </c>
      <c r="N1800" s="179">
        <v>0</v>
      </c>
      <c r="O1800" s="178">
        <v>291.58</v>
      </c>
      <c r="P1800" s="453"/>
      <c r="Q1800" s="61"/>
      <c r="R1800" s="298"/>
      <c r="S1800" s="669"/>
      <c r="T1800" s="444"/>
      <c r="U1800" s="444"/>
      <c r="V1800" s="444"/>
      <c r="W1800" s="444"/>
      <c r="X1800" s="444">
        <v>1800</v>
      </c>
      <c r="Y1800" s="444"/>
      <c r="Z1800" s="444"/>
      <c r="AA1800" s="444"/>
      <c r="AB1800" s="444"/>
      <c r="AC1800" s="444"/>
      <c r="AD1800" s="444"/>
      <c r="AE1800" s="444"/>
      <c r="AF1800" s="444"/>
    </row>
    <row r="1801" spans="1:32" s="69" customFormat="1" ht="12">
      <c r="A1801" s="459" t="s">
        <v>21245</v>
      </c>
      <c r="B1801" s="64" t="s">
        <v>8937</v>
      </c>
      <c r="C1801" s="71" t="s">
        <v>103</v>
      </c>
      <c r="D1801" s="79">
        <v>1</v>
      </c>
      <c r="E1801" s="79">
        <v>416.51</v>
      </c>
      <c r="F1801" s="79">
        <v>416.51</v>
      </c>
      <c r="G1801" s="460"/>
      <c r="H1801" s="766">
        <v>416.5</v>
      </c>
      <c r="I1801" s="766">
        <v>512.29</v>
      </c>
      <c r="J1801" s="500">
        <v>-95.779999999999973</v>
      </c>
      <c r="K1801" s="466"/>
      <c r="L1801" s="766">
        <v>60.07</v>
      </c>
      <c r="M1801" s="766">
        <v>356.44</v>
      </c>
      <c r="N1801" s="767">
        <v>0</v>
      </c>
      <c r="O1801" s="766">
        <v>416.51</v>
      </c>
      <c r="P1801" s="446"/>
      <c r="Q1801" s="61"/>
      <c r="R1801" s="298"/>
      <c r="S1801" s="669"/>
      <c r="T1801" s="73"/>
      <c r="U1801" s="444"/>
      <c r="V1801" s="444"/>
      <c r="W1801" s="444"/>
      <c r="X1801" s="444">
        <v>1801</v>
      </c>
      <c r="Y1801" s="444"/>
      <c r="Z1801" s="444"/>
      <c r="AA1801" s="444"/>
      <c r="AB1801" s="444"/>
      <c r="AC1801" s="444"/>
      <c r="AD1801" s="444"/>
      <c r="AE1801" s="444"/>
      <c r="AF1801" s="444"/>
    </row>
    <row r="1802" spans="1:32" ht="12">
      <c r="A1802" s="83" t="s">
        <v>21246</v>
      </c>
      <c r="B1802" s="64" t="s">
        <v>21247</v>
      </c>
      <c r="C1802" s="71" t="s">
        <v>103</v>
      </c>
      <c r="D1802" s="79">
        <v>1</v>
      </c>
      <c r="E1802" s="79">
        <v>309.63</v>
      </c>
      <c r="F1802" s="79">
        <v>309.63</v>
      </c>
      <c r="G1802" s="445"/>
      <c r="H1802" s="178">
        <v>309.63</v>
      </c>
      <c r="I1802" s="178">
        <v>380.84</v>
      </c>
      <c r="J1802" s="70">
        <v>-71.20999999999998</v>
      </c>
      <c r="K1802" s="320"/>
      <c r="L1802" s="178">
        <v>60.07</v>
      </c>
      <c r="M1802" s="178">
        <v>249.56</v>
      </c>
      <c r="N1802" s="179">
        <v>0</v>
      </c>
      <c r="O1802" s="178">
        <v>309.63</v>
      </c>
      <c r="P1802" s="453"/>
      <c r="Q1802" s="61"/>
      <c r="R1802" s="298"/>
      <c r="S1802" s="669"/>
      <c r="T1802" s="61"/>
      <c r="X1802" s="444">
        <v>1802</v>
      </c>
    </row>
    <row r="1803" spans="1:32" ht="12">
      <c r="A1803" s="83" t="s">
        <v>21248</v>
      </c>
      <c r="B1803" s="64" t="s">
        <v>21249</v>
      </c>
      <c r="C1803" s="71" t="s">
        <v>103</v>
      </c>
      <c r="D1803" s="79">
        <v>1</v>
      </c>
      <c r="E1803" s="79">
        <v>483.34</v>
      </c>
      <c r="F1803" s="79">
        <v>483.34</v>
      </c>
      <c r="G1803" s="445"/>
      <c r="H1803" s="178">
        <v>483.33</v>
      </c>
      <c r="I1803" s="178">
        <v>594.5</v>
      </c>
      <c r="J1803" s="70">
        <v>-111.16000000000003</v>
      </c>
      <c r="K1803" s="320"/>
      <c r="L1803" s="178">
        <v>43.69</v>
      </c>
      <c r="M1803" s="178">
        <v>439.65</v>
      </c>
      <c r="N1803" s="179">
        <v>0</v>
      </c>
      <c r="O1803" s="178">
        <v>483.34</v>
      </c>
      <c r="P1803" s="453"/>
      <c r="Q1803" s="61"/>
      <c r="R1803" s="298"/>
      <c r="S1803" s="669"/>
      <c r="X1803" s="444">
        <v>1803</v>
      </c>
    </row>
    <row r="1804" spans="1:32" ht="12">
      <c r="A1804" s="67" t="s">
        <v>40925</v>
      </c>
      <c r="B1804" s="465" t="s">
        <v>39785</v>
      </c>
      <c r="C1804" s="71" t="s">
        <v>103</v>
      </c>
      <c r="D1804" s="79">
        <v>1</v>
      </c>
      <c r="E1804" s="79">
        <v>885.2299999999999</v>
      </c>
      <c r="F1804" s="79">
        <v>885.23</v>
      </c>
      <c r="H1804" s="178">
        <v>885.22</v>
      </c>
      <c r="I1804" s="178">
        <v>1088.82</v>
      </c>
      <c r="J1804" s="70">
        <v>-203.59000000000003</v>
      </c>
      <c r="K1804" s="320"/>
      <c r="L1804" s="178">
        <v>60.07</v>
      </c>
      <c r="M1804" s="178">
        <v>825.15999999999985</v>
      </c>
      <c r="N1804" s="179">
        <v>0</v>
      </c>
      <c r="O1804" s="178">
        <v>885.2299999999999</v>
      </c>
      <c r="P1804" s="453"/>
      <c r="Q1804" s="61"/>
      <c r="R1804" s="298"/>
      <c r="S1804" s="669"/>
      <c r="X1804" s="444">
        <v>1804</v>
      </c>
    </row>
    <row r="1805" spans="1:32" ht="12">
      <c r="A1805" s="67" t="s">
        <v>21250</v>
      </c>
      <c r="B1805" s="64" t="s">
        <v>21251</v>
      </c>
      <c r="C1805" s="71" t="s">
        <v>103</v>
      </c>
      <c r="D1805" s="79">
        <v>1</v>
      </c>
      <c r="E1805" s="78">
        <v>63.790000000000006</v>
      </c>
      <c r="F1805" s="79">
        <v>63.79</v>
      </c>
      <c r="G1805" s="61"/>
      <c r="H1805" s="178">
        <v>63.79</v>
      </c>
      <c r="I1805" s="178">
        <v>78.459999999999994</v>
      </c>
      <c r="J1805" s="70">
        <v>-14.669999999999987</v>
      </c>
      <c r="K1805" s="320"/>
      <c r="L1805" s="178">
        <v>49.150000000000006</v>
      </c>
      <c r="M1805" s="178">
        <v>14.64</v>
      </c>
      <c r="N1805" s="179">
        <v>0</v>
      </c>
      <c r="O1805" s="178">
        <v>63.790000000000006</v>
      </c>
      <c r="P1805" s="453"/>
      <c r="Q1805" s="61"/>
      <c r="R1805" s="298"/>
      <c r="S1805" s="669"/>
      <c r="U1805" s="73"/>
      <c r="V1805" s="73"/>
      <c r="W1805" s="73"/>
      <c r="X1805" s="444">
        <v>1805</v>
      </c>
      <c r="Y1805" s="73"/>
      <c r="Z1805" s="73"/>
      <c r="AA1805" s="73"/>
      <c r="AB1805" s="73"/>
      <c r="AC1805" s="73"/>
      <c r="AD1805" s="73"/>
      <c r="AE1805" s="73"/>
      <c r="AF1805" s="73"/>
    </row>
    <row r="1806" spans="1:32" ht="12">
      <c r="A1806" s="67" t="s">
        <v>40926</v>
      </c>
      <c r="B1806" s="465" t="s">
        <v>39786</v>
      </c>
      <c r="C1806" s="71" t="s">
        <v>103</v>
      </c>
      <c r="D1806" s="79">
        <v>1</v>
      </c>
      <c r="E1806" s="79">
        <v>1930.3399999999997</v>
      </c>
      <c r="F1806" s="79">
        <v>1930.34</v>
      </c>
      <c r="H1806" s="178">
        <v>1930.33</v>
      </c>
      <c r="I1806" s="178">
        <v>2374.3000000000002</v>
      </c>
      <c r="J1806" s="70">
        <v>-443.96000000000049</v>
      </c>
      <c r="K1806" s="320"/>
      <c r="L1806" s="178">
        <v>60.07</v>
      </c>
      <c r="M1806" s="178">
        <v>1870.2699999999998</v>
      </c>
      <c r="N1806" s="179">
        <v>0</v>
      </c>
      <c r="O1806" s="178">
        <v>1930.3399999999997</v>
      </c>
      <c r="P1806" s="453"/>
      <c r="Q1806" s="61"/>
      <c r="R1806" s="298"/>
      <c r="S1806" s="669"/>
      <c r="X1806" s="444">
        <v>1806</v>
      </c>
    </row>
    <row r="1807" spans="1:32" ht="12">
      <c r="A1807" s="67" t="s">
        <v>40927</v>
      </c>
      <c r="B1807" s="465" t="s">
        <v>21252</v>
      </c>
      <c r="C1807" s="71" t="s">
        <v>103</v>
      </c>
      <c r="D1807" s="79">
        <v>1</v>
      </c>
      <c r="E1807" s="79">
        <v>422.98</v>
      </c>
      <c r="F1807" s="79">
        <v>422.98</v>
      </c>
      <c r="H1807" s="178">
        <v>422.97</v>
      </c>
      <c r="I1807" s="178">
        <v>520.25</v>
      </c>
      <c r="J1807" s="70">
        <v>-97.269999999999982</v>
      </c>
      <c r="K1807" s="320"/>
      <c r="L1807" s="178">
        <v>60.07</v>
      </c>
      <c r="M1807" s="178">
        <v>362.91</v>
      </c>
      <c r="N1807" s="179">
        <v>0</v>
      </c>
      <c r="O1807" s="178">
        <v>422.98</v>
      </c>
      <c r="P1807" s="453"/>
      <c r="Q1807" s="61"/>
      <c r="R1807" s="298"/>
      <c r="S1807" s="669"/>
      <c r="X1807" s="444">
        <v>1807</v>
      </c>
    </row>
    <row r="1808" spans="1:32" s="73" customFormat="1" ht="12">
      <c r="A1808" s="67" t="s">
        <v>40928</v>
      </c>
      <c r="B1808" s="465" t="s">
        <v>39787</v>
      </c>
      <c r="C1808" s="71" t="s">
        <v>103</v>
      </c>
      <c r="D1808" s="79">
        <v>1</v>
      </c>
      <c r="E1808" s="79">
        <v>1634.2799999999997</v>
      </c>
      <c r="F1808" s="79">
        <v>1634.28</v>
      </c>
      <c r="G1808" s="444"/>
      <c r="H1808" s="178">
        <v>1634.27</v>
      </c>
      <c r="I1808" s="178">
        <v>2010.15</v>
      </c>
      <c r="J1808" s="70">
        <v>-375.87000000000035</v>
      </c>
      <c r="K1808" s="320"/>
      <c r="L1808" s="178">
        <v>60.07</v>
      </c>
      <c r="M1808" s="178">
        <v>1574.2099999999998</v>
      </c>
      <c r="N1808" s="179">
        <v>0</v>
      </c>
      <c r="O1808" s="178">
        <v>1634.2799999999997</v>
      </c>
      <c r="P1808" s="453"/>
      <c r="Q1808" s="61"/>
      <c r="R1808" s="298"/>
      <c r="S1808" s="669"/>
      <c r="T1808" s="444"/>
      <c r="U1808" s="444"/>
      <c r="V1808" s="444"/>
      <c r="W1808" s="444"/>
      <c r="X1808" s="444">
        <v>1808</v>
      </c>
      <c r="Y1808" s="444"/>
      <c r="Z1808" s="444"/>
      <c r="AA1808" s="444"/>
      <c r="AB1808" s="444"/>
      <c r="AC1808" s="444"/>
      <c r="AD1808" s="444"/>
      <c r="AE1808" s="444"/>
      <c r="AF1808" s="444"/>
    </row>
    <row r="1809" spans="1:32" ht="12">
      <c r="A1809" s="83" t="s">
        <v>21253</v>
      </c>
      <c r="B1809" s="64" t="s">
        <v>21254</v>
      </c>
      <c r="C1809" s="71" t="s">
        <v>10216</v>
      </c>
      <c r="D1809" s="79">
        <v>1</v>
      </c>
      <c r="E1809" s="79">
        <v>577.26</v>
      </c>
      <c r="F1809" s="79">
        <v>577.26</v>
      </c>
      <c r="G1809" s="445"/>
      <c r="H1809" s="178">
        <v>577.25</v>
      </c>
      <c r="I1809" s="178">
        <v>710.02</v>
      </c>
      <c r="J1809" s="70">
        <v>-132.76</v>
      </c>
      <c r="K1809" s="320"/>
      <c r="L1809" s="178"/>
      <c r="M1809" s="178">
        <v>577.26</v>
      </c>
      <c r="N1809" s="179">
        <v>0</v>
      </c>
      <c r="O1809" s="178">
        <v>577.26</v>
      </c>
      <c r="P1809" s="453"/>
      <c r="Q1809" s="61"/>
      <c r="R1809" s="298"/>
      <c r="S1809" s="669"/>
      <c r="U1809" s="73"/>
      <c r="V1809" s="73"/>
      <c r="W1809" s="73"/>
      <c r="X1809" s="444">
        <v>1809</v>
      </c>
      <c r="Y1809" s="73"/>
      <c r="Z1809" s="73"/>
      <c r="AA1809" s="73"/>
      <c r="AB1809" s="73"/>
      <c r="AC1809" s="73"/>
      <c r="AD1809" s="73"/>
      <c r="AE1809" s="73"/>
      <c r="AF1809" s="73"/>
    </row>
    <row r="1810" spans="1:32" ht="12">
      <c r="A1810" s="83" t="s">
        <v>39788</v>
      </c>
      <c r="B1810" s="64" t="s">
        <v>39789</v>
      </c>
      <c r="C1810" s="71"/>
      <c r="D1810" s="79" t="s">
        <v>40899</v>
      </c>
      <c r="E1810" s="79" t="s">
        <v>40899</v>
      </c>
      <c r="F1810" s="79"/>
      <c r="G1810" s="445"/>
      <c r="H1810" s="178"/>
      <c r="I1810" s="178"/>
      <c r="J1810" s="70"/>
      <c r="K1810" s="320"/>
      <c r="L1810" s="178"/>
      <c r="M1810" s="178"/>
      <c r="N1810" s="179"/>
      <c r="O1810" s="178"/>
      <c r="P1810" s="453"/>
      <c r="Q1810" s="61"/>
      <c r="R1810" s="298"/>
      <c r="S1810" s="669"/>
      <c r="T1810" s="61"/>
      <c r="X1810" s="444">
        <v>1810</v>
      </c>
    </row>
    <row r="1811" spans="1:32" ht="12">
      <c r="A1811" s="83" t="s">
        <v>21255</v>
      </c>
      <c r="B1811" s="64" t="s">
        <v>21256</v>
      </c>
      <c r="C1811" s="71" t="s">
        <v>103</v>
      </c>
      <c r="D1811" s="79">
        <v>1</v>
      </c>
      <c r="E1811" s="79">
        <v>238.48999999999998</v>
      </c>
      <c r="F1811" s="79">
        <v>238.49</v>
      </c>
      <c r="G1811" s="445"/>
      <c r="H1811" s="178">
        <v>238.49</v>
      </c>
      <c r="I1811" s="178">
        <v>293.33999999999997</v>
      </c>
      <c r="J1811" s="70">
        <v>-54.849999999999994</v>
      </c>
      <c r="K1811" s="320"/>
      <c r="L1811" s="178">
        <v>174.76</v>
      </c>
      <c r="M1811" s="178">
        <v>63.72999999999999</v>
      </c>
      <c r="N1811" s="179">
        <v>0</v>
      </c>
      <c r="O1811" s="178">
        <v>238.48999999999998</v>
      </c>
      <c r="P1811" s="453"/>
      <c r="Q1811" s="61"/>
      <c r="R1811" s="298"/>
      <c r="S1811" s="669"/>
      <c r="X1811" s="444">
        <v>1811</v>
      </c>
    </row>
    <row r="1812" spans="1:32" ht="12">
      <c r="A1812" s="83" t="s">
        <v>21257</v>
      </c>
      <c r="B1812" s="64" t="s">
        <v>21258</v>
      </c>
      <c r="C1812" s="71" t="s">
        <v>103</v>
      </c>
      <c r="D1812" s="79">
        <v>1</v>
      </c>
      <c r="E1812" s="79">
        <v>277.66999999999996</v>
      </c>
      <c r="F1812" s="79">
        <v>277.67</v>
      </c>
      <c r="G1812" s="445"/>
      <c r="H1812" s="178">
        <v>277.67</v>
      </c>
      <c r="I1812" s="178">
        <v>341.53</v>
      </c>
      <c r="J1812" s="70">
        <v>-63.860000000000014</v>
      </c>
      <c r="K1812" s="320"/>
      <c r="L1812" s="178">
        <v>174.76</v>
      </c>
      <c r="M1812" s="178">
        <v>102.90999999999997</v>
      </c>
      <c r="N1812" s="179">
        <v>0</v>
      </c>
      <c r="O1812" s="178">
        <v>277.66999999999996</v>
      </c>
      <c r="P1812" s="453"/>
      <c r="Q1812" s="61"/>
      <c r="R1812" s="298"/>
      <c r="S1812" s="669"/>
      <c r="X1812" s="444">
        <v>1812</v>
      </c>
    </row>
    <row r="1813" spans="1:32" ht="12">
      <c r="A1813" s="83" t="s">
        <v>21259</v>
      </c>
      <c r="B1813" s="64" t="s">
        <v>21260</v>
      </c>
      <c r="C1813" s="71" t="s">
        <v>103</v>
      </c>
      <c r="D1813" s="79">
        <v>1</v>
      </c>
      <c r="E1813" s="79">
        <v>285.28999999999996</v>
      </c>
      <c r="F1813" s="79">
        <v>285.29000000000002</v>
      </c>
      <c r="G1813" s="445"/>
      <c r="H1813" s="178">
        <v>285.27999999999997</v>
      </c>
      <c r="I1813" s="178">
        <v>350.9</v>
      </c>
      <c r="J1813" s="70">
        <v>-65.610000000000014</v>
      </c>
      <c r="K1813" s="320"/>
      <c r="L1813" s="178">
        <v>174.76</v>
      </c>
      <c r="M1813" s="178">
        <v>110.52999999999997</v>
      </c>
      <c r="N1813" s="179">
        <v>0</v>
      </c>
      <c r="O1813" s="178">
        <v>285.28999999999996</v>
      </c>
      <c r="P1813" s="453"/>
      <c r="Q1813" s="61"/>
      <c r="R1813" s="298"/>
      <c r="S1813" s="669"/>
      <c r="X1813" s="444">
        <v>1813</v>
      </c>
    </row>
    <row r="1814" spans="1:32" ht="12">
      <c r="A1814" s="83" t="s">
        <v>21261</v>
      </c>
      <c r="B1814" s="64" t="s">
        <v>21262</v>
      </c>
      <c r="C1814" s="71" t="s">
        <v>103</v>
      </c>
      <c r="D1814" s="79">
        <v>1</v>
      </c>
      <c r="E1814" s="79">
        <v>253.67</v>
      </c>
      <c r="F1814" s="79">
        <v>253.67</v>
      </c>
      <c r="G1814" s="445"/>
      <c r="H1814" s="178">
        <v>253.67</v>
      </c>
      <c r="I1814" s="178">
        <v>312.01</v>
      </c>
      <c r="J1814" s="70">
        <v>-58.34</v>
      </c>
      <c r="K1814" s="320"/>
      <c r="L1814" s="178">
        <v>174.76</v>
      </c>
      <c r="M1814" s="178">
        <v>78.91</v>
      </c>
      <c r="N1814" s="179">
        <v>0</v>
      </c>
      <c r="O1814" s="178">
        <v>253.67</v>
      </c>
      <c r="P1814" s="453"/>
      <c r="Q1814" s="61"/>
      <c r="R1814" s="298"/>
      <c r="S1814" s="669"/>
      <c r="X1814" s="444">
        <v>1814</v>
      </c>
    </row>
    <row r="1815" spans="1:32" ht="12">
      <c r="A1815" s="65" t="s">
        <v>40929</v>
      </c>
      <c r="B1815" s="67" t="s">
        <v>39790</v>
      </c>
      <c r="C1815" s="108" t="s">
        <v>103</v>
      </c>
      <c r="D1815" s="79">
        <v>1</v>
      </c>
      <c r="E1815" s="79">
        <v>12.36</v>
      </c>
      <c r="F1815" s="79">
        <v>12.36</v>
      </c>
      <c r="H1815" s="178">
        <v>12.36</v>
      </c>
      <c r="I1815" s="178">
        <v>15.2</v>
      </c>
      <c r="J1815" s="70">
        <v>-2.84</v>
      </c>
      <c r="K1815" s="320"/>
      <c r="L1815" s="178">
        <v>10.92</v>
      </c>
      <c r="M1815" s="178">
        <v>1.4399999999999995</v>
      </c>
      <c r="N1815" s="179">
        <v>0</v>
      </c>
      <c r="O1815" s="178">
        <v>12.36</v>
      </c>
      <c r="Q1815" s="61"/>
      <c r="R1815" s="298"/>
      <c r="S1815" s="669"/>
      <c r="X1815" s="444">
        <v>1815</v>
      </c>
    </row>
    <row r="1816" spans="1:32" ht="12">
      <c r="A1816" s="83" t="s">
        <v>21263</v>
      </c>
      <c r="B1816" s="64" t="s">
        <v>21264</v>
      </c>
      <c r="C1816" s="71" t="s">
        <v>103</v>
      </c>
      <c r="D1816" s="79">
        <v>1</v>
      </c>
      <c r="E1816" s="79">
        <v>285.85000000000002</v>
      </c>
      <c r="F1816" s="79">
        <v>285.85000000000002</v>
      </c>
      <c r="G1816" s="445"/>
      <c r="H1816" s="178">
        <v>285.85000000000002</v>
      </c>
      <c r="I1816" s="178">
        <v>351.59</v>
      </c>
      <c r="J1816" s="70">
        <v>-65.739999999999952</v>
      </c>
      <c r="K1816" s="320"/>
      <c r="L1816" s="178">
        <v>174.76</v>
      </c>
      <c r="M1816" s="178">
        <v>111.09000000000003</v>
      </c>
      <c r="N1816" s="179">
        <v>0</v>
      </c>
      <c r="O1816" s="178">
        <v>285.85000000000002</v>
      </c>
      <c r="P1816" s="453"/>
      <c r="Q1816" s="61"/>
      <c r="R1816" s="298"/>
      <c r="S1816" s="669"/>
      <c r="X1816" s="444">
        <v>1816</v>
      </c>
    </row>
    <row r="1817" spans="1:32" ht="24">
      <c r="A1817" s="83" t="s">
        <v>21265</v>
      </c>
      <c r="B1817" s="64" t="s">
        <v>21266</v>
      </c>
      <c r="C1817" s="71" t="s">
        <v>103</v>
      </c>
      <c r="D1817" s="79">
        <v>1</v>
      </c>
      <c r="E1817" s="79">
        <v>373.74000000000007</v>
      </c>
      <c r="F1817" s="79">
        <v>373.74</v>
      </c>
      <c r="G1817" s="445"/>
      <c r="H1817" s="178">
        <v>373.73</v>
      </c>
      <c r="I1817" s="178">
        <v>459.69</v>
      </c>
      <c r="J1817" s="70">
        <v>-85.949999999999932</v>
      </c>
      <c r="K1817" s="320"/>
      <c r="L1817" s="178">
        <v>174.76</v>
      </c>
      <c r="M1817" s="178">
        <v>198.98000000000008</v>
      </c>
      <c r="N1817" s="179">
        <v>0</v>
      </c>
      <c r="O1817" s="178">
        <v>373.74000000000007</v>
      </c>
      <c r="P1817" s="453"/>
      <c r="Q1817" s="61"/>
      <c r="R1817" s="298"/>
      <c r="S1817" s="669"/>
      <c r="T1817" s="61"/>
      <c r="X1817" s="444">
        <v>1817</v>
      </c>
    </row>
    <row r="1818" spans="1:32" ht="12">
      <c r="A1818" s="83" t="s">
        <v>21267</v>
      </c>
      <c r="B1818" s="64" t="s">
        <v>21268</v>
      </c>
      <c r="C1818" s="71" t="s">
        <v>103</v>
      </c>
      <c r="D1818" s="79">
        <v>1</v>
      </c>
      <c r="E1818" s="79">
        <v>376.38000000000005</v>
      </c>
      <c r="F1818" s="79">
        <v>376.38</v>
      </c>
      <c r="G1818" s="445"/>
      <c r="H1818" s="178">
        <v>376.37</v>
      </c>
      <c r="I1818" s="178">
        <v>462.93</v>
      </c>
      <c r="J1818" s="70">
        <v>-86.549999999999955</v>
      </c>
      <c r="K1818" s="320"/>
      <c r="L1818" s="178">
        <v>174.76</v>
      </c>
      <c r="M1818" s="178">
        <v>201.62000000000006</v>
      </c>
      <c r="N1818" s="179">
        <v>0</v>
      </c>
      <c r="O1818" s="178">
        <v>376.38000000000005</v>
      </c>
      <c r="P1818" s="453"/>
      <c r="Q1818" s="61"/>
      <c r="R1818" s="298"/>
      <c r="S1818" s="669"/>
      <c r="T1818" s="61"/>
      <c r="X1818" s="444">
        <v>1818</v>
      </c>
    </row>
    <row r="1819" spans="1:32">
      <c r="A1819" s="67" t="s">
        <v>21269</v>
      </c>
      <c r="B1819" s="67" t="s">
        <v>39791</v>
      </c>
      <c r="C1819" s="71" t="s">
        <v>103</v>
      </c>
      <c r="D1819" s="79">
        <v>1</v>
      </c>
      <c r="E1819" s="79">
        <v>137.72</v>
      </c>
      <c r="F1819" s="79">
        <v>137.72</v>
      </c>
      <c r="G1819" s="69"/>
      <c r="H1819" s="178">
        <v>137.69</v>
      </c>
      <c r="I1819" s="752">
        <v>169.36</v>
      </c>
      <c r="J1819" s="70">
        <v>-31.640000000000015</v>
      </c>
      <c r="K1819" s="320"/>
      <c r="L1819" s="178">
        <v>81.94</v>
      </c>
      <c r="M1819" s="178">
        <v>55.78</v>
      </c>
      <c r="N1819" s="179">
        <v>0</v>
      </c>
      <c r="O1819" s="178">
        <v>137.72</v>
      </c>
      <c r="Q1819" s="61"/>
      <c r="R1819" s="298"/>
      <c r="S1819" s="669"/>
      <c r="X1819" s="444">
        <v>1819</v>
      </c>
    </row>
    <row r="1820" spans="1:32" ht="12">
      <c r="A1820" s="65" t="s">
        <v>40930</v>
      </c>
      <c r="B1820" s="67" t="s">
        <v>29993</v>
      </c>
      <c r="C1820" s="108" t="s">
        <v>103</v>
      </c>
      <c r="D1820" s="79">
        <v>1</v>
      </c>
      <c r="E1820" s="79">
        <v>231.52999999999997</v>
      </c>
      <c r="F1820" s="79">
        <v>231.53</v>
      </c>
      <c r="H1820" s="178">
        <v>231.52</v>
      </c>
      <c r="I1820" s="178">
        <v>284.77</v>
      </c>
      <c r="J1820" s="70">
        <v>-53.240000000000009</v>
      </c>
      <c r="K1820" s="320"/>
      <c r="L1820" s="178">
        <v>174.76</v>
      </c>
      <c r="M1820" s="178">
        <v>56.769999999999982</v>
      </c>
      <c r="N1820" s="179">
        <v>0</v>
      </c>
      <c r="O1820" s="178">
        <v>231.52999999999997</v>
      </c>
      <c r="Q1820" s="61"/>
      <c r="R1820" s="298"/>
      <c r="S1820" s="669"/>
      <c r="X1820" s="444">
        <v>1820</v>
      </c>
    </row>
    <row r="1821" spans="1:32" ht="12">
      <c r="A1821" s="65" t="s">
        <v>40931</v>
      </c>
      <c r="B1821" s="67" t="s">
        <v>29994</v>
      </c>
      <c r="C1821" s="108" t="s">
        <v>103</v>
      </c>
      <c r="D1821" s="79">
        <v>1</v>
      </c>
      <c r="E1821" s="79">
        <v>232.04</v>
      </c>
      <c r="F1821" s="79">
        <v>232.04</v>
      </c>
      <c r="H1821" s="178">
        <v>232.03</v>
      </c>
      <c r="I1821" s="178">
        <v>285.39999999999998</v>
      </c>
      <c r="J1821" s="70">
        <v>-53.359999999999985</v>
      </c>
      <c r="K1821" s="320"/>
      <c r="L1821" s="178">
        <v>174.76</v>
      </c>
      <c r="M1821" s="178">
        <v>57.28</v>
      </c>
      <c r="N1821" s="179">
        <v>0</v>
      </c>
      <c r="O1821" s="178">
        <v>232.04</v>
      </c>
      <c r="Q1821" s="61"/>
      <c r="R1821" s="298"/>
      <c r="S1821" s="669"/>
      <c r="X1821" s="444">
        <v>1821</v>
      </c>
    </row>
    <row r="1822" spans="1:32" ht="12">
      <c r="A1822" s="65" t="s">
        <v>40932</v>
      </c>
      <c r="B1822" s="67" t="s">
        <v>39792</v>
      </c>
      <c r="C1822" s="108" t="s">
        <v>103</v>
      </c>
      <c r="D1822" s="79">
        <v>1</v>
      </c>
      <c r="E1822" s="79">
        <v>232.57</v>
      </c>
      <c r="F1822" s="79">
        <v>232.57</v>
      </c>
      <c r="H1822" s="178">
        <v>232.56</v>
      </c>
      <c r="I1822" s="178">
        <v>286.05</v>
      </c>
      <c r="J1822" s="70">
        <v>-53.480000000000018</v>
      </c>
      <c r="K1822" s="320"/>
      <c r="L1822" s="178">
        <v>174.76</v>
      </c>
      <c r="M1822" s="178">
        <v>57.81</v>
      </c>
      <c r="N1822" s="179">
        <v>0</v>
      </c>
      <c r="O1822" s="178">
        <v>232.57</v>
      </c>
      <c r="Q1822" s="61"/>
      <c r="R1822" s="298"/>
      <c r="S1822" s="669"/>
      <c r="X1822" s="444">
        <v>1822</v>
      </c>
    </row>
    <row r="1823" spans="1:32" ht="12">
      <c r="A1823" s="83" t="s">
        <v>21270</v>
      </c>
      <c r="B1823" s="64" t="s">
        <v>9221</v>
      </c>
      <c r="C1823" s="71" t="s">
        <v>103</v>
      </c>
      <c r="D1823" s="79">
        <v>1</v>
      </c>
      <c r="E1823" s="79">
        <v>96.19</v>
      </c>
      <c r="F1823" s="79">
        <v>96.19</v>
      </c>
      <c r="G1823" s="445"/>
      <c r="H1823" s="178">
        <v>96.19</v>
      </c>
      <c r="I1823" s="178">
        <v>118.31</v>
      </c>
      <c r="J1823" s="70">
        <v>-22.120000000000005</v>
      </c>
      <c r="K1823" s="320"/>
      <c r="L1823" s="178">
        <v>43.69</v>
      </c>
      <c r="M1823" s="178">
        <v>52.5</v>
      </c>
      <c r="N1823" s="179">
        <v>0</v>
      </c>
      <c r="O1823" s="178">
        <v>96.19</v>
      </c>
      <c r="P1823" s="453"/>
      <c r="Q1823" s="61"/>
      <c r="R1823" s="298"/>
      <c r="S1823" s="669"/>
      <c r="U1823" s="69"/>
      <c r="V1823" s="69"/>
      <c r="W1823" s="69"/>
      <c r="X1823" s="444">
        <v>1823</v>
      </c>
      <c r="Y1823" s="69"/>
      <c r="Z1823" s="69"/>
      <c r="AA1823" s="69"/>
      <c r="AB1823" s="69"/>
      <c r="AC1823" s="69"/>
      <c r="AD1823" s="69"/>
      <c r="AE1823" s="69"/>
      <c r="AF1823" s="69"/>
    </row>
    <row r="1824" spans="1:32" ht="12">
      <c r="A1824" s="83" t="s">
        <v>21271</v>
      </c>
      <c r="B1824" s="64" t="s">
        <v>21272</v>
      </c>
      <c r="C1824" s="71" t="s">
        <v>10216</v>
      </c>
      <c r="D1824" s="79">
        <v>1</v>
      </c>
      <c r="E1824" s="79">
        <v>577.26</v>
      </c>
      <c r="F1824" s="79">
        <v>577.26</v>
      </c>
      <c r="G1824" s="445"/>
      <c r="H1824" s="178">
        <v>577.25</v>
      </c>
      <c r="I1824" s="178">
        <v>710.02</v>
      </c>
      <c r="J1824" s="70">
        <v>-132.76</v>
      </c>
      <c r="K1824" s="320"/>
      <c r="L1824" s="178">
        <v>0</v>
      </c>
      <c r="M1824" s="178">
        <v>577.26</v>
      </c>
      <c r="N1824" s="179">
        <v>0</v>
      </c>
      <c r="O1824" s="178">
        <v>577.26</v>
      </c>
      <c r="P1824" s="453"/>
      <c r="Q1824" s="61"/>
      <c r="R1824" s="298"/>
      <c r="S1824" s="669"/>
      <c r="U1824" s="73"/>
      <c r="V1824" s="73"/>
      <c r="W1824" s="73"/>
      <c r="X1824" s="444">
        <v>1824</v>
      </c>
      <c r="Y1824" s="73"/>
      <c r="Z1824" s="73"/>
      <c r="AA1824" s="73"/>
      <c r="AB1824" s="73"/>
      <c r="AC1824" s="73"/>
      <c r="AD1824" s="73"/>
      <c r="AE1824" s="73"/>
      <c r="AF1824" s="73"/>
    </row>
    <row r="1825" spans="1:32" ht="12">
      <c r="A1825" s="83" t="s">
        <v>39788</v>
      </c>
      <c r="B1825" s="64" t="s">
        <v>39793</v>
      </c>
      <c r="C1825" s="71"/>
      <c r="D1825" s="79" t="s">
        <v>40899</v>
      </c>
      <c r="E1825" s="79" t="s">
        <v>40899</v>
      </c>
      <c r="F1825" s="79"/>
      <c r="G1825" s="445"/>
      <c r="H1825" s="178"/>
      <c r="I1825" s="178"/>
      <c r="J1825" s="70"/>
      <c r="K1825" s="320"/>
      <c r="L1825" s="178"/>
      <c r="M1825" s="178"/>
      <c r="N1825" s="179"/>
      <c r="O1825" s="178"/>
      <c r="P1825" s="453"/>
      <c r="Q1825" s="61"/>
      <c r="R1825" s="298"/>
      <c r="S1825" s="669"/>
      <c r="T1825" s="61"/>
      <c r="U1825" s="73"/>
      <c r="V1825" s="73"/>
      <c r="W1825" s="73"/>
      <c r="X1825" s="444">
        <v>1825</v>
      </c>
      <c r="Y1825" s="73"/>
      <c r="Z1825" s="73"/>
      <c r="AA1825" s="73"/>
      <c r="AB1825" s="73"/>
      <c r="AC1825" s="73"/>
      <c r="AD1825" s="73"/>
      <c r="AE1825" s="73"/>
      <c r="AF1825" s="73"/>
    </row>
    <row r="1826" spans="1:32" ht="24">
      <c r="A1826" s="65" t="s">
        <v>21273</v>
      </c>
      <c r="B1826" s="456" t="s">
        <v>39794</v>
      </c>
      <c r="C1826" s="108" t="s">
        <v>103</v>
      </c>
      <c r="D1826" s="79">
        <v>1</v>
      </c>
      <c r="E1826" s="79">
        <v>356.03000000000003</v>
      </c>
      <c r="F1826" s="79">
        <v>356.03</v>
      </c>
      <c r="H1826" s="178">
        <v>356.02</v>
      </c>
      <c r="I1826" s="178">
        <v>437.91</v>
      </c>
      <c r="J1826" s="70">
        <v>-81.88</v>
      </c>
      <c r="K1826" s="320"/>
      <c r="L1826" s="178">
        <v>109.22</v>
      </c>
      <c r="M1826" s="178">
        <v>246.81000000000003</v>
      </c>
      <c r="N1826" s="179">
        <v>0</v>
      </c>
      <c r="O1826" s="178">
        <v>356.03000000000003</v>
      </c>
      <c r="P1826" s="453"/>
      <c r="Q1826" s="61"/>
      <c r="R1826" s="298"/>
      <c r="S1826" s="669"/>
      <c r="X1826" s="444">
        <v>1826</v>
      </c>
    </row>
    <row r="1827" spans="1:32" s="73" customFormat="1" ht="24">
      <c r="A1827" s="65" t="s">
        <v>21274</v>
      </c>
      <c r="B1827" s="456" t="s">
        <v>21275</v>
      </c>
      <c r="C1827" s="108" t="s">
        <v>103</v>
      </c>
      <c r="D1827" s="79">
        <v>1</v>
      </c>
      <c r="E1827" s="79">
        <v>2800.8900000000003</v>
      </c>
      <c r="F1827" s="79">
        <v>2800.89</v>
      </c>
      <c r="G1827" s="444"/>
      <c r="H1827" s="178">
        <v>2800.89</v>
      </c>
      <c r="I1827" s="178">
        <v>3445.09</v>
      </c>
      <c r="J1827" s="70">
        <v>-644.19999999999982</v>
      </c>
      <c r="K1827" s="320"/>
      <c r="L1827" s="178">
        <v>470.48</v>
      </c>
      <c r="M1827" s="178">
        <v>2330.4100000000003</v>
      </c>
      <c r="N1827" s="179">
        <v>0</v>
      </c>
      <c r="O1827" s="178">
        <v>2800.8900000000003</v>
      </c>
      <c r="P1827" s="453"/>
      <c r="Q1827" s="61"/>
      <c r="R1827" s="298"/>
      <c r="S1827" s="669"/>
      <c r="T1827" s="444"/>
      <c r="U1827" s="444"/>
      <c r="V1827" s="444"/>
      <c r="W1827" s="444"/>
      <c r="X1827" s="444">
        <v>1827</v>
      </c>
      <c r="Y1827" s="444"/>
      <c r="Z1827" s="444"/>
      <c r="AA1827" s="444"/>
      <c r="AB1827" s="444"/>
      <c r="AC1827" s="444"/>
      <c r="AD1827" s="444"/>
      <c r="AE1827" s="444"/>
      <c r="AF1827" s="444"/>
    </row>
    <row r="1828" spans="1:32" ht="24">
      <c r="A1828" s="65" t="s">
        <v>21276</v>
      </c>
      <c r="B1828" s="456" t="s">
        <v>39795</v>
      </c>
      <c r="C1828" s="108" t="s">
        <v>103</v>
      </c>
      <c r="D1828" s="79">
        <v>1</v>
      </c>
      <c r="E1828" s="79">
        <v>2529.2999999999997</v>
      </c>
      <c r="F1828" s="79">
        <v>2529.3000000000002</v>
      </c>
      <c r="G1828" s="445"/>
      <c r="H1828" s="178">
        <v>2529.3000000000002</v>
      </c>
      <c r="I1828" s="178">
        <v>3111.04</v>
      </c>
      <c r="J1828" s="70">
        <v>-581.74000000000024</v>
      </c>
      <c r="K1828" s="320"/>
      <c r="L1828" s="178">
        <v>470.48</v>
      </c>
      <c r="M1828" s="178">
        <v>2058.8199999999997</v>
      </c>
      <c r="N1828" s="179">
        <v>0</v>
      </c>
      <c r="O1828" s="178">
        <v>2529.2999999999997</v>
      </c>
      <c r="P1828" s="453"/>
      <c r="Q1828" s="61"/>
      <c r="R1828" s="298"/>
      <c r="S1828" s="669"/>
      <c r="X1828" s="444">
        <v>1828</v>
      </c>
    </row>
    <row r="1829" spans="1:32" ht="24">
      <c r="A1829" s="65" t="s">
        <v>21277</v>
      </c>
      <c r="B1829" s="456" t="s">
        <v>39796</v>
      </c>
      <c r="C1829" s="108" t="s">
        <v>103</v>
      </c>
      <c r="D1829" s="79">
        <v>1</v>
      </c>
      <c r="E1829" s="79">
        <v>775.13000000000011</v>
      </c>
      <c r="F1829" s="79">
        <v>775.13</v>
      </c>
      <c r="H1829" s="178">
        <v>775.13</v>
      </c>
      <c r="I1829" s="178">
        <v>953.41</v>
      </c>
      <c r="J1829" s="70">
        <v>-178.27999999999986</v>
      </c>
      <c r="K1829" s="320"/>
      <c r="L1829" s="178">
        <v>109.22</v>
      </c>
      <c r="M1829" s="178">
        <v>665.91000000000008</v>
      </c>
      <c r="N1829" s="179">
        <v>0</v>
      </c>
      <c r="O1829" s="178">
        <v>775.13000000000011</v>
      </c>
      <c r="P1829" s="453"/>
      <c r="Q1829" s="61"/>
      <c r="R1829" s="298"/>
      <c r="S1829" s="669"/>
      <c r="X1829" s="444">
        <v>1829</v>
      </c>
    </row>
    <row r="1830" spans="1:32" ht="24">
      <c r="A1830" s="65" t="s">
        <v>21278</v>
      </c>
      <c r="B1830" s="456" t="s">
        <v>39797</v>
      </c>
      <c r="C1830" s="108" t="s">
        <v>103</v>
      </c>
      <c r="D1830" s="79">
        <v>1</v>
      </c>
      <c r="E1830" s="79">
        <v>5631.3499999999995</v>
      </c>
      <c r="F1830" s="79">
        <v>5631.35</v>
      </c>
      <c r="H1830" s="178">
        <v>5631.32</v>
      </c>
      <c r="I1830" s="178">
        <v>6926.52</v>
      </c>
      <c r="J1830" s="70">
        <v>-1295.170000000001</v>
      </c>
      <c r="K1830" s="320"/>
      <c r="L1830" s="178">
        <v>665.57999999999993</v>
      </c>
      <c r="M1830" s="178">
        <v>4965.7699999999995</v>
      </c>
      <c r="N1830" s="179">
        <v>0</v>
      </c>
      <c r="O1830" s="178">
        <v>5631.3499999999995</v>
      </c>
      <c r="P1830" s="453"/>
      <c r="Q1830" s="61"/>
      <c r="R1830" s="298"/>
      <c r="S1830" s="669"/>
      <c r="X1830" s="444">
        <v>1830</v>
      </c>
    </row>
    <row r="1831" spans="1:32" s="69" customFormat="1" ht="24">
      <c r="A1831" s="65" t="s">
        <v>21279</v>
      </c>
      <c r="B1831" s="456" t="s">
        <v>39798</v>
      </c>
      <c r="C1831" s="108" t="s">
        <v>103</v>
      </c>
      <c r="D1831" s="79">
        <v>1</v>
      </c>
      <c r="E1831" s="79">
        <v>3223.9400000000005</v>
      </c>
      <c r="F1831" s="79">
        <v>3223.94</v>
      </c>
      <c r="G1831" s="444"/>
      <c r="H1831" s="178">
        <v>3223.91</v>
      </c>
      <c r="I1831" s="178">
        <v>3965.41</v>
      </c>
      <c r="J1831" s="70">
        <v>-741.46999999999935</v>
      </c>
      <c r="K1831" s="320"/>
      <c r="L1831" s="178">
        <v>665.57999999999993</v>
      </c>
      <c r="M1831" s="178">
        <v>2558.3600000000006</v>
      </c>
      <c r="N1831" s="179">
        <v>0</v>
      </c>
      <c r="O1831" s="178">
        <v>3223.9400000000005</v>
      </c>
      <c r="P1831" s="453"/>
      <c r="Q1831" s="61"/>
      <c r="R1831" s="298"/>
      <c r="S1831" s="669"/>
      <c r="T1831" s="444"/>
      <c r="U1831" s="444"/>
      <c r="V1831" s="444"/>
      <c r="W1831" s="444"/>
      <c r="X1831" s="444">
        <v>1831</v>
      </c>
      <c r="Y1831" s="444"/>
      <c r="Z1831" s="444"/>
      <c r="AA1831" s="444"/>
      <c r="AB1831" s="444"/>
      <c r="AC1831" s="444"/>
      <c r="AD1831" s="444"/>
      <c r="AE1831" s="444"/>
      <c r="AF1831" s="444"/>
    </row>
    <row r="1832" spans="1:32" ht="12">
      <c r="A1832" s="65" t="s">
        <v>21280</v>
      </c>
      <c r="B1832" s="65" t="s">
        <v>39799</v>
      </c>
      <c r="C1832" s="108" t="s">
        <v>103</v>
      </c>
      <c r="D1832" s="79">
        <v>1</v>
      </c>
      <c r="E1832" s="79">
        <v>2918.33</v>
      </c>
      <c r="F1832" s="79">
        <v>2918.33</v>
      </c>
      <c r="G1832" s="445"/>
      <c r="H1832" s="178">
        <v>2918.28</v>
      </c>
      <c r="I1832" s="178">
        <v>3589.48</v>
      </c>
      <c r="J1832" s="70">
        <v>-671.15000000000009</v>
      </c>
      <c r="K1832" s="320"/>
      <c r="L1832" s="178">
        <v>566.29999999999995</v>
      </c>
      <c r="M1832" s="178">
        <v>2352.0299999999997</v>
      </c>
      <c r="N1832" s="179">
        <v>0</v>
      </c>
      <c r="O1832" s="178">
        <v>2918.33</v>
      </c>
      <c r="P1832" s="453"/>
      <c r="Q1832" s="61"/>
      <c r="R1832" s="298"/>
      <c r="S1832" s="669"/>
      <c r="X1832" s="444">
        <v>1832</v>
      </c>
    </row>
    <row r="1833" spans="1:32" ht="24">
      <c r="A1833" s="65" t="s">
        <v>21281</v>
      </c>
      <c r="B1833" s="456" t="s">
        <v>39800</v>
      </c>
      <c r="C1833" s="108" t="s">
        <v>103</v>
      </c>
      <c r="D1833" s="462">
        <v>1</v>
      </c>
      <c r="E1833" s="470">
        <v>3457.27</v>
      </c>
      <c r="F1833" s="79">
        <v>3457.27</v>
      </c>
      <c r="H1833" s="70">
        <v>3457.29</v>
      </c>
      <c r="I1833" s="178">
        <v>4252.47</v>
      </c>
      <c r="J1833" s="70">
        <v>-795.20000000000027</v>
      </c>
      <c r="K1833" s="320"/>
      <c r="L1833" s="178">
        <v>593.57999999999993</v>
      </c>
      <c r="M1833" s="178">
        <v>2863.69</v>
      </c>
      <c r="N1833" s="179">
        <v>0</v>
      </c>
      <c r="O1833" s="178">
        <v>3457.27</v>
      </c>
      <c r="P1833" s="453"/>
      <c r="Q1833" s="61"/>
      <c r="R1833" s="298"/>
      <c r="S1833" s="669"/>
      <c r="X1833" s="444">
        <v>1833</v>
      </c>
    </row>
    <row r="1834" spans="1:32" ht="12">
      <c r="A1834" s="83" t="s">
        <v>21282</v>
      </c>
      <c r="B1834" s="64" t="s">
        <v>21283</v>
      </c>
      <c r="C1834" s="71" t="s">
        <v>103</v>
      </c>
      <c r="D1834" s="79">
        <v>1</v>
      </c>
      <c r="E1834" s="79">
        <v>3792.31</v>
      </c>
      <c r="F1834" s="79">
        <v>3792.31</v>
      </c>
      <c r="G1834" s="445"/>
      <c r="H1834" s="178">
        <v>3792.31</v>
      </c>
      <c r="I1834" s="178">
        <v>4664.54</v>
      </c>
      <c r="J1834" s="70">
        <v>-872.23</v>
      </c>
      <c r="K1834" s="320"/>
      <c r="L1834" s="178">
        <v>680.61</v>
      </c>
      <c r="M1834" s="178">
        <v>3111.7</v>
      </c>
      <c r="N1834" s="179">
        <v>0</v>
      </c>
      <c r="O1834" s="178">
        <v>3792.31</v>
      </c>
      <c r="P1834" s="453"/>
      <c r="Q1834" s="61"/>
      <c r="R1834" s="298"/>
      <c r="S1834" s="669"/>
      <c r="X1834" s="444">
        <v>1834</v>
      </c>
    </row>
    <row r="1835" spans="1:32" s="73" customFormat="1" ht="12">
      <c r="A1835" s="83" t="s">
        <v>21284</v>
      </c>
      <c r="B1835" s="64" t="s">
        <v>21285</v>
      </c>
      <c r="C1835" s="71" t="s">
        <v>103</v>
      </c>
      <c r="D1835" s="79">
        <v>1</v>
      </c>
      <c r="E1835" s="79">
        <v>2810.9200000000005</v>
      </c>
      <c r="F1835" s="79">
        <v>2810.92</v>
      </c>
      <c r="G1835" s="445"/>
      <c r="H1835" s="178">
        <v>2810.92</v>
      </c>
      <c r="I1835" s="178">
        <v>3457.43</v>
      </c>
      <c r="J1835" s="70">
        <v>-646.50999999999931</v>
      </c>
      <c r="K1835" s="320"/>
      <c r="L1835" s="178">
        <v>526.72</v>
      </c>
      <c r="M1835" s="178">
        <v>2284.2000000000007</v>
      </c>
      <c r="N1835" s="179">
        <v>0</v>
      </c>
      <c r="O1835" s="178">
        <v>2810.920000000001</v>
      </c>
      <c r="P1835" s="453"/>
      <c r="Q1835" s="61"/>
      <c r="R1835" s="298"/>
      <c r="S1835" s="669"/>
      <c r="T1835" s="444"/>
      <c r="U1835" s="444"/>
      <c r="V1835" s="444"/>
      <c r="W1835" s="444"/>
      <c r="X1835" s="444">
        <v>1835</v>
      </c>
      <c r="Y1835" s="444"/>
      <c r="Z1835" s="444"/>
      <c r="AA1835" s="444"/>
      <c r="AB1835" s="444"/>
      <c r="AC1835" s="444"/>
      <c r="AD1835" s="444"/>
      <c r="AE1835" s="444"/>
      <c r="AF1835" s="444"/>
    </row>
    <row r="1836" spans="1:32" ht="12">
      <c r="A1836" s="83" t="s">
        <v>21286</v>
      </c>
      <c r="B1836" s="64" t="s">
        <v>21287</v>
      </c>
      <c r="C1836" s="71" t="s">
        <v>103</v>
      </c>
      <c r="D1836" s="79">
        <v>1</v>
      </c>
      <c r="E1836" s="79">
        <v>407.81</v>
      </c>
      <c r="F1836" s="79">
        <v>407.81</v>
      </c>
      <c r="G1836" s="445"/>
      <c r="H1836" s="178">
        <v>407.8</v>
      </c>
      <c r="I1836" s="178">
        <v>501.59</v>
      </c>
      <c r="J1836" s="70">
        <v>-93.779999999999973</v>
      </c>
      <c r="K1836" s="320"/>
      <c r="L1836" s="178">
        <v>114.69</v>
      </c>
      <c r="M1836" s="178">
        <v>293.12</v>
      </c>
      <c r="N1836" s="179">
        <v>0</v>
      </c>
      <c r="O1836" s="178">
        <v>407.81</v>
      </c>
      <c r="P1836" s="453"/>
      <c r="Q1836" s="61"/>
      <c r="R1836" s="298"/>
      <c r="S1836" s="669"/>
      <c r="X1836" s="444">
        <v>1836</v>
      </c>
    </row>
    <row r="1837" spans="1:32" ht="12">
      <c r="A1837" s="459" t="s">
        <v>21288</v>
      </c>
      <c r="B1837" s="64" t="s">
        <v>21289</v>
      </c>
      <c r="C1837" s="71" t="s">
        <v>103</v>
      </c>
      <c r="D1837" s="79">
        <v>1</v>
      </c>
      <c r="E1837" s="79">
        <v>197.23000000000002</v>
      </c>
      <c r="F1837" s="79">
        <v>197.23</v>
      </c>
      <c r="G1837" s="460"/>
      <c r="H1837" s="766">
        <v>197.22</v>
      </c>
      <c r="I1837" s="766">
        <v>242.58</v>
      </c>
      <c r="J1837" s="500">
        <v>-45.349999999999994</v>
      </c>
      <c r="K1837" s="466"/>
      <c r="L1837" s="766">
        <v>54.61</v>
      </c>
      <c r="M1837" s="766">
        <v>142.62</v>
      </c>
      <c r="N1837" s="767">
        <v>0</v>
      </c>
      <c r="O1837" s="766">
        <v>197.23000000000002</v>
      </c>
      <c r="P1837" s="446"/>
      <c r="Q1837" s="61"/>
      <c r="R1837" s="298"/>
      <c r="S1837" s="669"/>
      <c r="T1837" s="73"/>
      <c r="X1837" s="444">
        <v>1837</v>
      </c>
    </row>
    <row r="1838" spans="1:32" ht="12">
      <c r="A1838" s="67" t="s">
        <v>40933</v>
      </c>
      <c r="B1838" s="64" t="s">
        <v>39801</v>
      </c>
      <c r="C1838" s="71" t="s">
        <v>103</v>
      </c>
      <c r="D1838" s="79">
        <v>1</v>
      </c>
      <c r="E1838" s="79">
        <v>184.61</v>
      </c>
      <c r="F1838" s="79">
        <v>184.61</v>
      </c>
      <c r="H1838" s="178">
        <v>184.6</v>
      </c>
      <c r="I1838" s="178">
        <v>227.06</v>
      </c>
      <c r="J1838" s="70">
        <v>-42.449999999999989</v>
      </c>
      <c r="K1838" s="320"/>
      <c r="L1838" s="178">
        <v>54.61</v>
      </c>
      <c r="M1838" s="178">
        <v>130</v>
      </c>
      <c r="N1838" s="179">
        <v>0</v>
      </c>
      <c r="O1838" s="178">
        <v>184.61</v>
      </c>
      <c r="P1838" s="453"/>
      <c r="Q1838" s="61"/>
      <c r="R1838" s="298"/>
      <c r="S1838" s="669"/>
      <c r="X1838" s="444">
        <v>1838</v>
      </c>
    </row>
    <row r="1839" spans="1:32" ht="12">
      <c r="A1839" s="67" t="s">
        <v>40934</v>
      </c>
      <c r="B1839" s="64" t="s">
        <v>39802</v>
      </c>
      <c r="C1839" s="71" t="s">
        <v>103</v>
      </c>
      <c r="D1839" s="79">
        <v>1</v>
      </c>
      <c r="E1839" s="79">
        <v>497.59</v>
      </c>
      <c r="F1839" s="79">
        <v>497.59</v>
      </c>
      <c r="H1839" s="178">
        <v>497.58</v>
      </c>
      <c r="I1839" s="178">
        <v>612.02</v>
      </c>
      <c r="J1839" s="70">
        <v>-114.43</v>
      </c>
      <c r="K1839" s="320"/>
      <c r="L1839" s="178">
        <v>54.61</v>
      </c>
      <c r="M1839" s="178">
        <v>442.97999999999996</v>
      </c>
      <c r="N1839" s="179">
        <v>0</v>
      </c>
      <c r="O1839" s="178">
        <v>497.59</v>
      </c>
      <c r="P1839" s="453"/>
      <c r="Q1839" s="61"/>
      <c r="R1839" s="298"/>
      <c r="S1839" s="669"/>
      <c r="X1839" s="444">
        <v>1839</v>
      </c>
    </row>
    <row r="1840" spans="1:32" ht="12">
      <c r="A1840" s="83" t="s">
        <v>21290</v>
      </c>
      <c r="B1840" s="64" t="s">
        <v>21291</v>
      </c>
      <c r="C1840" s="71" t="s">
        <v>103</v>
      </c>
      <c r="D1840" s="79">
        <v>1</v>
      </c>
      <c r="E1840" s="79">
        <v>2655.9</v>
      </c>
      <c r="F1840" s="79">
        <v>2655.9</v>
      </c>
      <c r="G1840" s="445"/>
      <c r="H1840" s="178">
        <v>2655.91</v>
      </c>
      <c r="I1840" s="178">
        <v>3266.77</v>
      </c>
      <c r="J1840" s="70">
        <v>-610.86999999999989</v>
      </c>
      <c r="K1840" s="320"/>
      <c r="L1840" s="178">
        <v>538.88</v>
      </c>
      <c r="M1840" s="178">
        <v>2117.02</v>
      </c>
      <c r="N1840" s="179">
        <v>0</v>
      </c>
      <c r="O1840" s="178">
        <v>2655.9</v>
      </c>
      <c r="P1840" s="453"/>
      <c r="Q1840" s="61"/>
      <c r="R1840" s="298"/>
      <c r="S1840" s="669"/>
      <c r="U1840" s="73"/>
      <c r="V1840" s="73"/>
      <c r="W1840" s="73"/>
      <c r="X1840" s="444">
        <v>1840</v>
      </c>
      <c r="Y1840" s="73"/>
      <c r="Z1840" s="73"/>
      <c r="AA1840" s="73"/>
      <c r="AB1840" s="73"/>
      <c r="AC1840" s="73"/>
      <c r="AD1840" s="73"/>
      <c r="AE1840" s="73"/>
      <c r="AF1840" s="73"/>
    </row>
    <row r="1841" spans="1:32" ht="12">
      <c r="A1841" s="83" t="s">
        <v>21292</v>
      </c>
      <c r="B1841" s="64" t="s">
        <v>21293</v>
      </c>
      <c r="C1841" s="71" t="s">
        <v>103</v>
      </c>
      <c r="D1841" s="79">
        <v>1</v>
      </c>
      <c r="E1841" s="79">
        <v>3162.22</v>
      </c>
      <c r="F1841" s="79">
        <v>3162.22</v>
      </c>
      <c r="G1841" s="445"/>
      <c r="H1841" s="178">
        <v>3162.24</v>
      </c>
      <c r="I1841" s="178">
        <v>3889.55</v>
      </c>
      <c r="J1841" s="70">
        <v>-727.33000000000038</v>
      </c>
      <c r="K1841" s="320"/>
      <c r="L1841" s="178">
        <v>538.88</v>
      </c>
      <c r="M1841" s="178">
        <v>2623.3399999999997</v>
      </c>
      <c r="N1841" s="179">
        <v>0</v>
      </c>
      <c r="O1841" s="178">
        <v>3162.22</v>
      </c>
      <c r="P1841" s="453"/>
      <c r="Q1841" s="61"/>
      <c r="R1841" s="298"/>
      <c r="S1841" s="669"/>
      <c r="X1841" s="444">
        <v>1841</v>
      </c>
    </row>
    <row r="1842" spans="1:32" ht="12">
      <c r="A1842" s="83" t="s">
        <v>21294</v>
      </c>
      <c r="B1842" s="64" t="s">
        <v>21295</v>
      </c>
      <c r="C1842" s="71" t="s">
        <v>103</v>
      </c>
      <c r="D1842" s="79">
        <v>1</v>
      </c>
      <c r="E1842" s="79">
        <v>3865.1899999999996</v>
      </c>
      <c r="F1842" s="79">
        <v>3865.19</v>
      </c>
      <c r="G1842" s="445"/>
      <c r="H1842" s="178">
        <v>3865.2</v>
      </c>
      <c r="I1842" s="178">
        <v>4754.2</v>
      </c>
      <c r="J1842" s="70">
        <v>-889.01000000000022</v>
      </c>
      <c r="K1842" s="320"/>
      <c r="L1842" s="178">
        <v>538.88</v>
      </c>
      <c r="M1842" s="178">
        <v>3326.3099999999995</v>
      </c>
      <c r="N1842" s="179">
        <v>0</v>
      </c>
      <c r="O1842" s="178">
        <v>3865.1899999999996</v>
      </c>
      <c r="P1842" s="453"/>
      <c r="Q1842" s="61"/>
      <c r="R1842" s="298"/>
      <c r="S1842" s="669"/>
      <c r="X1842" s="444">
        <v>1842</v>
      </c>
    </row>
    <row r="1843" spans="1:32" ht="12">
      <c r="A1843" s="83" t="s">
        <v>21296</v>
      </c>
      <c r="B1843" s="64" t="s">
        <v>21254</v>
      </c>
      <c r="C1843" s="71" t="s">
        <v>10216</v>
      </c>
      <c r="D1843" s="79">
        <v>1</v>
      </c>
      <c r="E1843" s="79">
        <v>577.26</v>
      </c>
      <c r="F1843" s="79">
        <v>577.26</v>
      </c>
      <c r="G1843" s="445"/>
      <c r="H1843" s="178">
        <v>577.25</v>
      </c>
      <c r="I1843" s="178">
        <v>710.02</v>
      </c>
      <c r="J1843" s="70">
        <v>-132.76</v>
      </c>
      <c r="K1843" s="320"/>
      <c r="L1843" s="178"/>
      <c r="M1843" s="178">
        <v>577.26</v>
      </c>
      <c r="N1843" s="179">
        <v>0</v>
      </c>
      <c r="O1843" s="178">
        <v>577.26</v>
      </c>
      <c r="P1843" s="453"/>
      <c r="Q1843" s="61"/>
      <c r="R1843" s="298"/>
      <c r="S1843" s="669"/>
      <c r="X1843" s="444">
        <v>1843</v>
      </c>
    </row>
    <row r="1844" spans="1:32" ht="12">
      <c r="A1844" s="83" t="s">
        <v>21297</v>
      </c>
      <c r="B1844" s="64" t="s">
        <v>21298</v>
      </c>
      <c r="C1844" s="71" t="s">
        <v>103</v>
      </c>
      <c r="D1844" s="79">
        <v>1</v>
      </c>
      <c r="E1844" s="79">
        <v>1979.04</v>
      </c>
      <c r="F1844" s="79">
        <v>1979.04</v>
      </c>
      <c r="G1844" s="320"/>
      <c r="H1844" s="178">
        <v>1979.02</v>
      </c>
      <c r="I1844" s="178">
        <v>2434.1999999999998</v>
      </c>
      <c r="J1844" s="70">
        <v>-455.15999999999985</v>
      </c>
      <c r="K1844" s="320"/>
      <c r="L1844" s="178">
        <v>87.62</v>
      </c>
      <c r="M1844" s="178">
        <v>1891.42</v>
      </c>
      <c r="N1844" s="179">
        <v>0</v>
      </c>
      <c r="O1844" s="178">
        <v>1979.04</v>
      </c>
      <c r="P1844" s="453"/>
      <c r="Q1844" s="61"/>
      <c r="R1844" s="298"/>
      <c r="S1844" s="669"/>
      <c r="X1844" s="444">
        <v>1844</v>
      </c>
    </row>
    <row r="1845" spans="1:32" ht="12">
      <c r="A1845" s="83" t="s">
        <v>39803</v>
      </c>
      <c r="B1845" s="64" t="s">
        <v>39804</v>
      </c>
      <c r="C1845" s="71"/>
      <c r="D1845" s="79" t="s">
        <v>40899</v>
      </c>
      <c r="E1845" s="79" t="s">
        <v>40899</v>
      </c>
      <c r="F1845" s="79"/>
      <c r="G1845" s="445"/>
      <c r="H1845" s="178"/>
      <c r="I1845" s="178"/>
      <c r="J1845" s="70"/>
      <c r="K1845" s="320"/>
      <c r="L1845" s="178"/>
      <c r="M1845" s="178"/>
      <c r="N1845" s="179"/>
      <c r="O1845" s="178"/>
      <c r="P1845" s="453"/>
      <c r="Q1845" s="61"/>
      <c r="R1845" s="298"/>
      <c r="S1845" s="669"/>
      <c r="T1845" s="61"/>
      <c r="X1845" s="444">
        <v>1845</v>
      </c>
    </row>
    <row r="1846" spans="1:32" ht="15">
      <c r="A1846" s="67" t="s">
        <v>44279</v>
      </c>
      <c r="B1846" s="770" t="s">
        <v>44280</v>
      </c>
      <c r="C1846" s="71" t="s">
        <v>41718</v>
      </c>
      <c r="D1846" s="772">
        <v>1</v>
      </c>
      <c r="E1846" s="79">
        <v>13475</v>
      </c>
      <c r="F1846" s="79">
        <v>13475</v>
      </c>
      <c r="H1846" s="70">
        <v>13475</v>
      </c>
      <c r="I1846" s="178">
        <v>16574.25</v>
      </c>
      <c r="J1846" s="70">
        <v>-3099.25</v>
      </c>
      <c r="K1846" s="320"/>
      <c r="L1846" s="178">
        <v>0</v>
      </c>
      <c r="M1846" s="178">
        <v>13475</v>
      </c>
      <c r="N1846" s="179">
        <v>0</v>
      </c>
      <c r="O1846" s="753">
        <v>13475</v>
      </c>
      <c r="P1846" s="453"/>
      <c r="X1846" s="444">
        <v>1846</v>
      </c>
    </row>
    <row r="1847" spans="1:32" ht="24">
      <c r="A1847" s="83" t="s">
        <v>21299</v>
      </c>
      <c r="B1847" s="64" t="s">
        <v>39805</v>
      </c>
      <c r="C1847" s="71" t="s">
        <v>103</v>
      </c>
      <c r="D1847" s="79">
        <v>1</v>
      </c>
      <c r="E1847" s="79">
        <v>863.13</v>
      </c>
      <c r="F1847" s="79">
        <v>863.13</v>
      </c>
      <c r="G1847" s="445"/>
      <c r="H1847" s="178">
        <v>863.13</v>
      </c>
      <c r="I1847" s="178">
        <v>1061.6500000000001</v>
      </c>
      <c r="J1847" s="70">
        <v>-198.5200000000001</v>
      </c>
      <c r="K1847" s="320"/>
      <c r="L1847" s="178"/>
      <c r="M1847" s="178">
        <v>863.13</v>
      </c>
      <c r="N1847" s="179">
        <v>0</v>
      </c>
      <c r="O1847" s="178">
        <v>863.13</v>
      </c>
      <c r="P1847" s="453"/>
      <c r="Q1847" s="61"/>
      <c r="R1847" s="298"/>
      <c r="S1847" s="669"/>
      <c r="X1847" s="444">
        <v>1847</v>
      </c>
    </row>
    <row r="1848" spans="1:32" s="73" customFormat="1" ht="12">
      <c r="A1848" s="83" t="s">
        <v>21300</v>
      </c>
      <c r="B1848" s="64" t="s">
        <v>21301</v>
      </c>
      <c r="C1848" s="71" t="s">
        <v>10216</v>
      </c>
      <c r="D1848" s="79">
        <v>1</v>
      </c>
      <c r="E1848" s="79">
        <v>577.26</v>
      </c>
      <c r="F1848" s="79">
        <v>577.26</v>
      </c>
      <c r="G1848" s="445"/>
      <c r="H1848" s="178">
        <v>577.25</v>
      </c>
      <c r="I1848" s="178">
        <v>710.02</v>
      </c>
      <c r="J1848" s="70">
        <v>-132.76</v>
      </c>
      <c r="K1848" s="320"/>
      <c r="L1848" s="178"/>
      <c r="M1848" s="178">
        <v>577.26</v>
      </c>
      <c r="N1848" s="179">
        <v>0</v>
      </c>
      <c r="O1848" s="178">
        <v>577.26</v>
      </c>
      <c r="P1848" s="453"/>
      <c r="Q1848" s="61"/>
      <c r="R1848" s="298"/>
      <c r="S1848" s="669"/>
      <c r="T1848" s="444"/>
      <c r="U1848" s="444"/>
      <c r="V1848" s="444"/>
      <c r="W1848" s="444"/>
      <c r="X1848" s="444">
        <v>1848</v>
      </c>
      <c r="Y1848" s="444"/>
      <c r="Z1848" s="444"/>
      <c r="AA1848" s="444"/>
      <c r="AB1848" s="444"/>
      <c r="AC1848" s="444"/>
      <c r="AD1848" s="444"/>
      <c r="AE1848" s="444"/>
      <c r="AF1848" s="444"/>
    </row>
    <row r="1849" spans="1:32" ht="12">
      <c r="A1849" s="455" t="s">
        <v>21302</v>
      </c>
      <c r="B1849" s="64" t="s">
        <v>21303</v>
      </c>
      <c r="C1849" s="71" t="s">
        <v>103</v>
      </c>
      <c r="D1849" s="79">
        <v>1</v>
      </c>
      <c r="E1849" s="79">
        <v>858.75</v>
      </c>
      <c r="F1849" s="79">
        <v>858.75</v>
      </c>
      <c r="G1849" s="320"/>
      <c r="H1849" s="178">
        <v>858.75</v>
      </c>
      <c r="I1849" s="178">
        <v>1056.26</v>
      </c>
      <c r="J1849" s="70">
        <v>-197.51</v>
      </c>
      <c r="K1849" s="320"/>
      <c r="L1849" s="178">
        <v>273.06</v>
      </c>
      <c r="M1849" s="178">
        <v>585.69000000000005</v>
      </c>
      <c r="N1849" s="179">
        <v>0</v>
      </c>
      <c r="O1849" s="178">
        <v>858.75</v>
      </c>
      <c r="P1849" s="453"/>
      <c r="Q1849" s="61"/>
      <c r="R1849" s="298"/>
      <c r="S1849" s="669"/>
      <c r="T1849" s="69"/>
      <c r="X1849" s="444">
        <v>1849</v>
      </c>
    </row>
    <row r="1850" spans="1:32" ht="12">
      <c r="A1850" s="455" t="s">
        <v>21304</v>
      </c>
      <c r="B1850" s="64" t="s">
        <v>39806</v>
      </c>
      <c r="C1850" s="71" t="s">
        <v>103</v>
      </c>
      <c r="D1850" s="79">
        <v>1</v>
      </c>
      <c r="E1850" s="79">
        <v>1080.96</v>
      </c>
      <c r="F1850" s="79">
        <v>1080.96</v>
      </c>
      <c r="G1850" s="320"/>
      <c r="H1850" s="178">
        <v>1080.96</v>
      </c>
      <c r="I1850" s="178">
        <v>1329.58</v>
      </c>
      <c r="J1850" s="70">
        <v>-248.61999999999989</v>
      </c>
      <c r="K1850" s="320"/>
      <c r="L1850" s="178">
        <v>273.06</v>
      </c>
      <c r="M1850" s="178">
        <v>807.90000000000009</v>
      </c>
      <c r="N1850" s="179">
        <v>0</v>
      </c>
      <c r="O1850" s="178">
        <v>1080.96</v>
      </c>
      <c r="P1850" s="453"/>
      <c r="Q1850" s="61"/>
      <c r="R1850" s="298"/>
      <c r="S1850" s="669"/>
      <c r="T1850" s="69"/>
      <c r="X1850" s="444">
        <v>1850</v>
      </c>
    </row>
    <row r="1851" spans="1:32" ht="12">
      <c r="A1851" s="83" t="s">
        <v>39807</v>
      </c>
      <c r="B1851" s="64" t="s">
        <v>39808</v>
      </c>
      <c r="C1851" s="71"/>
      <c r="D1851" s="79" t="s">
        <v>40899</v>
      </c>
      <c r="E1851" s="79" t="s">
        <v>40899</v>
      </c>
      <c r="F1851" s="79"/>
      <c r="G1851" s="445"/>
      <c r="H1851" s="178"/>
      <c r="I1851" s="178"/>
      <c r="J1851" s="70"/>
      <c r="K1851" s="320"/>
      <c r="L1851" s="178"/>
      <c r="M1851" s="178"/>
      <c r="N1851" s="179"/>
      <c r="O1851" s="178"/>
      <c r="P1851" s="453"/>
      <c r="Q1851" s="61"/>
      <c r="R1851" s="298"/>
      <c r="S1851" s="669"/>
      <c r="X1851" s="444">
        <v>1851</v>
      </c>
    </row>
    <row r="1852" spans="1:32" ht="12">
      <c r="A1852" s="83" t="s">
        <v>21305</v>
      </c>
      <c r="B1852" s="64" t="s">
        <v>21306</v>
      </c>
      <c r="C1852" s="71" t="s">
        <v>165</v>
      </c>
      <c r="D1852" s="79">
        <v>1</v>
      </c>
      <c r="E1852" s="79">
        <v>47.640000000000015</v>
      </c>
      <c r="F1852" s="79">
        <v>47.64</v>
      </c>
      <c r="G1852" s="445"/>
      <c r="H1852" s="178">
        <v>47.63</v>
      </c>
      <c r="I1852" s="178">
        <v>58.59</v>
      </c>
      <c r="J1852" s="70">
        <v>-10.949999999999989</v>
      </c>
      <c r="K1852" s="320"/>
      <c r="L1852" s="178">
        <v>40.960000000000008</v>
      </c>
      <c r="M1852" s="178">
        <v>6.6800000000000068</v>
      </c>
      <c r="N1852" s="179">
        <v>0</v>
      </c>
      <c r="O1852" s="178">
        <v>47.640000000000015</v>
      </c>
      <c r="P1852" s="453"/>
      <c r="Q1852" s="61"/>
      <c r="R1852" s="298"/>
      <c r="S1852" s="669"/>
      <c r="X1852" s="444">
        <v>1852</v>
      </c>
    </row>
    <row r="1853" spans="1:32" ht="12">
      <c r="A1853" s="83" t="s">
        <v>21307</v>
      </c>
      <c r="B1853" s="64" t="s">
        <v>21308</v>
      </c>
      <c r="C1853" s="71" t="s">
        <v>165</v>
      </c>
      <c r="D1853" s="79">
        <v>1</v>
      </c>
      <c r="E1853" s="79">
        <v>34.01</v>
      </c>
      <c r="F1853" s="79">
        <v>34.01</v>
      </c>
      <c r="G1853" s="445"/>
      <c r="H1853" s="178">
        <v>33.979999999999997</v>
      </c>
      <c r="I1853" s="178">
        <v>41.79</v>
      </c>
      <c r="J1853" s="70">
        <v>-7.7800000000000011</v>
      </c>
      <c r="K1853" s="320"/>
      <c r="L1853" s="178">
        <v>27.33</v>
      </c>
      <c r="M1853" s="178">
        <v>6.68</v>
      </c>
      <c r="N1853" s="179">
        <v>0</v>
      </c>
      <c r="O1853" s="178">
        <v>34.01</v>
      </c>
      <c r="P1853" s="453"/>
      <c r="Q1853" s="61"/>
      <c r="R1853" s="298"/>
      <c r="S1853" s="669"/>
      <c r="X1853" s="444">
        <v>1853</v>
      </c>
    </row>
    <row r="1854" spans="1:32" ht="12">
      <c r="A1854" s="83" t="s">
        <v>21309</v>
      </c>
      <c r="B1854" s="64" t="s">
        <v>21310</v>
      </c>
      <c r="C1854" s="71" t="s">
        <v>165</v>
      </c>
      <c r="D1854" s="79">
        <v>1</v>
      </c>
      <c r="E1854" s="79">
        <v>49.75</v>
      </c>
      <c r="F1854" s="79">
        <v>49.75</v>
      </c>
      <c r="G1854" s="445"/>
      <c r="H1854" s="178">
        <v>49.74</v>
      </c>
      <c r="I1854" s="178">
        <v>61.18</v>
      </c>
      <c r="J1854" s="70">
        <v>-11.43</v>
      </c>
      <c r="K1854" s="320"/>
      <c r="L1854" s="178">
        <v>32.86</v>
      </c>
      <c r="M1854" s="178">
        <v>16.89</v>
      </c>
      <c r="N1854" s="179">
        <v>0</v>
      </c>
      <c r="O1854" s="178">
        <v>49.75</v>
      </c>
      <c r="P1854" s="453"/>
      <c r="Q1854" s="61"/>
      <c r="R1854" s="298"/>
      <c r="S1854" s="669"/>
      <c r="X1854" s="444">
        <v>1854</v>
      </c>
    </row>
    <row r="1855" spans="1:32" ht="12">
      <c r="A1855" s="83" t="s">
        <v>21311</v>
      </c>
      <c r="B1855" s="64" t="s">
        <v>21312</v>
      </c>
      <c r="C1855" s="71" t="s">
        <v>103</v>
      </c>
      <c r="D1855" s="79">
        <v>1</v>
      </c>
      <c r="E1855" s="79">
        <v>395.15000000000003</v>
      </c>
      <c r="F1855" s="79">
        <v>395.15</v>
      </c>
      <c r="G1855" s="445"/>
      <c r="H1855" s="178">
        <v>395.15</v>
      </c>
      <c r="I1855" s="178">
        <v>486.04</v>
      </c>
      <c r="J1855" s="70">
        <v>-90.889999999999986</v>
      </c>
      <c r="K1855" s="320"/>
      <c r="L1855" s="178">
        <v>40.120000000000005</v>
      </c>
      <c r="M1855" s="178">
        <v>355.03000000000003</v>
      </c>
      <c r="N1855" s="179">
        <v>0</v>
      </c>
      <c r="O1855" s="178">
        <v>395.15000000000003</v>
      </c>
      <c r="P1855" s="453"/>
      <c r="Q1855" s="61"/>
      <c r="R1855" s="298"/>
      <c r="S1855" s="669"/>
      <c r="X1855" s="444">
        <v>1855</v>
      </c>
    </row>
    <row r="1856" spans="1:32" ht="12">
      <c r="A1856" s="455" t="s">
        <v>21313</v>
      </c>
      <c r="B1856" s="64" t="s">
        <v>21314</v>
      </c>
      <c r="C1856" s="71" t="s">
        <v>103</v>
      </c>
      <c r="D1856" s="79">
        <v>1</v>
      </c>
      <c r="E1856" s="79">
        <v>310.91000000000003</v>
      </c>
      <c r="F1856" s="79">
        <v>310.91000000000003</v>
      </c>
      <c r="G1856" s="320"/>
      <c r="H1856" s="178">
        <v>310.89</v>
      </c>
      <c r="I1856" s="178">
        <v>382.39</v>
      </c>
      <c r="J1856" s="70">
        <v>-71.479999999999961</v>
      </c>
      <c r="K1856" s="320"/>
      <c r="L1856" s="178">
        <v>40.120000000000005</v>
      </c>
      <c r="M1856" s="178">
        <v>270.79000000000002</v>
      </c>
      <c r="N1856" s="179">
        <v>0</v>
      </c>
      <c r="O1856" s="178">
        <v>310.91000000000003</v>
      </c>
      <c r="P1856" s="453"/>
      <c r="Q1856" s="61"/>
      <c r="R1856" s="298"/>
      <c r="S1856" s="669"/>
      <c r="T1856" s="69"/>
      <c r="X1856" s="444">
        <v>1856</v>
      </c>
    </row>
    <row r="1857" spans="1:32" s="69" customFormat="1" ht="12">
      <c r="A1857" s="455" t="s">
        <v>21315</v>
      </c>
      <c r="B1857" s="64" t="s">
        <v>21316</v>
      </c>
      <c r="C1857" s="71" t="s">
        <v>103</v>
      </c>
      <c r="D1857" s="79">
        <v>1</v>
      </c>
      <c r="E1857" s="79">
        <v>92.16</v>
      </c>
      <c r="F1857" s="79">
        <v>92.16</v>
      </c>
      <c r="G1857" s="320"/>
      <c r="H1857" s="178">
        <v>92.13</v>
      </c>
      <c r="I1857" s="178">
        <v>113.32</v>
      </c>
      <c r="J1857" s="70">
        <v>-21.159999999999997</v>
      </c>
      <c r="K1857" s="320"/>
      <c r="L1857" s="178">
        <v>27.33</v>
      </c>
      <c r="M1857" s="178">
        <v>64.83</v>
      </c>
      <c r="N1857" s="179">
        <v>0</v>
      </c>
      <c r="O1857" s="178">
        <v>92.16</v>
      </c>
      <c r="P1857" s="453"/>
      <c r="Q1857" s="61"/>
      <c r="R1857" s="298"/>
      <c r="S1857" s="669"/>
      <c r="U1857" s="444"/>
      <c r="V1857" s="444"/>
      <c r="W1857" s="444"/>
      <c r="X1857" s="444">
        <v>1857</v>
      </c>
      <c r="Y1857" s="444"/>
      <c r="Z1857" s="444"/>
      <c r="AA1857" s="444"/>
      <c r="AB1857" s="444"/>
      <c r="AC1857" s="444"/>
      <c r="AD1857" s="444"/>
      <c r="AE1857" s="444"/>
      <c r="AF1857" s="444"/>
    </row>
    <row r="1858" spans="1:32" s="73" customFormat="1" ht="12">
      <c r="A1858" s="83" t="s">
        <v>21317</v>
      </c>
      <c r="B1858" s="64" t="s">
        <v>21318</v>
      </c>
      <c r="C1858" s="71" t="s">
        <v>103</v>
      </c>
      <c r="D1858" s="79">
        <v>1</v>
      </c>
      <c r="E1858" s="79">
        <v>58.41</v>
      </c>
      <c r="F1858" s="79">
        <v>58.41</v>
      </c>
      <c r="G1858" s="445"/>
      <c r="H1858" s="178">
        <v>58.4</v>
      </c>
      <c r="I1858" s="178">
        <v>71.83</v>
      </c>
      <c r="J1858" s="70">
        <v>-13.420000000000002</v>
      </c>
      <c r="K1858" s="320"/>
      <c r="L1858" s="178">
        <v>29.02</v>
      </c>
      <c r="M1858" s="178">
        <v>29.389999999999997</v>
      </c>
      <c r="N1858" s="179">
        <v>0</v>
      </c>
      <c r="O1858" s="178">
        <v>58.41</v>
      </c>
      <c r="P1858" s="453"/>
      <c r="Q1858" s="61"/>
      <c r="R1858" s="298"/>
      <c r="S1858" s="669"/>
      <c r="T1858" s="444"/>
      <c r="U1858" s="444"/>
      <c r="V1858" s="444"/>
      <c r="W1858" s="444"/>
      <c r="X1858" s="444">
        <v>1858</v>
      </c>
      <c r="Y1858" s="444"/>
      <c r="Z1858" s="444"/>
      <c r="AA1858" s="444"/>
      <c r="AB1858" s="444"/>
      <c r="AC1858" s="444"/>
      <c r="AD1858" s="444"/>
      <c r="AE1858" s="444"/>
      <c r="AF1858" s="444"/>
    </row>
    <row r="1859" spans="1:32" s="73" customFormat="1" ht="12">
      <c r="A1859" s="83" t="s">
        <v>21319</v>
      </c>
      <c r="B1859" s="64" t="s">
        <v>21320</v>
      </c>
      <c r="C1859" s="71" t="s">
        <v>103</v>
      </c>
      <c r="D1859" s="79">
        <v>1</v>
      </c>
      <c r="E1859" s="79">
        <v>73.08</v>
      </c>
      <c r="F1859" s="79">
        <v>73.08</v>
      </c>
      <c r="G1859" s="445"/>
      <c r="H1859" s="178">
        <v>73.08</v>
      </c>
      <c r="I1859" s="178">
        <v>89.89</v>
      </c>
      <c r="J1859" s="70">
        <v>-16.810000000000002</v>
      </c>
      <c r="K1859" s="320"/>
      <c r="L1859" s="178">
        <v>34.81</v>
      </c>
      <c r="M1859" s="178">
        <v>38.269999999999996</v>
      </c>
      <c r="N1859" s="179">
        <v>0</v>
      </c>
      <c r="O1859" s="178">
        <v>73.08</v>
      </c>
      <c r="P1859" s="453"/>
      <c r="Q1859" s="61"/>
      <c r="R1859" s="298"/>
      <c r="S1859" s="669"/>
      <c r="U1859" s="444"/>
      <c r="V1859" s="444"/>
      <c r="W1859" s="444"/>
      <c r="X1859" s="444">
        <v>1859</v>
      </c>
      <c r="Y1859" s="444"/>
      <c r="Z1859" s="444"/>
      <c r="AA1859" s="444"/>
      <c r="AB1859" s="444"/>
      <c r="AC1859" s="444"/>
      <c r="AD1859" s="444"/>
      <c r="AE1859" s="444"/>
      <c r="AF1859" s="444"/>
    </row>
    <row r="1860" spans="1:32" ht="12">
      <c r="A1860" s="83" t="s">
        <v>21321</v>
      </c>
      <c r="B1860" s="64" t="s">
        <v>21322</v>
      </c>
      <c r="C1860" s="71" t="s">
        <v>103</v>
      </c>
      <c r="D1860" s="79">
        <v>1</v>
      </c>
      <c r="E1860" s="79">
        <v>51.44</v>
      </c>
      <c r="F1860" s="79">
        <v>51.44</v>
      </c>
      <c r="G1860" s="445"/>
      <c r="H1860" s="178">
        <v>51.42</v>
      </c>
      <c r="I1860" s="178">
        <v>63.25</v>
      </c>
      <c r="J1860" s="70">
        <v>-11.810000000000002</v>
      </c>
      <c r="K1860" s="320"/>
      <c r="L1860" s="178">
        <v>29.02</v>
      </c>
      <c r="M1860" s="178">
        <v>22.419999999999998</v>
      </c>
      <c r="N1860" s="179">
        <v>0</v>
      </c>
      <c r="O1860" s="178">
        <v>51.44</v>
      </c>
      <c r="P1860" s="453"/>
      <c r="Q1860" s="61"/>
      <c r="R1860" s="298"/>
      <c r="S1860" s="669"/>
      <c r="X1860" s="444">
        <v>1860</v>
      </c>
    </row>
    <row r="1861" spans="1:32" ht="24">
      <c r="A1861" s="455" t="s">
        <v>21323</v>
      </c>
      <c r="B1861" s="64" t="s">
        <v>21324</v>
      </c>
      <c r="C1861" s="71" t="s">
        <v>103</v>
      </c>
      <c r="D1861" s="79">
        <v>1</v>
      </c>
      <c r="E1861" s="79">
        <v>2828.69</v>
      </c>
      <c r="F1861" s="79">
        <v>2828.69</v>
      </c>
      <c r="G1861" s="320"/>
      <c r="H1861" s="178">
        <v>2828.68</v>
      </c>
      <c r="I1861" s="178">
        <v>3479.28</v>
      </c>
      <c r="J1861" s="70">
        <v>-650.59000000000015</v>
      </c>
      <c r="K1861" s="320"/>
      <c r="L1861" s="178"/>
      <c r="M1861" s="178">
        <v>2828.69</v>
      </c>
      <c r="N1861" s="179">
        <v>0</v>
      </c>
      <c r="O1861" s="178">
        <v>2828.69</v>
      </c>
      <c r="P1861" s="453"/>
      <c r="Q1861" s="61"/>
      <c r="R1861" s="298"/>
      <c r="S1861" s="669"/>
      <c r="T1861" s="69"/>
      <c r="X1861" s="444">
        <v>1861</v>
      </c>
    </row>
    <row r="1862" spans="1:32" ht="12">
      <c r="A1862" s="455" t="s">
        <v>21325</v>
      </c>
      <c r="B1862" s="64" t="s">
        <v>39809</v>
      </c>
      <c r="C1862" s="71" t="s">
        <v>103</v>
      </c>
      <c r="D1862" s="79">
        <v>1</v>
      </c>
      <c r="E1862" s="79">
        <v>129.25</v>
      </c>
      <c r="F1862" s="79">
        <v>129.25</v>
      </c>
      <c r="G1862" s="320"/>
      <c r="H1862" s="178">
        <v>129.24</v>
      </c>
      <c r="I1862" s="178">
        <v>158.97</v>
      </c>
      <c r="J1862" s="70">
        <v>-29.72</v>
      </c>
      <c r="K1862" s="320"/>
      <c r="L1862" s="178">
        <v>54.61</v>
      </c>
      <c r="M1862" s="178">
        <v>74.64</v>
      </c>
      <c r="N1862" s="179">
        <v>0</v>
      </c>
      <c r="O1862" s="178">
        <v>129.25</v>
      </c>
      <c r="P1862" s="453"/>
      <c r="Q1862" s="61"/>
      <c r="R1862" s="298"/>
      <c r="S1862" s="669"/>
      <c r="T1862" s="69"/>
      <c r="X1862" s="444">
        <v>1862</v>
      </c>
    </row>
    <row r="1863" spans="1:32" ht="12">
      <c r="A1863" s="83" t="s">
        <v>21326</v>
      </c>
      <c r="B1863" s="64" t="s">
        <v>21327</v>
      </c>
      <c r="C1863" s="71" t="s">
        <v>165</v>
      </c>
      <c r="D1863" s="79">
        <v>1</v>
      </c>
      <c r="E1863" s="79">
        <v>45.41</v>
      </c>
      <c r="F1863" s="79">
        <v>45.41</v>
      </c>
      <c r="G1863" s="460"/>
      <c r="H1863" s="178">
        <v>45.38</v>
      </c>
      <c r="I1863" s="178">
        <v>55.82</v>
      </c>
      <c r="J1863" s="70">
        <v>-10.410000000000004</v>
      </c>
      <c r="K1863" s="466"/>
      <c r="L1863" s="178">
        <v>27.33</v>
      </c>
      <c r="M1863" s="178">
        <v>18.079999999999998</v>
      </c>
      <c r="N1863" s="179">
        <v>0</v>
      </c>
      <c r="O1863" s="178">
        <v>45.41</v>
      </c>
      <c r="P1863" s="453"/>
      <c r="Q1863" s="61"/>
      <c r="R1863" s="298"/>
      <c r="S1863" s="669"/>
      <c r="X1863" s="444">
        <v>1863</v>
      </c>
    </row>
    <row r="1864" spans="1:32" ht="12">
      <c r="A1864" s="83" t="s">
        <v>21328</v>
      </c>
      <c r="B1864" s="64" t="s">
        <v>21329</v>
      </c>
      <c r="C1864" s="71" t="s">
        <v>10216</v>
      </c>
      <c r="D1864" s="79">
        <v>1</v>
      </c>
      <c r="E1864" s="79">
        <v>577.26</v>
      </c>
      <c r="F1864" s="79">
        <v>577.26</v>
      </c>
      <c r="G1864" s="445"/>
      <c r="H1864" s="178">
        <v>577.25</v>
      </c>
      <c r="I1864" s="178">
        <v>710.02</v>
      </c>
      <c r="J1864" s="70">
        <v>-132.76</v>
      </c>
      <c r="K1864" s="320"/>
      <c r="L1864" s="178">
        <v>0.69</v>
      </c>
      <c r="M1864" s="178">
        <v>576.56999999999994</v>
      </c>
      <c r="N1864" s="179">
        <v>0</v>
      </c>
      <c r="O1864" s="178">
        <v>577.26</v>
      </c>
      <c r="P1864" s="453"/>
      <c r="Q1864" s="61"/>
      <c r="R1864" s="298"/>
      <c r="S1864" s="669"/>
      <c r="X1864" s="444">
        <v>1864</v>
      </c>
    </row>
    <row r="1865" spans="1:32" ht="12">
      <c r="A1865" s="83" t="s">
        <v>39810</v>
      </c>
      <c r="B1865" s="64" t="s">
        <v>39811</v>
      </c>
      <c r="C1865" s="71"/>
      <c r="D1865" s="79" t="s">
        <v>40899</v>
      </c>
      <c r="E1865" s="79" t="s">
        <v>40899</v>
      </c>
      <c r="F1865" s="79"/>
      <c r="G1865" s="445"/>
      <c r="H1865" s="178"/>
      <c r="I1865" s="178"/>
      <c r="J1865" s="70"/>
      <c r="K1865" s="320"/>
      <c r="L1865" s="178"/>
      <c r="M1865" s="178"/>
      <c r="N1865" s="179"/>
      <c r="O1865" s="178"/>
      <c r="P1865" s="453"/>
      <c r="Q1865" s="61"/>
      <c r="R1865" s="298"/>
      <c r="S1865" s="669"/>
      <c r="X1865" s="444">
        <v>1865</v>
      </c>
    </row>
    <row r="1866" spans="1:32" ht="12">
      <c r="A1866" s="83" t="s">
        <v>21330</v>
      </c>
      <c r="B1866" s="64" t="s">
        <v>21331</v>
      </c>
      <c r="C1866" s="71" t="s">
        <v>153</v>
      </c>
      <c r="D1866" s="79">
        <v>1</v>
      </c>
      <c r="E1866" s="79">
        <v>1.02</v>
      </c>
      <c r="F1866" s="79">
        <v>1.02</v>
      </c>
      <c r="G1866" s="445"/>
      <c r="H1866" s="178">
        <v>1.02</v>
      </c>
      <c r="I1866" s="178">
        <v>1.25</v>
      </c>
      <c r="J1866" s="70">
        <v>-0.22999999999999998</v>
      </c>
      <c r="K1866" s="320"/>
      <c r="L1866" s="178">
        <v>1.02</v>
      </c>
      <c r="M1866" s="178">
        <v>0</v>
      </c>
      <c r="N1866" s="179">
        <v>0</v>
      </c>
      <c r="O1866" s="178">
        <v>1.02</v>
      </c>
      <c r="P1866" s="453"/>
      <c r="Q1866" s="61"/>
      <c r="R1866" s="298"/>
      <c r="S1866" s="669"/>
      <c r="U1866" s="73"/>
      <c r="V1866" s="73"/>
      <c r="W1866" s="73"/>
      <c r="X1866" s="444">
        <v>1866</v>
      </c>
      <c r="Y1866" s="73"/>
      <c r="Z1866" s="73"/>
      <c r="AA1866" s="73"/>
      <c r="AB1866" s="73"/>
      <c r="AC1866" s="73"/>
      <c r="AD1866" s="73"/>
      <c r="AE1866" s="73"/>
      <c r="AF1866" s="73"/>
    </row>
    <row r="1867" spans="1:32" ht="12">
      <c r="A1867" s="83" t="s">
        <v>21332</v>
      </c>
      <c r="B1867" s="64" t="s">
        <v>21333</v>
      </c>
      <c r="C1867" s="71" t="s">
        <v>103</v>
      </c>
      <c r="D1867" s="79">
        <v>1</v>
      </c>
      <c r="E1867" s="79">
        <v>8.19</v>
      </c>
      <c r="F1867" s="79">
        <v>8.19</v>
      </c>
      <c r="G1867" s="445"/>
      <c r="H1867" s="178">
        <v>8.19</v>
      </c>
      <c r="I1867" s="178">
        <v>10.07</v>
      </c>
      <c r="J1867" s="70">
        <v>-1.8800000000000008</v>
      </c>
      <c r="K1867" s="320"/>
      <c r="L1867" s="178">
        <v>8.19</v>
      </c>
      <c r="M1867" s="178">
        <v>0</v>
      </c>
      <c r="N1867" s="179">
        <v>0</v>
      </c>
      <c r="O1867" s="178">
        <v>8.19</v>
      </c>
      <c r="P1867" s="453"/>
      <c r="Q1867" s="61"/>
      <c r="R1867" s="298"/>
      <c r="S1867" s="669"/>
      <c r="U1867" s="73"/>
      <c r="V1867" s="73"/>
      <c r="W1867" s="73"/>
      <c r="X1867" s="444">
        <v>1867</v>
      </c>
      <c r="Y1867" s="73"/>
      <c r="Z1867" s="73"/>
      <c r="AA1867" s="73"/>
      <c r="AB1867" s="73"/>
      <c r="AC1867" s="73"/>
      <c r="AD1867" s="73"/>
      <c r="AE1867" s="73"/>
      <c r="AF1867" s="73"/>
    </row>
    <row r="1868" spans="1:32" s="73" customFormat="1" ht="12">
      <c r="A1868" s="83" t="s">
        <v>21334</v>
      </c>
      <c r="B1868" s="64" t="s">
        <v>21335</v>
      </c>
      <c r="C1868" s="71" t="s">
        <v>103</v>
      </c>
      <c r="D1868" s="79">
        <v>1</v>
      </c>
      <c r="E1868" s="79">
        <v>21.84</v>
      </c>
      <c r="F1868" s="79">
        <v>21.84</v>
      </c>
      <c r="G1868" s="445"/>
      <c r="H1868" s="178">
        <v>21.84</v>
      </c>
      <c r="I1868" s="178">
        <v>26.86</v>
      </c>
      <c r="J1868" s="70">
        <v>-5.0199999999999996</v>
      </c>
      <c r="K1868" s="320"/>
      <c r="L1868" s="178">
        <v>21.84</v>
      </c>
      <c r="M1868" s="178">
        <v>0</v>
      </c>
      <c r="N1868" s="179">
        <v>0</v>
      </c>
      <c r="O1868" s="178">
        <v>21.84</v>
      </c>
      <c r="P1868" s="453"/>
      <c r="Q1868" s="61"/>
      <c r="R1868" s="298"/>
      <c r="S1868" s="669"/>
      <c r="T1868" s="444"/>
      <c r="X1868" s="444">
        <v>1868</v>
      </c>
    </row>
    <row r="1869" spans="1:32" ht="12">
      <c r="A1869" s="83" t="s">
        <v>21336</v>
      </c>
      <c r="B1869" s="64" t="s">
        <v>21337</v>
      </c>
      <c r="C1869" s="71" t="s">
        <v>103</v>
      </c>
      <c r="D1869" s="79">
        <v>1</v>
      </c>
      <c r="E1869" s="79">
        <v>16.38</v>
      </c>
      <c r="F1869" s="79">
        <v>16.38</v>
      </c>
      <c r="G1869" s="445"/>
      <c r="H1869" s="178">
        <v>16.38</v>
      </c>
      <c r="I1869" s="178">
        <v>20.149999999999999</v>
      </c>
      <c r="J1869" s="70">
        <v>-3.7699999999999996</v>
      </c>
      <c r="K1869" s="320"/>
      <c r="L1869" s="178">
        <v>16.38</v>
      </c>
      <c r="M1869" s="178">
        <v>0</v>
      </c>
      <c r="N1869" s="179">
        <v>0</v>
      </c>
      <c r="O1869" s="178">
        <v>16.38</v>
      </c>
      <c r="P1869" s="453"/>
      <c r="Q1869" s="61"/>
      <c r="R1869" s="298"/>
      <c r="S1869" s="669"/>
      <c r="X1869" s="444">
        <v>1869</v>
      </c>
    </row>
    <row r="1870" spans="1:32" ht="12">
      <c r="A1870" s="83" t="s">
        <v>21338</v>
      </c>
      <c r="B1870" s="64" t="s">
        <v>21339</v>
      </c>
      <c r="C1870" s="71" t="s">
        <v>165</v>
      </c>
      <c r="D1870" s="79">
        <v>1</v>
      </c>
      <c r="E1870" s="79">
        <v>13.65</v>
      </c>
      <c r="F1870" s="79">
        <v>13.65</v>
      </c>
      <c r="G1870" s="445"/>
      <c r="H1870" s="178">
        <v>13.65</v>
      </c>
      <c r="I1870" s="178">
        <v>16.79</v>
      </c>
      <c r="J1870" s="70">
        <v>-3.1399999999999988</v>
      </c>
      <c r="K1870" s="320"/>
      <c r="L1870" s="178">
        <v>13.65</v>
      </c>
      <c r="M1870" s="178">
        <v>0</v>
      </c>
      <c r="N1870" s="179">
        <v>0</v>
      </c>
      <c r="O1870" s="178">
        <v>13.65</v>
      </c>
      <c r="P1870" s="453"/>
      <c r="Q1870" s="61"/>
      <c r="R1870" s="298"/>
      <c r="S1870" s="669"/>
      <c r="U1870" s="73"/>
      <c r="V1870" s="73"/>
      <c r="W1870" s="73"/>
      <c r="X1870" s="444">
        <v>1870</v>
      </c>
      <c r="Y1870" s="73"/>
      <c r="Z1870" s="73"/>
      <c r="AA1870" s="73"/>
      <c r="AB1870" s="73"/>
      <c r="AC1870" s="73"/>
      <c r="AD1870" s="73"/>
      <c r="AE1870" s="73"/>
      <c r="AF1870" s="73"/>
    </row>
    <row r="1871" spans="1:32" ht="12">
      <c r="A1871" s="83" t="s">
        <v>21340</v>
      </c>
      <c r="B1871" s="64" t="s">
        <v>21341</v>
      </c>
      <c r="C1871" s="71" t="s">
        <v>103</v>
      </c>
      <c r="D1871" s="79">
        <v>1</v>
      </c>
      <c r="E1871" s="79">
        <v>2.5499999999999998</v>
      </c>
      <c r="F1871" s="79">
        <v>2.5499999999999998</v>
      </c>
      <c r="G1871" s="445"/>
      <c r="H1871" s="178">
        <v>2.5499999999999998</v>
      </c>
      <c r="I1871" s="178">
        <v>3.14</v>
      </c>
      <c r="J1871" s="70">
        <v>-0.5900000000000003</v>
      </c>
      <c r="K1871" s="320"/>
      <c r="L1871" s="178">
        <v>2.5499999999999998</v>
      </c>
      <c r="M1871" s="178">
        <v>0</v>
      </c>
      <c r="N1871" s="179">
        <v>0</v>
      </c>
      <c r="O1871" s="178">
        <v>2.5499999999999998</v>
      </c>
      <c r="P1871" s="453"/>
      <c r="Q1871" s="61"/>
      <c r="R1871" s="298"/>
      <c r="S1871" s="669"/>
      <c r="X1871" s="444">
        <v>1871</v>
      </c>
    </row>
    <row r="1872" spans="1:32" ht="12">
      <c r="A1872" s="83" t="s">
        <v>21342</v>
      </c>
      <c r="B1872" s="64" t="s">
        <v>21343</v>
      </c>
      <c r="C1872" s="71" t="s">
        <v>103</v>
      </c>
      <c r="D1872" s="79">
        <v>1</v>
      </c>
      <c r="E1872" s="79">
        <v>13.65</v>
      </c>
      <c r="F1872" s="79">
        <v>13.65</v>
      </c>
      <c r="G1872" s="445"/>
      <c r="H1872" s="178">
        <v>13.65</v>
      </c>
      <c r="I1872" s="178">
        <v>16.79</v>
      </c>
      <c r="J1872" s="70">
        <v>-3.1399999999999988</v>
      </c>
      <c r="K1872" s="320"/>
      <c r="L1872" s="178">
        <v>13.65</v>
      </c>
      <c r="M1872" s="178">
        <v>0</v>
      </c>
      <c r="N1872" s="179">
        <v>0</v>
      </c>
      <c r="O1872" s="178">
        <v>13.65</v>
      </c>
      <c r="P1872" s="453"/>
      <c r="Q1872" s="61"/>
      <c r="R1872" s="298"/>
      <c r="S1872" s="669"/>
      <c r="X1872" s="444">
        <v>1872</v>
      </c>
    </row>
    <row r="1873" spans="1:32" ht="12">
      <c r="A1873" s="83" t="s">
        <v>21344</v>
      </c>
      <c r="B1873" s="64" t="s">
        <v>21345</v>
      </c>
      <c r="C1873" s="71" t="s">
        <v>165</v>
      </c>
      <c r="D1873" s="79">
        <v>1</v>
      </c>
      <c r="E1873" s="79">
        <v>10.92</v>
      </c>
      <c r="F1873" s="79">
        <v>10.92</v>
      </c>
      <c r="G1873" s="445"/>
      <c r="H1873" s="178">
        <v>10.92</v>
      </c>
      <c r="I1873" s="178">
        <v>13.43</v>
      </c>
      <c r="J1873" s="70">
        <v>-2.5099999999999998</v>
      </c>
      <c r="K1873" s="320"/>
      <c r="L1873" s="178">
        <v>10.92</v>
      </c>
      <c r="M1873" s="178">
        <v>0</v>
      </c>
      <c r="N1873" s="179">
        <v>0</v>
      </c>
      <c r="O1873" s="178">
        <v>10.92</v>
      </c>
      <c r="P1873" s="453"/>
      <c r="Q1873" s="61"/>
      <c r="R1873" s="298"/>
      <c r="S1873" s="669"/>
      <c r="X1873" s="444">
        <v>1873</v>
      </c>
    </row>
    <row r="1874" spans="1:32" ht="12">
      <c r="A1874" s="83" t="s">
        <v>21346</v>
      </c>
      <c r="B1874" s="64" t="s">
        <v>21347</v>
      </c>
      <c r="C1874" s="71" t="s">
        <v>103</v>
      </c>
      <c r="D1874" s="79">
        <v>1</v>
      </c>
      <c r="E1874" s="79">
        <v>120.32000000000001</v>
      </c>
      <c r="F1874" s="79">
        <v>120.32</v>
      </c>
      <c r="G1874" s="445"/>
      <c r="H1874" s="178">
        <v>120.31</v>
      </c>
      <c r="I1874" s="178">
        <v>147.97999999999999</v>
      </c>
      <c r="J1874" s="70">
        <v>-27.659999999999982</v>
      </c>
      <c r="K1874" s="320"/>
      <c r="L1874" s="178">
        <v>120.32000000000001</v>
      </c>
      <c r="M1874" s="178">
        <v>0</v>
      </c>
      <c r="N1874" s="179">
        <v>0</v>
      </c>
      <c r="O1874" s="178">
        <v>120.32000000000001</v>
      </c>
      <c r="P1874" s="453"/>
      <c r="Q1874" s="61"/>
      <c r="R1874" s="298"/>
      <c r="S1874" s="669"/>
      <c r="X1874" s="444">
        <v>1874</v>
      </c>
    </row>
    <row r="1875" spans="1:32" ht="12">
      <c r="A1875" s="83" t="s">
        <v>21348</v>
      </c>
      <c r="B1875" s="64" t="s">
        <v>21349</v>
      </c>
      <c r="C1875" s="71" t="s">
        <v>103</v>
      </c>
      <c r="D1875" s="79">
        <v>1</v>
      </c>
      <c r="E1875" s="79">
        <v>80.209999999999994</v>
      </c>
      <c r="F1875" s="79">
        <v>80.209999999999994</v>
      </c>
      <c r="G1875" s="445"/>
      <c r="H1875" s="178">
        <v>80.2</v>
      </c>
      <c r="I1875" s="178">
        <v>98.65</v>
      </c>
      <c r="J1875" s="70">
        <v>-18.440000000000012</v>
      </c>
      <c r="K1875" s="320"/>
      <c r="L1875" s="178">
        <v>80.209999999999994</v>
      </c>
      <c r="M1875" s="178">
        <v>0</v>
      </c>
      <c r="N1875" s="179">
        <v>0</v>
      </c>
      <c r="O1875" s="178">
        <v>80.209999999999994</v>
      </c>
      <c r="P1875" s="453"/>
      <c r="Q1875" s="61"/>
      <c r="R1875" s="298"/>
      <c r="S1875" s="669"/>
      <c r="T1875" s="73"/>
      <c r="X1875" s="444">
        <v>1875</v>
      </c>
    </row>
    <row r="1876" spans="1:32" ht="12">
      <c r="A1876" s="83" t="s">
        <v>21350</v>
      </c>
      <c r="B1876" s="64" t="s">
        <v>21351</v>
      </c>
      <c r="C1876" s="71" t="s">
        <v>165</v>
      </c>
      <c r="D1876" s="79">
        <v>1</v>
      </c>
      <c r="E1876" s="79">
        <v>40.120000000000005</v>
      </c>
      <c r="F1876" s="79">
        <v>40.119999999999997</v>
      </c>
      <c r="G1876" s="445"/>
      <c r="H1876" s="178">
        <v>40.1</v>
      </c>
      <c r="I1876" s="178">
        <v>49.32</v>
      </c>
      <c r="J1876" s="70">
        <v>-9.1999999999999957</v>
      </c>
      <c r="K1876" s="320"/>
      <c r="L1876" s="178">
        <v>40.120000000000005</v>
      </c>
      <c r="M1876" s="178">
        <v>0</v>
      </c>
      <c r="N1876" s="179">
        <v>0</v>
      </c>
      <c r="O1876" s="178">
        <v>40.120000000000005</v>
      </c>
      <c r="P1876" s="453"/>
      <c r="Q1876" s="61"/>
      <c r="R1876" s="298"/>
      <c r="S1876" s="669"/>
      <c r="X1876" s="444">
        <v>1876</v>
      </c>
    </row>
    <row r="1877" spans="1:32" ht="12">
      <c r="A1877" s="83" t="s">
        <v>21352</v>
      </c>
      <c r="B1877" s="64" t="s">
        <v>21353</v>
      </c>
      <c r="C1877" s="71" t="s">
        <v>103</v>
      </c>
      <c r="D1877" s="79">
        <v>1</v>
      </c>
      <c r="E1877" s="79">
        <v>160.41999999999999</v>
      </c>
      <c r="F1877" s="79">
        <v>160.41999999999999</v>
      </c>
      <c r="G1877" s="445"/>
      <c r="H1877" s="178">
        <v>160.41</v>
      </c>
      <c r="I1877" s="178">
        <v>197.31</v>
      </c>
      <c r="J1877" s="70">
        <v>-36.890000000000015</v>
      </c>
      <c r="K1877" s="320"/>
      <c r="L1877" s="178">
        <v>160.41999999999999</v>
      </c>
      <c r="M1877" s="178">
        <v>0</v>
      </c>
      <c r="N1877" s="179">
        <v>0</v>
      </c>
      <c r="O1877" s="178">
        <v>160.41999999999999</v>
      </c>
      <c r="P1877" s="453"/>
      <c r="Q1877" s="61"/>
      <c r="R1877" s="298"/>
      <c r="S1877" s="669"/>
      <c r="X1877" s="444">
        <v>1877</v>
      </c>
    </row>
    <row r="1878" spans="1:32" ht="12">
      <c r="A1878" s="83" t="s">
        <v>21354</v>
      </c>
      <c r="B1878" s="64" t="s">
        <v>21355</v>
      </c>
      <c r="C1878" s="71" t="s">
        <v>103</v>
      </c>
      <c r="D1878" s="79">
        <v>1</v>
      </c>
      <c r="E1878" s="79">
        <v>35.5</v>
      </c>
      <c r="F1878" s="79">
        <v>35.5</v>
      </c>
      <c r="G1878" s="445"/>
      <c r="H1878" s="178">
        <v>35.5</v>
      </c>
      <c r="I1878" s="178">
        <v>43.66</v>
      </c>
      <c r="J1878" s="70">
        <v>-8.1599999999999966</v>
      </c>
      <c r="K1878" s="320"/>
      <c r="L1878" s="178">
        <v>35.5</v>
      </c>
      <c r="M1878" s="178">
        <v>0</v>
      </c>
      <c r="N1878" s="179">
        <v>0</v>
      </c>
      <c r="O1878" s="178">
        <v>35.5</v>
      </c>
      <c r="P1878" s="453"/>
      <c r="Q1878" s="61"/>
      <c r="R1878" s="298"/>
      <c r="S1878" s="669"/>
      <c r="X1878" s="444">
        <v>1878</v>
      </c>
    </row>
    <row r="1879" spans="1:32" ht="12">
      <c r="A1879" s="83" t="s">
        <v>21356</v>
      </c>
      <c r="B1879" s="64" t="s">
        <v>21357</v>
      </c>
      <c r="C1879" s="71" t="s">
        <v>103</v>
      </c>
      <c r="D1879" s="79">
        <v>1</v>
      </c>
      <c r="E1879" s="79">
        <v>197.91000000000003</v>
      </c>
      <c r="F1879" s="79">
        <v>197.91</v>
      </c>
      <c r="G1879" s="445"/>
      <c r="H1879" s="178">
        <v>197.91</v>
      </c>
      <c r="I1879" s="178">
        <v>243.43</v>
      </c>
      <c r="J1879" s="70">
        <v>-45.519999999999982</v>
      </c>
      <c r="K1879" s="320"/>
      <c r="L1879" s="178">
        <v>197.91000000000003</v>
      </c>
      <c r="M1879" s="178">
        <v>0</v>
      </c>
      <c r="N1879" s="179">
        <v>0</v>
      </c>
      <c r="O1879" s="178">
        <v>197.91000000000003</v>
      </c>
      <c r="P1879" s="453"/>
      <c r="Q1879" s="61"/>
      <c r="R1879" s="298"/>
      <c r="S1879" s="669"/>
      <c r="U1879" s="73"/>
      <c r="V1879" s="73"/>
      <c r="W1879" s="73"/>
      <c r="X1879" s="444">
        <v>1879</v>
      </c>
      <c r="Y1879" s="73"/>
      <c r="Z1879" s="73"/>
      <c r="AA1879" s="73"/>
      <c r="AB1879" s="73"/>
      <c r="AC1879" s="73"/>
      <c r="AD1879" s="73"/>
      <c r="AE1879" s="73"/>
      <c r="AF1879" s="73"/>
    </row>
    <row r="1880" spans="1:32" ht="12">
      <c r="A1880" s="83" t="s">
        <v>21358</v>
      </c>
      <c r="B1880" s="64" t="s">
        <v>21359</v>
      </c>
      <c r="C1880" s="71" t="s">
        <v>103</v>
      </c>
      <c r="D1880" s="79">
        <v>1</v>
      </c>
      <c r="E1880" s="79">
        <v>27.33</v>
      </c>
      <c r="F1880" s="79">
        <v>27.33</v>
      </c>
      <c r="G1880" s="445"/>
      <c r="H1880" s="178">
        <v>27.3</v>
      </c>
      <c r="I1880" s="178">
        <v>33.58</v>
      </c>
      <c r="J1880" s="70">
        <v>-6.25</v>
      </c>
      <c r="K1880" s="320"/>
      <c r="L1880" s="178">
        <v>27.33</v>
      </c>
      <c r="M1880" s="178">
        <v>0</v>
      </c>
      <c r="N1880" s="179">
        <v>0</v>
      </c>
      <c r="O1880" s="178">
        <v>27.33</v>
      </c>
      <c r="P1880" s="453"/>
      <c r="Q1880" s="61"/>
      <c r="R1880" s="298"/>
      <c r="S1880" s="669"/>
      <c r="X1880" s="444">
        <v>1880</v>
      </c>
    </row>
    <row r="1881" spans="1:32" ht="12">
      <c r="A1881" s="83" t="s">
        <v>21360</v>
      </c>
      <c r="B1881" s="64" t="s">
        <v>21361</v>
      </c>
      <c r="C1881" s="71" t="s">
        <v>103</v>
      </c>
      <c r="D1881" s="79">
        <v>1</v>
      </c>
      <c r="E1881" s="79">
        <v>40.120000000000005</v>
      </c>
      <c r="F1881" s="79">
        <v>40.119999999999997</v>
      </c>
      <c r="G1881" s="445"/>
      <c r="H1881" s="178">
        <v>40.1</v>
      </c>
      <c r="I1881" s="178">
        <v>49.32</v>
      </c>
      <c r="J1881" s="70">
        <v>-9.1999999999999957</v>
      </c>
      <c r="K1881" s="320"/>
      <c r="L1881" s="178">
        <v>40.120000000000005</v>
      </c>
      <c r="M1881" s="178">
        <v>0</v>
      </c>
      <c r="N1881" s="179">
        <v>0</v>
      </c>
      <c r="O1881" s="178">
        <v>40.120000000000005</v>
      </c>
      <c r="P1881" s="453"/>
      <c r="Q1881" s="61"/>
      <c r="R1881" s="298"/>
      <c r="S1881" s="669"/>
      <c r="X1881" s="444">
        <v>1881</v>
      </c>
    </row>
    <row r="1882" spans="1:32" ht="12">
      <c r="A1882" s="83" t="s">
        <v>21362</v>
      </c>
      <c r="B1882" s="64" t="s">
        <v>21363</v>
      </c>
      <c r="C1882" s="71" t="s">
        <v>103</v>
      </c>
      <c r="D1882" s="79">
        <v>1</v>
      </c>
      <c r="E1882" s="79">
        <v>23.22</v>
      </c>
      <c r="F1882" s="79">
        <v>23.22</v>
      </c>
      <c r="G1882" s="445"/>
      <c r="H1882" s="178">
        <v>23.21</v>
      </c>
      <c r="I1882" s="178">
        <v>28.55</v>
      </c>
      <c r="J1882" s="70">
        <v>-5.3300000000000018</v>
      </c>
      <c r="K1882" s="320"/>
      <c r="L1882" s="178">
        <v>23.22</v>
      </c>
      <c r="M1882" s="178">
        <v>0</v>
      </c>
      <c r="N1882" s="179">
        <v>0</v>
      </c>
      <c r="O1882" s="178">
        <v>23.22</v>
      </c>
      <c r="P1882" s="453"/>
      <c r="Q1882" s="61"/>
      <c r="R1882" s="298"/>
      <c r="S1882" s="669"/>
      <c r="X1882" s="444">
        <v>1882</v>
      </c>
    </row>
    <row r="1883" spans="1:32" ht="12">
      <c r="A1883" s="83" t="s">
        <v>21364</v>
      </c>
      <c r="B1883" s="64" t="s">
        <v>21365</v>
      </c>
      <c r="C1883" s="71" t="s">
        <v>103</v>
      </c>
      <c r="D1883" s="79">
        <v>1</v>
      </c>
      <c r="E1883" s="79">
        <v>358.33</v>
      </c>
      <c r="F1883" s="79">
        <v>358.33</v>
      </c>
      <c r="G1883" s="445"/>
      <c r="H1883" s="178">
        <v>358.33</v>
      </c>
      <c r="I1883" s="178">
        <v>440.74</v>
      </c>
      <c r="J1883" s="70">
        <v>-82.410000000000025</v>
      </c>
      <c r="K1883" s="320"/>
      <c r="L1883" s="178">
        <v>358.33</v>
      </c>
      <c r="M1883" s="178">
        <v>0</v>
      </c>
      <c r="N1883" s="179">
        <v>0</v>
      </c>
      <c r="O1883" s="178">
        <v>358.33</v>
      </c>
      <c r="P1883" s="453"/>
      <c r="Q1883" s="61"/>
      <c r="R1883" s="298"/>
      <c r="S1883" s="669"/>
      <c r="X1883" s="444">
        <v>1883</v>
      </c>
    </row>
    <row r="1884" spans="1:32" ht="12">
      <c r="A1884" s="83" t="s">
        <v>21366</v>
      </c>
      <c r="B1884" s="64" t="s">
        <v>21367</v>
      </c>
      <c r="C1884" s="71" t="s">
        <v>103</v>
      </c>
      <c r="D1884" s="79">
        <v>1</v>
      </c>
      <c r="E1884" s="79">
        <v>398.45000000000005</v>
      </c>
      <c r="F1884" s="79">
        <v>398.45</v>
      </c>
      <c r="G1884" s="445"/>
      <c r="H1884" s="178">
        <v>398.43</v>
      </c>
      <c r="I1884" s="178">
        <v>490.07</v>
      </c>
      <c r="J1884" s="70">
        <v>-91.619999999999948</v>
      </c>
      <c r="K1884" s="320"/>
      <c r="L1884" s="178">
        <v>398.45000000000005</v>
      </c>
      <c r="M1884" s="178">
        <v>0</v>
      </c>
      <c r="N1884" s="179">
        <v>0</v>
      </c>
      <c r="O1884" s="178">
        <v>398.45000000000005</v>
      </c>
      <c r="P1884" s="453"/>
      <c r="Q1884" s="61"/>
      <c r="R1884" s="298"/>
      <c r="S1884" s="669"/>
      <c r="X1884" s="444">
        <v>1884</v>
      </c>
    </row>
    <row r="1885" spans="1:32" ht="12">
      <c r="A1885" s="83" t="s">
        <v>21368</v>
      </c>
      <c r="B1885" s="64" t="s">
        <v>21369</v>
      </c>
      <c r="C1885" s="71" t="s">
        <v>103</v>
      </c>
      <c r="D1885" s="79">
        <v>1</v>
      </c>
      <c r="E1885" s="79">
        <v>273.06</v>
      </c>
      <c r="F1885" s="79">
        <v>273.06</v>
      </c>
      <c r="G1885" s="445"/>
      <c r="H1885" s="178">
        <v>273.06</v>
      </c>
      <c r="I1885" s="178">
        <v>335.86</v>
      </c>
      <c r="J1885" s="70">
        <v>-62.800000000000011</v>
      </c>
      <c r="K1885" s="320"/>
      <c r="L1885" s="178">
        <v>273.06</v>
      </c>
      <c r="M1885" s="178">
        <v>0</v>
      </c>
      <c r="N1885" s="179">
        <v>0</v>
      </c>
      <c r="O1885" s="178">
        <v>273.06</v>
      </c>
      <c r="P1885" s="453"/>
      <c r="Q1885" s="61"/>
      <c r="R1885" s="298"/>
      <c r="S1885" s="669"/>
      <c r="U1885" s="61"/>
      <c r="V1885" s="61"/>
      <c r="W1885" s="61"/>
      <c r="X1885" s="444">
        <v>1885</v>
      </c>
      <c r="Y1885" s="61"/>
      <c r="Z1885" s="61"/>
      <c r="AA1885" s="61"/>
      <c r="AB1885" s="61"/>
      <c r="AC1885" s="61"/>
      <c r="AD1885" s="61"/>
      <c r="AE1885" s="61"/>
      <c r="AF1885" s="61"/>
    </row>
    <row r="1886" spans="1:32" ht="12">
      <c r="A1886" s="83" t="s">
        <v>21370</v>
      </c>
      <c r="B1886" s="64" t="s">
        <v>21371</v>
      </c>
      <c r="C1886" s="71" t="s">
        <v>103</v>
      </c>
      <c r="D1886" s="79">
        <v>1</v>
      </c>
      <c r="E1886" s="79">
        <v>109.22</v>
      </c>
      <c r="F1886" s="79">
        <v>109.22</v>
      </c>
      <c r="G1886" s="445"/>
      <c r="H1886" s="178">
        <v>109.22</v>
      </c>
      <c r="I1886" s="178">
        <v>134.34</v>
      </c>
      <c r="J1886" s="70">
        <v>-25.120000000000005</v>
      </c>
      <c r="K1886" s="320"/>
      <c r="L1886" s="178">
        <v>109.22</v>
      </c>
      <c r="M1886" s="178">
        <v>0</v>
      </c>
      <c r="N1886" s="179">
        <v>0</v>
      </c>
      <c r="O1886" s="178">
        <v>109.22</v>
      </c>
      <c r="P1886" s="453"/>
      <c r="Q1886" s="61"/>
      <c r="R1886" s="298"/>
      <c r="S1886" s="669"/>
      <c r="U1886" s="61"/>
      <c r="V1886" s="61"/>
      <c r="W1886" s="61"/>
      <c r="X1886" s="444">
        <v>1886</v>
      </c>
      <c r="Y1886" s="61"/>
      <c r="Z1886" s="61"/>
      <c r="AA1886" s="61"/>
      <c r="AB1886" s="61"/>
      <c r="AC1886" s="61"/>
      <c r="AD1886" s="61"/>
      <c r="AE1886" s="61"/>
      <c r="AF1886" s="61"/>
    </row>
    <row r="1887" spans="1:32" ht="12">
      <c r="A1887" s="83" t="s">
        <v>21372</v>
      </c>
      <c r="B1887" s="64" t="s">
        <v>21373</v>
      </c>
      <c r="C1887" s="71" t="s">
        <v>103</v>
      </c>
      <c r="D1887" s="79">
        <v>1</v>
      </c>
      <c r="E1887" s="79">
        <v>81.94</v>
      </c>
      <c r="F1887" s="79">
        <v>81.94</v>
      </c>
      <c r="G1887" s="445"/>
      <c r="H1887" s="178">
        <v>81.91</v>
      </c>
      <c r="I1887" s="178">
        <v>100.75</v>
      </c>
      <c r="J1887" s="70">
        <v>-18.810000000000002</v>
      </c>
      <c r="K1887" s="320"/>
      <c r="L1887" s="178">
        <v>81.94</v>
      </c>
      <c r="M1887" s="178">
        <v>0</v>
      </c>
      <c r="N1887" s="179">
        <v>0</v>
      </c>
      <c r="O1887" s="178">
        <v>81.94</v>
      </c>
      <c r="P1887" s="453"/>
      <c r="Q1887" s="61"/>
      <c r="R1887" s="298"/>
      <c r="S1887" s="669"/>
      <c r="X1887" s="444">
        <v>1887</v>
      </c>
    </row>
    <row r="1888" spans="1:32" ht="12">
      <c r="A1888" s="83" t="s">
        <v>21374</v>
      </c>
      <c r="B1888" s="64" t="s">
        <v>21375</v>
      </c>
      <c r="C1888" s="71" t="s">
        <v>103</v>
      </c>
      <c r="D1888" s="79">
        <v>1</v>
      </c>
      <c r="E1888" s="79">
        <v>120.32000000000001</v>
      </c>
      <c r="F1888" s="79">
        <v>120.32</v>
      </c>
      <c r="G1888" s="445"/>
      <c r="H1888" s="178">
        <v>120.31</v>
      </c>
      <c r="I1888" s="178">
        <v>147.97999999999999</v>
      </c>
      <c r="J1888" s="70">
        <v>-27.659999999999982</v>
      </c>
      <c r="K1888" s="320"/>
      <c r="L1888" s="178">
        <v>120.32000000000001</v>
      </c>
      <c r="M1888" s="178">
        <v>0</v>
      </c>
      <c r="N1888" s="179">
        <v>0</v>
      </c>
      <c r="O1888" s="178">
        <v>120.32000000000001</v>
      </c>
      <c r="P1888" s="453"/>
      <c r="Q1888" s="61"/>
      <c r="R1888" s="298"/>
      <c r="S1888" s="669"/>
      <c r="X1888" s="444">
        <v>1888</v>
      </c>
    </row>
    <row r="1889" spans="1:32" ht="12">
      <c r="A1889" s="83" t="s">
        <v>21376</v>
      </c>
      <c r="B1889" s="64" t="s">
        <v>21377</v>
      </c>
      <c r="C1889" s="71" t="s">
        <v>103</v>
      </c>
      <c r="D1889" s="79">
        <v>1</v>
      </c>
      <c r="E1889" s="79">
        <v>25.6</v>
      </c>
      <c r="F1889" s="79">
        <v>25.6</v>
      </c>
      <c r="G1889" s="445"/>
      <c r="H1889" s="178">
        <v>25.59</v>
      </c>
      <c r="I1889" s="178">
        <v>31.48</v>
      </c>
      <c r="J1889" s="70">
        <v>-5.879999999999999</v>
      </c>
      <c r="K1889" s="320"/>
      <c r="L1889" s="178">
        <v>25.6</v>
      </c>
      <c r="M1889" s="178">
        <v>0</v>
      </c>
      <c r="N1889" s="179">
        <v>0</v>
      </c>
      <c r="O1889" s="178">
        <v>25.6</v>
      </c>
      <c r="P1889" s="453"/>
      <c r="Q1889" s="61"/>
      <c r="R1889" s="298"/>
      <c r="S1889" s="669"/>
      <c r="X1889" s="444">
        <v>1889</v>
      </c>
    </row>
    <row r="1890" spans="1:32" ht="12">
      <c r="A1890" s="83" t="s">
        <v>21378</v>
      </c>
      <c r="B1890" s="64" t="s">
        <v>21379</v>
      </c>
      <c r="C1890" s="71" t="s">
        <v>103</v>
      </c>
      <c r="D1890" s="79">
        <v>1</v>
      </c>
      <c r="E1890" s="79">
        <v>81.94</v>
      </c>
      <c r="F1890" s="79">
        <v>81.94</v>
      </c>
      <c r="G1890" s="445"/>
      <c r="H1890" s="178">
        <v>81.91</v>
      </c>
      <c r="I1890" s="178">
        <v>100.75</v>
      </c>
      <c r="J1890" s="70">
        <v>-18.810000000000002</v>
      </c>
      <c r="K1890" s="320"/>
      <c r="L1890" s="178">
        <v>81.94</v>
      </c>
      <c r="M1890" s="178">
        <v>0</v>
      </c>
      <c r="N1890" s="179">
        <v>0</v>
      </c>
      <c r="O1890" s="178">
        <v>81.94</v>
      </c>
      <c r="P1890" s="453"/>
      <c r="Q1890" s="61"/>
      <c r="R1890" s="298"/>
      <c r="S1890" s="669"/>
      <c r="X1890" s="444">
        <v>1890</v>
      </c>
    </row>
    <row r="1891" spans="1:32" ht="12">
      <c r="A1891" s="83" t="s">
        <v>21380</v>
      </c>
      <c r="B1891" s="64" t="s">
        <v>21381</v>
      </c>
      <c r="C1891" s="71" t="s">
        <v>103</v>
      </c>
      <c r="D1891" s="79">
        <v>1</v>
      </c>
      <c r="E1891" s="79">
        <v>40.96</v>
      </c>
      <c r="F1891" s="79">
        <v>40.96</v>
      </c>
      <c r="G1891" s="445"/>
      <c r="H1891" s="178">
        <v>40.950000000000003</v>
      </c>
      <c r="I1891" s="178">
        <v>50.37</v>
      </c>
      <c r="J1891" s="70">
        <v>-9.4099999999999966</v>
      </c>
      <c r="K1891" s="320"/>
      <c r="L1891" s="178">
        <v>40.96</v>
      </c>
      <c r="M1891" s="178">
        <v>0</v>
      </c>
      <c r="N1891" s="179">
        <v>0</v>
      </c>
      <c r="O1891" s="178">
        <v>40.96</v>
      </c>
      <c r="P1891" s="453"/>
      <c r="Q1891" s="61"/>
      <c r="R1891" s="298"/>
      <c r="S1891" s="669"/>
      <c r="X1891" s="444">
        <v>1891</v>
      </c>
    </row>
    <row r="1892" spans="1:32" ht="12">
      <c r="A1892" s="83" t="s">
        <v>21382</v>
      </c>
      <c r="B1892" s="64" t="s">
        <v>21383</v>
      </c>
      <c r="C1892" s="71" t="s">
        <v>103</v>
      </c>
      <c r="D1892" s="79">
        <v>1</v>
      </c>
      <c r="E1892" s="79">
        <v>12.809999999999999</v>
      </c>
      <c r="F1892" s="79">
        <v>12.81</v>
      </c>
      <c r="G1892" s="445"/>
      <c r="H1892" s="178">
        <v>12.8</v>
      </c>
      <c r="I1892" s="178">
        <v>15.74</v>
      </c>
      <c r="J1892" s="70">
        <v>-2.9300000000000015</v>
      </c>
      <c r="K1892" s="320"/>
      <c r="L1892" s="178">
        <v>12.809999999999999</v>
      </c>
      <c r="M1892" s="178">
        <v>0</v>
      </c>
      <c r="N1892" s="179">
        <v>0</v>
      </c>
      <c r="O1892" s="178">
        <v>12.809999999999999</v>
      </c>
      <c r="P1892" s="453"/>
      <c r="Q1892" s="61"/>
      <c r="R1892" s="298"/>
      <c r="S1892" s="669"/>
      <c r="U1892" s="61"/>
      <c r="V1892" s="61"/>
      <c r="W1892" s="61"/>
      <c r="X1892" s="444">
        <v>1892</v>
      </c>
      <c r="Y1892" s="61"/>
      <c r="Z1892" s="61"/>
      <c r="AA1892" s="61"/>
      <c r="AB1892" s="61"/>
      <c r="AC1892" s="61"/>
      <c r="AD1892" s="61"/>
      <c r="AE1892" s="61"/>
      <c r="AF1892" s="61"/>
    </row>
    <row r="1893" spans="1:32" ht="12">
      <c r="A1893" s="83" t="s">
        <v>21384</v>
      </c>
      <c r="B1893" s="64" t="s">
        <v>21385</v>
      </c>
      <c r="C1893" s="71" t="s">
        <v>103</v>
      </c>
      <c r="D1893" s="79">
        <v>1</v>
      </c>
      <c r="E1893" s="79">
        <v>65.709999999999994</v>
      </c>
      <c r="F1893" s="79">
        <v>65.709999999999994</v>
      </c>
      <c r="G1893" s="445"/>
      <c r="H1893" s="178">
        <v>65.7</v>
      </c>
      <c r="I1893" s="178">
        <v>80.81</v>
      </c>
      <c r="J1893" s="70">
        <v>-15.100000000000009</v>
      </c>
      <c r="K1893" s="320"/>
      <c r="L1893" s="178">
        <v>65.709999999999994</v>
      </c>
      <c r="M1893" s="178">
        <v>0</v>
      </c>
      <c r="N1893" s="179">
        <v>0</v>
      </c>
      <c r="O1893" s="178">
        <v>65.709999999999994</v>
      </c>
      <c r="P1893" s="453"/>
      <c r="Q1893" s="61"/>
      <c r="R1893" s="298"/>
      <c r="S1893" s="669"/>
      <c r="U1893" s="61"/>
      <c r="V1893" s="61"/>
      <c r="W1893" s="61"/>
      <c r="X1893" s="444">
        <v>1893</v>
      </c>
      <c r="Y1893" s="61"/>
      <c r="Z1893" s="61"/>
      <c r="AA1893" s="61"/>
      <c r="AB1893" s="61"/>
      <c r="AC1893" s="61"/>
      <c r="AD1893" s="61"/>
      <c r="AE1893" s="61"/>
      <c r="AF1893" s="61"/>
    </row>
    <row r="1894" spans="1:32" ht="12">
      <c r="A1894" s="83" t="s">
        <v>21386</v>
      </c>
      <c r="B1894" s="64" t="s">
        <v>21387</v>
      </c>
      <c r="C1894" s="71" t="s">
        <v>10216</v>
      </c>
      <c r="D1894" s="79">
        <v>1</v>
      </c>
      <c r="E1894" s="79">
        <v>577.26</v>
      </c>
      <c r="F1894" s="79">
        <v>577.26</v>
      </c>
      <c r="G1894" s="445"/>
      <c r="H1894" s="178">
        <v>577.25</v>
      </c>
      <c r="I1894" s="178">
        <v>710.02</v>
      </c>
      <c r="J1894" s="70">
        <v>-132.76</v>
      </c>
      <c r="K1894" s="320"/>
      <c r="L1894" s="178"/>
      <c r="M1894" s="178">
        <v>577.26</v>
      </c>
      <c r="N1894" s="179">
        <v>0</v>
      </c>
      <c r="O1894" s="178">
        <v>577.26</v>
      </c>
      <c r="P1894" s="453"/>
      <c r="Q1894" s="61"/>
      <c r="R1894" s="298"/>
      <c r="S1894" s="669"/>
      <c r="U1894" s="73"/>
      <c r="V1894" s="73"/>
      <c r="W1894" s="73"/>
      <c r="X1894" s="444">
        <v>1894</v>
      </c>
      <c r="Y1894" s="73"/>
      <c r="Z1894" s="73"/>
      <c r="AA1894" s="73"/>
      <c r="AB1894" s="73"/>
      <c r="AC1894" s="73"/>
      <c r="AD1894" s="73"/>
      <c r="AE1894" s="73"/>
      <c r="AF1894" s="73"/>
    </row>
    <row r="1895" spans="1:32" ht="12">
      <c r="A1895" s="83" t="s">
        <v>39812</v>
      </c>
      <c r="B1895" s="64" t="s">
        <v>39813</v>
      </c>
      <c r="C1895" s="71"/>
      <c r="D1895" s="79" t="s">
        <v>40899</v>
      </c>
      <c r="E1895" s="79" t="s">
        <v>40899</v>
      </c>
      <c r="F1895" s="79"/>
      <c r="G1895" s="445"/>
      <c r="H1895" s="178"/>
      <c r="I1895" s="178"/>
      <c r="J1895" s="70"/>
      <c r="K1895" s="320"/>
      <c r="L1895" s="178"/>
      <c r="M1895" s="178"/>
      <c r="N1895" s="179"/>
      <c r="O1895" s="178"/>
      <c r="P1895" s="453"/>
      <c r="Q1895" s="61"/>
      <c r="R1895" s="298"/>
      <c r="S1895" s="669"/>
      <c r="U1895" s="73"/>
      <c r="V1895" s="73"/>
      <c r="W1895" s="73"/>
      <c r="X1895" s="444">
        <v>1895</v>
      </c>
      <c r="Y1895" s="73"/>
      <c r="Z1895" s="73"/>
      <c r="AA1895" s="73"/>
      <c r="AB1895" s="73"/>
      <c r="AC1895" s="73"/>
      <c r="AD1895" s="73"/>
      <c r="AE1895" s="73"/>
      <c r="AF1895" s="73"/>
    </row>
    <row r="1896" spans="1:32" ht="12">
      <c r="A1896" s="83" t="s">
        <v>21388</v>
      </c>
      <c r="B1896" s="64" t="s">
        <v>21389</v>
      </c>
      <c r="C1896" s="71" t="s">
        <v>103</v>
      </c>
      <c r="D1896" s="79">
        <v>1</v>
      </c>
      <c r="E1896" s="79">
        <v>218.45</v>
      </c>
      <c r="F1896" s="79">
        <v>218.45</v>
      </c>
      <c r="G1896" s="445"/>
      <c r="H1896" s="178">
        <v>218.45</v>
      </c>
      <c r="I1896" s="178">
        <v>268.69</v>
      </c>
      <c r="J1896" s="70">
        <v>-50.240000000000009</v>
      </c>
      <c r="K1896" s="320"/>
      <c r="L1896" s="178">
        <v>218.45</v>
      </c>
      <c r="M1896" s="178">
        <v>0</v>
      </c>
      <c r="N1896" s="179">
        <v>0</v>
      </c>
      <c r="O1896" s="178">
        <v>218.45</v>
      </c>
      <c r="P1896" s="453"/>
      <c r="Q1896" s="61"/>
      <c r="R1896" s="298"/>
      <c r="S1896" s="669"/>
      <c r="X1896" s="444">
        <v>1896</v>
      </c>
    </row>
    <row r="1897" spans="1:32" s="73" customFormat="1" ht="12">
      <c r="A1897" s="83" t="s">
        <v>21390</v>
      </c>
      <c r="B1897" s="64" t="s">
        <v>21391</v>
      </c>
      <c r="C1897" s="71" t="s">
        <v>103</v>
      </c>
      <c r="D1897" s="79">
        <v>1</v>
      </c>
      <c r="E1897" s="79">
        <v>273.06</v>
      </c>
      <c r="F1897" s="79">
        <v>273.06</v>
      </c>
      <c r="G1897" s="445"/>
      <c r="H1897" s="178">
        <v>273.06</v>
      </c>
      <c r="I1897" s="178">
        <v>335.86</v>
      </c>
      <c r="J1897" s="70">
        <v>-62.800000000000011</v>
      </c>
      <c r="K1897" s="320"/>
      <c r="L1897" s="178">
        <v>273.06</v>
      </c>
      <c r="M1897" s="178">
        <v>0</v>
      </c>
      <c r="N1897" s="179">
        <v>0</v>
      </c>
      <c r="O1897" s="178">
        <v>273.06</v>
      </c>
      <c r="P1897" s="453"/>
      <c r="Q1897" s="61"/>
      <c r="R1897" s="298"/>
      <c r="S1897" s="669"/>
      <c r="T1897" s="444"/>
      <c r="U1897" s="61"/>
      <c r="V1897" s="61"/>
      <c r="W1897" s="61"/>
      <c r="X1897" s="444">
        <v>1897</v>
      </c>
      <c r="Y1897" s="61"/>
      <c r="Z1897" s="61"/>
      <c r="AA1897" s="61"/>
      <c r="AB1897" s="61"/>
      <c r="AC1897" s="61"/>
      <c r="AD1897" s="61"/>
      <c r="AE1897" s="61"/>
      <c r="AF1897" s="61"/>
    </row>
    <row r="1898" spans="1:32" s="73" customFormat="1" ht="12">
      <c r="A1898" s="83" t="s">
        <v>21392</v>
      </c>
      <c r="B1898" s="64" t="s">
        <v>21393</v>
      </c>
      <c r="C1898" s="71" t="s">
        <v>103</v>
      </c>
      <c r="D1898" s="79">
        <v>1</v>
      </c>
      <c r="E1898" s="79">
        <v>27.33</v>
      </c>
      <c r="F1898" s="79">
        <v>27.33</v>
      </c>
      <c r="G1898" s="445"/>
      <c r="H1898" s="178">
        <v>27.3</v>
      </c>
      <c r="I1898" s="178">
        <v>33.58</v>
      </c>
      <c r="J1898" s="70">
        <v>-6.25</v>
      </c>
      <c r="K1898" s="320"/>
      <c r="L1898" s="178">
        <v>27.33</v>
      </c>
      <c r="M1898" s="178">
        <v>0</v>
      </c>
      <c r="N1898" s="179">
        <v>0</v>
      </c>
      <c r="O1898" s="178">
        <v>27.33</v>
      </c>
      <c r="P1898" s="453"/>
      <c r="Q1898" s="61"/>
      <c r="R1898" s="298"/>
      <c r="S1898" s="669"/>
      <c r="T1898" s="444"/>
      <c r="U1898" s="61"/>
      <c r="V1898" s="61"/>
      <c r="W1898" s="61"/>
      <c r="X1898" s="444">
        <v>1898</v>
      </c>
      <c r="Y1898" s="61"/>
      <c r="Z1898" s="61"/>
      <c r="AA1898" s="61"/>
      <c r="AB1898" s="61"/>
      <c r="AC1898" s="61"/>
      <c r="AD1898" s="61"/>
      <c r="AE1898" s="61"/>
      <c r="AF1898" s="61"/>
    </row>
    <row r="1899" spans="1:32" s="73" customFormat="1" ht="12">
      <c r="A1899" s="83" t="s">
        <v>21394</v>
      </c>
      <c r="B1899" s="64" t="s">
        <v>21395</v>
      </c>
      <c r="C1899" s="71" t="s">
        <v>103</v>
      </c>
      <c r="D1899" s="79">
        <v>1</v>
      </c>
      <c r="E1899" s="79">
        <v>13.65</v>
      </c>
      <c r="F1899" s="79">
        <v>13.65</v>
      </c>
      <c r="G1899" s="445"/>
      <c r="H1899" s="178">
        <v>13.65</v>
      </c>
      <c r="I1899" s="178">
        <v>16.79</v>
      </c>
      <c r="J1899" s="70">
        <v>-3.1399999999999988</v>
      </c>
      <c r="K1899" s="320"/>
      <c r="L1899" s="178">
        <v>13.65</v>
      </c>
      <c r="M1899" s="178">
        <v>0</v>
      </c>
      <c r="N1899" s="179">
        <v>0</v>
      </c>
      <c r="O1899" s="178">
        <v>13.65</v>
      </c>
      <c r="P1899" s="453"/>
      <c r="Q1899" s="61"/>
      <c r="R1899" s="298"/>
      <c r="S1899" s="669"/>
      <c r="T1899" s="444"/>
      <c r="U1899" s="444"/>
      <c r="V1899" s="444"/>
      <c r="W1899" s="444"/>
      <c r="X1899" s="444">
        <v>1899</v>
      </c>
      <c r="Y1899" s="444"/>
      <c r="Z1899" s="444"/>
      <c r="AA1899" s="444"/>
      <c r="AB1899" s="444"/>
      <c r="AC1899" s="444"/>
      <c r="AD1899" s="444"/>
      <c r="AE1899" s="444"/>
      <c r="AF1899" s="444"/>
    </row>
    <row r="1900" spans="1:32" ht="12">
      <c r="A1900" s="83" t="s">
        <v>21396</v>
      </c>
      <c r="B1900" s="64" t="s">
        <v>21397</v>
      </c>
      <c r="C1900" s="71" t="s">
        <v>103</v>
      </c>
      <c r="D1900" s="79">
        <v>1</v>
      </c>
      <c r="E1900" s="79">
        <v>109.22</v>
      </c>
      <c r="F1900" s="79">
        <v>109.22</v>
      </c>
      <c r="G1900" s="445"/>
      <c r="H1900" s="178">
        <v>109.22</v>
      </c>
      <c r="I1900" s="178">
        <v>134.34</v>
      </c>
      <c r="J1900" s="70">
        <v>-25.120000000000005</v>
      </c>
      <c r="K1900" s="320"/>
      <c r="L1900" s="178">
        <v>109.22</v>
      </c>
      <c r="M1900" s="178">
        <v>0</v>
      </c>
      <c r="N1900" s="179">
        <v>0</v>
      </c>
      <c r="O1900" s="178">
        <v>109.22</v>
      </c>
      <c r="P1900" s="453"/>
      <c r="Q1900" s="61"/>
      <c r="R1900" s="298"/>
      <c r="S1900" s="669"/>
      <c r="X1900" s="444">
        <v>1900</v>
      </c>
    </row>
    <row r="1901" spans="1:32" s="73" customFormat="1" ht="12">
      <c r="A1901" s="83" t="s">
        <v>21398</v>
      </c>
      <c r="B1901" s="64" t="s">
        <v>21399</v>
      </c>
      <c r="C1901" s="71" t="s">
        <v>165</v>
      </c>
      <c r="D1901" s="79">
        <v>1</v>
      </c>
      <c r="E1901" s="79">
        <v>13.65</v>
      </c>
      <c r="F1901" s="79">
        <v>13.65</v>
      </c>
      <c r="G1901" s="445"/>
      <c r="H1901" s="178">
        <v>13.65</v>
      </c>
      <c r="I1901" s="178">
        <v>16.79</v>
      </c>
      <c r="J1901" s="70">
        <v>-3.1399999999999988</v>
      </c>
      <c r="K1901" s="320"/>
      <c r="L1901" s="178">
        <v>13.65</v>
      </c>
      <c r="M1901" s="178">
        <v>0</v>
      </c>
      <c r="N1901" s="179">
        <v>0</v>
      </c>
      <c r="O1901" s="178">
        <v>13.65</v>
      </c>
      <c r="P1901" s="453"/>
      <c r="Q1901" s="61"/>
      <c r="R1901" s="298"/>
      <c r="S1901" s="669"/>
      <c r="T1901" s="444"/>
      <c r="U1901" s="444"/>
      <c r="V1901" s="444"/>
      <c r="W1901" s="444"/>
      <c r="X1901" s="444">
        <v>1901</v>
      </c>
      <c r="Y1901" s="444"/>
      <c r="Z1901" s="444"/>
      <c r="AA1901" s="444"/>
      <c r="AB1901" s="444"/>
      <c r="AC1901" s="444"/>
      <c r="AD1901" s="444"/>
      <c r="AE1901" s="444"/>
      <c r="AF1901" s="444"/>
    </row>
    <row r="1902" spans="1:32" ht="12">
      <c r="A1902" s="83" t="s">
        <v>21400</v>
      </c>
      <c r="B1902" s="64" t="s">
        <v>21401</v>
      </c>
      <c r="C1902" s="71" t="s">
        <v>165</v>
      </c>
      <c r="D1902" s="79">
        <v>1</v>
      </c>
      <c r="E1902" s="79">
        <v>27.33</v>
      </c>
      <c r="F1902" s="79">
        <v>27.33</v>
      </c>
      <c r="G1902" s="445"/>
      <c r="H1902" s="178">
        <v>27.3</v>
      </c>
      <c r="I1902" s="178">
        <v>33.58</v>
      </c>
      <c r="J1902" s="70">
        <v>-6.25</v>
      </c>
      <c r="K1902" s="320"/>
      <c r="L1902" s="178">
        <v>27.33</v>
      </c>
      <c r="M1902" s="178">
        <v>0</v>
      </c>
      <c r="N1902" s="179">
        <v>0</v>
      </c>
      <c r="O1902" s="178">
        <v>27.33</v>
      </c>
      <c r="P1902" s="453"/>
      <c r="Q1902" s="61"/>
      <c r="R1902" s="298"/>
      <c r="S1902" s="669"/>
      <c r="X1902" s="444">
        <v>1902</v>
      </c>
    </row>
    <row r="1903" spans="1:32" ht="12">
      <c r="A1903" s="83" t="s">
        <v>21402</v>
      </c>
      <c r="B1903" s="64" t="s">
        <v>21403</v>
      </c>
      <c r="C1903" s="71" t="s">
        <v>165</v>
      </c>
      <c r="D1903" s="79">
        <v>1</v>
      </c>
      <c r="E1903" s="79">
        <v>6.82</v>
      </c>
      <c r="F1903" s="79">
        <v>6.82</v>
      </c>
      <c r="G1903" s="445"/>
      <c r="H1903" s="178">
        <v>6.82</v>
      </c>
      <c r="I1903" s="178">
        <v>8.39</v>
      </c>
      <c r="J1903" s="70">
        <v>-1.5700000000000003</v>
      </c>
      <c r="K1903" s="320"/>
      <c r="L1903" s="178">
        <v>6.82</v>
      </c>
      <c r="M1903" s="178">
        <v>0</v>
      </c>
      <c r="N1903" s="179">
        <v>0</v>
      </c>
      <c r="O1903" s="178">
        <v>6.82</v>
      </c>
      <c r="P1903" s="453"/>
      <c r="Q1903" s="61"/>
      <c r="R1903" s="298"/>
      <c r="S1903" s="669"/>
      <c r="X1903" s="444">
        <v>1903</v>
      </c>
    </row>
    <row r="1904" spans="1:32" ht="12">
      <c r="A1904" s="83" t="s">
        <v>21404</v>
      </c>
      <c r="B1904" s="64" t="s">
        <v>21405</v>
      </c>
      <c r="C1904" s="71" t="s">
        <v>165</v>
      </c>
      <c r="D1904" s="79">
        <v>1</v>
      </c>
      <c r="E1904" s="79">
        <v>13.65</v>
      </c>
      <c r="F1904" s="79">
        <v>13.65</v>
      </c>
      <c r="G1904" s="445"/>
      <c r="H1904" s="178">
        <v>13.65</v>
      </c>
      <c r="I1904" s="178">
        <v>16.79</v>
      </c>
      <c r="J1904" s="70">
        <v>-3.1399999999999988</v>
      </c>
      <c r="K1904" s="320"/>
      <c r="L1904" s="178">
        <v>13.65</v>
      </c>
      <c r="M1904" s="178">
        <v>0</v>
      </c>
      <c r="N1904" s="179">
        <v>0</v>
      </c>
      <c r="O1904" s="178">
        <v>13.65</v>
      </c>
      <c r="P1904" s="453"/>
      <c r="Q1904" s="61"/>
      <c r="R1904" s="298"/>
      <c r="S1904" s="669"/>
      <c r="X1904" s="444">
        <v>1904</v>
      </c>
    </row>
    <row r="1905" spans="1:32" ht="12">
      <c r="A1905" s="83" t="s">
        <v>21406</v>
      </c>
      <c r="B1905" s="64" t="s">
        <v>21407</v>
      </c>
      <c r="C1905" s="71" t="s">
        <v>103</v>
      </c>
      <c r="D1905" s="79">
        <v>1</v>
      </c>
      <c r="E1905" s="79">
        <v>27.33</v>
      </c>
      <c r="F1905" s="79">
        <v>27.33</v>
      </c>
      <c r="G1905" s="445"/>
      <c r="H1905" s="178">
        <v>27.3</v>
      </c>
      <c r="I1905" s="178">
        <v>33.58</v>
      </c>
      <c r="J1905" s="70">
        <v>-6.25</v>
      </c>
      <c r="K1905" s="320"/>
      <c r="L1905" s="178">
        <v>27.33</v>
      </c>
      <c r="M1905" s="178">
        <v>0</v>
      </c>
      <c r="N1905" s="179">
        <v>0</v>
      </c>
      <c r="O1905" s="178">
        <v>27.33</v>
      </c>
      <c r="P1905" s="453"/>
      <c r="Q1905" s="61"/>
      <c r="R1905" s="298"/>
      <c r="S1905" s="669"/>
      <c r="X1905" s="444">
        <v>1905</v>
      </c>
    </row>
    <row r="1906" spans="1:32" ht="12">
      <c r="A1906" s="83" t="s">
        <v>21408</v>
      </c>
      <c r="B1906" s="64" t="s">
        <v>21409</v>
      </c>
      <c r="C1906" s="71" t="s">
        <v>103</v>
      </c>
      <c r="D1906" s="79">
        <v>1</v>
      </c>
      <c r="E1906" s="79">
        <v>54.61</v>
      </c>
      <c r="F1906" s="79">
        <v>54.61</v>
      </c>
      <c r="G1906" s="445"/>
      <c r="H1906" s="178">
        <v>54.61</v>
      </c>
      <c r="I1906" s="178">
        <v>67.17</v>
      </c>
      <c r="J1906" s="70">
        <v>-12.560000000000002</v>
      </c>
      <c r="K1906" s="320"/>
      <c r="L1906" s="178">
        <v>54.61</v>
      </c>
      <c r="M1906" s="178">
        <v>0</v>
      </c>
      <c r="N1906" s="179">
        <v>0</v>
      </c>
      <c r="O1906" s="178">
        <v>54.61</v>
      </c>
      <c r="P1906" s="453"/>
      <c r="Q1906" s="61"/>
      <c r="R1906" s="298"/>
      <c r="S1906" s="669"/>
      <c r="X1906" s="444">
        <v>1906</v>
      </c>
    </row>
    <row r="1907" spans="1:32" ht="12">
      <c r="A1907" s="83" t="s">
        <v>21410</v>
      </c>
      <c r="B1907" s="64" t="s">
        <v>21411</v>
      </c>
      <c r="C1907" s="71" t="s">
        <v>165</v>
      </c>
      <c r="D1907" s="79">
        <v>1</v>
      </c>
      <c r="E1907" s="79">
        <v>1.38</v>
      </c>
      <c r="F1907" s="79">
        <v>1.38</v>
      </c>
      <c r="G1907" s="445"/>
      <c r="H1907" s="178">
        <v>1.36</v>
      </c>
      <c r="I1907" s="178">
        <v>1.67</v>
      </c>
      <c r="J1907" s="70">
        <v>-0.29000000000000004</v>
      </c>
      <c r="K1907" s="320"/>
      <c r="L1907" s="178">
        <v>1.38</v>
      </c>
      <c r="M1907" s="178">
        <v>0</v>
      </c>
      <c r="N1907" s="179">
        <v>0</v>
      </c>
      <c r="O1907" s="178">
        <v>1.38</v>
      </c>
      <c r="P1907" s="453"/>
      <c r="Q1907" s="61"/>
      <c r="R1907" s="298"/>
      <c r="S1907" s="669"/>
      <c r="X1907" s="444">
        <v>1907</v>
      </c>
    </row>
    <row r="1908" spans="1:32" ht="12">
      <c r="A1908" s="83" t="s">
        <v>21412</v>
      </c>
      <c r="B1908" s="64" t="s">
        <v>21413</v>
      </c>
      <c r="C1908" s="71" t="s">
        <v>165</v>
      </c>
      <c r="D1908" s="79">
        <v>1</v>
      </c>
      <c r="E1908" s="79">
        <v>2.73</v>
      </c>
      <c r="F1908" s="79">
        <v>2.73</v>
      </c>
      <c r="G1908" s="445"/>
      <c r="H1908" s="178">
        <v>2.72</v>
      </c>
      <c r="I1908" s="178">
        <v>3.35</v>
      </c>
      <c r="J1908" s="70">
        <v>-0.62000000000000011</v>
      </c>
      <c r="K1908" s="320"/>
      <c r="L1908" s="178">
        <v>2.73</v>
      </c>
      <c r="M1908" s="178">
        <v>0</v>
      </c>
      <c r="N1908" s="179">
        <v>0</v>
      </c>
      <c r="O1908" s="178">
        <v>2.73</v>
      </c>
      <c r="P1908" s="453"/>
      <c r="Q1908" s="61"/>
      <c r="R1908" s="298"/>
      <c r="S1908" s="669"/>
      <c r="X1908" s="444">
        <v>1908</v>
      </c>
    </row>
    <row r="1909" spans="1:32" ht="12">
      <c r="A1909" s="83" t="s">
        <v>21414</v>
      </c>
      <c r="B1909" s="64" t="s">
        <v>21415</v>
      </c>
      <c r="C1909" s="71" t="s">
        <v>165</v>
      </c>
      <c r="D1909" s="79">
        <v>1</v>
      </c>
      <c r="E1909" s="79">
        <v>1.6400000000000001</v>
      </c>
      <c r="F1909" s="79">
        <v>1.64</v>
      </c>
      <c r="G1909" s="445"/>
      <c r="H1909" s="178">
        <v>1.63</v>
      </c>
      <c r="I1909" s="178">
        <v>2.0099999999999998</v>
      </c>
      <c r="J1909" s="70">
        <v>-0.36999999999999966</v>
      </c>
      <c r="K1909" s="320"/>
      <c r="L1909" s="178">
        <v>1.6400000000000001</v>
      </c>
      <c r="M1909" s="178">
        <v>0</v>
      </c>
      <c r="N1909" s="179">
        <v>0</v>
      </c>
      <c r="O1909" s="178">
        <v>1.6400000000000001</v>
      </c>
      <c r="P1909" s="453"/>
      <c r="Q1909" s="61"/>
      <c r="R1909" s="298"/>
      <c r="S1909" s="669"/>
      <c r="X1909" s="444">
        <v>1909</v>
      </c>
    </row>
    <row r="1910" spans="1:32" s="73" customFormat="1" ht="12">
      <c r="A1910" s="83" t="s">
        <v>21416</v>
      </c>
      <c r="B1910" s="64" t="s">
        <v>21417</v>
      </c>
      <c r="C1910" s="71" t="s">
        <v>165</v>
      </c>
      <c r="D1910" s="79">
        <v>1</v>
      </c>
      <c r="E1910" s="79">
        <v>3.26</v>
      </c>
      <c r="F1910" s="79">
        <v>3.26</v>
      </c>
      <c r="G1910" s="445"/>
      <c r="H1910" s="178">
        <v>3.28</v>
      </c>
      <c r="I1910" s="178">
        <v>4.03</v>
      </c>
      <c r="J1910" s="70">
        <v>-0.77000000000000046</v>
      </c>
      <c r="K1910" s="320"/>
      <c r="L1910" s="178">
        <v>3.26</v>
      </c>
      <c r="M1910" s="178">
        <v>0</v>
      </c>
      <c r="N1910" s="179">
        <v>0</v>
      </c>
      <c r="O1910" s="178">
        <v>3.26</v>
      </c>
      <c r="P1910" s="453"/>
      <c r="Q1910" s="61"/>
      <c r="R1910" s="298"/>
      <c r="S1910" s="669"/>
      <c r="T1910" s="444"/>
      <c r="U1910" s="444"/>
      <c r="V1910" s="444"/>
      <c r="W1910" s="444"/>
      <c r="X1910" s="444">
        <v>1910</v>
      </c>
      <c r="Y1910" s="444"/>
      <c r="Z1910" s="444"/>
      <c r="AA1910" s="444"/>
      <c r="AB1910" s="444"/>
      <c r="AC1910" s="444"/>
      <c r="AD1910" s="444"/>
      <c r="AE1910" s="444"/>
      <c r="AF1910" s="444"/>
    </row>
    <row r="1911" spans="1:32" ht="12">
      <c r="A1911" s="83" t="s">
        <v>21418</v>
      </c>
      <c r="B1911" s="64" t="s">
        <v>21419</v>
      </c>
      <c r="C1911" s="71" t="s">
        <v>103</v>
      </c>
      <c r="D1911" s="79">
        <v>1</v>
      </c>
      <c r="E1911" s="79">
        <v>10.92</v>
      </c>
      <c r="F1911" s="79">
        <v>10.92</v>
      </c>
      <c r="G1911" s="445"/>
      <c r="H1911" s="178">
        <v>10.92</v>
      </c>
      <c r="I1911" s="178">
        <v>13.43</v>
      </c>
      <c r="J1911" s="70">
        <v>-2.5099999999999998</v>
      </c>
      <c r="K1911" s="320"/>
      <c r="L1911" s="178">
        <v>10.92</v>
      </c>
      <c r="M1911" s="178">
        <v>0</v>
      </c>
      <c r="N1911" s="179">
        <v>0</v>
      </c>
      <c r="O1911" s="178">
        <v>10.92</v>
      </c>
      <c r="P1911" s="453"/>
      <c r="Q1911" s="61"/>
      <c r="R1911" s="298"/>
      <c r="S1911" s="669"/>
      <c r="X1911" s="444">
        <v>1911</v>
      </c>
    </row>
    <row r="1912" spans="1:32" ht="12">
      <c r="A1912" s="83" t="s">
        <v>21420</v>
      </c>
      <c r="B1912" s="64" t="s">
        <v>21421</v>
      </c>
      <c r="C1912" s="71" t="s">
        <v>103</v>
      </c>
      <c r="D1912" s="79">
        <v>1</v>
      </c>
      <c r="E1912" s="79">
        <v>27.33</v>
      </c>
      <c r="F1912" s="79">
        <v>27.33</v>
      </c>
      <c r="G1912" s="445"/>
      <c r="H1912" s="178">
        <v>27.3</v>
      </c>
      <c r="I1912" s="178">
        <v>33.58</v>
      </c>
      <c r="J1912" s="70">
        <v>-6.25</v>
      </c>
      <c r="K1912" s="320"/>
      <c r="L1912" s="178">
        <v>27.33</v>
      </c>
      <c r="M1912" s="178">
        <v>0</v>
      </c>
      <c r="N1912" s="179">
        <v>0</v>
      </c>
      <c r="O1912" s="178">
        <v>27.33</v>
      </c>
      <c r="P1912" s="453"/>
      <c r="Q1912" s="61"/>
      <c r="R1912" s="298"/>
      <c r="S1912" s="669"/>
      <c r="X1912" s="444">
        <v>1912</v>
      </c>
    </row>
    <row r="1913" spans="1:32" ht="12">
      <c r="A1913" s="83" t="s">
        <v>21422</v>
      </c>
      <c r="B1913" s="64" t="s">
        <v>21423</v>
      </c>
      <c r="C1913" s="71" t="s">
        <v>509</v>
      </c>
      <c r="D1913" s="79">
        <v>1</v>
      </c>
      <c r="E1913" s="79">
        <v>54.61</v>
      </c>
      <c r="F1913" s="79">
        <v>54.61</v>
      </c>
      <c r="G1913" s="445"/>
      <c r="H1913" s="178">
        <v>54.61</v>
      </c>
      <c r="I1913" s="178">
        <v>67.17</v>
      </c>
      <c r="J1913" s="70">
        <v>-12.560000000000002</v>
      </c>
      <c r="K1913" s="320"/>
      <c r="L1913" s="178">
        <v>54.61</v>
      </c>
      <c r="M1913" s="178">
        <v>0</v>
      </c>
      <c r="N1913" s="179">
        <v>0</v>
      </c>
      <c r="O1913" s="178">
        <v>54.61</v>
      </c>
      <c r="P1913" s="453"/>
      <c r="Q1913" s="61"/>
      <c r="R1913" s="298"/>
      <c r="S1913" s="669"/>
      <c r="X1913" s="444">
        <v>1913</v>
      </c>
    </row>
    <row r="1914" spans="1:32" ht="12">
      <c r="A1914" s="83" t="s">
        <v>21424</v>
      </c>
      <c r="B1914" s="64" t="s">
        <v>21425</v>
      </c>
      <c r="C1914" s="71" t="s">
        <v>103</v>
      </c>
      <c r="D1914" s="79">
        <v>1</v>
      </c>
      <c r="E1914" s="79">
        <v>10.92</v>
      </c>
      <c r="F1914" s="79">
        <v>10.92</v>
      </c>
      <c r="G1914" s="445"/>
      <c r="H1914" s="178">
        <v>10.92</v>
      </c>
      <c r="I1914" s="178">
        <v>13.43</v>
      </c>
      <c r="J1914" s="70">
        <v>-2.5099999999999998</v>
      </c>
      <c r="K1914" s="320"/>
      <c r="L1914" s="178">
        <v>10.92</v>
      </c>
      <c r="M1914" s="178">
        <v>0</v>
      </c>
      <c r="N1914" s="179">
        <v>0</v>
      </c>
      <c r="O1914" s="178">
        <v>10.92</v>
      </c>
      <c r="P1914" s="453"/>
      <c r="Q1914" s="61"/>
      <c r="R1914" s="298"/>
      <c r="S1914" s="669"/>
      <c r="X1914" s="444">
        <v>1914</v>
      </c>
    </row>
    <row r="1915" spans="1:32" ht="12">
      <c r="A1915" s="83" t="s">
        <v>21426</v>
      </c>
      <c r="B1915" s="64" t="s">
        <v>21427</v>
      </c>
      <c r="C1915" s="71" t="s">
        <v>103</v>
      </c>
      <c r="D1915" s="79">
        <v>1</v>
      </c>
      <c r="E1915" s="79">
        <v>27.33</v>
      </c>
      <c r="F1915" s="79">
        <v>27.33</v>
      </c>
      <c r="G1915" s="445"/>
      <c r="H1915" s="178">
        <v>27.3</v>
      </c>
      <c r="I1915" s="178">
        <v>33.58</v>
      </c>
      <c r="J1915" s="70">
        <v>-6.25</v>
      </c>
      <c r="K1915" s="320"/>
      <c r="L1915" s="178">
        <v>27.33</v>
      </c>
      <c r="M1915" s="178">
        <v>0</v>
      </c>
      <c r="N1915" s="179">
        <v>0</v>
      </c>
      <c r="O1915" s="178">
        <v>27.33</v>
      </c>
      <c r="P1915" s="453"/>
      <c r="Q1915" s="61"/>
      <c r="R1915" s="298"/>
      <c r="S1915" s="669"/>
      <c r="X1915" s="444">
        <v>1915</v>
      </c>
    </row>
    <row r="1916" spans="1:32" s="61" customFormat="1" ht="12">
      <c r="A1916" s="83" t="s">
        <v>21428</v>
      </c>
      <c r="B1916" s="64" t="s">
        <v>39814</v>
      </c>
      <c r="C1916" s="71" t="s">
        <v>103</v>
      </c>
      <c r="D1916" s="79">
        <v>1</v>
      </c>
      <c r="E1916" s="79">
        <v>6.82</v>
      </c>
      <c r="F1916" s="79">
        <v>6.82</v>
      </c>
      <c r="G1916" s="445"/>
      <c r="H1916" s="178">
        <v>6.82</v>
      </c>
      <c r="I1916" s="178">
        <v>8.39</v>
      </c>
      <c r="J1916" s="70">
        <v>-1.5700000000000003</v>
      </c>
      <c r="K1916" s="320"/>
      <c r="L1916" s="178">
        <v>6.82</v>
      </c>
      <c r="M1916" s="178">
        <v>0</v>
      </c>
      <c r="N1916" s="179">
        <v>0</v>
      </c>
      <c r="O1916" s="178">
        <v>6.82</v>
      </c>
      <c r="P1916" s="453"/>
      <c r="R1916" s="298"/>
      <c r="S1916" s="669"/>
      <c r="T1916" s="444"/>
      <c r="U1916" s="444"/>
      <c r="V1916" s="444"/>
      <c r="W1916" s="444"/>
      <c r="X1916" s="444">
        <v>1916</v>
      </c>
      <c r="Y1916" s="444"/>
      <c r="Z1916" s="444"/>
      <c r="AA1916" s="444"/>
      <c r="AB1916" s="444"/>
      <c r="AC1916" s="444"/>
      <c r="AD1916" s="444"/>
      <c r="AE1916" s="444"/>
      <c r="AF1916" s="444"/>
    </row>
    <row r="1917" spans="1:32" s="61" customFormat="1" ht="12">
      <c r="A1917" s="83" t="s">
        <v>21429</v>
      </c>
      <c r="B1917" s="64" t="s">
        <v>21430</v>
      </c>
      <c r="C1917" s="71" t="s">
        <v>103</v>
      </c>
      <c r="D1917" s="79">
        <v>1</v>
      </c>
      <c r="E1917" s="79">
        <v>27.33</v>
      </c>
      <c r="F1917" s="79">
        <v>27.33</v>
      </c>
      <c r="G1917" s="445"/>
      <c r="H1917" s="178">
        <v>27.3</v>
      </c>
      <c r="I1917" s="178">
        <v>33.58</v>
      </c>
      <c r="J1917" s="70">
        <v>-6.25</v>
      </c>
      <c r="K1917" s="320"/>
      <c r="L1917" s="178">
        <v>27.33</v>
      </c>
      <c r="M1917" s="178">
        <v>0</v>
      </c>
      <c r="N1917" s="179">
        <v>0</v>
      </c>
      <c r="O1917" s="178">
        <v>27.33</v>
      </c>
      <c r="P1917" s="453"/>
      <c r="R1917" s="298"/>
      <c r="S1917" s="669"/>
      <c r="T1917" s="444"/>
      <c r="U1917" s="444"/>
      <c r="V1917" s="444"/>
      <c r="W1917" s="444"/>
      <c r="X1917" s="444">
        <v>1917</v>
      </c>
      <c r="Y1917" s="444"/>
      <c r="Z1917" s="444"/>
      <c r="AA1917" s="444"/>
      <c r="AB1917" s="444"/>
      <c r="AC1917" s="444"/>
      <c r="AD1917" s="444"/>
      <c r="AE1917" s="444"/>
      <c r="AF1917" s="444"/>
    </row>
    <row r="1918" spans="1:32" ht="12">
      <c r="A1918" s="83" t="s">
        <v>21431</v>
      </c>
      <c r="B1918" s="64" t="s">
        <v>21432</v>
      </c>
      <c r="C1918" s="71" t="s">
        <v>103</v>
      </c>
      <c r="D1918" s="79">
        <v>1</v>
      </c>
      <c r="E1918" s="79">
        <v>40.960000000000008</v>
      </c>
      <c r="F1918" s="79">
        <v>40.96</v>
      </c>
      <c r="G1918" s="445"/>
      <c r="H1918" s="178">
        <v>40.950000000000003</v>
      </c>
      <c r="I1918" s="178">
        <v>50.37</v>
      </c>
      <c r="J1918" s="70">
        <v>-9.4099999999999895</v>
      </c>
      <c r="K1918" s="320"/>
      <c r="L1918" s="178">
        <v>40.960000000000008</v>
      </c>
      <c r="M1918" s="178">
        <v>0</v>
      </c>
      <c r="N1918" s="179">
        <v>0</v>
      </c>
      <c r="O1918" s="178">
        <v>40.960000000000008</v>
      </c>
      <c r="P1918" s="453"/>
      <c r="Q1918" s="61"/>
      <c r="R1918" s="298"/>
      <c r="S1918" s="669"/>
      <c r="X1918" s="444">
        <v>1918</v>
      </c>
    </row>
    <row r="1919" spans="1:32" ht="12">
      <c r="A1919" s="83" t="s">
        <v>21433</v>
      </c>
      <c r="B1919" s="64" t="s">
        <v>21434</v>
      </c>
      <c r="C1919" s="71" t="s">
        <v>103</v>
      </c>
      <c r="D1919" s="79">
        <v>1</v>
      </c>
      <c r="E1919" s="79">
        <v>54.61</v>
      </c>
      <c r="F1919" s="79">
        <v>54.61</v>
      </c>
      <c r="G1919" s="445"/>
      <c r="H1919" s="178">
        <v>54.61</v>
      </c>
      <c r="I1919" s="178">
        <v>67.17</v>
      </c>
      <c r="J1919" s="70">
        <v>-12.560000000000002</v>
      </c>
      <c r="K1919" s="320"/>
      <c r="L1919" s="178">
        <v>54.61</v>
      </c>
      <c r="M1919" s="178">
        <v>0</v>
      </c>
      <c r="N1919" s="179">
        <v>0</v>
      </c>
      <c r="O1919" s="178">
        <v>54.61</v>
      </c>
      <c r="P1919" s="453"/>
      <c r="Q1919" s="61"/>
      <c r="R1919" s="298"/>
      <c r="S1919" s="669"/>
      <c r="X1919" s="444">
        <v>1919</v>
      </c>
    </row>
    <row r="1920" spans="1:32" ht="12">
      <c r="A1920" s="83" t="s">
        <v>21435</v>
      </c>
      <c r="B1920" s="64" t="s">
        <v>21436</v>
      </c>
      <c r="C1920" s="71" t="s">
        <v>165</v>
      </c>
      <c r="D1920" s="79">
        <v>1</v>
      </c>
      <c r="E1920" s="79">
        <v>27.33</v>
      </c>
      <c r="F1920" s="79">
        <v>27.33</v>
      </c>
      <c r="G1920" s="445"/>
      <c r="H1920" s="178">
        <v>27.3</v>
      </c>
      <c r="I1920" s="178">
        <v>33.58</v>
      </c>
      <c r="J1920" s="70">
        <v>-6.25</v>
      </c>
      <c r="K1920" s="320"/>
      <c r="L1920" s="178">
        <v>27.33</v>
      </c>
      <c r="M1920" s="178">
        <v>0</v>
      </c>
      <c r="N1920" s="179">
        <v>0</v>
      </c>
      <c r="O1920" s="178">
        <v>27.33</v>
      </c>
      <c r="P1920" s="453"/>
      <c r="Q1920" s="61"/>
      <c r="R1920" s="298"/>
      <c r="S1920" s="669"/>
      <c r="X1920" s="444">
        <v>1920</v>
      </c>
    </row>
    <row r="1921" spans="1:32" ht="12">
      <c r="A1921" s="83" t="s">
        <v>21437</v>
      </c>
      <c r="B1921" s="64" t="s">
        <v>21438</v>
      </c>
      <c r="C1921" s="71" t="s">
        <v>10216</v>
      </c>
      <c r="D1921" s="79">
        <v>1</v>
      </c>
      <c r="E1921" s="79">
        <v>577.26</v>
      </c>
      <c r="F1921" s="79">
        <v>577.26</v>
      </c>
      <c r="G1921" s="445"/>
      <c r="H1921" s="178">
        <v>577.25</v>
      </c>
      <c r="I1921" s="178">
        <v>710.02</v>
      </c>
      <c r="J1921" s="70">
        <v>-132.76</v>
      </c>
      <c r="K1921" s="320"/>
      <c r="L1921" s="178"/>
      <c r="M1921" s="178">
        <v>577.26</v>
      </c>
      <c r="N1921" s="179">
        <v>0</v>
      </c>
      <c r="O1921" s="178">
        <v>577.26</v>
      </c>
      <c r="P1921" s="453"/>
      <c r="Q1921" s="61"/>
      <c r="R1921" s="298"/>
      <c r="S1921" s="669"/>
      <c r="X1921" s="444">
        <v>1921</v>
      </c>
    </row>
    <row r="1922" spans="1:32" ht="12">
      <c r="A1922" s="83" t="s">
        <v>39815</v>
      </c>
      <c r="B1922" s="64" t="s">
        <v>39816</v>
      </c>
      <c r="C1922" s="71"/>
      <c r="D1922" s="79" t="s">
        <v>40899</v>
      </c>
      <c r="E1922" s="79" t="s">
        <v>40899</v>
      </c>
      <c r="F1922" s="79"/>
      <c r="G1922" s="445"/>
      <c r="H1922" s="178"/>
      <c r="I1922" s="178"/>
      <c r="J1922" s="70"/>
      <c r="K1922" s="320"/>
      <c r="L1922" s="178"/>
      <c r="M1922" s="178"/>
      <c r="N1922" s="179"/>
      <c r="O1922" s="178"/>
      <c r="P1922" s="453"/>
      <c r="Q1922" s="61"/>
      <c r="R1922" s="298"/>
      <c r="S1922" s="669"/>
      <c r="X1922" s="444">
        <v>1922</v>
      </c>
    </row>
    <row r="1923" spans="1:32" s="61" customFormat="1" ht="12">
      <c r="A1923" s="83" t="s">
        <v>21439</v>
      </c>
      <c r="B1923" s="64" t="s">
        <v>21440</v>
      </c>
      <c r="C1923" s="71" t="s">
        <v>103</v>
      </c>
      <c r="D1923" s="79">
        <v>1</v>
      </c>
      <c r="E1923" s="79">
        <v>21.84</v>
      </c>
      <c r="F1923" s="79">
        <v>21.84</v>
      </c>
      <c r="G1923" s="445"/>
      <c r="H1923" s="178">
        <v>21.84</v>
      </c>
      <c r="I1923" s="178">
        <v>26.86</v>
      </c>
      <c r="J1923" s="70">
        <v>-5.0199999999999996</v>
      </c>
      <c r="K1923" s="320"/>
      <c r="L1923" s="178">
        <v>21.84</v>
      </c>
      <c r="M1923" s="178">
        <v>0</v>
      </c>
      <c r="N1923" s="179">
        <v>0</v>
      </c>
      <c r="O1923" s="178">
        <v>21.84</v>
      </c>
      <c r="P1923" s="453"/>
      <c r="R1923" s="298"/>
      <c r="S1923" s="669"/>
      <c r="T1923" s="444"/>
      <c r="U1923" s="444"/>
      <c r="V1923" s="444"/>
      <c r="W1923" s="444"/>
      <c r="X1923" s="444">
        <v>1923</v>
      </c>
      <c r="Y1923" s="444"/>
      <c r="Z1923" s="444"/>
      <c r="AA1923" s="444"/>
      <c r="AB1923" s="444"/>
      <c r="AC1923" s="444"/>
      <c r="AD1923" s="444"/>
      <c r="AE1923" s="444"/>
      <c r="AF1923" s="444"/>
    </row>
    <row r="1924" spans="1:32" s="61" customFormat="1" ht="12">
      <c r="A1924" s="83" t="s">
        <v>21441</v>
      </c>
      <c r="B1924" s="64" t="s">
        <v>21442</v>
      </c>
      <c r="C1924" s="71" t="s">
        <v>103</v>
      </c>
      <c r="D1924" s="79">
        <v>1</v>
      </c>
      <c r="E1924" s="79">
        <v>32.770000000000003</v>
      </c>
      <c r="F1924" s="79">
        <v>32.770000000000003</v>
      </c>
      <c r="G1924" s="445"/>
      <c r="H1924" s="178">
        <v>32.76</v>
      </c>
      <c r="I1924" s="178">
        <v>40.299999999999997</v>
      </c>
      <c r="J1924" s="70">
        <v>-7.529999999999994</v>
      </c>
      <c r="K1924" s="320"/>
      <c r="L1924" s="178">
        <v>32.770000000000003</v>
      </c>
      <c r="M1924" s="178">
        <v>0</v>
      </c>
      <c r="N1924" s="179">
        <v>0</v>
      </c>
      <c r="O1924" s="178">
        <v>32.770000000000003</v>
      </c>
      <c r="P1924" s="453"/>
      <c r="R1924" s="298"/>
      <c r="S1924" s="669"/>
      <c r="T1924" s="444"/>
      <c r="U1924" s="444"/>
      <c r="V1924" s="444"/>
      <c r="W1924" s="444"/>
      <c r="X1924" s="444">
        <v>1924</v>
      </c>
      <c r="Y1924" s="444"/>
      <c r="Z1924" s="444"/>
      <c r="AA1924" s="444"/>
      <c r="AB1924" s="444"/>
      <c r="AC1924" s="444"/>
      <c r="AD1924" s="444"/>
      <c r="AE1924" s="444"/>
      <c r="AF1924" s="444"/>
    </row>
    <row r="1925" spans="1:32" s="73" customFormat="1" ht="24">
      <c r="A1925" s="83" t="s">
        <v>21443</v>
      </c>
      <c r="B1925" s="64" t="s">
        <v>21444</v>
      </c>
      <c r="C1925" s="71" t="s">
        <v>103</v>
      </c>
      <c r="D1925" s="79">
        <v>1</v>
      </c>
      <c r="E1925" s="79">
        <v>54.61</v>
      </c>
      <c r="F1925" s="79">
        <v>54.61</v>
      </c>
      <c r="G1925" s="445"/>
      <c r="H1925" s="178">
        <v>54.61</v>
      </c>
      <c r="I1925" s="178">
        <v>67.17</v>
      </c>
      <c r="J1925" s="70">
        <v>-12.560000000000002</v>
      </c>
      <c r="K1925" s="320"/>
      <c r="L1925" s="178">
        <v>54.61</v>
      </c>
      <c r="M1925" s="178">
        <v>0</v>
      </c>
      <c r="N1925" s="179">
        <v>0</v>
      </c>
      <c r="O1925" s="178">
        <v>54.61</v>
      </c>
      <c r="P1925" s="453"/>
      <c r="Q1925" s="61"/>
      <c r="R1925" s="298"/>
      <c r="S1925" s="669"/>
      <c r="T1925" s="444"/>
      <c r="U1925" s="444"/>
      <c r="V1925" s="444"/>
      <c r="W1925" s="444"/>
      <c r="X1925" s="444">
        <v>1925</v>
      </c>
      <c r="Y1925" s="444"/>
      <c r="Z1925" s="444"/>
      <c r="AA1925" s="444"/>
      <c r="AB1925" s="444"/>
      <c r="AC1925" s="444"/>
      <c r="AD1925" s="444"/>
      <c r="AE1925" s="444"/>
      <c r="AF1925" s="444"/>
    </row>
    <row r="1926" spans="1:32" s="73" customFormat="1" ht="12">
      <c r="A1926" s="83" t="s">
        <v>21445</v>
      </c>
      <c r="B1926" s="64" t="s">
        <v>21446</v>
      </c>
      <c r="C1926" s="71" t="s">
        <v>103</v>
      </c>
      <c r="D1926" s="79">
        <v>1</v>
      </c>
      <c r="E1926" s="79">
        <v>81.94</v>
      </c>
      <c r="F1926" s="79">
        <v>81.94</v>
      </c>
      <c r="G1926" s="445"/>
      <c r="H1926" s="178">
        <v>81.91</v>
      </c>
      <c r="I1926" s="178">
        <v>100.75</v>
      </c>
      <c r="J1926" s="70">
        <v>-18.810000000000002</v>
      </c>
      <c r="K1926" s="320"/>
      <c r="L1926" s="178">
        <v>81.94</v>
      </c>
      <c r="M1926" s="178">
        <v>0</v>
      </c>
      <c r="N1926" s="179">
        <v>0</v>
      </c>
      <c r="O1926" s="178">
        <v>81.94</v>
      </c>
      <c r="P1926" s="453"/>
      <c r="Q1926" s="61"/>
      <c r="R1926" s="298"/>
      <c r="S1926" s="669"/>
      <c r="T1926" s="444"/>
      <c r="U1926" s="444"/>
      <c r="V1926" s="444"/>
      <c r="W1926" s="444"/>
      <c r="X1926" s="444">
        <v>1926</v>
      </c>
      <c r="Y1926" s="444"/>
      <c r="Z1926" s="444"/>
      <c r="AA1926" s="444"/>
      <c r="AB1926" s="444"/>
      <c r="AC1926" s="444"/>
      <c r="AD1926" s="444"/>
      <c r="AE1926" s="444"/>
      <c r="AF1926" s="444"/>
    </row>
    <row r="1927" spans="1:32" ht="12">
      <c r="A1927" s="83" t="s">
        <v>21447</v>
      </c>
      <c r="B1927" s="64" t="s">
        <v>21448</v>
      </c>
      <c r="C1927" s="71" t="s">
        <v>103</v>
      </c>
      <c r="D1927" s="79">
        <v>1</v>
      </c>
      <c r="E1927" s="79">
        <v>8.19</v>
      </c>
      <c r="F1927" s="79">
        <v>8.19</v>
      </c>
      <c r="G1927" s="445"/>
      <c r="H1927" s="178">
        <v>8.19</v>
      </c>
      <c r="I1927" s="178">
        <v>10.07</v>
      </c>
      <c r="J1927" s="70">
        <v>-1.8800000000000008</v>
      </c>
      <c r="K1927" s="320"/>
      <c r="L1927" s="178">
        <v>8.19</v>
      </c>
      <c r="M1927" s="178">
        <v>0</v>
      </c>
      <c r="N1927" s="179">
        <v>0</v>
      </c>
      <c r="O1927" s="178">
        <v>8.19</v>
      </c>
      <c r="P1927" s="453"/>
      <c r="Q1927" s="61"/>
      <c r="R1927" s="298"/>
      <c r="S1927" s="669"/>
      <c r="X1927" s="444">
        <v>1927</v>
      </c>
    </row>
    <row r="1928" spans="1:32" s="61" customFormat="1" ht="12">
      <c r="A1928" s="83" t="s">
        <v>21449</v>
      </c>
      <c r="B1928" s="64" t="s">
        <v>21450</v>
      </c>
      <c r="C1928" s="71" t="s">
        <v>103</v>
      </c>
      <c r="D1928" s="79">
        <v>1</v>
      </c>
      <c r="E1928" s="79">
        <v>8.19</v>
      </c>
      <c r="F1928" s="79">
        <v>8.19</v>
      </c>
      <c r="G1928" s="445"/>
      <c r="H1928" s="178">
        <v>8.19</v>
      </c>
      <c r="I1928" s="178">
        <v>10.07</v>
      </c>
      <c r="J1928" s="70">
        <v>-1.8800000000000008</v>
      </c>
      <c r="K1928" s="320"/>
      <c r="L1928" s="178">
        <v>8.19</v>
      </c>
      <c r="M1928" s="178">
        <v>0</v>
      </c>
      <c r="N1928" s="179">
        <v>0</v>
      </c>
      <c r="O1928" s="178">
        <v>8.19</v>
      </c>
      <c r="P1928" s="453"/>
      <c r="R1928" s="298"/>
      <c r="S1928" s="669"/>
      <c r="T1928" s="444"/>
      <c r="U1928" s="444"/>
      <c r="V1928" s="444"/>
      <c r="W1928" s="444"/>
      <c r="X1928" s="444">
        <v>1928</v>
      </c>
      <c r="Y1928" s="444"/>
      <c r="Z1928" s="444"/>
      <c r="AA1928" s="444"/>
      <c r="AB1928" s="444"/>
      <c r="AC1928" s="444"/>
      <c r="AD1928" s="444"/>
      <c r="AE1928" s="444"/>
      <c r="AF1928" s="444"/>
    </row>
    <row r="1929" spans="1:32" s="61" customFormat="1" ht="12">
      <c r="A1929" s="83" t="s">
        <v>21451</v>
      </c>
      <c r="B1929" s="64" t="s">
        <v>29645</v>
      </c>
      <c r="C1929" s="71" t="s">
        <v>103</v>
      </c>
      <c r="D1929" s="79">
        <v>1</v>
      </c>
      <c r="E1929" s="79">
        <v>10.92</v>
      </c>
      <c r="F1929" s="79">
        <v>10.92</v>
      </c>
      <c r="G1929" s="445"/>
      <c r="H1929" s="178">
        <v>10.92</v>
      </c>
      <c r="I1929" s="178">
        <v>13.43</v>
      </c>
      <c r="J1929" s="70">
        <v>-2.5099999999999998</v>
      </c>
      <c r="K1929" s="320"/>
      <c r="L1929" s="178">
        <v>10.92</v>
      </c>
      <c r="M1929" s="178">
        <v>0</v>
      </c>
      <c r="N1929" s="179">
        <v>0</v>
      </c>
      <c r="O1929" s="178">
        <v>10.92</v>
      </c>
      <c r="P1929" s="453"/>
      <c r="R1929" s="298"/>
      <c r="S1929" s="669"/>
      <c r="T1929" s="444"/>
      <c r="U1929" s="444"/>
      <c r="V1929" s="444"/>
      <c r="W1929" s="444"/>
      <c r="X1929" s="444">
        <v>1929</v>
      </c>
      <c r="Y1929" s="444"/>
      <c r="Z1929" s="444"/>
      <c r="AA1929" s="444"/>
      <c r="AB1929" s="444"/>
      <c r="AC1929" s="444"/>
      <c r="AD1929" s="444"/>
      <c r="AE1929" s="444"/>
      <c r="AF1929" s="444"/>
    </row>
    <row r="1930" spans="1:32" ht="12">
      <c r="A1930" s="83" t="s">
        <v>21452</v>
      </c>
      <c r="B1930" s="64" t="s">
        <v>21453</v>
      </c>
      <c r="C1930" s="71" t="s">
        <v>103</v>
      </c>
      <c r="D1930" s="79">
        <v>1</v>
      </c>
      <c r="E1930" s="79">
        <v>54.61</v>
      </c>
      <c r="F1930" s="79">
        <v>54.61</v>
      </c>
      <c r="G1930" s="445"/>
      <c r="H1930" s="178">
        <v>54.61</v>
      </c>
      <c r="I1930" s="178">
        <v>67.17</v>
      </c>
      <c r="J1930" s="70">
        <v>-12.560000000000002</v>
      </c>
      <c r="K1930" s="320"/>
      <c r="L1930" s="178">
        <v>54.61</v>
      </c>
      <c r="M1930" s="178">
        <v>0</v>
      </c>
      <c r="N1930" s="179">
        <v>0</v>
      </c>
      <c r="O1930" s="178">
        <v>54.61</v>
      </c>
      <c r="P1930" s="453"/>
      <c r="Q1930" s="61"/>
      <c r="R1930" s="298"/>
      <c r="S1930" s="669"/>
      <c r="X1930" s="444">
        <v>1930</v>
      </c>
    </row>
    <row r="1931" spans="1:32" ht="12">
      <c r="A1931" s="83" t="s">
        <v>21454</v>
      </c>
      <c r="B1931" s="64" t="s">
        <v>21455</v>
      </c>
      <c r="C1931" s="71" t="s">
        <v>103</v>
      </c>
      <c r="D1931" s="79">
        <v>1</v>
      </c>
      <c r="E1931" s="79">
        <v>81.94</v>
      </c>
      <c r="F1931" s="79">
        <v>81.94</v>
      </c>
      <c r="G1931" s="445"/>
      <c r="H1931" s="178">
        <v>81.91</v>
      </c>
      <c r="I1931" s="178">
        <v>100.75</v>
      </c>
      <c r="J1931" s="70">
        <v>-18.810000000000002</v>
      </c>
      <c r="K1931" s="320"/>
      <c r="L1931" s="178">
        <v>81.94</v>
      </c>
      <c r="M1931" s="178">
        <v>0</v>
      </c>
      <c r="N1931" s="179">
        <v>0</v>
      </c>
      <c r="O1931" s="178">
        <v>81.94</v>
      </c>
      <c r="P1931" s="453"/>
      <c r="Q1931" s="61"/>
      <c r="R1931" s="298"/>
      <c r="S1931" s="669"/>
      <c r="X1931" s="444">
        <v>1931</v>
      </c>
    </row>
    <row r="1932" spans="1:32" ht="12">
      <c r="A1932" s="83" t="s">
        <v>21456</v>
      </c>
      <c r="B1932" s="64" t="s">
        <v>21457</v>
      </c>
      <c r="C1932" s="71" t="s">
        <v>103</v>
      </c>
      <c r="D1932" s="79">
        <v>1</v>
      </c>
      <c r="E1932" s="79">
        <v>54.61</v>
      </c>
      <c r="F1932" s="79">
        <v>54.61</v>
      </c>
      <c r="G1932" s="445"/>
      <c r="H1932" s="178">
        <v>54.61</v>
      </c>
      <c r="I1932" s="178">
        <v>67.17</v>
      </c>
      <c r="J1932" s="70">
        <v>-12.560000000000002</v>
      </c>
      <c r="K1932" s="320"/>
      <c r="L1932" s="178">
        <v>54.61</v>
      </c>
      <c r="M1932" s="178">
        <v>0</v>
      </c>
      <c r="N1932" s="179">
        <v>0</v>
      </c>
      <c r="O1932" s="178">
        <v>54.61</v>
      </c>
      <c r="P1932" s="453"/>
      <c r="Q1932" s="61"/>
      <c r="R1932" s="298"/>
      <c r="S1932" s="669"/>
      <c r="X1932" s="444">
        <v>1932</v>
      </c>
    </row>
    <row r="1933" spans="1:32" ht="12">
      <c r="A1933" s="83" t="s">
        <v>21458</v>
      </c>
      <c r="B1933" s="64" t="s">
        <v>21459</v>
      </c>
      <c r="C1933" s="71" t="s">
        <v>103</v>
      </c>
      <c r="D1933" s="79">
        <v>1</v>
      </c>
      <c r="E1933" s="79">
        <v>81.94</v>
      </c>
      <c r="F1933" s="79">
        <v>81.94</v>
      </c>
      <c r="G1933" s="445"/>
      <c r="H1933" s="178">
        <v>81.91</v>
      </c>
      <c r="I1933" s="178">
        <v>100.75</v>
      </c>
      <c r="J1933" s="70">
        <v>-18.810000000000002</v>
      </c>
      <c r="K1933" s="320"/>
      <c r="L1933" s="178">
        <v>81.94</v>
      </c>
      <c r="M1933" s="178">
        <v>0</v>
      </c>
      <c r="N1933" s="179">
        <v>0</v>
      </c>
      <c r="O1933" s="178">
        <v>81.94</v>
      </c>
      <c r="P1933" s="453"/>
      <c r="Q1933" s="61"/>
      <c r="R1933" s="298"/>
      <c r="S1933" s="669"/>
      <c r="X1933" s="444">
        <v>1933</v>
      </c>
    </row>
    <row r="1934" spans="1:32" ht="12">
      <c r="A1934" s="83" t="s">
        <v>21460</v>
      </c>
      <c r="B1934" s="64" t="s">
        <v>21461</v>
      </c>
      <c r="C1934" s="71" t="s">
        <v>103</v>
      </c>
      <c r="D1934" s="79">
        <v>1</v>
      </c>
      <c r="E1934" s="79">
        <v>27.33</v>
      </c>
      <c r="F1934" s="79">
        <v>27.33</v>
      </c>
      <c r="G1934" s="445"/>
      <c r="H1934" s="178">
        <v>27.3</v>
      </c>
      <c r="I1934" s="178">
        <v>33.58</v>
      </c>
      <c r="J1934" s="70">
        <v>-6.25</v>
      </c>
      <c r="K1934" s="320"/>
      <c r="L1934" s="178">
        <v>27.33</v>
      </c>
      <c r="M1934" s="178">
        <v>0</v>
      </c>
      <c r="N1934" s="179">
        <v>0</v>
      </c>
      <c r="O1934" s="178">
        <v>27.33</v>
      </c>
      <c r="P1934" s="453"/>
      <c r="Q1934" s="61"/>
      <c r="R1934" s="298"/>
      <c r="S1934" s="669"/>
      <c r="X1934" s="444">
        <v>1934</v>
      </c>
    </row>
    <row r="1935" spans="1:32" ht="12">
      <c r="A1935" s="83" t="s">
        <v>21462</v>
      </c>
      <c r="B1935" s="64" t="s">
        <v>21463</v>
      </c>
      <c r="C1935" s="71" t="s">
        <v>103</v>
      </c>
      <c r="D1935" s="79">
        <v>1</v>
      </c>
      <c r="E1935" s="79">
        <v>81.94</v>
      </c>
      <c r="F1935" s="79">
        <v>81.94</v>
      </c>
      <c r="G1935" s="445"/>
      <c r="H1935" s="178">
        <v>81.91</v>
      </c>
      <c r="I1935" s="178">
        <v>100.75</v>
      </c>
      <c r="J1935" s="70">
        <v>-18.810000000000002</v>
      </c>
      <c r="K1935" s="320"/>
      <c r="L1935" s="178">
        <v>81.94</v>
      </c>
      <c r="M1935" s="178">
        <v>0</v>
      </c>
      <c r="N1935" s="179">
        <v>0</v>
      </c>
      <c r="O1935" s="178">
        <v>81.94</v>
      </c>
      <c r="P1935" s="453"/>
      <c r="Q1935" s="61"/>
      <c r="R1935" s="298"/>
      <c r="S1935" s="669"/>
      <c r="X1935" s="444">
        <v>1935</v>
      </c>
    </row>
    <row r="1936" spans="1:32" ht="12">
      <c r="A1936" s="83" t="s">
        <v>21464</v>
      </c>
      <c r="B1936" s="64" t="s">
        <v>21465</v>
      </c>
      <c r="C1936" s="71" t="s">
        <v>103</v>
      </c>
      <c r="D1936" s="79">
        <v>1</v>
      </c>
      <c r="E1936" s="79">
        <v>273.06</v>
      </c>
      <c r="F1936" s="79">
        <v>273.06</v>
      </c>
      <c r="G1936" s="445"/>
      <c r="H1936" s="178">
        <v>273.06</v>
      </c>
      <c r="I1936" s="178">
        <v>335.86</v>
      </c>
      <c r="J1936" s="70">
        <v>-62.800000000000011</v>
      </c>
      <c r="K1936" s="320"/>
      <c r="L1936" s="178">
        <v>273.06</v>
      </c>
      <c r="M1936" s="178">
        <v>0</v>
      </c>
      <c r="N1936" s="179">
        <v>0</v>
      </c>
      <c r="O1936" s="178">
        <v>273.06</v>
      </c>
      <c r="P1936" s="453"/>
      <c r="Q1936" s="61"/>
      <c r="R1936" s="298"/>
      <c r="S1936" s="669"/>
      <c r="X1936" s="444">
        <v>1936</v>
      </c>
    </row>
    <row r="1937" spans="1:24" ht="12">
      <c r="A1937" s="83" t="s">
        <v>21466</v>
      </c>
      <c r="B1937" s="64" t="s">
        <v>21467</v>
      </c>
      <c r="C1937" s="71" t="s">
        <v>103</v>
      </c>
      <c r="D1937" s="79">
        <v>1</v>
      </c>
      <c r="E1937" s="79">
        <v>436.9</v>
      </c>
      <c r="F1937" s="79">
        <v>436.9</v>
      </c>
      <c r="G1937" s="445"/>
      <c r="H1937" s="178">
        <v>436.89</v>
      </c>
      <c r="I1937" s="178">
        <v>537.38</v>
      </c>
      <c r="J1937" s="70">
        <v>-100.48000000000002</v>
      </c>
      <c r="K1937" s="320"/>
      <c r="L1937" s="178">
        <v>436.9</v>
      </c>
      <c r="M1937" s="178">
        <v>0</v>
      </c>
      <c r="N1937" s="179">
        <v>0</v>
      </c>
      <c r="O1937" s="178">
        <v>436.9</v>
      </c>
      <c r="P1937" s="453"/>
      <c r="Q1937" s="61"/>
      <c r="R1937" s="298"/>
      <c r="S1937" s="669"/>
      <c r="X1937" s="444">
        <v>1937</v>
      </c>
    </row>
    <row r="1938" spans="1:24" ht="12">
      <c r="A1938" s="83" t="s">
        <v>21468</v>
      </c>
      <c r="B1938" s="64" t="s">
        <v>21469</v>
      </c>
      <c r="C1938" s="71" t="s">
        <v>10216</v>
      </c>
      <c r="D1938" s="79">
        <v>1</v>
      </c>
      <c r="E1938" s="79">
        <v>577.26</v>
      </c>
      <c r="F1938" s="79">
        <v>577.26</v>
      </c>
      <c r="G1938" s="445"/>
      <c r="H1938" s="178">
        <v>577.25</v>
      </c>
      <c r="I1938" s="178">
        <v>710.02</v>
      </c>
      <c r="J1938" s="70">
        <v>-132.76</v>
      </c>
      <c r="K1938" s="320"/>
      <c r="L1938" s="178"/>
      <c r="M1938" s="178">
        <v>577.26</v>
      </c>
      <c r="N1938" s="179">
        <v>0</v>
      </c>
      <c r="O1938" s="178">
        <v>577.26</v>
      </c>
      <c r="P1938" s="453"/>
      <c r="Q1938" s="61"/>
      <c r="R1938" s="298"/>
      <c r="S1938" s="669"/>
      <c r="X1938" s="444">
        <v>1938</v>
      </c>
    </row>
    <row r="1939" spans="1:24" ht="12">
      <c r="A1939" s="83" t="s">
        <v>39817</v>
      </c>
      <c r="B1939" s="64" t="s">
        <v>39818</v>
      </c>
      <c r="C1939" s="71"/>
      <c r="D1939" s="79" t="s">
        <v>40899</v>
      </c>
      <c r="E1939" s="79" t="s">
        <v>40899</v>
      </c>
      <c r="F1939" s="79"/>
      <c r="G1939" s="445"/>
      <c r="H1939" s="178"/>
      <c r="I1939" s="178"/>
      <c r="J1939" s="70"/>
      <c r="K1939" s="320"/>
      <c r="L1939" s="178"/>
      <c r="M1939" s="178"/>
      <c r="N1939" s="179"/>
      <c r="O1939" s="178"/>
      <c r="P1939" s="453"/>
      <c r="Q1939" s="61"/>
      <c r="R1939" s="298"/>
      <c r="S1939" s="669"/>
      <c r="X1939" s="444">
        <v>1939</v>
      </c>
    </row>
    <row r="1940" spans="1:24" ht="12">
      <c r="A1940" s="83" t="s">
        <v>21470</v>
      </c>
      <c r="B1940" s="64" t="s">
        <v>21471</v>
      </c>
      <c r="C1940" s="71" t="s">
        <v>103</v>
      </c>
      <c r="D1940" s="79">
        <v>1</v>
      </c>
      <c r="E1940" s="79">
        <v>27.33</v>
      </c>
      <c r="F1940" s="79">
        <v>27.33</v>
      </c>
      <c r="G1940" s="445"/>
      <c r="H1940" s="178">
        <v>27.3</v>
      </c>
      <c r="I1940" s="178">
        <v>33.58</v>
      </c>
      <c r="J1940" s="70">
        <v>-6.25</v>
      </c>
      <c r="K1940" s="320"/>
      <c r="L1940" s="178">
        <v>27.33</v>
      </c>
      <c r="M1940" s="178">
        <v>0</v>
      </c>
      <c r="N1940" s="179">
        <v>0</v>
      </c>
      <c r="O1940" s="178">
        <v>27.33</v>
      </c>
      <c r="P1940" s="453"/>
      <c r="Q1940" s="61"/>
      <c r="R1940" s="298"/>
      <c r="S1940" s="669"/>
      <c r="X1940" s="444">
        <v>1940</v>
      </c>
    </row>
    <row r="1941" spans="1:24" ht="12">
      <c r="A1941" s="83" t="s">
        <v>21472</v>
      </c>
      <c r="B1941" s="64" t="s">
        <v>21473</v>
      </c>
      <c r="C1941" s="71" t="s">
        <v>103</v>
      </c>
      <c r="D1941" s="79">
        <v>1</v>
      </c>
      <c r="E1941" s="79">
        <v>54.61</v>
      </c>
      <c r="F1941" s="79">
        <v>54.61</v>
      </c>
      <c r="G1941" s="445"/>
      <c r="H1941" s="178">
        <v>54.61</v>
      </c>
      <c r="I1941" s="178">
        <v>67.17</v>
      </c>
      <c r="J1941" s="70">
        <v>-12.560000000000002</v>
      </c>
      <c r="K1941" s="320"/>
      <c r="L1941" s="178">
        <v>54.61</v>
      </c>
      <c r="M1941" s="178">
        <v>0</v>
      </c>
      <c r="N1941" s="179">
        <v>0</v>
      </c>
      <c r="O1941" s="178">
        <v>54.61</v>
      </c>
      <c r="P1941" s="453"/>
      <c r="Q1941" s="61"/>
      <c r="R1941" s="298"/>
      <c r="S1941" s="669"/>
      <c r="X1941" s="444">
        <v>1941</v>
      </c>
    </row>
    <row r="1942" spans="1:24" ht="12">
      <c r="A1942" s="83" t="s">
        <v>21474</v>
      </c>
      <c r="B1942" s="64" t="s">
        <v>21475</v>
      </c>
      <c r="C1942" s="71" t="s">
        <v>165</v>
      </c>
      <c r="D1942" s="79">
        <v>1</v>
      </c>
      <c r="E1942" s="79">
        <v>27.33</v>
      </c>
      <c r="F1942" s="79">
        <v>27.33</v>
      </c>
      <c r="G1942" s="445"/>
      <c r="H1942" s="178">
        <v>27.3</v>
      </c>
      <c r="I1942" s="178">
        <v>33.58</v>
      </c>
      <c r="J1942" s="70">
        <v>-6.25</v>
      </c>
      <c r="K1942" s="320"/>
      <c r="L1942" s="178">
        <v>27.33</v>
      </c>
      <c r="M1942" s="178">
        <v>0</v>
      </c>
      <c r="N1942" s="179">
        <v>0</v>
      </c>
      <c r="O1942" s="178">
        <v>27.33</v>
      </c>
      <c r="P1942" s="453"/>
      <c r="Q1942" s="61"/>
      <c r="R1942" s="298"/>
      <c r="S1942" s="669"/>
      <c r="X1942" s="444">
        <v>1942</v>
      </c>
    </row>
    <row r="1943" spans="1:24" ht="12">
      <c r="A1943" s="83" t="s">
        <v>21476</v>
      </c>
      <c r="B1943" s="64" t="s">
        <v>21477</v>
      </c>
      <c r="C1943" s="71" t="s">
        <v>165</v>
      </c>
      <c r="D1943" s="79">
        <v>1</v>
      </c>
      <c r="E1943" s="79">
        <v>10.92</v>
      </c>
      <c r="F1943" s="79">
        <v>10.92</v>
      </c>
      <c r="G1943" s="445"/>
      <c r="H1943" s="178">
        <v>10.92</v>
      </c>
      <c r="I1943" s="178">
        <v>13.43</v>
      </c>
      <c r="J1943" s="70">
        <v>-2.5099999999999998</v>
      </c>
      <c r="K1943" s="320"/>
      <c r="L1943" s="178">
        <v>10.92</v>
      </c>
      <c r="M1943" s="178">
        <v>0</v>
      </c>
      <c r="N1943" s="179">
        <v>0</v>
      </c>
      <c r="O1943" s="178">
        <v>10.92</v>
      </c>
      <c r="P1943" s="453"/>
      <c r="Q1943" s="61"/>
      <c r="R1943" s="298"/>
      <c r="S1943" s="669"/>
      <c r="X1943" s="444">
        <v>1943</v>
      </c>
    </row>
    <row r="1944" spans="1:24" ht="12">
      <c r="A1944" s="83" t="s">
        <v>21478</v>
      </c>
      <c r="B1944" s="64" t="s">
        <v>21479</v>
      </c>
      <c r="C1944" s="71" t="s">
        <v>165</v>
      </c>
      <c r="D1944" s="79">
        <v>1</v>
      </c>
      <c r="E1944" s="79">
        <v>13.65</v>
      </c>
      <c r="F1944" s="79">
        <v>13.65</v>
      </c>
      <c r="G1944" s="445"/>
      <c r="H1944" s="178">
        <v>13.65</v>
      </c>
      <c r="I1944" s="178">
        <v>16.79</v>
      </c>
      <c r="J1944" s="70">
        <v>-3.1399999999999988</v>
      </c>
      <c r="K1944" s="320"/>
      <c r="L1944" s="178">
        <v>13.65</v>
      </c>
      <c r="M1944" s="178">
        <v>0</v>
      </c>
      <c r="N1944" s="179">
        <v>0</v>
      </c>
      <c r="O1944" s="178">
        <v>13.65</v>
      </c>
      <c r="P1944" s="453"/>
      <c r="Q1944" s="61"/>
      <c r="R1944" s="298"/>
      <c r="S1944" s="669"/>
      <c r="X1944" s="444">
        <v>1944</v>
      </c>
    </row>
    <row r="1945" spans="1:24" ht="12">
      <c r="A1945" s="83" t="s">
        <v>21480</v>
      </c>
      <c r="B1945" s="64" t="s">
        <v>21481</v>
      </c>
      <c r="C1945" s="71" t="s">
        <v>103</v>
      </c>
      <c r="D1945" s="79">
        <v>1</v>
      </c>
      <c r="E1945" s="79">
        <v>10.92</v>
      </c>
      <c r="F1945" s="79">
        <v>10.92</v>
      </c>
      <c r="G1945" s="445"/>
      <c r="H1945" s="178">
        <v>10.92</v>
      </c>
      <c r="I1945" s="178">
        <v>13.43</v>
      </c>
      <c r="J1945" s="70">
        <v>-2.5099999999999998</v>
      </c>
      <c r="K1945" s="320"/>
      <c r="L1945" s="178">
        <v>10.92</v>
      </c>
      <c r="M1945" s="178">
        <v>0</v>
      </c>
      <c r="N1945" s="179">
        <v>0</v>
      </c>
      <c r="O1945" s="178">
        <v>10.92</v>
      </c>
      <c r="P1945" s="453"/>
      <c r="Q1945" s="61"/>
      <c r="R1945" s="298"/>
      <c r="S1945" s="669"/>
      <c r="T1945" s="73"/>
      <c r="X1945" s="444">
        <v>1945</v>
      </c>
    </row>
    <row r="1946" spans="1:24" ht="12">
      <c r="A1946" s="83" t="s">
        <v>21482</v>
      </c>
      <c r="B1946" s="64" t="s">
        <v>21483</v>
      </c>
      <c r="C1946" s="71" t="s">
        <v>103</v>
      </c>
      <c r="D1946" s="79">
        <v>1</v>
      </c>
      <c r="E1946" s="79">
        <v>21.84</v>
      </c>
      <c r="F1946" s="79">
        <v>21.84</v>
      </c>
      <c r="G1946" s="445"/>
      <c r="H1946" s="178">
        <v>21.84</v>
      </c>
      <c r="I1946" s="178">
        <v>26.86</v>
      </c>
      <c r="J1946" s="70">
        <v>-5.0199999999999996</v>
      </c>
      <c r="K1946" s="320"/>
      <c r="L1946" s="178">
        <v>21.84</v>
      </c>
      <c r="M1946" s="178">
        <v>0</v>
      </c>
      <c r="N1946" s="179">
        <v>0</v>
      </c>
      <c r="O1946" s="178">
        <v>21.84</v>
      </c>
      <c r="P1946" s="453"/>
      <c r="Q1946" s="61"/>
      <c r="R1946" s="298"/>
      <c r="S1946" s="669"/>
      <c r="T1946" s="73"/>
      <c r="X1946" s="444">
        <v>1946</v>
      </c>
    </row>
    <row r="1947" spans="1:24" ht="12">
      <c r="A1947" s="83" t="s">
        <v>21484</v>
      </c>
      <c r="B1947" s="64" t="s">
        <v>21485</v>
      </c>
      <c r="C1947" s="71" t="s">
        <v>103</v>
      </c>
      <c r="D1947" s="79">
        <v>1</v>
      </c>
      <c r="E1947" s="79">
        <v>54.61</v>
      </c>
      <c r="F1947" s="79">
        <v>54.61</v>
      </c>
      <c r="G1947" s="445"/>
      <c r="H1947" s="178">
        <v>54.61</v>
      </c>
      <c r="I1947" s="178">
        <v>67.17</v>
      </c>
      <c r="J1947" s="70">
        <v>-12.560000000000002</v>
      </c>
      <c r="K1947" s="320"/>
      <c r="L1947" s="178">
        <v>54.61</v>
      </c>
      <c r="M1947" s="178">
        <v>0</v>
      </c>
      <c r="N1947" s="179">
        <v>0</v>
      </c>
      <c r="O1947" s="178">
        <v>54.61</v>
      </c>
      <c r="P1947" s="453"/>
      <c r="Q1947" s="61"/>
      <c r="R1947" s="298"/>
      <c r="S1947" s="669"/>
      <c r="T1947" s="73"/>
      <c r="X1947" s="444">
        <v>1947</v>
      </c>
    </row>
    <row r="1948" spans="1:24" ht="12">
      <c r="A1948" s="83" t="s">
        <v>21486</v>
      </c>
      <c r="B1948" s="64" t="s">
        <v>21487</v>
      </c>
      <c r="C1948" s="71" t="s">
        <v>10216</v>
      </c>
      <c r="D1948" s="79">
        <v>1</v>
      </c>
      <c r="E1948" s="79">
        <v>577.26</v>
      </c>
      <c r="F1948" s="79">
        <v>577.26</v>
      </c>
      <c r="G1948" s="445"/>
      <c r="H1948" s="178">
        <v>577.25</v>
      </c>
      <c r="I1948" s="178">
        <v>710.02</v>
      </c>
      <c r="J1948" s="70">
        <v>-132.76</v>
      </c>
      <c r="K1948" s="320"/>
      <c r="L1948" s="178"/>
      <c r="M1948" s="178">
        <v>577.26</v>
      </c>
      <c r="N1948" s="179">
        <v>0</v>
      </c>
      <c r="O1948" s="178">
        <v>577.26</v>
      </c>
      <c r="P1948" s="453"/>
      <c r="Q1948" s="61"/>
      <c r="R1948" s="298"/>
      <c r="S1948" s="669"/>
      <c r="X1948" s="444">
        <v>1948</v>
      </c>
    </row>
    <row r="1949" spans="1:24" ht="12">
      <c r="A1949" s="83" t="s">
        <v>39819</v>
      </c>
      <c r="B1949" s="64" t="s">
        <v>39820</v>
      </c>
      <c r="C1949" s="71"/>
      <c r="D1949" s="79" t="s">
        <v>40899</v>
      </c>
      <c r="E1949" s="79" t="s">
        <v>40899</v>
      </c>
      <c r="F1949" s="79"/>
      <c r="G1949" s="445"/>
      <c r="H1949" s="178"/>
      <c r="I1949" s="178"/>
      <c r="J1949" s="70"/>
      <c r="K1949" s="320"/>
      <c r="L1949" s="178"/>
      <c r="M1949" s="178"/>
      <c r="N1949" s="179"/>
      <c r="O1949" s="178"/>
      <c r="P1949" s="453"/>
      <c r="Q1949" s="61"/>
      <c r="R1949" s="298"/>
      <c r="S1949" s="669"/>
      <c r="T1949" s="73"/>
      <c r="X1949" s="444">
        <v>1949</v>
      </c>
    </row>
    <row r="1950" spans="1:24" ht="12">
      <c r="A1950" s="83" t="s">
        <v>21488</v>
      </c>
      <c r="B1950" s="64" t="s">
        <v>29646</v>
      </c>
      <c r="C1950" s="71" t="s">
        <v>103</v>
      </c>
      <c r="D1950" s="79">
        <v>1</v>
      </c>
      <c r="E1950" s="79">
        <v>8.19</v>
      </c>
      <c r="F1950" s="79">
        <v>8.19</v>
      </c>
      <c r="G1950" s="445"/>
      <c r="H1950" s="178">
        <v>8.19</v>
      </c>
      <c r="I1950" s="178">
        <v>10.07</v>
      </c>
      <c r="J1950" s="70">
        <v>-1.8800000000000008</v>
      </c>
      <c r="K1950" s="320"/>
      <c r="L1950" s="178">
        <v>8.19</v>
      </c>
      <c r="M1950" s="178">
        <v>0</v>
      </c>
      <c r="N1950" s="179">
        <v>0</v>
      </c>
      <c r="O1950" s="178">
        <v>8.19</v>
      </c>
      <c r="P1950" s="453"/>
      <c r="Q1950" s="61"/>
      <c r="R1950" s="298"/>
      <c r="S1950" s="669"/>
      <c r="X1950" s="444">
        <v>1950</v>
      </c>
    </row>
    <row r="1951" spans="1:24" ht="12">
      <c r="A1951" s="83" t="s">
        <v>21489</v>
      </c>
      <c r="B1951" s="64" t="s">
        <v>29647</v>
      </c>
      <c r="C1951" s="71" t="s">
        <v>103</v>
      </c>
      <c r="D1951" s="79">
        <v>1</v>
      </c>
      <c r="E1951" s="79">
        <v>21.84</v>
      </c>
      <c r="F1951" s="79">
        <v>21.84</v>
      </c>
      <c r="G1951" s="445"/>
      <c r="H1951" s="178">
        <v>21.84</v>
      </c>
      <c r="I1951" s="178">
        <v>26.86</v>
      </c>
      <c r="J1951" s="70">
        <v>-5.0199999999999996</v>
      </c>
      <c r="K1951" s="320"/>
      <c r="L1951" s="178">
        <v>21.84</v>
      </c>
      <c r="M1951" s="178">
        <v>0</v>
      </c>
      <c r="N1951" s="179">
        <v>0</v>
      </c>
      <c r="O1951" s="178">
        <v>21.84</v>
      </c>
      <c r="P1951" s="453"/>
      <c r="Q1951" s="61"/>
      <c r="R1951" s="298"/>
      <c r="S1951" s="669"/>
      <c r="X1951" s="444">
        <v>1951</v>
      </c>
    </row>
    <row r="1952" spans="1:24" ht="12">
      <c r="A1952" s="83" t="s">
        <v>21490</v>
      </c>
      <c r="B1952" s="64" t="s">
        <v>21491</v>
      </c>
      <c r="C1952" s="71" t="s">
        <v>165</v>
      </c>
      <c r="D1952" s="79">
        <v>1</v>
      </c>
      <c r="E1952" s="79">
        <v>13.65</v>
      </c>
      <c r="F1952" s="79">
        <v>13.65</v>
      </c>
      <c r="G1952" s="445"/>
      <c r="H1952" s="178">
        <v>13.65</v>
      </c>
      <c r="I1952" s="178">
        <v>16.79</v>
      </c>
      <c r="J1952" s="70">
        <v>-3.1399999999999988</v>
      </c>
      <c r="K1952" s="320"/>
      <c r="L1952" s="178">
        <v>13.65</v>
      </c>
      <c r="M1952" s="178">
        <v>0</v>
      </c>
      <c r="N1952" s="179">
        <v>0</v>
      </c>
      <c r="O1952" s="178">
        <v>13.65</v>
      </c>
      <c r="P1952" s="453"/>
      <c r="Q1952" s="61"/>
      <c r="R1952" s="298"/>
      <c r="S1952" s="669"/>
      <c r="X1952" s="444">
        <v>1952</v>
      </c>
    </row>
    <row r="1953" spans="1:24" ht="12">
      <c r="A1953" s="83" t="s">
        <v>21492</v>
      </c>
      <c r="B1953" s="64" t="s">
        <v>21493</v>
      </c>
      <c r="C1953" s="71" t="s">
        <v>103</v>
      </c>
      <c r="D1953" s="79">
        <v>1</v>
      </c>
      <c r="E1953" s="79">
        <v>2.5499999999999998</v>
      </c>
      <c r="F1953" s="79">
        <v>2.5499999999999998</v>
      </c>
      <c r="G1953" s="445"/>
      <c r="H1953" s="178">
        <v>2.5499999999999998</v>
      </c>
      <c r="I1953" s="178">
        <v>3.14</v>
      </c>
      <c r="J1953" s="70">
        <v>-0.5900000000000003</v>
      </c>
      <c r="K1953" s="320"/>
      <c r="L1953" s="178">
        <v>2.5499999999999998</v>
      </c>
      <c r="M1953" s="178">
        <v>0</v>
      </c>
      <c r="N1953" s="179">
        <v>0</v>
      </c>
      <c r="O1953" s="178">
        <v>2.5499999999999998</v>
      </c>
      <c r="P1953" s="453"/>
      <c r="Q1953" s="61"/>
      <c r="R1953" s="298"/>
      <c r="S1953" s="669"/>
      <c r="X1953" s="444">
        <v>1953</v>
      </c>
    </row>
    <row r="1954" spans="1:24" ht="12">
      <c r="A1954" s="83" t="s">
        <v>21494</v>
      </c>
      <c r="B1954" s="64" t="s">
        <v>21495</v>
      </c>
      <c r="C1954" s="71" t="s">
        <v>103</v>
      </c>
      <c r="D1954" s="79">
        <v>1</v>
      </c>
      <c r="E1954" s="79">
        <v>13.65</v>
      </c>
      <c r="F1954" s="79">
        <v>13.65</v>
      </c>
      <c r="G1954" s="445"/>
      <c r="H1954" s="178">
        <v>13.65</v>
      </c>
      <c r="I1954" s="178">
        <v>16.79</v>
      </c>
      <c r="J1954" s="70">
        <v>-3.1399999999999988</v>
      </c>
      <c r="K1954" s="320"/>
      <c r="L1954" s="178">
        <v>13.65</v>
      </c>
      <c r="M1954" s="178">
        <v>0</v>
      </c>
      <c r="N1954" s="179">
        <v>0</v>
      </c>
      <c r="O1954" s="178">
        <v>13.65</v>
      </c>
      <c r="P1954" s="453"/>
      <c r="Q1954" s="61"/>
      <c r="R1954" s="298"/>
      <c r="S1954" s="669"/>
      <c r="X1954" s="444">
        <v>1954</v>
      </c>
    </row>
    <row r="1955" spans="1:24" ht="12">
      <c r="A1955" s="83" t="s">
        <v>21496</v>
      </c>
      <c r="B1955" s="64" t="s">
        <v>21497</v>
      </c>
      <c r="C1955" s="71" t="s">
        <v>165</v>
      </c>
      <c r="D1955" s="79">
        <v>1</v>
      </c>
      <c r="E1955" s="79">
        <v>10.92</v>
      </c>
      <c r="F1955" s="79">
        <v>10.92</v>
      </c>
      <c r="G1955" s="445"/>
      <c r="H1955" s="178">
        <v>10.92</v>
      </c>
      <c r="I1955" s="178">
        <v>13.43</v>
      </c>
      <c r="J1955" s="70">
        <v>-2.5099999999999998</v>
      </c>
      <c r="K1955" s="320"/>
      <c r="L1955" s="178">
        <v>10.92</v>
      </c>
      <c r="M1955" s="178">
        <v>0</v>
      </c>
      <c r="N1955" s="179">
        <v>0</v>
      </c>
      <c r="O1955" s="178">
        <v>10.92</v>
      </c>
      <c r="P1955" s="453"/>
      <c r="Q1955" s="61"/>
      <c r="R1955" s="298"/>
      <c r="S1955" s="669"/>
      <c r="X1955" s="444">
        <v>1955</v>
      </c>
    </row>
    <row r="1956" spans="1:24" ht="12">
      <c r="A1956" s="83" t="s">
        <v>21498</v>
      </c>
      <c r="B1956" s="64" t="s">
        <v>21499</v>
      </c>
      <c r="C1956" s="71" t="s">
        <v>103</v>
      </c>
      <c r="D1956" s="79">
        <v>1</v>
      </c>
      <c r="E1956" s="79">
        <v>5.13</v>
      </c>
      <c r="F1956" s="79">
        <v>5.13</v>
      </c>
      <c r="G1956" s="445"/>
      <c r="H1956" s="178">
        <v>5.1100000000000003</v>
      </c>
      <c r="I1956" s="178">
        <v>6.29</v>
      </c>
      <c r="J1956" s="70">
        <v>-1.1600000000000001</v>
      </c>
      <c r="K1956" s="320"/>
      <c r="L1956" s="178">
        <v>5.13</v>
      </c>
      <c r="M1956" s="178">
        <v>0</v>
      </c>
      <c r="N1956" s="179">
        <v>0</v>
      </c>
      <c r="O1956" s="178">
        <v>5.13</v>
      </c>
      <c r="P1956" s="453"/>
      <c r="Q1956" s="61"/>
      <c r="R1956" s="298"/>
      <c r="S1956" s="669"/>
      <c r="X1956" s="444">
        <v>1956</v>
      </c>
    </row>
    <row r="1957" spans="1:24" ht="12">
      <c r="A1957" s="83" t="s">
        <v>21500</v>
      </c>
      <c r="B1957" s="64" t="s">
        <v>21501</v>
      </c>
      <c r="C1957" s="71" t="s">
        <v>103</v>
      </c>
      <c r="D1957" s="79">
        <v>1</v>
      </c>
      <c r="E1957" s="79">
        <v>160.41999999999999</v>
      </c>
      <c r="F1957" s="79">
        <v>160.41999999999999</v>
      </c>
      <c r="G1957" s="445"/>
      <c r="H1957" s="178">
        <v>160.41</v>
      </c>
      <c r="I1957" s="178">
        <v>197.31</v>
      </c>
      <c r="J1957" s="70">
        <v>-36.890000000000015</v>
      </c>
      <c r="K1957" s="320"/>
      <c r="L1957" s="178">
        <v>160.41999999999999</v>
      </c>
      <c r="M1957" s="178">
        <v>0</v>
      </c>
      <c r="N1957" s="179">
        <v>0</v>
      </c>
      <c r="O1957" s="178">
        <v>160.41999999999999</v>
      </c>
      <c r="P1957" s="453"/>
      <c r="Q1957" s="61"/>
      <c r="R1957" s="298"/>
      <c r="S1957" s="669"/>
      <c r="X1957" s="444">
        <v>1957</v>
      </c>
    </row>
    <row r="1958" spans="1:24" ht="12">
      <c r="A1958" s="83" t="s">
        <v>21502</v>
      </c>
      <c r="B1958" s="64" t="s">
        <v>21503</v>
      </c>
      <c r="C1958" s="71" t="s">
        <v>103</v>
      </c>
      <c r="D1958" s="79">
        <v>1</v>
      </c>
      <c r="E1958" s="79">
        <v>35.5</v>
      </c>
      <c r="F1958" s="79">
        <v>35.5</v>
      </c>
      <c r="G1958" s="445"/>
      <c r="H1958" s="178">
        <v>35.5</v>
      </c>
      <c r="I1958" s="178">
        <v>43.66</v>
      </c>
      <c r="J1958" s="70">
        <v>-8.1599999999999966</v>
      </c>
      <c r="K1958" s="320"/>
      <c r="L1958" s="178">
        <v>35.5</v>
      </c>
      <c r="M1958" s="178">
        <v>0</v>
      </c>
      <c r="N1958" s="179">
        <v>0</v>
      </c>
      <c r="O1958" s="178">
        <v>35.5</v>
      </c>
      <c r="P1958" s="453"/>
      <c r="Q1958" s="61"/>
      <c r="R1958" s="298"/>
      <c r="S1958" s="669"/>
      <c r="T1958" s="73"/>
      <c r="X1958" s="444">
        <v>1958</v>
      </c>
    </row>
    <row r="1959" spans="1:24" ht="12">
      <c r="A1959" s="83" t="s">
        <v>21504</v>
      </c>
      <c r="B1959" s="64" t="s">
        <v>21505</v>
      </c>
      <c r="C1959" s="71" t="s">
        <v>103</v>
      </c>
      <c r="D1959" s="79">
        <v>1</v>
      </c>
      <c r="E1959" s="79">
        <v>197.91000000000003</v>
      </c>
      <c r="F1959" s="79">
        <v>197.91</v>
      </c>
      <c r="G1959" s="445"/>
      <c r="H1959" s="178">
        <v>197.91</v>
      </c>
      <c r="I1959" s="178">
        <v>243.43</v>
      </c>
      <c r="J1959" s="70">
        <v>-45.519999999999982</v>
      </c>
      <c r="K1959" s="320"/>
      <c r="L1959" s="178">
        <v>197.91000000000003</v>
      </c>
      <c r="M1959" s="178">
        <v>0</v>
      </c>
      <c r="N1959" s="179">
        <v>0</v>
      </c>
      <c r="O1959" s="178">
        <v>197.91000000000003</v>
      </c>
      <c r="P1959" s="453"/>
      <c r="Q1959" s="61"/>
      <c r="R1959" s="298"/>
      <c r="S1959" s="669"/>
      <c r="X1959" s="444">
        <v>1959</v>
      </c>
    </row>
    <row r="1960" spans="1:24" ht="24">
      <c r="A1960" s="83" t="s">
        <v>21506</v>
      </c>
      <c r="B1960" s="64" t="s">
        <v>21507</v>
      </c>
      <c r="C1960" s="71" t="s">
        <v>103</v>
      </c>
      <c r="D1960" s="79">
        <v>1</v>
      </c>
      <c r="E1960" s="79">
        <v>27.33</v>
      </c>
      <c r="F1960" s="79">
        <v>27.33</v>
      </c>
      <c r="G1960" s="445"/>
      <c r="H1960" s="178">
        <v>27.3</v>
      </c>
      <c r="I1960" s="178">
        <v>33.58</v>
      </c>
      <c r="J1960" s="70">
        <v>-6.25</v>
      </c>
      <c r="K1960" s="320"/>
      <c r="L1960" s="178">
        <v>27.33</v>
      </c>
      <c r="M1960" s="178">
        <v>0</v>
      </c>
      <c r="N1960" s="179">
        <v>0</v>
      </c>
      <c r="O1960" s="178">
        <v>27.33</v>
      </c>
      <c r="P1960" s="453"/>
      <c r="Q1960" s="61"/>
      <c r="R1960" s="298"/>
      <c r="S1960" s="669"/>
      <c r="X1960" s="444">
        <v>1960</v>
      </c>
    </row>
    <row r="1961" spans="1:24" ht="12">
      <c r="A1961" s="83" t="s">
        <v>21508</v>
      </c>
      <c r="B1961" s="64" t="s">
        <v>21509</v>
      </c>
      <c r="C1961" s="71" t="s">
        <v>103</v>
      </c>
      <c r="D1961" s="79">
        <v>1</v>
      </c>
      <c r="E1961" s="79">
        <v>358.33</v>
      </c>
      <c r="F1961" s="79">
        <v>358.33</v>
      </c>
      <c r="G1961" s="445"/>
      <c r="H1961" s="178">
        <v>358.33</v>
      </c>
      <c r="I1961" s="178">
        <v>440.74</v>
      </c>
      <c r="J1961" s="70">
        <v>-82.410000000000025</v>
      </c>
      <c r="K1961" s="320"/>
      <c r="L1961" s="178">
        <v>358.33</v>
      </c>
      <c r="M1961" s="178">
        <v>0</v>
      </c>
      <c r="N1961" s="179">
        <v>0</v>
      </c>
      <c r="O1961" s="178">
        <v>358.33</v>
      </c>
      <c r="P1961" s="453"/>
      <c r="Q1961" s="61"/>
      <c r="R1961" s="298"/>
      <c r="S1961" s="669"/>
      <c r="X1961" s="444">
        <v>1961</v>
      </c>
    </row>
    <row r="1962" spans="1:24" ht="12">
      <c r="A1962" s="83" t="s">
        <v>21510</v>
      </c>
      <c r="B1962" s="64" t="s">
        <v>21511</v>
      </c>
      <c r="C1962" s="71" t="s">
        <v>103</v>
      </c>
      <c r="D1962" s="79">
        <v>1</v>
      </c>
      <c r="E1962" s="79">
        <v>398.45000000000005</v>
      </c>
      <c r="F1962" s="79">
        <v>398.45</v>
      </c>
      <c r="G1962" s="445"/>
      <c r="H1962" s="178">
        <v>398.43</v>
      </c>
      <c r="I1962" s="178">
        <v>490.07</v>
      </c>
      <c r="J1962" s="70">
        <v>-91.619999999999948</v>
      </c>
      <c r="K1962" s="320"/>
      <c r="L1962" s="178">
        <v>398.45000000000005</v>
      </c>
      <c r="M1962" s="178">
        <v>0</v>
      </c>
      <c r="N1962" s="179">
        <v>0</v>
      </c>
      <c r="O1962" s="178">
        <v>398.45000000000005</v>
      </c>
      <c r="P1962" s="453"/>
      <c r="Q1962" s="61"/>
      <c r="R1962" s="298"/>
      <c r="S1962" s="669"/>
      <c r="X1962" s="444">
        <v>1962</v>
      </c>
    </row>
    <row r="1963" spans="1:24" ht="12">
      <c r="A1963" s="83" t="s">
        <v>21512</v>
      </c>
      <c r="B1963" s="64" t="s">
        <v>21513</v>
      </c>
      <c r="C1963" s="71" t="s">
        <v>103</v>
      </c>
      <c r="D1963" s="79">
        <v>1</v>
      </c>
      <c r="E1963" s="79">
        <v>273.06</v>
      </c>
      <c r="F1963" s="79">
        <v>273.06</v>
      </c>
      <c r="G1963" s="445"/>
      <c r="H1963" s="178">
        <v>273.06</v>
      </c>
      <c r="I1963" s="178">
        <v>335.86</v>
      </c>
      <c r="J1963" s="70">
        <v>-62.800000000000011</v>
      </c>
      <c r="K1963" s="320"/>
      <c r="L1963" s="178">
        <v>273.06</v>
      </c>
      <c r="M1963" s="178">
        <v>0</v>
      </c>
      <c r="N1963" s="179">
        <v>0</v>
      </c>
      <c r="O1963" s="178">
        <v>273.06</v>
      </c>
      <c r="P1963" s="453"/>
      <c r="Q1963" s="61"/>
      <c r="R1963" s="298"/>
      <c r="S1963" s="669"/>
      <c r="X1963" s="444">
        <v>1963</v>
      </c>
    </row>
    <row r="1964" spans="1:24" ht="12">
      <c r="A1964" s="83" t="s">
        <v>21514</v>
      </c>
      <c r="B1964" s="64" t="s">
        <v>21515</v>
      </c>
      <c r="C1964" s="71" t="s">
        <v>103</v>
      </c>
      <c r="D1964" s="79">
        <v>1</v>
      </c>
      <c r="E1964" s="79">
        <v>81.94</v>
      </c>
      <c r="F1964" s="79">
        <v>81.94</v>
      </c>
      <c r="G1964" s="445"/>
      <c r="H1964" s="178">
        <v>81.91</v>
      </c>
      <c r="I1964" s="178">
        <v>100.75</v>
      </c>
      <c r="J1964" s="70">
        <v>-18.810000000000002</v>
      </c>
      <c r="K1964" s="320"/>
      <c r="L1964" s="178">
        <v>81.94</v>
      </c>
      <c r="M1964" s="178">
        <v>0</v>
      </c>
      <c r="N1964" s="179">
        <v>0</v>
      </c>
      <c r="O1964" s="178">
        <v>81.94</v>
      </c>
      <c r="P1964" s="453"/>
      <c r="Q1964" s="61"/>
      <c r="R1964" s="298"/>
      <c r="S1964" s="669"/>
      <c r="T1964" s="61"/>
      <c r="X1964" s="444">
        <v>1964</v>
      </c>
    </row>
    <row r="1965" spans="1:24" ht="12">
      <c r="A1965" s="83" t="s">
        <v>21516</v>
      </c>
      <c r="B1965" s="64" t="s">
        <v>21517</v>
      </c>
      <c r="C1965" s="71" t="s">
        <v>10216</v>
      </c>
      <c r="D1965" s="79">
        <v>1</v>
      </c>
      <c r="E1965" s="79">
        <v>577.26</v>
      </c>
      <c r="F1965" s="79">
        <v>577.26</v>
      </c>
      <c r="G1965" s="445"/>
      <c r="H1965" s="178">
        <v>577.25</v>
      </c>
      <c r="I1965" s="178">
        <v>710.02</v>
      </c>
      <c r="J1965" s="70">
        <v>-132.76</v>
      </c>
      <c r="K1965" s="320"/>
      <c r="L1965" s="178"/>
      <c r="M1965" s="178">
        <v>577.26</v>
      </c>
      <c r="N1965" s="179">
        <v>0</v>
      </c>
      <c r="O1965" s="178">
        <v>577.26</v>
      </c>
      <c r="P1965" s="453"/>
      <c r="Q1965" s="61"/>
      <c r="R1965" s="298"/>
      <c r="S1965" s="669"/>
      <c r="T1965" s="61"/>
      <c r="X1965" s="444">
        <v>1965</v>
      </c>
    </row>
    <row r="1966" spans="1:24" ht="12">
      <c r="A1966" s="83" t="s">
        <v>39821</v>
      </c>
      <c r="B1966" s="64" t="s">
        <v>39822</v>
      </c>
      <c r="C1966" s="71"/>
      <c r="D1966" s="79" t="s">
        <v>40899</v>
      </c>
      <c r="E1966" s="79" t="s">
        <v>40899</v>
      </c>
      <c r="F1966" s="79"/>
      <c r="G1966" s="445"/>
      <c r="H1966" s="178"/>
      <c r="I1966" s="178"/>
      <c r="J1966" s="70"/>
      <c r="K1966" s="320"/>
      <c r="L1966" s="178"/>
      <c r="M1966" s="178"/>
      <c r="N1966" s="179"/>
      <c r="O1966" s="178"/>
      <c r="P1966" s="453"/>
      <c r="Q1966" s="61"/>
      <c r="R1966" s="298"/>
      <c r="S1966" s="669"/>
      <c r="T1966" s="73"/>
      <c r="X1966" s="444">
        <v>1966</v>
      </c>
    </row>
    <row r="1967" spans="1:24" ht="12">
      <c r="A1967" s="83" t="s">
        <v>21518</v>
      </c>
      <c r="B1967" s="64" t="s">
        <v>21519</v>
      </c>
      <c r="C1967" s="71" t="s">
        <v>103</v>
      </c>
      <c r="D1967" s="79">
        <v>1</v>
      </c>
      <c r="E1967" s="79">
        <v>218.45</v>
      </c>
      <c r="F1967" s="79">
        <v>218.45</v>
      </c>
      <c r="G1967" s="445"/>
      <c r="H1967" s="178">
        <v>218.45</v>
      </c>
      <c r="I1967" s="178">
        <v>268.69</v>
      </c>
      <c r="J1967" s="70">
        <v>-50.240000000000009</v>
      </c>
      <c r="K1967" s="320"/>
      <c r="L1967" s="178">
        <v>218.45</v>
      </c>
      <c r="M1967" s="178">
        <v>0</v>
      </c>
      <c r="N1967" s="179">
        <v>0</v>
      </c>
      <c r="O1967" s="178">
        <v>218.45</v>
      </c>
      <c r="P1967" s="453"/>
      <c r="Q1967" s="61"/>
      <c r="R1967" s="298"/>
      <c r="S1967" s="669"/>
      <c r="X1967" s="444">
        <v>1967</v>
      </c>
    </row>
    <row r="1968" spans="1:24" ht="12">
      <c r="A1968" s="83" t="s">
        <v>21520</v>
      </c>
      <c r="B1968" s="64" t="s">
        <v>21521</v>
      </c>
      <c r="C1968" s="71" t="s">
        <v>103</v>
      </c>
      <c r="D1968" s="79">
        <v>1</v>
      </c>
      <c r="E1968" s="79">
        <v>273.06</v>
      </c>
      <c r="F1968" s="79">
        <v>273.06</v>
      </c>
      <c r="G1968" s="445"/>
      <c r="H1968" s="178">
        <v>273.06</v>
      </c>
      <c r="I1968" s="178">
        <v>335.86</v>
      </c>
      <c r="J1968" s="70">
        <v>-62.800000000000011</v>
      </c>
      <c r="K1968" s="320"/>
      <c r="L1968" s="178">
        <v>273.06</v>
      </c>
      <c r="M1968" s="178">
        <v>0</v>
      </c>
      <c r="N1968" s="179">
        <v>0</v>
      </c>
      <c r="O1968" s="178">
        <v>273.06</v>
      </c>
      <c r="P1968" s="453"/>
      <c r="Q1968" s="61"/>
      <c r="R1968" s="298"/>
      <c r="S1968" s="669"/>
      <c r="X1968" s="444">
        <v>1968</v>
      </c>
    </row>
    <row r="1969" spans="1:24" ht="24">
      <c r="A1969" s="83" t="s">
        <v>21522</v>
      </c>
      <c r="B1969" s="64" t="s">
        <v>21523</v>
      </c>
      <c r="C1969" s="71" t="s">
        <v>103</v>
      </c>
      <c r="D1969" s="79">
        <v>1</v>
      </c>
      <c r="E1969" s="79">
        <v>27.33</v>
      </c>
      <c r="F1969" s="79">
        <v>27.33</v>
      </c>
      <c r="G1969" s="445"/>
      <c r="H1969" s="178">
        <v>27.3</v>
      </c>
      <c r="I1969" s="178">
        <v>33.58</v>
      </c>
      <c r="J1969" s="70">
        <v>-6.25</v>
      </c>
      <c r="K1969" s="320"/>
      <c r="L1969" s="178">
        <v>27.33</v>
      </c>
      <c r="M1969" s="178">
        <v>0</v>
      </c>
      <c r="N1969" s="179">
        <v>0</v>
      </c>
      <c r="O1969" s="178">
        <v>27.33</v>
      </c>
      <c r="P1969" s="453"/>
      <c r="Q1969" s="61"/>
      <c r="R1969" s="298"/>
      <c r="S1969" s="669"/>
      <c r="X1969" s="444">
        <v>1969</v>
      </c>
    </row>
    <row r="1970" spans="1:24" ht="12">
      <c r="A1970" s="83" t="s">
        <v>21524</v>
      </c>
      <c r="B1970" s="64" t="s">
        <v>21525</v>
      </c>
      <c r="C1970" s="71" t="s">
        <v>103</v>
      </c>
      <c r="D1970" s="79">
        <v>1</v>
      </c>
      <c r="E1970" s="79">
        <v>13.65</v>
      </c>
      <c r="F1970" s="79">
        <v>13.65</v>
      </c>
      <c r="G1970" s="445"/>
      <c r="H1970" s="178">
        <v>13.65</v>
      </c>
      <c r="I1970" s="178">
        <v>16.79</v>
      </c>
      <c r="J1970" s="70">
        <v>-3.1399999999999988</v>
      </c>
      <c r="K1970" s="320"/>
      <c r="L1970" s="178">
        <v>13.65</v>
      </c>
      <c r="M1970" s="178">
        <v>0</v>
      </c>
      <c r="N1970" s="179">
        <v>0</v>
      </c>
      <c r="O1970" s="178">
        <v>13.65</v>
      </c>
      <c r="P1970" s="453"/>
      <c r="Q1970" s="61"/>
      <c r="R1970" s="298"/>
      <c r="S1970" s="669"/>
      <c r="X1970" s="444">
        <v>1970</v>
      </c>
    </row>
    <row r="1971" spans="1:24" ht="12">
      <c r="A1971" s="83" t="s">
        <v>21526</v>
      </c>
      <c r="B1971" s="64" t="s">
        <v>21527</v>
      </c>
      <c r="C1971" s="71" t="s">
        <v>165</v>
      </c>
      <c r="D1971" s="79">
        <v>1</v>
      </c>
      <c r="E1971" s="79">
        <v>13.65</v>
      </c>
      <c r="F1971" s="79">
        <v>13.65</v>
      </c>
      <c r="G1971" s="445"/>
      <c r="H1971" s="178">
        <v>13.65</v>
      </c>
      <c r="I1971" s="178">
        <v>16.79</v>
      </c>
      <c r="J1971" s="70">
        <v>-3.1399999999999988</v>
      </c>
      <c r="K1971" s="320"/>
      <c r="L1971" s="178">
        <v>13.65</v>
      </c>
      <c r="M1971" s="178">
        <v>0</v>
      </c>
      <c r="N1971" s="179">
        <v>0</v>
      </c>
      <c r="O1971" s="178">
        <v>13.65</v>
      </c>
      <c r="P1971" s="453"/>
      <c r="Q1971" s="61"/>
      <c r="R1971" s="298"/>
      <c r="S1971" s="669"/>
      <c r="X1971" s="444">
        <v>1971</v>
      </c>
    </row>
    <row r="1972" spans="1:24" ht="12">
      <c r="A1972" s="83" t="s">
        <v>21528</v>
      </c>
      <c r="B1972" s="64" t="s">
        <v>21529</v>
      </c>
      <c r="C1972" s="71" t="s">
        <v>165</v>
      </c>
      <c r="D1972" s="79">
        <v>1</v>
      </c>
      <c r="E1972" s="79">
        <v>27.33</v>
      </c>
      <c r="F1972" s="79">
        <v>27.33</v>
      </c>
      <c r="G1972" s="445"/>
      <c r="H1972" s="178">
        <v>27.3</v>
      </c>
      <c r="I1972" s="178">
        <v>33.58</v>
      </c>
      <c r="J1972" s="70">
        <v>-6.25</v>
      </c>
      <c r="K1972" s="320"/>
      <c r="L1972" s="178">
        <v>27.33</v>
      </c>
      <c r="M1972" s="178">
        <v>0</v>
      </c>
      <c r="N1972" s="179">
        <v>0</v>
      </c>
      <c r="O1972" s="178">
        <v>27.33</v>
      </c>
      <c r="P1972" s="453"/>
      <c r="Q1972" s="61"/>
      <c r="R1972" s="298"/>
      <c r="S1972" s="669"/>
      <c r="T1972" s="61"/>
      <c r="X1972" s="444">
        <v>1972</v>
      </c>
    </row>
    <row r="1973" spans="1:24" ht="12">
      <c r="A1973" s="83" t="s">
        <v>21530</v>
      </c>
      <c r="B1973" s="64" t="s">
        <v>21531</v>
      </c>
      <c r="C1973" s="71" t="s">
        <v>165</v>
      </c>
      <c r="D1973" s="79">
        <v>1</v>
      </c>
      <c r="E1973" s="79">
        <v>21.84</v>
      </c>
      <c r="F1973" s="79">
        <v>21.84</v>
      </c>
      <c r="G1973" s="445"/>
      <c r="H1973" s="178">
        <v>21.84</v>
      </c>
      <c r="I1973" s="178">
        <v>26.86</v>
      </c>
      <c r="J1973" s="70">
        <v>-5.0199999999999996</v>
      </c>
      <c r="K1973" s="320"/>
      <c r="L1973" s="178">
        <v>21.84</v>
      </c>
      <c r="M1973" s="178">
        <v>0</v>
      </c>
      <c r="N1973" s="179">
        <v>0</v>
      </c>
      <c r="O1973" s="178">
        <v>21.84</v>
      </c>
      <c r="P1973" s="453"/>
      <c r="Q1973" s="61"/>
      <c r="R1973" s="298"/>
      <c r="S1973" s="669"/>
      <c r="T1973" s="61"/>
      <c r="X1973" s="444">
        <v>1973</v>
      </c>
    </row>
    <row r="1974" spans="1:24" ht="12">
      <c r="A1974" s="83" t="s">
        <v>21532</v>
      </c>
      <c r="B1974" s="64" t="s">
        <v>21533</v>
      </c>
      <c r="C1974" s="71" t="s">
        <v>103</v>
      </c>
      <c r="D1974" s="79">
        <v>1</v>
      </c>
      <c r="E1974" s="79">
        <v>10.92</v>
      </c>
      <c r="F1974" s="79">
        <v>10.92</v>
      </c>
      <c r="G1974" s="445"/>
      <c r="H1974" s="178">
        <v>10.92</v>
      </c>
      <c r="I1974" s="178">
        <v>13.43</v>
      </c>
      <c r="J1974" s="70">
        <v>-2.5099999999999998</v>
      </c>
      <c r="K1974" s="320"/>
      <c r="L1974" s="178">
        <v>10.92</v>
      </c>
      <c r="M1974" s="178">
        <v>0</v>
      </c>
      <c r="N1974" s="179">
        <v>0</v>
      </c>
      <c r="O1974" s="178">
        <v>10.92</v>
      </c>
      <c r="P1974" s="453"/>
      <c r="Q1974" s="61"/>
      <c r="R1974" s="298"/>
      <c r="S1974" s="669"/>
      <c r="T1974" s="73"/>
      <c r="X1974" s="444">
        <v>1974</v>
      </c>
    </row>
    <row r="1975" spans="1:24" ht="12">
      <c r="A1975" s="83" t="s">
        <v>21534</v>
      </c>
      <c r="B1975" s="64" t="s">
        <v>21535</v>
      </c>
      <c r="C1975" s="71" t="s">
        <v>165</v>
      </c>
      <c r="D1975" s="79">
        <v>1</v>
      </c>
      <c r="E1975" s="79">
        <v>2.73</v>
      </c>
      <c r="F1975" s="79">
        <v>2.73</v>
      </c>
      <c r="G1975" s="445"/>
      <c r="H1975" s="178">
        <v>2.72</v>
      </c>
      <c r="I1975" s="178">
        <v>3.35</v>
      </c>
      <c r="J1975" s="70">
        <v>-0.62000000000000011</v>
      </c>
      <c r="K1975" s="320"/>
      <c r="L1975" s="178">
        <v>2.73</v>
      </c>
      <c r="M1975" s="178">
        <v>0</v>
      </c>
      <c r="N1975" s="179">
        <v>0</v>
      </c>
      <c r="O1975" s="178">
        <v>2.73</v>
      </c>
      <c r="P1975" s="453"/>
      <c r="Q1975" s="61"/>
      <c r="R1975" s="298"/>
      <c r="S1975" s="669"/>
      <c r="T1975" s="73"/>
      <c r="X1975" s="444">
        <v>1975</v>
      </c>
    </row>
    <row r="1976" spans="1:24" ht="12">
      <c r="A1976" s="83" t="s">
        <v>21536</v>
      </c>
      <c r="B1976" s="64" t="s">
        <v>21537</v>
      </c>
      <c r="C1976" s="71" t="s">
        <v>165</v>
      </c>
      <c r="D1976" s="79">
        <v>1</v>
      </c>
      <c r="E1976" s="79">
        <v>5.46</v>
      </c>
      <c r="F1976" s="79">
        <v>5.46</v>
      </c>
      <c r="G1976" s="445"/>
      <c r="H1976" s="178">
        <v>5.46</v>
      </c>
      <c r="I1976" s="178">
        <v>6.71</v>
      </c>
      <c r="J1976" s="70">
        <v>-1.25</v>
      </c>
      <c r="K1976" s="320"/>
      <c r="L1976" s="178">
        <v>5.46</v>
      </c>
      <c r="M1976" s="178">
        <v>0</v>
      </c>
      <c r="N1976" s="179">
        <v>0</v>
      </c>
      <c r="O1976" s="178">
        <v>5.46</v>
      </c>
      <c r="P1976" s="453"/>
      <c r="Q1976" s="61"/>
      <c r="R1976" s="298"/>
      <c r="S1976" s="669"/>
      <c r="X1976" s="444">
        <v>1976</v>
      </c>
    </row>
    <row r="1977" spans="1:24" ht="12">
      <c r="A1977" s="83" t="s">
        <v>21538</v>
      </c>
      <c r="B1977" s="64" t="s">
        <v>21539</v>
      </c>
      <c r="C1977" s="71" t="s">
        <v>165</v>
      </c>
      <c r="D1977" s="79">
        <v>1</v>
      </c>
      <c r="E1977" s="79">
        <v>3.26</v>
      </c>
      <c r="F1977" s="79">
        <v>3.26</v>
      </c>
      <c r="G1977" s="445"/>
      <c r="H1977" s="178">
        <v>3.28</v>
      </c>
      <c r="I1977" s="178">
        <v>4.03</v>
      </c>
      <c r="J1977" s="70">
        <v>-0.77000000000000046</v>
      </c>
      <c r="K1977" s="320"/>
      <c r="L1977" s="178">
        <v>3.26</v>
      </c>
      <c r="M1977" s="178">
        <v>0</v>
      </c>
      <c r="N1977" s="179">
        <v>0</v>
      </c>
      <c r="O1977" s="178">
        <v>3.26</v>
      </c>
      <c r="P1977" s="453"/>
      <c r="Q1977" s="61"/>
      <c r="R1977" s="298"/>
      <c r="S1977" s="669"/>
      <c r="T1977" s="61"/>
      <c r="X1977" s="444">
        <v>1977</v>
      </c>
    </row>
    <row r="1978" spans="1:24" ht="12">
      <c r="A1978" s="83" t="s">
        <v>21540</v>
      </c>
      <c r="B1978" s="64" t="s">
        <v>21541</v>
      </c>
      <c r="C1978" s="71" t="s">
        <v>165</v>
      </c>
      <c r="D1978" s="79">
        <v>1</v>
      </c>
      <c r="E1978" s="79">
        <v>6.5500000000000007</v>
      </c>
      <c r="F1978" s="79">
        <v>6.55</v>
      </c>
      <c r="G1978" s="445"/>
      <c r="H1978" s="178">
        <v>6.55</v>
      </c>
      <c r="I1978" s="178">
        <v>8.06</v>
      </c>
      <c r="J1978" s="70">
        <v>-1.5099999999999998</v>
      </c>
      <c r="K1978" s="320"/>
      <c r="L1978" s="178">
        <v>6.5500000000000007</v>
      </c>
      <c r="M1978" s="178">
        <v>0</v>
      </c>
      <c r="N1978" s="179">
        <v>0</v>
      </c>
      <c r="O1978" s="178">
        <v>6.5500000000000007</v>
      </c>
      <c r="P1978" s="453"/>
      <c r="Q1978" s="61"/>
      <c r="R1978" s="298"/>
      <c r="S1978" s="669"/>
      <c r="T1978" s="61"/>
      <c r="X1978" s="444">
        <v>1978</v>
      </c>
    </row>
    <row r="1979" spans="1:24" ht="12">
      <c r="A1979" s="83" t="s">
        <v>21542</v>
      </c>
      <c r="B1979" s="64" t="s">
        <v>21543</v>
      </c>
      <c r="C1979" s="71" t="s">
        <v>103</v>
      </c>
      <c r="D1979" s="79">
        <v>1</v>
      </c>
      <c r="E1979" s="79">
        <v>10.92</v>
      </c>
      <c r="F1979" s="79">
        <v>10.92</v>
      </c>
      <c r="G1979" s="445"/>
      <c r="H1979" s="178">
        <v>10.92</v>
      </c>
      <c r="I1979" s="178">
        <v>13.43</v>
      </c>
      <c r="J1979" s="70">
        <v>-2.5099999999999998</v>
      </c>
      <c r="K1979" s="320"/>
      <c r="L1979" s="178">
        <v>10.92</v>
      </c>
      <c r="M1979" s="178">
        <v>0</v>
      </c>
      <c r="N1979" s="179">
        <v>0</v>
      </c>
      <c r="O1979" s="178">
        <v>10.92</v>
      </c>
      <c r="P1979" s="453"/>
      <c r="Q1979" s="61"/>
      <c r="R1979" s="298"/>
      <c r="S1979" s="669"/>
      <c r="X1979" s="444">
        <v>1979</v>
      </c>
    </row>
    <row r="1980" spans="1:24" ht="12">
      <c r="A1980" s="83" t="s">
        <v>21544</v>
      </c>
      <c r="B1980" s="64" t="s">
        <v>21545</v>
      </c>
      <c r="C1980" s="71" t="s">
        <v>509</v>
      </c>
      <c r="D1980" s="79">
        <v>1</v>
      </c>
      <c r="E1980" s="79">
        <v>109.22</v>
      </c>
      <c r="F1980" s="79">
        <v>109.22</v>
      </c>
      <c r="G1980" s="445"/>
      <c r="H1980" s="178">
        <v>109.22</v>
      </c>
      <c r="I1980" s="178">
        <v>134.34</v>
      </c>
      <c r="J1980" s="70">
        <v>-25.120000000000005</v>
      </c>
      <c r="K1980" s="320"/>
      <c r="L1980" s="178">
        <v>109.22</v>
      </c>
      <c r="M1980" s="178">
        <v>0</v>
      </c>
      <c r="N1980" s="179">
        <v>0</v>
      </c>
      <c r="O1980" s="178">
        <v>109.22</v>
      </c>
      <c r="P1980" s="453"/>
      <c r="Q1980" s="61"/>
      <c r="R1980" s="298"/>
      <c r="S1980" s="669"/>
      <c r="X1980" s="444">
        <v>1980</v>
      </c>
    </row>
    <row r="1981" spans="1:24" ht="12">
      <c r="A1981" s="83" t="s">
        <v>21546</v>
      </c>
      <c r="B1981" s="64" t="s">
        <v>21547</v>
      </c>
      <c r="C1981" s="71" t="s">
        <v>10216</v>
      </c>
      <c r="D1981" s="79">
        <v>1</v>
      </c>
      <c r="E1981" s="79">
        <v>577.26</v>
      </c>
      <c r="F1981" s="79">
        <v>577.26</v>
      </c>
      <c r="G1981" s="445"/>
      <c r="H1981" s="178">
        <v>577.25</v>
      </c>
      <c r="I1981" s="178">
        <v>710.02</v>
      </c>
      <c r="J1981" s="70">
        <v>-132.76</v>
      </c>
      <c r="K1981" s="320"/>
      <c r="L1981" s="178"/>
      <c r="M1981" s="178">
        <v>577.26</v>
      </c>
      <c r="N1981" s="179">
        <v>0</v>
      </c>
      <c r="O1981" s="178">
        <v>577.26</v>
      </c>
      <c r="P1981" s="453"/>
      <c r="Q1981" s="61"/>
      <c r="R1981" s="298"/>
      <c r="S1981" s="669"/>
      <c r="X1981" s="444">
        <v>1981</v>
      </c>
    </row>
    <row r="1982" spans="1:24" ht="12">
      <c r="A1982" s="83" t="s">
        <v>39823</v>
      </c>
      <c r="B1982" s="64" t="s">
        <v>39824</v>
      </c>
      <c r="C1982" s="71"/>
      <c r="D1982" s="79" t="s">
        <v>40899</v>
      </c>
      <c r="E1982" s="79" t="s">
        <v>40899</v>
      </c>
      <c r="F1982" s="79"/>
      <c r="G1982" s="445"/>
      <c r="H1982" s="178"/>
      <c r="I1982" s="178"/>
      <c r="J1982" s="70"/>
      <c r="K1982" s="320"/>
      <c r="L1982" s="178"/>
      <c r="M1982" s="178"/>
      <c r="N1982" s="179"/>
      <c r="O1982" s="178"/>
      <c r="P1982" s="453"/>
      <c r="Q1982" s="61"/>
      <c r="R1982" s="298"/>
      <c r="S1982" s="669"/>
      <c r="T1982" s="73"/>
      <c r="X1982" s="444">
        <v>1982</v>
      </c>
    </row>
    <row r="1983" spans="1:24" ht="12">
      <c r="A1983" s="83" t="s">
        <v>21548</v>
      </c>
      <c r="B1983" s="64" t="s">
        <v>21549</v>
      </c>
      <c r="C1983" s="71" t="s">
        <v>103</v>
      </c>
      <c r="D1983" s="79">
        <v>1</v>
      </c>
      <c r="E1983" s="79">
        <v>81.94</v>
      </c>
      <c r="F1983" s="79">
        <v>81.94</v>
      </c>
      <c r="G1983" s="445"/>
      <c r="H1983" s="178">
        <v>81.91</v>
      </c>
      <c r="I1983" s="178">
        <v>100.75</v>
      </c>
      <c r="J1983" s="70">
        <v>-18.810000000000002</v>
      </c>
      <c r="K1983" s="320"/>
      <c r="L1983" s="178">
        <v>81.94</v>
      </c>
      <c r="M1983" s="178">
        <v>0</v>
      </c>
      <c r="N1983" s="179">
        <v>0</v>
      </c>
      <c r="O1983" s="178">
        <v>81.94</v>
      </c>
      <c r="P1983" s="453"/>
      <c r="Q1983" s="61"/>
      <c r="R1983" s="298"/>
      <c r="S1983" s="669"/>
      <c r="X1983" s="444">
        <v>1983</v>
      </c>
    </row>
    <row r="1984" spans="1:24" ht="24">
      <c r="A1984" s="83" t="s">
        <v>21550</v>
      </c>
      <c r="B1984" s="64" t="s">
        <v>21551</v>
      </c>
      <c r="C1984" s="71" t="s">
        <v>103</v>
      </c>
      <c r="D1984" s="79">
        <v>1</v>
      </c>
      <c r="E1984" s="79">
        <v>5.46</v>
      </c>
      <c r="F1984" s="79">
        <v>5.46</v>
      </c>
      <c r="G1984" s="445"/>
      <c r="H1984" s="178">
        <v>5.46</v>
      </c>
      <c r="I1984" s="178">
        <v>6.71</v>
      </c>
      <c r="J1984" s="70">
        <v>-1.25</v>
      </c>
      <c r="K1984" s="320"/>
      <c r="L1984" s="178">
        <v>5.46</v>
      </c>
      <c r="M1984" s="178">
        <v>0</v>
      </c>
      <c r="N1984" s="179">
        <v>0</v>
      </c>
      <c r="O1984" s="178">
        <v>5.46</v>
      </c>
      <c r="P1984" s="453"/>
      <c r="Q1984" s="61"/>
      <c r="R1984" s="298"/>
      <c r="S1984" s="669"/>
      <c r="X1984" s="444">
        <v>1984</v>
      </c>
    </row>
    <row r="1985" spans="1:24" ht="24">
      <c r="A1985" s="83" t="s">
        <v>21552</v>
      </c>
      <c r="B1985" s="64" t="s">
        <v>21553</v>
      </c>
      <c r="C1985" s="71" t="s">
        <v>103</v>
      </c>
      <c r="D1985" s="79">
        <v>1</v>
      </c>
      <c r="E1985" s="79">
        <v>3.84</v>
      </c>
      <c r="F1985" s="79">
        <v>3.84</v>
      </c>
      <c r="G1985" s="445"/>
      <c r="H1985" s="178">
        <v>3.84</v>
      </c>
      <c r="I1985" s="178">
        <v>4.72</v>
      </c>
      <c r="J1985" s="70">
        <v>-0.87999999999999989</v>
      </c>
      <c r="K1985" s="320"/>
      <c r="L1985" s="178">
        <v>3.84</v>
      </c>
      <c r="M1985" s="178">
        <v>0</v>
      </c>
      <c r="N1985" s="179">
        <v>0</v>
      </c>
      <c r="O1985" s="178">
        <v>3.84</v>
      </c>
      <c r="P1985" s="453"/>
      <c r="Q1985" s="61"/>
      <c r="R1985" s="298"/>
      <c r="S1985" s="669"/>
      <c r="X1985" s="444">
        <v>1985</v>
      </c>
    </row>
    <row r="1986" spans="1:24" ht="12">
      <c r="A1986" s="83" t="s">
        <v>21554</v>
      </c>
      <c r="B1986" s="64" t="s">
        <v>21555</v>
      </c>
      <c r="C1986" s="71" t="s">
        <v>103</v>
      </c>
      <c r="D1986" s="79">
        <v>1</v>
      </c>
      <c r="E1986" s="79">
        <v>81.94</v>
      </c>
      <c r="F1986" s="79">
        <v>81.94</v>
      </c>
      <c r="G1986" s="445"/>
      <c r="H1986" s="178">
        <v>81.91</v>
      </c>
      <c r="I1986" s="178">
        <v>100.75</v>
      </c>
      <c r="J1986" s="70">
        <v>-18.810000000000002</v>
      </c>
      <c r="K1986" s="320"/>
      <c r="L1986" s="178">
        <v>81.94</v>
      </c>
      <c r="M1986" s="178">
        <v>0</v>
      </c>
      <c r="N1986" s="179">
        <v>0</v>
      </c>
      <c r="O1986" s="178">
        <v>81.94</v>
      </c>
      <c r="P1986" s="453"/>
      <c r="Q1986" s="61"/>
      <c r="R1986" s="298"/>
      <c r="S1986" s="669"/>
      <c r="X1986" s="444">
        <v>1986</v>
      </c>
    </row>
    <row r="1987" spans="1:24" ht="12">
      <c r="A1987" s="83" t="s">
        <v>21556</v>
      </c>
      <c r="B1987" s="64" t="s">
        <v>21557</v>
      </c>
      <c r="C1987" s="71" t="s">
        <v>103</v>
      </c>
      <c r="D1987" s="79">
        <v>1</v>
      </c>
      <c r="E1987" s="79">
        <v>54.61</v>
      </c>
      <c r="F1987" s="79">
        <v>54.61</v>
      </c>
      <c r="G1987" s="445"/>
      <c r="H1987" s="178">
        <v>54.61</v>
      </c>
      <c r="I1987" s="178">
        <v>67.17</v>
      </c>
      <c r="J1987" s="70">
        <v>-12.560000000000002</v>
      </c>
      <c r="K1987" s="320"/>
      <c r="L1987" s="178">
        <v>54.61</v>
      </c>
      <c r="M1987" s="178">
        <v>0</v>
      </c>
      <c r="N1987" s="179">
        <v>0</v>
      </c>
      <c r="O1987" s="178">
        <v>54.61</v>
      </c>
      <c r="P1987" s="453"/>
      <c r="Q1987" s="61"/>
      <c r="R1987" s="298"/>
      <c r="S1987" s="669"/>
      <c r="X1987" s="444">
        <v>1987</v>
      </c>
    </row>
    <row r="1988" spans="1:24" ht="12">
      <c r="A1988" s="83" t="s">
        <v>21558</v>
      </c>
      <c r="B1988" s="64" t="s">
        <v>21559</v>
      </c>
      <c r="C1988" s="71" t="s">
        <v>103</v>
      </c>
      <c r="D1988" s="79">
        <v>1</v>
      </c>
      <c r="E1988" s="79">
        <v>27.33</v>
      </c>
      <c r="F1988" s="79">
        <v>27.33</v>
      </c>
      <c r="G1988" s="445"/>
      <c r="H1988" s="178">
        <v>27.3</v>
      </c>
      <c r="I1988" s="178">
        <v>33.58</v>
      </c>
      <c r="J1988" s="70">
        <v>-6.25</v>
      </c>
      <c r="K1988" s="320"/>
      <c r="L1988" s="178">
        <v>27.33</v>
      </c>
      <c r="M1988" s="178">
        <v>0</v>
      </c>
      <c r="N1988" s="179">
        <v>0</v>
      </c>
      <c r="O1988" s="178">
        <v>27.33</v>
      </c>
      <c r="P1988" s="453"/>
      <c r="Q1988" s="61"/>
      <c r="R1988" s="298"/>
      <c r="S1988" s="669"/>
      <c r="X1988" s="444">
        <v>1988</v>
      </c>
    </row>
    <row r="1989" spans="1:24" ht="12">
      <c r="A1989" s="83" t="s">
        <v>21560</v>
      </c>
      <c r="B1989" s="64" t="s">
        <v>21561</v>
      </c>
      <c r="C1989" s="71" t="s">
        <v>103</v>
      </c>
      <c r="D1989" s="79">
        <v>1</v>
      </c>
      <c r="E1989" s="79">
        <v>273.06</v>
      </c>
      <c r="F1989" s="79">
        <v>273.06</v>
      </c>
      <c r="G1989" s="445"/>
      <c r="H1989" s="178">
        <v>273.06</v>
      </c>
      <c r="I1989" s="178">
        <v>335.86</v>
      </c>
      <c r="J1989" s="70">
        <v>-62.800000000000011</v>
      </c>
      <c r="K1989" s="320"/>
      <c r="L1989" s="178">
        <v>273.06</v>
      </c>
      <c r="M1989" s="178">
        <v>0</v>
      </c>
      <c r="N1989" s="179">
        <v>0</v>
      </c>
      <c r="O1989" s="178">
        <v>273.06</v>
      </c>
      <c r="P1989" s="453"/>
      <c r="Q1989" s="61"/>
      <c r="R1989" s="298"/>
      <c r="S1989" s="669"/>
      <c r="X1989" s="444">
        <v>1989</v>
      </c>
    </row>
    <row r="1990" spans="1:24" ht="12">
      <c r="A1990" s="83" t="s">
        <v>21562</v>
      </c>
      <c r="B1990" s="64" t="s">
        <v>21563</v>
      </c>
      <c r="C1990" s="71" t="s">
        <v>103</v>
      </c>
      <c r="D1990" s="79">
        <v>1</v>
      </c>
      <c r="E1990" s="79">
        <v>273.06</v>
      </c>
      <c r="F1990" s="79">
        <v>273.06</v>
      </c>
      <c r="G1990" s="445"/>
      <c r="H1990" s="178">
        <v>273.06</v>
      </c>
      <c r="I1990" s="178">
        <v>335.86</v>
      </c>
      <c r="J1990" s="70">
        <v>-62.800000000000011</v>
      </c>
      <c r="K1990" s="320"/>
      <c r="L1990" s="178">
        <v>273.06</v>
      </c>
      <c r="M1990" s="178">
        <v>0</v>
      </c>
      <c r="N1990" s="179">
        <v>0</v>
      </c>
      <c r="O1990" s="178">
        <v>273.06</v>
      </c>
      <c r="P1990" s="453"/>
      <c r="Q1990" s="61"/>
      <c r="R1990" s="298"/>
      <c r="S1990" s="669"/>
      <c r="X1990" s="444">
        <v>1990</v>
      </c>
    </row>
    <row r="1991" spans="1:24" ht="12">
      <c r="A1991" s="83" t="s">
        <v>21564</v>
      </c>
      <c r="B1991" s="64" t="s">
        <v>21565</v>
      </c>
      <c r="C1991" s="71" t="s">
        <v>103</v>
      </c>
      <c r="D1991" s="79">
        <v>1</v>
      </c>
      <c r="E1991" s="79">
        <v>273.06</v>
      </c>
      <c r="F1991" s="79">
        <v>273.06</v>
      </c>
      <c r="G1991" s="445"/>
      <c r="H1991" s="178">
        <v>273.06</v>
      </c>
      <c r="I1991" s="178">
        <v>335.86</v>
      </c>
      <c r="J1991" s="70">
        <v>-62.800000000000011</v>
      </c>
      <c r="K1991" s="320"/>
      <c r="L1991" s="178">
        <v>273.06</v>
      </c>
      <c r="M1991" s="178">
        <v>0</v>
      </c>
      <c r="N1991" s="179">
        <v>0</v>
      </c>
      <c r="O1991" s="178">
        <v>273.06</v>
      </c>
      <c r="P1991" s="453"/>
      <c r="Q1991" s="61"/>
      <c r="R1991" s="298"/>
      <c r="S1991" s="669"/>
      <c r="X1991" s="444">
        <v>1991</v>
      </c>
    </row>
    <row r="1992" spans="1:24" ht="12">
      <c r="A1992" s="83" t="s">
        <v>21566</v>
      </c>
      <c r="B1992" s="64" t="s">
        <v>21567</v>
      </c>
      <c r="C1992" s="71" t="s">
        <v>10216</v>
      </c>
      <c r="D1992" s="79">
        <v>1</v>
      </c>
      <c r="E1992" s="79">
        <v>577.26</v>
      </c>
      <c r="F1992" s="79">
        <v>577.26</v>
      </c>
      <c r="G1992" s="445"/>
      <c r="H1992" s="178">
        <v>577.25</v>
      </c>
      <c r="I1992" s="178">
        <v>710.02</v>
      </c>
      <c r="J1992" s="70">
        <v>-132.76</v>
      </c>
      <c r="K1992" s="320"/>
      <c r="L1992" s="178"/>
      <c r="M1992" s="178">
        <v>577.26</v>
      </c>
      <c r="N1992" s="179">
        <v>0</v>
      </c>
      <c r="O1992" s="178">
        <v>577.26</v>
      </c>
      <c r="P1992" s="453"/>
      <c r="Q1992" s="61"/>
      <c r="R1992" s="298"/>
      <c r="S1992" s="669"/>
      <c r="X1992" s="444">
        <v>1992</v>
      </c>
    </row>
    <row r="1993" spans="1:24" ht="12">
      <c r="A1993" s="83" t="s">
        <v>39825</v>
      </c>
      <c r="B1993" s="64" t="s">
        <v>39826</v>
      </c>
      <c r="C1993" s="71"/>
      <c r="D1993" s="79" t="s">
        <v>40899</v>
      </c>
      <c r="E1993" s="79" t="s">
        <v>40899</v>
      </c>
      <c r="F1993" s="79"/>
      <c r="G1993" s="445"/>
      <c r="H1993" s="178"/>
      <c r="I1993" s="178"/>
      <c r="J1993" s="70"/>
      <c r="K1993" s="320"/>
      <c r="L1993" s="178"/>
      <c r="M1993" s="178"/>
      <c r="N1993" s="179"/>
      <c r="O1993" s="178"/>
      <c r="P1993" s="453"/>
      <c r="Q1993" s="61"/>
      <c r="R1993" s="298"/>
      <c r="S1993" s="669"/>
      <c r="T1993" s="73"/>
      <c r="X1993" s="444">
        <v>1993</v>
      </c>
    </row>
    <row r="1994" spans="1:24" ht="12">
      <c r="A1994" s="83" t="s">
        <v>21568</v>
      </c>
      <c r="B1994" s="64" t="s">
        <v>21569</v>
      </c>
      <c r="C1994" s="71" t="s">
        <v>103</v>
      </c>
      <c r="D1994" s="79">
        <v>1</v>
      </c>
      <c r="E1994" s="79">
        <v>27.33</v>
      </c>
      <c r="F1994" s="79">
        <v>27.33</v>
      </c>
      <c r="G1994" s="445"/>
      <c r="H1994" s="178">
        <v>27.3</v>
      </c>
      <c r="I1994" s="178">
        <v>33.58</v>
      </c>
      <c r="J1994" s="70">
        <v>-6.25</v>
      </c>
      <c r="K1994" s="320"/>
      <c r="L1994" s="178">
        <v>27.33</v>
      </c>
      <c r="M1994" s="178">
        <v>0</v>
      </c>
      <c r="N1994" s="179">
        <v>0</v>
      </c>
      <c r="O1994" s="178">
        <v>27.33</v>
      </c>
      <c r="P1994" s="453"/>
      <c r="Q1994" s="61"/>
      <c r="R1994" s="298"/>
      <c r="S1994" s="669"/>
      <c r="X1994" s="444">
        <v>1994</v>
      </c>
    </row>
    <row r="1995" spans="1:24" ht="12">
      <c r="A1995" s="83" t="s">
        <v>21570</v>
      </c>
      <c r="B1995" s="64" t="s">
        <v>21571</v>
      </c>
      <c r="C1995" s="71" t="s">
        <v>103</v>
      </c>
      <c r="D1995" s="79">
        <v>1</v>
      </c>
      <c r="E1995" s="79">
        <v>54.61</v>
      </c>
      <c r="F1995" s="79">
        <v>54.61</v>
      </c>
      <c r="G1995" s="445"/>
      <c r="H1995" s="178">
        <v>54.61</v>
      </c>
      <c r="I1995" s="178">
        <v>67.17</v>
      </c>
      <c r="J1995" s="70">
        <v>-12.560000000000002</v>
      </c>
      <c r="K1995" s="320"/>
      <c r="L1995" s="178">
        <v>54.61</v>
      </c>
      <c r="M1995" s="178">
        <v>0</v>
      </c>
      <c r="N1995" s="179">
        <v>0</v>
      </c>
      <c r="O1995" s="178">
        <v>54.61</v>
      </c>
      <c r="P1995" s="453"/>
      <c r="Q1995" s="61"/>
      <c r="R1995" s="298"/>
      <c r="S1995" s="669"/>
      <c r="X1995" s="444">
        <v>1995</v>
      </c>
    </row>
    <row r="1996" spans="1:24" ht="12">
      <c r="A1996" s="83" t="s">
        <v>21572</v>
      </c>
      <c r="B1996" s="64" t="s">
        <v>21573</v>
      </c>
      <c r="C1996" s="71" t="s">
        <v>165</v>
      </c>
      <c r="D1996" s="79">
        <v>1</v>
      </c>
      <c r="E1996" s="79">
        <v>27.33</v>
      </c>
      <c r="F1996" s="79">
        <v>27.33</v>
      </c>
      <c r="G1996" s="445"/>
      <c r="H1996" s="178">
        <v>27.3</v>
      </c>
      <c r="I1996" s="178">
        <v>33.58</v>
      </c>
      <c r="J1996" s="70">
        <v>-6.25</v>
      </c>
      <c r="K1996" s="320"/>
      <c r="L1996" s="178">
        <v>27.33</v>
      </c>
      <c r="M1996" s="178">
        <v>0</v>
      </c>
      <c r="N1996" s="179">
        <v>0</v>
      </c>
      <c r="O1996" s="178">
        <v>27.33</v>
      </c>
      <c r="P1996" s="453"/>
      <c r="Q1996" s="61"/>
      <c r="R1996" s="298"/>
      <c r="S1996" s="669"/>
      <c r="X1996" s="444">
        <v>1996</v>
      </c>
    </row>
    <row r="1997" spans="1:24" ht="12">
      <c r="A1997" s="83" t="s">
        <v>21574</v>
      </c>
      <c r="B1997" s="64" t="s">
        <v>21575</v>
      </c>
      <c r="C1997" s="71" t="s">
        <v>165</v>
      </c>
      <c r="D1997" s="79">
        <v>1</v>
      </c>
      <c r="E1997" s="79">
        <v>10.92</v>
      </c>
      <c r="F1997" s="79">
        <v>10.92</v>
      </c>
      <c r="G1997" s="445"/>
      <c r="H1997" s="178">
        <v>10.92</v>
      </c>
      <c r="I1997" s="178">
        <v>13.43</v>
      </c>
      <c r="J1997" s="70">
        <v>-2.5099999999999998</v>
      </c>
      <c r="K1997" s="320"/>
      <c r="L1997" s="178">
        <v>10.92</v>
      </c>
      <c r="M1997" s="178">
        <v>0</v>
      </c>
      <c r="N1997" s="179">
        <v>0</v>
      </c>
      <c r="O1997" s="178">
        <v>10.92</v>
      </c>
      <c r="P1997" s="453"/>
      <c r="Q1997" s="61"/>
      <c r="R1997" s="298"/>
      <c r="S1997" s="669"/>
      <c r="X1997" s="444">
        <v>1997</v>
      </c>
    </row>
    <row r="1998" spans="1:24" ht="12">
      <c r="A1998" s="83" t="s">
        <v>21576</v>
      </c>
      <c r="B1998" s="64" t="s">
        <v>21577</v>
      </c>
      <c r="C1998" s="71" t="s">
        <v>165</v>
      </c>
      <c r="D1998" s="79">
        <v>1</v>
      </c>
      <c r="E1998" s="79">
        <v>13.65</v>
      </c>
      <c r="F1998" s="79">
        <v>13.65</v>
      </c>
      <c r="G1998" s="445"/>
      <c r="H1998" s="178">
        <v>13.65</v>
      </c>
      <c r="I1998" s="178">
        <v>16.79</v>
      </c>
      <c r="J1998" s="70">
        <v>-3.1399999999999988</v>
      </c>
      <c r="K1998" s="320"/>
      <c r="L1998" s="178">
        <v>13.65</v>
      </c>
      <c r="M1998" s="178">
        <v>0</v>
      </c>
      <c r="N1998" s="179">
        <v>0</v>
      </c>
      <c r="O1998" s="178">
        <v>13.65</v>
      </c>
      <c r="P1998" s="453"/>
      <c r="Q1998" s="61"/>
      <c r="R1998" s="298"/>
      <c r="S1998" s="669"/>
      <c r="X1998" s="444">
        <v>1998</v>
      </c>
    </row>
    <row r="1999" spans="1:24" ht="12">
      <c r="A1999" s="83" t="s">
        <v>21578</v>
      </c>
      <c r="B1999" s="64" t="s">
        <v>21579</v>
      </c>
      <c r="C1999" s="71" t="s">
        <v>103</v>
      </c>
      <c r="D1999" s="79">
        <v>1</v>
      </c>
      <c r="E1999" s="79">
        <v>10.92</v>
      </c>
      <c r="F1999" s="79">
        <v>10.92</v>
      </c>
      <c r="G1999" s="445"/>
      <c r="H1999" s="178">
        <v>10.92</v>
      </c>
      <c r="I1999" s="178">
        <v>13.43</v>
      </c>
      <c r="J1999" s="70">
        <v>-2.5099999999999998</v>
      </c>
      <c r="K1999" s="320"/>
      <c r="L1999" s="178">
        <v>10.92</v>
      </c>
      <c r="M1999" s="178">
        <v>0</v>
      </c>
      <c r="N1999" s="179">
        <v>0</v>
      </c>
      <c r="O1999" s="178">
        <v>10.92</v>
      </c>
      <c r="P1999" s="453"/>
      <c r="Q1999" s="61"/>
      <c r="R1999" s="298"/>
      <c r="S1999" s="669"/>
      <c r="X1999" s="444">
        <v>1999</v>
      </c>
    </row>
    <row r="2000" spans="1:24" ht="12">
      <c r="A2000" s="83" t="s">
        <v>21580</v>
      </c>
      <c r="B2000" s="64" t="s">
        <v>21581</v>
      </c>
      <c r="C2000" s="71" t="s">
        <v>103</v>
      </c>
      <c r="D2000" s="79">
        <v>1</v>
      </c>
      <c r="E2000" s="79">
        <v>21.84</v>
      </c>
      <c r="F2000" s="79">
        <v>21.84</v>
      </c>
      <c r="G2000" s="445"/>
      <c r="H2000" s="178">
        <v>21.84</v>
      </c>
      <c r="I2000" s="178">
        <v>26.86</v>
      </c>
      <c r="J2000" s="70">
        <v>-5.0199999999999996</v>
      </c>
      <c r="K2000" s="320"/>
      <c r="L2000" s="178">
        <v>21.84</v>
      </c>
      <c r="M2000" s="178">
        <v>0</v>
      </c>
      <c r="N2000" s="179">
        <v>0</v>
      </c>
      <c r="O2000" s="178">
        <v>21.84</v>
      </c>
      <c r="P2000" s="453"/>
      <c r="Q2000" s="61"/>
      <c r="R2000" s="298"/>
      <c r="S2000" s="669"/>
      <c r="X2000" s="444">
        <v>2000</v>
      </c>
    </row>
    <row r="2001" spans="1:24" ht="12">
      <c r="A2001" s="83" t="s">
        <v>21582</v>
      </c>
      <c r="B2001" s="64" t="s">
        <v>21583</v>
      </c>
      <c r="C2001" s="71" t="s">
        <v>10216</v>
      </c>
      <c r="D2001" s="79">
        <v>1</v>
      </c>
      <c r="E2001" s="79">
        <v>577.26</v>
      </c>
      <c r="F2001" s="79">
        <v>577.26</v>
      </c>
      <c r="G2001" s="445"/>
      <c r="H2001" s="178">
        <v>577.25</v>
      </c>
      <c r="I2001" s="178">
        <v>710.02</v>
      </c>
      <c r="J2001" s="70">
        <v>-132.76</v>
      </c>
      <c r="K2001" s="320"/>
      <c r="L2001" s="178"/>
      <c r="M2001" s="178">
        <v>577.26</v>
      </c>
      <c r="N2001" s="179">
        <v>0</v>
      </c>
      <c r="O2001" s="178">
        <v>577.26</v>
      </c>
      <c r="P2001" s="453"/>
      <c r="Q2001" s="61"/>
      <c r="R2001" s="298"/>
      <c r="S2001" s="669"/>
      <c r="X2001" s="444">
        <v>2001</v>
      </c>
    </row>
    <row r="2002" spans="1:24" ht="12">
      <c r="A2002" s="83" t="s">
        <v>39827</v>
      </c>
      <c r="B2002" s="64" t="s">
        <v>39828</v>
      </c>
      <c r="C2002" s="71"/>
      <c r="D2002" s="79" t="s">
        <v>40899</v>
      </c>
      <c r="E2002" s="79" t="s">
        <v>40899</v>
      </c>
      <c r="F2002" s="79"/>
      <c r="G2002" s="445"/>
      <c r="H2002" s="178"/>
      <c r="I2002" s="178"/>
      <c r="J2002" s="70"/>
      <c r="K2002" s="320"/>
      <c r="L2002" s="178"/>
      <c r="M2002" s="178"/>
      <c r="N2002" s="179"/>
      <c r="O2002" s="178"/>
      <c r="P2002" s="453"/>
      <c r="Q2002" s="61"/>
      <c r="R2002" s="298"/>
      <c r="S2002" s="669"/>
      <c r="T2002" s="73"/>
      <c r="X2002" s="444">
        <v>2002</v>
      </c>
    </row>
    <row r="2003" spans="1:24" ht="24">
      <c r="A2003" s="83" t="s">
        <v>21584</v>
      </c>
      <c r="B2003" s="64" t="s">
        <v>21585</v>
      </c>
      <c r="C2003" s="71" t="s">
        <v>103</v>
      </c>
      <c r="D2003" s="79">
        <v>1</v>
      </c>
      <c r="E2003" s="79">
        <v>10.92</v>
      </c>
      <c r="F2003" s="79">
        <v>10.92</v>
      </c>
      <c r="G2003" s="445"/>
      <c r="H2003" s="178">
        <v>10.92</v>
      </c>
      <c r="I2003" s="178">
        <v>13.43</v>
      </c>
      <c r="J2003" s="70">
        <v>-2.5099999999999998</v>
      </c>
      <c r="K2003" s="320"/>
      <c r="L2003" s="178">
        <v>10.92</v>
      </c>
      <c r="M2003" s="178">
        <v>0</v>
      </c>
      <c r="N2003" s="179">
        <v>0</v>
      </c>
      <c r="O2003" s="178">
        <v>10.92</v>
      </c>
      <c r="P2003" s="453"/>
      <c r="Q2003" s="61"/>
      <c r="R2003" s="298"/>
      <c r="S2003" s="669"/>
      <c r="X2003" s="444">
        <v>2003</v>
      </c>
    </row>
    <row r="2004" spans="1:24" ht="12">
      <c r="A2004" s="83" t="s">
        <v>21586</v>
      </c>
      <c r="B2004" s="64" t="s">
        <v>21587</v>
      </c>
      <c r="C2004" s="71" t="s">
        <v>103</v>
      </c>
      <c r="D2004" s="79">
        <v>1</v>
      </c>
      <c r="E2004" s="79">
        <v>27.33</v>
      </c>
      <c r="F2004" s="79">
        <v>27.33</v>
      </c>
      <c r="G2004" s="445"/>
      <c r="H2004" s="178">
        <v>27.3</v>
      </c>
      <c r="I2004" s="178">
        <v>33.58</v>
      </c>
      <c r="J2004" s="70">
        <v>-6.25</v>
      </c>
      <c r="K2004" s="320"/>
      <c r="L2004" s="178">
        <v>27.33</v>
      </c>
      <c r="M2004" s="178">
        <v>0</v>
      </c>
      <c r="N2004" s="179">
        <v>0</v>
      </c>
      <c r="O2004" s="178">
        <v>27.33</v>
      </c>
      <c r="P2004" s="453"/>
      <c r="Q2004" s="61"/>
      <c r="R2004" s="298"/>
      <c r="S2004" s="669"/>
      <c r="X2004" s="444">
        <v>2004</v>
      </c>
    </row>
    <row r="2005" spans="1:24" ht="12">
      <c r="A2005" s="83" t="s">
        <v>21588</v>
      </c>
      <c r="B2005" s="64" t="s">
        <v>21589</v>
      </c>
      <c r="C2005" s="71" t="s">
        <v>165</v>
      </c>
      <c r="D2005" s="79">
        <v>1</v>
      </c>
      <c r="E2005" s="79">
        <v>27.33</v>
      </c>
      <c r="F2005" s="79">
        <v>27.33</v>
      </c>
      <c r="G2005" s="445"/>
      <c r="H2005" s="178">
        <v>27.3</v>
      </c>
      <c r="I2005" s="178">
        <v>33.58</v>
      </c>
      <c r="J2005" s="70">
        <v>-6.25</v>
      </c>
      <c r="K2005" s="320"/>
      <c r="L2005" s="178">
        <v>27.33</v>
      </c>
      <c r="M2005" s="178">
        <v>0</v>
      </c>
      <c r="N2005" s="179">
        <v>0</v>
      </c>
      <c r="O2005" s="178">
        <v>27.33</v>
      </c>
      <c r="P2005" s="453"/>
      <c r="Q2005" s="61"/>
      <c r="R2005" s="298"/>
      <c r="S2005" s="669"/>
      <c r="X2005" s="444">
        <v>2005</v>
      </c>
    </row>
    <row r="2006" spans="1:24" ht="24">
      <c r="A2006" s="83" t="s">
        <v>21590</v>
      </c>
      <c r="B2006" s="64" t="s">
        <v>21591</v>
      </c>
      <c r="C2006" s="71" t="s">
        <v>103</v>
      </c>
      <c r="D2006" s="79">
        <v>1</v>
      </c>
      <c r="E2006" s="79">
        <v>5.13</v>
      </c>
      <c r="F2006" s="79">
        <v>5.13</v>
      </c>
      <c r="G2006" s="445"/>
      <c r="H2006" s="178">
        <v>5.1100000000000003</v>
      </c>
      <c r="I2006" s="178">
        <v>6.29</v>
      </c>
      <c r="J2006" s="70">
        <v>-1.1600000000000001</v>
      </c>
      <c r="K2006" s="320"/>
      <c r="L2006" s="178">
        <v>5.13</v>
      </c>
      <c r="M2006" s="178">
        <v>0</v>
      </c>
      <c r="N2006" s="179">
        <v>0</v>
      </c>
      <c r="O2006" s="178">
        <v>5.13</v>
      </c>
      <c r="P2006" s="453"/>
      <c r="Q2006" s="61"/>
      <c r="R2006" s="298"/>
      <c r="S2006" s="669"/>
      <c r="X2006" s="444">
        <v>2006</v>
      </c>
    </row>
    <row r="2007" spans="1:24" ht="12">
      <c r="A2007" s="83" t="s">
        <v>21592</v>
      </c>
      <c r="B2007" s="64" t="s">
        <v>21593</v>
      </c>
      <c r="C2007" s="71" t="s">
        <v>103</v>
      </c>
      <c r="D2007" s="79">
        <v>1</v>
      </c>
      <c r="E2007" s="79">
        <v>32.770000000000003</v>
      </c>
      <c r="F2007" s="79">
        <v>32.770000000000003</v>
      </c>
      <c r="G2007" s="445"/>
      <c r="H2007" s="178">
        <v>32.76</v>
      </c>
      <c r="I2007" s="178">
        <v>40.299999999999997</v>
      </c>
      <c r="J2007" s="70">
        <v>-7.529999999999994</v>
      </c>
      <c r="K2007" s="320"/>
      <c r="L2007" s="178">
        <v>32.770000000000003</v>
      </c>
      <c r="M2007" s="178">
        <v>0</v>
      </c>
      <c r="N2007" s="179">
        <v>0</v>
      </c>
      <c r="O2007" s="178">
        <v>32.770000000000003</v>
      </c>
      <c r="P2007" s="453"/>
      <c r="Q2007" s="61"/>
      <c r="R2007" s="298"/>
      <c r="S2007" s="669"/>
      <c r="X2007" s="444">
        <v>2007</v>
      </c>
    </row>
    <row r="2008" spans="1:24" ht="12">
      <c r="A2008" s="83" t="s">
        <v>21594</v>
      </c>
      <c r="B2008" s="64" t="s">
        <v>21595</v>
      </c>
      <c r="C2008" s="71" t="s">
        <v>165</v>
      </c>
      <c r="D2008" s="79">
        <v>1</v>
      </c>
      <c r="E2008" s="79">
        <v>21.84</v>
      </c>
      <c r="F2008" s="79">
        <v>21.84</v>
      </c>
      <c r="G2008" s="445"/>
      <c r="H2008" s="178">
        <v>21.84</v>
      </c>
      <c r="I2008" s="178">
        <v>26.86</v>
      </c>
      <c r="J2008" s="70">
        <v>-5.0199999999999996</v>
      </c>
      <c r="K2008" s="320"/>
      <c r="L2008" s="178">
        <v>21.84</v>
      </c>
      <c r="M2008" s="178">
        <v>0</v>
      </c>
      <c r="N2008" s="179">
        <v>0</v>
      </c>
      <c r="O2008" s="178">
        <v>21.84</v>
      </c>
      <c r="P2008" s="453"/>
      <c r="Q2008" s="61"/>
      <c r="R2008" s="298"/>
      <c r="S2008" s="669"/>
      <c r="X2008" s="444">
        <v>2008</v>
      </c>
    </row>
    <row r="2009" spans="1:24" ht="24">
      <c r="A2009" s="83" t="s">
        <v>21596</v>
      </c>
      <c r="B2009" s="64" t="s">
        <v>21597</v>
      </c>
      <c r="C2009" s="71" t="s">
        <v>103</v>
      </c>
      <c r="D2009" s="79">
        <v>1</v>
      </c>
      <c r="E2009" s="79">
        <v>259.38</v>
      </c>
      <c r="F2009" s="79">
        <v>259.38</v>
      </c>
      <c r="G2009" s="445"/>
      <c r="H2009" s="178">
        <v>259.37</v>
      </c>
      <c r="I2009" s="178">
        <v>319.02</v>
      </c>
      <c r="J2009" s="70">
        <v>-59.639999999999986</v>
      </c>
      <c r="K2009" s="320"/>
      <c r="L2009" s="178">
        <v>259.38</v>
      </c>
      <c r="M2009" s="178">
        <v>0</v>
      </c>
      <c r="N2009" s="179">
        <v>0</v>
      </c>
      <c r="O2009" s="178">
        <v>259.38</v>
      </c>
      <c r="P2009" s="453"/>
      <c r="Q2009" s="61"/>
      <c r="R2009" s="298"/>
      <c r="S2009" s="669"/>
      <c r="X2009" s="444">
        <v>2009</v>
      </c>
    </row>
    <row r="2010" spans="1:24" ht="12">
      <c r="A2010" s="83" t="s">
        <v>21598</v>
      </c>
      <c r="B2010" s="64" t="s">
        <v>21599</v>
      </c>
      <c r="C2010" s="71" t="s">
        <v>103</v>
      </c>
      <c r="D2010" s="79">
        <v>1</v>
      </c>
      <c r="E2010" s="79">
        <v>91.460000000000008</v>
      </c>
      <c r="F2010" s="79">
        <v>91.46</v>
      </c>
      <c r="G2010" s="445"/>
      <c r="H2010" s="178">
        <v>91.46</v>
      </c>
      <c r="I2010" s="178">
        <v>112.49</v>
      </c>
      <c r="J2010" s="70">
        <v>-21.029999999999987</v>
      </c>
      <c r="K2010" s="320"/>
      <c r="L2010" s="178">
        <v>91.460000000000008</v>
      </c>
      <c r="M2010" s="178">
        <v>0</v>
      </c>
      <c r="N2010" s="179">
        <v>0</v>
      </c>
      <c r="O2010" s="178">
        <v>91.460000000000008</v>
      </c>
      <c r="P2010" s="453"/>
      <c r="Q2010" s="61"/>
      <c r="R2010" s="298"/>
      <c r="S2010" s="669"/>
      <c r="X2010" s="444">
        <v>2010</v>
      </c>
    </row>
    <row r="2011" spans="1:24" ht="12">
      <c r="A2011" s="83" t="s">
        <v>21600</v>
      </c>
      <c r="B2011" s="64" t="s">
        <v>21601</v>
      </c>
      <c r="C2011" s="71" t="s">
        <v>103</v>
      </c>
      <c r="D2011" s="79">
        <v>1</v>
      </c>
      <c r="E2011" s="79">
        <v>474.39</v>
      </c>
      <c r="F2011" s="79">
        <v>474.39</v>
      </c>
      <c r="G2011" s="445"/>
      <c r="H2011" s="178">
        <v>474.39</v>
      </c>
      <c r="I2011" s="178">
        <v>583.5</v>
      </c>
      <c r="J2011" s="70">
        <v>-109.11000000000001</v>
      </c>
      <c r="K2011" s="320"/>
      <c r="L2011" s="178">
        <v>474.39</v>
      </c>
      <c r="M2011" s="178">
        <v>0</v>
      </c>
      <c r="N2011" s="179">
        <v>0</v>
      </c>
      <c r="O2011" s="178">
        <v>474.39</v>
      </c>
      <c r="P2011" s="453"/>
      <c r="Q2011" s="61"/>
      <c r="R2011" s="298"/>
      <c r="S2011" s="669"/>
      <c r="X2011" s="444">
        <v>2011</v>
      </c>
    </row>
    <row r="2012" spans="1:24" ht="24">
      <c r="A2012" s="83" t="s">
        <v>21602</v>
      </c>
      <c r="B2012" s="64" t="s">
        <v>21603</v>
      </c>
      <c r="C2012" s="71" t="s">
        <v>103</v>
      </c>
      <c r="D2012" s="79">
        <v>1</v>
      </c>
      <c r="E2012" s="79">
        <v>73.37</v>
      </c>
      <c r="F2012" s="79">
        <v>73.37</v>
      </c>
      <c r="G2012" s="445"/>
      <c r="H2012" s="178">
        <v>73.36</v>
      </c>
      <c r="I2012" s="178">
        <v>90.23</v>
      </c>
      <c r="J2012" s="70">
        <v>-16.86</v>
      </c>
      <c r="K2012" s="320"/>
      <c r="L2012" s="178">
        <v>73.37</v>
      </c>
      <c r="M2012" s="178">
        <v>0</v>
      </c>
      <c r="N2012" s="179">
        <v>0</v>
      </c>
      <c r="O2012" s="178">
        <v>73.37</v>
      </c>
      <c r="P2012" s="453"/>
      <c r="Q2012" s="61"/>
      <c r="R2012" s="298"/>
      <c r="S2012" s="669"/>
      <c r="X2012" s="444">
        <v>2012</v>
      </c>
    </row>
    <row r="2013" spans="1:24" ht="12">
      <c r="A2013" s="83" t="s">
        <v>21604</v>
      </c>
      <c r="B2013" s="64" t="s">
        <v>21605</v>
      </c>
      <c r="C2013" s="71" t="s">
        <v>103</v>
      </c>
      <c r="D2013" s="79">
        <v>1</v>
      </c>
      <c r="E2013" s="79">
        <v>791.65000000000009</v>
      </c>
      <c r="F2013" s="79">
        <v>791.65</v>
      </c>
      <c r="G2013" s="445"/>
      <c r="H2013" s="178">
        <v>791.65</v>
      </c>
      <c r="I2013" s="178">
        <v>973.73</v>
      </c>
      <c r="J2013" s="70">
        <v>-182.07999999999993</v>
      </c>
      <c r="K2013" s="320"/>
      <c r="L2013" s="178">
        <v>791.65000000000009</v>
      </c>
      <c r="M2013" s="178">
        <v>0</v>
      </c>
      <c r="N2013" s="179">
        <v>0</v>
      </c>
      <c r="O2013" s="178">
        <v>791.65000000000009</v>
      </c>
      <c r="P2013" s="453"/>
      <c r="Q2013" s="61"/>
      <c r="R2013" s="298"/>
      <c r="S2013" s="669"/>
      <c r="X2013" s="444">
        <v>2013</v>
      </c>
    </row>
    <row r="2014" spans="1:24" ht="12">
      <c r="A2014" s="83" t="s">
        <v>21606</v>
      </c>
      <c r="B2014" s="64" t="s">
        <v>21607</v>
      </c>
      <c r="C2014" s="71" t="s">
        <v>103</v>
      </c>
      <c r="D2014" s="79">
        <v>1</v>
      </c>
      <c r="E2014" s="79">
        <v>362.86</v>
      </c>
      <c r="F2014" s="79">
        <v>362.86</v>
      </c>
      <c r="G2014" s="445"/>
      <c r="H2014" s="178">
        <v>362.87</v>
      </c>
      <c r="I2014" s="178">
        <v>446.33</v>
      </c>
      <c r="J2014" s="70">
        <v>-83.46999999999997</v>
      </c>
      <c r="K2014" s="320"/>
      <c r="L2014" s="178">
        <v>327.67</v>
      </c>
      <c r="M2014" s="178">
        <v>35.19</v>
      </c>
      <c r="N2014" s="179">
        <v>0</v>
      </c>
      <c r="O2014" s="178">
        <v>362.86</v>
      </c>
      <c r="P2014" s="453"/>
      <c r="Q2014" s="61"/>
      <c r="R2014" s="298"/>
      <c r="S2014" s="669"/>
      <c r="X2014" s="444">
        <v>2014</v>
      </c>
    </row>
    <row r="2015" spans="1:24" ht="12">
      <c r="A2015" s="83" t="s">
        <v>21608</v>
      </c>
      <c r="B2015" s="64" t="s">
        <v>21609</v>
      </c>
      <c r="C2015" s="71" t="s">
        <v>10216</v>
      </c>
      <c r="D2015" s="79">
        <v>1</v>
      </c>
      <c r="E2015" s="79">
        <v>577.26</v>
      </c>
      <c r="F2015" s="79">
        <v>577.26</v>
      </c>
      <c r="G2015" s="445"/>
      <c r="H2015" s="178">
        <v>577.25</v>
      </c>
      <c r="I2015" s="178">
        <v>710.02</v>
      </c>
      <c r="J2015" s="70">
        <v>-132.76</v>
      </c>
      <c r="K2015" s="320"/>
      <c r="L2015" s="178"/>
      <c r="M2015" s="178">
        <v>577.26</v>
      </c>
      <c r="N2015" s="179">
        <v>0</v>
      </c>
      <c r="O2015" s="178">
        <v>577.26</v>
      </c>
      <c r="P2015" s="453"/>
      <c r="Q2015" s="61"/>
      <c r="R2015" s="298"/>
      <c r="S2015" s="669"/>
      <c r="X2015" s="444">
        <v>2015</v>
      </c>
    </row>
    <row r="2016" spans="1:24" ht="12">
      <c r="A2016" s="83" t="s">
        <v>39829</v>
      </c>
      <c r="B2016" s="64" t="s">
        <v>39830</v>
      </c>
      <c r="C2016" s="71"/>
      <c r="D2016" s="79" t="s">
        <v>40899</v>
      </c>
      <c r="E2016" s="79" t="s">
        <v>40899</v>
      </c>
      <c r="F2016" s="79"/>
      <c r="G2016" s="445"/>
      <c r="H2016" s="178"/>
      <c r="I2016" s="178"/>
      <c r="J2016" s="70"/>
      <c r="K2016" s="320"/>
      <c r="L2016" s="178"/>
      <c r="M2016" s="178"/>
      <c r="N2016" s="179"/>
      <c r="O2016" s="178"/>
      <c r="P2016" s="453"/>
      <c r="Q2016" s="61"/>
      <c r="R2016" s="298"/>
      <c r="S2016" s="669"/>
      <c r="X2016" s="444">
        <v>2016</v>
      </c>
    </row>
    <row r="2017" spans="1:24" ht="24">
      <c r="A2017" s="83" t="s">
        <v>21610</v>
      </c>
      <c r="B2017" s="64" t="s">
        <v>21611</v>
      </c>
      <c r="C2017" s="71" t="s">
        <v>103</v>
      </c>
      <c r="D2017" s="79">
        <v>1</v>
      </c>
      <c r="E2017" s="79">
        <v>21.84</v>
      </c>
      <c r="F2017" s="79">
        <v>21.84</v>
      </c>
      <c r="G2017" s="445"/>
      <c r="H2017" s="178">
        <v>21.84</v>
      </c>
      <c r="I2017" s="178">
        <v>26.86</v>
      </c>
      <c r="J2017" s="70">
        <v>-5.0199999999999996</v>
      </c>
      <c r="K2017" s="320"/>
      <c r="L2017" s="178">
        <v>21.84</v>
      </c>
      <c r="M2017" s="178">
        <v>0</v>
      </c>
      <c r="N2017" s="179">
        <v>0</v>
      </c>
      <c r="O2017" s="178">
        <v>21.84</v>
      </c>
      <c r="P2017" s="453"/>
      <c r="Q2017" s="61"/>
      <c r="R2017" s="298"/>
      <c r="S2017" s="669"/>
      <c r="X2017" s="444">
        <v>2017</v>
      </c>
    </row>
    <row r="2018" spans="1:24" ht="12">
      <c r="A2018" s="83" t="s">
        <v>21612</v>
      </c>
      <c r="B2018" s="64" t="s">
        <v>21613</v>
      </c>
      <c r="C2018" s="71" t="s">
        <v>103</v>
      </c>
      <c r="D2018" s="79">
        <v>1</v>
      </c>
      <c r="E2018" s="79">
        <v>362.86</v>
      </c>
      <c r="F2018" s="79">
        <v>362.86</v>
      </c>
      <c r="G2018" s="445"/>
      <c r="H2018" s="178">
        <v>362.87</v>
      </c>
      <c r="I2018" s="178">
        <v>446.33</v>
      </c>
      <c r="J2018" s="70">
        <v>-83.46999999999997</v>
      </c>
      <c r="K2018" s="320"/>
      <c r="L2018" s="178">
        <v>327.67</v>
      </c>
      <c r="M2018" s="178">
        <v>35.19</v>
      </c>
      <c r="N2018" s="179">
        <v>0</v>
      </c>
      <c r="O2018" s="178">
        <v>362.86</v>
      </c>
      <c r="P2018" s="453"/>
      <c r="Q2018" s="61"/>
      <c r="R2018" s="298"/>
      <c r="S2018" s="669"/>
      <c r="X2018" s="444">
        <v>2018</v>
      </c>
    </row>
    <row r="2019" spans="1:24" ht="12">
      <c r="A2019" s="83" t="s">
        <v>21614</v>
      </c>
      <c r="B2019" s="64" t="s">
        <v>21615</v>
      </c>
      <c r="C2019" s="71" t="s">
        <v>103</v>
      </c>
      <c r="D2019" s="79">
        <v>1</v>
      </c>
      <c r="E2019" s="79">
        <v>362.86</v>
      </c>
      <c r="F2019" s="79">
        <v>362.86</v>
      </c>
      <c r="G2019" s="445"/>
      <c r="H2019" s="178">
        <v>362.87</v>
      </c>
      <c r="I2019" s="178">
        <v>446.33</v>
      </c>
      <c r="J2019" s="70">
        <v>-83.46999999999997</v>
      </c>
      <c r="K2019" s="320"/>
      <c r="L2019" s="178">
        <v>327.67</v>
      </c>
      <c r="M2019" s="178">
        <v>35.19</v>
      </c>
      <c r="N2019" s="179">
        <v>0</v>
      </c>
      <c r="O2019" s="178">
        <v>362.86</v>
      </c>
      <c r="P2019" s="453"/>
      <c r="Q2019" s="61"/>
      <c r="R2019" s="298"/>
      <c r="S2019" s="669"/>
      <c r="X2019" s="444">
        <v>2019</v>
      </c>
    </row>
    <row r="2020" spans="1:24" ht="12">
      <c r="A2020" s="83" t="s">
        <v>21616</v>
      </c>
      <c r="B2020" s="64" t="s">
        <v>21617</v>
      </c>
      <c r="C2020" s="71" t="s">
        <v>165</v>
      </c>
      <c r="D2020" s="79">
        <v>1</v>
      </c>
      <c r="E2020" s="79">
        <v>16.38</v>
      </c>
      <c r="F2020" s="79">
        <v>16.38</v>
      </c>
      <c r="G2020" s="445"/>
      <c r="H2020" s="178">
        <v>16.38</v>
      </c>
      <c r="I2020" s="178">
        <v>20.149999999999999</v>
      </c>
      <c r="J2020" s="70">
        <v>-3.7699999999999996</v>
      </c>
      <c r="K2020" s="320"/>
      <c r="L2020" s="178">
        <v>16.38</v>
      </c>
      <c r="M2020" s="178">
        <v>0</v>
      </c>
      <c r="N2020" s="179">
        <v>0</v>
      </c>
      <c r="O2020" s="178">
        <v>16.38</v>
      </c>
      <c r="P2020" s="453"/>
      <c r="Q2020" s="61"/>
      <c r="R2020" s="298"/>
      <c r="S2020" s="669"/>
      <c r="X2020" s="444">
        <v>2020</v>
      </c>
    </row>
    <row r="2021" spans="1:24" ht="12">
      <c r="A2021" s="83" t="s">
        <v>21618</v>
      </c>
      <c r="B2021" s="64" t="s">
        <v>21619</v>
      </c>
      <c r="C2021" s="71" t="s">
        <v>165</v>
      </c>
      <c r="D2021" s="79">
        <v>1</v>
      </c>
      <c r="E2021" s="79">
        <v>32.770000000000003</v>
      </c>
      <c r="F2021" s="79">
        <v>32.770000000000003</v>
      </c>
      <c r="G2021" s="445"/>
      <c r="H2021" s="178">
        <v>32.76</v>
      </c>
      <c r="I2021" s="178">
        <v>40.299999999999997</v>
      </c>
      <c r="J2021" s="70">
        <v>-7.529999999999994</v>
      </c>
      <c r="K2021" s="320"/>
      <c r="L2021" s="178">
        <v>32.770000000000003</v>
      </c>
      <c r="M2021" s="178">
        <v>0</v>
      </c>
      <c r="N2021" s="179">
        <v>0</v>
      </c>
      <c r="O2021" s="178">
        <v>32.770000000000003</v>
      </c>
      <c r="P2021" s="453"/>
      <c r="Q2021" s="61"/>
      <c r="R2021" s="298"/>
      <c r="S2021" s="669"/>
      <c r="X2021" s="444">
        <v>2021</v>
      </c>
    </row>
    <row r="2022" spans="1:24" ht="24">
      <c r="A2022" s="83" t="s">
        <v>21620</v>
      </c>
      <c r="B2022" s="64" t="s">
        <v>29648</v>
      </c>
      <c r="C2022" s="71" t="s">
        <v>103</v>
      </c>
      <c r="D2022" s="79">
        <v>1</v>
      </c>
      <c r="E2022" s="79">
        <v>27.33</v>
      </c>
      <c r="F2022" s="79">
        <v>27.33</v>
      </c>
      <c r="G2022" s="445"/>
      <c r="H2022" s="178">
        <v>27.3</v>
      </c>
      <c r="I2022" s="178">
        <v>33.58</v>
      </c>
      <c r="J2022" s="70">
        <v>-6.25</v>
      </c>
      <c r="K2022" s="320"/>
      <c r="L2022" s="178">
        <v>27.33</v>
      </c>
      <c r="M2022" s="178">
        <v>0</v>
      </c>
      <c r="N2022" s="179">
        <v>0</v>
      </c>
      <c r="O2022" s="178">
        <v>27.33</v>
      </c>
      <c r="P2022" s="453"/>
      <c r="Q2022" s="61"/>
      <c r="R2022" s="298"/>
      <c r="S2022" s="669"/>
      <c r="X2022" s="444">
        <v>2022</v>
      </c>
    </row>
    <row r="2023" spans="1:24" ht="12">
      <c r="A2023" s="83" t="s">
        <v>21621</v>
      </c>
      <c r="B2023" s="64" t="s">
        <v>21622</v>
      </c>
      <c r="C2023" s="71" t="s">
        <v>165</v>
      </c>
      <c r="D2023" s="79">
        <v>1</v>
      </c>
      <c r="E2023" s="79">
        <v>27.33</v>
      </c>
      <c r="F2023" s="79">
        <v>27.33</v>
      </c>
      <c r="G2023" s="445"/>
      <c r="H2023" s="178">
        <v>27.3</v>
      </c>
      <c r="I2023" s="178">
        <v>33.58</v>
      </c>
      <c r="J2023" s="70">
        <v>-6.25</v>
      </c>
      <c r="K2023" s="320"/>
      <c r="L2023" s="178">
        <v>27.33</v>
      </c>
      <c r="M2023" s="178">
        <v>0</v>
      </c>
      <c r="N2023" s="179">
        <v>0</v>
      </c>
      <c r="O2023" s="178">
        <v>27.33</v>
      </c>
      <c r="P2023" s="453"/>
      <c r="Q2023" s="61"/>
      <c r="R2023" s="298"/>
      <c r="S2023" s="669"/>
      <c r="X2023" s="444">
        <v>2023</v>
      </c>
    </row>
    <row r="2024" spans="1:24" ht="12">
      <c r="A2024" s="83" t="s">
        <v>21623</v>
      </c>
      <c r="B2024" s="64" t="s">
        <v>21624</v>
      </c>
      <c r="C2024" s="71" t="s">
        <v>103</v>
      </c>
      <c r="D2024" s="79">
        <v>1</v>
      </c>
      <c r="E2024" s="79">
        <v>13.65</v>
      </c>
      <c r="F2024" s="79">
        <v>13.65</v>
      </c>
      <c r="G2024" s="445"/>
      <c r="H2024" s="178">
        <v>13.65</v>
      </c>
      <c r="I2024" s="178">
        <v>16.79</v>
      </c>
      <c r="J2024" s="70">
        <v>-3.1399999999999988</v>
      </c>
      <c r="K2024" s="320"/>
      <c r="L2024" s="178">
        <v>13.65</v>
      </c>
      <c r="M2024" s="178">
        <v>0</v>
      </c>
      <c r="N2024" s="179">
        <v>0</v>
      </c>
      <c r="O2024" s="178">
        <v>13.65</v>
      </c>
      <c r="P2024" s="453"/>
      <c r="Q2024" s="61"/>
      <c r="R2024" s="298"/>
      <c r="S2024" s="669"/>
      <c r="X2024" s="444">
        <v>2024</v>
      </c>
    </row>
    <row r="2025" spans="1:24" ht="12">
      <c r="A2025" s="83" t="s">
        <v>21625</v>
      </c>
      <c r="B2025" s="64" t="s">
        <v>21626</v>
      </c>
      <c r="C2025" s="71" t="s">
        <v>165</v>
      </c>
      <c r="D2025" s="79">
        <v>1</v>
      </c>
      <c r="E2025" s="79">
        <v>2.73</v>
      </c>
      <c r="F2025" s="79">
        <v>2.73</v>
      </c>
      <c r="G2025" s="445"/>
      <c r="H2025" s="178">
        <v>2.72</v>
      </c>
      <c r="I2025" s="178">
        <v>3.35</v>
      </c>
      <c r="J2025" s="70">
        <v>-0.62000000000000011</v>
      </c>
      <c r="K2025" s="320"/>
      <c r="L2025" s="178">
        <v>2.73</v>
      </c>
      <c r="M2025" s="178">
        <v>0</v>
      </c>
      <c r="N2025" s="179">
        <v>0</v>
      </c>
      <c r="O2025" s="178">
        <v>2.73</v>
      </c>
      <c r="P2025" s="453"/>
      <c r="Q2025" s="61"/>
      <c r="R2025" s="298"/>
      <c r="S2025" s="669"/>
      <c r="X2025" s="444">
        <v>2025</v>
      </c>
    </row>
    <row r="2026" spans="1:24" ht="12">
      <c r="A2026" s="83" t="s">
        <v>21627</v>
      </c>
      <c r="B2026" s="64" t="s">
        <v>21628</v>
      </c>
      <c r="C2026" s="71" t="s">
        <v>165</v>
      </c>
      <c r="D2026" s="79">
        <v>1</v>
      </c>
      <c r="E2026" s="79">
        <v>5.46</v>
      </c>
      <c r="F2026" s="79">
        <v>5.46</v>
      </c>
      <c r="G2026" s="445"/>
      <c r="H2026" s="178">
        <v>5.46</v>
      </c>
      <c r="I2026" s="178">
        <v>6.71</v>
      </c>
      <c r="J2026" s="70">
        <v>-1.25</v>
      </c>
      <c r="K2026" s="320"/>
      <c r="L2026" s="178">
        <v>5.46</v>
      </c>
      <c r="M2026" s="178">
        <v>0</v>
      </c>
      <c r="N2026" s="179">
        <v>0</v>
      </c>
      <c r="O2026" s="178">
        <v>5.46</v>
      </c>
      <c r="P2026" s="453"/>
      <c r="Q2026" s="61"/>
      <c r="R2026" s="298"/>
      <c r="S2026" s="669"/>
      <c r="X2026" s="444">
        <v>2026</v>
      </c>
    </row>
    <row r="2027" spans="1:24" ht="12">
      <c r="A2027" s="83" t="s">
        <v>21629</v>
      </c>
      <c r="B2027" s="64" t="s">
        <v>21630</v>
      </c>
      <c r="C2027" s="71" t="s">
        <v>165</v>
      </c>
      <c r="D2027" s="79">
        <v>1</v>
      </c>
      <c r="E2027" s="79">
        <v>1.6400000000000001</v>
      </c>
      <c r="F2027" s="79">
        <v>1.64</v>
      </c>
      <c r="G2027" s="445"/>
      <c r="H2027" s="178">
        <v>1.63</v>
      </c>
      <c r="I2027" s="178">
        <v>2.0099999999999998</v>
      </c>
      <c r="J2027" s="70">
        <v>-0.36999999999999966</v>
      </c>
      <c r="K2027" s="320"/>
      <c r="L2027" s="178">
        <v>1.6400000000000001</v>
      </c>
      <c r="M2027" s="178">
        <v>0</v>
      </c>
      <c r="N2027" s="179">
        <v>0</v>
      </c>
      <c r="O2027" s="178">
        <v>1.6400000000000001</v>
      </c>
      <c r="P2027" s="453"/>
      <c r="Q2027" s="61"/>
      <c r="R2027" s="298"/>
      <c r="S2027" s="669"/>
      <c r="X2027" s="444">
        <v>2027</v>
      </c>
    </row>
    <row r="2028" spans="1:24" ht="12">
      <c r="A2028" s="83" t="s">
        <v>21631</v>
      </c>
      <c r="B2028" s="64" t="s">
        <v>21632</v>
      </c>
      <c r="C2028" s="71" t="s">
        <v>165</v>
      </c>
      <c r="D2028" s="79">
        <v>1</v>
      </c>
      <c r="E2028" s="79">
        <v>16.38</v>
      </c>
      <c r="F2028" s="79">
        <v>16.38</v>
      </c>
      <c r="G2028" s="445"/>
      <c r="H2028" s="178">
        <v>16.38</v>
      </c>
      <c r="I2028" s="178">
        <v>20.149999999999999</v>
      </c>
      <c r="J2028" s="70">
        <v>-3.7699999999999996</v>
      </c>
      <c r="K2028" s="320"/>
      <c r="L2028" s="178">
        <v>16.38</v>
      </c>
      <c r="M2028" s="178">
        <v>0</v>
      </c>
      <c r="N2028" s="179">
        <v>0</v>
      </c>
      <c r="O2028" s="178">
        <v>16.38</v>
      </c>
      <c r="P2028" s="453"/>
      <c r="Q2028" s="61"/>
      <c r="R2028" s="298"/>
      <c r="S2028" s="669"/>
      <c r="X2028" s="444">
        <v>2028</v>
      </c>
    </row>
    <row r="2029" spans="1:24" ht="12">
      <c r="A2029" s="83" t="s">
        <v>21633</v>
      </c>
      <c r="B2029" s="64" t="s">
        <v>21634</v>
      </c>
      <c r="C2029" s="71" t="s">
        <v>103</v>
      </c>
      <c r="D2029" s="79">
        <v>1</v>
      </c>
      <c r="E2029" s="79">
        <v>16.38</v>
      </c>
      <c r="F2029" s="79">
        <v>16.38</v>
      </c>
      <c r="G2029" s="445"/>
      <c r="H2029" s="178">
        <v>16.38</v>
      </c>
      <c r="I2029" s="178">
        <v>20.149999999999999</v>
      </c>
      <c r="J2029" s="70">
        <v>-3.7699999999999996</v>
      </c>
      <c r="K2029" s="320"/>
      <c r="L2029" s="178">
        <v>16.38</v>
      </c>
      <c r="M2029" s="178">
        <v>0</v>
      </c>
      <c r="N2029" s="179">
        <v>0</v>
      </c>
      <c r="O2029" s="178">
        <v>16.38</v>
      </c>
      <c r="P2029" s="453"/>
      <c r="Q2029" s="61"/>
      <c r="R2029" s="298"/>
      <c r="S2029" s="669"/>
      <c r="X2029" s="444">
        <v>2029</v>
      </c>
    </row>
    <row r="2030" spans="1:24" ht="12">
      <c r="A2030" s="83" t="s">
        <v>21635</v>
      </c>
      <c r="B2030" s="64" t="s">
        <v>21636</v>
      </c>
      <c r="C2030" s="71" t="s">
        <v>509</v>
      </c>
      <c r="D2030" s="79">
        <v>1</v>
      </c>
      <c r="E2030" s="79">
        <v>326.77999999999997</v>
      </c>
      <c r="F2030" s="79">
        <v>326.77999999999997</v>
      </c>
      <c r="G2030" s="445"/>
      <c r="H2030" s="178">
        <v>326.77999999999997</v>
      </c>
      <c r="I2030" s="178">
        <v>401.94</v>
      </c>
      <c r="J2030" s="70">
        <v>-75.160000000000025</v>
      </c>
      <c r="K2030" s="320"/>
      <c r="L2030" s="178">
        <v>326.77999999999997</v>
      </c>
      <c r="M2030" s="178">
        <v>0</v>
      </c>
      <c r="N2030" s="179">
        <v>0</v>
      </c>
      <c r="O2030" s="178">
        <v>326.77999999999997</v>
      </c>
      <c r="P2030" s="453"/>
      <c r="Q2030" s="61"/>
      <c r="R2030" s="298"/>
      <c r="S2030" s="669"/>
      <c r="X2030" s="444">
        <v>2030</v>
      </c>
    </row>
    <row r="2031" spans="1:24" ht="12">
      <c r="A2031" s="83" t="s">
        <v>21637</v>
      </c>
      <c r="B2031" s="64" t="s">
        <v>21638</v>
      </c>
      <c r="C2031" s="71" t="s">
        <v>103</v>
      </c>
      <c r="D2031" s="79">
        <v>1</v>
      </c>
      <c r="E2031" s="79">
        <v>13.65</v>
      </c>
      <c r="F2031" s="79">
        <v>13.65</v>
      </c>
      <c r="G2031" s="445"/>
      <c r="H2031" s="178">
        <v>13.65</v>
      </c>
      <c r="I2031" s="178">
        <v>16.79</v>
      </c>
      <c r="J2031" s="70">
        <v>-3.1399999999999988</v>
      </c>
      <c r="K2031" s="320"/>
      <c r="L2031" s="178">
        <v>13.65</v>
      </c>
      <c r="M2031" s="178">
        <v>0</v>
      </c>
      <c r="N2031" s="179">
        <v>0</v>
      </c>
      <c r="O2031" s="178">
        <v>13.65</v>
      </c>
      <c r="P2031" s="453"/>
      <c r="Q2031" s="61"/>
      <c r="R2031" s="298"/>
      <c r="S2031" s="669"/>
      <c r="X2031" s="444">
        <v>2031</v>
      </c>
    </row>
    <row r="2032" spans="1:24" ht="12">
      <c r="A2032" s="83" t="s">
        <v>21639</v>
      </c>
      <c r="B2032" s="64" t="s">
        <v>21640</v>
      </c>
      <c r="C2032" s="71" t="s">
        <v>10216</v>
      </c>
      <c r="D2032" s="79">
        <v>1</v>
      </c>
      <c r="E2032" s="79">
        <v>577.26</v>
      </c>
      <c r="F2032" s="79">
        <v>577.26</v>
      </c>
      <c r="G2032" s="445"/>
      <c r="H2032" s="178">
        <v>577.25</v>
      </c>
      <c r="I2032" s="178">
        <v>710.02</v>
      </c>
      <c r="J2032" s="70">
        <v>-132.76</v>
      </c>
      <c r="K2032" s="320"/>
      <c r="L2032" s="178"/>
      <c r="M2032" s="178">
        <v>577.26</v>
      </c>
      <c r="N2032" s="179">
        <v>0</v>
      </c>
      <c r="O2032" s="178">
        <v>577.26</v>
      </c>
      <c r="P2032" s="453"/>
      <c r="Q2032" s="61"/>
      <c r="R2032" s="298"/>
      <c r="S2032" s="669"/>
      <c r="X2032" s="444">
        <v>2032</v>
      </c>
    </row>
    <row r="2033" spans="1:24" ht="12">
      <c r="A2033" s="83" t="s">
        <v>39831</v>
      </c>
      <c r="B2033" s="64" t="s">
        <v>39832</v>
      </c>
      <c r="C2033" s="71"/>
      <c r="D2033" s="79" t="s">
        <v>40899</v>
      </c>
      <c r="E2033" s="79" t="s">
        <v>40899</v>
      </c>
      <c r="F2033" s="79"/>
      <c r="G2033" s="445"/>
      <c r="H2033" s="178"/>
      <c r="I2033" s="178"/>
      <c r="J2033" s="70"/>
      <c r="K2033" s="320"/>
      <c r="L2033" s="178"/>
      <c r="M2033" s="178"/>
      <c r="N2033" s="179"/>
      <c r="O2033" s="178"/>
      <c r="P2033" s="453"/>
      <c r="Q2033" s="61"/>
      <c r="R2033" s="298"/>
      <c r="S2033" s="669"/>
      <c r="X2033" s="444">
        <v>2033</v>
      </c>
    </row>
    <row r="2034" spans="1:24" ht="12">
      <c r="A2034" s="83" t="s">
        <v>21641</v>
      </c>
      <c r="B2034" s="64" t="s">
        <v>21642</v>
      </c>
      <c r="C2034" s="71" t="s">
        <v>103</v>
      </c>
      <c r="D2034" s="79">
        <v>1</v>
      </c>
      <c r="E2034" s="79">
        <v>163.84000000000003</v>
      </c>
      <c r="F2034" s="79">
        <v>163.84</v>
      </c>
      <c r="G2034" s="445"/>
      <c r="H2034" s="178">
        <v>163.83000000000001</v>
      </c>
      <c r="I2034" s="178">
        <v>201.51</v>
      </c>
      <c r="J2034" s="70">
        <v>-37.669999999999959</v>
      </c>
      <c r="K2034" s="320"/>
      <c r="L2034" s="178">
        <v>163.84000000000003</v>
      </c>
      <c r="M2034" s="178">
        <v>0</v>
      </c>
      <c r="N2034" s="179">
        <v>0</v>
      </c>
      <c r="O2034" s="178">
        <v>163.84000000000003</v>
      </c>
      <c r="P2034" s="453"/>
      <c r="Q2034" s="61"/>
      <c r="R2034" s="298"/>
      <c r="S2034" s="669"/>
      <c r="X2034" s="444">
        <v>2034</v>
      </c>
    </row>
    <row r="2035" spans="1:24" ht="24">
      <c r="A2035" s="83" t="s">
        <v>21643</v>
      </c>
      <c r="B2035" s="64" t="s">
        <v>21644</v>
      </c>
      <c r="C2035" s="71" t="s">
        <v>103</v>
      </c>
      <c r="D2035" s="79">
        <v>1</v>
      </c>
      <c r="E2035" s="79">
        <v>43.69</v>
      </c>
      <c r="F2035" s="79">
        <v>43.69</v>
      </c>
      <c r="G2035" s="445"/>
      <c r="H2035" s="178">
        <v>43.68</v>
      </c>
      <c r="I2035" s="178">
        <v>53.73</v>
      </c>
      <c r="J2035" s="70">
        <v>-10.039999999999999</v>
      </c>
      <c r="K2035" s="320"/>
      <c r="L2035" s="178">
        <v>43.69</v>
      </c>
      <c r="M2035" s="178">
        <v>0</v>
      </c>
      <c r="N2035" s="179">
        <v>0</v>
      </c>
      <c r="O2035" s="178">
        <v>43.69</v>
      </c>
      <c r="P2035" s="453"/>
      <c r="Q2035" s="61"/>
      <c r="R2035" s="298"/>
      <c r="S2035" s="669"/>
      <c r="X2035" s="444">
        <v>2035</v>
      </c>
    </row>
    <row r="2036" spans="1:24" ht="24">
      <c r="A2036" s="83" t="s">
        <v>21645</v>
      </c>
      <c r="B2036" s="64" t="s">
        <v>21646</v>
      </c>
      <c r="C2036" s="71" t="s">
        <v>103</v>
      </c>
      <c r="D2036" s="79">
        <v>1</v>
      </c>
      <c r="E2036" s="79">
        <v>5.79</v>
      </c>
      <c r="F2036" s="79">
        <v>5.79</v>
      </c>
      <c r="G2036" s="445"/>
      <c r="H2036" s="178">
        <v>5.8</v>
      </c>
      <c r="I2036" s="178">
        <v>7.13</v>
      </c>
      <c r="J2036" s="70">
        <v>-1.3399999999999999</v>
      </c>
      <c r="K2036" s="320"/>
      <c r="L2036" s="178">
        <v>5.79</v>
      </c>
      <c r="M2036" s="178">
        <v>0</v>
      </c>
      <c r="N2036" s="179">
        <v>0</v>
      </c>
      <c r="O2036" s="178">
        <v>5.79</v>
      </c>
      <c r="P2036" s="453"/>
      <c r="Q2036" s="61"/>
      <c r="R2036" s="298"/>
      <c r="S2036" s="669"/>
      <c r="X2036" s="444">
        <v>2036</v>
      </c>
    </row>
    <row r="2037" spans="1:24" ht="12">
      <c r="A2037" s="83" t="s">
        <v>21647</v>
      </c>
      <c r="B2037" s="64" t="s">
        <v>21648</v>
      </c>
      <c r="C2037" s="71" t="s">
        <v>103</v>
      </c>
      <c r="D2037" s="79">
        <v>1</v>
      </c>
      <c r="E2037" s="79">
        <v>54.61</v>
      </c>
      <c r="F2037" s="79">
        <v>54.61</v>
      </c>
      <c r="G2037" s="445"/>
      <c r="H2037" s="178">
        <v>54.61</v>
      </c>
      <c r="I2037" s="178">
        <v>67.17</v>
      </c>
      <c r="J2037" s="70">
        <v>-12.560000000000002</v>
      </c>
      <c r="K2037" s="320"/>
      <c r="L2037" s="178">
        <v>54.61</v>
      </c>
      <c r="M2037" s="178">
        <v>0</v>
      </c>
      <c r="N2037" s="179">
        <v>0</v>
      </c>
      <c r="O2037" s="178">
        <v>54.61</v>
      </c>
      <c r="P2037" s="453"/>
      <c r="Q2037" s="61"/>
      <c r="R2037" s="298"/>
      <c r="S2037" s="669"/>
      <c r="X2037" s="444">
        <v>2037</v>
      </c>
    </row>
    <row r="2038" spans="1:24" ht="12">
      <c r="A2038" s="83" t="s">
        <v>21649</v>
      </c>
      <c r="B2038" s="64" t="s">
        <v>21650</v>
      </c>
      <c r="C2038" s="71" t="s">
        <v>103</v>
      </c>
      <c r="D2038" s="79">
        <v>1</v>
      </c>
      <c r="E2038" s="79">
        <v>109.22</v>
      </c>
      <c r="F2038" s="79">
        <v>109.22</v>
      </c>
      <c r="G2038" s="445"/>
      <c r="H2038" s="178">
        <v>109.22</v>
      </c>
      <c r="I2038" s="178">
        <v>134.34</v>
      </c>
      <c r="J2038" s="70">
        <v>-25.120000000000005</v>
      </c>
      <c r="K2038" s="320"/>
      <c r="L2038" s="178">
        <v>109.22</v>
      </c>
      <c r="M2038" s="178">
        <v>0</v>
      </c>
      <c r="N2038" s="179">
        <v>0</v>
      </c>
      <c r="O2038" s="178">
        <v>109.22</v>
      </c>
      <c r="P2038" s="453"/>
      <c r="Q2038" s="61"/>
      <c r="R2038" s="298"/>
      <c r="S2038" s="669"/>
      <c r="X2038" s="444">
        <v>2038</v>
      </c>
    </row>
    <row r="2039" spans="1:24" ht="12">
      <c r="A2039" s="83" t="s">
        <v>21651</v>
      </c>
      <c r="B2039" s="64" t="s">
        <v>21652</v>
      </c>
      <c r="C2039" s="71" t="s">
        <v>103</v>
      </c>
      <c r="D2039" s="79">
        <v>1</v>
      </c>
      <c r="E2039" s="79">
        <v>81.94</v>
      </c>
      <c r="F2039" s="79">
        <v>81.94</v>
      </c>
      <c r="G2039" s="445"/>
      <c r="H2039" s="178">
        <v>81.91</v>
      </c>
      <c r="I2039" s="178">
        <v>100.75</v>
      </c>
      <c r="J2039" s="70">
        <v>-18.810000000000002</v>
      </c>
      <c r="K2039" s="320"/>
      <c r="L2039" s="178">
        <v>81.94</v>
      </c>
      <c r="M2039" s="178">
        <v>0</v>
      </c>
      <c r="N2039" s="179">
        <v>0</v>
      </c>
      <c r="O2039" s="178">
        <v>81.94</v>
      </c>
      <c r="P2039" s="453"/>
      <c r="Q2039" s="61"/>
      <c r="R2039" s="298"/>
      <c r="S2039" s="669"/>
      <c r="X2039" s="444">
        <v>2039</v>
      </c>
    </row>
    <row r="2040" spans="1:24" ht="12">
      <c r="A2040" s="83" t="s">
        <v>21653</v>
      </c>
      <c r="B2040" s="64" t="s">
        <v>21654</v>
      </c>
      <c r="C2040" s="71" t="s">
        <v>103</v>
      </c>
      <c r="D2040" s="79">
        <v>1</v>
      </c>
      <c r="E2040" s="79">
        <v>362.86</v>
      </c>
      <c r="F2040" s="79">
        <v>362.86</v>
      </c>
      <c r="G2040" s="445"/>
      <c r="H2040" s="178">
        <v>362.87</v>
      </c>
      <c r="I2040" s="178">
        <v>446.33</v>
      </c>
      <c r="J2040" s="70">
        <v>-83.46999999999997</v>
      </c>
      <c r="K2040" s="320"/>
      <c r="L2040" s="178">
        <v>327.67</v>
      </c>
      <c r="M2040" s="178">
        <v>35.19</v>
      </c>
      <c r="N2040" s="179">
        <v>0</v>
      </c>
      <c r="O2040" s="178">
        <v>362.86</v>
      </c>
      <c r="P2040" s="453"/>
      <c r="Q2040" s="61"/>
      <c r="R2040" s="298"/>
      <c r="S2040" s="669"/>
      <c r="X2040" s="444">
        <v>2040</v>
      </c>
    </row>
    <row r="2041" spans="1:24" ht="12">
      <c r="A2041" s="83" t="s">
        <v>21655</v>
      </c>
      <c r="B2041" s="64" t="s">
        <v>21656</v>
      </c>
      <c r="C2041" s="71" t="s">
        <v>103</v>
      </c>
      <c r="D2041" s="79">
        <v>1</v>
      </c>
      <c r="E2041" s="79">
        <v>362.86</v>
      </c>
      <c r="F2041" s="79">
        <v>362.86</v>
      </c>
      <c r="G2041" s="445"/>
      <c r="H2041" s="178">
        <v>362.87</v>
      </c>
      <c r="I2041" s="178">
        <v>446.33</v>
      </c>
      <c r="J2041" s="70">
        <v>-83.46999999999997</v>
      </c>
      <c r="K2041" s="320"/>
      <c r="L2041" s="178">
        <v>327.67</v>
      </c>
      <c r="M2041" s="178">
        <v>35.19</v>
      </c>
      <c r="N2041" s="179">
        <v>0</v>
      </c>
      <c r="O2041" s="178">
        <v>362.86</v>
      </c>
      <c r="P2041" s="453"/>
      <c r="Q2041" s="61"/>
      <c r="R2041" s="298"/>
      <c r="S2041" s="669"/>
      <c r="X2041" s="444">
        <v>2041</v>
      </c>
    </row>
    <row r="2042" spans="1:24" ht="12">
      <c r="A2042" s="83" t="s">
        <v>21657</v>
      </c>
      <c r="B2042" s="64" t="s">
        <v>21658</v>
      </c>
      <c r="C2042" s="71" t="s">
        <v>103</v>
      </c>
      <c r="D2042" s="79">
        <v>1</v>
      </c>
      <c r="E2042" s="79">
        <v>362.86</v>
      </c>
      <c r="F2042" s="79">
        <v>362.86</v>
      </c>
      <c r="G2042" s="445"/>
      <c r="H2042" s="178">
        <v>362.87</v>
      </c>
      <c r="I2042" s="178">
        <v>446.33</v>
      </c>
      <c r="J2042" s="70">
        <v>-83.46999999999997</v>
      </c>
      <c r="K2042" s="320"/>
      <c r="L2042" s="178">
        <v>327.67</v>
      </c>
      <c r="M2042" s="178">
        <v>35.19</v>
      </c>
      <c r="N2042" s="179">
        <v>0</v>
      </c>
      <c r="O2042" s="178">
        <v>362.86</v>
      </c>
      <c r="P2042" s="453"/>
      <c r="Q2042" s="61"/>
      <c r="R2042" s="298"/>
      <c r="S2042" s="669"/>
      <c r="X2042" s="444">
        <v>2042</v>
      </c>
    </row>
    <row r="2043" spans="1:24" ht="12">
      <c r="A2043" s="83" t="s">
        <v>21659</v>
      </c>
      <c r="B2043" s="64" t="s">
        <v>21660</v>
      </c>
      <c r="C2043" s="71" t="s">
        <v>10216</v>
      </c>
      <c r="D2043" s="79">
        <v>1</v>
      </c>
      <c r="E2043" s="79">
        <v>577.26</v>
      </c>
      <c r="F2043" s="79">
        <v>577.26</v>
      </c>
      <c r="G2043" s="445"/>
      <c r="H2043" s="178">
        <v>577.25</v>
      </c>
      <c r="I2043" s="178">
        <v>710.02</v>
      </c>
      <c r="J2043" s="70">
        <v>-132.76</v>
      </c>
      <c r="K2043" s="320"/>
      <c r="L2043" s="178"/>
      <c r="M2043" s="178">
        <v>577.26</v>
      </c>
      <c r="N2043" s="179">
        <v>0</v>
      </c>
      <c r="O2043" s="178">
        <v>577.26</v>
      </c>
      <c r="P2043" s="453"/>
      <c r="Q2043" s="61"/>
      <c r="R2043" s="298"/>
      <c r="S2043" s="669"/>
      <c r="X2043" s="444">
        <v>2043</v>
      </c>
    </row>
    <row r="2044" spans="1:24" ht="12">
      <c r="A2044" s="83" t="s">
        <v>39833</v>
      </c>
      <c r="B2044" s="64" t="s">
        <v>39834</v>
      </c>
      <c r="C2044" s="71"/>
      <c r="D2044" s="79" t="s">
        <v>40899</v>
      </c>
      <c r="E2044" s="79" t="s">
        <v>40899</v>
      </c>
      <c r="F2044" s="79"/>
      <c r="G2044" s="445"/>
      <c r="H2044" s="178"/>
      <c r="I2044" s="178"/>
      <c r="J2044" s="70"/>
      <c r="K2044" s="320"/>
      <c r="L2044" s="178"/>
      <c r="M2044" s="178"/>
      <c r="N2044" s="179"/>
      <c r="O2044" s="178"/>
      <c r="P2044" s="453"/>
      <c r="Q2044" s="61"/>
      <c r="R2044" s="298"/>
      <c r="S2044" s="669"/>
      <c r="X2044" s="444">
        <v>2044</v>
      </c>
    </row>
    <row r="2045" spans="1:24" ht="12">
      <c r="A2045" s="83" t="s">
        <v>21661</v>
      </c>
      <c r="B2045" s="64" t="s">
        <v>21662</v>
      </c>
      <c r="C2045" s="71" t="s">
        <v>103</v>
      </c>
      <c r="D2045" s="79">
        <v>1</v>
      </c>
      <c r="E2045" s="79">
        <v>54.61</v>
      </c>
      <c r="F2045" s="79">
        <v>54.61</v>
      </c>
      <c r="G2045" s="445"/>
      <c r="H2045" s="178">
        <v>54.61</v>
      </c>
      <c r="I2045" s="178">
        <v>67.17</v>
      </c>
      <c r="J2045" s="70">
        <v>-12.560000000000002</v>
      </c>
      <c r="K2045" s="320"/>
      <c r="L2045" s="178">
        <v>54.61</v>
      </c>
      <c r="M2045" s="178">
        <v>0</v>
      </c>
      <c r="N2045" s="179">
        <v>0</v>
      </c>
      <c r="O2045" s="178">
        <v>54.61</v>
      </c>
      <c r="P2045" s="453"/>
      <c r="Q2045" s="61"/>
      <c r="R2045" s="298"/>
      <c r="S2045" s="669"/>
      <c r="X2045" s="444">
        <v>2045</v>
      </c>
    </row>
    <row r="2046" spans="1:24" ht="12">
      <c r="A2046" s="83" t="s">
        <v>21663</v>
      </c>
      <c r="B2046" s="64" t="s">
        <v>21664</v>
      </c>
      <c r="C2046" s="71" t="s">
        <v>103</v>
      </c>
      <c r="D2046" s="79">
        <v>1</v>
      </c>
      <c r="E2046" s="79">
        <v>218.45</v>
      </c>
      <c r="F2046" s="79">
        <v>218.45</v>
      </c>
      <c r="G2046" s="445"/>
      <c r="H2046" s="178">
        <v>218.45</v>
      </c>
      <c r="I2046" s="178">
        <v>268.69</v>
      </c>
      <c r="J2046" s="70">
        <v>-50.240000000000009</v>
      </c>
      <c r="K2046" s="320"/>
      <c r="L2046" s="178">
        <v>218.45</v>
      </c>
      <c r="M2046" s="178">
        <v>0</v>
      </c>
      <c r="N2046" s="179">
        <v>0</v>
      </c>
      <c r="O2046" s="178">
        <v>218.45</v>
      </c>
      <c r="P2046" s="453"/>
      <c r="Q2046" s="61"/>
      <c r="R2046" s="298"/>
      <c r="S2046" s="669"/>
      <c r="X2046" s="444">
        <v>2046</v>
      </c>
    </row>
    <row r="2047" spans="1:24" ht="24">
      <c r="A2047" s="83" t="s">
        <v>21665</v>
      </c>
      <c r="B2047" s="64" t="s">
        <v>21666</v>
      </c>
      <c r="C2047" s="71" t="s">
        <v>165</v>
      </c>
      <c r="D2047" s="79">
        <v>1</v>
      </c>
      <c r="E2047" s="79">
        <v>10.92</v>
      </c>
      <c r="F2047" s="79">
        <v>10.92</v>
      </c>
      <c r="G2047" s="445"/>
      <c r="H2047" s="178">
        <v>10.92</v>
      </c>
      <c r="I2047" s="178">
        <v>13.43</v>
      </c>
      <c r="J2047" s="70">
        <v>-2.5099999999999998</v>
      </c>
      <c r="K2047" s="320"/>
      <c r="L2047" s="178">
        <v>10.92</v>
      </c>
      <c r="M2047" s="178">
        <v>0</v>
      </c>
      <c r="N2047" s="179">
        <v>0</v>
      </c>
      <c r="O2047" s="178">
        <v>10.92</v>
      </c>
      <c r="P2047" s="453"/>
      <c r="Q2047" s="61"/>
      <c r="R2047" s="298"/>
      <c r="S2047" s="669"/>
      <c r="X2047" s="444">
        <v>2047</v>
      </c>
    </row>
    <row r="2048" spans="1:24" ht="12">
      <c r="A2048" s="83" t="s">
        <v>21667</v>
      </c>
      <c r="B2048" s="64" t="s">
        <v>21668</v>
      </c>
      <c r="C2048" s="71" t="s">
        <v>165</v>
      </c>
      <c r="D2048" s="79">
        <v>1</v>
      </c>
      <c r="E2048" s="79">
        <v>27.33</v>
      </c>
      <c r="F2048" s="79">
        <v>27.33</v>
      </c>
      <c r="G2048" s="445"/>
      <c r="H2048" s="178">
        <v>27.3</v>
      </c>
      <c r="I2048" s="178">
        <v>33.58</v>
      </c>
      <c r="J2048" s="70">
        <v>-6.25</v>
      </c>
      <c r="K2048" s="320"/>
      <c r="L2048" s="178">
        <v>27.33</v>
      </c>
      <c r="M2048" s="178">
        <v>0</v>
      </c>
      <c r="N2048" s="179">
        <v>0</v>
      </c>
      <c r="O2048" s="178">
        <v>27.33</v>
      </c>
      <c r="P2048" s="453"/>
      <c r="Q2048" s="61"/>
      <c r="R2048" s="298"/>
      <c r="S2048" s="669"/>
      <c r="X2048" s="444">
        <v>2048</v>
      </c>
    </row>
    <row r="2049" spans="1:24" ht="12">
      <c r="A2049" s="83" t="s">
        <v>21669</v>
      </c>
      <c r="B2049" s="64" t="s">
        <v>21670</v>
      </c>
      <c r="C2049" s="71" t="s">
        <v>103</v>
      </c>
      <c r="D2049" s="79">
        <v>1</v>
      </c>
      <c r="E2049" s="79">
        <v>10.92</v>
      </c>
      <c r="F2049" s="79">
        <v>10.92</v>
      </c>
      <c r="G2049" s="445"/>
      <c r="H2049" s="178">
        <v>10.92</v>
      </c>
      <c r="I2049" s="178">
        <v>13.43</v>
      </c>
      <c r="J2049" s="70">
        <v>-2.5099999999999998</v>
      </c>
      <c r="K2049" s="320"/>
      <c r="L2049" s="178">
        <v>10.92</v>
      </c>
      <c r="M2049" s="178">
        <v>0</v>
      </c>
      <c r="N2049" s="179">
        <v>0</v>
      </c>
      <c r="O2049" s="178">
        <v>10.92</v>
      </c>
      <c r="P2049" s="453"/>
      <c r="Q2049" s="61"/>
      <c r="R2049" s="298"/>
      <c r="S2049" s="669"/>
      <c r="X2049" s="444">
        <v>2049</v>
      </c>
    </row>
    <row r="2050" spans="1:24" ht="24">
      <c r="A2050" s="83" t="s">
        <v>21671</v>
      </c>
      <c r="B2050" s="64" t="s">
        <v>21672</v>
      </c>
      <c r="C2050" s="71" t="s">
        <v>103</v>
      </c>
      <c r="D2050" s="79">
        <v>1</v>
      </c>
      <c r="E2050" s="79">
        <v>54.61</v>
      </c>
      <c r="F2050" s="79">
        <v>54.61</v>
      </c>
      <c r="G2050" s="445"/>
      <c r="H2050" s="178">
        <v>54.61</v>
      </c>
      <c r="I2050" s="178">
        <v>67.17</v>
      </c>
      <c r="J2050" s="70">
        <v>-12.560000000000002</v>
      </c>
      <c r="K2050" s="320"/>
      <c r="L2050" s="178">
        <v>54.61</v>
      </c>
      <c r="M2050" s="178">
        <v>0</v>
      </c>
      <c r="N2050" s="179">
        <v>0</v>
      </c>
      <c r="O2050" s="178">
        <v>54.61</v>
      </c>
      <c r="P2050" s="453"/>
      <c r="Q2050" s="61"/>
      <c r="R2050" s="298"/>
      <c r="S2050" s="669"/>
      <c r="X2050" s="444">
        <v>2050</v>
      </c>
    </row>
    <row r="2051" spans="1:24" ht="12">
      <c r="A2051" s="83" t="s">
        <v>21673</v>
      </c>
      <c r="B2051" s="64" t="s">
        <v>21674</v>
      </c>
      <c r="C2051" s="71" t="s">
        <v>10216</v>
      </c>
      <c r="D2051" s="79">
        <v>1</v>
      </c>
      <c r="E2051" s="79">
        <v>577.26</v>
      </c>
      <c r="F2051" s="79">
        <v>577.26</v>
      </c>
      <c r="G2051" s="445"/>
      <c r="H2051" s="178">
        <v>577.25</v>
      </c>
      <c r="I2051" s="178">
        <v>710.02</v>
      </c>
      <c r="J2051" s="70">
        <v>-132.76</v>
      </c>
      <c r="K2051" s="320"/>
      <c r="L2051" s="178"/>
      <c r="M2051" s="178">
        <v>577.26</v>
      </c>
      <c r="N2051" s="179">
        <v>0</v>
      </c>
      <c r="O2051" s="178">
        <v>577.26</v>
      </c>
      <c r="P2051" s="453"/>
      <c r="Q2051" s="61"/>
      <c r="R2051" s="298"/>
      <c r="S2051" s="669"/>
      <c r="X2051" s="444">
        <v>2051</v>
      </c>
    </row>
    <row r="2052" spans="1:24" ht="12">
      <c r="A2052" s="83" t="s">
        <v>39712</v>
      </c>
      <c r="B2052" s="64" t="s">
        <v>39835</v>
      </c>
      <c r="C2052" s="71"/>
      <c r="D2052" s="79" t="s">
        <v>40899</v>
      </c>
      <c r="E2052" s="79" t="s">
        <v>40899</v>
      </c>
      <c r="F2052" s="79"/>
      <c r="G2052" s="445"/>
      <c r="H2052" s="178"/>
      <c r="I2052" s="178"/>
      <c r="J2052" s="70"/>
      <c r="K2052" s="320"/>
      <c r="L2052" s="178"/>
      <c r="M2052" s="178"/>
      <c r="N2052" s="179"/>
      <c r="O2052" s="178"/>
      <c r="P2052" s="453"/>
      <c r="Q2052" s="61"/>
      <c r="R2052" s="298"/>
      <c r="S2052" s="669"/>
      <c r="X2052" s="444">
        <v>2052</v>
      </c>
    </row>
    <row r="2053" spans="1:24" ht="12">
      <c r="A2053" s="83" t="s">
        <v>21675</v>
      </c>
      <c r="B2053" s="64" t="s">
        <v>21676</v>
      </c>
      <c r="C2053" s="71" t="s">
        <v>153</v>
      </c>
      <c r="D2053" s="79">
        <v>1</v>
      </c>
      <c r="E2053" s="79">
        <v>23.48</v>
      </c>
      <c r="F2053" s="79">
        <v>23.48</v>
      </c>
      <c r="G2053" s="445"/>
      <c r="H2053" s="178">
        <v>23.48</v>
      </c>
      <c r="I2053" s="178">
        <v>28.88</v>
      </c>
      <c r="J2053" s="70">
        <v>-5.3999999999999986</v>
      </c>
      <c r="K2053" s="320"/>
      <c r="L2053" s="178">
        <v>1.02</v>
      </c>
      <c r="M2053" s="178">
        <v>22.46</v>
      </c>
      <c r="N2053" s="179">
        <v>0</v>
      </c>
      <c r="O2053" s="178">
        <v>23.48</v>
      </c>
      <c r="P2053" s="453"/>
      <c r="Q2053" s="61"/>
      <c r="R2053" s="298"/>
      <c r="S2053" s="669"/>
      <c r="X2053" s="444">
        <v>2053</v>
      </c>
    </row>
    <row r="2054" spans="1:24" ht="12">
      <c r="A2054" s="83" t="s">
        <v>21677</v>
      </c>
      <c r="B2054" s="64" t="s">
        <v>21678</v>
      </c>
      <c r="C2054" s="71" t="s">
        <v>153</v>
      </c>
      <c r="D2054" s="79">
        <v>1</v>
      </c>
      <c r="E2054" s="79">
        <v>23.990000000000002</v>
      </c>
      <c r="F2054" s="79">
        <v>23.99</v>
      </c>
      <c r="G2054" s="445"/>
      <c r="H2054" s="178">
        <v>23.99</v>
      </c>
      <c r="I2054" s="178">
        <v>29.51</v>
      </c>
      <c r="J2054" s="70">
        <v>-5.52</v>
      </c>
      <c r="K2054" s="320"/>
      <c r="L2054" s="178">
        <v>1.5299999999999998</v>
      </c>
      <c r="M2054" s="178">
        <v>22.46</v>
      </c>
      <c r="N2054" s="179">
        <v>0</v>
      </c>
      <c r="O2054" s="178">
        <v>23.990000000000002</v>
      </c>
      <c r="P2054" s="453"/>
      <c r="Q2054" s="61"/>
      <c r="R2054" s="298"/>
      <c r="S2054" s="669"/>
      <c r="X2054" s="444">
        <v>2054</v>
      </c>
    </row>
    <row r="2055" spans="1:24" ht="12">
      <c r="A2055" s="83" t="s">
        <v>21679</v>
      </c>
      <c r="B2055" s="64" t="s">
        <v>21680</v>
      </c>
      <c r="C2055" s="71" t="s">
        <v>103</v>
      </c>
      <c r="D2055" s="79">
        <v>1</v>
      </c>
      <c r="E2055" s="79">
        <v>167.73999999999998</v>
      </c>
      <c r="F2055" s="79">
        <v>167.74</v>
      </c>
      <c r="G2055" s="445"/>
      <c r="H2055" s="178">
        <v>167.74</v>
      </c>
      <c r="I2055" s="178">
        <v>206.32</v>
      </c>
      <c r="J2055" s="70">
        <v>-38.580000000000013</v>
      </c>
      <c r="K2055" s="320"/>
      <c r="L2055" s="178">
        <v>10.92</v>
      </c>
      <c r="M2055" s="178">
        <v>156.82</v>
      </c>
      <c r="N2055" s="179">
        <v>0</v>
      </c>
      <c r="O2055" s="178">
        <v>167.73999999999998</v>
      </c>
      <c r="P2055" s="453"/>
      <c r="Q2055" s="61"/>
      <c r="R2055" s="298"/>
      <c r="S2055" s="669"/>
      <c r="X2055" s="444">
        <v>2055</v>
      </c>
    </row>
    <row r="2056" spans="1:24" ht="12">
      <c r="A2056" s="83" t="s">
        <v>21681</v>
      </c>
      <c r="B2056" s="64" t="s">
        <v>21682</v>
      </c>
      <c r="C2056" s="71" t="s">
        <v>103</v>
      </c>
      <c r="D2056" s="79">
        <v>1</v>
      </c>
      <c r="E2056" s="79">
        <v>1255.3599999999999</v>
      </c>
      <c r="F2056" s="79">
        <v>1255.3599999999999</v>
      </c>
      <c r="G2056" s="445"/>
      <c r="H2056" s="178">
        <v>1255.33</v>
      </c>
      <c r="I2056" s="178">
        <v>1544.06</v>
      </c>
      <c r="J2056" s="70">
        <v>-288.70000000000005</v>
      </c>
      <c r="K2056" s="320"/>
      <c r="L2056" s="178">
        <v>27.33</v>
      </c>
      <c r="M2056" s="178">
        <v>1228.03</v>
      </c>
      <c r="N2056" s="179">
        <v>0</v>
      </c>
      <c r="O2056" s="178">
        <v>1255.3599999999999</v>
      </c>
      <c r="P2056" s="453"/>
      <c r="Q2056" s="61"/>
      <c r="R2056" s="298"/>
      <c r="S2056" s="669"/>
      <c r="X2056" s="444">
        <v>2056</v>
      </c>
    </row>
    <row r="2057" spans="1:24" ht="12">
      <c r="A2057" s="83" t="s">
        <v>21683</v>
      </c>
      <c r="B2057" s="64" t="s">
        <v>21684</v>
      </c>
      <c r="C2057" s="71" t="s">
        <v>103</v>
      </c>
      <c r="D2057" s="79">
        <v>1</v>
      </c>
      <c r="E2057" s="79">
        <v>571.90000000000009</v>
      </c>
      <c r="F2057" s="79">
        <v>571.9</v>
      </c>
      <c r="G2057" s="445"/>
      <c r="H2057" s="178">
        <v>571.87</v>
      </c>
      <c r="I2057" s="178">
        <v>703.4</v>
      </c>
      <c r="J2057" s="70">
        <v>-131.49999999999989</v>
      </c>
      <c r="K2057" s="320"/>
      <c r="L2057" s="178">
        <v>27.33</v>
      </c>
      <c r="M2057" s="178">
        <v>544.57000000000005</v>
      </c>
      <c r="N2057" s="179">
        <v>0</v>
      </c>
      <c r="O2057" s="178">
        <v>571.90000000000009</v>
      </c>
      <c r="P2057" s="453"/>
      <c r="Q2057" s="61"/>
      <c r="R2057" s="298"/>
      <c r="S2057" s="669"/>
      <c r="X2057" s="444">
        <v>2057</v>
      </c>
    </row>
    <row r="2058" spans="1:24" ht="12">
      <c r="A2058" s="83" t="s">
        <v>21685</v>
      </c>
      <c r="B2058" s="64" t="s">
        <v>21686</v>
      </c>
      <c r="C2058" s="71" t="s">
        <v>103</v>
      </c>
      <c r="D2058" s="79">
        <v>1</v>
      </c>
      <c r="E2058" s="79">
        <v>566.41000000000008</v>
      </c>
      <c r="F2058" s="79">
        <v>566.41</v>
      </c>
      <c r="G2058" s="445"/>
      <c r="H2058" s="178">
        <v>566.41</v>
      </c>
      <c r="I2058" s="178">
        <v>696.69</v>
      </c>
      <c r="J2058" s="70">
        <v>-130.27999999999997</v>
      </c>
      <c r="K2058" s="320"/>
      <c r="L2058" s="178">
        <v>21.84</v>
      </c>
      <c r="M2058" s="178">
        <v>544.57000000000005</v>
      </c>
      <c r="N2058" s="179">
        <v>0</v>
      </c>
      <c r="O2058" s="178">
        <v>566.41000000000008</v>
      </c>
      <c r="P2058" s="453"/>
      <c r="Q2058" s="61"/>
      <c r="R2058" s="298"/>
      <c r="S2058" s="669"/>
      <c r="X2058" s="444">
        <v>2058</v>
      </c>
    </row>
    <row r="2059" spans="1:24" ht="12">
      <c r="A2059" s="83" t="s">
        <v>21687</v>
      </c>
      <c r="B2059" s="64" t="s">
        <v>21688</v>
      </c>
      <c r="C2059" s="71" t="s">
        <v>165</v>
      </c>
      <c r="D2059" s="79">
        <v>1</v>
      </c>
      <c r="E2059" s="79">
        <v>42.989999999999995</v>
      </c>
      <c r="F2059" s="79">
        <v>42.99</v>
      </c>
      <c r="G2059" s="445"/>
      <c r="H2059" s="178">
        <v>42.96</v>
      </c>
      <c r="I2059" s="178">
        <v>52.84</v>
      </c>
      <c r="J2059" s="70">
        <v>-9.8500000000000085</v>
      </c>
      <c r="K2059" s="320"/>
      <c r="L2059" s="178">
        <v>27.33</v>
      </c>
      <c r="M2059" s="178">
        <v>15.659999999999997</v>
      </c>
      <c r="N2059" s="179">
        <v>0</v>
      </c>
      <c r="O2059" s="178">
        <v>42.989999999999995</v>
      </c>
      <c r="P2059" s="453"/>
      <c r="Q2059" s="61"/>
      <c r="R2059" s="298"/>
      <c r="S2059" s="669"/>
      <c r="X2059" s="444">
        <v>2059</v>
      </c>
    </row>
    <row r="2060" spans="1:24" ht="12">
      <c r="A2060" s="83" t="s">
        <v>21689</v>
      </c>
      <c r="B2060" s="64" t="s">
        <v>21690</v>
      </c>
      <c r="C2060" s="71" t="s">
        <v>103</v>
      </c>
      <c r="D2060" s="79">
        <v>1</v>
      </c>
      <c r="E2060" s="79">
        <v>101.36</v>
      </c>
      <c r="F2060" s="79">
        <v>101.36</v>
      </c>
      <c r="G2060" s="445"/>
      <c r="H2060" s="178">
        <v>101.36</v>
      </c>
      <c r="I2060" s="178">
        <v>124.67</v>
      </c>
      <c r="J2060" s="70">
        <v>-23.310000000000002</v>
      </c>
      <c r="K2060" s="320"/>
      <c r="L2060" s="178">
        <v>71.75</v>
      </c>
      <c r="M2060" s="178">
        <v>29.61</v>
      </c>
      <c r="N2060" s="179">
        <v>0</v>
      </c>
      <c r="O2060" s="178">
        <v>101.36</v>
      </c>
      <c r="P2060" s="453"/>
      <c r="Q2060" s="61"/>
      <c r="R2060" s="298"/>
      <c r="S2060" s="669"/>
      <c r="X2060" s="444">
        <v>2060</v>
      </c>
    </row>
    <row r="2061" spans="1:24" ht="12">
      <c r="A2061" s="83" t="s">
        <v>21691</v>
      </c>
      <c r="B2061" s="64" t="s">
        <v>21692</v>
      </c>
      <c r="C2061" s="71" t="s">
        <v>103</v>
      </c>
      <c r="D2061" s="79">
        <v>1</v>
      </c>
      <c r="E2061" s="79">
        <v>81.150000000000006</v>
      </c>
      <c r="F2061" s="79">
        <v>81.150000000000006</v>
      </c>
      <c r="G2061" s="445"/>
      <c r="H2061" s="178">
        <v>81.150000000000006</v>
      </c>
      <c r="I2061" s="178">
        <v>99.81</v>
      </c>
      <c r="J2061" s="70">
        <v>-18.659999999999997</v>
      </c>
      <c r="K2061" s="320"/>
      <c r="L2061" s="178">
        <v>32.770000000000003</v>
      </c>
      <c r="M2061" s="178">
        <v>48.38</v>
      </c>
      <c r="N2061" s="179">
        <v>0</v>
      </c>
      <c r="O2061" s="178">
        <v>81.150000000000006</v>
      </c>
      <c r="P2061" s="453"/>
      <c r="Q2061" s="61"/>
      <c r="R2061" s="298"/>
      <c r="S2061" s="669"/>
      <c r="X2061" s="444">
        <v>2061</v>
      </c>
    </row>
    <row r="2062" spans="1:24" ht="12">
      <c r="A2062" s="83" t="s">
        <v>21693</v>
      </c>
      <c r="B2062" s="64" t="s">
        <v>21694</v>
      </c>
      <c r="C2062" s="71" t="s">
        <v>103</v>
      </c>
      <c r="D2062" s="79">
        <v>1</v>
      </c>
      <c r="E2062" s="79">
        <v>89.34</v>
      </c>
      <c r="F2062" s="79">
        <v>89.34</v>
      </c>
      <c r="G2062" s="445"/>
      <c r="H2062" s="178">
        <v>89.33</v>
      </c>
      <c r="I2062" s="178">
        <v>109.88</v>
      </c>
      <c r="J2062" s="70">
        <v>-20.539999999999992</v>
      </c>
      <c r="K2062" s="320"/>
      <c r="L2062" s="178">
        <v>40.960000000000008</v>
      </c>
      <c r="M2062" s="178">
        <v>48.379999999999995</v>
      </c>
      <c r="N2062" s="179">
        <v>0</v>
      </c>
      <c r="O2062" s="178">
        <v>89.34</v>
      </c>
      <c r="P2062" s="453"/>
      <c r="Q2062" s="61"/>
      <c r="R2062" s="298"/>
      <c r="S2062" s="669"/>
      <c r="X2062" s="444">
        <v>2062</v>
      </c>
    </row>
    <row r="2063" spans="1:24" ht="12">
      <c r="A2063" s="83" t="s">
        <v>21695</v>
      </c>
      <c r="B2063" s="64" t="s">
        <v>21696</v>
      </c>
      <c r="C2063" s="71" t="s">
        <v>165</v>
      </c>
      <c r="D2063" s="79">
        <v>1</v>
      </c>
      <c r="E2063" s="79">
        <v>96.75</v>
      </c>
      <c r="F2063" s="79">
        <v>96.75</v>
      </c>
      <c r="G2063" s="445"/>
      <c r="H2063" s="178">
        <v>96.75</v>
      </c>
      <c r="I2063" s="178">
        <v>119</v>
      </c>
      <c r="J2063" s="70">
        <v>-22.25</v>
      </c>
      <c r="K2063" s="320"/>
      <c r="L2063" s="178">
        <v>21.84</v>
      </c>
      <c r="M2063" s="178">
        <v>74.91</v>
      </c>
      <c r="N2063" s="179">
        <v>0</v>
      </c>
      <c r="O2063" s="178">
        <v>96.75</v>
      </c>
      <c r="P2063" s="453"/>
      <c r="Q2063" s="61"/>
      <c r="R2063" s="298"/>
      <c r="S2063" s="669"/>
      <c r="X2063" s="444">
        <v>2063</v>
      </c>
    </row>
    <row r="2064" spans="1:24" ht="12">
      <c r="A2064" s="83" t="s">
        <v>21697</v>
      </c>
      <c r="B2064" s="64" t="s">
        <v>21698</v>
      </c>
      <c r="C2064" s="71" t="s">
        <v>165</v>
      </c>
      <c r="D2064" s="79">
        <v>1</v>
      </c>
      <c r="E2064" s="79">
        <v>164.94</v>
      </c>
      <c r="F2064" s="79">
        <v>164.94</v>
      </c>
      <c r="G2064" s="445"/>
      <c r="H2064" s="178">
        <v>164.94</v>
      </c>
      <c r="I2064" s="178">
        <v>202.88</v>
      </c>
      <c r="J2064" s="70">
        <v>-37.94</v>
      </c>
      <c r="K2064" s="320"/>
      <c r="L2064" s="178">
        <v>21.84</v>
      </c>
      <c r="M2064" s="178">
        <v>143.1</v>
      </c>
      <c r="N2064" s="179">
        <v>0</v>
      </c>
      <c r="O2064" s="178">
        <v>164.94</v>
      </c>
      <c r="P2064" s="453"/>
      <c r="Q2064" s="61"/>
      <c r="R2064" s="298"/>
      <c r="S2064" s="669"/>
      <c r="X2064" s="444">
        <v>2064</v>
      </c>
    </row>
    <row r="2065" spans="1:32" ht="12">
      <c r="A2065" s="83" t="s">
        <v>21699</v>
      </c>
      <c r="B2065" s="64" t="s">
        <v>21700</v>
      </c>
      <c r="C2065" s="71" t="s">
        <v>103</v>
      </c>
      <c r="D2065" s="79">
        <v>1</v>
      </c>
      <c r="E2065" s="79">
        <v>27.709999999999997</v>
      </c>
      <c r="F2065" s="79">
        <v>27.71</v>
      </c>
      <c r="G2065" s="445"/>
      <c r="H2065" s="178">
        <v>27.7</v>
      </c>
      <c r="I2065" s="178">
        <v>34.07</v>
      </c>
      <c r="J2065" s="70">
        <v>-6.360000000000003</v>
      </c>
      <c r="K2065" s="320"/>
      <c r="L2065" s="178">
        <v>5.13</v>
      </c>
      <c r="M2065" s="178">
        <v>22.58</v>
      </c>
      <c r="N2065" s="179">
        <v>0</v>
      </c>
      <c r="O2065" s="178">
        <v>27.709999999999997</v>
      </c>
      <c r="P2065" s="453"/>
      <c r="Q2065" s="61"/>
      <c r="R2065" s="298"/>
      <c r="S2065" s="669"/>
      <c r="X2065" s="444">
        <v>2065</v>
      </c>
    </row>
    <row r="2066" spans="1:32" ht="12">
      <c r="A2066" s="83" t="s">
        <v>21701</v>
      </c>
      <c r="B2066" s="64" t="s">
        <v>21702</v>
      </c>
      <c r="C2066" s="71" t="s">
        <v>103</v>
      </c>
      <c r="D2066" s="79">
        <v>1</v>
      </c>
      <c r="E2066" s="79">
        <v>49.830000000000005</v>
      </c>
      <c r="F2066" s="79">
        <v>49.83</v>
      </c>
      <c r="G2066" s="445"/>
      <c r="H2066" s="178">
        <v>49.81</v>
      </c>
      <c r="I2066" s="178">
        <v>61.27</v>
      </c>
      <c r="J2066" s="70">
        <v>-11.439999999999998</v>
      </c>
      <c r="K2066" s="320"/>
      <c r="L2066" s="178">
        <v>5.13</v>
      </c>
      <c r="M2066" s="178">
        <v>44.7</v>
      </c>
      <c r="N2066" s="179">
        <v>0</v>
      </c>
      <c r="O2066" s="178">
        <v>49.830000000000005</v>
      </c>
      <c r="P2066" s="453"/>
      <c r="Q2066" s="61"/>
      <c r="R2066" s="298"/>
      <c r="S2066" s="669"/>
      <c r="X2066" s="444">
        <v>2066</v>
      </c>
    </row>
    <row r="2067" spans="1:32" ht="12">
      <c r="A2067" s="83" t="s">
        <v>21703</v>
      </c>
      <c r="B2067" s="64" t="s">
        <v>21704</v>
      </c>
      <c r="C2067" s="71" t="s">
        <v>103</v>
      </c>
      <c r="D2067" s="79">
        <v>1</v>
      </c>
      <c r="E2067" s="79">
        <v>557.29</v>
      </c>
      <c r="F2067" s="79">
        <v>557.29</v>
      </c>
      <c r="G2067" s="445"/>
      <c r="H2067" s="178">
        <v>557.28</v>
      </c>
      <c r="I2067" s="178">
        <v>685.45</v>
      </c>
      <c r="J2067" s="70">
        <v>-128.16000000000008</v>
      </c>
      <c r="K2067" s="320"/>
      <c r="L2067" s="178">
        <v>259.38</v>
      </c>
      <c r="M2067" s="178">
        <v>297.90999999999997</v>
      </c>
      <c r="N2067" s="179">
        <v>0</v>
      </c>
      <c r="O2067" s="178">
        <v>557.29</v>
      </c>
      <c r="P2067" s="453"/>
      <c r="Q2067" s="61"/>
      <c r="R2067" s="298"/>
      <c r="S2067" s="669"/>
      <c r="X2067" s="444">
        <v>2067</v>
      </c>
    </row>
    <row r="2068" spans="1:32" ht="12">
      <c r="A2068" s="83" t="s">
        <v>21705</v>
      </c>
      <c r="B2068" s="64" t="s">
        <v>21706</v>
      </c>
      <c r="C2068" s="71" t="s">
        <v>103</v>
      </c>
      <c r="D2068" s="79">
        <v>1</v>
      </c>
      <c r="E2068" s="79">
        <v>396.44</v>
      </c>
      <c r="F2068" s="79">
        <v>396.44</v>
      </c>
      <c r="G2068" s="445"/>
      <c r="H2068" s="178">
        <v>396.42</v>
      </c>
      <c r="I2068" s="178">
        <v>487.6</v>
      </c>
      <c r="J2068" s="70">
        <v>-91.160000000000025</v>
      </c>
      <c r="K2068" s="320"/>
      <c r="L2068" s="178">
        <v>179.18</v>
      </c>
      <c r="M2068" s="178">
        <v>217.26</v>
      </c>
      <c r="N2068" s="179">
        <v>0</v>
      </c>
      <c r="O2068" s="178">
        <v>396.44</v>
      </c>
      <c r="P2068" s="453"/>
      <c r="Q2068" s="61"/>
      <c r="R2068" s="298"/>
      <c r="S2068" s="669"/>
      <c r="X2068" s="444">
        <v>2068</v>
      </c>
    </row>
    <row r="2069" spans="1:32" ht="12">
      <c r="A2069" s="83" t="s">
        <v>21707</v>
      </c>
      <c r="B2069" s="64" t="s">
        <v>32861</v>
      </c>
      <c r="C2069" s="71" t="s">
        <v>165</v>
      </c>
      <c r="D2069" s="79">
        <v>1</v>
      </c>
      <c r="E2069" s="79">
        <v>87.52000000000001</v>
      </c>
      <c r="F2069" s="79">
        <v>87.52</v>
      </c>
      <c r="G2069" s="445"/>
      <c r="H2069" s="178">
        <v>87.5</v>
      </c>
      <c r="I2069" s="178">
        <v>107.63</v>
      </c>
      <c r="J2069" s="70">
        <v>-20.109999999999985</v>
      </c>
      <c r="K2069" s="320"/>
      <c r="L2069" s="178">
        <v>31.75</v>
      </c>
      <c r="M2069" s="178">
        <v>55.77000000000001</v>
      </c>
      <c r="N2069" s="179">
        <v>0</v>
      </c>
      <c r="O2069" s="178">
        <v>87.52000000000001</v>
      </c>
      <c r="P2069" s="453"/>
      <c r="Q2069" s="61"/>
      <c r="R2069" s="298"/>
      <c r="S2069" s="669"/>
      <c r="X2069" s="444">
        <v>2069</v>
      </c>
    </row>
    <row r="2070" spans="1:32" ht="12">
      <c r="A2070" s="83" t="s">
        <v>21708</v>
      </c>
      <c r="B2070" s="64" t="s">
        <v>32862</v>
      </c>
      <c r="C2070" s="71" t="s">
        <v>165</v>
      </c>
      <c r="D2070" s="79">
        <v>1</v>
      </c>
      <c r="E2070" s="79">
        <v>106.36</v>
      </c>
      <c r="F2070" s="79">
        <v>106.36</v>
      </c>
      <c r="G2070" s="445"/>
      <c r="H2070" s="178">
        <v>106.34</v>
      </c>
      <c r="I2070" s="178">
        <v>130.80000000000001</v>
      </c>
      <c r="J2070" s="70">
        <v>-24.440000000000012</v>
      </c>
      <c r="K2070" s="320"/>
      <c r="L2070" s="178">
        <v>42.34</v>
      </c>
      <c r="M2070" s="178">
        <v>64.02</v>
      </c>
      <c r="N2070" s="179">
        <v>0</v>
      </c>
      <c r="O2070" s="178">
        <v>106.36</v>
      </c>
      <c r="P2070" s="453"/>
      <c r="Q2070" s="61"/>
      <c r="R2070" s="298"/>
      <c r="S2070" s="669"/>
      <c r="X2070" s="444">
        <v>2070</v>
      </c>
    </row>
    <row r="2071" spans="1:32" ht="12">
      <c r="A2071" s="83" t="s">
        <v>21709</v>
      </c>
      <c r="B2071" s="64" t="s">
        <v>21710</v>
      </c>
      <c r="C2071" s="71" t="s">
        <v>103</v>
      </c>
      <c r="D2071" s="79">
        <v>1</v>
      </c>
      <c r="E2071" s="79">
        <v>2643.9700000000003</v>
      </c>
      <c r="F2071" s="79">
        <v>2643.97</v>
      </c>
      <c r="G2071" s="445"/>
      <c r="H2071" s="178">
        <v>2643.96</v>
      </c>
      <c r="I2071" s="178">
        <v>3252.07</v>
      </c>
      <c r="J2071" s="70">
        <v>-608.09999999999991</v>
      </c>
      <c r="K2071" s="320"/>
      <c r="L2071" s="178">
        <v>259.38</v>
      </c>
      <c r="M2071" s="178">
        <v>2384.59</v>
      </c>
      <c r="N2071" s="179">
        <v>0</v>
      </c>
      <c r="O2071" s="178">
        <v>2643.9700000000003</v>
      </c>
      <c r="P2071" s="453"/>
      <c r="Q2071" s="61"/>
      <c r="R2071" s="298"/>
      <c r="S2071" s="669"/>
      <c r="X2071" s="444">
        <v>2071</v>
      </c>
    </row>
    <row r="2072" spans="1:32" ht="12">
      <c r="A2072" s="83" t="s">
        <v>21711</v>
      </c>
      <c r="B2072" s="64" t="s">
        <v>21712</v>
      </c>
      <c r="C2072" s="71" t="s">
        <v>103</v>
      </c>
      <c r="D2072" s="79">
        <v>1</v>
      </c>
      <c r="E2072" s="79">
        <v>450.38</v>
      </c>
      <c r="F2072" s="79">
        <v>450.38</v>
      </c>
      <c r="G2072" s="445"/>
      <c r="H2072" s="178">
        <v>450.37</v>
      </c>
      <c r="I2072" s="178">
        <v>553.96</v>
      </c>
      <c r="J2072" s="70">
        <v>-103.58000000000004</v>
      </c>
      <c r="K2072" s="320"/>
      <c r="L2072" s="178">
        <v>91.460000000000008</v>
      </c>
      <c r="M2072" s="178">
        <v>358.91999999999996</v>
      </c>
      <c r="N2072" s="179">
        <v>0</v>
      </c>
      <c r="O2072" s="178">
        <v>450.38</v>
      </c>
      <c r="P2072" s="453"/>
      <c r="Q2072" s="61"/>
      <c r="R2072" s="298"/>
      <c r="S2072" s="669"/>
      <c r="X2072" s="444">
        <v>2072</v>
      </c>
    </row>
    <row r="2073" spans="1:32" ht="12">
      <c r="A2073" s="83" t="s">
        <v>21713</v>
      </c>
      <c r="B2073" s="64" t="s">
        <v>21714</v>
      </c>
      <c r="C2073" s="71" t="s">
        <v>103</v>
      </c>
      <c r="D2073" s="79">
        <v>1</v>
      </c>
      <c r="E2073" s="79">
        <v>434.36</v>
      </c>
      <c r="F2073" s="79">
        <v>434.36</v>
      </c>
      <c r="G2073" s="445"/>
      <c r="H2073" s="178">
        <v>434.33</v>
      </c>
      <c r="I2073" s="178">
        <v>534.23</v>
      </c>
      <c r="J2073" s="70">
        <v>-99.87</v>
      </c>
      <c r="K2073" s="320"/>
      <c r="L2073" s="178">
        <v>75.44</v>
      </c>
      <c r="M2073" s="178">
        <v>358.92</v>
      </c>
      <c r="N2073" s="179">
        <v>0</v>
      </c>
      <c r="O2073" s="178">
        <v>434.36</v>
      </c>
      <c r="P2073" s="453"/>
      <c r="Q2073" s="61"/>
      <c r="R2073" s="298"/>
      <c r="S2073" s="669"/>
      <c r="X2073" s="444">
        <v>2073</v>
      </c>
    </row>
    <row r="2074" spans="1:32" ht="12">
      <c r="A2074" s="83" t="s">
        <v>21715</v>
      </c>
      <c r="B2074" s="64" t="s">
        <v>21716</v>
      </c>
      <c r="C2074" s="71" t="s">
        <v>103</v>
      </c>
      <c r="D2074" s="79">
        <v>1</v>
      </c>
      <c r="E2074" s="79">
        <v>1656.27</v>
      </c>
      <c r="F2074" s="79">
        <v>1656.27</v>
      </c>
      <c r="G2074" s="445"/>
      <c r="H2074" s="178">
        <v>1656.26</v>
      </c>
      <c r="I2074" s="178">
        <v>2037.2</v>
      </c>
      <c r="J2074" s="70">
        <v>-380.93000000000006</v>
      </c>
      <c r="K2074" s="320"/>
      <c r="L2074" s="178">
        <v>91.460000000000008</v>
      </c>
      <c r="M2074" s="178">
        <v>1564.81</v>
      </c>
      <c r="N2074" s="179">
        <v>0</v>
      </c>
      <c r="O2074" s="178">
        <v>1656.27</v>
      </c>
      <c r="P2074" s="453"/>
      <c r="Q2074" s="61"/>
      <c r="R2074" s="298"/>
      <c r="S2074" s="669"/>
      <c r="X2074" s="444">
        <v>2074</v>
      </c>
    </row>
    <row r="2075" spans="1:32" ht="12">
      <c r="A2075" s="83" t="s">
        <v>21717</v>
      </c>
      <c r="B2075" s="64" t="s">
        <v>21718</v>
      </c>
      <c r="C2075" s="71" t="s">
        <v>103</v>
      </c>
      <c r="D2075" s="79">
        <v>1</v>
      </c>
      <c r="E2075" s="79">
        <v>3105.42</v>
      </c>
      <c r="F2075" s="79">
        <v>3105.42</v>
      </c>
      <c r="G2075" s="445"/>
      <c r="H2075" s="178">
        <v>3105.41</v>
      </c>
      <c r="I2075" s="178">
        <v>3819.66</v>
      </c>
      <c r="J2075" s="70">
        <v>-714.23999999999978</v>
      </c>
      <c r="K2075" s="320"/>
      <c r="L2075" s="178">
        <v>91.460000000000008</v>
      </c>
      <c r="M2075" s="178">
        <v>3013.96</v>
      </c>
      <c r="N2075" s="179">
        <v>0</v>
      </c>
      <c r="O2075" s="178">
        <v>3105.42</v>
      </c>
      <c r="P2075" s="453"/>
      <c r="Q2075" s="61"/>
      <c r="R2075" s="298"/>
      <c r="S2075" s="669"/>
      <c r="X2075" s="444">
        <v>2075</v>
      </c>
    </row>
    <row r="2076" spans="1:32" ht="12">
      <c r="A2076" s="83" t="s">
        <v>21719</v>
      </c>
      <c r="B2076" s="64" t="s">
        <v>39836</v>
      </c>
      <c r="C2076" s="71" t="s">
        <v>103</v>
      </c>
      <c r="D2076" s="79">
        <v>1</v>
      </c>
      <c r="E2076" s="79">
        <v>21974.05</v>
      </c>
      <c r="F2076" s="79">
        <v>21974.05</v>
      </c>
      <c r="G2076" s="445"/>
      <c r="H2076" s="178">
        <v>21974.04</v>
      </c>
      <c r="I2076" s="178">
        <v>27028.07</v>
      </c>
      <c r="J2076" s="70">
        <v>-5054.0200000000004</v>
      </c>
      <c r="K2076" s="320"/>
      <c r="L2076" s="178">
        <v>365.17</v>
      </c>
      <c r="M2076" s="178">
        <v>21608.880000000001</v>
      </c>
      <c r="N2076" s="179">
        <v>0</v>
      </c>
      <c r="O2076" s="178">
        <v>21974.05</v>
      </c>
      <c r="P2076" s="453"/>
      <c r="Q2076" s="61"/>
      <c r="R2076" s="298"/>
      <c r="S2076" s="669"/>
      <c r="X2076" s="444">
        <v>2076</v>
      </c>
    </row>
    <row r="2077" spans="1:32" ht="12">
      <c r="A2077" s="83" t="s">
        <v>21720</v>
      </c>
      <c r="B2077" s="64" t="s">
        <v>21721</v>
      </c>
      <c r="C2077" s="71" t="s">
        <v>103</v>
      </c>
      <c r="D2077" s="79">
        <v>1</v>
      </c>
      <c r="E2077" s="79">
        <v>1606.9</v>
      </c>
      <c r="F2077" s="79">
        <v>1606.9</v>
      </c>
      <c r="G2077" s="445"/>
      <c r="H2077" s="178">
        <v>1606.89</v>
      </c>
      <c r="I2077" s="178">
        <v>1976.48</v>
      </c>
      <c r="J2077" s="70">
        <v>-369.57999999999993</v>
      </c>
      <c r="K2077" s="320"/>
      <c r="L2077" s="178">
        <v>37.5</v>
      </c>
      <c r="M2077" s="178">
        <v>1569.4</v>
      </c>
      <c r="N2077" s="179">
        <v>0</v>
      </c>
      <c r="O2077" s="178">
        <v>1606.9</v>
      </c>
      <c r="P2077" s="453"/>
      <c r="Q2077" s="61"/>
      <c r="R2077" s="298"/>
      <c r="S2077" s="669"/>
      <c r="X2077" s="444">
        <v>2077</v>
      </c>
    </row>
    <row r="2078" spans="1:32" ht="12">
      <c r="A2078" s="83" t="s">
        <v>21722</v>
      </c>
      <c r="B2078" s="64" t="s">
        <v>21723</v>
      </c>
      <c r="C2078" s="71" t="s">
        <v>103</v>
      </c>
      <c r="D2078" s="79">
        <v>1</v>
      </c>
      <c r="E2078" s="79">
        <v>642.05999999999995</v>
      </c>
      <c r="F2078" s="79">
        <v>642.05999999999995</v>
      </c>
      <c r="G2078" s="445"/>
      <c r="H2078" s="178">
        <v>642.04999999999995</v>
      </c>
      <c r="I2078" s="178">
        <v>789.72</v>
      </c>
      <c r="J2078" s="70">
        <v>-147.66000000000008</v>
      </c>
      <c r="K2078" s="320"/>
      <c r="L2078" s="178">
        <v>37.5</v>
      </c>
      <c r="M2078" s="178">
        <v>604.55999999999995</v>
      </c>
      <c r="N2078" s="179">
        <v>0</v>
      </c>
      <c r="O2078" s="178">
        <v>642.05999999999995</v>
      </c>
      <c r="P2078" s="453"/>
      <c r="Q2078" s="61"/>
      <c r="R2078" s="298"/>
      <c r="S2078" s="669"/>
      <c r="U2078" s="73"/>
      <c r="V2078" s="73"/>
      <c r="W2078" s="73"/>
      <c r="X2078" s="444">
        <v>2078</v>
      </c>
      <c r="Y2078" s="73"/>
      <c r="Z2078" s="73"/>
      <c r="AA2078" s="73"/>
      <c r="AB2078" s="73"/>
      <c r="AC2078" s="73"/>
      <c r="AD2078" s="73"/>
      <c r="AE2078" s="73"/>
      <c r="AF2078" s="73"/>
    </row>
    <row r="2079" spans="1:32" ht="12">
      <c r="A2079" s="83" t="s">
        <v>21724</v>
      </c>
      <c r="B2079" s="64" t="s">
        <v>21725</v>
      </c>
      <c r="C2079" s="71" t="s">
        <v>103</v>
      </c>
      <c r="D2079" s="79">
        <v>1</v>
      </c>
      <c r="E2079" s="79">
        <v>3731.67</v>
      </c>
      <c r="F2079" s="79">
        <v>3731.67</v>
      </c>
      <c r="G2079" s="445"/>
      <c r="H2079" s="178">
        <v>3731.66</v>
      </c>
      <c r="I2079" s="178">
        <v>4589.9399999999996</v>
      </c>
      <c r="J2079" s="70">
        <v>-858.26999999999953</v>
      </c>
      <c r="K2079" s="320"/>
      <c r="L2079" s="178">
        <v>37.5</v>
      </c>
      <c r="M2079" s="178">
        <v>3694.17</v>
      </c>
      <c r="N2079" s="179">
        <v>0</v>
      </c>
      <c r="O2079" s="178">
        <v>3731.67</v>
      </c>
      <c r="P2079" s="453"/>
      <c r="Q2079" s="61"/>
      <c r="R2079" s="298"/>
      <c r="S2079" s="669"/>
      <c r="X2079" s="444">
        <v>2079</v>
      </c>
    </row>
    <row r="2080" spans="1:32" ht="12">
      <c r="A2080" s="83" t="s">
        <v>21726</v>
      </c>
      <c r="B2080" s="64" t="s">
        <v>21727</v>
      </c>
      <c r="C2080" s="71" t="s">
        <v>103</v>
      </c>
      <c r="D2080" s="79">
        <v>1</v>
      </c>
      <c r="E2080" s="79">
        <v>243.47</v>
      </c>
      <c r="F2080" s="79">
        <v>243.47</v>
      </c>
      <c r="G2080" s="445"/>
      <c r="H2080" s="178">
        <v>243.46</v>
      </c>
      <c r="I2080" s="178">
        <v>299.45</v>
      </c>
      <c r="J2080" s="70">
        <v>-55.97999999999999</v>
      </c>
      <c r="K2080" s="320"/>
      <c r="L2080" s="178">
        <v>73.37</v>
      </c>
      <c r="M2080" s="178">
        <v>170.1</v>
      </c>
      <c r="N2080" s="179">
        <v>0</v>
      </c>
      <c r="O2080" s="178">
        <v>243.47</v>
      </c>
      <c r="P2080" s="453"/>
      <c r="Q2080" s="61"/>
      <c r="R2080" s="298"/>
      <c r="S2080" s="669"/>
      <c r="X2080" s="444">
        <v>2080</v>
      </c>
    </row>
    <row r="2081" spans="1:24" ht="12">
      <c r="A2081" s="83" t="s">
        <v>21728</v>
      </c>
      <c r="B2081" s="64" t="s">
        <v>21729</v>
      </c>
      <c r="C2081" s="71" t="s">
        <v>103</v>
      </c>
      <c r="D2081" s="79">
        <v>1</v>
      </c>
      <c r="E2081" s="79">
        <v>619.16999999999996</v>
      </c>
      <c r="F2081" s="79">
        <v>619.16999999999996</v>
      </c>
      <c r="G2081" s="445"/>
      <c r="H2081" s="178">
        <v>619.15</v>
      </c>
      <c r="I2081" s="178">
        <v>761.56</v>
      </c>
      <c r="J2081" s="70">
        <v>-142.38999999999999</v>
      </c>
      <c r="K2081" s="320"/>
      <c r="L2081" s="178">
        <v>1.29</v>
      </c>
      <c r="M2081" s="178">
        <v>617.88</v>
      </c>
      <c r="N2081" s="179">
        <v>0</v>
      </c>
      <c r="O2081" s="178">
        <v>619.16999999999996</v>
      </c>
      <c r="P2081" s="453"/>
      <c r="Q2081" s="61"/>
      <c r="R2081" s="298"/>
      <c r="S2081" s="669"/>
      <c r="X2081" s="444">
        <v>2081</v>
      </c>
    </row>
    <row r="2082" spans="1:24" ht="12">
      <c r="A2082" s="83" t="s">
        <v>21730</v>
      </c>
      <c r="B2082" s="64" t="s">
        <v>21731</v>
      </c>
      <c r="C2082" s="71" t="s">
        <v>6786</v>
      </c>
      <c r="D2082" s="79">
        <v>1</v>
      </c>
      <c r="E2082" s="79">
        <v>613.89</v>
      </c>
      <c r="F2082" s="79">
        <v>613.89</v>
      </c>
      <c r="G2082" s="445"/>
      <c r="H2082" s="178">
        <v>613.88</v>
      </c>
      <c r="I2082" s="178">
        <v>755.07</v>
      </c>
      <c r="J2082" s="70">
        <v>-141.18000000000006</v>
      </c>
      <c r="K2082" s="320"/>
      <c r="L2082" s="178">
        <v>1.29</v>
      </c>
      <c r="M2082" s="178">
        <v>612.6</v>
      </c>
      <c r="N2082" s="179">
        <v>0</v>
      </c>
      <c r="O2082" s="178">
        <v>613.89</v>
      </c>
      <c r="P2082" s="453"/>
      <c r="Q2082" s="61"/>
      <c r="R2082" s="298"/>
      <c r="S2082" s="669"/>
      <c r="X2082" s="444">
        <v>2082</v>
      </c>
    </row>
    <row r="2083" spans="1:24" ht="12">
      <c r="A2083" s="83" t="s">
        <v>21732</v>
      </c>
      <c r="B2083" s="64" t="s">
        <v>21733</v>
      </c>
      <c r="C2083" s="71" t="s">
        <v>103</v>
      </c>
      <c r="D2083" s="79">
        <v>1</v>
      </c>
      <c r="E2083" s="79">
        <v>284.41000000000003</v>
      </c>
      <c r="F2083" s="79">
        <v>284.41000000000003</v>
      </c>
      <c r="G2083" s="445"/>
      <c r="H2083" s="178">
        <v>284.39999999999998</v>
      </c>
      <c r="I2083" s="178">
        <v>349.81</v>
      </c>
      <c r="J2083" s="70">
        <v>-65.399999999999977</v>
      </c>
      <c r="K2083" s="320"/>
      <c r="L2083" s="178">
        <v>1.29</v>
      </c>
      <c r="M2083" s="178">
        <v>283.12</v>
      </c>
      <c r="N2083" s="179">
        <v>0</v>
      </c>
      <c r="O2083" s="178">
        <v>284.41000000000003</v>
      </c>
      <c r="P2083" s="453"/>
      <c r="Q2083" s="61"/>
      <c r="R2083" s="298"/>
      <c r="S2083" s="669"/>
      <c r="X2083" s="444">
        <v>2083</v>
      </c>
    </row>
    <row r="2084" spans="1:24" ht="12">
      <c r="A2084" s="83" t="s">
        <v>21734</v>
      </c>
      <c r="B2084" s="64" t="s">
        <v>21735</v>
      </c>
      <c r="C2084" s="71" t="s">
        <v>103</v>
      </c>
      <c r="D2084" s="79">
        <v>1</v>
      </c>
      <c r="E2084" s="79">
        <v>99.52</v>
      </c>
      <c r="F2084" s="79">
        <v>99.52</v>
      </c>
      <c r="G2084" s="445"/>
      <c r="H2084" s="178">
        <v>99.51</v>
      </c>
      <c r="I2084" s="178">
        <v>122.4</v>
      </c>
      <c r="J2084" s="70">
        <v>-22.88000000000001</v>
      </c>
      <c r="K2084" s="320"/>
      <c r="L2084" s="178">
        <v>80.209999999999994</v>
      </c>
      <c r="M2084" s="178">
        <v>19.310000000000002</v>
      </c>
      <c r="N2084" s="179">
        <v>0</v>
      </c>
      <c r="O2084" s="178">
        <v>99.52</v>
      </c>
      <c r="P2084" s="453"/>
      <c r="Q2084" s="61"/>
      <c r="R2084" s="298"/>
      <c r="S2084" s="669"/>
      <c r="X2084" s="444">
        <v>2084</v>
      </c>
    </row>
    <row r="2085" spans="1:24" ht="12">
      <c r="A2085" s="83" t="s">
        <v>21736</v>
      </c>
      <c r="B2085" s="64" t="s">
        <v>39837</v>
      </c>
      <c r="C2085" s="71" t="s">
        <v>103</v>
      </c>
      <c r="D2085" s="79">
        <v>1</v>
      </c>
      <c r="E2085" s="79">
        <v>456.53999999999996</v>
      </c>
      <c r="F2085" s="79">
        <v>456.54</v>
      </c>
      <c r="G2085" s="445"/>
      <c r="H2085" s="178">
        <v>456.54</v>
      </c>
      <c r="I2085" s="178">
        <v>561.54</v>
      </c>
      <c r="J2085" s="70">
        <v>-105</v>
      </c>
      <c r="K2085" s="320"/>
      <c r="L2085" s="178">
        <v>160.41999999999999</v>
      </c>
      <c r="M2085" s="178">
        <v>296.12</v>
      </c>
      <c r="N2085" s="179">
        <v>0</v>
      </c>
      <c r="O2085" s="178">
        <v>456.53999999999996</v>
      </c>
      <c r="P2085" s="453"/>
      <c r="Q2085" s="61"/>
      <c r="R2085" s="298"/>
      <c r="S2085" s="669"/>
      <c r="X2085" s="444">
        <v>2085</v>
      </c>
    </row>
    <row r="2086" spans="1:24" ht="12">
      <c r="A2086" s="83" t="s">
        <v>21737</v>
      </c>
      <c r="B2086" s="64" t="s">
        <v>21738</v>
      </c>
      <c r="C2086" s="71" t="s">
        <v>103</v>
      </c>
      <c r="D2086" s="79">
        <v>1</v>
      </c>
      <c r="E2086" s="79">
        <v>440.80999999999995</v>
      </c>
      <c r="F2086" s="79">
        <v>440.81</v>
      </c>
      <c r="G2086" s="445"/>
      <c r="H2086" s="178">
        <v>440.8</v>
      </c>
      <c r="I2086" s="178">
        <v>542.19000000000005</v>
      </c>
      <c r="J2086" s="70">
        <v>-101.38000000000011</v>
      </c>
      <c r="K2086" s="320"/>
      <c r="L2086" s="178">
        <v>160.41999999999999</v>
      </c>
      <c r="M2086" s="178">
        <v>280.39</v>
      </c>
      <c r="N2086" s="179">
        <v>0</v>
      </c>
      <c r="O2086" s="178">
        <v>440.80999999999995</v>
      </c>
      <c r="P2086" s="453"/>
      <c r="Q2086" s="61"/>
      <c r="R2086" s="298"/>
      <c r="S2086" s="669"/>
      <c r="X2086" s="444">
        <v>2086</v>
      </c>
    </row>
    <row r="2087" spans="1:24" ht="12">
      <c r="A2087" s="83" t="s">
        <v>21739</v>
      </c>
      <c r="B2087" s="64" t="s">
        <v>21740</v>
      </c>
      <c r="C2087" s="71" t="s">
        <v>103</v>
      </c>
      <c r="D2087" s="79">
        <v>1</v>
      </c>
      <c r="E2087" s="79">
        <v>81.599999999999994</v>
      </c>
      <c r="F2087" s="79">
        <v>81.599999999999994</v>
      </c>
      <c r="G2087" s="445"/>
      <c r="H2087" s="178">
        <v>81.599999999999994</v>
      </c>
      <c r="I2087" s="178">
        <v>100.37</v>
      </c>
      <c r="J2087" s="70">
        <v>-18.77000000000001</v>
      </c>
      <c r="K2087" s="320"/>
      <c r="L2087" s="178">
        <v>54.61</v>
      </c>
      <c r="M2087" s="178">
        <v>26.989999999999995</v>
      </c>
      <c r="N2087" s="179">
        <v>0</v>
      </c>
      <c r="O2087" s="178">
        <v>81.599999999999994</v>
      </c>
      <c r="P2087" s="453"/>
      <c r="Q2087" s="61"/>
      <c r="R2087" s="298"/>
      <c r="S2087" s="669"/>
      <c r="X2087" s="444">
        <v>2087</v>
      </c>
    </row>
    <row r="2088" spans="1:24" ht="12">
      <c r="A2088" s="83" t="s">
        <v>21741</v>
      </c>
      <c r="B2088" s="64" t="s">
        <v>21742</v>
      </c>
      <c r="C2088" s="71" t="s">
        <v>103</v>
      </c>
      <c r="D2088" s="79">
        <v>1</v>
      </c>
      <c r="E2088" s="79">
        <v>926.47</v>
      </c>
      <c r="F2088" s="79">
        <v>926.47</v>
      </c>
      <c r="G2088" s="445"/>
      <c r="H2088" s="178">
        <v>926.45</v>
      </c>
      <c r="I2088" s="178">
        <v>1139.53</v>
      </c>
      <c r="J2088" s="70">
        <v>-213.05999999999995</v>
      </c>
      <c r="K2088" s="320"/>
      <c r="L2088" s="178">
        <v>179.18</v>
      </c>
      <c r="M2088" s="178">
        <v>747.29</v>
      </c>
      <c r="N2088" s="179">
        <v>0</v>
      </c>
      <c r="O2088" s="178">
        <v>926.47</v>
      </c>
      <c r="P2088" s="453"/>
      <c r="Q2088" s="61"/>
      <c r="R2088" s="298"/>
      <c r="S2088" s="669"/>
      <c r="X2088" s="444">
        <v>2088</v>
      </c>
    </row>
    <row r="2089" spans="1:24" ht="12">
      <c r="A2089" s="83" t="s">
        <v>21743</v>
      </c>
      <c r="B2089" s="64" t="s">
        <v>21744</v>
      </c>
      <c r="C2089" s="71" t="s">
        <v>103</v>
      </c>
      <c r="D2089" s="79">
        <v>1</v>
      </c>
      <c r="E2089" s="79">
        <v>975.97</v>
      </c>
      <c r="F2089" s="79">
        <v>975.97</v>
      </c>
      <c r="G2089" s="445"/>
      <c r="H2089" s="178">
        <v>975.95</v>
      </c>
      <c r="I2089" s="178">
        <v>1200.42</v>
      </c>
      <c r="J2089" s="70">
        <v>-224.45000000000005</v>
      </c>
      <c r="K2089" s="320"/>
      <c r="L2089" s="178">
        <v>179.18</v>
      </c>
      <c r="M2089" s="178">
        <v>796.79</v>
      </c>
      <c r="N2089" s="179">
        <v>0</v>
      </c>
      <c r="O2089" s="178">
        <v>975.97</v>
      </c>
      <c r="P2089" s="453"/>
      <c r="Q2089" s="61"/>
      <c r="R2089" s="298"/>
      <c r="S2089" s="669"/>
      <c r="X2089" s="444">
        <v>2089</v>
      </c>
    </row>
    <row r="2090" spans="1:24" ht="12">
      <c r="A2090" s="83" t="s">
        <v>21745</v>
      </c>
      <c r="B2090" s="64" t="s">
        <v>21746</v>
      </c>
      <c r="C2090" s="71" t="s">
        <v>103</v>
      </c>
      <c r="D2090" s="79">
        <v>1</v>
      </c>
      <c r="E2090" s="79">
        <v>15362.43</v>
      </c>
      <c r="F2090" s="79">
        <v>15362.43</v>
      </c>
      <c r="G2090" s="445"/>
      <c r="H2090" s="178">
        <v>15362.43</v>
      </c>
      <c r="I2090" s="178">
        <v>18895.79</v>
      </c>
      <c r="J2090" s="70">
        <v>-3533.3600000000006</v>
      </c>
      <c r="K2090" s="320"/>
      <c r="L2090" s="178">
        <v>791.65000000000009</v>
      </c>
      <c r="M2090" s="178">
        <v>14570.78</v>
      </c>
      <c r="N2090" s="179">
        <v>0</v>
      </c>
      <c r="O2090" s="178">
        <v>15362.43</v>
      </c>
      <c r="P2090" s="453"/>
      <c r="Q2090" s="61"/>
      <c r="R2090" s="298"/>
      <c r="S2090" s="669"/>
      <c r="X2090" s="444">
        <v>2090</v>
      </c>
    </row>
    <row r="2091" spans="1:24" ht="12">
      <c r="A2091" s="83" t="s">
        <v>21747</v>
      </c>
      <c r="B2091" s="64" t="s">
        <v>21748</v>
      </c>
      <c r="C2091" s="71" t="s">
        <v>103</v>
      </c>
      <c r="D2091" s="79">
        <v>1</v>
      </c>
      <c r="E2091" s="79">
        <v>22822.280000000002</v>
      </c>
      <c r="F2091" s="79">
        <v>22822.28</v>
      </c>
      <c r="G2091" s="445"/>
      <c r="H2091" s="178">
        <v>22822.28</v>
      </c>
      <c r="I2091" s="178">
        <v>28071.4</v>
      </c>
      <c r="J2091" s="70">
        <v>-5249.119999999999</v>
      </c>
      <c r="K2091" s="320"/>
      <c r="L2091" s="178">
        <v>791.65000000000009</v>
      </c>
      <c r="M2091" s="178">
        <v>22030.63</v>
      </c>
      <c r="N2091" s="179">
        <v>0</v>
      </c>
      <c r="O2091" s="178">
        <v>22822.280000000002</v>
      </c>
      <c r="P2091" s="453"/>
      <c r="Q2091" s="61"/>
      <c r="R2091" s="298"/>
      <c r="S2091" s="669"/>
      <c r="X2091" s="444">
        <v>2091</v>
      </c>
    </row>
    <row r="2092" spans="1:24" ht="12">
      <c r="A2092" s="83" t="s">
        <v>21749</v>
      </c>
      <c r="B2092" s="64" t="s">
        <v>21750</v>
      </c>
      <c r="C2092" s="71" t="s">
        <v>103</v>
      </c>
      <c r="D2092" s="79">
        <v>1</v>
      </c>
      <c r="E2092" s="79">
        <v>21627.45</v>
      </c>
      <c r="F2092" s="79">
        <v>21627.45</v>
      </c>
      <c r="G2092" s="445"/>
      <c r="H2092" s="178">
        <v>21627.439999999999</v>
      </c>
      <c r="I2092" s="178">
        <v>26601.75</v>
      </c>
      <c r="J2092" s="70">
        <v>-4974.2999999999993</v>
      </c>
      <c r="K2092" s="320"/>
      <c r="L2092" s="178">
        <v>989.57</v>
      </c>
      <c r="M2092" s="178">
        <v>20637.88</v>
      </c>
      <c r="N2092" s="179">
        <v>0</v>
      </c>
      <c r="O2092" s="178">
        <v>21627.45</v>
      </c>
      <c r="P2092" s="453"/>
      <c r="Q2092" s="61"/>
      <c r="R2092" s="298"/>
      <c r="S2092" s="669"/>
      <c r="X2092" s="444">
        <v>2092</v>
      </c>
    </row>
    <row r="2093" spans="1:24" ht="12">
      <c r="A2093" s="83" t="s">
        <v>21751</v>
      </c>
      <c r="B2093" s="64" t="s">
        <v>21752</v>
      </c>
      <c r="C2093" s="71" t="s">
        <v>103</v>
      </c>
      <c r="D2093" s="79">
        <v>1</v>
      </c>
      <c r="E2093" s="79">
        <v>21429.530000000002</v>
      </c>
      <c r="F2093" s="79">
        <v>21429.53</v>
      </c>
      <c r="G2093" s="445"/>
      <c r="H2093" s="178">
        <v>21429.53</v>
      </c>
      <c r="I2093" s="178">
        <v>26358.32</v>
      </c>
      <c r="J2093" s="70">
        <v>-4928.7899999999972</v>
      </c>
      <c r="K2093" s="320"/>
      <c r="L2093" s="178">
        <v>791.65000000000009</v>
      </c>
      <c r="M2093" s="178">
        <v>20637.88</v>
      </c>
      <c r="N2093" s="179">
        <v>0</v>
      </c>
      <c r="O2093" s="178">
        <v>21429.530000000002</v>
      </c>
      <c r="P2093" s="453"/>
      <c r="Q2093" s="61"/>
      <c r="R2093" s="298"/>
      <c r="S2093" s="669"/>
      <c r="X2093" s="444">
        <v>2093</v>
      </c>
    </row>
    <row r="2094" spans="1:24" ht="12">
      <c r="A2094" s="83" t="s">
        <v>21753</v>
      </c>
      <c r="B2094" s="64" t="s">
        <v>21754</v>
      </c>
      <c r="C2094" s="71" t="s">
        <v>103</v>
      </c>
      <c r="D2094" s="79">
        <v>1</v>
      </c>
      <c r="E2094" s="79">
        <v>28061.530000000002</v>
      </c>
      <c r="F2094" s="79">
        <v>28061.53</v>
      </c>
      <c r="G2094" s="445"/>
      <c r="H2094" s="178">
        <v>28061.53</v>
      </c>
      <c r="I2094" s="178">
        <v>34515.68</v>
      </c>
      <c r="J2094" s="70">
        <v>-6454.1499999999978</v>
      </c>
      <c r="K2094" s="320"/>
      <c r="L2094" s="178">
        <v>791.65000000000009</v>
      </c>
      <c r="M2094" s="178">
        <v>27269.88</v>
      </c>
      <c r="N2094" s="179">
        <v>0</v>
      </c>
      <c r="O2094" s="178">
        <v>28061.530000000002</v>
      </c>
      <c r="P2094" s="453"/>
      <c r="Q2094" s="61"/>
      <c r="R2094" s="298"/>
      <c r="S2094" s="669"/>
      <c r="X2094" s="444">
        <v>2094</v>
      </c>
    </row>
    <row r="2095" spans="1:24" ht="12">
      <c r="A2095" s="83" t="s">
        <v>21755</v>
      </c>
      <c r="B2095" s="64" t="s">
        <v>21756</v>
      </c>
      <c r="C2095" s="71" t="s">
        <v>103</v>
      </c>
      <c r="D2095" s="79">
        <v>1</v>
      </c>
      <c r="E2095" s="79">
        <v>36245.99</v>
      </c>
      <c r="F2095" s="79">
        <v>36245.99</v>
      </c>
      <c r="G2095" s="445"/>
      <c r="H2095" s="178">
        <v>36245.980000000003</v>
      </c>
      <c r="I2095" s="178">
        <v>44582.559999999998</v>
      </c>
      <c r="J2095" s="70">
        <v>-8336.57</v>
      </c>
      <c r="K2095" s="320"/>
      <c r="L2095" s="178">
        <v>989.57</v>
      </c>
      <c r="M2095" s="178">
        <v>35256.42</v>
      </c>
      <c r="N2095" s="179">
        <v>0</v>
      </c>
      <c r="O2095" s="178">
        <v>36245.99</v>
      </c>
      <c r="P2095" s="453"/>
      <c r="Q2095" s="61"/>
      <c r="R2095" s="298"/>
      <c r="S2095" s="669"/>
      <c r="X2095" s="444">
        <v>2095</v>
      </c>
    </row>
    <row r="2096" spans="1:24" ht="12">
      <c r="A2096" s="83" t="s">
        <v>21757</v>
      </c>
      <c r="B2096" s="64" t="s">
        <v>21758</v>
      </c>
      <c r="C2096" s="71" t="s">
        <v>103</v>
      </c>
      <c r="D2096" s="79">
        <v>1</v>
      </c>
      <c r="E2096" s="79">
        <v>43071.09</v>
      </c>
      <c r="F2096" s="79">
        <v>43071.09</v>
      </c>
      <c r="G2096" s="445"/>
      <c r="H2096" s="178">
        <v>43071.08</v>
      </c>
      <c r="I2096" s="178">
        <v>52977.43</v>
      </c>
      <c r="J2096" s="70">
        <v>-9906.3400000000038</v>
      </c>
      <c r="K2096" s="320"/>
      <c r="L2096" s="178">
        <v>989.57</v>
      </c>
      <c r="M2096" s="178">
        <v>42081.52</v>
      </c>
      <c r="N2096" s="179">
        <v>0</v>
      </c>
      <c r="O2096" s="178">
        <v>43071.09</v>
      </c>
      <c r="P2096" s="453"/>
      <c r="Q2096" s="61"/>
      <c r="R2096" s="298"/>
      <c r="S2096" s="669"/>
      <c r="X2096" s="444">
        <v>2096</v>
      </c>
    </row>
    <row r="2097" spans="1:32" ht="12">
      <c r="A2097" s="83" t="s">
        <v>21759</v>
      </c>
      <c r="B2097" s="64" t="s">
        <v>21760</v>
      </c>
      <c r="C2097" s="71" t="s">
        <v>103</v>
      </c>
      <c r="D2097" s="79">
        <v>1</v>
      </c>
      <c r="E2097" s="79">
        <v>76802.850000000006</v>
      </c>
      <c r="F2097" s="79">
        <v>76802.850000000006</v>
      </c>
      <c r="G2097" s="445"/>
      <c r="H2097" s="178">
        <v>76802.84</v>
      </c>
      <c r="I2097" s="178">
        <v>94467.49</v>
      </c>
      <c r="J2097" s="70">
        <v>-17664.64</v>
      </c>
      <c r="K2097" s="320"/>
      <c r="L2097" s="178">
        <v>989.57</v>
      </c>
      <c r="M2097" s="178">
        <v>75813.279999999999</v>
      </c>
      <c r="N2097" s="179">
        <v>0</v>
      </c>
      <c r="O2097" s="178">
        <v>76802.850000000006</v>
      </c>
      <c r="P2097" s="453"/>
      <c r="Q2097" s="61"/>
      <c r="R2097" s="298"/>
      <c r="S2097" s="669"/>
      <c r="X2097" s="444">
        <v>2097</v>
      </c>
    </row>
    <row r="2098" spans="1:32" ht="12">
      <c r="A2098" s="83" t="s">
        <v>21761</v>
      </c>
      <c r="B2098" s="64" t="s">
        <v>21762</v>
      </c>
      <c r="C2098" s="71" t="s">
        <v>103</v>
      </c>
      <c r="D2098" s="79">
        <v>1</v>
      </c>
      <c r="E2098" s="79">
        <v>320.83</v>
      </c>
      <c r="F2098" s="79">
        <v>320.83</v>
      </c>
      <c r="G2098" s="445"/>
      <c r="H2098" s="178">
        <v>320.83</v>
      </c>
      <c r="I2098" s="178">
        <v>394.62</v>
      </c>
      <c r="J2098" s="70">
        <v>-73.79000000000002</v>
      </c>
      <c r="K2098" s="320"/>
      <c r="L2098" s="178">
        <v>320.83</v>
      </c>
      <c r="M2098" s="178">
        <v>0</v>
      </c>
      <c r="N2098" s="179">
        <v>0</v>
      </c>
      <c r="O2098" s="178">
        <v>320.83</v>
      </c>
      <c r="P2098" s="453"/>
      <c r="Q2098" s="61"/>
      <c r="R2098" s="298"/>
      <c r="S2098" s="669"/>
      <c r="X2098" s="444">
        <v>2098</v>
      </c>
    </row>
    <row r="2099" spans="1:32" ht="12">
      <c r="A2099" s="83" t="s">
        <v>21763</v>
      </c>
      <c r="B2099" s="64" t="s">
        <v>21764</v>
      </c>
      <c r="C2099" s="71" t="s">
        <v>103</v>
      </c>
      <c r="D2099" s="79">
        <v>1</v>
      </c>
      <c r="E2099" s="79">
        <v>1199.8400000000001</v>
      </c>
      <c r="F2099" s="79">
        <v>1199.8399999999999</v>
      </c>
      <c r="G2099" s="445"/>
      <c r="H2099" s="178">
        <v>1199.83</v>
      </c>
      <c r="I2099" s="178">
        <v>1475.79</v>
      </c>
      <c r="J2099" s="70">
        <v>-275.94999999999982</v>
      </c>
      <c r="K2099" s="320"/>
      <c r="L2099" s="178">
        <v>1051.21</v>
      </c>
      <c r="M2099" s="178">
        <v>148.63000000000011</v>
      </c>
      <c r="N2099" s="179">
        <v>0</v>
      </c>
      <c r="O2099" s="178">
        <v>1199.8400000000001</v>
      </c>
      <c r="P2099" s="453"/>
      <c r="Q2099" s="61"/>
      <c r="R2099" s="298"/>
      <c r="S2099" s="669"/>
      <c r="X2099" s="444">
        <v>2099</v>
      </c>
    </row>
    <row r="2100" spans="1:32" ht="12">
      <c r="A2100" s="83" t="s">
        <v>21765</v>
      </c>
      <c r="B2100" s="64" t="s">
        <v>21766</v>
      </c>
      <c r="C2100" s="71" t="s">
        <v>103</v>
      </c>
      <c r="D2100" s="79">
        <v>1</v>
      </c>
      <c r="E2100" s="79">
        <v>80.05</v>
      </c>
      <c r="F2100" s="79">
        <v>80.05</v>
      </c>
      <c r="G2100" s="445"/>
      <c r="H2100" s="178">
        <v>80.040000000000006</v>
      </c>
      <c r="I2100" s="178">
        <v>98.45</v>
      </c>
      <c r="J2100" s="70">
        <v>-18.400000000000006</v>
      </c>
      <c r="K2100" s="320"/>
      <c r="L2100" s="178">
        <v>11.17</v>
      </c>
      <c r="M2100" s="178">
        <v>68.88</v>
      </c>
      <c r="N2100" s="179">
        <v>0</v>
      </c>
      <c r="O2100" s="178">
        <v>80.05</v>
      </c>
      <c r="P2100" s="453"/>
      <c r="Q2100" s="61"/>
      <c r="R2100" s="298"/>
      <c r="S2100" s="669"/>
      <c r="X2100" s="444">
        <v>2100</v>
      </c>
    </row>
    <row r="2101" spans="1:32" ht="12">
      <c r="A2101" s="83" t="s">
        <v>21767</v>
      </c>
      <c r="B2101" s="64" t="s">
        <v>21768</v>
      </c>
      <c r="C2101" s="71" t="s">
        <v>10216</v>
      </c>
      <c r="D2101" s="79">
        <v>1</v>
      </c>
      <c r="E2101" s="79">
        <v>577.26</v>
      </c>
      <c r="F2101" s="79">
        <v>577.26</v>
      </c>
      <c r="G2101" s="445"/>
      <c r="H2101" s="178">
        <v>577.25</v>
      </c>
      <c r="I2101" s="178">
        <v>710.02</v>
      </c>
      <c r="J2101" s="70">
        <v>-132.76</v>
      </c>
      <c r="K2101" s="320"/>
      <c r="L2101" s="178"/>
      <c r="M2101" s="178">
        <v>577.26</v>
      </c>
      <c r="N2101" s="179">
        <v>0</v>
      </c>
      <c r="O2101" s="178">
        <v>577.26</v>
      </c>
      <c r="P2101" s="453"/>
      <c r="Q2101" s="61"/>
      <c r="R2101" s="298"/>
      <c r="S2101" s="669"/>
      <c r="X2101" s="444">
        <v>2101</v>
      </c>
    </row>
    <row r="2102" spans="1:32" ht="12">
      <c r="A2102" s="83" t="s">
        <v>39838</v>
      </c>
      <c r="B2102" s="64" t="s">
        <v>39839</v>
      </c>
      <c r="C2102" s="71"/>
      <c r="D2102" s="79" t="s">
        <v>40899</v>
      </c>
      <c r="E2102" s="79" t="s">
        <v>40899</v>
      </c>
      <c r="F2102" s="79"/>
      <c r="G2102" s="445"/>
      <c r="H2102" s="178"/>
      <c r="I2102" s="178"/>
      <c r="J2102" s="70"/>
      <c r="K2102" s="320"/>
      <c r="L2102" s="178"/>
      <c r="M2102" s="178"/>
      <c r="N2102" s="179"/>
      <c r="O2102" s="178"/>
      <c r="P2102" s="453"/>
      <c r="Q2102" s="61"/>
      <c r="R2102" s="298"/>
      <c r="S2102" s="669"/>
      <c r="X2102" s="444">
        <v>2102</v>
      </c>
    </row>
    <row r="2103" spans="1:32" ht="12">
      <c r="A2103" s="83" t="s">
        <v>21769</v>
      </c>
      <c r="B2103" s="64" t="s">
        <v>21770</v>
      </c>
      <c r="C2103" s="71" t="s">
        <v>103</v>
      </c>
      <c r="D2103" s="79">
        <v>1</v>
      </c>
      <c r="E2103" s="79">
        <v>1723.17</v>
      </c>
      <c r="F2103" s="79">
        <v>1723.17</v>
      </c>
      <c r="G2103" s="445"/>
      <c r="H2103" s="178">
        <v>1723.18</v>
      </c>
      <c r="I2103" s="178">
        <v>2119.5100000000002</v>
      </c>
      <c r="J2103" s="70">
        <v>-396.34000000000015</v>
      </c>
      <c r="K2103" s="320"/>
      <c r="L2103" s="178">
        <v>327.67</v>
      </c>
      <c r="M2103" s="178">
        <v>1395.5</v>
      </c>
      <c r="N2103" s="179">
        <v>0</v>
      </c>
      <c r="O2103" s="178">
        <v>1723.17</v>
      </c>
      <c r="P2103" s="453"/>
      <c r="Q2103" s="61"/>
      <c r="R2103" s="298"/>
      <c r="S2103" s="669"/>
      <c r="X2103" s="444">
        <v>2103</v>
      </c>
    </row>
    <row r="2104" spans="1:32" ht="12">
      <c r="A2104" s="83" t="s">
        <v>21771</v>
      </c>
      <c r="B2104" s="64" t="s">
        <v>21772</v>
      </c>
      <c r="C2104" s="71" t="s">
        <v>103</v>
      </c>
      <c r="D2104" s="79">
        <v>1</v>
      </c>
      <c r="E2104" s="79">
        <v>27.78</v>
      </c>
      <c r="F2104" s="79">
        <v>27.78</v>
      </c>
      <c r="G2104" s="445"/>
      <c r="H2104" s="178">
        <v>27.78</v>
      </c>
      <c r="I2104" s="178">
        <v>34.17</v>
      </c>
      <c r="J2104" s="70">
        <v>-6.3900000000000006</v>
      </c>
      <c r="K2104" s="320"/>
      <c r="L2104" s="178">
        <v>16.38</v>
      </c>
      <c r="M2104" s="178">
        <v>11.400000000000002</v>
      </c>
      <c r="N2104" s="179">
        <v>0</v>
      </c>
      <c r="O2104" s="178">
        <v>27.78</v>
      </c>
      <c r="P2104" s="453"/>
      <c r="Q2104" s="61"/>
      <c r="R2104" s="298"/>
      <c r="S2104" s="669"/>
      <c r="X2104" s="444">
        <v>2104</v>
      </c>
    </row>
    <row r="2105" spans="1:32" ht="12">
      <c r="A2105" s="83" t="s">
        <v>21773</v>
      </c>
      <c r="B2105" s="64" t="s">
        <v>21774</v>
      </c>
      <c r="C2105" s="71" t="s">
        <v>103</v>
      </c>
      <c r="D2105" s="79">
        <v>1</v>
      </c>
      <c r="E2105" s="79">
        <v>38.32</v>
      </c>
      <c r="F2105" s="79">
        <v>38.32</v>
      </c>
      <c r="G2105" s="445"/>
      <c r="H2105" s="178">
        <v>38.32</v>
      </c>
      <c r="I2105" s="178">
        <v>47.13</v>
      </c>
      <c r="J2105" s="70">
        <v>-8.8100000000000023</v>
      </c>
      <c r="K2105" s="320"/>
      <c r="L2105" s="178">
        <v>21.84</v>
      </c>
      <c r="M2105" s="178">
        <v>16.48</v>
      </c>
      <c r="N2105" s="179">
        <v>0</v>
      </c>
      <c r="O2105" s="178">
        <v>38.32</v>
      </c>
      <c r="P2105" s="453"/>
      <c r="Q2105" s="61"/>
      <c r="R2105" s="298"/>
      <c r="S2105" s="669"/>
      <c r="X2105" s="444">
        <v>2105</v>
      </c>
    </row>
    <row r="2106" spans="1:32" ht="12">
      <c r="A2106" s="83" t="s">
        <v>21775</v>
      </c>
      <c r="B2106" s="64" t="s">
        <v>21776</v>
      </c>
      <c r="C2106" s="71" t="s">
        <v>103</v>
      </c>
      <c r="D2106" s="79">
        <v>1</v>
      </c>
      <c r="E2106" s="79">
        <v>48.19</v>
      </c>
      <c r="F2106" s="79">
        <v>48.19</v>
      </c>
      <c r="G2106" s="445"/>
      <c r="H2106" s="178">
        <v>48.16</v>
      </c>
      <c r="I2106" s="178">
        <v>59.24</v>
      </c>
      <c r="J2106" s="70">
        <v>-11.050000000000004</v>
      </c>
      <c r="K2106" s="320"/>
      <c r="L2106" s="178">
        <v>27.33</v>
      </c>
      <c r="M2106" s="178">
        <v>20.86</v>
      </c>
      <c r="N2106" s="179">
        <v>0</v>
      </c>
      <c r="O2106" s="178">
        <v>48.19</v>
      </c>
      <c r="P2106" s="453"/>
      <c r="Q2106" s="61"/>
      <c r="R2106" s="298"/>
      <c r="S2106" s="669"/>
      <c r="X2106" s="444">
        <v>2106</v>
      </c>
    </row>
    <row r="2107" spans="1:32" ht="12">
      <c r="A2107" s="83" t="s">
        <v>21777</v>
      </c>
      <c r="B2107" s="64" t="s">
        <v>21778</v>
      </c>
      <c r="C2107" s="71" t="s">
        <v>103</v>
      </c>
      <c r="D2107" s="79">
        <v>1</v>
      </c>
      <c r="E2107" s="79">
        <v>17.46</v>
      </c>
      <c r="F2107" s="79">
        <v>17.46</v>
      </c>
      <c r="G2107" s="445"/>
      <c r="H2107" s="178">
        <v>17.45</v>
      </c>
      <c r="I2107" s="178">
        <v>21.46</v>
      </c>
      <c r="J2107" s="70">
        <v>-4</v>
      </c>
      <c r="K2107" s="320"/>
      <c r="L2107" s="178">
        <v>12.809999999999999</v>
      </c>
      <c r="M2107" s="178">
        <v>4.6500000000000021</v>
      </c>
      <c r="N2107" s="179">
        <v>0</v>
      </c>
      <c r="O2107" s="178">
        <v>17.46</v>
      </c>
      <c r="P2107" s="453"/>
      <c r="Q2107" s="61"/>
      <c r="R2107" s="298"/>
      <c r="S2107" s="669"/>
      <c r="X2107" s="444">
        <v>2107</v>
      </c>
    </row>
    <row r="2108" spans="1:32" s="73" customFormat="1" ht="12">
      <c r="A2108" s="83" t="s">
        <v>21779</v>
      </c>
      <c r="B2108" s="64" t="s">
        <v>21780</v>
      </c>
      <c r="C2108" s="71" t="s">
        <v>103</v>
      </c>
      <c r="D2108" s="79">
        <v>1</v>
      </c>
      <c r="E2108" s="79">
        <v>20.56</v>
      </c>
      <c r="F2108" s="79">
        <v>20.56</v>
      </c>
      <c r="G2108" s="445"/>
      <c r="H2108" s="178">
        <v>20.54</v>
      </c>
      <c r="I2108" s="178">
        <v>25.27</v>
      </c>
      <c r="J2108" s="70">
        <v>-4.7100000000000009</v>
      </c>
      <c r="K2108" s="320"/>
      <c r="L2108" s="178">
        <v>12.809999999999999</v>
      </c>
      <c r="M2108" s="178">
        <v>7.75</v>
      </c>
      <c r="N2108" s="179">
        <v>0</v>
      </c>
      <c r="O2108" s="178">
        <v>20.56</v>
      </c>
      <c r="P2108" s="453"/>
      <c r="Q2108" s="61"/>
      <c r="R2108" s="298"/>
      <c r="S2108" s="669"/>
      <c r="T2108" s="444"/>
      <c r="U2108" s="444"/>
      <c r="V2108" s="444"/>
      <c r="W2108" s="444"/>
      <c r="X2108" s="444">
        <v>2108</v>
      </c>
      <c r="Y2108" s="444"/>
      <c r="Z2108" s="444"/>
      <c r="AA2108" s="444"/>
      <c r="AB2108" s="444"/>
      <c r="AC2108" s="444"/>
      <c r="AD2108" s="444"/>
      <c r="AE2108" s="444"/>
      <c r="AF2108" s="444"/>
    </row>
    <row r="2109" spans="1:32" ht="12">
      <c r="A2109" s="83" t="s">
        <v>21781</v>
      </c>
      <c r="B2109" s="64" t="s">
        <v>21782</v>
      </c>
      <c r="C2109" s="71" t="s">
        <v>103</v>
      </c>
      <c r="D2109" s="79">
        <v>1</v>
      </c>
      <c r="E2109" s="79">
        <v>10.039999999999999</v>
      </c>
      <c r="F2109" s="79">
        <v>10.039999999999999</v>
      </c>
      <c r="G2109" s="445"/>
      <c r="H2109" s="178">
        <v>10.039999999999999</v>
      </c>
      <c r="I2109" s="178">
        <v>12.35</v>
      </c>
      <c r="J2109" s="70">
        <v>-2.3100000000000005</v>
      </c>
      <c r="K2109" s="320"/>
      <c r="L2109" s="178">
        <v>8.19</v>
      </c>
      <c r="M2109" s="178">
        <v>1.8499999999999996</v>
      </c>
      <c r="N2109" s="179">
        <v>0</v>
      </c>
      <c r="O2109" s="178">
        <v>10.039999999999999</v>
      </c>
      <c r="P2109" s="453"/>
      <c r="Q2109" s="61"/>
      <c r="R2109" s="298"/>
      <c r="S2109" s="669"/>
      <c r="X2109" s="444">
        <v>2109</v>
      </c>
    </row>
    <row r="2110" spans="1:32" ht="12">
      <c r="A2110" s="83" t="s">
        <v>21783</v>
      </c>
      <c r="B2110" s="64" t="s">
        <v>21784</v>
      </c>
      <c r="C2110" s="71" t="s">
        <v>103</v>
      </c>
      <c r="D2110" s="79">
        <v>1</v>
      </c>
      <c r="E2110" s="79">
        <v>24.81</v>
      </c>
      <c r="F2110" s="79">
        <v>24.81</v>
      </c>
      <c r="G2110" s="445"/>
      <c r="H2110" s="178">
        <v>24.81</v>
      </c>
      <c r="I2110" s="178">
        <v>30.52</v>
      </c>
      <c r="J2110" s="70">
        <v>-5.7100000000000009</v>
      </c>
      <c r="K2110" s="320"/>
      <c r="L2110" s="178">
        <v>16.38</v>
      </c>
      <c r="M2110" s="178">
        <v>8.43</v>
      </c>
      <c r="N2110" s="179">
        <v>0</v>
      </c>
      <c r="O2110" s="178">
        <v>24.81</v>
      </c>
      <c r="P2110" s="453"/>
      <c r="Q2110" s="61"/>
      <c r="R2110" s="298"/>
      <c r="S2110" s="669"/>
      <c r="X2110" s="444">
        <v>2110</v>
      </c>
    </row>
    <row r="2111" spans="1:32" ht="12">
      <c r="A2111" s="83" t="s">
        <v>21785</v>
      </c>
      <c r="B2111" s="64" t="s">
        <v>21786</v>
      </c>
      <c r="C2111" s="71" t="s">
        <v>103</v>
      </c>
      <c r="D2111" s="79">
        <v>1</v>
      </c>
      <c r="E2111" s="79">
        <v>24.89</v>
      </c>
      <c r="F2111" s="79">
        <v>24.89</v>
      </c>
      <c r="G2111" s="445"/>
      <c r="H2111" s="178">
        <v>24.89</v>
      </c>
      <c r="I2111" s="178">
        <v>30.61</v>
      </c>
      <c r="J2111" s="70">
        <v>-5.7199999999999989</v>
      </c>
      <c r="K2111" s="320"/>
      <c r="L2111" s="178">
        <v>16.38</v>
      </c>
      <c r="M2111" s="178">
        <v>8.5100000000000016</v>
      </c>
      <c r="N2111" s="179">
        <v>0</v>
      </c>
      <c r="O2111" s="178">
        <v>24.89</v>
      </c>
      <c r="P2111" s="453"/>
      <c r="Q2111" s="61"/>
      <c r="R2111" s="298"/>
      <c r="S2111" s="669"/>
      <c r="X2111" s="444">
        <v>2111</v>
      </c>
    </row>
    <row r="2112" spans="1:32" ht="12">
      <c r="A2112" s="83" t="s">
        <v>21787</v>
      </c>
      <c r="B2112" s="64" t="s">
        <v>21788</v>
      </c>
      <c r="C2112" s="71" t="s">
        <v>103</v>
      </c>
      <c r="D2112" s="79">
        <v>1</v>
      </c>
      <c r="E2112" s="79">
        <v>25.58</v>
      </c>
      <c r="F2112" s="79">
        <v>25.58</v>
      </c>
      <c r="G2112" s="445"/>
      <c r="H2112" s="178">
        <v>25.58</v>
      </c>
      <c r="I2112" s="178">
        <v>31.46</v>
      </c>
      <c r="J2112" s="70">
        <v>-5.8800000000000026</v>
      </c>
      <c r="K2112" s="320"/>
      <c r="L2112" s="178">
        <v>16.38</v>
      </c>
      <c r="M2112" s="178">
        <v>9.1999999999999993</v>
      </c>
      <c r="N2112" s="179">
        <v>0</v>
      </c>
      <c r="O2112" s="178">
        <v>25.58</v>
      </c>
      <c r="P2112" s="453"/>
      <c r="Q2112" s="61"/>
      <c r="R2112" s="298"/>
      <c r="S2112" s="669"/>
      <c r="X2112" s="444">
        <v>2112</v>
      </c>
    </row>
    <row r="2113" spans="1:24" ht="12">
      <c r="A2113" s="83" t="s">
        <v>21789</v>
      </c>
      <c r="B2113" s="64" t="s">
        <v>21790</v>
      </c>
      <c r="C2113" s="71" t="s">
        <v>103</v>
      </c>
      <c r="D2113" s="79">
        <v>1</v>
      </c>
      <c r="E2113" s="79">
        <v>31.42</v>
      </c>
      <c r="F2113" s="79">
        <v>31.42</v>
      </c>
      <c r="G2113" s="445"/>
      <c r="H2113" s="178">
        <v>31.42</v>
      </c>
      <c r="I2113" s="178">
        <v>38.65</v>
      </c>
      <c r="J2113" s="70">
        <v>-7.2299999999999969</v>
      </c>
      <c r="K2113" s="320"/>
      <c r="L2113" s="178">
        <v>21.84</v>
      </c>
      <c r="M2113" s="178">
        <v>9.5800000000000018</v>
      </c>
      <c r="N2113" s="179">
        <v>0</v>
      </c>
      <c r="O2113" s="178">
        <v>31.42</v>
      </c>
      <c r="P2113" s="453"/>
      <c r="Q2113" s="61"/>
      <c r="R2113" s="298"/>
      <c r="S2113" s="669"/>
      <c r="X2113" s="444">
        <v>2113</v>
      </c>
    </row>
    <row r="2114" spans="1:24" ht="12">
      <c r="A2114" s="83" t="s">
        <v>21791</v>
      </c>
      <c r="B2114" s="64" t="s">
        <v>21792</v>
      </c>
      <c r="C2114" s="71" t="s">
        <v>103</v>
      </c>
      <c r="D2114" s="79">
        <v>1</v>
      </c>
      <c r="E2114" s="79">
        <v>38.31</v>
      </c>
      <c r="F2114" s="79">
        <v>38.31</v>
      </c>
      <c r="G2114" s="445"/>
      <c r="H2114" s="178">
        <v>38.31</v>
      </c>
      <c r="I2114" s="178">
        <v>47.12</v>
      </c>
      <c r="J2114" s="70">
        <v>-8.8099999999999952</v>
      </c>
      <c r="K2114" s="320"/>
      <c r="L2114" s="178">
        <v>21.84</v>
      </c>
      <c r="M2114" s="178">
        <v>16.470000000000002</v>
      </c>
      <c r="N2114" s="179">
        <v>0</v>
      </c>
      <c r="O2114" s="178">
        <v>38.31</v>
      </c>
      <c r="P2114" s="453"/>
      <c r="Q2114" s="61"/>
      <c r="R2114" s="298"/>
      <c r="S2114" s="669"/>
      <c r="X2114" s="444">
        <v>2114</v>
      </c>
    </row>
    <row r="2115" spans="1:24" ht="12">
      <c r="A2115" s="83" t="s">
        <v>21793</v>
      </c>
      <c r="B2115" s="64" t="s">
        <v>21794</v>
      </c>
      <c r="C2115" s="71" t="s">
        <v>103</v>
      </c>
      <c r="D2115" s="79">
        <v>1</v>
      </c>
      <c r="E2115" s="79">
        <v>37.54</v>
      </c>
      <c r="F2115" s="79">
        <v>37.54</v>
      </c>
      <c r="G2115" s="445"/>
      <c r="H2115" s="178">
        <v>37.54</v>
      </c>
      <c r="I2115" s="178">
        <v>46.18</v>
      </c>
      <c r="J2115" s="70">
        <v>-8.64</v>
      </c>
      <c r="K2115" s="320"/>
      <c r="L2115" s="178">
        <v>21.84</v>
      </c>
      <c r="M2115" s="178">
        <v>15.7</v>
      </c>
      <c r="N2115" s="179">
        <v>0</v>
      </c>
      <c r="O2115" s="178">
        <v>37.54</v>
      </c>
      <c r="P2115" s="453"/>
      <c r="Q2115" s="61"/>
      <c r="R2115" s="298"/>
      <c r="S2115" s="669"/>
      <c r="X2115" s="444">
        <v>2115</v>
      </c>
    </row>
    <row r="2116" spans="1:24" ht="12">
      <c r="A2116" s="83" t="s">
        <v>21795</v>
      </c>
      <c r="B2116" s="64" t="s">
        <v>21796</v>
      </c>
      <c r="C2116" s="71" t="s">
        <v>103</v>
      </c>
      <c r="D2116" s="79">
        <v>1</v>
      </c>
      <c r="E2116" s="79">
        <v>45.18</v>
      </c>
      <c r="F2116" s="79">
        <v>45.18</v>
      </c>
      <c r="G2116" s="445"/>
      <c r="H2116" s="178">
        <v>45.18</v>
      </c>
      <c r="I2116" s="178">
        <v>55.57</v>
      </c>
      <c r="J2116" s="70">
        <v>-10.39</v>
      </c>
      <c r="K2116" s="320"/>
      <c r="L2116" s="178">
        <v>21.84</v>
      </c>
      <c r="M2116" s="178">
        <v>23.34</v>
      </c>
      <c r="N2116" s="179">
        <v>0</v>
      </c>
      <c r="O2116" s="178">
        <v>45.18</v>
      </c>
      <c r="P2116" s="453"/>
      <c r="Q2116" s="61"/>
      <c r="R2116" s="298"/>
      <c r="S2116" s="669"/>
      <c r="X2116" s="444">
        <v>2116</v>
      </c>
    </row>
    <row r="2117" spans="1:24" ht="12">
      <c r="A2117" s="83" t="s">
        <v>21797</v>
      </c>
      <c r="B2117" s="64" t="s">
        <v>21798</v>
      </c>
      <c r="C2117" s="71" t="s">
        <v>103</v>
      </c>
      <c r="D2117" s="79">
        <v>1</v>
      </c>
      <c r="E2117" s="79">
        <v>60.42</v>
      </c>
      <c r="F2117" s="79">
        <v>60.42</v>
      </c>
      <c r="G2117" s="445"/>
      <c r="H2117" s="178">
        <v>60.39</v>
      </c>
      <c r="I2117" s="178">
        <v>74.28</v>
      </c>
      <c r="J2117" s="70">
        <v>-13.86</v>
      </c>
      <c r="K2117" s="320"/>
      <c r="L2117" s="178">
        <v>27.33</v>
      </c>
      <c r="M2117" s="178">
        <v>33.090000000000003</v>
      </c>
      <c r="N2117" s="179">
        <v>0</v>
      </c>
      <c r="O2117" s="178">
        <v>60.42</v>
      </c>
      <c r="P2117" s="453"/>
      <c r="Q2117" s="61"/>
      <c r="R2117" s="298"/>
      <c r="S2117" s="669"/>
      <c r="X2117" s="444">
        <v>2117</v>
      </c>
    </row>
    <row r="2118" spans="1:24" ht="12">
      <c r="A2118" s="83" t="s">
        <v>21799</v>
      </c>
      <c r="B2118" s="64" t="s">
        <v>21800</v>
      </c>
      <c r="C2118" s="71" t="s">
        <v>103</v>
      </c>
      <c r="D2118" s="79">
        <v>1</v>
      </c>
      <c r="E2118" s="79">
        <v>60.61</v>
      </c>
      <c r="F2118" s="79">
        <v>60.61</v>
      </c>
      <c r="G2118" s="445"/>
      <c r="H2118" s="178">
        <v>60.59</v>
      </c>
      <c r="I2118" s="178">
        <v>74.52</v>
      </c>
      <c r="J2118" s="70">
        <v>-13.909999999999997</v>
      </c>
      <c r="K2118" s="320"/>
      <c r="L2118" s="178">
        <v>27.33</v>
      </c>
      <c r="M2118" s="178">
        <v>33.28</v>
      </c>
      <c r="N2118" s="179">
        <v>0</v>
      </c>
      <c r="O2118" s="178">
        <v>60.61</v>
      </c>
      <c r="P2118" s="453"/>
      <c r="Q2118" s="61"/>
      <c r="R2118" s="298"/>
      <c r="S2118" s="669"/>
      <c r="X2118" s="444">
        <v>2118</v>
      </c>
    </row>
    <row r="2119" spans="1:24" ht="12">
      <c r="A2119" s="83" t="s">
        <v>21801</v>
      </c>
      <c r="B2119" s="64" t="s">
        <v>21802</v>
      </c>
      <c r="C2119" s="71" t="s">
        <v>103</v>
      </c>
      <c r="D2119" s="79">
        <v>1</v>
      </c>
      <c r="E2119" s="79">
        <v>69.22999999999999</v>
      </c>
      <c r="F2119" s="79">
        <v>69.23</v>
      </c>
      <c r="G2119" s="445"/>
      <c r="H2119" s="178">
        <v>69.2</v>
      </c>
      <c r="I2119" s="178">
        <v>85.12</v>
      </c>
      <c r="J2119" s="70">
        <v>-15.890000000000015</v>
      </c>
      <c r="K2119" s="320"/>
      <c r="L2119" s="178">
        <v>27.33</v>
      </c>
      <c r="M2119" s="178">
        <v>41.899999999999991</v>
      </c>
      <c r="N2119" s="179">
        <v>0</v>
      </c>
      <c r="O2119" s="178">
        <v>69.22999999999999</v>
      </c>
      <c r="P2119" s="453"/>
      <c r="Q2119" s="61"/>
      <c r="R2119" s="298"/>
      <c r="S2119" s="669"/>
      <c r="X2119" s="444">
        <v>2119</v>
      </c>
    </row>
    <row r="2120" spans="1:24" ht="12">
      <c r="A2120" s="83" t="s">
        <v>21803</v>
      </c>
      <c r="B2120" s="64" t="s">
        <v>21804</v>
      </c>
      <c r="C2120" s="71" t="s">
        <v>103</v>
      </c>
      <c r="D2120" s="79">
        <v>1</v>
      </c>
      <c r="E2120" s="79">
        <v>74.31</v>
      </c>
      <c r="F2120" s="79">
        <v>74.31</v>
      </c>
      <c r="G2120" s="445"/>
      <c r="H2120" s="178">
        <v>74.28</v>
      </c>
      <c r="I2120" s="178">
        <v>91.37</v>
      </c>
      <c r="J2120" s="70">
        <v>-17.060000000000002</v>
      </c>
      <c r="K2120" s="320"/>
      <c r="L2120" s="178">
        <v>27.33</v>
      </c>
      <c r="M2120" s="178">
        <v>46.980000000000004</v>
      </c>
      <c r="N2120" s="179">
        <v>0</v>
      </c>
      <c r="O2120" s="178">
        <v>74.31</v>
      </c>
      <c r="P2120" s="453"/>
      <c r="Q2120" s="61"/>
      <c r="R2120" s="298"/>
      <c r="S2120" s="669"/>
      <c r="X2120" s="444">
        <v>2120</v>
      </c>
    </row>
    <row r="2121" spans="1:24" ht="12">
      <c r="A2121" s="83" t="s">
        <v>21805</v>
      </c>
      <c r="B2121" s="64" t="s">
        <v>21806</v>
      </c>
      <c r="C2121" s="71" t="s">
        <v>509</v>
      </c>
      <c r="D2121" s="79">
        <v>1</v>
      </c>
      <c r="E2121" s="79">
        <v>313.71000000000004</v>
      </c>
      <c r="F2121" s="79">
        <v>313.70999999999998</v>
      </c>
      <c r="G2121" s="445"/>
      <c r="H2121" s="178">
        <v>313.7</v>
      </c>
      <c r="I2121" s="178">
        <v>385.85</v>
      </c>
      <c r="J2121" s="70">
        <v>-72.139999999999986</v>
      </c>
      <c r="K2121" s="320"/>
      <c r="L2121" s="178">
        <v>163.84000000000003</v>
      </c>
      <c r="M2121" s="178">
        <v>149.87</v>
      </c>
      <c r="N2121" s="179">
        <v>0</v>
      </c>
      <c r="O2121" s="178">
        <v>313.71000000000004</v>
      </c>
      <c r="P2121" s="453"/>
      <c r="Q2121" s="61"/>
      <c r="R2121" s="298"/>
      <c r="S2121" s="669"/>
      <c r="X2121" s="444">
        <v>2121</v>
      </c>
    </row>
    <row r="2122" spans="1:24" ht="12">
      <c r="A2122" s="83" t="s">
        <v>21807</v>
      </c>
      <c r="B2122" s="64" t="s">
        <v>21808</v>
      </c>
      <c r="C2122" s="71" t="s">
        <v>103</v>
      </c>
      <c r="D2122" s="79">
        <v>1</v>
      </c>
      <c r="E2122" s="79">
        <v>84.7</v>
      </c>
      <c r="F2122" s="79">
        <v>84.7</v>
      </c>
      <c r="G2122" s="445"/>
      <c r="H2122" s="178">
        <v>84.7</v>
      </c>
      <c r="I2122" s="178">
        <v>104.18</v>
      </c>
      <c r="J2122" s="70">
        <v>-19.480000000000004</v>
      </c>
      <c r="K2122" s="320"/>
      <c r="L2122" s="178">
        <v>54.61</v>
      </c>
      <c r="M2122" s="178">
        <v>30.090000000000003</v>
      </c>
      <c r="N2122" s="179">
        <v>0</v>
      </c>
      <c r="O2122" s="178">
        <v>84.7</v>
      </c>
      <c r="P2122" s="453"/>
      <c r="Q2122" s="61"/>
      <c r="R2122" s="298"/>
      <c r="S2122" s="669"/>
      <c r="X2122" s="444">
        <v>2122</v>
      </c>
    </row>
    <row r="2123" spans="1:24" ht="12">
      <c r="A2123" s="83" t="s">
        <v>21809</v>
      </c>
      <c r="B2123" s="64" t="s">
        <v>21810</v>
      </c>
      <c r="C2123" s="71" t="s">
        <v>103</v>
      </c>
      <c r="D2123" s="79">
        <v>1</v>
      </c>
      <c r="E2123" s="79">
        <v>354.11</v>
      </c>
      <c r="F2123" s="79">
        <v>354.11</v>
      </c>
      <c r="G2123" s="445"/>
      <c r="H2123" s="178">
        <v>354.11</v>
      </c>
      <c r="I2123" s="178">
        <v>435.56</v>
      </c>
      <c r="J2123" s="70">
        <v>-81.449999999999989</v>
      </c>
      <c r="K2123" s="320"/>
      <c r="L2123" s="178">
        <v>109.22</v>
      </c>
      <c r="M2123" s="178">
        <v>244.89000000000001</v>
      </c>
      <c r="N2123" s="179">
        <v>0</v>
      </c>
      <c r="O2123" s="178">
        <v>354.11</v>
      </c>
      <c r="P2123" s="453"/>
      <c r="Q2123" s="61"/>
      <c r="R2123" s="298"/>
      <c r="S2123" s="669"/>
      <c r="X2123" s="444">
        <v>2123</v>
      </c>
    </row>
    <row r="2124" spans="1:24" ht="12">
      <c r="A2124" s="83" t="s">
        <v>21811</v>
      </c>
      <c r="B2124" s="64" t="s">
        <v>21812</v>
      </c>
      <c r="C2124" s="71" t="s">
        <v>103</v>
      </c>
      <c r="D2124" s="79">
        <v>1</v>
      </c>
      <c r="E2124" s="79">
        <v>530.27</v>
      </c>
      <c r="F2124" s="79">
        <v>530.27</v>
      </c>
      <c r="G2124" s="445"/>
      <c r="H2124" s="178">
        <v>530.27</v>
      </c>
      <c r="I2124" s="178">
        <v>652.23</v>
      </c>
      <c r="J2124" s="70">
        <v>-121.96000000000004</v>
      </c>
      <c r="K2124" s="320"/>
      <c r="L2124" s="178">
        <v>109.22</v>
      </c>
      <c r="M2124" s="178">
        <v>421.04999999999995</v>
      </c>
      <c r="N2124" s="179">
        <v>0</v>
      </c>
      <c r="O2124" s="178">
        <v>530.27</v>
      </c>
      <c r="P2124" s="453"/>
      <c r="Q2124" s="61"/>
      <c r="R2124" s="298"/>
      <c r="S2124" s="669"/>
      <c r="X2124" s="444">
        <v>2124</v>
      </c>
    </row>
    <row r="2125" spans="1:24" ht="12">
      <c r="A2125" s="83" t="s">
        <v>21813</v>
      </c>
      <c r="B2125" s="64" t="s">
        <v>21814</v>
      </c>
      <c r="C2125" s="71" t="s">
        <v>103</v>
      </c>
      <c r="D2125" s="79">
        <v>1</v>
      </c>
      <c r="E2125" s="79">
        <v>1240.25</v>
      </c>
      <c r="F2125" s="79">
        <v>1240.25</v>
      </c>
      <c r="G2125" s="445"/>
      <c r="H2125" s="178">
        <v>1240.24</v>
      </c>
      <c r="I2125" s="178">
        <v>1525.5</v>
      </c>
      <c r="J2125" s="70">
        <v>-285.25</v>
      </c>
      <c r="K2125" s="320"/>
      <c r="L2125" s="178">
        <v>163.84000000000003</v>
      </c>
      <c r="M2125" s="178">
        <v>1076.4099999999999</v>
      </c>
      <c r="N2125" s="179">
        <v>0</v>
      </c>
      <c r="O2125" s="178">
        <v>1240.25</v>
      </c>
      <c r="P2125" s="453"/>
      <c r="Q2125" s="61"/>
      <c r="R2125" s="298"/>
      <c r="S2125" s="669"/>
      <c r="X2125" s="444">
        <v>2125</v>
      </c>
    </row>
    <row r="2126" spans="1:24" ht="12">
      <c r="A2126" s="83" t="s">
        <v>21815</v>
      </c>
      <c r="B2126" s="64" t="s">
        <v>21816</v>
      </c>
      <c r="C2126" s="71" t="s">
        <v>103</v>
      </c>
      <c r="D2126" s="79">
        <v>1</v>
      </c>
      <c r="E2126" s="79">
        <v>2257.5499999999997</v>
      </c>
      <c r="F2126" s="79">
        <v>2257.5500000000002</v>
      </c>
      <c r="G2126" s="445"/>
      <c r="H2126" s="178">
        <v>2257.54</v>
      </c>
      <c r="I2126" s="178">
        <v>2776.78</v>
      </c>
      <c r="J2126" s="70">
        <v>-519.23000000000047</v>
      </c>
      <c r="K2126" s="320"/>
      <c r="L2126" s="178">
        <v>218.45</v>
      </c>
      <c r="M2126" s="178">
        <v>2039.0999999999997</v>
      </c>
      <c r="N2126" s="179">
        <v>0</v>
      </c>
      <c r="O2126" s="178">
        <v>2257.5499999999997</v>
      </c>
      <c r="P2126" s="453"/>
      <c r="Q2126" s="61"/>
      <c r="R2126" s="298"/>
      <c r="S2126" s="669"/>
      <c r="X2126" s="444">
        <v>2126</v>
      </c>
    </row>
    <row r="2127" spans="1:24" ht="12">
      <c r="A2127" s="83" t="s">
        <v>21817</v>
      </c>
      <c r="B2127" s="64" t="s">
        <v>21818</v>
      </c>
      <c r="C2127" s="71" t="s">
        <v>165</v>
      </c>
      <c r="D2127" s="79">
        <v>1</v>
      </c>
      <c r="E2127" s="79">
        <v>51.01</v>
      </c>
      <c r="F2127" s="79">
        <v>51.01</v>
      </c>
      <c r="G2127" s="445"/>
      <c r="H2127" s="178">
        <v>50.98</v>
      </c>
      <c r="I2127" s="178">
        <v>62.71</v>
      </c>
      <c r="J2127" s="70">
        <v>-11.700000000000003</v>
      </c>
      <c r="K2127" s="320"/>
      <c r="L2127" s="178">
        <v>27.33</v>
      </c>
      <c r="M2127" s="178">
        <v>23.68</v>
      </c>
      <c r="N2127" s="179">
        <v>0</v>
      </c>
      <c r="O2127" s="178">
        <v>51.01</v>
      </c>
      <c r="P2127" s="453"/>
      <c r="Q2127" s="61"/>
      <c r="R2127" s="298"/>
      <c r="S2127" s="669"/>
      <c r="X2127" s="444">
        <v>2127</v>
      </c>
    </row>
    <row r="2128" spans="1:24" ht="12">
      <c r="A2128" s="83" t="s">
        <v>21819</v>
      </c>
      <c r="B2128" s="64" t="s">
        <v>21820</v>
      </c>
      <c r="C2128" s="71" t="s">
        <v>10216</v>
      </c>
      <c r="D2128" s="79">
        <v>1</v>
      </c>
      <c r="E2128" s="79">
        <v>577.26</v>
      </c>
      <c r="F2128" s="79">
        <v>577.26</v>
      </c>
      <c r="G2128" s="445"/>
      <c r="H2128" s="178">
        <v>577.25</v>
      </c>
      <c r="I2128" s="178">
        <v>710.02</v>
      </c>
      <c r="J2128" s="70">
        <v>-132.76</v>
      </c>
      <c r="K2128" s="320"/>
      <c r="L2128" s="178"/>
      <c r="M2128" s="178">
        <v>577.26</v>
      </c>
      <c r="N2128" s="179">
        <v>0</v>
      </c>
      <c r="O2128" s="178">
        <v>577.26</v>
      </c>
      <c r="P2128" s="453"/>
      <c r="Q2128" s="61"/>
      <c r="R2128" s="298"/>
      <c r="S2128" s="669"/>
      <c r="X2128" s="444">
        <v>2128</v>
      </c>
    </row>
    <row r="2129" spans="1:24" ht="12">
      <c r="A2129" s="83" t="s">
        <v>39840</v>
      </c>
      <c r="B2129" s="64" t="s">
        <v>39839</v>
      </c>
      <c r="C2129" s="71"/>
      <c r="D2129" s="79" t="s">
        <v>40899</v>
      </c>
      <c r="E2129" s="79" t="s">
        <v>40899</v>
      </c>
      <c r="F2129" s="79"/>
      <c r="G2129" s="445"/>
      <c r="H2129" s="178"/>
      <c r="I2129" s="178"/>
      <c r="J2129" s="70"/>
      <c r="K2129" s="320"/>
      <c r="L2129" s="178"/>
      <c r="M2129" s="178"/>
      <c r="N2129" s="179"/>
      <c r="O2129" s="178"/>
      <c r="P2129" s="453"/>
      <c r="Q2129" s="61"/>
      <c r="R2129" s="298"/>
      <c r="S2129" s="669"/>
      <c r="X2129" s="444">
        <v>2129</v>
      </c>
    </row>
    <row r="2130" spans="1:24" ht="12">
      <c r="A2130" s="83" t="s">
        <v>21821</v>
      </c>
      <c r="B2130" s="64" t="s">
        <v>21822</v>
      </c>
      <c r="C2130" s="71" t="s">
        <v>103</v>
      </c>
      <c r="D2130" s="79">
        <v>1</v>
      </c>
      <c r="E2130" s="79">
        <v>453.57000000000005</v>
      </c>
      <c r="F2130" s="79">
        <v>453.57</v>
      </c>
      <c r="G2130" s="445"/>
      <c r="H2130" s="178">
        <v>453.56</v>
      </c>
      <c r="I2130" s="178">
        <v>557.88</v>
      </c>
      <c r="J2130" s="70">
        <v>-104.30999999999995</v>
      </c>
      <c r="K2130" s="320"/>
      <c r="L2130" s="178">
        <v>163.84000000000003</v>
      </c>
      <c r="M2130" s="178">
        <v>289.73</v>
      </c>
      <c r="N2130" s="179">
        <v>0</v>
      </c>
      <c r="O2130" s="178">
        <v>453.57000000000005</v>
      </c>
      <c r="P2130" s="453"/>
      <c r="Q2130" s="61"/>
      <c r="R2130" s="298"/>
      <c r="S2130" s="669"/>
      <c r="X2130" s="444">
        <v>2130</v>
      </c>
    </row>
    <row r="2131" spans="1:24" ht="12">
      <c r="A2131" s="83" t="s">
        <v>21823</v>
      </c>
      <c r="B2131" s="64" t="s">
        <v>21824</v>
      </c>
      <c r="C2131" s="71" t="s">
        <v>103</v>
      </c>
      <c r="D2131" s="79">
        <v>1</v>
      </c>
      <c r="E2131" s="79">
        <v>1956.9</v>
      </c>
      <c r="F2131" s="79">
        <v>1956.9</v>
      </c>
      <c r="G2131" s="445"/>
      <c r="H2131" s="178">
        <v>1956.89</v>
      </c>
      <c r="I2131" s="178">
        <v>2406.98</v>
      </c>
      <c r="J2131" s="70">
        <v>-450.07999999999993</v>
      </c>
      <c r="K2131" s="320"/>
      <c r="L2131" s="178">
        <v>163.84000000000003</v>
      </c>
      <c r="M2131" s="178">
        <v>1793.06</v>
      </c>
      <c r="N2131" s="179">
        <v>0</v>
      </c>
      <c r="O2131" s="178">
        <v>1956.9</v>
      </c>
      <c r="P2131" s="453"/>
      <c r="Q2131" s="61"/>
      <c r="R2131" s="298"/>
      <c r="S2131" s="669"/>
      <c r="X2131" s="444">
        <v>2131</v>
      </c>
    </row>
    <row r="2132" spans="1:24" ht="12">
      <c r="A2132" s="83" t="s">
        <v>21825</v>
      </c>
      <c r="B2132" s="64" t="s">
        <v>21826</v>
      </c>
      <c r="C2132" s="71" t="s">
        <v>103</v>
      </c>
      <c r="D2132" s="79">
        <v>1</v>
      </c>
      <c r="E2132" s="79">
        <v>1903.6000000000001</v>
      </c>
      <c r="F2132" s="79">
        <v>1903.6</v>
      </c>
      <c r="G2132" s="445"/>
      <c r="H2132" s="178">
        <v>1903.59</v>
      </c>
      <c r="I2132" s="178">
        <v>2341.42</v>
      </c>
      <c r="J2132" s="70">
        <v>-437.81999999999994</v>
      </c>
      <c r="K2132" s="320"/>
      <c r="L2132" s="178">
        <v>218.45</v>
      </c>
      <c r="M2132" s="178">
        <v>1685.15</v>
      </c>
      <c r="N2132" s="179">
        <v>0</v>
      </c>
      <c r="O2132" s="178">
        <v>1903.6000000000001</v>
      </c>
      <c r="P2132" s="453"/>
      <c r="Q2132" s="61"/>
      <c r="R2132" s="298"/>
      <c r="S2132" s="669"/>
      <c r="X2132" s="444">
        <v>2132</v>
      </c>
    </row>
    <row r="2133" spans="1:24" ht="12">
      <c r="A2133" s="83" t="s">
        <v>21827</v>
      </c>
      <c r="B2133" s="64" t="s">
        <v>21828</v>
      </c>
      <c r="C2133" s="71" t="s">
        <v>103</v>
      </c>
      <c r="D2133" s="79">
        <v>1</v>
      </c>
      <c r="E2133" s="79">
        <v>76.3</v>
      </c>
      <c r="F2133" s="79">
        <v>76.3</v>
      </c>
      <c r="G2133" s="445"/>
      <c r="H2133" s="178">
        <v>76.3</v>
      </c>
      <c r="I2133" s="178">
        <v>93.85</v>
      </c>
      <c r="J2133" s="70">
        <v>-17.549999999999997</v>
      </c>
      <c r="K2133" s="320"/>
      <c r="L2133" s="178">
        <v>10.92</v>
      </c>
      <c r="M2133" s="178">
        <v>65.38</v>
      </c>
      <c r="N2133" s="179">
        <v>0</v>
      </c>
      <c r="O2133" s="178">
        <v>76.3</v>
      </c>
      <c r="P2133" s="453"/>
      <c r="Q2133" s="61"/>
      <c r="R2133" s="298"/>
      <c r="S2133" s="669"/>
      <c r="X2133" s="444">
        <v>2133</v>
      </c>
    </row>
    <row r="2134" spans="1:24" ht="12">
      <c r="A2134" s="83" t="s">
        <v>21829</v>
      </c>
      <c r="B2134" s="64" t="s">
        <v>21830</v>
      </c>
      <c r="C2134" s="71" t="s">
        <v>103</v>
      </c>
      <c r="D2134" s="79">
        <v>1</v>
      </c>
      <c r="E2134" s="79">
        <v>264.06</v>
      </c>
      <c r="F2134" s="79">
        <v>264.06</v>
      </c>
      <c r="G2134" s="445"/>
      <c r="H2134" s="178">
        <v>264.06</v>
      </c>
      <c r="I2134" s="178">
        <v>324.79000000000002</v>
      </c>
      <c r="J2134" s="70">
        <v>-60.730000000000018</v>
      </c>
      <c r="K2134" s="320"/>
      <c r="L2134" s="178">
        <v>10.92</v>
      </c>
      <c r="M2134" s="178">
        <v>253.14000000000001</v>
      </c>
      <c r="N2134" s="179">
        <v>0</v>
      </c>
      <c r="O2134" s="178">
        <v>264.06</v>
      </c>
      <c r="P2134" s="453"/>
      <c r="Q2134" s="61"/>
      <c r="R2134" s="298"/>
      <c r="S2134" s="669"/>
      <c r="X2134" s="444">
        <v>2134</v>
      </c>
    </row>
    <row r="2135" spans="1:24" ht="12">
      <c r="A2135" s="83" t="s">
        <v>21831</v>
      </c>
      <c r="B2135" s="64" t="s">
        <v>21832</v>
      </c>
      <c r="C2135" s="71" t="s">
        <v>103</v>
      </c>
      <c r="D2135" s="79">
        <v>1</v>
      </c>
      <c r="E2135" s="79">
        <v>186.35</v>
      </c>
      <c r="F2135" s="79">
        <v>186.35</v>
      </c>
      <c r="G2135" s="445"/>
      <c r="H2135" s="178">
        <v>186.35</v>
      </c>
      <c r="I2135" s="178">
        <v>229.21</v>
      </c>
      <c r="J2135" s="70">
        <v>-42.860000000000014</v>
      </c>
      <c r="K2135" s="320"/>
      <c r="L2135" s="178">
        <v>10.92</v>
      </c>
      <c r="M2135" s="178">
        <v>175.43</v>
      </c>
      <c r="N2135" s="179">
        <v>0</v>
      </c>
      <c r="O2135" s="178">
        <v>186.35</v>
      </c>
      <c r="P2135" s="453"/>
      <c r="Q2135" s="61"/>
      <c r="R2135" s="298"/>
      <c r="S2135" s="669"/>
      <c r="X2135" s="444">
        <v>2135</v>
      </c>
    </row>
    <row r="2136" spans="1:24" ht="12">
      <c r="A2136" s="83" t="s">
        <v>21833</v>
      </c>
      <c r="B2136" s="64" t="s">
        <v>21834</v>
      </c>
      <c r="C2136" s="71" t="s">
        <v>103</v>
      </c>
      <c r="D2136" s="79">
        <v>1</v>
      </c>
      <c r="E2136" s="79">
        <v>20.97</v>
      </c>
      <c r="F2136" s="79">
        <v>20.97</v>
      </c>
      <c r="G2136" s="445"/>
      <c r="H2136" s="178">
        <v>20.97</v>
      </c>
      <c r="I2136" s="178">
        <v>25.79</v>
      </c>
      <c r="J2136" s="70">
        <v>-4.82</v>
      </c>
      <c r="K2136" s="320"/>
      <c r="L2136" s="178">
        <v>10.92</v>
      </c>
      <c r="M2136" s="178">
        <v>10.049999999999999</v>
      </c>
      <c r="N2136" s="179">
        <v>0</v>
      </c>
      <c r="O2136" s="178">
        <v>20.97</v>
      </c>
      <c r="P2136" s="453"/>
      <c r="Q2136" s="61"/>
      <c r="R2136" s="298"/>
      <c r="S2136" s="669"/>
      <c r="X2136" s="444">
        <v>2136</v>
      </c>
    </row>
    <row r="2137" spans="1:24" ht="12">
      <c r="A2137" s="83" t="s">
        <v>21835</v>
      </c>
      <c r="B2137" s="64" t="s">
        <v>21836</v>
      </c>
      <c r="C2137" s="71" t="s">
        <v>103</v>
      </c>
      <c r="D2137" s="79">
        <v>1</v>
      </c>
      <c r="E2137" s="79">
        <v>27.409999999999997</v>
      </c>
      <c r="F2137" s="79">
        <v>27.41</v>
      </c>
      <c r="G2137" s="445"/>
      <c r="H2137" s="178">
        <v>27.41</v>
      </c>
      <c r="I2137" s="178">
        <v>33.71</v>
      </c>
      <c r="J2137" s="70">
        <v>-6.3000000000000043</v>
      </c>
      <c r="K2137" s="320"/>
      <c r="L2137" s="178">
        <v>10.92</v>
      </c>
      <c r="M2137" s="178">
        <v>16.489999999999995</v>
      </c>
      <c r="N2137" s="179">
        <v>0</v>
      </c>
      <c r="O2137" s="178">
        <v>27.409999999999997</v>
      </c>
      <c r="P2137" s="453"/>
      <c r="Q2137" s="61"/>
      <c r="R2137" s="298"/>
      <c r="S2137" s="669"/>
      <c r="X2137" s="444">
        <v>2137</v>
      </c>
    </row>
    <row r="2138" spans="1:24" ht="12">
      <c r="A2138" s="83" t="s">
        <v>21837</v>
      </c>
      <c r="B2138" s="64" t="s">
        <v>21838</v>
      </c>
      <c r="C2138" s="71" t="s">
        <v>103</v>
      </c>
      <c r="D2138" s="79">
        <v>1</v>
      </c>
      <c r="E2138" s="79">
        <v>43.64</v>
      </c>
      <c r="F2138" s="79">
        <v>43.64</v>
      </c>
      <c r="G2138" s="445"/>
      <c r="H2138" s="178">
        <v>43.64</v>
      </c>
      <c r="I2138" s="178">
        <v>53.68</v>
      </c>
      <c r="J2138" s="70">
        <v>-10.039999999999999</v>
      </c>
      <c r="K2138" s="320"/>
      <c r="L2138" s="178">
        <v>10.92</v>
      </c>
      <c r="M2138" s="178">
        <v>32.72</v>
      </c>
      <c r="N2138" s="179">
        <v>0</v>
      </c>
      <c r="O2138" s="178">
        <v>43.64</v>
      </c>
      <c r="P2138" s="453"/>
      <c r="Q2138" s="61"/>
      <c r="R2138" s="298"/>
      <c r="S2138" s="669"/>
      <c r="X2138" s="444">
        <v>2138</v>
      </c>
    </row>
    <row r="2139" spans="1:24" ht="12">
      <c r="A2139" s="83" t="s">
        <v>21839</v>
      </c>
      <c r="B2139" s="64" t="s">
        <v>21840</v>
      </c>
      <c r="C2139" s="71" t="s">
        <v>103</v>
      </c>
      <c r="D2139" s="79">
        <v>1</v>
      </c>
      <c r="E2139" s="79">
        <v>120.53</v>
      </c>
      <c r="F2139" s="79">
        <v>120.53</v>
      </c>
      <c r="G2139" s="445"/>
      <c r="H2139" s="178">
        <v>120.53</v>
      </c>
      <c r="I2139" s="178">
        <v>148.25</v>
      </c>
      <c r="J2139" s="70">
        <v>-27.72</v>
      </c>
      <c r="K2139" s="320"/>
      <c r="L2139" s="178">
        <v>43.69</v>
      </c>
      <c r="M2139" s="178">
        <v>76.84</v>
      </c>
      <c r="N2139" s="179">
        <v>0</v>
      </c>
      <c r="O2139" s="178">
        <v>120.53</v>
      </c>
      <c r="P2139" s="453"/>
      <c r="Q2139" s="61"/>
      <c r="R2139" s="298"/>
      <c r="S2139" s="669"/>
      <c r="X2139" s="444">
        <v>2139</v>
      </c>
    </row>
    <row r="2140" spans="1:24" ht="12">
      <c r="A2140" s="83" t="s">
        <v>21841</v>
      </c>
      <c r="B2140" s="64" t="s">
        <v>21842</v>
      </c>
      <c r="C2140" s="71" t="s">
        <v>103</v>
      </c>
      <c r="D2140" s="79">
        <v>1</v>
      </c>
      <c r="E2140" s="79">
        <v>127.89000000000001</v>
      </c>
      <c r="F2140" s="79">
        <v>127.89</v>
      </c>
      <c r="G2140" s="445"/>
      <c r="H2140" s="178">
        <v>127.89</v>
      </c>
      <c r="I2140" s="178">
        <v>157.30000000000001</v>
      </c>
      <c r="J2140" s="70">
        <v>-29.409999999999997</v>
      </c>
      <c r="K2140" s="320"/>
      <c r="L2140" s="178">
        <v>40.960000000000008</v>
      </c>
      <c r="M2140" s="178">
        <v>86.93</v>
      </c>
      <c r="N2140" s="179">
        <v>0</v>
      </c>
      <c r="O2140" s="178">
        <v>127.89000000000001</v>
      </c>
      <c r="P2140" s="453"/>
      <c r="Q2140" s="61"/>
      <c r="R2140" s="298"/>
      <c r="S2140" s="669"/>
      <c r="X2140" s="444">
        <v>2140</v>
      </c>
    </row>
    <row r="2141" spans="1:24" ht="12">
      <c r="A2141" s="83" t="s">
        <v>21843</v>
      </c>
      <c r="B2141" s="64" t="s">
        <v>8644</v>
      </c>
      <c r="C2141" s="71" t="s">
        <v>103</v>
      </c>
      <c r="D2141" s="79">
        <v>1</v>
      </c>
      <c r="E2141" s="79">
        <v>550.48</v>
      </c>
      <c r="F2141" s="79">
        <v>550.48</v>
      </c>
      <c r="G2141" s="445"/>
      <c r="H2141" s="178">
        <v>550.48</v>
      </c>
      <c r="I2141" s="178">
        <v>677.09</v>
      </c>
      <c r="J2141" s="70">
        <v>-126.61000000000001</v>
      </c>
      <c r="K2141" s="320"/>
      <c r="L2141" s="178">
        <v>54.61</v>
      </c>
      <c r="M2141" s="178">
        <v>495.87</v>
      </c>
      <c r="N2141" s="179">
        <v>0</v>
      </c>
      <c r="O2141" s="178">
        <v>550.48</v>
      </c>
      <c r="P2141" s="453"/>
      <c r="Q2141" s="61"/>
      <c r="R2141" s="298"/>
      <c r="S2141" s="669"/>
      <c r="X2141" s="444">
        <v>2141</v>
      </c>
    </row>
    <row r="2142" spans="1:24" ht="12">
      <c r="A2142" s="83" t="s">
        <v>21844</v>
      </c>
      <c r="B2142" s="64" t="s">
        <v>21845</v>
      </c>
      <c r="C2142" s="71" t="s">
        <v>103</v>
      </c>
      <c r="D2142" s="79">
        <v>1</v>
      </c>
      <c r="E2142" s="79">
        <v>111.64000000000001</v>
      </c>
      <c r="F2142" s="79">
        <v>111.64</v>
      </c>
      <c r="G2142" s="445"/>
      <c r="H2142" s="178">
        <v>111.63</v>
      </c>
      <c r="I2142" s="178">
        <v>137.31</v>
      </c>
      <c r="J2142" s="70">
        <v>-25.669999999999987</v>
      </c>
      <c r="K2142" s="320"/>
      <c r="L2142" s="178">
        <v>40.960000000000008</v>
      </c>
      <c r="M2142" s="178">
        <v>70.680000000000007</v>
      </c>
      <c r="N2142" s="179">
        <v>0</v>
      </c>
      <c r="O2142" s="178">
        <v>111.64000000000001</v>
      </c>
      <c r="P2142" s="453"/>
      <c r="Q2142" s="61"/>
      <c r="R2142" s="298"/>
      <c r="S2142" s="669"/>
      <c r="X2142" s="444">
        <v>2142</v>
      </c>
    </row>
    <row r="2143" spans="1:24" ht="12">
      <c r="A2143" s="83" t="s">
        <v>21846</v>
      </c>
      <c r="B2143" s="64" t="s">
        <v>21847</v>
      </c>
      <c r="C2143" s="71" t="s">
        <v>103</v>
      </c>
      <c r="D2143" s="79">
        <v>1</v>
      </c>
      <c r="E2143" s="79">
        <v>140.55000000000001</v>
      </c>
      <c r="F2143" s="79">
        <v>140.55000000000001</v>
      </c>
      <c r="G2143" s="445"/>
      <c r="H2143" s="178">
        <v>140.54</v>
      </c>
      <c r="I2143" s="178">
        <v>172.87</v>
      </c>
      <c r="J2143" s="70">
        <v>-32.319999999999993</v>
      </c>
      <c r="K2143" s="320"/>
      <c r="L2143" s="178">
        <v>40.960000000000008</v>
      </c>
      <c r="M2143" s="178">
        <v>99.59</v>
      </c>
      <c r="N2143" s="179">
        <v>0</v>
      </c>
      <c r="O2143" s="178">
        <v>140.55000000000001</v>
      </c>
      <c r="P2143" s="453"/>
      <c r="Q2143" s="61"/>
      <c r="R2143" s="298"/>
      <c r="S2143" s="669"/>
      <c r="X2143" s="444">
        <v>2143</v>
      </c>
    </row>
    <row r="2144" spans="1:24" ht="12">
      <c r="A2144" s="83" t="s">
        <v>21848</v>
      </c>
      <c r="B2144" s="64" t="s">
        <v>8646</v>
      </c>
      <c r="C2144" s="71" t="s">
        <v>103</v>
      </c>
      <c r="D2144" s="79">
        <v>1</v>
      </c>
      <c r="E2144" s="79">
        <v>1454.92</v>
      </c>
      <c r="F2144" s="79">
        <v>1454.92</v>
      </c>
      <c r="G2144" s="445"/>
      <c r="H2144" s="178">
        <v>1454.92</v>
      </c>
      <c r="I2144" s="178">
        <v>1789.55</v>
      </c>
      <c r="J2144" s="70">
        <v>-334.62999999999988</v>
      </c>
      <c r="K2144" s="320"/>
      <c r="L2144" s="178">
        <v>109.22</v>
      </c>
      <c r="M2144" s="178">
        <v>1345.7</v>
      </c>
      <c r="N2144" s="179">
        <v>0</v>
      </c>
      <c r="O2144" s="178">
        <v>1454.92</v>
      </c>
      <c r="P2144" s="453"/>
      <c r="Q2144" s="61"/>
      <c r="R2144" s="298"/>
      <c r="S2144" s="669"/>
      <c r="X2144" s="444">
        <v>2144</v>
      </c>
    </row>
    <row r="2145" spans="1:32" ht="12">
      <c r="A2145" s="83" t="s">
        <v>21849</v>
      </c>
      <c r="B2145" s="64" t="s">
        <v>8648</v>
      </c>
      <c r="C2145" s="71" t="s">
        <v>103</v>
      </c>
      <c r="D2145" s="79">
        <v>1</v>
      </c>
      <c r="E2145" s="79">
        <v>1987.8700000000001</v>
      </c>
      <c r="F2145" s="79">
        <v>1987.87</v>
      </c>
      <c r="G2145" s="445"/>
      <c r="H2145" s="178">
        <v>1987.87</v>
      </c>
      <c r="I2145" s="178">
        <v>2445.08</v>
      </c>
      <c r="J2145" s="70">
        <v>-457.20999999999981</v>
      </c>
      <c r="K2145" s="320"/>
      <c r="L2145" s="178">
        <v>109.22</v>
      </c>
      <c r="M2145" s="178">
        <v>1878.65</v>
      </c>
      <c r="N2145" s="179">
        <v>0</v>
      </c>
      <c r="O2145" s="178">
        <v>1987.8700000000001</v>
      </c>
      <c r="P2145" s="453"/>
      <c r="Q2145" s="61"/>
      <c r="R2145" s="298"/>
      <c r="S2145" s="669"/>
      <c r="X2145" s="444">
        <v>2145</v>
      </c>
    </row>
    <row r="2146" spans="1:32" ht="24">
      <c r="A2146" s="83" t="s">
        <v>21850</v>
      </c>
      <c r="B2146" s="64" t="s">
        <v>21851</v>
      </c>
      <c r="C2146" s="71" t="s">
        <v>103</v>
      </c>
      <c r="D2146" s="79">
        <v>1</v>
      </c>
      <c r="E2146" s="79">
        <v>285.99</v>
      </c>
      <c r="F2146" s="79">
        <v>285.99</v>
      </c>
      <c r="G2146" s="445"/>
      <c r="H2146" s="178">
        <v>285.98</v>
      </c>
      <c r="I2146" s="178">
        <v>351.76</v>
      </c>
      <c r="J2146" s="70">
        <v>-65.769999999999982</v>
      </c>
      <c r="K2146" s="320"/>
      <c r="L2146" s="178">
        <v>49.150000000000006</v>
      </c>
      <c r="M2146" s="178">
        <v>236.84</v>
      </c>
      <c r="N2146" s="179">
        <v>0</v>
      </c>
      <c r="O2146" s="178">
        <v>285.99</v>
      </c>
      <c r="P2146" s="453"/>
      <c r="Q2146" s="61"/>
      <c r="R2146" s="298"/>
      <c r="S2146" s="669"/>
      <c r="X2146" s="444">
        <v>2146</v>
      </c>
    </row>
    <row r="2147" spans="1:32" ht="24">
      <c r="A2147" s="83" t="s">
        <v>21852</v>
      </c>
      <c r="B2147" s="64" t="s">
        <v>21853</v>
      </c>
      <c r="C2147" s="71" t="s">
        <v>103</v>
      </c>
      <c r="D2147" s="79">
        <v>1</v>
      </c>
      <c r="E2147" s="79">
        <v>290.59000000000003</v>
      </c>
      <c r="F2147" s="79">
        <v>290.58999999999997</v>
      </c>
      <c r="G2147" s="445"/>
      <c r="H2147" s="178">
        <v>290.58999999999997</v>
      </c>
      <c r="I2147" s="178">
        <v>357.42</v>
      </c>
      <c r="J2147" s="70">
        <v>-66.829999999999984</v>
      </c>
      <c r="K2147" s="320"/>
      <c r="L2147" s="178">
        <v>49.150000000000006</v>
      </c>
      <c r="M2147" s="178">
        <v>241.44000000000003</v>
      </c>
      <c r="N2147" s="179">
        <v>0</v>
      </c>
      <c r="O2147" s="178">
        <v>290.59000000000003</v>
      </c>
      <c r="P2147" s="453"/>
      <c r="Q2147" s="61"/>
      <c r="R2147" s="298"/>
      <c r="S2147" s="669"/>
      <c r="U2147" s="69"/>
      <c r="V2147" s="69"/>
      <c r="W2147" s="69"/>
      <c r="X2147" s="444">
        <v>2147</v>
      </c>
      <c r="Y2147" s="69"/>
      <c r="Z2147" s="69"/>
      <c r="AA2147" s="69"/>
      <c r="AB2147" s="69"/>
      <c r="AC2147" s="69"/>
      <c r="AD2147" s="69"/>
      <c r="AE2147" s="69"/>
      <c r="AF2147" s="69"/>
    </row>
    <row r="2148" spans="1:32" ht="24">
      <c r="A2148" s="83" t="s">
        <v>21854</v>
      </c>
      <c r="B2148" s="64" t="s">
        <v>21855</v>
      </c>
      <c r="C2148" s="71" t="s">
        <v>103</v>
      </c>
      <c r="D2148" s="79">
        <v>1</v>
      </c>
      <c r="E2148" s="79">
        <v>327.10000000000002</v>
      </c>
      <c r="F2148" s="79">
        <v>327.10000000000002</v>
      </c>
      <c r="G2148" s="445"/>
      <c r="H2148" s="178">
        <v>327.10000000000002</v>
      </c>
      <c r="I2148" s="178">
        <v>402.33</v>
      </c>
      <c r="J2148" s="70">
        <v>-75.229999999999961</v>
      </c>
      <c r="K2148" s="320"/>
      <c r="L2148" s="178">
        <v>49.150000000000006</v>
      </c>
      <c r="M2148" s="178">
        <v>277.95000000000005</v>
      </c>
      <c r="N2148" s="179">
        <v>0</v>
      </c>
      <c r="O2148" s="178">
        <v>327.10000000000002</v>
      </c>
      <c r="P2148" s="453"/>
      <c r="Q2148" s="61"/>
      <c r="R2148" s="298"/>
      <c r="S2148" s="669"/>
      <c r="U2148" s="69"/>
      <c r="V2148" s="69"/>
      <c r="W2148" s="69"/>
      <c r="X2148" s="444">
        <v>2148</v>
      </c>
      <c r="Y2148" s="69"/>
      <c r="Z2148" s="69"/>
      <c r="AA2148" s="69"/>
      <c r="AB2148" s="69"/>
      <c r="AC2148" s="69"/>
      <c r="AD2148" s="69"/>
      <c r="AE2148" s="69"/>
      <c r="AF2148" s="69"/>
    </row>
    <row r="2149" spans="1:32" ht="24">
      <c r="A2149" s="83" t="s">
        <v>21856</v>
      </c>
      <c r="B2149" s="64" t="s">
        <v>21857</v>
      </c>
      <c r="C2149" s="71" t="s">
        <v>103</v>
      </c>
      <c r="D2149" s="79">
        <v>1</v>
      </c>
      <c r="E2149" s="79">
        <v>351.21000000000004</v>
      </c>
      <c r="F2149" s="79">
        <v>351.21</v>
      </c>
      <c r="G2149" s="445"/>
      <c r="H2149" s="178">
        <v>351.2</v>
      </c>
      <c r="I2149" s="178">
        <v>431.98</v>
      </c>
      <c r="J2149" s="70">
        <v>-80.769999999999982</v>
      </c>
      <c r="K2149" s="320"/>
      <c r="L2149" s="178">
        <v>49.150000000000006</v>
      </c>
      <c r="M2149" s="178">
        <v>302.06000000000006</v>
      </c>
      <c r="N2149" s="179">
        <v>0</v>
      </c>
      <c r="O2149" s="178">
        <v>351.21000000000004</v>
      </c>
      <c r="P2149" s="453"/>
      <c r="Q2149" s="61"/>
      <c r="R2149" s="298"/>
      <c r="S2149" s="669"/>
      <c r="U2149" s="69"/>
      <c r="V2149" s="69"/>
      <c r="W2149" s="69"/>
      <c r="X2149" s="444">
        <v>2149</v>
      </c>
      <c r="Y2149" s="69"/>
      <c r="Z2149" s="69"/>
      <c r="AA2149" s="69"/>
      <c r="AB2149" s="69"/>
      <c r="AC2149" s="69"/>
      <c r="AD2149" s="69"/>
      <c r="AE2149" s="69"/>
      <c r="AF2149" s="69"/>
    </row>
    <row r="2150" spans="1:32" ht="12">
      <c r="A2150" s="83" t="s">
        <v>21858</v>
      </c>
      <c r="B2150" s="64" t="s">
        <v>21859</v>
      </c>
      <c r="C2150" s="71" t="s">
        <v>103</v>
      </c>
      <c r="D2150" s="79">
        <v>1</v>
      </c>
      <c r="E2150" s="79">
        <v>372.92999999999995</v>
      </c>
      <c r="F2150" s="79">
        <v>372.93</v>
      </c>
      <c r="G2150" s="445"/>
      <c r="H2150" s="178">
        <v>372.93</v>
      </c>
      <c r="I2150" s="178">
        <v>458.7</v>
      </c>
      <c r="J2150" s="70">
        <v>-85.770000000000039</v>
      </c>
      <c r="K2150" s="320"/>
      <c r="L2150" s="178">
        <v>49.150000000000006</v>
      </c>
      <c r="M2150" s="178">
        <v>323.77999999999997</v>
      </c>
      <c r="N2150" s="179">
        <v>0</v>
      </c>
      <c r="O2150" s="178">
        <v>372.92999999999995</v>
      </c>
      <c r="P2150" s="453"/>
      <c r="Q2150" s="61"/>
      <c r="R2150" s="298"/>
      <c r="S2150" s="669"/>
      <c r="U2150" s="69"/>
      <c r="V2150" s="69"/>
      <c r="W2150" s="69"/>
      <c r="X2150" s="444">
        <v>2150</v>
      </c>
      <c r="Y2150" s="69"/>
      <c r="Z2150" s="69"/>
      <c r="AA2150" s="69"/>
      <c r="AB2150" s="69"/>
      <c r="AC2150" s="69"/>
      <c r="AD2150" s="69"/>
      <c r="AE2150" s="69"/>
      <c r="AF2150" s="69"/>
    </row>
    <row r="2151" spans="1:32" ht="12">
      <c r="A2151" s="83" t="s">
        <v>21860</v>
      </c>
      <c r="B2151" s="64" t="s">
        <v>21861</v>
      </c>
      <c r="C2151" s="71" t="s">
        <v>103</v>
      </c>
      <c r="D2151" s="79">
        <v>1</v>
      </c>
      <c r="E2151" s="79">
        <v>354.32000000000005</v>
      </c>
      <c r="F2151" s="79">
        <v>354.32</v>
      </c>
      <c r="G2151" s="445"/>
      <c r="H2151" s="178">
        <v>354.32</v>
      </c>
      <c r="I2151" s="178">
        <v>435.81</v>
      </c>
      <c r="J2151" s="70">
        <v>-81.489999999999952</v>
      </c>
      <c r="K2151" s="320"/>
      <c r="L2151" s="178">
        <v>49.150000000000006</v>
      </c>
      <c r="M2151" s="178">
        <v>305.17000000000007</v>
      </c>
      <c r="N2151" s="179">
        <v>0</v>
      </c>
      <c r="O2151" s="178">
        <v>354.32000000000005</v>
      </c>
      <c r="P2151" s="453"/>
      <c r="Q2151" s="61"/>
      <c r="R2151" s="298"/>
      <c r="S2151" s="669"/>
      <c r="X2151" s="444">
        <v>2151</v>
      </c>
    </row>
    <row r="2152" spans="1:32" ht="12">
      <c r="A2152" s="83" t="s">
        <v>21862</v>
      </c>
      <c r="B2152" s="64" t="s">
        <v>21863</v>
      </c>
      <c r="C2152" s="71" t="s">
        <v>103</v>
      </c>
      <c r="D2152" s="79">
        <v>1</v>
      </c>
      <c r="E2152" s="79">
        <v>339.37</v>
      </c>
      <c r="F2152" s="79">
        <v>339.37</v>
      </c>
      <c r="G2152" s="445"/>
      <c r="H2152" s="178">
        <v>339.37</v>
      </c>
      <c r="I2152" s="178">
        <v>417.42</v>
      </c>
      <c r="J2152" s="70">
        <v>-78.050000000000011</v>
      </c>
      <c r="K2152" s="320"/>
      <c r="L2152" s="178">
        <v>49.150000000000006</v>
      </c>
      <c r="M2152" s="178">
        <v>290.22000000000003</v>
      </c>
      <c r="N2152" s="179">
        <v>0</v>
      </c>
      <c r="O2152" s="178">
        <v>339.37</v>
      </c>
      <c r="P2152" s="453"/>
      <c r="Q2152" s="61"/>
      <c r="R2152" s="298"/>
      <c r="S2152" s="669"/>
      <c r="T2152" s="73"/>
      <c r="X2152" s="444">
        <v>2152</v>
      </c>
    </row>
    <row r="2153" spans="1:32" ht="12">
      <c r="A2153" s="83" t="s">
        <v>21864</v>
      </c>
      <c r="B2153" s="64" t="s">
        <v>21865</v>
      </c>
      <c r="C2153" s="71" t="s">
        <v>103</v>
      </c>
      <c r="D2153" s="79">
        <v>1</v>
      </c>
      <c r="E2153" s="79">
        <v>395.59000000000003</v>
      </c>
      <c r="F2153" s="79">
        <v>395.59</v>
      </c>
      <c r="G2153" s="445"/>
      <c r="H2153" s="178">
        <v>395.59</v>
      </c>
      <c r="I2153" s="178">
        <v>486.57</v>
      </c>
      <c r="J2153" s="70">
        <v>-90.979999999999961</v>
      </c>
      <c r="K2153" s="320"/>
      <c r="L2153" s="178">
        <v>49.150000000000006</v>
      </c>
      <c r="M2153" s="178">
        <v>346.44000000000005</v>
      </c>
      <c r="N2153" s="179">
        <v>0</v>
      </c>
      <c r="O2153" s="178">
        <v>395.59000000000003</v>
      </c>
      <c r="P2153" s="453"/>
      <c r="Q2153" s="61"/>
      <c r="R2153" s="298"/>
      <c r="S2153" s="669"/>
      <c r="X2153" s="444">
        <v>2153</v>
      </c>
    </row>
    <row r="2154" spans="1:32" ht="12">
      <c r="A2154" s="83" t="s">
        <v>21866</v>
      </c>
      <c r="B2154" s="64" t="s">
        <v>21820</v>
      </c>
      <c r="C2154" s="71" t="s">
        <v>10216</v>
      </c>
      <c r="D2154" s="79">
        <v>1</v>
      </c>
      <c r="E2154" s="79">
        <v>577.26</v>
      </c>
      <c r="F2154" s="79">
        <v>577.26</v>
      </c>
      <c r="G2154" s="445"/>
      <c r="H2154" s="178">
        <v>577.25</v>
      </c>
      <c r="I2154" s="178">
        <v>710.02</v>
      </c>
      <c r="J2154" s="70">
        <v>-132.76</v>
      </c>
      <c r="K2154" s="320"/>
      <c r="L2154" s="178"/>
      <c r="M2154" s="178">
        <v>577.26</v>
      </c>
      <c r="N2154" s="179">
        <v>0</v>
      </c>
      <c r="O2154" s="178">
        <v>577.26</v>
      </c>
      <c r="P2154" s="453"/>
      <c r="Q2154" s="61"/>
      <c r="R2154" s="298"/>
      <c r="S2154" s="669"/>
      <c r="X2154" s="444">
        <v>2154</v>
      </c>
    </row>
    <row r="2155" spans="1:32" ht="12">
      <c r="A2155" s="83" t="s">
        <v>39841</v>
      </c>
      <c r="B2155" s="64" t="s">
        <v>39842</v>
      </c>
      <c r="C2155" s="71"/>
      <c r="D2155" s="79" t="s">
        <v>40899</v>
      </c>
      <c r="E2155" s="79" t="s">
        <v>40899</v>
      </c>
      <c r="F2155" s="79"/>
      <c r="G2155" s="445"/>
      <c r="H2155" s="178"/>
      <c r="I2155" s="178"/>
      <c r="J2155" s="70"/>
      <c r="K2155" s="320"/>
      <c r="L2155" s="178"/>
      <c r="M2155" s="178"/>
      <c r="N2155" s="179"/>
      <c r="O2155" s="178"/>
      <c r="P2155" s="453"/>
      <c r="Q2155" s="61"/>
      <c r="R2155" s="298"/>
      <c r="S2155" s="669"/>
      <c r="X2155" s="444">
        <v>2155</v>
      </c>
    </row>
    <row r="2156" spans="1:32" ht="12">
      <c r="A2156" s="83" t="s">
        <v>21867</v>
      </c>
      <c r="B2156" s="64" t="s">
        <v>21868</v>
      </c>
      <c r="C2156" s="71" t="s">
        <v>103</v>
      </c>
      <c r="D2156" s="79">
        <v>1</v>
      </c>
      <c r="E2156" s="79">
        <v>18.05</v>
      </c>
      <c r="F2156" s="79">
        <v>18.05</v>
      </c>
      <c r="G2156" s="445"/>
      <c r="H2156" s="178">
        <v>18.04</v>
      </c>
      <c r="I2156" s="178">
        <v>22.19</v>
      </c>
      <c r="J2156" s="70">
        <v>-4.1400000000000006</v>
      </c>
      <c r="K2156" s="320"/>
      <c r="L2156" s="178">
        <v>11.1</v>
      </c>
      <c r="M2156" s="178">
        <v>6.9500000000000011</v>
      </c>
      <c r="N2156" s="179">
        <v>0</v>
      </c>
      <c r="O2156" s="178">
        <v>18.05</v>
      </c>
      <c r="P2156" s="453"/>
      <c r="Q2156" s="61"/>
      <c r="R2156" s="298"/>
      <c r="S2156" s="669"/>
      <c r="X2156" s="444">
        <v>2156</v>
      </c>
    </row>
    <row r="2157" spans="1:32" ht="12">
      <c r="A2157" s="83" t="s">
        <v>21869</v>
      </c>
      <c r="B2157" s="64" t="s">
        <v>21870</v>
      </c>
      <c r="C2157" s="71" t="s">
        <v>103</v>
      </c>
      <c r="D2157" s="79">
        <v>1</v>
      </c>
      <c r="E2157" s="79">
        <v>44.16</v>
      </c>
      <c r="F2157" s="79">
        <v>44.16</v>
      </c>
      <c r="G2157" s="445"/>
      <c r="H2157" s="178">
        <v>44.15</v>
      </c>
      <c r="I2157" s="178">
        <v>54.3</v>
      </c>
      <c r="J2157" s="70">
        <v>-10.14</v>
      </c>
      <c r="K2157" s="320"/>
      <c r="L2157" s="178">
        <v>13.83</v>
      </c>
      <c r="M2157" s="178">
        <v>30.33</v>
      </c>
      <c r="N2157" s="179">
        <v>0</v>
      </c>
      <c r="O2157" s="178">
        <v>44.16</v>
      </c>
      <c r="P2157" s="453"/>
      <c r="Q2157" s="61"/>
      <c r="R2157" s="298"/>
      <c r="S2157" s="669"/>
      <c r="X2157" s="444">
        <v>2157</v>
      </c>
    </row>
    <row r="2158" spans="1:32" ht="12">
      <c r="A2158" s="83" t="s">
        <v>21871</v>
      </c>
      <c r="B2158" s="64" t="s">
        <v>21872</v>
      </c>
      <c r="C2158" s="71" t="s">
        <v>103</v>
      </c>
      <c r="D2158" s="79">
        <v>1</v>
      </c>
      <c r="E2158" s="79">
        <v>41.62</v>
      </c>
      <c r="F2158" s="79">
        <v>41.62</v>
      </c>
      <c r="G2158" s="445"/>
      <c r="H2158" s="178">
        <v>41.63</v>
      </c>
      <c r="I2158" s="178">
        <v>51.21</v>
      </c>
      <c r="J2158" s="70">
        <v>-9.5900000000000034</v>
      </c>
      <c r="K2158" s="320"/>
      <c r="L2158" s="178">
        <v>16.54</v>
      </c>
      <c r="M2158" s="178">
        <v>25.08</v>
      </c>
      <c r="N2158" s="179">
        <v>0</v>
      </c>
      <c r="O2158" s="178">
        <v>41.62</v>
      </c>
      <c r="P2158" s="453"/>
      <c r="Q2158" s="61"/>
      <c r="R2158" s="298"/>
      <c r="S2158" s="669"/>
      <c r="X2158" s="444">
        <v>2158</v>
      </c>
    </row>
    <row r="2159" spans="1:32" ht="12">
      <c r="A2159" s="83" t="s">
        <v>21873</v>
      </c>
      <c r="B2159" s="64" t="s">
        <v>21874</v>
      </c>
      <c r="C2159" s="71" t="s">
        <v>103</v>
      </c>
      <c r="D2159" s="79">
        <v>1</v>
      </c>
      <c r="E2159" s="79">
        <v>21.07</v>
      </c>
      <c r="F2159" s="79">
        <v>21.07</v>
      </c>
      <c r="G2159" s="445"/>
      <c r="H2159" s="178">
        <v>21.06</v>
      </c>
      <c r="I2159" s="178">
        <v>25.9</v>
      </c>
      <c r="J2159" s="70">
        <v>-4.8299999999999983</v>
      </c>
      <c r="K2159" s="320"/>
      <c r="L2159" s="178">
        <v>11.1</v>
      </c>
      <c r="M2159" s="178">
        <v>9.9700000000000006</v>
      </c>
      <c r="N2159" s="179">
        <v>0</v>
      </c>
      <c r="O2159" s="178">
        <v>21.07</v>
      </c>
      <c r="P2159" s="453"/>
      <c r="Q2159" s="61"/>
      <c r="R2159" s="298"/>
      <c r="S2159" s="669"/>
      <c r="X2159" s="444">
        <v>2159</v>
      </c>
    </row>
    <row r="2160" spans="1:32" ht="12">
      <c r="A2160" s="83" t="s">
        <v>21875</v>
      </c>
      <c r="B2160" s="64" t="s">
        <v>8818</v>
      </c>
      <c r="C2160" s="71" t="s">
        <v>103</v>
      </c>
      <c r="D2160" s="79">
        <v>1</v>
      </c>
      <c r="E2160" s="79">
        <v>23.04</v>
      </c>
      <c r="F2160" s="79">
        <v>23.04</v>
      </c>
      <c r="G2160" s="445"/>
      <c r="H2160" s="178">
        <v>23.03</v>
      </c>
      <c r="I2160" s="178">
        <v>28.33</v>
      </c>
      <c r="J2160" s="70">
        <v>-5.2899999999999991</v>
      </c>
      <c r="K2160" s="320"/>
      <c r="L2160" s="178">
        <v>13.83</v>
      </c>
      <c r="M2160" s="178">
        <v>9.2099999999999991</v>
      </c>
      <c r="N2160" s="179">
        <v>0</v>
      </c>
      <c r="O2160" s="178">
        <v>23.04</v>
      </c>
      <c r="P2160" s="453"/>
      <c r="Q2160" s="61"/>
      <c r="R2160" s="298"/>
      <c r="S2160" s="669"/>
      <c r="X2160" s="444">
        <v>2160</v>
      </c>
    </row>
    <row r="2161" spans="1:32" ht="12">
      <c r="A2161" s="83" t="s">
        <v>21876</v>
      </c>
      <c r="B2161" s="64" t="s">
        <v>8828</v>
      </c>
      <c r="C2161" s="71" t="s">
        <v>103</v>
      </c>
      <c r="D2161" s="79">
        <v>1</v>
      </c>
      <c r="E2161" s="79">
        <v>27.61</v>
      </c>
      <c r="F2161" s="79">
        <v>27.61</v>
      </c>
      <c r="G2161" s="445"/>
      <c r="H2161" s="178">
        <v>27.6</v>
      </c>
      <c r="I2161" s="178">
        <v>33.950000000000003</v>
      </c>
      <c r="J2161" s="70">
        <v>-6.3400000000000034</v>
      </c>
      <c r="K2161" s="320"/>
      <c r="L2161" s="178">
        <v>13.83</v>
      </c>
      <c r="M2161" s="178">
        <v>13.78</v>
      </c>
      <c r="N2161" s="179">
        <v>0</v>
      </c>
      <c r="O2161" s="178">
        <v>27.61</v>
      </c>
      <c r="P2161" s="453"/>
      <c r="Q2161" s="61"/>
      <c r="R2161" s="298"/>
      <c r="S2161" s="669"/>
      <c r="X2161" s="444">
        <v>2161</v>
      </c>
    </row>
    <row r="2162" spans="1:32" ht="12">
      <c r="A2162" s="83" t="s">
        <v>21877</v>
      </c>
      <c r="B2162" s="64" t="s">
        <v>21878</v>
      </c>
      <c r="C2162" s="71" t="s">
        <v>103</v>
      </c>
      <c r="D2162" s="79">
        <v>1</v>
      </c>
      <c r="E2162" s="79">
        <v>22.29</v>
      </c>
      <c r="F2162" s="79">
        <v>22.29</v>
      </c>
      <c r="G2162" s="445"/>
      <c r="H2162" s="178">
        <v>22.28</v>
      </c>
      <c r="I2162" s="178">
        <v>27.4</v>
      </c>
      <c r="J2162" s="70">
        <v>-5.1099999999999994</v>
      </c>
      <c r="K2162" s="320"/>
      <c r="L2162" s="178">
        <v>11.1</v>
      </c>
      <c r="M2162" s="178">
        <v>11.19</v>
      </c>
      <c r="N2162" s="179">
        <v>0</v>
      </c>
      <c r="O2162" s="178">
        <v>22.29</v>
      </c>
      <c r="P2162" s="453"/>
      <c r="Q2162" s="61"/>
      <c r="R2162" s="298"/>
      <c r="S2162" s="669"/>
      <c r="X2162" s="444">
        <v>2162</v>
      </c>
    </row>
    <row r="2163" spans="1:32" ht="12">
      <c r="A2163" s="83" t="s">
        <v>21879</v>
      </c>
      <c r="B2163" s="64" t="s">
        <v>21880</v>
      </c>
      <c r="C2163" s="71" t="s">
        <v>103</v>
      </c>
      <c r="D2163" s="79">
        <v>1</v>
      </c>
      <c r="E2163" s="79">
        <v>6.67</v>
      </c>
      <c r="F2163" s="79">
        <v>6.67</v>
      </c>
      <c r="G2163" s="445"/>
      <c r="H2163" s="178">
        <v>6.67</v>
      </c>
      <c r="I2163" s="178">
        <v>8.2100000000000009</v>
      </c>
      <c r="J2163" s="70">
        <v>-1.5400000000000009</v>
      </c>
      <c r="K2163" s="320"/>
      <c r="L2163" s="178">
        <v>2.5499999999999998</v>
      </c>
      <c r="M2163" s="178">
        <v>4.12</v>
      </c>
      <c r="N2163" s="179">
        <v>0</v>
      </c>
      <c r="O2163" s="178">
        <v>6.67</v>
      </c>
      <c r="P2163" s="453"/>
      <c r="Q2163" s="61"/>
      <c r="R2163" s="298"/>
      <c r="S2163" s="669"/>
      <c r="U2163" s="69"/>
      <c r="V2163" s="69"/>
      <c r="W2163" s="69"/>
      <c r="X2163" s="444">
        <v>2163</v>
      </c>
      <c r="Y2163" s="69"/>
      <c r="Z2163" s="69"/>
      <c r="AA2163" s="69"/>
      <c r="AB2163" s="69"/>
      <c r="AC2163" s="69"/>
      <c r="AD2163" s="69"/>
      <c r="AE2163" s="69"/>
      <c r="AF2163" s="69"/>
    </row>
    <row r="2164" spans="1:32" ht="12">
      <c r="A2164" s="83" t="s">
        <v>21881</v>
      </c>
      <c r="B2164" s="64" t="s">
        <v>21882</v>
      </c>
      <c r="C2164" s="71" t="s">
        <v>103</v>
      </c>
      <c r="D2164" s="79">
        <v>1</v>
      </c>
      <c r="E2164" s="79">
        <v>12.760000000000002</v>
      </c>
      <c r="F2164" s="79">
        <v>12.76</v>
      </c>
      <c r="G2164" s="445"/>
      <c r="H2164" s="178">
        <v>12.76</v>
      </c>
      <c r="I2164" s="178">
        <v>15.7</v>
      </c>
      <c r="J2164" s="70">
        <v>-2.9399999999999977</v>
      </c>
      <c r="K2164" s="320"/>
      <c r="L2164" s="178">
        <v>2.5499999999999998</v>
      </c>
      <c r="M2164" s="178">
        <v>10.210000000000001</v>
      </c>
      <c r="N2164" s="179">
        <v>0</v>
      </c>
      <c r="O2164" s="178">
        <v>12.760000000000002</v>
      </c>
      <c r="P2164" s="453"/>
      <c r="Q2164" s="61"/>
      <c r="R2164" s="298"/>
      <c r="S2164" s="669"/>
      <c r="U2164" s="69"/>
      <c r="V2164" s="69"/>
      <c r="W2164" s="69"/>
      <c r="X2164" s="444">
        <v>2164</v>
      </c>
      <c r="Y2164" s="69"/>
      <c r="Z2164" s="69"/>
      <c r="AA2164" s="69"/>
      <c r="AB2164" s="69"/>
      <c r="AC2164" s="69"/>
      <c r="AD2164" s="69"/>
      <c r="AE2164" s="69"/>
      <c r="AF2164" s="69"/>
    </row>
    <row r="2165" spans="1:32" ht="12">
      <c r="A2165" s="83" t="s">
        <v>21883</v>
      </c>
      <c r="B2165" s="64" t="s">
        <v>9229</v>
      </c>
      <c r="C2165" s="71" t="s">
        <v>103</v>
      </c>
      <c r="D2165" s="79">
        <v>1</v>
      </c>
      <c r="E2165" s="79">
        <v>243.95</v>
      </c>
      <c r="F2165" s="79">
        <v>243.95</v>
      </c>
      <c r="G2165" s="445"/>
      <c r="H2165" s="178">
        <v>243.92</v>
      </c>
      <c r="I2165" s="178">
        <v>300.02</v>
      </c>
      <c r="J2165" s="70">
        <v>-56.069999999999993</v>
      </c>
      <c r="K2165" s="320"/>
      <c r="L2165" s="178">
        <v>27.33</v>
      </c>
      <c r="M2165" s="178">
        <v>216.62</v>
      </c>
      <c r="N2165" s="179">
        <v>0</v>
      </c>
      <c r="O2165" s="178">
        <v>243.95</v>
      </c>
      <c r="P2165" s="453"/>
      <c r="Q2165" s="61"/>
      <c r="R2165" s="298"/>
      <c r="S2165" s="669"/>
      <c r="X2165" s="444">
        <v>2165</v>
      </c>
    </row>
    <row r="2166" spans="1:32" ht="24">
      <c r="A2166" s="65" t="s">
        <v>29649</v>
      </c>
      <c r="B2166" s="65" t="s">
        <v>39843</v>
      </c>
      <c r="C2166" s="108" t="s">
        <v>103</v>
      </c>
      <c r="D2166" s="79">
        <v>1</v>
      </c>
      <c r="E2166" s="79">
        <v>208.43</v>
      </c>
      <c r="F2166" s="79">
        <v>208.43</v>
      </c>
      <c r="H2166" s="178">
        <v>208.43</v>
      </c>
      <c r="I2166" s="771">
        <v>256.37</v>
      </c>
      <c r="J2166" s="70">
        <v>-47.94</v>
      </c>
      <c r="K2166" s="320"/>
      <c r="L2166" s="178">
        <v>60.07</v>
      </c>
      <c r="M2166" s="178">
        <v>148.36000000000001</v>
      </c>
      <c r="N2166" s="179">
        <v>0</v>
      </c>
      <c r="O2166" s="178">
        <v>208.43</v>
      </c>
      <c r="Q2166" s="61"/>
      <c r="R2166" s="298"/>
      <c r="S2166" s="669"/>
      <c r="X2166" s="444">
        <v>2166</v>
      </c>
    </row>
    <row r="2167" spans="1:32" ht="24">
      <c r="A2167" s="65" t="s">
        <v>29650</v>
      </c>
      <c r="B2167" s="65" t="s">
        <v>39844</v>
      </c>
      <c r="C2167" s="108" t="s">
        <v>103</v>
      </c>
      <c r="D2167" s="79">
        <v>1</v>
      </c>
      <c r="E2167" s="79">
        <v>237.67</v>
      </c>
      <c r="F2167" s="79">
        <v>237.67</v>
      </c>
      <c r="H2167" s="178">
        <v>237.66</v>
      </c>
      <c r="I2167" s="771">
        <v>292.32</v>
      </c>
      <c r="J2167" s="70">
        <v>-54.650000000000006</v>
      </c>
      <c r="K2167" s="320"/>
      <c r="L2167" s="178">
        <v>71</v>
      </c>
      <c r="M2167" s="178">
        <v>166.67</v>
      </c>
      <c r="N2167" s="179">
        <v>0</v>
      </c>
      <c r="O2167" s="178">
        <v>237.67</v>
      </c>
      <c r="Q2167" s="61"/>
      <c r="R2167" s="298"/>
      <c r="S2167" s="669"/>
      <c r="X2167" s="444">
        <v>2167</v>
      </c>
    </row>
    <row r="2168" spans="1:32" ht="24">
      <c r="A2168" s="65" t="s">
        <v>29651</v>
      </c>
      <c r="B2168" s="65" t="s">
        <v>39845</v>
      </c>
      <c r="C2168" s="108" t="s">
        <v>103</v>
      </c>
      <c r="D2168" s="79">
        <v>1</v>
      </c>
      <c r="E2168" s="79">
        <v>150.75</v>
      </c>
      <c r="F2168" s="79">
        <v>150.75</v>
      </c>
      <c r="H2168" s="178">
        <v>150.74</v>
      </c>
      <c r="I2168" s="771">
        <v>185.41</v>
      </c>
      <c r="J2168" s="70">
        <v>-34.659999999999997</v>
      </c>
      <c r="K2168" s="320"/>
      <c r="L2168" s="178">
        <v>32.770000000000003</v>
      </c>
      <c r="M2168" s="178">
        <v>117.97999999999999</v>
      </c>
      <c r="N2168" s="179">
        <v>0</v>
      </c>
      <c r="O2168" s="178">
        <v>150.75</v>
      </c>
      <c r="Q2168" s="61"/>
      <c r="R2168" s="298"/>
      <c r="S2168" s="669"/>
      <c r="X2168" s="444">
        <v>2168</v>
      </c>
    </row>
    <row r="2169" spans="1:32" ht="12">
      <c r="A2169" s="83" t="s">
        <v>21884</v>
      </c>
      <c r="B2169" s="64" t="s">
        <v>21885</v>
      </c>
      <c r="C2169" s="71" t="s">
        <v>103</v>
      </c>
      <c r="D2169" s="79">
        <v>1</v>
      </c>
      <c r="E2169" s="79">
        <v>26.81</v>
      </c>
      <c r="F2169" s="79">
        <v>26.81</v>
      </c>
      <c r="G2169" s="445"/>
      <c r="H2169" s="178">
        <v>26.81</v>
      </c>
      <c r="I2169" s="178">
        <v>32.979999999999997</v>
      </c>
      <c r="J2169" s="70">
        <v>-6.1699999999999982</v>
      </c>
      <c r="K2169" s="320"/>
      <c r="L2169" s="178">
        <v>21.84</v>
      </c>
      <c r="M2169" s="178">
        <v>4.9699999999999989</v>
      </c>
      <c r="N2169" s="179">
        <v>0</v>
      </c>
      <c r="O2169" s="178">
        <v>26.81</v>
      </c>
      <c r="P2169" s="453"/>
      <c r="Q2169" s="61"/>
      <c r="R2169" s="298"/>
      <c r="S2169" s="669"/>
      <c r="X2169" s="444">
        <v>2169</v>
      </c>
    </row>
    <row r="2170" spans="1:32" s="471" customFormat="1" ht="24">
      <c r="A2170" s="83" t="s">
        <v>21886</v>
      </c>
      <c r="B2170" s="64" t="s">
        <v>39846</v>
      </c>
      <c r="C2170" s="71" t="s">
        <v>103</v>
      </c>
      <c r="D2170" s="79">
        <v>1</v>
      </c>
      <c r="E2170" s="79">
        <v>177.5</v>
      </c>
      <c r="F2170" s="79">
        <v>177.5</v>
      </c>
      <c r="G2170" s="445"/>
      <c r="H2170" s="178">
        <v>177.5</v>
      </c>
      <c r="I2170" s="178">
        <v>218.32</v>
      </c>
      <c r="J2170" s="70">
        <v>-40.819999999999993</v>
      </c>
      <c r="K2170" s="320"/>
      <c r="L2170" s="178">
        <v>60.07</v>
      </c>
      <c r="M2170" s="178">
        <v>117.43</v>
      </c>
      <c r="N2170" s="179">
        <v>0</v>
      </c>
      <c r="O2170" s="178">
        <v>177.5</v>
      </c>
      <c r="P2170" s="453"/>
      <c r="Q2170" s="61"/>
      <c r="R2170" s="298"/>
      <c r="S2170" s="669"/>
      <c r="T2170" s="444"/>
      <c r="U2170" s="444"/>
      <c r="V2170" s="444"/>
      <c r="W2170" s="444"/>
      <c r="X2170" s="444">
        <v>2170</v>
      </c>
      <c r="Y2170" s="444"/>
      <c r="Z2170" s="444"/>
      <c r="AA2170" s="444"/>
      <c r="AB2170" s="444"/>
      <c r="AC2170" s="444"/>
      <c r="AD2170" s="444"/>
      <c r="AE2170" s="444"/>
      <c r="AF2170" s="444"/>
    </row>
    <row r="2171" spans="1:32" s="471" customFormat="1" ht="12">
      <c r="A2171" s="83" t="s">
        <v>21887</v>
      </c>
      <c r="B2171" s="64" t="s">
        <v>21888</v>
      </c>
      <c r="C2171" s="71" t="s">
        <v>103</v>
      </c>
      <c r="D2171" s="79">
        <v>1</v>
      </c>
      <c r="E2171" s="79">
        <v>146.63999999999999</v>
      </c>
      <c r="F2171" s="79">
        <v>146.63999999999999</v>
      </c>
      <c r="G2171" s="445"/>
      <c r="H2171" s="178">
        <v>146.63</v>
      </c>
      <c r="I2171" s="178">
        <v>180.36</v>
      </c>
      <c r="J2171" s="70">
        <v>-33.720000000000027</v>
      </c>
      <c r="K2171" s="320"/>
      <c r="L2171" s="178">
        <v>54.61</v>
      </c>
      <c r="M2171" s="178">
        <v>92.029999999999987</v>
      </c>
      <c r="N2171" s="179">
        <v>0</v>
      </c>
      <c r="O2171" s="178">
        <v>146.63999999999999</v>
      </c>
      <c r="P2171" s="453"/>
      <c r="Q2171" s="61"/>
      <c r="R2171" s="298"/>
      <c r="S2171" s="669"/>
      <c r="T2171" s="444"/>
      <c r="U2171" s="444"/>
      <c r="V2171" s="444"/>
      <c r="W2171" s="444"/>
      <c r="X2171" s="444">
        <v>2171</v>
      </c>
      <c r="Y2171" s="444"/>
      <c r="Z2171" s="444"/>
      <c r="AA2171" s="444"/>
      <c r="AB2171" s="444"/>
      <c r="AC2171" s="444"/>
      <c r="AD2171" s="444"/>
      <c r="AE2171" s="444"/>
      <c r="AF2171" s="444"/>
    </row>
    <row r="2172" spans="1:32" s="471" customFormat="1" ht="12">
      <c r="A2172" s="83" t="s">
        <v>21889</v>
      </c>
      <c r="B2172" s="64" t="s">
        <v>21890</v>
      </c>
      <c r="C2172" s="71" t="s">
        <v>103</v>
      </c>
      <c r="D2172" s="79">
        <v>1</v>
      </c>
      <c r="E2172" s="79">
        <v>160.82</v>
      </c>
      <c r="F2172" s="79">
        <v>160.82</v>
      </c>
      <c r="G2172" s="445"/>
      <c r="H2172" s="178">
        <v>160.82</v>
      </c>
      <c r="I2172" s="178">
        <v>197.81</v>
      </c>
      <c r="J2172" s="70">
        <v>-36.990000000000009</v>
      </c>
      <c r="K2172" s="320"/>
      <c r="L2172" s="178">
        <v>60.07</v>
      </c>
      <c r="M2172" s="178">
        <v>100.75</v>
      </c>
      <c r="N2172" s="179">
        <v>0</v>
      </c>
      <c r="O2172" s="178">
        <v>160.82</v>
      </c>
      <c r="P2172" s="453"/>
      <c r="Q2172" s="61"/>
      <c r="R2172" s="298"/>
      <c r="S2172" s="669"/>
      <c r="T2172" s="444"/>
      <c r="U2172" s="444"/>
      <c r="V2172" s="444"/>
      <c r="W2172" s="444"/>
      <c r="X2172" s="444">
        <v>2172</v>
      </c>
      <c r="Y2172" s="444"/>
      <c r="Z2172" s="444"/>
      <c r="AA2172" s="444"/>
      <c r="AB2172" s="444"/>
      <c r="AC2172" s="444"/>
      <c r="AD2172" s="444"/>
      <c r="AE2172" s="444"/>
      <c r="AF2172" s="444"/>
    </row>
    <row r="2173" spans="1:32" ht="24">
      <c r="A2173" s="83" t="s">
        <v>21891</v>
      </c>
      <c r="B2173" s="64" t="s">
        <v>39847</v>
      </c>
      <c r="C2173" s="71" t="s">
        <v>103</v>
      </c>
      <c r="D2173" s="79">
        <v>1</v>
      </c>
      <c r="E2173" s="79">
        <v>216.26</v>
      </c>
      <c r="F2173" s="79">
        <v>216.26</v>
      </c>
      <c r="G2173" s="445"/>
      <c r="H2173" s="178">
        <v>216.26</v>
      </c>
      <c r="I2173" s="178">
        <v>266</v>
      </c>
      <c r="J2173" s="70">
        <v>-49.740000000000009</v>
      </c>
      <c r="K2173" s="320"/>
      <c r="L2173" s="178">
        <v>60.07</v>
      </c>
      <c r="M2173" s="178">
        <v>156.19</v>
      </c>
      <c r="N2173" s="179">
        <v>0</v>
      </c>
      <c r="O2173" s="178">
        <v>216.26</v>
      </c>
      <c r="P2173" s="453"/>
      <c r="Q2173" s="61"/>
      <c r="R2173" s="298"/>
      <c r="S2173" s="669"/>
      <c r="X2173" s="444">
        <v>2173</v>
      </c>
    </row>
    <row r="2174" spans="1:32" ht="24">
      <c r="A2174" s="83" t="s">
        <v>21892</v>
      </c>
      <c r="B2174" s="64" t="s">
        <v>39848</v>
      </c>
      <c r="C2174" s="71" t="s">
        <v>103</v>
      </c>
      <c r="D2174" s="79">
        <v>1</v>
      </c>
      <c r="E2174" s="79">
        <v>363.03</v>
      </c>
      <c r="F2174" s="79">
        <v>363.03</v>
      </c>
      <c r="G2174" s="445"/>
      <c r="H2174" s="178">
        <v>363.02</v>
      </c>
      <c r="I2174" s="178">
        <v>446.52</v>
      </c>
      <c r="J2174" s="70">
        <v>-83.490000000000009</v>
      </c>
      <c r="K2174" s="320"/>
      <c r="L2174" s="178">
        <v>71</v>
      </c>
      <c r="M2174" s="178">
        <v>292.02999999999997</v>
      </c>
      <c r="N2174" s="179">
        <v>0</v>
      </c>
      <c r="O2174" s="178">
        <v>363.03</v>
      </c>
      <c r="P2174" s="453"/>
      <c r="Q2174" s="61"/>
      <c r="R2174" s="298"/>
      <c r="S2174" s="669"/>
      <c r="X2174" s="444">
        <v>2174</v>
      </c>
    </row>
    <row r="2175" spans="1:32" ht="24">
      <c r="A2175" s="83" t="s">
        <v>21893</v>
      </c>
      <c r="B2175" s="64" t="s">
        <v>39849</v>
      </c>
      <c r="C2175" s="71" t="s">
        <v>103</v>
      </c>
      <c r="D2175" s="79">
        <v>1</v>
      </c>
      <c r="E2175" s="79">
        <v>42.89</v>
      </c>
      <c r="F2175" s="79">
        <v>42.89</v>
      </c>
      <c r="G2175" s="445"/>
      <c r="H2175" s="178">
        <v>42.89</v>
      </c>
      <c r="I2175" s="178">
        <v>52.75</v>
      </c>
      <c r="J2175" s="70">
        <v>-9.86</v>
      </c>
      <c r="K2175" s="320"/>
      <c r="L2175" s="178">
        <v>14.81</v>
      </c>
      <c r="M2175" s="178">
        <v>28.08</v>
      </c>
      <c r="N2175" s="179">
        <v>0</v>
      </c>
      <c r="O2175" s="178">
        <v>42.89</v>
      </c>
      <c r="P2175" s="453"/>
      <c r="Q2175" s="61"/>
      <c r="R2175" s="298"/>
      <c r="S2175" s="669"/>
      <c r="X2175" s="444">
        <v>2175</v>
      </c>
    </row>
    <row r="2176" spans="1:32" ht="12">
      <c r="A2176" s="67" t="s">
        <v>21894</v>
      </c>
      <c r="B2176" s="65" t="s">
        <v>21895</v>
      </c>
      <c r="C2176" s="71" t="s">
        <v>103</v>
      </c>
      <c r="D2176" s="79">
        <v>1</v>
      </c>
      <c r="E2176" s="78">
        <v>55.56</v>
      </c>
      <c r="F2176" s="79">
        <v>55.56</v>
      </c>
      <c r="H2176" s="178">
        <v>55.53</v>
      </c>
      <c r="I2176" s="178">
        <v>68.3</v>
      </c>
      <c r="J2176" s="70">
        <v>-12.739999999999995</v>
      </c>
      <c r="K2176" s="320"/>
      <c r="L2176" s="178">
        <v>27.33</v>
      </c>
      <c r="M2176" s="178">
        <v>28.230000000000004</v>
      </c>
      <c r="N2176" s="179">
        <v>0</v>
      </c>
      <c r="O2176" s="178">
        <v>55.56</v>
      </c>
      <c r="P2176" s="453"/>
      <c r="Q2176" s="61"/>
      <c r="R2176" s="298"/>
      <c r="S2176" s="669"/>
      <c r="X2176" s="444">
        <v>2176</v>
      </c>
    </row>
    <row r="2177" spans="1:32" ht="12">
      <c r="A2177" s="67" t="s">
        <v>21896</v>
      </c>
      <c r="B2177" s="65" t="s">
        <v>21897</v>
      </c>
      <c r="C2177" s="71" t="s">
        <v>103</v>
      </c>
      <c r="D2177" s="79">
        <v>1</v>
      </c>
      <c r="E2177" s="78">
        <v>73.59</v>
      </c>
      <c r="F2177" s="79">
        <v>73.59</v>
      </c>
      <c r="H2177" s="178">
        <v>73.56</v>
      </c>
      <c r="I2177" s="178">
        <v>90.48</v>
      </c>
      <c r="J2177" s="70">
        <v>-16.89</v>
      </c>
      <c r="K2177" s="320"/>
      <c r="L2177" s="178">
        <v>27.33</v>
      </c>
      <c r="M2177" s="178">
        <v>46.260000000000005</v>
      </c>
      <c r="N2177" s="179">
        <v>0</v>
      </c>
      <c r="O2177" s="178">
        <v>73.59</v>
      </c>
      <c r="P2177" s="453"/>
      <c r="Q2177" s="61"/>
      <c r="R2177" s="298"/>
      <c r="S2177" s="669"/>
      <c r="X2177" s="444">
        <v>2177</v>
      </c>
    </row>
    <row r="2178" spans="1:32" ht="24">
      <c r="A2178" s="67" t="s">
        <v>21898</v>
      </c>
      <c r="B2178" s="65" t="s">
        <v>39850</v>
      </c>
      <c r="C2178" s="71" t="s">
        <v>103</v>
      </c>
      <c r="D2178" s="79">
        <v>1</v>
      </c>
      <c r="E2178" s="79">
        <v>71.739999999999995</v>
      </c>
      <c r="F2178" s="79">
        <v>71.739999999999995</v>
      </c>
      <c r="H2178" s="178">
        <v>71.739999999999995</v>
      </c>
      <c r="I2178" s="178">
        <v>88.24</v>
      </c>
      <c r="J2178" s="70">
        <v>-16.5</v>
      </c>
      <c r="K2178" s="320"/>
      <c r="L2178" s="178">
        <v>15.580000000000002</v>
      </c>
      <c r="M2178" s="178">
        <v>56.16</v>
      </c>
      <c r="N2178" s="179">
        <v>0</v>
      </c>
      <c r="O2178" s="178">
        <v>71.739999999999995</v>
      </c>
      <c r="P2178" s="453"/>
      <c r="Q2178" s="61"/>
      <c r="R2178" s="298"/>
      <c r="S2178" s="669"/>
      <c r="X2178" s="444">
        <v>2178</v>
      </c>
    </row>
    <row r="2179" spans="1:32" ht="12">
      <c r="A2179" s="83" t="s">
        <v>21899</v>
      </c>
      <c r="B2179" s="64" t="s">
        <v>39851</v>
      </c>
      <c r="C2179" s="71" t="s">
        <v>103</v>
      </c>
      <c r="D2179" s="79">
        <v>1</v>
      </c>
      <c r="E2179" s="79">
        <v>23.509999999999998</v>
      </c>
      <c r="F2179" s="79">
        <v>23.51</v>
      </c>
      <c r="G2179" s="445"/>
      <c r="H2179" s="178">
        <v>23.51</v>
      </c>
      <c r="I2179" s="178">
        <v>28.92</v>
      </c>
      <c r="J2179" s="70">
        <v>-5.4100000000000037</v>
      </c>
      <c r="K2179" s="320"/>
      <c r="L2179" s="178">
        <v>16.38</v>
      </c>
      <c r="M2179" s="178">
        <v>7.129999999999999</v>
      </c>
      <c r="N2179" s="179">
        <v>0</v>
      </c>
      <c r="O2179" s="178">
        <v>23.509999999999998</v>
      </c>
      <c r="P2179" s="453"/>
      <c r="Q2179" s="61"/>
      <c r="R2179" s="298"/>
      <c r="S2179" s="669"/>
      <c r="X2179" s="444">
        <v>2179</v>
      </c>
    </row>
    <row r="2180" spans="1:32" ht="12">
      <c r="A2180" s="83" t="s">
        <v>21900</v>
      </c>
      <c r="B2180" s="64" t="s">
        <v>21901</v>
      </c>
      <c r="C2180" s="71" t="s">
        <v>103</v>
      </c>
      <c r="D2180" s="79">
        <v>1</v>
      </c>
      <c r="E2180" s="79">
        <v>67.930000000000007</v>
      </c>
      <c r="F2180" s="79">
        <v>67.930000000000007</v>
      </c>
      <c r="G2180" s="445"/>
      <c r="H2180" s="178">
        <v>67.900000000000006</v>
      </c>
      <c r="I2180" s="178">
        <v>83.52</v>
      </c>
      <c r="J2180" s="70">
        <v>-15.589999999999989</v>
      </c>
      <c r="K2180" s="320"/>
      <c r="L2180" s="178">
        <v>27.33</v>
      </c>
      <c r="M2180" s="178">
        <v>40.600000000000009</v>
      </c>
      <c r="N2180" s="179">
        <v>0</v>
      </c>
      <c r="O2180" s="178">
        <v>67.930000000000007</v>
      </c>
      <c r="P2180" s="453"/>
      <c r="Q2180" s="61"/>
      <c r="R2180" s="298"/>
      <c r="S2180" s="669"/>
      <c r="X2180" s="444">
        <v>2180</v>
      </c>
    </row>
    <row r="2181" spans="1:32" ht="12">
      <c r="A2181" s="83" t="s">
        <v>21902</v>
      </c>
      <c r="B2181" s="64" t="s">
        <v>39852</v>
      </c>
      <c r="C2181" s="71" t="s">
        <v>103</v>
      </c>
      <c r="D2181" s="79">
        <v>1</v>
      </c>
      <c r="E2181" s="79">
        <v>7.1000000000000005</v>
      </c>
      <c r="F2181" s="79">
        <v>7.1</v>
      </c>
      <c r="G2181" s="445"/>
      <c r="H2181" s="178">
        <v>7.11</v>
      </c>
      <c r="I2181" s="178">
        <v>8.74</v>
      </c>
      <c r="J2181" s="70">
        <v>-1.6399999999999997</v>
      </c>
      <c r="K2181" s="320"/>
      <c r="L2181" s="178">
        <v>3.8600000000000003</v>
      </c>
      <c r="M2181" s="178">
        <v>3.24</v>
      </c>
      <c r="N2181" s="179">
        <v>0</v>
      </c>
      <c r="O2181" s="178">
        <v>7.1000000000000005</v>
      </c>
      <c r="P2181" s="453"/>
      <c r="Q2181" s="61"/>
      <c r="R2181" s="298"/>
      <c r="S2181" s="669"/>
      <c r="X2181" s="444">
        <v>2181</v>
      </c>
    </row>
    <row r="2182" spans="1:32" ht="12">
      <c r="A2182" s="83" t="s">
        <v>21903</v>
      </c>
      <c r="B2182" s="64" t="s">
        <v>21904</v>
      </c>
      <c r="C2182" s="71" t="s">
        <v>103</v>
      </c>
      <c r="D2182" s="79">
        <v>1</v>
      </c>
      <c r="E2182" s="79">
        <v>37.909999999999997</v>
      </c>
      <c r="F2182" s="79">
        <v>37.909999999999997</v>
      </c>
      <c r="G2182" s="445"/>
      <c r="H2182" s="178">
        <v>37.880000000000003</v>
      </c>
      <c r="I2182" s="178">
        <v>46.59</v>
      </c>
      <c r="J2182" s="70">
        <v>-8.6800000000000068</v>
      </c>
      <c r="K2182" s="320"/>
      <c r="L2182" s="178">
        <v>27.33</v>
      </c>
      <c r="M2182" s="178">
        <v>10.579999999999998</v>
      </c>
      <c r="N2182" s="179">
        <v>0</v>
      </c>
      <c r="O2182" s="178">
        <v>37.909999999999997</v>
      </c>
      <c r="P2182" s="453"/>
      <c r="Q2182" s="61"/>
      <c r="R2182" s="298"/>
      <c r="S2182" s="669"/>
      <c r="X2182" s="444">
        <v>2182</v>
      </c>
    </row>
    <row r="2183" spans="1:32" ht="24">
      <c r="A2183" s="65" t="s">
        <v>29652</v>
      </c>
      <c r="B2183" s="65" t="s">
        <v>39853</v>
      </c>
      <c r="C2183" s="108" t="s">
        <v>103</v>
      </c>
      <c r="D2183" s="79">
        <v>1</v>
      </c>
      <c r="E2183" s="79">
        <v>192.73999999999998</v>
      </c>
      <c r="F2183" s="79">
        <v>192.74</v>
      </c>
      <c r="H2183" s="178">
        <v>192.74</v>
      </c>
      <c r="I2183" s="771">
        <v>237.07</v>
      </c>
      <c r="J2183" s="70">
        <v>-44.330000000000013</v>
      </c>
      <c r="K2183" s="320"/>
      <c r="L2183" s="178">
        <v>60.07</v>
      </c>
      <c r="M2183" s="178">
        <v>132.66999999999999</v>
      </c>
      <c r="N2183" s="179">
        <v>0</v>
      </c>
      <c r="O2183" s="178">
        <v>192.73999999999998</v>
      </c>
      <c r="Q2183" s="61"/>
      <c r="R2183" s="298"/>
      <c r="S2183" s="669"/>
      <c r="X2183" s="444">
        <v>2183</v>
      </c>
    </row>
    <row r="2184" spans="1:32" ht="24">
      <c r="A2184" s="65" t="s">
        <v>29653</v>
      </c>
      <c r="B2184" s="65" t="s">
        <v>39854</v>
      </c>
      <c r="C2184" s="108" t="s">
        <v>103</v>
      </c>
      <c r="D2184" s="79">
        <v>1</v>
      </c>
      <c r="E2184" s="79">
        <v>180.53</v>
      </c>
      <c r="F2184" s="79">
        <v>180.53</v>
      </c>
      <c r="H2184" s="178">
        <v>180.53</v>
      </c>
      <c r="I2184" s="771">
        <v>222.05</v>
      </c>
      <c r="J2184" s="70">
        <v>-41.52000000000001</v>
      </c>
      <c r="K2184" s="320"/>
      <c r="L2184" s="178">
        <v>60.07</v>
      </c>
      <c r="M2184" s="178">
        <v>120.46000000000001</v>
      </c>
      <c r="N2184" s="179">
        <v>0</v>
      </c>
      <c r="O2184" s="178">
        <v>180.53</v>
      </c>
      <c r="Q2184" s="61"/>
      <c r="R2184" s="298"/>
      <c r="S2184" s="669"/>
      <c r="X2184" s="444">
        <v>2184</v>
      </c>
    </row>
    <row r="2185" spans="1:32" ht="24">
      <c r="A2185" s="65" t="s">
        <v>29654</v>
      </c>
      <c r="B2185" s="65" t="s">
        <v>39855</v>
      </c>
      <c r="C2185" s="108" t="s">
        <v>103</v>
      </c>
      <c r="D2185" s="79">
        <v>1</v>
      </c>
      <c r="E2185" s="79">
        <v>229.56</v>
      </c>
      <c r="F2185" s="79">
        <v>229.56</v>
      </c>
      <c r="H2185" s="178">
        <v>229.56</v>
      </c>
      <c r="I2185" s="771">
        <v>282.36</v>
      </c>
      <c r="J2185" s="70">
        <v>-52.800000000000011</v>
      </c>
      <c r="K2185" s="320"/>
      <c r="L2185" s="178">
        <v>60.07</v>
      </c>
      <c r="M2185" s="178">
        <v>169.49</v>
      </c>
      <c r="N2185" s="179">
        <v>0</v>
      </c>
      <c r="O2185" s="178">
        <v>229.56</v>
      </c>
      <c r="Q2185" s="61"/>
      <c r="R2185" s="298"/>
      <c r="S2185" s="669"/>
      <c r="X2185" s="444">
        <v>2185</v>
      </c>
    </row>
    <row r="2186" spans="1:32" ht="12">
      <c r="A2186" s="83" t="s">
        <v>21905</v>
      </c>
      <c r="B2186" s="64" t="s">
        <v>21906</v>
      </c>
      <c r="C2186" s="71" t="s">
        <v>165</v>
      </c>
      <c r="D2186" s="79">
        <v>1</v>
      </c>
      <c r="E2186" s="79">
        <v>29.24</v>
      </c>
      <c r="F2186" s="79">
        <v>29.24</v>
      </c>
      <c r="G2186" s="445"/>
      <c r="H2186" s="178">
        <v>29.21</v>
      </c>
      <c r="I2186" s="178">
        <v>35.93</v>
      </c>
      <c r="J2186" s="70">
        <v>-6.6900000000000013</v>
      </c>
      <c r="K2186" s="320"/>
      <c r="L2186" s="178">
        <v>27.33</v>
      </c>
      <c r="M2186" s="178">
        <v>1.9100000000000001</v>
      </c>
      <c r="N2186" s="179">
        <v>0</v>
      </c>
      <c r="O2186" s="178">
        <v>29.24</v>
      </c>
      <c r="P2186" s="453"/>
      <c r="Q2186" s="61"/>
      <c r="R2186" s="298"/>
      <c r="S2186" s="669"/>
      <c r="X2186" s="444">
        <v>2186</v>
      </c>
    </row>
    <row r="2187" spans="1:32" s="471" customFormat="1" ht="24">
      <c r="A2187" s="83" t="s">
        <v>21907</v>
      </c>
      <c r="B2187" s="64" t="s">
        <v>39856</v>
      </c>
      <c r="C2187" s="71" t="s">
        <v>103</v>
      </c>
      <c r="D2187" s="79">
        <v>1</v>
      </c>
      <c r="E2187" s="79">
        <v>34.590000000000003</v>
      </c>
      <c r="F2187" s="79">
        <v>34.590000000000003</v>
      </c>
      <c r="G2187" s="445"/>
      <c r="H2187" s="178">
        <v>34.590000000000003</v>
      </c>
      <c r="I2187" s="178">
        <v>42.54</v>
      </c>
      <c r="J2187" s="70">
        <v>-7.9499999999999957</v>
      </c>
      <c r="K2187" s="320"/>
      <c r="L2187" s="178">
        <v>14.81</v>
      </c>
      <c r="M2187" s="178">
        <v>19.78</v>
      </c>
      <c r="N2187" s="179">
        <v>0</v>
      </c>
      <c r="O2187" s="178">
        <v>34.590000000000003</v>
      </c>
      <c r="P2187" s="453"/>
      <c r="Q2187" s="61"/>
      <c r="R2187" s="298"/>
      <c r="S2187" s="669"/>
      <c r="T2187" s="444"/>
      <c r="U2187" s="444"/>
      <c r="V2187" s="444"/>
      <c r="W2187" s="444"/>
      <c r="X2187" s="444">
        <v>2187</v>
      </c>
      <c r="Y2187" s="444"/>
      <c r="Z2187" s="444"/>
      <c r="AA2187" s="444"/>
      <c r="AB2187" s="444"/>
      <c r="AC2187" s="444"/>
      <c r="AD2187" s="444"/>
      <c r="AE2187" s="444"/>
      <c r="AF2187" s="444"/>
    </row>
    <row r="2188" spans="1:32" s="471" customFormat="1" ht="24">
      <c r="A2188" s="83" t="s">
        <v>21908</v>
      </c>
      <c r="B2188" s="64" t="s">
        <v>39857</v>
      </c>
      <c r="C2188" s="71" t="s">
        <v>103</v>
      </c>
      <c r="D2188" s="79">
        <v>1</v>
      </c>
      <c r="E2188" s="79">
        <v>55.14</v>
      </c>
      <c r="F2188" s="79">
        <v>55.14</v>
      </c>
      <c r="G2188" s="445"/>
      <c r="H2188" s="178">
        <v>55.14</v>
      </c>
      <c r="I2188" s="178">
        <v>67.819999999999993</v>
      </c>
      <c r="J2188" s="70">
        <v>-12.679999999999993</v>
      </c>
      <c r="K2188" s="320"/>
      <c r="L2188" s="178">
        <v>15.580000000000002</v>
      </c>
      <c r="M2188" s="178">
        <v>39.56</v>
      </c>
      <c r="N2188" s="179">
        <v>0</v>
      </c>
      <c r="O2188" s="178">
        <v>55.14</v>
      </c>
      <c r="P2188" s="453"/>
      <c r="Q2188" s="61"/>
      <c r="R2188" s="298"/>
      <c r="S2188" s="669"/>
      <c r="T2188" s="444"/>
      <c r="U2188" s="444"/>
      <c r="V2188" s="444"/>
      <c r="W2188" s="444"/>
      <c r="X2188" s="444">
        <v>2188</v>
      </c>
      <c r="Y2188" s="444"/>
      <c r="Z2188" s="444"/>
      <c r="AA2188" s="444"/>
      <c r="AB2188" s="444"/>
      <c r="AC2188" s="444"/>
      <c r="AD2188" s="444"/>
      <c r="AE2188" s="444"/>
      <c r="AF2188" s="444"/>
    </row>
    <row r="2189" spans="1:32" s="471" customFormat="1" ht="24">
      <c r="A2189" s="65" t="s">
        <v>29655</v>
      </c>
      <c r="B2189" s="65" t="s">
        <v>29656</v>
      </c>
      <c r="C2189" s="108" t="s">
        <v>103</v>
      </c>
      <c r="D2189" s="79">
        <v>1</v>
      </c>
      <c r="E2189" s="79">
        <v>216.25</v>
      </c>
      <c r="F2189" s="79">
        <v>216.25</v>
      </c>
      <c r="G2189" s="444"/>
      <c r="H2189" s="178">
        <v>216.25</v>
      </c>
      <c r="I2189" s="771">
        <v>265.99</v>
      </c>
      <c r="J2189" s="70">
        <v>-49.740000000000009</v>
      </c>
      <c r="K2189" s="320"/>
      <c r="L2189" s="178">
        <v>60.07</v>
      </c>
      <c r="M2189" s="178">
        <v>156.18</v>
      </c>
      <c r="N2189" s="179">
        <v>0</v>
      </c>
      <c r="O2189" s="178">
        <v>216.25</v>
      </c>
      <c r="P2189" s="444"/>
      <c r="Q2189" s="61"/>
      <c r="R2189" s="298"/>
      <c r="S2189" s="669"/>
      <c r="T2189" s="444"/>
      <c r="U2189" s="444"/>
      <c r="V2189" s="444"/>
      <c r="W2189" s="444"/>
      <c r="X2189" s="444">
        <v>2189</v>
      </c>
      <c r="Y2189" s="444"/>
      <c r="Z2189" s="444"/>
      <c r="AA2189" s="444"/>
      <c r="AB2189" s="444"/>
      <c r="AC2189" s="444"/>
      <c r="AD2189" s="444"/>
      <c r="AE2189" s="444"/>
      <c r="AF2189" s="444"/>
    </row>
    <row r="2190" spans="1:32" ht="12">
      <c r="A2190" s="83" t="s">
        <v>21909</v>
      </c>
      <c r="B2190" s="64" t="s">
        <v>9371</v>
      </c>
      <c r="C2190" s="71" t="s">
        <v>103</v>
      </c>
      <c r="D2190" s="79">
        <v>1</v>
      </c>
      <c r="E2190" s="79">
        <v>121.58</v>
      </c>
      <c r="F2190" s="79">
        <v>121.58</v>
      </c>
      <c r="G2190" s="445"/>
      <c r="H2190" s="178">
        <v>121.58</v>
      </c>
      <c r="I2190" s="179">
        <v>149.54</v>
      </c>
      <c r="J2190" s="70">
        <v>-27.959999999999994</v>
      </c>
      <c r="K2190" s="320"/>
      <c r="L2190" s="178">
        <v>54.61</v>
      </c>
      <c r="M2190" s="178">
        <v>66.97</v>
      </c>
      <c r="N2190" s="179">
        <v>0</v>
      </c>
      <c r="O2190" s="178">
        <v>121.58</v>
      </c>
      <c r="P2190" s="453"/>
      <c r="Q2190" s="61"/>
      <c r="R2190" s="298"/>
      <c r="S2190" s="669"/>
      <c r="U2190" s="69"/>
      <c r="V2190" s="69"/>
      <c r="W2190" s="69"/>
      <c r="X2190" s="444">
        <v>2190</v>
      </c>
      <c r="Y2190" s="69"/>
      <c r="Z2190" s="69"/>
      <c r="AA2190" s="69"/>
      <c r="AB2190" s="69"/>
      <c r="AC2190" s="69"/>
      <c r="AD2190" s="69"/>
      <c r="AE2190" s="69"/>
      <c r="AF2190" s="69"/>
    </row>
    <row r="2191" spans="1:32" ht="12">
      <c r="A2191" s="83" t="s">
        <v>21910</v>
      </c>
      <c r="B2191" s="64" t="s">
        <v>21911</v>
      </c>
      <c r="C2191" s="71" t="s">
        <v>103</v>
      </c>
      <c r="D2191" s="79">
        <v>1</v>
      </c>
      <c r="E2191" s="79">
        <v>162.51</v>
      </c>
      <c r="F2191" s="79">
        <v>162.51</v>
      </c>
      <c r="G2191" s="445"/>
      <c r="H2191" s="178">
        <v>162.5</v>
      </c>
      <c r="I2191" s="179">
        <v>199.88</v>
      </c>
      <c r="J2191" s="70">
        <v>-37.370000000000005</v>
      </c>
      <c r="K2191" s="320"/>
      <c r="L2191" s="178">
        <v>54.61</v>
      </c>
      <c r="M2191" s="178">
        <v>107.89999999999999</v>
      </c>
      <c r="N2191" s="179">
        <v>0</v>
      </c>
      <c r="O2191" s="178">
        <v>162.51</v>
      </c>
      <c r="P2191" s="453"/>
      <c r="Q2191" s="61"/>
      <c r="R2191" s="298"/>
      <c r="S2191" s="669"/>
      <c r="X2191" s="444">
        <v>2191</v>
      </c>
    </row>
    <row r="2192" spans="1:32" ht="12">
      <c r="A2192" s="83" t="s">
        <v>21912</v>
      </c>
      <c r="B2192" s="64" t="s">
        <v>21913</v>
      </c>
      <c r="C2192" s="71" t="s">
        <v>103</v>
      </c>
      <c r="D2192" s="79">
        <v>1</v>
      </c>
      <c r="E2192" s="79">
        <v>181.15</v>
      </c>
      <c r="F2192" s="79">
        <v>181.15</v>
      </c>
      <c r="G2192" s="445"/>
      <c r="H2192" s="178">
        <v>181.15</v>
      </c>
      <c r="I2192" s="179">
        <v>222.81</v>
      </c>
      <c r="J2192" s="70">
        <v>-41.66</v>
      </c>
      <c r="K2192" s="320"/>
      <c r="L2192" s="178">
        <v>54.61</v>
      </c>
      <c r="M2192" s="178">
        <v>126.54</v>
      </c>
      <c r="N2192" s="179">
        <v>0</v>
      </c>
      <c r="O2192" s="178">
        <v>181.15</v>
      </c>
      <c r="P2192" s="453"/>
      <c r="Q2192" s="61"/>
      <c r="R2192" s="298"/>
      <c r="S2192" s="669"/>
      <c r="X2192" s="444">
        <v>2192</v>
      </c>
    </row>
    <row r="2193" spans="1:32" s="471" customFormat="1" ht="12">
      <c r="A2193" s="83" t="s">
        <v>21914</v>
      </c>
      <c r="B2193" s="64" t="s">
        <v>21915</v>
      </c>
      <c r="C2193" s="71" t="s">
        <v>103</v>
      </c>
      <c r="D2193" s="79">
        <v>1</v>
      </c>
      <c r="E2193" s="79">
        <v>127.67</v>
      </c>
      <c r="F2193" s="79">
        <v>127.67</v>
      </c>
      <c r="G2193" s="445"/>
      <c r="H2193" s="178">
        <v>127.67</v>
      </c>
      <c r="I2193" s="179">
        <v>157.03</v>
      </c>
      <c r="J2193" s="70">
        <v>-29.36</v>
      </c>
      <c r="K2193" s="320"/>
      <c r="L2193" s="178">
        <v>54.61</v>
      </c>
      <c r="M2193" s="178">
        <v>73.06</v>
      </c>
      <c r="N2193" s="179">
        <v>0</v>
      </c>
      <c r="O2193" s="178">
        <v>127.67</v>
      </c>
      <c r="P2193" s="453"/>
      <c r="Q2193" s="61"/>
      <c r="R2193" s="298"/>
      <c r="S2193" s="669"/>
      <c r="T2193" s="444"/>
      <c r="U2193" s="444"/>
      <c r="V2193" s="444"/>
      <c r="W2193" s="444"/>
      <c r="X2193" s="444">
        <v>2193</v>
      </c>
      <c r="Y2193" s="444"/>
      <c r="Z2193" s="444"/>
      <c r="AA2193" s="444"/>
      <c r="AB2193" s="444"/>
      <c r="AC2193" s="444"/>
      <c r="AD2193" s="444"/>
      <c r="AE2193" s="444"/>
      <c r="AF2193" s="444"/>
    </row>
    <row r="2194" spans="1:32" ht="12">
      <c r="A2194" s="83" t="s">
        <v>21916</v>
      </c>
      <c r="B2194" s="64" t="s">
        <v>21917</v>
      </c>
      <c r="C2194" s="71" t="s">
        <v>103</v>
      </c>
      <c r="D2194" s="79">
        <v>1</v>
      </c>
      <c r="E2194" s="79">
        <v>147.03</v>
      </c>
      <c r="F2194" s="79">
        <v>147.03</v>
      </c>
      <c r="G2194" s="445"/>
      <c r="H2194" s="178">
        <v>147.02000000000001</v>
      </c>
      <c r="I2194" s="179">
        <v>180.84</v>
      </c>
      <c r="J2194" s="70">
        <v>-33.81</v>
      </c>
      <c r="K2194" s="320"/>
      <c r="L2194" s="178">
        <v>54.61</v>
      </c>
      <c r="M2194" s="178">
        <v>92.42</v>
      </c>
      <c r="N2194" s="179">
        <v>0</v>
      </c>
      <c r="O2194" s="178">
        <v>147.03</v>
      </c>
      <c r="P2194" s="453"/>
      <c r="Q2194" s="61"/>
      <c r="R2194" s="298"/>
      <c r="S2194" s="669"/>
      <c r="X2194" s="444">
        <v>2194</v>
      </c>
    </row>
    <row r="2195" spans="1:32" ht="12">
      <c r="A2195" s="83" t="s">
        <v>21918</v>
      </c>
      <c r="B2195" s="64" t="s">
        <v>21919</v>
      </c>
      <c r="C2195" s="71" t="s">
        <v>103</v>
      </c>
      <c r="D2195" s="79">
        <v>1</v>
      </c>
      <c r="E2195" s="79">
        <v>192.79000000000002</v>
      </c>
      <c r="F2195" s="79">
        <v>192.79</v>
      </c>
      <c r="G2195" s="445"/>
      <c r="H2195" s="178">
        <v>192.79</v>
      </c>
      <c r="I2195" s="179">
        <v>237.13</v>
      </c>
      <c r="J2195" s="70">
        <v>-44.339999999999975</v>
      </c>
      <c r="K2195" s="320"/>
      <c r="L2195" s="178">
        <v>54.61</v>
      </c>
      <c r="M2195" s="178">
        <v>138.18</v>
      </c>
      <c r="N2195" s="179">
        <v>0</v>
      </c>
      <c r="O2195" s="178">
        <v>192.79000000000002</v>
      </c>
      <c r="P2195" s="453"/>
      <c r="Q2195" s="61"/>
      <c r="R2195" s="298"/>
      <c r="S2195" s="669"/>
      <c r="X2195" s="444">
        <v>2195</v>
      </c>
    </row>
    <row r="2196" spans="1:32" s="69" customFormat="1">
      <c r="A2196" s="67" t="s">
        <v>21920</v>
      </c>
      <c r="B2196" s="67" t="s">
        <v>21921</v>
      </c>
      <c r="C2196" s="71" t="s">
        <v>103</v>
      </c>
      <c r="D2196" s="79">
        <v>1</v>
      </c>
      <c r="E2196" s="79">
        <v>84.94</v>
      </c>
      <c r="F2196" s="79">
        <v>84.94</v>
      </c>
      <c r="G2196" s="444"/>
      <c r="H2196" s="178">
        <v>84.91</v>
      </c>
      <c r="I2196" s="178">
        <v>104.44</v>
      </c>
      <c r="J2196" s="70">
        <v>-19.5</v>
      </c>
      <c r="K2196" s="320"/>
      <c r="L2196" s="178">
        <v>27.33</v>
      </c>
      <c r="M2196" s="178">
        <v>57.61</v>
      </c>
      <c r="N2196" s="179">
        <v>0</v>
      </c>
      <c r="O2196" s="178">
        <v>84.94</v>
      </c>
      <c r="P2196" s="444"/>
      <c r="Q2196" s="61"/>
      <c r="R2196" s="298"/>
      <c r="S2196" s="669"/>
      <c r="T2196" s="444"/>
      <c r="U2196" s="444"/>
      <c r="V2196" s="444"/>
      <c r="W2196" s="444"/>
      <c r="X2196" s="444">
        <v>2196</v>
      </c>
      <c r="Y2196" s="444"/>
      <c r="Z2196" s="444"/>
      <c r="AA2196" s="444"/>
      <c r="AB2196" s="444"/>
      <c r="AC2196" s="444"/>
      <c r="AD2196" s="444"/>
      <c r="AE2196" s="444"/>
      <c r="AF2196" s="444"/>
    </row>
    <row r="2197" spans="1:32" s="69" customFormat="1" ht="12">
      <c r="A2197" s="83" t="s">
        <v>21922</v>
      </c>
      <c r="B2197" s="64" t="s">
        <v>21923</v>
      </c>
      <c r="C2197" s="71" t="s">
        <v>103</v>
      </c>
      <c r="D2197" s="79">
        <v>1</v>
      </c>
      <c r="E2197" s="79">
        <v>117.16</v>
      </c>
      <c r="F2197" s="79">
        <v>117.16</v>
      </c>
      <c r="G2197" s="445"/>
      <c r="H2197" s="178">
        <v>117.15</v>
      </c>
      <c r="I2197" s="179">
        <v>144.1</v>
      </c>
      <c r="J2197" s="70">
        <v>-26.939999999999998</v>
      </c>
      <c r="K2197" s="320"/>
      <c r="L2197" s="178">
        <v>54.61</v>
      </c>
      <c r="M2197" s="178">
        <v>62.55</v>
      </c>
      <c r="N2197" s="179">
        <v>0</v>
      </c>
      <c r="O2197" s="178">
        <v>117.16</v>
      </c>
      <c r="P2197" s="453"/>
      <c r="Q2197" s="61"/>
      <c r="R2197" s="298"/>
      <c r="S2197" s="669"/>
      <c r="T2197" s="444"/>
      <c r="U2197" s="444"/>
      <c r="V2197" s="444"/>
      <c r="W2197" s="444"/>
      <c r="X2197" s="444">
        <v>2197</v>
      </c>
      <c r="Y2197" s="444"/>
      <c r="Z2197" s="444"/>
      <c r="AA2197" s="444"/>
      <c r="AB2197" s="444"/>
      <c r="AC2197" s="444"/>
      <c r="AD2197" s="444"/>
      <c r="AE2197" s="444"/>
      <c r="AF2197" s="444"/>
    </row>
    <row r="2198" spans="1:32" s="69" customFormat="1" ht="12">
      <c r="A2198" s="83" t="s">
        <v>21924</v>
      </c>
      <c r="B2198" s="64" t="s">
        <v>21925</v>
      </c>
      <c r="C2198" s="71" t="s">
        <v>10216</v>
      </c>
      <c r="D2198" s="79">
        <v>1</v>
      </c>
      <c r="E2198" s="79">
        <v>577.26</v>
      </c>
      <c r="F2198" s="79">
        <v>577.26</v>
      </c>
      <c r="G2198" s="445"/>
      <c r="H2198" s="178">
        <v>577.25</v>
      </c>
      <c r="I2198" s="179">
        <v>710.02</v>
      </c>
      <c r="J2198" s="70">
        <v>-132.76</v>
      </c>
      <c r="K2198" s="320"/>
      <c r="L2198" s="178"/>
      <c r="M2198" s="178">
        <v>577.26</v>
      </c>
      <c r="N2198" s="179">
        <v>0</v>
      </c>
      <c r="O2198" s="178">
        <v>577.26</v>
      </c>
      <c r="P2198" s="453"/>
      <c r="Q2198" s="61"/>
      <c r="R2198" s="298"/>
      <c r="S2198" s="669"/>
      <c r="T2198" s="444"/>
      <c r="U2198" s="444"/>
      <c r="V2198" s="444"/>
      <c r="W2198" s="444"/>
      <c r="X2198" s="444">
        <v>2198</v>
      </c>
      <c r="Y2198" s="444"/>
      <c r="Z2198" s="444"/>
      <c r="AA2198" s="444"/>
      <c r="AB2198" s="444"/>
      <c r="AC2198" s="444"/>
      <c r="AD2198" s="444"/>
      <c r="AE2198" s="444"/>
      <c r="AF2198" s="444"/>
    </row>
    <row r="2199" spans="1:32" s="69" customFormat="1" ht="24">
      <c r="A2199" s="67" t="s">
        <v>21926</v>
      </c>
      <c r="B2199" s="65" t="s">
        <v>39858</v>
      </c>
      <c r="C2199" s="71" t="s">
        <v>103</v>
      </c>
      <c r="D2199" s="79">
        <v>1</v>
      </c>
      <c r="E2199" s="78">
        <v>127.84</v>
      </c>
      <c r="F2199" s="79">
        <v>127.84</v>
      </c>
      <c r="G2199" s="444"/>
      <c r="H2199" s="178">
        <v>127.83</v>
      </c>
      <c r="I2199" s="179">
        <v>157.22999999999999</v>
      </c>
      <c r="J2199" s="70">
        <v>-29.389999999999986</v>
      </c>
      <c r="K2199" s="320"/>
      <c r="L2199" s="178">
        <v>32.770000000000003</v>
      </c>
      <c r="M2199" s="178">
        <v>95.07</v>
      </c>
      <c r="N2199" s="179">
        <v>0</v>
      </c>
      <c r="O2199" s="178">
        <v>127.84</v>
      </c>
      <c r="P2199" s="453"/>
      <c r="Q2199" s="61"/>
      <c r="R2199" s="298"/>
      <c r="S2199" s="669"/>
      <c r="T2199" s="444"/>
      <c r="U2199" s="61"/>
      <c r="V2199" s="61"/>
      <c r="W2199" s="61"/>
      <c r="X2199" s="444">
        <v>2199</v>
      </c>
      <c r="Y2199" s="61"/>
      <c r="Z2199" s="61"/>
      <c r="AA2199" s="61"/>
      <c r="AB2199" s="61"/>
      <c r="AC2199" s="61"/>
      <c r="AD2199" s="61"/>
      <c r="AE2199" s="61"/>
      <c r="AF2199" s="61"/>
    </row>
    <row r="2200" spans="1:32" ht="24">
      <c r="A2200" s="67" t="s">
        <v>21927</v>
      </c>
      <c r="B2200" s="65" t="s">
        <v>39859</v>
      </c>
      <c r="C2200" s="71" t="s">
        <v>103</v>
      </c>
      <c r="D2200" s="79">
        <v>1</v>
      </c>
      <c r="E2200" s="78">
        <v>146.5</v>
      </c>
      <c r="F2200" s="79">
        <v>146.5</v>
      </c>
      <c r="H2200" s="178">
        <v>146.5</v>
      </c>
      <c r="I2200" s="179">
        <v>180.19</v>
      </c>
      <c r="J2200" s="70">
        <v>-33.69</v>
      </c>
      <c r="K2200" s="320"/>
      <c r="L2200" s="178">
        <v>60.07</v>
      </c>
      <c r="M2200" s="178">
        <v>86.43</v>
      </c>
      <c r="N2200" s="179">
        <v>0</v>
      </c>
      <c r="O2200" s="178">
        <v>146.5</v>
      </c>
      <c r="P2200" s="453"/>
      <c r="Q2200" s="61"/>
      <c r="R2200" s="298"/>
      <c r="S2200" s="669"/>
      <c r="U2200" s="69"/>
      <c r="V2200" s="69"/>
      <c r="W2200" s="69"/>
      <c r="X2200" s="444">
        <v>2200</v>
      </c>
      <c r="Y2200" s="69"/>
      <c r="Z2200" s="69"/>
      <c r="AA2200" s="69"/>
      <c r="AB2200" s="69"/>
      <c r="AC2200" s="69"/>
      <c r="AD2200" s="69"/>
      <c r="AE2200" s="69"/>
      <c r="AF2200" s="69"/>
    </row>
    <row r="2201" spans="1:32" ht="24">
      <c r="A2201" s="67" t="s">
        <v>21928</v>
      </c>
      <c r="B2201" s="65" t="s">
        <v>39860</v>
      </c>
      <c r="C2201" s="71" t="s">
        <v>103</v>
      </c>
      <c r="D2201" s="79">
        <v>1</v>
      </c>
      <c r="E2201" s="78">
        <v>277</v>
      </c>
      <c r="F2201" s="79">
        <v>277</v>
      </c>
      <c r="H2201" s="178">
        <v>277</v>
      </c>
      <c r="I2201" s="179">
        <v>340.71</v>
      </c>
      <c r="J2201" s="70">
        <v>-63.70999999999998</v>
      </c>
      <c r="K2201" s="320"/>
      <c r="L2201" s="178">
        <v>60.07</v>
      </c>
      <c r="M2201" s="178">
        <v>216.93</v>
      </c>
      <c r="N2201" s="179">
        <v>0</v>
      </c>
      <c r="O2201" s="178">
        <v>277</v>
      </c>
      <c r="P2201" s="453"/>
      <c r="Q2201" s="61"/>
      <c r="R2201" s="298"/>
      <c r="S2201" s="669"/>
      <c r="X2201" s="444">
        <v>2201</v>
      </c>
    </row>
    <row r="2202" spans="1:32" ht="24">
      <c r="A2202" s="67" t="s">
        <v>21929</v>
      </c>
      <c r="B2202" s="65" t="s">
        <v>39861</v>
      </c>
      <c r="C2202" s="71" t="s">
        <v>103</v>
      </c>
      <c r="D2202" s="79">
        <v>1</v>
      </c>
      <c r="E2202" s="78">
        <v>210.5</v>
      </c>
      <c r="F2202" s="79">
        <v>210.5</v>
      </c>
      <c r="H2202" s="178">
        <v>210.5</v>
      </c>
      <c r="I2202" s="179">
        <v>258.91000000000003</v>
      </c>
      <c r="J2202" s="70">
        <v>-48.410000000000025</v>
      </c>
      <c r="K2202" s="320"/>
      <c r="L2202" s="178">
        <v>60.07</v>
      </c>
      <c r="M2202" s="178">
        <v>150.43</v>
      </c>
      <c r="N2202" s="179">
        <v>0</v>
      </c>
      <c r="O2202" s="178">
        <v>210.5</v>
      </c>
      <c r="P2202" s="453"/>
      <c r="Q2202" s="61"/>
      <c r="R2202" s="298"/>
      <c r="S2202" s="669"/>
      <c r="X2202" s="444">
        <v>2202</v>
      </c>
    </row>
    <row r="2203" spans="1:32" ht="24">
      <c r="A2203" s="67" t="s">
        <v>21930</v>
      </c>
      <c r="B2203" s="65" t="s">
        <v>39862</v>
      </c>
      <c r="C2203" s="71" t="s">
        <v>103</v>
      </c>
      <c r="D2203" s="79">
        <v>1</v>
      </c>
      <c r="E2203" s="78">
        <v>269.43</v>
      </c>
      <c r="F2203" s="79">
        <v>269.43</v>
      </c>
      <c r="H2203" s="178">
        <v>269.43</v>
      </c>
      <c r="I2203" s="179">
        <v>331.4</v>
      </c>
      <c r="J2203" s="70">
        <v>-61.96999999999997</v>
      </c>
      <c r="K2203" s="320"/>
      <c r="L2203" s="178">
        <v>60.07</v>
      </c>
      <c r="M2203" s="178">
        <v>209.36</v>
      </c>
      <c r="N2203" s="179">
        <v>0</v>
      </c>
      <c r="O2203" s="178">
        <v>269.43</v>
      </c>
      <c r="P2203" s="453"/>
      <c r="Q2203" s="61"/>
      <c r="R2203" s="298"/>
      <c r="S2203" s="669"/>
      <c r="X2203" s="444">
        <v>2203</v>
      </c>
    </row>
    <row r="2204" spans="1:32" ht="24">
      <c r="A2204" s="67" t="s">
        <v>21931</v>
      </c>
      <c r="B2204" s="65" t="s">
        <v>39863</v>
      </c>
      <c r="C2204" s="71" t="s">
        <v>103</v>
      </c>
      <c r="D2204" s="79">
        <v>1</v>
      </c>
      <c r="E2204" s="78">
        <v>184.81</v>
      </c>
      <c r="F2204" s="79">
        <v>184.81</v>
      </c>
      <c r="H2204" s="178">
        <v>184.8</v>
      </c>
      <c r="I2204" s="179">
        <v>227.31</v>
      </c>
      <c r="J2204" s="70">
        <v>-42.5</v>
      </c>
      <c r="K2204" s="320"/>
      <c r="L2204" s="178">
        <v>32.770000000000003</v>
      </c>
      <c r="M2204" s="178">
        <v>152.04</v>
      </c>
      <c r="N2204" s="179">
        <v>0</v>
      </c>
      <c r="O2204" s="178">
        <v>184.81</v>
      </c>
      <c r="P2204" s="453"/>
      <c r="Q2204" s="61"/>
      <c r="R2204" s="298"/>
      <c r="S2204" s="669"/>
      <c r="U2204" s="69"/>
      <c r="V2204" s="69"/>
      <c r="W2204" s="69"/>
      <c r="X2204" s="444">
        <v>2204</v>
      </c>
      <c r="Y2204" s="69"/>
      <c r="Z2204" s="69"/>
      <c r="AA2204" s="69"/>
      <c r="AB2204" s="69"/>
      <c r="AC2204" s="69"/>
      <c r="AD2204" s="69"/>
      <c r="AE2204" s="69"/>
      <c r="AF2204" s="69"/>
    </row>
    <row r="2205" spans="1:32" ht="24">
      <c r="A2205" s="67" t="s">
        <v>21932</v>
      </c>
      <c r="B2205" s="65" t="s">
        <v>39864</v>
      </c>
      <c r="C2205" s="71" t="s">
        <v>103</v>
      </c>
      <c r="D2205" s="79">
        <v>1</v>
      </c>
      <c r="E2205" s="78">
        <v>201.87</v>
      </c>
      <c r="F2205" s="79">
        <v>201.87</v>
      </c>
      <c r="H2205" s="178">
        <v>201.87</v>
      </c>
      <c r="I2205" s="179">
        <v>248.3</v>
      </c>
      <c r="J2205" s="70">
        <v>-46.430000000000007</v>
      </c>
      <c r="K2205" s="320"/>
      <c r="L2205" s="178">
        <v>60.07</v>
      </c>
      <c r="M2205" s="178">
        <v>141.80000000000001</v>
      </c>
      <c r="N2205" s="179">
        <v>0</v>
      </c>
      <c r="O2205" s="178">
        <v>201.87</v>
      </c>
      <c r="P2205" s="453"/>
      <c r="Q2205" s="61"/>
      <c r="R2205" s="298"/>
      <c r="S2205" s="669"/>
      <c r="X2205" s="444">
        <v>2205</v>
      </c>
    </row>
    <row r="2206" spans="1:32" ht="24">
      <c r="A2206" s="67" t="s">
        <v>21933</v>
      </c>
      <c r="B2206" s="65" t="s">
        <v>39865</v>
      </c>
      <c r="C2206" s="71" t="s">
        <v>103</v>
      </c>
      <c r="D2206" s="79">
        <v>1</v>
      </c>
      <c r="E2206" s="79">
        <v>75.099999999999994</v>
      </c>
      <c r="F2206" s="79">
        <v>75.099999999999994</v>
      </c>
      <c r="H2206" s="178">
        <v>75.099999999999994</v>
      </c>
      <c r="I2206" s="179">
        <v>92.37</v>
      </c>
      <c r="J2206" s="70">
        <v>-17.27000000000001</v>
      </c>
      <c r="K2206" s="320"/>
      <c r="L2206" s="178">
        <v>18.14</v>
      </c>
      <c r="M2206" s="178">
        <v>56.959999999999994</v>
      </c>
      <c r="N2206" s="179">
        <v>0</v>
      </c>
      <c r="O2206" s="178">
        <v>75.099999999999994</v>
      </c>
      <c r="P2206" s="453"/>
      <c r="Q2206" s="61"/>
      <c r="R2206" s="298"/>
      <c r="S2206" s="669"/>
      <c r="X2206" s="444">
        <v>2206</v>
      </c>
    </row>
    <row r="2207" spans="1:32" ht="24">
      <c r="A2207" s="67" t="s">
        <v>21934</v>
      </c>
      <c r="B2207" s="65" t="s">
        <v>39866</v>
      </c>
      <c r="C2207" s="71" t="s">
        <v>103</v>
      </c>
      <c r="D2207" s="79">
        <v>1</v>
      </c>
      <c r="E2207" s="79">
        <v>44.06</v>
      </c>
      <c r="F2207" s="79">
        <v>44.06</v>
      </c>
      <c r="H2207" s="178">
        <v>44.06</v>
      </c>
      <c r="I2207" s="179">
        <v>54.19</v>
      </c>
      <c r="J2207" s="70">
        <v>-10.129999999999995</v>
      </c>
      <c r="K2207" s="320"/>
      <c r="L2207" s="178">
        <v>15.580000000000002</v>
      </c>
      <c r="M2207" s="178">
        <v>28.48</v>
      </c>
      <c r="N2207" s="179">
        <v>0</v>
      </c>
      <c r="O2207" s="178">
        <v>44.06</v>
      </c>
      <c r="P2207" s="453"/>
      <c r="Q2207" s="61"/>
      <c r="R2207" s="298"/>
      <c r="S2207" s="669"/>
      <c r="X2207" s="444">
        <v>2207</v>
      </c>
    </row>
    <row r="2208" spans="1:32" ht="24">
      <c r="A2208" s="67" t="s">
        <v>21935</v>
      </c>
      <c r="B2208" s="65" t="s">
        <v>39867</v>
      </c>
      <c r="C2208" s="71" t="s">
        <v>103</v>
      </c>
      <c r="D2208" s="79">
        <v>1</v>
      </c>
      <c r="E2208" s="79">
        <v>155.01999999999998</v>
      </c>
      <c r="F2208" s="79">
        <v>155.02000000000001</v>
      </c>
      <c r="H2208" s="178">
        <v>155.02000000000001</v>
      </c>
      <c r="I2208" s="179">
        <v>190.67</v>
      </c>
      <c r="J2208" s="70">
        <v>-35.650000000000006</v>
      </c>
      <c r="K2208" s="320"/>
      <c r="L2208" s="178">
        <v>18.14</v>
      </c>
      <c r="M2208" s="178">
        <v>136.88</v>
      </c>
      <c r="N2208" s="179">
        <v>0</v>
      </c>
      <c r="O2208" s="178">
        <v>155.01999999999998</v>
      </c>
      <c r="P2208" s="453"/>
      <c r="Q2208" s="61"/>
      <c r="R2208" s="298"/>
      <c r="S2208" s="669"/>
      <c r="X2208" s="444">
        <v>2208</v>
      </c>
    </row>
    <row r="2209" spans="1:32" ht="24">
      <c r="A2209" s="67" t="s">
        <v>21936</v>
      </c>
      <c r="B2209" s="65" t="s">
        <v>21937</v>
      </c>
      <c r="C2209" s="71" t="s">
        <v>103</v>
      </c>
      <c r="D2209" s="79">
        <v>1</v>
      </c>
      <c r="E2209" s="79">
        <v>84.02</v>
      </c>
      <c r="F2209" s="79">
        <v>84.02</v>
      </c>
      <c r="H2209" s="178">
        <v>84.02</v>
      </c>
      <c r="I2209" s="179">
        <v>103.34</v>
      </c>
      <c r="J2209" s="70">
        <v>-19.320000000000007</v>
      </c>
      <c r="K2209" s="320"/>
      <c r="L2209" s="178">
        <v>15.580000000000002</v>
      </c>
      <c r="M2209" s="178">
        <v>68.44</v>
      </c>
      <c r="N2209" s="179">
        <v>0</v>
      </c>
      <c r="O2209" s="178">
        <v>84.02</v>
      </c>
      <c r="P2209" s="453"/>
      <c r="Q2209" s="61"/>
      <c r="R2209" s="298"/>
      <c r="S2209" s="669"/>
      <c r="X2209" s="444">
        <v>2209</v>
      </c>
    </row>
    <row r="2210" spans="1:32" ht="12">
      <c r="A2210" s="83" t="s">
        <v>39868</v>
      </c>
      <c r="B2210" s="64" t="s">
        <v>39842</v>
      </c>
      <c r="C2210" s="71"/>
      <c r="D2210" s="79" t="s">
        <v>40899</v>
      </c>
      <c r="E2210" s="79" t="s">
        <v>40899</v>
      </c>
      <c r="F2210" s="79"/>
      <c r="G2210" s="445"/>
      <c r="H2210" s="178"/>
      <c r="I2210" s="178"/>
      <c r="J2210" s="70"/>
      <c r="K2210" s="320"/>
      <c r="L2210" s="178"/>
      <c r="M2210" s="178"/>
      <c r="N2210" s="179"/>
      <c r="O2210" s="178"/>
      <c r="P2210" s="453"/>
      <c r="Q2210" s="61"/>
      <c r="R2210" s="298"/>
      <c r="S2210" s="669"/>
      <c r="X2210" s="444">
        <v>2210</v>
      </c>
    </row>
    <row r="2211" spans="1:32" ht="12">
      <c r="A2211" s="83" t="s">
        <v>21938</v>
      </c>
      <c r="B2211" s="64" t="s">
        <v>21939</v>
      </c>
      <c r="C2211" s="71" t="s">
        <v>103</v>
      </c>
      <c r="D2211" s="79">
        <v>1</v>
      </c>
      <c r="E2211" s="79">
        <v>26.11</v>
      </c>
      <c r="F2211" s="79">
        <v>26.11</v>
      </c>
      <c r="G2211" s="445"/>
      <c r="H2211" s="178">
        <v>26.11</v>
      </c>
      <c r="I2211" s="179">
        <v>32.119999999999997</v>
      </c>
      <c r="J2211" s="70">
        <v>-6.009999999999998</v>
      </c>
      <c r="K2211" s="320"/>
      <c r="L2211" s="178">
        <v>2.5499999999999998</v>
      </c>
      <c r="M2211" s="178">
        <v>23.56</v>
      </c>
      <c r="N2211" s="179">
        <v>0</v>
      </c>
      <c r="O2211" s="178">
        <v>26.11</v>
      </c>
      <c r="P2211" s="453"/>
      <c r="Q2211" s="61"/>
      <c r="R2211" s="298"/>
      <c r="S2211" s="669"/>
      <c r="X2211" s="444">
        <v>2211</v>
      </c>
    </row>
    <row r="2212" spans="1:32" s="69" customFormat="1" ht="12">
      <c r="A2212" s="83" t="s">
        <v>21940</v>
      </c>
      <c r="B2212" s="64" t="s">
        <v>21941</v>
      </c>
      <c r="C2212" s="71" t="s">
        <v>103</v>
      </c>
      <c r="D2212" s="79">
        <v>1</v>
      </c>
      <c r="E2212" s="79">
        <v>27.07</v>
      </c>
      <c r="F2212" s="79">
        <v>27.07</v>
      </c>
      <c r="G2212" s="445"/>
      <c r="H2212" s="178">
        <v>27.06</v>
      </c>
      <c r="I2212" s="178">
        <v>33.28</v>
      </c>
      <c r="J2212" s="70">
        <v>-6.2100000000000009</v>
      </c>
      <c r="K2212" s="320"/>
      <c r="L2212" s="178">
        <v>5.13</v>
      </c>
      <c r="M2212" s="178">
        <v>21.94</v>
      </c>
      <c r="N2212" s="179">
        <v>0</v>
      </c>
      <c r="O2212" s="178">
        <v>27.07</v>
      </c>
      <c r="P2212" s="453"/>
      <c r="Q2212" s="61"/>
      <c r="R2212" s="298"/>
      <c r="S2212" s="669"/>
      <c r="T2212" s="444"/>
      <c r="U2212" s="444"/>
      <c r="V2212" s="444"/>
      <c r="W2212" s="444"/>
      <c r="X2212" s="444">
        <v>2212</v>
      </c>
      <c r="Y2212" s="444"/>
      <c r="Z2212" s="444"/>
      <c r="AA2212" s="444"/>
      <c r="AB2212" s="444"/>
      <c r="AC2212" s="444"/>
      <c r="AD2212" s="444"/>
      <c r="AE2212" s="444"/>
      <c r="AF2212" s="444"/>
    </row>
    <row r="2213" spans="1:32" s="69" customFormat="1" ht="12">
      <c r="A2213" s="83" t="s">
        <v>21942</v>
      </c>
      <c r="B2213" s="64" t="s">
        <v>21943</v>
      </c>
      <c r="C2213" s="71" t="s">
        <v>103</v>
      </c>
      <c r="D2213" s="79">
        <v>1</v>
      </c>
      <c r="E2213" s="79">
        <v>52.239999999999995</v>
      </c>
      <c r="F2213" s="79">
        <v>52.24</v>
      </c>
      <c r="G2213" s="445"/>
      <c r="H2213" s="178">
        <v>52.24</v>
      </c>
      <c r="I2213" s="178">
        <v>64.25</v>
      </c>
      <c r="J2213" s="70">
        <v>-12.010000000000005</v>
      </c>
      <c r="K2213" s="320"/>
      <c r="L2213" s="178">
        <v>16.38</v>
      </c>
      <c r="M2213" s="178">
        <v>35.86</v>
      </c>
      <c r="N2213" s="179">
        <v>0</v>
      </c>
      <c r="O2213" s="178">
        <v>52.239999999999995</v>
      </c>
      <c r="P2213" s="453"/>
      <c r="Q2213" s="61"/>
      <c r="R2213" s="298"/>
      <c r="S2213" s="669"/>
      <c r="T2213" s="444"/>
      <c r="U2213" s="444"/>
      <c r="V2213" s="444"/>
      <c r="W2213" s="444"/>
      <c r="X2213" s="444">
        <v>2213</v>
      </c>
      <c r="Y2213" s="444"/>
      <c r="Z2213" s="444"/>
      <c r="AA2213" s="444"/>
      <c r="AB2213" s="444"/>
      <c r="AC2213" s="444"/>
      <c r="AD2213" s="444"/>
      <c r="AE2213" s="444"/>
      <c r="AF2213" s="444"/>
    </row>
    <row r="2214" spans="1:32" ht="12">
      <c r="A2214" s="83" t="s">
        <v>21944</v>
      </c>
      <c r="B2214" s="64" t="s">
        <v>21945</v>
      </c>
      <c r="C2214" s="71" t="s">
        <v>103</v>
      </c>
      <c r="D2214" s="79">
        <v>1</v>
      </c>
      <c r="E2214" s="79">
        <v>61.989999999999995</v>
      </c>
      <c r="F2214" s="79">
        <v>61.99</v>
      </c>
      <c r="G2214" s="445"/>
      <c r="H2214" s="178">
        <v>61.99</v>
      </c>
      <c r="I2214" s="178">
        <v>76.25</v>
      </c>
      <c r="J2214" s="70">
        <v>-14.260000000000005</v>
      </c>
      <c r="K2214" s="320"/>
      <c r="L2214" s="178">
        <v>16.38</v>
      </c>
      <c r="M2214" s="178">
        <v>45.61</v>
      </c>
      <c r="N2214" s="179">
        <v>0</v>
      </c>
      <c r="O2214" s="178">
        <v>61.989999999999995</v>
      </c>
      <c r="P2214" s="453"/>
      <c r="Q2214" s="61"/>
      <c r="R2214" s="298"/>
      <c r="S2214" s="669"/>
      <c r="X2214" s="444">
        <v>2214</v>
      </c>
    </row>
    <row r="2215" spans="1:32" ht="12">
      <c r="A2215" s="83" t="s">
        <v>21946</v>
      </c>
      <c r="B2215" s="64" t="s">
        <v>21947</v>
      </c>
      <c r="C2215" s="71" t="s">
        <v>103</v>
      </c>
      <c r="D2215" s="79">
        <v>1</v>
      </c>
      <c r="E2215" s="79">
        <v>68</v>
      </c>
      <c r="F2215" s="79">
        <v>68</v>
      </c>
      <c r="G2215" s="445"/>
      <c r="H2215" s="178">
        <v>68</v>
      </c>
      <c r="I2215" s="178">
        <v>83.64</v>
      </c>
      <c r="J2215" s="70">
        <v>-15.64</v>
      </c>
      <c r="K2215" s="320"/>
      <c r="L2215" s="178">
        <v>16.38</v>
      </c>
      <c r="M2215" s="178">
        <v>51.620000000000005</v>
      </c>
      <c r="N2215" s="179">
        <v>0</v>
      </c>
      <c r="O2215" s="178">
        <v>68</v>
      </c>
      <c r="P2215" s="453"/>
      <c r="Q2215" s="61"/>
      <c r="R2215" s="298"/>
      <c r="S2215" s="669"/>
      <c r="X2215" s="444">
        <v>2215</v>
      </c>
    </row>
    <row r="2216" spans="1:32">
      <c r="A2216" s="67" t="s">
        <v>21948</v>
      </c>
      <c r="B2216" s="67" t="s">
        <v>21949</v>
      </c>
      <c r="C2216" s="71" t="s">
        <v>103</v>
      </c>
      <c r="D2216" s="79">
        <v>1</v>
      </c>
      <c r="E2216" s="79">
        <v>13.780000000000001</v>
      </c>
      <c r="F2216" s="79">
        <v>13.78</v>
      </c>
      <c r="H2216" s="178">
        <v>13.79</v>
      </c>
      <c r="I2216" s="178">
        <v>16.96</v>
      </c>
      <c r="J2216" s="70">
        <v>-3.1799999999999997</v>
      </c>
      <c r="K2216" s="320"/>
      <c r="L2216" s="178">
        <v>2.5499999999999998</v>
      </c>
      <c r="M2216" s="178">
        <v>11.23</v>
      </c>
      <c r="N2216" s="179">
        <v>0</v>
      </c>
      <c r="O2216" s="178">
        <v>13.780000000000001</v>
      </c>
      <c r="Q2216" s="61"/>
      <c r="R2216" s="298"/>
      <c r="S2216" s="669"/>
      <c r="X2216" s="444">
        <v>2216</v>
      </c>
    </row>
    <row r="2217" spans="1:32" ht="12">
      <c r="A2217" s="83" t="s">
        <v>21950</v>
      </c>
      <c r="B2217" s="64" t="s">
        <v>21951</v>
      </c>
      <c r="C2217" s="71" t="s">
        <v>103</v>
      </c>
      <c r="D2217" s="79">
        <v>1</v>
      </c>
      <c r="E2217" s="79">
        <v>371.62</v>
      </c>
      <c r="F2217" s="79">
        <v>371.62</v>
      </c>
      <c r="G2217" s="445"/>
      <c r="H2217" s="178">
        <v>371.62</v>
      </c>
      <c r="I2217" s="178">
        <v>457.09</v>
      </c>
      <c r="J2217" s="70">
        <v>-85.46999999999997</v>
      </c>
      <c r="K2217" s="320"/>
      <c r="L2217" s="178">
        <v>16.38</v>
      </c>
      <c r="M2217" s="178">
        <v>355.24</v>
      </c>
      <c r="N2217" s="179">
        <v>0</v>
      </c>
      <c r="O2217" s="178">
        <v>371.62</v>
      </c>
      <c r="P2217" s="453"/>
      <c r="Q2217" s="61"/>
      <c r="R2217" s="298"/>
      <c r="S2217" s="669"/>
      <c r="X2217" s="444">
        <v>2217</v>
      </c>
    </row>
    <row r="2218" spans="1:32" ht="12">
      <c r="A2218" s="83" t="s">
        <v>21952</v>
      </c>
      <c r="B2218" s="64" t="s">
        <v>21953</v>
      </c>
      <c r="C2218" s="71" t="s">
        <v>103</v>
      </c>
      <c r="D2218" s="79">
        <v>1</v>
      </c>
      <c r="E2218" s="79">
        <v>470.48</v>
      </c>
      <c r="F2218" s="79">
        <v>470.48</v>
      </c>
      <c r="G2218" s="445"/>
      <c r="H2218" s="178">
        <v>470.48</v>
      </c>
      <c r="I2218" s="178">
        <v>578.69000000000005</v>
      </c>
      <c r="J2218" s="70">
        <v>-108.21000000000004</v>
      </c>
      <c r="K2218" s="320"/>
      <c r="L2218" s="178">
        <v>16.38</v>
      </c>
      <c r="M2218" s="178">
        <v>454.1</v>
      </c>
      <c r="N2218" s="179">
        <v>0</v>
      </c>
      <c r="O2218" s="178">
        <v>470.48</v>
      </c>
      <c r="P2218" s="453"/>
      <c r="Q2218" s="61"/>
      <c r="R2218" s="298"/>
      <c r="S2218" s="669"/>
      <c r="U2218" s="73"/>
      <c r="V2218" s="73"/>
      <c r="W2218" s="73"/>
      <c r="X2218" s="444">
        <v>2218</v>
      </c>
      <c r="Y2218" s="73"/>
      <c r="Z2218" s="73"/>
      <c r="AA2218" s="73"/>
      <c r="AB2218" s="73"/>
      <c r="AC2218" s="73"/>
      <c r="AD2218" s="73"/>
      <c r="AE2218" s="73"/>
      <c r="AF2218" s="73"/>
    </row>
    <row r="2219" spans="1:32" ht="12">
      <c r="A2219" s="83" t="s">
        <v>21954</v>
      </c>
      <c r="B2219" s="64" t="s">
        <v>21955</v>
      </c>
      <c r="C2219" s="71" t="s">
        <v>103</v>
      </c>
      <c r="D2219" s="79">
        <v>1</v>
      </c>
      <c r="E2219" s="79">
        <v>100.42</v>
      </c>
      <c r="F2219" s="79">
        <v>100.42</v>
      </c>
      <c r="G2219" s="445"/>
      <c r="H2219" s="178">
        <v>100.42</v>
      </c>
      <c r="I2219" s="178">
        <v>123.52</v>
      </c>
      <c r="J2219" s="70">
        <v>-23.099999999999994</v>
      </c>
      <c r="K2219" s="320"/>
      <c r="L2219" s="178">
        <v>16.38</v>
      </c>
      <c r="M2219" s="178">
        <v>84.04</v>
      </c>
      <c r="N2219" s="179">
        <v>0</v>
      </c>
      <c r="O2219" s="178">
        <v>100.42</v>
      </c>
      <c r="P2219" s="453"/>
      <c r="Q2219" s="61"/>
      <c r="R2219" s="298"/>
      <c r="S2219" s="669"/>
      <c r="X2219" s="444">
        <v>2219</v>
      </c>
    </row>
    <row r="2220" spans="1:32" ht="12">
      <c r="A2220" s="83" t="s">
        <v>21956</v>
      </c>
      <c r="B2220" s="64" t="s">
        <v>21957</v>
      </c>
      <c r="C2220" s="71" t="s">
        <v>103</v>
      </c>
      <c r="D2220" s="79">
        <v>1</v>
      </c>
      <c r="E2220" s="79">
        <v>407.46999999999997</v>
      </c>
      <c r="F2220" s="79">
        <v>407.47</v>
      </c>
      <c r="G2220" s="445"/>
      <c r="H2220" s="178">
        <v>407.46</v>
      </c>
      <c r="I2220" s="178">
        <v>501.18</v>
      </c>
      <c r="J2220" s="70">
        <v>-93.710000000000036</v>
      </c>
      <c r="K2220" s="320"/>
      <c r="L2220" s="178">
        <v>43.69</v>
      </c>
      <c r="M2220" s="178">
        <v>363.78</v>
      </c>
      <c r="N2220" s="179">
        <v>0</v>
      </c>
      <c r="O2220" s="178">
        <v>407.46999999999997</v>
      </c>
      <c r="P2220" s="453"/>
      <c r="Q2220" s="61"/>
      <c r="R2220" s="298"/>
      <c r="S2220" s="669"/>
      <c r="X2220" s="444">
        <v>2220</v>
      </c>
    </row>
    <row r="2221" spans="1:32" ht="12">
      <c r="A2221" s="83" t="s">
        <v>21958</v>
      </c>
      <c r="B2221" s="64" t="s">
        <v>21959</v>
      </c>
      <c r="C2221" s="71" t="s">
        <v>103</v>
      </c>
      <c r="D2221" s="79">
        <v>1</v>
      </c>
      <c r="E2221" s="79">
        <v>305.60000000000002</v>
      </c>
      <c r="F2221" s="79">
        <v>305.60000000000002</v>
      </c>
      <c r="G2221" s="445"/>
      <c r="H2221" s="178">
        <v>305.58999999999997</v>
      </c>
      <c r="I2221" s="178">
        <v>375.88</v>
      </c>
      <c r="J2221" s="70">
        <v>-70.279999999999973</v>
      </c>
      <c r="K2221" s="320"/>
      <c r="L2221" s="178">
        <v>43.69</v>
      </c>
      <c r="M2221" s="178">
        <v>261.91000000000003</v>
      </c>
      <c r="N2221" s="179">
        <v>0</v>
      </c>
      <c r="O2221" s="178">
        <v>305.60000000000002</v>
      </c>
      <c r="P2221" s="453"/>
      <c r="Q2221" s="61"/>
      <c r="R2221" s="298"/>
      <c r="S2221" s="669"/>
      <c r="X2221" s="444">
        <v>2221</v>
      </c>
    </row>
    <row r="2222" spans="1:32" ht="12">
      <c r="A2222" s="83" t="s">
        <v>21960</v>
      </c>
      <c r="B2222" s="64" t="s">
        <v>29657</v>
      </c>
      <c r="C2222" s="71" t="s">
        <v>103</v>
      </c>
      <c r="D2222" s="79">
        <v>1</v>
      </c>
      <c r="E2222" s="79">
        <v>318.42</v>
      </c>
      <c r="F2222" s="79">
        <v>318.42</v>
      </c>
      <c r="G2222" s="445"/>
      <c r="H2222" s="178">
        <v>318.41000000000003</v>
      </c>
      <c r="I2222" s="178">
        <v>391.65</v>
      </c>
      <c r="J2222" s="70">
        <v>-73.229999999999961</v>
      </c>
      <c r="K2222" s="320"/>
      <c r="L2222" s="178">
        <v>43.69</v>
      </c>
      <c r="M2222" s="178">
        <v>274.73</v>
      </c>
      <c r="N2222" s="179">
        <v>0</v>
      </c>
      <c r="O2222" s="178">
        <v>318.42</v>
      </c>
      <c r="P2222" s="453"/>
      <c r="Q2222" s="61"/>
      <c r="R2222" s="298"/>
      <c r="S2222" s="669"/>
      <c r="X2222" s="444">
        <v>2222</v>
      </c>
    </row>
    <row r="2223" spans="1:32" ht="12">
      <c r="A2223" s="83" t="s">
        <v>21961</v>
      </c>
      <c r="B2223" s="64" t="s">
        <v>21962</v>
      </c>
      <c r="C2223" s="71" t="s">
        <v>103</v>
      </c>
      <c r="D2223" s="79">
        <v>1</v>
      </c>
      <c r="E2223" s="79">
        <v>351.51</v>
      </c>
      <c r="F2223" s="79">
        <v>351.51</v>
      </c>
      <c r="G2223" s="445"/>
      <c r="H2223" s="178">
        <v>351.51</v>
      </c>
      <c r="I2223" s="178">
        <v>432.36</v>
      </c>
      <c r="J2223" s="70">
        <v>-80.850000000000023</v>
      </c>
      <c r="K2223" s="320"/>
      <c r="L2223" s="178">
        <v>109.22</v>
      </c>
      <c r="M2223" s="178">
        <v>242.29</v>
      </c>
      <c r="N2223" s="179">
        <v>0</v>
      </c>
      <c r="O2223" s="178">
        <v>351.51</v>
      </c>
      <c r="P2223" s="453"/>
      <c r="Q2223" s="61"/>
      <c r="R2223" s="298"/>
      <c r="S2223" s="669"/>
      <c r="X2223" s="444">
        <v>2223</v>
      </c>
    </row>
    <row r="2224" spans="1:32" ht="12">
      <c r="A2224" s="83" t="s">
        <v>21963</v>
      </c>
      <c r="B2224" s="64" t="s">
        <v>21964</v>
      </c>
      <c r="C2224" s="71" t="s">
        <v>103</v>
      </c>
      <c r="D2224" s="79">
        <v>1</v>
      </c>
      <c r="E2224" s="79">
        <v>244.17</v>
      </c>
      <c r="F2224" s="79">
        <v>244.17</v>
      </c>
      <c r="G2224" s="445"/>
      <c r="H2224" s="178">
        <v>244.17</v>
      </c>
      <c r="I2224" s="178">
        <v>300.33</v>
      </c>
      <c r="J2224" s="70">
        <v>-56.16</v>
      </c>
      <c r="K2224" s="320"/>
      <c r="L2224" s="178">
        <v>109.22</v>
      </c>
      <c r="M2224" s="178">
        <v>134.94999999999999</v>
      </c>
      <c r="N2224" s="179">
        <v>0</v>
      </c>
      <c r="O2224" s="178">
        <v>244.17</v>
      </c>
      <c r="P2224" s="453"/>
      <c r="Q2224" s="61"/>
      <c r="R2224" s="298"/>
      <c r="S2224" s="669"/>
      <c r="X2224" s="444">
        <v>2224</v>
      </c>
    </row>
    <row r="2225" spans="1:32" ht="12">
      <c r="A2225" s="83" t="s">
        <v>21965</v>
      </c>
      <c r="B2225" s="64" t="s">
        <v>21966</v>
      </c>
      <c r="C2225" s="71" t="s">
        <v>103</v>
      </c>
      <c r="D2225" s="79">
        <v>1</v>
      </c>
      <c r="E2225" s="79">
        <v>219.54</v>
      </c>
      <c r="F2225" s="79">
        <v>219.54</v>
      </c>
      <c r="G2225" s="445"/>
      <c r="H2225" s="178">
        <v>219.51</v>
      </c>
      <c r="I2225" s="178">
        <v>270</v>
      </c>
      <c r="J2225" s="70">
        <v>-50.460000000000008</v>
      </c>
      <c r="K2225" s="320"/>
      <c r="L2225" s="178">
        <v>81.94</v>
      </c>
      <c r="M2225" s="178">
        <v>137.6</v>
      </c>
      <c r="N2225" s="179">
        <v>0</v>
      </c>
      <c r="O2225" s="178">
        <v>219.54</v>
      </c>
      <c r="P2225" s="453"/>
      <c r="Q2225" s="61"/>
      <c r="R2225" s="298"/>
      <c r="S2225" s="669"/>
      <c r="X2225" s="444">
        <v>2225</v>
      </c>
    </row>
    <row r="2226" spans="1:32" ht="12">
      <c r="A2226" s="83" t="s">
        <v>21967</v>
      </c>
      <c r="B2226" s="64" t="s">
        <v>21968</v>
      </c>
      <c r="C2226" s="71" t="s">
        <v>103</v>
      </c>
      <c r="D2226" s="79">
        <v>1</v>
      </c>
      <c r="E2226" s="79">
        <v>469.19000000000005</v>
      </c>
      <c r="F2226" s="79">
        <v>469.19</v>
      </c>
      <c r="G2226" s="445"/>
      <c r="H2226" s="178">
        <v>469.18</v>
      </c>
      <c r="I2226" s="178">
        <v>577.09</v>
      </c>
      <c r="J2226" s="70">
        <v>-107.89999999999998</v>
      </c>
      <c r="K2226" s="320"/>
      <c r="L2226" s="178">
        <v>163.84000000000003</v>
      </c>
      <c r="M2226" s="178">
        <v>305.35000000000002</v>
      </c>
      <c r="N2226" s="179">
        <v>0</v>
      </c>
      <c r="O2226" s="178">
        <v>469.19000000000005</v>
      </c>
      <c r="P2226" s="453"/>
      <c r="Q2226" s="61"/>
      <c r="R2226" s="298"/>
      <c r="S2226" s="669"/>
      <c r="U2226" s="73"/>
      <c r="V2226" s="73"/>
      <c r="W2226" s="73"/>
      <c r="X2226" s="444">
        <v>2226</v>
      </c>
      <c r="Y2226" s="73"/>
      <c r="Z2226" s="73"/>
      <c r="AA2226" s="73"/>
      <c r="AB2226" s="73"/>
      <c r="AC2226" s="73"/>
      <c r="AD2226" s="73"/>
      <c r="AE2226" s="73"/>
      <c r="AF2226" s="73"/>
    </row>
    <row r="2227" spans="1:32" ht="12">
      <c r="A2227" s="83" t="s">
        <v>21969</v>
      </c>
      <c r="B2227" s="64" t="s">
        <v>21970</v>
      </c>
      <c r="C2227" s="71" t="s">
        <v>103</v>
      </c>
      <c r="D2227" s="79">
        <v>1</v>
      </c>
      <c r="E2227" s="79">
        <v>1661.81</v>
      </c>
      <c r="F2227" s="79">
        <v>1661.81</v>
      </c>
      <c r="G2227" s="445"/>
      <c r="H2227" s="178">
        <v>1661.81</v>
      </c>
      <c r="I2227" s="178">
        <v>2044.03</v>
      </c>
      <c r="J2227" s="70">
        <v>-382.22</v>
      </c>
      <c r="K2227" s="320"/>
      <c r="L2227" s="178">
        <v>327.67</v>
      </c>
      <c r="M2227" s="178">
        <v>1334.1399999999999</v>
      </c>
      <c r="N2227" s="179">
        <v>0</v>
      </c>
      <c r="O2227" s="178">
        <v>1661.81</v>
      </c>
      <c r="P2227" s="453"/>
      <c r="Q2227" s="61"/>
      <c r="R2227" s="298"/>
      <c r="S2227" s="669"/>
      <c r="X2227" s="444">
        <v>2227</v>
      </c>
    </row>
    <row r="2228" spans="1:32" ht="12">
      <c r="A2228" s="83" t="s">
        <v>21971</v>
      </c>
      <c r="B2228" s="64" t="s">
        <v>21972</v>
      </c>
      <c r="C2228" s="71" t="s">
        <v>103</v>
      </c>
      <c r="D2228" s="79">
        <v>1</v>
      </c>
      <c r="E2228" s="79">
        <v>2279.91</v>
      </c>
      <c r="F2228" s="79">
        <v>2279.91</v>
      </c>
      <c r="G2228" s="445"/>
      <c r="H2228" s="178">
        <v>2279.92</v>
      </c>
      <c r="I2228" s="178">
        <v>2804.3</v>
      </c>
      <c r="J2228" s="70">
        <v>-524.39000000000033</v>
      </c>
      <c r="K2228" s="320"/>
      <c r="L2228" s="178">
        <v>327.67</v>
      </c>
      <c r="M2228" s="178">
        <v>1952.2399999999998</v>
      </c>
      <c r="N2228" s="179">
        <v>0</v>
      </c>
      <c r="O2228" s="178">
        <v>2279.91</v>
      </c>
      <c r="P2228" s="453"/>
      <c r="Q2228" s="61"/>
      <c r="R2228" s="298"/>
      <c r="S2228" s="669"/>
      <c r="X2228" s="444">
        <v>2228</v>
      </c>
    </row>
    <row r="2229" spans="1:32" ht="12">
      <c r="A2229" s="83" t="s">
        <v>21973</v>
      </c>
      <c r="B2229" s="64" t="s">
        <v>21974</v>
      </c>
      <c r="C2229" s="71" t="s">
        <v>103</v>
      </c>
      <c r="D2229" s="79">
        <v>1</v>
      </c>
      <c r="E2229" s="79">
        <v>4604.7299999999996</v>
      </c>
      <c r="F2229" s="79">
        <v>4604.7299999999996</v>
      </c>
      <c r="G2229" s="445"/>
      <c r="H2229" s="178">
        <v>4604.74</v>
      </c>
      <c r="I2229" s="178">
        <v>5663.83</v>
      </c>
      <c r="J2229" s="70">
        <v>-1059.1000000000004</v>
      </c>
      <c r="K2229" s="320"/>
      <c r="L2229" s="178">
        <v>327.67</v>
      </c>
      <c r="M2229" s="178">
        <v>4277.0599999999995</v>
      </c>
      <c r="N2229" s="179">
        <v>0</v>
      </c>
      <c r="O2229" s="178">
        <v>4604.7299999999996</v>
      </c>
      <c r="P2229" s="453"/>
      <c r="Q2229" s="61"/>
      <c r="R2229" s="298"/>
      <c r="S2229" s="669"/>
      <c r="X2229" s="444">
        <v>2229</v>
      </c>
    </row>
    <row r="2230" spans="1:32" ht="12">
      <c r="A2230" s="83" t="s">
        <v>21975</v>
      </c>
      <c r="B2230" s="64" t="s">
        <v>21976</v>
      </c>
      <c r="C2230" s="71" t="s">
        <v>103</v>
      </c>
      <c r="D2230" s="79">
        <v>1</v>
      </c>
      <c r="E2230" s="79">
        <v>1893.63</v>
      </c>
      <c r="F2230" s="79">
        <v>1893.63</v>
      </c>
      <c r="G2230" s="445"/>
      <c r="H2230" s="178">
        <v>1893.63</v>
      </c>
      <c r="I2230" s="178">
        <v>2329.17</v>
      </c>
      <c r="J2230" s="70">
        <v>-435.53999999999996</v>
      </c>
      <c r="K2230" s="320"/>
      <c r="L2230" s="178">
        <v>327.67</v>
      </c>
      <c r="M2230" s="178">
        <v>1565.96</v>
      </c>
      <c r="N2230" s="179">
        <v>0</v>
      </c>
      <c r="O2230" s="178">
        <v>1893.63</v>
      </c>
      <c r="P2230" s="453"/>
      <c r="Q2230" s="61"/>
      <c r="R2230" s="298"/>
      <c r="S2230" s="669"/>
      <c r="X2230" s="444">
        <v>2230</v>
      </c>
    </row>
    <row r="2231" spans="1:32" ht="12">
      <c r="A2231" s="83" t="s">
        <v>21977</v>
      </c>
      <c r="B2231" s="64" t="s">
        <v>8798</v>
      </c>
      <c r="C2231" s="71" t="s">
        <v>103</v>
      </c>
      <c r="D2231" s="79">
        <v>1</v>
      </c>
      <c r="E2231" s="79">
        <v>50.37</v>
      </c>
      <c r="F2231" s="79">
        <v>50.37</v>
      </c>
      <c r="G2231" s="445"/>
      <c r="H2231" s="178">
        <v>50.34</v>
      </c>
      <c r="I2231" s="178">
        <v>61.92</v>
      </c>
      <c r="J2231" s="70">
        <v>-11.550000000000004</v>
      </c>
      <c r="K2231" s="320"/>
      <c r="L2231" s="178">
        <v>27.33</v>
      </c>
      <c r="M2231" s="178">
        <v>23.04</v>
      </c>
      <c r="N2231" s="179">
        <v>0</v>
      </c>
      <c r="O2231" s="178">
        <v>50.37</v>
      </c>
      <c r="P2231" s="453"/>
      <c r="Q2231" s="61"/>
      <c r="R2231" s="298"/>
      <c r="S2231" s="669"/>
      <c r="U2231" s="73"/>
      <c r="V2231" s="73"/>
      <c r="W2231" s="73"/>
      <c r="X2231" s="444">
        <v>2231</v>
      </c>
      <c r="Y2231" s="73"/>
      <c r="Z2231" s="73"/>
      <c r="AA2231" s="73"/>
      <c r="AB2231" s="73"/>
      <c r="AC2231" s="73"/>
      <c r="AD2231" s="73"/>
      <c r="AE2231" s="73"/>
      <c r="AF2231" s="73"/>
    </row>
    <row r="2232" spans="1:32" ht="12">
      <c r="A2232" s="83" t="s">
        <v>21978</v>
      </c>
      <c r="B2232" s="64" t="s">
        <v>8800</v>
      </c>
      <c r="C2232" s="71" t="s">
        <v>103</v>
      </c>
      <c r="D2232" s="79">
        <v>1</v>
      </c>
      <c r="E2232" s="79">
        <v>70.55</v>
      </c>
      <c r="F2232" s="79">
        <v>70.55</v>
      </c>
      <c r="G2232" s="445"/>
      <c r="H2232" s="178">
        <v>70.52</v>
      </c>
      <c r="I2232" s="178">
        <v>86.74</v>
      </c>
      <c r="J2232" s="70">
        <v>-16.189999999999998</v>
      </c>
      <c r="K2232" s="320"/>
      <c r="L2232" s="178">
        <v>27.33</v>
      </c>
      <c r="M2232" s="178">
        <v>43.22</v>
      </c>
      <c r="N2232" s="179">
        <v>0</v>
      </c>
      <c r="O2232" s="178">
        <v>70.55</v>
      </c>
      <c r="P2232" s="453"/>
      <c r="Q2232" s="61"/>
      <c r="R2232" s="298"/>
      <c r="S2232" s="669"/>
      <c r="U2232" s="73"/>
      <c r="V2232" s="73"/>
      <c r="W2232" s="73"/>
      <c r="X2232" s="444">
        <v>2232</v>
      </c>
      <c r="Y2232" s="73"/>
      <c r="Z2232" s="73"/>
      <c r="AA2232" s="73"/>
      <c r="AB2232" s="73"/>
      <c r="AC2232" s="73"/>
      <c r="AD2232" s="73"/>
      <c r="AE2232" s="73"/>
      <c r="AF2232" s="73"/>
    </row>
    <row r="2233" spans="1:32" ht="12">
      <c r="A2233" s="83" t="s">
        <v>21979</v>
      </c>
      <c r="B2233" s="64" t="s">
        <v>8802</v>
      </c>
      <c r="C2233" s="71" t="s">
        <v>103</v>
      </c>
      <c r="D2233" s="79">
        <v>1</v>
      </c>
      <c r="E2233" s="79">
        <v>81.400000000000006</v>
      </c>
      <c r="F2233" s="79">
        <v>81.400000000000006</v>
      </c>
      <c r="G2233" s="445"/>
      <c r="H2233" s="178">
        <v>81.37</v>
      </c>
      <c r="I2233" s="178">
        <v>100.09</v>
      </c>
      <c r="J2233" s="70">
        <v>-18.689999999999998</v>
      </c>
      <c r="K2233" s="320"/>
      <c r="L2233" s="178">
        <v>27.33</v>
      </c>
      <c r="M2233" s="178">
        <v>54.070000000000007</v>
      </c>
      <c r="N2233" s="179">
        <v>0</v>
      </c>
      <c r="O2233" s="178">
        <v>81.400000000000006</v>
      </c>
      <c r="P2233" s="453"/>
      <c r="Q2233" s="61"/>
      <c r="R2233" s="298"/>
      <c r="S2233" s="669"/>
      <c r="X2233" s="444">
        <v>2233</v>
      </c>
    </row>
    <row r="2234" spans="1:32" ht="12">
      <c r="A2234" s="83" t="s">
        <v>21980</v>
      </c>
      <c r="B2234" s="64" t="s">
        <v>8804</v>
      </c>
      <c r="C2234" s="71" t="s">
        <v>103</v>
      </c>
      <c r="D2234" s="79">
        <v>1</v>
      </c>
      <c r="E2234" s="79">
        <v>101.09</v>
      </c>
      <c r="F2234" s="79">
        <v>101.09</v>
      </c>
      <c r="G2234" s="445"/>
      <c r="H2234" s="178">
        <v>101.07</v>
      </c>
      <c r="I2234" s="178">
        <v>124.31</v>
      </c>
      <c r="J2234" s="70">
        <v>-23.22</v>
      </c>
      <c r="K2234" s="320"/>
      <c r="L2234" s="178">
        <v>27.33</v>
      </c>
      <c r="M2234" s="178">
        <v>73.760000000000005</v>
      </c>
      <c r="N2234" s="179">
        <v>0</v>
      </c>
      <c r="O2234" s="178">
        <v>101.09</v>
      </c>
      <c r="P2234" s="453"/>
      <c r="Q2234" s="61"/>
      <c r="R2234" s="298"/>
      <c r="S2234" s="669"/>
      <c r="X2234" s="444">
        <v>2234</v>
      </c>
    </row>
    <row r="2235" spans="1:32" s="69" customFormat="1" ht="12">
      <c r="A2235" s="83" t="s">
        <v>21981</v>
      </c>
      <c r="B2235" s="64" t="s">
        <v>21982</v>
      </c>
      <c r="C2235" s="71" t="s">
        <v>103</v>
      </c>
      <c r="D2235" s="79">
        <v>1</v>
      </c>
      <c r="E2235" s="79">
        <v>45.59</v>
      </c>
      <c r="F2235" s="79">
        <v>45.59</v>
      </c>
      <c r="G2235" s="445"/>
      <c r="H2235" s="178">
        <v>45.56</v>
      </c>
      <c r="I2235" s="178">
        <v>56.04</v>
      </c>
      <c r="J2235" s="70">
        <v>-10.449999999999996</v>
      </c>
      <c r="K2235" s="320"/>
      <c r="L2235" s="178">
        <v>27.33</v>
      </c>
      <c r="M2235" s="178">
        <v>18.260000000000005</v>
      </c>
      <c r="N2235" s="179">
        <v>0</v>
      </c>
      <c r="O2235" s="178">
        <v>45.59</v>
      </c>
      <c r="P2235" s="453"/>
      <c r="Q2235" s="61"/>
      <c r="R2235" s="298"/>
      <c r="S2235" s="669"/>
      <c r="T2235" s="444"/>
      <c r="U2235" s="444"/>
      <c r="V2235" s="444"/>
      <c r="W2235" s="444"/>
      <c r="X2235" s="444">
        <v>2235</v>
      </c>
      <c r="Y2235" s="444"/>
      <c r="Z2235" s="444"/>
      <c r="AA2235" s="444"/>
      <c r="AB2235" s="444"/>
      <c r="AC2235" s="444"/>
      <c r="AD2235" s="444"/>
      <c r="AE2235" s="444"/>
      <c r="AF2235" s="444"/>
    </row>
    <row r="2236" spans="1:32" ht="12">
      <c r="A2236" s="83" t="s">
        <v>21983</v>
      </c>
      <c r="B2236" s="64" t="s">
        <v>8796</v>
      </c>
      <c r="C2236" s="71" t="s">
        <v>103</v>
      </c>
      <c r="D2236" s="79">
        <v>1</v>
      </c>
      <c r="E2236" s="79">
        <v>49.59</v>
      </c>
      <c r="F2236" s="79">
        <v>49.59</v>
      </c>
      <c r="G2236" s="445"/>
      <c r="H2236" s="178">
        <v>49.56</v>
      </c>
      <c r="I2236" s="178">
        <v>60.96</v>
      </c>
      <c r="J2236" s="70">
        <v>-11.369999999999997</v>
      </c>
      <c r="K2236" s="320"/>
      <c r="L2236" s="178">
        <v>27.33</v>
      </c>
      <c r="M2236" s="178">
        <v>22.260000000000005</v>
      </c>
      <c r="N2236" s="179">
        <v>0</v>
      </c>
      <c r="O2236" s="178">
        <v>49.59</v>
      </c>
      <c r="P2236" s="453"/>
      <c r="Q2236" s="61"/>
      <c r="R2236" s="298"/>
      <c r="S2236" s="669"/>
      <c r="X2236" s="444">
        <v>2236</v>
      </c>
    </row>
    <row r="2237" spans="1:32" ht="12">
      <c r="A2237" s="65" t="s">
        <v>21984</v>
      </c>
      <c r="B2237" s="456" t="s">
        <v>39869</v>
      </c>
      <c r="C2237" s="108" t="s">
        <v>103</v>
      </c>
      <c r="D2237" s="79">
        <v>1</v>
      </c>
      <c r="E2237" s="79">
        <v>18.14</v>
      </c>
      <c r="F2237" s="79">
        <v>18.14</v>
      </c>
      <c r="H2237" s="70">
        <v>18.12</v>
      </c>
      <c r="I2237" s="178">
        <v>22.29</v>
      </c>
      <c r="J2237" s="70"/>
      <c r="K2237" s="320"/>
      <c r="L2237" s="178">
        <v>5.13</v>
      </c>
      <c r="M2237" s="178">
        <v>13.010000000000002</v>
      </c>
      <c r="N2237" s="179">
        <v>0</v>
      </c>
      <c r="O2237" s="178">
        <v>18.14</v>
      </c>
      <c r="P2237" s="453"/>
      <c r="Q2237" s="61"/>
      <c r="R2237" s="298"/>
      <c r="S2237" s="669"/>
      <c r="X2237" s="444">
        <v>2237</v>
      </c>
    </row>
    <row r="2238" spans="1:32" ht="12">
      <c r="A2238" s="83" t="s">
        <v>21985</v>
      </c>
      <c r="B2238" s="64" t="s">
        <v>21986</v>
      </c>
      <c r="C2238" s="71" t="s">
        <v>103</v>
      </c>
      <c r="D2238" s="79">
        <v>1</v>
      </c>
      <c r="E2238" s="79">
        <v>1185.74</v>
      </c>
      <c r="F2238" s="79">
        <v>1185.74</v>
      </c>
      <c r="G2238" s="445"/>
      <c r="H2238" s="178">
        <v>1185.73</v>
      </c>
      <c r="I2238" s="178">
        <v>1458.45</v>
      </c>
      <c r="J2238" s="70">
        <v>-272.71000000000004</v>
      </c>
      <c r="K2238" s="320"/>
      <c r="L2238" s="178">
        <v>163.84000000000003</v>
      </c>
      <c r="M2238" s="178">
        <v>1021.9</v>
      </c>
      <c r="N2238" s="179">
        <v>0</v>
      </c>
      <c r="O2238" s="178">
        <v>1185.74</v>
      </c>
      <c r="P2238" s="453"/>
      <c r="Q2238" s="61"/>
      <c r="R2238" s="298"/>
      <c r="S2238" s="669"/>
      <c r="X2238" s="444">
        <v>2238</v>
      </c>
    </row>
    <row r="2239" spans="1:32" ht="12">
      <c r="A2239" s="83" t="s">
        <v>21987</v>
      </c>
      <c r="B2239" s="64" t="s">
        <v>21988</v>
      </c>
      <c r="C2239" s="71" t="s">
        <v>103</v>
      </c>
      <c r="D2239" s="79">
        <v>1</v>
      </c>
      <c r="E2239" s="79">
        <v>1355.9900000000002</v>
      </c>
      <c r="F2239" s="79">
        <v>1355.99</v>
      </c>
      <c r="G2239" s="445"/>
      <c r="H2239" s="178">
        <v>1355.98</v>
      </c>
      <c r="I2239" s="178">
        <v>1667.86</v>
      </c>
      <c r="J2239" s="70">
        <v>-311.86999999999966</v>
      </c>
      <c r="K2239" s="320"/>
      <c r="L2239" s="178">
        <v>163.84000000000003</v>
      </c>
      <c r="M2239" s="178">
        <v>1192.1500000000001</v>
      </c>
      <c r="N2239" s="179">
        <v>0</v>
      </c>
      <c r="O2239" s="178">
        <v>1355.9900000000002</v>
      </c>
      <c r="P2239" s="453"/>
      <c r="Q2239" s="61"/>
      <c r="R2239" s="298"/>
      <c r="S2239" s="669"/>
      <c r="X2239" s="444">
        <v>2239</v>
      </c>
    </row>
    <row r="2240" spans="1:32" ht="12">
      <c r="A2240" s="83" t="s">
        <v>21989</v>
      </c>
      <c r="B2240" s="64" t="s">
        <v>21990</v>
      </c>
      <c r="C2240" s="71" t="s">
        <v>103</v>
      </c>
      <c r="D2240" s="79">
        <v>1</v>
      </c>
      <c r="E2240" s="79">
        <v>1496.4099999999999</v>
      </c>
      <c r="F2240" s="79">
        <v>1496.41</v>
      </c>
      <c r="G2240" s="445"/>
      <c r="H2240" s="178">
        <v>1496.4</v>
      </c>
      <c r="I2240" s="178">
        <v>1840.57</v>
      </c>
      <c r="J2240" s="70">
        <v>-344.16000000000008</v>
      </c>
      <c r="K2240" s="320"/>
      <c r="L2240" s="178">
        <v>163.84000000000003</v>
      </c>
      <c r="M2240" s="178">
        <v>1332.5699999999997</v>
      </c>
      <c r="N2240" s="179">
        <v>0</v>
      </c>
      <c r="O2240" s="178">
        <v>1496.4099999999999</v>
      </c>
      <c r="P2240" s="453"/>
      <c r="Q2240" s="61"/>
      <c r="R2240" s="298"/>
      <c r="S2240" s="669"/>
      <c r="X2240" s="444">
        <v>2240</v>
      </c>
    </row>
    <row r="2241" spans="1:32" ht="12">
      <c r="A2241" s="83" t="s">
        <v>21991</v>
      </c>
      <c r="B2241" s="64" t="s">
        <v>21992</v>
      </c>
      <c r="C2241" s="71" t="s">
        <v>103</v>
      </c>
      <c r="D2241" s="79">
        <v>1</v>
      </c>
      <c r="E2241" s="79">
        <v>1431.6100000000001</v>
      </c>
      <c r="F2241" s="79">
        <v>1431.61</v>
      </c>
      <c r="G2241" s="445"/>
      <c r="H2241" s="178">
        <v>1431.6</v>
      </c>
      <c r="I2241" s="178">
        <v>1760.87</v>
      </c>
      <c r="J2241" s="70">
        <v>-329.25999999999976</v>
      </c>
      <c r="K2241" s="320"/>
      <c r="L2241" s="178">
        <v>218.45</v>
      </c>
      <c r="M2241" s="178">
        <v>1213.1600000000001</v>
      </c>
      <c r="N2241" s="179">
        <v>0</v>
      </c>
      <c r="O2241" s="178">
        <v>1431.6100000000001</v>
      </c>
      <c r="P2241" s="453"/>
      <c r="Q2241" s="61"/>
      <c r="R2241" s="298"/>
      <c r="S2241" s="669"/>
      <c r="X2241" s="444">
        <v>2241</v>
      </c>
    </row>
    <row r="2242" spans="1:32" ht="12">
      <c r="A2242" s="83" t="s">
        <v>21993</v>
      </c>
      <c r="B2242" s="64" t="s">
        <v>21994</v>
      </c>
      <c r="C2242" s="71" t="s">
        <v>103</v>
      </c>
      <c r="D2242" s="79">
        <v>1</v>
      </c>
      <c r="E2242" s="79">
        <v>1686.88</v>
      </c>
      <c r="F2242" s="79">
        <v>1686.88</v>
      </c>
      <c r="G2242" s="445"/>
      <c r="H2242" s="178">
        <v>1686.87</v>
      </c>
      <c r="I2242" s="178">
        <v>2074.85</v>
      </c>
      <c r="J2242" s="70">
        <v>-387.9699999999998</v>
      </c>
      <c r="K2242" s="320"/>
      <c r="L2242" s="178">
        <v>218.45</v>
      </c>
      <c r="M2242" s="178">
        <v>1468.43</v>
      </c>
      <c r="N2242" s="179">
        <v>0</v>
      </c>
      <c r="O2242" s="178">
        <v>1686.88</v>
      </c>
      <c r="P2242" s="453"/>
      <c r="Q2242" s="61"/>
      <c r="R2242" s="298"/>
      <c r="S2242" s="669"/>
      <c r="X2242" s="444">
        <v>2242</v>
      </c>
    </row>
    <row r="2243" spans="1:32" ht="12">
      <c r="A2243" s="83" t="s">
        <v>21995</v>
      </c>
      <c r="B2243" s="64" t="s">
        <v>21996</v>
      </c>
      <c r="C2243" s="71" t="s">
        <v>103</v>
      </c>
      <c r="D2243" s="79">
        <v>1</v>
      </c>
      <c r="E2243" s="79">
        <v>3752.0899999999997</v>
      </c>
      <c r="F2243" s="79">
        <v>3752.09</v>
      </c>
      <c r="G2243" s="445"/>
      <c r="H2243" s="178">
        <v>3752.08</v>
      </c>
      <c r="I2243" s="178">
        <v>4615.0600000000004</v>
      </c>
      <c r="J2243" s="70">
        <v>-862.97000000000071</v>
      </c>
      <c r="K2243" s="320"/>
      <c r="L2243" s="178">
        <v>218.45</v>
      </c>
      <c r="M2243" s="178">
        <v>3533.64</v>
      </c>
      <c r="N2243" s="179">
        <v>0</v>
      </c>
      <c r="O2243" s="178">
        <v>3752.0899999999997</v>
      </c>
      <c r="P2243" s="453"/>
      <c r="Q2243" s="61"/>
      <c r="R2243" s="298"/>
      <c r="S2243" s="669"/>
      <c r="X2243" s="444">
        <v>2243</v>
      </c>
    </row>
    <row r="2244" spans="1:32" s="61" customFormat="1" ht="12">
      <c r="A2244" s="83" t="s">
        <v>21997</v>
      </c>
      <c r="B2244" s="64" t="s">
        <v>9044</v>
      </c>
      <c r="C2244" s="71" t="s">
        <v>103</v>
      </c>
      <c r="D2244" s="79">
        <v>1</v>
      </c>
      <c r="E2244" s="79">
        <v>16.79</v>
      </c>
      <c r="F2244" s="79">
        <v>16.79</v>
      </c>
      <c r="G2244" s="320"/>
      <c r="H2244" s="178">
        <v>16.8</v>
      </c>
      <c r="I2244" s="178">
        <v>20.66</v>
      </c>
      <c r="J2244" s="70">
        <v>-3.870000000000001</v>
      </c>
      <c r="K2244" s="320"/>
      <c r="L2244" s="178">
        <v>2.5499999999999998</v>
      </c>
      <c r="M2244" s="178">
        <v>14.239999999999998</v>
      </c>
      <c r="N2244" s="179">
        <v>0</v>
      </c>
      <c r="O2244" s="178">
        <v>16.79</v>
      </c>
      <c r="P2244" s="132"/>
      <c r="R2244" s="298"/>
      <c r="S2244" s="669"/>
      <c r="U2244" s="444"/>
      <c r="V2244" s="444"/>
      <c r="W2244" s="444"/>
      <c r="X2244" s="444">
        <v>2244</v>
      </c>
      <c r="Y2244" s="444"/>
      <c r="Z2244" s="444"/>
      <c r="AA2244" s="444"/>
      <c r="AB2244" s="444"/>
      <c r="AC2244" s="444"/>
      <c r="AD2244" s="444"/>
      <c r="AE2244" s="444"/>
      <c r="AF2244" s="444"/>
    </row>
    <row r="2245" spans="1:32" s="69" customFormat="1" ht="12">
      <c r="A2245" s="83" t="s">
        <v>21998</v>
      </c>
      <c r="B2245" s="64" t="s">
        <v>9046</v>
      </c>
      <c r="C2245" s="71" t="s">
        <v>103</v>
      </c>
      <c r="D2245" s="79">
        <v>1</v>
      </c>
      <c r="E2245" s="79">
        <v>36.769999999999996</v>
      </c>
      <c r="F2245" s="79">
        <v>36.770000000000003</v>
      </c>
      <c r="G2245" s="320"/>
      <c r="H2245" s="178">
        <v>36.770000000000003</v>
      </c>
      <c r="I2245" s="178">
        <v>45.23</v>
      </c>
      <c r="J2245" s="70">
        <v>-8.4600000000000009</v>
      </c>
      <c r="K2245" s="320"/>
      <c r="L2245" s="178">
        <v>2.5499999999999998</v>
      </c>
      <c r="M2245" s="178">
        <v>34.22</v>
      </c>
      <c r="N2245" s="179">
        <v>0</v>
      </c>
      <c r="O2245" s="178">
        <v>36.769999999999996</v>
      </c>
      <c r="P2245" s="132"/>
      <c r="Q2245" s="61"/>
      <c r="R2245" s="298"/>
      <c r="S2245" s="669"/>
      <c r="T2245" s="61"/>
      <c r="U2245" s="444"/>
      <c r="V2245" s="444"/>
      <c r="W2245" s="444"/>
      <c r="X2245" s="444">
        <v>2245</v>
      </c>
      <c r="Y2245" s="444"/>
      <c r="Z2245" s="444"/>
      <c r="AA2245" s="444"/>
      <c r="AB2245" s="444"/>
      <c r="AC2245" s="444"/>
      <c r="AD2245" s="444"/>
      <c r="AE2245" s="444"/>
      <c r="AF2245" s="444"/>
    </row>
    <row r="2246" spans="1:32" ht="12">
      <c r="A2246" s="83" t="s">
        <v>21999</v>
      </c>
      <c r="B2246" s="64" t="s">
        <v>9040</v>
      </c>
      <c r="C2246" s="71" t="s">
        <v>103</v>
      </c>
      <c r="D2246" s="79">
        <v>1</v>
      </c>
      <c r="E2246" s="79">
        <v>22.330000000000002</v>
      </c>
      <c r="F2246" s="79">
        <v>22.33</v>
      </c>
      <c r="G2246" s="320"/>
      <c r="H2246" s="178">
        <v>22.33</v>
      </c>
      <c r="I2246" s="178">
        <v>27.47</v>
      </c>
      <c r="J2246" s="70">
        <v>-5.139999999999997</v>
      </c>
      <c r="K2246" s="320"/>
      <c r="L2246" s="178">
        <v>2.5499999999999998</v>
      </c>
      <c r="M2246" s="178">
        <v>19.78</v>
      </c>
      <c r="N2246" s="179">
        <v>0</v>
      </c>
      <c r="O2246" s="178">
        <v>22.330000000000002</v>
      </c>
      <c r="P2246" s="132"/>
      <c r="Q2246" s="61"/>
      <c r="R2246" s="298"/>
      <c r="S2246" s="669"/>
      <c r="T2246" s="61"/>
      <c r="X2246" s="444">
        <v>2246</v>
      </c>
    </row>
    <row r="2247" spans="1:32" ht="12">
      <c r="A2247" s="63" t="s">
        <v>22000</v>
      </c>
      <c r="B2247" s="64" t="s">
        <v>9042</v>
      </c>
      <c r="C2247" s="71" t="s">
        <v>103</v>
      </c>
      <c r="D2247" s="79">
        <v>1</v>
      </c>
      <c r="E2247" s="79">
        <v>30.63</v>
      </c>
      <c r="F2247" s="79">
        <v>30.63</v>
      </c>
      <c r="G2247" s="320"/>
      <c r="H2247" s="178">
        <v>30.63</v>
      </c>
      <c r="I2247" s="178">
        <v>37.68</v>
      </c>
      <c r="J2247" s="70">
        <v>-7.0500000000000007</v>
      </c>
      <c r="K2247" s="320"/>
      <c r="L2247" s="178">
        <v>2.5499999999999998</v>
      </c>
      <c r="M2247" s="178">
        <v>28.08</v>
      </c>
      <c r="N2247" s="179">
        <v>0</v>
      </c>
      <c r="O2247" s="178">
        <v>30.63</v>
      </c>
      <c r="P2247" s="132"/>
      <c r="Q2247" s="61"/>
      <c r="R2247" s="298"/>
      <c r="S2247" s="669"/>
      <c r="T2247" s="61"/>
      <c r="X2247" s="444">
        <v>2247</v>
      </c>
    </row>
    <row r="2248" spans="1:32" ht="12">
      <c r="A2248" s="83" t="s">
        <v>22001</v>
      </c>
      <c r="B2248" s="64" t="s">
        <v>21925</v>
      </c>
      <c r="C2248" s="71" t="s">
        <v>10216</v>
      </c>
      <c r="D2248" s="79">
        <v>1</v>
      </c>
      <c r="E2248" s="79">
        <v>577.26</v>
      </c>
      <c r="F2248" s="79">
        <v>577.26</v>
      </c>
      <c r="G2248" s="445"/>
      <c r="H2248" s="178">
        <v>577.25</v>
      </c>
      <c r="I2248" s="178">
        <v>710.02</v>
      </c>
      <c r="J2248" s="70">
        <v>-132.76</v>
      </c>
      <c r="K2248" s="320"/>
      <c r="L2248" s="178"/>
      <c r="M2248" s="178">
        <v>577.26</v>
      </c>
      <c r="N2248" s="179">
        <v>0</v>
      </c>
      <c r="O2248" s="178">
        <v>577.26</v>
      </c>
      <c r="P2248" s="453"/>
      <c r="Q2248" s="61"/>
      <c r="R2248" s="298"/>
      <c r="S2248" s="669"/>
      <c r="X2248" s="444">
        <v>2248</v>
      </c>
    </row>
    <row r="2249" spans="1:32" s="69" customFormat="1" ht="12">
      <c r="A2249" s="83" t="s">
        <v>39870</v>
      </c>
      <c r="B2249" s="64" t="s">
        <v>39871</v>
      </c>
      <c r="C2249" s="71"/>
      <c r="D2249" s="79" t="s">
        <v>40899</v>
      </c>
      <c r="E2249" s="79" t="s">
        <v>40899</v>
      </c>
      <c r="F2249" s="79"/>
      <c r="G2249" s="445"/>
      <c r="H2249" s="178"/>
      <c r="I2249" s="178"/>
      <c r="J2249" s="70"/>
      <c r="K2249" s="320"/>
      <c r="L2249" s="178"/>
      <c r="M2249" s="178"/>
      <c r="N2249" s="179"/>
      <c r="O2249" s="178"/>
      <c r="P2249" s="453"/>
      <c r="Q2249" s="61"/>
      <c r="R2249" s="298"/>
      <c r="S2249" s="669"/>
      <c r="T2249" s="444"/>
      <c r="U2249" s="444"/>
      <c r="V2249" s="444"/>
      <c r="W2249" s="444"/>
      <c r="X2249" s="444">
        <v>2249</v>
      </c>
      <c r="Y2249" s="444"/>
      <c r="Z2249" s="444"/>
      <c r="AA2249" s="444"/>
      <c r="AB2249" s="444"/>
      <c r="AC2249" s="444"/>
      <c r="AD2249" s="444"/>
      <c r="AE2249" s="444"/>
      <c r="AF2249" s="444"/>
    </row>
    <row r="2250" spans="1:32" ht="12">
      <c r="A2250" s="83" t="s">
        <v>22002</v>
      </c>
      <c r="B2250" s="64" t="s">
        <v>22003</v>
      </c>
      <c r="C2250" s="71" t="s">
        <v>103</v>
      </c>
      <c r="D2250" s="79">
        <v>1</v>
      </c>
      <c r="E2250" s="79">
        <v>308.79999999999995</v>
      </c>
      <c r="F2250" s="79">
        <v>308.8</v>
      </c>
      <c r="G2250" s="445"/>
      <c r="H2250" s="178">
        <v>308.8</v>
      </c>
      <c r="I2250" s="178">
        <v>379.82</v>
      </c>
      <c r="J2250" s="70">
        <v>-71.020000000000039</v>
      </c>
      <c r="K2250" s="320"/>
      <c r="L2250" s="178">
        <v>218.45</v>
      </c>
      <c r="M2250" s="178">
        <v>90.349999999999966</v>
      </c>
      <c r="N2250" s="179">
        <v>0</v>
      </c>
      <c r="O2250" s="178">
        <v>308.79999999999995</v>
      </c>
      <c r="P2250" s="453"/>
      <c r="Q2250" s="61"/>
      <c r="R2250" s="298"/>
      <c r="S2250" s="669"/>
      <c r="X2250" s="444">
        <v>2250</v>
      </c>
    </row>
    <row r="2251" spans="1:32" ht="12">
      <c r="A2251" s="83" t="s">
        <v>22004</v>
      </c>
      <c r="B2251" s="64" t="s">
        <v>22005</v>
      </c>
      <c r="C2251" s="71" t="s">
        <v>103</v>
      </c>
      <c r="D2251" s="79">
        <v>1</v>
      </c>
      <c r="E2251" s="79">
        <v>64.19</v>
      </c>
      <c r="F2251" s="79">
        <v>64.19</v>
      </c>
      <c r="G2251" s="445"/>
      <c r="H2251" s="178">
        <v>64.19</v>
      </c>
      <c r="I2251" s="178">
        <v>78.95</v>
      </c>
      <c r="J2251" s="70">
        <v>-14.760000000000005</v>
      </c>
      <c r="K2251" s="320"/>
      <c r="L2251" s="178">
        <v>54.61</v>
      </c>
      <c r="M2251" s="178">
        <v>9.5799999999999983</v>
      </c>
      <c r="N2251" s="179">
        <v>0</v>
      </c>
      <c r="O2251" s="178">
        <v>64.19</v>
      </c>
      <c r="P2251" s="453"/>
      <c r="Q2251" s="61"/>
      <c r="R2251" s="298"/>
      <c r="S2251" s="669"/>
      <c r="X2251" s="444">
        <v>2251</v>
      </c>
    </row>
    <row r="2252" spans="1:32" ht="12">
      <c r="A2252" s="83" t="s">
        <v>22006</v>
      </c>
      <c r="B2252" s="64" t="s">
        <v>22007</v>
      </c>
      <c r="C2252" s="71" t="s">
        <v>103</v>
      </c>
      <c r="D2252" s="79">
        <v>1</v>
      </c>
      <c r="E2252" s="79">
        <v>64.19</v>
      </c>
      <c r="F2252" s="79">
        <v>64.19</v>
      </c>
      <c r="G2252" s="445"/>
      <c r="H2252" s="178">
        <v>64.19</v>
      </c>
      <c r="I2252" s="178">
        <v>78.95</v>
      </c>
      <c r="J2252" s="70">
        <v>-14.760000000000005</v>
      </c>
      <c r="K2252" s="320"/>
      <c r="L2252" s="178">
        <v>54.61</v>
      </c>
      <c r="M2252" s="178">
        <v>9.5799999999999983</v>
      </c>
      <c r="N2252" s="179">
        <v>0</v>
      </c>
      <c r="O2252" s="178">
        <v>64.19</v>
      </c>
      <c r="P2252" s="453"/>
      <c r="Q2252" s="61"/>
      <c r="R2252" s="298"/>
      <c r="S2252" s="669"/>
      <c r="X2252" s="444">
        <v>2252</v>
      </c>
    </row>
    <row r="2253" spans="1:32" ht="12">
      <c r="A2253" s="83" t="s">
        <v>22008</v>
      </c>
      <c r="B2253" s="64" t="s">
        <v>22009</v>
      </c>
      <c r="C2253" s="71" t="s">
        <v>103</v>
      </c>
      <c r="D2253" s="79">
        <v>1</v>
      </c>
      <c r="E2253" s="79">
        <v>20.759999999999998</v>
      </c>
      <c r="F2253" s="79">
        <v>20.76</v>
      </c>
      <c r="G2253" s="445"/>
      <c r="H2253" s="178">
        <v>20.76</v>
      </c>
      <c r="I2253" s="178">
        <v>25.53</v>
      </c>
      <c r="J2253" s="70">
        <v>-4.7700000000000031</v>
      </c>
      <c r="K2253" s="320"/>
      <c r="L2253" s="178">
        <v>10.92</v>
      </c>
      <c r="M2253" s="178">
        <v>9.8399999999999981</v>
      </c>
      <c r="N2253" s="179">
        <v>0</v>
      </c>
      <c r="O2253" s="178">
        <v>20.759999999999998</v>
      </c>
      <c r="P2253" s="453"/>
      <c r="Q2253" s="61"/>
      <c r="R2253" s="298"/>
      <c r="S2253" s="669"/>
      <c r="X2253" s="444">
        <v>2253</v>
      </c>
    </row>
    <row r="2254" spans="1:32" ht="12">
      <c r="A2254" s="83" t="s">
        <v>22010</v>
      </c>
      <c r="B2254" s="64" t="s">
        <v>22011</v>
      </c>
      <c r="C2254" s="71" t="s">
        <v>103</v>
      </c>
      <c r="D2254" s="79">
        <v>1</v>
      </c>
      <c r="E2254" s="79">
        <v>22.52</v>
      </c>
      <c r="F2254" s="79">
        <v>22.52</v>
      </c>
      <c r="G2254" s="445"/>
      <c r="H2254" s="178">
        <v>22.52</v>
      </c>
      <c r="I2254" s="178">
        <v>27.7</v>
      </c>
      <c r="J2254" s="70">
        <v>-5.18</v>
      </c>
      <c r="K2254" s="320"/>
      <c r="L2254" s="178">
        <v>10.92</v>
      </c>
      <c r="M2254" s="178">
        <v>11.6</v>
      </c>
      <c r="N2254" s="179">
        <v>0</v>
      </c>
      <c r="O2254" s="178">
        <v>22.52</v>
      </c>
      <c r="P2254" s="453"/>
      <c r="Q2254" s="61"/>
      <c r="R2254" s="298"/>
      <c r="S2254" s="669"/>
      <c r="X2254" s="444">
        <v>2254</v>
      </c>
    </row>
    <row r="2255" spans="1:32" ht="12">
      <c r="A2255" s="83" t="s">
        <v>22012</v>
      </c>
      <c r="B2255" s="64" t="s">
        <v>22013</v>
      </c>
      <c r="C2255" s="71" t="s">
        <v>103</v>
      </c>
      <c r="D2255" s="79">
        <v>1</v>
      </c>
      <c r="E2255" s="79">
        <v>46.17</v>
      </c>
      <c r="F2255" s="79">
        <v>46.17</v>
      </c>
      <c r="G2255" s="445"/>
      <c r="H2255" s="178">
        <v>46.17</v>
      </c>
      <c r="I2255" s="178">
        <v>56.79</v>
      </c>
      <c r="J2255" s="70">
        <v>-10.619999999999997</v>
      </c>
      <c r="K2255" s="320"/>
      <c r="L2255" s="178">
        <v>10.92</v>
      </c>
      <c r="M2255" s="178">
        <v>35.25</v>
      </c>
      <c r="N2255" s="179">
        <v>0</v>
      </c>
      <c r="O2255" s="178">
        <v>46.17</v>
      </c>
      <c r="P2255" s="453"/>
      <c r="Q2255" s="61"/>
      <c r="R2255" s="298"/>
      <c r="S2255" s="669"/>
      <c r="X2255" s="444">
        <v>2255</v>
      </c>
    </row>
    <row r="2256" spans="1:32" ht="12">
      <c r="A2256" s="83" t="s">
        <v>22014</v>
      </c>
      <c r="B2256" s="64" t="s">
        <v>22015</v>
      </c>
      <c r="C2256" s="71" t="s">
        <v>103</v>
      </c>
      <c r="D2256" s="79">
        <v>1</v>
      </c>
      <c r="E2256" s="79">
        <v>120.94</v>
      </c>
      <c r="F2256" s="79">
        <v>120.94</v>
      </c>
      <c r="G2256" s="445"/>
      <c r="H2256" s="178">
        <v>120.93</v>
      </c>
      <c r="I2256" s="178">
        <v>148.75</v>
      </c>
      <c r="J2256" s="70">
        <v>-27.810000000000002</v>
      </c>
      <c r="K2256" s="320"/>
      <c r="L2256" s="178">
        <v>54.61</v>
      </c>
      <c r="M2256" s="178">
        <v>66.33</v>
      </c>
      <c r="N2256" s="179">
        <v>0</v>
      </c>
      <c r="O2256" s="178">
        <v>120.94</v>
      </c>
      <c r="P2256" s="453"/>
      <c r="Q2256" s="61"/>
      <c r="R2256" s="298"/>
      <c r="S2256" s="669"/>
      <c r="X2256" s="444">
        <v>2256</v>
      </c>
    </row>
    <row r="2257" spans="1:32" ht="12">
      <c r="A2257" s="83" t="s">
        <v>22016</v>
      </c>
      <c r="B2257" s="64" t="s">
        <v>22017</v>
      </c>
      <c r="C2257" s="71" t="s">
        <v>10216</v>
      </c>
      <c r="D2257" s="79">
        <v>1</v>
      </c>
      <c r="E2257" s="79">
        <v>577.26</v>
      </c>
      <c r="F2257" s="79">
        <v>577.26</v>
      </c>
      <c r="G2257" s="445"/>
      <c r="H2257" s="178">
        <v>577.25</v>
      </c>
      <c r="I2257" s="178">
        <v>710.02</v>
      </c>
      <c r="J2257" s="70">
        <v>-132.76</v>
      </c>
      <c r="K2257" s="320"/>
      <c r="L2257" s="178"/>
      <c r="M2257" s="178">
        <v>577.26</v>
      </c>
      <c r="N2257" s="179">
        <v>0</v>
      </c>
      <c r="O2257" s="178">
        <v>577.26</v>
      </c>
      <c r="P2257" s="453"/>
      <c r="Q2257" s="61"/>
      <c r="R2257" s="298"/>
      <c r="S2257" s="669"/>
      <c r="X2257" s="444">
        <v>2257</v>
      </c>
    </row>
    <row r="2258" spans="1:32" ht="12">
      <c r="A2258" s="83">
        <v>10</v>
      </c>
      <c r="B2258" s="64" t="s">
        <v>39872</v>
      </c>
      <c r="C2258" s="71"/>
      <c r="D2258" s="79" t="s">
        <v>40899</v>
      </c>
      <c r="E2258" s="79" t="s">
        <v>40899</v>
      </c>
      <c r="F2258" s="79"/>
      <c r="G2258" s="445"/>
      <c r="H2258" s="178"/>
      <c r="I2258" s="178"/>
      <c r="J2258" s="70"/>
      <c r="K2258" s="320"/>
      <c r="L2258" s="178"/>
      <c r="M2258" s="178"/>
      <c r="N2258" s="179"/>
      <c r="O2258" s="178"/>
      <c r="P2258" s="453"/>
      <c r="Q2258" s="61"/>
      <c r="R2258" s="298"/>
      <c r="S2258" s="669"/>
      <c r="X2258" s="444">
        <v>2258</v>
      </c>
    </row>
    <row r="2259" spans="1:32" ht="12">
      <c r="A2259" s="83" t="s">
        <v>11681</v>
      </c>
      <c r="B2259" s="64" t="s">
        <v>39872</v>
      </c>
      <c r="C2259" s="71"/>
      <c r="D2259" s="79" t="s">
        <v>40899</v>
      </c>
      <c r="E2259" s="79" t="s">
        <v>40899</v>
      </c>
      <c r="F2259" s="79"/>
      <c r="G2259" s="445"/>
      <c r="H2259" s="178"/>
      <c r="I2259" s="178"/>
      <c r="J2259" s="70"/>
      <c r="K2259" s="320"/>
      <c r="L2259" s="178"/>
      <c r="M2259" s="178"/>
      <c r="N2259" s="179"/>
      <c r="O2259" s="178"/>
      <c r="P2259" s="453"/>
      <c r="Q2259" s="61"/>
      <c r="R2259" s="298"/>
      <c r="S2259" s="669"/>
      <c r="X2259" s="444">
        <v>2259</v>
      </c>
    </row>
    <row r="2260" spans="1:32">
      <c r="A2260" s="67" t="s">
        <v>44281</v>
      </c>
      <c r="B2260" s="304" t="s">
        <v>44282</v>
      </c>
      <c r="C2260" s="71" t="s">
        <v>509</v>
      </c>
      <c r="D2260" s="79">
        <v>1</v>
      </c>
      <c r="E2260" s="79">
        <v>261.91999999999996</v>
      </c>
      <c r="F2260" s="79">
        <v>261.92</v>
      </c>
      <c r="H2260" s="178">
        <v>261.93</v>
      </c>
      <c r="I2260" s="751">
        <v>322.17</v>
      </c>
      <c r="J2260" s="70">
        <v>-60.250000000000057</v>
      </c>
      <c r="K2260" s="320"/>
      <c r="L2260" s="178">
        <v>121.3</v>
      </c>
      <c r="M2260" s="178">
        <v>140.61999999999995</v>
      </c>
      <c r="N2260" s="179">
        <v>0</v>
      </c>
      <c r="O2260" s="178">
        <v>261.91999999999996</v>
      </c>
      <c r="P2260" s="453"/>
      <c r="Q2260" s="61"/>
      <c r="R2260" s="298"/>
      <c r="S2260" s="669"/>
      <c r="X2260" s="444">
        <v>2260</v>
      </c>
    </row>
    <row r="2261" spans="1:32" ht="12">
      <c r="A2261" s="83" t="s">
        <v>11683</v>
      </c>
      <c r="B2261" s="64" t="s">
        <v>39873</v>
      </c>
      <c r="C2261" s="71" t="s">
        <v>509</v>
      </c>
      <c r="D2261" s="79">
        <v>1</v>
      </c>
      <c r="E2261" s="79">
        <v>135.06</v>
      </c>
      <c r="F2261" s="79">
        <v>135.06</v>
      </c>
      <c r="G2261" s="445"/>
      <c r="H2261" s="178">
        <v>135.03</v>
      </c>
      <c r="I2261" s="178">
        <v>166.09</v>
      </c>
      <c r="J2261" s="70">
        <v>-31.03</v>
      </c>
      <c r="K2261" s="320"/>
      <c r="L2261" s="178">
        <v>33.86</v>
      </c>
      <c r="M2261" s="178">
        <v>101.2</v>
      </c>
      <c r="N2261" s="179">
        <v>0</v>
      </c>
      <c r="O2261" s="178">
        <v>135.06</v>
      </c>
      <c r="P2261" s="453"/>
      <c r="Q2261" s="61"/>
      <c r="R2261" s="298"/>
      <c r="S2261" s="669"/>
      <c r="X2261" s="444">
        <v>2261</v>
      </c>
    </row>
    <row r="2262" spans="1:32" ht="12">
      <c r="A2262" s="83" t="s">
        <v>22018</v>
      </c>
      <c r="B2262" s="64" t="s">
        <v>22019</v>
      </c>
      <c r="C2262" s="71" t="s">
        <v>509</v>
      </c>
      <c r="D2262" s="79">
        <v>1</v>
      </c>
      <c r="E2262" s="79">
        <v>173.7</v>
      </c>
      <c r="F2262" s="79">
        <v>173.7</v>
      </c>
      <c r="G2262" s="445"/>
      <c r="H2262" s="178">
        <v>173.69</v>
      </c>
      <c r="I2262" s="178">
        <v>213.64</v>
      </c>
      <c r="J2262" s="70">
        <v>-39.94</v>
      </c>
      <c r="K2262" s="320"/>
      <c r="L2262" s="178">
        <v>61.54</v>
      </c>
      <c r="M2262" s="178">
        <v>112.16</v>
      </c>
      <c r="N2262" s="179">
        <v>0</v>
      </c>
      <c r="O2262" s="178">
        <v>173.7</v>
      </c>
      <c r="P2262" s="453"/>
      <c r="Q2262" s="61"/>
      <c r="R2262" s="298"/>
      <c r="S2262" s="669"/>
      <c r="X2262" s="444">
        <v>2262</v>
      </c>
    </row>
    <row r="2263" spans="1:32" s="73" customFormat="1" ht="24">
      <c r="A2263" s="83" t="s">
        <v>22020</v>
      </c>
      <c r="B2263" s="64" t="s">
        <v>22021</v>
      </c>
      <c r="C2263" s="71" t="s">
        <v>509</v>
      </c>
      <c r="D2263" s="79">
        <v>1</v>
      </c>
      <c r="E2263" s="79">
        <v>840.19</v>
      </c>
      <c r="F2263" s="79">
        <v>840.19</v>
      </c>
      <c r="G2263" s="320"/>
      <c r="H2263" s="178">
        <v>840.19</v>
      </c>
      <c r="I2263" s="178">
        <v>1033.43</v>
      </c>
      <c r="J2263" s="70">
        <v>-193.24</v>
      </c>
      <c r="K2263" s="320"/>
      <c r="L2263" s="178"/>
      <c r="M2263" s="178">
        <v>840.19</v>
      </c>
      <c r="N2263" s="179">
        <v>0</v>
      </c>
      <c r="O2263" s="178">
        <v>840.19</v>
      </c>
      <c r="P2263" s="132"/>
      <c r="Q2263" s="61"/>
      <c r="R2263" s="298"/>
      <c r="S2263" s="669"/>
      <c r="T2263" s="61"/>
      <c r="U2263" s="444"/>
      <c r="V2263" s="444"/>
      <c r="W2263" s="444"/>
      <c r="X2263" s="444">
        <v>2263</v>
      </c>
      <c r="Y2263" s="444"/>
      <c r="Z2263" s="444"/>
      <c r="AA2263" s="444"/>
      <c r="AB2263" s="444"/>
      <c r="AC2263" s="444"/>
      <c r="AD2263" s="444"/>
      <c r="AE2263" s="444"/>
      <c r="AF2263" s="444"/>
    </row>
    <row r="2264" spans="1:32" ht="24">
      <c r="A2264" s="83" t="s">
        <v>22022</v>
      </c>
      <c r="B2264" s="64" t="s">
        <v>22023</v>
      </c>
      <c r="C2264" s="71" t="s">
        <v>509</v>
      </c>
      <c r="D2264" s="79">
        <v>1</v>
      </c>
      <c r="E2264" s="79">
        <v>677.22</v>
      </c>
      <c r="F2264" s="79">
        <v>677.22</v>
      </c>
      <c r="G2264" s="320"/>
      <c r="H2264" s="178">
        <v>677.22</v>
      </c>
      <c r="I2264" s="178">
        <v>832.98</v>
      </c>
      <c r="J2264" s="70">
        <v>-155.76</v>
      </c>
      <c r="K2264" s="320"/>
      <c r="L2264" s="178"/>
      <c r="M2264" s="178">
        <v>677.22</v>
      </c>
      <c r="N2264" s="179">
        <v>0</v>
      </c>
      <c r="O2264" s="178">
        <v>677.22</v>
      </c>
      <c r="P2264" s="132"/>
      <c r="Q2264" s="61"/>
      <c r="R2264" s="298"/>
      <c r="S2264" s="669"/>
      <c r="T2264" s="61"/>
      <c r="X2264" s="444">
        <v>2264</v>
      </c>
    </row>
    <row r="2265" spans="1:32">
      <c r="A2265" s="133" t="s">
        <v>44283</v>
      </c>
      <c r="B2265" s="773" t="s">
        <v>44284</v>
      </c>
      <c r="C2265" s="72" t="s">
        <v>509</v>
      </c>
      <c r="D2265" s="79">
        <v>1</v>
      </c>
      <c r="E2265" s="79">
        <v>59.730000000000004</v>
      </c>
      <c r="F2265" s="79">
        <v>59.73</v>
      </c>
      <c r="H2265" s="178">
        <v>59.72</v>
      </c>
      <c r="I2265" s="751">
        <v>73.459999999999994</v>
      </c>
      <c r="J2265" s="70">
        <v>-13.72999999999999</v>
      </c>
      <c r="K2265" s="320"/>
      <c r="L2265" s="178">
        <v>4.95</v>
      </c>
      <c r="M2265" s="178">
        <v>54.78</v>
      </c>
      <c r="N2265" s="179">
        <v>0</v>
      </c>
      <c r="O2265" s="178">
        <v>59.730000000000004</v>
      </c>
      <c r="P2265" s="453"/>
      <c r="Q2265" s="61"/>
      <c r="R2265" s="298"/>
      <c r="S2265" s="669"/>
      <c r="X2265" s="444">
        <v>2265</v>
      </c>
    </row>
    <row r="2266" spans="1:32" ht="12">
      <c r="A2266" s="83" t="s">
        <v>22024</v>
      </c>
      <c r="B2266" s="64" t="s">
        <v>22025</v>
      </c>
      <c r="C2266" s="71" t="s">
        <v>509</v>
      </c>
      <c r="D2266" s="79">
        <v>1</v>
      </c>
      <c r="E2266" s="79">
        <v>127.87</v>
      </c>
      <c r="F2266" s="79">
        <v>127.87</v>
      </c>
      <c r="G2266" s="445"/>
      <c r="H2266" s="178">
        <v>127.87</v>
      </c>
      <c r="I2266" s="178">
        <v>157.28</v>
      </c>
      <c r="J2266" s="70">
        <v>-29.409999999999997</v>
      </c>
      <c r="K2266" s="320"/>
      <c r="L2266" s="178"/>
      <c r="M2266" s="178">
        <v>127.87</v>
      </c>
      <c r="N2266" s="179">
        <v>0</v>
      </c>
      <c r="O2266" s="178">
        <v>127.87</v>
      </c>
      <c r="P2266" s="453"/>
      <c r="Q2266" s="61"/>
      <c r="R2266" s="298"/>
      <c r="S2266" s="669"/>
      <c r="X2266" s="444">
        <v>2266</v>
      </c>
    </row>
    <row r="2267" spans="1:32" ht="12">
      <c r="A2267" s="83" t="s">
        <v>22026</v>
      </c>
      <c r="B2267" s="64" t="s">
        <v>22027</v>
      </c>
      <c r="C2267" s="71" t="s">
        <v>509</v>
      </c>
      <c r="D2267" s="79">
        <v>1</v>
      </c>
      <c r="E2267" s="79">
        <v>29.59</v>
      </c>
      <c r="F2267" s="79">
        <v>29.59</v>
      </c>
      <c r="G2267" s="445"/>
      <c r="H2267" s="178">
        <v>29.59</v>
      </c>
      <c r="I2267" s="178">
        <v>36.4</v>
      </c>
      <c r="J2267" s="70">
        <v>-6.8099999999999987</v>
      </c>
      <c r="K2267" s="320"/>
      <c r="L2267" s="178">
        <v>4.46</v>
      </c>
      <c r="M2267" s="178">
        <v>25.13</v>
      </c>
      <c r="N2267" s="179">
        <v>0</v>
      </c>
      <c r="O2267" s="178">
        <v>29.59</v>
      </c>
      <c r="P2267" s="453"/>
      <c r="Q2267" s="61"/>
      <c r="R2267" s="298"/>
      <c r="S2267" s="669"/>
      <c r="X2267" s="444">
        <v>2267</v>
      </c>
    </row>
    <row r="2268" spans="1:32" ht="12">
      <c r="A2268" s="83" t="s">
        <v>22028</v>
      </c>
      <c r="B2268" s="64" t="s">
        <v>6635</v>
      </c>
      <c r="C2268" s="71" t="s">
        <v>509</v>
      </c>
      <c r="D2268" s="79">
        <v>1</v>
      </c>
      <c r="E2268" s="79">
        <v>40.99</v>
      </c>
      <c r="F2268" s="79">
        <v>40.99</v>
      </c>
      <c r="G2268" s="445"/>
      <c r="H2268" s="178">
        <v>40.99</v>
      </c>
      <c r="I2268" s="178">
        <v>50.42</v>
      </c>
      <c r="J2268" s="70">
        <v>-9.43</v>
      </c>
      <c r="K2268" s="320"/>
      <c r="L2268" s="178">
        <v>4.46</v>
      </c>
      <c r="M2268" s="178">
        <v>36.53</v>
      </c>
      <c r="N2268" s="179">
        <v>0</v>
      </c>
      <c r="O2268" s="178">
        <v>40.99</v>
      </c>
      <c r="P2268" s="453"/>
      <c r="Q2268" s="61"/>
      <c r="R2268" s="298"/>
      <c r="S2268" s="669"/>
      <c r="X2268" s="444">
        <v>2268</v>
      </c>
    </row>
    <row r="2269" spans="1:32" ht="12">
      <c r="A2269" s="83" t="s">
        <v>11687</v>
      </c>
      <c r="B2269" s="64" t="s">
        <v>22029</v>
      </c>
      <c r="C2269" s="71" t="s">
        <v>509</v>
      </c>
      <c r="D2269" s="79">
        <v>1</v>
      </c>
      <c r="E2269" s="79">
        <v>14.34</v>
      </c>
      <c r="F2269" s="79">
        <v>14.34</v>
      </c>
      <c r="G2269" s="445"/>
      <c r="H2269" s="178">
        <v>14.34</v>
      </c>
      <c r="I2269" s="178">
        <v>17.64</v>
      </c>
      <c r="J2269" s="70">
        <v>-3.3000000000000007</v>
      </c>
      <c r="K2269" s="320"/>
      <c r="L2269" s="178">
        <v>1.1099999999999999</v>
      </c>
      <c r="M2269" s="178">
        <v>13.23</v>
      </c>
      <c r="N2269" s="179">
        <v>0</v>
      </c>
      <c r="O2269" s="178">
        <v>14.34</v>
      </c>
      <c r="P2269" s="453"/>
      <c r="Q2269" s="61"/>
      <c r="R2269" s="298"/>
      <c r="S2269" s="669"/>
      <c r="X2269" s="444">
        <v>2269</v>
      </c>
    </row>
    <row r="2270" spans="1:32" ht="12">
      <c r="A2270" s="68" t="s">
        <v>22030</v>
      </c>
      <c r="B2270" s="9" t="s">
        <v>22031</v>
      </c>
      <c r="C2270" s="72" t="s">
        <v>509</v>
      </c>
      <c r="D2270" s="79">
        <v>1</v>
      </c>
      <c r="E2270" s="79">
        <v>28.990000000000002</v>
      </c>
      <c r="F2270" s="79">
        <v>28.99</v>
      </c>
      <c r="G2270" s="445"/>
      <c r="H2270" s="178">
        <v>28.99</v>
      </c>
      <c r="I2270" s="178">
        <v>35.659999999999997</v>
      </c>
      <c r="J2270" s="70">
        <v>-6.6699999999999946</v>
      </c>
      <c r="K2270" s="320"/>
      <c r="L2270" s="178">
        <v>4.46</v>
      </c>
      <c r="M2270" s="178">
        <v>24.53</v>
      </c>
      <c r="N2270" s="179">
        <v>0</v>
      </c>
      <c r="O2270" s="178">
        <v>28.990000000000002</v>
      </c>
      <c r="P2270" s="453"/>
      <c r="Q2270" s="61"/>
      <c r="R2270" s="298"/>
      <c r="S2270" s="669"/>
      <c r="X2270" s="444">
        <v>2270</v>
      </c>
    </row>
    <row r="2271" spans="1:32">
      <c r="A2271" s="67" t="s">
        <v>44285</v>
      </c>
      <c r="B2271" s="304" t="s">
        <v>44286</v>
      </c>
      <c r="C2271" s="71" t="s">
        <v>509</v>
      </c>
      <c r="D2271" s="79">
        <v>1</v>
      </c>
      <c r="E2271" s="79">
        <v>54.190000000000005</v>
      </c>
      <c r="F2271" s="79">
        <v>54.19</v>
      </c>
      <c r="H2271" s="178">
        <v>54.17</v>
      </c>
      <c r="I2271" s="751">
        <v>66.63</v>
      </c>
      <c r="J2271" s="70">
        <v>-12.439999999999991</v>
      </c>
      <c r="K2271" s="320"/>
      <c r="L2271" s="178">
        <v>4.95</v>
      </c>
      <c r="M2271" s="178">
        <v>49.24</v>
      </c>
      <c r="N2271" s="179">
        <v>0</v>
      </c>
      <c r="O2271" s="178">
        <v>54.190000000000005</v>
      </c>
      <c r="P2271" s="453"/>
      <c r="Q2271" s="61"/>
      <c r="R2271" s="298"/>
      <c r="S2271" s="669"/>
      <c r="X2271" s="444">
        <v>2271</v>
      </c>
    </row>
    <row r="2272" spans="1:32" ht="12">
      <c r="A2272" s="83" t="s">
        <v>22032</v>
      </c>
      <c r="B2272" s="64" t="s">
        <v>22033</v>
      </c>
      <c r="C2272" s="71" t="s">
        <v>509</v>
      </c>
      <c r="D2272" s="79">
        <v>1</v>
      </c>
      <c r="E2272" s="79">
        <v>171.55</v>
      </c>
      <c r="F2272" s="79">
        <v>171.55</v>
      </c>
      <c r="G2272" s="445"/>
      <c r="H2272" s="178">
        <v>171.54</v>
      </c>
      <c r="I2272" s="178">
        <v>211</v>
      </c>
      <c r="J2272" s="70">
        <v>-39.449999999999989</v>
      </c>
      <c r="K2272" s="320"/>
      <c r="L2272" s="178"/>
      <c r="M2272" s="178">
        <v>171.55</v>
      </c>
      <c r="N2272" s="179">
        <v>0</v>
      </c>
      <c r="O2272" s="178">
        <v>171.55</v>
      </c>
      <c r="P2272" s="453"/>
      <c r="Q2272" s="61"/>
      <c r="R2272" s="298"/>
      <c r="S2272" s="669"/>
      <c r="X2272" s="444">
        <v>2272</v>
      </c>
    </row>
    <row r="2273" spans="1:32" s="73" customFormat="1" ht="12">
      <c r="A2273" s="83" t="s">
        <v>22034</v>
      </c>
      <c r="B2273" s="64" t="s">
        <v>22035</v>
      </c>
      <c r="C2273" s="71" t="s">
        <v>509</v>
      </c>
      <c r="D2273" s="79">
        <v>1</v>
      </c>
      <c r="E2273" s="79">
        <v>288.16000000000003</v>
      </c>
      <c r="F2273" s="79">
        <v>288.16000000000003</v>
      </c>
      <c r="G2273" s="445"/>
      <c r="H2273" s="178">
        <v>288.14999999999998</v>
      </c>
      <c r="I2273" s="178">
        <v>354.43</v>
      </c>
      <c r="J2273" s="70">
        <v>-66.269999999999982</v>
      </c>
      <c r="K2273" s="320"/>
      <c r="L2273" s="178"/>
      <c r="M2273" s="178">
        <v>288.16000000000003</v>
      </c>
      <c r="N2273" s="179">
        <v>0</v>
      </c>
      <c r="O2273" s="178">
        <v>288.16000000000003</v>
      </c>
      <c r="P2273" s="453"/>
      <c r="Q2273" s="61"/>
      <c r="R2273" s="298"/>
      <c r="S2273" s="669"/>
      <c r="T2273" s="444"/>
      <c r="U2273" s="444"/>
      <c r="V2273" s="444"/>
      <c r="W2273" s="444"/>
      <c r="X2273" s="444">
        <v>2273</v>
      </c>
      <c r="Y2273" s="444"/>
      <c r="Z2273" s="444"/>
      <c r="AA2273" s="444"/>
      <c r="AB2273" s="444"/>
      <c r="AC2273" s="444"/>
      <c r="AD2273" s="444"/>
      <c r="AE2273" s="444"/>
      <c r="AF2273" s="444"/>
    </row>
    <row r="2274" spans="1:32" ht="12">
      <c r="A2274" s="83" t="s">
        <v>22036</v>
      </c>
      <c r="B2274" s="64" t="s">
        <v>22037</v>
      </c>
      <c r="C2274" s="71" t="s">
        <v>509</v>
      </c>
      <c r="D2274" s="79">
        <v>1</v>
      </c>
      <c r="E2274" s="79">
        <v>129.41999999999999</v>
      </c>
      <c r="F2274" s="79">
        <v>129.41999999999999</v>
      </c>
      <c r="G2274" s="445"/>
      <c r="H2274" s="178">
        <v>129.41</v>
      </c>
      <c r="I2274" s="178">
        <v>159.18</v>
      </c>
      <c r="J2274" s="70">
        <v>-29.760000000000019</v>
      </c>
      <c r="K2274" s="320"/>
      <c r="L2274" s="178"/>
      <c r="M2274" s="178">
        <v>129.41999999999999</v>
      </c>
      <c r="N2274" s="179">
        <v>0</v>
      </c>
      <c r="O2274" s="178">
        <v>129.41999999999999</v>
      </c>
      <c r="P2274" s="453"/>
      <c r="Q2274" s="61"/>
      <c r="R2274" s="298"/>
      <c r="S2274" s="669"/>
      <c r="X2274" s="444">
        <v>2274</v>
      </c>
    </row>
    <row r="2275" spans="1:32" ht="12">
      <c r="A2275" s="83" t="s">
        <v>22038</v>
      </c>
      <c r="B2275" s="64" t="s">
        <v>22039</v>
      </c>
      <c r="C2275" s="71" t="s">
        <v>509</v>
      </c>
      <c r="D2275" s="79">
        <v>1</v>
      </c>
      <c r="E2275" s="79">
        <v>274.63</v>
      </c>
      <c r="F2275" s="79">
        <v>274.63</v>
      </c>
      <c r="G2275" s="445"/>
      <c r="H2275" s="178">
        <v>274.63</v>
      </c>
      <c r="I2275" s="178">
        <v>337.79</v>
      </c>
      <c r="J2275" s="70">
        <v>-63.160000000000025</v>
      </c>
      <c r="K2275" s="320"/>
      <c r="L2275" s="178"/>
      <c r="M2275" s="178">
        <v>274.63</v>
      </c>
      <c r="N2275" s="179">
        <v>0</v>
      </c>
      <c r="O2275" s="178">
        <v>274.63</v>
      </c>
      <c r="P2275" s="453"/>
      <c r="Q2275" s="61"/>
      <c r="R2275" s="298"/>
      <c r="S2275" s="669"/>
      <c r="X2275" s="444">
        <v>2275</v>
      </c>
    </row>
    <row r="2276" spans="1:32" ht="12">
      <c r="A2276" s="68" t="s">
        <v>22040</v>
      </c>
      <c r="B2276" s="9" t="s">
        <v>22041</v>
      </c>
      <c r="C2276" s="72" t="s">
        <v>509</v>
      </c>
      <c r="D2276" s="79">
        <v>1</v>
      </c>
      <c r="E2276" s="79">
        <v>284.14</v>
      </c>
      <c r="F2276" s="79">
        <v>284.14</v>
      </c>
      <c r="G2276" s="445"/>
      <c r="H2276" s="178">
        <v>284.14</v>
      </c>
      <c r="I2276" s="178">
        <v>349.49</v>
      </c>
      <c r="J2276" s="70">
        <v>-65.350000000000023</v>
      </c>
      <c r="K2276" s="320"/>
      <c r="L2276" s="178"/>
      <c r="M2276" s="178">
        <v>284.14</v>
      </c>
      <c r="N2276" s="179">
        <v>0</v>
      </c>
      <c r="O2276" s="178">
        <v>284.14</v>
      </c>
      <c r="P2276" s="453"/>
      <c r="Q2276" s="61"/>
      <c r="R2276" s="298"/>
      <c r="S2276" s="669"/>
      <c r="X2276" s="444">
        <v>2276</v>
      </c>
    </row>
    <row r="2277" spans="1:32" ht="12">
      <c r="A2277" s="83" t="s">
        <v>22042</v>
      </c>
      <c r="B2277" s="65" t="s">
        <v>22043</v>
      </c>
      <c r="C2277" s="71" t="s">
        <v>509</v>
      </c>
      <c r="D2277" s="79">
        <v>1</v>
      </c>
      <c r="E2277" s="79">
        <v>280.49</v>
      </c>
      <c r="F2277" s="79">
        <v>280.49</v>
      </c>
      <c r="G2277" s="320"/>
      <c r="H2277" s="178">
        <v>280.49</v>
      </c>
      <c r="I2277" s="178">
        <v>345</v>
      </c>
      <c r="J2277" s="70">
        <v>-64.509999999999991</v>
      </c>
      <c r="K2277" s="320"/>
      <c r="L2277" s="178"/>
      <c r="M2277" s="178">
        <v>280.49</v>
      </c>
      <c r="N2277" s="179">
        <v>0</v>
      </c>
      <c r="O2277" s="178">
        <v>280.49</v>
      </c>
      <c r="P2277" s="453"/>
      <c r="Q2277" s="61"/>
      <c r="R2277" s="298"/>
      <c r="S2277" s="669"/>
      <c r="X2277" s="444">
        <v>2277</v>
      </c>
    </row>
    <row r="2278" spans="1:32" ht="12">
      <c r="A2278" s="83" t="s">
        <v>22044</v>
      </c>
      <c r="B2278" s="64" t="s">
        <v>22045</v>
      </c>
      <c r="C2278" s="71" t="s">
        <v>509</v>
      </c>
      <c r="D2278" s="79">
        <v>1</v>
      </c>
      <c r="E2278" s="79">
        <v>39.880000000000003</v>
      </c>
      <c r="F2278" s="79">
        <v>39.880000000000003</v>
      </c>
      <c r="G2278" s="320"/>
      <c r="H2278" s="178">
        <v>39.869999999999997</v>
      </c>
      <c r="I2278" s="178">
        <v>49.04</v>
      </c>
      <c r="J2278" s="70">
        <v>-9.1599999999999966</v>
      </c>
      <c r="K2278" s="320"/>
      <c r="L2278" s="178">
        <v>12.829999999999998</v>
      </c>
      <c r="M2278" s="178">
        <v>27.050000000000004</v>
      </c>
      <c r="N2278" s="179">
        <v>0</v>
      </c>
      <c r="O2278" s="178">
        <v>39.880000000000003</v>
      </c>
      <c r="P2278" s="453"/>
      <c r="Q2278" s="61"/>
      <c r="R2278" s="298"/>
      <c r="S2278" s="669"/>
      <c r="X2278" s="444">
        <v>2278</v>
      </c>
    </row>
    <row r="2279" spans="1:32" s="73" customFormat="1" ht="24">
      <c r="A2279" s="83" t="s">
        <v>22046</v>
      </c>
      <c r="B2279" s="64" t="s">
        <v>22047</v>
      </c>
      <c r="C2279" s="71" t="s">
        <v>509</v>
      </c>
      <c r="D2279" s="79">
        <v>1</v>
      </c>
      <c r="E2279" s="79">
        <v>52.76</v>
      </c>
      <c r="F2279" s="79">
        <v>52.76</v>
      </c>
      <c r="G2279" s="320"/>
      <c r="H2279" s="178">
        <v>52.74</v>
      </c>
      <c r="I2279" s="178">
        <v>64.87</v>
      </c>
      <c r="J2279" s="70">
        <v>-12.110000000000007</v>
      </c>
      <c r="K2279" s="320"/>
      <c r="L2279" s="178">
        <v>9.86</v>
      </c>
      <c r="M2279" s="178">
        <v>42.9</v>
      </c>
      <c r="N2279" s="179">
        <v>0</v>
      </c>
      <c r="O2279" s="178">
        <v>52.76</v>
      </c>
      <c r="P2279" s="453"/>
      <c r="Q2279" s="61"/>
      <c r="R2279" s="298"/>
      <c r="S2279" s="669"/>
      <c r="T2279" s="444"/>
      <c r="U2279" s="444"/>
      <c r="V2279" s="444"/>
      <c r="W2279" s="444"/>
      <c r="X2279" s="444">
        <v>2279</v>
      </c>
      <c r="Y2279" s="444"/>
      <c r="Z2279" s="444"/>
      <c r="AA2279" s="444"/>
      <c r="AB2279" s="444"/>
      <c r="AC2279" s="444"/>
      <c r="AD2279" s="444"/>
      <c r="AE2279" s="444"/>
      <c r="AF2279" s="444"/>
    </row>
    <row r="2280" spans="1:32" s="73" customFormat="1" ht="12">
      <c r="A2280" s="83" t="s">
        <v>22048</v>
      </c>
      <c r="B2280" s="64" t="s">
        <v>22049</v>
      </c>
      <c r="C2280" s="71" t="s">
        <v>10216</v>
      </c>
      <c r="D2280" s="79">
        <v>1</v>
      </c>
      <c r="E2280" s="79">
        <v>577.26</v>
      </c>
      <c r="F2280" s="79">
        <v>577.26</v>
      </c>
      <c r="G2280" s="445"/>
      <c r="H2280" s="178">
        <v>577.25</v>
      </c>
      <c r="I2280" s="178">
        <v>710.02</v>
      </c>
      <c r="J2280" s="70">
        <v>-132.76</v>
      </c>
      <c r="K2280" s="320"/>
      <c r="L2280" s="178"/>
      <c r="M2280" s="178">
        <v>577.26</v>
      </c>
      <c r="N2280" s="179">
        <v>0</v>
      </c>
      <c r="O2280" s="178">
        <v>577.26</v>
      </c>
      <c r="P2280" s="453"/>
      <c r="Q2280" s="61"/>
      <c r="R2280" s="298"/>
      <c r="S2280" s="669"/>
      <c r="T2280" s="444"/>
      <c r="U2280" s="444"/>
      <c r="V2280" s="444"/>
      <c r="W2280" s="444"/>
      <c r="X2280" s="444">
        <v>2280</v>
      </c>
      <c r="Y2280" s="444"/>
      <c r="Z2280" s="444"/>
      <c r="AA2280" s="444"/>
      <c r="AB2280" s="444"/>
      <c r="AC2280" s="444"/>
      <c r="AD2280" s="444"/>
      <c r="AE2280" s="444"/>
      <c r="AF2280" s="444"/>
    </row>
    <row r="2281" spans="1:32" ht="12">
      <c r="A2281" s="83" t="s">
        <v>39874</v>
      </c>
      <c r="B2281" s="64" t="s">
        <v>39518</v>
      </c>
      <c r="C2281" s="71"/>
      <c r="D2281" s="79" t="s">
        <v>40899</v>
      </c>
      <c r="E2281" s="79" t="s">
        <v>40899</v>
      </c>
      <c r="F2281" s="79"/>
      <c r="G2281" s="445"/>
      <c r="H2281" s="178"/>
      <c r="I2281" s="178"/>
      <c r="J2281" s="70"/>
      <c r="K2281" s="320"/>
      <c r="L2281" s="178"/>
      <c r="M2281" s="178"/>
      <c r="N2281" s="179"/>
      <c r="O2281" s="178"/>
      <c r="P2281" s="453"/>
      <c r="Q2281" s="61"/>
      <c r="R2281" s="298"/>
      <c r="S2281" s="669"/>
      <c r="X2281" s="444">
        <v>2281</v>
      </c>
    </row>
    <row r="2282" spans="1:32" ht="12">
      <c r="A2282" s="83" t="s">
        <v>22050</v>
      </c>
      <c r="B2282" s="64" t="s">
        <v>22051</v>
      </c>
      <c r="C2282" s="71" t="s">
        <v>509</v>
      </c>
      <c r="D2282" s="79">
        <v>1</v>
      </c>
      <c r="E2282" s="79">
        <v>3.5700000000000003</v>
      </c>
      <c r="F2282" s="79">
        <v>3.57</v>
      </c>
      <c r="G2282" s="445"/>
      <c r="H2282" s="178">
        <v>3.57</v>
      </c>
      <c r="I2282" s="178">
        <v>4.3899999999999997</v>
      </c>
      <c r="J2282" s="70">
        <v>-0.8199999999999994</v>
      </c>
      <c r="K2282" s="320"/>
      <c r="L2282" s="178">
        <v>3.5700000000000003</v>
      </c>
      <c r="M2282" s="178">
        <v>0</v>
      </c>
      <c r="N2282" s="179">
        <v>0</v>
      </c>
      <c r="O2282" s="178">
        <v>3.5700000000000003</v>
      </c>
      <c r="P2282" s="453"/>
      <c r="Q2282" s="61"/>
      <c r="R2282" s="298"/>
      <c r="S2282" s="669"/>
      <c r="X2282" s="444">
        <v>2282</v>
      </c>
    </row>
    <row r="2283" spans="1:32" ht="12">
      <c r="A2283" s="83" t="s">
        <v>22052</v>
      </c>
      <c r="B2283" s="64" t="s">
        <v>22053</v>
      </c>
      <c r="C2283" s="71" t="s">
        <v>509</v>
      </c>
      <c r="D2283" s="79">
        <v>1</v>
      </c>
      <c r="E2283" s="79">
        <v>4.91</v>
      </c>
      <c r="F2283" s="79">
        <v>4.91</v>
      </c>
      <c r="G2283" s="445"/>
      <c r="H2283" s="178">
        <v>4.91</v>
      </c>
      <c r="I2283" s="178">
        <v>6.04</v>
      </c>
      <c r="J2283" s="70">
        <v>-1.1299999999999999</v>
      </c>
      <c r="K2283" s="320"/>
      <c r="L2283" s="178">
        <v>4.91</v>
      </c>
      <c r="M2283" s="178">
        <v>0</v>
      </c>
      <c r="N2283" s="179">
        <v>0</v>
      </c>
      <c r="O2283" s="178">
        <v>4.91</v>
      </c>
      <c r="P2283" s="453"/>
      <c r="Q2283" s="61"/>
      <c r="R2283" s="298"/>
      <c r="S2283" s="669"/>
      <c r="U2283" s="61"/>
      <c r="V2283" s="61"/>
      <c r="W2283" s="61"/>
      <c r="X2283" s="444">
        <v>2283</v>
      </c>
      <c r="Y2283" s="61"/>
      <c r="Z2283" s="61"/>
      <c r="AA2283" s="61"/>
      <c r="AB2283" s="61"/>
      <c r="AC2283" s="61"/>
      <c r="AD2283" s="61"/>
      <c r="AE2283" s="61"/>
      <c r="AF2283" s="61"/>
    </row>
    <row r="2284" spans="1:32" ht="12">
      <c r="A2284" s="83" t="s">
        <v>22054</v>
      </c>
      <c r="B2284" s="64" t="s">
        <v>22055</v>
      </c>
      <c r="C2284" s="71" t="s">
        <v>509</v>
      </c>
      <c r="D2284" s="79">
        <v>1</v>
      </c>
      <c r="E2284" s="79">
        <v>1.78</v>
      </c>
      <c r="F2284" s="79">
        <v>1.78</v>
      </c>
      <c r="G2284" s="445"/>
      <c r="H2284" s="178">
        <v>1.78</v>
      </c>
      <c r="I2284" s="178">
        <v>2.19</v>
      </c>
      <c r="J2284" s="70">
        <v>-0.40999999999999992</v>
      </c>
      <c r="K2284" s="320"/>
      <c r="L2284" s="178">
        <v>1.78</v>
      </c>
      <c r="M2284" s="178">
        <v>0</v>
      </c>
      <c r="N2284" s="179">
        <v>0</v>
      </c>
      <c r="O2284" s="178">
        <v>1.78</v>
      </c>
      <c r="P2284" s="453"/>
      <c r="Q2284" s="61"/>
      <c r="R2284" s="298"/>
      <c r="S2284" s="669"/>
      <c r="U2284" s="61"/>
      <c r="V2284" s="61"/>
      <c r="W2284" s="61"/>
      <c r="X2284" s="444">
        <v>2284</v>
      </c>
      <c r="Y2284" s="61"/>
      <c r="Z2284" s="61"/>
      <c r="AA2284" s="61"/>
      <c r="AB2284" s="61"/>
      <c r="AC2284" s="61"/>
      <c r="AD2284" s="61"/>
      <c r="AE2284" s="61"/>
      <c r="AF2284" s="61"/>
    </row>
    <row r="2285" spans="1:32" ht="12">
      <c r="A2285" s="83" t="s">
        <v>22056</v>
      </c>
      <c r="B2285" s="64" t="s">
        <v>22057</v>
      </c>
      <c r="C2285" s="71" t="s">
        <v>509</v>
      </c>
      <c r="D2285" s="79">
        <v>1</v>
      </c>
      <c r="E2285" s="79">
        <v>1.78</v>
      </c>
      <c r="F2285" s="79">
        <v>1.78</v>
      </c>
      <c r="G2285" s="320"/>
      <c r="H2285" s="178">
        <v>1.78</v>
      </c>
      <c r="I2285" s="178">
        <v>2.19</v>
      </c>
      <c r="J2285" s="70">
        <v>-0.40999999999999992</v>
      </c>
      <c r="K2285" s="320"/>
      <c r="L2285" s="178">
        <v>1.78</v>
      </c>
      <c r="M2285" s="178">
        <v>0</v>
      </c>
      <c r="N2285" s="179">
        <v>0</v>
      </c>
      <c r="O2285" s="178">
        <v>1.78</v>
      </c>
      <c r="P2285" s="453"/>
      <c r="Q2285" s="61"/>
      <c r="R2285" s="298"/>
      <c r="S2285" s="669"/>
      <c r="U2285" s="61"/>
      <c r="V2285" s="61"/>
      <c r="W2285" s="61"/>
      <c r="X2285" s="444">
        <v>2285</v>
      </c>
      <c r="Y2285" s="61"/>
      <c r="Z2285" s="61"/>
      <c r="AA2285" s="61"/>
      <c r="AB2285" s="61"/>
      <c r="AC2285" s="61"/>
      <c r="AD2285" s="61"/>
      <c r="AE2285" s="61"/>
      <c r="AF2285" s="61"/>
    </row>
    <row r="2286" spans="1:32" ht="12">
      <c r="A2286" s="83" t="s">
        <v>22058</v>
      </c>
      <c r="B2286" s="64" t="s">
        <v>18570</v>
      </c>
      <c r="C2286" s="71" t="s">
        <v>10216</v>
      </c>
      <c r="D2286" s="79">
        <v>1</v>
      </c>
      <c r="E2286" s="79">
        <v>577.26</v>
      </c>
      <c r="F2286" s="79">
        <v>577.26</v>
      </c>
      <c r="G2286" s="445"/>
      <c r="H2286" s="178">
        <v>577.25</v>
      </c>
      <c r="I2286" s="178">
        <v>710.02</v>
      </c>
      <c r="J2286" s="70">
        <v>-132.76</v>
      </c>
      <c r="K2286" s="320"/>
      <c r="L2286" s="178"/>
      <c r="M2286" s="178">
        <v>577.26</v>
      </c>
      <c r="N2286" s="179">
        <v>0</v>
      </c>
      <c r="O2286" s="178">
        <v>577.26</v>
      </c>
      <c r="P2286" s="453"/>
      <c r="Q2286" s="61"/>
      <c r="R2286" s="298"/>
      <c r="S2286" s="669"/>
      <c r="T2286" s="69"/>
      <c r="U2286" s="61"/>
      <c r="V2286" s="61"/>
      <c r="W2286" s="61"/>
      <c r="X2286" s="444">
        <v>2286</v>
      </c>
      <c r="Y2286" s="61"/>
      <c r="Z2286" s="61"/>
      <c r="AA2286" s="61"/>
      <c r="AB2286" s="61"/>
      <c r="AC2286" s="61"/>
      <c r="AD2286" s="61"/>
      <c r="AE2286" s="61"/>
      <c r="AF2286" s="61"/>
    </row>
    <row r="2287" spans="1:32" ht="12">
      <c r="A2287" s="83" t="s">
        <v>39875</v>
      </c>
      <c r="B2287" s="64" t="s">
        <v>39520</v>
      </c>
      <c r="C2287" s="71"/>
      <c r="D2287" s="79" t="s">
        <v>40899</v>
      </c>
      <c r="E2287" s="79" t="s">
        <v>40899</v>
      </c>
      <c r="F2287" s="79"/>
      <c r="G2287" s="445"/>
      <c r="H2287" s="178"/>
      <c r="I2287" s="178"/>
      <c r="J2287" s="70"/>
      <c r="K2287" s="320"/>
      <c r="L2287" s="178"/>
      <c r="M2287" s="178"/>
      <c r="N2287" s="179"/>
      <c r="O2287" s="178"/>
      <c r="P2287" s="453"/>
      <c r="Q2287" s="61"/>
      <c r="R2287" s="298"/>
      <c r="S2287" s="669"/>
      <c r="X2287" s="444">
        <v>2287</v>
      </c>
    </row>
    <row r="2288" spans="1:32" ht="12">
      <c r="A2288" s="83" t="s">
        <v>22059</v>
      </c>
      <c r="B2288" s="64" t="s">
        <v>22060</v>
      </c>
      <c r="C2288" s="71" t="s">
        <v>509</v>
      </c>
      <c r="D2288" s="79">
        <v>1</v>
      </c>
      <c r="E2288" s="79">
        <v>14.36</v>
      </c>
      <c r="F2288" s="79">
        <v>14.36</v>
      </c>
      <c r="G2288" s="445"/>
      <c r="H2288" s="178">
        <v>14.36</v>
      </c>
      <c r="I2288" s="178">
        <v>17.66</v>
      </c>
      <c r="J2288" s="70">
        <v>-3.3000000000000007</v>
      </c>
      <c r="K2288" s="320"/>
      <c r="L2288" s="178">
        <v>14.36</v>
      </c>
      <c r="M2288" s="178">
        <v>0</v>
      </c>
      <c r="N2288" s="179">
        <v>0</v>
      </c>
      <c r="O2288" s="178">
        <v>14.36</v>
      </c>
      <c r="P2288" s="453"/>
      <c r="Q2288" s="61"/>
      <c r="R2288" s="298"/>
      <c r="S2288" s="669"/>
      <c r="X2288" s="444">
        <v>2288</v>
      </c>
    </row>
    <row r="2289" spans="1:32" ht="12">
      <c r="A2289" s="83" t="s">
        <v>22061</v>
      </c>
      <c r="B2289" s="64" t="s">
        <v>22062</v>
      </c>
      <c r="C2289" s="71" t="s">
        <v>509</v>
      </c>
      <c r="D2289" s="79">
        <v>1</v>
      </c>
      <c r="E2289" s="79">
        <v>7.68</v>
      </c>
      <c r="F2289" s="79">
        <v>7.68</v>
      </c>
      <c r="G2289" s="445"/>
      <c r="H2289" s="178">
        <v>7.69</v>
      </c>
      <c r="I2289" s="178">
        <v>9.4600000000000009</v>
      </c>
      <c r="J2289" s="70">
        <v>-1.7800000000000011</v>
      </c>
      <c r="K2289" s="320"/>
      <c r="L2289" s="178">
        <v>7.68</v>
      </c>
      <c r="M2289" s="178">
        <v>0</v>
      </c>
      <c r="N2289" s="179">
        <v>0</v>
      </c>
      <c r="O2289" s="178">
        <v>7.68</v>
      </c>
      <c r="P2289" s="453"/>
      <c r="Q2289" s="61"/>
      <c r="R2289" s="298"/>
      <c r="S2289" s="669"/>
      <c r="X2289" s="444">
        <v>2289</v>
      </c>
    </row>
    <row r="2290" spans="1:32" ht="12">
      <c r="A2290" s="83" t="s">
        <v>22063</v>
      </c>
      <c r="B2290" s="64" t="s">
        <v>22064</v>
      </c>
      <c r="C2290" s="71" t="s">
        <v>509</v>
      </c>
      <c r="D2290" s="79">
        <v>1</v>
      </c>
      <c r="E2290" s="79">
        <v>14.36</v>
      </c>
      <c r="F2290" s="79">
        <v>14.36</v>
      </c>
      <c r="G2290" s="445"/>
      <c r="H2290" s="178">
        <v>14.36</v>
      </c>
      <c r="I2290" s="178">
        <v>17.66</v>
      </c>
      <c r="J2290" s="70">
        <v>-3.3000000000000007</v>
      </c>
      <c r="K2290" s="320"/>
      <c r="L2290" s="178">
        <v>14.36</v>
      </c>
      <c r="M2290" s="178">
        <v>0</v>
      </c>
      <c r="N2290" s="179">
        <v>0</v>
      </c>
      <c r="O2290" s="178">
        <v>14.36</v>
      </c>
      <c r="P2290" s="453"/>
      <c r="Q2290" s="61"/>
      <c r="R2290" s="298"/>
      <c r="S2290" s="669"/>
      <c r="X2290" s="444">
        <v>2290</v>
      </c>
    </row>
    <row r="2291" spans="1:32" ht="12">
      <c r="A2291" s="83" t="s">
        <v>22065</v>
      </c>
      <c r="B2291" s="64" t="s">
        <v>18572</v>
      </c>
      <c r="C2291" s="71" t="s">
        <v>10216</v>
      </c>
      <c r="D2291" s="79">
        <v>1</v>
      </c>
      <c r="E2291" s="79">
        <v>577.26</v>
      </c>
      <c r="F2291" s="79">
        <v>577.26</v>
      </c>
      <c r="G2291" s="445"/>
      <c r="H2291" s="178">
        <v>577.25</v>
      </c>
      <c r="I2291" s="178">
        <v>710.02</v>
      </c>
      <c r="J2291" s="70">
        <v>-132.76</v>
      </c>
      <c r="K2291" s="320"/>
      <c r="L2291" s="178"/>
      <c r="M2291" s="178">
        <v>577.26</v>
      </c>
      <c r="N2291" s="179">
        <v>0</v>
      </c>
      <c r="O2291" s="178">
        <v>577.26</v>
      </c>
      <c r="P2291" s="453"/>
      <c r="Q2291" s="61"/>
      <c r="R2291" s="298"/>
      <c r="S2291" s="669"/>
      <c r="X2291" s="444">
        <v>2291</v>
      </c>
    </row>
    <row r="2292" spans="1:32" ht="12">
      <c r="A2292" s="83" t="s">
        <v>39876</v>
      </c>
      <c r="B2292" s="64" t="s">
        <v>39877</v>
      </c>
      <c r="C2292" s="71"/>
      <c r="D2292" s="79" t="s">
        <v>40899</v>
      </c>
      <c r="E2292" s="79" t="s">
        <v>40899</v>
      </c>
      <c r="F2292" s="79"/>
      <c r="G2292" s="445"/>
      <c r="H2292" s="178"/>
      <c r="I2292" s="178"/>
      <c r="J2292" s="70"/>
      <c r="K2292" s="320"/>
      <c r="L2292" s="178"/>
      <c r="M2292" s="178"/>
      <c r="N2292" s="179"/>
      <c r="O2292" s="178"/>
      <c r="P2292" s="453"/>
      <c r="Q2292" s="61"/>
      <c r="R2292" s="298"/>
      <c r="S2292" s="669"/>
      <c r="U2292" s="73"/>
      <c r="V2292" s="73"/>
      <c r="W2292" s="73"/>
      <c r="X2292" s="444">
        <v>2292</v>
      </c>
      <c r="Y2292" s="73"/>
      <c r="Z2292" s="73"/>
      <c r="AA2292" s="73"/>
      <c r="AB2292" s="73"/>
      <c r="AC2292" s="73"/>
      <c r="AD2292" s="73"/>
      <c r="AE2292" s="73"/>
      <c r="AF2292" s="73"/>
    </row>
    <row r="2293" spans="1:32" ht="12">
      <c r="A2293" s="83" t="s">
        <v>22066</v>
      </c>
      <c r="B2293" s="64" t="s">
        <v>22067</v>
      </c>
      <c r="C2293" s="71" t="s">
        <v>509</v>
      </c>
      <c r="D2293" s="79">
        <v>1</v>
      </c>
      <c r="E2293" s="79">
        <v>16.189999999999998</v>
      </c>
      <c r="F2293" s="79">
        <v>16.190000000000001</v>
      </c>
      <c r="G2293" s="445"/>
      <c r="H2293" s="178">
        <v>16.2</v>
      </c>
      <c r="I2293" s="178">
        <v>19.920000000000002</v>
      </c>
      <c r="J2293" s="70">
        <v>-3.730000000000004</v>
      </c>
      <c r="K2293" s="320"/>
      <c r="L2293" s="178">
        <v>15.379999999999999</v>
      </c>
      <c r="M2293" s="178">
        <v>0.80999999999999872</v>
      </c>
      <c r="N2293" s="179">
        <v>0</v>
      </c>
      <c r="O2293" s="178">
        <v>16.189999999999998</v>
      </c>
      <c r="P2293" s="453"/>
      <c r="Q2293" s="61"/>
      <c r="R2293" s="298"/>
      <c r="S2293" s="669"/>
      <c r="U2293" s="61"/>
      <c r="V2293" s="61"/>
      <c r="W2293" s="61"/>
      <c r="X2293" s="444">
        <v>2293</v>
      </c>
      <c r="Y2293" s="61"/>
      <c r="Z2293" s="61"/>
      <c r="AA2293" s="61"/>
      <c r="AB2293" s="61"/>
      <c r="AC2293" s="61"/>
      <c r="AD2293" s="61"/>
      <c r="AE2293" s="61"/>
      <c r="AF2293" s="61"/>
    </row>
    <row r="2294" spans="1:32" ht="12">
      <c r="A2294" s="83" t="s">
        <v>22068</v>
      </c>
      <c r="B2294" s="64" t="s">
        <v>22069</v>
      </c>
      <c r="C2294" s="71" t="s">
        <v>509</v>
      </c>
      <c r="D2294" s="79">
        <v>1</v>
      </c>
      <c r="E2294" s="79">
        <v>7.68</v>
      </c>
      <c r="F2294" s="79">
        <v>7.68</v>
      </c>
      <c r="G2294" s="445"/>
      <c r="H2294" s="178">
        <v>7.69</v>
      </c>
      <c r="I2294" s="178">
        <v>9.4600000000000009</v>
      </c>
      <c r="J2294" s="70">
        <v>-1.7800000000000011</v>
      </c>
      <c r="K2294" s="320"/>
      <c r="L2294" s="178">
        <v>7.68</v>
      </c>
      <c r="M2294" s="178">
        <v>0</v>
      </c>
      <c r="N2294" s="179">
        <v>0</v>
      </c>
      <c r="O2294" s="178">
        <v>7.68</v>
      </c>
      <c r="P2294" s="453"/>
      <c r="Q2294" s="61"/>
      <c r="R2294" s="298"/>
      <c r="S2294" s="669"/>
      <c r="U2294" s="61"/>
      <c r="V2294" s="61"/>
      <c r="W2294" s="61"/>
      <c r="X2294" s="444">
        <v>2294</v>
      </c>
      <c r="Y2294" s="61"/>
      <c r="Z2294" s="61"/>
      <c r="AA2294" s="61"/>
      <c r="AB2294" s="61"/>
      <c r="AC2294" s="61"/>
      <c r="AD2294" s="61"/>
      <c r="AE2294" s="61"/>
      <c r="AF2294" s="61"/>
    </row>
    <row r="2295" spans="1:32" ht="12">
      <c r="A2295" s="83" t="s">
        <v>22070</v>
      </c>
      <c r="B2295" s="64" t="s">
        <v>22071</v>
      </c>
      <c r="C2295" s="71" t="s">
        <v>509</v>
      </c>
      <c r="D2295" s="79">
        <v>1</v>
      </c>
      <c r="E2295" s="79">
        <v>14.36</v>
      </c>
      <c r="F2295" s="79">
        <v>14.36</v>
      </c>
      <c r="G2295" s="445"/>
      <c r="H2295" s="178">
        <v>14.36</v>
      </c>
      <c r="I2295" s="178">
        <v>17.66</v>
      </c>
      <c r="J2295" s="70">
        <v>-3.3000000000000007</v>
      </c>
      <c r="K2295" s="320"/>
      <c r="L2295" s="178">
        <v>14.36</v>
      </c>
      <c r="M2295" s="178">
        <v>0</v>
      </c>
      <c r="N2295" s="179">
        <v>0</v>
      </c>
      <c r="O2295" s="178">
        <v>14.36</v>
      </c>
      <c r="P2295" s="453"/>
      <c r="Q2295" s="61"/>
      <c r="R2295" s="298"/>
      <c r="S2295" s="669"/>
      <c r="U2295" s="61"/>
      <c r="V2295" s="61"/>
      <c r="W2295" s="61"/>
      <c r="X2295" s="444">
        <v>2295</v>
      </c>
      <c r="Y2295" s="61"/>
      <c r="Z2295" s="61"/>
      <c r="AA2295" s="61"/>
      <c r="AB2295" s="61"/>
      <c r="AC2295" s="61"/>
      <c r="AD2295" s="61"/>
      <c r="AE2295" s="61"/>
      <c r="AF2295" s="61"/>
    </row>
    <row r="2296" spans="1:32" ht="12">
      <c r="A2296" s="83" t="s">
        <v>22072</v>
      </c>
      <c r="B2296" s="64" t="s">
        <v>22073</v>
      </c>
      <c r="C2296" s="71" t="s">
        <v>10216</v>
      </c>
      <c r="D2296" s="79">
        <v>1</v>
      </c>
      <c r="E2296" s="79">
        <v>577.26</v>
      </c>
      <c r="F2296" s="79">
        <v>577.26</v>
      </c>
      <c r="G2296" s="445"/>
      <c r="H2296" s="178">
        <v>577.25</v>
      </c>
      <c r="I2296" s="178">
        <v>710.02</v>
      </c>
      <c r="J2296" s="70">
        <v>-132.76</v>
      </c>
      <c r="K2296" s="320"/>
      <c r="L2296" s="178"/>
      <c r="M2296" s="178">
        <v>577.26</v>
      </c>
      <c r="N2296" s="179">
        <v>0</v>
      </c>
      <c r="O2296" s="178">
        <v>577.26</v>
      </c>
      <c r="P2296" s="453"/>
      <c r="Q2296" s="61"/>
      <c r="R2296" s="298"/>
      <c r="S2296" s="669"/>
      <c r="X2296" s="444">
        <v>2296</v>
      </c>
    </row>
    <row r="2297" spans="1:32" ht="12">
      <c r="A2297" s="83" t="s">
        <v>39878</v>
      </c>
      <c r="B2297" s="64" t="s">
        <v>39879</v>
      </c>
      <c r="C2297" s="71"/>
      <c r="D2297" s="79" t="s">
        <v>40899</v>
      </c>
      <c r="E2297" s="79" t="s">
        <v>40899</v>
      </c>
      <c r="F2297" s="79"/>
      <c r="G2297" s="445"/>
      <c r="H2297" s="178"/>
      <c r="I2297" s="178"/>
      <c r="J2297" s="70"/>
      <c r="K2297" s="320"/>
      <c r="L2297" s="178"/>
      <c r="M2297" s="178"/>
      <c r="N2297" s="179"/>
      <c r="O2297" s="178"/>
      <c r="P2297" s="453"/>
      <c r="Q2297" s="61"/>
      <c r="R2297" s="298"/>
      <c r="S2297" s="669"/>
      <c r="X2297" s="444">
        <v>2297</v>
      </c>
    </row>
    <row r="2298" spans="1:32" ht="12">
      <c r="A2298" s="83" t="s">
        <v>22074</v>
      </c>
      <c r="B2298" s="64" t="s">
        <v>22075</v>
      </c>
      <c r="C2298" s="71" t="s">
        <v>509</v>
      </c>
      <c r="D2298" s="79">
        <v>1</v>
      </c>
      <c r="E2298" s="79">
        <v>191.65999999999997</v>
      </c>
      <c r="F2298" s="79">
        <v>191.66</v>
      </c>
      <c r="G2298" s="445"/>
      <c r="H2298" s="178">
        <v>191.65</v>
      </c>
      <c r="I2298" s="178">
        <v>235.73</v>
      </c>
      <c r="J2298" s="70">
        <v>-44.070000000000022</v>
      </c>
      <c r="K2298" s="320"/>
      <c r="L2298" s="178">
        <v>140.66</v>
      </c>
      <c r="M2298" s="178">
        <v>50.999999999999972</v>
      </c>
      <c r="N2298" s="179">
        <v>0</v>
      </c>
      <c r="O2298" s="178">
        <v>191.65999999999997</v>
      </c>
      <c r="P2298" s="453"/>
      <c r="Q2298" s="61"/>
      <c r="R2298" s="298"/>
      <c r="S2298" s="669"/>
      <c r="T2298" s="61"/>
      <c r="X2298" s="444">
        <v>2298</v>
      </c>
    </row>
    <row r="2299" spans="1:32" ht="12">
      <c r="A2299" s="83" t="s">
        <v>22076</v>
      </c>
      <c r="B2299" s="64" t="s">
        <v>22077</v>
      </c>
      <c r="C2299" s="71" t="s">
        <v>165</v>
      </c>
      <c r="D2299" s="79">
        <v>1</v>
      </c>
      <c r="E2299" s="79">
        <v>33.370000000000005</v>
      </c>
      <c r="F2299" s="79">
        <v>33.369999999999997</v>
      </c>
      <c r="G2299" s="445"/>
      <c r="H2299" s="178">
        <v>33.369999999999997</v>
      </c>
      <c r="I2299" s="178">
        <v>41.05</v>
      </c>
      <c r="J2299" s="70">
        <v>-7.6799999999999926</v>
      </c>
      <c r="K2299" s="320"/>
      <c r="L2299" s="178">
        <v>12.3</v>
      </c>
      <c r="M2299" s="178">
        <v>21.070000000000004</v>
      </c>
      <c r="N2299" s="179">
        <v>0</v>
      </c>
      <c r="O2299" s="178">
        <v>33.370000000000005</v>
      </c>
      <c r="P2299" s="453"/>
      <c r="Q2299" s="61"/>
      <c r="R2299" s="298"/>
      <c r="S2299" s="669"/>
      <c r="X2299" s="444">
        <v>2299</v>
      </c>
    </row>
    <row r="2300" spans="1:32" ht="12">
      <c r="A2300" s="83" t="s">
        <v>22078</v>
      </c>
      <c r="B2300" s="64" t="s">
        <v>22079</v>
      </c>
      <c r="C2300" s="71" t="s">
        <v>509</v>
      </c>
      <c r="D2300" s="79">
        <v>1</v>
      </c>
      <c r="E2300" s="79">
        <v>101.05</v>
      </c>
      <c r="F2300" s="79">
        <v>101.05</v>
      </c>
      <c r="G2300" s="445"/>
      <c r="H2300" s="178">
        <v>101.05</v>
      </c>
      <c r="I2300" s="178">
        <v>124.29</v>
      </c>
      <c r="J2300" s="70">
        <v>-23.240000000000009</v>
      </c>
      <c r="K2300" s="320"/>
      <c r="L2300" s="178">
        <v>15.379999999999999</v>
      </c>
      <c r="M2300" s="178">
        <v>85.67</v>
      </c>
      <c r="N2300" s="179">
        <v>0</v>
      </c>
      <c r="O2300" s="178">
        <v>101.05</v>
      </c>
      <c r="P2300" s="453"/>
      <c r="Q2300" s="61"/>
      <c r="R2300" s="298"/>
      <c r="S2300" s="669"/>
      <c r="U2300" s="61"/>
      <c r="V2300" s="61"/>
      <c r="W2300" s="61"/>
      <c r="X2300" s="444">
        <v>2300</v>
      </c>
      <c r="Y2300" s="61"/>
      <c r="Z2300" s="61"/>
      <c r="AA2300" s="61"/>
      <c r="AB2300" s="61"/>
      <c r="AC2300" s="61"/>
      <c r="AD2300" s="61"/>
      <c r="AE2300" s="61"/>
      <c r="AF2300" s="61"/>
    </row>
    <row r="2301" spans="1:32" ht="12">
      <c r="A2301" s="83" t="s">
        <v>22080</v>
      </c>
      <c r="B2301" s="64" t="s">
        <v>22081</v>
      </c>
      <c r="C2301" s="71" t="s">
        <v>509</v>
      </c>
      <c r="D2301" s="79">
        <v>1</v>
      </c>
      <c r="E2301" s="79">
        <v>6.12</v>
      </c>
      <c r="F2301" s="79">
        <v>6.12</v>
      </c>
      <c r="G2301" s="445"/>
      <c r="H2301" s="178">
        <v>6.1</v>
      </c>
      <c r="I2301" s="178">
        <v>7.5</v>
      </c>
      <c r="J2301" s="70">
        <v>-1.38</v>
      </c>
      <c r="K2301" s="320"/>
      <c r="L2301" s="178">
        <v>5.71</v>
      </c>
      <c r="M2301" s="178">
        <v>0.41000000000000014</v>
      </c>
      <c r="N2301" s="179">
        <v>0</v>
      </c>
      <c r="O2301" s="178">
        <v>6.12</v>
      </c>
      <c r="P2301" s="453"/>
      <c r="Q2301" s="61"/>
      <c r="R2301" s="298"/>
      <c r="S2301" s="669"/>
      <c r="U2301" s="61"/>
      <c r="V2301" s="61"/>
      <c r="W2301" s="61"/>
      <c r="X2301" s="444">
        <v>2301</v>
      </c>
      <c r="Y2301" s="61"/>
      <c r="Z2301" s="61"/>
      <c r="AA2301" s="61"/>
      <c r="AB2301" s="61"/>
      <c r="AC2301" s="61"/>
      <c r="AD2301" s="61"/>
      <c r="AE2301" s="61"/>
      <c r="AF2301" s="61"/>
    </row>
    <row r="2302" spans="1:32" ht="12">
      <c r="A2302" s="83" t="s">
        <v>22082</v>
      </c>
      <c r="B2302" s="64" t="s">
        <v>22083</v>
      </c>
      <c r="C2302" s="71" t="s">
        <v>509</v>
      </c>
      <c r="D2302" s="79">
        <v>1</v>
      </c>
      <c r="E2302" s="79">
        <v>71.510000000000005</v>
      </c>
      <c r="F2302" s="79">
        <v>71.510000000000005</v>
      </c>
      <c r="G2302" s="320"/>
      <c r="H2302" s="178">
        <v>71.5</v>
      </c>
      <c r="I2302" s="178">
        <v>87.94</v>
      </c>
      <c r="J2302" s="70">
        <v>-16.429999999999993</v>
      </c>
      <c r="K2302" s="320"/>
      <c r="L2302" s="178">
        <v>48.730000000000004</v>
      </c>
      <c r="M2302" s="178">
        <v>22.78</v>
      </c>
      <c r="N2302" s="179">
        <v>0</v>
      </c>
      <c r="O2302" s="178">
        <v>71.510000000000005</v>
      </c>
      <c r="P2302" s="453"/>
      <c r="Q2302" s="61"/>
      <c r="R2302" s="298"/>
      <c r="S2302" s="669"/>
      <c r="T2302" s="61"/>
      <c r="X2302" s="444">
        <v>2302</v>
      </c>
    </row>
    <row r="2303" spans="1:32" ht="12">
      <c r="A2303" s="83" t="s">
        <v>22084</v>
      </c>
      <c r="B2303" s="64" t="s">
        <v>22085</v>
      </c>
      <c r="C2303" s="71" t="s">
        <v>10216</v>
      </c>
      <c r="D2303" s="79">
        <v>1</v>
      </c>
      <c r="E2303" s="79">
        <v>577.26</v>
      </c>
      <c r="F2303" s="79">
        <v>577.26</v>
      </c>
      <c r="G2303" s="445"/>
      <c r="H2303" s="178">
        <v>577.25</v>
      </c>
      <c r="I2303" s="178">
        <v>710.02</v>
      </c>
      <c r="J2303" s="70">
        <v>-132.76</v>
      </c>
      <c r="K2303" s="320"/>
      <c r="L2303" s="178"/>
      <c r="M2303" s="178">
        <v>577.26</v>
      </c>
      <c r="N2303" s="179">
        <v>0</v>
      </c>
      <c r="O2303" s="178">
        <v>577.26</v>
      </c>
      <c r="P2303" s="453"/>
      <c r="Q2303" s="61"/>
      <c r="R2303" s="298"/>
      <c r="S2303" s="669"/>
      <c r="X2303" s="444">
        <v>2303</v>
      </c>
    </row>
    <row r="2304" spans="1:32" ht="12">
      <c r="A2304" s="83" t="s">
        <v>39880</v>
      </c>
      <c r="B2304" s="64" t="s">
        <v>39881</v>
      </c>
      <c r="C2304" s="71"/>
      <c r="D2304" s="79" t="s">
        <v>40899</v>
      </c>
      <c r="E2304" s="79" t="s">
        <v>40899</v>
      </c>
      <c r="F2304" s="79"/>
      <c r="G2304" s="445"/>
      <c r="H2304" s="178"/>
      <c r="I2304" s="178"/>
      <c r="J2304" s="70"/>
      <c r="K2304" s="320"/>
      <c r="L2304" s="178"/>
      <c r="M2304" s="178"/>
      <c r="N2304" s="179"/>
      <c r="O2304" s="178"/>
      <c r="P2304" s="453"/>
      <c r="Q2304" s="61"/>
      <c r="R2304" s="298"/>
      <c r="S2304" s="669"/>
      <c r="X2304" s="444">
        <v>2304</v>
      </c>
    </row>
    <row r="2305" spans="1:24" ht="12">
      <c r="A2305" s="83" t="s">
        <v>11699</v>
      </c>
      <c r="B2305" s="64" t="s">
        <v>39882</v>
      </c>
      <c r="C2305" s="71"/>
      <c r="D2305" s="79" t="s">
        <v>40899</v>
      </c>
      <c r="E2305" s="79" t="s">
        <v>40899</v>
      </c>
      <c r="F2305" s="79"/>
      <c r="G2305" s="445"/>
      <c r="H2305" s="178"/>
      <c r="I2305" s="178"/>
      <c r="J2305" s="70"/>
      <c r="K2305" s="320"/>
      <c r="L2305" s="178"/>
      <c r="M2305" s="178"/>
      <c r="N2305" s="179"/>
      <c r="O2305" s="178"/>
      <c r="P2305" s="453"/>
      <c r="Q2305" s="61"/>
      <c r="R2305" s="298"/>
      <c r="S2305" s="669"/>
      <c r="X2305" s="444">
        <v>2305</v>
      </c>
    </row>
    <row r="2306" spans="1:24" ht="12">
      <c r="A2306" s="83" t="s">
        <v>22086</v>
      </c>
      <c r="B2306" s="64" t="s">
        <v>22087</v>
      </c>
      <c r="C2306" s="71" t="s">
        <v>509</v>
      </c>
      <c r="D2306" s="79">
        <v>1</v>
      </c>
      <c r="E2306" s="79">
        <v>71.34</v>
      </c>
      <c r="F2306" s="79">
        <v>71.34</v>
      </c>
      <c r="G2306" s="445"/>
      <c r="H2306" s="178">
        <v>71.319999999999993</v>
      </c>
      <c r="I2306" s="178">
        <v>87.72</v>
      </c>
      <c r="J2306" s="70">
        <v>-16.379999999999995</v>
      </c>
      <c r="K2306" s="320"/>
      <c r="L2306" s="178">
        <v>57.72</v>
      </c>
      <c r="M2306" s="178">
        <v>13.620000000000005</v>
      </c>
      <c r="N2306" s="179">
        <v>0</v>
      </c>
      <c r="O2306" s="178">
        <v>71.34</v>
      </c>
      <c r="P2306" s="453"/>
      <c r="Q2306" s="61"/>
      <c r="R2306" s="298"/>
      <c r="S2306" s="669"/>
      <c r="X2306" s="444">
        <v>2306</v>
      </c>
    </row>
    <row r="2307" spans="1:24" ht="12">
      <c r="A2307" s="83" t="s">
        <v>22088</v>
      </c>
      <c r="B2307" s="64" t="s">
        <v>39883</v>
      </c>
      <c r="C2307" s="71" t="s">
        <v>509</v>
      </c>
      <c r="D2307" s="79">
        <v>1</v>
      </c>
      <c r="E2307" s="79">
        <v>98.33</v>
      </c>
      <c r="F2307" s="79">
        <v>98.33</v>
      </c>
      <c r="G2307" s="445"/>
      <c r="H2307" s="178">
        <v>98.32</v>
      </c>
      <c r="I2307" s="178">
        <v>120.93</v>
      </c>
      <c r="J2307" s="70">
        <v>-22.600000000000009</v>
      </c>
      <c r="K2307" s="320"/>
      <c r="L2307" s="178">
        <v>62.18</v>
      </c>
      <c r="M2307" s="178">
        <v>36.15</v>
      </c>
      <c r="N2307" s="179">
        <v>0</v>
      </c>
      <c r="O2307" s="178">
        <v>98.33</v>
      </c>
      <c r="P2307" s="453"/>
      <c r="Q2307" s="61"/>
      <c r="R2307" s="298"/>
      <c r="S2307" s="669"/>
      <c r="X2307" s="444">
        <v>2307</v>
      </c>
    </row>
    <row r="2308" spans="1:24" ht="12">
      <c r="A2308" s="83" t="s">
        <v>22089</v>
      </c>
      <c r="B2308" s="64" t="s">
        <v>18724</v>
      </c>
      <c r="C2308" s="71" t="s">
        <v>509</v>
      </c>
      <c r="D2308" s="79">
        <v>1</v>
      </c>
      <c r="E2308" s="79">
        <v>12.419999999999998</v>
      </c>
      <c r="F2308" s="79">
        <v>12.42</v>
      </c>
      <c r="G2308" s="445"/>
      <c r="H2308" s="178">
        <v>12.41</v>
      </c>
      <c r="I2308" s="178">
        <v>15.27</v>
      </c>
      <c r="J2308" s="70">
        <v>-2.8500000000000014</v>
      </c>
      <c r="K2308" s="320"/>
      <c r="L2308" s="178">
        <v>2.71</v>
      </c>
      <c r="M2308" s="178">
        <v>9.7099999999999973</v>
      </c>
      <c r="N2308" s="179">
        <v>0</v>
      </c>
      <c r="O2308" s="178">
        <v>12.419999999999998</v>
      </c>
      <c r="P2308" s="453"/>
      <c r="Q2308" s="61"/>
      <c r="R2308" s="298"/>
      <c r="S2308" s="669"/>
      <c r="X2308" s="444">
        <v>2308</v>
      </c>
    </row>
    <row r="2309" spans="1:24" ht="24">
      <c r="A2309" s="83" t="s">
        <v>22090</v>
      </c>
      <c r="B2309" s="64" t="s">
        <v>22091</v>
      </c>
      <c r="C2309" s="71" t="s">
        <v>509</v>
      </c>
      <c r="D2309" s="79">
        <v>1</v>
      </c>
      <c r="E2309" s="79">
        <v>24.32</v>
      </c>
      <c r="F2309" s="79">
        <v>24.32</v>
      </c>
      <c r="G2309" s="445"/>
      <c r="H2309" s="178">
        <v>24.32</v>
      </c>
      <c r="I2309" s="178">
        <v>29.91</v>
      </c>
      <c r="J2309" s="70">
        <v>-5.59</v>
      </c>
      <c r="K2309" s="320"/>
      <c r="L2309" s="178">
        <v>12.52</v>
      </c>
      <c r="M2309" s="178">
        <v>11.8</v>
      </c>
      <c r="N2309" s="179">
        <v>0</v>
      </c>
      <c r="O2309" s="178">
        <v>24.32</v>
      </c>
      <c r="P2309" s="453"/>
      <c r="Q2309" s="61"/>
      <c r="R2309" s="298"/>
      <c r="S2309" s="669"/>
      <c r="X2309" s="444">
        <v>2309</v>
      </c>
    </row>
    <row r="2310" spans="1:24" ht="12">
      <c r="A2310" s="83" t="s">
        <v>22092</v>
      </c>
      <c r="B2310" s="64" t="s">
        <v>18726</v>
      </c>
      <c r="C2310" s="71" t="s">
        <v>10216</v>
      </c>
      <c r="D2310" s="79">
        <v>1</v>
      </c>
      <c r="E2310" s="79">
        <v>577.26</v>
      </c>
      <c r="F2310" s="79">
        <v>577.26</v>
      </c>
      <c r="G2310" s="445"/>
      <c r="H2310" s="178">
        <v>577.25</v>
      </c>
      <c r="I2310" s="178">
        <v>710.02</v>
      </c>
      <c r="J2310" s="70">
        <v>-132.76</v>
      </c>
      <c r="K2310" s="320"/>
      <c r="L2310" s="178"/>
      <c r="M2310" s="178">
        <v>577.26</v>
      </c>
      <c r="N2310" s="179">
        <v>0</v>
      </c>
      <c r="O2310" s="178">
        <v>577.26</v>
      </c>
      <c r="P2310" s="453"/>
      <c r="Q2310" s="61"/>
      <c r="R2310" s="298"/>
      <c r="S2310" s="669"/>
      <c r="X2310" s="444">
        <v>2310</v>
      </c>
    </row>
    <row r="2311" spans="1:24" ht="12">
      <c r="A2311" s="83" t="s">
        <v>11727</v>
      </c>
      <c r="B2311" s="64" t="s">
        <v>39884</v>
      </c>
      <c r="C2311" s="71"/>
      <c r="D2311" s="79" t="s">
        <v>40899</v>
      </c>
      <c r="E2311" s="79" t="s">
        <v>40899</v>
      </c>
      <c r="F2311" s="79"/>
      <c r="G2311" s="445"/>
      <c r="H2311" s="178"/>
      <c r="I2311" s="178"/>
      <c r="J2311" s="70"/>
      <c r="K2311" s="320"/>
      <c r="L2311" s="178"/>
      <c r="M2311" s="178"/>
      <c r="N2311" s="179"/>
      <c r="O2311" s="178"/>
      <c r="P2311" s="453"/>
      <c r="Q2311" s="61"/>
      <c r="R2311" s="298"/>
      <c r="S2311" s="669"/>
      <c r="X2311" s="444">
        <v>2311</v>
      </c>
    </row>
    <row r="2312" spans="1:24" ht="12">
      <c r="A2312" s="83" t="s">
        <v>22093</v>
      </c>
      <c r="B2312" s="64" t="s">
        <v>22094</v>
      </c>
      <c r="C2312" s="71" t="s">
        <v>509</v>
      </c>
      <c r="D2312" s="79">
        <v>1</v>
      </c>
      <c r="E2312" s="79">
        <v>313.81</v>
      </c>
      <c r="F2312" s="79">
        <v>313.81</v>
      </c>
      <c r="G2312" s="445"/>
      <c r="H2312" s="178">
        <v>313.8</v>
      </c>
      <c r="I2312" s="178">
        <v>385.98</v>
      </c>
      <c r="J2312" s="70">
        <v>-72.170000000000016</v>
      </c>
      <c r="K2312" s="320"/>
      <c r="L2312" s="178"/>
      <c r="M2312" s="178">
        <v>313.81</v>
      </c>
      <c r="N2312" s="179">
        <v>0</v>
      </c>
      <c r="O2312" s="178">
        <v>313.81</v>
      </c>
      <c r="P2312" s="453"/>
      <c r="Q2312" s="61"/>
      <c r="R2312" s="298"/>
      <c r="S2312" s="669"/>
      <c r="X2312" s="444">
        <v>2312</v>
      </c>
    </row>
    <row r="2313" spans="1:24" ht="12">
      <c r="A2313" s="83" t="s">
        <v>22095</v>
      </c>
      <c r="B2313" s="64" t="s">
        <v>22096</v>
      </c>
      <c r="C2313" s="71" t="s">
        <v>509</v>
      </c>
      <c r="D2313" s="79">
        <v>1</v>
      </c>
      <c r="E2313" s="79">
        <v>471.76</v>
      </c>
      <c r="F2313" s="79">
        <v>471.76</v>
      </c>
      <c r="G2313" s="445"/>
      <c r="H2313" s="178">
        <v>471.76</v>
      </c>
      <c r="I2313" s="178">
        <v>580.26</v>
      </c>
      <c r="J2313" s="70">
        <v>-108.5</v>
      </c>
      <c r="K2313" s="320"/>
      <c r="L2313" s="178"/>
      <c r="M2313" s="178">
        <v>471.76</v>
      </c>
      <c r="N2313" s="179">
        <v>0</v>
      </c>
      <c r="O2313" s="178">
        <v>471.76</v>
      </c>
      <c r="P2313" s="453"/>
      <c r="Q2313" s="61"/>
      <c r="R2313" s="298"/>
      <c r="S2313" s="669"/>
      <c r="X2313" s="444">
        <v>2313</v>
      </c>
    </row>
    <row r="2314" spans="1:24" ht="12">
      <c r="A2314" s="83" t="s">
        <v>22097</v>
      </c>
      <c r="B2314" s="64" t="s">
        <v>22098</v>
      </c>
      <c r="C2314" s="71" t="s">
        <v>509</v>
      </c>
      <c r="D2314" s="79">
        <v>1</v>
      </c>
      <c r="E2314" s="79">
        <v>151.85</v>
      </c>
      <c r="F2314" s="79">
        <v>151.85</v>
      </c>
      <c r="G2314" s="445"/>
      <c r="H2314" s="178">
        <v>151.85</v>
      </c>
      <c r="I2314" s="178">
        <v>186.77</v>
      </c>
      <c r="J2314" s="70">
        <v>-34.920000000000016</v>
      </c>
      <c r="K2314" s="320"/>
      <c r="L2314" s="178"/>
      <c r="M2314" s="178">
        <v>151.85</v>
      </c>
      <c r="N2314" s="179">
        <v>0</v>
      </c>
      <c r="O2314" s="178">
        <v>151.85</v>
      </c>
      <c r="P2314" s="453"/>
      <c r="Q2314" s="61"/>
      <c r="R2314" s="298"/>
      <c r="S2314" s="669"/>
      <c r="X2314" s="444">
        <v>2314</v>
      </c>
    </row>
    <row r="2315" spans="1:24" ht="12">
      <c r="A2315" s="83" t="s">
        <v>22099</v>
      </c>
      <c r="B2315" s="64" t="s">
        <v>22100</v>
      </c>
      <c r="C2315" s="71" t="s">
        <v>509</v>
      </c>
      <c r="D2315" s="79">
        <v>1</v>
      </c>
      <c r="E2315" s="79">
        <v>166.53</v>
      </c>
      <c r="F2315" s="79">
        <v>166.53</v>
      </c>
      <c r="G2315" s="445"/>
      <c r="H2315" s="178">
        <v>166.53</v>
      </c>
      <c r="I2315" s="178">
        <v>204.83</v>
      </c>
      <c r="J2315" s="70">
        <v>-38.300000000000011</v>
      </c>
      <c r="K2315" s="320"/>
      <c r="L2315" s="178"/>
      <c r="M2315" s="178">
        <v>166.53</v>
      </c>
      <c r="N2315" s="179">
        <v>0</v>
      </c>
      <c r="O2315" s="178">
        <v>166.53</v>
      </c>
      <c r="P2315" s="453"/>
      <c r="Q2315" s="61"/>
      <c r="R2315" s="298"/>
      <c r="S2315" s="669"/>
      <c r="X2315" s="444">
        <v>2315</v>
      </c>
    </row>
    <row r="2316" spans="1:24" ht="12">
      <c r="A2316" s="83" t="s">
        <v>22101</v>
      </c>
      <c r="B2316" s="64" t="s">
        <v>22102</v>
      </c>
      <c r="C2316" s="71" t="s">
        <v>509</v>
      </c>
      <c r="D2316" s="79">
        <v>1</v>
      </c>
      <c r="E2316" s="79">
        <v>63.2</v>
      </c>
      <c r="F2316" s="79">
        <v>63.2</v>
      </c>
      <c r="G2316" s="445"/>
      <c r="H2316" s="178">
        <v>63.2</v>
      </c>
      <c r="I2316" s="178">
        <v>77.73</v>
      </c>
      <c r="J2316" s="70">
        <v>-14.530000000000001</v>
      </c>
      <c r="K2316" s="320"/>
      <c r="L2316" s="178">
        <v>19.03</v>
      </c>
      <c r="M2316" s="178">
        <v>44.17</v>
      </c>
      <c r="N2316" s="179">
        <v>0</v>
      </c>
      <c r="O2316" s="178">
        <v>63.2</v>
      </c>
      <c r="P2316" s="453"/>
      <c r="Q2316" s="61"/>
      <c r="R2316" s="298"/>
      <c r="S2316" s="669"/>
      <c r="X2316" s="444">
        <v>2316</v>
      </c>
    </row>
    <row r="2317" spans="1:24" ht="12">
      <c r="A2317" s="83" t="s">
        <v>22103</v>
      </c>
      <c r="B2317" s="64" t="s">
        <v>22104</v>
      </c>
      <c r="C2317" s="71" t="s">
        <v>509</v>
      </c>
      <c r="D2317" s="79">
        <v>1</v>
      </c>
      <c r="E2317" s="79">
        <v>51.54</v>
      </c>
      <c r="F2317" s="79">
        <v>51.54</v>
      </c>
      <c r="G2317" s="445"/>
      <c r="H2317" s="178">
        <v>51.54</v>
      </c>
      <c r="I2317" s="178">
        <v>63.39</v>
      </c>
      <c r="J2317" s="70">
        <v>-11.850000000000001</v>
      </c>
      <c r="K2317" s="320"/>
      <c r="L2317" s="178">
        <v>19.03</v>
      </c>
      <c r="M2317" s="178">
        <v>32.51</v>
      </c>
      <c r="N2317" s="179">
        <v>0</v>
      </c>
      <c r="O2317" s="178">
        <v>51.54</v>
      </c>
      <c r="P2317" s="453"/>
      <c r="Q2317" s="61"/>
      <c r="R2317" s="298"/>
      <c r="S2317" s="669"/>
      <c r="X2317" s="444">
        <v>2317</v>
      </c>
    </row>
    <row r="2318" spans="1:24" ht="12">
      <c r="A2318" s="83" t="s">
        <v>22105</v>
      </c>
      <c r="B2318" s="64" t="s">
        <v>22106</v>
      </c>
      <c r="C2318" s="71" t="s">
        <v>509</v>
      </c>
      <c r="D2318" s="79">
        <v>1</v>
      </c>
      <c r="E2318" s="79">
        <v>166.19</v>
      </c>
      <c r="F2318" s="79">
        <v>166.19</v>
      </c>
      <c r="G2318" s="445"/>
      <c r="H2318" s="178">
        <v>166.19</v>
      </c>
      <c r="I2318" s="178">
        <v>204.41</v>
      </c>
      <c r="J2318" s="70">
        <v>-38.22</v>
      </c>
      <c r="K2318" s="320"/>
      <c r="L2318" s="178"/>
      <c r="M2318" s="178">
        <v>166.19</v>
      </c>
      <c r="N2318" s="179">
        <v>0</v>
      </c>
      <c r="O2318" s="178">
        <v>166.19</v>
      </c>
      <c r="P2318" s="453"/>
      <c r="Q2318" s="61"/>
      <c r="R2318" s="298"/>
      <c r="S2318" s="669"/>
      <c r="X2318" s="444">
        <v>2318</v>
      </c>
    </row>
    <row r="2319" spans="1:24" ht="24">
      <c r="A2319" s="63" t="s">
        <v>11731</v>
      </c>
      <c r="B2319" s="64" t="s">
        <v>22107</v>
      </c>
      <c r="C2319" s="71" t="s">
        <v>509</v>
      </c>
      <c r="D2319" s="79">
        <v>1</v>
      </c>
      <c r="E2319" s="79">
        <v>87.55</v>
      </c>
      <c r="F2319" s="79">
        <v>87.55</v>
      </c>
      <c r="G2319" s="320"/>
      <c r="H2319" s="178">
        <v>87.54</v>
      </c>
      <c r="I2319" s="178">
        <v>107.67</v>
      </c>
      <c r="J2319" s="70">
        <v>-20.120000000000005</v>
      </c>
      <c r="K2319" s="320"/>
      <c r="L2319" s="178">
        <v>17.54</v>
      </c>
      <c r="M2319" s="178">
        <v>70.009999999999991</v>
      </c>
      <c r="N2319" s="179">
        <v>0</v>
      </c>
      <c r="O2319" s="178">
        <v>87.549999999999983</v>
      </c>
      <c r="P2319" s="453"/>
      <c r="Q2319" s="61"/>
      <c r="R2319" s="298"/>
      <c r="S2319" s="669"/>
      <c r="T2319" s="73"/>
      <c r="X2319" s="444">
        <v>2319</v>
      </c>
    </row>
    <row r="2320" spans="1:24" ht="12">
      <c r="A2320" s="83" t="s">
        <v>22108</v>
      </c>
      <c r="B2320" s="64" t="s">
        <v>22027</v>
      </c>
      <c r="C2320" s="71" t="s">
        <v>509</v>
      </c>
      <c r="D2320" s="79">
        <v>1</v>
      </c>
      <c r="E2320" s="79">
        <v>29.59</v>
      </c>
      <c r="F2320" s="79">
        <v>29.59</v>
      </c>
      <c r="G2320" s="445"/>
      <c r="H2320" s="178">
        <v>29.59</v>
      </c>
      <c r="I2320" s="178">
        <v>36.4</v>
      </c>
      <c r="J2320" s="70">
        <v>-6.8099999999999987</v>
      </c>
      <c r="K2320" s="320"/>
      <c r="L2320" s="178">
        <v>4.46</v>
      </c>
      <c r="M2320" s="178">
        <v>25.13</v>
      </c>
      <c r="N2320" s="179">
        <v>0</v>
      </c>
      <c r="O2320" s="178">
        <v>29.59</v>
      </c>
      <c r="P2320" s="453"/>
      <c r="Q2320" s="61"/>
      <c r="R2320" s="298"/>
      <c r="S2320" s="669"/>
      <c r="X2320" s="444">
        <v>2320</v>
      </c>
    </row>
    <row r="2321" spans="1:32" ht="12">
      <c r="A2321" s="83" t="s">
        <v>22109</v>
      </c>
      <c r="B2321" s="64" t="s">
        <v>22110</v>
      </c>
      <c r="C2321" s="71" t="s">
        <v>121</v>
      </c>
      <c r="D2321" s="79">
        <v>1</v>
      </c>
      <c r="E2321" s="79">
        <v>708</v>
      </c>
      <c r="F2321" s="79">
        <v>708</v>
      </c>
      <c r="G2321" s="445"/>
      <c r="H2321" s="178">
        <v>707.99</v>
      </c>
      <c r="I2321" s="178">
        <v>870.83</v>
      </c>
      <c r="J2321" s="70">
        <v>-162.83000000000004</v>
      </c>
      <c r="K2321" s="320"/>
      <c r="L2321" s="178">
        <v>44.67</v>
      </c>
      <c r="M2321" s="178">
        <v>663.33</v>
      </c>
      <c r="N2321" s="179">
        <v>0</v>
      </c>
      <c r="O2321" s="178">
        <v>708</v>
      </c>
      <c r="P2321" s="453"/>
      <c r="Q2321" s="61"/>
      <c r="R2321" s="298"/>
      <c r="S2321" s="669"/>
      <c r="X2321" s="444">
        <v>2321</v>
      </c>
    </row>
    <row r="2322" spans="1:32" ht="12">
      <c r="A2322" s="83" t="s">
        <v>22111</v>
      </c>
      <c r="B2322" s="64" t="s">
        <v>22112</v>
      </c>
      <c r="C2322" s="71" t="s">
        <v>121</v>
      </c>
      <c r="D2322" s="79">
        <v>1</v>
      </c>
      <c r="E2322" s="79">
        <v>424.34999999999997</v>
      </c>
      <c r="F2322" s="79">
        <v>424.35</v>
      </c>
      <c r="G2322" s="445"/>
      <c r="H2322" s="178">
        <v>424.35</v>
      </c>
      <c r="I2322" s="178">
        <v>521.95000000000005</v>
      </c>
      <c r="J2322" s="70">
        <v>-97.60000000000008</v>
      </c>
      <c r="K2322" s="320"/>
      <c r="L2322" s="178">
        <v>4.46</v>
      </c>
      <c r="M2322" s="178">
        <v>419.89</v>
      </c>
      <c r="N2322" s="179">
        <v>0</v>
      </c>
      <c r="O2322" s="178">
        <v>424.34999999999997</v>
      </c>
      <c r="P2322" s="453"/>
      <c r="Q2322" s="61"/>
      <c r="R2322" s="298"/>
      <c r="S2322" s="669"/>
      <c r="U2322" s="61"/>
      <c r="V2322" s="61"/>
      <c r="W2322" s="61"/>
      <c r="X2322" s="444">
        <v>2322</v>
      </c>
      <c r="Y2322" s="61"/>
      <c r="Z2322" s="61"/>
      <c r="AA2322" s="61"/>
      <c r="AB2322" s="61"/>
      <c r="AC2322" s="61"/>
      <c r="AD2322" s="61"/>
      <c r="AE2322" s="61"/>
      <c r="AF2322" s="61"/>
    </row>
    <row r="2323" spans="1:32" ht="12">
      <c r="A2323" s="83" t="s">
        <v>22113</v>
      </c>
      <c r="B2323" s="64" t="s">
        <v>22114</v>
      </c>
      <c r="C2323" s="71" t="s">
        <v>509</v>
      </c>
      <c r="D2323" s="79">
        <v>1</v>
      </c>
      <c r="E2323" s="79">
        <v>166.95</v>
      </c>
      <c r="F2323" s="79">
        <v>166.95</v>
      </c>
      <c r="G2323" s="445"/>
      <c r="H2323" s="178">
        <v>166.94</v>
      </c>
      <c r="I2323" s="178">
        <v>205.34</v>
      </c>
      <c r="J2323" s="70">
        <v>-38.390000000000015</v>
      </c>
      <c r="K2323" s="320"/>
      <c r="L2323" s="178">
        <v>71.569999999999993</v>
      </c>
      <c r="M2323" s="178">
        <v>95.38</v>
      </c>
      <c r="N2323" s="179">
        <v>0</v>
      </c>
      <c r="O2323" s="178">
        <v>166.95</v>
      </c>
      <c r="P2323" s="453"/>
      <c r="Q2323" s="61"/>
      <c r="R2323" s="298"/>
      <c r="S2323" s="669"/>
      <c r="X2323" s="444">
        <v>2323</v>
      </c>
    </row>
    <row r="2324" spans="1:32" ht="12">
      <c r="A2324" s="83" t="s">
        <v>22115</v>
      </c>
      <c r="B2324" s="64" t="s">
        <v>22116</v>
      </c>
      <c r="C2324" s="71" t="s">
        <v>509</v>
      </c>
      <c r="D2324" s="79">
        <v>1</v>
      </c>
      <c r="E2324" s="79">
        <v>35.160000000000004</v>
      </c>
      <c r="F2324" s="79">
        <v>35.159999999999997</v>
      </c>
      <c r="G2324" s="445"/>
      <c r="H2324" s="178">
        <v>35.159999999999997</v>
      </c>
      <c r="I2324" s="178">
        <v>43.25</v>
      </c>
      <c r="J2324" s="70">
        <v>-8.0899999999999963</v>
      </c>
      <c r="K2324" s="320"/>
      <c r="L2324" s="178">
        <v>26.46</v>
      </c>
      <c r="M2324" s="178">
        <v>8.7000000000000028</v>
      </c>
      <c r="N2324" s="179">
        <v>0</v>
      </c>
      <c r="O2324" s="178">
        <v>35.160000000000004</v>
      </c>
      <c r="P2324" s="453"/>
      <c r="Q2324" s="61"/>
      <c r="R2324" s="298"/>
      <c r="S2324" s="669"/>
      <c r="X2324" s="444">
        <v>2324</v>
      </c>
    </row>
    <row r="2325" spans="1:32" ht="24">
      <c r="A2325" s="63" t="s">
        <v>22117</v>
      </c>
      <c r="B2325" s="64" t="s">
        <v>39885</v>
      </c>
      <c r="C2325" s="71" t="s">
        <v>509</v>
      </c>
      <c r="D2325" s="79">
        <v>1</v>
      </c>
      <c r="E2325" s="79">
        <v>36.11</v>
      </c>
      <c r="F2325" s="79">
        <v>36.11</v>
      </c>
      <c r="G2325" s="320"/>
      <c r="H2325" s="178">
        <v>36.11</v>
      </c>
      <c r="I2325" s="178">
        <v>44.41</v>
      </c>
      <c r="J2325" s="70">
        <v>-8.2999999999999972</v>
      </c>
      <c r="K2325" s="320"/>
      <c r="L2325" s="178">
        <v>20.18</v>
      </c>
      <c r="M2325" s="178">
        <v>15.93</v>
      </c>
      <c r="N2325" s="179">
        <v>0</v>
      </c>
      <c r="O2325" s="178">
        <v>36.11</v>
      </c>
      <c r="P2325" s="453"/>
      <c r="Q2325" s="61"/>
      <c r="R2325" s="298"/>
      <c r="S2325" s="669"/>
      <c r="T2325" s="73"/>
      <c r="X2325" s="444">
        <v>2325</v>
      </c>
    </row>
    <row r="2326" spans="1:32" ht="12">
      <c r="A2326" s="83" t="s">
        <v>22118</v>
      </c>
      <c r="B2326" s="64" t="s">
        <v>18726</v>
      </c>
      <c r="C2326" s="71" t="s">
        <v>10216</v>
      </c>
      <c r="D2326" s="79">
        <v>1</v>
      </c>
      <c r="E2326" s="79">
        <v>577.26</v>
      </c>
      <c r="F2326" s="79">
        <v>577.26</v>
      </c>
      <c r="G2326" s="445"/>
      <c r="H2326" s="178">
        <v>577.25</v>
      </c>
      <c r="I2326" s="178">
        <v>710.02</v>
      </c>
      <c r="J2326" s="70">
        <v>-132.76</v>
      </c>
      <c r="K2326" s="320"/>
      <c r="L2326" s="178"/>
      <c r="M2326" s="178">
        <v>577.26</v>
      </c>
      <c r="N2326" s="179">
        <v>0</v>
      </c>
      <c r="O2326" s="178">
        <v>577.26</v>
      </c>
      <c r="P2326" s="453"/>
      <c r="Q2326" s="61"/>
      <c r="R2326" s="298"/>
      <c r="S2326" s="669"/>
      <c r="X2326" s="444">
        <v>2326</v>
      </c>
    </row>
    <row r="2327" spans="1:32" ht="12">
      <c r="A2327" s="83" t="s">
        <v>11735</v>
      </c>
      <c r="B2327" s="64" t="s">
        <v>39886</v>
      </c>
      <c r="C2327" s="71"/>
      <c r="D2327" s="79" t="s">
        <v>40899</v>
      </c>
      <c r="E2327" s="79" t="s">
        <v>40899</v>
      </c>
      <c r="F2327" s="79"/>
      <c r="G2327" s="445"/>
      <c r="H2327" s="178"/>
      <c r="I2327" s="178"/>
      <c r="J2327" s="70"/>
      <c r="K2327" s="320"/>
      <c r="L2327" s="178"/>
      <c r="M2327" s="178"/>
      <c r="N2327" s="179"/>
      <c r="O2327" s="178"/>
      <c r="P2327" s="453"/>
      <c r="Q2327" s="61"/>
      <c r="R2327" s="298"/>
      <c r="S2327" s="669"/>
      <c r="X2327" s="444">
        <v>2327</v>
      </c>
    </row>
    <row r="2328" spans="1:32" s="61" customFormat="1" ht="12">
      <c r="A2328" s="83" t="s">
        <v>22119</v>
      </c>
      <c r="B2328" s="64" t="s">
        <v>22120</v>
      </c>
      <c r="C2328" s="71" t="s">
        <v>509</v>
      </c>
      <c r="D2328" s="79">
        <v>1</v>
      </c>
      <c r="E2328" s="79">
        <v>71.34</v>
      </c>
      <c r="F2328" s="79">
        <v>71.34</v>
      </c>
      <c r="G2328" s="445"/>
      <c r="H2328" s="178">
        <v>71.319999999999993</v>
      </c>
      <c r="I2328" s="178">
        <v>87.72</v>
      </c>
      <c r="J2328" s="70">
        <v>-16.379999999999995</v>
      </c>
      <c r="K2328" s="320"/>
      <c r="L2328" s="178">
        <v>57.72</v>
      </c>
      <c r="M2328" s="178">
        <v>13.620000000000005</v>
      </c>
      <c r="N2328" s="179">
        <v>0</v>
      </c>
      <c r="O2328" s="178">
        <v>71.34</v>
      </c>
      <c r="P2328" s="453"/>
      <c r="R2328" s="298"/>
      <c r="S2328" s="669"/>
      <c r="T2328" s="444"/>
      <c r="U2328" s="444"/>
      <c r="V2328" s="444"/>
      <c r="W2328" s="444"/>
      <c r="X2328" s="444">
        <v>2328</v>
      </c>
      <c r="Y2328" s="444"/>
      <c r="Z2328" s="444"/>
      <c r="AA2328" s="444"/>
      <c r="AB2328" s="444"/>
      <c r="AC2328" s="444"/>
      <c r="AD2328" s="444"/>
      <c r="AE2328" s="444"/>
      <c r="AF2328" s="444"/>
    </row>
    <row r="2329" spans="1:32" s="61" customFormat="1" ht="12">
      <c r="A2329" s="83" t="s">
        <v>22121</v>
      </c>
      <c r="B2329" s="64" t="s">
        <v>22122</v>
      </c>
      <c r="C2329" s="71" t="s">
        <v>509</v>
      </c>
      <c r="D2329" s="79">
        <v>1</v>
      </c>
      <c r="E2329" s="79">
        <v>98.33</v>
      </c>
      <c r="F2329" s="79">
        <v>98.33</v>
      </c>
      <c r="G2329" s="445"/>
      <c r="H2329" s="178">
        <v>98.32</v>
      </c>
      <c r="I2329" s="178">
        <v>120.93</v>
      </c>
      <c r="J2329" s="70">
        <v>-22.600000000000009</v>
      </c>
      <c r="K2329" s="320"/>
      <c r="L2329" s="178">
        <v>62.18</v>
      </c>
      <c r="M2329" s="178">
        <v>36.15</v>
      </c>
      <c r="N2329" s="179">
        <v>0</v>
      </c>
      <c r="O2329" s="178">
        <v>98.33</v>
      </c>
      <c r="P2329" s="453"/>
      <c r="R2329" s="298"/>
      <c r="S2329" s="669"/>
      <c r="T2329" s="444"/>
      <c r="U2329" s="444"/>
      <c r="V2329" s="444"/>
      <c r="W2329" s="444"/>
      <c r="X2329" s="444">
        <v>2329</v>
      </c>
      <c r="Y2329" s="444"/>
      <c r="Z2329" s="444"/>
      <c r="AA2329" s="444"/>
      <c r="AB2329" s="444"/>
      <c r="AC2329" s="444"/>
      <c r="AD2329" s="444"/>
      <c r="AE2329" s="444"/>
      <c r="AF2329" s="444"/>
    </row>
    <row r="2330" spans="1:32" s="61" customFormat="1" ht="12">
      <c r="A2330" s="83" t="s">
        <v>22123</v>
      </c>
      <c r="B2330" s="64" t="s">
        <v>22124</v>
      </c>
      <c r="C2330" s="71" t="s">
        <v>509</v>
      </c>
      <c r="D2330" s="79">
        <v>1</v>
      </c>
      <c r="E2330" s="79">
        <v>12.419999999999998</v>
      </c>
      <c r="F2330" s="79">
        <v>12.42</v>
      </c>
      <c r="G2330" s="445"/>
      <c r="H2330" s="178">
        <v>12.41</v>
      </c>
      <c r="I2330" s="178">
        <v>15.27</v>
      </c>
      <c r="J2330" s="70">
        <v>-2.8500000000000014</v>
      </c>
      <c r="K2330" s="320"/>
      <c r="L2330" s="178">
        <v>2.71</v>
      </c>
      <c r="M2330" s="178">
        <v>9.7099999999999973</v>
      </c>
      <c r="N2330" s="179">
        <v>0</v>
      </c>
      <c r="O2330" s="178">
        <v>12.419999999999998</v>
      </c>
      <c r="P2330" s="453"/>
      <c r="R2330" s="298"/>
      <c r="S2330" s="669"/>
      <c r="T2330" s="444"/>
      <c r="U2330" s="444"/>
      <c r="V2330" s="444"/>
      <c r="W2330" s="444"/>
      <c r="X2330" s="444">
        <v>2330</v>
      </c>
      <c r="Y2330" s="444"/>
      <c r="Z2330" s="444"/>
      <c r="AA2330" s="444"/>
      <c r="AB2330" s="444"/>
      <c r="AC2330" s="444"/>
      <c r="AD2330" s="444"/>
      <c r="AE2330" s="444"/>
      <c r="AF2330" s="444"/>
    </row>
    <row r="2331" spans="1:32" s="61" customFormat="1" ht="24">
      <c r="A2331" s="63" t="s">
        <v>22125</v>
      </c>
      <c r="B2331" s="64" t="s">
        <v>39887</v>
      </c>
      <c r="C2331" s="71" t="s">
        <v>509</v>
      </c>
      <c r="D2331" s="79">
        <v>1</v>
      </c>
      <c r="E2331" s="79">
        <v>64.289999999999992</v>
      </c>
      <c r="F2331" s="79">
        <v>64.290000000000006</v>
      </c>
      <c r="G2331" s="320"/>
      <c r="H2331" s="178">
        <v>64.28</v>
      </c>
      <c r="I2331" s="178">
        <v>79.06</v>
      </c>
      <c r="J2331" s="70">
        <v>-14.77000000000001</v>
      </c>
      <c r="K2331" s="320"/>
      <c r="L2331" s="178">
        <v>15.03</v>
      </c>
      <c r="M2331" s="178">
        <v>49.259999999999991</v>
      </c>
      <c r="N2331" s="179">
        <v>0</v>
      </c>
      <c r="O2331" s="178">
        <v>64.289999999999992</v>
      </c>
      <c r="P2331" s="453"/>
      <c r="R2331" s="298"/>
      <c r="S2331" s="669"/>
      <c r="T2331" s="73"/>
      <c r="U2331" s="444"/>
      <c r="V2331" s="444"/>
      <c r="W2331" s="444"/>
      <c r="X2331" s="444">
        <v>2331</v>
      </c>
      <c r="Y2331" s="444"/>
      <c r="Z2331" s="444"/>
      <c r="AA2331" s="444"/>
      <c r="AB2331" s="444"/>
      <c r="AC2331" s="444"/>
      <c r="AD2331" s="444"/>
      <c r="AE2331" s="444"/>
      <c r="AF2331" s="444"/>
    </row>
    <row r="2332" spans="1:32" ht="24">
      <c r="A2332" s="63" t="s">
        <v>22126</v>
      </c>
      <c r="B2332" s="64" t="s">
        <v>22127</v>
      </c>
      <c r="C2332" s="71" t="s">
        <v>509</v>
      </c>
      <c r="D2332" s="79">
        <v>1</v>
      </c>
      <c r="E2332" s="79">
        <v>27.83</v>
      </c>
      <c r="F2332" s="79">
        <v>27.83</v>
      </c>
      <c r="G2332" s="320"/>
      <c r="H2332" s="178">
        <v>27.83</v>
      </c>
      <c r="I2332" s="178">
        <v>34.229999999999997</v>
      </c>
      <c r="J2332" s="70">
        <v>-6.3999999999999986</v>
      </c>
      <c r="K2332" s="320"/>
      <c r="L2332" s="178">
        <v>12.52</v>
      </c>
      <c r="M2332" s="178">
        <v>15.309999999999999</v>
      </c>
      <c r="N2332" s="179">
        <v>0</v>
      </c>
      <c r="O2332" s="178">
        <v>27.83</v>
      </c>
      <c r="P2332" s="453"/>
      <c r="Q2332" s="61"/>
      <c r="R2332" s="298"/>
      <c r="S2332" s="669"/>
      <c r="T2332" s="73"/>
      <c r="X2332" s="444">
        <v>2332</v>
      </c>
    </row>
    <row r="2333" spans="1:32" ht="12">
      <c r="A2333" s="83" t="s">
        <v>22128</v>
      </c>
      <c r="B2333" s="64" t="s">
        <v>22129</v>
      </c>
      <c r="C2333" s="71" t="s">
        <v>509</v>
      </c>
      <c r="D2333" s="79">
        <v>1</v>
      </c>
      <c r="E2333" s="79">
        <v>16.86</v>
      </c>
      <c r="F2333" s="79">
        <v>16.86</v>
      </c>
      <c r="G2333" s="445"/>
      <c r="H2333" s="178">
        <v>16.850000000000001</v>
      </c>
      <c r="I2333" s="178">
        <v>20.72</v>
      </c>
      <c r="J2333" s="70">
        <v>-3.8599999999999994</v>
      </c>
      <c r="K2333" s="320"/>
      <c r="L2333" s="178">
        <v>5.59</v>
      </c>
      <c r="M2333" s="178">
        <v>11.27</v>
      </c>
      <c r="N2333" s="179">
        <v>0</v>
      </c>
      <c r="O2333" s="178">
        <v>16.86</v>
      </c>
      <c r="P2333" s="453"/>
      <c r="Q2333" s="61"/>
      <c r="R2333" s="298"/>
      <c r="S2333" s="669"/>
      <c r="X2333" s="444">
        <v>2333</v>
      </c>
    </row>
    <row r="2334" spans="1:32" ht="12">
      <c r="A2334" s="83" t="s">
        <v>22130</v>
      </c>
      <c r="B2334" s="64" t="s">
        <v>18726</v>
      </c>
      <c r="C2334" s="71" t="s">
        <v>10216</v>
      </c>
      <c r="D2334" s="79">
        <v>1</v>
      </c>
      <c r="E2334" s="79">
        <v>577.26</v>
      </c>
      <c r="F2334" s="79">
        <v>577.26</v>
      </c>
      <c r="G2334" s="445"/>
      <c r="H2334" s="178">
        <v>577.25</v>
      </c>
      <c r="I2334" s="178">
        <v>710.02</v>
      </c>
      <c r="J2334" s="70">
        <v>-132.76</v>
      </c>
      <c r="K2334" s="320"/>
      <c r="L2334" s="178"/>
      <c r="M2334" s="178">
        <v>577.26</v>
      </c>
      <c r="N2334" s="179">
        <v>0</v>
      </c>
      <c r="O2334" s="178">
        <v>577.26</v>
      </c>
      <c r="P2334" s="453"/>
      <c r="Q2334" s="61"/>
      <c r="R2334" s="298"/>
      <c r="S2334" s="669"/>
      <c r="X2334" s="444">
        <v>2334</v>
      </c>
    </row>
    <row r="2335" spans="1:32" ht="12">
      <c r="A2335" s="83" t="s">
        <v>11739</v>
      </c>
      <c r="B2335" s="64" t="s">
        <v>39888</v>
      </c>
      <c r="C2335" s="71"/>
      <c r="D2335" s="79" t="s">
        <v>40899</v>
      </c>
      <c r="E2335" s="79" t="s">
        <v>40899</v>
      </c>
      <c r="F2335" s="79"/>
      <c r="G2335" s="445"/>
      <c r="H2335" s="178"/>
      <c r="I2335" s="178"/>
      <c r="J2335" s="70"/>
      <c r="K2335" s="320"/>
      <c r="L2335" s="178"/>
      <c r="M2335" s="178"/>
      <c r="N2335" s="179"/>
      <c r="O2335" s="178"/>
      <c r="P2335" s="453"/>
      <c r="Q2335" s="61"/>
      <c r="R2335" s="298"/>
      <c r="S2335" s="669"/>
      <c r="X2335" s="444">
        <v>2335</v>
      </c>
    </row>
    <row r="2336" spans="1:32" ht="12">
      <c r="A2336" s="83" t="s">
        <v>22131</v>
      </c>
      <c r="B2336" s="64" t="s">
        <v>22132</v>
      </c>
      <c r="C2336" s="71" t="s">
        <v>165</v>
      </c>
      <c r="D2336" s="79">
        <v>1</v>
      </c>
      <c r="E2336" s="79">
        <v>67.94</v>
      </c>
      <c r="F2336" s="79">
        <v>67.94</v>
      </c>
      <c r="G2336" s="445"/>
      <c r="H2336" s="178">
        <v>67.930000000000007</v>
      </c>
      <c r="I2336" s="178">
        <v>83.56</v>
      </c>
      <c r="J2336" s="70">
        <v>-15.620000000000005</v>
      </c>
      <c r="K2336" s="320"/>
      <c r="L2336" s="178">
        <v>22.95</v>
      </c>
      <c r="M2336" s="178">
        <v>44.989999999999995</v>
      </c>
      <c r="N2336" s="179">
        <v>0</v>
      </c>
      <c r="O2336" s="178">
        <v>67.94</v>
      </c>
      <c r="P2336" s="453"/>
      <c r="Q2336" s="61"/>
      <c r="R2336" s="298"/>
      <c r="S2336" s="669"/>
      <c r="U2336" s="61"/>
      <c r="V2336" s="61"/>
      <c r="W2336" s="61"/>
      <c r="X2336" s="444">
        <v>2336</v>
      </c>
      <c r="Y2336" s="61"/>
      <c r="Z2336" s="61"/>
      <c r="AA2336" s="61"/>
      <c r="AB2336" s="61"/>
      <c r="AC2336" s="61"/>
      <c r="AD2336" s="61"/>
      <c r="AE2336" s="61"/>
      <c r="AF2336" s="61"/>
    </row>
    <row r="2337" spans="1:32" s="73" customFormat="1" ht="12">
      <c r="A2337" s="83" t="s">
        <v>22133</v>
      </c>
      <c r="B2337" s="64" t="s">
        <v>22134</v>
      </c>
      <c r="C2337" s="71" t="s">
        <v>165</v>
      </c>
      <c r="D2337" s="79">
        <v>1</v>
      </c>
      <c r="E2337" s="79">
        <v>114.9</v>
      </c>
      <c r="F2337" s="79">
        <v>114.9</v>
      </c>
      <c r="G2337" s="445"/>
      <c r="H2337" s="178">
        <v>114.89</v>
      </c>
      <c r="I2337" s="178">
        <v>141.32</v>
      </c>
      <c r="J2337" s="70">
        <v>-26.419999999999987</v>
      </c>
      <c r="K2337" s="320"/>
      <c r="L2337" s="178">
        <v>22.95</v>
      </c>
      <c r="M2337" s="178">
        <v>91.95</v>
      </c>
      <c r="N2337" s="179">
        <v>0</v>
      </c>
      <c r="O2337" s="178">
        <v>114.9</v>
      </c>
      <c r="P2337" s="453"/>
      <c r="Q2337" s="61"/>
      <c r="R2337" s="298"/>
      <c r="S2337" s="669"/>
      <c r="T2337" s="444"/>
      <c r="U2337" s="444"/>
      <c r="V2337" s="444"/>
      <c r="W2337" s="444"/>
      <c r="X2337" s="444">
        <v>2337</v>
      </c>
      <c r="Y2337" s="444"/>
      <c r="Z2337" s="444"/>
      <c r="AA2337" s="444"/>
      <c r="AB2337" s="444"/>
      <c r="AC2337" s="444"/>
      <c r="AD2337" s="444"/>
      <c r="AE2337" s="444"/>
      <c r="AF2337" s="444"/>
    </row>
    <row r="2338" spans="1:32" s="61" customFormat="1" ht="12">
      <c r="A2338" s="83" t="s">
        <v>22135</v>
      </c>
      <c r="B2338" s="64" t="s">
        <v>22136</v>
      </c>
      <c r="C2338" s="71" t="s">
        <v>7000</v>
      </c>
      <c r="D2338" s="79">
        <v>1</v>
      </c>
      <c r="E2338" s="79">
        <v>0.28000000000000003</v>
      </c>
      <c r="F2338" s="79">
        <v>0.28000000000000003</v>
      </c>
      <c r="G2338" s="445"/>
      <c r="H2338" s="178">
        <v>0.27</v>
      </c>
      <c r="I2338" s="178">
        <v>0.33</v>
      </c>
      <c r="J2338" s="70">
        <v>-4.9999999999999989E-2</v>
      </c>
      <c r="K2338" s="320"/>
      <c r="L2338" s="178">
        <v>0.09</v>
      </c>
      <c r="M2338" s="178">
        <v>0.19000000000000003</v>
      </c>
      <c r="N2338" s="179">
        <v>0</v>
      </c>
      <c r="O2338" s="178">
        <v>0.28000000000000003</v>
      </c>
      <c r="P2338" s="453"/>
      <c r="R2338" s="298"/>
      <c r="S2338" s="669"/>
      <c r="T2338" s="444"/>
      <c r="U2338" s="444"/>
      <c r="V2338" s="444"/>
      <c r="W2338" s="444"/>
      <c r="X2338" s="444">
        <v>2338</v>
      </c>
      <c r="Y2338" s="444"/>
      <c r="Z2338" s="444"/>
      <c r="AA2338" s="444"/>
      <c r="AB2338" s="444"/>
      <c r="AC2338" s="444"/>
      <c r="AD2338" s="444"/>
      <c r="AE2338" s="444"/>
      <c r="AF2338" s="444"/>
    </row>
    <row r="2339" spans="1:32" s="61" customFormat="1" ht="12">
      <c r="A2339" s="83" t="s">
        <v>22137</v>
      </c>
      <c r="B2339" s="64" t="s">
        <v>22138</v>
      </c>
      <c r="C2339" s="71" t="s">
        <v>165</v>
      </c>
      <c r="D2339" s="79">
        <v>1</v>
      </c>
      <c r="E2339" s="79">
        <v>14.440000000000001</v>
      </c>
      <c r="F2339" s="79">
        <v>14.44</v>
      </c>
      <c r="G2339" s="445"/>
      <c r="H2339" s="178">
        <v>14.42</v>
      </c>
      <c r="I2339" s="178">
        <v>17.739999999999998</v>
      </c>
      <c r="J2339" s="70">
        <v>-3.2999999999999972</v>
      </c>
      <c r="K2339" s="320"/>
      <c r="L2339" s="178">
        <v>7.66</v>
      </c>
      <c r="M2339" s="178">
        <v>6.7800000000000011</v>
      </c>
      <c r="N2339" s="179">
        <v>0</v>
      </c>
      <c r="O2339" s="178">
        <v>14.440000000000001</v>
      </c>
      <c r="P2339" s="453"/>
      <c r="R2339" s="298"/>
      <c r="S2339" s="669"/>
      <c r="T2339" s="444"/>
      <c r="U2339" s="444"/>
      <c r="V2339" s="444"/>
      <c r="W2339" s="444"/>
      <c r="X2339" s="444">
        <v>2339</v>
      </c>
      <c r="Y2339" s="444"/>
      <c r="Z2339" s="444"/>
      <c r="AA2339" s="444"/>
      <c r="AB2339" s="444"/>
      <c r="AC2339" s="444"/>
      <c r="AD2339" s="444"/>
      <c r="AE2339" s="444"/>
      <c r="AF2339" s="444"/>
    </row>
    <row r="2340" spans="1:32" s="61" customFormat="1" ht="12">
      <c r="A2340" s="83" t="s">
        <v>22139</v>
      </c>
      <c r="B2340" s="64" t="s">
        <v>22140</v>
      </c>
      <c r="C2340" s="71" t="s">
        <v>165</v>
      </c>
      <c r="D2340" s="79">
        <v>1</v>
      </c>
      <c r="E2340" s="79">
        <v>8.11</v>
      </c>
      <c r="F2340" s="79">
        <v>8.11</v>
      </c>
      <c r="G2340" s="445"/>
      <c r="H2340" s="178">
        <v>8.1</v>
      </c>
      <c r="I2340" s="178">
        <v>9.9600000000000009</v>
      </c>
      <c r="J2340" s="70">
        <v>-1.8500000000000014</v>
      </c>
      <c r="K2340" s="320"/>
      <c r="L2340" s="178">
        <v>7.66</v>
      </c>
      <c r="M2340" s="178">
        <v>0.44999999999999929</v>
      </c>
      <c r="N2340" s="179">
        <v>0</v>
      </c>
      <c r="O2340" s="178">
        <v>8.11</v>
      </c>
      <c r="P2340" s="453"/>
      <c r="R2340" s="298"/>
      <c r="S2340" s="669"/>
      <c r="T2340" s="444"/>
      <c r="X2340" s="444">
        <v>2340</v>
      </c>
    </row>
    <row r="2341" spans="1:32" ht="12">
      <c r="A2341" s="83" t="s">
        <v>22141</v>
      </c>
      <c r="B2341" s="64" t="s">
        <v>22142</v>
      </c>
      <c r="C2341" s="71" t="s">
        <v>165</v>
      </c>
      <c r="D2341" s="79">
        <v>1</v>
      </c>
      <c r="E2341" s="79">
        <v>172.47</v>
      </c>
      <c r="F2341" s="79">
        <v>172.47</v>
      </c>
      <c r="G2341" s="445"/>
      <c r="H2341" s="178">
        <v>172.46</v>
      </c>
      <c r="I2341" s="178">
        <v>212.13</v>
      </c>
      <c r="J2341" s="70">
        <v>-39.659999999999997</v>
      </c>
      <c r="K2341" s="320"/>
      <c r="L2341" s="178"/>
      <c r="M2341" s="178">
        <v>172.47</v>
      </c>
      <c r="N2341" s="179">
        <v>0</v>
      </c>
      <c r="O2341" s="178">
        <v>172.47</v>
      </c>
      <c r="P2341" s="453"/>
      <c r="Q2341" s="61"/>
      <c r="R2341" s="298"/>
      <c r="S2341" s="669"/>
      <c r="X2341" s="444">
        <v>2341</v>
      </c>
    </row>
    <row r="2342" spans="1:32" ht="12">
      <c r="A2342" s="83" t="s">
        <v>22143</v>
      </c>
      <c r="B2342" s="64" t="s">
        <v>22144</v>
      </c>
      <c r="C2342" s="71" t="s">
        <v>165</v>
      </c>
      <c r="D2342" s="79">
        <v>1</v>
      </c>
      <c r="E2342" s="79">
        <v>164</v>
      </c>
      <c r="F2342" s="79">
        <v>164</v>
      </c>
      <c r="G2342" s="445"/>
      <c r="H2342" s="178">
        <v>164</v>
      </c>
      <c r="I2342" s="178">
        <v>201.72</v>
      </c>
      <c r="J2342" s="70">
        <v>-37.72</v>
      </c>
      <c r="K2342" s="320"/>
      <c r="L2342" s="178"/>
      <c r="M2342" s="178">
        <v>164</v>
      </c>
      <c r="N2342" s="179">
        <v>0</v>
      </c>
      <c r="O2342" s="178">
        <v>164</v>
      </c>
      <c r="P2342" s="453"/>
      <c r="Q2342" s="61"/>
      <c r="R2342" s="298"/>
      <c r="S2342" s="669"/>
      <c r="X2342" s="444">
        <v>2342</v>
      </c>
    </row>
    <row r="2343" spans="1:32" ht="12">
      <c r="A2343" s="83" t="s">
        <v>22145</v>
      </c>
      <c r="B2343" s="64" t="s">
        <v>22146</v>
      </c>
      <c r="C2343" s="71" t="s">
        <v>165</v>
      </c>
      <c r="D2343" s="79">
        <v>1</v>
      </c>
      <c r="E2343" s="79">
        <v>56.150000000000006</v>
      </c>
      <c r="F2343" s="79">
        <v>56.15</v>
      </c>
      <c r="G2343" s="445"/>
      <c r="H2343" s="178">
        <v>56.14</v>
      </c>
      <c r="I2343" s="178">
        <v>69.05</v>
      </c>
      <c r="J2343" s="70">
        <v>-12.899999999999991</v>
      </c>
      <c r="K2343" s="320"/>
      <c r="L2343" s="178">
        <v>39.540000000000006</v>
      </c>
      <c r="M2343" s="178">
        <v>16.61</v>
      </c>
      <c r="N2343" s="179">
        <v>0</v>
      </c>
      <c r="O2343" s="178">
        <v>56.150000000000006</v>
      </c>
      <c r="P2343" s="453"/>
      <c r="Q2343" s="61"/>
      <c r="R2343" s="298"/>
      <c r="S2343" s="669"/>
      <c r="X2343" s="444">
        <v>2343</v>
      </c>
    </row>
    <row r="2344" spans="1:32" ht="12">
      <c r="A2344" s="83" t="s">
        <v>22147</v>
      </c>
      <c r="B2344" s="64" t="s">
        <v>22148</v>
      </c>
      <c r="C2344" s="71" t="s">
        <v>165</v>
      </c>
      <c r="D2344" s="79">
        <v>1</v>
      </c>
      <c r="E2344" s="79">
        <v>33.68</v>
      </c>
      <c r="F2344" s="79">
        <v>33.68</v>
      </c>
      <c r="G2344" s="445"/>
      <c r="H2344" s="178">
        <v>33.67</v>
      </c>
      <c r="I2344" s="178">
        <v>41.42</v>
      </c>
      <c r="J2344" s="70">
        <v>-7.740000000000002</v>
      </c>
      <c r="K2344" s="320"/>
      <c r="L2344" s="178">
        <v>14.83</v>
      </c>
      <c r="M2344" s="178">
        <v>18.850000000000001</v>
      </c>
      <c r="N2344" s="179">
        <v>0</v>
      </c>
      <c r="O2344" s="178">
        <v>33.68</v>
      </c>
      <c r="P2344" s="453"/>
      <c r="Q2344" s="61"/>
      <c r="R2344" s="298"/>
      <c r="S2344" s="669"/>
      <c r="X2344" s="444">
        <v>2344</v>
      </c>
    </row>
    <row r="2345" spans="1:32" s="61" customFormat="1" ht="12">
      <c r="A2345" s="83" t="s">
        <v>22149</v>
      </c>
      <c r="B2345" s="64" t="s">
        <v>22150</v>
      </c>
      <c r="C2345" s="71" t="s">
        <v>10216</v>
      </c>
      <c r="D2345" s="79">
        <v>1</v>
      </c>
      <c r="E2345" s="79">
        <v>577.26</v>
      </c>
      <c r="F2345" s="79">
        <v>577.26</v>
      </c>
      <c r="G2345" s="445"/>
      <c r="H2345" s="178">
        <v>577.25</v>
      </c>
      <c r="I2345" s="178">
        <v>710.02</v>
      </c>
      <c r="J2345" s="70">
        <v>-132.76</v>
      </c>
      <c r="K2345" s="320"/>
      <c r="L2345" s="178"/>
      <c r="M2345" s="178">
        <v>577.26</v>
      </c>
      <c r="N2345" s="179">
        <v>0</v>
      </c>
      <c r="O2345" s="178">
        <v>577.26</v>
      </c>
      <c r="P2345" s="453"/>
      <c r="R2345" s="298"/>
      <c r="S2345" s="669"/>
      <c r="T2345" s="444"/>
      <c r="U2345" s="444"/>
      <c r="V2345" s="444"/>
      <c r="W2345" s="444"/>
      <c r="X2345" s="444">
        <v>2345</v>
      </c>
      <c r="Y2345" s="444"/>
      <c r="Z2345" s="444"/>
      <c r="AA2345" s="444"/>
      <c r="AB2345" s="444"/>
      <c r="AC2345" s="444"/>
      <c r="AD2345" s="444"/>
      <c r="AE2345" s="444"/>
      <c r="AF2345" s="444"/>
    </row>
    <row r="2346" spans="1:32" s="61" customFormat="1" ht="12">
      <c r="A2346" s="83" t="s">
        <v>39889</v>
      </c>
      <c r="B2346" s="64" t="s">
        <v>39518</v>
      </c>
      <c r="C2346" s="71"/>
      <c r="D2346" s="79" t="s">
        <v>40899</v>
      </c>
      <c r="E2346" s="79" t="s">
        <v>40899</v>
      </c>
      <c r="F2346" s="79"/>
      <c r="G2346" s="445"/>
      <c r="H2346" s="178"/>
      <c r="I2346" s="178"/>
      <c r="J2346" s="70"/>
      <c r="K2346" s="320"/>
      <c r="L2346" s="178"/>
      <c r="M2346" s="178"/>
      <c r="N2346" s="179"/>
      <c r="O2346" s="178"/>
      <c r="P2346" s="453"/>
      <c r="R2346" s="298"/>
      <c r="S2346" s="669"/>
      <c r="T2346" s="444"/>
      <c r="U2346" s="444"/>
      <c r="V2346" s="444"/>
      <c r="W2346" s="444"/>
      <c r="X2346" s="444">
        <v>2346</v>
      </c>
      <c r="Y2346" s="444"/>
      <c r="Z2346" s="444"/>
      <c r="AA2346" s="444"/>
      <c r="AB2346" s="444"/>
      <c r="AC2346" s="444"/>
      <c r="AD2346" s="444"/>
      <c r="AE2346" s="444"/>
      <c r="AF2346" s="444"/>
    </row>
    <row r="2347" spans="1:32" ht="12">
      <c r="A2347" s="83" t="s">
        <v>22151</v>
      </c>
      <c r="B2347" s="64" t="s">
        <v>39890</v>
      </c>
      <c r="C2347" s="71" t="s">
        <v>509</v>
      </c>
      <c r="D2347" s="79">
        <v>1</v>
      </c>
      <c r="E2347" s="79">
        <v>11.17</v>
      </c>
      <c r="F2347" s="79">
        <v>11.17</v>
      </c>
      <c r="G2347" s="445"/>
      <c r="H2347" s="178">
        <v>11.16</v>
      </c>
      <c r="I2347" s="178">
        <v>13.73</v>
      </c>
      <c r="J2347" s="70">
        <v>-2.5600000000000005</v>
      </c>
      <c r="K2347" s="320"/>
      <c r="L2347" s="178">
        <v>11.17</v>
      </c>
      <c r="M2347" s="178">
        <v>0</v>
      </c>
      <c r="N2347" s="179">
        <v>0</v>
      </c>
      <c r="O2347" s="178">
        <v>11.17</v>
      </c>
      <c r="P2347" s="453"/>
      <c r="Q2347" s="61"/>
      <c r="R2347" s="298"/>
      <c r="S2347" s="669"/>
      <c r="X2347" s="444">
        <v>2347</v>
      </c>
    </row>
    <row r="2348" spans="1:32" ht="12">
      <c r="A2348" s="83" t="s">
        <v>22152</v>
      </c>
      <c r="B2348" s="64" t="s">
        <v>22153</v>
      </c>
      <c r="C2348" s="71" t="s">
        <v>509</v>
      </c>
      <c r="D2348" s="79">
        <v>1</v>
      </c>
      <c r="E2348" s="79">
        <v>13.41</v>
      </c>
      <c r="F2348" s="79">
        <v>13.41</v>
      </c>
      <c r="G2348" s="445"/>
      <c r="H2348" s="178">
        <v>13.4</v>
      </c>
      <c r="I2348" s="178">
        <v>16.48</v>
      </c>
      <c r="J2348" s="70">
        <v>-3.0700000000000003</v>
      </c>
      <c r="K2348" s="320"/>
      <c r="L2348" s="178">
        <v>13.41</v>
      </c>
      <c r="M2348" s="178">
        <v>0</v>
      </c>
      <c r="N2348" s="179">
        <v>0</v>
      </c>
      <c r="O2348" s="178">
        <v>13.41</v>
      </c>
      <c r="P2348" s="453"/>
      <c r="Q2348" s="61"/>
      <c r="R2348" s="298"/>
      <c r="S2348" s="669"/>
      <c r="X2348" s="444">
        <v>2348</v>
      </c>
    </row>
    <row r="2349" spans="1:32" ht="12">
      <c r="A2349" s="83" t="s">
        <v>22154</v>
      </c>
      <c r="B2349" s="64" t="s">
        <v>22155</v>
      </c>
      <c r="C2349" s="71" t="s">
        <v>509</v>
      </c>
      <c r="D2349" s="79">
        <v>1</v>
      </c>
      <c r="E2349" s="79">
        <v>2.2400000000000002</v>
      </c>
      <c r="F2349" s="79">
        <v>2.2400000000000002</v>
      </c>
      <c r="G2349" s="445"/>
      <c r="H2349" s="178">
        <v>2.23</v>
      </c>
      <c r="I2349" s="178">
        <v>2.74</v>
      </c>
      <c r="J2349" s="70">
        <v>-0.5</v>
      </c>
      <c r="K2349" s="320"/>
      <c r="L2349" s="178">
        <v>2.2400000000000002</v>
      </c>
      <c r="M2349" s="178">
        <v>0</v>
      </c>
      <c r="N2349" s="179">
        <v>0</v>
      </c>
      <c r="O2349" s="178">
        <v>2.2400000000000002</v>
      </c>
      <c r="P2349" s="453"/>
      <c r="Q2349" s="61"/>
      <c r="R2349" s="298"/>
      <c r="S2349" s="669"/>
      <c r="X2349" s="444">
        <v>2349</v>
      </c>
    </row>
    <row r="2350" spans="1:32" ht="12">
      <c r="A2350" s="83" t="s">
        <v>22156</v>
      </c>
      <c r="B2350" s="64" t="s">
        <v>22157</v>
      </c>
      <c r="C2350" s="71" t="s">
        <v>509</v>
      </c>
      <c r="D2350" s="79">
        <v>1</v>
      </c>
      <c r="E2350" s="79">
        <v>1.1099999999999999</v>
      </c>
      <c r="F2350" s="79">
        <v>1.1100000000000001</v>
      </c>
      <c r="G2350" s="445"/>
      <c r="H2350" s="178">
        <v>1.1100000000000001</v>
      </c>
      <c r="I2350" s="178">
        <v>1.37</v>
      </c>
      <c r="J2350" s="70">
        <v>-0.26000000000000023</v>
      </c>
      <c r="K2350" s="320"/>
      <c r="L2350" s="178">
        <v>1.1099999999999999</v>
      </c>
      <c r="M2350" s="178">
        <v>0</v>
      </c>
      <c r="N2350" s="179">
        <v>0</v>
      </c>
      <c r="O2350" s="178">
        <v>1.1099999999999999</v>
      </c>
      <c r="P2350" s="453"/>
      <c r="Q2350" s="61"/>
      <c r="R2350" s="298"/>
      <c r="S2350" s="669"/>
      <c r="X2350" s="444">
        <v>2350</v>
      </c>
    </row>
    <row r="2351" spans="1:32" ht="12">
      <c r="A2351" s="83" t="s">
        <v>22158</v>
      </c>
      <c r="B2351" s="64" t="s">
        <v>22159</v>
      </c>
      <c r="C2351" s="71" t="s">
        <v>509</v>
      </c>
      <c r="D2351" s="79">
        <v>1</v>
      </c>
      <c r="E2351" s="79">
        <v>11.17</v>
      </c>
      <c r="F2351" s="79">
        <v>11.17</v>
      </c>
      <c r="G2351" s="445"/>
      <c r="H2351" s="178">
        <v>11.16</v>
      </c>
      <c r="I2351" s="178">
        <v>13.73</v>
      </c>
      <c r="J2351" s="70">
        <v>-2.5600000000000005</v>
      </c>
      <c r="K2351" s="320"/>
      <c r="L2351" s="178">
        <v>11.17</v>
      </c>
      <c r="M2351" s="178">
        <v>0</v>
      </c>
      <c r="N2351" s="179">
        <v>0</v>
      </c>
      <c r="O2351" s="178">
        <v>11.17</v>
      </c>
      <c r="P2351" s="453"/>
      <c r="Q2351" s="61"/>
      <c r="R2351" s="298"/>
      <c r="S2351" s="669"/>
      <c r="X2351" s="444">
        <v>2351</v>
      </c>
    </row>
    <row r="2352" spans="1:32" ht="12">
      <c r="A2352" s="83" t="s">
        <v>22160</v>
      </c>
      <c r="B2352" s="64" t="s">
        <v>22161</v>
      </c>
      <c r="C2352" s="71" t="s">
        <v>165</v>
      </c>
      <c r="D2352" s="79">
        <v>1</v>
      </c>
      <c r="E2352" s="79">
        <v>4.46</v>
      </c>
      <c r="F2352" s="79">
        <v>4.46</v>
      </c>
      <c r="G2352" s="445"/>
      <c r="H2352" s="178">
        <v>4.46</v>
      </c>
      <c r="I2352" s="178">
        <v>5.49</v>
      </c>
      <c r="J2352" s="70">
        <v>-1.0300000000000002</v>
      </c>
      <c r="K2352" s="320"/>
      <c r="L2352" s="178">
        <v>4.46</v>
      </c>
      <c r="M2352" s="178">
        <v>0</v>
      </c>
      <c r="N2352" s="179">
        <v>0</v>
      </c>
      <c r="O2352" s="178">
        <v>4.46</v>
      </c>
      <c r="P2352" s="453"/>
      <c r="Q2352" s="61"/>
      <c r="R2352" s="298"/>
      <c r="S2352" s="669"/>
      <c r="X2352" s="444">
        <v>2352</v>
      </c>
    </row>
    <row r="2353" spans="1:32" ht="12">
      <c r="A2353" s="83" t="s">
        <v>22162</v>
      </c>
      <c r="B2353" s="64" t="s">
        <v>18570</v>
      </c>
      <c r="C2353" s="71" t="s">
        <v>10216</v>
      </c>
      <c r="D2353" s="79">
        <v>1</v>
      </c>
      <c r="E2353" s="79">
        <v>577.26</v>
      </c>
      <c r="F2353" s="79">
        <v>577.26</v>
      </c>
      <c r="G2353" s="445"/>
      <c r="H2353" s="178">
        <v>577.25</v>
      </c>
      <c r="I2353" s="178">
        <v>710.02</v>
      </c>
      <c r="J2353" s="70">
        <v>-132.76</v>
      </c>
      <c r="K2353" s="320"/>
      <c r="L2353" s="178"/>
      <c r="M2353" s="178">
        <v>577.26</v>
      </c>
      <c r="N2353" s="179">
        <v>0</v>
      </c>
      <c r="O2353" s="178">
        <v>577.26</v>
      </c>
      <c r="P2353" s="453"/>
      <c r="Q2353" s="61"/>
      <c r="R2353" s="298"/>
      <c r="S2353" s="669"/>
      <c r="X2353" s="444">
        <v>2353</v>
      </c>
    </row>
    <row r="2354" spans="1:32" ht="12">
      <c r="A2354" s="83" t="s">
        <v>39891</v>
      </c>
      <c r="B2354" s="64" t="s">
        <v>39520</v>
      </c>
      <c r="C2354" s="71"/>
      <c r="D2354" s="79" t="s">
        <v>40899</v>
      </c>
      <c r="E2354" s="79" t="s">
        <v>40899</v>
      </c>
      <c r="F2354" s="79"/>
      <c r="G2354" s="445"/>
      <c r="H2354" s="178"/>
      <c r="I2354" s="178"/>
      <c r="J2354" s="70"/>
      <c r="K2354" s="320"/>
      <c r="L2354" s="178"/>
      <c r="M2354" s="178"/>
      <c r="N2354" s="179"/>
      <c r="O2354" s="178"/>
      <c r="P2354" s="453"/>
      <c r="Q2354" s="61"/>
      <c r="R2354" s="298"/>
      <c r="S2354" s="669"/>
      <c r="X2354" s="444">
        <v>2354</v>
      </c>
    </row>
    <row r="2355" spans="1:32" ht="24">
      <c r="A2355" s="83" t="s">
        <v>22163</v>
      </c>
      <c r="B2355" s="64" t="s">
        <v>22164</v>
      </c>
      <c r="C2355" s="71" t="s">
        <v>509</v>
      </c>
      <c r="D2355" s="79">
        <v>1</v>
      </c>
      <c r="E2355" s="79">
        <v>6.7</v>
      </c>
      <c r="F2355" s="79">
        <v>6.7</v>
      </c>
      <c r="G2355" s="445"/>
      <c r="H2355" s="178">
        <v>6.7</v>
      </c>
      <c r="I2355" s="178">
        <v>8.24</v>
      </c>
      <c r="J2355" s="70">
        <v>-1.54</v>
      </c>
      <c r="K2355" s="320"/>
      <c r="L2355" s="178">
        <v>6.7</v>
      </c>
      <c r="M2355" s="178">
        <v>0</v>
      </c>
      <c r="N2355" s="179">
        <v>0</v>
      </c>
      <c r="O2355" s="178">
        <v>6.7</v>
      </c>
      <c r="P2355" s="453"/>
      <c r="Q2355" s="61"/>
      <c r="R2355" s="298"/>
      <c r="S2355" s="669"/>
      <c r="X2355" s="444">
        <v>2355</v>
      </c>
    </row>
    <row r="2356" spans="1:32" ht="24">
      <c r="A2356" s="83" t="s">
        <v>22165</v>
      </c>
      <c r="B2356" s="64" t="s">
        <v>22166</v>
      </c>
      <c r="C2356" s="71" t="s">
        <v>509</v>
      </c>
      <c r="D2356" s="79">
        <v>1</v>
      </c>
      <c r="E2356" s="79">
        <v>2.2400000000000002</v>
      </c>
      <c r="F2356" s="79">
        <v>2.2400000000000002</v>
      </c>
      <c r="G2356" s="445"/>
      <c r="H2356" s="178">
        <v>2.23</v>
      </c>
      <c r="I2356" s="178">
        <v>2.74</v>
      </c>
      <c r="J2356" s="70">
        <v>-0.5</v>
      </c>
      <c r="K2356" s="320"/>
      <c r="L2356" s="178">
        <v>2.2400000000000002</v>
      </c>
      <c r="M2356" s="178">
        <v>0</v>
      </c>
      <c r="N2356" s="179">
        <v>0</v>
      </c>
      <c r="O2356" s="178">
        <v>2.2400000000000002</v>
      </c>
      <c r="P2356" s="453"/>
      <c r="Q2356" s="61"/>
      <c r="R2356" s="298"/>
      <c r="S2356" s="669"/>
      <c r="X2356" s="444">
        <v>2356</v>
      </c>
    </row>
    <row r="2357" spans="1:32" ht="12">
      <c r="A2357" s="83" t="s">
        <v>22167</v>
      </c>
      <c r="B2357" s="64" t="s">
        <v>18572</v>
      </c>
      <c r="C2357" s="71" t="s">
        <v>10216</v>
      </c>
      <c r="D2357" s="79">
        <v>1</v>
      </c>
      <c r="E2357" s="79">
        <v>577.26</v>
      </c>
      <c r="F2357" s="79">
        <v>577.26</v>
      </c>
      <c r="G2357" s="445"/>
      <c r="H2357" s="178">
        <v>577.25</v>
      </c>
      <c r="I2357" s="178">
        <v>710.02</v>
      </c>
      <c r="J2357" s="70">
        <v>-132.76</v>
      </c>
      <c r="K2357" s="320"/>
      <c r="L2357" s="178"/>
      <c r="M2357" s="178">
        <v>577.26</v>
      </c>
      <c r="N2357" s="179">
        <v>0</v>
      </c>
      <c r="O2357" s="178">
        <v>577.26</v>
      </c>
      <c r="P2357" s="453"/>
      <c r="Q2357" s="61"/>
      <c r="R2357" s="298"/>
      <c r="S2357" s="669"/>
      <c r="X2357" s="444">
        <v>2357</v>
      </c>
    </row>
    <row r="2358" spans="1:32" ht="12">
      <c r="A2358" s="83" t="s">
        <v>39892</v>
      </c>
      <c r="B2358" s="64" t="s">
        <v>39893</v>
      </c>
      <c r="C2358" s="71"/>
      <c r="D2358" s="79" t="s">
        <v>40899</v>
      </c>
      <c r="E2358" s="79" t="s">
        <v>40899</v>
      </c>
      <c r="F2358" s="79"/>
      <c r="G2358" s="445"/>
      <c r="H2358" s="178"/>
      <c r="I2358" s="178"/>
      <c r="J2358" s="70"/>
      <c r="K2358" s="320"/>
      <c r="L2358" s="178"/>
      <c r="M2358" s="178"/>
      <c r="N2358" s="179"/>
      <c r="O2358" s="178"/>
      <c r="P2358" s="453"/>
      <c r="Q2358" s="61"/>
      <c r="R2358" s="298"/>
      <c r="S2358" s="669"/>
      <c r="U2358" s="61"/>
      <c r="V2358" s="61"/>
      <c r="W2358" s="61"/>
      <c r="X2358" s="444">
        <v>2358</v>
      </c>
      <c r="Y2358" s="61"/>
      <c r="Z2358" s="61"/>
      <c r="AA2358" s="61"/>
      <c r="AB2358" s="61"/>
      <c r="AC2358" s="61"/>
      <c r="AD2358" s="61"/>
      <c r="AE2358" s="61"/>
      <c r="AF2358" s="61"/>
    </row>
    <row r="2359" spans="1:32" ht="12">
      <c r="A2359" s="83" t="s">
        <v>22168</v>
      </c>
      <c r="B2359" s="64" t="s">
        <v>22169</v>
      </c>
      <c r="C2359" s="71" t="s">
        <v>121</v>
      </c>
      <c r="D2359" s="79">
        <v>1</v>
      </c>
      <c r="E2359" s="79">
        <v>96.039999999999992</v>
      </c>
      <c r="F2359" s="79">
        <v>96.04</v>
      </c>
      <c r="G2359" s="445"/>
      <c r="H2359" s="178">
        <v>96.03</v>
      </c>
      <c r="I2359" s="178">
        <v>118.12</v>
      </c>
      <c r="J2359" s="70">
        <v>-22.080000000000013</v>
      </c>
      <c r="K2359" s="320"/>
      <c r="L2359" s="178">
        <v>96.039999999999992</v>
      </c>
      <c r="M2359" s="178">
        <v>0</v>
      </c>
      <c r="N2359" s="179">
        <v>0</v>
      </c>
      <c r="O2359" s="178">
        <v>96.039999999999992</v>
      </c>
      <c r="P2359" s="453"/>
      <c r="Q2359" s="61"/>
      <c r="R2359" s="298"/>
      <c r="S2359" s="669"/>
      <c r="X2359" s="444">
        <v>2359</v>
      </c>
    </row>
    <row r="2360" spans="1:32" ht="12">
      <c r="A2360" s="83" t="s">
        <v>22170</v>
      </c>
      <c r="B2360" s="64" t="s">
        <v>22171</v>
      </c>
      <c r="C2360" s="71" t="s">
        <v>10216</v>
      </c>
      <c r="D2360" s="79">
        <v>1</v>
      </c>
      <c r="E2360" s="79">
        <v>577.26</v>
      </c>
      <c r="F2360" s="79">
        <v>577.26</v>
      </c>
      <c r="G2360" s="445"/>
      <c r="H2360" s="178">
        <v>577.25</v>
      </c>
      <c r="I2360" s="178">
        <v>710.02</v>
      </c>
      <c r="J2360" s="70">
        <v>-132.76</v>
      </c>
      <c r="K2360" s="320"/>
      <c r="L2360" s="178"/>
      <c r="M2360" s="178">
        <v>577.26</v>
      </c>
      <c r="N2360" s="179">
        <v>0</v>
      </c>
      <c r="O2360" s="178">
        <v>577.26</v>
      </c>
      <c r="P2360" s="453"/>
      <c r="Q2360" s="61"/>
      <c r="R2360" s="298"/>
      <c r="S2360" s="669"/>
      <c r="X2360" s="444">
        <v>2360</v>
      </c>
    </row>
    <row r="2361" spans="1:32" ht="12">
      <c r="A2361" s="83" t="s">
        <v>39894</v>
      </c>
      <c r="B2361" s="64" t="s">
        <v>39895</v>
      </c>
      <c r="C2361" s="71"/>
      <c r="D2361" s="79" t="s">
        <v>40899</v>
      </c>
      <c r="E2361" s="79" t="s">
        <v>40899</v>
      </c>
      <c r="F2361" s="79"/>
      <c r="G2361" s="445"/>
      <c r="H2361" s="178"/>
      <c r="I2361" s="178"/>
      <c r="J2361" s="70"/>
      <c r="K2361" s="320"/>
      <c r="L2361" s="178"/>
      <c r="M2361" s="178"/>
      <c r="N2361" s="179"/>
      <c r="O2361" s="178"/>
      <c r="P2361" s="453"/>
      <c r="Q2361" s="61"/>
      <c r="R2361" s="298"/>
      <c r="S2361" s="669"/>
      <c r="X2361" s="444">
        <v>2361</v>
      </c>
    </row>
    <row r="2362" spans="1:32" ht="12">
      <c r="A2362" s="83" t="s">
        <v>22172</v>
      </c>
      <c r="B2362" s="64" t="s">
        <v>22173</v>
      </c>
      <c r="C2362" s="71" t="s">
        <v>10216</v>
      </c>
      <c r="D2362" s="79">
        <v>1</v>
      </c>
      <c r="E2362" s="79">
        <v>577.26</v>
      </c>
      <c r="F2362" s="79">
        <v>577.26</v>
      </c>
      <c r="G2362" s="445"/>
      <c r="H2362" s="178">
        <v>577.25</v>
      </c>
      <c r="I2362" s="178">
        <v>710.02</v>
      </c>
      <c r="J2362" s="70">
        <v>-132.76</v>
      </c>
      <c r="K2362" s="320"/>
      <c r="L2362" s="178"/>
      <c r="M2362" s="178">
        <v>577.26</v>
      </c>
      <c r="N2362" s="179">
        <v>0</v>
      </c>
      <c r="O2362" s="178">
        <v>577.26</v>
      </c>
      <c r="P2362" s="453"/>
      <c r="Q2362" s="61"/>
      <c r="R2362" s="298"/>
      <c r="S2362" s="669"/>
      <c r="U2362" s="69"/>
      <c r="V2362" s="69"/>
      <c r="W2362" s="69"/>
      <c r="X2362" s="444">
        <v>2362</v>
      </c>
      <c r="Y2362" s="69"/>
      <c r="Z2362" s="69"/>
      <c r="AA2362" s="69"/>
      <c r="AB2362" s="69"/>
      <c r="AC2362" s="69"/>
      <c r="AD2362" s="69"/>
      <c r="AE2362" s="69"/>
      <c r="AF2362" s="69"/>
    </row>
    <row r="2363" spans="1:32" ht="12">
      <c r="A2363" s="83" t="s">
        <v>39896</v>
      </c>
      <c r="B2363" s="64" t="s">
        <v>39897</v>
      </c>
      <c r="C2363" s="71"/>
      <c r="D2363" s="79" t="s">
        <v>40899</v>
      </c>
      <c r="E2363" s="79" t="s">
        <v>40899</v>
      </c>
      <c r="F2363" s="79"/>
      <c r="G2363" s="445"/>
      <c r="H2363" s="178"/>
      <c r="I2363" s="178"/>
      <c r="J2363" s="70"/>
      <c r="K2363" s="320"/>
      <c r="L2363" s="178"/>
      <c r="M2363" s="178"/>
      <c r="N2363" s="179"/>
      <c r="O2363" s="178"/>
      <c r="P2363" s="453"/>
      <c r="Q2363" s="61"/>
      <c r="R2363" s="298"/>
      <c r="S2363" s="669"/>
      <c r="X2363" s="444">
        <v>2363</v>
      </c>
    </row>
    <row r="2364" spans="1:32" ht="12">
      <c r="A2364" s="83" t="s">
        <v>11815</v>
      </c>
      <c r="B2364" s="64" t="s">
        <v>39898</v>
      </c>
      <c r="C2364" s="71"/>
      <c r="D2364" s="79" t="s">
        <v>40899</v>
      </c>
      <c r="E2364" s="79" t="s">
        <v>40899</v>
      </c>
      <c r="F2364" s="79"/>
      <c r="G2364" s="445"/>
      <c r="H2364" s="178"/>
      <c r="I2364" s="178"/>
      <c r="J2364" s="70"/>
      <c r="K2364" s="320"/>
      <c r="L2364" s="178"/>
      <c r="M2364" s="178"/>
      <c r="N2364" s="179"/>
      <c r="O2364" s="178"/>
      <c r="P2364" s="453"/>
      <c r="Q2364" s="61"/>
      <c r="R2364" s="298"/>
      <c r="S2364" s="669"/>
      <c r="X2364" s="444">
        <v>2364</v>
      </c>
    </row>
    <row r="2365" spans="1:32" ht="12">
      <c r="A2365" s="83" t="s">
        <v>22174</v>
      </c>
      <c r="B2365" s="64" t="s">
        <v>22175</v>
      </c>
      <c r="C2365" s="71" t="s">
        <v>509</v>
      </c>
      <c r="D2365" s="79">
        <v>1</v>
      </c>
      <c r="E2365" s="79">
        <v>14.110000000000001</v>
      </c>
      <c r="F2365" s="79">
        <v>14.11</v>
      </c>
      <c r="G2365" s="445"/>
      <c r="H2365" s="178">
        <v>14.09</v>
      </c>
      <c r="I2365" s="178">
        <v>17.329999999999998</v>
      </c>
      <c r="J2365" s="70">
        <v>-3.2199999999999971</v>
      </c>
      <c r="K2365" s="320"/>
      <c r="L2365" s="178">
        <v>12.370000000000001</v>
      </c>
      <c r="M2365" s="178">
        <v>1.7400000000000002</v>
      </c>
      <c r="N2365" s="179">
        <v>0</v>
      </c>
      <c r="O2365" s="178">
        <v>14.110000000000001</v>
      </c>
      <c r="P2365" s="453"/>
      <c r="Q2365" s="61"/>
      <c r="R2365" s="298"/>
      <c r="S2365" s="669"/>
      <c r="X2365" s="444">
        <v>2365</v>
      </c>
    </row>
    <row r="2366" spans="1:32" ht="12">
      <c r="A2366" s="83" t="s">
        <v>22176</v>
      </c>
      <c r="B2366" s="64" t="s">
        <v>22177</v>
      </c>
      <c r="C2366" s="71" t="s">
        <v>509</v>
      </c>
      <c r="D2366" s="79">
        <v>1</v>
      </c>
      <c r="E2366" s="79">
        <v>48.910000000000004</v>
      </c>
      <c r="F2366" s="79">
        <v>48.91</v>
      </c>
      <c r="G2366" s="445"/>
      <c r="H2366" s="178">
        <v>48.9</v>
      </c>
      <c r="I2366" s="178">
        <v>60.15</v>
      </c>
      <c r="J2366" s="70">
        <v>-11.239999999999995</v>
      </c>
      <c r="K2366" s="320"/>
      <c r="L2366" s="178">
        <v>41.71</v>
      </c>
      <c r="M2366" s="178">
        <v>7.2000000000000028</v>
      </c>
      <c r="N2366" s="179">
        <v>0</v>
      </c>
      <c r="O2366" s="178">
        <v>48.910000000000004</v>
      </c>
      <c r="P2366" s="453"/>
      <c r="Q2366" s="61"/>
      <c r="R2366" s="298"/>
      <c r="S2366" s="669"/>
      <c r="X2366" s="444">
        <v>2366</v>
      </c>
    </row>
    <row r="2367" spans="1:32" s="61" customFormat="1" ht="12">
      <c r="A2367" s="83" t="s">
        <v>22178</v>
      </c>
      <c r="B2367" s="64" t="s">
        <v>22179</v>
      </c>
      <c r="C2367" s="71" t="s">
        <v>10216</v>
      </c>
      <c r="D2367" s="79">
        <v>1</v>
      </c>
      <c r="E2367" s="79">
        <v>577.26</v>
      </c>
      <c r="F2367" s="79">
        <v>577.26</v>
      </c>
      <c r="G2367" s="445"/>
      <c r="H2367" s="178">
        <v>577.25</v>
      </c>
      <c r="I2367" s="178">
        <v>710.02</v>
      </c>
      <c r="J2367" s="70">
        <v>-132.76</v>
      </c>
      <c r="K2367" s="320"/>
      <c r="L2367" s="178"/>
      <c r="M2367" s="178">
        <v>577.26</v>
      </c>
      <c r="N2367" s="179">
        <v>0</v>
      </c>
      <c r="O2367" s="178">
        <v>577.26</v>
      </c>
      <c r="P2367" s="453"/>
      <c r="R2367" s="298"/>
      <c r="S2367" s="669"/>
      <c r="T2367" s="444"/>
      <c r="X2367" s="444">
        <v>2367</v>
      </c>
    </row>
    <row r="2368" spans="1:32" ht="12">
      <c r="A2368" s="83" t="s">
        <v>39899</v>
      </c>
      <c r="B2368" s="64" t="s">
        <v>39900</v>
      </c>
      <c r="C2368" s="71"/>
      <c r="D2368" s="79" t="s">
        <v>40899</v>
      </c>
      <c r="E2368" s="79" t="s">
        <v>40899</v>
      </c>
      <c r="F2368" s="79"/>
      <c r="G2368" s="445"/>
      <c r="H2368" s="178"/>
      <c r="I2368" s="178"/>
      <c r="J2368" s="70"/>
      <c r="K2368" s="320"/>
      <c r="L2368" s="178"/>
      <c r="M2368" s="178"/>
      <c r="N2368" s="179"/>
      <c r="O2368" s="178"/>
      <c r="P2368" s="453"/>
      <c r="Q2368" s="61"/>
      <c r="R2368" s="298"/>
      <c r="S2368" s="669"/>
      <c r="X2368" s="444">
        <v>2368</v>
      </c>
    </row>
    <row r="2369" spans="1:32" ht="12">
      <c r="A2369" s="83" t="s">
        <v>22180</v>
      </c>
      <c r="B2369" s="64" t="s">
        <v>22175</v>
      </c>
      <c r="C2369" s="71" t="s">
        <v>509</v>
      </c>
      <c r="D2369" s="79">
        <v>1</v>
      </c>
      <c r="E2369" s="79">
        <v>7.8000000000000007</v>
      </c>
      <c r="F2369" s="79">
        <v>7.8</v>
      </c>
      <c r="G2369" s="445"/>
      <c r="H2369" s="178">
        <v>7.8</v>
      </c>
      <c r="I2369" s="178">
        <v>9.59</v>
      </c>
      <c r="J2369" s="70">
        <v>-1.7899999999999991</v>
      </c>
      <c r="K2369" s="320"/>
      <c r="L2369" s="178">
        <v>6.0600000000000005</v>
      </c>
      <c r="M2369" s="178">
        <v>1.7400000000000002</v>
      </c>
      <c r="N2369" s="179">
        <v>0</v>
      </c>
      <c r="O2369" s="178">
        <v>7.8000000000000007</v>
      </c>
      <c r="P2369" s="453"/>
      <c r="Q2369" s="61"/>
      <c r="R2369" s="298"/>
      <c r="S2369" s="669"/>
      <c r="X2369" s="444">
        <v>2369</v>
      </c>
    </row>
    <row r="2370" spans="1:32" ht="12">
      <c r="A2370" s="83" t="s">
        <v>22181</v>
      </c>
      <c r="B2370" s="64" t="s">
        <v>22182</v>
      </c>
      <c r="C2370" s="71" t="s">
        <v>509</v>
      </c>
      <c r="D2370" s="79">
        <v>1</v>
      </c>
      <c r="E2370" s="79">
        <v>10.420000000000002</v>
      </c>
      <c r="F2370" s="79">
        <v>10.42</v>
      </c>
      <c r="G2370" s="445"/>
      <c r="H2370" s="178">
        <v>10.41</v>
      </c>
      <c r="I2370" s="178">
        <v>12.81</v>
      </c>
      <c r="J2370" s="70">
        <v>-2.3899999999999988</v>
      </c>
      <c r="K2370" s="320"/>
      <c r="L2370" s="178">
        <v>6.0600000000000005</v>
      </c>
      <c r="M2370" s="178">
        <v>4.3600000000000012</v>
      </c>
      <c r="N2370" s="179">
        <v>0</v>
      </c>
      <c r="O2370" s="178">
        <v>10.420000000000002</v>
      </c>
      <c r="P2370" s="453"/>
      <c r="Q2370" s="61"/>
      <c r="R2370" s="298"/>
      <c r="S2370" s="669"/>
      <c r="X2370" s="444">
        <v>2370</v>
      </c>
    </row>
    <row r="2371" spans="1:32" ht="12">
      <c r="A2371" s="83" t="s">
        <v>22183</v>
      </c>
      <c r="B2371" s="64" t="s">
        <v>22184</v>
      </c>
      <c r="C2371" s="71" t="s">
        <v>509</v>
      </c>
      <c r="D2371" s="79">
        <v>1</v>
      </c>
      <c r="E2371" s="79">
        <v>40.210000000000008</v>
      </c>
      <c r="F2371" s="79">
        <v>40.21</v>
      </c>
      <c r="G2371" s="445"/>
      <c r="H2371" s="178">
        <v>40.200000000000003</v>
      </c>
      <c r="I2371" s="178">
        <v>49.44</v>
      </c>
      <c r="J2371" s="70">
        <v>-9.2299999999999898</v>
      </c>
      <c r="K2371" s="320"/>
      <c r="L2371" s="178">
        <v>33.010000000000005</v>
      </c>
      <c r="M2371" s="178">
        <v>7.2000000000000028</v>
      </c>
      <c r="N2371" s="179">
        <v>0</v>
      </c>
      <c r="O2371" s="178">
        <v>40.210000000000008</v>
      </c>
      <c r="P2371" s="453"/>
      <c r="Q2371" s="61"/>
      <c r="R2371" s="298"/>
      <c r="S2371" s="669"/>
      <c r="X2371" s="444">
        <v>2371</v>
      </c>
    </row>
    <row r="2372" spans="1:32" ht="12">
      <c r="A2372" s="83" t="s">
        <v>22185</v>
      </c>
      <c r="B2372" s="64" t="s">
        <v>22177</v>
      </c>
      <c r="C2372" s="71" t="s">
        <v>509</v>
      </c>
      <c r="D2372" s="79">
        <v>1</v>
      </c>
      <c r="E2372" s="79">
        <v>49.059999999999995</v>
      </c>
      <c r="F2372" s="79">
        <v>49.06</v>
      </c>
      <c r="G2372" s="445"/>
      <c r="H2372" s="178">
        <v>49.05</v>
      </c>
      <c r="I2372" s="178">
        <v>60.33</v>
      </c>
      <c r="J2372" s="70">
        <v>-11.270000000000003</v>
      </c>
      <c r="K2372" s="320"/>
      <c r="L2372" s="178">
        <v>41.71</v>
      </c>
      <c r="M2372" s="178">
        <v>7.3499999999999943</v>
      </c>
      <c r="N2372" s="179">
        <v>0</v>
      </c>
      <c r="O2372" s="178">
        <v>49.059999999999995</v>
      </c>
      <c r="P2372" s="453"/>
      <c r="Q2372" s="61"/>
      <c r="R2372" s="298"/>
      <c r="S2372" s="669"/>
      <c r="X2372" s="444">
        <v>2372</v>
      </c>
    </row>
    <row r="2373" spans="1:32" ht="12">
      <c r="A2373" s="83" t="s">
        <v>22186</v>
      </c>
      <c r="B2373" s="64" t="s">
        <v>22187</v>
      </c>
      <c r="C2373" s="71" t="s">
        <v>509</v>
      </c>
      <c r="D2373" s="79">
        <v>1</v>
      </c>
      <c r="E2373" s="79">
        <v>29.73</v>
      </c>
      <c r="F2373" s="79">
        <v>29.73</v>
      </c>
      <c r="G2373" s="445"/>
      <c r="H2373" s="178">
        <v>29.72</v>
      </c>
      <c r="I2373" s="178">
        <v>36.56</v>
      </c>
      <c r="J2373" s="70">
        <v>-6.8300000000000018</v>
      </c>
      <c r="K2373" s="320"/>
      <c r="L2373" s="178">
        <v>27.84</v>
      </c>
      <c r="M2373" s="178">
        <v>1.8900000000000006</v>
      </c>
      <c r="N2373" s="179">
        <v>0</v>
      </c>
      <c r="O2373" s="178">
        <v>29.73</v>
      </c>
      <c r="P2373" s="453"/>
      <c r="Q2373" s="61"/>
      <c r="R2373" s="298"/>
      <c r="S2373" s="669"/>
      <c r="U2373" s="61"/>
      <c r="V2373" s="61"/>
      <c r="W2373" s="61"/>
      <c r="X2373" s="444">
        <v>2373</v>
      </c>
      <c r="Y2373" s="61"/>
      <c r="Z2373" s="61"/>
      <c r="AA2373" s="61"/>
      <c r="AB2373" s="61"/>
      <c r="AC2373" s="61"/>
      <c r="AD2373" s="61"/>
      <c r="AE2373" s="61"/>
      <c r="AF2373" s="61"/>
    </row>
    <row r="2374" spans="1:32" ht="12">
      <c r="A2374" s="83" t="s">
        <v>22188</v>
      </c>
      <c r="B2374" s="64" t="s">
        <v>22189</v>
      </c>
      <c r="C2374" s="71" t="s">
        <v>509</v>
      </c>
      <c r="D2374" s="79">
        <v>1</v>
      </c>
      <c r="E2374" s="79">
        <v>24.200000000000003</v>
      </c>
      <c r="F2374" s="79">
        <v>24.2</v>
      </c>
      <c r="G2374" s="445"/>
      <c r="H2374" s="178">
        <v>24.17</v>
      </c>
      <c r="I2374" s="178">
        <v>29.73</v>
      </c>
      <c r="J2374" s="70">
        <v>-5.5299999999999976</v>
      </c>
      <c r="K2374" s="320"/>
      <c r="L2374" s="178">
        <v>19.05</v>
      </c>
      <c r="M2374" s="178">
        <v>5.1500000000000021</v>
      </c>
      <c r="N2374" s="179">
        <v>0</v>
      </c>
      <c r="O2374" s="178">
        <v>24.200000000000003</v>
      </c>
      <c r="P2374" s="453"/>
      <c r="Q2374" s="61"/>
      <c r="R2374" s="298"/>
      <c r="S2374" s="669"/>
      <c r="U2374" s="61"/>
      <c r="V2374" s="61"/>
      <c r="W2374" s="61"/>
      <c r="X2374" s="444">
        <v>2374</v>
      </c>
      <c r="Y2374" s="61"/>
      <c r="Z2374" s="61"/>
      <c r="AA2374" s="61"/>
      <c r="AB2374" s="61"/>
      <c r="AC2374" s="61"/>
      <c r="AD2374" s="61"/>
      <c r="AE2374" s="61"/>
      <c r="AF2374" s="61"/>
    </row>
    <row r="2375" spans="1:32" ht="12">
      <c r="A2375" s="83" t="s">
        <v>22190</v>
      </c>
      <c r="B2375" s="64" t="s">
        <v>22191</v>
      </c>
      <c r="C2375" s="71" t="s">
        <v>509</v>
      </c>
      <c r="D2375" s="79">
        <v>1</v>
      </c>
      <c r="E2375" s="79">
        <v>37.46</v>
      </c>
      <c r="F2375" s="79">
        <v>37.46</v>
      </c>
      <c r="G2375" s="445"/>
      <c r="H2375" s="178">
        <v>37.450000000000003</v>
      </c>
      <c r="I2375" s="178">
        <v>46.06</v>
      </c>
      <c r="J2375" s="70">
        <v>-8.6000000000000014</v>
      </c>
      <c r="K2375" s="320"/>
      <c r="L2375" s="178">
        <v>15.34</v>
      </c>
      <c r="M2375" s="178">
        <v>22.12</v>
      </c>
      <c r="N2375" s="179">
        <v>0</v>
      </c>
      <c r="O2375" s="178">
        <v>37.46</v>
      </c>
      <c r="P2375" s="453"/>
      <c r="Q2375" s="61"/>
      <c r="R2375" s="298"/>
      <c r="S2375" s="669"/>
      <c r="X2375" s="444">
        <v>2375</v>
      </c>
    </row>
    <row r="2376" spans="1:32" ht="12">
      <c r="A2376" s="83" t="s">
        <v>22192</v>
      </c>
      <c r="B2376" s="64" t="s">
        <v>22193</v>
      </c>
      <c r="C2376" s="71" t="s">
        <v>509</v>
      </c>
      <c r="D2376" s="79">
        <v>1</v>
      </c>
      <c r="E2376" s="79">
        <v>44.050000000000004</v>
      </c>
      <c r="F2376" s="79">
        <v>44.05</v>
      </c>
      <c r="G2376" s="445"/>
      <c r="H2376" s="178">
        <v>44.05</v>
      </c>
      <c r="I2376" s="178">
        <v>54.18</v>
      </c>
      <c r="J2376" s="70">
        <v>-10.129999999999995</v>
      </c>
      <c r="K2376" s="320"/>
      <c r="L2376" s="178">
        <v>20.14</v>
      </c>
      <c r="M2376" s="178">
        <v>23.910000000000004</v>
      </c>
      <c r="N2376" s="179">
        <v>0</v>
      </c>
      <c r="O2376" s="178">
        <v>44.050000000000004</v>
      </c>
      <c r="P2376" s="453"/>
      <c r="Q2376" s="61"/>
      <c r="R2376" s="298"/>
      <c r="S2376" s="669"/>
      <c r="X2376" s="444">
        <v>2376</v>
      </c>
    </row>
    <row r="2377" spans="1:32" ht="12">
      <c r="A2377" s="83" t="s">
        <v>22194</v>
      </c>
      <c r="B2377" s="64" t="s">
        <v>22195</v>
      </c>
      <c r="C2377" s="71" t="s">
        <v>509</v>
      </c>
      <c r="D2377" s="79">
        <v>1</v>
      </c>
      <c r="E2377" s="79">
        <v>213.3</v>
      </c>
      <c r="F2377" s="79">
        <v>213.3</v>
      </c>
      <c r="G2377" s="445"/>
      <c r="H2377" s="178">
        <v>213.31</v>
      </c>
      <c r="I2377" s="178">
        <v>262.37</v>
      </c>
      <c r="J2377" s="70">
        <v>-49.069999999999993</v>
      </c>
      <c r="K2377" s="320"/>
      <c r="L2377" s="178">
        <v>67.64</v>
      </c>
      <c r="M2377" s="178">
        <v>145.66000000000003</v>
      </c>
      <c r="N2377" s="179">
        <v>0</v>
      </c>
      <c r="O2377" s="178">
        <v>213.3</v>
      </c>
      <c r="P2377" s="453"/>
      <c r="Q2377" s="61"/>
      <c r="R2377" s="298"/>
      <c r="S2377" s="669"/>
      <c r="X2377" s="444">
        <v>2377</v>
      </c>
    </row>
    <row r="2378" spans="1:32" ht="12">
      <c r="A2378" s="83" t="s">
        <v>22196</v>
      </c>
      <c r="B2378" s="64" t="s">
        <v>22197</v>
      </c>
      <c r="C2378" s="71" t="s">
        <v>509</v>
      </c>
      <c r="D2378" s="79">
        <v>1</v>
      </c>
      <c r="E2378" s="79">
        <v>173.33</v>
      </c>
      <c r="F2378" s="79">
        <v>173.33</v>
      </c>
      <c r="G2378" s="445"/>
      <c r="H2378" s="178">
        <v>173.35</v>
      </c>
      <c r="I2378" s="178">
        <v>213.22</v>
      </c>
      <c r="J2378" s="70">
        <v>-39.889999999999986</v>
      </c>
      <c r="K2378" s="320"/>
      <c r="L2378" s="178">
        <v>67.64</v>
      </c>
      <c r="M2378" s="178">
        <v>105.69000000000001</v>
      </c>
      <c r="N2378" s="179">
        <v>0</v>
      </c>
      <c r="O2378" s="178">
        <v>173.33</v>
      </c>
      <c r="P2378" s="453"/>
      <c r="Q2378" s="61"/>
      <c r="R2378" s="298"/>
      <c r="S2378" s="669"/>
      <c r="X2378" s="444">
        <v>2378</v>
      </c>
    </row>
    <row r="2379" spans="1:32" ht="12">
      <c r="A2379" s="83" t="s">
        <v>22198</v>
      </c>
      <c r="B2379" s="64" t="s">
        <v>22199</v>
      </c>
      <c r="C2379" s="71" t="s">
        <v>509</v>
      </c>
      <c r="D2379" s="79">
        <v>1</v>
      </c>
      <c r="E2379" s="79">
        <v>163.63</v>
      </c>
      <c r="F2379" s="79">
        <v>163.63</v>
      </c>
      <c r="G2379" s="445"/>
      <c r="H2379" s="178">
        <v>163.63999999999999</v>
      </c>
      <c r="I2379" s="178">
        <v>201.28</v>
      </c>
      <c r="J2379" s="70">
        <v>-37.650000000000006</v>
      </c>
      <c r="K2379" s="320"/>
      <c r="L2379" s="178">
        <v>67.64</v>
      </c>
      <c r="M2379" s="178">
        <v>95.99</v>
      </c>
      <c r="N2379" s="179">
        <v>0</v>
      </c>
      <c r="O2379" s="178">
        <v>163.63</v>
      </c>
      <c r="P2379" s="453"/>
      <c r="Q2379" s="61"/>
      <c r="R2379" s="298"/>
      <c r="S2379" s="669"/>
      <c r="X2379" s="444">
        <v>2379</v>
      </c>
    </row>
    <row r="2380" spans="1:32" ht="12">
      <c r="A2380" s="83" t="s">
        <v>22200</v>
      </c>
      <c r="B2380" s="64" t="s">
        <v>22201</v>
      </c>
      <c r="C2380" s="71" t="s">
        <v>509</v>
      </c>
      <c r="D2380" s="79">
        <v>1</v>
      </c>
      <c r="E2380" s="79">
        <v>109.11</v>
      </c>
      <c r="F2380" s="79">
        <v>109.11</v>
      </c>
      <c r="G2380" s="445"/>
      <c r="H2380" s="178">
        <v>109.1</v>
      </c>
      <c r="I2380" s="178">
        <v>134.19</v>
      </c>
      <c r="J2380" s="70">
        <v>-25.08</v>
      </c>
      <c r="K2380" s="320"/>
      <c r="L2380" s="178">
        <v>21.76</v>
      </c>
      <c r="M2380" s="178">
        <v>87.35</v>
      </c>
      <c r="N2380" s="179">
        <v>0</v>
      </c>
      <c r="O2380" s="178">
        <v>109.11</v>
      </c>
      <c r="P2380" s="453"/>
      <c r="Q2380" s="61"/>
      <c r="R2380" s="298"/>
      <c r="S2380" s="669"/>
      <c r="X2380" s="444">
        <v>2380</v>
      </c>
    </row>
    <row r="2381" spans="1:32" s="61" customFormat="1" ht="12">
      <c r="A2381" s="83" t="s">
        <v>22202</v>
      </c>
      <c r="B2381" s="64" t="s">
        <v>39901</v>
      </c>
      <c r="C2381" s="71" t="s">
        <v>509</v>
      </c>
      <c r="D2381" s="79">
        <v>1</v>
      </c>
      <c r="E2381" s="79">
        <v>115.83000000000001</v>
      </c>
      <c r="F2381" s="79">
        <v>115.83</v>
      </c>
      <c r="G2381" s="445"/>
      <c r="H2381" s="178">
        <v>115.82</v>
      </c>
      <c r="I2381" s="178">
        <v>142.46</v>
      </c>
      <c r="J2381" s="70">
        <v>-26.629999999999995</v>
      </c>
      <c r="K2381" s="320"/>
      <c r="L2381" s="178">
        <v>26.04</v>
      </c>
      <c r="M2381" s="178">
        <v>89.79000000000002</v>
      </c>
      <c r="N2381" s="179">
        <v>0</v>
      </c>
      <c r="O2381" s="178">
        <v>115.83000000000001</v>
      </c>
      <c r="P2381" s="453"/>
      <c r="R2381" s="298"/>
      <c r="S2381" s="669"/>
      <c r="T2381" s="444"/>
      <c r="U2381" s="444"/>
      <c r="V2381" s="444"/>
      <c r="W2381" s="444"/>
      <c r="X2381" s="444">
        <v>2381</v>
      </c>
      <c r="Y2381" s="444"/>
      <c r="Z2381" s="444"/>
      <c r="AA2381" s="444"/>
      <c r="AB2381" s="444"/>
      <c r="AC2381" s="444"/>
      <c r="AD2381" s="444"/>
      <c r="AE2381" s="444"/>
      <c r="AF2381" s="444"/>
    </row>
    <row r="2382" spans="1:32" ht="12">
      <c r="A2382" s="83" t="s">
        <v>22203</v>
      </c>
      <c r="B2382" s="64" t="s">
        <v>22204</v>
      </c>
      <c r="C2382" s="71" t="s">
        <v>165</v>
      </c>
      <c r="D2382" s="79">
        <v>1</v>
      </c>
      <c r="E2382" s="79">
        <v>9.09</v>
      </c>
      <c r="F2382" s="79">
        <v>9.09</v>
      </c>
      <c r="G2382" s="445"/>
      <c r="H2382" s="178">
        <v>9.09</v>
      </c>
      <c r="I2382" s="178">
        <v>11.18</v>
      </c>
      <c r="J2382" s="70">
        <v>-2.09</v>
      </c>
      <c r="K2382" s="320"/>
      <c r="L2382" s="178">
        <v>5.46</v>
      </c>
      <c r="M2382" s="178">
        <v>3.63</v>
      </c>
      <c r="N2382" s="179">
        <v>0</v>
      </c>
      <c r="O2382" s="178">
        <v>9.09</v>
      </c>
      <c r="P2382" s="453"/>
      <c r="Q2382" s="61"/>
      <c r="R2382" s="298"/>
      <c r="S2382" s="669"/>
      <c r="X2382" s="444">
        <v>2382</v>
      </c>
    </row>
    <row r="2383" spans="1:32" ht="12">
      <c r="A2383" s="83" t="s">
        <v>22205</v>
      </c>
      <c r="B2383" s="64" t="s">
        <v>22206</v>
      </c>
      <c r="C2383" s="71" t="s">
        <v>165</v>
      </c>
      <c r="D2383" s="79">
        <v>1</v>
      </c>
      <c r="E2383" s="79">
        <v>30.64</v>
      </c>
      <c r="F2383" s="79">
        <v>30.64</v>
      </c>
      <c r="G2383" s="445"/>
      <c r="H2383" s="178">
        <v>30.65</v>
      </c>
      <c r="I2383" s="178">
        <v>37.700000000000003</v>
      </c>
      <c r="J2383" s="70">
        <v>-7.0600000000000023</v>
      </c>
      <c r="K2383" s="320"/>
      <c r="L2383" s="178">
        <v>25.17</v>
      </c>
      <c r="M2383" s="178">
        <v>5.4699999999999989</v>
      </c>
      <c r="N2383" s="179">
        <v>0</v>
      </c>
      <c r="O2383" s="178">
        <v>30.64</v>
      </c>
      <c r="P2383" s="453"/>
      <c r="Q2383" s="61"/>
      <c r="R2383" s="298"/>
      <c r="S2383" s="669"/>
      <c r="X2383" s="444">
        <v>2383</v>
      </c>
    </row>
    <row r="2384" spans="1:32" ht="12">
      <c r="A2384" s="83" t="s">
        <v>22207</v>
      </c>
      <c r="B2384" s="64" t="s">
        <v>22208</v>
      </c>
      <c r="C2384" s="71" t="s">
        <v>509</v>
      </c>
      <c r="D2384" s="79">
        <v>1</v>
      </c>
      <c r="E2384" s="79">
        <v>42.4</v>
      </c>
      <c r="F2384" s="79">
        <v>42.4</v>
      </c>
      <c r="G2384" s="445"/>
      <c r="H2384" s="178">
        <v>42.39</v>
      </c>
      <c r="I2384" s="178">
        <v>52.14</v>
      </c>
      <c r="J2384" s="70">
        <v>-9.740000000000002</v>
      </c>
      <c r="K2384" s="320"/>
      <c r="L2384" s="178">
        <v>22.16</v>
      </c>
      <c r="M2384" s="178">
        <v>20.239999999999998</v>
      </c>
      <c r="N2384" s="179">
        <v>0</v>
      </c>
      <c r="O2384" s="178">
        <v>42.4</v>
      </c>
      <c r="P2384" s="453"/>
      <c r="Q2384" s="61"/>
      <c r="R2384" s="298"/>
      <c r="S2384" s="669"/>
      <c r="X2384" s="444">
        <v>2384</v>
      </c>
    </row>
    <row r="2385" spans="1:32" s="61" customFormat="1" ht="12">
      <c r="A2385" s="83" t="s">
        <v>22209</v>
      </c>
      <c r="B2385" s="64" t="s">
        <v>22210</v>
      </c>
      <c r="C2385" s="71" t="s">
        <v>509</v>
      </c>
      <c r="D2385" s="79">
        <v>1</v>
      </c>
      <c r="E2385" s="79">
        <v>34.61</v>
      </c>
      <c r="F2385" s="79">
        <v>34.61</v>
      </c>
      <c r="G2385" s="445"/>
      <c r="H2385" s="178">
        <v>34.61</v>
      </c>
      <c r="I2385" s="178">
        <v>42.57</v>
      </c>
      <c r="J2385" s="70">
        <v>-7.9600000000000009</v>
      </c>
      <c r="K2385" s="320"/>
      <c r="L2385" s="178">
        <v>20.14</v>
      </c>
      <c r="M2385" s="178">
        <v>14.469999999999999</v>
      </c>
      <c r="N2385" s="179">
        <v>0</v>
      </c>
      <c r="O2385" s="178">
        <v>34.61</v>
      </c>
      <c r="P2385" s="453"/>
      <c r="R2385" s="298"/>
      <c r="S2385" s="669"/>
      <c r="T2385" s="444"/>
      <c r="U2385" s="444"/>
      <c r="V2385" s="444"/>
      <c r="W2385" s="444"/>
      <c r="X2385" s="444">
        <v>2385</v>
      </c>
      <c r="Y2385" s="444"/>
      <c r="Z2385" s="444"/>
      <c r="AA2385" s="444"/>
      <c r="AB2385" s="444"/>
      <c r="AC2385" s="444"/>
      <c r="AD2385" s="444"/>
      <c r="AE2385" s="444"/>
      <c r="AF2385" s="444"/>
    </row>
    <row r="2386" spans="1:32" ht="12">
      <c r="A2386" s="83" t="s">
        <v>22211</v>
      </c>
      <c r="B2386" s="64" t="s">
        <v>22212</v>
      </c>
      <c r="C2386" s="71" t="s">
        <v>165</v>
      </c>
      <c r="D2386" s="79">
        <v>1</v>
      </c>
      <c r="E2386" s="79">
        <v>16.18</v>
      </c>
      <c r="F2386" s="79">
        <v>16.18</v>
      </c>
      <c r="G2386" s="445"/>
      <c r="H2386" s="178">
        <v>16.170000000000002</v>
      </c>
      <c r="I2386" s="178">
        <v>19.89</v>
      </c>
      <c r="J2386" s="70">
        <v>-3.7100000000000009</v>
      </c>
      <c r="K2386" s="320"/>
      <c r="L2386" s="178">
        <v>8.129999999999999</v>
      </c>
      <c r="M2386" s="178">
        <v>8.0500000000000007</v>
      </c>
      <c r="N2386" s="179">
        <v>0</v>
      </c>
      <c r="O2386" s="178">
        <v>16.18</v>
      </c>
      <c r="P2386" s="453"/>
      <c r="Q2386" s="61"/>
      <c r="R2386" s="298"/>
      <c r="S2386" s="669"/>
      <c r="X2386" s="444">
        <v>2386</v>
      </c>
    </row>
    <row r="2387" spans="1:32" ht="12">
      <c r="A2387" s="83" t="s">
        <v>22213</v>
      </c>
      <c r="B2387" s="64" t="s">
        <v>22214</v>
      </c>
      <c r="C2387" s="71" t="s">
        <v>10216</v>
      </c>
      <c r="D2387" s="79">
        <v>1</v>
      </c>
      <c r="E2387" s="79">
        <v>577.26</v>
      </c>
      <c r="F2387" s="79">
        <v>577.26</v>
      </c>
      <c r="G2387" s="445"/>
      <c r="H2387" s="178">
        <v>577.25</v>
      </c>
      <c r="I2387" s="178">
        <v>710.02</v>
      </c>
      <c r="J2387" s="70">
        <v>-132.76</v>
      </c>
      <c r="K2387" s="320"/>
      <c r="L2387" s="178"/>
      <c r="M2387" s="178">
        <v>577.26</v>
      </c>
      <c r="N2387" s="179">
        <v>0</v>
      </c>
      <c r="O2387" s="178">
        <v>577.26</v>
      </c>
      <c r="P2387" s="453"/>
      <c r="Q2387" s="61"/>
      <c r="R2387" s="298"/>
      <c r="S2387" s="669"/>
      <c r="X2387" s="444">
        <v>2387</v>
      </c>
    </row>
    <row r="2388" spans="1:32" ht="12">
      <c r="A2388" s="83" t="s">
        <v>11823</v>
      </c>
      <c r="B2388" s="64" t="s">
        <v>22215</v>
      </c>
      <c r="C2388" s="71"/>
      <c r="D2388" s="79" t="s">
        <v>40899</v>
      </c>
      <c r="E2388" s="79" t="s">
        <v>40899</v>
      </c>
      <c r="F2388" s="79"/>
      <c r="G2388" s="445"/>
      <c r="H2388" s="178"/>
      <c r="I2388" s="178"/>
      <c r="J2388" s="70"/>
      <c r="K2388" s="320"/>
      <c r="L2388" s="178"/>
      <c r="M2388" s="178"/>
      <c r="N2388" s="179"/>
      <c r="O2388" s="178"/>
      <c r="P2388" s="453"/>
      <c r="Q2388" s="61"/>
      <c r="R2388" s="298"/>
      <c r="S2388" s="669"/>
      <c r="X2388" s="444">
        <v>2388</v>
      </c>
    </row>
    <row r="2389" spans="1:32" ht="12">
      <c r="A2389" s="83" t="s">
        <v>22216</v>
      </c>
      <c r="B2389" s="64" t="s">
        <v>22175</v>
      </c>
      <c r="C2389" s="71" t="s">
        <v>509</v>
      </c>
      <c r="D2389" s="79">
        <v>1</v>
      </c>
      <c r="E2389" s="79">
        <v>7.8000000000000007</v>
      </c>
      <c r="F2389" s="79">
        <v>7.8</v>
      </c>
      <c r="G2389" s="445"/>
      <c r="H2389" s="178">
        <v>7.8</v>
      </c>
      <c r="I2389" s="178">
        <v>9.59</v>
      </c>
      <c r="J2389" s="70">
        <v>-1.7899999999999991</v>
      </c>
      <c r="K2389" s="320"/>
      <c r="L2389" s="178">
        <v>6.0600000000000005</v>
      </c>
      <c r="M2389" s="178">
        <v>1.7400000000000002</v>
      </c>
      <c r="N2389" s="179">
        <v>0</v>
      </c>
      <c r="O2389" s="178">
        <v>7.8000000000000007</v>
      </c>
      <c r="P2389" s="453"/>
      <c r="Q2389" s="61"/>
      <c r="R2389" s="298"/>
      <c r="S2389" s="669"/>
      <c r="X2389" s="444">
        <v>2389</v>
      </c>
    </row>
    <row r="2390" spans="1:32" ht="12">
      <c r="A2390" s="83" t="s">
        <v>22217</v>
      </c>
      <c r="B2390" s="64" t="s">
        <v>22184</v>
      </c>
      <c r="C2390" s="71" t="s">
        <v>509</v>
      </c>
      <c r="D2390" s="79">
        <v>1</v>
      </c>
      <c r="E2390" s="79">
        <v>40.210000000000008</v>
      </c>
      <c r="F2390" s="79">
        <v>40.21</v>
      </c>
      <c r="G2390" s="445"/>
      <c r="H2390" s="178">
        <v>40.200000000000003</v>
      </c>
      <c r="I2390" s="178">
        <v>49.44</v>
      </c>
      <c r="J2390" s="70">
        <v>-9.2299999999999898</v>
      </c>
      <c r="K2390" s="320"/>
      <c r="L2390" s="178">
        <v>33.010000000000005</v>
      </c>
      <c r="M2390" s="178">
        <v>7.2000000000000028</v>
      </c>
      <c r="N2390" s="179">
        <v>0</v>
      </c>
      <c r="O2390" s="178">
        <v>40.210000000000008</v>
      </c>
      <c r="P2390" s="453"/>
      <c r="Q2390" s="61"/>
      <c r="R2390" s="298"/>
      <c r="S2390" s="669"/>
      <c r="U2390" s="73"/>
      <c r="V2390" s="73"/>
      <c r="W2390" s="73"/>
      <c r="X2390" s="444">
        <v>2390</v>
      </c>
      <c r="Y2390" s="73"/>
      <c r="Z2390" s="73"/>
      <c r="AA2390" s="73"/>
      <c r="AB2390" s="73"/>
      <c r="AC2390" s="73"/>
      <c r="AD2390" s="73"/>
      <c r="AE2390" s="73"/>
      <c r="AF2390" s="73"/>
    </row>
    <row r="2391" spans="1:32" ht="12">
      <c r="A2391" s="83" t="s">
        <v>22218</v>
      </c>
      <c r="B2391" s="64" t="s">
        <v>22177</v>
      </c>
      <c r="C2391" s="71" t="s">
        <v>509</v>
      </c>
      <c r="D2391" s="79">
        <v>1</v>
      </c>
      <c r="E2391" s="79">
        <v>48.910000000000004</v>
      </c>
      <c r="F2391" s="79">
        <v>48.91</v>
      </c>
      <c r="G2391" s="445"/>
      <c r="H2391" s="178">
        <v>48.9</v>
      </c>
      <c r="I2391" s="178">
        <v>60.15</v>
      </c>
      <c r="J2391" s="70">
        <v>-11.239999999999995</v>
      </c>
      <c r="K2391" s="320"/>
      <c r="L2391" s="178">
        <v>41.71</v>
      </c>
      <c r="M2391" s="178">
        <v>7.2000000000000028</v>
      </c>
      <c r="N2391" s="179">
        <v>0</v>
      </c>
      <c r="O2391" s="178">
        <v>48.910000000000004</v>
      </c>
      <c r="P2391" s="453"/>
      <c r="Q2391" s="61"/>
      <c r="R2391" s="298"/>
      <c r="S2391" s="669"/>
      <c r="X2391" s="444">
        <v>2391</v>
      </c>
    </row>
    <row r="2392" spans="1:32" ht="12">
      <c r="A2392" s="83" t="s">
        <v>22219</v>
      </c>
      <c r="B2392" s="64" t="s">
        <v>22187</v>
      </c>
      <c r="C2392" s="71" t="s">
        <v>509</v>
      </c>
      <c r="D2392" s="79">
        <v>1</v>
      </c>
      <c r="E2392" s="79">
        <v>29.73</v>
      </c>
      <c r="F2392" s="79">
        <v>29.73</v>
      </c>
      <c r="G2392" s="445"/>
      <c r="H2392" s="178">
        <v>29.72</v>
      </c>
      <c r="I2392" s="178">
        <v>36.56</v>
      </c>
      <c r="J2392" s="70">
        <v>-6.8300000000000018</v>
      </c>
      <c r="K2392" s="320"/>
      <c r="L2392" s="178">
        <v>27.84</v>
      </c>
      <c r="M2392" s="178">
        <v>1.8900000000000006</v>
      </c>
      <c r="N2392" s="179">
        <v>0</v>
      </c>
      <c r="O2392" s="178">
        <v>29.73</v>
      </c>
      <c r="P2392" s="453"/>
      <c r="Q2392" s="61"/>
      <c r="R2392" s="298"/>
      <c r="S2392" s="669"/>
      <c r="X2392" s="444">
        <v>2392</v>
      </c>
    </row>
    <row r="2393" spans="1:32" ht="12">
      <c r="A2393" s="83" t="s">
        <v>22220</v>
      </c>
      <c r="B2393" s="64" t="s">
        <v>22221</v>
      </c>
      <c r="C2393" s="71" t="s">
        <v>509</v>
      </c>
      <c r="D2393" s="79">
        <v>1</v>
      </c>
      <c r="E2393" s="79">
        <v>9.35</v>
      </c>
      <c r="F2393" s="79">
        <v>9.35</v>
      </c>
      <c r="G2393" s="445"/>
      <c r="H2393" s="178">
        <v>9.36</v>
      </c>
      <c r="I2393" s="178">
        <v>11.51</v>
      </c>
      <c r="J2393" s="70">
        <v>-2.16</v>
      </c>
      <c r="K2393" s="320"/>
      <c r="L2393" s="178">
        <v>7.6099999999999994</v>
      </c>
      <c r="M2393" s="178">
        <v>1.7400000000000002</v>
      </c>
      <c r="N2393" s="179">
        <v>0</v>
      </c>
      <c r="O2393" s="178">
        <v>9.35</v>
      </c>
      <c r="P2393" s="453"/>
      <c r="Q2393" s="61"/>
      <c r="R2393" s="298"/>
      <c r="S2393" s="669"/>
      <c r="X2393" s="444">
        <v>2393</v>
      </c>
    </row>
    <row r="2394" spans="1:32" ht="12">
      <c r="A2394" s="83" t="s">
        <v>22222</v>
      </c>
      <c r="B2394" s="64" t="s">
        <v>22223</v>
      </c>
      <c r="C2394" s="71" t="s">
        <v>509</v>
      </c>
      <c r="D2394" s="79">
        <v>1</v>
      </c>
      <c r="E2394" s="79">
        <v>42.4</v>
      </c>
      <c r="F2394" s="79">
        <v>42.4</v>
      </c>
      <c r="G2394" s="445"/>
      <c r="H2394" s="178">
        <v>42.39</v>
      </c>
      <c r="I2394" s="178">
        <v>52.14</v>
      </c>
      <c r="J2394" s="70">
        <v>-9.740000000000002</v>
      </c>
      <c r="K2394" s="320"/>
      <c r="L2394" s="178">
        <v>22.16</v>
      </c>
      <c r="M2394" s="178">
        <v>20.239999999999998</v>
      </c>
      <c r="N2394" s="179">
        <v>0</v>
      </c>
      <c r="O2394" s="178">
        <v>42.4</v>
      </c>
      <c r="P2394" s="453"/>
      <c r="Q2394" s="61"/>
      <c r="R2394" s="298"/>
      <c r="S2394" s="669"/>
      <c r="X2394" s="444">
        <v>2394</v>
      </c>
    </row>
    <row r="2395" spans="1:32" ht="12">
      <c r="A2395" s="83" t="s">
        <v>22224</v>
      </c>
      <c r="B2395" s="64" t="s">
        <v>22225</v>
      </c>
      <c r="C2395" s="71" t="s">
        <v>509</v>
      </c>
      <c r="D2395" s="79">
        <v>1</v>
      </c>
      <c r="E2395" s="79">
        <v>34.61</v>
      </c>
      <c r="F2395" s="79">
        <v>34.61</v>
      </c>
      <c r="G2395" s="445"/>
      <c r="H2395" s="178">
        <v>34.61</v>
      </c>
      <c r="I2395" s="178">
        <v>42.57</v>
      </c>
      <c r="J2395" s="70">
        <v>-7.9600000000000009</v>
      </c>
      <c r="K2395" s="320"/>
      <c r="L2395" s="178">
        <v>20.14</v>
      </c>
      <c r="M2395" s="178">
        <v>14.469999999999999</v>
      </c>
      <c r="N2395" s="179">
        <v>0</v>
      </c>
      <c r="O2395" s="178">
        <v>34.61</v>
      </c>
      <c r="P2395" s="453"/>
      <c r="Q2395" s="61"/>
      <c r="R2395" s="298"/>
      <c r="S2395" s="669"/>
      <c r="X2395" s="444">
        <v>2395</v>
      </c>
    </row>
    <row r="2396" spans="1:32" ht="12">
      <c r="A2396" s="83" t="s">
        <v>22226</v>
      </c>
      <c r="B2396" s="64" t="s">
        <v>22191</v>
      </c>
      <c r="C2396" s="71" t="s">
        <v>509</v>
      </c>
      <c r="D2396" s="79">
        <v>1</v>
      </c>
      <c r="E2396" s="79">
        <v>37.46</v>
      </c>
      <c r="F2396" s="79">
        <v>37.46</v>
      </c>
      <c r="G2396" s="445"/>
      <c r="H2396" s="178">
        <v>37.450000000000003</v>
      </c>
      <c r="I2396" s="178">
        <v>46.06</v>
      </c>
      <c r="J2396" s="70">
        <v>-8.6000000000000014</v>
      </c>
      <c r="K2396" s="320"/>
      <c r="L2396" s="178">
        <v>15.34</v>
      </c>
      <c r="M2396" s="178">
        <v>22.12</v>
      </c>
      <c r="N2396" s="179">
        <v>0</v>
      </c>
      <c r="O2396" s="178">
        <v>37.46</v>
      </c>
      <c r="P2396" s="453"/>
      <c r="Q2396" s="61"/>
      <c r="R2396" s="298"/>
      <c r="S2396" s="669"/>
      <c r="X2396" s="444">
        <v>2396</v>
      </c>
    </row>
    <row r="2397" spans="1:32" ht="12">
      <c r="A2397" s="83" t="s">
        <v>22227</v>
      </c>
      <c r="B2397" s="64" t="s">
        <v>22193</v>
      </c>
      <c r="C2397" s="71" t="s">
        <v>509</v>
      </c>
      <c r="D2397" s="79">
        <v>1</v>
      </c>
      <c r="E2397" s="79">
        <v>44.050000000000004</v>
      </c>
      <c r="F2397" s="79">
        <v>44.05</v>
      </c>
      <c r="G2397" s="445"/>
      <c r="H2397" s="178">
        <v>44.05</v>
      </c>
      <c r="I2397" s="178">
        <v>54.18</v>
      </c>
      <c r="J2397" s="70">
        <v>-10.129999999999995</v>
      </c>
      <c r="K2397" s="320"/>
      <c r="L2397" s="178">
        <v>20.14</v>
      </c>
      <c r="M2397" s="178">
        <v>23.910000000000004</v>
      </c>
      <c r="N2397" s="179">
        <v>0</v>
      </c>
      <c r="O2397" s="178">
        <v>44.050000000000004</v>
      </c>
      <c r="P2397" s="453"/>
      <c r="Q2397" s="61"/>
      <c r="R2397" s="298"/>
      <c r="S2397" s="669"/>
      <c r="T2397" s="73"/>
      <c r="X2397" s="444">
        <v>2397</v>
      </c>
    </row>
    <row r="2398" spans="1:32" ht="12">
      <c r="A2398" s="83" t="s">
        <v>22228</v>
      </c>
      <c r="B2398" s="64" t="s">
        <v>22229</v>
      </c>
      <c r="C2398" s="71" t="s">
        <v>509</v>
      </c>
      <c r="D2398" s="79">
        <v>1</v>
      </c>
      <c r="E2398" s="79">
        <v>423.45</v>
      </c>
      <c r="F2398" s="79">
        <v>423.45</v>
      </c>
      <c r="G2398" s="445"/>
      <c r="H2398" s="178">
        <v>423.44</v>
      </c>
      <c r="I2398" s="178">
        <v>520.83000000000004</v>
      </c>
      <c r="J2398" s="70">
        <v>-97.380000000000052</v>
      </c>
      <c r="K2398" s="320"/>
      <c r="L2398" s="178">
        <v>43.510000000000005</v>
      </c>
      <c r="M2398" s="178">
        <v>379.94</v>
      </c>
      <c r="N2398" s="179">
        <v>0</v>
      </c>
      <c r="O2398" s="178">
        <v>423.45</v>
      </c>
      <c r="P2398" s="453"/>
      <c r="Q2398" s="61"/>
      <c r="R2398" s="298"/>
      <c r="S2398" s="669"/>
      <c r="T2398" s="61"/>
      <c r="X2398" s="444">
        <v>2398</v>
      </c>
    </row>
    <row r="2399" spans="1:32" ht="12">
      <c r="A2399" s="83" t="s">
        <v>22230</v>
      </c>
      <c r="B2399" s="64" t="s">
        <v>22231</v>
      </c>
      <c r="C2399" s="71" t="s">
        <v>509</v>
      </c>
      <c r="D2399" s="79">
        <v>1</v>
      </c>
      <c r="E2399" s="79">
        <v>314.82</v>
      </c>
      <c r="F2399" s="79">
        <v>314.82</v>
      </c>
      <c r="G2399" s="445"/>
      <c r="H2399" s="178">
        <v>314.81</v>
      </c>
      <c r="I2399" s="178">
        <v>387.22</v>
      </c>
      <c r="J2399" s="70">
        <v>-72.400000000000034</v>
      </c>
      <c r="K2399" s="320"/>
      <c r="L2399" s="178">
        <v>43.510000000000005</v>
      </c>
      <c r="M2399" s="178">
        <v>271.31</v>
      </c>
      <c r="N2399" s="179">
        <v>0</v>
      </c>
      <c r="O2399" s="178">
        <v>314.82</v>
      </c>
      <c r="P2399" s="453"/>
      <c r="Q2399" s="61"/>
      <c r="R2399" s="298"/>
      <c r="S2399" s="669"/>
      <c r="T2399" s="61"/>
      <c r="X2399" s="444">
        <v>2399</v>
      </c>
    </row>
    <row r="2400" spans="1:32" ht="12">
      <c r="A2400" s="83" t="s">
        <v>22232</v>
      </c>
      <c r="B2400" s="64" t="s">
        <v>22233</v>
      </c>
      <c r="C2400" s="71" t="s">
        <v>509</v>
      </c>
      <c r="D2400" s="79">
        <v>1</v>
      </c>
      <c r="E2400" s="79">
        <v>202.35</v>
      </c>
      <c r="F2400" s="79">
        <v>202.35</v>
      </c>
      <c r="G2400" s="445"/>
      <c r="H2400" s="178">
        <v>202.34</v>
      </c>
      <c r="I2400" s="178">
        <v>248.88</v>
      </c>
      <c r="J2400" s="70">
        <v>-46.53</v>
      </c>
      <c r="K2400" s="320"/>
      <c r="L2400" s="178">
        <v>43.510000000000005</v>
      </c>
      <c r="M2400" s="178">
        <v>158.83999999999997</v>
      </c>
      <c r="N2400" s="179">
        <v>0</v>
      </c>
      <c r="O2400" s="178">
        <v>202.34999999999997</v>
      </c>
      <c r="P2400" s="453"/>
      <c r="Q2400" s="61"/>
      <c r="R2400" s="298"/>
      <c r="S2400" s="669"/>
      <c r="T2400" s="61"/>
      <c r="X2400" s="444">
        <v>2400</v>
      </c>
    </row>
    <row r="2401" spans="1:32" ht="12">
      <c r="A2401" s="83" t="s">
        <v>22234</v>
      </c>
      <c r="B2401" s="64" t="s">
        <v>22235</v>
      </c>
      <c r="C2401" s="71" t="s">
        <v>509</v>
      </c>
      <c r="D2401" s="79">
        <v>1</v>
      </c>
      <c r="E2401" s="79">
        <v>179.25</v>
      </c>
      <c r="F2401" s="79">
        <v>179.25</v>
      </c>
      <c r="G2401" s="445"/>
      <c r="H2401" s="178">
        <v>179.24</v>
      </c>
      <c r="I2401" s="178">
        <v>220.47</v>
      </c>
      <c r="J2401" s="70">
        <v>-41.22</v>
      </c>
      <c r="K2401" s="320"/>
      <c r="L2401" s="178">
        <v>43.510000000000005</v>
      </c>
      <c r="M2401" s="178">
        <v>135.74</v>
      </c>
      <c r="N2401" s="179">
        <v>0</v>
      </c>
      <c r="O2401" s="178">
        <v>179.25</v>
      </c>
      <c r="P2401" s="453"/>
      <c r="Q2401" s="61"/>
      <c r="R2401" s="298"/>
      <c r="S2401" s="669"/>
      <c r="X2401" s="444">
        <v>2401</v>
      </c>
    </row>
    <row r="2402" spans="1:32" ht="12">
      <c r="A2402" s="83" t="s">
        <v>22236</v>
      </c>
      <c r="B2402" s="64" t="s">
        <v>22237</v>
      </c>
      <c r="C2402" s="71" t="s">
        <v>509</v>
      </c>
      <c r="D2402" s="79">
        <v>1</v>
      </c>
      <c r="E2402" s="79">
        <v>242.82</v>
      </c>
      <c r="F2402" s="79">
        <v>242.82</v>
      </c>
      <c r="G2402" s="445"/>
      <c r="H2402" s="178">
        <v>242.81</v>
      </c>
      <c r="I2402" s="178">
        <v>298.66000000000003</v>
      </c>
      <c r="J2402" s="70">
        <v>-55.840000000000032</v>
      </c>
      <c r="K2402" s="320"/>
      <c r="L2402" s="178">
        <v>43.510000000000005</v>
      </c>
      <c r="M2402" s="178">
        <v>199.31</v>
      </c>
      <c r="N2402" s="179">
        <v>0</v>
      </c>
      <c r="O2402" s="178">
        <v>242.82</v>
      </c>
      <c r="P2402" s="453"/>
      <c r="Q2402" s="61"/>
      <c r="R2402" s="298"/>
      <c r="S2402" s="669"/>
      <c r="X2402" s="444">
        <v>2402</v>
      </c>
    </row>
    <row r="2403" spans="1:32" s="61" customFormat="1" ht="12">
      <c r="A2403" s="83" t="s">
        <v>22238</v>
      </c>
      <c r="B2403" s="64" t="s">
        <v>22239</v>
      </c>
      <c r="C2403" s="71" t="s">
        <v>509</v>
      </c>
      <c r="D2403" s="79">
        <v>1</v>
      </c>
      <c r="E2403" s="79">
        <v>186.98000000000002</v>
      </c>
      <c r="F2403" s="79">
        <v>186.98</v>
      </c>
      <c r="G2403" s="445"/>
      <c r="H2403" s="178">
        <v>186.98</v>
      </c>
      <c r="I2403" s="178">
        <v>229.98</v>
      </c>
      <c r="J2403" s="70">
        <v>-42.999999999999972</v>
      </c>
      <c r="K2403" s="320"/>
      <c r="L2403" s="178">
        <v>122.46</v>
      </c>
      <c r="M2403" s="178">
        <v>64.520000000000024</v>
      </c>
      <c r="N2403" s="179">
        <v>0</v>
      </c>
      <c r="O2403" s="178">
        <v>186.98000000000002</v>
      </c>
      <c r="P2403" s="453"/>
      <c r="R2403" s="298"/>
      <c r="S2403" s="669"/>
      <c r="T2403" s="444"/>
      <c r="U2403" s="444"/>
      <c r="V2403" s="444"/>
      <c r="W2403" s="444"/>
      <c r="X2403" s="444">
        <v>2403</v>
      </c>
      <c r="Y2403" s="444"/>
      <c r="Z2403" s="444"/>
      <c r="AA2403" s="444"/>
      <c r="AB2403" s="444"/>
      <c r="AC2403" s="444"/>
      <c r="AD2403" s="444"/>
      <c r="AE2403" s="444"/>
      <c r="AF2403" s="444"/>
    </row>
    <row r="2404" spans="1:32" ht="12">
      <c r="A2404" s="83" t="s">
        <v>22240</v>
      </c>
      <c r="B2404" s="64" t="s">
        <v>22195</v>
      </c>
      <c r="C2404" s="71" t="s">
        <v>509</v>
      </c>
      <c r="D2404" s="79">
        <v>1</v>
      </c>
      <c r="E2404" s="79">
        <v>223.60000000000002</v>
      </c>
      <c r="F2404" s="79">
        <v>223.6</v>
      </c>
      <c r="G2404" s="445"/>
      <c r="H2404" s="178">
        <v>223.61</v>
      </c>
      <c r="I2404" s="178">
        <v>275.04000000000002</v>
      </c>
      <c r="J2404" s="70">
        <v>-51.44</v>
      </c>
      <c r="K2404" s="320"/>
      <c r="L2404" s="178">
        <v>67.64</v>
      </c>
      <c r="M2404" s="178">
        <v>155.96000000000004</v>
      </c>
      <c r="N2404" s="179">
        <v>0</v>
      </c>
      <c r="O2404" s="178">
        <v>223.60000000000002</v>
      </c>
      <c r="P2404" s="453"/>
      <c r="Q2404" s="61"/>
      <c r="R2404" s="298"/>
      <c r="S2404" s="669"/>
      <c r="X2404" s="444">
        <v>2404</v>
      </c>
    </row>
    <row r="2405" spans="1:32" ht="12">
      <c r="A2405" s="83" t="s">
        <v>22241</v>
      </c>
      <c r="B2405" s="64" t="s">
        <v>22197</v>
      </c>
      <c r="C2405" s="71" t="s">
        <v>509</v>
      </c>
      <c r="D2405" s="79">
        <v>1</v>
      </c>
      <c r="E2405" s="79">
        <v>183.63</v>
      </c>
      <c r="F2405" s="79">
        <v>183.63</v>
      </c>
      <c r="G2405" s="445"/>
      <c r="H2405" s="178">
        <v>183.65</v>
      </c>
      <c r="I2405" s="178">
        <v>225.89</v>
      </c>
      <c r="J2405" s="70">
        <v>-42.259999999999991</v>
      </c>
      <c r="K2405" s="320"/>
      <c r="L2405" s="178">
        <v>67.64</v>
      </c>
      <c r="M2405" s="178">
        <v>115.99</v>
      </c>
      <c r="N2405" s="179">
        <v>0</v>
      </c>
      <c r="O2405" s="178">
        <v>183.63</v>
      </c>
      <c r="P2405" s="453"/>
      <c r="Q2405" s="61"/>
      <c r="R2405" s="298"/>
      <c r="S2405" s="669"/>
      <c r="X2405" s="444">
        <v>2405</v>
      </c>
    </row>
    <row r="2406" spans="1:32" ht="12">
      <c r="A2406" s="83" t="s">
        <v>22242</v>
      </c>
      <c r="B2406" s="64" t="s">
        <v>22199</v>
      </c>
      <c r="C2406" s="71" t="s">
        <v>509</v>
      </c>
      <c r="D2406" s="79">
        <v>1</v>
      </c>
      <c r="E2406" s="79">
        <v>173.93</v>
      </c>
      <c r="F2406" s="79">
        <v>173.93</v>
      </c>
      <c r="G2406" s="445"/>
      <c r="H2406" s="178">
        <v>173.94</v>
      </c>
      <c r="I2406" s="178">
        <v>213.95</v>
      </c>
      <c r="J2406" s="70">
        <v>-40.019999999999982</v>
      </c>
      <c r="K2406" s="320"/>
      <c r="L2406" s="178">
        <v>67.64</v>
      </c>
      <c r="M2406" s="178">
        <v>106.29</v>
      </c>
      <c r="N2406" s="179">
        <v>0</v>
      </c>
      <c r="O2406" s="178">
        <v>173.93</v>
      </c>
      <c r="P2406" s="453"/>
      <c r="Q2406" s="61"/>
      <c r="R2406" s="298"/>
      <c r="S2406" s="669"/>
      <c r="X2406" s="444">
        <v>2406</v>
      </c>
    </row>
    <row r="2407" spans="1:32" s="69" customFormat="1" ht="12">
      <c r="A2407" s="83" t="s">
        <v>22243</v>
      </c>
      <c r="B2407" s="64" t="s">
        <v>22244</v>
      </c>
      <c r="C2407" s="71" t="s">
        <v>10216</v>
      </c>
      <c r="D2407" s="79">
        <v>1</v>
      </c>
      <c r="E2407" s="79">
        <v>577.26</v>
      </c>
      <c r="F2407" s="79">
        <v>577.26</v>
      </c>
      <c r="G2407" s="445"/>
      <c r="H2407" s="178">
        <v>577.25</v>
      </c>
      <c r="I2407" s="178">
        <v>710.02</v>
      </c>
      <c r="J2407" s="70">
        <v>-132.76</v>
      </c>
      <c r="K2407" s="320"/>
      <c r="L2407" s="178"/>
      <c r="M2407" s="178">
        <v>577.26</v>
      </c>
      <c r="N2407" s="179">
        <v>0</v>
      </c>
      <c r="O2407" s="178">
        <v>577.26</v>
      </c>
      <c r="P2407" s="453"/>
      <c r="Q2407" s="61"/>
      <c r="R2407" s="298"/>
      <c r="S2407" s="669"/>
      <c r="T2407" s="444"/>
      <c r="U2407" s="444"/>
      <c r="V2407" s="444"/>
      <c r="W2407" s="444"/>
      <c r="X2407" s="444">
        <v>2407</v>
      </c>
      <c r="Y2407" s="444"/>
      <c r="Z2407" s="444"/>
      <c r="AA2407" s="444"/>
      <c r="AB2407" s="444"/>
      <c r="AC2407" s="444"/>
      <c r="AD2407" s="444"/>
      <c r="AE2407" s="444"/>
      <c r="AF2407" s="444"/>
    </row>
    <row r="2408" spans="1:32" ht="12">
      <c r="A2408" s="83" t="s">
        <v>39902</v>
      </c>
      <c r="B2408" s="64" t="s">
        <v>39518</v>
      </c>
      <c r="C2408" s="71"/>
      <c r="D2408" s="79" t="s">
        <v>40899</v>
      </c>
      <c r="E2408" s="79" t="s">
        <v>40899</v>
      </c>
      <c r="F2408" s="79"/>
      <c r="G2408" s="445"/>
      <c r="H2408" s="178"/>
      <c r="I2408" s="178"/>
      <c r="J2408" s="70"/>
      <c r="K2408" s="320"/>
      <c r="L2408" s="178"/>
      <c r="M2408" s="178"/>
      <c r="N2408" s="179"/>
      <c r="O2408" s="178"/>
      <c r="P2408" s="453"/>
      <c r="Q2408" s="61"/>
      <c r="R2408" s="298"/>
      <c r="S2408" s="669"/>
      <c r="X2408" s="444">
        <v>2408</v>
      </c>
    </row>
    <row r="2409" spans="1:32" ht="12">
      <c r="A2409" s="83" t="s">
        <v>22245</v>
      </c>
      <c r="B2409" s="64" t="s">
        <v>22246</v>
      </c>
      <c r="C2409" s="71" t="s">
        <v>509</v>
      </c>
      <c r="D2409" s="79">
        <v>1</v>
      </c>
      <c r="E2409" s="79">
        <v>12.52</v>
      </c>
      <c r="F2409" s="79">
        <v>12.52</v>
      </c>
      <c r="G2409" s="445"/>
      <c r="H2409" s="178">
        <v>12.52</v>
      </c>
      <c r="I2409" s="178">
        <v>15.4</v>
      </c>
      <c r="J2409" s="70">
        <v>-2.8800000000000008</v>
      </c>
      <c r="K2409" s="320"/>
      <c r="L2409" s="178">
        <v>12.52</v>
      </c>
      <c r="M2409" s="178">
        <v>0</v>
      </c>
      <c r="N2409" s="179">
        <v>0</v>
      </c>
      <c r="O2409" s="178">
        <v>12.52</v>
      </c>
      <c r="P2409" s="453"/>
      <c r="Q2409" s="61"/>
      <c r="R2409" s="298"/>
      <c r="S2409" s="669"/>
      <c r="X2409" s="444">
        <v>2409</v>
      </c>
    </row>
    <row r="2410" spans="1:32" ht="24">
      <c r="A2410" s="83" t="s">
        <v>22247</v>
      </c>
      <c r="B2410" s="64" t="s">
        <v>22248</v>
      </c>
      <c r="C2410" s="71" t="s">
        <v>509</v>
      </c>
      <c r="D2410" s="79">
        <v>1</v>
      </c>
      <c r="E2410" s="79">
        <v>18.8</v>
      </c>
      <c r="F2410" s="79">
        <v>18.8</v>
      </c>
      <c r="G2410" s="445"/>
      <c r="H2410" s="178">
        <v>18.78</v>
      </c>
      <c r="I2410" s="178">
        <v>23.1</v>
      </c>
      <c r="J2410" s="70">
        <v>-4.3000000000000007</v>
      </c>
      <c r="K2410" s="320"/>
      <c r="L2410" s="178">
        <v>18.8</v>
      </c>
      <c r="M2410" s="178">
        <v>0</v>
      </c>
      <c r="N2410" s="179">
        <v>0</v>
      </c>
      <c r="O2410" s="178">
        <v>18.8</v>
      </c>
      <c r="P2410" s="453"/>
      <c r="Q2410" s="61"/>
      <c r="R2410" s="298"/>
      <c r="S2410" s="669"/>
      <c r="X2410" s="444">
        <v>2410</v>
      </c>
    </row>
    <row r="2411" spans="1:32" ht="12">
      <c r="A2411" s="83" t="s">
        <v>22249</v>
      </c>
      <c r="B2411" s="64" t="s">
        <v>22250</v>
      </c>
      <c r="C2411" s="71" t="s">
        <v>509</v>
      </c>
      <c r="D2411" s="79">
        <v>1</v>
      </c>
      <c r="E2411" s="79">
        <v>6.28</v>
      </c>
      <c r="F2411" s="79">
        <v>6.28</v>
      </c>
      <c r="G2411" s="445"/>
      <c r="H2411" s="178">
        <v>6.26</v>
      </c>
      <c r="I2411" s="178">
        <v>7.7</v>
      </c>
      <c r="J2411" s="70">
        <v>-1.42</v>
      </c>
      <c r="K2411" s="320"/>
      <c r="L2411" s="178">
        <v>6.28</v>
      </c>
      <c r="M2411" s="178">
        <v>0</v>
      </c>
      <c r="N2411" s="179">
        <v>0</v>
      </c>
      <c r="O2411" s="178">
        <v>6.28</v>
      </c>
      <c r="P2411" s="453"/>
      <c r="Q2411" s="61"/>
      <c r="R2411" s="298"/>
      <c r="S2411" s="669"/>
      <c r="X2411" s="444">
        <v>2411</v>
      </c>
    </row>
    <row r="2412" spans="1:32" s="61" customFormat="1" ht="12">
      <c r="A2412" s="83" t="s">
        <v>22251</v>
      </c>
      <c r="B2412" s="64" t="s">
        <v>18570</v>
      </c>
      <c r="C2412" s="71" t="s">
        <v>10216</v>
      </c>
      <c r="D2412" s="79">
        <v>1</v>
      </c>
      <c r="E2412" s="79">
        <v>577.26</v>
      </c>
      <c r="F2412" s="79">
        <v>577.26</v>
      </c>
      <c r="G2412" s="445"/>
      <c r="H2412" s="178">
        <v>577.25</v>
      </c>
      <c r="I2412" s="178">
        <v>710.02</v>
      </c>
      <c r="J2412" s="70">
        <v>-132.76</v>
      </c>
      <c r="K2412" s="320"/>
      <c r="L2412" s="178"/>
      <c r="M2412" s="178">
        <v>577.26</v>
      </c>
      <c r="N2412" s="179">
        <v>0</v>
      </c>
      <c r="O2412" s="178">
        <v>577.26</v>
      </c>
      <c r="P2412" s="453"/>
      <c r="R2412" s="298"/>
      <c r="S2412" s="669"/>
      <c r="T2412" s="444"/>
      <c r="U2412" s="444"/>
      <c r="V2412" s="444"/>
      <c r="W2412" s="444"/>
      <c r="X2412" s="444">
        <v>2412</v>
      </c>
      <c r="Y2412" s="444"/>
      <c r="Z2412" s="444"/>
      <c r="AA2412" s="444"/>
      <c r="AB2412" s="444"/>
      <c r="AC2412" s="444"/>
      <c r="AD2412" s="444"/>
      <c r="AE2412" s="444"/>
      <c r="AF2412" s="444"/>
    </row>
    <row r="2413" spans="1:32" ht="12">
      <c r="A2413" s="83" t="s">
        <v>39903</v>
      </c>
      <c r="B2413" s="64" t="s">
        <v>39520</v>
      </c>
      <c r="C2413" s="71"/>
      <c r="D2413" s="79" t="s">
        <v>40899</v>
      </c>
      <c r="E2413" s="79" t="s">
        <v>40899</v>
      </c>
      <c r="F2413" s="79"/>
      <c r="G2413" s="445"/>
      <c r="H2413" s="178"/>
      <c r="I2413" s="178"/>
      <c r="J2413" s="70"/>
      <c r="K2413" s="320"/>
      <c r="L2413" s="178"/>
      <c r="M2413" s="178"/>
      <c r="N2413" s="179"/>
      <c r="O2413" s="178"/>
      <c r="P2413" s="453"/>
      <c r="Q2413" s="61"/>
      <c r="R2413" s="298"/>
      <c r="S2413" s="669"/>
      <c r="X2413" s="444">
        <v>2413</v>
      </c>
    </row>
    <row r="2414" spans="1:32" ht="24">
      <c r="A2414" s="83" t="s">
        <v>22252</v>
      </c>
      <c r="B2414" s="64" t="s">
        <v>22253</v>
      </c>
      <c r="C2414" s="71" t="s">
        <v>509</v>
      </c>
      <c r="D2414" s="79">
        <v>1</v>
      </c>
      <c r="E2414" s="79">
        <v>40.200000000000003</v>
      </c>
      <c r="F2414" s="79">
        <v>40.200000000000003</v>
      </c>
      <c r="G2414" s="445"/>
      <c r="H2414" s="178">
        <v>40.200000000000003</v>
      </c>
      <c r="I2414" s="178">
        <v>49.44</v>
      </c>
      <c r="J2414" s="70">
        <v>-9.2399999999999949</v>
      </c>
      <c r="K2414" s="320"/>
      <c r="L2414" s="178">
        <v>40.200000000000003</v>
      </c>
      <c r="M2414" s="178">
        <v>0</v>
      </c>
      <c r="N2414" s="179">
        <v>0</v>
      </c>
      <c r="O2414" s="178">
        <v>40.200000000000003</v>
      </c>
      <c r="P2414" s="453"/>
      <c r="Q2414" s="61"/>
      <c r="R2414" s="298"/>
      <c r="S2414" s="669"/>
      <c r="X2414" s="444">
        <v>2414</v>
      </c>
    </row>
    <row r="2415" spans="1:32" ht="12">
      <c r="A2415" s="83" t="s">
        <v>22254</v>
      </c>
      <c r="B2415" s="64" t="s">
        <v>18572</v>
      </c>
      <c r="C2415" s="71" t="s">
        <v>10216</v>
      </c>
      <c r="D2415" s="79">
        <v>1</v>
      </c>
      <c r="E2415" s="79">
        <v>577.26</v>
      </c>
      <c r="F2415" s="79">
        <v>577.26</v>
      </c>
      <c r="G2415" s="445"/>
      <c r="H2415" s="178">
        <v>577.25</v>
      </c>
      <c r="I2415" s="178">
        <v>710.02</v>
      </c>
      <c r="J2415" s="70">
        <v>-132.76</v>
      </c>
      <c r="K2415" s="320"/>
      <c r="L2415" s="178"/>
      <c r="M2415" s="178">
        <v>577.26</v>
      </c>
      <c r="N2415" s="179">
        <v>0</v>
      </c>
      <c r="O2415" s="178">
        <v>577.26</v>
      </c>
      <c r="P2415" s="453"/>
      <c r="Q2415" s="61"/>
      <c r="R2415" s="298"/>
      <c r="S2415" s="669"/>
      <c r="X2415" s="444">
        <v>2415</v>
      </c>
    </row>
    <row r="2416" spans="1:32" ht="12">
      <c r="A2416" s="83" t="s">
        <v>39904</v>
      </c>
      <c r="B2416" s="64" t="s">
        <v>39905</v>
      </c>
      <c r="C2416" s="71"/>
      <c r="D2416" s="79" t="s">
        <v>40899</v>
      </c>
      <c r="E2416" s="79" t="s">
        <v>40899</v>
      </c>
      <c r="F2416" s="79"/>
      <c r="G2416" s="445"/>
      <c r="H2416" s="178"/>
      <c r="I2416" s="178"/>
      <c r="J2416" s="70"/>
      <c r="K2416" s="320"/>
      <c r="L2416" s="178"/>
      <c r="M2416" s="178"/>
      <c r="N2416" s="179"/>
      <c r="O2416" s="178"/>
      <c r="P2416" s="453"/>
      <c r="Q2416" s="61"/>
      <c r="R2416" s="298"/>
      <c r="S2416" s="669"/>
      <c r="T2416" s="61"/>
      <c r="X2416" s="444">
        <v>2416</v>
      </c>
    </row>
    <row r="2417" spans="1:32" ht="12">
      <c r="A2417" s="83" t="s">
        <v>22255</v>
      </c>
      <c r="B2417" s="64" t="s">
        <v>22256</v>
      </c>
      <c r="C2417" s="71" t="s">
        <v>509</v>
      </c>
      <c r="D2417" s="79">
        <v>1</v>
      </c>
      <c r="E2417" s="79">
        <v>128.15</v>
      </c>
      <c r="F2417" s="79">
        <v>128.15</v>
      </c>
      <c r="G2417" s="445"/>
      <c r="H2417" s="178">
        <v>128.13999999999999</v>
      </c>
      <c r="I2417" s="178">
        <v>157.61000000000001</v>
      </c>
      <c r="J2417" s="70">
        <v>-29.460000000000008</v>
      </c>
      <c r="K2417" s="320"/>
      <c r="L2417" s="178">
        <v>113.35</v>
      </c>
      <c r="M2417" s="178">
        <v>14.800000000000011</v>
      </c>
      <c r="N2417" s="179">
        <v>0</v>
      </c>
      <c r="O2417" s="178">
        <v>128.15</v>
      </c>
      <c r="P2417" s="453"/>
      <c r="Q2417" s="61"/>
      <c r="R2417" s="298"/>
      <c r="S2417" s="669"/>
      <c r="X2417" s="444">
        <v>2417</v>
      </c>
    </row>
    <row r="2418" spans="1:32" s="61" customFormat="1" ht="12">
      <c r="A2418" s="83" t="s">
        <v>22257</v>
      </c>
      <c r="B2418" s="64" t="s">
        <v>22258</v>
      </c>
      <c r="C2418" s="71" t="s">
        <v>10216</v>
      </c>
      <c r="D2418" s="79">
        <v>1</v>
      </c>
      <c r="E2418" s="79">
        <v>577.26</v>
      </c>
      <c r="F2418" s="79">
        <v>577.26</v>
      </c>
      <c r="G2418" s="445"/>
      <c r="H2418" s="178">
        <v>577.25</v>
      </c>
      <c r="I2418" s="178">
        <v>710.02</v>
      </c>
      <c r="J2418" s="70">
        <v>-132.76</v>
      </c>
      <c r="K2418" s="320"/>
      <c r="L2418" s="178"/>
      <c r="M2418" s="178">
        <v>577.26</v>
      </c>
      <c r="N2418" s="179">
        <v>0</v>
      </c>
      <c r="O2418" s="178">
        <v>577.26</v>
      </c>
      <c r="P2418" s="453"/>
      <c r="R2418" s="298"/>
      <c r="S2418" s="669"/>
      <c r="T2418" s="444"/>
      <c r="U2418" s="444"/>
      <c r="V2418" s="444"/>
      <c r="W2418" s="444"/>
      <c r="X2418" s="444">
        <v>2418</v>
      </c>
      <c r="Y2418" s="444"/>
      <c r="Z2418" s="444"/>
      <c r="AA2418" s="444"/>
      <c r="AB2418" s="444"/>
      <c r="AC2418" s="444"/>
      <c r="AD2418" s="444"/>
      <c r="AE2418" s="444"/>
      <c r="AF2418" s="444"/>
    </row>
    <row r="2419" spans="1:32" s="61" customFormat="1" ht="12">
      <c r="A2419" s="83" t="s">
        <v>39906</v>
      </c>
      <c r="B2419" s="64" t="s">
        <v>39907</v>
      </c>
      <c r="C2419" s="71"/>
      <c r="D2419" s="79" t="s">
        <v>40899</v>
      </c>
      <c r="E2419" s="79" t="s">
        <v>40899</v>
      </c>
      <c r="F2419" s="79"/>
      <c r="G2419" s="445"/>
      <c r="H2419" s="178"/>
      <c r="I2419" s="178"/>
      <c r="J2419" s="70"/>
      <c r="K2419" s="320"/>
      <c r="L2419" s="178"/>
      <c r="M2419" s="178"/>
      <c r="N2419" s="179"/>
      <c r="O2419" s="178"/>
      <c r="P2419" s="453"/>
      <c r="R2419" s="298"/>
      <c r="S2419" s="669"/>
      <c r="T2419" s="444"/>
      <c r="U2419" s="444"/>
      <c r="V2419" s="444"/>
      <c r="W2419" s="444"/>
      <c r="X2419" s="444">
        <v>2419</v>
      </c>
      <c r="Y2419" s="444"/>
      <c r="Z2419" s="444"/>
      <c r="AA2419" s="444"/>
      <c r="AB2419" s="444"/>
      <c r="AC2419" s="444"/>
      <c r="AD2419" s="444"/>
      <c r="AE2419" s="444"/>
      <c r="AF2419" s="444"/>
    </row>
    <row r="2420" spans="1:32" ht="12">
      <c r="A2420" s="83" t="s">
        <v>22259</v>
      </c>
      <c r="B2420" s="64" t="s">
        <v>22260</v>
      </c>
      <c r="C2420" s="71" t="s">
        <v>509</v>
      </c>
      <c r="D2420" s="79">
        <v>1</v>
      </c>
      <c r="E2420" s="79">
        <v>14.22</v>
      </c>
      <c r="F2420" s="79">
        <v>14.22</v>
      </c>
      <c r="G2420" s="445"/>
      <c r="H2420" s="178">
        <v>14.21</v>
      </c>
      <c r="I2420" s="178">
        <v>17.48</v>
      </c>
      <c r="J2420" s="70">
        <v>-3.26</v>
      </c>
      <c r="K2420" s="320"/>
      <c r="L2420" s="178">
        <v>11.23</v>
      </c>
      <c r="M2420" s="178">
        <v>2.99</v>
      </c>
      <c r="N2420" s="179">
        <v>0</v>
      </c>
      <c r="O2420" s="178">
        <v>14.22</v>
      </c>
      <c r="P2420" s="453"/>
      <c r="Q2420" s="61"/>
      <c r="R2420" s="298"/>
      <c r="S2420" s="669"/>
      <c r="X2420" s="444">
        <v>2420</v>
      </c>
    </row>
    <row r="2421" spans="1:32" ht="12">
      <c r="A2421" s="83" t="s">
        <v>22261</v>
      </c>
      <c r="B2421" s="64" t="s">
        <v>22262</v>
      </c>
      <c r="C2421" s="71" t="s">
        <v>165</v>
      </c>
      <c r="D2421" s="79">
        <v>1</v>
      </c>
      <c r="E2421" s="79">
        <v>15.479999999999999</v>
      </c>
      <c r="F2421" s="79">
        <v>15.48</v>
      </c>
      <c r="G2421" s="445"/>
      <c r="H2421" s="178">
        <v>15.46</v>
      </c>
      <c r="I2421" s="178">
        <v>19.02</v>
      </c>
      <c r="J2421" s="70">
        <v>-3.5400000000000009</v>
      </c>
      <c r="K2421" s="320"/>
      <c r="L2421" s="178">
        <v>11.68</v>
      </c>
      <c r="M2421" s="178">
        <v>3.7999999999999989</v>
      </c>
      <c r="N2421" s="179">
        <v>0</v>
      </c>
      <c r="O2421" s="178">
        <v>15.479999999999999</v>
      </c>
      <c r="P2421" s="453"/>
      <c r="Q2421" s="61"/>
      <c r="R2421" s="298"/>
      <c r="S2421" s="669"/>
      <c r="X2421" s="444">
        <v>2421</v>
      </c>
    </row>
    <row r="2422" spans="1:32" ht="12">
      <c r="A2422" s="83" t="s">
        <v>22263</v>
      </c>
      <c r="B2422" s="64" t="s">
        <v>22264</v>
      </c>
      <c r="C2422" s="71" t="s">
        <v>165</v>
      </c>
      <c r="D2422" s="79">
        <v>1</v>
      </c>
      <c r="E2422" s="79">
        <v>49.800000000000004</v>
      </c>
      <c r="F2422" s="79">
        <v>49.8</v>
      </c>
      <c r="G2422" s="445"/>
      <c r="H2422" s="178">
        <v>49.79</v>
      </c>
      <c r="I2422" s="178">
        <v>61.24</v>
      </c>
      <c r="J2422" s="70">
        <v>-11.439999999999998</v>
      </c>
      <c r="K2422" s="320"/>
      <c r="L2422" s="178">
        <v>39.540000000000006</v>
      </c>
      <c r="M2422" s="178">
        <v>10.259999999999998</v>
      </c>
      <c r="N2422" s="179">
        <v>0</v>
      </c>
      <c r="O2422" s="178">
        <v>49.800000000000004</v>
      </c>
      <c r="P2422" s="453"/>
      <c r="Q2422" s="61"/>
      <c r="R2422" s="298"/>
      <c r="S2422" s="669"/>
      <c r="X2422" s="444">
        <v>2422</v>
      </c>
    </row>
    <row r="2423" spans="1:32" ht="12">
      <c r="A2423" s="83" t="s">
        <v>22265</v>
      </c>
      <c r="B2423" s="64" t="s">
        <v>22146</v>
      </c>
      <c r="C2423" s="71" t="s">
        <v>165</v>
      </c>
      <c r="D2423" s="79">
        <v>1</v>
      </c>
      <c r="E2423" s="79">
        <v>51.69</v>
      </c>
      <c r="F2423" s="79">
        <v>51.69</v>
      </c>
      <c r="G2423" s="445"/>
      <c r="H2423" s="178">
        <v>51.67</v>
      </c>
      <c r="I2423" s="178">
        <v>63.56</v>
      </c>
      <c r="J2423" s="70">
        <v>-11.870000000000005</v>
      </c>
      <c r="K2423" s="320"/>
      <c r="L2423" s="178">
        <v>35.08</v>
      </c>
      <c r="M2423" s="178">
        <v>16.61</v>
      </c>
      <c r="N2423" s="179">
        <v>0</v>
      </c>
      <c r="O2423" s="178">
        <v>51.69</v>
      </c>
      <c r="P2423" s="453"/>
      <c r="Q2423" s="61"/>
      <c r="R2423" s="298"/>
      <c r="S2423" s="669"/>
      <c r="U2423" s="69"/>
      <c r="V2423" s="69"/>
      <c r="W2423" s="69"/>
      <c r="X2423" s="444">
        <v>2423</v>
      </c>
      <c r="Y2423" s="69"/>
      <c r="Z2423" s="69"/>
      <c r="AA2423" s="69"/>
      <c r="AB2423" s="69"/>
      <c r="AC2423" s="69"/>
      <c r="AD2423" s="69"/>
      <c r="AE2423" s="69"/>
      <c r="AF2423" s="69"/>
    </row>
    <row r="2424" spans="1:32" ht="12">
      <c r="A2424" s="83" t="s">
        <v>22266</v>
      </c>
      <c r="B2424" s="64" t="s">
        <v>22267</v>
      </c>
      <c r="C2424" s="71" t="s">
        <v>10216</v>
      </c>
      <c r="D2424" s="79">
        <v>1</v>
      </c>
      <c r="E2424" s="79">
        <v>577.26</v>
      </c>
      <c r="F2424" s="79">
        <v>577.26</v>
      </c>
      <c r="G2424" s="445"/>
      <c r="H2424" s="178">
        <v>577.25</v>
      </c>
      <c r="I2424" s="178">
        <v>710.02</v>
      </c>
      <c r="J2424" s="70">
        <v>-132.76</v>
      </c>
      <c r="K2424" s="320"/>
      <c r="L2424" s="178"/>
      <c r="M2424" s="178">
        <v>577.26</v>
      </c>
      <c r="N2424" s="179">
        <v>0</v>
      </c>
      <c r="O2424" s="178">
        <v>577.26</v>
      </c>
      <c r="P2424" s="453"/>
      <c r="Q2424" s="61"/>
      <c r="R2424" s="298"/>
      <c r="S2424" s="669"/>
      <c r="X2424" s="444">
        <v>2424</v>
      </c>
    </row>
    <row r="2425" spans="1:32" ht="12">
      <c r="A2425" s="83" t="s">
        <v>39908</v>
      </c>
      <c r="B2425" s="64" t="s">
        <v>39909</v>
      </c>
      <c r="C2425" s="71"/>
      <c r="D2425" s="79" t="s">
        <v>40899</v>
      </c>
      <c r="E2425" s="79" t="s">
        <v>40899</v>
      </c>
      <c r="F2425" s="79"/>
      <c r="G2425" s="445"/>
      <c r="H2425" s="178"/>
      <c r="I2425" s="178"/>
      <c r="J2425" s="70"/>
      <c r="K2425" s="320"/>
      <c r="L2425" s="178"/>
      <c r="M2425" s="178"/>
      <c r="N2425" s="179"/>
      <c r="O2425" s="178"/>
      <c r="P2425" s="453"/>
      <c r="Q2425" s="61"/>
      <c r="R2425" s="298"/>
      <c r="S2425" s="669"/>
      <c r="X2425" s="444">
        <v>2425</v>
      </c>
    </row>
    <row r="2426" spans="1:32" ht="12">
      <c r="A2426" s="83" t="s">
        <v>11911</v>
      </c>
      <c r="B2426" s="64" t="s">
        <v>39910</v>
      </c>
      <c r="C2426" s="71"/>
      <c r="D2426" s="79" t="s">
        <v>40899</v>
      </c>
      <c r="E2426" s="79" t="s">
        <v>40899</v>
      </c>
      <c r="F2426" s="79"/>
      <c r="G2426" s="445"/>
      <c r="H2426" s="178"/>
      <c r="I2426" s="178"/>
      <c r="J2426" s="70"/>
      <c r="K2426" s="320"/>
      <c r="L2426" s="178"/>
      <c r="M2426" s="178"/>
      <c r="N2426" s="179"/>
      <c r="O2426" s="178"/>
      <c r="P2426" s="453"/>
      <c r="Q2426" s="61"/>
      <c r="R2426" s="298"/>
      <c r="S2426" s="669"/>
      <c r="X2426" s="444">
        <v>2426</v>
      </c>
    </row>
    <row r="2427" spans="1:32" ht="12">
      <c r="A2427" s="83" t="s">
        <v>22268</v>
      </c>
      <c r="B2427" s="64" t="s">
        <v>22269</v>
      </c>
      <c r="C2427" s="71" t="s">
        <v>509</v>
      </c>
      <c r="D2427" s="79">
        <v>1</v>
      </c>
      <c r="E2427" s="79">
        <v>46.040000000000006</v>
      </c>
      <c r="F2427" s="79">
        <v>46.04</v>
      </c>
      <c r="G2427" s="445"/>
      <c r="H2427" s="178">
        <v>46.03</v>
      </c>
      <c r="I2427" s="178">
        <v>56.62</v>
      </c>
      <c r="J2427" s="70">
        <v>-10.579999999999991</v>
      </c>
      <c r="K2427" s="320"/>
      <c r="L2427" s="178">
        <v>26</v>
      </c>
      <c r="M2427" s="178">
        <v>20.040000000000006</v>
      </c>
      <c r="N2427" s="179">
        <v>0</v>
      </c>
      <c r="O2427" s="178">
        <v>46.040000000000006</v>
      </c>
      <c r="P2427" s="453"/>
      <c r="Q2427" s="61"/>
      <c r="R2427" s="298"/>
      <c r="S2427" s="669"/>
      <c r="X2427" s="444">
        <v>2427</v>
      </c>
    </row>
    <row r="2428" spans="1:32" ht="12">
      <c r="A2428" s="83" t="s">
        <v>22270</v>
      </c>
      <c r="B2428" s="64" t="s">
        <v>18516</v>
      </c>
      <c r="C2428" s="71" t="s">
        <v>509</v>
      </c>
      <c r="D2428" s="79">
        <v>1</v>
      </c>
      <c r="E2428" s="79">
        <v>11.87</v>
      </c>
      <c r="F2428" s="79">
        <v>11.87</v>
      </c>
      <c r="G2428" s="445"/>
      <c r="H2428" s="178">
        <v>11.87</v>
      </c>
      <c r="I2428" s="178">
        <v>14.6</v>
      </c>
      <c r="J2428" s="70">
        <v>-2.7300000000000004</v>
      </c>
      <c r="K2428" s="320"/>
      <c r="L2428" s="178">
        <v>3.35</v>
      </c>
      <c r="M2428" s="178">
        <v>8.52</v>
      </c>
      <c r="N2428" s="179">
        <v>0</v>
      </c>
      <c r="O2428" s="178">
        <v>11.87</v>
      </c>
      <c r="P2428" s="453"/>
      <c r="Q2428" s="61"/>
      <c r="R2428" s="298"/>
      <c r="S2428" s="669"/>
      <c r="X2428" s="444">
        <v>2428</v>
      </c>
    </row>
    <row r="2429" spans="1:32" ht="12">
      <c r="A2429" s="83" t="s">
        <v>22271</v>
      </c>
      <c r="B2429" s="64" t="s">
        <v>22272</v>
      </c>
      <c r="C2429" s="71" t="s">
        <v>121</v>
      </c>
      <c r="D2429" s="79">
        <v>1</v>
      </c>
      <c r="E2429" s="79">
        <v>452.91999999999996</v>
      </c>
      <c r="F2429" s="79">
        <v>452.92</v>
      </c>
      <c r="G2429" s="445"/>
      <c r="H2429" s="178">
        <v>452.91</v>
      </c>
      <c r="I2429" s="178">
        <v>557.08000000000004</v>
      </c>
      <c r="J2429" s="70">
        <v>-104.16000000000008</v>
      </c>
      <c r="K2429" s="320"/>
      <c r="L2429" s="178">
        <v>111.66999999999999</v>
      </c>
      <c r="M2429" s="178">
        <v>341.25</v>
      </c>
      <c r="N2429" s="179">
        <v>0</v>
      </c>
      <c r="O2429" s="178">
        <v>452.91999999999996</v>
      </c>
      <c r="P2429" s="453"/>
      <c r="Q2429" s="61"/>
      <c r="R2429" s="298"/>
      <c r="S2429" s="669"/>
      <c r="X2429" s="444">
        <v>2429</v>
      </c>
    </row>
    <row r="2430" spans="1:32" ht="12">
      <c r="A2430" s="83" t="s">
        <v>22273</v>
      </c>
      <c r="B2430" s="64" t="s">
        <v>22274</v>
      </c>
      <c r="C2430" s="71" t="s">
        <v>121</v>
      </c>
      <c r="D2430" s="79">
        <v>1</v>
      </c>
      <c r="E2430" s="79">
        <v>611.01</v>
      </c>
      <c r="F2430" s="79">
        <v>611.01</v>
      </c>
      <c r="G2430" s="445"/>
      <c r="H2430" s="178">
        <v>611</v>
      </c>
      <c r="I2430" s="178">
        <v>751.53</v>
      </c>
      <c r="J2430" s="70">
        <v>-140.51999999999998</v>
      </c>
      <c r="K2430" s="320"/>
      <c r="L2430" s="178">
        <v>111.66999999999999</v>
      </c>
      <c r="M2430" s="178">
        <v>499.34000000000003</v>
      </c>
      <c r="N2430" s="179">
        <v>0</v>
      </c>
      <c r="O2430" s="178">
        <v>611.01</v>
      </c>
      <c r="P2430" s="453"/>
      <c r="Q2430" s="61"/>
      <c r="R2430" s="298"/>
      <c r="S2430" s="669"/>
      <c r="X2430" s="444">
        <v>2430</v>
      </c>
    </row>
    <row r="2431" spans="1:32" ht="12">
      <c r="A2431" s="83" t="s">
        <v>22275</v>
      </c>
      <c r="B2431" s="64" t="s">
        <v>22276</v>
      </c>
      <c r="C2431" s="71" t="s">
        <v>509</v>
      </c>
      <c r="D2431" s="79">
        <v>1</v>
      </c>
      <c r="E2431" s="79">
        <v>35.160000000000004</v>
      </c>
      <c r="F2431" s="79">
        <v>35.159999999999997</v>
      </c>
      <c r="G2431" s="445"/>
      <c r="H2431" s="178">
        <v>35.159999999999997</v>
      </c>
      <c r="I2431" s="178">
        <v>43.25</v>
      </c>
      <c r="J2431" s="70">
        <v>-8.0899999999999963</v>
      </c>
      <c r="K2431" s="320"/>
      <c r="L2431" s="178">
        <v>26.46</v>
      </c>
      <c r="M2431" s="178">
        <v>8.7000000000000028</v>
      </c>
      <c r="N2431" s="179">
        <v>0</v>
      </c>
      <c r="O2431" s="178">
        <v>35.160000000000004</v>
      </c>
      <c r="P2431" s="453"/>
      <c r="Q2431" s="61"/>
      <c r="R2431" s="298"/>
      <c r="S2431" s="669"/>
      <c r="X2431" s="444">
        <v>2431</v>
      </c>
    </row>
    <row r="2432" spans="1:32" ht="12">
      <c r="A2432" s="83" t="s">
        <v>22277</v>
      </c>
      <c r="B2432" s="64" t="s">
        <v>22278</v>
      </c>
      <c r="C2432" s="71" t="s">
        <v>509</v>
      </c>
      <c r="D2432" s="79">
        <v>1</v>
      </c>
      <c r="E2432" s="79">
        <v>36.650000000000006</v>
      </c>
      <c r="F2432" s="79">
        <v>36.65</v>
      </c>
      <c r="G2432" s="445"/>
      <c r="H2432" s="178">
        <v>36.65</v>
      </c>
      <c r="I2432" s="178">
        <v>45.08</v>
      </c>
      <c r="J2432" s="70">
        <v>-8.4299999999999926</v>
      </c>
      <c r="K2432" s="320"/>
      <c r="L2432" s="178">
        <v>26.46</v>
      </c>
      <c r="M2432" s="178">
        <v>10.190000000000005</v>
      </c>
      <c r="N2432" s="179">
        <v>0</v>
      </c>
      <c r="O2432" s="178">
        <v>36.650000000000006</v>
      </c>
      <c r="P2432" s="453"/>
      <c r="Q2432" s="61"/>
      <c r="R2432" s="298"/>
      <c r="S2432" s="669"/>
      <c r="X2432" s="444">
        <v>2432</v>
      </c>
    </row>
    <row r="2433" spans="1:32" ht="12">
      <c r="A2433" s="83" t="s">
        <v>22279</v>
      </c>
      <c r="B2433" s="64" t="s">
        <v>22280</v>
      </c>
      <c r="C2433" s="71" t="s">
        <v>10216</v>
      </c>
      <c r="D2433" s="79">
        <v>1</v>
      </c>
      <c r="E2433" s="79">
        <v>577.26</v>
      </c>
      <c r="F2433" s="79">
        <v>577.26</v>
      </c>
      <c r="G2433" s="445"/>
      <c r="H2433" s="178">
        <v>577.25</v>
      </c>
      <c r="I2433" s="178">
        <v>710.02</v>
      </c>
      <c r="J2433" s="70">
        <v>-132.76</v>
      </c>
      <c r="K2433" s="320"/>
      <c r="L2433" s="178"/>
      <c r="M2433" s="178">
        <v>577.26</v>
      </c>
      <c r="N2433" s="179">
        <v>0</v>
      </c>
      <c r="O2433" s="178">
        <v>577.26</v>
      </c>
      <c r="P2433" s="453"/>
      <c r="Q2433" s="61"/>
      <c r="R2433" s="298"/>
      <c r="S2433" s="669"/>
      <c r="X2433" s="444">
        <v>2433</v>
      </c>
    </row>
    <row r="2434" spans="1:32" ht="12">
      <c r="A2434" s="83" t="s">
        <v>11933</v>
      </c>
      <c r="B2434" s="64" t="s">
        <v>39911</v>
      </c>
      <c r="C2434" s="71"/>
      <c r="D2434" s="79" t="s">
        <v>40899</v>
      </c>
      <c r="E2434" s="79" t="s">
        <v>40899</v>
      </c>
      <c r="F2434" s="79"/>
      <c r="G2434" s="445"/>
      <c r="H2434" s="178"/>
      <c r="I2434" s="178"/>
      <c r="J2434" s="70"/>
      <c r="K2434" s="320"/>
      <c r="L2434" s="178"/>
      <c r="M2434" s="178"/>
      <c r="N2434" s="179"/>
      <c r="O2434" s="178"/>
      <c r="P2434" s="453"/>
      <c r="Q2434" s="61"/>
      <c r="R2434" s="298"/>
      <c r="S2434" s="669"/>
      <c r="X2434" s="444">
        <v>2434</v>
      </c>
    </row>
    <row r="2435" spans="1:32" s="73" customFormat="1" ht="12">
      <c r="A2435" s="83" t="s">
        <v>22281</v>
      </c>
      <c r="B2435" s="64" t="s">
        <v>22282</v>
      </c>
      <c r="C2435" s="71" t="s">
        <v>509</v>
      </c>
      <c r="D2435" s="79">
        <v>1</v>
      </c>
      <c r="E2435" s="79">
        <v>76.25</v>
      </c>
      <c r="F2435" s="79">
        <v>76.25</v>
      </c>
      <c r="G2435" s="445"/>
      <c r="H2435" s="178">
        <v>76.239999999999995</v>
      </c>
      <c r="I2435" s="178">
        <v>93.78</v>
      </c>
      <c r="J2435" s="70">
        <v>-17.53</v>
      </c>
      <c r="K2435" s="320"/>
      <c r="L2435" s="178">
        <v>52.459999999999994</v>
      </c>
      <c r="M2435" s="178">
        <v>23.790000000000006</v>
      </c>
      <c r="N2435" s="179">
        <v>0</v>
      </c>
      <c r="O2435" s="178">
        <v>76.25</v>
      </c>
      <c r="P2435" s="453"/>
      <c r="Q2435" s="61"/>
      <c r="R2435" s="298"/>
      <c r="S2435" s="669"/>
      <c r="T2435" s="444"/>
      <c r="U2435" s="444"/>
      <c r="V2435" s="444"/>
      <c r="W2435" s="444"/>
      <c r="X2435" s="444">
        <v>2435</v>
      </c>
      <c r="Y2435" s="444"/>
      <c r="Z2435" s="444"/>
      <c r="AA2435" s="444"/>
      <c r="AB2435" s="444"/>
      <c r="AC2435" s="444"/>
      <c r="AD2435" s="444"/>
      <c r="AE2435" s="444"/>
      <c r="AF2435" s="444"/>
    </row>
    <row r="2436" spans="1:32" ht="12">
      <c r="A2436" s="83" t="s">
        <v>22283</v>
      </c>
      <c r="B2436" s="64" t="s">
        <v>22284</v>
      </c>
      <c r="C2436" s="71" t="s">
        <v>509</v>
      </c>
      <c r="D2436" s="79">
        <v>1</v>
      </c>
      <c r="E2436" s="79">
        <v>71.11</v>
      </c>
      <c r="F2436" s="79">
        <v>71.11</v>
      </c>
      <c r="G2436" s="445"/>
      <c r="H2436" s="178">
        <v>71.11</v>
      </c>
      <c r="I2436" s="178">
        <v>87.46</v>
      </c>
      <c r="J2436" s="70">
        <v>-16.349999999999994</v>
      </c>
      <c r="K2436" s="320"/>
      <c r="L2436" s="178">
        <v>52.459999999999994</v>
      </c>
      <c r="M2436" s="178">
        <v>18.650000000000006</v>
      </c>
      <c r="N2436" s="179">
        <v>0</v>
      </c>
      <c r="O2436" s="178">
        <v>71.11</v>
      </c>
      <c r="P2436" s="453"/>
      <c r="Q2436" s="61"/>
      <c r="R2436" s="298"/>
      <c r="S2436" s="669"/>
      <c r="X2436" s="444">
        <v>2436</v>
      </c>
    </row>
    <row r="2437" spans="1:32" ht="12">
      <c r="A2437" s="83" t="s">
        <v>22285</v>
      </c>
      <c r="B2437" s="64" t="s">
        <v>22286</v>
      </c>
      <c r="C2437" s="71" t="s">
        <v>509</v>
      </c>
      <c r="D2437" s="79">
        <v>1</v>
      </c>
      <c r="E2437" s="79">
        <v>94.12</v>
      </c>
      <c r="F2437" s="79">
        <v>94.12</v>
      </c>
      <c r="G2437" s="445"/>
      <c r="H2437" s="178">
        <v>94.11</v>
      </c>
      <c r="I2437" s="178">
        <v>115.76</v>
      </c>
      <c r="J2437" s="70">
        <v>-21.64</v>
      </c>
      <c r="K2437" s="320"/>
      <c r="L2437" s="178">
        <v>9.92</v>
      </c>
      <c r="M2437" s="178">
        <v>84.2</v>
      </c>
      <c r="N2437" s="179">
        <v>0</v>
      </c>
      <c r="O2437" s="178">
        <v>94.12</v>
      </c>
      <c r="P2437" s="453"/>
      <c r="Q2437" s="61"/>
      <c r="R2437" s="298"/>
      <c r="S2437" s="669"/>
      <c r="X2437" s="444">
        <v>2437</v>
      </c>
    </row>
    <row r="2438" spans="1:32" ht="12">
      <c r="A2438" s="83" t="s">
        <v>22287</v>
      </c>
      <c r="B2438" s="64" t="s">
        <v>22288</v>
      </c>
      <c r="C2438" s="71" t="s">
        <v>509</v>
      </c>
      <c r="D2438" s="79">
        <v>1</v>
      </c>
      <c r="E2438" s="79">
        <v>195.92</v>
      </c>
      <c r="F2438" s="79">
        <v>195.92</v>
      </c>
      <c r="G2438" s="445"/>
      <c r="H2438" s="178">
        <v>195.91</v>
      </c>
      <c r="I2438" s="178">
        <v>240.97</v>
      </c>
      <c r="J2438" s="70">
        <v>-45.050000000000011</v>
      </c>
      <c r="K2438" s="320"/>
      <c r="L2438" s="178">
        <v>57.85</v>
      </c>
      <c r="M2438" s="178">
        <v>138.07</v>
      </c>
      <c r="N2438" s="179">
        <v>0</v>
      </c>
      <c r="O2438" s="178">
        <v>195.92</v>
      </c>
      <c r="P2438" s="453"/>
      <c r="Q2438" s="61"/>
      <c r="R2438" s="298"/>
      <c r="S2438" s="669"/>
      <c r="X2438" s="444">
        <v>2438</v>
      </c>
    </row>
    <row r="2439" spans="1:32" ht="12">
      <c r="A2439" s="83" t="s">
        <v>22289</v>
      </c>
      <c r="B2439" s="64" t="s">
        <v>22290</v>
      </c>
      <c r="C2439" s="71" t="s">
        <v>509</v>
      </c>
      <c r="D2439" s="79">
        <v>1</v>
      </c>
      <c r="E2439" s="79">
        <v>185.13000000000002</v>
      </c>
      <c r="F2439" s="79">
        <v>185.13</v>
      </c>
      <c r="G2439" s="445"/>
      <c r="H2439" s="178">
        <v>185.12</v>
      </c>
      <c r="I2439" s="178">
        <v>227.7</v>
      </c>
      <c r="J2439" s="70">
        <v>-42.569999999999965</v>
      </c>
      <c r="K2439" s="320"/>
      <c r="L2439" s="178">
        <v>46.980000000000004</v>
      </c>
      <c r="M2439" s="178">
        <v>138.15000000000003</v>
      </c>
      <c r="N2439" s="179">
        <v>0</v>
      </c>
      <c r="O2439" s="178">
        <v>185.13000000000005</v>
      </c>
      <c r="P2439" s="453"/>
      <c r="Q2439" s="61"/>
      <c r="R2439" s="298"/>
      <c r="S2439" s="669"/>
      <c r="X2439" s="444">
        <v>2439</v>
      </c>
    </row>
    <row r="2440" spans="1:32" ht="12">
      <c r="A2440" s="83" t="s">
        <v>22291</v>
      </c>
      <c r="B2440" s="64" t="s">
        <v>22292</v>
      </c>
      <c r="C2440" s="71" t="s">
        <v>509</v>
      </c>
      <c r="D2440" s="79">
        <v>1</v>
      </c>
      <c r="E2440" s="79">
        <v>29.96</v>
      </c>
      <c r="F2440" s="79">
        <v>29.96</v>
      </c>
      <c r="G2440" s="445"/>
      <c r="H2440" s="178">
        <v>29.96</v>
      </c>
      <c r="I2440" s="178">
        <v>36.85</v>
      </c>
      <c r="J2440" s="70">
        <v>-6.8900000000000006</v>
      </c>
      <c r="K2440" s="320"/>
      <c r="L2440" s="178">
        <v>19.8</v>
      </c>
      <c r="M2440" s="178">
        <v>10.16</v>
      </c>
      <c r="N2440" s="179">
        <v>0</v>
      </c>
      <c r="O2440" s="178">
        <v>29.96</v>
      </c>
      <c r="P2440" s="453"/>
      <c r="Q2440" s="61"/>
      <c r="R2440" s="298"/>
      <c r="S2440" s="669"/>
      <c r="X2440" s="444">
        <v>2440</v>
      </c>
    </row>
    <row r="2441" spans="1:32" ht="12">
      <c r="A2441" s="83" t="s">
        <v>22293</v>
      </c>
      <c r="B2441" s="64" t="s">
        <v>22294</v>
      </c>
      <c r="C2441" s="71" t="s">
        <v>509</v>
      </c>
      <c r="D2441" s="79">
        <v>1</v>
      </c>
      <c r="E2441" s="79">
        <v>29.96</v>
      </c>
      <c r="F2441" s="79">
        <v>29.96</v>
      </c>
      <c r="G2441" s="445"/>
      <c r="H2441" s="178">
        <v>29.96</v>
      </c>
      <c r="I2441" s="178">
        <v>36.85</v>
      </c>
      <c r="J2441" s="70">
        <v>-6.8900000000000006</v>
      </c>
      <c r="K2441" s="320"/>
      <c r="L2441" s="178">
        <v>19.8</v>
      </c>
      <c r="M2441" s="178">
        <v>10.16</v>
      </c>
      <c r="N2441" s="179">
        <v>0</v>
      </c>
      <c r="O2441" s="178">
        <v>29.96</v>
      </c>
      <c r="P2441" s="453"/>
      <c r="Q2441" s="61"/>
      <c r="R2441" s="298"/>
      <c r="S2441" s="669"/>
      <c r="X2441" s="444">
        <v>2441</v>
      </c>
    </row>
    <row r="2442" spans="1:32" ht="12">
      <c r="A2442" s="83" t="s">
        <v>22295</v>
      </c>
      <c r="B2442" s="64" t="s">
        <v>22296</v>
      </c>
      <c r="C2442" s="71" t="s">
        <v>509</v>
      </c>
      <c r="D2442" s="79">
        <v>1</v>
      </c>
      <c r="E2442" s="79">
        <v>260.35999999999996</v>
      </c>
      <c r="F2442" s="79">
        <v>260.36</v>
      </c>
      <c r="G2442" s="445"/>
      <c r="H2442" s="178">
        <v>260.33999999999997</v>
      </c>
      <c r="I2442" s="178">
        <v>320.22000000000003</v>
      </c>
      <c r="J2442" s="70">
        <v>-59.86000000000007</v>
      </c>
      <c r="K2442" s="320"/>
      <c r="L2442" s="178">
        <v>58.85</v>
      </c>
      <c r="M2442" s="178">
        <v>201.50999999999996</v>
      </c>
      <c r="N2442" s="179">
        <v>0</v>
      </c>
      <c r="O2442" s="178">
        <v>260.35999999999996</v>
      </c>
      <c r="P2442" s="453"/>
      <c r="Q2442" s="61"/>
      <c r="R2442" s="298"/>
      <c r="S2442" s="669"/>
      <c r="X2442" s="444">
        <v>2442</v>
      </c>
    </row>
    <row r="2443" spans="1:32" ht="12">
      <c r="A2443" s="83" t="s">
        <v>22297</v>
      </c>
      <c r="B2443" s="64" t="s">
        <v>22298</v>
      </c>
      <c r="C2443" s="71" t="s">
        <v>509</v>
      </c>
      <c r="D2443" s="79">
        <v>1</v>
      </c>
      <c r="E2443" s="79">
        <v>49.59</v>
      </c>
      <c r="F2443" s="79">
        <v>49.59</v>
      </c>
      <c r="G2443" s="445"/>
      <c r="H2443" s="178">
        <v>49.59</v>
      </c>
      <c r="I2443" s="178">
        <v>61</v>
      </c>
      <c r="J2443" s="70">
        <v>-11.409999999999997</v>
      </c>
      <c r="K2443" s="320"/>
      <c r="L2443" s="178">
        <v>36.47</v>
      </c>
      <c r="M2443" s="178">
        <v>13.120000000000005</v>
      </c>
      <c r="N2443" s="179">
        <v>0</v>
      </c>
      <c r="O2443" s="178">
        <v>49.59</v>
      </c>
      <c r="P2443" s="453"/>
      <c r="Q2443" s="61"/>
      <c r="R2443" s="298"/>
      <c r="S2443" s="669"/>
      <c r="X2443" s="444">
        <v>2443</v>
      </c>
    </row>
    <row r="2444" spans="1:32" ht="12">
      <c r="A2444" s="83" t="s">
        <v>22299</v>
      </c>
      <c r="B2444" s="64" t="s">
        <v>22300</v>
      </c>
      <c r="C2444" s="71" t="s">
        <v>509</v>
      </c>
      <c r="D2444" s="79">
        <v>1</v>
      </c>
      <c r="E2444" s="79">
        <v>49.72</v>
      </c>
      <c r="F2444" s="79">
        <v>49.72</v>
      </c>
      <c r="G2444" s="445"/>
      <c r="H2444" s="178">
        <v>49.72</v>
      </c>
      <c r="I2444" s="178">
        <v>61.15</v>
      </c>
      <c r="J2444" s="70">
        <v>-11.43</v>
      </c>
      <c r="K2444" s="320"/>
      <c r="L2444" s="178">
        <v>36.589999999999996</v>
      </c>
      <c r="M2444" s="178">
        <v>13.130000000000003</v>
      </c>
      <c r="N2444" s="179">
        <v>0</v>
      </c>
      <c r="O2444" s="178">
        <v>49.72</v>
      </c>
      <c r="P2444" s="453"/>
      <c r="Q2444" s="61"/>
      <c r="R2444" s="298"/>
      <c r="S2444" s="669"/>
      <c r="X2444" s="444">
        <v>2444</v>
      </c>
    </row>
    <row r="2445" spans="1:32" ht="12">
      <c r="A2445" s="83" t="s">
        <v>22301</v>
      </c>
      <c r="B2445" s="64" t="s">
        <v>22302</v>
      </c>
      <c r="C2445" s="71" t="s">
        <v>509</v>
      </c>
      <c r="D2445" s="79">
        <v>1</v>
      </c>
      <c r="E2445" s="79">
        <v>264.7</v>
      </c>
      <c r="F2445" s="79">
        <v>264.7</v>
      </c>
      <c r="G2445" s="445"/>
      <c r="H2445" s="178">
        <v>264.67</v>
      </c>
      <c r="I2445" s="178">
        <v>325.55</v>
      </c>
      <c r="J2445" s="70">
        <v>-60.850000000000023</v>
      </c>
      <c r="K2445" s="320"/>
      <c r="L2445" s="178">
        <v>59.39</v>
      </c>
      <c r="M2445" s="178">
        <v>205.31</v>
      </c>
      <c r="N2445" s="179">
        <v>0</v>
      </c>
      <c r="O2445" s="178">
        <v>264.7</v>
      </c>
      <c r="P2445" s="453"/>
      <c r="Q2445" s="61"/>
      <c r="R2445" s="298"/>
      <c r="S2445" s="669"/>
      <c r="X2445" s="444">
        <v>2445</v>
      </c>
    </row>
    <row r="2446" spans="1:32" ht="12">
      <c r="A2446" s="83" t="s">
        <v>22303</v>
      </c>
      <c r="B2446" s="64" t="s">
        <v>22304</v>
      </c>
      <c r="C2446" s="71" t="s">
        <v>509</v>
      </c>
      <c r="D2446" s="79">
        <v>1</v>
      </c>
      <c r="E2446" s="79">
        <v>125.25</v>
      </c>
      <c r="F2446" s="79">
        <v>125.25</v>
      </c>
      <c r="G2446" s="445"/>
      <c r="H2446" s="178">
        <v>125.24</v>
      </c>
      <c r="I2446" s="178">
        <v>154.04</v>
      </c>
      <c r="J2446" s="70">
        <v>-28.789999999999992</v>
      </c>
      <c r="K2446" s="320"/>
      <c r="L2446" s="178">
        <v>38.1</v>
      </c>
      <c r="M2446" s="178">
        <v>87.15</v>
      </c>
      <c r="N2446" s="179">
        <v>0</v>
      </c>
      <c r="O2446" s="178">
        <v>125.25</v>
      </c>
      <c r="P2446" s="453"/>
      <c r="Q2446" s="61"/>
      <c r="R2446" s="298"/>
      <c r="S2446" s="669"/>
      <c r="X2446" s="444">
        <v>2446</v>
      </c>
    </row>
    <row r="2447" spans="1:32" ht="12">
      <c r="A2447" s="83" t="s">
        <v>22305</v>
      </c>
      <c r="B2447" s="64" t="s">
        <v>22306</v>
      </c>
      <c r="C2447" s="71" t="s">
        <v>509</v>
      </c>
      <c r="D2447" s="79">
        <v>1</v>
      </c>
      <c r="E2447" s="79">
        <v>152.11000000000001</v>
      </c>
      <c r="F2447" s="79">
        <v>152.11000000000001</v>
      </c>
      <c r="G2447" s="445"/>
      <c r="H2447" s="178">
        <v>152.1</v>
      </c>
      <c r="I2447" s="178">
        <v>187.08</v>
      </c>
      <c r="J2447" s="70">
        <v>-34.97</v>
      </c>
      <c r="K2447" s="320"/>
      <c r="L2447" s="178">
        <v>26.950000000000003</v>
      </c>
      <c r="M2447" s="178">
        <v>125.16000000000001</v>
      </c>
      <c r="N2447" s="179">
        <v>0</v>
      </c>
      <c r="O2447" s="178">
        <v>152.11000000000001</v>
      </c>
      <c r="P2447" s="453"/>
      <c r="Q2447" s="61"/>
      <c r="R2447" s="298"/>
      <c r="S2447" s="669"/>
      <c r="T2447" s="61"/>
      <c r="X2447" s="444">
        <v>2447</v>
      </c>
    </row>
    <row r="2448" spans="1:32" ht="12">
      <c r="A2448" s="83" t="s">
        <v>22307</v>
      </c>
      <c r="B2448" s="64" t="s">
        <v>22308</v>
      </c>
      <c r="C2448" s="71" t="s">
        <v>509</v>
      </c>
      <c r="D2448" s="79">
        <v>1</v>
      </c>
      <c r="E2448" s="79">
        <v>154.61000000000001</v>
      </c>
      <c r="F2448" s="79">
        <v>154.61000000000001</v>
      </c>
      <c r="G2448" s="445"/>
      <c r="H2448" s="178">
        <v>154.6</v>
      </c>
      <c r="I2448" s="178">
        <v>190.16</v>
      </c>
      <c r="J2448" s="70">
        <v>-35.549999999999983</v>
      </c>
      <c r="K2448" s="320"/>
      <c r="L2448" s="178">
        <v>26.950000000000003</v>
      </c>
      <c r="M2448" s="178">
        <v>127.66000000000001</v>
      </c>
      <c r="N2448" s="179">
        <v>0</v>
      </c>
      <c r="O2448" s="178">
        <v>154.61000000000001</v>
      </c>
      <c r="P2448" s="453"/>
      <c r="Q2448" s="61"/>
      <c r="R2448" s="298"/>
      <c r="S2448" s="669"/>
      <c r="X2448" s="444">
        <v>2448</v>
      </c>
    </row>
    <row r="2449" spans="1:24" ht="12">
      <c r="A2449" s="83" t="s">
        <v>22309</v>
      </c>
      <c r="B2449" s="64" t="s">
        <v>22310</v>
      </c>
      <c r="C2449" s="71" t="s">
        <v>509</v>
      </c>
      <c r="D2449" s="79">
        <v>1</v>
      </c>
      <c r="E2449" s="79">
        <v>230.51</v>
      </c>
      <c r="F2449" s="79">
        <v>230.51</v>
      </c>
      <c r="G2449" s="445"/>
      <c r="H2449" s="178">
        <v>230.51</v>
      </c>
      <c r="I2449" s="178">
        <v>283.52999999999997</v>
      </c>
      <c r="J2449" s="70">
        <v>-53.019999999999982</v>
      </c>
      <c r="K2449" s="320"/>
      <c r="L2449" s="178">
        <v>33.54</v>
      </c>
      <c r="M2449" s="178">
        <v>196.97</v>
      </c>
      <c r="N2449" s="179">
        <v>0</v>
      </c>
      <c r="O2449" s="178">
        <v>230.51</v>
      </c>
      <c r="P2449" s="453"/>
      <c r="Q2449" s="61"/>
      <c r="R2449" s="298"/>
      <c r="S2449" s="669"/>
      <c r="X2449" s="444">
        <v>2449</v>
      </c>
    </row>
    <row r="2450" spans="1:24" ht="12">
      <c r="A2450" s="83" t="s">
        <v>22311</v>
      </c>
      <c r="B2450" s="64" t="s">
        <v>22312</v>
      </c>
      <c r="C2450" s="71" t="s">
        <v>509</v>
      </c>
      <c r="D2450" s="79">
        <v>1</v>
      </c>
      <c r="E2450" s="79">
        <v>449.96000000000004</v>
      </c>
      <c r="F2450" s="79">
        <v>449.96</v>
      </c>
      <c r="G2450" s="445"/>
      <c r="H2450" s="178">
        <v>449.95</v>
      </c>
      <c r="I2450" s="178">
        <v>553.44000000000005</v>
      </c>
      <c r="J2450" s="70">
        <v>-103.48000000000002</v>
      </c>
      <c r="K2450" s="320"/>
      <c r="L2450" s="178">
        <v>26.950000000000003</v>
      </c>
      <c r="M2450" s="178">
        <v>423.01000000000005</v>
      </c>
      <c r="N2450" s="179">
        <v>0</v>
      </c>
      <c r="O2450" s="178">
        <v>449.96000000000004</v>
      </c>
      <c r="P2450" s="453"/>
      <c r="Q2450" s="61"/>
      <c r="R2450" s="298"/>
      <c r="S2450" s="669"/>
      <c r="X2450" s="444">
        <v>2450</v>
      </c>
    </row>
    <row r="2451" spans="1:24" ht="12">
      <c r="A2451" s="83" t="s">
        <v>22313</v>
      </c>
      <c r="B2451" s="64" t="s">
        <v>22314</v>
      </c>
      <c r="C2451" s="71" t="s">
        <v>509</v>
      </c>
      <c r="D2451" s="79">
        <v>1</v>
      </c>
      <c r="E2451" s="79">
        <v>152.11000000000001</v>
      </c>
      <c r="F2451" s="79">
        <v>152.11000000000001</v>
      </c>
      <c r="G2451" s="445"/>
      <c r="H2451" s="178">
        <v>152.11000000000001</v>
      </c>
      <c r="I2451" s="178">
        <v>187.09</v>
      </c>
      <c r="J2451" s="70">
        <v>-34.97999999999999</v>
      </c>
      <c r="K2451" s="320"/>
      <c r="L2451" s="178">
        <v>14.790000000000001</v>
      </c>
      <c r="M2451" s="178">
        <v>137.32000000000002</v>
      </c>
      <c r="N2451" s="179">
        <v>0</v>
      </c>
      <c r="O2451" s="178">
        <v>152.11000000000001</v>
      </c>
      <c r="P2451" s="453"/>
      <c r="Q2451" s="61"/>
      <c r="R2451" s="298"/>
      <c r="S2451" s="669"/>
      <c r="X2451" s="444">
        <v>2451</v>
      </c>
    </row>
    <row r="2452" spans="1:24" ht="12">
      <c r="A2452" s="83" t="s">
        <v>22315</v>
      </c>
      <c r="B2452" s="64" t="s">
        <v>22316</v>
      </c>
      <c r="C2452" s="71" t="s">
        <v>165</v>
      </c>
      <c r="D2452" s="79">
        <v>1</v>
      </c>
      <c r="E2452" s="79">
        <v>17.770000000000003</v>
      </c>
      <c r="F2452" s="79">
        <v>17.77</v>
      </c>
      <c r="G2452" s="445"/>
      <c r="H2452" s="178">
        <v>17.77</v>
      </c>
      <c r="I2452" s="178">
        <v>21.86</v>
      </c>
      <c r="J2452" s="70">
        <v>-4.0899999999999963</v>
      </c>
      <c r="K2452" s="320"/>
      <c r="L2452" s="178">
        <v>15.03</v>
      </c>
      <c r="M2452" s="178">
        <v>2.7400000000000038</v>
      </c>
      <c r="N2452" s="179">
        <v>0</v>
      </c>
      <c r="O2452" s="178">
        <v>17.770000000000003</v>
      </c>
      <c r="P2452" s="453"/>
      <c r="Q2452" s="61"/>
      <c r="R2452" s="298"/>
      <c r="S2452" s="669"/>
      <c r="X2452" s="444">
        <v>2452</v>
      </c>
    </row>
    <row r="2453" spans="1:24" ht="12">
      <c r="A2453" s="83" t="s">
        <v>22317</v>
      </c>
      <c r="B2453" s="64" t="s">
        <v>22318</v>
      </c>
      <c r="C2453" s="71" t="s">
        <v>509</v>
      </c>
      <c r="D2453" s="79">
        <v>1</v>
      </c>
      <c r="E2453" s="79">
        <v>154.53000000000003</v>
      </c>
      <c r="F2453" s="79">
        <v>154.53</v>
      </c>
      <c r="G2453" s="445"/>
      <c r="H2453" s="178">
        <v>154.53</v>
      </c>
      <c r="I2453" s="178">
        <v>190.07</v>
      </c>
      <c r="J2453" s="70">
        <v>-35.539999999999964</v>
      </c>
      <c r="K2453" s="320"/>
      <c r="L2453" s="178">
        <v>14.85</v>
      </c>
      <c r="M2453" s="178">
        <v>139.68000000000004</v>
      </c>
      <c r="N2453" s="179">
        <v>0</v>
      </c>
      <c r="O2453" s="178">
        <v>154.53000000000003</v>
      </c>
      <c r="P2453" s="453"/>
      <c r="Q2453" s="61"/>
      <c r="R2453" s="298"/>
      <c r="S2453" s="669"/>
      <c r="X2453" s="444">
        <v>2453</v>
      </c>
    </row>
    <row r="2454" spans="1:24" ht="12">
      <c r="A2454" s="83" t="s">
        <v>22319</v>
      </c>
      <c r="B2454" s="64" t="s">
        <v>22320</v>
      </c>
      <c r="C2454" s="71" t="s">
        <v>509</v>
      </c>
      <c r="D2454" s="79">
        <v>1</v>
      </c>
      <c r="E2454" s="79">
        <v>211.53</v>
      </c>
      <c r="F2454" s="79">
        <v>211.53</v>
      </c>
      <c r="G2454" s="445"/>
      <c r="H2454" s="178">
        <v>211.52</v>
      </c>
      <c r="I2454" s="178">
        <v>260.17</v>
      </c>
      <c r="J2454" s="70">
        <v>-48.640000000000015</v>
      </c>
      <c r="K2454" s="320"/>
      <c r="L2454" s="178">
        <v>17.87</v>
      </c>
      <c r="M2454" s="178">
        <v>193.66</v>
      </c>
      <c r="N2454" s="179">
        <v>0</v>
      </c>
      <c r="O2454" s="178">
        <v>211.53</v>
      </c>
      <c r="P2454" s="453"/>
      <c r="Q2454" s="61"/>
      <c r="R2454" s="298"/>
      <c r="S2454" s="669"/>
      <c r="X2454" s="444">
        <v>2454</v>
      </c>
    </row>
    <row r="2455" spans="1:24" ht="12">
      <c r="A2455" s="83" t="s">
        <v>22321</v>
      </c>
      <c r="B2455" s="64" t="s">
        <v>22322</v>
      </c>
      <c r="C2455" s="71" t="s">
        <v>509</v>
      </c>
      <c r="D2455" s="79">
        <v>1</v>
      </c>
      <c r="E2455" s="79">
        <v>213.35999999999999</v>
      </c>
      <c r="F2455" s="79">
        <v>213.36</v>
      </c>
      <c r="G2455" s="445"/>
      <c r="H2455" s="178">
        <v>213.35</v>
      </c>
      <c r="I2455" s="178">
        <v>262.42</v>
      </c>
      <c r="J2455" s="70">
        <v>-49.060000000000031</v>
      </c>
      <c r="K2455" s="320"/>
      <c r="L2455" s="178">
        <v>11.17</v>
      </c>
      <c r="M2455" s="178">
        <v>202.19</v>
      </c>
      <c r="N2455" s="179">
        <v>0</v>
      </c>
      <c r="O2455" s="178">
        <v>213.35999999999999</v>
      </c>
      <c r="P2455" s="453"/>
      <c r="Q2455" s="61"/>
      <c r="R2455" s="298"/>
      <c r="S2455" s="669"/>
      <c r="X2455" s="444">
        <v>2455</v>
      </c>
    </row>
    <row r="2456" spans="1:24" ht="12">
      <c r="A2456" s="83" t="s">
        <v>22323</v>
      </c>
      <c r="B2456" s="64" t="s">
        <v>22324</v>
      </c>
      <c r="C2456" s="71" t="s">
        <v>509</v>
      </c>
      <c r="D2456" s="79">
        <v>1</v>
      </c>
      <c r="E2456" s="79">
        <v>128.42999999999998</v>
      </c>
      <c r="F2456" s="79">
        <v>128.43</v>
      </c>
      <c r="G2456" s="445"/>
      <c r="H2456" s="178">
        <v>128.41999999999999</v>
      </c>
      <c r="I2456" s="178">
        <v>157.96</v>
      </c>
      <c r="J2456" s="70">
        <v>-29.53000000000003</v>
      </c>
      <c r="K2456" s="320"/>
      <c r="L2456" s="178">
        <v>11.17</v>
      </c>
      <c r="M2456" s="178">
        <v>117.25999999999998</v>
      </c>
      <c r="N2456" s="179">
        <v>0</v>
      </c>
      <c r="O2456" s="178">
        <v>128.42999999999998</v>
      </c>
      <c r="P2456" s="453"/>
      <c r="Q2456" s="61"/>
      <c r="R2456" s="298"/>
      <c r="S2456" s="669"/>
      <c r="X2456" s="444">
        <v>2456</v>
      </c>
    </row>
    <row r="2457" spans="1:24" ht="12">
      <c r="A2457" s="83" t="s">
        <v>22325</v>
      </c>
      <c r="B2457" s="64" t="s">
        <v>22326</v>
      </c>
      <c r="C2457" s="71" t="s">
        <v>509</v>
      </c>
      <c r="D2457" s="79">
        <v>1</v>
      </c>
      <c r="E2457" s="79">
        <v>119.89999999999999</v>
      </c>
      <c r="F2457" s="79">
        <v>119.9</v>
      </c>
      <c r="G2457" s="445"/>
      <c r="H2457" s="178">
        <v>119.89</v>
      </c>
      <c r="I2457" s="178">
        <v>147.47</v>
      </c>
      <c r="J2457" s="70">
        <v>-27.570000000000007</v>
      </c>
      <c r="K2457" s="320"/>
      <c r="L2457" s="178">
        <v>11.17</v>
      </c>
      <c r="M2457" s="178">
        <v>108.72999999999999</v>
      </c>
      <c r="N2457" s="179">
        <v>0</v>
      </c>
      <c r="O2457" s="178">
        <v>119.89999999999999</v>
      </c>
      <c r="P2457" s="453"/>
      <c r="Q2457" s="61"/>
      <c r="R2457" s="298"/>
      <c r="S2457" s="669"/>
      <c r="X2457" s="444">
        <v>2457</v>
      </c>
    </row>
    <row r="2458" spans="1:24" ht="12">
      <c r="A2458" s="83" t="s">
        <v>22327</v>
      </c>
      <c r="B2458" s="64" t="s">
        <v>18688</v>
      </c>
      <c r="C2458" s="71" t="s">
        <v>207</v>
      </c>
      <c r="D2458" s="79">
        <v>1</v>
      </c>
      <c r="E2458" s="79">
        <v>9.84</v>
      </c>
      <c r="F2458" s="79">
        <v>9.84</v>
      </c>
      <c r="G2458" s="445"/>
      <c r="H2458" s="178">
        <v>9.84</v>
      </c>
      <c r="I2458" s="178">
        <v>12.1</v>
      </c>
      <c r="J2458" s="70">
        <v>-2.2599999999999998</v>
      </c>
      <c r="K2458" s="320"/>
      <c r="L2458" s="178">
        <v>1.58</v>
      </c>
      <c r="M2458" s="178">
        <v>8.26</v>
      </c>
      <c r="N2458" s="179">
        <v>0</v>
      </c>
      <c r="O2458" s="178">
        <v>9.84</v>
      </c>
      <c r="P2458" s="453"/>
      <c r="Q2458" s="61"/>
      <c r="R2458" s="298"/>
      <c r="S2458" s="669"/>
      <c r="X2458" s="444">
        <v>2458</v>
      </c>
    </row>
    <row r="2459" spans="1:24" ht="12">
      <c r="A2459" s="83" t="s">
        <v>22328</v>
      </c>
      <c r="B2459" s="64" t="s">
        <v>22329</v>
      </c>
      <c r="C2459" s="71" t="s">
        <v>509</v>
      </c>
      <c r="D2459" s="79">
        <v>1</v>
      </c>
      <c r="E2459" s="79">
        <v>699.06000000000006</v>
      </c>
      <c r="F2459" s="79">
        <v>699.06</v>
      </c>
      <c r="G2459" s="445"/>
      <c r="H2459" s="178">
        <v>699.05</v>
      </c>
      <c r="I2459" s="178">
        <v>859.83</v>
      </c>
      <c r="J2459" s="70">
        <v>-160.76999999999998</v>
      </c>
      <c r="K2459" s="320"/>
      <c r="L2459" s="178">
        <v>86.509999999999991</v>
      </c>
      <c r="M2459" s="178">
        <v>612.55000000000007</v>
      </c>
      <c r="N2459" s="179">
        <v>0</v>
      </c>
      <c r="O2459" s="178">
        <v>699.06000000000006</v>
      </c>
      <c r="P2459" s="453"/>
      <c r="Q2459" s="61"/>
      <c r="R2459" s="298"/>
      <c r="S2459" s="669"/>
      <c r="X2459" s="444">
        <v>2459</v>
      </c>
    </row>
    <row r="2460" spans="1:24" ht="12">
      <c r="A2460" s="83" t="s">
        <v>22330</v>
      </c>
      <c r="B2460" s="64" t="s">
        <v>22331</v>
      </c>
      <c r="C2460" s="71" t="s">
        <v>509</v>
      </c>
      <c r="D2460" s="79">
        <v>1</v>
      </c>
      <c r="E2460" s="79">
        <v>611.99</v>
      </c>
      <c r="F2460" s="79">
        <v>611.99</v>
      </c>
      <c r="G2460" s="445"/>
      <c r="H2460" s="178">
        <v>611.98</v>
      </c>
      <c r="I2460" s="178">
        <v>752.74</v>
      </c>
      <c r="J2460" s="70">
        <v>-140.75</v>
      </c>
      <c r="K2460" s="320"/>
      <c r="L2460" s="178">
        <v>86.509999999999991</v>
      </c>
      <c r="M2460" s="178">
        <v>525.48</v>
      </c>
      <c r="N2460" s="179">
        <v>0</v>
      </c>
      <c r="O2460" s="178">
        <v>611.99</v>
      </c>
      <c r="P2460" s="453"/>
      <c r="Q2460" s="61"/>
      <c r="R2460" s="298"/>
      <c r="S2460" s="669"/>
      <c r="X2460" s="444">
        <v>2460</v>
      </c>
    </row>
    <row r="2461" spans="1:24" ht="12">
      <c r="A2461" s="83" t="s">
        <v>22332</v>
      </c>
      <c r="B2461" s="64" t="s">
        <v>22333</v>
      </c>
      <c r="C2461" s="71" t="s">
        <v>509</v>
      </c>
      <c r="D2461" s="79">
        <v>1</v>
      </c>
      <c r="E2461" s="79">
        <v>142.64000000000001</v>
      </c>
      <c r="F2461" s="79">
        <v>142.63999999999999</v>
      </c>
      <c r="G2461" s="445"/>
      <c r="H2461" s="178">
        <v>142.65</v>
      </c>
      <c r="I2461" s="178">
        <v>175.46</v>
      </c>
      <c r="J2461" s="70">
        <v>-32.819999999999993</v>
      </c>
      <c r="K2461" s="320"/>
      <c r="L2461" s="178">
        <v>12.809999999999999</v>
      </c>
      <c r="M2461" s="178">
        <v>129.83000000000001</v>
      </c>
      <c r="N2461" s="179">
        <v>0</v>
      </c>
      <c r="O2461" s="178">
        <v>142.64000000000001</v>
      </c>
      <c r="P2461" s="453"/>
      <c r="Q2461" s="61"/>
      <c r="R2461" s="298"/>
      <c r="S2461" s="669"/>
      <c r="X2461" s="444">
        <v>2461</v>
      </c>
    </row>
    <row r="2462" spans="1:24" ht="12">
      <c r="A2462" s="83" t="s">
        <v>22334</v>
      </c>
      <c r="B2462" s="64" t="s">
        <v>22335</v>
      </c>
      <c r="C2462" s="71" t="s">
        <v>509</v>
      </c>
      <c r="D2462" s="79">
        <v>1</v>
      </c>
      <c r="E2462" s="79">
        <v>146.45000000000002</v>
      </c>
      <c r="F2462" s="79">
        <v>146.44999999999999</v>
      </c>
      <c r="G2462" s="445"/>
      <c r="H2462" s="178">
        <v>146.46</v>
      </c>
      <c r="I2462" s="178">
        <v>180.14</v>
      </c>
      <c r="J2462" s="70">
        <v>-33.689999999999969</v>
      </c>
      <c r="K2462" s="320"/>
      <c r="L2462" s="178">
        <v>12.809999999999999</v>
      </c>
      <c r="M2462" s="178">
        <v>133.64000000000001</v>
      </c>
      <c r="N2462" s="179">
        <v>0</v>
      </c>
      <c r="O2462" s="178">
        <v>146.45000000000002</v>
      </c>
      <c r="P2462" s="453"/>
      <c r="Q2462" s="61"/>
      <c r="R2462" s="298"/>
      <c r="S2462" s="669"/>
      <c r="X2462" s="444">
        <v>2462</v>
      </c>
    </row>
    <row r="2463" spans="1:24" ht="12">
      <c r="A2463" s="83" t="s">
        <v>22336</v>
      </c>
      <c r="B2463" s="64" t="s">
        <v>22337</v>
      </c>
      <c r="C2463" s="71" t="s">
        <v>509</v>
      </c>
      <c r="D2463" s="79">
        <v>1</v>
      </c>
      <c r="E2463" s="79">
        <v>10.44</v>
      </c>
      <c r="F2463" s="79">
        <v>10.44</v>
      </c>
      <c r="G2463" s="445"/>
      <c r="H2463" s="178">
        <v>10.44</v>
      </c>
      <c r="I2463" s="178">
        <v>12.84</v>
      </c>
      <c r="J2463" s="70">
        <v>-2.4000000000000004</v>
      </c>
      <c r="K2463" s="320"/>
      <c r="L2463" s="178">
        <v>3</v>
      </c>
      <c r="M2463" s="178">
        <v>7.4399999999999995</v>
      </c>
      <c r="N2463" s="179">
        <v>0</v>
      </c>
      <c r="O2463" s="178">
        <v>10.44</v>
      </c>
      <c r="P2463" s="453"/>
      <c r="Q2463" s="61"/>
      <c r="R2463" s="298"/>
      <c r="S2463" s="669"/>
      <c r="X2463" s="444">
        <v>2463</v>
      </c>
    </row>
    <row r="2464" spans="1:24" ht="12">
      <c r="A2464" s="83" t="s">
        <v>22338</v>
      </c>
      <c r="B2464" s="64" t="s">
        <v>22339</v>
      </c>
      <c r="C2464" s="71" t="s">
        <v>509</v>
      </c>
      <c r="D2464" s="79">
        <v>1</v>
      </c>
      <c r="E2464" s="79">
        <v>230.51</v>
      </c>
      <c r="F2464" s="79">
        <v>230.51</v>
      </c>
      <c r="G2464" s="445"/>
      <c r="H2464" s="178">
        <v>230.51</v>
      </c>
      <c r="I2464" s="178">
        <v>283.52999999999997</v>
      </c>
      <c r="J2464" s="70">
        <v>-53.019999999999982</v>
      </c>
      <c r="K2464" s="320"/>
      <c r="L2464" s="178">
        <v>33.54</v>
      </c>
      <c r="M2464" s="178">
        <v>196.97</v>
      </c>
      <c r="N2464" s="179">
        <v>0</v>
      </c>
      <c r="O2464" s="178">
        <v>230.51</v>
      </c>
      <c r="P2464" s="453"/>
      <c r="Q2464" s="61"/>
      <c r="R2464" s="298"/>
      <c r="S2464" s="669"/>
      <c r="X2464" s="444">
        <v>2464</v>
      </c>
    </row>
    <row r="2465" spans="1:32" ht="12">
      <c r="A2465" s="83" t="s">
        <v>22340</v>
      </c>
      <c r="B2465" s="64" t="s">
        <v>39912</v>
      </c>
      <c r="C2465" s="71" t="s">
        <v>509</v>
      </c>
      <c r="D2465" s="79">
        <v>1</v>
      </c>
      <c r="E2465" s="79">
        <v>449.96000000000004</v>
      </c>
      <c r="F2465" s="79">
        <v>449.96</v>
      </c>
      <c r="G2465" s="445"/>
      <c r="H2465" s="178">
        <v>449.95</v>
      </c>
      <c r="I2465" s="178">
        <v>553.44000000000005</v>
      </c>
      <c r="J2465" s="70">
        <v>-103.48000000000002</v>
      </c>
      <c r="K2465" s="320"/>
      <c r="L2465" s="178">
        <v>26.950000000000003</v>
      </c>
      <c r="M2465" s="178">
        <v>423.01000000000005</v>
      </c>
      <c r="N2465" s="179">
        <v>0</v>
      </c>
      <c r="O2465" s="178">
        <v>449.96000000000004</v>
      </c>
      <c r="P2465" s="453"/>
      <c r="Q2465" s="61"/>
      <c r="R2465" s="298"/>
      <c r="S2465" s="669"/>
      <c r="X2465" s="444">
        <v>2465</v>
      </c>
    </row>
    <row r="2466" spans="1:32" ht="12">
      <c r="A2466" s="83" t="s">
        <v>22341</v>
      </c>
      <c r="B2466" s="64" t="s">
        <v>22342</v>
      </c>
      <c r="C2466" s="71" t="s">
        <v>396</v>
      </c>
      <c r="D2466" s="79">
        <v>1</v>
      </c>
      <c r="E2466" s="79">
        <v>17.420000000000002</v>
      </c>
      <c r="F2466" s="79">
        <v>17.420000000000002</v>
      </c>
      <c r="G2466" s="445"/>
      <c r="H2466" s="178">
        <v>17.420000000000002</v>
      </c>
      <c r="I2466" s="178">
        <v>21.43</v>
      </c>
      <c r="J2466" s="70">
        <v>-4.009999999999998</v>
      </c>
      <c r="K2466" s="320"/>
      <c r="L2466" s="178">
        <v>16.810000000000002</v>
      </c>
      <c r="M2466" s="178">
        <v>0.60999999999999943</v>
      </c>
      <c r="N2466" s="179">
        <v>0</v>
      </c>
      <c r="O2466" s="178">
        <v>17.420000000000002</v>
      </c>
      <c r="P2466" s="453"/>
      <c r="Q2466" s="61"/>
      <c r="R2466" s="298"/>
      <c r="S2466" s="669"/>
      <c r="X2466" s="444">
        <v>2466</v>
      </c>
    </row>
    <row r="2467" spans="1:32" ht="12">
      <c r="A2467" s="83" t="s">
        <v>22343</v>
      </c>
      <c r="B2467" s="64" t="s">
        <v>39913</v>
      </c>
      <c r="C2467" s="71" t="s">
        <v>396</v>
      </c>
      <c r="D2467" s="79">
        <v>1</v>
      </c>
      <c r="E2467" s="79">
        <v>17.430000000000003</v>
      </c>
      <c r="F2467" s="79">
        <v>17.43</v>
      </c>
      <c r="G2467" s="445"/>
      <c r="H2467" s="178">
        <v>17.440000000000001</v>
      </c>
      <c r="I2467" s="178">
        <v>21.45</v>
      </c>
      <c r="J2467" s="70">
        <v>-4.019999999999996</v>
      </c>
      <c r="K2467" s="320"/>
      <c r="L2467" s="178">
        <v>16.810000000000002</v>
      </c>
      <c r="M2467" s="178">
        <v>0.62000000000000099</v>
      </c>
      <c r="N2467" s="179">
        <v>0</v>
      </c>
      <c r="O2467" s="178">
        <v>17.430000000000003</v>
      </c>
      <c r="P2467" s="453"/>
      <c r="Q2467" s="61"/>
      <c r="R2467" s="298"/>
      <c r="S2467" s="669"/>
      <c r="X2467" s="444">
        <v>2467</v>
      </c>
    </row>
    <row r="2468" spans="1:32" s="69" customFormat="1" ht="12">
      <c r="A2468" s="83" t="s">
        <v>22344</v>
      </c>
      <c r="B2468" s="64" t="s">
        <v>22345</v>
      </c>
      <c r="C2468" s="71" t="s">
        <v>509</v>
      </c>
      <c r="D2468" s="79">
        <v>1</v>
      </c>
      <c r="E2468" s="79">
        <v>343.15999999999997</v>
      </c>
      <c r="F2468" s="79">
        <v>343.16</v>
      </c>
      <c r="G2468" s="445"/>
      <c r="H2468" s="178">
        <v>343.13</v>
      </c>
      <c r="I2468" s="178">
        <v>422.05</v>
      </c>
      <c r="J2468" s="70">
        <v>-78.890000000000043</v>
      </c>
      <c r="K2468" s="320"/>
      <c r="L2468" s="178">
        <v>38.56</v>
      </c>
      <c r="M2468" s="178">
        <v>304.59999999999997</v>
      </c>
      <c r="N2468" s="179">
        <v>0</v>
      </c>
      <c r="O2468" s="178">
        <v>343.15999999999997</v>
      </c>
      <c r="P2468" s="453"/>
      <c r="Q2468" s="61"/>
      <c r="R2468" s="298"/>
      <c r="S2468" s="669"/>
      <c r="T2468" s="444"/>
      <c r="U2468" s="444"/>
      <c r="V2468" s="444"/>
      <c r="W2468" s="444"/>
      <c r="X2468" s="444">
        <v>2468</v>
      </c>
      <c r="Y2468" s="444"/>
      <c r="Z2468" s="444"/>
      <c r="AA2468" s="444"/>
      <c r="AB2468" s="444"/>
      <c r="AC2468" s="444"/>
      <c r="AD2468" s="444"/>
      <c r="AE2468" s="444"/>
      <c r="AF2468" s="444"/>
    </row>
    <row r="2469" spans="1:32" ht="12">
      <c r="A2469" s="65" t="s">
        <v>22346</v>
      </c>
      <c r="B2469" s="456" t="s">
        <v>22347</v>
      </c>
      <c r="C2469" s="108" t="s">
        <v>509</v>
      </c>
      <c r="D2469" s="79">
        <v>1</v>
      </c>
      <c r="E2469" s="79">
        <v>214.51</v>
      </c>
      <c r="F2469" s="79">
        <v>214.51</v>
      </c>
      <c r="H2469" s="70">
        <v>214.5</v>
      </c>
      <c r="I2469" s="178">
        <v>263.83999999999997</v>
      </c>
      <c r="J2469" s="70">
        <v>-49.329999999999984</v>
      </c>
      <c r="K2469" s="320"/>
      <c r="L2469" s="178">
        <v>48.97</v>
      </c>
      <c r="M2469" s="178">
        <v>-48.97</v>
      </c>
      <c r="N2469" s="179">
        <v>214.51</v>
      </c>
      <c r="O2469" s="178">
        <v>214.51</v>
      </c>
      <c r="P2469" s="453"/>
      <c r="Q2469" s="61"/>
      <c r="R2469" s="298"/>
      <c r="S2469" s="669"/>
      <c r="X2469" s="444">
        <v>2469</v>
      </c>
    </row>
    <row r="2470" spans="1:32" ht="12">
      <c r="A2470" s="67" t="s">
        <v>22348</v>
      </c>
      <c r="B2470" s="456" t="s">
        <v>22349</v>
      </c>
      <c r="C2470" s="71" t="s">
        <v>509</v>
      </c>
      <c r="D2470" s="462">
        <v>1</v>
      </c>
      <c r="E2470" s="79">
        <v>28.51</v>
      </c>
      <c r="F2470" s="79">
        <v>28.51</v>
      </c>
      <c r="H2470" s="70">
        <v>28.5</v>
      </c>
      <c r="I2470" s="178">
        <v>35.06</v>
      </c>
      <c r="J2470" s="70">
        <v>-6.5500000000000007</v>
      </c>
      <c r="K2470" s="320"/>
      <c r="L2470" s="178">
        <v>18.78</v>
      </c>
      <c r="M2470" s="70">
        <v>9.73</v>
      </c>
      <c r="N2470" s="179">
        <v>0</v>
      </c>
      <c r="O2470" s="753">
        <v>28.51</v>
      </c>
      <c r="Q2470" s="61"/>
      <c r="R2470" s="298"/>
      <c r="S2470" s="669"/>
      <c r="X2470" s="444">
        <v>2470</v>
      </c>
    </row>
    <row r="2471" spans="1:32" ht="12">
      <c r="A2471" s="83" t="s">
        <v>22350</v>
      </c>
      <c r="B2471" s="64" t="s">
        <v>22351</v>
      </c>
      <c r="C2471" s="71" t="s">
        <v>509</v>
      </c>
      <c r="D2471" s="79">
        <v>1</v>
      </c>
      <c r="E2471" s="79">
        <v>28.51</v>
      </c>
      <c r="F2471" s="79">
        <v>28.51</v>
      </c>
      <c r="G2471" s="445"/>
      <c r="H2471" s="178">
        <v>28.5</v>
      </c>
      <c r="I2471" s="178">
        <v>35.06</v>
      </c>
      <c r="J2471" s="70">
        <v>-6.5500000000000007</v>
      </c>
      <c r="K2471" s="320"/>
      <c r="L2471" s="178">
        <v>18.78</v>
      </c>
      <c r="M2471" s="178">
        <v>9.73</v>
      </c>
      <c r="N2471" s="179">
        <v>0</v>
      </c>
      <c r="O2471" s="178">
        <v>28.51</v>
      </c>
      <c r="P2471" s="453"/>
      <c r="Q2471" s="61"/>
      <c r="R2471" s="298"/>
      <c r="S2471" s="669"/>
      <c r="X2471" s="444">
        <v>2471</v>
      </c>
    </row>
    <row r="2472" spans="1:32" ht="12">
      <c r="A2472" s="83" t="s">
        <v>22352</v>
      </c>
      <c r="B2472" s="64" t="s">
        <v>22353</v>
      </c>
      <c r="C2472" s="71" t="s">
        <v>509</v>
      </c>
      <c r="D2472" s="79">
        <v>1</v>
      </c>
      <c r="E2472" s="79">
        <v>148.11000000000001</v>
      </c>
      <c r="F2472" s="79">
        <v>148.11000000000001</v>
      </c>
      <c r="G2472" s="445"/>
      <c r="H2472" s="178">
        <v>148.09</v>
      </c>
      <c r="I2472" s="178">
        <v>182.15</v>
      </c>
      <c r="J2472" s="70">
        <v>-34.039999999999992</v>
      </c>
      <c r="K2472" s="320"/>
      <c r="L2472" s="178">
        <v>57.5</v>
      </c>
      <c r="M2472" s="178">
        <v>90.610000000000014</v>
      </c>
      <c r="N2472" s="179">
        <v>0</v>
      </c>
      <c r="O2472" s="178">
        <v>148.11000000000001</v>
      </c>
      <c r="P2472" s="453"/>
      <c r="Q2472" s="61"/>
      <c r="R2472" s="298"/>
      <c r="S2472" s="669"/>
      <c r="X2472" s="444">
        <v>2472</v>
      </c>
    </row>
    <row r="2473" spans="1:32" ht="12">
      <c r="A2473" s="83" t="s">
        <v>22354</v>
      </c>
      <c r="B2473" s="64" t="s">
        <v>7606</v>
      </c>
      <c r="C2473" s="71" t="s">
        <v>509</v>
      </c>
      <c r="D2473" s="79">
        <v>1</v>
      </c>
      <c r="E2473" s="79">
        <v>189.60000000000002</v>
      </c>
      <c r="F2473" s="79">
        <v>189.6</v>
      </c>
      <c r="G2473" s="445"/>
      <c r="H2473" s="178">
        <v>189.6</v>
      </c>
      <c r="I2473" s="178">
        <v>233.21</v>
      </c>
      <c r="J2473" s="70">
        <v>-43.609999999999985</v>
      </c>
      <c r="K2473" s="320"/>
      <c r="L2473" s="178">
        <v>48.97</v>
      </c>
      <c r="M2473" s="178">
        <v>140.63000000000002</v>
      </c>
      <c r="N2473" s="179">
        <v>0</v>
      </c>
      <c r="O2473" s="178">
        <v>189.60000000000002</v>
      </c>
      <c r="P2473" s="453"/>
      <c r="Q2473" s="61"/>
      <c r="R2473" s="298"/>
      <c r="S2473" s="669"/>
      <c r="X2473" s="444">
        <v>2473</v>
      </c>
    </row>
    <row r="2474" spans="1:32" ht="12">
      <c r="A2474" s="83" t="s">
        <v>22355</v>
      </c>
      <c r="B2474" s="64" t="s">
        <v>22356</v>
      </c>
      <c r="C2474" s="71" t="s">
        <v>509</v>
      </c>
      <c r="D2474" s="79">
        <v>1</v>
      </c>
      <c r="E2474" s="79">
        <v>198.61</v>
      </c>
      <c r="F2474" s="79">
        <v>198.61</v>
      </c>
      <c r="G2474" s="445"/>
      <c r="H2474" s="178">
        <v>198.6</v>
      </c>
      <c r="I2474" s="178">
        <v>244.28</v>
      </c>
      <c r="J2474" s="70">
        <v>-45.669999999999987</v>
      </c>
      <c r="K2474" s="320"/>
      <c r="L2474" s="178"/>
      <c r="M2474" s="178">
        <v>198.61</v>
      </c>
      <c r="N2474" s="179">
        <v>0</v>
      </c>
      <c r="O2474" s="178">
        <v>198.61</v>
      </c>
      <c r="P2474" s="453"/>
      <c r="Q2474" s="61"/>
      <c r="R2474" s="298"/>
      <c r="S2474" s="669"/>
      <c r="X2474" s="444">
        <v>2474</v>
      </c>
    </row>
    <row r="2475" spans="1:32" ht="12">
      <c r="A2475" s="65" t="s">
        <v>22357</v>
      </c>
      <c r="B2475" s="456" t="s">
        <v>22358</v>
      </c>
      <c r="C2475" s="108" t="s">
        <v>509</v>
      </c>
      <c r="D2475" s="79">
        <v>1</v>
      </c>
      <c r="E2475" s="79">
        <v>855.23</v>
      </c>
      <c r="F2475" s="79">
        <v>855.23</v>
      </c>
      <c r="H2475" s="70">
        <v>855.2</v>
      </c>
      <c r="I2475" s="178">
        <v>1051.9000000000001</v>
      </c>
      <c r="J2475" s="70">
        <v>-196.67000000000007</v>
      </c>
      <c r="K2475" s="320"/>
      <c r="L2475" s="178">
        <v>29.46</v>
      </c>
      <c r="M2475" s="178">
        <v>825.77</v>
      </c>
      <c r="N2475" s="179">
        <v>0</v>
      </c>
      <c r="O2475" s="178">
        <v>855.23</v>
      </c>
      <c r="P2475" s="453"/>
      <c r="Q2475" s="61"/>
      <c r="R2475" s="298"/>
      <c r="S2475" s="669"/>
      <c r="X2475" s="444">
        <v>2475</v>
      </c>
    </row>
    <row r="2476" spans="1:32" ht="12">
      <c r="A2476" s="83" t="s">
        <v>22359</v>
      </c>
      <c r="B2476" s="64" t="s">
        <v>22360</v>
      </c>
      <c r="C2476" s="71" t="s">
        <v>509</v>
      </c>
      <c r="D2476" s="79">
        <v>1</v>
      </c>
      <c r="E2476" s="79">
        <v>237.08</v>
      </c>
      <c r="F2476" s="79">
        <v>237.08</v>
      </c>
      <c r="G2476" s="445"/>
      <c r="H2476" s="178">
        <v>237.08</v>
      </c>
      <c r="I2476" s="178">
        <v>291.61</v>
      </c>
      <c r="J2476" s="70">
        <v>-54.53</v>
      </c>
      <c r="K2476" s="320"/>
      <c r="L2476" s="178"/>
      <c r="M2476" s="178">
        <v>237.08</v>
      </c>
      <c r="N2476" s="179">
        <v>0</v>
      </c>
      <c r="O2476" s="178">
        <v>237.08</v>
      </c>
      <c r="P2476" s="453"/>
      <c r="Q2476" s="61"/>
      <c r="R2476" s="298"/>
      <c r="S2476" s="669"/>
      <c r="X2476" s="444">
        <v>2476</v>
      </c>
    </row>
    <row r="2477" spans="1:32" ht="24">
      <c r="A2477" s="83" t="s">
        <v>22361</v>
      </c>
      <c r="B2477" s="64" t="s">
        <v>39914</v>
      </c>
      <c r="C2477" s="71" t="s">
        <v>509</v>
      </c>
      <c r="D2477" s="79">
        <v>1</v>
      </c>
      <c r="E2477" s="79">
        <v>273.48</v>
      </c>
      <c r="F2477" s="79">
        <v>273.48</v>
      </c>
      <c r="G2477" s="320"/>
      <c r="H2477" s="178">
        <v>273.48</v>
      </c>
      <c r="I2477" s="178">
        <v>336.38</v>
      </c>
      <c r="J2477" s="70">
        <v>-62.899999999999977</v>
      </c>
      <c r="K2477" s="320"/>
      <c r="L2477" s="178"/>
      <c r="M2477" s="178">
        <v>273.48</v>
      </c>
      <c r="N2477" s="179">
        <v>0</v>
      </c>
      <c r="O2477" s="178">
        <v>273.48</v>
      </c>
      <c r="P2477" s="132"/>
      <c r="Q2477" s="61"/>
      <c r="R2477" s="298"/>
      <c r="S2477" s="669"/>
      <c r="T2477" s="61"/>
      <c r="U2477" s="69"/>
      <c r="V2477" s="69"/>
      <c r="W2477" s="69"/>
      <c r="X2477" s="444">
        <v>2477</v>
      </c>
      <c r="Y2477" s="69"/>
      <c r="Z2477" s="69"/>
      <c r="AA2477" s="69"/>
      <c r="AB2477" s="69"/>
      <c r="AC2477" s="69"/>
      <c r="AD2477" s="69"/>
      <c r="AE2477" s="69"/>
      <c r="AF2477" s="69"/>
    </row>
    <row r="2478" spans="1:32" ht="24">
      <c r="A2478" s="459" t="s">
        <v>22362</v>
      </c>
      <c r="B2478" s="64" t="s">
        <v>39915</v>
      </c>
      <c r="C2478" s="71" t="s">
        <v>509</v>
      </c>
      <c r="D2478" s="79">
        <v>1</v>
      </c>
      <c r="E2478" s="79">
        <v>285.18</v>
      </c>
      <c r="F2478" s="79">
        <v>285.18</v>
      </c>
      <c r="G2478" s="460"/>
      <c r="H2478" s="766">
        <v>285.18</v>
      </c>
      <c r="I2478" s="766">
        <v>350.77</v>
      </c>
      <c r="J2478" s="500">
        <v>-65.589999999999975</v>
      </c>
      <c r="K2478" s="466"/>
      <c r="L2478" s="766"/>
      <c r="M2478" s="766">
        <v>285.18</v>
      </c>
      <c r="N2478" s="767">
        <v>0</v>
      </c>
      <c r="O2478" s="766">
        <v>285.18</v>
      </c>
      <c r="P2478" s="446"/>
      <c r="Q2478" s="61"/>
      <c r="R2478" s="298"/>
      <c r="S2478" s="669"/>
      <c r="T2478" s="73"/>
      <c r="U2478" s="69"/>
      <c r="V2478" s="69"/>
      <c r="W2478" s="69"/>
      <c r="X2478" s="444">
        <v>2478</v>
      </c>
      <c r="Y2478" s="69"/>
      <c r="Z2478" s="69"/>
      <c r="AA2478" s="69"/>
      <c r="AB2478" s="69"/>
      <c r="AC2478" s="69"/>
      <c r="AD2478" s="69"/>
      <c r="AE2478" s="69"/>
      <c r="AF2478" s="69"/>
    </row>
    <row r="2479" spans="1:32" ht="12">
      <c r="A2479" s="65" t="s">
        <v>22363</v>
      </c>
      <c r="B2479" s="456" t="s">
        <v>22364</v>
      </c>
      <c r="C2479" s="108" t="s">
        <v>509</v>
      </c>
      <c r="D2479" s="79">
        <v>1</v>
      </c>
      <c r="E2479" s="79">
        <v>739.31000000000006</v>
      </c>
      <c r="F2479" s="79">
        <v>739.31</v>
      </c>
      <c r="H2479" s="70">
        <v>739.28</v>
      </c>
      <c r="I2479" s="178">
        <v>909.32</v>
      </c>
      <c r="J2479" s="70">
        <v>-170.01</v>
      </c>
      <c r="K2479" s="320"/>
      <c r="L2479" s="178">
        <v>29.46</v>
      </c>
      <c r="M2479" s="766">
        <v>709.85</v>
      </c>
      <c r="N2479" s="179">
        <v>0</v>
      </c>
      <c r="O2479" s="766">
        <v>739.31000000000006</v>
      </c>
      <c r="P2479" s="446"/>
      <c r="Q2479" s="61"/>
      <c r="R2479" s="298"/>
      <c r="S2479" s="669"/>
      <c r="X2479" s="444">
        <v>2479</v>
      </c>
    </row>
    <row r="2480" spans="1:32" ht="12">
      <c r="A2480" s="83" t="s">
        <v>22365</v>
      </c>
      <c r="B2480" s="64" t="s">
        <v>22366</v>
      </c>
      <c r="C2480" s="71" t="s">
        <v>509</v>
      </c>
      <c r="D2480" s="79">
        <v>1</v>
      </c>
      <c r="E2480" s="79">
        <v>412.98</v>
      </c>
      <c r="F2480" s="79">
        <v>412.98</v>
      </c>
      <c r="G2480" s="445"/>
      <c r="H2480" s="178">
        <v>412.96</v>
      </c>
      <c r="I2480" s="178">
        <v>507.94</v>
      </c>
      <c r="J2480" s="70">
        <v>-94.95999999999998</v>
      </c>
      <c r="K2480" s="320"/>
      <c r="L2480" s="178">
        <v>21.38</v>
      </c>
      <c r="M2480" s="178">
        <v>391.6</v>
      </c>
      <c r="N2480" s="179">
        <v>0</v>
      </c>
      <c r="O2480" s="178">
        <v>412.98</v>
      </c>
      <c r="P2480" s="453"/>
      <c r="Q2480" s="61"/>
      <c r="R2480" s="298"/>
      <c r="S2480" s="669"/>
      <c r="U2480" s="69"/>
      <c r="V2480" s="69"/>
      <c r="W2480" s="69"/>
      <c r="X2480" s="444">
        <v>2480</v>
      </c>
      <c r="Y2480" s="69"/>
      <c r="Z2480" s="69"/>
      <c r="AA2480" s="69"/>
      <c r="AB2480" s="69"/>
      <c r="AC2480" s="69"/>
      <c r="AD2480" s="69"/>
      <c r="AE2480" s="69"/>
      <c r="AF2480" s="69"/>
    </row>
    <row r="2481" spans="1:32">
      <c r="A2481" s="67" t="s">
        <v>29658</v>
      </c>
      <c r="B2481" s="67" t="s">
        <v>39916</v>
      </c>
      <c r="C2481" s="71" t="s">
        <v>509</v>
      </c>
      <c r="D2481" s="79">
        <v>1</v>
      </c>
      <c r="E2481" s="79">
        <v>15.549999999999999</v>
      </c>
      <c r="F2481" s="79">
        <v>15.55</v>
      </c>
      <c r="H2481" s="178">
        <v>15.54</v>
      </c>
      <c r="I2481" s="178">
        <v>19.12</v>
      </c>
      <c r="J2481" s="70">
        <v>-3.5700000000000021</v>
      </c>
      <c r="K2481" s="320"/>
      <c r="L2481" s="178">
        <v>2.11</v>
      </c>
      <c r="M2481" s="178">
        <v>13.44</v>
      </c>
      <c r="N2481" s="179">
        <v>0</v>
      </c>
      <c r="O2481" s="178">
        <v>15.549999999999999</v>
      </c>
      <c r="Q2481" s="61"/>
      <c r="R2481" s="298"/>
      <c r="S2481" s="669"/>
      <c r="X2481" s="444">
        <v>2481</v>
      </c>
    </row>
    <row r="2482" spans="1:32">
      <c r="A2482" s="67" t="s">
        <v>29659</v>
      </c>
      <c r="B2482" s="67" t="s">
        <v>39917</v>
      </c>
      <c r="C2482" s="71" t="s">
        <v>509</v>
      </c>
      <c r="D2482" s="79">
        <v>1</v>
      </c>
      <c r="E2482" s="79">
        <v>180.55</v>
      </c>
      <c r="F2482" s="79">
        <v>180.55</v>
      </c>
      <c r="H2482" s="178">
        <v>180.54</v>
      </c>
      <c r="I2482" s="178">
        <v>222.07</v>
      </c>
      <c r="J2482" s="70">
        <v>-41.519999999999982</v>
      </c>
      <c r="K2482" s="320"/>
      <c r="L2482" s="178"/>
      <c r="M2482" s="178">
        <v>180.55</v>
      </c>
      <c r="N2482" s="179">
        <v>0</v>
      </c>
      <c r="O2482" s="178">
        <v>180.55</v>
      </c>
      <c r="Q2482" s="61"/>
      <c r="R2482" s="298"/>
      <c r="S2482" s="669"/>
      <c r="X2482" s="444">
        <v>2482</v>
      </c>
    </row>
    <row r="2483" spans="1:32" ht="12">
      <c r="A2483" s="83" t="s">
        <v>22367</v>
      </c>
      <c r="B2483" s="64" t="s">
        <v>22368</v>
      </c>
      <c r="C2483" s="71" t="s">
        <v>509</v>
      </c>
      <c r="D2483" s="79">
        <v>1</v>
      </c>
      <c r="E2483" s="79">
        <v>166.25</v>
      </c>
      <c r="F2483" s="79">
        <v>166.25</v>
      </c>
      <c r="G2483" s="445"/>
      <c r="H2483" s="178">
        <v>166.24</v>
      </c>
      <c r="I2483" s="178">
        <v>204.48</v>
      </c>
      <c r="J2483" s="70">
        <v>-38.22999999999999</v>
      </c>
      <c r="K2483" s="320"/>
      <c r="L2483" s="178"/>
      <c r="M2483" s="178">
        <v>166.25</v>
      </c>
      <c r="N2483" s="179">
        <v>0</v>
      </c>
      <c r="O2483" s="178">
        <v>166.25</v>
      </c>
      <c r="P2483" s="453"/>
      <c r="Q2483" s="61"/>
      <c r="R2483" s="298"/>
      <c r="S2483" s="669"/>
      <c r="T2483" s="61"/>
      <c r="U2483" s="69"/>
      <c r="V2483" s="69"/>
      <c r="W2483" s="69"/>
      <c r="X2483" s="444">
        <v>2483</v>
      </c>
      <c r="Y2483" s="69"/>
      <c r="Z2483" s="69"/>
      <c r="AA2483" s="69"/>
      <c r="AB2483" s="69"/>
      <c r="AC2483" s="69"/>
      <c r="AD2483" s="69"/>
      <c r="AE2483" s="69"/>
      <c r="AF2483" s="69"/>
    </row>
    <row r="2484" spans="1:32" ht="12">
      <c r="A2484" s="83" t="s">
        <v>22369</v>
      </c>
      <c r="B2484" s="64" t="s">
        <v>22370</v>
      </c>
      <c r="C2484" s="71" t="s">
        <v>509</v>
      </c>
      <c r="D2484" s="79">
        <v>1</v>
      </c>
      <c r="E2484" s="79">
        <v>55.9</v>
      </c>
      <c r="F2484" s="79">
        <v>55.9</v>
      </c>
      <c r="G2484" s="445"/>
      <c r="H2484" s="178">
        <v>55.89</v>
      </c>
      <c r="I2484" s="178">
        <v>68.75</v>
      </c>
      <c r="J2484" s="70">
        <v>-12.850000000000001</v>
      </c>
      <c r="K2484" s="320"/>
      <c r="L2484" s="178"/>
      <c r="M2484" s="178">
        <v>55.9</v>
      </c>
      <c r="N2484" s="179">
        <v>0</v>
      </c>
      <c r="O2484" s="178">
        <v>55.9</v>
      </c>
      <c r="P2484" s="453"/>
      <c r="Q2484" s="61"/>
      <c r="R2484" s="298"/>
      <c r="S2484" s="669"/>
      <c r="U2484" s="69"/>
      <c r="V2484" s="69"/>
      <c r="W2484" s="69"/>
      <c r="X2484" s="444">
        <v>2484</v>
      </c>
      <c r="Y2484" s="69"/>
      <c r="Z2484" s="69"/>
      <c r="AA2484" s="69"/>
      <c r="AB2484" s="69"/>
      <c r="AC2484" s="69"/>
      <c r="AD2484" s="69"/>
      <c r="AE2484" s="69"/>
      <c r="AF2484" s="69"/>
    </row>
    <row r="2485" spans="1:32">
      <c r="A2485" s="67" t="s">
        <v>29660</v>
      </c>
      <c r="B2485" s="216" t="s">
        <v>39918</v>
      </c>
      <c r="C2485" s="71" t="s">
        <v>509</v>
      </c>
      <c r="D2485" s="79">
        <v>1</v>
      </c>
      <c r="E2485" s="79">
        <v>273.48</v>
      </c>
      <c r="F2485" s="79">
        <v>273.48</v>
      </c>
      <c r="H2485" s="178">
        <v>273.48</v>
      </c>
      <c r="I2485" s="178">
        <v>336.38</v>
      </c>
      <c r="J2485" s="70">
        <v>-62.899999999999977</v>
      </c>
      <c r="K2485" s="320"/>
      <c r="L2485" s="178"/>
      <c r="M2485" s="178">
        <v>273.48</v>
      </c>
      <c r="N2485" s="179">
        <v>0</v>
      </c>
      <c r="O2485" s="178">
        <v>273.48</v>
      </c>
      <c r="Q2485" s="61"/>
      <c r="R2485" s="298"/>
      <c r="S2485" s="669"/>
      <c r="X2485" s="444">
        <v>2485</v>
      </c>
    </row>
    <row r="2486" spans="1:32">
      <c r="A2486" s="67" t="s">
        <v>29661</v>
      </c>
      <c r="B2486" s="216" t="s">
        <v>39539</v>
      </c>
      <c r="C2486" s="71" t="s">
        <v>509</v>
      </c>
      <c r="D2486" s="79">
        <v>1</v>
      </c>
      <c r="E2486" s="79">
        <v>20.52</v>
      </c>
      <c r="F2486" s="79">
        <v>20.52</v>
      </c>
      <c r="H2486" s="178">
        <v>20.51</v>
      </c>
      <c r="I2486" s="178">
        <v>25.23</v>
      </c>
      <c r="J2486" s="70">
        <v>-4.7100000000000009</v>
      </c>
      <c r="K2486" s="320"/>
      <c r="L2486" s="178">
        <v>2.11</v>
      </c>
      <c r="M2486" s="178">
        <v>18.41</v>
      </c>
      <c r="N2486" s="179">
        <v>0</v>
      </c>
      <c r="O2486" s="178">
        <v>20.52</v>
      </c>
      <c r="Q2486" s="61"/>
      <c r="R2486" s="298"/>
      <c r="S2486" s="669"/>
      <c r="X2486" s="444">
        <v>2486</v>
      </c>
    </row>
    <row r="2487" spans="1:32" ht="12">
      <c r="A2487" s="83" t="s">
        <v>22371</v>
      </c>
      <c r="B2487" s="64" t="s">
        <v>22372</v>
      </c>
      <c r="C2487" s="71" t="s">
        <v>10216</v>
      </c>
      <c r="D2487" s="79">
        <v>1</v>
      </c>
      <c r="E2487" s="79">
        <v>577.26</v>
      </c>
      <c r="F2487" s="79">
        <v>577.26</v>
      </c>
      <c r="G2487" s="445"/>
      <c r="H2487" s="178">
        <v>577.25</v>
      </c>
      <c r="I2487" s="178">
        <v>710.02</v>
      </c>
      <c r="J2487" s="70">
        <v>-132.76</v>
      </c>
      <c r="K2487" s="320"/>
      <c r="L2487" s="178"/>
      <c r="M2487" s="178">
        <v>577.26</v>
      </c>
      <c r="N2487" s="179">
        <v>0</v>
      </c>
      <c r="O2487" s="178">
        <v>577.26</v>
      </c>
      <c r="P2487" s="453"/>
      <c r="Q2487" s="61"/>
      <c r="R2487" s="298"/>
      <c r="S2487" s="669"/>
      <c r="U2487" s="69"/>
      <c r="V2487" s="69"/>
      <c r="W2487" s="69"/>
      <c r="X2487" s="444">
        <v>2487</v>
      </c>
      <c r="Y2487" s="69"/>
      <c r="Z2487" s="69"/>
      <c r="AA2487" s="69"/>
      <c r="AB2487" s="69"/>
      <c r="AC2487" s="69"/>
      <c r="AD2487" s="69"/>
      <c r="AE2487" s="69"/>
      <c r="AF2487" s="69"/>
    </row>
    <row r="2488" spans="1:32" ht="24">
      <c r="A2488" s="83" t="s">
        <v>22373</v>
      </c>
      <c r="B2488" s="64" t="s">
        <v>22374</v>
      </c>
      <c r="C2488" s="71" t="s">
        <v>509</v>
      </c>
      <c r="D2488" s="79">
        <v>1</v>
      </c>
      <c r="E2488" s="79">
        <v>92.94</v>
      </c>
      <c r="F2488" s="79">
        <v>92.94</v>
      </c>
      <c r="G2488" s="320"/>
      <c r="H2488" s="178">
        <v>92.93</v>
      </c>
      <c r="I2488" s="178">
        <v>114.3</v>
      </c>
      <c r="J2488" s="70">
        <v>-21.36</v>
      </c>
      <c r="K2488" s="320"/>
      <c r="L2488" s="178">
        <v>24.619999999999997</v>
      </c>
      <c r="M2488" s="178">
        <v>68.319999999999993</v>
      </c>
      <c r="N2488" s="179">
        <v>0</v>
      </c>
      <c r="O2488" s="178">
        <v>92.94</v>
      </c>
      <c r="P2488" s="453"/>
      <c r="Q2488" s="61"/>
      <c r="R2488" s="298"/>
      <c r="S2488" s="669"/>
      <c r="U2488" s="69"/>
      <c r="V2488" s="69"/>
      <c r="W2488" s="69"/>
      <c r="X2488" s="444">
        <v>2488</v>
      </c>
      <c r="Y2488" s="69"/>
      <c r="Z2488" s="69"/>
      <c r="AA2488" s="69"/>
      <c r="AB2488" s="69"/>
      <c r="AC2488" s="69"/>
      <c r="AD2488" s="69"/>
      <c r="AE2488" s="69"/>
      <c r="AF2488" s="69"/>
    </row>
    <row r="2489" spans="1:32">
      <c r="A2489" s="67" t="s">
        <v>29662</v>
      </c>
      <c r="B2489" s="216" t="s">
        <v>39919</v>
      </c>
      <c r="C2489" s="71" t="s">
        <v>509</v>
      </c>
      <c r="D2489" s="79">
        <v>1</v>
      </c>
      <c r="E2489" s="79">
        <v>29.74</v>
      </c>
      <c r="F2489" s="79">
        <v>29.74</v>
      </c>
      <c r="H2489" s="178">
        <v>29.74</v>
      </c>
      <c r="I2489" s="178">
        <v>36.58</v>
      </c>
      <c r="J2489" s="70">
        <v>-6.84</v>
      </c>
      <c r="K2489" s="320"/>
      <c r="L2489" s="178">
        <v>2.11</v>
      </c>
      <c r="M2489" s="178">
        <v>27.63</v>
      </c>
      <c r="N2489" s="179">
        <v>0</v>
      </c>
      <c r="O2489" s="178">
        <v>29.74</v>
      </c>
      <c r="Q2489" s="61"/>
      <c r="R2489" s="298"/>
      <c r="S2489" s="669"/>
      <c r="X2489" s="444">
        <v>2489</v>
      </c>
    </row>
    <row r="2490" spans="1:32" ht="12">
      <c r="A2490" s="67" t="s">
        <v>22375</v>
      </c>
      <c r="B2490" s="456" t="s">
        <v>39920</v>
      </c>
      <c r="C2490" s="71" t="s">
        <v>165</v>
      </c>
      <c r="D2490" s="462">
        <v>1</v>
      </c>
      <c r="E2490" s="79">
        <v>28.39</v>
      </c>
      <c r="F2490" s="79">
        <v>28.39</v>
      </c>
      <c r="H2490" s="70">
        <v>28.38</v>
      </c>
      <c r="I2490" s="178">
        <v>34.909999999999997</v>
      </c>
      <c r="J2490" s="70">
        <v>-6.519999999999996</v>
      </c>
      <c r="K2490" s="320"/>
      <c r="L2490" s="178">
        <v>12.74</v>
      </c>
      <c r="M2490" s="70">
        <v>15.65</v>
      </c>
      <c r="N2490" s="179">
        <v>0</v>
      </c>
      <c r="O2490" s="753">
        <v>28.39</v>
      </c>
      <c r="Q2490" s="61"/>
      <c r="R2490" s="298"/>
      <c r="S2490" s="669"/>
      <c r="X2490" s="444">
        <v>2490</v>
      </c>
    </row>
    <row r="2491" spans="1:32">
      <c r="A2491" s="67" t="s">
        <v>29663</v>
      </c>
      <c r="B2491" s="216" t="s">
        <v>39921</v>
      </c>
      <c r="C2491" s="71" t="s">
        <v>509</v>
      </c>
      <c r="D2491" s="79">
        <v>1</v>
      </c>
      <c r="E2491" s="79">
        <v>319.55</v>
      </c>
      <c r="F2491" s="79">
        <v>319.55</v>
      </c>
      <c r="H2491" s="178">
        <v>319.54000000000002</v>
      </c>
      <c r="I2491" s="178">
        <v>393.04</v>
      </c>
      <c r="J2491" s="70">
        <v>-73.490000000000009</v>
      </c>
      <c r="K2491" s="320"/>
      <c r="L2491" s="178"/>
      <c r="M2491" s="178">
        <v>319.55</v>
      </c>
      <c r="N2491" s="179">
        <v>0</v>
      </c>
      <c r="O2491" s="178">
        <v>319.55</v>
      </c>
      <c r="Q2491" s="61"/>
      <c r="R2491" s="298"/>
      <c r="S2491" s="669"/>
      <c r="X2491" s="444">
        <v>2491</v>
      </c>
    </row>
    <row r="2492" spans="1:32">
      <c r="A2492" s="67" t="s">
        <v>29664</v>
      </c>
      <c r="B2492" s="216" t="s">
        <v>39922</v>
      </c>
      <c r="C2492" s="71" t="s">
        <v>7887</v>
      </c>
      <c r="D2492" s="79">
        <v>1</v>
      </c>
      <c r="E2492" s="79">
        <v>48.9</v>
      </c>
      <c r="F2492" s="79">
        <v>48.9</v>
      </c>
      <c r="H2492" s="178">
        <v>48.89</v>
      </c>
      <c r="I2492" s="178">
        <v>60.14</v>
      </c>
      <c r="J2492" s="70">
        <v>-11.240000000000002</v>
      </c>
      <c r="K2492" s="320"/>
      <c r="L2492" s="178">
        <v>2.11</v>
      </c>
      <c r="M2492" s="178">
        <v>46.79</v>
      </c>
      <c r="N2492" s="179">
        <v>0</v>
      </c>
      <c r="O2492" s="178">
        <v>48.9</v>
      </c>
      <c r="Q2492" s="61"/>
      <c r="R2492" s="298"/>
      <c r="S2492" s="669"/>
      <c r="X2492" s="444">
        <v>2492</v>
      </c>
    </row>
    <row r="2493" spans="1:32" ht="12">
      <c r="A2493" s="83" t="s">
        <v>39923</v>
      </c>
      <c r="B2493" s="64" t="s">
        <v>39924</v>
      </c>
      <c r="C2493" s="71"/>
      <c r="D2493" s="79" t="s">
        <v>40899</v>
      </c>
      <c r="E2493" s="79" t="s">
        <v>40899</v>
      </c>
      <c r="F2493" s="79"/>
      <c r="G2493" s="445"/>
      <c r="H2493" s="178"/>
      <c r="I2493" s="178"/>
      <c r="J2493" s="70"/>
      <c r="K2493" s="320"/>
      <c r="L2493" s="178"/>
      <c r="M2493" s="178"/>
      <c r="N2493" s="179"/>
      <c r="O2493" s="178"/>
      <c r="P2493" s="453"/>
      <c r="Q2493" s="61"/>
      <c r="R2493" s="298"/>
      <c r="S2493" s="669"/>
      <c r="U2493" s="69"/>
      <c r="V2493" s="69"/>
      <c r="W2493" s="69"/>
      <c r="X2493" s="444">
        <v>2493</v>
      </c>
      <c r="Y2493" s="69"/>
      <c r="Z2493" s="69"/>
      <c r="AA2493" s="69"/>
      <c r="AB2493" s="69"/>
      <c r="AC2493" s="69"/>
      <c r="AD2493" s="69"/>
      <c r="AE2493" s="69"/>
      <c r="AF2493" s="69"/>
    </row>
    <row r="2494" spans="1:32" ht="12">
      <c r="A2494" s="83" t="s">
        <v>22376</v>
      </c>
      <c r="B2494" s="64" t="s">
        <v>7610</v>
      </c>
      <c r="C2494" s="71" t="s">
        <v>509</v>
      </c>
      <c r="D2494" s="79">
        <v>1</v>
      </c>
      <c r="E2494" s="79">
        <v>124</v>
      </c>
      <c r="F2494" s="79">
        <v>124</v>
      </c>
      <c r="G2494" s="445"/>
      <c r="H2494" s="178">
        <v>124</v>
      </c>
      <c r="I2494" s="178">
        <v>152.52000000000001</v>
      </c>
      <c r="J2494" s="70">
        <v>-28.52000000000001</v>
      </c>
      <c r="K2494" s="320"/>
      <c r="L2494" s="178">
        <v>53.95</v>
      </c>
      <c r="M2494" s="178">
        <v>70.05</v>
      </c>
      <c r="N2494" s="179">
        <v>0</v>
      </c>
      <c r="O2494" s="178">
        <v>124</v>
      </c>
      <c r="P2494" s="453"/>
      <c r="Q2494" s="61"/>
      <c r="R2494" s="298"/>
      <c r="S2494" s="669"/>
      <c r="U2494" s="69"/>
      <c r="V2494" s="69"/>
      <c r="W2494" s="69"/>
      <c r="X2494" s="444">
        <v>2494</v>
      </c>
      <c r="Y2494" s="69"/>
      <c r="Z2494" s="69"/>
      <c r="AA2494" s="69"/>
      <c r="AB2494" s="69"/>
      <c r="AC2494" s="69"/>
      <c r="AD2494" s="69"/>
      <c r="AE2494" s="69"/>
      <c r="AF2494" s="69"/>
    </row>
    <row r="2495" spans="1:32" ht="12">
      <c r="A2495" s="83" t="s">
        <v>22377</v>
      </c>
      <c r="B2495" s="64" t="s">
        <v>22372</v>
      </c>
      <c r="C2495" s="71" t="s">
        <v>10216</v>
      </c>
      <c r="D2495" s="79">
        <v>1</v>
      </c>
      <c r="E2495" s="79">
        <v>577.26</v>
      </c>
      <c r="F2495" s="79">
        <v>577.26</v>
      </c>
      <c r="G2495" s="445"/>
      <c r="H2495" s="178">
        <v>577.25</v>
      </c>
      <c r="I2495" s="178">
        <v>710.02</v>
      </c>
      <c r="J2495" s="70">
        <v>-132.76</v>
      </c>
      <c r="K2495" s="320"/>
      <c r="L2495" s="178"/>
      <c r="M2495" s="178">
        <v>577.26</v>
      </c>
      <c r="N2495" s="179">
        <v>0</v>
      </c>
      <c r="O2495" s="178">
        <v>577.26</v>
      </c>
      <c r="P2495" s="453"/>
      <c r="Q2495" s="61"/>
      <c r="R2495" s="298"/>
      <c r="S2495" s="669"/>
      <c r="U2495" s="69"/>
      <c r="V2495" s="69"/>
      <c r="W2495" s="69"/>
      <c r="X2495" s="444">
        <v>2495</v>
      </c>
      <c r="Y2495" s="69"/>
      <c r="Z2495" s="69"/>
      <c r="AA2495" s="69"/>
      <c r="AB2495" s="69"/>
      <c r="AC2495" s="69"/>
      <c r="AD2495" s="69"/>
      <c r="AE2495" s="69"/>
      <c r="AF2495" s="69"/>
    </row>
    <row r="2496" spans="1:32" ht="12">
      <c r="A2496" s="83" t="s">
        <v>39925</v>
      </c>
      <c r="B2496" s="64" t="s">
        <v>39926</v>
      </c>
      <c r="C2496" s="71"/>
      <c r="D2496" s="79" t="s">
        <v>40899</v>
      </c>
      <c r="E2496" s="79" t="s">
        <v>40899</v>
      </c>
      <c r="F2496" s="79"/>
      <c r="G2496" s="445"/>
      <c r="H2496" s="178"/>
      <c r="I2496" s="178"/>
      <c r="J2496" s="70"/>
      <c r="K2496" s="320"/>
      <c r="L2496" s="178"/>
      <c r="M2496" s="178"/>
      <c r="N2496" s="179"/>
      <c r="O2496" s="178"/>
      <c r="P2496" s="453"/>
      <c r="Q2496" s="61"/>
      <c r="R2496" s="298"/>
      <c r="S2496" s="669"/>
      <c r="U2496" s="69"/>
      <c r="V2496" s="69"/>
      <c r="W2496" s="69"/>
      <c r="X2496" s="444">
        <v>2496</v>
      </c>
      <c r="Y2496" s="69"/>
      <c r="Z2496" s="69"/>
      <c r="AA2496" s="69"/>
      <c r="AB2496" s="69"/>
      <c r="AC2496" s="69"/>
      <c r="AD2496" s="69"/>
      <c r="AE2496" s="69"/>
      <c r="AF2496" s="69"/>
    </row>
    <row r="2497" spans="1:32" ht="12">
      <c r="A2497" s="83" t="s">
        <v>22378</v>
      </c>
      <c r="B2497" s="64" t="s">
        <v>22379</v>
      </c>
      <c r="C2497" s="71" t="s">
        <v>165</v>
      </c>
      <c r="D2497" s="79">
        <v>1</v>
      </c>
      <c r="E2497" s="79">
        <v>57.81</v>
      </c>
      <c r="F2497" s="79">
        <v>57.81</v>
      </c>
      <c r="G2497" s="445"/>
      <c r="H2497" s="178">
        <v>57.8</v>
      </c>
      <c r="I2497" s="178">
        <v>71.099999999999994</v>
      </c>
      <c r="J2497" s="70">
        <v>-13.289999999999992</v>
      </c>
      <c r="K2497" s="320"/>
      <c r="L2497" s="178">
        <v>50.370000000000005</v>
      </c>
      <c r="M2497" s="178">
        <v>7.4399999999999977</v>
      </c>
      <c r="N2497" s="179">
        <v>0</v>
      </c>
      <c r="O2497" s="178">
        <v>57.81</v>
      </c>
      <c r="P2497" s="453"/>
      <c r="Q2497" s="61"/>
      <c r="R2497" s="298"/>
      <c r="S2497" s="669"/>
      <c r="T2497" s="61"/>
      <c r="U2497" s="69"/>
      <c r="V2497" s="69"/>
      <c r="W2497" s="69"/>
      <c r="X2497" s="444">
        <v>2497</v>
      </c>
      <c r="Y2497" s="69"/>
      <c r="Z2497" s="69"/>
      <c r="AA2497" s="69"/>
      <c r="AB2497" s="69"/>
      <c r="AC2497" s="69"/>
      <c r="AD2497" s="69"/>
      <c r="AE2497" s="69"/>
      <c r="AF2497" s="69"/>
    </row>
    <row r="2498" spans="1:32" ht="12">
      <c r="A2498" s="83" t="s">
        <v>22380</v>
      </c>
      <c r="B2498" s="64" t="s">
        <v>22381</v>
      </c>
      <c r="C2498" s="71" t="s">
        <v>165</v>
      </c>
      <c r="D2498" s="79">
        <v>1</v>
      </c>
      <c r="E2498" s="79">
        <v>134.39000000000001</v>
      </c>
      <c r="F2498" s="79">
        <v>134.38999999999999</v>
      </c>
      <c r="G2498" s="445"/>
      <c r="H2498" s="178">
        <v>134.38</v>
      </c>
      <c r="I2498" s="178">
        <v>165.29</v>
      </c>
      <c r="J2498" s="70">
        <v>-30.899999999999977</v>
      </c>
      <c r="K2498" s="320"/>
      <c r="L2498" s="178">
        <v>98.37</v>
      </c>
      <c r="M2498" s="178">
        <v>36.02000000000001</v>
      </c>
      <c r="N2498" s="179">
        <v>0</v>
      </c>
      <c r="O2498" s="178">
        <v>134.39000000000001</v>
      </c>
      <c r="P2498" s="453"/>
      <c r="Q2498" s="61"/>
      <c r="R2498" s="298"/>
      <c r="S2498" s="669"/>
      <c r="T2498" s="61"/>
      <c r="U2498" s="69"/>
      <c r="V2498" s="69"/>
      <c r="W2498" s="69"/>
      <c r="X2498" s="444">
        <v>2498</v>
      </c>
      <c r="Y2498" s="69"/>
      <c r="Z2498" s="69"/>
      <c r="AA2498" s="69"/>
      <c r="AB2498" s="69"/>
      <c r="AC2498" s="69"/>
      <c r="AD2498" s="69"/>
      <c r="AE2498" s="69"/>
      <c r="AF2498" s="69"/>
    </row>
    <row r="2499" spans="1:32" ht="12">
      <c r="A2499" s="83" t="s">
        <v>22382</v>
      </c>
      <c r="B2499" s="64" t="s">
        <v>22383</v>
      </c>
      <c r="C2499" s="71" t="s">
        <v>165</v>
      </c>
      <c r="D2499" s="79">
        <v>1</v>
      </c>
      <c r="E2499" s="79">
        <v>239.58</v>
      </c>
      <c r="F2499" s="79">
        <v>239.58</v>
      </c>
      <c r="G2499" s="445"/>
      <c r="H2499" s="178">
        <v>239.58</v>
      </c>
      <c r="I2499" s="178">
        <v>294.68</v>
      </c>
      <c r="J2499" s="70">
        <v>-55.099999999999994</v>
      </c>
      <c r="K2499" s="320"/>
      <c r="L2499" s="178">
        <v>50.370000000000005</v>
      </c>
      <c r="M2499" s="178">
        <v>189.21</v>
      </c>
      <c r="N2499" s="179">
        <v>0</v>
      </c>
      <c r="O2499" s="178">
        <v>239.58</v>
      </c>
      <c r="P2499" s="453"/>
      <c r="Q2499" s="61"/>
      <c r="R2499" s="298"/>
      <c r="S2499" s="669"/>
      <c r="X2499" s="444">
        <v>2499</v>
      </c>
    </row>
    <row r="2500" spans="1:32" ht="12">
      <c r="A2500" s="83" t="s">
        <v>22384</v>
      </c>
      <c r="B2500" s="64" t="s">
        <v>22385</v>
      </c>
      <c r="C2500" s="71" t="s">
        <v>165</v>
      </c>
      <c r="D2500" s="79">
        <v>1</v>
      </c>
      <c r="E2500" s="79">
        <v>69.790000000000006</v>
      </c>
      <c r="F2500" s="79">
        <v>69.790000000000006</v>
      </c>
      <c r="G2500" s="445"/>
      <c r="H2500" s="178">
        <v>69.8</v>
      </c>
      <c r="I2500" s="178">
        <v>85.85</v>
      </c>
      <c r="J2500" s="70">
        <v>-16.059999999999988</v>
      </c>
      <c r="K2500" s="320"/>
      <c r="L2500" s="178">
        <v>7.8100000000000005</v>
      </c>
      <c r="M2500" s="178">
        <v>61.980000000000004</v>
      </c>
      <c r="N2500" s="179">
        <v>0</v>
      </c>
      <c r="O2500" s="178">
        <v>69.790000000000006</v>
      </c>
      <c r="P2500" s="453"/>
      <c r="Q2500" s="61"/>
      <c r="R2500" s="298"/>
      <c r="S2500" s="669"/>
      <c r="X2500" s="444">
        <v>2500</v>
      </c>
    </row>
    <row r="2501" spans="1:32" ht="12">
      <c r="A2501" s="83" t="s">
        <v>22386</v>
      </c>
      <c r="B2501" s="64" t="s">
        <v>22387</v>
      </c>
      <c r="C2501" s="71" t="s">
        <v>165</v>
      </c>
      <c r="D2501" s="79">
        <v>1</v>
      </c>
      <c r="E2501" s="79">
        <v>217.25</v>
      </c>
      <c r="F2501" s="79">
        <v>217.25</v>
      </c>
      <c r="G2501" s="445"/>
      <c r="H2501" s="178">
        <v>217.24</v>
      </c>
      <c r="I2501" s="178">
        <v>267.20999999999998</v>
      </c>
      <c r="J2501" s="70">
        <v>-49.95999999999998</v>
      </c>
      <c r="K2501" s="320"/>
      <c r="L2501" s="178">
        <v>50.370000000000005</v>
      </c>
      <c r="M2501" s="178">
        <v>166.88</v>
      </c>
      <c r="N2501" s="179">
        <v>0</v>
      </c>
      <c r="O2501" s="178">
        <v>217.25</v>
      </c>
      <c r="P2501" s="453"/>
      <c r="Q2501" s="61"/>
      <c r="R2501" s="298"/>
      <c r="S2501" s="669"/>
      <c r="X2501" s="444">
        <v>2501</v>
      </c>
    </row>
    <row r="2502" spans="1:32" ht="12">
      <c r="A2502" s="83" t="s">
        <v>22388</v>
      </c>
      <c r="B2502" s="64" t="s">
        <v>22389</v>
      </c>
      <c r="C2502" s="71" t="s">
        <v>165</v>
      </c>
      <c r="D2502" s="79">
        <v>1</v>
      </c>
      <c r="E2502" s="79">
        <v>268.41000000000003</v>
      </c>
      <c r="F2502" s="79">
        <v>268.41000000000003</v>
      </c>
      <c r="G2502" s="445"/>
      <c r="H2502" s="178">
        <v>268.39999999999998</v>
      </c>
      <c r="I2502" s="178">
        <v>330.13</v>
      </c>
      <c r="J2502" s="70">
        <v>-61.71999999999997</v>
      </c>
      <c r="K2502" s="320"/>
      <c r="L2502" s="178">
        <v>46.239999999999995</v>
      </c>
      <c r="M2502" s="178">
        <v>222.17000000000002</v>
      </c>
      <c r="N2502" s="179">
        <v>0</v>
      </c>
      <c r="O2502" s="178">
        <v>268.41000000000003</v>
      </c>
      <c r="P2502" s="453"/>
      <c r="Q2502" s="61"/>
      <c r="R2502" s="298"/>
      <c r="S2502" s="669"/>
      <c r="X2502" s="444">
        <v>2502</v>
      </c>
    </row>
    <row r="2503" spans="1:32" ht="12">
      <c r="A2503" s="83" t="s">
        <v>22390</v>
      </c>
      <c r="B2503" s="64" t="s">
        <v>22391</v>
      </c>
      <c r="C2503" s="71" t="s">
        <v>10216</v>
      </c>
      <c r="D2503" s="79">
        <v>1</v>
      </c>
      <c r="E2503" s="79">
        <v>577.26</v>
      </c>
      <c r="F2503" s="79">
        <v>577.26</v>
      </c>
      <c r="G2503" s="445"/>
      <c r="H2503" s="178">
        <v>577.25</v>
      </c>
      <c r="I2503" s="178">
        <v>710.02</v>
      </c>
      <c r="J2503" s="70">
        <v>-132.76</v>
      </c>
      <c r="K2503" s="320"/>
      <c r="L2503" s="178"/>
      <c r="M2503" s="178">
        <v>577.26</v>
      </c>
      <c r="N2503" s="179">
        <v>0</v>
      </c>
      <c r="O2503" s="178">
        <v>577.26</v>
      </c>
      <c r="P2503" s="453"/>
      <c r="Q2503" s="61"/>
      <c r="R2503" s="298"/>
      <c r="S2503" s="669"/>
      <c r="X2503" s="444">
        <v>2503</v>
      </c>
    </row>
    <row r="2504" spans="1:32" ht="12">
      <c r="A2504" s="83" t="s">
        <v>11943</v>
      </c>
      <c r="B2504" s="64" t="s">
        <v>39927</v>
      </c>
      <c r="C2504" s="71"/>
      <c r="D2504" s="79" t="s">
        <v>40899</v>
      </c>
      <c r="E2504" s="79" t="s">
        <v>40899</v>
      </c>
      <c r="F2504" s="79"/>
      <c r="G2504" s="445"/>
      <c r="H2504" s="178"/>
      <c r="I2504" s="178"/>
      <c r="J2504" s="70"/>
      <c r="K2504" s="320"/>
      <c r="L2504" s="178"/>
      <c r="M2504" s="178"/>
      <c r="N2504" s="179"/>
      <c r="O2504" s="178"/>
      <c r="P2504" s="453"/>
      <c r="Q2504" s="61"/>
      <c r="R2504" s="298"/>
      <c r="S2504" s="669"/>
      <c r="X2504" s="444">
        <v>2504</v>
      </c>
    </row>
    <row r="2505" spans="1:32" ht="12">
      <c r="A2505" s="83" t="s">
        <v>22392</v>
      </c>
      <c r="B2505" s="64" t="s">
        <v>22393</v>
      </c>
      <c r="C2505" s="71" t="s">
        <v>165</v>
      </c>
      <c r="D2505" s="79">
        <v>1</v>
      </c>
      <c r="E2505" s="79">
        <v>26.67</v>
      </c>
      <c r="F2505" s="79">
        <v>26.67</v>
      </c>
      <c r="G2505" s="445"/>
      <c r="H2505" s="178">
        <v>26.68</v>
      </c>
      <c r="I2505" s="178">
        <v>32.82</v>
      </c>
      <c r="J2505" s="70">
        <v>-6.1499999999999986</v>
      </c>
      <c r="K2505" s="320"/>
      <c r="L2505" s="178">
        <v>26.04</v>
      </c>
      <c r="M2505" s="178">
        <v>0.63000000000000256</v>
      </c>
      <c r="N2505" s="179">
        <v>0</v>
      </c>
      <c r="O2505" s="178">
        <v>26.67</v>
      </c>
      <c r="P2505" s="453"/>
      <c r="Q2505" s="61"/>
      <c r="R2505" s="298"/>
      <c r="S2505" s="669"/>
      <c r="X2505" s="444">
        <v>2505</v>
      </c>
    </row>
    <row r="2506" spans="1:32" ht="12">
      <c r="A2506" s="83" t="s">
        <v>22394</v>
      </c>
      <c r="B2506" s="64" t="s">
        <v>22395</v>
      </c>
      <c r="C2506" s="71" t="s">
        <v>165</v>
      </c>
      <c r="D2506" s="79">
        <v>1</v>
      </c>
      <c r="E2506" s="79">
        <v>27.459999999999997</v>
      </c>
      <c r="F2506" s="79">
        <v>27.46</v>
      </c>
      <c r="G2506" s="445"/>
      <c r="H2506" s="178">
        <v>27.46</v>
      </c>
      <c r="I2506" s="178">
        <v>33.78</v>
      </c>
      <c r="J2506" s="70">
        <v>-6.3200000000000038</v>
      </c>
      <c r="K2506" s="320"/>
      <c r="L2506" s="178">
        <v>26.04</v>
      </c>
      <c r="M2506" s="178">
        <v>1.4199999999999982</v>
      </c>
      <c r="N2506" s="179">
        <v>0</v>
      </c>
      <c r="O2506" s="178">
        <v>27.459999999999997</v>
      </c>
      <c r="P2506" s="453"/>
      <c r="Q2506" s="61"/>
      <c r="R2506" s="298"/>
      <c r="S2506" s="669"/>
      <c r="X2506" s="444">
        <v>2506</v>
      </c>
    </row>
    <row r="2507" spans="1:32" ht="12">
      <c r="A2507" s="83" t="s">
        <v>22396</v>
      </c>
      <c r="B2507" s="64" t="s">
        <v>22397</v>
      </c>
      <c r="C2507" s="71" t="s">
        <v>165</v>
      </c>
      <c r="D2507" s="79">
        <v>1</v>
      </c>
      <c r="E2507" s="79">
        <v>27.310000000000002</v>
      </c>
      <c r="F2507" s="79">
        <v>27.31</v>
      </c>
      <c r="G2507" s="445"/>
      <c r="H2507" s="178">
        <v>27.32</v>
      </c>
      <c r="I2507" s="178">
        <v>33.6</v>
      </c>
      <c r="J2507" s="70">
        <v>-6.2899999999999991</v>
      </c>
      <c r="K2507" s="320"/>
      <c r="L2507" s="178">
        <v>26.04</v>
      </c>
      <c r="M2507" s="178">
        <v>1.2700000000000031</v>
      </c>
      <c r="N2507" s="179">
        <v>0</v>
      </c>
      <c r="O2507" s="178">
        <v>27.310000000000002</v>
      </c>
      <c r="P2507" s="453"/>
      <c r="Q2507" s="61"/>
      <c r="R2507" s="298"/>
      <c r="S2507" s="669"/>
      <c r="X2507" s="444">
        <v>2507</v>
      </c>
    </row>
    <row r="2508" spans="1:32" ht="12">
      <c r="A2508" s="83" t="s">
        <v>22398</v>
      </c>
      <c r="B2508" s="64" t="s">
        <v>22399</v>
      </c>
      <c r="C2508" s="71" t="s">
        <v>165</v>
      </c>
      <c r="D2508" s="79">
        <v>1</v>
      </c>
      <c r="E2508" s="79">
        <v>44.860000000000007</v>
      </c>
      <c r="F2508" s="79">
        <v>44.86</v>
      </c>
      <c r="G2508" s="445"/>
      <c r="H2508" s="178">
        <v>44.85</v>
      </c>
      <c r="I2508" s="178">
        <v>55.17</v>
      </c>
      <c r="J2508" s="70">
        <v>-10.309999999999995</v>
      </c>
      <c r="K2508" s="320"/>
      <c r="L2508" s="178">
        <v>43.07</v>
      </c>
      <c r="M2508" s="178">
        <v>1.7900000000000063</v>
      </c>
      <c r="N2508" s="179">
        <v>0</v>
      </c>
      <c r="O2508" s="178">
        <v>44.860000000000007</v>
      </c>
      <c r="P2508" s="453"/>
      <c r="Q2508" s="61"/>
      <c r="R2508" s="298"/>
      <c r="S2508" s="669"/>
      <c r="X2508" s="444">
        <v>2508</v>
      </c>
    </row>
    <row r="2509" spans="1:32" ht="12">
      <c r="A2509" s="83" t="s">
        <v>22400</v>
      </c>
      <c r="B2509" s="64" t="s">
        <v>39928</v>
      </c>
      <c r="C2509" s="71" t="s">
        <v>165</v>
      </c>
      <c r="D2509" s="79">
        <v>1</v>
      </c>
      <c r="E2509" s="79">
        <v>27.470000000000002</v>
      </c>
      <c r="F2509" s="79">
        <v>27.47</v>
      </c>
      <c r="G2509" s="320"/>
      <c r="H2509" s="178">
        <v>27.46</v>
      </c>
      <c r="I2509" s="178">
        <v>33.78</v>
      </c>
      <c r="J2509" s="70">
        <v>-6.3099999999999987</v>
      </c>
      <c r="K2509" s="320"/>
      <c r="L2509" s="178">
        <v>26.950000000000003</v>
      </c>
      <c r="M2509" s="178">
        <v>0.51999999999999957</v>
      </c>
      <c r="N2509" s="179">
        <v>0</v>
      </c>
      <c r="O2509" s="178">
        <v>27.470000000000002</v>
      </c>
      <c r="P2509" s="453"/>
      <c r="Q2509" s="61"/>
      <c r="R2509" s="298"/>
      <c r="S2509" s="669"/>
      <c r="X2509" s="444">
        <v>2509</v>
      </c>
    </row>
    <row r="2510" spans="1:32" ht="12">
      <c r="A2510" s="83" t="s">
        <v>22401</v>
      </c>
      <c r="B2510" s="64" t="s">
        <v>22402</v>
      </c>
      <c r="C2510" s="71" t="s">
        <v>165</v>
      </c>
      <c r="D2510" s="79">
        <v>1</v>
      </c>
      <c r="E2510" s="79">
        <v>31.94</v>
      </c>
      <c r="F2510" s="79">
        <v>31.94</v>
      </c>
      <c r="G2510" s="445"/>
      <c r="H2510" s="178">
        <v>31.93</v>
      </c>
      <c r="I2510" s="178">
        <v>39.28</v>
      </c>
      <c r="J2510" s="70">
        <v>-7.34</v>
      </c>
      <c r="K2510" s="320"/>
      <c r="L2510" s="178">
        <v>13.100000000000001</v>
      </c>
      <c r="M2510" s="178">
        <v>18.84</v>
      </c>
      <c r="N2510" s="179">
        <v>0</v>
      </c>
      <c r="O2510" s="178">
        <v>31.94</v>
      </c>
      <c r="P2510" s="453"/>
      <c r="Q2510" s="61"/>
      <c r="R2510" s="298"/>
      <c r="S2510" s="669"/>
      <c r="X2510" s="444">
        <v>2510</v>
      </c>
    </row>
    <row r="2511" spans="1:32" ht="12">
      <c r="A2511" s="83" t="s">
        <v>22403</v>
      </c>
      <c r="B2511" s="64" t="s">
        <v>22404</v>
      </c>
      <c r="C2511" s="71" t="s">
        <v>165</v>
      </c>
      <c r="D2511" s="79">
        <v>1</v>
      </c>
      <c r="E2511" s="79">
        <v>57.06</v>
      </c>
      <c r="F2511" s="79">
        <v>57.06</v>
      </c>
      <c r="G2511" s="445"/>
      <c r="H2511" s="178">
        <v>57.07</v>
      </c>
      <c r="I2511" s="178">
        <v>70.19</v>
      </c>
      <c r="J2511" s="70">
        <v>-13.129999999999995</v>
      </c>
      <c r="K2511" s="320"/>
      <c r="L2511" s="178">
        <v>31.75</v>
      </c>
      <c r="M2511" s="178">
        <v>25.310000000000002</v>
      </c>
      <c r="N2511" s="179">
        <v>0</v>
      </c>
      <c r="O2511" s="178">
        <v>57.06</v>
      </c>
      <c r="P2511" s="453"/>
      <c r="Q2511" s="61"/>
      <c r="R2511" s="298"/>
      <c r="S2511" s="669"/>
      <c r="X2511" s="444">
        <v>2511</v>
      </c>
    </row>
    <row r="2512" spans="1:32" ht="12">
      <c r="A2512" s="83" t="s">
        <v>22405</v>
      </c>
      <c r="B2512" s="64" t="s">
        <v>22406</v>
      </c>
      <c r="C2512" s="71" t="s">
        <v>165</v>
      </c>
      <c r="D2512" s="79">
        <v>1</v>
      </c>
      <c r="E2512" s="79">
        <v>67.77</v>
      </c>
      <c r="F2512" s="79">
        <v>67.77</v>
      </c>
      <c r="G2512" s="445"/>
      <c r="H2512" s="178">
        <v>67.77</v>
      </c>
      <c r="I2512" s="178">
        <v>83.36</v>
      </c>
      <c r="J2512" s="70">
        <v>-15.590000000000003</v>
      </c>
      <c r="K2512" s="320"/>
      <c r="L2512" s="178">
        <v>1.1099999999999999</v>
      </c>
      <c r="M2512" s="178">
        <v>66.66</v>
      </c>
      <c r="N2512" s="179">
        <v>0</v>
      </c>
      <c r="O2512" s="178">
        <v>67.77</v>
      </c>
      <c r="P2512" s="453"/>
      <c r="Q2512" s="61"/>
      <c r="R2512" s="298"/>
      <c r="S2512" s="669"/>
      <c r="X2512" s="444">
        <v>2512</v>
      </c>
    </row>
    <row r="2513" spans="1:32" ht="12">
      <c r="A2513" s="83" t="s">
        <v>22407</v>
      </c>
      <c r="B2513" s="64" t="s">
        <v>22408</v>
      </c>
      <c r="C2513" s="71" t="s">
        <v>165</v>
      </c>
      <c r="D2513" s="79">
        <v>1</v>
      </c>
      <c r="E2513" s="79">
        <v>23.5</v>
      </c>
      <c r="F2513" s="79">
        <v>23.5</v>
      </c>
      <c r="G2513" s="445"/>
      <c r="H2513" s="178">
        <v>23.5</v>
      </c>
      <c r="I2513" s="178">
        <v>28.9</v>
      </c>
      <c r="J2513" s="70">
        <v>-5.3999999999999986</v>
      </c>
      <c r="K2513" s="320"/>
      <c r="L2513" s="178">
        <v>13.25</v>
      </c>
      <c r="M2513" s="178">
        <v>10.25</v>
      </c>
      <c r="N2513" s="179">
        <v>0</v>
      </c>
      <c r="O2513" s="178">
        <v>23.5</v>
      </c>
      <c r="P2513" s="453"/>
      <c r="Q2513" s="61"/>
      <c r="R2513" s="298"/>
      <c r="S2513" s="669"/>
      <c r="X2513" s="444">
        <v>2513</v>
      </c>
    </row>
    <row r="2514" spans="1:32" ht="12">
      <c r="A2514" s="65" t="s">
        <v>22409</v>
      </c>
      <c r="B2514" s="456" t="s">
        <v>39929</v>
      </c>
      <c r="C2514" s="108" t="s">
        <v>165</v>
      </c>
      <c r="D2514" s="79">
        <v>1</v>
      </c>
      <c r="E2514" s="79">
        <v>25.36</v>
      </c>
      <c r="F2514" s="79">
        <v>25.36</v>
      </c>
      <c r="H2514" s="70">
        <v>25.36</v>
      </c>
      <c r="I2514" s="178">
        <v>31.19</v>
      </c>
      <c r="J2514" s="70">
        <v>-5.8300000000000018</v>
      </c>
      <c r="K2514" s="320"/>
      <c r="L2514" s="178">
        <v>13.25</v>
      </c>
      <c r="M2514" s="178">
        <v>12.11</v>
      </c>
      <c r="N2514" s="179">
        <v>0</v>
      </c>
      <c r="O2514" s="178">
        <v>25.36</v>
      </c>
      <c r="P2514" s="453"/>
      <c r="Q2514" s="61"/>
      <c r="R2514" s="298"/>
      <c r="S2514" s="669"/>
      <c r="X2514" s="444">
        <v>2514</v>
      </c>
    </row>
    <row r="2515" spans="1:32" ht="12">
      <c r="A2515" s="83" t="s">
        <v>22410</v>
      </c>
      <c r="B2515" s="64" t="s">
        <v>22411</v>
      </c>
      <c r="C2515" s="71" t="s">
        <v>165</v>
      </c>
      <c r="D2515" s="79">
        <v>1</v>
      </c>
      <c r="E2515" s="79">
        <v>66.400000000000006</v>
      </c>
      <c r="F2515" s="79">
        <v>66.400000000000006</v>
      </c>
      <c r="G2515" s="445"/>
      <c r="H2515" s="178">
        <v>66.41</v>
      </c>
      <c r="I2515" s="178">
        <v>81.680000000000007</v>
      </c>
      <c r="J2515" s="70">
        <v>-15.280000000000001</v>
      </c>
      <c r="K2515" s="320"/>
      <c r="L2515" s="178">
        <v>1.1099999999999999</v>
      </c>
      <c r="M2515" s="178">
        <v>65.290000000000006</v>
      </c>
      <c r="N2515" s="179">
        <v>0</v>
      </c>
      <c r="O2515" s="178">
        <v>66.400000000000006</v>
      </c>
      <c r="P2515" s="453"/>
      <c r="Q2515" s="61"/>
      <c r="R2515" s="298"/>
      <c r="S2515" s="669"/>
      <c r="T2515" s="73"/>
      <c r="X2515" s="444">
        <v>2515</v>
      </c>
    </row>
    <row r="2516" spans="1:32" ht="12">
      <c r="A2516" s="83" t="s">
        <v>22412</v>
      </c>
      <c r="B2516" s="64" t="s">
        <v>22413</v>
      </c>
      <c r="C2516" s="71" t="s">
        <v>165</v>
      </c>
      <c r="D2516" s="79">
        <v>1</v>
      </c>
      <c r="E2516" s="79">
        <v>65.97</v>
      </c>
      <c r="F2516" s="79">
        <v>65.97</v>
      </c>
      <c r="G2516" s="445"/>
      <c r="H2516" s="178">
        <v>65.97</v>
      </c>
      <c r="I2516" s="178">
        <v>81.14</v>
      </c>
      <c r="J2516" s="70">
        <v>-15.170000000000002</v>
      </c>
      <c r="K2516" s="320"/>
      <c r="L2516" s="178">
        <v>0.78</v>
      </c>
      <c r="M2516" s="178">
        <v>65.19</v>
      </c>
      <c r="N2516" s="179">
        <v>0</v>
      </c>
      <c r="O2516" s="178">
        <v>65.97</v>
      </c>
      <c r="P2516" s="453"/>
      <c r="Q2516" s="61"/>
      <c r="R2516" s="298"/>
      <c r="S2516" s="669"/>
      <c r="X2516" s="444">
        <v>2516</v>
      </c>
    </row>
    <row r="2517" spans="1:32" ht="12">
      <c r="A2517" s="83" t="s">
        <v>22414</v>
      </c>
      <c r="B2517" s="64" t="s">
        <v>22415</v>
      </c>
      <c r="C2517" s="71" t="s">
        <v>165</v>
      </c>
      <c r="D2517" s="79">
        <v>1</v>
      </c>
      <c r="E2517" s="79">
        <v>67.59</v>
      </c>
      <c r="F2517" s="79">
        <v>67.59</v>
      </c>
      <c r="G2517" s="320"/>
      <c r="H2517" s="178">
        <v>67.59</v>
      </c>
      <c r="I2517" s="178">
        <v>83.14</v>
      </c>
      <c r="J2517" s="70">
        <v>-15.549999999999997</v>
      </c>
      <c r="K2517" s="320"/>
      <c r="L2517" s="178">
        <v>1.1099999999999999</v>
      </c>
      <c r="M2517" s="178">
        <v>66.48</v>
      </c>
      <c r="N2517" s="179">
        <v>0</v>
      </c>
      <c r="O2517" s="178">
        <v>67.59</v>
      </c>
      <c r="P2517" s="453"/>
      <c r="Q2517" s="61"/>
      <c r="R2517" s="298"/>
      <c r="S2517" s="669"/>
      <c r="X2517" s="444">
        <v>2517</v>
      </c>
    </row>
    <row r="2518" spans="1:32" ht="12">
      <c r="A2518" s="83" t="s">
        <v>22416</v>
      </c>
      <c r="B2518" s="64" t="s">
        <v>22417</v>
      </c>
      <c r="C2518" s="71" t="s">
        <v>165</v>
      </c>
      <c r="D2518" s="79">
        <v>1</v>
      </c>
      <c r="E2518" s="79">
        <v>66.02</v>
      </c>
      <c r="F2518" s="79">
        <v>66.02</v>
      </c>
      <c r="G2518" s="445"/>
      <c r="H2518" s="178">
        <v>66.02</v>
      </c>
      <c r="I2518" s="178">
        <v>81.209999999999994</v>
      </c>
      <c r="J2518" s="70">
        <v>-15.189999999999998</v>
      </c>
      <c r="K2518" s="320"/>
      <c r="L2518" s="178">
        <v>26.04</v>
      </c>
      <c r="M2518" s="178">
        <v>39.979999999999997</v>
      </c>
      <c r="N2518" s="179">
        <v>0</v>
      </c>
      <c r="O2518" s="178">
        <v>66.02</v>
      </c>
      <c r="P2518" s="453"/>
      <c r="Q2518" s="61"/>
      <c r="R2518" s="298"/>
      <c r="S2518" s="669"/>
      <c r="X2518" s="444">
        <v>2518</v>
      </c>
    </row>
    <row r="2519" spans="1:32" ht="12">
      <c r="A2519" s="83" t="s">
        <v>22418</v>
      </c>
      <c r="B2519" s="64" t="s">
        <v>22419</v>
      </c>
      <c r="C2519" s="71" t="s">
        <v>165</v>
      </c>
      <c r="D2519" s="79">
        <v>1</v>
      </c>
      <c r="E2519" s="79">
        <v>72.25</v>
      </c>
      <c r="F2519" s="79">
        <v>72.25</v>
      </c>
      <c r="G2519" s="445"/>
      <c r="H2519" s="178">
        <v>72.239999999999995</v>
      </c>
      <c r="I2519" s="178">
        <v>88.86</v>
      </c>
      <c r="J2519" s="70">
        <v>-16.61</v>
      </c>
      <c r="K2519" s="320"/>
      <c r="L2519" s="178">
        <v>31.459999999999997</v>
      </c>
      <c r="M2519" s="178">
        <v>40.790000000000006</v>
      </c>
      <c r="N2519" s="179">
        <v>0</v>
      </c>
      <c r="O2519" s="178">
        <v>72.25</v>
      </c>
      <c r="P2519" s="453"/>
      <c r="Q2519" s="61"/>
      <c r="R2519" s="298"/>
      <c r="S2519" s="669"/>
      <c r="X2519" s="444">
        <v>2519</v>
      </c>
    </row>
    <row r="2520" spans="1:32" ht="12">
      <c r="A2520" s="83" t="s">
        <v>22420</v>
      </c>
      <c r="B2520" s="64" t="s">
        <v>22421</v>
      </c>
      <c r="C2520" s="71" t="s">
        <v>165</v>
      </c>
      <c r="D2520" s="79">
        <v>1</v>
      </c>
      <c r="E2520" s="79">
        <v>62.120000000000005</v>
      </c>
      <c r="F2520" s="79">
        <v>62.12</v>
      </c>
      <c r="G2520" s="445"/>
      <c r="H2520" s="178">
        <v>62.11</v>
      </c>
      <c r="I2520" s="178">
        <v>76.400000000000006</v>
      </c>
      <c r="J2520" s="70">
        <v>-14.280000000000001</v>
      </c>
      <c r="K2520" s="320"/>
      <c r="L2520" s="178">
        <v>22.2</v>
      </c>
      <c r="M2520" s="178">
        <v>39.92</v>
      </c>
      <c r="N2520" s="179">
        <v>0</v>
      </c>
      <c r="O2520" s="178">
        <v>62.120000000000005</v>
      </c>
      <c r="P2520" s="453"/>
      <c r="Q2520" s="61"/>
      <c r="R2520" s="298"/>
      <c r="S2520" s="669"/>
      <c r="X2520" s="444">
        <v>2520</v>
      </c>
    </row>
    <row r="2521" spans="1:32" ht="12">
      <c r="A2521" s="83" t="s">
        <v>22422</v>
      </c>
      <c r="B2521" s="64" t="s">
        <v>22423</v>
      </c>
      <c r="C2521" s="71" t="s">
        <v>165</v>
      </c>
      <c r="D2521" s="79">
        <v>1</v>
      </c>
      <c r="E2521" s="79">
        <v>35.35</v>
      </c>
      <c r="F2521" s="79">
        <v>35.35</v>
      </c>
      <c r="G2521" s="445"/>
      <c r="H2521" s="178">
        <v>35.36</v>
      </c>
      <c r="I2521" s="178">
        <v>43.49</v>
      </c>
      <c r="J2521" s="70">
        <v>-8.14</v>
      </c>
      <c r="K2521" s="320"/>
      <c r="L2521" s="178">
        <v>26.04</v>
      </c>
      <c r="M2521" s="178">
        <v>9.3100000000000023</v>
      </c>
      <c r="N2521" s="179">
        <v>0</v>
      </c>
      <c r="O2521" s="178">
        <v>35.35</v>
      </c>
      <c r="P2521" s="453"/>
      <c r="Q2521" s="61"/>
      <c r="R2521" s="298"/>
      <c r="S2521" s="669"/>
      <c r="X2521" s="444">
        <v>2521</v>
      </c>
    </row>
    <row r="2522" spans="1:32" ht="12">
      <c r="A2522" s="83" t="s">
        <v>22424</v>
      </c>
      <c r="B2522" s="64" t="s">
        <v>22425</v>
      </c>
      <c r="C2522" s="71" t="s">
        <v>165</v>
      </c>
      <c r="D2522" s="79">
        <v>1</v>
      </c>
      <c r="E2522" s="79">
        <v>42.42</v>
      </c>
      <c r="F2522" s="79">
        <v>42.42</v>
      </c>
      <c r="G2522" s="445"/>
      <c r="H2522" s="178">
        <v>42.42</v>
      </c>
      <c r="I2522" s="178">
        <v>52.18</v>
      </c>
      <c r="J2522" s="70">
        <v>-9.759999999999998</v>
      </c>
      <c r="K2522" s="320"/>
      <c r="L2522" s="178">
        <v>27.39</v>
      </c>
      <c r="M2522" s="178">
        <v>15.030000000000001</v>
      </c>
      <c r="N2522" s="179">
        <v>0</v>
      </c>
      <c r="O2522" s="178">
        <v>42.42</v>
      </c>
      <c r="P2522" s="453"/>
      <c r="Q2522" s="61"/>
      <c r="R2522" s="298"/>
      <c r="S2522" s="669"/>
      <c r="X2522" s="444">
        <v>2522</v>
      </c>
    </row>
    <row r="2523" spans="1:32" ht="12">
      <c r="A2523" s="83" t="s">
        <v>22426</v>
      </c>
      <c r="B2523" s="64" t="s">
        <v>22427</v>
      </c>
      <c r="C2523" s="71" t="s">
        <v>165</v>
      </c>
      <c r="D2523" s="79">
        <v>1</v>
      </c>
      <c r="E2523" s="79">
        <v>38.81</v>
      </c>
      <c r="F2523" s="79">
        <v>38.81</v>
      </c>
      <c r="G2523" s="445"/>
      <c r="H2523" s="178">
        <v>38.799999999999997</v>
      </c>
      <c r="I2523" s="178">
        <v>47.73</v>
      </c>
      <c r="J2523" s="70">
        <v>-8.9199999999999946</v>
      </c>
      <c r="K2523" s="320"/>
      <c r="L2523" s="178">
        <v>28.75</v>
      </c>
      <c r="M2523" s="178">
        <v>10.060000000000002</v>
      </c>
      <c r="N2523" s="179">
        <v>0</v>
      </c>
      <c r="O2523" s="178">
        <v>38.81</v>
      </c>
      <c r="P2523" s="453"/>
      <c r="Q2523" s="61"/>
      <c r="R2523" s="298"/>
      <c r="S2523" s="669"/>
      <c r="X2523" s="444">
        <v>2523</v>
      </c>
    </row>
    <row r="2524" spans="1:32" ht="12">
      <c r="A2524" s="83" t="s">
        <v>22428</v>
      </c>
      <c r="B2524" s="64" t="s">
        <v>22429</v>
      </c>
      <c r="C2524" s="71" t="s">
        <v>165</v>
      </c>
      <c r="D2524" s="79">
        <v>1</v>
      </c>
      <c r="E2524" s="79">
        <v>46.22</v>
      </c>
      <c r="F2524" s="79">
        <v>46.22</v>
      </c>
      <c r="G2524" s="445"/>
      <c r="H2524" s="178">
        <v>46.22</v>
      </c>
      <c r="I2524" s="178">
        <v>56.85</v>
      </c>
      <c r="J2524" s="70">
        <v>-10.630000000000003</v>
      </c>
      <c r="K2524" s="320"/>
      <c r="L2524" s="178">
        <v>30.099999999999998</v>
      </c>
      <c r="M2524" s="178">
        <v>16.12</v>
      </c>
      <c r="N2524" s="179">
        <v>0</v>
      </c>
      <c r="O2524" s="178">
        <v>46.22</v>
      </c>
      <c r="P2524" s="453"/>
      <c r="Q2524" s="61"/>
      <c r="R2524" s="298"/>
      <c r="S2524" s="669"/>
      <c r="X2524" s="444">
        <v>2524</v>
      </c>
    </row>
    <row r="2525" spans="1:32" ht="12">
      <c r="A2525" s="83" t="s">
        <v>22430</v>
      </c>
      <c r="B2525" s="64" t="s">
        <v>22431</v>
      </c>
      <c r="C2525" s="71" t="s">
        <v>10216</v>
      </c>
      <c r="D2525" s="79">
        <v>1</v>
      </c>
      <c r="E2525" s="79">
        <v>577.26</v>
      </c>
      <c r="F2525" s="79">
        <v>577.26</v>
      </c>
      <c r="G2525" s="445"/>
      <c r="H2525" s="178">
        <v>577.25</v>
      </c>
      <c r="I2525" s="178">
        <v>710.02</v>
      </c>
      <c r="J2525" s="70">
        <v>-132.76</v>
      </c>
      <c r="K2525" s="320"/>
      <c r="L2525" s="178">
        <v>0</v>
      </c>
      <c r="M2525" s="178">
        <v>577.26</v>
      </c>
      <c r="N2525" s="179">
        <v>0</v>
      </c>
      <c r="O2525" s="178">
        <v>577.26</v>
      </c>
      <c r="P2525" s="453"/>
      <c r="Q2525" s="61"/>
      <c r="R2525" s="298"/>
      <c r="S2525" s="669"/>
      <c r="X2525" s="444">
        <v>2525</v>
      </c>
    </row>
    <row r="2526" spans="1:32" ht="24">
      <c r="A2526" s="83" t="s">
        <v>22432</v>
      </c>
      <c r="B2526" s="64" t="s">
        <v>22433</v>
      </c>
      <c r="C2526" s="71" t="s">
        <v>165</v>
      </c>
      <c r="D2526" s="79">
        <v>1</v>
      </c>
      <c r="E2526" s="79">
        <v>15.010000000000002</v>
      </c>
      <c r="F2526" s="79">
        <v>15.01</v>
      </c>
      <c r="G2526" s="320"/>
      <c r="H2526" s="178">
        <v>15.02</v>
      </c>
      <c r="I2526" s="178">
        <v>18.47</v>
      </c>
      <c r="J2526" s="70">
        <v>-3.4599999999999973</v>
      </c>
      <c r="K2526" s="320"/>
      <c r="L2526" s="178">
        <v>10.88</v>
      </c>
      <c r="M2526" s="178">
        <v>4.1300000000000008</v>
      </c>
      <c r="N2526" s="179">
        <v>0</v>
      </c>
      <c r="O2526" s="178">
        <v>15.010000000000002</v>
      </c>
      <c r="P2526" s="453"/>
      <c r="Q2526" s="61"/>
      <c r="R2526" s="298"/>
      <c r="S2526" s="669"/>
      <c r="X2526" s="444">
        <v>2526</v>
      </c>
    </row>
    <row r="2527" spans="1:32" ht="12">
      <c r="A2527" s="83" t="s">
        <v>39930</v>
      </c>
      <c r="B2527" s="64" t="s">
        <v>39931</v>
      </c>
      <c r="C2527" s="71"/>
      <c r="D2527" s="79" t="s">
        <v>40899</v>
      </c>
      <c r="E2527" s="79" t="s">
        <v>40899</v>
      </c>
      <c r="F2527" s="79"/>
      <c r="G2527" s="445"/>
      <c r="H2527" s="178"/>
      <c r="I2527" s="178"/>
      <c r="J2527" s="70"/>
      <c r="K2527" s="320"/>
      <c r="L2527" s="178"/>
      <c r="M2527" s="178"/>
      <c r="N2527" s="179"/>
      <c r="O2527" s="178"/>
      <c r="P2527" s="453"/>
      <c r="Q2527" s="61"/>
      <c r="R2527" s="298"/>
      <c r="S2527" s="669"/>
      <c r="U2527" s="61"/>
      <c r="V2527" s="61"/>
      <c r="W2527" s="61"/>
      <c r="X2527" s="444">
        <v>2527</v>
      </c>
      <c r="Y2527" s="61"/>
      <c r="Z2527" s="61"/>
      <c r="AA2527" s="61"/>
      <c r="AB2527" s="61"/>
      <c r="AC2527" s="61"/>
      <c r="AD2527" s="61"/>
      <c r="AE2527" s="61"/>
      <c r="AF2527" s="61"/>
    </row>
    <row r="2528" spans="1:32" ht="12">
      <c r="A2528" s="83" t="s">
        <v>22434</v>
      </c>
      <c r="B2528" s="64" t="s">
        <v>22435</v>
      </c>
      <c r="C2528" s="71" t="s">
        <v>165</v>
      </c>
      <c r="D2528" s="79">
        <v>1</v>
      </c>
      <c r="E2528" s="79">
        <v>27.099999999999998</v>
      </c>
      <c r="F2528" s="79">
        <v>27.1</v>
      </c>
      <c r="G2528" s="445"/>
      <c r="H2528" s="178">
        <v>27.1</v>
      </c>
      <c r="I2528" s="178">
        <v>33.33</v>
      </c>
      <c r="J2528" s="70">
        <v>-6.23</v>
      </c>
      <c r="K2528" s="320"/>
      <c r="L2528" s="178">
        <v>22.18</v>
      </c>
      <c r="M2528" s="178">
        <v>4.9199999999999982</v>
      </c>
      <c r="N2528" s="179">
        <v>0</v>
      </c>
      <c r="O2528" s="178">
        <v>27.099999999999998</v>
      </c>
      <c r="P2528" s="453"/>
      <c r="Q2528" s="61"/>
      <c r="R2528" s="298"/>
      <c r="S2528" s="669"/>
      <c r="U2528" s="73"/>
      <c r="V2528" s="73"/>
      <c r="W2528" s="73"/>
      <c r="X2528" s="444">
        <v>2528</v>
      </c>
      <c r="Y2528" s="73"/>
      <c r="Z2528" s="73"/>
      <c r="AA2528" s="73"/>
      <c r="AB2528" s="73"/>
      <c r="AC2528" s="73"/>
      <c r="AD2528" s="73"/>
      <c r="AE2528" s="73"/>
      <c r="AF2528" s="73"/>
    </row>
    <row r="2529" spans="1:32" ht="12">
      <c r="A2529" s="83" t="s">
        <v>22436</v>
      </c>
      <c r="B2529" s="64" t="s">
        <v>22437</v>
      </c>
      <c r="C2529" s="71" t="s">
        <v>165</v>
      </c>
      <c r="D2529" s="79">
        <v>1</v>
      </c>
      <c r="E2529" s="79">
        <v>119.89</v>
      </c>
      <c r="F2529" s="79">
        <v>119.89</v>
      </c>
      <c r="G2529" s="445"/>
      <c r="H2529" s="178">
        <v>119.88</v>
      </c>
      <c r="I2529" s="178">
        <v>147.44999999999999</v>
      </c>
      <c r="J2529" s="70">
        <v>-27.559999999999988</v>
      </c>
      <c r="K2529" s="320"/>
      <c r="L2529" s="178">
        <v>37.519999999999996</v>
      </c>
      <c r="M2529" s="178">
        <v>82.37</v>
      </c>
      <c r="N2529" s="179">
        <v>0</v>
      </c>
      <c r="O2529" s="178">
        <v>119.89</v>
      </c>
      <c r="P2529" s="453"/>
      <c r="Q2529" s="61"/>
      <c r="R2529" s="298"/>
      <c r="S2529" s="669"/>
      <c r="U2529" s="69"/>
      <c r="V2529" s="69"/>
      <c r="W2529" s="69"/>
      <c r="X2529" s="444">
        <v>2529</v>
      </c>
      <c r="Y2529" s="69"/>
      <c r="Z2529" s="69"/>
      <c r="AA2529" s="69"/>
      <c r="AB2529" s="69"/>
      <c r="AC2529" s="69"/>
      <c r="AD2529" s="69"/>
      <c r="AE2529" s="69"/>
      <c r="AF2529" s="69"/>
    </row>
    <row r="2530" spans="1:32" ht="12">
      <c r="A2530" s="83" t="s">
        <v>22438</v>
      </c>
      <c r="B2530" s="64" t="s">
        <v>22439</v>
      </c>
      <c r="C2530" s="71" t="s">
        <v>165</v>
      </c>
      <c r="D2530" s="79">
        <v>1</v>
      </c>
      <c r="E2530" s="79">
        <v>133.23000000000002</v>
      </c>
      <c r="F2530" s="79">
        <v>133.22999999999999</v>
      </c>
      <c r="G2530" s="445"/>
      <c r="H2530" s="178">
        <v>133.22999999999999</v>
      </c>
      <c r="I2530" s="178">
        <v>163.87</v>
      </c>
      <c r="J2530" s="70">
        <v>-30.639999999999986</v>
      </c>
      <c r="K2530" s="320"/>
      <c r="L2530" s="178">
        <v>47.040000000000006</v>
      </c>
      <c r="M2530" s="178">
        <v>86.190000000000012</v>
      </c>
      <c r="N2530" s="179">
        <v>0</v>
      </c>
      <c r="O2530" s="178">
        <v>133.23000000000002</v>
      </c>
      <c r="P2530" s="453"/>
      <c r="Q2530" s="61"/>
      <c r="R2530" s="298"/>
      <c r="S2530" s="669"/>
      <c r="X2530" s="444">
        <v>2530</v>
      </c>
    </row>
    <row r="2531" spans="1:32" ht="12">
      <c r="A2531" s="83" t="s">
        <v>22440</v>
      </c>
      <c r="B2531" s="64" t="s">
        <v>22441</v>
      </c>
      <c r="C2531" s="71" t="s">
        <v>165</v>
      </c>
      <c r="D2531" s="79">
        <v>1</v>
      </c>
      <c r="E2531" s="79">
        <v>143.16999999999999</v>
      </c>
      <c r="F2531" s="79">
        <v>143.16999999999999</v>
      </c>
      <c r="G2531" s="445"/>
      <c r="H2531" s="178">
        <v>143.16</v>
      </c>
      <c r="I2531" s="178">
        <v>176.09</v>
      </c>
      <c r="J2531" s="70">
        <v>-32.920000000000016</v>
      </c>
      <c r="K2531" s="320"/>
      <c r="L2531" s="178">
        <v>32.61</v>
      </c>
      <c r="M2531" s="178">
        <v>110.55999999999999</v>
      </c>
      <c r="N2531" s="179">
        <v>0</v>
      </c>
      <c r="O2531" s="178">
        <v>143.16999999999999</v>
      </c>
      <c r="P2531" s="453"/>
      <c r="Q2531" s="61"/>
      <c r="R2531" s="298"/>
      <c r="S2531" s="669"/>
      <c r="X2531" s="444">
        <v>2531</v>
      </c>
    </row>
    <row r="2532" spans="1:32" s="69" customFormat="1" ht="12">
      <c r="A2532" s="83" t="s">
        <v>22442</v>
      </c>
      <c r="B2532" s="64" t="s">
        <v>22443</v>
      </c>
      <c r="C2532" s="71" t="s">
        <v>165</v>
      </c>
      <c r="D2532" s="79">
        <v>1</v>
      </c>
      <c r="E2532" s="79">
        <v>166.35000000000002</v>
      </c>
      <c r="F2532" s="79">
        <v>166.35</v>
      </c>
      <c r="G2532" s="445"/>
      <c r="H2532" s="178">
        <v>166.34</v>
      </c>
      <c r="I2532" s="178">
        <v>204.6</v>
      </c>
      <c r="J2532" s="70">
        <v>-38.249999999999972</v>
      </c>
      <c r="K2532" s="320"/>
      <c r="L2532" s="178">
        <v>40.090000000000003</v>
      </c>
      <c r="M2532" s="178">
        <v>126.26000000000002</v>
      </c>
      <c r="N2532" s="179">
        <v>0</v>
      </c>
      <c r="O2532" s="178">
        <v>166.35000000000002</v>
      </c>
      <c r="P2532" s="453"/>
      <c r="Q2532" s="61"/>
      <c r="R2532" s="298"/>
      <c r="S2532" s="669"/>
      <c r="T2532" s="444"/>
      <c r="U2532" s="61"/>
      <c r="V2532" s="61"/>
      <c r="W2532" s="61"/>
      <c r="X2532" s="444">
        <v>2532</v>
      </c>
      <c r="Y2532" s="61"/>
      <c r="Z2532" s="61"/>
      <c r="AA2532" s="61"/>
      <c r="AB2532" s="61"/>
      <c r="AC2532" s="61"/>
      <c r="AD2532" s="61"/>
      <c r="AE2532" s="61"/>
      <c r="AF2532" s="61"/>
    </row>
    <row r="2533" spans="1:32" s="69" customFormat="1" ht="12">
      <c r="A2533" s="83" t="s">
        <v>22444</v>
      </c>
      <c r="B2533" s="64" t="s">
        <v>22445</v>
      </c>
      <c r="C2533" s="71" t="s">
        <v>165</v>
      </c>
      <c r="D2533" s="79">
        <v>1</v>
      </c>
      <c r="E2533" s="79">
        <v>156.51</v>
      </c>
      <c r="F2533" s="79">
        <v>156.51</v>
      </c>
      <c r="G2533" s="445"/>
      <c r="H2533" s="178">
        <v>156.52000000000001</v>
      </c>
      <c r="I2533" s="178">
        <v>192.52</v>
      </c>
      <c r="J2533" s="70">
        <v>-36.010000000000019</v>
      </c>
      <c r="K2533" s="320"/>
      <c r="L2533" s="178">
        <v>25.17</v>
      </c>
      <c r="M2533" s="178">
        <v>131.33999999999997</v>
      </c>
      <c r="N2533" s="179">
        <v>0</v>
      </c>
      <c r="O2533" s="178">
        <v>156.51</v>
      </c>
      <c r="P2533" s="453"/>
      <c r="Q2533" s="61"/>
      <c r="R2533" s="298"/>
      <c r="S2533" s="669"/>
      <c r="T2533" s="444"/>
      <c r="U2533" s="444"/>
      <c r="V2533" s="444"/>
      <c r="W2533" s="444"/>
      <c r="X2533" s="444">
        <v>2533</v>
      </c>
      <c r="Y2533" s="444"/>
      <c r="Z2533" s="444"/>
      <c r="AA2533" s="444"/>
      <c r="AB2533" s="444"/>
      <c r="AC2533" s="444"/>
      <c r="AD2533" s="444"/>
      <c r="AE2533" s="444"/>
      <c r="AF2533" s="444"/>
    </row>
    <row r="2534" spans="1:32" s="69" customFormat="1" ht="12">
      <c r="A2534" s="83" t="s">
        <v>22446</v>
      </c>
      <c r="B2534" s="64" t="s">
        <v>22447</v>
      </c>
      <c r="C2534" s="71" t="s">
        <v>165</v>
      </c>
      <c r="D2534" s="79">
        <v>1</v>
      </c>
      <c r="E2534" s="79">
        <v>202.74</v>
      </c>
      <c r="F2534" s="79">
        <v>202.74</v>
      </c>
      <c r="G2534" s="445"/>
      <c r="H2534" s="178">
        <v>202.72</v>
      </c>
      <c r="I2534" s="178">
        <v>249.35</v>
      </c>
      <c r="J2534" s="70">
        <v>-46.609999999999985</v>
      </c>
      <c r="K2534" s="320"/>
      <c r="L2534" s="178">
        <v>32.75</v>
      </c>
      <c r="M2534" s="178">
        <v>169.99</v>
      </c>
      <c r="N2534" s="179">
        <v>0</v>
      </c>
      <c r="O2534" s="178">
        <v>202.74</v>
      </c>
      <c r="P2534" s="453"/>
      <c r="Q2534" s="61"/>
      <c r="R2534" s="298"/>
      <c r="S2534" s="669"/>
      <c r="T2534" s="444"/>
      <c r="U2534" s="444"/>
      <c r="V2534" s="444"/>
      <c r="W2534" s="444"/>
      <c r="X2534" s="444">
        <v>2534</v>
      </c>
      <c r="Y2534" s="444"/>
      <c r="Z2534" s="444"/>
      <c r="AA2534" s="444"/>
      <c r="AB2534" s="444"/>
      <c r="AC2534" s="444"/>
      <c r="AD2534" s="444"/>
      <c r="AE2534" s="444"/>
      <c r="AF2534" s="444"/>
    </row>
    <row r="2535" spans="1:32" s="69" customFormat="1" ht="12">
      <c r="A2535" s="83" t="s">
        <v>22448</v>
      </c>
      <c r="B2535" s="64" t="s">
        <v>39932</v>
      </c>
      <c r="C2535" s="71" t="s">
        <v>165</v>
      </c>
      <c r="D2535" s="79">
        <v>1</v>
      </c>
      <c r="E2535" s="79">
        <v>207.89000000000001</v>
      </c>
      <c r="F2535" s="79">
        <v>207.89</v>
      </c>
      <c r="G2535" s="445"/>
      <c r="H2535" s="178">
        <v>207.89</v>
      </c>
      <c r="I2535" s="178">
        <v>255.71</v>
      </c>
      <c r="J2535" s="70">
        <v>-47.819999999999993</v>
      </c>
      <c r="K2535" s="320"/>
      <c r="L2535" s="178">
        <v>30.13</v>
      </c>
      <c r="M2535" s="178">
        <v>177.76000000000002</v>
      </c>
      <c r="N2535" s="179">
        <v>0</v>
      </c>
      <c r="O2535" s="178">
        <v>207.89000000000001</v>
      </c>
      <c r="P2535" s="453"/>
      <c r="Q2535" s="61"/>
      <c r="R2535" s="298"/>
      <c r="S2535" s="669"/>
      <c r="T2535" s="444"/>
      <c r="U2535" s="444"/>
      <c r="V2535" s="444"/>
      <c r="W2535" s="444"/>
      <c r="X2535" s="444">
        <v>2535</v>
      </c>
      <c r="Y2535" s="444"/>
      <c r="Z2535" s="444"/>
      <c r="AA2535" s="444"/>
      <c r="AB2535" s="444"/>
      <c r="AC2535" s="444"/>
      <c r="AD2535" s="444"/>
      <c r="AE2535" s="444"/>
      <c r="AF2535" s="444"/>
    </row>
    <row r="2536" spans="1:32" s="69" customFormat="1" ht="12">
      <c r="A2536" s="83" t="s">
        <v>22449</v>
      </c>
      <c r="B2536" s="64" t="s">
        <v>22450</v>
      </c>
      <c r="C2536" s="71" t="s">
        <v>165</v>
      </c>
      <c r="D2536" s="79">
        <v>1</v>
      </c>
      <c r="E2536" s="79">
        <v>254.15</v>
      </c>
      <c r="F2536" s="79">
        <v>254.15</v>
      </c>
      <c r="G2536" s="445"/>
      <c r="H2536" s="178">
        <v>254.12</v>
      </c>
      <c r="I2536" s="178">
        <v>312.57</v>
      </c>
      <c r="J2536" s="70">
        <v>-58.419999999999987</v>
      </c>
      <c r="K2536" s="320"/>
      <c r="L2536" s="178">
        <v>37.700000000000003</v>
      </c>
      <c r="M2536" s="178">
        <v>216.45</v>
      </c>
      <c r="N2536" s="179">
        <v>0</v>
      </c>
      <c r="O2536" s="178">
        <v>254.14999999999998</v>
      </c>
      <c r="P2536" s="453"/>
      <c r="Q2536" s="61"/>
      <c r="R2536" s="298"/>
      <c r="S2536" s="669"/>
      <c r="T2536" s="444"/>
      <c r="U2536" s="73"/>
      <c r="V2536" s="73"/>
      <c r="W2536" s="73"/>
      <c r="X2536" s="444">
        <v>2536</v>
      </c>
      <c r="Y2536" s="73"/>
      <c r="Z2536" s="73"/>
      <c r="AA2536" s="73"/>
      <c r="AB2536" s="73"/>
      <c r="AC2536" s="73"/>
      <c r="AD2536" s="73"/>
      <c r="AE2536" s="73"/>
      <c r="AF2536" s="73"/>
    </row>
    <row r="2537" spans="1:32" s="69" customFormat="1" ht="12">
      <c r="A2537" s="83" t="s">
        <v>22451</v>
      </c>
      <c r="B2537" s="64" t="s">
        <v>22452</v>
      </c>
      <c r="C2537" s="71" t="s">
        <v>165</v>
      </c>
      <c r="D2537" s="79">
        <v>1</v>
      </c>
      <c r="E2537" s="79">
        <v>259.12</v>
      </c>
      <c r="F2537" s="79">
        <v>259.12</v>
      </c>
      <c r="G2537" s="445"/>
      <c r="H2537" s="178">
        <v>259.11</v>
      </c>
      <c r="I2537" s="178">
        <v>318.7</v>
      </c>
      <c r="J2537" s="70">
        <v>-59.579999999999984</v>
      </c>
      <c r="K2537" s="320"/>
      <c r="L2537" s="178">
        <v>35.08</v>
      </c>
      <c r="M2537" s="178">
        <v>224.04000000000002</v>
      </c>
      <c r="N2537" s="179">
        <v>0</v>
      </c>
      <c r="O2537" s="178">
        <v>259.12</v>
      </c>
      <c r="P2537" s="453"/>
      <c r="Q2537" s="61"/>
      <c r="R2537" s="298"/>
      <c r="S2537" s="669"/>
      <c r="T2537" s="444"/>
      <c r="U2537" s="444"/>
      <c r="V2537" s="444"/>
      <c r="W2537" s="444"/>
      <c r="X2537" s="444">
        <v>2537</v>
      </c>
      <c r="Y2537" s="444"/>
      <c r="Z2537" s="444"/>
      <c r="AA2537" s="444"/>
      <c r="AB2537" s="444"/>
      <c r="AC2537" s="444"/>
      <c r="AD2537" s="444"/>
      <c r="AE2537" s="444"/>
      <c r="AF2537" s="444"/>
    </row>
    <row r="2538" spans="1:32" s="69" customFormat="1" ht="12">
      <c r="A2538" s="83" t="s">
        <v>22453</v>
      </c>
      <c r="B2538" s="64" t="s">
        <v>22454</v>
      </c>
      <c r="C2538" s="71" t="s">
        <v>165</v>
      </c>
      <c r="D2538" s="79">
        <v>1</v>
      </c>
      <c r="E2538" s="79">
        <v>305.35000000000002</v>
      </c>
      <c r="F2538" s="79">
        <v>305.35000000000002</v>
      </c>
      <c r="G2538" s="445"/>
      <c r="H2538" s="178">
        <v>305.33999999999997</v>
      </c>
      <c r="I2538" s="178">
        <v>375.57</v>
      </c>
      <c r="J2538" s="70">
        <v>-70.21999999999997</v>
      </c>
      <c r="K2538" s="320"/>
      <c r="L2538" s="178">
        <v>42.620000000000005</v>
      </c>
      <c r="M2538" s="178">
        <v>262.73</v>
      </c>
      <c r="N2538" s="179">
        <v>0</v>
      </c>
      <c r="O2538" s="178">
        <v>305.35000000000002</v>
      </c>
      <c r="P2538" s="453"/>
      <c r="Q2538" s="61"/>
      <c r="R2538" s="298"/>
      <c r="S2538" s="669"/>
      <c r="T2538" s="444"/>
      <c r="U2538" s="444"/>
      <c r="V2538" s="444"/>
      <c r="W2538" s="444"/>
      <c r="X2538" s="444">
        <v>2538</v>
      </c>
      <c r="Y2538" s="444"/>
      <c r="Z2538" s="444"/>
      <c r="AA2538" s="444"/>
      <c r="AB2538" s="444"/>
      <c r="AC2538" s="444"/>
      <c r="AD2538" s="444"/>
      <c r="AE2538" s="444"/>
      <c r="AF2538" s="444"/>
    </row>
    <row r="2539" spans="1:32" s="69" customFormat="1" ht="12">
      <c r="A2539" s="83" t="s">
        <v>22455</v>
      </c>
      <c r="B2539" s="64" t="s">
        <v>22456</v>
      </c>
      <c r="C2539" s="71" t="s">
        <v>10216</v>
      </c>
      <c r="D2539" s="79">
        <v>1</v>
      </c>
      <c r="E2539" s="79">
        <v>577.26</v>
      </c>
      <c r="F2539" s="79">
        <v>577.26</v>
      </c>
      <c r="G2539" s="445"/>
      <c r="H2539" s="178">
        <v>577.25</v>
      </c>
      <c r="I2539" s="178">
        <v>710.02</v>
      </c>
      <c r="J2539" s="70">
        <v>-132.76</v>
      </c>
      <c r="K2539" s="320"/>
      <c r="L2539" s="178"/>
      <c r="M2539" s="178">
        <v>577.26</v>
      </c>
      <c r="N2539" s="179">
        <v>0</v>
      </c>
      <c r="O2539" s="178">
        <v>577.26</v>
      </c>
      <c r="P2539" s="453"/>
      <c r="Q2539" s="61"/>
      <c r="R2539" s="298"/>
      <c r="S2539" s="669"/>
      <c r="T2539" s="444"/>
      <c r="U2539" s="444"/>
      <c r="V2539" s="444"/>
      <c r="W2539" s="444"/>
      <c r="X2539" s="444">
        <v>2539</v>
      </c>
      <c r="Y2539" s="444"/>
      <c r="Z2539" s="444"/>
      <c r="AA2539" s="444"/>
      <c r="AB2539" s="444"/>
      <c r="AC2539" s="444"/>
      <c r="AD2539" s="444"/>
      <c r="AE2539" s="444"/>
      <c r="AF2539" s="444"/>
    </row>
    <row r="2540" spans="1:32" s="69" customFormat="1" ht="12">
      <c r="A2540" s="83" t="s">
        <v>39933</v>
      </c>
      <c r="B2540" s="64" t="s">
        <v>39934</v>
      </c>
      <c r="C2540" s="71"/>
      <c r="D2540" s="79" t="s">
        <v>40899</v>
      </c>
      <c r="E2540" s="79" t="s">
        <v>40899</v>
      </c>
      <c r="F2540" s="79"/>
      <c r="G2540" s="445"/>
      <c r="H2540" s="178"/>
      <c r="I2540" s="178"/>
      <c r="J2540" s="70"/>
      <c r="K2540" s="320"/>
      <c r="L2540" s="178"/>
      <c r="M2540" s="178"/>
      <c r="N2540" s="179"/>
      <c r="O2540" s="178"/>
      <c r="P2540" s="453"/>
      <c r="Q2540" s="61"/>
      <c r="R2540" s="298"/>
      <c r="S2540" s="669"/>
      <c r="T2540" s="444"/>
      <c r="U2540" s="444"/>
      <c r="V2540" s="444"/>
      <c r="W2540" s="444"/>
      <c r="X2540" s="444">
        <v>2540</v>
      </c>
      <c r="Y2540" s="444"/>
      <c r="Z2540" s="444"/>
      <c r="AA2540" s="444"/>
      <c r="AB2540" s="444"/>
      <c r="AC2540" s="444"/>
      <c r="AD2540" s="444"/>
      <c r="AE2540" s="444"/>
      <c r="AF2540" s="444"/>
    </row>
    <row r="2541" spans="1:32" s="69" customFormat="1" ht="12">
      <c r="A2541" s="83" t="s">
        <v>22457</v>
      </c>
      <c r="B2541" s="64" t="s">
        <v>22458</v>
      </c>
      <c r="C2541" s="71" t="s">
        <v>165</v>
      </c>
      <c r="D2541" s="79">
        <v>1</v>
      </c>
      <c r="E2541" s="79">
        <v>97.429999999999993</v>
      </c>
      <c r="F2541" s="79">
        <v>97.43</v>
      </c>
      <c r="G2541" s="445"/>
      <c r="H2541" s="178">
        <v>97.46</v>
      </c>
      <c r="I2541" s="178">
        <v>119.87</v>
      </c>
      <c r="J2541" s="70">
        <v>-22.440000000000012</v>
      </c>
      <c r="K2541" s="320"/>
      <c r="L2541" s="178">
        <v>82.94</v>
      </c>
      <c r="M2541" s="178">
        <v>14.489999999999995</v>
      </c>
      <c r="N2541" s="179">
        <v>0</v>
      </c>
      <c r="O2541" s="178">
        <v>97.429999999999993</v>
      </c>
      <c r="P2541" s="453"/>
      <c r="Q2541" s="61"/>
      <c r="R2541" s="298"/>
      <c r="S2541" s="669"/>
      <c r="T2541" s="444"/>
      <c r="U2541" s="444"/>
      <c r="V2541" s="444"/>
      <c r="W2541" s="444"/>
      <c r="X2541" s="444">
        <v>2541</v>
      </c>
      <c r="Y2541" s="444"/>
      <c r="Z2541" s="444"/>
      <c r="AA2541" s="444"/>
      <c r="AB2541" s="444"/>
      <c r="AC2541" s="444"/>
      <c r="AD2541" s="444"/>
      <c r="AE2541" s="444"/>
      <c r="AF2541" s="444"/>
    </row>
    <row r="2542" spans="1:32" s="69" customFormat="1" ht="12">
      <c r="A2542" s="83" t="s">
        <v>22459</v>
      </c>
      <c r="B2542" s="64" t="s">
        <v>22460</v>
      </c>
      <c r="C2542" s="71" t="s">
        <v>10216</v>
      </c>
      <c r="D2542" s="79">
        <v>1</v>
      </c>
      <c r="E2542" s="79">
        <v>577.26</v>
      </c>
      <c r="F2542" s="79">
        <v>577.26</v>
      </c>
      <c r="G2542" s="445"/>
      <c r="H2542" s="178">
        <v>577.25</v>
      </c>
      <c r="I2542" s="178">
        <v>710.02</v>
      </c>
      <c r="J2542" s="70">
        <v>-132.76</v>
      </c>
      <c r="K2542" s="320"/>
      <c r="L2542" s="178"/>
      <c r="M2542" s="178">
        <v>577.26</v>
      </c>
      <c r="N2542" s="179">
        <v>0</v>
      </c>
      <c r="O2542" s="178">
        <v>577.26</v>
      </c>
      <c r="P2542" s="453"/>
      <c r="Q2542" s="61"/>
      <c r="R2542" s="298"/>
      <c r="S2542" s="669"/>
      <c r="T2542" s="444"/>
      <c r="U2542" s="444"/>
      <c r="V2542" s="444"/>
      <c r="W2542" s="444"/>
      <c r="X2542" s="444">
        <v>2542</v>
      </c>
      <c r="Y2542" s="444"/>
      <c r="Z2542" s="444"/>
      <c r="AA2542" s="444"/>
      <c r="AB2542" s="444"/>
      <c r="AC2542" s="444"/>
      <c r="AD2542" s="444"/>
      <c r="AE2542" s="444"/>
      <c r="AF2542" s="444"/>
    </row>
    <row r="2543" spans="1:32" s="69" customFormat="1" ht="12">
      <c r="A2543" s="83" t="s">
        <v>39935</v>
      </c>
      <c r="B2543" s="64" t="s">
        <v>39518</v>
      </c>
      <c r="C2543" s="71"/>
      <c r="D2543" s="79" t="s">
        <v>40899</v>
      </c>
      <c r="E2543" s="79" t="s">
        <v>40899</v>
      </c>
      <c r="F2543" s="79"/>
      <c r="G2543" s="445"/>
      <c r="H2543" s="178"/>
      <c r="I2543" s="178"/>
      <c r="J2543" s="70"/>
      <c r="K2543" s="320"/>
      <c r="L2543" s="178"/>
      <c r="M2543" s="178"/>
      <c r="N2543" s="179"/>
      <c r="O2543" s="178"/>
      <c r="P2543" s="453"/>
      <c r="Q2543" s="61"/>
      <c r="R2543" s="298"/>
      <c r="S2543" s="669"/>
      <c r="T2543" s="444"/>
      <c r="U2543" s="444"/>
      <c r="V2543" s="444"/>
      <c r="W2543" s="444"/>
      <c r="X2543" s="444">
        <v>2543</v>
      </c>
      <c r="Y2543" s="444"/>
      <c r="Z2543" s="444"/>
      <c r="AA2543" s="444"/>
      <c r="AB2543" s="444"/>
      <c r="AC2543" s="444"/>
      <c r="AD2543" s="444"/>
      <c r="AE2543" s="444"/>
      <c r="AF2543" s="444"/>
    </row>
    <row r="2544" spans="1:32" s="69" customFormat="1" ht="12">
      <c r="A2544" s="83" t="s">
        <v>22461</v>
      </c>
      <c r="B2544" s="64" t="s">
        <v>22462</v>
      </c>
      <c r="C2544" s="71" t="s">
        <v>121</v>
      </c>
      <c r="D2544" s="79">
        <v>1</v>
      </c>
      <c r="E2544" s="79">
        <v>290.33000000000004</v>
      </c>
      <c r="F2544" s="79">
        <v>290.33</v>
      </c>
      <c r="G2544" s="445"/>
      <c r="H2544" s="178">
        <v>290.33</v>
      </c>
      <c r="I2544" s="178">
        <v>357.1</v>
      </c>
      <c r="J2544" s="70">
        <v>-66.769999999999982</v>
      </c>
      <c r="K2544" s="320"/>
      <c r="L2544" s="178">
        <v>290.33000000000004</v>
      </c>
      <c r="M2544" s="178">
        <v>0</v>
      </c>
      <c r="N2544" s="179">
        <v>0</v>
      </c>
      <c r="O2544" s="178">
        <v>290.33000000000004</v>
      </c>
      <c r="P2544" s="453"/>
      <c r="Q2544" s="61"/>
      <c r="R2544" s="298"/>
      <c r="S2544" s="669"/>
      <c r="T2544" s="444"/>
      <c r="U2544" s="61"/>
      <c r="V2544" s="61"/>
      <c r="W2544" s="61"/>
      <c r="X2544" s="444">
        <v>2544</v>
      </c>
      <c r="Y2544" s="61"/>
      <c r="Z2544" s="61"/>
      <c r="AA2544" s="61"/>
      <c r="AB2544" s="61"/>
      <c r="AC2544" s="61"/>
      <c r="AD2544" s="61"/>
      <c r="AE2544" s="61"/>
      <c r="AF2544" s="61"/>
    </row>
    <row r="2545" spans="1:32" ht="24">
      <c r="A2545" s="83" t="s">
        <v>22463</v>
      </c>
      <c r="B2545" s="64" t="s">
        <v>29665</v>
      </c>
      <c r="C2545" s="71" t="s">
        <v>509</v>
      </c>
      <c r="D2545" s="79">
        <v>1</v>
      </c>
      <c r="E2545" s="79">
        <v>35.049999999999997</v>
      </c>
      <c r="F2545" s="79">
        <v>35.049999999999997</v>
      </c>
      <c r="G2545" s="445"/>
      <c r="H2545" s="178">
        <v>35.06</v>
      </c>
      <c r="I2545" s="178">
        <v>43.12</v>
      </c>
      <c r="J2545" s="70">
        <v>-8.07</v>
      </c>
      <c r="K2545" s="320"/>
      <c r="L2545" s="178">
        <v>35.049999999999997</v>
      </c>
      <c r="M2545" s="178">
        <v>0</v>
      </c>
      <c r="N2545" s="179">
        <v>0</v>
      </c>
      <c r="O2545" s="178">
        <v>35.049999999999997</v>
      </c>
      <c r="P2545" s="453"/>
      <c r="Q2545" s="61"/>
      <c r="R2545" s="298"/>
      <c r="S2545" s="669"/>
      <c r="U2545" s="61"/>
      <c r="V2545" s="61"/>
      <c r="W2545" s="61"/>
      <c r="X2545" s="444">
        <v>2545</v>
      </c>
      <c r="Y2545" s="61"/>
      <c r="Z2545" s="61"/>
      <c r="AA2545" s="61"/>
      <c r="AB2545" s="61"/>
      <c r="AC2545" s="61"/>
      <c r="AD2545" s="61"/>
      <c r="AE2545" s="61"/>
      <c r="AF2545" s="61"/>
    </row>
    <row r="2546" spans="1:32" ht="12">
      <c r="A2546" s="83" t="s">
        <v>22464</v>
      </c>
      <c r="B2546" s="64" t="s">
        <v>22465</v>
      </c>
      <c r="C2546" s="71" t="s">
        <v>509</v>
      </c>
      <c r="D2546" s="79">
        <v>1</v>
      </c>
      <c r="E2546" s="79">
        <v>25.64</v>
      </c>
      <c r="F2546" s="79">
        <v>25.64</v>
      </c>
      <c r="G2546" s="445"/>
      <c r="H2546" s="178">
        <v>25.64</v>
      </c>
      <c r="I2546" s="178">
        <v>31.54</v>
      </c>
      <c r="J2546" s="70">
        <v>-5.8999999999999986</v>
      </c>
      <c r="K2546" s="320"/>
      <c r="L2546" s="178">
        <v>25.64</v>
      </c>
      <c r="M2546" s="178">
        <v>0</v>
      </c>
      <c r="N2546" s="179">
        <v>0</v>
      </c>
      <c r="O2546" s="178">
        <v>25.64</v>
      </c>
      <c r="P2546" s="453"/>
      <c r="Q2546" s="61"/>
      <c r="R2546" s="298"/>
      <c r="S2546" s="669"/>
      <c r="U2546" s="61"/>
      <c r="V2546" s="61"/>
      <c r="W2546" s="61"/>
      <c r="X2546" s="444">
        <v>2546</v>
      </c>
      <c r="Y2546" s="61"/>
      <c r="Z2546" s="61"/>
      <c r="AA2546" s="61"/>
      <c r="AB2546" s="61"/>
      <c r="AC2546" s="61"/>
      <c r="AD2546" s="61"/>
      <c r="AE2546" s="61"/>
      <c r="AF2546" s="61"/>
    </row>
    <row r="2547" spans="1:32" ht="12">
      <c r="A2547" s="83" t="s">
        <v>22466</v>
      </c>
      <c r="B2547" s="64" t="s">
        <v>22467</v>
      </c>
      <c r="C2547" s="71" t="s">
        <v>509</v>
      </c>
      <c r="D2547" s="79">
        <v>1</v>
      </c>
      <c r="E2547" s="79">
        <v>23.07</v>
      </c>
      <c r="F2547" s="79">
        <v>23.07</v>
      </c>
      <c r="G2547" s="445"/>
      <c r="H2547" s="178">
        <v>23.08</v>
      </c>
      <c r="I2547" s="178">
        <v>28.39</v>
      </c>
      <c r="J2547" s="70">
        <v>-5.32</v>
      </c>
      <c r="K2547" s="320"/>
      <c r="L2547" s="178">
        <v>23.07</v>
      </c>
      <c r="M2547" s="178">
        <v>0</v>
      </c>
      <c r="N2547" s="179">
        <v>0</v>
      </c>
      <c r="O2547" s="178">
        <v>23.07</v>
      </c>
      <c r="P2547" s="453"/>
      <c r="Q2547" s="61"/>
      <c r="R2547" s="298"/>
      <c r="S2547" s="669"/>
      <c r="T2547" s="69"/>
      <c r="U2547" s="61"/>
      <c r="V2547" s="61"/>
      <c r="W2547" s="61"/>
      <c r="X2547" s="444">
        <v>2547</v>
      </c>
      <c r="Y2547" s="61"/>
      <c r="Z2547" s="61"/>
      <c r="AA2547" s="61"/>
      <c r="AB2547" s="61"/>
      <c r="AC2547" s="61"/>
      <c r="AD2547" s="61"/>
      <c r="AE2547" s="61"/>
      <c r="AF2547" s="61"/>
    </row>
    <row r="2548" spans="1:32" ht="12">
      <c r="A2548" s="83" t="s">
        <v>22468</v>
      </c>
      <c r="B2548" s="64" t="s">
        <v>22469</v>
      </c>
      <c r="C2548" s="71" t="s">
        <v>509</v>
      </c>
      <c r="D2548" s="79">
        <v>1</v>
      </c>
      <c r="E2548" s="79">
        <v>11.54</v>
      </c>
      <c r="F2548" s="79">
        <v>11.54</v>
      </c>
      <c r="G2548" s="445"/>
      <c r="H2548" s="178">
        <v>11.54</v>
      </c>
      <c r="I2548" s="178">
        <v>14.19</v>
      </c>
      <c r="J2548" s="70">
        <v>-2.6500000000000004</v>
      </c>
      <c r="K2548" s="320"/>
      <c r="L2548" s="178">
        <v>11.54</v>
      </c>
      <c r="M2548" s="178">
        <v>0</v>
      </c>
      <c r="N2548" s="179">
        <v>0</v>
      </c>
      <c r="O2548" s="178">
        <v>11.54</v>
      </c>
      <c r="P2548" s="453"/>
      <c r="Q2548" s="61"/>
      <c r="R2548" s="298"/>
      <c r="S2548" s="669"/>
      <c r="X2548" s="444">
        <v>2548</v>
      </c>
    </row>
    <row r="2549" spans="1:32" ht="12">
      <c r="A2549" s="83" t="s">
        <v>22470</v>
      </c>
      <c r="B2549" s="64" t="s">
        <v>22471</v>
      </c>
      <c r="C2549" s="71" t="s">
        <v>509</v>
      </c>
      <c r="D2549" s="79">
        <v>1</v>
      </c>
      <c r="E2549" s="79">
        <v>8.92</v>
      </c>
      <c r="F2549" s="79">
        <v>8.92</v>
      </c>
      <c r="G2549" s="445"/>
      <c r="H2549" s="178">
        <v>8.93</v>
      </c>
      <c r="I2549" s="178">
        <v>10.98</v>
      </c>
      <c r="J2549" s="70">
        <v>-2.0600000000000005</v>
      </c>
      <c r="K2549" s="320"/>
      <c r="L2549" s="178">
        <v>8.92</v>
      </c>
      <c r="M2549" s="178">
        <v>0</v>
      </c>
      <c r="N2549" s="179">
        <v>0</v>
      </c>
      <c r="O2549" s="178">
        <v>8.92</v>
      </c>
      <c r="P2549" s="453"/>
      <c r="Q2549" s="61"/>
      <c r="R2549" s="298"/>
      <c r="S2549" s="669"/>
      <c r="U2549" s="73"/>
      <c r="V2549" s="73"/>
      <c r="W2549" s="73"/>
      <c r="X2549" s="444">
        <v>2549</v>
      </c>
      <c r="Y2549" s="73"/>
      <c r="Z2549" s="73"/>
      <c r="AA2549" s="73"/>
      <c r="AB2549" s="73"/>
      <c r="AC2549" s="73"/>
      <c r="AD2549" s="73"/>
      <c r="AE2549" s="73"/>
      <c r="AF2549" s="73"/>
    </row>
    <row r="2550" spans="1:32" ht="24">
      <c r="A2550" s="83" t="s">
        <v>22472</v>
      </c>
      <c r="B2550" s="64" t="s">
        <v>22473</v>
      </c>
      <c r="C2550" s="71" t="s">
        <v>509</v>
      </c>
      <c r="D2550" s="79">
        <v>1</v>
      </c>
      <c r="E2550" s="79">
        <v>11.17</v>
      </c>
      <c r="F2550" s="79">
        <v>11.17</v>
      </c>
      <c r="G2550" s="445"/>
      <c r="H2550" s="178">
        <v>11.16</v>
      </c>
      <c r="I2550" s="178">
        <v>13.73</v>
      </c>
      <c r="J2550" s="70">
        <v>-2.5600000000000005</v>
      </c>
      <c r="K2550" s="320"/>
      <c r="L2550" s="178">
        <v>11.17</v>
      </c>
      <c r="M2550" s="178">
        <v>0</v>
      </c>
      <c r="N2550" s="179">
        <v>0</v>
      </c>
      <c r="O2550" s="178">
        <v>11.17</v>
      </c>
      <c r="P2550" s="453"/>
      <c r="Q2550" s="61"/>
      <c r="R2550" s="298"/>
      <c r="S2550" s="669"/>
      <c r="X2550" s="444">
        <v>2550</v>
      </c>
    </row>
    <row r="2551" spans="1:32" ht="12">
      <c r="A2551" s="83" t="s">
        <v>22474</v>
      </c>
      <c r="B2551" s="64" t="s">
        <v>22475</v>
      </c>
      <c r="C2551" s="71" t="s">
        <v>165</v>
      </c>
      <c r="D2551" s="79">
        <v>1</v>
      </c>
      <c r="E2551" s="79">
        <v>2.69</v>
      </c>
      <c r="F2551" s="79">
        <v>2.69</v>
      </c>
      <c r="G2551" s="445"/>
      <c r="H2551" s="178">
        <v>2.67</v>
      </c>
      <c r="I2551" s="178">
        <v>3.29</v>
      </c>
      <c r="J2551" s="70">
        <v>-0.60000000000000009</v>
      </c>
      <c r="K2551" s="320"/>
      <c r="L2551" s="178">
        <v>2.69</v>
      </c>
      <c r="M2551" s="178">
        <v>0</v>
      </c>
      <c r="N2551" s="179">
        <v>0</v>
      </c>
      <c r="O2551" s="178">
        <v>2.69</v>
      </c>
      <c r="P2551" s="453"/>
      <c r="Q2551" s="61"/>
      <c r="R2551" s="298"/>
      <c r="S2551" s="669"/>
      <c r="X2551" s="444">
        <v>2551</v>
      </c>
    </row>
    <row r="2552" spans="1:32" ht="12">
      <c r="A2552" s="83" t="s">
        <v>22476</v>
      </c>
      <c r="B2552" s="64" t="s">
        <v>22477</v>
      </c>
      <c r="C2552" s="71" t="s">
        <v>165</v>
      </c>
      <c r="D2552" s="79">
        <v>1</v>
      </c>
      <c r="E2552" s="79">
        <v>3.35</v>
      </c>
      <c r="F2552" s="79">
        <v>3.35</v>
      </c>
      <c r="G2552" s="445"/>
      <c r="H2552" s="178">
        <v>3.35</v>
      </c>
      <c r="I2552" s="178">
        <v>4.12</v>
      </c>
      <c r="J2552" s="70">
        <v>-0.77</v>
      </c>
      <c r="K2552" s="320"/>
      <c r="L2552" s="178">
        <v>3.35</v>
      </c>
      <c r="M2552" s="178">
        <v>0</v>
      </c>
      <c r="N2552" s="179">
        <v>0</v>
      </c>
      <c r="O2552" s="178">
        <v>3.35</v>
      </c>
      <c r="P2552" s="453"/>
      <c r="Q2552" s="61"/>
      <c r="R2552" s="298"/>
      <c r="S2552" s="669"/>
      <c r="X2552" s="444">
        <v>2552</v>
      </c>
    </row>
    <row r="2553" spans="1:32" ht="12">
      <c r="A2553" s="83" t="s">
        <v>22478</v>
      </c>
      <c r="B2553" s="64" t="s">
        <v>22479</v>
      </c>
      <c r="C2553" s="71" t="s">
        <v>165</v>
      </c>
      <c r="D2553" s="79">
        <v>1</v>
      </c>
      <c r="E2553" s="79">
        <v>2.69</v>
      </c>
      <c r="F2553" s="79">
        <v>2.69</v>
      </c>
      <c r="G2553" s="445"/>
      <c r="H2553" s="178">
        <v>2.67</v>
      </c>
      <c r="I2553" s="178">
        <v>3.29</v>
      </c>
      <c r="J2553" s="70">
        <v>-0.60000000000000009</v>
      </c>
      <c r="K2553" s="320"/>
      <c r="L2553" s="178">
        <v>2.69</v>
      </c>
      <c r="M2553" s="178">
        <v>0</v>
      </c>
      <c r="N2553" s="179">
        <v>0</v>
      </c>
      <c r="O2553" s="178">
        <v>2.69</v>
      </c>
      <c r="P2553" s="453"/>
      <c r="Q2553" s="61"/>
      <c r="R2553" s="298"/>
      <c r="S2553" s="669"/>
      <c r="X2553" s="444">
        <v>2553</v>
      </c>
    </row>
    <row r="2554" spans="1:32" ht="12">
      <c r="A2554" s="83" t="s">
        <v>22480</v>
      </c>
      <c r="B2554" s="64" t="s">
        <v>22481</v>
      </c>
      <c r="C2554" s="71" t="s">
        <v>165</v>
      </c>
      <c r="D2554" s="79">
        <v>1</v>
      </c>
      <c r="E2554" s="79">
        <v>2.69</v>
      </c>
      <c r="F2554" s="79">
        <v>2.69</v>
      </c>
      <c r="G2554" s="445"/>
      <c r="H2554" s="178">
        <v>2.67</v>
      </c>
      <c r="I2554" s="178">
        <v>3.29</v>
      </c>
      <c r="J2554" s="70">
        <v>-0.60000000000000009</v>
      </c>
      <c r="K2554" s="320"/>
      <c r="L2554" s="178">
        <v>2.69</v>
      </c>
      <c r="M2554" s="178">
        <v>0</v>
      </c>
      <c r="N2554" s="179">
        <v>0</v>
      </c>
      <c r="O2554" s="178">
        <v>2.69</v>
      </c>
      <c r="P2554" s="453"/>
      <c r="Q2554" s="61"/>
      <c r="R2554" s="298"/>
      <c r="S2554" s="669"/>
      <c r="X2554" s="444">
        <v>2554</v>
      </c>
    </row>
    <row r="2555" spans="1:32" ht="12">
      <c r="A2555" s="83" t="s">
        <v>22482</v>
      </c>
      <c r="B2555" s="64" t="s">
        <v>18570</v>
      </c>
      <c r="C2555" s="71" t="s">
        <v>10216</v>
      </c>
      <c r="D2555" s="79">
        <v>1</v>
      </c>
      <c r="E2555" s="79">
        <v>577.26</v>
      </c>
      <c r="F2555" s="79">
        <v>577.26</v>
      </c>
      <c r="G2555" s="445"/>
      <c r="H2555" s="178">
        <v>577.25</v>
      </c>
      <c r="I2555" s="178">
        <v>710.02</v>
      </c>
      <c r="J2555" s="70">
        <v>-132.76</v>
      </c>
      <c r="K2555" s="320"/>
      <c r="L2555" s="178"/>
      <c r="M2555" s="178">
        <v>577.26</v>
      </c>
      <c r="N2555" s="179">
        <v>0</v>
      </c>
      <c r="O2555" s="178">
        <v>577.26</v>
      </c>
      <c r="P2555" s="453"/>
      <c r="Q2555" s="61"/>
      <c r="R2555" s="298"/>
      <c r="S2555" s="669"/>
      <c r="X2555" s="444">
        <v>2555</v>
      </c>
    </row>
    <row r="2556" spans="1:32" ht="12">
      <c r="A2556" s="83" t="s">
        <v>39936</v>
      </c>
      <c r="B2556" s="64" t="s">
        <v>39520</v>
      </c>
      <c r="C2556" s="71"/>
      <c r="D2556" s="79" t="s">
        <v>40899</v>
      </c>
      <c r="E2556" s="79" t="s">
        <v>40899</v>
      </c>
      <c r="F2556" s="79"/>
      <c r="G2556" s="445"/>
      <c r="H2556" s="178"/>
      <c r="I2556" s="178"/>
      <c r="J2556" s="70"/>
      <c r="K2556" s="320"/>
      <c r="L2556" s="178"/>
      <c r="M2556" s="178"/>
      <c r="N2556" s="179"/>
      <c r="O2556" s="178"/>
      <c r="P2556" s="453"/>
      <c r="Q2556" s="61"/>
      <c r="R2556" s="298"/>
      <c r="S2556" s="669"/>
      <c r="X2556" s="444">
        <v>2556</v>
      </c>
    </row>
    <row r="2557" spans="1:32" ht="12">
      <c r="A2557" s="83" t="s">
        <v>22483</v>
      </c>
      <c r="B2557" s="64" t="s">
        <v>22484</v>
      </c>
      <c r="C2557" s="71" t="s">
        <v>509</v>
      </c>
      <c r="D2557" s="79">
        <v>1</v>
      </c>
      <c r="E2557" s="79">
        <v>4.95</v>
      </c>
      <c r="F2557" s="79">
        <v>4.95</v>
      </c>
      <c r="G2557" s="445"/>
      <c r="H2557" s="178">
        <v>4.93</v>
      </c>
      <c r="I2557" s="178">
        <v>6.07</v>
      </c>
      <c r="J2557" s="70">
        <v>-1.1200000000000001</v>
      </c>
      <c r="K2557" s="320"/>
      <c r="L2557" s="178">
        <v>4.95</v>
      </c>
      <c r="M2557" s="178">
        <v>0</v>
      </c>
      <c r="N2557" s="179">
        <v>0</v>
      </c>
      <c r="O2557" s="178">
        <v>4.95</v>
      </c>
      <c r="P2557" s="453"/>
      <c r="Q2557" s="61"/>
      <c r="R2557" s="298"/>
      <c r="S2557" s="669"/>
      <c r="X2557" s="444">
        <v>2557</v>
      </c>
    </row>
    <row r="2558" spans="1:32" ht="12">
      <c r="A2558" s="83" t="s">
        <v>22485</v>
      </c>
      <c r="B2558" s="64" t="s">
        <v>22486</v>
      </c>
      <c r="C2558" s="71" t="s">
        <v>509</v>
      </c>
      <c r="D2558" s="79">
        <v>1</v>
      </c>
      <c r="E2558" s="79">
        <v>10.86</v>
      </c>
      <c r="F2558" s="79">
        <v>10.86</v>
      </c>
      <c r="G2558" s="445"/>
      <c r="H2558" s="178">
        <v>10.87</v>
      </c>
      <c r="I2558" s="178">
        <v>13.37</v>
      </c>
      <c r="J2558" s="70">
        <v>-2.5099999999999998</v>
      </c>
      <c r="K2558" s="320"/>
      <c r="L2558" s="178">
        <v>10.86</v>
      </c>
      <c r="M2558" s="178">
        <v>0</v>
      </c>
      <c r="N2558" s="179">
        <v>0</v>
      </c>
      <c r="O2558" s="178">
        <v>10.86</v>
      </c>
      <c r="P2558" s="453"/>
      <c r="Q2558" s="61"/>
      <c r="R2558" s="298"/>
      <c r="S2558" s="669"/>
      <c r="X2558" s="444">
        <v>2558</v>
      </c>
    </row>
    <row r="2559" spans="1:32" ht="12">
      <c r="A2559" s="83" t="s">
        <v>22487</v>
      </c>
      <c r="B2559" s="64" t="s">
        <v>22488</v>
      </c>
      <c r="C2559" s="71" t="s">
        <v>509</v>
      </c>
      <c r="D2559" s="79">
        <v>1</v>
      </c>
      <c r="E2559" s="79">
        <v>33.5</v>
      </c>
      <c r="F2559" s="79">
        <v>33.5</v>
      </c>
      <c r="G2559" s="445"/>
      <c r="H2559" s="178">
        <v>33.5</v>
      </c>
      <c r="I2559" s="178">
        <v>41.2</v>
      </c>
      <c r="J2559" s="70">
        <v>-7.7000000000000028</v>
      </c>
      <c r="K2559" s="320"/>
      <c r="L2559" s="178">
        <v>33.5</v>
      </c>
      <c r="M2559" s="178">
        <v>0</v>
      </c>
      <c r="N2559" s="179">
        <v>0</v>
      </c>
      <c r="O2559" s="178">
        <v>33.5</v>
      </c>
      <c r="P2559" s="453"/>
      <c r="Q2559" s="61"/>
      <c r="R2559" s="298"/>
      <c r="S2559" s="669"/>
      <c r="U2559" s="61"/>
      <c r="V2559" s="61"/>
      <c r="W2559" s="61"/>
      <c r="X2559" s="444">
        <v>2559</v>
      </c>
      <c r="Y2559" s="61"/>
      <c r="Z2559" s="61"/>
      <c r="AA2559" s="61"/>
      <c r="AB2559" s="61"/>
      <c r="AC2559" s="61"/>
      <c r="AD2559" s="61"/>
      <c r="AE2559" s="61"/>
      <c r="AF2559" s="61"/>
    </row>
    <row r="2560" spans="1:32" ht="12">
      <c r="A2560" s="83" t="s">
        <v>22489</v>
      </c>
      <c r="B2560" s="64" t="s">
        <v>22490</v>
      </c>
      <c r="C2560" s="71" t="s">
        <v>509</v>
      </c>
      <c r="D2560" s="79">
        <v>1</v>
      </c>
      <c r="E2560" s="79">
        <v>13.41</v>
      </c>
      <c r="F2560" s="79">
        <v>13.41</v>
      </c>
      <c r="G2560" s="445"/>
      <c r="H2560" s="178">
        <v>13.4</v>
      </c>
      <c r="I2560" s="178">
        <v>16.48</v>
      </c>
      <c r="J2560" s="70">
        <v>-3.0700000000000003</v>
      </c>
      <c r="K2560" s="320"/>
      <c r="L2560" s="178">
        <v>13.41</v>
      </c>
      <c r="M2560" s="178">
        <v>0</v>
      </c>
      <c r="N2560" s="179">
        <v>0</v>
      </c>
      <c r="O2560" s="178">
        <v>13.41</v>
      </c>
      <c r="P2560" s="453"/>
      <c r="Q2560" s="61"/>
      <c r="R2560" s="298"/>
      <c r="S2560" s="669"/>
      <c r="X2560" s="444">
        <v>2560</v>
      </c>
    </row>
    <row r="2561" spans="1:32" ht="12">
      <c r="A2561" s="83" t="s">
        <v>22491</v>
      </c>
      <c r="B2561" s="64" t="s">
        <v>22492</v>
      </c>
      <c r="C2561" s="71" t="s">
        <v>509</v>
      </c>
      <c r="D2561" s="79">
        <v>1</v>
      </c>
      <c r="E2561" s="79">
        <v>30.77</v>
      </c>
      <c r="F2561" s="79">
        <v>30.77</v>
      </c>
      <c r="G2561" s="445"/>
      <c r="H2561" s="178">
        <v>30.76</v>
      </c>
      <c r="I2561" s="178">
        <v>37.840000000000003</v>
      </c>
      <c r="J2561" s="70">
        <v>-7.0700000000000038</v>
      </c>
      <c r="K2561" s="320"/>
      <c r="L2561" s="178">
        <v>30.77</v>
      </c>
      <c r="M2561" s="178">
        <v>0</v>
      </c>
      <c r="N2561" s="179">
        <v>0</v>
      </c>
      <c r="O2561" s="178">
        <v>30.77</v>
      </c>
      <c r="P2561" s="453"/>
      <c r="Q2561" s="61"/>
      <c r="R2561" s="298"/>
      <c r="S2561" s="669"/>
      <c r="X2561" s="444">
        <v>2561</v>
      </c>
    </row>
    <row r="2562" spans="1:32" ht="12">
      <c r="A2562" s="83" t="s">
        <v>22493</v>
      </c>
      <c r="B2562" s="64" t="s">
        <v>22494</v>
      </c>
      <c r="C2562" s="71" t="s">
        <v>509</v>
      </c>
      <c r="D2562" s="79">
        <v>1</v>
      </c>
      <c r="E2562" s="79">
        <v>17.939999999999998</v>
      </c>
      <c r="F2562" s="79">
        <v>17.940000000000001</v>
      </c>
      <c r="G2562" s="445"/>
      <c r="H2562" s="178">
        <v>17.940000000000001</v>
      </c>
      <c r="I2562" s="178">
        <v>22.07</v>
      </c>
      <c r="J2562" s="70">
        <v>-4.1300000000000026</v>
      </c>
      <c r="K2562" s="320"/>
      <c r="L2562" s="178">
        <v>17.939999999999998</v>
      </c>
      <c r="M2562" s="178">
        <v>0</v>
      </c>
      <c r="N2562" s="179">
        <v>0</v>
      </c>
      <c r="O2562" s="178">
        <v>17.939999999999998</v>
      </c>
      <c r="P2562" s="453"/>
      <c r="Q2562" s="61"/>
      <c r="R2562" s="298"/>
      <c r="S2562" s="669"/>
      <c r="X2562" s="444">
        <v>2562</v>
      </c>
    </row>
    <row r="2563" spans="1:32" ht="12">
      <c r="A2563" s="83" t="s">
        <v>22495</v>
      </c>
      <c r="B2563" s="64" t="s">
        <v>22496</v>
      </c>
      <c r="C2563" s="71" t="s">
        <v>509</v>
      </c>
      <c r="D2563" s="79">
        <v>1</v>
      </c>
      <c r="E2563" s="79">
        <v>29.04</v>
      </c>
      <c r="F2563" s="79">
        <v>29.04</v>
      </c>
      <c r="G2563" s="445"/>
      <c r="H2563" s="178">
        <v>29.03</v>
      </c>
      <c r="I2563" s="178">
        <v>35.71</v>
      </c>
      <c r="J2563" s="70">
        <v>-6.6700000000000017</v>
      </c>
      <c r="K2563" s="320"/>
      <c r="L2563" s="178">
        <v>29.04</v>
      </c>
      <c r="M2563" s="178">
        <v>0</v>
      </c>
      <c r="N2563" s="179">
        <v>0</v>
      </c>
      <c r="O2563" s="178">
        <v>29.04</v>
      </c>
      <c r="P2563" s="453"/>
      <c r="Q2563" s="61"/>
      <c r="R2563" s="298"/>
      <c r="S2563" s="669"/>
      <c r="X2563" s="444">
        <v>2563</v>
      </c>
    </row>
    <row r="2564" spans="1:32" ht="12">
      <c r="A2564" s="83" t="s">
        <v>22497</v>
      </c>
      <c r="B2564" s="64" t="s">
        <v>22498</v>
      </c>
      <c r="C2564" s="71" t="s">
        <v>509</v>
      </c>
      <c r="D2564" s="79">
        <v>1</v>
      </c>
      <c r="E2564" s="79">
        <v>35.74</v>
      </c>
      <c r="F2564" s="79">
        <v>35.74</v>
      </c>
      <c r="G2564" s="445"/>
      <c r="H2564" s="178">
        <v>35.729999999999997</v>
      </c>
      <c r="I2564" s="178">
        <v>43.95</v>
      </c>
      <c r="J2564" s="70">
        <v>-8.2100000000000009</v>
      </c>
      <c r="K2564" s="320"/>
      <c r="L2564" s="178">
        <v>35.74</v>
      </c>
      <c r="M2564" s="178">
        <v>0</v>
      </c>
      <c r="N2564" s="179">
        <v>0</v>
      </c>
      <c r="O2564" s="178">
        <v>35.74</v>
      </c>
      <c r="P2564" s="453"/>
      <c r="Q2564" s="61"/>
      <c r="R2564" s="298"/>
      <c r="S2564" s="669"/>
      <c r="X2564" s="444">
        <v>2564</v>
      </c>
    </row>
    <row r="2565" spans="1:32" ht="12">
      <c r="A2565" s="83" t="s">
        <v>22499</v>
      </c>
      <c r="B2565" s="64" t="s">
        <v>22500</v>
      </c>
      <c r="C2565" s="71" t="s">
        <v>165</v>
      </c>
      <c r="D2565" s="79">
        <v>1</v>
      </c>
      <c r="E2565" s="79">
        <v>22.33</v>
      </c>
      <c r="F2565" s="79">
        <v>22.33</v>
      </c>
      <c r="G2565" s="445"/>
      <c r="H2565" s="178">
        <v>22.33</v>
      </c>
      <c r="I2565" s="178">
        <v>27.46</v>
      </c>
      <c r="J2565" s="70">
        <v>-5.1300000000000026</v>
      </c>
      <c r="K2565" s="320"/>
      <c r="L2565" s="178">
        <v>22.33</v>
      </c>
      <c r="M2565" s="178">
        <v>0</v>
      </c>
      <c r="N2565" s="179">
        <v>0</v>
      </c>
      <c r="O2565" s="178">
        <v>22.33</v>
      </c>
      <c r="P2565" s="453"/>
      <c r="Q2565" s="61"/>
      <c r="R2565" s="298"/>
      <c r="S2565" s="669"/>
      <c r="X2565" s="444">
        <v>2565</v>
      </c>
    </row>
    <row r="2566" spans="1:32" ht="12">
      <c r="A2566" s="83" t="s">
        <v>22501</v>
      </c>
      <c r="B2566" s="64" t="s">
        <v>22502</v>
      </c>
      <c r="C2566" s="71" t="s">
        <v>165</v>
      </c>
      <c r="D2566" s="79">
        <v>1</v>
      </c>
      <c r="E2566" s="79">
        <v>26.8</v>
      </c>
      <c r="F2566" s="79">
        <v>26.8</v>
      </c>
      <c r="G2566" s="445"/>
      <c r="H2566" s="178">
        <v>26.8</v>
      </c>
      <c r="I2566" s="178">
        <v>32.96</v>
      </c>
      <c r="J2566" s="70">
        <v>-6.16</v>
      </c>
      <c r="K2566" s="320"/>
      <c r="L2566" s="178">
        <v>26.8</v>
      </c>
      <c r="M2566" s="178">
        <v>0</v>
      </c>
      <c r="N2566" s="179">
        <v>0</v>
      </c>
      <c r="O2566" s="178">
        <v>26.8</v>
      </c>
      <c r="P2566" s="453"/>
      <c r="Q2566" s="61"/>
      <c r="R2566" s="298"/>
      <c r="S2566" s="669"/>
      <c r="X2566" s="444">
        <v>2566</v>
      </c>
    </row>
    <row r="2567" spans="1:32" ht="12">
      <c r="A2567" s="83" t="s">
        <v>22503</v>
      </c>
      <c r="B2567" s="64" t="s">
        <v>22504</v>
      </c>
      <c r="C2567" s="71" t="s">
        <v>165</v>
      </c>
      <c r="D2567" s="79">
        <v>1</v>
      </c>
      <c r="E2567" s="79">
        <v>4.46</v>
      </c>
      <c r="F2567" s="79">
        <v>4.46</v>
      </c>
      <c r="G2567" s="445"/>
      <c r="H2567" s="178">
        <v>4.46</v>
      </c>
      <c r="I2567" s="178">
        <v>5.49</v>
      </c>
      <c r="J2567" s="70">
        <v>-1.0300000000000002</v>
      </c>
      <c r="K2567" s="320"/>
      <c r="L2567" s="178">
        <v>4.46</v>
      </c>
      <c r="M2567" s="178">
        <v>0</v>
      </c>
      <c r="N2567" s="179">
        <v>0</v>
      </c>
      <c r="O2567" s="178">
        <v>4.46</v>
      </c>
      <c r="P2567" s="453"/>
      <c r="Q2567" s="61"/>
      <c r="R2567" s="298"/>
      <c r="S2567" s="669"/>
      <c r="X2567" s="444">
        <v>2567</v>
      </c>
    </row>
    <row r="2568" spans="1:32" ht="12">
      <c r="A2568" s="83" t="s">
        <v>22505</v>
      </c>
      <c r="B2568" s="64" t="s">
        <v>22506</v>
      </c>
      <c r="C2568" s="71" t="s">
        <v>165</v>
      </c>
      <c r="D2568" s="79">
        <v>1</v>
      </c>
      <c r="E2568" s="79">
        <v>3.42</v>
      </c>
      <c r="F2568" s="79">
        <v>3.42</v>
      </c>
      <c r="G2568" s="445"/>
      <c r="H2568" s="178">
        <v>3.41</v>
      </c>
      <c r="I2568" s="178">
        <v>4.2</v>
      </c>
      <c r="J2568" s="70">
        <v>-0.78000000000000025</v>
      </c>
      <c r="K2568" s="320"/>
      <c r="L2568" s="178">
        <v>3.42</v>
      </c>
      <c r="M2568" s="178">
        <v>0</v>
      </c>
      <c r="N2568" s="179">
        <v>0</v>
      </c>
      <c r="O2568" s="178">
        <v>3.42</v>
      </c>
      <c r="P2568" s="453"/>
      <c r="Q2568" s="61"/>
      <c r="R2568" s="298"/>
      <c r="S2568" s="669"/>
      <c r="X2568" s="444">
        <v>2568</v>
      </c>
    </row>
    <row r="2569" spans="1:32" ht="12">
      <c r="A2569" s="83" t="s">
        <v>22507</v>
      </c>
      <c r="B2569" s="64" t="s">
        <v>22508</v>
      </c>
      <c r="C2569" s="71" t="s">
        <v>165</v>
      </c>
      <c r="D2569" s="79">
        <v>1</v>
      </c>
      <c r="E2569" s="79">
        <v>4.46</v>
      </c>
      <c r="F2569" s="79">
        <v>4.46</v>
      </c>
      <c r="G2569" s="445"/>
      <c r="H2569" s="178">
        <v>4.46</v>
      </c>
      <c r="I2569" s="178">
        <v>5.49</v>
      </c>
      <c r="J2569" s="70">
        <v>-1.0300000000000002</v>
      </c>
      <c r="K2569" s="320"/>
      <c r="L2569" s="178">
        <v>4.46</v>
      </c>
      <c r="M2569" s="178">
        <v>0</v>
      </c>
      <c r="N2569" s="179">
        <v>0</v>
      </c>
      <c r="O2569" s="178">
        <v>4.46</v>
      </c>
      <c r="P2569" s="453"/>
      <c r="Q2569" s="61"/>
      <c r="R2569" s="298"/>
      <c r="S2569" s="669"/>
      <c r="X2569" s="444">
        <v>2569</v>
      </c>
    </row>
    <row r="2570" spans="1:32" ht="12">
      <c r="A2570" s="83" t="s">
        <v>22509</v>
      </c>
      <c r="B2570" s="64" t="s">
        <v>22510</v>
      </c>
      <c r="C2570" s="71" t="s">
        <v>165</v>
      </c>
      <c r="D2570" s="79">
        <v>1</v>
      </c>
      <c r="E2570" s="79">
        <v>4.46</v>
      </c>
      <c r="F2570" s="79">
        <v>4.46</v>
      </c>
      <c r="G2570" s="445"/>
      <c r="H2570" s="178">
        <v>4.46</v>
      </c>
      <c r="I2570" s="178">
        <v>5.49</v>
      </c>
      <c r="J2570" s="70">
        <v>-1.0300000000000002</v>
      </c>
      <c r="K2570" s="320"/>
      <c r="L2570" s="178">
        <v>4.46</v>
      </c>
      <c r="M2570" s="178">
        <v>0</v>
      </c>
      <c r="N2570" s="179">
        <v>0</v>
      </c>
      <c r="O2570" s="178">
        <v>4.46</v>
      </c>
      <c r="P2570" s="453"/>
      <c r="Q2570" s="61"/>
      <c r="R2570" s="298"/>
      <c r="S2570" s="669"/>
      <c r="X2570" s="444">
        <v>2570</v>
      </c>
    </row>
    <row r="2571" spans="1:32" ht="12">
      <c r="A2571" s="83" t="s">
        <v>22511</v>
      </c>
      <c r="B2571" s="64" t="s">
        <v>22512</v>
      </c>
      <c r="C2571" s="71" t="s">
        <v>165</v>
      </c>
      <c r="D2571" s="79">
        <v>1</v>
      </c>
      <c r="E2571" s="79">
        <v>4.46</v>
      </c>
      <c r="F2571" s="79">
        <v>4.46</v>
      </c>
      <c r="G2571" s="445"/>
      <c r="H2571" s="178">
        <v>4.46</v>
      </c>
      <c r="I2571" s="178">
        <v>5.49</v>
      </c>
      <c r="J2571" s="70">
        <v>-1.0300000000000002</v>
      </c>
      <c r="K2571" s="320"/>
      <c r="L2571" s="178">
        <v>4.46</v>
      </c>
      <c r="M2571" s="178">
        <v>0</v>
      </c>
      <c r="N2571" s="179">
        <v>0</v>
      </c>
      <c r="O2571" s="178">
        <v>4.46</v>
      </c>
      <c r="P2571" s="453"/>
      <c r="Q2571" s="61"/>
      <c r="R2571" s="298"/>
      <c r="S2571" s="669"/>
      <c r="X2571" s="444">
        <v>2571</v>
      </c>
    </row>
    <row r="2572" spans="1:32" s="61" customFormat="1" ht="12">
      <c r="A2572" s="83" t="s">
        <v>22513</v>
      </c>
      <c r="B2572" s="64" t="s">
        <v>18572</v>
      </c>
      <c r="C2572" s="71" t="s">
        <v>10216</v>
      </c>
      <c r="D2572" s="79">
        <v>1</v>
      </c>
      <c r="E2572" s="79">
        <v>577.26</v>
      </c>
      <c r="F2572" s="79">
        <v>577.26</v>
      </c>
      <c r="G2572" s="445"/>
      <c r="H2572" s="178">
        <v>577.25</v>
      </c>
      <c r="I2572" s="178">
        <v>710.02</v>
      </c>
      <c r="J2572" s="70">
        <v>-132.76</v>
      </c>
      <c r="K2572" s="320"/>
      <c r="L2572" s="178"/>
      <c r="M2572" s="178">
        <v>577.26</v>
      </c>
      <c r="N2572" s="179">
        <v>0</v>
      </c>
      <c r="O2572" s="178">
        <v>577.26</v>
      </c>
      <c r="P2572" s="453"/>
      <c r="R2572" s="298"/>
      <c r="S2572" s="669"/>
      <c r="T2572" s="444"/>
      <c r="U2572" s="444"/>
      <c r="V2572" s="444"/>
      <c r="W2572" s="444"/>
      <c r="X2572" s="444">
        <v>2572</v>
      </c>
      <c r="Y2572" s="444"/>
      <c r="Z2572" s="444"/>
      <c r="AA2572" s="444"/>
      <c r="AB2572" s="444"/>
      <c r="AC2572" s="444"/>
      <c r="AD2572" s="444"/>
      <c r="AE2572" s="444"/>
      <c r="AF2572" s="444"/>
    </row>
    <row r="2573" spans="1:32" s="73" customFormat="1" ht="12">
      <c r="A2573" s="83" t="s">
        <v>39937</v>
      </c>
      <c r="B2573" s="64" t="s">
        <v>39938</v>
      </c>
      <c r="C2573" s="71"/>
      <c r="D2573" s="79" t="s">
        <v>40899</v>
      </c>
      <c r="E2573" s="79" t="s">
        <v>40899</v>
      </c>
      <c r="F2573" s="79"/>
      <c r="G2573" s="445"/>
      <c r="H2573" s="178"/>
      <c r="I2573" s="178"/>
      <c r="J2573" s="70"/>
      <c r="K2573" s="320"/>
      <c r="L2573" s="178"/>
      <c r="M2573" s="178"/>
      <c r="N2573" s="179"/>
      <c r="O2573" s="178"/>
      <c r="P2573" s="453"/>
      <c r="Q2573" s="61"/>
      <c r="R2573" s="298"/>
      <c r="S2573" s="669"/>
      <c r="T2573" s="444"/>
      <c r="U2573" s="69"/>
      <c r="V2573" s="69"/>
      <c r="W2573" s="69"/>
      <c r="X2573" s="444">
        <v>2573</v>
      </c>
      <c r="Y2573" s="69"/>
      <c r="Z2573" s="69"/>
      <c r="AA2573" s="69"/>
      <c r="AB2573" s="69"/>
      <c r="AC2573" s="69"/>
      <c r="AD2573" s="69"/>
      <c r="AE2573" s="69"/>
      <c r="AF2573" s="69"/>
    </row>
    <row r="2574" spans="1:32" s="69" customFormat="1" ht="12">
      <c r="A2574" s="83" t="s">
        <v>22514</v>
      </c>
      <c r="B2574" s="64" t="s">
        <v>22515</v>
      </c>
      <c r="C2574" s="71" t="s">
        <v>509</v>
      </c>
      <c r="D2574" s="79">
        <v>1</v>
      </c>
      <c r="E2574" s="79">
        <v>22.669999999999998</v>
      </c>
      <c r="F2574" s="79">
        <v>22.67</v>
      </c>
      <c r="G2574" s="445"/>
      <c r="H2574" s="178">
        <v>22.67</v>
      </c>
      <c r="I2574" s="178">
        <v>27.89</v>
      </c>
      <c r="J2574" s="70">
        <v>-5.2200000000000024</v>
      </c>
      <c r="K2574" s="320"/>
      <c r="L2574" s="178">
        <v>9.879999999999999</v>
      </c>
      <c r="M2574" s="178">
        <v>12.79</v>
      </c>
      <c r="N2574" s="179">
        <v>0</v>
      </c>
      <c r="O2574" s="178">
        <v>22.669999999999998</v>
      </c>
      <c r="P2574" s="453"/>
      <c r="Q2574" s="61"/>
      <c r="R2574" s="298"/>
      <c r="S2574" s="669"/>
      <c r="T2574" s="444"/>
      <c r="U2574" s="444"/>
      <c r="V2574" s="444"/>
      <c r="W2574" s="444"/>
      <c r="X2574" s="444">
        <v>2574</v>
      </c>
      <c r="Y2574" s="444"/>
      <c r="Z2574" s="444"/>
      <c r="AA2574" s="444"/>
      <c r="AB2574" s="444"/>
      <c r="AC2574" s="444"/>
      <c r="AD2574" s="444"/>
      <c r="AE2574" s="444"/>
      <c r="AF2574" s="444"/>
    </row>
    <row r="2575" spans="1:32" ht="12">
      <c r="A2575" s="83" t="s">
        <v>22516</v>
      </c>
      <c r="B2575" s="64" t="s">
        <v>22517</v>
      </c>
      <c r="C2575" s="71" t="s">
        <v>509</v>
      </c>
      <c r="D2575" s="79">
        <v>1</v>
      </c>
      <c r="E2575" s="79">
        <v>79.63</v>
      </c>
      <c r="F2575" s="79">
        <v>79.63</v>
      </c>
      <c r="G2575" s="445"/>
      <c r="H2575" s="178">
        <v>79.63</v>
      </c>
      <c r="I2575" s="178">
        <v>97.94</v>
      </c>
      <c r="J2575" s="70">
        <v>-18.310000000000002</v>
      </c>
      <c r="K2575" s="320"/>
      <c r="L2575" s="178">
        <v>64.069999999999993</v>
      </c>
      <c r="M2575" s="178">
        <v>15.560000000000002</v>
      </c>
      <c r="N2575" s="179">
        <v>0</v>
      </c>
      <c r="O2575" s="178">
        <v>79.63</v>
      </c>
      <c r="P2575" s="453"/>
      <c r="Q2575" s="61"/>
      <c r="R2575" s="298"/>
      <c r="S2575" s="669"/>
      <c r="X2575" s="444">
        <v>2575</v>
      </c>
    </row>
    <row r="2576" spans="1:32" ht="12">
      <c r="A2576" s="83" t="s">
        <v>22518</v>
      </c>
      <c r="B2576" s="64" t="s">
        <v>22519</v>
      </c>
      <c r="C2576" s="71" t="s">
        <v>509</v>
      </c>
      <c r="D2576" s="79">
        <v>1</v>
      </c>
      <c r="E2576" s="79">
        <v>6.12</v>
      </c>
      <c r="F2576" s="79">
        <v>6.12</v>
      </c>
      <c r="G2576" s="445"/>
      <c r="H2576" s="178">
        <v>6.1</v>
      </c>
      <c r="I2576" s="178">
        <v>7.5</v>
      </c>
      <c r="J2576" s="70">
        <v>-1.38</v>
      </c>
      <c r="K2576" s="320"/>
      <c r="L2576" s="178">
        <v>5.71</v>
      </c>
      <c r="M2576" s="178">
        <v>0.41000000000000014</v>
      </c>
      <c r="N2576" s="179">
        <v>0</v>
      </c>
      <c r="O2576" s="178">
        <v>6.12</v>
      </c>
      <c r="P2576" s="453"/>
      <c r="Q2576" s="61"/>
      <c r="R2576" s="298"/>
      <c r="S2576" s="669"/>
      <c r="X2576" s="444">
        <v>2576</v>
      </c>
    </row>
    <row r="2577" spans="1:32" s="61" customFormat="1" ht="12">
      <c r="A2577" s="83" t="s">
        <v>22520</v>
      </c>
      <c r="B2577" s="64" t="s">
        <v>22521</v>
      </c>
      <c r="C2577" s="71" t="s">
        <v>165</v>
      </c>
      <c r="D2577" s="79">
        <v>1</v>
      </c>
      <c r="E2577" s="79">
        <v>13.100000000000001</v>
      </c>
      <c r="F2577" s="79">
        <v>13.1</v>
      </c>
      <c r="G2577" s="445"/>
      <c r="H2577" s="178">
        <v>13.1</v>
      </c>
      <c r="I2577" s="178">
        <v>16.11</v>
      </c>
      <c r="J2577" s="70">
        <v>-3.009999999999998</v>
      </c>
      <c r="K2577" s="320"/>
      <c r="L2577" s="178">
        <v>13.100000000000001</v>
      </c>
      <c r="M2577" s="178">
        <v>0</v>
      </c>
      <c r="N2577" s="179">
        <v>0</v>
      </c>
      <c r="O2577" s="178">
        <v>13.100000000000001</v>
      </c>
      <c r="P2577" s="453"/>
      <c r="R2577" s="298"/>
      <c r="S2577" s="669"/>
      <c r="T2577" s="444"/>
      <c r="U2577" s="444"/>
      <c r="V2577" s="444"/>
      <c r="W2577" s="444"/>
      <c r="X2577" s="444">
        <v>2577</v>
      </c>
      <c r="Y2577" s="444"/>
      <c r="Z2577" s="444"/>
      <c r="AA2577" s="444"/>
      <c r="AB2577" s="444"/>
      <c r="AC2577" s="444"/>
      <c r="AD2577" s="444"/>
      <c r="AE2577" s="444"/>
      <c r="AF2577" s="444"/>
    </row>
    <row r="2578" spans="1:32" ht="12">
      <c r="A2578" s="83" t="s">
        <v>22522</v>
      </c>
      <c r="B2578" s="64" t="s">
        <v>22523</v>
      </c>
      <c r="C2578" s="71" t="s">
        <v>10216</v>
      </c>
      <c r="D2578" s="79">
        <v>1</v>
      </c>
      <c r="E2578" s="79">
        <v>577.26</v>
      </c>
      <c r="F2578" s="79">
        <v>577.26</v>
      </c>
      <c r="G2578" s="445"/>
      <c r="H2578" s="178">
        <v>577.25</v>
      </c>
      <c r="I2578" s="178">
        <v>710.02</v>
      </c>
      <c r="J2578" s="70">
        <v>-132.76</v>
      </c>
      <c r="K2578" s="320"/>
      <c r="L2578" s="178"/>
      <c r="M2578" s="178">
        <v>577.26</v>
      </c>
      <c r="N2578" s="179">
        <v>0</v>
      </c>
      <c r="O2578" s="178">
        <v>577.26</v>
      </c>
      <c r="P2578" s="453"/>
      <c r="Q2578" s="61"/>
      <c r="R2578" s="298"/>
      <c r="S2578" s="669"/>
      <c r="X2578" s="444">
        <v>2578</v>
      </c>
    </row>
    <row r="2579" spans="1:32" ht="12">
      <c r="A2579" s="83" t="s">
        <v>39939</v>
      </c>
      <c r="B2579" s="64" t="s">
        <v>39940</v>
      </c>
      <c r="C2579" s="71"/>
      <c r="D2579" s="79" t="s">
        <v>40899</v>
      </c>
      <c r="E2579" s="79" t="s">
        <v>40899</v>
      </c>
      <c r="F2579" s="79"/>
      <c r="G2579" s="445"/>
      <c r="H2579" s="178"/>
      <c r="I2579" s="178"/>
      <c r="J2579" s="70"/>
      <c r="K2579" s="320"/>
      <c r="L2579" s="178"/>
      <c r="M2579" s="178"/>
      <c r="N2579" s="179"/>
      <c r="O2579" s="178"/>
      <c r="P2579" s="453"/>
      <c r="Q2579" s="61"/>
      <c r="R2579" s="298"/>
      <c r="S2579" s="669"/>
      <c r="X2579" s="444">
        <v>2579</v>
      </c>
    </row>
    <row r="2580" spans="1:32" ht="12">
      <c r="A2580" s="83" t="s">
        <v>22524</v>
      </c>
      <c r="B2580" s="64" t="s">
        <v>22525</v>
      </c>
      <c r="C2580" s="71" t="s">
        <v>121</v>
      </c>
      <c r="D2580" s="79">
        <v>1</v>
      </c>
      <c r="E2580" s="79">
        <v>882.04000000000008</v>
      </c>
      <c r="F2580" s="79">
        <v>882.04</v>
      </c>
      <c r="G2580" s="445"/>
      <c r="H2580" s="178">
        <v>882.02</v>
      </c>
      <c r="I2580" s="178">
        <v>1084.8900000000001</v>
      </c>
      <c r="J2580" s="70">
        <v>-202.85000000000002</v>
      </c>
      <c r="K2580" s="320"/>
      <c r="L2580" s="178">
        <v>519.84</v>
      </c>
      <c r="M2580" s="178">
        <v>362.20000000000005</v>
      </c>
      <c r="N2580" s="179">
        <v>0</v>
      </c>
      <c r="O2580" s="178">
        <v>882.04000000000008</v>
      </c>
      <c r="P2580" s="453"/>
      <c r="Q2580" s="61"/>
      <c r="R2580" s="298"/>
      <c r="S2580" s="669"/>
      <c r="X2580" s="444">
        <v>2580</v>
      </c>
    </row>
    <row r="2581" spans="1:32" s="73" customFormat="1" ht="12">
      <c r="A2581" s="83" t="s">
        <v>22526</v>
      </c>
      <c r="B2581" s="64" t="s">
        <v>22527</v>
      </c>
      <c r="C2581" s="71" t="s">
        <v>509</v>
      </c>
      <c r="D2581" s="79">
        <v>1</v>
      </c>
      <c r="E2581" s="79">
        <v>20.34</v>
      </c>
      <c r="F2581" s="79">
        <v>20.34</v>
      </c>
      <c r="G2581" s="445"/>
      <c r="H2581" s="178">
        <v>20.350000000000001</v>
      </c>
      <c r="I2581" s="178">
        <v>25.03</v>
      </c>
      <c r="J2581" s="70">
        <v>-4.6900000000000013</v>
      </c>
      <c r="K2581" s="320"/>
      <c r="L2581" s="178">
        <v>4.8599999999999994</v>
      </c>
      <c r="M2581" s="178">
        <v>15.48</v>
      </c>
      <c r="N2581" s="179">
        <v>0</v>
      </c>
      <c r="O2581" s="178">
        <v>20.34</v>
      </c>
      <c r="P2581" s="453"/>
      <c r="Q2581" s="61"/>
      <c r="R2581" s="298"/>
      <c r="S2581" s="669"/>
      <c r="T2581" s="444"/>
      <c r="U2581" s="444"/>
      <c r="V2581" s="444"/>
      <c r="W2581" s="444"/>
      <c r="X2581" s="444">
        <v>2581</v>
      </c>
      <c r="Y2581" s="444"/>
      <c r="Z2581" s="444"/>
      <c r="AA2581" s="444"/>
      <c r="AB2581" s="444"/>
      <c r="AC2581" s="444"/>
      <c r="AD2581" s="444"/>
      <c r="AE2581" s="444"/>
      <c r="AF2581" s="444"/>
    </row>
    <row r="2582" spans="1:32" ht="12">
      <c r="A2582" s="83" t="s">
        <v>22528</v>
      </c>
      <c r="B2582" s="64" t="s">
        <v>22381</v>
      </c>
      <c r="C2582" s="71" t="s">
        <v>165</v>
      </c>
      <c r="D2582" s="79">
        <v>1</v>
      </c>
      <c r="E2582" s="79">
        <v>134.39000000000001</v>
      </c>
      <c r="F2582" s="79">
        <v>134.38999999999999</v>
      </c>
      <c r="G2582" s="445"/>
      <c r="H2582" s="178">
        <v>134.38</v>
      </c>
      <c r="I2582" s="178">
        <v>165.29</v>
      </c>
      <c r="J2582" s="70">
        <v>-30.899999999999977</v>
      </c>
      <c r="K2582" s="320"/>
      <c r="L2582" s="178">
        <v>98.37</v>
      </c>
      <c r="M2582" s="178">
        <v>36.02000000000001</v>
      </c>
      <c r="N2582" s="179">
        <v>0</v>
      </c>
      <c r="O2582" s="178">
        <v>134.39000000000001</v>
      </c>
      <c r="P2582" s="453"/>
      <c r="Q2582" s="61"/>
      <c r="R2582" s="298"/>
      <c r="S2582" s="669"/>
      <c r="X2582" s="444">
        <v>2582</v>
      </c>
    </row>
    <row r="2583" spans="1:32" ht="12">
      <c r="A2583" s="83" t="s">
        <v>22529</v>
      </c>
      <c r="B2583" s="64" t="s">
        <v>6987</v>
      </c>
      <c r="C2583" s="71" t="s">
        <v>509</v>
      </c>
      <c r="D2583" s="79">
        <v>1</v>
      </c>
      <c r="E2583" s="79">
        <v>12.39</v>
      </c>
      <c r="F2583" s="79">
        <v>12.39</v>
      </c>
      <c r="G2583" s="445"/>
      <c r="H2583" s="178">
        <v>12.39</v>
      </c>
      <c r="I2583" s="178">
        <v>15.24</v>
      </c>
      <c r="J2583" s="70">
        <v>-2.8499999999999996</v>
      </c>
      <c r="K2583" s="320"/>
      <c r="L2583" s="178">
        <v>8.52</v>
      </c>
      <c r="M2583" s="178">
        <v>3.870000000000001</v>
      </c>
      <c r="N2583" s="179">
        <v>0</v>
      </c>
      <c r="O2583" s="178">
        <v>12.39</v>
      </c>
      <c r="P2583" s="453"/>
      <c r="Q2583" s="61"/>
      <c r="R2583" s="298"/>
      <c r="S2583" s="669"/>
      <c r="X2583" s="444">
        <v>2583</v>
      </c>
    </row>
    <row r="2584" spans="1:32" ht="12">
      <c r="A2584" s="83" t="s">
        <v>22530</v>
      </c>
      <c r="B2584" s="64" t="s">
        <v>22531</v>
      </c>
      <c r="C2584" s="71" t="s">
        <v>509</v>
      </c>
      <c r="D2584" s="79">
        <v>1</v>
      </c>
      <c r="E2584" s="79">
        <v>32.1</v>
      </c>
      <c r="F2584" s="79">
        <v>32.1</v>
      </c>
      <c r="G2584" s="445"/>
      <c r="H2584" s="178">
        <v>32.1</v>
      </c>
      <c r="I2584" s="178">
        <v>39.479999999999997</v>
      </c>
      <c r="J2584" s="70">
        <v>-7.3799999999999955</v>
      </c>
      <c r="K2584" s="320"/>
      <c r="L2584" s="178">
        <v>7.41</v>
      </c>
      <c r="M2584" s="178">
        <v>24.69</v>
      </c>
      <c r="N2584" s="179">
        <v>0</v>
      </c>
      <c r="O2584" s="178">
        <v>32.1</v>
      </c>
      <c r="P2584" s="453"/>
      <c r="Q2584" s="61"/>
      <c r="R2584" s="298"/>
      <c r="S2584" s="669"/>
      <c r="X2584" s="444">
        <v>2584</v>
      </c>
    </row>
    <row r="2585" spans="1:32" ht="12">
      <c r="A2585" s="83" t="s">
        <v>22532</v>
      </c>
      <c r="B2585" s="64" t="s">
        <v>39941</v>
      </c>
      <c r="C2585" s="71" t="s">
        <v>509</v>
      </c>
      <c r="D2585" s="79">
        <v>1</v>
      </c>
      <c r="E2585" s="79">
        <v>511.57</v>
      </c>
      <c r="F2585" s="79">
        <v>511.57</v>
      </c>
      <c r="G2585" s="445"/>
      <c r="H2585" s="178">
        <v>511.56</v>
      </c>
      <c r="I2585" s="178">
        <v>629.22</v>
      </c>
      <c r="J2585" s="70">
        <v>-117.65000000000003</v>
      </c>
      <c r="K2585" s="320"/>
      <c r="L2585" s="178">
        <v>30.77</v>
      </c>
      <c r="M2585" s="178">
        <v>480.8</v>
      </c>
      <c r="N2585" s="179">
        <v>0</v>
      </c>
      <c r="O2585" s="178">
        <v>511.57</v>
      </c>
      <c r="P2585" s="453"/>
      <c r="Q2585" s="61"/>
      <c r="R2585" s="298"/>
      <c r="S2585" s="669"/>
      <c r="X2585" s="444">
        <v>2585</v>
      </c>
    </row>
    <row r="2586" spans="1:32" ht="12">
      <c r="A2586" s="83" t="s">
        <v>22533</v>
      </c>
      <c r="B2586" s="64" t="s">
        <v>22534</v>
      </c>
      <c r="C2586" s="71" t="s">
        <v>509</v>
      </c>
      <c r="D2586" s="79">
        <v>1</v>
      </c>
      <c r="E2586" s="79">
        <v>3.02</v>
      </c>
      <c r="F2586" s="79">
        <v>3.02</v>
      </c>
      <c r="G2586" s="445"/>
      <c r="H2586" s="178">
        <v>3.02</v>
      </c>
      <c r="I2586" s="178">
        <v>3.71</v>
      </c>
      <c r="J2586" s="70">
        <v>-0.69</v>
      </c>
      <c r="K2586" s="320"/>
      <c r="L2586" s="178">
        <v>0.66999999999999993</v>
      </c>
      <c r="M2586" s="178">
        <v>2.35</v>
      </c>
      <c r="N2586" s="179">
        <v>0</v>
      </c>
      <c r="O2586" s="178">
        <v>3.02</v>
      </c>
      <c r="P2586" s="453"/>
      <c r="Q2586" s="61"/>
      <c r="R2586" s="298"/>
      <c r="S2586" s="669"/>
      <c r="X2586" s="444">
        <v>2586</v>
      </c>
    </row>
    <row r="2587" spans="1:32" ht="12">
      <c r="A2587" s="83" t="s">
        <v>22535</v>
      </c>
      <c r="B2587" s="64" t="s">
        <v>22536</v>
      </c>
      <c r="C2587" s="71" t="s">
        <v>509</v>
      </c>
      <c r="D2587" s="79">
        <v>1</v>
      </c>
      <c r="E2587" s="79">
        <v>34.25</v>
      </c>
      <c r="F2587" s="79">
        <v>34.25</v>
      </c>
      <c r="G2587" s="445"/>
      <c r="H2587" s="178">
        <v>34.26</v>
      </c>
      <c r="I2587" s="178">
        <v>42.14</v>
      </c>
      <c r="J2587" s="70">
        <v>-7.8900000000000006</v>
      </c>
      <c r="K2587" s="320"/>
      <c r="L2587" s="178">
        <v>7.7</v>
      </c>
      <c r="M2587" s="178">
        <v>26.55</v>
      </c>
      <c r="N2587" s="179">
        <v>0</v>
      </c>
      <c r="O2587" s="178">
        <v>34.25</v>
      </c>
      <c r="P2587" s="453"/>
      <c r="Q2587" s="61"/>
      <c r="R2587" s="298"/>
      <c r="S2587" s="669"/>
      <c r="X2587" s="444">
        <v>2587</v>
      </c>
    </row>
    <row r="2588" spans="1:32" ht="12">
      <c r="A2588" s="83" t="s">
        <v>22537</v>
      </c>
      <c r="B2588" s="64" t="s">
        <v>22538</v>
      </c>
      <c r="C2588" s="71" t="s">
        <v>509</v>
      </c>
      <c r="D2588" s="79">
        <v>1</v>
      </c>
      <c r="E2588" s="79">
        <v>188.45</v>
      </c>
      <c r="F2588" s="79">
        <v>188.45</v>
      </c>
      <c r="G2588" s="445"/>
      <c r="H2588" s="178">
        <v>188.45</v>
      </c>
      <c r="I2588" s="178">
        <v>231.79</v>
      </c>
      <c r="J2588" s="70">
        <v>-43.34</v>
      </c>
      <c r="K2588" s="320"/>
      <c r="L2588" s="178"/>
      <c r="M2588" s="178">
        <v>188.45</v>
      </c>
      <c r="N2588" s="179">
        <v>0</v>
      </c>
      <c r="O2588" s="178">
        <v>188.45</v>
      </c>
      <c r="P2588" s="453"/>
      <c r="Q2588" s="61"/>
      <c r="R2588" s="298"/>
      <c r="S2588" s="669"/>
      <c r="X2588" s="444">
        <v>2588</v>
      </c>
    </row>
    <row r="2589" spans="1:32" s="61" customFormat="1" ht="12">
      <c r="A2589" s="83" t="s">
        <v>22539</v>
      </c>
      <c r="B2589" s="64" t="s">
        <v>22540</v>
      </c>
      <c r="C2589" s="71" t="s">
        <v>509</v>
      </c>
      <c r="D2589" s="79">
        <v>1</v>
      </c>
      <c r="E2589" s="79">
        <v>261.2</v>
      </c>
      <c r="F2589" s="79">
        <v>261.2</v>
      </c>
      <c r="G2589" s="445"/>
      <c r="H2589" s="178">
        <v>261.2</v>
      </c>
      <c r="I2589" s="178">
        <v>321.27</v>
      </c>
      <c r="J2589" s="70">
        <v>-60.069999999999993</v>
      </c>
      <c r="K2589" s="320"/>
      <c r="L2589" s="178"/>
      <c r="M2589" s="178">
        <v>261.2</v>
      </c>
      <c r="N2589" s="179">
        <v>0</v>
      </c>
      <c r="O2589" s="178">
        <v>261.2</v>
      </c>
      <c r="P2589" s="453"/>
      <c r="R2589" s="298"/>
      <c r="S2589" s="669"/>
      <c r="T2589" s="444"/>
      <c r="U2589" s="444"/>
      <c r="V2589" s="444"/>
      <c r="W2589" s="444"/>
      <c r="X2589" s="444">
        <v>2589</v>
      </c>
      <c r="Y2589" s="444"/>
      <c r="Z2589" s="444"/>
      <c r="AA2589" s="444"/>
      <c r="AB2589" s="444"/>
      <c r="AC2589" s="444"/>
      <c r="AD2589" s="444"/>
      <c r="AE2589" s="444"/>
      <c r="AF2589" s="444"/>
    </row>
    <row r="2590" spans="1:32" s="61" customFormat="1">
      <c r="A2590" s="67" t="s">
        <v>29666</v>
      </c>
      <c r="B2590" s="67" t="s">
        <v>39916</v>
      </c>
      <c r="C2590" s="71" t="s">
        <v>509</v>
      </c>
      <c r="D2590" s="79">
        <v>1</v>
      </c>
      <c r="E2590" s="79">
        <v>15.549999999999999</v>
      </c>
      <c r="F2590" s="79">
        <v>15.55</v>
      </c>
      <c r="G2590" s="444"/>
      <c r="H2590" s="178">
        <v>15.54</v>
      </c>
      <c r="I2590" s="178">
        <v>19.12</v>
      </c>
      <c r="J2590" s="70">
        <v>-3.5700000000000021</v>
      </c>
      <c r="K2590" s="320"/>
      <c r="L2590" s="178">
        <v>2.11</v>
      </c>
      <c r="M2590" s="178">
        <v>13.44</v>
      </c>
      <c r="N2590" s="179">
        <v>0</v>
      </c>
      <c r="O2590" s="178">
        <v>15.549999999999999</v>
      </c>
      <c r="P2590" s="444"/>
      <c r="R2590" s="298"/>
      <c r="S2590" s="669"/>
      <c r="T2590" s="444"/>
      <c r="U2590" s="444"/>
      <c r="V2590" s="444"/>
      <c r="W2590" s="444"/>
      <c r="X2590" s="444">
        <v>2590</v>
      </c>
      <c r="Y2590" s="444"/>
      <c r="Z2590" s="444"/>
      <c r="AA2590" s="444"/>
      <c r="AB2590" s="444"/>
      <c r="AC2590" s="444"/>
      <c r="AD2590" s="444"/>
      <c r="AE2590" s="444"/>
      <c r="AF2590" s="444"/>
    </row>
    <row r="2591" spans="1:32" s="61" customFormat="1" ht="12">
      <c r="A2591" s="83" t="s">
        <v>22541</v>
      </c>
      <c r="B2591" s="64" t="s">
        <v>22542</v>
      </c>
      <c r="C2591" s="71" t="s">
        <v>509</v>
      </c>
      <c r="D2591" s="79">
        <v>1</v>
      </c>
      <c r="E2591" s="79">
        <v>56.21</v>
      </c>
      <c r="F2591" s="79">
        <v>56.21</v>
      </c>
      <c r="G2591" s="445"/>
      <c r="H2591" s="178">
        <v>56.2</v>
      </c>
      <c r="I2591" s="178">
        <v>69.13</v>
      </c>
      <c r="J2591" s="70">
        <v>-12.919999999999995</v>
      </c>
      <c r="K2591" s="320"/>
      <c r="L2591" s="178"/>
      <c r="M2591" s="178">
        <v>56.21</v>
      </c>
      <c r="N2591" s="179">
        <v>0</v>
      </c>
      <c r="O2591" s="178">
        <v>56.21</v>
      </c>
      <c r="P2591" s="453"/>
      <c r="R2591" s="298"/>
      <c r="S2591" s="669"/>
      <c r="T2591" s="444"/>
      <c r="U2591" s="444"/>
      <c r="V2591" s="444"/>
      <c r="W2591" s="444"/>
      <c r="X2591" s="444">
        <v>2591</v>
      </c>
      <c r="Y2591" s="444"/>
      <c r="Z2591" s="444"/>
      <c r="AA2591" s="444"/>
      <c r="AB2591" s="444"/>
      <c r="AC2591" s="444"/>
      <c r="AD2591" s="444"/>
      <c r="AE2591" s="444"/>
      <c r="AF2591" s="444"/>
    </row>
    <row r="2592" spans="1:32" s="61" customFormat="1" ht="12">
      <c r="A2592" s="83" t="s">
        <v>22543</v>
      </c>
      <c r="B2592" s="64" t="s">
        <v>22544</v>
      </c>
      <c r="C2592" s="71" t="s">
        <v>509</v>
      </c>
      <c r="D2592" s="79">
        <v>1</v>
      </c>
      <c r="E2592" s="79">
        <v>38.19</v>
      </c>
      <c r="F2592" s="79">
        <v>38.19</v>
      </c>
      <c r="G2592" s="445"/>
      <c r="H2592" s="178">
        <v>38.200000000000003</v>
      </c>
      <c r="I2592" s="178">
        <v>46.99</v>
      </c>
      <c r="J2592" s="70">
        <v>-8.8000000000000043</v>
      </c>
      <c r="K2592" s="320"/>
      <c r="L2592" s="178">
        <v>26.15</v>
      </c>
      <c r="M2592" s="178">
        <v>12.04</v>
      </c>
      <c r="N2592" s="179">
        <v>0</v>
      </c>
      <c r="O2592" s="178">
        <v>38.19</v>
      </c>
      <c r="P2592" s="453"/>
      <c r="R2592" s="298"/>
      <c r="S2592" s="669"/>
      <c r="T2592" s="444"/>
      <c r="U2592" s="444"/>
      <c r="V2592" s="444"/>
      <c r="W2592" s="444"/>
      <c r="X2592" s="444">
        <v>2592</v>
      </c>
      <c r="Y2592" s="444"/>
      <c r="Z2592" s="444"/>
      <c r="AA2592" s="444"/>
      <c r="AB2592" s="444"/>
      <c r="AC2592" s="444"/>
      <c r="AD2592" s="444"/>
      <c r="AE2592" s="444"/>
      <c r="AF2592" s="444"/>
    </row>
    <row r="2593" spans="1:32" ht="12">
      <c r="A2593" s="83" t="s">
        <v>22545</v>
      </c>
      <c r="B2593" s="64" t="s">
        <v>22546</v>
      </c>
      <c r="C2593" s="71" t="s">
        <v>509</v>
      </c>
      <c r="D2593" s="79">
        <v>1</v>
      </c>
      <c r="E2593" s="79">
        <v>21.04</v>
      </c>
      <c r="F2593" s="79">
        <v>21.04</v>
      </c>
      <c r="G2593" s="445"/>
      <c r="H2593" s="178">
        <v>21.02</v>
      </c>
      <c r="I2593" s="178">
        <v>25.86</v>
      </c>
      <c r="J2593" s="70">
        <v>-4.82</v>
      </c>
      <c r="K2593" s="320"/>
      <c r="L2593" s="178">
        <v>12.120000000000001</v>
      </c>
      <c r="M2593" s="178">
        <v>8.9199999999999982</v>
      </c>
      <c r="N2593" s="179">
        <v>0</v>
      </c>
      <c r="O2593" s="178">
        <v>21.04</v>
      </c>
      <c r="P2593" s="453"/>
      <c r="Q2593" s="61"/>
      <c r="R2593" s="298"/>
      <c r="S2593" s="669"/>
      <c r="X2593" s="444">
        <v>2593</v>
      </c>
    </row>
    <row r="2594" spans="1:32" ht="12">
      <c r="A2594" s="83" t="s">
        <v>22547</v>
      </c>
      <c r="B2594" s="64" t="s">
        <v>39942</v>
      </c>
      <c r="C2594" s="71" t="s">
        <v>509</v>
      </c>
      <c r="D2594" s="79">
        <v>1</v>
      </c>
      <c r="E2594" s="79">
        <v>706.27</v>
      </c>
      <c r="F2594" s="79">
        <v>706.27</v>
      </c>
      <c r="G2594" s="445"/>
      <c r="H2594" s="178">
        <v>706.26</v>
      </c>
      <c r="I2594" s="178">
        <v>868.7</v>
      </c>
      <c r="J2594" s="70">
        <v>-162.43000000000006</v>
      </c>
      <c r="K2594" s="320"/>
      <c r="L2594" s="178">
        <v>56.41</v>
      </c>
      <c r="M2594" s="178">
        <v>649.86</v>
      </c>
      <c r="N2594" s="179">
        <v>0</v>
      </c>
      <c r="O2594" s="178">
        <v>706.27</v>
      </c>
      <c r="P2594" s="453"/>
      <c r="Q2594" s="61"/>
      <c r="R2594" s="298"/>
      <c r="S2594" s="669"/>
      <c r="X2594" s="444">
        <v>2594</v>
      </c>
    </row>
    <row r="2595" spans="1:32" s="73" customFormat="1" ht="12">
      <c r="A2595" s="83" t="s">
        <v>22548</v>
      </c>
      <c r="B2595" s="64" t="s">
        <v>39943</v>
      </c>
      <c r="C2595" s="71" t="s">
        <v>509</v>
      </c>
      <c r="D2595" s="79">
        <v>1</v>
      </c>
      <c r="E2595" s="79">
        <v>618.17999999999995</v>
      </c>
      <c r="F2595" s="79">
        <v>618.17999999999995</v>
      </c>
      <c r="G2595" s="445"/>
      <c r="H2595" s="178">
        <v>618.17999999999995</v>
      </c>
      <c r="I2595" s="178">
        <v>760.36</v>
      </c>
      <c r="J2595" s="70">
        <v>-142.18000000000006</v>
      </c>
      <c r="K2595" s="320"/>
      <c r="L2595" s="178">
        <v>56.41</v>
      </c>
      <c r="M2595" s="178">
        <v>561.77</v>
      </c>
      <c r="N2595" s="179">
        <v>0</v>
      </c>
      <c r="O2595" s="178">
        <v>618.17999999999995</v>
      </c>
      <c r="P2595" s="453"/>
      <c r="Q2595" s="61"/>
      <c r="R2595" s="298"/>
      <c r="S2595" s="669"/>
      <c r="T2595" s="444"/>
      <c r="U2595" s="444"/>
      <c r="V2595" s="444"/>
      <c r="W2595" s="444"/>
      <c r="X2595" s="444">
        <v>2595</v>
      </c>
      <c r="Y2595" s="444"/>
      <c r="Z2595" s="444"/>
      <c r="AA2595" s="444"/>
      <c r="AB2595" s="444"/>
      <c r="AC2595" s="444"/>
      <c r="AD2595" s="444"/>
      <c r="AE2595" s="444"/>
      <c r="AF2595" s="444"/>
    </row>
    <row r="2596" spans="1:32" ht="12">
      <c r="A2596" s="83" t="s">
        <v>22549</v>
      </c>
      <c r="B2596" s="64" t="s">
        <v>22550</v>
      </c>
      <c r="C2596" s="71" t="s">
        <v>509</v>
      </c>
      <c r="D2596" s="79">
        <v>1</v>
      </c>
      <c r="E2596" s="79">
        <v>6.12</v>
      </c>
      <c r="F2596" s="79">
        <v>6.12</v>
      </c>
      <c r="G2596" s="445"/>
      <c r="H2596" s="178">
        <v>6.1</v>
      </c>
      <c r="I2596" s="178">
        <v>7.5</v>
      </c>
      <c r="J2596" s="70">
        <v>-1.38</v>
      </c>
      <c r="K2596" s="320"/>
      <c r="L2596" s="178">
        <v>5.71</v>
      </c>
      <c r="M2596" s="178">
        <v>0.41000000000000014</v>
      </c>
      <c r="N2596" s="179">
        <v>0</v>
      </c>
      <c r="O2596" s="178">
        <v>6.12</v>
      </c>
      <c r="P2596" s="453"/>
      <c r="Q2596" s="61"/>
      <c r="R2596" s="298"/>
      <c r="S2596" s="669"/>
      <c r="U2596" s="61"/>
      <c r="V2596" s="61"/>
      <c r="W2596" s="61"/>
      <c r="X2596" s="444">
        <v>2596</v>
      </c>
      <c r="Y2596" s="61"/>
      <c r="Z2596" s="61"/>
      <c r="AA2596" s="61"/>
      <c r="AB2596" s="61"/>
      <c r="AC2596" s="61"/>
      <c r="AD2596" s="61"/>
      <c r="AE2596" s="61"/>
      <c r="AF2596" s="61"/>
    </row>
    <row r="2597" spans="1:32" ht="12">
      <c r="A2597" s="83" t="s">
        <v>22551</v>
      </c>
      <c r="B2597" s="64" t="s">
        <v>39944</v>
      </c>
      <c r="C2597" s="71" t="s">
        <v>509</v>
      </c>
      <c r="D2597" s="79">
        <v>1</v>
      </c>
      <c r="E2597" s="79">
        <v>595.59</v>
      </c>
      <c r="F2597" s="79">
        <v>595.59</v>
      </c>
      <c r="G2597" s="445"/>
      <c r="H2597" s="178">
        <v>595.59</v>
      </c>
      <c r="I2597" s="178">
        <v>732.58</v>
      </c>
      <c r="J2597" s="70">
        <v>-136.99</v>
      </c>
      <c r="K2597" s="320"/>
      <c r="L2597" s="178">
        <v>56.41</v>
      </c>
      <c r="M2597" s="178">
        <v>539.18000000000006</v>
      </c>
      <c r="N2597" s="179">
        <v>0</v>
      </c>
      <c r="O2597" s="178">
        <v>595.59</v>
      </c>
      <c r="P2597" s="453"/>
      <c r="Q2597" s="61"/>
      <c r="R2597" s="298"/>
      <c r="S2597" s="669"/>
      <c r="X2597" s="444">
        <v>2597</v>
      </c>
    </row>
    <row r="2598" spans="1:32" ht="12">
      <c r="A2598" s="83" t="s">
        <v>22552</v>
      </c>
      <c r="B2598" s="64" t="s">
        <v>39945</v>
      </c>
      <c r="C2598" s="71" t="s">
        <v>509</v>
      </c>
      <c r="D2598" s="79">
        <v>1</v>
      </c>
      <c r="E2598" s="79">
        <v>683.68000000000006</v>
      </c>
      <c r="F2598" s="79">
        <v>683.68</v>
      </c>
      <c r="G2598" s="445"/>
      <c r="H2598" s="178">
        <v>683.67</v>
      </c>
      <c r="I2598" s="178">
        <v>840.92</v>
      </c>
      <c r="J2598" s="70">
        <v>-157.2399999999999</v>
      </c>
      <c r="K2598" s="320"/>
      <c r="L2598" s="178">
        <v>56.41</v>
      </c>
      <c r="M2598" s="178">
        <v>627.2700000000001</v>
      </c>
      <c r="N2598" s="179">
        <v>0</v>
      </c>
      <c r="O2598" s="178">
        <v>683.68000000000006</v>
      </c>
      <c r="P2598" s="453"/>
      <c r="Q2598" s="61"/>
      <c r="R2598" s="298"/>
      <c r="S2598" s="669"/>
      <c r="X2598" s="444">
        <v>2598</v>
      </c>
    </row>
    <row r="2599" spans="1:32" ht="12">
      <c r="A2599" s="83" t="s">
        <v>22553</v>
      </c>
      <c r="B2599" s="64" t="s">
        <v>39946</v>
      </c>
      <c r="C2599" s="71" t="s">
        <v>509</v>
      </c>
      <c r="D2599" s="79">
        <v>1</v>
      </c>
      <c r="E2599" s="79">
        <v>599.04000000000008</v>
      </c>
      <c r="F2599" s="79">
        <v>599.04</v>
      </c>
      <c r="G2599" s="445"/>
      <c r="H2599" s="178">
        <v>599.03</v>
      </c>
      <c r="I2599" s="178">
        <v>736.81</v>
      </c>
      <c r="J2599" s="70">
        <v>-137.76999999999987</v>
      </c>
      <c r="K2599" s="320"/>
      <c r="L2599" s="178">
        <v>30.77</v>
      </c>
      <c r="M2599" s="178">
        <v>568.2700000000001</v>
      </c>
      <c r="N2599" s="179">
        <v>0</v>
      </c>
      <c r="O2599" s="178">
        <v>599.04000000000008</v>
      </c>
      <c r="P2599" s="453"/>
      <c r="Q2599" s="61"/>
      <c r="R2599" s="298"/>
      <c r="S2599" s="669"/>
      <c r="X2599" s="444">
        <v>2599</v>
      </c>
    </row>
    <row r="2600" spans="1:32">
      <c r="A2600" s="67" t="s">
        <v>29667</v>
      </c>
      <c r="B2600" s="67" t="s">
        <v>39947</v>
      </c>
      <c r="C2600" s="71" t="s">
        <v>509</v>
      </c>
      <c r="D2600" s="79">
        <v>1</v>
      </c>
      <c r="E2600" s="79">
        <v>20.52</v>
      </c>
      <c r="F2600" s="79">
        <v>20.52</v>
      </c>
      <c r="H2600" s="178">
        <v>20.51</v>
      </c>
      <c r="I2600" s="178">
        <v>25.23</v>
      </c>
      <c r="J2600" s="70">
        <v>-4.7100000000000009</v>
      </c>
      <c r="K2600" s="320"/>
      <c r="L2600" s="178">
        <v>2.11</v>
      </c>
      <c r="M2600" s="178">
        <v>18.41</v>
      </c>
      <c r="N2600" s="179">
        <v>0</v>
      </c>
      <c r="O2600" s="178">
        <v>20.52</v>
      </c>
      <c r="Q2600" s="61"/>
      <c r="R2600" s="298"/>
      <c r="S2600" s="669"/>
      <c r="X2600" s="444">
        <v>2600</v>
      </c>
    </row>
    <row r="2601" spans="1:32" ht="12">
      <c r="A2601" s="83" t="s">
        <v>22554</v>
      </c>
      <c r="B2601" s="64" t="s">
        <v>22555</v>
      </c>
      <c r="C2601" s="71" t="s">
        <v>509</v>
      </c>
      <c r="D2601" s="79">
        <v>1</v>
      </c>
      <c r="E2601" s="79">
        <v>13.26</v>
      </c>
      <c r="F2601" s="79">
        <v>13.26</v>
      </c>
      <c r="G2601" s="445"/>
      <c r="H2601" s="178">
        <v>13.25</v>
      </c>
      <c r="I2601" s="178">
        <v>16.3</v>
      </c>
      <c r="J2601" s="70">
        <v>-3.0400000000000009</v>
      </c>
      <c r="K2601" s="320"/>
      <c r="L2601" s="178">
        <v>1.58</v>
      </c>
      <c r="M2601" s="178">
        <v>11.68</v>
      </c>
      <c r="N2601" s="179">
        <v>0</v>
      </c>
      <c r="O2601" s="178">
        <v>13.26</v>
      </c>
      <c r="P2601" s="453"/>
      <c r="Q2601" s="61"/>
      <c r="R2601" s="298"/>
      <c r="S2601" s="669"/>
      <c r="X2601" s="444">
        <v>2601</v>
      </c>
    </row>
    <row r="2602" spans="1:32" ht="12">
      <c r="A2602" s="83" t="s">
        <v>22556</v>
      </c>
      <c r="B2602" s="64" t="s">
        <v>22557</v>
      </c>
      <c r="C2602" s="71" t="s">
        <v>509</v>
      </c>
      <c r="D2602" s="79">
        <v>1</v>
      </c>
      <c r="E2602" s="79">
        <v>25.700000000000003</v>
      </c>
      <c r="F2602" s="79">
        <v>25.7</v>
      </c>
      <c r="G2602" s="445"/>
      <c r="H2602" s="178">
        <v>25.69</v>
      </c>
      <c r="I2602" s="178">
        <v>31.6</v>
      </c>
      <c r="J2602" s="70">
        <v>-5.8999999999999986</v>
      </c>
      <c r="K2602" s="320"/>
      <c r="L2602" s="178">
        <v>2.11</v>
      </c>
      <c r="M2602" s="178">
        <v>23.590000000000003</v>
      </c>
      <c r="N2602" s="179">
        <v>0</v>
      </c>
      <c r="O2602" s="178">
        <v>25.700000000000003</v>
      </c>
      <c r="P2602" s="453"/>
      <c r="Q2602" s="61"/>
      <c r="R2602" s="298"/>
      <c r="S2602" s="669"/>
      <c r="X2602" s="444">
        <v>2602</v>
      </c>
    </row>
    <row r="2603" spans="1:32" ht="12">
      <c r="A2603" s="83" t="s">
        <v>22558</v>
      </c>
      <c r="B2603" s="64" t="s">
        <v>22559</v>
      </c>
      <c r="C2603" s="71" t="s">
        <v>509</v>
      </c>
      <c r="D2603" s="79">
        <v>1</v>
      </c>
      <c r="E2603" s="79">
        <v>94.12</v>
      </c>
      <c r="F2603" s="79">
        <v>94.12</v>
      </c>
      <c r="G2603" s="445"/>
      <c r="H2603" s="178">
        <v>94.11</v>
      </c>
      <c r="I2603" s="178">
        <v>115.76</v>
      </c>
      <c r="J2603" s="70">
        <v>-21.64</v>
      </c>
      <c r="K2603" s="320"/>
      <c r="L2603" s="178">
        <v>9.92</v>
      </c>
      <c r="M2603" s="178">
        <v>84.2</v>
      </c>
      <c r="N2603" s="179">
        <v>0</v>
      </c>
      <c r="O2603" s="178">
        <v>94.12</v>
      </c>
      <c r="P2603" s="453"/>
      <c r="Q2603" s="61"/>
      <c r="R2603" s="298"/>
      <c r="S2603" s="669"/>
      <c r="X2603" s="444">
        <v>2603</v>
      </c>
    </row>
    <row r="2604" spans="1:32" ht="12">
      <c r="A2604" s="83" t="s">
        <v>22560</v>
      </c>
      <c r="B2604" s="64" t="s">
        <v>22561</v>
      </c>
      <c r="C2604" s="71" t="s">
        <v>509</v>
      </c>
      <c r="D2604" s="79">
        <v>1</v>
      </c>
      <c r="E2604" s="79">
        <v>96.61</v>
      </c>
      <c r="F2604" s="79">
        <v>96.61</v>
      </c>
      <c r="G2604" s="445"/>
      <c r="H2604" s="178">
        <v>96.6</v>
      </c>
      <c r="I2604" s="178">
        <v>118.82</v>
      </c>
      <c r="J2604" s="70">
        <v>-22.209999999999994</v>
      </c>
      <c r="K2604" s="320"/>
      <c r="L2604" s="178">
        <v>10.899999999999999</v>
      </c>
      <c r="M2604" s="178">
        <v>85.710000000000008</v>
      </c>
      <c r="N2604" s="179">
        <v>0</v>
      </c>
      <c r="O2604" s="178">
        <v>96.610000000000014</v>
      </c>
      <c r="P2604" s="453"/>
      <c r="Q2604" s="61"/>
      <c r="R2604" s="298"/>
      <c r="S2604" s="669"/>
      <c r="T2604" s="69"/>
      <c r="X2604" s="444">
        <v>2604</v>
      </c>
    </row>
    <row r="2605" spans="1:32">
      <c r="A2605" s="67" t="s">
        <v>29668</v>
      </c>
      <c r="B2605" s="67" t="s">
        <v>39919</v>
      </c>
      <c r="C2605" s="71" t="s">
        <v>509</v>
      </c>
      <c r="D2605" s="79">
        <v>1</v>
      </c>
      <c r="E2605" s="79">
        <v>29.74</v>
      </c>
      <c r="F2605" s="79">
        <v>29.74</v>
      </c>
      <c r="H2605" s="178">
        <v>29.74</v>
      </c>
      <c r="I2605" s="178">
        <v>36.58</v>
      </c>
      <c r="J2605" s="70">
        <v>-6.84</v>
      </c>
      <c r="K2605" s="320"/>
      <c r="L2605" s="178">
        <v>2.11</v>
      </c>
      <c r="M2605" s="178">
        <v>27.63</v>
      </c>
      <c r="N2605" s="179">
        <v>0</v>
      </c>
      <c r="O2605" s="178">
        <v>29.74</v>
      </c>
      <c r="Q2605" s="61"/>
      <c r="R2605" s="298"/>
      <c r="S2605" s="669"/>
      <c r="X2605" s="444">
        <v>2605</v>
      </c>
    </row>
    <row r="2606" spans="1:32" s="61" customFormat="1">
      <c r="A2606" s="67" t="s">
        <v>29669</v>
      </c>
      <c r="B2606" s="67" t="s">
        <v>39922</v>
      </c>
      <c r="C2606" s="71" t="s">
        <v>509</v>
      </c>
      <c r="D2606" s="79">
        <v>1</v>
      </c>
      <c r="E2606" s="79">
        <v>48.9</v>
      </c>
      <c r="F2606" s="79">
        <v>48.9</v>
      </c>
      <c r="G2606" s="444"/>
      <c r="H2606" s="178">
        <v>48.89</v>
      </c>
      <c r="I2606" s="178">
        <v>60.14</v>
      </c>
      <c r="J2606" s="70">
        <v>-11.240000000000002</v>
      </c>
      <c r="K2606" s="320"/>
      <c r="L2606" s="178">
        <v>2.11</v>
      </c>
      <c r="M2606" s="178">
        <v>46.79</v>
      </c>
      <c r="N2606" s="179">
        <v>0</v>
      </c>
      <c r="O2606" s="178">
        <v>48.9</v>
      </c>
      <c r="P2606" s="444"/>
      <c r="R2606" s="298"/>
      <c r="S2606" s="669"/>
      <c r="T2606" s="444"/>
      <c r="U2606" s="444"/>
      <c r="V2606" s="444"/>
      <c r="W2606" s="444"/>
      <c r="X2606" s="444">
        <v>2606</v>
      </c>
      <c r="Y2606" s="444"/>
      <c r="Z2606" s="444"/>
      <c r="AA2606" s="444"/>
      <c r="AB2606" s="444"/>
      <c r="AC2606" s="444"/>
      <c r="AD2606" s="444"/>
      <c r="AE2606" s="444"/>
      <c r="AF2606" s="444"/>
    </row>
    <row r="2607" spans="1:32" ht="12">
      <c r="A2607" s="83" t="s">
        <v>22562</v>
      </c>
      <c r="B2607" s="64" t="s">
        <v>22563</v>
      </c>
      <c r="C2607" s="71" t="s">
        <v>165</v>
      </c>
      <c r="D2607" s="79">
        <v>1</v>
      </c>
      <c r="E2607" s="79">
        <v>72.2</v>
      </c>
      <c r="F2607" s="79">
        <v>72.2</v>
      </c>
      <c r="G2607" s="445"/>
      <c r="H2607" s="178">
        <v>72.2</v>
      </c>
      <c r="I2607" s="178">
        <v>88.81</v>
      </c>
      <c r="J2607" s="70">
        <v>-16.61</v>
      </c>
      <c r="K2607" s="320"/>
      <c r="L2607" s="178">
        <v>26.04</v>
      </c>
      <c r="M2607" s="178">
        <v>46.160000000000004</v>
      </c>
      <c r="N2607" s="179">
        <v>0</v>
      </c>
      <c r="O2607" s="178">
        <v>72.2</v>
      </c>
      <c r="P2607" s="453"/>
      <c r="Q2607" s="61"/>
      <c r="R2607" s="298"/>
      <c r="S2607" s="669"/>
      <c r="T2607" s="69"/>
      <c r="X2607" s="444">
        <v>2607</v>
      </c>
    </row>
    <row r="2608" spans="1:32" ht="12">
      <c r="A2608" s="83" t="s">
        <v>22564</v>
      </c>
      <c r="B2608" s="64" t="s">
        <v>22565</v>
      </c>
      <c r="C2608" s="71" t="s">
        <v>165</v>
      </c>
      <c r="D2608" s="79">
        <v>1</v>
      </c>
      <c r="E2608" s="79">
        <v>152.38</v>
      </c>
      <c r="F2608" s="79">
        <v>152.38</v>
      </c>
      <c r="G2608" s="445"/>
      <c r="H2608" s="178">
        <v>152.37</v>
      </c>
      <c r="I2608" s="178">
        <v>187.42</v>
      </c>
      <c r="J2608" s="70">
        <v>-35.039999999999992</v>
      </c>
      <c r="K2608" s="320"/>
      <c r="L2608" s="178">
        <v>15.78</v>
      </c>
      <c r="M2608" s="178">
        <v>136.6</v>
      </c>
      <c r="N2608" s="179">
        <v>0</v>
      </c>
      <c r="O2608" s="178">
        <v>152.38</v>
      </c>
      <c r="P2608" s="453"/>
      <c r="Q2608" s="61"/>
      <c r="R2608" s="298"/>
      <c r="S2608" s="669"/>
      <c r="T2608" s="69"/>
      <c r="X2608" s="444">
        <v>2608</v>
      </c>
    </row>
    <row r="2609" spans="1:32" ht="12">
      <c r="A2609" s="83" t="s">
        <v>22566</v>
      </c>
      <c r="B2609" s="64" t="s">
        <v>22567</v>
      </c>
      <c r="C2609" s="71" t="s">
        <v>165</v>
      </c>
      <c r="D2609" s="79">
        <v>1</v>
      </c>
      <c r="E2609" s="79">
        <v>7.84</v>
      </c>
      <c r="F2609" s="79">
        <v>7.84</v>
      </c>
      <c r="G2609" s="445"/>
      <c r="H2609" s="178">
        <v>7.85</v>
      </c>
      <c r="I2609" s="178">
        <v>9.66</v>
      </c>
      <c r="J2609" s="70">
        <v>-1.8200000000000003</v>
      </c>
      <c r="K2609" s="320"/>
      <c r="L2609" s="178">
        <v>4.26</v>
      </c>
      <c r="M2609" s="178">
        <v>3.58</v>
      </c>
      <c r="N2609" s="179">
        <v>0</v>
      </c>
      <c r="O2609" s="178">
        <v>7.84</v>
      </c>
      <c r="P2609" s="453"/>
      <c r="Q2609" s="61"/>
      <c r="R2609" s="298"/>
      <c r="S2609" s="669"/>
      <c r="T2609" s="69"/>
      <c r="X2609" s="444">
        <v>2609</v>
      </c>
    </row>
    <row r="2610" spans="1:32" ht="12">
      <c r="A2610" s="83" t="s">
        <v>22568</v>
      </c>
      <c r="B2610" s="64" t="s">
        <v>22569</v>
      </c>
      <c r="C2610" s="71" t="s">
        <v>165</v>
      </c>
      <c r="D2610" s="79">
        <v>1</v>
      </c>
      <c r="E2610" s="79">
        <v>33.39</v>
      </c>
      <c r="F2610" s="79">
        <v>33.39</v>
      </c>
      <c r="G2610" s="445"/>
      <c r="H2610" s="178">
        <v>33.39</v>
      </c>
      <c r="I2610" s="178">
        <v>41.07</v>
      </c>
      <c r="J2610" s="70">
        <v>-7.68</v>
      </c>
      <c r="K2610" s="320"/>
      <c r="L2610" s="178">
        <v>13.100000000000001</v>
      </c>
      <c r="M2610" s="178">
        <v>20.29</v>
      </c>
      <c r="N2610" s="179">
        <v>0</v>
      </c>
      <c r="O2610" s="178">
        <v>33.39</v>
      </c>
      <c r="P2610" s="453"/>
      <c r="Q2610" s="61"/>
      <c r="R2610" s="298"/>
      <c r="S2610" s="669"/>
      <c r="T2610" s="69"/>
      <c r="X2610" s="444">
        <v>2610</v>
      </c>
    </row>
    <row r="2611" spans="1:32" ht="12">
      <c r="A2611" s="83" t="s">
        <v>22570</v>
      </c>
      <c r="B2611" s="64" t="s">
        <v>22571</v>
      </c>
      <c r="C2611" s="71" t="s">
        <v>165</v>
      </c>
      <c r="D2611" s="79">
        <v>1</v>
      </c>
      <c r="E2611" s="79">
        <v>55.65</v>
      </c>
      <c r="F2611" s="79">
        <v>55.65</v>
      </c>
      <c r="G2611" s="445"/>
      <c r="H2611" s="178">
        <v>55.64</v>
      </c>
      <c r="I2611" s="178">
        <v>68.44</v>
      </c>
      <c r="J2611" s="70">
        <v>-12.79</v>
      </c>
      <c r="K2611" s="320"/>
      <c r="L2611" s="178"/>
      <c r="M2611" s="178">
        <v>55.65</v>
      </c>
      <c r="N2611" s="179">
        <v>0</v>
      </c>
      <c r="O2611" s="178">
        <v>55.65</v>
      </c>
      <c r="P2611" s="453"/>
      <c r="Q2611" s="61"/>
      <c r="R2611" s="298"/>
      <c r="S2611" s="669"/>
      <c r="T2611" s="69"/>
      <c r="X2611" s="444">
        <v>2611</v>
      </c>
    </row>
    <row r="2612" spans="1:32" ht="12">
      <c r="A2612" s="83" t="s">
        <v>22572</v>
      </c>
      <c r="B2612" s="64" t="s">
        <v>22573</v>
      </c>
      <c r="C2612" s="71" t="s">
        <v>165</v>
      </c>
      <c r="D2612" s="79">
        <v>1</v>
      </c>
      <c r="E2612" s="79">
        <v>110.60000000000001</v>
      </c>
      <c r="F2612" s="79">
        <v>110.6</v>
      </c>
      <c r="G2612" s="445"/>
      <c r="H2612" s="178">
        <v>110.59</v>
      </c>
      <c r="I2612" s="178">
        <v>136.03</v>
      </c>
      <c r="J2612" s="70">
        <v>-25.429999999999993</v>
      </c>
      <c r="K2612" s="320"/>
      <c r="L2612" s="178">
        <v>50.370000000000005</v>
      </c>
      <c r="M2612" s="178">
        <v>60.230000000000004</v>
      </c>
      <c r="N2612" s="179">
        <v>0</v>
      </c>
      <c r="O2612" s="178">
        <v>110.60000000000001</v>
      </c>
      <c r="P2612" s="453"/>
      <c r="Q2612" s="61"/>
      <c r="R2612" s="298"/>
      <c r="S2612" s="669"/>
      <c r="T2612" s="69"/>
      <c r="X2612" s="444">
        <v>2612</v>
      </c>
    </row>
    <row r="2613" spans="1:32" ht="12">
      <c r="A2613" s="83" t="s">
        <v>22574</v>
      </c>
      <c r="B2613" s="64" t="s">
        <v>22575</v>
      </c>
      <c r="C2613" s="71" t="s">
        <v>165</v>
      </c>
      <c r="D2613" s="79">
        <v>1</v>
      </c>
      <c r="E2613" s="79">
        <v>400.56</v>
      </c>
      <c r="F2613" s="79">
        <v>400.56</v>
      </c>
      <c r="G2613" s="445"/>
      <c r="H2613" s="178">
        <v>400.56</v>
      </c>
      <c r="I2613" s="178">
        <v>492.69</v>
      </c>
      <c r="J2613" s="70">
        <v>-92.13</v>
      </c>
      <c r="K2613" s="320"/>
      <c r="L2613" s="178">
        <v>34.9</v>
      </c>
      <c r="M2613" s="178">
        <v>365.66</v>
      </c>
      <c r="N2613" s="179">
        <v>0</v>
      </c>
      <c r="O2613" s="178">
        <v>400.56</v>
      </c>
      <c r="P2613" s="453"/>
      <c r="Q2613" s="61"/>
      <c r="R2613" s="298"/>
      <c r="S2613" s="669"/>
      <c r="T2613" s="69"/>
      <c r="U2613" s="73"/>
      <c r="V2613" s="73"/>
      <c r="W2613" s="73"/>
      <c r="X2613" s="444">
        <v>2613</v>
      </c>
      <c r="Y2613" s="73"/>
      <c r="Z2613" s="73"/>
      <c r="AA2613" s="73"/>
      <c r="AB2613" s="73"/>
      <c r="AC2613" s="73"/>
      <c r="AD2613" s="73"/>
      <c r="AE2613" s="73"/>
      <c r="AF2613" s="73"/>
    </row>
    <row r="2614" spans="1:32" ht="12">
      <c r="A2614" s="83" t="s">
        <v>22576</v>
      </c>
      <c r="B2614" s="64" t="s">
        <v>22577</v>
      </c>
      <c r="C2614" s="71" t="s">
        <v>165</v>
      </c>
      <c r="D2614" s="79">
        <v>1</v>
      </c>
      <c r="E2614" s="79">
        <v>159.44</v>
      </c>
      <c r="F2614" s="79">
        <v>159.44</v>
      </c>
      <c r="G2614" s="445"/>
      <c r="H2614" s="178">
        <v>159.44</v>
      </c>
      <c r="I2614" s="178">
        <v>196.11</v>
      </c>
      <c r="J2614" s="70">
        <v>-36.670000000000016</v>
      </c>
      <c r="K2614" s="320"/>
      <c r="L2614" s="178"/>
      <c r="M2614" s="178">
        <v>159.44</v>
      </c>
      <c r="N2614" s="179">
        <v>0</v>
      </c>
      <c r="O2614" s="178">
        <v>159.44</v>
      </c>
      <c r="P2614" s="453"/>
      <c r="Q2614" s="61"/>
      <c r="R2614" s="298"/>
      <c r="S2614" s="669"/>
      <c r="T2614" s="69"/>
      <c r="U2614" s="73"/>
      <c r="V2614" s="73"/>
      <c r="W2614" s="73"/>
      <c r="X2614" s="444">
        <v>2614</v>
      </c>
      <c r="Y2614" s="73"/>
      <c r="Z2614" s="73"/>
      <c r="AA2614" s="73"/>
      <c r="AB2614" s="73"/>
      <c r="AC2614" s="73"/>
      <c r="AD2614" s="73"/>
      <c r="AE2614" s="73"/>
      <c r="AF2614" s="73"/>
    </row>
    <row r="2615" spans="1:32" ht="12">
      <c r="A2615" s="83" t="s">
        <v>22578</v>
      </c>
      <c r="B2615" s="64" t="s">
        <v>22579</v>
      </c>
      <c r="C2615" s="71" t="s">
        <v>165</v>
      </c>
      <c r="D2615" s="79">
        <v>1</v>
      </c>
      <c r="E2615" s="79">
        <v>27.45</v>
      </c>
      <c r="F2615" s="79">
        <v>27.45</v>
      </c>
      <c r="G2615" s="445"/>
      <c r="H2615" s="178">
        <v>27.45</v>
      </c>
      <c r="I2615" s="178">
        <v>33.76</v>
      </c>
      <c r="J2615" s="70">
        <v>-6.3099999999999987</v>
      </c>
      <c r="K2615" s="320"/>
      <c r="L2615" s="178"/>
      <c r="M2615" s="178">
        <v>27.45</v>
      </c>
      <c r="N2615" s="179">
        <v>0</v>
      </c>
      <c r="O2615" s="178">
        <v>27.45</v>
      </c>
      <c r="P2615" s="453"/>
      <c r="Q2615" s="61"/>
      <c r="R2615" s="298"/>
      <c r="S2615" s="669"/>
      <c r="T2615" s="69"/>
      <c r="X2615" s="444">
        <v>2615</v>
      </c>
    </row>
    <row r="2616" spans="1:32" ht="12">
      <c r="A2616" s="83" t="s">
        <v>22580</v>
      </c>
      <c r="B2616" s="64" t="s">
        <v>22581</v>
      </c>
      <c r="C2616" s="71" t="s">
        <v>509</v>
      </c>
      <c r="D2616" s="79">
        <v>1</v>
      </c>
      <c r="E2616" s="79">
        <v>132.39999999999998</v>
      </c>
      <c r="F2616" s="79">
        <v>132.4</v>
      </c>
      <c r="G2616" s="445"/>
      <c r="H2616" s="178">
        <v>132.38999999999999</v>
      </c>
      <c r="I2616" s="178">
        <v>162.84</v>
      </c>
      <c r="J2616" s="70">
        <v>-30.440000000000026</v>
      </c>
      <c r="K2616" s="320"/>
      <c r="L2616" s="178"/>
      <c r="M2616" s="178">
        <v>132.39999999999998</v>
      </c>
      <c r="N2616" s="179">
        <v>0</v>
      </c>
      <c r="O2616" s="178">
        <v>132.39999999999998</v>
      </c>
      <c r="P2616" s="453"/>
      <c r="Q2616" s="61"/>
      <c r="R2616" s="298"/>
      <c r="S2616" s="669"/>
      <c r="T2616" s="69"/>
      <c r="X2616" s="444">
        <v>2616</v>
      </c>
    </row>
    <row r="2617" spans="1:32" ht="12">
      <c r="A2617" s="83" t="s">
        <v>22582</v>
      </c>
      <c r="B2617" s="64" t="s">
        <v>22583</v>
      </c>
      <c r="C2617" s="71" t="s">
        <v>121</v>
      </c>
      <c r="D2617" s="79">
        <v>1</v>
      </c>
      <c r="E2617" s="79">
        <v>691.12</v>
      </c>
      <c r="F2617" s="79">
        <v>691.12</v>
      </c>
      <c r="G2617" s="445"/>
      <c r="H2617" s="178">
        <v>691.12</v>
      </c>
      <c r="I2617" s="178">
        <v>850.08</v>
      </c>
      <c r="J2617" s="70">
        <v>-158.96000000000004</v>
      </c>
      <c r="K2617" s="320"/>
      <c r="L2617" s="178">
        <v>27.79</v>
      </c>
      <c r="M2617" s="178">
        <v>663.33</v>
      </c>
      <c r="N2617" s="179">
        <v>0</v>
      </c>
      <c r="O2617" s="178">
        <v>691.12</v>
      </c>
      <c r="P2617" s="453"/>
      <c r="Q2617" s="61"/>
      <c r="R2617" s="298"/>
      <c r="S2617" s="669"/>
      <c r="T2617" s="69"/>
      <c r="X2617" s="444">
        <v>2617</v>
      </c>
    </row>
    <row r="2618" spans="1:32" ht="12">
      <c r="A2618" s="83" t="s">
        <v>22584</v>
      </c>
      <c r="B2618" s="64" t="s">
        <v>22585</v>
      </c>
      <c r="C2618" s="71" t="s">
        <v>10216</v>
      </c>
      <c r="D2618" s="79">
        <v>1</v>
      </c>
      <c r="E2618" s="79">
        <v>577.26</v>
      </c>
      <c r="F2618" s="79">
        <v>577.26</v>
      </c>
      <c r="G2618" s="445"/>
      <c r="H2618" s="178">
        <v>577.25</v>
      </c>
      <c r="I2618" s="178">
        <v>710.02</v>
      </c>
      <c r="J2618" s="70">
        <v>-132.76</v>
      </c>
      <c r="K2618" s="320"/>
      <c r="L2618" s="178"/>
      <c r="M2618" s="178">
        <v>577.26</v>
      </c>
      <c r="N2618" s="179">
        <v>0</v>
      </c>
      <c r="O2618" s="178">
        <v>577.26</v>
      </c>
      <c r="P2618" s="453"/>
      <c r="Q2618" s="61"/>
      <c r="R2618" s="298"/>
      <c r="S2618" s="669"/>
      <c r="T2618" s="69"/>
      <c r="X2618" s="444">
        <v>2618</v>
      </c>
    </row>
    <row r="2619" spans="1:32" ht="12">
      <c r="A2619" s="83" t="s">
        <v>39948</v>
      </c>
      <c r="B2619" s="64" t="s">
        <v>31171</v>
      </c>
      <c r="C2619" s="71"/>
      <c r="D2619" s="79" t="s">
        <v>40899</v>
      </c>
      <c r="E2619" s="79" t="s">
        <v>40899</v>
      </c>
      <c r="F2619" s="79"/>
      <c r="G2619" s="445"/>
      <c r="H2619" s="178"/>
      <c r="I2619" s="178"/>
      <c r="J2619" s="70"/>
      <c r="K2619" s="320"/>
      <c r="L2619" s="178"/>
      <c r="M2619" s="178"/>
      <c r="N2619" s="179"/>
      <c r="O2619" s="178"/>
      <c r="P2619" s="453"/>
      <c r="Q2619" s="61"/>
      <c r="R2619" s="298"/>
      <c r="S2619" s="669"/>
      <c r="X2619" s="444">
        <v>2619</v>
      </c>
    </row>
    <row r="2620" spans="1:32" ht="12">
      <c r="A2620" s="83" t="s">
        <v>11959</v>
      </c>
      <c r="B2620" s="64" t="s">
        <v>31171</v>
      </c>
      <c r="C2620" s="71"/>
      <c r="D2620" s="79" t="s">
        <v>40899</v>
      </c>
      <c r="E2620" s="79" t="s">
        <v>40899</v>
      </c>
      <c r="F2620" s="79"/>
      <c r="G2620" s="445"/>
      <c r="H2620" s="178"/>
      <c r="I2620" s="178"/>
      <c r="J2620" s="70"/>
      <c r="K2620" s="320"/>
      <c r="L2620" s="178"/>
      <c r="M2620" s="178"/>
      <c r="N2620" s="179"/>
      <c r="O2620" s="178"/>
      <c r="P2620" s="453"/>
      <c r="Q2620" s="61"/>
      <c r="R2620" s="298"/>
      <c r="S2620" s="669"/>
      <c r="X2620" s="444">
        <v>2620</v>
      </c>
    </row>
    <row r="2621" spans="1:32" ht="12">
      <c r="A2621" s="83" t="s">
        <v>22586</v>
      </c>
      <c r="B2621" s="64" t="s">
        <v>22587</v>
      </c>
      <c r="C2621" s="71" t="s">
        <v>509</v>
      </c>
      <c r="D2621" s="79">
        <v>1</v>
      </c>
      <c r="E2621" s="79">
        <v>122.07</v>
      </c>
      <c r="F2621" s="79">
        <v>122.07</v>
      </c>
      <c r="G2621" s="445"/>
      <c r="H2621" s="178">
        <v>122.07</v>
      </c>
      <c r="I2621" s="178">
        <v>150.13999999999999</v>
      </c>
      <c r="J2621" s="70">
        <v>-28.069999999999993</v>
      </c>
      <c r="K2621" s="320"/>
      <c r="L2621" s="178">
        <v>27.73</v>
      </c>
      <c r="M2621" s="178">
        <v>94.339999999999989</v>
      </c>
      <c r="N2621" s="179">
        <v>0</v>
      </c>
      <c r="O2621" s="178">
        <v>122.07</v>
      </c>
      <c r="P2621" s="453"/>
      <c r="Q2621" s="61"/>
      <c r="R2621" s="298"/>
      <c r="S2621" s="669"/>
      <c r="X2621" s="444">
        <v>2621</v>
      </c>
    </row>
    <row r="2622" spans="1:32" s="69" customFormat="1" ht="12">
      <c r="A2622" s="83" t="s">
        <v>22588</v>
      </c>
      <c r="B2622" s="64" t="s">
        <v>22589</v>
      </c>
      <c r="C2622" s="71" t="s">
        <v>509</v>
      </c>
      <c r="D2622" s="79">
        <v>1</v>
      </c>
      <c r="E2622" s="79">
        <v>155.32999999999998</v>
      </c>
      <c r="F2622" s="79">
        <v>155.33000000000001</v>
      </c>
      <c r="G2622" s="445"/>
      <c r="H2622" s="178">
        <v>155.33000000000001</v>
      </c>
      <c r="I2622" s="178">
        <v>191.05</v>
      </c>
      <c r="J2622" s="70">
        <v>-35.720000000000027</v>
      </c>
      <c r="K2622" s="320"/>
      <c r="L2622" s="178">
        <v>27.73</v>
      </c>
      <c r="M2622" s="178">
        <v>127.59999999999998</v>
      </c>
      <c r="N2622" s="179">
        <v>0</v>
      </c>
      <c r="O2622" s="178">
        <v>155.32999999999998</v>
      </c>
      <c r="P2622" s="453"/>
      <c r="Q2622" s="61"/>
      <c r="R2622" s="298"/>
      <c r="S2622" s="669"/>
      <c r="T2622" s="444"/>
      <c r="U2622" s="444"/>
      <c r="V2622" s="444"/>
      <c r="W2622" s="444"/>
      <c r="X2622" s="444">
        <v>2622</v>
      </c>
      <c r="Y2622" s="444"/>
      <c r="Z2622" s="444"/>
      <c r="AA2622" s="444"/>
      <c r="AB2622" s="444"/>
      <c r="AC2622" s="444"/>
      <c r="AD2622" s="444"/>
      <c r="AE2622" s="444"/>
      <c r="AF2622" s="444"/>
    </row>
    <row r="2623" spans="1:32" ht="12">
      <c r="A2623" s="83" t="s">
        <v>22590</v>
      </c>
      <c r="B2623" s="64" t="s">
        <v>22591</v>
      </c>
      <c r="C2623" s="71" t="s">
        <v>509</v>
      </c>
      <c r="D2623" s="79">
        <v>1</v>
      </c>
      <c r="E2623" s="79">
        <v>169.03</v>
      </c>
      <c r="F2623" s="79">
        <v>169.03</v>
      </c>
      <c r="G2623" s="445"/>
      <c r="H2623" s="178">
        <v>169.02</v>
      </c>
      <c r="I2623" s="178">
        <v>207.9</v>
      </c>
      <c r="J2623" s="70">
        <v>-38.870000000000005</v>
      </c>
      <c r="K2623" s="320"/>
      <c r="L2623" s="178">
        <v>30.5</v>
      </c>
      <c r="M2623" s="178">
        <v>138.53</v>
      </c>
      <c r="N2623" s="179">
        <v>0</v>
      </c>
      <c r="O2623" s="178">
        <v>169.03</v>
      </c>
      <c r="P2623" s="453"/>
      <c r="Q2623" s="61"/>
      <c r="R2623" s="298"/>
      <c r="S2623" s="669"/>
      <c r="X2623" s="444">
        <v>2623</v>
      </c>
    </row>
    <row r="2624" spans="1:32" ht="12">
      <c r="A2624" s="83" t="s">
        <v>22592</v>
      </c>
      <c r="B2624" s="64" t="s">
        <v>22593</v>
      </c>
      <c r="C2624" s="71" t="s">
        <v>509</v>
      </c>
      <c r="D2624" s="79">
        <v>1</v>
      </c>
      <c r="E2624" s="79">
        <v>172.82</v>
      </c>
      <c r="F2624" s="79">
        <v>172.82</v>
      </c>
      <c r="G2624" s="445"/>
      <c r="H2624" s="178">
        <v>172.81</v>
      </c>
      <c r="I2624" s="178">
        <v>212.56</v>
      </c>
      <c r="J2624" s="70">
        <v>-39.740000000000009</v>
      </c>
      <c r="K2624" s="320"/>
      <c r="L2624" s="178">
        <v>30.5</v>
      </c>
      <c r="M2624" s="178">
        <v>142.32</v>
      </c>
      <c r="N2624" s="179">
        <v>0</v>
      </c>
      <c r="O2624" s="178">
        <v>172.82</v>
      </c>
      <c r="P2624" s="453"/>
      <c r="Q2624" s="61"/>
      <c r="R2624" s="298"/>
      <c r="S2624" s="669"/>
      <c r="X2624" s="444">
        <v>2624</v>
      </c>
    </row>
    <row r="2625" spans="1:24" ht="12">
      <c r="A2625" s="83" t="s">
        <v>22594</v>
      </c>
      <c r="B2625" s="64" t="s">
        <v>22595</v>
      </c>
      <c r="C2625" s="71" t="s">
        <v>509</v>
      </c>
      <c r="D2625" s="79">
        <v>1</v>
      </c>
      <c r="E2625" s="79">
        <v>255.63</v>
      </c>
      <c r="F2625" s="79">
        <v>255.63</v>
      </c>
      <c r="G2625" s="445"/>
      <c r="H2625" s="178">
        <v>255.62</v>
      </c>
      <c r="I2625" s="178">
        <v>314.41000000000003</v>
      </c>
      <c r="J2625" s="70">
        <v>-58.78000000000003</v>
      </c>
      <c r="K2625" s="320"/>
      <c r="L2625" s="178">
        <v>55.46</v>
      </c>
      <c r="M2625" s="178">
        <v>200.17</v>
      </c>
      <c r="N2625" s="179">
        <v>0</v>
      </c>
      <c r="O2625" s="178">
        <v>255.63</v>
      </c>
      <c r="P2625" s="453"/>
      <c r="Q2625" s="61"/>
      <c r="R2625" s="298"/>
      <c r="S2625" s="669"/>
      <c r="X2625" s="444">
        <v>2625</v>
      </c>
    </row>
    <row r="2626" spans="1:24" ht="12">
      <c r="A2626" s="83" t="s">
        <v>22596</v>
      </c>
      <c r="B2626" s="64" t="s">
        <v>22597</v>
      </c>
      <c r="C2626" s="71" t="s">
        <v>509</v>
      </c>
      <c r="D2626" s="79">
        <v>1</v>
      </c>
      <c r="E2626" s="79">
        <v>185.49</v>
      </c>
      <c r="F2626" s="79">
        <v>185.49</v>
      </c>
      <c r="G2626" s="445"/>
      <c r="H2626" s="178">
        <v>185.48</v>
      </c>
      <c r="I2626" s="178">
        <v>228.14</v>
      </c>
      <c r="J2626" s="70">
        <v>-42.649999999999977</v>
      </c>
      <c r="K2626" s="320"/>
      <c r="L2626" s="178">
        <v>27.73</v>
      </c>
      <c r="M2626" s="178">
        <v>157.76000000000002</v>
      </c>
      <c r="N2626" s="179">
        <v>0</v>
      </c>
      <c r="O2626" s="178">
        <v>185.49</v>
      </c>
      <c r="P2626" s="453"/>
      <c r="Q2626" s="61"/>
      <c r="R2626" s="298"/>
      <c r="S2626" s="669"/>
      <c r="X2626" s="444">
        <v>2626</v>
      </c>
    </row>
    <row r="2627" spans="1:24" ht="12">
      <c r="A2627" s="83" t="s">
        <v>22598</v>
      </c>
      <c r="B2627" s="64" t="s">
        <v>22599</v>
      </c>
      <c r="C2627" s="71" t="s">
        <v>509</v>
      </c>
      <c r="D2627" s="79">
        <v>1</v>
      </c>
      <c r="E2627" s="79">
        <v>571.09</v>
      </c>
      <c r="F2627" s="79">
        <v>571.09</v>
      </c>
      <c r="G2627" s="445"/>
      <c r="H2627" s="178">
        <v>571.08000000000004</v>
      </c>
      <c r="I2627" s="178">
        <v>702.43</v>
      </c>
      <c r="J2627" s="70">
        <v>-131.33999999999992</v>
      </c>
      <c r="K2627" s="320"/>
      <c r="L2627" s="178">
        <v>41.599999999999994</v>
      </c>
      <c r="M2627" s="178">
        <v>529.49</v>
      </c>
      <c r="N2627" s="179">
        <v>0</v>
      </c>
      <c r="O2627" s="178">
        <v>571.09</v>
      </c>
      <c r="P2627" s="453"/>
      <c r="Q2627" s="61"/>
      <c r="R2627" s="298"/>
      <c r="S2627" s="669"/>
      <c r="X2627" s="444">
        <v>2627</v>
      </c>
    </row>
    <row r="2628" spans="1:24" ht="12">
      <c r="A2628" s="83" t="s">
        <v>11965</v>
      </c>
      <c r="B2628" s="64" t="s">
        <v>22600</v>
      </c>
      <c r="C2628" s="71" t="s">
        <v>509</v>
      </c>
      <c r="D2628" s="79">
        <v>1</v>
      </c>
      <c r="E2628" s="79">
        <v>1716.39</v>
      </c>
      <c r="F2628" s="79">
        <v>1716.39</v>
      </c>
      <c r="G2628" s="445"/>
      <c r="H2628" s="178">
        <v>1716.38</v>
      </c>
      <c r="I2628" s="178">
        <v>2111.15</v>
      </c>
      <c r="J2628" s="70">
        <v>-394.76</v>
      </c>
      <c r="K2628" s="320"/>
      <c r="L2628" s="178"/>
      <c r="M2628" s="178">
        <v>1716.39</v>
      </c>
      <c r="N2628" s="179">
        <v>0</v>
      </c>
      <c r="O2628" s="178">
        <v>1716.39</v>
      </c>
      <c r="P2628" s="453"/>
      <c r="Q2628" s="61"/>
      <c r="R2628" s="298"/>
      <c r="S2628" s="669"/>
      <c r="X2628" s="444">
        <v>2628</v>
      </c>
    </row>
    <row r="2629" spans="1:24" ht="24">
      <c r="A2629" s="83" t="s">
        <v>22601</v>
      </c>
      <c r="B2629" s="64" t="s">
        <v>39949</v>
      </c>
      <c r="C2629" s="71" t="s">
        <v>509</v>
      </c>
      <c r="D2629" s="79">
        <v>1</v>
      </c>
      <c r="E2629" s="79">
        <v>225.69</v>
      </c>
      <c r="F2629" s="79">
        <v>225.69</v>
      </c>
      <c r="G2629" s="445"/>
      <c r="H2629" s="178">
        <v>225.69</v>
      </c>
      <c r="I2629" s="178">
        <v>277.60000000000002</v>
      </c>
      <c r="J2629" s="70">
        <v>-51.910000000000025</v>
      </c>
      <c r="K2629" s="320"/>
      <c r="L2629" s="178"/>
      <c r="M2629" s="178">
        <v>225.69</v>
      </c>
      <c r="N2629" s="179">
        <v>0</v>
      </c>
      <c r="O2629" s="178">
        <v>225.69</v>
      </c>
      <c r="P2629" s="453"/>
      <c r="Q2629" s="61"/>
      <c r="R2629" s="298"/>
      <c r="S2629" s="669"/>
      <c r="X2629" s="444">
        <v>2629</v>
      </c>
    </row>
    <row r="2630" spans="1:24" ht="24">
      <c r="A2630" s="83" t="s">
        <v>22602</v>
      </c>
      <c r="B2630" s="64" t="s">
        <v>39950</v>
      </c>
      <c r="C2630" s="71" t="s">
        <v>509</v>
      </c>
      <c r="D2630" s="79">
        <v>1</v>
      </c>
      <c r="E2630" s="79">
        <v>146.84</v>
      </c>
      <c r="F2630" s="79">
        <v>146.84</v>
      </c>
      <c r="G2630" s="445"/>
      <c r="H2630" s="178">
        <v>146.85</v>
      </c>
      <c r="I2630" s="178">
        <v>180.62</v>
      </c>
      <c r="J2630" s="70">
        <v>-33.78</v>
      </c>
      <c r="K2630" s="320"/>
      <c r="L2630" s="178"/>
      <c r="M2630" s="178">
        <v>146.84</v>
      </c>
      <c r="N2630" s="179">
        <v>0</v>
      </c>
      <c r="O2630" s="178">
        <v>146.84</v>
      </c>
      <c r="P2630" s="453"/>
      <c r="Q2630" s="61"/>
      <c r="R2630" s="298"/>
      <c r="S2630" s="669"/>
      <c r="X2630" s="444">
        <v>2630</v>
      </c>
    </row>
    <row r="2631" spans="1:24" ht="12">
      <c r="A2631" s="83" t="s">
        <v>39951</v>
      </c>
      <c r="B2631" s="64" t="s">
        <v>39952</v>
      </c>
      <c r="C2631" s="71" t="s">
        <v>509</v>
      </c>
      <c r="D2631" s="79">
        <v>1</v>
      </c>
      <c r="E2631" s="79">
        <v>504.42</v>
      </c>
      <c r="F2631" s="79">
        <v>504.42</v>
      </c>
      <c r="G2631" s="445"/>
      <c r="H2631" s="178">
        <v>504.41</v>
      </c>
      <c r="I2631" s="178">
        <v>620.42999999999995</v>
      </c>
      <c r="J2631" s="70">
        <v>-116.00999999999993</v>
      </c>
      <c r="K2631" s="320"/>
      <c r="L2631" s="178"/>
      <c r="M2631" s="178">
        <v>357.58000000000004</v>
      </c>
      <c r="N2631" s="179">
        <v>146.84</v>
      </c>
      <c r="O2631" s="178">
        <v>504.42000000000007</v>
      </c>
      <c r="P2631" s="453"/>
      <c r="Q2631" s="61"/>
      <c r="R2631" s="298"/>
      <c r="S2631" s="669"/>
      <c r="X2631" s="444">
        <v>2631</v>
      </c>
    </row>
    <row r="2632" spans="1:24" ht="12">
      <c r="A2632" s="83" t="s">
        <v>22603</v>
      </c>
      <c r="B2632" s="64" t="s">
        <v>22604</v>
      </c>
      <c r="C2632" s="71" t="s">
        <v>10216</v>
      </c>
      <c r="D2632" s="79">
        <v>1</v>
      </c>
      <c r="E2632" s="79">
        <v>577.26</v>
      </c>
      <c r="F2632" s="79">
        <v>577.26</v>
      </c>
      <c r="G2632" s="445"/>
      <c r="H2632" s="178">
        <v>577.25</v>
      </c>
      <c r="I2632" s="178">
        <v>710.02</v>
      </c>
      <c r="J2632" s="70">
        <v>-132.76</v>
      </c>
      <c r="K2632" s="320"/>
      <c r="L2632" s="178"/>
      <c r="M2632" s="178">
        <v>577.26</v>
      </c>
      <c r="N2632" s="179">
        <v>0</v>
      </c>
      <c r="O2632" s="178">
        <v>577.26</v>
      </c>
      <c r="P2632" s="453"/>
      <c r="Q2632" s="61"/>
      <c r="R2632" s="298"/>
      <c r="S2632" s="669"/>
      <c r="X2632" s="444">
        <v>2632</v>
      </c>
    </row>
    <row r="2633" spans="1:24" ht="12">
      <c r="A2633" s="83" t="s">
        <v>11967</v>
      </c>
      <c r="B2633" s="64" t="s">
        <v>39953</v>
      </c>
      <c r="C2633" s="71"/>
      <c r="D2633" s="79" t="s">
        <v>40899</v>
      </c>
      <c r="E2633" s="79" t="s">
        <v>40899</v>
      </c>
      <c r="F2633" s="79"/>
      <c r="G2633" s="445"/>
      <c r="H2633" s="178"/>
      <c r="I2633" s="178"/>
      <c r="J2633" s="70"/>
      <c r="K2633" s="320"/>
      <c r="L2633" s="178"/>
      <c r="M2633" s="178"/>
      <c r="N2633" s="179"/>
      <c r="O2633" s="178"/>
      <c r="P2633" s="453"/>
      <c r="Q2633" s="61"/>
      <c r="R2633" s="298"/>
      <c r="S2633" s="669"/>
      <c r="X2633" s="444">
        <v>2633</v>
      </c>
    </row>
    <row r="2634" spans="1:24" ht="12">
      <c r="A2634" s="83" t="s">
        <v>22605</v>
      </c>
      <c r="B2634" s="64" t="s">
        <v>22606</v>
      </c>
      <c r="C2634" s="71" t="s">
        <v>103</v>
      </c>
      <c r="D2634" s="79">
        <v>1</v>
      </c>
      <c r="E2634" s="79">
        <v>495.23</v>
      </c>
      <c r="F2634" s="79">
        <v>495.23</v>
      </c>
      <c r="G2634" s="445"/>
      <c r="H2634" s="178">
        <v>495.23</v>
      </c>
      <c r="I2634" s="178">
        <v>609.13</v>
      </c>
      <c r="J2634" s="70">
        <v>-113.89999999999998</v>
      </c>
      <c r="K2634" s="320"/>
      <c r="L2634" s="178">
        <v>24.71</v>
      </c>
      <c r="M2634" s="178">
        <v>470.52000000000004</v>
      </c>
      <c r="N2634" s="179">
        <v>0</v>
      </c>
      <c r="O2634" s="178">
        <v>495.23</v>
      </c>
      <c r="P2634" s="453"/>
      <c r="Q2634" s="61"/>
      <c r="R2634" s="298"/>
      <c r="S2634" s="669"/>
      <c r="X2634" s="444">
        <v>2634</v>
      </c>
    </row>
    <row r="2635" spans="1:24" ht="12">
      <c r="A2635" s="83" t="s">
        <v>22607</v>
      </c>
      <c r="B2635" s="64" t="s">
        <v>22608</v>
      </c>
      <c r="C2635" s="71" t="s">
        <v>10216</v>
      </c>
      <c r="D2635" s="79">
        <v>1</v>
      </c>
      <c r="E2635" s="79">
        <v>577.26</v>
      </c>
      <c r="F2635" s="79">
        <v>577.26</v>
      </c>
      <c r="G2635" s="445"/>
      <c r="H2635" s="178">
        <v>577.25</v>
      </c>
      <c r="I2635" s="178">
        <v>710.02</v>
      </c>
      <c r="J2635" s="70">
        <v>-132.76</v>
      </c>
      <c r="K2635" s="320"/>
      <c r="L2635" s="178">
        <v>13.879999999999999</v>
      </c>
      <c r="M2635" s="178">
        <v>563.38</v>
      </c>
      <c r="N2635" s="179">
        <v>0</v>
      </c>
      <c r="O2635" s="178">
        <v>577.26</v>
      </c>
      <c r="P2635" s="453"/>
      <c r="Q2635" s="61"/>
      <c r="R2635" s="298"/>
      <c r="S2635" s="669"/>
      <c r="X2635" s="444">
        <v>2635</v>
      </c>
    </row>
    <row r="2636" spans="1:24" ht="12">
      <c r="A2636" s="83" t="s">
        <v>39954</v>
      </c>
      <c r="B2636" s="64" t="s">
        <v>39520</v>
      </c>
      <c r="C2636" s="71"/>
      <c r="D2636" s="79" t="s">
        <v>40899</v>
      </c>
      <c r="E2636" s="79" t="s">
        <v>40899</v>
      </c>
      <c r="F2636" s="79"/>
      <c r="G2636" s="445"/>
      <c r="H2636" s="178"/>
      <c r="I2636" s="178"/>
      <c r="J2636" s="70"/>
      <c r="K2636" s="320"/>
      <c r="L2636" s="178"/>
      <c r="M2636" s="178"/>
      <c r="N2636" s="179"/>
      <c r="O2636" s="178"/>
      <c r="P2636" s="453"/>
      <c r="Q2636" s="61"/>
      <c r="R2636" s="298"/>
      <c r="S2636" s="669"/>
      <c r="X2636" s="444">
        <v>2636</v>
      </c>
    </row>
    <row r="2637" spans="1:24" ht="12">
      <c r="A2637" s="83" t="s">
        <v>22609</v>
      </c>
      <c r="B2637" s="64" t="s">
        <v>22610</v>
      </c>
      <c r="C2637" s="71" t="s">
        <v>509</v>
      </c>
      <c r="D2637" s="79">
        <v>1</v>
      </c>
      <c r="E2637" s="79">
        <v>13.879999999999999</v>
      </c>
      <c r="F2637" s="79">
        <v>13.88</v>
      </c>
      <c r="G2637" s="445"/>
      <c r="H2637" s="178">
        <v>13.86</v>
      </c>
      <c r="I2637" s="178">
        <v>17.05</v>
      </c>
      <c r="J2637" s="70">
        <v>-3.1700000000000017</v>
      </c>
      <c r="K2637" s="320"/>
      <c r="L2637" s="178">
        <v>13.879999999999999</v>
      </c>
      <c r="M2637" s="178">
        <v>0</v>
      </c>
      <c r="N2637" s="179">
        <v>0</v>
      </c>
      <c r="O2637" s="178">
        <v>13.879999999999999</v>
      </c>
      <c r="P2637" s="453"/>
      <c r="Q2637" s="61"/>
      <c r="R2637" s="298"/>
      <c r="S2637" s="669"/>
      <c r="X2637" s="444">
        <v>2637</v>
      </c>
    </row>
    <row r="2638" spans="1:24" ht="12">
      <c r="A2638" s="83" t="s">
        <v>22611</v>
      </c>
      <c r="B2638" s="64" t="s">
        <v>18572</v>
      </c>
      <c r="C2638" s="71" t="s">
        <v>10216</v>
      </c>
      <c r="D2638" s="79">
        <v>1</v>
      </c>
      <c r="E2638" s="79">
        <v>577.26</v>
      </c>
      <c r="F2638" s="79">
        <v>577.26</v>
      </c>
      <c r="G2638" s="445"/>
      <c r="H2638" s="178">
        <v>577.25</v>
      </c>
      <c r="I2638" s="178">
        <v>710.02</v>
      </c>
      <c r="J2638" s="70">
        <v>-132.76</v>
      </c>
      <c r="K2638" s="320"/>
      <c r="L2638" s="178"/>
      <c r="M2638" s="178">
        <v>577.26</v>
      </c>
      <c r="N2638" s="179">
        <v>0</v>
      </c>
      <c r="O2638" s="178">
        <v>577.26</v>
      </c>
      <c r="P2638" s="453"/>
      <c r="Q2638" s="61"/>
      <c r="R2638" s="298"/>
      <c r="S2638" s="669"/>
      <c r="X2638" s="444">
        <v>2638</v>
      </c>
    </row>
    <row r="2639" spans="1:24" ht="12">
      <c r="A2639" s="83" t="s">
        <v>39955</v>
      </c>
      <c r="B2639" s="64" t="s">
        <v>39956</v>
      </c>
      <c r="C2639" s="71"/>
      <c r="D2639" s="79" t="s">
        <v>40899</v>
      </c>
      <c r="E2639" s="79" t="s">
        <v>40899</v>
      </c>
      <c r="F2639" s="79"/>
      <c r="G2639" s="445"/>
      <c r="H2639" s="178"/>
      <c r="I2639" s="178"/>
      <c r="J2639" s="70"/>
      <c r="K2639" s="320"/>
      <c r="L2639" s="178"/>
      <c r="M2639" s="178"/>
      <c r="N2639" s="179"/>
      <c r="O2639" s="178"/>
      <c r="P2639" s="453"/>
      <c r="Q2639" s="61"/>
      <c r="R2639" s="298"/>
      <c r="S2639" s="669"/>
      <c r="X2639" s="444">
        <v>2639</v>
      </c>
    </row>
    <row r="2640" spans="1:24" ht="12">
      <c r="A2640" s="83" t="s">
        <v>22612</v>
      </c>
      <c r="B2640" s="64" t="s">
        <v>22613</v>
      </c>
      <c r="C2640" s="71" t="s">
        <v>509</v>
      </c>
      <c r="D2640" s="79">
        <v>1</v>
      </c>
      <c r="E2640" s="79">
        <v>70.14</v>
      </c>
      <c r="F2640" s="79">
        <v>70.14</v>
      </c>
      <c r="G2640" s="445"/>
      <c r="H2640" s="178">
        <v>70.13</v>
      </c>
      <c r="I2640" s="178">
        <v>86.26</v>
      </c>
      <c r="J2640" s="70">
        <v>-16.120000000000005</v>
      </c>
      <c r="K2640" s="320"/>
      <c r="L2640" s="178">
        <v>55.46</v>
      </c>
      <c r="M2640" s="178">
        <v>14.68</v>
      </c>
      <c r="N2640" s="179">
        <v>0</v>
      </c>
      <c r="O2640" s="178">
        <v>70.14</v>
      </c>
      <c r="P2640" s="453"/>
      <c r="Q2640" s="61"/>
      <c r="R2640" s="298"/>
      <c r="S2640" s="669"/>
      <c r="X2640" s="444">
        <v>2640</v>
      </c>
    </row>
    <row r="2641" spans="1:32" ht="12">
      <c r="A2641" s="83" t="s">
        <v>22614</v>
      </c>
      <c r="B2641" s="64" t="s">
        <v>22615</v>
      </c>
      <c r="C2641" s="71" t="s">
        <v>10216</v>
      </c>
      <c r="D2641" s="79">
        <v>1</v>
      </c>
      <c r="E2641" s="79">
        <v>577.26</v>
      </c>
      <c r="F2641" s="79">
        <v>577.26</v>
      </c>
      <c r="G2641" s="445"/>
      <c r="H2641" s="178">
        <v>577.25</v>
      </c>
      <c r="I2641" s="178">
        <v>710.02</v>
      </c>
      <c r="J2641" s="70">
        <v>-132.76</v>
      </c>
      <c r="K2641" s="320"/>
      <c r="L2641" s="178"/>
      <c r="M2641" s="178">
        <v>577.26</v>
      </c>
      <c r="N2641" s="179">
        <v>0</v>
      </c>
      <c r="O2641" s="178">
        <v>577.26</v>
      </c>
      <c r="P2641" s="453"/>
      <c r="Q2641" s="61"/>
      <c r="R2641" s="298"/>
      <c r="S2641" s="669"/>
      <c r="X2641" s="444">
        <v>2641</v>
      </c>
    </row>
    <row r="2642" spans="1:32" ht="12">
      <c r="A2642" s="83" t="s">
        <v>39957</v>
      </c>
      <c r="B2642" s="64" t="s">
        <v>39958</v>
      </c>
      <c r="C2642" s="71"/>
      <c r="D2642" s="79" t="s">
        <v>40899</v>
      </c>
      <c r="E2642" s="79" t="s">
        <v>40899</v>
      </c>
      <c r="F2642" s="79"/>
      <c r="G2642" s="445"/>
      <c r="H2642" s="178"/>
      <c r="I2642" s="178"/>
      <c r="J2642" s="70"/>
      <c r="K2642" s="320"/>
      <c r="L2642" s="178"/>
      <c r="M2642" s="178"/>
      <c r="N2642" s="179"/>
      <c r="O2642" s="178"/>
      <c r="P2642" s="453"/>
      <c r="Q2642" s="61"/>
      <c r="R2642" s="298"/>
      <c r="S2642" s="669"/>
      <c r="X2642" s="444">
        <v>2642</v>
      </c>
    </row>
    <row r="2643" spans="1:32" ht="12">
      <c r="A2643" s="83" t="s">
        <v>22616</v>
      </c>
      <c r="B2643" s="64" t="s">
        <v>22617</v>
      </c>
      <c r="C2643" s="71" t="s">
        <v>509</v>
      </c>
      <c r="D2643" s="79">
        <v>1</v>
      </c>
      <c r="E2643" s="79">
        <v>353.84999999999997</v>
      </c>
      <c r="F2643" s="79">
        <v>353.85</v>
      </c>
      <c r="G2643" s="445"/>
      <c r="H2643" s="178">
        <v>353.85</v>
      </c>
      <c r="I2643" s="178">
        <v>435.23</v>
      </c>
      <c r="J2643" s="70">
        <v>-81.380000000000052</v>
      </c>
      <c r="K2643" s="320"/>
      <c r="L2643" s="178">
        <v>18.490000000000002</v>
      </c>
      <c r="M2643" s="178">
        <v>335.35999999999996</v>
      </c>
      <c r="N2643" s="179">
        <v>0</v>
      </c>
      <c r="O2643" s="178">
        <v>353.84999999999997</v>
      </c>
      <c r="P2643" s="453"/>
      <c r="Q2643" s="61"/>
      <c r="R2643" s="298"/>
      <c r="S2643" s="669"/>
      <c r="X2643" s="444">
        <v>2643</v>
      </c>
    </row>
    <row r="2644" spans="1:32" ht="12">
      <c r="A2644" s="83" t="s">
        <v>22618</v>
      </c>
      <c r="B2644" s="64" t="s">
        <v>39959</v>
      </c>
      <c r="C2644" s="71" t="s">
        <v>10216</v>
      </c>
      <c r="D2644" s="79">
        <v>1</v>
      </c>
      <c r="E2644" s="79">
        <v>577.26</v>
      </c>
      <c r="F2644" s="79">
        <v>577.26</v>
      </c>
      <c r="G2644" s="445"/>
      <c r="H2644" s="178">
        <v>577.25</v>
      </c>
      <c r="I2644" s="178">
        <v>710.02</v>
      </c>
      <c r="J2644" s="70">
        <v>-132.76</v>
      </c>
      <c r="K2644" s="320"/>
      <c r="L2644" s="178"/>
      <c r="M2644" s="178">
        <v>577.26</v>
      </c>
      <c r="N2644" s="179">
        <v>0</v>
      </c>
      <c r="O2644" s="178">
        <v>577.26</v>
      </c>
      <c r="P2644" s="453"/>
      <c r="Q2644" s="61"/>
      <c r="R2644" s="298"/>
      <c r="S2644" s="669"/>
      <c r="X2644" s="444">
        <v>2644</v>
      </c>
    </row>
    <row r="2645" spans="1:32" s="61" customFormat="1" ht="12">
      <c r="A2645" s="83" t="s">
        <v>39960</v>
      </c>
      <c r="B2645" s="64" t="s">
        <v>39961</v>
      </c>
      <c r="C2645" s="71"/>
      <c r="D2645" s="79" t="s">
        <v>40899</v>
      </c>
      <c r="E2645" s="79" t="s">
        <v>40899</v>
      </c>
      <c r="F2645" s="79"/>
      <c r="G2645" s="445"/>
      <c r="H2645" s="178"/>
      <c r="I2645" s="178"/>
      <c r="J2645" s="70"/>
      <c r="K2645" s="320"/>
      <c r="L2645" s="178"/>
      <c r="M2645" s="178"/>
      <c r="N2645" s="179"/>
      <c r="O2645" s="178"/>
      <c r="P2645" s="453"/>
      <c r="R2645" s="298"/>
      <c r="S2645" s="669"/>
      <c r="T2645" s="444"/>
      <c r="U2645" s="444"/>
      <c r="V2645" s="444"/>
      <c r="W2645" s="444"/>
      <c r="X2645" s="444">
        <v>2645</v>
      </c>
      <c r="Y2645" s="444"/>
      <c r="Z2645" s="444"/>
      <c r="AA2645" s="444"/>
      <c r="AB2645" s="444"/>
      <c r="AC2645" s="444"/>
      <c r="AD2645" s="444"/>
      <c r="AE2645" s="444"/>
      <c r="AF2645" s="444"/>
    </row>
    <row r="2646" spans="1:32" ht="12">
      <c r="A2646" s="83" t="s">
        <v>12106</v>
      </c>
      <c r="B2646" s="64" t="s">
        <v>39962</v>
      </c>
      <c r="C2646" s="71"/>
      <c r="D2646" s="79" t="s">
        <v>40899</v>
      </c>
      <c r="E2646" s="79" t="s">
        <v>40899</v>
      </c>
      <c r="F2646" s="79"/>
      <c r="G2646" s="445"/>
      <c r="H2646" s="178"/>
      <c r="I2646" s="178"/>
      <c r="J2646" s="70"/>
      <c r="K2646" s="320"/>
      <c r="L2646" s="178"/>
      <c r="M2646" s="178"/>
      <c r="N2646" s="179"/>
      <c r="O2646" s="178"/>
      <c r="P2646" s="453"/>
      <c r="Q2646" s="61"/>
      <c r="R2646" s="298"/>
      <c r="S2646" s="669"/>
      <c r="X2646" s="444">
        <v>2646</v>
      </c>
    </row>
    <row r="2647" spans="1:32" ht="12">
      <c r="A2647" s="83" t="s">
        <v>22619</v>
      </c>
      <c r="B2647" s="64" t="s">
        <v>22620</v>
      </c>
      <c r="C2647" s="71" t="s">
        <v>509</v>
      </c>
      <c r="D2647" s="79">
        <v>1</v>
      </c>
      <c r="E2647" s="79">
        <v>19.61</v>
      </c>
      <c r="F2647" s="79">
        <v>19.61</v>
      </c>
      <c r="G2647" s="445"/>
      <c r="H2647" s="178">
        <v>19.61</v>
      </c>
      <c r="I2647" s="178">
        <v>24.12</v>
      </c>
      <c r="J2647" s="70">
        <v>-4.5100000000000016</v>
      </c>
      <c r="K2647" s="320"/>
      <c r="L2647" s="178">
        <v>15.870000000000001</v>
      </c>
      <c r="M2647" s="178">
        <v>3.7399999999999984</v>
      </c>
      <c r="N2647" s="179">
        <v>0</v>
      </c>
      <c r="O2647" s="178">
        <v>19.61</v>
      </c>
      <c r="P2647" s="453"/>
      <c r="Q2647" s="61"/>
      <c r="R2647" s="298"/>
      <c r="S2647" s="669"/>
      <c r="X2647" s="444">
        <v>2647</v>
      </c>
    </row>
    <row r="2648" spans="1:32" ht="12">
      <c r="A2648" s="83" t="s">
        <v>22621</v>
      </c>
      <c r="B2648" s="64" t="s">
        <v>22622</v>
      </c>
      <c r="C2648" s="71" t="s">
        <v>509</v>
      </c>
      <c r="D2648" s="79">
        <v>1</v>
      </c>
      <c r="E2648" s="79">
        <v>22.900000000000002</v>
      </c>
      <c r="F2648" s="79">
        <v>22.9</v>
      </c>
      <c r="G2648" s="445"/>
      <c r="H2648" s="178">
        <v>22.9</v>
      </c>
      <c r="I2648" s="178">
        <v>28.17</v>
      </c>
      <c r="J2648" s="70">
        <v>-5.27</v>
      </c>
      <c r="K2648" s="320"/>
      <c r="L2648" s="178">
        <v>15.870000000000001</v>
      </c>
      <c r="M2648" s="178">
        <v>7.0300000000000011</v>
      </c>
      <c r="N2648" s="179">
        <v>0</v>
      </c>
      <c r="O2648" s="178">
        <v>22.900000000000002</v>
      </c>
      <c r="P2648" s="453"/>
      <c r="Q2648" s="61"/>
      <c r="R2648" s="298"/>
      <c r="S2648" s="669"/>
      <c r="X2648" s="444">
        <v>2648</v>
      </c>
    </row>
    <row r="2649" spans="1:32" ht="12">
      <c r="A2649" s="83" t="s">
        <v>22623</v>
      </c>
      <c r="B2649" s="64" t="s">
        <v>22624</v>
      </c>
      <c r="C2649" s="71" t="s">
        <v>509</v>
      </c>
      <c r="D2649" s="79">
        <v>1</v>
      </c>
      <c r="E2649" s="79">
        <v>24.840000000000003</v>
      </c>
      <c r="F2649" s="79">
        <v>24.84</v>
      </c>
      <c r="G2649" s="445"/>
      <c r="H2649" s="178">
        <v>24.85</v>
      </c>
      <c r="I2649" s="178">
        <v>30.56</v>
      </c>
      <c r="J2649" s="70">
        <v>-5.7199999999999953</v>
      </c>
      <c r="K2649" s="320"/>
      <c r="L2649" s="178">
        <v>15.870000000000001</v>
      </c>
      <c r="M2649" s="178">
        <v>8.9700000000000024</v>
      </c>
      <c r="N2649" s="179">
        <v>0</v>
      </c>
      <c r="O2649" s="178">
        <v>24.840000000000003</v>
      </c>
      <c r="P2649" s="453"/>
      <c r="Q2649" s="61"/>
      <c r="R2649" s="298"/>
      <c r="S2649" s="669"/>
      <c r="X2649" s="444">
        <v>2649</v>
      </c>
    </row>
    <row r="2650" spans="1:32" ht="12">
      <c r="A2650" s="83" t="s">
        <v>22625</v>
      </c>
      <c r="B2650" s="64" t="s">
        <v>22626</v>
      </c>
      <c r="C2650" s="71" t="s">
        <v>509</v>
      </c>
      <c r="D2650" s="79">
        <v>1</v>
      </c>
      <c r="E2650" s="79">
        <v>21.05</v>
      </c>
      <c r="F2650" s="79">
        <v>21.05</v>
      </c>
      <c r="G2650" s="445"/>
      <c r="H2650" s="178">
        <v>21.06</v>
      </c>
      <c r="I2650" s="178">
        <v>25.9</v>
      </c>
      <c r="J2650" s="70">
        <v>-4.8499999999999979</v>
      </c>
      <c r="K2650" s="320"/>
      <c r="L2650" s="178">
        <v>15.870000000000001</v>
      </c>
      <c r="M2650" s="178">
        <v>5.18</v>
      </c>
      <c r="N2650" s="179">
        <v>0</v>
      </c>
      <c r="O2650" s="178">
        <v>21.05</v>
      </c>
      <c r="P2650" s="453"/>
      <c r="Q2650" s="61"/>
      <c r="R2650" s="298"/>
      <c r="S2650" s="669"/>
      <c r="X2650" s="444">
        <v>2650</v>
      </c>
    </row>
    <row r="2651" spans="1:32" ht="12">
      <c r="A2651" s="83" t="s">
        <v>22627</v>
      </c>
      <c r="B2651" s="64" t="s">
        <v>22628</v>
      </c>
      <c r="C2651" s="71" t="s">
        <v>509</v>
      </c>
      <c r="D2651" s="79">
        <v>1</v>
      </c>
      <c r="E2651" s="79">
        <v>27.270000000000003</v>
      </c>
      <c r="F2651" s="79">
        <v>27.27</v>
      </c>
      <c r="G2651" s="445"/>
      <c r="H2651" s="178">
        <v>27.26</v>
      </c>
      <c r="I2651" s="178">
        <v>33.53</v>
      </c>
      <c r="J2651" s="70">
        <v>-6.259999999999998</v>
      </c>
      <c r="K2651" s="320"/>
      <c r="L2651" s="178">
        <v>15.3</v>
      </c>
      <c r="M2651" s="178">
        <v>11.970000000000002</v>
      </c>
      <c r="N2651" s="179">
        <v>0</v>
      </c>
      <c r="O2651" s="178">
        <v>27.270000000000003</v>
      </c>
      <c r="P2651" s="453"/>
      <c r="Q2651" s="61"/>
      <c r="R2651" s="298"/>
      <c r="S2651" s="669"/>
      <c r="X2651" s="444">
        <v>2651</v>
      </c>
    </row>
    <row r="2652" spans="1:32" ht="12">
      <c r="A2652" s="83" t="s">
        <v>22629</v>
      </c>
      <c r="B2652" s="64" t="s">
        <v>22630</v>
      </c>
      <c r="C2652" s="71" t="s">
        <v>509</v>
      </c>
      <c r="D2652" s="79">
        <v>1</v>
      </c>
      <c r="E2652" s="79">
        <v>27.07</v>
      </c>
      <c r="F2652" s="79">
        <v>27.07</v>
      </c>
      <c r="G2652" s="445"/>
      <c r="H2652" s="178">
        <v>27.07</v>
      </c>
      <c r="I2652" s="178">
        <v>33.299999999999997</v>
      </c>
      <c r="J2652" s="70">
        <v>-6.2299999999999969</v>
      </c>
      <c r="K2652" s="320"/>
      <c r="L2652" s="178">
        <v>15.870000000000001</v>
      </c>
      <c r="M2652" s="178">
        <v>11.2</v>
      </c>
      <c r="N2652" s="179">
        <v>0</v>
      </c>
      <c r="O2652" s="178">
        <v>27.07</v>
      </c>
      <c r="P2652" s="453"/>
      <c r="Q2652" s="61"/>
      <c r="R2652" s="298"/>
      <c r="S2652" s="669"/>
      <c r="X2652" s="444">
        <v>2652</v>
      </c>
    </row>
    <row r="2653" spans="1:32">
      <c r="A2653" s="67" t="s">
        <v>29670</v>
      </c>
      <c r="B2653" s="67" t="s">
        <v>29671</v>
      </c>
      <c r="C2653" s="71" t="s">
        <v>509</v>
      </c>
      <c r="D2653" s="79">
        <v>1</v>
      </c>
      <c r="E2653" s="79">
        <v>6.12</v>
      </c>
      <c r="F2653" s="79">
        <v>6.12</v>
      </c>
      <c r="H2653" s="178">
        <v>6.12</v>
      </c>
      <c r="I2653" s="178">
        <v>7.53</v>
      </c>
      <c r="J2653" s="70">
        <v>-1.4100000000000001</v>
      </c>
      <c r="K2653" s="320"/>
      <c r="L2653" s="178">
        <v>3.97</v>
      </c>
      <c r="M2653" s="178">
        <v>2.15</v>
      </c>
      <c r="N2653" s="179">
        <v>0</v>
      </c>
      <c r="O2653" s="178">
        <v>6.12</v>
      </c>
      <c r="Q2653" s="61"/>
      <c r="R2653" s="298"/>
      <c r="S2653" s="669"/>
      <c r="X2653" s="444">
        <v>2653</v>
      </c>
    </row>
    <row r="2654" spans="1:32">
      <c r="A2654" s="67" t="s">
        <v>29672</v>
      </c>
      <c r="B2654" s="67" t="s">
        <v>39963</v>
      </c>
      <c r="C2654" s="71" t="s">
        <v>509</v>
      </c>
      <c r="D2654" s="79">
        <v>1</v>
      </c>
      <c r="E2654" s="79">
        <v>47.300000000000004</v>
      </c>
      <c r="F2654" s="79">
        <v>47.3</v>
      </c>
      <c r="H2654" s="178">
        <v>47.3</v>
      </c>
      <c r="I2654" s="178">
        <v>58.18</v>
      </c>
      <c r="J2654" s="70">
        <v>-10.879999999999995</v>
      </c>
      <c r="K2654" s="320"/>
      <c r="L2654" s="178">
        <v>13.03</v>
      </c>
      <c r="M2654" s="178">
        <v>34.270000000000003</v>
      </c>
      <c r="N2654" s="179">
        <v>0</v>
      </c>
      <c r="O2654" s="178">
        <v>47.300000000000004</v>
      </c>
      <c r="Q2654" s="61"/>
      <c r="R2654" s="298"/>
      <c r="S2654" s="669"/>
      <c r="X2654" s="444">
        <v>2654</v>
      </c>
    </row>
    <row r="2655" spans="1:32" ht="12">
      <c r="A2655" s="83" t="s">
        <v>12108</v>
      </c>
      <c r="B2655" s="64" t="s">
        <v>22631</v>
      </c>
      <c r="C2655" s="71" t="s">
        <v>509</v>
      </c>
      <c r="D2655" s="79">
        <v>1</v>
      </c>
      <c r="E2655" s="79">
        <v>21.590000000000003</v>
      </c>
      <c r="F2655" s="79">
        <v>21.59</v>
      </c>
      <c r="G2655" s="445"/>
      <c r="H2655" s="178">
        <v>21.58</v>
      </c>
      <c r="I2655" s="178">
        <v>26.54</v>
      </c>
      <c r="J2655" s="70">
        <v>-4.9499999999999957</v>
      </c>
      <c r="K2655" s="320"/>
      <c r="L2655" s="178">
        <v>17.850000000000001</v>
      </c>
      <c r="M2655" s="178">
        <v>3.740000000000002</v>
      </c>
      <c r="N2655" s="179">
        <v>0</v>
      </c>
      <c r="O2655" s="178">
        <v>21.590000000000003</v>
      </c>
      <c r="P2655" s="453"/>
      <c r="Q2655" s="61"/>
      <c r="R2655" s="298"/>
      <c r="S2655" s="669"/>
      <c r="X2655" s="444">
        <v>2655</v>
      </c>
    </row>
    <row r="2656" spans="1:32" ht="12">
      <c r="A2656" s="83" t="s">
        <v>22632</v>
      </c>
      <c r="B2656" s="64" t="s">
        <v>22633</v>
      </c>
      <c r="C2656" s="71" t="s">
        <v>509</v>
      </c>
      <c r="D2656" s="79">
        <v>1</v>
      </c>
      <c r="E2656" s="79">
        <v>29.55</v>
      </c>
      <c r="F2656" s="79">
        <v>29.55</v>
      </c>
      <c r="G2656" s="445"/>
      <c r="H2656" s="178">
        <v>29.54</v>
      </c>
      <c r="I2656" s="178">
        <v>36.340000000000003</v>
      </c>
      <c r="J2656" s="70">
        <v>-6.7900000000000027</v>
      </c>
      <c r="K2656" s="320"/>
      <c r="L2656" s="178">
        <v>17.850000000000001</v>
      </c>
      <c r="M2656" s="178">
        <v>11.7</v>
      </c>
      <c r="N2656" s="179">
        <v>0</v>
      </c>
      <c r="O2656" s="178">
        <v>29.55</v>
      </c>
      <c r="P2656" s="453"/>
      <c r="Q2656" s="61"/>
      <c r="R2656" s="298"/>
      <c r="S2656" s="669"/>
      <c r="X2656" s="444">
        <v>2656</v>
      </c>
    </row>
    <row r="2657" spans="1:32" ht="24">
      <c r="A2657" s="68" t="s">
        <v>22634</v>
      </c>
      <c r="B2657" s="9" t="s">
        <v>22635</v>
      </c>
      <c r="C2657" s="72" t="s">
        <v>509</v>
      </c>
      <c r="D2657" s="136">
        <v>1</v>
      </c>
      <c r="E2657" s="136">
        <v>29.05</v>
      </c>
      <c r="F2657" s="136">
        <v>29.05</v>
      </c>
      <c r="G2657" s="445"/>
      <c r="H2657" s="774">
        <v>29.03</v>
      </c>
      <c r="I2657" s="774">
        <v>35.71</v>
      </c>
      <c r="J2657" s="320">
        <v>-6.66</v>
      </c>
      <c r="K2657" s="320"/>
      <c r="L2657" s="774">
        <v>17.850000000000001</v>
      </c>
      <c r="M2657" s="774">
        <v>11.2</v>
      </c>
      <c r="N2657" s="775">
        <v>0</v>
      </c>
      <c r="O2657" s="774">
        <v>29.05</v>
      </c>
      <c r="P2657" s="453"/>
      <c r="Q2657" s="61"/>
      <c r="R2657" s="298"/>
      <c r="S2657" s="669"/>
      <c r="X2657" s="444">
        <v>2657</v>
      </c>
    </row>
    <row r="2658" spans="1:32" ht="12">
      <c r="A2658" s="83" t="s">
        <v>22636</v>
      </c>
      <c r="B2658" s="64" t="s">
        <v>22637</v>
      </c>
      <c r="C2658" s="71" t="s">
        <v>509</v>
      </c>
      <c r="D2658" s="79">
        <v>1</v>
      </c>
      <c r="E2658" s="79">
        <v>15.92</v>
      </c>
      <c r="F2658" s="79">
        <v>15.92</v>
      </c>
      <c r="G2658" s="445"/>
      <c r="H2658" s="178">
        <v>15.92</v>
      </c>
      <c r="I2658" s="178">
        <v>19.579999999999998</v>
      </c>
      <c r="J2658" s="70">
        <v>-3.6599999999999984</v>
      </c>
      <c r="K2658" s="320"/>
      <c r="L2658" s="178">
        <v>8.52</v>
      </c>
      <c r="M2658" s="178">
        <v>7.4</v>
      </c>
      <c r="N2658" s="179">
        <v>0</v>
      </c>
      <c r="O2658" s="178">
        <v>15.92</v>
      </c>
      <c r="P2658" s="453"/>
      <c r="Q2658" s="61"/>
      <c r="R2658" s="298"/>
      <c r="S2658" s="669"/>
      <c r="X2658" s="444">
        <v>2658</v>
      </c>
    </row>
    <row r="2659" spans="1:32" ht="12">
      <c r="A2659" s="83" t="s">
        <v>22638</v>
      </c>
      <c r="B2659" s="64" t="s">
        <v>22639</v>
      </c>
      <c r="C2659" s="71" t="s">
        <v>509</v>
      </c>
      <c r="D2659" s="79">
        <v>1</v>
      </c>
      <c r="E2659" s="79">
        <v>23.400000000000002</v>
      </c>
      <c r="F2659" s="79">
        <v>23.4</v>
      </c>
      <c r="G2659" s="445"/>
      <c r="H2659" s="178">
        <v>23.38</v>
      </c>
      <c r="I2659" s="178">
        <v>28.76</v>
      </c>
      <c r="J2659" s="70">
        <v>-5.3599999999999994</v>
      </c>
      <c r="K2659" s="320"/>
      <c r="L2659" s="178">
        <v>17.850000000000001</v>
      </c>
      <c r="M2659" s="178">
        <v>5.5500000000000007</v>
      </c>
      <c r="N2659" s="179">
        <v>0</v>
      </c>
      <c r="O2659" s="178">
        <v>23.400000000000002</v>
      </c>
      <c r="P2659" s="453"/>
      <c r="Q2659" s="61"/>
      <c r="R2659" s="298"/>
      <c r="S2659" s="669"/>
      <c r="X2659" s="444">
        <v>2659</v>
      </c>
    </row>
    <row r="2660" spans="1:32" ht="12">
      <c r="A2660" s="83" t="s">
        <v>22640</v>
      </c>
      <c r="B2660" s="64" t="s">
        <v>22641</v>
      </c>
      <c r="C2660" s="71" t="s">
        <v>207</v>
      </c>
      <c r="D2660" s="79">
        <v>1</v>
      </c>
      <c r="E2660" s="79">
        <v>5.58</v>
      </c>
      <c r="F2660" s="79">
        <v>5.58</v>
      </c>
      <c r="G2660" s="320"/>
      <c r="H2660" s="178">
        <v>5.58</v>
      </c>
      <c r="I2660" s="178">
        <v>6.86</v>
      </c>
      <c r="J2660" s="70">
        <v>-1.2800000000000002</v>
      </c>
      <c r="K2660" s="320"/>
      <c r="L2660" s="178"/>
      <c r="M2660" s="178">
        <v>5.58</v>
      </c>
      <c r="N2660" s="179">
        <v>0</v>
      </c>
      <c r="O2660" s="178">
        <v>5.58</v>
      </c>
      <c r="P2660" s="453"/>
      <c r="Q2660" s="61"/>
      <c r="R2660" s="298"/>
      <c r="S2660" s="669"/>
      <c r="T2660" s="61"/>
      <c r="X2660" s="444">
        <v>2660</v>
      </c>
    </row>
    <row r="2661" spans="1:32" ht="12">
      <c r="A2661" s="83" t="s">
        <v>22642</v>
      </c>
      <c r="B2661" s="64" t="s">
        <v>22643</v>
      </c>
      <c r="C2661" s="71" t="s">
        <v>509</v>
      </c>
      <c r="D2661" s="79">
        <v>1</v>
      </c>
      <c r="E2661" s="79">
        <v>16.21</v>
      </c>
      <c r="F2661" s="79">
        <v>16.21</v>
      </c>
      <c r="G2661" s="445"/>
      <c r="H2661" s="178">
        <v>16.2</v>
      </c>
      <c r="I2661" s="178">
        <v>19.920000000000002</v>
      </c>
      <c r="J2661" s="70">
        <v>-3.7100000000000009</v>
      </c>
      <c r="K2661" s="320"/>
      <c r="L2661" s="178">
        <v>7.95</v>
      </c>
      <c r="M2661" s="178">
        <v>8.2600000000000016</v>
      </c>
      <c r="N2661" s="179">
        <v>0</v>
      </c>
      <c r="O2661" s="178">
        <v>16.21</v>
      </c>
      <c r="P2661" s="453"/>
      <c r="Q2661" s="61"/>
      <c r="R2661" s="298"/>
      <c r="S2661" s="669"/>
      <c r="X2661" s="444">
        <v>2661</v>
      </c>
    </row>
    <row r="2662" spans="1:32" s="73" customFormat="1" ht="12">
      <c r="A2662" s="83" t="s">
        <v>22644</v>
      </c>
      <c r="B2662" s="64" t="s">
        <v>22645</v>
      </c>
      <c r="C2662" s="71" t="s">
        <v>509</v>
      </c>
      <c r="D2662" s="79">
        <v>1</v>
      </c>
      <c r="E2662" s="79">
        <v>18.36</v>
      </c>
      <c r="F2662" s="79">
        <v>18.36</v>
      </c>
      <c r="G2662" s="445"/>
      <c r="H2662" s="178">
        <v>18.36</v>
      </c>
      <c r="I2662" s="178">
        <v>22.58</v>
      </c>
      <c r="J2662" s="70">
        <v>-4.2199999999999989</v>
      </c>
      <c r="K2662" s="320"/>
      <c r="L2662" s="178">
        <v>9.52</v>
      </c>
      <c r="M2662" s="178">
        <v>8.84</v>
      </c>
      <c r="N2662" s="179">
        <v>0</v>
      </c>
      <c r="O2662" s="178">
        <v>18.36</v>
      </c>
      <c r="P2662" s="453"/>
      <c r="Q2662" s="61"/>
      <c r="R2662" s="298"/>
      <c r="S2662" s="669"/>
      <c r="T2662" s="444"/>
      <c r="U2662" s="444"/>
      <c r="V2662" s="444"/>
      <c r="W2662" s="444"/>
      <c r="X2662" s="444">
        <v>2662</v>
      </c>
      <c r="Y2662" s="444"/>
      <c r="Z2662" s="444"/>
      <c r="AA2662" s="444"/>
      <c r="AB2662" s="444"/>
      <c r="AC2662" s="444"/>
      <c r="AD2662" s="444"/>
      <c r="AE2662" s="444"/>
      <c r="AF2662" s="444"/>
    </row>
    <row r="2663" spans="1:32" s="73" customFormat="1" ht="12">
      <c r="A2663" s="83" t="s">
        <v>22646</v>
      </c>
      <c r="B2663" s="64" t="s">
        <v>22647</v>
      </c>
      <c r="C2663" s="71" t="s">
        <v>10216</v>
      </c>
      <c r="D2663" s="79">
        <v>1</v>
      </c>
      <c r="E2663" s="79">
        <v>577.26</v>
      </c>
      <c r="F2663" s="79">
        <v>577.26</v>
      </c>
      <c r="G2663" s="445"/>
      <c r="H2663" s="178">
        <v>577.25</v>
      </c>
      <c r="I2663" s="178">
        <v>710.02</v>
      </c>
      <c r="J2663" s="70">
        <v>-132.76</v>
      </c>
      <c r="K2663" s="320"/>
      <c r="L2663" s="178"/>
      <c r="M2663" s="178">
        <v>577.26</v>
      </c>
      <c r="N2663" s="179">
        <v>0</v>
      </c>
      <c r="O2663" s="178">
        <v>577.26</v>
      </c>
      <c r="P2663" s="453"/>
      <c r="Q2663" s="61"/>
      <c r="R2663" s="298"/>
      <c r="S2663" s="669"/>
      <c r="T2663" s="61"/>
      <c r="U2663" s="444"/>
      <c r="V2663" s="444"/>
      <c r="W2663" s="444"/>
      <c r="X2663" s="444">
        <v>2663</v>
      </c>
      <c r="Y2663" s="444"/>
      <c r="Z2663" s="444"/>
      <c r="AA2663" s="444"/>
      <c r="AB2663" s="444"/>
      <c r="AC2663" s="444"/>
      <c r="AD2663" s="444"/>
      <c r="AE2663" s="444"/>
      <c r="AF2663" s="444"/>
    </row>
    <row r="2664" spans="1:32" ht="12">
      <c r="A2664" s="83" t="s">
        <v>39964</v>
      </c>
      <c r="B2664" s="64" t="s">
        <v>39965</v>
      </c>
      <c r="C2664" s="71"/>
      <c r="D2664" s="79" t="s">
        <v>40899</v>
      </c>
      <c r="E2664" s="79" t="s">
        <v>40899</v>
      </c>
      <c r="F2664" s="79"/>
      <c r="G2664" s="445"/>
      <c r="H2664" s="178"/>
      <c r="I2664" s="178"/>
      <c r="J2664" s="70"/>
      <c r="K2664" s="320"/>
      <c r="L2664" s="178"/>
      <c r="M2664" s="178"/>
      <c r="N2664" s="179"/>
      <c r="O2664" s="178"/>
      <c r="P2664" s="453"/>
      <c r="Q2664" s="61"/>
      <c r="R2664" s="298"/>
      <c r="S2664" s="669"/>
      <c r="T2664" s="61"/>
      <c r="X2664" s="444">
        <v>2664</v>
      </c>
    </row>
    <row r="2665" spans="1:32" ht="12">
      <c r="A2665" s="83" t="s">
        <v>22648</v>
      </c>
      <c r="B2665" s="64" t="s">
        <v>22649</v>
      </c>
      <c r="C2665" s="71" t="s">
        <v>509</v>
      </c>
      <c r="D2665" s="79">
        <v>1</v>
      </c>
      <c r="E2665" s="79">
        <v>28.399999999999995</v>
      </c>
      <c r="F2665" s="79">
        <v>28.4</v>
      </c>
      <c r="G2665" s="445"/>
      <c r="H2665" s="178">
        <v>28.4</v>
      </c>
      <c r="I2665" s="178">
        <v>34.93</v>
      </c>
      <c r="J2665" s="70">
        <v>-6.5300000000000047</v>
      </c>
      <c r="K2665" s="320"/>
      <c r="L2665" s="178">
        <v>13.03</v>
      </c>
      <c r="M2665" s="178">
        <v>15.369999999999996</v>
      </c>
      <c r="N2665" s="179">
        <v>0</v>
      </c>
      <c r="O2665" s="178">
        <v>28.399999999999995</v>
      </c>
      <c r="P2665" s="453"/>
      <c r="Q2665" s="61"/>
      <c r="R2665" s="298"/>
      <c r="S2665" s="669"/>
      <c r="X2665" s="444">
        <v>2665</v>
      </c>
    </row>
    <row r="2666" spans="1:32" ht="12">
      <c r="A2666" s="83" t="s">
        <v>22650</v>
      </c>
      <c r="B2666" s="64" t="s">
        <v>7826</v>
      </c>
      <c r="C2666" s="71" t="s">
        <v>509</v>
      </c>
      <c r="D2666" s="79">
        <v>1</v>
      </c>
      <c r="E2666" s="79">
        <v>36.870000000000005</v>
      </c>
      <c r="F2666" s="79">
        <v>36.869999999999997</v>
      </c>
      <c r="G2666" s="445"/>
      <c r="H2666" s="178">
        <v>36.869999999999997</v>
      </c>
      <c r="I2666" s="178">
        <v>45.35</v>
      </c>
      <c r="J2666" s="70">
        <v>-8.4799999999999969</v>
      </c>
      <c r="K2666" s="320"/>
      <c r="L2666" s="178">
        <v>21.8</v>
      </c>
      <c r="M2666" s="178">
        <v>15.070000000000004</v>
      </c>
      <c r="N2666" s="179">
        <v>0</v>
      </c>
      <c r="O2666" s="178">
        <v>36.870000000000005</v>
      </c>
      <c r="P2666" s="453"/>
      <c r="Q2666" s="61"/>
      <c r="R2666" s="298"/>
      <c r="S2666" s="669"/>
      <c r="X2666" s="444">
        <v>2666</v>
      </c>
    </row>
    <row r="2667" spans="1:32" ht="12">
      <c r="A2667" s="83" t="s">
        <v>22651</v>
      </c>
      <c r="B2667" s="64" t="s">
        <v>22652</v>
      </c>
      <c r="C2667" s="71" t="s">
        <v>509</v>
      </c>
      <c r="D2667" s="79">
        <v>1</v>
      </c>
      <c r="E2667" s="79">
        <v>53.58</v>
      </c>
      <c r="F2667" s="79">
        <v>53.58</v>
      </c>
      <c r="G2667" s="445"/>
      <c r="H2667" s="178">
        <v>53.57</v>
      </c>
      <c r="I2667" s="178">
        <v>65.89</v>
      </c>
      <c r="J2667" s="70">
        <v>-12.310000000000002</v>
      </c>
      <c r="K2667" s="320"/>
      <c r="L2667" s="178">
        <v>34.849999999999994</v>
      </c>
      <c r="M2667" s="178">
        <v>18.730000000000004</v>
      </c>
      <c r="N2667" s="179">
        <v>0</v>
      </c>
      <c r="O2667" s="178">
        <v>53.58</v>
      </c>
      <c r="P2667" s="453"/>
      <c r="Q2667" s="61"/>
      <c r="R2667" s="298"/>
      <c r="S2667" s="669"/>
      <c r="X2667" s="444">
        <v>2667</v>
      </c>
    </row>
    <row r="2668" spans="1:32" ht="12">
      <c r="A2668" s="83" t="s">
        <v>22653</v>
      </c>
      <c r="B2668" s="64" t="s">
        <v>22654</v>
      </c>
      <c r="C2668" s="71" t="s">
        <v>509</v>
      </c>
      <c r="D2668" s="79">
        <v>1</v>
      </c>
      <c r="E2668" s="79">
        <v>36.870000000000005</v>
      </c>
      <c r="F2668" s="79">
        <v>36.869999999999997</v>
      </c>
      <c r="G2668" s="445"/>
      <c r="H2668" s="178">
        <v>36.869999999999997</v>
      </c>
      <c r="I2668" s="178">
        <v>45.35</v>
      </c>
      <c r="J2668" s="70">
        <v>-8.4799999999999969</v>
      </c>
      <c r="K2668" s="320"/>
      <c r="L2668" s="178">
        <v>21.8</v>
      </c>
      <c r="M2668" s="178">
        <v>15.070000000000004</v>
      </c>
      <c r="N2668" s="179">
        <v>0</v>
      </c>
      <c r="O2668" s="178">
        <v>36.870000000000005</v>
      </c>
      <c r="P2668" s="453"/>
      <c r="Q2668" s="61"/>
      <c r="R2668" s="298"/>
      <c r="S2668" s="669"/>
      <c r="T2668" s="73"/>
      <c r="U2668" s="69"/>
      <c r="V2668" s="69"/>
      <c r="W2668" s="69"/>
      <c r="X2668" s="444">
        <v>2668</v>
      </c>
      <c r="Y2668" s="69"/>
      <c r="Z2668" s="69"/>
      <c r="AA2668" s="69"/>
      <c r="AB2668" s="69"/>
      <c r="AC2668" s="69"/>
      <c r="AD2668" s="69"/>
      <c r="AE2668" s="69"/>
      <c r="AF2668" s="69"/>
    </row>
    <row r="2669" spans="1:32" ht="12">
      <c r="A2669" s="459" t="s">
        <v>22655</v>
      </c>
      <c r="B2669" s="64" t="s">
        <v>22656</v>
      </c>
      <c r="C2669" s="71" t="s">
        <v>509</v>
      </c>
      <c r="D2669" s="79">
        <v>1</v>
      </c>
      <c r="E2669" s="79">
        <v>54.2</v>
      </c>
      <c r="F2669" s="79">
        <v>54.2</v>
      </c>
      <c r="G2669" s="460"/>
      <c r="H2669" s="766">
        <v>54.19</v>
      </c>
      <c r="I2669" s="766">
        <v>66.650000000000006</v>
      </c>
      <c r="J2669" s="500">
        <v>-12.450000000000003</v>
      </c>
      <c r="K2669" s="466"/>
      <c r="L2669" s="766">
        <v>38.520000000000003</v>
      </c>
      <c r="M2669" s="766">
        <v>15.68</v>
      </c>
      <c r="N2669" s="767">
        <v>0</v>
      </c>
      <c r="O2669" s="766">
        <v>54.2</v>
      </c>
      <c r="P2669" s="446"/>
      <c r="Q2669" s="61"/>
      <c r="R2669" s="298"/>
      <c r="S2669" s="669"/>
      <c r="T2669" s="73"/>
      <c r="X2669" s="444">
        <v>2669</v>
      </c>
    </row>
    <row r="2670" spans="1:32" ht="12">
      <c r="A2670" s="83" t="s">
        <v>22657</v>
      </c>
      <c r="B2670" s="64" t="s">
        <v>22658</v>
      </c>
      <c r="C2670" s="71" t="s">
        <v>509</v>
      </c>
      <c r="D2670" s="79">
        <v>1</v>
      </c>
      <c r="E2670" s="79">
        <v>34.409999999999997</v>
      </c>
      <c r="F2670" s="79">
        <v>34.409999999999997</v>
      </c>
      <c r="G2670" s="445"/>
      <c r="H2670" s="178">
        <v>34.409999999999997</v>
      </c>
      <c r="I2670" s="178">
        <v>42.33</v>
      </c>
      <c r="J2670" s="70">
        <v>-7.9200000000000017</v>
      </c>
      <c r="K2670" s="320"/>
      <c r="L2670" s="178">
        <v>21.8</v>
      </c>
      <c r="M2670" s="178">
        <v>12.609999999999996</v>
      </c>
      <c r="N2670" s="179">
        <v>0</v>
      </c>
      <c r="O2670" s="178">
        <v>34.409999999999997</v>
      </c>
      <c r="P2670" s="453"/>
      <c r="Q2670" s="61"/>
      <c r="R2670" s="298"/>
      <c r="S2670" s="669"/>
      <c r="X2670" s="444">
        <v>2670</v>
      </c>
    </row>
    <row r="2671" spans="1:32" ht="12">
      <c r="A2671" s="83" t="s">
        <v>22659</v>
      </c>
      <c r="B2671" s="64" t="s">
        <v>22660</v>
      </c>
      <c r="C2671" s="71" t="s">
        <v>509</v>
      </c>
      <c r="D2671" s="79">
        <v>1</v>
      </c>
      <c r="E2671" s="79">
        <v>41.02</v>
      </c>
      <c r="F2671" s="79">
        <v>41.02</v>
      </c>
      <c r="G2671" s="445"/>
      <c r="H2671" s="178">
        <v>41.02</v>
      </c>
      <c r="I2671" s="178">
        <v>50.46</v>
      </c>
      <c r="J2671" s="70">
        <v>-9.4399999999999977</v>
      </c>
      <c r="K2671" s="320"/>
      <c r="L2671" s="178">
        <v>21.8</v>
      </c>
      <c r="M2671" s="178">
        <v>19.220000000000002</v>
      </c>
      <c r="N2671" s="179">
        <v>0</v>
      </c>
      <c r="O2671" s="178">
        <v>41.02</v>
      </c>
      <c r="P2671" s="453"/>
      <c r="Q2671" s="61"/>
      <c r="R2671" s="298"/>
      <c r="S2671" s="669"/>
      <c r="X2671" s="444">
        <v>2671</v>
      </c>
    </row>
    <row r="2672" spans="1:32" ht="12">
      <c r="A2672" s="83" t="s">
        <v>22661</v>
      </c>
      <c r="B2672" s="64" t="s">
        <v>22662</v>
      </c>
      <c r="C2672" s="71" t="s">
        <v>509</v>
      </c>
      <c r="D2672" s="79">
        <v>1</v>
      </c>
      <c r="E2672" s="79">
        <v>36.82</v>
      </c>
      <c r="F2672" s="79">
        <v>36.82</v>
      </c>
      <c r="G2672" s="445"/>
      <c r="H2672" s="178">
        <v>36.82</v>
      </c>
      <c r="I2672" s="178">
        <v>45.29</v>
      </c>
      <c r="J2672" s="70">
        <v>-8.4699999999999989</v>
      </c>
      <c r="K2672" s="320"/>
      <c r="L2672" s="178">
        <v>21.8</v>
      </c>
      <c r="M2672" s="178">
        <v>15.02</v>
      </c>
      <c r="N2672" s="179">
        <v>0</v>
      </c>
      <c r="O2672" s="178">
        <v>36.82</v>
      </c>
      <c r="P2672" s="453"/>
      <c r="Q2672" s="61"/>
      <c r="R2672" s="298"/>
      <c r="S2672" s="669"/>
      <c r="X2672" s="444">
        <v>2672</v>
      </c>
    </row>
    <row r="2673" spans="1:24" ht="12">
      <c r="A2673" s="83" t="s">
        <v>22663</v>
      </c>
      <c r="B2673" s="64" t="s">
        <v>22664</v>
      </c>
      <c r="C2673" s="71" t="s">
        <v>509</v>
      </c>
      <c r="D2673" s="79">
        <v>1</v>
      </c>
      <c r="E2673" s="79">
        <v>29.52</v>
      </c>
      <c r="F2673" s="79">
        <v>29.52</v>
      </c>
      <c r="G2673" s="445"/>
      <c r="H2673" s="178">
        <v>29.52</v>
      </c>
      <c r="I2673" s="178">
        <v>36.31</v>
      </c>
      <c r="J2673" s="70">
        <v>-6.7900000000000027</v>
      </c>
      <c r="K2673" s="320"/>
      <c r="L2673" s="178">
        <v>21.8</v>
      </c>
      <c r="M2673" s="178">
        <v>7.7199999999999989</v>
      </c>
      <c r="N2673" s="179">
        <v>0</v>
      </c>
      <c r="O2673" s="178">
        <v>29.52</v>
      </c>
      <c r="P2673" s="453"/>
      <c r="Q2673" s="61"/>
      <c r="R2673" s="298"/>
      <c r="S2673" s="669"/>
      <c r="X2673" s="444">
        <v>2673</v>
      </c>
    </row>
    <row r="2674" spans="1:24" ht="12">
      <c r="A2674" s="83" t="s">
        <v>22665</v>
      </c>
      <c r="B2674" s="64" t="s">
        <v>7836</v>
      </c>
      <c r="C2674" s="71" t="s">
        <v>509</v>
      </c>
      <c r="D2674" s="79">
        <v>1</v>
      </c>
      <c r="E2674" s="79">
        <v>38.53</v>
      </c>
      <c r="F2674" s="79">
        <v>38.53</v>
      </c>
      <c r="G2674" s="445"/>
      <c r="H2674" s="178">
        <v>38.54</v>
      </c>
      <c r="I2674" s="178">
        <v>47.4</v>
      </c>
      <c r="J2674" s="70">
        <v>-8.8699999999999974</v>
      </c>
      <c r="K2674" s="320"/>
      <c r="L2674" s="178">
        <v>21.8</v>
      </c>
      <c r="M2674" s="178">
        <v>16.73</v>
      </c>
      <c r="N2674" s="179">
        <v>0</v>
      </c>
      <c r="O2674" s="178">
        <v>38.53</v>
      </c>
      <c r="P2674" s="453"/>
      <c r="Q2674" s="61"/>
      <c r="R2674" s="298"/>
      <c r="S2674" s="669"/>
      <c r="X2674" s="444">
        <v>2674</v>
      </c>
    </row>
    <row r="2675" spans="1:24" ht="12">
      <c r="A2675" s="83" t="s">
        <v>22666</v>
      </c>
      <c r="B2675" s="64" t="s">
        <v>22667</v>
      </c>
      <c r="C2675" s="71" t="s">
        <v>509</v>
      </c>
      <c r="D2675" s="79">
        <v>1</v>
      </c>
      <c r="E2675" s="79">
        <v>49.569999999999993</v>
      </c>
      <c r="F2675" s="79">
        <v>49.57</v>
      </c>
      <c r="G2675" s="445"/>
      <c r="H2675" s="178">
        <v>49.56</v>
      </c>
      <c r="I2675" s="178">
        <v>60.96</v>
      </c>
      <c r="J2675" s="70">
        <v>-11.390000000000008</v>
      </c>
      <c r="K2675" s="320"/>
      <c r="L2675" s="178">
        <v>34.849999999999994</v>
      </c>
      <c r="M2675" s="178">
        <v>14.719999999999999</v>
      </c>
      <c r="N2675" s="179">
        <v>0</v>
      </c>
      <c r="O2675" s="178">
        <v>49.569999999999993</v>
      </c>
      <c r="P2675" s="453"/>
      <c r="Q2675" s="61"/>
      <c r="R2675" s="298"/>
      <c r="S2675" s="669"/>
      <c r="T2675" s="61"/>
      <c r="X2675" s="444">
        <v>2675</v>
      </c>
    </row>
    <row r="2676" spans="1:24">
      <c r="A2676" s="67" t="s">
        <v>29673</v>
      </c>
      <c r="B2676" s="67" t="s">
        <v>39966</v>
      </c>
      <c r="C2676" s="71" t="s">
        <v>509</v>
      </c>
      <c r="D2676" s="79">
        <v>1</v>
      </c>
      <c r="E2676" s="79">
        <v>52.410000000000004</v>
      </c>
      <c r="F2676" s="79">
        <v>52.41</v>
      </c>
      <c r="H2676" s="178">
        <v>52.4</v>
      </c>
      <c r="I2676" s="178">
        <v>64.45</v>
      </c>
      <c r="J2676" s="70">
        <v>-12.04</v>
      </c>
      <c r="K2676" s="320"/>
      <c r="L2676" s="178">
        <v>18.14</v>
      </c>
      <c r="M2676" s="178">
        <v>34.270000000000003</v>
      </c>
      <c r="N2676" s="179">
        <v>0</v>
      </c>
      <c r="O2676" s="178">
        <v>52.410000000000004</v>
      </c>
      <c r="Q2676" s="61"/>
      <c r="R2676" s="298"/>
      <c r="S2676" s="669"/>
      <c r="X2676" s="444">
        <v>2676</v>
      </c>
    </row>
    <row r="2677" spans="1:24" ht="24">
      <c r="A2677" s="83" t="s">
        <v>22668</v>
      </c>
      <c r="B2677" s="64" t="s">
        <v>22669</v>
      </c>
      <c r="C2677" s="71" t="s">
        <v>509</v>
      </c>
      <c r="D2677" s="79">
        <v>1</v>
      </c>
      <c r="E2677" s="79">
        <v>89.850000000000009</v>
      </c>
      <c r="F2677" s="79">
        <v>89.85</v>
      </c>
      <c r="G2677" s="320"/>
      <c r="H2677" s="178">
        <v>89.85</v>
      </c>
      <c r="I2677" s="178">
        <v>110.51</v>
      </c>
      <c r="J2677" s="70">
        <v>-20.659999999999997</v>
      </c>
      <c r="K2677" s="320"/>
      <c r="L2677" s="178">
        <v>5.0999999999999996</v>
      </c>
      <c r="M2677" s="178">
        <v>84.750000000000014</v>
      </c>
      <c r="N2677" s="179">
        <v>0</v>
      </c>
      <c r="O2677" s="178">
        <v>89.850000000000009</v>
      </c>
      <c r="P2677" s="453"/>
      <c r="Q2677" s="61"/>
      <c r="R2677" s="298"/>
      <c r="S2677" s="669"/>
      <c r="T2677" s="61"/>
      <c r="X2677" s="444">
        <v>2677</v>
      </c>
    </row>
    <row r="2678" spans="1:24" ht="24">
      <c r="A2678" s="83" t="s">
        <v>22670</v>
      </c>
      <c r="B2678" s="64" t="s">
        <v>22671</v>
      </c>
      <c r="C2678" s="71" t="s">
        <v>509</v>
      </c>
      <c r="D2678" s="79">
        <v>1</v>
      </c>
      <c r="E2678" s="79">
        <v>22.209999999999997</v>
      </c>
      <c r="F2678" s="79">
        <v>22.21</v>
      </c>
      <c r="G2678" s="320"/>
      <c r="H2678" s="178">
        <v>22.2</v>
      </c>
      <c r="I2678" s="178">
        <v>27.3</v>
      </c>
      <c r="J2678" s="70">
        <v>-5.0900000000000034</v>
      </c>
      <c r="K2678" s="320"/>
      <c r="L2678" s="178">
        <v>5.0999999999999996</v>
      </c>
      <c r="M2678" s="178">
        <v>17.11</v>
      </c>
      <c r="N2678" s="179">
        <v>0</v>
      </c>
      <c r="O2678" s="178">
        <v>22.21</v>
      </c>
      <c r="P2678" s="453"/>
      <c r="Q2678" s="61"/>
      <c r="R2678" s="298"/>
      <c r="S2678" s="669"/>
      <c r="T2678" s="61"/>
      <c r="X2678" s="444">
        <v>2678</v>
      </c>
    </row>
    <row r="2679" spans="1:24" ht="12">
      <c r="A2679" s="83" t="s">
        <v>22672</v>
      </c>
      <c r="B2679" s="64" t="s">
        <v>22673</v>
      </c>
      <c r="C2679" s="71" t="s">
        <v>509</v>
      </c>
      <c r="D2679" s="79">
        <v>1</v>
      </c>
      <c r="E2679" s="79">
        <v>46.019999999999996</v>
      </c>
      <c r="F2679" s="79">
        <v>46.02</v>
      </c>
      <c r="G2679" s="445"/>
      <c r="H2679" s="178">
        <v>46.03</v>
      </c>
      <c r="I2679" s="178">
        <v>56.62</v>
      </c>
      <c r="J2679" s="70">
        <v>-10.600000000000001</v>
      </c>
      <c r="K2679" s="320"/>
      <c r="L2679" s="178">
        <v>26.06</v>
      </c>
      <c r="M2679" s="178">
        <v>19.959999999999997</v>
      </c>
      <c r="N2679" s="179">
        <v>0</v>
      </c>
      <c r="O2679" s="178">
        <v>46.019999999999996</v>
      </c>
      <c r="P2679" s="453"/>
      <c r="Q2679" s="61"/>
      <c r="R2679" s="298"/>
      <c r="S2679" s="669"/>
      <c r="T2679" s="61"/>
      <c r="X2679" s="444">
        <v>2679</v>
      </c>
    </row>
    <row r="2680" spans="1:24" ht="12">
      <c r="A2680" s="83" t="s">
        <v>22674</v>
      </c>
      <c r="B2680" s="64" t="s">
        <v>22675</v>
      </c>
      <c r="C2680" s="71" t="s">
        <v>509</v>
      </c>
      <c r="D2680" s="79">
        <v>1</v>
      </c>
      <c r="E2680" s="79">
        <v>47.939999999999991</v>
      </c>
      <c r="F2680" s="79">
        <v>47.94</v>
      </c>
      <c r="G2680" s="445"/>
      <c r="H2680" s="178">
        <v>47.96</v>
      </c>
      <c r="I2680" s="178">
        <v>58.99</v>
      </c>
      <c r="J2680" s="70">
        <v>-11.050000000000011</v>
      </c>
      <c r="K2680" s="320"/>
      <c r="L2680" s="178">
        <v>26.06</v>
      </c>
      <c r="M2680" s="178">
        <v>21.879999999999992</v>
      </c>
      <c r="N2680" s="179">
        <v>0</v>
      </c>
      <c r="O2680" s="178">
        <v>47.939999999999991</v>
      </c>
      <c r="P2680" s="453"/>
      <c r="Q2680" s="61"/>
      <c r="R2680" s="298"/>
      <c r="S2680" s="669"/>
      <c r="X2680" s="444">
        <v>2680</v>
      </c>
    </row>
    <row r="2681" spans="1:24" ht="12">
      <c r="A2681" s="83" t="s">
        <v>22676</v>
      </c>
      <c r="B2681" s="64" t="s">
        <v>22677</v>
      </c>
      <c r="C2681" s="71" t="s">
        <v>509</v>
      </c>
      <c r="D2681" s="79">
        <v>1</v>
      </c>
      <c r="E2681" s="79">
        <v>46.779999999999987</v>
      </c>
      <c r="F2681" s="79">
        <v>46.78</v>
      </c>
      <c r="G2681" s="445"/>
      <c r="H2681" s="178">
        <v>46.79</v>
      </c>
      <c r="I2681" s="178">
        <v>57.55</v>
      </c>
      <c r="J2681" s="70">
        <v>-10.77000000000001</v>
      </c>
      <c r="K2681" s="320"/>
      <c r="L2681" s="178">
        <v>26.06</v>
      </c>
      <c r="M2681" s="178">
        <v>20.719999999999988</v>
      </c>
      <c r="N2681" s="179">
        <v>0</v>
      </c>
      <c r="O2681" s="178">
        <v>46.779999999999987</v>
      </c>
      <c r="P2681" s="453"/>
      <c r="Q2681" s="61"/>
      <c r="R2681" s="298"/>
      <c r="S2681" s="669"/>
      <c r="T2681" s="73"/>
      <c r="X2681" s="444">
        <v>2681</v>
      </c>
    </row>
    <row r="2682" spans="1:24" ht="12">
      <c r="A2682" s="83" t="s">
        <v>22678</v>
      </c>
      <c r="B2682" s="64" t="s">
        <v>22679</v>
      </c>
      <c r="C2682" s="71" t="s">
        <v>509</v>
      </c>
      <c r="D2682" s="79">
        <v>1</v>
      </c>
      <c r="E2682" s="79">
        <v>29.630000000000003</v>
      </c>
      <c r="F2682" s="79">
        <v>29.63</v>
      </c>
      <c r="G2682" s="445"/>
      <c r="H2682" s="178">
        <v>29.61</v>
      </c>
      <c r="I2682" s="178">
        <v>36.42</v>
      </c>
      <c r="J2682" s="70">
        <v>-6.7899999999999991</v>
      </c>
      <c r="K2682" s="320"/>
      <c r="L2682" s="178">
        <v>18.14</v>
      </c>
      <c r="M2682" s="178">
        <v>11.490000000000002</v>
      </c>
      <c r="N2682" s="179">
        <v>0</v>
      </c>
      <c r="O2682" s="178">
        <v>29.630000000000003</v>
      </c>
      <c r="P2682" s="453"/>
      <c r="Q2682" s="61"/>
      <c r="R2682" s="298"/>
      <c r="S2682" s="669"/>
      <c r="X2682" s="444">
        <v>2682</v>
      </c>
    </row>
    <row r="2683" spans="1:24" ht="12">
      <c r="A2683" s="83" t="s">
        <v>22680</v>
      </c>
      <c r="B2683" s="64" t="s">
        <v>22681</v>
      </c>
      <c r="C2683" s="71" t="s">
        <v>509</v>
      </c>
      <c r="D2683" s="79">
        <v>1</v>
      </c>
      <c r="E2683" s="79">
        <v>30.319999999999997</v>
      </c>
      <c r="F2683" s="79">
        <v>30.32</v>
      </c>
      <c r="G2683" s="445"/>
      <c r="H2683" s="178">
        <v>30.33</v>
      </c>
      <c r="I2683" s="178">
        <v>37.299999999999997</v>
      </c>
      <c r="J2683" s="70">
        <v>-6.98</v>
      </c>
      <c r="K2683" s="320"/>
      <c r="L2683" s="178">
        <v>21.8</v>
      </c>
      <c r="M2683" s="178">
        <v>8.519999999999996</v>
      </c>
      <c r="N2683" s="179">
        <v>0</v>
      </c>
      <c r="O2683" s="178">
        <v>30.319999999999997</v>
      </c>
      <c r="P2683" s="453"/>
      <c r="Q2683" s="61"/>
      <c r="R2683" s="298"/>
      <c r="S2683" s="669"/>
      <c r="X2683" s="444">
        <v>2683</v>
      </c>
    </row>
    <row r="2684" spans="1:24" ht="12">
      <c r="A2684" s="83" t="s">
        <v>22682</v>
      </c>
      <c r="B2684" s="64" t="s">
        <v>22683</v>
      </c>
      <c r="C2684" s="71" t="s">
        <v>509</v>
      </c>
      <c r="D2684" s="79">
        <v>1</v>
      </c>
      <c r="E2684" s="79">
        <v>28.66</v>
      </c>
      <c r="F2684" s="79">
        <v>28.66</v>
      </c>
      <c r="G2684" s="445"/>
      <c r="H2684" s="178">
        <v>28.66</v>
      </c>
      <c r="I2684" s="178">
        <v>35.25</v>
      </c>
      <c r="J2684" s="70">
        <v>-6.59</v>
      </c>
      <c r="K2684" s="320"/>
      <c r="L2684" s="178">
        <v>21.8</v>
      </c>
      <c r="M2684" s="178">
        <v>6.8599999999999994</v>
      </c>
      <c r="N2684" s="179">
        <v>0</v>
      </c>
      <c r="O2684" s="178">
        <v>28.66</v>
      </c>
      <c r="P2684" s="453"/>
      <c r="Q2684" s="61"/>
      <c r="R2684" s="298"/>
      <c r="S2684" s="669"/>
      <c r="X2684" s="444">
        <v>2684</v>
      </c>
    </row>
    <row r="2685" spans="1:24" ht="12">
      <c r="A2685" s="83" t="s">
        <v>22684</v>
      </c>
      <c r="B2685" s="64" t="s">
        <v>7824</v>
      </c>
      <c r="C2685" s="71" t="s">
        <v>509</v>
      </c>
      <c r="D2685" s="79">
        <v>1</v>
      </c>
      <c r="E2685" s="79">
        <v>30.240000000000002</v>
      </c>
      <c r="F2685" s="79">
        <v>30.24</v>
      </c>
      <c r="G2685" s="445"/>
      <c r="H2685" s="178">
        <v>30.24</v>
      </c>
      <c r="I2685" s="178">
        <v>37.200000000000003</v>
      </c>
      <c r="J2685" s="70">
        <v>-6.9600000000000009</v>
      </c>
      <c r="K2685" s="320"/>
      <c r="L2685" s="178">
        <v>22.93</v>
      </c>
      <c r="M2685" s="178">
        <v>7.3100000000000023</v>
      </c>
      <c r="N2685" s="179">
        <v>0</v>
      </c>
      <c r="O2685" s="178">
        <v>30.240000000000002</v>
      </c>
      <c r="P2685" s="453"/>
      <c r="Q2685" s="61"/>
      <c r="R2685" s="298"/>
      <c r="S2685" s="669"/>
      <c r="X2685" s="444">
        <v>2685</v>
      </c>
    </row>
    <row r="2686" spans="1:24" ht="12">
      <c r="A2686" s="83" t="s">
        <v>22685</v>
      </c>
      <c r="B2686" s="64" t="s">
        <v>22686</v>
      </c>
      <c r="C2686" s="71" t="s">
        <v>10216</v>
      </c>
      <c r="D2686" s="79">
        <v>1</v>
      </c>
      <c r="E2686" s="79">
        <v>577.26</v>
      </c>
      <c r="F2686" s="79">
        <v>577.26</v>
      </c>
      <c r="G2686" s="445"/>
      <c r="H2686" s="178">
        <v>577.25</v>
      </c>
      <c r="I2686" s="178">
        <v>710.02</v>
      </c>
      <c r="J2686" s="70">
        <v>-132.76</v>
      </c>
      <c r="K2686" s="320"/>
      <c r="L2686" s="178"/>
      <c r="M2686" s="178">
        <v>577.26</v>
      </c>
      <c r="N2686" s="179">
        <v>0</v>
      </c>
      <c r="O2686" s="178">
        <v>577.26</v>
      </c>
      <c r="P2686" s="453"/>
      <c r="Q2686" s="61"/>
      <c r="R2686" s="298"/>
      <c r="S2686" s="669"/>
      <c r="X2686" s="444">
        <v>2686</v>
      </c>
    </row>
    <row r="2687" spans="1:24" ht="12">
      <c r="A2687" s="83" t="s">
        <v>12134</v>
      </c>
      <c r="B2687" s="64" t="s">
        <v>22687</v>
      </c>
      <c r="C2687" s="71"/>
      <c r="D2687" s="79" t="s">
        <v>40899</v>
      </c>
      <c r="E2687" s="79" t="s">
        <v>40899</v>
      </c>
      <c r="F2687" s="79"/>
      <c r="G2687" s="445"/>
      <c r="H2687" s="178"/>
      <c r="I2687" s="178"/>
      <c r="J2687" s="70"/>
      <c r="K2687" s="320"/>
      <c r="L2687" s="178"/>
      <c r="M2687" s="178"/>
      <c r="N2687" s="179"/>
      <c r="O2687" s="178"/>
      <c r="P2687" s="453"/>
      <c r="Q2687" s="61"/>
      <c r="R2687" s="298"/>
      <c r="S2687" s="669"/>
      <c r="T2687" s="61"/>
      <c r="X2687" s="444">
        <v>2687</v>
      </c>
    </row>
    <row r="2688" spans="1:24" ht="12">
      <c r="A2688" s="83" t="s">
        <v>22688</v>
      </c>
      <c r="B2688" s="64" t="s">
        <v>22689</v>
      </c>
      <c r="C2688" s="71" t="s">
        <v>509</v>
      </c>
      <c r="D2688" s="79">
        <v>1</v>
      </c>
      <c r="E2688" s="79">
        <v>28.69</v>
      </c>
      <c r="F2688" s="79">
        <v>28.69</v>
      </c>
      <c r="G2688" s="445"/>
      <c r="H2688" s="178">
        <v>28.67</v>
      </c>
      <c r="I2688" s="178">
        <v>35.270000000000003</v>
      </c>
      <c r="J2688" s="70">
        <v>-6.5800000000000018</v>
      </c>
      <c r="K2688" s="320"/>
      <c r="L2688" s="178">
        <v>16.72</v>
      </c>
      <c r="M2688" s="178">
        <v>11.970000000000002</v>
      </c>
      <c r="N2688" s="179">
        <v>0</v>
      </c>
      <c r="O2688" s="178">
        <v>28.69</v>
      </c>
      <c r="P2688" s="453"/>
      <c r="Q2688" s="61"/>
      <c r="R2688" s="298"/>
      <c r="S2688" s="669"/>
      <c r="X2688" s="444">
        <v>2688</v>
      </c>
    </row>
    <row r="2689" spans="1:24" ht="12">
      <c r="A2689" s="83" t="s">
        <v>22690</v>
      </c>
      <c r="B2689" s="64" t="s">
        <v>22691</v>
      </c>
      <c r="C2689" s="71" t="s">
        <v>509</v>
      </c>
      <c r="D2689" s="79">
        <v>1</v>
      </c>
      <c r="E2689" s="79">
        <v>32</v>
      </c>
      <c r="F2689" s="79">
        <v>32</v>
      </c>
      <c r="G2689" s="445"/>
      <c r="H2689" s="178">
        <v>32.01</v>
      </c>
      <c r="I2689" s="178">
        <v>39.369999999999997</v>
      </c>
      <c r="J2689" s="70">
        <v>-7.3699999999999974</v>
      </c>
      <c r="K2689" s="320"/>
      <c r="L2689" s="178">
        <v>21.8</v>
      </c>
      <c r="M2689" s="178">
        <v>10.199999999999999</v>
      </c>
      <c r="N2689" s="179">
        <v>0</v>
      </c>
      <c r="O2689" s="178">
        <v>32</v>
      </c>
      <c r="P2689" s="453"/>
      <c r="Q2689" s="61"/>
      <c r="R2689" s="298"/>
      <c r="S2689" s="669"/>
      <c r="X2689" s="444">
        <v>2689</v>
      </c>
    </row>
    <row r="2690" spans="1:24" ht="12">
      <c r="A2690" s="83" t="s">
        <v>22692</v>
      </c>
      <c r="B2690" s="64" t="s">
        <v>22693</v>
      </c>
      <c r="C2690" s="71" t="s">
        <v>509</v>
      </c>
      <c r="D2690" s="79">
        <v>1</v>
      </c>
      <c r="E2690" s="79">
        <v>30.480000000000004</v>
      </c>
      <c r="F2690" s="79">
        <v>30.48</v>
      </c>
      <c r="G2690" s="445"/>
      <c r="H2690" s="178">
        <v>30.47</v>
      </c>
      <c r="I2690" s="178">
        <v>37.479999999999997</v>
      </c>
      <c r="J2690" s="70">
        <v>-6.9999999999999929</v>
      </c>
      <c r="K2690" s="320"/>
      <c r="L2690" s="178">
        <v>25.490000000000002</v>
      </c>
      <c r="M2690" s="178">
        <v>4.990000000000002</v>
      </c>
      <c r="N2690" s="179">
        <v>0</v>
      </c>
      <c r="O2690" s="178">
        <v>30.480000000000004</v>
      </c>
      <c r="P2690" s="453"/>
      <c r="Q2690" s="61"/>
      <c r="R2690" s="298"/>
      <c r="S2690" s="669"/>
      <c r="T2690" s="61"/>
      <c r="X2690" s="444">
        <v>2690</v>
      </c>
    </row>
    <row r="2691" spans="1:24" ht="12">
      <c r="A2691" s="83" t="s">
        <v>22694</v>
      </c>
      <c r="B2691" s="64" t="s">
        <v>22695</v>
      </c>
      <c r="C2691" s="71" t="s">
        <v>509</v>
      </c>
      <c r="D2691" s="79">
        <v>1</v>
      </c>
      <c r="E2691" s="79">
        <v>39.81</v>
      </c>
      <c r="F2691" s="79">
        <v>39.81</v>
      </c>
      <c r="G2691" s="445"/>
      <c r="H2691" s="178">
        <v>39.82</v>
      </c>
      <c r="I2691" s="178">
        <v>48.98</v>
      </c>
      <c r="J2691" s="70">
        <v>-9.1699999999999946</v>
      </c>
      <c r="K2691" s="320"/>
      <c r="L2691" s="178">
        <v>21.8</v>
      </c>
      <c r="M2691" s="178">
        <v>18.010000000000002</v>
      </c>
      <c r="N2691" s="179">
        <v>0</v>
      </c>
      <c r="O2691" s="178">
        <v>39.81</v>
      </c>
      <c r="P2691" s="453"/>
      <c r="Q2691" s="61"/>
      <c r="R2691" s="298"/>
      <c r="S2691" s="669"/>
      <c r="X2691" s="444">
        <v>2691</v>
      </c>
    </row>
    <row r="2692" spans="1:24" ht="12">
      <c r="A2692" s="459" t="s">
        <v>22696</v>
      </c>
      <c r="B2692" s="64" t="s">
        <v>22697</v>
      </c>
      <c r="C2692" s="71" t="s">
        <v>509</v>
      </c>
      <c r="D2692" s="79">
        <v>1</v>
      </c>
      <c r="E2692" s="79">
        <v>66.580000000000013</v>
      </c>
      <c r="F2692" s="79">
        <v>66.58</v>
      </c>
      <c r="G2692" s="460"/>
      <c r="H2692" s="766">
        <v>66.58</v>
      </c>
      <c r="I2692" s="766">
        <v>81.89</v>
      </c>
      <c r="J2692" s="500">
        <v>-15.309999999999988</v>
      </c>
      <c r="K2692" s="466"/>
      <c r="L2692" s="766">
        <v>38.520000000000003</v>
      </c>
      <c r="M2692" s="766">
        <v>28.060000000000009</v>
      </c>
      <c r="N2692" s="767">
        <v>0</v>
      </c>
      <c r="O2692" s="766">
        <v>66.580000000000013</v>
      </c>
      <c r="P2692" s="446"/>
      <c r="Q2692" s="61"/>
      <c r="R2692" s="298"/>
      <c r="S2692" s="669"/>
      <c r="T2692" s="73"/>
      <c r="X2692" s="444">
        <v>2692</v>
      </c>
    </row>
    <row r="2693" spans="1:24" ht="12">
      <c r="A2693" s="83" t="s">
        <v>22698</v>
      </c>
      <c r="B2693" s="64" t="s">
        <v>22699</v>
      </c>
      <c r="C2693" s="71" t="s">
        <v>509</v>
      </c>
      <c r="D2693" s="79">
        <v>1</v>
      </c>
      <c r="E2693" s="79">
        <v>14.7</v>
      </c>
      <c r="F2693" s="79">
        <v>14.7</v>
      </c>
      <c r="G2693" s="445"/>
      <c r="H2693" s="178">
        <v>14.71</v>
      </c>
      <c r="I2693" s="178">
        <v>18.09</v>
      </c>
      <c r="J2693" s="70">
        <v>-3.3900000000000006</v>
      </c>
      <c r="K2693" s="320"/>
      <c r="L2693" s="178">
        <v>9.52</v>
      </c>
      <c r="M2693" s="178">
        <v>5.18</v>
      </c>
      <c r="N2693" s="179">
        <v>0</v>
      </c>
      <c r="O2693" s="178">
        <v>14.7</v>
      </c>
      <c r="P2693" s="453"/>
      <c r="Q2693" s="61"/>
      <c r="R2693" s="298"/>
      <c r="S2693" s="669"/>
      <c r="X2693" s="444">
        <v>2693</v>
      </c>
    </row>
    <row r="2694" spans="1:24" ht="12">
      <c r="A2694" s="83" t="s">
        <v>22700</v>
      </c>
      <c r="B2694" s="64" t="s">
        <v>22701</v>
      </c>
      <c r="C2694" s="71" t="s">
        <v>509</v>
      </c>
      <c r="D2694" s="79">
        <v>1</v>
      </c>
      <c r="E2694" s="79">
        <v>32.19</v>
      </c>
      <c r="F2694" s="79">
        <v>32.19</v>
      </c>
      <c r="G2694" s="445"/>
      <c r="H2694" s="178">
        <v>32.200000000000003</v>
      </c>
      <c r="I2694" s="178">
        <v>39.6</v>
      </c>
      <c r="J2694" s="70">
        <v>-7.4100000000000037</v>
      </c>
      <c r="K2694" s="320"/>
      <c r="L2694" s="178">
        <v>20.38</v>
      </c>
      <c r="M2694" s="178">
        <v>11.809999999999999</v>
      </c>
      <c r="N2694" s="179">
        <v>0</v>
      </c>
      <c r="O2694" s="178">
        <v>32.19</v>
      </c>
      <c r="P2694" s="453"/>
      <c r="Q2694" s="61"/>
      <c r="R2694" s="298"/>
      <c r="S2694" s="669"/>
      <c r="X2694" s="444">
        <v>2694</v>
      </c>
    </row>
    <row r="2695" spans="1:24" ht="12">
      <c r="A2695" s="459" t="s">
        <v>22702</v>
      </c>
      <c r="B2695" s="64" t="s">
        <v>22703</v>
      </c>
      <c r="C2695" s="71" t="s">
        <v>509</v>
      </c>
      <c r="D2695" s="79">
        <v>1</v>
      </c>
      <c r="E2695" s="79">
        <v>68.500000000000014</v>
      </c>
      <c r="F2695" s="79">
        <v>68.5</v>
      </c>
      <c r="G2695" s="460"/>
      <c r="H2695" s="766">
        <v>68.5</v>
      </c>
      <c r="I2695" s="766">
        <v>84.26</v>
      </c>
      <c r="J2695" s="500">
        <v>-15.759999999999991</v>
      </c>
      <c r="K2695" s="466"/>
      <c r="L2695" s="766">
        <v>38.520000000000003</v>
      </c>
      <c r="M2695" s="766">
        <v>29.980000000000011</v>
      </c>
      <c r="N2695" s="767">
        <v>0</v>
      </c>
      <c r="O2695" s="766">
        <v>68.500000000000014</v>
      </c>
      <c r="P2695" s="446"/>
      <c r="Q2695" s="61"/>
      <c r="R2695" s="298"/>
      <c r="S2695" s="669"/>
      <c r="T2695" s="73"/>
      <c r="X2695" s="444">
        <v>2695</v>
      </c>
    </row>
    <row r="2696" spans="1:24" ht="12">
      <c r="A2696" s="83" t="s">
        <v>22704</v>
      </c>
      <c r="B2696" s="64" t="s">
        <v>22705</v>
      </c>
      <c r="C2696" s="71" t="s">
        <v>509</v>
      </c>
      <c r="D2696" s="79">
        <v>1</v>
      </c>
      <c r="E2696" s="79">
        <v>29.630000000000003</v>
      </c>
      <c r="F2696" s="79">
        <v>29.63</v>
      </c>
      <c r="G2696" s="445"/>
      <c r="H2696" s="178">
        <v>29.61</v>
      </c>
      <c r="I2696" s="178">
        <v>36.42</v>
      </c>
      <c r="J2696" s="70">
        <v>-6.7899999999999991</v>
      </c>
      <c r="K2696" s="320"/>
      <c r="L2696" s="178">
        <v>18.14</v>
      </c>
      <c r="M2696" s="178">
        <v>11.490000000000002</v>
      </c>
      <c r="N2696" s="179">
        <v>0</v>
      </c>
      <c r="O2696" s="178">
        <v>29.630000000000003</v>
      </c>
      <c r="P2696" s="453"/>
      <c r="Q2696" s="61"/>
      <c r="R2696" s="298"/>
      <c r="S2696" s="669"/>
      <c r="X2696" s="444">
        <v>2696</v>
      </c>
    </row>
    <row r="2697" spans="1:24" ht="12">
      <c r="A2697" s="83" t="s">
        <v>22706</v>
      </c>
      <c r="B2697" s="64" t="s">
        <v>22707</v>
      </c>
      <c r="C2697" s="71" t="s">
        <v>509</v>
      </c>
      <c r="D2697" s="79">
        <v>1</v>
      </c>
      <c r="E2697" s="79">
        <v>34.78</v>
      </c>
      <c r="F2697" s="79">
        <v>34.78</v>
      </c>
      <c r="G2697" s="445"/>
      <c r="H2697" s="178">
        <v>34.770000000000003</v>
      </c>
      <c r="I2697" s="178">
        <v>42.77</v>
      </c>
      <c r="J2697" s="70">
        <v>-7.990000000000002</v>
      </c>
      <c r="K2697" s="320"/>
      <c r="L2697" s="178">
        <v>28.549999999999997</v>
      </c>
      <c r="M2697" s="178">
        <v>6.230000000000004</v>
      </c>
      <c r="N2697" s="179">
        <v>0</v>
      </c>
      <c r="O2697" s="178">
        <v>34.78</v>
      </c>
      <c r="P2697" s="453"/>
      <c r="Q2697" s="61"/>
      <c r="R2697" s="298"/>
      <c r="S2697" s="669"/>
      <c r="X2697" s="444">
        <v>2697</v>
      </c>
    </row>
    <row r="2698" spans="1:24" ht="12">
      <c r="A2698" s="83" t="s">
        <v>22708</v>
      </c>
      <c r="B2698" s="64" t="s">
        <v>22709</v>
      </c>
      <c r="C2698" s="71" t="s">
        <v>509</v>
      </c>
      <c r="D2698" s="79">
        <v>1</v>
      </c>
      <c r="E2698" s="79">
        <v>37.19</v>
      </c>
      <c r="F2698" s="79">
        <v>37.19</v>
      </c>
      <c r="G2698" s="445"/>
      <c r="H2698" s="178">
        <v>37.18</v>
      </c>
      <c r="I2698" s="178">
        <v>45.73</v>
      </c>
      <c r="J2698" s="70">
        <v>-8.5399999999999991</v>
      </c>
      <c r="K2698" s="320"/>
      <c r="L2698" s="178">
        <v>28.549999999999997</v>
      </c>
      <c r="M2698" s="178">
        <v>8.64</v>
      </c>
      <c r="N2698" s="179">
        <v>0</v>
      </c>
      <c r="O2698" s="178">
        <v>37.19</v>
      </c>
      <c r="P2698" s="453"/>
      <c r="Q2698" s="61"/>
      <c r="R2698" s="298"/>
      <c r="S2698" s="669"/>
      <c r="X2698" s="444">
        <v>2698</v>
      </c>
    </row>
    <row r="2699" spans="1:24" ht="12">
      <c r="A2699" s="83" t="s">
        <v>22710</v>
      </c>
      <c r="B2699" s="64" t="s">
        <v>22711</v>
      </c>
      <c r="C2699" s="71" t="s">
        <v>509</v>
      </c>
      <c r="D2699" s="79">
        <v>1</v>
      </c>
      <c r="E2699" s="79">
        <v>40.269999999999996</v>
      </c>
      <c r="F2699" s="79">
        <v>40.270000000000003</v>
      </c>
      <c r="G2699" s="445"/>
      <c r="H2699" s="178">
        <v>40.26</v>
      </c>
      <c r="I2699" s="178">
        <v>49.52</v>
      </c>
      <c r="J2699" s="70">
        <v>-9.2500000000000071</v>
      </c>
      <c r="K2699" s="320"/>
      <c r="L2699" s="178">
        <v>28.549999999999997</v>
      </c>
      <c r="M2699" s="178">
        <v>11.719999999999999</v>
      </c>
      <c r="N2699" s="179">
        <v>0</v>
      </c>
      <c r="O2699" s="178">
        <v>40.269999999999996</v>
      </c>
      <c r="P2699" s="453"/>
      <c r="Q2699" s="61"/>
      <c r="R2699" s="298"/>
      <c r="S2699" s="669"/>
      <c r="X2699" s="444">
        <v>2699</v>
      </c>
    </row>
    <row r="2700" spans="1:24" ht="12">
      <c r="A2700" s="83" t="s">
        <v>22712</v>
      </c>
      <c r="B2700" s="64" t="s">
        <v>22713</v>
      </c>
      <c r="C2700" s="71" t="s">
        <v>509</v>
      </c>
      <c r="D2700" s="79">
        <v>1</v>
      </c>
      <c r="E2700" s="79">
        <v>43.5</v>
      </c>
      <c r="F2700" s="79">
        <v>43.5</v>
      </c>
      <c r="G2700" s="445"/>
      <c r="H2700" s="178">
        <v>43.5</v>
      </c>
      <c r="I2700" s="178">
        <v>53.5</v>
      </c>
      <c r="J2700" s="70">
        <v>-10</v>
      </c>
      <c r="K2700" s="320"/>
      <c r="L2700" s="178">
        <v>28.549999999999997</v>
      </c>
      <c r="M2700" s="178">
        <v>14.950000000000003</v>
      </c>
      <c r="N2700" s="179">
        <v>0</v>
      </c>
      <c r="O2700" s="178">
        <v>43.5</v>
      </c>
      <c r="P2700" s="453"/>
      <c r="Q2700" s="61"/>
      <c r="R2700" s="298"/>
      <c r="S2700" s="669"/>
      <c r="X2700" s="444">
        <v>2700</v>
      </c>
    </row>
    <row r="2701" spans="1:24" ht="12">
      <c r="A2701" s="83" t="s">
        <v>22714</v>
      </c>
      <c r="B2701" s="64" t="s">
        <v>22715</v>
      </c>
      <c r="C2701" s="71" t="s">
        <v>509</v>
      </c>
      <c r="D2701" s="79">
        <v>1</v>
      </c>
      <c r="E2701" s="79">
        <v>40.69</v>
      </c>
      <c r="F2701" s="79">
        <v>40.69</v>
      </c>
      <c r="G2701" s="445"/>
      <c r="H2701" s="178">
        <v>40.700000000000003</v>
      </c>
      <c r="I2701" s="178">
        <v>50.06</v>
      </c>
      <c r="J2701" s="70">
        <v>-9.3700000000000045</v>
      </c>
      <c r="K2701" s="320"/>
      <c r="L2701" s="178">
        <v>21.8</v>
      </c>
      <c r="M2701" s="178">
        <v>18.889999999999997</v>
      </c>
      <c r="N2701" s="179">
        <v>0</v>
      </c>
      <c r="O2701" s="178">
        <v>40.69</v>
      </c>
      <c r="P2701" s="453"/>
      <c r="Q2701" s="61"/>
      <c r="R2701" s="298"/>
      <c r="S2701" s="669"/>
      <c r="X2701" s="444">
        <v>2701</v>
      </c>
    </row>
    <row r="2702" spans="1:24" ht="12">
      <c r="A2702" s="83" t="s">
        <v>22716</v>
      </c>
      <c r="B2702" s="64" t="s">
        <v>22717</v>
      </c>
      <c r="C2702" s="71" t="s">
        <v>509</v>
      </c>
      <c r="D2702" s="79">
        <v>1</v>
      </c>
      <c r="E2702" s="79">
        <v>69.38</v>
      </c>
      <c r="F2702" s="79">
        <v>69.38</v>
      </c>
      <c r="G2702" s="445"/>
      <c r="H2702" s="178">
        <v>69.38</v>
      </c>
      <c r="I2702" s="178">
        <v>85.34</v>
      </c>
      <c r="J2702" s="70">
        <v>-15.960000000000008</v>
      </c>
      <c r="K2702" s="320"/>
      <c r="L2702" s="178">
        <v>38.520000000000003</v>
      </c>
      <c r="M2702" s="178">
        <v>30.859999999999992</v>
      </c>
      <c r="N2702" s="179">
        <v>0</v>
      </c>
      <c r="O2702" s="178">
        <v>69.38</v>
      </c>
      <c r="P2702" s="453"/>
      <c r="Q2702" s="61"/>
      <c r="R2702" s="298"/>
      <c r="S2702" s="669"/>
      <c r="X2702" s="444">
        <v>2702</v>
      </c>
    </row>
    <row r="2703" spans="1:24" ht="12">
      <c r="A2703" s="83" t="s">
        <v>22718</v>
      </c>
      <c r="B2703" s="64" t="s">
        <v>22719</v>
      </c>
      <c r="C2703" s="71" t="s">
        <v>509</v>
      </c>
      <c r="D2703" s="79">
        <v>1</v>
      </c>
      <c r="E2703" s="79">
        <v>20.72</v>
      </c>
      <c r="F2703" s="79">
        <v>20.72</v>
      </c>
      <c r="G2703" s="445"/>
      <c r="H2703" s="178">
        <v>20.72</v>
      </c>
      <c r="I2703" s="178">
        <v>25.49</v>
      </c>
      <c r="J2703" s="70">
        <v>-4.7699999999999996</v>
      </c>
      <c r="K2703" s="320"/>
      <c r="L2703" s="178">
        <v>9.52</v>
      </c>
      <c r="M2703" s="178">
        <v>11.2</v>
      </c>
      <c r="N2703" s="179">
        <v>0</v>
      </c>
      <c r="O2703" s="178">
        <v>20.72</v>
      </c>
      <c r="P2703" s="453"/>
      <c r="Q2703" s="61"/>
      <c r="R2703" s="298"/>
      <c r="S2703" s="669"/>
      <c r="X2703" s="444">
        <v>2703</v>
      </c>
    </row>
    <row r="2704" spans="1:24" ht="12">
      <c r="A2704" s="83" t="s">
        <v>22720</v>
      </c>
      <c r="B2704" s="64" t="s">
        <v>22721</v>
      </c>
      <c r="C2704" s="71" t="s">
        <v>509</v>
      </c>
      <c r="D2704" s="79">
        <v>1</v>
      </c>
      <c r="E2704" s="79">
        <v>47.209999999999994</v>
      </c>
      <c r="F2704" s="79">
        <v>47.21</v>
      </c>
      <c r="G2704" s="445"/>
      <c r="H2704" s="178">
        <v>47.2</v>
      </c>
      <c r="I2704" s="178">
        <v>58.06</v>
      </c>
      <c r="J2704" s="70">
        <v>-10.850000000000009</v>
      </c>
      <c r="K2704" s="320"/>
      <c r="L2704" s="178">
        <v>28.549999999999997</v>
      </c>
      <c r="M2704" s="178">
        <v>18.659999999999997</v>
      </c>
      <c r="N2704" s="179">
        <v>0</v>
      </c>
      <c r="O2704" s="178">
        <v>47.209999999999994</v>
      </c>
      <c r="P2704" s="453"/>
      <c r="Q2704" s="61"/>
      <c r="R2704" s="298"/>
      <c r="S2704" s="669"/>
      <c r="X2704" s="444">
        <v>2704</v>
      </c>
    </row>
    <row r="2705" spans="1:32" ht="12">
      <c r="A2705" s="83" t="s">
        <v>22722</v>
      </c>
      <c r="B2705" s="64" t="s">
        <v>39967</v>
      </c>
      <c r="C2705" s="71" t="s">
        <v>207</v>
      </c>
      <c r="D2705" s="79">
        <v>1</v>
      </c>
      <c r="E2705" s="79">
        <v>5.58</v>
      </c>
      <c r="F2705" s="79">
        <v>5.58</v>
      </c>
      <c r="G2705" s="320"/>
      <c r="H2705" s="178">
        <v>5.58</v>
      </c>
      <c r="I2705" s="178">
        <v>6.86</v>
      </c>
      <c r="J2705" s="70">
        <v>-1.2800000000000002</v>
      </c>
      <c r="K2705" s="320"/>
      <c r="L2705" s="178"/>
      <c r="M2705" s="178">
        <v>5.58</v>
      </c>
      <c r="N2705" s="179">
        <v>0</v>
      </c>
      <c r="O2705" s="178">
        <v>5.58</v>
      </c>
      <c r="P2705" s="453"/>
      <c r="Q2705" s="61"/>
      <c r="R2705" s="298"/>
      <c r="S2705" s="669"/>
      <c r="T2705" s="61"/>
      <c r="X2705" s="444">
        <v>2705</v>
      </c>
    </row>
    <row r="2706" spans="1:32" ht="12">
      <c r="A2706" s="83" t="s">
        <v>22723</v>
      </c>
      <c r="B2706" s="64" t="s">
        <v>22724</v>
      </c>
      <c r="C2706" s="71" t="s">
        <v>509</v>
      </c>
      <c r="D2706" s="79">
        <v>1</v>
      </c>
      <c r="E2706" s="79">
        <v>39.260000000000005</v>
      </c>
      <c r="F2706" s="79">
        <v>39.26</v>
      </c>
      <c r="G2706" s="445"/>
      <c r="H2706" s="178">
        <v>39.25</v>
      </c>
      <c r="I2706" s="178">
        <v>48.28</v>
      </c>
      <c r="J2706" s="70">
        <v>-9.019999999999996</v>
      </c>
      <c r="K2706" s="320"/>
      <c r="L2706" s="178">
        <v>25.490000000000002</v>
      </c>
      <c r="M2706" s="178">
        <v>13.770000000000003</v>
      </c>
      <c r="N2706" s="179">
        <v>0</v>
      </c>
      <c r="O2706" s="178">
        <v>39.260000000000005</v>
      </c>
      <c r="P2706" s="453"/>
      <c r="Q2706" s="61"/>
      <c r="R2706" s="298"/>
      <c r="S2706" s="669"/>
      <c r="U2706" s="61"/>
      <c r="V2706" s="61"/>
      <c r="W2706" s="61"/>
      <c r="X2706" s="444">
        <v>2706</v>
      </c>
      <c r="Y2706" s="61"/>
      <c r="Z2706" s="61"/>
      <c r="AA2706" s="61"/>
      <c r="AB2706" s="61"/>
      <c r="AC2706" s="61"/>
      <c r="AD2706" s="61"/>
      <c r="AE2706" s="61"/>
      <c r="AF2706" s="61"/>
    </row>
    <row r="2707" spans="1:32" ht="12">
      <c r="A2707" s="83" t="s">
        <v>22725</v>
      </c>
      <c r="B2707" s="64" t="s">
        <v>22726</v>
      </c>
      <c r="C2707" s="71" t="s">
        <v>509</v>
      </c>
      <c r="D2707" s="79">
        <v>1</v>
      </c>
      <c r="E2707" s="79">
        <v>42.179999999999993</v>
      </c>
      <c r="F2707" s="79">
        <v>42.18</v>
      </c>
      <c r="G2707" s="445"/>
      <c r="H2707" s="178">
        <v>42.16</v>
      </c>
      <c r="I2707" s="178">
        <v>51.86</v>
      </c>
      <c r="J2707" s="70">
        <v>-9.6800000000000068</v>
      </c>
      <c r="K2707" s="320"/>
      <c r="L2707" s="178">
        <v>28.549999999999997</v>
      </c>
      <c r="M2707" s="178">
        <v>13.629999999999995</v>
      </c>
      <c r="N2707" s="179">
        <v>0</v>
      </c>
      <c r="O2707" s="178">
        <v>42.179999999999993</v>
      </c>
      <c r="P2707" s="453"/>
      <c r="Q2707" s="61"/>
      <c r="R2707" s="298"/>
      <c r="S2707" s="669"/>
      <c r="X2707" s="444">
        <v>2707</v>
      </c>
    </row>
    <row r="2708" spans="1:32" ht="12">
      <c r="A2708" s="83" t="s">
        <v>22727</v>
      </c>
      <c r="B2708" s="64" t="s">
        <v>22728</v>
      </c>
      <c r="C2708" s="71" t="s">
        <v>165</v>
      </c>
      <c r="D2708" s="79">
        <v>1</v>
      </c>
      <c r="E2708" s="79">
        <v>4.83</v>
      </c>
      <c r="F2708" s="79">
        <v>4.83</v>
      </c>
      <c r="G2708" s="445"/>
      <c r="H2708" s="178">
        <v>4.83</v>
      </c>
      <c r="I2708" s="178">
        <v>5.94</v>
      </c>
      <c r="J2708" s="70">
        <v>-1.1100000000000003</v>
      </c>
      <c r="K2708" s="320"/>
      <c r="L2708" s="178">
        <v>2.84</v>
      </c>
      <c r="M2708" s="178">
        <v>1.9900000000000002</v>
      </c>
      <c r="N2708" s="179">
        <v>0</v>
      </c>
      <c r="O2708" s="178">
        <v>4.83</v>
      </c>
      <c r="P2708" s="453"/>
      <c r="Q2708" s="61"/>
      <c r="R2708" s="298"/>
      <c r="S2708" s="669"/>
      <c r="U2708" s="69"/>
      <c r="V2708" s="69"/>
      <c r="W2708" s="69"/>
      <c r="X2708" s="444">
        <v>2708</v>
      </c>
      <c r="Y2708" s="69"/>
      <c r="Z2708" s="69"/>
      <c r="AA2708" s="69"/>
      <c r="AB2708" s="69"/>
      <c r="AC2708" s="69"/>
      <c r="AD2708" s="69"/>
      <c r="AE2708" s="69"/>
      <c r="AF2708" s="69"/>
    </row>
    <row r="2709" spans="1:32" ht="12">
      <c r="A2709" s="83" t="s">
        <v>22729</v>
      </c>
      <c r="B2709" s="64" t="s">
        <v>22730</v>
      </c>
      <c r="C2709" s="71" t="s">
        <v>165</v>
      </c>
      <c r="D2709" s="79">
        <v>1</v>
      </c>
      <c r="E2709" s="79">
        <v>9.08</v>
      </c>
      <c r="F2709" s="79">
        <v>9.08</v>
      </c>
      <c r="G2709" s="445"/>
      <c r="H2709" s="178">
        <v>9.08</v>
      </c>
      <c r="I2709" s="178">
        <v>11.17</v>
      </c>
      <c r="J2709" s="70">
        <v>-2.09</v>
      </c>
      <c r="K2709" s="320"/>
      <c r="L2709" s="178">
        <v>2.84</v>
      </c>
      <c r="M2709" s="178">
        <v>6.24</v>
      </c>
      <c r="N2709" s="179">
        <v>0</v>
      </c>
      <c r="O2709" s="178">
        <v>9.08</v>
      </c>
      <c r="P2709" s="453"/>
      <c r="Q2709" s="61"/>
      <c r="R2709" s="298"/>
      <c r="S2709" s="669"/>
      <c r="U2709" s="61"/>
      <c r="V2709" s="61"/>
      <c r="W2709" s="61"/>
      <c r="X2709" s="444">
        <v>2709</v>
      </c>
      <c r="Y2709" s="61"/>
      <c r="Z2709" s="61"/>
      <c r="AA2709" s="61"/>
      <c r="AB2709" s="61"/>
      <c r="AC2709" s="61"/>
      <c r="AD2709" s="61"/>
      <c r="AE2709" s="61"/>
      <c r="AF2709" s="61"/>
    </row>
    <row r="2710" spans="1:32" ht="12">
      <c r="A2710" s="83" t="s">
        <v>22731</v>
      </c>
      <c r="B2710" s="64" t="s">
        <v>22732</v>
      </c>
      <c r="C2710" s="71" t="s">
        <v>165</v>
      </c>
      <c r="D2710" s="79">
        <v>1</v>
      </c>
      <c r="E2710" s="79">
        <v>8.8099999999999987</v>
      </c>
      <c r="F2710" s="79">
        <v>8.81</v>
      </c>
      <c r="G2710" s="445"/>
      <c r="H2710" s="178">
        <v>8.81</v>
      </c>
      <c r="I2710" s="178">
        <v>10.84</v>
      </c>
      <c r="J2710" s="70">
        <v>-2.0300000000000011</v>
      </c>
      <c r="K2710" s="320"/>
      <c r="L2710" s="178">
        <v>2.84</v>
      </c>
      <c r="M2710" s="178">
        <v>5.9699999999999989</v>
      </c>
      <c r="N2710" s="179">
        <v>0</v>
      </c>
      <c r="O2710" s="178">
        <v>8.8099999999999987</v>
      </c>
      <c r="P2710" s="453"/>
      <c r="Q2710" s="61"/>
      <c r="R2710" s="298"/>
      <c r="S2710" s="669"/>
      <c r="U2710" s="61"/>
      <c r="V2710" s="61"/>
      <c r="W2710" s="61"/>
      <c r="X2710" s="444">
        <v>2710</v>
      </c>
      <c r="Y2710" s="61"/>
      <c r="Z2710" s="61"/>
      <c r="AA2710" s="61"/>
      <c r="AB2710" s="61"/>
      <c r="AC2710" s="61"/>
      <c r="AD2710" s="61"/>
      <c r="AE2710" s="61"/>
      <c r="AF2710" s="61"/>
    </row>
    <row r="2711" spans="1:32" ht="12">
      <c r="A2711" s="83" t="s">
        <v>22733</v>
      </c>
      <c r="B2711" s="64" t="s">
        <v>22734</v>
      </c>
      <c r="C2711" s="71" t="s">
        <v>165</v>
      </c>
      <c r="D2711" s="79">
        <v>1</v>
      </c>
      <c r="E2711" s="79">
        <v>5.22</v>
      </c>
      <c r="F2711" s="79">
        <v>5.22</v>
      </c>
      <c r="G2711" s="445"/>
      <c r="H2711" s="178">
        <v>5.23</v>
      </c>
      <c r="I2711" s="178">
        <v>6.43</v>
      </c>
      <c r="J2711" s="70">
        <v>-1.21</v>
      </c>
      <c r="K2711" s="320"/>
      <c r="L2711" s="178">
        <v>2.2599999999999998</v>
      </c>
      <c r="M2711" s="178">
        <v>2.96</v>
      </c>
      <c r="N2711" s="179">
        <v>0</v>
      </c>
      <c r="O2711" s="178">
        <v>5.22</v>
      </c>
      <c r="P2711" s="453"/>
      <c r="Q2711" s="61"/>
      <c r="R2711" s="298"/>
      <c r="S2711" s="669"/>
      <c r="U2711" s="61"/>
      <c r="V2711" s="61"/>
      <c r="W2711" s="61"/>
      <c r="X2711" s="444">
        <v>2711</v>
      </c>
      <c r="Y2711" s="61"/>
      <c r="Z2711" s="61"/>
      <c r="AA2711" s="61"/>
      <c r="AB2711" s="61"/>
      <c r="AC2711" s="61"/>
      <c r="AD2711" s="61"/>
      <c r="AE2711" s="61"/>
      <c r="AF2711" s="61"/>
    </row>
    <row r="2712" spans="1:32" ht="12">
      <c r="A2712" s="83" t="s">
        <v>22735</v>
      </c>
      <c r="B2712" s="64" t="s">
        <v>22736</v>
      </c>
      <c r="C2712" s="71" t="s">
        <v>165</v>
      </c>
      <c r="D2712" s="79">
        <v>1</v>
      </c>
      <c r="E2712" s="79">
        <v>17.189999999999998</v>
      </c>
      <c r="F2712" s="79">
        <v>17.190000000000001</v>
      </c>
      <c r="G2712" s="445"/>
      <c r="H2712" s="178">
        <v>17.18</v>
      </c>
      <c r="I2712" s="178">
        <v>21.13</v>
      </c>
      <c r="J2712" s="70">
        <v>-3.9400000000000013</v>
      </c>
      <c r="K2712" s="320"/>
      <c r="L2712" s="178">
        <v>10.19</v>
      </c>
      <c r="M2712" s="178">
        <v>6.9999999999999982</v>
      </c>
      <c r="N2712" s="179">
        <v>0</v>
      </c>
      <c r="O2712" s="178">
        <v>17.189999999999998</v>
      </c>
      <c r="P2712" s="453"/>
      <c r="Q2712" s="61"/>
      <c r="R2712" s="298"/>
      <c r="S2712" s="669"/>
      <c r="U2712" s="61"/>
      <c r="V2712" s="61"/>
      <c r="W2712" s="61"/>
      <c r="X2712" s="444">
        <v>2712</v>
      </c>
      <c r="Y2712" s="61"/>
      <c r="Z2712" s="61"/>
      <c r="AA2712" s="61"/>
      <c r="AB2712" s="61"/>
      <c r="AC2712" s="61"/>
      <c r="AD2712" s="61"/>
      <c r="AE2712" s="61"/>
      <c r="AF2712" s="61"/>
    </row>
    <row r="2713" spans="1:32" ht="12">
      <c r="A2713" s="83" t="s">
        <v>22737</v>
      </c>
      <c r="B2713" s="64" t="s">
        <v>22738</v>
      </c>
      <c r="C2713" s="71" t="s">
        <v>165</v>
      </c>
      <c r="D2713" s="79">
        <v>1</v>
      </c>
      <c r="E2713" s="79">
        <v>10.739999999999998</v>
      </c>
      <c r="F2713" s="79">
        <v>10.74</v>
      </c>
      <c r="G2713" s="445"/>
      <c r="H2713" s="178">
        <v>10.72</v>
      </c>
      <c r="I2713" s="178">
        <v>13.19</v>
      </c>
      <c r="J2713" s="70">
        <v>-2.4500000000000011</v>
      </c>
      <c r="K2713" s="320"/>
      <c r="L2713" s="178">
        <v>5.1099999999999994</v>
      </c>
      <c r="M2713" s="178">
        <v>5.629999999999999</v>
      </c>
      <c r="N2713" s="179">
        <v>0</v>
      </c>
      <c r="O2713" s="178">
        <v>10.739999999999998</v>
      </c>
      <c r="P2713" s="453"/>
      <c r="Q2713" s="61"/>
      <c r="R2713" s="298"/>
      <c r="S2713" s="669"/>
      <c r="U2713" s="61"/>
      <c r="V2713" s="61"/>
      <c r="W2713" s="61"/>
      <c r="X2713" s="444">
        <v>2713</v>
      </c>
      <c r="Y2713" s="61"/>
      <c r="Z2713" s="61"/>
      <c r="AA2713" s="61"/>
      <c r="AB2713" s="61"/>
      <c r="AC2713" s="61"/>
      <c r="AD2713" s="61"/>
      <c r="AE2713" s="61"/>
      <c r="AF2713" s="61"/>
    </row>
    <row r="2714" spans="1:32" ht="12">
      <c r="A2714" s="83" t="s">
        <v>22739</v>
      </c>
      <c r="B2714" s="64" t="s">
        <v>22740</v>
      </c>
      <c r="C2714" s="71" t="s">
        <v>165</v>
      </c>
      <c r="D2714" s="79">
        <v>1</v>
      </c>
      <c r="E2714" s="79">
        <v>10.739999999999998</v>
      </c>
      <c r="F2714" s="79">
        <v>10.74</v>
      </c>
      <c r="G2714" s="445"/>
      <c r="H2714" s="178">
        <v>10.72</v>
      </c>
      <c r="I2714" s="178">
        <v>13.19</v>
      </c>
      <c r="J2714" s="70">
        <v>-2.4500000000000011</v>
      </c>
      <c r="K2714" s="320"/>
      <c r="L2714" s="178">
        <v>5.1099999999999994</v>
      </c>
      <c r="M2714" s="178">
        <v>5.629999999999999</v>
      </c>
      <c r="N2714" s="179">
        <v>0</v>
      </c>
      <c r="O2714" s="178">
        <v>10.739999999999998</v>
      </c>
      <c r="P2714" s="453"/>
      <c r="Q2714" s="61"/>
      <c r="R2714" s="298"/>
      <c r="S2714" s="669"/>
      <c r="U2714" s="69"/>
      <c r="V2714" s="69"/>
      <c r="W2714" s="69"/>
      <c r="X2714" s="444">
        <v>2714</v>
      </c>
      <c r="Y2714" s="69"/>
      <c r="Z2714" s="69"/>
      <c r="AA2714" s="69"/>
      <c r="AB2714" s="69"/>
      <c r="AC2714" s="69"/>
      <c r="AD2714" s="69"/>
      <c r="AE2714" s="69"/>
      <c r="AF2714" s="69"/>
    </row>
    <row r="2715" spans="1:32" s="69" customFormat="1" ht="12">
      <c r="A2715" s="83" t="s">
        <v>22741</v>
      </c>
      <c r="B2715" s="64" t="s">
        <v>22742</v>
      </c>
      <c r="C2715" s="71" t="s">
        <v>165</v>
      </c>
      <c r="D2715" s="79">
        <v>1</v>
      </c>
      <c r="E2715" s="79">
        <v>16.22</v>
      </c>
      <c r="F2715" s="79">
        <v>16.22</v>
      </c>
      <c r="G2715" s="445"/>
      <c r="H2715" s="178">
        <v>16.22</v>
      </c>
      <c r="I2715" s="178">
        <v>19.95</v>
      </c>
      <c r="J2715" s="70">
        <v>-3.7300000000000004</v>
      </c>
      <c r="K2715" s="320"/>
      <c r="L2715" s="178">
        <v>10.19</v>
      </c>
      <c r="M2715" s="178">
        <v>6.0299999999999994</v>
      </c>
      <c r="N2715" s="179">
        <v>0</v>
      </c>
      <c r="O2715" s="178">
        <v>16.22</v>
      </c>
      <c r="P2715" s="453"/>
      <c r="Q2715" s="61"/>
      <c r="R2715" s="298"/>
      <c r="S2715" s="669"/>
      <c r="T2715" s="444"/>
      <c r="U2715" s="73"/>
      <c r="V2715" s="73"/>
      <c r="W2715" s="73"/>
      <c r="X2715" s="444">
        <v>2715</v>
      </c>
      <c r="Y2715" s="73"/>
      <c r="Z2715" s="73"/>
      <c r="AA2715" s="73"/>
      <c r="AB2715" s="73"/>
      <c r="AC2715" s="73"/>
      <c r="AD2715" s="73"/>
      <c r="AE2715" s="73"/>
      <c r="AF2715" s="73"/>
    </row>
    <row r="2716" spans="1:32" ht="12">
      <c r="A2716" s="83" t="s">
        <v>22743</v>
      </c>
      <c r="B2716" s="64" t="s">
        <v>22744</v>
      </c>
      <c r="C2716" s="71" t="s">
        <v>165</v>
      </c>
      <c r="D2716" s="79">
        <v>1</v>
      </c>
      <c r="E2716" s="79">
        <v>17.52</v>
      </c>
      <c r="F2716" s="79">
        <v>17.52</v>
      </c>
      <c r="G2716" s="445"/>
      <c r="H2716" s="178">
        <v>17.52</v>
      </c>
      <c r="I2716" s="178">
        <v>21.55</v>
      </c>
      <c r="J2716" s="70">
        <v>-4.0300000000000011</v>
      </c>
      <c r="K2716" s="320"/>
      <c r="L2716" s="178">
        <v>10.19</v>
      </c>
      <c r="M2716" s="178">
        <v>7.33</v>
      </c>
      <c r="N2716" s="179">
        <v>0</v>
      </c>
      <c r="O2716" s="178">
        <v>17.52</v>
      </c>
      <c r="P2716" s="453"/>
      <c r="Q2716" s="61"/>
      <c r="R2716" s="298"/>
      <c r="S2716" s="669"/>
      <c r="X2716" s="444">
        <v>2716</v>
      </c>
    </row>
    <row r="2717" spans="1:32" ht="12">
      <c r="A2717" s="83" t="s">
        <v>22745</v>
      </c>
      <c r="B2717" s="64" t="s">
        <v>22746</v>
      </c>
      <c r="C2717" s="71" t="s">
        <v>165</v>
      </c>
      <c r="D2717" s="79">
        <v>1</v>
      </c>
      <c r="E2717" s="79">
        <v>8.75</v>
      </c>
      <c r="F2717" s="79">
        <v>8.75</v>
      </c>
      <c r="G2717" s="320"/>
      <c r="H2717" s="178">
        <v>8.76</v>
      </c>
      <c r="I2717" s="178">
        <v>10.77</v>
      </c>
      <c r="J2717" s="70">
        <v>-2.0199999999999996</v>
      </c>
      <c r="K2717" s="320"/>
      <c r="L2717" s="178">
        <v>7.6400000000000006</v>
      </c>
      <c r="M2717" s="178">
        <v>1.1099999999999994</v>
      </c>
      <c r="N2717" s="179">
        <v>0</v>
      </c>
      <c r="O2717" s="178">
        <v>8.75</v>
      </c>
      <c r="P2717" s="453"/>
      <c r="Q2717" s="61"/>
      <c r="R2717" s="298"/>
      <c r="S2717" s="669"/>
      <c r="X2717" s="444">
        <v>2717</v>
      </c>
    </row>
    <row r="2718" spans="1:32" ht="12">
      <c r="A2718" s="83" t="s">
        <v>22747</v>
      </c>
      <c r="B2718" s="64" t="s">
        <v>22748</v>
      </c>
      <c r="C2718" s="71" t="s">
        <v>165</v>
      </c>
      <c r="D2718" s="79">
        <v>1</v>
      </c>
      <c r="E2718" s="79">
        <v>9.1200000000000028</v>
      </c>
      <c r="F2718" s="79">
        <v>9.1199999999999992</v>
      </c>
      <c r="G2718" s="320"/>
      <c r="H2718" s="178">
        <v>9.1199999999999992</v>
      </c>
      <c r="I2718" s="178">
        <v>11.22</v>
      </c>
      <c r="J2718" s="70">
        <v>-2.0999999999999979</v>
      </c>
      <c r="K2718" s="320"/>
      <c r="L2718" s="178">
        <v>7.6400000000000006</v>
      </c>
      <c r="M2718" s="178">
        <v>1.4800000000000022</v>
      </c>
      <c r="N2718" s="179">
        <v>0</v>
      </c>
      <c r="O2718" s="178">
        <v>9.1200000000000028</v>
      </c>
      <c r="P2718" s="453"/>
      <c r="Q2718" s="61"/>
      <c r="R2718" s="298"/>
      <c r="S2718" s="669"/>
      <c r="X2718" s="444">
        <v>2718</v>
      </c>
    </row>
    <row r="2719" spans="1:32" ht="12">
      <c r="A2719" s="83" t="s">
        <v>22749</v>
      </c>
      <c r="B2719" s="64" t="s">
        <v>22750</v>
      </c>
      <c r="C2719" s="71" t="s">
        <v>165</v>
      </c>
      <c r="D2719" s="79">
        <v>1</v>
      </c>
      <c r="E2719" s="79">
        <v>12.04</v>
      </c>
      <c r="F2719" s="79">
        <v>12.04</v>
      </c>
      <c r="G2719" s="320"/>
      <c r="H2719" s="178">
        <v>12.04</v>
      </c>
      <c r="I2719" s="178">
        <v>14.81</v>
      </c>
      <c r="J2719" s="70">
        <v>-2.7700000000000014</v>
      </c>
      <c r="K2719" s="320"/>
      <c r="L2719" s="178">
        <v>10.19</v>
      </c>
      <c r="M2719" s="178">
        <v>1.8499999999999996</v>
      </c>
      <c r="N2719" s="179">
        <v>0</v>
      </c>
      <c r="O2719" s="178">
        <v>12.04</v>
      </c>
      <c r="P2719" s="453"/>
      <c r="Q2719" s="61"/>
      <c r="R2719" s="298"/>
      <c r="S2719" s="669"/>
      <c r="X2719" s="444">
        <v>2719</v>
      </c>
    </row>
    <row r="2720" spans="1:32" ht="12">
      <c r="A2720" s="83" t="s">
        <v>22751</v>
      </c>
      <c r="B2720" s="64" t="s">
        <v>22752</v>
      </c>
      <c r="C2720" s="71" t="s">
        <v>165</v>
      </c>
      <c r="D2720" s="79">
        <v>1</v>
      </c>
      <c r="E2720" s="79">
        <v>12.41</v>
      </c>
      <c r="F2720" s="79">
        <v>12.41</v>
      </c>
      <c r="G2720" s="320"/>
      <c r="H2720" s="178">
        <v>12.41</v>
      </c>
      <c r="I2720" s="178">
        <v>15.27</v>
      </c>
      <c r="J2720" s="70">
        <v>-2.8599999999999994</v>
      </c>
      <c r="K2720" s="320"/>
      <c r="L2720" s="178">
        <v>10.19</v>
      </c>
      <c r="M2720" s="178">
        <v>2.2200000000000006</v>
      </c>
      <c r="N2720" s="179">
        <v>0</v>
      </c>
      <c r="O2720" s="178">
        <v>12.41</v>
      </c>
      <c r="P2720" s="453"/>
      <c r="Q2720" s="61"/>
      <c r="R2720" s="298"/>
      <c r="S2720" s="669"/>
      <c r="X2720" s="444">
        <v>2720</v>
      </c>
    </row>
    <row r="2721" spans="1:32" ht="12">
      <c r="A2721" s="83" t="s">
        <v>22753</v>
      </c>
      <c r="B2721" s="64" t="s">
        <v>22754</v>
      </c>
      <c r="C2721" s="71" t="s">
        <v>165</v>
      </c>
      <c r="D2721" s="79">
        <v>1</v>
      </c>
      <c r="E2721" s="79">
        <v>15.7</v>
      </c>
      <c r="F2721" s="79">
        <v>15.7</v>
      </c>
      <c r="G2721" s="320"/>
      <c r="H2721" s="178">
        <v>15.7</v>
      </c>
      <c r="I2721" s="178">
        <v>19.309999999999999</v>
      </c>
      <c r="J2721" s="70">
        <v>-3.6099999999999994</v>
      </c>
      <c r="K2721" s="320"/>
      <c r="L2721" s="178">
        <v>12.74</v>
      </c>
      <c r="M2721" s="178">
        <v>2.9599999999999991</v>
      </c>
      <c r="N2721" s="179">
        <v>0</v>
      </c>
      <c r="O2721" s="178">
        <v>15.7</v>
      </c>
      <c r="P2721" s="453"/>
      <c r="Q2721" s="61"/>
      <c r="R2721" s="298"/>
      <c r="S2721" s="669"/>
      <c r="X2721" s="444">
        <v>2721</v>
      </c>
    </row>
    <row r="2722" spans="1:32" ht="12">
      <c r="A2722" s="83" t="s">
        <v>22755</v>
      </c>
      <c r="B2722" s="64" t="s">
        <v>22756</v>
      </c>
      <c r="C2722" s="71" t="s">
        <v>165</v>
      </c>
      <c r="D2722" s="79">
        <v>1</v>
      </c>
      <c r="E2722" s="79">
        <v>15.7</v>
      </c>
      <c r="F2722" s="79">
        <v>15.7</v>
      </c>
      <c r="G2722" s="320"/>
      <c r="H2722" s="178">
        <v>15.7</v>
      </c>
      <c r="I2722" s="178">
        <v>19.309999999999999</v>
      </c>
      <c r="J2722" s="70">
        <v>-3.6099999999999994</v>
      </c>
      <c r="K2722" s="320"/>
      <c r="L2722" s="178">
        <v>12.74</v>
      </c>
      <c r="M2722" s="178">
        <v>2.9599999999999991</v>
      </c>
      <c r="N2722" s="179">
        <v>0</v>
      </c>
      <c r="O2722" s="178">
        <v>15.7</v>
      </c>
      <c r="P2722" s="453"/>
      <c r="Q2722" s="61"/>
      <c r="R2722" s="298"/>
      <c r="S2722" s="669"/>
      <c r="X2722" s="444">
        <v>2722</v>
      </c>
    </row>
    <row r="2723" spans="1:32" ht="12">
      <c r="A2723" s="83" t="s">
        <v>22757</v>
      </c>
      <c r="B2723" s="64" t="s">
        <v>22758</v>
      </c>
      <c r="C2723" s="71" t="s">
        <v>165</v>
      </c>
      <c r="D2723" s="79">
        <v>1</v>
      </c>
      <c r="E2723" s="79">
        <v>17.18</v>
      </c>
      <c r="F2723" s="79">
        <v>17.18</v>
      </c>
      <c r="G2723" s="320"/>
      <c r="H2723" s="178">
        <v>17.18</v>
      </c>
      <c r="I2723" s="178">
        <v>21.13</v>
      </c>
      <c r="J2723" s="70">
        <v>-3.9499999999999993</v>
      </c>
      <c r="K2723" s="320"/>
      <c r="L2723" s="178">
        <v>12.74</v>
      </c>
      <c r="M2723" s="178">
        <v>4.4399999999999995</v>
      </c>
      <c r="N2723" s="179">
        <v>0</v>
      </c>
      <c r="O2723" s="178">
        <v>17.18</v>
      </c>
      <c r="P2723" s="453"/>
      <c r="Q2723" s="61"/>
      <c r="R2723" s="298"/>
      <c r="S2723" s="669"/>
      <c r="X2723" s="444">
        <v>2723</v>
      </c>
    </row>
    <row r="2724" spans="1:32" ht="12">
      <c r="A2724" s="83" t="s">
        <v>22759</v>
      </c>
      <c r="B2724" s="64" t="s">
        <v>22760</v>
      </c>
      <c r="C2724" s="71" t="s">
        <v>165</v>
      </c>
      <c r="D2724" s="79">
        <v>1</v>
      </c>
      <c r="E2724" s="79">
        <v>21.23</v>
      </c>
      <c r="F2724" s="79">
        <v>21.23</v>
      </c>
      <c r="G2724" s="320"/>
      <c r="H2724" s="178">
        <v>21.21</v>
      </c>
      <c r="I2724" s="178">
        <v>26.09</v>
      </c>
      <c r="J2724" s="70">
        <v>-4.8599999999999994</v>
      </c>
      <c r="K2724" s="320"/>
      <c r="L2724" s="178">
        <v>15.3</v>
      </c>
      <c r="M2724" s="178">
        <v>5.93</v>
      </c>
      <c r="N2724" s="179">
        <v>0</v>
      </c>
      <c r="O2724" s="178">
        <v>21.23</v>
      </c>
      <c r="P2724" s="453"/>
      <c r="Q2724" s="61"/>
      <c r="R2724" s="298"/>
      <c r="S2724" s="669"/>
      <c r="X2724" s="444">
        <v>2724</v>
      </c>
    </row>
    <row r="2725" spans="1:32" ht="12">
      <c r="A2725" s="83" t="s">
        <v>40935</v>
      </c>
      <c r="B2725" s="464" t="s">
        <v>29674</v>
      </c>
      <c r="C2725" s="71" t="s">
        <v>165</v>
      </c>
      <c r="D2725" s="79">
        <v>1</v>
      </c>
      <c r="E2725" s="79">
        <v>19.239999999999998</v>
      </c>
      <c r="F2725" s="79">
        <v>19.239999999999998</v>
      </c>
      <c r="H2725" s="178">
        <v>19.23</v>
      </c>
      <c r="I2725" s="178">
        <v>23.65</v>
      </c>
      <c r="J2725" s="70">
        <v>-4.41</v>
      </c>
      <c r="K2725" s="320"/>
      <c r="L2725" s="178">
        <v>15.3</v>
      </c>
      <c r="M2725" s="70">
        <v>3.9399999999999977</v>
      </c>
      <c r="N2725" s="179">
        <v>0</v>
      </c>
      <c r="O2725" s="753">
        <v>19.239999999999998</v>
      </c>
      <c r="Q2725" s="61"/>
      <c r="R2725" s="298"/>
      <c r="S2725" s="669"/>
      <c r="X2725" s="444">
        <v>2725</v>
      </c>
    </row>
    <row r="2726" spans="1:32" ht="12">
      <c r="A2726" s="83" t="s">
        <v>22761</v>
      </c>
      <c r="B2726" s="64" t="s">
        <v>39968</v>
      </c>
      <c r="C2726" s="71" t="s">
        <v>165</v>
      </c>
      <c r="D2726" s="79">
        <v>1</v>
      </c>
      <c r="E2726" s="79">
        <v>14.27</v>
      </c>
      <c r="F2726" s="79">
        <v>14.27</v>
      </c>
      <c r="G2726" s="320"/>
      <c r="H2726" s="178">
        <v>14.27</v>
      </c>
      <c r="I2726" s="178">
        <v>17.55</v>
      </c>
      <c r="J2726" s="70">
        <v>-3.2800000000000011</v>
      </c>
      <c r="K2726" s="320"/>
      <c r="L2726" s="178">
        <v>12.74</v>
      </c>
      <c r="M2726" s="178">
        <v>1.5299999999999994</v>
      </c>
      <c r="N2726" s="179">
        <v>0</v>
      </c>
      <c r="O2726" s="178">
        <v>14.27</v>
      </c>
      <c r="P2726" s="453"/>
      <c r="Q2726" s="61"/>
      <c r="R2726" s="298"/>
      <c r="S2726" s="669"/>
      <c r="U2726" s="61"/>
      <c r="V2726" s="61"/>
      <c r="W2726" s="61"/>
      <c r="X2726" s="444">
        <v>2726</v>
      </c>
      <c r="Y2726" s="61"/>
      <c r="Z2726" s="61"/>
      <c r="AA2726" s="61"/>
      <c r="AB2726" s="61"/>
      <c r="AC2726" s="61"/>
      <c r="AD2726" s="61"/>
      <c r="AE2726" s="61"/>
      <c r="AF2726" s="61"/>
    </row>
    <row r="2727" spans="1:32" ht="12">
      <c r="A2727" s="83" t="s">
        <v>22762</v>
      </c>
      <c r="B2727" s="64" t="s">
        <v>39969</v>
      </c>
      <c r="C2727" s="71" t="s">
        <v>165</v>
      </c>
      <c r="D2727" s="79">
        <v>1</v>
      </c>
      <c r="E2727" s="79">
        <v>14.870000000000001</v>
      </c>
      <c r="F2727" s="79">
        <v>14.87</v>
      </c>
      <c r="G2727" s="320"/>
      <c r="H2727" s="178">
        <v>14.87</v>
      </c>
      <c r="I2727" s="178">
        <v>18.29</v>
      </c>
      <c r="J2727" s="70">
        <v>-3.4199999999999982</v>
      </c>
      <c r="K2727" s="320"/>
      <c r="L2727" s="178">
        <v>12.74</v>
      </c>
      <c r="M2727" s="178">
        <v>2.1300000000000008</v>
      </c>
      <c r="N2727" s="179">
        <v>0</v>
      </c>
      <c r="O2727" s="178">
        <v>14.870000000000001</v>
      </c>
      <c r="P2727" s="453"/>
      <c r="Q2727" s="61"/>
      <c r="R2727" s="298"/>
      <c r="S2727" s="669"/>
      <c r="U2727" s="61"/>
      <c r="V2727" s="61"/>
      <c r="W2727" s="61"/>
      <c r="X2727" s="444">
        <v>2727</v>
      </c>
      <c r="Y2727" s="61"/>
      <c r="Z2727" s="61"/>
      <c r="AA2727" s="61"/>
      <c r="AB2727" s="61"/>
      <c r="AC2727" s="61"/>
      <c r="AD2727" s="61"/>
      <c r="AE2727" s="61"/>
      <c r="AF2727" s="61"/>
    </row>
    <row r="2728" spans="1:32" ht="12">
      <c r="A2728" s="83" t="s">
        <v>22763</v>
      </c>
      <c r="B2728" s="64" t="s">
        <v>22764</v>
      </c>
      <c r="C2728" s="71" t="s">
        <v>165</v>
      </c>
      <c r="D2728" s="79">
        <v>1</v>
      </c>
      <c r="E2728" s="79">
        <v>18.04</v>
      </c>
      <c r="F2728" s="79">
        <v>18.04</v>
      </c>
      <c r="G2728" s="320"/>
      <c r="H2728" s="178">
        <v>18.02</v>
      </c>
      <c r="I2728" s="178">
        <v>22.17</v>
      </c>
      <c r="J2728" s="70">
        <v>-4.1300000000000026</v>
      </c>
      <c r="K2728" s="320"/>
      <c r="L2728" s="178">
        <v>15.3</v>
      </c>
      <c r="M2728" s="178">
        <v>2.7399999999999984</v>
      </c>
      <c r="N2728" s="179">
        <v>0</v>
      </c>
      <c r="O2728" s="178">
        <v>18.04</v>
      </c>
      <c r="P2728" s="453"/>
      <c r="Q2728" s="61"/>
      <c r="R2728" s="298"/>
      <c r="S2728" s="669"/>
      <c r="T2728" s="61"/>
      <c r="X2728" s="444">
        <v>2728</v>
      </c>
    </row>
    <row r="2729" spans="1:32" ht="12">
      <c r="A2729" s="83" t="s">
        <v>22765</v>
      </c>
      <c r="B2729" s="64" t="s">
        <v>22766</v>
      </c>
      <c r="C2729" s="71" t="s">
        <v>165</v>
      </c>
      <c r="D2729" s="79">
        <v>1</v>
      </c>
      <c r="E2729" s="79">
        <v>19.239999999999998</v>
      </c>
      <c r="F2729" s="79">
        <v>19.239999999999998</v>
      </c>
      <c r="G2729" s="320"/>
      <c r="H2729" s="178">
        <v>19.23</v>
      </c>
      <c r="I2729" s="178">
        <v>23.65</v>
      </c>
      <c r="J2729" s="70">
        <v>-4.41</v>
      </c>
      <c r="K2729" s="320"/>
      <c r="L2729" s="178">
        <v>15.3</v>
      </c>
      <c r="M2729" s="178">
        <v>3.9399999999999977</v>
      </c>
      <c r="N2729" s="179">
        <v>0</v>
      </c>
      <c r="O2729" s="178">
        <v>19.239999999999998</v>
      </c>
      <c r="P2729" s="453"/>
      <c r="Q2729" s="61"/>
      <c r="R2729" s="298"/>
      <c r="S2729" s="669"/>
      <c r="X2729" s="444">
        <v>2729</v>
      </c>
    </row>
    <row r="2730" spans="1:32" ht="12">
      <c r="A2730" s="83" t="s">
        <v>22767</v>
      </c>
      <c r="B2730" s="64" t="s">
        <v>22768</v>
      </c>
      <c r="C2730" s="71" t="s">
        <v>10216</v>
      </c>
      <c r="D2730" s="79">
        <v>1</v>
      </c>
      <c r="E2730" s="79">
        <v>577.26</v>
      </c>
      <c r="F2730" s="79">
        <v>577.26</v>
      </c>
      <c r="G2730" s="445"/>
      <c r="H2730" s="178">
        <v>577.25</v>
      </c>
      <c r="I2730" s="178">
        <v>710.02</v>
      </c>
      <c r="J2730" s="70">
        <v>-132.76</v>
      </c>
      <c r="K2730" s="320"/>
      <c r="L2730" s="178">
        <v>9.9499999999999993</v>
      </c>
      <c r="M2730" s="178">
        <v>567.30999999999995</v>
      </c>
      <c r="N2730" s="179">
        <v>0</v>
      </c>
      <c r="O2730" s="178">
        <v>577.26</v>
      </c>
      <c r="P2730" s="453"/>
      <c r="Q2730" s="61"/>
      <c r="R2730" s="298"/>
      <c r="S2730" s="669"/>
      <c r="X2730" s="444">
        <v>2730</v>
      </c>
    </row>
    <row r="2731" spans="1:32" ht="12">
      <c r="A2731" s="83" t="s">
        <v>39970</v>
      </c>
      <c r="B2731" s="64" t="s">
        <v>39971</v>
      </c>
      <c r="C2731" s="71"/>
      <c r="D2731" s="79" t="s">
        <v>40899</v>
      </c>
      <c r="E2731" s="79" t="s">
        <v>40899</v>
      </c>
      <c r="F2731" s="79"/>
      <c r="G2731" s="445"/>
      <c r="H2731" s="178"/>
      <c r="I2731" s="178"/>
      <c r="J2731" s="70"/>
      <c r="K2731" s="320"/>
      <c r="L2731" s="178"/>
      <c r="M2731" s="178"/>
      <c r="N2731" s="179"/>
      <c r="O2731" s="178"/>
      <c r="P2731" s="453"/>
      <c r="Q2731" s="61"/>
      <c r="R2731" s="298"/>
      <c r="S2731" s="669"/>
      <c r="X2731" s="444">
        <v>2731</v>
      </c>
    </row>
    <row r="2732" spans="1:32" ht="12">
      <c r="A2732" s="83" t="s">
        <v>22769</v>
      </c>
      <c r="B2732" s="64" t="s">
        <v>22770</v>
      </c>
      <c r="C2732" s="71" t="s">
        <v>509</v>
      </c>
      <c r="D2732" s="79">
        <v>1</v>
      </c>
      <c r="E2732" s="79">
        <v>11.12</v>
      </c>
      <c r="F2732" s="79">
        <v>11.12</v>
      </c>
      <c r="G2732" s="445"/>
      <c r="H2732" s="178">
        <v>11.11</v>
      </c>
      <c r="I2732" s="178">
        <v>13.66</v>
      </c>
      <c r="J2732" s="70">
        <v>-2.5400000000000009</v>
      </c>
      <c r="K2732" s="320"/>
      <c r="L2732" s="178">
        <v>9.9499999999999993</v>
      </c>
      <c r="M2732" s="178">
        <v>1.17</v>
      </c>
      <c r="N2732" s="179">
        <v>0</v>
      </c>
      <c r="O2732" s="178">
        <v>11.12</v>
      </c>
      <c r="P2732" s="453"/>
      <c r="Q2732" s="61"/>
      <c r="R2732" s="298"/>
      <c r="S2732" s="669"/>
      <c r="X2732" s="444">
        <v>2732</v>
      </c>
    </row>
    <row r="2733" spans="1:32" ht="12">
      <c r="A2733" s="83" t="s">
        <v>22771</v>
      </c>
      <c r="B2733" s="64" t="s">
        <v>22772</v>
      </c>
      <c r="C2733" s="71" t="s">
        <v>509</v>
      </c>
      <c r="D2733" s="79">
        <v>1</v>
      </c>
      <c r="E2733" s="79">
        <v>28.04</v>
      </c>
      <c r="F2733" s="79">
        <v>28.04</v>
      </c>
      <c r="G2733" s="445"/>
      <c r="H2733" s="178">
        <v>28.04</v>
      </c>
      <c r="I2733" s="178">
        <v>34.49</v>
      </c>
      <c r="J2733" s="70">
        <v>-6.4500000000000028</v>
      </c>
      <c r="K2733" s="320"/>
      <c r="L2733" s="178">
        <v>21.8</v>
      </c>
      <c r="M2733" s="178">
        <v>6.2399999999999984</v>
      </c>
      <c r="N2733" s="179">
        <v>0</v>
      </c>
      <c r="O2733" s="178">
        <v>28.04</v>
      </c>
      <c r="P2733" s="453"/>
      <c r="Q2733" s="61"/>
      <c r="R2733" s="298"/>
      <c r="S2733" s="669"/>
      <c r="X2733" s="444">
        <v>2733</v>
      </c>
    </row>
    <row r="2734" spans="1:32" ht="12">
      <c r="A2734" s="83" t="s">
        <v>22773</v>
      </c>
      <c r="B2734" s="64" t="s">
        <v>7836</v>
      </c>
      <c r="C2734" s="71" t="s">
        <v>509</v>
      </c>
      <c r="D2734" s="79">
        <v>1</v>
      </c>
      <c r="E2734" s="79">
        <v>29.7</v>
      </c>
      <c r="F2734" s="79">
        <v>29.7</v>
      </c>
      <c r="G2734" s="445"/>
      <c r="H2734" s="178">
        <v>29.71</v>
      </c>
      <c r="I2734" s="178">
        <v>36.54</v>
      </c>
      <c r="J2734" s="70">
        <v>-6.84</v>
      </c>
      <c r="K2734" s="320"/>
      <c r="L2734" s="178">
        <v>21.8</v>
      </c>
      <c r="M2734" s="178">
        <v>7.8999999999999986</v>
      </c>
      <c r="N2734" s="179">
        <v>0</v>
      </c>
      <c r="O2734" s="178">
        <v>29.7</v>
      </c>
      <c r="P2734" s="453"/>
      <c r="Q2734" s="61"/>
      <c r="R2734" s="298"/>
      <c r="S2734" s="669"/>
      <c r="X2734" s="444">
        <v>2734</v>
      </c>
    </row>
    <row r="2735" spans="1:32" ht="12">
      <c r="A2735" s="83" t="s">
        <v>22774</v>
      </c>
      <c r="B2735" s="64" t="s">
        <v>22775</v>
      </c>
      <c r="C2735" s="71" t="s">
        <v>509</v>
      </c>
      <c r="D2735" s="79">
        <v>1</v>
      </c>
      <c r="E2735" s="79">
        <v>29.52</v>
      </c>
      <c r="F2735" s="79">
        <v>29.52</v>
      </c>
      <c r="G2735" s="445"/>
      <c r="H2735" s="178">
        <v>29.52</v>
      </c>
      <c r="I2735" s="178">
        <v>36.31</v>
      </c>
      <c r="J2735" s="70">
        <v>-6.7900000000000027</v>
      </c>
      <c r="K2735" s="320"/>
      <c r="L2735" s="178">
        <v>21.8</v>
      </c>
      <c r="M2735" s="178">
        <v>7.7199999999999989</v>
      </c>
      <c r="N2735" s="179">
        <v>0</v>
      </c>
      <c r="O2735" s="178">
        <v>29.52</v>
      </c>
      <c r="P2735" s="453"/>
      <c r="Q2735" s="61"/>
      <c r="R2735" s="298"/>
      <c r="S2735" s="669"/>
      <c r="X2735" s="444">
        <v>2735</v>
      </c>
    </row>
    <row r="2736" spans="1:32" ht="12">
      <c r="A2736" s="83" t="s">
        <v>22776</v>
      </c>
      <c r="B2736" s="64" t="s">
        <v>22777</v>
      </c>
      <c r="C2736" s="71" t="s">
        <v>509</v>
      </c>
      <c r="D2736" s="79">
        <v>1</v>
      </c>
      <c r="E2736" s="79">
        <v>28.04</v>
      </c>
      <c r="F2736" s="79">
        <v>28.04</v>
      </c>
      <c r="G2736" s="445"/>
      <c r="H2736" s="178">
        <v>28.04</v>
      </c>
      <c r="I2736" s="178">
        <v>34.49</v>
      </c>
      <c r="J2736" s="70">
        <v>-6.4500000000000028</v>
      </c>
      <c r="K2736" s="320"/>
      <c r="L2736" s="178">
        <v>21.8</v>
      </c>
      <c r="M2736" s="178">
        <v>6.2399999999999984</v>
      </c>
      <c r="N2736" s="179">
        <v>0</v>
      </c>
      <c r="O2736" s="178">
        <v>28.04</v>
      </c>
      <c r="P2736" s="453"/>
      <c r="Q2736" s="61"/>
      <c r="R2736" s="298"/>
      <c r="S2736" s="669"/>
      <c r="X2736" s="444">
        <v>2736</v>
      </c>
    </row>
    <row r="2737" spans="1:32" ht="12">
      <c r="A2737" s="83" t="s">
        <v>22778</v>
      </c>
      <c r="B2737" s="64" t="s">
        <v>22779</v>
      </c>
      <c r="C2737" s="71" t="s">
        <v>509</v>
      </c>
      <c r="D2737" s="79">
        <v>1</v>
      </c>
      <c r="E2737" s="79">
        <v>42.46</v>
      </c>
      <c r="F2737" s="79">
        <v>42.46</v>
      </c>
      <c r="G2737" s="445"/>
      <c r="H2737" s="178">
        <v>42.46</v>
      </c>
      <c r="I2737" s="178">
        <v>52.22</v>
      </c>
      <c r="J2737" s="70">
        <v>-9.759999999999998</v>
      </c>
      <c r="K2737" s="320"/>
      <c r="L2737" s="178">
        <v>38.25</v>
      </c>
      <c r="M2737" s="178">
        <v>4.2100000000000009</v>
      </c>
      <c r="N2737" s="179">
        <v>0</v>
      </c>
      <c r="O2737" s="178">
        <v>42.46</v>
      </c>
      <c r="P2737" s="453"/>
      <c r="Q2737" s="61"/>
      <c r="R2737" s="298"/>
      <c r="S2737" s="669"/>
      <c r="X2737" s="444">
        <v>2737</v>
      </c>
    </row>
    <row r="2738" spans="1:32" ht="12">
      <c r="A2738" s="83" t="s">
        <v>22780</v>
      </c>
      <c r="B2738" s="64" t="s">
        <v>22781</v>
      </c>
      <c r="C2738" s="71" t="s">
        <v>509</v>
      </c>
      <c r="D2738" s="79">
        <v>1</v>
      </c>
      <c r="E2738" s="79">
        <v>16.87</v>
      </c>
      <c r="F2738" s="79">
        <v>16.87</v>
      </c>
      <c r="G2738" s="445"/>
      <c r="H2738" s="178">
        <v>16.850000000000001</v>
      </c>
      <c r="I2738" s="178">
        <v>20.73</v>
      </c>
      <c r="J2738" s="70">
        <v>-3.8599999999999994</v>
      </c>
      <c r="K2738" s="320"/>
      <c r="L2738" s="178">
        <v>13.63</v>
      </c>
      <c r="M2738" s="178">
        <v>3.24</v>
      </c>
      <c r="N2738" s="179">
        <v>0</v>
      </c>
      <c r="O2738" s="178">
        <v>16.87</v>
      </c>
      <c r="P2738" s="453"/>
      <c r="Q2738" s="61"/>
      <c r="R2738" s="298"/>
      <c r="S2738" s="669"/>
      <c r="U2738" s="73"/>
      <c r="V2738" s="73"/>
      <c r="W2738" s="73"/>
      <c r="X2738" s="444">
        <v>2738</v>
      </c>
      <c r="Y2738" s="73"/>
      <c r="Z2738" s="73"/>
      <c r="AA2738" s="73"/>
      <c r="AB2738" s="73"/>
      <c r="AC2738" s="73"/>
      <c r="AD2738" s="73"/>
      <c r="AE2738" s="73"/>
      <c r="AF2738" s="73"/>
    </row>
    <row r="2739" spans="1:32" ht="12">
      <c r="A2739" s="83" t="s">
        <v>22782</v>
      </c>
      <c r="B2739" s="64" t="s">
        <v>22783</v>
      </c>
      <c r="C2739" s="71" t="s">
        <v>509</v>
      </c>
      <c r="D2739" s="79">
        <v>1</v>
      </c>
      <c r="E2739" s="79">
        <v>31.410000000000004</v>
      </c>
      <c r="F2739" s="79">
        <v>31.41</v>
      </c>
      <c r="G2739" s="445"/>
      <c r="H2739" s="178">
        <v>31.4</v>
      </c>
      <c r="I2739" s="178">
        <v>38.619999999999997</v>
      </c>
      <c r="J2739" s="70">
        <v>-7.2099999999999937</v>
      </c>
      <c r="K2739" s="320"/>
      <c r="L2739" s="178">
        <v>25.490000000000002</v>
      </c>
      <c r="M2739" s="178">
        <v>5.9200000000000017</v>
      </c>
      <c r="N2739" s="179">
        <v>0</v>
      </c>
      <c r="O2739" s="178">
        <v>31.410000000000004</v>
      </c>
      <c r="P2739" s="453"/>
      <c r="Q2739" s="61"/>
      <c r="R2739" s="298"/>
      <c r="S2739" s="669"/>
      <c r="X2739" s="444">
        <v>2739</v>
      </c>
    </row>
    <row r="2740" spans="1:32" ht="12">
      <c r="A2740" s="83" t="s">
        <v>22784</v>
      </c>
      <c r="B2740" s="64" t="s">
        <v>22785</v>
      </c>
      <c r="C2740" s="71" t="s">
        <v>509</v>
      </c>
      <c r="D2740" s="79">
        <v>1</v>
      </c>
      <c r="E2740" s="79">
        <v>58.199999999999996</v>
      </c>
      <c r="F2740" s="79">
        <v>58.2</v>
      </c>
      <c r="G2740" s="445"/>
      <c r="H2740" s="178">
        <v>58.19</v>
      </c>
      <c r="I2740" s="178">
        <v>71.569999999999993</v>
      </c>
      <c r="J2740" s="70">
        <v>-13.369999999999997</v>
      </c>
      <c r="K2740" s="320"/>
      <c r="L2740" s="178">
        <v>15.049999999999999</v>
      </c>
      <c r="M2740" s="178">
        <v>43.15</v>
      </c>
      <c r="N2740" s="179">
        <v>0</v>
      </c>
      <c r="O2740" s="178">
        <v>58.199999999999996</v>
      </c>
      <c r="P2740" s="453"/>
      <c r="Q2740" s="61"/>
      <c r="R2740" s="298"/>
      <c r="S2740" s="669"/>
      <c r="X2740" s="444">
        <v>2740</v>
      </c>
    </row>
    <row r="2741" spans="1:32" ht="12">
      <c r="A2741" s="83" t="s">
        <v>22786</v>
      </c>
      <c r="B2741" s="64" t="s">
        <v>22787</v>
      </c>
      <c r="C2741" s="71" t="s">
        <v>509</v>
      </c>
      <c r="D2741" s="79">
        <v>1</v>
      </c>
      <c r="E2741" s="79">
        <v>30.069999999999997</v>
      </c>
      <c r="F2741" s="79">
        <v>30.07</v>
      </c>
      <c r="G2741" s="445"/>
      <c r="H2741" s="178">
        <v>30.05</v>
      </c>
      <c r="I2741" s="178">
        <v>36.96</v>
      </c>
      <c r="J2741" s="70">
        <v>-6.8900000000000041</v>
      </c>
      <c r="K2741" s="320"/>
      <c r="L2741" s="178">
        <v>15.049999999999999</v>
      </c>
      <c r="M2741" s="178">
        <v>15.019999999999998</v>
      </c>
      <c r="N2741" s="179">
        <v>0</v>
      </c>
      <c r="O2741" s="178">
        <v>30.069999999999997</v>
      </c>
      <c r="P2741" s="453"/>
      <c r="Q2741" s="61"/>
      <c r="R2741" s="298"/>
      <c r="S2741" s="669"/>
      <c r="U2741" s="73"/>
      <c r="V2741" s="73"/>
      <c r="W2741" s="73"/>
      <c r="X2741" s="444">
        <v>2741</v>
      </c>
      <c r="Y2741" s="73"/>
      <c r="Z2741" s="73"/>
      <c r="AA2741" s="73"/>
      <c r="AB2741" s="73"/>
      <c r="AC2741" s="73"/>
      <c r="AD2741" s="73"/>
      <c r="AE2741" s="73"/>
      <c r="AF2741" s="73"/>
    </row>
    <row r="2742" spans="1:32" ht="12">
      <c r="A2742" s="83" t="s">
        <v>22788</v>
      </c>
      <c r="B2742" s="64" t="s">
        <v>22789</v>
      </c>
      <c r="C2742" s="71" t="s">
        <v>509</v>
      </c>
      <c r="D2742" s="79">
        <v>1</v>
      </c>
      <c r="E2742" s="79">
        <v>15.92</v>
      </c>
      <c r="F2742" s="79">
        <v>15.92</v>
      </c>
      <c r="G2742" s="445"/>
      <c r="H2742" s="178">
        <v>15.92</v>
      </c>
      <c r="I2742" s="178">
        <v>19.579999999999998</v>
      </c>
      <c r="J2742" s="70">
        <v>-3.6599999999999984</v>
      </c>
      <c r="K2742" s="320"/>
      <c r="L2742" s="178">
        <v>8.52</v>
      </c>
      <c r="M2742" s="178">
        <v>7.4</v>
      </c>
      <c r="N2742" s="179">
        <v>0</v>
      </c>
      <c r="O2742" s="178">
        <v>15.92</v>
      </c>
      <c r="P2742" s="453"/>
      <c r="Q2742" s="61"/>
      <c r="R2742" s="298"/>
      <c r="S2742" s="669"/>
      <c r="U2742" s="61"/>
      <c r="V2742" s="61"/>
      <c r="W2742" s="61"/>
      <c r="X2742" s="444">
        <v>2742</v>
      </c>
      <c r="Y2742" s="61"/>
      <c r="Z2742" s="61"/>
      <c r="AA2742" s="61"/>
      <c r="AB2742" s="61"/>
      <c r="AC2742" s="61"/>
      <c r="AD2742" s="61"/>
      <c r="AE2742" s="61"/>
      <c r="AF2742" s="61"/>
    </row>
    <row r="2743" spans="1:32" ht="24">
      <c r="A2743" s="63" t="s">
        <v>22790</v>
      </c>
      <c r="B2743" s="64" t="s">
        <v>22791</v>
      </c>
      <c r="C2743" s="71" t="s">
        <v>509</v>
      </c>
      <c r="D2743" s="79">
        <v>1</v>
      </c>
      <c r="E2743" s="79">
        <v>27.130000000000003</v>
      </c>
      <c r="F2743" s="79">
        <v>27.13</v>
      </c>
      <c r="G2743" s="320"/>
      <c r="H2743" s="178">
        <v>27.13</v>
      </c>
      <c r="I2743" s="178">
        <v>33.369999999999997</v>
      </c>
      <c r="J2743" s="70">
        <v>-6.2399999999999949</v>
      </c>
      <c r="K2743" s="320"/>
      <c r="L2743" s="178">
        <v>11.370000000000001</v>
      </c>
      <c r="M2743" s="178">
        <v>15.760000000000002</v>
      </c>
      <c r="N2743" s="179">
        <v>0</v>
      </c>
      <c r="O2743" s="178">
        <v>27.130000000000003</v>
      </c>
      <c r="P2743" s="453"/>
      <c r="Q2743" s="61"/>
      <c r="R2743" s="298"/>
      <c r="S2743" s="669"/>
      <c r="T2743" s="73"/>
      <c r="U2743" s="61"/>
      <c r="V2743" s="61"/>
      <c r="W2743" s="61"/>
      <c r="X2743" s="444">
        <v>2743</v>
      </c>
      <c r="Y2743" s="61"/>
      <c r="Z2743" s="61"/>
      <c r="AA2743" s="61"/>
      <c r="AB2743" s="61"/>
      <c r="AC2743" s="61"/>
      <c r="AD2743" s="61"/>
      <c r="AE2743" s="61"/>
      <c r="AF2743" s="61"/>
    </row>
    <row r="2744" spans="1:32" ht="12">
      <c r="A2744" s="63" t="s">
        <v>22792</v>
      </c>
      <c r="B2744" s="64" t="s">
        <v>22793</v>
      </c>
      <c r="C2744" s="71" t="s">
        <v>509</v>
      </c>
      <c r="D2744" s="79">
        <v>1</v>
      </c>
      <c r="E2744" s="79">
        <v>12.7</v>
      </c>
      <c r="F2744" s="79">
        <v>12.7</v>
      </c>
      <c r="G2744" s="320"/>
      <c r="H2744" s="178">
        <v>12.7</v>
      </c>
      <c r="I2744" s="178">
        <v>15.62</v>
      </c>
      <c r="J2744" s="70">
        <v>-2.92</v>
      </c>
      <c r="K2744" s="320"/>
      <c r="L2744" s="178">
        <v>8.52</v>
      </c>
      <c r="M2744" s="178">
        <v>4.18</v>
      </c>
      <c r="N2744" s="179">
        <v>0</v>
      </c>
      <c r="O2744" s="178">
        <v>12.7</v>
      </c>
      <c r="P2744" s="453"/>
      <c r="Q2744" s="61"/>
      <c r="R2744" s="298"/>
      <c r="S2744" s="669"/>
      <c r="T2744" s="73"/>
      <c r="U2744" s="61"/>
      <c r="V2744" s="61"/>
      <c r="W2744" s="61"/>
      <c r="X2744" s="444">
        <v>2744</v>
      </c>
      <c r="Y2744" s="61"/>
      <c r="Z2744" s="61"/>
      <c r="AA2744" s="61"/>
      <c r="AB2744" s="61"/>
      <c r="AC2744" s="61"/>
      <c r="AD2744" s="61"/>
      <c r="AE2744" s="61"/>
      <c r="AF2744" s="61"/>
    </row>
    <row r="2745" spans="1:32" ht="24">
      <c r="A2745" s="63" t="s">
        <v>22794</v>
      </c>
      <c r="B2745" s="64" t="s">
        <v>22669</v>
      </c>
      <c r="C2745" s="71" t="s">
        <v>509</v>
      </c>
      <c r="D2745" s="79">
        <v>1</v>
      </c>
      <c r="E2745" s="79">
        <v>89.850000000000009</v>
      </c>
      <c r="F2745" s="79">
        <v>89.85</v>
      </c>
      <c r="G2745" s="320"/>
      <c r="H2745" s="178">
        <v>89.85</v>
      </c>
      <c r="I2745" s="178">
        <v>110.51</v>
      </c>
      <c r="J2745" s="70">
        <v>-20.659999999999997</v>
      </c>
      <c r="K2745" s="320"/>
      <c r="L2745" s="178">
        <v>5.0999999999999996</v>
      </c>
      <c r="M2745" s="178">
        <v>84.750000000000014</v>
      </c>
      <c r="N2745" s="179">
        <v>0</v>
      </c>
      <c r="O2745" s="178">
        <v>89.850000000000009</v>
      </c>
      <c r="P2745" s="132"/>
      <c r="Q2745" s="61"/>
      <c r="R2745" s="298"/>
      <c r="S2745" s="669"/>
      <c r="T2745" s="66"/>
      <c r="U2745" s="61"/>
      <c r="V2745" s="61"/>
      <c r="W2745" s="61"/>
      <c r="X2745" s="444">
        <v>2745</v>
      </c>
      <c r="Y2745" s="61"/>
      <c r="Z2745" s="61"/>
      <c r="AA2745" s="61"/>
      <c r="AB2745" s="61"/>
      <c r="AC2745" s="61"/>
      <c r="AD2745" s="61"/>
      <c r="AE2745" s="61"/>
      <c r="AF2745" s="61"/>
    </row>
    <row r="2746" spans="1:32" ht="24">
      <c r="A2746" s="63" t="s">
        <v>22795</v>
      </c>
      <c r="B2746" s="64" t="s">
        <v>22671</v>
      </c>
      <c r="C2746" s="71" t="s">
        <v>509</v>
      </c>
      <c r="D2746" s="79">
        <v>1</v>
      </c>
      <c r="E2746" s="79">
        <v>22.209999999999997</v>
      </c>
      <c r="F2746" s="79">
        <v>22.21</v>
      </c>
      <c r="G2746" s="320"/>
      <c r="H2746" s="178">
        <v>22.2</v>
      </c>
      <c r="I2746" s="178">
        <v>27.3</v>
      </c>
      <c r="J2746" s="70">
        <v>-5.0900000000000034</v>
      </c>
      <c r="K2746" s="320"/>
      <c r="L2746" s="178">
        <v>5.0999999999999996</v>
      </c>
      <c r="M2746" s="178">
        <v>17.11</v>
      </c>
      <c r="N2746" s="179">
        <v>0</v>
      </c>
      <c r="O2746" s="178">
        <v>22.21</v>
      </c>
      <c r="P2746" s="132"/>
      <c r="Q2746" s="61"/>
      <c r="R2746" s="298"/>
      <c r="S2746" s="669"/>
      <c r="T2746" s="66"/>
      <c r="U2746" s="61"/>
      <c r="V2746" s="61"/>
      <c r="W2746" s="61"/>
      <c r="X2746" s="444">
        <v>2746</v>
      </c>
      <c r="Y2746" s="61"/>
      <c r="Z2746" s="61"/>
      <c r="AA2746" s="61"/>
      <c r="AB2746" s="61"/>
      <c r="AC2746" s="61"/>
      <c r="AD2746" s="61"/>
      <c r="AE2746" s="61"/>
      <c r="AF2746" s="61"/>
    </row>
    <row r="2747" spans="1:32" ht="12">
      <c r="A2747" s="83" t="s">
        <v>22796</v>
      </c>
      <c r="B2747" s="64" t="s">
        <v>22797</v>
      </c>
      <c r="C2747" s="71" t="s">
        <v>509</v>
      </c>
      <c r="D2747" s="79">
        <v>1</v>
      </c>
      <c r="E2747" s="79">
        <v>27.270000000000003</v>
      </c>
      <c r="F2747" s="79">
        <v>27.27</v>
      </c>
      <c r="G2747" s="445"/>
      <c r="H2747" s="178">
        <v>27.26</v>
      </c>
      <c r="I2747" s="178">
        <v>33.53</v>
      </c>
      <c r="J2747" s="70">
        <v>-6.259999999999998</v>
      </c>
      <c r="K2747" s="320"/>
      <c r="L2747" s="178">
        <v>15.3</v>
      </c>
      <c r="M2747" s="178">
        <v>11.970000000000002</v>
      </c>
      <c r="N2747" s="179">
        <v>0</v>
      </c>
      <c r="O2747" s="178">
        <v>27.270000000000003</v>
      </c>
      <c r="P2747" s="453"/>
      <c r="Q2747" s="61"/>
      <c r="R2747" s="298"/>
      <c r="S2747" s="669"/>
      <c r="U2747" s="61"/>
      <c r="V2747" s="61"/>
      <c r="W2747" s="61"/>
      <c r="X2747" s="444">
        <v>2747</v>
      </c>
      <c r="Y2747" s="61"/>
      <c r="Z2747" s="61"/>
      <c r="AA2747" s="61"/>
      <c r="AB2747" s="61"/>
      <c r="AC2747" s="61"/>
      <c r="AD2747" s="61"/>
      <c r="AE2747" s="61"/>
      <c r="AF2747" s="61"/>
    </row>
    <row r="2748" spans="1:32" ht="12">
      <c r="A2748" s="83" t="s">
        <v>22798</v>
      </c>
      <c r="B2748" s="64" t="s">
        <v>22799</v>
      </c>
      <c r="C2748" s="71" t="s">
        <v>396</v>
      </c>
      <c r="D2748" s="79">
        <v>1</v>
      </c>
      <c r="E2748" s="79">
        <v>17.100000000000001</v>
      </c>
      <c r="F2748" s="79">
        <v>17.100000000000001</v>
      </c>
      <c r="G2748" s="445"/>
      <c r="H2748" s="178">
        <v>17.11</v>
      </c>
      <c r="I2748" s="178">
        <v>21.04</v>
      </c>
      <c r="J2748" s="70">
        <v>-3.9399999999999977</v>
      </c>
      <c r="K2748" s="320"/>
      <c r="L2748" s="178">
        <v>16.810000000000002</v>
      </c>
      <c r="M2748" s="178">
        <v>0.28999999999999915</v>
      </c>
      <c r="N2748" s="179">
        <v>0</v>
      </c>
      <c r="O2748" s="178">
        <v>17.100000000000001</v>
      </c>
      <c r="P2748" s="453"/>
      <c r="Q2748" s="61"/>
      <c r="R2748" s="298"/>
      <c r="S2748" s="669"/>
      <c r="U2748" s="61"/>
      <c r="V2748" s="61"/>
      <c r="W2748" s="61"/>
      <c r="X2748" s="444">
        <v>2748</v>
      </c>
      <c r="Y2748" s="61"/>
      <c r="Z2748" s="61"/>
      <c r="AA2748" s="61"/>
      <c r="AB2748" s="61"/>
      <c r="AC2748" s="61"/>
      <c r="AD2748" s="61"/>
      <c r="AE2748" s="61"/>
      <c r="AF2748" s="61"/>
    </row>
    <row r="2749" spans="1:32" ht="12">
      <c r="A2749" s="83" t="s">
        <v>22800</v>
      </c>
      <c r="B2749" s="64" t="s">
        <v>39972</v>
      </c>
      <c r="C2749" s="71" t="s">
        <v>103</v>
      </c>
      <c r="D2749" s="79">
        <v>1</v>
      </c>
      <c r="E2749" s="79">
        <v>1505.15</v>
      </c>
      <c r="F2749" s="79">
        <v>1505.15</v>
      </c>
      <c r="G2749" s="445"/>
      <c r="H2749" s="178">
        <v>1505.15</v>
      </c>
      <c r="I2749" s="178">
        <v>1851.33</v>
      </c>
      <c r="J2749" s="70">
        <v>-346.17999999999984</v>
      </c>
      <c r="K2749" s="320"/>
      <c r="L2749" s="178">
        <v>1162.1500000000001</v>
      </c>
      <c r="M2749" s="178">
        <v>343</v>
      </c>
      <c r="N2749" s="179">
        <v>0</v>
      </c>
      <c r="O2749" s="178">
        <v>1505.15</v>
      </c>
      <c r="P2749" s="453"/>
      <c r="Q2749" s="61"/>
      <c r="R2749" s="298"/>
      <c r="S2749" s="669"/>
      <c r="U2749" s="61"/>
      <c r="V2749" s="61"/>
      <c r="W2749" s="61"/>
      <c r="X2749" s="444">
        <v>2749</v>
      </c>
      <c r="Y2749" s="61"/>
      <c r="Z2749" s="61"/>
      <c r="AA2749" s="61"/>
      <c r="AB2749" s="61"/>
      <c r="AC2749" s="61"/>
      <c r="AD2749" s="61"/>
      <c r="AE2749" s="61"/>
      <c r="AF2749" s="61"/>
    </row>
    <row r="2750" spans="1:32" ht="12">
      <c r="A2750" s="83" t="s">
        <v>22801</v>
      </c>
      <c r="B2750" s="64" t="s">
        <v>22802</v>
      </c>
      <c r="C2750" s="71" t="s">
        <v>165</v>
      </c>
      <c r="D2750" s="79">
        <v>1</v>
      </c>
      <c r="E2750" s="79">
        <v>2.5100000000000002</v>
      </c>
      <c r="F2750" s="79">
        <v>2.5099999999999998</v>
      </c>
      <c r="G2750" s="445"/>
      <c r="H2750" s="178">
        <v>2.48</v>
      </c>
      <c r="I2750" s="178">
        <v>3.05</v>
      </c>
      <c r="J2750" s="70">
        <v>-0.53999999999999959</v>
      </c>
      <c r="K2750" s="320"/>
      <c r="L2750" s="178">
        <v>1.75</v>
      </c>
      <c r="M2750" s="178">
        <v>0.76000000000000023</v>
      </c>
      <c r="N2750" s="179">
        <v>0</v>
      </c>
      <c r="O2750" s="178">
        <v>2.5100000000000002</v>
      </c>
      <c r="P2750" s="453"/>
      <c r="Q2750" s="61"/>
      <c r="R2750" s="298"/>
      <c r="S2750" s="669"/>
      <c r="U2750" s="61"/>
      <c r="V2750" s="61"/>
      <c r="W2750" s="61"/>
      <c r="X2750" s="444">
        <v>2750</v>
      </c>
      <c r="Y2750" s="61"/>
      <c r="Z2750" s="61"/>
      <c r="AA2750" s="61"/>
      <c r="AB2750" s="61"/>
      <c r="AC2750" s="61"/>
      <c r="AD2750" s="61"/>
      <c r="AE2750" s="61"/>
      <c r="AF2750" s="61"/>
    </row>
    <row r="2751" spans="1:32" ht="12">
      <c r="A2751" s="83" t="s">
        <v>22803</v>
      </c>
      <c r="B2751" s="64" t="s">
        <v>7824</v>
      </c>
      <c r="C2751" s="71" t="s">
        <v>509</v>
      </c>
      <c r="D2751" s="79">
        <v>1</v>
      </c>
      <c r="E2751" s="79">
        <v>30.240000000000002</v>
      </c>
      <c r="F2751" s="79">
        <v>30.24</v>
      </c>
      <c r="G2751" s="445"/>
      <c r="H2751" s="178">
        <v>30.24</v>
      </c>
      <c r="I2751" s="178">
        <v>37.200000000000003</v>
      </c>
      <c r="J2751" s="70">
        <v>-6.9600000000000009</v>
      </c>
      <c r="K2751" s="320"/>
      <c r="L2751" s="178">
        <v>22.93</v>
      </c>
      <c r="M2751" s="178">
        <v>7.3100000000000023</v>
      </c>
      <c r="N2751" s="179">
        <v>0</v>
      </c>
      <c r="O2751" s="178">
        <v>30.240000000000002</v>
      </c>
      <c r="P2751" s="453"/>
      <c r="Q2751" s="61"/>
      <c r="R2751" s="298"/>
      <c r="S2751" s="669"/>
      <c r="U2751" s="61"/>
      <c r="V2751" s="61"/>
      <c r="W2751" s="61"/>
      <c r="X2751" s="444">
        <v>2751</v>
      </c>
      <c r="Y2751" s="61"/>
      <c r="Z2751" s="61"/>
      <c r="AA2751" s="61"/>
      <c r="AB2751" s="61"/>
      <c r="AC2751" s="61"/>
      <c r="AD2751" s="61"/>
      <c r="AE2751" s="61"/>
      <c r="AF2751" s="61"/>
    </row>
    <row r="2752" spans="1:32" ht="12">
      <c r="A2752" s="83" t="s">
        <v>22804</v>
      </c>
      <c r="B2752" s="64" t="s">
        <v>22805</v>
      </c>
      <c r="C2752" s="71" t="s">
        <v>10216</v>
      </c>
      <c r="D2752" s="79">
        <v>1</v>
      </c>
      <c r="E2752" s="79">
        <v>577.26</v>
      </c>
      <c r="F2752" s="79">
        <v>577.26</v>
      </c>
      <c r="G2752" s="445"/>
      <c r="H2752" s="178">
        <v>577.25</v>
      </c>
      <c r="I2752" s="178">
        <v>710.02</v>
      </c>
      <c r="J2752" s="70">
        <v>-132.76</v>
      </c>
      <c r="K2752" s="320"/>
      <c r="L2752" s="178"/>
      <c r="M2752" s="178">
        <v>577.26</v>
      </c>
      <c r="N2752" s="179">
        <v>0</v>
      </c>
      <c r="O2752" s="178">
        <v>577.26</v>
      </c>
      <c r="P2752" s="453"/>
      <c r="Q2752" s="61"/>
      <c r="R2752" s="298"/>
      <c r="S2752" s="669"/>
      <c r="U2752" s="61"/>
      <c r="V2752" s="61"/>
      <c r="W2752" s="61"/>
      <c r="X2752" s="444">
        <v>2752</v>
      </c>
      <c r="Y2752" s="61"/>
      <c r="Z2752" s="61"/>
      <c r="AA2752" s="61"/>
      <c r="AB2752" s="61"/>
      <c r="AC2752" s="61"/>
      <c r="AD2752" s="61"/>
      <c r="AE2752" s="61"/>
      <c r="AF2752" s="61"/>
    </row>
    <row r="2753" spans="1:32" s="61" customFormat="1" ht="12">
      <c r="A2753" s="83" t="s">
        <v>39973</v>
      </c>
      <c r="B2753" s="64" t="s">
        <v>39974</v>
      </c>
      <c r="C2753" s="71"/>
      <c r="D2753" s="79" t="s">
        <v>40899</v>
      </c>
      <c r="E2753" s="79" t="s">
        <v>40899</v>
      </c>
      <c r="F2753" s="79"/>
      <c r="G2753" s="445"/>
      <c r="H2753" s="178"/>
      <c r="I2753" s="178"/>
      <c r="J2753" s="70"/>
      <c r="K2753" s="320"/>
      <c r="L2753" s="178"/>
      <c r="M2753" s="178"/>
      <c r="N2753" s="179"/>
      <c r="O2753" s="178"/>
      <c r="P2753" s="453"/>
      <c r="R2753" s="298"/>
      <c r="S2753" s="669"/>
      <c r="T2753" s="444"/>
      <c r="U2753" s="69"/>
      <c r="V2753" s="69"/>
      <c r="W2753" s="69"/>
      <c r="X2753" s="444">
        <v>2753</v>
      </c>
      <c r="Y2753" s="69"/>
      <c r="Z2753" s="69"/>
      <c r="AA2753" s="69"/>
      <c r="AB2753" s="69"/>
      <c r="AC2753" s="69"/>
      <c r="AD2753" s="69"/>
      <c r="AE2753" s="69"/>
      <c r="AF2753" s="69"/>
    </row>
    <row r="2754" spans="1:32" ht="12">
      <c r="A2754" s="83" t="s">
        <v>22806</v>
      </c>
      <c r="B2754" s="64" t="s">
        <v>22807</v>
      </c>
      <c r="C2754" s="71" t="s">
        <v>509</v>
      </c>
      <c r="D2754" s="79">
        <v>1</v>
      </c>
      <c r="E2754" s="79">
        <v>2.2599999999999998</v>
      </c>
      <c r="F2754" s="79">
        <v>2.2599999999999998</v>
      </c>
      <c r="G2754" s="445"/>
      <c r="H2754" s="178">
        <v>2.25</v>
      </c>
      <c r="I2754" s="178">
        <v>2.77</v>
      </c>
      <c r="J2754" s="70">
        <v>-0.51000000000000023</v>
      </c>
      <c r="K2754" s="320"/>
      <c r="L2754" s="178">
        <v>2.2599999999999998</v>
      </c>
      <c r="M2754" s="178">
        <v>0</v>
      </c>
      <c r="N2754" s="179">
        <v>0</v>
      </c>
      <c r="O2754" s="178">
        <v>2.2599999999999998</v>
      </c>
      <c r="P2754" s="453"/>
      <c r="Q2754" s="61"/>
      <c r="R2754" s="298"/>
      <c r="S2754" s="669"/>
      <c r="U2754" s="69"/>
      <c r="V2754" s="69"/>
      <c r="W2754" s="69"/>
      <c r="X2754" s="444">
        <v>2754</v>
      </c>
      <c r="Y2754" s="69"/>
      <c r="Z2754" s="69"/>
      <c r="AA2754" s="69"/>
      <c r="AB2754" s="69"/>
      <c r="AC2754" s="69"/>
      <c r="AD2754" s="69"/>
      <c r="AE2754" s="69"/>
      <c r="AF2754" s="69"/>
    </row>
    <row r="2755" spans="1:32" s="69" customFormat="1" ht="12">
      <c r="A2755" s="83" t="s">
        <v>22808</v>
      </c>
      <c r="B2755" s="64" t="s">
        <v>22809</v>
      </c>
      <c r="C2755" s="71" t="s">
        <v>509</v>
      </c>
      <c r="D2755" s="79">
        <v>1</v>
      </c>
      <c r="E2755" s="79">
        <v>4.3</v>
      </c>
      <c r="F2755" s="79">
        <v>4.3</v>
      </c>
      <c r="G2755" s="445"/>
      <c r="H2755" s="178">
        <v>4.3</v>
      </c>
      <c r="I2755" s="178">
        <v>5.29</v>
      </c>
      <c r="J2755" s="70">
        <v>-0.99000000000000021</v>
      </c>
      <c r="K2755" s="320"/>
      <c r="L2755" s="178">
        <v>3.37</v>
      </c>
      <c r="M2755" s="178">
        <v>0.92999999999999972</v>
      </c>
      <c r="N2755" s="179">
        <v>0</v>
      </c>
      <c r="O2755" s="178">
        <v>4.3</v>
      </c>
      <c r="P2755" s="453"/>
      <c r="Q2755" s="61"/>
      <c r="R2755" s="298"/>
      <c r="S2755" s="669"/>
      <c r="T2755" s="444"/>
      <c r="X2755" s="444">
        <v>2755</v>
      </c>
    </row>
    <row r="2756" spans="1:32" ht="12">
      <c r="A2756" s="83" t="s">
        <v>22810</v>
      </c>
      <c r="B2756" s="64" t="s">
        <v>22811</v>
      </c>
      <c r="C2756" s="71" t="s">
        <v>509</v>
      </c>
      <c r="D2756" s="79">
        <v>1</v>
      </c>
      <c r="E2756" s="79">
        <v>6.03</v>
      </c>
      <c r="F2756" s="79">
        <v>6.03</v>
      </c>
      <c r="G2756" s="445"/>
      <c r="H2756" s="178">
        <v>6.02</v>
      </c>
      <c r="I2756" s="178">
        <v>7.4</v>
      </c>
      <c r="J2756" s="70">
        <v>-1.37</v>
      </c>
      <c r="K2756" s="320"/>
      <c r="L2756" s="178">
        <v>5.6400000000000006</v>
      </c>
      <c r="M2756" s="178">
        <v>0.38999999999999968</v>
      </c>
      <c r="N2756" s="179">
        <v>0</v>
      </c>
      <c r="O2756" s="178">
        <v>6.03</v>
      </c>
      <c r="P2756" s="453"/>
      <c r="Q2756" s="61"/>
      <c r="R2756" s="298"/>
      <c r="S2756" s="669"/>
      <c r="U2756" s="69"/>
      <c r="V2756" s="69"/>
      <c r="W2756" s="69"/>
      <c r="X2756" s="444">
        <v>2756</v>
      </c>
      <c r="Y2756" s="69"/>
      <c r="Z2756" s="69"/>
      <c r="AA2756" s="69"/>
      <c r="AB2756" s="69"/>
      <c r="AC2756" s="69"/>
      <c r="AD2756" s="69"/>
      <c r="AE2756" s="69"/>
      <c r="AF2756" s="69"/>
    </row>
    <row r="2757" spans="1:32" ht="12">
      <c r="A2757" s="83" t="s">
        <v>22812</v>
      </c>
      <c r="B2757" s="64" t="s">
        <v>22813</v>
      </c>
      <c r="C2757" s="71" t="s">
        <v>509</v>
      </c>
      <c r="D2757" s="79">
        <v>1</v>
      </c>
      <c r="E2757" s="79">
        <v>7.2900000000000009</v>
      </c>
      <c r="F2757" s="79">
        <v>7.29</v>
      </c>
      <c r="G2757" s="445"/>
      <c r="H2757" s="178">
        <v>7.28</v>
      </c>
      <c r="I2757" s="178">
        <v>8.9499999999999993</v>
      </c>
      <c r="J2757" s="70">
        <v>-1.6599999999999984</v>
      </c>
      <c r="K2757" s="320"/>
      <c r="L2757" s="178">
        <v>5.6400000000000006</v>
      </c>
      <c r="M2757" s="178">
        <v>1.6500000000000004</v>
      </c>
      <c r="N2757" s="179">
        <v>0</v>
      </c>
      <c r="O2757" s="178">
        <v>7.2900000000000009</v>
      </c>
      <c r="P2757" s="453"/>
      <c r="Q2757" s="61"/>
      <c r="R2757" s="298"/>
      <c r="S2757" s="669"/>
      <c r="U2757" s="61"/>
      <c r="V2757" s="61"/>
      <c r="W2757" s="61"/>
      <c r="X2757" s="444">
        <v>2757</v>
      </c>
      <c r="Y2757" s="61"/>
      <c r="Z2757" s="61"/>
      <c r="AA2757" s="61"/>
      <c r="AB2757" s="61"/>
      <c r="AC2757" s="61"/>
      <c r="AD2757" s="61"/>
      <c r="AE2757" s="61"/>
      <c r="AF2757" s="61"/>
    </row>
    <row r="2758" spans="1:32" ht="12">
      <c r="A2758" s="83" t="s">
        <v>22814</v>
      </c>
      <c r="B2758" s="64" t="s">
        <v>22815</v>
      </c>
      <c r="C2758" s="71" t="s">
        <v>165</v>
      </c>
      <c r="D2758" s="79">
        <v>1</v>
      </c>
      <c r="E2758" s="79">
        <v>1.21</v>
      </c>
      <c r="F2758" s="79">
        <v>1.21</v>
      </c>
      <c r="G2758" s="445"/>
      <c r="H2758" s="178">
        <v>1.2</v>
      </c>
      <c r="I2758" s="178">
        <v>1.48</v>
      </c>
      <c r="J2758" s="70">
        <v>-0.27</v>
      </c>
      <c r="K2758" s="320"/>
      <c r="L2758" s="178">
        <v>1.1299999999999999</v>
      </c>
      <c r="M2758" s="178">
        <v>8.0000000000000071E-2</v>
      </c>
      <c r="N2758" s="179">
        <v>0</v>
      </c>
      <c r="O2758" s="178">
        <v>1.21</v>
      </c>
      <c r="P2758" s="453"/>
      <c r="Q2758" s="61"/>
      <c r="R2758" s="298"/>
      <c r="S2758" s="669"/>
      <c r="U2758" s="69"/>
      <c r="V2758" s="69"/>
      <c r="W2758" s="69"/>
      <c r="X2758" s="444">
        <v>2758</v>
      </c>
      <c r="Y2758" s="69"/>
      <c r="Z2758" s="69"/>
      <c r="AA2758" s="69"/>
      <c r="AB2758" s="69"/>
      <c r="AC2758" s="69"/>
      <c r="AD2758" s="69"/>
      <c r="AE2758" s="69"/>
      <c r="AF2758" s="69"/>
    </row>
    <row r="2759" spans="1:32" ht="12">
      <c r="A2759" s="83" t="s">
        <v>22816</v>
      </c>
      <c r="B2759" s="64" t="s">
        <v>22817</v>
      </c>
      <c r="C2759" s="71" t="s">
        <v>509</v>
      </c>
      <c r="D2759" s="79">
        <v>1</v>
      </c>
      <c r="E2759" s="79">
        <v>9.34</v>
      </c>
      <c r="F2759" s="79">
        <v>9.34</v>
      </c>
      <c r="G2759" s="445"/>
      <c r="H2759" s="178">
        <v>9.33</v>
      </c>
      <c r="I2759" s="178">
        <v>11.48</v>
      </c>
      <c r="J2759" s="70">
        <v>-2.1400000000000006</v>
      </c>
      <c r="K2759" s="320"/>
      <c r="L2759" s="178">
        <v>4.51</v>
      </c>
      <c r="M2759" s="178">
        <v>4.83</v>
      </c>
      <c r="N2759" s="179">
        <v>0</v>
      </c>
      <c r="O2759" s="178">
        <v>9.34</v>
      </c>
      <c r="P2759" s="453"/>
      <c r="Q2759" s="61"/>
      <c r="R2759" s="298"/>
      <c r="S2759" s="669"/>
      <c r="U2759" s="61"/>
      <c r="V2759" s="61"/>
      <c r="W2759" s="61"/>
      <c r="X2759" s="444">
        <v>2759</v>
      </c>
      <c r="Y2759" s="61"/>
      <c r="Z2759" s="61"/>
      <c r="AA2759" s="61"/>
      <c r="AB2759" s="61"/>
      <c r="AC2759" s="61"/>
      <c r="AD2759" s="61"/>
      <c r="AE2759" s="61"/>
      <c r="AF2759" s="61"/>
    </row>
    <row r="2760" spans="1:32" s="61" customFormat="1" ht="12">
      <c r="A2760" s="83" t="s">
        <v>22818</v>
      </c>
      <c r="B2760" s="64" t="s">
        <v>22819</v>
      </c>
      <c r="C2760" s="71" t="s">
        <v>509</v>
      </c>
      <c r="D2760" s="79">
        <v>1</v>
      </c>
      <c r="E2760" s="79">
        <v>9.34</v>
      </c>
      <c r="F2760" s="79">
        <v>9.34</v>
      </c>
      <c r="G2760" s="445"/>
      <c r="H2760" s="178">
        <v>9.33</v>
      </c>
      <c r="I2760" s="178">
        <v>11.48</v>
      </c>
      <c r="J2760" s="70">
        <v>-2.1400000000000006</v>
      </c>
      <c r="K2760" s="320"/>
      <c r="L2760" s="178">
        <v>4.51</v>
      </c>
      <c r="M2760" s="178">
        <v>4.83</v>
      </c>
      <c r="N2760" s="179">
        <v>0</v>
      </c>
      <c r="O2760" s="178">
        <v>9.34</v>
      </c>
      <c r="P2760" s="453"/>
      <c r="R2760" s="298"/>
      <c r="S2760" s="669"/>
      <c r="T2760" s="444"/>
      <c r="X2760" s="444">
        <v>2760</v>
      </c>
    </row>
    <row r="2761" spans="1:32" s="61" customFormat="1" ht="12">
      <c r="A2761" s="83" t="s">
        <v>22820</v>
      </c>
      <c r="B2761" s="64" t="s">
        <v>22821</v>
      </c>
      <c r="C2761" s="71" t="s">
        <v>509</v>
      </c>
      <c r="D2761" s="79">
        <v>1</v>
      </c>
      <c r="E2761" s="79">
        <v>9.34</v>
      </c>
      <c r="F2761" s="79">
        <v>9.34</v>
      </c>
      <c r="G2761" s="445"/>
      <c r="H2761" s="178">
        <v>9.33</v>
      </c>
      <c r="I2761" s="178">
        <v>11.48</v>
      </c>
      <c r="J2761" s="70">
        <v>-2.1400000000000006</v>
      </c>
      <c r="K2761" s="320"/>
      <c r="L2761" s="178">
        <v>4.51</v>
      </c>
      <c r="M2761" s="178">
        <v>4.83</v>
      </c>
      <c r="N2761" s="179">
        <v>0</v>
      </c>
      <c r="O2761" s="178">
        <v>9.34</v>
      </c>
      <c r="P2761" s="453"/>
      <c r="R2761" s="298"/>
      <c r="S2761" s="669"/>
      <c r="T2761" s="444"/>
      <c r="U2761" s="69"/>
      <c r="V2761" s="69"/>
      <c r="W2761" s="69"/>
      <c r="X2761" s="444">
        <v>2761</v>
      </c>
      <c r="Y2761" s="69"/>
      <c r="Z2761" s="69"/>
      <c r="AA2761" s="69"/>
      <c r="AB2761" s="69"/>
      <c r="AC2761" s="69"/>
      <c r="AD2761" s="69"/>
      <c r="AE2761" s="69"/>
      <c r="AF2761" s="69"/>
    </row>
    <row r="2762" spans="1:32" s="61" customFormat="1" ht="24">
      <c r="A2762" s="83" t="s">
        <v>22822</v>
      </c>
      <c r="B2762" s="64" t="s">
        <v>22823</v>
      </c>
      <c r="C2762" s="71" t="s">
        <v>165</v>
      </c>
      <c r="D2762" s="79">
        <v>1</v>
      </c>
      <c r="E2762" s="79">
        <v>1.88</v>
      </c>
      <c r="F2762" s="79">
        <v>1.88</v>
      </c>
      <c r="G2762" s="445"/>
      <c r="H2762" s="178">
        <v>1.86</v>
      </c>
      <c r="I2762" s="178">
        <v>2.29</v>
      </c>
      <c r="J2762" s="70">
        <v>-0.41000000000000014</v>
      </c>
      <c r="K2762" s="320"/>
      <c r="L2762" s="178">
        <v>0.90999999999999992</v>
      </c>
      <c r="M2762" s="178">
        <v>0.97</v>
      </c>
      <c r="N2762" s="179">
        <v>0</v>
      </c>
      <c r="O2762" s="178">
        <v>1.88</v>
      </c>
      <c r="P2762" s="453"/>
      <c r="R2762" s="298"/>
      <c r="S2762" s="669"/>
      <c r="T2762" s="444"/>
      <c r="U2762" s="444"/>
      <c r="V2762" s="444"/>
      <c r="W2762" s="444"/>
      <c r="X2762" s="444">
        <v>2762</v>
      </c>
      <c r="Y2762" s="444"/>
      <c r="Z2762" s="444"/>
      <c r="AA2762" s="444"/>
      <c r="AB2762" s="444"/>
      <c r="AC2762" s="444"/>
      <c r="AD2762" s="444"/>
      <c r="AE2762" s="444"/>
      <c r="AF2762" s="444"/>
    </row>
    <row r="2763" spans="1:32" s="61" customFormat="1" ht="12">
      <c r="A2763" s="83" t="s">
        <v>22824</v>
      </c>
      <c r="B2763" s="64" t="s">
        <v>22825</v>
      </c>
      <c r="C2763" s="71" t="s">
        <v>509</v>
      </c>
      <c r="D2763" s="79">
        <v>1</v>
      </c>
      <c r="E2763" s="79">
        <v>27.500000000000004</v>
      </c>
      <c r="F2763" s="79">
        <v>27.5</v>
      </c>
      <c r="G2763" s="445"/>
      <c r="H2763" s="178">
        <v>27.49</v>
      </c>
      <c r="I2763" s="178">
        <v>33.81</v>
      </c>
      <c r="J2763" s="70">
        <v>-6.3099999999999987</v>
      </c>
      <c r="K2763" s="320"/>
      <c r="L2763" s="178">
        <v>22.560000000000002</v>
      </c>
      <c r="M2763" s="178">
        <v>4.9400000000000013</v>
      </c>
      <c r="N2763" s="179">
        <v>0</v>
      </c>
      <c r="O2763" s="178">
        <v>27.500000000000004</v>
      </c>
      <c r="P2763" s="453"/>
      <c r="R2763" s="298"/>
      <c r="S2763" s="669"/>
      <c r="T2763" s="444"/>
      <c r="U2763" s="444"/>
      <c r="V2763" s="444"/>
      <c r="W2763" s="444"/>
      <c r="X2763" s="444">
        <v>2763</v>
      </c>
      <c r="Y2763" s="444"/>
      <c r="Z2763" s="444"/>
      <c r="AA2763" s="444"/>
      <c r="AB2763" s="444"/>
      <c r="AC2763" s="444"/>
      <c r="AD2763" s="444"/>
      <c r="AE2763" s="444"/>
      <c r="AF2763" s="444"/>
    </row>
    <row r="2764" spans="1:32" s="61" customFormat="1" ht="12">
      <c r="A2764" s="83" t="s">
        <v>22826</v>
      </c>
      <c r="B2764" s="64" t="s">
        <v>22827</v>
      </c>
      <c r="C2764" s="71" t="s">
        <v>10216</v>
      </c>
      <c r="D2764" s="79">
        <v>1</v>
      </c>
      <c r="E2764" s="79">
        <v>577.26</v>
      </c>
      <c r="F2764" s="79">
        <v>577.26</v>
      </c>
      <c r="G2764" s="445"/>
      <c r="H2764" s="178">
        <v>577.25</v>
      </c>
      <c r="I2764" s="178">
        <v>710.02</v>
      </c>
      <c r="J2764" s="70">
        <v>-132.76</v>
      </c>
      <c r="K2764" s="320"/>
      <c r="L2764" s="178"/>
      <c r="M2764" s="178">
        <v>577.26</v>
      </c>
      <c r="N2764" s="179">
        <v>0</v>
      </c>
      <c r="O2764" s="178">
        <v>577.26</v>
      </c>
      <c r="P2764" s="453"/>
      <c r="R2764" s="298"/>
      <c r="S2764" s="669"/>
      <c r="T2764" s="444"/>
      <c r="U2764" s="444"/>
      <c r="V2764" s="444"/>
      <c r="W2764" s="444"/>
      <c r="X2764" s="444">
        <v>2764</v>
      </c>
      <c r="Y2764" s="444"/>
      <c r="Z2764" s="444"/>
      <c r="AA2764" s="444"/>
      <c r="AB2764" s="444"/>
      <c r="AC2764" s="444"/>
      <c r="AD2764" s="444"/>
      <c r="AE2764" s="444"/>
      <c r="AF2764" s="444"/>
    </row>
    <row r="2765" spans="1:32" s="69" customFormat="1" ht="12">
      <c r="A2765" s="83" t="s">
        <v>39975</v>
      </c>
      <c r="B2765" s="64" t="s">
        <v>39976</v>
      </c>
      <c r="C2765" s="71"/>
      <c r="D2765" s="79" t="s">
        <v>40899</v>
      </c>
      <c r="E2765" s="79" t="s">
        <v>40899</v>
      </c>
      <c r="F2765" s="79"/>
      <c r="G2765" s="445"/>
      <c r="H2765" s="178"/>
      <c r="I2765" s="178"/>
      <c r="J2765" s="70"/>
      <c r="K2765" s="320"/>
      <c r="L2765" s="178"/>
      <c r="M2765" s="178"/>
      <c r="N2765" s="179"/>
      <c r="O2765" s="178"/>
      <c r="P2765" s="453"/>
      <c r="Q2765" s="61"/>
      <c r="R2765" s="298"/>
      <c r="S2765" s="669"/>
      <c r="T2765" s="444"/>
      <c r="U2765" s="444"/>
      <c r="V2765" s="444"/>
      <c r="W2765" s="444"/>
      <c r="X2765" s="444">
        <v>2765</v>
      </c>
      <c r="Y2765" s="444"/>
      <c r="Z2765" s="444"/>
      <c r="AA2765" s="444"/>
      <c r="AB2765" s="444"/>
      <c r="AC2765" s="444"/>
      <c r="AD2765" s="444"/>
      <c r="AE2765" s="444"/>
      <c r="AF2765" s="444"/>
    </row>
    <row r="2766" spans="1:32" s="73" customFormat="1" ht="12">
      <c r="A2766" s="83" t="s">
        <v>22828</v>
      </c>
      <c r="B2766" s="64" t="s">
        <v>22829</v>
      </c>
      <c r="C2766" s="71" t="s">
        <v>509</v>
      </c>
      <c r="D2766" s="79">
        <v>1</v>
      </c>
      <c r="E2766" s="79">
        <v>27.669999999999998</v>
      </c>
      <c r="F2766" s="79">
        <v>27.67</v>
      </c>
      <c r="G2766" s="445"/>
      <c r="H2766" s="178">
        <v>27.68</v>
      </c>
      <c r="I2766" s="178">
        <v>34.049999999999997</v>
      </c>
      <c r="J2766" s="70">
        <v>-6.379999999999999</v>
      </c>
      <c r="K2766" s="320"/>
      <c r="L2766" s="178">
        <v>9.61</v>
      </c>
      <c r="M2766" s="178">
        <v>18.059999999999999</v>
      </c>
      <c r="N2766" s="179">
        <v>0</v>
      </c>
      <c r="O2766" s="178">
        <v>27.669999999999998</v>
      </c>
      <c r="P2766" s="453"/>
      <c r="Q2766" s="61"/>
      <c r="R2766" s="298"/>
      <c r="S2766" s="669"/>
      <c r="T2766" s="444"/>
      <c r="U2766" s="444"/>
      <c r="V2766" s="444"/>
      <c r="W2766" s="444"/>
      <c r="X2766" s="444">
        <v>2766</v>
      </c>
      <c r="Y2766" s="444"/>
      <c r="Z2766" s="444"/>
      <c r="AA2766" s="444"/>
      <c r="AB2766" s="444"/>
      <c r="AC2766" s="444"/>
      <c r="AD2766" s="444"/>
      <c r="AE2766" s="444"/>
      <c r="AF2766" s="444"/>
    </row>
    <row r="2767" spans="1:32" ht="12">
      <c r="A2767" s="459" t="s">
        <v>22830</v>
      </c>
      <c r="B2767" s="64" t="s">
        <v>22831</v>
      </c>
      <c r="C2767" s="71" t="s">
        <v>509</v>
      </c>
      <c r="D2767" s="79">
        <v>1</v>
      </c>
      <c r="E2767" s="79">
        <v>20.56</v>
      </c>
      <c r="F2767" s="79">
        <v>20.56</v>
      </c>
      <c r="G2767" s="460"/>
      <c r="H2767" s="766">
        <v>20.55</v>
      </c>
      <c r="I2767" s="766">
        <v>25.28</v>
      </c>
      <c r="J2767" s="500">
        <v>-4.7200000000000024</v>
      </c>
      <c r="K2767" s="466"/>
      <c r="L2767" s="766">
        <v>14.010000000000002</v>
      </c>
      <c r="M2767" s="766">
        <v>6.5499999999999972</v>
      </c>
      <c r="N2767" s="767">
        <v>0</v>
      </c>
      <c r="O2767" s="766">
        <v>20.56</v>
      </c>
      <c r="P2767" s="446"/>
      <c r="Q2767" s="61"/>
      <c r="R2767" s="298"/>
      <c r="S2767" s="669"/>
      <c r="T2767" s="73"/>
      <c r="X2767" s="444">
        <v>2767</v>
      </c>
    </row>
    <row r="2768" spans="1:32" ht="12">
      <c r="A2768" s="459" t="s">
        <v>22832</v>
      </c>
      <c r="B2768" s="64" t="s">
        <v>22833</v>
      </c>
      <c r="C2768" s="71" t="s">
        <v>509</v>
      </c>
      <c r="D2768" s="79">
        <v>1</v>
      </c>
      <c r="E2768" s="79">
        <v>24.28</v>
      </c>
      <c r="F2768" s="79">
        <v>24.28</v>
      </c>
      <c r="G2768" s="460"/>
      <c r="H2768" s="766">
        <v>24.28</v>
      </c>
      <c r="I2768" s="766">
        <v>29.87</v>
      </c>
      <c r="J2768" s="500">
        <v>-5.59</v>
      </c>
      <c r="K2768" s="466"/>
      <c r="L2768" s="766">
        <v>14.010000000000002</v>
      </c>
      <c r="M2768" s="766">
        <v>10.27</v>
      </c>
      <c r="N2768" s="767">
        <v>0</v>
      </c>
      <c r="O2768" s="766">
        <v>24.28</v>
      </c>
      <c r="P2768" s="446"/>
      <c r="Q2768" s="61"/>
      <c r="R2768" s="298"/>
      <c r="S2768" s="669"/>
      <c r="T2768" s="73"/>
      <c r="X2768" s="444">
        <v>2768</v>
      </c>
    </row>
    <row r="2769" spans="1:32" ht="12">
      <c r="A2769" s="83" t="s">
        <v>22834</v>
      </c>
      <c r="B2769" s="64" t="s">
        <v>22835</v>
      </c>
      <c r="C2769" s="71" t="s">
        <v>509</v>
      </c>
      <c r="D2769" s="79">
        <v>1</v>
      </c>
      <c r="E2769" s="79">
        <v>18.650000000000002</v>
      </c>
      <c r="F2769" s="79">
        <v>18.649999999999999</v>
      </c>
      <c r="G2769" s="445"/>
      <c r="H2769" s="178">
        <v>18.64</v>
      </c>
      <c r="I2769" s="178">
        <v>22.93</v>
      </c>
      <c r="J2769" s="70">
        <v>-4.2799999999999976</v>
      </c>
      <c r="K2769" s="320"/>
      <c r="L2769" s="178">
        <v>14.010000000000002</v>
      </c>
      <c r="M2769" s="178">
        <v>4.6400000000000006</v>
      </c>
      <c r="N2769" s="179">
        <v>0</v>
      </c>
      <c r="O2769" s="178">
        <v>18.650000000000002</v>
      </c>
      <c r="P2769" s="453"/>
      <c r="Q2769" s="61"/>
      <c r="R2769" s="298"/>
      <c r="S2769" s="669"/>
      <c r="X2769" s="444">
        <v>2769</v>
      </c>
    </row>
    <row r="2770" spans="1:32" ht="12">
      <c r="A2770" s="83" t="s">
        <v>22836</v>
      </c>
      <c r="B2770" s="64" t="s">
        <v>22837</v>
      </c>
      <c r="C2770" s="71" t="s">
        <v>509</v>
      </c>
      <c r="D2770" s="79">
        <v>1</v>
      </c>
      <c r="E2770" s="79">
        <v>32.619999999999997</v>
      </c>
      <c r="F2770" s="79">
        <v>32.619999999999997</v>
      </c>
      <c r="G2770" s="445"/>
      <c r="H2770" s="178">
        <v>32.6</v>
      </c>
      <c r="I2770" s="178">
        <v>40.1</v>
      </c>
      <c r="J2770" s="70">
        <v>-7.480000000000004</v>
      </c>
      <c r="K2770" s="320"/>
      <c r="L2770" s="178">
        <v>25.490000000000002</v>
      </c>
      <c r="M2770" s="178">
        <v>7.1299999999999955</v>
      </c>
      <c r="N2770" s="179">
        <v>0</v>
      </c>
      <c r="O2770" s="178">
        <v>32.619999999999997</v>
      </c>
      <c r="P2770" s="453"/>
      <c r="Q2770" s="61"/>
      <c r="R2770" s="298"/>
      <c r="S2770" s="669"/>
      <c r="X2770" s="444">
        <v>2770</v>
      </c>
    </row>
    <row r="2771" spans="1:32" ht="12">
      <c r="A2771" s="83" t="s">
        <v>22838</v>
      </c>
      <c r="B2771" s="64" t="s">
        <v>22839</v>
      </c>
      <c r="C2771" s="71" t="s">
        <v>165</v>
      </c>
      <c r="D2771" s="79">
        <v>1</v>
      </c>
      <c r="E2771" s="79">
        <v>4.7399999999999993</v>
      </c>
      <c r="F2771" s="79">
        <v>4.74</v>
      </c>
      <c r="G2771" s="445"/>
      <c r="H2771" s="178">
        <v>4.72</v>
      </c>
      <c r="I2771" s="178">
        <v>5.81</v>
      </c>
      <c r="J2771" s="70">
        <v>-1.0700000000000003</v>
      </c>
      <c r="K2771" s="320"/>
      <c r="L2771" s="178">
        <v>2.15</v>
      </c>
      <c r="M2771" s="178">
        <v>2.5899999999999994</v>
      </c>
      <c r="N2771" s="179">
        <v>0</v>
      </c>
      <c r="O2771" s="178">
        <v>4.7399999999999993</v>
      </c>
      <c r="P2771" s="453"/>
      <c r="Q2771" s="61"/>
      <c r="R2771" s="298"/>
      <c r="S2771" s="669"/>
      <c r="X2771" s="444">
        <v>2771</v>
      </c>
    </row>
    <row r="2772" spans="1:32" ht="12">
      <c r="A2772" s="83" t="s">
        <v>22840</v>
      </c>
      <c r="B2772" s="64" t="s">
        <v>22841</v>
      </c>
      <c r="C2772" s="71" t="s">
        <v>509</v>
      </c>
      <c r="D2772" s="79">
        <v>1</v>
      </c>
      <c r="E2772" s="79">
        <v>37.85</v>
      </c>
      <c r="F2772" s="79">
        <v>37.85</v>
      </c>
      <c r="G2772" s="445"/>
      <c r="H2772" s="178">
        <v>37.840000000000003</v>
      </c>
      <c r="I2772" s="178">
        <v>46.54</v>
      </c>
      <c r="J2772" s="70">
        <v>-8.6899999999999977</v>
      </c>
      <c r="K2772" s="320"/>
      <c r="L2772" s="178">
        <v>25.490000000000002</v>
      </c>
      <c r="M2772" s="178">
        <v>12.36</v>
      </c>
      <c r="N2772" s="179">
        <v>0</v>
      </c>
      <c r="O2772" s="178">
        <v>37.85</v>
      </c>
      <c r="P2772" s="453"/>
      <c r="Q2772" s="61"/>
      <c r="R2772" s="298"/>
      <c r="S2772" s="669"/>
      <c r="X2772" s="444">
        <v>2772</v>
      </c>
    </row>
    <row r="2773" spans="1:32" ht="12">
      <c r="A2773" s="83" t="s">
        <v>22842</v>
      </c>
      <c r="B2773" s="64" t="s">
        <v>22843</v>
      </c>
      <c r="C2773" s="71" t="s">
        <v>509</v>
      </c>
      <c r="D2773" s="79">
        <v>1</v>
      </c>
      <c r="E2773" s="79">
        <v>9.2999999999999989</v>
      </c>
      <c r="F2773" s="79">
        <v>9.3000000000000007</v>
      </c>
      <c r="G2773" s="445"/>
      <c r="H2773" s="178">
        <v>9.2899999999999991</v>
      </c>
      <c r="I2773" s="178">
        <v>11.43</v>
      </c>
      <c r="J2773" s="70">
        <v>-2.1300000000000008</v>
      </c>
      <c r="K2773" s="320"/>
      <c r="L2773" s="178">
        <v>6.77</v>
      </c>
      <c r="M2773" s="178">
        <v>2.5299999999999994</v>
      </c>
      <c r="N2773" s="179">
        <v>0</v>
      </c>
      <c r="O2773" s="178">
        <v>9.2999999999999989</v>
      </c>
      <c r="P2773" s="453"/>
      <c r="Q2773" s="61"/>
      <c r="R2773" s="298"/>
      <c r="S2773" s="669"/>
      <c r="X2773" s="444">
        <v>2773</v>
      </c>
    </row>
    <row r="2774" spans="1:32" ht="12">
      <c r="A2774" s="459" t="s">
        <v>22844</v>
      </c>
      <c r="B2774" s="64" t="s">
        <v>22845</v>
      </c>
      <c r="C2774" s="71" t="s">
        <v>509</v>
      </c>
      <c r="D2774" s="79">
        <v>1</v>
      </c>
      <c r="E2774" s="79">
        <v>24.060000000000002</v>
      </c>
      <c r="F2774" s="79">
        <v>24.06</v>
      </c>
      <c r="G2774" s="460"/>
      <c r="H2774" s="766">
        <v>24.07</v>
      </c>
      <c r="I2774" s="766">
        <v>29.6</v>
      </c>
      <c r="J2774" s="500">
        <v>-5.5399999999999991</v>
      </c>
      <c r="K2774" s="466"/>
      <c r="L2774" s="766">
        <v>14.010000000000002</v>
      </c>
      <c r="M2774" s="766">
        <v>10.050000000000001</v>
      </c>
      <c r="N2774" s="767">
        <v>0</v>
      </c>
      <c r="O2774" s="766">
        <v>24.060000000000002</v>
      </c>
      <c r="P2774" s="446"/>
      <c r="Q2774" s="61"/>
      <c r="R2774" s="298"/>
      <c r="S2774" s="669"/>
      <c r="T2774" s="73"/>
      <c r="X2774" s="444">
        <v>2774</v>
      </c>
    </row>
    <row r="2775" spans="1:32" ht="12">
      <c r="A2775" s="83" t="s">
        <v>22846</v>
      </c>
      <c r="B2775" s="64" t="s">
        <v>22847</v>
      </c>
      <c r="C2775" s="71" t="s">
        <v>509</v>
      </c>
      <c r="D2775" s="79">
        <v>1</v>
      </c>
      <c r="E2775" s="79">
        <v>45.49</v>
      </c>
      <c r="F2775" s="79">
        <v>45.49</v>
      </c>
      <c r="G2775" s="445"/>
      <c r="H2775" s="178">
        <v>45.48</v>
      </c>
      <c r="I2775" s="178">
        <v>55.94</v>
      </c>
      <c r="J2775" s="70">
        <v>-10.449999999999996</v>
      </c>
      <c r="K2775" s="320"/>
      <c r="L2775" s="178">
        <v>15.3</v>
      </c>
      <c r="M2775" s="178">
        <v>30.19</v>
      </c>
      <c r="N2775" s="179">
        <v>0</v>
      </c>
      <c r="O2775" s="178">
        <v>45.49</v>
      </c>
      <c r="P2775" s="453"/>
      <c r="Q2775" s="61"/>
      <c r="R2775" s="298"/>
      <c r="S2775" s="669"/>
      <c r="X2775" s="444">
        <v>2775</v>
      </c>
    </row>
    <row r="2776" spans="1:32" s="61" customFormat="1" ht="12">
      <c r="A2776" s="459" t="s">
        <v>22848</v>
      </c>
      <c r="B2776" s="64" t="s">
        <v>22849</v>
      </c>
      <c r="C2776" s="71" t="s">
        <v>509</v>
      </c>
      <c r="D2776" s="79">
        <v>1</v>
      </c>
      <c r="E2776" s="79">
        <v>32.36</v>
      </c>
      <c r="F2776" s="79">
        <v>32.36</v>
      </c>
      <c r="G2776" s="460"/>
      <c r="H2776" s="766">
        <v>32.35</v>
      </c>
      <c r="I2776" s="766">
        <v>39.79</v>
      </c>
      <c r="J2776" s="500">
        <v>-7.43</v>
      </c>
      <c r="K2776" s="466"/>
      <c r="L2776" s="766">
        <v>15.3</v>
      </c>
      <c r="M2776" s="766">
        <v>17.059999999999999</v>
      </c>
      <c r="N2776" s="767">
        <v>0</v>
      </c>
      <c r="O2776" s="766">
        <v>32.36</v>
      </c>
      <c r="P2776" s="446"/>
      <c r="R2776" s="298"/>
      <c r="S2776" s="669"/>
      <c r="T2776" s="73"/>
      <c r="U2776" s="444"/>
      <c r="V2776" s="444"/>
      <c r="W2776" s="444"/>
      <c r="X2776" s="444">
        <v>2776</v>
      </c>
      <c r="Y2776" s="444"/>
      <c r="Z2776" s="444"/>
      <c r="AA2776" s="444"/>
      <c r="AB2776" s="444"/>
      <c r="AC2776" s="444"/>
      <c r="AD2776" s="444"/>
      <c r="AE2776" s="444"/>
      <c r="AF2776" s="444"/>
    </row>
    <row r="2777" spans="1:32" s="61" customFormat="1" ht="12">
      <c r="A2777" s="459" t="s">
        <v>22850</v>
      </c>
      <c r="B2777" s="64" t="s">
        <v>22851</v>
      </c>
      <c r="C2777" s="71" t="s">
        <v>509</v>
      </c>
      <c r="D2777" s="79">
        <v>1</v>
      </c>
      <c r="E2777" s="79">
        <v>24.61</v>
      </c>
      <c r="F2777" s="79">
        <v>24.61</v>
      </c>
      <c r="G2777" s="460"/>
      <c r="H2777" s="766">
        <v>24.61</v>
      </c>
      <c r="I2777" s="766">
        <v>30.27</v>
      </c>
      <c r="J2777" s="500">
        <v>-5.66</v>
      </c>
      <c r="K2777" s="466"/>
      <c r="L2777" s="766">
        <v>14.010000000000002</v>
      </c>
      <c r="M2777" s="766">
        <v>10.599999999999998</v>
      </c>
      <c r="N2777" s="767">
        <v>0</v>
      </c>
      <c r="O2777" s="766">
        <v>24.61</v>
      </c>
      <c r="P2777" s="446"/>
      <c r="R2777" s="298"/>
      <c r="S2777" s="669"/>
      <c r="T2777" s="73"/>
      <c r="U2777" s="444"/>
      <c r="V2777" s="444"/>
      <c r="W2777" s="444"/>
      <c r="X2777" s="444">
        <v>2777</v>
      </c>
      <c r="Y2777" s="444"/>
      <c r="Z2777" s="444"/>
      <c r="AA2777" s="444"/>
      <c r="AB2777" s="444"/>
      <c r="AC2777" s="444"/>
      <c r="AD2777" s="444"/>
      <c r="AE2777" s="444"/>
      <c r="AF2777" s="444"/>
    </row>
    <row r="2778" spans="1:32" ht="12">
      <c r="A2778" s="83" t="s">
        <v>22852</v>
      </c>
      <c r="B2778" s="64" t="s">
        <v>22853</v>
      </c>
      <c r="C2778" s="71" t="s">
        <v>165</v>
      </c>
      <c r="D2778" s="79">
        <v>1</v>
      </c>
      <c r="E2778" s="79">
        <v>3.84</v>
      </c>
      <c r="F2778" s="79">
        <v>3.84</v>
      </c>
      <c r="G2778" s="445"/>
      <c r="H2778" s="178">
        <v>3.84</v>
      </c>
      <c r="I2778" s="178">
        <v>4.72</v>
      </c>
      <c r="J2778" s="70">
        <v>-0.87999999999999989</v>
      </c>
      <c r="K2778" s="320"/>
      <c r="L2778" s="178">
        <v>2.15</v>
      </c>
      <c r="M2778" s="178">
        <v>1.69</v>
      </c>
      <c r="N2778" s="179">
        <v>0</v>
      </c>
      <c r="O2778" s="178">
        <v>3.84</v>
      </c>
      <c r="P2778" s="453"/>
      <c r="Q2778" s="61"/>
      <c r="R2778" s="298"/>
      <c r="S2778" s="669"/>
      <c r="X2778" s="444">
        <v>2778</v>
      </c>
    </row>
    <row r="2779" spans="1:32" ht="12">
      <c r="A2779" s="83" t="s">
        <v>22854</v>
      </c>
      <c r="B2779" s="64" t="s">
        <v>22855</v>
      </c>
      <c r="C2779" s="71" t="s">
        <v>103</v>
      </c>
      <c r="D2779" s="79">
        <v>1</v>
      </c>
      <c r="E2779" s="79">
        <v>869.98</v>
      </c>
      <c r="F2779" s="79">
        <v>869.98</v>
      </c>
      <c r="G2779" s="445"/>
      <c r="H2779" s="178">
        <v>869.97</v>
      </c>
      <c r="I2779" s="178">
        <v>1070.06</v>
      </c>
      <c r="J2779" s="70">
        <v>-200.07999999999993</v>
      </c>
      <c r="K2779" s="320"/>
      <c r="L2779" s="178">
        <v>611.65</v>
      </c>
      <c r="M2779" s="178">
        <v>258.33000000000004</v>
      </c>
      <c r="N2779" s="179">
        <v>0</v>
      </c>
      <c r="O2779" s="178">
        <v>869.98</v>
      </c>
      <c r="P2779" s="453"/>
      <c r="Q2779" s="61"/>
      <c r="R2779" s="298"/>
      <c r="S2779" s="669"/>
      <c r="X2779" s="444">
        <v>2779</v>
      </c>
    </row>
    <row r="2780" spans="1:32" ht="12">
      <c r="A2780" s="83" t="s">
        <v>22856</v>
      </c>
      <c r="B2780" s="64" t="s">
        <v>22802</v>
      </c>
      <c r="C2780" s="71" t="s">
        <v>165</v>
      </c>
      <c r="D2780" s="79">
        <v>1</v>
      </c>
      <c r="E2780" s="79">
        <v>2.19</v>
      </c>
      <c r="F2780" s="79">
        <v>2.19</v>
      </c>
      <c r="G2780" s="445"/>
      <c r="H2780" s="178">
        <v>2.17</v>
      </c>
      <c r="I2780" s="178">
        <v>2.67</v>
      </c>
      <c r="J2780" s="70">
        <v>-0.48</v>
      </c>
      <c r="K2780" s="320"/>
      <c r="L2780" s="178">
        <v>1.75</v>
      </c>
      <c r="M2780" s="178">
        <v>0.43999999999999995</v>
      </c>
      <c r="N2780" s="179">
        <v>0</v>
      </c>
      <c r="O2780" s="178">
        <v>2.19</v>
      </c>
      <c r="P2780" s="453"/>
      <c r="Q2780" s="61"/>
      <c r="R2780" s="298"/>
      <c r="S2780" s="669"/>
      <c r="X2780" s="444">
        <v>2780</v>
      </c>
    </row>
    <row r="2781" spans="1:32" ht="12">
      <c r="A2781" s="83" t="s">
        <v>22857</v>
      </c>
      <c r="B2781" s="64" t="s">
        <v>22858</v>
      </c>
      <c r="C2781" s="71" t="s">
        <v>509</v>
      </c>
      <c r="D2781" s="79">
        <v>1</v>
      </c>
      <c r="E2781" s="79">
        <v>17.32</v>
      </c>
      <c r="F2781" s="79">
        <v>17.32</v>
      </c>
      <c r="G2781" s="445"/>
      <c r="H2781" s="178">
        <v>17.309999999999999</v>
      </c>
      <c r="I2781" s="178">
        <v>21.29</v>
      </c>
      <c r="J2781" s="70">
        <v>-3.9699999999999989</v>
      </c>
      <c r="K2781" s="320"/>
      <c r="L2781" s="178">
        <v>14.010000000000002</v>
      </c>
      <c r="M2781" s="178">
        <v>3.3099999999999987</v>
      </c>
      <c r="N2781" s="179">
        <v>0</v>
      </c>
      <c r="O2781" s="178">
        <v>17.32</v>
      </c>
      <c r="P2781" s="453"/>
      <c r="Q2781" s="61"/>
      <c r="R2781" s="298"/>
      <c r="S2781" s="669"/>
      <c r="X2781" s="444">
        <v>2781</v>
      </c>
    </row>
    <row r="2782" spans="1:32" ht="12">
      <c r="A2782" s="83" t="s">
        <v>22859</v>
      </c>
      <c r="B2782" s="64" t="s">
        <v>22860</v>
      </c>
      <c r="C2782" s="71" t="s">
        <v>509</v>
      </c>
      <c r="D2782" s="79">
        <v>1</v>
      </c>
      <c r="E2782" s="79">
        <v>22.48</v>
      </c>
      <c r="F2782" s="79">
        <v>22.48</v>
      </c>
      <c r="G2782" s="445"/>
      <c r="H2782" s="178">
        <v>22.48</v>
      </c>
      <c r="I2782" s="178">
        <v>27.65</v>
      </c>
      <c r="J2782" s="70">
        <v>-5.1699999999999982</v>
      </c>
      <c r="K2782" s="320"/>
      <c r="L2782" s="178">
        <v>14.010000000000002</v>
      </c>
      <c r="M2782" s="178">
        <v>8.4699999999999989</v>
      </c>
      <c r="N2782" s="179">
        <v>0</v>
      </c>
      <c r="O2782" s="178">
        <v>22.48</v>
      </c>
      <c r="P2782" s="453"/>
      <c r="Q2782" s="61"/>
      <c r="R2782" s="298"/>
      <c r="S2782" s="669"/>
      <c r="X2782" s="444">
        <v>2782</v>
      </c>
    </row>
    <row r="2783" spans="1:32" ht="12">
      <c r="A2783" s="83" t="s">
        <v>22861</v>
      </c>
      <c r="B2783" s="64" t="s">
        <v>22862</v>
      </c>
      <c r="C2783" s="71" t="s">
        <v>509</v>
      </c>
      <c r="D2783" s="79">
        <v>1</v>
      </c>
      <c r="E2783" s="79">
        <v>34.06</v>
      </c>
      <c r="F2783" s="79">
        <v>34.06</v>
      </c>
      <c r="G2783" s="445"/>
      <c r="H2783" s="178">
        <v>34.049999999999997</v>
      </c>
      <c r="I2783" s="178">
        <v>41.88</v>
      </c>
      <c r="J2783" s="70">
        <v>-7.82</v>
      </c>
      <c r="K2783" s="320"/>
      <c r="L2783" s="178">
        <v>25.490000000000002</v>
      </c>
      <c r="M2783" s="178">
        <v>8.57</v>
      </c>
      <c r="N2783" s="179">
        <v>0</v>
      </c>
      <c r="O2783" s="178">
        <v>34.06</v>
      </c>
      <c r="P2783" s="453"/>
      <c r="Q2783" s="61"/>
      <c r="R2783" s="298"/>
      <c r="S2783" s="669"/>
      <c r="X2783" s="444">
        <v>2783</v>
      </c>
    </row>
    <row r="2784" spans="1:32" ht="12">
      <c r="A2784" s="83" t="s">
        <v>22863</v>
      </c>
      <c r="B2784" s="64" t="s">
        <v>22864</v>
      </c>
      <c r="C2784" s="71" t="s">
        <v>509</v>
      </c>
      <c r="D2784" s="79">
        <v>1</v>
      </c>
      <c r="E2784" s="79">
        <v>35.910000000000004</v>
      </c>
      <c r="F2784" s="79">
        <v>35.909999999999997</v>
      </c>
      <c r="G2784" s="445"/>
      <c r="H2784" s="178">
        <v>35.89</v>
      </c>
      <c r="I2784" s="178">
        <v>44.15</v>
      </c>
      <c r="J2784" s="70">
        <v>-8.2399999999999949</v>
      </c>
      <c r="K2784" s="320"/>
      <c r="L2784" s="178">
        <v>25.490000000000002</v>
      </c>
      <c r="M2784" s="178">
        <v>10.420000000000002</v>
      </c>
      <c r="N2784" s="179">
        <v>0</v>
      </c>
      <c r="O2784" s="178">
        <v>35.910000000000004</v>
      </c>
      <c r="P2784" s="453"/>
      <c r="Q2784" s="61"/>
      <c r="R2784" s="298"/>
      <c r="S2784" s="669"/>
      <c r="X2784" s="444">
        <v>2784</v>
      </c>
    </row>
    <row r="2785" spans="1:32" ht="12">
      <c r="A2785" s="83" t="s">
        <v>22865</v>
      </c>
      <c r="B2785" s="64" t="s">
        <v>22866</v>
      </c>
      <c r="C2785" s="71" t="s">
        <v>509</v>
      </c>
      <c r="D2785" s="79">
        <v>1</v>
      </c>
      <c r="E2785" s="79">
        <v>21.259999999999998</v>
      </c>
      <c r="F2785" s="79">
        <v>21.26</v>
      </c>
      <c r="G2785" s="445"/>
      <c r="H2785" s="178">
        <v>21.25</v>
      </c>
      <c r="I2785" s="178">
        <v>26.14</v>
      </c>
      <c r="J2785" s="70">
        <v>-4.8800000000000026</v>
      </c>
      <c r="K2785" s="320"/>
      <c r="L2785" s="178">
        <v>10.77</v>
      </c>
      <c r="M2785" s="178">
        <v>10.489999999999998</v>
      </c>
      <c r="N2785" s="179">
        <v>0</v>
      </c>
      <c r="O2785" s="178">
        <v>21.259999999999998</v>
      </c>
      <c r="P2785" s="453"/>
      <c r="Q2785" s="61"/>
      <c r="R2785" s="298"/>
      <c r="S2785" s="669"/>
      <c r="X2785" s="444">
        <v>2785</v>
      </c>
    </row>
    <row r="2786" spans="1:32" ht="12">
      <c r="A2786" s="83" t="s">
        <v>22867</v>
      </c>
      <c r="B2786" s="64" t="s">
        <v>22868</v>
      </c>
      <c r="C2786" s="71" t="s">
        <v>509</v>
      </c>
      <c r="D2786" s="79">
        <v>1</v>
      </c>
      <c r="E2786" s="79">
        <v>23.92</v>
      </c>
      <c r="F2786" s="79">
        <v>23.92</v>
      </c>
      <c r="G2786" s="445"/>
      <c r="H2786" s="178">
        <v>23.91</v>
      </c>
      <c r="I2786" s="178">
        <v>29.41</v>
      </c>
      <c r="J2786" s="70">
        <v>-5.4899999999999984</v>
      </c>
      <c r="K2786" s="320"/>
      <c r="L2786" s="178">
        <v>16.14</v>
      </c>
      <c r="M2786" s="178">
        <v>7.7800000000000011</v>
      </c>
      <c r="N2786" s="179">
        <v>0</v>
      </c>
      <c r="O2786" s="178">
        <v>23.92</v>
      </c>
      <c r="P2786" s="453"/>
      <c r="Q2786" s="61"/>
      <c r="R2786" s="298"/>
      <c r="S2786" s="669"/>
      <c r="X2786" s="444">
        <v>2786</v>
      </c>
    </row>
    <row r="2787" spans="1:32" ht="12">
      <c r="A2787" s="83" t="s">
        <v>22869</v>
      </c>
      <c r="B2787" s="64" t="s">
        <v>22870</v>
      </c>
      <c r="C2787" s="71" t="s">
        <v>509</v>
      </c>
      <c r="D2787" s="79">
        <v>1</v>
      </c>
      <c r="E2787" s="79">
        <v>22.000000000000004</v>
      </c>
      <c r="F2787" s="79">
        <v>22</v>
      </c>
      <c r="G2787" s="445"/>
      <c r="H2787" s="178">
        <v>21.98</v>
      </c>
      <c r="I2787" s="178">
        <v>27.04</v>
      </c>
      <c r="J2787" s="70">
        <v>-5.0399999999999956</v>
      </c>
      <c r="K2787" s="320"/>
      <c r="L2787" s="178">
        <v>16.14</v>
      </c>
      <c r="M2787" s="178">
        <v>5.860000000000003</v>
      </c>
      <c r="N2787" s="179">
        <v>0</v>
      </c>
      <c r="O2787" s="178">
        <v>22.000000000000004</v>
      </c>
      <c r="P2787" s="453"/>
      <c r="Q2787" s="61"/>
      <c r="R2787" s="298"/>
      <c r="S2787" s="669"/>
      <c r="X2787" s="444">
        <v>2787</v>
      </c>
    </row>
    <row r="2788" spans="1:32" s="73" customFormat="1" ht="12">
      <c r="A2788" s="83" t="s">
        <v>22871</v>
      </c>
      <c r="B2788" s="64" t="s">
        <v>22872</v>
      </c>
      <c r="C2788" s="71" t="s">
        <v>509</v>
      </c>
      <c r="D2788" s="79">
        <v>1</v>
      </c>
      <c r="E2788" s="79">
        <v>21.310000000000002</v>
      </c>
      <c r="F2788" s="79">
        <v>21.31</v>
      </c>
      <c r="G2788" s="445"/>
      <c r="H2788" s="178">
        <v>21.3</v>
      </c>
      <c r="I2788" s="178">
        <v>26.2</v>
      </c>
      <c r="J2788" s="70">
        <v>-4.889999999999997</v>
      </c>
      <c r="K2788" s="320"/>
      <c r="L2788" s="178">
        <v>14.32</v>
      </c>
      <c r="M2788" s="178">
        <v>6.990000000000002</v>
      </c>
      <c r="N2788" s="179">
        <v>0</v>
      </c>
      <c r="O2788" s="178">
        <v>21.310000000000002</v>
      </c>
      <c r="P2788" s="453"/>
      <c r="Q2788" s="61"/>
      <c r="R2788" s="298"/>
      <c r="S2788" s="669"/>
      <c r="T2788" s="444"/>
      <c r="U2788" s="444"/>
      <c r="V2788" s="444"/>
      <c r="W2788" s="444"/>
      <c r="X2788" s="444">
        <v>2788</v>
      </c>
      <c r="Y2788" s="444"/>
      <c r="Z2788" s="444"/>
      <c r="AA2788" s="444"/>
      <c r="AB2788" s="444"/>
      <c r="AC2788" s="444"/>
      <c r="AD2788" s="444"/>
      <c r="AE2788" s="444"/>
      <c r="AF2788" s="444"/>
    </row>
    <row r="2789" spans="1:32" ht="12">
      <c r="A2789" s="83" t="s">
        <v>22873</v>
      </c>
      <c r="B2789" s="64" t="s">
        <v>22874</v>
      </c>
      <c r="C2789" s="71" t="s">
        <v>509</v>
      </c>
      <c r="D2789" s="79">
        <v>1</v>
      </c>
      <c r="E2789" s="79">
        <v>19.869999999999997</v>
      </c>
      <c r="F2789" s="79">
        <v>19.87</v>
      </c>
      <c r="G2789" s="445"/>
      <c r="H2789" s="178">
        <v>19.850000000000001</v>
      </c>
      <c r="I2789" s="178">
        <v>24.42</v>
      </c>
      <c r="J2789" s="70">
        <v>-4.5500000000000043</v>
      </c>
      <c r="K2789" s="320"/>
      <c r="L2789" s="178">
        <v>14.32</v>
      </c>
      <c r="M2789" s="178">
        <v>5.5499999999999972</v>
      </c>
      <c r="N2789" s="179">
        <v>0</v>
      </c>
      <c r="O2789" s="178">
        <v>19.869999999999997</v>
      </c>
      <c r="P2789" s="453"/>
      <c r="Q2789" s="61"/>
      <c r="R2789" s="298"/>
      <c r="S2789" s="669"/>
      <c r="X2789" s="444">
        <v>2789</v>
      </c>
    </row>
    <row r="2790" spans="1:32" ht="12">
      <c r="A2790" s="83" t="s">
        <v>22875</v>
      </c>
      <c r="B2790" s="64" t="s">
        <v>22876</v>
      </c>
      <c r="C2790" s="71" t="s">
        <v>509</v>
      </c>
      <c r="D2790" s="79">
        <v>1</v>
      </c>
      <c r="E2790" s="79">
        <v>23.160000000000004</v>
      </c>
      <c r="F2790" s="79">
        <v>23.16</v>
      </c>
      <c r="G2790" s="445"/>
      <c r="H2790" s="178">
        <v>23.15</v>
      </c>
      <c r="I2790" s="178">
        <v>28.47</v>
      </c>
      <c r="J2790" s="70">
        <v>-5.3099999999999952</v>
      </c>
      <c r="K2790" s="320"/>
      <c r="L2790" s="178">
        <v>14.32</v>
      </c>
      <c r="M2790" s="178">
        <v>8.8400000000000034</v>
      </c>
      <c r="N2790" s="179">
        <v>0</v>
      </c>
      <c r="O2790" s="178">
        <v>23.160000000000004</v>
      </c>
      <c r="P2790" s="453"/>
      <c r="Q2790" s="61"/>
      <c r="R2790" s="298"/>
      <c r="S2790" s="669"/>
      <c r="X2790" s="444">
        <v>2790</v>
      </c>
    </row>
    <row r="2791" spans="1:32" s="73" customFormat="1" ht="12">
      <c r="A2791" s="83" t="s">
        <v>22877</v>
      </c>
      <c r="B2791" s="64" t="s">
        <v>22878</v>
      </c>
      <c r="C2791" s="71" t="s">
        <v>509</v>
      </c>
      <c r="D2791" s="79">
        <v>1</v>
      </c>
      <c r="E2791" s="79">
        <v>44.440000000000005</v>
      </c>
      <c r="F2791" s="79">
        <v>44.44</v>
      </c>
      <c r="G2791" s="445"/>
      <c r="H2791" s="178">
        <v>44.44</v>
      </c>
      <c r="I2791" s="178">
        <v>54.66</v>
      </c>
      <c r="J2791" s="70">
        <v>-10.219999999999992</v>
      </c>
      <c r="K2791" s="320"/>
      <c r="L2791" s="178">
        <v>9.06</v>
      </c>
      <c r="M2791" s="178">
        <v>35.380000000000003</v>
      </c>
      <c r="N2791" s="179">
        <v>0</v>
      </c>
      <c r="O2791" s="178">
        <v>44.440000000000005</v>
      </c>
      <c r="P2791" s="453"/>
      <c r="Q2791" s="61"/>
      <c r="R2791" s="298"/>
      <c r="S2791" s="669"/>
      <c r="T2791" s="444"/>
      <c r="U2791" s="444"/>
      <c r="V2791" s="444"/>
      <c r="W2791" s="444"/>
      <c r="X2791" s="444">
        <v>2791</v>
      </c>
      <c r="Y2791" s="444"/>
      <c r="Z2791" s="444"/>
      <c r="AA2791" s="444"/>
      <c r="AB2791" s="444"/>
      <c r="AC2791" s="444"/>
      <c r="AD2791" s="444"/>
      <c r="AE2791" s="444"/>
      <c r="AF2791" s="444"/>
    </row>
    <row r="2792" spans="1:32" s="61" customFormat="1" ht="12">
      <c r="A2792" s="83" t="s">
        <v>22879</v>
      </c>
      <c r="B2792" s="64" t="s">
        <v>22880</v>
      </c>
      <c r="C2792" s="71" t="s">
        <v>509</v>
      </c>
      <c r="D2792" s="79">
        <v>1</v>
      </c>
      <c r="E2792" s="79">
        <v>68.789999999999992</v>
      </c>
      <c r="F2792" s="79">
        <v>68.790000000000006</v>
      </c>
      <c r="G2792" s="445"/>
      <c r="H2792" s="178">
        <v>68.77</v>
      </c>
      <c r="I2792" s="178">
        <v>84.59</v>
      </c>
      <c r="J2792" s="70">
        <v>-15.800000000000011</v>
      </c>
      <c r="K2792" s="320"/>
      <c r="L2792" s="178">
        <v>20.91</v>
      </c>
      <c r="M2792" s="178">
        <v>47.879999999999995</v>
      </c>
      <c r="N2792" s="179">
        <v>0</v>
      </c>
      <c r="O2792" s="178">
        <v>68.789999999999992</v>
      </c>
      <c r="P2792" s="453"/>
      <c r="R2792" s="298"/>
      <c r="S2792" s="669"/>
      <c r="T2792" s="444"/>
      <c r="U2792" s="444"/>
      <c r="V2792" s="444"/>
      <c r="W2792" s="444"/>
      <c r="X2792" s="444">
        <v>2792</v>
      </c>
      <c r="Y2792" s="444"/>
      <c r="Z2792" s="444"/>
      <c r="AA2792" s="444"/>
      <c r="AB2792" s="444"/>
      <c r="AC2792" s="444"/>
      <c r="AD2792" s="444"/>
      <c r="AE2792" s="444"/>
      <c r="AF2792" s="444"/>
    </row>
    <row r="2793" spans="1:32" s="61" customFormat="1" ht="12">
      <c r="A2793" s="83" t="s">
        <v>22881</v>
      </c>
      <c r="B2793" s="64" t="s">
        <v>22882</v>
      </c>
      <c r="C2793" s="71" t="s">
        <v>509</v>
      </c>
      <c r="D2793" s="79">
        <v>1</v>
      </c>
      <c r="E2793" s="79">
        <v>14.099999999999998</v>
      </c>
      <c r="F2793" s="79">
        <v>14.1</v>
      </c>
      <c r="G2793" s="445"/>
      <c r="H2793" s="178">
        <v>14.11</v>
      </c>
      <c r="I2793" s="178">
        <v>17.350000000000001</v>
      </c>
      <c r="J2793" s="70">
        <v>-3.2500000000000036</v>
      </c>
      <c r="K2793" s="320"/>
      <c r="L2793" s="178">
        <v>8.0399999999999991</v>
      </c>
      <c r="M2793" s="178">
        <v>6.0599999999999987</v>
      </c>
      <c r="N2793" s="179">
        <v>0</v>
      </c>
      <c r="O2793" s="178">
        <v>14.099999999999998</v>
      </c>
      <c r="P2793" s="453"/>
      <c r="R2793" s="298"/>
      <c r="S2793" s="669"/>
      <c r="T2793" s="444"/>
      <c r="X2793" s="444">
        <v>2793</v>
      </c>
    </row>
    <row r="2794" spans="1:32" s="61" customFormat="1" ht="12">
      <c r="A2794" s="83" t="s">
        <v>22883</v>
      </c>
      <c r="B2794" s="64" t="s">
        <v>22884</v>
      </c>
      <c r="C2794" s="71" t="s">
        <v>509</v>
      </c>
      <c r="D2794" s="79">
        <v>1</v>
      </c>
      <c r="E2794" s="79">
        <v>27.619999999999997</v>
      </c>
      <c r="F2794" s="79">
        <v>27.62</v>
      </c>
      <c r="G2794" s="445"/>
      <c r="H2794" s="178">
        <v>27.63</v>
      </c>
      <c r="I2794" s="178">
        <v>33.979999999999997</v>
      </c>
      <c r="J2794" s="70">
        <v>-6.3599999999999994</v>
      </c>
      <c r="K2794" s="320"/>
      <c r="L2794" s="178">
        <v>19.36</v>
      </c>
      <c r="M2794" s="178">
        <v>8.259999999999998</v>
      </c>
      <c r="N2794" s="179">
        <v>0</v>
      </c>
      <c r="O2794" s="178">
        <v>27.619999999999997</v>
      </c>
      <c r="P2794" s="453"/>
      <c r="R2794" s="298"/>
      <c r="S2794" s="669"/>
      <c r="T2794" s="444"/>
      <c r="X2794" s="444">
        <v>2794</v>
      </c>
    </row>
    <row r="2795" spans="1:32" s="61" customFormat="1" ht="12">
      <c r="A2795" s="83" t="s">
        <v>22885</v>
      </c>
      <c r="B2795" s="64" t="s">
        <v>22886</v>
      </c>
      <c r="C2795" s="71" t="s">
        <v>509</v>
      </c>
      <c r="D2795" s="79">
        <v>1</v>
      </c>
      <c r="E2795" s="79">
        <v>15.32</v>
      </c>
      <c r="F2795" s="79">
        <v>15.32</v>
      </c>
      <c r="G2795" s="445"/>
      <c r="H2795" s="178">
        <v>15.32</v>
      </c>
      <c r="I2795" s="178">
        <v>18.84</v>
      </c>
      <c r="J2795" s="70">
        <v>-3.5199999999999996</v>
      </c>
      <c r="K2795" s="320"/>
      <c r="L2795" s="178">
        <v>9.06</v>
      </c>
      <c r="M2795" s="178">
        <v>6.26</v>
      </c>
      <c r="N2795" s="179">
        <v>0</v>
      </c>
      <c r="O2795" s="178">
        <v>15.32</v>
      </c>
      <c r="P2795" s="453"/>
      <c r="R2795" s="298"/>
      <c r="S2795" s="669"/>
      <c r="T2795" s="444"/>
      <c r="U2795" s="444"/>
      <c r="V2795" s="444"/>
      <c r="W2795" s="444"/>
      <c r="X2795" s="444">
        <v>2795</v>
      </c>
      <c r="Y2795" s="444"/>
      <c r="Z2795" s="444"/>
      <c r="AA2795" s="444"/>
      <c r="AB2795" s="444"/>
      <c r="AC2795" s="444"/>
      <c r="AD2795" s="444"/>
      <c r="AE2795" s="444"/>
      <c r="AF2795" s="444"/>
    </row>
    <row r="2796" spans="1:32" s="61" customFormat="1" ht="12">
      <c r="A2796" s="83" t="s">
        <v>22887</v>
      </c>
      <c r="B2796" s="64" t="s">
        <v>22888</v>
      </c>
      <c r="C2796" s="71" t="s">
        <v>509</v>
      </c>
      <c r="D2796" s="79">
        <v>1</v>
      </c>
      <c r="E2796" s="79">
        <v>29.09</v>
      </c>
      <c r="F2796" s="79">
        <v>29.09</v>
      </c>
      <c r="G2796" s="445"/>
      <c r="H2796" s="178">
        <v>29.07</v>
      </c>
      <c r="I2796" s="178">
        <v>35.76</v>
      </c>
      <c r="J2796" s="70">
        <v>-6.6699999999999982</v>
      </c>
      <c r="K2796" s="320"/>
      <c r="L2796" s="178">
        <v>20.91</v>
      </c>
      <c r="M2796" s="178">
        <v>8.18</v>
      </c>
      <c r="N2796" s="179">
        <v>0</v>
      </c>
      <c r="O2796" s="178">
        <v>29.09</v>
      </c>
      <c r="P2796" s="453"/>
      <c r="R2796" s="298"/>
      <c r="S2796" s="669"/>
      <c r="T2796" s="444"/>
      <c r="U2796" s="444"/>
      <c r="V2796" s="444"/>
      <c r="W2796" s="444"/>
      <c r="X2796" s="444">
        <v>2796</v>
      </c>
      <c r="Y2796" s="444"/>
      <c r="Z2796" s="444"/>
      <c r="AA2796" s="444"/>
      <c r="AB2796" s="444"/>
      <c r="AC2796" s="444"/>
      <c r="AD2796" s="444"/>
      <c r="AE2796" s="444"/>
      <c r="AF2796" s="444"/>
    </row>
    <row r="2797" spans="1:32" s="61" customFormat="1" ht="12">
      <c r="A2797" s="83" t="s">
        <v>22889</v>
      </c>
      <c r="B2797" s="64" t="s">
        <v>22890</v>
      </c>
      <c r="C2797" s="71" t="s">
        <v>207</v>
      </c>
      <c r="D2797" s="79">
        <v>1</v>
      </c>
      <c r="E2797" s="79">
        <v>5.58</v>
      </c>
      <c r="F2797" s="79">
        <v>5.58</v>
      </c>
      <c r="G2797" s="320"/>
      <c r="H2797" s="178">
        <v>5.58</v>
      </c>
      <c r="I2797" s="178">
        <v>6.86</v>
      </c>
      <c r="J2797" s="70">
        <v>-1.2800000000000002</v>
      </c>
      <c r="K2797" s="320"/>
      <c r="L2797" s="178"/>
      <c r="M2797" s="178">
        <v>5.58</v>
      </c>
      <c r="N2797" s="179">
        <v>0</v>
      </c>
      <c r="O2797" s="178">
        <v>5.58</v>
      </c>
      <c r="P2797" s="453"/>
      <c r="R2797" s="298"/>
      <c r="S2797" s="669"/>
      <c r="U2797" s="444"/>
      <c r="V2797" s="444"/>
      <c r="W2797" s="444"/>
      <c r="X2797" s="444">
        <v>2797</v>
      </c>
      <c r="Y2797" s="444"/>
      <c r="Z2797" s="444"/>
      <c r="AA2797" s="444"/>
      <c r="AB2797" s="444"/>
      <c r="AC2797" s="444"/>
      <c r="AD2797" s="444"/>
      <c r="AE2797" s="444"/>
      <c r="AF2797" s="444"/>
    </row>
    <row r="2798" spans="1:32" s="61" customFormat="1" ht="12">
      <c r="A2798" s="83" t="s">
        <v>22891</v>
      </c>
      <c r="B2798" s="64" t="s">
        <v>22892</v>
      </c>
      <c r="C2798" s="71" t="s">
        <v>10216</v>
      </c>
      <c r="D2798" s="79">
        <v>1</v>
      </c>
      <c r="E2798" s="79">
        <v>577.26</v>
      </c>
      <c r="F2798" s="79">
        <v>577.26</v>
      </c>
      <c r="G2798" s="445"/>
      <c r="H2798" s="178">
        <v>577.25</v>
      </c>
      <c r="I2798" s="178">
        <v>710.02</v>
      </c>
      <c r="J2798" s="70">
        <v>-132.76</v>
      </c>
      <c r="K2798" s="320"/>
      <c r="L2798" s="178"/>
      <c r="M2798" s="178">
        <v>577.26</v>
      </c>
      <c r="N2798" s="179">
        <v>0</v>
      </c>
      <c r="O2798" s="178">
        <v>577.26</v>
      </c>
      <c r="P2798" s="453"/>
      <c r="R2798" s="298"/>
      <c r="S2798" s="669"/>
      <c r="T2798" s="444"/>
      <c r="U2798" s="444"/>
      <c r="V2798" s="444"/>
      <c r="W2798" s="444"/>
      <c r="X2798" s="444">
        <v>2798</v>
      </c>
      <c r="Y2798" s="444"/>
      <c r="Z2798" s="444"/>
      <c r="AA2798" s="444"/>
      <c r="AB2798" s="444"/>
      <c r="AC2798" s="444"/>
      <c r="AD2798" s="444"/>
      <c r="AE2798" s="444"/>
      <c r="AF2798" s="444"/>
    </row>
    <row r="2799" spans="1:32" s="61" customFormat="1" ht="12">
      <c r="A2799" s="83" t="s">
        <v>39977</v>
      </c>
      <c r="B2799" s="64" t="s">
        <v>39978</v>
      </c>
      <c r="C2799" s="71"/>
      <c r="D2799" s="79" t="s">
        <v>40899</v>
      </c>
      <c r="E2799" s="79" t="s">
        <v>40899</v>
      </c>
      <c r="F2799" s="79"/>
      <c r="G2799" s="445"/>
      <c r="H2799" s="178"/>
      <c r="I2799" s="178"/>
      <c r="J2799" s="70"/>
      <c r="K2799" s="320"/>
      <c r="L2799" s="178"/>
      <c r="M2799" s="178"/>
      <c r="N2799" s="179"/>
      <c r="O2799" s="178"/>
      <c r="P2799" s="453"/>
      <c r="R2799" s="298"/>
      <c r="S2799" s="669"/>
      <c r="T2799" s="444"/>
      <c r="U2799" s="444"/>
      <c r="V2799" s="444"/>
      <c r="W2799" s="444"/>
      <c r="X2799" s="444">
        <v>2799</v>
      </c>
      <c r="Y2799" s="444"/>
      <c r="Z2799" s="444"/>
      <c r="AA2799" s="444"/>
      <c r="AB2799" s="444"/>
      <c r="AC2799" s="444"/>
      <c r="AD2799" s="444"/>
      <c r="AE2799" s="444"/>
      <c r="AF2799" s="444"/>
    </row>
    <row r="2800" spans="1:32" s="61" customFormat="1" ht="12">
      <c r="A2800" s="83" t="s">
        <v>39979</v>
      </c>
      <c r="B2800" s="64" t="s">
        <v>39980</v>
      </c>
      <c r="C2800" s="71"/>
      <c r="D2800" s="79" t="s">
        <v>40899</v>
      </c>
      <c r="E2800" s="79" t="s">
        <v>40899</v>
      </c>
      <c r="F2800" s="79"/>
      <c r="G2800" s="445"/>
      <c r="H2800" s="178"/>
      <c r="I2800" s="178"/>
      <c r="J2800" s="70"/>
      <c r="K2800" s="320"/>
      <c r="L2800" s="178"/>
      <c r="M2800" s="178"/>
      <c r="N2800" s="179"/>
      <c r="O2800" s="178"/>
      <c r="P2800" s="453"/>
      <c r="R2800" s="298"/>
      <c r="S2800" s="669"/>
      <c r="T2800" s="444"/>
      <c r="U2800" s="444"/>
      <c r="V2800" s="444"/>
      <c r="W2800" s="444"/>
      <c r="X2800" s="444">
        <v>2800</v>
      </c>
      <c r="Y2800" s="444"/>
      <c r="Z2800" s="444"/>
      <c r="AA2800" s="444"/>
      <c r="AB2800" s="444"/>
      <c r="AC2800" s="444"/>
      <c r="AD2800" s="444"/>
      <c r="AE2800" s="444"/>
      <c r="AF2800" s="444"/>
    </row>
    <row r="2801" spans="1:32" s="61" customFormat="1" ht="12">
      <c r="A2801" s="83" t="s">
        <v>22893</v>
      </c>
      <c r="B2801" s="64" t="s">
        <v>22894</v>
      </c>
      <c r="C2801" s="71" t="s">
        <v>165</v>
      </c>
      <c r="D2801" s="79">
        <v>1</v>
      </c>
      <c r="E2801" s="79">
        <v>607.58000000000004</v>
      </c>
      <c r="F2801" s="79">
        <v>607.58000000000004</v>
      </c>
      <c r="G2801" s="445"/>
      <c r="H2801" s="178">
        <v>607.59</v>
      </c>
      <c r="I2801" s="178">
        <v>747.34</v>
      </c>
      <c r="J2801" s="70">
        <v>-139.76</v>
      </c>
      <c r="K2801" s="320"/>
      <c r="L2801" s="178">
        <v>340.48</v>
      </c>
      <c r="M2801" s="178">
        <v>267.10000000000002</v>
      </c>
      <c r="N2801" s="179">
        <v>0</v>
      </c>
      <c r="O2801" s="178">
        <v>607.58000000000004</v>
      </c>
      <c r="P2801" s="453"/>
      <c r="R2801" s="298"/>
      <c r="S2801" s="669"/>
      <c r="T2801" s="444"/>
      <c r="U2801" s="444"/>
      <c r="V2801" s="444"/>
      <c r="W2801" s="444"/>
      <c r="X2801" s="444">
        <v>2801</v>
      </c>
      <c r="Y2801" s="444"/>
      <c r="Z2801" s="444"/>
      <c r="AA2801" s="444"/>
      <c r="AB2801" s="444"/>
      <c r="AC2801" s="444"/>
      <c r="AD2801" s="444"/>
      <c r="AE2801" s="444"/>
      <c r="AF2801" s="444"/>
    </row>
    <row r="2802" spans="1:32" s="61" customFormat="1" ht="12">
      <c r="A2802" s="83" t="s">
        <v>22895</v>
      </c>
      <c r="B2802" s="64" t="s">
        <v>22896</v>
      </c>
      <c r="C2802" s="71" t="s">
        <v>165</v>
      </c>
      <c r="D2802" s="79">
        <v>1</v>
      </c>
      <c r="E2802" s="79">
        <v>706.9599999999997</v>
      </c>
      <c r="F2802" s="79">
        <v>706.96</v>
      </c>
      <c r="G2802" s="445"/>
      <c r="H2802" s="178">
        <v>706.96</v>
      </c>
      <c r="I2802" s="178">
        <v>869.56</v>
      </c>
      <c r="J2802" s="70">
        <v>-162.60000000000025</v>
      </c>
      <c r="K2802" s="320"/>
      <c r="L2802" s="178">
        <v>382.77</v>
      </c>
      <c r="M2802" s="178">
        <v>324.18999999999971</v>
      </c>
      <c r="N2802" s="179">
        <v>0</v>
      </c>
      <c r="O2802" s="178">
        <v>706.9599999999997</v>
      </c>
      <c r="P2802" s="453"/>
      <c r="R2802" s="298"/>
      <c r="S2802" s="669"/>
      <c r="T2802" s="444"/>
      <c r="U2802" s="444"/>
      <c r="V2802" s="444"/>
      <c r="W2802" s="444"/>
      <c r="X2802" s="444">
        <v>2802</v>
      </c>
      <c r="Y2802" s="444"/>
      <c r="Z2802" s="444"/>
      <c r="AA2802" s="444"/>
      <c r="AB2802" s="444"/>
      <c r="AC2802" s="444"/>
      <c r="AD2802" s="444"/>
      <c r="AE2802" s="444"/>
      <c r="AF2802" s="444"/>
    </row>
    <row r="2803" spans="1:32" s="69" customFormat="1" ht="12">
      <c r="A2803" s="83" t="s">
        <v>22897</v>
      </c>
      <c r="B2803" s="64" t="s">
        <v>22898</v>
      </c>
      <c r="C2803" s="71" t="s">
        <v>165</v>
      </c>
      <c r="D2803" s="79">
        <v>1</v>
      </c>
      <c r="E2803" s="79">
        <v>71.150000000000006</v>
      </c>
      <c r="F2803" s="79">
        <v>71.150000000000006</v>
      </c>
      <c r="G2803" s="445"/>
      <c r="H2803" s="178">
        <v>71.150000000000006</v>
      </c>
      <c r="I2803" s="178">
        <v>87.51</v>
      </c>
      <c r="J2803" s="70">
        <v>-16.36</v>
      </c>
      <c r="K2803" s="320"/>
      <c r="L2803" s="178">
        <v>35.879999999999995</v>
      </c>
      <c r="M2803" s="178">
        <v>35.27000000000001</v>
      </c>
      <c r="N2803" s="179">
        <v>0</v>
      </c>
      <c r="O2803" s="178">
        <v>71.150000000000006</v>
      </c>
      <c r="P2803" s="453"/>
      <c r="Q2803" s="61"/>
      <c r="R2803" s="298"/>
      <c r="S2803" s="669"/>
      <c r="T2803" s="444"/>
      <c r="U2803" s="61"/>
      <c r="V2803" s="61"/>
      <c r="W2803" s="61"/>
      <c r="X2803" s="444">
        <v>2803</v>
      </c>
      <c r="Y2803" s="61"/>
      <c r="Z2803" s="61"/>
      <c r="AA2803" s="61"/>
      <c r="AB2803" s="61"/>
      <c r="AC2803" s="61"/>
      <c r="AD2803" s="61"/>
      <c r="AE2803" s="61"/>
      <c r="AF2803" s="61"/>
    </row>
    <row r="2804" spans="1:32" s="69" customFormat="1" ht="12">
      <c r="A2804" s="83" t="s">
        <v>22899</v>
      </c>
      <c r="B2804" s="64" t="s">
        <v>22900</v>
      </c>
      <c r="C2804" s="71" t="s">
        <v>165</v>
      </c>
      <c r="D2804" s="79">
        <v>1</v>
      </c>
      <c r="E2804" s="79">
        <v>270.48</v>
      </c>
      <c r="F2804" s="79">
        <v>270.48</v>
      </c>
      <c r="G2804" s="445"/>
      <c r="H2804" s="178">
        <v>270.49</v>
      </c>
      <c r="I2804" s="178">
        <v>332.7</v>
      </c>
      <c r="J2804" s="70">
        <v>-62.21999999999997</v>
      </c>
      <c r="K2804" s="320"/>
      <c r="L2804" s="178">
        <v>57.96</v>
      </c>
      <c r="M2804" s="178">
        <v>212.52</v>
      </c>
      <c r="N2804" s="179">
        <v>0</v>
      </c>
      <c r="O2804" s="178">
        <v>270.48</v>
      </c>
      <c r="P2804" s="453"/>
      <c r="Q2804" s="61"/>
      <c r="R2804" s="298"/>
      <c r="S2804" s="669"/>
      <c r="T2804" s="444"/>
      <c r="U2804" s="61"/>
      <c r="V2804" s="61"/>
      <c r="W2804" s="61"/>
      <c r="X2804" s="444">
        <v>2804</v>
      </c>
      <c r="Y2804" s="61"/>
      <c r="Z2804" s="61"/>
      <c r="AA2804" s="61"/>
      <c r="AB2804" s="61"/>
      <c r="AC2804" s="61"/>
      <c r="AD2804" s="61"/>
      <c r="AE2804" s="61"/>
      <c r="AF2804" s="61"/>
    </row>
    <row r="2805" spans="1:32" s="69" customFormat="1" ht="12">
      <c r="A2805" s="83" t="s">
        <v>22901</v>
      </c>
      <c r="B2805" s="64" t="s">
        <v>22902</v>
      </c>
      <c r="C2805" s="71" t="s">
        <v>165</v>
      </c>
      <c r="D2805" s="79">
        <v>1</v>
      </c>
      <c r="E2805" s="79">
        <v>223.58</v>
      </c>
      <c r="F2805" s="79">
        <v>223.58</v>
      </c>
      <c r="G2805" s="445"/>
      <c r="H2805" s="178">
        <v>223.57</v>
      </c>
      <c r="I2805" s="178">
        <v>274.99</v>
      </c>
      <c r="J2805" s="70">
        <v>-51.41</v>
      </c>
      <c r="K2805" s="320"/>
      <c r="L2805" s="178">
        <v>52.68</v>
      </c>
      <c r="M2805" s="178">
        <v>170.9</v>
      </c>
      <c r="N2805" s="179">
        <v>0</v>
      </c>
      <c r="O2805" s="178">
        <v>223.58</v>
      </c>
      <c r="P2805" s="453"/>
      <c r="Q2805" s="61"/>
      <c r="R2805" s="298"/>
      <c r="S2805" s="669"/>
      <c r="T2805" s="444"/>
      <c r="U2805" s="444"/>
      <c r="V2805" s="444"/>
      <c r="W2805" s="444"/>
      <c r="X2805" s="444">
        <v>2805</v>
      </c>
      <c r="Y2805" s="444"/>
      <c r="Z2805" s="444"/>
      <c r="AA2805" s="444"/>
      <c r="AB2805" s="444"/>
      <c r="AC2805" s="444"/>
      <c r="AD2805" s="444"/>
      <c r="AE2805" s="444"/>
      <c r="AF2805" s="444"/>
    </row>
    <row r="2806" spans="1:32" s="69" customFormat="1" ht="12">
      <c r="A2806" s="83" t="s">
        <v>22903</v>
      </c>
      <c r="B2806" s="64" t="s">
        <v>22904</v>
      </c>
      <c r="C2806" s="71" t="s">
        <v>165</v>
      </c>
      <c r="D2806" s="79">
        <v>1</v>
      </c>
      <c r="E2806" s="79">
        <v>582.80999999999995</v>
      </c>
      <c r="F2806" s="79">
        <v>582.80999999999995</v>
      </c>
      <c r="G2806" s="445"/>
      <c r="H2806" s="178">
        <v>582.80999999999995</v>
      </c>
      <c r="I2806" s="178">
        <v>716.86</v>
      </c>
      <c r="J2806" s="70">
        <v>-134.05000000000007</v>
      </c>
      <c r="K2806" s="320"/>
      <c r="L2806" s="178">
        <v>318.26</v>
      </c>
      <c r="M2806" s="178">
        <v>264.54999999999995</v>
      </c>
      <c r="N2806" s="179">
        <v>0</v>
      </c>
      <c r="O2806" s="178">
        <v>582.80999999999995</v>
      </c>
      <c r="P2806" s="453"/>
      <c r="Q2806" s="61"/>
      <c r="R2806" s="298"/>
      <c r="S2806" s="669"/>
      <c r="T2806" s="444"/>
      <c r="X2806" s="444">
        <v>2806</v>
      </c>
    </row>
    <row r="2807" spans="1:32" s="61" customFormat="1" ht="12">
      <c r="A2807" s="83" t="s">
        <v>22905</v>
      </c>
      <c r="B2807" s="64" t="s">
        <v>22906</v>
      </c>
      <c r="C2807" s="71" t="s">
        <v>165</v>
      </c>
      <c r="D2807" s="79">
        <v>1</v>
      </c>
      <c r="E2807" s="79">
        <v>682.06999999999971</v>
      </c>
      <c r="F2807" s="79">
        <v>682.07</v>
      </c>
      <c r="G2807" s="445"/>
      <c r="H2807" s="178">
        <v>682.06</v>
      </c>
      <c r="I2807" s="178">
        <v>838.93</v>
      </c>
      <c r="J2807" s="70">
        <v>-156.86000000000024</v>
      </c>
      <c r="K2807" s="320"/>
      <c r="L2807" s="178">
        <v>360.54999999999995</v>
      </c>
      <c r="M2807" s="178">
        <v>321.51999999999975</v>
      </c>
      <c r="N2807" s="179">
        <v>0</v>
      </c>
      <c r="O2807" s="178">
        <v>682.06999999999971</v>
      </c>
      <c r="P2807" s="453"/>
      <c r="R2807" s="298"/>
      <c r="S2807" s="669"/>
      <c r="T2807" s="444"/>
      <c r="U2807" s="69"/>
      <c r="V2807" s="69"/>
      <c r="W2807" s="69"/>
      <c r="X2807" s="444">
        <v>2807</v>
      </c>
      <c r="Y2807" s="69"/>
      <c r="Z2807" s="69"/>
      <c r="AA2807" s="69"/>
      <c r="AB2807" s="69"/>
      <c r="AC2807" s="69"/>
      <c r="AD2807" s="69"/>
      <c r="AE2807" s="69"/>
      <c r="AF2807" s="69"/>
    </row>
    <row r="2808" spans="1:32" s="69" customFormat="1" ht="12">
      <c r="A2808" s="83" t="s">
        <v>22907</v>
      </c>
      <c r="B2808" s="64" t="s">
        <v>22908</v>
      </c>
      <c r="C2808" s="71" t="s">
        <v>165</v>
      </c>
      <c r="D2808" s="79">
        <v>1</v>
      </c>
      <c r="E2808" s="79">
        <v>747.98</v>
      </c>
      <c r="F2808" s="79">
        <v>747.98</v>
      </c>
      <c r="G2808" s="445"/>
      <c r="H2808" s="178">
        <v>747.98</v>
      </c>
      <c r="I2808" s="178">
        <v>920.02</v>
      </c>
      <c r="J2808" s="70">
        <v>-172.03999999999996</v>
      </c>
      <c r="K2808" s="320"/>
      <c r="L2808" s="178">
        <v>352.06999999999994</v>
      </c>
      <c r="M2808" s="178">
        <v>395.91000000000008</v>
      </c>
      <c r="N2808" s="179">
        <v>0</v>
      </c>
      <c r="O2808" s="178">
        <v>747.98</v>
      </c>
      <c r="P2808" s="453"/>
      <c r="Q2808" s="61"/>
      <c r="R2808" s="298"/>
      <c r="S2808" s="669"/>
      <c r="T2808" s="444"/>
      <c r="X2808" s="444">
        <v>2808</v>
      </c>
    </row>
    <row r="2809" spans="1:32" s="61" customFormat="1" ht="12">
      <c r="A2809" s="83" t="s">
        <v>22909</v>
      </c>
      <c r="B2809" s="64" t="s">
        <v>22910</v>
      </c>
      <c r="C2809" s="71" t="s">
        <v>165</v>
      </c>
      <c r="D2809" s="79">
        <v>1</v>
      </c>
      <c r="E2809" s="79">
        <v>856.21999999999991</v>
      </c>
      <c r="F2809" s="79">
        <v>856.22</v>
      </c>
      <c r="G2809" s="445"/>
      <c r="H2809" s="178">
        <v>856.23</v>
      </c>
      <c r="I2809" s="178">
        <v>1053.1600000000001</v>
      </c>
      <c r="J2809" s="70">
        <v>-196.94000000000017</v>
      </c>
      <c r="K2809" s="320"/>
      <c r="L2809" s="178">
        <v>418.71</v>
      </c>
      <c r="M2809" s="178">
        <v>437.50999999999993</v>
      </c>
      <c r="N2809" s="179">
        <v>0</v>
      </c>
      <c r="O2809" s="178">
        <v>856.21999999999991</v>
      </c>
      <c r="P2809" s="453"/>
      <c r="R2809" s="298"/>
      <c r="S2809" s="669"/>
      <c r="T2809" s="444"/>
      <c r="U2809" s="69"/>
      <c r="V2809" s="69"/>
      <c r="W2809" s="69"/>
      <c r="X2809" s="444">
        <v>2809</v>
      </c>
      <c r="Y2809" s="69"/>
      <c r="Z2809" s="69"/>
      <c r="AA2809" s="69"/>
      <c r="AB2809" s="69"/>
      <c r="AC2809" s="69"/>
      <c r="AD2809" s="69"/>
      <c r="AE2809" s="69"/>
      <c r="AF2809" s="69"/>
    </row>
    <row r="2810" spans="1:32" s="61" customFormat="1" ht="12">
      <c r="A2810" s="83" t="s">
        <v>22911</v>
      </c>
      <c r="B2810" s="64" t="s">
        <v>22912</v>
      </c>
      <c r="C2810" s="71" t="s">
        <v>165</v>
      </c>
      <c r="D2810" s="79">
        <v>1</v>
      </c>
      <c r="E2810" s="79">
        <v>1166.2900000000002</v>
      </c>
      <c r="F2810" s="79">
        <v>1166.29</v>
      </c>
      <c r="G2810" s="445"/>
      <c r="H2810" s="178">
        <v>1166.33</v>
      </c>
      <c r="I2810" s="178">
        <v>1434.58</v>
      </c>
      <c r="J2810" s="70">
        <v>-268.28999999999974</v>
      </c>
      <c r="K2810" s="320"/>
      <c r="L2810" s="178">
        <v>319.70000000000005</v>
      </c>
      <c r="M2810" s="178">
        <v>846.59000000000015</v>
      </c>
      <c r="N2810" s="179">
        <v>0</v>
      </c>
      <c r="O2810" s="178">
        <v>1166.2900000000002</v>
      </c>
      <c r="P2810" s="453"/>
      <c r="R2810" s="298"/>
      <c r="S2810" s="669"/>
      <c r="T2810" s="444"/>
      <c r="U2810" s="69"/>
      <c r="V2810" s="69"/>
      <c r="W2810" s="69"/>
      <c r="X2810" s="444">
        <v>2810</v>
      </c>
      <c r="Y2810" s="69"/>
      <c r="Z2810" s="69"/>
      <c r="AA2810" s="69"/>
      <c r="AB2810" s="69"/>
      <c r="AC2810" s="69"/>
      <c r="AD2810" s="69"/>
      <c r="AE2810" s="69"/>
      <c r="AF2810" s="69"/>
    </row>
    <row r="2811" spans="1:32" s="69" customFormat="1" ht="12">
      <c r="A2811" s="83" t="s">
        <v>22913</v>
      </c>
      <c r="B2811" s="64" t="s">
        <v>22914</v>
      </c>
      <c r="C2811" s="71" t="s">
        <v>165</v>
      </c>
      <c r="D2811" s="79">
        <v>1</v>
      </c>
      <c r="E2811" s="79">
        <v>1389.01</v>
      </c>
      <c r="F2811" s="79">
        <v>1389.01</v>
      </c>
      <c r="G2811" s="445"/>
      <c r="H2811" s="178">
        <v>1389.05</v>
      </c>
      <c r="I2811" s="178">
        <v>1708.53</v>
      </c>
      <c r="J2811" s="70">
        <v>-319.52</v>
      </c>
      <c r="K2811" s="320"/>
      <c r="L2811" s="178">
        <v>325.85000000000002</v>
      </c>
      <c r="M2811" s="178">
        <v>1063.1599999999999</v>
      </c>
      <c r="N2811" s="179">
        <v>0</v>
      </c>
      <c r="O2811" s="178">
        <v>1389.0099999999998</v>
      </c>
      <c r="P2811" s="453"/>
      <c r="Q2811" s="61"/>
      <c r="R2811" s="298"/>
      <c r="S2811" s="669"/>
      <c r="T2811" s="444"/>
      <c r="X2811" s="444">
        <v>2811</v>
      </c>
    </row>
    <row r="2812" spans="1:32" ht="12">
      <c r="A2812" s="83" t="s">
        <v>22915</v>
      </c>
      <c r="B2812" s="64" t="s">
        <v>22916</v>
      </c>
      <c r="C2812" s="71" t="s">
        <v>165</v>
      </c>
      <c r="D2812" s="79">
        <v>1</v>
      </c>
      <c r="E2812" s="79">
        <v>1250.18</v>
      </c>
      <c r="F2812" s="79">
        <v>1250.18</v>
      </c>
      <c r="G2812" s="445"/>
      <c r="H2812" s="178">
        <v>1250.2</v>
      </c>
      <c r="I2812" s="178">
        <v>1537.74</v>
      </c>
      <c r="J2812" s="70">
        <v>-287.55999999999995</v>
      </c>
      <c r="K2812" s="320"/>
      <c r="L2812" s="178">
        <v>350.58000000000004</v>
      </c>
      <c r="M2812" s="178">
        <v>899.6</v>
      </c>
      <c r="N2812" s="179">
        <v>0</v>
      </c>
      <c r="O2812" s="178">
        <v>1250.18</v>
      </c>
      <c r="P2812" s="453"/>
      <c r="Q2812" s="61"/>
      <c r="R2812" s="298"/>
      <c r="S2812" s="669"/>
      <c r="U2812" s="73"/>
      <c r="V2812" s="73"/>
      <c r="W2812" s="73"/>
      <c r="X2812" s="444">
        <v>2812</v>
      </c>
      <c r="Y2812" s="73"/>
      <c r="Z2812" s="73"/>
      <c r="AA2812" s="73"/>
      <c r="AB2812" s="73"/>
      <c r="AC2812" s="73"/>
      <c r="AD2812" s="73"/>
      <c r="AE2812" s="73"/>
      <c r="AF2812" s="73"/>
    </row>
    <row r="2813" spans="1:32" ht="12">
      <c r="A2813" s="83" t="s">
        <v>22917</v>
      </c>
      <c r="B2813" s="64" t="s">
        <v>22918</v>
      </c>
      <c r="C2813" s="71" t="s">
        <v>165</v>
      </c>
      <c r="D2813" s="79">
        <v>1</v>
      </c>
      <c r="E2813" s="79">
        <v>1472.8999999999999</v>
      </c>
      <c r="F2813" s="79">
        <v>1472.9</v>
      </c>
      <c r="G2813" s="445"/>
      <c r="H2813" s="178">
        <v>1472.92</v>
      </c>
      <c r="I2813" s="178">
        <v>1811.69</v>
      </c>
      <c r="J2813" s="70">
        <v>-338.79000000000019</v>
      </c>
      <c r="K2813" s="320"/>
      <c r="L2813" s="178">
        <v>356.73</v>
      </c>
      <c r="M2813" s="178">
        <v>1116.1699999999998</v>
      </c>
      <c r="N2813" s="179">
        <v>0</v>
      </c>
      <c r="O2813" s="178">
        <v>1472.8999999999999</v>
      </c>
      <c r="P2813" s="453"/>
      <c r="Q2813" s="61"/>
      <c r="R2813" s="298"/>
      <c r="S2813" s="669"/>
      <c r="U2813" s="73"/>
      <c r="V2813" s="73"/>
      <c r="W2813" s="73"/>
      <c r="X2813" s="444">
        <v>2813</v>
      </c>
      <c r="Y2813" s="73"/>
      <c r="Z2813" s="73"/>
      <c r="AA2813" s="73"/>
      <c r="AB2813" s="73"/>
      <c r="AC2813" s="73"/>
      <c r="AD2813" s="73"/>
      <c r="AE2813" s="73"/>
      <c r="AF2813" s="73"/>
    </row>
    <row r="2814" spans="1:32" ht="12">
      <c r="A2814" s="83" t="s">
        <v>22919</v>
      </c>
      <c r="B2814" s="64" t="s">
        <v>22920</v>
      </c>
      <c r="C2814" s="71" t="s">
        <v>165</v>
      </c>
      <c r="D2814" s="79">
        <v>1</v>
      </c>
      <c r="E2814" s="79">
        <v>974.24999999999989</v>
      </c>
      <c r="F2814" s="79">
        <v>974.25</v>
      </c>
      <c r="G2814" s="445"/>
      <c r="H2814" s="178">
        <v>974.26</v>
      </c>
      <c r="I2814" s="178">
        <v>1198.3399999999999</v>
      </c>
      <c r="J2814" s="70">
        <v>-224.09000000000003</v>
      </c>
      <c r="K2814" s="320"/>
      <c r="L2814" s="178">
        <v>428.19</v>
      </c>
      <c r="M2814" s="178">
        <v>546.05999999999995</v>
      </c>
      <c r="N2814" s="179">
        <v>0</v>
      </c>
      <c r="O2814" s="178">
        <v>974.25</v>
      </c>
      <c r="P2814" s="453"/>
      <c r="Q2814" s="61"/>
      <c r="R2814" s="298"/>
      <c r="S2814" s="669"/>
      <c r="U2814" s="69"/>
      <c r="V2814" s="69"/>
      <c r="W2814" s="69"/>
      <c r="X2814" s="444">
        <v>2814</v>
      </c>
      <c r="Y2814" s="69"/>
      <c r="Z2814" s="69"/>
      <c r="AA2814" s="69"/>
      <c r="AB2814" s="69"/>
      <c r="AC2814" s="69"/>
      <c r="AD2814" s="69"/>
      <c r="AE2814" s="69"/>
      <c r="AF2814" s="69"/>
    </row>
    <row r="2815" spans="1:32" ht="12">
      <c r="A2815" s="83" t="s">
        <v>22921</v>
      </c>
      <c r="B2815" s="64" t="s">
        <v>22922</v>
      </c>
      <c r="C2815" s="71" t="s">
        <v>165</v>
      </c>
      <c r="D2815" s="79">
        <v>1</v>
      </c>
      <c r="E2815" s="79">
        <v>1064.77</v>
      </c>
      <c r="F2815" s="79">
        <v>1064.77</v>
      </c>
      <c r="G2815" s="445"/>
      <c r="H2815" s="178">
        <v>1064.8</v>
      </c>
      <c r="I2815" s="178">
        <v>1309.71</v>
      </c>
      <c r="J2815" s="70">
        <v>-244.94000000000005</v>
      </c>
      <c r="K2815" s="320"/>
      <c r="L2815" s="178">
        <v>472.02</v>
      </c>
      <c r="M2815" s="178">
        <v>592.75</v>
      </c>
      <c r="N2815" s="179">
        <v>0</v>
      </c>
      <c r="O2815" s="178">
        <v>1064.77</v>
      </c>
      <c r="P2815" s="453"/>
      <c r="Q2815" s="61"/>
      <c r="R2815" s="298"/>
      <c r="S2815" s="669"/>
      <c r="U2815" s="69"/>
      <c r="V2815" s="69"/>
      <c r="W2815" s="69"/>
      <c r="X2815" s="444">
        <v>2815</v>
      </c>
      <c r="Y2815" s="69"/>
      <c r="Z2815" s="69"/>
      <c r="AA2815" s="69"/>
      <c r="AB2815" s="69"/>
      <c r="AC2815" s="69"/>
      <c r="AD2815" s="69"/>
      <c r="AE2815" s="69"/>
      <c r="AF2815" s="69"/>
    </row>
    <row r="2816" spans="1:32" ht="12">
      <c r="A2816" s="83" t="s">
        <v>22923</v>
      </c>
      <c r="B2816" s="64" t="s">
        <v>22924</v>
      </c>
      <c r="C2816" s="71" t="s">
        <v>165</v>
      </c>
      <c r="D2816" s="79">
        <v>1</v>
      </c>
      <c r="E2816" s="79">
        <v>1031.0700000000002</v>
      </c>
      <c r="F2816" s="79">
        <v>1031.07</v>
      </c>
      <c r="G2816" s="445"/>
      <c r="H2816" s="178">
        <v>1031.08</v>
      </c>
      <c r="I2816" s="178">
        <v>1268.23</v>
      </c>
      <c r="J2816" s="70">
        <v>-237.15999999999985</v>
      </c>
      <c r="K2816" s="320"/>
      <c r="L2816" s="178">
        <v>499.48</v>
      </c>
      <c r="M2816" s="178">
        <v>531.59000000000015</v>
      </c>
      <c r="N2816" s="179">
        <v>0</v>
      </c>
      <c r="O2816" s="178">
        <v>1031.0700000000002</v>
      </c>
      <c r="P2816" s="453"/>
      <c r="Q2816" s="61"/>
      <c r="R2816" s="298"/>
      <c r="S2816" s="669"/>
      <c r="U2816" s="69"/>
      <c r="V2816" s="69"/>
      <c r="W2816" s="69"/>
      <c r="X2816" s="444">
        <v>2816</v>
      </c>
      <c r="Y2816" s="69"/>
      <c r="Z2816" s="69"/>
      <c r="AA2816" s="69"/>
      <c r="AB2816" s="69"/>
      <c r="AC2816" s="69"/>
      <c r="AD2816" s="69"/>
      <c r="AE2816" s="69"/>
      <c r="AF2816" s="69"/>
    </row>
    <row r="2817" spans="1:32" ht="12">
      <c r="A2817" s="83" t="s">
        <v>22925</v>
      </c>
      <c r="B2817" s="64" t="s">
        <v>22926</v>
      </c>
      <c r="C2817" s="71" t="s">
        <v>165</v>
      </c>
      <c r="D2817" s="79">
        <v>1</v>
      </c>
      <c r="E2817" s="79">
        <v>1131.2600000000002</v>
      </c>
      <c r="F2817" s="79">
        <v>1131.26</v>
      </c>
      <c r="G2817" s="445"/>
      <c r="H2817" s="178">
        <v>1131.27</v>
      </c>
      <c r="I2817" s="178">
        <v>1391.46</v>
      </c>
      <c r="J2817" s="70">
        <v>-260.19999999999982</v>
      </c>
      <c r="K2817" s="320"/>
      <c r="L2817" s="178">
        <v>539.66000000000008</v>
      </c>
      <c r="M2817" s="178">
        <v>591.60000000000014</v>
      </c>
      <c r="N2817" s="179">
        <v>0</v>
      </c>
      <c r="O2817" s="178">
        <v>1131.2600000000002</v>
      </c>
      <c r="P2817" s="453"/>
      <c r="Q2817" s="61"/>
      <c r="R2817" s="298"/>
      <c r="S2817" s="669"/>
      <c r="U2817" s="69"/>
      <c r="V2817" s="69"/>
      <c r="W2817" s="69"/>
      <c r="X2817" s="444">
        <v>2817</v>
      </c>
      <c r="Y2817" s="69"/>
      <c r="Z2817" s="69"/>
      <c r="AA2817" s="69"/>
      <c r="AB2817" s="69"/>
      <c r="AC2817" s="69"/>
      <c r="AD2817" s="69"/>
      <c r="AE2817" s="69"/>
      <c r="AF2817" s="69"/>
    </row>
    <row r="2818" spans="1:32" ht="12">
      <c r="A2818" s="83" t="s">
        <v>22927</v>
      </c>
      <c r="B2818" s="64" t="s">
        <v>19484</v>
      </c>
      <c r="C2818" s="71" t="s">
        <v>509</v>
      </c>
      <c r="D2818" s="79">
        <v>1</v>
      </c>
      <c r="E2818" s="79">
        <v>1296.07</v>
      </c>
      <c r="F2818" s="79">
        <v>1296.07</v>
      </c>
      <c r="G2818" s="445"/>
      <c r="H2818" s="178">
        <v>1296.07</v>
      </c>
      <c r="I2818" s="178">
        <v>1594.16</v>
      </c>
      <c r="J2818" s="70">
        <v>-298.09000000000015</v>
      </c>
      <c r="K2818" s="320"/>
      <c r="L2818" s="178">
        <v>33.86</v>
      </c>
      <c r="M2818" s="178">
        <v>1262.21</v>
      </c>
      <c r="N2818" s="179">
        <v>0</v>
      </c>
      <c r="O2818" s="178">
        <v>1296.07</v>
      </c>
      <c r="P2818" s="453"/>
      <c r="Q2818" s="61"/>
      <c r="R2818" s="298"/>
      <c r="S2818" s="669"/>
      <c r="U2818" s="69"/>
      <c r="V2818" s="69"/>
      <c r="W2818" s="69"/>
      <c r="X2818" s="444">
        <v>2818</v>
      </c>
      <c r="Y2818" s="69"/>
      <c r="Z2818" s="69"/>
      <c r="AA2818" s="69"/>
      <c r="AB2818" s="69"/>
      <c r="AC2818" s="69"/>
      <c r="AD2818" s="69"/>
      <c r="AE2818" s="69"/>
      <c r="AF2818" s="69"/>
    </row>
    <row r="2819" spans="1:32" ht="12">
      <c r="A2819" s="83" t="s">
        <v>22928</v>
      </c>
      <c r="B2819" s="64" t="s">
        <v>22929</v>
      </c>
      <c r="C2819" s="71" t="s">
        <v>509</v>
      </c>
      <c r="D2819" s="79">
        <v>1</v>
      </c>
      <c r="E2819" s="79">
        <v>1110.6300000000001</v>
      </c>
      <c r="F2819" s="79">
        <v>1110.6300000000001</v>
      </c>
      <c r="G2819" s="445"/>
      <c r="H2819" s="178">
        <v>1110.5999999999999</v>
      </c>
      <c r="I2819" s="178">
        <v>1366.04</v>
      </c>
      <c r="J2819" s="70">
        <v>-255.40999999999985</v>
      </c>
      <c r="K2819" s="320"/>
      <c r="L2819" s="178">
        <v>33.880000000000003</v>
      </c>
      <c r="M2819" s="178">
        <v>1076.75</v>
      </c>
      <c r="N2819" s="179">
        <v>0</v>
      </c>
      <c r="O2819" s="178">
        <v>1110.6300000000001</v>
      </c>
      <c r="P2819" s="453"/>
      <c r="Q2819" s="61"/>
      <c r="R2819" s="298"/>
      <c r="S2819" s="669"/>
      <c r="U2819" s="73"/>
      <c r="V2819" s="73"/>
      <c r="W2819" s="73"/>
      <c r="X2819" s="444">
        <v>2819</v>
      </c>
      <c r="Y2819" s="73"/>
      <c r="Z2819" s="73"/>
      <c r="AA2819" s="73"/>
      <c r="AB2819" s="73"/>
      <c r="AC2819" s="73"/>
      <c r="AD2819" s="73"/>
      <c r="AE2819" s="73"/>
      <c r="AF2819" s="73"/>
    </row>
    <row r="2820" spans="1:32" ht="24">
      <c r="A2820" s="83" t="s">
        <v>22930</v>
      </c>
      <c r="B2820" s="64" t="s">
        <v>39981</v>
      </c>
      <c r="C2820" s="71" t="s">
        <v>509</v>
      </c>
      <c r="D2820" s="79">
        <v>1</v>
      </c>
      <c r="E2820" s="79">
        <v>395.53999999999996</v>
      </c>
      <c r="F2820" s="79">
        <v>395.54</v>
      </c>
      <c r="G2820" s="445"/>
      <c r="H2820" s="178">
        <v>395.53</v>
      </c>
      <c r="I2820" s="178">
        <v>486.5</v>
      </c>
      <c r="J2820" s="70">
        <v>-90.960000000000036</v>
      </c>
      <c r="K2820" s="320"/>
      <c r="L2820" s="178">
        <v>61.36</v>
      </c>
      <c r="M2820" s="178">
        <v>334.17999999999995</v>
      </c>
      <c r="N2820" s="179">
        <v>0</v>
      </c>
      <c r="O2820" s="178">
        <v>395.53999999999996</v>
      </c>
      <c r="P2820" s="453"/>
      <c r="Q2820" s="61"/>
      <c r="R2820" s="298"/>
      <c r="S2820" s="669"/>
      <c r="U2820" s="69"/>
      <c r="V2820" s="69"/>
      <c r="W2820" s="69"/>
      <c r="X2820" s="444">
        <v>2820</v>
      </c>
      <c r="Y2820" s="69"/>
      <c r="Z2820" s="69"/>
      <c r="AA2820" s="69"/>
      <c r="AB2820" s="69"/>
      <c r="AC2820" s="69"/>
      <c r="AD2820" s="69"/>
      <c r="AE2820" s="69"/>
      <c r="AF2820" s="69"/>
    </row>
    <row r="2821" spans="1:32" ht="12">
      <c r="A2821" s="83" t="s">
        <v>22931</v>
      </c>
      <c r="B2821" s="64" t="s">
        <v>22932</v>
      </c>
      <c r="C2821" s="71" t="s">
        <v>165</v>
      </c>
      <c r="D2821" s="79">
        <v>1</v>
      </c>
      <c r="E2821" s="79">
        <v>979.97</v>
      </c>
      <c r="F2821" s="79">
        <v>979.97</v>
      </c>
      <c r="G2821" s="445"/>
      <c r="H2821" s="178">
        <v>979.96</v>
      </c>
      <c r="I2821" s="178">
        <v>1205.3499999999999</v>
      </c>
      <c r="J2821" s="70">
        <v>-225.37999999999988</v>
      </c>
      <c r="K2821" s="320"/>
      <c r="L2821" s="178">
        <v>494.86</v>
      </c>
      <c r="M2821" s="178">
        <v>485.11</v>
      </c>
      <c r="N2821" s="179">
        <v>0</v>
      </c>
      <c r="O2821" s="178">
        <v>979.97</v>
      </c>
      <c r="P2821" s="453"/>
      <c r="Q2821" s="61"/>
      <c r="R2821" s="298"/>
      <c r="S2821" s="669"/>
      <c r="U2821" s="73"/>
      <c r="V2821" s="73"/>
      <c r="W2821" s="73"/>
      <c r="X2821" s="444">
        <v>2821</v>
      </c>
      <c r="Y2821" s="73"/>
      <c r="Z2821" s="73"/>
      <c r="AA2821" s="73"/>
      <c r="AB2821" s="73"/>
      <c r="AC2821" s="73"/>
      <c r="AD2821" s="73"/>
      <c r="AE2821" s="73"/>
      <c r="AF2821" s="73"/>
    </row>
    <row r="2822" spans="1:32" ht="12">
      <c r="A2822" s="83" t="s">
        <v>22933</v>
      </c>
      <c r="B2822" s="64" t="s">
        <v>22934</v>
      </c>
      <c r="C2822" s="71" t="s">
        <v>165</v>
      </c>
      <c r="D2822" s="79">
        <v>1</v>
      </c>
      <c r="E2822" s="79">
        <v>1031.1999999999998</v>
      </c>
      <c r="F2822" s="79">
        <v>1031.2</v>
      </c>
      <c r="G2822" s="445"/>
      <c r="H2822" s="178">
        <v>1031.23</v>
      </c>
      <c r="I2822" s="178">
        <v>1268.4100000000001</v>
      </c>
      <c r="J2822" s="70">
        <v>-237.21000000000026</v>
      </c>
      <c r="K2822" s="320"/>
      <c r="L2822" s="178">
        <v>518.01</v>
      </c>
      <c r="M2822" s="178">
        <v>513.18999999999983</v>
      </c>
      <c r="N2822" s="179">
        <v>0</v>
      </c>
      <c r="O2822" s="178">
        <v>1031.1999999999998</v>
      </c>
      <c r="P2822" s="453"/>
      <c r="Q2822" s="61"/>
      <c r="R2822" s="298"/>
      <c r="S2822" s="669"/>
      <c r="U2822" s="73"/>
      <c r="V2822" s="73"/>
      <c r="W2822" s="73"/>
      <c r="X2822" s="444">
        <v>2822</v>
      </c>
      <c r="Y2822" s="73"/>
      <c r="Z2822" s="73"/>
      <c r="AA2822" s="73"/>
      <c r="AB2822" s="73"/>
      <c r="AC2822" s="73"/>
      <c r="AD2822" s="73"/>
      <c r="AE2822" s="73"/>
      <c r="AF2822" s="73"/>
    </row>
    <row r="2823" spans="1:32" ht="12">
      <c r="A2823" s="83" t="s">
        <v>22935</v>
      </c>
      <c r="B2823" s="64" t="s">
        <v>22936</v>
      </c>
      <c r="C2823" s="71" t="s">
        <v>165</v>
      </c>
      <c r="D2823" s="79">
        <v>1</v>
      </c>
      <c r="E2823" s="79">
        <v>918.33999999999992</v>
      </c>
      <c r="F2823" s="79">
        <v>918.34</v>
      </c>
      <c r="G2823" s="445"/>
      <c r="H2823" s="178">
        <v>918.33</v>
      </c>
      <c r="I2823" s="178">
        <v>1129.54</v>
      </c>
      <c r="J2823" s="70">
        <v>-211.20000000000005</v>
      </c>
      <c r="K2823" s="320"/>
      <c r="L2823" s="178">
        <v>499.70000000000005</v>
      </c>
      <c r="M2823" s="178">
        <v>418.63999999999987</v>
      </c>
      <c r="N2823" s="179">
        <v>0</v>
      </c>
      <c r="O2823" s="178">
        <v>918.33999999999992</v>
      </c>
      <c r="P2823" s="453"/>
      <c r="Q2823" s="61"/>
      <c r="R2823" s="298"/>
      <c r="S2823" s="669"/>
      <c r="X2823" s="444">
        <v>2823</v>
      </c>
    </row>
    <row r="2824" spans="1:32" ht="12">
      <c r="A2824" s="83" t="s">
        <v>22937</v>
      </c>
      <c r="B2824" s="64" t="s">
        <v>22938</v>
      </c>
      <c r="C2824" s="71" t="s">
        <v>165</v>
      </c>
      <c r="D2824" s="79">
        <v>1</v>
      </c>
      <c r="E2824" s="79">
        <v>974.09999999999991</v>
      </c>
      <c r="F2824" s="79">
        <v>974.1</v>
      </c>
      <c r="G2824" s="445"/>
      <c r="H2824" s="178">
        <v>974.08</v>
      </c>
      <c r="I2824" s="178">
        <v>1198.1199999999999</v>
      </c>
      <c r="J2824" s="70">
        <v>-224.01999999999998</v>
      </c>
      <c r="K2824" s="320"/>
      <c r="L2824" s="178">
        <v>518.48</v>
      </c>
      <c r="M2824" s="178">
        <v>455.61999999999989</v>
      </c>
      <c r="N2824" s="179">
        <v>0</v>
      </c>
      <c r="O2824" s="178">
        <v>974.09999999999991</v>
      </c>
      <c r="P2824" s="453"/>
      <c r="Q2824" s="61"/>
      <c r="R2824" s="298"/>
      <c r="S2824" s="669"/>
      <c r="X2824" s="444">
        <v>2824</v>
      </c>
    </row>
    <row r="2825" spans="1:32" ht="12">
      <c r="A2825" s="83" t="s">
        <v>22939</v>
      </c>
      <c r="B2825" s="64" t="s">
        <v>22940</v>
      </c>
      <c r="C2825" s="71" t="s">
        <v>509</v>
      </c>
      <c r="D2825" s="79">
        <v>1</v>
      </c>
      <c r="E2825" s="79">
        <v>1102.4200000000003</v>
      </c>
      <c r="F2825" s="79">
        <v>1102.42</v>
      </c>
      <c r="G2825" s="445"/>
      <c r="H2825" s="178">
        <v>1102.4000000000001</v>
      </c>
      <c r="I2825" s="178">
        <v>1355.95</v>
      </c>
      <c r="J2825" s="70">
        <v>-253.52999999999975</v>
      </c>
      <c r="K2825" s="320"/>
      <c r="L2825" s="178">
        <v>98.83</v>
      </c>
      <c r="M2825" s="178">
        <v>1003.5900000000003</v>
      </c>
      <c r="N2825" s="179">
        <v>0</v>
      </c>
      <c r="O2825" s="178">
        <v>1102.4200000000003</v>
      </c>
      <c r="P2825" s="453"/>
      <c r="Q2825" s="61"/>
      <c r="R2825" s="298"/>
      <c r="S2825" s="669"/>
      <c r="X2825" s="444">
        <v>2825</v>
      </c>
    </row>
    <row r="2826" spans="1:32" ht="12">
      <c r="A2826" s="83" t="s">
        <v>22941</v>
      </c>
      <c r="B2826" s="64" t="s">
        <v>22942</v>
      </c>
      <c r="C2826" s="71" t="s">
        <v>165</v>
      </c>
      <c r="D2826" s="79">
        <v>1</v>
      </c>
      <c r="E2826" s="79">
        <v>60.25</v>
      </c>
      <c r="F2826" s="79">
        <v>60.25</v>
      </c>
      <c r="G2826" s="445"/>
      <c r="H2826" s="178">
        <v>60.25</v>
      </c>
      <c r="I2826" s="178">
        <v>74.11</v>
      </c>
      <c r="J2826" s="70">
        <v>-13.86</v>
      </c>
      <c r="K2826" s="320"/>
      <c r="L2826" s="178">
        <v>22</v>
      </c>
      <c r="M2826" s="178">
        <v>38.25</v>
      </c>
      <c r="N2826" s="179">
        <v>0</v>
      </c>
      <c r="O2826" s="178">
        <v>60.25</v>
      </c>
      <c r="P2826" s="453"/>
      <c r="Q2826" s="61"/>
      <c r="R2826" s="298"/>
      <c r="S2826" s="669"/>
      <c r="X2826" s="444">
        <v>2826</v>
      </c>
    </row>
    <row r="2827" spans="1:32" ht="12">
      <c r="A2827" s="83" t="s">
        <v>22943</v>
      </c>
      <c r="B2827" s="64" t="s">
        <v>22944</v>
      </c>
      <c r="C2827" s="71" t="s">
        <v>165</v>
      </c>
      <c r="D2827" s="79">
        <v>1</v>
      </c>
      <c r="E2827" s="79">
        <v>51.35</v>
      </c>
      <c r="F2827" s="79">
        <v>51.35</v>
      </c>
      <c r="G2827" s="445"/>
      <c r="H2827" s="178">
        <v>51.35</v>
      </c>
      <c r="I2827" s="178">
        <v>63.16</v>
      </c>
      <c r="J2827" s="70">
        <v>-11.809999999999995</v>
      </c>
      <c r="K2827" s="320"/>
      <c r="L2827" s="178">
        <v>22</v>
      </c>
      <c r="M2827" s="178">
        <v>29.35</v>
      </c>
      <c r="N2827" s="179">
        <v>0</v>
      </c>
      <c r="O2827" s="178">
        <v>51.35</v>
      </c>
      <c r="P2827" s="453"/>
      <c r="Q2827" s="61"/>
      <c r="R2827" s="298"/>
      <c r="S2827" s="669"/>
      <c r="X2827" s="444">
        <v>2827</v>
      </c>
    </row>
    <row r="2828" spans="1:32" ht="24">
      <c r="A2828" s="83" t="s">
        <v>22945</v>
      </c>
      <c r="B2828" s="64" t="s">
        <v>22946</v>
      </c>
      <c r="C2828" s="71" t="s">
        <v>165</v>
      </c>
      <c r="D2828" s="79">
        <v>1</v>
      </c>
      <c r="E2828" s="79">
        <v>758.37000000000012</v>
      </c>
      <c r="F2828" s="79">
        <v>758.37</v>
      </c>
      <c r="G2828" s="445"/>
      <c r="H2828" s="178">
        <v>758.38</v>
      </c>
      <c r="I2828" s="178">
        <v>932.81</v>
      </c>
      <c r="J2828" s="70">
        <v>-174.43999999999983</v>
      </c>
      <c r="K2828" s="320"/>
      <c r="L2828" s="178">
        <v>362.81</v>
      </c>
      <c r="M2828" s="178">
        <v>395.56000000000012</v>
      </c>
      <c r="N2828" s="179">
        <v>0</v>
      </c>
      <c r="O2828" s="178">
        <v>758.37000000000012</v>
      </c>
      <c r="P2828" s="453"/>
      <c r="Q2828" s="61"/>
      <c r="R2828" s="298"/>
      <c r="S2828" s="669"/>
      <c r="X2828" s="444">
        <v>2828</v>
      </c>
    </row>
    <row r="2829" spans="1:32" ht="24">
      <c r="A2829" s="83" t="s">
        <v>22947</v>
      </c>
      <c r="B2829" s="64" t="s">
        <v>22948</v>
      </c>
      <c r="C2829" s="71" t="s">
        <v>165</v>
      </c>
      <c r="D2829" s="79">
        <v>1</v>
      </c>
      <c r="E2829" s="79">
        <v>867.57999999999993</v>
      </c>
      <c r="F2829" s="79">
        <v>867.58</v>
      </c>
      <c r="G2829" s="445"/>
      <c r="H2829" s="178">
        <v>867.59</v>
      </c>
      <c r="I2829" s="178">
        <v>1067.1400000000001</v>
      </c>
      <c r="J2829" s="70">
        <v>-199.56000000000017</v>
      </c>
      <c r="K2829" s="320"/>
      <c r="L2829" s="178">
        <v>426.15</v>
      </c>
      <c r="M2829" s="178">
        <v>441.42999999999995</v>
      </c>
      <c r="N2829" s="179">
        <v>0</v>
      </c>
      <c r="O2829" s="178">
        <v>867.57999999999993</v>
      </c>
      <c r="P2829" s="453"/>
      <c r="Q2829" s="61"/>
      <c r="R2829" s="298"/>
      <c r="S2829" s="669"/>
      <c r="X2829" s="444">
        <v>2829</v>
      </c>
    </row>
    <row r="2830" spans="1:32" ht="12">
      <c r="A2830" s="83" t="s">
        <v>22949</v>
      </c>
      <c r="B2830" s="64" t="s">
        <v>22950</v>
      </c>
      <c r="C2830" s="71" t="s">
        <v>103</v>
      </c>
      <c r="D2830" s="79">
        <v>1</v>
      </c>
      <c r="E2830" s="79">
        <v>9352.119999999999</v>
      </c>
      <c r="F2830" s="79">
        <v>9352.1200000000008</v>
      </c>
      <c r="G2830" s="445"/>
      <c r="H2830" s="178">
        <v>9352.11</v>
      </c>
      <c r="I2830" s="178">
        <v>11503.09</v>
      </c>
      <c r="J2830" s="70">
        <v>-2150.9700000000012</v>
      </c>
      <c r="K2830" s="320"/>
      <c r="L2830" s="178">
        <v>1552.69</v>
      </c>
      <c r="M2830" s="178">
        <v>7799.4299999999985</v>
      </c>
      <c r="N2830" s="179">
        <v>0</v>
      </c>
      <c r="O2830" s="178">
        <v>9352.119999999999</v>
      </c>
      <c r="P2830" s="453"/>
      <c r="Q2830" s="61"/>
      <c r="R2830" s="298"/>
      <c r="S2830" s="669"/>
      <c r="X2830" s="444">
        <v>2830</v>
      </c>
    </row>
    <row r="2831" spans="1:32" ht="12">
      <c r="A2831" s="83" t="s">
        <v>22951</v>
      </c>
      <c r="B2831" s="64" t="s">
        <v>22952</v>
      </c>
      <c r="C2831" s="71" t="s">
        <v>103</v>
      </c>
      <c r="D2831" s="79">
        <v>1</v>
      </c>
      <c r="E2831" s="79">
        <v>9381.6200000000008</v>
      </c>
      <c r="F2831" s="79">
        <v>9381.6200000000008</v>
      </c>
      <c r="G2831" s="445"/>
      <c r="H2831" s="178">
        <v>9381.6200000000008</v>
      </c>
      <c r="I2831" s="178">
        <v>11539.39</v>
      </c>
      <c r="J2831" s="70">
        <v>-2157.7699999999986</v>
      </c>
      <c r="K2831" s="320"/>
      <c r="L2831" s="178">
        <v>1679.85</v>
      </c>
      <c r="M2831" s="178">
        <v>7701.77</v>
      </c>
      <c r="N2831" s="179">
        <v>0</v>
      </c>
      <c r="O2831" s="178">
        <v>9381.6200000000008</v>
      </c>
      <c r="P2831" s="453"/>
      <c r="Q2831" s="61"/>
      <c r="R2831" s="298"/>
      <c r="S2831" s="669"/>
      <c r="X2831" s="444">
        <v>2831</v>
      </c>
    </row>
    <row r="2832" spans="1:32" ht="12">
      <c r="A2832" s="83" t="s">
        <v>22953</v>
      </c>
      <c r="B2832" s="64" t="s">
        <v>22954</v>
      </c>
      <c r="C2832" s="71" t="s">
        <v>103</v>
      </c>
      <c r="D2832" s="79">
        <v>1</v>
      </c>
      <c r="E2832" s="79">
        <v>6674.37</v>
      </c>
      <c r="F2832" s="79">
        <v>6674.37</v>
      </c>
      <c r="G2832" s="445"/>
      <c r="H2832" s="178">
        <v>6674.37</v>
      </c>
      <c r="I2832" s="178">
        <v>8209.48</v>
      </c>
      <c r="J2832" s="70">
        <v>-1535.1099999999997</v>
      </c>
      <c r="K2832" s="320"/>
      <c r="L2832" s="178">
        <v>1466.4</v>
      </c>
      <c r="M2832" s="178">
        <v>5207.9699999999993</v>
      </c>
      <c r="N2832" s="179">
        <v>0</v>
      </c>
      <c r="O2832" s="178">
        <v>6674.369999999999</v>
      </c>
      <c r="P2832" s="453"/>
      <c r="Q2832" s="61"/>
      <c r="R2832" s="298"/>
      <c r="S2832" s="669"/>
      <c r="X2832" s="444">
        <v>2832</v>
      </c>
    </row>
    <row r="2833" spans="1:32" ht="12">
      <c r="A2833" s="83" t="s">
        <v>22955</v>
      </c>
      <c r="B2833" s="64" t="s">
        <v>22956</v>
      </c>
      <c r="C2833" s="71" t="s">
        <v>103</v>
      </c>
      <c r="D2833" s="79">
        <v>1</v>
      </c>
      <c r="E2833" s="79">
        <v>6632.3599999999988</v>
      </c>
      <c r="F2833" s="79">
        <v>6632.36</v>
      </c>
      <c r="G2833" s="445"/>
      <c r="H2833" s="178">
        <v>6632.38</v>
      </c>
      <c r="I2833" s="178">
        <v>8157.83</v>
      </c>
      <c r="J2833" s="70">
        <v>-1525.4700000000012</v>
      </c>
      <c r="K2833" s="320"/>
      <c r="L2833" s="178">
        <v>1580.62</v>
      </c>
      <c r="M2833" s="178">
        <v>5051.7399999999989</v>
      </c>
      <c r="N2833" s="179">
        <v>0</v>
      </c>
      <c r="O2833" s="178">
        <v>6632.3599999999988</v>
      </c>
      <c r="P2833" s="453"/>
      <c r="Q2833" s="61"/>
      <c r="R2833" s="298"/>
      <c r="S2833" s="669"/>
      <c r="X2833" s="444">
        <v>2833</v>
      </c>
    </row>
    <row r="2834" spans="1:32" ht="12">
      <c r="A2834" s="83" t="s">
        <v>22957</v>
      </c>
      <c r="B2834" s="64" t="s">
        <v>22958</v>
      </c>
      <c r="C2834" s="71" t="s">
        <v>103</v>
      </c>
      <c r="D2834" s="79">
        <v>1</v>
      </c>
      <c r="E2834" s="79">
        <v>10302.540000000001</v>
      </c>
      <c r="F2834" s="79">
        <v>10302.540000000001</v>
      </c>
      <c r="G2834" s="445"/>
      <c r="H2834" s="178">
        <v>10302.540000000001</v>
      </c>
      <c r="I2834" s="178">
        <v>12672.12</v>
      </c>
      <c r="J2834" s="70">
        <v>-2369.58</v>
      </c>
      <c r="K2834" s="320"/>
      <c r="L2834" s="178">
        <v>1846.02</v>
      </c>
      <c r="M2834" s="178">
        <v>8456.52</v>
      </c>
      <c r="N2834" s="179">
        <v>0</v>
      </c>
      <c r="O2834" s="178">
        <v>10302.540000000001</v>
      </c>
      <c r="P2834" s="453"/>
      <c r="Q2834" s="61"/>
      <c r="R2834" s="298"/>
      <c r="S2834" s="669"/>
      <c r="T2834" s="61"/>
      <c r="X2834" s="444">
        <v>2834</v>
      </c>
    </row>
    <row r="2835" spans="1:32" ht="12">
      <c r="A2835" s="83" t="s">
        <v>22959</v>
      </c>
      <c r="B2835" s="64" t="s">
        <v>22960</v>
      </c>
      <c r="C2835" s="71" t="s">
        <v>103</v>
      </c>
      <c r="D2835" s="79">
        <v>1</v>
      </c>
      <c r="E2835" s="79">
        <v>7245.0199999999986</v>
      </c>
      <c r="F2835" s="79">
        <v>7245.02</v>
      </c>
      <c r="G2835" s="445"/>
      <c r="H2835" s="178">
        <v>7245.02</v>
      </c>
      <c r="I2835" s="178">
        <v>8911.3799999999992</v>
      </c>
      <c r="J2835" s="70">
        <v>-1666.3600000000006</v>
      </c>
      <c r="K2835" s="320"/>
      <c r="L2835" s="178">
        <v>1648.79</v>
      </c>
      <c r="M2835" s="178">
        <v>5596.2299999999987</v>
      </c>
      <c r="N2835" s="179">
        <v>0</v>
      </c>
      <c r="O2835" s="178">
        <v>7245.0199999999986</v>
      </c>
      <c r="P2835" s="453"/>
      <c r="Q2835" s="61"/>
      <c r="R2835" s="298"/>
      <c r="S2835" s="669"/>
      <c r="X2835" s="444">
        <v>2835</v>
      </c>
    </row>
    <row r="2836" spans="1:32" ht="12">
      <c r="A2836" s="83" t="s">
        <v>22961</v>
      </c>
      <c r="B2836" s="64" t="s">
        <v>39982</v>
      </c>
      <c r="C2836" s="71" t="s">
        <v>509</v>
      </c>
      <c r="D2836" s="79">
        <v>1</v>
      </c>
      <c r="E2836" s="79">
        <v>662.25</v>
      </c>
      <c r="F2836" s="79">
        <v>662.25</v>
      </c>
      <c r="G2836" s="320"/>
      <c r="H2836" s="178">
        <v>662.26</v>
      </c>
      <c r="I2836" s="178">
        <v>814.58</v>
      </c>
      <c r="J2836" s="70">
        <v>-152.33000000000004</v>
      </c>
      <c r="K2836" s="320"/>
      <c r="L2836" s="178">
        <v>37.159999999999997</v>
      </c>
      <c r="M2836" s="178">
        <v>625.09</v>
      </c>
      <c r="N2836" s="179">
        <v>0</v>
      </c>
      <c r="O2836" s="178">
        <v>662.25</v>
      </c>
      <c r="P2836" s="453"/>
      <c r="Q2836" s="61"/>
      <c r="R2836" s="298"/>
      <c r="S2836" s="669"/>
      <c r="T2836" s="61"/>
      <c r="X2836" s="444">
        <v>2836</v>
      </c>
    </row>
    <row r="2837" spans="1:32" ht="12">
      <c r="A2837" s="83" t="s">
        <v>22962</v>
      </c>
      <c r="B2837" s="64" t="s">
        <v>39983</v>
      </c>
      <c r="C2837" s="71" t="s">
        <v>509</v>
      </c>
      <c r="D2837" s="79">
        <v>1</v>
      </c>
      <c r="E2837" s="79">
        <v>522.63</v>
      </c>
      <c r="F2837" s="79">
        <v>522.63</v>
      </c>
      <c r="G2837" s="320"/>
      <c r="H2837" s="178">
        <v>522.63</v>
      </c>
      <c r="I2837" s="178">
        <v>642.84</v>
      </c>
      <c r="J2837" s="70">
        <v>-120.21000000000004</v>
      </c>
      <c r="K2837" s="320"/>
      <c r="L2837" s="178">
        <v>12.79</v>
      </c>
      <c r="M2837" s="178">
        <v>509.84</v>
      </c>
      <c r="N2837" s="179">
        <v>0</v>
      </c>
      <c r="O2837" s="178">
        <v>522.63</v>
      </c>
      <c r="P2837" s="453"/>
      <c r="Q2837" s="61"/>
      <c r="R2837" s="298"/>
      <c r="S2837" s="669"/>
      <c r="T2837" s="61"/>
      <c r="X2837" s="444">
        <v>2837</v>
      </c>
    </row>
    <row r="2838" spans="1:32" ht="12">
      <c r="A2838" s="83" t="s">
        <v>22963</v>
      </c>
      <c r="B2838" s="64" t="s">
        <v>22964</v>
      </c>
      <c r="C2838" s="71" t="s">
        <v>509</v>
      </c>
      <c r="D2838" s="79">
        <v>1</v>
      </c>
      <c r="E2838" s="79">
        <v>1016.62</v>
      </c>
      <c r="F2838" s="79">
        <v>1016.62</v>
      </c>
      <c r="G2838" s="320"/>
      <c r="H2838" s="178">
        <v>1016.63</v>
      </c>
      <c r="I2838" s="178">
        <v>1250.45</v>
      </c>
      <c r="J2838" s="70">
        <v>-233.83000000000004</v>
      </c>
      <c r="K2838" s="320"/>
      <c r="L2838" s="178">
        <v>57.61</v>
      </c>
      <c r="M2838" s="178">
        <v>959.01</v>
      </c>
      <c r="N2838" s="179">
        <v>0</v>
      </c>
      <c r="O2838" s="178">
        <v>1016.62</v>
      </c>
      <c r="P2838" s="453"/>
      <c r="Q2838" s="61"/>
      <c r="R2838" s="298"/>
      <c r="S2838" s="669"/>
      <c r="T2838" s="61"/>
      <c r="X2838" s="444">
        <v>2838</v>
      </c>
    </row>
    <row r="2839" spans="1:32" ht="12">
      <c r="A2839" s="83" t="s">
        <v>22965</v>
      </c>
      <c r="B2839" s="64" t="s">
        <v>22966</v>
      </c>
      <c r="C2839" s="71" t="s">
        <v>103</v>
      </c>
      <c r="D2839" s="79">
        <v>1</v>
      </c>
      <c r="E2839" s="79">
        <v>7814.1299999999992</v>
      </c>
      <c r="F2839" s="79">
        <v>7814.13</v>
      </c>
      <c r="G2839" s="320"/>
      <c r="H2839" s="178">
        <v>7814.08</v>
      </c>
      <c r="I2839" s="178">
        <v>9611.32</v>
      </c>
      <c r="J2839" s="70">
        <v>-1797.1900000000005</v>
      </c>
      <c r="K2839" s="320"/>
      <c r="L2839" s="178">
        <v>192.3</v>
      </c>
      <c r="M2839" s="178">
        <v>7621.829999999999</v>
      </c>
      <c r="N2839" s="179">
        <v>0</v>
      </c>
      <c r="O2839" s="178">
        <v>7814.1299999999992</v>
      </c>
      <c r="P2839" s="453"/>
      <c r="Q2839" s="61"/>
      <c r="R2839" s="298"/>
      <c r="S2839" s="669"/>
      <c r="T2839" s="61"/>
      <c r="X2839" s="444">
        <v>2839</v>
      </c>
    </row>
    <row r="2840" spans="1:32" ht="12">
      <c r="A2840" s="83" t="s">
        <v>22967</v>
      </c>
      <c r="B2840" s="64" t="s">
        <v>22968</v>
      </c>
      <c r="C2840" s="71" t="s">
        <v>103</v>
      </c>
      <c r="D2840" s="79">
        <v>1</v>
      </c>
      <c r="E2840" s="79">
        <v>7763.0400000000018</v>
      </c>
      <c r="F2840" s="79">
        <v>7763.04</v>
      </c>
      <c r="G2840" s="320"/>
      <c r="H2840" s="178">
        <v>7763.02</v>
      </c>
      <c r="I2840" s="178">
        <v>9548.51</v>
      </c>
      <c r="J2840" s="70">
        <v>-1785.4699999999984</v>
      </c>
      <c r="K2840" s="320"/>
      <c r="L2840" s="178">
        <v>200.13</v>
      </c>
      <c r="M2840" s="178">
        <v>7562.9100000000017</v>
      </c>
      <c r="N2840" s="179">
        <v>0</v>
      </c>
      <c r="O2840" s="178">
        <v>7763.0400000000018</v>
      </c>
      <c r="P2840" s="453"/>
      <c r="Q2840" s="61"/>
      <c r="R2840" s="298"/>
      <c r="S2840" s="669"/>
      <c r="T2840" s="61"/>
      <c r="X2840" s="444">
        <v>2840</v>
      </c>
    </row>
    <row r="2841" spans="1:32" ht="12">
      <c r="A2841" s="83" t="s">
        <v>22969</v>
      </c>
      <c r="B2841" s="64" t="s">
        <v>22970</v>
      </c>
      <c r="C2841" s="71" t="s">
        <v>103</v>
      </c>
      <c r="D2841" s="79">
        <v>1</v>
      </c>
      <c r="E2841" s="79">
        <v>5197.7700000000004</v>
      </c>
      <c r="F2841" s="79">
        <v>5197.7700000000004</v>
      </c>
      <c r="G2841" s="320"/>
      <c r="H2841" s="178">
        <v>5197.74</v>
      </c>
      <c r="I2841" s="178">
        <v>6393.22</v>
      </c>
      <c r="J2841" s="70">
        <v>-1195.4499999999998</v>
      </c>
      <c r="K2841" s="320"/>
      <c r="L2841" s="178">
        <v>179.86</v>
      </c>
      <c r="M2841" s="178">
        <v>5017.9100000000008</v>
      </c>
      <c r="N2841" s="179">
        <v>0</v>
      </c>
      <c r="O2841" s="178">
        <v>5197.7700000000004</v>
      </c>
      <c r="P2841" s="453"/>
      <c r="Q2841" s="61"/>
      <c r="R2841" s="298"/>
      <c r="S2841" s="669"/>
      <c r="T2841" s="61"/>
      <c r="X2841" s="444">
        <v>2841</v>
      </c>
    </row>
    <row r="2842" spans="1:32" ht="12">
      <c r="A2842" s="83" t="s">
        <v>22971</v>
      </c>
      <c r="B2842" s="64" t="s">
        <v>22972</v>
      </c>
      <c r="C2842" s="71" t="s">
        <v>103</v>
      </c>
      <c r="D2842" s="79">
        <v>1</v>
      </c>
      <c r="E2842" s="79">
        <v>5085.5600000000004</v>
      </c>
      <c r="F2842" s="79">
        <v>5085.5600000000004</v>
      </c>
      <c r="G2842" s="320"/>
      <c r="H2842" s="178">
        <v>5085.5200000000004</v>
      </c>
      <c r="I2842" s="178">
        <v>6255.19</v>
      </c>
      <c r="J2842" s="70">
        <v>-1169.6299999999992</v>
      </c>
      <c r="K2842" s="320"/>
      <c r="L2842" s="178">
        <v>185.97000000000003</v>
      </c>
      <c r="M2842" s="178">
        <v>4899.59</v>
      </c>
      <c r="N2842" s="179">
        <v>0</v>
      </c>
      <c r="O2842" s="178">
        <v>5085.5600000000004</v>
      </c>
      <c r="P2842" s="453"/>
      <c r="Q2842" s="61"/>
      <c r="R2842" s="298"/>
      <c r="S2842" s="669"/>
      <c r="T2842" s="61"/>
      <c r="X2842" s="444">
        <v>2842</v>
      </c>
    </row>
    <row r="2843" spans="1:32" ht="12">
      <c r="A2843" s="83" t="s">
        <v>22973</v>
      </c>
      <c r="B2843" s="64" t="s">
        <v>22974</v>
      </c>
      <c r="C2843" s="71" t="s">
        <v>10216</v>
      </c>
      <c r="D2843" s="79">
        <v>1</v>
      </c>
      <c r="E2843" s="79">
        <v>577.26</v>
      </c>
      <c r="F2843" s="79">
        <v>577.26</v>
      </c>
      <c r="G2843" s="445"/>
      <c r="H2843" s="178">
        <v>577.25</v>
      </c>
      <c r="I2843" s="178">
        <v>710.02</v>
      </c>
      <c r="J2843" s="70">
        <v>-132.76</v>
      </c>
      <c r="K2843" s="320"/>
      <c r="L2843" s="178"/>
      <c r="M2843" s="178">
        <v>577.26</v>
      </c>
      <c r="N2843" s="179">
        <v>0</v>
      </c>
      <c r="O2843" s="178">
        <v>577.26</v>
      </c>
      <c r="P2843" s="453"/>
      <c r="Q2843" s="61"/>
      <c r="R2843" s="298"/>
      <c r="S2843" s="669"/>
      <c r="X2843" s="444">
        <v>2843</v>
      </c>
    </row>
    <row r="2844" spans="1:32" ht="12">
      <c r="A2844" s="83" t="s">
        <v>12168</v>
      </c>
      <c r="B2844" s="64" t="s">
        <v>39984</v>
      </c>
      <c r="C2844" s="71"/>
      <c r="D2844" s="79" t="s">
        <v>40899</v>
      </c>
      <c r="E2844" s="79" t="s">
        <v>40899</v>
      </c>
      <c r="F2844" s="79"/>
      <c r="G2844" s="445"/>
      <c r="H2844" s="178"/>
      <c r="I2844" s="178"/>
      <c r="J2844" s="70"/>
      <c r="K2844" s="320"/>
      <c r="L2844" s="178"/>
      <c r="M2844" s="178"/>
      <c r="N2844" s="179"/>
      <c r="O2844" s="178"/>
      <c r="P2844" s="453"/>
      <c r="Q2844" s="61"/>
      <c r="R2844" s="298"/>
      <c r="S2844" s="669"/>
      <c r="X2844" s="444">
        <v>2844</v>
      </c>
    </row>
    <row r="2845" spans="1:32" s="61" customFormat="1" ht="12">
      <c r="A2845" s="83" t="s">
        <v>22975</v>
      </c>
      <c r="B2845" s="64" t="s">
        <v>22976</v>
      </c>
      <c r="C2845" s="71" t="s">
        <v>509</v>
      </c>
      <c r="D2845" s="79">
        <v>1</v>
      </c>
      <c r="E2845" s="79">
        <v>177.79</v>
      </c>
      <c r="F2845" s="79">
        <v>177.79</v>
      </c>
      <c r="G2845" s="445"/>
      <c r="H2845" s="178">
        <v>177.8</v>
      </c>
      <c r="I2845" s="178">
        <v>218.69</v>
      </c>
      <c r="J2845" s="70">
        <v>-40.900000000000006</v>
      </c>
      <c r="K2845" s="320"/>
      <c r="L2845" s="178">
        <v>42.11</v>
      </c>
      <c r="M2845" s="178">
        <v>135.68</v>
      </c>
      <c r="N2845" s="179">
        <v>0</v>
      </c>
      <c r="O2845" s="178">
        <v>177.79000000000002</v>
      </c>
      <c r="P2845" s="453"/>
      <c r="R2845" s="298"/>
      <c r="S2845" s="669"/>
      <c r="T2845" s="444"/>
      <c r="U2845" s="444"/>
      <c r="V2845" s="444"/>
      <c r="W2845" s="444"/>
      <c r="X2845" s="444">
        <v>2845</v>
      </c>
      <c r="Y2845" s="444"/>
      <c r="Z2845" s="444"/>
      <c r="AA2845" s="444"/>
      <c r="AB2845" s="444"/>
      <c r="AC2845" s="444"/>
      <c r="AD2845" s="444"/>
      <c r="AE2845" s="444"/>
      <c r="AF2845" s="444"/>
    </row>
    <row r="2846" spans="1:32" s="61" customFormat="1" ht="12">
      <c r="A2846" s="83" t="s">
        <v>22977</v>
      </c>
      <c r="B2846" s="64" t="s">
        <v>22288</v>
      </c>
      <c r="C2846" s="71" t="s">
        <v>509</v>
      </c>
      <c r="D2846" s="79">
        <v>1</v>
      </c>
      <c r="E2846" s="79">
        <v>195.92</v>
      </c>
      <c r="F2846" s="79">
        <v>195.92</v>
      </c>
      <c r="G2846" s="445"/>
      <c r="H2846" s="178">
        <v>195.91</v>
      </c>
      <c r="I2846" s="178">
        <v>240.97</v>
      </c>
      <c r="J2846" s="70">
        <v>-45.050000000000011</v>
      </c>
      <c r="K2846" s="320"/>
      <c r="L2846" s="178">
        <v>57.85</v>
      </c>
      <c r="M2846" s="178">
        <v>138.07</v>
      </c>
      <c r="N2846" s="179">
        <v>0</v>
      </c>
      <c r="O2846" s="178">
        <v>195.92</v>
      </c>
      <c r="P2846" s="453"/>
      <c r="R2846" s="298"/>
      <c r="S2846" s="669"/>
      <c r="T2846" s="444"/>
      <c r="U2846" s="444"/>
      <c r="V2846" s="444"/>
      <c r="W2846" s="444"/>
      <c r="X2846" s="444">
        <v>2846</v>
      </c>
      <c r="Y2846" s="444"/>
      <c r="Z2846" s="444"/>
      <c r="AA2846" s="444"/>
      <c r="AB2846" s="444"/>
      <c r="AC2846" s="444"/>
      <c r="AD2846" s="444"/>
      <c r="AE2846" s="444"/>
      <c r="AF2846" s="444"/>
    </row>
    <row r="2847" spans="1:32" ht="12">
      <c r="A2847" s="83" t="s">
        <v>22978</v>
      </c>
      <c r="B2847" s="64" t="s">
        <v>22979</v>
      </c>
      <c r="C2847" s="71" t="s">
        <v>509</v>
      </c>
      <c r="D2847" s="79">
        <v>1</v>
      </c>
      <c r="E2847" s="79">
        <v>94.130000000000024</v>
      </c>
      <c r="F2847" s="79">
        <v>94.13</v>
      </c>
      <c r="G2847" s="445"/>
      <c r="H2847" s="178">
        <v>94.13</v>
      </c>
      <c r="I2847" s="178">
        <v>115.78</v>
      </c>
      <c r="J2847" s="70">
        <v>-21.649999999999977</v>
      </c>
      <c r="K2847" s="320"/>
      <c r="L2847" s="178">
        <v>54.900000000000006</v>
      </c>
      <c r="M2847" s="178">
        <v>39.230000000000018</v>
      </c>
      <c r="N2847" s="179">
        <v>0</v>
      </c>
      <c r="O2847" s="178">
        <v>94.130000000000024</v>
      </c>
      <c r="P2847" s="453"/>
      <c r="Q2847" s="61"/>
      <c r="R2847" s="298"/>
      <c r="S2847" s="669"/>
      <c r="X2847" s="444">
        <v>2847</v>
      </c>
    </row>
    <row r="2848" spans="1:32" ht="12">
      <c r="A2848" s="83" t="s">
        <v>12170</v>
      </c>
      <c r="B2848" s="64" t="s">
        <v>22980</v>
      </c>
      <c r="C2848" s="71" t="s">
        <v>509</v>
      </c>
      <c r="D2848" s="79">
        <v>1</v>
      </c>
      <c r="E2848" s="79">
        <v>153.38</v>
      </c>
      <c r="F2848" s="79">
        <v>153.38</v>
      </c>
      <c r="G2848" s="445"/>
      <c r="H2848" s="178">
        <v>153.38</v>
      </c>
      <c r="I2848" s="178">
        <v>188.66</v>
      </c>
      <c r="J2848" s="70">
        <v>-35.28</v>
      </c>
      <c r="K2848" s="320"/>
      <c r="L2848" s="178">
        <v>42.11</v>
      </c>
      <c r="M2848" s="178">
        <v>111.27</v>
      </c>
      <c r="N2848" s="179">
        <v>0</v>
      </c>
      <c r="O2848" s="178">
        <v>153.38</v>
      </c>
      <c r="P2848" s="453"/>
      <c r="Q2848" s="61"/>
      <c r="R2848" s="298"/>
      <c r="S2848" s="669"/>
      <c r="X2848" s="444">
        <v>2848</v>
      </c>
    </row>
    <row r="2849" spans="1:32" ht="12">
      <c r="A2849" s="83" t="s">
        <v>22981</v>
      </c>
      <c r="B2849" s="64" t="s">
        <v>22982</v>
      </c>
      <c r="C2849" s="71" t="s">
        <v>509</v>
      </c>
      <c r="D2849" s="79">
        <v>1</v>
      </c>
      <c r="E2849" s="79">
        <v>154.12</v>
      </c>
      <c r="F2849" s="79">
        <v>154.12</v>
      </c>
      <c r="G2849" s="445"/>
      <c r="H2849" s="178">
        <v>154.13</v>
      </c>
      <c r="I2849" s="178">
        <v>189.58</v>
      </c>
      <c r="J2849" s="70">
        <v>-35.460000000000008</v>
      </c>
      <c r="K2849" s="320"/>
      <c r="L2849" s="178">
        <v>42.11</v>
      </c>
      <c r="M2849" s="178">
        <v>112.01</v>
      </c>
      <c r="N2849" s="179">
        <v>0</v>
      </c>
      <c r="O2849" s="178">
        <v>154.12</v>
      </c>
      <c r="P2849" s="453"/>
      <c r="Q2849" s="61"/>
      <c r="R2849" s="298"/>
      <c r="S2849" s="669"/>
      <c r="U2849" s="61"/>
      <c r="V2849" s="61"/>
      <c r="W2849" s="61"/>
      <c r="X2849" s="444">
        <v>2849</v>
      </c>
      <c r="Y2849" s="61"/>
      <c r="Z2849" s="61"/>
      <c r="AA2849" s="61"/>
      <c r="AB2849" s="61"/>
      <c r="AC2849" s="61"/>
      <c r="AD2849" s="61"/>
      <c r="AE2849" s="61"/>
      <c r="AF2849" s="61"/>
    </row>
    <row r="2850" spans="1:32" ht="12">
      <c r="A2850" s="83" t="s">
        <v>22983</v>
      </c>
      <c r="B2850" s="64" t="s">
        <v>22984</v>
      </c>
      <c r="C2850" s="71" t="s">
        <v>509</v>
      </c>
      <c r="D2850" s="79">
        <v>1</v>
      </c>
      <c r="E2850" s="79">
        <v>75.069999999999993</v>
      </c>
      <c r="F2850" s="79">
        <v>75.069999999999993</v>
      </c>
      <c r="G2850" s="445"/>
      <c r="H2850" s="178">
        <v>75.069999999999993</v>
      </c>
      <c r="I2850" s="178">
        <v>92.33</v>
      </c>
      <c r="J2850" s="70">
        <v>-17.260000000000005</v>
      </c>
      <c r="K2850" s="320"/>
      <c r="L2850" s="178">
        <v>6.7</v>
      </c>
      <c r="M2850" s="178">
        <v>68.36999999999999</v>
      </c>
      <c r="N2850" s="179">
        <v>0</v>
      </c>
      <c r="O2850" s="178">
        <v>75.069999999999993</v>
      </c>
      <c r="P2850" s="453"/>
      <c r="Q2850" s="61"/>
      <c r="R2850" s="298"/>
      <c r="S2850" s="669"/>
      <c r="X2850" s="444">
        <v>2850</v>
      </c>
    </row>
    <row r="2851" spans="1:32" ht="12">
      <c r="A2851" s="83" t="s">
        <v>22985</v>
      </c>
      <c r="B2851" s="64" t="s">
        <v>22312</v>
      </c>
      <c r="C2851" s="71" t="s">
        <v>509</v>
      </c>
      <c r="D2851" s="79">
        <v>1</v>
      </c>
      <c r="E2851" s="79">
        <v>449.96000000000004</v>
      </c>
      <c r="F2851" s="79">
        <v>449.96</v>
      </c>
      <c r="G2851" s="445"/>
      <c r="H2851" s="178">
        <v>449.95</v>
      </c>
      <c r="I2851" s="178">
        <v>553.44000000000005</v>
      </c>
      <c r="J2851" s="70">
        <v>-103.48000000000002</v>
      </c>
      <c r="K2851" s="320"/>
      <c r="L2851" s="178">
        <v>26.950000000000003</v>
      </c>
      <c r="M2851" s="178">
        <v>423.01000000000005</v>
      </c>
      <c r="N2851" s="179">
        <v>0</v>
      </c>
      <c r="O2851" s="178">
        <v>449.96000000000004</v>
      </c>
      <c r="P2851" s="453"/>
      <c r="Q2851" s="61"/>
      <c r="R2851" s="298"/>
      <c r="S2851" s="669"/>
      <c r="X2851" s="444">
        <v>2851</v>
      </c>
    </row>
    <row r="2852" spans="1:32" ht="12">
      <c r="A2852" s="83" t="s">
        <v>12171</v>
      </c>
      <c r="B2852" s="64" t="s">
        <v>22986</v>
      </c>
      <c r="C2852" s="71" t="s">
        <v>509</v>
      </c>
      <c r="D2852" s="79">
        <v>1</v>
      </c>
      <c r="E2852" s="79">
        <v>449.96000000000004</v>
      </c>
      <c r="F2852" s="79">
        <v>449.96</v>
      </c>
      <c r="G2852" s="445"/>
      <c r="H2852" s="178">
        <v>449.95</v>
      </c>
      <c r="I2852" s="178">
        <v>553.44000000000005</v>
      </c>
      <c r="J2852" s="70">
        <v>-103.48000000000002</v>
      </c>
      <c r="K2852" s="320"/>
      <c r="L2852" s="178">
        <v>26.950000000000003</v>
      </c>
      <c r="M2852" s="178">
        <v>423.01000000000005</v>
      </c>
      <c r="N2852" s="179">
        <v>0</v>
      </c>
      <c r="O2852" s="178">
        <v>449.96000000000004</v>
      </c>
      <c r="P2852" s="453"/>
      <c r="Q2852" s="61"/>
      <c r="R2852" s="298"/>
      <c r="S2852" s="669"/>
      <c r="X2852" s="444">
        <v>2852</v>
      </c>
    </row>
    <row r="2853" spans="1:32" ht="12">
      <c r="A2853" s="83" t="s">
        <v>22987</v>
      </c>
      <c r="B2853" s="64" t="s">
        <v>22988</v>
      </c>
      <c r="C2853" s="71" t="s">
        <v>509</v>
      </c>
      <c r="D2853" s="79">
        <v>1</v>
      </c>
      <c r="E2853" s="79">
        <v>15.190000000000001</v>
      </c>
      <c r="F2853" s="79">
        <v>15.19</v>
      </c>
      <c r="G2853" s="445"/>
      <c r="H2853" s="178">
        <v>15.2</v>
      </c>
      <c r="I2853" s="178">
        <v>18.690000000000001</v>
      </c>
      <c r="J2853" s="70">
        <v>-3.5</v>
      </c>
      <c r="K2853" s="320"/>
      <c r="L2853" s="178">
        <v>4.46</v>
      </c>
      <c r="M2853" s="178">
        <v>10.73</v>
      </c>
      <c r="N2853" s="179">
        <v>0</v>
      </c>
      <c r="O2853" s="178">
        <v>15.190000000000001</v>
      </c>
      <c r="P2853" s="453"/>
      <c r="Q2853" s="61"/>
      <c r="R2853" s="298"/>
      <c r="S2853" s="669"/>
      <c r="X2853" s="444">
        <v>2853</v>
      </c>
    </row>
    <row r="2854" spans="1:32" ht="12">
      <c r="A2854" s="83" t="s">
        <v>22989</v>
      </c>
      <c r="B2854" s="64" t="s">
        <v>22990</v>
      </c>
      <c r="C2854" s="71" t="s">
        <v>509</v>
      </c>
      <c r="D2854" s="79">
        <v>1</v>
      </c>
      <c r="E2854" s="79">
        <v>266.71000000000004</v>
      </c>
      <c r="F2854" s="79">
        <v>266.70999999999998</v>
      </c>
      <c r="G2854" s="445"/>
      <c r="H2854" s="178">
        <v>266.7</v>
      </c>
      <c r="I2854" s="178">
        <v>328.04</v>
      </c>
      <c r="J2854" s="70">
        <v>-61.329999999999984</v>
      </c>
      <c r="K2854" s="320"/>
      <c r="L2854" s="178">
        <v>103.30000000000001</v>
      </c>
      <c r="M2854" s="178">
        <v>163.41000000000003</v>
      </c>
      <c r="N2854" s="179">
        <v>0</v>
      </c>
      <c r="O2854" s="178">
        <v>266.71000000000004</v>
      </c>
      <c r="P2854" s="453"/>
      <c r="Q2854" s="61"/>
      <c r="R2854" s="298"/>
      <c r="S2854" s="669"/>
      <c r="X2854" s="444">
        <v>2854</v>
      </c>
    </row>
    <row r="2855" spans="1:32" s="61" customFormat="1" ht="12">
      <c r="A2855" s="83" t="s">
        <v>22991</v>
      </c>
      <c r="B2855" s="64" t="s">
        <v>22992</v>
      </c>
      <c r="C2855" s="71" t="s">
        <v>165</v>
      </c>
      <c r="D2855" s="79">
        <v>1</v>
      </c>
      <c r="E2855" s="79">
        <v>101.57</v>
      </c>
      <c r="F2855" s="79">
        <v>101.57</v>
      </c>
      <c r="G2855" s="445"/>
      <c r="H2855" s="178">
        <v>101.59</v>
      </c>
      <c r="I2855" s="178">
        <v>124.95</v>
      </c>
      <c r="J2855" s="70">
        <v>-23.38000000000001</v>
      </c>
      <c r="K2855" s="320"/>
      <c r="L2855" s="178">
        <v>62.089999999999996</v>
      </c>
      <c r="M2855" s="178">
        <v>39.479999999999997</v>
      </c>
      <c r="N2855" s="179">
        <v>0</v>
      </c>
      <c r="O2855" s="178">
        <v>101.57</v>
      </c>
      <c r="P2855" s="453"/>
      <c r="R2855" s="298"/>
      <c r="S2855" s="669"/>
      <c r="T2855" s="444"/>
      <c r="U2855" s="444"/>
      <c r="V2855" s="444"/>
      <c r="W2855" s="444"/>
      <c r="X2855" s="444">
        <v>2855</v>
      </c>
      <c r="Y2855" s="444"/>
      <c r="Z2855" s="444"/>
      <c r="AA2855" s="444"/>
      <c r="AB2855" s="444"/>
      <c r="AC2855" s="444"/>
      <c r="AD2855" s="444"/>
      <c r="AE2855" s="444"/>
      <c r="AF2855" s="444"/>
    </row>
    <row r="2856" spans="1:32" s="61" customFormat="1" ht="12">
      <c r="A2856" s="83" t="s">
        <v>22993</v>
      </c>
      <c r="B2856" s="64" t="s">
        <v>22994</v>
      </c>
      <c r="C2856" s="71" t="s">
        <v>165</v>
      </c>
      <c r="D2856" s="79">
        <v>1</v>
      </c>
      <c r="E2856" s="79">
        <v>96.490000000000009</v>
      </c>
      <c r="F2856" s="79">
        <v>96.49</v>
      </c>
      <c r="G2856" s="445"/>
      <c r="H2856" s="178">
        <v>96.48</v>
      </c>
      <c r="I2856" s="178">
        <v>118.67</v>
      </c>
      <c r="J2856" s="70">
        <v>-22.179999999999993</v>
      </c>
      <c r="K2856" s="320"/>
      <c r="L2856" s="178">
        <v>56.39</v>
      </c>
      <c r="M2856" s="178">
        <v>40.100000000000009</v>
      </c>
      <c r="N2856" s="179">
        <v>0</v>
      </c>
      <c r="O2856" s="178">
        <v>96.490000000000009</v>
      </c>
      <c r="P2856" s="453"/>
      <c r="R2856" s="298"/>
      <c r="S2856" s="669"/>
      <c r="T2856" s="444"/>
      <c r="U2856" s="444"/>
      <c r="V2856" s="444"/>
      <c r="W2856" s="444"/>
      <c r="X2856" s="444">
        <v>2856</v>
      </c>
      <c r="Y2856" s="444"/>
      <c r="Z2856" s="444"/>
      <c r="AA2856" s="444"/>
      <c r="AB2856" s="444"/>
      <c r="AC2856" s="444"/>
      <c r="AD2856" s="444"/>
      <c r="AE2856" s="444"/>
      <c r="AF2856" s="444"/>
    </row>
    <row r="2857" spans="1:32" ht="12">
      <c r="A2857" s="83" t="s">
        <v>22995</v>
      </c>
      <c r="B2857" s="64" t="s">
        <v>22996</v>
      </c>
      <c r="C2857" s="71" t="s">
        <v>165</v>
      </c>
      <c r="D2857" s="79">
        <v>1</v>
      </c>
      <c r="E2857" s="79">
        <v>54.81</v>
      </c>
      <c r="F2857" s="79">
        <v>54.81</v>
      </c>
      <c r="G2857" s="445"/>
      <c r="H2857" s="178">
        <v>54.81</v>
      </c>
      <c r="I2857" s="178">
        <v>67.42</v>
      </c>
      <c r="J2857" s="70">
        <v>-12.61</v>
      </c>
      <c r="K2857" s="320"/>
      <c r="L2857" s="178">
        <v>7.08</v>
      </c>
      <c r="M2857" s="178">
        <v>47.730000000000004</v>
      </c>
      <c r="N2857" s="179">
        <v>0</v>
      </c>
      <c r="O2857" s="178">
        <v>54.81</v>
      </c>
      <c r="P2857" s="453"/>
      <c r="Q2857" s="61"/>
      <c r="R2857" s="298"/>
      <c r="S2857" s="669"/>
      <c r="X2857" s="444">
        <v>2857</v>
      </c>
    </row>
    <row r="2858" spans="1:32" s="69" customFormat="1" ht="12">
      <c r="A2858" s="83" t="s">
        <v>22997</v>
      </c>
      <c r="B2858" s="64" t="s">
        <v>22998</v>
      </c>
      <c r="C2858" s="71" t="s">
        <v>165</v>
      </c>
      <c r="D2858" s="79">
        <v>1</v>
      </c>
      <c r="E2858" s="79">
        <v>136.24</v>
      </c>
      <c r="F2858" s="79">
        <v>136.24</v>
      </c>
      <c r="G2858" s="445"/>
      <c r="H2858" s="178">
        <v>136.24</v>
      </c>
      <c r="I2858" s="178">
        <v>167.57</v>
      </c>
      <c r="J2858" s="70">
        <v>-31.329999999999984</v>
      </c>
      <c r="K2858" s="320"/>
      <c r="L2858" s="178">
        <v>54.150000000000006</v>
      </c>
      <c r="M2858" s="178">
        <v>82.09</v>
      </c>
      <c r="N2858" s="179">
        <v>0</v>
      </c>
      <c r="O2858" s="178">
        <v>136.24</v>
      </c>
      <c r="P2858" s="453"/>
      <c r="Q2858" s="61"/>
      <c r="R2858" s="298"/>
      <c r="S2858" s="669"/>
      <c r="T2858" s="444"/>
      <c r="U2858" s="444"/>
      <c r="V2858" s="444"/>
      <c r="W2858" s="444"/>
      <c r="X2858" s="444">
        <v>2858</v>
      </c>
      <c r="Y2858" s="444"/>
      <c r="Z2858" s="444"/>
      <c r="AA2858" s="444"/>
      <c r="AB2858" s="444"/>
      <c r="AC2858" s="444"/>
      <c r="AD2858" s="444"/>
      <c r="AE2858" s="444"/>
      <c r="AF2858" s="444"/>
    </row>
    <row r="2859" spans="1:32" s="69" customFormat="1" ht="12">
      <c r="A2859" s="83" t="s">
        <v>22999</v>
      </c>
      <c r="B2859" s="64" t="s">
        <v>23000</v>
      </c>
      <c r="C2859" s="71" t="s">
        <v>165</v>
      </c>
      <c r="D2859" s="79">
        <v>1</v>
      </c>
      <c r="E2859" s="79">
        <v>147.57999999999998</v>
      </c>
      <c r="F2859" s="79">
        <v>147.58000000000001</v>
      </c>
      <c r="G2859" s="445"/>
      <c r="H2859" s="178">
        <v>147.58000000000001</v>
      </c>
      <c r="I2859" s="178">
        <v>181.52</v>
      </c>
      <c r="J2859" s="70">
        <v>-33.940000000000026</v>
      </c>
      <c r="K2859" s="320"/>
      <c r="L2859" s="178">
        <v>68.509999999999991</v>
      </c>
      <c r="M2859" s="178">
        <v>79.069999999999993</v>
      </c>
      <c r="N2859" s="179">
        <v>0</v>
      </c>
      <c r="O2859" s="178">
        <v>147.57999999999998</v>
      </c>
      <c r="P2859" s="453"/>
      <c r="Q2859" s="61"/>
      <c r="R2859" s="298"/>
      <c r="S2859" s="669"/>
      <c r="T2859" s="444"/>
      <c r="U2859" s="444"/>
      <c r="V2859" s="444"/>
      <c r="W2859" s="444"/>
      <c r="X2859" s="444">
        <v>2859</v>
      </c>
      <c r="Y2859" s="444"/>
      <c r="Z2859" s="444"/>
      <c r="AA2859" s="444"/>
      <c r="AB2859" s="444"/>
      <c r="AC2859" s="444"/>
      <c r="AD2859" s="444"/>
      <c r="AE2859" s="444"/>
      <c r="AF2859" s="444"/>
    </row>
    <row r="2860" spans="1:32" s="69" customFormat="1" ht="12">
      <c r="A2860" s="83" t="s">
        <v>23001</v>
      </c>
      <c r="B2860" s="64" t="s">
        <v>23002</v>
      </c>
      <c r="C2860" s="71" t="s">
        <v>165</v>
      </c>
      <c r="D2860" s="79">
        <v>1</v>
      </c>
      <c r="E2860" s="79">
        <v>89.85</v>
      </c>
      <c r="F2860" s="79">
        <v>89.85</v>
      </c>
      <c r="G2860" s="445"/>
      <c r="H2860" s="178">
        <v>89.86</v>
      </c>
      <c r="I2860" s="178">
        <v>110.53</v>
      </c>
      <c r="J2860" s="70">
        <v>-20.680000000000007</v>
      </c>
      <c r="K2860" s="320"/>
      <c r="L2860" s="178">
        <v>54.46</v>
      </c>
      <c r="M2860" s="178">
        <v>35.389999999999993</v>
      </c>
      <c r="N2860" s="179">
        <v>0</v>
      </c>
      <c r="O2860" s="178">
        <v>89.85</v>
      </c>
      <c r="P2860" s="453"/>
      <c r="Q2860" s="61"/>
      <c r="R2860" s="298"/>
      <c r="S2860" s="669"/>
      <c r="T2860" s="444"/>
      <c r="U2860" s="444"/>
      <c r="V2860" s="444"/>
      <c r="W2860" s="444"/>
      <c r="X2860" s="444">
        <v>2860</v>
      </c>
      <c r="Y2860" s="444"/>
      <c r="Z2860" s="444"/>
      <c r="AA2860" s="444"/>
      <c r="AB2860" s="444"/>
      <c r="AC2860" s="444"/>
      <c r="AD2860" s="444"/>
      <c r="AE2860" s="444"/>
      <c r="AF2860" s="444"/>
    </row>
    <row r="2861" spans="1:32" s="69" customFormat="1" ht="12">
      <c r="A2861" s="83" t="s">
        <v>23003</v>
      </c>
      <c r="B2861" s="64" t="s">
        <v>23004</v>
      </c>
      <c r="C2861" s="71" t="s">
        <v>509</v>
      </c>
      <c r="D2861" s="79">
        <v>1</v>
      </c>
      <c r="E2861" s="79">
        <v>121.94</v>
      </c>
      <c r="F2861" s="79">
        <v>121.94</v>
      </c>
      <c r="G2861" s="445"/>
      <c r="H2861" s="178">
        <v>121.95</v>
      </c>
      <c r="I2861" s="178">
        <v>150</v>
      </c>
      <c r="J2861" s="70">
        <v>-28.060000000000002</v>
      </c>
      <c r="K2861" s="320"/>
      <c r="L2861" s="178">
        <v>48.35</v>
      </c>
      <c r="M2861" s="178">
        <v>73.59</v>
      </c>
      <c r="N2861" s="179">
        <v>0</v>
      </c>
      <c r="O2861" s="178">
        <v>121.94</v>
      </c>
      <c r="P2861" s="453"/>
      <c r="Q2861" s="61"/>
      <c r="R2861" s="298"/>
      <c r="S2861" s="669"/>
      <c r="T2861" s="444"/>
      <c r="U2861" s="444"/>
      <c r="V2861" s="444"/>
      <c r="W2861" s="444"/>
      <c r="X2861" s="444">
        <v>2861</v>
      </c>
      <c r="Y2861" s="444"/>
      <c r="Z2861" s="444"/>
      <c r="AA2861" s="444"/>
      <c r="AB2861" s="444"/>
      <c r="AC2861" s="444"/>
      <c r="AD2861" s="444"/>
      <c r="AE2861" s="444"/>
      <c r="AF2861" s="444"/>
    </row>
    <row r="2862" spans="1:32" s="69" customFormat="1" ht="12">
      <c r="A2862" s="83" t="s">
        <v>23005</v>
      </c>
      <c r="B2862" s="64" t="s">
        <v>23006</v>
      </c>
      <c r="C2862" s="71" t="s">
        <v>509</v>
      </c>
      <c r="D2862" s="79">
        <v>1</v>
      </c>
      <c r="E2862" s="79">
        <v>168.44</v>
      </c>
      <c r="F2862" s="79">
        <v>168.44</v>
      </c>
      <c r="G2862" s="445"/>
      <c r="H2862" s="178">
        <v>168.45</v>
      </c>
      <c r="I2862" s="178">
        <v>207.19</v>
      </c>
      <c r="J2862" s="70">
        <v>-38.75</v>
      </c>
      <c r="K2862" s="320"/>
      <c r="L2862" s="178">
        <v>42.11</v>
      </c>
      <c r="M2862" s="178">
        <v>126.33</v>
      </c>
      <c r="N2862" s="179">
        <v>0</v>
      </c>
      <c r="O2862" s="178">
        <v>168.44</v>
      </c>
      <c r="P2862" s="453"/>
      <c r="Q2862" s="61"/>
      <c r="R2862" s="298"/>
      <c r="S2862" s="669"/>
      <c r="T2862" s="444"/>
      <c r="U2862" s="444"/>
      <c r="V2862" s="444"/>
      <c r="W2862" s="444"/>
      <c r="X2862" s="444">
        <v>2862</v>
      </c>
      <c r="Y2862" s="444"/>
      <c r="Z2862" s="444"/>
      <c r="AA2862" s="444"/>
      <c r="AB2862" s="444"/>
      <c r="AC2862" s="444"/>
      <c r="AD2862" s="444"/>
      <c r="AE2862" s="444"/>
      <c r="AF2862" s="444"/>
    </row>
    <row r="2863" spans="1:32" s="69" customFormat="1" ht="24">
      <c r="A2863" s="65" t="s">
        <v>23007</v>
      </c>
      <c r="B2863" s="456" t="s">
        <v>39985</v>
      </c>
      <c r="C2863" s="108" t="s">
        <v>509</v>
      </c>
      <c r="D2863" s="79">
        <v>1</v>
      </c>
      <c r="E2863" s="79">
        <v>164.01</v>
      </c>
      <c r="F2863" s="79">
        <v>164.01</v>
      </c>
      <c r="G2863" s="444"/>
      <c r="H2863" s="70">
        <v>164.02</v>
      </c>
      <c r="I2863" s="178">
        <v>201.75</v>
      </c>
      <c r="J2863" s="70">
        <v>-37.740000000000009</v>
      </c>
      <c r="K2863" s="320"/>
      <c r="L2863" s="178">
        <v>46.599999999999994</v>
      </c>
      <c r="M2863" s="178">
        <v>117.41</v>
      </c>
      <c r="N2863" s="179">
        <v>0</v>
      </c>
      <c r="O2863" s="178">
        <v>164.01</v>
      </c>
      <c r="P2863" s="453"/>
      <c r="Q2863" s="61"/>
      <c r="R2863" s="298"/>
      <c r="S2863" s="669"/>
      <c r="T2863" s="444"/>
      <c r="U2863" s="444"/>
      <c r="V2863" s="444"/>
      <c r="W2863" s="444"/>
      <c r="X2863" s="444">
        <v>2863</v>
      </c>
      <c r="Y2863" s="444"/>
      <c r="Z2863" s="444"/>
      <c r="AA2863" s="444"/>
      <c r="AB2863" s="444"/>
      <c r="AC2863" s="444"/>
      <c r="AD2863" s="444"/>
      <c r="AE2863" s="444"/>
      <c r="AF2863" s="444"/>
    </row>
    <row r="2864" spans="1:32" s="73" customFormat="1" ht="24">
      <c r="A2864" s="65" t="s">
        <v>23008</v>
      </c>
      <c r="B2864" s="456" t="s">
        <v>39986</v>
      </c>
      <c r="C2864" s="108" t="s">
        <v>509</v>
      </c>
      <c r="D2864" s="79">
        <v>1</v>
      </c>
      <c r="E2864" s="79">
        <v>185.56</v>
      </c>
      <c r="F2864" s="79">
        <v>185.56</v>
      </c>
      <c r="G2864" s="444"/>
      <c r="H2864" s="70">
        <v>185.57</v>
      </c>
      <c r="I2864" s="178">
        <v>228.25</v>
      </c>
      <c r="J2864" s="70">
        <v>-42.69</v>
      </c>
      <c r="K2864" s="320"/>
      <c r="L2864" s="178">
        <v>46.599999999999994</v>
      </c>
      <c r="M2864" s="178">
        <v>138.96</v>
      </c>
      <c r="N2864" s="179">
        <v>0</v>
      </c>
      <c r="O2864" s="178">
        <v>185.56</v>
      </c>
      <c r="P2864" s="453"/>
      <c r="Q2864" s="61"/>
      <c r="R2864" s="298"/>
      <c r="S2864" s="669"/>
      <c r="T2864" s="444"/>
      <c r="U2864" s="444"/>
      <c r="V2864" s="444"/>
      <c r="W2864" s="444"/>
      <c r="X2864" s="444">
        <v>2864</v>
      </c>
      <c r="Y2864" s="444"/>
      <c r="Z2864" s="444"/>
      <c r="AA2864" s="444"/>
      <c r="AB2864" s="444"/>
      <c r="AC2864" s="444"/>
      <c r="AD2864" s="444"/>
      <c r="AE2864" s="444"/>
      <c r="AF2864" s="444"/>
    </row>
    <row r="2865" spans="1:32" s="73" customFormat="1" ht="12">
      <c r="A2865" s="83" t="s">
        <v>23009</v>
      </c>
      <c r="B2865" s="64" t="s">
        <v>23010</v>
      </c>
      <c r="C2865" s="71" t="s">
        <v>509</v>
      </c>
      <c r="D2865" s="79">
        <v>1</v>
      </c>
      <c r="E2865" s="79">
        <v>468.03999999999996</v>
      </c>
      <c r="F2865" s="79">
        <v>468.04</v>
      </c>
      <c r="G2865" s="445"/>
      <c r="H2865" s="178">
        <v>468.02</v>
      </c>
      <c r="I2865" s="178">
        <v>575.66</v>
      </c>
      <c r="J2865" s="70">
        <v>-107.62</v>
      </c>
      <c r="K2865" s="320"/>
      <c r="L2865" s="178">
        <v>111</v>
      </c>
      <c r="M2865" s="178">
        <v>357.03999999999996</v>
      </c>
      <c r="N2865" s="179">
        <v>0</v>
      </c>
      <c r="O2865" s="178">
        <v>468.03999999999996</v>
      </c>
      <c r="P2865" s="453"/>
      <c r="Q2865" s="61"/>
      <c r="R2865" s="298"/>
      <c r="S2865" s="669"/>
      <c r="T2865" s="444"/>
      <c r="U2865" s="444"/>
      <c r="V2865" s="444"/>
      <c r="W2865" s="444"/>
      <c r="X2865" s="444">
        <v>2865</v>
      </c>
      <c r="Y2865" s="444"/>
      <c r="Z2865" s="444"/>
      <c r="AA2865" s="444"/>
      <c r="AB2865" s="444"/>
      <c r="AC2865" s="444"/>
      <c r="AD2865" s="444"/>
      <c r="AE2865" s="444"/>
      <c r="AF2865" s="444"/>
    </row>
    <row r="2866" spans="1:32" s="69" customFormat="1" ht="12">
      <c r="A2866" s="83" t="s">
        <v>23011</v>
      </c>
      <c r="B2866" s="64" t="s">
        <v>23012</v>
      </c>
      <c r="C2866" s="71" t="s">
        <v>509</v>
      </c>
      <c r="D2866" s="79">
        <v>1</v>
      </c>
      <c r="E2866" s="79">
        <v>359.40999999999997</v>
      </c>
      <c r="F2866" s="79">
        <v>359.41</v>
      </c>
      <c r="G2866" s="445"/>
      <c r="H2866" s="178">
        <v>359.38</v>
      </c>
      <c r="I2866" s="178">
        <v>442.04</v>
      </c>
      <c r="J2866" s="70">
        <v>-82.630000000000052</v>
      </c>
      <c r="K2866" s="320"/>
      <c r="L2866" s="178">
        <v>111</v>
      </c>
      <c r="M2866" s="178">
        <v>248.40999999999997</v>
      </c>
      <c r="N2866" s="179">
        <v>0</v>
      </c>
      <c r="O2866" s="178">
        <v>359.40999999999997</v>
      </c>
      <c r="P2866" s="453"/>
      <c r="Q2866" s="61"/>
      <c r="R2866" s="298"/>
      <c r="S2866" s="669"/>
      <c r="T2866" s="444"/>
      <c r="U2866" s="444"/>
      <c r="V2866" s="444"/>
      <c r="W2866" s="444"/>
      <c r="X2866" s="444">
        <v>2866</v>
      </c>
      <c r="Y2866" s="444"/>
      <c r="Z2866" s="444"/>
      <c r="AA2866" s="444"/>
      <c r="AB2866" s="444"/>
      <c r="AC2866" s="444"/>
      <c r="AD2866" s="444"/>
      <c r="AE2866" s="444"/>
      <c r="AF2866" s="444"/>
    </row>
    <row r="2867" spans="1:32" s="69" customFormat="1" ht="12">
      <c r="A2867" s="83" t="s">
        <v>23013</v>
      </c>
      <c r="B2867" s="64" t="s">
        <v>23014</v>
      </c>
      <c r="C2867" s="71" t="s">
        <v>509</v>
      </c>
      <c r="D2867" s="79">
        <v>1</v>
      </c>
      <c r="E2867" s="79">
        <v>125.25</v>
      </c>
      <c r="F2867" s="79">
        <v>125.25</v>
      </c>
      <c r="G2867" s="445"/>
      <c r="H2867" s="178">
        <v>125.24</v>
      </c>
      <c r="I2867" s="178">
        <v>154.04</v>
      </c>
      <c r="J2867" s="70">
        <v>-28.789999999999992</v>
      </c>
      <c r="K2867" s="320"/>
      <c r="L2867" s="178">
        <v>38.1</v>
      </c>
      <c r="M2867" s="178">
        <v>87.15</v>
      </c>
      <c r="N2867" s="179">
        <v>0</v>
      </c>
      <c r="O2867" s="178">
        <v>125.25</v>
      </c>
      <c r="P2867" s="453"/>
      <c r="Q2867" s="61"/>
      <c r="R2867" s="298"/>
      <c r="S2867" s="669"/>
      <c r="T2867" s="444"/>
      <c r="U2867" s="444"/>
      <c r="V2867" s="444"/>
      <c r="W2867" s="444"/>
      <c r="X2867" s="444">
        <v>2867</v>
      </c>
      <c r="Y2867" s="444"/>
      <c r="Z2867" s="444"/>
      <c r="AA2867" s="444"/>
      <c r="AB2867" s="444"/>
      <c r="AC2867" s="444"/>
      <c r="AD2867" s="444"/>
      <c r="AE2867" s="444"/>
      <c r="AF2867" s="444"/>
    </row>
    <row r="2868" spans="1:32" s="69" customFormat="1" ht="12">
      <c r="A2868" s="83" t="s">
        <v>23015</v>
      </c>
      <c r="B2868" s="64" t="s">
        <v>22306</v>
      </c>
      <c r="C2868" s="71" t="s">
        <v>509</v>
      </c>
      <c r="D2868" s="79">
        <v>1</v>
      </c>
      <c r="E2868" s="79">
        <v>152.11000000000001</v>
      </c>
      <c r="F2868" s="79">
        <v>152.11000000000001</v>
      </c>
      <c r="G2868" s="445"/>
      <c r="H2868" s="178">
        <v>152.1</v>
      </c>
      <c r="I2868" s="178">
        <v>187.08</v>
      </c>
      <c r="J2868" s="70">
        <v>-34.97</v>
      </c>
      <c r="K2868" s="320"/>
      <c r="L2868" s="178">
        <v>26.950000000000003</v>
      </c>
      <c r="M2868" s="178">
        <v>125.16000000000001</v>
      </c>
      <c r="N2868" s="179">
        <v>0</v>
      </c>
      <c r="O2868" s="178">
        <v>152.11000000000001</v>
      </c>
      <c r="P2868" s="453"/>
      <c r="Q2868" s="61"/>
      <c r="R2868" s="298"/>
      <c r="S2868" s="669"/>
      <c r="T2868" s="444"/>
      <c r="U2868" s="444"/>
      <c r="V2868" s="444"/>
      <c r="W2868" s="444"/>
      <c r="X2868" s="444">
        <v>2868</v>
      </c>
      <c r="Y2868" s="444"/>
      <c r="Z2868" s="444"/>
      <c r="AA2868" s="444"/>
      <c r="AB2868" s="444"/>
      <c r="AC2868" s="444"/>
      <c r="AD2868" s="444"/>
      <c r="AE2868" s="444"/>
      <c r="AF2868" s="444"/>
    </row>
    <row r="2869" spans="1:32" s="69" customFormat="1" ht="12">
      <c r="A2869" s="83" t="s">
        <v>23016</v>
      </c>
      <c r="B2869" s="64" t="s">
        <v>22308</v>
      </c>
      <c r="C2869" s="71" t="s">
        <v>509</v>
      </c>
      <c r="D2869" s="79">
        <v>1</v>
      </c>
      <c r="E2869" s="79">
        <v>154.61000000000001</v>
      </c>
      <c r="F2869" s="79">
        <v>154.61000000000001</v>
      </c>
      <c r="G2869" s="445"/>
      <c r="H2869" s="178">
        <v>154.6</v>
      </c>
      <c r="I2869" s="178">
        <v>190.16</v>
      </c>
      <c r="J2869" s="70">
        <v>-35.549999999999983</v>
      </c>
      <c r="K2869" s="320"/>
      <c r="L2869" s="178">
        <v>26.950000000000003</v>
      </c>
      <c r="M2869" s="178">
        <v>127.66000000000001</v>
      </c>
      <c r="N2869" s="179">
        <v>0</v>
      </c>
      <c r="O2869" s="178">
        <v>154.61000000000001</v>
      </c>
      <c r="P2869" s="453"/>
      <c r="Q2869" s="61"/>
      <c r="R2869" s="298"/>
      <c r="S2869" s="669"/>
      <c r="T2869" s="444"/>
      <c r="U2869" s="444"/>
      <c r="V2869" s="444"/>
      <c r="W2869" s="444"/>
      <c r="X2869" s="444">
        <v>2869</v>
      </c>
      <c r="Y2869" s="444"/>
      <c r="Z2869" s="444"/>
      <c r="AA2869" s="444"/>
      <c r="AB2869" s="444"/>
      <c r="AC2869" s="444"/>
      <c r="AD2869" s="444"/>
      <c r="AE2869" s="444"/>
      <c r="AF2869" s="444"/>
    </row>
    <row r="2870" spans="1:32" s="69" customFormat="1" ht="24">
      <c r="A2870" s="65" t="s">
        <v>23017</v>
      </c>
      <c r="B2870" s="456" t="s">
        <v>39987</v>
      </c>
      <c r="C2870" s="108" t="s">
        <v>509</v>
      </c>
      <c r="D2870" s="79">
        <v>1</v>
      </c>
      <c r="E2870" s="79">
        <v>233.12</v>
      </c>
      <c r="F2870" s="79">
        <v>233.12</v>
      </c>
      <c r="G2870" s="444"/>
      <c r="H2870" s="70">
        <v>233.13</v>
      </c>
      <c r="I2870" s="178">
        <v>286.75</v>
      </c>
      <c r="J2870" s="70">
        <v>-53.629999999999995</v>
      </c>
      <c r="K2870" s="320"/>
      <c r="L2870" s="178">
        <v>46.599999999999994</v>
      </c>
      <c r="M2870" s="178">
        <v>186.52</v>
      </c>
      <c r="N2870" s="179">
        <v>0</v>
      </c>
      <c r="O2870" s="178">
        <v>233.12</v>
      </c>
      <c r="P2870" s="453"/>
      <c r="Q2870" s="61"/>
      <c r="R2870" s="298"/>
      <c r="S2870" s="669"/>
      <c r="T2870" s="444"/>
      <c r="U2870" s="444"/>
      <c r="V2870" s="444"/>
      <c r="W2870" s="444"/>
      <c r="X2870" s="444">
        <v>2870</v>
      </c>
      <c r="Y2870" s="444"/>
      <c r="Z2870" s="444"/>
      <c r="AA2870" s="444"/>
      <c r="AB2870" s="444"/>
      <c r="AC2870" s="444"/>
      <c r="AD2870" s="444"/>
      <c r="AE2870" s="444"/>
      <c r="AF2870" s="444"/>
    </row>
    <row r="2871" spans="1:32" s="73" customFormat="1" ht="12">
      <c r="A2871" s="83" t="s">
        <v>23018</v>
      </c>
      <c r="B2871" s="64" t="s">
        <v>22286</v>
      </c>
      <c r="C2871" s="71" t="s">
        <v>509</v>
      </c>
      <c r="D2871" s="79">
        <v>1</v>
      </c>
      <c r="E2871" s="79">
        <v>94.12</v>
      </c>
      <c r="F2871" s="79">
        <v>94.12</v>
      </c>
      <c r="G2871" s="445"/>
      <c r="H2871" s="178">
        <v>94.11</v>
      </c>
      <c r="I2871" s="178">
        <v>115.76</v>
      </c>
      <c r="J2871" s="70">
        <v>-21.64</v>
      </c>
      <c r="K2871" s="320"/>
      <c r="L2871" s="178">
        <v>9.92</v>
      </c>
      <c r="M2871" s="178">
        <v>84.2</v>
      </c>
      <c r="N2871" s="179">
        <v>0</v>
      </c>
      <c r="O2871" s="178">
        <v>94.12</v>
      </c>
      <c r="P2871" s="453"/>
      <c r="Q2871" s="61"/>
      <c r="R2871" s="298"/>
      <c r="S2871" s="669"/>
      <c r="T2871" s="61"/>
      <c r="U2871" s="444"/>
      <c r="V2871" s="444"/>
      <c r="W2871" s="444"/>
      <c r="X2871" s="444">
        <v>2871</v>
      </c>
      <c r="Y2871" s="444"/>
      <c r="Z2871" s="444"/>
      <c r="AA2871" s="444"/>
      <c r="AB2871" s="444"/>
      <c r="AC2871" s="444"/>
      <c r="AD2871" s="444"/>
      <c r="AE2871" s="444"/>
      <c r="AF2871" s="444"/>
    </row>
    <row r="2872" spans="1:32" s="69" customFormat="1" ht="12">
      <c r="A2872" s="83" t="s">
        <v>23019</v>
      </c>
      <c r="B2872" s="64" t="s">
        <v>39988</v>
      </c>
      <c r="C2872" s="71" t="s">
        <v>509</v>
      </c>
      <c r="D2872" s="79">
        <v>1</v>
      </c>
      <c r="E2872" s="79">
        <v>123.72</v>
      </c>
      <c r="F2872" s="79">
        <v>123.72</v>
      </c>
      <c r="G2872" s="445"/>
      <c r="H2872" s="178">
        <v>123.72</v>
      </c>
      <c r="I2872" s="178">
        <v>152.18</v>
      </c>
      <c r="J2872" s="70">
        <v>-28.460000000000008</v>
      </c>
      <c r="K2872" s="320"/>
      <c r="L2872" s="178">
        <v>13.01</v>
      </c>
      <c r="M2872" s="178">
        <v>110.71</v>
      </c>
      <c r="N2872" s="179">
        <v>0</v>
      </c>
      <c r="O2872" s="178">
        <v>123.72</v>
      </c>
      <c r="P2872" s="453"/>
      <c r="Q2872" s="61"/>
      <c r="R2872" s="298"/>
      <c r="S2872" s="669"/>
      <c r="T2872" s="61"/>
      <c r="U2872" s="444"/>
      <c r="V2872" s="444"/>
      <c r="W2872" s="444"/>
      <c r="X2872" s="444">
        <v>2872</v>
      </c>
      <c r="Y2872" s="444"/>
      <c r="Z2872" s="444"/>
      <c r="AA2872" s="444"/>
      <c r="AB2872" s="444"/>
      <c r="AC2872" s="444"/>
      <c r="AD2872" s="444"/>
      <c r="AE2872" s="444"/>
      <c r="AF2872" s="444"/>
    </row>
    <row r="2873" spans="1:32" s="73" customFormat="1" ht="12">
      <c r="A2873" s="83" t="s">
        <v>23020</v>
      </c>
      <c r="B2873" s="64" t="s">
        <v>18688</v>
      </c>
      <c r="C2873" s="71" t="s">
        <v>207</v>
      </c>
      <c r="D2873" s="79">
        <v>1</v>
      </c>
      <c r="E2873" s="79">
        <v>9.84</v>
      </c>
      <c r="F2873" s="79">
        <v>9.84</v>
      </c>
      <c r="G2873" s="445"/>
      <c r="H2873" s="178">
        <v>9.84</v>
      </c>
      <c r="I2873" s="178">
        <v>12.1</v>
      </c>
      <c r="J2873" s="70">
        <v>-2.2599999999999998</v>
      </c>
      <c r="K2873" s="320"/>
      <c r="L2873" s="178">
        <v>1.58</v>
      </c>
      <c r="M2873" s="178">
        <v>8.26</v>
      </c>
      <c r="N2873" s="179">
        <v>0</v>
      </c>
      <c r="O2873" s="178">
        <v>9.84</v>
      </c>
      <c r="P2873" s="453"/>
      <c r="Q2873" s="61"/>
      <c r="R2873" s="298"/>
      <c r="S2873" s="669"/>
      <c r="T2873" s="61"/>
      <c r="U2873" s="444"/>
      <c r="V2873" s="444"/>
      <c r="W2873" s="444"/>
      <c r="X2873" s="444">
        <v>2873</v>
      </c>
      <c r="Y2873" s="444"/>
      <c r="Z2873" s="444"/>
      <c r="AA2873" s="444"/>
      <c r="AB2873" s="444"/>
      <c r="AC2873" s="444"/>
      <c r="AD2873" s="444"/>
      <c r="AE2873" s="444"/>
      <c r="AF2873" s="444"/>
    </row>
    <row r="2874" spans="1:32" s="73" customFormat="1" ht="24">
      <c r="A2874" s="83" t="s">
        <v>23021</v>
      </c>
      <c r="B2874" s="64" t="s">
        <v>39989</v>
      </c>
      <c r="C2874" s="71" t="s">
        <v>165</v>
      </c>
      <c r="D2874" s="79">
        <v>1</v>
      </c>
      <c r="E2874" s="79">
        <v>68.900000000000006</v>
      </c>
      <c r="F2874" s="79">
        <v>68.900000000000006</v>
      </c>
      <c r="G2874" s="445"/>
      <c r="H2874" s="178">
        <v>68.87</v>
      </c>
      <c r="I2874" s="178">
        <v>84.71</v>
      </c>
      <c r="J2874" s="70">
        <v>-15.809999999999988</v>
      </c>
      <c r="K2874" s="320"/>
      <c r="L2874" s="178">
        <v>35.5</v>
      </c>
      <c r="M2874" s="178">
        <v>33.400000000000006</v>
      </c>
      <c r="N2874" s="179">
        <v>0</v>
      </c>
      <c r="O2874" s="178">
        <v>68.900000000000006</v>
      </c>
      <c r="P2874" s="453"/>
      <c r="Q2874" s="61"/>
      <c r="R2874" s="298"/>
      <c r="S2874" s="669"/>
      <c r="T2874" s="61"/>
      <c r="U2874" s="444"/>
      <c r="V2874" s="444"/>
      <c r="W2874" s="444"/>
      <c r="X2874" s="444">
        <v>2874</v>
      </c>
      <c r="Y2874" s="444"/>
      <c r="Z2874" s="444"/>
      <c r="AA2874" s="444"/>
      <c r="AB2874" s="444"/>
      <c r="AC2874" s="444"/>
      <c r="AD2874" s="444"/>
      <c r="AE2874" s="444"/>
      <c r="AF2874" s="444"/>
    </row>
    <row r="2875" spans="1:32" ht="12">
      <c r="A2875" s="83" t="s">
        <v>23022</v>
      </c>
      <c r="B2875" s="64" t="s">
        <v>22799</v>
      </c>
      <c r="C2875" s="71" t="s">
        <v>396</v>
      </c>
      <c r="D2875" s="79">
        <v>1</v>
      </c>
      <c r="E2875" s="79">
        <v>17.010000000000002</v>
      </c>
      <c r="F2875" s="79">
        <v>17.010000000000002</v>
      </c>
      <c r="G2875" s="320"/>
      <c r="H2875" s="178">
        <v>17.02</v>
      </c>
      <c r="I2875" s="178">
        <v>20.94</v>
      </c>
      <c r="J2875" s="70">
        <v>-3.9299999999999997</v>
      </c>
      <c r="K2875" s="320"/>
      <c r="L2875" s="178">
        <v>16.810000000000002</v>
      </c>
      <c r="M2875" s="178">
        <v>0.19999999999999929</v>
      </c>
      <c r="N2875" s="179">
        <v>0</v>
      </c>
      <c r="O2875" s="178">
        <v>17.010000000000002</v>
      </c>
      <c r="P2875" s="453"/>
      <c r="Q2875" s="61"/>
      <c r="R2875" s="298"/>
      <c r="S2875" s="669"/>
      <c r="T2875" s="61"/>
      <c r="X2875" s="444">
        <v>2875</v>
      </c>
    </row>
    <row r="2876" spans="1:32" ht="12">
      <c r="A2876" s="83" t="s">
        <v>23023</v>
      </c>
      <c r="B2876" s="64" t="s">
        <v>23024</v>
      </c>
      <c r="C2876" s="71" t="s">
        <v>509</v>
      </c>
      <c r="D2876" s="79">
        <v>1</v>
      </c>
      <c r="E2876" s="79">
        <v>44.110000000000007</v>
      </c>
      <c r="F2876" s="79">
        <v>44.11</v>
      </c>
      <c r="G2876" s="445"/>
      <c r="H2876" s="178">
        <v>44.1</v>
      </c>
      <c r="I2876" s="178">
        <v>54.24</v>
      </c>
      <c r="J2876" s="70">
        <v>-10.129999999999995</v>
      </c>
      <c r="K2876" s="320"/>
      <c r="L2876" s="178">
        <v>26</v>
      </c>
      <c r="M2876" s="178">
        <v>18.110000000000007</v>
      </c>
      <c r="N2876" s="179">
        <v>0</v>
      </c>
      <c r="O2876" s="178">
        <v>44.110000000000007</v>
      </c>
      <c r="P2876" s="453"/>
      <c r="Q2876" s="61"/>
      <c r="R2876" s="298"/>
      <c r="S2876" s="669"/>
      <c r="T2876" s="61"/>
      <c r="X2876" s="444">
        <v>2876</v>
      </c>
    </row>
    <row r="2877" spans="1:32" ht="12">
      <c r="A2877" s="83" t="s">
        <v>23025</v>
      </c>
      <c r="B2877" s="64" t="s">
        <v>18516</v>
      </c>
      <c r="C2877" s="71" t="s">
        <v>509</v>
      </c>
      <c r="D2877" s="79">
        <v>1</v>
      </c>
      <c r="E2877" s="79">
        <v>11.87</v>
      </c>
      <c r="F2877" s="79">
        <v>11.87</v>
      </c>
      <c r="G2877" s="445"/>
      <c r="H2877" s="178">
        <v>11.87</v>
      </c>
      <c r="I2877" s="178">
        <v>14.6</v>
      </c>
      <c r="J2877" s="70">
        <v>-2.7300000000000004</v>
      </c>
      <c r="K2877" s="320"/>
      <c r="L2877" s="178">
        <v>3.35</v>
      </c>
      <c r="M2877" s="178">
        <v>8.52</v>
      </c>
      <c r="N2877" s="179">
        <v>0</v>
      </c>
      <c r="O2877" s="178">
        <v>11.87</v>
      </c>
      <c r="P2877" s="453"/>
      <c r="Q2877" s="61"/>
      <c r="R2877" s="298"/>
      <c r="S2877" s="669"/>
      <c r="T2877" s="61"/>
      <c r="X2877" s="444">
        <v>2877</v>
      </c>
    </row>
    <row r="2878" spans="1:32" ht="12">
      <c r="A2878" s="83" t="s">
        <v>23026</v>
      </c>
      <c r="B2878" s="64" t="s">
        <v>7610</v>
      </c>
      <c r="C2878" s="71" t="s">
        <v>509</v>
      </c>
      <c r="D2878" s="79">
        <v>1</v>
      </c>
      <c r="E2878" s="79">
        <v>103.65</v>
      </c>
      <c r="F2878" s="79">
        <v>103.65</v>
      </c>
      <c r="G2878" s="445"/>
      <c r="H2878" s="178">
        <v>103.67</v>
      </c>
      <c r="I2878" s="178">
        <v>127.51</v>
      </c>
      <c r="J2878" s="70">
        <v>-23.86</v>
      </c>
      <c r="K2878" s="320"/>
      <c r="L2878" s="178">
        <v>48.35</v>
      </c>
      <c r="M2878" s="178">
        <v>55.300000000000004</v>
      </c>
      <c r="N2878" s="179">
        <v>0</v>
      </c>
      <c r="O2878" s="178">
        <v>103.65</v>
      </c>
      <c r="P2878" s="453"/>
      <c r="Q2878" s="61"/>
      <c r="R2878" s="298"/>
      <c r="S2878" s="669"/>
      <c r="T2878" s="61"/>
      <c r="X2878" s="444">
        <v>2878</v>
      </c>
    </row>
    <row r="2879" spans="1:32" ht="12">
      <c r="A2879" s="83" t="s">
        <v>23027</v>
      </c>
      <c r="B2879" s="64" t="s">
        <v>23028</v>
      </c>
      <c r="C2879" s="71" t="s">
        <v>509</v>
      </c>
      <c r="D2879" s="79">
        <v>1</v>
      </c>
      <c r="E2879" s="79">
        <v>71.11</v>
      </c>
      <c r="F2879" s="79">
        <v>71.11</v>
      </c>
      <c r="G2879" s="445"/>
      <c r="H2879" s="178">
        <v>71.11</v>
      </c>
      <c r="I2879" s="178">
        <v>87.46</v>
      </c>
      <c r="J2879" s="70">
        <v>-16.349999999999994</v>
      </c>
      <c r="K2879" s="320"/>
      <c r="L2879" s="178">
        <v>52.459999999999994</v>
      </c>
      <c r="M2879" s="178">
        <v>18.650000000000006</v>
      </c>
      <c r="N2879" s="179">
        <v>0</v>
      </c>
      <c r="O2879" s="178">
        <v>71.11</v>
      </c>
      <c r="P2879" s="453"/>
      <c r="Q2879" s="61"/>
      <c r="R2879" s="298"/>
      <c r="S2879" s="669"/>
      <c r="T2879" s="61"/>
      <c r="X2879" s="444">
        <v>2879</v>
      </c>
    </row>
    <row r="2880" spans="1:32" ht="12">
      <c r="A2880" s="83" t="s">
        <v>23029</v>
      </c>
      <c r="B2880" s="64" t="s">
        <v>23030</v>
      </c>
      <c r="C2880" s="71" t="s">
        <v>509</v>
      </c>
      <c r="D2880" s="79">
        <v>1</v>
      </c>
      <c r="E2880" s="79">
        <v>76.25</v>
      </c>
      <c r="F2880" s="79">
        <v>76.25</v>
      </c>
      <c r="G2880" s="445"/>
      <c r="H2880" s="178">
        <v>76.239999999999995</v>
      </c>
      <c r="I2880" s="178">
        <v>93.78</v>
      </c>
      <c r="J2880" s="70">
        <v>-17.53</v>
      </c>
      <c r="K2880" s="320"/>
      <c r="L2880" s="178">
        <v>52.459999999999994</v>
      </c>
      <c r="M2880" s="178">
        <v>23.790000000000006</v>
      </c>
      <c r="N2880" s="179">
        <v>0</v>
      </c>
      <c r="O2880" s="178">
        <v>76.25</v>
      </c>
      <c r="P2880" s="453"/>
      <c r="Q2880" s="61"/>
      <c r="R2880" s="298"/>
      <c r="S2880" s="669"/>
      <c r="T2880" s="61"/>
      <c r="X2880" s="444">
        <v>2880</v>
      </c>
    </row>
    <row r="2881" spans="1:24" ht="12">
      <c r="A2881" s="83" t="s">
        <v>23031</v>
      </c>
      <c r="B2881" s="64" t="s">
        <v>23032</v>
      </c>
      <c r="C2881" s="71" t="s">
        <v>10216</v>
      </c>
      <c r="D2881" s="79">
        <v>1</v>
      </c>
      <c r="E2881" s="79">
        <v>577.26</v>
      </c>
      <c r="F2881" s="79">
        <v>577.26</v>
      </c>
      <c r="G2881" s="445"/>
      <c r="H2881" s="178">
        <v>577.25</v>
      </c>
      <c r="I2881" s="178">
        <v>710.02</v>
      </c>
      <c r="J2881" s="70">
        <v>-132.76</v>
      </c>
      <c r="K2881" s="320"/>
      <c r="L2881" s="178"/>
      <c r="M2881" s="178">
        <v>577.26</v>
      </c>
      <c r="N2881" s="179">
        <v>0</v>
      </c>
      <c r="O2881" s="178">
        <v>577.26</v>
      </c>
      <c r="P2881" s="453"/>
      <c r="Q2881" s="61"/>
      <c r="R2881" s="298"/>
      <c r="S2881" s="669"/>
      <c r="T2881" s="61"/>
      <c r="X2881" s="444">
        <v>2881</v>
      </c>
    </row>
    <row r="2882" spans="1:24" ht="12">
      <c r="A2882" s="83" t="s">
        <v>23033</v>
      </c>
      <c r="B2882" s="64" t="s">
        <v>23034</v>
      </c>
      <c r="C2882" s="71" t="s">
        <v>509</v>
      </c>
      <c r="D2882" s="79">
        <v>1</v>
      </c>
      <c r="E2882" s="79">
        <v>7.6300000000000008</v>
      </c>
      <c r="F2882" s="79">
        <v>7.63</v>
      </c>
      <c r="G2882" s="320"/>
      <c r="H2882" s="178">
        <v>7.63</v>
      </c>
      <c r="I2882" s="178">
        <v>9.3800000000000008</v>
      </c>
      <c r="J2882" s="70">
        <v>-1.75</v>
      </c>
      <c r="K2882" s="320"/>
      <c r="L2882" s="178">
        <v>3.35</v>
      </c>
      <c r="M2882" s="178">
        <v>4.2800000000000011</v>
      </c>
      <c r="N2882" s="179">
        <v>0</v>
      </c>
      <c r="O2882" s="178">
        <v>7.6300000000000008</v>
      </c>
      <c r="P2882" s="453"/>
      <c r="Q2882" s="61"/>
      <c r="R2882" s="298"/>
      <c r="S2882" s="669"/>
      <c r="T2882" s="61"/>
      <c r="X2882" s="444">
        <v>2882</v>
      </c>
    </row>
    <row r="2883" spans="1:24" ht="24">
      <c r="A2883" s="83" t="s">
        <v>23035</v>
      </c>
      <c r="B2883" s="64" t="s">
        <v>39990</v>
      </c>
      <c r="C2883" s="71" t="s">
        <v>509</v>
      </c>
      <c r="D2883" s="79">
        <v>1</v>
      </c>
      <c r="E2883" s="79">
        <v>33.46</v>
      </c>
      <c r="F2883" s="79">
        <v>33.46</v>
      </c>
      <c r="G2883" s="320"/>
      <c r="H2883" s="178">
        <v>33.450000000000003</v>
      </c>
      <c r="I2883" s="178">
        <v>41.14</v>
      </c>
      <c r="J2883" s="70">
        <v>-7.68</v>
      </c>
      <c r="K2883" s="320"/>
      <c r="L2883" s="178">
        <v>26</v>
      </c>
      <c r="M2883" s="178">
        <v>7.4600000000000009</v>
      </c>
      <c r="N2883" s="179">
        <v>0</v>
      </c>
      <c r="O2883" s="178">
        <v>33.46</v>
      </c>
      <c r="P2883" s="453"/>
      <c r="Q2883" s="61"/>
      <c r="R2883" s="298"/>
      <c r="S2883" s="669"/>
      <c r="T2883" s="61"/>
      <c r="X2883" s="444">
        <v>2883</v>
      </c>
    </row>
    <row r="2884" spans="1:24" ht="24">
      <c r="A2884" s="83" t="s">
        <v>23036</v>
      </c>
      <c r="B2884" s="64" t="s">
        <v>23037</v>
      </c>
      <c r="C2884" s="71" t="s">
        <v>509</v>
      </c>
      <c r="D2884" s="79">
        <v>1</v>
      </c>
      <c r="E2884" s="79">
        <v>68.11999999999999</v>
      </c>
      <c r="F2884" s="79">
        <v>68.12</v>
      </c>
      <c r="G2884" s="320"/>
      <c r="H2884" s="178">
        <v>68.11</v>
      </c>
      <c r="I2884" s="178">
        <v>83.78</v>
      </c>
      <c r="J2884" s="70">
        <v>-15.660000000000011</v>
      </c>
      <c r="K2884" s="320"/>
      <c r="L2884" s="178">
        <v>52.459999999999994</v>
      </c>
      <c r="M2884" s="178">
        <v>15.659999999999997</v>
      </c>
      <c r="N2884" s="179">
        <v>0</v>
      </c>
      <c r="O2884" s="178">
        <v>68.11999999999999</v>
      </c>
      <c r="P2884" s="453"/>
      <c r="Q2884" s="61"/>
      <c r="R2884" s="298"/>
      <c r="S2884" s="669"/>
      <c r="T2884" s="61"/>
      <c r="X2884" s="444">
        <v>2884</v>
      </c>
    </row>
    <row r="2885" spans="1:24" ht="24">
      <c r="A2885" s="83" t="s">
        <v>23038</v>
      </c>
      <c r="B2885" s="64" t="s">
        <v>39991</v>
      </c>
      <c r="C2885" s="71" t="s">
        <v>509</v>
      </c>
      <c r="D2885" s="79">
        <v>1</v>
      </c>
      <c r="E2885" s="79">
        <v>73.259999999999991</v>
      </c>
      <c r="F2885" s="79">
        <v>73.260000000000005</v>
      </c>
      <c r="G2885" s="320"/>
      <c r="H2885" s="178">
        <v>73.260000000000005</v>
      </c>
      <c r="I2885" s="178">
        <v>90.11</v>
      </c>
      <c r="J2885" s="70">
        <v>-16.850000000000009</v>
      </c>
      <c r="K2885" s="320"/>
      <c r="L2885" s="178">
        <v>52.459999999999994</v>
      </c>
      <c r="M2885" s="178">
        <v>20.799999999999997</v>
      </c>
      <c r="N2885" s="179">
        <v>0</v>
      </c>
      <c r="O2885" s="178">
        <v>73.259999999999991</v>
      </c>
      <c r="P2885" s="453"/>
      <c r="Q2885" s="61"/>
      <c r="R2885" s="298"/>
      <c r="S2885" s="669"/>
      <c r="T2885" s="61"/>
      <c r="X2885" s="444">
        <v>2885</v>
      </c>
    </row>
    <row r="2886" spans="1:24" ht="12">
      <c r="A2886" s="83" t="s">
        <v>12182</v>
      </c>
      <c r="B2886" s="64" t="s">
        <v>39992</v>
      </c>
      <c r="C2886" s="71"/>
      <c r="D2886" s="79" t="s">
        <v>40899</v>
      </c>
      <c r="E2886" s="79" t="s">
        <v>40899</v>
      </c>
      <c r="F2886" s="79"/>
      <c r="G2886" s="445"/>
      <c r="H2886" s="178"/>
      <c r="I2886" s="178"/>
      <c r="J2886" s="70"/>
      <c r="K2886" s="320"/>
      <c r="L2886" s="178"/>
      <c r="M2886" s="178"/>
      <c r="N2886" s="179"/>
      <c r="O2886" s="178"/>
      <c r="P2886" s="453"/>
      <c r="Q2886" s="61"/>
      <c r="R2886" s="298"/>
      <c r="S2886" s="669"/>
      <c r="X2886" s="444">
        <v>2886</v>
      </c>
    </row>
    <row r="2887" spans="1:24" ht="12">
      <c r="A2887" s="83" t="s">
        <v>23039</v>
      </c>
      <c r="B2887" s="64" t="s">
        <v>23040</v>
      </c>
      <c r="C2887" s="71" t="s">
        <v>509</v>
      </c>
      <c r="D2887" s="79">
        <v>1</v>
      </c>
      <c r="E2887" s="79">
        <v>1.19</v>
      </c>
      <c r="F2887" s="79">
        <v>1.19</v>
      </c>
      <c r="G2887" s="445"/>
      <c r="H2887" s="178">
        <v>1.19</v>
      </c>
      <c r="I2887" s="178">
        <v>1.46</v>
      </c>
      <c r="J2887" s="70">
        <v>-0.27</v>
      </c>
      <c r="K2887" s="320"/>
      <c r="L2887" s="178">
        <v>0.84000000000000008</v>
      </c>
      <c r="M2887" s="178">
        <v>0.34999999999999987</v>
      </c>
      <c r="N2887" s="179">
        <v>0</v>
      </c>
      <c r="O2887" s="178">
        <v>1.19</v>
      </c>
      <c r="P2887" s="453"/>
      <c r="Q2887" s="61"/>
      <c r="R2887" s="298"/>
      <c r="S2887" s="669"/>
      <c r="T2887" s="61"/>
      <c r="X2887" s="444">
        <v>2887</v>
      </c>
    </row>
    <row r="2888" spans="1:24" ht="12">
      <c r="A2888" s="83" t="s">
        <v>23041</v>
      </c>
      <c r="B2888" s="64" t="s">
        <v>23042</v>
      </c>
      <c r="C2888" s="71" t="s">
        <v>509</v>
      </c>
      <c r="D2888" s="79">
        <v>1</v>
      </c>
      <c r="E2888" s="79">
        <v>18.679999999999996</v>
      </c>
      <c r="F2888" s="79">
        <v>18.68</v>
      </c>
      <c r="G2888" s="445"/>
      <c r="H2888" s="178">
        <v>18.670000000000002</v>
      </c>
      <c r="I2888" s="178">
        <v>22.96</v>
      </c>
      <c r="J2888" s="70">
        <v>-4.2800000000000047</v>
      </c>
      <c r="K2888" s="320"/>
      <c r="L2888" s="178">
        <v>4.57</v>
      </c>
      <c r="M2888" s="178">
        <v>14.109999999999996</v>
      </c>
      <c r="N2888" s="179">
        <v>0</v>
      </c>
      <c r="O2888" s="178">
        <v>18.679999999999996</v>
      </c>
      <c r="P2888" s="453"/>
      <c r="Q2888" s="61"/>
      <c r="R2888" s="298"/>
      <c r="S2888" s="669"/>
      <c r="T2888" s="69"/>
      <c r="X2888" s="444">
        <v>2888</v>
      </c>
    </row>
    <row r="2889" spans="1:24" ht="12">
      <c r="A2889" s="83" t="s">
        <v>23043</v>
      </c>
      <c r="B2889" s="64" t="s">
        <v>23044</v>
      </c>
      <c r="C2889" s="71" t="s">
        <v>509</v>
      </c>
      <c r="D2889" s="79">
        <v>1</v>
      </c>
      <c r="E2889" s="79">
        <v>22.42</v>
      </c>
      <c r="F2889" s="79">
        <v>22.42</v>
      </c>
      <c r="G2889" s="445"/>
      <c r="H2889" s="178">
        <v>22.41</v>
      </c>
      <c r="I2889" s="178">
        <v>27.56</v>
      </c>
      <c r="J2889" s="70">
        <v>-5.139999999999997</v>
      </c>
      <c r="K2889" s="320"/>
      <c r="L2889" s="178">
        <v>4.57</v>
      </c>
      <c r="M2889" s="178">
        <v>17.850000000000001</v>
      </c>
      <c r="N2889" s="179">
        <v>0</v>
      </c>
      <c r="O2889" s="178">
        <v>22.42</v>
      </c>
      <c r="P2889" s="453"/>
      <c r="Q2889" s="61"/>
      <c r="R2889" s="298"/>
      <c r="S2889" s="669"/>
      <c r="T2889" s="69"/>
      <c r="X2889" s="444">
        <v>2889</v>
      </c>
    </row>
    <row r="2890" spans="1:24" ht="12">
      <c r="A2890" s="83" t="s">
        <v>12184</v>
      </c>
      <c r="B2890" s="64" t="s">
        <v>8163</v>
      </c>
      <c r="C2890" s="71" t="s">
        <v>509</v>
      </c>
      <c r="D2890" s="79">
        <v>1</v>
      </c>
      <c r="E2890" s="79">
        <v>194.61</v>
      </c>
      <c r="F2890" s="79">
        <v>194.61</v>
      </c>
      <c r="G2890" s="445"/>
      <c r="H2890" s="178">
        <v>194.6</v>
      </c>
      <c r="I2890" s="178">
        <v>239.36</v>
      </c>
      <c r="J2890" s="70">
        <v>-44.75</v>
      </c>
      <c r="K2890" s="320"/>
      <c r="L2890" s="178">
        <v>9.9700000000000006</v>
      </c>
      <c r="M2890" s="178">
        <v>184.64000000000001</v>
      </c>
      <c r="N2890" s="179">
        <v>0</v>
      </c>
      <c r="O2890" s="178">
        <v>194.61</v>
      </c>
      <c r="P2890" s="453"/>
      <c r="Q2890" s="61"/>
      <c r="R2890" s="298"/>
      <c r="S2890" s="669"/>
      <c r="T2890" s="61"/>
      <c r="X2890" s="444">
        <v>2890</v>
      </c>
    </row>
    <row r="2891" spans="1:24" ht="12">
      <c r="A2891" s="83" t="s">
        <v>23045</v>
      </c>
      <c r="B2891" s="64" t="s">
        <v>23046</v>
      </c>
      <c r="C2891" s="71" t="s">
        <v>509</v>
      </c>
      <c r="D2891" s="79">
        <v>1</v>
      </c>
      <c r="E2891" s="79">
        <v>86.47</v>
      </c>
      <c r="F2891" s="79">
        <v>86.47</v>
      </c>
      <c r="G2891" s="445"/>
      <c r="H2891" s="178">
        <v>86.47</v>
      </c>
      <c r="I2891" s="178">
        <v>106.36</v>
      </c>
      <c r="J2891" s="70">
        <v>-19.89</v>
      </c>
      <c r="K2891" s="320"/>
      <c r="L2891" s="178">
        <v>5.97</v>
      </c>
      <c r="M2891" s="178">
        <v>80.5</v>
      </c>
      <c r="N2891" s="179">
        <v>0</v>
      </c>
      <c r="O2891" s="178">
        <v>86.47</v>
      </c>
      <c r="P2891" s="453"/>
      <c r="Q2891" s="61"/>
      <c r="R2891" s="298"/>
      <c r="S2891" s="669"/>
      <c r="T2891" s="69"/>
      <c r="X2891" s="444">
        <v>2891</v>
      </c>
    </row>
    <row r="2892" spans="1:24" ht="24">
      <c r="A2892" s="65" t="s">
        <v>41772</v>
      </c>
      <c r="B2892" s="65" t="s">
        <v>41773</v>
      </c>
      <c r="C2892" s="108" t="s">
        <v>41718</v>
      </c>
      <c r="D2892" s="458">
        <v>1</v>
      </c>
      <c r="E2892" s="79">
        <v>837.19</v>
      </c>
      <c r="F2892" s="79">
        <v>837.19</v>
      </c>
      <c r="G2892" s="444" t="s">
        <v>41774</v>
      </c>
      <c r="H2892" s="753">
        <v>837.19</v>
      </c>
      <c r="I2892" s="178">
        <v>1029.74</v>
      </c>
      <c r="J2892" s="753">
        <v>-192.54999999999995</v>
      </c>
      <c r="K2892" s="754"/>
      <c r="L2892" s="178">
        <v>0</v>
      </c>
      <c r="M2892" s="753">
        <v>837.19</v>
      </c>
      <c r="N2892" s="179">
        <v>0</v>
      </c>
      <c r="O2892" s="753">
        <v>837.19</v>
      </c>
      <c r="S2892" s="669"/>
      <c r="X2892" s="444">
        <v>2892</v>
      </c>
    </row>
    <row r="2893" spans="1:24" ht="12">
      <c r="A2893" s="83" t="s">
        <v>23047</v>
      </c>
      <c r="B2893" s="64" t="s">
        <v>23048</v>
      </c>
      <c r="C2893" s="71" t="s">
        <v>103</v>
      </c>
      <c r="D2893" s="79">
        <v>1</v>
      </c>
      <c r="E2893" s="79">
        <v>113.94</v>
      </c>
      <c r="F2893" s="79">
        <v>113.94</v>
      </c>
      <c r="G2893" s="445"/>
      <c r="H2893" s="178">
        <v>113.92</v>
      </c>
      <c r="I2893" s="178">
        <v>140.12</v>
      </c>
      <c r="J2893" s="70">
        <v>-26.180000000000007</v>
      </c>
      <c r="K2893" s="320"/>
      <c r="L2893" s="178">
        <v>42.14</v>
      </c>
      <c r="M2893" s="178">
        <v>71.8</v>
      </c>
      <c r="N2893" s="179">
        <v>0</v>
      </c>
      <c r="O2893" s="178">
        <v>113.94</v>
      </c>
      <c r="P2893" s="453"/>
      <c r="Q2893" s="61"/>
      <c r="R2893" s="298"/>
      <c r="S2893" s="669"/>
      <c r="X2893" s="444">
        <v>2893</v>
      </c>
    </row>
    <row r="2894" spans="1:24" ht="12">
      <c r="A2894" s="83" t="s">
        <v>23049</v>
      </c>
      <c r="B2894" s="64" t="s">
        <v>23050</v>
      </c>
      <c r="C2894" s="71" t="s">
        <v>103</v>
      </c>
      <c r="D2894" s="79">
        <v>1</v>
      </c>
      <c r="E2894" s="79">
        <v>297.52999999999997</v>
      </c>
      <c r="F2894" s="79">
        <v>297.52999999999997</v>
      </c>
      <c r="G2894" s="445"/>
      <c r="H2894" s="178">
        <v>297.51</v>
      </c>
      <c r="I2894" s="178">
        <v>365.94</v>
      </c>
      <c r="J2894" s="70">
        <v>-68.410000000000025</v>
      </c>
      <c r="K2894" s="320"/>
      <c r="L2894" s="178">
        <v>31.919999999999998</v>
      </c>
      <c r="M2894" s="178">
        <v>265.60999999999996</v>
      </c>
      <c r="N2894" s="179">
        <v>0</v>
      </c>
      <c r="O2894" s="178">
        <v>297.52999999999997</v>
      </c>
      <c r="P2894" s="453"/>
      <c r="Q2894" s="61"/>
      <c r="R2894" s="298"/>
      <c r="S2894" s="669"/>
      <c r="X2894" s="444">
        <v>2894</v>
      </c>
    </row>
    <row r="2895" spans="1:24" ht="24">
      <c r="A2895" s="65" t="s">
        <v>41775</v>
      </c>
      <c r="B2895" s="65" t="s">
        <v>41776</v>
      </c>
      <c r="C2895" s="108" t="s">
        <v>41718</v>
      </c>
      <c r="D2895" s="458">
        <v>1</v>
      </c>
      <c r="E2895" s="79">
        <v>1338.5</v>
      </c>
      <c r="F2895" s="79">
        <v>1338.5</v>
      </c>
      <c r="H2895" s="753">
        <v>1338.5</v>
      </c>
      <c r="I2895" s="178">
        <v>1646.35</v>
      </c>
      <c r="J2895" s="753">
        <v>-307.84999999999991</v>
      </c>
      <c r="K2895" s="754"/>
      <c r="L2895" s="178">
        <v>0</v>
      </c>
      <c r="M2895" s="753">
        <v>1338.5</v>
      </c>
      <c r="N2895" s="179">
        <v>0</v>
      </c>
      <c r="O2895" s="753">
        <v>1338.5</v>
      </c>
      <c r="S2895" s="669"/>
      <c r="X2895" s="444">
        <v>2895</v>
      </c>
    </row>
    <row r="2896" spans="1:24" ht="12">
      <c r="A2896" s="83" t="s">
        <v>23051</v>
      </c>
      <c r="B2896" s="64" t="s">
        <v>23052</v>
      </c>
      <c r="C2896" s="71" t="s">
        <v>103</v>
      </c>
      <c r="D2896" s="79">
        <v>1</v>
      </c>
      <c r="E2896" s="79">
        <v>338.03999999999996</v>
      </c>
      <c r="F2896" s="79">
        <v>338.04</v>
      </c>
      <c r="G2896" s="445"/>
      <c r="H2896" s="178">
        <v>338.04</v>
      </c>
      <c r="I2896" s="178">
        <v>415.79</v>
      </c>
      <c r="J2896" s="70">
        <v>-77.750000000000057</v>
      </c>
      <c r="K2896" s="320"/>
      <c r="L2896" s="178">
        <v>37.340000000000003</v>
      </c>
      <c r="M2896" s="178">
        <v>300.69999999999993</v>
      </c>
      <c r="N2896" s="179">
        <v>0</v>
      </c>
      <c r="O2896" s="178">
        <v>338.03999999999996</v>
      </c>
      <c r="P2896" s="453"/>
      <c r="Q2896" s="61"/>
      <c r="R2896" s="298"/>
      <c r="S2896" s="669"/>
      <c r="X2896" s="444">
        <v>2896</v>
      </c>
    </row>
    <row r="2897" spans="1:32" ht="12">
      <c r="A2897" s="83" t="s">
        <v>23053</v>
      </c>
      <c r="B2897" s="64" t="s">
        <v>23054</v>
      </c>
      <c r="C2897" s="71" t="s">
        <v>103</v>
      </c>
      <c r="D2897" s="79">
        <v>1</v>
      </c>
      <c r="E2897" s="79">
        <v>56.39</v>
      </c>
      <c r="F2897" s="79">
        <v>56.39</v>
      </c>
      <c r="G2897" s="445"/>
      <c r="H2897" s="178">
        <v>56.37</v>
      </c>
      <c r="I2897" s="178">
        <v>69.34</v>
      </c>
      <c r="J2897" s="70">
        <v>-12.950000000000003</v>
      </c>
      <c r="K2897" s="320"/>
      <c r="L2897" s="178">
        <v>3.95</v>
      </c>
      <c r="M2897" s="178">
        <v>52.44</v>
      </c>
      <c r="N2897" s="179">
        <v>0</v>
      </c>
      <c r="O2897" s="178">
        <v>56.39</v>
      </c>
      <c r="P2897" s="453"/>
      <c r="Q2897" s="61"/>
      <c r="R2897" s="298"/>
      <c r="S2897" s="669"/>
      <c r="U2897" s="61"/>
      <c r="V2897" s="61"/>
      <c r="W2897" s="61"/>
      <c r="X2897" s="444">
        <v>2897</v>
      </c>
      <c r="Y2897" s="61"/>
      <c r="Z2897" s="61"/>
      <c r="AA2897" s="61"/>
      <c r="AB2897" s="61"/>
      <c r="AC2897" s="61"/>
      <c r="AD2897" s="61"/>
      <c r="AE2897" s="61"/>
      <c r="AF2897" s="61"/>
    </row>
    <row r="2898" spans="1:32" ht="12">
      <c r="A2898" s="83" t="s">
        <v>23055</v>
      </c>
      <c r="B2898" s="64" t="s">
        <v>23056</v>
      </c>
      <c r="C2898" s="71" t="s">
        <v>103</v>
      </c>
      <c r="D2898" s="79">
        <v>1</v>
      </c>
      <c r="E2898" s="79">
        <v>30.64</v>
      </c>
      <c r="F2898" s="79">
        <v>30.64</v>
      </c>
      <c r="G2898" s="445"/>
      <c r="H2898" s="178">
        <v>30.63</v>
      </c>
      <c r="I2898" s="178">
        <v>37.67</v>
      </c>
      <c r="J2898" s="70">
        <v>-7.0300000000000011</v>
      </c>
      <c r="K2898" s="320"/>
      <c r="L2898" s="178">
        <v>3.95</v>
      </c>
      <c r="M2898" s="178">
        <v>26.69</v>
      </c>
      <c r="N2898" s="179">
        <v>0</v>
      </c>
      <c r="O2898" s="178">
        <v>30.64</v>
      </c>
      <c r="P2898" s="453"/>
      <c r="Q2898" s="61"/>
      <c r="R2898" s="298"/>
      <c r="S2898" s="669"/>
      <c r="U2898" s="61"/>
      <c r="V2898" s="61"/>
      <c r="W2898" s="61"/>
      <c r="X2898" s="444">
        <v>2898</v>
      </c>
      <c r="Y2898" s="61"/>
      <c r="Z2898" s="61"/>
      <c r="AA2898" s="61"/>
      <c r="AB2898" s="61"/>
      <c r="AC2898" s="61"/>
      <c r="AD2898" s="61"/>
      <c r="AE2898" s="61"/>
      <c r="AF2898" s="61"/>
    </row>
    <row r="2899" spans="1:32" ht="12">
      <c r="A2899" s="83" t="s">
        <v>23057</v>
      </c>
      <c r="B2899" s="64" t="s">
        <v>39993</v>
      </c>
      <c r="C2899" s="71" t="s">
        <v>103</v>
      </c>
      <c r="D2899" s="79">
        <v>1</v>
      </c>
      <c r="E2899" s="79">
        <v>84.06</v>
      </c>
      <c r="F2899" s="79">
        <v>84.06</v>
      </c>
      <c r="G2899" s="445"/>
      <c r="H2899" s="178">
        <v>84.05</v>
      </c>
      <c r="I2899" s="178">
        <v>103.38</v>
      </c>
      <c r="J2899" s="70">
        <v>-19.319999999999993</v>
      </c>
      <c r="K2899" s="320"/>
      <c r="L2899" s="178">
        <v>3.95</v>
      </c>
      <c r="M2899" s="178">
        <v>80.11</v>
      </c>
      <c r="N2899" s="179">
        <v>0</v>
      </c>
      <c r="O2899" s="178">
        <v>84.06</v>
      </c>
      <c r="P2899" s="453"/>
      <c r="Q2899" s="61"/>
      <c r="R2899" s="298"/>
      <c r="S2899" s="669"/>
      <c r="U2899" s="61"/>
      <c r="V2899" s="61"/>
      <c r="W2899" s="61"/>
      <c r="X2899" s="444">
        <v>2899</v>
      </c>
      <c r="Y2899" s="61"/>
      <c r="Z2899" s="61"/>
      <c r="AA2899" s="61"/>
      <c r="AB2899" s="61"/>
      <c r="AC2899" s="61"/>
      <c r="AD2899" s="61"/>
      <c r="AE2899" s="61"/>
      <c r="AF2899" s="61"/>
    </row>
    <row r="2900" spans="1:32" ht="12">
      <c r="A2900" s="83" t="s">
        <v>23058</v>
      </c>
      <c r="B2900" s="64" t="s">
        <v>39994</v>
      </c>
      <c r="C2900" s="71" t="s">
        <v>103</v>
      </c>
      <c r="D2900" s="79">
        <v>1</v>
      </c>
      <c r="E2900" s="79">
        <v>63.53</v>
      </c>
      <c r="F2900" s="79">
        <v>63.53</v>
      </c>
      <c r="G2900" s="445"/>
      <c r="H2900" s="178">
        <v>63.51</v>
      </c>
      <c r="I2900" s="178">
        <v>78.12</v>
      </c>
      <c r="J2900" s="70">
        <v>-14.590000000000003</v>
      </c>
      <c r="K2900" s="320"/>
      <c r="L2900" s="178">
        <v>3.95</v>
      </c>
      <c r="M2900" s="178">
        <v>59.58</v>
      </c>
      <c r="N2900" s="179">
        <v>0</v>
      </c>
      <c r="O2900" s="178">
        <v>63.53</v>
      </c>
      <c r="P2900" s="453"/>
      <c r="Q2900" s="61"/>
      <c r="R2900" s="298"/>
      <c r="S2900" s="669"/>
      <c r="U2900" s="73"/>
      <c r="V2900" s="73"/>
      <c r="W2900" s="73"/>
      <c r="X2900" s="444">
        <v>2900</v>
      </c>
      <c r="Y2900" s="73"/>
      <c r="Z2900" s="73"/>
      <c r="AA2900" s="73"/>
      <c r="AB2900" s="73"/>
      <c r="AC2900" s="73"/>
      <c r="AD2900" s="73"/>
      <c r="AE2900" s="73"/>
      <c r="AF2900" s="73"/>
    </row>
    <row r="2901" spans="1:32" ht="12">
      <c r="A2901" s="83" t="s">
        <v>23059</v>
      </c>
      <c r="B2901" s="64" t="s">
        <v>39995</v>
      </c>
      <c r="C2901" s="71" t="s">
        <v>103</v>
      </c>
      <c r="D2901" s="79">
        <v>1</v>
      </c>
      <c r="E2901" s="79">
        <v>73.34</v>
      </c>
      <c r="F2901" s="79">
        <v>73.34</v>
      </c>
      <c r="G2901" s="445"/>
      <c r="H2901" s="178">
        <v>73.33</v>
      </c>
      <c r="I2901" s="178">
        <v>90.19</v>
      </c>
      <c r="J2901" s="70">
        <v>-16.849999999999994</v>
      </c>
      <c r="K2901" s="320"/>
      <c r="L2901" s="178">
        <v>3.95</v>
      </c>
      <c r="M2901" s="178">
        <v>69.39</v>
      </c>
      <c r="N2901" s="179">
        <v>0</v>
      </c>
      <c r="O2901" s="178">
        <v>73.34</v>
      </c>
      <c r="P2901" s="453"/>
      <c r="Q2901" s="61"/>
      <c r="R2901" s="298"/>
      <c r="S2901" s="669"/>
      <c r="U2901" s="73"/>
      <c r="V2901" s="73"/>
      <c r="W2901" s="73"/>
      <c r="X2901" s="444">
        <v>2901</v>
      </c>
      <c r="Y2901" s="73"/>
      <c r="Z2901" s="73"/>
      <c r="AA2901" s="73"/>
      <c r="AB2901" s="73"/>
      <c r="AC2901" s="73"/>
      <c r="AD2901" s="73"/>
      <c r="AE2901" s="73"/>
      <c r="AF2901" s="73"/>
    </row>
    <row r="2902" spans="1:32" ht="12">
      <c r="A2902" s="755" t="s">
        <v>23060</v>
      </c>
      <c r="B2902" s="756" t="s">
        <v>23061</v>
      </c>
      <c r="C2902" s="757" t="s">
        <v>103</v>
      </c>
      <c r="D2902" s="668">
        <v>1</v>
      </c>
      <c r="E2902" s="668">
        <v>47.45</v>
      </c>
      <c r="F2902" s="668">
        <v>47.45</v>
      </c>
      <c r="G2902" s="445"/>
      <c r="H2902" s="178">
        <v>47.44</v>
      </c>
      <c r="I2902" s="178">
        <v>58.35</v>
      </c>
      <c r="J2902" s="70">
        <v>-10.899999999999999</v>
      </c>
      <c r="K2902" s="320"/>
      <c r="L2902" s="178">
        <v>3.95</v>
      </c>
      <c r="M2902" s="178">
        <v>43.5</v>
      </c>
      <c r="N2902" s="179">
        <v>0</v>
      </c>
      <c r="O2902" s="758">
        <v>47.45</v>
      </c>
      <c r="P2902" s="453"/>
      <c r="Q2902" s="61"/>
      <c r="R2902" s="298"/>
      <c r="S2902" s="669"/>
      <c r="U2902" s="73"/>
      <c r="V2902" s="73"/>
      <c r="W2902" s="73"/>
      <c r="X2902" s="444">
        <v>2902</v>
      </c>
      <c r="Y2902" s="73"/>
      <c r="Z2902" s="73"/>
      <c r="AA2902" s="73"/>
      <c r="AB2902" s="73"/>
      <c r="AC2902" s="73"/>
      <c r="AD2902" s="73"/>
      <c r="AE2902" s="73"/>
      <c r="AF2902" s="73"/>
    </row>
    <row r="2903" spans="1:32" ht="12">
      <c r="A2903" s="83" t="s">
        <v>23062</v>
      </c>
      <c r="B2903" s="64" t="s">
        <v>23063</v>
      </c>
      <c r="C2903" s="71" t="s">
        <v>103</v>
      </c>
      <c r="D2903" s="79">
        <v>1</v>
      </c>
      <c r="E2903" s="79">
        <v>61.53</v>
      </c>
      <c r="F2903" s="79">
        <v>61.53</v>
      </c>
      <c r="G2903" s="445"/>
      <c r="H2903" s="178">
        <v>61.5</v>
      </c>
      <c r="I2903" s="178">
        <v>75.650000000000006</v>
      </c>
      <c r="J2903" s="70">
        <v>-14.120000000000005</v>
      </c>
      <c r="K2903" s="320"/>
      <c r="L2903" s="178">
        <v>4.22</v>
      </c>
      <c r="M2903" s="178">
        <v>57.31</v>
      </c>
      <c r="N2903" s="179">
        <v>0</v>
      </c>
      <c r="O2903" s="178">
        <v>61.53</v>
      </c>
      <c r="P2903" s="453"/>
      <c r="Q2903" s="61"/>
      <c r="R2903" s="298"/>
      <c r="S2903" s="669"/>
      <c r="U2903" s="73"/>
      <c r="V2903" s="73"/>
      <c r="W2903" s="73"/>
      <c r="X2903" s="444">
        <v>2903</v>
      </c>
      <c r="Y2903" s="73"/>
      <c r="Z2903" s="73"/>
      <c r="AA2903" s="73"/>
      <c r="AB2903" s="73"/>
      <c r="AC2903" s="73"/>
      <c r="AD2903" s="73"/>
      <c r="AE2903" s="73"/>
      <c r="AF2903" s="73"/>
    </row>
    <row r="2904" spans="1:32" ht="12">
      <c r="A2904" s="83" t="s">
        <v>23064</v>
      </c>
      <c r="B2904" s="64" t="s">
        <v>8235</v>
      </c>
      <c r="C2904" s="71" t="s">
        <v>509</v>
      </c>
      <c r="D2904" s="79">
        <v>1</v>
      </c>
      <c r="E2904" s="79">
        <v>109.67</v>
      </c>
      <c r="F2904" s="79">
        <v>109.67</v>
      </c>
      <c r="G2904" s="445"/>
      <c r="H2904" s="178">
        <v>109.66</v>
      </c>
      <c r="I2904" s="178">
        <v>134.88</v>
      </c>
      <c r="J2904" s="70">
        <v>-25.209999999999994</v>
      </c>
      <c r="K2904" s="320"/>
      <c r="L2904" s="178">
        <v>9.24</v>
      </c>
      <c r="M2904" s="178">
        <v>100.43</v>
      </c>
      <c r="N2904" s="179">
        <v>0</v>
      </c>
      <c r="O2904" s="178">
        <v>109.67</v>
      </c>
      <c r="P2904" s="453"/>
      <c r="Q2904" s="61"/>
      <c r="R2904" s="298"/>
      <c r="S2904" s="669"/>
      <c r="X2904" s="444">
        <v>2904</v>
      </c>
    </row>
    <row r="2905" spans="1:32" ht="12">
      <c r="A2905" s="755" t="s">
        <v>23065</v>
      </c>
      <c r="B2905" s="756" t="s">
        <v>8237</v>
      </c>
      <c r="C2905" s="757" t="s">
        <v>509</v>
      </c>
      <c r="D2905" s="668">
        <v>1</v>
      </c>
      <c r="E2905" s="668">
        <v>93.23</v>
      </c>
      <c r="F2905" s="668">
        <v>93.23</v>
      </c>
      <c r="G2905" s="445"/>
      <c r="H2905" s="178">
        <v>93.22</v>
      </c>
      <c r="I2905" s="178">
        <v>114.66</v>
      </c>
      <c r="J2905" s="70">
        <v>-21.429999999999993</v>
      </c>
      <c r="K2905" s="320"/>
      <c r="L2905" s="178">
        <v>9.24</v>
      </c>
      <c r="M2905" s="178">
        <v>83.990000000000009</v>
      </c>
      <c r="N2905" s="179">
        <v>0</v>
      </c>
      <c r="O2905" s="758">
        <v>93.23</v>
      </c>
      <c r="P2905" s="453"/>
      <c r="Q2905" s="61"/>
      <c r="R2905" s="298"/>
      <c r="S2905" s="669"/>
      <c r="X2905" s="444">
        <v>2905</v>
      </c>
    </row>
    <row r="2906" spans="1:32" ht="12">
      <c r="A2906" s="83" t="s">
        <v>23066</v>
      </c>
      <c r="B2906" s="64" t="s">
        <v>8239</v>
      </c>
      <c r="C2906" s="71" t="s">
        <v>509</v>
      </c>
      <c r="D2906" s="79">
        <v>1</v>
      </c>
      <c r="E2906" s="79">
        <v>171.55</v>
      </c>
      <c r="F2906" s="79">
        <v>171.55</v>
      </c>
      <c r="G2906" s="445"/>
      <c r="H2906" s="178">
        <v>171.54</v>
      </c>
      <c r="I2906" s="178">
        <v>211</v>
      </c>
      <c r="J2906" s="70">
        <v>-39.449999999999989</v>
      </c>
      <c r="K2906" s="320"/>
      <c r="L2906" s="178">
        <v>9.9700000000000006</v>
      </c>
      <c r="M2906" s="178">
        <v>161.58000000000001</v>
      </c>
      <c r="N2906" s="179">
        <v>0</v>
      </c>
      <c r="O2906" s="178">
        <v>171.55</v>
      </c>
      <c r="P2906" s="453"/>
      <c r="Q2906" s="61"/>
      <c r="R2906" s="298"/>
      <c r="S2906" s="669"/>
      <c r="U2906" s="73"/>
      <c r="V2906" s="73"/>
      <c r="W2906" s="73"/>
      <c r="X2906" s="444">
        <v>2906</v>
      </c>
      <c r="Y2906" s="73"/>
      <c r="Z2906" s="73"/>
      <c r="AA2906" s="73"/>
      <c r="AB2906" s="73"/>
      <c r="AC2906" s="73"/>
      <c r="AD2906" s="73"/>
      <c r="AE2906" s="73"/>
      <c r="AF2906" s="73"/>
    </row>
    <row r="2907" spans="1:32" s="61" customFormat="1" ht="12">
      <c r="A2907" s="83" t="s">
        <v>23067</v>
      </c>
      <c r="B2907" s="64" t="s">
        <v>39996</v>
      </c>
      <c r="C2907" s="71" t="s">
        <v>509</v>
      </c>
      <c r="D2907" s="79">
        <v>1</v>
      </c>
      <c r="E2907" s="79">
        <v>302.89999999999998</v>
      </c>
      <c r="F2907" s="79">
        <v>302.89999999999998</v>
      </c>
      <c r="G2907" s="445"/>
      <c r="H2907" s="178">
        <v>302.89</v>
      </c>
      <c r="I2907" s="178">
        <v>372.55</v>
      </c>
      <c r="J2907" s="70">
        <v>-69.650000000000034</v>
      </c>
      <c r="K2907" s="320"/>
      <c r="L2907" s="178">
        <v>3.95</v>
      </c>
      <c r="M2907" s="178">
        <v>298.95</v>
      </c>
      <c r="N2907" s="179">
        <v>0</v>
      </c>
      <c r="O2907" s="178">
        <v>302.89999999999998</v>
      </c>
      <c r="P2907" s="453"/>
      <c r="R2907" s="298"/>
      <c r="S2907" s="669"/>
      <c r="T2907" s="444"/>
      <c r="U2907" s="73"/>
      <c r="V2907" s="73"/>
      <c r="W2907" s="73"/>
      <c r="X2907" s="444">
        <v>2907</v>
      </c>
      <c r="Y2907" s="73"/>
      <c r="Z2907" s="73"/>
      <c r="AA2907" s="73"/>
      <c r="AB2907" s="73"/>
      <c r="AC2907" s="73"/>
      <c r="AD2907" s="73"/>
      <c r="AE2907" s="73"/>
      <c r="AF2907" s="73"/>
    </row>
    <row r="2908" spans="1:32" ht="12">
      <c r="A2908" s="83" t="s">
        <v>23068</v>
      </c>
      <c r="B2908" s="64" t="s">
        <v>23069</v>
      </c>
      <c r="C2908" s="71" t="s">
        <v>509</v>
      </c>
      <c r="D2908" s="79">
        <v>1</v>
      </c>
      <c r="E2908" s="79">
        <v>112.73</v>
      </c>
      <c r="F2908" s="79">
        <v>112.73</v>
      </c>
      <c r="G2908" s="445"/>
      <c r="H2908" s="178">
        <v>112.72</v>
      </c>
      <c r="I2908" s="178">
        <v>138.65</v>
      </c>
      <c r="J2908" s="70">
        <v>-25.92</v>
      </c>
      <c r="K2908" s="320"/>
      <c r="L2908" s="178">
        <v>9.9700000000000006</v>
      </c>
      <c r="M2908" s="178">
        <v>102.76</v>
      </c>
      <c r="N2908" s="179">
        <v>0</v>
      </c>
      <c r="O2908" s="178">
        <v>112.73</v>
      </c>
      <c r="P2908" s="453"/>
      <c r="Q2908" s="61"/>
      <c r="R2908" s="298"/>
      <c r="S2908" s="669"/>
      <c r="U2908" s="73"/>
      <c r="V2908" s="73"/>
      <c r="W2908" s="73"/>
      <c r="X2908" s="444">
        <v>2908</v>
      </c>
      <c r="Y2908" s="73"/>
      <c r="Z2908" s="73"/>
      <c r="AA2908" s="73"/>
      <c r="AB2908" s="73"/>
      <c r="AC2908" s="73"/>
      <c r="AD2908" s="73"/>
      <c r="AE2908" s="73"/>
      <c r="AF2908" s="73"/>
    </row>
    <row r="2909" spans="1:32" ht="12">
      <c r="A2909" s="83" t="s">
        <v>23070</v>
      </c>
      <c r="B2909" s="64" t="s">
        <v>8245</v>
      </c>
      <c r="C2909" s="71" t="s">
        <v>509</v>
      </c>
      <c r="D2909" s="79">
        <v>1</v>
      </c>
      <c r="E2909" s="79">
        <v>109.89000000000001</v>
      </c>
      <c r="F2909" s="79">
        <v>109.89</v>
      </c>
      <c r="G2909" s="445"/>
      <c r="H2909" s="178">
        <v>109.88</v>
      </c>
      <c r="I2909" s="178">
        <v>135.15</v>
      </c>
      <c r="J2909" s="70">
        <v>-25.259999999999991</v>
      </c>
      <c r="K2909" s="320"/>
      <c r="L2909" s="178">
        <v>9.9700000000000006</v>
      </c>
      <c r="M2909" s="178">
        <v>99.920000000000016</v>
      </c>
      <c r="N2909" s="179">
        <v>0</v>
      </c>
      <c r="O2909" s="178">
        <v>109.89000000000001</v>
      </c>
      <c r="P2909" s="453"/>
      <c r="Q2909" s="61"/>
      <c r="R2909" s="298"/>
      <c r="S2909" s="669"/>
      <c r="U2909" s="73"/>
      <c r="V2909" s="73"/>
      <c r="W2909" s="73"/>
      <c r="X2909" s="444">
        <v>2909</v>
      </c>
      <c r="Y2909" s="73"/>
      <c r="Z2909" s="73"/>
      <c r="AA2909" s="73"/>
      <c r="AB2909" s="73"/>
      <c r="AC2909" s="73"/>
      <c r="AD2909" s="73"/>
      <c r="AE2909" s="73"/>
      <c r="AF2909" s="73"/>
    </row>
    <row r="2910" spans="1:32" ht="12">
      <c r="A2910" s="83" t="s">
        <v>23071</v>
      </c>
      <c r="B2910" s="64" t="s">
        <v>8247</v>
      </c>
      <c r="C2910" s="71" t="s">
        <v>509</v>
      </c>
      <c r="D2910" s="79">
        <v>1</v>
      </c>
      <c r="E2910" s="79">
        <v>146.34</v>
      </c>
      <c r="F2910" s="79">
        <v>146.34</v>
      </c>
      <c r="G2910" s="445"/>
      <c r="H2910" s="178">
        <v>146.33000000000001</v>
      </c>
      <c r="I2910" s="178">
        <v>179.99</v>
      </c>
      <c r="J2910" s="70">
        <v>-33.650000000000006</v>
      </c>
      <c r="K2910" s="320"/>
      <c r="L2910" s="178">
        <v>9.9700000000000006</v>
      </c>
      <c r="M2910" s="178">
        <v>136.37</v>
      </c>
      <c r="N2910" s="179">
        <v>0</v>
      </c>
      <c r="O2910" s="178">
        <v>146.34</v>
      </c>
      <c r="P2910" s="453"/>
      <c r="Q2910" s="61"/>
      <c r="R2910" s="298"/>
      <c r="S2910" s="669"/>
      <c r="X2910" s="444">
        <v>2910</v>
      </c>
    </row>
    <row r="2911" spans="1:32" ht="12">
      <c r="A2911" s="83" t="s">
        <v>23072</v>
      </c>
      <c r="B2911" s="64" t="s">
        <v>8161</v>
      </c>
      <c r="C2911" s="71" t="s">
        <v>509</v>
      </c>
      <c r="D2911" s="79">
        <v>1</v>
      </c>
      <c r="E2911" s="79">
        <v>83.76</v>
      </c>
      <c r="F2911" s="79">
        <v>83.76</v>
      </c>
      <c r="G2911" s="445"/>
      <c r="H2911" s="178">
        <v>83.75</v>
      </c>
      <c r="I2911" s="178">
        <v>103.01</v>
      </c>
      <c r="J2911" s="70">
        <v>-19.25</v>
      </c>
      <c r="K2911" s="320"/>
      <c r="L2911" s="178">
        <v>9.9700000000000006</v>
      </c>
      <c r="M2911" s="178">
        <v>73.790000000000006</v>
      </c>
      <c r="N2911" s="179">
        <v>0</v>
      </c>
      <c r="O2911" s="178">
        <v>83.76</v>
      </c>
      <c r="P2911" s="453"/>
      <c r="Q2911" s="61"/>
      <c r="R2911" s="298"/>
      <c r="S2911" s="669"/>
      <c r="X2911" s="444">
        <v>2911</v>
      </c>
    </row>
    <row r="2912" spans="1:32" ht="12">
      <c r="A2912" s="83" t="s">
        <v>23073</v>
      </c>
      <c r="B2912" s="64" t="s">
        <v>23074</v>
      </c>
      <c r="C2912" s="71" t="s">
        <v>10216</v>
      </c>
      <c r="D2912" s="79">
        <v>1</v>
      </c>
      <c r="E2912" s="79">
        <v>577.26</v>
      </c>
      <c r="F2912" s="79">
        <v>577.26</v>
      </c>
      <c r="G2912" s="445"/>
      <c r="H2912" s="178">
        <v>577.25</v>
      </c>
      <c r="I2912" s="178">
        <v>710.02</v>
      </c>
      <c r="J2912" s="70">
        <v>-132.76</v>
      </c>
      <c r="K2912" s="320"/>
      <c r="L2912" s="178"/>
      <c r="M2912" s="178">
        <v>577.26</v>
      </c>
      <c r="N2912" s="179">
        <v>0</v>
      </c>
      <c r="O2912" s="178">
        <v>577.26</v>
      </c>
      <c r="P2912" s="453"/>
      <c r="Q2912" s="61"/>
      <c r="R2912" s="298"/>
      <c r="S2912" s="669"/>
      <c r="X2912" s="444">
        <v>2912</v>
      </c>
    </row>
    <row r="2913" spans="1:24" ht="12">
      <c r="A2913" s="83" t="s">
        <v>23075</v>
      </c>
      <c r="B2913" s="64" t="s">
        <v>23076</v>
      </c>
      <c r="C2913" s="71" t="s">
        <v>103</v>
      </c>
      <c r="D2913" s="79">
        <v>1</v>
      </c>
      <c r="E2913" s="79">
        <v>66.62</v>
      </c>
      <c r="F2913" s="79">
        <v>66.62</v>
      </c>
      <c r="G2913" s="445"/>
      <c r="H2913" s="178">
        <v>66.599999999999994</v>
      </c>
      <c r="I2913" s="178">
        <v>81.92</v>
      </c>
      <c r="J2913" s="70">
        <v>-15.299999999999997</v>
      </c>
      <c r="K2913" s="320"/>
      <c r="L2913" s="178">
        <v>3.95</v>
      </c>
      <c r="M2913" s="178">
        <v>62.67</v>
      </c>
      <c r="N2913" s="179">
        <v>0</v>
      </c>
      <c r="O2913" s="178">
        <v>66.62</v>
      </c>
      <c r="P2913" s="453"/>
      <c r="Q2913" s="61"/>
      <c r="R2913" s="298"/>
      <c r="S2913" s="669"/>
      <c r="X2913" s="444">
        <v>2913</v>
      </c>
    </row>
    <row r="2914" spans="1:24" ht="12">
      <c r="A2914" s="83" t="s">
        <v>23077</v>
      </c>
      <c r="B2914" s="64" t="s">
        <v>8069</v>
      </c>
      <c r="C2914" s="71" t="s">
        <v>509</v>
      </c>
      <c r="D2914" s="79">
        <v>1</v>
      </c>
      <c r="E2914" s="79">
        <v>277.63</v>
      </c>
      <c r="F2914" s="79">
        <v>277.63</v>
      </c>
      <c r="G2914" s="445"/>
      <c r="H2914" s="178">
        <v>277.62</v>
      </c>
      <c r="I2914" s="178">
        <v>341.47</v>
      </c>
      <c r="J2914" s="70">
        <v>-63.840000000000032</v>
      </c>
      <c r="K2914" s="320"/>
      <c r="L2914" s="178">
        <v>9.9700000000000006</v>
      </c>
      <c r="M2914" s="178">
        <v>267.65999999999997</v>
      </c>
      <c r="N2914" s="179">
        <v>0</v>
      </c>
      <c r="O2914" s="178">
        <v>277.63</v>
      </c>
      <c r="P2914" s="453"/>
      <c r="Q2914" s="61"/>
      <c r="R2914" s="298"/>
      <c r="S2914" s="669"/>
      <c r="X2914" s="444">
        <v>2914</v>
      </c>
    </row>
    <row r="2915" spans="1:24" ht="12">
      <c r="A2915" s="83" t="s">
        <v>23078</v>
      </c>
      <c r="B2915" s="64" t="s">
        <v>8071</v>
      </c>
      <c r="C2915" s="71" t="s">
        <v>509</v>
      </c>
      <c r="D2915" s="79">
        <v>1</v>
      </c>
      <c r="E2915" s="79">
        <v>301.16999999999996</v>
      </c>
      <c r="F2915" s="79">
        <v>301.17</v>
      </c>
      <c r="G2915" s="445"/>
      <c r="H2915" s="178">
        <v>301.16000000000003</v>
      </c>
      <c r="I2915" s="178">
        <v>370.43</v>
      </c>
      <c r="J2915" s="70">
        <v>-69.260000000000048</v>
      </c>
      <c r="K2915" s="320"/>
      <c r="L2915" s="178">
        <v>9.9700000000000006</v>
      </c>
      <c r="M2915" s="178">
        <v>291.19999999999993</v>
      </c>
      <c r="N2915" s="179">
        <v>0</v>
      </c>
      <c r="O2915" s="178">
        <v>301.16999999999996</v>
      </c>
      <c r="P2915" s="453"/>
      <c r="Q2915" s="61"/>
      <c r="R2915" s="298"/>
      <c r="S2915" s="669"/>
      <c r="X2915" s="444">
        <v>2915</v>
      </c>
    </row>
    <row r="2916" spans="1:24" ht="12">
      <c r="A2916" s="83" t="s">
        <v>23079</v>
      </c>
      <c r="B2916" s="64" t="s">
        <v>8073</v>
      </c>
      <c r="C2916" s="71" t="s">
        <v>509</v>
      </c>
      <c r="D2916" s="79">
        <v>1</v>
      </c>
      <c r="E2916" s="79">
        <v>131.87</v>
      </c>
      <c r="F2916" s="79">
        <v>131.87</v>
      </c>
      <c r="G2916" s="445"/>
      <c r="H2916" s="178">
        <v>131.86000000000001</v>
      </c>
      <c r="I2916" s="178">
        <v>162.19</v>
      </c>
      <c r="J2916" s="70">
        <v>-30.319999999999993</v>
      </c>
      <c r="K2916" s="320"/>
      <c r="L2916" s="178">
        <v>9.9700000000000006</v>
      </c>
      <c r="M2916" s="178">
        <v>121.9</v>
      </c>
      <c r="N2916" s="179">
        <v>0</v>
      </c>
      <c r="O2916" s="178">
        <v>131.87</v>
      </c>
      <c r="P2916" s="453"/>
      <c r="Q2916" s="61"/>
      <c r="R2916" s="298"/>
      <c r="S2916" s="669"/>
      <c r="X2916" s="444">
        <v>2916</v>
      </c>
    </row>
    <row r="2917" spans="1:24" ht="12">
      <c r="A2917" s="83" t="s">
        <v>23080</v>
      </c>
      <c r="B2917" s="64" t="s">
        <v>23081</v>
      </c>
      <c r="C2917" s="71" t="s">
        <v>509</v>
      </c>
      <c r="D2917" s="79">
        <v>1</v>
      </c>
      <c r="E2917" s="79">
        <v>1082.43</v>
      </c>
      <c r="F2917" s="79">
        <v>1082.43</v>
      </c>
      <c r="G2917" s="445"/>
      <c r="H2917" s="178">
        <v>1082.4100000000001</v>
      </c>
      <c r="I2917" s="178">
        <v>1331.37</v>
      </c>
      <c r="J2917" s="70">
        <v>-248.93999999999983</v>
      </c>
      <c r="K2917" s="320"/>
      <c r="L2917" s="178">
        <v>3.95</v>
      </c>
      <c r="M2917" s="178">
        <v>1078.48</v>
      </c>
      <c r="N2917" s="179">
        <v>0</v>
      </c>
      <c r="O2917" s="178">
        <v>1082.43</v>
      </c>
      <c r="P2917" s="453"/>
      <c r="Q2917" s="61"/>
      <c r="R2917" s="298"/>
      <c r="S2917" s="669"/>
      <c r="X2917" s="444">
        <v>2917</v>
      </c>
    </row>
    <row r="2918" spans="1:24" ht="12">
      <c r="A2918" s="83" t="s">
        <v>23082</v>
      </c>
      <c r="B2918" s="64" t="s">
        <v>8075</v>
      </c>
      <c r="C2918" s="71" t="s">
        <v>509</v>
      </c>
      <c r="D2918" s="79">
        <v>1</v>
      </c>
      <c r="E2918" s="79">
        <v>90.210000000000008</v>
      </c>
      <c r="F2918" s="79">
        <v>90.21</v>
      </c>
      <c r="G2918" s="445"/>
      <c r="H2918" s="178">
        <v>90.2</v>
      </c>
      <c r="I2918" s="178">
        <v>110.95</v>
      </c>
      <c r="J2918" s="70">
        <v>-20.739999999999995</v>
      </c>
      <c r="K2918" s="320"/>
      <c r="L2918" s="178">
        <v>9.9700000000000006</v>
      </c>
      <c r="M2918" s="178">
        <v>80.240000000000009</v>
      </c>
      <c r="N2918" s="179">
        <v>0</v>
      </c>
      <c r="O2918" s="178">
        <v>90.210000000000008</v>
      </c>
      <c r="P2918" s="453"/>
      <c r="Q2918" s="61"/>
      <c r="R2918" s="298"/>
      <c r="S2918" s="669"/>
      <c r="X2918" s="444">
        <v>2918</v>
      </c>
    </row>
    <row r="2919" spans="1:24" ht="12">
      <c r="A2919" s="83" t="s">
        <v>23083</v>
      </c>
      <c r="B2919" s="64" t="s">
        <v>8081</v>
      </c>
      <c r="C2919" s="71" t="s">
        <v>509</v>
      </c>
      <c r="D2919" s="79">
        <v>1</v>
      </c>
      <c r="E2919" s="79">
        <v>108.17000000000002</v>
      </c>
      <c r="F2919" s="79">
        <v>108.17</v>
      </c>
      <c r="G2919" s="445"/>
      <c r="H2919" s="178">
        <v>108.16</v>
      </c>
      <c r="I2919" s="178">
        <v>133.04</v>
      </c>
      <c r="J2919" s="70">
        <v>-24.869999999999976</v>
      </c>
      <c r="K2919" s="320"/>
      <c r="L2919" s="178">
        <v>9.9700000000000006</v>
      </c>
      <c r="M2919" s="178">
        <v>98.200000000000017</v>
      </c>
      <c r="N2919" s="179">
        <v>0</v>
      </c>
      <c r="O2919" s="178">
        <v>108.17000000000002</v>
      </c>
      <c r="P2919" s="453"/>
      <c r="Q2919" s="61"/>
      <c r="R2919" s="298"/>
      <c r="S2919" s="669"/>
      <c r="X2919" s="444">
        <v>2919</v>
      </c>
    </row>
    <row r="2920" spans="1:24" ht="12">
      <c r="A2920" s="83" t="s">
        <v>23084</v>
      </c>
      <c r="B2920" s="64" t="s">
        <v>8085</v>
      </c>
      <c r="C2920" s="71" t="s">
        <v>509</v>
      </c>
      <c r="D2920" s="79">
        <v>1</v>
      </c>
      <c r="E2920" s="79">
        <v>188.23</v>
      </c>
      <c r="F2920" s="79">
        <v>188.23</v>
      </c>
      <c r="G2920" s="445"/>
      <c r="H2920" s="178">
        <v>188.22</v>
      </c>
      <c r="I2920" s="178">
        <v>231.51</v>
      </c>
      <c r="J2920" s="70">
        <v>-43.28</v>
      </c>
      <c r="K2920" s="320"/>
      <c r="L2920" s="178">
        <v>9.9700000000000006</v>
      </c>
      <c r="M2920" s="178">
        <v>178.26</v>
      </c>
      <c r="N2920" s="179">
        <v>0</v>
      </c>
      <c r="O2920" s="178">
        <v>188.23</v>
      </c>
      <c r="P2920" s="453"/>
      <c r="Q2920" s="61"/>
      <c r="R2920" s="298"/>
      <c r="S2920" s="669"/>
      <c r="X2920" s="444">
        <v>2920</v>
      </c>
    </row>
    <row r="2921" spans="1:24" ht="12">
      <c r="A2921" s="83" t="s">
        <v>23085</v>
      </c>
      <c r="B2921" s="64" t="s">
        <v>8089</v>
      </c>
      <c r="C2921" s="71" t="s">
        <v>509</v>
      </c>
      <c r="D2921" s="79">
        <v>1</v>
      </c>
      <c r="E2921" s="79">
        <v>675.87</v>
      </c>
      <c r="F2921" s="79">
        <v>675.87</v>
      </c>
      <c r="G2921" s="445"/>
      <c r="H2921" s="178">
        <v>675.86</v>
      </c>
      <c r="I2921" s="178">
        <v>831.31</v>
      </c>
      <c r="J2921" s="70">
        <v>-155.43999999999994</v>
      </c>
      <c r="K2921" s="320"/>
      <c r="L2921" s="178">
        <v>9.9700000000000006</v>
      </c>
      <c r="M2921" s="178">
        <v>665.9</v>
      </c>
      <c r="N2921" s="179">
        <v>0</v>
      </c>
      <c r="O2921" s="178">
        <v>675.87</v>
      </c>
      <c r="P2921" s="453"/>
      <c r="Q2921" s="61"/>
      <c r="R2921" s="298"/>
      <c r="S2921" s="669"/>
      <c r="X2921" s="444">
        <v>2921</v>
      </c>
    </row>
    <row r="2922" spans="1:24" ht="12">
      <c r="A2922" s="83" t="s">
        <v>23086</v>
      </c>
      <c r="B2922" s="64" t="s">
        <v>8091</v>
      </c>
      <c r="C2922" s="71" t="s">
        <v>509</v>
      </c>
      <c r="D2922" s="79">
        <v>1</v>
      </c>
      <c r="E2922" s="79">
        <v>283.57</v>
      </c>
      <c r="F2922" s="79">
        <v>283.57</v>
      </c>
      <c r="G2922" s="445"/>
      <c r="H2922" s="178">
        <v>283.56</v>
      </c>
      <c r="I2922" s="178">
        <v>348.78</v>
      </c>
      <c r="J2922" s="70">
        <v>-65.20999999999998</v>
      </c>
      <c r="K2922" s="320"/>
      <c r="L2922" s="178">
        <v>9.9700000000000006</v>
      </c>
      <c r="M2922" s="178">
        <v>273.59999999999997</v>
      </c>
      <c r="N2922" s="179">
        <v>0</v>
      </c>
      <c r="O2922" s="178">
        <v>283.57</v>
      </c>
      <c r="P2922" s="453"/>
      <c r="Q2922" s="61"/>
      <c r="R2922" s="298"/>
      <c r="S2922" s="669"/>
      <c r="X2922" s="444">
        <v>2922</v>
      </c>
    </row>
    <row r="2923" spans="1:24" ht="12">
      <c r="A2923" s="83" t="s">
        <v>23087</v>
      </c>
      <c r="B2923" s="64" t="s">
        <v>23088</v>
      </c>
      <c r="C2923" s="71" t="s">
        <v>103</v>
      </c>
      <c r="D2923" s="79">
        <v>1</v>
      </c>
      <c r="E2923" s="79">
        <v>58.699999999999996</v>
      </c>
      <c r="F2923" s="79">
        <v>58.7</v>
      </c>
      <c r="G2923" s="445"/>
      <c r="H2923" s="178">
        <v>58.68</v>
      </c>
      <c r="I2923" s="178">
        <v>72.180000000000007</v>
      </c>
      <c r="J2923" s="70">
        <v>-13.480000000000011</v>
      </c>
      <c r="K2923" s="320"/>
      <c r="L2923" s="178">
        <v>3.95</v>
      </c>
      <c r="M2923" s="178">
        <v>54.749999999999993</v>
      </c>
      <c r="N2923" s="179">
        <v>0</v>
      </c>
      <c r="O2923" s="178">
        <v>58.699999999999996</v>
      </c>
      <c r="P2923" s="453"/>
      <c r="Q2923" s="61"/>
      <c r="R2923" s="298"/>
      <c r="S2923" s="669"/>
      <c r="X2923" s="444">
        <v>2923</v>
      </c>
    </row>
    <row r="2924" spans="1:24" ht="12">
      <c r="A2924" s="83" t="s">
        <v>23089</v>
      </c>
      <c r="B2924" s="64" t="s">
        <v>8097</v>
      </c>
      <c r="C2924" s="71" t="s">
        <v>509</v>
      </c>
      <c r="D2924" s="79">
        <v>1</v>
      </c>
      <c r="E2924" s="79">
        <v>152.94</v>
      </c>
      <c r="F2924" s="79">
        <v>152.94</v>
      </c>
      <c r="G2924" s="445"/>
      <c r="H2924" s="178">
        <v>152.93</v>
      </c>
      <c r="I2924" s="178">
        <v>188.1</v>
      </c>
      <c r="J2924" s="70">
        <v>-35.159999999999997</v>
      </c>
      <c r="K2924" s="320"/>
      <c r="L2924" s="178">
        <v>9.9700000000000006</v>
      </c>
      <c r="M2924" s="178">
        <v>142.97</v>
      </c>
      <c r="N2924" s="179">
        <v>0</v>
      </c>
      <c r="O2924" s="178">
        <v>152.94</v>
      </c>
      <c r="P2924" s="453"/>
      <c r="Q2924" s="61"/>
      <c r="R2924" s="298"/>
      <c r="S2924" s="669"/>
      <c r="X2924" s="444">
        <v>2924</v>
      </c>
    </row>
    <row r="2925" spans="1:24" ht="12">
      <c r="A2925" s="83" t="s">
        <v>23090</v>
      </c>
      <c r="B2925" s="64" t="s">
        <v>8099</v>
      </c>
      <c r="C2925" s="71" t="s">
        <v>509</v>
      </c>
      <c r="D2925" s="79">
        <v>1</v>
      </c>
      <c r="E2925" s="79">
        <v>846.31</v>
      </c>
      <c r="F2925" s="79">
        <v>846.31</v>
      </c>
      <c r="G2925" s="445"/>
      <c r="H2925" s="178">
        <v>846.3</v>
      </c>
      <c r="I2925" s="178">
        <v>1040.95</v>
      </c>
      <c r="J2925" s="70">
        <v>-194.6400000000001</v>
      </c>
      <c r="K2925" s="320"/>
      <c r="L2925" s="178">
        <v>9.9700000000000006</v>
      </c>
      <c r="M2925" s="178">
        <v>836.33999999999992</v>
      </c>
      <c r="N2925" s="179">
        <v>0</v>
      </c>
      <c r="O2925" s="178">
        <v>846.31</v>
      </c>
      <c r="P2925" s="453"/>
      <c r="Q2925" s="61"/>
      <c r="R2925" s="298"/>
      <c r="S2925" s="669"/>
      <c r="X2925" s="444">
        <v>2925</v>
      </c>
    </row>
    <row r="2926" spans="1:24" ht="12">
      <c r="A2926" s="83" t="s">
        <v>23091</v>
      </c>
      <c r="B2926" s="64" t="s">
        <v>8101</v>
      </c>
      <c r="C2926" s="71" t="s">
        <v>509</v>
      </c>
      <c r="D2926" s="79">
        <v>1</v>
      </c>
      <c r="E2926" s="79">
        <v>93.11</v>
      </c>
      <c r="F2926" s="79">
        <v>93.11</v>
      </c>
      <c r="G2926" s="445"/>
      <c r="H2926" s="178">
        <v>93.1</v>
      </c>
      <c r="I2926" s="178">
        <v>114.51</v>
      </c>
      <c r="J2926" s="70">
        <v>-21.400000000000006</v>
      </c>
      <c r="K2926" s="320"/>
      <c r="L2926" s="178">
        <v>9.9700000000000006</v>
      </c>
      <c r="M2926" s="178">
        <v>83.14</v>
      </c>
      <c r="N2926" s="179">
        <v>0</v>
      </c>
      <c r="O2926" s="178">
        <v>93.11</v>
      </c>
      <c r="P2926" s="453"/>
      <c r="Q2926" s="61"/>
      <c r="R2926" s="298"/>
      <c r="S2926" s="669"/>
      <c r="X2926" s="444">
        <v>2926</v>
      </c>
    </row>
    <row r="2927" spans="1:24" ht="12">
      <c r="A2927" s="83" t="s">
        <v>23092</v>
      </c>
      <c r="B2927" s="64" t="s">
        <v>8103</v>
      </c>
      <c r="C2927" s="71" t="s">
        <v>509</v>
      </c>
      <c r="D2927" s="79">
        <v>1</v>
      </c>
      <c r="E2927" s="79">
        <v>278.59999999999997</v>
      </c>
      <c r="F2927" s="79">
        <v>278.60000000000002</v>
      </c>
      <c r="G2927" s="445"/>
      <c r="H2927" s="178">
        <v>278.58999999999997</v>
      </c>
      <c r="I2927" s="178">
        <v>342.67</v>
      </c>
      <c r="J2927" s="70">
        <v>-64.07000000000005</v>
      </c>
      <c r="K2927" s="320"/>
      <c r="L2927" s="178">
        <v>9.9700000000000006</v>
      </c>
      <c r="M2927" s="178">
        <v>268.62999999999994</v>
      </c>
      <c r="N2927" s="179">
        <v>0</v>
      </c>
      <c r="O2927" s="178">
        <v>278.59999999999997</v>
      </c>
      <c r="P2927" s="453"/>
      <c r="Q2927" s="61"/>
      <c r="R2927" s="298"/>
      <c r="S2927" s="669"/>
      <c r="X2927" s="444">
        <v>2927</v>
      </c>
    </row>
    <row r="2928" spans="1:24" ht="12">
      <c r="A2928" s="83" t="s">
        <v>23093</v>
      </c>
      <c r="B2928" s="64" t="s">
        <v>23094</v>
      </c>
      <c r="C2928" s="71" t="s">
        <v>103</v>
      </c>
      <c r="D2928" s="79">
        <v>1</v>
      </c>
      <c r="E2928" s="79">
        <v>301.66000000000003</v>
      </c>
      <c r="F2928" s="79">
        <v>301.66000000000003</v>
      </c>
      <c r="G2928" s="445"/>
      <c r="H2928" s="178">
        <v>301.66000000000003</v>
      </c>
      <c r="I2928" s="178">
        <v>371.04</v>
      </c>
      <c r="J2928" s="70">
        <v>-69.38</v>
      </c>
      <c r="K2928" s="320"/>
      <c r="L2928" s="178">
        <v>37.340000000000003</v>
      </c>
      <c r="M2928" s="178">
        <v>264.32000000000005</v>
      </c>
      <c r="N2928" s="179">
        <v>0</v>
      </c>
      <c r="O2928" s="178">
        <v>301.66000000000008</v>
      </c>
      <c r="P2928" s="453"/>
      <c r="Q2928" s="61"/>
      <c r="R2928" s="298"/>
      <c r="S2928" s="669"/>
      <c r="X2928" s="444">
        <v>2928</v>
      </c>
    </row>
    <row r="2929" spans="1:32" ht="12">
      <c r="A2929" s="83" t="s">
        <v>23095</v>
      </c>
      <c r="B2929" s="64" t="s">
        <v>23096</v>
      </c>
      <c r="C2929" s="71" t="s">
        <v>103</v>
      </c>
      <c r="D2929" s="79">
        <v>1</v>
      </c>
      <c r="E2929" s="79">
        <v>334.83</v>
      </c>
      <c r="F2929" s="79">
        <v>334.83</v>
      </c>
      <c r="G2929" s="445"/>
      <c r="H2929" s="178">
        <v>334.83</v>
      </c>
      <c r="I2929" s="178">
        <v>411.84</v>
      </c>
      <c r="J2929" s="70">
        <v>-77.009999999999991</v>
      </c>
      <c r="K2929" s="320"/>
      <c r="L2929" s="178">
        <v>37.340000000000003</v>
      </c>
      <c r="M2929" s="178">
        <v>297.49</v>
      </c>
      <c r="N2929" s="179">
        <v>0</v>
      </c>
      <c r="O2929" s="178">
        <v>334.83000000000004</v>
      </c>
      <c r="P2929" s="453"/>
      <c r="Q2929" s="61"/>
      <c r="R2929" s="298"/>
      <c r="S2929" s="669"/>
      <c r="X2929" s="444">
        <v>2929</v>
      </c>
    </row>
    <row r="2930" spans="1:32" ht="12">
      <c r="A2930" s="83" t="s">
        <v>23097</v>
      </c>
      <c r="B2930" s="64" t="s">
        <v>23098</v>
      </c>
      <c r="C2930" s="71" t="s">
        <v>103</v>
      </c>
      <c r="D2930" s="79">
        <v>1</v>
      </c>
      <c r="E2930" s="79">
        <v>397.31</v>
      </c>
      <c r="F2930" s="79">
        <v>397.31</v>
      </c>
      <c r="G2930" s="445"/>
      <c r="H2930" s="178">
        <v>397.31</v>
      </c>
      <c r="I2930" s="178">
        <v>488.69</v>
      </c>
      <c r="J2930" s="70">
        <v>-91.38</v>
      </c>
      <c r="K2930" s="320"/>
      <c r="L2930" s="178">
        <v>37.340000000000003</v>
      </c>
      <c r="M2930" s="178">
        <v>359.97</v>
      </c>
      <c r="N2930" s="179">
        <v>0</v>
      </c>
      <c r="O2930" s="178">
        <v>397.31000000000006</v>
      </c>
      <c r="P2930" s="453"/>
      <c r="Q2930" s="61"/>
      <c r="R2930" s="298"/>
      <c r="S2930" s="669"/>
      <c r="X2930" s="444">
        <v>2930</v>
      </c>
    </row>
    <row r="2931" spans="1:32" ht="12">
      <c r="A2931" s="83" t="s">
        <v>23099</v>
      </c>
      <c r="B2931" s="64" t="s">
        <v>23100</v>
      </c>
      <c r="C2931" s="71" t="s">
        <v>103</v>
      </c>
      <c r="D2931" s="79">
        <v>1</v>
      </c>
      <c r="E2931" s="79">
        <v>287.14</v>
      </c>
      <c r="F2931" s="79">
        <v>287.14</v>
      </c>
      <c r="G2931" s="445"/>
      <c r="H2931" s="178">
        <v>287.14</v>
      </c>
      <c r="I2931" s="178">
        <v>353.18</v>
      </c>
      <c r="J2931" s="70">
        <v>-66.04000000000002</v>
      </c>
      <c r="K2931" s="320"/>
      <c r="L2931" s="178">
        <v>37.340000000000003</v>
      </c>
      <c r="M2931" s="178">
        <v>249.79999999999998</v>
      </c>
      <c r="N2931" s="179">
        <v>0</v>
      </c>
      <c r="O2931" s="178">
        <v>287.14</v>
      </c>
      <c r="P2931" s="453"/>
      <c r="Q2931" s="61"/>
      <c r="R2931" s="298"/>
      <c r="S2931" s="669"/>
      <c r="X2931" s="444">
        <v>2931</v>
      </c>
    </row>
    <row r="2932" spans="1:32" ht="12">
      <c r="A2932" s="83" t="s">
        <v>23101</v>
      </c>
      <c r="B2932" s="64" t="s">
        <v>23102</v>
      </c>
      <c r="C2932" s="71" t="s">
        <v>103</v>
      </c>
      <c r="D2932" s="79">
        <v>1</v>
      </c>
      <c r="E2932" s="79">
        <v>563.04000000000008</v>
      </c>
      <c r="F2932" s="79">
        <v>563.04</v>
      </c>
      <c r="G2932" s="445"/>
      <c r="H2932" s="178">
        <v>563.04</v>
      </c>
      <c r="I2932" s="178">
        <v>692.54</v>
      </c>
      <c r="J2932" s="70">
        <v>-129.49999999999989</v>
      </c>
      <c r="K2932" s="320"/>
      <c r="L2932" s="178">
        <v>37.340000000000003</v>
      </c>
      <c r="M2932" s="178">
        <v>525.70000000000005</v>
      </c>
      <c r="N2932" s="179">
        <v>0</v>
      </c>
      <c r="O2932" s="178">
        <v>563.04000000000008</v>
      </c>
      <c r="P2932" s="453"/>
      <c r="Q2932" s="61"/>
      <c r="R2932" s="298"/>
      <c r="S2932" s="669"/>
      <c r="X2932" s="444">
        <v>2932</v>
      </c>
    </row>
    <row r="2933" spans="1:32" ht="12">
      <c r="A2933" s="83" t="s">
        <v>23103</v>
      </c>
      <c r="B2933" s="64" t="s">
        <v>23104</v>
      </c>
      <c r="C2933" s="71" t="s">
        <v>103</v>
      </c>
      <c r="D2933" s="79">
        <v>1</v>
      </c>
      <c r="E2933" s="79">
        <v>473.82</v>
      </c>
      <c r="F2933" s="79">
        <v>473.82</v>
      </c>
      <c r="G2933" s="445"/>
      <c r="H2933" s="178">
        <v>473.82</v>
      </c>
      <c r="I2933" s="178">
        <v>582.79999999999995</v>
      </c>
      <c r="J2933" s="70">
        <v>-108.97999999999996</v>
      </c>
      <c r="K2933" s="320"/>
      <c r="L2933" s="178">
        <v>37.340000000000003</v>
      </c>
      <c r="M2933" s="178">
        <v>436.48</v>
      </c>
      <c r="N2933" s="179">
        <v>0</v>
      </c>
      <c r="O2933" s="178">
        <v>473.82000000000005</v>
      </c>
      <c r="P2933" s="453"/>
      <c r="Q2933" s="61"/>
      <c r="R2933" s="298"/>
      <c r="S2933" s="669"/>
      <c r="T2933" s="61"/>
      <c r="U2933" s="73"/>
      <c r="V2933" s="73"/>
      <c r="W2933" s="73"/>
      <c r="X2933" s="444">
        <v>2933</v>
      </c>
      <c r="Y2933" s="73"/>
      <c r="Z2933" s="73"/>
      <c r="AA2933" s="73"/>
      <c r="AB2933" s="73"/>
      <c r="AC2933" s="73"/>
      <c r="AD2933" s="73"/>
      <c r="AE2933" s="73"/>
      <c r="AF2933" s="73"/>
    </row>
    <row r="2934" spans="1:32" ht="12">
      <c r="A2934" s="83" t="s">
        <v>23105</v>
      </c>
      <c r="B2934" s="64" t="s">
        <v>23106</v>
      </c>
      <c r="C2934" s="71" t="s">
        <v>103</v>
      </c>
      <c r="D2934" s="79">
        <v>1</v>
      </c>
      <c r="E2934" s="79">
        <v>381.8</v>
      </c>
      <c r="F2934" s="79">
        <v>381.8</v>
      </c>
      <c r="G2934" s="445"/>
      <c r="H2934" s="178">
        <v>381.8</v>
      </c>
      <c r="I2934" s="178">
        <v>469.62</v>
      </c>
      <c r="J2934" s="70">
        <v>-87.82</v>
      </c>
      <c r="K2934" s="320"/>
      <c r="L2934" s="178">
        <v>37.340000000000003</v>
      </c>
      <c r="M2934" s="178">
        <v>344.46000000000004</v>
      </c>
      <c r="N2934" s="179">
        <v>0</v>
      </c>
      <c r="O2934" s="178">
        <v>381.80000000000007</v>
      </c>
      <c r="P2934" s="453"/>
      <c r="Q2934" s="61"/>
      <c r="R2934" s="298"/>
      <c r="S2934" s="669"/>
      <c r="T2934" s="61"/>
      <c r="U2934" s="73"/>
      <c r="V2934" s="73"/>
      <c r="W2934" s="73"/>
      <c r="X2934" s="444">
        <v>2934</v>
      </c>
      <c r="Y2934" s="73"/>
      <c r="Z2934" s="73"/>
      <c r="AA2934" s="73"/>
      <c r="AB2934" s="73"/>
      <c r="AC2934" s="73"/>
      <c r="AD2934" s="73"/>
      <c r="AE2934" s="73"/>
      <c r="AF2934" s="73"/>
    </row>
    <row r="2935" spans="1:32" ht="12">
      <c r="A2935" s="83" t="s">
        <v>23107</v>
      </c>
      <c r="B2935" s="64" t="s">
        <v>23108</v>
      </c>
      <c r="C2935" s="71" t="s">
        <v>103</v>
      </c>
      <c r="D2935" s="79">
        <v>1</v>
      </c>
      <c r="E2935" s="79">
        <v>456.91</v>
      </c>
      <c r="F2935" s="79">
        <v>456.91</v>
      </c>
      <c r="G2935" s="445"/>
      <c r="H2935" s="178">
        <v>456.91</v>
      </c>
      <c r="I2935" s="178">
        <v>562</v>
      </c>
      <c r="J2935" s="70">
        <v>-105.08999999999997</v>
      </c>
      <c r="K2935" s="320"/>
      <c r="L2935" s="178">
        <v>37.340000000000003</v>
      </c>
      <c r="M2935" s="178">
        <v>419.57000000000005</v>
      </c>
      <c r="N2935" s="179">
        <v>0</v>
      </c>
      <c r="O2935" s="178">
        <v>456.91000000000008</v>
      </c>
      <c r="P2935" s="453"/>
      <c r="Q2935" s="61"/>
      <c r="R2935" s="298"/>
      <c r="S2935" s="669"/>
      <c r="U2935" s="73"/>
      <c r="V2935" s="73"/>
      <c r="W2935" s="73"/>
      <c r="X2935" s="444">
        <v>2935</v>
      </c>
      <c r="Y2935" s="73"/>
      <c r="Z2935" s="73"/>
      <c r="AA2935" s="73"/>
      <c r="AB2935" s="73"/>
      <c r="AC2935" s="73"/>
      <c r="AD2935" s="73"/>
      <c r="AE2935" s="73"/>
      <c r="AF2935" s="73"/>
    </row>
    <row r="2936" spans="1:32" ht="12">
      <c r="A2936" s="83" t="s">
        <v>23109</v>
      </c>
      <c r="B2936" s="64" t="s">
        <v>39997</v>
      </c>
      <c r="C2936" s="71" t="s">
        <v>103</v>
      </c>
      <c r="D2936" s="79">
        <v>1</v>
      </c>
      <c r="E2936" s="79">
        <v>25.9</v>
      </c>
      <c r="F2936" s="79">
        <v>25.9</v>
      </c>
      <c r="G2936" s="445"/>
      <c r="H2936" s="178">
        <v>25.89</v>
      </c>
      <c r="I2936" s="178">
        <v>31.84</v>
      </c>
      <c r="J2936" s="70">
        <v>-5.9400000000000013</v>
      </c>
      <c r="K2936" s="320"/>
      <c r="L2936" s="178">
        <v>6.17</v>
      </c>
      <c r="M2936" s="178">
        <v>19.729999999999997</v>
      </c>
      <c r="N2936" s="179">
        <v>0</v>
      </c>
      <c r="O2936" s="178">
        <v>25.9</v>
      </c>
      <c r="P2936" s="453"/>
      <c r="Q2936" s="61"/>
      <c r="R2936" s="298"/>
      <c r="S2936" s="669"/>
      <c r="T2936" s="69"/>
      <c r="U2936" s="61"/>
      <c r="V2936" s="61"/>
      <c r="W2936" s="61"/>
      <c r="X2936" s="444">
        <v>2936</v>
      </c>
      <c r="Y2936" s="61"/>
      <c r="Z2936" s="61"/>
      <c r="AA2936" s="61"/>
      <c r="AB2936" s="61"/>
      <c r="AC2936" s="61"/>
      <c r="AD2936" s="61"/>
      <c r="AE2936" s="61"/>
      <c r="AF2936" s="61"/>
    </row>
    <row r="2937" spans="1:32" ht="12">
      <c r="A2937" s="83" t="s">
        <v>23110</v>
      </c>
      <c r="B2937" s="64" t="s">
        <v>39998</v>
      </c>
      <c r="C2937" s="71" t="s">
        <v>103</v>
      </c>
      <c r="D2937" s="79">
        <v>1</v>
      </c>
      <c r="E2937" s="79">
        <v>25.71</v>
      </c>
      <c r="F2937" s="79">
        <v>25.71</v>
      </c>
      <c r="G2937" s="445"/>
      <c r="H2937" s="178">
        <v>25.7</v>
      </c>
      <c r="I2937" s="178">
        <v>31.61</v>
      </c>
      <c r="J2937" s="70">
        <v>-5.8999999999999986</v>
      </c>
      <c r="K2937" s="320"/>
      <c r="L2937" s="178">
        <v>6.17</v>
      </c>
      <c r="M2937" s="178">
        <v>19.54</v>
      </c>
      <c r="N2937" s="179">
        <v>0</v>
      </c>
      <c r="O2937" s="178">
        <v>25.71</v>
      </c>
      <c r="P2937" s="453"/>
      <c r="Q2937" s="61"/>
      <c r="R2937" s="298"/>
      <c r="S2937" s="669"/>
      <c r="T2937" s="69"/>
      <c r="U2937" s="61"/>
      <c r="V2937" s="61"/>
      <c r="W2937" s="61"/>
      <c r="X2937" s="444">
        <v>2937</v>
      </c>
      <c r="Y2937" s="61"/>
      <c r="Z2937" s="61"/>
      <c r="AA2937" s="61"/>
      <c r="AB2937" s="61"/>
      <c r="AC2937" s="61"/>
      <c r="AD2937" s="61"/>
      <c r="AE2937" s="61"/>
      <c r="AF2937" s="61"/>
    </row>
    <row r="2938" spans="1:32" ht="12">
      <c r="A2938" s="83" t="s">
        <v>23111</v>
      </c>
      <c r="B2938" s="64" t="s">
        <v>8195</v>
      </c>
      <c r="C2938" s="71" t="s">
        <v>103</v>
      </c>
      <c r="D2938" s="79">
        <v>1</v>
      </c>
      <c r="E2938" s="79">
        <v>25</v>
      </c>
      <c r="F2938" s="79">
        <v>25</v>
      </c>
      <c r="G2938" s="445"/>
      <c r="H2938" s="178">
        <v>24.99</v>
      </c>
      <c r="I2938" s="178">
        <v>30.74</v>
      </c>
      <c r="J2938" s="70">
        <v>-5.7399999999999984</v>
      </c>
      <c r="K2938" s="320"/>
      <c r="L2938" s="178">
        <v>6.17</v>
      </c>
      <c r="M2938" s="178">
        <v>18.829999999999998</v>
      </c>
      <c r="N2938" s="179">
        <v>0</v>
      </c>
      <c r="O2938" s="178">
        <v>25</v>
      </c>
      <c r="P2938" s="453"/>
      <c r="Q2938" s="61"/>
      <c r="R2938" s="298"/>
      <c r="S2938" s="669"/>
      <c r="T2938" s="69"/>
      <c r="U2938" s="61"/>
      <c r="V2938" s="61"/>
      <c r="W2938" s="61"/>
      <c r="X2938" s="444">
        <v>2938</v>
      </c>
      <c r="Y2938" s="61"/>
      <c r="Z2938" s="61"/>
      <c r="AA2938" s="61"/>
      <c r="AB2938" s="61"/>
      <c r="AC2938" s="61"/>
      <c r="AD2938" s="61"/>
      <c r="AE2938" s="61"/>
      <c r="AF2938" s="61"/>
    </row>
    <row r="2939" spans="1:32" ht="12">
      <c r="A2939" s="83" t="s">
        <v>23112</v>
      </c>
      <c r="B2939" s="64" t="s">
        <v>8197</v>
      </c>
      <c r="C2939" s="71" t="s">
        <v>103</v>
      </c>
      <c r="D2939" s="79">
        <v>1</v>
      </c>
      <c r="E2939" s="79">
        <v>43.95</v>
      </c>
      <c r="F2939" s="79">
        <v>43.95</v>
      </c>
      <c r="G2939" s="445"/>
      <c r="H2939" s="178">
        <v>43.93</v>
      </c>
      <c r="I2939" s="178">
        <v>54.04</v>
      </c>
      <c r="J2939" s="70">
        <v>-10.089999999999996</v>
      </c>
      <c r="K2939" s="320"/>
      <c r="L2939" s="178">
        <v>6.17</v>
      </c>
      <c r="M2939" s="178">
        <v>37.78</v>
      </c>
      <c r="N2939" s="179">
        <v>0</v>
      </c>
      <c r="O2939" s="178">
        <v>43.95</v>
      </c>
      <c r="P2939" s="453"/>
      <c r="Q2939" s="61"/>
      <c r="R2939" s="298"/>
      <c r="S2939" s="669"/>
      <c r="T2939" s="69"/>
      <c r="X2939" s="444">
        <v>2939</v>
      </c>
    </row>
    <row r="2940" spans="1:32" ht="12">
      <c r="A2940" s="83" t="s">
        <v>23113</v>
      </c>
      <c r="B2940" s="64" t="s">
        <v>8199</v>
      </c>
      <c r="C2940" s="71" t="s">
        <v>103</v>
      </c>
      <c r="D2940" s="79">
        <v>1</v>
      </c>
      <c r="E2940" s="79">
        <v>49.11</v>
      </c>
      <c r="F2940" s="79">
        <v>49.11</v>
      </c>
      <c r="G2940" s="445"/>
      <c r="H2940" s="178">
        <v>49.1</v>
      </c>
      <c r="I2940" s="178">
        <v>60.39</v>
      </c>
      <c r="J2940" s="70">
        <v>-11.280000000000001</v>
      </c>
      <c r="K2940" s="320"/>
      <c r="L2940" s="178">
        <v>6.17</v>
      </c>
      <c r="M2940" s="178">
        <v>42.94</v>
      </c>
      <c r="N2940" s="179">
        <v>0</v>
      </c>
      <c r="O2940" s="178">
        <v>49.11</v>
      </c>
      <c r="P2940" s="453"/>
      <c r="Q2940" s="61"/>
      <c r="R2940" s="298"/>
      <c r="S2940" s="669"/>
      <c r="T2940" s="69"/>
      <c r="X2940" s="444">
        <v>2940</v>
      </c>
    </row>
    <row r="2941" spans="1:32" ht="12">
      <c r="A2941" s="83" t="s">
        <v>23114</v>
      </c>
      <c r="B2941" s="64" t="s">
        <v>8201</v>
      </c>
      <c r="C2941" s="71" t="s">
        <v>103</v>
      </c>
      <c r="D2941" s="79">
        <v>1</v>
      </c>
      <c r="E2941" s="79">
        <v>31.29</v>
      </c>
      <c r="F2941" s="79">
        <v>31.29</v>
      </c>
      <c r="G2941" s="445"/>
      <c r="H2941" s="178">
        <v>31.28</v>
      </c>
      <c r="I2941" s="178">
        <v>38.47</v>
      </c>
      <c r="J2941" s="70">
        <v>-7.18</v>
      </c>
      <c r="K2941" s="320"/>
      <c r="L2941" s="178">
        <v>6.17</v>
      </c>
      <c r="M2941" s="178">
        <v>25.119999999999997</v>
      </c>
      <c r="N2941" s="179">
        <v>0</v>
      </c>
      <c r="O2941" s="178">
        <v>31.29</v>
      </c>
      <c r="P2941" s="453"/>
      <c r="Q2941" s="61"/>
      <c r="R2941" s="298"/>
      <c r="S2941" s="669"/>
      <c r="T2941" s="69"/>
      <c r="X2941" s="444">
        <v>2941</v>
      </c>
    </row>
    <row r="2942" spans="1:32" ht="12">
      <c r="A2942" s="83" t="s">
        <v>23115</v>
      </c>
      <c r="B2942" s="64" t="s">
        <v>8203</v>
      </c>
      <c r="C2942" s="71" t="s">
        <v>103</v>
      </c>
      <c r="D2942" s="79">
        <v>1</v>
      </c>
      <c r="E2942" s="79">
        <v>24.41</v>
      </c>
      <c r="F2942" s="79">
        <v>24.41</v>
      </c>
      <c r="G2942" s="445"/>
      <c r="H2942" s="178">
        <v>24.4</v>
      </c>
      <c r="I2942" s="178">
        <v>30.01</v>
      </c>
      <c r="J2942" s="70">
        <v>-5.6000000000000014</v>
      </c>
      <c r="K2942" s="320"/>
      <c r="L2942" s="178">
        <v>6.17</v>
      </c>
      <c r="M2942" s="178">
        <v>18.240000000000002</v>
      </c>
      <c r="N2942" s="179">
        <v>0</v>
      </c>
      <c r="O2942" s="178">
        <v>24.410000000000004</v>
      </c>
      <c r="P2942" s="453"/>
      <c r="Q2942" s="61"/>
      <c r="R2942" s="298"/>
      <c r="S2942" s="669"/>
      <c r="T2942" s="69"/>
      <c r="X2942" s="444">
        <v>2942</v>
      </c>
    </row>
    <row r="2943" spans="1:32" ht="12">
      <c r="A2943" s="83" t="s">
        <v>23116</v>
      </c>
      <c r="B2943" s="64" t="s">
        <v>8205</v>
      </c>
      <c r="C2943" s="71" t="s">
        <v>103</v>
      </c>
      <c r="D2943" s="79">
        <v>1</v>
      </c>
      <c r="E2943" s="79">
        <v>24.55</v>
      </c>
      <c r="F2943" s="79">
        <v>24.55</v>
      </c>
      <c r="G2943" s="445"/>
      <c r="H2943" s="178">
        <v>24.54</v>
      </c>
      <c r="I2943" s="178">
        <v>30.18</v>
      </c>
      <c r="J2943" s="70">
        <v>-5.629999999999999</v>
      </c>
      <c r="K2943" s="320"/>
      <c r="L2943" s="178">
        <v>6.17</v>
      </c>
      <c r="M2943" s="178">
        <v>18.380000000000003</v>
      </c>
      <c r="N2943" s="179">
        <v>0</v>
      </c>
      <c r="O2943" s="178">
        <v>24.550000000000004</v>
      </c>
      <c r="P2943" s="453"/>
      <c r="Q2943" s="61"/>
      <c r="R2943" s="298"/>
      <c r="S2943" s="669"/>
      <c r="T2943" s="69"/>
      <c r="X2943" s="444">
        <v>2943</v>
      </c>
    </row>
    <row r="2944" spans="1:32" ht="12">
      <c r="A2944" s="83" t="s">
        <v>23117</v>
      </c>
      <c r="B2944" s="64" t="s">
        <v>8249</v>
      </c>
      <c r="C2944" s="71" t="s">
        <v>103</v>
      </c>
      <c r="D2944" s="79">
        <v>1</v>
      </c>
      <c r="E2944" s="79">
        <v>95.99</v>
      </c>
      <c r="F2944" s="79">
        <v>95.99</v>
      </c>
      <c r="G2944" s="445"/>
      <c r="H2944" s="178">
        <v>95.97</v>
      </c>
      <c r="I2944" s="178">
        <v>118.04</v>
      </c>
      <c r="J2944" s="70">
        <v>-22.050000000000011</v>
      </c>
      <c r="K2944" s="320"/>
      <c r="L2944" s="178">
        <v>8.0399999999999991</v>
      </c>
      <c r="M2944" s="178">
        <v>87.949999999999989</v>
      </c>
      <c r="N2944" s="179">
        <v>0</v>
      </c>
      <c r="O2944" s="178">
        <v>95.989999999999981</v>
      </c>
      <c r="P2944" s="453"/>
      <c r="Q2944" s="61"/>
      <c r="R2944" s="298"/>
      <c r="S2944" s="669"/>
      <c r="T2944" s="69"/>
      <c r="X2944" s="444">
        <v>2944</v>
      </c>
    </row>
    <row r="2945" spans="1:32" ht="12">
      <c r="A2945" s="83" t="s">
        <v>23118</v>
      </c>
      <c r="B2945" s="64" t="s">
        <v>8251</v>
      </c>
      <c r="C2945" s="71" t="s">
        <v>103</v>
      </c>
      <c r="D2945" s="79">
        <v>1</v>
      </c>
      <c r="E2945" s="79">
        <v>82.02</v>
      </c>
      <c r="F2945" s="79">
        <v>82.02</v>
      </c>
      <c r="G2945" s="445"/>
      <c r="H2945" s="178">
        <v>82</v>
      </c>
      <c r="I2945" s="178">
        <v>100.86</v>
      </c>
      <c r="J2945" s="70">
        <v>-18.840000000000003</v>
      </c>
      <c r="K2945" s="320"/>
      <c r="L2945" s="178">
        <v>8.0399999999999991</v>
      </c>
      <c r="M2945" s="178">
        <v>73.97999999999999</v>
      </c>
      <c r="N2945" s="179">
        <v>0</v>
      </c>
      <c r="O2945" s="178">
        <v>82.019999999999982</v>
      </c>
      <c r="P2945" s="453"/>
      <c r="Q2945" s="61"/>
      <c r="R2945" s="298"/>
      <c r="S2945" s="669"/>
      <c r="T2945" s="69"/>
      <c r="X2945" s="444">
        <v>2945</v>
      </c>
    </row>
    <row r="2946" spans="1:32" ht="12">
      <c r="A2946" s="83" t="s">
        <v>23119</v>
      </c>
      <c r="B2946" s="64" t="s">
        <v>8253</v>
      </c>
      <c r="C2946" s="71" t="s">
        <v>103</v>
      </c>
      <c r="D2946" s="79">
        <v>1</v>
      </c>
      <c r="E2946" s="79">
        <v>113.08999999999999</v>
      </c>
      <c r="F2946" s="79">
        <v>113.09</v>
      </c>
      <c r="G2946" s="445"/>
      <c r="H2946" s="178">
        <v>113.07</v>
      </c>
      <c r="I2946" s="178">
        <v>139.07</v>
      </c>
      <c r="J2946" s="70">
        <v>-25.980000000000004</v>
      </c>
      <c r="K2946" s="320"/>
      <c r="L2946" s="178">
        <v>8.0399999999999991</v>
      </c>
      <c r="M2946" s="178">
        <v>105.04999999999998</v>
      </c>
      <c r="N2946" s="179">
        <v>0</v>
      </c>
      <c r="O2946" s="178">
        <v>113.08999999999997</v>
      </c>
      <c r="P2946" s="453"/>
      <c r="Q2946" s="61"/>
      <c r="R2946" s="298"/>
      <c r="S2946" s="669"/>
      <c r="T2946" s="69"/>
      <c r="X2946" s="444">
        <v>2946</v>
      </c>
    </row>
    <row r="2947" spans="1:32" ht="12">
      <c r="A2947" s="83" t="s">
        <v>23120</v>
      </c>
      <c r="B2947" s="64" t="s">
        <v>8255</v>
      </c>
      <c r="C2947" s="71" t="s">
        <v>103</v>
      </c>
      <c r="D2947" s="79">
        <v>1</v>
      </c>
      <c r="E2947" s="79">
        <v>99.25</v>
      </c>
      <c r="F2947" s="79">
        <v>99.25</v>
      </c>
      <c r="G2947" s="445"/>
      <c r="H2947" s="178">
        <v>99.23</v>
      </c>
      <c r="I2947" s="178">
        <v>122.05</v>
      </c>
      <c r="J2947" s="70">
        <v>-22.799999999999997</v>
      </c>
      <c r="K2947" s="320"/>
      <c r="L2947" s="178">
        <v>8.0399999999999991</v>
      </c>
      <c r="M2947" s="178">
        <v>91.210000000000008</v>
      </c>
      <c r="N2947" s="179">
        <v>0</v>
      </c>
      <c r="O2947" s="178">
        <v>99.25</v>
      </c>
      <c r="P2947" s="453"/>
      <c r="Q2947" s="61"/>
      <c r="R2947" s="298"/>
      <c r="S2947" s="669"/>
      <c r="T2947" s="69"/>
      <c r="X2947" s="444">
        <v>2947</v>
      </c>
    </row>
    <row r="2948" spans="1:32" ht="12">
      <c r="A2948" s="83" t="s">
        <v>23121</v>
      </c>
      <c r="B2948" s="64" t="s">
        <v>8257</v>
      </c>
      <c r="C2948" s="71" t="s">
        <v>103</v>
      </c>
      <c r="D2948" s="79">
        <v>1</v>
      </c>
      <c r="E2948" s="79">
        <v>65.959999999999994</v>
      </c>
      <c r="F2948" s="79">
        <v>65.959999999999994</v>
      </c>
      <c r="G2948" s="445"/>
      <c r="H2948" s="178">
        <v>65.930000000000007</v>
      </c>
      <c r="I2948" s="178">
        <v>81.099999999999994</v>
      </c>
      <c r="J2948" s="70">
        <v>-15.14</v>
      </c>
      <c r="K2948" s="320"/>
      <c r="L2948" s="178">
        <v>8.0399999999999991</v>
      </c>
      <c r="M2948" s="178">
        <v>57.919999999999995</v>
      </c>
      <c r="N2948" s="179">
        <v>0</v>
      </c>
      <c r="O2948" s="178">
        <v>65.959999999999994</v>
      </c>
      <c r="P2948" s="453"/>
      <c r="Q2948" s="61"/>
      <c r="R2948" s="298"/>
      <c r="S2948" s="669"/>
      <c r="T2948" s="69"/>
      <c r="X2948" s="444">
        <v>2948</v>
      </c>
    </row>
    <row r="2949" spans="1:32" ht="12">
      <c r="A2949" s="83" t="s">
        <v>23122</v>
      </c>
      <c r="B2949" s="64" t="s">
        <v>8259</v>
      </c>
      <c r="C2949" s="71" t="s">
        <v>103</v>
      </c>
      <c r="D2949" s="79">
        <v>1</v>
      </c>
      <c r="E2949" s="79">
        <v>143.68</v>
      </c>
      <c r="F2949" s="79">
        <v>143.68</v>
      </c>
      <c r="G2949" s="445"/>
      <c r="H2949" s="178">
        <v>143.66</v>
      </c>
      <c r="I2949" s="178">
        <v>176.7</v>
      </c>
      <c r="J2949" s="70">
        <v>-33.019999999999982</v>
      </c>
      <c r="K2949" s="320"/>
      <c r="L2949" s="178">
        <v>8.0399999999999991</v>
      </c>
      <c r="M2949" s="178">
        <v>135.64000000000001</v>
      </c>
      <c r="N2949" s="179">
        <v>0</v>
      </c>
      <c r="O2949" s="178">
        <v>143.68</v>
      </c>
      <c r="P2949" s="453"/>
      <c r="Q2949" s="61"/>
      <c r="R2949" s="298"/>
      <c r="S2949" s="669"/>
      <c r="T2949" s="69"/>
      <c r="X2949" s="444">
        <v>2949</v>
      </c>
    </row>
    <row r="2950" spans="1:32" s="61" customFormat="1" ht="12">
      <c r="A2950" s="83" t="s">
        <v>23123</v>
      </c>
      <c r="B2950" s="64" t="s">
        <v>8261</v>
      </c>
      <c r="C2950" s="71" t="s">
        <v>103</v>
      </c>
      <c r="D2950" s="79">
        <v>1</v>
      </c>
      <c r="E2950" s="79">
        <v>164.08</v>
      </c>
      <c r="F2950" s="79">
        <v>164.08</v>
      </c>
      <c r="G2950" s="445"/>
      <c r="H2950" s="178">
        <v>164.06</v>
      </c>
      <c r="I2950" s="178">
        <v>201.79</v>
      </c>
      <c r="J2950" s="70">
        <v>-37.70999999999998</v>
      </c>
      <c r="K2950" s="320"/>
      <c r="L2950" s="178">
        <v>8.0399999999999991</v>
      </c>
      <c r="M2950" s="178">
        <v>156.04000000000002</v>
      </c>
      <c r="N2950" s="179">
        <v>0</v>
      </c>
      <c r="O2950" s="178">
        <v>164.08</v>
      </c>
      <c r="P2950" s="453"/>
      <c r="R2950" s="298"/>
      <c r="S2950" s="669"/>
      <c r="T2950" s="69"/>
      <c r="U2950" s="444"/>
      <c r="V2950" s="444"/>
      <c r="W2950" s="444"/>
      <c r="X2950" s="444">
        <v>2950</v>
      </c>
      <c r="Y2950" s="444"/>
      <c r="Z2950" s="444"/>
      <c r="AA2950" s="444"/>
      <c r="AB2950" s="444"/>
      <c r="AC2950" s="444"/>
      <c r="AD2950" s="444"/>
      <c r="AE2950" s="444"/>
      <c r="AF2950" s="444"/>
    </row>
    <row r="2951" spans="1:32" s="61" customFormat="1" ht="12">
      <c r="A2951" s="83" t="s">
        <v>23124</v>
      </c>
      <c r="B2951" s="64" t="s">
        <v>8263</v>
      </c>
      <c r="C2951" s="71" t="s">
        <v>103</v>
      </c>
      <c r="D2951" s="79">
        <v>1</v>
      </c>
      <c r="E2951" s="79">
        <v>186.05</v>
      </c>
      <c r="F2951" s="79">
        <v>186.05</v>
      </c>
      <c r="G2951" s="445"/>
      <c r="H2951" s="178">
        <v>186.02</v>
      </c>
      <c r="I2951" s="178">
        <v>228.81</v>
      </c>
      <c r="J2951" s="70">
        <v>-42.759999999999991</v>
      </c>
      <c r="K2951" s="320"/>
      <c r="L2951" s="178">
        <v>8.0399999999999991</v>
      </c>
      <c r="M2951" s="178">
        <v>178.01000000000002</v>
      </c>
      <c r="N2951" s="179">
        <v>0</v>
      </c>
      <c r="O2951" s="178">
        <v>186.05</v>
      </c>
      <c r="P2951" s="453"/>
      <c r="R2951" s="298"/>
      <c r="S2951" s="669"/>
      <c r="T2951" s="69"/>
      <c r="U2951" s="444"/>
      <c r="V2951" s="444"/>
      <c r="W2951" s="444"/>
      <c r="X2951" s="444">
        <v>2951</v>
      </c>
      <c r="Y2951" s="444"/>
      <c r="Z2951" s="444"/>
      <c r="AA2951" s="444"/>
      <c r="AB2951" s="444"/>
      <c r="AC2951" s="444"/>
      <c r="AD2951" s="444"/>
      <c r="AE2951" s="444"/>
      <c r="AF2951" s="444"/>
    </row>
    <row r="2952" spans="1:32" s="61" customFormat="1" ht="12">
      <c r="A2952" s="83" t="s">
        <v>23125</v>
      </c>
      <c r="B2952" s="64" t="s">
        <v>23126</v>
      </c>
      <c r="C2952" s="71" t="s">
        <v>103</v>
      </c>
      <c r="D2952" s="79">
        <v>1</v>
      </c>
      <c r="E2952" s="79">
        <v>307.19</v>
      </c>
      <c r="F2952" s="79">
        <v>307.19</v>
      </c>
      <c r="G2952" s="445"/>
      <c r="H2952" s="178">
        <v>307.19</v>
      </c>
      <c r="I2952" s="178">
        <v>377.84</v>
      </c>
      <c r="J2952" s="70">
        <v>-70.649999999999977</v>
      </c>
      <c r="K2952" s="320"/>
      <c r="L2952" s="178">
        <v>37.340000000000003</v>
      </c>
      <c r="M2952" s="178">
        <v>269.85000000000002</v>
      </c>
      <c r="N2952" s="179">
        <v>0</v>
      </c>
      <c r="O2952" s="178">
        <v>307.19000000000005</v>
      </c>
      <c r="P2952" s="453"/>
      <c r="R2952" s="298"/>
      <c r="S2952" s="669"/>
      <c r="T2952" s="444"/>
      <c r="U2952" s="444"/>
      <c r="V2952" s="444"/>
      <c r="W2952" s="444"/>
      <c r="X2952" s="444">
        <v>2952</v>
      </c>
      <c r="Y2952" s="444"/>
      <c r="Z2952" s="444"/>
      <c r="AA2952" s="444"/>
      <c r="AB2952" s="444"/>
      <c r="AC2952" s="444"/>
      <c r="AD2952" s="444"/>
      <c r="AE2952" s="444"/>
      <c r="AF2952" s="444"/>
    </row>
    <row r="2953" spans="1:32" s="73" customFormat="1" ht="12">
      <c r="A2953" s="83" t="s">
        <v>23127</v>
      </c>
      <c r="B2953" s="64" t="s">
        <v>23128</v>
      </c>
      <c r="C2953" s="71" t="s">
        <v>103</v>
      </c>
      <c r="D2953" s="79">
        <v>1</v>
      </c>
      <c r="E2953" s="79">
        <v>329.08</v>
      </c>
      <c r="F2953" s="79">
        <v>329.08</v>
      </c>
      <c r="G2953" s="445"/>
      <c r="H2953" s="178">
        <v>328.98</v>
      </c>
      <c r="I2953" s="178">
        <v>404.65</v>
      </c>
      <c r="J2953" s="70">
        <v>-75.569999999999993</v>
      </c>
      <c r="K2953" s="320"/>
      <c r="L2953" s="178">
        <v>37.340000000000003</v>
      </c>
      <c r="M2953" s="178">
        <v>291.74</v>
      </c>
      <c r="N2953" s="179">
        <v>0</v>
      </c>
      <c r="O2953" s="178">
        <v>329.08000000000004</v>
      </c>
      <c r="P2953" s="453"/>
      <c r="Q2953" s="61"/>
      <c r="R2953" s="298"/>
      <c r="S2953" s="669"/>
      <c r="T2953" s="444"/>
      <c r="U2953" s="444"/>
      <c r="V2953" s="444"/>
      <c r="W2953" s="444"/>
      <c r="X2953" s="444">
        <v>2953</v>
      </c>
      <c r="Y2953" s="444"/>
      <c r="Z2953" s="444"/>
      <c r="AA2953" s="444"/>
      <c r="AB2953" s="444"/>
      <c r="AC2953" s="444"/>
      <c r="AD2953" s="444"/>
      <c r="AE2953" s="444"/>
      <c r="AF2953" s="444"/>
    </row>
    <row r="2954" spans="1:32" s="73" customFormat="1" ht="12">
      <c r="A2954" s="83" t="s">
        <v>23129</v>
      </c>
      <c r="B2954" s="64" t="s">
        <v>23130</v>
      </c>
      <c r="C2954" s="71" t="s">
        <v>103</v>
      </c>
      <c r="D2954" s="79">
        <v>1</v>
      </c>
      <c r="E2954" s="79">
        <v>297.35999999999996</v>
      </c>
      <c r="F2954" s="79">
        <v>297.36</v>
      </c>
      <c r="G2954" s="445"/>
      <c r="H2954" s="178">
        <v>297.36</v>
      </c>
      <c r="I2954" s="178">
        <v>365.75</v>
      </c>
      <c r="J2954" s="70">
        <v>-68.390000000000043</v>
      </c>
      <c r="K2954" s="320"/>
      <c r="L2954" s="178">
        <v>37.340000000000003</v>
      </c>
      <c r="M2954" s="178">
        <v>260.02</v>
      </c>
      <c r="N2954" s="179">
        <v>0</v>
      </c>
      <c r="O2954" s="178">
        <v>297.36</v>
      </c>
      <c r="P2954" s="453"/>
      <c r="Q2954" s="61"/>
      <c r="R2954" s="298"/>
      <c r="S2954" s="669"/>
      <c r="T2954" s="444"/>
      <c r="U2954" s="444"/>
      <c r="V2954" s="444"/>
      <c r="W2954" s="444"/>
      <c r="X2954" s="444">
        <v>2954</v>
      </c>
      <c r="Y2954" s="444"/>
      <c r="Z2954" s="444"/>
      <c r="AA2954" s="444"/>
      <c r="AB2954" s="444"/>
      <c r="AC2954" s="444"/>
      <c r="AD2954" s="444"/>
      <c r="AE2954" s="444"/>
      <c r="AF2954" s="444"/>
    </row>
    <row r="2955" spans="1:32" s="73" customFormat="1" ht="12">
      <c r="A2955" s="83" t="s">
        <v>23131</v>
      </c>
      <c r="B2955" s="64" t="s">
        <v>23132</v>
      </c>
      <c r="C2955" s="71" t="s">
        <v>103</v>
      </c>
      <c r="D2955" s="79">
        <v>1</v>
      </c>
      <c r="E2955" s="79">
        <v>311.07</v>
      </c>
      <c r="F2955" s="79">
        <v>311.07</v>
      </c>
      <c r="G2955" s="445"/>
      <c r="H2955" s="178">
        <v>311.07</v>
      </c>
      <c r="I2955" s="178">
        <v>382.62</v>
      </c>
      <c r="J2955" s="70">
        <v>-71.550000000000011</v>
      </c>
      <c r="K2955" s="320"/>
      <c r="L2955" s="178">
        <v>37.340000000000003</v>
      </c>
      <c r="M2955" s="178">
        <v>273.73</v>
      </c>
      <c r="N2955" s="179">
        <v>0</v>
      </c>
      <c r="O2955" s="178">
        <v>311.07000000000005</v>
      </c>
      <c r="P2955" s="453"/>
      <c r="Q2955" s="61"/>
      <c r="R2955" s="298"/>
      <c r="S2955" s="669"/>
      <c r="T2955" s="444"/>
      <c r="U2955" s="444"/>
      <c r="V2955" s="444"/>
      <c r="W2955" s="444"/>
      <c r="X2955" s="444">
        <v>2955</v>
      </c>
      <c r="Y2955" s="444"/>
      <c r="Z2955" s="444"/>
      <c r="AA2955" s="444"/>
      <c r="AB2955" s="444"/>
      <c r="AC2955" s="444"/>
      <c r="AD2955" s="444"/>
      <c r="AE2955" s="444"/>
      <c r="AF2955" s="444"/>
    </row>
    <row r="2956" spans="1:32" s="73" customFormat="1" ht="12">
      <c r="A2956" s="83" t="s">
        <v>23133</v>
      </c>
      <c r="B2956" s="64" t="s">
        <v>23134</v>
      </c>
      <c r="C2956" s="71" t="s">
        <v>103</v>
      </c>
      <c r="D2956" s="79">
        <v>1</v>
      </c>
      <c r="E2956" s="79">
        <v>455.45</v>
      </c>
      <c r="F2956" s="79">
        <v>455.45</v>
      </c>
      <c r="G2956" s="445"/>
      <c r="H2956" s="178">
        <v>455.45</v>
      </c>
      <c r="I2956" s="178">
        <v>560.20000000000005</v>
      </c>
      <c r="J2956" s="70">
        <v>-104.75000000000006</v>
      </c>
      <c r="K2956" s="320"/>
      <c r="L2956" s="178">
        <v>37.340000000000003</v>
      </c>
      <c r="M2956" s="178">
        <v>418.11</v>
      </c>
      <c r="N2956" s="179">
        <v>0</v>
      </c>
      <c r="O2956" s="178">
        <v>455.45000000000005</v>
      </c>
      <c r="P2956" s="453"/>
      <c r="Q2956" s="61"/>
      <c r="R2956" s="298"/>
      <c r="S2956" s="669"/>
      <c r="T2956" s="444"/>
      <c r="U2956" s="444"/>
      <c r="V2956" s="444"/>
      <c r="W2956" s="444"/>
      <c r="X2956" s="444">
        <v>2956</v>
      </c>
      <c r="Y2956" s="444"/>
      <c r="Z2956" s="444"/>
      <c r="AA2956" s="444"/>
      <c r="AB2956" s="444"/>
      <c r="AC2956" s="444"/>
      <c r="AD2956" s="444"/>
      <c r="AE2956" s="444"/>
      <c r="AF2956" s="444"/>
    </row>
    <row r="2957" spans="1:32" ht="12">
      <c r="A2957" s="83" t="s">
        <v>23135</v>
      </c>
      <c r="B2957" s="64" t="s">
        <v>23136</v>
      </c>
      <c r="C2957" s="71" t="s">
        <v>103</v>
      </c>
      <c r="D2957" s="79">
        <v>1</v>
      </c>
      <c r="E2957" s="79">
        <v>297.95</v>
      </c>
      <c r="F2957" s="79">
        <v>297.95</v>
      </c>
      <c r="G2957" s="445"/>
      <c r="H2957" s="178">
        <v>297.95</v>
      </c>
      <c r="I2957" s="178">
        <v>366.48</v>
      </c>
      <c r="J2957" s="70">
        <v>-68.53000000000003</v>
      </c>
      <c r="K2957" s="320"/>
      <c r="L2957" s="178">
        <v>37.340000000000003</v>
      </c>
      <c r="M2957" s="178">
        <v>260.61</v>
      </c>
      <c r="N2957" s="179">
        <v>0</v>
      </c>
      <c r="O2957" s="178">
        <v>297.95000000000005</v>
      </c>
      <c r="P2957" s="453"/>
      <c r="Q2957" s="61"/>
      <c r="R2957" s="298"/>
      <c r="S2957" s="669"/>
      <c r="X2957" s="444">
        <v>2957</v>
      </c>
    </row>
    <row r="2958" spans="1:32" ht="12">
      <c r="A2958" s="83" t="s">
        <v>23137</v>
      </c>
      <c r="B2958" s="64" t="s">
        <v>23138</v>
      </c>
      <c r="C2958" s="71" t="s">
        <v>103</v>
      </c>
      <c r="D2958" s="79">
        <v>1</v>
      </c>
      <c r="E2958" s="79">
        <v>264</v>
      </c>
      <c r="F2958" s="79">
        <v>264</v>
      </c>
      <c r="G2958" s="445"/>
      <c r="H2958" s="178">
        <v>264</v>
      </c>
      <c r="I2958" s="178">
        <v>324.72000000000003</v>
      </c>
      <c r="J2958" s="70">
        <v>-60.720000000000027</v>
      </c>
      <c r="K2958" s="320"/>
      <c r="L2958" s="178">
        <v>37.340000000000003</v>
      </c>
      <c r="M2958" s="178">
        <v>226.66</v>
      </c>
      <c r="N2958" s="179">
        <v>0</v>
      </c>
      <c r="O2958" s="178">
        <v>264</v>
      </c>
      <c r="P2958" s="453"/>
      <c r="Q2958" s="61"/>
      <c r="R2958" s="298"/>
      <c r="S2958" s="669"/>
      <c r="X2958" s="444">
        <v>2958</v>
      </c>
    </row>
    <row r="2959" spans="1:32" s="73" customFormat="1" ht="12">
      <c r="A2959" s="83" t="s">
        <v>23139</v>
      </c>
      <c r="B2959" s="64" t="s">
        <v>23140</v>
      </c>
      <c r="C2959" s="71" t="s">
        <v>103</v>
      </c>
      <c r="D2959" s="79">
        <v>1</v>
      </c>
      <c r="E2959" s="79">
        <v>474.04</v>
      </c>
      <c r="F2959" s="79">
        <v>474.04</v>
      </c>
      <c r="G2959" s="445"/>
      <c r="H2959" s="178">
        <v>474.04</v>
      </c>
      <c r="I2959" s="178">
        <v>583.07000000000005</v>
      </c>
      <c r="J2959" s="70">
        <v>-109.03000000000003</v>
      </c>
      <c r="K2959" s="320"/>
      <c r="L2959" s="178">
        <v>37.340000000000003</v>
      </c>
      <c r="M2959" s="178">
        <v>436.70000000000005</v>
      </c>
      <c r="N2959" s="179">
        <v>0</v>
      </c>
      <c r="O2959" s="178">
        <v>474.04000000000008</v>
      </c>
      <c r="P2959" s="453"/>
      <c r="Q2959" s="61"/>
      <c r="R2959" s="298"/>
      <c r="S2959" s="669"/>
      <c r="T2959" s="444"/>
      <c r="U2959" s="444"/>
      <c r="V2959" s="444"/>
      <c r="W2959" s="444"/>
      <c r="X2959" s="444">
        <v>2959</v>
      </c>
      <c r="Y2959" s="444"/>
      <c r="Z2959" s="444"/>
      <c r="AA2959" s="444"/>
      <c r="AB2959" s="444"/>
      <c r="AC2959" s="444"/>
      <c r="AD2959" s="444"/>
      <c r="AE2959" s="444"/>
      <c r="AF2959" s="444"/>
    </row>
    <row r="2960" spans="1:32" s="73" customFormat="1" ht="12">
      <c r="A2960" s="83" t="s">
        <v>23141</v>
      </c>
      <c r="B2960" s="64" t="s">
        <v>23142</v>
      </c>
      <c r="C2960" s="71" t="s">
        <v>103</v>
      </c>
      <c r="D2960" s="79">
        <v>1</v>
      </c>
      <c r="E2960" s="79">
        <v>391.45</v>
      </c>
      <c r="F2960" s="79">
        <v>391.45</v>
      </c>
      <c r="G2960" s="445"/>
      <c r="H2960" s="178">
        <v>391.45</v>
      </c>
      <c r="I2960" s="178">
        <v>481.48</v>
      </c>
      <c r="J2960" s="70">
        <v>-90.03000000000003</v>
      </c>
      <c r="K2960" s="320"/>
      <c r="L2960" s="178">
        <v>37.340000000000003</v>
      </c>
      <c r="M2960" s="178">
        <v>354.11</v>
      </c>
      <c r="N2960" s="179">
        <v>0</v>
      </c>
      <c r="O2960" s="178">
        <v>391.45000000000005</v>
      </c>
      <c r="P2960" s="453"/>
      <c r="Q2960" s="61"/>
      <c r="R2960" s="298"/>
      <c r="S2960" s="669"/>
      <c r="T2960" s="444"/>
      <c r="U2960" s="444"/>
      <c r="V2960" s="444"/>
      <c r="W2960" s="444"/>
      <c r="X2960" s="444">
        <v>2960</v>
      </c>
      <c r="Y2960" s="444"/>
      <c r="Z2960" s="444"/>
      <c r="AA2960" s="444"/>
      <c r="AB2960" s="444"/>
      <c r="AC2960" s="444"/>
      <c r="AD2960" s="444"/>
      <c r="AE2960" s="444"/>
      <c r="AF2960" s="444"/>
    </row>
    <row r="2961" spans="1:32" s="73" customFormat="1" ht="12">
      <c r="A2961" s="83" t="s">
        <v>23143</v>
      </c>
      <c r="B2961" s="64" t="s">
        <v>23144</v>
      </c>
      <c r="C2961" s="71" t="s">
        <v>103</v>
      </c>
      <c r="D2961" s="79">
        <v>1</v>
      </c>
      <c r="E2961" s="79">
        <v>376.65999999999997</v>
      </c>
      <c r="F2961" s="79">
        <v>376.66</v>
      </c>
      <c r="G2961" s="445"/>
      <c r="H2961" s="178">
        <v>376.66</v>
      </c>
      <c r="I2961" s="178">
        <v>463.29</v>
      </c>
      <c r="J2961" s="70">
        <v>-86.630000000000052</v>
      </c>
      <c r="K2961" s="320"/>
      <c r="L2961" s="178">
        <v>37.340000000000003</v>
      </c>
      <c r="M2961" s="178">
        <v>339.31999999999994</v>
      </c>
      <c r="N2961" s="179">
        <v>0</v>
      </c>
      <c r="O2961" s="178">
        <v>376.65999999999997</v>
      </c>
      <c r="P2961" s="453"/>
      <c r="Q2961" s="61"/>
      <c r="R2961" s="298"/>
      <c r="S2961" s="669"/>
      <c r="T2961" s="444"/>
      <c r="U2961" s="444"/>
      <c r="V2961" s="444"/>
      <c r="W2961" s="444"/>
      <c r="X2961" s="444">
        <v>2961</v>
      </c>
      <c r="Y2961" s="444"/>
      <c r="Z2961" s="444"/>
      <c r="AA2961" s="444"/>
      <c r="AB2961" s="444"/>
      <c r="AC2961" s="444"/>
      <c r="AD2961" s="444"/>
      <c r="AE2961" s="444"/>
      <c r="AF2961" s="444"/>
    </row>
    <row r="2962" spans="1:32" s="73" customFormat="1" ht="12">
      <c r="A2962" s="83" t="s">
        <v>23145</v>
      </c>
      <c r="B2962" s="64" t="s">
        <v>23146</v>
      </c>
      <c r="C2962" s="71" t="s">
        <v>103</v>
      </c>
      <c r="D2962" s="79">
        <v>1</v>
      </c>
      <c r="E2962" s="79">
        <v>363.34</v>
      </c>
      <c r="F2962" s="79">
        <v>363.34</v>
      </c>
      <c r="G2962" s="445"/>
      <c r="H2962" s="178">
        <v>363.34</v>
      </c>
      <c r="I2962" s="178">
        <v>446.91</v>
      </c>
      <c r="J2962" s="70">
        <v>-83.57000000000005</v>
      </c>
      <c r="K2962" s="320"/>
      <c r="L2962" s="178">
        <v>37.340000000000003</v>
      </c>
      <c r="M2962" s="178">
        <v>326</v>
      </c>
      <c r="N2962" s="179">
        <v>0</v>
      </c>
      <c r="O2962" s="178">
        <v>363.34000000000003</v>
      </c>
      <c r="P2962" s="453"/>
      <c r="Q2962" s="61"/>
      <c r="R2962" s="298"/>
      <c r="S2962" s="669"/>
      <c r="T2962" s="444"/>
      <c r="U2962" s="444"/>
      <c r="V2962" s="444"/>
      <c r="W2962" s="444"/>
      <c r="X2962" s="444">
        <v>2962</v>
      </c>
      <c r="Y2962" s="444"/>
      <c r="Z2962" s="444"/>
      <c r="AA2962" s="444"/>
      <c r="AB2962" s="444"/>
      <c r="AC2962" s="444"/>
      <c r="AD2962" s="444"/>
      <c r="AE2962" s="444"/>
      <c r="AF2962" s="444"/>
    </row>
    <row r="2963" spans="1:32" ht="12">
      <c r="A2963" s="83" t="s">
        <v>23147</v>
      </c>
      <c r="B2963" s="64" t="s">
        <v>23148</v>
      </c>
      <c r="C2963" s="71" t="s">
        <v>103</v>
      </c>
      <c r="D2963" s="79">
        <v>1</v>
      </c>
      <c r="E2963" s="79">
        <v>432.88000000000005</v>
      </c>
      <c r="F2963" s="79">
        <v>432.88</v>
      </c>
      <c r="G2963" s="445"/>
      <c r="H2963" s="178">
        <v>432.88</v>
      </c>
      <c r="I2963" s="178">
        <v>532.44000000000005</v>
      </c>
      <c r="J2963" s="70">
        <v>-99.56</v>
      </c>
      <c r="K2963" s="320"/>
      <c r="L2963" s="178">
        <v>37.340000000000003</v>
      </c>
      <c r="M2963" s="178">
        <v>395.54000000000008</v>
      </c>
      <c r="N2963" s="179">
        <v>0</v>
      </c>
      <c r="O2963" s="178">
        <v>432.88000000000011</v>
      </c>
      <c r="P2963" s="453"/>
      <c r="Q2963" s="61"/>
      <c r="R2963" s="298"/>
      <c r="S2963" s="669"/>
      <c r="X2963" s="444">
        <v>2963</v>
      </c>
    </row>
    <row r="2964" spans="1:32" ht="12">
      <c r="A2964" s="83" t="s">
        <v>23149</v>
      </c>
      <c r="B2964" s="64" t="s">
        <v>23150</v>
      </c>
      <c r="C2964" s="71" t="s">
        <v>103</v>
      </c>
      <c r="D2964" s="79">
        <v>1</v>
      </c>
      <c r="E2964" s="79">
        <v>315.98999999999995</v>
      </c>
      <c r="F2964" s="79">
        <v>315.99</v>
      </c>
      <c r="G2964" s="445"/>
      <c r="H2964" s="178">
        <v>315.99</v>
      </c>
      <c r="I2964" s="178">
        <v>388.67</v>
      </c>
      <c r="J2964" s="70">
        <v>-72.680000000000064</v>
      </c>
      <c r="K2964" s="320"/>
      <c r="L2964" s="178">
        <v>37.340000000000003</v>
      </c>
      <c r="M2964" s="178">
        <v>278.64999999999998</v>
      </c>
      <c r="N2964" s="179">
        <v>0</v>
      </c>
      <c r="O2964" s="178">
        <v>315.99</v>
      </c>
      <c r="P2964" s="453"/>
      <c r="Q2964" s="61"/>
      <c r="R2964" s="298"/>
      <c r="S2964" s="669"/>
      <c r="X2964" s="444">
        <v>2964</v>
      </c>
    </row>
    <row r="2965" spans="1:32" ht="12">
      <c r="A2965" s="83" t="s">
        <v>23151</v>
      </c>
      <c r="B2965" s="64" t="s">
        <v>23152</v>
      </c>
      <c r="C2965" s="71" t="s">
        <v>103</v>
      </c>
      <c r="D2965" s="79">
        <v>1</v>
      </c>
      <c r="E2965" s="79">
        <v>390.06</v>
      </c>
      <c r="F2965" s="79">
        <v>390.06</v>
      </c>
      <c r="G2965" s="445"/>
      <c r="H2965" s="178">
        <v>390.07</v>
      </c>
      <c r="I2965" s="178">
        <v>479.78</v>
      </c>
      <c r="J2965" s="70">
        <v>-89.71999999999997</v>
      </c>
      <c r="K2965" s="320"/>
      <c r="L2965" s="178">
        <v>37.340000000000003</v>
      </c>
      <c r="M2965" s="178">
        <v>352.72</v>
      </c>
      <c r="N2965" s="179">
        <v>0</v>
      </c>
      <c r="O2965" s="178">
        <v>390.06000000000006</v>
      </c>
      <c r="P2965" s="453"/>
      <c r="Q2965" s="61"/>
      <c r="R2965" s="298"/>
      <c r="S2965" s="669"/>
      <c r="X2965" s="444">
        <v>2965</v>
      </c>
    </row>
    <row r="2966" spans="1:32" ht="12">
      <c r="A2966" s="83" t="s">
        <v>23153</v>
      </c>
      <c r="B2966" s="64" t="s">
        <v>23154</v>
      </c>
      <c r="C2966" s="71" t="s">
        <v>103</v>
      </c>
      <c r="D2966" s="79">
        <v>1</v>
      </c>
      <c r="E2966" s="79">
        <v>286.48999999999995</v>
      </c>
      <c r="F2966" s="79">
        <v>286.49</v>
      </c>
      <c r="G2966" s="445"/>
      <c r="H2966" s="178">
        <v>286.49</v>
      </c>
      <c r="I2966" s="178">
        <v>352.38</v>
      </c>
      <c r="J2966" s="70">
        <v>-65.890000000000043</v>
      </c>
      <c r="K2966" s="320"/>
      <c r="L2966" s="178">
        <v>37.340000000000003</v>
      </c>
      <c r="M2966" s="178">
        <v>249.14999999999995</v>
      </c>
      <c r="N2966" s="179">
        <v>0</v>
      </c>
      <c r="O2966" s="178">
        <v>286.48999999999995</v>
      </c>
      <c r="P2966" s="453"/>
      <c r="Q2966" s="61"/>
      <c r="R2966" s="298"/>
      <c r="S2966" s="669"/>
      <c r="X2966" s="444">
        <v>2966</v>
      </c>
    </row>
    <row r="2967" spans="1:32" ht="12">
      <c r="A2967" s="83" t="s">
        <v>23155</v>
      </c>
      <c r="B2967" s="64" t="s">
        <v>23156</v>
      </c>
      <c r="C2967" s="71" t="s">
        <v>103</v>
      </c>
      <c r="D2967" s="79">
        <v>1</v>
      </c>
      <c r="E2967" s="79">
        <v>301.41000000000003</v>
      </c>
      <c r="F2967" s="79">
        <v>301.41000000000003</v>
      </c>
      <c r="G2967" s="445"/>
      <c r="H2967" s="178">
        <v>301.41000000000003</v>
      </c>
      <c r="I2967" s="178">
        <v>370.74</v>
      </c>
      <c r="J2967" s="70">
        <v>-69.329999999999984</v>
      </c>
      <c r="K2967" s="320"/>
      <c r="L2967" s="178">
        <v>37.340000000000003</v>
      </c>
      <c r="M2967" s="178">
        <v>264.07000000000005</v>
      </c>
      <c r="N2967" s="179">
        <v>0</v>
      </c>
      <c r="O2967" s="178">
        <v>301.41000000000008</v>
      </c>
      <c r="P2967" s="453"/>
      <c r="Q2967" s="61"/>
      <c r="R2967" s="298"/>
      <c r="S2967" s="669"/>
      <c r="X2967" s="444">
        <v>2967</v>
      </c>
    </row>
    <row r="2968" spans="1:32" ht="12">
      <c r="A2968" s="83" t="s">
        <v>23157</v>
      </c>
      <c r="B2968" s="64" t="s">
        <v>23158</v>
      </c>
      <c r="C2968" s="71" t="s">
        <v>103</v>
      </c>
      <c r="D2968" s="79">
        <v>1</v>
      </c>
      <c r="E2968" s="79">
        <v>607.97</v>
      </c>
      <c r="F2968" s="79">
        <v>607.97</v>
      </c>
      <c r="G2968" s="445"/>
      <c r="H2968" s="178">
        <v>607.97</v>
      </c>
      <c r="I2968" s="178">
        <v>747.8</v>
      </c>
      <c r="J2968" s="70">
        <v>-139.82999999999993</v>
      </c>
      <c r="K2968" s="320"/>
      <c r="L2968" s="178">
        <v>37.340000000000003</v>
      </c>
      <c r="M2968" s="178">
        <v>570.63</v>
      </c>
      <c r="N2968" s="179">
        <v>0</v>
      </c>
      <c r="O2968" s="178">
        <v>607.97</v>
      </c>
      <c r="P2968" s="453"/>
      <c r="Q2968" s="61"/>
      <c r="R2968" s="298"/>
      <c r="S2968" s="669"/>
      <c r="X2968" s="444">
        <v>2968</v>
      </c>
    </row>
    <row r="2969" spans="1:32" ht="12">
      <c r="A2969" s="83" t="s">
        <v>23159</v>
      </c>
      <c r="B2969" s="64" t="s">
        <v>23160</v>
      </c>
      <c r="C2969" s="71" t="s">
        <v>103</v>
      </c>
      <c r="D2969" s="79">
        <v>1</v>
      </c>
      <c r="E2969" s="79">
        <v>289.96999999999997</v>
      </c>
      <c r="F2969" s="79">
        <v>289.97000000000003</v>
      </c>
      <c r="G2969" s="445"/>
      <c r="H2969" s="178">
        <v>289.97000000000003</v>
      </c>
      <c r="I2969" s="178">
        <v>356.66</v>
      </c>
      <c r="J2969" s="70">
        <v>-66.690000000000055</v>
      </c>
      <c r="K2969" s="320"/>
      <c r="L2969" s="178">
        <v>37.340000000000003</v>
      </c>
      <c r="M2969" s="178">
        <v>252.62999999999997</v>
      </c>
      <c r="N2969" s="179">
        <v>0</v>
      </c>
      <c r="O2969" s="178">
        <v>289.96999999999997</v>
      </c>
      <c r="P2969" s="453"/>
      <c r="Q2969" s="61"/>
      <c r="R2969" s="298"/>
      <c r="S2969" s="669"/>
      <c r="X2969" s="444">
        <v>2969</v>
      </c>
    </row>
    <row r="2970" spans="1:32" ht="12">
      <c r="A2970" s="83" t="s">
        <v>23161</v>
      </c>
      <c r="B2970" s="64" t="s">
        <v>23162</v>
      </c>
      <c r="C2970" s="71" t="s">
        <v>103</v>
      </c>
      <c r="D2970" s="79">
        <v>1</v>
      </c>
      <c r="E2970" s="79">
        <v>315.93</v>
      </c>
      <c r="F2970" s="79">
        <v>315.93</v>
      </c>
      <c r="G2970" s="445"/>
      <c r="H2970" s="178">
        <v>315.93</v>
      </c>
      <c r="I2970" s="178">
        <v>388.6</v>
      </c>
      <c r="J2970" s="70">
        <v>-72.670000000000016</v>
      </c>
      <c r="K2970" s="320"/>
      <c r="L2970" s="178">
        <v>37.340000000000003</v>
      </c>
      <c r="M2970" s="178">
        <v>278.59000000000003</v>
      </c>
      <c r="N2970" s="179">
        <v>0</v>
      </c>
      <c r="O2970" s="178">
        <v>315.93000000000006</v>
      </c>
      <c r="P2970" s="453"/>
      <c r="Q2970" s="61"/>
      <c r="R2970" s="298"/>
      <c r="S2970" s="669"/>
      <c r="X2970" s="444">
        <v>2970</v>
      </c>
    </row>
    <row r="2971" spans="1:32" ht="12">
      <c r="A2971" s="83" t="s">
        <v>23163</v>
      </c>
      <c r="B2971" s="64" t="s">
        <v>23164</v>
      </c>
      <c r="C2971" s="71" t="s">
        <v>103</v>
      </c>
      <c r="D2971" s="79">
        <v>1</v>
      </c>
      <c r="E2971" s="79">
        <v>593.40000000000009</v>
      </c>
      <c r="F2971" s="79">
        <v>593.4</v>
      </c>
      <c r="G2971" s="445"/>
      <c r="H2971" s="178">
        <v>593.4</v>
      </c>
      <c r="I2971" s="178">
        <v>729.88</v>
      </c>
      <c r="J2971" s="70">
        <v>-136.4799999999999</v>
      </c>
      <c r="K2971" s="320"/>
      <c r="L2971" s="178">
        <v>37.340000000000003</v>
      </c>
      <c r="M2971" s="178">
        <v>556.06000000000006</v>
      </c>
      <c r="N2971" s="179">
        <v>0</v>
      </c>
      <c r="O2971" s="178">
        <v>593.40000000000009</v>
      </c>
      <c r="P2971" s="453"/>
      <c r="Q2971" s="61"/>
      <c r="R2971" s="298"/>
      <c r="S2971" s="669"/>
      <c r="X2971" s="444">
        <v>2971</v>
      </c>
    </row>
    <row r="2972" spans="1:32" ht="12">
      <c r="A2972" s="83" t="s">
        <v>23165</v>
      </c>
      <c r="B2972" s="64" t="s">
        <v>23166</v>
      </c>
      <c r="C2972" s="71" t="s">
        <v>103</v>
      </c>
      <c r="D2972" s="79">
        <v>1</v>
      </c>
      <c r="E2972" s="79">
        <v>309.72999999999996</v>
      </c>
      <c r="F2972" s="79">
        <v>309.73</v>
      </c>
      <c r="G2972" s="445"/>
      <c r="H2972" s="178">
        <v>309.73</v>
      </c>
      <c r="I2972" s="178">
        <v>380.97</v>
      </c>
      <c r="J2972" s="70">
        <v>-71.240000000000066</v>
      </c>
      <c r="K2972" s="320"/>
      <c r="L2972" s="178">
        <v>37.340000000000003</v>
      </c>
      <c r="M2972" s="178">
        <v>272.39</v>
      </c>
      <c r="N2972" s="179">
        <v>0</v>
      </c>
      <c r="O2972" s="178">
        <v>309.73</v>
      </c>
      <c r="P2972" s="453"/>
      <c r="Q2972" s="61"/>
      <c r="R2972" s="298"/>
      <c r="S2972" s="669"/>
      <c r="X2972" s="444">
        <v>2972</v>
      </c>
    </row>
    <row r="2973" spans="1:32" ht="12">
      <c r="A2973" s="83" t="s">
        <v>23167</v>
      </c>
      <c r="B2973" s="64" t="s">
        <v>23168</v>
      </c>
      <c r="C2973" s="71" t="s">
        <v>103</v>
      </c>
      <c r="D2973" s="79">
        <v>1</v>
      </c>
      <c r="E2973" s="79">
        <v>252.72999999999996</v>
      </c>
      <c r="F2973" s="79">
        <v>252.73</v>
      </c>
      <c r="G2973" s="445"/>
      <c r="H2973" s="178">
        <v>252.73</v>
      </c>
      <c r="I2973" s="178">
        <v>310.86</v>
      </c>
      <c r="J2973" s="70">
        <v>-58.130000000000052</v>
      </c>
      <c r="K2973" s="320"/>
      <c r="L2973" s="178">
        <v>37.340000000000003</v>
      </c>
      <c r="M2973" s="178">
        <v>215.38999999999996</v>
      </c>
      <c r="N2973" s="179">
        <v>0</v>
      </c>
      <c r="O2973" s="178">
        <v>252.72999999999996</v>
      </c>
      <c r="P2973" s="453"/>
      <c r="Q2973" s="61"/>
      <c r="R2973" s="298"/>
      <c r="S2973" s="669"/>
      <c r="X2973" s="444">
        <v>2973</v>
      </c>
    </row>
    <row r="2974" spans="1:32" ht="12">
      <c r="A2974" s="83" t="s">
        <v>23169</v>
      </c>
      <c r="B2974" s="64" t="s">
        <v>23170</v>
      </c>
      <c r="C2974" s="71" t="s">
        <v>103</v>
      </c>
      <c r="D2974" s="79">
        <v>1</v>
      </c>
      <c r="E2974" s="79">
        <v>269.20999999999998</v>
      </c>
      <c r="F2974" s="79">
        <v>269.20999999999998</v>
      </c>
      <c r="G2974" s="445"/>
      <c r="H2974" s="178">
        <v>269.20999999999998</v>
      </c>
      <c r="I2974" s="178">
        <v>331.13</v>
      </c>
      <c r="J2974" s="70">
        <v>-61.920000000000016</v>
      </c>
      <c r="K2974" s="320"/>
      <c r="L2974" s="178">
        <v>37.340000000000003</v>
      </c>
      <c r="M2974" s="178">
        <v>231.86999999999998</v>
      </c>
      <c r="N2974" s="179">
        <v>0</v>
      </c>
      <c r="O2974" s="178">
        <v>269.20999999999998</v>
      </c>
      <c r="P2974" s="453"/>
      <c r="Q2974" s="61"/>
      <c r="R2974" s="298"/>
      <c r="S2974" s="669"/>
      <c r="X2974" s="444">
        <v>2974</v>
      </c>
    </row>
    <row r="2975" spans="1:32" ht="12">
      <c r="A2975" s="83" t="s">
        <v>23171</v>
      </c>
      <c r="B2975" s="64" t="s">
        <v>23172</v>
      </c>
      <c r="C2975" s="71" t="s">
        <v>103</v>
      </c>
      <c r="D2975" s="79">
        <v>1</v>
      </c>
      <c r="E2975" s="79">
        <v>257.77999999999997</v>
      </c>
      <c r="F2975" s="79">
        <v>257.77999999999997</v>
      </c>
      <c r="G2975" s="445"/>
      <c r="H2975" s="178">
        <v>257.77999999999997</v>
      </c>
      <c r="I2975" s="178">
        <v>317.07</v>
      </c>
      <c r="J2975" s="70">
        <v>-59.29000000000002</v>
      </c>
      <c r="K2975" s="320"/>
      <c r="L2975" s="178">
        <v>37.340000000000003</v>
      </c>
      <c r="M2975" s="178">
        <v>220.43999999999997</v>
      </c>
      <c r="N2975" s="179">
        <v>0</v>
      </c>
      <c r="O2975" s="178">
        <v>257.77999999999997</v>
      </c>
      <c r="P2975" s="453"/>
      <c r="Q2975" s="61"/>
      <c r="R2975" s="298"/>
      <c r="S2975" s="669"/>
      <c r="X2975" s="444">
        <v>2975</v>
      </c>
    </row>
    <row r="2976" spans="1:32" ht="12">
      <c r="A2976" s="83" t="s">
        <v>23173</v>
      </c>
      <c r="B2976" s="64" t="s">
        <v>23174</v>
      </c>
      <c r="C2976" s="71" t="s">
        <v>103</v>
      </c>
      <c r="D2976" s="79">
        <v>1</v>
      </c>
      <c r="E2976" s="79">
        <v>391.85999999999996</v>
      </c>
      <c r="F2976" s="79">
        <v>391.86</v>
      </c>
      <c r="G2976" s="445"/>
      <c r="H2976" s="178">
        <v>391.86</v>
      </c>
      <c r="I2976" s="178">
        <v>481.99</v>
      </c>
      <c r="J2976" s="70">
        <v>-90.130000000000052</v>
      </c>
      <c r="K2976" s="320"/>
      <c r="L2976" s="178">
        <v>37.340000000000003</v>
      </c>
      <c r="M2976" s="178">
        <v>354.52</v>
      </c>
      <c r="N2976" s="179">
        <v>0</v>
      </c>
      <c r="O2976" s="178">
        <v>391.86</v>
      </c>
      <c r="P2976" s="453"/>
      <c r="Q2976" s="61"/>
      <c r="R2976" s="298"/>
      <c r="S2976" s="669"/>
      <c r="X2976" s="444">
        <v>2976</v>
      </c>
    </row>
    <row r="2977" spans="1:32" ht="12">
      <c r="A2977" s="83" t="s">
        <v>23175</v>
      </c>
      <c r="B2977" s="64" t="s">
        <v>23176</v>
      </c>
      <c r="C2977" s="71" t="s">
        <v>103</v>
      </c>
      <c r="D2977" s="79">
        <v>1</v>
      </c>
      <c r="E2977" s="79">
        <v>357.35999999999996</v>
      </c>
      <c r="F2977" s="79">
        <v>357.36</v>
      </c>
      <c r="G2977" s="445"/>
      <c r="H2977" s="178">
        <v>357.36</v>
      </c>
      <c r="I2977" s="178">
        <v>439.55</v>
      </c>
      <c r="J2977" s="70">
        <v>-82.190000000000055</v>
      </c>
      <c r="K2977" s="320"/>
      <c r="L2977" s="178">
        <v>37.340000000000003</v>
      </c>
      <c r="M2977" s="178">
        <v>320.02</v>
      </c>
      <c r="N2977" s="179">
        <v>0</v>
      </c>
      <c r="O2977" s="178">
        <v>357.36</v>
      </c>
      <c r="P2977" s="453"/>
      <c r="Q2977" s="61"/>
      <c r="R2977" s="298"/>
      <c r="S2977" s="669"/>
      <c r="U2977" s="61"/>
      <c r="V2977" s="61"/>
      <c r="W2977" s="61"/>
      <c r="X2977" s="444">
        <v>2977</v>
      </c>
      <c r="Y2977" s="61"/>
      <c r="Z2977" s="61"/>
      <c r="AA2977" s="61"/>
      <c r="AB2977" s="61"/>
      <c r="AC2977" s="61"/>
      <c r="AD2977" s="61"/>
      <c r="AE2977" s="61"/>
      <c r="AF2977" s="61"/>
    </row>
    <row r="2978" spans="1:32" ht="12">
      <c r="A2978" s="83" t="s">
        <v>23177</v>
      </c>
      <c r="B2978" s="64" t="s">
        <v>23178</v>
      </c>
      <c r="C2978" s="71" t="s">
        <v>103</v>
      </c>
      <c r="D2978" s="79">
        <v>1</v>
      </c>
      <c r="E2978" s="79">
        <v>373.14</v>
      </c>
      <c r="F2978" s="79">
        <v>373.14</v>
      </c>
      <c r="G2978" s="445"/>
      <c r="H2978" s="178">
        <v>373.14</v>
      </c>
      <c r="I2978" s="178">
        <v>458.96</v>
      </c>
      <c r="J2978" s="70">
        <v>-85.82</v>
      </c>
      <c r="K2978" s="320"/>
      <c r="L2978" s="178">
        <v>37.340000000000003</v>
      </c>
      <c r="M2978" s="178">
        <v>335.79999999999995</v>
      </c>
      <c r="N2978" s="179">
        <v>0</v>
      </c>
      <c r="O2978" s="178">
        <v>373.14</v>
      </c>
      <c r="P2978" s="453"/>
      <c r="Q2978" s="61"/>
      <c r="R2978" s="298"/>
      <c r="S2978" s="669"/>
      <c r="X2978" s="444">
        <v>2978</v>
      </c>
    </row>
    <row r="2979" spans="1:32" ht="12">
      <c r="A2979" s="83" t="s">
        <v>23179</v>
      </c>
      <c r="B2979" s="64" t="s">
        <v>23180</v>
      </c>
      <c r="C2979" s="71" t="s">
        <v>103</v>
      </c>
      <c r="D2979" s="79">
        <v>1</v>
      </c>
      <c r="E2979" s="79">
        <v>351.15</v>
      </c>
      <c r="F2979" s="79">
        <v>351.15</v>
      </c>
      <c r="G2979" s="445"/>
      <c r="H2979" s="178">
        <v>351.15</v>
      </c>
      <c r="I2979" s="178">
        <v>431.92</v>
      </c>
      <c r="J2979" s="70">
        <v>-80.770000000000039</v>
      </c>
      <c r="K2979" s="320"/>
      <c r="L2979" s="178">
        <v>37.340000000000003</v>
      </c>
      <c r="M2979" s="178">
        <v>313.80999999999995</v>
      </c>
      <c r="N2979" s="179">
        <v>0</v>
      </c>
      <c r="O2979" s="178">
        <v>351.15</v>
      </c>
      <c r="P2979" s="453"/>
      <c r="Q2979" s="61"/>
      <c r="R2979" s="298"/>
      <c r="S2979" s="669"/>
      <c r="X2979" s="444">
        <v>2979</v>
      </c>
    </row>
    <row r="2980" spans="1:32" ht="12">
      <c r="A2980" s="83" t="s">
        <v>23181</v>
      </c>
      <c r="B2980" s="64" t="s">
        <v>23182</v>
      </c>
      <c r="C2980" s="71" t="s">
        <v>103</v>
      </c>
      <c r="D2980" s="79">
        <v>1</v>
      </c>
      <c r="E2980" s="79">
        <v>416.28</v>
      </c>
      <c r="F2980" s="79">
        <v>416.28</v>
      </c>
      <c r="G2980" s="445"/>
      <c r="H2980" s="178">
        <v>416.28</v>
      </c>
      <c r="I2980" s="178">
        <v>512.03</v>
      </c>
      <c r="J2980" s="70">
        <v>-95.75</v>
      </c>
      <c r="K2980" s="320"/>
      <c r="L2980" s="178">
        <v>37.340000000000003</v>
      </c>
      <c r="M2980" s="178">
        <v>378.93999999999994</v>
      </c>
      <c r="N2980" s="179">
        <v>0</v>
      </c>
      <c r="O2980" s="178">
        <v>416.28</v>
      </c>
      <c r="P2980" s="453"/>
      <c r="Q2980" s="61"/>
      <c r="R2980" s="298"/>
      <c r="S2980" s="669"/>
      <c r="X2980" s="444">
        <v>2980</v>
      </c>
    </row>
    <row r="2981" spans="1:32" ht="12">
      <c r="A2981" s="83" t="s">
        <v>23183</v>
      </c>
      <c r="B2981" s="64" t="s">
        <v>23184</v>
      </c>
      <c r="C2981" s="71" t="s">
        <v>103</v>
      </c>
      <c r="D2981" s="79">
        <v>1</v>
      </c>
      <c r="E2981" s="79">
        <v>375.4</v>
      </c>
      <c r="F2981" s="79">
        <v>375.4</v>
      </c>
      <c r="G2981" s="445"/>
      <c r="H2981" s="178">
        <v>375.4</v>
      </c>
      <c r="I2981" s="178">
        <v>461.74</v>
      </c>
      <c r="J2981" s="70">
        <v>-86.340000000000032</v>
      </c>
      <c r="K2981" s="320"/>
      <c r="L2981" s="178">
        <v>37.340000000000003</v>
      </c>
      <c r="M2981" s="178">
        <v>338.05999999999995</v>
      </c>
      <c r="N2981" s="179">
        <v>0</v>
      </c>
      <c r="O2981" s="178">
        <v>375.4</v>
      </c>
      <c r="P2981" s="453"/>
      <c r="Q2981" s="61"/>
      <c r="R2981" s="298"/>
      <c r="S2981" s="669"/>
      <c r="X2981" s="444">
        <v>2981</v>
      </c>
    </row>
    <row r="2982" spans="1:32" ht="12">
      <c r="A2982" s="83" t="s">
        <v>23185</v>
      </c>
      <c r="B2982" s="64" t="s">
        <v>23186</v>
      </c>
      <c r="C2982" s="71" t="s">
        <v>103</v>
      </c>
      <c r="D2982" s="79">
        <v>1</v>
      </c>
      <c r="E2982" s="79">
        <v>266.77</v>
      </c>
      <c r="F2982" s="79">
        <v>266.77</v>
      </c>
      <c r="G2982" s="445"/>
      <c r="H2982" s="178">
        <v>266.77</v>
      </c>
      <c r="I2982" s="178">
        <v>328.13</v>
      </c>
      <c r="J2982" s="70">
        <v>-61.360000000000014</v>
      </c>
      <c r="K2982" s="320"/>
      <c r="L2982" s="178">
        <v>37.340000000000003</v>
      </c>
      <c r="M2982" s="178">
        <v>229.42999999999998</v>
      </c>
      <c r="N2982" s="179">
        <v>0</v>
      </c>
      <c r="O2982" s="178">
        <v>266.77</v>
      </c>
      <c r="P2982" s="453"/>
      <c r="Q2982" s="61"/>
      <c r="R2982" s="298"/>
      <c r="S2982" s="669"/>
      <c r="X2982" s="444">
        <v>2982</v>
      </c>
    </row>
    <row r="2983" spans="1:32" ht="12">
      <c r="A2983" s="83" t="s">
        <v>23187</v>
      </c>
      <c r="B2983" s="64" t="s">
        <v>23188</v>
      </c>
      <c r="C2983" s="71" t="s">
        <v>103</v>
      </c>
      <c r="D2983" s="79">
        <v>1</v>
      </c>
      <c r="E2983" s="79">
        <v>347.2</v>
      </c>
      <c r="F2983" s="79">
        <v>347.2</v>
      </c>
      <c r="G2983" s="445"/>
      <c r="H2983" s="178">
        <v>347.2</v>
      </c>
      <c r="I2983" s="178">
        <v>427.06</v>
      </c>
      <c r="J2983" s="70">
        <v>-79.860000000000014</v>
      </c>
      <c r="K2983" s="320"/>
      <c r="L2983" s="178">
        <v>37.340000000000003</v>
      </c>
      <c r="M2983" s="178">
        <v>309.86</v>
      </c>
      <c r="N2983" s="179">
        <v>0</v>
      </c>
      <c r="O2983" s="178">
        <v>347.20000000000005</v>
      </c>
      <c r="P2983" s="453"/>
      <c r="Q2983" s="61"/>
      <c r="R2983" s="298"/>
      <c r="S2983" s="669"/>
      <c r="X2983" s="444">
        <v>2983</v>
      </c>
    </row>
    <row r="2984" spans="1:32" ht="12">
      <c r="A2984" s="83" t="s">
        <v>23189</v>
      </c>
      <c r="B2984" s="64" t="s">
        <v>23190</v>
      </c>
      <c r="C2984" s="71" t="s">
        <v>103</v>
      </c>
      <c r="D2984" s="79">
        <v>1</v>
      </c>
      <c r="E2984" s="79">
        <v>410.26</v>
      </c>
      <c r="F2984" s="79">
        <v>410.26</v>
      </c>
      <c r="G2984" s="445"/>
      <c r="H2984" s="178">
        <v>410.26</v>
      </c>
      <c r="I2984" s="178">
        <v>504.62</v>
      </c>
      <c r="J2984" s="70">
        <v>-94.360000000000014</v>
      </c>
      <c r="K2984" s="320"/>
      <c r="L2984" s="178">
        <v>37.340000000000003</v>
      </c>
      <c r="M2984" s="178">
        <v>372.91999999999996</v>
      </c>
      <c r="N2984" s="179">
        <v>0</v>
      </c>
      <c r="O2984" s="178">
        <v>410.26</v>
      </c>
      <c r="P2984" s="453"/>
      <c r="Q2984" s="61"/>
      <c r="R2984" s="298"/>
      <c r="S2984" s="669"/>
      <c r="X2984" s="444">
        <v>2984</v>
      </c>
    </row>
    <row r="2985" spans="1:32" ht="12">
      <c r="A2985" s="83" t="s">
        <v>12192</v>
      </c>
      <c r="B2985" s="64" t="s">
        <v>23191</v>
      </c>
      <c r="C2985" s="71" t="s">
        <v>103</v>
      </c>
      <c r="D2985" s="79">
        <v>1</v>
      </c>
      <c r="E2985" s="79">
        <v>72.600000000000009</v>
      </c>
      <c r="F2985" s="79">
        <v>72.599999999999994</v>
      </c>
      <c r="G2985" s="445"/>
      <c r="H2985" s="178">
        <v>72.59</v>
      </c>
      <c r="I2985" s="178">
        <v>89.28</v>
      </c>
      <c r="J2985" s="70">
        <v>-16.679999999999993</v>
      </c>
      <c r="K2985" s="320"/>
      <c r="L2985" s="178">
        <v>3.95</v>
      </c>
      <c r="M2985" s="178">
        <v>68.650000000000006</v>
      </c>
      <c r="N2985" s="179">
        <v>0</v>
      </c>
      <c r="O2985" s="178">
        <v>72.600000000000009</v>
      </c>
      <c r="P2985" s="453"/>
      <c r="Q2985" s="61"/>
      <c r="R2985" s="298"/>
      <c r="S2985" s="669"/>
      <c r="X2985" s="444">
        <v>2985</v>
      </c>
    </row>
    <row r="2986" spans="1:32" s="73" customFormat="1" ht="12">
      <c r="A2986" s="83" t="s">
        <v>23192</v>
      </c>
      <c r="B2986" s="64" t="s">
        <v>23193</v>
      </c>
      <c r="C2986" s="71" t="s">
        <v>103</v>
      </c>
      <c r="D2986" s="79">
        <v>1</v>
      </c>
      <c r="E2986" s="79">
        <v>95.440000000000012</v>
      </c>
      <c r="F2986" s="79">
        <v>95.44</v>
      </c>
      <c r="G2986" s="445"/>
      <c r="H2986" s="178">
        <v>95.42</v>
      </c>
      <c r="I2986" s="178">
        <v>117.37</v>
      </c>
      <c r="J2986" s="70">
        <v>-21.929999999999993</v>
      </c>
      <c r="K2986" s="320"/>
      <c r="L2986" s="178">
        <v>3.95</v>
      </c>
      <c r="M2986" s="178">
        <v>91.490000000000009</v>
      </c>
      <c r="N2986" s="179">
        <v>0</v>
      </c>
      <c r="O2986" s="178">
        <v>95.440000000000012</v>
      </c>
      <c r="P2986" s="453"/>
      <c r="Q2986" s="61"/>
      <c r="R2986" s="298"/>
      <c r="S2986" s="669"/>
      <c r="T2986" s="444"/>
      <c r="U2986" s="444"/>
      <c r="V2986" s="444"/>
      <c r="W2986" s="444"/>
      <c r="X2986" s="444">
        <v>2986</v>
      </c>
      <c r="Y2986" s="444"/>
      <c r="Z2986" s="444"/>
      <c r="AA2986" s="444"/>
      <c r="AB2986" s="444"/>
      <c r="AC2986" s="444"/>
      <c r="AD2986" s="444"/>
      <c r="AE2986" s="444"/>
      <c r="AF2986" s="444"/>
    </row>
    <row r="2987" spans="1:32" s="73" customFormat="1" ht="12">
      <c r="A2987" s="83" t="s">
        <v>23194</v>
      </c>
      <c r="B2987" s="64" t="s">
        <v>23195</v>
      </c>
      <c r="C2987" s="71" t="s">
        <v>103</v>
      </c>
      <c r="D2987" s="79">
        <v>1</v>
      </c>
      <c r="E2987" s="79">
        <v>55.07</v>
      </c>
      <c r="F2987" s="79">
        <v>55.07</v>
      </c>
      <c r="G2987" s="445"/>
      <c r="H2987" s="178">
        <v>55.06</v>
      </c>
      <c r="I2987" s="178">
        <v>67.72</v>
      </c>
      <c r="J2987" s="70">
        <v>-12.649999999999999</v>
      </c>
      <c r="K2987" s="320"/>
      <c r="L2987" s="178">
        <v>3.95</v>
      </c>
      <c r="M2987" s="178">
        <v>51.12</v>
      </c>
      <c r="N2987" s="179">
        <v>0</v>
      </c>
      <c r="O2987" s="178">
        <v>55.07</v>
      </c>
      <c r="P2987" s="453"/>
      <c r="Q2987" s="61"/>
      <c r="R2987" s="298"/>
      <c r="S2987" s="669"/>
      <c r="T2987" s="444"/>
      <c r="U2987" s="444"/>
      <c r="V2987" s="444"/>
      <c r="W2987" s="444"/>
      <c r="X2987" s="444">
        <v>2987</v>
      </c>
      <c r="Y2987" s="444"/>
      <c r="Z2987" s="444"/>
      <c r="AA2987" s="444"/>
      <c r="AB2987" s="444"/>
      <c r="AC2987" s="444"/>
      <c r="AD2987" s="444"/>
      <c r="AE2987" s="444"/>
      <c r="AF2987" s="444"/>
    </row>
    <row r="2988" spans="1:32" s="73" customFormat="1" ht="12">
      <c r="A2988" s="83" t="s">
        <v>23196</v>
      </c>
      <c r="B2988" s="64" t="s">
        <v>23197</v>
      </c>
      <c r="C2988" s="71" t="s">
        <v>509</v>
      </c>
      <c r="D2988" s="79">
        <v>1</v>
      </c>
      <c r="E2988" s="79">
        <v>254.48999999999998</v>
      </c>
      <c r="F2988" s="79">
        <v>254.49</v>
      </c>
      <c r="G2988" s="445"/>
      <c r="H2988" s="178">
        <v>254.48</v>
      </c>
      <c r="I2988" s="178">
        <v>313.01</v>
      </c>
      <c r="J2988" s="70">
        <v>-58.52000000000001</v>
      </c>
      <c r="K2988" s="320"/>
      <c r="L2988" s="178">
        <v>9.9700000000000006</v>
      </c>
      <c r="M2988" s="178">
        <v>244.51999999999998</v>
      </c>
      <c r="N2988" s="179">
        <v>0</v>
      </c>
      <c r="O2988" s="178">
        <v>254.48999999999998</v>
      </c>
      <c r="P2988" s="453"/>
      <c r="Q2988" s="61"/>
      <c r="R2988" s="298"/>
      <c r="S2988" s="669"/>
      <c r="T2988" s="444"/>
      <c r="U2988" s="69"/>
      <c r="V2988" s="69"/>
      <c r="W2988" s="69"/>
      <c r="X2988" s="444">
        <v>2988</v>
      </c>
      <c r="Y2988" s="69"/>
      <c r="Z2988" s="69"/>
      <c r="AA2988" s="69"/>
      <c r="AB2988" s="69"/>
      <c r="AC2988" s="69"/>
      <c r="AD2988" s="69"/>
      <c r="AE2988" s="69"/>
      <c r="AF2988" s="69"/>
    </row>
    <row r="2989" spans="1:32" s="61" customFormat="1" ht="12">
      <c r="A2989" s="83" t="s">
        <v>23198</v>
      </c>
      <c r="B2989" s="64" t="s">
        <v>23199</v>
      </c>
      <c r="C2989" s="71" t="s">
        <v>103</v>
      </c>
      <c r="D2989" s="79">
        <v>1</v>
      </c>
      <c r="E2989" s="79">
        <v>93.750000000000014</v>
      </c>
      <c r="F2989" s="79">
        <v>93.75</v>
      </c>
      <c r="G2989" s="445"/>
      <c r="H2989" s="178">
        <v>93.73</v>
      </c>
      <c r="I2989" s="178">
        <v>115.29</v>
      </c>
      <c r="J2989" s="70">
        <v>-21.539999999999992</v>
      </c>
      <c r="K2989" s="320"/>
      <c r="L2989" s="178">
        <v>3.95</v>
      </c>
      <c r="M2989" s="178">
        <v>89.800000000000011</v>
      </c>
      <c r="N2989" s="179">
        <v>0</v>
      </c>
      <c r="O2989" s="178">
        <v>93.750000000000014</v>
      </c>
      <c r="P2989" s="453"/>
      <c r="R2989" s="298"/>
      <c r="S2989" s="669"/>
      <c r="T2989" s="444"/>
      <c r="U2989" s="69"/>
      <c r="V2989" s="69"/>
      <c r="W2989" s="69"/>
      <c r="X2989" s="444">
        <v>2989</v>
      </c>
      <c r="Y2989" s="69"/>
      <c r="Z2989" s="69"/>
      <c r="AA2989" s="69"/>
      <c r="AB2989" s="69"/>
      <c r="AC2989" s="69"/>
      <c r="AD2989" s="69"/>
      <c r="AE2989" s="69"/>
      <c r="AF2989" s="69"/>
    </row>
    <row r="2990" spans="1:32" s="61" customFormat="1" ht="12">
      <c r="A2990" s="83" t="s">
        <v>23200</v>
      </c>
      <c r="B2990" s="64" t="s">
        <v>8079</v>
      </c>
      <c r="C2990" s="71" t="s">
        <v>509</v>
      </c>
      <c r="D2990" s="79">
        <v>1</v>
      </c>
      <c r="E2990" s="79">
        <v>149.27000000000001</v>
      </c>
      <c r="F2990" s="79">
        <v>149.27000000000001</v>
      </c>
      <c r="G2990" s="445"/>
      <c r="H2990" s="178">
        <v>149.26</v>
      </c>
      <c r="I2990" s="178">
        <v>183.59</v>
      </c>
      <c r="J2990" s="70">
        <v>-34.319999999999993</v>
      </c>
      <c r="K2990" s="320"/>
      <c r="L2990" s="178">
        <v>9.9700000000000006</v>
      </c>
      <c r="M2990" s="178">
        <v>139.30000000000001</v>
      </c>
      <c r="N2990" s="179">
        <v>0</v>
      </c>
      <c r="O2990" s="178">
        <v>149.27000000000001</v>
      </c>
      <c r="P2990" s="453"/>
      <c r="R2990" s="298"/>
      <c r="S2990" s="669"/>
      <c r="T2990" s="444"/>
      <c r="U2990" s="69"/>
      <c r="V2990" s="69"/>
      <c r="W2990" s="69"/>
      <c r="X2990" s="444">
        <v>2990</v>
      </c>
      <c r="Y2990" s="69"/>
      <c r="Z2990" s="69"/>
      <c r="AA2990" s="69"/>
      <c r="AB2990" s="69"/>
      <c r="AC2990" s="69"/>
      <c r="AD2990" s="69"/>
      <c r="AE2990" s="69"/>
      <c r="AF2990" s="69"/>
    </row>
    <row r="2991" spans="1:32" s="61" customFormat="1" ht="12">
      <c r="A2991" s="83" t="s">
        <v>23201</v>
      </c>
      <c r="B2991" s="64" t="s">
        <v>23202</v>
      </c>
      <c r="C2991" s="71" t="s">
        <v>103</v>
      </c>
      <c r="D2991" s="79">
        <v>1</v>
      </c>
      <c r="E2991" s="79">
        <v>50.139999999999993</v>
      </c>
      <c r="F2991" s="79">
        <v>50.14</v>
      </c>
      <c r="G2991" s="445"/>
      <c r="H2991" s="178">
        <v>50.12</v>
      </c>
      <c r="I2991" s="178">
        <v>61.65</v>
      </c>
      <c r="J2991" s="70">
        <v>-11.510000000000005</v>
      </c>
      <c r="K2991" s="320"/>
      <c r="L2991" s="178">
        <v>3.95</v>
      </c>
      <c r="M2991" s="178">
        <v>46.189999999999991</v>
      </c>
      <c r="N2991" s="179">
        <v>0</v>
      </c>
      <c r="O2991" s="178">
        <v>50.139999999999993</v>
      </c>
      <c r="P2991" s="453"/>
      <c r="R2991" s="298"/>
      <c r="S2991" s="669"/>
      <c r="T2991" s="444"/>
      <c r="U2991" s="69"/>
      <c r="V2991" s="69"/>
      <c r="W2991" s="69"/>
      <c r="X2991" s="444">
        <v>2991</v>
      </c>
      <c r="Y2991" s="69"/>
      <c r="Z2991" s="69"/>
      <c r="AA2991" s="69"/>
      <c r="AB2991" s="69"/>
      <c r="AC2991" s="69"/>
      <c r="AD2991" s="69"/>
      <c r="AE2991" s="69"/>
      <c r="AF2991" s="69"/>
    </row>
    <row r="2992" spans="1:32" ht="12">
      <c r="A2992" s="83" t="s">
        <v>23203</v>
      </c>
      <c r="B2992" s="64" t="s">
        <v>23204</v>
      </c>
      <c r="C2992" s="71" t="s">
        <v>103</v>
      </c>
      <c r="D2992" s="79">
        <v>1</v>
      </c>
      <c r="E2992" s="79">
        <v>76.060000000000016</v>
      </c>
      <c r="F2992" s="79">
        <v>76.06</v>
      </c>
      <c r="G2992" s="445"/>
      <c r="H2992" s="178">
        <v>76.05</v>
      </c>
      <c r="I2992" s="178">
        <v>93.54</v>
      </c>
      <c r="J2992" s="70">
        <v>-17.47999999999999</v>
      </c>
      <c r="K2992" s="320"/>
      <c r="L2992" s="178">
        <v>3.95</v>
      </c>
      <c r="M2992" s="178">
        <v>72.110000000000014</v>
      </c>
      <c r="N2992" s="179">
        <v>0</v>
      </c>
      <c r="O2992" s="178">
        <v>76.060000000000016</v>
      </c>
      <c r="P2992" s="453"/>
      <c r="Q2992" s="61"/>
      <c r="R2992" s="298"/>
      <c r="S2992" s="669"/>
      <c r="U2992" s="69"/>
      <c r="V2992" s="69"/>
      <c r="W2992" s="69"/>
      <c r="X2992" s="444">
        <v>2992</v>
      </c>
      <c r="Y2992" s="69"/>
      <c r="Z2992" s="69"/>
      <c r="AA2992" s="69"/>
      <c r="AB2992" s="69"/>
      <c r="AC2992" s="69"/>
      <c r="AD2992" s="69"/>
      <c r="AE2992" s="69"/>
      <c r="AF2992" s="69"/>
    </row>
    <row r="2993" spans="1:32" ht="12">
      <c r="A2993" s="83" t="s">
        <v>23205</v>
      </c>
      <c r="B2993" s="64" t="s">
        <v>23206</v>
      </c>
      <c r="C2993" s="71" t="s">
        <v>103</v>
      </c>
      <c r="D2993" s="79">
        <v>1</v>
      </c>
      <c r="E2993" s="79">
        <v>80.070000000000007</v>
      </c>
      <c r="F2993" s="79">
        <v>80.069999999999993</v>
      </c>
      <c r="G2993" s="445"/>
      <c r="H2993" s="178">
        <v>80.06</v>
      </c>
      <c r="I2993" s="178">
        <v>98.47</v>
      </c>
      <c r="J2993" s="70">
        <v>-18.399999999999991</v>
      </c>
      <c r="K2993" s="320"/>
      <c r="L2993" s="178">
        <v>3.95</v>
      </c>
      <c r="M2993" s="178">
        <v>76.12</v>
      </c>
      <c r="N2993" s="179">
        <v>0</v>
      </c>
      <c r="O2993" s="178">
        <v>80.070000000000007</v>
      </c>
      <c r="P2993" s="453"/>
      <c r="Q2993" s="61"/>
      <c r="R2993" s="298"/>
      <c r="S2993" s="669"/>
      <c r="U2993" s="69"/>
      <c r="V2993" s="69"/>
      <c r="W2993" s="69"/>
      <c r="X2993" s="444">
        <v>2993</v>
      </c>
      <c r="Y2993" s="69"/>
      <c r="Z2993" s="69"/>
      <c r="AA2993" s="69"/>
      <c r="AB2993" s="69"/>
      <c r="AC2993" s="69"/>
      <c r="AD2993" s="69"/>
      <c r="AE2993" s="69"/>
      <c r="AF2993" s="69"/>
    </row>
    <row r="2994" spans="1:32" ht="12">
      <c r="A2994" s="83" t="s">
        <v>23207</v>
      </c>
      <c r="B2994" s="64" t="s">
        <v>8087</v>
      </c>
      <c r="C2994" s="71" t="s">
        <v>509</v>
      </c>
      <c r="D2994" s="79">
        <v>1</v>
      </c>
      <c r="E2994" s="79">
        <v>528.51</v>
      </c>
      <c r="F2994" s="79">
        <v>528.51</v>
      </c>
      <c r="G2994" s="445"/>
      <c r="H2994" s="178">
        <v>528.5</v>
      </c>
      <c r="I2994" s="178">
        <v>650.05999999999995</v>
      </c>
      <c r="J2994" s="70">
        <v>-121.54999999999995</v>
      </c>
      <c r="K2994" s="320"/>
      <c r="L2994" s="178">
        <v>9.9700000000000006</v>
      </c>
      <c r="M2994" s="178">
        <v>518.54</v>
      </c>
      <c r="N2994" s="179">
        <v>0</v>
      </c>
      <c r="O2994" s="178">
        <v>528.51</v>
      </c>
      <c r="P2994" s="453"/>
      <c r="Q2994" s="61"/>
      <c r="R2994" s="298"/>
      <c r="S2994" s="669"/>
      <c r="X2994" s="444">
        <v>2994</v>
      </c>
    </row>
    <row r="2995" spans="1:32" ht="12">
      <c r="A2995" s="83" t="s">
        <v>12194</v>
      </c>
      <c r="B2995" s="64" t="s">
        <v>23208</v>
      </c>
      <c r="C2995" s="71" t="s">
        <v>103</v>
      </c>
      <c r="D2995" s="79">
        <v>1</v>
      </c>
      <c r="E2995" s="79">
        <v>86.38000000000001</v>
      </c>
      <c r="F2995" s="79">
        <v>86.38</v>
      </c>
      <c r="G2995" s="445"/>
      <c r="H2995" s="178">
        <v>86.37</v>
      </c>
      <c r="I2995" s="178">
        <v>106.23</v>
      </c>
      <c r="J2995" s="70">
        <v>-19.849999999999994</v>
      </c>
      <c r="K2995" s="320"/>
      <c r="L2995" s="178">
        <v>3.95</v>
      </c>
      <c r="M2995" s="178">
        <v>82.43</v>
      </c>
      <c r="N2995" s="179">
        <v>0</v>
      </c>
      <c r="O2995" s="178">
        <v>86.38000000000001</v>
      </c>
      <c r="P2995" s="453"/>
      <c r="Q2995" s="61"/>
      <c r="R2995" s="298"/>
      <c r="S2995" s="669"/>
      <c r="X2995" s="444">
        <v>2995</v>
      </c>
    </row>
    <row r="2996" spans="1:32" ht="12">
      <c r="A2996" s="83" t="s">
        <v>23209</v>
      </c>
      <c r="B2996" s="64" t="s">
        <v>23210</v>
      </c>
      <c r="C2996" s="71" t="s">
        <v>103</v>
      </c>
      <c r="D2996" s="79">
        <v>1</v>
      </c>
      <c r="E2996" s="79">
        <v>49.089999999999996</v>
      </c>
      <c r="F2996" s="79">
        <v>49.09</v>
      </c>
      <c r="G2996" s="445"/>
      <c r="H2996" s="178">
        <v>49.07</v>
      </c>
      <c r="I2996" s="178">
        <v>60.36</v>
      </c>
      <c r="J2996" s="70">
        <v>-11.270000000000003</v>
      </c>
      <c r="K2996" s="320"/>
      <c r="L2996" s="178">
        <v>3.95</v>
      </c>
      <c r="M2996" s="178">
        <v>45.139999999999993</v>
      </c>
      <c r="N2996" s="179">
        <v>0</v>
      </c>
      <c r="O2996" s="178">
        <v>49.089999999999996</v>
      </c>
      <c r="P2996" s="453"/>
      <c r="Q2996" s="61"/>
      <c r="R2996" s="298"/>
      <c r="S2996" s="669"/>
      <c r="X2996" s="444">
        <v>2996</v>
      </c>
    </row>
    <row r="2997" spans="1:32" ht="12">
      <c r="A2997" s="83" t="s">
        <v>23211</v>
      </c>
      <c r="B2997" s="64" t="s">
        <v>23212</v>
      </c>
      <c r="C2997" s="71" t="s">
        <v>103</v>
      </c>
      <c r="D2997" s="79">
        <v>1</v>
      </c>
      <c r="E2997" s="79">
        <v>53.419999999999995</v>
      </c>
      <c r="F2997" s="79">
        <v>53.42</v>
      </c>
      <c r="G2997" s="445"/>
      <c r="H2997" s="178">
        <v>53.41</v>
      </c>
      <c r="I2997" s="178">
        <v>65.69</v>
      </c>
      <c r="J2997" s="70">
        <v>-12.270000000000003</v>
      </c>
      <c r="K2997" s="320"/>
      <c r="L2997" s="178">
        <v>3.95</v>
      </c>
      <c r="M2997" s="178">
        <v>49.469999999999992</v>
      </c>
      <c r="N2997" s="179">
        <v>0</v>
      </c>
      <c r="O2997" s="178">
        <v>53.419999999999995</v>
      </c>
      <c r="P2997" s="453"/>
      <c r="Q2997" s="61"/>
      <c r="R2997" s="298"/>
      <c r="S2997" s="669"/>
      <c r="X2997" s="444">
        <v>2997</v>
      </c>
    </row>
    <row r="2998" spans="1:32" ht="12">
      <c r="A2998" s="83" t="s">
        <v>23213</v>
      </c>
      <c r="B2998" s="64" t="s">
        <v>23214</v>
      </c>
      <c r="C2998" s="71" t="s">
        <v>103</v>
      </c>
      <c r="D2998" s="79">
        <v>1</v>
      </c>
      <c r="E2998" s="79">
        <v>102.80000000000001</v>
      </c>
      <c r="F2998" s="79">
        <v>102.8</v>
      </c>
      <c r="G2998" s="445"/>
      <c r="H2998" s="178">
        <v>102.79</v>
      </c>
      <c r="I2998" s="178">
        <v>126.43</v>
      </c>
      <c r="J2998" s="70">
        <v>-23.629999999999995</v>
      </c>
      <c r="K2998" s="320"/>
      <c r="L2998" s="178">
        <v>3.95</v>
      </c>
      <c r="M2998" s="178">
        <v>98.850000000000009</v>
      </c>
      <c r="N2998" s="179">
        <v>0</v>
      </c>
      <c r="O2998" s="178">
        <v>102.80000000000001</v>
      </c>
      <c r="P2998" s="453"/>
      <c r="Q2998" s="61"/>
      <c r="R2998" s="298"/>
      <c r="S2998" s="669"/>
      <c r="X2998" s="444">
        <v>2998</v>
      </c>
    </row>
    <row r="2999" spans="1:32" ht="12">
      <c r="A2999" s="83" t="s">
        <v>23215</v>
      </c>
      <c r="B2999" s="64" t="s">
        <v>23216</v>
      </c>
      <c r="C2999" s="71" t="s">
        <v>103</v>
      </c>
      <c r="D2999" s="79">
        <v>1</v>
      </c>
      <c r="E2999" s="79">
        <v>61.16</v>
      </c>
      <c r="F2999" s="79">
        <v>61.16</v>
      </c>
      <c r="G2999" s="445"/>
      <c r="H2999" s="178">
        <v>61.15</v>
      </c>
      <c r="I2999" s="178">
        <v>75.209999999999994</v>
      </c>
      <c r="J2999" s="70">
        <v>-14.049999999999997</v>
      </c>
      <c r="K2999" s="320"/>
      <c r="L2999" s="178">
        <v>3.95</v>
      </c>
      <c r="M2999" s="178">
        <v>57.209999999999994</v>
      </c>
      <c r="N2999" s="179">
        <v>0</v>
      </c>
      <c r="O2999" s="178">
        <v>61.16</v>
      </c>
      <c r="P2999" s="453"/>
      <c r="Q2999" s="61"/>
      <c r="R2999" s="298"/>
      <c r="S2999" s="669"/>
      <c r="X2999" s="444">
        <v>2999</v>
      </c>
    </row>
    <row r="3000" spans="1:32" ht="12">
      <c r="A3000" s="83" t="s">
        <v>23217</v>
      </c>
      <c r="B3000" s="64" t="s">
        <v>8095</v>
      </c>
      <c r="C3000" s="71" t="s">
        <v>509</v>
      </c>
      <c r="D3000" s="79">
        <v>1</v>
      </c>
      <c r="E3000" s="79">
        <v>551.15</v>
      </c>
      <c r="F3000" s="79">
        <v>551.15</v>
      </c>
      <c r="G3000" s="445"/>
      <c r="H3000" s="178">
        <v>551.14</v>
      </c>
      <c r="I3000" s="178">
        <v>677.9</v>
      </c>
      <c r="J3000" s="70">
        <v>-126.75</v>
      </c>
      <c r="K3000" s="320"/>
      <c r="L3000" s="178">
        <v>9.9700000000000006</v>
      </c>
      <c r="M3000" s="178">
        <v>541.17999999999995</v>
      </c>
      <c r="N3000" s="179">
        <v>0</v>
      </c>
      <c r="O3000" s="178">
        <v>551.15</v>
      </c>
      <c r="P3000" s="453"/>
      <c r="Q3000" s="61"/>
      <c r="R3000" s="298"/>
      <c r="S3000" s="669"/>
      <c r="X3000" s="444">
        <v>3000</v>
      </c>
    </row>
    <row r="3001" spans="1:32" ht="12">
      <c r="A3001" s="83" t="s">
        <v>23218</v>
      </c>
      <c r="B3001" s="64" t="s">
        <v>23219</v>
      </c>
      <c r="C3001" s="71" t="s">
        <v>103</v>
      </c>
      <c r="D3001" s="79">
        <v>1</v>
      </c>
      <c r="E3001" s="79">
        <v>61.58</v>
      </c>
      <c r="F3001" s="79">
        <v>61.58</v>
      </c>
      <c r="G3001" s="445"/>
      <c r="H3001" s="178">
        <v>61.57</v>
      </c>
      <c r="I3001" s="178">
        <v>75.73</v>
      </c>
      <c r="J3001" s="70">
        <v>-14.150000000000006</v>
      </c>
      <c r="K3001" s="320"/>
      <c r="L3001" s="178">
        <v>3.95</v>
      </c>
      <c r="M3001" s="178">
        <v>57.629999999999995</v>
      </c>
      <c r="N3001" s="179">
        <v>0</v>
      </c>
      <c r="O3001" s="178">
        <v>61.58</v>
      </c>
      <c r="P3001" s="453"/>
      <c r="Q3001" s="61"/>
      <c r="R3001" s="298"/>
      <c r="S3001" s="669"/>
      <c r="X3001" s="444">
        <v>3001</v>
      </c>
    </row>
    <row r="3002" spans="1:32" ht="12">
      <c r="A3002" s="83" t="s">
        <v>23220</v>
      </c>
      <c r="B3002" s="64" t="s">
        <v>23221</v>
      </c>
      <c r="C3002" s="71" t="s">
        <v>103</v>
      </c>
      <c r="D3002" s="79">
        <v>1</v>
      </c>
      <c r="E3002" s="79">
        <v>66.88000000000001</v>
      </c>
      <c r="F3002" s="79">
        <v>66.88</v>
      </c>
      <c r="G3002" s="445"/>
      <c r="H3002" s="178">
        <v>66.86</v>
      </c>
      <c r="I3002" s="178">
        <v>82.24</v>
      </c>
      <c r="J3002" s="70">
        <v>-15.359999999999985</v>
      </c>
      <c r="K3002" s="320"/>
      <c r="L3002" s="178">
        <v>3.95</v>
      </c>
      <c r="M3002" s="178">
        <v>62.930000000000007</v>
      </c>
      <c r="N3002" s="179">
        <v>0</v>
      </c>
      <c r="O3002" s="178">
        <v>66.88000000000001</v>
      </c>
      <c r="P3002" s="453"/>
      <c r="Q3002" s="61"/>
      <c r="R3002" s="298"/>
      <c r="S3002" s="669"/>
      <c r="X3002" s="444">
        <v>3002</v>
      </c>
    </row>
    <row r="3003" spans="1:32" ht="12">
      <c r="A3003" s="83" t="s">
        <v>23222</v>
      </c>
      <c r="B3003" s="64" t="s">
        <v>23223</v>
      </c>
      <c r="C3003" s="71" t="s">
        <v>103</v>
      </c>
      <c r="D3003" s="79">
        <v>1</v>
      </c>
      <c r="E3003" s="79">
        <v>118.26000000000002</v>
      </c>
      <c r="F3003" s="79">
        <v>118.26</v>
      </c>
      <c r="G3003" s="445"/>
      <c r="H3003" s="178">
        <v>118.24</v>
      </c>
      <c r="I3003" s="178">
        <v>145.44</v>
      </c>
      <c r="J3003" s="70">
        <v>-27.179999999999978</v>
      </c>
      <c r="K3003" s="320"/>
      <c r="L3003" s="178">
        <v>3.95</v>
      </c>
      <c r="M3003" s="178">
        <v>114.31000000000002</v>
      </c>
      <c r="N3003" s="179">
        <v>0</v>
      </c>
      <c r="O3003" s="178">
        <v>118.26000000000002</v>
      </c>
      <c r="P3003" s="453"/>
      <c r="Q3003" s="61"/>
      <c r="R3003" s="298"/>
      <c r="S3003" s="669"/>
      <c r="X3003" s="444">
        <v>3003</v>
      </c>
    </row>
    <row r="3004" spans="1:32" ht="12">
      <c r="A3004" s="83" t="s">
        <v>23224</v>
      </c>
      <c r="B3004" s="64" t="s">
        <v>23225</v>
      </c>
      <c r="C3004" s="71" t="s">
        <v>103</v>
      </c>
      <c r="D3004" s="79">
        <v>1</v>
      </c>
      <c r="E3004" s="79">
        <v>53.199999999999996</v>
      </c>
      <c r="F3004" s="79">
        <v>53.2</v>
      </c>
      <c r="G3004" s="445"/>
      <c r="H3004" s="178">
        <v>53.19</v>
      </c>
      <c r="I3004" s="178">
        <v>65.42</v>
      </c>
      <c r="J3004" s="70">
        <v>-12.220000000000006</v>
      </c>
      <c r="K3004" s="320"/>
      <c r="L3004" s="178">
        <v>3.95</v>
      </c>
      <c r="M3004" s="178">
        <v>49.249999999999993</v>
      </c>
      <c r="N3004" s="179">
        <v>0</v>
      </c>
      <c r="O3004" s="178">
        <v>53.199999999999996</v>
      </c>
      <c r="P3004" s="453"/>
      <c r="Q3004" s="61"/>
      <c r="R3004" s="298"/>
      <c r="S3004" s="669"/>
      <c r="U3004" s="69"/>
      <c r="V3004" s="69"/>
      <c r="W3004" s="69"/>
      <c r="X3004" s="444">
        <v>3004</v>
      </c>
      <c r="Y3004" s="69"/>
      <c r="Z3004" s="69"/>
      <c r="AA3004" s="69"/>
      <c r="AB3004" s="69"/>
      <c r="AC3004" s="69"/>
      <c r="AD3004" s="69"/>
      <c r="AE3004" s="69"/>
      <c r="AF3004" s="69"/>
    </row>
    <row r="3005" spans="1:32" ht="12">
      <c r="A3005" s="83" t="s">
        <v>12196</v>
      </c>
      <c r="B3005" s="64" t="s">
        <v>23226</v>
      </c>
      <c r="C3005" s="71" t="s">
        <v>103</v>
      </c>
      <c r="D3005" s="79">
        <v>1</v>
      </c>
      <c r="E3005" s="79">
        <v>73.27</v>
      </c>
      <c r="F3005" s="79">
        <v>73.27</v>
      </c>
      <c r="G3005" s="445"/>
      <c r="H3005" s="178">
        <v>73.25</v>
      </c>
      <c r="I3005" s="178">
        <v>90.1</v>
      </c>
      <c r="J3005" s="70">
        <v>-16.829999999999998</v>
      </c>
      <c r="K3005" s="320"/>
      <c r="L3005" s="178">
        <v>3.95</v>
      </c>
      <c r="M3005" s="178">
        <v>69.319999999999993</v>
      </c>
      <c r="N3005" s="179">
        <v>0</v>
      </c>
      <c r="O3005" s="178">
        <v>73.27</v>
      </c>
      <c r="P3005" s="453"/>
      <c r="Q3005" s="61"/>
      <c r="R3005" s="298"/>
      <c r="S3005" s="669"/>
      <c r="U3005" s="69"/>
      <c r="V3005" s="69"/>
      <c r="W3005" s="69"/>
      <c r="X3005" s="444">
        <v>3005</v>
      </c>
      <c r="Y3005" s="69"/>
      <c r="Z3005" s="69"/>
      <c r="AA3005" s="69"/>
      <c r="AB3005" s="69"/>
      <c r="AC3005" s="69"/>
      <c r="AD3005" s="69"/>
      <c r="AE3005" s="69"/>
      <c r="AF3005" s="69"/>
    </row>
    <row r="3006" spans="1:32" ht="12">
      <c r="A3006" s="83" t="s">
        <v>23227</v>
      </c>
      <c r="B3006" s="64" t="s">
        <v>23228</v>
      </c>
      <c r="C3006" s="71" t="s">
        <v>103</v>
      </c>
      <c r="D3006" s="79">
        <v>1</v>
      </c>
      <c r="E3006" s="79">
        <v>77.240000000000009</v>
      </c>
      <c r="F3006" s="79">
        <v>77.239999999999995</v>
      </c>
      <c r="G3006" s="445"/>
      <c r="H3006" s="178">
        <v>77.23</v>
      </c>
      <c r="I3006" s="178">
        <v>94.99</v>
      </c>
      <c r="J3006" s="70">
        <v>-17.749999999999986</v>
      </c>
      <c r="K3006" s="320"/>
      <c r="L3006" s="178">
        <v>3.95</v>
      </c>
      <c r="M3006" s="178">
        <v>73.290000000000006</v>
      </c>
      <c r="N3006" s="179">
        <v>0</v>
      </c>
      <c r="O3006" s="178">
        <v>77.240000000000009</v>
      </c>
      <c r="P3006" s="453"/>
      <c r="Q3006" s="61"/>
      <c r="R3006" s="298"/>
      <c r="S3006" s="669"/>
      <c r="X3006" s="444">
        <v>3006</v>
      </c>
    </row>
    <row r="3007" spans="1:32" ht="12">
      <c r="A3007" s="83" t="s">
        <v>23229</v>
      </c>
      <c r="B3007" s="64" t="s">
        <v>23230</v>
      </c>
      <c r="C3007" s="71" t="s">
        <v>103</v>
      </c>
      <c r="D3007" s="79">
        <v>1</v>
      </c>
      <c r="E3007" s="79">
        <v>52</v>
      </c>
      <c r="F3007" s="79">
        <v>52</v>
      </c>
      <c r="G3007" s="445"/>
      <c r="H3007" s="178">
        <v>51.98</v>
      </c>
      <c r="I3007" s="178">
        <v>63.94</v>
      </c>
      <c r="J3007" s="70">
        <v>-11.939999999999998</v>
      </c>
      <c r="K3007" s="320"/>
      <c r="L3007" s="178">
        <v>3.95</v>
      </c>
      <c r="M3007" s="178">
        <v>48.05</v>
      </c>
      <c r="N3007" s="179">
        <v>0</v>
      </c>
      <c r="O3007" s="178">
        <v>52</v>
      </c>
      <c r="P3007" s="453"/>
      <c r="Q3007" s="61"/>
      <c r="R3007" s="298"/>
      <c r="S3007" s="669"/>
      <c r="X3007" s="444">
        <v>3007</v>
      </c>
    </row>
    <row r="3008" spans="1:32" ht="12">
      <c r="A3008" s="83" t="s">
        <v>23231</v>
      </c>
      <c r="B3008" s="64" t="s">
        <v>23232</v>
      </c>
      <c r="C3008" s="71" t="s">
        <v>103</v>
      </c>
      <c r="D3008" s="79">
        <v>1</v>
      </c>
      <c r="E3008" s="79">
        <v>291.01</v>
      </c>
      <c r="F3008" s="79">
        <v>291.01</v>
      </c>
      <c r="G3008" s="445"/>
      <c r="H3008" s="178">
        <v>291.01</v>
      </c>
      <c r="I3008" s="178">
        <v>357.94</v>
      </c>
      <c r="J3008" s="70">
        <v>-66.930000000000007</v>
      </c>
      <c r="K3008" s="320"/>
      <c r="L3008" s="178">
        <v>37.340000000000003</v>
      </c>
      <c r="M3008" s="178">
        <v>253.67</v>
      </c>
      <c r="N3008" s="179">
        <v>0</v>
      </c>
      <c r="O3008" s="178">
        <v>291.01</v>
      </c>
      <c r="P3008" s="453"/>
      <c r="Q3008" s="61"/>
      <c r="R3008" s="298"/>
      <c r="S3008" s="669"/>
      <c r="X3008" s="444">
        <v>3008</v>
      </c>
    </row>
    <row r="3009" spans="1:24" ht="12">
      <c r="A3009" s="83" t="s">
        <v>23233</v>
      </c>
      <c r="B3009" s="64" t="s">
        <v>39999</v>
      </c>
      <c r="C3009" s="71" t="s">
        <v>103</v>
      </c>
      <c r="D3009" s="79">
        <v>1</v>
      </c>
      <c r="E3009" s="79">
        <v>485.75000000000006</v>
      </c>
      <c r="F3009" s="79">
        <v>485.75</v>
      </c>
      <c r="G3009" s="445"/>
      <c r="H3009" s="178">
        <v>485.75</v>
      </c>
      <c r="I3009" s="178">
        <v>597.47</v>
      </c>
      <c r="J3009" s="70">
        <v>-111.71999999999997</v>
      </c>
      <c r="K3009" s="320"/>
      <c r="L3009" s="178">
        <v>37.340000000000003</v>
      </c>
      <c r="M3009" s="178">
        <v>448.41000000000008</v>
      </c>
      <c r="N3009" s="179">
        <v>0</v>
      </c>
      <c r="O3009" s="178">
        <v>485.75000000000011</v>
      </c>
      <c r="P3009" s="453"/>
      <c r="Q3009" s="61"/>
      <c r="R3009" s="298"/>
      <c r="S3009" s="669"/>
      <c r="X3009" s="444">
        <v>3009</v>
      </c>
    </row>
    <row r="3010" spans="1:24" ht="12">
      <c r="A3010" s="83" t="s">
        <v>23234</v>
      </c>
      <c r="B3010" s="64" t="s">
        <v>23235</v>
      </c>
      <c r="C3010" s="71" t="s">
        <v>103</v>
      </c>
      <c r="D3010" s="79">
        <v>1</v>
      </c>
      <c r="E3010" s="79">
        <v>286.79999999999995</v>
      </c>
      <c r="F3010" s="79">
        <v>286.8</v>
      </c>
      <c r="G3010" s="445"/>
      <c r="H3010" s="178">
        <v>286.8</v>
      </c>
      <c r="I3010" s="178">
        <v>352.77</v>
      </c>
      <c r="J3010" s="70">
        <v>-65.970000000000027</v>
      </c>
      <c r="K3010" s="320"/>
      <c r="L3010" s="178">
        <v>37.340000000000003</v>
      </c>
      <c r="M3010" s="178">
        <v>249.45999999999995</v>
      </c>
      <c r="N3010" s="179">
        <v>0</v>
      </c>
      <c r="O3010" s="178">
        <v>286.79999999999995</v>
      </c>
      <c r="P3010" s="453"/>
      <c r="Q3010" s="61"/>
      <c r="R3010" s="298"/>
      <c r="S3010" s="669"/>
      <c r="X3010" s="444">
        <v>3010</v>
      </c>
    </row>
    <row r="3011" spans="1:24" ht="12">
      <c r="A3011" s="83" t="s">
        <v>23236</v>
      </c>
      <c r="B3011" s="64" t="s">
        <v>23237</v>
      </c>
      <c r="C3011" s="71" t="s">
        <v>103</v>
      </c>
      <c r="D3011" s="79">
        <v>1</v>
      </c>
      <c r="E3011" s="79">
        <v>422.03000000000003</v>
      </c>
      <c r="F3011" s="79">
        <v>422.03</v>
      </c>
      <c r="G3011" s="445"/>
      <c r="H3011" s="178">
        <v>422.03</v>
      </c>
      <c r="I3011" s="178">
        <v>519.1</v>
      </c>
      <c r="J3011" s="70">
        <v>-97.07</v>
      </c>
      <c r="K3011" s="320"/>
      <c r="L3011" s="178">
        <v>37.340000000000003</v>
      </c>
      <c r="M3011" s="178">
        <v>384.69000000000005</v>
      </c>
      <c r="N3011" s="179">
        <v>0</v>
      </c>
      <c r="O3011" s="178">
        <v>422.03000000000009</v>
      </c>
      <c r="P3011" s="453"/>
      <c r="Q3011" s="61"/>
      <c r="R3011" s="298"/>
      <c r="S3011" s="669"/>
      <c r="X3011" s="444">
        <v>3011</v>
      </c>
    </row>
    <row r="3012" spans="1:24" ht="12">
      <c r="A3012" s="83" t="s">
        <v>23238</v>
      </c>
      <c r="B3012" s="64" t="s">
        <v>23239</v>
      </c>
      <c r="C3012" s="71" t="s">
        <v>103</v>
      </c>
      <c r="D3012" s="79">
        <v>1</v>
      </c>
      <c r="E3012" s="79">
        <v>510.40000000000003</v>
      </c>
      <c r="F3012" s="79">
        <v>510.4</v>
      </c>
      <c r="G3012" s="445"/>
      <c r="H3012" s="178">
        <v>510.4</v>
      </c>
      <c r="I3012" s="178">
        <v>627.79</v>
      </c>
      <c r="J3012" s="70">
        <v>-117.38999999999993</v>
      </c>
      <c r="K3012" s="320"/>
      <c r="L3012" s="178">
        <v>37.340000000000003</v>
      </c>
      <c r="M3012" s="178">
        <v>473.06000000000006</v>
      </c>
      <c r="N3012" s="179">
        <v>0</v>
      </c>
      <c r="O3012" s="178">
        <v>510.40000000000009</v>
      </c>
      <c r="P3012" s="453"/>
      <c r="Q3012" s="61"/>
      <c r="R3012" s="298"/>
      <c r="S3012" s="669"/>
      <c r="X3012" s="444">
        <v>3012</v>
      </c>
    </row>
    <row r="3013" spans="1:24" ht="12">
      <c r="A3013" s="83" t="s">
        <v>23240</v>
      </c>
      <c r="B3013" s="64" t="s">
        <v>40000</v>
      </c>
      <c r="C3013" s="71" t="s">
        <v>103</v>
      </c>
      <c r="D3013" s="79">
        <v>1</v>
      </c>
      <c r="E3013" s="79">
        <v>371.26</v>
      </c>
      <c r="F3013" s="79">
        <v>371.26</v>
      </c>
      <c r="G3013" s="445"/>
      <c r="H3013" s="178">
        <v>371.26</v>
      </c>
      <c r="I3013" s="178">
        <v>456.65</v>
      </c>
      <c r="J3013" s="70">
        <v>-85.389999999999986</v>
      </c>
      <c r="K3013" s="320"/>
      <c r="L3013" s="178">
        <v>37.340000000000003</v>
      </c>
      <c r="M3013" s="178">
        <v>333.91999999999996</v>
      </c>
      <c r="N3013" s="179">
        <v>0</v>
      </c>
      <c r="O3013" s="178">
        <v>371.26</v>
      </c>
      <c r="P3013" s="453"/>
      <c r="Q3013" s="61"/>
      <c r="R3013" s="298"/>
      <c r="S3013" s="669"/>
      <c r="X3013" s="444">
        <v>3013</v>
      </c>
    </row>
    <row r="3014" spans="1:24" ht="12">
      <c r="A3014" s="83" t="s">
        <v>23241</v>
      </c>
      <c r="B3014" s="64" t="s">
        <v>23242</v>
      </c>
      <c r="C3014" s="71" t="s">
        <v>103</v>
      </c>
      <c r="D3014" s="79">
        <v>1</v>
      </c>
      <c r="E3014" s="79">
        <v>485.45</v>
      </c>
      <c r="F3014" s="79">
        <v>485.45</v>
      </c>
      <c r="G3014" s="445"/>
      <c r="H3014" s="178">
        <v>485.45</v>
      </c>
      <c r="I3014" s="178">
        <v>597.1</v>
      </c>
      <c r="J3014" s="70">
        <v>-111.65000000000003</v>
      </c>
      <c r="K3014" s="320"/>
      <c r="L3014" s="178">
        <v>37.340000000000003</v>
      </c>
      <c r="M3014" s="178">
        <v>448.11</v>
      </c>
      <c r="N3014" s="179">
        <v>0</v>
      </c>
      <c r="O3014" s="178">
        <v>485.45000000000005</v>
      </c>
      <c r="P3014" s="453"/>
      <c r="Q3014" s="61"/>
      <c r="R3014" s="298"/>
      <c r="S3014" s="669"/>
      <c r="X3014" s="444">
        <v>3014</v>
      </c>
    </row>
    <row r="3015" spans="1:24" ht="12">
      <c r="A3015" s="83" t="s">
        <v>12204</v>
      </c>
      <c r="B3015" s="64" t="s">
        <v>23243</v>
      </c>
      <c r="C3015" s="71" t="s">
        <v>103</v>
      </c>
      <c r="D3015" s="79">
        <v>1</v>
      </c>
      <c r="E3015" s="79">
        <v>474.87</v>
      </c>
      <c r="F3015" s="79">
        <v>474.87</v>
      </c>
      <c r="G3015" s="445"/>
      <c r="H3015" s="178">
        <v>474.87</v>
      </c>
      <c r="I3015" s="178">
        <v>584.09</v>
      </c>
      <c r="J3015" s="70">
        <v>-109.22000000000003</v>
      </c>
      <c r="K3015" s="320"/>
      <c r="L3015" s="178">
        <v>37.340000000000003</v>
      </c>
      <c r="M3015" s="178">
        <v>437.53</v>
      </c>
      <c r="N3015" s="179">
        <v>0</v>
      </c>
      <c r="O3015" s="178">
        <v>474.87</v>
      </c>
      <c r="P3015" s="453"/>
      <c r="Q3015" s="61"/>
      <c r="R3015" s="298"/>
      <c r="S3015" s="669"/>
      <c r="X3015" s="444">
        <v>3015</v>
      </c>
    </row>
    <row r="3016" spans="1:24" ht="12">
      <c r="A3016" s="83" t="s">
        <v>23244</v>
      </c>
      <c r="B3016" s="64" t="s">
        <v>23245</v>
      </c>
      <c r="C3016" s="71" t="s">
        <v>103</v>
      </c>
      <c r="D3016" s="79">
        <v>1</v>
      </c>
      <c r="E3016" s="79">
        <v>345.92999999999995</v>
      </c>
      <c r="F3016" s="79">
        <v>345.93</v>
      </c>
      <c r="G3016" s="445"/>
      <c r="H3016" s="178">
        <v>345.93</v>
      </c>
      <c r="I3016" s="178">
        <v>425.5</v>
      </c>
      <c r="J3016" s="70">
        <v>-79.57000000000005</v>
      </c>
      <c r="K3016" s="320"/>
      <c r="L3016" s="178">
        <v>37.340000000000003</v>
      </c>
      <c r="M3016" s="178">
        <v>308.58999999999992</v>
      </c>
      <c r="N3016" s="179">
        <v>0</v>
      </c>
      <c r="O3016" s="178">
        <v>345.92999999999995</v>
      </c>
      <c r="P3016" s="453"/>
      <c r="Q3016" s="61"/>
      <c r="R3016" s="298"/>
      <c r="S3016" s="669"/>
      <c r="X3016" s="444">
        <v>3016</v>
      </c>
    </row>
    <row r="3017" spans="1:24" ht="12">
      <c r="A3017" s="83" t="s">
        <v>23246</v>
      </c>
      <c r="B3017" s="64" t="s">
        <v>23247</v>
      </c>
      <c r="C3017" s="71" t="s">
        <v>103</v>
      </c>
      <c r="D3017" s="79">
        <v>1</v>
      </c>
      <c r="E3017" s="79">
        <v>462.84</v>
      </c>
      <c r="F3017" s="79">
        <v>462.84</v>
      </c>
      <c r="G3017" s="445"/>
      <c r="H3017" s="178">
        <v>462.84</v>
      </c>
      <c r="I3017" s="178">
        <v>569.29</v>
      </c>
      <c r="J3017" s="70">
        <v>-106.44999999999999</v>
      </c>
      <c r="K3017" s="320"/>
      <c r="L3017" s="178">
        <v>37.340000000000003</v>
      </c>
      <c r="M3017" s="178">
        <v>425.5</v>
      </c>
      <c r="N3017" s="179">
        <v>0</v>
      </c>
      <c r="O3017" s="178">
        <v>462.84000000000003</v>
      </c>
      <c r="P3017" s="453"/>
      <c r="Q3017" s="61"/>
      <c r="R3017" s="298"/>
      <c r="S3017" s="669"/>
      <c r="X3017" s="444">
        <v>3017</v>
      </c>
    </row>
    <row r="3018" spans="1:24" ht="12">
      <c r="A3018" s="83" t="s">
        <v>23248</v>
      </c>
      <c r="B3018" s="64" t="s">
        <v>23249</v>
      </c>
      <c r="C3018" s="71" t="s">
        <v>103</v>
      </c>
      <c r="D3018" s="79">
        <v>1</v>
      </c>
      <c r="E3018" s="79">
        <v>374.58</v>
      </c>
      <c r="F3018" s="79">
        <v>374.58</v>
      </c>
      <c r="G3018" s="445"/>
      <c r="H3018" s="178">
        <v>374.58</v>
      </c>
      <c r="I3018" s="178">
        <v>460.73</v>
      </c>
      <c r="J3018" s="70">
        <v>-86.150000000000034</v>
      </c>
      <c r="K3018" s="320"/>
      <c r="L3018" s="178">
        <v>37.340000000000003</v>
      </c>
      <c r="M3018" s="178">
        <v>337.24</v>
      </c>
      <c r="N3018" s="179">
        <v>0</v>
      </c>
      <c r="O3018" s="178">
        <v>374.58000000000004</v>
      </c>
      <c r="P3018" s="453"/>
      <c r="Q3018" s="61"/>
      <c r="R3018" s="298"/>
      <c r="S3018" s="669"/>
      <c r="X3018" s="444">
        <v>3018</v>
      </c>
    </row>
    <row r="3019" spans="1:24" ht="12">
      <c r="A3019" s="83" t="s">
        <v>23250</v>
      </c>
      <c r="B3019" s="64" t="s">
        <v>23251</v>
      </c>
      <c r="C3019" s="71" t="s">
        <v>103</v>
      </c>
      <c r="D3019" s="79">
        <v>1</v>
      </c>
      <c r="E3019" s="79">
        <v>429.06999999999994</v>
      </c>
      <c r="F3019" s="79">
        <v>429.07</v>
      </c>
      <c r="G3019" s="445"/>
      <c r="H3019" s="178">
        <v>429.07</v>
      </c>
      <c r="I3019" s="178">
        <v>527.76</v>
      </c>
      <c r="J3019" s="70">
        <v>-98.690000000000055</v>
      </c>
      <c r="K3019" s="320"/>
      <c r="L3019" s="178">
        <v>37.340000000000003</v>
      </c>
      <c r="M3019" s="178">
        <v>391.7299999999999</v>
      </c>
      <c r="N3019" s="179">
        <v>0</v>
      </c>
      <c r="O3019" s="178">
        <v>429.06999999999994</v>
      </c>
      <c r="P3019" s="453"/>
      <c r="Q3019" s="61"/>
      <c r="R3019" s="298"/>
      <c r="S3019" s="669"/>
      <c r="X3019" s="444">
        <v>3019</v>
      </c>
    </row>
    <row r="3020" spans="1:24" ht="12">
      <c r="A3020" s="83" t="s">
        <v>23252</v>
      </c>
      <c r="B3020" s="64" t="s">
        <v>23253</v>
      </c>
      <c r="C3020" s="71" t="s">
        <v>103</v>
      </c>
      <c r="D3020" s="79">
        <v>1</v>
      </c>
      <c r="E3020" s="79">
        <v>63.18</v>
      </c>
      <c r="F3020" s="79">
        <v>63.18</v>
      </c>
      <c r="G3020" s="445"/>
      <c r="H3020" s="178">
        <v>63.16</v>
      </c>
      <c r="I3020" s="178">
        <v>77.69</v>
      </c>
      <c r="J3020" s="70">
        <v>-14.509999999999998</v>
      </c>
      <c r="K3020" s="320"/>
      <c r="L3020" s="178">
        <v>3.71</v>
      </c>
      <c r="M3020" s="178">
        <v>59.47</v>
      </c>
      <c r="N3020" s="179">
        <v>0</v>
      </c>
      <c r="O3020" s="178">
        <v>63.18</v>
      </c>
      <c r="P3020" s="453"/>
      <c r="Q3020" s="61"/>
      <c r="R3020" s="298"/>
      <c r="S3020" s="669"/>
      <c r="X3020" s="444">
        <v>3020</v>
      </c>
    </row>
    <row r="3021" spans="1:24" ht="12">
      <c r="A3021" s="83" t="s">
        <v>23254</v>
      </c>
      <c r="B3021" s="64" t="s">
        <v>23255</v>
      </c>
      <c r="C3021" s="71" t="s">
        <v>103</v>
      </c>
      <c r="D3021" s="79">
        <v>1</v>
      </c>
      <c r="E3021" s="79">
        <v>76.61</v>
      </c>
      <c r="F3021" s="79">
        <v>76.61</v>
      </c>
      <c r="G3021" s="445"/>
      <c r="H3021" s="178">
        <v>76.59</v>
      </c>
      <c r="I3021" s="178">
        <v>94.2</v>
      </c>
      <c r="J3021" s="70">
        <v>-17.590000000000003</v>
      </c>
      <c r="K3021" s="320"/>
      <c r="L3021" s="178">
        <v>3.71</v>
      </c>
      <c r="M3021" s="178">
        <v>72.900000000000006</v>
      </c>
      <c r="N3021" s="179">
        <v>0</v>
      </c>
      <c r="O3021" s="178">
        <v>76.61</v>
      </c>
      <c r="P3021" s="453"/>
      <c r="Q3021" s="61"/>
      <c r="R3021" s="298"/>
      <c r="S3021" s="669"/>
      <c r="X3021" s="444">
        <v>3021</v>
      </c>
    </row>
    <row r="3022" spans="1:24" ht="12">
      <c r="A3022" s="83" t="s">
        <v>23256</v>
      </c>
      <c r="B3022" s="64" t="s">
        <v>8189</v>
      </c>
      <c r="C3022" s="71" t="s">
        <v>103</v>
      </c>
      <c r="D3022" s="79">
        <v>1</v>
      </c>
      <c r="E3022" s="79">
        <v>80.11</v>
      </c>
      <c r="F3022" s="79">
        <v>80.11</v>
      </c>
      <c r="G3022" s="445"/>
      <c r="H3022" s="178">
        <v>80.09</v>
      </c>
      <c r="I3022" s="178">
        <v>98.51</v>
      </c>
      <c r="J3022" s="70">
        <v>-18.400000000000006</v>
      </c>
      <c r="K3022" s="320"/>
      <c r="L3022" s="178">
        <v>3.71</v>
      </c>
      <c r="M3022" s="178">
        <v>76.400000000000006</v>
      </c>
      <c r="N3022" s="179">
        <v>0</v>
      </c>
      <c r="O3022" s="178">
        <v>80.11</v>
      </c>
      <c r="P3022" s="453"/>
      <c r="Q3022" s="61"/>
      <c r="R3022" s="298"/>
      <c r="S3022" s="669"/>
      <c r="X3022" s="444">
        <v>3022</v>
      </c>
    </row>
    <row r="3023" spans="1:24" ht="12">
      <c r="A3023" s="83" t="s">
        <v>23257</v>
      </c>
      <c r="B3023" s="64" t="s">
        <v>23258</v>
      </c>
      <c r="C3023" s="71" t="s">
        <v>103</v>
      </c>
      <c r="D3023" s="79">
        <v>1</v>
      </c>
      <c r="E3023" s="79">
        <v>280.78000000000003</v>
      </c>
      <c r="F3023" s="79">
        <v>280.77999999999997</v>
      </c>
      <c r="G3023" s="445"/>
      <c r="H3023" s="178">
        <v>280.79000000000002</v>
      </c>
      <c r="I3023" s="178">
        <v>345.37</v>
      </c>
      <c r="J3023" s="70">
        <v>-64.589999999999975</v>
      </c>
      <c r="K3023" s="320"/>
      <c r="L3023" s="178">
        <v>118.53</v>
      </c>
      <c r="M3023" s="178">
        <v>162.25000000000003</v>
      </c>
      <c r="N3023" s="179">
        <v>0</v>
      </c>
      <c r="O3023" s="178">
        <v>280.78000000000003</v>
      </c>
      <c r="P3023" s="453"/>
      <c r="Q3023" s="61"/>
      <c r="R3023" s="298"/>
      <c r="S3023" s="669"/>
      <c r="X3023" s="444">
        <v>3023</v>
      </c>
    </row>
    <row r="3024" spans="1:24" ht="12">
      <c r="A3024" s="83" t="s">
        <v>23259</v>
      </c>
      <c r="B3024" s="64" t="s">
        <v>23260</v>
      </c>
      <c r="C3024" s="71" t="s">
        <v>103</v>
      </c>
      <c r="D3024" s="79">
        <v>1</v>
      </c>
      <c r="E3024" s="79">
        <v>328.28000000000003</v>
      </c>
      <c r="F3024" s="79">
        <v>328.28</v>
      </c>
      <c r="G3024" s="445"/>
      <c r="H3024" s="178">
        <v>328.29</v>
      </c>
      <c r="I3024" s="178">
        <v>403.8</v>
      </c>
      <c r="J3024" s="70">
        <v>-75.519999999999982</v>
      </c>
      <c r="K3024" s="320"/>
      <c r="L3024" s="178">
        <v>166.03</v>
      </c>
      <c r="M3024" s="178">
        <v>162.25000000000003</v>
      </c>
      <c r="N3024" s="179">
        <v>0</v>
      </c>
      <c r="O3024" s="178">
        <v>328.28000000000003</v>
      </c>
      <c r="P3024" s="453"/>
      <c r="Q3024" s="61"/>
      <c r="R3024" s="298"/>
      <c r="S3024" s="669"/>
      <c r="X3024" s="444">
        <v>3024</v>
      </c>
    </row>
    <row r="3025" spans="1:32" ht="12">
      <c r="A3025" s="83" t="s">
        <v>23261</v>
      </c>
      <c r="B3025" s="64" t="s">
        <v>23262</v>
      </c>
      <c r="C3025" s="71" t="s">
        <v>103</v>
      </c>
      <c r="D3025" s="79">
        <v>1</v>
      </c>
      <c r="E3025" s="79">
        <v>367.24</v>
      </c>
      <c r="F3025" s="79">
        <v>367.24</v>
      </c>
      <c r="G3025" s="445"/>
      <c r="H3025" s="178">
        <v>367.25</v>
      </c>
      <c r="I3025" s="178">
        <v>451.72</v>
      </c>
      <c r="J3025" s="70">
        <v>-84.480000000000018</v>
      </c>
      <c r="K3025" s="320"/>
      <c r="L3025" s="178">
        <v>204.99</v>
      </c>
      <c r="M3025" s="178">
        <v>162.25</v>
      </c>
      <c r="N3025" s="179">
        <v>0</v>
      </c>
      <c r="O3025" s="178">
        <v>367.24</v>
      </c>
      <c r="P3025" s="453"/>
      <c r="Q3025" s="61"/>
      <c r="R3025" s="298"/>
      <c r="S3025" s="669"/>
      <c r="U3025" s="69"/>
      <c r="V3025" s="69"/>
      <c r="W3025" s="69"/>
      <c r="X3025" s="444">
        <v>3025</v>
      </c>
      <c r="Y3025" s="69"/>
      <c r="Z3025" s="69"/>
      <c r="AA3025" s="69"/>
      <c r="AB3025" s="69"/>
      <c r="AC3025" s="69"/>
      <c r="AD3025" s="69"/>
      <c r="AE3025" s="69"/>
      <c r="AF3025" s="69"/>
    </row>
    <row r="3026" spans="1:32" ht="12">
      <c r="A3026" s="63" t="s">
        <v>23263</v>
      </c>
      <c r="B3026" s="64" t="s">
        <v>23264</v>
      </c>
      <c r="C3026" s="63" t="s">
        <v>103</v>
      </c>
      <c r="D3026" s="79">
        <v>1</v>
      </c>
      <c r="E3026" s="79">
        <v>898.01999999999987</v>
      </c>
      <c r="F3026" s="79">
        <v>898.02</v>
      </c>
      <c r="G3026" s="320"/>
      <c r="H3026" s="178">
        <v>898.03</v>
      </c>
      <c r="I3026" s="178">
        <v>1104.58</v>
      </c>
      <c r="J3026" s="70">
        <v>-206.56000000000006</v>
      </c>
      <c r="K3026" s="320"/>
      <c r="L3026" s="178">
        <v>272.99</v>
      </c>
      <c r="M3026" s="178">
        <v>625.02999999999986</v>
      </c>
      <c r="N3026" s="179">
        <v>0</v>
      </c>
      <c r="O3026" s="178">
        <v>898.01999999999987</v>
      </c>
      <c r="P3026" s="453"/>
      <c r="Q3026" s="61"/>
      <c r="R3026" s="298"/>
      <c r="S3026" s="669"/>
      <c r="T3026" s="73"/>
      <c r="X3026" s="444">
        <v>3026</v>
      </c>
    </row>
    <row r="3027" spans="1:32" ht="12">
      <c r="A3027" s="63" t="s">
        <v>23265</v>
      </c>
      <c r="B3027" s="64" t="s">
        <v>40001</v>
      </c>
      <c r="C3027" s="63" t="s">
        <v>103</v>
      </c>
      <c r="D3027" s="79">
        <v>1</v>
      </c>
      <c r="E3027" s="79">
        <v>901.02</v>
      </c>
      <c r="F3027" s="79">
        <v>901.02</v>
      </c>
      <c r="G3027" s="320"/>
      <c r="H3027" s="178">
        <v>901.03</v>
      </c>
      <c r="I3027" s="178">
        <v>1108.27</v>
      </c>
      <c r="J3027" s="70">
        <v>-207.25</v>
      </c>
      <c r="K3027" s="320"/>
      <c r="L3027" s="178">
        <v>275.99</v>
      </c>
      <c r="M3027" s="178">
        <v>625.03</v>
      </c>
      <c r="N3027" s="179">
        <v>0</v>
      </c>
      <c r="O3027" s="178">
        <v>901.02</v>
      </c>
      <c r="P3027" s="453"/>
      <c r="Q3027" s="61"/>
      <c r="R3027" s="298"/>
      <c r="S3027" s="669"/>
      <c r="T3027" s="73"/>
      <c r="X3027" s="444">
        <v>3027</v>
      </c>
    </row>
    <row r="3028" spans="1:32" ht="12">
      <c r="A3028" s="63" t="s">
        <v>23266</v>
      </c>
      <c r="B3028" s="64" t="s">
        <v>40002</v>
      </c>
      <c r="C3028" s="63" t="s">
        <v>103</v>
      </c>
      <c r="D3028" s="79">
        <v>1</v>
      </c>
      <c r="E3028" s="79">
        <v>2073.33</v>
      </c>
      <c r="F3028" s="79">
        <v>2073.33</v>
      </c>
      <c r="G3028" s="320"/>
      <c r="H3028" s="178">
        <v>2073.33</v>
      </c>
      <c r="I3028" s="178">
        <v>2550.1999999999998</v>
      </c>
      <c r="J3028" s="70">
        <v>-476.86999999999989</v>
      </c>
      <c r="K3028" s="320"/>
      <c r="L3028" s="178">
        <v>551.98</v>
      </c>
      <c r="M3028" s="178">
        <v>1521.35</v>
      </c>
      <c r="N3028" s="179">
        <v>0</v>
      </c>
      <c r="O3028" s="178">
        <v>2073.33</v>
      </c>
      <c r="P3028" s="453"/>
      <c r="Q3028" s="61"/>
      <c r="R3028" s="298"/>
      <c r="S3028" s="669"/>
      <c r="T3028" s="73"/>
      <c r="X3028" s="444">
        <v>3028</v>
      </c>
    </row>
    <row r="3029" spans="1:32" ht="12">
      <c r="A3029" s="63" t="s">
        <v>23267</v>
      </c>
      <c r="B3029" s="64" t="s">
        <v>40003</v>
      </c>
      <c r="C3029" s="63" t="s">
        <v>103</v>
      </c>
      <c r="D3029" s="79">
        <v>1</v>
      </c>
      <c r="E3029" s="79">
        <v>3392.72</v>
      </c>
      <c r="F3029" s="79">
        <v>3392.72</v>
      </c>
      <c r="G3029" s="320"/>
      <c r="H3029" s="178">
        <v>3392.72</v>
      </c>
      <c r="I3029" s="178">
        <v>4173.05</v>
      </c>
      <c r="J3029" s="70">
        <v>-780.33000000000038</v>
      </c>
      <c r="K3029" s="320"/>
      <c r="L3029" s="178">
        <v>730.65</v>
      </c>
      <c r="M3029" s="178">
        <v>2662.0699999999997</v>
      </c>
      <c r="N3029" s="179">
        <v>0</v>
      </c>
      <c r="O3029" s="178">
        <v>3392.72</v>
      </c>
      <c r="P3029" s="453"/>
      <c r="Q3029" s="61"/>
      <c r="R3029" s="298"/>
      <c r="S3029" s="669"/>
      <c r="T3029" s="73"/>
      <c r="U3029" s="69"/>
      <c r="V3029" s="69"/>
      <c r="W3029" s="69"/>
      <c r="X3029" s="444">
        <v>3029</v>
      </c>
      <c r="Y3029" s="69"/>
      <c r="Z3029" s="69"/>
      <c r="AA3029" s="69"/>
      <c r="AB3029" s="69"/>
      <c r="AC3029" s="69"/>
      <c r="AD3029" s="69"/>
      <c r="AE3029" s="69"/>
      <c r="AF3029" s="69"/>
    </row>
    <row r="3030" spans="1:32" s="61" customFormat="1" ht="24">
      <c r="A3030" s="83" t="s">
        <v>23268</v>
      </c>
      <c r="B3030" s="64" t="s">
        <v>40004</v>
      </c>
      <c r="C3030" s="71" t="s">
        <v>103</v>
      </c>
      <c r="D3030" s="79">
        <v>1</v>
      </c>
      <c r="E3030" s="79">
        <v>259.74</v>
      </c>
      <c r="F3030" s="79">
        <v>259.74</v>
      </c>
      <c r="G3030" s="445"/>
      <c r="H3030" s="178">
        <v>259.73</v>
      </c>
      <c r="I3030" s="178">
        <v>319.47000000000003</v>
      </c>
      <c r="J3030" s="70">
        <v>-59.730000000000018</v>
      </c>
      <c r="K3030" s="320"/>
      <c r="L3030" s="178">
        <v>243.58</v>
      </c>
      <c r="M3030" s="178">
        <v>16.159999999999997</v>
      </c>
      <c r="N3030" s="179">
        <v>0</v>
      </c>
      <c r="O3030" s="178">
        <v>259.74</v>
      </c>
      <c r="P3030" s="453"/>
      <c r="R3030" s="298"/>
      <c r="S3030" s="669"/>
      <c r="T3030" s="444"/>
      <c r="U3030" s="444"/>
      <c r="V3030" s="444"/>
      <c r="W3030" s="444"/>
      <c r="X3030" s="444">
        <v>3030</v>
      </c>
      <c r="Y3030" s="444"/>
      <c r="Z3030" s="444"/>
      <c r="AA3030" s="444"/>
      <c r="AB3030" s="444"/>
      <c r="AC3030" s="444"/>
      <c r="AD3030" s="444"/>
      <c r="AE3030" s="444"/>
      <c r="AF3030" s="444"/>
    </row>
    <row r="3031" spans="1:32" ht="24">
      <c r="A3031" s="83" t="s">
        <v>23269</v>
      </c>
      <c r="B3031" s="64" t="s">
        <v>23270</v>
      </c>
      <c r="C3031" s="71" t="s">
        <v>103</v>
      </c>
      <c r="D3031" s="79">
        <v>1</v>
      </c>
      <c r="E3031" s="79">
        <v>2081.6899999999996</v>
      </c>
      <c r="F3031" s="79">
        <v>2081.69</v>
      </c>
      <c r="G3031" s="445"/>
      <c r="H3031" s="178">
        <v>2081.6799999999998</v>
      </c>
      <c r="I3031" s="178">
        <v>2560.4699999999998</v>
      </c>
      <c r="J3031" s="70">
        <v>-478.7800000000002</v>
      </c>
      <c r="K3031" s="320"/>
      <c r="L3031" s="178">
        <v>416.14</v>
      </c>
      <c r="M3031" s="178">
        <v>1665.5499999999997</v>
      </c>
      <c r="N3031" s="179">
        <v>0</v>
      </c>
      <c r="O3031" s="178">
        <v>2081.6899999999996</v>
      </c>
      <c r="P3031" s="453"/>
      <c r="Q3031" s="61"/>
      <c r="R3031" s="298"/>
      <c r="S3031" s="669"/>
      <c r="X3031" s="444">
        <v>3031</v>
      </c>
    </row>
    <row r="3032" spans="1:32" ht="24">
      <c r="A3032" s="63" t="s">
        <v>23271</v>
      </c>
      <c r="B3032" s="64" t="s">
        <v>40005</v>
      </c>
      <c r="C3032" s="71" t="s">
        <v>103</v>
      </c>
      <c r="D3032" s="79">
        <v>1</v>
      </c>
      <c r="E3032" s="79">
        <v>2752.1400000000003</v>
      </c>
      <c r="F3032" s="79">
        <v>2752.14</v>
      </c>
      <c r="G3032" s="320"/>
      <c r="H3032" s="178">
        <v>2752.15</v>
      </c>
      <c r="I3032" s="178">
        <v>3385.14</v>
      </c>
      <c r="J3032" s="70">
        <v>-632.99999999999955</v>
      </c>
      <c r="K3032" s="320"/>
      <c r="L3032" s="178">
        <v>275.99</v>
      </c>
      <c r="M3032" s="178">
        <v>2476.1500000000005</v>
      </c>
      <c r="N3032" s="179">
        <v>0</v>
      </c>
      <c r="O3032" s="178">
        <v>2752.1400000000003</v>
      </c>
      <c r="P3032" s="453"/>
      <c r="Q3032" s="61"/>
      <c r="R3032" s="298"/>
      <c r="S3032" s="669"/>
      <c r="T3032" s="73"/>
      <c r="U3032" s="69"/>
      <c r="V3032" s="69"/>
      <c r="W3032" s="69"/>
      <c r="X3032" s="444">
        <v>3032</v>
      </c>
      <c r="Y3032" s="69"/>
      <c r="Z3032" s="69"/>
      <c r="AA3032" s="69"/>
      <c r="AB3032" s="69"/>
      <c r="AC3032" s="69"/>
      <c r="AD3032" s="69"/>
      <c r="AE3032" s="69"/>
      <c r="AF3032" s="69"/>
    </row>
    <row r="3033" spans="1:32" ht="24">
      <c r="A3033" s="63" t="s">
        <v>23272</v>
      </c>
      <c r="B3033" s="64" t="s">
        <v>23273</v>
      </c>
      <c r="C3033" s="71" t="s">
        <v>103</v>
      </c>
      <c r="D3033" s="79">
        <v>1</v>
      </c>
      <c r="E3033" s="79">
        <v>4444.6799999999994</v>
      </c>
      <c r="F3033" s="79">
        <v>4444.68</v>
      </c>
      <c r="G3033" s="320"/>
      <c r="H3033" s="178">
        <v>4444.68</v>
      </c>
      <c r="I3033" s="178">
        <v>5466.96</v>
      </c>
      <c r="J3033" s="70">
        <v>-1022.2800000000007</v>
      </c>
      <c r="K3033" s="320"/>
      <c r="L3033" s="178">
        <v>551.98</v>
      </c>
      <c r="M3033" s="178">
        <v>3892.6999999999994</v>
      </c>
      <c r="N3033" s="179">
        <v>0</v>
      </c>
      <c r="O3033" s="178">
        <v>4444.6799999999994</v>
      </c>
      <c r="P3033" s="453"/>
      <c r="Q3033" s="61"/>
      <c r="R3033" s="298"/>
      <c r="S3033" s="669"/>
      <c r="T3033" s="73"/>
      <c r="X3033" s="444">
        <v>3033</v>
      </c>
    </row>
    <row r="3034" spans="1:32" ht="24">
      <c r="A3034" s="63" t="s">
        <v>23274</v>
      </c>
      <c r="B3034" s="64" t="s">
        <v>23275</v>
      </c>
      <c r="C3034" s="71" t="s">
        <v>103</v>
      </c>
      <c r="D3034" s="79">
        <v>1</v>
      </c>
      <c r="E3034" s="79">
        <v>5622.6699999999992</v>
      </c>
      <c r="F3034" s="79">
        <v>5622.67</v>
      </c>
      <c r="G3034" s="320"/>
      <c r="H3034" s="178">
        <v>5622.67</v>
      </c>
      <c r="I3034" s="178">
        <v>6915.89</v>
      </c>
      <c r="J3034" s="70">
        <v>-1293.2200000000012</v>
      </c>
      <c r="K3034" s="320"/>
      <c r="L3034" s="178">
        <v>730.65</v>
      </c>
      <c r="M3034" s="178">
        <v>4892.0199999999995</v>
      </c>
      <c r="N3034" s="179">
        <v>0</v>
      </c>
      <c r="O3034" s="178">
        <v>5622.6699999999992</v>
      </c>
      <c r="P3034" s="453"/>
      <c r="Q3034" s="61"/>
      <c r="R3034" s="298"/>
      <c r="S3034" s="669"/>
      <c r="T3034" s="73"/>
      <c r="U3034" s="69"/>
      <c r="V3034" s="69"/>
      <c r="W3034" s="69"/>
      <c r="X3034" s="444">
        <v>3034</v>
      </c>
      <c r="Y3034" s="69"/>
      <c r="Z3034" s="69"/>
      <c r="AA3034" s="69"/>
      <c r="AB3034" s="69"/>
      <c r="AC3034" s="69"/>
      <c r="AD3034" s="69"/>
      <c r="AE3034" s="69"/>
      <c r="AF3034" s="69"/>
    </row>
    <row r="3035" spans="1:32" ht="24">
      <c r="A3035" s="63" t="s">
        <v>23276</v>
      </c>
      <c r="B3035" s="64" t="s">
        <v>23277</v>
      </c>
      <c r="C3035" s="71" t="s">
        <v>103</v>
      </c>
      <c r="D3035" s="79">
        <v>1</v>
      </c>
      <c r="E3035" s="79">
        <v>15545.220000000001</v>
      </c>
      <c r="F3035" s="79">
        <v>15545.22</v>
      </c>
      <c r="G3035" s="320"/>
      <c r="H3035" s="178">
        <v>15545.22</v>
      </c>
      <c r="I3035" s="178">
        <v>19120.62</v>
      </c>
      <c r="J3035" s="70">
        <v>-3575.3999999999978</v>
      </c>
      <c r="K3035" s="320"/>
      <c r="L3035" s="178">
        <v>925.3</v>
      </c>
      <c r="M3035" s="178">
        <v>14619.920000000002</v>
      </c>
      <c r="N3035" s="179">
        <v>0</v>
      </c>
      <c r="O3035" s="178">
        <v>15545.220000000001</v>
      </c>
      <c r="P3035" s="453"/>
      <c r="Q3035" s="61"/>
      <c r="R3035" s="298"/>
      <c r="S3035" s="669"/>
      <c r="T3035" s="73"/>
      <c r="U3035" s="69"/>
      <c r="V3035" s="69"/>
      <c r="W3035" s="69"/>
      <c r="X3035" s="444">
        <v>3035</v>
      </c>
      <c r="Y3035" s="69"/>
      <c r="Z3035" s="69"/>
      <c r="AA3035" s="69"/>
      <c r="AB3035" s="69"/>
      <c r="AC3035" s="69"/>
      <c r="AD3035" s="69"/>
      <c r="AE3035" s="69"/>
      <c r="AF3035" s="69"/>
    </row>
    <row r="3036" spans="1:32" ht="12">
      <c r="A3036" s="83" t="s">
        <v>23278</v>
      </c>
      <c r="B3036" s="64" t="s">
        <v>23279</v>
      </c>
      <c r="C3036" s="71" t="s">
        <v>103</v>
      </c>
      <c r="D3036" s="79">
        <v>1</v>
      </c>
      <c r="E3036" s="79">
        <v>43.18</v>
      </c>
      <c r="F3036" s="79">
        <v>43.18</v>
      </c>
      <c r="G3036" s="445"/>
      <c r="H3036" s="178">
        <v>43.18</v>
      </c>
      <c r="I3036" s="178">
        <v>53.11</v>
      </c>
      <c r="J3036" s="70">
        <v>-9.93</v>
      </c>
      <c r="K3036" s="320"/>
      <c r="L3036" s="178">
        <v>0</v>
      </c>
      <c r="M3036" s="178">
        <v>43.18</v>
      </c>
      <c r="N3036" s="179">
        <v>0</v>
      </c>
      <c r="O3036" s="178">
        <v>43.18</v>
      </c>
      <c r="P3036" s="453"/>
      <c r="Q3036" s="61"/>
      <c r="R3036" s="298"/>
      <c r="S3036" s="669"/>
      <c r="U3036" s="69"/>
      <c r="V3036" s="69"/>
      <c r="W3036" s="69"/>
      <c r="X3036" s="444">
        <v>3036</v>
      </c>
      <c r="Y3036" s="69"/>
      <c r="Z3036" s="69"/>
      <c r="AA3036" s="69"/>
      <c r="AB3036" s="69"/>
      <c r="AC3036" s="69"/>
      <c r="AD3036" s="69"/>
      <c r="AE3036" s="69"/>
      <c r="AF3036" s="69"/>
    </row>
    <row r="3037" spans="1:32" ht="12">
      <c r="A3037" s="83" t="s">
        <v>23280</v>
      </c>
      <c r="B3037" s="64" t="s">
        <v>23281</v>
      </c>
      <c r="C3037" s="71" t="s">
        <v>103</v>
      </c>
      <c r="D3037" s="79">
        <v>1</v>
      </c>
      <c r="E3037" s="79">
        <v>185.88</v>
      </c>
      <c r="F3037" s="79">
        <v>185.88</v>
      </c>
      <c r="G3037" s="445"/>
      <c r="H3037" s="178">
        <v>185.88</v>
      </c>
      <c r="I3037" s="178">
        <v>228.63</v>
      </c>
      <c r="J3037" s="70">
        <v>-42.75</v>
      </c>
      <c r="K3037" s="320"/>
      <c r="L3037" s="178">
        <v>0</v>
      </c>
      <c r="M3037" s="178">
        <v>185.88</v>
      </c>
      <c r="N3037" s="179">
        <v>0</v>
      </c>
      <c r="O3037" s="178">
        <v>185.88</v>
      </c>
      <c r="P3037" s="453"/>
      <c r="Q3037" s="61"/>
      <c r="R3037" s="298"/>
      <c r="S3037" s="669"/>
      <c r="U3037" s="69"/>
      <c r="V3037" s="69"/>
      <c r="W3037" s="69"/>
      <c r="X3037" s="444">
        <v>3037</v>
      </c>
      <c r="Y3037" s="69"/>
      <c r="Z3037" s="69"/>
      <c r="AA3037" s="69"/>
      <c r="AB3037" s="69"/>
      <c r="AC3037" s="69"/>
      <c r="AD3037" s="69"/>
      <c r="AE3037" s="69"/>
      <c r="AF3037" s="69"/>
    </row>
    <row r="3038" spans="1:32" ht="12">
      <c r="A3038" s="83" t="s">
        <v>23282</v>
      </c>
      <c r="B3038" s="64" t="s">
        <v>23283</v>
      </c>
      <c r="C3038" s="71" t="s">
        <v>103</v>
      </c>
      <c r="D3038" s="79">
        <v>1</v>
      </c>
      <c r="E3038" s="79">
        <v>34.200000000000003</v>
      </c>
      <c r="F3038" s="79">
        <v>34.200000000000003</v>
      </c>
      <c r="G3038" s="445"/>
      <c r="H3038" s="178">
        <v>34.200000000000003</v>
      </c>
      <c r="I3038" s="178">
        <v>42.06</v>
      </c>
      <c r="J3038" s="70">
        <v>-7.8599999999999994</v>
      </c>
      <c r="K3038" s="320"/>
      <c r="L3038" s="178">
        <v>0</v>
      </c>
      <c r="M3038" s="178">
        <v>34.200000000000003</v>
      </c>
      <c r="N3038" s="179">
        <v>0</v>
      </c>
      <c r="O3038" s="178">
        <v>34.200000000000003</v>
      </c>
      <c r="P3038" s="453"/>
      <c r="Q3038" s="61"/>
      <c r="R3038" s="298"/>
      <c r="S3038" s="669"/>
      <c r="X3038" s="444">
        <v>3038</v>
      </c>
    </row>
    <row r="3039" spans="1:32" ht="12">
      <c r="A3039" s="83" t="s">
        <v>23284</v>
      </c>
      <c r="B3039" s="64" t="s">
        <v>23285</v>
      </c>
      <c r="C3039" s="71" t="s">
        <v>103</v>
      </c>
      <c r="D3039" s="79">
        <v>1</v>
      </c>
      <c r="E3039" s="79">
        <v>410.42</v>
      </c>
      <c r="F3039" s="79">
        <v>410.42</v>
      </c>
      <c r="G3039" s="445"/>
      <c r="H3039" s="178">
        <v>410.41</v>
      </c>
      <c r="I3039" s="178">
        <v>504.81</v>
      </c>
      <c r="J3039" s="70">
        <v>-94.389999999999986</v>
      </c>
      <c r="K3039" s="320"/>
      <c r="L3039" s="178">
        <v>0</v>
      </c>
      <c r="M3039" s="178">
        <v>410.42</v>
      </c>
      <c r="N3039" s="179">
        <v>0</v>
      </c>
      <c r="O3039" s="178">
        <v>410.42</v>
      </c>
      <c r="P3039" s="453"/>
      <c r="Q3039" s="61"/>
      <c r="R3039" s="298"/>
      <c r="S3039" s="669"/>
      <c r="X3039" s="444">
        <v>3039</v>
      </c>
    </row>
    <row r="3040" spans="1:32" ht="12">
      <c r="A3040" s="83" t="s">
        <v>23286</v>
      </c>
      <c r="B3040" s="64" t="s">
        <v>23287</v>
      </c>
      <c r="C3040" s="71" t="s">
        <v>103</v>
      </c>
      <c r="D3040" s="79">
        <v>1</v>
      </c>
      <c r="E3040" s="79">
        <v>429.21</v>
      </c>
      <c r="F3040" s="79">
        <v>429.21</v>
      </c>
      <c r="G3040" s="445"/>
      <c r="H3040" s="178">
        <v>429.2</v>
      </c>
      <c r="I3040" s="178">
        <v>527.91999999999996</v>
      </c>
      <c r="J3040" s="70">
        <v>-98.70999999999998</v>
      </c>
      <c r="K3040" s="320"/>
      <c r="L3040" s="178">
        <v>0</v>
      </c>
      <c r="M3040" s="178">
        <v>429.21</v>
      </c>
      <c r="N3040" s="179">
        <v>0</v>
      </c>
      <c r="O3040" s="178">
        <v>429.21</v>
      </c>
      <c r="P3040" s="453"/>
      <c r="Q3040" s="61"/>
      <c r="R3040" s="298"/>
      <c r="S3040" s="669"/>
      <c r="X3040" s="444">
        <v>3040</v>
      </c>
    </row>
    <row r="3041" spans="1:32" s="69" customFormat="1" ht="12">
      <c r="A3041" s="83" t="s">
        <v>23288</v>
      </c>
      <c r="B3041" s="64" t="s">
        <v>23289</v>
      </c>
      <c r="C3041" s="71" t="s">
        <v>103</v>
      </c>
      <c r="D3041" s="79">
        <v>1</v>
      </c>
      <c r="E3041" s="79">
        <v>239.37</v>
      </c>
      <c r="F3041" s="79">
        <v>239.37</v>
      </c>
      <c r="G3041" s="445"/>
      <c r="H3041" s="178">
        <v>239.37</v>
      </c>
      <c r="I3041" s="178">
        <v>294.42</v>
      </c>
      <c r="J3041" s="70">
        <v>-55.050000000000011</v>
      </c>
      <c r="K3041" s="320"/>
      <c r="L3041" s="178">
        <v>0</v>
      </c>
      <c r="M3041" s="178">
        <v>239.37</v>
      </c>
      <c r="N3041" s="179">
        <v>0</v>
      </c>
      <c r="O3041" s="178">
        <v>239.37</v>
      </c>
      <c r="P3041" s="453"/>
      <c r="Q3041" s="61"/>
      <c r="R3041" s="298"/>
      <c r="S3041" s="669"/>
      <c r="T3041" s="444"/>
      <c r="U3041" s="444"/>
      <c r="V3041" s="444"/>
      <c r="W3041" s="444"/>
      <c r="X3041" s="444">
        <v>3041</v>
      </c>
      <c r="Y3041" s="444"/>
      <c r="Z3041" s="444"/>
      <c r="AA3041" s="444"/>
      <c r="AB3041" s="444"/>
      <c r="AC3041" s="444"/>
      <c r="AD3041" s="444"/>
      <c r="AE3041" s="444"/>
      <c r="AF3041" s="444"/>
    </row>
    <row r="3042" spans="1:32" s="69" customFormat="1" ht="12">
      <c r="A3042" s="83" t="s">
        <v>23290</v>
      </c>
      <c r="B3042" s="64" t="s">
        <v>23291</v>
      </c>
      <c r="C3042" s="71" t="s">
        <v>103</v>
      </c>
      <c r="D3042" s="79">
        <v>1</v>
      </c>
      <c r="E3042" s="79">
        <v>834.75999999999988</v>
      </c>
      <c r="F3042" s="79">
        <v>834.76</v>
      </c>
      <c r="G3042" s="445"/>
      <c r="H3042" s="178">
        <v>834.77</v>
      </c>
      <c r="I3042" s="178">
        <v>1026.77</v>
      </c>
      <c r="J3042" s="70">
        <v>-192.0100000000001</v>
      </c>
      <c r="K3042" s="320"/>
      <c r="L3042" s="178">
        <v>91.33</v>
      </c>
      <c r="M3042" s="178">
        <v>743.42999999999984</v>
      </c>
      <c r="N3042" s="179">
        <v>0</v>
      </c>
      <c r="O3042" s="178">
        <v>834.75999999999988</v>
      </c>
      <c r="P3042" s="453"/>
      <c r="Q3042" s="61"/>
      <c r="R3042" s="298"/>
      <c r="S3042" s="669"/>
      <c r="T3042" s="444"/>
      <c r="U3042" s="444"/>
      <c r="V3042" s="444"/>
      <c r="W3042" s="444"/>
      <c r="X3042" s="444">
        <v>3042</v>
      </c>
      <c r="Y3042" s="444"/>
      <c r="Z3042" s="444"/>
      <c r="AA3042" s="444"/>
      <c r="AB3042" s="444"/>
      <c r="AC3042" s="444"/>
      <c r="AD3042" s="444"/>
      <c r="AE3042" s="444"/>
      <c r="AF3042" s="444"/>
    </row>
    <row r="3043" spans="1:32" s="69" customFormat="1" ht="12">
      <c r="A3043" s="83" t="s">
        <v>23292</v>
      </c>
      <c r="B3043" s="64" t="s">
        <v>23293</v>
      </c>
      <c r="C3043" s="71" t="s">
        <v>103</v>
      </c>
      <c r="D3043" s="79">
        <v>1</v>
      </c>
      <c r="E3043" s="79">
        <v>557.08999999999992</v>
      </c>
      <c r="F3043" s="79">
        <v>557.09</v>
      </c>
      <c r="G3043" s="445"/>
      <c r="H3043" s="178">
        <v>557.1</v>
      </c>
      <c r="I3043" s="178">
        <v>685.23</v>
      </c>
      <c r="J3043" s="70">
        <v>-128.1400000000001</v>
      </c>
      <c r="K3043" s="320"/>
      <c r="L3043" s="178">
        <v>91.33</v>
      </c>
      <c r="M3043" s="178">
        <v>465.75999999999993</v>
      </c>
      <c r="N3043" s="179">
        <v>0</v>
      </c>
      <c r="O3043" s="178">
        <v>557.08999999999992</v>
      </c>
      <c r="P3043" s="453"/>
      <c r="Q3043" s="61"/>
      <c r="R3043" s="298"/>
      <c r="S3043" s="669"/>
      <c r="T3043" s="444"/>
      <c r="U3043" s="444"/>
      <c r="V3043" s="444"/>
      <c r="W3043" s="444"/>
      <c r="X3043" s="444">
        <v>3043</v>
      </c>
      <c r="Y3043" s="444"/>
      <c r="Z3043" s="444"/>
      <c r="AA3043" s="444"/>
      <c r="AB3043" s="444"/>
      <c r="AC3043" s="444"/>
      <c r="AD3043" s="444"/>
      <c r="AE3043" s="444"/>
      <c r="AF3043" s="444"/>
    </row>
    <row r="3044" spans="1:32" s="69" customFormat="1" ht="12">
      <c r="A3044" s="83" t="s">
        <v>23294</v>
      </c>
      <c r="B3044" s="64" t="s">
        <v>23295</v>
      </c>
      <c r="C3044" s="71" t="s">
        <v>103</v>
      </c>
      <c r="D3044" s="79">
        <v>1</v>
      </c>
      <c r="E3044" s="79">
        <v>786.25999999999988</v>
      </c>
      <c r="F3044" s="79">
        <v>786.26</v>
      </c>
      <c r="G3044" s="445"/>
      <c r="H3044" s="178">
        <v>786.27</v>
      </c>
      <c r="I3044" s="178">
        <v>967.11</v>
      </c>
      <c r="J3044" s="70">
        <v>-180.85000000000014</v>
      </c>
      <c r="K3044" s="320"/>
      <c r="L3044" s="178">
        <v>91.33</v>
      </c>
      <c r="M3044" s="178">
        <v>694.92999999999984</v>
      </c>
      <c r="N3044" s="179">
        <v>0</v>
      </c>
      <c r="O3044" s="178">
        <v>786.25999999999988</v>
      </c>
      <c r="P3044" s="453"/>
      <c r="Q3044" s="61"/>
      <c r="R3044" s="298"/>
      <c r="S3044" s="669"/>
      <c r="T3044" s="444"/>
      <c r="U3044" s="444"/>
      <c r="V3044" s="444"/>
      <c r="W3044" s="444"/>
      <c r="X3044" s="444">
        <v>3044</v>
      </c>
      <c r="Y3044" s="444"/>
      <c r="Z3044" s="444"/>
      <c r="AA3044" s="444"/>
      <c r="AB3044" s="444"/>
      <c r="AC3044" s="444"/>
      <c r="AD3044" s="444"/>
      <c r="AE3044" s="444"/>
      <c r="AF3044" s="444"/>
    </row>
    <row r="3045" spans="1:32" s="69" customFormat="1" ht="12">
      <c r="A3045" s="83" t="s">
        <v>23296</v>
      </c>
      <c r="B3045" s="64" t="s">
        <v>23297</v>
      </c>
      <c r="C3045" s="71" t="s">
        <v>103</v>
      </c>
      <c r="D3045" s="79">
        <v>1</v>
      </c>
      <c r="E3045" s="79">
        <v>407.79999999999995</v>
      </c>
      <c r="F3045" s="79">
        <v>407.8</v>
      </c>
      <c r="G3045" s="445"/>
      <c r="H3045" s="178">
        <v>407.8</v>
      </c>
      <c r="I3045" s="178">
        <v>501.6</v>
      </c>
      <c r="J3045" s="70">
        <v>-93.800000000000068</v>
      </c>
      <c r="K3045" s="320"/>
      <c r="L3045" s="178">
        <v>37.340000000000003</v>
      </c>
      <c r="M3045" s="178">
        <v>370.45999999999992</v>
      </c>
      <c r="N3045" s="179">
        <v>0</v>
      </c>
      <c r="O3045" s="178">
        <v>407.79999999999995</v>
      </c>
      <c r="P3045" s="453"/>
      <c r="Q3045" s="61"/>
      <c r="R3045" s="298"/>
      <c r="S3045" s="669"/>
      <c r="T3045" s="444"/>
      <c r="U3045" s="444"/>
      <c r="V3045" s="444"/>
      <c r="W3045" s="444"/>
      <c r="X3045" s="444">
        <v>3045</v>
      </c>
      <c r="Y3045" s="444"/>
      <c r="Z3045" s="444"/>
      <c r="AA3045" s="444"/>
      <c r="AB3045" s="444"/>
      <c r="AC3045" s="444"/>
      <c r="AD3045" s="444"/>
      <c r="AE3045" s="444"/>
      <c r="AF3045" s="444"/>
    </row>
    <row r="3046" spans="1:32" s="69" customFormat="1" ht="12">
      <c r="A3046" s="83" t="s">
        <v>23298</v>
      </c>
      <c r="B3046" s="64" t="s">
        <v>8217</v>
      </c>
      <c r="C3046" s="71" t="s">
        <v>103</v>
      </c>
      <c r="D3046" s="79">
        <v>1</v>
      </c>
      <c r="E3046" s="79">
        <v>444.79999999999995</v>
      </c>
      <c r="F3046" s="79">
        <v>444.8</v>
      </c>
      <c r="G3046" s="445"/>
      <c r="H3046" s="178">
        <v>444.8</v>
      </c>
      <c r="I3046" s="178">
        <v>547.11</v>
      </c>
      <c r="J3046" s="70">
        <v>-102.31000000000006</v>
      </c>
      <c r="K3046" s="320"/>
      <c r="L3046" s="178">
        <v>37.340000000000003</v>
      </c>
      <c r="M3046" s="178">
        <v>407.45999999999992</v>
      </c>
      <c r="N3046" s="179">
        <v>0</v>
      </c>
      <c r="O3046" s="178">
        <v>444.79999999999995</v>
      </c>
      <c r="P3046" s="453"/>
      <c r="Q3046" s="61"/>
      <c r="R3046" s="298"/>
      <c r="S3046" s="669"/>
      <c r="T3046" s="444"/>
      <c r="U3046" s="444"/>
      <c r="V3046" s="444"/>
      <c r="W3046" s="444"/>
      <c r="X3046" s="444">
        <v>3046</v>
      </c>
      <c r="Y3046" s="444"/>
      <c r="Z3046" s="444"/>
      <c r="AA3046" s="444"/>
      <c r="AB3046" s="444"/>
      <c r="AC3046" s="444"/>
      <c r="AD3046" s="444"/>
      <c r="AE3046" s="444"/>
      <c r="AF3046" s="444"/>
    </row>
    <row r="3047" spans="1:32" ht="12">
      <c r="A3047" s="83" t="s">
        <v>23299</v>
      </c>
      <c r="B3047" s="64" t="s">
        <v>23300</v>
      </c>
      <c r="C3047" s="71" t="s">
        <v>103</v>
      </c>
      <c r="D3047" s="79">
        <v>1</v>
      </c>
      <c r="E3047" s="79">
        <v>474.56</v>
      </c>
      <c r="F3047" s="79">
        <v>474.56</v>
      </c>
      <c r="G3047" s="445"/>
      <c r="H3047" s="178">
        <v>474.56</v>
      </c>
      <c r="I3047" s="178">
        <v>583.71</v>
      </c>
      <c r="J3047" s="70">
        <v>-109.15000000000003</v>
      </c>
      <c r="K3047" s="320"/>
      <c r="L3047" s="178">
        <v>37.340000000000003</v>
      </c>
      <c r="M3047" s="178">
        <v>437.22</v>
      </c>
      <c r="N3047" s="179">
        <v>0</v>
      </c>
      <c r="O3047" s="178">
        <v>474.56000000000006</v>
      </c>
      <c r="P3047" s="453"/>
      <c r="Q3047" s="61"/>
      <c r="R3047" s="298"/>
      <c r="S3047" s="669"/>
      <c r="X3047" s="444">
        <v>3047</v>
      </c>
    </row>
    <row r="3048" spans="1:32" ht="12">
      <c r="A3048" s="83" t="s">
        <v>23301</v>
      </c>
      <c r="B3048" s="64" t="s">
        <v>23302</v>
      </c>
      <c r="C3048" s="71" t="s">
        <v>103</v>
      </c>
      <c r="D3048" s="79">
        <v>1</v>
      </c>
      <c r="E3048" s="79">
        <v>488.27</v>
      </c>
      <c r="F3048" s="79">
        <v>488.27</v>
      </c>
      <c r="G3048" s="445"/>
      <c r="H3048" s="178">
        <v>488.27</v>
      </c>
      <c r="I3048" s="178">
        <v>600.57000000000005</v>
      </c>
      <c r="J3048" s="70">
        <v>-112.30000000000007</v>
      </c>
      <c r="K3048" s="320"/>
      <c r="L3048" s="178">
        <v>37.340000000000003</v>
      </c>
      <c r="M3048" s="178">
        <v>450.92999999999995</v>
      </c>
      <c r="N3048" s="179">
        <v>0</v>
      </c>
      <c r="O3048" s="178">
        <v>488.27</v>
      </c>
      <c r="P3048" s="453"/>
      <c r="Q3048" s="61"/>
      <c r="R3048" s="298"/>
      <c r="S3048" s="669"/>
      <c r="X3048" s="444">
        <v>3048</v>
      </c>
    </row>
    <row r="3049" spans="1:32" ht="12">
      <c r="A3049" s="83" t="s">
        <v>23303</v>
      </c>
      <c r="B3049" s="64" t="s">
        <v>23304</v>
      </c>
      <c r="C3049" s="71" t="s">
        <v>103</v>
      </c>
      <c r="D3049" s="79">
        <v>1</v>
      </c>
      <c r="E3049" s="79">
        <v>262.77</v>
      </c>
      <c r="F3049" s="79">
        <v>262.77</v>
      </c>
      <c r="G3049" s="445"/>
      <c r="H3049" s="178">
        <v>262.77</v>
      </c>
      <c r="I3049" s="178">
        <v>323.20999999999998</v>
      </c>
      <c r="J3049" s="70">
        <v>-60.44</v>
      </c>
      <c r="K3049" s="320"/>
      <c r="L3049" s="178">
        <v>37.340000000000003</v>
      </c>
      <c r="M3049" s="178">
        <v>225.42999999999998</v>
      </c>
      <c r="N3049" s="179">
        <v>0</v>
      </c>
      <c r="O3049" s="178">
        <v>262.77</v>
      </c>
      <c r="P3049" s="453"/>
      <c r="Q3049" s="61"/>
      <c r="R3049" s="298"/>
      <c r="S3049" s="669"/>
      <c r="X3049" s="444">
        <v>3049</v>
      </c>
    </row>
    <row r="3050" spans="1:32" ht="12">
      <c r="A3050" s="83" t="s">
        <v>23305</v>
      </c>
      <c r="B3050" s="64" t="s">
        <v>40006</v>
      </c>
      <c r="C3050" s="71" t="s">
        <v>103</v>
      </c>
      <c r="D3050" s="79">
        <v>1</v>
      </c>
      <c r="E3050" s="79">
        <v>288.47999999999996</v>
      </c>
      <c r="F3050" s="79">
        <v>288.48</v>
      </c>
      <c r="G3050" s="445"/>
      <c r="H3050" s="178">
        <v>288.48</v>
      </c>
      <c r="I3050" s="178">
        <v>354.83</v>
      </c>
      <c r="J3050" s="70">
        <v>-66.350000000000023</v>
      </c>
      <c r="K3050" s="320"/>
      <c r="L3050" s="178">
        <v>37.340000000000003</v>
      </c>
      <c r="M3050" s="178">
        <v>251.13999999999996</v>
      </c>
      <c r="N3050" s="179">
        <v>0</v>
      </c>
      <c r="O3050" s="178">
        <v>288.47999999999996</v>
      </c>
      <c r="P3050" s="453"/>
      <c r="Q3050" s="61"/>
      <c r="R3050" s="298"/>
      <c r="S3050" s="669"/>
      <c r="X3050" s="444">
        <v>3050</v>
      </c>
    </row>
    <row r="3051" spans="1:32" ht="12">
      <c r="A3051" s="83" t="s">
        <v>23306</v>
      </c>
      <c r="B3051" s="64" t="s">
        <v>23307</v>
      </c>
      <c r="C3051" s="71" t="s">
        <v>103</v>
      </c>
      <c r="D3051" s="79">
        <v>1</v>
      </c>
      <c r="E3051" s="79">
        <v>313.19</v>
      </c>
      <c r="F3051" s="79">
        <v>313.19</v>
      </c>
      <c r="G3051" s="445"/>
      <c r="H3051" s="178">
        <v>313.19</v>
      </c>
      <c r="I3051" s="178">
        <v>385.22</v>
      </c>
      <c r="J3051" s="70">
        <v>-72.03000000000003</v>
      </c>
      <c r="K3051" s="320"/>
      <c r="L3051" s="178">
        <v>37.340000000000003</v>
      </c>
      <c r="M3051" s="178">
        <v>275.85000000000002</v>
      </c>
      <c r="N3051" s="179">
        <v>0</v>
      </c>
      <c r="O3051" s="178">
        <v>313.19000000000005</v>
      </c>
      <c r="P3051" s="453"/>
      <c r="Q3051" s="61"/>
      <c r="R3051" s="298"/>
      <c r="S3051" s="669"/>
      <c r="X3051" s="444">
        <v>3051</v>
      </c>
    </row>
    <row r="3052" spans="1:32" ht="12">
      <c r="A3052" s="83" t="s">
        <v>23308</v>
      </c>
      <c r="B3052" s="64" t="s">
        <v>40007</v>
      </c>
      <c r="C3052" s="71" t="s">
        <v>103</v>
      </c>
      <c r="D3052" s="79">
        <v>1</v>
      </c>
      <c r="E3052" s="79">
        <v>323.30999999999995</v>
      </c>
      <c r="F3052" s="79">
        <v>323.31</v>
      </c>
      <c r="G3052" s="445"/>
      <c r="H3052" s="178">
        <v>323.31</v>
      </c>
      <c r="I3052" s="178">
        <v>397.67</v>
      </c>
      <c r="J3052" s="70">
        <v>-74.36000000000007</v>
      </c>
      <c r="K3052" s="320"/>
      <c r="L3052" s="178">
        <v>37.340000000000003</v>
      </c>
      <c r="M3052" s="178">
        <v>285.96999999999991</v>
      </c>
      <c r="N3052" s="179">
        <v>0</v>
      </c>
      <c r="O3052" s="178">
        <v>323.30999999999995</v>
      </c>
      <c r="P3052" s="453"/>
      <c r="Q3052" s="61"/>
      <c r="R3052" s="298"/>
      <c r="S3052" s="669"/>
      <c r="X3052" s="444">
        <v>3052</v>
      </c>
    </row>
    <row r="3053" spans="1:32" ht="12">
      <c r="A3053" s="83" t="s">
        <v>23309</v>
      </c>
      <c r="B3053" s="64" t="s">
        <v>23310</v>
      </c>
      <c r="C3053" s="71" t="s">
        <v>103</v>
      </c>
      <c r="D3053" s="79">
        <v>1</v>
      </c>
      <c r="E3053" s="79">
        <v>354.40999999999997</v>
      </c>
      <c r="F3053" s="79">
        <v>354.41</v>
      </c>
      <c r="G3053" s="445"/>
      <c r="H3053" s="178">
        <v>354.41</v>
      </c>
      <c r="I3053" s="178">
        <v>435.93</v>
      </c>
      <c r="J3053" s="70">
        <v>-81.520000000000039</v>
      </c>
      <c r="K3053" s="320"/>
      <c r="L3053" s="178">
        <v>37.340000000000003</v>
      </c>
      <c r="M3053" s="178">
        <v>317.06999999999994</v>
      </c>
      <c r="N3053" s="179">
        <v>0</v>
      </c>
      <c r="O3053" s="178">
        <v>354.40999999999997</v>
      </c>
      <c r="P3053" s="453"/>
      <c r="Q3053" s="61"/>
      <c r="R3053" s="298"/>
      <c r="S3053" s="669"/>
      <c r="X3053" s="444">
        <v>3053</v>
      </c>
    </row>
    <row r="3054" spans="1:32" ht="12">
      <c r="A3054" s="83" t="s">
        <v>23311</v>
      </c>
      <c r="B3054" s="64" t="s">
        <v>40008</v>
      </c>
      <c r="C3054" s="71" t="s">
        <v>103</v>
      </c>
      <c r="D3054" s="79">
        <v>1</v>
      </c>
      <c r="E3054" s="79">
        <v>256.29999999999995</v>
      </c>
      <c r="F3054" s="79">
        <v>256.3</v>
      </c>
      <c r="G3054" s="445"/>
      <c r="H3054" s="178">
        <v>256.3</v>
      </c>
      <c r="I3054" s="178">
        <v>315.25</v>
      </c>
      <c r="J3054" s="70">
        <v>-58.950000000000045</v>
      </c>
      <c r="K3054" s="320"/>
      <c r="L3054" s="178">
        <v>37.340000000000003</v>
      </c>
      <c r="M3054" s="178">
        <v>218.95999999999995</v>
      </c>
      <c r="N3054" s="179">
        <v>0</v>
      </c>
      <c r="O3054" s="178">
        <v>256.29999999999995</v>
      </c>
      <c r="P3054" s="453"/>
      <c r="Q3054" s="61"/>
      <c r="R3054" s="298"/>
      <c r="S3054" s="669"/>
      <c r="X3054" s="444">
        <v>3054</v>
      </c>
    </row>
    <row r="3055" spans="1:32" ht="12">
      <c r="A3055" s="83" t="s">
        <v>23312</v>
      </c>
      <c r="B3055" s="64" t="s">
        <v>40009</v>
      </c>
      <c r="C3055" s="71" t="s">
        <v>103</v>
      </c>
      <c r="D3055" s="79">
        <v>1</v>
      </c>
      <c r="E3055" s="79">
        <v>261.34999999999997</v>
      </c>
      <c r="F3055" s="79">
        <v>261.35000000000002</v>
      </c>
      <c r="G3055" s="445"/>
      <c r="H3055" s="178">
        <v>261.35000000000002</v>
      </c>
      <c r="I3055" s="178">
        <v>321.45999999999998</v>
      </c>
      <c r="J3055" s="70">
        <v>-60.110000000000014</v>
      </c>
      <c r="K3055" s="320"/>
      <c r="L3055" s="178">
        <v>37.340000000000003</v>
      </c>
      <c r="M3055" s="178">
        <v>224.00999999999996</v>
      </c>
      <c r="N3055" s="179">
        <v>0</v>
      </c>
      <c r="O3055" s="178">
        <v>261.34999999999997</v>
      </c>
      <c r="P3055" s="453"/>
      <c r="Q3055" s="61"/>
      <c r="R3055" s="298"/>
      <c r="S3055" s="669"/>
      <c r="X3055" s="444">
        <v>3055</v>
      </c>
    </row>
    <row r="3056" spans="1:32" ht="12">
      <c r="A3056" s="83" t="s">
        <v>23313</v>
      </c>
      <c r="B3056" s="64" t="s">
        <v>23314</v>
      </c>
      <c r="C3056" s="71" t="s">
        <v>103</v>
      </c>
      <c r="D3056" s="79">
        <v>1</v>
      </c>
      <c r="E3056" s="79">
        <v>251.53999999999996</v>
      </c>
      <c r="F3056" s="79">
        <v>251.54</v>
      </c>
      <c r="G3056" s="445"/>
      <c r="H3056" s="178">
        <v>251.54</v>
      </c>
      <c r="I3056" s="178">
        <v>309.39999999999998</v>
      </c>
      <c r="J3056" s="70">
        <v>-57.860000000000014</v>
      </c>
      <c r="K3056" s="320"/>
      <c r="L3056" s="178">
        <v>37.340000000000003</v>
      </c>
      <c r="M3056" s="178">
        <v>214.19999999999996</v>
      </c>
      <c r="N3056" s="179">
        <v>0</v>
      </c>
      <c r="O3056" s="178">
        <v>251.53999999999996</v>
      </c>
      <c r="P3056" s="453"/>
      <c r="Q3056" s="61"/>
      <c r="R3056" s="298"/>
      <c r="S3056" s="669"/>
      <c r="U3056" s="73"/>
      <c r="V3056" s="73"/>
      <c r="W3056" s="73"/>
      <c r="X3056" s="444">
        <v>3056</v>
      </c>
      <c r="Y3056" s="73"/>
      <c r="Z3056" s="73"/>
      <c r="AA3056" s="73"/>
      <c r="AB3056" s="73"/>
      <c r="AC3056" s="73"/>
      <c r="AD3056" s="73"/>
      <c r="AE3056" s="73"/>
      <c r="AF3056" s="73"/>
    </row>
    <row r="3057" spans="1:32" s="69" customFormat="1" ht="12">
      <c r="A3057" s="83" t="s">
        <v>23315</v>
      </c>
      <c r="B3057" s="64" t="s">
        <v>23316</v>
      </c>
      <c r="C3057" s="71" t="s">
        <v>103</v>
      </c>
      <c r="D3057" s="79">
        <v>1</v>
      </c>
      <c r="E3057" s="79">
        <v>368.58</v>
      </c>
      <c r="F3057" s="79">
        <v>368.58</v>
      </c>
      <c r="G3057" s="445"/>
      <c r="H3057" s="178">
        <v>368.58</v>
      </c>
      <c r="I3057" s="178">
        <v>453.35</v>
      </c>
      <c r="J3057" s="70">
        <v>-84.770000000000039</v>
      </c>
      <c r="K3057" s="320"/>
      <c r="L3057" s="178">
        <v>37.340000000000003</v>
      </c>
      <c r="M3057" s="178">
        <v>331.24</v>
      </c>
      <c r="N3057" s="179">
        <v>0</v>
      </c>
      <c r="O3057" s="178">
        <v>368.58000000000004</v>
      </c>
      <c r="P3057" s="453"/>
      <c r="Q3057" s="61"/>
      <c r="R3057" s="298"/>
      <c r="S3057" s="669"/>
      <c r="T3057" s="444"/>
      <c r="U3057" s="73"/>
      <c r="V3057" s="73"/>
      <c r="W3057" s="73"/>
      <c r="X3057" s="444">
        <v>3057</v>
      </c>
      <c r="Y3057" s="73"/>
      <c r="Z3057" s="73"/>
      <c r="AA3057" s="73"/>
      <c r="AB3057" s="73"/>
      <c r="AC3057" s="73"/>
      <c r="AD3057" s="73"/>
      <c r="AE3057" s="73"/>
      <c r="AF3057" s="73"/>
    </row>
    <row r="3058" spans="1:32" s="69" customFormat="1" ht="12">
      <c r="A3058" s="83" t="s">
        <v>23317</v>
      </c>
      <c r="B3058" s="64" t="s">
        <v>23318</v>
      </c>
      <c r="C3058" s="71" t="s">
        <v>103</v>
      </c>
      <c r="D3058" s="79">
        <v>1</v>
      </c>
      <c r="E3058" s="79">
        <v>349.15999999999997</v>
      </c>
      <c r="F3058" s="79">
        <v>349.16</v>
      </c>
      <c r="G3058" s="445"/>
      <c r="H3058" s="178">
        <v>349.16</v>
      </c>
      <c r="I3058" s="178">
        <v>429.47</v>
      </c>
      <c r="J3058" s="70">
        <v>-80.310000000000059</v>
      </c>
      <c r="K3058" s="320"/>
      <c r="L3058" s="178">
        <v>37.340000000000003</v>
      </c>
      <c r="M3058" s="178">
        <v>311.81999999999994</v>
      </c>
      <c r="N3058" s="179">
        <v>0</v>
      </c>
      <c r="O3058" s="178">
        <v>349.15999999999997</v>
      </c>
      <c r="P3058" s="453"/>
      <c r="Q3058" s="61"/>
      <c r="R3058" s="298"/>
      <c r="S3058" s="669"/>
      <c r="T3058" s="444"/>
      <c r="U3058" s="73"/>
      <c r="V3058" s="73"/>
      <c r="W3058" s="73"/>
      <c r="X3058" s="444">
        <v>3058</v>
      </c>
      <c r="Y3058" s="73"/>
      <c r="Z3058" s="73"/>
      <c r="AA3058" s="73"/>
      <c r="AB3058" s="73"/>
      <c r="AC3058" s="73"/>
      <c r="AD3058" s="73"/>
      <c r="AE3058" s="73"/>
      <c r="AF3058" s="73"/>
    </row>
    <row r="3059" spans="1:32" ht="12">
      <c r="A3059" s="83" t="s">
        <v>23319</v>
      </c>
      <c r="B3059" s="64" t="s">
        <v>23320</v>
      </c>
      <c r="C3059" s="71" t="s">
        <v>103</v>
      </c>
      <c r="D3059" s="79">
        <v>1</v>
      </c>
      <c r="E3059" s="79">
        <v>293.20999999999998</v>
      </c>
      <c r="F3059" s="79">
        <v>293.20999999999998</v>
      </c>
      <c r="G3059" s="445"/>
      <c r="H3059" s="178">
        <v>293.20999999999998</v>
      </c>
      <c r="I3059" s="178">
        <v>360.65</v>
      </c>
      <c r="J3059" s="70">
        <v>-67.44</v>
      </c>
      <c r="K3059" s="320"/>
      <c r="L3059" s="178">
        <v>37.340000000000003</v>
      </c>
      <c r="M3059" s="178">
        <v>255.86999999999998</v>
      </c>
      <c r="N3059" s="179">
        <v>0</v>
      </c>
      <c r="O3059" s="178">
        <v>293.20999999999998</v>
      </c>
      <c r="P3059" s="453"/>
      <c r="Q3059" s="61"/>
      <c r="R3059" s="298"/>
      <c r="S3059" s="669"/>
      <c r="U3059" s="73"/>
      <c r="V3059" s="73"/>
      <c r="W3059" s="73"/>
      <c r="X3059" s="444">
        <v>3059</v>
      </c>
      <c r="Y3059" s="73"/>
      <c r="Z3059" s="73"/>
      <c r="AA3059" s="73"/>
      <c r="AB3059" s="73"/>
      <c r="AC3059" s="73"/>
      <c r="AD3059" s="73"/>
      <c r="AE3059" s="73"/>
      <c r="AF3059" s="73"/>
    </row>
    <row r="3060" spans="1:32" ht="12">
      <c r="A3060" s="63" t="s">
        <v>23321</v>
      </c>
      <c r="B3060" s="64" t="s">
        <v>23322</v>
      </c>
      <c r="C3060" s="71" t="s">
        <v>103</v>
      </c>
      <c r="D3060" s="79">
        <v>1</v>
      </c>
      <c r="E3060" s="79">
        <v>1131.28</v>
      </c>
      <c r="F3060" s="79">
        <v>1131.28</v>
      </c>
      <c r="G3060" s="320"/>
      <c r="H3060" s="178">
        <v>1131.28</v>
      </c>
      <c r="I3060" s="178">
        <v>1391.47</v>
      </c>
      <c r="J3060" s="70">
        <v>-260.19000000000005</v>
      </c>
      <c r="K3060" s="320"/>
      <c r="L3060" s="178">
        <v>116.50999999999999</v>
      </c>
      <c r="M3060" s="178">
        <v>1014.77</v>
      </c>
      <c r="N3060" s="179">
        <v>0</v>
      </c>
      <c r="O3060" s="178">
        <v>1131.28</v>
      </c>
      <c r="P3060" s="453"/>
      <c r="Q3060" s="61"/>
      <c r="R3060" s="298"/>
      <c r="S3060" s="669"/>
      <c r="T3060" s="73"/>
      <c r="X3060" s="444">
        <v>3060</v>
      </c>
    </row>
    <row r="3061" spans="1:32" ht="12">
      <c r="A3061" s="63" t="s">
        <v>23323</v>
      </c>
      <c r="B3061" s="64" t="s">
        <v>8209</v>
      </c>
      <c r="C3061" s="71" t="s">
        <v>103</v>
      </c>
      <c r="D3061" s="79">
        <v>1</v>
      </c>
      <c r="E3061" s="79">
        <v>838.17</v>
      </c>
      <c r="F3061" s="79">
        <v>838.17</v>
      </c>
      <c r="G3061" s="320"/>
      <c r="H3061" s="178">
        <v>838.16</v>
      </c>
      <c r="I3061" s="178">
        <v>1030.94</v>
      </c>
      <c r="J3061" s="70">
        <v>-192.7700000000001</v>
      </c>
      <c r="K3061" s="320"/>
      <c r="L3061" s="178">
        <v>116.50999999999999</v>
      </c>
      <c r="M3061" s="178">
        <v>721.66</v>
      </c>
      <c r="N3061" s="179">
        <v>0</v>
      </c>
      <c r="O3061" s="178">
        <v>838.17</v>
      </c>
      <c r="P3061" s="453"/>
      <c r="Q3061" s="61"/>
      <c r="R3061" s="298"/>
      <c r="S3061" s="669"/>
      <c r="T3061" s="73"/>
      <c r="X3061" s="444">
        <v>3061</v>
      </c>
    </row>
    <row r="3062" spans="1:32" ht="12">
      <c r="A3062" s="63" t="s">
        <v>23324</v>
      </c>
      <c r="B3062" s="64" t="s">
        <v>23325</v>
      </c>
      <c r="C3062" s="71" t="s">
        <v>103</v>
      </c>
      <c r="D3062" s="79">
        <v>1</v>
      </c>
      <c r="E3062" s="79">
        <v>996.81</v>
      </c>
      <c r="F3062" s="79">
        <v>996.81</v>
      </c>
      <c r="G3062" s="320"/>
      <c r="H3062" s="178">
        <v>996.79</v>
      </c>
      <c r="I3062" s="178">
        <v>1226.05</v>
      </c>
      <c r="J3062" s="70">
        <v>-229.24</v>
      </c>
      <c r="K3062" s="320"/>
      <c r="L3062" s="178">
        <v>116.50999999999999</v>
      </c>
      <c r="M3062" s="178">
        <v>880.3</v>
      </c>
      <c r="N3062" s="179">
        <v>0</v>
      </c>
      <c r="O3062" s="178">
        <v>996.81</v>
      </c>
      <c r="P3062" s="453"/>
      <c r="Q3062" s="61"/>
      <c r="R3062" s="298"/>
      <c r="S3062" s="669"/>
      <c r="T3062" s="73"/>
      <c r="X3062" s="444">
        <v>3062</v>
      </c>
    </row>
    <row r="3063" spans="1:32" ht="12">
      <c r="A3063" s="83" t="s">
        <v>40010</v>
      </c>
      <c r="B3063" s="64" t="s">
        <v>40011</v>
      </c>
      <c r="C3063" s="71"/>
      <c r="D3063" s="79" t="s">
        <v>40899</v>
      </c>
      <c r="E3063" s="79" t="s">
        <v>40899</v>
      </c>
      <c r="F3063" s="79"/>
      <c r="G3063" s="445"/>
      <c r="H3063" s="178"/>
      <c r="I3063" s="178"/>
      <c r="J3063" s="70"/>
      <c r="K3063" s="320"/>
      <c r="L3063" s="178"/>
      <c r="M3063" s="178"/>
      <c r="N3063" s="179"/>
      <c r="O3063" s="178"/>
      <c r="P3063" s="453"/>
      <c r="Q3063" s="61"/>
      <c r="R3063" s="298"/>
      <c r="S3063" s="669"/>
      <c r="X3063" s="444">
        <v>3063</v>
      </c>
    </row>
    <row r="3064" spans="1:32" ht="12">
      <c r="A3064" s="83" t="s">
        <v>23326</v>
      </c>
      <c r="B3064" s="64" t="s">
        <v>23327</v>
      </c>
      <c r="C3064" s="71" t="s">
        <v>6786</v>
      </c>
      <c r="D3064" s="79">
        <v>1</v>
      </c>
      <c r="E3064" s="79">
        <v>1818.47</v>
      </c>
      <c r="F3064" s="79">
        <v>1818.47</v>
      </c>
      <c r="G3064" s="445"/>
      <c r="H3064" s="178">
        <v>1818.47</v>
      </c>
      <c r="I3064" s="178">
        <v>2236.7199999999998</v>
      </c>
      <c r="J3064" s="70">
        <v>-418.24999999999977</v>
      </c>
      <c r="K3064" s="320"/>
      <c r="L3064" s="178">
        <v>71.75</v>
      </c>
      <c r="M3064" s="178">
        <v>1746.72</v>
      </c>
      <c r="N3064" s="179">
        <v>0</v>
      </c>
      <c r="O3064" s="178">
        <v>1818.47</v>
      </c>
      <c r="P3064" s="453"/>
      <c r="Q3064" s="61"/>
      <c r="R3064" s="298"/>
      <c r="S3064" s="669"/>
      <c r="X3064" s="444">
        <v>3064</v>
      </c>
    </row>
    <row r="3065" spans="1:32" ht="12">
      <c r="A3065" s="83" t="s">
        <v>23328</v>
      </c>
      <c r="B3065" s="64" t="s">
        <v>23329</v>
      </c>
      <c r="C3065" s="71" t="s">
        <v>103</v>
      </c>
      <c r="D3065" s="79">
        <v>1</v>
      </c>
      <c r="E3065" s="79">
        <v>1843.5700000000002</v>
      </c>
      <c r="F3065" s="79">
        <v>1843.57</v>
      </c>
      <c r="G3065" s="445"/>
      <c r="H3065" s="178">
        <v>1843.57</v>
      </c>
      <c r="I3065" s="178">
        <v>2267.59</v>
      </c>
      <c r="J3065" s="70">
        <v>-424.02</v>
      </c>
      <c r="K3065" s="320"/>
      <c r="L3065" s="178">
        <v>71.75</v>
      </c>
      <c r="M3065" s="178">
        <v>1771.8200000000002</v>
      </c>
      <c r="N3065" s="179">
        <v>0</v>
      </c>
      <c r="O3065" s="178">
        <v>1843.5700000000002</v>
      </c>
      <c r="P3065" s="453"/>
      <c r="Q3065" s="61"/>
      <c r="R3065" s="298"/>
      <c r="S3065" s="669"/>
      <c r="U3065" s="73"/>
      <c r="V3065" s="73"/>
      <c r="W3065" s="73"/>
      <c r="X3065" s="444">
        <v>3065</v>
      </c>
      <c r="Y3065" s="73"/>
      <c r="Z3065" s="73"/>
      <c r="AA3065" s="73"/>
      <c r="AB3065" s="73"/>
      <c r="AC3065" s="73"/>
      <c r="AD3065" s="73"/>
      <c r="AE3065" s="73"/>
      <c r="AF3065" s="73"/>
    </row>
    <row r="3066" spans="1:32" ht="12">
      <c r="A3066" s="83" t="s">
        <v>23330</v>
      </c>
      <c r="B3066" s="64" t="s">
        <v>40012</v>
      </c>
      <c r="C3066" s="71" t="s">
        <v>103</v>
      </c>
      <c r="D3066" s="79">
        <v>1</v>
      </c>
      <c r="E3066" s="79">
        <v>91261.779999999984</v>
      </c>
      <c r="F3066" s="79">
        <v>91261.78</v>
      </c>
      <c r="G3066" s="445"/>
      <c r="H3066" s="178">
        <v>91261.759999999995</v>
      </c>
      <c r="I3066" s="178">
        <v>112251.96</v>
      </c>
      <c r="J3066" s="70">
        <v>-20990.180000000022</v>
      </c>
      <c r="K3066" s="320"/>
      <c r="L3066" s="178">
        <v>8878.73</v>
      </c>
      <c r="M3066" s="178">
        <v>82383.049999999988</v>
      </c>
      <c r="N3066" s="179">
        <v>0</v>
      </c>
      <c r="O3066" s="178">
        <v>91261.779999999984</v>
      </c>
      <c r="P3066" s="453"/>
      <c r="Q3066" s="61"/>
      <c r="R3066" s="298"/>
      <c r="S3066" s="669"/>
      <c r="X3066" s="444">
        <v>3066</v>
      </c>
    </row>
    <row r="3067" spans="1:32" ht="12">
      <c r="A3067" s="83" t="s">
        <v>23331</v>
      </c>
      <c r="B3067" s="64" t="s">
        <v>23332</v>
      </c>
      <c r="C3067" s="71" t="s">
        <v>509</v>
      </c>
      <c r="D3067" s="79">
        <v>1</v>
      </c>
      <c r="E3067" s="79">
        <v>149.17999999999998</v>
      </c>
      <c r="F3067" s="79">
        <v>149.18</v>
      </c>
      <c r="G3067" s="445"/>
      <c r="H3067" s="178">
        <v>149.18</v>
      </c>
      <c r="I3067" s="178">
        <v>183.49</v>
      </c>
      <c r="J3067" s="70">
        <v>-34.310000000000031</v>
      </c>
      <c r="K3067" s="320"/>
      <c r="L3067" s="178">
        <v>14.790000000000001</v>
      </c>
      <c r="M3067" s="178">
        <v>134.38999999999999</v>
      </c>
      <c r="N3067" s="179">
        <v>0</v>
      </c>
      <c r="O3067" s="178">
        <v>149.17999999999998</v>
      </c>
      <c r="P3067" s="453"/>
      <c r="Q3067" s="61"/>
      <c r="R3067" s="298"/>
      <c r="S3067" s="669"/>
      <c r="U3067" s="73"/>
      <c r="V3067" s="73"/>
      <c r="W3067" s="73"/>
      <c r="X3067" s="444">
        <v>3067</v>
      </c>
      <c r="Y3067" s="73"/>
      <c r="Z3067" s="73"/>
      <c r="AA3067" s="73"/>
      <c r="AB3067" s="73"/>
      <c r="AC3067" s="73"/>
      <c r="AD3067" s="73"/>
      <c r="AE3067" s="73"/>
      <c r="AF3067" s="73"/>
    </row>
    <row r="3068" spans="1:32" ht="12">
      <c r="A3068" s="83" t="s">
        <v>23333</v>
      </c>
      <c r="B3068" s="64" t="s">
        <v>23334</v>
      </c>
      <c r="C3068" s="71" t="s">
        <v>165</v>
      </c>
      <c r="D3068" s="79">
        <v>1</v>
      </c>
      <c r="E3068" s="79">
        <v>1404.98</v>
      </c>
      <c r="F3068" s="79">
        <v>1404.98</v>
      </c>
      <c r="G3068" s="445"/>
      <c r="H3068" s="178">
        <v>1404.97</v>
      </c>
      <c r="I3068" s="178">
        <v>1728.11</v>
      </c>
      <c r="J3068" s="70">
        <v>-323.12999999999988</v>
      </c>
      <c r="K3068" s="320"/>
      <c r="L3068" s="178">
        <v>661.43000000000006</v>
      </c>
      <c r="M3068" s="178">
        <v>743.55</v>
      </c>
      <c r="N3068" s="179">
        <v>0</v>
      </c>
      <c r="O3068" s="178">
        <v>1404.98</v>
      </c>
      <c r="P3068" s="453"/>
      <c r="Q3068" s="61"/>
      <c r="R3068" s="298"/>
      <c r="S3068" s="669"/>
      <c r="X3068" s="444">
        <v>3068</v>
      </c>
    </row>
    <row r="3069" spans="1:32" ht="12">
      <c r="A3069" s="83" t="s">
        <v>23335</v>
      </c>
      <c r="B3069" s="64" t="s">
        <v>23336</v>
      </c>
      <c r="C3069" s="71" t="s">
        <v>165</v>
      </c>
      <c r="D3069" s="79">
        <v>1</v>
      </c>
      <c r="E3069" s="79">
        <v>1285.31</v>
      </c>
      <c r="F3069" s="79">
        <v>1285.31</v>
      </c>
      <c r="G3069" s="445"/>
      <c r="H3069" s="178">
        <v>1285.29</v>
      </c>
      <c r="I3069" s="178">
        <v>1580.91</v>
      </c>
      <c r="J3069" s="70">
        <v>-295.60000000000014</v>
      </c>
      <c r="K3069" s="320"/>
      <c r="L3069" s="178">
        <v>598.11</v>
      </c>
      <c r="M3069" s="178">
        <v>687.19999999999993</v>
      </c>
      <c r="N3069" s="179">
        <v>0</v>
      </c>
      <c r="O3069" s="178">
        <v>1285.31</v>
      </c>
      <c r="P3069" s="453"/>
      <c r="Q3069" s="61"/>
      <c r="R3069" s="298"/>
      <c r="S3069" s="669"/>
      <c r="X3069" s="444">
        <v>3069</v>
      </c>
    </row>
    <row r="3070" spans="1:32" ht="24">
      <c r="A3070" s="83" t="s">
        <v>23337</v>
      </c>
      <c r="B3070" s="64" t="s">
        <v>40013</v>
      </c>
      <c r="C3070" s="71" t="s">
        <v>103</v>
      </c>
      <c r="D3070" s="79">
        <v>1</v>
      </c>
      <c r="E3070" s="79">
        <v>7227.8700000000008</v>
      </c>
      <c r="F3070" s="79">
        <v>7227.87</v>
      </c>
      <c r="G3070" s="445"/>
      <c r="H3070" s="178">
        <v>7227.84</v>
      </c>
      <c r="I3070" s="178">
        <v>8890.24</v>
      </c>
      <c r="J3070" s="70">
        <v>-1662.369999999999</v>
      </c>
      <c r="K3070" s="320"/>
      <c r="L3070" s="178">
        <v>1837.96</v>
      </c>
      <c r="M3070" s="178">
        <v>5389.9100000000008</v>
      </c>
      <c r="N3070" s="179">
        <v>0</v>
      </c>
      <c r="O3070" s="178">
        <v>7227.8700000000008</v>
      </c>
      <c r="P3070" s="453"/>
      <c r="Q3070" s="61"/>
      <c r="R3070" s="298"/>
      <c r="S3070" s="669"/>
      <c r="X3070" s="444">
        <v>3070</v>
      </c>
    </row>
    <row r="3071" spans="1:32" ht="12">
      <c r="A3071" s="83" t="s">
        <v>23338</v>
      </c>
      <c r="B3071" s="64" t="s">
        <v>23339</v>
      </c>
      <c r="C3071" s="71" t="s">
        <v>165</v>
      </c>
      <c r="D3071" s="79">
        <v>1</v>
      </c>
      <c r="E3071" s="79">
        <v>993.29999999999973</v>
      </c>
      <c r="F3071" s="79">
        <v>993.3</v>
      </c>
      <c r="G3071" s="445"/>
      <c r="H3071" s="178">
        <v>993.3</v>
      </c>
      <c r="I3071" s="178">
        <v>1221.76</v>
      </c>
      <c r="J3071" s="70">
        <v>-228.46000000000026</v>
      </c>
      <c r="K3071" s="320"/>
      <c r="L3071" s="178">
        <v>481.56</v>
      </c>
      <c r="M3071" s="178">
        <v>511.73999999999972</v>
      </c>
      <c r="N3071" s="179">
        <v>0</v>
      </c>
      <c r="O3071" s="178">
        <v>993.29999999999973</v>
      </c>
      <c r="P3071" s="453"/>
      <c r="Q3071" s="61"/>
      <c r="R3071" s="298"/>
      <c r="S3071" s="669"/>
      <c r="X3071" s="444">
        <v>3071</v>
      </c>
    </row>
    <row r="3072" spans="1:32" ht="12">
      <c r="A3072" s="83" t="s">
        <v>23340</v>
      </c>
      <c r="B3072" s="64" t="s">
        <v>23341</v>
      </c>
      <c r="C3072" s="71" t="s">
        <v>509</v>
      </c>
      <c r="D3072" s="79">
        <v>1</v>
      </c>
      <c r="E3072" s="79">
        <v>175.94000000000003</v>
      </c>
      <c r="F3072" s="79">
        <v>175.94</v>
      </c>
      <c r="G3072" s="445"/>
      <c r="H3072" s="178">
        <v>175.94</v>
      </c>
      <c r="I3072" s="178">
        <v>216.41</v>
      </c>
      <c r="J3072" s="70">
        <v>-40.46999999999997</v>
      </c>
      <c r="K3072" s="320"/>
      <c r="L3072" s="178">
        <v>35.900000000000006</v>
      </c>
      <c r="M3072" s="178">
        <v>140.04000000000002</v>
      </c>
      <c r="N3072" s="179">
        <v>0</v>
      </c>
      <c r="O3072" s="178">
        <v>175.94000000000003</v>
      </c>
      <c r="P3072" s="453"/>
      <c r="Q3072" s="61"/>
      <c r="R3072" s="298"/>
      <c r="S3072" s="669"/>
      <c r="X3072" s="444">
        <v>3072</v>
      </c>
    </row>
    <row r="3073" spans="1:32" ht="12">
      <c r="A3073" s="83" t="s">
        <v>23342</v>
      </c>
      <c r="B3073" s="64" t="s">
        <v>23343</v>
      </c>
      <c r="C3073" s="71" t="s">
        <v>165</v>
      </c>
      <c r="D3073" s="79">
        <v>1</v>
      </c>
      <c r="E3073" s="79">
        <v>851.22999999999968</v>
      </c>
      <c r="F3073" s="79">
        <v>851.23</v>
      </c>
      <c r="G3073" s="445"/>
      <c r="H3073" s="178">
        <v>851.24</v>
      </c>
      <c r="I3073" s="178">
        <v>1047.02</v>
      </c>
      <c r="J3073" s="70">
        <v>-195.7900000000003</v>
      </c>
      <c r="K3073" s="320"/>
      <c r="L3073" s="178">
        <v>393.61</v>
      </c>
      <c r="M3073" s="178">
        <v>457.61999999999966</v>
      </c>
      <c r="N3073" s="179">
        <v>0</v>
      </c>
      <c r="O3073" s="178">
        <v>851.22999999999968</v>
      </c>
      <c r="P3073" s="453"/>
      <c r="Q3073" s="61"/>
      <c r="R3073" s="298"/>
      <c r="S3073" s="669"/>
      <c r="X3073" s="444">
        <v>3073</v>
      </c>
    </row>
    <row r="3074" spans="1:32" ht="12">
      <c r="A3074" s="83" t="s">
        <v>23344</v>
      </c>
      <c r="B3074" s="64" t="s">
        <v>23345</v>
      </c>
      <c r="C3074" s="71" t="s">
        <v>509</v>
      </c>
      <c r="D3074" s="79">
        <v>1</v>
      </c>
      <c r="E3074" s="79">
        <v>215.82000000000002</v>
      </c>
      <c r="F3074" s="79">
        <v>215.82</v>
      </c>
      <c r="G3074" s="445"/>
      <c r="H3074" s="178">
        <v>215.82</v>
      </c>
      <c r="I3074" s="178">
        <v>265.45999999999998</v>
      </c>
      <c r="J3074" s="70">
        <v>-49.639999999999958</v>
      </c>
      <c r="K3074" s="320"/>
      <c r="L3074" s="178">
        <v>113.91</v>
      </c>
      <c r="M3074" s="178">
        <v>101.91000000000003</v>
      </c>
      <c r="N3074" s="179">
        <v>0</v>
      </c>
      <c r="O3074" s="178">
        <v>215.82000000000002</v>
      </c>
      <c r="P3074" s="453"/>
      <c r="Q3074" s="61"/>
      <c r="R3074" s="298"/>
      <c r="S3074" s="669"/>
      <c r="X3074" s="444">
        <v>3074</v>
      </c>
    </row>
    <row r="3075" spans="1:32" ht="12">
      <c r="A3075" s="83" t="s">
        <v>23346</v>
      </c>
      <c r="B3075" s="64" t="s">
        <v>23347</v>
      </c>
      <c r="C3075" s="71" t="s">
        <v>103</v>
      </c>
      <c r="D3075" s="79">
        <v>1</v>
      </c>
      <c r="E3075" s="79">
        <v>24709.809999999998</v>
      </c>
      <c r="F3075" s="79">
        <v>24709.81</v>
      </c>
      <c r="G3075" s="445"/>
      <c r="H3075" s="178">
        <v>24709.81</v>
      </c>
      <c r="I3075" s="178">
        <v>30393.07</v>
      </c>
      <c r="J3075" s="70">
        <v>-5683.260000000002</v>
      </c>
      <c r="K3075" s="320"/>
      <c r="L3075" s="178">
        <v>2367.65</v>
      </c>
      <c r="M3075" s="178">
        <v>22342.159999999996</v>
      </c>
      <c r="N3075" s="179">
        <v>0</v>
      </c>
      <c r="O3075" s="178">
        <v>24709.809999999998</v>
      </c>
      <c r="P3075" s="453"/>
      <c r="Q3075" s="61"/>
      <c r="R3075" s="298"/>
      <c r="S3075" s="669"/>
      <c r="X3075" s="444">
        <v>3075</v>
      </c>
    </row>
    <row r="3076" spans="1:32" ht="12">
      <c r="A3076" s="83" t="s">
        <v>23348</v>
      </c>
      <c r="B3076" s="64" t="s">
        <v>23349</v>
      </c>
      <c r="C3076" s="71" t="s">
        <v>10216</v>
      </c>
      <c r="D3076" s="79">
        <v>1</v>
      </c>
      <c r="E3076" s="79">
        <v>577.26</v>
      </c>
      <c r="F3076" s="79">
        <v>577.26</v>
      </c>
      <c r="G3076" s="445"/>
      <c r="H3076" s="178">
        <v>577.25</v>
      </c>
      <c r="I3076" s="178">
        <v>710.02</v>
      </c>
      <c r="J3076" s="70">
        <v>-132.76</v>
      </c>
      <c r="K3076" s="320"/>
      <c r="L3076" s="178"/>
      <c r="M3076" s="178">
        <v>577.26</v>
      </c>
      <c r="N3076" s="179">
        <v>0</v>
      </c>
      <c r="O3076" s="178">
        <v>577.26</v>
      </c>
      <c r="P3076" s="453"/>
      <c r="Q3076" s="61"/>
      <c r="R3076" s="298"/>
      <c r="S3076" s="669"/>
      <c r="X3076" s="444">
        <v>3076</v>
      </c>
    </row>
    <row r="3077" spans="1:32" ht="12">
      <c r="A3077" s="83" t="s">
        <v>40014</v>
      </c>
      <c r="B3077" s="64" t="s">
        <v>40015</v>
      </c>
      <c r="C3077" s="71"/>
      <c r="D3077" s="79" t="s">
        <v>40899</v>
      </c>
      <c r="E3077" s="79" t="s">
        <v>40899</v>
      </c>
      <c r="F3077" s="79"/>
      <c r="G3077" s="445"/>
      <c r="H3077" s="178"/>
      <c r="I3077" s="178"/>
      <c r="J3077" s="70"/>
      <c r="K3077" s="320"/>
      <c r="L3077" s="178"/>
      <c r="M3077" s="178"/>
      <c r="N3077" s="179"/>
      <c r="O3077" s="178"/>
      <c r="P3077" s="453"/>
      <c r="Q3077" s="61"/>
      <c r="R3077" s="298"/>
      <c r="S3077" s="669"/>
      <c r="X3077" s="444">
        <v>3077</v>
      </c>
    </row>
    <row r="3078" spans="1:32" s="69" customFormat="1" ht="12">
      <c r="A3078" s="83" t="s">
        <v>23350</v>
      </c>
      <c r="B3078" s="64" t="s">
        <v>23351</v>
      </c>
      <c r="C3078" s="71" t="s">
        <v>165</v>
      </c>
      <c r="D3078" s="79">
        <v>1</v>
      </c>
      <c r="E3078" s="79">
        <v>54.17</v>
      </c>
      <c r="F3078" s="79">
        <v>54.17</v>
      </c>
      <c r="G3078" s="445"/>
      <c r="H3078" s="178">
        <v>54.17</v>
      </c>
      <c r="I3078" s="178">
        <v>66.63</v>
      </c>
      <c r="J3078" s="70">
        <v>-12.459999999999994</v>
      </c>
      <c r="K3078" s="320"/>
      <c r="L3078" s="178">
        <v>30.13</v>
      </c>
      <c r="M3078" s="178">
        <v>24.040000000000003</v>
      </c>
      <c r="N3078" s="179">
        <v>0</v>
      </c>
      <c r="O3078" s="178">
        <v>54.17</v>
      </c>
      <c r="P3078" s="453"/>
      <c r="Q3078" s="61"/>
      <c r="R3078" s="298"/>
      <c r="S3078" s="669"/>
      <c r="T3078" s="444"/>
      <c r="U3078" s="444"/>
      <c r="V3078" s="444"/>
      <c r="W3078" s="444"/>
      <c r="X3078" s="444">
        <v>3078</v>
      </c>
      <c r="Y3078" s="444"/>
      <c r="Z3078" s="444"/>
      <c r="AA3078" s="444"/>
      <c r="AB3078" s="444"/>
      <c r="AC3078" s="444"/>
      <c r="AD3078" s="444"/>
      <c r="AE3078" s="444"/>
      <c r="AF3078" s="444"/>
    </row>
    <row r="3079" spans="1:32" ht="12">
      <c r="A3079" s="83" t="s">
        <v>23352</v>
      </c>
      <c r="B3079" s="64" t="s">
        <v>23353</v>
      </c>
      <c r="C3079" s="71" t="s">
        <v>165</v>
      </c>
      <c r="D3079" s="79">
        <v>1</v>
      </c>
      <c r="E3079" s="79">
        <v>78.19</v>
      </c>
      <c r="F3079" s="79">
        <v>78.19</v>
      </c>
      <c r="G3079" s="445"/>
      <c r="H3079" s="178">
        <v>78.19</v>
      </c>
      <c r="I3079" s="178">
        <v>96.17</v>
      </c>
      <c r="J3079" s="70">
        <v>-17.980000000000004</v>
      </c>
      <c r="K3079" s="320"/>
      <c r="L3079" s="178">
        <v>42.05</v>
      </c>
      <c r="M3079" s="178">
        <v>36.14</v>
      </c>
      <c r="N3079" s="179">
        <v>0</v>
      </c>
      <c r="O3079" s="178">
        <v>78.19</v>
      </c>
      <c r="P3079" s="453"/>
      <c r="Q3079" s="61"/>
      <c r="R3079" s="298"/>
      <c r="S3079" s="669"/>
      <c r="X3079" s="444">
        <v>3079</v>
      </c>
    </row>
    <row r="3080" spans="1:32" ht="12">
      <c r="A3080" s="83" t="s">
        <v>23354</v>
      </c>
      <c r="B3080" s="64" t="s">
        <v>23355</v>
      </c>
      <c r="C3080" s="71" t="s">
        <v>103</v>
      </c>
      <c r="D3080" s="79">
        <v>1</v>
      </c>
      <c r="E3080" s="79">
        <v>656.56</v>
      </c>
      <c r="F3080" s="79">
        <v>656.56</v>
      </c>
      <c r="G3080" s="445"/>
      <c r="H3080" s="178">
        <v>656.54</v>
      </c>
      <c r="I3080" s="178">
        <v>807.54</v>
      </c>
      <c r="J3080" s="70">
        <v>-150.98000000000002</v>
      </c>
      <c r="K3080" s="320"/>
      <c r="L3080" s="178">
        <v>300.59000000000003</v>
      </c>
      <c r="M3080" s="178">
        <v>355.96999999999991</v>
      </c>
      <c r="N3080" s="179">
        <v>0</v>
      </c>
      <c r="O3080" s="178">
        <v>656.56</v>
      </c>
      <c r="P3080" s="453"/>
      <c r="Q3080" s="61"/>
      <c r="R3080" s="298"/>
      <c r="S3080" s="669"/>
      <c r="X3080" s="444">
        <v>3080</v>
      </c>
    </row>
    <row r="3081" spans="1:32" ht="12">
      <c r="A3081" s="83" t="s">
        <v>23356</v>
      </c>
      <c r="B3081" s="64" t="s">
        <v>23357</v>
      </c>
      <c r="C3081" s="71" t="s">
        <v>165</v>
      </c>
      <c r="D3081" s="79">
        <v>1</v>
      </c>
      <c r="E3081" s="79">
        <v>173.56000000000003</v>
      </c>
      <c r="F3081" s="79">
        <v>173.56</v>
      </c>
      <c r="G3081" s="445"/>
      <c r="H3081" s="178">
        <v>173.54</v>
      </c>
      <c r="I3081" s="178">
        <v>213.46</v>
      </c>
      <c r="J3081" s="70">
        <v>-39.899999999999977</v>
      </c>
      <c r="K3081" s="320"/>
      <c r="L3081" s="178">
        <v>118.55000000000001</v>
      </c>
      <c r="M3081" s="178">
        <v>55.010000000000019</v>
      </c>
      <c r="N3081" s="179">
        <v>0</v>
      </c>
      <c r="O3081" s="178">
        <v>173.56000000000003</v>
      </c>
      <c r="P3081" s="453"/>
      <c r="Q3081" s="61"/>
      <c r="R3081" s="298"/>
      <c r="S3081" s="669"/>
      <c r="X3081" s="444">
        <v>3081</v>
      </c>
    </row>
    <row r="3082" spans="1:32" ht="12">
      <c r="A3082" s="83" t="s">
        <v>23358</v>
      </c>
      <c r="B3082" s="64" t="s">
        <v>23359</v>
      </c>
      <c r="C3082" s="71" t="s">
        <v>165</v>
      </c>
      <c r="D3082" s="79">
        <v>1</v>
      </c>
      <c r="E3082" s="79">
        <v>177.16000000000003</v>
      </c>
      <c r="F3082" s="79">
        <v>177.16</v>
      </c>
      <c r="G3082" s="445"/>
      <c r="H3082" s="178">
        <v>177.15</v>
      </c>
      <c r="I3082" s="178">
        <v>217.89</v>
      </c>
      <c r="J3082" s="70">
        <v>-40.729999999999961</v>
      </c>
      <c r="K3082" s="320"/>
      <c r="L3082" s="178">
        <v>120.81</v>
      </c>
      <c r="M3082" s="178">
        <v>56.350000000000023</v>
      </c>
      <c r="N3082" s="179">
        <v>0</v>
      </c>
      <c r="O3082" s="178">
        <v>177.16000000000003</v>
      </c>
      <c r="P3082" s="453"/>
      <c r="Q3082" s="61"/>
      <c r="R3082" s="298"/>
      <c r="S3082" s="669"/>
      <c r="X3082" s="444">
        <v>3082</v>
      </c>
    </row>
    <row r="3083" spans="1:32" s="69" customFormat="1" ht="12">
      <c r="A3083" s="83" t="s">
        <v>23360</v>
      </c>
      <c r="B3083" s="64" t="s">
        <v>23361</v>
      </c>
      <c r="C3083" s="71" t="s">
        <v>165</v>
      </c>
      <c r="D3083" s="79">
        <v>1</v>
      </c>
      <c r="E3083" s="79">
        <v>184.51000000000002</v>
      </c>
      <c r="F3083" s="79">
        <v>184.51</v>
      </c>
      <c r="G3083" s="445"/>
      <c r="H3083" s="178">
        <v>184.49</v>
      </c>
      <c r="I3083" s="178">
        <v>226.92</v>
      </c>
      <c r="J3083" s="70">
        <v>-42.409999999999968</v>
      </c>
      <c r="K3083" s="320"/>
      <c r="L3083" s="178">
        <v>125.47</v>
      </c>
      <c r="M3083" s="178">
        <v>59.04000000000002</v>
      </c>
      <c r="N3083" s="179">
        <v>0</v>
      </c>
      <c r="O3083" s="178">
        <v>184.51000000000002</v>
      </c>
      <c r="P3083" s="453"/>
      <c r="Q3083" s="61"/>
      <c r="R3083" s="298"/>
      <c r="S3083" s="669"/>
      <c r="T3083" s="444"/>
      <c r="U3083" s="444"/>
      <c r="V3083" s="444"/>
      <c r="W3083" s="444"/>
      <c r="X3083" s="444">
        <v>3083</v>
      </c>
      <c r="Y3083" s="444"/>
      <c r="Z3083" s="444"/>
      <c r="AA3083" s="444"/>
      <c r="AB3083" s="444"/>
      <c r="AC3083" s="444"/>
      <c r="AD3083" s="444"/>
      <c r="AE3083" s="444"/>
      <c r="AF3083" s="444"/>
    </row>
    <row r="3084" spans="1:32" ht="12">
      <c r="A3084" s="83" t="s">
        <v>23362</v>
      </c>
      <c r="B3084" s="64" t="s">
        <v>23363</v>
      </c>
      <c r="C3084" s="71" t="s">
        <v>165</v>
      </c>
      <c r="D3084" s="79">
        <v>1</v>
      </c>
      <c r="E3084" s="79">
        <v>70.08</v>
      </c>
      <c r="F3084" s="79">
        <v>70.08</v>
      </c>
      <c r="G3084" s="445"/>
      <c r="H3084" s="178">
        <v>70.069999999999993</v>
      </c>
      <c r="I3084" s="178">
        <v>86.19</v>
      </c>
      <c r="J3084" s="70">
        <v>-16.11</v>
      </c>
      <c r="K3084" s="320"/>
      <c r="L3084" s="178">
        <v>27.75</v>
      </c>
      <c r="M3084" s="178">
        <v>42.33</v>
      </c>
      <c r="N3084" s="179">
        <v>0</v>
      </c>
      <c r="O3084" s="178">
        <v>70.08</v>
      </c>
      <c r="P3084" s="453"/>
      <c r="Q3084" s="61"/>
      <c r="R3084" s="298"/>
      <c r="S3084" s="669"/>
      <c r="X3084" s="444">
        <v>3084</v>
      </c>
    </row>
    <row r="3085" spans="1:32" ht="12">
      <c r="A3085" s="83" t="s">
        <v>23364</v>
      </c>
      <c r="B3085" s="64" t="s">
        <v>23365</v>
      </c>
      <c r="C3085" s="71" t="s">
        <v>165</v>
      </c>
      <c r="D3085" s="79">
        <v>1</v>
      </c>
      <c r="E3085" s="79">
        <v>91.3</v>
      </c>
      <c r="F3085" s="79">
        <v>91.3</v>
      </c>
      <c r="G3085" s="445"/>
      <c r="H3085" s="178">
        <v>91.29</v>
      </c>
      <c r="I3085" s="178">
        <v>112.29</v>
      </c>
      <c r="J3085" s="70">
        <v>-20.990000000000009</v>
      </c>
      <c r="K3085" s="320"/>
      <c r="L3085" s="178">
        <v>35.590000000000003</v>
      </c>
      <c r="M3085" s="178">
        <v>55.709999999999994</v>
      </c>
      <c r="N3085" s="179">
        <v>0</v>
      </c>
      <c r="O3085" s="178">
        <v>91.3</v>
      </c>
      <c r="P3085" s="453"/>
      <c r="Q3085" s="61"/>
      <c r="R3085" s="298"/>
      <c r="S3085" s="669"/>
      <c r="X3085" s="444">
        <v>3085</v>
      </c>
    </row>
    <row r="3086" spans="1:32" s="69" customFormat="1" ht="12">
      <c r="A3086" s="83" t="s">
        <v>23366</v>
      </c>
      <c r="B3086" s="64" t="s">
        <v>23367</v>
      </c>
      <c r="C3086" s="71" t="s">
        <v>165</v>
      </c>
      <c r="D3086" s="79">
        <v>1</v>
      </c>
      <c r="E3086" s="79">
        <v>118.86000000000001</v>
      </c>
      <c r="F3086" s="79">
        <v>118.86</v>
      </c>
      <c r="G3086" s="445"/>
      <c r="H3086" s="178">
        <v>118.84</v>
      </c>
      <c r="I3086" s="178">
        <v>146.16999999999999</v>
      </c>
      <c r="J3086" s="70">
        <v>-27.309999999999974</v>
      </c>
      <c r="K3086" s="320"/>
      <c r="L3086" s="178">
        <v>46.09</v>
      </c>
      <c r="M3086" s="178">
        <v>72.77000000000001</v>
      </c>
      <c r="N3086" s="179">
        <v>0</v>
      </c>
      <c r="O3086" s="178">
        <v>118.86000000000001</v>
      </c>
      <c r="P3086" s="453"/>
      <c r="Q3086" s="61"/>
      <c r="R3086" s="298"/>
      <c r="S3086" s="669"/>
      <c r="T3086" s="444"/>
      <c r="U3086" s="444"/>
      <c r="V3086" s="444"/>
      <c r="W3086" s="444"/>
      <c r="X3086" s="444">
        <v>3086</v>
      </c>
      <c r="Y3086" s="444"/>
      <c r="Z3086" s="444"/>
      <c r="AA3086" s="444"/>
      <c r="AB3086" s="444"/>
      <c r="AC3086" s="444"/>
      <c r="AD3086" s="444"/>
      <c r="AE3086" s="444"/>
      <c r="AF3086" s="444"/>
    </row>
    <row r="3087" spans="1:32" ht="12">
      <c r="A3087" s="83" t="s">
        <v>23368</v>
      </c>
      <c r="B3087" s="64" t="s">
        <v>23369</v>
      </c>
      <c r="C3087" s="71" t="s">
        <v>165</v>
      </c>
      <c r="D3087" s="79">
        <v>1</v>
      </c>
      <c r="E3087" s="79">
        <v>156.57</v>
      </c>
      <c r="F3087" s="79">
        <v>156.57</v>
      </c>
      <c r="G3087" s="445"/>
      <c r="H3087" s="178">
        <v>156.57</v>
      </c>
      <c r="I3087" s="178">
        <v>192.58</v>
      </c>
      <c r="J3087" s="70">
        <v>-36.010000000000019</v>
      </c>
      <c r="K3087" s="320"/>
      <c r="L3087" s="178">
        <v>57.92</v>
      </c>
      <c r="M3087" s="178">
        <v>98.649999999999991</v>
      </c>
      <c r="N3087" s="179">
        <v>0</v>
      </c>
      <c r="O3087" s="178">
        <v>156.57</v>
      </c>
      <c r="P3087" s="453"/>
      <c r="Q3087" s="61"/>
      <c r="R3087" s="298"/>
      <c r="S3087" s="669"/>
      <c r="X3087" s="444">
        <v>3087</v>
      </c>
    </row>
    <row r="3088" spans="1:32" ht="12">
      <c r="A3088" s="83" t="s">
        <v>23370</v>
      </c>
      <c r="B3088" s="64" t="s">
        <v>23371</v>
      </c>
      <c r="C3088" s="71" t="s">
        <v>165</v>
      </c>
      <c r="D3088" s="79">
        <v>1</v>
      </c>
      <c r="E3088" s="79">
        <v>133.88</v>
      </c>
      <c r="F3088" s="79">
        <v>133.88</v>
      </c>
      <c r="G3088" s="445"/>
      <c r="H3088" s="178">
        <v>133.87</v>
      </c>
      <c r="I3088" s="178">
        <v>164.66</v>
      </c>
      <c r="J3088" s="70">
        <v>-30.78</v>
      </c>
      <c r="K3088" s="320"/>
      <c r="L3088" s="178">
        <v>17.939999999999998</v>
      </c>
      <c r="M3088" s="178">
        <v>115.94</v>
      </c>
      <c r="N3088" s="179">
        <v>0</v>
      </c>
      <c r="O3088" s="178">
        <v>133.88</v>
      </c>
      <c r="P3088" s="453"/>
      <c r="Q3088" s="61"/>
      <c r="R3088" s="298"/>
      <c r="S3088" s="669"/>
      <c r="X3088" s="444">
        <v>3088</v>
      </c>
    </row>
    <row r="3089" spans="1:32" ht="12">
      <c r="A3089" s="83" t="s">
        <v>23372</v>
      </c>
      <c r="B3089" s="64" t="s">
        <v>23373</v>
      </c>
      <c r="C3089" s="71" t="s">
        <v>165</v>
      </c>
      <c r="D3089" s="79">
        <v>1</v>
      </c>
      <c r="E3089" s="79">
        <v>192.21</v>
      </c>
      <c r="F3089" s="79">
        <v>192.21</v>
      </c>
      <c r="G3089" s="445"/>
      <c r="H3089" s="178">
        <v>192.2</v>
      </c>
      <c r="I3089" s="178">
        <v>236.41</v>
      </c>
      <c r="J3089" s="70">
        <v>-44.199999999999989</v>
      </c>
      <c r="K3089" s="320"/>
      <c r="L3089" s="178">
        <v>17.939999999999998</v>
      </c>
      <c r="M3089" s="178">
        <v>174.27</v>
      </c>
      <c r="N3089" s="179">
        <v>0</v>
      </c>
      <c r="O3089" s="178">
        <v>192.21</v>
      </c>
      <c r="P3089" s="453"/>
      <c r="Q3089" s="61"/>
      <c r="R3089" s="298"/>
      <c r="S3089" s="669"/>
      <c r="X3089" s="444">
        <v>3089</v>
      </c>
    </row>
    <row r="3090" spans="1:32" ht="12">
      <c r="A3090" s="83" t="s">
        <v>23374</v>
      </c>
      <c r="B3090" s="64" t="s">
        <v>23375</v>
      </c>
      <c r="C3090" s="71" t="s">
        <v>165</v>
      </c>
      <c r="D3090" s="79">
        <v>1</v>
      </c>
      <c r="E3090" s="79">
        <v>161.01</v>
      </c>
      <c r="F3090" s="79">
        <v>161.01</v>
      </c>
      <c r="G3090" s="445"/>
      <c r="H3090" s="178">
        <v>161.01</v>
      </c>
      <c r="I3090" s="178">
        <v>198.04</v>
      </c>
      <c r="J3090" s="70">
        <v>-37.03</v>
      </c>
      <c r="K3090" s="320"/>
      <c r="L3090" s="178">
        <v>17.939999999999998</v>
      </c>
      <c r="M3090" s="178">
        <v>143.07</v>
      </c>
      <c r="N3090" s="179">
        <v>0</v>
      </c>
      <c r="O3090" s="178">
        <v>161.01</v>
      </c>
      <c r="P3090" s="453"/>
      <c r="Q3090" s="61"/>
      <c r="R3090" s="298"/>
      <c r="S3090" s="669"/>
      <c r="X3090" s="444">
        <v>3090</v>
      </c>
    </row>
    <row r="3091" spans="1:32" ht="12">
      <c r="A3091" s="83" t="s">
        <v>23376</v>
      </c>
      <c r="B3091" s="64" t="s">
        <v>23377</v>
      </c>
      <c r="C3091" s="71" t="s">
        <v>165</v>
      </c>
      <c r="D3091" s="79">
        <v>1</v>
      </c>
      <c r="E3091" s="79">
        <v>609.03</v>
      </c>
      <c r="F3091" s="79">
        <v>609.03</v>
      </c>
      <c r="G3091" s="445"/>
      <c r="H3091" s="178">
        <v>609.02</v>
      </c>
      <c r="I3091" s="178">
        <v>749.09</v>
      </c>
      <c r="J3091" s="70">
        <v>-140.06000000000006</v>
      </c>
      <c r="K3091" s="320"/>
      <c r="L3091" s="178">
        <v>32.97</v>
      </c>
      <c r="M3091" s="178">
        <v>576.05999999999995</v>
      </c>
      <c r="N3091" s="179">
        <v>0</v>
      </c>
      <c r="O3091" s="178">
        <v>609.03</v>
      </c>
      <c r="P3091" s="453"/>
      <c r="Q3091" s="61"/>
      <c r="R3091" s="298"/>
      <c r="S3091" s="669"/>
      <c r="X3091" s="444">
        <v>3091</v>
      </c>
    </row>
    <row r="3092" spans="1:32" ht="12">
      <c r="A3092" s="83" t="s">
        <v>23378</v>
      </c>
      <c r="B3092" s="64" t="s">
        <v>23379</v>
      </c>
      <c r="C3092" s="71" t="s">
        <v>165</v>
      </c>
      <c r="D3092" s="79">
        <v>1</v>
      </c>
      <c r="E3092" s="79">
        <v>729.68999999999994</v>
      </c>
      <c r="F3092" s="79">
        <v>729.69</v>
      </c>
      <c r="G3092" s="445"/>
      <c r="H3092" s="178">
        <v>729.67</v>
      </c>
      <c r="I3092" s="178">
        <v>897.5</v>
      </c>
      <c r="J3092" s="70">
        <v>-167.81000000000006</v>
      </c>
      <c r="K3092" s="320"/>
      <c r="L3092" s="178">
        <v>32.97</v>
      </c>
      <c r="M3092" s="178">
        <v>696.71999999999991</v>
      </c>
      <c r="N3092" s="179">
        <v>0</v>
      </c>
      <c r="O3092" s="178">
        <v>729.68999999999994</v>
      </c>
      <c r="P3092" s="453"/>
      <c r="Q3092" s="61"/>
      <c r="R3092" s="298"/>
      <c r="S3092" s="669"/>
      <c r="U3092" s="61"/>
      <c r="V3092" s="61"/>
      <c r="W3092" s="61"/>
      <c r="X3092" s="444">
        <v>3092</v>
      </c>
      <c r="Y3092" s="61"/>
      <c r="Z3092" s="61"/>
      <c r="AA3092" s="61"/>
      <c r="AB3092" s="61"/>
      <c r="AC3092" s="61"/>
      <c r="AD3092" s="61"/>
      <c r="AE3092" s="61"/>
      <c r="AF3092" s="61"/>
    </row>
    <row r="3093" spans="1:32" ht="12">
      <c r="A3093" s="83" t="s">
        <v>23380</v>
      </c>
      <c r="B3093" s="64" t="s">
        <v>23381</v>
      </c>
      <c r="C3093" s="71" t="s">
        <v>165</v>
      </c>
      <c r="D3093" s="79">
        <v>1</v>
      </c>
      <c r="E3093" s="79">
        <v>843.57999999999993</v>
      </c>
      <c r="F3093" s="79">
        <v>843.58</v>
      </c>
      <c r="G3093" s="445"/>
      <c r="H3093" s="178">
        <v>843.57</v>
      </c>
      <c r="I3093" s="178">
        <v>1037.5899999999999</v>
      </c>
      <c r="J3093" s="70">
        <v>-194.01</v>
      </c>
      <c r="K3093" s="320"/>
      <c r="L3093" s="178">
        <v>32.97</v>
      </c>
      <c r="M3093" s="178">
        <v>810.6099999999999</v>
      </c>
      <c r="N3093" s="179">
        <v>0</v>
      </c>
      <c r="O3093" s="178">
        <v>843.57999999999993</v>
      </c>
      <c r="P3093" s="453"/>
      <c r="Q3093" s="61"/>
      <c r="R3093" s="298"/>
      <c r="S3093" s="669"/>
      <c r="U3093" s="61"/>
      <c r="V3093" s="61"/>
      <c r="W3093" s="61"/>
      <c r="X3093" s="444">
        <v>3093</v>
      </c>
      <c r="Y3093" s="61"/>
      <c r="Z3093" s="61"/>
      <c r="AA3093" s="61"/>
      <c r="AB3093" s="61"/>
      <c r="AC3093" s="61"/>
      <c r="AD3093" s="61"/>
      <c r="AE3093" s="61"/>
      <c r="AF3093" s="61"/>
    </row>
    <row r="3094" spans="1:32" ht="12">
      <c r="A3094" s="83" t="s">
        <v>23382</v>
      </c>
      <c r="B3094" s="64" t="s">
        <v>23383</v>
      </c>
      <c r="C3094" s="71" t="s">
        <v>165</v>
      </c>
      <c r="D3094" s="79">
        <v>1</v>
      </c>
      <c r="E3094" s="79">
        <v>94.46</v>
      </c>
      <c r="F3094" s="79">
        <v>94.46</v>
      </c>
      <c r="G3094" s="445"/>
      <c r="H3094" s="178">
        <v>94.45</v>
      </c>
      <c r="I3094" s="178">
        <v>116.17</v>
      </c>
      <c r="J3094" s="70">
        <v>-21.710000000000008</v>
      </c>
      <c r="K3094" s="320"/>
      <c r="L3094" s="178">
        <v>17.939999999999998</v>
      </c>
      <c r="M3094" s="178">
        <v>76.52</v>
      </c>
      <c r="N3094" s="179">
        <v>0</v>
      </c>
      <c r="O3094" s="178">
        <v>94.46</v>
      </c>
      <c r="P3094" s="453"/>
      <c r="Q3094" s="61"/>
      <c r="R3094" s="298"/>
      <c r="S3094" s="669"/>
      <c r="U3094" s="61"/>
      <c r="V3094" s="61"/>
      <c r="W3094" s="61"/>
      <c r="X3094" s="444">
        <v>3094</v>
      </c>
      <c r="Y3094" s="61"/>
      <c r="Z3094" s="61"/>
      <c r="AA3094" s="61"/>
      <c r="AB3094" s="61"/>
      <c r="AC3094" s="61"/>
      <c r="AD3094" s="61"/>
      <c r="AE3094" s="61"/>
      <c r="AF3094" s="61"/>
    </row>
    <row r="3095" spans="1:32" s="69" customFormat="1" ht="12">
      <c r="A3095" s="83" t="s">
        <v>23384</v>
      </c>
      <c r="B3095" s="64" t="s">
        <v>23385</v>
      </c>
      <c r="C3095" s="71" t="s">
        <v>165</v>
      </c>
      <c r="D3095" s="79">
        <v>1</v>
      </c>
      <c r="E3095" s="79">
        <v>106.8</v>
      </c>
      <c r="F3095" s="79">
        <v>106.8</v>
      </c>
      <c r="G3095" s="445"/>
      <c r="H3095" s="178">
        <v>106.79</v>
      </c>
      <c r="I3095" s="178">
        <v>131.35</v>
      </c>
      <c r="J3095" s="70">
        <v>-24.549999999999997</v>
      </c>
      <c r="K3095" s="320"/>
      <c r="L3095" s="178">
        <v>17.939999999999998</v>
      </c>
      <c r="M3095" s="178">
        <v>88.86</v>
      </c>
      <c r="N3095" s="179">
        <v>0</v>
      </c>
      <c r="O3095" s="178">
        <v>106.8</v>
      </c>
      <c r="P3095" s="453"/>
      <c r="Q3095" s="61"/>
      <c r="R3095" s="298"/>
      <c r="S3095" s="669"/>
      <c r="T3095" s="444"/>
      <c r="U3095" s="61"/>
      <c r="V3095" s="61"/>
      <c r="W3095" s="61"/>
      <c r="X3095" s="444">
        <v>3095</v>
      </c>
      <c r="Y3095" s="61"/>
      <c r="Z3095" s="61"/>
      <c r="AA3095" s="61"/>
      <c r="AB3095" s="61"/>
      <c r="AC3095" s="61"/>
      <c r="AD3095" s="61"/>
      <c r="AE3095" s="61"/>
      <c r="AF3095" s="61"/>
    </row>
    <row r="3096" spans="1:32" s="69" customFormat="1" ht="12">
      <c r="A3096" s="83" t="s">
        <v>23386</v>
      </c>
      <c r="B3096" s="64" t="s">
        <v>23387</v>
      </c>
      <c r="C3096" s="71" t="s">
        <v>165</v>
      </c>
      <c r="D3096" s="79">
        <v>1</v>
      </c>
      <c r="E3096" s="79">
        <v>187.12</v>
      </c>
      <c r="F3096" s="79">
        <v>187.12</v>
      </c>
      <c r="G3096" s="445"/>
      <c r="H3096" s="178">
        <v>187.11</v>
      </c>
      <c r="I3096" s="178">
        <v>230.15</v>
      </c>
      <c r="J3096" s="70">
        <v>-43.03</v>
      </c>
      <c r="K3096" s="320"/>
      <c r="L3096" s="178">
        <v>17.939999999999998</v>
      </c>
      <c r="M3096" s="178">
        <v>169.18</v>
      </c>
      <c r="N3096" s="179">
        <v>0</v>
      </c>
      <c r="O3096" s="178">
        <v>187.12</v>
      </c>
      <c r="P3096" s="453"/>
      <c r="Q3096" s="61"/>
      <c r="R3096" s="298"/>
      <c r="S3096" s="669"/>
      <c r="T3096" s="444"/>
      <c r="U3096" s="444"/>
      <c r="V3096" s="444"/>
      <c r="W3096" s="444"/>
      <c r="X3096" s="444">
        <v>3096</v>
      </c>
      <c r="Y3096" s="444"/>
      <c r="Z3096" s="444"/>
      <c r="AA3096" s="444"/>
      <c r="AB3096" s="444"/>
      <c r="AC3096" s="444"/>
      <c r="AD3096" s="444"/>
      <c r="AE3096" s="444"/>
      <c r="AF3096" s="444"/>
    </row>
    <row r="3097" spans="1:32" s="69" customFormat="1" ht="12">
      <c r="A3097" s="83" t="s">
        <v>23388</v>
      </c>
      <c r="B3097" s="64" t="s">
        <v>23389</v>
      </c>
      <c r="C3097" s="71" t="s">
        <v>165</v>
      </c>
      <c r="D3097" s="79">
        <v>1</v>
      </c>
      <c r="E3097" s="79">
        <v>2881.59</v>
      </c>
      <c r="F3097" s="79">
        <v>2881.59</v>
      </c>
      <c r="G3097" s="445"/>
      <c r="H3097" s="178">
        <v>2881.57</v>
      </c>
      <c r="I3097" s="178">
        <v>3544.33</v>
      </c>
      <c r="J3097" s="70">
        <v>-662.73999999999978</v>
      </c>
      <c r="K3097" s="320"/>
      <c r="L3097" s="178">
        <v>1237.76</v>
      </c>
      <c r="M3097" s="178">
        <v>1643.8300000000002</v>
      </c>
      <c r="N3097" s="179">
        <v>0</v>
      </c>
      <c r="O3097" s="178">
        <v>2881.59</v>
      </c>
      <c r="P3097" s="453"/>
      <c r="Q3097" s="61"/>
      <c r="R3097" s="298"/>
      <c r="S3097" s="669"/>
      <c r="T3097" s="444"/>
      <c r="U3097" s="444"/>
      <c r="V3097" s="444"/>
      <c r="W3097" s="444"/>
      <c r="X3097" s="444">
        <v>3097</v>
      </c>
      <c r="Y3097" s="444"/>
      <c r="Z3097" s="444"/>
      <c r="AA3097" s="444"/>
      <c r="AB3097" s="444"/>
      <c r="AC3097" s="444"/>
      <c r="AD3097" s="444"/>
      <c r="AE3097" s="444"/>
      <c r="AF3097" s="444"/>
    </row>
    <row r="3098" spans="1:32" s="69" customFormat="1" ht="24">
      <c r="A3098" s="83" t="s">
        <v>23390</v>
      </c>
      <c r="B3098" s="64" t="s">
        <v>23391</v>
      </c>
      <c r="C3098" s="71" t="s">
        <v>103</v>
      </c>
      <c r="D3098" s="79">
        <v>1</v>
      </c>
      <c r="E3098" s="79">
        <v>922.8900000000001</v>
      </c>
      <c r="F3098" s="79">
        <v>922.89</v>
      </c>
      <c r="G3098" s="445"/>
      <c r="H3098" s="178">
        <v>922.88</v>
      </c>
      <c r="I3098" s="178">
        <v>1135.1400000000001</v>
      </c>
      <c r="J3098" s="70">
        <v>-212.25</v>
      </c>
      <c r="K3098" s="320"/>
      <c r="L3098" s="178">
        <v>14.83</v>
      </c>
      <c r="M3098" s="178">
        <v>908.06000000000006</v>
      </c>
      <c r="N3098" s="179">
        <v>0</v>
      </c>
      <c r="O3098" s="178">
        <v>922.8900000000001</v>
      </c>
      <c r="P3098" s="453"/>
      <c r="Q3098" s="61"/>
      <c r="R3098" s="298"/>
      <c r="S3098" s="669"/>
      <c r="T3098" s="444"/>
      <c r="U3098" s="61"/>
      <c r="V3098" s="61"/>
      <c r="W3098" s="61"/>
      <c r="X3098" s="444">
        <v>3098</v>
      </c>
      <c r="Y3098" s="61"/>
      <c r="Z3098" s="61"/>
      <c r="AA3098" s="61"/>
      <c r="AB3098" s="61"/>
      <c r="AC3098" s="61"/>
      <c r="AD3098" s="61"/>
      <c r="AE3098" s="61"/>
      <c r="AF3098" s="61"/>
    </row>
    <row r="3099" spans="1:32" ht="12">
      <c r="A3099" s="83" t="s">
        <v>23392</v>
      </c>
      <c r="B3099" s="64" t="s">
        <v>23393</v>
      </c>
      <c r="C3099" s="71" t="s">
        <v>165</v>
      </c>
      <c r="D3099" s="79">
        <v>1</v>
      </c>
      <c r="E3099" s="79">
        <v>4064.2999999999997</v>
      </c>
      <c r="F3099" s="79">
        <v>4064.3</v>
      </c>
      <c r="G3099" s="445"/>
      <c r="H3099" s="178">
        <v>4064.3</v>
      </c>
      <c r="I3099" s="178">
        <v>4999.09</v>
      </c>
      <c r="J3099" s="70">
        <v>-934.79000000000042</v>
      </c>
      <c r="K3099" s="320"/>
      <c r="L3099" s="178">
        <v>1808.97</v>
      </c>
      <c r="M3099" s="178">
        <v>2255.33</v>
      </c>
      <c r="N3099" s="179">
        <v>0</v>
      </c>
      <c r="O3099" s="178">
        <v>4064.3</v>
      </c>
      <c r="P3099" s="453"/>
      <c r="Q3099" s="61"/>
      <c r="R3099" s="298"/>
      <c r="S3099" s="669"/>
      <c r="U3099" s="61"/>
      <c r="V3099" s="61"/>
      <c r="W3099" s="61"/>
      <c r="X3099" s="444">
        <v>3099</v>
      </c>
      <c r="Y3099" s="61"/>
      <c r="Z3099" s="61"/>
      <c r="AA3099" s="61"/>
      <c r="AB3099" s="61"/>
      <c r="AC3099" s="61"/>
      <c r="AD3099" s="61"/>
      <c r="AE3099" s="61"/>
      <c r="AF3099" s="61"/>
    </row>
    <row r="3100" spans="1:32" ht="24">
      <c r="A3100" s="83" t="s">
        <v>23394</v>
      </c>
      <c r="B3100" s="64" t="s">
        <v>23395</v>
      </c>
      <c r="C3100" s="71" t="s">
        <v>103</v>
      </c>
      <c r="D3100" s="79">
        <v>1</v>
      </c>
      <c r="E3100" s="79">
        <v>1682.5199999999998</v>
      </c>
      <c r="F3100" s="79">
        <v>1682.52</v>
      </c>
      <c r="G3100" s="445"/>
      <c r="H3100" s="178">
        <v>1682.51</v>
      </c>
      <c r="I3100" s="178">
        <v>2069.4899999999998</v>
      </c>
      <c r="J3100" s="70">
        <v>-386.97</v>
      </c>
      <c r="K3100" s="320"/>
      <c r="L3100" s="178">
        <v>14.83</v>
      </c>
      <c r="M3100" s="178">
        <v>1667.6899999999998</v>
      </c>
      <c r="N3100" s="179">
        <v>0</v>
      </c>
      <c r="O3100" s="178">
        <v>1682.5199999999998</v>
      </c>
      <c r="P3100" s="453"/>
      <c r="Q3100" s="61"/>
      <c r="R3100" s="298"/>
      <c r="S3100" s="669"/>
      <c r="U3100" s="61"/>
      <c r="V3100" s="61"/>
      <c r="W3100" s="61"/>
      <c r="X3100" s="444">
        <v>3100</v>
      </c>
      <c r="Y3100" s="61"/>
      <c r="Z3100" s="61"/>
      <c r="AA3100" s="61"/>
      <c r="AB3100" s="61"/>
      <c r="AC3100" s="61"/>
      <c r="AD3100" s="61"/>
      <c r="AE3100" s="61"/>
      <c r="AF3100" s="61"/>
    </row>
    <row r="3101" spans="1:32" ht="12">
      <c r="A3101" s="83" t="s">
        <v>23396</v>
      </c>
      <c r="B3101" s="64" t="s">
        <v>40016</v>
      </c>
      <c r="C3101" s="71" t="s">
        <v>121</v>
      </c>
      <c r="D3101" s="79">
        <v>1</v>
      </c>
      <c r="E3101" s="79">
        <v>600.94999999999993</v>
      </c>
      <c r="F3101" s="79">
        <v>600.95000000000005</v>
      </c>
      <c r="G3101" s="445"/>
      <c r="H3101" s="178">
        <v>600.95000000000005</v>
      </c>
      <c r="I3101" s="178">
        <v>739.17</v>
      </c>
      <c r="J3101" s="70">
        <v>-138.22000000000003</v>
      </c>
      <c r="K3101" s="320"/>
      <c r="L3101" s="178">
        <v>214.05</v>
      </c>
      <c r="M3101" s="178">
        <v>386.89999999999992</v>
      </c>
      <c r="N3101" s="179">
        <v>0</v>
      </c>
      <c r="O3101" s="178">
        <v>600.94999999999993</v>
      </c>
      <c r="P3101" s="453"/>
      <c r="Q3101" s="61"/>
      <c r="R3101" s="298"/>
      <c r="S3101" s="669"/>
      <c r="U3101" s="61"/>
      <c r="V3101" s="61"/>
      <c r="W3101" s="61"/>
      <c r="X3101" s="444">
        <v>3101</v>
      </c>
      <c r="Y3101" s="61"/>
      <c r="Z3101" s="61"/>
      <c r="AA3101" s="61"/>
      <c r="AB3101" s="61"/>
      <c r="AC3101" s="61"/>
      <c r="AD3101" s="61"/>
      <c r="AE3101" s="61"/>
      <c r="AF3101" s="61"/>
    </row>
    <row r="3102" spans="1:32" ht="12">
      <c r="A3102" s="83" t="s">
        <v>23397</v>
      </c>
      <c r="B3102" s="64" t="s">
        <v>23398</v>
      </c>
      <c r="C3102" s="71" t="s">
        <v>165</v>
      </c>
      <c r="D3102" s="79">
        <v>1</v>
      </c>
      <c r="E3102" s="79">
        <v>3446.6900000000005</v>
      </c>
      <c r="F3102" s="79">
        <v>3446.69</v>
      </c>
      <c r="G3102" s="445"/>
      <c r="H3102" s="178">
        <v>3446.67</v>
      </c>
      <c r="I3102" s="178">
        <v>4239.3999999999996</v>
      </c>
      <c r="J3102" s="70">
        <v>-792.70999999999913</v>
      </c>
      <c r="K3102" s="320"/>
      <c r="L3102" s="178">
        <v>1394.4900000000002</v>
      </c>
      <c r="M3102" s="178">
        <v>2052.2000000000003</v>
      </c>
      <c r="N3102" s="179">
        <v>0</v>
      </c>
      <c r="O3102" s="178">
        <v>3446.6900000000005</v>
      </c>
      <c r="P3102" s="453"/>
      <c r="Q3102" s="61"/>
      <c r="R3102" s="298"/>
      <c r="S3102" s="669"/>
      <c r="X3102" s="444">
        <v>3102</v>
      </c>
    </row>
    <row r="3103" spans="1:32" ht="12">
      <c r="A3103" s="83" t="s">
        <v>23399</v>
      </c>
      <c r="B3103" s="64" t="s">
        <v>23400</v>
      </c>
      <c r="C3103" s="71" t="s">
        <v>121</v>
      </c>
      <c r="D3103" s="79">
        <v>1</v>
      </c>
      <c r="E3103" s="79">
        <v>334.9</v>
      </c>
      <c r="F3103" s="79">
        <v>334.9</v>
      </c>
      <c r="G3103" s="445"/>
      <c r="H3103" s="178">
        <v>334.89</v>
      </c>
      <c r="I3103" s="178">
        <v>411.92</v>
      </c>
      <c r="J3103" s="70">
        <v>-77.020000000000039</v>
      </c>
      <c r="K3103" s="320"/>
      <c r="L3103" s="178">
        <v>81.47</v>
      </c>
      <c r="M3103" s="178">
        <v>253.42999999999998</v>
      </c>
      <c r="N3103" s="179">
        <v>0</v>
      </c>
      <c r="O3103" s="178">
        <v>334.9</v>
      </c>
      <c r="P3103" s="453"/>
      <c r="Q3103" s="61"/>
      <c r="R3103" s="298"/>
      <c r="S3103" s="669"/>
      <c r="X3103" s="444">
        <v>3103</v>
      </c>
    </row>
    <row r="3104" spans="1:32" ht="12">
      <c r="A3104" s="83" t="s">
        <v>23401</v>
      </c>
      <c r="B3104" s="64" t="s">
        <v>23402</v>
      </c>
      <c r="C3104" s="71" t="s">
        <v>165</v>
      </c>
      <c r="D3104" s="79">
        <v>1</v>
      </c>
      <c r="E3104" s="79">
        <v>4881.2800000000007</v>
      </c>
      <c r="F3104" s="79">
        <v>4881.28</v>
      </c>
      <c r="G3104" s="445"/>
      <c r="H3104" s="178">
        <v>4881.26</v>
      </c>
      <c r="I3104" s="178">
        <v>6003.95</v>
      </c>
      <c r="J3104" s="70">
        <v>-1122.6699999999992</v>
      </c>
      <c r="K3104" s="320"/>
      <c r="L3104" s="178">
        <v>2029.3000000000002</v>
      </c>
      <c r="M3104" s="178">
        <v>2851.9800000000005</v>
      </c>
      <c r="N3104" s="179">
        <v>0</v>
      </c>
      <c r="O3104" s="178">
        <v>4881.2800000000007</v>
      </c>
      <c r="P3104" s="453"/>
      <c r="Q3104" s="61"/>
      <c r="R3104" s="298"/>
      <c r="S3104" s="669"/>
      <c r="X3104" s="444">
        <v>3104</v>
      </c>
    </row>
    <row r="3105" spans="1:32" ht="12">
      <c r="A3105" s="83" t="s">
        <v>23403</v>
      </c>
      <c r="B3105" s="64" t="s">
        <v>40017</v>
      </c>
      <c r="C3105" s="71" t="s">
        <v>165</v>
      </c>
      <c r="D3105" s="79">
        <v>1</v>
      </c>
      <c r="E3105" s="79">
        <v>81.209999999999994</v>
      </c>
      <c r="F3105" s="79">
        <v>81.209999999999994</v>
      </c>
      <c r="G3105" s="445"/>
      <c r="H3105" s="178">
        <v>81.2</v>
      </c>
      <c r="I3105" s="178">
        <v>99.88</v>
      </c>
      <c r="J3105" s="70">
        <v>-18.670000000000002</v>
      </c>
      <c r="K3105" s="320"/>
      <c r="L3105" s="178">
        <v>50.97</v>
      </c>
      <c r="M3105" s="178">
        <v>30.239999999999995</v>
      </c>
      <c r="N3105" s="179">
        <v>0</v>
      </c>
      <c r="O3105" s="178">
        <v>81.209999999999994</v>
      </c>
      <c r="P3105" s="453"/>
      <c r="Q3105" s="61"/>
      <c r="R3105" s="298"/>
      <c r="S3105" s="669"/>
      <c r="X3105" s="444">
        <v>3105</v>
      </c>
    </row>
    <row r="3106" spans="1:32" ht="12">
      <c r="A3106" s="83" t="s">
        <v>23404</v>
      </c>
      <c r="B3106" s="64" t="s">
        <v>40018</v>
      </c>
      <c r="C3106" s="71" t="s">
        <v>165</v>
      </c>
      <c r="D3106" s="79">
        <v>1</v>
      </c>
      <c r="E3106" s="79">
        <v>121.09</v>
      </c>
      <c r="F3106" s="79">
        <v>121.09</v>
      </c>
      <c r="G3106" s="445"/>
      <c r="H3106" s="178">
        <v>121.07</v>
      </c>
      <c r="I3106" s="178">
        <v>148.91</v>
      </c>
      <c r="J3106" s="70">
        <v>-27.819999999999993</v>
      </c>
      <c r="K3106" s="320"/>
      <c r="L3106" s="178">
        <v>61.18</v>
      </c>
      <c r="M3106" s="178">
        <v>59.910000000000004</v>
      </c>
      <c r="N3106" s="179">
        <v>0</v>
      </c>
      <c r="O3106" s="178">
        <v>121.09</v>
      </c>
      <c r="P3106" s="453"/>
      <c r="Q3106" s="61"/>
      <c r="R3106" s="298"/>
      <c r="S3106" s="669"/>
      <c r="T3106" s="61"/>
      <c r="X3106" s="444">
        <v>3106</v>
      </c>
    </row>
    <row r="3107" spans="1:32" ht="12">
      <c r="A3107" s="83" t="s">
        <v>23405</v>
      </c>
      <c r="B3107" s="64" t="s">
        <v>40019</v>
      </c>
      <c r="C3107" s="71" t="s">
        <v>165</v>
      </c>
      <c r="D3107" s="79">
        <v>1</v>
      </c>
      <c r="E3107" s="79">
        <v>207.68</v>
      </c>
      <c r="F3107" s="79">
        <v>207.68</v>
      </c>
      <c r="G3107" s="445"/>
      <c r="H3107" s="178">
        <v>207.68</v>
      </c>
      <c r="I3107" s="178">
        <v>255.45</v>
      </c>
      <c r="J3107" s="70">
        <v>-47.769999999999982</v>
      </c>
      <c r="K3107" s="320"/>
      <c r="L3107" s="178">
        <v>101.94</v>
      </c>
      <c r="M3107" s="178">
        <v>105.74000000000001</v>
      </c>
      <c r="N3107" s="179">
        <v>0</v>
      </c>
      <c r="O3107" s="178">
        <v>207.68</v>
      </c>
      <c r="P3107" s="453"/>
      <c r="Q3107" s="61"/>
      <c r="R3107" s="298"/>
      <c r="S3107" s="669"/>
      <c r="X3107" s="444">
        <v>3107</v>
      </c>
    </row>
    <row r="3108" spans="1:32" ht="12">
      <c r="A3108" s="83" t="s">
        <v>23406</v>
      </c>
      <c r="B3108" s="64" t="s">
        <v>40020</v>
      </c>
      <c r="C3108" s="71" t="s">
        <v>165</v>
      </c>
      <c r="D3108" s="79">
        <v>1</v>
      </c>
      <c r="E3108" s="79">
        <v>291.02</v>
      </c>
      <c r="F3108" s="79">
        <v>291.02</v>
      </c>
      <c r="G3108" s="445"/>
      <c r="H3108" s="178">
        <v>291.02</v>
      </c>
      <c r="I3108" s="178">
        <v>357.96</v>
      </c>
      <c r="J3108" s="70">
        <v>-66.94</v>
      </c>
      <c r="K3108" s="320"/>
      <c r="L3108" s="178">
        <v>101.94</v>
      </c>
      <c r="M3108" s="178">
        <v>189.07999999999998</v>
      </c>
      <c r="N3108" s="179">
        <v>0</v>
      </c>
      <c r="O3108" s="178">
        <v>291.02</v>
      </c>
      <c r="P3108" s="453"/>
      <c r="Q3108" s="61"/>
      <c r="R3108" s="298"/>
      <c r="S3108" s="669"/>
      <c r="X3108" s="444">
        <v>3108</v>
      </c>
    </row>
    <row r="3109" spans="1:32" ht="12">
      <c r="A3109" s="83" t="s">
        <v>23407</v>
      </c>
      <c r="B3109" s="64" t="s">
        <v>40021</v>
      </c>
      <c r="C3109" s="71" t="s">
        <v>165</v>
      </c>
      <c r="D3109" s="79">
        <v>1</v>
      </c>
      <c r="E3109" s="79">
        <v>419.41</v>
      </c>
      <c r="F3109" s="79">
        <v>419.41</v>
      </c>
      <c r="G3109" s="445"/>
      <c r="H3109" s="178">
        <v>419.41</v>
      </c>
      <c r="I3109" s="178">
        <v>515.87</v>
      </c>
      <c r="J3109" s="70">
        <v>-96.45999999999998</v>
      </c>
      <c r="K3109" s="320"/>
      <c r="L3109" s="178">
        <v>127.43</v>
      </c>
      <c r="M3109" s="178">
        <v>291.98</v>
      </c>
      <c r="N3109" s="179">
        <v>0</v>
      </c>
      <c r="O3109" s="178">
        <v>419.41</v>
      </c>
      <c r="P3109" s="453"/>
      <c r="Q3109" s="61"/>
      <c r="R3109" s="298"/>
      <c r="S3109" s="669"/>
      <c r="X3109" s="444">
        <v>3109</v>
      </c>
    </row>
    <row r="3110" spans="1:32" ht="12">
      <c r="A3110" s="83" t="s">
        <v>23408</v>
      </c>
      <c r="B3110" s="64" t="s">
        <v>23409</v>
      </c>
      <c r="C3110" s="71" t="s">
        <v>121</v>
      </c>
      <c r="D3110" s="79">
        <v>1</v>
      </c>
      <c r="E3110" s="79">
        <v>111.66999999999999</v>
      </c>
      <c r="F3110" s="79">
        <v>111.67</v>
      </c>
      <c r="G3110" s="445"/>
      <c r="H3110" s="178">
        <v>111.66</v>
      </c>
      <c r="I3110" s="178">
        <v>137.34</v>
      </c>
      <c r="J3110" s="70">
        <v>-25.670000000000016</v>
      </c>
      <c r="K3110" s="320"/>
      <c r="L3110" s="178">
        <v>111.66999999999999</v>
      </c>
      <c r="M3110" s="178">
        <v>0</v>
      </c>
      <c r="N3110" s="179">
        <v>0</v>
      </c>
      <c r="O3110" s="178">
        <v>111.66999999999999</v>
      </c>
      <c r="P3110" s="453"/>
      <c r="Q3110" s="61"/>
      <c r="R3110" s="298"/>
      <c r="S3110" s="669"/>
      <c r="X3110" s="444">
        <v>3110</v>
      </c>
    </row>
    <row r="3111" spans="1:32" ht="12">
      <c r="A3111" s="83" t="s">
        <v>23410</v>
      </c>
      <c r="B3111" s="64" t="s">
        <v>23411</v>
      </c>
      <c r="C3111" s="71" t="s">
        <v>121</v>
      </c>
      <c r="D3111" s="79">
        <v>1</v>
      </c>
      <c r="E3111" s="79">
        <v>970.48</v>
      </c>
      <c r="F3111" s="79">
        <v>970.48</v>
      </c>
      <c r="G3111" s="445"/>
      <c r="H3111" s="178">
        <v>970.46</v>
      </c>
      <c r="I3111" s="178">
        <v>1193.67</v>
      </c>
      <c r="J3111" s="70">
        <v>-223.19000000000005</v>
      </c>
      <c r="K3111" s="320"/>
      <c r="L3111" s="178">
        <v>609.16999999999996</v>
      </c>
      <c r="M3111" s="178">
        <v>361.31000000000006</v>
      </c>
      <c r="N3111" s="179">
        <v>0</v>
      </c>
      <c r="O3111" s="178">
        <v>970.48</v>
      </c>
      <c r="P3111" s="453"/>
      <c r="Q3111" s="61"/>
      <c r="R3111" s="298"/>
      <c r="S3111" s="669"/>
      <c r="X3111" s="444">
        <v>3111</v>
      </c>
    </row>
    <row r="3112" spans="1:32" ht="12">
      <c r="A3112" s="83" t="s">
        <v>23412</v>
      </c>
      <c r="B3112" s="64" t="s">
        <v>23413</v>
      </c>
      <c r="C3112" s="71" t="s">
        <v>509</v>
      </c>
      <c r="D3112" s="79">
        <v>1</v>
      </c>
      <c r="E3112" s="79">
        <v>265.70999999999998</v>
      </c>
      <c r="F3112" s="79">
        <v>265.70999999999998</v>
      </c>
      <c r="G3112" s="445"/>
      <c r="H3112" s="178">
        <v>265.7</v>
      </c>
      <c r="I3112" s="178">
        <v>326.81</v>
      </c>
      <c r="J3112" s="70">
        <v>-61.100000000000023</v>
      </c>
      <c r="K3112" s="320"/>
      <c r="L3112" s="178">
        <v>190.45</v>
      </c>
      <c r="M3112" s="178">
        <v>75.259999999999991</v>
      </c>
      <c r="N3112" s="179">
        <v>0</v>
      </c>
      <c r="O3112" s="178">
        <v>265.70999999999998</v>
      </c>
      <c r="P3112" s="453"/>
      <c r="Q3112" s="61"/>
      <c r="R3112" s="298"/>
      <c r="S3112" s="669"/>
      <c r="U3112" s="73"/>
      <c r="V3112" s="73"/>
      <c r="W3112" s="73"/>
      <c r="X3112" s="444">
        <v>3112</v>
      </c>
      <c r="Y3112" s="73"/>
      <c r="Z3112" s="73"/>
      <c r="AA3112" s="73"/>
      <c r="AB3112" s="73"/>
      <c r="AC3112" s="73"/>
      <c r="AD3112" s="73"/>
      <c r="AE3112" s="73"/>
      <c r="AF3112" s="73"/>
    </row>
    <row r="3113" spans="1:32" ht="12">
      <c r="A3113" s="83" t="s">
        <v>23414</v>
      </c>
      <c r="B3113" s="64" t="s">
        <v>23415</v>
      </c>
      <c r="C3113" s="71" t="s">
        <v>509</v>
      </c>
      <c r="D3113" s="79">
        <v>1</v>
      </c>
      <c r="E3113" s="79">
        <v>394.85</v>
      </c>
      <c r="F3113" s="79">
        <v>394.85</v>
      </c>
      <c r="G3113" s="445"/>
      <c r="H3113" s="178">
        <v>394.85</v>
      </c>
      <c r="I3113" s="178">
        <v>485.66</v>
      </c>
      <c r="J3113" s="70">
        <v>-90.81</v>
      </c>
      <c r="K3113" s="320"/>
      <c r="L3113" s="178">
        <v>248.91</v>
      </c>
      <c r="M3113" s="178">
        <v>145.94000000000003</v>
      </c>
      <c r="N3113" s="179">
        <v>0</v>
      </c>
      <c r="O3113" s="178">
        <v>394.85</v>
      </c>
      <c r="P3113" s="453"/>
      <c r="Q3113" s="61"/>
      <c r="R3113" s="298"/>
      <c r="S3113" s="669"/>
      <c r="U3113" s="73"/>
      <c r="V3113" s="73"/>
      <c r="W3113" s="73"/>
      <c r="X3113" s="444">
        <v>3113</v>
      </c>
      <c r="Y3113" s="73"/>
      <c r="Z3113" s="73"/>
      <c r="AA3113" s="73"/>
      <c r="AB3113" s="73"/>
      <c r="AC3113" s="73"/>
      <c r="AD3113" s="73"/>
      <c r="AE3113" s="73"/>
      <c r="AF3113" s="73"/>
    </row>
    <row r="3114" spans="1:32" ht="12">
      <c r="A3114" s="83" t="s">
        <v>23416</v>
      </c>
      <c r="B3114" s="64" t="s">
        <v>23417</v>
      </c>
      <c r="C3114" s="71" t="s">
        <v>509</v>
      </c>
      <c r="D3114" s="79">
        <v>1</v>
      </c>
      <c r="E3114" s="79">
        <v>217.51000000000002</v>
      </c>
      <c r="F3114" s="79">
        <v>217.51</v>
      </c>
      <c r="G3114" s="445"/>
      <c r="H3114" s="178">
        <v>217.5</v>
      </c>
      <c r="I3114" s="178">
        <v>267.52</v>
      </c>
      <c r="J3114" s="70">
        <v>-50.009999999999962</v>
      </c>
      <c r="K3114" s="320"/>
      <c r="L3114" s="178">
        <v>141.61000000000001</v>
      </c>
      <c r="M3114" s="178">
        <v>75.900000000000006</v>
      </c>
      <c r="N3114" s="179">
        <v>0</v>
      </c>
      <c r="O3114" s="178">
        <v>217.51000000000002</v>
      </c>
      <c r="P3114" s="453"/>
      <c r="Q3114" s="61"/>
      <c r="R3114" s="298"/>
      <c r="S3114" s="669"/>
      <c r="U3114" s="73"/>
      <c r="V3114" s="73"/>
      <c r="W3114" s="73"/>
      <c r="X3114" s="444">
        <v>3114</v>
      </c>
      <c r="Y3114" s="73"/>
      <c r="Z3114" s="73"/>
      <c r="AA3114" s="73"/>
      <c r="AB3114" s="73"/>
      <c r="AC3114" s="73"/>
      <c r="AD3114" s="73"/>
      <c r="AE3114" s="73"/>
      <c r="AF3114" s="73"/>
    </row>
    <row r="3115" spans="1:32" ht="12">
      <c r="A3115" s="83" t="s">
        <v>23418</v>
      </c>
      <c r="B3115" s="64" t="s">
        <v>23419</v>
      </c>
      <c r="C3115" s="71" t="s">
        <v>103</v>
      </c>
      <c r="D3115" s="79">
        <v>1</v>
      </c>
      <c r="E3115" s="79">
        <v>440.21</v>
      </c>
      <c r="F3115" s="79">
        <v>440.21</v>
      </c>
      <c r="G3115" s="445"/>
      <c r="H3115" s="178">
        <v>440.24</v>
      </c>
      <c r="I3115" s="178">
        <v>541.5</v>
      </c>
      <c r="J3115" s="70">
        <v>-101.29000000000002</v>
      </c>
      <c r="K3115" s="320"/>
      <c r="L3115" s="178">
        <v>311.02</v>
      </c>
      <c r="M3115" s="178">
        <v>129.19</v>
      </c>
      <c r="N3115" s="179">
        <v>0</v>
      </c>
      <c r="O3115" s="178">
        <v>440.21</v>
      </c>
      <c r="P3115" s="453"/>
      <c r="Q3115" s="61"/>
      <c r="R3115" s="298"/>
      <c r="S3115" s="669"/>
      <c r="U3115" s="73"/>
      <c r="V3115" s="73"/>
      <c r="W3115" s="73"/>
      <c r="X3115" s="444">
        <v>3115</v>
      </c>
      <c r="Y3115" s="73"/>
      <c r="Z3115" s="73"/>
      <c r="AA3115" s="73"/>
      <c r="AB3115" s="73"/>
      <c r="AC3115" s="73"/>
      <c r="AD3115" s="73"/>
      <c r="AE3115" s="73"/>
      <c r="AF3115" s="73"/>
    </row>
    <row r="3116" spans="1:32" ht="12">
      <c r="A3116" s="83" t="s">
        <v>23420</v>
      </c>
      <c r="B3116" s="64" t="s">
        <v>23421</v>
      </c>
      <c r="C3116" s="71" t="s">
        <v>103</v>
      </c>
      <c r="D3116" s="79">
        <v>1</v>
      </c>
      <c r="E3116" s="79">
        <v>740.09999999999991</v>
      </c>
      <c r="F3116" s="79">
        <v>740.1</v>
      </c>
      <c r="G3116" s="445"/>
      <c r="H3116" s="178">
        <v>740.09</v>
      </c>
      <c r="I3116" s="178">
        <v>910.31</v>
      </c>
      <c r="J3116" s="70">
        <v>-170.21000000000004</v>
      </c>
      <c r="K3116" s="320"/>
      <c r="L3116" s="178">
        <v>49.42</v>
      </c>
      <c r="M3116" s="178">
        <v>690.68</v>
      </c>
      <c r="N3116" s="179">
        <v>0</v>
      </c>
      <c r="O3116" s="178">
        <v>740.09999999999991</v>
      </c>
      <c r="P3116" s="453"/>
      <c r="Q3116" s="61"/>
      <c r="R3116" s="298"/>
      <c r="S3116" s="669"/>
      <c r="X3116" s="444">
        <v>3116</v>
      </c>
    </row>
    <row r="3117" spans="1:32" s="73" customFormat="1" ht="12">
      <c r="A3117" s="83" t="s">
        <v>23422</v>
      </c>
      <c r="B3117" s="64" t="s">
        <v>23423</v>
      </c>
      <c r="C3117" s="71" t="s">
        <v>103</v>
      </c>
      <c r="D3117" s="79">
        <v>1</v>
      </c>
      <c r="E3117" s="79">
        <v>827.91</v>
      </c>
      <c r="F3117" s="79">
        <v>827.91</v>
      </c>
      <c r="G3117" s="445"/>
      <c r="H3117" s="178">
        <v>827.9</v>
      </c>
      <c r="I3117" s="178">
        <v>1018.32</v>
      </c>
      <c r="J3117" s="70">
        <v>-190.41000000000008</v>
      </c>
      <c r="K3117" s="320"/>
      <c r="L3117" s="178">
        <v>49.42</v>
      </c>
      <c r="M3117" s="178">
        <v>778.49</v>
      </c>
      <c r="N3117" s="179">
        <v>0</v>
      </c>
      <c r="O3117" s="178">
        <v>827.91</v>
      </c>
      <c r="P3117" s="453"/>
      <c r="Q3117" s="61"/>
      <c r="R3117" s="298"/>
      <c r="S3117" s="669"/>
      <c r="T3117" s="444"/>
      <c r="U3117" s="444"/>
      <c r="V3117" s="444"/>
      <c r="W3117" s="444"/>
      <c r="X3117" s="444">
        <v>3117</v>
      </c>
      <c r="Y3117" s="444"/>
      <c r="Z3117" s="444"/>
      <c r="AA3117" s="444"/>
      <c r="AB3117" s="444"/>
      <c r="AC3117" s="444"/>
      <c r="AD3117" s="444"/>
      <c r="AE3117" s="444"/>
      <c r="AF3117" s="444"/>
    </row>
    <row r="3118" spans="1:32" s="73" customFormat="1" ht="24">
      <c r="A3118" s="83" t="s">
        <v>23424</v>
      </c>
      <c r="B3118" s="64" t="s">
        <v>40022</v>
      </c>
      <c r="C3118" s="71" t="s">
        <v>121</v>
      </c>
      <c r="D3118" s="79">
        <v>1</v>
      </c>
      <c r="E3118" s="79">
        <v>26.15</v>
      </c>
      <c r="F3118" s="79">
        <v>26.15</v>
      </c>
      <c r="G3118" s="320"/>
      <c r="H3118" s="178">
        <v>26.14</v>
      </c>
      <c r="I3118" s="178">
        <v>32.15</v>
      </c>
      <c r="J3118" s="70">
        <v>-6</v>
      </c>
      <c r="K3118" s="320"/>
      <c r="L3118" s="178">
        <v>2.13</v>
      </c>
      <c r="M3118" s="178">
        <v>24.02</v>
      </c>
      <c r="N3118" s="179">
        <v>0</v>
      </c>
      <c r="O3118" s="178">
        <v>26.15</v>
      </c>
      <c r="P3118" s="453"/>
      <c r="Q3118" s="61"/>
      <c r="R3118" s="298"/>
      <c r="S3118" s="669"/>
      <c r="U3118" s="444"/>
      <c r="V3118" s="444"/>
      <c r="W3118" s="444"/>
      <c r="X3118" s="444">
        <v>3118</v>
      </c>
      <c r="Y3118" s="444"/>
      <c r="Z3118" s="444"/>
      <c r="AA3118" s="444"/>
      <c r="AB3118" s="444"/>
      <c r="AC3118" s="444"/>
      <c r="AD3118" s="444"/>
      <c r="AE3118" s="444"/>
      <c r="AF3118" s="444"/>
    </row>
    <row r="3119" spans="1:32" s="73" customFormat="1" ht="24">
      <c r="A3119" s="83" t="s">
        <v>23425</v>
      </c>
      <c r="B3119" s="64" t="s">
        <v>23426</v>
      </c>
      <c r="C3119" s="71" t="s">
        <v>103</v>
      </c>
      <c r="D3119" s="79">
        <v>1</v>
      </c>
      <c r="E3119" s="79">
        <v>2777.6099999999997</v>
      </c>
      <c r="F3119" s="79">
        <v>2777.61</v>
      </c>
      <c r="G3119" s="320"/>
      <c r="H3119" s="178">
        <v>2777.61</v>
      </c>
      <c r="I3119" s="178">
        <v>3416.46</v>
      </c>
      <c r="J3119" s="70">
        <v>-638.85000000000036</v>
      </c>
      <c r="K3119" s="320"/>
      <c r="L3119" s="178">
        <v>50.97</v>
      </c>
      <c r="M3119" s="178">
        <v>2726.64</v>
      </c>
      <c r="N3119" s="179">
        <v>0</v>
      </c>
      <c r="O3119" s="178">
        <v>2777.6099999999997</v>
      </c>
      <c r="P3119" s="132"/>
      <c r="Q3119" s="61"/>
      <c r="R3119" s="298"/>
      <c r="S3119" s="669"/>
      <c r="T3119" s="61"/>
      <c r="U3119" s="444"/>
      <c r="V3119" s="444"/>
      <c r="W3119" s="444"/>
      <c r="X3119" s="444">
        <v>3119</v>
      </c>
      <c r="Y3119" s="444"/>
      <c r="Z3119" s="444"/>
      <c r="AA3119" s="444"/>
      <c r="AB3119" s="444"/>
      <c r="AC3119" s="444"/>
      <c r="AD3119" s="444"/>
      <c r="AE3119" s="444"/>
      <c r="AF3119" s="444"/>
    </row>
    <row r="3120" spans="1:32" s="73" customFormat="1" ht="24">
      <c r="A3120" s="83" t="s">
        <v>23427</v>
      </c>
      <c r="B3120" s="64" t="s">
        <v>40023</v>
      </c>
      <c r="C3120" s="71" t="s">
        <v>103</v>
      </c>
      <c r="D3120" s="79">
        <v>1</v>
      </c>
      <c r="E3120" s="79">
        <v>72.89</v>
      </c>
      <c r="F3120" s="79">
        <v>72.89</v>
      </c>
      <c r="G3120" s="320"/>
      <c r="H3120" s="178">
        <v>72.86</v>
      </c>
      <c r="I3120" s="178">
        <v>89.62</v>
      </c>
      <c r="J3120" s="70">
        <v>-16.730000000000004</v>
      </c>
      <c r="K3120" s="320"/>
      <c r="L3120" s="178">
        <v>27.33</v>
      </c>
      <c r="M3120" s="178">
        <v>45.56</v>
      </c>
      <c r="N3120" s="179">
        <v>0</v>
      </c>
      <c r="O3120" s="178">
        <v>72.89</v>
      </c>
      <c r="P3120" s="132"/>
      <c r="Q3120" s="61"/>
      <c r="R3120" s="298"/>
      <c r="S3120" s="669"/>
      <c r="T3120" s="61"/>
      <c r="U3120" s="444"/>
      <c r="V3120" s="444"/>
      <c r="W3120" s="444"/>
      <c r="X3120" s="444">
        <v>3120</v>
      </c>
      <c r="Y3120" s="444"/>
      <c r="Z3120" s="444"/>
      <c r="AA3120" s="444"/>
      <c r="AB3120" s="444"/>
      <c r="AC3120" s="444"/>
      <c r="AD3120" s="444"/>
      <c r="AE3120" s="444"/>
      <c r="AF3120" s="444"/>
    </row>
    <row r="3121" spans="1:32" ht="24">
      <c r="A3121" s="83" t="s">
        <v>23428</v>
      </c>
      <c r="B3121" s="64" t="s">
        <v>29675</v>
      </c>
      <c r="C3121" s="71" t="s">
        <v>165</v>
      </c>
      <c r="D3121" s="79">
        <v>1</v>
      </c>
      <c r="E3121" s="79">
        <v>207.64</v>
      </c>
      <c r="F3121" s="79">
        <v>207.64</v>
      </c>
      <c r="G3121" s="320"/>
      <c r="H3121" s="178">
        <v>207.62</v>
      </c>
      <c r="I3121" s="178">
        <v>255.37</v>
      </c>
      <c r="J3121" s="70">
        <v>-47.730000000000018</v>
      </c>
      <c r="K3121" s="320"/>
      <c r="L3121" s="178">
        <v>58.629999999999995</v>
      </c>
      <c r="M3121" s="178">
        <v>149.01</v>
      </c>
      <c r="N3121" s="179">
        <v>0</v>
      </c>
      <c r="O3121" s="178">
        <v>207.64</v>
      </c>
      <c r="P3121" s="132"/>
      <c r="Q3121" s="61"/>
      <c r="R3121" s="298"/>
      <c r="S3121" s="669"/>
      <c r="T3121" s="61"/>
      <c r="X3121" s="444">
        <v>3121</v>
      </c>
    </row>
    <row r="3122" spans="1:32" ht="12">
      <c r="A3122" s="83" t="s">
        <v>23429</v>
      </c>
      <c r="B3122" s="64" t="s">
        <v>23430</v>
      </c>
      <c r="C3122" s="71" t="s">
        <v>103</v>
      </c>
      <c r="D3122" s="79">
        <v>1</v>
      </c>
      <c r="E3122" s="79">
        <v>673.28</v>
      </c>
      <c r="F3122" s="79">
        <v>673.28</v>
      </c>
      <c r="G3122" s="320"/>
      <c r="H3122" s="178">
        <v>673.27</v>
      </c>
      <c r="I3122" s="178">
        <v>828.12</v>
      </c>
      <c r="J3122" s="70">
        <v>-154.84000000000003</v>
      </c>
      <c r="K3122" s="320"/>
      <c r="L3122" s="178">
        <v>25.490000000000002</v>
      </c>
      <c r="M3122" s="178">
        <v>647.79</v>
      </c>
      <c r="N3122" s="179">
        <v>0</v>
      </c>
      <c r="O3122" s="178">
        <v>673.28</v>
      </c>
      <c r="P3122" s="132"/>
      <c r="Q3122" s="61"/>
      <c r="R3122" s="298"/>
      <c r="S3122" s="669"/>
      <c r="T3122" s="61"/>
      <c r="U3122" s="73"/>
      <c r="V3122" s="73"/>
      <c r="W3122" s="73"/>
      <c r="X3122" s="444">
        <v>3122</v>
      </c>
      <c r="Y3122" s="73"/>
      <c r="Z3122" s="73"/>
      <c r="AA3122" s="73"/>
      <c r="AB3122" s="73"/>
      <c r="AC3122" s="73"/>
      <c r="AD3122" s="73"/>
      <c r="AE3122" s="73"/>
      <c r="AF3122" s="73"/>
    </row>
    <row r="3123" spans="1:32" ht="24">
      <c r="A3123" s="83" t="s">
        <v>23431</v>
      </c>
      <c r="B3123" s="64" t="s">
        <v>40024</v>
      </c>
      <c r="C3123" s="71" t="s">
        <v>103</v>
      </c>
      <c r="D3123" s="79">
        <v>1</v>
      </c>
      <c r="E3123" s="79">
        <v>600.36</v>
      </c>
      <c r="F3123" s="79">
        <v>600.36</v>
      </c>
      <c r="G3123" s="320"/>
      <c r="H3123" s="178">
        <v>600.35</v>
      </c>
      <c r="I3123" s="178">
        <v>738.43</v>
      </c>
      <c r="J3123" s="70">
        <v>-138.06999999999994</v>
      </c>
      <c r="K3123" s="320"/>
      <c r="L3123" s="178">
        <v>25.490000000000002</v>
      </c>
      <c r="M3123" s="178">
        <v>574.87</v>
      </c>
      <c r="N3123" s="179">
        <v>0</v>
      </c>
      <c r="O3123" s="178">
        <v>600.36</v>
      </c>
      <c r="P3123" s="132"/>
      <c r="Q3123" s="61"/>
      <c r="R3123" s="298"/>
      <c r="S3123" s="669"/>
      <c r="T3123" s="61"/>
      <c r="U3123" s="73"/>
      <c r="V3123" s="73"/>
      <c r="W3123" s="73"/>
      <c r="X3123" s="444">
        <v>3123</v>
      </c>
      <c r="Y3123" s="73"/>
      <c r="Z3123" s="73"/>
      <c r="AA3123" s="73"/>
      <c r="AB3123" s="73"/>
      <c r="AC3123" s="73"/>
      <c r="AD3123" s="73"/>
      <c r="AE3123" s="73"/>
      <c r="AF3123" s="73"/>
    </row>
    <row r="3124" spans="1:32" ht="24">
      <c r="A3124" s="83" t="s">
        <v>23432</v>
      </c>
      <c r="B3124" s="64" t="s">
        <v>23433</v>
      </c>
      <c r="C3124" s="71" t="s">
        <v>165</v>
      </c>
      <c r="D3124" s="79">
        <v>1</v>
      </c>
      <c r="E3124" s="79">
        <v>12.56</v>
      </c>
      <c r="F3124" s="79">
        <v>12.56</v>
      </c>
      <c r="G3124" s="320"/>
      <c r="H3124" s="178">
        <v>12.56</v>
      </c>
      <c r="I3124" s="178">
        <v>15.45</v>
      </c>
      <c r="J3124" s="70">
        <v>-2.8899999999999988</v>
      </c>
      <c r="K3124" s="320"/>
      <c r="L3124" s="178">
        <v>3.84</v>
      </c>
      <c r="M3124" s="178">
        <v>8.7200000000000006</v>
      </c>
      <c r="N3124" s="179">
        <v>0</v>
      </c>
      <c r="O3124" s="178">
        <v>12.56</v>
      </c>
      <c r="P3124" s="132"/>
      <c r="Q3124" s="61"/>
      <c r="R3124" s="298"/>
      <c r="S3124" s="669"/>
      <c r="T3124" s="61"/>
      <c r="X3124" s="444">
        <v>3124</v>
      </c>
    </row>
    <row r="3125" spans="1:32" ht="12">
      <c r="A3125" s="83" t="s">
        <v>23434</v>
      </c>
      <c r="B3125" s="64" t="s">
        <v>23435</v>
      </c>
      <c r="C3125" s="71" t="s">
        <v>10216</v>
      </c>
      <c r="D3125" s="79">
        <v>1</v>
      </c>
      <c r="E3125" s="79">
        <v>577.26</v>
      </c>
      <c r="F3125" s="79">
        <v>577.26</v>
      </c>
      <c r="G3125" s="445"/>
      <c r="H3125" s="178">
        <v>577.25</v>
      </c>
      <c r="I3125" s="178">
        <v>710.02</v>
      </c>
      <c r="J3125" s="70">
        <v>-132.76</v>
      </c>
      <c r="K3125" s="320"/>
      <c r="L3125" s="178"/>
      <c r="M3125" s="178">
        <v>577.26</v>
      </c>
      <c r="N3125" s="179">
        <v>0</v>
      </c>
      <c r="O3125" s="178">
        <v>577.26</v>
      </c>
      <c r="P3125" s="453"/>
      <c r="Q3125" s="61"/>
      <c r="R3125" s="298"/>
      <c r="S3125" s="669"/>
      <c r="X3125" s="444">
        <v>3125</v>
      </c>
    </row>
    <row r="3126" spans="1:32" s="73" customFormat="1" ht="12">
      <c r="A3126" s="83" t="s">
        <v>40025</v>
      </c>
      <c r="B3126" s="64" t="s">
        <v>40026</v>
      </c>
      <c r="C3126" s="71"/>
      <c r="D3126" s="79" t="s">
        <v>40899</v>
      </c>
      <c r="E3126" s="79" t="s">
        <v>40899</v>
      </c>
      <c r="F3126" s="79"/>
      <c r="G3126" s="445"/>
      <c r="H3126" s="178"/>
      <c r="I3126" s="178"/>
      <c r="J3126" s="70"/>
      <c r="K3126" s="320"/>
      <c r="L3126" s="178"/>
      <c r="M3126" s="178"/>
      <c r="N3126" s="179"/>
      <c r="O3126" s="178"/>
      <c r="P3126" s="453"/>
      <c r="Q3126" s="61"/>
      <c r="R3126" s="298"/>
      <c r="S3126" s="669"/>
      <c r="T3126" s="444"/>
      <c r="U3126" s="444"/>
      <c r="V3126" s="444"/>
      <c r="W3126" s="444"/>
      <c r="X3126" s="444">
        <v>3126</v>
      </c>
      <c r="Y3126" s="444"/>
      <c r="Z3126" s="444"/>
      <c r="AA3126" s="444"/>
      <c r="AB3126" s="444"/>
      <c r="AC3126" s="444"/>
      <c r="AD3126" s="444"/>
      <c r="AE3126" s="444"/>
      <c r="AF3126" s="444"/>
    </row>
    <row r="3127" spans="1:32" ht="12">
      <c r="A3127" s="83" t="s">
        <v>23436</v>
      </c>
      <c r="B3127" s="64" t="s">
        <v>23437</v>
      </c>
      <c r="C3127" s="71" t="s">
        <v>396</v>
      </c>
      <c r="D3127" s="79">
        <v>1</v>
      </c>
      <c r="E3127" s="79">
        <v>10194.230000000001</v>
      </c>
      <c r="F3127" s="79">
        <v>10194.23</v>
      </c>
      <c r="G3127" s="445"/>
      <c r="H3127" s="178">
        <v>10194.219999999999</v>
      </c>
      <c r="I3127" s="178">
        <v>12538.89</v>
      </c>
      <c r="J3127" s="70">
        <v>-2344.659999999998</v>
      </c>
      <c r="K3127" s="320"/>
      <c r="L3127" s="178">
        <v>1179.75</v>
      </c>
      <c r="M3127" s="178">
        <v>9014.4800000000014</v>
      </c>
      <c r="N3127" s="179">
        <v>0</v>
      </c>
      <c r="O3127" s="178">
        <v>10194.230000000001</v>
      </c>
      <c r="P3127" s="453"/>
      <c r="Q3127" s="61"/>
      <c r="R3127" s="298"/>
      <c r="S3127" s="669"/>
      <c r="X3127" s="444">
        <v>3127</v>
      </c>
    </row>
    <row r="3128" spans="1:32" s="73" customFormat="1" ht="12">
      <c r="A3128" s="83" t="s">
        <v>23438</v>
      </c>
      <c r="B3128" s="64" t="s">
        <v>23439</v>
      </c>
      <c r="C3128" s="71" t="s">
        <v>103</v>
      </c>
      <c r="D3128" s="79">
        <v>1</v>
      </c>
      <c r="E3128" s="79">
        <v>5811.93</v>
      </c>
      <c r="F3128" s="79">
        <v>5811.93</v>
      </c>
      <c r="G3128" s="445"/>
      <c r="H3128" s="178">
        <v>5811.87</v>
      </c>
      <c r="I3128" s="178">
        <v>7148.6</v>
      </c>
      <c r="J3128" s="70">
        <v>-1336.67</v>
      </c>
      <c r="K3128" s="320"/>
      <c r="L3128" s="178">
        <v>1881.7599999999998</v>
      </c>
      <c r="M3128" s="178">
        <v>3930.1700000000005</v>
      </c>
      <c r="N3128" s="179">
        <v>0</v>
      </c>
      <c r="O3128" s="178">
        <v>5811.93</v>
      </c>
      <c r="P3128" s="453"/>
      <c r="Q3128" s="61"/>
      <c r="R3128" s="298"/>
      <c r="S3128" s="669"/>
      <c r="T3128" s="444"/>
      <c r="U3128" s="61"/>
      <c r="V3128" s="61"/>
      <c r="W3128" s="61"/>
      <c r="X3128" s="444">
        <v>3128</v>
      </c>
      <c r="Y3128" s="61"/>
      <c r="Z3128" s="61"/>
      <c r="AA3128" s="61"/>
      <c r="AB3128" s="61"/>
      <c r="AC3128" s="61"/>
      <c r="AD3128" s="61"/>
      <c r="AE3128" s="61"/>
      <c r="AF3128" s="61"/>
    </row>
    <row r="3129" spans="1:32" ht="12">
      <c r="A3129" s="83" t="s">
        <v>23440</v>
      </c>
      <c r="B3129" s="64" t="s">
        <v>23441</v>
      </c>
      <c r="C3129" s="71" t="s">
        <v>103</v>
      </c>
      <c r="D3129" s="79">
        <v>1</v>
      </c>
      <c r="E3129" s="79">
        <v>5811.93</v>
      </c>
      <c r="F3129" s="79">
        <v>5811.93</v>
      </c>
      <c r="G3129" s="445"/>
      <c r="H3129" s="178">
        <v>5811.87</v>
      </c>
      <c r="I3129" s="178">
        <v>7148.6</v>
      </c>
      <c r="J3129" s="70">
        <v>-1336.67</v>
      </c>
      <c r="K3129" s="320"/>
      <c r="L3129" s="178">
        <v>1881.7599999999998</v>
      </c>
      <c r="M3129" s="178">
        <v>3930.1700000000005</v>
      </c>
      <c r="N3129" s="179">
        <v>0</v>
      </c>
      <c r="O3129" s="178">
        <v>5811.93</v>
      </c>
      <c r="P3129" s="453"/>
      <c r="Q3129" s="61"/>
      <c r="R3129" s="298"/>
      <c r="S3129" s="669"/>
      <c r="U3129" s="61"/>
      <c r="V3129" s="61"/>
      <c r="W3129" s="61"/>
      <c r="X3129" s="444">
        <v>3129</v>
      </c>
      <c r="Y3129" s="61"/>
      <c r="Z3129" s="61"/>
      <c r="AA3129" s="61"/>
      <c r="AB3129" s="61"/>
      <c r="AC3129" s="61"/>
      <c r="AD3129" s="61"/>
      <c r="AE3129" s="61"/>
      <c r="AF3129" s="61"/>
    </row>
    <row r="3130" spans="1:32" ht="24">
      <c r="A3130" s="63" t="s">
        <v>23442</v>
      </c>
      <c r="B3130" s="146" t="s">
        <v>23443</v>
      </c>
      <c r="C3130" s="134" t="s">
        <v>509</v>
      </c>
      <c r="D3130" s="79">
        <v>1</v>
      </c>
      <c r="E3130" s="79">
        <v>89.44</v>
      </c>
      <c r="F3130" s="79">
        <v>89.44</v>
      </c>
      <c r="G3130" s="320"/>
      <c r="H3130" s="178">
        <v>89.45</v>
      </c>
      <c r="I3130" s="178">
        <v>110.02</v>
      </c>
      <c r="J3130" s="70">
        <v>-20.58</v>
      </c>
      <c r="K3130" s="320"/>
      <c r="L3130" s="178">
        <v>10.86</v>
      </c>
      <c r="M3130" s="178">
        <v>78.58</v>
      </c>
      <c r="N3130" s="179">
        <v>0</v>
      </c>
      <c r="O3130" s="178">
        <v>89.44</v>
      </c>
      <c r="P3130" s="453"/>
      <c r="Q3130" s="61"/>
      <c r="R3130" s="298"/>
      <c r="S3130" s="669"/>
      <c r="U3130" s="61"/>
      <c r="V3130" s="61"/>
      <c r="W3130" s="61"/>
      <c r="X3130" s="444">
        <v>3130</v>
      </c>
      <c r="Y3130" s="61"/>
      <c r="Z3130" s="61"/>
      <c r="AA3130" s="61"/>
      <c r="AB3130" s="61"/>
      <c r="AC3130" s="61"/>
      <c r="AD3130" s="61"/>
      <c r="AE3130" s="61"/>
      <c r="AF3130" s="61"/>
    </row>
    <row r="3131" spans="1:32" ht="12">
      <c r="A3131" s="63" t="s">
        <v>23444</v>
      </c>
      <c r="B3131" s="146" t="s">
        <v>23445</v>
      </c>
      <c r="C3131" s="134" t="s">
        <v>509</v>
      </c>
      <c r="D3131" s="79">
        <v>1</v>
      </c>
      <c r="E3131" s="79">
        <v>70.28</v>
      </c>
      <c r="F3131" s="79">
        <v>70.28</v>
      </c>
      <c r="G3131" s="320"/>
      <c r="H3131" s="178">
        <v>70.28</v>
      </c>
      <c r="I3131" s="178">
        <v>86.45</v>
      </c>
      <c r="J3131" s="70">
        <v>-16.170000000000002</v>
      </c>
      <c r="K3131" s="320"/>
      <c r="L3131" s="178">
        <v>6.66</v>
      </c>
      <c r="M3131" s="178">
        <v>63.620000000000005</v>
      </c>
      <c r="N3131" s="179">
        <v>0</v>
      </c>
      <c r="O3131" s="178">
        <v>70.28</v>
      </c>
      <c r="P3131" s="453"/>
      <c r="Q3131" s="61"/>
      <c r="R3131" s="298"/>
      <c r="S3131" s="669"/>
      <c r="X3131" s="444">
        <v>3131</v>
      </c>
    </row>
    <row r="3132" spans="1:32" ht="24">
      <c r="A3132" s="63" t="s">
        <v>23446</v>
      </c>
      <c r="B3132" s="146" t="s">
        <v>40027</v>
      </c>
      <c r="C3132" s="134" t="s">
        <v>509</v>
      </c>
      <c r="D3132" s="79">
        <v>1</v>
      </c>
      <c r="E3132" s="79">
        <v>136.19</v>
      </c>
      <c r="F3132" s="79">
        <v>136.19</v>
      </c>
      <c r="G3132" s="320"/>
      <c r="H3132" s="178">
        <v>136.19999999999999</v>
      </c>
      <c r="I3132" s="178">
        <v>167.53</v>
      </c>
      <c r="J3132" s="70">
        <v>-31.340000000000003</v>
      </c>
      <c r="K3132" s="320"/>
      <c r="L3132" s="178">
        <v>18.12</v>
      </c>
      <c r="M3132" s="178">
        <v>118.07</v>
      </c>
      <c r="N3132" s="179">
        <v>0</v>
      </c>
      <c r="O3132" s="178">
        <v>136.19</v>
      </c>
      <c r="P3132" s="453"/>
      <c r="Q3132" s="61"/>
      <c r="R3132" s="298"/>
      <c r="S3132" s="669"/>
      <c r="X3132" s="444">
        <v>3132</v>
      </c>
    </row>
    <row r="3133" spans="1:32" ht="24">
      <c r="A3133" s="63" t="s">
        <v>23447</v>
      </c>
      <c r="B3133" s="146" t="s">
        <v>23448</v>
      </c>
      <c r="C3133" s="134" t="s">
        <v>103</v>
      </c>
      <c r="D3133" s="79">
        <v>1</v>
      </c>
      <c r="E3133" s="79">
        <v>417.24</v>
      </c>
      <c r="F3133" s="79">
        <v>417.24</v>
      </c>
      <c r="G3133" s="320"/>
      <c r="H3133" s="178">
        <v>417.24</v>
      </c>
      <c r="I3133" s="178">
        <v>513.20000000000005</v>
      </c>
      <c r="J3133" s="70">
        <v>-95.960000000000036</v>
      </c>
      <c r="K3133" s="320"/>
      <c r="L3133" s="178">
        <v>7.0000000000000007E-2</v>
      </c>
      <c r="M3133" s="178">
        <v>417.17</v>
      </c>
      <c r="N3133" s="179">
        <v>0</v>
      </c>
      <c r="O3133" s="178">
        <v>417.24</v>
      </c>
      <c r="P3133" s="453"/>
      <c r="Q3133" s="61"/>
      <c r="R3133" s="298"/>
      <c r="S3133" s="669"/>
      <c r="X3133" s="444">
        <v>3133</v>
      </c>
    </row>
    <row r="3134" spans="1:32" ht="24">
      <c r="A3134" s="63" t="s">
        <v>23449</v>
      </c>
      <c r="B3134" s="146" t="s">
        <v>6186</v>
      </c>
      <c r="C3134" s="134" t="s">
        <v>103</v>
      </c>
      <c r="D3134" s="79">
        <v>1</v>
      </c>
      <c r="E3134" s="79">
        <v>404.21</v>
      </c>
      <c r="F3134" s="79">
        <v>404.21</v>
      </c>
      <c r="G3134" s="320"/>
      <c r="H3134" s="178">
        <v>404.2</v>
      </c>
      <c r="I3134" s="178">
        <v>497.16</v>
      </c>
      <c r="J3134" s="70">
        <v>-92.950000000000045</v>
      </c>
      <c r="K3134" s="320"/>
      <c r="L3134" s="178">
        <v>1</v>
      </c>
      <c r="M3134" s="178">
        <v>403.21</v>
      </c>
      <c r="N3134" s="179">
        <v>0</v>
      </c>
      <c r="O3134" s="178">
        <v>404.21</v>
      </c>
      <c r="P3134" s="453"/>
      <c r="Q3134" s="61"/>
      <c r="R3134" s="298"/>
      <c r="S3134" s="669"/>
      <c r="X3134" s="444">
        <v>3134</v>
      </c>
    </row>
    <row r="3135" spans="1:32" ht="12">
      <c r="A3135" s="83" t="s">
        <v>23450</v>
      </c>
      <c r="B3135" s="64" t="s">
        <v>23451</v>
      </c>
      <c r="C3135" s="71" t="s">
        <v>509</v>
      </c>
      <c r="D3135" s="79">
        <v>1</v>
      </c>
      <c r="E3135" s="79">
        <v>437.14000000000004</v>
      </c>
      <c r="F3135" s="79">
        <v>437.14</v>
      </c>
      <c r="G3135" s="320"/>
      <c r="H3135" s="178">
        <v>437.12</v>
      </c>
      <c r="I3135" s="178">
        <v>537.66</v>
      </c>
      <c r="J3135" s="70">
        <v>-100.51999999999992</v>
      </c>
      <c r="K3135" s="320"/>
      <c r="L3135" s="178">
        <v>235.39000000000001</v>
      </c>
      <c r="M3135" s="178">
        <v>201.75000000000003</v>
      </c>
      <c r="N3135" s="179">
        <v>0</v>
      </c>
      <c r="O3135" s="178">
        <v>437.14000000000004</v>
      </c>
      <c r="P3135" s="453"/>
      <c r="Q3135" s="61"/>
      <c r="R3135" s="298"/>
      <c r="S3135" s="669"/>
      <c r="X3135" s="444">
        <v>3135</v>
      </c>
    </row>
    <row r="3136" spans="1:32" ht="12">
      <c r="A3136" s="83" t="s">
        <v>23452</v>
      </c>
      <c r="B3136" s="64" t="s">
        <v>23453</v>
      </c>
      <c r="C3136" s="71" t="s">
        <v>509</v>
      </c>
      <c r="D3136" s="79">
        <v>1</v>
      </c>
      <c r="E3136" s="79">
        <v>522.63000000000011</v>
      </c>
      <c r="F3136" s="79">
        <v>522.63</v>
      </c>
      <c r="G3136" s="320"/>
      <c r="H3136" s="178">
        <v>522.63</v>
      </c>
      <c r="I3136" s="178">
        <v>642.83000000000004</v>
      </c>
      <c r="J3136" s="70">
        <v>-120.19999999999993</v>
      </c>
      <c r="K3136" s="320"/>
      <c r="L3136" s="178">
        <v>194.85000000000002</v>
      </c>
      <c r="M3136" s="178">
        <v>327.78000000000009</v>
      </c>
      <c r="N3136" s="179">
        <v>0</v>
      </c>
      <c r="O3136" s="178">
        <v>522.63000000000011</v>
      </c>
      <c r="P3136" s="453"/>
      <c r="Q3136" s="61"/>
      <c r="R3136" s="298"/>
      <c r="S3136" s="669"/>
      <c r="X3136" s="444">
        <v>3136</v>
      </c>
    </row>
    <row r="3137" spans="1:24" ht="24">
      <c r="A3137" s="63" t="s">
        <v>23454</v>
      </c>
      <c r="B3137" s="146" t="s">
        <v>23455</v>
      </c>
      <c r="C3137" s="134" t="s">
        <v>509</v>
      </c>
      <c r="D3137" s="79">
        <v>1</v>
      </c>
      <c r="E3137" s="79">
        <v>50.64</v>
      </c>
      <c r="F3137" s="79">
        <v>50.64</v>
      </c>
      <c r="G3137" s="320"/>
      <c r="H3137" s="178">
        <v>50.63</v>
      </c>
      <c r="I3137" s="178">
        <v>62.28</v>
      </c>
      <c r="J3137" s="70">
        <v>-11.64</v>
      </c>
      <c r="K3137" s="320"/>
      <c r="L3137" s="178"/>
      <c r="M3137" s="178">
        <v>50.64</v>
      </c>
      <c r="N3137" s="179">
        <v>0</v>
      </c>
      <c r="O3137" s="178">
        <v>50.64</v>
      </c>
      <c r="P3137" s="453"/>
      <c r="Q3137" s="61"/>
      <c r="R3137" s="298"/>
      <c r="S3137" s="669"/>
      <c r="X3137" s="444">
        <v>3137</v>
      </c>
    </row>
    <row r="3138" spans="1:24" ht="24">
      <c r="A3138" s="83" t="s">
        <v>23456</v>
      </c>
      <c r="B3138" s="64" t="s">
        <v>23457</v>
      </c>
      <c r="C3138" s="71" t="s">
        <v>165</v>
      </c>
      <c r="D3138" s="79">
        <v>1</v>
      </c>
      <c r="E3138" s="79">
        <v>105.21999999999998</v>
      </c>
      <c r="F3138" s="79">
        <v>105.22</v>
      </c>
      <c r="G3138" s="445"/>
      <c r="H3138" s="178">
        <v>105.21</v>
      </c>
      <c r="I3138" s="178">
        <v>129.41</v>
      </c>
      <c r="J3138" s="70">
        <v>-24.190000000000012</v>
      </c>
      <c r="K3138" s="320"/>
      <c r="L3138" s="178">
        <v>52.08</v>
      </c>
      <c r="M3138" s="178">
        <v>53.139999999999986</v>
      </c>
      <c r="N3138" s="179">
        <v>0</v>
      </c>
      <c r="O3138" s="178">
        <v>105.21999999999998</v>
      </c>
      <c r="P3138" s="453"/>
      <c r="Q3138" s="61"/>
      <c r="R3138" s="298"/>
      <c r="S3138" s="669"/>
      <c r="X3138" s="444">
        <v>3138</v>
      </c>
    </row>
    <row r="3139" spans="1:24" ht="24">
      <c r="A3139" s="83" t="s">
        <v>23458</v>
      </c>
      <c r="B3139" s="64" t="s">
        <v>23459</v>
      </c>
      <c r="C3139" s="71" t="s">
        <v>165</v>
      </c>
      <c r="D3139" s="79">
        <v>1</v>
      </c>
      <c r="E3139" s="79">
        <v>98.36999999999999</v>
      </c>
      <c r="F3139" s="79">
        <v>98.37</v>
      </c>
      <c r="G3139" s="445"/>
      <c r="H3139" s="178">
        <v>98.37</v>
      </c>
      <c r="I3139" s="178">
        <v>121</v>
      </c>
      <c r="J3139" s="70">
        <v>-22.63000000000001</v>
      </c>
      <c r="K3139" s="320"/>
      <c r="L3139" s="178">
        <v>52.08</v>
      </c>
      <c r="M3139" s="178">
        <v>46.289999999999992</v>
      </c>
      <c r="N3139" s="179">
        <v>0</v>
      </c>
      <c r="O3139" s="178">
        <v>98.36999999999999</v>
      </c>
      <c r="P3139" s="453"/>
      <c r="Q3139" s="61"/>
      <c r="R3139" s="298"/>
      <c r="S3139" s="669"/>
      <c r="X3139" s="444">
        <v>3139</v>
      </c>
    </row>
    <row r="3140" spans="1:24" ht="12">
      <c r="A3140" s="83" t="s">
        <v>23460</v>
      </c>
      <c r="B3140" s="64" t="s">
        <v>23461</v>
      </c>
      <c r="C3140" s="71" t="s">
        <v>509</v>
      </c>
      <c r="D3140" s="79">
        <v>1</v>
      </c>
      <c r="E3140" s="79">
        <v>25.43</v>
      </c>
      <c r="F3140" s="79">
        <v>25.43</v>
      </c>
      <c r="G3140" s="445"/>
      <c r="H3140" s="178">
        <v>25.44</v>
      </c>
      <c r="I3140" s="178">
        <v>31.29</v>
      </c>
      <c r="J3140" s="70">
        <v>-5.8599999999999994</v>
      </c>
      <c r="K3140" s="320"/>
      <c r="L3140" s="178">
        <v>5.35</v>
      </c>
      <c r="M3140" s="178">
        <v>20.079999999999998</v>
      </c>
      <c r="N3140" s="179">
        <v>0</v>
      </c>
      <c r="O3140" s="178">
        <v>25.43</v>
      </c>
      <c r="P3140" s="453"/>
      <c r="Q3140" s="61"/>
      <c r="R3140" s="298"/>
      <c r="S3140" s="669"/>
      <c r="X3140" s="444">
        <v>3140</v>
      </c>
    </row>
    <row r="3141" spans="1:24" ht="12">
      <c r="A3141" s="83" t="s">
        <v>23462</v>
      </c>
      <c r="B3141" s="64" t="s">
        <v>23463</v>
      </c>
      <c r="C3141" s="71" t="s">
        <v>165</v>
      </c>
      <c r="D3141" s="79">
        <v>1</v>
      </c>
      <c r="E3141" s="79">
        <v>28.240000000000002</v>
      </c>
      <c r="F3141" s="79">
        <v>28.24</v>
      </c>
      <c r="G3141" s="445"/>
      <c r="H3141" s="178">
        <v>28.24</v>
      </c>
      <c r="I3141" s="178">
        <v>34.74</v>
      </c>
      <c r="J3141" s="70">
        <v>-6.5</v>
      </c>
      <c r="K3141" s="320"/>
      <c r="L3141" s="178">
        <v>5.35</v>
      </c>
      <c r="M3141" s="178">
        <v>22.89</v>
      </c>
      <c r="N3141" s="179">
        <v>0</v>
      </c>
      <c r="O3141" s="178">
        <v>28.240000000000002</v>
      </c>
      <c r="P3141" s="453"/>
      <c r="Q3141" s="61"/>
      <c r="R3141" s="298"/>
      <c r="S3141" s="669"/>
      <c r="X3141" s="444">
        <v>3141</v>
      </c>
    </row>
    <row r="3142" spans="1:24" ht="12">
      <c r="A3142" s="83" t="s">
        <v>23464</v>
      </c>
      <c r="B3142" s="64" t="s">
        <v>23465</v>
      </c>
      <c r="C3142" s="71" t="s">
        <v>509</v>
      </c>
      <c r="D3142" s="79">
        <v>1</v>
      </c>
      <c r="E3142" s="79">
        <v>4.28</v>
      </c>
      <c r="F3142" s="79">
        <v>4.28</v>
      </c>
      <c r="G3142" s="320"/>
      <c r="H3142" s="178">
        <v>4.2699999999999996</v>
      </c>
      <c r="I3142" s="178">
        <v>5.25</v>
      </c>
      <c r="J3142" s="70">
        <v>-0.96999999999999975</v>
      </c>
      <c r="K3142" s="320"/>
      <c r="L3142" s="178">
        <v>4.28</v>
      </c>
      <c r="M3142" s="178">
        <v>0</v>
      </c>
      <c r="N3142" s="179">
        <v>0</v>
      </c>
      <c r="O3142" s="178">
        <v>4.28</v>
      </c>
      <c r="P3142" s="132"/>
      <c r="Q3142" s="61"/>
      <c r="R3142" s="298"/>
      <c r="S3142" s="669"/>
      <c r="T3142" s="61"/>
      <c r="X3142" s="444">
        <v>3142</v>
      </c>
    </row>
    <row r="3143" spans="1:24" ht="24">
      <c r="A3143" s="83" t="s">
        <v>23466</v>
      </c>
      <c r="B3143" s="64" t="s">
        <v>40028</v>
      </c>
      <c r="C3143" s="71" t="s">
        <v>509</v>
      </c>
      <c r="D3143" s="79">
        <v>1</v>
      </c>
      <c r="E3143" s="79">
        <v>430.35</v>
      </c>
      <c r="F3143" s="79">
        <v>430.35</v>
      </c>
      <c r="G3143" s="320"/>
      <c r="H3143" s="178">
        <v>430.37</v>
      </c>
      <c r="I3143" s="178">
        <v>529.35</v>
      </c>
      <c r="J3143" s="70">
        <v>-99</v>
      </c>
      <c r="K3143" s="320"/>
      <c r="L3143" s="178">
        <v>55.81</v>
      </c>
      <c r="M3143" s="178">
        <v>374.54</v>
      </c>
      <c r="N3143" s="179">
        <v>0</v>
      </c>
      <c r="O3143" s="178">
        <v>430.35</v>
      </c>
      <c r="P3143" s="132"/>
      <c r="Q3143" s="61"/>
      <c r="R3143" s="298"/>
      <c r="S3143" s="669"/>
      <c r="T3143" s="61"/>
      <c r="X3143" s="444">
        <v>3143</v>
      </c>
    </row>
    <row r="3144" spans="1:24" ht="12">
      <c r="A3144" s="83" t="s">
        <v>23467</v>
      </c>
      <c r="B3144" s="64" t="s">
        <v>23468</v>
      </c>
      <c r="C3144" s="71" t="s">
        <v>6170</v>
      </c>
      <c r="D3144" s="79">
        <v>1</v>
      </c>
      <c r="E3144" s="79">
        <v>29.45</v>
      </c>
      <c r="F3144" s="79">
        <v>29.45</v>
      </c>
      <c r="G3144" s="445"/>
      <c r="H3144" s="178">
        <v>29.45</v>
      </c>
      <c r="I3144" s="178">
        <v>36.22</v>
      </c>
      <c r="J3144" s="70">
        <v>-6.77</v>
      </c>
      <c r="K3144" s="320"/>
      <c r="L3144" s="178"/>
      <c r="M3144" s="178">
        <v>29.45</v>
      </c>
      <c r="N3144" s="179">
        <v>0</v>
      </c>
      <c r="O3144" s="178">
        <v>29.45</v>
      </c>
      <c r="P3144" s="453"/>
      <c r="Q3144" s="61"/>
      <c r="R3144" s="298"/>
      <c r="S3144" s="669"/>
      <c r="X3144" s="444">
        <v>3144</v>
      </c>
    </row>
    <row r="3145" spans="1:24" ht="12">
      <c r="A3145" s="83" t="s">
        <v>23469</v>
      </c>
      <c r="B3145" s="64" t="s">
        <v>23470</v>
      </c>
      <c r="C3145" s="71" t="s">
        <v>103</v>
      </c>
      <c r="D3145" s="79">
        <v>1</v>
      </c>
      <c r="E3145" s="79">
        <v>34.31</v>
      </c>
      <c r="F3145" s="79">
        <v>34.31</v>
      </c>
      <c r="G3145" s="445"/>
      <c r="H3145" s="178">
        <v>34.29</v>
      </c>
      <c r="I3145" s="178">
        <v>42.18</v>
      </c>
      <c r="J3145" s="70">
        <v>-7.8699999999999974</v>
      </c>
      <c r="K3145" s="320"/>
      <c r="L3145" s="178">
        <v>30.59</v>
      </c>
      <c r="M3145" s="178">
        <v>3.7200000000000024</v>
      </c>
      <c r="N3145" s="179">
        <v>0</v>
      </c>
      <c r="O3145" s="178">
        <v>34.31</v>
      </c>
      <c r="P3145" s="453"/>
      <c r="Q3145" s="61"/>
      <c r="R3145" s="298"/>
      <c r="S3145" s="669"/>
      <c r="X3145" s="444">
        <v>3145</v>
      </c>
    </row>
    <row r="3146" spans="1:24" ht="12">
      <c r="A3146" s="83" t="s">
        <v>23471</v>
      </c>
      <c r="B3146" s="64" t="s">
        <v>23472</v>
      </c>
      <c r="C3146" s="71" t="s">
        <v>103</v>
      </c>
      <c r="D3146" s="79">
        <v>1</v>
      </c>
      <c r="E3146" s="79">
        <v>25.42</v>
      </c>
      <c r="F3146" s="79">
        <v>25.42</v>
      </c>
      <c r="G3146" s="445"/>
      <c r="H3146" s="178">
        <v>25.41</v>
      </c>
      <c r="I3146" s="178">
        <v>31.25</v>
      </c>
      <c r="J3146" s="70">
        <v>-5.8299999999999983</v>
      </c>
      <c r="K3146" s="320"/>
      <c r="L3146" s="178">
        <v>25.42</v>
      </c>
      <c r="M3146" s="178">
        <v>0</v>
      </c>
      <c r="N3146" s="179">
        <v>0</v>
      </c>
      <c r="O3146" s="178">
        <v>25.42</v>
      </c>
      <c r="P3146" s="453"/>
      <c r="Q3146" s="61"/>
      <c r="R3146" s="298"/>
      <c r="S3146" s="669"/>
      <c r="X3146" s="444">
        <v>3146</v>
      </c>
    </row>
    <row r="3147" spans="1:24" ht="12">
      <c r="A3147" s="83" t="s">
        <v>23473</v>
      </c>
      <c r="B3147" s="64" t="s">
        <v>23474</v>
      </c>
      <c r="C3147" s="71" t="s">
        <v>103</v>
      </c>
      <c r="D3147" s="79">
        <v>1</v>
      </c>
      <c r="E3147" s="79">
        <v>10.17</v>
      </c>
      <c r="F3147" s="79">
        <v>10.17</v>
      </c>
      <c r="G3147" s="445"/>
      <c r="H3147" s="178">
        <v>10.16</v>
      </c>
      <c r="I3147" s="178">
        <v>12.5</v>
      </c>
      <c r="J3147" s="70">
        <v>-2.33</v>
      </c>
      <c r="K3147" s="320"/>
      <c r="L3147" s="178">
        <v>10.17</v>
      </c>
      <c r="M3147" s="178">
        <v>0</v>
      </c>
      <c r="N3147" s="179">
        <v>0</v>
      </c>
      <c r="O3147" s="178">
        <v>10.17</v>
      </c>
      <c r="P3147" s="453"/>
      <c r="Q3147" s="61"/>
      <c r="R3147" s="298"/>
      <c r="S3147" s="669"/>
      <c r="X3147" s="444">
        <v>3147</v>
      </c>
    </row>
    <row r="3148" spans="1:24" ht="12">
      <c r="A3148" s="83" t="s">
        <v>23475</v>
      </c>
      <c r="B3148" s="64" t="s">
        <v>23476</v>
      </c>
      <c r="C3148" s="71" t="s">
        <v>103</v>
      </c>
      <c r="D3148" s="79">
        <v>1</v>
      </c>
      <c r="E3148" s="79">
        <v>5.08</v>
      </c>
      <c r="F3148" s="79">
        <v>5.08</v>
      </c>
      <c r="G3148" s="445"/>
      <c r="H3148" s="178">
        <v>5.08</v>
      </c>
      <c r="I3148" s="178">
        <v>6.25</v>
      </c>
      <c r="J3148" s="70">
        <v>-1.17</v>
      </c>
      <c r="K3148" s="320"/>
      <c r="L3148" s="178">
        <v>5.08</v>
      </c>
      <c r="M3148" s="178">
        <v>0</v>
      </c>
      <c r="N3148" s="179">
        <v>0</v>
      </c>
      <c r="O3148" s="178">
        <v>5.08</v>
      </c>
      <c r="P3148" s="453"/>
      <c r="Q3148" s="61"/>
      <c r="R3148" s="298"/>
      <c r="S3148" s="669"/>
      <c r="X3148" s="444">
        <v>3148</v>
      </c>
    </row>
    <row r="3149" spans="1:24" ht="12">
      <c r="A3149" s="83" t="s">
        <v>23477</v>
      </c>
      <c r="B3149" s="64" t="s">
        <v>23478</v>
      </c>
      <c r="C3149" s="71" t="s">
        <v>103</v>
      </c>
      <c r="D3149" s="79">
        <v>1</v>
      </c>
      <c r="E3149" s="79">
        <v>50.82</v>
      </c>
      <c r="F3149" s="79">
        <v>50.82</v>
      </c>
      <c r="G3149" s="445"/>
      <c r="H3149" s="178">
        <v>50.81</v>
      </c>
      <c r="I3149" s="178">
        <v>62.5</v>
      </c>
      <c r="J3149" s="70">
        <v>-11.68</v>
      </c>
      <c r="K3149" s="320"/>
      <c r="L3149" s="178">
        <v>50.82</v>
      </c>
      <c r="M3149" s="178">
        <v>0</v>
      </c>
      <c r="N3149" s="179">
        <v>0</v>
      </c>
      <c r="O3149" s="178">
        <v>50.82</v>
      </c>
      <c r="P3149" s="453"/>
      <c r="Q3149" s="61"/>
      <c r="R3149" s="298"/>
      <c r="S3149" s="669"/>
      <c r="X3149" s="444">
        <v>3149</v>
      </c>
    </row>
    <row r="3150" spans="1:24" ht="12">
      <c r="A3150" s="83" t="s">
        <v>23479</v>
      </c>
      <c r="B3150" s="64" t="s">
        <v>23480</v>
      </c>
      <c r="C3150" s="71" t="s">
        <v>103</v>
      </c>
      <c r="D3150" s="79">
        <v>1</v>
      </c>
      <c r="E3150" s="79">
        <v>12.72</v>
      </c>
      <c r="F3150" s="79">
        <v>12.72</v>
      </c>
      <c r="G3150" s="445"/>
      <c r="H3150" s="178">
        <v>12.7</v>
      </c>
      <c r="I3150" s="178">
        <v>15.62</v>
      </c>
      <c r="J3150" s="70">
        <v>-2.8999999999999986</v>
      </c>
      <c r="K3150" s="320"/>
      <c r="L3150" s="178">
        <v>12.72</v>
      </c>
      <c r="M3150" s="178">
        <v>0</v>
      </c>
      <c r="N3150" s="179">
        <v>0</v>
      </c>
      <c r="O3150" s="178">
        <v>12.72</v>
      </c>
      <c r="P3150" s="453"/>
      <c r="Q3150" s="61"/>
      <c r="R3150" s="298"/>
      <c r="S3150" s="669"/>
      <c r="X3150" s="444">
        <v>3150</v>
      </c>
    </row>
    <row r="3151" spans="1:24" ht="12">
      <c r="A3151" s="83" t="s">
        <v>23481</v>
      </c>
      <c r="B3151" s="64" t="s">
        <v>23482</v>
      </c>
      <c r="C3151" s="71" t="s">
        <v>103</v>
      </c>
      <c r="D3151" s="79">
        <v>1</v>
      </c>
      <c r="E3151" s="79">
        <v>25.490000000000002</v>
      </c>
      <c r="F3151" s="79">
        <v>25.49</v>
      </c>
      <c r="G3151" s="445"/>
      <c r="H3151" s="178">
        <v>25.48</v>
      </c>
      <c r="I3151" s="178">
        <v>31.34</v>
      </c>
      <c r="J3151" s="70">
        <v>-5.8499999999999979</v>
      </c>
      <c r="K3151" s="320"/>
      <c r="L3151" s="178">
        <v>25.490000000000002</v>
      </c>
      <c r="M3151" s="178">
        <v>0</v>
      </c>
      <c r="N3151" s="179">
        <v>0</v>
      </c>
      <c r="O3151" s="178">
        <v>25.490000000000002</v>
      </c>
      <c r="P3151" s="453"/>
      <c r="Q3151" s="61"/>
      <c r="R3151" s="298"/>
      <c r="S3151" s="669"/>
      <c r="X3151" s="444">
        <v>3151</v>
      </c>
    </row>
    <row r="3152" spans="1:24" ht="12">
      <c r="A3152" s="83" t="s">
        <v>23483</v>
      </c>
      <c r="B3152" s="64" t="s">
        <v>23484</v>
      </c>
      <c r="C3152" s="71" t="s">
        <v>103</v>
      </c>
      <c r="D3152" s="79">
        <v>1</v>
      </c>
      <c r="E3152" s="79">
        <v>12.72</v>
      </c>
      <c r="F3152" s="79">
        <v>12.72</v>
      </c>
      <c r="G3152" s="445"/>
      <c r="H3152" s="178">
        <v>12.7</v>
      </c>
      <c r="I3152" s="178">
        <v>15.62</v>
      </c>
      <c r="J3152" s="70">
        <v>-2.8999999999999986</v>
      </c>
      <c r="K3152" s="320"/>
      <c r="L3152" s="178">
        <v>12.72</v>
      </c>
      <c r="M3152" s="178">
        <v>0</v>
      </c>
      <c r="N3152" s="179">
        <v>0</v>
      </c>
      <c r="O3152" s="178">
        <v>12.72</v>
      </c>
      <c r="P3152" s="453"/>
      <c r="Q3152" s="61"/>
      <c r="R3152" s="298"/>
      <c r="S3152" s="669"/>
      <c r="X3152" s="444">
        <v>3152</v>
      </c>
    </row>
    <row r="3153" spans="1:32" s="61" customFormat="1" ht="12">
      <c r="A3153" s="83" t="s">
        <v>23485</v>
      </c>
      <c r="B3153" s="64" t="s">
        <v>23486</v>
      </c>
      <c r="C3153" s="71" t="s">
        <v>10216</v>
      </c>
      <c r="D3153" s="79">
        <v>1</v>
      </c>
      <c r="E3153" s="79">
        <v>577.26</v>
      </c>
      <c r="F3153" s="79">
        <v>577.26</v>
      </c>
      <c r="G3153" s="445"/>
      <c r="H3153" s="178">
        <v>577.25</v>
      </c>
      <c r="I3153" s="178">
        <v>710.02</v>
      </c>
      <c r="J3153" s="70">
        <v>-132.76</v>
      </c>
      <c r="K3153" s="320"/>
      <c r="L3153" s="178"/>
      <c r="M3153" s="178">
        <v>577.26</v>
      </c>
      <c r="N3153" s="179">
        <v>0</v>
      </c>
      <c r="O3153" s="178">
        <v>577.26</v>
      </c>
      <c r="P3153" s="453"/>
      <c r="R3153" s="298"/>
      <c r="S3153" s="669"/>
      <c r="T3153" s="444"/>
      <c r="U3153" s="444"/>
      <c r="V3153" s="444"/>
      <c r="W3153" s="444"/>
      <c r="X3153" s="444">
        <v>3153</v>
      </c>
      <c r="Y3153" s="444"/>
      <c r="Z3153" s="444"/>
      <c r="AA3153" s="444"/>
      <c r="AB3153" s="444"/>
      <c r="AC3153" s="444"/>
      <c r="AD3153" s="444"/>
      <c r="AE3153" s="444"/>
      <c r="AF3153" s="444"/>
    </row>
    <row r="3154" spans="1:32" s="61" customFormat="1" ht="12">
      <c r="A3154" s="83" t="s">
        <v>23487</v>
      </c>
      <c r="B3154" s="64" t="s">
        <v>23488</v>
      </c>
      <c r="C3154" s="71" t="s">
        <v>103</v>
      </c>
      <c r="D3154" s="79">
        <v>1</v>
      </c>
      <c r="E3154" s="79">
        <v>13.65</v>
      </c>
      <c r="F3154" s="79">
        <v>13.65</v>
      </c>
      <c r="G3154" s="445"/>
      <c r="H3154" s="178">
        <v>13.65</v>
      </c>
      <c r="I3154" s="178">
        <v>16.79</v>
      </c>
      <c r="J3154" s="70">
        <v>-3.1399999999999988</v>
      </c>
      <c r="K3154" s="320"/>
      <c r="L3154" s="178">
        <v>13.65</v>
      </c>
      <c r="M3154" s="178">
        <v>0</v>
      </c>
      <c r="N3154" s="179">
        <v>0</v>
      </c>
      <c r="O3154" s="178">
        <v>13.65</v>
      </c>
      <c r="P3154" s="453"/>
      <c r="R3154" s="298"/>
      <c r="S3154" s="669"/>
      <c r="T3154" s="444"/>
      <c r="U3154" s="444"/>
      <c r="V3154" s="444"/>
      <c r="W3154" s="444"/>
      <c r="X3154" s="444">
        <v>3154</v>
      </c>
      <c r="Y3154" s="444"/>
      <c r="Z3154" s="444"/>
      <c r="AA3154" s="444"/>
      <c r="AB3154" s="444"/>
      <c r="AC3154" s="444"/>
      <c r="AD3154" s="444"/>
      <c r="AE3154" s="444"/>
      <c r="AF3154" s="444"/>
    </row>
    <row r="3155" spans="1:32" s="61" customFormat="1" ht="12">
      <c r="A3155" s="83" t="s">
        <v>23489</v>
      </c>
      <c r="B3155" s="64" t="s">
        <v>40029</v>
      </c>
      <c r="C3155" s="71" t="s">
        <v>103</v>
      </c>
      <c r="D3155" s="79">
        <v>1</v>
      </c>
      <c r="E3155" s="79">
        <v>47.230000000000004</v>
      </c>
      <c r="F3155" s="79">
        <v>47.23</v>
      </c>
      <c r="G3155" s="320"/>
      <c r="H3155" s="178">
        <v>47.22</v>
      </c>
      <c r="I3155" s="178">
        <v>58.08</v>
      </c>
      <c r="J3155" s="70">
        <v>-10.849999999999994</v>
      </c>
      <c r="K3155" s="320"/>
      <c r="L3155" s="178">
        <v>25.490000000000002</v>
      </c>
      <c r="M3155" s="178">
        <v>21.740000000000002</v>
      </c>
      <c r="N3155" s="179">
        <v>0</v>
      </c>
      <c r="O3155" s="178">
        <v>47.230000000000004</v>
      </c>
      <c r="P3155" s="453"/>
      <c r="R3155" s="298"/>
      <c r="S3155" s="669"/>
      <c r="T3155" s="69"/>
      <c r="U3155" s="444"/>
      <c r="V3155" s="444"/>
      <c r="W3155" s="444"/>
      <c r="X3155" s="444">
        <v>3155</v>
      </c>
      <c r="Y3155" s="444"/>
      <c r="Z3155" s="444"/>
      <c r="AA3155" s="444"/>
      <c r="AB3155" s="444"/>
      <c r="AC3155" s="444"/>
      <c r="AD3155" s="444"/>
      <c r="AE3155" s="444"/>
      <c r="AF3155" s="444"/>
    </row>
    <row r="3156" spans="1:32" s="61" customFormat="1" ht="12">
      <c r="A3156" s="63" t="s">
        <v>23490</v>
      </c>
      <c r="B3156" s="64" t="s">
        <v>23491</v>
      </c>
      <c r="C3156" s="71" t="s">
        <v>6170</v>
      </c>
      <c r="D3156" s="79">
        <v>1</v>
      </c>
      <c r="E3156" s="79">
        <v>18.25</v>
      </c>
      <c r="F3156" s="79">
        <v>18.25</v>
      </c>
      <c r="G3156" s="320"/>
      <c r="H3156" s="178">
        <v>18.239999999999998</v>
      </c>
      <c r="I3156" s="178">
        <v>22.44</v>
      </c>
      <c r="J3156" s="70">
        <v>-4.1900000000000013</v>
      </c>
      <c r="K3156" s="320"/>
      <c r="L3156" s="178">
        <v>0</v>
      </c>
      <c r="M3156" s="178">
        <v>18.25</v>
      </c>
      <c r="N3156" s="179">
        <v>0</v>
      </c>
      <c r="O3156" s="178">
        <v>18.25</v>
      </c>
      <c r="P3156" s="453"/>
      <c r="R3156" s="298"/>
      <c r="S3156" s="669"/>
      <c r="T3156" s="444"/>
      <c r="U3156" s="444"/>
      <c r="V3156" s="444"/>
      <c r="W3156" s="444"/>
      <c r="X3156" s="444">
        <v>3156</v>
      </c>
      <c r="Y3156" s="444"/>
      <c r="Z3156" s="444"/>
      <c r="AA3156" s="444"/>
      <c r="AB3156" s="444"/>
      <c r="AC3156" s="444"/>
      <c r="AD3156" s="444"/>
      <c r="AE3156" s="444"/>
      <c r="AF3156" s="444"/>
    </row>
    <row r="3157" spans="1:32" ht="24">
      <c r="A3157" s="63" t="s">
        <v>23492</v>
      </c>
      <c r="B3157" s="64" t="s">
        <v>40030</v>
      </c>
      <c r="C3157" s="71" t="s">
        <v>6170</v>
      </c>
      <c r="D3157" s="79">
        <v>1</v>
      </c>
      <c r="E3157" s="79">
        <v>11.88</v>
      </c>
      <c r="F3157" s="79">
        <v>11.88</v>
      </c>
      <c r="G3157" s="320"/>
      <c r="H3157" s="178">
        <v>11.88</v>
      </c>
      <c r="I3157" s="178">
        <v>14.61</v>
      </c>
      <c r="J3157" s="70">
        <v>-2.7299999999999986</v>
      </c>
      <c r="K3157" s="320"/>
      <c r="L3157" s="178">
        <v>0</v>
      </c>
      <c r="M3157" s="178">
        <v>11.88</v>
      </c>
      <c r="N3157" s="179">
        <v>0</v>
      </c>
      <c r="O3157" s="178">
        <v>11.88</v>
      </c>
      <c r="P3157" s="453"/>
      <c r="Q3157" s="61"/>
      <c r="R3157" s="298"/>
      <c r="S3157" s="669"/>
      <c r="X3157" s="444">
        <v>3157</v>
      </c>
    </row>
    <row r="3158" spans="1:32" ht="24">
      <c r="A3158" s="63" t="s">
        <v>23493</v>
      </c>
      <c r="B3158" s="64" t="s">
        <v>40031</v>
      </c>
      <c r="C3158" s="71" t="s">
        <v>6170</v>
      </c>
      <c r="D3158" s="79">
        <v>1</v>
      </c>
      <c r="E3158" s="79">
        <v>9.33</v>
      </c>
      <c r="F3158" s="79">
        <v>9.33</v>
      </c>
      <c r="G3158" s="320"/>
      <c r="H3158" s="178">
        <v>9.33</v>
      </c>
      <c r="I3158" s="178">
        <v>11.47</v>
      </c>
      <c r="J3158" s="70">
        <v>-2.1400000000000006</v>
      </c>
      <c r="K3158" s="320"/>
      <c r="L3158" s="178"/>
      <c r="M3158" s="178">
        <v>9.33</v>
      </c>
      <c r="N3158" s="179">
        <v>0</v>
      </c>
      <c r="O3158" s="178">
        <v>9.33</v>
      </c>
      <c r="P3158" s="453"/>
      <c r="Q3158" s="61"/>
      <c r="R3158" s="298"/>
      <c r="S3158" s="669"/>
      <c r="X3158" s="444">
        <v>3158</v>
      </c>
    </row>
    <row r="3159" spans="1:32" s="61" customFormat="1" ht="24">
      <c r="A3159" s="63" t="s">
        <v>23494</v>
      </c>
      <c r="B3159" s="64" t="s">
        <v>40032</v>
      </c>
      <c r="C3159" s="71" t="s">
        <v>6170</v>
      </c>
      <c r="D3159" s="79">
        <v>1</v>
      </c>
      <c r="E3159" s="79">
        <v>8.31</v>
      </c>
      <c r="F3159" s="79">
        <v>8.31</v>
      </c>
      <c r="G3159" s="320"/>
      <c r="H3159" s="178">
        <v>8.32</v>
      </c>
      <c r="I3159" s="178">
        <v>10.23</v>
      </c>
      <c r="J3159" s="70">
        <v>-1.92</v>
      </c>
      <c r="K3159" s="320"/>
      <c r="L3159" s="178"/>
      <c r="M3159" s="178">
        <v>8.31</v>
      </c>
      <c r="N3159" s="179">
        <v>0</v>
      </c>
      <c r="O3159" s="178">
        <v>8.31</v>
      </c>
      <c r="P3159" s="453"/>
      <c r="R3159" s="298"/>
      <c r="S3159" s="669"/>
      <c r="T3159" s="444"/>
      <c r="U3159" s="444"/>
      <c r="V3159" s="444"/>
      <c r="W3159" s="444"/>
      <c r="X3159" s="444">
        <v>3159</v>
      </c>
      <c r="Y3159" s="444"/>
      <c r="Z3159" s="444"/>
      <c r="AA3159" s="444"/>
      <c r="AB3159" s="444"/>
      <c r="AC3159" s="444"/>
      <c r="AD3159" s="444"/>
      <c r="AE3159" s="444"/>
      <c r="AF3159" s="444"/>
    </row>
    <row r="3160" spans="1:32" s="61" customFormat="1" ht="12">
      <c r="A3160" s="83" t="s">
        <v>40033</v>
      </c>
      <c r="B3160" s="64" t="s">
        <v>40034</v>
      </c>
      <c r="C3160" s="71"/>
      <c r="D3160" s="79" t="s">
        <v>40899</v>
      </c>
      <c r="E3160" s="79" t="s">
        <v>40899</v>
      </c>
      <c r="F3160" s="79"/>
      <c r="G3160" s="445"/>
      <c r="H3160" s="178"/>
      <c r="I3160" s="178"/>
      <c r="J3160" s="70"/>
      <c r="K3160" s="320"/>
      <c r="L3160" s="178"/>
      <c r="M3160" s="178"/>
      <c r="N3160" s="179"/>
      <c r="O3160" s="178"/>
      <c r="P3160" s="453"/>
      <c r="R3160" s="298"/>
      <c r="S3160" s="669"/>
      <c r="T3160" s="444"/>
      <c r="U3160" s="444"/>
      <c r="V3160" s="444"/>
      <c r="W3160" s="444"/>
      <c r="X3160" s="444">
        <v>3160</v>
      </c>
      <c r="Y3160" s="444"/>
      <c r="Z3160" s="444"/>
      <c r="AA3160" s="444"/>
      <c r="AB3160" s="444"/>
      <c r="AC3160" s="444"/>
      <c r="AD3160" s="444"/>
      <c r="AE3160" s="444"/>
      <c r="AF3160" s="444"/>
    </row>
    <row r="3161" spans="1:32" s="61" customFormat="1" ht="12">
      <c r="A3161" s="83" t="s">
        <v>23495</v>
      </c>
      <c r="B3161" s="64" t="s">
        <v>23496</v>
      </c>
      <c r="C3161" s="71" t="s">
        <v>103</v>
      </c>
      <c r="D3161" s="79">
        <v>1</v>
      </c>
      <c r="E3161" s="79">
        <v>1803.9299999999998</v>
      </c>
      <c r="F3161" s="79">
        <v>1803.93</v>
      </c>
      <c r="G3161" s="445"/>
      <c r="H3161" s="178">
        <v>1803.93</v>
      </c>
      <c r="I3161" s="178">
        <v>2218.84</v>
      </c>
      <c r="J3161" s="70">
        <v>-414.91000000000031</v>
      </c>
      <c r="K3161" s="320"/>
      <c r="L3161" s="178">
        <v>61.8</v>
      </c>
      <c r="M3161" s="178">
        <v>1742.1299999999999</v>
      </c>
      <c r="N3161" s="179">
        <v>0</v>
      </c>
      <c r="O3161" s="178">
        <v>1803.9299999999998</v>
      </c>
      <c r="P3161" s="453"/>
      <c r="R3161" s="298"/>
      <c r="S3161" s="669"/>
      <c r="T3161" s="444"/>
      <c r="U3161" s="444"/>
      <c r="V3161" s="444"/>
      <c r="W3161" s="444"/>
      <c r="X3161" s="444">
        <v>3161</v>
      </c>
      <c r="Y3161" s="444"/>
      <c r="Z3161" s="444"/>
      <c r="AA3161" s="444"/>
      <c r="AB3161" s="444"/>
      <c r="AC3161" s="444"/>
      <c r="AD3161" s="444"/>
      <c r="AE3161" s="444"/>
      <c r="AF3161" s="444"/>
    </row>
    <row r="3162" spans="1:32" s="61" customFormat="1" ht="12">
      <c r="A3162" s="83" t="s">
        <v>23497</v>
      </c>
      <c r="B3162" s="64" t="s">
        <v>23498</v>
      </c>
      <c r="C3162" s="71" t="s">
        <v>103</v>
      </c>
      <c r="D3162" s="79">
        <v>1</v>
      </c>
      <c r="E3162" s="79">
        <v>1591.23</v>
      </c>
      <c r="F3162" s="79">
        <v>1591.23</v>
      </c>
      <c r="G3162" s="445"/>
      <c r="H3162" s="178">
        <v>1591.22</v>
      </c>
      <c r="I3162" s="178">
        <v>1957.2</v>
      </c>
      <c r="J3162" s="70">
        <v>-365.97</v>
      </c>
      <c r="K3162" s="320"/>
      <c r="L3162" s="178">
        <v>63.49</v>
      </c>
      <c r="M3162" s="178">
        <v>1527.74</v>
      </c>
      <c r="N3162" s="179">
        <v>0</v>
      </c>
      <c r="O3162" s="178">
        <v>1591.23</v>
      </c>
      <c r="P3162" s="453"/>
      <c r="R3162" s="298"/>
      <c r="S3162" s="669"/>
      <c r="T3162" s="444"/>
      <c r="U3162" s="444"/>
      <c r="V3162" s="444"/>
      <c r="W3162" s="444"/>
      <c r="X3162" s="444">
        <v>3162</v>
      </c>
      <c r="Y3162" s="444"/>
      <c r="Z3162" s="444"/>
      <c r="AA3162" s="444"/>
      <c r="AB3162" s="444"/>
      <c r="AC3162" s="444"/>
      <c r="AD3162" s="444"/>
      <c r="AE3162" s="444"/>
      <c r="AF3162" s="444"/>
    </row>
    <row r="3163" spans="1:32" ht="12">
      <c r="A3163" s="83" t="s">
        <v>23499</v>
      </c>
      <c r="B3163" s="64" t="s">
        <v>23500</v>
      </c>
      <c r="C3163" s="71" t="s">
        <v>103</v>
      </c>
      <c r="D3163" s="79">
        <v>1</v>
      </c>
      <c r="E3163" s="79">
        <v>246.36</v>
      </c>
      <c r="F3163" s="79">
        <v>246.36</v>
      </c>
      <c r="G3163" s="445"/>
      <c r="H3163" s="178">
        <v>246.34</v>
      </c>
      <c r="I3163" s="178">
        <v>303</v>
      </c>
      <c r="J3163" s="70">
        <v>-56.639999999999986</v>
      </c>
      <c r="K3163" s="320"/>
      <c r="L3163" s="178">
        <v>206.44</v>
      </c>
      <c r="M3163" s="178">
        <v>39.920000000000016</v>
      </c>
      <c r="N3163" s="179">
        <v>0</v>
      </c>
      <c r="O3163" s="178">
        <v>246.36</v>
      </c>
      <c r="P3163" s="453"/>
      <c r="Q3163" s="61"/>
      <c r="R3163" s="298"/>
      <c r="S3163" s="669"/>
      <c r="X3163" s="444">
        <v>3163</v>
      </c>
    </row>
    <row r="3164" spans="1:32" ht="12">
      <c r="A3164" s="83" t="s">
        <v>23501</v>
      </c>
      <c r="B3164" s="64" t="s">
        <v>23502</v>
      </c>
      <c r="C3164" s="71" t="s">
        <v>103</v>
      </c>
      <c r="D3164" s="79">
        <v>1</v>
      </c>
      <c r="E3164" s="79">
        <v>710.1</v>
      </c>
      <c r="F3164" s="79">
        <v>710.1</v>
      </c>
      <c r="G3164" s="445"/>
      <c r="H3164" s="178">
        <v>710.11</v>
      </c>
      <c r="I3164" s="178">
        <v>873.44</v>
      </c>
      <c r="J3164" s="70">
        <v>-163.34000000000003</v>
      </c>
      <c r="K3164" s="320"/>
      <c r="L3164" s="178">
        <v>91.93</v>
      </c>
      <c r="M3164" s="178">
        <v>618.17000000000007</v>
      </c>
      <c r="N3164" s="179">
        <v>0</v>
      </c>
      <c r="O3164" s="178">
        <v>710.10000000000014</v>
      </c>
      <c r="P3164" s="453"/>
      <c r="Q3164" s="61"/>
      <c r="R3164" s="298"/>
      <c r="S3164" s="669"/>
      <c r="X3164" s="444">
        <v>3164</v>
      </c>
    </row>
    <row r="3165" spans="1:32" ht="12">
      <c r="A3165" s="83" t="s">
        <v>23503</v>
      </c>
      <c r="B3165" s="64" t="s">
        <v>23504</v>
      </c>
      <c r="C3165" s="71" t="s">
        <v>103</v>
      </c>
      <c r="D3165" s="79">
        <v>1</v>
      </c>
      <c r="E3165" s="79">
        <v>1095.25</v>
      </c>
      <c r="F3165" s="79">
        <v>1095.25</v>
      </c>
      <c r="G3165" s="445"/>
      <c r="H3165" s="178">
        <v>1095.25</v>
      </c>
      <c r="I3165" s="178">
        <v>1347.16</v>
      </c>
      <c r="J3165" s="70">
        <v>-251.91000000000008</v>
      </c>
      <c r="K3165" s="320"/>
      <c r="L3165" s="178">
        <v>106.83000000000001</v>
      </c>
      <c r="M3165" s="178">
        <v>988.42</v>
      </c>
      <c r="N3165" s="179">
        <v>0</v>
      </c>
      <c r="O3165" s="178">
        <v>1095.25</v>
      </c>
      <c r="P3165" s="453"/>
      <c r="Q3165" s="61"/>
      <c r="R3165" s="298"/>
      <c r="S3165" s="669"/>
      <c r="X3165" s="444">
        <v>3165</v>
      </c>
    </row>
    <row r="3166" spans="1:32" ht="12">
      <c r="A3166" s="83" t="s">
        <v>23505</v>
      </c>
      <c r="B3166" s="64" t="s">
        <v>23506</v>
      </c>
      <c r="C3166" s="71" t="s">
        <v>103</v>
      </c>
      <c r="D3166" s="79">
        <v>1</v>
      </c>
      <c r="E3166" s="79">
        <v>367.74</v>
      </c>
      <c r="F3166" s="79">
        <v>367.74</v>
      </c>
      <c r="G3166" s="320"/>
      <c r="H3166" s="178">
        <v>367.74</v>
      </c>
      <c r="I3166" s="178">
        <v>452.32</v>
      </c>
      <c r="J3166" s="70">
        <v>-84.579999999999984</v>
      </c>
      <c r="K3166" s="320"/>
      <c r="L3166" s="178">
        <v>19.560000000000002</v>
      </c>
      <c r="M3166" s="178">
        <v>348.18</v>
      </c>
      <c r="N3166" s="179">
        <v>0</v>
      </c>
      <c r="O3166" s="178">
        <v>367.74</v>
      </c>
      <c r="P3166" s="453"/>
      <c r="Q3166" s="61"/>
      <c r="R3166" s="298"/>
      <c r="S3166" s="669"/>
      <c r="X3166" s="444">
        <v>3166</v>
      </c>
    </row>
    <row r="3167" spans="1:32" ht="12">
      <c r="A3167" s="83" t="s">
        <v>23507</v>
      </c>
      <c r="B3167" s="64" t="s">
        <v>23508</v>
      </c>
      <c r="C3167" s="71" t="s">
        <v>103</v>
      </c>
      <c r="D3167" s="79">
        <v>1</v>
      </c>
      <c r="E3167" s="79">
        <v>2019.78</v>
      </c>
      <c r="F3167" s="79">
        <v>2019.78</v>
      </c>
      <c r="G3167" s="320"/>
      <c r="H3167" s="178">
        <v>2019.8</v>
      </c>
      <c r="I3167" s="178">
        <v>2484.35</v>
      </c>
      <c r="J3167" s="70">
        <v>-464.56999999999994</v>
      </c>
      <c r="K3167" s="320"/>
      <c r="L3167" s="178">
        <v>348.18</v>
      </c>
      <c r="M3167" s="178">
        <v>1303.8599999999999</v>
      </c>
      <c r="N3167" s="179">
        <v>367.74</v>
      </c>
      <c r="O3167" s="178">
        <v>2019.78</v>
      </c>
      <c r="P3167" s="132"/>
      <c r="Q3167" s="61"/>
      <c r="R3167" s="298"/>
      <c r="S3167" s="669"/>
      <c r="T3167" s="61"/>
      <c r="X3167" s="444">
        <v>3167</v>
      </c>
    </row>
    <row r="3168" spans="1:32" ht="12">
      <c r="A3168" s="83" t="s">
        <v>23509</v>
      </c>
      <c r="B3168" s="64" t="s">
        <v>23510</v>
      </c>
      <c r="C3168" s="71" t="s">
        <v>103</v>
      </c>
      <c r="D3168" s="79">
        <v>1</v>
      </c>
      <c r="E3168" s="79">
        <v>980.6</v>
      </c>
      <c r="F3168" s="79">
        <v>980.6</v>
      </c>
      <c r="G3168" s="320"/>
      <c r="H3168" s="178">
        <v>980.59</v>
      </c>
      <c r="I3168" s="178">
        <v>1206.1300000000001</v>
      </c>
      <c r="J3168" s="70">
        <v>-225.53000000000009</v>
      </c>
      <c r="K3168" s="320"/>
      <c r="L3168" s="178">
        <v>597.36</v>
      </c>
      <c r="M3168" s="178">
        <v>383.24</v>
      </c>
      <c r="N3168" s="179">
        <v>0</v>
      </c>
      <c r="O3168" s="178">
        <v>980.6</v>
      </c>
      <c r="P3168" s="453"/>
      <c r="Q3168" s="61"/>
      <c r="R3168" s="298"/>
      <c r="S3168" s="669"/>
      <c r="X3168" s="444">
        <v>3168</v>
      </c>
    </row>
    <row r="3169" spans="1:32" ht="12">
      <c r="A3169" s="83" t="s">
        <v>23511</v>
      </c>
      <c r="B3169" s="64" t="s">
        <v>23512</v>
      </c>
      <c r="C3169" s="71" t="s">
        <v>103</v>
      </c>
      <c r="D3169" s="79">
        <v>1</v>
      </c>
      <c r="E3169" s="79">
        <v>369.19</v>
      </c>
      <c r="F3169" s="79">
        <v>369.19</v>
      </c>
      <c r="G3169" s="320"/>
      <c r="H3169" s="178">
        <v>369.2</v>
      </c>
      <c r="I3169" s="178">
        <v>454.11</v>
      </c>
      <c r="J3169" s="70">
        <v>-84.920000000000016</v>
      </c>
      <c r="K3169" s="320"/>
      <c r="L3169" s="178">
        <v>19.560000000000002</v>
      </c>
      <c r="M3169" s="178">
        <v>349.63</v>
      </c>
      <c r="N3169" s="179">
        <v>0</v>
      </c>
      <c r="O3169" s="178">
        <v>369.19</v>
      </c>
      <c r="P3169" s="453"/>
      <c r="Q3169" s="61"/>
      <c r="R3169" s="298"/>
      <c r="S3169" s="669"/>
      <c r="X3169" s="444">
        <v>3169</v>
      </c>
    </row>
    <row r="3170" spans="1:32" ht="12">
      <c r="A3170" s="83" t="s">
        <v>23513</v>
      </c>
      <c r="B3170" s="64" t="s">
        <v>23514</v>
      </c>
      <c r="C3170" s="71" t="s">
        <v>103</v>
      </c>
      <c r="D3170" s="79">
        <v>1</v>
      </c>
      <c r="E3170" s="79">
        <v>1235.52</v>
      </c>
      <c r="F3170" s="79">
        <v>1235.52</v>
      </c>
      <c r="G3170" s="320"/>
      <c r="H3170" s="178">
        <v>1235.52</v>
      </c>
      <c r="I3170" s="178">
        <v>1519.69</v>
      </c>
      <c r="J3170" s="70">
        <v>-284.17000000000007</v>
      </c>
      <c r="K3170" s="320"/>
      <c r="L3170" s="178">
        <v>349.63</v>
      </c>
      <c r="M3170" s="178">
        <v>516.70000000000005</v>
      </c>
      <c r="N3170" s="179">
        <v>369.19</v>
      </c>
      <c r="O3170" s="178">
        <v>1235.52</v>
      </c>
      <c r="P3170" s="132"/>
      <c r="Q3170" s="61"/>
      <c r="R3170" s="298"/>
      <c r="S3170" s="669"/>
      <c r="T3170" s="61"/>
      <c r="X3170" s="444">
        <v>3170</v>
      </c>
    </row>
    <row r="3171" spans="1:32" ht="36">
      <c r="A3171" s="83" t="s">
        <v>23515</v>
      </c>
      <c r="B3171" s="64" t="s">
        <v>40035</v>
      </c>
      <c r="C3171" s="71" t="s">
        <v>165</v>
      </c>
      <c r="D3171" s="79">
        <v>1</v>
      </c>
      <c r="E3171" s="79">
        <v>366.41</v>
      </c>
      <c r="F3171" s="79">
        <v>366.41</v>
      </c>
      <c r="G3171" s="320"/>
      <c r="H3171" s="178">
        <v>366.41</v>
      </c>
      <c r="I3171" s="178">
        <v>450.68</v>
      </c>
      <c r="J3171" s="70">
        <v>-84.269999999999982</v>
      </c>
      <c r="K3171" s="320"/>
      <c r="L3171" s="178">
        <v>199.60000000000002</v>
      </c>
      <c r="M3171" s="178">
        <v>166.81</v>
      </c>
      <c r="N3171" s="179">
        <v>0</v>
      </c>
      <c r="O3171" s="178">
        <v>366.41</v>
      </c>
      <c r="P3171" s="453"/>
      <c r="Q3171" s="61"/>
      <c r="R3171" s="298"/>
      <c r="S3171" s="669"/>
      <c r="X3171" s="444">
        <v>3171</v>
      </c>
    </row>
    <row r="3172" spans="1:32" ht="24">
      <c r="A3172" s="83" t="s">
        <v>23516</v>
      </c>
      <c r="B3172" s="64" t="s">
        <v>40036</v>
      </c>
      <c r="C3172" s="71" t="s">
        <v>103</v>
      </c>
      <c r="D3172" s="79">
        <v>1</v>
      </c>
      <c r="E3172" s="79">
        <v>232.77</v>
      </c>
      <c r="F3172" s="79">
        <v>232.77</v>
      </c>
      <c r="G3172" s="320"/>
      <c r="H3172" s="178">
        <v>232.77</v>
      </c>
      <c r="I3172" s="178">
        <v>286.31</v>
      </c>
      <c r="J3172" s="70">
        <v>-53.539999999999992</v>
      </c>
      <c r="K3172" s="320"/>
      <c r="L3172" s="178">
        <v>19.560000000000002</v>
      </c>
      <c r="M3172" s="178">
        <v>213.21</v>
      </c>
      <c r="N3172" s="179">
        <v>0</v>
      </c>
      <c r="O3172" s="178">
        <v>232.77</v>
      </c>
      <c r="P3172" s="132"/>
      <c r="Q3172" s="61"/>
      <c r="R3172" s="298"/>
      <c r="S3172" s="669"/>
      <c r="T3172" s="61"/>
      <c r="X3172" s="444">
        <v>3172</v>
      </c>
    </row>
    <row r="3173" spans="1:32" s="73" customFormat="1" ht="24">
      <c r="A3173" s="83" t="s">
        <v>23517</v>
      </c>
      <c r="B3173" s="64" t="s">
        <v>23518</v>
      </c>
      <c r="C3173" s="71" t="s">
        <v>103</v>
      </c>
      <c r="D3173" s="79">
        <v>1</v>
      </c>
      <c r="E3173" s="79">
        <v>51.11</v>
      </c>
      <c r="F3173" s="79">
        <v>51.11</v>
      </c>
      <c r="G3173" s="320"/>
      <c r="H3173" s="178">
        <v>51.12</v>
      </c>
      <c r="I3173" s="178">
        <v>62.88</v>
      </c>
      <c r="J3173" s="70">
        <v>-11.770000000000003</v>
      </c>
      <c r="K3173" s="320"/>
      <c r="L3173" s="178">
        <v>9.06</v>
      </c>
      <c r="M3173" s="178">
        <v>42.05</v>
      </c>
      <c r="N3173" s="179">
        <v>0</v>
      </c>
      <c r="O3173" s="178">
        <v>51.11</v>
      </c>
      <c r="P3173" s="132"/>
      <c r="Q3173" s="61"/>
      <c r="R3173" s="298"/>
      <c r="S3173" s="669"/>
      <c r="T3173" s="61"/>
      <c r="U3173" s="444"/>
      <c r="V3173" s="444"/>
      <c r="W3173" s="444"/>
      <c r="X3173" s="444">
        <v>3173</v>
      </c>
      <c r="Y3173" s="444"/>
      <c r="Z3173" s="444"/>
      <c r="AA3173" s="444"/>
      <c r="AB3173" s="444"/>
      <c r="AC3173" s="444"/>
      <c r="AD3173" s="444"/>
      <c r="AE3173" s="444"/>
      <c r="AF3173" s="444"/>
    </row>
    <row r="3174" spans="1:32" s="73" customFormat="1" ht="24">
      <c r="A3174" s="83" t="s">
        <v>23519</v>
      </c>
      <c r="B3174" s="64" t="s">
        <v>23520</v>
      </c>
      <c r="C3174" s="71" t="s">
        <v>103</v>
      </c>
      <c r="D3174" s="79">
        <v>1</v>
      </c>
      <c r="E3174" s="79">
        <v>465.95</v>
      </c>
      <c r="F3174" s="79">
        <v>465.95</v>
      </c>
      <c r="G3174" s="320"/>
      <c r="H3174" s="178">
        <v>465.93</v>
      </c>
      <c r="I3174" s="178">
        <v>573.09</v>
      </c>
      <c r="J3174" s="70">
        <v>-107.14000000000004</v>
      </c>
      <c r="K3174" s="320"/>
      <c r="L3174" s="178">
        <v>21.15</v>
      </c>
      <c r="M3174" s="178">
        <v>398.27</v>
      </c>
      <c r="N3174" s="179">
        <v>46.53</v>
      </c>
      <c r="O3174" s="178">
        <v>465.94999999999993</v>
      </c>
      <c r="P3174" s="132"/>
      <c r="Q3174" s="61"/>
      <c r="R3174" s="298"/>
      <c r="S3174" s="669"/>
      <c r="T3174" s="61"/>
      <c r="U3174" s="444"/>
      <c r="V3174" s="444"/>
      <c r="W3174" s="444"/>
      <c r="X3174" s="444">
        <v>3174</v>
      </c>
      <c r="Y3174" s="444"/>
      <c r="Z3174" s="444"/>
      <c r="AA3174" s="444"/>
      <c r="AB3174" s="444"/>
      <c r="AC3174" s="444"/>
      <c r="AD3174" s="444"/>
      <c r="AE3174" s="444"/>
      <c r="AF3174" s="444"/>
    </row>
    <row r="3175" spans="1:32" s="73" customFormat="1" ht="12">
      <c r="A3175" s="83" t="s">
        <v>23521</v>
      </c>
      <c r="B3175" s="64" t="s">
        <v>23522</v>
      </c>
      <c r="C3175" s="71" t="s">
        <v>103</v>
      </c>
      <c r="D3175" s="79">
        <v>1</v>
      </c>
      <c r="E3175" s="79">
        <v>278.67</v>
      </c>
      <c r="F3175" s="79">
        <v>278.67</v>
      </c>
      <c r="G3175" s="445"/>
      <c r="H3175" s="178">
        <v>278.68</v>
      </c>
      <c r="I3175" s="178">
        <v>342.78</v>
      </c>
      <c r="J3175" s="70">
        <v>-64.109999999999957</v>
      </c>
      <c r="K3175" s="320"/>
      <c r="L3175" s="178">
        <v>233.43</v>
      </c>
      <c r="M3175" s="178">
        <v>45.240000000000009</v>
      </c>
      <c r="N3175" s="179">
        <v>0</v>
      </c>
      <c r="O3175" s="178">
        <v>278.67</v>
      </c>
      <c r="P3175" s="453"/>
      <c r="Q3175" s="61"/>
      <c r="R3175" s="298"/>
      <c r="S3175" s="669"/>
      <c r="T3175" s="444"/>
      <c r="U3175" s="444"/>
      <c r="V3175" s="444"/>
      <c r="W3175" s="444"/>
      <c r="X3175" s="444">
        <v>3175</v>
      </c>
      <c r="Y3175" s="444"/>
      <c r="Z3175" s="444"/>
      <c r="AA3175" s="444"/>
      <c r="AB3175" s="444"/>
      <c r="AC3175" s="444"/>
      <c r="AD3175" s="444"/>
      <c r="AE3175" s="444"/>
      <c r="AF3175" s="444"/>
    </row>
    <row r="3176" spans="1:32" s="73" customFormat="1" ht="12">
      <c r="A3176" s="83" t="s">
        <v>40037</v>
      </c>
      <c r="B3176" s="64" t="s">
        <v>40038</v>
      </c>
      <c r="C3176" s="71"/>
      <c r="D3176" s="79" t="s">
        <v>40899</v>
      </c>
      <c r="E3176" s="79" t="s">
        <v>40899</v>
      </c>
      <c r="F3176" s="79"/>
      <c r="G3176" s="445"/>
      <c r="H3176" s="178"/>
      <c r="I3176" s="178"/>
      <c r="J3176" s="70"/>
      <c r="K3176" s="320"/>
      <c r="L3176" s="178"/>
      <c r="M3176" s="178"/>
      <c r="N3176" s="179"/>
      <c r="O3176" s="178"/>
      <c r="P3176" s="453"/>
      <c r="Q3176" s="61"/>
      <c r="R3176" s="298"/>
      <c r="S3176" s="669"/>
      <c r="T3176" s="444"/>
      <c r="U3176" s="444"/>
      <c r="V3176" s="444"/>
      <c r="W3176" s="444"/>
      <c r="X3176" s="444">
        <v>3176</v>
      </c>
      <c r="Y3176" s="444"/>
      <c r="Z3176" s="444"/>
      <c r="AA3176" s="444"/>
      <c r="AB3176" s="444"/>
      <c r="AC3176" s="444"/>
      <c r="AD3176" s="444"/>
      <c r="AE3176" s="444"/>
      <c r="AF3176" s="444"/>
    </row>
    <row r="3177" spans="1:32" ht="12">
      <c r="A3177" s="83" t="s">
        <v>23523</v>
      </c>
      <c r="B3177" s="64" t="s">
        <v>40017</v>
      </c>
      <c r="C3177" s="71" t="s">
        <v>165</v>
      </c>
      <c r="D3177" s="79">
        <v>1</v>
      </c>
      <c r="E3177" s="79">
        <v>81.209999999999994</v>
      </c>
      <c r="F3177" s="79">
        <v>81.209999999999994</v>
      </c>
      <c r="G3177" s="445"/>
      <c r="H3177" s="178">
        <v>81.2</v>
      </c>
      <c r="I3177" s="178">
        <v>99.88</v>
      </c>
      <c r="J3177" s="70">
        <v>-18.670000000000002</v>
      </c>
      <c r="K3177" s="320"/>
      <c r="L3177" s="178">
        <v>50.97</v>
      </c>
      <c r="M3177" s="178">
        <v>30.239999999999995</v>
      </c>
      <c r="N3177" s="179">
        <v>0</v>
      </c>
      <c r="O3177" s="178">
        <v>81.209999999999994</v>
      </c>
      <c r="P3177" s="453"/>
      <c r="Q3177" s="61"/>
      <c r="R3177" s="298"/>
      <c r="S3177" s="669"/>
      <c r="U3177" s="61"/>
      <c r="V3177" s="61"/>
      <c r="W3177" s="61"/>
      <c r="X3177" s="444">
        <v>3177</v>
      </c>
      <c r="Y3177" s="61"/>
      <c r="Z3177" s="61"/>
      <c r="AA3177" s="61"/>
      <c r="AB3177" s="61"/>
      <c r="AC3177" s="61"/>
      <c r="AD3177" s="61"/>
      <c r="AE3177" s="61"/>
      <c r="AF3177" s="61"/>
    </row>
    <row r="3178" spans="1:32" ht="12">
      <c r="A3178" s="83" t="s">
        <v>23524</v>
      </c>
      <c r="B3178" s="64" t="s">
        <v>40018</v>
      </c>
      <c r="C3178" s="71" t="s">
        <v>165</v>
      </c>
      <c r="D3178" s="79">
        <v>1</v>
      </c>
      <c r="E3178" s="79">
        <v>121.09</v>
      </c>
      <c r="F3178" s="79">
        <v>121.09</v>
      </c>
      <c r="G3178" s="445"/>
      <c r="H3178" s="178">
        <v>121.07</v>
      </c>
      <c r="I3178" s="178">
        <v>148.91</v>
      </c>
      <c r="J3178" s="70">
        <v>-27.819999999999993</v>
      </c>
      <c r="K3178" s="320"/>
      <c r="L3178" s="178">
        <v>61.18</v>
      </c>
      <c r="M3178" s="178">
        <v>59.910000000000004</v>
      </c>
      <c r="N3178" s="179">
        <v>0</v>
      </c>
      <c r="O3178" s="178">
        <v>121.09</v>
      </c>
      <c r="P3178" s="453"/>
      <c r="Q3178" s="61"/>
      <c r="R3178" s="298"/>
      <c r="S3178" s="669"/>
      <c r="U3178" s="61"/>
      <c r="V3178" s="61"/>
      <c r="W3178" s="61"/>
      <c r="X3178" s="444">
        <v>3178</v>
      </c>
      <c r="Y3178" s="61"/>
      <c r="Z3178" s="61"/>
      <c r="AA3178" s="61"/>
      <c r="AB3178" s="61"/>
      <c r="AC3178" s="61"/>
      <c r="AD3178" s="61"/>
      <c r="AE3178" s="61"/>
      <c r="AF3178" s="61"/>
    </row>
    <row r="3179" spans="1:32" ht="12">
      <c r="A3179" s="83" t="s">
        <v>23525</v>
      </c>
      <c r="B3179" s="64" t="s">
        <v>23526</v>
      </c>
      <c r="C3179" s="71" t="s">
        <v>103</v>
      </c>
      <c r="D3179" s="79">
        <v>1</v>
      </c>
      <c r="E3179" s="79">
        <v>1367.7700000000002</v>
      </c>
      <c r="F3179" s="79">
        <v>1367.77</v>
      </c>
      <c r="G3179" s="445"/>
      <c r="H3179" s="178">
        <v>1367.75</v>
      </c>
      <c r="I3179" s="178">
        <v>1682.33</v>
      </c>
      <c r="J3179" s="70">
        <v>-314.55999999999972</v>
      </c>
      <c r="K3179" s="320"/>
      <c r="L3179" s="178">
        <v>899.85</v>
      </c>
      <c r="M3179" s="178">
        <v>467.92000000000019</v>
      </c>
      <c r="N3179" s="179">
        <v>0</v>
      </c>
      <c r="O3179" s="178">
        <v>1367.7700000000002</v>
      </c>
      <c r="P3179" s="453"/>
      <c r="Q3179" s="61"/>
      <c r="R3179" s="298"/>
      <c r="S3179" s="669"/>
      <c r="U3179" s="61"/>
      <c r="V3179" s="61"/>
      <c r="W3179" s="61"/>
      <c r="X3179" s="444">
        <v>3179</v>
      </c>
      <c r="Y3179" s="61"/>
      <c r="Z3179" s="61"/>
      <c r="AA3179" s="61"/>
      <c r="AB3179" s="61"/>
      <c r="AC3179" s="61"/>
      <c r="AD3179" s="61"/>
      <c r="AE3179" s="61"/>
      <c r="AF3179" s="61"/>
    </row>
    <row r="3180" spans="1:32" ht="12">
      <c r="A3180" s="83" t="s">
        <v>23527</v>
      </c>
      <c r="B3180" s="64" t="s">
        <v>23528</v>
      </c>
      <c r="C3180" s="71" t="s">
        <v>103</v>
      </c>
      <c r="D3180" s="79">
        <v>1</v>
      </c>
      <c r="E3180" s="79">
        <v>1785.99</v>
      </c>
      <c r="F3180" s="79">
        <v>1785.99</v>
      </c>
      <c r="G3180" s="445"/>
      <c r="H3180" s="178">
        <v>1786.02</v>
      </c>
      <c r="I3180" s="178">
        <v>2196.81</v>
      </c>
      <c r="J3180" s="70">
        <v>-410.81999999999994</v>
      </c>
      <c r="K3180" s="320"/>
      <c r="L3180" s="178">
        <v>1022.18</v>
      </c>
      <c r="M3180" s="178">
        <v>763.81000000000006</v>
      </c>
      <c r="N3180" s="179">
        <v>0</v>
      </c>
      <c r="O3180" s="178">
        <v>1785.99</v>
      </c>
      <c r="P3180" s="453"/>
      <c r="Q3180" s="61"/>
      <c r="R3180" s="298"/>
      <c r="S3180" s="669"/>
      <c r="U3180" s="61"/>
      <c r="V3180" s="61"/>
      <c r="W3180" s="61"/>
      <c r="X3180" s="444">
        <v>3180</v>
      </c>
      <c r="Y3180" s="61"/>
      <c r="Z3180" s="61"/>
      <c r="AA3180" s="61"/>
      <c r="AB3180" s="61"/>
      <c r="AC3180" s="61"/>
      <c r="AD3180" s="61"/>
      <c r="AE3180" s="61"/>
      <c r="AF3180" s="61"/>
    </row>
    <row r="3181" spans="1:32" ht="12">
      <c r="A3181" s="83" t="s">
        <v>23529</v>
      </c>
      <c r="B3181" s="64" t="s">
        <v>23530</v>
      </c>
      <c r="C3181" s="71" t="s">
        <v>103</v>
      </c>
      <c r="D3181" s="79">
        <v>1</v>
      </c>
      <c r="E3181" s="79">
        <v>721.12</v>
      </c>
      <c r="F3181" s="79">
        <v>721.12</v>
      </c>
      <c r="G3181" s="445"/>
      <c r="H3181" s="178">
        <v>721.09</v>
      </c>
      <c r="I3181" s="178">
        <v>886.94</v>
      </c>
      <c r="J3181" s="70">
        <v>-165.82000000000005</v>
      </c>
      <c r="K3181" s="320"/>
      <c r="L3181" s="178">
        <v>498.18999999999994</v>
      </c>
      <c r="M3181" s="178">
        <v>222.93000000000006</v>
      </c>
      <c r="N3181" s="179">
        <v>0</v>
      </c>
      <c r="O3181" s="178">
        <v>721.12</v>
      </c>
      <c r="P3181" s="453"/>
      <c r="Q3181" s="61"/>
      <c r="R3181" s="298"/>
      <c r="S3181" s="669"/>
      <c r="U3181" s="61"/>
      <c r="V3181" s="61"/>
      <c r="W3181" s="61"/>
      <c r="X3181" s="444">
        <v>3181</v>
      </c>
      <c r="Y3181" s="61"/>
      <c r="Z3181" s="61"/>
      <c r="AA3181" s="61"/>
      <c r="AB3181" s="61"/>
      <c r="AC3181" s="61"/>
      <c r="AD3181" s="61"/>
      <c r="AE3181" s="61"/>
      <c r="AF3181" s="61"/>
    </row>
    <row r="3182" spans="1:32" ht="12">
      <c r="A3182" s="83" t="s">
        <v>23531</v>
      </c>
      <c r="B3182" s="64" t="s">
        <v>23532</v>
      </c>
      <c r="C3182" s="71" t="s">
        <v>103</v>
      </c>
      <c r="D3182" s="79">
        <v>1</v>
      </c>
      <c r="E3182" s="79">
        <v>5815.01</v>
      </c>
      <c r="F3182" s="79">
        <v>5815.01</v>
      </c>
      <c r="G3182" s="445"/>
      <c r="H3182" s="178">
        <v>5815.01</v>
      </c>
      <c r="I3182" s="178">
        <v>7152.46</v>
      </c>
      <c r="J3182" s="70">
        <v>-1337.4499999999998</v>
      </c>
      <c r="K3182" s="320"/>
      <c r="L3182" s="178">
        <v>2604.7700000000004</v>
      </c>
      <c r="M3182" s="178">
        <v>3210.24</v>
      </c>
      <c r="N3182" s="179">
        <v>0</v>
      </c>
      <c r="O3182" s="178">
        <v>5815.01</v>
      </c>
      <c r="P3182" s="453"/>
      <c r="Q3182" s="61"/>
      <c r="R3182" s="298"/>
      <c r="S3182" s="669"/>
      <c r="U3182" s="61"/>
      <c r="V3182" s="61"/>
      <c r="W3182" s="61"/>
      <c r="X3182" s="444">
        <v>3182</v>
      </c>
      <c r="Y3182" s="61"/>
      <c r="Z3182" s="61"/>
      <c r="AA3182" s="61"/>
      <c r="AB3182" s="61"/>
      <c r="AC3182" s="61"/>
      <c r="AD3182" s="61"/>
      <c r="AE3182" s="61"/>
      <c r="AF3182" s="61"/>
    </row>
    <row r="3183" spans="1:32" s="73" customFormat="1" ht="12">
      <c r="A3183" s="83" t="s">
        <v>23533</v>
      </c>
      <c r="B3183" s="64" t="s">
        <v>23409</v>
      </c>
      <c r="C3183" s="71" t="s">
        <v>121</v>
      </c>
      <c r="D3183" s="79">
        <v>1</v>
      </c>
      <c r="E3183" s="79">
        <v>111.66999999999999</v>
      </c>
      <c r="F3183" s="79">
        <v>111.67</v>
      </c>
      <c r="G3183" s="445"/>
      <c r="H3183" s="178">
        <v>111.66</v>
      </c>
      <c r="I3183" s="178">
        <v>137.34</v>
      </c>
      <c r="J3183" s="70">
        <v>-25.670000000000016</v>
      </c>
      <c r="K3183" s="320"/>
      <c r="L3183" s="178">
        <v>111.66999999999999</v>
      </c>
      <c r="M3183" s="178">
        <v>0</v>
      </c>
      <c r="N3183" s="179">
        <v>0</v>
      </c>
      <c r="O3183" s="178">
        <v>111.66999999999999</v>
      </c>
      <c r="P3183" s="453"/>
      <c r="Q3183" s="61"/>
      <c r="R3183" s="298"/>
      <c r="S3183" s="669"/>
      <c r="T3183" s="444"/>
      <c r="U3183" s="444"/>
      <c r="V3183" s="444"/>
      <c r="W3183" s="444"/>
      <c r="X3183" s="444">
        <v>3183</v>
      </c>
      <c r="Y3183" s="444"/>
      <c r="Z3183" s="444"/>
      <c r="AA3183" s="444"/>
      <c r="AB3183" s="444"/>
      <c r="AC3183" s="444"/>
      <c r="AD3183" s="444"/>
      <c r="AE3183" s="444"/>
      <c r="AF3183" s="444"/>
    </row>
    <row r="3184" spans="1:32" s="73" customFormat="1" ht="12">
      <c r="A3184" s="83" t="s">
        <v>23534</v>
      </c>
      <c r="B3184" s="64" t="s">
        <v>23411</v>
      </c>
      <c r="C3184" s="71" t="s">
        <v>121</v>
      </c>
      <c r="D3184" s="79">
        <v>1</v>
      </c>
      <c r="E3184" s="79">
        <v>970.48</v>
      </c>
      <c r="F3184" s="79">
        <v>970.48</v>
      </c>
      <c r="G3184" s="445"/>
      <c r="H3184" s="178">
        <v>970.46</v>
      </c>
      <c r="I3184" s="178">
        <v>1193.67</v>
      </c>
      <c r="J3184" s="70">
        <v>-223.19000000000005</v>
      </c>
      <c r="K3184" s="320"/>
      <c r="L3184" s="178">
        <v>609.16999999999996</v>
      </c>
      <c r="M3184" s="178">
        <v>361.31000000000006</v>
      </c>
      <c r="N3184" s="179">
        <v>0</v>
      </c>
      <c r="O3184" s="178">
        <v>970.48</v>
      </c>
      <c r="P3184" s="453"/>
      <c r="Q3184" s="61"/>
      <c r="R3184" s="298"/>
      <c r="S3184" s="669"/>
      <c r="T3184" s="444"/>
      <c r="U3184" s="444"/>
      <c r="V3184" s="444"/>
      <c r="W3184" s="444"/>
      <c r="X3184" s="444">
        <v>3184</v>
      </c>
      <c r="Y3184" s="444"/>
      <c r="Z3184" s="444"/>
      <c r="AA3184" s="444"/>
      <c r="AB3184" s="444"/>
      <c r="AC3184" s="444"/>
      <c r="AD3184" s="444"/>
      <c r="AE3184" s="444"/>
      <c r="AF3184" s="444"/>
    </row>
    <row r="3185" spans="1:32" ht="12">
      <c r="A3185" s="83" t="s">
        <v>23535</v>
      </c>
      <c r="B3185" s="64" t="s">
        <v>23413</v>
      </c>
      <c r="C3185" s="71" t="s">
        <v>509</v>
      </c>
      <c r="D3185" s="79">
        <v>1</v>
      </c>
      <c r="E3185" s="79">
        <v>284.27</v>
      </c>
      <c r="F3185" s="79">
        <v>284.27</v>
      </c>
      <c r="G3185" s="445"/>
      <c r="H3185" s="178">
        <v>284.26</v>
      </c>
      <c r="I3185" s="178">
        <v>349.64</v>
      </c>
      <c r="J3185" s="70">
        <v>-65.37</v>
      </c>
      <c r="K3185" s="320"/>
      <c r="L3185" s="178">
        <v>196.03000000000003</v>
      </c>
      <c r="M3185" s="178">
        <v>88.239999999999952</v>
      </c>
      <c r="N3185" s="179">
        <v>0</v>
      </c>
      <c r="O3185" s="178">
        <v>284.27</v>
      </c>
      <c r="P3185" s="453"/>
      <c r="Q3185" s="61"/>
      <c r="R3185" s="298"/>
      <c r="S3185" s="669"/>
      <c r="U3185" s="61"/>
      <c r="V3185" s="61"/>
      <c r="W3185" s="61"/>
      <c r="X3185" s="444">
        <v>3185</v>
      </c>
      <c r="Y3185" s="61"/>
      <c r="Z3185" s="61"/>
      <c r="AA3185" s="61"/>
      <c r="AB3185" s="61"/>
      <c r="AC3185" s="61"/>
      <c r="AD3185" s="61"/>
      <c r="AE3185" s="61"/>
      <c r="AF3185" s="61"/>
    </row>
    <row r="3186" spans="1:32" ht="12">
      <c r="A3186" s="83" t="s">
        <v>23536</v>
      </c>
      <c r="B3186" s="64" t="s">
        <v>23415</v>
      </c>
      <c r="C3186" s="71" t="s">
        <v>509</v>
      </c>
      <c r="D3186" s="79">
        <v>1</v>
      </c>
      <c r="E3186" s="79">
        <v>413.4199999999999</v>
      </c>
      <c r="F3186" s="79">
        <v>413.42</v>
      </c>
      <c r="G3186" s="445"/>
      <c r="H3186" s="178">
        <v>413.4</v>
      </c>
      <c r="I3186" s="178">
        <v>508.48</v>
      </c>
      <c r="J3186" s="70">
        <v>-95.060000000000116</v>
      </c>
      <c r="K3186" s="320"/>
      <c r="L3186" s="178">
        <v>254.5</v>
      </c>
      <c r="M3186" s="178">
        <v>158.9199999999999</v>
      </c>
      <c r="N3186" s="179">
        <v>0</v>
      </c>
      <c r="O3186" s="178">
        <v>413.4199999999999</v>
      </c>
      <c r="P3186" s="453"/>
      <c r="Q3186" s="61"/>
      <c r="R3186" s="298"/>
      <c r="S3186" s="669"/>
      <c r="U3186" s="61"/>
      <c r="V3186" s="61"/>
      <c r="W3186" s="61"/>
      <c r="X3186" s="444">
        <v>3186</v>
      </c>
      <c r="Y3186" s="61"/>
      <c r="Z3186" s="61"/>
      <c r="AA3186" s="61"/>
      <c r="AB3186" s="61"/>
      <c r="AC3186" s="61"/>
      <c r="AD3186" s="61"/>
      <c r="AE3186" s="61"/>
      <c r="AF3186" s="61"/>
    </row>
    <row r="3187" spans="1:32" ht="12">
      <c r="A3187" s="83" t="s">
        <v>23537</v>
      </c>
      <c r="B3187" s="64" t="s">
        <v>23417</v>
      </c>
      <c r="C3187" s="71" t="s">
        <v>509</v>
      </c>
      <c r="D3187" s="79">
        <v>1</v>
      </c>
      <c r="E3187" s="79">
        <v>217.51000000000002</v>
      </c>
      <c r="F3187" s="79">
        <v>217.51</v>
      </c>
      <c r="G3187" s="445"/>
      <c r="H3187" s="178">
        <v>217.5</v>
      </c>
      <c r="I3187" s="178">
        <v>267.52</v>
      </c>
      <c r="J3187" s="70">
        <v>-50.009999999999962</v>
      </c>
      <c r="K3187" s="320"/>
      <c r="L3187" s="178">
        <v>141.61000000000001</v>
      </c>
      <c r="M3187" s="178">
        <v>75.900000000000006</v>
      </c>
      <c r="N3187" s="179">
        <v>0</v>
      </c>
      <c r="O3187" s="178">
        <v>217.51000000000002</v>
      </c>
      <c r="P3187" s="453"/>
      <c r="Q3187" s="61"/>
      <c r="R3187" s="298"/>
      <c r="S3187" s="669"/>
      <c r="T3187" s="73"/>
      <c r="X3187" s="444">
        <v>3187</v>
      </c>
    </row>
    <row r="3188" spans="1:32" ht="12">
      <c r="A3188" s="83" t="s">
        <v>23538</v>
      </c>
      <c r="B3188" s="64" t="s">
        <v>23539</v>
      </c>
      <c r="C3188" s="71" t="s">
        <v>103</v>
      </c>
      <c r="D3188" s="79">
        <v>1</v>
      </c>
      <c r="E3188" s="79">
        <v>7181.0600000000013</v>
      </c>
      <c r="F3188" s="79">
        <v>7181.06</v>
      </c>
      <c r="G3188" s="445"/>
      <c r="H3188" s="178">
        <v>7181.03</v>
      </c>
      <c r="I3188" s="178">
        <v>8832.67</v>
      </c>
      <c r="J3188" s="70">
        <v>-1651.6099999999988</v>
      </c>
      <c r="K3188" s="320"/>
      <c r="L3188" s="178">
        <v>2922.1400000000003</v>
      </c>
      <c r="M3188" s="178">
        <v>4258.920000000001</v>
      </c>
      <c r="N3188" s="179">
        <v>0</v>
      </c>
      <c r="O3188" s="178">
        <v>7181.0600000000013</v>
      </c>
      <c r="P3188" s="453"/>
      <c r="Q3188" s="61"/>
      <c r="R3188" s="298"/>
      <c r="S3188" s="669"/>
      <c r="T3188" s="73"/>
      <c r="X3188" s="444">
        <v>3188</v>
      </c>
    </row>
    <row r="3189" spans="1:32" s="61" customFormat="1" ht="12">
      <c r="A3189" s="83" t="s">
        <v>23540</v>
      </c>
      <c r="B3189" s="64" t="s">
        <v>23541</v>
      </c>
      <c r="C3189" s="71" t="s">
        <v>103</v>
      </c>
      <c r="D3189" s="79">
        <v>1</v>
      </c>
      <c r="E3189" s="79">
        <v>11640.580000000002</v>
      </c>
      <c r="F3189" s="79">
        <v>11640.58</v>
      </c>
      <c r="G3189" s="445"/>
      <c r="H3189" s="178">
        <v>11640.59</v>
      </c>
      <c r="I3189" s="178">
        <v>14317.92</v>
      </c>
      <c r="J3189" s="70">
        <v>-2677.3399999999983</v>
      </c>
      <c r="K3189" s="320"/>
      <c r="L3189" s="178">
        <v>4770.67</v>
      </c>
      <c r="M3189" s="178">
        <v>6869.9100000000017</v>
      </c>
      <c r="N3189" s="179">
        <v>0</v>
      </c>
      <c r="O3189" s="178">
        <v>11640.580000000002</v>
      </c>
      <c r="P3189" s="453"/>
      <c r="R3189" s="298"/>
      <c r="S3189" s="669"/>
      <c r="T3189" s="73"/>
      <c r="U3189" s="444"/>
      <c r="V3189" s="444"/>
      <c r="W3189" s="444"/>
      <c r="X3189" s="444">
        <v>3189</v>
      </c>
      <c r="Y3189" s="444"/>
      <c r="Z3189" s="444"/>
      <c r="AA3189" s="444"/>
      <c r="AB3189" s="444"/>
      <c r="AC3189" s="444"/>
      <c r="AD3189" s="444"/>
      <c r="AE3189" s="444"/>
      <c r="AF3189" s="444"/>
    </row>
    <row r="3190" spans="1:32" s="61" customFormat="1" ht="12">
      <c r="A3190" s="83" t="s">
        <v>23542</v>
      </c>
      <c r="B3190" s="64" t="s">
        <v>23543</v>
      </c>
      <c r="C3190" s="71" t="s">
        <v>103</v>
      </c>
      <c r="D3190" s="79">
        <v>1</v>
      </c>
      <c r="E3190" s="79">
        <v>729.02999999999986</v>
      </c>
      <c r="F3190" s="79">
        <v>729.03</v>
      </c>
      <c r="G3190" s="445"/>
      <c r="H3190" s="178">
        <v>729</v>
      </c>
      <c r="I3190" s="178">
        <v>896.67</v>
      </c>
      <c r="J3190" s="70">
        <v>-167.6400000000001</v>
      </c>
      <c r="K3190" s="320"/>
      <c r="L3190" s="178">
        <v>415.34</v>
      </c>
      <c r="M3190" s="178">
        <v>313.68999999999988</v>
      </c>
      <c r="N3190" s="179">
        <v>0</v>
      </c>
      <c r="O3190" s="178">
        <v>729.02999999999986</v>
      </c>
      <c r="P3190" s="453"/>
      <c r="R3190" s="298"/>
      <c r="S3190" s="669"/>
      <c r="T3190" s="73"/>
      <c r="U3190" s="444"/>
      <c r="V3190" s="444"/>
      <c r="W3190" s="444"/>
      <c r="X3190" s="444">
        <v>3190</v>
      </c>
      <c r="Y3190" s="444"/>
      <c r="Z3190" s="444"/>
      <c r="AA3190" s="444"/>
      <c r="AB3190" s="444"/>
      <c r="AC3190" s="444"/>
      <c r="AD3190" s="444"/>
      <c r="AE3190" s="444"/>
      <c r="AF3190" s="444"/>
    </row>
    <row r="3191" spans="1:32" s="61" customFormat="1" ht="12">
      <c r="A3191" s="83" t="s">
        <v>23544</v>
      </c>
      <c r="B3191" s="64" t="s">
        <v>23545</v>
      </c>
      <c r="C3191" s="71" t="s">
        <v>103</v>
      </c>
      <c r="D3191" s="79">
        <v>1</v>
      </c>
      <c r="E3191" s="79">
        <v>991.86</v>
      </c>
      <c r="F3191" s="79">
        <v>991.86</v>
      </c>
      <c r="G3191" s="445"/>
      <c r="H3191" s="178">
        <v>991.87</v>
      </c>
      <c r="I3191" s="178">
        <v>1220</v>
      </c>
      <c r="J3191" s="70">
        <v>-228.14</v>
      </c>
      <c r="K3191" s="320"/>
      <c r="L3191" s="178">
        <v>570.12</v>
      </c>
      <c r="M3191" s="178">
        <v>421.74</v>
      </c>
      <c r="N3191" s="179">
        <v>0</v>
      </c>
      <c r="O3191" s="178">
        <v>991.86</v>
      </c>
      <c r="P3191" s="453"/>
      <c r="R3191" s="298"/>
      <c r="S3191" s="669"/>
      <c r="T3191" s="444"/>
      <c r="U3191" s="444"/>
      <c r="V3191" s="444"/>
      <c r="W3191" s="444"/>
      <c r="X3191" s="444">
        <v>3191</v>
      </c>
      <c r="Y3191" s="444"/>
      <c r="Z3191" s="444"/>
      <c r="AA3191" s="444"/>
      <c r="AB3191" s="444"/>
      <c r="AC3191" s="444"/>
      <c r="AD3191" s="444"/>
      <c r="AE3191" s="444"/>
      <c r="AF3191" s="444"/>
    </row>
    <row r="3192" spans="1:32" ht="12">
      <c r="A3192" s="83" t="s">
        <v>23546</v>
      </c>
      <c r="B3192" s="64" t="s">
        <v>23547</v>
      </c>
      <c r="C3192" s="71" t="s">
        <v>103</v>
      </c>
      <c r="D3192" s="79">
        <v>1</v>
      </c>
      <c r="E3192" s="79">
        <v>1248.1799999999998</v>
      </c>
      <c r="F3192" s="79">
        <v>1248.18</v>
      </c>
      <c r="G3192" s="445"/>
      <c r="H3192" s="178">
        <v>1248.2</v>
      </c>
      <c r="I3192" s="178">
        <v>1535.28</v>
      </c>
      <c r="J3192" s="70">
        <v>-287.10000000000014</v>
      </c>
      <c r="K3192" s="320"/>
      <c r="L3192" s="178">
        <v>729.08999999999992</v>
      </c>
      <c r="M3192" s="178">
        <v>519.08999999999992</v>
      </c>
      <c r="N3192" s="179">
        <v>0</v>
      </c>
      <c r="O3192" s="178">
        <v>1248.1799999999998</v>
      </c>
      <c r="P3192" s="453"/>
      <c r="Q3192" s="61"/>
      <c r="R3192" s="298"/>
      <c r="S3192" s="669"/>
      <c r="X3192" s="444">
        <v>3192</v>
      </c>
    </row>
    <row r="3193" spans="1:32" ht="12">
      <c r="A3193" s="83" t="s">
        <v>23548</v>
      </c>
      <c r="B3193" s="64" t="s">
        <v>23549</v>
      </c>
      <c r="C3193" s="71" t="s">
        <v>103</v>
      </c>
      <c r="D3193" s="79">
        <v>1</v>
      </c>
      <c r="E3193" s="79">
        <v>21585.780000000002</v>
      </c>
      <c r="F3193" s="79">
        <v>21585.78</v>
      </c>
      <c r="G3193" s="445"/>
      <c r="H3193" s="178">
        <v>21585.77</v>
      </c>
      <c r="I3193" s="178">
        <v>26550.5</v>
      </c>
      <c r="J3193" s="70">
        <v>-4964.7199999999975</v>
      </c>
      <c r="K3193" s="320"/>
      <c r="L3193" s="178">
        <v>13985.87</v>
      </c>
      <c r="M3193" s="178">
        <v>7599.9100000000017</v>
      </c>
      <c r="N3193" s="179">
        <v>0</v>
      </c>
      <c r="O3193" s="178">
        <v>21585.780000000002</v>
      </c>
      <c r="P3193" s="453"/>
      <c r="Q3193" s="61"/>
      <c r="R3193" s="298"/>
      <c r="S3193" s="669"/>
      <c r="X3193" s="444">
        <v>3193</v>
      </c>
    </row>
    <row r="3194" spans="1:32" ht="12">
      <c r="A3194" s="83" t="s">
        <v>23550</v>
      </c>
      <c r="B3194" s="64" t="s">
        <v>23551</v>
      </c>
      <c r="C3194" s="71" t="s">
        <v>103</v>
      </c>
      <c r="D3194" s="79">
        <v>1</v>
      </c>
      <c r="E3194" s="79">
        <v>24482.980000000003</v>
      </c>
      <c r="F3194" s="79">
        <v>24482.98</v>
      </c>
      <c r="G3194" s="445"/>
      <c r="H3194" s="178">
        <v>24482.95</v>
      </c>
      <c r="I3194" s="178">
        <v>30114.03</v>
      </c>
      <c r="J3194" s="70">
        <v>-5631.0499999999956</v>
      </c>
      <c r="K3194" s="320"/>
      <c r="L3194" s="178">
        <v>15815.35</v>
      </c>
      <c r="M3194" s="178">
        <v>8667.6300000000028</v>
      </c>
      <c r="N3194" s="179">
        <v>0</v>
      </c>
      <c r="O3194" s="178">
        <v>24482.980000000003</v>
      </c>
      <c r="P3194" s="453"/>
      <c r="Q3194" s="61"/>
      <c r="R3194" s="298"/>
      <c r="S3194" s="669"/>
      <c r="X3194" s="444">
        <v>3194</v>
      </c>
    </row>
    <row r="3195" spans="1:32" ht="12">
      <c r="A3195" s="83" t="s">
        <v>23552</v>
      </c>
      <c r="B3195" s="64" t="s">
        <v>23553</v>
      </c>
      <c r="C3195" s="71" t="s">
        <v>103</v>
      </c>
      <c r="D3195" s="79">
        <v>1</v>
      </c>
      <c r="E3195" s="79">
        <v>31529.170000000009</v>
      </c>
      <c r="F3195" s="79">
        <v>31529.17</v>
      </c>
      <c r="G3195" s="445"/>
      <c r="H3195" s="178">
        <v>31529.16</v>
      </c>
      <c r="I3195" s="178">
        <v>38780.870000000003</v>
      </c>
      <c r="J3195" s="70">
        <v>-7251.6999999999935</v>
      </c>
      <c r="K3195" s="320"/>
      <c r="L3195" s="178">
        <v>20151.52</v>
      </c>
      <c r="M3195" s="178">
        <v>11377.650000000009</v>
      </c>
      <c r="N3195" s="179">
        <v>0</v>
      </c>
      <c r="O3195" s="178">
        <v>31529.170000000009</v>
      </c>
      <c r="P3195" s="453"/>
      <c r="Q3195" s="61"/>
      <c r="R3195" s="298"/>
      <c r="S3195" s="669"/>
      <c r="X3195" s="444">
        <v>3195</v>
      </c>
    </row>
    <row r="3196" spans="1:32" ht="12">
      <c r="A3196" s="83" t="s">
        <v>23554</v>
      </c>
      <c r="B3196" s="64" t="s">
        <v>23555</v>
      </c>
      <c r="C3196" s="71" t="s">
        <v>103</v>
      </c>
      <c r="D3196" s="79">
        <v>1</v>
      </c>
      <c r="E3196" s="79">
        <v>31938.230000000007</v>
      </c>
      <c r="F3196" s="79">
        <v>31938.23</v>
      </c>
      <c r="G3196" s="445"/>
      <c r="H3196" s="178">
        <v>31938.17</v>
      </c>
      <c r="I3196" s="178">
        <v>39283.949999999997</v>
      </c>
      <c r="J3196" s="70">
        <v>-7345.7199999999903</v>
      </c>
      <c r="K3196" s="320"/>
      <c r="L3196" s="178">
        <v>20577.050000000003</v>
      </c>
      <c r="M3196" s="178">
        <v>11361.180000000004</v>
      </c>
      <c r="N3196" s="179">
        <v>0</v>
      </c>
      <c r="O3196" s="178">
        <v>31938.230000000007</v>
      </c>
      <c r="P3196" s="453"/>
      <c r="Q3196" s="61"/>
      <c r="R3196" s="298"/>
      <c r="S3196" s="669"/>
      <c r="T3196" s="73"/>
      <c r="X3196" s="444">
        <v>3196</v>
      </c>
    </row>
    <row r="3197" spans="1:32" ht="12">
      <c r="A3197" s="83" t="s">
        <v>23556</v>
      </c>
      <c r="B3197" s="64" t="s">
        <v>23557</v>
      </c>
      <c r="C3197" s="71" t="s">
        <v>103</v>
      </c>
      <c r="D3197" s="79">
        <v>1</v>
      </c>
      <c r="E3197" s="79">
        <v>36327.53</v>
      </c>
      <c r="F3197" s="79">
        <v>36327.53</v>
      </c>
      <c r="G3197" s="445"/>
      <c r="H3197" s="178">
        <v>36327.519999999997</v>
      </c>
      <c r="I3197" s="178">
        <v>44682.85</v>
      </c>
      <c r="J3197" s="70">
        <v>-8355.32</v>
      </c>
      <c r="K3197" s="320"/>
      <c r="L3197" s="178">
        <v>23488.67</v>
      </c>
      <c r="M3197" s="178">
        <v>12838.86</v>
      </c>
      <c r="N3197" s="179">
        <v>0</v>
      </c>
      <c r="O3197" s="178">
        <v>36327.53</v>
      </c>
      <c r="P3197" s="453"/>
      <c r="Q3197" s="61"/>
      <c r="R3197" s="298"/>
      <c r="S3197" s="669"/>
      <c r="X3197" s="444">
        <v>3197</v>
      </c>
    </row>
    <row r="3198" spans="1:32" ht="12">
      <c r="A3198" s="83" t="s">
        <v>23558</v>
      </c>
      <c r="B3198" s="64" t="s">
        <v>23559</v>
      </c>
      <c r="C3198" s="71" t="s">
        <v>103</v>
      </c>
      <c r="D3198" s="79">
        <v>1</v>
      </c>
      <c r="E3198" s="79">
        <v>40027.510000000009</v>
      </c>
      <c r="F3198" s="79">
        <v>40027.51</v>
      </c>
      <c r="G3198" s="445"/>
      <c r="H3198" s="178">
        <v>40027.519999999997</v>
      </c>
      <c r="I3198" s="178">
        <v>49233.85</v>
      </c>
      <c r="J3198" s="70">
        <v>-9206.3399999999892</v>
      </c>
      <c r="K3198" s="320"/>
      <c r="L3198" s="178">
        <v>26048.010000000002</v>
      </c>
      <c r="M3198" s="178">
        <v>13979.500000000007</v>
      </c>
      <c r="N3198" s="179">
        <v>0</v>
      </c>
      <c r="O3198" s="178">
        <v>40027.510000000009</v>
      </c>
      <c r="P3198" s="453"/>
      <c r="Q3198" s="61"/>
      <c r="R3198" s="298"/>
      <c r="S3198" s="669"/>
      <c r="T3198" s="73"/>
      <c r="X3198" s="444">
        <v>3198</v>
      </c>
    </row>
    <row r="3199" spans="1:32" ht="12">
      <c r="A3199" s="83" t="s">
        <v>23560</v>
      </c>
      <c r="B3199" s="64" t="s">
        <v>23561</v>
      </c>
      <c r="C3199" s="71" t="s">
        <v>103</v>
      </c>
      <c r="D3199" s="79">
        <v>1</v>
      </c>
      <c r="E3199" s="79">
        <v>13678.16</v>
      </c>
      <c r="F3199" s="79">
        <v>13678.16</v>
      </c>
      <c r="G3199" s="445"/>
      <c r="H3199" s="178">
        <v>13678.15</v>
      </c>
      <c r="I3199" s="178">
        <v>16824.12</v>
      </c>
      <c r="J3199" s="70">
        <v>-3145.9599999999991</v>
      </c>
      <c r="K3199" s="320"/>
      <c r="L3199" s="178">
        <v>4932.33</v>
      </c>
      <c r="M3199" s="178">
        <v>8745.83</v>
      </c>
      <c r="N3199" s="179">
        <v>0</v>
      </c>
      <c r="O3199" s="178">
        <v>13678.16</v>
      </c>
      <c r="P3199" s="453"/>
      <c r="Q3199" s="61"/>
      <c r="R3199" s="298"/>
      <c r="S3199" s="669"/>
      <c r="X3199" s="444">
        <v>3199</v>
      </c>
    </row>
    <row r="3200" spans="1:32" ht="12">
      <c r="A3200" s="83" t="s">
        <v>23562</v>
      </c>
      <c r="B3200" s="64" t="s">
        <v>23563</v>
      </c>
      <c r="C3200" s="71" t="s">
        <v>103</v>
      </c>
      <c r="D3200" s="79">
        <v>1</v>
      </c>
      <c r="E3200" s="79">
        <v>16194.169999999996</v>
      </c>
      <c r="F3200" s="79">
        <v>16194.17</v>
      </c>
      <c r="G3200" s="445"/>
      <c r="H3200" s="178">
        <v>16194.12</v>
      </c>
      <c r="I3200" s="178">
        <v>19918.77</v>
      </c>
      <c r="J3200" s="70">
        <v>-3724.600000000004</v>
      </c>
      <c r="K3200" s="320"/>
      <c r="L3200" s="178">
        <v>5862.33</v>
      </c>
      <c r="M3200" s="178">
        <v>10331.839999999997</v>
      </c>
      <c r="N3200" s="179">
        <v>0</v>
      </c>
      <c r="O3200" s="178">
        <v>16194.169999999996</v>
      </c>
      <c r="P3200" s="453"/>
      <c r="Q3200" s="61"/>
      <c r="R3200" s="298"/>
      <c r="S3200" s="669"/>
      <c r="X3200" s="444">
        <v>3200</v>
      </c>
    </row>
    <row r="3201" spans="1:32" ht="12">
      <c r="A3201" s="83" t="s">
        <v>23564</v>
      </c>
      <c r="B3201" s="64" t="s">
        <v>23565</v>
      </c>
      <c r="C3201" s="71" t="s">
        <v>103</v>
      </c>
      <c r="D3201" s="79">
        <v>1</v>
      </c>
      <c r="E3201" s="79">
        <v>18430.579999999994</v>
      </c>
      <c r="F3201" s="79">
        <v>18430.580000000002</v>
      </c>
      <c r="G3201" s="445"/>
      <c r="H3201" s="178">
        <v>18430.57</v>
      </c>
      <c r="I3201" s="178">
        <v>22669.599999999999</v>
      </c>
      <c r="J3201" s="70">
        <v>-4239.0200000000041</v>
      </c>
      <c r="K3201" s="320"/>
      <c r="L3201" s="178">
        <v>6488.84</v>
      </c>
      <c r="M3201" s="178">
        <v>11941.739999999994</v>
      </c>
      <c r="N3201" s="179">
        <v>0</v>
      </c>
      <c r="O3201" s="178">
        <v>18430.579999999994</v>
      </c>
      <c r="P3201" s="453"/>
      <c r="Q3201" s="61"/>
      <c r="R3201" s="298"/>
      <c r="S3201" s="669"/>
      <c r="X3201" s="444">
        <v>3201</v>
      </c>
    </row>
    <row r="3202" spans="1:32" ht="12">
      <c r="A3202" s="83" t="s">
        <v>23566</v>
      </c>
      <c r="B3202" s="64" t="s">
        <v>23567</v>
      </c>
      <c r="C3202" s="71" t="s">
        <v>103</v>
      </c>
      <c r="D3202" s="79">
        <v>1</v>
      </c>
      <c r="E3202" s="79">
        <v>22634.269999999997</v>
      </c>
      <c r="F3202" s="79">
        <v>22634.27</v>
      </c>
      <c r="G3202" s="445"/>
      <c r="H3202" s="178">
        <v>22634.27</v>
      </c>
      <c r="I3202" s="178">
        <v>27840.15</v>
      </c>
      <c r="J3202" s="70">
        <v>-5205.8800000000047</v>
      </c>
      <c r="K3202" s="320"/>
      <c r="L3202" s="178">
        <v>7384.34</v>
      </c>
      <c r="M3202" s="178">
        <v>15249.929999999997</v>
      </c>
      <c r="N3202" s="179">
        <v>0</v>
      </c>
      <c r="O3202" s="178">
        <v>22634.269999999997</v>
      </c>
      <c r="P3202" s="453"/>
      <c r="Q3202" s="61"/>
      <c r="R3202" s="298"/>
      <c r="S3202" s="669"/>
      <c r="X3202" s="444">
        <v>3202</v>
      </c>
    </row>
    <row r="3203" spans="1:32" ht="12">
      <c r="A3203" s="83" t="s">
        <v>23568</v>
      </c>
      <c r="B3203" s="64" t="s">
        <v>23569</v>
      </c>
      <c r="C3203" s="71" t="s">
        <v>103</v>
      </c>
      <c r="D3203" s="79">
        <v>1</v>
      </c>
      <c r="E3203" s="79">
        <v>26317.009999999991</v>
      </c>
      <c r="F3203" s="79">
        <v>26317.01</v>
      </c>
      <c r="G3203" s="445"/>
      <c r="H3203" s="178">
        <v>26316.98</v>
      </c>
      <c r="I3203" s="178">
        <v>32369.89</v>
      </c>
      <c r="J3203" s="70">
        <v>-6052.8800000000083</v>
      </c>
      <c r="K3203" s="320"/>
      <c r="L3203" s="178">
        <v>8331.8799999999992</v>
      </c>
      <c r="M3203" s="178">
        <v>17985.12999999999</v>
      </c>
      <c r="N3203" s="179">
        <v>0</v>
      </c>
      <c r="O3203" s="178">
        <v>26317.009999999987</v>
      </c>
      <c r="P3203" s="453"/>
      <c r="Q3203" s="61"/>
      <c r="R3203" s="298"/>
      <c r="S3203" s="669"/>
      <c r="X3203" s="444">
        <v>3203</v>
      </c>
    </row>
    <row r="3204" spans="1:32" ht="12">
      <c r="A3204" s="83" t="s">
        <v>23570</v>
      </c>
      <c r="B3204" s="64" t="s">
        <v>23571</v>
      </c>
      <c r="C3204" s="71" t="s">
        <v>10216</v>
      </c>
      <c r="D3204" s="79">
        <v>1</v>
      </c>
      <c r="E3204" s="79">
        <v>577.26</v>
      </c>
      <c r="F3204" s="79">
        <v>577.26</v>
      </c>
      <c r="G3204" s="445"/>
      <c r="H3204" s="178">
        <v>577.25</v>
      </c>
      <c r="I3204" s="178">
        <v>710.02</v>
      </c>
      <c r="J3204" s="70">
        <v>-132.76</v>
      </c>
      <c r="K3204" s="320"/>
      <c r="L3204" s="178"/>
      <c r="M3204" s="178">
        <v>577.26</v>
      </c>
      <c r="N3204" s="179">
        <v>0</v>
      </c>
      <c r="O3204" s="178">
        <v>577.26</v>
      </c>
      <c r="P3204" s="453"/>
      <c r="Q3204" s="61"/>
      <c r="R3204" s="298"/>
      <c r="S3204" s="669"/>
      <c r="X3204" s="444">
        <v>3204</v>
      </c>
    </row>
    <row r="3205" spans="1:32" ht="12">
      <c r="A3205" s="83" t="s">
        <v>40039</v>
      </c>
      <c r="B3205" s="64" t="s">
        <v>40040</v>
      </c>
      <c r="C3205" s="71"/>
      <c r="D3205" s="79" t="s">
        <v>40899</v>
      </c>
      <c r="E3205" s="79" t="s">
        <v>40899</v>
      </c>
      <c r="F3205" s="79"/>
      <c r="G3205" s="445"/>
      <c r="H3205" s="178"/>
      <c r="I3205" s="178"/>
      <c r="J3205" s="70"/>
      <c r="K3205" s="320"/>
      <c r="L3205" s="178"/>
      <c r="M3205" s="178"/>
      <c r="N3205" s="179"/>
      <c r="O3205" s="178"/>
      <c r="P3205" s="453"/>
      <c r="Q3205" s="61"/>
      <c r="R3205" s="298"/>
      <c r="S3205" s="669"/>
      <c r="X3205" s="444">
        <v>3205</v>
      </c>
    </row>
    <row r="3206" spans="1:32" ht="12">
      <c r="A3206" s="83" t="s">
        <v>23572</v>
      </c>
      <c r="B3206" s="64" t="s">
        <v>23573</v>
      </c>
      <c r="C3206" s="71" t="s">
        <v>103</v>
      </c>
      <c r="D3206" s="79">
        <v>1</v>
      </c>
      <c r="E3206" s="79">
        <v>1137.5</v>
      </c>
      <c r="F3206" s="79">
        <v>1137.5</v>
      </c>
      <c r="G3206" s="445"/>
      <c r="H3206" s="178">
        <v>1137.49</v>
      </c>
      <c r="I3206" s="178">
        <v>1399.11</v>
      </c>
      <c r="J3206" s="70">
        <v>-261.6099999999999</v>
      </c>
      <c r="K3206" s="320"/>
      <c r="L3206" s="178">
        <v>39.540000000000006</v>
      </c>
      <c r="M3206" s="178">
        <v>1097.96</v>
      </c>
      <c r="N3206" s="179">
        <v>0</v>
      </c>
      <c r="O3206" s="178">
        <v>1137.5</v>
      </c>
      <c r="P3206" s="453"/>
      <c r="Q3206" s="61"/>
      <c r="R3206" s="298"/>
      <c r="S3206" s="669"/>
      <c r="X3206" s="444">
        <v>3206</v>
      </c>
    </row>
    <row r="3207" spans="1:32" ht="12">
      <c r="A3207" s="83" t="s">
        <v>23574</v>
      </c>
      <c r="B3207" s="64" t="s">
        <v>23575</v>
      </c>
      <c r="C3207" s="71" t="s">
        <v>103</v>
      </c>
      <c r="D3207" s="79">
        <v>1</v>
      </c>
      <c r="E3207" s="79">
        <v>1969.6599999999999</v>
      </c>
      <c r="F3207" s="79">
        <v>1969.66</v>
      </c>
      <c r="G3207" s="445"/>
      <c r="H3207" s="178">
        <v>1969.66</v>
      </c>
      <c r="I3207" s="178">
        <v>2422.6799999999998</v>
      </c>
      <c r="J3207" s="70">
        <v>-453.02</v>
      </c>
      <c r="K3207" s="320"/>
      <c r="L3207" s="178">
        <v>49.42</v>
      </c>
      <c r="M3207" s="178">
        <v>1920.2399999999998</v>
      </c>
      <c r="N3207" s="179">
        <v>0</v>
      </c>
      <c r="O3207" s="178">
        <v>1969.6599999999999</v>
      </c>
      <c r="P3207" s="453"/>
      <c r="Q3207" s="61"/>
      <c r="R3207" s="298"/>
      <c r="S3207" s="669"/>
      <c r="X3207" s="444">
        <v>3207</v>
      </c>
    </row>
    <row r="3208" spans="1:32" ht="12">
      <c r="A3208" s="83" t="s">
        <v>23576</v>
      </c>
      <c r="B3208" s="64" t="s">
        <v>23577</v>
      </c>
      <c r="C3208" s="71" t="s">
        <v>165</v>
      </c>
      <c r="D3208" s="79">
        <v>1</v>
      </c>
      <c r="E3208" s="79">
        <v>2560.29</v>
      </c>
      <c r="F3208" s="79">
        <v>2560.29</v>
      </c>
      <c r="G3208" s="445"/>
      <c r="H3208" s="178">
        <v>2560.3200000000002</v>
      </c>
      <c r="I3208" s="178">
        <v>3149.19</v>
      </c>
      <c r="J3208" s="70">
        <v>-588.90000000000009</v>
      </c>
      <c r="K3208" s="320"/>
      <c r="L3208" s="178">
        <v>863.71</v>
      </c>
      <c r="M3208" s="178">
        <v>1696.58</v>
      </c>
      <c r="N3208" s="179">
        <v>0</v>
      </c>
      <c r="O3208" s="178">
        <v>2560.29</v>
      </c>
      <c r="P3208" s="453"/>
      <c r="Q3208" s="61"/>
      <c r="R3208" s="298"/>
      <c r="S3208" s="669"/>
      <c r="X3208" s="444">
        <v>3208</v>
      </c>
    </row>
    <row r="3209" spans="1:32" ht="12">
      <c r="A3209" s="83" t="s">
        <v>23578</v>
      </c>
      <c r="B3209" s="64" t="s">
        <v>23579</v>
      </c>
      <c r="C3209" s="71" t="s">
        <v>165</v>
      </c>
      <c r="D3209" s="79">
        <v>1</v>
      </c>
      <c r="E3209" s="79">
        <v>3568.5299999999997</v>
      </c>
      <c r="F3209" s="79">
        <v>3568.53</v>
      </c>
      <c r="G3209" s="445"/>
      <c r="H3209" s="178">
        <v>3568.52</v>
      </c>
      <c r="I3209" s="178">
        <v>4389.28</v>
      </c>
      <c r="J3209" s="70">
        <v>-820.75</v>
      </c>
      <c r="K3209" s="320"/>
      <c r="L3209" s="178">
        <v>1206.55</v>
      </c>
      <c r="M3209" s="178">
        <v>2361.9799999999996</v>
      </c>
      <c r="N3209" s="179">
        <v>0</v>
      </c>
      <c r="O3209" s="178">
        <v>3568.5299999999997</v>
      </c>
      <c r="P3209" s="453"/>
      <c r="Q3209" s="61"/>
      <c r="R3209" s="298"/>
      <c r="S3209" s="669"/>
      <c r="X3209" s="444">
        <v>3209</v>
      </c>
    </row>
    <row r="3210" spans="1:32" ht="12">
      <c r="A3210" s="83" t="s">
        <v>23580</v>
      </c>
      <c r="B3210" s="64" t="s">
        <v>23581</v>
      </c>
      <c r="C3210" s="71" t="s">
        <v>10216</v>
      </c>
      <c r="D3210" s="79">
        <v>1</v>
      </c>
      <c r="E3210" s="79">
        <v>577.26</v>
      </c>
      <c r="F3210" s="79">
        <v>577.26</v>
      </c>
      <c r="G3210" s="445"/>
      <c r="H3210" s="178">
        <v>577.25</v>
      </c>
      <c r="I3210" s="178">
        <v>710.02</v>
      </c>
      <c r="J3210" s="70">
        <v>-132.76</v>
      </c>
      <c r="K3210" s="320"/>
      <c r="L3210" s="178"/>
      <c r="M3210" s="178">
        <v>577.26</v>
      </c>
      <c r="N3210" s="179">
        <v>0</v>
      </c>
      <c r="O3210" s="178">
        <v>577.26</v>
      </c>
      <c r="P3210" s="453"/>
      <c r="Q3210" s="61"/>
      <c r="R3210" s="298"/>
      <c r="S3210" s="669"/>
      <c r="X3210" s="444">
        <v>3210</v>
      </c>
    </row>
    <row r="3211" spans="1:32" ht="12">
      <c r="A3211" s="83" t="s">
        <v>12206</v>
      </c>
      <c r="B3211" s="64" t="s">
        <v>40041</v>
      </c>
      <c r="C3211" s="71"/>
      <c r="D3211" s="79" t="s">
        <v>40899</v>
      </c>
      <c r="E3211" s="79" t="s">
        <v>40899</v>
      </c>
      <c r="F3211" s="79"/>
      <c r="G3211" s="445"/>
      <c r="H3211" s="178"/>
      <c r="I3211" s="178"/>
      <c r="J3211" s="70"/>
      <c r="K3211" s="320"/>
      <c r="L3211" s="178"/>
      <c r="M3211" s="178"/>
      <c r="N3211" s="179"/>
      <c r="O3211" s="178"/>
      <c r="P3211" s="453"/>
      <c r="Q3211" s="61"/>
      <c r="R3211" s="298"/>
      <c r="S3211" s="669"/>
      <c r="X3211" s="444">
        <v>3211</v>
      </c>
    </row>
    <row r="3212" spans="1:32" ht="12">
      <c r="A3212" s="83" t="s">
        <v>23582</v>
      </c>
      <c r="B3212" s="64" t="s">
        <v>23583</v>
      </c>
      <c r="C3212" s="71" t="s">
        <v>10216</v>
      </c>
      <c r="D3212" s="79">
        <v>1</v>
      </c>
      <c r="E3212" s="79">
        <v>577.26</v>
      </c>
      <c r="F3212" s="79">
        <v>577.26</v>
      </c>
      <c r="G3212" s="445"/>
      <c r="H3212" s="178">
        <v>577.25</v>
      </c>
      <c r="I3212" s="178">
        <v>710.02</v>
      </c>
      <c r="J3212" s="70">
        <v>-132.76</v>
      </c>
      <c r="K3212" s="320"/>
      <c r="L3212" s="178"/>
      <c r="M3212" s="178">
        <v>577.26</v>
      </c>
      <c r="N3212" s="179">
        <v>0</v>
      </c>
      <c r="O3212" s="178">
        <v>577.26</v>
      </c>
      <c r="P3212" s="453"/>
      <c r="Q3212" s="61"/>
      <c r="R3212" s="298"/>
      <c r="S3212" s="669"/>
      <c r="X3212" s="444">
        <v>3212</v>
      </c>
    </row>
    <row r="3213" spans="1:32" ht="12">
      <c r="A3213" s="83" t="s">
        <v>40042</v>
      </c>
      <c r="B3213" s="64" t="s">
        <v>40043</v>
      </c>
      <c r="C3213" s="71"/>
      <c r="D3213" s="79" t="s">
        <v>40899</v>
      </c>
      <c r="E3213" s="79" t="s">
        <v>40899</v>
      </c>
      <c r="F3213" s="79"/>
      <c r="G3213" s="445"/>
      <c r="H3213" s="178"/>
      <c r="I3213" s="178"/>
      <c r="J3213" s="70"/>
      <c r="K3213" s="320"/>
      <c r="L3213" s="178"/>
      <c r="M3213" s="178"/>
      <c r="N3213" s="179"/>
      <c r="O3213" s="178"/>
      <c r="P3213" s="453"/>
      <c r="Q3213" s="61"/>
      <c r="R3213" s="298"/>
      <c r="S3213" s="669"/>
      <c r="U3213" s="61"/>
      <c r="V3213" s="61"/>
      <c r="W3213" s="61"/>
      <c r="X3213" s="444">
        <v>3213</v>
      </c>
      <c r="Y3213" s="61"/>
      <c r="Z3213" s="61"/>
      <c r="AA3213" s="61"/>
      <c r="AB3213" s="61"/>
      <c r="AC3213" s="61"/>
      <c r="AD3213" s="61"/>
      <c r="AE3213" s="61"/>
      <c r="AF3213" s="61"/>
    </row>
    <row r="3214" spans="1:32" ht="12">
      <c r="A3214" s="83" t="s">
        <v>23584</v>
      </c>
      <c r="B3214" s="64" t="s">
        <v>23585</v>
      </c>
      <c r="C3214" s="71" t="s">
        <v>509</v>
      </c>
      <c r="D3214" s="79">
        <v>1</v>
      </c>
      <c r="E3214" s="79">
        <v>15.629999999999999</v>
      </c>
      <c r="F3214" s="79">
        <v>15.63</v>
      </c>
      <c r="G3214" s="445"/>
      <c r="H3214" s="178">
        <v>15.63</v>
      </c>
      <c r="I3214" s="178">
        <v>19.22</v>
      </c>
      <c r="J3214" s="70">
        <v>-3.59</v>
      </c>
      <c r="K3214" s="320"/>
      <c r="L3214" s="178">
        <v>15.629999999999999</v>
      </c>
      <c r="M3214" s="178">
        <v>0</v>
      </c>
      <c r="N3214" s="179">
        <v>0</v>
      </c>
      <c r="O3214" s="178">
        <v>15.629999999999999</v>
      </c>
      <c r="P3214" s="453"/>
      <c r="Q3214" s="61"/>
      <c r="R3214" s="298"/>
      <c r="S3214" s="669"/>
      <c r="U3214" s="61"/>
      <c r="V3214" s="61"/>
      <c r="W3214" s="61"/>
      <c r="X3214" s="444">
        <v>3214</v>
      </c>
      <c r="Y3214" s="61"/>
      <c r="Z3214" s="61"/>
      <c r="AA3214" s="61"/>
      <c r="AB3214" s="61"/>
      <c r="AC3214" s="61"/>
      <c r="AD3214" s="61"/>
      <c r="AE3214" s="61"/>
      <c r="AF3214" s="61"/>
    </row>
    <row r="3215" spans="1:32" ht="12">
      <c r="A3215" s="83" t="s">
        <v>23586</v>
      </c>
      <c r="B3215" s="64" t="s">
        <v>23587</v>
      </c>
      <c r="C3215" s="71" t="s">
        <v>103</v>
      </c>
      <c r="D3215" s="79">
        <v>1</v>
      </c>
      <c r="E3215" s="79">
        <v>17.87</v>
      </c>
      <c r="F3215" s="79">
        <v>17.87</v>
      </c>
      <c r="G3215" s="445"/>
      <c r="H3215" s="178">
        <v>17.86</v>
      </c>
      <c r="I3215" s="178">
        <v>21.97</v>
      </c>
      <c r="J3215" s="70">
        <v>-4.0999999999999979</v>
      </c>
      <c r="K3215" s="320"/>
      <c r="L3215" s="178">
        <v>17.87</v>
      </c>
      <c r="M3215" s="178">
        <v>0</v>
      </c>
      <c r="N3215" s="179">
        <v>0</v>
      </c>
      <c r="O3215" s="178">
        <v>17.87</v>
      </c>
      <c r="P3215" s="453"/>
      <c r="Q3215" s="61"/>
      <c r="R3215" s="298"/>
      <c r="S3215" s="669"/>
      <c r="X3215" s="444">
        <v>3215</v>
      </c>
    </row>
    <row r="3216" spans="1:32" ht="12">
      <c r="A3216" s="83" t="s">
        <v>23588</v>
      </c>
      <c r="B3216" s="64" t="s">
        <v>23589</v>
      </c>
      <c r="C3216" s="71" t="s">
        <v>509</v>
      </c>
      <c r="D3216" s="79">
        <v>1</v>
      </c>
      <c r="E3216" s="79">
        <v>13.41</v>
      </c>
      <c r="F3216" s="79">
        <v>13.41</v>
      </c>
      <c r="G3216" s="445"/>
      <c r="H3216" s="178">
        <v>13.4</v>
      </c>
      <c r="I3216" s="178">
        <v>16.48</v>
      </c>
      <c r="J3216" s="70">
        <v>-3.0700000000000003</v>
      </c>
      <c r="K3216" s="320"/>
      <c r="L3216" s="178">
        <v>13.41</v>
      </c>
      <c r="M3216" s="178">
        <v>0</v>
      </c>
      <c r="N3216" s="179">
        <v>0</v>
      </c>
      <c r="O3216" s="178">
        <v>13.41</v>
      </c>
      <c r="P3216" s="453"/>
      <c r="Q3216" s="61"/>
      <c r="R3216" s="298"/>
      <c r="S3216" s="669"/>
      <c r="U3216" s="61"/>
      <c r="V3216" s="61"/>
      <c r="W3216" s="61"/>
      <c r="X3216" s="444">
        <v>3216</v>
      </c>
      <c r="Y3216" s="61"/>
      <c r="Z3216" s="61"/>
      <c r="AA3216" s="61"/>
      <c r="AB3216" s="61"/>
      <c r="AC3216" s="61"/>
      <c r="AD3216" s="61"/>
      <c r="AE3216" s="61"/>
      <c r="AF3216" s="61"/>
    </row>
    <row r="3217" spans="1:32" ht="12">
      <c r="A3217" s="83" t="s">
        <v>23590</v>
      </c>
      <c r="B3217" s="64" t="s">
        <v>23591</v>
      </c>
      <c r="C3217" s="71" t="s">
        <v>509</v>
      </c>
      <c r="D3217" s="79">
        <v>1</v>
      </c>
      <c r="E3217" s="79">
        <v>16.760000000000002</v>
      </c>
      <c r="F3217" s="79">
        <v>16.760000000000002</v>
      </c>
      <c r="G3217" s="445"/>
      <c r="H3217" s="178">
        <v>16.75</v>
      </c>
      <c r="I3217" s="178">
        <v>20.6</v>
      </c>
      <c r="J3217" s="70">
        <v>-3.84</v>
      </c>
      <c r="K3217" s="320"/>
      <c r="L3217" s="178">
        <v>16.760000000000002</v>
      </c>
      <c r="M3217" s="178">
        <v>0</v>
      </c>
      <c r="N3217" s="179">
        <v>0</v>
      </c>
      <c r="O3217" s="178">
        <v>16.760000000000002</v>
      </c>
      <c r="P3217" s="453"/>
      <c r="Q3217" s="61"/>
      <c r="R3217" s="298"/>
      <c r="S3217" s="669"/>
      <c r="U3217" s="61"/>
      <c r="V3217" s="61"/>
      <c r="W3217" s="61"/>
      <c r="X3217" s="444">
        <v>3217</v>
      </c>
      <c r="Y3217" s="61"/>
      <c r="Z3217" s="61"/>
      <c r="AA3217" s="61"/>
      <c r="AB3217" s="61"/>
      <c r="AC3217" s="61"/>
      <c r="AD3217" s="61"/>
      <c r="AE3217" s="61"/>
      <c r="AF3217" s="61"/>
    </row>
    <row r="3218" spans="1:32" ht="12">
      <c r="A3218" s="83" t="s">
        <v>23592</v>
      </c>
      <c r="B3218" s="64" t="s">
        <v>23593</v>
      </c>
      <c r="C3218" s="71" t="s">
        <v>509</v>
      </c>
      <c r="D3218" s="79">
        <v>1</v>
      </c>
      <c r="E3218" s="79">
        <v>9.01</v>
      </c>
      <c r="F3218" s="79">
        <v>9.01</v>
      </c>
      <c r="G3218" s="445"/>
      <c r="H3218" s="178">
        <v>8.98</v>
      </c>
      <c r="I3218" s="178">
        <v>11.05</v>
      </c>
      <c r="J3218" s="70">
        <v>-2.0400000000000009</v>
      </c>
      <c r="K3218" s="320"/>
      <c r="L3218" s="178">
        <v>6.1099999999999994</v>
      </c>
      <c r="M3218" s="178">
        <v>2.9000000000000004</v>
      </c>
      <c r="N3218" s="179">
        <v>0</v>
      </c>
      <c r="O3218" s="178">
        <v>9.01</v>
      </c>
      <c r="P3218" s="453"/>
      <c r="Q3218" s="61"/>
      <c r="R3218" s="298"/>
      <c r="S3218" s="669"/>
      <c r="U3218" s="61"/>
      <c r="V3218" s="61"/>
      <c r="W3218" s="61"/>
      <c r="X3218" s="444">
        <v>3218</v>
      </c>
      <c r="Y3218" s="61"/>
      <c r="Z3218" s="61"/>
      <c r="AA3218" s="61"/>
      <c r="AB3218" s="61"/>
      <c r="AC3218" s="61"/>
      <c r="AD3218" s="61"/>
      <c r="AE3218" s="61"/>
      <c r="AF3218" s="61"/>
    </row>
    <row r="3219" spans="1:32" ht="24">
      <c r="A3219" s="83" t="s">
        <v>23594</v>
      </c>
      <c r="B3219" s="64" t="s">
        <v>23595</v>
      </c>
      <c r="C3219" s="71" t="s">
        <v>121</v>
      </c>
      <c r="D3219" s="79">
        <v>1</v>
      </c>
      <c r="E3219" s="79">
        <v>227.64</v>
      </c>
      <c r="F3219" s="79">
        <v>227.64</v>
      </c>
      <c r="G3219" s="445"/>
      <c r="H3219" s="178">
        <v>227.63</v>
      </c>
      <c r="I3219" s="178">
        <v>279.99</v>
      </c>
      <c r="J3219" s="70">
        <v>-52.350000000000023</v>
      </c>
      <c r="K3219" s="320"/>
      <c r="L3219" s="178">
        <v>26.8</v>
      </c>
      <c r="M3219" s="178">
        <v>200.83999999999997</v>
      </c>
      <c r="N3219" s="179">
        <v>0</v>
      </c>
      <c r="O3219" s="178">
        <v>227.64</v>
      </c>
      <c r="P3219" s="453"/>
      <c r="Q3219" s="61"/>
      <c r="R3219" s="298"/>
      <c r="S3219" s="669"/>
      <c r="U3219" s="61"/>
      <c r="V3219" s="61"/>
      <c r="W3219" s="61"/>
      <c r="X3219" s="444">
        <v>3219</v>
      </c>
      <c r="Y3219" s="61"/>
      <c r="Z3219" s="61"/>
      <c r="AA3219" s="61"/>
      <c r="AB3219" s="61"/>
      <c r="AC3219" s="61"/>
      <c r="AD3219" s="61"/>
      <c r="AE3219" s="61"/>
      <c r="AF3219" s="61"/>
    </row>
    <row r="3220" spans="1:32" ht="12">
      <c r="A3220" s="83" t="s">
        <v>23596</v>
      </c>
      <c r="B3220" s="64" t="s">
        <v>23597</v>
      </c>
      <c r="C3220" s="71" t="s">
        <v>6170</v>
      </c>
      <c r="D3220" s="79">
        <v>1</v>
      </c>
      <c r="E3220" s="79">
        <v>2.8200000000000003</v>
      </c>
      <c r="F3220" s="79">
        <v>2.82</v>
      </c>
      <c r="G3220" s="445"/>
      <c r="H3220" s="178">
        <v>2.81</v>
      </c>
      <c r="I3220" s="178">
        <v>3.46</v>
      </c>
      <c r="J3220" s="70">
        <v>-0.63999999999999968</v>
      </c>
      <c r="K3220" s="320"/>
      <c r="L3220" s="178">
        <v>0.44</v>
      </c>
      <c r="M3220" s="178">
        <v>2.3800000000000003</v>
      </c>
      <c r="N3220" s="179">
        <v>0</v>
      </c>
      <c r="O3220" s="178">
        <v>2.8200000000000003</v>
      </c>
      <c r="P3220" s="453"/>
      <c r="Q3220" s="61"/>
      <c r="R3220" s="298"/>
      <c r="S3220" s="669"/>
      <c r="U3220" s="61"/>
      <c r="V3220" s="61"/>
      <c r="W3220" s="61"/>
      <c r="X3220" s="444">
        <v>3220</v>
      </c>
      <c r="Y3220" s="61"/>
      <c r="Z3220" s="61"/>
      <c r="AA3220" s="61"/>
      <c r="AB3220" s="61"/>
      <c r="AC3220" s="61"/>
      <c r="AD3220" s="61"/>
      <c r="AE3220" s="61"/>
      <c r="AF3220" s="61"/>
    </row>
    <row r="3221" spans="1:32" ht="12">
      <c r="A3221" s="83" t="s">
        <v>23598</v>
      </c>
      <c r="B3221" s="64" t="s">
        <v>23599</v>
      </c>
      <c r="C3221" s="71" t="s">
        <v>10216</v>
      </c>
      <c r="D3221" s="79">
        <v>1</v>
      </c>
      <c r="E3221" s="79">
        <v>577.26</v>
      </c>
      <c r="F3221" s="79">
        <v>577.26</v>
      </c>
      <c r="G3221" s="445"/>
      <c r="H3221" s="178">
        <v>577.25</v>
      </c>
      <c r="I3221" s="178">
        <v>710.02</v>
      </c>
      <c r="J3221" s="70">
        <v>-132.76</v>
      </c>
      <c r="K3221" s="320"/>
      <c r="L3221" s="178"/>
      <c r="M3221" s="178">
        <v>577.26</v>
      </c>
      <c r="N3221" s="179">
        <v>0</v>
      </c>
      <c r="O3221" s="178">
        <v>577.26</v>
      </c>
      <c r="P3221" s="453"/>
      <c r="Q3221" s="61"/>
      <c r="R3221" s="298"/>
      <c r="S3221" s="669"/>
      <c r="U3221" s="61"/>
      <c r="V3221" s="61"/>
      <c r="W3221" s="61"/>
      <c r="X3221" s="444">
        <v>3221</v>
      </c>
      <c r="Y3221" s="61"/>
      <c r="Z3221" s="61"/>
      <c r="AA3221" s="61"/>
      <c r="AB3221" s="61"/>
      <c r="AC3221" s="61"/>
      <c r="AD3221" s="61"/>
      <c r="AE3221" s="61"/>
      <c r="AF3221" s="61"/>
    </row>
    <row r="3222" spans="1:32" ht="12">
      <c r="A3222" s="83" t="s">
        <v>12226</v>
      </c>
      <c r="B3222" s="64" t="s">
        <v>40044</v>
      </c>
      <c r="C3222" s="71"/>
      <c r="D3222" s="79" t="s">
        <v>40899</v>
      </c>
      <c r="E3222" s="79" t="s">
        <v>40899</v>
      </c>
      <c r="F3222" s="79"/>
      <c r="G3222" s="445"/>
      <c r="H3222" s="178"/>
      <c r="I3222" s="178"/>
      <c r="J3222" s="70"/>
      <c r="K3222" s="320"/>
      <c r="L3222" s="178"/>
      <c r="M3222" s="178"/>
      <c r="N3222" s="179"/>
      <c r="O3222" s="178"/>
      <c r="P3222" s="453"/>
      <c r="Q3222" s="61"/>
      <c r="R3222" s="298"/>
      <c r="S3222" s="669"/>
      <c r="U3222" s="61"/>
      <c r="V3222" s="61"/>
      <c r="W3222" s="61"/>
      <c r="X3222" s="444">
        <v>3222</v>
      </c>
      <c r="Y3222" s="61"/>
      <c r="Z3222" s="61"/>
      <c r="AA3222" s="61"/>
      <c r="AB3222" s="61"/>
      <c r="AC3222" s="61"/>
      <c r="AD3222" s="61"/>
      <c r="AE3222" s="61"/>
      <c r="AF3222" s="61"/>
    </row>
    <row r="3223" spans="1:32" ht="12">
      <c r="A3223" s="83" t="s">
        <v>23600</v>
      </c>
      <c r="B3223" s="64" t="s">
        <v>18504</v>
      </c>
      <c r="C3223" s="71" t="s">
        <v>121</v>
      </c>
      <c r="D3223" s="79">
        <v>1</v>
      </c>
      <c r="E3223" s="79">
        <v>89.330000000000013</v>
      </c>
      <c r="F3223" s="79">
        <v>89.33</v>
      </c>
      <c r="G3223" s="445"/>
      <c r="H3223" s="178">
        <v>89.33</v>
      </c>
      <c r="I3223" s="178">
        <v>109.87</v>
      </c>
      <c r="J3223" s="70">
        <v>-20.539999999999992</v>
      </c>
      <c r="K3223" s="320"/>
      <c r="L3223" s="178">
        <v>89.330000000000013</v>
      </c>
      <c r="M3223" s="178">
        <v>0</v>
      </c>
      <c r="N3223" s="179">
        <v>0</v>
      </c>
      <c r="O3223" s="178">
        <v>89.330000000000013</v>
      </c>
      <c r="P3223" s="453"/>
      <c r="Q3223" s="61"/>
      <c r="R3223" s="298"/>
      <c r="S3223" s="669"/>
      <c r="U3223" s="61"/>
      <c r="V3223" s="61"/>
      <c r="W3223" s="61"/>
      <c r="X3223" s="444">
        <v>3223</v>
      </c>
      <c r="Y3223" s="61"/>
      <c r="Z3223" s="61"/>
      <c r="AA3223" s="61"/>
      <c r="AB3223" s="61"/>
      <c r="AC3223" s="61"/>
      <c r="AD3223" s="61"/>
      <c r="AE3223" s="61"/>
      <c r="AF3223" s="61"/>
    </row>
    <row r="3224" spans="1:32" ht="12">
      <c r="A3224" s="83" t="s">
        <v>23601</v>
      </c>
      <c r="B3224" s="64" t="s">
        <v>18506</v>
      </c>
      <c r="C3224" s="71" t="s">
        <v>121</v>
      </c>
      <c r="D3224" s="79">
        <v>1</v>
      </c>
      <c r="E3224" s="79">
        <v>100.5</v>
      </c>
      <c r="F3224" s="79">
        <v>100.5</v>
      </c>
      <c r="G3224" s="445"/>
      <c r="H3224" s="178">
        <v>100.5</v>
      </c>
      <c r="I3224" s="178">
        <v>123.61</v>
      </c>
      <c r="J3224" s="70">
        <v>-23.11</v>
      </c>
      <c r="K3224" s="320"/>
      <c r="L3224" s="178">
        <v>100.5</v>
      </c>
      <c r="M3224" s="178">
        <v>0</v>
      </c>
      <c r="N3224" s="179">
        <v>0</v>
      </c>
      <c r="O3224" s="178">
        <v>100.5</v>
      </c>
      <c r="P3224" s="453"/>
      <c r="Q3224" s="61"/>
      <c r="R3224" s="298"/>
      <c r="S3224" s="669"/>
      <c r="U3224" s="61"/>
      <c r="V3224" s="61"/>
      <c r="W3224" s="61"/>
      <c r="X3224" s="444">
        <v>3224</v>
      </c>
      <c r="Y3224" s="61"/>
      <c r="Z3224" s="61"/>
      <c r="AA3224" s="61"/>
      <c r="AB3224" s="61"/>
      <c r="AC3224" s="61"/>
      <c r="AD3224" s="61"/>
      <c r="AE3224" s="61"/>
      <c r="AF3224" s="61"/>
    </row>
    <row r="3225" spans="1:32" ht="12">
      <c r="A3225" s="83" t="s">
        <v>23602</v>
      </c>
      <c r="B3225" s="64" t="s">
        <v>18496</v>
      </c>
      <c r="C3225" s="71" t="s">
        <v>509</v>
      </c>
      <c r="D3225" s="79">
        <v>1</v>
      </c>
      <c r="E3225" s="79">
        <v>93.87</v>
      </c>
      <c r="F3225" s="79">
        <v>93.87</v>
      </c>
      <c r="G3225" s="445"/>
      <c r="H3225" s="178">
        <v>93.87</v>
      </c>
      <c r="I3225" s="178">
        <v>115.46</v>
      </c>
      <c r="J3225" s="70">
        <v>-21.589999999999989</v>
      </c>
      <c r="K3225" s="320"/>
      <c r="L3225" s="178">
        <v>15.379999999999999</v>
      </c>
      <c r="M3225" s="178">
        <v>78.490000000000009</v>
      </c>
      <c r="N3225" s="179">
        <v>0</v>
      </c>
      <c r="O3225" s="178">
        <v>93.87</v>
      </c>
      <c r="P3225" s="453"/>
      <c r="Q3225" s="61"/>
      <c r="R3225" s="298"/>
      <c r="S3225" s="669"/>
      <c r="X3225" s="444">
        <v>3225</v>
      </c>
    </row>
    <row r="3226" spans="1:32" ht="12">
      <c r="A3226" s="83" t="s">
        <v>23603</v>
      </c>
      <c r="B3226" s="64" t="s">
        <v>18510</v>
      </c>
      <c r="C3226" s="71" t="s">
        <v>509</v>
      </c>
      <c r="D3226" s="79">
        <v>1</v>
      </c>
      <c r="E3226" s="79">
        <v>8.92</v>
      </c>
      <c r="F3226" s="79">
        <v>8.92</v>
      </c>
      <c r="G3226" s="445"/>
      <c r="H3226" s="178">
        <v>8.93</v>
      </c>
      <c r="I3226" s="178">
        <v>10.98</v>
      </c>
      <c r="J3226" s="70">
        <v>-2.0600000000000005</v>
      </c>
      <c r="K3226" s="320"/>
      <c r="L3226" s="178">
        <v>8.92</v>
      </c>
      <c r="M3226" s="178">
        <v>0</v>
      </c>
      <c r="N3226" s="179">
        <v>0</v>
      </c>
      <c r="O3226" s="178">
        <v>8.92</v>
      </c>
      <c r="P3226" s="453"/>
      <c r="Q3226" s="61"/>
      <c r="R3226" s="298"/>
      <c r="S3226" s="669"/>
      <c r="T3226" s="61"/>
      <c r="X3226" s="444">
        <v>3226</v>
      </c>
    </row>
    <row r="3227" spans="1:32" ht="12">
      <c r="A3227" s="83" t="s">
        <v>23604</v>
      </c>
      <c r="B3227" s="64" t="s">
        <v>18512</v>
      </c>
      <c r="C3227" s="71" t="s">
        <v>121</v>
      </c>
      <c r="D3227" s="79">
        <v>1</v>
      </c>
      <c r="E3227" s="79">
        <v>78.17</v>
      </c>
      <c r="F3227" s="79">
        <v>78.17</v>
      </c>
      <c r="G3227" s="445"/>
      <c r="H3227" s="178">
        <v>78.16</v>
      </c>
      <c r="I3227" s="178">
        <v>96.14</v>
      </c>
      <c r="J3227" s="70">
        <v>-17.97</v>
      </c>
      <c r="K3227" s="320"/>
      <c r="L3227" s="178">
        <v>78.17</v>
      </c>
      <c r="M3227" s="178">
        <v>0</v>
      </c>
      <c r="N3227" s="179">
        <v>0</v>
      </c>
      <c r="O3227" s="178">
        <v>78.17</v>
      </c>
      <c r="P3227" s="453"/>
      <c r="Q3227" s="61"/>
      <c r="R3227" s="298"/>
      <c r="S3227" s="669"/>
      <c r="T3227" s="61"/>
      <c r="X3227" s="444">
        <v>3227</v>
      </c>
    </row>
    <row r="3228" spans="1:32" ht="12">
      <c r="A3228" s="83" t="s">
        <v>23605</v>
      </c>
      <c r="B3228" s="64" t="s">
        <v>23024</v>
      </c>
      <c r="C3228" s="71" t="s">
        <v>509</v>
      </c>
      <c r="D3228" s="79">
        <v>1</v>
      </c>
      <c r="E3228" s="79">
        <v>44.110000000000007</v>
      </c>
      <c r="F3228" s="79">
        <v>44.11</v>
      </c>
      <c r="G3228" s="445"/>
      <c r="H3228" s="178">
        <v>44.1</v>
      </c>
      <c r="I3228" s="178">
        <v>54.24</v>
      </c>
      <c r="J3228" s="70">
        <v>-10.129999999999995</v>
      </c>
      <c r="K3228" s="320"/>
      <c r="L3228" s="178">
        <v>26</v>
      </c>
      <c r="M3228" s="178">
        <v>18.110000000000007</v>
      </c>
      <c r="N3228" s="179">
        <v>0</v>
      </c>
      <c r="O3228" s="178">
        <v>44.110000000000007</v>
      </c>
      <c r="P3228" s="453"/>
      <c r="Q3228" s="61"/>
      <c r="R3228" s="298"/>
      <c r="S3228" s="669"/>
      <c r="T3228" s="61"/>
      <c r="X3228" s="444">
        <v>3228</v>
      </c>
    </row>
    <row r="3229" spans="1:32" ht="12">
      <c r="A3229" s="83" t="s">
        <v>23606</v>
      </c>
      <c r="B3229" s="64" t="s">
        <v>18516</v>
      </c>
      <c r="C3229" s="71" t="s">
        <v>509</v>
      </c>
      <c r="D3229" s="79">
        <v>1</v>
      </c>
      <c r="E3229" s="79">
        <v>11.87</v>
      </c>
      <c r="F3229" s="79">
        <v>11.87</v>
      </c>
      <c r="G3229" s="445"/>
      <c r="H3229" s="178">
        <v>11.87</v>
      </c>
      <c r="I3229" s="178">
        <v>14.6</v>
      </c>
      <c r="J3229" s="70">
        <v>-2.7300000000000004</v>
      </c>
      <c r="K3229" s="320"/>
      <c r="L3229" s="178">
        <v>3.35</v>
      </c>
      <c r="M3229" s="178">
        <v>8.52</v>
      </c>
      <c r="N3229" s="179">
        <v>0</v>
      </c>
      <c r="O3229" s="178">
        <v>11.87</v>
      </c>
      <c r="P3229" s="453"/>
      <c r="Q3229" s="61"/>
      <c r="R3229" s="298"/>
      <c r="S3229" s="669"/>
      <c r="T3229" s="61"/>
      <c r="X3229" s="444">
        <v>3229</v>
      </c>
    </row>
    <row r="3230" spans="1:32" ht="12">
      <c r="A3230" s="83" t="s">
        <v>23607</v>
      </c>
      <c r="B3230" s="64" t="s">
        <v>23608</v>
      </c>
      <c r="C3230" s="71" t="s">
        <v>509</v>
      </c>
      <c r="D3230" s="79">
        <v>1</v>
      </c>
      <c r="E3230" s="79">
        <v>124.44999999999999</v>
      </c>
      <c r="F3230" s="79">
        <v>124.45</v>
      </c>
      <c r="G3230" s="445"/>
      <c r="H3230" s="178">
        <v>124.45</v>
      </c>
      <c r="I3230" s="178">
        <v>153.07</v>
      </c>
      <c r="J3230" s="70">
        <v>-28.620000000000005</v>
      </c>
      <c r="K3230" s="320"/>
      <c r="L3230" s="178">
        <v>49.08</v>
      </c>
      <c r="M3230" s="178">
        <v>75.36999999999999</v>
      </c>
      <c r="N3230" s="179">
        <v>0</v>
      </c>
      <c r="O3230" s="178">
        <v>124.44999999999999</v>
      </c>
      <c r="P3230" s="453"/>
      <c r="Q3230" s="61"/>
      <c r="R3230" s="298"/>
      <c r="S3230" s="669"/>
      <c r="X3230" s="444">
        <v>3230</v>
      </c>
    </row>
    <row r="3231" spans="1:32" ht="12">
      <c r="A3231" s="83" t="s">
        <v>23609</v>
      </c>
      <c r="B3231" s="64" t="s">
        <v>23610</v>
      </c>
      <c r="C3231" s="71" t="s">
        <v>509</v>
      </c>
      <c r="D3231" s="79">
        <v>1</v>
      </c>
      <c r="E3231" s="79">
        <v>82.28</v>
      </c>
      <c r="F3231" s="79">
        <v>82.28</v>
      </c>
      <c r="G3231" s="445"/>
      <c r="H3231" s="178">
        <v>82.28</v>
      </c>
      <c r="I3231" s="178">
        <v>101.21</v>
      </c>
      <c r="J3231" s="70">
        <v>-18.929999999999993</v>
      </c>
      <c r="K3231" s="320"/>
      <c r="L3231" s="178">
        <v>39.269999999999996</v>
      </c>
      <c r="M3231" s="178">
        <v>43.010000000000005</v>
      </c>
      <c r="N3231" s="179">
        <v>0</v>
      </c>
      <c r="O3231" s="178">
        <v>82.28</v>
      </c>
      <c r="P3231" s="453"/>
      <c r="Q3231" s="61"/>
      <c r="R3231" s="298"/>
      <c r="S3231" s="669"/>
      <c r="X3231" s="444">
        <v>3231</v>
      </c>
    </row>
    <row r="3232" spans="1:32" ht="12">
      <c r="A3232" s="83" t="s">
        <v>23611</v>
      </c>
      <c r="B3232" s="64" t="s">
        <v>23612</v>
      </c>
      <c r="C3232" s="71" t="s">
        <v>10216</v>
      </c>
      <c r="D3232" s="79">
        <v>1</v>
      </c>
      <c r="E3232" s="79">
        <v>577.26</v>
      </c>
      <c r="F3232" s="79">
        <v>577.26</v>
      </c>
      <c r="G3232" s="445"/>
      <c r="H3232" s="178">
        <v>577.25</v>
      </c>
      <c r="I3232" s="178">
        <v>710.02</v>
      </c>
      <c r="J3232" s="70">
        <v>-132.76</v>
      </c>
      <c r="K3232" s="320"/>
      <c r="L3232" s="178"/>
      <c r="M3232" s="178">
        <v>577.26</v>
      </c>
      <c r="N3232" s="179">
        <v>0</v>
      </c>
      <c r="O3232" s="178">
        <v>577.26</v>
      </c>
      <c r="P3232" s="453"/>
      <c r="Q3232" s="61"/>
      <c r="R3232" s="298"/>
      <c r="S3232" s="669"/>
      <c r="T3232" s="61"/>
      <c r="U3232" s="73"/>
      <c r="V3232" s="73"/>
      <c r="W3232" s="73"/>
      <c r="X3232" s="444">
        <v>3232</v>
      </c>
      <c r="Y3232" s="73"/>
      <c r="Z3232" s="73"/>
      <c r="AA3232" s="73"/>
      <c r="AB3232" s="73"/>
      <c r="AC3232" s="73"/>
      <c r="AD3232" s="73"/>
      <c r="AE3232" s="73"/>
      <c r="AF3232" s="73"/>
    </row>
    <row r="3233" spans="1:32" ht="12">
      <c r="A3233" s="83" t="s">
        <v>40045</v>
      </c>
      <c r="B3233" s="64" t="s">
        <v>40046</v>
      </c>
      <c r="C3233" s="71"/>
      <c r="D3233" s="79" t="s">
        <v>40899</v>
      </c>
      <c r="E3233" s="79" t="s">
        <v>40899</v>
      </c>
      <c r="F3233" s="79"/>
      <c r="G3233" s="445"/>
      <c r="H3233" s="178"/>
      <c r="I3233" s="178"/>
      <c r="J3233" s="70"/>
      <c r="K3233" s="320"/>
      <c r="L3233" s="178"/>
      <c r="M3233" s="178"/>
      <c r="N3233" s="179"/>
      <c r="O3233" s="178"/>
      <c r="P3233" s="453"/>
      <c r="Q3233" s="61"/>
      <c r="R3233" s="298"/>
      <c r="S3233" s="669"/>
      <c r="U3233" s="73"/>
      <c r="V3233" s="73"/>
      <c r="W3233" s="73"/>
      <c r="X3233" s="444">
        <v>3233</v>
      </c>
      <c r="Y3233" s="73"/>
      <c r="Z3233" s="73"/>
      <c r="AA3233" s="73"/>
      <c r="AB3233" s="73"/>
      <c r="AC3233" s="73"/>
      <c r="AD3233" s="73"/>
      <c r="AE3233" s="73"/>
      <c r="AF3233" s="73"/>
    </row>
    <row r="3234" spans="1:32" ht="12">
      <c r="A3234" s="83" t="s">
        <v>23613</v>
      </c>
      <c r="B3234" s="64" t="s">
        <v>18739</v>
      </c>
      <c r="C3234" s="71" t="s">
        <v>509</v>
      </c>
      <c r="D3234" s="79">
        <v>1</v>
      </c>
      <c r="E3234" s="79">
        <v>129.45999999999998</v>
      </c>
      <c r="F3234" s="79">
        <v>129.46</v>
      </c>
      <c r="G3234" s="445"/>
      <c r="H3234" s="178">
        <v>129.44999999999999</v>
      </c>
      <c r="I3234" s="178">
        <v>159.22</v>
      </c>
      <c r="J3234" s="70">
        <v>-29.760000000000019</v>
      </c>
      <c r="K3234" s="320"/>
      <c r="L3234" s="178">
        <v>66.67</v>
      </c>
      <c r="M3234" s="178">
        <v>62.789999999999978</v>
      </c>
      <c r="N3234" s="179">
        <v>0</v>
      </c>
      <c r="O3234" s="178">
        <v>129.45999999999998</v>
      </c>
      <c r="P3234" s="453"/>
      <c r="Q3234" s="61"/>
      <c r="R3234" s="298"/>
      <c r="S3234" s="669"/>
      <c r="T3234" s="61"/>
      <c r="U3234" s="73"/>
      <c r="V3234" s="73"/>
      <c r="W3234" s="73"/>
      <c r="X3234" s="444">
        <v>3234</v>
      </c>
      <c r="Y3234" s="73"/>
      <c r="Z3234" s="73"/>
      <c r="AA3234" s="73"/>
      <c r="AB3234" s="73"/>
      <c r="AC3234" s="73"/>
      <c r="AD3234" s="73"/>
      <c r="AE3234" s="73"/>
      <c r="AF3234" s="73"/>
    </row>
    <row r="3235" spans="1:32" ht="12">
      <c r="A3235" s="83" t="s">
        <v>23614</v>
      </c>
      <c r="B3235" s="64" t="s">
        <v>23615</v>
      </c>
      <c r="C3235" s="71" t="s">
        <v>509</v>
      </c>
      <c r="D3235" s="79">
        <v>1</v>
      </c>
      <c r="E3235" s="79">
        <v>154.52000000000001</v>
      </c>
      <c r="F3235" s="79">
        <v>154.52000000000001</v>
      </c>
      <c r="G3235" s="445"/>
      <c r="H3235" s="178">
        <v>154.51</v>
      </c>
      <c r="I3235" s="178">
        <v>190.05</v>
      </c>
      <c r="J3235" s="70">
        <v>-35.53</v>
      </c>
      <c r="K3235" s="320"/>
      <c r="L3235" s="178">
        <v>102.56</v>
      </c>
      <c r="M3235" s="178">
        <v>51.960000000000008</v>
      </c>
      <c r="N3235" s="179">
        <v>0</v>
      </c>
      <c r="O3235" s="178">
        <v>154.52000000000001</v>
      </c>
      <c r="P3235" s="453"/>
      <c r="Q3235" s="61"/>
      <c r="R3235" s="298"/>
      <c r="S3235" s="669"/>
      <c r="T3235" s="61"/>
      <c r="X3235" s="444">
        <v>3235</v>
      </c>
    </row>
    <row r="3236" spans="1:32" ht="12">
      <c r="A3236" s="83" t="s">
        <v>23616</v>
      </c>
      <c r="B3236" s="64" t="s">
        <v>23617</v>
      </c>
      <c r="C3236" s="71" t="s">
        <v>207</v>
      </c>
      <c r="D3236" s="79">
        <v>1</v>
      </c>
      <c r="E3236" s="79">
        <v>12.69</v>
      </c>
      <c r="F3236" s="79">
        <v>12.69</v>
      </c>
      <c r="G3236" s="445"/>
      <c r="H3236" s="178">
        <v>12.67</v>
      </c>
      <c r="I3236" s="178">
        <v>15.59</v>
      </c>
      <c r="J3236" s="70">
        <v>-2.9000000000000004</v>
      </c>
      <c r="K3236" s="320"/>
      <c r="L3236" s="178">
        <v>5.2799999999999994</v>
      </c>
      <c r="M3236" s="178">
        <v>7.41</v>
      </c>
      <c r="N3236" s="179">
        <v>0</v>
      </c>
      <c r="O3236" s="178">
        <v>12.69</v>
      </c>
      <c r="P3236" s="453"/>
      <c r="Q3236" s="61"/>
      <c r="R3236" s="298"/>
      <c r="S3236" s="669"/>
      <c r="T3236" s="61"/>
      <c r="X3236" s="444">
        <v>3236</v>
      </c>
    </row>
    <row r="3237" spans="1:32" ht="12">
      <c r="A3237" s="83" t="s">
        <v>23618</v>
      </c>
      <c r="B3237" s="64" t="s">
        <v>23619</v>
      </c>
      <c r="C3237" s="71" t="s">
        <v>207</v>
      </c>
      <c r="D3237" s="79">
        <v>1</v>
      </c>
      <c r="E3237" s="79">
        <v>13.37</v>
      </c>
      <c r="F3237" s="79">
        <v>13.37</v>
      </c>
      <c r="G3237" s="445"/>
      <c r="H3237" s="178">
        <v>13.35</v>
      </c>
      <c r="I3237" s="178">
        <v>16.420000000000002</v>
      </c>
      <c r="J3237" s="70">
        <v>-3.0500000000000025</v>
      </c>
      <c r="K3237" s="320"/>
      <c r="L3237" s="178">
        <v>5.2799999999999994</v>
      </c>
      <c r="M3237" s="178">
        <v>8.09</v>
      </c>
      <c r="N3237" s="179">
        <v>0</v>
      </c>
      <c r="O3237" s="178">
        <v>13.37</v>
      </c>
      <c r="P3237" s="453"/>
      <c r="Q3237" s="61"/>
      <c r="R3237" s="298"/>
      <c r="S3237" s="669"/>
      <c r="U3237" s="61"/>
      <c r="V3237" s="61"/>
      <c r="W3237" s="61"/>
      <c r="X3237" s="444">
        <v>3237</v>
      </c>
      <c r="Y3237" s="61"/>
      <c r="Z3237" s="61"/>
      <c r="AA3237" s="61"/>
      <c r="AB3237" s="61"/>
      <c r="AC3237" s="61"/>
      <c r="AD3237" s="61"/>
      <c r="AE3237" s="61"/>
      <c r="AF3237" s="61"/>
    </row>
    <row r="3238" spans="1:32" ht="12">
      <c r="A3238" s="83" t="s">
        <v>23620</v>
      </c>
      <c r="B3238" s="64" t="s">
        <v>23621</v>
      </c>
      <c r="C3238" s="71" t="s">
        <v>207</v>
      </c>
      <c r="D3238" s="79">
        <v>1</v>
      </c>
      <c r="E3238" s="79">
        <v>9.84</v>
      </c>
      <c r="F3238" s="79">
        <v>9.84</v>
      </c>
      <c r="G3238" s="445"/>
      <c r="H3238" s="178">
        <v>9.84</v>
      </c>
      <c r="I3238" s="178">
        <v>12.1</v>
      </c>
      <c r="J3238" s="70">
        <v>-2.2599999999999998</v>
      </c>
      <c r="K3238" s="320"/>
      <c r="L3238" s="178">
        <v>1.58</v>
      </c>
      <c r="M3238" s="178">
        <v>8.26</v>
      </c>
      <c r="N3238" s="179">
        <v>0</v>
      </c>
      <c r="O3238" s="178">
        <v>9.84</v>
      </c>
      <c r="P3238" s="453"/>
      <c r="Q3238" s="61"/>
      <c r="R3238" s="298"/>
      <c r="S3238" s="669"/>
      <c r="U3238" s="61"/>
      <c r="V3238" s="61"/>
      <c r="W3238" s="61"/>
      <c r="X3238" s="444">
        <v>3238</v>
      </c>
      <c r="Y3238" s="61"/>
      <c r="Z3238" s="61"/>
      <c r="AA3238" s="61"/>
      <c r="AB3238" s="61"/>
      <c r="AC3238" s="61"/>
      <c r="AD3238" s="61"/>
      <c r="AE3238" s="61"/>
      <c r="AF3238" s="61"/>
    </row>
    <row r="3239" spans="1:32" s="61" customFormat="1" ht="12">
      <c r="A3239" s="83" t="s">
        <v>23622</v>
      </c>
      <c r="B3239" s="64" t="s">
        <v>18799</v>
      </c>
      <c r="C3239" s="71" t="s">
        <v>121</v>
      </c>
      <c r="D3239" s="79">
        <v>1</v>
      </c>
      <c r="E3239" s="79">
        <v>559.6</v>
      </c>
      <c r="F3239" s="79">
        <v>559.6</v>
      </c>
      <c r="G3239" s="445"/>
      <c r="H3239" s="178">
        <v>559.6</v>
      </c>
      <c r="I3239" s="178">
        <v>688.31</v>
      </c>
      <c r="J3239" s="70">
        <v>-128.70999999999992</v>
      </c>
      <c r="K3239" s="320"/>
      <c r="L3239" s="178">
        <v>80.050000000000011</v>
      </c>
      <c r="M3239" s="178">
        <v>479.55</v>
      </c>
      <c r="N3239" s="179">
        <v>0</v>
      </c>
      <c r="O3239" s="178">
        <v>559.6</v>
      </c>
      <c r="P3239" s="453"/>
      <c r="R3239" s="298"/>
      <c r="S3239" s="669"/>
      <c r="T3239" s="444"/>
      <c r="X3239" s="444">
        <v>3239</v>
      </c>
    </row>
    <row r="3240" spans="1:32" s="61" customFormat="1" ht="12">
      <c r="A3240" s="83" t="s">
        <v>23623</v>
      </c>
      <c r="B3240" s="64" t="s">
        <v>18803</v>
      </c>
      <c r="C3240" s="71" t="s">
        <v>121</v>
      </c>
      <c r="D3240" s="79">
        <v>1</v>
      </c>
      <c r="E3240" s="79">
        <v>583.89</v>
      </c>
      <c r="F3240" s="79">
        <v>583.89</v>
      </c>
      <c r="G3240" s="445"/>
      <c r="H3240" s="178">
        <v>583.9</v>
      </c>
      <c r="I3240" s="178">
        <v>718.2</v>
      </c>
      <c r="J3240" s="70">
        <v>-134.31000000000006</v>
      </c>
      <c r="K3240" s="320"/>
      <c r="L3240" s="178">
        <v>80.050000000000011</v>
      </c>
      <c r="M3240" s="178">
        <v>503.84</v>
      </c>
      <c r="N3240" s="179">
        <v>0</v>
      </c>
      <c r="O3240" s="178">
        <v>583.89</v>
      </c>
      <c r="P3240" s="453"/>
      <c r="R3240" s="298"/>
      <c r="S3240" s="669"/>
      <c r="T3240" s="444"/>
      <c r="X3240" s="444">
        <v>3240</v>
      </c>
    </row>
    <row r="3241" spans="1:32" s="61" customFormat="1" ht="12">
      <c r="A3241" s="83" t="s">
        <v>23624</v>
      </c>
      <c r="B3241" s="64" t="s">
        <v>18696</v>
      </c>
      <c r="C3241" s="71" t="s">
        <v>121</v>
      </c>
      <c r="D3241" s="79">
        <v>1</v>
      </c>
      <c r="E3241" s="79">
        <v>606.45999999999992</v>
      </c>
      <c r="F3241" s="79">
        <v>606.46</v>
      </c>
      <c r="G3241" s="445"/>
      <c r="H3241" s="178">
        <v>606.46</v>
      </c>
      <c r="I3241" s="178">
        <v>745.95</v>
      </c>
      <c r="J3241" s="70">
        <v>-139.49000000000012</v>
      </c>
      <c r="K3241" s="320"/>
      <c r="L3241" s="178">
        <v>80.050000000000011</v>
      </c>
      <c r="M3241" s="178">
        <v>526.40999999999985</v>
      </c>
      <c r="N3241" s="179">
        <v>0</v>
      </c>
      <c r="O3241" s="178">
        <v>606.45999999999981</v>
      </c>
      <c r="P3241" s="453"/>
      <c r="R3241" s="298"/>
      <c r="S3241" s="669"/>
      <c r="T3241" s="444"/>
      <c r="U3241" s="444"/>
      <c r="V3241" s="444"/>
      <c r="W3241" s="444"/>
      <c r="X3241" s="444">
        <v>3241</v>
      </c>
      <c r="Y3241" s="444"/>
      <c r="Z3241" s="444"/>
      <c r="AA3241" s="444"/>
      <c r="AB3241" s="444"/>
      <c r="AC3241" s="444"/>
      <c r="AD3241" s="444"/>
      <c r="AE3241" s="444"/>
      <c r="AF3241" s="444"/>
    </row>
    <row r="3242" spans="1:32" s="61" customFormat="1" ht="12">
      <c r="A3242" s="83" t="s">
        <v>23625</v>
      </c>
      <c r="B3242" s="64" t="s">
        <v>18813</v>
      </c>
      <c r="C3242" s="71" t="s">
        <v>121</v>
      </c>
      <c r="D3242" s="79">
        <v>1</v>
      </c>
      <c r="E3242" s="79">
        <v>597.32999999999993</v>
      </c>
      <c r="F3242" s="79">
        <v>597.33000000000004</v>
      </c>
      <c r="G3242" s="445"/>
      <c r="H3242" s="178">
        <v>597.33000000000004</v>
      </c>
      <c r="I3242" s="178">
        <v>734.71</v>
      </c>
      <c r="J3242" s="70">
        <v>-137.38000000000011</v>
      </c>
      <c r="K3242" s="320"/>
      <c r="L3242" s="178">
        <v>49.42</v>
      </c>
      <c r="M3242" s="178">
        <v>547.91</v>
      </c>
      <c r="N3242" s="179">
        <v>0</v>
      </c>
      <c r="O3242" s="178">
        <v>597.32999999999993</v>
      </c>
      <c r="P3242" s="453"/>
      <c r="R3242" s="298"/>
      <c r="S3242" s="669"/>
      <c r="T3242" s="444"/>
      <c r="U3242" s="444"/>
      <c r="V3242" s="444"/>
      <c r="W3242" s="444"/>
      <c r="X3242" s="444">
        <v>3242</v>
      </c>
      <c r="Y3242" s="444"/>
      <c r="Z3242" s="444"/>
      <c r="AA3242" s="444"/>
      <c r="AB3242" s="444"/>
      <c r="AC3242" s="444"/>
      <c r="AD3242" s="444"/>
      <c r="AE3242" s="444"/>
      <c r="AF3242" s="444"/>
    </row>
    <row r="3243" spans="1:32" s="61" customFormat="1" ht="12">
      <c r="A3243" s="83" t="s">
        <v>23626</v>
      </c>
      <c r="B3243" s="64" t="s">
        <v>23627</v>
      </c>
      <c r="C3243" s="71" t="s">
        <v>121</v>
      </c>
      <c r="D3243" s="79">
        <v>1</v>
      </c>
      <c r="E3243" s="79">
        <v>618.23</v>
      </c>
      <c r="F3243" s="79">
        <v>618.23</v>
      </c>
      <c r="G3243" s="445"/>
      <c r="H3243" s="178">
        <v>618.22</v>
      </c>
      <c r="I3243" s="178">
        <v>760.41</v>
      </c>
      <c r="J3243" s="70">
        <v>-142.17999999999995</v>
      </c>
      <c r="K3243" s="320"/>
      <c r="L3243" s="178">
        <v>49.42</v>
      </c>
      <c r="M3243" s="178">
        <v>568.81000000000006</v>
      </c>
      <c r="N3243" s="179">
        <v>0</v>
      </c>
      <c r="O3243" s="178">
        <v>618.23</v>
      </c>
      <c r="P3243" s="453"/>
      <c r="R3243" s="298"/>
      <c r="S3243" s="669"/>
      <c r="T3243" s="444"/>
      <c r="U3243" s="444"/>
      <c r="V3243" s="444"/>
      <c r="W3243" s="444"/>
      <c r="X3243" s="444">
        <v>3243</v>
      </c>
      <c r="Y3243" s="444"/>
      <c r="Z3243" s="444"/>
      <c r="AA3243" s="444"/>
      <c r="AB3243" s="444"/>
      <c r="AC3243" s="444"/>
      <c r="AD3243" s="444"/>
      <c r="AE3243" s="444"/>
      <c r="AF3243" s="444"/>
    </row>
    <row r="3244" spans="1:32" s="61" customFormat="1" ht="12">
      <c r="A3244" s="83" t="s">
        <v>23628</v>
      </c>
      <c r="B3244" s="64" t="s">
        <v>18702</v>
      </c>
      <c r="C3244" s="71" t="s">
        <v>121</v>
      </c>
      <c r="D3244" s="79">
        <v>1</v>
      </c>
      <c r="E3244" s="79">
        <v>642.27</v>
      </c>
      <c r="F3244" s="79">
        <v>642.27</v>
      </c>
      <c r="G3244" s="445"/>
      <c r="H3244" s="178">
        <v>642.27</v>
      </c>
      <c r="I3244" s="178">
        <v>789.99</v>
      </c>
      <c r="J3244" s="70">
        <v>-147.72000000000003</v>
      </c>
      <c r="K3244" s="320"/>
      <c r="L3244" s="178">
        <v>49.42</v>
      </c>
      <c r="M3244" s="178">
        <v>592.85</v>
      </c>
      <c r="N3244" s="179">
        <v>0</v>
      </c>
      <c r="O3244" s="178">
        <v>642.27</v>
      </c>
      <c r="P3244" s="453"/>
      <c r="R3244" s="298"/>
      <c r="S3244" s="669"/>
      <c r="T3244" s="444"/>
      <c r="U3244" s="444"/>
      <c r="V3244" s="444"/>
      <c r="W3244" s="444"/>
      <c r="X3244" s="444">
        <v>3244</v>
      </c>
      <c r="Y3244" s="444"/>
      <c r="Z3244" s="444"/>
      <c r="AA3244" s="444"/>
      <c r="AB3244" s="444"/>
      <c r="AC3244" s="444"/>
      <c r="AD3244" s="444"/>
      <c r="AE3244" s="444"/>
      <c r="AF3244" s="444"/>
    </row>
    <row r="3245" spans="1:32" ht="12">
      <c r="A3245" s="83" t="s">
        <v>23629</v>
      </c>
      <c r="B3245" s="64" t="s">
        <v>18704</v>
      </c>
      <c r="C3245" s="71" t="s">
        <v>121</v>
      </c>
      <c r="D3245" s="79">
        <v>1</v>
      </c>
      <c r="E3245" s="79">
        <v>597.71</v>
      </c>
      <c r="F3245" s="79">
        <v>597.71</v>
      </c>
      <c r="G3245" s="445"/>
      <c r="H3245" s="178">
        <v>597.72</v>
      </c>
      <c r="I3245" s="178">
        <v>735.19</v>
      </c>
      <c r="J3245" s="70">
        <v>-137.48000000000002</v>
      </c>
      <c r="K3245" s="320"/>
      <c r="L3245" s="178">
        <v>214.05</v>
      </c>
      <c r="M3245" s="178">
        <v>383.66</v>
      </c>
      <c r="N3245" s="179">
        <v>0</v>
      </c>
      <c r="O3245" s="178">
        <v>597.71</v>
      </c>
      <c r="P3245" s="453"/>
      <c r="Q3245" s="61"/>
      <c r="R3245" s="298"/>
      <c r="S3245" s="669"/>
      <c r="X3245" s="444">
        <v>3245</v>
      </c>
    </row>
    <row r="3246" spans="1:32" ht="12">
      <c r="A3246" s="83" t="s">
        <v>23630</v>
      </c>
      <c r="B3246" s="64" t="s">
        <v>23631</v>
      </c>
      <c r="C3246" s="71" t="s">
        <v>10216</v>
      </c>
      <c r="D3246" s="79">
        <v>1</v>
      </c>
      <c r="E3246" s="79">
        <v>577.26</v>
      </c>
      <c r="F3246" s="79">
        <v>577.26</v>
      </c>
      <c r="G3246" s="445"/>
      <c r="H3246" s="178">
        <v>577.25</v>
      </c>
      <c r="I3246" s="178">
        <v>710.02</v>
      </c>
      <c r="J3246" s="70">
        <v>-132.76</v>
      </c>
      <c r="K3246" s="320"/>
      <c r="L3246" s="178">
        <v>0</v>
      </c>
      <c r="M3246" s="178">
        <v>577.26</v>
      </c>
      <c r="N3246" s="179">
        <v>0</v>
      </c>
      <c r="O3246" s="178">
        <v>577.26</v>
      </c>
      <c r="P3246" s="453"/>
      <c r="Q3246" s="61"/>
      <c r="R3246" s="298"/>
      <c r="S3246" s="669"/>
      <c r="X3246" s="444">
        <v>3246</v>
      </c>
    </row>
    <row r="3247" spans="1:32" s="61" customFormat="1" ht="12">
      <c r="A3247" s="63" t="s">
        <v>23632</v>
      </c>
      <c r="B3247" s="64" t="s">
        <v>23633</v>
      </c>
      <c r="C3247" s="63" t="s">
        <v>165</v>
      </c>
      <c r="D3247" s="79">
        <v>1</v>
      </c>
      <c r="E3247" s="79">
        <v>37.44</v>
      </c>
      <c r="F3247" s="79">
        <v>37.44</v>
      </c>
      <c r="G3247" s="320"/>
      <c r="H3247" s="178">
        <v>37.43</v>
      </c>
      <c r="I3247" s="178">
        <v>46.04</v>
      </c>
      <c r="J3247" s="70">
        <v>-8.6000000000000014</v>
      </c>
      <c r="K3247" s="320"/>
      <c r="L3247" s="178">
        <v>22</v>
      </c>
      <c r="M3247" s="178">
        <v>15.439999999999998</v>
      </c>
      <c r="N3247" s="179">
        <v>0</v>
      </c>
      <c r="O3247" s="178">
        <v>37.44</v>
      </c>
      <c r="P3247" s="453"/>
      <c r="R3247" s="298"/>
      <c r="S3247" s="669"/>
      <c r="T3247" s="73"/>
      <c r="X3247" s="444">
        <v>3247</v>
      </c>
    </row>
    <row r="3248" spans="1:32" s="61" customFormat="1" ht="12">
      <c r="A3248" s="63" t="s">
        <v>23634</v>
      </c>
      <c r="B3248" s="64" t="s">
        <v>23635</v>
      </c>
      <c r="C3248" s="63" t="s">
        <v>165</v>
      </c>
      <c r="D3248" s="79">
        <v>1</v>
      </c>
      <c r="E3248" s="79">
        <v>39.590000000000003</v>
      </c>
      <c r="F3248" s="79">
        <v>39.590000000000003</v>
      </c>
      <c r="G3248" s="320"/>
      <c r="H3248" s="178">
        <v>39.590000000000003</v>
      </c>
      <c r="I3248" s="178">
        <v>48.69</v>
      </c>
      <c r="J3248" s="70">
        <v>-9.0999999999999943</v>
      </c>
      <c r="K3248" s="320"/>
      <c r="L3248" s="178">
        <v>22</v>
      </c>
      <c r="M3248" s="178">
        <v>17.590000000000003</v>
      </c>
      <c r="N3248" s="179">
        <v>0</v>
      </c>
      <c r="O3248" s="178">
        <v>39.590000000000003</v>
      </c>
      <c r="P3248" s="453"/>
      <c r="R3248" s="298"/>
      <c r="S3248" s="669"/>
      <c r="T3248" s="73"/>
      <c r="X3248" s="444">
        <v>3248</v>
      </c>
    </row>
    <row r="3249" spans="1:32" ht="24">
      <c r="A3249" s="63" t="s">
        <v>23636</v>
      </c>
      <c r="B3249" s="64" t="s">
        <v>23637</v>
      </c>
      <c r="C3249" s="63" t="s">
        <v>509</v>
      </c>
      <c r="D3249" s="79">
        <v>1</v>
      </c>
      <c r="E3249" s="79">
        <v>115.05000000000001</v>
      </c>
      <c r="F3249" s="79">
        <v>115.05</v>
      </c>
      <c r="G3249" s="320"/>
      <c r="H3249" s="178">
        <v>115.05</v>
      </c>
      <c r="I3249" s="178">
        <v>141.51</v>
      </c>
      <c r="J3249" s="70">
        <v>-26.45999999999998</v>
      </c>
      <c r="K3249" s="320"/>
      <c r="L3249" s="178">
        <v>37.049999999999997</v>
      </c>
      <c r="M3249" s="178">
        <v>78.000000000000014</v>
      </c>
      <c r="N3249" s="179">
        <v>0</v>
      </c>
      <c r="O3249" s="178">
        <v>115.05000000000001</v>
      </c>
      <c r="P3249" s="453"/>
      <c r="Q3249" s="61"/>
      <c r="R3249" s="298"/>
      <c r="S3249" s="669"/>
      <c r="T3249" s="66"/>
      <c r="U3249" s="61"/>
      <c r="V3249" s="61"/>
      <c r="W3249" s="61"/>
      <c r="X3249" s="444">
        <v>3249</v>
      </c>
      <c r="Y3249" s="61"/>
      <c r="Z3249" s="61"/>
      <c r="AA3249" s="61"/>
      <c r="AB3249" s="61"/>
      <c r="AC3249" s="61"/>
      <c r="AD3249" s="61"/>
      <c r="AE3249" s="61"/>
      <c r="AF3249" s="61"/>
    </row>
    <row r="3250" spans="1:32" ht="24">
      <c r="A3250" s="63" t="s">
        <v>23638</v>
      </c>
      <c r="B3250" s="64" t="s">
        <v>23639</v>
      </c>
      <c r="C3250" s="63" t="s">
        <v>509</v>
      </c>
      <c r="D3250" s="79">
        <v>1</v>
      </c>
      <c r="E3250" s="79">
        <v>144.84</v>
      </c>
      <c r="F3250" s="79">
        <v>144.84</v>
      </c>
      <c r="G3250" s="320"/>
      <c r="H3250" s="178">
        <v>144.83000000000001</v>
      </c>
      <c r="I3250" s="178">
        <v>178.14</v>
      </c>
      <c r="J3250" s="70">
        <v>-33.299999999999983</v>
      </c>
      <c r="K3250" s="320"/>
      <c r="L3250" s="178">
        <v>39.92</v>
      </c>
      <c r="M3250" s="178">
        <v>104.92</v>
      </c>
      <c r="N3250" s="179">
        <v>0</v>
      </c>
      <c r="O3250" s="178">
        <v>144.84</v>
      </c>
      <c r="P3250" s="453"/>
      <c r="Q3250" s="61"/>
      <c r="R3250" s="298"/>
      <c r="S3250" s="669"/>
      <c r="T3250" s="66"/>
      <c r="X3250" s="444">
        <v>3250</v>
      </c>
    </row>
    <row r="3251" spans="1:32" ht="12">
      <c r="A3251" s="83" t="s">
        <v>40047</v>
      </c>
      <c r="B3251" s="64" t="s">
        <v>40048</v>
      </c>
      <c r="C3251" s="71"/>
      <c r="D3251" s="79" t="s">
        <v>40899</v>
      </c>
      <c r="E3251" s="79" t="s">
        <v>40899</v>
      </c>
      <c r="F3251" s="79"/>
      <c r="G3251" s="445"/>
      <c r="H3251" s="178"/>
      <c r="I3251" s="178"/>
      <c r="J3251" s="70"/>
      <c r="K3251" s="320"/>
      <c r="L3251" s="178"/>
      <c r="M3251" s="178"/>
      <c r="N3251" s="179"/>
      <c r="O3251" s="178"/>
      <c r="P3251" s="132"/>
      <c r="Q3251" s="61"/>
      <c r="R3251" s="298"/>
      <c r="S3251" s="669"/>
      <c r="T3251" s="61"/>
      <c r="X3251" s="444">
        <v>3251</v>
      </c>
    </row>
    <row r="3252" spans="1:32" ht="12">
      <c r="A3252" s="83" t="s">
        <v>23640</v>
      </c>
      <c r="B3252" s="64" t="s">
        <v>23641</v>
      </c>
      <c r="C3252" s="71" t="s">
        <v>509</v>
      </c>
      <c r="D3252" s="79">
        <v>1</v>
      </c>
      <c r="E3252" s="79">
        <v>65.649999999999991</v>
      </c>
      <c r="F3252" s="79">
        <v>65.650000000000006</v>
      </c>
      <c r="G3252" s="445"/>
      <c r="H3252" s="178">
        <v>65.64</v>
      </c>
      <c r="I3252" s="178">
        <v>80.739999999999995</v>
      </c>
      <c r="J3252" s="70">
        <v>-15.090000000000003</v>
      </c>
      <c r="K3252" s="320"/>
      <c r="L3252" s="178">
        <v>53.879999999999995</v>
      </c>
      <c r="M3252" s="178">
        <v>11.769999999999996</v>
      </c>
      <c r="N3252" s="179">
        <v>0</v>
      </c>
      <c r="O3252" s="178">
        <v>65.649999999999991</v>
      </c>
      <c r="P3252" s="453"/>
      <c r="Q3252" s="61"/>
      <c r="R3252" s="298"/>
      <c r="S3252" s="669"/>
      <c r="U3252" s="73"/>
      <c r="V3252" s="73"/>
      <c r="W3252" s="73"/>
      <c r="X3252" s="444">
        <v>3252</v>
      </c>
      <c r="Y3252" s="73"/>
      <c r="Z3252" s="73"/>
      <c r="AA3252" s="73"/>
      <c r="AB3252" s="73"/>
      <c r="AC3252" s="73"/>
      <c r="AD3252" s="73"/>
      <c r="AE3252" s="73"/>
      <c r="AF3252" s="73"/>
    </row>
    <row r="3253" spans="1:32" ht="12">
      <c r="A3253" s="83" t="s">
        <v>23642</v>
      </c>
      <c r="B3253" s="64" t="s">
        <v>23643</v>
      </c>
      <c r="C3253" s="71" t="s">
        <v>509</v>
      </c>
      <c r="D3253" s="79">
        <v>1</v>
      </c>
      <c r="E3253" s="79">
        <v>90.420000000000016</v>
      </c>
      <c r="F3253" s="79">
        <v>90.42</v>
      </c>
      <c r="G3253" s="445"/>
      <c r="H3253" s="178">
        <v>90.41</v>
      </c>
      <c r="I3253" s="178">
        <v>111.2</v>
      </c>
      <c r="J3253" s="70">
        <v>-20.779999999999987</v>
      </c>
      <c r="K3253" s="320"/>
      <c r="L3253" s="178">
        <v>56.120000000000005</v>
      </c>
      <c r="M3253" s="178">
        <v>34.300000000000011</v>
      </c>
      <c r="N3253" s="179">
        <v>0</v>
      </c>
      <c r="O3253" s="178">
        <v>90.420000000000016</v>
      </c>
      <c r="P3253" s="453"/>
      <c r="Q3253" s="61"/>
      <c r="R3253" s="298"/>
      <c r="S3253" s="669"/>
      <c r="U3253" s="73"/>
      <c r="V3253" s="73"/>
      <c r="W3253" s="73"/>
      <c r="X3253" s="444">
        <v>3253</v>
      </c>
      <c r="Y3253" s="73"/>
      <c r="Z3253" s="73"/>
      <c r="AA3253" s="73"/>
      <c r="AB3253" s="73"/>
      <c r="AC3253" s="73"/>
      <c r="AD3253" s="73"/>
      <c r="AE3253" s="73"/>
      <c r="AF3253" s="73"/>
    </row>
    <row r="3254" spans="1:32" ht="12">
      <c r="A3254" s="83" t="s">
        <v>23644</v>
      </c>
      <c r="B3254" s="64" t="s">
        <v>23645</v>
      </c>
      <c r="C3254" s="71" t="s">
        <v>509</v>
      </c>
      <c r="D3254" s="79">
        <v>1</v>
      </c>
      <c r="E3254" s="79">
        <v>12.419999999999998</v>
      </c>
      <c r="F3254" s="79">
        <v>12.42</v>
      </c>
      <c r="G3254" s="445"/>
      <c r="H3254" s="178">
        <v>12.41</v>
      </c>
      <c r="I3254" s="178">
        <v>15.27</v>
      </c>
      <c r="J3254" s="70">
        <v>-2.8500000000000014</v>
      </c>
      <c r="K3254" s="320"/>
      <c r="L3254" s="178">
        <v>2.71</v>
      </c>
      <c r="M3254" s="178">
        <v>9.7099999999999973</v>
      </c>
      <c r="N3254" s="179">
        <v>0</v>
      </c>
      <c r="O3254" s="178">
        <v>12.419999999999998</v>
      </c>
      <c r="P3254" s="453"/>
      <c r="Q3254" s="61"/>
      <c r="R3254" s="298"/>
      <c r="S3254" s="669"/>
      <c r="U3254" s="73"/>
      <c r="V3254" s="73"/>
      <c r="W3254" s="73"/>
      <c r="X3254" s="444">
        <v>3254</v>
      </c>
      <c r="Y3254" s="73"/>
      <c r="Z3254" s="73"/>
      <c r="AA3254" s="73"/>
      <c r="AB3254" s="73"/>
      <c r="AC3254" s="73"/>
      <c r="AD3254" s="73"/>
      <c r="AE3254" s="73"/>
      <c r="AF3254" s="73"/>
    </row>
    <row r="3255" spans="1:32" ht="12">
      <c r="A3255" s="83" t="s">
        <v>23646</v>
      </c>
      <c r="B3255" s="64" t="s">
        <v>18530</v>
      </c>
      <c r="C3255" s="71" t="s">
        <v>509</v>
      </c>
      <c r="D3255" s="79">
        <v>1</v>
      </c>
      <c r="E3255" s="79">
        <v>23.25</v>
      </c>
      <c r="F3255" s="79">
        <v>23.25</v>
      </c>
      <c r="G3255" s="445"/>
      <c r="H3255" s="178">
        <v>23.24</v>
      </c>
      <c r="I3255" s="178">
        <v>28.59</v>
      </c>
      <c r="J3255" s="70">
        <v>-5.34</v>
      </c>
      <c r="K3255" s="320"/>
      <c r="L3255" s="178">
        <v>14.83</v>
      </c>
      <c r="M3255" s="178">
        <v>8.42</v>
      </c>
      <c r="N3255" s="179">
        <v>0</v>
      </c>
      <c r="O3255" s="178">
        <v>23.25</v>
      </c>
      <c r="P3255" s="453"/>
      <c r="Q3255" s="61"/>
      <c r="R3255" s="298"/>
      <c r="S3255" s="669"/>
      <c r="U3255" s="73"/>
      <c r="V3255" s="73"/>
      <c r="W3255" s="73"/>
      <c r="X3255" s="444">
        <v>3255</v>
      </c>
      <c r="Y3255" s="73"/>
      <c r="Z3255" s="73"/>
      <c r="AA3255" s="73"/>
      <c r="AB3255" s="73"/>
      <c r="AC3255" s="73"/>
      <c r="AD3255" s="73"/>
      <c r="AE3255" s="73"/>
      <c r="AF3255" s="73"/>
    </row>
    <row r="3256" spans="1:32" ht="12">
      <c r="A3256" s="83" t="s">
        <v>23647</v>
      </c>
      <c r="B3256" s="64" t="s">
        <v>23648</v>
      </c>
      <c r="C3256" s="71" t="s">
        <v>121</v>
      </c>
      <c r="D3256" s="79">
        <v>1</v>
      </c>
      <c r="E3256" s="79">
        <v>226.3</v>
      </c>
      <c r="F3256" s="79">
        <v>226.3</v>
      </c>
      <c r="G3256" s="445"/>
      <c r="H3256" s="178">
        <v>226.29</v>
      </c>
      <c r="I3256" s="178">
        <v>278.33999999999997</v>
      </c>
      <c r="J3256" s="70">
        <v>-52.039999999999964</v>
      </c>
      <c r="K3256" s="320"/>
      <c r="L3256" s="178">
        <v>55.83</v>
      </c>
      <c r="M3256" s="178">
        <v>170.47000000000003</v>
      </c>
      <c r="N3256" s="179">
        <v>0</v>
      </c>
      <c r="O3256" s="178">
        <v>226.3</v>
      </c>
      <c r="P3256" s="453"/>
      <c r="Q3256" s="61"/>
      <c r="R3256" s="298"/>
      <c r="S3256" s="669"/>
      <c r="U3256" s="73"/>
      <c r="V3256" s="73"/>
      <c r="W3256" s="73"/>
      <c r="X3256" s="444">
        <v>3256</v>
      </c>
      <c r="Y3256" s="73"/>
      <c r="Z3256" s="73"/>
      <c r="AA3256" s="73"/>
      <c r="AB3256" s="73"/>
      <c r="AC3256" s="73"/>
      <c r="AD3256" s="73"/>
      <c r="AE3256" s="73"/>
      <c r="AF3256" s="73"/>
    </row>
    <row r="3257" spans="1:32" ht="12">
      <c r="A3257" s="83" t="s">
        <v>23649</v>
      </c>
      <c r="B3257" s="64" t="s">
        <v>23650</v>
      </c>
      <c r="C3257" s="71" t="s">
        <v>121</v>
      </c>
      <c r="D3257" s="79">
        <v>1</v>
      </c>
      <c r="E3257" s="79">
        <v>235.74</v>
      </c>
      <c r="F3257" s="79">
        <v>235.74</v>
      </c>
      <c r="G3257" s="445"/>
      <c r="H3257" s="178">
        <v>235.73</v>
      </c>
      <c r="I3257" s="178">
        <v>289.95</v>
      </c>
      <c r="J3257" s="70">
        <v>-54.20999999999998</v>
      </c>
      <c r="K3257" s="320"/>
      <c r="L3257" s="178">
        <v>44.67</v>
      </c>
      <c r="M3257" s="178">
        <v>191.07</v>
      </c>
      <c r="N3257" s="179">
        <v>0</v>
      </c>
      <c r="O3257" s="178">
        <v>235.74</v>
      </c>
      <c r="P3257" s="453"/>
      <c r="Q3257" s="61"/>
      <c r="R3257" s="298"/>
      <c r="S3257" s="669"/>
      <c r="U3257" s="73"/>
      <c r="V3257" s="73"/>
      <c r="W3257" s="73"/>
      <c r="X3257" s="444">
        <v>3257</v>
      </c>
      <c r="Y3257" s="73"/>
      <c r="Z3257" s="73"/>
      <c r="AA3257" s="73"/>
      <c r="AB3257" s="73"/>
      <c r="AC3257" s="73"/>
      <c r="AD3257" s="73"/>
      <c r="AE3257" s="73"/>
      <c r="AF3257" s="73"/>
    </row>
    <row r="3258" spans="1:32" ht="12">
      <c r="A3258" s="83" t="s">
        <v>23651</v>
      </c>
      <c r="B3258" s="64" t="s">
        <v>23652</v>
      </c>
      <c r="C3258" s="71" t="s">
        <v>121</v>
      </c>
      <c r="D3258" s="79">
        <v>1</v>
      </c>
      <c r="E3258" s="79">
        <v>719.81</v>
      </c>
      <c r="F3258" s="79">
        <v>719.81</v>
      </c>
      <c r="G3258" s="445"/>
      <c r="H3258" s="178">
        <v>719.81</v>
      </c>
      <c r="I3258" s="178">
        <v>885.37</v>
      </c>
      <c r="J3258" s="70">
        <v>-165.56000000000006</v>
      </c>
      <c r="K3258" s="320"/>
      <c r="L3258" s="178">
        <v>148.25</v>
      </c>
      <c r="M3258" s="178">
        <v>571.55999999999995</v>
      </c>
      <c r="N3258" s="179">
        <v>0</v>
      </c>
      <c r="O3258" s="178">
        <v>719.81</v>
      </c>
      <c r="P3258" s="453"/>
      <c r="Q3258" s="61"/>
      <c r="R3258" s="298"/>
      <c r="S3258" s="669"/>
      <c r="X3258" s="444">
        <v>3258</v>
      </c>
    </row>
    <row r="3259" spans="1:32" ht="12">
      <c r="A3259" s="83" t="s">
        <v>23653</v>
      </c>
      <c r="B3259" s="64" t="s">
        <v>23654</v>
      </c>
      <c r="C3259" s="71" t="s">
        <v>10216</v>
      </c>
      <c r="D3259" s="79">
        <v>1</v>
      </c>
      <c r="E3259" s="79">
        <v>577.26</v>
      </c>
      <c r="F3259" s="79">
        <v>577.26</v>
      </c>
      <c r="G3259" s="445"/>
      <c r="H3259" s="178">
        <v>577.25</v>
      </c>
      <c r="I3259" s="178">
        <v>710.02</v>
      </c>
      <c r="J3259" s="70">
        <v>-132.76</v>
      </c>
      <c r="K3259" s="320"/>
      <c r="L3259" s="178"/>
      <c r="M3259" s="178">
        <v>577.26</v>
      </c>
      <c r="N3259" s="179">
        <v>0</v>
      </c>
      <c r="O3259" s="178">
        <v>577.26</v>
      </c>
      <c r="P3259" s="453"/>
      <c r="Q3259" s="61"/>
      <c r="R3259" s="298"/>
      <c r="S3259" s="669"/>
      <c r="X3259" s="444">
        <v>3259</v>
      </c>
    </row>
    <row r="3260" spans="1:32" ht="12">
      <c r="A3260" s="83" t="s">
        <v>40049</v>
      </c>
      <c r="B3260" s="64" t="s">
        <v>40050</v>
      </c>
      <c r="C3260" s="71"/>
      <c r="D3260" s="79" t="s">
        <v>40899</v>
      </c>
      <c r="E3260" s="79" t="s">
        <v>40899</v>
      </c>
      <c r="F3260" s="79"/>
      <c r="G3260" s="445"/>
      <c r="H3260" s="178"/>
      <c r="I3260" s="178"/>
      <c r="J3260" s="70"/>
      <c r="K3260" s="320"/>
      <c r="L3260" s="178"/>
      <c r="M3260" s="178"/>
      <c r="N3260" s="179"/>
      <c r="O3260" s="178"/>
      <c r="P3260" s="453"/>
      <c r="Q3260" s="61"/>
      <c r="R3260" s="298"/>
      <c r="S3260" s="669"/>
      <c r="T3260" s="61"/>
      <c r="U3260" s="73"/>
      <c r="V3260" s="73"/>
      <c r="W3260" s="73"/>
      <c r="X3260" s="444">
        <v>3260</v>
      </c>
      <c r="Y3260" s="73"/>
      <c r="Z3260" s="73"/>
      <c r="AA3260" s="73"/>
      <c r="AB3260" s="73"/>
      <c r="AC3260" s="73"/>
      <c r="AD3260" s="73"/>
      <c r="AE3260" s="73"/>
      <c r="AF3260" s="73"/>
    </row>
    <row r="3261" spans="1:32" ht="24">
      <c r="A3261" s="63" t="s">
        <v>23655</v>
      </c>
      <c r="B3261" s="146" t="s">
        <v>29676</v>
      </c>
      <c r="C3261" s="134" t="s">
        <v>103</v>
      </c>
      <c r="D3261" s="79">
        <v>1</v>
      </c>
      <c r="E3261" s="79">
        <v>1581.44</v>
      </c>
      <c r="F3261" s="79">
        <v>1581.44</v>
      </c>
      <c r="G3261" s="320"/>
      <c r="H3261" s="178">
        <v>1581.44</v>
      </c>
      <c r="I3261" s="178">
        <v>1945.17</v>
      </c>
      <c r="J3261" s="70">
        <v>-363.73</v>
      </c>
      <c r="K3261" s="320"/>
      <c r="L3261" s="178"/>
      <c r="M3261" s="178">
        <v>1581.44</v>
      </c>
      <c r="N3261" s="179">
        <v>0</v>
      </c>
      <c r="O3261" s="178">
        <v>1581.44</v>
      </c>
      <c r="P3261" s="453"/>
      <c r="Q3261" s="61"/>
      <c r="R3261" s="298"/>
      <c r="S3261" s="669"/>
      <c r="U3261" s="73"/>
      <c r="V3261" s="73"/>
      <c r="W3261" s="73"/>
      <c r="X3261" s="444">
        <v>3261</v>
      </c>
      <c r="Y3261" s="73"/>
      <c r="Z3261" s="73"/>
      <c r="AA3261" s="73"/>
      <c r="AB3261" s="73"/>
      <c r="AC3261" s="73"/>
      <c r="AD3261" s="73"/>
      <c r="AE3261" s="73"/>
      <c r="AF3261" s="73"/>
    </row>
    <row r="3262" spans="1:32" ht="24">
      <c r="A3262" s="454" t="s">
        <v>23656</v>
      </c>
      <c r="B3262" s="146" t="s">
        <v>29677</v>
      </c>
      <c r="C3262" s="134" t="s">
        <v>103</v>
      </c>
      <c r="D3262" s="79">
        <v>1</v>
      </c>
      <c r="E3262" s="79">
        <v>259.47000000000003</v>
      </c>
      <c r="F3262" s="79">
        <v>259.47000000000003</v>
      </c>
      <c r="G3262" s="320"/>
      <c r="H3262" s="178">
        <v>259.45999999999998</v>
      </c>
      <c r="I3262" s="178">
        <v>319.14</v>
      </c>
      <c r="J3262" s="70">
        <v>-59.669999999999959</v>
      </c>
      <c r="K3262" s="320"/>
      <c r="L3262" s="178"/>
      <c r="M3262" s="178">
        <v>259.47000000000003</v>
      </c>
      <c r="N3262" s="179">
        <v>0</v>
      </c>
      <c r="O3262" s="178">
        <v>259.47000000000003</v>
      </c>
      <c r="P3262" s="453"/>
      <c r="Q3262" s="61"/>
      <c r="R3262" s="298"/>
      <c r="S3262" s="669"/>
      <c r="T3262" s="61"/>
      <c r="U3262" s="73"/>
      <c r="V3262" s="73"/>
      <c r="W3262" s="73"/>
      <c r="X3262" s="444">
        <v>3262</v>
      </c>
      <c r="Y3262" s="73"/>
      <c r="Z3262" s="73"/>
      <c r="AA3262" s="73"/>
      <c r="AB3262" s="73"/>
      <c r="AC3262" s="73"/>
      <c r="AD3262" s="73"/>
      <c r="AE3262" s="73"/>
      <c r="AF3262" s="73"/>
    </row>
    <row r="3263" spans="1:32" ht="24">
      <c r="A3263" s="454" t="s">
        <v>23657</v>
      </c>
      <c r="B3263" s="146" t="s">
        <v>40051</v>
      </c>
      <c r="C3263" s="134" t="s">
        <v>165</v>
      </c>
      <c r="D3263" s="79">
        <v>1</v>
      </c>
      <c r="E3263" s="79">
        <v>46.67</v>
      </c>
      <c r="F3263" s="79">
        <v>46.67</v>
      </c>
      <c r="G3263" s="320"/>
      <c r="H3263" s="178">
        <v>46.67</v>
      </c>
      <c r="I3263" s="178">
        <v>57.41</v>
      </c>
      <c r="J3263" s="70">
        <v>-10.739999999999995</v>
      </c>
      <c r="K3263" s="320"/>
      <c r="L3263" s="178">
        <v>17.29</v>
      </c>
      <c r="M3263" s="178">
        <v>29.380000000000003</v>
      </c>
      <c r="N3263" s="179">
        <v>0</v>
      </c>
      <c r="O3263" s="178">
        <v>46.67</v>
      </c>
      <c r="P3263" s="453"/>
      <c r="Q3263" s="61"/>
      <c r="R3263" s="298"/>
      <c r="S3263" s="669"/>
      <c r="T3263" s="61"/>
      <c r="U3263" s="73"/>
      <c r="V3263" s="73"/>
      <c r="W3263" s="73"/>
      <c r="X3263" s="444">
        <v>3263</v>
      </c>
      <c r="Y3263" s="73"/>
      <c r="Z3263" s="73"/>
      <c r="AA3263" s="73"/>
      <c r="AB3263" s="73"/>
      <c r="AC3263" s="73"/>
      <c r="AD3263" s="73"/>
      <c r="AE3263" s="73"/>
      <c r="AF3263" s="73"/>
    </row>
    <row r="3264" spans="1:32" ht="24">
      <c r="A3264" s="454" t="s">
        <v>23658</v>
      </c>
      <c r="B3264" s="146" t="s">
        <v>40052</v>
      </c>
      <c r="C3264" s="134" t="s">
        <v>165</v>
      </c>
      <c r="D3264" s="79">
        <v>1</v>
      </c>
      <c r="E3264" s="79">
        <v>39.32</v>
      </c>
      <c r="F3264" s="79">
        <v>39.32</v>
      </c>
      <c r="G3264" s="320"/>
      <c r="H3264" s="178">
        <v>39.33</v>
      </c>
      <c r="I3264" s="178">
        <v>48.37</v>
      </c>
      <c r="J3264" s="70">
        <v>-9.0499999999999972</v>
      </c>
      <c r="K3264" s="320"/>
      <c r="L3264" s="178">
        <v>9.879999999999999</v>
      </c>
      <c r="M3264" s="178">
        <v>29.44</v>
      </c>
      <c r="N3264" s="179">
        <v>0</v>
      </c>
      <c r="O3264" s="178">
        <v>39.32</v>
      </c>
      <c r="P3264" s="453"/>
      <c r="Q3264" s="61"/>
      <c r="R3264" s="298"/>
      <c r="S3264" s="669"/>
      <c r="T3264" s="61"/>
      <c r="U3264" s="73"/>
      <c r="V3264" s="73"/>
      <c r="W3264" s="73"/>
      <c r="X3264" s="444">
        <v>3264</v>
      </c>
      <c r="Y3264" s="73"/>
      <c r="Z3264" s="73"/>
      <c r="AA3264" s="73"/>
      <c r="AB3264" s="73"/>
      <c r="AC3264" s="73"/>
      <c r="AD3264" s="73"/>
      <c r="AE3264" s="73"/>
      <c r="AF3264" s="73"/>
    </row>
    <row r="3265" spans="1:32">
      <c r="A3265" s="67" t="s">
        <v>40936</v>
      </c>
      <c r="B3265" s="457" t="s">
        <v>40053</v>
      </c>
      <c r="C3265" s="71" t="s">
        <v>509</v>
      </c>
      <c r="D3265" s="79">
        <v>1</v>
      </c>
      <c r="E3265" s="79">
        <v>2271</v>
      </c>
      <c r="F3265" s="79">
        <v>2271</v>
      </c>
      <c r="H3265" s="178">
        <v>2271</v>
      </c>
      <c r="I3265" s="178">
        <v>2793.33</v>
      </c>
      <c r="J3265" s="70">
        <v>-522.32999999999993</v>
      </c>
      <c r="K3265" s="320"/>
      <c r="L3265" s="178">
        <v>1.1499999999999999</v>
      </c>
      <c r="M3265" s="178">
        <v>2269.85</v>
      </c>
      <c r="N3265" s="179">
        <v>0</v>
      </c>
      <c r="O3265" s="178">
        <v>2271</v>
      </c>
      <c r="P3265" s="453"/>
      <c r="Q3265" s="61"/>
      <c r="R3265" s="298"/>
      <c r="S3265" s="669"/>
      <c r="X3265" s="444">
        <v>3265</v>
      </c>
    </row>
    <row r="3266" spans="1:32" ht="12">
      <c r="A3266" s="83" t="s">
        <v>23659</v>
      </c>
      <c r="B3266" s="64" t="s">
        <v>23660</v>
      </c>
      <c r="C3266" s="71" t="s">
        <v>103</v>
      </c>
      <c r="D3266" s="79">
        <v>1</v>
      </c>
      <c r="E3266" s="79">
        <v>98.22</v>
      </c>
      <c r="F3266" s="79">
        <v>98.22</v>
      </c>
      <c r="G3266" s="445"/>
      <c r="H3266" s="178">
        <v>98.21</v>
      </c>
      <c r="I3266" s="178">
        <v>120.8</v>
      </c>
      <c r="J3266" s="70">
        <v>-22.58</v>
      </c>
      <c r="K3266" s="320"/>
      <c r="L3266" s="178">
        <v>3.2199999999999998</v>
      </c>
      <c r="M3266" s="178">
        <v>95</v>
      </c>
      <c r="N3266" s="179">
        <v>0</v>
      </c>
      <c r="O3266" s="178">
        <v>98.22</v>
      </c>
      <c r="P3266" s="453"/>
      <c r="Q3266" s="61"/>
      <c r="R3266" s="298"/>
      <c r="S3266" s="669"/>
      <c r="T3266" s="61"/>
      <c r="U3266" s="73"/>
      <c r="V3266" s="73"/>
      <c r="W3266" s="73"/>
      <c r="X3266" s="444">
        <v>3266</v>
      </c>
      <c r="Y3266" s="73"/>
      <c r="Z3266" s="73"/>
      <c r="AA3266" s="73"/>
      <c r="AB3266" s="73"/>
      <c r="AC3266" s="73"/>
      <c r="AD3266" s="73"/>
      <c r="AE3266" s="73"/>
      <c r="AF3266" s="73"/>
    </row>
    <row r="3267" spans="1:32" ht="12">
      <c r="A3267" s="83" t="s">
        <v>23661</v>
      </c>
      <c r="B3267" s="64" t="s">
        <v>23662</v>
      </c>
      <c r="C3267" s="71" t="s">
        <v>103</v>
      </c>
      <c r="D3267" s="79">
        <v>1</v>
      </c>
      <c r="E3267" s="79">
        <v>100.79</v>
      </c>
      <c r="F3267" s="79">
        <v>100.79</v>
      </c>
      <c r="G3267" s="445"/>
      <c r="H3267" s="178">
        <v>100.79</v>
      </c>
      <c r="I3267" s="178">
        <v>123.97</v>
      </c>
      <c r="J3267" s="70">
        <v>-23.179999999999993</v>
      </c>
      <c r="K3267" s="320"/>
      <c r="L3267" s="178">
        <v>5.35</v>
      </c>
      <c r="M3267" s="178">
        <v>95.440000000000012</v>
      </c>
      <c r="N3267" s="179">
        <v>0</v>
      </c>
      <c r="O3267" s="178">
        <v>100.79</v>
      </c>
      <c r="P3267" s="453"/>
      <c r="Q3267" s="61"/>
      <c r="R3267" s="298"/>
      <c r="S3267" s="669"/>
      <c r="T3267" s="61"/>
      <c r="U3267" s="73"/>
      <c r="V3267" s="73"/>
      <c r="W3267" s="73"/>
      <c r="X3267" s="444">
        <v>3267</v>
      </c>
      <c r="Y3267" s="73"/>
      <c r="Z3267" s="73"/>
      <c r="AA3267" s="73"/>
      <c r="AB3267" s="73"/>
      <c r="AC3267" s="73"/>
      <c r="AD3267" s="73"/>
      <c r="AE3267" s="73"/>
      <c r="AF3267" s="73"/>
    </row>
    <row r="3268" spans="1:32" ht="12">
      <c r="A3268" s="83" t="s">
        <v>23663</v>
      </c>
      <c r="B3268" s="64" t="s">
        <v>23664</v>
      </c>
      <c r="C3268" s="71" t="s">
        <v>103</v>
      </c>
      <c r="D3268" s="79">
        <v>1</v>
      </c>
      <c r="E3268" s="79">
        <v>145.79</v>
      </c>
      <c r="F3268" s="79">
        <v>145.79</v>
      </c>
      <c r="G3268" s="445"/>
      <c r="H3268" s="178">
        <v>145.79</v>
      </c>
      <c r="I3268" s="178">
        <v>179.32</v>
      </c>
      <c r="J3268" s="70">
        <v>-33.53</v>
      </c>
      <c r="K3268" s="320"/>
      <c r="L3268" s="178">
        <v>5.35</v>
      </c>
      <c r="M3268" s="178">
        <v>140.44</v>
      </c>
      <c r="N3268" s="179">
        <v>0</v>
      </c>
      <c r="O3268" s="178">
        <v>145.79</v>
      </c>
      <c r="P3268" s="453"/>
      <c r="Q3268" s="61"/>
      <c r="R3268" s="298"/>
      <c r="S3268" s="669"/>
      <c r="U3268" s="73"/>
      <c r="V3268" s="73"/>
      <c r="W3268" s="73"/>
      <c r="X3268" s="444">
        <v>3268</v>
      </c>
      <c r="Y3268" s="73"/>
      <c r="Z3268" s="73"/>
      <c r="AA3268" s="73"/>
      <c r="AB3268" s="73"/>
      <c r="AC3268" s="73"/>
      <c r="AD3268" s="73"/>
      <c r="AE3268" s="73"/>
      <c r="AF3268" s="73"/>
    </row>
    <row r="3269" spans="1:32" ht="12">
      <c r="A3269" s="83" t="s">
        <v>23665</v>
      </c>
      <c r="B3269" s="64" t="s">
        <v>23666</v>
      </c>
      <c r="C3269" s="71" t="s">
        <v>103</v>
      </c>
      <c r="D3269" s="79">
        <v>1</v>
      </c>
      <c r="E3269" s="79">
        <v>268.22000000000003</v>
      </c>
      <c r="F3269" s="79">
        <v>268.22000000000003</v>
      </c>
      <c r="G3269" s="445"/>
      <c r="H3269" s="178">
        <v>268.20999999999998</v>
      </c>
      <c r="I3269" s="178">
        <v>329.9</v>
      </c>
      <c r="J3269" s="70">
        <v>-61.67999999999995</v>
      </c>
      <c r="K3269" s="320"/>
      <c r="L3269" s="178">
        <v>3.2199999999999998</v>
      </c>
      <c r="M3269" s="178">
        <v>265</v>
      </c>
      <c r="N3269" s="179">
        <v>0</v>
      </c>
      <c r="O3269" s="178">
        <v>268.22000000000003</v>
      </c>
      <c r="P3269" s="453"/>
      <c r="Q3269" s="61"/>
      <c r="R3269" s="298"/>
      <c r="S3269" s="669"/>
      <c r="X3269" s="444">
        <v>3269</v>
      </c>
    </row>
    <row r="3270" spans="1:32" ht="12">
      <c r="A3270" s="83" t="s">
        <v>23667</v>
      </c>
      <c r="B3270" s="64" t="s">
        <v>23668</v>
      </c>
      <c r="C3270" s="71" t="s">
        <v>103</v>
      </c>
      <c r="D3270" s="79">
        <v>1</v>
      </c>
      <c r="E3270" s="79">
        <v>270.79000000000002</v>
      </c>
      <c r="F3270" s="79">
        <v>270.79000000000002</v>
      </c>
      <c r="G3270" s="445"/>
      <c r="H3270" s="178">
        <v>270.79000000000002</v>
      </c>
      <c r="I3270" s="178">
        <v>333.07</v>
      </c>
      <c r="J3270" s="70">
        <v>-62.279999999999973</v>
      </c>
      <c r="K3270" s="320"/>
      <c r="L3270" s="178">
        <v>5.35</v>
      </c>
      <c r="M3270" s="178">
        <v>265.44</v>
      </c>
      <c r="N3270" s="179">
        <v>0</v>
      </c>
      <c r="O3270" s="178">
        <v>270.79000000000002</v>
      </c>
      <c r="P3270" s="453"/>
      <c r="Q3270" s="61"/>
      <c r="R3270" s="298"/>
      <c r="S3270" s="669"/>
      <c r="X3270" s="444">
        <v>3270</v>
      </c>
    </row>
    <row r="3271" spans="1:32" ht="12">
      <c r="A3271" s="83" t="s">
        <v>23669</v>
      </c>
      <c r="B3271" s="64" t="s">
        <v>23670</v>
      </c>
      <c r="C3271" s="71" t="s">
        <v>103</v>
      </c>
      <c r="D3271" s="79">
        <v>1</v>
      </c>
      <c r="E3271" s="79">
        <v>390.79</v>
      </c>
      <c r="F3271" s="79">
        <v>390.79</v>
      </c>
      <c r="G3271" s="445"/>
      <c r="H3271" s="178">
        <v>390.79</v>
      </c>
      <c r="I3271" s="178">
        <v>480.67</v>
      </c>
      <c r="J3271" s="70">
        <v>-89.88</v>
      </c>
      <c r="K3271" s="320"/>
      <c r="L3271" s="178">
        <v>5.35</v>
      </c>
      <c r="M3271" s="178">
        <v>385.44</v>
      </c>
      <c r="N3271" s="179">
        <v>0</v>
      </c>
      <c r="O3271" s="178">
        <v>390.79</v>
      </c>
      <c r="P3271" s="453"/>
      <c r="Q3271" s="61"/>
      <c r="R3271" s="298"/>
      <c r="S3271" s="669"/>
      <c r="X3271" s="444">
        <v>3271</v>
      </c>
    </row>
    <row r="3272" spans="1:32" ht="12">
      <c r="A3272" s="83" t="s">
        <v>23671</v>
      </c>
      <c r="B3272" s="64" t="s">
        <v>23672</v>
      </c>
      <c r="C3272" s="71" t="s">
        <v>103</v>
      </c>
      <c r="D3272" s="79">
        <v>1</v>
      </c>
      <c r="E3272" s="79">
        <v>207.15</v>
      </c>
      <c r="F3272" s="79">
        <v>207.15</v>
      </c>
      <c r="G3272" s="445"/>
      <c r="H3272" s="178">
        <v>207.14</v>
      </c>
      <c r="I3272" s="178">
        <v>254.78</v>
      </c>
      <c r="J3272" s="70">
        <v>-47.629999999999995</v>
      </c>
      <c r="K3272" s="320"/>
      <c r="L3272" s="178">
        <v>2.15</v>
      </c>
      <c r="M3272" s="178">
        <v>205</v>
      </c>
      <c r="N3272" s="179">
        <v>0</v>
      </c>
      <c r="O3272" s="178">
        <v>207.15</v>
      </c>
      <c r="P3272" s="453"/>
      <c r="Q3272" s="61"/>
      <c r="R3272" s="298"/>
      <c r="S3272" s="669"/>
      <c r="X3272" s="444">
        <v>3272</v>
      </c>
    </row>
    <row r="3273" spans="1:32" ht="12">
      <c r="A3273" s="83" t="s">
        <v>23673</v>
      </c>
      <c r="B3273" s="64" t="s">
        <v>23674</v>
      </c>
      <c r="C3273" s="71" t="s">
        <v>103</v>
      </c>
      <c r="D3273" s="79">
        <v>1</v>
      </c>
      <c r="E3273" s="79">
        <v>18.149999999999999</v>
      </c>
      <c r="F3273" s="79">
        <v>18.149999999999999</v>
      </c>
      <c r="G3273" s="445"/>
      <c r="H3273" s="178">
        <v>18.14</v>
      </c>
      <c r="I3273" s="178">
        <v>22.31</v>
      </c>
      <c r="J3273" s="70">
        <v>-4.16</v>
      </c>
      <c r="K3273" s="320"/>
      <c r="L3273" s="178">
        <v>2.15</v>
      </c>
      <c r="M3273" s="178">
        <v>15.999999999999998</v>
      </c>
      <c r="N3273" s="179">
        <v>0</v>
      </c>
      <c r="O3273" s="178">
        <v>18.149999999999999</v>
      </c>
      <c r="P3273" s="453"/>
      <c r="Q3273" s="61"/>
      <c r="R3273" s="298"/>
      <c r="S3273" s="669"/>
      <c r="X3273" s="444">
        <v>3273</v>
      </c>
    </row>
    <row r="3274" spans="1:32" s="61" customFormat="1" ht="12">
      <c r="A3274" s="83" t="s">
        <v>23675</v>
      </c>
      <c r="B3274" s="64" t="s">
        <v>23676</v>
      </c>
      <c r="C3274" s="71" t="s">
        <v>103</v>
      </c>
      <c r="D3274" s="79">
        <v>1</v>
      </c>
      <c r="E3274" s="79">
        <v>700.79</v>
      </c>
      <c r="F3274" s="79">
        <v>700.79</v>
      </c>
      <c r="G3274" s="445"/>
      <c r="H3274" s="178">
        <v>700.79</v>
      </c>
      <c r="I3274" s="178">
        <v>861.97</v>
      </c>
      <c r="J3274" s="70">
        <v>-161.18000000000006</v>
      </c>
      <c r="K3274" s="320"/>
      <c r="L3274" s="178">
        <v>5.35</v>
      </c>
      <c r="M3274" s="178">
        <v>695.43999999999994</v>
      </c>
      <c r="N3274" s="179">
        <v>0</v>
      </c>
      <c r="O3274" s="178">
        <v>700.79</v>
      </c>
      <c r="P3274" s="453"/>
      <c r="R3274" s="298"/>
      <c r="S3274" s="669"/>
      <c r="T3274" s="444"/>
      <c r="U3274" s="444"/>
      <c r="V3274" s="444"/>
      <c r="W3274" s="444"/>
      <c r="X3274" s="444">
        <v>3274</v>
      </c>
      <c r="Y3274" s="444"/>
      <c r="Z3274" s="444"/>
      <c r="AA3274" s="444"/>
      <c r="AB3274" s="444"/>
      <c r="AC3274" s="444"/>
      <c r="AD3274" s="444"/>
      <c r="AE3274" s="444"/>
      <c r="AF3274" s="444"/>
    </row>
    <row r="3275" spans="1:32" ht="12">
      <c r="A3275" s="83" t="s">
        <v>23677</v>
      </c>
      <c r="B3275" s="64" t="s">
        <v>23678</v>
      </c>
      <c r="C3275" s="71" t="s">
        <v>103</v>
      </c>
      <c r="D3275" s="79">
        <v>1</v>
      </c>
      <c r="E3275" s="79">
        <v>955.79</v>
      </c>
      <c r="F3275" s="79">
        <v>955.79</v>
      </c>
      <c r="G3275" s="445"/>
      <c r="H3275" s="178">
        <v>955.79</v>
      </c>
      <c r="I3275" s="178">
        <v>1175.6199999999999</v>
      </c>
      <c r="J3275" s="70">
        <v>-219.82999999999993</v>
      </c>
      <c r="K3275" s="320"/>
      <c r="L3275" s="178">
        <v>5.35</v>
      </c>
      <c r="M3275" s="178">
        <v>950.43999999999994</v>
      </c>
      <c r="N3275" s="179">
        <v>0</v>
      </c>
      <c r="O3275" s="178">
        <v>955.79</v>
      </c>
      <c r="P3275" s="453"/>
      <c r="Q3275" s="61"/>
      <c r="R3275" s="298"/>
      <c r="S3275" s="669"/>
      <c r="X3275" s="444">
        <v>3275</v>
      </c>
    </row>
    <row r="3276" spans="1:32" s="61" customFormat="1" ht="12">
      <c r="A3276" s="83" t="s">
        <v>23679</v>
      </c>
      <c r="B3276" s="64" t="s">
        <v>23680</v>
      </c>
      <c r="C3276" s="71" t="s">
        <v>103</v>
      </c>
      <c r="D3276" s="79">
        <v>1</v>
      </c>
      <c r="E3276" s="79">
        <v>473.05</v>
      </c>
      <c r="F3276" s="79">
        <v>473.05</v>
      </c>
      <c r="G3276" s="445"/>
      <c r="H3276" s="178">
        <v>473.05</v>
      </c>
      <c r="I3276" s="178">
        <v>581.85</v>
      </c>
      <c r="J3276" s="70">
        <v>-108.80000000000001</v>
      </c>
      <c r="K3276" s="320"/>
      <c r="L3276" s="178">
        <v>407.77</v>
      </c>
      <c r="M3276" s="178">
        <v>65.28000000000003</v>
      </c>
      <c r="N3276" s="179">
        <v>0</v>
      </c>
      <c r="O3276" s="178">
        <v>473.05</v>
      </c>
      <c r="P3276" s="453"/>
      <c r="R3276" s="298"/>
      <c r="S3276" s="669"/>
      <c r="T3276" s="444"/>
      <c r="U3276" s="444"/>
      <c r="V3276" s="444"/>
      <c r="W3276" s="444"/>
      <c r="X3276" s="444">
        <v>3276</v>
      </c>
      <c r="Y3276" s="444"/>
      <c r="Z3276" s="444"/>
      <c r="AA3276" s="444"/>
      <c r="AB3276" s="444"/>
      <c r="AC3276" s="444"/>
      <c r="AD3276" s="444"/>
      <c r="AE3276" s="444"/>
      <c r="AF3276" s="444"/>
    </row>
    <row r="3277" spans="1:32" s="61" customFormat="1" ht="12">
      <c r="A3277" s="83" t="s">
        <v>23681</v>
      </c>
      <c r="B3277" s="64" t="s">
        <v>23682</v>
      </c>
      <c r="C3277" s="71" t="s">
        <v>103</v>
      </c>
      <c r="D3277" s="79">
        <v>1</v>
      </c>
      <c r="E3277" s="79">
        <v>30186.65</v>
      </c>
      <c r="F3277" s="79">
        <v>30186.65</v>
      </c>
      <c r="G3277" s="445"/>
      <c r="H3277" s="178">
        <v>30186.67</v>
      </c>
      <c r="I3277" s="178">
        <v>37129.599999999999</v>
      </c>
      <c r="J3277" s="70">
        <v>-6942.9499999999971</v>
      </c>
      <c r="K3277" s="320"/>
      <c r="L3277" s="178">
        <v>1243.4899999999998</v>
      </c>
      <c r="M3277" s="178">
        <v>28943.160000000003</v>
      </c>
      <c r="N3277" s="179">
        <v>0</v>
      </c>
      <c r="O3277" s="178">
        <v>30186.65</v>
      </c>
      <c r="P3277" s="453"/>
      <c r="R3277" s="298"/>
      <c r="S3277" s="669"/>
      <c r="T3277" s="444"/>
      <c r="U3277" s="444"/>
      <c r="V3277" s="444"/>
      <c r="W3277" s="444"/>
      <c r="X3277" s="444">
        <v>3277</v>
      </c>
      <c r="Y3277" s="444"/>
      <c r="Z3277" s="444"/>
      <c r="AA3277" s="444"/>
      <c r="AB3277" s="444"/>
      <c r="AC3277" s="444"/>
      <c r="AD3277" s="444"/>
      <c r="AE3277" s="444"/>
      <c r="AF3277" s="444"/>
    </row>
    <row r="3278" spans="1:32" ht="12">
      <c r="A3278" s="67" t="s">
        <v>23683</v>
      </c>
      <c r="B3278" s="64" t="s">
        <v>23684</v>
      </c>
      <c r="C3278" s="71" t="s">
        <v>103</v>
      </c>
      <c r="D3278" s="79">
        <v>1</v>
      </c>
      <c r="E3278" s="78">
        <v>218.22</v>
      </c>
      <c r="F3278" s="79">
        <v>218.22</v>
      </c>
      <c r="H3278" s="178">
        <v>218.21</v>
      </c>
      <c r="I3278" s="178">
        <v>268.39999999999998</v>
      </c>
      <c r="J3278" s="70">
        <v>-50.179999999999978</v>
      </c>
      <c r="K3278" s="320"/>
      <c r="L3278" s="178">
        <v>3.2199999999999998</v>
      </c>
      <c r="M3278" s="178">
        <v>215</v>
      </c>
      <c r="N3278" s="179">
        <v>0</v>
      </c>
      <c r="O3278" s="178">
        <v>218.22</v>
      </c>
      <c r="P3278" s="453"/>
      <c r="Q3278" s="61"/>
      <c r="R3278" s="298"/>
      <c r="S3278" s="669"/>
      <c r="X3278" s="444">
        <v>3278</v>
      </c>
    </row>
    <row r="3279" spans="1:32" s="61" customFormat="1" ht="12">
      <c r="A3279" s="67" t="s">
        <v>23685</v>
      </c>
      <c r="B3279" s="64" t="s">
        <v>23686</v>
      </c>
      <c r="C3279" s="71" t="s">
        <v>103</v>
      </c>
      <c r="D3279" s="79">
        <v>1</v>
      </c>
      <c r="E3279" s="78">
        <v>263.22000000000003</v>
      </c>
      <c r="F3279" s="79">
        <v>263.22000000000003</v>
      </c>
      <c r="G3279" s="444"/>
      <c r="H3279" s="178">
        <v>263.20999999999998</v>
      </c>
      <c r="I3279" s="178">
        <v>323.75</v>
      </c>
      <c r="J3279" s="70">
        <v>-60.529999999999973</v>
      </c>
      <c r="K3279" s="320"/>
      <c r="L3279" s="178">
        <v>3.2199999999999998</v>
      </c>
      <c r="M3279" s="178">
        <v>260</v>
      </c>
      <c r="N3279" s="179">
        <v>0</v>
      </c>
      <c r="O3279" s="178">
        <v>263.22000000000003</v>
      </c>
      <c r="P3279" s="453"/>
      <c r="R3279" s="298"/>
      <c r="S3279" s="669"/>
      <c r="T3279" s="444"/>
      <c r="U3279" s="444"/>
      <c r="V3279" s="444"/>
      <c r="W3279" s="444"/>
      <c r="X3279" s="444">
        <v>3279</v>
      </c>
      <c r="Y3279" s="444"/>
      <c r="Z3279" s="444"/>
      <c r="AA3279" s="444"/>
      <c r="AB3279" s="444"/>
      <c r="AC3279" s="444"/>
      <c r="AD3279" s="444"/>
      <c r="AE3279" s="444"/>
      <c r="AF3279" s="444"/>
    </row>
    <row r="3280" spans="1:32" s="61" customFormat="1" ht="12">
      <c r="A3280" s="67" t="s">
        <v>23687</v>
      </c>
      <c r="B3280" s="64" t="s">
        <v>23688</v>
      </c>
      <c r="C3280" s="71" t="s">
        <v>103</v>
      </c>
      <c r="D3280" s="79">
        <v>1</v>
      </c>
      <c r="E3280" s="78">
        <v>98.22</v>
      </c>
      <c r="F3280" s="79">
        <v>98.22</v>
      </c>
      <c r="G3280" s="444"/>
      <c r="H3280" s="178">
        <v>98.21</v>
      </c>
      <c r="I3280" s="178">
        <v>120.8</v>
      </c>
      <c r="J3280" s="70">
        <v>-22.58</v>
      </c>
      <c r="K3280" s="320"/>
      <c r="L3280" s="178">
        <v>3.2199999999999998</v>
      </c>
      <c r="M3280" s="178">
        <v>95</v>
      </c>
      <c r="N3280" s="179">
        <v>0</v>
      </c>
      <c r="O3280" s="178">
        <v>98.22</v>
      </c>
      <c r="P3280" s="453"/>
      <c r="R3280" s="298"/>
      <c r="S3280" s="669"/>
      <c r="T3280" s="444"/>
      <c r="U3280" s="444"/>
      <c r="V3280" s="444"/>
      <c r="W3280" s="444"/>
      <c r="X3280" s="444">
        <v>3280</v>
      </c>
      <c r="Y3280" s="444"/>
      <c r="Z3280" s="444"/>
      <c r="AA3280" s="444"/>
      <c r="AB3280" s="444"/>
      <c r="AC3280" s="444"/>
      <c r="AD3280" s="444"/>
      <c r="AE3280" s="444"/>
      <c r="AF3280" s="444"/>
    </row>
    <row r="3281" spans="1:32" s="61" customFormat="1" ht="12">
      <c r="A3281" s="67" t="s">
        <v>23689</v>
      </c>
      <c r="B3281" s="64" t="s">
        <v>23690</v>
      </c>
      <c r="C3281" s="71" t="s">
        <v>103</v>
      </c>
      <c r="D3281" s="79">
        <v>1</v>
      </c>
      <c r="E3281" s="78">
        <v>388.22</v>
      </c>
      <c r="F3281" s="79">
        <v>388.22</v>
      </c>
      <c r="G3281" s="444"/>
      <c r="H3281" s="178">
        <v>388.21</v>
      </c>
      <c r="I3281" s="178">
        <v>477.5</v>
      </c>
      <c r="J3281" s="70">
        <v>-89.279999999999973</v>
      </c>
      <c r="K3281" s="320"/>
      <c r="L3281" s="178">
        <v>3.2199999999999998</v>
      </c>
      <c r="M3281" s="178">
        <v>385</v>
      </c>
      <c r="N3281" s="179">
        <v>0</v>
      </c>
      <c r="O3281" s="178">
        <v>388.22</v>
      </c>
      <c r="P3281" s="453"/>
      <c r="R3281" s="298"/>
      <c r="S3281" s="669"/>
      <c r="T3281" s="444"/>
      <c r="U3281" s="444"/>
      <c r="V3281" s="444"/>
      <c r="W3281" s="444"/>
      <c r="X3281" s="444">
        <v>3281</v>
      </c>
      <c r="Y3281" s="444"/>
      <c r="Z3281" s="444"/>
      <c r="AA3281" s="444"/>
      <c r="AB3281" s="444"/>
      <c r="AC3281" s="444"/>
      <c r="AD3281" s="444"/>
      <c r="AE3281" s="444"/>
      <c r="AF3281" s="444"/>
    </row>
    <row r="3282" spans="1:32" s="61" customFormat="1" ht="12">
      <c r="A3282" s="67" t="s">
        <v>23691</v>
      </c>
      <c r="B3282" s="64" t="s">
        <v>23692</v>
      </c>
      <c r="C3282" s="71" t="s">
        <v>103</v>
      </c>
      <c r="D3282" s="79">
        <v>1</v>
      </c>
      <c r="E3282" s="78">
        <v>98.22</v>
      </c>
      <c r="F3282" s="79">
        <v>98.22</v>
      </c>
      <c r="G3282" s="444"/>
      <c r="H3282" s="178">
        <v>98.21</v>
      </c>
      <c r="I3282" s="178">
        <v>120.8</v>
      </c>
      <c r="J3282" s="70">
        <v>-22.58</v>
      </c>
      <c r="K3282" s="320"/>
      <c r="L3282" s="178">
        <v>3.2199999999999998</v>
      </c>
      <c r="M3282" s="178">
        <v>95</v>
      </c>
      <c r="N3282" s="179">
        <v>0</v>
      </c>
      <c r="O3282" s="178">
        <v>98.22</v>
      </c>
      <c r="P3282" s="453"/>
      <c r="R3282" s="298"/>
      <c r="S3282" s="669"/>
      <c r="T3282" s="444"/>
      <c r="U3282" s="444"/>
      <c r="V3282" s="444"/>
      <c r="W3282" s="444"/>
      <c r="X3282" s="444">
        <v>3282</v>
      </c>
      <c r="Y3282" s="444"/>
      <c r="Z3282" s="444"/>
      <c r="AA3282" s="444"/>
      <c r="AB3282" s="444"/>
      <c r="AC3282" s="444"/>
      <c r="AD3282" s="444"/>
      <c r="AE3282" s="444"/>
      <c r="AF3282" s="444"/>
    </row>
    <row r="3283" spans="1:32" s="61" customFormat="1" ht="12">
      <c r="A3283" s="83" t="s">
        <v>40054</v>
      </c>
      <c r="B3283" s="64" t="s">
        <v>40055</v>
      </c>
      <c r="C3283" s="71"/>
      <c r="D3283" s="79" t="s">
        <v>40899</v>
      </c>
      <c r="E3283" s="79" t="s">
        <v>40899</v>
      </c>
      <c r="F3283" s="79"/>
      <c r="G3283" s="445"/>
      <c r="H3283" s="178"/>
      <c r="I3283" s="178"/>
      <c r="J3283" s="70"/>
      <c r="K3283" s="320"/>
      <c r="L3283" s="178"/>
      <c r="M3283" s="178"/>
      <c r="N3283" s="179"/>
      <c r="O3283" s="178"/>
      <c r="P3283" s="453"/>
      <c r="R3283" s="298"/>
      <c r="S3283" s="669"/>
      <c r="T3283" s="444"/>
      <c r="U3283" s="444"/>
      <c r="V3283" s="444"/>
      <c r="W3283" s="444"/>
      <c r="X3283" s="444">
        <v>3283</v>
      </c>
      <c r="Y3283" s="444"/>
      <c r="Z3283" s="444"/>
      <c r="AA3283" s="444"/>
      <c r="AB3283" s="444"/>
      <c r="AC3283" s="444"/>
      <c r="AD3283" s="444"/>
      <c r="AE3283" s="444"/>
      <c r="AF3283" s="444"/>
    </row>
    <row r="3284" spans="1:32" ht="12">
      <c r="A3284" s="83" t="s">
        <v>23693</v>
      </c>
      <c r="B3284" s="64" t="s">
        <v>23694</v>
      </c>
      <c r="C3284" s="71" t="s">
        <v>10216</v>
      </c>
      <c r="D3284" s="79">
        <v>1</v>
      </c>
      <c r="E3284" s="79">
        <v>577.26</v>
      </c>
      <c r="F3284" s="79">
        <v>577.26</v>
      </c>
      <c r="G3284" s="445"/>
      <c r="H3284" s="178">
        <v>577.25</v>
      </c>
      <c r="I3284" s="178">
        <v>710.02</v>
      </c>
      <c r="J3284" s="70">
        <v>-132.76</v>
      </c>
      <c r="K3284" s="320"/>
      <c r="L3284" s="178"/>
      <c r="M3284" s="178">
        <v>577.26</v>
      </c>
      <c r="N3284" s="179">
        <v>0</v>
      </c>
      <c r="O3284" s="178">
        <v>577.26</v>
      </c>
      <c r="P3284" s="453"/>
      <c r="Q3284" s="61"/>
      <c r="R3284" s="298"/>
      <c r="S3284" s="669"/>
      <c r="X3284" s="444">
        <v>3284</v>
      </c>
    </row>
    <row r="3285" spans="1:32" s="61" customFormat="1" ht="12">
      <c r="A3285" s="83" t="s">
        <v>23695</v>
      </c>
      <c r="B3285" s="64" t="s">
        <v>23696</v>
      </c>
      <c r="C3285" s="71" t="s">
        <v>10216</v>
      </c>
      <c r="D3285" s="79">
        <v>1</v>
      </c>
      <c r="E3285" s="79">
        <v>577.26</v>
      </c>
      <c r="F3285" s="79">
        <v>577.26</v>
      </c>
      <c r="G3285" s="320"/>
      <c r="H3285" s="178">
        <v>577.25</v>
      </c>
      <c r="I3285" s="178">
        <v>710.02</v>
      </c>
      <c r="J3285" s="70">
        <v>-132.76</v>
      </c>
      <c r="K3285" s="320"/>
      <c r="L3285" s="178"/>
      <c r="M3285" s="178">
        <v>577.26</v>
      </c>
      <c r="N3285" s="179">
        <v>0</v>
      </c>
      <c r="O3285" s="178">
        <v>577.26</v>
      </c>
      <c r="P3285" s="453"/>
      <c r="R3285" s="298"/>
      <c r="S3285" s="669"/>
      <c r="T3285" s="444"/>
      <c r="U3285" s="444"/>
      <c r="V3285" s="444"/>
      <c r="W3285" s="444"/>
      <c r="X3285" s="444">
        <v>3285</v>
      </c>
      <c r="Y3285" s="444"/>
      <c r="Z3285" s="444"/>
      <c r="AA3285" s="444"/>
      <c r="AB3285" s="444"/>
      <c r="AC3285" s="444"/>
      <c r="AD3285" s="444"/>
      <c r="AE3285" s="444"/>
      <c r="AF3285" s="444"/>
    </row>
    <row r="3286" spans="1:32" s="61" customFormat="1" ht="12">
      <c r="A3286" s="83" t="s">
        <v>12244</v>
      </c>
      <c r="B3286" s="64" t="s">
        <v>40056</v>
      </c>
      <c r="C3286" s="71"/>
      <c r="D3286" s="79" t="s">
        <v>40899</v>
      </c>
      <c r="E3286" s="79" t="s">
        <v>40899</v>
      </c>
      <c r="F3286" s="79"/>
      <c r="G3286" s="445"/>
      <c r="H3286" s="178"/>
      <c r="I3286" s="178"/>
      <c r="J3286" s="70"/>
      <c r="K3286" s="320"/>
      <c r="L3286" s="178"/>
      <c r="M3286" s="178"/>
      <c r="N3286" s="179"/>
      <c r="O3286" s="178"/>
      <c r="P3286" s="453"/>
      <c r="R3286" s="298"/>
      <c r="S3286" s="669"/>
      <c r="T3286" s="444"/>
      <c r="U3286" s="444"/>
      <c r="V3286" s="444"/>
      <c r="W3286" s="444"/>
      <c r="X3286" s="444">
        <v>3286</v>
      </c>
      <c r="Y3286" s="444"/>
      <c r="Z3286" s="444"/>
      <c r="AA3286" s="444"/>
      <c r="AB3286" s="444"/>
      <c r="AC3286" s="444"/>
      <c r="AD3286" s="444"/>
      <c r="AE3286" s="444"/>
      <c r="AF3286" s="444"/>
    </row>
    <row r="3287" spans="1:32" s="61" customFormat="1" ht="12">
      <c r="A3287" s="83" t="s">
        <v>23697</v>
      </c>
      <c r="B3287" s="64" t="s">
        <v>23698</v>
      </c>
      <c r="C3287" s="71" t="s">
        <v>103</v>
      </c>
      <c r="D3287" s="79">
        <v>1</v>
      </c>
      <c r="E3287" s="79">
        <v>201668.27</v>
      </c>
      <c r="F3287" s="79">
        <v>201668.27</v>
      </c>
      <c r="G3287" s="445"/>
      <c r="H3287" s="178">
        <v>201668.27</v>
      </c>
      <c r="I3287" s="178">
        <v>248051.97</v>
      </c>
      <c r="J3287" s="70">
        <v>-46383.700000000012</v>
      </c>
      <c r="K3287" s="320"/>
      <c r="L3287" s="178"/>
      <c r="M3287" s="178">
        <v>201668.27</v>
      </c>
      <c r="N3287" s="179">
        <v>0</v>
      </c>
      <c r="O3287" s="178">
        <v>201668.27</v>
      </c>
      <c r="P3287" s="453"/>
      <c r="R3287" s="298"/>
      <c r="S3287" s="669"/>
      <c r="T3287" s="444"/>
      <c r="U3287" s="444"/>
      <c r="V3287" s="444"/>
      <c r="W3287" s="444"/>
      <c r="X3287" s="444">
        <v>3287</v>
      </c>
      <c r="Y3287" s="444"/>
      <c r="Z3287" s="444"/>
      <c r="AA3287" s="444"/>
      <c r="AB3287" s="444"/>
      <c r="AC3287" s="444"/>
      <c r="AD3287" s="444"/>
      <c r="AE3287" s="444"/>
      <c r="AF3287" s="444"/>
    </row>
    <row r="3288" spans="1:32" s="61" customFormat="1" ht="12">
      <c r="A3288" s="83" t="s">
        <v>23699</v>
      </c>
      <c r="B3288" s="64" t="s">
        <v>23700</v>
      </c>
      <c r="C3288" s="71" t="s">
        <v>103</v>
      </c>
      <c r="D3288" s="79">
        <v>1</v>
      </c>
      <c r="E3288" s="79">
        <v>203033.33</v>
      </c>
      <c r="F3288" s="79">
        <v>203033.33</v>
      </c>
      <c r="G3288" s="445"/>
      <c r="H3288" s="178">
        <v>203033.33</v>
      </c>
      <c r="I3288" s="178">
        <v>249730.99</v>
      </c>
      <c r="J3288" s="70">
        <v>-46697.66</v>
      </c>
      <c r="K3288" s="320"/>
      <c r="L3288" s="178"/>
      <c r="M3288" s="178">
        <v>203033.33</v>
      </c>
      <c r="N3288" s="179">
        <v>0</v>
      </c>
      <c r="O3288" s="178">
        <v>203033.33</v>
      </c>
      <c r="P3288" s="453"/>
      <c r="R3288" s="298"/>
      <c r="S3288" s="669"/>
      <c r="T3288" s="444"/>
      <c r="U3288" s="444"/>
      <c r="V3288" s="444"/>
      <c r="W3288" s="444"/>
      <c r="X3288" s="444">
        <v>3288</v>
      </c>
      <c r="Y3288" s="444"/>
      <c r="Z3288" s="444"/>
      <c r="AA3288" s="444"/>
      <c r="AB3288" s="444"/>
      <c r="AC3288" s="444"/>
      <c r="AD3288" s="444"/>
      <c r="AE3288" s="444"/>
      <c r="AF3288" s="444"/>
    </row>
    <row r="3289" spans="1:32" ht="12">
      <c r="A3289" s="83" t="s">
        <v>23701</v>
      </c>
      <c r="B3289" s="64" t="s">
        <v>23702</v>
      </c>
      <c r="C3289" s="71" t="s">
        <v>103</v>
      </c>
      <c r="D3289" s="79">
        <v>1</v>
      </c>
      <c r="E3289" s="79">
        <v>213633.33</v>
      </c>
      <c r="F3289" s="79">
        <v>213633.33</v>
      </c>
      <c r="G3289" s="445"/>
      <c r="H3289" s="178">
        <v>213633.33</v>
      </c>
      <c r="I3289" s="178">
        <v>262768.99</v>
      </c>
      <c r="J3289" s="70">
        <v>-49135.66</v>
      </c>
      <c r="K3289" s="320"/>
      <c r="L3289" s="178"/>
      <c r="M3289" s="178">
        <v>213633.33</v>
      </c>
      <c r="N3289" s="179">
        <v>0</v>
      </c>
      <c r="O3289" s="178">
        <v>213633.33</v>
      </c>
      <c r="P3289" s="453"/>
      <c r="Q3289" s="61"/>
      <c r="R3289" s="298"/>
      <c r="S3289" s="669"/>
      <c r="X3289" s="444">
        <v>3289</v>
      </c>
    </row>
    <row r="3290" spans="1:32" ht="12">
      <c r="A3290" s="83" t="s">
        <v>23703</v>
      </c>
      <c r="B3290" s="64" t="s">
        <v>23704</v>
      </c>
      <c r="C3290" s="71" t="s">
        <v>103</v>
      </c>
      <c r="D3290" s="79">
        <v>1</v>
      </c>
      <c r="E3290" s="79">
        <v>249100</v>
      </c>
      <c r="F3290" s="79">
        <v>249100</v>
      </c>
      <c r="G3290" s="445"/>
      <c r="H3290" s="178">
        <v>249100</v>
      </c>
      <c r="I3290" s="178">
        <v>306393</v>
      </c>
      <c r="J3290" s="70">
        <v>-57293</v>
      </c>
      <c r="K3290" s="320"/>
      <c r="L3290" s="178"/>
      <c r="M3290" s="178">
        <v>249100</v>
      </c>
      <c r="N3290" s="179">
        <v>0</v>
      </c>
      <c r="O3290" s="178">
        <v>249100</v>
      </c>
      <c r="P3290" s="453"/>
      <c r="Q3290" s="61"/>
      <c r="R3290" s="298"/>
      <c r="S3290" s="669"/>
      <c r="X3290" s="444">
        <v>3290</v>
      </c>
    </row>
    <row r="3291" spans="1:32" ht="12">
      <c r="A3291" s="83" t="s">
        <v>23705</v>
      </c>
      <c r="B3291" s="64" t="s">
        <v>23706</v>
      </c>
      <c r="C3291" s="71" t="s">
        <v>103</v>
      </c>
      <c r="D3291" s="79">
        <v>1</v>
      </c>
      <c r="E3291" s="79">
        <v>224200</v>
      </c>
      <c r="F3291" s="79">
        <v>224200</v>
      </c>
      <c r="G3291" s="445"/>
      <c r="H3291" s="178">
        <v>224200</v>
      </c>
      <c r="I3291" s="178">
        <v>275766</v>
      </c>
      <c r="J3291" s="70">
        <v>-51566</v>
      </c>
      <c r="K3291" s="320"/>
      <c r="L3291" s="178"/>
      <c r="M3291" s="178">
        <v>224200</v>
      </c>
      <c r="N3291" s="179">
        <v>0</v>
      </c>
      <c r="O3291" s="178">
        <v>224200</v>
      </c>
      <c r="P3291" s="453"/>
      <c r="Q3291" s="61"/>
      <c r="R3291" s="298"/>
      <c r="S3291" s="669"/>
      <c r="X3291" s="444">
        <v>3291</v>
      </c>
    </row>
    <row r="3292" spans="1:32" ht="12">
      <c r="A3292" s="83" t="s">
        <v>23707</v>
      </c>
      <c r="B3292" s="64" t="s">
        <v>23708</v>
      </c>
      <c r="C3292" s="71" t="s">
        <v>103</v>
      </c>
      <c r="D3292" s="79">
        <v>1</v>
      </c>
      <c r="E3292" s="79">
        <v>244829.05</v>
      </c>
      <c r="F3292" s="79">
        <v>244829.05</v>
      </c>
      <c r="G3292" s="445"/>
      <c r="H3292" s="178">
        <v>244829.05</v>
      </c>
      <c r="I3292" s="178">
        <v>301139.73</v>
      </c>
      <c r="J3292" s="70">
        <v>-56310.679999999993</v>
      </c>
      <c r="K3292" s="320"/>
      <c r="L3292" s="178"/>
      <c r="M3292" s="178">
        <v>244829.05</v>
      </c>
      <c r="N3292" s="179">
        <v>0</v>
      </c>
      <c r="O3292" s="178">
        <v>244829.05</v>
      </c>
      <c r="P3292" s="453"/>
      <c r="Q3292" s="61"/>
      <c r="R3292" s="298"/>
      <c r="S3292" s="669"/>
      <c r="X3292" s="444">
        <v>3292</v>
      </c>
    </row>
    <row r="3293" spans="1:32" ht="12">
      <c r="A3293" s="83" t="s">
        <v>23709</v>
      </c>
      <c r="B3293" s="64" t="s">
        <v>23710</v>
      </c>
      <c r="C3293" s="71" t="s">
        <v>103</v>
      </c>
      <c r="D3293" s="79">
        <v>1</v>
      </c>
      <c r="E3293" s="79">
        <v>230553.53</v>
      </c>
      <c r="F3293" s="79">
        <v>230553.53</v>
      </c>
      <c r="G3293" s="445"/>
      <c r="H3293" s="178">
        <v>230553.53</v>
      </c>
      <c r="I3293" s="178">
        <v>283580.84000000003</v>
      </c>
      <c r="J3293" s="70">
        <v>-53027.310000000027</v>
      </c>
      <c r="K3293" s="320"/>
      <c r="L3293" s="178"/>
      <c r="M3293" s="178">
        <v>230553.53</v>
      </c>
      <c r="N3293" s="179">
        <v>0</v>
      </c>
      <c r="O3293" s="178">
        <v>230553.53</v>
      </c>
      <c r="P3293" s="453"/>
      <c r="Q3293" s="61"/>
      <c r="R3293" s="298"/>
      <c r="S3293" s="669"/>
      <c r="X3293" s="444">
        <v>3293</v>
      </c>
    </row>
    <row r="3294" spans="1:32" ht="12">
      <c r="A3294" s="83" t="s">
        <v>23711</v>
      </c>
      <c r="B3294" s="64" t="s">
        <v>23712</v>
      </c>
      <c r="C3294" s="71" t="s">
        <v>103</v>
      </c>
      <c r="D3294" s="79">
        <v>1</v>
      </c>
      <c r="E3294" s="79">
        <v>1445.2</v>
      </c>
      <c r="F3294" s="79">
        <v>1445.2</v>
      </c>
      <c r="G3294" s="445"/>
      <c r="H3294" s="178">
        <v>1445.2</v>
      </c>
      <c r="I3294" s="178">
        <v>1777.59</v>
      </c>
      <c r="J3294" s="70">
        <v>-332.38999999999987</v>
      </c>
      <c r="K3294" s="320"/>
      <c r="L3294" s="178"/>
      <c r="M3294" s="178">
        <v>1445.2</v>
      </c>
      <c r="N3294" s="179">
        <v>0</v>
      </c>
      <c r="O3294" s="178">
        <v>1445.2</v>
      </c>
      <c r="P3294" s="453"/>
      <c r="Q3294" s="61"/>
      <c r="R3294" s="298"/>
      <c r="S3294" s="669"/>
      <c r="X3294" s="444">
        <v>3294</v>
      </c>
    </row>
    <row r="3295" spans="1:32" ht="12">
      <c r="A3295" s="83" t="s">
        <v>23713</v>
      </c>
      <c r="B3295" s="64" t="s">
        <v>23714</v>
      </c>
      <c r="C3295" s="71" t="s">
        <v>103</v>
      </c>
      <c r="D3295" s="79">
        <v>1</v>
      </c>
      <c r="E3295" s="79">
        <v>1655.67</v>
      </c>
      <c r="F3295" s="79">
        <v>1655.67</v>
      </c>
      <c r="G3295" s="445"/>
      <c r="H3295" s="178">
        <v>1655.67</v>
      </c>
      <c r="I3295" s="178">
        <v>2036.47</v>
      </c>
      <c r="J3295" s="70">
        <v>-380.79999999999995</v>
      </c>
      <c r="K3295" s="320"/>
      <c r="L3295" s="178"/>
      <c r="M3295" s="178">
        <v>1655.67</v>
      </c>
      <c r="N3295" s="179">
        <v>0</v>
      </c>
      <c r="O3295" s="178">
        <v>1655.67</v>
      </c>
      <c r="P3295" s="453"/>
      <c r="Q3295" s="61"/>
      <c r="R3295" s="298"/>
      <c r="S3295" s="669"/>
      <c r="X3295" s="444">
        <v>3295</v>
      </c>
    </row>
    <row r="3296" spans="1:32" s="73" customFormat="1" ht="12">
      <c r="A3296" s="83" t="s">
        <v>23715</v>
      </c>
      <c r="B3296" s="64" t="s">
        <v>23716</v>
      </c>
      <c r="C3296" s="71" t="s">
        <v>103</v>
      </c>
      <c r="D3296" s="79">
        <v>1</v>
      </c>
      <c r="E3296" s="79">
        <v>1688</v>
      </c>
      <c r="F3296" s="79">
        <v>1688</v>
      </c>
      <c r="G3296" s="445"/>
      <c r="H3296" s="178">
        <v>1688</v>
      </c>
      <c r="I3296" s="178">
        <v>2076.2399999999998</v>
      </c>
      <c r="J3296" s="70">
        <v>-388.23999999999978</v>
      </c>
      <c r="K3296" s="320"/>
      <c r="L3296" s="178"/>
      <c r="M3296" s="178">
        <v>1688</v>
      </c>
      <c r="N3296" s="179">
        <v>0</v>
      </c>
      <c r="O3296" s="178">
        <v>1688</v>
      </c>
      <c r="P3296" s="453"/>
      <c r="Q3296" s="61"/>
      <c r="R3296" s="298"/>
      <c r="S3296" s="669"/>
      <c r="T3296" s="444"/>
      <c r="U3296" s="444"/>
      <c r="V3296" s="444"/>
      <c r="W3296" s="444"/>
      <c r="X3296" s="444">
        <v>3296</v>
      </c>
      <c r="Y3296" s="444"/>
      <c r="Z3296" s="444"/>
      <c r="AA3296" s="444"/>
      <c r="AB3296" s="444"/>
      <c r="AC3296" s="444"/>
      <c r="AD3296" s="444"/>
      <c r="AE3296" s="444"/>
      <c r="AF3296" s="444"/>
    </row>
    <row r="3297" spans="1:32" s="73" customFormat="1" ht="12">
      <c r="A3297" s="83" t="s">
        <v>23717</v>
      </c>
      <c r="B3297" s="64" t="s">
        <v>23718</v>
      </c>
      <c r="C3297" s="71" t="s">
        <v>103</v>
      </c>
      <c r="D3297" s="79">
        <v>1</v>
      </c>
      <c r="E3297" s="79">
        <v>1533.92</v>
      </c>
      <c r="F3297" s="79">
        <v>1533.92</v>
      </c>
      <c r="G3297" s="445"/>
      <c r="H3297" s="178">
        <v>1533.92</v>
      </c>
      <c r="I3297" s="178">
        <v>1886.72</v>
      </c>
      <c r="J3297" s="70">
        <v>-352.79999999999995</v>
      </c>
      <c r="K3297" s="320"/>
      <c r="L3297" s="178"/>
      <c r="M3297" s="178">
        <v>1533.92</v>
      </c>
      <c r="N3297" s="179">
        <v>0</v>
      </c>
      <c r="O3297" s="178">
        <v>1533.92</v>
      </c>
      <c r="P3297" s="453"/>
      <c r="Q3297" s="61"/>
      <c r="R3297" s="298"/>
      <c r="S3297" s="669"/>
      <c r="T3297" s="444"/>
      <c r="U3297" s="444"/>
      <c r="V3297" s="444"/>
      <c r="W3297" s="444"/>
      <c r="X3297" s="444">
        <v>3297</v>
      </c>
      <c r="Y3297" s="444"/>
      <c r="Z3297" s="444"/>
      <c r="AA3297" s="444"/>
      <c r="AB3297" s="444"/>
      <c r="AC3297" s="444"/>
      <c r="AD3297" s="444"/>
      <c r="AE3297" s="444"/>
      <c r="AF3297" s="444"/>
    </row>
    <row r="3298" spans="1:32" s="73" customFormat="1">
      <c r="A3298" s="67" t="s">
        <v>29678</v>
      </c>
      <c r="B3298" s="67" t="s">
        <v>40057</v>
      </c>
      <c r="C3298" s="71" t="s">
        <v>396</v>
      </c>
      <c r="D3298" s="79">
        <v>1</v>
      </c>
      <c r="E3298" s="79">
        <v>3673.53</v>
      </c>
      <c r="F3298" s="79">
        <v>3673.53</v>
      </c>
      <c r="G3298" s="444"/>
      <c r="H3298" s="178">
        <v>3673.53</v>
      </c>
      <c r="I3298" s="178">
        <v>4518.4399999999996</v>
      </c>
      <c r="J3298" s="70">
        <v>-844.9099999999994</v>
      </c>
      <c r="K3298" s="320"/>
      <c r="L3298" s="178"/>
      <c r="M3298" s="178">
        <v>3673.53</v>
      </c>
      <c r="N3298" s="179">
        <v>0</v>
      </c>
      <c r="O3298" s="178">
        <v>3673.53</v>
      </c>
      <c r="P3298" s="444"/>
      <c r="Q3298" s="61"/>
      <c r="R3298" s="298"/>
      <c r="S3298" s="669"/>
      <c r="T3298" s="444"/>
      <c r="U3298" s="444"/>
      <c r="V3298" s="444"/>
      <c r="W3298" s="444"/>
      <c r="X3298" s="444">
        <v>3298</v>
      </c>
      <c r="Y3298" s="444"/>
      <c r="Z3298" s="444"/>
      <c r="AA3298" s="444"/>
      <c r="AB3298" s="444"/>
      <c r="AC3298" s="444"/>
      <c r="AD3298" s="444"/>
      <c r="AE3298" s="444"/>
      <c r="AF3298" s="444"/>
    </row>
    <row r="3299" spans="1:32">
      <c r="A3299" s="67" t="s">
        <v>29679</v>
      </c>
      <c r="B3299" s="67" t="s">
        <v>40058</v>
      </c>
      <c r="C3299" s="71" t="s">
        <v>396</v>
      </c>
      <c r="D3299" s="79">
        <v>1</v>
      </c>
      <c r="E3299" s="79">
        <v>3961.89</v>
      </c>
      <c r="F3299" s="79">
        <v>3961.89</v>
      </c>
      <c r="H3299" s="178">
        <v>3961.89</v>
      </c>
      <c r="I3299" s="178">
        <v>4873.12</v>
      </c>
      <c r="J3299" s="70">
        <v>-911.23</v>
      </c>
      <c r="K3299" s="320"/>
      <c r="L3299" s="178"/>
      <c r="M3299" s="178">
        <v>3961.89</v>
      </c>
      <c r="N3299" s="179">
        <v>0</v>
      </c>
      <c r="O3299" s="178">
        <v>3961.89</v>
      </c>
      <c r="Q3299" s="61"/>
      <c r="R3299" s="298"/>
      <c r="S3299" s="669"/>
      <c r="X3299" s="444">
        <v>3299</v>
      </c>
    </row>
    <row r="3300" spans="1:32">
      <c r="A3300" s="67" t="s">
        <v>29680</v>
      </c>
      <c r="B3300" s="67" t="s">
        <v>40059</v>
      </c>
      <c r="C3300" s="71" t="s">
        <v>396</v>
      </c>
      <c r="D3300" s="79">
        <v>1</v>
      </c>
      <c r="E3300" s="79">
        <v>5454.76</v>
      </c>
      <c r="F3300" s="79">
        <v>5454.76</v>
      </c>
      <c r="H3300" s="178">
        <v>5454.76</v>
      </c>
      <c r="I3300" s="178">
        <v>6709.35</v>
      </c>
      <c r="J3300" s="70">
        <v>-1254.5900000000001</v>
      </c>
      <c r="K3300" s="320"/>
      <c r="L3300" s="178"/>
      <c r="M3300" s="178">
        <v>5454.76</v>
      </c>
      <c r="N3300" s="179">
        <v>0</v>
      </c>
      <c r="O3300" s="178">
        <v>5454.76</v>
      </c>
      <c r="Q3300" s="61"/>
      <c r="R3300" s="298"/>
      <c r="S3300" s="669"/>
      <c r="X3300" s="444">
        <v>3300</v>
      </c>
    </row>
    <row r="3301" spans="1:32">
      <c r="A3301" s="67" t="s">
        <v>29681</v>
      </c>
      <c r="B3301" s="67" t="s">
        <v>40060</v>
      </c>
      <c r="C3301" s="71" t="s">
        <v>396</v>
      </c>
      <c r="D3301" s="79">
        <v>1</v>
      </c>
      <c r="E3301" s="79">
        <v>6877.75</v>
      </c>
      <c r="F3301" s="79">
        <v>6877.75</v>
      </c>
      <c r="H3301" s="178">
        <v>6877.75</v>
      </c>
      <c r="I3301" s="178">
        <v>8459.6299999999992</v>
      </c>
      <c r="J3301" s="70">
        <v>-1581.8799999999992</v>
      </c>
      <c r="K3301" s="320"/>
      <c r="L3301" s="178"/>
      <c r="M3301" s="178">
        <v>6877.75</v>
      </c>
      <c r="N3301" s="179">
        <v>0</v>
      </c>
      <c r="O3301" s="178">
        <v>6877.75</v>
      </c>
      <c r="Q3301" s="61"/>
      <c r="R3301" s="298"/>
      <c r="S3301" s="669"/>
      <c r="X3301" s="444">
        <v>3301</v>
      </c>
    </row>
    <row r="3302" spans="1:32">
      <c r="A3302" s="67" t="s">
        <v>29682</v>
      </c>
      <c r="B3302" s="67" t="s">
        <v>40061</v>
      </c>
      <c r="C3302" s="71" t="s">
        <v>396</v>
      </c>
      <c r="D3302" s="79">
        <v>1</v>
      </c>
      <c r="E3302" s="79">
        <v>10403.290000000001</v>
      </c>
      <c r="F3302" s="79">
        <v>10403.290000000001</v>
      </c>
      <c r="H3302" s="178">
        <v>10403.280000000001</v>
      </c>
      <c r="I3302" s="178">
        <v>12796.04</v>
      </c>
      <c r="J3302" s="70">
        <v>-2392.75</v>
      </c>
      <c r="K3302" s="320"/>
      <c r="L3302" s="178"/>
      <c r="M3302" s="178">
        <v>10403.290000000001</v>
      </c>
      <c r="N3302" s="179">
        <v>0</v>
      </c>
      <c r="O3302" s="178">
        <v>10403.290000000001</v>
      </c>
      <c r="Q3302" s="61"/>
      <c r="R3302" s="298"/>
      <c r="S3302" s="669"/>
      <c r="X3302" s="444">
        <v>3302</v>
      </c>
    </row>
    <row r="3303" spans="1:32">
      <c r="A3303" s="67" t="s">
        <v>29683</v>
      </c>
      <c r="B3303" s="67" t="s">
        <v>40062</v>
      </c>
      <c r="C3303" s="71" t="s">
        <v>396</v>
      </c>
      <c r="D3303" s="79">
        <v>1</v>
      </c>
      <c r="E3303" s="79">
        <v>11038.2</v>
      </c>
      <c r="F3303" s="79">
        <v>11038.2</v>
      </c>
      <c r="H3303" s="178">
        <v>11038.2</v>
      </c>
      <c r="I3303" s="178">
        <v>13576.98</v>
      </c>
      <c r="J3303" s="70">
        <v>-2538.7799999999988</v>
      </c>
      <c r="K3303" s="320"/>
      <c r="L3303" s="178"/>
      <c r="M3303" s="178">
        <v>11038.2</v>
      </c>
      <c r="N3303" s="179">
        <v>0</v>
      </c>
      <c r="O3303" s="178">
        <v>11038.2</v>
      </c>
      <c r="Q3303" s="61"/>
      <c r="R3303" s="298"/>
      <c r="S3303" s="669"/>
      <c r="X3303" s="444">
        <v>3303</v>
      </c>
    </row>
    <row r="3304" spans="1:32" s="471" customFormat="1" ht="12">
      <c r="A3304" s="83" t="s">
        <v>23719</v>
      </c>
      <c r="B3304" s="64" t="s">
        <v>23720</v>
      </c>
      <c r="C3304" s="71" t="s">
        <v>10216</v>
      </c>
      <c r="D3304" s="79">
        <v>1</v>
      </c>
      <c r="E3304" s="79">
        <v>577.26</v>
      </c>
      <c r="F3304" s="79">
        <v>577.26</v>
      </c>
      <c r="G3304" s="445"/>
      <c r="H3304" s="178">
        <v>577.25</v>
      </c>
      <c r="I3304" s="178">
        <v>710.02</v>
      </c>
      <c r="J3304" s="70">
        <v>-132.76</v>
      </c>
      <c r="K3304" s="320"/>
      <c r="L3304" s="178"/>
      <c r="M3304" s="178">
        <v>577.26</v>
      </c>
      <c r="N3304" s="179">
        <v>0</v>
      </c>
      <c r="O3304" s="178">
        <v>577.26</v>
      </c>
      <c r="P3304" s="453"/>
      <c r="Q3304" s="61"/>
      <c r="R3304" s="298"/>
      <c r="S3304" s="669"/>
      <c r="T3304" s="444"/>
      <c r="U3304" s="444"/>
      <c r="V3304" s="444"/>
      <c r="W3304" s="444"/>
      <c r="X3304" s="444">
        <v>3304</v>
      </c>
      <c r="Y3304" s="444"/>
      <c r="Z3304" s="444"/>
      <c r="AA3304" s="444"/>
      <c r="AB3304" s="444"/>
      <c r="AC3304" s="444"/>
      <c r="AD3304" s="444"/>
      <c r="AE3304" s="444"/>
      <c r="AF3304" s="444"/>
    </row>
    <row r="3305" spans="1:32" ht="24">
      <c r="A3305" s="83" t="s">
        <v>23721</v>
      </c>
      <c r="B3305" s="64" t="s">
        <v>23722</v>
      </c>
      <c r="C3305" s="71" t="s">
        <v>165</v>
      </c>
      <c r="D3305" s="79">
        <v>1</v>
      </c>
      <c r="E3305" s="79">
        <v>177.73</v>
      </c>
      <c r="F3305" s="79">
        <v>177.73</v>
      </c>
      <c r="G3305" s="445"/>
      <c r="H3305" s="178">
        <v>177.73</v>
      </c>
      <c r="I3305" s="178">
        <v>218.61</v>
      </c>
      <c r="J3305" s="70">
        <v>-40.880000000000024</v>
      </c>
      <c r="K3305" s="320"/>
      <c r="L3305" s="178">
        <v>7.57</v>
      </c>
      <c r="M3305" s="178">
        <v>170.16</v>
      </c>
      <c r="N3305" s="179">
        <v>0</v>
      </c>
      <c r="O3305" s="178">
        <v>177.73</v>
      </c>
      <c r="P3305" s="453"/>
      <c r="Q3305" s="61"/>
      <c r="R3305" s="298"/>
      <c r="S3305" s="669"/>
      <c r="X3305" s="444">
        <v>3305</v>
      </c>
    </row>
    <row r="3306" spans="1:32" ht="24">
      <c r="A3306" s="83" t="s">
        <v>23723</v>
      </c>
      <c r="B3306" s="64" t="s">
        <v>23724</v>
      </c>
      <c r="C3306" s="71" t="s">
        <v>165</v>
      </c>
      <c r="D3306" s="79">
        <v>1</v>
      </c>
      <c r="E3306" s="79">
        <v>88.85</v>
      </c>
      <c r="F3306" s="79">
        <v>88.85</v>
      </c>
      <c r="G3306" s="445"/>
      <c r="H3306" s="178">
        <v>88.85</v>
      </c>
      <c r="I3306" s="178">
        <v>109.28</v>
      </c>
      <c r="J3306" s="70">
        <v>-20.430000000000007</v>
      </c>
      <c r="K3306" s="320"/>
      <c r="L3306" s="178">
        <v>71</v>
      </c>
      <c r="M3306" s="178">
        <v>17.849999999999994</v>
      </c>
      <c r="N3306" s="179">
        <v>0</v>
      </c>
      <c r="O3306" s="178">
        <v>88.85</v>
      </c>
      <c r="P3306" s="453"/>
      <c r="Q3306" s="61"/>
      <c r="R3306" s="298"/>
      <c r="S3306" s="669"/>
      <c r="U3306" s="61"/>
      <c r="V3306" s="61"/>
      <c r="W3306" s="61"/>
      <c r="X3306" s="444">
        <v>3306</v>
      </c>
      <c r="Y3306" s="61"/>
      <c r="Z3306" s="61"/>
      <c r="AA3306" s="61"/>
      <c r="AB3306" s="61"/>
      <c r="AC3306" s="61"/>
      <c r="AD3306" s="61"/>
      <c r="AE3306" s="61"/>
      <c r="AF3306" s="61"/>
    </row>
    <row r="3307" spans="1:32" ht="12">
      <c r="A3307" s="83" t="s">
        <v>12250</v>
      </c>
      <c r="B3307" s="64" t="s">
        <v>40063</v>
      </c>
      <c r="C3307" s="71"/>
      <c r="D3307" s="79" t="s">
        <v>40899</v>
      </c>
      <c r="E3307" s="79" t="s">
        <v>40899</v>
      </c>
      <c r="F3307" s="79"/>
      <c r="G3307" s="445"/>
      <c r="H3307" s="178"/>
      <c r="I3307" s="178"/>
      <c r="J3307" s="70"/>
      <c r="K3307" s="320"/>
      <c r="L3307" s="178"/>
      <c r="M3307" s="178"/>
      <c r="N3307" s="179"/>
      <c r="O3307" s="178"/>
      <c r="P3307" s="453"/>
      <c r="Q3307" s="61"/>
      <c r="R3307" s="298"/>
      <c r="S3307" s="669"/>
      <c r="U3307" s="61"/>
      <c r="V3307" s="61"/>
      <c r="W3307" s="61"/>
      <c r="X3307" s="444">
        <v>3307</v>
      </c>
      <c r="Y3307" s="61"/>
      <c r="Z3307" s="61"/>
      <c r="AA3307" s="61"/>
      <c r="AB3307" s="61"/>
      <c r="AC3307" s="61"/>
      <c r="AD3307" s="61"/>
      <c r="AE3307" s="61"/>
      <c r="AF3307" s="61"/>
    </row>
    <row r="3308" spans="1:32" ht="24">
      <c r="A3308" s="83" t="s">
        <v>23725</v>
      </c>
      <c r="B3308" s="64" t="s">
        <v>23457</v>
      </c>
      <c r="C3308" s="71" t="s">
        <v>165</v>
      </c>
      <c r="D3308" s="79">
        <v>1</v>
      </c>
      <c r="E3308" s="79">
        <v>105.21999999999998</v>
      </c>
      <c r="F3308" s="79">
        <v>105.22</v>
      </c>
      <c r="G3308" s="445"/>
      <c r="H3308" s="178">
        <v>105.21</v>
      </c>
      <c r="I3308" s="178">
        <v>129.41</v>
      </c>
      <c r="J3308" s="70">
        <v>-24.190000000000012</v>
      </c>
      <c r="K3308" s="320"/>
      <c r="L3308" s="178">
        <v>52.08</v>
      </c>
      <c r="M3308" s="178">
        <v>53.139999999999986</v>
      </c>
      <c r="N3308" s="179">
        <v>0</v>
      </c>
      <c r="O3308" s="178">
        <v>105.21999999999998</v>
      </c>
      <c r="P3308" s="453"/>
      <c r="Q3308" s="61"/>
      <c r="R3308" s="298"/>
      <c r="S3308" s="669"/>
      <c r="U3308" s="61"/>
      <c r="V3308" s="61"/>
      <c r="W3308" s="61"/>
      <c r="X3308" s="444">
        <v>3308</v>
      </c>
      <c r="Y3308" s="61"/>
      <c r="Z3308" s="61"/>
      <c r="AA3308" s="61"/>
      <c r="AB3308" s="61"/>
      <c r="AC3308" s="61"/>
      <c r="AD3308" s="61"/>
      <c r="AE3308" s="61"/>
      <c r="AF3308" s="61"/>
    </row>
    <row r="3309" spans="1:32" ht="12">
      <c r="A3309" s="83" t="s">
        <v>23726</v>
      </c>
      <c r="B3309" s="64" t="s">
        <v>23451</v>
      </c>
      <c r="C3309" s="71" t="s">
        <v>509</v>
      </c>
      <c r="D3309" s="79">
        <v>1</v>
      </c>
      <c r="E3309" s="79">
        <v>437.14000000000004</v>
      </c>
      <c r="F3309" s="79">
        <v>437.14</v>
      </c>
      <c r="G3309" s="445"/>
      <c r="H3309" s="178">
        <v>437.12</v>
      </c>
      <c r="I3309" s="178">
        <v>537.66</v>
      </c>
      <c r="J3309" s="70">
        <v>-100.51999999999992</v>
      </c>
      <c r="K3309" s="320"/>
      <c r="L3309" s="178">
        <v>235.39000000000001</v>
      </c>
      <c r="M3309" s="178">
        <v>201.75000000000003</v>
      </c>
      <c r="N3309" s="179">
        <v>0</v>
      </c>
      <c r="O3309" s="178">
        <v>437.14000000000004</v>
      </c>
      <c r="P3309" s="453"/>
      <c r="Q3309" s="61"/>
      <c r="R3309" s="298"/>
      <c r="S3309" s="669"/>
      <c r="U3309" s="61"/>
      <c r="V3309" s="61"/>
      <c r="W3309" s="61"/>
      <c r="X3309" s="444">
        <v>3309</v>
      </c>
      <c r="Y3309" s="61"/>
      <c r="Z3309" s="61"/>
      <c r="AA3309" s="61"/>
      <c r="AB3309" s="61"/>
      <c r="AC3309" s="61"/>
      <c r="AD3309" s="61"/>
      <c r="AE3309" s="61"/>
      <c r="AF3309" s="61"/>
    </row>
    <row r="3310" spans="1:32" ht="12">
      <c r="A3310" s="83" t="s">
        <v>23727</v>
      </c>
      <c r="B3310" s="64" t="s">
        <v>23728</v>
      </c>
      <c r="C3310" s="71" t="s">
        <v>509</v>
      </c>
      <c r="D3310" s="79">
        <v>1</v>
      </c>
      <c r="E3310" s="79">
        <v>521.84000000000015</v>
      </c>
      <c r="F3310" s="79">
        <v>521.84</v>
      </c>
      <c r="G3310" s="445"/>
      <c r="H3310" s="178">
        <v>521.83000000000004</v>
      </c>
      <c r="I3310" s="178">
        <v>641.85</v>
      </c>
      <c r="J3310" s="70">
        <v>-120.00999999999988</v>
      </c>
      <c r="K3310" s="320"/>
      <c r="L3310" s="178">
        <v>194.85000000000002</v>
      </c>
      <c r="M3310" s="178">
        <v>326.99000000000012</v>
      </c>
      <c r="N3310" s="179">
        <v>0</v>
      </c>
      <c r="O3310" s="178">
        <v>521.84000000000015</v>
      </c>
      <c r="P3310" s="453"/>
      <c r="Q3310" s="61"/>
      <c r="R3310" s="298"/>
      <c r="S3310" s="669"/>
      <c r="X3310" s="444">
        <v>3310</v>
      </c>
    </row>
    <row r="3311" spans="1:32" ht="12">
      <c r="A3311" s="83" t="s">
        <v>23729</v>
      </c>
      <c r="B3311" s="64" t="s">
        <v>23461</v>
      </c>
      <c r="C3311" s="71" t="s">
        <v>509</v>
      </c>
      <c r="D3311" s="79">
        <v>1</v>
      </c>
      <c r="E3311" s="79">
        <v>25.43</v>
      </c>
      <c r="F3311" s="79">
        <v>25.43</v>
      </c>
      <c r="G3311" s="445"/>
      <c r="H3311" s="178">
        <v>25.44</v>
      </c>
      <c r="I3311" s="178">
        <v>31.29</v>
      </c>
      <c r="J3311" s="70">
        <v>-5.8599999999999994</v>
      </c>
      <c r="K3311" s="320"/>
      <c r="L3311" s="178">
        <v>5.35</v>
      </c>
      <c r="M3311" s="178">
        <v>20.079999999999998</v>
      </c>
      <c r="N3311" s="179">
        <v>0</v>
      </c>
      <c r="O3311" s="178">
        <v>25.43</v>
      </c>
      <c r="P3311" s="453"/>
      <c r="Q3311" s="61"/>
      <c r="R3311" s="298"/>
      <c r="S3311" s="669"/>
      <c r="X3311" s="444">
        <v>3311</v>
      </c>
    </row>
    <row r="3312" spans="1:32" ht="12">
      <c r="A3312" s="83" t="s">
        <v>23730</v>
      </c>
      <c r="B3312" s="64" t="s">
        <v>23463</v>
      </c>
      <c r="C3312" s="71" t="s">
        <v>165</v>
      </c>
      <c r="D3312" s="79">
        <v>1</v>
      </c>
      <c r="E3312" s="79">
        <v>28.240000000000002</v>
      </c>
      <c r="F3312" s="79">
        <v>28.24</v>
      </c>
      <c r="G3312" s="445"/>
      <c r="H3312" s="178">
        <v>28.24</v>
      </c>
      <c r="I3312" s="178">
        <v>34.74</v>
      </c>
      <c r="J3312" s="70">
        <v>-6.5</v>
      </c>
      <c r="K3312" s="320"/>
      <c r="L3312" s="178">
        <v>5.35</v>
      </c>
      <c r="M3312" s="178">
        <v>22.89</v>
      </c>
      <c r="N3312" s="179">
        <v>0</v>
      </c>
      <c r="O3312" s="178">
        <v>28.240000000000002</v>
      </c>
      <c r="P3312" s="453"/>
      <c r="Q3312" s="61"/>
      <c r="R3312" s="298"/>
      <c r="S3312" s="669"/>
      <c r="X3312" s="444">
        <v>3312</v>
      </c>
    </row>
    <row r="3313" spans="1:32" ht="12">
      <c r="A3313" s="83" t="s">
        <v>40064</v>
      </c>
      <c r="B3313" s="64" t="s">
        <v>40065</v>
      </c>
      <c r="C3313" s="71"/>
      <c r="D3313" s="79" t="s">
        <v>40899</v>
      </c>
      <c r="E3313" s="79" t="s">
        <v>40899</v>
      </c>
      <c r="F3313" s="79"/>
      <c r="G3313" s="445"/>
      <c r="H3313" s="178"/>
      <c r="I3313" s="178"/>
      <c r="J3313" s="70"/>
      <c r="K3313" s="320"/>
      <c r="L3313" s="178"/>
      <c r="M3313" s="178"/>
      <c r="N3313" s="179"/>
      <c r="O3313" s="178"/>
      <c r="P3313" s="453"/>
      <c r="Q3313" s="61"/>
      <c r="R3313" s="298"/>
      <c r="S3313" s="669"/>
      <c r="X3313" s="444">
        <v>3313</v>
      </c>
    </row>
    <row r="3314" spans="1:32" ht="12">
      <c r="A3314" s="83" t="s">
        <v>23731</v>
      </c>
      <c r="B3314" s="64" t="s">
        <v>23732</v>
      </c>
      <c r="C3314" s="71" t="s">
        <v>103</v>
      </c>
      <c r="D3314" s="79">
        <v>1</v>
      </c>
      <c r="E3314" s="79">
        <v>32657.79</v>
      </c>
      <c r="F3314" s="79">
        <v>32657.79</v>
      </c>
      <c r="G3314" s="445"/>
      <c r="H3314" s="178">
        <v>32657.79</v>
      </c>
      <c r="I3314" s="178">
        <v>40169.08</v>
      </c>
      <c r="J3314" s="70">
        <v>-7511.2900000000009</v>
      </c>
      <c r="K3314" s="320"/>
      <c r="L3314" s="178"/>
      <c r="M3314" s="178">
        <v>32657.79</v>
      </c>
      <c r="N3314" s="179">
        <v>0</v>
      </c>
      <c r="O3314" s="178">
        <v>32657.79</v>
      </c>
      <c r="P3314" s="453"/>
      <c r="Q3314" s="61"/>
      <c r="R3314" s="298"/>
      <c r="S3314" s="669"/>
      <c r="X3314" s="444">
        <v>3314</v>
      </c>
    </row>
    <row r="3315" spans="1:32" ht="12">
      <c r="A3315" s="83" t="s">
        <v>23733</v>
      </c>
      <c r="B3315" s="64" t="s">
        <v>23734</v>
      </c>
      <c r="C3315" s="71" t="s">
        <v>165</v>
      </c>
      <c r="D3315" s="79">
        <v>1</v>
      </c>
      <c r="E3315" s="79">
        <v>596.95000000000005</v>
      </c>
      <c r="F3315" s="79">
        <v>596.95000000000005</v>
      </c>
      <c r="G3315" s="445"/>
      <c r="H3315" s="178">
        <v>596.94000000000005</v>
      </c>
      <c r="I3315" s="178">
        <v>734.24</v>
      </c>
      <c r="J3315" s="70">
        <v>-137.28999999999996</v>
      </c>
      <c r="K3315" s="320"/>
      <c r="L3315" s="178"/>
      <c r="M3315" s="178">
        <v>596.95000000000005</v>
      </c>
      <c r="N3315" s="179">
        <v>0</v>
      </c>
      <c r="O3315" s="178">
        <v>596.95000000000005</v>
      </c>
      <c r="P3315" s="453"/>
      <c r="Q3315" s="61"/>
      <c r="R3315" s="298"/>
      <c r="S3315" s="669"/>
      <c r="X3315" s="444">
        <v>3315</v>
      </c>
    </row>
    <row r="3316" spans="1:32" ht="12">
      <c r="A3316" s="83" t="s">
        <v>23735</v>
      </c>
      <c r="B3316" s="64" t="s">
        <v>23736</v>
      </c>
      <c r="C3316" s="71" t="s">
        <v>103</v>
      </c>
      <c r="D3316" s="79">
        <v>1</v>
      </c>
      <c r="E3316" s="79">
        <v>2641.87</v>
      </c>
      <c r="F3316" s="79">
        <v>2641.87</v>
      </c>
      <c r="G3316" s="445"/>
      <c r="H3316" s="178">
        <v>2641.87</v>
      </c>
      <c r="I3316" s="178">
        <v>3249.5</v>
      </c>
      <c r="J3316" s="70">
        <v>-607.63000000000011</v>
      </c>
      <c r="K3316" s="320"/>
      <c r="L3316" s="178"/>
      <c r="M3316" s="178">
        <v>2641.87</v>
      </c>
      <c r="N3316" s="179">
        <v>0</v>
      </c>
      <c r="O3316" s="178">
        <v>2641.87</v>
      </c>
      <c r="P3316" s="453"/>
      <c r="Q3316" s="61"/>
      <c r="R3316" s="298"/>
      <c r="S3316" s="669"/>
      <c r="X3316" s="444">
        <v>3316</v>
      </c>
    </row>
    <row r="3317" spans="1:32" ht="12">
      <c r="A3317" s="83" t="s">
        <v>23737</v>
      </c>
      <c r="B3317" s="64" t="s">
        <v>23738</v>
      </c>
      <c r="C3317" s="71" t="s">
        <v>165</v>
      </c>
      <c r="D3317" s="79">
        <v>1</v>
      </c>
      <c r="E3317" s="79">
        <v>562.42999999999995</v>
      </c>
      <c r="F3317" s="79">
        <v>562.42999999999995</v>
      </c>
      <c r="G3317" s="445"/>
      <c r="H3317" s="178">
        <v>562.41999999999996</v>
      </c>
      <c r="I3317" s="178">
        <v>691.78</v>
      </c>
      <c r="J3317" s="70">
        <v>-129.35000000000002</v>
      </c>
      <c r="K3317" s="320"/>
      <c r="L3317" s="178"/>
      <c r="M3317" s="178">
        <v>562.42999999999995</v>
      </c>
      <c r="N3317" s="179">
        <v>0</v>
      </c>
      <c r="O3317" s="178">
        <v>562.42999999999995</v>
      </c>
      <c r="P3317" s="453"/>
      <c r="Q3317" s="61"/>
      <c r="R3317" s="298"/>
      <c r="S3317" s="669"/>
      <c r="X3317" s="444">
        <v>3317</v>
      </c>
    </row>
    <row r="3318" spans="1:32" ht="12">
      <c r="A3318" s="83" t="s">
        <v>23739</v>
      </c>
      <c r="B3318" s="64" t="s">
        <v>23740</v>
      </c>
      <c r="C3318" s="71" t="s">
        <v>103</v>
      </c>
      <c r="D3318" s="79">
        <v>1</v>
      </c>
      <c r="E3318" s="79">
        <v>2688.72</v>
      </c>
      <c r="F3318" s="79">
        <v>2688.72</v>
      </c>
      <c r="G3318" s="445"/>
      <c r="H3318" s="178">
        <v>2688.72</v>
      </c>
      <c r="I3318" s="178">
        <v>3307.12</v>
      </c>
      <c r="J3318" s="70">
        <v>-618.40000000000009</v>
      </c>
      <c r="K3318" s="320"/>
      <c r="L3318" s="178"/>
      <c r="M3318" s="178">
        <v>2688.72</v>
      </c>
      <c r="N3318" s="179">
        <v>0</v>
      </c>
      <c r="O3318" s="178">
        <v>2688.72</v>
      </c>
      <c r="P3318" s="453"/>
      <c r="Q3318" s="61"/>
      <c r="R3318" s="298"/>
      <c r="S3318" s="669"/>
      <c r="U3318" s="61"/>
      <c r="V3318" s="61"/>
      <c r="W3318" s="61"/>
      <c r="X3318" s="444">
        <v>3318</v>
      </c>
      <c r="Y3318" s="61"/>
      <c r="Z3318" s="61"/>
      <c r="AA3318" s="61"/>
      <c r="AB3318" s="61"/>
      <c r="AC3318" s="61"/>
      <c r="AD3318" s="61"/>
      <c r="AE3318" s="61"/>
      <c r="AF3318" s="61"/>
    </row>
    <row r="3319" spans="1:32" ht="12">
      <c r="A3319" s="83" t="s">
        <v>23741</v>
      </c>
      <c r="B3319" s="64" t="s">
        <v>23742</v>
      </c>
      <c r="C3319" s="71" t="s">
        <v>165</v>
      </c>
      <c r="D3319" s="79">
        <v>1</v>
      </c>
      <c r="E3319" s="79">
        <v>331.57</v>
      </c>
      <c r="F3319" s="79">
        <v>331.57</v>
      </c>
      <c r="G3319" s="445"/>
      <c r="H3319" s="178">
        <v>331.55</v>
      </c>
      <c r="I3319" s="178">
        <v>407.81</v>
      </c>
      <c r="J3319" s="70">
        <v>-76.240000000000009</v>
      </c>
      <c r="K3319" s="320"/>
      <c r="L3319" s="178">
        <v>5.82</v>
      </c>
      <c r="M3319" s="178">
        <v>325.75</v>
      </c>
      <c r="N3319" s="179">
        <v>0</v>
      </c>
      <c r="O3319" s="178">
        <v>331.57</v>
      </c>
      <c r="P3319" s="453"/>
      <c r="Q3319" s="61"/>
      <c r="R3319" s="298"/>
      <c r="S3319" s="669"/>
      <c r="U3319" s="61"/>
      <c r="V3319" s="61"/>
      <c r="W3319" s="61"/>
      <c r="X3319" s="444">
        <v>3319</v>
      </c>
      <c r="Y3319" s="61"/>
      <c r="Z3319" s="61"/>
      <c r="AA3319" s="61"/>
      <c r="AB3319" s="61"/>
      <c r="AC3319" s="61"/>
      <c r="AD3319" s="61"/>
      <c r="AE3319" s="61"/>
      <c r="AF3319" s="61"/>
    </row>
    <row r="3320" spans="1:32" ht="12">
      <c r="A3320" s="83" t="s">
        <v>23743</v>
      </c>
      <c r="B3320" s="64" t="s">
        <v>23744</v>
      </c>
      <c r="C3320" s="71" t="s">
        <v>165</v>
      </c>
      <c r="D3320" s="79">
        <v>1</v>
      </c>
      <c r="E3320" s="79">
        <v>351.15000000000003</v>
      </c>
      <c r="F3320" s="79">
        <v>351.15</v>
      </c>
      <c r="G3320" s="445"/>
      <c r="H3320" s="178">
        <v>351.15</v>
      </c>
      <c r="I3320" s="178">
        <v>431.91</v>
      </c>
      <c r="J3320" s="70">
        <v>-80.759999999999991</v>
      </c>
      <c r="K3320" s="320"/>
      <c r="L3320" s="178">
        <v>6.7</v>
      </c>
      <c r="M3320" s="178">
        <v>344.45000000000005</v>
      </c>
      <c r="N3320" s="179">
        <v>0</v>
      </c>
      <c r="O3320" s="178">
        <v>351.15000000000003</v>
      </c>
      <c r="P3320" s="453"/>
      <c r="Q3320" s="61"/>
      <c r="R3320" s="298"/>
      <c r="S3320" s="669"/>
      <c r="X3320" s="444">
        <v>3320</v>
      </c>
    </row>
    <row r="3321" spans="1:32" ht="12">
      <c r="A3321" s="83" t="s">
        <v>12254</v>
      </c>
      <c r="B3321" s="64" t="s">
        <v>40066</v>
      </c>
      <c r="C3321" s="71"/>
      <c r="D3321" s="79" t="s">
        <v>40899</v>
      </c>
      <c r="E3321" s="79" t="s">
        <v>40899</v>
      </c>
      <c r="F3321" s="79"/>
      <c r="G3321" s="445"/>
      <c r="H3321" s="178"/>
      <c r="I3321" s="178"/>
      <c r="J3321" s="70"/>
      <c r="K3321" s="320"/>
      <c r="L3321" s="178"/>
      <c r="M3321" s="178"/>
      <c r="N3321" s="179"/>
      <c r="O3321" s="178"/>
      <c r="P3321" s="453"/>
      <c r="Q3321" s="61"/>
      <c r="R3321" s="298"/>
      <c r="S3321" s="669"/>
      <c r="X3321" s="444">
        <v>3321</v>
      </c>
    </row>
    <row r="3322" spans="1:32" ht="12">
      <c r="A3322" s="83" t="s">
        <v>23745</v>
      </c>
      <c r="B3322" s="64" t="s">
        <v>23746</v>
      </c>
      <c r="C3322" s="71" t="s">
        <v>509</v>
      </c>
      <c r="D3322" s="79">
        <v>1</v>
      </c>
      <c r="E3322" s="79">
        <v>63.47</v>
      </c>
      <c r="F3322" s="79">
        <v>63.47</v>
      </c>
      <c r="G3322" s="445"/>
      <c r="H3322" s="178">
        <v>63.46</v>
      </c>
      <c r="I3322" s="178">
        <v>78.05</v>
      </c>
      <c r="J3322" s="70">
        <v>-14.579999999999998</v>
      </c>
      <c r="K3322" s="320"/>
      <c r="L3322" s="178">
        <v>18.14</v>
      </c>
      <c r="M3322" s="178">
        <v>45.33</v>
      </c>
      <c r="N3322" s="179">
        <v>0</v>
      </c>
      <c r="O3322" s="178">
        <v>63.47</v>
      </c>
      <c r="P3322" s="453"/>
      <c r="Q3322" s="61"/>
      <c r="R3322" s="298"/>
      <c r="S3322" s="669"/>
      <c r="X3322" s="444">
        <v>3322</v>
      </c>
    </row>
    <row r="3323" spans="1:32" ht="12">
      <c r="A3323" s="83" t="s">
        <v>12262</v>
      </c>
      <c r="B3323" s="64" t="s">
        <v>40067</v>
      </c>
      <c r="C3323" s="71"/>
      <c r="D3323" s="79" t="s">
        <v>40899</v>
      </c>
      <c r="E3323" s="79" t="s">
        <v>40899</v>
      </c>
      <c r="F3323" s="79"/>
      <c r="G3323" s="445"/>
      <c r="H3323" s="178"/>
      <c r="I3323" s="178"/>
      <c r="J3323" s="70"/>
      <c r="K3323" s="320"/>
      <c r="L3323" s="178"/>
      <c r="M3323" s="178"/>
      <c r="N3323" s="179"/>
      <c r="O3323" s="178"/>
      <c r="P3323" s="453"/>
      <c r="Q3323" s="61"/>
      <c r="R3323" s="298"/>
      <c r="S3323" s="669"/>
      <c r="X3323" s="444">
        <v>3323</v>
      </c>
    </row>
    <row r="3324" spans="1:32" ht="12">
      <c r="A3324" s="83" t="s">
        <v>40068</v>
      </c>
      <c r="B3324" s="64" t="s">
        <v>40069</v>
      </c>
      <c r="C3324" s="71"/>
      <c r="D3324" s="79" t="s">
        <v>40899</v>
      </c>
      <c r="E3324" s="79" t="s">
        <v>40899</v>
      </c>
      <c r="F3324" s="79"/>
      <c r="G3324" s="445"/>
      <c r="H3324" s="178"/>
      <c r="I3324" s="178"/>
      <c r="J3324" s="70"/>
      <c r="K3324" s="320"/>
      <c r="L3324" s="178"/>
      <c r="M3324" s="178"/>
      <c r="N3324" s="179"/>
      <c r="O3324" s="178"/>
      <c r="P3324" s="453"/>
      <c r="Q3324" s="61"/>
      <c r="R3324" s="298"/>
      <c r="S3324" s="669"/>
      <c r="X3324" s="444">
        <v>3324</v>
      </c>
    </row>
    <row r="3325" spans="1:32" ht="12">
      <c r="A3325" s="83" t="s">
        <v>40070</v>
      </c>
      <c r="B3325" s="64" t="s">
        <v>40071</v>
      </c>
      <c r="C3325" s="71"/>
      <c r="D3325" s="79" t="s">
        <v>40899</v>
      </c>
      <c r="E3325" s="79" t="s">
        <v>40899</v>
      </c>
      <c r="F3325" s="79"/>
      <c r="G3325" s="445"/>
      <c r="H3325" s="178"/>
      <c r="I3325" s="178"/>
      <c r="J3325" s="70"/>
      <c r="K3325" s="320"/>
      <c r="L3325" s="178"/>
      <c r="M3325" s="178"/>
      <c r="N3325" s="179"/>
      <c r="O3325" s="178"/>
      <c r="P3325" s="453"/>
      <c r="Q3325" s="61"/>
      <c r="R3325" s="298"/>
      <c r="S3325" s="669"/>
      <c r="X3325" s="444">
        <v>3325</v>
      </c>
    </row>
    <row r="3326" spans="1:32" ht="12">
      <c r="A3326" s="83" t="s">
        <v>23747</v>
      </c>
      <c r="B3326" s="64" t="s">
        <v>23748</v>
      </c>
      <c r="C3326" s="71" t="s">
        <v>165</v>
      </c>
      <c r="D3326" s="79">
        <v>1</v>
      </c>
      <c r="E3326" s="79">
        <v>5.9</v>
      </c>
      <c r="F3326" s="79">
        <v>5.9</v>
      </c>
      <c r="G3326" s="445"/>
      <c r="H3326" s="178">
        <v>5.89</v>
      </c>
      <c r="I3326" s="178">
        <v>7.24</v>
      </c>
      <c r="J3326" s="70">
        <v>-1.3399999999999999</v>
      </c>
      <c r="K3326" s="320"/>
      <c r="L3326" s="178">
        <v>4.95</v>
      </c>
      <c r="M3326" s="178">
        <v>0.95000000000000018</v>
      </c>
      <c r="N3326" s="179">
        <v>0</v>
      </c>
      <c r="O3326" s="178">
        <v>5.9</v>
      </c>
      <c r="P3326" s="453"/>
      <c r="Q3326" s="61"/>
      <c r="R3326" s="298"/>
      <c r="S3326" s="669"/>
      <c r="X3326" s="444">
        <v>3326</v>
      </c>
    </row>
    <row r="3327" spans="1:32" ht="12">
      <c r="A3327" s="83" t="s">
        <v>23749</v>
      </c>
      <c r="B3327" s="64" t="s">
        <v>23750</v>
      </c>
      <c r="C3327" s="71" t="s">
        <v>509</v>
      </c>
      <c r="D3327" s="79">
        <v>1</v>
      </c>
      <c r="E3327" s="79">
        <v>223.32999999999998</v>
      </c>
      <c r="F3327" s="79">
        <v>223.33</v>
      </c>
      <c r="G3327" s="445"/>
      <c r="H3327" s="178">
        <v>223.33</v>
      </c>
      <c r="I3327" s="178">
        <v>274.69</v>
      </c>
      <c r="J3327" s="70">
        <v>-51.360000000000014</v>
      </c>
      <c r="K3327" s="320"/>
      <c r="L3327" s="178">
        <v>223.32999999999998</v>
      </c>
      <c r="M3327" s="178">
        <v>0</v>
      </c>
      <c r="N3327" s="179">
        <v>0</v>
      </c>
      <c r="O3327" s="178">
        <v>223.32999999999998</v>
      </c>
      <c r="P3327" s="453"/>
      <c r="Q3327" s="61"/>
      <c r="R3327" s="298"/>
      <c r="S3327" s="669"/>
      <c r="X3327" s="444">
        <v>3327</v>
      </c>
    </row>
    <row r="3328" spans="1:32" ht="12">
      <c r="A3328" s="83" t="s">
        <v>23751</v>
      </c>
      <c r="B3328" s="64" t="s">
        <v>23752</v>
      </c>
      <c r="C3328" s="71" t="s">
        <v>509</v>
      </c>
      <c r="D3328" s="79">
        <v>1</v>
      </c>
      <c r="E3328" s="79">
        <v>31.51</v>
      </c>
      <c r="F3328" s="79">
        <v>31.51</v>
      </c>
      <c r="G3328" s="445"/>
      <c r="H3328" s="178">
        <v>31.5</v>
      </c>
      <c r="I3328" s="178">
        <v>38.75</v>
      </c>
      <c r="J3328" s="70">
        <v>-7.2399999999999984</v>
      </c>
      <c r="K3328" s="320"/>
      <c r="L3328" s="178">
        <v>24.71</v>
      </c>
      <c r="M3328" s="178">
        <v>6.8000000000000007</v>
      </c>
      <c r="N3328" s="179">
        <v>0</v>
      </c>
      <c r="O3328" s="178">
        <v>31.51</v>
      </c>
      <c r="P3328" s="453"/>
      <c r="Q3328" s="61"/>
      <c r="R3328" s="298"/>
      <c r="S3328" s="669"/>
      <c r="X3328" s="444">
        <v>3328</v>
      </c>
    </row>
    <row r="3329" spans="1:32" ht="12">
      <c r="A3329" s="83" t="s">
        <v>23753</v>
      </c>
      <c r="B3329" s="64" t="s">
        <v>23754</v>
      </c>
      <c r="C3329" s="71" t="s">
        <v>509</v>
      </c>
      <c r="D3329" s="79">
        <v>1</v>
      </c>
      <c r="E3329" s="79">
        <v>147.61000000000001</v>
      </c>
      <c r="F3329" s="79">
        <v>147.61000000000001</v>
      </c>
      <c r="G3329" s="445"/>
      <c r="H3329" s="178">
        <v>147.6</v>
      </c>
      <c r="I3329" s="178">
        <v>181.55</v>
      </c>
      <c r="J3329" s="70">
        <v>-33.94</v>
      </c>
      <c r="K3329" s="320"/>
      <c r="L3329" s="178">
        <v>137.71</v>
      </c>
      <c r="M3329" s="178">
        <v>9.9000000000000057</v>
      </c>
      <c r="N3329" s="179">
        <v>0</v>
      </c>
      <c r="O3329" s="178">
        <v>147.61000000000001</v>
      </c>
      <c r="P3329" s="453"/>
      <c r="Q3329" s="61"/>
      <c r="R3329" s="298"/>
      <c r="S3329" s="669"/>
      <c r="X3329" s="444">
        <v>3329</v>
      </c>
    </row>
    <row r="3330" spans="1:32" ht="12">
      <c r="A3330" s="83" t="s">
        <v>23755</v>
      </c>
      <c r="B3330" s="64" t="s">
        <v>23756</v>
      </c>
      <c r="C3330" s="71" t="s">
        <v>509</v>
      </c>
      <c r="D3330" s="79">
        <v>1</v>
      </c>
      <c r="E3330" s="79">
        <v>325.87</v>
      </c>
      <c r="F3330" s="79">
        <v>325.87</v>
      </c>
      <c r="G3330" s="445"/>
      <c r="H3330" s="178">
        <v>325.86</v>
      </c>
      <c r="I3330" s="178">
        <v>400.81</v>
      </c>
      <c r="J3330" s="70">
        <v>-74.94</v>
      </c>
      <c r="K3330" s="320"/>
      <c r="L3330" s="178">
        <v>168.92000000000002</v>
      </c>
      <c r="M3330" s="178">
        <v>156.94999999999999</v>
      </c>
      <c r="N3330" s="179">
        <v>0</v>
      </c>
      <c r="O3330" s="178">
        <v>325.87</v>
      </c>
      <c r="P3330" s="453"/>
      <c r="Q3330" s="61"/>
      <c r="R3330" s="298"/>
      <c r="S3330" s="669"/>
      <c r="X3330" s="444">
        <v>3330</v>
      </c>
    </row>
    <row r="3331" spans="1:32" ht="12">
      <c r="A3331" s="83" t="s">
        <v>23757</v>
      </c>
      <c r="B3331" s="64" t="s">
        <v>23758</v>
      </c>
      <c r="C3331" s="71" t="s">
        <v>509</v>
      </c>
      <c r="D3331" s="79">
        <v>1</v>
      </c>
      <c r="E3331" s="79">
        <v>246</v>
      </c>
      <c r="F3331" s="79">
        <v>246</v>
      </c>
      <c r="G3331" s="445"/>
      <c r="H3331" s="178">
        <v>246</v>
      </c>
      <c r="I3331" s="178">
        <v>302.58</v>
      </c>
      <c r="J3331" s="70">
        <v>-56.579999999999984</v>
      </c>
      <c r="K3331" s="320"/>
      <c r="L3331" s="178">
        <v>229.5</v>
      </c>
      <c r="M3331" s="178">
        <v>16.5</v>
      </c>
      <c r="N3331" s="179">
        <v>0</v>
      </c>
      <c r="O3331" s="178">
        <v>246</v>
      </c>
      <c r="P3331" s="453"/>
      <c r="Q3331" s="61"/>
      <c r="R3331" s="298"/>
      <c r="S3331" s="669"/>
      <c r="X3331" s="444">
        <v>3331</v>
      </c>
    </row>
    <row r="3332" spans="1:32" ht="12">
      <c r="A3332" s="83" t="s">
        <v>23759</v>
      </c>
      <c r="B3332" s="64" t="s">
        <v>23760</v>
      </c>
      <c r="C3332" s="71" t="s">
        <v>165</v>
      </c>
      <c r="D3332" s="79">
        <v>1</v>
      </c>
      <c r="E3332" s="79">
        <v>6.3999999999999995</v>
      </c>
      <c r="F3332" s="79">
        <v>6.4</v>
      </c>
      <c r="G3332" s="445"/>
      <c r="H3332" s="178">
        <v>6.38</v>
      </c>
      <c r="I3332" s="178">
        <v>7.85</v>
      </c>
      <c r="J3332" s="70">
        <v>-1.4500000000000002</v>
      </c>
      <c r="K3332" s="320"/>
      <c r="L3332" s="178">
        <v>5.59</v>
      </c>
      <c r="M3332" s="178">
        <v>0.80999999999999961</v>
      </c>
      <c r="N3332" s="179">
        <v>0</v>
      </c>
      <c r="O3332" s="178">
        <v>6.3999999999999995</v>
      </c>
      <c r="P3332" s="453"/>
      <c r="Q3332" s="61"/>
      <c r="R3332" s="298"/>
      <c r="S3332" s="669"/>
      <c r="X3332" s="444">
        <v>3332</v>
      </c>
    </row>
    <row r="3333" spans="1:32" ht="12">
      <c r="A3333" s="83" t="s">
        <v>23761</v>
      </c>
      <c r="B3333" s="64" t="s">
        <v>23762</v>
      </c>
      <c r="C3333" s="71" t="s">
        <v>509</v>
      </c>
      <c r="D3333" s="79">
        <v>1</v>
      </c>
      <c r="E3333" s="79">
        <v>8.7999999999999989</v>
      </c>
      <c r="F3333" s="79">
        <v>8.8000000000000007</v>
      </c>
      <c r="G3333" s="445"/>
      <c r="H3333" s="178">
        <v>8.8000000000000007</v>
      </c>
      <c r="I3333" s="178">
        <v>10.82</v>
      </c>
      <c r="J3333" s="70">
        <v>-2.0200000000000014</v>
      </c>
      <c r="K3333" s="320"/>
      <c r="L3333" s="178">
        <v>7.3699999999999992</v>
      </c>
      <c r="M3333" s="178">
        <v>1.4299999999999997</v>
      </c>
      <c r="N3333" s="179">
        <v>0</v>
      </c>
      <c r="O3333" s="178">
        <v>8.7999999999999989</v>
      </c>
      <c r="P3333" s="453"/>
      <c r="Q3333" s="61"/>
      <c r="R3333" s="298"/>
      <c r="S3333" s="669"/>
      <c r="X3333" s="444">
        <v>3333</v>
      </c>
    </row>
    <row r="3334" spans="1:32" ht="12">
      <c r="A3334" s="83" t="s">
        <v>23763</v>
      </c>
      <c r="B3334" s="64" t="s">
        <v>23764</v>
      </c>
      <c r="C3334" s="71" t="s">
        <v>509</v>
      </c>
      <c r="D3334" s="79">
        <v>1</v>
      </c>
      <c r="E3334" s="79">
        <v>115.94</v>
      </c>
      <c r="F3334" s="79">
        <v>115.94</v>
      </c>
      <c r="G3334" s="445"/>
      <c r="H3334" s="178">
        <v>115.93</v>
      </c>
      <c r="I3334" s="178">
        <v>142.6</v>
      </c>
      <c r="J3334" s="70">
        <v>-26.659999999999997</v>
      </c>
      <c r="K3334" s="320"/>
      <c r="L3334" s="178">
        <v>108.34</v>
      </c>
      <c r="M3334" s="178">
        <v>7.5999999999999943</v>
      </c>
      <c r="N3334" s="179">
        <v>0</v>
      </c>
      <c r="O3334" s="178">
        <v>115.94</v>
      </c>
      <c r="P3334" s="453"/>
      <c r="Q3334" s="61"/>
      <c r="R3334" s="298"/>
      <c r="S3334" s="669"/>
      <c r="X3334" s="444">
        <v>3334</v>
      </c>
    </row>
    <row r="3335" spans="1:32" ht="12">
      <c r="A3335" s="83" t="s">
        <v>23765</v>
      </c>
      <c r="B3335" s="64" t="s">
        <v>23766</v>
      </c>
      <c r="C3335" s="71" t="s">
        <v>509</v>
      </c>
      <c r="D3335" s="79">
        <v>1</v>
      </c>
      <c r="E3335" s="79">
        <v>40.200000000000003</v>
      </c>
      <c r="F3335" s="79">
        <v>40.200000000000003</v>
      </c>
      <c r="G3335" s="445"/>
      <c r="H3335" s="178">
        <v>40.200000000000003</v>
      </c>
      <c r="I3335" s="178">
        <v>49.44</v>
      </c>
      <c r="J3335" s="70">
        <v>-9.2399999999999949</v>
      </c>
      <c r="K3335" s="320"/>
      <c r="L3335" s="178">
        <v>38.25</v>
      </c>
      <c r="M3335" s="178">
        <v>1.9500000000000028</v>
      </c>
      <c r="N3335" s="179">
        <v>0</v>
      </c>
      <c r="O3335" s="178">
        <v>40.200000000000003</v>
      </c>
      <c r="P3335" s="453"/>
      <c r="Q3335" s="61"/>
      <c r="R3335" s="298"/>
      <c r="S3335" s="669"/>
      <c r="X3335" s="444">
        <v>3335</v>
      </c>
    </row>
    <row r="3336" spans="1:32" ht="12">
      <c r="A3336" s="83" t="s">
        <v>23767</v>
      </c>
      <c r="B3336" s="64" t="s">
        <v>23768</v>
      </c>
      <c r="C3336" s="71" t="s">
        <v>509</v>
      </c>
      <c r="D3336" s="79">
        <v>1</v>
      </c>
      <c r="E3336" s="79">
        <v>21.22</v>
      </c>
      <c r="F3336" s="79">
        <v>21.22</v>
      </c>
      <c r="G3336" s="445"/>
      <c r="H3336" s="178">
        <v>21.22</v>
      </c>
      <c r="I3336" s="178">
        <v>26.1</v>
      </c>
      <c r="J3336" s="70">
        <v>-4.8800000000000026</v>
      </c>
      <c r="K3336" s="320"/>
      <c r="L3336" s="178">
        <v>7.3699999999999992</v>
      </c>
      <c r="M3336" s="178">
        <v>13.85</v>
      </c>
      <c r="N3336" s="179">
        <v>0</v>
      </c>
      <c r="O3336" s="178">
        <v>21.22</v>
      </c>
      <c r="P3336" s="453"/>
      <c r="Q3336" s="61"/>
      <c r="R3336" s="298"/>
      <c r="S3336" s="669"/>
      <c r="X3336" s="444">
        <v>3336</v>
      </c>
    </row>
    <row r="3337" spans="1:32" ht="12">
      <c r="A3337" s="83" t="s">
        <v>23769</v>
      </c>
      <c r="B3337" s="64" t="s">
        <v>23770</v>
      </c>
      <c r="C3337" s="71" t="s">
        <v>509</v>
      </c>
      <c r="D3337" s="79">
        <v>1</v>
      </c>
      <c r="E3337" s="79">
        <v>37.19</v>
      </c>
      <c r="F3337" s="79">
        <v>37.19</v>
      </c>
      <c r="G3337" s="445"/>
      <c r="H3337" s="178">
        <v>37.19</v>
      </c>
      <c r="I3337" s="178">
        <v>45.74</v>
      </c>
      <c r="J3337" s="70">
        <v>-8.5500000000000043</v>
      </c>
      <c r="K3337" s="320"/>
      <c r="L3337" s="178">
        <v>31.48</v>
      </c>
      <c r="M3337" s="178">
        <v>5.7099999999999973</v>
      </c>
      <c r="N3337" s="179">
        <v>0</v>
      </c>
      <c r="O3337" s="178">
        <v>37.19</v>
      </c>
      <c r="P3337" s="453"/>
      <c r="Q3337" s="61"/>
      <c r="R3337" s="298"/>
      <c r="S3337" s="669"/>
      <c r="X3337" s="444">
        <v>3337</v>
      </c>
    </row>
    <row r="3338" spans="1:32" ht="12">
      <c r="A3338" s="83" t="s">
        <v>23771</v>
      </c>
      <c r="B3338" s="64" t="s">
        <v>23772</v>
      </c>
      <c r="C3338" s="71" t="s">
        <v>509</v>
      </c>
      <c r="D3338" s="79">
        <v>1</v>
      </c>
      <c r="E3338" s="79">
        <v>11.69</v>
      </c>
      <c r="F3338" s="79">
        <v>11.69</v>
      </c>
      <c r="G3338" s="445"/>
      <c r="H3338" s="178">
        <v>11.69</v>
      </c>
      <c r="I3338" s="178">
        <v>14.38</v>
      </c>
      <c r="J3338" s="70">
        <v>-2.6900000000000013</v>
      </c>
      <c r="K3338" s="320"/>
      <c r="L3338" s="178">
        <v>8.41</v>
      </c>
      <c r="M3338" s="178">
        <v>3.2799999999999994</v>
      </c>
      <c r="N3338" s="179">
        <v>0</v>
      </c>
      <c r="O3338" s="178">
        <v>11.69</v>
      </c>
      <c r="P3338" s="453"/>
      <c r="Q3338" s="61"/>
      <c r="R3338" s="298"/>
      <c r="S3338" s="669"/>
      <c r="X3338" s="444">
        <v>3338</v>
      </c>
    </row>
    <row r="3339" spans="1:32" ht="12">
      <c r="A3339" s="83" t="s">
        <v>23773</v>
      </c>
      <c r="B3339" s="64" t="s">
        <v>23774</v>
      </c>
      <c r="C3339" s="71" t="s">
        <v>509</v>
      </c>
      <c r="D3339" s="79">
        <v>1</v>
      </c>
      <c r="E3339" s="79">
        <v>19.55</v>
      </c>
      <c r="F3339" s="79">
        <v>19.55</v>
      </c>
      <c r="G3339" s="445"/>
      <c r="H3339" s="178">
        <v>19.54</v>
      </c>
      <c r="I3339" s="178">
        <v>24.04</v>
      </c>
      <c r="J3339" s="70">
        <v>-4.4899999999999984</v>
      </c>
      <c r="K3339" s="320"/>
      <c r="L3339" s="178">
        <v>9.9499999999999993</v>
      </c>
      <c r="M3339" s="178">
        <v>9.6000000000000014</v>
      </c>
      <c r="N3339" s="179">
        <v>0</v>
      </c>
      <c r="O3339" s="178">
        <v>19.55</v>
      </c>
      <c r="P3339" s="453"/>
      <c r="Q3339" s="61"/>
      <c r="R3339" s="298"/>
      <c r="S3339" s="669"/>
      <c r="X3339" s="444">
        <v>3339</v>
      </c>
    </row>
    <row r="3340" spans="1:32" ht="12">
      <c r="A3340" s="83" t="s">
        <v>23775</v>
      </c>
      <c r="B3340" s="64" t="s">
        <v>23776</v>
      </c>
      <c r="C3340" s="71" t="s">
        <v>509</v>
      </c>
      <c r="D3340" s="79">
        <v>1</v>
      </c>
      <c r="E3340" s="79">
        <v>12.350000000000001</v>
      </c>
      <c r="F3340" s="79">
        <v>12.35</v>
      </c>
      <c r="G3340" s="445"/>
      <c r="H3340" s="178">
        <v>12.33</v>
      </c>
      <c r="I3340" s="178">
        <v>15.17</v>
      </c>
      <c r="J3340" s="70">
        <v>-2.8199999999999985</v>
      </c>
      <c r="K3340" s="320"/>
      <c r="L3340" s="178">
        <v>7.66</v>
      </c>
      <c r="M3340" s="178">
        <v>4.6900000000000013</v>
      </c>
      <c r="N3340" s="179">
        <v>0</v>
      </c>
      <c r="O3340" s="178">
        <v>12.350000000000001</v>
      </c>
      <c r="P3340" s="453"/>
      <c r="Q3340" s="61"/>
      <c r="R3340" s="298"/>
      <c r="S3340" s="669"/>
      <c r="U3340" s="73"/>
      <c r="V3340" s="73"/>
      <c r="W3340" s="73"/>
      <c r="X3340" s="444">
        <v>3340</v>
      </c>
      <c r="Y3340" s="73"/>
      <c r="Z3340" s="73"/>
      <c r="AA3340" s="73"/>
      <c r="AB3340" s="73"/>
      <c r="AC3340" s="73"/>
      <c r="AD3340" s="73"/>
      <c r="AE3340" s="73"/>
      <c r="AF3340" s="73"/>
    </row>
    <row r="3341" spans="1:32" s="73" customFormat="1" ht="12">
      <c r="A3341" s="83" t="s">
        <v>23777</v>
      </c>
      <c r="B3341" s="64" t="s">
        <v>23778</v>
      </c>
      <c r="C3341" s="71" t="s">
        <v>509</v>
      </c>
      <c r="D3341" s="79">
        <v>1</v>
      </c>
      <c r="E3341" s="79">
        <v>8.02</v>
      </c>
      <c r="F3341" s="79">
        <v>8.02</v>
      </c>
      <c r="G3341" s="445"/>
      <c r="H3341" s="178">
        <v>8.01</v>
      </c>
      <c r="I3341" s="178">
        <v>9.85</v>
      </c>
      <c r="J3341" s="70">
        <v>-1.83</v>
      </c>
      <c r="K3341" s="320"/>
      <c r="L3341" s="178">
        <v>7.66</v>
      </c>
      <c r="M3341" s="178">
        <v>0.35999999999999943</v>
      </c>
      <c r="N3341" s="179">
        <v>0</v>
      </c>
      <c r="O3341" s="178">
        <v>8.02</v>
      </c>
      <c r="P3341" s="453"/>
      <c r="Q3341" s="61"/>
      <c r="R3341" s="298"/>
      <c r="S3341" s="669"/>
      <c r="T3341" s="444"/>
      <c r="X3341" s="444">
        <v>3341</v>
      </c>
    </row>
    <row r="3342" spans="1:32" s="73" customFormat="1" ht="12">
      <c r="A3342" s="83" t="s">
        <v>23779</v>
      </c>
      <c r="B3342" s="64" t="s">
        <v>23780</v>
      </c>
      <c r="C3342" s="71" t="s">
        <v>509</v>
      </c>
      <c r="D3342" s="79">
        <v>1</v>
      </c>
      <c r="E3342" s="79">
        <v>19.439999999999998</v>
      </c>
      <c r="F3342" s="79">
        <v>19.440000000000001</v>
      </c>
      <c r="G3342" s="445"/>
      <c r="H3342" s="178">
        <v>19.43</v>
      </c>
      <c r="I3342" s="178">
        <v>23.9</v>
      </c>
      <c r="J3342" s="70">
        <v>-4.4600000000000009</v>
      </c>
      <c r="K3342" s="320"/>
      <c r="L3342" s="178">
        <v>5.59</v>
      </c>
      <c r="M3342" s="178">
        <v>13.849999999999998</v>
      </c>
      <c r="N3342" s="179">
        <v>0</v>
      </c>
      <c r="O3342" s="178">
        <v>19.439999999999998</v>
      </c>
      <c r="P3342" s="453"/>
      <c r="Q3342" s="61"/>
      <c r="R3342" s="298"/>
      <c r="S3342" s="669"/>
      <c r="T3342" s="444"/>
      <c r="U3342" s="444"/>
      <c r="V3342" s="444"/>
      <c r="W3342" s="444"/>
      <c r="X3342" s="444">
        <v>3342</v>
      </c>
      <c r="Y3342" s="444"/>
      <c r="Z3342" s="444"/>
      <c r="AA3342" s="444"/>
      <c r="AB3342" s="444"/>
      <c r="AC3342" s="444"/>
      <c r="AD3342" s="444"/>
      <c r="AE3342" s="444"/>
      <c r="AF3342" s="444"/>
    </row>
    <row r="3343" spans="1:32" ht="12">
      <c r="A3343" s="83" t="s">
        <v>23781</v>
      </c>
      <c r="B3343" s="64" t="s">
        <v>23782</v>
      </c>
      <c r="C3343" s="71" t="s">
        <v>509</v>
      </c>
      <c r="D3343" s="79">
        <v>1</v>
      </c>
      <c r="E3343" s="79">
        <v>10</v>
      </c>
      <c r="F3343" s="79">
        <v>10</v>
      </c>
      <c r="G3343" s="445"/>
      <c r="H3343" s="178">
        <v>9.99</v>
      </c>
      <c r="I3343" s="178">
        <v>12.29</v>
      </c>
      <c r="J3343" s="70">
        <v>-2.2899999999999991</v>
      </c>
      <c r="K3343" s="320"/>
      <c r="L3343" s="178">
        <v>3.8600000000000003</v>
      </c>
      <c r="M3343" s="178">
        <v>6.14</v>
      </c>
      <c r="N3343" s="179">
        <v>0</v>
      </c>
      <c r="O3343" s="178">
        <v>10</v>
      </c>
      <c r="P3343" s="453"/>
      <c r="Q3343" s="61"/>
      <c r="R3343" s="298"/>
      <c r="S3343" s="669"/>
      <c r="X3343" s="444">
        <v>3343</v>
      </c>
    </row>
    <row r="3344" spans="1:32" ht="12">
      <c r="A3344" s="83" t="s">
        <v>23783</v>
      </c>
      <c r="B3344" s="64" t="s">
        <v>23784</v>
      </c>
      <c r="C3344" s="71" t="s">
        <v>509</v>
      </c>
      <c r="D3344" s="79">
        <v>1</v>
      </c>
      <c r="E3344" s="79">
        <v>23.689999999999998</v>
      </c>
      <c r="F3344" s="79">
        <v>23.69</v>
      </c>
      <c r="G3344" s="445"/>
      <c r="H3344" s="178">
        <v>23.67</v>
      </c>
      <c r="I3344" s="178">
        <v>29.12</v>
      </c>
      <c r="J3344" s="70">
        <v>-5.4300000000000033</v>
      </c>
      <c r="K3344" s="320"/>
      <c r="L3344" s="178">
        <v>5.59</v>
      </c>
      <c r="M3344" s="178">
        <v>18.099999999999998</v>
      </c>
      <c r="N3344" s="179">
        <v>0</v>
      </c>
      <c r="O3344" s="178">
        <v>23.689999999999998</v>
      </c>
      <c r="P3344" s="453"/>
      <c r="Q3344" s="61"/>
      <c r="R3344" s="298"/>
      <c r="S3344" s="669"/>
      <c r="X3344" s="444">
        <v>3344</v>
      </c>
    </row>
    <row r="3345" spans="1:32" ht="12">
      <c r="A3345" s="83" t="s">
        <v>23785</v>
      </c>
      <c r="B3345" s="64" t="s">
        <v>23786</v>
      </c>
      <c r="C3345" s="71" t="s">
        <v>509</v>
      </c>
      <c r="D3345" s="79">
        <v>1</v>
      </c>
      <c r="E3345" s="79">
        <v>7.38</v>
      </c>
      <c r="F3345" s="79">
        <v>7.38</v>
      </c>
      <c r="G3345" s="445"/>
      <c r="H3345" s="178">
        <v>7.38</v>
      </c>
      <c r="I3345" s="178">
        <v>9.08</v>
      </c>
      <c r="J3345" s="70">
        <v>-1.7000000000000002</v>
      </c>
      <c r="K3345" s="320"/>
      <c r="L3345" s="178">
        <v>4.46</v>
      </c>
      <c r="M3345" s="178">
        <v>2.92</v>
      </c>
      <c r="N3345" s="179">
        <v>0</v>
      </c>
      <c r="O3345" s="178">
        <v>7.38</v>
      </c>
      <c r="P3345" s="453"/>
      <c r="Q3345" s="61"/>
      <c r="R3345" s="298"/>
      <c r="S3345" s="669"/>
      <c r="X3345" s="444">
        <v>3345</v>
      </c>
    </row>
    <row r="3346" spans="1:32" ht="12">
      <c r="A3346" s="83" t="s">
        <v>23787</v>
      </c>
      <c r="B3346" s="64" t="s">
        <v>23788</v>
      </c>
      <c r="C3346" s="71" t="s">
        <v>509</v>
      </c>
      <c r="D3346" s="79">
        <v>1</v>
      </c>
      <c r="E3346" s="79">
        <v>55.83</v>
      </c>
      <c r="F3346" s="79">
        <v>55.83</v>
      </c>
      <c r="G3346" s="445"/>
      <c r="H3346" s="178">
        <v>55.83</v>
      </c>
      <c r="I3346" s="178">
        <v>68.67</v>
      </c>
      <c r="J3346" s="70">
        <v>-12.840000000000003</v>
      </c>
      <c r="K3346" s="320"/>
      <c r="L3346" s="178">
        <v>55.83</v>
      </c>
      <c r="M3346" s="178">
        <v>0</v>
      </c>
      <c r="N3346" s="179">
        <v>0</v>
      </c>
      <c r="O3346" s="178">
        <v>55.83</v>
      </c>
      <c r="P3346" s="453"/>
      <c r="Q3346" s="61"/>
      <c r="R3346" s="298"/>
      <c r="S3346" s="669"/>
      <c r="X3346" s="444">
        <v>3346</v>
      </c>
    </row>
    <row r="3347" spans="1:32" ht="12">
      <c r="A3347" s="83" t="s">
        <v>40072</v>
      </c>
      <c r="B3347" s="64" t="s">
        <v>40073</v>
      </c>
      <c r="C3347" s="71"/>
      <c r="D3347" s="79" t="s">
        <v>40899</v>
      </c>
      <c r="E3347" s="79" t="s">
        <v>40899</v>
      </c>
      <c r="F3347" s="79"/>
      <c r="G3347" s="445"/>
      <c r="H3347" s="178"/>
      <c r="I3347" s="178"/>
      <c r="J3347" s="70"/>
      <c r="K3347" s="320"/>
      <c r="L3347" s="178"/>
      <c r="M3347" s="178"/>
      <c r="N3347" s="179"/>
      <c r="O3347" s="178"/>
      <c r="P3347" s="453"/>
      <c r="Q3347" s="61"/>
      <c r="R3347" s="298"/>
      <c r="S3347" s="669"/>
      <c r="X3347" s="444">
        <v>3347</v>
      </c>
    </row>
    <row r="3348" spans="1:32" ht="12">
      <c r="A3348" s="83" t="s">
        <v>23789</v>
      </c>
      <c r="B3348" s="64" t="s">
        <v>23790</v>
      </c>
      <c r="C3348" s="71" t="s">
        <v>509</v>
      </c>
      <c r="D3348" s="79">
        <v>1</v>
      </c>
      <c r="E3348" s="79">
        <v>257.75</v>
      </c>
      <c r="F3348" s="79">
        <v>257.75</v>
      </c>
      <c r="G3348" s="445"/>
      <c r="H3348" s="178">
        <v>257.75</v>
      </c>
      <c r="I3348" s="178">
        <v>317.02999999999997</v>
      </c>
      <c r="J3348" s="70">
        <v>-59.279999999999973</v>
      </c>
      <c r="K3348" s="320"/>
      <c r="L3348" s="178">
        <v>114.75</v>
      </c>
      <c r="M3348" s="178">
        <v>143</v>
      </c>
      <c r="N3348" s="179">
        <v>0</v>
      </c>
      <c r="O3348" s="178">
        <v>257.75</v>
      </c>
      <c r="P3348" s="453"/>
      <c r="Q3348" s="61"/>
      <c r="R3348" s="298"/>
      <c r="S3348" s="669"/>
      <c r="X3348" s="444">
        <v>3348</v>
      </c>
    </row>
    <row r="3349" spans="1:32" ht="12">
      <c r="A3349" s="83" t="s">
        <v>23791</v>
      </c>
      <c r="B3349" s="64" t="s">
        <v>23792</v>
      </c>
      <c r="C3349" s="71" t="s">
        <v>509</v>
      </c>
      <c r="D3349" s="79">
        <v>1</v>
      </c>
      <c r="E3349" s="79">
        <v>414.27</v>
      </c>
      <c r="F3349" s="79">
        <v>414.27</v>
      </c>
      <c r="G3349" s="445"/>
      <c r="H3349" s="178">
        <v>414.27</v>
      </c>
      <c r="I3349" s="178">
        <v>509.55</v>
      </c>
      <c r="J3349" s="70">
        <v>-95.28000000000003</v>
      </c>
      <c r="K3349" s="320"/>
      <c r="L3349" s="178">
        <v>114.75</v>
      </c>
      <c r="M3349" s="178">
        <v>299.52</v>
      </c>
      <c r="N3349" s="179">
        <v>0</v>
      </c>
      <c r="O3349" s="178">
        <v>414.27</v>
      </c>
      <c r="P3349" s="453"/>
      <c r="Q3349" s="61"/>
      <c r="R3349" s="298"/>
      <c r="S3349" s="669"/>
      <c r="X3349" s="444">
        <v>3349</v>
      </c>
    </row>
    <row r="3350" spans="1:32" ht="24">
      <c r="A3350" s="83" t="s">
        <v>23793</v>
      </c>
      <c r="B3350" s="64" t="s">
        <v>23794</v>
      </c>
      <c r="C3350" s="71" t="s">
        <v>509</v>
      </c>
      <c r="D3350" s="79">
        <v>1</v>
      </c>
      <c r="E3350" s="79">
        <v>451.71</v>
      </c>
      <c r="F3350" s="79">
        <v>451.71</v>
      </c>
      <c r="G3350" s="445"/>
      <c r="H3350" s="178">
        <v>451.71</v>
      </c>
      <c r="I3350" s="178">
        <v>555.6</v>
      </c>
      <c r="J3350" s="70">
        <v>-103.89000000000004</v>
      </c>
      <c r="K3350" s="320"/>
      <c r="L3350" s="178">
        <v>114.75</v>
      </c>
      <c r="M3350" s="178">
        <v>336.96</v>
      </c>
      <c r="N3350" s="179">
        <v>0</v>
      </c>
      <c r="O3350" s="178">
        <v>451.71</v>
      </c>
      <c r="P3350" s="453"/>
      <c r="Q3350" s="61"/>
      <c r="R3350" s="298"/>
      <c r="S3350" s="669"/>
      <c r="X3350" s="444">
        <v>3350</v>
      </c>
    </row>
    <row r="3351" spans="1:32" ht="12">
      <c r="A3351" s="83" t="s">
        <v>23795</v>
      </c>
      <c r="B3351" s="64" t="s">
        <v>23796</v>
      </c>
      <c r="C3351" s="71" t="s">
        <v>509</v>
      </c>
      <c r="D3351" s="79">
        <v>1</v>
      </c>
      <c r="E3351" s="79">
        <v>887.45</v>
      </c>
      <c r="F3351" s="79">
        <v>887.45</v>
      </c>
      <c r="G3351" s="445"/>
      <c r="H3351" s="178">
        <v>887.44</v>
      </c>
      <c r="I3351" s="178">
        <v>1091.55</v>
      </c>
      <c r="J3351" s="70">
        <v>-204.09999999999991</v>
      </c>
      <c r="K3351" s="320"/>
      <c r="L3351" s="178">
        <v>139.46</v>
      </c>
      <c r="M3351" s="178">
        <v>747.99</v>
      </c>
      <c r="N3351" s="179">
        <v>0</v>
      </c>
      <c r="O3351" s="178">
        <v>887.45</v>
      </c>
      <c r="P3351" s="453"/>
      <c r="Q3351" s="61"/>
      <c r="R3351" s="298"/>
      <c r="S3351" s="669"/>
      <c r="U3351" s="61"/>
      <c r="V3351" s="61"/>
      <c r="W3351" s="61"/>
      <c r="X3351" s="444">
        <v>3351</v>
      </c>
      <c r="Y3351" s="61"/>
      <c r="Z3351" s="61"/>
      <c r="AA3351" s="61"/>
      <c r="AB3351" s="61"/>
      <c r="AC3351" s="61"/>
      <c r="AD3351" s="61"/>
      <c r="AE3351" s="61"/>
      <c r="AF3351" s="61"/>
    </row>
    <row r="3352" spans="1:32" s="61" customFormat="1" ht="12">
      <c r="A3352" s="83" t="s">
        <v>23797</v>
      </c>
      <c r="B3352" s="64" t="s">
        <v>23798</v>
      </c>
      <c r="C3352" s="71" t="s">
        <v>509</v>
      </c>
      <c r="D3352" s="79">
        <v>1</v>
      </c>
      <c r="E3352" s="79">
        <v>510.12</v>
      </c>
      <c r="F3352" s="79">
        <v>510.12</v>
      </c>
      <c r="G3352" s="445"/>
      <c r="H3352" s="178">
        <v>510.11</v>
      </c>
      <c r="I3352" s="178">
        <v>627.44000000000005</v>
      </c>
      <c r="J3352" s="70">
        <v>-117.32000000000005</v>
      </c>
      <c r="K3352" s="320"/>
      <c r="L3352" s="178">
        <v>139.46</v>
      </c>
      <c r="M3352" s="178">
        <v>370.65999999999997</v>
      </c>
      <c r="N3352" s="179">
        <v>0</v>
      </c>
      <c r="O3352" s="178">
        <v>510.12</v>
      </c>
      <c r="P3352" s="453"/>
      <c r="R3352" s="298"/>
      <c r="S3352" s="669"/>
      <c r="T3352" s="444"/>
      <c r="X3352" s="444">
        <v>3352</v>
      </c>
    </row>
    <row r="3353" spans="1:32" s="61" customFormat="1" ht="12">
      <c r="A3353" s="83" t="s">
        <v>40074</v>
      </c>
      <c r="B3353" s="64" t="s">
        <v>40075</v>
      </c>
      <c r="C3353" s="71"/>
      <c r="D3353" s="79" t="s">
        <v>40899</v>
      </c>
      <c r="E3353" s="79" t="s">
        <v>40899</v>
      </c>
      <c r="F3353" s="79"/>
      <c r="G3353" s="445"/>
      <c r="H3353" s="178"/>
      <c r="I3353" s="178"/>
      <c r="J3353" s="70"/>
      <c r="K3353" s="320"/>
      <c r="L3353" s="178"/>
      <c r="M3353" s="178"/>
      <c r="N3353" s="179"/>
      <c r="O3353" s="178"/>
      <c r="P3353" s="453"/>
      <c r="R3353" s="298"/>
      <c r="S3353" s="669"/>
      <c r="T3353" s="444"/>
      <c r="U3353" s="444"/>
      <c r="V3353" s="444"/>
      <c r="W3353" s="444"/>
      <c r="X3353" s="444">
        <v>3353</v>
      </c>
      <c r="Y3353" s="444"/>
      <c r="Z3353" s="444"/>
      <c r="AA3353" s="444"/>
      <c r="AB3353" s="444"/>
      <c r="AC3353" s="444"/>
      <c r="AD3353" s="444"/>
      <c r="AE3353" s="444"/>
      <c r="AF3353" s="444"/>
    </row>
    <row r="3354" spans="1:32" ht="12">
      <c r="A3354" s="83" t="s">
        <v>23799</v>
      </c>
      <c r="B3354" s="64" t="s">
        <v>23800</v>
      </c>
      <c r="C3354" s="71" t="s">
        <v>509</v>
      </c>
      <c r="D3354" s="79">
        <v>1</v>
      </c>
      <c r="E3354" s="79">
        <v>328.26</v>
      </c>
      <c r="F3354" s="79">
        <v>328.26</v>
      </c>
      <c r="G3354" s="445"/>
      <c r="H3354" s="178">
        <v>328.24</v>
      </c>
      <c r="I3354" s="178">
        <v>403.74</v>
      </c>
      <c r="J3354" s="70">
        <v>-75.480000000000018</v>
      </c>
      <c r="K3354" s="320"/>
      <c r="L3354" s="178">
        <v>99.46</v>
      </c>
      <c r="M3354" s="178">
        <v>228.8</v>
      </c>
      <c r="N3354" s="179">
        <v>0</v>
      </c>
      <c r="O3354" s="178">
        <v>328.26</v>
      </c>
      <c r="P3354" s="453"/>
      <c r="Q3354" s="61"/>
      <c r="R3354" s="298"/>
      <c r="S3354" s="669"/>
      <c r="X3354" s="444">
        <v>3354</v>
      </c>
    </row>
    <row r="3355" spans="1:32" ht="12">
      <c r="A3355" s="83" t="s">
        <v>23801</v>
      </c>
      <c r="B3355" s="64" t="s">
        <v>23802</v>
      </c>
      <c r="C3355" s="71" t="s">
        <v>509</v>
      </c>
      <c r="D3355" s="79">
        <v>1</v>
      </c>
      <c r="E3355" s="79">
        <v>578.69000000000005</v>
      </c>
      <c r="F3355" s="79">
        <v>578.69000000000005</v>
      </c>
      <c r="G3355" s="445"/>
      <c r="H3355" s="178">
        <v>578.67999999999995</v>
      </c>
      <c r="I3355" s="178">
        <v>711.78</v>
      </c>
      <c r="J3355" s="70">
        <v>-133.08999999999992</v>
      </c>
      <c r="K3355" s="320"/>
      <c r="L3355" s="178">
        <v>99.46</v>
      </c>
      <c r="M3355" s="178">
        <v>479.23000000000008</v>
      </c>
      <c r="N3355" s="179">
        <v>0</v>
      </c>
      <c r="O3355" s="178">
        <v>578.69000000000005</v>
      </c>
      <c r="P3355" s="453"/>
      <c r="Q3355" s="61"/>
      <c r="R3355" s="298"/>
      <c r="S3355" s="669"/>
      <c r="X3355" s="444">
        <v>3355</v>
      </c>
    </row>
    <row r="3356" spans="1:32" ht="24">
      <c r="A3356" s="83" t="s">
        <v>23803</v>
      </c>
      <c r="B3356" s="64" t="s">
        <v>40076</v>
      </c>
      <c r="C3356" s="71" t="s">
        <v>509</v>
      </c>
      <c r="D3356" s="79">
        <v>1</v>
      </c>
      <c r="E3356" s="79">
        <v>638.6</v>
      </c>
      <c r="F3356" s="79">
        <v>638.6</v>
      </c>
      <c r="G3356" s="445"/>
      <c r="H3356" s="178">
        <v>638.59</v>
      </c>
      <c r="I3356" s="178">
        <v>785.46</v>
      </c>
      <c r="J3356" s="70">
        <v>-146.86000000000001</v>
      </c>
      <c r="K3356" s="320"/>
      <c r="L3356" s="178">
        <v>99.46</v>
      </c>
      <c r="M3356" s="178">
        <v>539.14</v>
      </c>
      <c r="N3356" s="179">
        <v>0</v>
      </c>
      <c r="O3356" s="178">
        <v>638.6</v>
      </c>
      <c r="P3356" s="453"/>
      <c r="Q3356" s="61"/>
      <c r="R3356" s="298"/>
      <c r="S3356" s="669"/>
      <c r="X3356" s="444">
        <v>3356</v>
      </c>
    </row>
    <row r="3357" spans="1:32" ht="24">
      <c r="A3357" s="83" t="s">
        <v>23804</v>
      </c>
      <c r="B3357" s="64" t="s">
        <v>23805</v>
      </c>
      <c r="C3357" s="71" t="s">
        <v>509</v>
      </c>
      <c r="D3357" s="79">
        <v>1</v>
      </c>
      <c r="E3357" s="79">
        <v>516.61</v>
      </c>
      <c r="F3357" s="79">
        <v>516.61</v>
      </c>
      <c r="G3357" s="445"/>
      <c r="H3357" s="178">
        <v>516.59</v>
      </c>
      <c r="I3357" s="178">
        <v>635.4</v>
      </c>
      <c r="J3357" s="70">
        <v>-118.78999999999996</v>
      </c>
      <c r="K3357" s="320"/>
      <c r="L3357" s="178">
        <v>102.53999999999999</v>
      </c>
      <c r="M3357" s="178">
        <v>414.07000000000005</v>
      </c>
      <c r="N3357" s="179">
        <v>0</v>
      </c>
      <c r="O3357" s="178">
        <v>516.61</v>
      </c>
      <c r="P3357" s="453"/>
      <c r="Q3357" s="61"/>
      <c r="R3357" s="298"/>
      <c r="S3357" s="669"/>
      <c r="X3357" s="444">
        <v>3357</v>
      </c>
    </row>
    <row r="3358" spans="1:32" ht="24">
      <c r="A3358" s="83" t="s">
        <v>23806</v>
      </c>
      <c r="B3358" s="64" t="s">
        <v>23807</v>
      </c>
      <c r="C3358" s="71" t="s">
        <v>509</v>
      </c>
      <c r="D3358" s="79">
        <v>1</v>
      </c>
      <c r="E3358" s="79">
        <v>954.87</v>
      </c>
      <c r="F3358" s="79">
        <v>954.87</v>
      </c>
      <c r="G3358" s="445"/>
      <c r="H3358" s="178">
        <v>954.85</v>
      </c>
      <c r="I3358" s="178">
        <v>1174.46</v>
      </c>
      <c r="J3358" s="70">
        <v>-219.59000000000003</v>
      </c>
      <c r="K3358" s="320"/>
      <c r="L3358" s="178">
        <v>102.53999999999999</v>
      </c>
      <c r="M3358" s="178">
        <v>852.33</v>
      </c>
      <c r="N3358" s="179">
        <v>0</v>
      </c>
      <c r="O3358" s="178">
        <v>954.87</v>
      </c>
      <c r="P3358" s="453"/>
      <c r="Q3358" s="61"/>
      <c r="R3358" s="298"/>
      <c r="S3358" s="669"/>
      <c r="U3358" s="73"/>
      <c r="V3358" s="73"/>
      <c r="W3358" s="73"/>
      <c r="X3358" s="444">
        <v>3358</v>
      </c>
      <c r="Y3358" s="73"/>
      <c r="Z3358" s="73"/>
      <c r="AA3358" s="73"/>
      <c r="AB3358" s="73"/>
      <c r="AC3358" s="73"/>
      <c r="AD3358" s="73"/>
      <c r="AE3358" s="73"/>
      <c r="AF3358" s="73"/>
    </row>
    <row r="3359" spans="1:32" s="73" customFormat="1" ht="24">
      <c r="A3359" s="83" t="s">
        <v>23808</v>
      </c>
      <c r="B3359" s="64" t="s">
        <v>23809</v>
      </c>
      <c r="C3359" s="71" t="s">
        <v>509</v>
      </c>
      <c r="D3359" s="79">
        <v>1</v>
      </c>
      <c r="E3359" s="79">
        <v>1059.7</v>
      </c>
      <c r="F3359" s="79">
        <v>1059.7</v>
      </c>
      <c r="G3359" s="445"/>
      <c r="H3359" s="178">
        <v>1059.67</v>
      </c>
      <c r="I3359" s="178">
        <v>1303.4000000000001</v>
      </c>
      <c r="J3359" s="70">
        <v>-243.70000000000005</v>
      </c>
      <c r="K3359" s="320"/>
      <c r="L3359" s="178">
        <v>102.53999999999999</v>
      </c>
      <c r="M3359" s="178">
        <v>957.16000000000008</v>
      </c>
      <c r="N3359" s="179">
        <v>0</v>
      </c>
      <c r="O3359" s="178">
        <v>1059.7</v>
      </c>
      <c r="P3359" s="453"/>
      <c r="Q3359" s="61"/>
      <c r="R3359" s="298"/>
      <c r="S3359" s="669"/>
      <c r="T3359" s="444"/>
      <c r="X3359" s="444">
        <v>3359</v>
      </c>
    </row>
    <row r="3360" spans="1:32" s="73" customFormat="1" ht="12">
      <c r="A3360" s="83" t="s">
        <v>23810</v>
      </c>
      <c r="B3360" s="64" t="s">
        <v>23811</v>
      </c>
      <c r="C3360" s="71" t="s">
        <v>509</v>
      </c>
      <c r="D3360" s="79">
        <v>1</v>
      </c>
      <c r="E3360" s="79">
        <v>53.31</v>
      </c>
      <c r="F3360" s="79">
        <v>53.31</v>
      </c>
      <c r="G3360" s="445"/>
      <c r="H3360" s="178">
        <v>53.3</v>
      </c>
      <c r="I3360" s="178">
        <v>65.56</v>
      </c>
      <c r="J3360" s="70">
        <v>-12.25</v>
      </c>
      <c r="K3360" s="320"/>
      <c r="L3360" s="178">
        <v>24.71</v>
      </c>
      <c r="M3360" s="178">
        <v>28.6</v>
      </c>
      <c r="N3360" s="179">
        <v>0</v>
      </c>
      <c r="O3360" s="178">
        <v>53.31</v>
      </c>
      <c r="P3360" s="453"/>
      <c r="Q3360" s="61"/>
      <c r="R3360" s="298"/>
      <c r="S3360" s="669"/>
      <c r="T3360" s="444"/>
      <c r="U3360" s="444"/>
      <c r="V3360" s="444"/>
      <c r="W3360" s="444"/>
      <c r="X3360" s="444">
        <v>3360</v>
      </c>
      <c r="Y3360" s="444"/>
      <c r="Z3360" s="444"/>
      <c r="AA3360" s="444"/>
      <c r="AB3360" s="444"/>
      <c r="AC3360" s="444"/>
      <c r="AD3360" s="444"/>
      <c r="AE3360" s="444"/>
      <c r="AF3360" s="444"/>
    </row>
    <row r="3361" spans="1:32" ht="24">
      <c r="A3361" s="83" t="s">
        <v>23812</v>
      </c>
      <c r="B3361" s="64" t="s">
        <v>23813</v>
      </c>
      <c r="C3361" s="71" t="s">
        <v>509</v>
      </c>
      <c r="D3361" s="79">
        <v>1</v>
      </c>
      <c r="E3361" s="79">
        <v>84.61</v>
      </c>
      <c r="F3361" s="79">
        <v>84.61</v>
      </c>
      <c r="G3361" s="445"/>
      <c r="H3361" s="178">
        <v>84.61</v>
      </c>
      <c r="I3361" s="178">
        <v>104.07</v>
      </c>
      <c r="J3361" s="70">
        <v>-19.459999999999994</v>
      </c>
      <c r="K3361" s="320"/>
      <c r="L3361" s="178">
        <v>24.71</v>
      </c>
      <c r="M3361" s="178">
        <v>59.9</v>
      </c>
      <c r="N3361" s="179">
        <v>0</v>
      </c>
      <c r="O3361" s="178">
        <v>84.61</v>
      </c>
      <c r="P3361" s="453"/>
      <c r="Q3361" s="61"/>
      <c r="R3361" s="298"/>
      <c r="S3361" s="669"/>
      <c r="X3361" s="444">
        <v>3361</v>
      </c>
    </row>
    <row r="3362" spans="1:32" ht="24">
      <c r="A3362" s="83" t="s">
        <v>23814</v>
      </c>
      <c r="B3362" s="64" t="s">
        <v>23815</v>
      </c>
      <c r="C3362" s="71" t="s">
        <v>509</v>
      </c>
      <c r="D3362" s="79">
        <v>1</v>
      </c>
      <c r="E3362" s="79">
        <v>92.1</v>
      </c>
      <c r="F3362" s="79">
        <v>92.1</v>
      </c>
      <c r="G3362" s="445"/>
      <c r="H3362" s="178">
        <v>92.1</v>
      </c>
      <c r="I3362" s="178">
        <v>113.28</v>
      </c>
      <c r="J3362" s="70">
        <v>-21.180000000000007</v>
      </c>
      <c r="K3362" s="320"/>
      <c r="L3362" s="178">
        <v>24.71</v>
      </c>
      <c r="M3362" s="178">
        <v>67.389999999999986</v>
      </c>
      <c r="N3362" s="179">
        <v>0</v>
      </c>
      <c r="O3362" s="178">
        <v>92.1</v>
      </c>
      <c r="P3362" s="453"/>
      <c r="Q3362" s="61"/>
      <c r="R3362" s="298"/>
      <c r="S3362" s="669"/>
      <c r="X3362" s="444">
        <v>3362</v>
      </c>
    </row>
    <row r="3363" spans="1:32" ht="12">
      <c r="A3363" s="83" t="s">
        <v>40077</v>
      </c>
      <c r="B3363" s="64" t="s">
        <v>40078</v>
      </c>
      <c r="C3363" s="71"/>
      <c r="D3363" s="79" t="s">
        <v>40899</v>
      </c>
      <c r="E3363" s="79" t="s">
        <v>40899</v>
      </c>
      <c r="F3363" s="79"/>
      <c r="G3363" s="445"/>
      <c r="H3363" s="178"/>
      <c r="I3363" s="178"/>
      <c r="J3363" s="70"/>
      <c r="K3363" s="320"/>
      <c r="L3363" s="178"/>
      <c r="M3363" s="178"/>
      <c r="N3363" s="179"/>
      <c r="O3363" s="178"/>
      <c r="P3363" s="453"/>
      <c r="Q3363" s="61"/>
      <c r="R3363" s="298"/>
      <c r="S3363" s="669"/>
      <c r="U3363" s="61"/>
      <c r="V3363" s="61"/>
      <c r="W3363" s="61"/>
      <c r="X3363" s="444">
        <v>3363</v>
      </c>
      <c r="Y3363" s="61"/>
      <c r="Z3363" s="61"/>
      <c r="AA3363" s="61"/>
      <c r="AB3363" s="61"/>
      <c r="AC3363" s="61"/>
      <c r="AD3363" s="61"/>
      <c r="AE3363" s="61"/>
      <c r="AF3363" s="61"/>
    </row>
    <row r="3364" spans="1:32" s="61" customFormat="1" ht="12">
      <c r="A3364" s="83" t="s">
        <v>23816</v>
      </c>
      <c r="B3364" s="64" t="s">
        <v>23817</v>
      </c>
      <c r="C3364" s="71" t="s">
        <v>509</v>
      </c>
      <c r="D3364" s="79">
        <v>1</v>
      </c>
      <c r="E3364" s="79">
        <v>296</v>
      </c>
      <c r="F3364" s="79">
        <v>296</v>
      </c>
      <c r="G3364" s="445"/>
      <c r="H3364" s="178">
        <v>296</v>
      </c>
      <c r="I3364" s="178">
        <v>364.08</v>
      </c>
      <c r="J3364" s="70">
        <v>-68.079999999999984</v>
      </c>
      <c r="K3364" s="320"/>
      <c r="L3364" s="178">
        <v>153</v>
      </c>
      <c r="M3364" s="178">
        <v>143</v>
      </c>
      <c r="N3364" s="179">
        <v>0</v>
      </c>
      <c r="O3364" s="178">
        <v>296</v>
      </c>
      <c r="P3364" s="453"/>
      <c r="R3364" s="298"/>
      <c r="S3364" s="669"/>
      <c r="T3364" s="444"/>
      <c r="U3364" s="444"/>
      <c r="V3364" s="444"/>
      <c r="W3364" s="444"/>
      <c r="X3364" s="444">
        <v>3364</v>
      </c>
      <c r="Y3364" s="444"/>
      <c r="Z3364" s="444"/>
      <c r="AA3364" s="444"/>
      <c r="AB3364" s="444"/>
      <c r="AC3364" s="444"/>
      <c r="AD3364" s="444"/>
      <c r="AE3364" s="444"/>
      <c r="AF3364" s="444"/>
    </row>
    <row r="3365" spans="1:32" ht="12">
      <c r="A3365" s="83" t="s">
        <v>23818</v>
      </c>
      <c r="B3365" s="64" t="s">
        <v>23819</v>
      </c>
      <c r="C3365" s="71" t="s">
        <v>509</v>
      </c>
      <c r="D3365" s="79">
        <v>1</v>
      </c>
      <c r="E3365" s="79">
        <v>452.52</v>
      </c>
      <c r="F3365" s="79">
        <v>452.52</v>
      </c>
      <c r="G3365" s="320"/>
      <c r="H3365" s="178">
        <v>452.52</v>
      </c>
      <c r="I3365" s="178">
        <v>556.6</v>
      </c>
      <c r="J3365" s="70">
        <v>-104.08000000000004</v>
      </c>
      <c r="K3365" s="320"/>
      <c r="L3365" s="178">
        <v>153</v>
      </c>
      <c r="M3365" s="178">
        <v>299.52</v>
      </c>
      <c r="N3365" s="179">
        <v>0</v>
      </c>
      <c r="O3365" s="178">
        <v>452.52</v>
      </c>
      <c r="P3365" s="453"/>
      <c r="Q3365" s="61"/>
      <c r="R3365" s="298"/>
      <c r="S3365" s="669"/>
      <c r="X3365" s="444">
        <v>3365</v>
      </c>
    </row>
    <row r="3366" spans="1:32" ht="12">
      <c r="A3366" s="83" t="s">
        <v>23820</v>
      </c>
      <c r="B3366" s="64" t="s">
        <v>23821</v>
      </c>
      <c r="C3366" s="71" t="s">
        <v>509</v>
      </c>
      <c r="D3366" s="79">
        <v>1</v>
      </c>
      <c r="E3366" s="79">
        <v>489.96</v>
      </c>
      <c r="F3366" s="79">
        <v>489.96</v>
      </c>
      <c r="G3366" s="320"/>
      <c r="H3366" s="178">
        <v>489.96</v>
      </c>
      <c r="I3366" s="178">
        <v>602.65</v>
      </c>
      <c r="J3366" s="70">
        <v>-112.69</v>
      </c>
      <c r="K3366" s="320"/>
      <c r="L3366" s="178">
        <v>153</v>
      </c>
      <c r="M3366" s="178">
        <v>336.96</v>
      </c>
      <c r="N3366" s="179">
        <v>0</v>
      </c>
      <c r="O3366" s="178">
        <v>489.96</v>
      </c>
      <c r="P3366" s="453"/>
      <c r="Q3366" s="61"/>
      <c r="R3366" s="298"/>
      <c r="S3366" s="669"/>
      <c r="X3366" s="444">
        <v>3366</v>
      </c>
    </row>
    <row r="3367" spans="1:32" ht="12">
      <c r="A3367" s="83" t="s">
        <v>23822</v>
      </c>
      <c r="B3367" s="64" t="s">
        <v>23823</v>
      </c>
      <c r="C3367" s="71" t="s">
        <v>509</v>
      </c>
      <c r="D3367" s="79">
        <v>1</v>
      </c>
      <c r="E3367" s="79">
        <v>925.69999999999993</v>
      </c>
      <c r="F3367" s="79">
        <v>925.7</v>
      </c>
      <c r="G3367" s="320"/>
      <c r="H3367" s="178">
        <v>925.69</v>
      </c>
      <c r="I3367" s="178">
        <v>1138.5999999999999</v>
      </c>
      <c r="J3367" s="70">
        <v>-212.89999999999998</v>
      </c>
      <c r="K3367" s="320"/>
      <c r="L3367" s="178">
        <v>177.70999999999998</v>
      </c>
      <c r="M3367" s="178">
        <v>747.99</v>
      </c>
      <c r="N3367" s="179">
        <v>0</v>
      </c>
      <c r="O3367" s="178">
        <v>925.7</v>
      </c>
      <c r="P3367" s="453"/>
      <c r="Q3367" s="61"/>
      <c r="R3367" s="298"/>
      <c r="S3367" s="669"/>
      <c r="X3367" s="444">
        <v>3367</v>
      </c>
    </row>
    <row r="3368" spans="1:32" ht="12">
      <c r="A3368" s="83" t="s">
        <v>23824</v>
      </c>
      <c r="B3368" s="64" t="s">
        <v>23825</v>
      </c>
      <c r="C3368" s="71" t="s">
        <v>6332</v>
      </c>
      <c r="D3368" s="79">
        <v>1</v>
      </c>
      <c r="E3368" s="79">
        <v>231.72000000000003</v>
      </c>
      <c r="F3368" s="79">
        <v>231.72</v>
      </c>
      <c r="G3368" s="445"/>
      <c r="H3368" s="178">
        <v>231.7</v>
      </c>
      <c r="I3368" s="178">
        <v>284.99</v>
      </c>
      <c r="J3368" s="70">
        <v>-53.269999999999982</v>
      </c>
      <c r="K3368" s="320"/>
      <c r="L3368" s="178">
        <v>11.190000000000001</v>
      </c>
      <c r="M3368" s="178">
        <v>220.53000000000003</v>
      </c>
      <c r="N3368" s="179">
        <v>0</v>
      </c>
      <c r="O3368" s="178">
        <v>231.72000000000003</v>
      </c>
      <c r="P3368" s="453"/>
      <c r="Q3368" s="61"/>
      <c r="R3368" s="298"/>
      <c r="S3368" s="669"/>
      <c r="X3368" s="444">
        <v>3368</v>
      </c>
    </row>
    <row r="3369" spans="1:32" ht="12">
      <c r="A3369" s="83" t="s">
        <v>40079</v>
      </c>
      <c r="B3369" s="64" t="s">
        <v>40080</v>
      </c>
      <c r="C3369" s="71"/>
      <c r="D3369" s="79" t="s">
        <v>40899</v>
      </c>
      <c r="E3369" s="79" t="s">
        <v>40899</v>
      </c>
      <c r="F3369" s="79"/>
      <c r="G3369" s="445"/>
      <c r="H3369" s="178"/>
      <c r="I3369" s="178"/>
      <c r="J3369" s="70"/>
      <c r="K3369" s="320"/>
      <c r="L3369" s="178"/>
      <c r="M3369" s="178"/>
      <c r="N3369" s="179"/>
      <c r="O3369" s="178"/>
      <c r="P3369" s="453"/>
      <c r="Q3369" s="61"/>
      <c r="R3369" s="298"/>
      <c r="S3369" s="669"/>
      <c r="X3369" s="444">
        <v>3369</v>
      </c>
    </row>
    <row r="3370" spans="1:32" ht="12">
      <c r="A3370" s="83" t="s">
        <v>23826</v>
      </c>
      <c r="B3370" s="64" t="s">
        <v>23827</v>
      </c>
      <c r="C3370" s="71" t="s">
        <v>121</v>
      </c>
      <c r="D3370" s="79">
        <v>1</v>
      </c>
      <c r="E3370" s="79">
        <v>4691.1099999999997</v>
      </c>
      <c r="F3370" s="79">
        <v>4691.1099999999997</v>
      </c>
      <c r="G3370" s="445"/>
      <c r="H3370" s="178">
        <v>4691.1099999999997</v>
      </c>
      <c r="I3370" s="178">
        <v>5770.06</v>
      </c>
      <c r="J3370" s="70">
        <v>-1078.9500000000007</v>
      </c>
      <c r="K3370" s="320"/>
      <c r="L3370" s="178">
        <v>889.51</v>
      </c>
      <c r="M3370" s="178">
        <v>3801.5999999999995</v>
      </c>
      <c r="N3370" s="179">
        <v>0</v>
      </c>
      <c r="O3370" s="178">
        <v>4691.1099999999997</v>
      </c>
      <c r="P3370" s="453"/>
      <c r="Q3370" s="61"/>
      <c r="R3370" s="298"/>
      <c r="S3370" s="669"/>
      <c r="T3370" s="61"/>
      <c r="X3370" s="444">
        <v>3370</v>
      </c>
    </row>
    <row r="3371" spans="1:32" ht="12">
      <c r="A3371" s="83" t="s">
        <v>23828</v>
      </c>
      <c r="B3371" s="64" t="s">
        <v>23829</v>
      </c>
      <c r="C3371" s="71" t="s">
        <v>121</v>
      </c>
      <c r="D3371" s="79">
        <v>1</v>
      </c>
      <c r="E3371" s="79">
        <v>4980.3599999999997</v>
      </c>
      <c r="F3371" s="79">
        <v>4980.3599999999997</v>
      </c>
      <c r="G3371" s="445"/>
      <c r="H3371" s="178">
        <v>4980.3500000000004</v>
      </c>
      <c r="I3371" s="178">
        <v>6125.83</v>
      </c>
      <c r="J3371" s="70">
        <v>-1145.4700000000003</v>
      </c>
      <c r="K3371" s="320"/>
      <c r="L3371" s="178">
        <v>1062.47</v>
      </c>
      <c r="M3371" s="178">
        <v>3917.8899999999994</v>
      </c>
      <c r="N3371" s="179">
        <v>0</v>
      </c>
      <c r="O3371" s="178">
        <v>4980.3599999999997</v>
      </c>
      <c r="P3371" s="453"/>
      <c r="Q3371" s="61"/>
      <c r="R3371" s="298"/>
      <c r="S3371" s="669"/>
      <c r="X3371" s="444">
        <v>3371</v>
      </c>
    </row>
    <row r="3372" spans="1:32" ht="12">
      <c r="A3372" s="83" t="s">
        <v>23830</v>
      </c>
      <c r="B3372" s="64" t="s">
        <v>23831</v>
      </c>
      <c r="C3372" s="71" t="s">
        <v>121</v>
      </c>
      <c r="D3372" s="79">
        <v>1</v>
      </c>
      <c r="E3372" s="79">
        <v>6725.76</v>
      </c>
      <c r="F3372" s="79">
        <v>6725.76</v>
      </c>
      <c r="G3372" s="445"/>
      <c r="H3372" s="178">
        <v>6725.76</v>
      </c>
      <c r="I3372" s="178">
        <v>8272.69</v>
      </c>
      <c r="J3372" s="70">
        <v>-1546.9300000000003</v>
      </c>
      <c r="K3372" s="320"/>
      <c r="L3372" s="178">
        <v>1989.03</v>
      </c>
      <c r="M3372" s="178">
        <v>4736.7300000000005</v>
      </c>
      <c r="N3372" s="179">
        <v>0</v>
      </c>
      <c r="O3372" s="178">
        <v>6725.76</v>
      </c>
      <c r="P3372" s="453"/>
      <c r="Q3372" s="61"/>
      <c r="R3372" s="298"/>
      <c r="S3372" s="669"/>
      <c r="X3372" s="444">
        <v>3372</v>
      </c>
    </row>
    <row r="3373" spans="1:32" ht="12">
      <c r="A3373" s="83" t="s">
        <v>23832</v>
      </c>
      <c r="B3373" s="64" t="s">
        <v>23833</v>
      </c>
      <c r="C3373" s="71" t="s">
        <v>509</v>
      </c>
      <c r="D3373" s="79">
        <v>1</v>
      </c>
      <c r="E3373" s="79">
        <v>372.27</v>
      </c>
      <c r="F3373" s="79">
        <v>372.27</v>
      </c>
      <c r="G3373" s="445"/>
      <c r="H3373" s="178">
        <v>372.26</v>
      </c>
      <c r="I3373" s="178">
        <v>457.88</v>
      </c>
      <c r="J3373" s="70">
        <v>-85.610000000000014</v>
      </c>
      <c r="K3373" s="320"/>
      <c r="L3373" s="178">
        <v>307.69</v>
      </c>
      <c r="M3373" s="178">
        <v>64.579999999999984</v>
      </c>
      <c r="N3373" s="179">
        <v>0</v>
      </c>
      <c r="O3373" s="178">
        <v>372.27</v>
      </c>
      <c r="P3373" s="453"/>
      <c r="Q3373" s="61"/>
      <c r="R3373" s="298"/>
      <c r="S3373" s="669"/>
      <c r="X3373" s="444">
        <v>3373</v>
      </c>
    </row>
    <row r="3374" spans="1:32" ht="12">
      <c r="A3374" s="83" t="s">
        <v>23834</v>
      </c>
      <c r="B3374" s="64" t="s">
        <v>23835</v>
      </c>
      <c r="C3374" s="71" t="s">
        <v>509</v>
      </c>
      <c r="D3374" s="79">
        <v>1</v>
      </c>
      <c r="E3374" s="79">
        <v>10.57</v>
      </c>
      <c r="F3374" s="79">
        <v>10.57</v>
      </c>
      <c r="G3374" s="445"/>
      <c r="H3374" s="178">
        <v>10.58</v>
      </c>
      <c r="I3374" s="178">
        <v>13.01</v>
      </c>
      <c r="J3374" s="70">
        <v>-2.4399999999999995</v>
      </c>
      <c r="K3374" s="320"/>
      <c r="L3374" s="178">
        <v>8.92</v>
      </c>
      <c r="M3374" s="178">
        <v>1.6500000000000004</v>
      </c>
      <c r="N3374" s="179">
        <v>0</v>
      </c>
      <c r="O3374" s="178">
        <v>10.57</v>
      </c>
      <c r="P3374" s="453"/>
      <c r="Q3374" s="61"/>
      <c r="R3374" s="298"/>
      <c r="S3374" s="669"/>
      <c r="T3374" s="61"/>
      <c r="X3374" s="444">
        <v>3374</v>
      </c>
    </row>
    <row r="3375" spans="1:32" ht="12">
      <c r="A3375" s="83" t="s">
        <v>12282</v>
      </c>
      <c r="B3375" s="64" t="s">
        <v>40081</v>
      </c>
      <c r="C3375" s="71"/>
      <c r="D3375" s="79" t="s">
        <v>40899</v>
      </c>
      <c r="E3375" s="79" t="s">
        <v>40899</v>
      </c>
      <c r="F3375" s="79"/>
      <c r="G3375" s="445"/>
      <c r="H3375" s="178"/>
      <c r="I3375" s="178"/>
      <c r="J3375" s="70"/>
      <c r="K3375" s="320"/>
      <c r="L3375" s="178"/>
      <c r="M3375" s="178"/>
      <c r="N3375" s="179"/>
      <c r="O3375" s="178"/>
      <c r="P3375" s="453"/>
      <c r="Q3375" s="61"/>
      <c r="R3375" s="298"/>
      <c r="S3375" s="669"/>
      <c r="X3375" s="444">
        <v>3375</v>
      </c>
    </row>
    <row r="3376" spans="1:32" ht="12">
      <c r="A3376" s="83" t="s">
        <v>23836</v>
      </c>
      <c r="B3376" s="64" t="s">
        <v>23837</v>
      </c>
      <c r="C3376" s="71" t="s">
        <v>165</v>
      </c>
      <c r="D3376" s="79">
        <v>1</v>
      </c>
      <c r="E3376" s="79">
        <v>6.41</v>
      </c>
      <c r="F3376" s="79">
        <v>6.41</v>
      </c>
      <c r="G3376" s="445"/>
      <c r="H3376" s="178">
        <v>6.4</v>
      </c>
      <c r="I3376" s="178">
        <v>7.87</v>
      </c>
      <c r="J3376" s="70">
        <v>-1.46</v>
      </c>
      <c r="K3376" s="320"/>
      <c r="L3376" s="178">
        <v>5.59</v>
      </c>
      <c r="M3376" s="178">
        <v>0.82000000000000028</v>
      </c>
      <c r="N3376" s="179">
        <v>0</v>
      </c>
      <c r="O3376" s="178">
        <v>6.41</v>
      </c>
      <c r="P3376" s="453"/>
      <c r="Q3376" s="61"/>
      <c r="R3376" s="298"/>
      <c r="S3376" s="669"/>
      <c r="T3376" s="61"/>
      <c r="X3376" s="444">
        <v>3376</v>
      </c>
    </row>
    <row r="3377" spans="1:32" ht="12">
      <c r="A3377" s="83" t="s">
        <v>23838</v>
      </c>
      <c r="B3377" s="64" t="s">
        <v>23839</v>
      </c>
      <c r="C3377" s="71" t="s">
        <v>121</v>
      </c>
      <c r="D3377" s="79">
        <v>1</v>
      </c>
      <c r="E3377" s="79">
        <v>1486.3100000000002</v>
      </c>
      <c r="F3377" s="79">
        <v>1486.31</v>
      </c>
      <c r="G3377" s="445"/>
      <c r="H3377" s="178">
        <v>1486.3</v>
      </c>
      <c r="I3377" s="178">
        <v>1828.15</v>
      </c>
      <c r="J3377" s="70">
        <v>-341.83999999999992</v>
      </c>
      <c r="K3377" s="320"/>
      <c r="L3377" s="178">
        <v>741.26</v>
      </c>
      <c r="M3377" s="178">
        <v>745.05000000000018</v>
      </c>
      <c r="N3377" s="179">
        <v>0</v>
      </c>
      <c r="O3377" s="178">
        <v>1486.3100000000002</v>
      </c>
      <c r="P3377" s="453"/>
      <c r="Q3377" s="61"/>
      <c r="R3377" s="298"/>
      <c r="S3377" s="669"/>
      <c r="T3377" s="61"/>
      <c r="X3377" s="444">
        <v>3377</v>
      </c>
    </row>
    <row r="3378" spans="1:32" ht="12">
      <c r="A3378" s="83" t="s">
        <v>40082</v>
      </c>
      <c r="B3378" s="64" t="s">
        <v>40083</v>
      </c>
      <c r="C3378" s="71"/>
      <c r="D3378" s="79" t="s">
        <v>40899</v>
      </c>
      <c r="E3378" s="79" t="s">
        <v>40899</v>
      </c>
      <c r="F3378" s="79"/>
      <c r="G3378" s="445"/>
      <c r="H3378" s="178"/>
      <c r="I3378" s="178"/>
      <c r="J3378" s="70"/>
      <c r="K3378" s="320"/>
      <c r="L3378" s="178"/>
      <c r="M3378" s="178"/>
      <c r="N3378" s="179"/>
      <c r="O3378" s="178"/>
      <c r="P3378" s="453"/>
      <c r="Q3378" s="61"/>
      <c r="R3378" s="298"/>
      <c r="S3378" s="669"/>
      <c r="X3378" s="444">
        <v>3378</v>
      </c>
    </row>
    <row r="3379" spans="1:32" ht="12">
      <c r="A3379" s="83" t="s">
        <v>23840</v>
      </c>
      <c r="B3379" s="64" t="s">
        <v>23841</v>
      </c>
      <c r="C3379" s="71" t="s">
        <v>207</v>
      </c>
      <c r="D3379" s="79">
        <v>1</v>
      </c>
      <c r="E3379" s="79">
        <v>15.030000000000001</v>
      </c>
      <c r="F3379" s="79">
        <v>15.03</v>
      </c>
      <c r="G3379" s="445"/>
      <c r="H3379" s="178">
        <v>15.04</v>
      </c>
      <c r="I3379" s="178">
        <v>18.5</v>
      </c>
      <c r="J3379" s="70">
        <v>-3.4699999999999989</v>
      </c>
      <c r="K3379" s="320"/>
      <c r="L3379" s="178">
        <v>8.41</v>
      </c>
      <c r="M3379" s="178">
        <v>6.620000000000001</v>
      </c>
      <c r="N3379" s="179">
        <v>0</v>
      </c>
      <c r="O3379" s="178">
        <v>15.030000000000001</v>
      </c>
      <c r="P3379" s="453"/>
      <c r="Q3379" s="61"/>
      <c r="R3379" s="298"/>
      <c r="S3379" s="669"/>
      <c r="T3379" s="61"/>
      <c r="X3379" s="444">
        <v>3379</v>
      </c>
    </row>
    <row r="3380" spans="1:32" ht="12">
      <c r="A3380" s="83" t="s">
        <v>23842</v>
      </c>
      <c r="B3380" s="64" t="s">
        <v>23843</v>
      </c>
      <c r="C3380" s="71" t="s">
        <v>103</v>
      </c>
      <c r="D3380" s="79">
        <v>1</v>
      </c>
      <c r="E3380" s="79">
        <v>19.059999999999999</v>
      </c>
      <c r="F3380" s="79">
        <v>19.059999999999999</v>
      </c>
      <c r="G3380" s="445"/>
      <c r="H3380" s="178">
        <v>19.05</v>
      </c>
      <c r="I3380" s="178">
        <v>23.43</v>
      </c>
      <c r="J3380" s="70">
        <v>-4.370000000000001</v>
      </c>
      <c r="K3380" s="320"/>
      <c r="L3380" s="178">
        <v>12.32</v>
      </c>
      <c r="M3380" s="178">
        <v>6.7399999999999984</v>
      </c>
      <c r="N3380" s="179">
        <v>0</v>
      </c>
      <c r="O3380" s="178">
        <v>19.059999999999999</v>
      </c>
      <c r="P3380" s="453"/>
      <c r="Q3380" s="61"/>
      <c r="R3380" s="298"/>
      <c r="S3380" s="669"/>
      <c r="T3380" s="61"/>
      <c r="X3380" s="444">
        <v>3380</v>
      </c>
    </row>
    <row r="3381" spans="1:32" ht="12">
      <c r="A3381" s="83" t="s">
        <v>40084</v>
      </c>
      <c r="B3381" s="64" t="s">
        <v>40085</v>
      </c>
      <c r="C3381" s="71"/>
      <c r="D3381" s="79" t="s">
        <v>40899</v>
      </c>
      <c r="E3381" s="79" t="s">
        <v>40899</v>
      </c>
      <c r="F3381" s="79"/>
      <c r="G3381" s="445"/>
      <c r="H3381" s="178"/>
      <c r="I3381" s="178"/>
      <c r="J3381" s="70"/>
      <c r="K3381" s="320"/>
      <c r="L3381" s="178"/>
      <c r="M3381" s="178"/>
      <c r="N3381" s="179"/>
      <c r="O3381" s="178"/>
      <c r="P3381" s="453"/>
      <c r="Q3381" s="61"/>
      <c r="R3381" s="298"/>
      <c r="S3381" s="669"/>
      <c r="X3381" s="444">
        <v>3381</v>
      </c>
    </row>
    <row r="3382" spans="1:32" ht="12">
      <c r="A3382" s="83" t="s">
        <v>23844</v>
      </c>
      <c r="B3382" s="64" t="s">
        <v>23845</v>
      </c>
      <c r="C3382" s="71" t="s">
        <v>165</v>
      </c>
      <c r="D3382" s="79">
        <v>1</v>
      </c>
      <c r="E3382" s="79">
        <v>444.15</v>
      </c>
      <c r="F3382" s="79">
        <v>444.15</v>
      </c>
      <c r="G3382" s="445"/>
      <c r="H3382" s="178">
        <v>444.13</v>
      </c>
      <c r="I3382" s="178">
        <v>546.28</v>
      </c>
      <c r="J3382" s="70">
        <v>-102.13</v>
      </c>
      <c r="K3382" s="320"/>
      <c r="L3382" s="178">
        <v>76.37</v>
      </c>
      <c r="M3382" s="178">
        <v>367.78</v>
      </c>
      <c r="N3382" s="179">
        <v>0</v>
      </c>
      <c r="O3382" s="178">
        <v>444.15</v>
      </c>
      <c r="P3382" s="453"/>
      <c r="Q3382" s="61"/>
      <c r="R3382" s="298"/>
      <c r="S3382" s="669"/>
      <c r="T3382" s="61"/>
      <c r="U3382" s="73"/>
      <c r="V3382" s="73"/>
      <c r="W3382" s="73"/>
      <c r="X3382" s="444">
        <v>3382</v>
      </c>
      <c r="Y3382" s="73"/>
      <c r="Z3382" s="73"/>
      <c r="AA3382" s="73"/>
      <c r="AB3382" s="73"/>
      <c r="AC3382" s="73"/>
      <c r="AD3382" s="73"/>
      <c r="AE3382" s="73"/>
      <c r="AF3382" s="73"/>
    </row>
    <row r="3383" spans="1:32" s="73" customFormat="1" ht="12">
      <c r="A3383" s="83" t="s">
        <v>23846</v>
      </c>
      <c r="B3383" s="64" t="s">
        <v>40086</v>
      </c>
      <c r="C3383" s="71" t="s">
        <v>165</v>
      </c>
      <c r="D3383" s="79">
        <v>1</v>
      </c>
      <c r="E3383" s="79">
        <v>147.66</v>
      </c>
      <c r="F3383" s="79">
        <v>147.66</v>
      </c>
      <c r="G3383" s="445"/>
      <c r="H3383" s="178">
        <v>147.63</v>
      </c>
      <c r="I3383" s="178">
        <v>181.58</v>
      </c>
      <c r="J3383" s="70">
        <v>-33.920000000000016</v>
      </c>
      <c r="K3383" s="320"/>
      <c r="L3383" s="178">
        <v>38.96</v>
      </c>
      <c r="M3383" s="178">
        <v>108.69999999999999</v>
      </c>
      <c r="N3383" s="179">
        <v>0</v>
      </c>
      <c r="O3383" s="178">
        <v>147.66</v>
      </c>
      <c r="P3383" s="453"/>
      <c r="Q3383" s="61"/>
      <c r="R3383" s="298"/>
      <c r="S3383" s="669"/>
      <c r="T3383" s="61"/>
      <c r="X3383" s="444">
        <v>3383</v>
      </c>
    </row>
    <row r="3384" spans="1:32" s="73" customFormat="1" ht="12">
      <c r="A3384" s="83" t="s">
        <v>23847</v>
      </c>
      <c r="B3384" s="64" t="s">
        <v>23848</v>
      </c>
      <c r="C3384" s="71" t="s">
        <v>165</v>
      </c>
      <c r="D3384" s="79">
        <v>1</v>
      </c>
      <c r="E3384" s="79">
        <v>198.25</v>
      </c>
      <c r="F3384" s="79">
        <v>198.25</v>
      </c>
      <c r="G3384" s="445"/>
      <c r="H3384" s="178">
        <v>198.23</v>
      </c>
      <c r="I3384" s="178">
        <v>243.82</v>
      </c>
      <c r="J3384" s="70">
        <v>-45.569999999999993</v>
      </c>
      <c r="K3384" s="320"/>
      <c r="L3384" s="178">
        <v>38.96</v>
      </c>
      <c r="M3384" s="178">
        <v>159.29</v>
      </c>
      <c r="N3384" s="179">
        <v>0</v>
      </c>
      <c r="O3384" s="178">
        <v>198.25</v>
      </c>
      <c r="P3384" s="453"/>
      <c r="Q3384" s="61"/>
      <c r="R3384" s="298"/>
      <c r="S3384" s="669"/>
      <c r="T3384" s="61"/>
      <c r="U3384" s="444"/>
      <c r="V3384" s="444"/>
      <c r="W3384" s="444"/>
      <c r="X3384" s="444">
        <v>3384</v>
      </c>
      <c r="Y3384" s="444"/>
      <c r="Z3384" s="444"/>
      <c r="AA3384" s="444"/>
      <c r="AB3384" s="444"/>
      <c r="AC3384" s="444"/>
      <c r="AD3384" s="444"/>
      <c r="AE3384" s="444"/>
      <c r="AF3384" s="444"/>
    </row>
    <row r="3385" spans="1:32" ht="12">
      <c r="A3385" s="83" t="s">
        <v>23849</v>
      </c>
      <c r="B3385" s="64" t="s">
        <v>23850</v>
      </c>
      <c r="C3385" s="71" t="s">
        <v>509</v>
      </c>
      <c r="D3385" s="79">
        <v>1</v>
      </c>
      <c r="E3385" s="79">
        <v>16.98</v>
      </c>
      <c r="F3385" s="79">
        <v>16.98</v>
      </c>
      <c r="G3385" s="445"/>
      <c r="H3385" s="178">
        <v>16.98</v>
      </c>
      <c r="I3385" s="178">
        <v>20.89</v>
      </c>
      <c r="J3385" s="70">
        <v>-3.91</v>
      </c>
      <c r="K3385" s="320"/>
      <c r="L3385" s="178">
        <v>13.34</v>
      </c>
      <c r="M3385" s="178">
        <v>3.6400000000000006</v>
      </c>
      <c r="N3385" s="179">
        <v>0</v>
      </c>
      <c r="O3385" s="178">
        <v>16.98</v>
      </c>
      <c r="P3385" s="453"/>
      <c r="Q3385" s="61"/>
      <c r="R3385" s="298"/>
      <c r="S3385" s="669"/>
      <c r="X3385" s="444">
        <v>3385</v>
      </c>
    </row>
    <row r="3386" spans="1:32" ht="12">
      <c r="A3386" s="83" t="s">
        <v>40087</v>
      </c>
      <c r="B3386" s="64" t="s">
        <v>40088</v>
      </c>
      <c r="C3386" s="71"/>
      <c r="D3386" s="79" t="s">
        <v>40899</v>
      </c>
      <c r="E3386" s="79" t="s">
        <v>40899</v>
      </c>
      <c r="F3386" s="79"/>
      <c r="G3386" s="445"/>
      <c r="H3386" s="178"/>
      <c r="I3386" s="178"/>
      <c r="J3386" s="70"/>
      <c r="K3386" s="320"/>
      <c r="L3386" s="178"/>
      <c r="M3386" s="178"/>
      <c r="N3386" s="179"/>
      <c r="O3386" s="178"/>
      <c r="P3386" s="453"/>
      <c r="Q3386" s="61"/>
      <c r="R3386" s="298"/>
      <c r="S3386" s="669"/>
      <c r="X3386" s="444">
        <v>3386</v>
      </c>
    </row>
    <row r="3387" spans="1:32" ht="12">
      <c r="A3387" s="83" t="s">
        <v>23851</v>
      </c>
      <c r="B3387" s="64" t="s">
        <v>23852</v>
      </c>
      <c r="C3387" s="71" t="s">
        <v>103</v>
      </c>
      <c r="D3387" s="79">
        <v>1</v>
      </c>
      <c r="E3387" s="79">
        <v>11.74</v>
      </c>
      <c r="F3387" s="79">
        <v>11.74</v>
      </c>
      <c r="G3387" s="445"/>
      <c r="H3387" s="178">
        <v>11.74</v>
      </c>
      <c r="I3387" s="178">
        <v>14.44</v>
      </c>
      <c r="J3387" s="70">
        <v>-2.6999999999999993</v>
      </c>
      <c r="K3387" s="320"/>
      <c r="L3387" s="178">
        <v>8.48</v>
      </c>
      <c r="M3387" s="178">
        <v>3.26</v>
      </c>
      <c r="N3387" s="179">
        <v>0</v>
      </c>
      <c r="O3387" s="178">
        <v>11.74</v>
      </c>
      <c r="P3387" s="453"/>
      <c r="Q3387" s="61"/>
      <c r="R3387" s="298"/>
      <c r="S3387" s="669"/>
      <c r="X3387" s="444">
        <v>3387</v>
      </c>
    </row>
    <row r="3388" spans="1:32" ht="12">
      <c r="A3388" s="83" t="s">
        <v>23853</v>
      </c>
      <c r="B3388" s="64" t="s">
        <v>23854</v>
      </c>
      <c r="C3388" s="71" t="s">
        <v>103</v>
      </c>
      <c r="D3388" s="79">
        <v>1</v>
      </c>
      <c r="E3388" s="79">
        <v>34.46</v>
      </c>
      <c r="F3388" s="79">
        <v>34.46</v>
      </c>
      <c r="G3388" s="445"/>
      <c r="H3388" s="178">
        <v>34.450000000000003</v>
      </c>
      <c r="I3388" s="178">
        <v>42.37</v>
      </c>
      <c r="J3388" s="70">
        <v>-7.9099999999999966</v>
      </c>
      <c r="K3388" s="320"/>
      <c r="L3388" s="178">
        <v>21.45</v>
      </c>
      <c r="M3388" s="178">
        <v>13.010000000000002</v>
      </c>
      <c r="N3388" s="179">
        <v>0</v>
      </c>
      <c r="O3388" s="178">
        <v>34.46</v>
      </c>
      <c r="P3388" s="453"/>
      <c r="Q3388" s="61"/>
      <c r="R3388" s="298"/>
      <c r="S3388" s="669"/>
      <c r="X3388" s="444">
        <v>3388</v>
      </c>
    </row>
    <row r="3389" spans="1:32" ht="12">
      <c r="A3389" s="83" t="s">
        <v>23855</v>
      </c>
      <c r="B3389" s="64" t="s">
        <v>23856</v>
      </c>
      <c r="C3389" s="71" t="s">
        <v>103</v>
      </c>
      <c r="D3389" s="79">
        <v>1</v>
      </c>
      <c r="E3389" s="79">
        <v>20.07</v>
      </c>
      <c r="F3389" s="79">
        <v>20.07</v>
      </c>
      <c r="G3389" s="445"/>
      <c r="H3389" s="178">
        <v>20.059999999999999</v>
      </c>
      <c r="I3389" s="178">
        <v>24.67</v>
      </c>
      <c r="J3389" s="70">
        <v>-4.6000000000000014</v>
      </c>
      <c r="K3389" s="320"/>
      <c r="L3389" s="178">
        <v>6.7</v>
      </c>
      <c r="M3389" s="178">
        <v>13.370000000000001</v>
      </c>
      <c r="N3389" s="179">
        <v>0</v>
      </c>
      <c r="O3389" s="178">
        <v>20.07</v>
      </c>
      <c r="P3389" s="453"/>
      <c r="Q3389" s="61"/>
      <c r="R3389" s="298"/>
      <c r="S3389" s="669"/>
      <c r="X3389" s="444">
        <v>3389</v>
      </c>
    </row>
    <row r="3390" spans="1:32" ht="12">
      <c r="A3390" s="83" t="s">
        <v>23857</v>
      </c>
      <c r="B3390" s="64" t="s">
        <v>23858</v>
      </c>
      <c r="C3390" s="71" t="s">
        <v>103</v>
      </c>
      <c r="D3390" s="79">
        <v>1</v>
      </c>
      <c r="E3390" s="79">
        <v>10.620000000000001</v>
      </c>
      <c r="F3390" s="79">
        <v>10.62</v>
      </c>
      <c r="G3390" s="445"/>
      <c r="H3390" s="178">
        <v>10.62</v>
      </c>
      <c r="I3390" s="178">
        <v>13.06</v>
      </c>
      <c r="J3390" s="70">
        <v>-2.4399999999999995</v>
      </c>
      <c r="K3390" s="320"/>
      <c r="L3390" s="178">
        <v>7.8100000000000005</v>
      </c>
      <c r="M3390" s="178">
        <v>2.8100000000000005</v>
      </c>
      <c r="N3390" s="179">
        <v>0</v>
      </c>
      <c r="O3390" s="178">
        <v>10.620000000000001</v>
      </c>
      <c r="P3390" s="453"/>
      <c r="Q3390" s="61"/>
      <c r="R3390" s="298"/>
      <c r="S3390" s="669"/>
      <c r="X3390" s="444">
        <v>3390</v>
      </c>
    </row>
    <row r="3391" spans="1:32" ht="12">
      <c r="A3391" s="83" t="s">
        <v>23859</v>
      </c>
      <c r="B3391" s="64" t="s">
        <v>23860</v>
      </c>
      <c r="C3391" s="71" t="s">
        <v>103</v>
      </c>
      <c r="D3391" s="79">
        <v>1</v>
      </c>
      <c r="E3391" s="79">
        <v>29.21</v>
      </c>
      <c r="F3391" s="79">
        <v>29.21</v>
      </c>
      <c r="G3391" s="445"/>
      <c r="H3391" s="178">
        <v>29.2</v>
      </c>
      <c r="I3391" s="178">
        <v>35.92</v>
      </c>
      <c r="J3391" s="70">
        <v>-6.7100000000000009</v>
      </c>
      <c r="K3391" s="320"/>
      <c r="L3391" s="178">
        <v>20.09</v>
      </c>
      <c r="M3391" s="178">
        <v>9.120000000000001</v>
      </c>
      <c r="N3391" s="179">
        <v>0</v>
      </c>
      <c r="O3391" s="178">
        <v>29.21</v>
      </c>
      <c r="P3391" s="453"/>
      <c r="Q3391" s="61"/>
      <c r="R3391" s="298"/>
      <c r="S3391" s="669"/>
      <c r="X3391" s="444">
        <v>3391</v>
      </c>
    </row>
    <row r="3392" spans="1:32" ht="12">
      <c r="A3392" s="83" t="s">
        <v>23861</v>
      </c>
      <c r="B3392" s="64" t="s">
        <v>23862</v>
      </c>
      <c r="C3392" s="71" t="s">
        <v>103</v>
      </c>
      <c r="D3392" s="79">
        <v>1</v>
      </c>
      <c r="E3392" s="79">
        <v>18.399999999999999</v>
      </c>
      <c r="F3392" s="79">
        <v>18.399999999999999</v>
      </c>
      <c r="G3392" s="445"/>
      <c r="H3392" s="178">
        <v>18.38</v>
      </c>
      <c r="I3392" s="178">
        <v>22.61</v>
      </c>
      <c r="J3392" s="70">
        <v>-4.2100000000000009</v>
      </c>
      <c r="K3392" s="320"/>
      <c r="L3392" s="178">
        <v>6.04</v>
      </c>
      <c r="M3392" s="178">
        <v>12.36</v>
      </c>
      <c r="N3392" s="179">
        <v>0</v>
      </c>
      <c r="O3392" s="178">
        <v>18.399999999999999</v>
      </c>
      <c r="P3392" s="453"/>
      <c r="Q3392" s="61"/>
      <c r="R3392" s="298"/>
      <c r="S3392" s="669"/>
      <c r="X3392" s="444">
        <v>3392</v>
      </c>
    </row>
    <row r="3393" spans="1:32" ht="12">
      <c r="A3393" s="83" t="s">
        <v>23863</v>
      </c>
      <c r="B3393" s="64" t="s">
        <v>23864</v>
      </c>
      <c r="C3393" s="71" t="s">
        <v>103</v>
      </c>
      <c r="D3393" s="79">
        <v>1</v>
      </c>
      <c r="E3393" s="79">
        <v>7.3000000000000007</v>
      </c>
      <c r="F3393" s="79">
        <v>7.3</v>
      </c>
      <c r="G3393" s="445"/>
      <c r="H3393" s="178">
        <v>7.28</v>
      </c>
      <c r="I3393" s="178">
        <v>8.9499999999999993</v>
      </c>
      <c r="J3393" s="70">
        <v>-1.6499999999999986</v>
      </c>
      <c r="K3393" s="320"/>
      <c r="L3393" s="178">
        <v>6.04</v>
      </c>
      <c r="M3393" s="178">
        <v>1.2600000000000007</v>
      </c>
      <c r="N3393" s="179">
        <v>0</v>
      </c>
      <c r="O3393" s="178">
        <v>7.3000000000000007</v>
      </c>
      <c r="P3393" s="453"/>
      <c r="Q3393" s="61"/>
      <c r="R3393" s="298"/>
      <c r="S3393" s="669"/>
      <c r="T3393" s="73"/>
      <c r="X3393" s="444">
        <v>3393</v>
      </c>
    </row>
    <row r="3394" spans="1:32" ht="12">
      <c r="A3394" s="83" t="s">
        <v>23865</v>
      </c>
      <c r="B3394" s="64" t="s">
        <v>23866</v>
      </c>
      <c r="C3394" s="71" t="s">
        <v>103</v>
      </c>
      <c r="D3394" s="79">
        <v>1</v>
      </c>
      <c r="E3394" s="79">
        <v>23.08</v>
      </c>
      <c r="F3394" s="79">
        <v>23.08</v>
      </c>
      <c r="G3394" s="445"/>
      <c r="H3394" s="178">
        <v>23.07</v>
      </c>
      <c r="I3394" s="178">
        <v>28.38</v>
      </c>
      <c r="J3394" s="70">
        <v>-5.3000000000000007</v>
      </c>
      <c r="K3394" s="320"/>
      <c r="L3394" s="178">
        <v>18.09</v>
      </c>
      <c r="M3394" s="178">
        <v>4.9899999999999984</v>
      </c>
      <c r="N3394" s="179">
        <v>0</v>
      </c>
      <c r="O3394" s="178">
        <v>23.08</v>
      </c>
      <c r="P3394" s="453"/>
      <c r="Q3394" s="61"/>
      <c r="R3394" s="298"/>
      <c r="S3394" s="669"/>
      <c r="T3394" s="73"/>
      <c r="X3394" s="444">
        <v>3394</v>
      </c>
    </row>
    <row r="3395" spans="1:32" ht="12">
      <c r="A3395" s="83" t="s">
        <v>23867</v>
      </c>
      <c r="B3395" s="64" t="s">
        <v>23868</v>
      </c>
      <c r="C3395" s="71" t="s">
        <v>103</v>
      </c>
      <c r="D3395" s="79">
        <v>1</v>
      </c>
      <c r="E3395" s="79">
        <v>16.350000000000001</v>
      </c>
      <c r="F3395" s="79">
        <v>16.350000000000001</v>
      </c>
      <c r="G3395" s="445"/>
      <c r="H3395" s="178">
        <v>16.329999999999998</v>
      </c>
      <c r="I3395" s="178">
        <v>20.09</v>
      </c>
      <c r="J3395" s="70">
        <v>-3.7399999999999984</v>
      </c>
      <c r="K3395" s="320"/>
      <c r="L3395" s="178">
        <v>5.59</v>
      </c>
      <c r="M3395" s="178">
        <v>10.760000000000002</v>
      </c>
      <c r="N3395" s="179">
        <v>0</v>
      </c>
      <c r="O3395" s="178">
        <v>16.350000000000001</v>
      </c>
      <c r="P3395" s="453"/>
      <c r="Q3395" s="61"/>
      <c r="R3395" s="298"/>
      <c r="S3395" s="669"/>
      <c r="T3395" s="73"/>
      <c r="X3395" s="444">
        <v>3395</v>
      </c>
    </row>
    <row r="3396" spans="1:32" ht="12">
      <c r="A3396" s="83" t="s">
        <v>23869</v>
      </c>
      <c r="B3396" s="64" t="s">
        <v>23870</v>
      </c>
      <c r="C3396" s="71" t="s">
        <v>103</v>
      </c>
      <c r="D3396" s="79">
        <v>1</v>
      </c>
      <c r="E3396" s="79">
        <v>6.23</v>
      </c>
      <c r="F3396" s="79">
        <v>6.23</v>
      </c>
      <c r="G3396" s="445"/>
      <c r="H3396" s="178">
        <v>6.23</v>
      </c>
      <c r="I3396" s="178">
        <v>7.66</v>
      </c>
      <c r="J3396" s="70">
        <v>-1.4299999999999997</v>
      </c>
      <c r="K3396" s="320"/>
      <c r="L3396" s="178">
        <v>5.35</v>
      </c>
      <c r="M3396" s="178">
        <v>0.88000000000000078</v>
      </c>
      <c r="N3396" s="179">
        <v>0</v>
      </c>
      <c r="O3396" s="178">
        <v>6.23</v>
      </c>
      <c r="P3396" s="453"/>
      <c r="Q3396" s="61"/>
      <c r="R3396" s="298"/>
      <c r="S3396" s="669"/>
      <c r="X3396" s="444">
        <v>3396</v>
      </c>
    </row>
    <row r="3397" spans="1:32" ht="12">
      <c r="A3397" s="83" t="s">
        <v>23871</v>
      </c>
      <c r="B3397" s="64" t="s">
        <v>23872</v>
      </c>
      <c r="C3397" s="71" t="s">
        <v>103</v>
      </c>
      <c r="D3397" s="79">
        <v>1</v>
      </c>
      <c r="E3397" s="79">
        <v>19.569999999999997</v>
      </c>
      <c r="F3397" s="79">
        <v>19.57</v>
      </c>
      <c r="G3397" s="445"/>
      <c r="H3397" s="178">
        <v>19.57</v>
      </c>
      <c r="I3397" s="178">
        <v>24.07</v>
      </c>
      <c r="J3397" s="70">
        <v>-4.5000000000000036</v>
      </c>
      <c r="K3397" s="320"/>
      <c r="L3397" s="178">
        <v>16.07</v>
      </c>
      <c r="M3397" s="178">
        <v>3.4999999999999964</v>
      </c>
      <c r="N3397" s="179">
        <v>0</v>
      </c>
      <c r="O3397" s="178">
        <v>19.569999999999997</v>
      </c>
      <c r="P3397" s="453"/>
      <c r="Q3397" s="61"/>
      <c r="R3397" s="298"/>
      <c r="S3397" s="669"/>
      <c r="X3397" s="444">
        <v>3397</v>
      </c>
    </row>
    <row r="3398" spans="1:32" ht="12">
      <c r="A3398" s="83" t="s">
        <v>23873</v>
      </c>
      <c r="B3398" s="64" t="s">
        <v>23874</v>
      </c>
      <c r="C3398" s="71" t="s">
        <v>103</v>
      </c>
      <c r="D3398" s="79">
        <v>1</v>
      </c>
      <c r="E3398" s="79">
        <v>18.05</v>
      </c>
      <c r="F3398" s="79">
        <v>18.05</v>
      </c>
      <c r="G3398" s="445"/>
      <c r="H3398" s="178">
        <v>18.04</v>
      </c>
      <c r="I3398" s="178">
        <v>22.19</v>
      </c>
      <c r="J3398" s="70">
        <v>-4.1400000000000006</v>
      </c>
      <c r="K3398" s="320"/>
      <c r="L3398" s="178">
        <v>4.46</v>
      </c>
      <c r="M3398" s="178">
        <v>13.59</v>
      </c>
      <c r="N3398" s="179">
        <v>0</v>
      </c>
      <c r="O3398" s="178">
        <v>18.05</v>
      </c>
      <c r="P3398" s="453"/>
      <c r="Q3398" s="61"/>
      <c r="R3398" s="298"/>
      <c r="S3398" s="669"/>
      <c r="T3398" s="61"/>
      <c r="X3398" s="444">
        <v>3398</v>
      </c>
    </row>
    <row r="3399" spans="1:32" ht="12">
      <c r="A3399" s="83" t="s">
        <v>23875</v>
      </c>
      <c r="B3399" s="64" t="s">
        <v>10340</v>
      </c>
      <c r="C3399" s="71" t="s">
        <v>165</v>
      </c>
      <c r="D3399" s="79">
        <v>1</v>
      </c>
      <c r="E3399" s="79">
        <v>52.02</v>
      </c>
      <c r="F3399" s="79">
        <v>52.02</v>
      </c>
      <c r="G3399" s="320"/>
      <c r="H3399" s="178">
        <v>52.02</v>
      </c>
      <c r="I3399" s="178">
        <v>63.98</v>
      </c>
      <c r="J3399" s="70">
        <v>-11.959999999999994</v>
      </c>
      <c r="K3399" s="320"/>
      <c r="L3399" s="178"/>
      <c r="M3399" s="178">
        <v>52.02</v>
      </c>
      <c r="N3399" s="179">
        <v>0</v>
      </c>
      <c r="O3399" s="178">
        <v>52.02</v>
      </c>
      <c r="P3399" s="453"/>
      <c r="Q3399" s="61"/>
      <c r="R3399" s="298"/>
      <c r="S3399" s="669"/>
      <c r="T3399" s="61"/>
      <c r="X3399" s="444">
        <v>3399</v>
      </c>
    </row>
    <row r="3400" spans="1:32" ht="12">
      <c r="A3400" s="83" t="s">
        <v>23876</v>
      </c>
      <c r="B3400" s="64" t="s">
        <v>10342</v>
      </c>
      <c r="C3400" s="71" t="s">
        <v>165</v>
      </c>
      <c r="D3400" s="79">
        <v>1</v>
      </c>
      <c r="E3400" s="79">
        <v>69.510000000000005</v>
      </c>
      <c r="F3400" s="79">
        <v>69.510000000000005</v>
      </c>
      <c r="G3400" s="320"/>
      <c r="H3400" s="178">
        <v>69.5</v>
      </c>
      <c r="I3400" s="178">
        <v>85.49</v>
      </c>
      <c r="J3400" s="70">
        <v>-15.97999999999999</v>
      </c>
      <c r="K3400" s="320"/>
      <c r="L3400" s="178"/>
      <c r="M3400" s="178">
        <v>69.510000000000005</v>
      </c>
      <c r="N3400" s="179">
        <v>0</v>
      </c>
      <c r="O3400" s="178">
        <v>69.510000000000005</v>
      </c>
      <c r="P3400" s="453"/>
      <c r="Q3400" s="61"/>
      <c r="R3400" s="298"/>
      <c r="S3400" s="669"/>
      <c r="T3400" s="61"/>
      <c r="X3400" s="444">
        <v>3400</v>
      </c>
    </row>
    <row r="3401" spans="1:32" ht="12">
      <c r="A3401" s="83" t="s">
        <v>23877</v>
      </c>
      <c r="B3401" s="64" t="s">
        <v>10344</v>
      </c>
      <c r="C3401" s="71" t="s">
        <v>165</v>
      </c>
      <c r="D3401" s="79">
        <v>1</v>
      </c>
      <c r="E3401" s="79">
        <v>92.33</v>
      </c>
      <c r="F3401" s="79">
        <v>92.33</v>
      </c>
      <c r="G3401" s="320"/>
      <c r="H3401" s="178">
        <v>92.33</v>
      </c>
      <c r="I3401" s="178">
        <v>113.56</v>
      </c>
      <c r="J3401" s="70">
        <v>-21.230000000000004</v>
      </c>
      <c r="K3401" s="320"/>
      <c r="L3401" s="178"/>
      <c r="M3401" s="178">
        <v>92.33</v>
      </c>
      <c r="N3401" s="179">
        <v>0</v>
      </c>
      <c r="O3401" s="178">
        <v>92.33</v>
      </c>
      <c r="P3401" s="453"/>
      <c r="Q3401" s="61"/>
      <c r="R3401" s="298"/>
      <c r="S3401" s="669"/>
      <c r="T3401" s="61"/>
      <c r="X3401" s="444">
        <v>3401</v>
      </c>
    </row>
    <row r="3402" spans="1:32" ht="12">
      <c r="A3402" s="83" t="s">
        <v>23878</v>
      </c>
      <c r="B3402" s="64" t="s">
        <v>10346</v>
      </c>
      <c r="C3402" s="71" t="s">
        <v>165</v>
      </c>
      <c r="D3402" s="79">
        <v>1</v>
      </c>
      <c r="E3402" s="79">
        <v>115.93</v>
      </c>
      <c r="F3402" s="79">
        <v>115.93</v>
      </c>
      <c r="G3402" s="320"/>
      <c r="H3402" s="178">
        <v>115.93</v>
      </c>
      <c r="I3402" s="178">
        <v>142.59</v>
      </c>
      <c r="J3402" s="70">
        <v>-26.659999999999997</v>
      </c>
      <c r="K3402" s="320"/>
      <c r="L3402" s="178"/>
      <c r="M3402" s="178">
        <v>115.93</v>
      </c>
      <c r="N3402" s="179">
        <v>0</v>
      </c>
      <c r="O3402" s="178">
        <v>115.93</v>
      </c>
      <c r="P3402" s="453"/>
      <c r="Q3402" s="61"/>
      <c r="R3402" s="298"/>
      <c r="S3402" s="669"/>
      <c r="X3402" s="444">
        <v>3402</v>
      </c>
    </row>
    <row r="3403" spans="1:32" ht="12">
      <c r="A3403" s="83" t="s">
        <v>23879</v>
      </c>
      <c r="B3403" s="64" t="s">
        <v>10348</v>
      </c>
      <c r="C3403" s="71" t="s">
        <v>165</v>
      </c>
      <c r="D3403" s="79">
        <v>1</v>
      </c>
      <c r="E3403" s="79">
        <v>147.9</v>
      </c>
      <c r="F3403" s="79">
        <v>147.9</v>
      </c>
      <c r="G3403" s="320"/>
      <c r="H3403" s="178">
        <v>147.88999999999999</v>
      </c>
      <c r="I3403" s="178">
        <v>181.91</v>
      </c>
      <c r="J3403" s="70">
        <v>-34.009999999999991</v>
      </c>
      <c r="K3403" s="320"/>
      <c r="L3403" s="178"/>
      <c r="M3403" s="178">
        <v>147.9</v>
      </c>
      <c r="N3403" s="179">
        <v>0</v>
      </c>
      <c r="O3403" s="178">
        <v>147.9</v>
      </c>
      <c r="P3403" s="453"/>
      <c r="Q3403" s="61"/>
      <c r="R3403" s="298"/>
      <c r="S3403" s="669"/>
      <c r="X3403" s="444">
        <v>3403</v>
      </c>
    </row>
    <row r="3404" spans="1:32" ht="12">
      <c r="A3404" s="83" t="s">
        <v>23880</v>
      </c>
      <c r="B3404" s="64" t="s">
        <v>23881</v>
      </c>
      <c r="C3404" s="71" t="s">
        <v>103</v>
      </c>
      <c r="D3404" s="79">
        <v>1</v>
      </c>
      <c r="E3404" s="79">
        <v>376.61</v>
      </c>
      <c r="F3404" s="79">
        <v>376.61</v>
      </c>
      <c r="G3404" s="320"/>
      <c r="H3404" s="178">
        <v>376.61</v>
      </c>
      <c r="I3404" s="178">
        <v>463.23</v>
      </c>
      <c r="J3404" s="70">
        <v>-86.62</v>
      </c>
      <c r="K3404" s="320"/>
      <c r="L3404" s="178"/>
      <c r="M3404" s="178">
        <v>376.61</v>
      </c>
      <c r="N3404" s="179">
        <v>0</v>
      </c>
      <c r="O3404" s="178">
        <v>376.61</v>
      </c>
      <c r="P3404" s="453"/>
      <c r="Q3404" s="61"/>
      <c r="R3404" s="298"/>
      <c r="S3404" s="669"/>
      <c r="X3404" s="444">
        <v>3404</v>
      </c>
    </row>
    <row r="3405" spans="1:32" ht="12">
      <c r="A3405" s="83" t="s">
        <v>23882</v>
      </c>
      <c r="B3405" s="64" t="s">
        <v>23883</v>
      </c>
      <c r="C3405" s="71" t="s">
        <v>10216</v>
      </c>
      <c r="D3405" s="79">
        <v>1</v>
      </c>
      <c r="E3405" s="79">
        <v>577.26</v>
      </c>
      <c r="F3405" s="79">
        <v>577.26</v>
      </c>
      <c r="G3405" s="320"/>
      <c r="H3405" s="178">
        <v>577.25</v>
      </c>
      <c r="I3405" s="178">
        <v>710.02</v>
      </c>
      <c r="J3405" s="70">
        <v>-132.76</v>
      </c>
      <c r="K3405" s="320"/>
      <c r="L3405" s="178">
        <v>0</v>
      </c>
      <c r="M3405" s="178">
        <v>577.26</v>
      </c>
      <c r="N3405" s="179">
        <v>0</v>
      </c>
      <c r="O3405" s="178">
        <v>577.26</v>
      </c>
      <c r="P3405" s="453"/>
      <c r="Q3405" s="61"/>
      <c r="R3405" s="298"/>
      <c r="S3405" s="669"/>
      <c r="T3405" s="73"/>
      <c r="X3405" s="444">
        <v>3405</v>
      </c>
    </row>
    <row r="3406" spans="1:32" ht="12">
      <c r="A3406" s="83" t="s">
        <v>23884</v>
      </c>
      <c r="B3406" s="64" t="s">
        <v>23885</v>
      </c>
      <c r="C3406" s="71" t="s">
        <v>103</v>
      </c>
      <c r="D3406" s="79">
        <v>1</v>
      </c>
      <c r="E3406" s="79">
        <v>77.569999999999993</v>
      </c>
      <c r="F3406" s="79">
        <v>77.569999999999993</v>
      </c>
      <c r="G3406" s="320"/>
      <c r="H3406" s="178">
        <v>77.569999999999993</v>
      </c>
      <c r="I3406" s="178">
        <v>95.41</v>
      </c>
      <c r="J3406" s="70">
        <v>-17.840000000000003</v>
      </c>
      <c r="K3406" s="320"/>
      <c r="L3406" s="178">
        <v>9.879999999999999</v>
      </c>
      <c r="M3406" s="178">
        <v>67.69</v>
      </c>
      <c r="N3406" s="179">
        <v>0</v>
      </c>
      <c r="O3406" s="178">
        <v>77.569999999999993</v>
      </c>
      <c r="P3406" s="453"/>
      <c r="Q3406" s="61"/>
      <c r="R3406" s="298"/>
      <c r="S3406" s="669"/>
      <c r="U3406" s="73"/>
      <c r="V3406" s="73"/>
      <c r="W3406" s="73"/>
      <c r="X3406" s="444">
        <v>3406</v>
      </c>
      <c r="Y3406" s="73"/>
      <c r="Z3406" s="73"/>
      <c r="AA3406" s="73"/>
      <c r="AB3406" s="73"/>
      <c r="AC3406" s="73"/>
      <c r="AD3406" s="73"/>
      <c r="AE3406" s="73"/>
      <c r="AF3406" s="73"/>
    </row>
    <row r="3407" spans="1:32" s="73" customFormat="1" ht="12">
      <c r="A3407" s="83" t="s">
        <v>40089</v>
      </c>
      <c r="B3407" s="64" t="s">
        <v>40090</v>
      </c>
      <c r="C3407" s="71"/>
      <c r="D3407" s="79" t="s">
        <v>40899</v>
      </c>
      <c r="E3407" s="79" t="s">
        <v>40899</v>
      </c>
      <c r="F3407" s="79"/>
      <c r="G3407" s="445"/>
      <c r="H3407" s="178"/>
      <c r="I3407" s="178"/>
      <c r="J3407" s="70"/>
      <c r="K3407" s="320"/>
      <c r="L3407" s="178"/>
      <c r="M3407" s="178"/>
      <c r="N3407" s="179"/>
      <c r="O3407" s="178"/>
      <c r="P3407" s="453"/>
      <c r="Q3407" s="61"/>
      <c r="R3407" s="298"/>
      <c r="S3407" s="669"/>
      <c r="T3407" s="444"/>
      <c r="U3407" s="444"/>
      <c r="V3407" s="444"/>
      <c r="W3407" s="444"/>
      <c r="X3407" s="444">
        <v>3407</v>
      </c>
      <c r="Y3407" s="444"/>
      <c r="Z3407" s="444"/>
      <c r="AA3407" s="444"/>
      <c r="AB3407" s="444"/>
      <c r="AC3407" s="444"/>
      <c r="AD3407" s="444"/>
      <c r="AE3407" s="444"/>
      <c r="AF3407" s="444"/>
    </row>
    <row r="3408" spans="1:32" ht="12">
      <c r="A3408" s="83" t="s">
        <v>23886</v>
      </c>
      <c r="B3408" s="64" t="s">
        <v>23887</v>
      </c>
      <c r="C3408" s="71" t="s">
        <v>103</v>
      </c>
      <c r="D3408" s="79">
        <v>1</v>
      </c>
      <c r="E3408" s="79">
        <v>34.700000000000003</v>
      </c>
      <c r="F3408" s="79">
        <v>34.700000000000003</v>
      </c>
      <c r="G3408" s="445"/>
      <c r="H3408" s="178">
        <v>34.700000000000003</v>
      </c>
      <c r="I3408" s="178">
        <v>42.68</v>
      </c>
      <c r="J3408" s="70">
        <v>-7.9799999999999969</v>
      </c>
      <c r="K3408" s="320"/>
      <c r="L3408" s="178">
        <v>7.41</v>
      </c>
      <c r="M3408" s="178">
        <v>27.290000000000003</v>
      </c>
      <c r="N3408" s="179">
        <v>0</v>
      </c>
      <c r="O3408" s="178">
        <v>34.700000000000003</v>
      </c>
      <c r="P3408" s="453"/>
      <c r="Q3408" s="61"/>
      <c r="R3408" s="298"/>
      <c r="S3408" s="669"/>
      <c r="X3408" s="444">
        <v>3408</v>
      </c>
    </row>
    <row r="3409" spans="1:24" ht="12">
      <c r="A3409" s="83" t="s">
        <v>23888</v>
      </c>
      <c r="B3409" s="64" t="s">
        <v>23889</v>
      </c>
      <c r="C3409" s="71" t="s">
        <v>103</v>
      </c>
      <c r="D3409" s="79">
        <v>1</v>
      </c>
      <c r="E3409" s="79">
        <v>21.83</v>
      </c>
      <c r="F3409" s="79">
        <v>21.83</v>
      </c>
      <c r="G3409" s="445"/>
      <c r="H3409" s="178">
        <v>21.81</v>
      </c>
      <c r="I3409" s="178">
        <v>26.83</v>
      </c>
      <c r="J3409" s="70">
        <v>-5</v>
      </c>
      <c r="K3409" s="320"/>
      <c r="L3409" s="178">
        <v>4.95</v>
      </c>
      <c r="M3409" s="178">
        <v>16.88</v>
      </c>
      <c r="N3409" s="179">
        <v>0</v>
      </c>
      <c r="O3409" s="178">
        <v>21.83</v>
      </c>
      <c r="P3409" s="453"/>
      <c r="Q3409" s="61"/>
      <c r="R3409" s="298"/>
      <c r="S3409" s="669"/>
      <c r="X3409" s="444">
        <v>3409</v>
      </c>
    </row>
    <row r="3410" spans="1:24" ht="12">
      <c r="A3410" s="83" t="s">
        <v>23890</v>
      </c>
      <c r="B3410" s="64" t="s">
        <v>23891</v>
      </c>
      <c r="C3410" s="71" t="s">
        <v>10216</v>
      </c>
      <c r="D3410" s="79">
        <v>1</v>
      </c>
      <c r="E3410" s="79">
        <v>577.26</v>
      </c>
      <c r="F3410" s="79">
        <v>577.26</v>
      </c>
      <c r="G3410" s="320"/>
      <c r="H3410" s="178">
        <v>577.25</v>
      </c>
      <c r="I3410" s="178">
        <v>710.02</v>
      </c>
      <c r="J3410" s="70">
        <v>-132.76</v>
      </c>
      <c r="K3410" s="320"/>
      <c r="L3410" s="178">
        <v>0</v>
      </c>
      <c r="M3410" s="178">
        <v>577.26</v>
      </c>
      <c r="N3410" s="179">
        <v>0</v>
      </c>
      <c r="O3410" s="178">
        <v>577.26</v>
      </c>
      <c r="P3410" s="453"/>
      <c r="Q3410" s="61"/>
      <c r="R3410" s="298"/>
      <c r="S3410" s="669"/>
      <c r="T3410" s="73"/>
      <c r="X3410" s="444">
        <v>3410</v>
      </c>
    </row>
    <row r="3411" spans="1:24" ht="12">
      <c r="A3411" s="83" t="s">
        <v>40091</v>
      </c>
      <c r="B3411" s="64" t="s">
        <v>40092</v>
      </c>
      <c r="C3411" s="71"/>
      <c r="D3411" s="79" t="s">
        <v>40899</v>
      </c>
      <c r="E3411" s="79" t="s">
        <v>40899</v>
      </c>
      <c r="F3411" s="79"/>
      <c r="G3411" s="445"/>
      <c r="H3411" s="178"/>
      <c r="I3411" s="178"/>
      <c r="J3411" s="70"/>
      <c r="K3411" s="320"/>
      <c r="L3411" s="178"/>
      <c r="M3411" s="178"/>
      <c r="N3411" s="179"/>
      <c r="O3411" s="178"/>
      <c r="P3411" s="453"/>
      <c r="Q3411" s="61"/>
      <c r="R3411" s="298"/>
      <c r="S3411" s="669"/>
      <c r="X3411" s="444">
        <v>3411</v>
      </c>
    </row>
    <row r="3412" spans="1:24" ht="12">
      <c r="A3412" s="83" t="s">
        <v>23892</v>
      </c>
      <c r="B3412" s="64" t="s">
        <v>23893</v>
      </c>
      <c r="C3412" s="71" t="s">
        <v>103</v>
      </c>
      <c r="D3412" s="79">
        <v>1</v>
      </c>
      <c r="E3412" s="79">
        <v>32.32</v>
      </c>
      <c r="F3412" s="79">
        <v>32.32</v>
      </c>
      <c r="G3412" s="445"/>
      <c r="H3412" s="178">
        <v>32.32</v>
      </c>
      <c r="I3412" s="178">
        <v>39.75</v>
      </c>
      <c r="J3412" s="70">
        <v>-7.43</v>
      </c>
      <c r="K3412" s="320"/>
      <c r="L3412" s="178">
        <v>9.879999999999999</v>
      </c>
      <c r="M3412" s="178">
        <v>22.44</v>
      </c>
      <c r="N3412" s="179">
        <v>0</v>
      </c>
      <c r="O3412" s="178">
        <v>32.32</v>
      </c>
      <c r="P3412" s="453"/>
      <c r="Q3412" s="61"/>
      <c r="R3412" s="298"/>
      <c r="S3412" s="669"/>
      <c r="T3412" s="61"/>
      <c r="X3412" s="444">
        <v>3412</v>
      </c>
    </row>
    <row r="3413" spans="1:24" ht="12">
      <c r="A3413" s="83" t="s">
        <v>23894</v>
      </c>
      <c r="B3413" s="64" t="s">
        <v>23895</v>
      </c>
      <c r="C3413" s="71" t="s">
        <v>103</v>
      </c>
      <c r="D3413" s="79">
        <v>1</v>
      </c>
      <c r="E3413" s="79">
        <v>13.91</v>
      </c>
      <c r="F3413" s="79">
        <v>13.91</v>
      </c>
      <c r="G3413" s="445"/>
      <c r="H3413" s="178">
        <v>13.91</v>
      </c>
      <c r="I3413" s="178">
        <v>17.11</v>
      </c>
      <c r="J3413" s="70">
        <v>-3.1999999999999993</v>
      </c>
      <c r="K3413" s="320"/>
      <c r="L3413" s="178">
        <v>7.41</v>
      </c>
      <c r="M3413" s="178">
        <v>6.5</v>
      </c>
      <c r="N3413" s="179">
        <v>0</v>
      </c>
      <c r="O3413" s="178">
        <v>13.91</v>
      </c>
      <c r="P3413" s="453"/>
      <c r="Q3413" s="61"/>
      <c r="R3413" s="298"/>
      <c r="S3413" s="669"/>
      <c r="T3413" s="61"/>
      <c r="X3413" s="444">
        <v>3413</v>
      </c>
    </row>
    <row r="3414" spans="1:24" ht="12">
      <c r="A3414" s="83" t="s">
        <v>23896</v>
      </c>
      <c r="B3414" s="64" t="s">
        <v>23897</v>
      </c>
      <c r="C3414" s="71" t="s">
        <v>103</v>
      </c>
      <c r="D3414" s="79">
        <v>1</v>
      </c>
      <c r="E3414" s="79">
        <v>7.7200000000000006</v>
      </c>
      <c r="F3414" s="79">
        <v>7.72</v>
      </c>
      <c r="G3414" s="445"/>
      <c r="H3414" s="178">
        <v>7.71</v>
      </c>
      <c r="I3414" s="178">
        <v>9.48</v>
      </c>
      <c r="J3414" s="70">
        <v>-1.7599999999999998</v>
      </c>
      <c r="K3414" s="320"/>
      <c r="L3414" s="178">
        <v>4.95</v>
      </c>
      <c r="M3414" s="178">
        <v>2.7700000000000005</v>
      </c>
      <c r="N3414" s="179">
        <v>0</v>
      </c>
      <c r="O3414" s="178">
        <v>7.7200000000000006</v>
      </c>
      <c r="P3414" s="453"/>
      <c r="Q3414" s="61"/>
      <c r="R3414" s="298"/>
      <c r="S3414" s="669"/>
      <c r="T3414" s="61"/>
      <c r="X3414" s="444">
        <v>3414</v>
      </c>
    </row>
    <row r="3415" spans="1:24" ht="12">
      <c r="A3415" s="83" t="s">
        <v>23898</v>
      </c>
      <c r="B3415" s="64" t="s">
        <v>23899</v>
      </c>
      <c r="C3415" s="71" t="s">
        <v>103</v>
      </c>
      <c r="D3415" s="79">
        <v>1</v>
      </c>
      <c r="E3415" s="79">
        <v>17.55</v>
      </c>
      <c r="F3415" s="79">
        <v>17.55</v>
      </c>
      <c r="G3415" s="445"/>
      <c r="H3415" s="178">
        <v>17.54</v>
      </c>
      <c r="I3415" s="178">
        <v>21.57</v>
      </c>
      <c r="J3415" s="70">
        <v>-4.0199999999999996</v>
      </c>
      <c r="K3415" s="320"/>
      <c r="L3415" s="178">
        <v>15.43</v>
      </c>
      <c r="M3415" s="178">
        <v>2.120000000000001</v>
      </c>
      <c r="N3415" s="179">
        <v>0</v>
      </c>
      <c r="O3415" s="178">
        <v>17.55</v>
      </c>
      <c r="P3415" s="453"/>
      <c r="Q3415" s="61"/>
      <c r="R3415" s="298"/>
      <c r="S3415" s="669"/>
      <c r="X3415" s="444">
        <v>3415</v>
      </c>
    </row>
    <row r="3416" spans="1:24" ht="12">
      <c r="A3416" s="83" t="s">
        <v>40093</v>
      </c>
      <c r="B3416" s="64" t="s">
        <v>40094</v>
      </c>
      <c r="C3416" s="71"/>
      <c r="D3416" s="79" t="s">
        <v>40899</v>
      </c>
      <c r="E3416" s="79" t="s">
        <v>40899</v>
      </c>
      <c r="F3416" s="79"/>
      <c r="G3416" s="445"/>
      <c r="H3416" s="178"/>
      <c r="I3416" s="178"/>
      <c r="J3416" s="70"/>
      <c r="K3416" s="320"/>
      <c r="L3416" s="178"/>
      <c r="M3416" s="178"/>
      <c r="N3416" s="179"/>
      <c r="O3416" s="178"/>
      <c r="P3416" s="453"/>
      <c r="Q3416" s="61"/>
      <c r="R3416" s="298"/>
      <c r="S3416" s="669"/>
      <c r="X3416" s="444">
        <v>3416</v>
      </c>
    </row>
    <row r="3417" spans="1:24" ht="12">
      <c r="A3417" s="83" t="s">
        <v>23900</v>
      </c>
      <c r="B3417" s="64" t="s">
        <v>23901</v>
      </c>
      <c r="C3417" s="71" t="s">
        <v>6332</v>
      </c>
      <c r="D3417" s="79">
        <v>1</v>
      </c>
      <c r="E3417" s="79">
        <v>102.13</v>
      </c>
      <c r="F3417" s="79">
        <v>102.13</v>
      </c>
      <c r="G3417" s="445"/>
      <c r="H3417" s="178">
        <v>102.13</v>
      </c>
      <c r="I3417" s="178">
        <v>125.62</v>
      </c>
      <c r="J3417" s="70">
        <v>-23.490000000000009</v>
      </c>
      <c r="K3417" s="320"/>
      <c r="L3417" s="178">
        <v>9.879999999999999</v>
      </c>
      <c r="M3417" s="178">
        <v>92.25</v>
      </c>
      <c r="N3417" s="179">
        <v>0</v>
      </c>
      <c r="O3417" s="178">
        <v>102.13</v>
      </c>
      <c r="P3417" s="453"/>
      <c r="Q3417" s="61"/>
      <c r="R3417" s="298"/>
      <c r="S3417" s="669"/>
      <c r="X3417" s="444">
        <v>3417</v>
      </c>
    </row>
    <row r="3418" spans="1:24" ht="12">
      <c r="A3418" s="83" t="s">
        <v>23902</v>
      </c>
      <c r="B3418" s="64" t="s">
        <v>23903</v>
      </c>
      <c r="C3418" s="71" t="s">
        <v>6332</v>
      </c>
      <c r="D3418" s="79">
        <v>1</v>
      </c>
      <c r="E3418" s="79">
        <v>127.19999999999999</v>
      </c>
      <c r="F3418" s="79">
        <v>127.2</v>
      </c>
      <c r="G3418" s="445"/>
      <c r="H3418" s="178">
        <v>127.2</v>
      </c>
      <c r="I3418" s="178">
        <v>156.46</v>
      </c>
      <c r="J3418" s="70">
        <v>-29.260000000000019</v>
      </c>
      <c r="K3418" s="320"/>
      <c r="L3418" s="178">
        <v>9.879999999999999</v>
      </c>
      <c r="M3418" s="178">
        <v>117.32</v>
      </c>
      <c r="N3418" s="179">
        <v>0</v>
      </c>
      <c r="O3418" s="178">
        <v>127.19999999999999</v>
      </c>
      <c r="P3418" s="453"/>
      <c r="Q3418" s="61"/>
      <c r="R3418" s="298"/>
      <c r="S3418" s="669"/>
      <c r="T3418" s="73"/>
      <c r="X3418" s="444">
        <v>3418</v>
      </c>
    </row>
    <row r="3419" spans="1:24" ht="12">
      <c r="A3419" s="83" t="s">
        <v>40095</v>
      </c>
      <c r="B3419" s="64" t="s">
        <v>40096</v>
      </c>
      <c r="C3419" s="71"/>
      <c r="D3419" s="79" t="s">
        <v>40899</v>
      </c>
      <c r="E3419" s="79" t="s">
        <v>40899</v>
      </c>
      <c r="F3419" s="79"/>
      <c r="G3419" s="445"/>
      <c r="H3419" s="178"/>
      <c r="I3419" s="178"/>
      <c r="J3419" s="70"/>
      <c r="K3419" s="320"/>
      <c r="L3419" s="178"/>
      <c r="M3419" s="178"/>
      <c r="N3419" s="179"/>
      <c r="O3419" s="178"/>
      <c r="P3419" s="453"/>
      <c r="Q3419" s="61"/>
      <c r="R3419" s="298"/>
      <c r="S3419" s="669"/>
      <c r="X3419" s="444">
        <v>3419</v>
      </c>
    </row>
    <row r="3420" spans="1:24" ht="12">
      <c r="A3420" s="83" t="s">
        <v>23904</v>
      </c>
      <c r="B3420" s="64" t="s">
        <v>23905</v>
      </c>
      <c r="C3420" s="71" t="s">
        <v>509</v>
      </c>
      <c r="D3420" s="79">
        <v>1</v>
      </c>
      <c r="E3420" s="79">
        <v>18.850000000000001</v>
      </c>
      <c r="F3420" s="79">
        <v>18.850000000000001</v>
      </c>
      <c r="G3420" s="445"/>
      <c r="H3420" s="178">
        <v>18.850000000000001</v>
      </c>
      <c r="I3420" s="178">
        <v>23.19</v>
      </c>
      <c r="J3420" s="70">
        <v>-4.34</v>
      </c>
      <c r="K3420" s="320"/>
      <c r="L3420" s="178">
        <v>9.879999999999999</v>
      </c>
      <c r="M3420" s="178">
        <v>8.9700000000000024</v>
      </c>
      <c r="N3420" s="179">
        <v>0</v>
      </c>
      <c r="O3420" s="178">
        <v>18.850000000000001</v>
      </c>
      <c r="P3420" s="453"/>
      <c r="Q3420" s="61"/>
      <c r="R3420" s="298"/>
      <c r="S3420" s="669"/>
      <c r="T3420" s="73"/>
      <c r="X3420" s="444">
        <v>3420</v>
      </c>
    </row>
    <row r="3421" spans="1:24" ht="12">
      <c r="A3421" s="83" t="s">
        <v>23906</v>
      </c>
      <c r="B3421" s="64" t="s">
        <v>23907</v>
      </c>
      <c r="C3421" s="71" t="s">
        <v>509</v>
      </c>
      <c r="D3421" s="79">
        <v>1</v>
      </c>
      <c r="E3421" s="79">
        <v>101.28</v>
      </c>
      <c r="F3421" s="79">
        <v>101.28</v>
      </c>
      <c r="G3421" s="445"/>
      <c r="H3421" s="178">
        <v>101.27</v>
      </c>
      <c r="I3421" s="178">
        <v>124.56</v>
      </c>
      <c r="J3421" s="70">
        <v>-23.28</v>
      </c>
      <c r="K3421" s="320"/>
      <c r="L3421" s="178">
        <v>49.42</v>
      </c>
      <c r="M3421" s="178">
        <v>51.86</v>
      </c>
      <c r="N3421" s="179">
        <v>0</v>
      </c>
      <c r="O3421" s="178">
        <v>101.28</v>
      </c>
      <c r="P3421" s="453"/>
      <c r="Q3421" s="61"/>
      <c r="R3421" s="298"/>
      <c r="S3421" s="669"/>
      <c r="T3421" s="73"/>
      <c r="X3421" s="444">
        <v>3421</v>
      </c>
    </row>
    <row r="3422" spans="1:24" ht="12">
      <c r="A3422" s="83" t="s">
        <v>40097</v>
      </c>
      <c r="B3422" s="64" t="s">
        <v>40098</v>
      </c>
      <c r="C3422" s="71"/>
      <c r="D3422" s="79" t="s">
        <v>40899</v>
      </c>
      <c r="E3422" s="79" t="s">
        <v>40899</v>
      </c>
      <c r="F3422" s="79"/>
      <c r="G3422" s="445"/>
      <c r="H3422" s="178"/>
      <c r="I3422" s="178"/>
      <c r="J3422" s="70"/>
      <c r="K3422" s="320"/>
      <c r="L3422" s="178"/>
      <c r="M3422" s="178"/>
      <c r="N3422" s="179"/>
      <c r="O3422" s="178"/>
      <c r="P3422" s="453"/>
      <c r="Q3422" s="61"/>
      <c r="R3422" s="298"/>
      <c r="S3422" s="669"/>
      <c r="X3422" s="444">
        <v>3422</v>
      </c>
    </row>
    <row r="3423" spans="1:24" ht="12">
      <c r="A3423" s="83" t="s">
        <v>23908</v>
      </c>
      <c r="B3423" s="64" t="s">
        <v>23909</v>
      </c>
      <c r="C3423" s="71" t="s">
        <v>509</v>
      </c>
      <c r="D3423" s="79">
        <v>1</v>
      </c>
      <c r="E3423" s="79">
        <v>12.82</v>
      </c>
      <c r="F3423" s="79">
        <v>12.82</v>
      </c>
      <c r="G3423" s="445"/>
      <c r="H3423" s="178">
        <v>12.8</v>
      </c>
      <c r="I3423" s="178">
        <v>15.75</v>
      </c>
      <c r="J3423" s="70">
        <v>-2.9299999999999997</v>
      </c>
      <c r="K3423" s="320"/>
      <c r="L3423" s="178">
        <v>11.17</v>
      </c>
      <c r="M3423" s="178">
        <v>1.6500000000000004</v>
      </c>
      <c r="N3423" s="179">
        <v>0</v>
      </c>
      <c r="O3423" s="178">
        <v>12.82</v>
      </c>
      <c r="P3423" s="453"/>
      <c r="Q3423" s="61"/>
      <c r="R3423" s="298"/>
      <c r="S3423" s="669"/>
      <c r="T3423" s="73"/>
      <c r="X3423" s="444">
        <v>3423</v>
      </c>
    </row>
    <row r="3424" spans="1:24" ht="12">
      <c r="A3424" s="83" t="s">
        <v>23910</v>
      </c>
      <c r="B3424" s="64" t="s">
        <v>23911</v>
      </c>
      <c r="C3424" s="71" t="s">
        <v>509</v>
      </c>
      <c r="D3424" s="79">
        <v>1</v>
      </c>
      <c r="E3424" s="79">
        <v>18.7</v>
      </c>
      <c r="F3424" s="79">
        <v>18.7</v>
      </c>
      <c r="G3424" s="445"/>
      <c r="H3424" s="178">
        <v>18.7</v>
      </c>
      <c r="I3424" s="178">
        <v>23</v>
      </c>
      <c r="J3424" s="70">
        <v>-4.3000000000000007</v>
      </c>
      <c r="K3424" s="320"/>
      <c r="L3424" s="178">
        <v>15.3</v>
      </c>
      <c r="M3424" s="178">
        <v>3.3999999999999986</v>
      </c>
      <c r="N3424" s="179">
        <v>0</v>
      </c>
      <c r="O3424" s="178">
        <v>18.7</v>
      </c>
      <c r="P3424" s="453"/>
      <c r="Q3424" s="61"/>
      <c r="R3424" s="298"/>
      <c r="S3424" s="669"/>
      <c r="T3424" s="73"/>
      <c r="X3424" s="444">
        <v>3424</v>
      </c>
    </row>
    <row r="3425" spans="1:32" ht="12">
      <c r="A3425" s="83" t="s">
        <v>23912</v>
      </c>
      <c r="B3425" s="64" t="s">
        <v>23913</v>
      </c>
      <c r="C3425" s="71" t="s">
        <v>509</v>
      </c>
      <c r="D3425" s="79">
        <v>1</v>
      </c>
      <c r="E3425" s="79">
        <v>20.330000000000002</v>
      </c>
      <c r="F3425" s="79">
        <v>20.329999999999998</v>
      </c>
      <c r="G3425" s="445"/>
      <c r="H3425" s="178">
        <v>20.32</v>
      </c>
      <c r="I3425" s="178">
        <v>24.99</v>
      </c>
      <c r="J3425" s="70">
        <v>-4.6599999999999966</v>
      </c>
      <c r="K3425" s="320"/>
      <c r="L3425" s="178">
        <v>14.83</v>
      </c>
      <c r="M3425" s="178">
        <v>5.5000000000000018</v>
      </c>
      <c r="N3425" s="179">
        <v>0</v>
      </c>
      <c r="O3425" s="178">
        <v>20.330000000000002</v>
      </c>
      <c r="P3425" s="453"/>
      <c r="Q3425" s="61"/>
      <c r="R3425" s="298"/>
      <c r="S3425" s="669"/>
      <c r="T3425" s="73"/>
      <c r="X3425" s="444">
        <v>3425</v>
      </c>
    </row>
    <row r="3426" spans="1:32" ht="12">
      <c r="A3426" s="83" t="s">
        <v>23914</v>
      </c>
      <c r="B3426" s="64" t="s">
        <v>23915</v>
      </c>
      <c r="C3426" s="71" t="s">
        <v>509</v>
      </c>
      <c r="D3426" s="79">
        <v>1</v>
      </c>
      <c r="E3426" s="79">
        <v>7.24</v>
      </c>
      <c r="F3426" s="79">
        <v>7.24</v>
      </c>
      <c r="G3426" s="445"/>
      <c r="H3426" s="178">
        <v>7.23</v>
      </c>
      <c r="I3426" s="178">
        <v>8.89</v>
      </c>
      <c r="J3426" s="70">
        <v>-1.6500000000000004</v>
      </c>
      <c r="K3426" s="320"/>
      <c r="L3426" s="178">
        <v>5.59</v>
      </c>
      <c r="M3426" s="178">
        <v>1.6500000000000004</v>
      </c>
      <c r="N3426" s="179">
        <v>0</v>
      </c>
      <c r="O3426" s="178">
        <v>7.24</v>
      </c>
      <c r="P3426" s="453"/>
      <c r="Q3426" s="61"/>
      <c r="R3426" s="298"/>
      <c r="S3426" s="669"/>
      <c r="X3426" s="444">
        <v>3426</v>
      </c>
    </row>
    <row r="3427" spans="1:32" ht="12">
      <c r="A3427" s="83" t="s">
        <v>23916</v>
      </c>
      <c r="B3427" s="64" t="s">
        <v>23917</v>
      </c>
      <c r="C3427" s="71" t="s">
        <v>509</v>
      </c>
      <c r="D3427" s="79">
        <v>1</v>
      </c>
      <c r="E3427" s="79">
        <v>22.91</v>
      </c>
      <c r="F3427" s="79">
        <v>22.91</v>
      </c>
      <c r="G3427" s="445"/>
      <c r="H3427" s="178">
        <v>22.89</v>
      </c>
      <c r="I3427" s="178">
        <v>28.16</v>
      </c>
      <c r="J3427" s="70">
        <v>-5.25</v>
      </c>
      <c r="K3427" s="320"/>
      <c r="L3427" s="178">
        <v>7.95</v>
      </c>
      <c r="M3427" s="178">
        <v>14.96</v>
      </c>
      <c r="N3427" s="179">
        <v>0</v>
      </c>
      <c r="O3427" s="178">
        <v>22.91</v>
      </c>
      <c r="P3427" s="453"/>
      <c r="Q3427" s="61"/>
      <c r="R3427" s="298"/>
      <c r="S3427" s="669"/>
      <c r="X3427" s="444">
        <v>3427</v>
      </c>
    </row>
    <row r="3428" spans="1:32" ht="12">
      <c r="A3428" s="83" t="s">
        <v>23918</v>
      </c>
      <c r="B3428" s="64" t="s">
        <v>23919</v>
      </c>
      <c r="C3428" s="71" t="s">
        <v>509</v>
      </c>
      <c r="D3428" s="79">
        <v>1</v>
      </c>
      <c r="E3428" s="79">
        <v>66.08</v>
      </c>
      <c r="F3428" s="79">
        <v>66.08</v>
      </c>
      <c r="G3428" s="445"/>
      <c r="H3428" s="178">
        <v>66.069999999999993</v>
      </c>
      <c r="I3428" s="178">
        <v>81.260000000000005</v>
      </c>
      <c r="J3428" s="70">
        <v>-15.180000000000007</v>
      </c>
      <c r="K3428" s="320"/>
      <c r="L3428" s="178">
        <v>14.3</v>
      </c>
      <c r="M3428" s="178">
        <v>51.78</v>
      </c>
      <c r="N3428" s="179">
        <v>0</v>
      </c>
      <c r="O3428" s="178">
        <v>66.08</v>
      </c>
      <c r="P3428" s="453"/>
      <c r="Q3428" s="61"/>
      <c r="R3428" s="298"/>
      <c r="S3428" s="669"/>
      <c r="T3428" s="73"/>
      <c r="X3428" s="444">
        <v>3428</v>
      </c>
    </row>
    <row r="3429" spans="1:32" ht="24">
      <c r="A3429" s="83" t="s">
        <v>23920</v>
      </c>
      <c r="B3429" s="64" t="s">
        <v>23921</v>
      </c>
      <c r="C3429" s="71" t="s">
        <v>509</v>
      </c>
      <c r="D3429" s="79">
        <v>1</v>
      </c>
      <c r="E3429" s="79">
        <v>32.010000000000005</v>
      </c>
      <c r="F3429" s="79">
        <v>32.01</v>
      </c>
      <c r="G3429" s="445"/>
      <c r="H3429" s="178">
        <v>32</v>
      </c>
      <c r="I3429" s="178">
        <v>39.36</v>
      </c>
      <c r="J3429" s="70">
        <v>-7.3499999999999943</v>
      </c>
      <c r="K3429" s="320"/>
      <c r="L3429" s="178">
        <v>14.3</v>
      </c>
      <c r="M3429" s="178">
        <v>17.710000000000004</v>
      </c>
      <c r="N3429" s="179">
        <v>0</v>
      </c>
      <c r="O3429" s="178">
        <v>32.010000000000005</v>
      </c>
      <c r="P3429" s="453"/>
      <c r="Q3429" s="61"/>
      <c r="R3429" s="298"/>
      <c r="S3429" s="669"/>
      <c r="X3429" s="444">
        <v>3429</v>
      </c>
    </row>
    <row r="3430" spans="1:32" ht="12">
      <c r="A3430" s="83" t="s">
        <v>23922</v>
      </c>
      <c r="B3430" s="64" t="s">
        <v>23923</v>
      </c>
      <c r="C3430" s="71" t="s">
        <v>509</v>
      </c>
      <c r="D3430" s="79">
        <v>1</v>
      </c>
      <c r="E3430" s="79">
        <v>32.28</v>
      </c>
      <c r="F3430" s="79">
        <v>32.28</v>
      </c>
      <c r="G3430" s="445"/>
      <c r="H3430" s="178">
        <v>32.26</v>
      </c>
      <c r="I3430" s="178">
        <v>39.68</v>
      </c>
      <c r="J3430" s="70">
        <v>-7.3999999999999986</v>
      </c>
      <c r="K3430" s="320"/>
      <c r="L3430" s="178">
        <v>14.3</v>
      </c>
      <c r="M3430" s="178">
        <v>17.98</v>
      </c>
      <c r="N3430" s="179">
        <v>0</v>
      </c>
      <c r="O3430" s="178">
        <v>32.28</v>
      </c>
      <c r="P3430" s="453"/>
      <c r="Q3430" s="61"/>
      <c r="R3430" s="298"/>
      <c r="S3430" s="669"/>
      <c r="T3430" s="73"/>
      <c r="X3430" s="444">
        <v>3430</v>
      </c>
    </row>
    <row r="3431" spans="1:32" ht="12">
      <c r="A3431" s="83" t="s">
        <v>23924</v>
      </c>
      <c r="B3431" s="64" t="s">
        <v>23925</v>
      </c>
      <c r="C3431" s="71" t="s">
        <v>509</v>
      </c>
      <c r="D3431" s="79">
        <v>1</v>
      </c>
      <c r="E3431" s="79">
        <v>45.54</v>
      </c>
      <c r="F3431" s="79">
        <v>45.54</v>
      </c>
      <c r="G3431" s="445"/>
      <c r="H3431" s="178">
        <v>45.53</v>
      </c>
      <c r="I3431" s="178">
        <v>56</v>
      </c>
      <c r="J3431" s="70">
        <v>-10.46</v>
      </c>
      <c r="K3431" s="320"/>
      <c r="L3431" s="178">
        <v>17.47</v>
      </c>
      <c r="M3431" s="178">
        <v>28.07</v>
      </c>
      <c r="N3431" s="179">
        <v>0</v>
      </c>
      <c r="O3431" s="178">
        <v>45.54</v>
      </c>
      <c r="P3431" s="453"/>
      <c r="Q3431" s="61"/>
      <c r="R3431" s="298"/>
      <c r="S3431" s="669"/>
      <c r="T3431" s="73"/>
      <c r="X3431" s="444">
        <v>3431</v>
      </c>
    </row>
    <row r="3432" spans="1:32" ht="12">
      <c r="A3432" s="83" t="s">
        <v>23926</v>
      </c>
      <c r="B3432" s="64" t="s">
        <v>40099</v>
      </c>
      <c r="C3432" s="71" t="s">
        <v>509</v>
      </c>
      <c r="D3432" s="79">
        <v>1</v>
      </c>
      <c r="E3432" s="79">
        <v>46.459999999999994</v>
      </c>
      <c r="F3432" s="79">
        <v>46.46</v>
      </c>
      <c r="G3432" s="445"/>
      <c r="H3432" s="178">
        <v>46.44</v>
      </c>
      <c r="I3432" s="178">
        <v>57.12</v>
      </c>
      <c r="J3432" s="70">
        <v>-10.660000000000004</v>
      </c>
      <c r="K3432" s="320"/>
      <c r="L3432" s="178">
        <v>23.729999999999997</v>
      </c>
      <c r="M3432" s="178">
        <v>22.729999999999997</v>
      </c>
      <c r="N3432" s="179">
        <v>0</v>
      </c>
      <c r="O3432" s="178">
        <v>46.459999999999994</v>
      </c>
      <c r="P3432" s="453"/>
      <c r="Q3432" s="61"/>
      <c r="R3432" s="298"/>
      <c r="S3432" s="669"/>
      <c r="T3432" s="73"/>
      <c r="X3432" s="444">
        <v>3432</v>
      </c>
    </row>
    <row r="3433" spans="1:32" ht="12">
      <c r="A3433" s="83" t="s">
        <v>23927</v>
      </c>
      <c r="B3433" s="64" t="s">
        <v>23928</v>
      </c>
      <c r="C3433" s="71" t="s">
        <v>509</v>
      </c>
      <c r="D3433" s="79">
        <v>1</v>
      </c>
      <c r="E3433" s="79">
        <v>40.26</v>
      </c>
      <c r="F3433" s="79">
        <v>40.26</v>
      </c>
      <c r="G3433" s="445"/>
      <c r="H3433" s="178">
        <v>40.25</v>
      </c>
      <c r="I3433" s="178">
        <v>49.51</v>
      </c>
      <c r="J3433" s="70">
        <v>-9.25</v>
      </c>
      <c r="K3433" s="320"/>
      <c r="L3433" s="178">
        <v>17.47</v>
      </c>
      <c r="M3433" s="178">
        <v>22.79</v>
      </c>
      <c r="N3433" s="179">
        <v>0</v>
      </c>
      <c r="O3433" s="178">
        <v>40.26</v>
      </c>
      <c r="P3433" s="453"/>
      <c r="Q3433" s="61"/>
      <c r="R3433" s="298"/>
      <c r="S3433" s="669"/>
      <c r="T3433" s="73"/>
      <c r="X3433" s="444">
        <v>3433</v>
      </c>
    </row>
    <row r="3434" spans="1:32" ht="12">
      <c r="A3434" s="83" t="s">
        <v>23929</v>
      </c>
      <c r="B3434" s="64" t="s">
        <v>23930</v>
      </c>
      <c r="C3434" s="71" t="s">
        <v>509</v>
      </c>
      <c r="D3434" s="79">
        <v>1</v>
      </c>
      <c r="E3434" s="79">
        <v>46.05</v>
      </c>
      <c r="F3434" s="79">
        <v>46.05</v>
      </c>
      <c r="G3434" s="445"/>
      <c r="H3434" s="178">
        <v>46.06</v>
      </c>
      <c r="I3434" s="178">
        <v>56.65</v>
      </c>
      <c r="J3434" s="70">
        <v>-10.600000000000001</v>
      </c>
      <c r="K3434" s="320"/>
      <c r="L3434" s="178">
        <v>21.42</v>
      </c>
      <c r="M3434" s="178">
        <v>24.629999999999995</v>
      </c>
      <c r="N3434" s="179">
        <v>0</v>
      </c>
      <c r="O3434" s="178">
        <v>46.05</v>
      </c>
      <c r="P3434" s="453"/>
      <c r="Q3434" s="61"/>
      <c r="R3434" s="298"/>
      <c r="S3434" s="669"/>
      <c r="T3434" s="73"/>
      <c r="X3434" s="444">
        <v>3434</v>
      </c>
    </row>
    <row r="3435" spans="1:32" ht="12">
      <c r="A3435" s="83" t="s">
        <v>23931</v>
      </c>
      <c r="B3435" s="64" t="s">
        <v>23932</v>
      </c>
      <c r="C3435" s="71" t="s">
        <v>509</v>
      </c>
      <c r="D3435" s="79">
        <v>1</v>
      </c>
      <c r="E3435" s="79">
        <v>34.53</v>
      </c>
      <c r="F3435" s="79">
        <v>34.53</v>
      </c>
      <c r="G3435" s="445"/>
      <c r="H3435" s="178">
        <v>34.54</v>
      </c>
      <c r="I3435" s="178">
        <v>42.49</v>
      </c>
      <c r="J3435" s="70">
        <v>-7.9600000000000009</v>
      </c>
      <c r="K3435" s="320"/>
      <c r="L3435" s="178">
        <v>21.42</v>
      </c>
      <c r="M3435" s="178">
        <v>13.11</v>
      </c>
      <c r="N3435" s="179">
        <v>0</v>
      </c>
      <c r="O3435" s="178">
        <v>34.53</v>
      </c>
      <c r="P3435" s="453"/>
      <c r="Q3435" s="61"/>
      <c r="R3435" s="298"/>
      <c r="S3435" s="669"/>
      <c r="T3435" s="73"/>
      <c r="X3435" s="444">
        <v>3435</v>
      </c>
    </row>
    <row r="3436" spans="1:32" ht="12">
      <c r="A3436" s="83" t="s">
        <v>23933</v>
      </c>
      <c r="B3436" s="64" t="s">
        <v>23934</v>
      </c>
      <c r="C3436" s="71" t="s">
        <v>509</v>
      </c>
      <c r="D3436" s="79">
        <v>1</v>
      </c>
      <c r="E3436" s="79">
        <v>69.649999999999991</v>
      </c>
      <c r="F3436" s="79">
        <v>69.650000000000006</v>
      </c>
      <c r="G3436" s="445"/>
      <c r="H3436" s="178">
        <v>69.63</v>
      </c>
      <c r="I3436" s="178">
        <v>85.65</v>
      </c>
      <c r="J3436" s="70">
        <v>-16.000000000000014</v>
      </c>
      <c r="K3436" s="320"/>
      <c r="L3436" s="178">
        <v>23.729999999999997</v>
      </c>
      <c r="M3436" s="178">
        <v>45.919999999999995</v>
      </c>
      <c r="N3436" s="179">
        <v>0</v>
      </c>
      <c r="O3436" s="178">
        <v>69.649999999999991</v>
      </c>
      <c r="P3436" s="453"/>
      <c r="Q3436" s="61"/>
      <c r="R3436" s="298"/>
      <c r="S3436" s="669"/>
      <c r="T3436" s="73"/>
      <c r="X3436" s="444">
        <v>3436</v>
      </c>
    </row>
    <row r="3437" spans="1:32" ht="12">
      <c r="A3437" s="83" t="s">
        <v>23935</v>
      </c>
      <c r="B3437" s="64" t="s">
        <v>23936</v>
      </c>
      <c r="C3437" s="71" t="s">
        <v>509</v>
      </c>
      <c r="D3437" s="79">
        <v>1</v>
      </c>
      <c r="E3437" s="79">
        <v>75.510000000000005</v>
      </c>
      <c r="F3437" s="79">
        <v>75.510000000000005</v>
      </c>
      <c r="G3437" s="445"/>
      <c r="H3437" s="178">
        <v>75.5</v>
      </c>
      <c r="I3437" s="178">
        <v>92.86</v>
      </c>
      <c r="J3437" s="70">
        <v>-17.349999999999994</v>
      </c>
      <c r="K3437" s="320"/>
      <c r="L3437" s="178">
        <v>32.35</v>
      </c>
      <c r="M3437" s="178">
        <v>43.160000000000004</v>
      </c>
      <c r="N3437" s="179">
        <v>0</v>
      </c>
      <c r="O3437" s="178">
        <v>75.510000000000005</v>
      </c>
      <c r="P3437" s="453"/>
      <c r="Q3437" s="61"/>
      <c r="R3437" s="298"/>
      <c r="S3437" s="669"/>
      <c r="X3437" s="444">
        <v>3437</v>
      </c>
    </row>
    <row r="3438" spans="1:32" ht="12">
      <c r="A3438" s="83" t="s">
        <v>23937</v>
      </c>
      <c r="B3438" s="64" t="s">
        <v>23938</v>
      </c>
      <c r="C3438" s="71" t="s">
        <v>509</v>
      </c>
      <c r="D3438" s="79">
        <v>1</v>
      </c>
      <c r="E3438" s="79">
        <v>49.639999999999993</v>
      </c>
      <c r="F3438" s="79">
        <v>49.64</v>
      </c>
      <c r="G3438" s="445"/>
      <c r="H3438" s="178">
        <v>49.64</v>
      </c>
      <c r="I3438" s="178">
        <v>61.06</v>
      </c>
      <c r="J3438" s="70">
        <v>-11.420000000000009</v>
      </c>
      <c r="K3438" s="320"/>
      <c r="L3438" s="178">
        <v>21.42</v>
      </c>
      <c r="M3438" s="178">
        <v>28.219999999999992</v>
      </c>
      <c r="N3438" s="179">
        <v>0</v>
      </c>
      <c r="O3438" s="178">
        <v>49.639999999999993</v>
      </c>
      <c r="P3438" s="453"/>
      <c r="Q3438" s="61"/>
      <c r="R3438" s="298"/>
      <c r="S3438" s="669"/>
      <c r="X3438" s="444">
        <v>3438</v>
      </c>
    </row>
    <row r="3439" spans="1:32" ht="12">
      <c r="A3439" s="83" t="s">
        <v>23939</v>
      </c>
      <c r="B3439" s="64" t="s">
        <v>23940</v>
      </c>
      <c r="C3439" s="71" t="s">
        <v>509</v>
      </c>
      <c r="D3439" s="79">
        <v>1</v>
      </c>
      <c r="E3439" s="79">
        <v>95.3</v>
      </c>
      <c r="F3439" s="79">
        <v>95.3</v>
      </c>
      <c r="G3439" s="445"/>
      <c r="H3439" s="178">
        <v>95.3</v>
      </c>
      <c r="I3439" s="178">
        <v>117.22</v>
      </c>
      <c r="J3439" s="70">
        <v>-21.92</v>
      </c>
      <c r="K3439" s="320"/>
      <c r="L3439" s="178">
        <v>34.010000000000005</v>
      </c>
      <c r="M3439" s="178">
        <v>61.289999999999992</v>
      </c>
      <c r="N3439" s="179">
        <v>0</v>
      </c>
      <c r="O3439" s="178">
        <v>95.3</v>
      </c>
      <c r="P3439" s="453"/>
      <c r="Q3439" s="61"/>
      <c r="R3439" s="298"/>
      <c r="S3439" s="669"/>
      <c r="U3439" s="61"/>
      <c r="V3439" s="61"/>
      <c r="W3439" s="61"/>
      <c r="X3439" s="444">
        <v>3439</v>
      </c>
      <c r="Y3439" s="61"/>
      <c r="Z3439" s="61"/>
      <c r="AA3439" s="61"/>
      <c r="AB3439" s="61"/>
      <c r="AC3439" s="61"/>
      <c r="AD3439" s="61"/>
      <c r="AE3439" s="61"/>
      <c r="AF3439" s="61"/>
    </row>
    <row r="3440" spans="1:32" s="61" customFormat="1" ht="12">
      <c r="A3440" s="83" t="s">
        <v>23941</v>
      </c>
      <c r="B3440" s="64" t="s">
        <v>23942</v>
      </c>
      <c r="C3440" s="71" t="s">
        <v>509</v>
      </c>
      <c r="D3440" s="79">
        <v>1</v>
      </c>
      <c r="E3440" s="79">
        <v>140.18</v>
      </c>
      <c r="F3440" s="79">
        <v>140.18</v>
      </c>
      <c r="G3440" s="445"/>
      <c r="H3440" s="178">
        <v>140.18</v>
      </c>
      <c r="I3440" s="178">
        <v>172.42</v>
      </c>
      <c r="J3440" s="70">
        <v>-32.239999999999981</v>
      </c>
      <c r="K3440" s="320"/>
      <c r="L3440" s="178"/>
      <c r="M3440" s="178">
        <v>140.18</v>
      </c>
      <c r="N3440" s="179">
        <v>0</v>
      </c>
      <c r="O3440" s="178">
        <v>140.18</v>
      </c>
      <c r="P3440" s="453"/>
      <c r="R3440" s="298"/>
      <c r="S3440" s="669"/>
      <c r="T3440" s="444"/>
      <c r="X3440" s="444">
        <v>3440</v>
      </c>
    </row>
    <row r="3441" spans="1:32" s="61" customFormat="1" ht="12">
      <c r="A3441" s="83" t="s">
        <v>23943</v>
      </c>
      <c r="B3441" s="64" t="s">
        <v>23944</v>
      </c>
      <c r="C3441" s="71" t="s">
        <v>509</v>
      </c>
      <c r="D3441" s="79">
        <v>1</v>
      </c>
      <c r="E3441" s="79">
        <v>201.97</v>
      </c>
      <c r="F3441" s="79">
        <v>201.97</v>
      </c>
      <c r="G3441" s="445"/>
      <c r="H3441" s="178">
        <v>201.97</v>
      </c>
      <c r="I3441" s="178">
        <v>248.42</v>
      </c>
      <c r="J3441" s="70">
        <v>-46.449999999999989</v>
      </c>
      <c r="K3441" s="320"/>
      <c r="L3441" s="178"/>
      <c r="M3441" s="178">
        <v>201.97</v>
      </c>
      <c r="N3441" s="179">
        <v>0</v>
      </c>
      <c r="O3441" s="178">
        <v>201.97</v>
      </c>
      <c r="P3441" s="453"/>
      <c r="R3441" s="298"/>
      <c r="S3441" s="669"/>
      <c r="T3441" s="444"/>
      <c r="X3441" s="444">
        <v>3441</v>
      </c>
    </row>
    <row r="3442" spans="1:32" s="61" customFormat="1" ht="12">
      <c r="A3442" s="83" t="s">
        <v>40100</v>
      </c>
      <c r="B3442" s="64" t="s">
        <v>40101</v>
      </c>
      <c r="C3442" s="71"/>
      <c r="D3442" s="79" t="s">
        <v>40899</v>
      </c>
      <c r="E3442" s="79" t="s">
        <v>40899</v>
      </c>
      <c r="F3442" s="79"/>
      <c r="G3442" s="445"/>
      <c r="H3442" s="178"/>
      <c r="I3442" s="178"/>
      <c r="J3442" s="70"/>
      <c r="K3442" s="320"/>
      <c r="L3442" s="178"/>
      <c r="M3442" s="178"/>
      <c r="N3442" s="179"/>
      <c r="O3442" s="178"/>
      <c r="P3442" s="453"/>
      <c r="R3442" s="298"/>
      <c r="S3442" s="669"/>
      <c r="T3442" s="444"/>
      <c r="U3442" s="444"/>
      <c r="V3442" s="444"/>
      <c r="W3442" s="444"/>
      <c r="X3442" s="444">
        <v>3442</v>
      </c>
      <c r="Y3442" s="444"/>
      <c r="Z3442" s="444"/>
      <c r="AA3442" s="444"/>
      <c r="AB3442" s="444"/>
      <c r="AC3442" s="444"/>
      <c r="AD3442" s="444"/>
      <c r="AE3442" s="444"/>
      <c r="AF3442" s="444"/>
    </row>
    <row r="3443" spans="1:32" ht="12">
      <c r="A3443" s="83" t="s">
        <v>23945</v>
      </c>
      <c r="B3443" s="64" t="s">
        <v>6331</v>
      </c>
      <c r="C3443" s="71" t="s">
        <v>6332</v>
      </c>
      <c r="D3443" s="79">
        <v>1</v>
      </c>
      <c r="E3443" s="79">
        <v>194.15</v>
      </c>
      <c r="F3443" s="79">
        <v>194.15</v>
      </c>
      <c r="G3443" s="445"/>
      <c r="H3443" s="178">
        <v>194.15</v>
      </c>
      <c r="I3443" s="178">
        <v>238.81</v>
      </c>
      <c r="J3443" s="70">
        <v>-44.66</v>
      </c>
      <c r="K3443" s="320"/>
      <c r="L3443" s="178">
        <v>44.47</v>
      </c>
      <c r="M3443" s="178">
        <v>149.68</v>
      </c>
      <c r="N3443" s="179">
        <v>0</v>
      </c>
      <c r="O3443" s="178">
        <v>194.15</v>
      </c>
      <c r="P3443" s="453"/>
      <c r="Q3443" s="61"/>
      <c r="R3443" s="298"/>
      <c r="S3443" s="669"/>
      <c r="X3443" s="444">
        <v>3443</v>
      </c>
    </row>
    <row r="3444" spans="1:32" ht="12">
      <c r="A3444" s="83" t="s">
        <v>40102</v>
      </c>
      <c r="B3444" s="64" t="s">
        <v>40103</v>
      </c>
      <c r="C3444" s="71"/>
      <c r="D3444" s="79" t="s">
        <v>40899</v>
      </c>
      <c r="E3444" s="79" t="s">
        <v>40899</v>
      </c>
      <c r="F3444" s="79"/>
      <c r="G3444" s="445"/>
      <c r="H3444" s="178"/>
      <c r="I3444" s="178"/>
      <c r="J3444" s="70"/>
      <c r="K3444" s="320"/>
      <c r="L3444" s="178"/>
      <c r="M3444" s="178"/>
      <c r="N3444" s="179"/>
      <c r="O3444" s="178"/>
      <c r="P3444" s="453"/>
      <c r="Q3444" s="61"/>
      <c r="R3444" s="298"/>
      <c r="S3444" s="669"/>
      <c r="X3444" s="444">
        <v>3444</v>
      </c>
    </row>
    <row r="3445" spans="1:32" ht="12">
      <c r="A3445" s="83" t="s">
        <v>23946</v>
      </c>
      <c r="B3445" s="64" t="s">
        <v>23947</v>
      </c>
      <c r="C3445" s="71" t="s">
        <v>103</v>
      </c>
      <c r="D3445" s="79">
        <v>1</v>
      </c>
      <c r="E3445" s="79">
        <v>29.04</v>
      </c>
      <c r="F3445" s="79">
        <v>29.04</v>
      </c>
      <c r="G3445" s="445"/>
      <c r="H3445" s="178">
        <v>29.03</v>
      </c>
      <c r="I3445" s="178">
        <v>35.71</v>
      </c>
      <c r="J3445" s="70">
        <v>-6.6700000000000017</v>
      </c>
      <c r="K3445" s="320"/>
      <c r="L3445" s="178">
        <v>29.04</v>
      </c>
      <c r="M3445" s="178">
        <v>0</v>
      </c>
      <c r="N3445" s="179">
        <v>0</v>
      </c>
      <c r="O3445" s="178">
        <v>29.04</v>
      </c>
      <c r="P3445" s="453"/>
      <c r="Q3445" s="61"/>
      <c r="R3445" s="298"/>
      <c r="S3445" s="669"/>
      <c r="X3445" s="444">
        <v>3445</v>
      </c>
    </row>
    <row r="3446" spans="1:32" ht="12">
      <c r="A3446" s="83" t="s">
        <v>23948</v>
      </c>
      <c r="B3446" s="64" t="s">
        <v>23949</v>
      </c>
      <c r="C3446" s="71" t="s">
        <v>509</v>
      </c>
      <c r="D3446" s="79">
        <v>1</v>
      </c>
      <c r="E3446" s="79">
        <v>2.46</v>
      </c>
      <c r="F3446" s="79">
        <v>2.46</v>
      </c>
      <c r="G3446" s="445"/>
      <c r="H3446" s="178">
        <v>2.46</v>
      </c>
      <c r="I3446" s="178">
        <v>3.03</v>
      </c>
      <c r="J3446" s="70">
        <v>-0.56999999999999984</v>
      </c>
      <c r="K3446" s="320"/>
      <c r="L3446" s="178">
        <v>2.46</v>
      </c>
      <c r="M3446" s="178">
        <v>0</v>
      </c>
      <c r="N3446" s="179">
        <v>0</v>
      </c>
      <c r="O3446" s="178">
        <v>2.46</v>
      </c>
      <c r="P3446" s="453"/>
      <c r="Q3446" s="61"/>
      <c r="R3446" s="298"/>
      <c r="S3446" s="669"/>
      <c r="X3446" s="444">
        <v>3446</v>
      </c>
    </row>
    <row r="3447" spans="1:32" ht="12">
      <c r="A3447" s="83" t="s">
        <v>23950</v>
      </c>
      <c r="B3447" s="64" t="s">
        <v>23951</v>
      </c>
      <c r="C3447" s="71" t="s">
        <v>121</v>
      </c>
      <c r="D3447" s="79">
        <v>1</v>
      </c>
      <c r="E3447" s="79">
        <v>290.33000000000004</v>
      </c>
      <c r="F3447" s="79">
        <v>290.33</v>
      </c>
      <c r="G3447" s="445"/>
      <c r="H3447" s="178">
        <v>290.33</v>
      </c>
      <c r="I3447" s="178">
        <v>357.1</v>
      </c>
      <c r="J3447" s="70">
        <v>-66.769999999999982</v>
      </c>
      <c r="K3447" s="320"/>
      <c r="L3447" s="178">
        <v>290.33000000000004</v>
      </c>
      <c r="M3447" s="178">
        <v>0</v>
      </c>
      <c r="N3447" s="179">
        <v>0</v>
      </c>
      <c r="O3447" s="178">
        <v>290.33000000000004</v>
      </c>
      <c r="P3447" s="453"/>
      <c r="Q3447" s="61"/>
      <c r="R3447" s="298"/>
      <c r="S3447" s="669"/>
      <c r="X3447" s="444">
        <v>3447</v>
      </c>
    </row>
    <row r="3448" spans="1:32" ht="12">
      <c r="A3448" s="83" t="s">
        <v>23952</v>
      </c>
      <c r="B3448" s="64" t="s">
        <v>23953</v>
      </c>
      <c r="C3448" s="71" t="s">
        <v>121</v>
      </c>
      <c r="D3448" s="79">
        <v>1</v>
      </c>
      <c r="E3448" s="79">
        <v>148.28</v>
      </c>
      <c r="F3448" s="79">
        <v>148.28</v>
      </c>
      <c r="G3448" s="445"/>
      <c r="H3448" s="178">
        <v>148.27000000000001</v>
      </c>
      <c r="I3448" s="178">
        <v>182.37</v>
      </c>
      <c r="J3448" s="70">
        <v>-34.090000000000003</v>
      </c>
      <c r="K3448" s="320"/>
      <c r="L3448" s="178">
        <v>40.200000000000003</v>
      </c>
      <c r="M3448" s="178">
        <v>108.08</v>
      </c>
      <c r="N3448" s="179">
        <v>0</v>
      </c>
      <c r="O3448" s="178">
        <v>148.28</v>
      </c>
      <c r="P3448" s="453"/>
      <c r="Q3448" s="61"/>
      <c r="R3448" s="298"/>
      <c r="S3448" s="669"/>
      <c r="X3448" s="444">
        <v>3448</v>
      </c>
    </row>
    <row r="3449" spans="1:32" ht="12">
      <c r="A3449" s="83" t="s">
        <v>23954</v>
      </c>
      <c r="B3449" s="64" t="s">
        <v>18570</v>
      </c>
      <c r="C3449" s="71" t="s">
        <v>10216</v>
      </c>
      <c r="D3449" s="79">
        <v>1</v>
      </c>
      <c r="E3449" s="79">
        <v>577.26</v>
      </c>
      <c r="F3449" s="79">
        <v>577.26</v>
      </c>
      <c r="G3449" s="445"/>
      <c r="H3449" s="178">
        <v>577.25</v>
      </c>
      <c r="I3449" s="178">
        <v>710.02</v>
      </c>
      <c r="J3449" s="70">
        <v>-132.76</v>
      </c>
      <c r="K3449" s="320"/>
      <c r="L3449" s="178"/>
      <c r="M3449" s="178">
        <v>577.26</v>
      </c>
      <c r="N3449" s="179">
        <v>0</v>
      </c>
      <c r="O3449" s="178">
        <v>577.26</v>
      </c>
      <c r="P3449" s="453"/>
      <c r="Q3449" s="61"/>
      <c r="R3449" s="298"/>
      <c r="S3449" s="669"/>
      <c r="X3449" s="444">
        <v>3449</v>
      </c>
    </row>
    <row r="3450" spans="1:32" ht="12">
      <c r="A3450" s="83" t="s">
        <v>40104</v>
      </c>
      <c r="B3450" s="64" t="s">
        <v>40105</v>
      </c>
      <c r="C3450" s="71"/>
      <c r="D3450" s="79" t="s">
        <v>40899</v>
      </c>
      <c r="E3450" s="79" t="s">
        <v>40899</v>
      </c>
      <c r="F3450" s="79"/>
      <c r="G3450" s="445"/>
      <c r="H3450" s="178"/>
      <c r="I3450" s="178"/>
      <c r="J3450" s="70"/>
      <c r="K3450" s="320"/>
      <c r="L3450" s="178"/>
      <c r="M3450" s="178"/>
      <c r="N3450" s="179"/>
      <c r="O3450" s="178"/>
      <c r="P3450" s="453"/>
      <c r="Q3450" s="61"/>
      <c r="R3450" s="298"/>
      <c r="S3450" s="669"/>
      <c r="X3450" s="444">
        <v>3450</v>
      </c>
    </row>
    <row r="3451" spans="1:32" ht="12">
      <c r="A3451" s="83" t="s">
        <v>23955</v>
      </c>
      <c r="B3451" s="64" t="s">
        <v>23956</v>
      </c>
      <c r="C3451" s="71" t="s">
        <v>509</v>
      </c>
      <c r="D3451" s="79">
        <v>1</v>
      </c>
      <c r="E3451" s="79">
        <v>101.78999999999999</v>
      </c>
      <c r="F3451" s="79">
        <v>101.79</v>
      </c>
      <c r="G3451" s="445"/>
      <c r="H3451" s="178">
        <v>101.79</v>
      </c>
      <c r="I3451" s="178">
        <v>125.2</v>
      </c>
      <c r="J3451" s="70">
        <v>-23.410000000000011</v>
      </c>
      <c r="K3451" s="320"/>
      <c r="L3451" s="178">
        <v>24.71</v>
      </c>
      <c r="M3451" s="178">
        <v>77.079999999999984</v>
      </c>
      <c r="N3451" s="179">
        <v>0</v>
      </c>
      <c r="O3451" s="178">
        <v>101.78999999999999</v>
      </c>
      <c r="P3451" s="453"/>
      <c r="Q3451" s="61"/>
      <c r="R3451" s="298"/>
      <c r="S3451" s="669"/>
      <c r="X3451" s="444">
        <v>3451</v>
      </c>
    </row>
    <row r="3452" spans="1:32" ht="12">
      <c r="A3452" s="83" t="s">
        <v>23957</v>
      </c>
      <c r="B3452" s="64" t="s">
        <v>23958</v>
      </c>
      <c r="C3452" s="71" t="s">
        <v>207</v>
      </c>
      <c r="D3452" s="79">
        <v>1</v>
      </c>
      <c r="E3452" s="79">
        <v>43.68</v>
      </c>
      <c r="F3452" s="79">
        <v>43.68</v>
      </c>
      <c r="G3452" s="445"/>
      <c r="H3452" s="178">
        <v>43.67</v>
      </c>
      <c r="I3452" s="178">
        <v>53.72</v>
      </c>
      <c r="J3452" s="70">
        <v>-10.039999999999999</v>
      </c>
      <c r="K3452" s="320"/>
      <c r="L3452" s="178"/>
      <c r="M3452" s="178">
        <v>43.68</v>
      </c>
      <c r="N3452" s="179">
        <v>0</v>
      </c>
      <c r="O3452" s="178">
        <v>43.68</v>
      </c>
      <c r="P3452" s="453"/>
      <c r="Q3452" s="61"/>
      <c r="R3452" s="298"/>
      <c r="S3452" s="669"/>
      <c r="X3452" s="444">
        <v>3452</v>
      </c>
    </row>
    <row r="3453" spans="1:32" ht="12">
      <c r="A3453" s="83" t="s">
        <v>23959</v>
      </c>
      <c r="B3453" s="64" t="s">
        <v>23960</v>
      </c>
      <c r="C3453" s="71" t="s">
        <v>165</v>
      </c>
      <c r="D3453" s="79">
        <v>1</v>
      </c>
      <c r="E3453" s="79">
        <v>105.16999999999999</v>
      </c>
      <c r="F3453" s="79">
        <v>105.17</v>
      </c>
      <c r="G3453" s="445"/>
      <c r="H3453" s="178">
        <v>105.18</v>
      </c>
      <c r="I3453" s="178">
        <v>129.37</v>
      </c>
      <c r="J3453" s="70">
        <v>-24.200000000000017</v>
      </c>
      <c r="K3453" s="320"/>
      <c r="L3453" s="178">
        <v>91.97</v>
      </c>
      <c r="M3453" s="178">
        <v>13.199999999999989</v>
      </c>
      <c r="N3453" s="179">
        <v>0</v>
      </c>
      <c r="O3453" s="178">
        <v>105.16999999999999</v>
      </c>
      <c r="P3453" s="453"/>
      <c r="Q3453" s="61"/>
      <c r="R3453" s="298"/>
      <c r="S3453" s="669"/>
      <c r="X3453" s="444">
        <v>3453</v>
      </c>
    </row>
    <row r="3454" spans="1:32" ht="12">
      <c r="A3454" s="83" t="s">
        <v>23961</v>
      </c>
      <c r="B3454" s="64" t="s">
        <v>23962</v>
      </c>
      <c r="C3454" s="71" t="s">
        <v>509</v>
      </c>
      <c r="D3454" s="79">
        <v>1</v>
      </c>
      <c r="E3454" s="79">
        <v>99.100000000000009</v>
      </c>
      <c r="F3454" s="79">
        <v>99.1</v>
      </c>
      <c r="G3454" s="445"/>
      <c r="H3454" s="178">
        <v>99.1</v>
      </c>
      <c r="I3454" s="178">
        <v>121.89</v>
      </c>
      <c r="J3454" s="70">
        <v>-22.789999999999992</v>
      </c>
      <c r="K3454" s="320"/>
      <c r="L3454" s="178">
        <v>11.79</v>
      </c>
      <c r="M3454" s="178">
        <v>87.31</v>
      </c>
      <c r="N3454" s="179">
        <v>0</v>
      </c>
      <c r="O3454" s="178">
        <v>99.1</v>
      </c>
      <c r="P3454" s="453"/>
      <c r="Q3454" s="61"/>
      <c r="R3454" s="298"/>
      <c r="S3454" s="669"/>
      <c r="X3454" s="444">
        <v>3454</v>
      </c>
    </row>
    <row r="3455" spans="1:32" ht="12">
      <c r="A3455" s="83" t="s">
        <v>23963</v>
      </c>
      <c r="B3455" s="64" t="s">
        <v>23964</v>
      </c>
      <c r="C3455" s="71" t="s">
        <v>509</v>
      </c>
      <c r="D3455" s="79">
        <v>1</v>
      </c>
      <c r="E3455" s="79">
        <v>114.32999999999998</v>
      </c>
      <c r="F3455" s="79">
        <v>114.33</v>
      </c>
      <c r="G3455" s="445"/>
      <c r="H3455" s="178">
        <v>114.33</v>
      </c>
      <c r="I3455" s="178">
        <v>140.63</v>
      </c>
      <c r="J3455" s="70">
        <v>-26.300000000000011</v>
      </c>
      <c r="K3455" s="320"/>
      <c r="L3455" s="178">
        <v>13.76</v>
      </c>
      <c r="M3455" s="178">
        <v>100.56999999999998</v>
      </c>
      <c r="N3455" s="179">
        <v>0</v>
      </c>
      <c r="O3455" s="178">
        <v>114.32999999999998</v>
      </c>
      <c r="P3455" s="453"/>
      <c r="Q3455" s="61"/>
      <c r="R3455" s="298"/>
      <c r="S3455" s="669"/>
      <c r="X3455" s="444">
        <v>3455</v>
      </c>
    </row>
    <row r="3456" spans="1:32" ht="12">
      <c r="A3456" s="83" t="s">
        <v>23965</v>
      </c>
      <c r="B3456" s="64" t="s">
        <v>23966</v>
      </c>
      <c r="C3456" s="71" t="s">
        <v>509</v>
      </c>
      <c r="D3456" s="79">
        <v>1</v>
      </c>
      <c r="E3456" s="79">
        <v>78.610000000000014</v>
      </c>
      <c r="F3456" s="79">
        <v>78.61</v>
      </c>
      <c r="G3456" s="445"/>
      <c r="H3456" s="178">
        <v>78.599999999999994</v>
      </c>
      <c r="I3456" s="178">
        <v>96.68</v>
      </c>
      <c r="J3456" s="70">
        <v>-18.069999999999993</v>
      </c>
      <c r="K3456" s="320"/>
      <c r="L3456" s="178">
        <v>37.07</v>
      </c>
      <c r="M3456" s="178">
        <v>41.540000000000013</v>
      </c>
      <c r="N3456" s="179">
        <v>0</v>
      </c>
      <c r="O3456" s="178">
        <v>78.610000000000014</v>
      </c>
      <c r="P3456" s="453"/>
      <c r="Q3456" s="61"/>
      <c r="R3456" s="298"/>
      <c r="S3456" s="669"/>
      <c r="X3456" s="444">
        <v>3456</v>
      </c>
    </row>
    <row r="3457" spans="1:24" ht="12">
      <c r="A3457" s="83" t="s">
        <v>23967</v>
      </c>
      <c r="B3457" s="64" t="s">
        <v>23968</v>
      </c>
      <c r="C3457" s="71" t="s">
        <v>165</v>
      </c>
      <c r="D3457" s="79">
        <v>1</v>
      </c>
      <c r="E3457" s="79">
        <v>96.399999999999991</v>
      </c>
      <c r="F3457" s="79">
        <v>96.4</v>
      </c>
      <c r="G3457" s="445"/>
      <c r="H3457" s="178">
        <v>96.38</v>
      </c>
      <c r="I3457" s="178">
        <v>118.55</v>
      </c>
      <c r="J3457" s="70">
        <v>-22.150000000000006</v>
      </c>
      <c r="K3457" s="320"/>
      <c r="L3457" s="178">
        <v>18.049999999999997</v>
      </c>
      <c r="M3457" s="178">
        <v>78.349999999999994</v>
      </c>
      <c r="N3457" s="179">
        <v>0</v>
      </c>
      <c r="O3457" s="178">
        <v>96.399999999999991</v>
      </c>
      <c r="P3457" s="453"/>
      <c r="Q3457" s="61"/>
      <c r="R3457" s="298"/>
      <c r="S3457" s="669"/>
      <c r="X3457" s="444">
        <v>3457</v>
      </c>
    </row>
    <row r="3458" spans="1:24" ht="12">
      <c r="A3458" s="83" t="s">
        <v>23969</v>
      </c>
      <c r="B3458" s="64" t="s">
        <v>23970</v>
      </c>
      <c r="C3458" s="71" t="s">
        <v>509</v>
      </c>
      <c r="D3458" s="79">
        <v>1</v>
      </c>
      <c r="E3458" s="79">
        <v>59.550000000000004</v>
      </c>
      <c r="F3458" s="79">
        <v>59.55</v>
      </c>
      <c r="G3458" s="445"/>
      <c r="H3458" s="178">
        <v>59.55</v>
      </c>
      <c r="I3458" s="178">
        <v>73.25</v>
      </c>
      <c r="J3458" s="70">
        <v>-13.699999999999996</v>
      </c>
      <c r="K3458" s="320"/>
      <c r="L3458" s="178">
        <v>22.73</v>
      </c>
      <c r="M3458" s="178">
        <v>36.820000000000007</v>
      </c>
      <c r="N3458" s="179">
        <v>0</v>
      </c>
      <c r="O3458" s="178">
        <v>59.550000000000011</v>
      </c>
      <c r="P3458" s="453"/>
      <c r="Q3458" s="61"/>
      <c r="R3458" s="298"/>
      <c r="S3458" s="669"/>
      <c r="X3458" s="444">
        <v>3458</v>
      </c>
    </row>
    <row r="3459" spans="1:24" ht="12">
      <c r="A3459" s="83" t="s">
        <v>23971</v>
      </c>
      <c r="B3459" s="64" t="s">
        <v>22527</v>
      </c>
      <c r="C3459" s="71" t="s">
        <v>509</v>
      </c>
      <c r="D3459" s="79">
        <v>1</v>
      </c>
      <c r="E3459" s="79">
        <v>20.34</v>
      </c>
      <c r="F3459" s="79">
        <v>20.34</v>
      </c>
      <c r="G3459" s="320"/>
      <c r="H3459" s="178">
        <v>20.350000000000001</v>
      </c>
      <c r="I3459" s="178">
        <v>25.03</v>
      </c>
      <c r="J3459" s="70">
        <v>-4.6900000000000013</v>
      </c>
      <c r="K3459" s="320"/>
      <c r="L3459" s="178">
        <v>4.8599999999999994</v>
      </c>
      <c r="M3459" s="178">
        <v>15.48</v>
      </c>
      <c r="N3459" s="179">
        <v>0</v>
      </c>
      <c r="O3459" s="178">
        <v>20.34</v>
      </c>
      <c r="P3459" s="453"/>
      <c r="Q3459" s="61"/>
      <c r="R3459" s="298"/>
      <c r="S3459" s="669"/>
      <c r="X3459" s="444">
        <v>3459</v>
      </c>
    </row>
    <row r="3460" spans="1:24" ht="12">
      <c r="A3460" s="83" t="s">
        <v>23972</v>
      </c>
      <c r="B3460" s="64" t="s">
        <v>22534</v>
      </c>
      <c r="C3460" s="71" t="s">
        <v>509</v>
      </c>
      <c r="D3460" s="79">
        <v>1</v>
      </c>
      <c r="E3460" s="79">
        <v>3.02</v>
      </c>
      <c r="F3460" s="79">
        <v>3.02</v>
      </c>
      <c r="G3460" s="445"/>
      <c r="H3460" s="178">
        <v>3.02</v>
      </c>
      <c r="I3460" s="178">
        <v>3.71</v>
      </c>
      <c r="J3460" s="70">
        <v>-0.69</v>
      </c>
      <c r="K3460" s="320"/>
      <c r="L3460" s="178">
        <v>0.66999999999999993</v>
      </c>
      <c r="M3460" s="178">
        <v>2.35</v>
      </c>
      <c r="N3460" s="179">
        <v>0</v>
      </c>
      <c r="O3460" s="178">
        <v>3.02</v>
      </c>
      <c r="P3460" s="453"/>
      <c r="Q3460" s="61"/>
      <c r="R3460" s="298"/>
      <c r="S3460" s="669"/>
      <c r="X3460" s="444">
        <v>3460</v>
      </c>
    </row>
    <row r="3461" spans="1:24" ht="12">
      <c r="A3461" s="83" t="s">
        <v>23973</v>
      </c>
      <c r="B3461" s="64" t="s">
        <v>22555</v>
      </c>
      <c r="C3461" s="71" t="s">
        <v>509</v>
      </c>
      <c r="D3461" s="79">
        <v>1</v>
      </c>
      <c r="E3461" s="79">
        <v>13.26</v>
      </c>
      <c r="F3461" s="79">
        <v>13.26</v>
      </c>
      <c r="G3461" s="445"/>
      <c r="H3461" s="178">
        <v>13.25</v>
      </c>
      <c r="I3461" s="178">
        <v>16.3</v>
      </c>
      <c r="J3461" s="70">
        <v>-3.0400000000000009</v>
      </c>
      <c r="K3461" s="320"/>
      <c r="L3461" s="178">
        <v>1.58</v>
      </c>
      <c r="M3461" s="178">
        <v>11.68</v>
      </c>
      <c r="N3461" s="179">
        <v>0</v>
      </c>
      <c r="O3461" s="178">
        <v>13.26</v>
      </c>
      <c r="P3461" s="453"/>
      <c r="Q3461" s="61"/>
      <c r="R3461" s="298"/>
      <c r="S3461" s="669"/>
      <c r="X3461" s="444">
        <v>3461</v>
      </c>
    </row>
    <row r="3462" spans="1:24" ht="12">
      <c r="A3462" s="83" t="s">
        <v>23974</v>
      </c>
      <c r="B3462" s="64" t="s">
        <v>22557</v>
      </c>
      <c r="C3462" s="71" t="s">
        <v>509</v>
      </c>
      <c r="D3462" s="79">
        <v>1</v>
      </c>
      <c r="E3462" s="79">
        <v>25.700000000000003</v>
      </c>
      <c r="F3462" s="79">
        <v>25.7</v>
      </c>
      <c r="G3462" s="445"/>
      <c r="H3462" s="178">
        <v>25.69</v>
      </c>
      <c r="I3462" s="178">
        <v>31.6</v>
      </c>
      <c r="J3462" s="70">
        <v>-5.8999999999999986</v>
      </c>
      <c r="K3462" s="320"/>
      <c r="L3462" s="178">
        <v>2.11</v>
      </c>
      <c r="M3462" s="178">
        <v>23.590000000000003</v>
      </c>
      <c r="N3462" s="179">
        <v>0</v>
      </c>
      <c r="O3462" s="178">
        <v>25.700000000000003</v>
      </c>
      <c r="P3462" s="453"/>
      <c r="Q3462" s="61"/>
      <c r="R3462" s="298"/>
      <c r="S3462" s="669"/>
      <c r="X3462" s="444">
        <v>3462</v>
      </c>
    </row>
    <row r="3463" spans="1:24" ht="12">
      <c r="A3463" s="83" t="s">
        <v>23975</v>
      </c>
      <c r="B3463" s="64" t="s">
        <v>22531</v>
      </c>
      <c r="C3463" s="71" t="s">
        <v>509</v>
      </c>
      <c r="D3463" s="79">
        <v>1</v>
      </c>
      <c r="E3463" s="79">
        <v>32.1</v>
      </c>
      <c r="F3463" s="79">
        <v>32.1</v>
      </c>
      <c r="G3463" s="445"/>
      <c r="H3463" s="178">
        <v>32.1</v>
      </c>
      <c r="I3463" s="178">
        <v>39.479999999999997</v>
      </c>
      <c r="J3463" s="70">
        <v>-7.3799999999999955</v>
      </c>
      <c r="K3463" s="320"/>
      <c r="L3463" s="178">
        <v>7.41</v>
      </c>
      <c r="M3463" s="178">
        <v>24.69</v>
      </c>
      <c r="N3463" s="179">
        <v>0</v>
      </c>
      <c r="O3463" s="178">
        <v>32.1</v>
      </c>
      <c r="P3463" s="453"/>
      <c r="Q3463" s="61"/>
      <c r="R3463" s="298"/>
      <c r="S3463" s="669"/>
      <c r="X3463" s="444">
        <v>3463</v>
      </c>
    </row>
    <row r="3464" spans="1:24" ht="12">
      <c r="A3464" s="83" t="s">
        <v>23976</v>
      </c>
      <c r="B3464" s="64" t="s">
        <v>22559</v>
      </c>
      <c r="C3464" s="71" t="s">
        <v>509</v>
      </c>
      <c r="D3464" s="79">
        <v>1</v>
      </c>
      <c r="E3464" s="79">
        <v>94.12</v>
      </c>
      <c r="F3464" s="79">
        <v>94.12</v>
      </c>
      <c r="G3464" s="445"/>
      <c r="H3464" s="178">
        <v>94.11</v>
      </c>
      <c r="I3464" s="178">
        <v>115.76</v>
      </c>
      <c r="J3464" s="70">
        <v>-21.64</v>
      </c>
      <c r="K3464" s="320"/>
      <c r="L3464" s="178">
        <v>9.92</v>
      </c>
      <c r="M3464" s="178">
        <v>84.2</v>
      </c>
      <c r="N3464" s="179">
        <v>0</v>
      </c>
      <c r="O3464" s="178">
        <v>94.12</v>
      </c>
      <c r="P3464" s="453"/>
      <c r="Q3464" s="61"/>
      <c r="R3464" s="298"/>
      <c r="S3464" s="669"/>
      <c r="X3464" s="444">
        <v>3464</v>
      </c>
    </row>
    <row r="3465" spans="1:24" ht="12">
      <c r="A3465" s="83" t="s">
        <v>23977</v>
      </c>
      <c r="B3465" s="64" t="s">
        <v>23978</v>
      </c>
      <c r="C3465" s="71" t="s">
        <v>103</v>
      </c>
      <c r="D3465" s="79">
        <v>1</v>
      </c>
      <c r="E3465" s="79">
        <v>294.44</v>
      </c>
      <c r="F3465" s="79">
        <v>294.44</v>
      </c>
      <c r="G3465" s="445"/>
      <c r="H3465" s="178">
        <v>294.41000000000003</v>
      </c>
      <c r="I3465" s="178">
        <v>362.13</v>
      </c>
      <c r="J3465" s="70">
        <v>-67.69</v>
      </c>
      <c r="K3465" s="320"/>
      <c r="L3465" s="178">
        <v>25.659999999999997</v>
      </c>
      <c r="M3465" s="178">
        <v>268.77999999999997</v>
      </c>
      <c r="N3465" s="179">
        <v>0</v>
      </c>
      <c r="O3465" s="178">
        <v>294.43999999999994</v>
      </c>
      <c r="P3465" s="453"/>
      <c r="Q3465" s="61"/>
      <c r="R3465" s="298"/>
      <c r="S3465" s="669"/>
      <c r="X3465" s="444">
        <v>3465</v>
      </c>
    </row>
    <row r="3466" spans="1:24" ht="12">
      <c r="A3466" s="83" t="s">
        <v>23979</v>
      </c>
      <c r="B3466" s="64" t="s">
        <v>22561</v>
      </c>
      <c r="C3466" s="71" t="s">
        <v>509</v>
      </c>
      <c r="D3466" s="79">
        <v>1</v>
      </c>
      <c r="E3466" s="79">
        <v>96.61</v>
      </c>
      <c r="F3466" s="79">
        <v>96.61</v>
      </c>
      <c r="G3466" s="445"/>
      <c r="H3466" s="178">
        <v>96.6</v>
      </c>
      <c r="I3466" s="178">
        <v>118.82</v>
      </c>
      <c r="J3466" s="70">
        <v>-22.209999999999994</v>
      </c>
      <c r="K3466" s="320"/>
      <c r="L3466" s="178">
        <v>10.899999999999999</v>
      </c>
      <c r="M3466" s="178">
        <v>85.710000000000008</v>
      </c>
      <c r="N3466" s="179">
        <v>0</v>
      </c>
      <c r="O3466" s="178">
        <v>96.610000000000014</v>
      </c>
      <c r="P3466" s="453"/>
      <c r="Q3466" s="61"/>
      <c r="R3466" s="298"/>
      <c r="S3466" s="669"/>
      <c r="X3466" s="444">
        <v>3466</v>
      </c>
    </row>
    <row r="3467" spans="1:24" ht="12">
      <c r="A3467" s="83" t="s">
        <v>23980</v>
      </c>
      <c r="B3467" s="64" t="s">
        <v>7768</v>
      </c>
      <c r="C3467" s="71" t="s">
        <v>103</v>
      </c>
      <c r="D3467" s="79">
        <v>1</v>
      </c>
      <c r="E3467" s="79">
        <v>1238.78</v>
      </c>
      <c r="F3467" s="79">
        <v>1238.78</v>
      </c>
      <c r="G3467" s="445"/>
      <c r="H3467" s="178">
        <v>1238.78</v>
      </c>
      <c r="I3467" s="178">
        <v>1523.7</v>
      </c>
      <c r="J3467" s="70">
        <v>-284.92000000000007</v>
      </c>
      <c r="K3467" s="320"/>
      <c r="L3467" s="178">
        <v>51.28</v>
      </c>
      <c r="M3467" s="178">
        <v>1187.5</v>
      </c>
      <c r="N3467" s="179">
        <v>0</v>
      </c>
      <c r="O3467" s="178">
        <v>1238.78</v>
      </c>
      <c r="P3467" s="453"/>
      <c r="Q3467" s="61"/>
      <c r="R3467" s="298"/>
      <c r="S3467" s="669"/>
      <c r="X3467" s="444">
        <v>3467</v>
      </c>
    </row>
    <row r="3468" spans="1:24" ht="12">
      <c r="A3468" s="83" t="s">
        <v>23981</v>
      </c>
      <c r="B3468" s="64" t="s">
        <v>23982</v>
      </c>
      <c r="C3468" s="71" t="s">
        <v>165</v>
      </c>
      <c r="D3468" s="79">
        <v>1</v>
      </c>
      <c r="E3468" s="79">
        <v>65.949999999999989</v>
      </c>
      <c r="F3468" s="79">
        <v>65.95</v>
      </c>
      <c r="G3468" s="445"/>
      <c r="H3468" s="178">
        <v>65.94</v>
      </c>
      <c r="I3468" s="178">
        <v>81.11</v>
      </c>
      <c r="J3468" s="70">
        <v>-15.160000000000011</v>
      </c>
      <c r="K3468" s="320"/>
      <c r="L3468" s="178">
        <v>14.99</v>
      </c>
      <c r="M3468" s="178">
        <v>50.959999999999987</v>
      </c>
      <c r="N3468" s="179">
        <v>0</v>
      </c>
      <c r="O3468" s="178">
        <v>65.949999999999989</v>
      </c>
      <c r="P3468" s="453"/>
      <c r="Q3468" s="61"/>
      <c r="R3468" s="298"/>
      <c r="S3468" s="669"/>
      <c r="X3468" s="444">
        <v>3468</v>
      </c>
    </row>
    <row r="3469" spans="1:24" ht="12">
      <c r="A3469" s="83" t="s">
        <v>23983</v>
      </c>
      <c r="B3469" s="64" t="s">
        <v>23984</v>
      </c>
      <c r="C3469" s="71" t="s">
        <v>165</v>
      </c>
      <c r="D3469" s="79">
        <v>1</v>
      </c>
      <c r="E3469" s="79">
        <v>895.35</v>
      </c>
      <c r="F3469" s="79">
        <v>895.35</v>
      </c>
      <c r="G3469" s="320"/>
      <c r="H3469" s="178">
        <v>895.35</v>
      </c>
      <c r="I3469" s="178">
        <v>1101.28</v>
      </c>
      <c r="J3469" s="70">
        <v>-205.92999999999995</v>
      </c>
      <c r="K3469" s="320"/>
      <c r="L3469" s="178">
        <v>58.83</v>
      </c>
      <c r="M3469" s="178">
        <v>836.52</v>
      </c>
      <c r="N3469" s="179">
        <v>0</v>
      </c>
      <c r="O3469" s="178">
        <v>895.35</v>
      </c>
      <c r="P3469" s="453"/>
      <c r="Q3469" s="61"/>
      <c r="R3469" s="298"/>
      <c r="S3469" s="669"/>
      <c r="X3469" s="444">
        <v>3469</v>
      </c>
    </row>
    <row r="3470" spans="1:24">
      <c r="A3470" s="67" t="s">
        <v>29684</v>
      </c>
      <c r="B3470" s="67" t="s">
        <v>39916</v>
      </c>
      <c r="C3470" s="71" t="s">
        <v>509</v>
      </c>
      <c r="D3470" s="79">
        <v>1</v>
      </c>
      <c r="E3470" s="79">
        <v>15.549999999999999</v>
      </c>
      <c r="F3470" s="79">
        <v>15.55</v>
      </c>
      <c r="H3470" s="178">
        <v>15.54</v>
      </c>
      <c r="I3470" s="178">
        <v>19.12</v>
      </c>
      <c r="J3470" s="70">
        <v>-3.5700000000000021</v>
      </c>
      <c r="K3470" s="320"/>
      <c r="L3470" s="178">
        <v>2.11</v>
      </c>
      <c r="M3470" s="178">
        <v>13.44</v>
      </c>
      <c r="N3470" s="179">
        <v>0</v>
      </c>
      <c r="O3470" s="178">
        <v>15.549999999999999</v>
      </c>
      <c r="Q3470" s="61"/>
      <c r="R3470" s="298"/>
      <c r="S3470" s="669"/>
      <c r="X3470" s="444">
        <v>3470</v>
      </c>
    </row>
    <row r="3471" spans="1:24">
      <c r="A3471" s="67" t="s">
        <v>29685</v>
      </c>
      <c r="B3471" s="67" t="s">
        <v>39539</v>
      </c>
      <c r="C3471" s="71" t="s">
        <v>509</v>
      </c>
      <c r="D3471" s="79">
        <v>1</v>
      </c>
      <c r="E3471" s="79">
        <v>20.52</v>
      </c>
      <c r="F3471" s="79">
        <v>20.52</v>
      </c>
      <c r="H3471" s="178">
        <v>20.51</v>
      </c>
      <c r="I3471" s="178">
        <v>25.23</v>
      </c>
      <c r="J3471" s="70">
        <v>-4.7100000000000009</v>
      </c>
      <c r="K3471" s="320"/>
      <c r="L3471" s="178">
        <v>2.11</v>
      </c>
      <c r="M3471" s="178">
        <v>18.41</v>
      </c>
      <c r="N3471" s="179">
        <v>0</v>
      </c>
      <c r="O3471" s="178">
        <v>20.52</v>
      </c>
      <c r="Q3471" s="61"/>
      <c r="R3471" s="298"/>
      <c r="S3471" s="669"/>
      <c r="X3471" s="444">
        <v>3471</v>
      </c>
    </row>
    <row r="3472" spans="1:24" ht="12">
      <c r="A3472" s="83" t="s">
        <v>23985</v>
      </c>
      <c r="B3472" s="64" t="s">
        <v>29686</v>
      </c>
      <c r="C3472" s="71" t="s">
        <v>121</v>
      </c>
      <c r="D3472" s="79">
        <v>1</v>
      </c>
      <c r="E3472" s="79">
        <v>713.9</v>
      </c>
      <c r="F3472" s="79">
        <v>713.9</v>
      </c>
      <c r="G3472" s="445"/>
      <c r="H3472" s="178">
        <v>713.89</v>
      </c>
      <c r="I3472" s="178">
        <v>878.09</v>
      </c>
      <c r="J3472" s="70">
        <v>-164.19000000000005</v>
      </c>
      <c r="K3472" s="320"/>
      <c r="L3472" s="178">
        <v>214.05</v>
      </c>
      <c r="M3472" s="178">
        <v>499.84999999999997</v>
      </c>
      <c r="N3472" s="179">
        <v>0</v>
      </c>
      <c r="O3472" s="178">
        <v>713.9</v>
      </c>
      <c r="P3472" s="453"/>
      <c r="Q3472" s="61"/>
      <c r="R3472" s="298"/>
      <c r="S3472" s="669"/>
      <c r="X3472" s="444">
        <v>3472</v>
      </c>
    </row>
    <row r="3473" spans="1:32">
      <c r="A3473" s="67" t="s">
        <v>29687</v>
      </c>
      <c r="B3473" s="67" t="s">
        <v>39919</v>
      </c>
      <c r="C3473" s="71" t="s">
        <v>509</v>
      </c>
      <c r="D3473" s="79">
        <v>1</v>
      </c>
      <c r="E3473" s="79">
        <v>29.74</v>
      </c>
      <c r="F3473" s="79">
        <v>29.74</v>
      </c>
      <c r="H3473" s="178">
        <v>29.74</v>
      </c>
      <c r="I3473" s="178">
        <v>36.58</v>
      </c>
      <c r="J3473" s="70">
        <v>-6.84</v>
      </c>
      <c r="K3473" s="320"/>
      <c r="L3473" s="178">
        <v>2.11</v>
      </c>
      <c r="M3473" s="178">
        <v>27.63</v>
      </c>
      <c r="N3473" s="179">
        <v>0</v>
      </c>
      <c r="O3473" s="178">
        <v>29.74</v>
      </c>
      <c r="Q3473" s="61"/>
      <c r="R3473" s="298"/>
      <c r="S3473" s="669"/>
      <c r="X3473" s="444">
        <v>3473</v>
      </c>
    </row>
    <row r="3474" spans="1:32">
      <c r="A3474" s="67" t="s">
        <v>29688</v>
      </c>
      <c r="B3474" s="67" t="s">
        <v>39922</v>
      </c>
      <c r="C3474" s="71" t="s">
        <v>509</v>
      </c>
      <c r="D3474" s="79">
        <v>1</v>
      </c>
      <c r="E3474" s="79">
        <v>48.9</v>
      </c>
      <c r="F3474" s="79">
        <v>48.9</v>
      </c>
      <c r="H3474" s="178">
        <v>48.89</v>
      </c>
      <c r="I3474" s="178">
        <v>60.14</v>
      </c>
      <c r="J3474" s="70">
        <v>-11.240000000000002</v>
      </c>
      <c r="K3474" s="320"/>
      <c r="L3474" s="178">
        <v>2.11</v>
      </c>
      <c r="M3474" s="178">
        <v>46.79</v>
      </c>
      <c r="N3474" s="179">
        <v>0</v>
      </c>
      <c r="O3474" s="178">
        <v>48.9</v>
      </c>
      <c r="Q3474" s="61"/>
      <c r="R3474" s="298"/>
      <c r="S3474" s="669"/>
      <c r="X3474" s="444">
        <v>3474</v>
      </c>
    </row>
    <row r="3475" spans="1:32" ht="12">
      <c r="A3475" s="83" t="s">
        <v>23986</v>
      </c>
      <c r="B3475" s="64" t="s">
        <v>23987</v>
      </c>
      <c r="C3475" s="71" t="s">
        <v>165</v>
      </c>
      <c r="D3475" s="79">
        <v>1</v>
      </c>
      <c r="E3475" s="79">
        <v>2152.2700000000004</v>
      </c>
      <c r="F3475" s="79">
        <v>2152.27</v>
      </c>
      <c r="G3475" s="445"/>
      <c r="H3475" s="178">
        <v>2152.25</v>
      </c>
      <c r="I3475" s="178">
        <v>2647.27</v>
      </c>
      <c r="J3475" s="70">
        <v>-494.99999999999955</v>
      </c>
      <c r="K3475" s="320"/>
      <c r="L3475" s="178">
        <v>1296.77</v>
      </c>
      <c r="M3475" s="178">
        <v>855.50000000000045</v>
      </c>
      <c r="N3475" s="179">
        <v>0</v>
      </c>
      <c r="O3475" s="178">
        <v>2152.2700000000004</v>
      </c>
      <c r="P3475" s="453"/>
      <c r="Q3475" s="61"/>
      <c r="R3475" s="298"/>
      <c r="S3475" s="669"/>
      <c r="T3475" s="61"/>
      <c r="X3475" s="444">
        <v>3475</v>
      </c>
    </row>
    <row r="3476" spans="1:32" ht="12">
      <c r="A3476" s="83" t="s">
        <v>23988</v>
      </c>
      <c r="B3476" s="64" t="s">
        <v>23989</v>
      </c>
      <c r="C3476" s="71" t="s">
        <v>165</v>
      </c>
      <c r="D3476" s="79">
        <v>1</v>
      </c>
      <c r="E3476" s="79">
        <v>444.41999999999996</v>
      </c>
      <c r="F3476" s="79">
        <v>444.42</v>
      </c>
      <c r="G3476" s="445"/>
      <c r="H3476" s="178">
        <v>444.43</v>
      </c>
      <c r="I3476" s="178">
        <v>546.65</v>
      </c>
      <c r="J3476" s="70">
        <v>-102.23000000000002</v>
      </c>
      <c r="K3476" s="320"/>
      <c r="L3476" s="178">
        <v>444.41999999999996</v>
      </c>
      <c r="M3476" s="178">
        <v>0</v>
      </c>
      <c r="N3476" s="179">
        <v>0</v>
      </c>
      <c r="O3476" s="178">
        <v>444.41999999999996</v>
      </c>
      <c r="P3476" s="453"/>
      <c r="Q3476" s="61"/>
      <c r="R3476" s="298"/>
      <c r="S3476" s="669"/>
      <c r="T3476" s="61"/>
      <c r="X3476" s="444">
        <v>3476</v>
      </c>
    </row>
    <row r="3477" spans="1:32" ht="12">
      <c r="A3477" s="83" t="s">
        <v>23990</v>
      </c>
      <c r="B3477" s="64" t="s">
        <v>23991</v>
      </c>
      <c r="C3477" s="71" t="s">
        <v>121</v>
      </c>
      <c r="D3477" s="79">
        <v>1</v>
      </c>
      <c r="E3477" s="79">
        <v>210.8</v>
      </c>
      <c r="F3477" s="79">
        <v>210.8</v>
      </c>
      <c r="G3477" s="445"/>
      <c r="H3477" s="178">
        <v>210.8</v>
      </c>
      <c r="I3477" s="178">
        <v>259.27999999999997</v>
      </c>
      <c r="J3477" s="70">
        <v>-48.479999999999961</v>
      </c>
      <c r="K3477" s="320"/>
      <c r="L3477" s="178">
        <v>55.83</v>
      </c>
      <c r="M3477" s="178">
        <v>154.97000000000003</v>
      </c>
      <c r="N3477" s="179">
        <v>0</v>
      </c>
      <c r="O3477" s="178">
        <v>210.8</v>
      </c>
      <c r="P3477" s="453"/>
      <c r="Q3477" s="61"/>
      <c r="R3477" s="298"/>
      <c r="S3477" s="669"/>
      <c r="T3477" s="61"/>
      <c r="X3477" s="444">
        <v>3477</v>
      </c>
    </row>
    <row r="3478" spans="1:32" ht="12">
      <c r="A3478" s="83" t="s">
        <v>23992</v>
      </c>
      <c r="B3478" s="64" t="s">
        <v>23993</v>
      </c>
      <c r="C3478" s="71" t="s">
        <v>165</v>
      </c>
      <c r="D3478" s="79">
        <v>1</v>
      </c>
      <c r="E3478" s="79">
        <v>100.86</v>
      </c>
      <c r="F3478" s="79">
        <v>100.86</v>
      </c>
      <c r="G3478" s="445"/>
      <c r="H3478" s="178">
        <v>100.87</v>
      </c>
      <c r="I3478" s="178">
        <v>124.07</v>
      </c>
      <c r="J3478" s="70">
        <v>-23.209999999999994</v>
      </c>
      <c r="K3478" s="320"/>
      <c r="L3478" s="178">
        <v>5.35</v>
      </c>
      <c r="M3478" s="178">
        <v>95.51</v>
      </c>
      <c r="N3478" s="179">
        <v>0</v>
      </c>
      <c r="O3478" s="178">
        <v>100.86</v>
      </c>
      <c r="P3478" s="453"/>
      <c r="Q3478" s="61"/>
      <c r="R3478" s="298"/>
      <c r="S3478" s="669"/>
      <c r="T3478" s="61"/>
      <c r="X3478" s="444">
        <v>3478</v>
      </c>
    </row>
    <row r="3479" spans="1:32" ht="12">
      <c r="A3479" s="83" t="s">
        <v>23994</v>
      </c>
      <c r="B3479" s="64" t="s">
        <v>23587</v>
      </c>
      <c r="C3479" s="71" t="s">
        <v>103</v>
      </c>
      <c r="D3479" s="79">
        <v>1</v>
      </c>
      <c r="E3479" s="79">
        <v>17.87</v>
      </c>
      <c r="F3479" s="79">
        <v>17.87</v>
      </c>
      <c r="G3479" s="445"/>
      <c r="H3479" s="178">
        <v>17.86</v>
      </c>
      <c r="I3479" s="178">
        <v>21.97</v>
      </c>
      <c r="J3479" s="70">
        <v>-4.0999999999999979</v>
      </c>
      <c r="K3479" s="320"/>
      <c r="L3479" s="178">
        <v>17.87</v>
      </c>
      <c r="M3479" s="178">
        <v>0</v>
      </c>
      <c r="N3479" s="179">
        <v>0</v>
      </c>
      <c r="O3479" s="178">
        <v>17.87</v>
      </c>
      <c r="P3479" s="453"/>
      <c r="Q3479" s="61"/>
      <c r="R3479" s="298"/>
      <c r="S3479" s="669"/>
      <c r="U3479" s="61"/>
      <c r="V3479" s="61"/>
      <c r="W3479" s="61"/>
      <c r="X3479" s="444">
        <v>3479</v>
      </c>
      <c r="Y3479" s="61"/>
      <c r="Z3479" s="61"/>
      <c r="AA3479" s="61"/>
      <c r="AB3479" s="61"/>
      <c r="AC3479" s="61"/>
      <c r="AD3479" s="61"/>
      <c r="AE3479" s="61"/>
      <c r="AF3479" s="61"/>
    </row>
    <row r="3480" spans="1:32" s="61" customFormat="1" ht="12">
      <c r="A3480" s="83" t="s">
        <v>23995</v>
      </c>
      <c r="B3480" s="64" t="s">
        <v>23589</v>
      </c>
      <c r="C3480" s="71" t="s">
        <v>509</v>
      </c>
      <c r="D3480" s="79">
        <v>1</v>
      </c>
      <c r="E3480" s="79">
        <v>13.41</v>
      </c>
      <c r="F3480" s="79">
        <v>13.41</v>
      </c>
      <c r="G3480" s="445"/>
      <c r="H3480" s="178">
        <v>13.4</v>
      </c>
      <c r="I3480" s="178">
        <v>16.48</v>
      </c>
      <c r="J3480" s="70">
        <v>-3.0700000000000003</v>
      </c>
      <c r="K3480" s="320"/>
      <c r="L3480" s="178">
        <v>13.41</v>
      </c>
      <c r="M3480" s="178">
        <v>0</v>
      </c>
      <c r="N3480" s="179">
        <v>0</v>
      </c>
      <c r="O3480" s="178">
        <v>13.41</v>
      </c>
      <c r="P3480" s="453"/>
      <c r="R3480" s="298"/>
      <c r="S3480" s="669"/>
      <c r="T3480" s="444"/>
      <c r="X3480" s="444">
        <v>3480</v>
      </c>
    </row>
    <row r="3481" spans="1:32" s="61" customFormat="1" ht="12">
      <c r="A3481" s="83" t="s">
        <v>23996</v>
      </c>
      <c r="B3481" s="64" t="s">
        <v>23591</v>
      </c>
      <c r="C3481" s="71" t="s">
        <v>509</v>
      </c>
      <c r="D3481" s="79">
        <v>1</v>
      </c>
      <c r="E3481" s="79">
        <v>16.760000000000002</v>
      </c>
      <c r="F3481" s="79">
        <v>16.760000000000002</v>
      </c>
      <c r="G3481" s="445"/>
      <c r="H3481" s="178">
        <v>16.75</v>
      </c>
      <c r="I3481" s="178">
        <v>20.6</v>
      </c>
      <c r="J3481" s="70">
        <v>-3.84</v>
      </c>
      <c r="K3481" s="320"/>
      <c r="L3481" s="178">
        <v>16.760000000000002</v>
      </c>
      <c r="M3481" s="178">
        <v>0</v>
      </c>
      <c r="N3481" s="179">
        <v>0</v>
      </c>
      <c r="O3481" s="178">
        <v>16.760000000000002</v>
      </c>
      <c r="P3481" s="453"/>
      <c r="R3481" s="298"/>
      <c r="S3481" s="669"/>
      <c r="T3481" s="444"/>
      <c r="X3481" s="444">
        <v>3481</v>
      </c>
    </row>
    <row r="3482" spans="1:32" s="61" customFormat="1" ht="12">
      <c r="A3482" s="83" t="s">
        <v>23997</v>
      </c>
      <c r="B3482" s="64" t="s">
        <v>23998</v>
      </c>
      <c r="C3482" s="71" t="s">
        <v>103</v>
      </c>
      <c r="D3482" s="79">
        <v>1</v>
      </c>
      <c r="E3482" s="79">
        <v>67</v>
      </c>
      <c r="F3482" s="79">
        <v>67</v>
      </c>
      <c r="G3482" s="445"/>
      <c r="H3482" s="178">
        <v>66.989999999999995</v>
      </c>
      <c r="I3482" s="178">
        <v>82.4</v>
      </c>
      <c r="J3482" s="70">
        <v>-15.400000000000006</v>
      </c>
      <c r="K3482" s="320"/>
      <c r="L3482" s="178">
        <v>67</v>
      </c>
      <c r="M3482" s="178">
        <v>0</v>
      </c>
      <c r="N3482" s="179">
        <v>0</v>
      </c>
      <c r="O3482" s="178">
        <v>67</v>
      </c>
      <c r="P3482" s="453"/>
      <c r="R3482" s="298"/>
      <c r="S3482" s="669"/>
      <c r="T3482" s="444"/>
      <c r="X3482" s="444">
        <v>3482</v>
      </c>
    </row>
    <row r="3483" spans="1:32" s="61" customFormat="1" ht="12">
      <c r="A3483" s="83" t="s">
        <v>23999</v>
      </c>
      <c r="B3483" s="64" t="s">
        <v>24000</v>
      </c>
      <c r="C3483" s="71" t="s">
        <v>103</v>
      </c>
      <c r="D3483" s="79">
        <v>1</v>
      </c>
      <c r="E3483" s="79">
        <v>178.67000000000002</v>
      </c>
      <c r="F3483" s="79">
        <v>178.67</v>
      </c>
      <c r="G3483" s="445"/>
      <c r="H3483" s="178">
        <v>178.66</v>
      </c>
      <c r="I3483" s="178">
        <v>219.75</v>
      </c>
      <c r="J3483" s="70">
        <v>-41.079999999999984</v>
      </c>
      <c r="K3483" s="320"/>
      <c r="L3483" s="178">
        <v>178.67000000000002</v>
      </c>
      <c r="M3483" s="178">
        <v>0</v>
      </c>
      <c r="N3483" s="179">
        <v>0</v>
      </c>
      <c r="O3483" s="178">
        <v>178.67000000000002</v>
      </c>
      <c r="P3483" s="453"/>
      <c r="R3483" s="298"/>
      <c r="S3483" s="669"/>
      <c r="T3483" s="444"/>
      <c r="X3483" s="444">
        <v>3483</v>
      </c>
    </row>
    <row r="3484" spans="1:32" s="61" customFormat="1" ht="12">
      <c r="A3484" s="83" t="s">
        <v>24001</v>
      </c>
      <c r="B3484" s="64" t="s">
        <v>24002</v>
      </c>
      <c r="C3484" s="71" t="s">
        <v>103</v>
      </c>
      <c r="D3484" s="79">
        <v>1</v>
      </c>
      <c r="E3484" s="79">
        <v>402</v>
      </c>
      <c r="F3484" s="79">
        <v>402</v>
      </c>
      <c r="G3484" s="445"/>
      <c r="H3484" s="178">
        <v>401.99</v>
      </c>
      <c r="I3484" s="178">
        <v>494.45</v>
      </c>
      <c r="J3484" s="70">
        <v>-92.449999999999989</v>
      </c>
      <c r="K3484" s="320"/>
      <c r="L3484" s="178">
        <v>402</v>
      </c>
      <c r="M3484" s="178">
        <v>0</v>
      </c>
      <c r="N3484" s="179">
        <v>0</v>
      </c>
      <c r="O3484" s="178">
        <v>402</v>
      </c>
      <c r="P3484" s="453"/>
      <c r="R3484" s="298"/>
      <c r="S3484" s="669"/>
      <c r="T3484" s="444"/>
      <c r="X3484" s="444">
        <v>3484</v>
      </c>
    </row>
    <row r="3485" spans="1:32" s="61" customFormat="1" ht="12">
      <c r="A3485" s="83" t="s">
        <v>24003</v>
      </c>
      <c r="B3485" s="64" t="s">
        <v>24004</v>
      </c>
      <c r="C3485" s="71" t="s">
        <v>509</v>
      </c>
      <c r="D3485" s="79">
        <v>1</v>
      </c>
      <c r="E3485" s="79">
        <v>33.5</v>
      </c>
      <c r="F3485" s="79">
        <v>33.5</v>
      </c>
      <c r="G3485" s="320"/>
      <c r="H3485" s="178">
        <v>33.5</v>
      </c>
      <c r="I3485" s="178">
        <v>41.2</v>
      </c>
      <c r="J3485" s="70">
        <v>-7.7000000000000028</v>
      </c>
      <c r="K3485" s="320"/>
      <c r="L3485" s="178">
        <v>18.41</v>
      </c>
      <c r="M3485" s="178">
        <v>15.09</v>
      </c>
      <c r="N3485" s="179">
        <v>0</v>
      </c>
      <c r="O3485" s="178">
        <v>33.5</v>
      </c>
      <c r="P3485" s="453"/>
      <c r="R3485" s="298"/>
      <c r="S3485" s="669"/>
      <c r="T3485" s="444"/>
      <c r="X3485" s="444">
        <v>3485</v>
      </c>
    </row>
    <row r="3486" spans="1:32" s="61" customFormat="1" ht="12">
      <c r="A3486" s="83" t="s">
        <v>24005</v>
      </c>
      <c r="B3486" s="64" t="s">
        <v>24006</v>
      </c>
      <c r="C3486" s="71" t="s">
        <v>103</v>
      </c>
      <c r="D3486" s="79">
        <v>1</v>
      </c>
      <c r="E3486" s="79">
        <v>6.7</v>
      </c>
      <c r="F3486" s="79">
        <v>6.7</v>
      </c>
      <c r="G3486" s="320"/>
      <c r="H3486" s="178">
        <v>6.7</v>
      </c>
      <c r="I3486" s="178">
        <v>8.24</v>
      </c>
      <c r="J3486" s="70">
        <v>-1.54</v>
      </c>
      <c r="K3486" s="320"/>
      <c r="L3486" s="178">
        <v>6.7</v>
      </c>
      <c r="M3486" s="178">
        <v>0</v>
      </c>
      <c r="N3486" s="179">
        <v>0</v>
      </c>
      <c r="O3486" s="178">
        <v>6.7</v>
      </c>
      <c r="P3486" s="453"/>
      <c r="R3486" s="298"/>
      <c r="S3486" s="669"/>
      <c r="T3486" s="444"/>
      <c r="U3486" s="444"/>
      <c r="V3486" s="444"/>
      <c r="W3486" s="444"/>
      <c r="X3486" s="444">
        <v>3486</v>
      </c>
      <c r="Y3486" s="444"/>
      <c r="Z3486" s="444"/>
      <c r="AA3486" s="444"/>
      <c r="AB3486" s="444"/>
      <c r="AC3486" s="444"/>
      <c r="AD3486" s="444"/>
      <c r="AE3486" s="444"/>
      <c r="AF3486" s="444"/>
    </row>
    <row r="3487" spans="1:32" ht="12">
      <c r="A3487" s="83" t="s">
        <v>24007</v>
      </c>
      <c r="B3487" s="64" t="s">
        <v>24008</v>
      </c>
      <c r="C3487" s="71" t="s">
        <v>121</v>
      </c>
      <c r="D3487" s="79">
        <v>1</v>
      </c>
      <c r="E3487" s="79">
        <v>198.53</v>
      </c>
      <c r="F3487" s="79">
        <v>198.53</v>
      </c>
      <c r="G3487" s="445"/>
      <c r="H3487" s="178">
        <v>198.53</v>
      </c>
      <c r="I3487" s="178">
        <v>244.19</v>
      </c>
      <c r="J3487" s="70">
        <v>-45.66</v>
      </c>
      <c r="K3487" s="320"/>
      <c r="L3487" s="178"/>
      <c r="M3487" s="178">
        <v>198.53</v>
      </c>
      <c r="N3487" s="179">
        <v>0</v>
      </c>
      <c r="O3487" s="178">
        <v>198.53</v>
      </c>
      <c r="P3487" s="453"/>
      <c r="Q3487" s="61"/>
      <c r="R3487" s="298"/>
      <c r="S3487" s="669"/>
      <c r="T3487" s="73"/>
      <c r="X3487" s="444">
        <v>3487</v>
      </c>
    </row>
    <row r="3488" spans="1:32" ht="12">
      <c r="A3488" s="83" t="s">
        <v>24009</v>
      </c>
      <c r="B3488" s="64" t="s">
        <v>24010</v>
      </c>
      <c r="C3488" s="71" t="s">
        <v>6203</v>
      </c>
      <c r="D3488" s="79">
        <v>1</v>
      </c>
      <c r="E3488" s="79">
        <v>1456.82</v>
      </c>
      <c r="F3488" s="79">
        <v>1456.82</v>
      </c>
      <c r="G3488" s="445"/>
      <c r="H3488" s="178">
        <v>1456.81</v>
      </c>
      <c r="I3488" s="178">
        <v>1791.88</v>
      </c>
      <c r="J3488" s="70">
        <v>-335.06000000000017</v>
      </c>
      <c r="K3488" s="320"/>
      <c r="L3488" s="178"/>
      <c r="M3488" s="178">
        <v>1456.82</v>
      </c>
      <c r="N3488" s="179">
        <v>0</v>
      </c>
      <c r="O3488" s="178">
        <v>1456.82</v>
      </c>
      <c r="P3488" s="453"/>
      <c r="Q3488" s="61"/>
      <c r="R3488" s="298"/>
      <c r="S3488" s="669"/>
      <c r="X3488" s="444">
        <v>3488</v>
      </c>
    </row>
    <row r="3489" spans="1:32" ht="12">
      <c r="A3489" s="83" t="s">
        <v>24011</v>
      </c>
      <c r="B3489" s="64" t="s">
        <v>24012</v>
      </c>
      <c r="C3489" s="71" t="s">
        <v>103</v>
      </c>
      <c r="D3489" s="79">
        <v>1</v>
      </c>
      <c r="E3489" s="79">
        <v>758.41000000000008</v>
      </c>
      <c r="F3489" s="79">
        <v>758.41</v>
      </c>
      <c r="G3489" s="445"/>
      <c r="H3489" s="178">
        <v>758.41</v>
      </c>
      <c r="I3489" s="178">
        <v>932.84</v>
      </c>
      <c r="J3489" s="70">
        <v>-174.42999999999995</v>
      </c>
      <c r="K3489" s="320"/>
      <c r="L3489" s="178">
        <v>268</v>
      </c>
      <c r="M3489" s="178">
        <v>490.41000000000008</v>
      </c>
      <c r="N3489" s="179">
        <v>0</v>
      </c>
      <c r="O3489" s="178">
        <v>758.41000000000008</v>
      </c>
      <c r="P3489" s="453"/>
      <c r="Q3489" s="61"/>
      <c r="R3489" s="298"/>
      <c r="S3489" s="669"/>
      <c r="X3489" s="444">
        <v>3489</v>
      </c>
    </row>
    <row r="3490" spans="1:32" ht="12">
      <c r="A3490" s="83" t="s">
        <v>24013</v>
      </c>
      <c r="B3490" s="64" t="s">
        <v>24014</v>
      </c>
      <c r="C3490" s="71" t="s">
        <v>121</v>
      </c>
      <c r="D3490" s="79">
        <v>1</v>
      </c>
      <c r="E3490" s="79">
        <v>94.7</v>
      </c>
      <c r="F3490" s="79">
        <v>94.7</v>
      </c>
      <c r="G3490" s="445"/>
      <c r="H3490" s="178">
        <v>94.7</v>
      </c>
      <c r="I3490" s="178">
        <v>116.48</v>
      </c>
      <c r="J3490" s="70">
        <v>-21.78</v>
      </c>
      <c r="K3490" s="320"/>
      <c r="L3490" s="178">
        <v>26.8</v>
      </c>
      <c r="M3490" s="178">
        <v>67.900000000000006</v>
      </c>
      <c r="N3490" s="179">
        <v>0</v>
      </c>
      <c r="O3490" s="178">
        <v>94.7</v>
      </c>
      <c r="P3490" s="453"/>
      <c r="Q3490" s="61"/>
      <c r="R3490" s="298"/>
      <c r="S3490" s="669"/>
      <c r="X3490" s="444">
        <v>3490</v>
      </c>
    </row>
    <row r="3491" spans="1:32" ht="12">
      <c r="A3491" s="83" t="s">
        <v>24015</v>
      </c>
      <c r="B3491" s="64" t="s">
        <v>24016</v>
      </c>
      <c r="C3491" s="71" t="s">
        <v>10216</v>
      </c>
      <c r="D3491" s="79">
        <v>1</v>
      </c>
      <c r="E3491" s="79">
        <v>577.26</v>
      </c>
      <c r="F3491" s="79">
        <v>577.26</v>
      </c>
      <c r="G3491" s="445"/>
      <c r="H3491" s="178">
        <v>577.25</v>
      </c>
      <c r="I3491" s="178">
        <v>710.02</v>
      </c>
      <c r="J3491" s="70">
        <v>-132.76</v>
      </c>
      <c r="K3491" s="320"/>
      <c r="L3491" s="178"/>
      <c r="M3491" s="178">
        <v>577.26</v>
      </c>
      <c r="N3491" s="179">
        <v>0</v>
      </c>
      <c r="O3491" s="178">
        <v>577.26</v>
      </c>
      <c r="P3491" s="453"/>
      <c r="Q3491" s="61"/>
      <c r="R3491" s="298"/>
      <c r="S3491" s="669"/>
      <c r="X3491" s="444">
        <v>3491</v>
      </c>
    </row>
    <row r="3492" spans="1:32" ht="24">
      <c r="A3492" s="83" t="s">
        <v>24017</v>
      </c>
      <c r="B3492" s="64" t="s">
        <v>23595</v>
      </c>
      <c r="C3492" s="71" t="s">
        <v>121</v>
      </c>
      <c r="D3492" s="79">
        <v>1</v>
      </c>
      <c r="E3492" s="79">
        <v>227.64000000000001</v>
      </c>
      <c r="F3492" s="79">
        <v>227.64</v>
      </c>
      <c r="G3492" s="445"/>
      <c r="H3492" s="178">
        <v>227.63</v>
      </c>
      <c r="I3492" s="178">
        <v>279.99</v>
      </c>
      <c r="J3492" s="70">
        <v>-52.349999999999994</v>
      </c>
      <c r="K3492" s="320"/>
      <c r="L3492" s="178">
        <v>26.8</v>
      </c>
      <c r="M3492" s="178">
        <v>200.84</v>
      </c>
      <c r="N3492" s="179">
        <v>0</v>
      </c>
      <c r="O3492" s="178">
        <v>227.64000000000001</v>
      </c>
      <c r="P3492" s="453"/>
      <c r="Q3492" s="61"/>
      <c r="R3492" s="298"/>
      <c r="S3492" s="669"/>
      <c r="U3492" s="61"/>
      <c r="V3492" s="61"/>
      <c r="W3492" s="61"/>
      <c r="X3492" s="444">
        <v>3492</v>
      </c>
      <c r="Y3492" s="61"/>
      <c r="Z3492" s="61"/>
      <c r="AA3492" s="61"/>
      <c r="AB3492" s="61"/>
      <c r="AC3492" s="61"/>
      <c r="AD3492" s="61"/>
      <c r="AE3492" s="61"/>
      <c r="AF3492" s="61"/>
    </row>
    <row r="3493" spans="1:32" s="61" customFormat="1" ht="12">
      <c r="A3493" s="83" t="s">
        <v>24018</v>
      </c>
      <c r="B3493" s="64" t="s">
        <v>23597</v>
      </c>
      <c r="C3493" s="71" t="s">
        <v>6170</v>
      </c>
      <c r="D3493" s="79">
        <v>1</v>
      </c>
      <c r="E3493" s="79">
        <v>2.82</v>
      </c>
      <c r="F3493" s="79">
        <v>2.82</v>
      </c>
      <c r="G3493" s="445"/>
      <c r="H3493" s="178">
        <v>2.81</v>
      </c>
      <c r="I3493" s="178">
        <v>3.46</v>
      </c>
      <c r="J3493" s="70">
        <v>-0.64000000000000012</v>
      </c>
      <c r="K3493" s="320"/>
      <c r="L3493" s="178">
        <v>0.44</v>
      </c>
      <c r="M3493" s="178">
        <v>2.38</v>
      </c>
      <c r="N3493" s="179">
        <v>0</v>
      </c>
      <c r="O3493" s="178">
        <v>2.82</v>
      </c>
      <c r="P3493" s="453"/>
      <c r="R3493" s="298"/>
      <c r="S3493" s="669"/>
      <c r="T3493" s="444"/>
      <c r="X3493" s="444">
        <v>3493</v>
      </c>
    </row>
    <row r="3494" spans="1:32" s="471" customFormat="1" ht="12">
      <c r="A3494" s="65" t="s">
        <v>29689</v>
      </c>
      <c r="B3494" s="65" t="s">
        <v>29690</v>
      </c>
      <c r="C3494" s="108" t="s">
        <v>509</v>
      </c>
      <c r="D3494" s="79">
        <v>1</v>
      </c>
      <c r="E3494" s="79">
        <v>1.1099999999999999</v>
      </c>
      <c r="F3494" s="79">
        <v>1.1100000000000001</v>
      </c>
      <c r="G3494" s="444"/>
      <c r="H3494" s="178">
        <v>1.1100000000000001</v>
      </c>
      <c r="I3494" s="771">
        <v>1.37</v>
      </c>
      <c r="J3494" s="70">
        <v>-0.26000000000000023</v>
      </c>
      <c r="K3494" s="320"/>
      <c r="L3494" s="178">
        <v>1.1099999999999999</v>
      </c>
      <c r="M3494" s="178">
        <v>0</v>
      </c>
      <c r="N3494" s="179">
        <v>0</v>
      </c>
      <c r="O3494" s="178">
        <v>1.1099999999999999</v>
      </c>
      <c r="P3494" s="444"/>
      <c r="Q3494" s="61"/>
      <c r="R3494" s="298"/>
      <c r="S3494" s="669"/>
      <c r="T3494" s="444"/>
      <c r="U3494" s="444"/>
      <c r="V3494" s="444"/>
      <c r="W3494" s="444"/>
      <c r="X3494" s="444">
        <v>3494</v>
      </c>
      <c r="Y3494" s="444"/>
      <c r="Z3494" s="444"/>
      <c r="AA3494" s="444"/>
      <c r="AB3494" s="444"/>
      <c r="AC3494" s="444"/>
      <c r="AD3494" s="444"/>
      <c r="AE3494" s="444"/>
      <c r="AF3494" s="444"/>
    </row>
    <row r="3495" spans="1:32" s="471" customFormat="1" ht="12">
      <c r="A3495" s="65" t="s">
        <v>29691</v>
      </c>
      <c r="B3495" s="65" t="s">
        <v>29692</v>
      </c>
      <c r="C3495" s="108" t="s">
        <v>509</v>
      </c>
      <c r="D3495" s="79">
        <v>1</v>
      </c>
      <c r="E3495" s="79">
        <v>2.2400000000000002</v>
      </c>
      <c r="F3495" s="79">
        <v>2.2400000000000002</v>
      </c>
      <c r="G3495" s="444"/>
      <c r="H3495" s="178">
        <v>2.23</v>
      </c>
      <c r="I3495" s="771">
        <v>2.74</v>
      </c>
      <c r="J3495" s="70">
        <v>-0.5</v>
      </c>
      <c r="K3495" s="320"/>
      <c r="L3495" s="178">
        <v>2.2400000000000002</v>
      </c>
      <c r="M3495" s="178">
        <v>0</v>
      </c>
      <c r="N3495" s="179">
        <v>0</v>
      </c>
      <c r="O3495" s="178">
        <v>2.2400000000000002</v>
      </c>
      <c r="P3495" s="444"/>
      <c r="Q3495" s="61"/>
      <c r="R3495" s="298"/>
      <c r="S3495" s="669"/>
      <c r="T3495" s="444"/>
      <c r="U3495" s="444"/>
      <c r="V3495" s="444"/>
      <c r="W3495" s="444"/>
      <c r="X3495" s="444">
        <v>3495</v>
      </c>
      <c r="Y3495" s="444"/>
      <c r="Z3495" s="444"/>
      <c r="AA3495" s="444"/>
      <c r="AB3495" s="444"/>
      <c r="AC3495" s="444"/>
      <c r="AD3495" s="444"/>
      <c r="AE3495" s="444"/>
      <c r="AF3495" s="444"/>
    </row>
    <row r="3496" spans="1:32" s="471" customFormat="1" ht="24">
      <c r="A3496" s="65" t="s">
        <v>29693</v>
      </c>
      <c r="B3496" s="456" t="s">
        <v>40106</v>
      </c>
      <c r="C3496" s="108" t="s">
        <v>509</v>
      </c>
      <c r="D3496" s="79">
        <v>1</v>
      </c>
      <c r="E3496" s="79">
        <v>4.54</v>
      </c>
      <c r="F3496" s="79">
        <v>4.54</v>
      </c>
      <c r="G3496" s="444"/>
      <c r="H3496" s="178">
        <v>4.54</v>
      </c>
      <c r="I3496" s="771">
        <v>5.58</v>
      </c>
      <c r="J3496" s="70">
        <v>-1.04</v>
      </c>
      <c r="K3496" s="320"/>
      <c r="L3496" s="178">
        <v>4.46</v>
      </c>
      <c r="M3496" s="178">
        <v>8.0000000000000071E-2</v>
      </c>
      <c r="N3496" s="179">
        <v>0</v>
      </c>
      <c r="O3496" s="178">
        <v>4.54</v>
      </c>
      <c r="P3496" s="444"/>
      <c r="Q3496" s="61"/>
      <c r="R3496" s="298"/>
      <c r="S3496" s="669"/>
      <c r="T3496" s="444"/>
      <c r="U3496" s="444"/>
      <c r="V3496" s="444"/>
      <c r="W3496" s="444"/>
      <c r="X3496" s="444">
        <v>3496</v>
      </c>
      <c r="Y3496" s="444"/>
      <c r="Z3496" s="444"/>
      <c r="AA3496" s="444"/>
      <c r="AB3496" s="444"/>
      <c r="AC3496" s="444"/>
      <c r="AD3496" s="444"/>
      <c r="AE3496" s="444"/>
      <c r="AF3496" s="444"/>
    </row>
    <row r="3497" spans="1:32" s="471" customFormat="1" ht="12">
      <c r="A3497" s="65" t="s">
        <v>29694</v>
      </c>
      <c r="B3497" s="65" t="s">
        <v>29695</v>
      </c>
      <c r="C3497" s="108" t="s">
        <v>509</v>
      </c>
      <c r="D3497" s="79">
        <v>1</v>
      </c>
      <c r="E3497" s="79">
        <v>9.1300000000000008</v>
      </c>
      <c r="F3497" s="79">
        <v>9.1300000000000008</v>
      </c>
      <c r="G3497" s="444"/>
      <c r="H3497" s="178">
        <v>9.14</v>
      </c>
      <c r="I3497" s="771">
        <v>11.24</v>
      </c>
      <c r="J3497" s="70">
        <v>-2.1099999999999994</v>
      </c>
      <c r="K3497" s="320"/>
      <c r="L3497" s="178">
        <v>8.92</v>
      </c>
      <c r="M3497" s="178">
        <v>0.21000000000000085</v>
      </c>
      <c r="N3497" s="179">
        <v>0</v>
      </c>
      <c r="O3497" s="178">
        <v>9.1300000000000008</v>
      </c>
      <c r="P3497" s="444"/>
      <c r="Q3497" s="61"/>
      <c r="R3497" s="298"/>
      <c r="S3497" s="669"/>
      <c r="T3497" s="444"/>
      <c r="U3497" s="444"/>
      <c r="V3497" s="444"/>
      <c r="W3497" s="444"/>
      <c r="X3497" s="444">
        <v>3497</v>
      </c>
      <c r="Y3497" s="444"/>
      <c r="Z3497" s="444"/>
      <c r="AA3497" s="444"/>
      <c r="AB3497" s="444"/>
      <c r="AC3497" s="444"/>
      <c r="AD3497" s="444"/>
      <c r="AE3497" s="444"/>
      <c r="AF3497" s="444"/>
    </row>
    <row r="3498" spans="1:32" s="471" customFormat="1" ht="12">
      <c r="A3498" s="65" t="s">
        <v>29696</v>
      </c>
      <c r="B3498" s="65" t="s">
        <v>29697</v>
      </c>
      <c r="C3498" s="108" t="s">
        <v>509</v>
      </c>
      <c r="D3498" s="79">
        <v>1</v>
      </c>
      <c r="E3498" s="79">
        <v>2.69</v>
      </c>
      <c r="F3498" s="79">
        <v>2.69</v>
      </c>
      <c r="G3498" s="444"/>
      <c r="H3498" s="178">
        <v>2.67</v>
      </c>
      <c r="I3498" s="771">
        <v>3.29</v>
      </c>
      <c r="J3498" s="70">
        <v>-0.60000000000000009</v>
      </c>
      <c r="K3498" s="320"/>
      <c r="L3498" s="178">
        <v>2.69</v>
      </c>
      <c r="M3498" s="178">
        <v>0</v>
      </c>
      <c r="N3498" s="179">
        <v>0</v>
      </c>
      <c r="O3498" s="178">
        <v>2.69</v>
      </c>
      <c r="P3498" s="444"/>
      <c r="Q3498" s="61"/>
      <c r="R3498" s="298"/>
      <c r="S3498" s="669"/>
      <c r="T3498" s="444"/>
      <c r="U3498" s="444"/>
      <c r="V3498" s="444"/>
      <c r="W3498" s="444"/>
      <c r="X3498" s="444">
        <v>3498</v>
      </c>
      <c r="Y3498" s="444"/>
      <c r="Z3498" s="444"/>
      <c r="AA3498" s="444"/>
      <c r="AB3498" s="444"/>
      <c r="AC3498" s="444"/>
      <c r="AD3498" s="444"/>
      <c r="AE3498" s="444"/>
      <c r="AF3498" s="444"/>
    </row>
    <row r="3499" spans="1:32" s="471" customFormat="1" ht="24">
      <c r="A3499" s="65" t="s">
        <v>29698</v>
      </c>
      <c r="B3499" s="65" t="s">
        <v>29699</v>
      </c>
      <c r="C3499" s="108" t="s">
        <v>509</v>
      </c>
      <c r="D3499" s="79">
        <v>1</v>
      </c>
      <c r="E3499" s="79">
        <v>2.3200000000000003</v>
      </c>
      <c r="F3499" s="79">
        <v>2.3199999999999998</v>
      </c>
      <c r="G3499" s="444"/>
      <c r="H3499" s="178">
        <v>2.31</v>
      </c>
      <c r="I3499" s="771">
        <v>2.84</v>
      </c>
      <c r="J3499" s="70">
        <v>-0.51999999999999957</v>
      </c>
      <c r="K3499" s="320"/>
      <c r="L3499" s="178">
        <v>2.2400000000000002</v>
      </c>
      <c r="M3499" s="178">
        <v>8.0000000000000071E-2</v>
      </c>
      <c r="N3499" s="179">
        <v>0</v>
      </c>
      <c r="O3499" s="178">
        <v>2.3200000000000003</v>
      </c>
      <c r="P3499" s="444"/>
      <c r="Q3499" s="61"/>
      <c r="R3499" s="298"/>
      <c r="S3499" s="669"/>
      <c r="T3499" s="444"/>
      <c r="U3499" s="444"/>
      <c r="V3499" s="444"/>
      <c r="W3499" s="444"/>
      <c r="X3499" s="444">
        <v>3499</v>
      </c>
      <c r="Y3499" s="444"/>
      <c r="Z3499" s="444"/>
      <c r="AA3499" s="444"/>
      <c r="AB3499" s="444"/>
      <c r="AC3499" s="444"/>
      <c r="AD3499" s="444"/>
      <c r="AE3499" s="444"/>
      <c r="AF3499" s="444"/>
    </row>
    <row r="3500" spans="1:32" s="471" customFormat="1" ht="12">
      <c r="A3500" s="65" t="s">
        <v>29700</v>
      </c>
      <c r="B3500" s="65" t="s">
        <v>29701</v>
      </c>
      <c r="C3500" s="108" t="s">
        <v>509</v>
      </c>
      <c r="D3500" s="79">
        <v>1</v>
      </c>
      <c r="E3500" s="79">
        <v>5.8</v>
      </c>
      <c r="F3500" s="79">
        <v>5.8</v>
      </c>
      <c r="G3500" s="444"/>
      <c r="H3500" s="178">
        <v>5.79</v>
      </c>
      <c r="I3500" s="771">
        <v>7.12</v>
      </c>
      <c r="J3500" s="70">
        <v>-1.3200000000000003</v>
      </c>
      <c r="K3500" s="320"/>
      <c r="L3500" s="178">
        <v>5.59</v>
      </c>
      <c r="M3500" s="178">
        <v>0.20999999999999996</v>
      </c>
      <c r="N3500" s="179">
        <v>0</v>
      </c>
      <c r="O3500" s="178">
        <v>5.8</v>
      </c>
      <c r="P3500" s="444"/>
      <c r="Q3500" s="61"/>
      <c r="R3500" s="298"/>
      <c r="S3500" s="669"/>
      <c r="T3500" s="444"/>
      <c r="U3500" s="444"/>
      <c r="V3500" s="444"/>
      <c r="W3500" s="444"/>
      <c r="X3500" s="444">
        <v>3500</v>
      </c>
      <c r="Y3500" s="444"/>
      <c r="Z3500" s="444"/>
      <c r="AA3500" s="444"/>
      <c r="AB3500" s="444"/>
      <c r="AC3500" s="444"/>
      <c r="AD3500" s="444"/>
      <c r="AE3500" s="444"/>
      <c r="AF3500" s="444"/>
    </row>
    <row r="3501" spans="1:32" s="471" customFormat="1" ht="12">
      <c r="A3501" s="65" t="s">
        <v>29702</v>
      </c>
      <c r="B3501" s="65" t="s">
        <v>29703</v>
      </c>
      <c r="C3501" s="108" t="s">
        <v>509</v>
      </c>
      <c r="D3501" s="79">
        <v>1</v>
      </c>
      <c r="E3501" s="79">
        <v>2.2400000000000002</v>
      </c>
      <c r="F3501" s="79">
        <v>2.2400000000000002</v>
      </c>
      <c r="G3501" s="444"/>
      <c r="H3501" s="178">
        <v>2.23</v>
      </c>
      <c r="I3501" s="771">
        <v>2.74</v>
      </c>
      <c r="J3501" s="70">
        <v>-0.5</v>
      </c>
      <c r="K3501" s="320"/>
      <c r="L3501" s="178">
        <v>2.2400000000000002</v>
      </c>
      <c r="M3501" s="178">
        <v>0</v>
      </c>
      <c r="N3501" s="179">
        <v>0</v>
      </c>
      <c r="O3501" s="178">
        <v>2.2400000000000002</v>
      </c>
      <c r="P3501" s="444"/>
      <c r="Q3501" s="61"/>
      <c r="R3501" s="298"/>
      <c r="S3501" s="669"/>
      <c r="T3501" s="444"/>
      <c r="U3501" s="444"/>
      <c r="V3501" s="444"/>
      <c r="W3501" s="444"/>
      <c r="X3501" s="444">
        <v>3501</v>
      </c>
      <c r="Y3501" s="444"/>
      <c r="Z3501" s="444"/>
      <c r="AA3501" s="444"/>
      <c r="AB3501" s="444"/>
      <c r="AC3501" s="444"/>
      <c r="AD3501" s="444"/>
      <c r="AE3501" s="444"/>
      <c r="AF3501" s="444"/>
    </row>
    <row r="3502" spans="1:32" s="471" customFormat="1" ht="24">
      <c r="A3502" s="65" t="s">
        <v>29704</v>
      </c>
      <c r="B3502" s="65" t="s">
        <v>40107</v>
      </c>
      <c r="C3502" s="108" t="s">
        <v>509</v>
      </c>
      <c r="D3502" s="79">
        <v>1</v>
      </c>
      <c r="E3502" s="79">
        <v>4.54</v>
      </c>
      <c r="F3502" s="79">
        <v>4.54</v>
      </c>
      <c r="G3502" s="444"/>
      <c r="H3502" s="178">
        <v>4.54</v>
      </c>
      <c r="I3502" s="771">
        <v>5.58</v>
      </c>
      <c r="J3502" s="70">
        <v>-1.04</v>
      </c>
      <c r="K3502" s="320"/>
      <c r="L3502" s="178">
        <v>4.46</v>
      </c>
      <c r="M3502" s="178">
        <v>8.0000000000000071E-2</v>
      </c>
      <c r="N3502" s="179">
        <v>0</v>
      </c>
      <c r="O3502" s="178">
        <v>4.54</v>
      </c>
      <c r="P3502" s="444"/>
      <c r="Q3502" s="61"/>
      <c r="R3502" s="298"/>
      <c r="S3502" s="669"/>
      <c r="T3502" s="444"/>
      <c r="U3502" s="444"/>
      <c r="V3502" s="444"/>
      <c r="W3502" s="444"/>
      <c r="X3502" s="444">
        <v>3502</v>
      </c>
      <c r="Y3502" s="444"/>
      <c r="Z3502" s="444"/>
      <c r="AA3502" s="444"/>
      <c r="AB3502" s="444"/>
      <c r="AC3502" s="444"/>
      <c r="AD3502" s="444"/>
      <c r="AE3502" s="444"/>
      <c r="AF3502" s="444"/>
    </row>
    <row r="3503" spans="1:32" s="471" customFormat="1" ht="12">
      <c r="A3503" s="65" t="s">
        <v>29705</v>
      </c>
      <c r="B3503" s="65" t="s">
        <v>29706</v>
      </c>
      <c r="C3503" s="108" t="s">
        <v>509</v>
      </c>
      <c r="D3503" s="79">
        <v>1</v>
      </c>
      <c r="E3503" s="79">
        <v>5.59</v>
      </c>
      <c r="F3503" s="79">
        <v>5.59</v>
      </c>
      <c r="G3503" s="444"/>
      <c r="H3503" s="178">
        <v>5.58</v>
      </c>
      <c r="I3503" s="771">
        <v>6.86</v>
      </c>
      <c r="J3503" s="70">
        <v>-1.2700000000000005</v>
      </c>
      <c r="K3503" s="320"/>
      <c r="L3503" s="178">
        <v>5.59</v>
      </c>
      <c r="M3503" s="178">
        <v>0</v>
      </c>
      <c r="N3503" s="179">
        <v>0</v>
      </c>
      <c r="O3503" s="178">
        <v>5.59</v>
      </c>
      <c r="P3503" s="444"/>
      <c r="Q3503" s="61"/>
      <c r="R3503" s="298"/>
      <c r="S3503" s="669"/>
      <c r="T3503" s="444"/>
      <c r="U3503" s="444"/>
      <c r="V3503" s="444"/>
      <c r="W3503" s="444"/>
      <c r="X3503" s="444">
        <v>3503</v>
      </c>
      <c r="Y3503" s="444"/>
      <c r="Z3503" s="444"/>
      <c r="AA3503" s="444"/>
      <c r="AB3503" s="444"/>
      <c r="AC3503" s="444"/>
      <c r="AD3503" s="444"/>
      <c r="AE3503" s="444"/>
      <c r="AF3503" s="444"/>
    </row>
    <row r="3504" spans="1:32" s="471" customFormat="1" ht="12">
      <c r="A3504" s="65" t="s">
        <v>29707</v>
      </c>
      <c r="B3504" s="65" t="s">
        <v>29708</v>
      </c>
      <c r="C3504" s="108" t="s">
        <v>509</v>
      </c>
      <c r="D3504" s="79">
        <v>1</v>
      </c>
      <c r="E3504" s="79">
        <v>1.78</v>
      </c>
      <c r="F3504" s="79">
        <v>1.78</v>
      </c>
      <c r="G3504" s="444"/>
      <c r="H3504" s="178">
        <v>1.78</v>
      </c>
      <c r="I3504" s="771">
        <v>2.19</v>
      </c>
      <c r="J3504" s="70">
        <v>-0.40999999999999992</v>
      </c>
      <c r="K3504" s="320"/>
      <c r="L3504" s="178">
        <v>1.78</v>
      </c>
      <c r="M3504" s="178">
        <v>0</v>
      </c>
      <c r="N3504" s="179">
        <v>0</v>
      </c>
      <c r="O3504" s="178">
        <v>1.78</v>
      </c>
      <c r="P3504" s="444"/>
      <c r="Q3504" s="61"/>
      <c r="R3504" s="298"/>
      <c r="S3504" s="669"/>
      <c r="T3504" s="444"/>
      <c r="U3504" s="444"/>
      <c r="V3504" s="444"/>
      <c r="W3504" s="444"/>
      <c r="X3504" s="444">
        <v>3504</v>
      </c>
      <c r="Y3504" s="444"/>
      <c r="Z3504" s="444"/>
      <c r="AA3504" s="444"/>
      <c r="AB3504" s="444"/>
      <c r="AC3504" s="444"/>
      <c r="AD3504" s="444"/>
      <c r="AE3504" s="444"/>
      <c r="AF3504" s="444"/>
    </row>
    <row r="3505" spans="1:32" s="471" customFormat="1" ht="24">
      <c r="A3505" s="65" t="s">
        <v>29709</v>
      </c>
      <c r="B3505" s="65" t="s">
        <v>29710</v>
      </c>
      <c r="C3505" s="108" t="s">
        <v>509</v>
      </c>
      <c r="D3505" s="79">
        <v>1</v>
      </c>
      <c r="E3505" s="79">
        <v>2.3200000000000003</v>
      </c>
      <c r="F3505" s="79">
        <v>2.3199999999999998</v>
      </c>
      <c r="G3505" s="444"/>
      <c r="H3505" s="178">
        <v>2.31</v>
      </c>
      <c r="I3505" s="771">
        <v>2.84</v>
      </c>
      <c r="J3505" s="70">
        <v>-0.51999999999999957</v>
      </c>
      <c r="K3505" s="320"/>
      <c r="L3505" s="178">
        <v>2.2400000000000002</v>
      </c>
      <c r="M3505" s="178">
        <v>8.0000000000000071E-2</v>
      </c>
      <c r="N3505" s="179">
        <v>0</v>
      </c>
      <c r="O3505" s="178">
        <v>2.3200000000000003</v>
      </c>
      <c r="P3505" s="444"/>
      <c r="Q3505" s="61"/>
      <c r="R3505" s="298"/>
      <c r="S3505" s="669"/>
      <c r="T3505" s="444"/>
      <c r="U3505" s="444"/>
      <c r="V3505" s="444"/>
      <c r="W3505" s="444"/>
      <c r="X3505" s="444">
        <v>3505</v>
      </c>
      <c r="Y3505" s="444"/>
      <c r="Z3505" s="444"/>
      <c r="AA3505" s="444"/>
      <c r="AB3505" s="444"/>
      <c r="AC3505" s="444"/>
      <c r="AD3505" s="444"/>
      <c r="AE3505" s="444"/>
      <c r="AF3505" s="444"/>
    </row>
    <row r="3506" spans="1:32" s="471" customFormat="1" ht="12">
      <c r="A3506" s="65" t="s">
        <v>29711</v>
      </c>
      <c r="B3506" s="65" t="s">
        <v>40108</v>
      </c>
      <c r="C3506" s="108" t="s">
        <v>509</v>
      </c>
      <c r="D3506" s="79">
        <v>1</v>
      </c>
      <c r="E3506" s="79">
        <v>4.05</v>
      </c>
      <c r="F3506" s="79">
        <v>4.05</v>
      </c>
      <c r="G3506" s="444"/>
      <c r="H3506" s="178">
        <v>4.04</v>
      </c>
      <c r="I3506" s="771">
        <v>4.97</v>
      </c>
      <c r="J3506" s="70">
        <v>-0.91999999999999993</v>
      </c>
      <c r="K3506" s="320"/>
      <c r="L3506" s="178">
        <v>3.35</v>
      </c>
      <c r="M3506" s="178">
        <v>0.69999999999999973</v>
      </c>
      <c r="N3506" s="179">
        <v>0</v>
      </c>
      <c r="O3506" s="178">
        <v>4.05</v>
      </c>
      <c r="P3506" s="444"/>
      <c r="Q3506" s="61"/>
      <c r="R3506" s="298"/>
      <c r="S3506" s="669"/>
      <c r="T3506" s="444"/>
      <c r="U3506" s="444"/>
      <c r="V3506" s="444"/>
      <c r="W3506" s="444"/>
      <c r="X3506" s="444">
        <v>3506</v>
      </c>
      <c r="Y3506" s="444"/>
      <c r="Z3506" s="444"/>
      <c r="AA3506" s="444"/>
      <c r="AB3506" s="444"/>
      <c r="AC3506" s="444"/>
      <c r="AD3506" s="444"/>
      <c r="AE3506" s="444"/>
      <c r="AF3506" s="444"/>
    </row>
    <row r="3507" spans="1:32" s="471" customFormat="1" ht="24">
      <c r="A3507" s="65" t="s">
        <v>29712</v>
      </c>
      <c r="B3507" s="65" t="s">
        <v>29713</v>
      </c>
      <c r="C3507" s="108" t="s">
        <v>509</v>
      </c>
      <c r="D3507" s="79">
        <v>1</v>
      </c>
      <c r="E3507" s="79">
        <v>7.870000000000001</v>
      </c>
      <c r="F3507" s="79">
        <v>7.87</v>
      </c>
      <c r="G3507" s="444"/>
      <c r="H3507" s="178">
        <v>7.86</v>
      </c>
      <c r="I3507" s="771">
        <v>9.67</v>
      </c>
      <c r="J3507" s="70">
        <v>-1.7999999999999989</v>
      </c>
      <c r="K3507" s="320"/>
      <c r="L3507" s="178">
        <v>6.7</v>
      </c>
      <c r="M3507" s="178">
        <v>1.1700000000000008</v>
      </c>
      <c r="N3507" s="179">
        <v>0</v>
      </c>
      <c r="O3507" s="178">
        <v>7.870000000000001</v>
      </c>
      <c r="P3507" s="444"/>
      <c r="Q3507" s="61"/>
      <c r="R3507" s="298"/>
      <c r="S3507" s="669"/>
      <c r="T3507" s="444"/>
      <c r="U3507" s="444"/>
      <c r="V3507" s="444"/>
      <c r="W3507" s="444"/>
      <c r="X3507" s="444">
        <v>3507</v>
      </c>
      <c r="Y3507" s="444"/>
      <c r="Z3507" s="444"/>
      <c r="AA3507" s="444"/>
      <c r="AB3507" s="444"/>
      <c r="AC3507" s="444"/>
      <c r="AD3507" s="444"/>
      <c r="AE3507" s="444"/>
      <c r="AF3507" s="444"/>
    </row>
    <row r="3508" spans="1:32" s="471" customFormat="1" ht="12">
      <c r="A3508" s="65" t="s">
        <v>29714</v>
      </c>
      <c r="B3508" s="65" t="s">
        <v>40109</v>
      </c>
      <c r="C3508" s="108" t="s">
        <v>103</v>
      </c>
      <c r="D3508" s="79">
        <v>1</v>
      </c>
      <c r="E3508" s="79">
        <v>8.48</v>
      </c>
      <c r="F3508" s="79">
        <v>8.48</v>
      </c>
      <c r="G3508" s="444"/>
      <c r="H3508" s="178">
        <v>8.4700000000000006</v>
      </c>
      <c r="I3508" s="771">
        <v>10.42</v>
      </c>
      <c r="J3508" s="70">
        <v>-1.9399999999999995</v>
      </c>
      <c r="K3508" s="320"/>
      <c r="L3508" s="178">
        <v>5.59</v>
      </c>
      <c r="M3508" s="178">
        <v>2.8900000000000006</v>
      </c>
      <c r="N3508" s="179">
        <v>0</v>
      </c>
      <c r="O3508" s="178">
        <v>8.48</v>
      </c>
      <c r="P3508" s="444"/>
      <c r="Q3508" s="61"/>
      <c r="R3508" s="298"/>
      <c r="S3508" s="669"/>
      <c r="T3508" s="444"/>
      <c r="U3508" s="444"/>
      <c r="V3508" s="444"/>
      <c r="W3508" s="444"/>
      <c r="X3508" s="444">
        <v>3508</v>
      </c>
      <c r="Y3508" s="444"/>
      <c r="Z3508" s="444"/>
      <c r="AA3508" s="444"/>
      <c r="AB3508" s="444"/>
      <c r="AC3508" s="444"/>
      <c r="AD3508" s="444"/>
      <c r="AE3508" s="444"/>
      <c r="AF3508" s="444"/>
    </row>
    <row r="3509" spans="1:32" s="471" customFormat="1" ht="24">
      <c r="A3509" s="65" t="s">
        <v>29715</v>
      </c>
      <c r="B3509" s="65" t="s">
        <v>29716</v>
      </c>
      <c r="C3509" s="108" t="s">
        <v>509</v>
      </c>
      <c r="D3509" s="79">
        <v>1</v>
      </c>
      <c r="E3509" s="79">
        <v>7.870000000000001</v>
      </c>
      <c r="F3509" s="79">
        <v>7.87</v>
      </c>
      <c r="G3509" s="444"/>
      <c r="H3509" s="178">
        <v>7.86</v>
      </c>
      <c r="I3509" s="771">
        <v>9.67</v>
      </c>
      <c r="J3509" s="70">
        <v>-1.7999999999999989</v>
      </c>
      <c r="K3509" s="320"/>
      <c r="L3509" s="178">
        <v>6.7</v>
      </c>
      <c r="M3509" s="178">
        <v>1.1700000000000008</v>
      </c>
      <c r="N3509" s="179">
        <v>0</v>
      </c>
      <c r="O3509" s="178">
        <v>7.870000000000001</v>
      </c>
      <c r="P3509" s="444"/>
      <c r="Q3509" s="61"/>
      <c r="R3509" s="298"/>
      <c r="S3509" s="669"/>
      <c r="T3509" s="444"/>
      <c r="U3509" s="444"/>
      <c r="V3509" s="444"/>
      <c r="W3509" s="444"/>
      <c r="X3509" s="444">
        <v>3509</v>
      </c>
      <c r="Y3509" s="444"/>
      <c r="Z3509" s="444"/>
      <c r="AA3509" s="444"/>
      <c r="AB3509" s="444"/>
      <c r="AC3509" s="444"/>
      <c r="AD3509" s="444"/>
      <c r="AE3509" s="444"/>
      <c r="AF3509" s="444"/>
    </row>
    <row r="3510" spans="1:32" s="471" customFormat="1" ht="12">
      <c r="A3510" s="65" t="s">
        <v>29717</v>
      </c>
      <c r="B3510" s="65" t="s">
        <v>40110</v>
      </c>
      <c r="C3510" s="108" t="s">
        <v>103</v>
      </c>
      <c r="D3510" s="79">
        <v>1</v>
      </c>
      <c r="E3510" s="79">
        <v>7.3500000000000005</v>
      </c>
      <c r="F3510" s="79">
        <v>7.35</v>
      </c>
      <c r="G3510" s="444"/>
      <c r="H3510" s="178">
        <v>7.36</v>
      </c>
      <c r="I3510" s="771">
        <v>9.0500000000000007</v>
      </c>
      <c r="J3510" s="70">
        <v>-1.7000000000000002</v>
      </c>
      <c r="K3510" s="320"/>
      <c r="L3510" s="178">
        <v>4.46</v>
      </c>
      <c r="M3510" s="178">
        <v>2.8900000000000006</v>
      </c>
      <c r="N3510" s="179">
        <v>0</v>
      </c>
      <c r="O3510" s="178">
        <v>7.3500000000000005</v>
      </c>
      <c r="P3510" s="444"/>
      <c r="Q3510" s="61"/>
      <c r="R3510" s="298"/>
      <c r="S3510" s="669"/>
      <c r="T3510" s="444"/>
      <c r="U3510" s="444"/>
      <c r="V3510" s="444"/>
      <c r="W3510" s="444"/>
      <c r="X3510" s="444">
        <v>3510</v>
      </c>
      <c r="Y3510" s="444"/>
      <c r="Z3510" s="444"/>
      <c r="AA3510" s="444"/>
      <c r="AB3510" s="444"/>
      <c r="AC3510" s="444"/>
      <c r="AD3510" s="444"/>
      <c r="AE3510" s="444"/>
      <c r="AF3510" s="444"/>
    </row>
    <row r="3511" spans="1:32" s="471" customFormat="1" ht="12">
      <c r="A3511" s="65" t="s">
        <v>29718</v>
      </c>
      <c r="B3511" s="65" t="s">
        <v>29719</v>
      </c>
      <c r="C3511" s="108" t="s">
        <v>509</v>
      </c>
      <c r="D3511" s="79">
        <v>1</v>
      </c>
      <c r="E3511" s="79">
        <v>6.91</v>
      </c>
      <c r="F3511" s="79">
        <v>6.91</v>
      </c>
      <c r="G3511" s="444"/>
      <c r="H3511" s="178">
        <v>6.9</v>
      </c>
      <c r="I3511" s="771">
        <v>8.49</v>
      </c>
      <c r="J3511" s="70">
        <v>-1.58</v>
      </c>
      <c r="K3511" s="320"/>
      <c r="L3511" s="178">
        <v>6.7</v>
      </c>
      <c r="M3511" s="178">
        <v>0.20999999999999996</v>
      </c>
      <c r="N3511" s="179">
        <v>0</v>
      </c>
      <c r="O3511" s="178">
        <v>6.91</v>
      </c>
      <c r="P3511" s="444"/>
      <c r="Q3511" s="61"/>
      <c r="R3511" s="298"/>
      <c r="S3511" s="669"/>
      <c r="T3511" s="444"/>
      <c r="U3511" s="444"/>
      <c r="V3511" s="444"/>
      <c r="W3511" s="444"/>
      <c r="X3511" s="444">
        <v>3511</v>
      </c>
      <c r="Y3511" s="444"/>
      <c r="Z3511" s="444"/>
      <c r="AA3511" s="444"/>
      <c r="AB3511" s="444"/>
      <c r="AC3511" s="444"/>
      <c r="AD3511" s="444"/>
      <c r="AE3511" s="444"/>
      <c r="AF3511" s="444"/>
    </row>
    <row r="3512" spans="1:32" s="471" customFormat="1" ht="12">
      <c r="A3512" s="65" t="s">
        <v>29720</v>
      </c>
      <c r="B3512" s="65" t="s">
        <v>40111</v>
      </c>
      <c r="C3512" s="108" t="s">
        <v>509</v>
      </c>
      <c r="D3512" s="79">
        <v>1</v>
      </c>
      <c r="E3512" s="79">
        <v>3.64</v>
      </c>
      <c r="F3512" s="79">
        <v>3.64</v>
      </c>
      <c r="G3512" s="444"/>
      <c r="H3512" s="178">
        <v>3.63</v>
      </c>
      <c r="I3512" s="771">
        <v>4.46</v>
      </c>
      <c r="J3512" s="70">
        <v>-0.81999999999999984</v>
      </c>
      <c r="K3512" s="320"/>
      <c r="L3512" s="178">
        <v>3.35</v>
      </c>
      <c r="M3512" s="178">
        <v>0.29000000000000004</v>
      </c>
      <c r="N3512" s="179">
        <v>0</v>
      </c>
      <c r="O3512" s="178">
        <v>3.64</v>
      </c>
      <c r="P3512" s="444"/>
      <c r="Q3512" s="61"/>
      <c r="R3512" s="298"/>
      <c r="S3512" s="669"/>
      <c r="T3512" s="444"/>
      <c r="U3512" s="444"/>
      <c r="V3512" s="444"/>
      <c r="W3512" s="444"/>
      <c r="X3512" s="444">
        <v>3512</v>
      </c>
      <c r="Y3512" s="444"/>
      <c r="Z3512" s="444"/>
      <c r="AA3512" s="444"/>
      <c r="AB3512" s="444"/>
      <c r="AC3512" s="444"/>
      <c r="AD3512" s="444"/>
      <c r="AE3512" s="444"/>
      <c r="AF3512" s="444"/>
    </row>
    <row r="3513" spans="1:32" s="471" customFormat="1" ht="12">
      <c r="A3513" s="65" t="s">
        <v>29721</v>
      </c>
      <c r="B3513" s="65" t="s">
        <v>29722</v>
      </c>
      <c r="C3513" s="108" t="s">
        <v>509</v>
      </c>
      <c r="D3513" s="79">
        <v>1</v>
      </c>
      <c r="E3513" s="79">
        <v>5.2299999999999995</v>
      </c>
      <c r="F3513" s="79">
        <v>5.23</v>
      </c>
      <c r="G3513" s="444"/>
      <c r="H3513" s="178">
        <v>5.23</v>
      </c>
      <c r="I3513" s="771">
        <v>6.43</v>
      </c>
      <c r="J3513" s="70">
        <v>-1.2000000000000002</v>
      </c>
      <c r="K3513" s="320"/>
      <c r="L3513" s="178">
        <v>4.46</v>
      </c>
      <c r="M3513" s="178">
        <v>0.76999999999999957</v>
      </c>
      <c r="N3513" s="179">
        <v>0</v>
      </c>
      <c r="O3513" s="178">
        <v>5.2299999999999995</v>
      </c>
      <c r="P3513" s="444"/>
      <c r="Q3513" s="61"/>
      <c r="R3513" s="298"/>
      <c r="S3513" s="669"/>
      <c r="T3513" s="444"/>
      <c r="U3513" s="444"/>
      <c r="V3513" s="444"/>
      <c r="W3513" s="444"/>
      <c r="X3513" s="444">
        <v>3513</v>
      </c>
      <c r="Y3513" s="444"/>
      <c r="Z3513" s="444"/>
      <c r="AA3513" s="444"/>
      <c r="AB3513" s="444"/>
      <c r="AC3513" s="444"/>
      <c r="AD3513" s="444"/>
      <c r="AE3513" s="444"/>
      <c r="AF3513" s="444"/>
    </row>
    <row r="3514" spans="1:32" s="471" customFormat="1" ht="12">
      <c r="A3514" s="65" t="s">
        <v>29723</v>
      </c>
      <c r="B3514" s="65" t="s">
        <v>29724</v>
      </c>
      <c r="C3514" s="108" t="s">
        <v>509</v>
      </c>
      <c r="D3514" s="79">
        <v>1</v>
      </c>
      <c r="E3514" s="79">
        <v>2.2400000000000002</v>
      </c>
      <c r="F3514" s="79">
        <v>2.2400000000000002</v>
      </c>
      <c r="G3514" s="444"/>
      <c r="H3514" s="178">
        <v>2.23</v>
      </c>
      <c r="I3514" s="771">
        <v>2.74</v>
      </c>
      <c r="J3514" s="70">
        <v>-0.5</v>
      </c>
      <c r="K3514" s="320"/>
      <c r="L3514" s="178">
        <v>2.2400000000000002</v>
      </c>
      <c r="M3514" s="178">
        <v>0</v>
      </c>
      <c r="N3514" s="179">
        <v>0</v>
      </c>
      <c r="O3514" s="178">
        <v>2.2400000000000002</v>
      </c>
      <c r="P3514" s="444"/>
      <c r="Q3514" s="61"/>
      <c r="R3514" s="298"/>
      <c r="S3514" s="669"/>
      <c r="T3514" s="444"/>
      <c r="U3514" s="444"/>
      <c r="V3514" s="444"/>
      <c r="W3514" s="444"/>
      <c r="X3514" s="444">
        <v>3514</v>
      </c>
      <c r="Y3514" s="444"/>
      <c r="Z3514" s="444"/>
      <c r="AA3514" s="444"/>
      <c r="AB3514" s="444"/>
      <c r="AC3514" s="444"/>
      <c r="AD3514" s="444"/>
      <c r="AE3514" s="444"/>
      <c r="AF3514" s="444"/>
    </row>
    <row r="3515" spans="1:32" s="471" customFormat="1" ht="12">
      <c r="A3515" s="65" t="s">
        <v>29725</v>
      </c>
      <c r="B3515" s="65" t="s">
        <v>29726</v>
      </c>
      <c r="C3515" s="108" t="s">
        <v>509</v>
      </c>
      <c r="D3515" s="79">
        <v>1</v>
      </c>
      <c r="E3515" s="79">
        <v>3.64</v>
      </c>
      <c r="F3515" s="79">
        <v>3.64</v>
      </c>
      <c r="G3515" s="444"/>
      <c r="H3515" s="178">
        <v>3.63</v>
      </c>
      <c r="I3515" s="771">
        <v>4.46</v>
      </c>
      <c r="J3515" s="70">
        <v>-0.81999999999999984</v>
      </c>
      <c r="K3515" s="320"/>
      <c r="L3515" s="178">
        <v>1.84</v>
      </c>
      <c r="M3515" s="178">
        <v>1.8</v>
      </c>
      <c r="N3515" s="179">
        <v>0</v>
      </c>
      <c r="O3515" s="178">
        <v>3.64</v>
      </c>
      <c r="P3515" s="444"/>
      <c r="Q3515" s="61"/>
      <c r="R3515" s="298"/>
      <c r="S3515" s="669"/>
      <c r="T3515" s="444"/>
      <c r="U3515" s="444"/>
      <c r="V3515" s="444"/>
      <c r="W3515" s="444"/>
      <c r="X3515" s="444">
        <v>3515</v>
      </c>
      <c r="Y3515" s="444"/>
      <c r="Z3515" s="444"/>
      <c r="AA3515" s="444"/>
      <c r="AB3515" s="444"/>
      <c r="AC3515" s="444"/>
      <c r="AD3515" s="444"/>
      <c r="AE3515" s="444"/>
      <c r="AF3515" s="444"/>
    </row>
    <row r="3516" spans="1:32" s="471" customFormat="1" ht="12">
      <c r="A3516" s="65" t="s">
        <v>29727</v>
      </c>
      <c r="B3516" s="65" t="s">
        <v>29728</v>
      </c>
      <c r="C3516" s="108" t="s">
        <v>509</v>
      </c>
      <c r="D3516" s="79">
        <v>1</v>
      </c>
      <c r="E3516" s="79">
        <v>3.91</v>
      </c>
      <c r="F3516" s="79">
        <v>3.91</v>
      </c>
      <c r="G3516" s="444"/>
      <c r="H3516" s="178">
        <v>3.9</v>
      </c>
      <c r="I3516" s="771">
        <v>4.8</v>
      </c>
      <c r="J3516" s="70">
        <v>-0.88999999999999968</v>
      </c>
      <c r="K3516" s="320"/>
      <c r="L3516" s="178">
        <v>3.35</v>
      </c>
      <c r="M3516" s="178">
        <v>0.56000000000000005</v>
      </c>
      <c r="N3516" s="179">
        <v>0</v>
      </c>
      <c r="O3516" s="178">
        <v>3.91</v>
      </c>
      <c r="P3516" s="444"/>
      <c r="Q3516" s="61"/>
      <c r="R3516" s="298"/>
      <c r="S3516" s="669"/>
      <c r="T3516" s="444"/>
      <c r="U3516" s="444"/>
      <c r="V3516" s="444"/>
      <c r="W3516" s="444"/>
      <c r="X3516" s="444">
        <v>3516</v>
      </c>
      <c r="Y3516" s="444"/>
      <c r="Z3516" s="444"/>
      <c r="AA3516" s="444"/>
      <c r="AB3516" s="444"/>
      <c r="AC3516" s="444"/>
      <c r="AD3516" s="444"/>
      <c r="AE3516" s="444"/>
      <c r="AF3516" s="444"/>
    </row>
    <row r="3517" spans="1:32" s="471" customFormat="1" ht="12">
      <c r="A3517" s="65" t="s">
        <v>29729</v>
      </c>
      <c r="B3517" s="65" t="s">
        <v>29730</v>
      </c>
      <c r="C3517" s="108" t="s">
        <v>509</v>
      </c>
      <c r="D3517" s="79">
        <v>1</v>
      </c>
      <c r="E3517" s="79">
        <v>5.2299999999999995</v>
      </c>
      <c r="F3517" s="79">
        <v>5.23</v>
      </c>
      <c r="G3517" s="444"/>
      <c r="H3517" s="178">
        <v>5.23</v>
      </c>
      <c r="I3517" s="771">
        <v>6.43</v>
      </c>
      <c r="J3517" s="70">
        <v>-1.2000000000000002</v>
      </c>
      <c r="K3517" s="320"/>
      <c r="L3517" s="178">
        <v>4.46</v>
      </c>
      <c r="M3517" s="178">
        <v>0.76999999999999957</v>
      </c>
      <c r="N3517" s="179">
        <v>0</v>
      </c>
      <c r="O3517" s="178">
        <v>5.2299999999999995</v>
      </c>
      <c r="P3517" s="444"/>
      <c r="Q3517" s="61"/>
      <c r="R3517" s="298"/>
      <c r="S3517" s="669"/>
      <c r="T3517" s="444"/>
      <c r="U3517" s="444"/>
      <c r="V3517" s="444"/>
      <c r="W3517" s="444"/>
      <c r="X3517" s="444">
        <v>3517</v>
      </c>
      <c r="Y3517" s="444"/>
      <c r="Z3517" s="444"/>
      <c r="AA3517" s="444"/>
      <c r="AB3517" s="444"/>
      <c r="AC3517" s="444"/>
      <c r="AD3517" s="444"/>
      <c r="AE3517" s="444"/>
      <c r="AF3517" s="444"/>
    </row>
    <row r="3518" spans="1:32" s="471" customFormat="1" ht="24">
      <c r="A3518" s="65" t="s">
        <v>29731</v>
      </c>
      <c r="B3518" s="65" t="s">
        <v>40112</v>
      </c>
      <c r="C3518" s="108" t="s">
        <v>103</v>
      </c>
      <c r="D3518" s="79">
        <v>1</v>
      </c>
      <c r="E3518" s="79">
        <v>28.410000000000004</v>
      </c>
      <c r="F3518" s="79">
        <v>28.41</v>
      </c>
      <c r="G3518" s="444"/>
      <c r="H3518" s="178">
        <v>28.41</v>
      </c>
      <c r="I3518" s="771">
        <v>34.94</v>
      </c>
      <c r="J3518" s="70">
        <v>-6.529999999999994</v>
      </c>
      <c r="K3518" s="320"/>
      <c r="L3518" s="178">
        <v>24.240000000000002</v>
      </c>
      <c r="M3518" s="178">
        <v>4.1700000000000017</v>
      </c>
      <c r="N3518" s="179">
        <v>0</v>
      </c>
      <c r="O3518" s="178">
        <v>28.410000000000004</v>
      </c>
      <c r="P3518" s="444"/>
      <c r="Q3518" s="61"/>
      <c r="R3518" s="298"/>
      <c r="S3518" s="669"/>
      <c r="T3518" s="444"/>
      <c r="U3518" s="444"/>
      <c r="V3518" s="444"/>
      <c r="W3518" s="444"/>
      <c r="X3518" s="444">
        <v>3518</v>
      </c>
      <c r="Y3518" s="444"/>
      <c r="Z3518" s="444"/>
      <c r="AA3518" s="444"/>
      <c r="AB3518" s="444"/>
      <c r="AC3518" s="444"/>
      <c r="AD3518" s="444"/>
      <c r="AE3518" s="444"/>
      <c r="AF3518" s="444"/>
    </row>
    <row r="3519" spans="1:32" s="471" customFormat="1" ht="24">
      <c r="A3519" s="65" t="s">
        <v>29732</v>
      </c>
      <c r="B3519" s="65" t="s">
        <v>40113</v>
      </c>
      <c r="C3519" s="108" t="s">
        <v>509</v>
      </c>
      <c r="D3519" s="79">
        <v>1</v>
      </c>
      <c r="E3519" s="79">
        <v>12.39</v>
      </c>
      <c r="F3519" s="79">
        <v>12.39</v>
      </c>
      <c r="G3519" s="444"/>
      <c r="H3519" s="178">
        <v>12.37</v>
      </c>
      <c r="I3519" s="771">
        <v>15.22</v>
      </c>
      <c r="J3519" s="70">
        <v>-2.83</v>
      </c>
      <c r="K3519" s="320"/>
      <c r="L3519" s="178">
        <v>6.7</v>
      </c>
      <c r="M3519" s="178">
        <v>5.69</v>
      </c>
      <c r="N3519" s="179">
        <v>0</v>
      </c>
      <c r="O3519" s="178">
        <v>12.39</v>
      </c>
      <c r="P3519" s="444"/>
      <c r="Q3519" s="61"/>
      <c r="R3519" s="298"/>
      <c r="S3519" s="669"/>
      <c r="T3519" s="444"/>
      <c r="U3519" s="444"/>
      <c r="V3519" s="444"/>
      <c r="W3519" s="444"/>
      <c r="X3519" s="444">
        <v>3519</v>
      </c>
      <c r="Y3519" s="444"/>
      <c r="Z3519" s="444"/>
      <c r="AA3519" s="444"/>
      <c r="AB3519" s="444"/>
      <c r="AC3519" s="444"/>
      <c r="AD3519" s="444"/>
      <c r="AE3519" s="444"/>
      <c r="AF3519" s="444"/>
    </row>
    <row r="3520" spans="1:32" s="471" customFormat="1" ht="24">
      <c r="A3520" s="65" t="s">
        <v>29733</v>
      </c>
      <c r="B3520" s="65" t="s">
        <v>29734</v>
      </c>
      <c r="C3520" s="108" t="s">
        <v>509</v>
      </c>
      <c r="D3520" s="79">
        <v>1</v>
      </c>
      <c r="E3520" s="79">
        <v>21.22</v>
      </c>
      <c r="F3520" s="79">
        <v>21.22</v>
      </c>
      <c r="G3520" s="444"/>
      <c r="H3520" s="178">
        <v>21.22</v>
      </c>
      <c r="I3520" s="771">
        <v>26.1</v>
      </c>
      <c r="J3520" s="70">
        <v>-4.8800000000000026</v>
      </c>
      <c r="K3520" s="320"/>
      <c r="L3520" s="178">
        <v>6.9</v>
      </c>
      <c r="M3520" s="178">
        <v>14.319999999999999</v>
      </c>
      <c r="N3520" s="179">
        <v>0</v>
      </c>
      <c r="O3520" s="178">
        <v>21.22</v>
      </c>
      <c r="P3520" s="444"/>
      <c r="Q3520" s="61"/>
      <c r="R3520" s="298"/>
      <c r="S3520" s="669"/>
      <c r="T3520" s="444"/>
      <c r="U3520" s="444"/>
      <c r="V3520" s="444"/>
      <c r="W3520" s="444"/>
      <c r="X3520" s="444">
        <v>3520</v>
      </c>
      <c r="Y3520" s="444"/>
      <c r="Z3520" s="444"/>
      <c r="AA3520" s="444"/>
      <c r="AB3520" s="444"/>
      <c r="AC3520" s="444"/>
      <c r="AD3520" s="444"/>
      <c r="AE3520" s="444"/>
      <c r="AF3520" s="444"/>
    </row>
    <row r="3521" spans="1:32" s="471" customFormat="1" ht="12">
      <c r="A3521" s="65" t="s">
        <v>29735</v>
      </c>
      <c r="B3521" s="65" t="s">
        <v>29736</v>
      </c>
      <c r="C3521" s="108" t="s">
        <v>165</v>
      </c>
      <c r="D3521" s="79">
        <v>1</v>
      </c>
      <c r="E3521" s="79">
        <v>13.48</v>
      </c>
      <c r="F3521" s="79">
        <v>13.48</v>
      </c>
      <c r="G3521" s="444"/>
      <c r="H3521" s="178">
        <v>13.46</v>
      </c>
      <c r="I3521" s="771">
        <v>16.55</v>
      </c>
      <c r="J3521" s="70">
        <v>-3.0700000000000003</v>
      </c>
      <c r="K3521" s="320"/>
      <c r="L3521" s="178">
        <v>13.48</v>
      </c>
      <c r="M3521" s="178">
        <v>0</v>
      </c>
      <c r="N3521" s="179">
        <v>0</v>
      </c>
      <c r="O3521" s="178">
        <v>13.48</v>
      </c>
      <c r="P3521" s="444"/>
      <c r="Q3521" s="61"/>
      <c r="R3521" s="298"/>
      <c r="S3521" s="669"/>
      <c r="T3521" s="444"/>
      <c r="U3521" s="444"/>
      <c r="V3521" s="444"/>
      <c r="W3521" s="444"/>
      <c r="X3521" s="444">
        <v>3521</v>
      </c>
      <c r="Y3521" s="444"/>
      <c r="Z3521" s="444"/>
      <c r="AA3521" s="444"/>
      <c r="AB3521" s="444"/>
      <c r="AC3521" s="444"/>
      <c r="AD3521" s="444"/>
      <c r="AE3521" s="444"/>
      <c r="AF3521" s="444"/>
    </row>
    <row r="3522" spans="1:32" s="471" customFormat="1" ht="12">
      <c r="A3522" s="65" t="s">
        <v>29737</v>
      </c>
      <c r="B3522" s="65" t="s">
        <v>40114</v>
      </c>
      <c r="C3522" s="108" t="s">
        <v>165</v>
      </c>
      <c r="D3522" s="79">
        <v>1</v>
      </c>
      <c r="E3522" s="79">
        <v>12.14</v>
      </c>
      <c r="F3522" s="79">
        <v>12.14</v>
      </c>
      <c r="G3522" s="444"/>
      <c r="H3522" s="178">
        <v>12.13</v>
      </c>
      <c r="I3522" s="771">
        <v>14.92</v>
      </c>
      <c r="J3522" s="70">
        <v>-2.7799999999999994</v>
      </c>
      <c r="K3522" s="320"/>
      <c r="L3522" s="178">
        <v>12.14</v>
      </c>
      <c r="M3522" s="178">
        <v>0</v>
      </c>
      <c r="N3522" s="179">
        <v>0</v>
      </c>
      <c r="O3522" s="178">
        <v>12.14</v>
      </c>
      <c r="P3522" s="444"/>
      <c r="Q3522" s="61"/>
      <c r="R3522" s="298"/>
      <c r="S3522" s="669"/>
      <c r="T3522" s="444"/>
      <c r="U3522" s="444"/>
      <c r="V3522" s="444"/>
      <c r="W3522" s="444"/>
      <c r="X3522" s="444">
        <v>3522</v>
      </c>
      <c r="Y3522" s="444"/>
      <c r="Z3522" s="444"/>
      <c r="AA3522" s="444"/>
      <c r="AB3522" s="444"/>
      <c r="AC3522" s="444"/>
      <c r="AD3522" s="444"/>
      <c r="AE3522" s="444"/>
      <c r="AF3522" s="444"/>
    </row>
    <row r="3523" spans="1:32" s="471" customFormat="1" ht="12">
      <c r="A3523" s="65" t="s">
        <v>29738</v>
      </c>
      <c r="B3523" s="65" t="s">
        <v>40115</v>
      </c>
      <c r="C3523" s="108" t="s">
        <v>165</v>
      </c>
      <c r="D3523" s="79">
        <v>1</v>
      </c>
      <c r="E3523" s="79">
        <v>8.9699999999999989</v>
      </c>
      <c r="F3523" s="79">
        <v>8.9700000000000006</v>
      </c>
      <c r="G3523" s="444"/>
      <c r="H3523" s="178">
        <v>8.9700000000000006</v>
      </c>
      <c r="I3523" s="771">
        <v>11.03</v>
      </c>
      <c r="J3523" s="70">
        <v>-2.0600000000000005</v>
      </c>
      <c r="K3523" s="320"/>
      <c r="L3523" s="178">
        <v>8.9699999999999989</v>
      </c>
      <c r="M3523" s="178">
        <v>0</v>
      </c>
      <c r="N3523" s="179">
        <v>0</v>
      </c>
      <c r="O3523" s="178">
        <v>8.9699999999999989</v>
      </c>
      <c r="P3523" s="444"/>
      <c r="Q3523" s="61"/>
      <c r="R3523" s="298"/>
      <c r="S3523" s="669"/>
      <c r="T3523" s="444"/>
      <c r="U3523" s="444"/>
      <c r="V3523" s="444"/>
      <c r="W3523" s="444"/>
      <c r="X3523" s="444">
        <v>3523</v>
      </c>
      <c r="Y3523" s="444"/>
      <c r="Z3523" s="444"/>
      <c r="AA3523" s="444"/>
      <c r="AB3523" s="444"/>
      <c r="AC3523" s="444"/>
      <c r="AD3523" s="444"/>
      <c r="AE3523" s="444"/>
      <c r="AF3523" s="444"/>
    </row>
    <row r="3524" spans="1:32" s="61" customFormat="1" ht="12">
      <c r="A3524" s="83" t="s">
        <v>40116</v>
      </c>
      <c r="B3524" s="64" t="s">
        <v>40117</v>
      </c>
      <c r="C3524" s="71"/>
      <c r="D3524" s="79" t="s">
        <v>40899</v>
      </c>
      <c r="E3524" s="79" t="s">
        <v>40899</v>
      </c>
      <c r="F3524" s="79"/>
      <c r="G3524" s="445"/>
      <c r="H3524" s="178"/>
      <c r="I3524" s="178"/>
      <c r="J3524" s="70"/>
      <c r="K3524" s="320"/>
      <c r="L3524" s="178"/>
      <c r="M3524" s="178"/>
      <c r="N3524" s="179"/>
      <c r="O3524" s="178"/>
      <c r="P3524" s="453"/>
      <c r="R3524" s="298"/>
      <c r="S3524" s="669"/>
      <c r="T3524" s="444"/>
      <c r="X3524" s="444">
        <v>3524</v>
      </c>
    </row>
    <row r="3525" spans="1:32" s="61" customFormat="1" ht="12">
      <c r="A3525" s="83" t="s">
        <v>24019</v>
      </c>
      <c r="B3525" s="64" t="s">
        <v>24020</v>
      </c>
      <c r="C3525" s="71" t="s">
        <v>103</v>
      </c>
      <c r="D3525" s="79">
        <v>1</v>
      </c>
      <c r="E3525" s="79">
        <v>392.8</v>
      </c>
      <c r="F3525" s="79">
        <v>392.8</v>
      </c>
      <c r="G3525" s="445"/>
      <c r="H3525" s="178">
        <v>392.8</v>
      </c>
      <c r="I3525" s="178">
        <v>483.15</v>
      </c>
      <c r="J3525" s="70">
        <v>-90.349999999999966</v>
      </c>
      <c r="K3525" s="320"/>
      <c r="L3525" s="178">
        <v>207.93</v>
      </c>
      <c r="M3525" s="178">
        <v>184.87</v>
      </c>
      <c r="N3525" s="179">
        <v>0</v>
      </c>
      <c r="O3525" s="178">
        <v>392.8</v>
      </c>
      <c r="P3525" s="453"/>
      <c r="R3525" s="298"/>
      <c r="S3525" s="669"/>
      <c r="T3525" s="444"/>
      <c r="X3525" s="444">
        <v>3525</v>
      </c>
    </row>
    <row r="3526" spans="1:32" s="61" customFormat="1" ht="12">
      <c r="A3526" s="83" t="s">
        <v>24021</v>
      </c>
      <c r="B3526" s="64" t="s">
        <v>24022</v>
      </c>
      <c r="C3526" s="71" t="s">
        <v>103</v>
      </c>
      <c r="D3526" s="79">
        <v>1</v>
      </c>
      <c r="E3526" s="79">
        <v>1551.95</v>
      </c>
      <c r="F3526" s="79">
        <v>1551.95</v>
      </c>
      <c r="G3526" s="445"/>
      <c r="H3526" s="178">
        <v>1551.97</v>
      </c>
      <c r="I3526" s="178">
        <v>1908.92</v>
      </c>
      <c r="J3526" s="70">
        <v>-356.97</v>
      </c>
      <c r="K3526" s="320"/>
      <c r="L3526" s="178">
        <v>746.25</v>
      </c>
      <c r="M3526" s="178">
        <v>805.7</v>
      </c>
      <c r="N3526" s="179">
        <v>0</v>
      </c>
      <c r="O3526" s="178">
        <v>1551.95</v>
      </c>
      <c r="P3526" s="453"/>
      <c r="R3526" s="298"/>
      <c r="S3526" s="669"/>
      <c r="T3526" s="444"/>
      <c r="X3526" s="444">
        <v>3526</v>
      </c>
    </row>
    <row r="3527" spans="1:32" ht="12">
      <c r="A3527" s="83" t="s">
        <v>24023</v>
      </c>
      <c r="B3527" s="64" t="s">
        <v>24024</v>
      </c>
      <c r="C3527" s="71" t="s">
        <v>103</v>
      </c>
      <c r="D3527" s="79">
        <v>1</v>
      </c>
      <c r="E3527" s="79">
        <v>4016.23</v>
      </c>
      <c r="F3527" s="79">
        <v>4016.23</v>
      </c>
      <c r="G3527" s="445"/>
      <c r="H3527" s="178">
        <v>4016.24</v>
      </c>
      <c r="I3527" s="178">
        <v>4939.9799999999996</v>
      </c>
      <c r="J3527" s="70">
        <v>-923.74999999999955</v>
      </c>
      <c r="K3527" s="320"/>
      <c r="L3527" s="178">
        <v>436.66999999999996</v>
      </c>
      <c r="M3527" s="178">
        <v>3579.56</v>
      </c>
      <c r="N3527" s="179">
        <v>0</v>
      </c>
      <c r="O3527" s="178">
        <v>4016.23</v>
      </c>
      <c r="P3527" s="453"/>
      <c r="Q3527" s="61"/>
      <c r="R3527" s="298"/>
      <c r="S3527" s="669"/>
      <c r="X3527" s="444">
        <v>3527</v>
      </c>
    </row>
    <row r="3528" spans="1:32" ht="12">
      <c r="A3528" s="83" t="s">
        <v>24025</v>
      </c>
      <c r="B3528" s="64" t="s">
        <v>24026</v>
      </c>
      <c r="C3528" s="71" t="s">
        <v>103</v>
      </c>
      <c r="D3528" s="79">
        <v>1</v>
      </c>
      <c r="E3528" s="79">
        <v>4503.18</v>
      </c>
      <c r="F3528" s="79">
        <v>4503.18</v>
      </c>
      <c r="G3528" s="445"/>
      <c r="H3528" s="178">
        <v>4503.2</v>
      </c>
      <c r="I3528" s="178">
        <v>5538.93</v>
      </c>
      <c r="J3528" s="70">
        <v>-1035.75</v>
      </c>
      <c r="K3528" s="320"/>
      <c r="L3528" s="178">
        <v>436.66999999999996</v>
      </c>
      <c r="M3528" s="178">
        <v>4066.51</v>
      </c>
      <c r="N3528" s="179">
        <v>0</v>
      </c>
      <c r="O3528" s="178">
        <v>4503.18</v>
      </c>
      <c r="P3528" s="453"/>
      <c r="Q3528" s="61"/>
      <c r="R3528" s="298"/>
      <c r="S3528" s="669"/>
      <c r="X3528" s="444">
        <v>3528</v>
      </c>
    </row>
    <row r="3529" spans="1:32" ht="12">
      <c r="A3529" s="83" t="s">
        <v>24027</v>
      </c>
      <c r="B3529" s="64" t="s">
        <v>24028</v>
      </c>
      <c r="C3529" s="71" t="s">
        <v>103</v>
      </c>
      <c r="D3529" s="79">
        <v>1</v>
      </c>
      <c r="E3529" s="79">
        <v>4479.71</v>
      </c>
      <c r="F3529" s="79">
        <v>4479.71</v>
      </c>
      <c r="G3529" s="445"/>
      <c r="H3529" s="178">
        <v>4479.72</v>
      </c>
      <c r="I3529" s="178">
        <v>5510.06</v>
      </c>
      <c r="J3529" s="70">
        <v>-1030.3500000000004</v>
      </c>
      <c r="K3529" s="320"/>
      <c r="L3529" s="178">
        <v>436.66999999999996</v>
      </c>
      <c r="M3529" s="178">
        <v>4043.04</v>
      </c>
      <c r="N3529" s="179">
        <v>0</v>
      </c>
      <c r="O3529" s="178">
        <v>4479.71</v>
      </c>
      <c r="P3529" s="453"/>
      <c r="Q3529" s="61"/>
      <c r="R3529" s="298"/>
      <c r="S3529" s="669"/>
      <c r="X3529" s="444">
        <v>3529</v>
      </c>
    </row>
    <row r="3530" spans="1:32" ht="12">
      <c r="A3530" s="83" t="s">
        <v>24029</v>
      </c>
      <c r="B3530" s="64" t="s">
        <v>24030</v>
      </c>
      <c r="C3530" s="71" t="s">
        <v>103</v>
      </c>
      <c r="D3530" s="79">
        <v>1</v>
      </c>
      <c r="E3530" s="79">
        <v>5322.4400000000005</v>
      </c>
      <c r="F3530" s="79">
        <v>5322.44</v>
      </c>
      <c r="G3530" s="445"/>
      <c r="H3530" s="178">
        <v>5322.46</v>
      </c>
      <c r="I3530" s="178">
        <v>6546.62</v>
      </c>
      <c r="J3530" s="70">
        <v>-1224.1799999999994</v>
      </c>
      <c r="K3530" s="320"/>
      <c r="L3530" s="178">
        <v>436.66999999999996</v>
      </c>
      <c r="M3530" s="178">
        <v>4885.7700000000004</v>
      </c>
      <c r="N3530" s="179">
        <v>0</v>
      </c>
      <c r="O3530" s="178">
        <v>5322.4400000000005</v>
      </c>
      <c r="P3530" s="453"/>
      <c r="Q3530" s="61"/>
      <c r="R3530" s="298"/>
      <c r="S3530" s="669"/>
      <c r="X3530" s="444">
        <v>3530</v>
      </c>
    </row>
    <row r="3531" spans="1:32" ht="12">
      <c r="A3531" s="83" t="s">
        <v>24031</v>
      </c>
      <c r="B3531" s="64" t="s">
        <v>24032</v>
      </c>
      <c r="C3531" s="71" t="s">
        <v>103</v>
      </c>
      <c r="D3531" s="79">
        <v>1</v>
      </c>
      <c r="E3531" s="79">
        <v>5593.2300000000005</v>
      </c>
      <c r="F3531" s="79">
        <v>5593.23</v>
      </c>
      <c r="G3531" s="445"/>
      <c r="H3531" s="178">
        <v>5593.24</v>
      </c>
      <c r="I3531" s="178">
        <v>6879.69</v>
      </c>
      <c r="J3531" s="70">
        <v>-1286.4599999999991</v>
      </c>
      <c r="K3531" s="320"/>
      <c r="L3531" s="178">
        <v>436.66999999999996</v>
      </c>
      <c r="M3531" s="178">
        <v>5156.5600000000004</v>
      </c>
      <c r="N3531" s="179">
        <v>0</v>
      </c>
      <c r="O3531" s="178">
        <v>5593.2300000000005</v>
      </c>
      <c r="P3531" s="453"/>
      <c r="Q3531" s="61"/>
      <c r="R3531" s="298"/>
      <c r="S3531" s="669"/>
      <c r="X3531" s="444">
        <v>3531</v>
      </c>
    </row>
    <row r="3532" spans="1:32" s="73" customFormat="1" ht="24">
      <c r="A3532" s="83" t="s">
        <v>24033</v>
      </c>
      <c r="B3532" s="64" t="s">
        <v>29739</v>
      </c>
      <c r="C3532" s="71" t="s">
        <v>165</v>
      </c>
      <c r="D3532" s="79">
        <v>1</v>
      </c>
      <c r="E3532" s="79">
        <v>50.87</v>
      </c>
      <c r="F3532" s="79">
        <v>50.87</v>
      </c>
      <c r="G3532" s="445"/>
      <c r="H3532" s="178">
        <v>50.88</v>
      </c>
      <c r="I3532" s="178">
        <v>62.58</v>
      </c>
      <c r="J3532" s="70">
        <v>-11.71</v>
      </c>
      <c r="K3532" s="320"/>
      <c r="L3532" s="178">
        <v>1.1499999999999999</v>
      </c>
      <c r="M3532" s="178">
        <v>49.72</v>
      </c>
      <c r="N3532" s="179">
        <v>0</v>
      </c>
      <c r="O3532" s="178">
        <v>50.87</v>
      </c>
      <c r="P3532" s="453"/>
      <c r="Q3532" s="61"/>
      <c r="R3532" s="298"/>
      <c r="S3532" s="669"/>
      <c r="T3532" s="444"/>
      <c r="X3532" s="444">
        <v>3532</v>
      </c>
    </row>
    <row r="3533" spans="1:32" s="73" customFormat="1" ht="24">
      <c r="A3533" s="83" t="s">
        <v>24034</v>
      </c>
      <c r="B3533" s="64" t="s">
        <v>29740</v>
      </c>
      <c r="C3533" s="71" t="s">
        <v>165</v>
      </c>
      <c r="D3533" s="79">
        <v>1</v>
      </c>
      <c r="E3533" s="79">
        <v>33.159999999999997</v>
      </c>
      <c r="F3533" s="79">
        <v>33.159999999999997</v>
      </c>
      <c r="G3533" s="445"/>
      <c r="H3533" s="178">
        <v>33.159999999999997</v>
      </c>
      <c r="I3533" s="178">
        <v>40.79</v>
      </c>
      <c r="J3533" s="70">
        <v>-7.6300000000000026</v>
      </c>
      <c r="K3533" s="320"/>
      <c r="L3533" s="178">
        <v>1.1499999999999999</v>
      </c>
      <c r="M3533" s="178">
        <v>32.01</v>
      </c>
      <c r="N3533" s="179">
        <v>0</v>
      </c>
      <c r="O3533" s="178">
        <v>33.159999999999997</v>
      </c>
      <c r="P3533" s="453"/>
      <c r="Q3533" s="61"/>
      <c r="R3533" s="298"/>
      <c r="S3533" s="669"/>
      <c r="T3533" s="444"/>
      <c r="X3533" s="444">
        <v>3533</v>
      </c>
    </row>
    <row r="3534" spans="1:32" s="73" customFormat="1" ht="24">
      <c r="A3534" s="83" t="s">
        <v>24035</v>
      </c>
      <c r="B3534" s="64" t="s">
        <v>29741</v>
      </c>
      <c r="C3534" s="71" t="s">
        <v>165</v>
      </c>
      <c r="D3534" s="79">
        <v>1</v>
      </c>
      <c r="E3534" s="79">
        <v>20.63</v>
      </c>
      <c r="F3534" s="79">
        <v>20.63</v>
      </c>
      <c r="G3534" s="445"/>
      <c r="H3534" s="178">
        <v>20.63</v>
      </c>
      <c r="I3534" s="178">
        <v>25.38</v>
      </c>
      <c r="J3534" s="70">
        <v>-4.75</v>
      </c>
      <c r="K3534" s="320"/>
      <c r="L3534" s="178">
        <v>1.1499999999999999</v>
      </c>
      <c r="M3534" s="178">
        <v>19.48</v>
      </c>
      <c r="N3534" s="179">
        <v>0</v>
      </c>
      <c r="O3534" s="178">
        <v>20.63</v>
      </c>
      <c r="P3534" s="453"/>
      <c r="Q3534" s="61"/>
      <c r="R3534" s="298"/>
      <c r="S3534" s="669"/>
      <c r="T3534" s="444"/>
      <c r="X3534" s="444">
        <v>3534</v>
      </c>
    </row>
    <row r="3535" spans="1:32" s="73" customFormat="1" ht="24">
      <c r="A3535" s="83" t="s">
        <v>24036</v>
      </c>
      <c r="B3535" s="64" t="s">
        <v>29742</v>
      </c>
      <c r="C3535" s="71" t="s">
        <v>165</v>
      </c>
      <c r="D3535" s="79">
        <v>1</v>
      </c>
      <c r="E3535" s="79">
        <v>14.82</v>
      </c>
      <c r="F3535" s="79">
        <v>14.82</v>
      </c>
      <c r="G3535" s="445"/>
      <c r="H3535" s="178">
        <v>14.83</v>
      </c>
      <c r="I3535" s="178">
        <v>18.239999999999998</v>
      </c>
      <c r="J3535" s="70">
        <v>-3.4199999999999982</v>
      </c>
      <c r="K3535" s="320"/>
      <c r="L3535" s="178">
        <v>1.1499999999999999</v>
      </c>
      <c r="M3535" s="178">
        <v>13.67</v>
      </c>
      <c r="N3535" s="179">
        <v>0</v>
      </c>
      <c r="O3535" s="178">
        <v>14.82</v>
      </c>
      <c r="P3535" s="453"/>
      <c r="Q3535" s="61"/>
      <c r="R3535" s="298"/>
      <c r="S3535" s="669"/>
      <c r="T3535" s="444"/>
      <c r="X3535" s="444">
        <v>3535</v>
      </c>
    </row>
    <row r="3536" spans="1:32" s="73" customFormat="1" ht="24">
      <c r="A3536" s="83" t="s">
        <v>24037</v>
      </c>
      <c r="B3536" s="64" t="s">
        <v>32878</v>
      </c>
      <c r="C3536" s="71" t="s">
        <v>165</v>
      </c>
      <c r="D3536" s="79">
        <v>1</v>
      </c>
      <c r="E3536" s="79">
        <v>10.370000000000001</v>
      </c>
      <c r="F3536" s="79">
        <v>10.37</v>
      </c>
      <c r="G3536" s="445"/>
      <c r="H3536" s="178">
        <v>10.37</v>
      </c>
      <c r="I3536" s="178">
        <v>12.76</v>
      </c>
      <c r="J3536" s="70">
        <v>-2.3899999999999988</v>
      </c>
      <c r="K3536" s="320"/>
      <c r="L3536" s="178">
        <v>1.1499999999999999</v>
      </c>
      <c r="M3536" s="178">
        <v>9.2200000000000006</v>
      </c>
      <c r="N3536" s="179">
        <v>0</v>
      </c>
      <c r="O3536" s="178">
        <v>10.370000000000001</v>
      </c>
      <c r="P3536" s="453"/>
      <c r="Q3536" s="61"/>
      <c r="R3536" s="298"/>
      <c r="S3536" s="669"/>
      <c r="T3536" s="444"/>
      <c r="X3536" s="444">
        <v>3536</v>
      </c>
    </row>
    <row r="3537" spans="1:24" ht="24">
      <c r="A3537" s="83" t="s">
        <v>24038</v>
      </c>
      <c r="B3537" s="64" t="s">
        <v>40118</v>
      </c>
      <c r="C3537" s="71" t="s">
        <v>165</v>
      </c>
      <c r="D3537" s="79">
        <v>1</v>
      </c>
      <c r="E3537" s="79">
        <v>7.27</v>
      </c>
      <c r="F3537" s="79">
        <v>7.27</v>
      </c>
      <c r="G3537" s="445"/>
      <c r="H3537" s="178">
        <v>7.28</v>
      </c>
      <c r="I3537" s="178">
        <v>8.9499999999999993</v>
      </c>
      <c r="J3537" s="70">
        <v>-1.6799999999999997</v>
      </c>
      <c r="K3537" s="320"/>
      <c r="L3537" s="178">
        <v>1.1499999999999999</v>
      </c>
      <c r="M3537" s="178">
        <v>6.1199999999999992</v>
      </c>
      <c r="N3537" s="179">
        <v>0</v>
      </c>
      <c r="O3537" s="178">
        <v>7.27</v>
      </c>
      <c r="P3537" s="453"/>
      <c r="Q3537" s="61"/>
      <c r="R3537" s="298"/>
      <c r="S3537" s="669"/>
      <c r="X3537" s="444">
        <v>3537</v>
      </c>
    </row>
    <row r="3538" spans="1:24" ht="12">
      <c r="A3538" s="472" t="s">
        <v>24039</v>
      </c>
      <c r="B3538" s="473" t="s">
        <v>24040</v>
      </c>
      <c r="C3538" s="297" t="s">
        <v>10216</v>
      </c>
      <c r="D3538" s="474">
        <v>1</v>
      </c>
      <c r="E3538" s="474">
        <v>577.26</v>
      </c>
      <c r="F3538" s="474">
        <v>577.26</v>
      </c>
      <c r="G3538" s="320"/>
      <c r="H3538" s="776">
        <v>577.25</v>
      </c>
      <c r="I3538" s="776">
        <v>710.02</v>
      </c>
      <c r="J3538" s="777">
        <v>-132.76</v>
      </c>
      <c r="K3538" s="320"/>
      <c r="L3538" s="776"/>
      <c r="M3538" s="776">
        <v>577.26</v>
      </c>
      <c r="N3538" s="778">
        <v>0</v>
      </c>
      <c r="O3538" s="776">
        <v>577.26</v>
      </c>
      <c r="P3538" s="453"/>
      <c r="Q3538" s="61"/>
      <c r="R3538" s="298"/>
      <c r="S3538" s="669"/>
      <c r="T3538" s="73"/>
      <c r="X3538" s="444">
        <v>3538</v>
      </c>
    </row>
    <row r="3539" spans="1:24" ht="22.5" customHeight="1">
      <c r="A3539" s="779"/>
      <c r="B3539" s="696" t="s">
        <v>18451</v>
      </c>
      <c r="C3539" s="745"/>
      <c r="D3539" s="780"/>
      <c r="E3539" s="780"/>
      <c r="F3539" s="780">
        <v>7380134.3600000087</v>
      </c>
      <c r="G3539" s="445"/>
      <c r="H3539" s="136"/>
      <c r="I3539" s="136"/>
      <c r="L3539" s="865" t="s">
        <v>18451</v>
      </c>
      <c r="M3539" s="866"/>
      <c r="N3539" s="867"/>
      <c r="O3539" s="780">
        <v>7380134.3600000078</v>
      </c>
      <c r="X3539" s="444">
        <v>3539</v>
      </c>
    </row>
    <row r="3540" spans="1:24">
      <c r="X3540" s="444">
        <v>3540</v>
      </c>
    </row>
    <row r="3541" spans="1:24">
      <c r="X3541" s="444">
        <v>3541</v>
      </c>
    </row>
    <row r="3542" spans="1:24">
      <c r="X3542" s="444">
        <v>3542</v>
      </c>
    </row>
  </sheetData>
  <mergeCells count="4">
    <mergeCell ref="L3539:N3539"/>
    <mergeCell ref="H5:I5"/>
    <mergeCell ref="L5:N5"/>
    <mergeCell ref="O5:O6"/>
  </mergeCells>
  <conditionalFormatting sqref="A5:F10000">
    <cfRule type="expression" dxfId="2019" priority="1">
      <formula>ROW()=CELL("lin")</formula>
    </cfRule>
  </conditionalFormatting>
  <pageMargins left="0.511811024" right="0.511811024" top="0.78740157499999996" bottom="0.78740157499999996" header="0.31496062000000002" footer="0.3149606200000000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4"/>
  <dimension ref="A1:AE4095"/>
  <sheetViews>
    <sheetView topLeftCell="A1688" zoomScale="110" zoomScaleNormal="110" workbookViewId="0">
      <selection activeCell="A1707" sqref="A1707"/>
    </sheetView>
  </sheetViews>
  <sheetFormatPr baseColWidth="10" defaultColWidth="6.83203125" defaultRowHeight="15"/>
  <cols>
    <col min="1" max="1" width="7.83203125" style="68" bestFit="1" customWidth="1"/>
    <col min="2" max="2" width="54.33203125" style="9" customWidth="1"/>
    <col min="3" max="3" width="6.5" style="72" customWidth="1"/>
    <col min="4" max="4" width="12.5" style="235" customWidth="1"/>
    <col min="5" max="5" width="14.5" style="80" customWidth="1"/>
    <col min="6" max="6" width="14.33203125" style="61" customWidth="1"/>
    <col min="7" max="7" width="19.1640625" style="236" customWidth="1"/>
    <col min="8" max="8" width="11.83203125" style="80" customWidth="1"/>
    <col min="9" max="9" width="11.33203125" style="80" customWidth="1"/>
    <col min="10" max="11" width="11.5" style="80" customWidth="1"/>
    <col min="12" max="12" width="10.83203125" style="61" customWidth="1"/>
    <col min="13" max="13" width="11.83203125" style="61" hidden="1" customWidth="1"/>
    <col min="14" max="14" width="11.83203125" style="80" customWidth="1"/>
    <col min="15" max="15" width="11.33203125" style="80" customWidth="1"/>
    <col min="16" max="17" width="11.5" style="80" customWidth="1"/>
    <col min="18" max="18" width="11.83203125" style="80" customWidth="1"/>
    <col min="19" max="19" width="11.33203125" style="80" customWidth="1"/>
    <col min="20" max="21" width="11.5" style="80" customWidth="1"/>
    <col min="22" max="22" width="10.83203125" style="61" customWidth="1"/>
    <col min="23" max="23" width="6.83203125" style="61" customWidth="1"/>
    <col min="24" max="24" width="11.83203125" style="80" customWidth="1"/>
    <col min="25" max="25" width="11.33203125" style="80" customWidth="1"/>
    <col min="26" max="26" width="11.5" style="80" customWidth="1"/>
    <col min="27" max="27" width="12.83203125" style="250" customWidth="1"/>
    <col min="28" max="28" width="6.83203125" style="61" customWidth="1"/>
    <col min="29" max="29" width="12.1640625" style="107" customWidth="1"/>
    <col min="30" max="16384" width="6.83203125" style="236"/>
  </cols>
  <sheetData>
    <row r="1" spans="1:29">
      <c r="D1" s="136"/>
      <c r="E1" s="136"/>
      <c r="F1" s="136"/>
      <c r="G1" s="249" t="s">
        <v>1</v>
      </c>
      <c r="H1" s="190">
        <v>14500461.17</v>
      </c>
      <c r="I1" s="485" t="s">
        <v>10485</v>
      </c>
      <c r="N1" s="190"/>
      <c r="R1" s="190"/>
      <c r="S1" s="485"/>
      <c r="X1" s="190"/>
    </row>
    <row r="2" spans="1:29">
      <c r="B2" s="62"/>
      <c r="C2" s="60"/>
      <c r="D2" s="247"/>
      <c r="F2" s="66"/>
      <c r="G2" s="249" t="s">
        <v>10486</v>
      </c>
      <c r="H2" s="190">
        <v>9.9999999999999994E-12</v>
      </c>
      <c r="I2" s="321" t="s">
        <v>28047</v>
      </c>
      <c r="N2" s="190"/>
      <c r="R2" s="190"/>
      <c r="X2" s="190"/>
    </row>
    <row r="3" spans="1:29">
      <c r="B3" s="66" t="s">
        <v>10487</v>
      </c>
      <c r="G3" s="249" t="s">
        <v>10488</v>
      </c>
      <c r="H3" s="486">
        <v>128.22999999999999</v>
      </c>
      <c r="I3" s="80" t="s">
        <v>28048</v>
      </c>
      <c r="N3" s="190"/>
      <c r="R3" s="486"/>
      <c r="X3" s="190"/>
    </row>
    <row r="4" spans="1:29" ht="11">
      <c r="B4" s="73" t="s">
        <v>42028</v>
      </c>
      <c r="G4" s="249"/>
      <c r="H4" s="486"/>
      <c r="N4" s="190"/>
      <c r="R4" s="486"/>
      <c r="X4" s="190"/>
      <c r="AC4" s="251"/>
    </row>
    <row r="5" spans="1:29" ht="12">
      <c r="B5" s="62" t="s">
        <v>30419</v>
      </c>
      <c r="F5" s="66"/>
      <c r="G5" s="249"/>
      <c r="H5" s="879" t="s">
        <v>10489</v>
      </c>
      <c r="I5" s="880"/>
      <c r="J5" s="880"/>
      <c r="K5" s="880"/>
      <c r="L5" s="881"/>
      <c r="N5" s="882" t="s">
        <v>10490</v>
      </c>
      <c r="O5" s="883"/>
      <c r="P5" s="884"/>
      <c r="R5" s="879" t="s">
        <v>42029</v>
      </c>
      <c r="S5" s="880"/>
      <c r="T5" s="880"/>
      <c r="U5" s="880"/>
      <c r="V5" s="881"/>
      <c r="X5" s="888" t="s">
        <v>10491</v>
      </c>
      <c r="Y5" s="889"/>
      <c r="Z5" s="889"/>
      <c r="AA5" s="890"/>
      <c r="AC5" s="251"/>
    </row>
    <row r="6" spans="1:29" ht="11">
      <c r="B6" s="875"/>
      <c r="C6" s="875"/>
      <c r="D6" s="875"/>
      <c r="H6" s="876" t="s">
        <v>10492</v>
      </c>
      <c r="I6" s="877"/>
      <c r="J6" s="877"/>
      <c r="K6" s="877"/>
      <c r="L6" s="878"/>
      <c r="N6" s="885"/>
      <c r="O6" s="886"/>
      <c r="P6" s="887"/>
      <c r="Q6" s="487"/>
      <c r="R6" s="876" t="s">
        <v>40939</v>
      </c>
      <c r="S6" s="877"/>
      <c r="T6" s="877"/>
      <c r="U6" s="877"/>
      <c r="V6" s="878"/>
      <c r="X6" s="876" t="s">
        <v>42030</v>
      </c>
      <c r="Y6" s="877"/>
      <c r="Z6" s="877"/>
      <c r="AA6" s="878"/>
      <c r="AC6" s="251"/>
    </row>
    <row r="7" spans="1:29" s="237" customFormat="1" ht="24">
      <c r="A7" s="696" t="s">
        <v>10493</v>
      </c>
      <c r="B7" s="696" t="s">
        <v>10494</v>
      </c>
      <c r="C7" s="697" t="s">
        <v>10495</v>
      </c>
      <c r="D7" s="697" t="s">
        <v>10496</v>
      </c>
      <c r="E7" s="698" t="s">
        <v>10497</v>
      </c>
      <c r="F7" s="697" t="s">
        <v>10498</v>
      </c>
      <c r="G7" s="252"/>
      <c r="H7" s="698" t="s">
        <v>10499</v>
      </c>
      <c r="I7" s="698" t="s">
        <v>10500</v>
      </c>
      <c r="J7" s="699" t="s">
        <v>10501</v>
      </c>
      <c r="K7" s="700" t="s">
        <v>10502</v>
      </c>
      <c r="L7" s="697" t="s">
        <v>10503</v>
      </c>
      <c r="M7" s="9"/>
      <c r="N7" s="698" t="s">
        <v>10499</v>
      </c>
      <c r="O7" s="698" t="s">
        <v>10500</v>
      </c>
      <c r="P7" s="698" t="s">
        <v>10504</v>
      </c>
      <c r="Q7" s="488"/>
      <c r="R7" s="698" t="s">
        <v>10505</v>
      </c>
      <c r="S7" s="698" t="s">
        <v>10506</v>
      </c>
      <c r="T7" s="699" t="s">
        <v>10501</v>
      </c>
      <c r="U7" s="699" t="s">
        <v>10502</v>
      </c>
      <c r="V7" s="697" t="s">
        <v>10507</v>
      </c>
      <c r="W7" s="9"/>
      <c r="X7" s="652" t="s">
        <v>10505</v>
      </c>
      <c r="Y7" s="652" t="s">
        <v>10506</v>
      </c>
      <c r="Z7" s="652" t="s">
        <v>10508</v>
      </c>
      <c r="AA7" s="653" t="s">
        <v>10509</v>
      </c>
      <c r="AB7" s="9"/>
      <c r="AC7" s="246"/>
    </row>
    <row r="8" spans="1:29" ht="12">
      <c r="A8" s="279" t="s">
        <v>10510</v>
      </c>
      <c r="B8" s="280" t="s">
        <v>10511</v>
      </c>
      <c r="C8" s="281"/>
      <c r="D8" s="248"/>
      <c r="E8" s="82"/>
      <c r="F8" s="74"/>
      <c r="H8" s="82"/>
      <c r="I8" s="82"/>
      <c r="J8" s="82"/>
      <c r="K8" s="82"/>
      <c r="L8" s="74"/>
      <c r="N8" s="82"/>
      <c r="O8" s="82"/>
      <c r="P8" s="82"/>
      <c r="Q8" s="136"/>
      <c r="R8" s="82"/>
      <c r="S8" s="82"/>
      <c r="T8" s="82"/>
      <c r="U8" s="82"/>
      <c r="V8" s="74"/>
      <c r="X8" s="82"/>
      <c r="Y8" s="82"/>
      <c r="Z8" s="82"/>
      <c r="AA8" s="253"/>
      <c r="AC8" s="254"/>
    </row>
    <row r="9" spans="1:29" ht="12">
      <c r="A9" s="489" t="s">
        <v>10512</v>
      </c>
      <c r="B9" s="490" t="s">
        <v>10513</v>
      </c>
      <c r="C9" s="491"/>
      <c r="D9" s="492"/>
      <c r="E9" s="79"/>
      <c r="F9" s="63"/>
      <c r="H9" s="79"/>
      <c r="I9" s="79"/>
      <c r="J9" s="79"/>
      <c r="K9" s="79"/>
      <c r="L9" s="63"/>
      <c r="N9" s="79"/>
      <c r="O9" s="79"/>
      <c r="P9" s="79"/>
      <c r="Q9" s="136"/>
      <c r="R9" s="79"/>
      <c r="S9" s="79"/>
      <c r="T9" s="79"/>
      <c r="U9" s="79"/>
      <c r="V9" s="63"/>
      <c r="X9" s="79"/>
      <c r="Y9" s="79"/>
      <c r="Z9" s="79"/>
      <c r="AA9" s="493"/>
      <c r="AC9" s="254"/>
    </row>
    <row r="10" spans="1:29" ht="24">
      <c r="A10" s="67" t="s">
        <v>10514</v>
      </c>
      <c r="B10" s="65" t="s">
        <v>10515</v>
      </c>
      <c r="C10" s="71" t="s">
        <v>103</v>
      </c>
      <c r="D10" s="78">
        <v>1</v>
      </c>
      <c r="E10" s="79">
        <v>7204.95</v>
      </c>
      <c r="F10" s="70">
        <v>7204.95</v>
      </c>
      <c r="G10" s="320"/>
      <c r="H10" s="79">
        <v>0</v>
      </c>
      <c r="I10" s="79">
        <v>7204.95</v>
      </c>
      <c r="J10" s="79">
        <v>7204.95</v>
      </c>
      <c r="K10" s="79">
        <v>0</v>
      </c>
      <c r="L10" s="70">
        <v>7204.95</v>
      </c>
      <c r="M10" s="132"/>
      <c r="N10" s="79"/>
      <c r="O10" s="79">
        <v>7204.95</v>
      </c>
      <c r="P10" s="79">
        <v>7204.95</v>
      </c>
      <c r="Q10" s="136"/>
      <c r="R10" s="79"/>
      <c r="S10" s="79">
        <v>7204.93</v>
      </c>
      <c r="T10" s="79">
        <v>7204.93</v>
      </c>
      <c r="U10" s="79">
        <v>0</v>
      </c>
      <c r="V10" s="189">
        <v>7204.93</v>
      </c>
      <c r="X10" s="79"/>
      <c r="Y10" s="79">
        <v>7204.93</v>
      </c>
      <c r="Z10" s="79">
        <v>7204.93</v>
      </c>
      <c r="AA10" s="255">
        <v>1.9999999999527063E-2</v>
      </c>
      <c r="AC10" s="254"/>
    </row>
    <row r="11" spans="1:29" ht="24">
      <c r="A11" s="67" t="s">
        <v>10516</v>
      </c>
      <c r="B11" s="65" t="s">
        <v>10517</v>
      </c>
      <c r="C11" s="71" t="s">
        <v>103</v>
      </c>
      <c r="D11" s="78">
        <v>1</v>
      </c>
      <c r="E11" s="79">
        <v>9581.2099999999991</v>
      </c>
      <c r="F11" s="70">
        <v>9581.2099999999991</v>
      </c>
      <c r="G11" s="320"/>
      <c r="H11" s="79">
        <v>0</v>
      </c>
      <c r="I11" s="79">
        <v>9581.2099999999991</v>
      </c>
      <c r="J11" s="79">
        <v>9581.2099999999991</v>
      </c>
      <c r="K11" s="79">
        <v>0</v>
      </c>
      <c r="L11" s="70">
        <v>9581.2099999999991</v>
      </c>
      <c r="M11" s="132"/>
      <c r="N11" s="79"/>
      <c r="O11" s="79">
        <v>9581.2099999999991</v>
      </c>
      <c r="P11" s="79">
        <v>9581.2099999999991</v>
      </c>
      <c r="Q11" s="136"/>
      <c r="R11" s="79"/>
      <c r="S11" s="79">
        <v>9581.15</v>
      </c>
      <c r="T11" s="79">
        <v>9581.15</v>
      </c>
      <c r="U11" s="79">
        <v>0</v>
      </c>
      <c r="V11" s="189">
        <v>9581.15</v>
      </c>
      <c r="X11" s="79"/>
      <c r="Y11" s="79">
        <v>9581.15</v>
      </c>
      <c r="Z11" s="79">
        <v>9581.15</v>
      </c>
      <c r="AA11" s="255">
        <v>5.9999999999490683E-2</v>
      </c>
      <c r="AC11" s="254"/>
    </row>
    <row r="12" spans="1:29" ht="24">
      <c r="A12" s="67" t="s">
        <v>10518</v>
      </c>
      <c r="B12" s="65" t="s">
        <v>10519</v>
      </c>
      <c r="C12" s="71" t="s">
        <v>103</v>
      </c>
      <c r="D12" s="78">
        <v>1</v>
      </c>
      <c r="E12" s="79">
        <v>16366.810000000001</v>
      </c>
      <c r="F12" s="70">
        <v>16366.81</v>
      </c>
      <c r="G12" s="320"/>
      <c r="H12" s="79">
        <v>0</v>
      </c>
      <c r="I12" s="79">
        <v>16366.810000000001</v>
      </c>
      <c r="J12" s="79">
        <v>16366.810000000001</v>
      </c>
      <c r="K12" s="79">
        <v>0</v>
      </c>
      <c r="L12" s="70">
        <v>16366.810000000001</v>
      </c>
      <c r="M12" s="132"/>
      <c r="N12" s="79"/>
      <c r="O12" s="79">
        <v>16366.810000000001</v>
      </c>
      <c r="P12" s="79">
        <v>16366.810000000001</v>
      </c>
      <c r="Q12" s="136"/>
      <c r="R12" s="79"/>
      <c r="S12" s="79">
        <v>16366.75</v>
      </c>
      <c r="T12" s="79">
        <v>16366.75</v>
      </c>
      <c r="U12" s="79">
        <v>0</v>
      </c>
      <c r="V12" s="189">
        <v>16366.75</v>
      </c>
      <c r="X12" s="79"/>
      <c r="Y12" s="79">
        <v>16366.75</v>
      </c>
      <c r="Z12" s="79">
        <v>16366.75</v>
      </c>
      <c r="AA12" s="255">
        <v>5.9999999999490683E-2</v>
      </c>
      <c r="AC12" s="254"/>
    </row>
    <row r="13" spans="1:29" ht="24">
      <c r="A13" s="67" t="s">
        <v>10520</v>
      </c>
      <c r="B13" s="65" t="s">
        <v>10521</v>
      </c>
      <c r="C13" s="71" t="s">
        <v>103</v>
      </c>
      <c r="D13" s="78">
        <v>1</v>
      </c>
      <c r="E13" s="79">
        <v>22440.83</v>
      </c>
      <c r="F13" s="70">
        <v>22440.83</v>
      </c>
      <c r="G13" s="320"/>
      <c r="H13" s="79">
        <v>0</v>
      </c>
      <c r="I13" s="79">
        <v>22440.83</v>
      </c>
      <c r="J13" s="79">
        <v>22440.83</v>
      </c>
      <c r="K13" s="79">
        <v>0</v>
      </c>
      <c r="L13" s="70">
        <v>22440.83</v>
      </c>
      <c r="M13" s="132"/>
      <c r="N13" s="79"/>
      <c r="O13" s="79">
        <v>22440.83</v>
      </c>
      <c r="P13" s="79">
        <v>22440.83</v>
      </c>
      <c r="Q13" s="136"/>
      <c r="R13" s="79"/>
      <c r="S13" s="79">
        <v>22440.73</v>
      </c>
      <c r="T13" s="79">
        <v>22440.73</v>
      </c>
      <c r="U13" s="79">
        <v>0</v>
      </c>
      <c r="V13" s="189">
        <v>22440.73</v>
      </c>
      <c r="X13" s="79"/>
      <c r="Y13" s="79">
        <v>22440.73</v>
      </c>
      <c r="Z13" s="79">
        <v>22440.73</v>
      </c>
      <c r="AA13" s="255">
        <v>0.10000000000218279</v>
      </c>
      <c r="AC13" s="254"/>
    </row>
    <row r="14" spans="1:29" ht="24">
      <c r="A14" s="67" t="s">
        <v>10522</v>
      </c>
      <c r="B14" s="65" t="s">
        <v>10523</v>
      </c>
      <c r="C14" s="71" t="s">
        <v>103</v>
      </c>
      <c r="D14" s="78">
        <v>1</v>
      </c>
      <c r="E14" s="79">
        <v>26151.35</v>
      </c>
      <c r="F14" s="70">
        <v>26151.35</v>
      </c>
      <c r="G14" s="320"/>
      <c r="H14" s="79">
        <v>0</v>
      </c>
      <c r="I14" s="79">
        <v>26151.35</v>
      </c>
      <c r="J14" s="79">
        <v>26151.35</v>
      </c>
      <c r="K14" s="79">
        <v>0</v>
      </c>
      <c r="L14" s="70">
        <v>26151.35</v>
      </c>
      <c r="M14" s="132"/>
      <c r="N14" s="79"/>
      <c r="O14" s="79">
        <v>26151.35</v>
      </c>
      <c r="P14" s="79">
        <v>26151.35</v>
      </c>
      <c r="Q14" s="136"/>
      <c r="R14" s="79"/>
      <c r="S14" s="79">
        <v>26151.21</v>
      </c>
      <c r="T14" s="79">
        <v>26151.21</v>
      </c>
      <c r="U14" s="79">
        <v>0</v>
      </c>
      <c r="V14" s="189">
        <v>26151.21</v>
      </c>
      <c r="X14" s="79"/>
      <c r="Y14" s="79">
        <v>26151.21</v>
      </c>
      <c r="Z14" s="79">
        <v>26151.21</v>
      </c>
      <c r="AA14" s="255">
        <v>0.13999999999941792</v>
      </c>
      <c r="AC14" s="254"/>
    </row>
    <row r="15" spans="1:29" ht="12">
      <c r="A15" s="489" t="s">
        <v>10524</v>
      </c>
      <c r="B15" s="490" t="s">
        <v>10525</v>
      </c>
      <c r="C15" s="491"/>
      <c r="D15" s="492"/>
      <c r="E15" s="79"/>
      <c r="F15" s="63"/>
      <c r="G15" s="320"/>
      <c r="H15" s="79"/>
      <c r="I15" s="79"/>
      <c r="J15" s="79"/>
      <c r="K15" s="79"/>
      <c r="L15" s="70"/>
      <c r="M15" s="132"/>
      <c r="N15" s="79"/>
      <c r="O15" s="79"/>
      <c r="P15" s="79"/>
      <c r="Q15" s="136"/>
      <c r="R15" s="79"/>
      <c r="S15" s="79"/>
      <c r="T15" s="79"/>
      <c r="U15" s="79"/>
      <c r="V15" s="189"/>
      <c r="X15" s="79"/>
      <c r="Y15" s="79"/>
      <c r="Z15" s="79"/>
      <c r="AA15" s="255"/>
      <c r="AC15" s="254"/>
    </row>
    <row r="16" spans="1:29" ht="24">
      <c r="A16" s="67" t="s">
        <v>10526</v>
      </c>
      <c r="B16" s="65" t="s">
        <v>10527</v>
      </c>
      <c r="C16" s="71" t="s">
        <v>103</v>
      </c>
      <c r="D16" s="78">
        <v>1</v>
      </c>
      <c r="E16" s="79">
        <v>9202.42</v>
      </c>
      <c r="F16" s="70">
        <v>9202.42</v>
      </c>
      <c r="G16" s="320"/>
      <c r="H16" s="79">
        <v>0</v>
      </c>
      <c r="I16" s="79">
        <v>9202.42</v>
      </c>
      <c r="J16" s="79">
        <v>9202.42</v>
      </c>
      <c r="K16" s="79">
        <v>0</v>
      </c>
      <c r="L16" s="70">
        <v>9202.42</v>
      </c>
      <c r="M16" s="132"/>
      <c r="N16" s="79"/>
      <c r="O16" s="79">
        <v>9202.42</v>
      </c>
      <c r="P16" s="79">
        <v>9202.42</v>
      </c>
      <c r="Q16" s="136"/>
      <c r="R16" s="79"/>
      <c r="S16" s="79">
        <v>9202.36</v>
      </c>
      <c r="T16" s="79">
        <v>9202.36</v>
      </c>
      <c r="U16" s="79">
        <v>0</v>
      </c>
      <c r="V16" s="189">
        <v>9202.36</v>
      </c>
      <c r="X16" s="79"/>
      <c r="Y16" s="79">
        <v>9202.36</v>
      </c>
      <c r="Z16" s="79">
        <v>9202.36</v>
      </c>
      <c r="AA16" s="255">
        <v>5.9999999999490683E-2</v>
      </c>
      <c r="AC16" s="254"/>
    </row>
    <row r="17" spans="1:29" ht="24">
      <c r="A17" s="67" t="s">
        <v>10528</v>
      </c>
      <c r="B17" s="65" t="s">
        <v>10529</v>
      </c>
      <c r="C17" s="71" t="s">
        <v>103</v>
      </c>
      <c r="D17" s="78">
        <v>1</v>
      </c>
      <c r="E17" s="79">
        <v>15587.33</v>
      </c>
      <c r="F17" s="70">
        <v>15587.33</v>
      </c>
      <c r="G17" s="320"/>
      <c r="H17" s="79">
        <v>0</v>
      </c>
      <c r="I17" s="79">
        <v>15587.33</v>
      </c>
      <c r="J17" s="79">
        <v>15587.33</v>
      </c>
      <c r="K17" s="79">
        <v>0</v>
      </c>
      <c r="L17" s="70">
        <v>15587.33</v>
      </c>
      <c r="M17" s="132"/>
      <c r="N17" s="79"/>
      <c r="O17" s="79">
        <v>15587.33</v>
      </c>
      <c r="P17" s="79">
        <v>15587.33</v>
      </c>
      <c r="Q17" s="136"/>
      <c r="R17" s="79"/>
      <c r="S17" s="79">
        <v>15587.22</v>
      </c>
      <c r="T17" s="79">
        <v>15587.22</v>
      </c>
      <c r="U17" s="79">
        <v>0</v>
      </c>
      <c r="V17" s="189">
        <v>15587.22</v>
      </c>
      <c r="X17" s="79"/>
      <c r="Y17" s="79">
        <v>15587.22</v>
      </c>
      <c r="Z17" s="79">
        <v>15587.22</v>
      </c>
      <c r="AA17" s="255">
        <v>0.11000000000058208</v>
      </c>
      <c r="AC17" s="254"/>
    </row>
    <row r="18" spans="1:29" ht="24">
      <c r="A18" s="67" t="s">
        <v>10530</v>
      </c>
      <c r="B18" s="65" t="s">
        <v>10531</v>
      </c>
      <c r="C18" s="71" t="s">
        <v>103</v>
      </c>
      <c r="D18" s="78">
        <v>1</v>
      </c>
      <c r="E18" s="79">
        <v>21092.379999999997</v>
      </c>
      <c r="F18" s="70">
        <v>21092.38</v>
      </c>
      <c r="G18" s="320"/>
      <c r="H18" s="79">
        <v>0</v>
      </c>
      <c r="I18" s="79">
        <v>21092.379999999997</v>
      </c>
      <c r="J18" s="79">
        <v>21092.379999999997</v>
      </c>
      <c r="K18" s="79">
        <v>0</v>
      </c>
      <c r="L18" s="70">
        <v>21092.379999999997</v>
      </c>
      <c r="M18" s="132"/>
      <c r="N18" s="79"/>
      <c r="O18" s="79">
        <v>21092.379999999997</v>
      </c>
      <c r="P18" s="79">
        <v>21092.379999999997</v>
      </c>
      <c r="Q18" s="136"/>
      <c r="R18" s="79"/>
      <c r="S18" s="79">
        <v>21092.240000000002</v>
      </c>
      <c r="T18" s="79">
        <v>21092.240000000002</v>
      </c>
      <c r="U18" s="79">
        <v>0</v>
      </c>
      <c r="V18" s="189">
        <v>21092.240000000002</v>
      </c>
      <c r="X18" s="79"/>
      <c r="Y18" s="79">
        <v>21092.240000000002</v>
      </c>
      <c r="Z18" s="79">
        <v>21092.240000000002</v>
      </c>
      <c r="AA18" s="255">
        <v>0.13999999999941792</v>
      </c>
      <c r="AC18" s="254"/>
    </row>
    <row r="19" spans="1:29" ht="24">
      <c r="A19" s="67" t="s">
        <v>10532</v>
      </c>
      <c r="B19" s="65" t="s">
        <v>10533</v>
      </c>
      <c r="C19" s="71" t="s">
        <v>103</v>
      </c>
      <c r="D19" s="78">
        <v>1</v>
      </c>
      <c r="E19" s="79">
        <v>28055.17</v>
      </c>
      <c r="F19" s="70">
        <v>28055.17</v>
      </c>
      <c r="G19" s="320"/>
      <c r="H19" s="79">
        <v>0</v>
      </c>
      <c r="I19" s="79">
        <v>28055.17</v>
      </c>
      <c r="J19" s="79">
        <v>28055.17</v>
      </c>
      <c r="K19" s="79">
        <v>0</v>
      </c>
      <c r="L19" s="70">
        <v>28055.17</v>
      </c>
      <c r="M19" s="132"/>
      <c r="N19" s="79"/>
      <c r="O19" s="79">
        <v>28055.17</v>
      </c>
      <c r="P19" s="79">
        <v>28055.17</v>
      </c>
      <c r="Q19" s="136"/>
      <c r="R19" s="79"/>
      <c r="S19" s="79">
        <v>28055</v>
      </c>
      <c r="T19" s="79">
        <v>28055</v>
      </c>
      <c r="U19" s="79">
        <v>0</v>
      </c>
      <c r="V19" s="189">
        <v>28055</v>
      </c>
      <c r="X19" s="79"/>
      <c r="Y19" s="79">
        <v>28055</v>
      </c>
      <c r="Z19" s="79">
        <v>28055</v>
      </c>
      <c r="AA19" s="255">
        <v>0.16999999999825377</v>
      </c>
      <c r="AC19" s="254"/>
    </row>
    <row r="20" spans="1:29" ht="12">
      <c r="A20" s="489" t="s">
        <v>10534</v>
      </c>
      <c r="B20" s="490" t="s">
        <v>10535</v>
      </c>
      <c r="C20" s="491"/>
      <c r="D20" s="492"/>
      <c r="E20" s="79"/>
      <c r="F20" s="63"/>
      <c r="G20" s="320"/>
      <c r="H20" s="79"/>
      <c r="I20" s="79"/>
      <c r="J20" s="79"/>
      <c r="K20" s="79"/>
      <c r="L20" s="70"/>
      <c r="M20" s="132"/>
      <c r="N20" s="79"/>
      <c r="O20" s="79"/>
      <c r="P20" s="79"/>
      <c r="Q20" s="136"/>
      <c r="R20" s="79"/>
      <c r="S20" s="79"/>
      <c r="T20" s="79"/>
      <c r="U20" s="79"/>
      <c r="V20" s="189"/>
      <c r="X20" s="79"/>
      <c r="Y20" s="79"/>
      <c r="Z20" s="79"/>
      <c r="AA20" s="255"/>
      <c r="AC20" s="254"/>
    </row>
    <row r="21" spans="1:29" ht="12">
      <c r="A21" s="67" t="s">
        <v>10536</v>
      </c>
      <c r="B21" s="65" t="s">
        <v>10537</v>
      </c>
      <c r="C21" s="71" t="s">
        <v>103</v>
      </c>
      <c r="D21" s="78">
        <v>1</v>
      </c>
      <c r="E21" s="79">
        <v>3624.63</v>
      </c>
      <c r="F21" s="70">
        <v>3624.63</v>
      </c>
      <c r="G21" s="320"/>
      <c r="H21" s="79">
        <v>0</v>
      </c>
      <c r="I21" s="79">
        <v>3624.63</v>
      </c>
      <c r="J21" s="79">
        <v>3624.63</v>
      </c>
      <c r="K21" s="79">
        <v>0</v>
      </c>
      <c r="L21" s="70">
        <v>3624.63</v>
      </c>
      <c r="M21" s="132"/>
      <c r="N21" s="79"/>
      <c r="O21" s="79">
        <v>3624.63</v>
      </c>
      <c r="P21" s="79">
        <v>3624.63</v>
      </c>
      <c r="Q21" s="136"/>
      <c r="R21" s="79"/>
      <c r="S21" s="79">
        <v>3624.6</v>
      </c>
      <c r="T21" s="79">
        <v>3624.6</v>
      </c>
      <c r="U21" s="79">
        <v>0</v>
      </c>
      <c r="V21" s="189">
        <v>3624.6</v>
      </c>
      <c r="X21" s="79"/>
      <c r="Y21" s="79">
        <v>3624.6</v>
      </c>
      <c r="Z21" s="79">
        <v>3624.6</v>
      </c>
      <c r="AA21" s="255">
        <v>3.0000000000200089E-2</v>
      </c>
      <c r="AC21" s="254"/>
    </row>
    <row r="22" spans="1:29" ht="12">
      <c r="A22" s="67" t="s">
        <v>10538</v>
      </c>
      <c r="B22" s="65" t="s">
        <v>10539</v>
      </c>
      <c r="C22" s="71" t="s">
        <v>103</v>
      </c>
      <c r="D22" s="78">
        <v>1</v>
      </c>
      <c r="E22" s="79">
        <v>4900.1900000000005</v>
      </c>
      <c r="F22" s="70">
        <v>4900.1899999999996</v>
      </c>
      <c r="G22" s="320"/>
      <c r="H22" s="79">
        <v>0</v>
      </c>
      <c r="I22" s="79">
        <v>4900.1900000000005</v>
      </c>
      <c r="J22" s="79">
        <v>4900.1900000000005</v>
      </c>
      <c r="K22" s="79">
        <v>0</v>
      </c>
      <c r="L22" s="70">
        <v>4900.1900000000005</v>
      </c>
      <c r="M22" s="132"/>
      <c r="N22" s="79"/>
      <c r="O22" s="79">
        <v>4900.1900000000005</v>
      </c>
      <c r="P22" s="79">
        <v>4900.1900000000005</v>
      </c>
      <c r="Q22" s="136"/>
      <c r="R22" s="79"/>
      <c r="S22" s="79">
        <v>4900.1400000000003</v>
      </c>
      <c r="T22" s="79">
        <v>4900.1400000000003</v>
      </c>
      <c r="U22" s="79">
        <v>0</v>
      </c>
      <c r="V22" s="189">
        <v>4900.1400000000003</v>
      </c>
      <c r="X22" s="79"/>
      <c r="Y22" s="79">
        <v>4900.1400000000003</v>
      </c>
      <c r="Z22" s="79">
        <v>4900.1400000000003</v>
      </c>
      <c r="AA22" s="255">
        <v>4.9999999999272404E-2</v>
      </c>
      <c r="AC22" s="254"/>
    </row>
    <row r="23" spans="1:29" ht="12">
      <c r="A23" s="67" t="s">
        <v>10540</v>
      </c>
      <c r="B23" s="65" t="s">
        <v>10541</v>
      </c>
      <c r="C23" s="71" t="s">
        <v>103</v>
      </c>
      <c r="D23" s="78">
        <v>1</v>
      </c>
      <c r="E23" s="79">
        <v>2658.26</v>
      </c>
      <c r="F23" s="70">
        <v>2658.26</v>
      </c>
      <c r="G23" s="320"/>
      <c r="H23" s="79">
        <v>0</v>
      </c>
      <c r="I23" s="79">
        <v>2658.26</v>
      </c>
      <c r="J23" s="79">
        <v>2658.26</v>
      </c>
      <c r="K23" s="79">
        <v>0</v>
      </c>
      <c r="L23" s="70">
        <v>2658.26</v>
      </c>
      <c r="M23" s="132"/>
      <c r="N23" s="79"/>
      <c r="O23" s="79">
        <v>2658.26</v>
      </c>
      <c r="P23" s="79">
        <v>2658.26</v>
      </c>
      <c r="Q23" s="136"/>
      <c r="R23" s="79"/>
      <c r="S23" s="79">
        <v>2658.26</v>
      </c>
      <c r="T23" s="79">
        <v>2658.26</v>
      </c>
      <c r="U23" s="79">
        <v>0</v>
      </c>
      <c r="V23" s="189">
        <v>2658.26</v>
      </c>
      <c r="X23" s="79"/>
      <c r="Y23" s="79">
        <v>2658.26</v>
      </c>
      <c r="Z23" s="79">
        <v>2658.26</v>
      </c>
      <c r="AA23" s="255">
        <v>0</v>
      </c>
      <c r="AC23" s="254"/>
    </row>
    <row r="24" spans="1:29" ht="12">
      <c r="A24" s="67" t="s">
        <v>10542</v>
      </c>
      <c r="B24" s="65" t="s">
        <v>10543</v>
      </c>
      <c r="C24" s="71" t="s">
        <v>103</v>
      </c>
      <c r="D24" s="78">
        <v>1</v>
      </c>
      <c r="E24" s="79">
        <v>3637.0299999999997</v>
      </c>
      <c r="F24" s="70">
        <v>3637.03</v>
      </c>
      <c r="G24" s="320"/>
      <c r="H24" s="79">
        <v>0</v>
      </c>
      <c r="I24" s="79">
        <v>3637.0299999999997</v>
      </c>
      <c r="J24" s="79">
        <v>3637.0299999999997</v>
      </c>
      <c r="K24" s="79">
        <v>0</v>
      </c>
      <c r="L24" s="70">
        <v>3637.0299999999997</v>
      </c>
      <c r="M24" s="132"/>
      <c r="N24" s="79"/>
      <c r="O24" s="79">
        <v>3637.0299999999997</v>
      </c>
      <c r="P24" s="79">
        <v>3637.0299999999997</v>
      </c>
      <c r="Q24" s="136"/>
      <c r="R24" s="79"/>
      <c r="S24" s="79">
        <v>3637.02</v>
      </c>
      <c r="T24" s="79">
        <v>3637.02</v>
      </c>
      <c r="U24" s="79">
        <v>0</v>
      </c>
      <c r="V24" s="189">
        <v>3637.02</v>
      </c>
      <c r="X24" s="79"/>
      <c r="Y24" s="79">
        <v>3637.02</v>
      </c>
      <c r="Z24" s="79">
        <v>3637.02</v>
      </c>
      <c r="AA24" s="255">
        <v>1.0000000000218279E-2</v>
      </c>
      <c r="AC24" s="254"/>
    </row>
    <row r="25" spans="1:29" ht="12">
      <c r="A25" s="67" t="s">
        <v>10544</v>
      </c>
      <c r="B25" s="65" t="s">
        <v>10545</v>
      </c>
      <c r="C25" s="71" t="s">
        <v>103</v>
      </c>
      <c r="D25" s="78">
        <v>1</v>
      </c>
      <c r="E25" s="79">
        <v>1141.1999999999998</v>
      </c>
      <c r="F25" s="70">
        <v>1141.2</v>
      </c>
      <c r="G25" s="320"/>
      <c r="H25" s="79">
        <v>0</v>
      </c>
      <c r="I25" s="79">
        <v>1141.1999999999998</v>
      </c>
      <c r="J25" s="79">
        <v>1141.1999999999998</v>
      </c>
      <c r="K25" s="79">
        <v>0</v>
      </c>
      <c r="L25" s="70">
        <v>1141.1999999999998</v>
      </c>
      <c r="M25" s="132"/>
      <c r="N25" s="79"/>
      <c r="O25" s="79">
        <v>1141.1999999999998</v>
      </c>
      <c r="P25" s="79">
        <v>1141.1999999999998</v>
      </c>
      <c r="Q25" s="136"/>
      <c r="R25" s="79"/>
      <c r="S25" s="79">
        <v>1141.18</v>
      </c>
      <c r="T25" s="79">
        <v>1141.18</v>
      </c>
      <c r="U25" s="79">
        <v>0</v>
      </c>
      <c r="V25" s="189">
        <v>1141.18</v>
      </c>
      <c r="X25" s="79"/>
      <c r="Y25" s="79">
        <v>1141.18</v>
      </c>
      <c r="Z25" s="79">
        <v>1141.18</v>
      </c>
      <c r="AA25" s="255">
        <v>1.999999999998181E-2</v>
      </c>
      <c r="AC25" s="254"/>
    </row>
    <row r="26" spans="1:29" ht="12">
      <c r="A26" s="67" t="s">
        <v>10546</v>
      </c>
      <c r="B26" s="65" t="s">
        <v>10547</v>
      </c>
      <c r="C26" s="71" t="s">
        <v>103</v>
      </c>
      <c r="D26" s="78">
        <v>1</v>
      </c>
      <c r="E26" s="79">
        <v>1519.1</v>
      </c>
      <c r="F26" s="70">
        <v>1519.1</v>
      </c>
      <c r="G26" s="320"/>
      <c r="H26" s="79">
        <v>0</v>
      </c>
      <c r="I26" s="79">
        <v>1519.1</v>
      </c>
      <c r="J26" s="79">
        <v>1519.1</v>
      </c>
      <c r="K26" s="79">
        <v>0</v>
      </c>
      <c r="L26" s="70">
        <v>1519.1</v>
      </c>
      <c r="M26" s="132"/>
      <c r="N26" s="79"/>
      <c r="O26" s="79">
        <v>1519.1</v>
      </c>
      <c r="P26" s="79">
        <v>1519.1</v>
      </c>
      <c r="Q26" s="136"/>
      <c r="R26" s="79"/>
      <c r="S26" s="79">
        <v>1519.09</v>
      </c>
      <c r="T26" s="79">
        <v>1519.09</v>
      </c>
      <c r="U26" s="79">
        <v>0</v>
      </c>
      <c r="V26" s="189">
        <v>1519.09</v>
      </c>
      <c r="X26" s="79"/>
      <c r="Y26" s="79">
        <v>1519.09</v>
      </c>
      <c r="Z26" s="79">
        <v>1519.09</v>
      </c>
      <c r="AA26" s="255">
        <v>9.9999999999909051E-3</v>
      </c>
      <c r="AC26" s="254"/>
    </row>
    <row r="27" spans="1:29" ht="12">
      <c r="A27" s="67" t="s">
        <v>10548</v>
      </c>
      <c r="B27" s="65" t="s">
        <v>10549</v>
      </c>
      <c r="C27" s="71" t="s">
        <v>103</v>
      </c>
      <c r="D27" s="78">
        <v>1</v>
      </c>
      <c r="E27" s="79">
        <v>1267.27</v>
      </c>
      <c r="F27" s="70">
        <v>1267.27</v>
      </c>
      <c r="G27" s="320"/>
      <c r="H27" s="79">
        <v>0</v>
      </c>
      <c r="I27" s="79">
        <v>1267.27</v>
      </c>
      <c r="J27" s="79">
        <v>1267.27</v>
      </c>
      <c r="K27" s="79">
        <v>0</v>
      </c>
      <c r="L27" s="70">
        <v>1267.27</v>
      </c>
      <c r="M27" s="132"/>
      <c r="N27" s="79"/>
      <c r="O27" s="79">
        <v>1267.27</v>
      </c>
      <c r="P27" s="79">
        <v>1267.27</v>
      </c>
      <c r="Q27" s="136"/>
      <c r="R27" s="79"/>
      <c r="S27" s="79">
        <v>1267.26</v>
      </c>
      <c r="T27" s="79">
        <v>1267.26</v>
      </c>
      <c r="U27" s="79">
        <v>0</v>
      </c>
      <c r="V27" s="189">
        <v>1267.26</v>
      </c>
      <c r="X27" s="79"/>
      <c r="Y27" s="79">
        <v>1267.26</v>
      </c>
      <c r="Z27" s="79">
        <v>1267.26</v>
      </c>
      <c r="AA27" s="255">
        <v>9.9999999999909051E-3</v>
      </c>
      <c r="AC27" s="254"/>
    </row>
    <row r="28" spans="1:29" ht="12">
      <c r="A28" s="67" t="s">
        <v>10550</v>
      </c>
      <c r="B28" s="65" t="s">
        <v>10551</v>
      </c>
      <c r="C28" s="71" t="s">
        <v>103</v>
      </c>
      <c r="D28" s="78">
        <v>1</v>
      </c>
      <c r="E28" s="79">
        <v>1757.17</v>
      </c>
      <c r="F28" s="70">
        <v>1757.17</v>
      </c>
      <c r="G28" s="320"/>
      <c r="H28" s="79">
        <v>0</v>
      </c>
      <c r="I28" s="79">
        <v>1757.17</v>
      </c>
      <c r="J28" s="79">
        <v>1757.17</v>
      </c>
      <c r="K28" s="79">
        <v>0</v>
      </c>
      <c r="L28" s="70">
        <v>1757.17</v>
      </c>
      <c r="M28" s="132"/>
      <c r="N28" s="79"/>
      <c r="O28" s="79">
        <v>1757.17</v>
      </c>
      <c r="P28" s="79">
        <v>1757.17</v>
      </c>
      <c r="Q28" s="136"/>
      <c r="R28" s="79"/>
      <c r="S28" s="79">
        <v>1757.15</v>
      </c>
      <c r="T28" s="79">
        <v>1757.15</v>
      </c>
      <c r="U28" s="79">
        <v>0</v>
      </c>
      <c r="V28" s="189">
        <v>1757.15</v>
      </c>
      <c r="X28" s="79"/>
      <c r="Y28" s="79">
        <v>1757.15</v>
      </c>
      <c r="Z28" s="79">
        <v>1757.15</v>
      </c>
      <c r="AA28" s="255">
        <v>1.999999999998181E-2</v>
      </c>
      <c r="AC28" s="254"/>
    </row>
    <row r="29" spans="1:29" ht="12">
      <c r="A29" s="67" t="s">
        <v>10552</v>
      </c>
      <c r="B29" s="65" t="s">
        <v>10553</v>
      </c>
      <c r="C29" s="71" t="s">
        <v>103</v>
      </c>
      <c r="D29" s="78">
        <v>1</v>
      </c>
      <c r="E29" s="79">
        <v>2439.25</v>
      </c>
      <c r="F29" s="70">
        <v>2439.25</v>
      </c>
      <c r="G29" s="320"/>
      <c r="H29" s="79">
        <v>0</v>
      </c>
      <c r="I29" s="79">
        <v>2439.25</v>
      </c>
      <c r="J29" s="79">
        <v>2439.25</v>
      </c>
      <c r="K29" s="79">
        <v>0</v>
      </c>
      <c r="L29" s="70">
        <v>2439.25</v>
      </c>
      <c r="M29" s="132"/>
      <c r="N29" s="79"/>
      <c r="O29" s="79">
        <v>2439.25</v>
      </c>
      <c r="P29" s="79">
        <v>2439.25</v>
      </c>
      <c r="Q29" s="136"/>
      <c r="R29" s="79"/>
      <c r="S29" s="79">
        <v>2439.23</v>
      </c>
      <c r="T29" s="79">
        <v>2439.23</v>
      </c>
      <c r="U29" s="79">
        <v>0</v>
      </c>
      <c r="V29" s="189">
        <v>2439.23</v>
      </c>
      <c r="X29" s="79"/>
      <c r="Y29" s="79">
        <v>2439.23</v>
      </c>
      <c r="Z29" s="79">
        <v>2439.23</v>
      </c>
      <c r="AA29" s="255">
        <v>1.999999999998181E-2</v>
      </c>
      <c r="AC29" s="254"/>
    </row>
    <row r="30" spans="1:29" ht="12">
      <c r="A30" s="67" t="s">
        <v>10554</v>
      </c>
      <c r="B30" s="65" t="s">
        <v>10555</v>
      </c>
      <c r="C30" s="71" t="s">
        <v>103</v>
      </c>
      <c r="D30" s="78">
        <v>1</v>
      </c>
      <c r="E30" s="79">
        <v>3324.9900000000002</v>
      </c>
      <c r="F30" s="70">
        <v>3324.99</v>
      </c>
      <c r="G30" s="320"/>
      <c r="H30" s="79">
        <v>0</v>
      </c>
      <c r="I30" s="79">
        <v>3324.9900000000002</v>
      </c>
      <c r="J30" s="79">
        <v>3324.9900000000002</v>
      </c>
      <c r="K30" s="79">
        <v>0</v>
      </c>
      <c r="L30" s="70">
        <v>3324.9900000000002</v>
      </c>
      <c r="M30" s="132"/>
      <c r="N30" s="79"/>
      <c r="O30" s="79">
        <v>3324.9900000000002</v>
      </c>
      <c r="P30" s="79">
        <v>3324.9900000000002</v>
      </c>
      <c r="Q30" s="136"/>
      <c r="R30" s="79"/>
      <c r="S30" s="79">
        <v>3324.97</v>
      </c>
      <c r="T30" s="79">
        <v>3324.97</v>
      </c>
      <c r="U30" s="79">
        <v>0</v>
      </c>
      <c r="V30" s="189">
        <v>3324.97</v>
      </c>
      <c r="X30" s="79"/>
      <c r="Y30" s="79">
        <v>3324.97</v>
      </c>
      <c r="Z30" s="79">
        <v>3324.97</v>
      </c>
      <c r="AA30" s="255">
        <v>1.999999999998181E-2</v>
      </c>
      <c r="AC30" s="254"/>
    </row>
    <row r="31" spans="1:29" ht="12">
      <c r="A31" s="67" t="s">
        <v>10556</v>
      </c>
      <c r="B31" s="65" t="s">
        <v>10557</v>
      </c>
      <c r="C31" s="71" t="s">
        <v>103</v>
      </c>
      <c r="D31" s="78">
        <v>1</v>
      </c>
      <c r="E31" s="79">
        <v>2105.9699999999998</v>
      </c>
      <c r="F31" s="70">
        <v>2105.9699999999998</v>
      </c>
      <c r="G31" s="320"/>
      <c r="H31" s="79">
        <v>0</v>
      </c>
      <c r="I31" s="79">
        <v>2105.9699999999998</v>
      </c>
      <c r="J31" s="79">
        <v>2105.9699999999998</v>
      </c>
      <c r="K31" s="79">
        <v>0</v>
      </c>
      <c r="L31" s="70">
        <v>2105.9699999999998</v>
      </c>
      <c r="M31" s="132"/>
      <c r="N31" s="79"/>
      <c r="O31" s="79">
        <v>2105.9699999999998</v>
      </c>
      <c r="P31" s="79">
        <v>2105.9699999999998</v>
      </c>
      <c r="Q31" s="136"/>
      <c r="R31" s="79"/>
      <c r="S31" s="79">
        <v>2105.98</v>
      </c>
      <c r="T31" s="79">
        <v>2105.98</v>
      </c>
      <c r="U31" s="79">
        <v>0</v>
      </c>
      <c r="V31" s="189">
        <v>2105.98</v>
      </c>
      <c r="X31" s="79"/>
      <c r="Y31" s="79">
        <v>2105.98</v>
      </c>
      <c r="Z31" s="79">
        <v>2105.98</v>
      </c>
      <c r="AA31" s="255">
        <v>-1.0000000000218279E-2</v>
      </c>
      <c r="AC31" s="254"/>
    </row>
    <row r="32" spans="1:29" ht="12">
      <c r="A32" s="67" t="s">
        <v>10558</v>
      </c>
      <c r="B32" s="65" t="s">
        <v>10559</v>
      </c>
      <c r="C32" s="71" t="s">
        <v>103</v>
      </c>
      <c r="D32" s="78">
        <v>1</v>
      </c>
      <c r="E32" s="79">
        <v>2722.0299999999997</v>
      </c>
      <c r="F32" s="70">
        <v>2722.03</v>
      </c>
      <c r="G32" s="320"/>
      <c r="H32" s="79">
        <v>0</v>
      </c>
      <c r="I32" s="79">
        <v>2722.0299999999997</v>
      </c>
      <c r="J32" s="79">
        <v>2722.0299999999997</v>
      </c>
      <c r="K32" s="79">
        <v>0</v>
      </c>
      <c r="L32" s="70">
        <v>2722.0299999999997</v>
      </c>
      <c r="M32" s="132"/>
      <c r="N32" s="79"/>
      <c r="O32" s="79">
        <v>2722.0299999999997</v>
      </c>
      <c r="P32" s="79">
        <v>2722.0299999999997</v>
      </c>
      <c r="Q32" s="136"/>
      <c r="R32" s="79"/>
      <c r="S32" s="79">
        <v>2722.06</v>
      </c>
      <c r="T32" s="79">
        <v>2722.06</v>
      </c>
      <c r="U32" s="79">
        <v>0</v>
      </c>
      <c r="V32" s="189">
        <v>2722.06</v>
      </c>
      <c r="X32" s="79"/>
      <c r="Y32" s="79">
        <v>2722.06</v>
      </c>
      <c r="Z32" s="79">
        <v>2722.06</v>
      </c>
      <c r="AA32" s="255">
        <v>-2.9999999999745341E-2</v>
      </c>
      <c r="AC32" s="254"/>
    </row>
    <row r="33" spans="1:29" ht="12">
      <c r="A33" s="489" t="s">
        <v>10560</v>
      </c>
      <c r="B33" s="490" t="s">
        <v>10561</v>
      </c>
      <c r="C33" s="491"/>
      <c r="D33" s="492"/>
      <c r="E33" s="79"/>
      <c r="F33" s="63"/>
      <c r="G33" s="320"/>
      <c r="H33" s="79"/>
      <c r="I33" s="79"/>
      <c r="J33" s="79"/>
      <c r="K33" s="79"/>
      <c r="L33" s="70"/>
      <c r="M33" s="132"/>
      <c r="N33" s="79"/>
      <c r="O33" s="79"/>
      <c r="P33" s="79"/>
      <c r="Q33" s="136"/>
      <c r="R33" s="79"/>
      <c r="S33" s="79"/>
      <c r="T33" s="79"/>
      <c r="U33" s="79"/>
      <c r="V33" s="189"/>
      <c r="X33" s="79"/>
      <c r="Y33" s="79"/>
      <c r="Z33" s="79"/>
      <c r="AA33" s="255"/>
      <c r="AC33" s="254"/>
    </row>
    <row r="34" spans="1:29" ht="24">
      <c r="A34" s="67" t="s">
        <v>10562</v>
      </c>
      <c r="B34" s="65" t="s">
        <v>10563</v>
      </c>
      <c r="C34" s="71" t="s">
        <v>108</v>
      </c>
      <c r="D34" s="78">
        <v>1</v>
      </c>
      <c r="E34" s="79">
        <v>1120.06</v>
      </c>
      <c r="F34" s="70">
        <v>1120.06</v>
      </c>
      <c r="G34" s="320"/>
      <c r="H34" s="79">
        <v>1120.06</v>
      </c>
      <c r="I34" s="79">
        <v>0</v>
      </c>
      <c r="J34" s="79">
        <v>1120.06</v>
      </c>
      <c r="K34" s="79">
        <v>0</v>
      </c>
      <c r="L34" s="70">
        <v>1120.06</v>
      </c>
      <c r="M34" s="132"/>
      <c r="N34" s="79">
        <v>1120.06</v>
      </c>
      <c r="O34" s="79"/>
      <c r="P34" s="79">
        <v>1120.06</v>
      </c>
      <c r="Q34" s="136"/>
      <c r="R34" s="79">
        <v>1120.06</v>
      </c>
      <c r="S34" s="79"/>
      <c r="T34" s="79">
        <v>1120.06</v>
      </c>
      <c r="U34" s="79">
        <v>0</v>
      </c>
      <c r="V34" s="189">
        <v>1120.06</v>
      </c>
      <c r="X34" s="79">
        <v>1120.06</v>
      </c>
      <c r="Y34" s="79"/>
      <c r="Z34" s="79">
        <v>1120.06</v>
      </c>
      <c r="AA34" s="255">
        <v>0</v>
      </c>
      <c r="AC34" s="254"/>
    </row>
    <row r="35" spans="1:29" s="61" customFormat="1" ht="11">
      <c r="A35" s="494" t="s">
        <v>10564</v>
      </c>
      <c r="B35" s="63" t="s">
        <v>10565</v>
      </c>
      <c r="C35" s="71" t="s">
        <v>509</v>
      </c>
      <c r="D35" s="78">
        <v>1</v>
      </c>
      <c r="E35" s="79">
        <v>0.23</v>
      </c>
      <c r="F35" s="70">
        <v>0.23</v>
      </c>
      <c r="G35" s="320"/>
      <c r="H35" s="79">
        <v>7.0000000000000007E-2</v>
      </c>
      <c r="I35" s="79">
        <v>0.16</v>
      </c>
      <c r="J35" s="79">
        <v>0.23</v>
      </c>
      <c r="K35" s="79">
        <v>0</v>
      </c>
      <c r="L35" s="70">
        <v>0.23</v>
      </c>
      <c r="M35" s="132"/>
      <c r="N35" s="79">
        <v>0.23</v>
      </c>
      <c r="O35" s="79">
        <v>0.16</v>
      </c>
      <c r="P35" s="79">
        <v>0.39</v>
      </c>
      <c r="Q35" s="136"/>
      <c r="R35" s="79">
        <v>7.0000000000000007E-2</v>
      </c>
      <c r="S35" s="79">
        <v>0.18</v>
      </c>
      <c r="T35" s="79">
        <v>0.25</v>
      </c>
      <c r="U35" s="79">
        <v>0</v>
      </c>
      <c r="V35" s="189">
        <v>0.25</v>
      </c>
      <c r="X35" s="79">
        <v>7.0000000000000007E-2</v>
      </c>
      <c r="Y35" s="79">
        <v>0.18</v>
      </c>
      <c r="Z35" s="79">
        <v>0.25</v>
      </c>
      <c r="AA35" s="495">
        <v>-1.999999999999999E-2</v>
      </c>
      <c r="AC35" s="245"/>
    </row>
    <row r="36" spans="1:29" ht="24">
      <c r="A36" s="67" t="s">
        <v>10566</v>
      </c>
      <c r="B36" s="65" t="s">
        <v>10567</v>
      </c>
      <c r="C36" s="71" t="s">
        <v>509</v>
      </c>
      <c r="D36" s="78">
        <v>1</v>
      </c>
      <c r="E36" s="79">
        <v>1.0200000000000002</v>
      </c>
      <c r="F36" s="70">
        <v>1.02</v>
      </c>
      <c r="G36" s="320"/>
      <c r="H36" s="79">
        <v>0.43000000000000005</v>
      </c>
      <c r="I36" s="79">
        <v>0.59000000000000008</v>
      </c>
      <c r="J36" s="79">
        <v>1.02</v>
      </c>
      <c r="K36" s="79">
        <v>0</v>
      </c>
      <c r="L36" s="70">
        <v>1.02</v>
      </c>
      <c r="M36" s="132"/>
      <c r="N36" s="78">
        <v>0.43000000000000005</v>
      </c>
      <c r="O36" s="78">
        <v>0.59000000000000008</v>
      </c>
      <c r="P36" s="79">
        <v>1.02</v>
      </c>
      <c r="Q36" s="136"/>
      <c r="R36" s="79">
        <v>0.43</v>
      </c>
      <c r="S36" s="79">
        <v>0.59</v>
      </c>
      <c r="T36" s="79">
        <v>1.02</v>
      </c>
      <c r="U36" s="79">
        <v>0</v>
      </c>
      <c r="V36" s="189">
        <v>1.02</v>
      </c>
      <c r="X36" s="78">
        <v>0.43</v>
      </c>
      <c r="Y36" s="78">
        <v>0.59</v>
      </c>
      <c r="Z36" s="79">
        <v>1.02</v>
      </c>
      <c r="AA36" s="255">
        <v>0</v>
      </c>
      <c r="AC36" s="254"/>
    </row>
    <row r="37" spans="1:29" ht="24">
      <c r="A37" s="67" t="s">
        <v>10568</v>
      </c>
      <c r="B37" s="65" t="s">
        <v>10569</v>
      </c>
      <c r="C37" s="71" t="s">
        <v>509</v>
      </c>
      <c r="D37" s="78">
        <v>1</v>
      </c>
      <c r="E37" s="79">
        <v>0.82000000000000006</v>
      </c>
      <c r="F37" s="70">
        <v>0.82</v>
      </c>
      <c r="G37" s="320"/>
      <c r="H37" s="79">
        <v>0.34</v>
      </c>
      <c r="I37" s="79">
        <v>0.48</v>
      </c>
      <c r="J37" s="79">
        <v>0.82000000000000006</v>
      </c>
      <c r="K37" s="79">
        <v>0</v>
      </c>
      <c r="L37" s="70">
        <v>0.82000000000000006</v>
      </c>
      <c r="M37" s="132"/>
      <c r="N37" s="78">
        <v>0.34</v>
      </c>
      <c r="O37" s="78">
        <v>0.48</v>
      </c>
      <c r="P37" s="79">
        <v>0.82000000000000006</v>
      </c>
      <c r="Q37" s="136"/>
      <c r="R37" s="79">
        <v>0.34</v>
      </c>
      <c r="S37" s="79">
        <v>0.46</v>
      </c>
      <c r="T37" s="79">
        <v>0.8</v>
      </c>
      <c r="U37" s="79">
        <v>0</v>
      </c>
      <c r="V37" s="189">
        <v>0.8</v>
      </c>
      <c r="X37" s="78">
        <v>0.34</v>
      </c>
      <c r="Y37" s="78">
        <v>0.46</v>
      </c>
      <c r="Z37" s="79">
        <v>0.8</v>
      </c>
      <c r="AA37" s="255">
        <v>1.9999999999999907E-2</v>
      </c>
      <c r="AC37" s="254"/>
    </row>
    <row r="38" spans="1:29" ht="24">
      <c r="A38" s="67" t="s">
        <v>10570</v>
      </c>
      <c r="B38" s="65" t="s">
        <v>10571</v>
      </c>
      <c r="C38" s="71" t="s">
        <v>509</v>
      </c>
      <c r="D38" s="78">
        <v>1</v>
      </c>
      <c r="E38" s="79">
        <v>0.64999999999999991</v>
      </c>
      <c r="F38" s="70">
        <v>0.65</v>
      </c>
      <c r="G38" s="320"/>
      <c r="H38" s="79">
        <v>0.28000000000000003</v>
      </c>
      <c r="I38" s="79">
        <v>0.37</v>
      </c>
      <c r="J38" s="79">
        <v>0.65</v>
      </c>
      <c r="K38" s="79">
        <v>0</v>
      </c>
      <c r="L38" s="70">
        <v>0.65</v>
      </c>
      <c r="M38" s="132"/>
      <c r="N38" s="78">
        <v>0.28000000000000003</v>
      </c>
      <c r="O38" s="78">
        <v>0.37</v>
      </c>
      <c r="P38" s="79">
        <v>0.65</v>
      </c>
      <c r="Q38" s="136"/>
      <c r="R38" s="79">
        <v>0.28000000000000003</v>
      </c>
      <c r="S38" s="79">
        <v>0.37</v>
      </c>
      <c r="T38" s="79">
        <v>0.65</v>
      </c>
      <c r="U38" s="79">
        <v>0</v>
      </c>
      <c r="V38" s="189">
        <v>0.65</v>
      </c>
      <c r="X38" s="78">
        <v>0.28000000000000003</v>
      </c>
      <c r="Y38" s="78">
        <v>0.37</v>
      </c>
      <c r="Z38" s="79">
        <v>0.65</v>
      </c>
      <c r="AA38" s="255">
        <v>0</v>
      </c>
      <c r="AC38" s="254"/>
    </row>
    <row r="39" spans="1:29" ht="24">
      <c r="A39" s="67" t="s">
        <v>10572</v>
      </c>
      <c r="B39" s="65" t="s">
        <v>10573</v>
      </c>
      <c r="C39" s="71" t="s">
        <v>509</v>
      </c>
      <c r="D39" s="78">
        <v>1</v>
      </c>
      <c r="E39" s="79">
        <v>0.9</v>
      </c>
      <c r="F39" s="70">
        <v>0.9</v>
      </c>
      <c r="G39" s="320"/>
      <c r="H39" s="79">
        <v>0.38</v>
      </c>
      <c r="I39" s="79">
        <v>0.52</v>
      </c>
      <c r="J39" s="79">
        <v>0.9</v>
      </c>
      <c r="K39" s="79">
        <v>0</v>
      </c>
      <c r="L39" s="70">
        <v>0.9</v>
      </c>
      <c r="M39" s="132"/>
      <c r="N39" s="78">
        <v>0.38</v>
      </c>
      <c r="O39" s="78">
        <v>0.52</v>
      </c>
      <c r="P39" s="79">
        <v>0.9</v>
      </c>
      <c r="Q39" s="136"/>
      <c r="R39" s="79">
        <v>0.38</v>
      </c>
      <c r="S39" s="79">
        <v>0.51</v>
      </c>
      <c r="T39" s="79">
        <v>0.89</v>
      </c>
      <c r="U39" s="79">
        <v>0</v>
      </c>
      <c r="V39" s="189">
        <v>0.89</v>
      </c>
      <c r="X39" s="78">
        <v>0.38</v>
      </c>
      <c r="Y39" s="78">
        <v>0.51</v>
      </c>
      <c r="Z39" s="79">
        <v>0.89</v>
      </c>
      <c r="AA39" s="255">
        <v>1.0000000000000009E-2</v>
      </c>
      <c r="AC39" s="254"/>
    </row>
    <row r="40" spans="1:29" ht="24">
      <c r="A40" s="67" t="s">
        <v>10574</v>
      </c>
      <c r="B40" s="65" t="s">
        <v>10575</v>
      </c>
      <c r="C40" s="71" t="s">
        <v>509</v>
      </c>
      <c r="D40" s="78">
        <v>1</v>
      </c>
      <c r="E40" s="79">
        <v>0.75000000000000011</v>
      </c>
      <c r="F40" s="70">
        <v>0.75</v>
      </c>
      <c r="G40" s="320"/>
      <c r="H40" s="79">
        <v>0.18000000000000002</v>
      </c>
      <c r="I40" s="79">
        <v>0.57000000000000006</v>
      </c>
      <c r="J40" s="79">
        <v>0.75000000000000011</v>
      </c>
      <c r="K40" s="79">
        <v>0</v>
      </c>
      <c r="L40" s="70">
        <v>0.75000000000000011</v>
      </c>
      <c r="M40" s="132"/>
      <c r="N40" s="78">
        <v>0.18000000000000002</v>
      </c>
      <c r="O40" s="78">
        <v>0.57000000000000006</v>
      </c>
      <c r="P40" s="79">
        <v>0.75000000000000011</v>
      </c>
      <c r="Q40" s="136"/>
      <c r="R40" s="79">
        <v>0.18</v>
      </c>
      <c r="S40" s="79">
        <v>0.56999999999999995</v>
      </c>
      <c r="T40" s="79">
        <v>0.75</v>
      </c>
      <c r="U40" s="79">
        <v>0</v>
      </c>
      <c r="V40" s="189">
        <v>0.75</v>
      </c>
      <c r="X40" s="78">
        <v>0.18</v>
      </c>
      <c r="Y40" s="78">
        <v>0.56999999999999995</v>
      </c>
      <c r="Z40" s="79">
        <v>0.75</v>
      </c>
      <c r="AA40" s="255">
        <v>0</v>
      </c>
      <c r="AC40" s="254"/>
    </row>
    <row r="41" spans="1:29" ht="24">
      <c r="A41" s="67" t="s">
        <v>10576</v>
      </c>
      <c r="B41" s="65" t="s">
        <v>10577</v>
      </c>
      <c r="C41" s="71" t="s">
        <v>509</v>
      </c>
      <c r="D41" s="78">
        <v>1</v>
      </c>
      <c r="E41" s="79">
        <v>0.56000000000000005</v>
      </c>
      <c r="F41" s="70">
        <v>0.56000000000000005</v>
      </c>
      <c r="G41" s="320"/>
      <c r="H41" s="79">
        <v>0.24</v>
      </c>
      <c r="I41" s="79">
        <v>0.31999999999999995</v>
      </c>
      <c r="J41" s="79">
        <v>0.55999999999999994</v>
      </c>
      <c r="K41" s="79">
        <v>0</v>
      </c>
      <c r="L41" s="70">
        <v>0.55999999999999994</v>
      </c>
      <c r="M41" s="132"/>
      <c r="N41" s="78">
        <v>0.24</v>
      </c>
      <c r="O41" s="78">
        <v>0.31999999999999995</v>
      </c>
      <c r="P41" s="79">
        <v>0.55999999999999994</v>
      </c>
      <c r="Q41" s="136"/>
      <c r="R41" s="79">
        <v>0.24</v>
      </c>
      <c r="S41" s="79">
        <v>0.32</v>
      </c>
      <c r="T41" s="79">
        <v>0.56000000000000005</v>
      </c>
      <c r="U41" s="79">
        <v>0</v>
      </c>
      <c r="V41" s="189">
        <v>0.56000000000000005</v>
      </c>
      <c r="X41" s="78">
        <v>0.24</v>
      </c>
      <c r="Y41" s="78">
        <v>0.32</v>
      </c>
      <c r="Z41" s="79">
        <v>0.56000000000000005</v>
      </c>
      <c r="AA41" s="255">
        <v>0</v>
      </c>
      <c r="AC41" s="254"/>
    </row>
    <row r="42" spans="1:29" ht="24">
      <c r="A42" s="67" t="s">
        <v>10578</v>
      </c>
      <c r="B42" s="65" t="s">
        <v>10579</v>
      </c>
      <c r="C42" s="71" t="s">
        <v>509</v>
      </c>
      <c r="D42" s="78">
        <v>1</v>
      </c>
      <c r="E42" s="79">
        <v>0.81</v>
      </c>
      <c r="F42" s="70">
        <v>0.81</v>
      </c>
      <c r="G42" s="320"/>
      <c r="H42" s="79">
        <v>0.33</v>
      </c>
      <c r="I42" s="79">
        <v>0.48</v>
      </c>
      <c r="J42" s="79">
        <v>0.81</v>
      </c>
      <c r="K42" s="79">
        <v>0</v>
      </c>
      <c r="L42" s="70">
        <v>0.81</v>
      </c>
      <c r="M42" s="132"/>
      <c r="N42" s="78">
        <v>0.33</v>
      </c>
      <c r="O42" s="78">
        <v>0.48</v>
      </c>
      <c r="P42" s="79">
        <v>0.81</v>
      </c>
      <c r="Q42" s="136"/>
      <c r="R42" s="79">
        <v>0.33</v>
      </c>
      <c r="S42" s="79">
        <v>0.46</v>
      </c>
      <c r="T42" s="79">
        <v>0.79</v>
      </c>
      <c r="U42" s="79">
        <v>0</v>
      </c>
      <c r="V42" s="189">
        <v>0.79</v>
      </c>
      <c r="X42" s="78">
        <v>0.33</v>
      </c>
      <c r="Y42" s="78">
        <v>0.46</v>
      </c>
      <c r="Z42" s="79">
        <v>0.79</v>
      </c>
      <c r="AA42" s="255">
        <v>2.0000000000000018E-2</v>
      </c>
      <c r="AC42" s="254"/>
    </row>
    <row r="43" spans="1:29" ht="24">
      <c r="A43" s="67" t="s">
        <v>10580</v>
      </c>
      <c r="B43" s="65" t="s">
        <v>10581</v>
      </c>
      <c r="C43" s="71" t="s">
        <v>509</v>
      </c>
      <c r="D43" s="78">
        <v>1</v>
      </c>
      <c r="E43" s="79">
        <v>0.65999999999999992</v>
      </c>
      <c r="F43" s="70">
        <v>0.66</v>
      </c>
      <c r="G43" s="320"/>
      <c r="H43" s="79">
        <v>0.29000000000000004</v>
      </c>
      <c r="I43" s="79">
        <v>0.37</v>
      </c>
      <c r="J43" s="79">
        <v>0.66</v>
      </c>
      <c r="K43" s="79">
        <v>0</v>
      </c>
      <c r="L43" s="70">
        <v>0.66</v>
      </c>
      <c r="M43" s="132"/>
      <c r="N43" s="78">
        <v>0.29000000000000004</v>
      </c>
      <c r="O43" s="78">
        <v>0.37</v>
      </c>
      <c r="P43" s="79">
        <v>0.66</v>
      </c>
      <c r="Q43" s="136"/>
      <c r="R43" s="79">
        <v>0.28999999999999998</v>
      </c>
      <c r="S43" s="79">
        <v>0.4</v>
      </c>
      <c r="T43" s="79">
        <v>0.69</v>
      </c>
      <c r="U43" s="79">
        <v>0</v>
      </c>
      <c r="V43" s="189">
        <v>0.69</v>
      </c>
      <c r="X43" s="78">
        <v>0.28999999999999998</v>
      </c>
      <c r="Y43" s="78">
        <v>0.4</v>
      </c>
      <c r="Z43" s="79">
        <v>0.69</v>
      </c>
      <c r="AA43" s="255">
        <v>-2.9999999999999916E-2</v>
      </c>
      <c r="AC43" s="254"/>
    </row>
    <row r="44" spans="1:29" ht="24">
      <c r="A44" s="67" t="s">
        <v>10582</v>
      </c>
      <c r="B44" s="65" t="s">
        <v>10583</v>
      </c>
      <c r="C44" s="71" t="s">
        <v>509</v>
      </c>
      <c r="D44" s="78">
        <v>1</v>
      </c>
      <c r="E44" s="79">
        <v>0.64999999999999991</v>
      </c>
      <c r="F44" s="70">
        <v>0.65</v>
      </c>
      <c r="G44" s="320"/>
      <c r="H44" s="79">
        <v>0.28000000000000003</v>
      </c>
      <c r="I44" s="79">
        <v>0.37</v>
      </c>
      <c r="J44" s="79">
        <v>0.65</v>
      </c>
      <c r="K44" s="79">
        <v>0</v>
      </c>
      <c r="L44" s="70">
        <v>0.65</v>
      </c>
      <c r="M44" s="132"/>
      <c r="N44" s="78">
        <v>0.28000000000000003</v>
      </c>
      <c r="O44" s="78">
        <v>0.37</v>
      </c>
      <c r="P44" s="79">
        <v>0.65</v>
      </c>
      <c r="Q44" s="136"/>
      <c r="R44" s="79">
        <v>0.28000000000000003</v>
      </c>
      <c r="S44" s="79">
        <v>0.38</v>
      </c>
      <c r="T44" s="79">
        <v>0.66</v>
      </c>
      <c r="U44" s="79">
        <v>0</v>
      </c>
      <c r="V44" s="189">
        <v>0.66</v>
      </c>
      <c r="X44" s="78">
        <v>0.28000000000000003</v>
      </c>
      <c r="Y44" s="78">
        <v>0.38</v>
      </c>
      <c r="Z44" s="79">
        <v>0.66</v>
      </c>
      <c r="AA44" s="255">
        <v>-1.0000000000000009E-2</v>
      </c>
      <c r="AC44" s="254"/>
    </row>
    <row r="45" spans="1:29" ht="24">
      <c r="A45" s="67" t="s">
        <v>10584</v>
      </c>
      <c r="B45" s="65" t="s">
        <v>10585</v>
      </c>
      <c r="C45" s="71" t="s">
        <v>509</v>
      </c>
      <c r="D45" s="78">
        <v>1</v>
      </c>
      <c r="E45" s="79">
        <v>1.0899999999999999</v>
      </c>
      <c r="F45" s="70">
        <v>1.0900000000000001</v>
      </c>
      <c r="G45" s="320"/>
      <c r="H45" s="79">
        <v>0.44999999999999996</v>
      </c>
      <c r="I45" s="79">
        <v>0.6399999999999999</v>
      </c>
      <c r="J45" s="79">
        <v>1.0899999999999999</v>
      </c>
      <c r="K45" s="79">
        <v>0</v>
      </c>
      <c r="L45" s="70">
        <v>1.0899999999999999</v>
      </c>
      <c r="M45" s="132"/>
      <c r="N45" s="78">
        <v>0.44999999999999996</v>
      </c>
      <c r="O45" s="78">
        <v>0.6399999999999999</v>
      </c>
      <c r="P45" s="79">
        <v>1.0899999999999999</v>
      </c>
      <c r="Q45" s="136"/>
      <c r="R45" s="79">
        <v>0.45</v>
      </c>
      <c r="S45" s="79">
        <v>0.63</v>
      </c>
      <c r="T45" s="79">
        <v>1.08</v>
      </c>
      <c r="U45" s="79">
        <v>0</v>
      </c>
      <c r="V45" s="189">
        <v>1.08</v>
      </c>
      <c r="X45" s="78">
        <v>0.45</v>
      </c>
      <c r="Y45" s="78">
        <v>0.63</v>
      </c>
      <c r="Z45" s="79">
        <v>1.08</v>
      </c>
      <c r="AA45" s="255">
        <v>1.0000000000000009E-2</v>
      </c>
      <c r="AC45" s="254"/>
    </row>
    <row r="46" spans="1:29" ht="24">
      <c r="A46" s="67" t="s">
        <v>10586</v>
      </c>
      <c r="B46" s="65" t="s">
        <v>10587</v>
      </c>
      <c r="C46" s="71" t="s">
        <v>509</v>
      </c>
      <c r="D46" s="78">
        <v>1</v>
      </c>
      <c r="E46" s="79">
        <v>0.85</v>
      </c>
      <c r="F46" s="70">
        <v>0.85</v>
      </c>
      <c r="G46" s="320"/>
      <c r="H46" s="79">
        <v>0.37</v>
      </c>
      <c r="I46" s="79">
        <v>0.48</v>
      </c>
      <c r="J46" s="79">
        <v>0.85</v>
      </c>
      <c r="K46" s="79">
        <v>0</v>
      </c>
      <c r="L46" s="70">
        <v>0.85</v>
      </c>
      <c r="M46" s="132"/>
      <c r="N46" s="78">
        <v>0.37</v>
      </c>
      <c r="O46" s="78">
        <v>0.48</v>
      </c>
      <c r="P46" s="79">
        <v>0.85</v>
      </c>
      <c r="Q46" s="136"/>
      <c r="R46" s="79">
        <v>0.37</v>
      </c>
      <c r="S46" s="79">
        <v>0.5</v>
      </c>
      <c r="T46" s="79">
        <v>0.87</v>
      </c>
      <c r="U46" s="79">
        <v>0</v>
      </c>
      <c r="V46" s="189">
        <v>0.87</v>
      </c>
      <c r="X46" s="78">
        <v>0.37</v>
      </c>
      <c r="Y46" s="78">
        <v>0.5</v>
      </c>
      <c r="Z46" s="79">
        <v>0.87</v>
      </c>
      <c r="AA46" s="255">
        <v>-2.0000000000000018E-2</v>
      </c>
      <c r="AC46" s="254"/>
    </row>
    <row r="47" spans="1:29" ht="24">
      <c r="A47" s="67" t="s">
        <v>10588</v>
      </c>
      <c r="B47" s="65" t="s">
        <v>10589</v>
      </c>
      <c r="C47" s="71" t="s">
        <v>509</v>
      </c>
      <c r="D47" s="78">
        <v>1</v>
      </c>
      <c r="E47" s="79">
        <v>0.65999999999999992</v>
      </c>
      <c r="F47" s="70">
        <v>0.66</v>
      </c>
      <c r="G47" s="320"/>
      <c r="H47" s="79">
        <v>0.29000000000000004</v>
      </c>
      <c r="I47" s="79">
        <v>0.37</v>
      </c>
      <c r="J47" s="79">
        <v>0.66</v>
      </c>
      <c r="K47" s="79">
        <v>0</v>
      </c>
      <c r="L47" s="70">
        <v>0.66</v>
      </c>
      <c r="M47" s="132"/>
      <c r="N47" s="78">
        <v>0.29000000000000004</v>
      </c>
      <c r="O47" s="78">
        <v>0.37</v>
      </c>
      <c r="P47" s="79">
        <v>0.66</v>
      </c>
      <c r="Q47" s="136"/>
      <c r="R47" s="79">
        <v>0.28999999999999998</v>
      </c>
      <c r="S47" s="79">
        <v>0.4</v>
      </c>
      <c r="T47" s="79">
        <v>0.69</v>
      </c>
      <c r="U47" s="79">
        <v>0</v>
      </c>
      <c r="V47" s="189">
        <v>0.69</v>
      </c>
      <c r="X47" s="78">
        <v>0.28999999999999998</v>
      </c>
      <c r="Y47" s="78">
        <v>0.4</v>
      </c>
      <c r="Z47" s="79">
        <v>0.69</v>
      </c>
      <c r="AA47" s="255">
        <v>-2.9999999999999916E-2</v>
      </c>
      <c r="AC47" s="254"/>
    </row>
    <row r="48" spans="1:29" ht="24">
      <c r="A48" s="67" t="s">
        <v>10590</v>
      </c>
      <c r="B48" s="65" t="s">
        <v>10591</v>
      </c>
      <c r="C48" s="71" t="s">
        <v>509</v>
      </c>
      <c r="D48" s="78">
        <v>1</v>
      </c>
      <c r="E48" s="79">
        <v>0.9</v>
      </c>
      <c r="F48" s="70">
        <v>0.9</v>
      </c>
      <c r="G48" s="320"/>
      <c r="H48" s="79">
        <v>0.38</v>
      </c>
      <c r="I48" s="79">
        <v>0.52</v>
      </c>
      <c r="J48" s="79">
        <v>0.9</v>
      </c>
      <c r="K48" s="79">
        <v>0</v>
      </c>
      <c r="L48" s="70">
        <v>0.9</v>
      </c>
      <c r="M48" s="132"/>
      <c r="N48" s="78">
        <v>0.38</v>
      </c>
      <c r="O48" s="78">
        <v>0.52</v>
      </c>
      <c r="P48" s="79">
        <v>0.9</v>
      </c>
      <c r="Q48" s="136"/>
      <c r="R48" s="79">
        <v>0.38</v>
      </c>
      <c r="S48" s="79">
        <v>0.53</v>
      </c>
      <c r="T48" s="79">
        <v>0.91</v>
      </c>
      <c r="U48" s="79">
        <v>0</v>
      </c>
      <c r="V48" s="189">
        <v>0.91</v>
      </c>
      <c r="X48" s="78">
        <v>0.38</v>
      </c>
      <c r="Y48" s="78">
        <v>0.53</v>
      </c>
      <c r="Z48" s="79">
        <v>0.91</v>
      </c>
      <c r="AA48" s="255">
        <v>-1.0000000000000009E-2</v>
      </c>
      <c r="AC48" s="254"/>
    </row>
    <row r="49" spans="1:29" ht="24">
      <c r="A49" s="67" t="s">
        <v>10592</v>
      </c>
      <c r="B49" s="65" t="s">
        <v>10593</v>
      </c>
      <c r="C49" s="71" t="s">
        <v>509</v>
      </c>
      <c r="D49" s="78">
        <v>1</v>
      </c>
      <c r="E49" s="79">
        <v>0.78</v>
      </c>
      <c r="F49" s="70">
        <v>0.78</v>
      </c>
      <c r="G49" s="320"/>
      <c r="H49" s="79">
        <v>0.32</v>
      </c>
      <c r="I49" s="79">
        <v>0.45999999999999996</v>
      </c>
      <c r="J49" s="79">
        <v>0.78</v>
      </c>
      <c r="K49" s="79">
        <v>0</v>
      </c>
      <c r="L49" s="70">
        <v>0.78</v>
      </c>
      <c r="M49" s="132"/>
      <c r="N49" s="78">
        <v>0.32</v>
      </c>
      <c r="O49" s="78">
        <v>0.45999999999999996</v>
      </c>
      <c r="P49" s="79">
        <v>0.78</v>
      </c>
      <c r="Q49" s="136"/>
      <c r="R49" s="79">
        <v>0.32</v>
      </c>
      <c r="S49" s="79">
        <v>0.44</v>
      </c>
      <c r="T49" s="79">
        <v>0.76</v>
      </c>
      <c r="U49" s="79">
        <v>0</v>
      </c>
      <c r="V49" s="189">
        <v>0.76</v>
      </c>
      <c r="X49" s="78">
        <v>0.32</v>
      </c>
      <c r="Y49" s="78">
        <v>0.44</v>
      </c>
      <c r="Z49" s="79">
        <v>0.76</v>
      </c>
      <c r="AA49" s="255">
        <v>2.0000000000000018E-2</v>
      </c>
      <c r="AC49" s="254"/>
    </row>
    <row r="50" spans="1:29" ht="24">
      <c r="A50" s="67" t="s">
        <v>10594</v>
      </c>
      <c r="B50" s="65" t="s">
        <v>10595</v>
      </c>
      <c r="C50" s="71" t="s">
        <v>509</v>
      </c>
      <c r="D50" s="78">
        <v>1</v>
      </c>
      <c r="E50" s="79">
        <v>0.6399999999999999</v>
      </c>
      <c r="F50" s="70">
        <v>0.64</v>
      </c>
      <c r="G50" s="320"/>
      <c r="H50" s="79">
        <v>0.27</v>
      </c>
      <c r="I50" s="79">
        <v>0.37</v>
      </c>
      <c r="J50" s="79">
        <v>0.64</v>
      </c>
      <c r="K50" s="79">
        <v>0</v>
      </c>
      <c r="L50" s="70">
        <v>0.64</v>
      </c>
      <c r="M50" s="132"/>
      <c r="N50" s="78">
        <v>0.27</v>
      </c>
      <c r="O50" s="78">
        <v>0.37</v>
      </c>
      <c r="P50" s="79">
        <v>0.64</v>
      </c>
      <c r="Q50" s="136"/>
      <c r="R50" s="79">
        <v>0.27</v>
      </c>
      <c r="S50" s="79">
        <v>0.37</v>
      </c>
      <c r="T50" s="79">
        <v>0.64</v>
      </c>
      <c r="U50" s="79">
        <v>0</v>
      </c>
      <c r="V50" s="189">
        <v>0.64</v>
      </c>
      <c r="X50" s="78">
        <v>0.27</v>
      </c>
      <c r="Y50" s="78">
        <v>0.37</v>
      </c>
      <c r="Z50" s="79">
        <v>0.64</v>
      </c>
      <c r="AA50" s="255">
        <v>0</v>
      </c>
      <c r="AC50" s="254"/>
    </row>
    <row r="51" spans="1:29" ht="24">
      <c r="A51" s="67" t="s">
        <v>10596</v>
      </c>
      <c r="B51" s="65" t="s">
        <v>10597</v>
      </c>
      <c r="C51" s="71" t="s">
        <v>509</v>
      </c>
      <c r="D51" s="78">
        <v>1</v>
      </c>
      <c r="E51" s="79">
        <v>1.0799999999999998</v>
      </c>
      <c r="F51" s="70">
        <v>1.08</v>
      </c>
      <c r="G51" s="320"/>
      <c r="H51" s="79">
        <v>0.43999999999999995</v>
      </c>
      <c r="I51" s="79">
        <v>0.6399999999999999</v>
      </c>
      <c r="J51" s="79">
        <v>1.0799999999999998</v>
      </c>
      <c r="K51" s="79">
        <v>0</v>
      </c>
      <c r="L51" s="70">
        <v>1.0799999999999998</v>
      </c>
      <c r="M51" s="132"/>
      <c r="N51" s="78">
        <v>0.43999999999999995</v>
      </c>
      <c r="O51" s="78">
        <v>0.6399999999999999</v>
      </c>
      <c r="P51" s="79">
        <v>1.0799999999999998</v>
      </c>
      <c r="Q51" s="136"/>
      <c r="R51" s="79">
        <v>0.44</v>
      </c>
      <c r="S51" s="79">
        <v>0.62</v>
      </c>
      <c r="T51" s="79">
        <v>1.06</v>
      </c>
      <c r="U51" s="79">
        <v>0</v>
      </c>
      <c r="V51" s="189">
        <v>1.06</v>
      </c>
      <c r="X51" s="78">
        <v>0.44</v>
      </c>
      <c r="Y51" s="78">
        <v>0.62</v>
      </c>
      <c r="Z51" s="79">
        <v>1.06</v>
      </c>
      <c r="AA51" s="255">
        <v>2.0000000000000018E-2</v>
      </c>
      <c r="AC51" s="254"/>
    </row>
    <row r="52" spans="1:29" ht="24">
      <c r="A52" s="67" t="s">
        <v>10598</v>
      </c>
      <c r="B52" s="65" t="s">
        <v>10599</v>
      </c>
      <c r="C52" s="71" t="s">
        <v>509</v>
      </c>
      <c r="D52" s="78">
        <v>1</v>
      </c>
      <c r="E52" s="79">
        <v>0.7</v>
      </c>
      <c r="F52" s="70">
        <v>0.7</v>
      </c>
      <c r="G52" s="320"/>
      <c r="H52" s="79">
        <v>0.29000000000000004</v>
      </c>
      <c r="I52" s="79">
        <v>0.41000000000000003</v>
      </c>
      <c r="J52" s="79">
        <v>0.70000000000000007</v>
      </c>
      <c r="K52" s="79">
        <v>0</v>
      </c>
      <c r="L52" s="70">
        <v>0.70000000000000007</v>
      </c>
      <c r="M52" s="132"/>
      <c r="N52" s="78">
        <v>0.29000000000000004</v>
      </c>
      <c r="O52" s="78">
        <v>0.41000000000000003</v>
      </c>
      <c r="P52" s="79">
        <v>0.70000000000000007</v>
      </c>
      <c r="Q52" s="136"/>
      <c r="R52" s="79">
        <v>0.28999999999999998</v>
      </c>
      <c r="S52" s="79">
        <v>0.41</v>
      </c>
      <c r="T52" s="79">
        <v>0.7</v>
      </c>
      <c r="U52" s="79">
        <v>0</v>
      </c>
      <c r="V52" s="189">
        <v>0.7</v>
      </c>
      <c r="X52" s="78">
        <v>0.28999999999999998</v>
      </c>
      <c r="Y52" s="78">
        <v>0.41</v>
      </c>
      <c r="Z52" s="79">
        <v>0.7</v>
      </c>
      <c r="AA52" s="255">
        <v>0</v>
      </c>
      <c r="AC52" s="254"/>
    </row>
    <row r="53" spans="1:29" ht="24">
      <c r="A53" s="67" t="s">
        <v>10600</v>
      </c>
      <c r="B53" s="65" t="s">
        <v>10601</v>
      </c>
      <c r="C53" s="71" t="s">
        <v>509</v>
      </c>
      <c r="D53" s="78">
        <v>1</v>
      </c>
      <c r="E53" s="79">
        <v>0.6100000000000001</v>
      </c>
      <c r="F53" s="70">
        <v>0.61</v>
      </c>
      <c r="G53" s="320"/>
      <c r="H53" s="79">
        <v>0.18000000000000002</v>
      </c>
      <c r="I53" s="79">
        <v>0.43</v>
      </c>
      <c r="J53" s="79">
        <v>0.61</v>
      </c>
      <c r="K53" s="79">
        <v>0</v>
      </c>
      <c r="L53" s="70">
        <v>0.61</v>
      </c>
      <c r="M53" s="132"/>
      <c r="N53" s="78">
        <v>0.18000000000000002</v>
      </c>
      <c r="O53" s="78">
        <v>0.43</v>
      </c>
      <c r="P53" s="79">
        <v>0.61</v>
      </c>
      <c r="Q53" s="136"/>
      <c r="R53" s="79">
        <v>0.18</v>
      </c>
      <c r="S53" s="79">
        <v>0.44</v>
      </c>
      <c r="T53" s="79">
        <v>0.62</v>
      </c>
      <c r="U53" s="79">
        <v>0</v>
      </c>
      <c r="V53" s="189">
        <v>0.62</v>
      </c>
      <c r="X53" s="78">
        <v>0.18</v>
      </c>
      <c r="Y53" s="78">
        <v>0.44</v>
      </c>
      <c r="Z53" s="79">
        <v>0.62</v>
      </c>
      <c r="AA53" s="255">
        <v>-1.0000000000000009E-2</v>
      </c>
      <c r="AC53" s="254"/>
    </row>
    <row r="54" spans="1:29" ht="12">
      <c r="A54" s="67" t="s">
        <v>10602</v>
      </c>
      <c r="B54" s="65" t="s">
        <v>10603</v>
      </c>
      <c r="C54" s="71" t="s">
        <v>509</v>
      </c>
      <c r="D54" s="78">
        <v>1</v>
      </c>
      <c r="E54" s="79">
        <v>0.44</v>
      </c>
      <c r="F54" s="70">
        <v>0.44</v>
      </c>
      <c r="G54" s="320"/>
      <c r="H54" s="79">
        <v>0.19</v>
      </c>
      <c r="I54" s="79">
        <v>0.25</v>
      </c>
      <c r="J54" s="79">
        <v>0.44</v>
      </c>
      <c r="K54" s="79">
        <v>0</v>
      </c>
      <c r="L54" s="70">
        <v>0.44</v>
      </c>
      <c r="M54" s="132"/>
      <c r="N54" s="78">
        <v>0.19</v>
      </c>
      <c r="O54" s="78">
        <v>0.25</v>
      </c>
      <c r="P54" s="79">
        <v>0.44</v>
      </c>
      <c r="Q54" s="136"/>
      <c r="R54" s="79">
        <v>0.19</v>
      </c>
      <c r="S54" s="79">
        <v>0.25</v>
      </c>
      <c r="T54" s="79">
        <v>0.44</v>
      </c>
      <c r="U54" s="79">
        <v>0</v>
      </c>
      <c r="V54" s="189">
        <v>0.44</v>
      </c>
      <c r="X54" s="78">
        <v>0.19</v>
      </c>
      <c r="Y54" s="78">
        <v>0.25</v>
      </c>
      <c r="Z54" s="79">
        <v>0.44</v>
      </c>
      <c r="AA54" s="255">
        <v>0</v>
      </c>
      <c r="AC54" s="254"/>
    </row>
    <row r="55" spans="1:29" ht="12">
      <c r="A55" s="67" t="s">
        <v>10604</v>
      </c>
      <c r="B55" s="65" t="s">
        <v>10605</v>
      </c>
      <c r="C55" s="71" t="s">
        <v>509</v>
      </c>
      <c r="D55" s="78">
        <v>1</v>
      </c>
      <c r="E55" s="79">
        <v>0.31999999999999995</v>
      </c>
      <c r="F55" s="70">
        <v>0.32</v>
      </c>
      <c r="G55" s="320"/>
      <c r="H55" s="79">
        <v>0.14000000000000001</v>
      </c>
      <c r="I55" s="79">
        <v>0.18</v>
      </c>
      <c r="J55" s="79">
        <v>0.32</v>
      </c>
      <c r="K55" s="79">
        <v>0</v>
      </c>
      <c r="L55" s="70">
        <v>0.32</v>
      </c>
      <c r="M55" s="132"/>
      <c r="N55" s="78">
        <v>0.14000000000000001</v>
      </c>
      <c r="O55" s="78">
        <v>0.18</v>
      </c>
      <c r="P55" s="79">
        <v>0.32</v>
      </c>
      <c r="Q55" s="136"/>
      <c r="R55" s="79">
        <v>0.14000000000000001</v>
      </c>
      <c r="S55" s="79">
        <v>0.2</v>
      </c>
      <c r="T55" s="79">
        <v>0.34</v>
      </c>
      <c r="U55" s="79">
        <v>0</v>
      </c>
      <c r="V55" s="189">
        <v>0.34</v>
      </c>
      <c r="X55" s="78">
        <v>0.14000000000000001</v>
      </c>
      <c r="Y55" s="78">
        <v>0.2</v>
      </c>
      <c r="Z55" s="79">
        <v>0.34</v>
      </c>
      <c r="AA55" s="255">
        <v>-2.0000000000000018E-2</v>
      </c>
      <c r="AC55" s="254"/>
    </row>
    <row r="56" spans="1:29" ht="12">
      <c r="A56" s="67" t="s">
        <v>10606</v>
      </c>
      <c r="B56" s="65" t="s">
        <v>10607</v>
      </c>
      <c r="C56" s="71" t="s">
        <v>509</v>
      </c>
      <c r="D56" s="78">
        <v>1</v>
      </c>
      <c r="E56" s="79">
        <v>0.26</v>
      </c>
      <c r="F56" s="70">
        <v>0.26</v>
      </c>
      <c r="G56" s="320"/>
      <c r="H56" s="79">
        <v>0.1</v>
      </c>
      <c r="I56" s="79">
        <v>0.15999999999999998</v>
      </c>
      <c r="J56" s="79">
        <v>0.26</v>
      </c>
      <c r="K56" s="79">
        <v>0</v>
      </c>
      <c r="L56" s="70">
        <v>0.26</v>
      </c>
      <c r="M56" s="132"/>
      <c r="N56" s="78">
        <v>0.1</v>
      </c>
      <c r="O56" s="78">
        <v>0.15999999999999998</v>
      </c>
      <c r="P56" s="79">
        <v>0.26</v>
      </c>
      <c r="Q56" s="136"/>
      <c r="R56" s="79">
        <v>0.1</v>
      </c>
      <c r="S56" s="79">
        <v>0.14000000000000001</v>
      </c>
      <c r="T56" s="79">
        <v>0.24000000000000002</v>
      </c>
      <c r="U56" s="79">
        <v>0</v>
      </c>
      <c r="V56" s="189">
        <v>0.24000000000000002</v>
      </c>
      <c r="X56" s="78">
        <v>0.1</v>
      </c>
      <c r="Y56" s="78">
        <v>0.14000000000000001</v>
      </c>
      <c r="Z56" s="79">
        <v>0.24</v>
      </c>
      <c r="AA56" s="255">
        <v>2.0000000000000018E-2</v>
      </c>
      <c r="AC56" s="254"/>
    </row>
    <row r="57" spans="1:29" ht="12">
      <c r="A57" s="67" t="s">
        <v>10608</v>
      </c>
      <c r="B57" s="65" t="s">
        <v>10609</v>
      </c>
      <c r="C57" s="71" t="s">
        <v>509</v>
      </c>
      <c r="D57" s="78">
        <v>1</v>
      </c>
      <c r="E57" s="79">
        <v>0.19999999999999998</v>
      </c>
      <c r="F57" s="70">
        <v>0.2</v>
      </c>
      <c r="G57" s="320"/>
      <c r="H57" s="79">
        <v>9.0000000000000011E-2</v>
      </c>
      <c r="I57" s="79">
        <v>0.11</v>
      </c>
      <c r="J57" s="79">
        <v>0.2</v>
      </c>
      <c r="K57" s="79">
        <v>0</v>
      </c>
      <c r="L57" s="70">
        <v>0.2</v>
      </c>
      <c r="M57" s="132"/>
      <c r="N57" s="78">
        <v>9.0000000000000011E-2</v>
      </c>
      <c r="O57" s="78">
        <v>0.11</v>
      </c>
      <c r="P57" s="79">
        <v>0.2</v>
      </c>
      <c r="Q57" s="136"/>
      <c r="R57" s="79">
        <v>0.09</v>
      </c>
      <c r="S57" s="79">
        <v>0.12</v>
      </c>
      <c r="T57" s="79">
        <v>0.21</v>
      </c>
      <c r="U57" s="79">
        <v>0</v>
      </c>
      <c r="V57" s="189">
        <v>0.21</v>
      </c>
      <c r="X57" s="78">
        <v>0.09</v>
      </c>
      <c r="Y57" s="78">
        <v>0.12</v>
      </c>
      <c r="Z57" s="79">
        <v>0.21</v>
      </c>
      <c r="AA57" s="255">
        <v>-9.9999999999999811E-3</v>
      </c>
      <c r="AC57" s="254"/>
    </row>
    <row r="58" spans="1:29" ht="12">
      <c r="A58" s="67" t="s">
        <v>10610</v>
      </c>
      <c r="B58" s="65" t="s">
        <v>10611</v>
      </c>
      <c r="C58" s="71" t="s">
        <v>6170</v>
      </c>
      <c r="D58" s="78">
        <v>1</v>
      </c>
      <c r="E58" s="79">
        <v>1357.72</v>
      </c>
      <c r="F58" s="70">
        <v>1357.72</v>
      </c>
      <c r="G58" s="320"/>
      <c r="H58" s="79">
        <v>605.02</v>
      </c>
      <c r="I58" s="79">
        <v>752.7</v>
      </c>
      <c r="J58" s="79">
        <v>1357.72</v>
      </c>
      <c r="K58" s="79">
        <v>0</v>
      </c>
      <c r="L58" s="70">
        <v>1357.72</v>
      </c>
      <c r="M58" s="132"/>
      <c r="N58" s="78">
        <v>605.02</v>
      </c>
      <c r="O58" s="78">
        <v>752.7</v>
      </c>
      <c r="P58" s="79">
        <v>1357.72</v>
      </c>
      <c r="Q58" s="136"/>
      <c r="R58" s="79">
        <v>605.02</v>
      </c>
      <c r="S58" s="79">
        <v>752.76</v>
      </c>
      <c r="T58" s="79">
        <v>1357.78</v>
      </c>
      <c r="U58" s="79">
        <v>0</v>
      </c>
      <c r="V58" s="189">
        <v>1357.78</v>
      </c>
      <c r="X58" s="78">
        <v>605.02</v>
      </c>
      <c r="Y58" s="78">
        <v>752.76</v>
      </c>
      <c r="Z58" s="79">
        <v>1357.78</v>
      </c>
      <c r="AA58" s="255">
        <v>-5.999999999994543E-2</v>
      </c>
      <c r="AC58" s="254"/>
    </row>
    <row r="59" spans="1:29" ht="12">
      <c r="A59" s="67" t="s">
        <v>10612</v>
      </c>
      <c r="B59" s="65" t="s">
        <v>10613</v>
      </c>
      <c r="C59" s="71" t="s">
        <v>103</v>
      </c>
      <c r="D59" s="78">
        <v>1</v>
      </c>
      <c r="E59" s="79">
        <v>1228.42</v>
      </c>
      <c r="F59" s="70">
        <v>1228.42</v>
      </c>
      <c r="G59" s="320"/>
      <c r="H59" s="79">
        <v>714.06</v>
      </c>
      <c r="I59" s="79">
        <v>514.36</v>
      </c>
      <c r="J59" s="79">
        <v>1228.42</v>
      </c>
      <c r="K59" s="79">
        <v>0</v>
      </c>
      <c r="L59" s="70">
        <v>1228.42</v>
      </c>
      <c r="M59" s="132"/>
      <c r="N59" s="78">
        <v>714.06</v>
      </c>
      <c r="O59" s="78">
        <v>514.36</v>
      </c>
      <c r="P59" s="79">
        <v>1228.42</v>
      </c>
      <c r="Q59" s="136"/>
      <c r="R59" s="79">
        <v>714.06</v>
      </c>
      <c r="S59" s="79">
        <v>514.39</v>
      </c>
      <c r="T59" s="79">
        <v>1228.4499999999998</v>
      </c>
      <c r="U59" s="79">
        <v>0</v>
      </c>
      <c r="V59" s="189">
        <v>1228.4499999999998</v>
      </c>
      <c r="X59" s="78">
        <v>714.06</v>
      </c>
      <c r="Y59" s="78">
        <v>514.39</v>
      </c>
      <c r="Z59" s="79">
        <v>1228.45</v>
      </c>
      <c r="AA59" s="255">
        <v>-2.9999999999972715E-2</v>
      </c>
      <c r="AC59" s="254"/>
    </row>
    <row r="60" spans="1:29" ht="12">
      <c r="A60" s="489" t="s">
        <v>10614</v>
      </c>
      <c r="B60" s="490" t="s">
        <v>10615</v>
      </c>
      <c r="C60" s="491"/>
      <c r="D60" s="492"/>
      <c r="E60" s="79"/>
      <c r="F60" s="63"/>
      <c r="G60" s="320"/>
      <c r="H60" s="79"/>
      <c r="I60" s="79"/>
      <c r="J60" s="79"/>
      <c r="K60" s="79"/>
      <c r="L60" s="70"/>
      <c r="M60" s="132"/>
      <c r="N60" s="79"/>
      <c r="O60" s="79"/>
      <c r="P60" s="79"/>
      <c r="Q60" s="136"/>
      <c r="R60" s="79"/>
      <c r="S60" s="79"/>
      <c r="T60" s="79"/>
      <c r="U60" s="79"/>
      <c r="V60" s="189"/>
      <c r="X60" s="79"/>
      <c r="Y60" s="79"/>
      <c r="Z60" s="79"/>
      <c r="AA60" s="255"/>
      <c r="AC60" s="254"/>
    </row>
    <row r="61" spans="1:29" ht="12">
      <c r="A61" s="67" t="s">
        <v>10616</v>
      </c>
      <c r="B61" s="65" t="s">
        <v>162</v>
      </c>
      <c r="C61" s="71" t="s">
        <v>108</v>
      </c>
      <c r="D61" s="78">
        <v>1</v>
      </c>
      <c r="E61" s="79">
        <v>1379.3</v>
      </c>
      <c r="F61" s="70">
        <v>1379.3</v>
      </c>
      <c r="G61" s="320"/>
      <c r="H61" s="79">
        <v>1379.3</v>
      </c>
      <c r="I61" s="79">
        <v>0</v>
      </c>
      <c r="J61" s="79">
        <v>1379.3</v>
      </c>
      <c r="K61" s="79">
        <v>0</v>
      </c>
      <c r="L61" s="70">
        <v>1379.3</v>
      </c>
      <c r="M61" s="132"/>
      <c r="N61" s="79">
        <v>1379.3</v>
      </c>
      <c r="O61" s="79"/>
      <c r="P61" s="79">
        <v>1379.3</v>
      </c>
      <c r="Q61" s="136"/>
      <c r="R61" s="79">
        <v>1379.3</v>
      </c>
      <c r="S61" s="79"/>
      <c r="T61" s="79">
        <v>1379.3</v>
      </c>
      <c r="U61" s="79">
        <v>0</v>
      </c>
      <c r="V61" s="189">
        <v>1379.3</v>
      </c>
      <c r="X61" s="79">
        <v>1379.3</v>
      </c>
      <c r="Y61" s="79"/>
      <c r="Z61" s="79">
        <v>1379.3</v>
      </c>
      <c r="AA61" s="255">
        <v>0</v>
      </c>
      <c r="AC61" s="254"/>
    </row>
    <row r="62" spans="1:29" ht="24">
      <c r="A62" s="67" t="s">
        <v>10617</v>
      </c>
      <c r="B62" s="65" t="s">
        <v>158</v>
      </c>
      <c r="C62" s="71" t="s">
        <v>108</v>
      </c>
      <c r="D62" s="78">
        <v>1</v>
      </c>
      <c r="E62" s="79">
        <v>7060.48</v>
      </c>
      <c r="F62" s="70">
        <v>7060.48</v>
      </c>
      <c r="G62" s="320"/>
      <c r="H62" s="79">
        <v>7060.48</v>
      </c>
      <c r="I62" s="79">
        <v>0</v>
      </c>
      <c r="J62" s="79">
        <v>7060.48</v>
      </c>
      <c r="K62" s="79">
        <v>0</v>
      </c>
      <c r="L62" s="70">
        <v>7060.48</v>
      </c>
      <c r="M62" s="132"/>
      <c r="N62" s="79">
        <v>7060.48</v>
      </c>
      <c r="O62" s="79"/>
      <c r="P62" s="79">
        <v>7060.48</v>
      </c>
      <c r="Q62" s="136"/>
      <c r="R62" s="79">
        <v>7060.48</v>
      </c>
      <c r="S62" s="79"/>
      <c r="T62" s="79">
        <v>7060.48</v>
      </c>
      <c r="U62" s="79">
        <v>0</v>
      </c>
      <c r="V62" s="189">
        <v>7060.48</v>
      </c>
      <c r="X62" s="79">
        <v>7060.48</v>
      </c>
      <c r="Y62" s="79"/>
      <c r="Z62" s="79">
        <v>7060.48</v>
      </c>
      <c r="AA62" s="255">
        <v>0</v>
      </c>
      <c r="AC62" s="254"/>
    </row>
    <row r="63" spans="1:29" ht="12">
      <c r="A63" s="67" t="s">
        <v>10618</v>
      </c>
      <c r="B63" s="65" t="s">
        <v>10619</v>
      </c>
      <c r="C63" s="71" t="s">
        <v>165</v>
      </c>
      <c r="D63" s="78">
        <v>1</v>
      </c>
      <c r="E63" s="79">
        <v>107.18</v>
      </c>
      <c r="F63" s="70">
        <v>107.18</v>
      </c>
      <c r="G63" s="320"/>
      <c r="H63" s="79">
        <v>107.18</v>
      </c>
      <c r="I63" s="79">
        <v>0</v>
      </c>
      <c r="J63" s="79">
        <v>107.18</v>
      </c>
      <c r="K63" s="79">
        <v>0</v>
      </c>
      <c r="L63" s="70">
        <v>107.18</v>
      </c>
      <c r="M63" s="132"/>
      <c r="N63" s="79">
        <v>107.18</v>
      </c>
      <c r="O63" s="79"/>
      <c r="P63" s="79">
        <v>107.18</v>
      </c>
      <c r="Q63" s="136"/>
      <c r="R63" s="79">
        <v>107.18</v>
      </c>
      <c r="S63" s="79"/>
      <c r="T63" s="79">
        <v>107.18</v>
      </c>
      <c r="U63" s="79">
        <v>0</v>
      </c>
      <c r="V63" s="189">
        <v>107.18</v>
      </c>
      <c r="X63" s="79">
        <v>107.18</v>
      </c>
      <c r="Y63" s="79"/>
      <c r="Z63" s="79">
        <v>107.18</v>
      </c>
      <c r="AA63" s="255">
        <v>0</v>
      </c>
      <c r="AC63" s="254"/>
    </row>
    <row r="64" spans="1:29" ht="12">
      <c r="A64" s="67" t="s">
        <v>10620</v>
      </c>
      <c r="B64" s="65" t="s">
        <v>10621</v>
      </c>
      <c r="C64" s="71" t="s">
        <v>165</v>
      </c>
      <c r="D64" s="78">
        <v>1</v>
      </c>
      <c r="E64" s="79">
        <v>93.86</v>
      </c>
      <c r="F64" s="70">
        <v>93.86</v>
      </c>
      <c r="G64" s="320"/>
      <c r="H64" s="79">
        <v>93.86</v>
      </c>
      <c r="I64" s="79">
        <v>0</v>
      </c>
      <c r="J64" s="79">
        <v>93.86</v>
      </c>
      <c r="K64" s="79">
        <v>0</v>
      </c>
      <c r="L64" s="70">
        <v>93.86</v>
      </c>
      <c r="M64" s="132"/>
      <c r="N64" s="79">
        <v>93.86</v>
      </c>
      <c r="O64" s="79"/>
      <c r="P64" s="79">
        <v>93.86</v>
      </c>
      <c r="Q64" s="136"/>
      <c r="R64" s="79">
        <v>93.86</v>
      </c>
      <c r="S64" s="79"/>
      <c r="T64" s="79">
        <v>93.86</v>
      </c>
      <c r="U64" s="79">
        <v>0</v>
      </c>
      <c r="V64" s="189">
        <v>93.86</v>
      </c>
      <c r="X64" s="79">
        <v>93.86</v>
      </c>
      <c r="Y64" s="79"/>
      <c r="Z64" s="79">
        <v>93.86</v>
      </c>
      <c r="AA64" s="255">
        <v>0</v>
      </c>
      <c r="AC64" s="254"/>
    </row>
    <row r="65" spans="1:29" ht="12">
      <c r="A65" s="67" t="s">
        <v>10622</v>
      </c>
      <c r="B65" s="65" t="s">
        <v>10623</v>
      </c>
      <c r="C65" s="71" t="s">
        <v>165</v>
      </c>
      <c r="D65" s="78">
        <v>1</v>
      </c>
      <c r="E65" s="79">
        <v>424.89</v>
      </c>
      <c r="F65" s="70">
        <v>424.89</v>
      </c>
      <c r="G65" s="320"/>
      <c r="H65" s="79">
        <v>424.89</v>
      </c>
      <c r="I65" s="79">
        <v>0</v>
      </c>
      <c r="J65" s="79">
        <v>424.89</v>
      </c>
      <c r="K65" s="79">
        <v>0</v>
      </c>
      <c r="L65" s="70">
        <v>424.89</v>
      </c>
      <c r="M65" s="132"/>
      <c r="N65" s="79">
        <v>424.89</v>
      </c>
      <c r="O65" s="79"/>
      <c r="P65" s="79">
        <v>424.89</v>
      </c>
      <c r="Q65" s="136"/>
      <c r="R65" s="79">
        <v>424.89</v>
      </c>
      <c r="S65" s="79"/>
      <c r="T65" s="79">
        <v>424.89</v>
      </c>
      <c r="U65" s="79">
        <v>0</v>
      </c>
      <c r="V65" s="189">
        <v>424.89</v>
      </c>
      <c r="X65" s="79">
        <v>424.89</v>
      </c>
      <c r="Y65" s="79"/>
      <c r="Z65" s="79">
        <v>424.89</v>
      </c>
      <c r="AA65" s="255">
        <v>0</v>
      </c>
      <c r="AC65" s="254"/>
    </row>
    <row r="66" spans="1:29" ht="12">
      <c r="A66" s="67" t="s">
        <v>10624</v>
      </c>
      <c r="B66" s="65" t="s">
        <v>10625</v>
      </c>
      <c r="C66" s="71" t="s">
        <v>165</v>
      </c>
      <c r="D66" s="78">
        <v>1</v>
      </c>
      <c r="E66" s="79">
        <v>674.53</v>
      </c>
      <c r="F66" s="70">
        <v>674.53</v>
      </c>
      <c r="G66" s="320"/>
      <c r="H66" s="79">
        <v>674.53</v>
      </c>
      <c r="I66" s="79">
        <v>0</v>
      </c>
      <c r="J66" s="79">
        <v>674.53</v>
      </c>
      <c r="K66" s="79">
        <v>0</v>
      </c>
      <c r="L66" s="70">
        <v>674.53</v>
      </c>
      <c r="M66" s="132"/>
      <c r="N66" s="79">
        <v>674.53</v>
      </c>
      <c r="O66" s="79"/>
      <c r="P66" s="79">
        <v>674.53</v>
      </c>
      <c r="Q66" s="136"/>
      <c r="R66" s="79">
        <v>674.53</v>
      </c>
      <c r="S66" s="79"/>
      <c r="T66" s="79">
        <v>674.53</v>
      </c>
      <c r="U66" s="79">
        <v>0</v>
      </c>
      <c r="V66" s="189">
        <v>674.53</v>
      </c>
      <c r="X66" s="79">
        <v>674.53</v>
      </c>
      <c r="Y66" s="79"/>
      <c r="Z66" s="79">
        <v>674.53</v>
      </c>
      <c r="AA66" s="255">
        <v>0</v>
      </c>
      <c r="AC66" s="254"/>
    </row>
    <row r="67" spans="1:29" ht="12">
      <c r="A67" s="67" t="s">
        <v>10626</v>
      </c>
      <c r="B67" s="65" t="s">
        <v>10627</v>
      </c>
      <c r="C67" s="71" t="s">
        <v>165</v>
      </c>
      <c r="D67" s="78">
        <v>1</v>
      </c>
      <c r="E67" s="79">
        <v>104.16</v>
      </c>
      <c r="F67" s="70">
        <v>104.16</v>
      </c>
      <c r="G67" s="320"/>
      <c r="H67" s="79">
        <v>104.16</v>
      </c>
      <c r="I67" s="79">
        <v>0</v>
      </c>
      <c r="J67" s="79">
        <v>104.16</v>
      </c>
      <c r="K67" s="79">
        <v>0</v>
      </c>
      <c r="L67" s="70">
        <v>104.16</v>
      </c>
      <c r="M67" s="132"/>
      <c r="N67" s="79">
        <v>104.16</v>
      </c>
      <c r="O67" s="79"/>
      <c r="P67" s="79">
        <v>104.16</v>
      </c>
      <c r="Q67" s="136"/>
      <c r="R67" s="79">
        <v>104.16</v>
      </c>
      <c r="S67" s="79"/>
      <c r="T67" s="79">
        <v>104.16</v>
      </c>
      <c r="U67" s="79">
        <v>0</v>
      </c>
      <c r="V67" s="189">
        <v>104.16</v>
      </c>
      <c r="X67" s="79">
        <v>104.16</v>
      </c>
      <c r="Y67" s="79"/>
      <c r="Z67" s="79">
        <v>104.16</v>
      </c>
      <c r="AA67" s="255">
        <v>0</v>
      </c>
      <c r="AC67" s="254"/>
    </row>
    <row r="68" spans="1:29" ht="12">
      <c r="A68" s="489" t="s">
        <v>10628</v>
      </c>
      <c r="B68" s="490" t="s">
        <v>10629</v>
      </c>
      <c r="C68" s="491"/>
      <c r="D68" s="492"/>
      <c r="E68" s="79"/>
      <c r="F68" s="63"/>
      <c r="G68" s="320"/>
      <c r="H68" s="79"/>
      <c r="I68" s="79"/>
      <c r="J68" s="79"/>
      <c r="K68" s="79"/>
      <c r="L68" s="70"/>
      <c r="M68" s="132"/>
      <c r="N68" s="79"/>
      <c r="O68" s="79"/>
      <c r="P68" s="79"/>
      <c r="Q68" s="136"/>
      <c r="R68" s="79"/>
      <c r="S68" s="79"/>
      <c r="T68" s="79"/>
      <c r="U68" s="79"/>
      <c r="V68" s="189"/>
      <c r="X68" s="79"/>
      <c r="Y68" s="79"/>
      <c r="Z68" s="79"/>
      <c r="AA68" s="255"/>
      <c r="AC68" s="254"/>
    </row>
    <row r="69" spans="1:29" ht="24">
      <c r="A69" s="67" t="s">
        <v>10630</v>
      </c>
      <c r="B69" s="65" t="s">
        <v>595</v>
      </c>
      <c r="C69" s="71" t="s">
        <v>108</v>
      </c>
      <c r="D69" s="78">
        <v>1</v>
      </c>
      <c r="E69" s="79">
        <v>443.61</v>
      </c>
      <c r="F69" s="70">
        <v>443.61</v>
      </c>
      <c r="G69" s="320"/>
      <c r="H69" s="79">
        <v>443.61</v>
      </c>
      <c r="I69" s="79">
        <v>0</v>
      </c>
      <c r="J69" s="79">
        <v>443.61</v>
      </c>
      <c r="K69" s="79">
        <v>0</v>
      </c>
      <c r="L69" s="70">
        <v>443.61</v>
      </c>
      <c r="M69" s="132"/>
      <c r="N69" s="79">
        <v>443.61</v>
      </c>
      <c r="O69" s="79"/>
      <c r="P69" s="79">
        <v>443.61</v>
      </c>
      <c r="Q69" s="136"/>
      <c r="R69" s="79">
        <v>443.61</v>
      </c>
      <c r="S69" s="79"/>
      <c r="T69" s="79">
        <v>443.61</v>
      </c>
      <c r="U69" s="79">
        <v>0</v>
      </c>
      <c r="V69" s="189">
        <v>443.61</v>
      </c>
      <c r="X69" s="79">
        <v>443.61</v>
      </c>
      <c r="Y69" s="79"/>
      <c r="Z69" s="79">
        <v>443.61</v>
      </c>
      <c r="AA69" s="255">
        <v>0</v>
      </c>
      <c r="AC69" s="254"/>
    </row>
    <row r="70" spans="1:29" ht="12">
      <c r="A70" s="67" t="s">
        <v>10631</v>
      </c>
      <c r="B70" s="65" t="s">
        <v>10632</v>
      </c>
      <c r="C70" s="71" t="s">
        <v>509</v>
      </c>
      <c r="D70" s="78">
        <v>1</v>
      </c>
      <c r="E70" s="79">
        <v>10.030000000000001</v>
      </c>
      <c r="F70" s="70">
        <v>10.029999999999999</v>
      </c>
      <c r="G70" s="320"/>
      <c r="H70" s="79">
        <v>3.21</v>
      </c>
      <c r="I70" s="79">
        <v>6.82</v>
      </c>
      <c r="J70" s="79">
        <v>10.030000000000001</v>
      </c>
      <c r="K70" s="79">
        <v>0</v>
      </c>
      <c r="L70" s="70">
        <v>10.030000000000001</v>
      </c>
      <c r="M70" s="132"/>
      <c r="N70" s="79">
        <v>3.21</v>
      </c>
      <c r="O70" s="79">
        <v>6.82</v>
      </c>
      <c r="P70" s="79">
        <v>10.030000000000001</v>
      </c>
      <c r="Q70" s="136"/>
      <c r="R70" s="79">
        <v>3.21</v>
      </c>
      <c r="S70" s="79">
        <v>6.81</v>
      </c>
      <c r="T70" s="79">
        <v>10.02</v>
      </c>
      <c r="U70" s="79">
        <v>0</v>
      </c>
      <c r="V70" s="189">
        <v>10.02</v>
      </c>
      <c r="X70" s="79">
        <v>3.21</v>
      </c>
      <c r="Y70" s="79">
        <v>6.81</v>
      </c>
      <c r="Z70" s="79">
        <v>10.02</v>
      </c>
      <c r="AA70" s="255">
        <v>9.9999999999997868E-3</v>
      </c>
      <c r="AC70" s="254"/>
    </row>
    <row r="71" spans="1:29" s="61" customFormat="1" ht="12">
      <c r="A71" s="67" t="s">
        <v>10633</v>
      </c>
      <c r="B71" s="65" t="s">
        <v>10634</v>
      </c>
      <c r="C71" s="71" t="s">
        <v>509</v>
      </c>
      <c r="D71" s="78">
        <v>1</v>
      </c>
      <c r="E71" s="79">
        <v>154.16999999999999</v>
      </c>
      <c r="F71" s="70">
        <v>154.16999999999999</v>
      </c>
      <c r="G71" s="320"/>
      <c r="H71" s="79">
        <v>103.82</v>
      </c>
      <c r="I71" s="79">
        <v>50.349999999999994</v>
      </c>
      <c r="J71" s="79">
        <v>154.16999999999999</v>
      </c>
      <c r="K71" s="79">
        <v>0</v>
      </c>
      <c r="L71" s="70">
        <v>154.16999999999999</v>
      </c>
      <c r="M71" s="132"/>
      <c r="N71" s="79">
        <v>103.82</v>
      </c>
      <c r="O71" s="79">
        <v>50.349999999999994</v>
      </c>
      <c r="P71" s="79">
        <v>154.16999999999999</v>
      </c>
      <c r="Q71" s="136"/>
      <c r="R71" s="79">
        <v>103.82</v>
      </c>
      <c r="S71" s="79">
        <v>50.35</v>
      </c>
      <c r="T71" s="79">
        <v>154.16999999999999</v>
      </c>
      <c r="U71" s="79">
        <v>0</v>
      </c>
      <c r="V71" s="189">
        <v>154.16999999999999</v>
      </c>
      <c r="X71" s="79">
        <v>103.82</v>
      </c>
      <c r="Y71" s="79">
        <v>50.35</v>
      </c>
      <c r="Z71" s="79">
        <v>154.16999999999999</v>
      </c>
      <c r="AA71" s="255">
        <v>0</v>
      </c>
      <c r="AC71" s="254"/>
    </row>
    <row r="72" spans="1:29" ht="12">
      <c r="A72" s="67" t="s">
        <v>10635</v>
      </c>
      <c r="B72" s="65" t="s">
        <v>10636</v>
      </c>
      <c r="C72" s="71" t="s">
        <v>509</v>
      </c>
      <c r="D72" s="78">
        <v>1</v>
      </c>
      <c r="E72" s="79">
        <v>70.309999999999988</v>
      </c>
      <c r="F72" s="70">
        <v>70.31</v>
      </c>
      <c r="G72" s="320"/>
      <c r="H72" s="79">
        <v>22.29</v>
      </c>
      <c r="I72" s="79">
        <v>48.019999999999996</v>
      </c>
      <c r="J72" s="79">
        <v>70.31</v>
      </c>
      <c r="K72" s="79">
        <v>0</v>
      </c>
      <c r="L72" s="70">
        <v>70.31</v>
      </c>
      <c r="M72" s="132"/>
      <c r="N72" s="79">
        <v>22.29</v>
      </c>
      <c r="O72" s="79">
        <v>48.019999999999996</v>
      </c>
      <c r="P72" s="79">
        <v>70.31</v>
      </c>
      <c r="Q72" s="136"/>
      <c r="R72" s="79">
        <v>22.29</v>
      </c>
      <c r="S72" s="79">
        <v>48.01</v>
      </c>
      <c r="T72" s="79">
        <v>70.3</v>
      </c>
      <c r="U72" s="79">
        <v>0</v>
      </c>
      <c r="V72" s="189">
        <v>70.3</v>
      </c>
      <c r="X72" s="79">
        <v>22.29</v>
      </c>
      <c r="Y72" s="79">
        <v>48.01</v>
      </c>
      <c r="Z72" s="79">
        <v>70.3</v>
      </c>
      <c r="AA72" s="255">
        <v>1.0000000000005116E-2</v>
      </c>
      <c r="AC72" s="254"/>
    </row>
    <row r="73" spans="1:29" ht="12">
      <c r="A73" s="67" t="s">
        <v>10637</v>
      </c>
      <c r="B73" s="65" t="s">
        <v>10638</v>
      </c>
      <c r="C73" s="71" t="s">
        <v>509</v>
      </c>
      <c r="D73" s="78">
        <v>1</v>
      </c>
      <c r="E73" s="79">
        <v>34.07</v>
      </c>
      <c r="F73" s="70">
        <v>34.07</v>
      </c>
      <c r="G73" s="320"/>
      <c r="H73" s="79">
        <v>0</v>
      </c>
      <c r="I73" s="79">
        <v>34.07</v>
      </c>
      <c r="J73" s="79">
        <v>34.07</v>
      </c>
      <c r="K73" s="79">
        <v>0</v>
      </c>
      <c r="L73" s="70">
        <v>34.07</v>
      </c>
      <c r="M73" s="132"/>
      <c r="N73" s="79"/>
      <c r="O73" s="79">
        <v>34.07</v>
      </c>
      <c r="P73" s="79">
        <v>34.07</v>
      </c>
      <c r="Q73" s="136"/>
      <c r="R73" s="79"/>
      <c r="S73" s="79">
        <v>34.07</v>
      </c>
      <c r="T73" s="79">
        <v>34.07</v>
      </c>
      <c r="U73" s="79">
        <v>0</v>
      </c>
      <c r="V73" s="189">
        <v>34.07</v>
      </c>
      <c r="X73" s="79"/>
      <c r="Y73" s="79">
        <v>34.07</v>
      </c>
      <c r="Z73" s="79">
        <v>34.07</v>
      </c>
      <c r="AA73" s="255">
        <v>0</v>
      </c>
      <c r="AC73" s="254"/>
    </row>
    <row r="74" spans="1:29" ht="12">
      <c r="A74" s="67" t="s">
        <v>10639</v>
      </c>
      <c r="B74" s="65" t="s">
        <v>10640</v>
      </c>
      <c r="C74" s="71" t="s">
        <v>165</v>
      </c>
      <c r="D74" s="78">
        <v>1</v>
      </c>
      <c r="E74" s="79">
        <v>6.08</v>
      </c>
      <c r="F74" s="70">
        <v>6.08</v>
      </c>
      <c r="G74" s="320"/>
      <c r="H74" s="79">
        <v>1.04</v>
      </c>
      <c r="I74" s="79">
        <v>5.04</v>
      </c>
      <c r="J74" s="79">
        <v>6.08</v>
      </c>
      <c r="K74" s="79">
        <v>0</v>
      </c>
      <c r="L74" s="70">
        <v>6.08</v>
      </c>
      <c r="M74" s="132"/>
      <c r="N74" s="79">
        <v>1.04</v>
      </c>
      <c r="O74" s="79">
        <v>5.04</v>
      </c>
      <c r="P74" s="79">
        <v>6.08</v>
      </c>
      <c r="Q74" s="136"/>
      <c r="R74" s="79">
        <v>1.04</v>
      </c>
      <c r="S74" s="79">
        <v>5.03</v>
      </c>
      <c r="T74" s="79">
        <v>6.07</v>
      </c>
      <c r="U74" s="79">
        <v>0</v>
      </c>
      <c r="V74" s="189">
        <v>6.07</v>
      </c>
      <c r="X74" s="79">
        <v>1.04</v>
      </c>
      <c r="Y74" s="79">
        <v>5.03</v>
      </c>
      <c r="Z74" s="79">
        <v>6.07</v>
      </c>
      <c r="AA74" s="255">
        <v>9.9999999999997868E-3</v>
      </c>
      <c r="AC74" s="254"/>
    </row>
    <row r="75" spans="1:29" ht="24">
      <c r="A75" s="67" t="s">
        <v>10641</v>
      </c>
      <c r="B75" s="65" t="s">
        <v>10642</v>
      </c>
      <c r="C75" s="71" t="s">
        <v>121</v>
      </c>
      <c r="D75" s="78">
        <v>1</v>
      </c>
      <c r="E75" s="79">
        <v>514.13</v>
      </c>
      <c r="F75" s="70">
        <v>514.13</v>
      </c>
      <c r="G75" s="320"/>
      <c r="H75" s="79">
        <v>0</v>
      </c>
      <c r="I75" s="79">
        <v>514.13</v>
      </c>
      <c r="J75" s="79">
        <v>514.13</v>
      </c>
      <c r="K75" s="79">
        <v>0</v>
      </c>
      <c r="L75" s="70">
        <v>514.13</v>
      </c>
      <c r="M75" s="132"/>
      <c r="N75" s="79"/>
      <c r="O75" s="79">
        <v>514.13</v>
      </c>
      <c r="P75" s="79">
        <v>514.13</v>
      </c>
      <c r="Q75" s="136"/>
      <c r="R75" s="79"/>
      <c r="S75" s="79">
        <v>514.15</v>
      </c>
      <c r="T75" s="79">
        <v>514.15</v>
      </c>
      <c r="U75" s="79">
        <v>0</v>
      </c>
      <c r="V75" s="189">
        <v>514.15</v>
      </c>
      <c r="X75" s="79"/>
      <c r="Y75" s="79">
        <v>514.15</v>
      </c>
      <c r="Z75" s="79">
        <v>514.15</v>
      </c>
      <c r="AA75" s="255">
        <v>-1.999999999998181E-2</v>
      </c>
      <c r="AC75" s="254"/>
    </row>
    <row r="76" spans="1:29" s="69" customFormat="1" ht="12">
      <c r="A76" s="67" t="s">
        <v>10643</v>
      </c>
      <c r="B76" s="65" t="s">
        <v>10644</v>
      </c>
      <c r="C76" s="71" t="s">
        <v>165</v>
      </c>
      <c r="D76" s="78">
        <v>1</v>
      </c>
      <c r="E76" s="79">
        <v>276.25</v>
      </c>
      <c r="F76" s="70">
        <v>276.25</v>
      </c>
      <c r="G76" s="320"/>
      <c r="H76" s="79">
        <v>276.25</v>
      </c>
      <c r="I76" s="79">
        <v>0</v>
      </c>
      <c r="J76" s="79">
        <v>276.25</v>
      </c>
      <c r="K76" s="79">
        <v>0</v>
      </c>
      <c r="L76" s="70">
        <v>276.25</v>
      </c>
      <c r="M76" s="132"/>
      <c r="N76" s="79">
        <v>276.25</v>
      </c>
      <c r="O76" s="79"/>
      <c r="P76" s="79">
        <v>276.25</v>
      </c>
      <c r="Q76" s="136"/>
      <c r="R76" s="79">
        <v>276.25</v>
      </c>
      <c r="S76" s="79"/>
      <c r="T76" s="79">
        <v>276.25</v>
      </c>
      <c r="U76" s="79">
        <v>0</v>
      </c>
      <c r="V76" s="189">
        <v>276.25</v>
      </c>
      <c r="W76" s="61"/>
      <c r="X76" s="79">
        <v>276.25</v>
      </c>
      <c r="Y76" s="79"/>
      <c r="Z76" s="79">
        <v>276.25</v>
      </c>
      <c r="AA76" s="255">
        <v>0</v>
      </c>
      <c r="AB76" s="61"/>
      <c r="AC76" s="254"/>
    </row>
    <row r="77" spans="1:29" ht="12">
      <c r="A77" s="67" t="s">
        <v>10645</v>
      </c>
      <c r="B77" s="65" t="s">
        <v>10646</v>
      </c>
      <c r="C77" s="71" t="s">
        <v>165</v>
      </c>
      <c r="D77" s="78">
        <v>1</v>
      </c>
      <c r="E77" s="79">
        <v>279.41000000000003</v>
      </c>
      <c r="F77" s="70">
        <v>279.41000000000003</v>
      </c>
      <c r="G77" s="320"/>
      <c r="H77" s="79">
        <v>279.41000000000003</v>
      </c>
      <c r="I77" s="79">
        <v>0</v>
      </c>
      <c r="J77" s="79">
        <v>279.41000000000003</v>
      </c>
      <c r="K77" s="79">
        <v>0</v>
      </c>
      <c r="L77" s="70">
        <v>279.41000000000003</v>
      </c>
      <c r="M77" s="132"/>
      <c r="N77" s="79">
        <v>279.41000000000003</v>
      </c>
      <c r="O77" s="79"/>
      <c r="P77" s="79">
        <v>279.41000000000003</v>
      </c>
      <c r="Q77" s="136"/>
      <c r="R77" s="79">
        <v>279.41000000000003</v>
      </c>
      <c r="S77" s="79"/>
      <c r="T77" s="79">
        <v>279.41000000000003</v>
      </c>
      <c r="U77" s="79">
        <v>0</v>
      </c>
      <c r="V77" s="189">
        <v>279.41000000000003</v>
      </c>
      <c r="X77" s="79">
        <v>279.41000000000003</v>
      </c>
      <c r="Y77" s="79"/>
      <c r="Z77" s="79">
        <v>279.41000000000003</v>
      </c>
      <c r="AA77" s="255">
        <v>0</v>
      </c>
      <c r="AC77" s="254"/>
    </row>
    <row r="78" spans="1:29" ht="12">
      <c r="A78" s="67" t="s">
        <v>10647</v>
      </c>
      <c r="B78" s="65" t="s">
        <v>10648</v>
      </c>
      <c r="C78" s="71" t="s">
        <v>165</v>
      </c>
      <c r="D78" s="78">
        <v>1</v>
      </c>
      <c r="E78" s="79">
        <v>386.38</v>
      </c>
      <c r="F78" s="70">
        <v>386.38</v>
      </c>
      <c r="G78" s="320"/>
      <c r="H78" s="79">
        <v>386.38</v>
      </c>
      <c r="I78" s="79">
        <v>0</v>
      </c>
      <c r="J78" s="79">
        <v>386.38</v>
      </c>
      <c r="K78" s="79">
        <v>0</v>
      </c>
      <c r="L78" s="70">
        <v>386.38</v>
      </c>
      <c r="M78" s="132"/>
      <c r="N78" s="79">
        <v>386.38</v>
      </c>
      <c r="O78" s="79"/>
      <c r="P78" s="79">
        <v>386.38</v>
      </c>
      <c r="Q78" s="136"/>
      <c r="R78" s="79">
        <v>386.38</v>
      </c>
      <c r="S78" s="79"/>
      <c r="T78" s="79">
        <v>386.38</v>
      </c>
      <c r="U78" s="79">
        <v>0</v>
      </c>
      <c r="V78" s="189">
        <v>386.38</v>
      </c>
      <c r="X78" s="79">
        <v>386.38</v>
      </c>
      <c r="Y78" s="79"/>
      <c r="Z78" s="79">
        <v>386.38</v>
      </c>
      <c r="AA78" s="255">
        <v>0</v>
      </c>
      <c r="AC78" s="254"/>
    </row>
    <row r="79" spans="1:29" ht="12">
      <c r="A79" s="67" t="s">
        <v>10649</v>
      </c>
      <c r="B79" s="65" t="s">
        <v>10650</v>
      </c>
      <c r="C79" s="71" t="s">
        <v>165</v>
      </c>
      <c r="D79" s="78">
        <v>1</v>
      </c>
      <c r="E79" s="79">
        <v>397.97</v>
      </c>
      <c r="F79" s="70">
        <v>397.97</v>
      </c>
      <c r="G79" s="320"/>
      <c r="H79" s="79">
        <v>397.97</v>
      </c>
      <c r="I79" s="79">
        <v>0</v>
      </c>
      <c r="J79" s="79">
        <v>397.97</v>
      </c>
      <c r="K79" s="79">
        <v>0</v>
      </c>
      <c r="L79" s="70">
        <v>397.97</v>
      </c>
      <c r="M79" s="132"/>
      <c r="N79" s="79">
        <v>397.97</v>
      </c>
      <c r="O79" s="79"/>
      <c r="P79" s="79">
        <v>397.97</v>
      </c>
      <c r="Q79" s="136"/>
      <c r="R79" s="79">
        <v>397.97</v>
      </c>
      <c r="S79" s="79"/>
      <c r="T79" s="79">
        <v>397.97</v>
      </c>
      <c r="U79" s="79">
        <v>0</v>
      </c>
      <c r="V79" s="189">
        <v>397.97</v>
      </c>
      <c r="X79" s="79">
        <v>397.97</v>
      </c>
      <c r="Y79" s="79"/>
      <c r="Z79" s="79">
        <v>397.97</v>
      </c>
      <c r="AA79" s="255">
        <v>0</v>
      </c>
      <c r="AC79" s="254"/>
    </row>
    <row r="80" spans="1:29" s="61" customFormat="1" ht="24">
      <c r="A80" s="67" t="s">
        <v>10651</v>
      </c>
      <c r="B80" s="65" t="s">
        <v>10652</v>
      </c>
      <c r="C80" s="71" t="s">
        <v>108</v>
      </c>
      <c r="D80" s="78">
        <v>1</v>
      </c>
      <c r="E80" s="79">
        <v>231.93</v>
      </c>
      <c r="F80" s="70">
        <v>231.93</v>
      </c>
      <c r="G80" s="320"/>
      <c r="H80" s="79">
        <v>231.93</v>
      </c>
      <c r="I80" s="79">
        <v>0</v>
      </c>
      <c r="J80" s="79">
        <v>231.93</v>
      </c>
      <c r="K80" s="79">
        <v>0</v>
      </c>
      <c r="L80" s="70">
        <v>231.93</v>
      </c>
      <c r="M80" s="132"/>
      <c r="N80" s="79">
        <v>231.93</v>
      </c>
      <c r="O80" s="79"/>
      <c r="P80" s="79">
        <v>231.93</v>
      </c>
      <c r="Q80" s="136"/>
      <c r="R80" s="79">
        <v>231.93</v>
      </c>
      <c r="S80" s="79"/>
      <c r="T80" s="79">
        <v>231.93</v>
      </c>
      <c r="U80" s="79">
        <v>0</v>
      </c>
      <c r="V80" s="189">
        <v>231.93</v>
      </c>
      <c r="X80" s="79">
        <v>231.93</v>
      </c>
      <c r="Y80" s="79"/>
      <c r="Z80" s="79">
        <v>231.93</v>
      </c>
      <c r="AA80" s="255">
        <v>0</v>
      </c>
      <c r="AC80" s="254"/>
    </row>
    <row r="81" spans="1:29" ht="24">
      <c r="A81" s="67" t="s">
        <v>10653</v>
      </c>
      <c r="B81" s="65" t="s">
        <v>10654</v>
      </c>
      <c r="C81" s="71" t="s">
        <v>103</v>
      </c>
      <c r="D81" s="78">
        <v>1</v>
      </c>
      <c r="E81" s="79">
        <v>13.55</v>
      </c>
      <c r="F81" s="70">
        <v>13.55</v>
      </c>
      <c r="G81" s="320"/>
      <c r="H81" s="79">
        <v>13.55</v>
      </c>
      <c r="I81" s="79">
        <v>0</v>
      </c>
      <c r="J81" s="79">
        <v>13.55</v>
      </c>
      <c r="K81" s="79">
        <v>0</v>
      </c>
      <c r="L81" s="70">
        <v>13.55</v>
      </c>
      <c r="M81" s="132"/>
      <c r="N81" s="79">
        <v>13.55</v>
      </c>
      <c r="O81" s="79"/>
      <c r="P81" s="79">
        <v>13.55</v>
      </c>
      <c r="Q81" s="136"/>
      <c r="R81" s="79">
        <v>13.55</v>
      </c>
      <c r="S81" s="79"/>
      <c r="T81" s="79">
        <v>13.55</v>
      </c>
      <c r="U81" s="79">
        <v>0</v>
      </c>
      <c r="V81" s="189">
        <v>13.55</v>
      </c>
      <c r="X81" s="79">
        <v>13.55</v>
      </c>
      <c r="Y81" s="79"/>
      <c r="Z81" s="79">
        <v>13.55</v>
      </c>
      <c r="AA81" s="255">
        <v>0</v>
      </c>
      <c r="AC81" s="254"/>
    </row>
    <row r="82" spans="1:29" s="61" customFormat="1" ht="24">
      <c r="A82" s="67" t="s">
        <v>10655</v>
      </c>
      <c r="B82" s="65" t="s">
        <v>10656</v>
      </c>
      <c r="C82" s="71" t="s">
        <v>103</v>
      </c>
      <c r="D82" s="78">
        <v>1</v>
      </c>
      <c r="E82" s="79">
        <v>15.6</v>
      </c>
      <c r="F82" s="70">
        <v>15.6</v>
      </c>
      <c r="G82" s="320"/>
      <c r="H82" s="79">
        <v>15.6</v>
      </c>
      <c r="I82" s="79">
        <v>0</v>
      </c>
      <c r="J82" s="79">
        <v>15.6</v>
      </c>
      <c r="K82" s="79">
        <v>0</v>
      </c>
      <c r="L82" s="70">
        <v>15.6</v>
      </c>
      <c r="M82" s="132"/>
      <c r="N82" s="79">
        <v>15.6</v>
      </c>
      <c r="O82" s="79"/>
      <c r="P82" s="79">
        <v>15.6</v>
      </c>
      <c r="Q82" s="136"/>
      <c r="R82" s="79">
        <v>15.6</v>
      </c>
      <c r="S82" s="79"/>
      <c r="T82" s="79">
        <v>15.6</v>
      </c>
      <c r="U82" s="79">
        <v>0</v>
      </c>
      <c r="V82" s="189">
        <v>15.6</v>
      </c>
      <c r="X82" s="79">
        <v>15.6</v>
      </c>
      <c r="Y82" s="79"/>
      <c r="Z82" s="79">
        <v>15.6</v>
      </c>
      <c r="AA82" s="255">
        <v>0</v>
      </c>
      <c r="AC82" s="254"/>
    </row>
    <row r="83" spans="1:29" s="61" customFormat="1" ht="24">
      <c r="A83" s="67" t="s">
        <v>10657</v>
      </c>
      <c r="B83" s="65" t="s">
        <v>10658</v>
      </c>
      <c r="C83" s="71" t="s">
        <v>103</v>
      </c>
      <c r="D83" s="78">
        <v>1</v>
      </c>
      <c r="E83" s="79">
        <v>16.25</v>
      </c>
      <c r="F83" s="70">
        <v>16.25</v>
      </c>
      <c r="G83" s="320"/>
      <c r="H83" s="79">
        <v>16.25</v>
      </c>
      <c r="I83" s="79">
        <v>0</v>
      </c>
      <c r="J83" s="79">
        <v>16.25</v>
      </c>
      <c r="K83" s="79">
        <v>0</v>
      </c>
      <c r="L83" s="70">
        <v>16.25</v>
      </c>
      <c r="M83" s="132"/>
      <c r="N83" s="79">
        <v>16.25</v>
      </c>
      <c r="O83" s="79"/>
      <c r="P83" s="79">
        <v>16.25</v>
      </c>
      <c r="Q83" s="136"/>
      <c r="R83" s="79">
        <v>16.25</v>
      </c>
      <c r="S83" s="79"/>
      <c r="T83" s="79">
        <v>16.25</v>
      </c>
      <c r="U83" s="79">
        <v>0</v>
      </c>
      <c r="V83" s="189">
        <v>16.25</v>
      </c>
      <c r="X83" s="79">
        <v>16.25</v>
      </c>
      <c r="Y83" s="79"/>
      <c r="Z83" s="79">
        <v>16.25</v>
      </c>
      <c r="AA83" s="255">
        <v>0</v>
      </c>
      <c r="AC83" s="254"/>
    </row>
    <row r="84" spans="1:29" s="61" customFormat="1" ht="24">
      <c r="A84" s="67" t="s">
        <v>10659</v>
      </c>
      <c r="B84" s="65" t="s">
        <v>10660</v>
      </c>
      <c r="C84" s="71" t="s">
        <v>103</v>
      </c>
      <c r="D84" s="78">
        <v>1</v>
      </c>
      <c r="E84" s="79">
        <v>20.92</v>
      </c>
      <c r="F84" s="70">
        <v>20.92</v>
      </c>
      <c r="G84" s="320"/>
      <c r="H84" s="79">
        <v>20.92</v>
      </c>
      <c r="I84" s="79">
        <v>0</v>
      </c>
      <c r="J84" s="79">
        <v>20.92</v>
      </c>
      <c r="K84" s="79">
        <v>0</v>
      </c>
      <c r="L84" s="70">
        <v>20.92</v>
      </c>
      <c r="M84" s="132"/>
      <c r="N84" s="79">
        <v>20.92</v>
      </c>
      <c r="O84" s="79"/>
      <c r="P84" s="79">
        <v>20.92</v>
      </c>
      <c r="Q84" s="136"/>
      <c r="R84" s="79">
        <v>20.92</v>
      </c>
      <c r="S84" s="79"/>
      <c r="T84" s="79">
        <v>20.92</v>
      </c>
      <c r="U84" s="79">
        <v>0</v>
      </c>
      <c r="V84" s="189">
        <v>20.92</v>
      </c>
      <c r="X84" s="79">
        <v>20.92</v>
      </c>
      <c r="Y84" s="79"/>
      <c r="Z84" s="79">
        <v>20.92</v>
      </c>
      <c r="AA84" s="255">
        <v>0</v>
      </c>
      <c r="AC84" s="254"/>
    </row>
    <row r="85" spans="1:29" s="61" customFormat="1" ht="24">
      <c r="A85" s="67" t="s">
        <v>10661</v>
      </c>
      <c r="B85" s="65" t="s">
        <v>10662</v>
      </c>
      <c r="C85" s="71" t="s">
        <v>103</v>
      </c>
      <c r="D85" s="78">
        <v>1</v>
      </c>
      <c r="E85" s="79">
        <v>21.79</v>
      </c>
      <c r="F85" s="70">
        <v>21.79</v>
      </c>
      <c r="G85" s="320"/>
      <c r="H85" s="79">
        <v>21.79</v>
      </c>
      <c r="I85" s="79">
        <v>0</v>
      </c>
      <c r="J85" s="79">
        <v>21.79</v>
      </c>
      <c r="K85" s="79">
        <v>0</v>
      </c>
      <c r="L85" s="70">
        <v>21.79</v>
      </c>
      <c r="M85" s="132"/>
      <c r="N85" s="79">
        <v>21.79</v>
      </c>
      <c r="O85" s="79"/>
      <c r="P85" s="79">
        <v>21.79</v>
      </c>
      <c r="Q85" s="136"/>
      <c r="R85" s="79">
        <v>21.79</v>
      </c>
      <c r="S85" s="79"/>
      <c r="T85" s="79">
        <v>21.79</v>
      </c>
      <c r="U85" s="79">
        <v>0</v>
      </c>
      <c r="V85" s="189">
        <v>21.79</v>
      </c>
      <c r="X85" s="79">
        <v>21.79</v>
      </c>
      <c r="Y85" s="79"/>
      <c r="Z85" s="79">
        <v>21.79</v>
      </c>
      <c r="AA85" s="255">
        <v>0</v>
      </c>
      <c r="AC85" s="254"/>
    </row>
    <row r="86" spans="1:29" s="61" customFormat="1" ht="24">
      <c r="A86" s="67" t="s">
        <v>10663</v>
      </c>
      <c r="B86" s="65" t="s">
        <v>10664</v>
      </c>
      <c r="C86" s="71" t="s">
        <v>103</v>
      </c>
      <c r="D86" s="78">
        <v>1</v>
      </c>
      <c r="E86" s="79">
        <v>25.3</v>
      </c>
      <c r="F86" s="70">
        <v>25.3</v>
      </c>
      <c r="G86" s="320"/>
      <c r="H86" s="79">
        <v>25.3</v>
      </c>
      <c r="I86" s="79">
        <v>0</v>
      </c>
      <c r="J86" s="79">
        <v>25.3</v>
      </c>
      <c r="K86" s="79">
        <v>0</v>
      </c>
      <c r="L86" s="70">
        <v>25.3</v>
      </c>
      <c r="M86" s="132"/>
      <c r="N86" s="79">
        <v>25.3</v>
      </c>
      <c r="O86" s="79"/>
      <c r="P86" s="79">
        <v>25.3</v>
      </c>
      <c r="Q86" s="136"/>
      <c r="R86" s="79">
        <v>25.3</v>
      </c>
      <c r="S86" s="79"/>
      <c r="T86" s="79">
        <v>25.3</v>
      </c>
      <c r="U86" s="79">
        <v>0</v>
      </c>
      <c r="V86" s="189">
        <v>25.3</v>
      </c>
      <c r="X86" s="79">
        <v>25.3</v>
      </c>
      <c r="Y86" s="79"/>
      <c r="Z86" s="79">
        <v>25.3</v>
      </c>
      <c r="AA86" s="255">
        <v>0</v>
      </c>
      <c r="AC86" s="254"/>
    </row>
    <row r="87" spans="1:29" s="61" customFormat="1" ht="24">
      <c r="A87" s="67" t="s">
        <v>10665</v>
      </c>
      <c r="B87" s="65" t="s">
        <v>10666</v>
      </c>
      <c r="C87" s="71" t="s">
        <v>103</v>
      </c>
      <c r="D87" s="78">
        <v>1</v>
      </c>
      <c r="E87" s="79">
        <v>27.4</v>
      </c>
      <c r="F87" s="70">
        <v>27.4</v>
      </c>
      <c r="G87" s="320"/>
      <c r="H87" s="79">
        <v>27.4</v>
      </c>
      <c r="I87" s="79">
        <v>0</v>
      </c>
      <c r="J87" s="79">
        <v>27.4</v>
      </c>
      <c r="K87" s="79">
        <v>0</v>
      </c>
      <c r="L87" s="70">
        <v>27.4</v>
      </c>
      <c r="M87" s="132"/>
      <c r="N87" s="79">
        <v>27.4</v>
      </c>
      <c r="O87" s="79"/>
      <c r="P87" s="79">
        <v>27.4</v>
      </c>
      <c r="Q87" s="136"/>
      <c r="R87" s="79">
        <v>27.4</v>
      </c>
      <c r="S87" s="79"/>
      <c r="T87" s="79">
        <v>27.4</v>
      </c>
      <c r="U87" s="79">
        <v>0</v>
      </c>
      <c r="V87" s="189">
        <v>27.4</v>
      </c>
      <c r="X87" s="79">
        <v>27.4</v>
      </c>
      <c r="Y87" s="79"/>
      <c r="Z87" s="79">
        <v>27.4</v>
      </c>
      <c r="AA87" s="255">
        <v>0</v>
      </c>
      <c r="AC87" s="254"/>
    </row>
    <row r="88" spans="1:29" s="61" customFormat="1" ht="24">
      <c r="A88" s="67" t="s">
        <v>10667</v>
      </c>
      <c r="B88" s="65" t="s">
        <v>10668</v>
      </c>
      <c r="C88" s="71" t="s">
        <v>103</v>
      </c>
      <c r="D88" s="78">
        <v>1</v>
      </c>
      <c r="E88" s="79">
        <v>27.21</v>
      </c>
      <c r="F88" s="70">
        <v>27.21</v>
      </c>
      <c r="G88" s="320"/>
      <c r="H88" s="79">
        <v>27.21</v>
      </c>
      <c r="I88" s="79">
        <v>0</v>
      </c>
      <c r="J88" s="79">
        <v>27.21</v>
      </c>
      <c r="K88" s="79">
        <v>0</v>
      </c>
      <c r="L88" s="70">
        <v>27.21</v>
      </c>
      <c r="M88" s="132"/>
      <c r="N88" s="79">
        <v>27.21</v>
      </c>
      <c r="O88" s="79"/>
      <c r="P88" s="79">
        <v>27.21</v>
      </c>
      <c r="Q88" s="136"/>
      <c r="R88" s="79">
        <v>27.21</v>
      </c>
      <c r="S88" s="79"/>
      <c r="T88" s="79">
        <v>27.21</v>
      </c>
      <c r="U88" s="79">
        <v>0</v>
      </c>
      <c r="V88" s="189">
        <v>27.21</v>
      </c>
      <c r="X88" s="79">
        <v>27.21</v>
      </c>
      <c r="Y88" s="79"/>
      <c r="Z88" s="79">
        <v>27.21</v>
      </c>
      <c r="AA88" s="255">
        <v>0</v>
      </c>
      <c r="AC88" s="254"/>
    </row>
    <row r="89" spans="1:29" s="61" customFormat="1" ht="24">
      <c r="A89" s="67" t="s">
        <v>10669</v>
      </c>
      <c r="B89" s="65" t="s">
        <v>10670</v>
      </c>
      <c r="C89" s="71" t="s">
        <v>103</v>
      </c>
      <c r="D89" s="78">
        <v>1</v>
      </c>
      <c r="E89" s="79">
        <v>30.02</v>
      </c>
      <c r="F89" s="70">
        <v>30.02</v>
      </c>
      <c r="G89" s="320"/>
      <c r="H89" s="79">
        <v>30.02</v>
      </c>
      <c r="I89" s="79">
        <v>0</v>
      </c>
      <c r="J89" s="79">
        <v>30.02</v>
      </c>
      <c r="K89" s="79">
        <v>0</v>
      </c>
      <c r="L89" s="70">
        <v>30.02</v>
      </c>
      <c r="M89" s="132"/>
      <c r="N89" s="79">
        <v>30.02</v>
      </c>
      <c r="O89" s="79"/>
      <c r="P89" s="79">
        <v>30.02</v>
      </c>
      <c r="Q89" s="136"/>
      <c r="R89" s="79">
        <v>30.02</v>
      </c>
      <c r="S89" s="79"/>
      <c r="T89" s="79">
        <v>30.02</v>
      </c>
      <c r="U89" s="79">
        <v>0</v>
      </c>
      <c r="V89" s="189">
        <v>30.02</v>
      </c>
      <c r="X89" s="79">
        <v>30.02</v>
      </c>
      <c r="Y89" s="79"/>
      <c r="Z89" s="79">
        <v>30.02</v>
      </c>
      <c r="AA89" s="255">
        <v>0</v>
      </c>
      <c r="AC89" s="254"/>
    </row>
    <row r="90" spans="1:29" s="61" customFormat="1" ht="24">
      <c r="A90" s="67" t="s">
        <v>10671</v>
      </c>
      <c r="B90" s="65" t="s">
        <v>10672</v>
      </c>
      <c r="C90" s="71" t="s">
        <v>103</v>
      </c>
      <c r="D90" s="78">
        <v>1</v>
      </c>
      <c r="E90" s="79">
        <v>31.29</v>
      </c>
      <c r="F90" s="70">
        <v>31.29</v>
      </c>
      <c r="G90" s="320"/>
      <c r="H90" s="79">
        <v>31.29</v>
      </c>
      <c r="I90" s="79">
        <v>0</v>
      </c>
      <c r="J90" s="79">
        <v>31.29</v>
      </c>
      <c r="K90" s="79">
        <v>0</v>
      </c>
      <c r="L90" s="70">
        <v>31.29</v>
      </c>
      <c r="M90" s="132"/>
      <c r="N90" s="79">
        <v>31.29</v>
      </c>
      <c r="O90" s="79"/>
      <c r="P90" s="79">
        <v>31.29</v>
      </c>
      <c r="Q90" s="136"/>
      <c r="R90" s="79">
        <v>31.29</v>
      </c>
      <c r="S90" s="79"/>
      <c r="T90" s="79">
        <v>31.29</v>
      </c>
      <c r="U90" s="79">
        <v>0</v>
      </c>
      <c r="V90" s="189">
        <v>31.29</v>
      </c>
      <c r="X90" s="79">
        <v>31.29</v>
      </c>
      <c r="Y90" s="79"/>
      <c r="Z90" s="79">
        <v>31.29</v>
      </c>
      <c r="AA90" s="255">
        <v>0</v>
      </c>
      <c r="AC90" s="254"/>
    </row>
    <row r="91" spans="1:29" s="61" customFormat="1" ht="24">
      <c r="A91" s="67" t="s">
        <v>10673</v>
      </c>
      <c r="B91" s="65" t="s">
        <v>10674</v>
      </c>
      <c r="C91" s="71" t="s">
        <v>103</v>
      </c>
      <c r="D91" s="78">
        <v>1</v>
      </c>
      <c r="E91" s="79">
        <v>36.53</v>
      </c>
      <c r="F91" s="70">
        <v>36.53</v>
      </c>
      <c r="G91" s="320"/>
      <c r="H91" s="79">
        <v>36.53</v>
      </c>
      <c r="I91" s="79">
        <v>0</v>
      </c>
      <c r="J91" s="79">
        <v>36.53</v>
      </c>
      <c r="K91" s="79">
        <v>0</v>
      </c>
      <c r="L91" s="70">
        <v>36.53</v>
      </c>
      <c r="M91" s="132"/>
      <c r="N91" s="79">
        <v>36.53</v>
      </c>
      <c r="O91" s="79"/>
      <c r="P91" s="79">
        <v>36.53</v>
      </c>
      <c r="Q91" s="136"/>
      <c r="R91" s="79">
        <v>36.53</v>
      </c>
      <c r="S91" s="79"/>
      <c r="T91" s="79">
        <v>36.53</v>
      </c>
      <c r="U91" s="79">
        <v>0</v>
      </c>
      <c r="V91" s="189">
        <v>36.53</v>
      </c>
      <c r="X91" s="79">
        <v>36.53</v>
      </c>
      <c r="Y91" s="79"/>
      <c r="Z91" s="79">
        <v>36.53</v>
      </c>
      <c r="AA91" s="255">
        <v>0</v>
      </c>
      <c r="AC91" s="254"/>
    </row>
    <row r="92" spans="1:29" s="61" customFormat="1" ht="12">
      <c r="A92" s="67" t="s">
        <v>10675</v>
      </c>
      <c r="B92" s="65" t="s">
        <v>10676</v>
      </c>
      <c r="C92" s="71" t="s">
        <v>165</v>
      </c>
      <c r="D92" s="78">
        <v>1</v>
      </c>
      <c r="E92" s="79">
        <v>270.37</v>
      </c>
      <c r="F92" s="70">
        <v>270.37</v>
      </c>
      <c r="G92" s="320"/>
      <c r="H92" s="79">
        <v>270.37</v>
      </c>
      <c r="I92" s="79">
        <v>0</v>
      </c>
      <c r="J92" s="79">
        <v>270.37</v>
      </c>
      <c r="K92" s="79">
        <v>0</v>
      </c>
      <c r="L92" s="70">
        <v>270.37</v>
      </c>
      <c r="M92" s="132"/>
      <c r="N92" s="79">
        <v>270.37</v>
      </c>
      <c r="O92" s="79"/>
      <c r="P92" s="79">
        <v>270.37</v>
      </c>
      <c r="Q92" s="136"/>
      <c r="R92" s="79">
        <v>270.37</v>
      </c>
      <c r="S92" s="79"/>
      <c r="T92" s="79">
        <v>270.37</v>
      </c>
      <c r="U92" s="79">
        <v>0</v>
      </c>
      <c r="V92" s="189">
        <v>270.37</v>
      </c>
      <c r="X92" s="79">
        <v>270.37</v>
      </c>
      <c r="Y92" s="79"/>
      <c r="Z92" s="79">
        <v>270.37</v>
      </c>
      <c r="AA92" s="255">
        <v>0</v>
      </c>
      <c r="AC92" s="254"/>
    </row>
    <row r="93" spans="1:29" s="69" customFormat="1" ht="12">
      <c r="A93" s="67" t="s">
        <v>10677</v>
      </c>
      <c r="B93" s="65" t="s">
        <v>10678</v>
      </c>
      <c r="C93" s="71" t="s">
        <v>165</v>
      </c>
      <c r="D93" s="78">
        <v>1</v>
      </c>
      <c r="E93" s="79">
        <v>401.51</v>
      </c>
      <c r="F93" s="70">
        <v>401.51</v>
      </c>
      <c r="G93" s="320"/>
      <c r="H93" s="79">
        <v>401.51</v>
      </c>
      <c r="I93" s="79">
        <v>0</v>
      </c>
      <c r="J93" s="79">
        <v>401.51</v>
      </c>
      <c r="K93" s="79">
        <v>0</v>
      </c>
      <c r="L93" s="70">
        <v>401.51</v>
      </c>
      <c r="M93" s="132"/>
      <c r="N93" s="79">
        <v>401.51</v>
      </c>
      <c r="O93" s="79"/>
      <c r="P93" s="79">
        <v>401.51</v>
      </c>
      <c r="Q93" s="136"/>
      <c r="R93" s="79">
        <v>401.51</v>
      </c>
      <c r="S93" s="79"/>
      <c r="T93" s="79">
        <v>401.51</v>
      </c>
      <c r="U93" s="79">
        <v>0</v>
      </c>
      <c r="V93" s="189">
        <v>401.51</v>
      </c>
      <c r="W93" s="61"/>
      <c r="X93" s="79">
        <v>401.51</v>
      </c>
      <c r="Y93" s="79"/>
      <c r="Z93" s="79">
        <v>401.51</v>
      </c>
      <c r="AA93" s="255">
        <v>0</v>
      </c>
      <c r="AB93" s="61"/>
      <c r="AC93" s="254"/>
    </row>
    <row r="94" spans="1:29" s="61" customFormat="1" ht="12">
      <c r="A94" s="67" t="s">
        <v>10679</v>
      </c>
      <c r="B94" s="65" t="s">
        <v>10680</v>
      </c>
      <c r="C94" s="71" t="s">
        <v>165</v>
      </c>
      <c r="D94" s="78">
        <v>1</v>
      </c>
      <c r="E94" s="79">
        <v>411.94</v>
      </c>
      <c r="F94" s="70">
        <v>411.94</v>
      </c>
      <c r="G94" s="320"/>
      <c r="H94" s="79">
        <v>411.94</v>
      </c>
      <c r="I94" s="79">
        <v>0</v>
      </c>
      <c r="J94" s="79">
        <v>411.94</v>
      </c>
      <c r="K94" s="79">
        <v>0</v>
      </c>
      <c r="L94" s="70">
        <v>411.94</v>
      </c>
      <c r="M94" s="132"/>
      <c r="N94" s="79">
        <v>411.94</v>
      </c>
      <c r="O94" s="79"/>
      <c r="P94" s="79">
        <v>411.94</v>
      </c>
      <c r="Q94" s="136"/>
      <c r="R94" s="79">
        <v>411.94</v>
      </c>
      <c r="S94" s="79"/>
      <c r="T94" s="79">
        <v>411.94</v>
      </c>
      <c r="U94" s="79">
        <v>0</v>
      </c>
      <c r="V94" s="189">
        <v>411.94</v>
      </c>
      <c r="X94" s="79">
        <v>411.94</v>
      </c>
      <c r="Y94" s="79"/>
      <c r="Z94" s="79">
        <v>411.94</v>
      </c>
      <c r="AA94" s="255">
        <v>0</v>
      </c>
      <c r="AC94" s="254"/>
    </row>
    <row r="95" spans="1:29" s="69" customFormat="1" ht="12">
      <c r="A95" s="67" t="s">
        <v>10681</v>
      </c>
      <c r="B95" s="65" t="s">
        <v>10682</v>
      </c>
      <c r="C95" s="71" t="s">
        <v>165</v>
      </c>
      <c r="D95" s="78">
        <v>1</v>
      </c>
      <c r="E95" s="79">
        <v>431.64</v>
      </c>
      <c r="F95" s="70">
        <v>431.64</v>
      </c>
      <c r="G95" s="320"/>
      <c r="H95" s="79">
        <v>431.64</v>
      </c>
      <c r="I95" s="79">
        <v>0</v>
      </c>
      <c r="J95" s="79">
        <v>431.64</v>
      </c>
      <c r="K95" s="79">
        <v>0</v>
      </c>
      <c r="L95" s="70">
        <v>431.64</v>
      </c>
      <c r="M95" s="132"/>
      <c r="N95" s="79">
        <v>431.64</v>
      </c>
      <c r="O95" s="79"/>
      <c r="P95" s="79">
        <v>431.64</v>
      </c>
      <c r="Q95" s="136"/>
      <c r="R95" s="79">
        <v>431.64</v>
      </c>
      <c r="S95" s="79"/>
      <c r="T95" s="79">
        <v>431.64</v>
      </c>
      <c r="U95" s="79">
        <v>0</v>
      </c>
      <c r="V95" s="189">
        <v>431.64</v>
      </c>
      <c r="W95" s="61"/>
      <c r="X95" s="79">
        <v>431.64</v>
      </c>
      <c r="Y95" s="79"/>
      <c r="Z95" s="79">
        <v>431.64</v>
      </c>
      <c r="AA95" s="255">
        <v>0</v>
      </c>
      <c r="AB95" s="61"/>
      <c r="AC95" s="254"/>
    </row>
    <row r="96" spans="1:29" ht="12">
      <c r="A96" s="67" t="s">
        <v>10683</v>
      </c>
      <c r="B96" s="65" t="s">
        <v>10684</v>
      </c>
      <c r="C96" s="71" t="s">
        <v>165</v>
      </c>
      <c r="D96" s="78">
        <v>1</v>
      </c>
      <c r="E96" s="79">
        <v>452.54</v>
      </c>
      <c r="F96" s="70">
        <v>452.54</v>
      </c>
      <c r="G96" s="320"/>
      <c r="H96" s="79">
        <v>452.54</v>
      </c>
      <c r="I96" s="79">
        <v>0</v>
      </c>
      <c r="J96" s="79">
        <v>452.54</v>
      </c>
      <c r="K96" s="79">
        <v>0</v>
      </c>
      <c r="L96" s="70">
        <v>452.54</v>
      </c>
      <c r="M96" s="132"/>
      <c r="N96" s="79">
        <v>452.54</v>
      </c>
      <c r="O96" s="79"/>
      <c r="P96" s="79">
        <v>452.54</v>
      </c>
      <c r="Q96" s="136"/>
      <c r="R96" s="79">
        <v>452.54</v>
      </c>
      <c r="S96" s="79"/>
      <c r="T96" s="79">
        <v>452.54</v>
      </c>
      <c r="U96" s="79">
        <v>0</v>
      </c>
      <c r="V96" s="189">
        <v>452.54</v>
      </c>
      <c r="X96" s="79">
        <v>452.54</v>
      </c>
      <c r="Y96" s="79"/>
      <c r="Z96" s="79">
        <v>452.54</v>
      </c>
      <c r="AA96" s="255">
        <v>0</v>
      </c>
      <c r="AC96" s="254"/>
    </row>
    <row r="97" spans="1:29" s="69" customFormat="1" ht="12">
      <c r="A97" s="67" t="s">
        <v>10685</v>
      </c>
      <c r="B97" s="65" t="s">
        <v>10686</v>
      </c>
      <c r="C97" s="71" t="s">
        <v>165</v>
      </c>
      <c r="D97" s="78">
        <v>1</v>
      </c>
      <c r="E97" s="79">
        <v>579.04999999999995</v>
      </c>
      <c r="F97" s="70">
        <v>579.04999999999995</v>
      </c>
      <c r="G97" s="320"/>
      <c r="H97" s="79">
        <v>579.04999999999995</v>
      </c>
      <c r="I97" s="79">
        <v>0</v>
      </c>
      <c r="J97" s="79">
        <v>579.04999999999995</v>
      </c>
      <c r="K97" s="79">
        <v>0</v>
      </c>
      <c r="L97" s="70">
        <v>579.04999999999995</v>
      </c>
      <c r="M97" s="132"/>
      <c r="N97" s="79">
        <v>579.04999999999995</v>
      </c>
      <c r="O97" s="79"/>
      <c r="P97" s="79">
        <v>579.04999999999995</v>
      </c>
      <c r="Q97" s="136"/>
      <c r="R97" s="79">
        <v>579.04999999999995</v>
      </c>
      <c r="S97" s="79"/>
      <c r="T97" s="79">
        <v>579.04999999999995</v>
      </c>
      <c r="U97" s="79">
        <v>0</v>
      </c>
      <c r="V97" s="189">
        <v>579.04999999999995</v>
      </c>
      <c r="W97" s="61"/>
      <c r="X97" s="79">
        <v>579.04999999999995</v>
      </c>
      <c r="Y97" s="79"/>
      <c r="Z97" s="79">
        <v>579.04999999999995</v>
      </c>
      <c r="AA97" s="255">
        <v>0</v>
      </c>
      <c r="AB97" s="61"/>
      <c r="AC97" s="254"/>
    </row>
    <row r="98" spans="1:29" ht="12">
      <c r="A98" s="67" t="s">
        <v>10687</v>
      </c>
      <c r="B98" s="65" t="s">
        <v>10688</v>
      </c>
      <c r="C98" s="71" t="s">
        <v>165</v>
      </c>
      <c r="D98" s="78">
        <v>1</v>
      </c>
      <c r="E98" s="79">
        <v>232.22</v>
      </c>
      <c r="F98" s="70">
        <v>232.22</v>
      </c>
      <c r="G98" s="320"/>
      <c r="H98" s="79">
        <v>232.22</v>
      </c>
      <c r="I98" s="79">
        <v>0</v>
      </c>
      <c r="J98" s="79">
        <v>232.22</v>
      </c>
      <c r="K98" s="79">
        <v>0</v>
      </c>
      <c r="L98" s="70">
        <v>232.22</v>
      </c>
      <c r="M98" s="132"/>
      <c r="N98" s="79">
        <v>232.22</v>
      </c>
      <c r="O98" s="79"/>
      <c r="P98" s="79">
        <v>232.22</v>
      </c>
      <c r="Q98" s="136"/>
      <c r="R98" s="79">
        <v>232.22</v>
      </c>
      <c r="S98" s="79"/>
      <c r="T98" s="79">
        <v>232.22</v>
      </c>
      <c r="U98" s="79">
        <v>0</v>
      </c>
      <c r="V98" s="189">
        <v>232.22</v>
      </c>
      <c r="X98" s="79">
        <v>232.22</v>
      </c>
      <c r="Y98" s="79"/>
      <c r="Z98" s="79">
        <v>232.22</v>
      </c>
      <c r="AA98" s="255">
        <v>0</v>
      </c>
      <c r="AC98" s="254"/>
    </row>
    <row r="99" spans="1:29" ht="12">
      <c r="A99" s="67" t="s">
        <v>10689</v>
      </c>
      <c r="B99" s="65" t="s">
        <v>10690</v>
      </c>
      <c r="C99" s="71" t="s">
        <v>108</v>
      </c>
      <c r="D99" s="78">
        <v>1</v>
      </c>
      <c r="E99" s="79">
        <v>6295.67</v>
      </c>
      <c r="F99" s="70">
        <v>6295.67</v>
      </c>
      <c r="G99" s="320"/>
      <c r="H99" s="79">
        <v>1673.44</v>
      </c>
      <c r="I99" s="79">
        <v>4622.2300000000005</v>
      </c>
      <c r="J99" s="79">
        <v>6295.67</v>
      </c>
      <c r="K99" s="79">
        <v>0</v>
      </c>
      <c r="L99" s="70">
        <v>6295.67</v>
      </c>
      <c r="M99" s="132"/>
      <c r="N99" s="79">
        <v>1673.44</v>
      </c>
      <c r="O99" s="79">
        <v>4622.2300000000005</v>
      </c>
      <c r="P99" s="79">
        <v>6295.67</v>
      </c>
      <c r="Q99" s="136"/>
      <c r="R99" s="79">
        <v>1673.44</v>
      </c>
      <c r="S99" s="79">
        <v>4622.41</v>
      </c>
      <c r="T99" s="79">
        <v>6295.85</v>
      </c>
      <c r="U99" s="79">
        <v>0</v>
      </c>
      <c r="V99" s="189">
        <v>6295.85</v>
      </c>
      <c r="X99" s="79">
        <v>1673.44</v>
      </c>
      <c r="Y99" s="79">
        <v>4622.41</v>
      </c>
      <c r="Z99" s="79">
        <v>6295.85</v>
      </c>
      <c r="AA99" s="255">
        <v>-0.18000000000029104</v>
      </c>
      <c r="AC99" s="254"/>
    </row>
    <row r="100" spans="1:29" ht="24">
      <c r="A100" s="67" t="s">
        <v>10691</v>
      </c>
      <c r="B100" s="65" t="s">
        <v>10692</v>
      </c>
      <c r="C100" s="71" t="s">
        <v>509</v>
      </c>
      <c r="D100" s="78">
        <v>1</v>
      </c>
      <c r="E100" s="79">
        <v>56.899999999999991</v>
      </c>
      <c r="F100" s="70">
        <v>56.9</v>
      </c>
      <c r="G100" s="320"/>
      <c r="H100" s="79">
        <v>7.6899999999999995</v>
      </c>
      <c r="I100" s="79">
        <v>49.209999999999994</v>
      </c>
      <c r="J100" s="79">
        <v>56.899999999999991</v>
      </c>
      <c r="K100" s="79">
        <v>0</v>
      </c>
      <c r="L100" s="70">
        <v>56.899999999999991</v>
      </c>
      <c r="M100" s="132"/>
      <c r="N100" s="79">
        <v>7.6899999999999995</v>
      </c>
      <c r="O100" s="79">
        <v>49.209999999999994</v>
      </c>
      <c r="P100" s="79">
        <v>56.899999999999991</v>
      </c>
      <c r="Q100" s="136"/>
      <c r="R100" s="79">
        <v>7.69</v>
      </c>
      <c r="S100" s="79">
        <v>49.21</v>
      </c>
      <c r="T100" s="79">
        <v>56.9</v>
      </c>
      <c r="U100" s="79">
        <v>0</v>
      </c>
      <c r="V100" s="189">
        <v>56.9</v>
      </c>
      <c r="X100" s="79">
        <v>7.69</v>
      </c>
      <c r="Y100" s="79">
        <v>49.21</v>
      </c>
      <c r="Z100" s="79">
        <v>56.9</v>
      </c>
      <c r="AA100" s="255">
        <v>0</v>
      </c>
      <c r="AC100" s="254"/>
    </row>
    <row r="101" spans="1:29" ht="12">
      <c r="A101" s="67" t="s">
        <v>10693</v>
      </c>
      <c r="B101" s="65" t="s">
        <v>10694</v>
      </c>
      <c r="C101" s="71" t="s">
        <v>509</v>
      </c>
      <c r="D101" s="78">
        <v>1</v>
      </c>
      <c r="E101" s="79">
        <v>513.13</v>
      </c>
      <c r="F101" s="70">
        <v>513.13</v>
      </c>
      <c r="G101" s="320"/>
      <c r="H101" s="79">
        <v>162.96</v>
      </c>
      <c r="I101" s="79">
        <v>350.17</v>
      </c>
      <c r="J101" s="79">
        <v>513.13</v>
      </c>
      <c r="K101" s="79">
        <v>0</v>
      </c>
      <c r="L101" s="70">
        <v>513.13</v>
      </c>
      <c r="M101" s="132"/>
      <c r="N101" s="79">
        <v>162.96</v>
      </c>
      <c r="O101" s="79">
        <v>350.17</v>
      </c>
      <c r="P101" s="79">
        <v>513.13</v>
      </c>
      <c r="Q101" s="136"/>
      <c r="R101" s="79">
        <v>162.96</v>
      </c>
      <c r="S101" s="79">
        <v>350.18</v>
      </c>
      <c r="T101" s="79">
        <v>513.14</v>
      </c>
      <c r="U101" s="79">
        <v>0</v>
      </c>
      <c r="V101" s="189">
        <v>513.14</v>
      </c>
      <c r="X101" s="79">
        <v>162.96</v>
      </c>
      <c r="Y101" s="79">
        <v>350.18</v>
      </c>
      <c r="Z101" s="79">
        <v>513.14</v>
      </c>
      <c r="AA101" s="255">
        <v>-9.9999999999909051E-3</v>
      </c>
      <c r="AC101" s="254"/>
    </row>
    <row r="102" spans="1:29" ht="12">
      <c r="A102" s="489" t="s">
        <v>10695</v>
      </c>
      <c r="B102" s="490" t="s">
        <v>10696</v>
      </c>
      <c r="C102" s="491"/>
      <c r="D102" s="78"/>
      <c r="E102" s="79"/>
      <c r="F102" s="70"/>
      <c r="G102" s="320"/>
      <c r="H102" s="79"/>
      <c r="I102" s="79"/>
      <c r="J102" s="79"/>
      <c r="K102" s="79"/>
      <c r="L102" s="70"/>
      <c r="M102" s="132"/>
      <c r="N102" s="79"/>
      <c r="O102" s="79"/>
      <c r="P102" s="79"/>
      <c r="Q102" s="136"/>
      <c r="R102" s="79"/>
      <c r="S102" s="79"/>
      <c r="T102" s="79"/>
      <c r="U102" s="79"/>
      <c r="V102" s="189"/>
      <c r="X102" s="79"/>
      <c r="Y102" s="79"/>
      <c r="Z102" s="79"/>
      <c r="AA102" s="255"/>
      <c r="AC102" s="254"/>
    </row>
    <row r="103" spans="1:29" ht="12">
      <c r="A103" s="67" t="s">
        <v>10697</v>
      </c>
      <c r="B103" s="65" t="s">
        <v>10698</v>
      </c>
      <c r="C103" s="71" t="s">
        <v>103</v>
      </c>
      <c r="D103" s="78">
        <v>1</v>
      </c>
      <c r="E103" s="79">
        <v>10412.220000000001</v>
      </c>
      <c r="F103" s="70">
        <v>10412.219999999999</v>
      </c>
      <c r="G103" s="320"/>
      <c r="H103" s="79">
        <v>198.7</v>
      </c>
      <c r="I103" s="79">
        <v>10213.52</v>
      </c>
      <c r="J103" s="79">
        <v>10412.220000000001</v>
      </c>
      <c r="K103" s="79">
        <v>0</v>
      </c>
      <c r="L103" s="70">
        <v>10412.220000000001</v>
      </c>
      <c r="M103" s="132"/>
      <c r="N103" s="79">
        <v>198.7</v>
      </c>
      <c r="O103" s="79">
        <v>10213.52</v>
      </c>
      <c r="P103" s="79">
        <v>10412.220000000001</v>
      </c>
      <c r="Q103" s="136"/>
      <c r="R103" s="79">
        <v>198.7</v>
      </c>
      <c r="S103" s="79">
        <v>10213.450000000001</v>
      </c>
      <c r="T103" s="79">
        <v>10412.150000000001</v>
      </c>
      <c r="U103" s="79">
        <v>0</v>
      </c>
      <c r="V103" s="189">
        <v>10412.150000000001</v>
      </c>
      <c r="X103" s="79">
        <v>198.7</v>
      </c>
      <c r="Y103" s="79">
        <v>10213.450000000001</v>
      </c>
      <c r="Z103" s="79">
        <v>10412.15</v>
      </c>
      <c r="AA103" s="255">
        <v>6.9999999999708962E-2</v>
      </c>
      <c r="AC103" s="254"/>
    </row>
    <row r="104" spans="1:29" ht="12">
      <c r="A104" s="67" t="s">
        <v>10699</v>
      </c>
      <c r="B104" s="65" t="s">
        <v>10700</v>
      </c>
      <c r="C104" s="71" t="s">
        <v>103</v>
      </c>
      <c r="D104" s="78">
        <v>1</v>
      </c>
      <c r="E104" s="79">
        <v>13879.79</v>
      </c>
      <c r="F104" s="70">
        <v>13879.79</v>
      </c>
      <c r="G104" s="320"/>
      <c r="H104" s="79">
        <v>198.7</v>
      </c>
      <c r="I104" s="79">
        <v>13681.09</v>
      </c>
      <c r="J104" s="79">
        <v>13879.79</v>
      </c>
      <c r="K104" s="79">
        <v>0</v>
      </c>
      <c r="L104" s="70">
        <v>13879.79</v>
      </c>
      <c r="M104" s="132"/>
      <c r="N104" s="79">
        <v>198.7</v>
      </c>
      <c r="O104" s="79">
        <v>13681.09</v>
      </c>
      <c r="P104" s="79">
        <v>13879.79</v>
      </c>
      <c r="Q104" s="136"/>
      <c r="R104" s="79">
        <v>198.7</v>
      </c>
      <c r="S104" s="79">
        <v>13680.99</v>
      </c>
      <c r="T104" s="79">
        <v>13879.69</v>
      </c>
      <c r="U104" s="79">
        <v>0</v>
      </c>
      <c r="V104" s="189">
        <v>13879.69</v>
      </c>
      <c r="X104" s="79">
        <v>198.7</v>
      </c>
      <c r="Y104" s="79">
        <v>13680.99</v>
      </c>
      <c r="Z104" s="79">
        <v>13879.69</v>
      </c>
      <c r="AA104" s="255">
        <v>0.1000000000003638</v>
      </c>
      <c r="AC104" s="254"/>
    </row>
    <row r="105" spans="1:29" ht="12">
      <c r="A105" s="67" t="s">
        <v>10701</v>
      </c>
      <c r="B105" s="65" t="s">
        <v>10702</v>
      </c>
      <c r="C105" s="71" t="s">
        <v>103</v>
      </c>
      <c r="D105" s="78">
        <v>1</v>
      </c>
      <c r="E105" s="79">
        <v>12304.36</v>
      </c>
      <c r="F105" s="70">
        <v>12304.36</v>
      </c>
      <c r="G105" s="320"/>
      <c r="H105" s="79">
        <v>198.7</v>
      </c>
      <c r="I105" s="79">
        <v>12105.66</v>
      </c>
      <c r="J105" s="79">
        <v>12304.36</v>
      </c>
      <c r="K105" s="79">
        <v>0</v>
      </c>
      <c r="L105" s="70">
        <v>12304.36</v>
      </c>
      <c r="M105" s="132"/>
      <c r="N105" s="79">
        <v>198.7</v>
      </c>
      <c r="O105" s="79">
        <v>12105.66</v>
      </c>
      <c r="P105" s="79">
        <v>12304.36</v>
      </c>
      <c r="Q105" s="136"/>
      <c r="R105" s="79">
        <v>198.7</v>
      </c>
      <c r="S105" s="79">
        <v>12105.6</v>
      </c>
      <c r="T105" s="79">
        <v>12304.300000000001</v>
      </c>
      <c r="U105" s="79">
        <v>0</v>
      </c>
      <c r="V105" s="189">
        <v>12304.300000000001</v>
      </c>
      <c r="X105" s="79">
        <v>198.7</v>
      </c>
      <c r="Y105" s="79">
        <v>12105.6</v>
      </c>
      <c r="Z105" s="79">
        <v>12304.3</v>
      </c>
      <c r="AA105" s="255">
        <v>6.0000000001309672E-2</v>
      </c>
      <c r="AC105" s="254"/>
    </row>
    <row r="106" spans="1:29" ht="12">
      <c r="A106" s="67" t="s">
        <v>10703</v>
      </c>
      <c r="B106" s="65" t="s">
        <v>10704</v>
      </c>
      <c r="C106" s="71" t="s">
        <v>103</v>
      </c>
      <c r="D106" s="78">
        <v>1</v>
      </c>
      <c r="E106" s="79">
        <v>28765.69</v>
      </c>
      <c r="F106" s="70">
        <v>28765.69</v>
      </c>
      <c r="G106" s="320"/>
      <c r="H106" s="79">
        <v>574.95000000000005</v>
      </c>
      <c r="I106" s="79">
        <v>28190.739999999998</v>
      </c>
      <c r="J106" s="79">
        <v>28765.69</v>
      </c>
      <c r="K106" s="79">
        <v>0</v>
      </c>
      <c r="L106" s="70">
        <v>28765.69</v>
      </c>
      <c r="M106" s="132"/>
      <c r="N106" s="79">
        <v>574.95000000000005</v>
      </c>
      <c r="O106" s="79">
        <v>28190.739999999998</v>
      </c>
      <c r="P106" s="79">
        <v>28765.69</v>
      </c>
      <c r="Q106" s="136"/>
      <c r="R106" s="79">
        <v>574.95000000000005</v>
      </c>
      <c r="S106" s="79">
        <v>28190.53</v>
      </c>
      <c r="T106" s="79">
        <v>28765.48</v>
      </c>
      <c r="U106" s="79">
        <v>0</v>
      </c>
      <c r="V106" s="189">
        <v>28765.48</v>
      </c>
      <c r="X106" s="79">
        <v>574.95000000000005</v>
      </c>
      <c r="Y106" s="79">
        <v>28190.53</v>
      </c>
      <c r="Z106" s="79">
        <v>28765.48</v>
      </c>
      <c r="AA106" s="255">
        <v>0.20999999999912689</v>
      </c>
      <c r="AC106" s="254"/>
    </row>
    <row r="107" spans="1:29" ht="12">
      <c r="A107" s="67" t="s">
        <v>10705</v>
      </c>
      <c r="B107" s="65" t="s">
        <v>10706</v>
      </c>
      <c r="C107" s="71" t="s">
        <v>103</v>
      </c>
      <c r="D107" s="78">
        <v>1</v>
      </c>
      <c r="E107" s="79">
        <v>43833</v>
      </c>
      <c r="F107" s="70">
        <v>43833</v>
      </c>
      <c r="G107" s="320"/>
      <c r="H107" s="79">
        <v>574.95000000000005</v>
      </c>
      <c r="I107" s="79">
        <v>43258.05</v>
      </c>
      <c r="J107" s="79">
        <v>43833</v>
      </c>
      <c r="K107" s="79">
        <v>0</v>
      </c>
      <c r="L107" s="70">
        <v>43833</v>
      </c>
      <c r="M107" s="132"/>
      <c r="N107" s="79">
        <v>574.95000000000005</v>
      </c>
      <c r="O107" s="79">
        <v>43258.05</v>
      </c>
      <c r="P107" s="79">
        <v>43833</v>
      </c>
      <c r="Q107" s="136"/>
      <c r="R107" s="79">
        <v>574.95000000000005</v>
      </c>
      <c r="S107" s="79">
        <v>43257.71</v>
      </c>
      <c r="T107" s="79">
        <v>43832.659999999996</v>
      </c>
      <c r="U107" s="79">
        <v>0</v>
      </c>
      <c r="V107" s="189">
        <v>43832.659999999996</v>
      </c>
      <c r="X107" s="79">
        <v>574.95000000000005</v>
      </c>
      <c r="Y107" s="79">
        <v>43257.71</v>
      </c>
      <c r="Z107" s="79">
        <v>43832.66</v>
      </c>
      <c r="AA107" s="255">
        <v>0.33999999999650754</v>
      </c>
      <c r="AC107" s="254"/>
    </row>
    <row r="108" spans="1:29" ht="12">
      <c r="A108" s="67" t="s">
        <v>10707</v>
      </c>
      <c r="B108" s="65" t="s">
        <v>10708</v>
      </c>
      <c r="C108" s="71" t="s">
        <v>103</v>
      </c>
      <c r="D108" s="78">
        <v>1</v>
      </c>
      <c r="E108" s="79">
        <v>17723.63</v>
      </c>
      <c r="F108" s="70">
        <v>17723.63</v>
      </c>
      <c r="G108" s="320"/>
      <c r="H108" s="79">
        <v>574.95000000000005</v>
      </c>
      <c r="I108" s="79">
        <v>17148.68</v>
      </c>
      <c r="J108" s="79">
        <v>17723.63</v>
      </c>
      <c r="K108" s="79">
        <v>0</v>
      </c>
      <c r="L108" s="70">
        <v>17723.63</v>
      </c>
      <c r="M108" s="132"/>
      <c r="N108" s="79">
        <v>574.95000000000005</v>
      </c>
      <c r="O108" s="79">
        <v>17148.68</v>
      </c>
      <c r="P108" s="79">
        <v>17723.63</v>
      </c>
      <c r="Q108" s="136"/>
      <c r="R108" s="79">
        <v>574.95000000000005</v>
      </c>
      <c r="S108" s="79">
        <v>17148.560000000001</v>
      </c>
      <c r="T108" s="79">
        <v>17723.510000000002</v>
      </c>
      <c r="U108" s="79">
        <v>0</v>
      </c>
      <c r="V108" s="189">
        <v>17723.510000000002</v>
      </c>
      <c r="X108" s="79">
        <v>574.95000000000005</v>
      </c>
      <c r="Y108" s="79">
        <v>17148.560000000001</v>
      </c>
      <c r="Z108" s="79">
        <v>17723.509999999998</v>
      </c>
      <c r="AA108" s="255">
        <v>0.12000000000261934</v>
      </c>
      <c r="AC108" s="254"/>
    </row>
    <row r="109" spans="1:29" ht="12">
      <c r="A109" s="67" t="s">
        <v>10709</v>
      </c>
      <c r="B109" s="65" t="s">
        <v>10710</v>
      </c>
      <c r="C109" s="71" t="s">
        <v>103</v>
      </c>
      <c r="D109" s="78">
        <v>1</v>
      </c>
      <c r="E109" s="79">
        <v>21049.850000000002</v>
      </c>
      <c r="F109" s="70">
        <v>21049.85</v>
      </c>
      <c r="G109" s="320"/>
      <c r="H109" s="79">
        <v>467.45</v>
      </c>
      <c r="I109" s="79">
        <v>20582.400000000001</v>
      </c>
      <c r="J109" s="79">
        <v>21049.850000000002</v>
      </c>
      <c r="K109" s="79">
        <v>0</v>
      </c>
      <c r="L109" s="70">
        <v>21049.850000000002</v>
      </c>
      <c r="M109" s="132"/>
      <c r="N109" s="79">
        <v>467.45</v>
      </c>
      <c r="O109" s="79">
        <v>20582.400000000001</v>
      </c>
      <c r="P109" s="79">
        <v>21049.850000000002</v>
      </c>
      <c r="Q109" s="136"/>
      <c r="R109" s="79">
        <v>467.45</v>
      </c>
      <c r="S109" s="79">
        <v>20582.259999999998</v>
      </c>
      <c r="T109" s="79">
        <v>21049.71</v>
      </c>
      <c r="U109" s="79">
        <v>0</v>
      </c>
      <c r="V109" s="189">
        <v>21049.71</v>
      </c>
      <c r="X109" s="79">
        <v>467.45</v>
      </c>
      <c r="Y109" s="79">
        <v>20582.259999999998</v>
      </c>
      <c r="Z109" s="79">
        <v>21049.71</v>
      </c>
      <c r="AA109" s="255">
        <v>0.13999999999941792</v>
      </c>
      <c r="AC109" s="254"/>
    </row>
    <row r="110" spans="1:29" ht="12">
      <c r="A110" s="67" t="s">
        <v>10711</v>
      </c>
      <c r="B110" s="65" t="s">
        <v>10712</v>
      </c>
      <c r="C110" s="71" t="s">
        <v>103</v>
      </c>
      <c r="D110" s="78">
        <v>1</v>
      </c>
      <c r="E110" s="79">
        <v>33622.049999999996</v>
      </c>
      <c r="F110" s="70">
        <v>33622.050000000003</v>
      </c>
      <c r="G110" s="320"/>
      <c r="H110" s="79">
        <v>284.7</v>
      </c>
      <c r="I110" s="79">
        <v>33337.35</v>
      </c>
      <c r="J110" s="79">
        <v>33622.049999999996</v>
      </c>
      <c r="K110" s="79">
        <v>0</v>
      </c>
      <c r="L110" s="70">
        <v>33622.049999999996</v>
      </c>
      <c r="M110" s="132"/>
      <c r="N110" s="79">
        <v>284.7</v>
      </c>
      <c r="O110" s="79">
        <v>33337.35</v>
      </c>
      <c r="P110" s="79">
        <v>33622.049999999996</v>
      </c>
      <c r="Q110" s="136"/>
      <c r="R110" s="79">
        <v>284.7</v>
      </c>
      <c r="S110" s="79">
        <v>33337.129999999997</v>
      </c>
      <c r="T110" s="79">
        <v>33621.829999999994</v>
      </c>
      <c r="U110" s="79">
        <v>0</v>
      </c>
      <c r="V110" s="189">
        <v>33621.829999999994</v>
      </c>
      <c r="X110" s="79">
        <v>284.7</v>
      </c>
      <c r="Y110" s="79">
        <v>33337.129999999997</v>
      </c>
      <c r="Z110" s="79">
        <v>33621.83</v>
      </c>
      <c r="AA110" s="255">
        <v>0.22000000000116415</v>
      </c>
      <c r="AC110" s="254"/>
    </row>
    <row r="111" spans="1:29" s="61" customFormat="1" ht="12">
      <c r="A111" s="489" t="s">
        <v>10713</v>
      </c>
      <c r="B111" s="490" t="s">
        <v>10714</v>
      </c>
      <c r="C111" s="491"/>
      <c r="D111" s="78"/>
      <c r="E111" s="79"/>
      <c r="F111" s="70"/>
      <c r="G111" s="320"/>
      <c r="H111" s="79"/>
      <c r="I111" s="79"/>
      <c r="J111" s="79"/>
      <c r="K111" s="79"/>
      <c r="L111" s="70"/>
      <c r="M111" s="132"/>
      <c r="N111" s="79"/>
      <c r="O111" s="79"/>
      <c r="P111" s="79"/>
      <c r="Q111" s="136"/>
      <c r="R111" s="79"/>
      <c r="S111" s="79"/>
      <c r="T111" s="79"/>
      <c r="U111" s="79"/>
      <c r="V111" s="189"/>
      <c r="X111" s="79"/>
      <c r="Y111" s="79"/>
      <c r="Z111" s="79"/>
      <c r="AA111" s="255"/>
      <c r="AC111" s="254"/>
    </row>
    <row r="112" spans="1:29" ht="24">
      <c r="A112" s="67" t="s">
        <v>10715</v>
      </c>
      <c r="B112" s="65" t="s">
        <v>315</v>
      </c>
      <c r="C112" s="71" t="s">
        <v>108</v>
      </c>
      <c r="D112" s="78">
        <v>1</v>
      </c>
      <c r="E112" s="79">
        <v>8405.0300000000007</v>
      </c>
      <c r="F112" s="70">
        <v>8405.0300000000007</v>
      </c>
      <c r="G112" s="320"/>
      <c r="H112" s="79">
        <v>8405.0300000000007</v>
      </c>
      <c r="I112" s="79">
        <v>0</v>
      </c>
      <c r="J112" s="79">
        <v>8405.0300000000007</v>
      </c>
      <c r="K112" s="79">
        <v>0</v>
      </c>
      <c r="L112" s="70">
        <v>8405.0300000000007</v>
      </c>
      <c r="M112" s="132"/>
      <c r="N112" s="79">
        <v>8405.0300000000007</v>
      </c>
      <c r="O112" s="79"/>
      <c r="P112" s="79">
        <v>8405.0300000000007</v>
      </c>
      <c r="Q112" s="136"/>
      <c r="R112" s="79">
        <v>8405.0300000000007</v>
      </c>
      <c r="S112" s="79"/>
      <c r="T112" s="79">
        <v>8405.0300000000007</v>
      </c>
      <c r="U112" s="79">
        <v>0</v>
      </c>
      <c r="V112" s="189">
        <v>8405.0300000000007</v>
      </c>
      <c r="X112" s="79">
        <v>8405.0300000000007</v>
      </c>
      <c r="Y112" s="79"/>
      <c r="Z112" s="79">
        <v>8405.0300000000007</v>
      </c>
      <c r="AA112" s="255">
        <v>0</v>
      </c>
      <c r="AC112" s="254"/>
    </row>
    <row r="113" spans="1:29" ht="24">
      <c r="A113" s="67" t="s">
        <v>10716</v>
      </c>
      <c r="B113" s="65" t="s">
        <v>349</v>
      </c>
      <c r="C113" s="71" t="s">
        <v>108</v>
      </c>
      <c r="D113" s="78">
        <v>1</v>
      </c>
      <c r="E113" s="79">
        <v>13545.24</v>
      </c>
      <c r="F113" s="70">
        <v>13545.24</v>
      </c>
      <c r="G113" s="320"/>
      <c r="H113" s="79">
        <v>13545.24</v>
      </c>
      <c r="I113" s="79">
        <v>0</v>
      </c>
      <c r="J113" s="79">
        <v>13545.24</v>
      </c>
      <c r="K113" s="79">
        <v>0</v>
      </c>
      <c r="L113" s="70">
        <v>13545.24</v>
      </c>
      <c r="M113" s="132"/>
      <c r="N113" s="79">
        <v>13545.24</v>
      </c>
      <c r="O113" s="79"/>
      <c r="P113" s="79">
        <v>13545.24</v>
      </c>
      <c r="Q113" s="136"/>
      <c r="R113" s="79">
        <v>13545.24</v>
      </c>
      <c r="S113" s="79"/>
      <c r="T113" s="79">
        <v>13545.24</v>
      </c>
      <c r="U113" s="79">
        <v>0</v>
      </c>
      <c r="V113" s="189">
        <v>13545.24</v>
      </c>
      <c r="X113" s="79">
        <v>13545.24</v>
      </c>
      <c r="Y113" s="79"/>
      <c r="Z113" s="79">
        <v>13545.24</v>
      </c>
      <c r="AA113" s="255">
        <v>0</v>
      </c>
      <c r="AC113" s="254"/>
    </row>
    <row r="114" spans="1:29" ht="24">
      <c r="A114" s="67" t="s">
        <v>10717</v>
      </c>
      <c r="B114" s="65" t="s">
        <v>347</v>
      </c>
      <c r="C114" s="71" t="s">
        <v>108</v>
      </c>
      <c r="D114" s="78">
        <v>1</v>
      </c>
      <c r="E114" s="79">
        <v>13425.34</v>
      </c>
      <c r="F114" s="70">
        <v>13425.34</v>
      </c>
      <c r="G114" s="320"/>
      <c r="H114" s="79">
        <v>13425.34</v>
      </c>
      <c r="I114" s="79">
        <v>0</v>
      </c>
      <c r="J114" s="79">
        <v>13425.34</v>
      </c>
      <c r="K114" s="79">
        <v>0</v>
      </c>
      <c r="L114" s="70">
        <v>13425.34</v>
      </c>
      <c r="M114" s="132"/>
      <c r="N114" s="79">
        <v>13425.34</v>
      </c>
      <c r="O114" s="79"/>
      <c r="P114" s="79">
        <v>13425.34</v>
      </c>
      <c r="Q114" s="136"/>
      <c r="R114" s="79">
        <v>13425.34</v>
      </c>
      <c r="S114" s="79"/>
      <c r="T114" s="79">
        <v>13425.34</v>
      </c>
      <c r="U114" s="79">
        <v>0</v>
      </c>
      <c r="V114" s="189">
        <v>13425.34</v>
      </c>
      <c r="X114" s="79">
        <v>13425.34</v>
      </c>
      <c r="Y114" s="79"/>
      <c r="Z114" s="79">
        <v>13425.34</v>
      </c>
      <c r="AA114" s="255">
        <v>0</v>
      </c>
      <c r="AC114" s="254"/>
    </row>
    <row r="115" spans="1:29" ht="24">
      <c r="A115" s="67" t="s">
        <v>10718</v>
      </c>
      <c r="B115" s="65" t="s">
        <v>10719</v>
      </c>
      <c r="C115" s="71" t="s">
        <v>165</v>
      </c>
      <c r="D115" s="78">
        <v>1</v>
      </c>
      <c r="E115" s="79">
        <v>726.17</v>
      </c>
      <c r="F115" s="70">
        <v>726.17</v>
      </c>
      <c r="G115" s="320"/>
      <c r="H115" s="79">
        <v>726.17</v>
      </c>
      <c r="I115" s="79">
        <v>0</v>
      </c>
      <c r="J115" s="79">
        <v>726.17</v>
      </c>
      <c r="K115" s="79">
        <v>0</v>
      </c>
      <c r="L115" s="70">
        <v>726.17</v>
      </c>
      <c r="M115" s="132"/>
      <c r="N115" s="79">
        <v>726.17</v>
      </c>
      <c r="O115" s="79"/>
      <c r="P115" s="79">
        <v>726.17</v>
      </c>
      <c r="Q115" s="136"/>
      <c r="R115" s="79">
        <v>726.17</v>
      </c>
      <c r="S115" s="79"/>
      <c r="T115" s="79">
        <v>726.17</v>
      </c>
      <c r="U115" s="79">
        <v>0</v>
      </c>
      <c r="V115" s="189">
        <v>726.17</v>
      </c>
      <c r="X115" s="79">
        <v>726.17</v>
      </c>
      <c r="Y115" s="79"/>
      <c r="Z115" s="79">
        <v>726.17</v>
      </c>
      <c r="AA115" s="255">
        <v>0</v>
      </c>
      <c r="AC115" s="254"/>
    </row>
    <row r="116" spans="1:29" ht="24">
      <c r="A116" s="67" t="s">
        <v>10720</v>
      </c>
      <c r="B116" s="65" t="s">
        <v>10721</v>
      </c>
      <c r="C116" s="71" t="s">
        <v>165</v>
      </c>
      <c r="D116" s="78">
        <v>1</v>
      </c>
      <c r="E116" s="79">
        <v>510.79</v>
      </c>
      <c r="F116" s="70">
        <v>510.79</v>
      </c>
      <c r="G116" s="320"/>
      <c r="H116" s="79">
        <v>510.79</v>
      </c>
      <c r="I116" s="79">
        <v>0</v>
      </c>
      <c r="J116" s="79">
        <v>510.79</v>
      </c>
      <c r="K116" s="79">
        <v>0</v>
      </c>
      <c r="L116" s="70">
        <v>510.79</v>
      </c>
      <c r="M116" s="132"/>
      <c r="N116" s="79">
        <v>510.79</v>
      </c>
      <c r="O116" s="79"/>
      <c r="P116" s="79">
        <v>510.79</v>
      </c>
      <c r="Q116" s="136"/>
      <c r="R116" s="79">
        <v>510.79</v>
      </c>
      <c r="S116" s="79"/>
      <c r="T116" s="79">
        <v>510.79</v>
      </c>
      <c r="U116" s="79">
        <v>0</v>
      </c>
      <c r="V116" s="189">
        <v>510.79</v>
      </c>
      <c r="X116" s="79">
        <v>510.79</v>
      </c>
      <c r="Y116" s="79"/>
      <c r="Z116" s="79">
        <v>510.79</v>
      </c>
      <c r="AA116" s="255">
        <v>0</v>
      </c>
      <c r="AC116" s="254"/>
    </row>
    <row r="117" spans="1:29" ht="24">
      <c r="A117" s="67" t="s">
        <v>10722</v>
      </c>
      <c r="B117" s="65" t="s">
        <v>10723</v>
      </c>
      <c r="C117" s="71" t="s">
        <v>165</v>
      </c>
      <c r="D117" s="78">
        <v>1</v>
      </c>
      <c r="E117" s="79">
        <v>1278.32</v>
      </c>
      <c r="F117" s="70">
        <v>1278.32</v>
      </c>
      <c r="G117" s="320"/>
      <c r="H117" s="79">
        <v>1278.32</v>
      </c>
      <c r="I117" s="79">
        <v>0</v>
      </c>
      <c r="J117" s="79">
        <v>1278.32</v>
      </c>
      <c r="K117" s="79">
        <v>0</v>
      </c>
      <c r="L117" s="70">
        <v>1278.32</v>
      </c>
      <c r="M117" s="132"/>
      <c r="N117" s="79">
        <v>1278.32</v>
      </c>
      <c r="O117" s="79"/>
      <c r="P117" s="79">
        <v>1278.32</v>
      </c>
      <c r="Q117" s="136"/>
      <c r="R117" s="79">
        <v>1278.32</v>
      </c>
      <c r="S117" s="79"/>
      <c r="T117" s="79">
        <v>1278.32</v>
      </c>
      <c r="U117" s="79">
        <v>0</v>
      </c>
      <c r="V117" s="189">
        <v>1278.32</v>
      </c>
      <c r="X117" s="79">
        <v>1278.32</v>
      </c>
      <c r="Y117" s="79"/>
      <c r="Z117" s="79">
        <v>1278.32</v>
      </c>
      <c r="AA117" s="255">
        <v>0</v>
      </c>
      <c r="AC117" s="254"/>
    </row>
    <row r="118" spans="1:29" ht="24">
      <c r="A118" s="67" t="s">
        <v>10724</v>
      </c>
      <c r="B118" s="65" t="s">
        <v>10725</v>
      </c>
      <c r="C118" s="71" t="s">
        <v>165</v>
      </c>
      <c r="D118" s="78">
        <v>1</v>
      </c>
      <c r="E118" s="79">
        <v>1384.07</v>
      </c>
      <c r="F118" s="70">
        <v>1384.07</v>
      </c>
      <c r="G118" s="320"/>
      <c r="H118" s="79">
        <v>1384.07</v>
      </c>
      <c r="I118" s="79">
        <v>0</v>
      </c>
      <c r="J118" s="79">
        <v>1384.07</v>
      </c>
      <c r="K118" s="79">
        <v>0</v>
      </c>
      <c r="L118" s="70">
        <v>1384.07</v>
      </c>
      <c r="M118" s="132"/>
      <c r="N118" s="79">
        <v>1384.07</v>
      </c>
      <c r="O118" s="79"/>
      <c r="P118" s="79">
        <v>1384.07</v>
      </c>
      <c r="Q118" s="136"/>
      <c r="R118" s="79">
        <v>1384.07</v>
      </c>
      <c r="S118" s="79"/>
      <c r="T118" s="79">
        <v>1384.07</v>
      </c>
      <c r="U118" s="79">
        <v>0</v>
      </c>
      <c r="V118" s="189">
        <v>1384.07</v>
      </c>
      <c r="W118" s="66"/>
      <c r="X118" s="79">
        <v>1384.07</v>
      </c>
      <c r="Y118" s="79"/>
      <c r="Z118" s="79">
        <v>1384.07</v>
      </c>
      <c r="AA118" s="255">
        <v>0</v>
      </c>
      <c r="AB118" s="66"/>
      <c r="AC118" s="254"/>
    </row>
    <row r="119" spans="1:29" ht="24">
      <c r="A119" s="67" t="s">
        <v>10726</v>
      </c>
      <c r="B119" s="65" t="s">
        <v>10727</v>
      </c>
      <c r="C119" s="71" t="s">
        <v>165</v>
      </c>
      <c r="D119" s="78">
        <v>1</v>
      </c>
      <c r="E119" s="79">
        <v>1720.88</v>
      </c>
      <c r="F119" s="70">
        <v>1720.88</v>
      </c>
      <c r="G119" s="320"/>
      <c r="H119" s="79">
        <v>1720.88</v>
      </c>
      <c r="I119" s="79">
        <v>0</v>
      </c>
      <c r="J119" s="79">
        <v>1720.88</v>
      </c>
      <c r="K119" s="79">
        <v>0</v>
      </c>
      <c r="L119" s="70">
        <v>1720.88</v>
      </c>
      <c r="M119" s="132"/>
      <c r="N119" s="79">
        <v>1720.88</v>
      </c>
      <c r="O119" s="79"/>
      <c r="P119" s="79">
        <v>1720.88</v>
      </c>
      <c r="Q119" s="136"/>
      <c r="R119" s="79">
        <v>1720.88</v>
      </c>
      <c r="S119" s="79"/>
      <c r="T119" s="79">
        <v>1720.88</v>
      </c>
      <c r="U119" s="79">
        <v>0</v>
      </c>
      <c r="V119" s="189">
        <v>1720.88</v>
      </c>
      <c r="X119" s="79">
        <v>1720.88</v>
      </c>
      <c r="Y119" s="79"/>
      <c r="Z119" s="79">
        <v>1720.88</v>
      </c>
      <c r="AA119" s="255">
        <v>0</v>
      </c>
      <c r="AC119" s="254"/>
    </row>
    <row r="120" spans="1:29" ht="24">
      <c r="A120" s="67" t="s">
        <v>10728</v>
      </c>
      <c r="B120" s="65" t="s">
        <v>10729</v>
      </c>
      <c r="C120" s="71" t="s">
        <v>165</v>
      </c>
      <c r="D120" s="78">
        <v>1</v>
      </c>
      <c r="E120" s="79">
        <v>2202.7399999999998</v>
      </c>
      <c r="F120" s="70">
        <v>2202.7399999999998</v>
      </c>
      <c r="G120" s="320"/>
      <c r="H120" s="79">
        <v>2202.7399999999998</v>
      </c>
      <c r="I120" s="79">
        <v>0</v>
      </c>
      <c r="J120" s="79">
        <v>2202.7399999999998</v>
      </c>
      <c r="K120" s="79">
        <v>0</v>
      </c>
      <c r="L120" s="70">
        <v>2202.7399999999998</v>
      </c>
      <c r="M120" s="132"/>
      <c r="N120" s="79">
        <v>2202.7399999999998</v>
      </c>
      <c r="O120" s="79"/>
      <c r="P120" s="79">
        <v>2202.7399999999998</v>
      </c>
      <c r="Q120" s="136"/>
      <c r="R120" s="79">
        <v>2202.7399999999998</v>
      </c>
      <c r="S120" s="79"/>
      <c r="T120" s="79">
        <v>2202.7399999999998</v>
      </c>
      <c r="U120" s="79">
        <v>0</v>
      </c>
      <c r="V120" s="189">
        <v>2202.7399999999998</v>
      </c>
      <c r="X120" s="79">
        <v>2202.7399999999998</v>
      </c>
      <c r="Y120" s="79"/>
      <c r="Z120" s="79">
        <v>2202.7399999999998</v>
      </c>
      <c r="AA120" s="255">
        <v>0</v>
      </c>
      <c r="AC120" s="254"/>
    </row>
    <row r="121" spans="1:29" ht="24">
      <c r="A121" s="67" t="s">
        <v>10730</v>
      </c>
      <c r="B121" s="65" t="s">
        <v>10731</v>
      </c>
      <c r="C121" s="71" t="s">
        <v>165</v>
      </c>
      <c r="D121" s="78">
        <v>1</v>
      </c>
      <c r="E121" s="79">
        <v>2573.9299999999998</v>
      </c>
      <c r="F121" s="70">
        <v>2573.9299999999998</v>
      </c>
      <c r="G121" s="320"/>
      <c r="H121" s="79">
        <v>2573.9299999999998</v>
      </c>
      <c r="I121" s="79">
        <v>0</v>
      </c>
      <c r="J121" s="79">
        <v>2573.9299999999998</v>
      </c>
      <c r="K121" s="79">
        <v>0</v>
      </c>
      <c r="L121" s="70">
        <v>2573.9299999999998</v>
      </c>
      <c r="M121" s="132"/>
      <c r="N121" s="79">
        <v>2573.9299999999998</v>
      </c>
      <c r="O121" s="79"/>
      <c r="P121" s="79">
        <v>2573.9299999999998</v>
      </c>
      <c r="Q121" s="136"/>
      <c r="R121" s="79">
        <v>2573.9299999999998</v>
      </c>
      <c r="S121" s="79"/>
      <c r="T121" s="79">
        <v>2573.9299999999998</v>
      </c>
      <c r="U121" s="79">
        <v>0</v>
      </c>
      <c r="V121" s="189">
        <v>2573.9299999999998</v>
      </c>
      <c r="X121" s="79">
        <v>2573.9299999999998</v>
      </c>
      <c r="Y121" s="79"/>
      <c r="Z121" s="79">
        <v>2573.9299999999998</v>
      </c>
      <c r="AA121" s="255">
        <v>0</v>
      </c>
      <c r="AC121" s="254"/>
    </row>
    <row r="122" spans="1:29" ht="24">
      <c r="A122" s="67" t="s">
        <v>10732</v>
      </c>
      <c r="B122" s="65" t="s">
        <v>10733</v>
      </c>
      <c r="C122" s="71" t="s">
        <v>165</v>
      </c>
      <c r="D122" s="78">
        <v>1</v>
      </c>
      <c r="E122" s="79">
        <v>2770.2</v>
      </c>
      <c r="F122" s="70">
        <v>2770.2</v>
      </c>
      <c r="G122" s="320"/>
      <c r="H122" s="79">
        <v>2770.2</v>
      </c>
      <c r="I122" s="79">
        <v>0</v>
      </c>
      <c r="J122" s="79">
        <v>2770.2</v>
      </c>
      <c r="K122" s="79">
        <v>0</v>
      </c>
      <c r="L122" s="70">
        <v>2770.2</v>
      </c>
      <c r="M122" s="132"/>
      <c r="N122" s="79">
        <v>2770.2</v>
      </c>
      <c r="O122" s="79"/>
      <c r="P122" s="79">
        <v>2770.2</v>
      </c>
      <c r="Q122" s="136"/>
      <c r="R122" s="79">
        <v>2770.2</v>
      </c>
      <c r="S122" s="79"/>
      <c r="T122" s="79">
        <v>2770.2</v>
      </c>
      <c r="U122" s="79">
        <v>0</v>
      </c>
      <c r="V122" s="189">
        <v>2770.2</v>
      </c>
      <c r="X122" s="79">
        <v>2770.2</v>
      </c>
      <c r="Y122" s="79"/>
      <c r="Z122" s="79">
        <v>2770.2</v>
      </c>
      <c r="AA122" s="255">
        <v>0</v>
      </c>
      <c r="AC122" s="254"/>
    </row>
    <row r="123" spans="1:29" ht="24">
      <c r="A123" s="67" t="s">
        <v>10734</v>
      </c>
      <c r="B123" s="65" t="s">
        <v>10735</v>
      </c>
      <c r="C123" s="71" t="s">
        <v>165</v>
      </c>
      <c r="D123" s="78">
        <v>1</v>
      </c>
      <c r="E123" s="79">
        <v>3362.59</v>
      </c>
      <c r="F123" s="70">
        <v>3362.59</v>
      </c>
      <c r="G123" s="320"/>
      <c r="H123" s="79">
        <v>3362.59</v>
      </c>
      <c r="I123" s="79">
        <v>0</v>
      </c>
      <c r="J123" s="79">
        <v>3362.59</v>
      </c>
      <c r="K123" s="79">
        <v>0</v>
      </c>
      <c r="L123" s="70">
        <v>3362.59</v>
      </c>
      <c r="M123" s="132"/>
      <c r="N123" s="79">
        <v>3362.59</v>
      </c>
      <c r="O123" s="79"/>
      <c r="P123" s="79">
        <v>3362.59</v>
      </c>
      <c r="Q123" s="136"/>
      <c r="R123" s="79">
        <v>3362.59</v>
      </c>
      <c r="S123" s="79"/>
      <c r="T123" s="79">
        <v>3362.59</v>
      </c>
      <c r="U123" s="79">
        <v>0</v>
      </c>
      <c r="V123" s="189">
        <v>3362.59</v>
      </c>
      <c r="X123" s="79">
        <v>3362.59</v>
      </c>
      <c r="Y123" s="79"/>
      <c r="Z123" s="79">
        <v>3362.59</v>
      </c>
      <c r="AA123" s="255">
        <v>0</v>
      </c>
      <c r="AC123" s="254"/>
    </row>
    <row r="124" spans="1:29" ht="24">
      <c r="A124" s="67" t="s">
        <v>10736</v>
      </c>
      <c r="B124" s="65" t="s">
        <v>367</v>
      </c>
      <c r="C124" s="71" t="s">
        <v>165</v>
      </c>
      <c r="D124" s="78">
        <v>1</v>
      </c>
      <c r="E124" s="79">
        <v>396.53</v>
      </c>
      <c r="F124" s="70">
        <v>396.53</v>
      </c>
      <c r="G124" s="320"/>
      <c r="H124" s="79">
        <v>396.53</v>
      </c>
      <c r="I124" s="79">
        <v>0</v>
      </c>
      <c r="J124" s="79">
        <v>396.53</v>
      </c>
      <c r="K124" s="79">
        <v>0</v>
      </c>
      <c r="L124" s="70">
        <v>396.53</v>
      </c>
      <c r="M124" s="132"/>
      <c r="N124" s="79">
        <v>396.53</v>
      </c>
      <c r="O124" s="79"/>
      <c r="P124" s="79">
        <v>396.53</v>
      </c>
      <c r="Q124" s="136"/>
      <c r="R124" s="79">
        <v>396.53</v>
      </c>
      <c r="S124" s="79"/>
      <c r="T124" s="79">
        <v>396.53</v>
      </c>
      <c r="U124" s="79">
        <v>0</v>
      </c>
      <c r="V124" s="189">
        <v>396.53</v>
      </c>
      <c r="X124" s="79">
        <v>396.53</v>
      </c>
      <c r="Y124" s="79"/>
      <c r="Z124" s="79">
        <v>396.53</v>
      </c>
      <c r="AA124" s="255">
        <v>0</v>
      </c>
      <c r="AC124" s="254"/>
    </row>
    <row r="125" spans="1:29" ht="24">
      <c r="A125" s="67" t="s">
        <v>10737</v>
      </c>
      <c r="B125" s="65" t="s">
        <v>10738</v>
      </c>
      <c r="C125" s="71" t="s">
        <v>165</v>
      </c>
      <c r="D125" s="78">
        <v>1</v>
      </c>
      <c r="E125" s="79">
        <v>1912.29</v>
      </c>
      <c r="F125" s="70">
        <v>1912.29</v>
      </c>
      <c r="G125" s="320"/>
      <c r="H125" s="79">
        <v>1912.29</v>
      </c>
      <c r="I125" s="79">
        <v>0</v>
      </c>
      <c r="J125" s="79">
        <v>1912.29</v>
      </c>
      <c r="K125" s="79">
        <v>0</v>
      </c>
      <c r="L125" s="70">
        <v>1912.29</v>
      </c>
      <c r="M125" s="132"/>
      <c r="N125" s="79">
        <v>1912.29</v>
      </c>
      <c r="O125" s="79"/>
      <c r="P125" s="79">
        <v>1912.29</v>
      </c>
      <c r="Q125" s="136"/>
      <c r="R125" s="79">
        <v>1912.29</v>
      </c>
      <c r="S125" s="79"/>
      <c r="T125" s="79">
        <v>1912.29</v>
      </c>
      <c r="U125" s="79">
        <v>0</v>
      </c>
      <c r="V125" s="189">
        <v>1912.29</v>
      </c>
      <c r="X125" s="79">
        <v>1912.29</v>
      </c>
      <c r="Y125" s="79"/>
      <c r="Z125" s="79">
        <v>1912.29</v>
      </c>
      <c r="AA125" s="255">
        <v>0</v>
      </c>
      <c r="AC125" s="254"/>
    </row>
    <row r="126" spans="1:29" ht="12">
      <c r="A126" s="67" t="s">
        <v>10739</v>
      </c>
      <c r="B126" s="65" t="s">
        <v>345</v>
      </c>
      <c r="C126" s="71" t="s">
        <v>165</v>
      </c>
      <c r="D126" s="78">
        <v>1</v>
      </c>
      <c r="E126" s="79">
        <v>7532.21</v>
      </c>
      <c r="F126" s="70">
        <v>7532.21</v>
      </c>
      <c r="G126" s="320"/>
      <c r="H126" s="79">
        <v>7532.21</v>
      </c>
      <c r="I126" s="79">
        <v>0</v>
      </c>
      <c r="J126" s="79">
        <v>7532.21</v>
      </c>
      <c r="K126" s="79">
        <v>0</v>
      </c>
      <c r="L126" s="70">
        <v>7532.21</v>
      </c>
      <c r="M126" s="132"/>
      <c r="N126" s="79">
        <v>7532.21</v>
      </c>
      <c r="O126" s="79"/>
      <c r="P126" s="79">
        <v>7532.21</v>
      </c>
      <c r="Q126" s="136"/>
      <c r="R126" s="79">
        <v>7532.21</v>
      </c>
      <c r="S126" s="79"/>
      <c r="T126" s="79">
        <v>7532.21</v>
      </c>
      <c r="U126" s="79">
        <v>0</v>
      </c>
      <c r="V126" s="189">
        <v>7532.21</v>
      </c>
      <c r="X126" s="79">
        <v>7532.21</v>
      </c>
      <c r="Y126" s="79"/>
      <c r="Z126" s="79">
        <v>7532.21</v>
      </c>
      <c r="AA126" s="255">
        <v>0</v>
      </c>
      <c r="AC126" s="254"/>
    </row>
    <row r="127" spans="1:29" ht="24">
      <c r="A127" s="67" t="s">
        <v>10740</v>
      </c>
      <c r="B127" s="65" t="s">
        <v>10741</v>
      </c>
      <c r="C127" s="71" t="s">
        <v>165</v>
      </c>
      <c r="D127" s="78">
        <v>1</v>
      </c>
      <c r="E127" s="79">
        <v>387.72</v>
      </c>
      <c r="F127" s="70">
        <v>387.72</v>
      </c>
      <c r="G127" s="320"/>
      <c r="H127" s="79">
        <v>387.72</v>
      </c>
      <c r="I127" s="79">
        <v>0</v>
      </c>
      <c r="J127" s="79">
        <v>387.72</v>
      </c>
      <c r="K127" s="79">
        <v>0</v>
      </c>
      <c r="L127" s="70">
        <v>387.72</v>
      </c>
      <c r="M127" s="132"/>
      <c r="N127" s="79">
        <v>387.72</v>
      </c>
      <c r="O127" s="79"/>
      <c r="P127" s="79">
        <v>387.72</v>
      </c>
      <c r="Q127" s="136"/>
      <c r="R127" s="79">
        <v>387.72</v>
      </c>
      <c r="S127" s="79"/>
      <c r="T127" s="79">
        <v>387.72</v>
      </c>
      <c r="U127" s="79">
        <v>0</v>
      </c>
      <c r="V127" s="189">
        <v>387.72</v>
      </c>
      <c r="X127" s="79">
        <v>387.72</v>
      </c>
      <c r="Y127" s="79"/>
      <c r="Z127" s="79">
        <v>387.72</v>
      </c>
      <c r="AA127" s="255">
        <v>0</v>
      </c>
      <c r="AC127" s="254"/>
    </row>
    <row r="128" spans="1:29" ht="24">
      <c r="A128" s="67" t="s">
        <v>10742</v>
      </c>
      <c r="B128" s="65" t="s">
        <v>10743</v>
      </c>
      <c r="C128" s="71" t="s">
        <v>165</v>
      </c>
      <c r="D128" s="78">
        <v>1</v>
      </c>
      <c r="E128" s="79">
        <v>505.41</v>
      </c>
      <c r="F128" s="70">
        <v>505.41</v>
      </c>
      <c r="G128" s="320"/>
      <c r="H128" s="79">
        <v>505.41</v>
      </c>
      <c r="I128" s="79">
        <v>0</v>
      </c>
      <c r="J128" s="79">
        <v>505.41</v>
      </c>
      <c r="K128" s="79">
        <v>0</v>
      </c>
      <c r="L128" s="70">
        <v>505.41</v>
      </c>
      <c r="M128" s="132"/>
      <c r="N128" s="79">
        <v>505.41</v>
      </c>
      <c r="O128" s="79"/>
      <c r="P128" s="79">
        <v>505.41</v>
      </c>
      <c r="Q128" s="136"/>
      <c r="R128" s="79">
        <v>505.41</v>
      </c>
      <c r="S128" s="79"/>
      <c r="T128" s="79">
        <v>505.41</v>
      </c>
      <c r="U128" s="79">
        <v>0</v>
      </c>
      <c r="V128" s="189">
        <v>505.41</v>
      </c>
      <c r="X128" s="79">
        <v>505.41</v>
      </c>
      <c r="Y128" s="79"/>
      <c r="Z128" s="79">
        <v>505.41</v>
      </c>
      <c r="AA128" s="255">
        <v>0</v>
      </c>
      <c r="AC128" s="254"/>
    </row>
    <row r="129" spans="1:29" ht="24">
      <c r="A129" s="67" t="s">
        <v>10744</v>
      </c>
      <c r="B129" s="65" t="s">
        <v>10745</v>
      </c>
      <c r="C129" s="71" t="s">
        <v>165</v>
      </c>
      <c r="D129" s="78">
        <v>1</v>
      </c>
      <c r="E129" s="79">
        <v>594.73</v>
      </c>
      <c r="F129" s="70">
        <v>594.73</v>
      </c>
      <c r="G129" s="320"/>
      <c r="H129" s="79">
        <v>594.73</v>
      </c>
      <c r="I129" s="79">
        <v>0</v>
      </c>
      <c r="J129" s="79">
        <v>594.73</v>
      </c>
      <c r="K129" s="79">
        <v>0</v>
      </c>
      <c r="L129" s="70">
        <v>594.73</v>
      </c>
      <c r="M129" s="132"/>
      <c r="N129" s="79">
        <v>594.73</v>
      </c>
      <c r="O129" s="79"/>
      <c r="P129" s="79">
        <v>594.73</v>
      </c>
      <c r="Q129" s="136"/>
      <c r="R129" s="79">
        <v>594.73</v>
      </c>
      <c r="S129" s="79"/>
      <c r="T129" s="79">
        <v>594.73</v>
      </c>
      <c r="U129" s="79">
        <v>0</v>
      </c>
      <c r="V129" s="189">
        <v>594.73</v>
      </c>
      <c r="X129" s="79">
        <v>594.73</v>
      </c>
      <c r="Y129" s="79"/>
      <c r="Z129" s="79">
        <v>594.73</v>
      </c>
      <c r="AA129" s="255">
        <v>0</v>
      </c>
      <c r="AC129" s="254"/>
    </row>
    <row r="130" spans="1:29" ht="24">
      <c r="A130" s="67" t="s">
        <v>10746</v>
      </c>
      <c r="B130" s="65" t="s">
        <v>307</v>
      </c>
      <c r="C130" s="71" t="s">
        <v>165</v>
      </c>
      <c r="D130" s="78">
        <v>1</v>
      </c>
      <c r="E130" s="79">
        <v>341.21</v>
      </c>
      <c r="F130" s="70">
        <v>341.21</v>
      </c>
      <c r="G130" s="320"/>
      <c r="H130" s="79">
        <v>341.21</v>
      </c>
      <c r="I130" s="79">
        <v>0</v>
      </c>
      <c r="J130" s="79">
        <v>341.21</v>
      </c>
      <c r="K130" s="79">
        <v>0</v>
      </c>
      <c r="L130" s="70">
        <v>341.21</v>
      </c>
      <c r="M130" s="132"/>
      <c r="N130" s="79">
        <v>341.21</v>
      </c>
      <c r="O130" s="79"/>
      <c r="P130" s="79">
        <v>341.21</v>
      </c>
      <c r="Q130" s="136"/>
      <c r="R130" s="79">
        <v>341.21</v>
      </c>
      <c r="S130" s="79"/>
      <c r="T130" s="79">
        <v>341.21</v>
      </c>
      <c r="U130" s="79">
        <v>0</v>
      </c>
      <c r="V130" s="189">
        <v>341.21</v>
      </c>
      <c r="X130" s="79">
        <v>341.21</v>
      </c>
      <c r="Y130" s="79"/>
      <c r="Z130" s="79">
        <v>341.21</v>
      </c>
      <c r="AA130" s="255">
        <v>0</v>
      </c>
      <c r="AC130" s="254"/>
    </row>
    <row r="131" spans="1:29" ht="24">
      <c r="A131" s="67" t="s">
        <v>10747</v>
      </c>
      <c r="B131" s="65" t="s">
        <v>309</v>
      </c>
      <c r="C131" s="71" t="s">
        <v>165</v>
      </c>
      <c r="D131" s="78">
        <v>1</v>
      </c>
      <c r="E131" s="79">
        <v>577.63</v>
      </c>
      <c r="F131" s="70">
        <v>577.63</v>
      </c>
      <c r="G131" s="320"/>
      <c r="H131" s="79">
        <v>577.63</v>
      </c>
      <c r="I131" s="79">
        <v>0</v>
      </c>
      <c r="J131" s="79">
        <v>577.63</v>
      </c>
      <c r="K131" s="79">
        <v>0</v>
      </c>
      <c r="L131" s="70">
        <v>577.63</v>
      </c>
      <c r="M131" s="132"/>
      <c r="N131" s="79">
        <v>577.63</v>
      </c>
      <c r="O131" s="79"/>
      <c r="P131" s="79">
        <v>577.63</v>
      </c>
      <c r="Q131" s="136"/>
      <c r="R131" s="79">
        <v>577.63</v>
      </c>
      <c r="S131" s="79"/>
      <c r="T131" s="79">
        <v>577.63</v>
      </c>
      <c r="U131" s="79">
        <v>0</v>
      </c>
      <c r="V131" s="189">
        <v>577.63</v>
      </c>
      <c r="X131" s="79">
        <v>577.63</v>
      </c>
      <c r="Y131" s="79"/>
      <c r="Z131" s="79">
        <v>577.63</v>
      </c>
      <c r="AA131" s="255">
        <v>0</v>
      </c>
      <c r="AC131" s="254"/>
    </row>
    <row r="132" spans="1:29" ht="24">
      <c r="A132" s="67" t="s">
        <v>10748</v>
      </c>
      <c r="B132" s="65" t="s">
        <v>311</v>
      </c>
      <c r="C132" s="71" t="s">
        <v>165</v>
      </c>
      <c r="D132" s="78">
        <v>1</v>
      </c>
      <c r="E132" s="79">
        <v>851.57</v>
      </c>
      <c r="F132" s="70">
        <v>851.57</v>
      </c>
      <c r="G132" s="320"/>
      <c r="H132" s="79">
        <v>851.57</v>
      </c>
      <c r="I132" s="79">
        <v>0</v>
      </c>
      <c r="J132" s="79">
        <v>851.57</v>
      </c>
      <c r="K132" s="79">
        <v>0</v>
      </c>
      <c r="L132" s="70">
        <v>851.57</v>
      </c>
      <c r="M132" s="132"/>
      <c r="N132" s="79">
        <v>851.57</v>
      </c>
      <c r="O132" s="79"/>
      <c r="P132" s="79">
        <v>851.57</v>
      </c>
      <c r="Q132" s="136"/>
      <c r="R132" s="79">
        <v>851.57</v>
      </c>
      <c r="S132" s="79"/>
      <c r="T132" s="79">
        <v>851.57</v>
      </c>
      <c r="U132" s="79">
        <v>0</v>
      </c>
      <c r="V132" s="189">
        <v>851.57</v>
      </c>
      <c r="X132" s="79">
        <v>851.57</v>
      </c>
      <c r="Y132" s="79"/>
      <c r="Z132" s="79">
        <v>851.57</v>
      </c>
      <c r="AA132" s="255">
        <v>0</v>
      </c>
      <c r="AC132" s="254"/>
    </row>
    <row r="133" spans="1:29" ht="24">
      <c r="A133" s="67" t="s">
        <v>10749</v>
      </c>
      <c r="B133" s="65" t="s">
        <v>329</v>
      </c>
      <c r="C133" s="71" t="s">
        <v>165</v>
      </c>
      <c r="D133" s="78">
        <v>1</v>
      </c>
      <c r="E133" s="79">
        <v>2135.4</v>
      </c>
      <c r="F133" s="70">
        <v>2135.4</v>
      </c>
      <c r="G133" s="320"/>
      <c r="H133" s="79">
        <v>2135.4</v>
      </c>
      <c r="I133" s="79">
        <v>0</v>
      </c>
      <c r="J133" s="79">
        <v>2135.4</v>
      </c>
      <c r="K133" s="79">
        <v>0</v>
      </c>
      <c r="L133" s="70">
        <v>2135.4</v>
      </c>
      <c r="M133" s="132"/>
      <c r="N133" s="79">
        <v>2135.4</v>
      </c>
      <c r="O133" s="79"/>
      <c r="P133" s="79">
        <v>2135.4</v>
      </c>
      <c r="Q133" s="136"/>
      <c r="R133" s="79">
        <v>2135.4</v>
      </c>
      <c r="S133" s="79"/>
      <c r="T133" s="79">
        <v>2135.4</v>
      </c>
      <c r="U133" s="79">
        <v>0</v>
      </c>
      <c r="V133" s="189">
        <v>2135.4</v>
      </c>
      <c r="X133" s="79">
        <v>2135.4</v>
      </c>
      <c r="Y133" s="79"/>
      <c r="Z133" s="79">
        <v>2135.4</v>
      </c>
      <c r="AA133" s="255">
        <v>0</v>
      </c>
      <c r="AC133" s="254"/>
    </row>
    <row r="134" spans="1:29" ht="24">
      <c r="A134" s="67" t="s">
        <v>10750</v>
      </c>
      <c r="B134" s="65" t="s">
        <v>353</v>
      </c>
      <c r="C134" s="71" t="s">
        <v>165</v>
      </c>
      <c r="D134" s="78">
        <v>1</v>
      </c>
      <c r="E134" s="79">
        <v>2721.57</v>
      </c>
      <c r="F134" s="70">
        <v>2721.57</v>
      </c>
      <c r="G134" s="320"/>
      <c r="H134" s="79">
        <v>2721.57</v>
      </c>
      <c r="I134" s="79">
        <v>0</v>
      </c>
      <c r="J134" s="79">
        <v>2721.57</v>
      </c>
      <c r="K134" s="79">
        <v>0</v>
      </c>
      <c r="L134" s="70">
        <v>2721.57</v>
      </c>
      <c r="M134" s="132"/>
      <c r="N134" s="79">
        <v>2721.57</v>
      </c>
      <c r="O134" s="79"/>
      <c r="P134" s="79">
        <v>2721.57</v>
      </c>
      <c r="Q134" s="136"/>
      <c r="R134" s="79">
        <v>2721.57</v>
      </c>
      <c r="S134" s="79"/>
      <c r="T134" s="79">
        <v>2721.57</v>
      </c>
      <c r="U134" s="79">
        <v>0</v>
      </c>
      <c r="V134" s="189">
        <v>2721.57</v>
      </c>
      <c r="X134" s="79">
        <v>2721.57</v>
      </c>
      <c r="Y134" s="79"/>
      <c r="Z134" s="79">
        <v>2721.57</v>
      </c>
      <c r="AA134" s="255">
        <v>0</v>
      </c>
      <c r="AC134" s="254"/>
    </row>
    <row r="135" spans="1:29" ht="24">
      <c r="A135" s="67" t="s">
        <v>10751</v>
      </c>
      <c r="B135" s="65" t="s">
        <v>333</v>
      </c>
      <c r="C135" s="71" t="s">
        <v>165</v>
      </c>
      <c r="D135" s="78">
        <v>1</v>
      </c>
      <c r="E135" s="79">
        <v>2978.3</v>
      </c>
      <c r="F135" s="70">
        <v>2978.3</v>
      </c>
      <c r="G135" s="320"/>
      <c r="H135" s="79">
        <v>2978.3</v>
      </c>
      <c r="I135" s="79">
        <v>0</v>
      </c>
      <c r="J135" s="79">
        <v>2978.3</v>
      </c>
      <c r="K135" s="79">
        <v>0</v>
      </c>
      <c r="L135" s="70">
        <v>2978.3</v>
      </c>
      <c r="M135" s="132"/>
      <c r="N135" s="79">
        <v>2978.3</v>
      </c>
      <c r="O135" s="79"/>
      <c r="P135" s="79">
        <v>2978.3</v>
      </c>
      <c r="Q135" s="136"/>
      <c r="R135" s="79">
        <v>2978.3</v>
      </c>
      <c r="S135" s="79"/>
      <c r="T135" s="79">
        <v>2978.3</v>
      </c>
      <c r="U135" s="79">
        <v>0</v>
      </c>
      <c r="V135" s="189">
        <v>2978.3</v>
      </c>
      <c r="X135" s="79">
        <v>2978.3</v>
      </c>
      <c r="Y135" s="79"/>
      <c r="Z135" s="79">
        <v>2978.3</v>
      </c>
      <c r="AA135" s="255">
        <v>0</v>
      </c>
      <c r="AC135" s="254"/>
    </row>
    <row r="136" spans="1:29" ht="24">
      <c r="A136" s="67" t="s">
        <v>10752</v>
      </c>
      <c r="B136" s="65" t="s">
        <v>10753</v>
      </c>
      <c r="C136" s="71" t="s">
        <v>165</v>
      </c>
      <c r="D136" s="78">
        <v>1</v>
      </c>
      <c r="E136" s="79">
        <v>825.23</v>
      </c>
      <c r="F136" s="70">
        <v>825.23</v>
      </c>
      <c r="G136" s="320"/>
      <c r="H136" s="79">
        <v>825.23</v>
      </c>
      <c r="I136" s="79">
        <v>0</v>
      </c>
      <c r="J136" s="79">
        <v>825.23</v>
      </c>
      <c r="K136" s="79">
        <v>0</v>
      </c>
      <c r="L136" s="70">
        <v>825.23</v>
      </c>
      <c r="M136" s="132"/>
      <c r="N136" s="79">
        <v>825.23</v>
      </c>
      <c r="O136" s="79"/>
      <c r="P136" s="79">
        <v>825.23</v>
      </c>
      <c r="Q136" s="136"/>
      <c r="R136" s="79">
        <v>825.23</v>
      </c>
      <c r="S136" s="79"/>
      <c r="T136" s="79">
        <v>825.23</v>
      </c>
      <c r="U136" s="79">
        <v>0</v>
      </c>
      <c r="V136" s="189">
        <v>825.23</v>
      </c>
      <c r="X136" s="79">
        <v>825.23</v>
      </c>
      <c r="Y136" s="79"/>
      <c r="Z136" s="79">
        <v>825.23</v>
      </c>
      <c r="AA136" s="255">
        <v>0</v>
      </c>
      <c r="AC136" s="254"/>
    </row>
    <row r="137" spans="1:29" ht="24">
      <c r="A137" s="67" t="s">
        <v>10754</v>
      </c>
      <c r="B137" s="65" t="s">
        <v>10755</v>
      </c>
      <c r="C137" s="71" t="s">
        <v>165</v>
      </c>
      <c r="D137" s="78">
        <v>1</v>
      </c>
      <c r="E137" s="79">
        <v>474.67</v>
      </c>
      <c r="F137" s="70">
        <v>474.67</v>
      </c>
      <c r="G137" s="320"/>
      <c r="H137" s="79">
        <v>474.67</v>
      </c>
      <c r="I137" s="79">
        <v>0</v>
      </c>
      <c r="J137" s="79">
        <v>474.67</v>
      </c>
      <c r="K137" s="79">
        <v>0</v>
      </c>
      <c r="L137" s="70">
        <v>474.67</v>
      </c>
      <c r="M137" s="132"/>
      <c r="N137" s="79">
        <v>474.67</v>
      </c>
      <c r="O137" s="79"/>
      <c r="P137" s="79">
        <v>474.67</v>
      </c>
      <c r="Q137" s="136"/>
      <c r="R137" s="79">
        <v>474.67</v>
      </c>
      <c r="S137" s="79"/>
      <c r="T137" s="79">
        <v>474.67</v>
      </c>
      <c r="U137" s="79">
        <v>0</v>
      </c>
      <c r="V137" s="189">
        <v>474.67</v>
      </c>
      <c r="X137" s="79">
        <v>474.67</v>
      </c>
      <c r="Y137" s="79"/>
      <c r="Z137" s="79">
        <v>474.67</v>
      </c>
      <c r="AA137" s="255">
        <v>0</v>
      </c>
      <c r="AC137" s="254"/>
    </row>
    <row r="138" spans="1:29" ht="24">
      <c r="A138" s="67" t="s">
        <v>10756</v>
      </c>
      <c r="B138" s="65" t="s">
        <v>10757</v>
      </c>
      <c r="C138" s="71" t="s">
        <v>165</v>
      </c>
      <c r="D138" s="78">
        <v>1</v>
      </c>
      <c r="E138" s="79">
        <v>910.02</v>
      </c>
      <c r="F138" s="70">
        <v>910.02</v>
      </c>
      <c r="G138" s="320"/>
      <c r="H138" s="79">
        <v>910.02</v>
      </c>
      <c r="I138" s="79">
        <v>0</v>
      </c>
      <c r="J138" s="79">
        <v>910.02</v>
      </c>
      <c r="K138" s="79">
        <v>0</v>
      </c>
      <c r="L138" s="70">
        <v>910.02</v>
      </c>
      <c r="M138" s="132"/>
      <c r="N138" s="78">
        <v>910.02</v>
      </c>
      <c r="O138" s="79"/>
      <c r="P138" s="79">
        <v>910.02</v>
      </c>
      <c r="Q138" s="136"/>
      <c r="R138" s="79">
        <v>910.02</v>
      </c>
      <c r="S138" s="79"/>
      <c r="T138" s="79">
        <v>910.02</v>
      </c>
      <c r="U138" s="79">
        <v>0</v>
      </c>
      <c r="V138" s="189">
        <v>910.02</v>
      </c>
      <c r="X138" s="78">
        <v>910.02</v>
      </c>
      <c r="Y138" s="78"/>
      <c r="Z138" s="79">
        <v>910.02</v>
      </c>
      <c r="AA138" s="255">
        <v>0</v>
      </c>
      <c r="AC138" s="254"/>
    </row>
    <row r="139" spans="1:29" ht="12">
      <c r="A139" s="67" t="s">
        <v>10758</v>
      </c>
      <c r="B139" s="65" t="s">
        <v>10759</v>
      </c>
      <c r="C139" s="71" t="s">
        <v>165</v>
      </c>
      <c r="D139" s="78">
        <v>1</v>
      </c>
      <c r="E139" s="79">
        <v>865.85</v>
      </c>
      <c r="F139" s="70">
        <v>865.85</v>
      </c>
      <c r="G139" s="320"/>
      <c r="H139" s="79">
        <v>865.85</v>
      </c>
      <c r="I139" s="79">
        <v>0</v>
      </c>
      <c r="J139" s="79">
        <v>865.85</v>
      </c>
      <c r="K139" s="79">
        <v>0</v>
      </c>
      <c r="L139" s="70">
        <v>865.85</v>
      </c>
      <c r="M139" s="132"/>
      <c r="N139" s="79">
        <v>865.85</v>
      </c>
      <c r="O139" s="79"/>
      <c r="P139" s="79">
        <v>865.85</v>
      </c>
      <c r="Q139" s="136"/>
      <c r="R139" s="79">
        <v>865.85</v>
      </c>
      <c r="S139" s="79"/>
      <c r="T139" s="79">
        <v>865.85</v>
      </c>
      <c r="U139" s="79">
        <v>0</v>
      </c>
      <c r="V139" s="189">
        <v>865.85</v>
      </c>
      <c r="X139" s="79">
        <v>865.85</v>
      </c>
      <c r="Y139" s="79"/>
      <c r="Z139" s="79">
        <v>865.85</v>
      </c>
      <c r="AA139" s="255">
        <v>0</v>
      </c>
      <c r="AC139" s="254"/>
    </row>
    <row r="140" spans="1:29" ht="12">
      <c r="A140" s="67" t="s">
        <v>10760</v>
      </c>
      <c r="B140" s="65" t="s">
        <v>10761</v>
      </c>
      <c r="C140" s="71" t="s">
        <v>165</v>
      </c>
      <c r="D140" s="78">
        <v>1</v>
      </c>
      <c r="E140" s="79">
        <v>651.9</v>
      </c>
      <c r="F140" s="70">
        <v>651.9</v>
      </c>
      <c r="G140" s="320"/>
      <c r="H140" s="79">
        <v>651.9</v>
      </c>
      <c r="I140" s="79">
        <v>0</v>
      </c>
      <c r="J140" s="79">
        <v>651.9</v>
      </c>
      <c r="K140" s="79">
        <v>0</v>
      </c>
      <c r="L140" s="70">
        <v>651.9</v>
      </c>
      <c r="M140" s="132"/>
      <c r="N140" s="79">
        <v>651.9</v>
      </c>
      <c r="O140" s="79"/>
      <c r="P140" s="79">
        <v>651.9</v>
      </c>
      <c r="Q140" s="136"/>
      <c r="R140" s="79">
        <v>651.9</v>
      </c>
      <c r="S140" s="79"/>
      <c r="T140" s="79">
        <v>651.9</v>
      </c>
      <c r="U140" s="79">
        <v>0</v>
      </c>
      <c r="V140" s="189">
        <v>651.9</v>
      </c>
      <c r="X140" s="79">
        <v>651.9</v>
      </c>
      <c r="Y140" s="79"/>
      <c r="Z140" s="79">
        <v>651.9</v>
      </c>
      <c r="AA140" s="255">
        <v>0</v>
      </c>
      <c r="AC140" s="254"/>
    </row>
    <row r="141" spans="1:29" ht="12">
      <c r="A141" s="67" t="s">
        <v>10762</v>
      </c>
      <c r="B141" s="65" t="s">
        <v>10763</v>
      </c>
      <c r="C141" s="71" t="s">
        <v>165</v>
      </c>
      <c r="D141" s="78">
        <v>1</v>
      </c>
      <c r="E141" s="79">
        <v>986.45</v>
      </c>
      <c r="F141" s="70">
        <v>986.45</v>
      </c>
      <c r="G141" s="320"/>
      <c r="H141" s="79">
        <v>986.45</v>
      </c>
      <c r="I141" s="79">
        <v>0</v>
      </c>
      <c r="J141" s="79">
        <v>986.45</v>
      </c>
      <c r="K141" s="79">
        <v>0</v>
      </c>
      <c r="L141" s="70">
        <v>986.45</v>
      </c>
      <c r="M141" s="132"/>
      <c r="N141" s="79">
        <v>986.45</v>
      </c>
      <c r="O141" s="79"/>
      <c r="P141" s="79">
        <v>986.45</v>
      </c>
      <c r="Q141" s="136"/>
      <c r="R141" s="79">
        <v>986.45</v>
      </c>
      <c r="S141" s="79"/>
      <c r="T141" s="79">
        <v>986.45</v>
      </c>
      <c r="U141" s="79">
        <v>0</v>
      </c>
      <c r="V141" s="189">
        <v>986.45</v>
      </c>
      <c r="X141" s="79">
        <v>986.45</v>
      </c>
      <c r="Y141" s="79"/>
      <c r="Z141" s="79">
        <v>986.45</v>
      </c>
      <c r="AA141" s="255">
        <v>0</v>
      </c>
      <c r="AC141" s="254"/>
    </row>
    <row r="142" spans="1:29" ht="24">
      <c r="A142" s="67" t="s">
        <v>10764</v>
      </c>
      <c r="B142" s="65" t="s">
        <v>10765</v>
      </c>
      <c r="C142" s="71" t="s">
        <v>165</v>
      </c>
      <c r="D142" s="78">
        <v>1</v>
      </c>
      <c r="E142" s="79">
        <v>2844.21</v>
      </c>
      <c r="F142" s="70">
        <v>2844.21</v>
      </c>
      <c r="G142" s="320"/>
      <c r="H142" s="79">
        <v>2844.21</v>
      </c>
      <c r="I142" s="79">
        <v>0</v>
      </c>
      <c r="J142" s="79">
        <v>2844.21</v>
      </c>
      <c r="K142" s="79">
        <v>0</v>
      </c>
      <c r="L142" s="70">
        <v>2844.21</v>
      </c>
      <c r="M142" s="132"/>
      <c r="N142" s="79">
        <v>2844.21</v>
      </c>
      <c r="O142" s="79"/>
      <c r="P142" s="79">
        <v>2844.21</v>
      </c>
      <c r="Q142" s="136"/>
      <c r="R142" s="79">
        <v>2844.21</v>
      </c>
      <c r="S142" s="79"/>
      <c r="T142" s="79">
        <v>2844.21</v>
      </c>
      <c r="U142" s="79">
        <v>0</v>
      </c>
      <c r="V142" s="189">
        <v>2844.21</v>
      </c>
      <c r="X142" s="79">
        <v>2844.21</v>
      </c>
      <c r="Y142" s="79"/>
      <c r="Z142" s="79">
        <v>2844.21</v>
      </c>
      <c r="AA142" s="255">
        <v>0</v>
      </c>
      <c r="AC142" s="254"/>
    </row>
    <row r="143" spans="1:29" ht="12">
      <c r="A143" s="67" t="s">
        <v>10766</v>
      </c>
      <c r="B143" s="65" t="s">
        <v>10767</v>
      </c>
      <c r="C143" s="71" t="s">
        <v>165</v>
      </c>
      <c r="D143" s="78">
        <v>1</v>
      </c>
      <c r="E143" s="79">
        <v>1935.48</v>
      </c>
      <c r="F143" s="70">
        <v>1935.48</v>
      </c>
      <c r="G143" s="320"/>
      <c r="H143" s="79">
        <v>1935.48</v>
      </c>
      <c r="I143" s="79">
        <v>0</v>
      </c>
      <c r="J143" s="79">
        <v>1935.48</v>
      </c>
      <c r="K143" s="79">
        <v>0</v>
      </c>
      <c r="L143" s="70">
        <v>1935.48</v>
      </c>
      <c r="M143" s="132"/>
      <c r="N143" s="79">
        <v>1935.48</v>
      </c>
      <c r="O143" s="79"/>
      <c r="P143" s="79">
        <v>1935.48</v>
      </c>
      <c r="Q143" s="136"/>
      <c r="R143" s="79">
        <v>1935.48</v>
      </c>
      <c r="S143" s="79"/>
      <c r="T143" s="79">
        <v>1935.48</v>
      </c>
      <c r="U143" s="79">
        <v>0</v>
      </c>
      <c r="V143" s="189">
        <v>1935.48</v>
      </c>
      <c r="X143" s="79">
        <v>1935.48</v>
      </c>
      <c r="Y143" s="79"/>
      <c r="Z143" s="79">
        <v>1935.48</v>
      </c>
      <c r="AA143" s="255">
        <v>0</v>
      </c>
      <c r="AC143" s="254"/>
    </row>
    <row r="144" spans="1:29" ht="12">
      <c r="A144" s="67" t="s">
        <v>10768</v>
      </c>
      <c r="B144" s="65" t="s">
        <v>10769</v>
      </c>
      <c r="C144" s="71" t="s">
        <v>165</v>
      </c>
      <c r="D144" s="78">
        <v>1</v>
      </c>
      <c r="E144" s="79">
        <v>2236.62</v>
      </c>
      <c r="F144" s="70">
        <v>2236.62</v>
      </c>
      <c r="G144" s="320"/>
      <c r="H144" s="79">
        <v>2236.62</v>
      </c>
      <c r="I144" s="79">
        <v>0</v>
      </c>
      <c r="J144" s="79">
        <v>2236.62</v>
      </c>
      <c r="K144" s="79">
        <v>0</v>
      </c>
      <c r="L144" s="70">
        <v>2236.62</v>
      </c>
      <c r="M144" s="132"/>
      <c r="N144" s="79">
        <v>2236.62</v>
      </c>
      <c r="O144" s="79"/>
      <c r="P144" s="79">
        <v>2236.62</v>
      </c>
      <c r="Q144" s="136"/>
      <c r="R144" s="79">
        <v>2236.62</v>
      </c>
      <c r="S144" s="79"/>
      <c r="T144" s="79">
        <v>2236.62</v>
      </c>
      <c r="U144" s="79">
        <v>0</v>
      </c>
      <c r="V144" s="189">
        <v>2236.62</v>
      </c>
      <c r="X144" s="79">
        <v>2236.62</v>
      </c>
      <c r="Y144" s="79"/>
      <c r="Z144" s="79">
        <v>2236.62</v>
      </c>
      <c r="AA144" s="255">
        <v>0</v>
      </c>
      <c r="AC144" s="254"/>
    </row>
    <row r="145" spans="1:29" ht="12">
      <c r="A145" s="67" t="s">
        <v>10770</v>
      </c>
      <c r="B145" s="65" t="s">
        <v>10771</v>
      </c>
      <c r="C145" s="71" t="s">
        <v>165</v>
      </c>
      <c r="D145" s="78">
        <v>1</v>
      </c>
      <c r="E145" s="79">
        <v>2721.73</v>
      </c>
      <c r="F145" s="70">
        <v>2721.73</v>
      </c>
      <c r="G145" s="320"/>
      <c r="H145" s="79">
        <v>2721.73</v>
      </c>
      <c r="I145" s="79">
        <v>0</v>
      </c>
      <c r="J145" s="79">
        <v>2721.73</v>
      </c>
      <c r="K145" s="79">
        <v>0</v>
      </c>
      <c r="L145" s="70">
        <v>2721.73</v>
      </c>
      <c r="M145" s="132"/>
      <c r="N145" s="79">
        <v>2721.73</v>
      </c>
      <c r="O145" s="79"/>
      <c r="P145" s="79">
        <v>2721.73</v>
      </c>
      <c r="Q145" s="136"/>
      <c r="R145" s="79">
        <v>2721.73</v>
      </c>
      <c r="S145" s="79"/>
      <c r="T145" s="79">
        <v>2721.73</v>
      </c>
      <c r="U145" s="79">
        <v>0</v>
      </c>
      <c r="V145" s="189">
        <v>2721.73</v>
      </c>
      <c r="X145" s="79">
        <v>2721.73</v>
      </c>
      <c r="Y145" s="79"/>
      <c r="Z145" s="79">
        <v>2721.73</v>
      </c>
      <c r="AA145" s="255">
        <v>0</v>
      </c>
      <c r="AC145" s="254"/>
    </row>
    <row r="146" spans="1:29" ht="12">
      <c r="A146" s="67" t="s">
        <v>10772</v>
      </c>
      <c r="B146" s="65" t="s">
        <v>10773</v>
      </c>
      <c r="C146" s="71" t="s">
        <v>165</v>
      </c>
      <c r="D146" s="78">
        <v>1</v>
      </c>
      <c r="E146" s="79">
        <v>2868.42</v>
      </c>
      <c r="F146" s="70">
        <v>2868.42</v>
      </c>
      <c r="G146" s="320"/>
      <c r="H146" s="79">
        <v>2868.42</v>
      </c>
      <c r="I146" s="79">
        <v>0</v>
      </c>
      <c r="J146" s="79">
        <v>2868.42</v>
      </c>
      <c r="K146" s="79">
        <v>0</v>
      </c>
      <c r="L146" s="70">
        <v>2868.42</v>
      </c>
      <c r="M146" s="132"/>
      <c r="N146" s="79">
        <v>2868.42</v>
      </c>
      <c r="O146" s="79"/>
      <c r="P146" s="79">
        <v>2868.42</v>
      </c>
      <c r="Q146" s="136"/>
      <c r="R146" s="79">
        <v>2868.42</v>
      </c>
      <c r="S146" s="79"/>
      <c r="T146" s="79">
        <v>2868.42</v>
      </c>
      <c r="U146" s="79">
        <v>0</v>
      </c>
      <c r="V146" s="189">
        <v>2868.42</v>
      </c>
      <c r="X146" s="79">
        <v>2868.42</v>
      </c>
      <c r="Y146" s="79"/>
      <c r="Z146" s="79">
        <v>2868.42</v>
      </c>
      <c r="AA146" s="255">
        <v>0</v>
      </c>
      <c r="AC146" s="254"/>
    </row>
    <row r="147" spans="1:29" ht="24">
      <c r="A147" s="67" t="s">
        <v>10774</v>
      </c>
      <c r="B147" s="65" t="s">
        <v>10775</v>
      </c>
      <c r="C147" s="71" t="s">
        <v>165</v>
      </c>
      <c r="D147" s="78">
        <v>1</v>
      </c>
      <c r="E147" s="79">
        <v>517.63</v>
      </c>
      <c r="F147" s="70">
        <v>517.63</v>
      </c>
      <c r="G147" s="320"/>
      <c r="H147" s="79">
        <v>517.63</v>
      </c>
      <c r="I147" s="79">
        <v>0</v>
      </c>
      <c r="J147" s="79">
        <v>517.63</v>
      </c>
      <c r="K147" s="79">
        <v>0</v>
      </c>
      <c r="L147" s="70">
        <v>517.63</v>
      </c>
      <c r="M147" s="132"/>
      <c r="N147" s="79">
        <v>517.63</v>
      </c>
      <c r="O147" s="79"/>
      <c r="P147" s="79">
        <v>517.63</v>
      </c>
      <c r="Q147" s="136"/>
      <c r="R147" s="79">
        <v>517.63</v>
      </c>
      <c r="S147" s="79"/>
      <c r="T147" s="79">
        <v>517.63</v>
      </c>
      <c r="U147" s="79">
        <v>0</v>
      </c>
      <c r="V147" s="189">
        <v>517.63</v>
      </c>
      <c r="X147" s="79">
        <v>517.63</v>
      </c>
      <c r="Y147" s="79"/>
      <c r="Z147" s="79">
        <v>517.63</v>
      </c>
      <c r="AA147" s="255">
        <v>0</v>
      </c>
      <c r="AC147" s="254"/>
    </row>
    <row r="148" spans="1:29" ht="24">
      <c r="A148" s="67" t="s">
        <v>10776</v>
      </c>
      <c r="B148" s="65" t="s">
        <v>10777</v>
      </c>
      <c r="C148" s="71" t="s">
        <v>165</v>
      </c>
      <c r="D148" s="78">
        <v>1</v>
      </c>
      <c r="E148" s="79">
        <v>920.97</v>
      </c>
      <c r="F148" s="70">
        <v>920.97</v>
      </c>
      <c r="G148" s="320"/>
      <c r="H148" s="79">
        <v>920.97</v>
      </c>
      <c r="I148" s="79">
        <v>0</v>
      </c>
      <c r="J148" s="79">
        <v>920.97</v>
      </c>
      <c r="K148" s="79">
        <v>0</v>
      </c>
      <c r="L148" s="70">
        <v>920.97</v>
      </c>
      <c r="M148" s="132"/>
      <c r="N148" s="79">
        <v>920.97</v>
      </c>
      <c r="O148" s="79"/>
      <c r="P148" s="79">
        <v>920.97</v>
      </c>
      <c r="Q148" s="136"/>
      <c r="R148" s="79">
        <v>920.97</v>
      </c>
      <c r="S148" s="79"/>
      <c r="T148" s="79">
        <v>920.97</v>
      </c>
      <c r="U148" s="79">
        <v>0</v>
      </c>
      <c r="V148" s="189">
        <v>920.97</v>
      </c>
      <c r="X148" s="79">
        <v>920.97</v>
      </c>
      <c r="Y148" s="79"/>
      <c r="Z148" s="79">
        <v>920.97</v>
      </c>
      <c r="AA148" s="255">
        <v>0</v>
      </c>
      <c r="AC148" s="254"/>
    </row>
    <row r="149" spans="1:29" ht="24">
      <c r="A149" s="67" t="s">
        <v>10778</v>
      </c>
      <c r="B149" s="65" t="s">
        <v>10779</v>
      </c>
      <c r="C149" s="71" t="s">
        <v>165</v>
      </c>
      <c r="D149" s="78">
        <v>1</v>
      </c>
      <c r="E149" s="79">
        <v>1261.25</v>
      </c>
      <c r="F149" s="70">
        <v>1261.25</v>
      </c>
      <c r="G149" s="320"/>
      <c r="H149" s="79">
        <v>1261.25</v>
      </c>
      <c r="I149" s="79">
        <v>0</v>
      </c>
      <c r="J149" s="79">
        <v>1261.25</v>
      </c>
      <c r="K149" s="79">
        <v>0</v>
      </c>
      <c r="L149" s="70">
        <v>1261.25</v>
      </c>
      <c r="M149" s="132"/>
      <c r="N149" s="79">
        <v>1261.25</v>
      </c>
      <c r="O149" s="79"/>
      <c r="P149" s="79">
        <v>1261.25</v>
      </c>
      <c r="Q149" s="136"/>
      <c r="R149" s="79">
        <v>1261.25</v>
      </c>
      <c r="S149" s="79"/>
      <c r="T149" s="79">
        <v>1261.25</v>
      </c>
      <c r="U149" s="79">
        <v>0</v>
      </c>
      <c r="V149" s="189">
        <v>1261.25</v>
      </c>
      <c r="X149" s="79">
        <v>1261.25</v>
      </c>
      <c r="Y149" s="79"/>
      <c r="Z149" s="79">
        <v>1261.25</v>
      </c>
      <c r="AA149" s="255">
        <v>0</v>
      </c>
      <c r="AC149" s="254"/>
    </row>
    <row r="150" spans="1:29" ht="12">
      <c r="A150" s="67" t="s">
        <v>10780</v>
      </c>
      <c r="B150" s="65" t="s">
        <v>10781</v>
      </c>
      <c r="C150" s="71" t="s">
        <v>165</v>
      </c>
      <c r="D150" s="78">
        <v>1</v>
      </c>
      <c r="E150" s="79">
        <v>1566.55</v>
      </c>
      <c r="F150" s="70">
        <v>1566.55</v>
      </c>
      <c r="G150" s="320"/>
      <c r="H150" s="79">
        <v>1566.55</v>
      </c>
      <c r="I150" s="79">
        <v>0</v>
      </c>
      <c r="J150" s="79">
        <v>1566.55</v>
      </c>
      <c r="K150" s="79">
        <v>0</v>
      </c>
      <c r="L150" s="70">
        <v>1566.55</v>
      </c>
      <c r="M150" s="132"/>
      <c r="N150" s="79">
        <v>1566.55</v>
      </c>
      <c r="O150" s="79"/>
      <c r="P150" s="79">
        <v>1566.55</v>
      </c>
      <c r="Q150" s="136"/>
      <c r="R150" s="79">
        <v>1566.55</v>
      </c>
      <c r="S150" s="79"/>
      <c r="T150" s="79">
        <v>1566.55</v>
      </c>
      <c r="U150" s="79">
        <v>0</v>
      </c>
      <c r="V150" s="189">
        <v>1566.55</v>
      </c>
      <c r="X150" s="79">
        <v>1566.55</v>
      </c>
      <c r="Y150" s="79"/>
      <c r="Z150" s="79">
        <v>1566.55</v>
      </c>
      <c r="AA150" s="255">
        <v>0</v>
      </c>
      <c r="AC150" s="254"/>
    </row>
    <row r="151" spans="1:29" ht="24">
      <c r="A151" s="67" t="s">
        <v>10782</v>
      </c>
      <c r="B151" s="65" t="s">
        <v>10783</v>
      </c>
      <c r="C151" s="71" t="s">
        <v>165</v>
      </c>
      <c r="D151" s="78">
        <v>1</v>
      </c>
      <c r="E151" s="79">
        <v>2857.51</v>
      </c>
      <c r="F151" s="70">
        <v>2857.51</v>
      </c>
      <c r="G151" s="320"/>
      <c r="H151" s="79">
        <v>2857.51</v>
      </c>
      <c r="I151" s="79">
        <v>0</v>
      </c>
      <c r="J151" s="79">
        <v>2857.51</v>
      </c>
      <c r="K151" s="79">
        <v>0</v>
      </c>
      <c r="L151" s="70">
        <v>2857.51</v>
      </c>
      <c r="M151" s="132"/>
      <c r="N151" s="79">
        <v>2857.51</v>
      </c>
      <c r="O151" s="79"/>
      <c r="P151" s="79">
        <v>2857.51</v>
      </c>
      <c r="Q151" s="136"/>
      <c r="R151" s="79">
        <v>2857.51</v>
      </c>
      <c r="S151" s="79"/>
      <c r="T151" s="79">
        <v>2857.51</v>
      </c>
      <c r="U151" s="79">
        <v>0</v>
      </c>
      <c r="V151" s="189">
        <v>2857.51</v>
      </c>
      <c r="X151" s="79">
        <v>2857.51</v>
      </c>
      <c r="Y151" s="79"/>
      <c r="Z151" s="79">
        <v>2857.51</v>
      </c>
      <c r="AA151" s="255">
        <v>0</v>
      </c>
      <c r="AC151" s="254"/>
    </row>
    <row r="152" spans="1:29" ht="12">
      <c r="A152" s="67" t="s">
        <v>10784</v>
      </c>
      <c r="B152" s="65" t="s">
        <v>10785</v>
      </c>
      <c r="C152" s="71" t="s">
        <v>165</v>
      </c>
      <c r="D152" s="78">
        <v>1</v>
      </c>
      <c r="E152" s="79">
        <v>1119.6600000000001</v>
      </c>
      <c r="F152" s="70">
        <v>1119.6600000000001</v>
      </c>
      <c r="G152" s="320"/>
      <c r="H152" s="79">
        <v>1119.6600000000001</v>
      </c>
      <c r="I152" s="79">
        <v>0</v>
      </c>
      <c r="J152" s="79">
        <v>1119.6600000000001</v>
      </c>
      <c r="K152" s="79">
        <v>0</v>
      </c>
      <c r="L152" s="70">
        <v>1119.6600000000001</v>
      </c>
      <c r="M152" s="132"/>
      <c r="N152" s="79">
        <v>1119.6600000000001</v>
      </c>
      <c r="O152" s="79"/>
      <c r="P152" s="79">
        <v>1119.6600000000001</v>
      </c>
      <c r="Q152" s="136"/>
      <c r="R152" s="79">
        <v>1119.6600000000001</v>
      </c>
      <c r="S152" s="79"/>
      <c r="T152" s="79">
        <v>1119.6600000000001</v>
      </c>
      <c r="U152" s="79">
        <v>0</v>
      </c>
      <c r="V152" s="189">
        <v>1119.6600000000001</v>
      </c>
      <c r="X152" s="79">
        <v>1119.6600000000001</v>
      </c>
      <c r="Y152" s="79"/>
      <c r="Z152" s="79">
        <v>1119.6600000000001</v>
      </c>
      <c r="AA152" s="255">
        <v>0</v>
      </c>
      <c r="AC152" s="254"/>
    </row>
    <row r="153" spans="1:29" ht="12">
      <c r="A153" s="67" t="s">
        <v>10786</v>
      </c>
      <c r="B153" s="65" t="s">
        <v>10787</v>
      </c>
      <c r="C153" s="71" t="s">
        <v>121</v>
      </c>
      <c r="D153" s="78">
        <v>1</v>
      </c>
      <c r="E153" s="79">
        <v>2226.63</v>
      </c>
      <c r="F153" s="70">
        <v>2226.63</v>
      </c>
      <c r="G153" s="320"/>
      <c r="H153" s="79">
        <v>2226.63</v>
      </c>
      <c r="I153" s="79">
        <v>0</v>
      </c>
      <c r="J153" s="79">
        <v>2226.63</v>
      </c>
      <c r="K153" s="79">
        <v>0</v>
      </c>
      <c r="L153" s="70">
        <v>2226.63</v>
      </c>
      <c r="M153" s="132"/>
      <c r="N153" s="79">
        <v>2226.63</v>
      </c>
      <c r="O153" s="79"/>
      <c r="P153" s="79">
        <v>2226.63</v>
      </c>
      <c r="Q153" s="136"/>
      <c r="R153" s="79">
        <v>2226.63</v>
      </c>
      <c r="S153" s="79"/>
      <c r="T153" s="79">
        <v>2226.63</v>
      </c>
      <c r="U153" s="79">
        <v>0</v>
      </c>
      <c r="V153" s="189">
        <v>2226.63</v>
      </c>
      <c r="X153" s="79">
        <v>2226.63</v>
      </c>
      <c r="Y153" s="79"/>
      <c r="Z153" s="79">
        <v>2226.63</v>
      </c>
      <c r="AA153" s="255">
        <v>0</v>
      </c>
      <c r="AC153" s="254"/>
    </row>
    <row r="154" spans="1:29" ht="12">
      <c r="A154" s="67" t="s">
        <v>10788</v>
      </c>
      <c r="B154" s="65" t="s">
        <v>10789</v>
      </c>
      <c r="C154" s="71" t="s">
        <v>121</v>
      </c>
      <c r="D154" s="78">
        <v>1</v>
      </c>
      <c r="E154" s="79">
        <v>2558.9699999999998</v>
      </c>
      <c r="F154" s="70">
        <v>2558.9699999999998</v>
      </c>
      <c r="G154" s="320"/>
      <c r="H154" s="79">
        <v>2558.9699999999998</v>
      </c>
      <c r="I154" s="79">
        <v>0</v>
      </c>
      <c r="J154" s="79">
        <v>2558.9699999999998</v>
      </c>
      <c r="K154" s="79">
        <v>0</v>
      </c>
      <c r="L154" s="70">
        <v>2558.9699999999998</v>
      </c>
      <c r="M154" s="132"/>
      <c r="N154" s="79">
        <v>2558.9699999999998</v>
      </c>
      <c r="O154" s="79"/>
      <c r="P154" s="79">
        <v>2558.9699999999998</v>
      </c>
      <c r="Q154" s="136"/>
      <c r="R154" s="79">
        <v>2558.9699999999998</v>
      </c>
      <c r="S154" s="79"/>
      <c r="T154" s="79">
        <v>2558.9699999999998</v>
      </c>
      <c r="U154" s="79">
        <v>0</v>
      </c>
      <c r="V154" s="189">
        <v>2558.9699999999998</v>
      </c>
      <c r="X154" s="79">
        <v>2558.9699999999998</v>
      </c>
      <c r="Y154" s="79"/>
      <c r="Z154" s="79">
        <v>2558.9699999999998</v>
      </c>
      <c r="AA154" s="255">
        <v>0</v>
      </c>
      <c r="AC154" s="254"/>
    </row>
    <row r="155" spans="1:29" ht="12">
      <c r="A155" s="67" t="s">
        <v>10790</v>
      </c>
      <c r="B155" s="65" t="s">
        <v>10791</v>
      </c>
      <c r="C155" s="71" t="s">
        <v>165</v>
      </c>
      <c r="D155" s="78">
        <v>1</v>
      </c>
      <c r="E155" s="79">
        <v>94.4</v>
      </c>
      <c r="F155" s="70">
        <v>94.4</v>
      </c>
      <c r="G155" s="320"/>
      <c r="H155" s="79">
        <v>94.4</v>
      </c>
      <c r="I155" s="79">
        <v>0</v>
      </c>
      <c r="J155" s="79">
        <v>94.4</v>
      </c>
      <c r="K155" s="79">
        <v>0</v>
      </c>
      <c r="L155" s="70">
        <v>94.4</v>
      </c>
      <c r="M155" s="132"/>
      <c r="N155" s="79">
        <v>94.4</v>
      </c>
      <c r="O155" s="79"/>
      <c r="P155" s="79">
        <v>94.4</v>
      </c>
      <c r="Q155" s="136"/>
      <c r="R155" s="79">
        <v>94.4</v>
      </c>
      <c r="S155" s="79"/>
      <c r="T155" s="79">
        <v>94.4</v>
      </c>
      <c r="U155" s="79">
        <v>0</v>
      </c>
      <c r="V155" s="189">
        <v>94.4</v>
      </c>
      <c r="X155" s="79">
        <v>94.4</v>
      </c>
      <c r="Y155" s="79"/>
      <c r="Z155" s="79">
        <v>94.4</v>
      </c>
      <c r="AA155" s="255">
        <v>0</v>
      </c>
      <c r="AC155" s="254"/>
    </row>
    <row r="156" spans="1:29" ht="12">
      <c r="A156" s="67" t="s">
        <v>10792</v>
      </c>
      <c r="B156" s="65" t="s">
        <v>10793</v>
      </c>
      <c r="C156" s="71" t="s">
        <v>165</v>
      </c>
      <c r="D156" s="78">
        <v>1</v>
      </c>
      <c r="E156" s="79">
        <v>220.87</v>
      </c>
      <c r="F156" s="70">
        <v>220.87</v>
      </c>
      <c r="G156" s="320"/>
      <c r="H156" s="79">
        <v>220.87</v>
      </c>
      <c r="I156" s="79">
        <v>0</v>
      </c>
      <c r="J156" s="79">
        <v>220.87</v>
      </c>
      <c r="K156" s="79">
        <v>0</v>
      </c>
      <c r="L156" s="70">
        <v>220.87</v>
      </c>
      <c r="M156" s="132"/>
      <c r="N156" s="79">
        <v>220.87</v>
      </c>
      <c r="O156" s="79"/>
      <c r="P156" s="79">
        <v>220.87</v>
      </c>
      <c r="Q156" s="136"/>
      <c r="R156" s="79">
        <v>220.87</v>
      </c>
      <c r="S156" s="79"/>
      <c r="T156" s="79">
        <v>220.87</v>
      </c>
      <c r="U156" s="79">
        <v>0</v>
      </c>
      <c r="V156" s="189">
        <v>220.87</v>
      </c>
      <c r="W156" s="66"/>
      <c r="X156" s="79">
        <v>220.87</v>
      </c>
      <c r="Y156" s="79"/>
      <c r="Z156" s="79">
        <v>220.87</v>
      </c>
      <c r="AA156" s="255">
        <v>0</v>
      </c>
      <c r="AB156" s="66"/>
      <c r="AC156" s="254"/>
    </row>
    <row r="157" spans="1:29" ht="24">
      <c r="A157" s="67" t="s">
        <v>10794</v>
      </c>
      <c r="B157" s="65" t="s">
        <v>313</v>
      </c>
      <c r="C157" s="71" t="s">
        <v>108</v>
      </c>
      <c r="D157" s="78">
        <v>1</v>
      </c>
      <c r="E157" s="79">
        <v>4147.43</v>
      </c>
      <c r="F157" s="70">
        <v>4147.43</v>
      </c>
      <c r="G157" s="320"/>
      <c r="H157" s="79">
        <v>4147.43</v>
      </c>
      <c r="I157" s="79">
        <v>0</v>
      </c>
      <c r="J157" s="79">
        <v>4147.43</v>
      </c>
      <c r="K157" s="79">
        <v>0</v>
      </c>
      <c r="L157" s="70">
        <v>4147.43</v>
      </c>
      <c r="M157" s="132"/>
      <c r="N157" s="79">
        <v>4147.43</v>
      </c>
      <c r="O157" s="79"/>
      <c r="P157" s="79">
        <v>4147.43</v>
      </c>
      <c r="Q157" s="136"/>
      <c r="R157" s="79">
        <v>4147.43</v>
      </c>
      <c r="S157" s="79"/>
      <c r="T157" s="79">
        <v>4147.43</v>
      </c>
      <c r="U157" s="79">
        <v>0</v>
      </c>
      <c r="V157" s="189">
        <v>4147.43</v>
      </c>
      <c r="W157" s="66"/>
      <c r="X157" s="79">
        <v>4147.43</v>
      </c>
      <c r="Y157" s="79"/>
      <c r="Z157" s="79">
        <v>4147.43</v>
      </c>
      <c r="AA157" s="255">
        <v>0</v>
      </c>
      <c r="AB157" s="66"/>
      <c r="AC157" s="254"/>
    </row>
    <row r="158" spans="1:29" ht="12">
      <c r="A158" s="67" t="s">
        <v>10795</v>
      </c>
      <c r="B158" s="65" t="s">
        <v>10796</v>
      </c>
      <c r="C158" s="71" t="s">
        <v>11</v>
      </c>
      <c r="D158" s="78">
        <v>1</v>
      </c>
      <c r="E158" s="79">
        <v>565.22</v>
      </c>
      <c r="F158" s="70">
        <v>565.22</v>
      </c>
      <c r="G158" s="320"/>
      <c r="H158" s="79">
        <v>565.22</v>
      </c>
      <c r="I158" s="79">
        <v>0</v>
      </c>
      <c r="J158" s="79">
        <v>565.22</v>
      </c>
      <c r="K158" s="79">
        <v>0</v>
      </c>
      <c r="L158" s="70">
        <v>565.22</v>
      </c>
      <c r="M158" s="132"/>
      <c r="N158" s="79">
        <v>565.22</v>
      </c>
      <c r="O158" s="79"/>
      <c r="P158" s="79">
        <v>565.22</v>
      </c>
      <c r="Q158" s="136"/>
      <c r="R158" s="79">
        <v>565.22</v>
      </c>
      <c r="S158" s="79"/>
      <c r="T158" s="79">
        <v>565.22</v>
      </c>
      <c r="U158" s="79">
        <v>0</v>
      </c>
      <c r="V158" s="189">
        <v>565.22</v>
      </c>
      <c r="W158" s="66"/>
      <c r="X158" s="79">
        <v>565.22</v>
      </c>
      <c r="Y158" s="79"/>
      <c r="Z158" s="79">
        <v>565.22</v>
      </c>
      <c r="AA158" s="255">
        <v>0</v>
      </c>
      <c r="AB158" s="66"/>
      <c r="AC158" s="254"/>
    </row>
    <row r="159" spans="1:29" ht="12">
      <c r="A159" s="67" t="s">
        <v>10797</v>
      </c>
      <c r="B159" s="65" t="s">
        <v>10798</v>
      </c>
      <c r="C159" s="71" t="s">
        <v>11</v>
      </c>
      <c r="D159" s="78">
        <v>1</v>
      </c>
      <c r="E159" s="79">
        <v>437.94</v>
      </c>
      <c r="F159" s="70">
        <v>437.94</v>
      </c>
      <c r="G159" s="320"/>
      <c r="H159" s="79">
        <v>437.94</v>
      </c>
      <c r="I159" s="79">
        <v>0</v>
      </c>
      <c r="J159" s="79">
        <v>437.94</v>
      </c>
      <c r="K159" s="79">
        <v>0</v>
      </c>
      <c r="L159" s="70">
        <v>437.94</v>
      </c>
      <c r="M159" s="132"/>
      <c r="N159" s="79">
        <v>437.94</v>
      </c>
      <c r="O159" s="79"/>
      <c r="P159" s="79">
        <v>437.94</v>
      </c>
      <c r="Q159" s="136"/>
      <c r="R159" s="79">
        <v>437.94</v>
      </c>
      <c r="S159" s="79"/>
      <c r="T159" s="79">
        <v>437.94</v>
      </c>
      <c r="U159" s="79">
        <v>0</v>
      </c>
      <c r="V159" s="189">
        <v>437.94</v>
      </c>
      <c r="W159" s="66"/>
      <c r="X159" s="79">
        <v>437.94</v>
      </c>
      <c r="Y159" s="79"/>
      <c r="Z159" s="79">
        <v>437.94</v>
      </c>
      <c r="AA159" s="255">
        <v>0</v>
      </c>
      <c r="AB159" s="66"/>
      <c r="AC159" s="254"/>
    </row>
    <row r="160" spans="1:29" ht="12">
      <c r="A160" s="67" t="s">
        <v>10799</v>
      </c>
      <c r="B160" s="65" t="s">
        <v>10800</v>
      </c>
      <c r="C160" s="71" t="s">
        <v>11</v>
      </c>
      <c r="D160" s="78">
        <v>1</v>
      </c>
      <c r="E160" s="79">
        <v>368.46</v>
      </c>
      <c r="F160" s="70">
        <v>368.46</v>
      </c>
      <c r="G160" s="320"/>
      <c r="H160" s="79">
        <v>368.46</v>
      </c>
      <c r="I160" s="79">
        <v>0</v>
      </c>
      <c r="J160" s="79">
        <v>368.46</v>
      </c>
      <c r="K160" s="79">
        <v>0</v>
      </c>
      <c r="L160" s="70">
        <v>368.46</v>
      </c>
      <c r="M160" s="132"/>
      <c r="N160" s="79">
        <v>368.46</v>
      </c>
      <c r="O160" s="79"/>
      <c r="P160" s="79">
        <v>368.46</v>
      </c>
      <c r="Q160" s="136"/>
      <c r="R160" s="79">
        <v>368.46</v>
      </c>
      <c r="S160" s="79"/>
      <c r="T160" s="79">
        <v>368.46</v>
      </c>
      <c r="U160" s="79">
        <v>0</v>
      </c>
      <c r="V160" s="189">
        <v>368.46</v>
      </c>
      <c r="W160" s="66"/>
      <c r="X160" s="79">
        <v>368.46</v>
      </c>
      <c r="Y160" s="79"/>
      <c r="Z160" s="79">
        <v>368.46</v>
      </c>
      <c r="AA160" s="255">
        <v>0</v>
      </c>
      <c r="AB160" s="66"/>
      <c r="AC160" s="254"/>
    </row>
    <row r="161" spans="1:29" ht="12">
      <c r="A161" s="67" t="s">
        <v>10801</v>
      </c>
      <c r="B161" s="65" t="s">
        <v>10802</v>
      </c>
      <c r="C161" s="71" t="s">
        <v>11</v>
      </c>
      <c r="D161" s="78">
        <v>1</v>
      </c>
      <c r="E161" s="79">
        <v>358.32</v>
      </c>
      <c r="F161" s="70">
        <v>358.32</v>
      </c>
      <c r="G161" s="320"/>
      <c r="H161" s="79">
        <v>358.32</v>
      </c>
      <c r="I161" s="79">
        <v>0</v>
      </c>
      <c r="J161" s="79">
        <v>358.32</v>
      </c>
      <c r="K161" s="79">
        <v>0</v>
      </c>
      <c r="L161" s="70">
        <v>358.32</v>
      </c>
      <c r="M161" s="132"/>
      <c r="N161" s="79">
        <v>358.32</v>
      </c>
      <c r="O161" s="79"/>
      <c r="P161" s="79">
        <v>358.32</v>
      </c>
      <c r="Q161" s="136"/>
      <c r="R161" s="79">
        <v>358.32</v>
      </c>
      <c r="S161" s="79"/>
      <c r="T161" s="79">
        <v>358.32</v>
      </c>
      <c r="U161" s="79">
        <v>0</v>
      </c>
      <c r="V161" s="189">
        <v>358.32</v>
      </c>
      <c r="W161" s="66"/>
      <c r="X161" s="79">
        <v>358.32</v>
      </c>
      <c r="Y161" s="79"/>
      <c r="Z161" s="79">
        <v>358.32</v>
      </c>
      <c r="AA161" s="255">
        <v>0</v>
      </c>
      <c r="AB161" s="66"/>
      <c r="AC161" s="254"/>
    </row>
    <row r="162" spans="1:29" ht="12">
      <c r="A162" s="67" t="s">
        <v>10803</v>
      </c>
      <c r="B162" s="65" t="s">
        <v>281</v>
      </c>
      <c r="C162" s="71" t="s">
        <v>103</v>
      </c>
      <c r="D162" s="78">
        <v>1</v>
      </c>
      <c r="E162" s="79">
        <v>3337.85</v>
      </c>
      <c r="F162" s="70">
        <v>3337.85</v>
      </c>
      <c r="G162" s="320"/>
      <c r="H162" s="79">
        <v>3337.85</v>
      </c>
      <c r="I162" s="79">
        <v>0</v>
      </c>
      <c r="J162" s="79">
        <v>3337.85</v>
      </c>
      <c r="K162" s="79">
        <v>0</v>
      </c>
      <c r="L162" s="70">
        <v>3337.85</v>
      </c>
      <c r="M162" s="132"/>
      <c r="N162" s="79">
        <v>3337.85</v>
      </c>
      <c r="O162" s="79"/>
      <c r="P162" s="79">
        <v>3337.85</v>
      </c>
      <c r="Q162" s="136"/>
      <c r="R162" s="79">
        <v>3337.85</v>
      </c>
      <c r="S162" s="79"/>
      <c r="T162" s="79">
        <v>3337.85</v>
      </c>
      <c r="U162" s="79">
        <v>0</v>
      </c>
      <c r="V162" s="189">
        <v>3337.85</v>
      </c>
      <c r="W162" s="66"/>
      <c r="X162" s="79">
        <v>3337.85</v>
      </c>
      <c r="Y162" s="79"/>
      <c r="Z162" s="79">
        <v>3337.85</v>
      </c>
      <c r="AA162" s="255">
        <v>0</v>
      </c>
      <c r="AB162" s="66"/>
      <c r="AC162" s="254"/>
    </row>
    <row r="163" spans="1:29" ht="12">
      <c r="A163" s="67" t="s">
        <v>10804</v>
      </c>
      <c r="B163" s="65" t="s">
        <v>10805</v>
      </c>
      <c r="C163" s="71" t="s">
        <v>396</v>
      </c>
      <c r="D163" s="78">
        <v>1</v>
      </c>
      <c r="E163" s="79">
        <v>2883.05</v>
      </c>
      <c r="F163" s="70">
        <v>2883.05</v>
      </c>
      <c r="G163" s="320"/>
      <c r="H163" s="79">
        <v>2883.05</v>
      </c>
      <c r="I163" s="79">
        <v>0</v>
      </c>
      <c r="J163" s="79">
        <v>2883.05</v>
      </c>
      <c r="K163" s="79">
        <v>0</v>
      </c>
      <c r="L163" s="70">
        <v>2883.05</v>
      </c>
      <c r="M163" s="132"/>
      <c r="N163" s="79">
        <v>2883.05</v>
      </c>
      <c r="O163" s="79"/>
      <c r="P163" s="79">
        <v>2883.05</v>
      </c>
      <c r="Q163" s="136"/>
      <c r="R163" s="79">
        <v>2883.05</v>
      </c>
      <c r="S163" s="79"/>
      <c r="T163" s="79">
        <v>2883.05</v>
      </c>
      <c r="U163" s="79">
        <v>0</v>
      </c>
      <c r="V163" s="189">
        <v>2883.05</v>
      </c>
      <c r="W163" s="66"/>
      <c r="X163" s="79">
        <v>2883.05</v>
      </c>
      <c r="Y163" s="79"/>
      <c r="Z163" s="79">
        <v>2883.05</v>
      </c>
      <c r="AA163" s="255">
        <v>0</v>
      </c>
      <c r="AB163" s="66"/>
      <c r="AC163" s="254"/>
    </row>
    <row r="164" spans="1:29" ht="12">
      <c r="A164" s="67" t="s">
        <v>10806</v>
      </c>
      <c r="B164" s="65" t="s">
        <v>10807</v>
      </c>
      <c r="C164" s="71" t="s">
        <v>103</v>
      </c>
      <c r="D164" s="78">
        <v>1</v>
      </c>
      <c r="E164" s="79">
        <v>353.08</v>
      </c>
      <c r="F164" s="70">
        <v>353.08</v>
      </c>
      <c r="G164" s="320"/>
      <c r="H164" s="79">
        <v>353.08</v>
      </c>
      <c r="I164" s="79">
        <v>0</v>
      </c>
      <c r="J164" s="79">
        <v>353.08</v>
      </c>
      <c r="K164" s="79">
        <v>0</v>
      </c>
      <c r="L164" s="70">
        <v>353.08</v>
      </c>
      <c r="M164" s="132"/>
      <c r="N164" s="79">
        <v>353.08</v>
      </c>
      <c r="O164" s="79"/>
      <c r="P164" s="79">
        <v>353.08</v>
      </c>
      <c r="Q164" s="136"/>
      <c r="R164" s="79">
        <v>353.08</v>
      </c>
      <c r="S164" s="79"/>
      <c r="T164" s="79">
        <v>353.08</v>
      </c>
      <c r="U164" s="79">
        <v>0</v>
      </c>
      <c r="V164" s="189">
        <v>353.08</v>
      </c>
      <c r="W164" s="66"/>
      <c r="X164" s="79">
        <v>353.08</v>
      </c>
      <c r="Y164" s="79"/>
      <c r="Z164" s="79">
        <v>353.08</v>
      </c>
      <c r="AA164" s="255">
        <v>0</v>
      </c>
      <c r="AB164" s="66"/>
      <c r="AC164" s="254"/>
    </row>
    <row r="165" spans="1:29" ht="24">
      <c r="A165" s="67" t="s">
        <v>10808</v>
      </c>
      <c r="B165" s="65" t="s">
        <v>283</v>
      </c>
      <c r="C165" s="71" t="s">
        <v>121</v>
      </c>
      <c r="D165" s="78">
        <v>1</v>
      </c>
      <c r="E165" s="79">
        <v>3028.39</v>
      </c>
      <c r="F165" s="70">
        <v>3028.39</v>
      </c>
      <c r="G165" s="320"/>
      <c r="H165" s="79">
        <v>3028.39</v>
      </c>
      <c r="I165" s="79">
        <v>0</v>
      </c>
      <c r="J165" s="79">
        <v>3028.39</v>
      </c>
      <c r="K165" s="79">
        <v>0</v>
      </c>
      <c r="L165" s="70">
        <v>3028.39</v>
      </c>
      <c r="M165" s="132"/>
      <c r="N165" s="79">
        <v>3028.39</v>
      </c>
      <c r="O165" s="79"/>
      <c r="P165" s="79">
        <v>3028.39</v>
      </c>
      <c r="Q165" s="136"/>
      <c r="R165" s="79">
        <v>3028.39</v>
      </c>
      <c r="S165" s="79"/>
      <c r="T165" s="79">
        <v>3028.39</v>
      </c>
      <c r="U165" s="79">
        <v>0</v>
      </c>
      <c r="V165" s="189">
        <v>3028.39</v>
      </c>
      <c r="W165" s="66"/>
      <c r="X165" s="79">
        <v>3028.39</v>
      </c>
      <c r="Y165" s="79"/>
      <c r="Z165" s="79">
        <v>3028.39</v>
      </c>
      <c r="AA165" s="255">
        <v>0</v>
      </c>
      <c r="AB165" s="66"/>
      <c r="AC165" s="254"/>
    </row>
    <row r="166" spans="1:29" ht="12">
      <c r="A166" s="67" t="s">
        <v>10809</v>
      </c>
      <c r="B166" s="65" t="s">
        <v>10810</v>
      </c>
      <c r="C166" s="71" t="s">
        <v>103</v>
      </c>
      <c r="D166" s="78">
        <v>1</v>
      </c>
      <c r="E166" s="79">
        <v>1774.48</v>
      </c>
      <c r="F166" s="70">
        <v>1774.48</v>
      </c>
      <c r="G166" s="320"/>
      <c r="H166" s="79">
        <v>1183.23</v>
      </c>
      <c r="I166" s="79">
        <v>591.25</v>
      </c>
      <c r="J166" s="79">
        <v>1774.48</v>
      </c>
      <c r="K166" s="79">
        <v>0</v>
      </c>
      <c r="L166" s="70">
        <v>1774.48</v>
      </c>
      <c r="M166" s="132"/>
      <c r="N166" s="79">
        <v>1183.23</v>
      </c>
      <c r="O166" s="79">
        <v>591.25</v>
      </c>
      <c r="P166" s="79">
        <v>1774.48</v>
      </c>
      <c r="Q166" s="136"/>
      <c r="R166" s="79">
        <v>1183.23</v>
      </c>
      <c r="S166" s="79">
        <v>591.26</v>
      </c>
      <c r="T166" s="79">
        <v>1774.49</v>
      </c>
      <c r="U166" s="79">
        <v>0</v>
      </c>
      <c r="V166" s="189">
        <v>1774.49</v>
      </c>
      <c r="X166" s="79">
        <v>1183.23</v>
      </c>
      <c r="Y166" s="79">
        <v>591.26</v>
      </c>
      <c r="Z166" s="79">
        <v>1774.49</v>
      </c>
      <c r="AA166" s="255">
        <v>-9.9999999999909051E-3</v>
      </c>
      <c r="AC166" s="254"/>
    </row>
    <row r="167" spans="1:29" ht="12">
      <c r="A167" s="67" t="s">
        <v>10811</v>
      </c>
      <c r="B167" s="65" t="s">
        <v>10812</v>
      </c>
      <c r="C167" s="71" t="s">
        <v>103</v>
      </c>
      <c r="D167" s="78">
        <v>1</v>
      </c>
      <c r="E167" s="79">
        <v>1103.68</v>
      </c>
      <c r="F167" s="70">
        <v>1103.68</v>
      </c>
      <c r="G167" s="320"/>
      <c r="H167" s="79">
        <v>1103.68</v>
      </c>
      <c r="I167" s="79">
        <v>0</v>
      </c>
      <c r="J167" s="79">
        <v>1103.68</v>
      </c>
      <c r="K167" s="79">
        <v>0</v>
      </c>
      <c r="L167" s="70">
        <v>1103.68</v>
      </c>
      <c r="M167" s="132"/>
      <c r="N167" s="79">
        <v>1103.68</v>
      </c>
      <c r="O167" s="79"/>
      <c r="P167" s="79">
        <v>1103.68</v>
      </c>
      <c r="Q167" s="136"/>
      <c r="R167" s="79">
        <v>1103.68</v>
      </c>
      <c r="S167" s="79"/>
      <c r="T167" s="79">
        <v>1103.68</v>
      </c>
      <c r="U167" s="79">
        <v>0</v>
      </c>
      <c r="V167" s="189">
        <v>1103.68</v>
      </c>
      <c r="W167" s="66"/>
      <c r="X167" s="79">
        <v>1103.68</v>
      </c>
      <c r="Y167" s="79"/>
      <c r="Z167" s="79">
        <v>1103.68</v>
      </c>
      <c r="AA167" s="255">
        <v>0</v>
      </c>
      <c r="AB167" s="66"/>
      <c r="AC167" s="254"/>
    </row>
    <row r="168" spans="1:29" ht="12">
      <c r="A168" s="67" t="s">
        <v>10813</v>
      </c>
      <c r="B168" s="65" t="s">
        <v>10814</v>
      </c>
      <c r="C168" s="71" t="s">
        <v>103</v>
      </c>
      <c r="D168" s="78">
        <v>1</v>
      </c>
      <c r="E168" s="79">
        <v>4478.78</v>
      </c>
      <c r="F168" s="70">
        <v>4478.78</v>
      </c>
      <c r="G168" s="320"/>
      <c r="H168" s="79">
        <v>4478.78</v>
      </c>
      <c r="I168" s="79">
        <v>0</v>
      </c>
      <c r="J168" s="79">
        <v>4478.78</v>
      </c>
      <c r="K168" s="79">
        <v>0</v>
      </c>
      <c r="L168" s="70">
        <v>4478.78</v>
      </c>
      <c r="M168" s="132"/>
      <c r="N168" s="79">
        <v>4478.78</v>
      </c>
      <c r="O168" s="79"/>
      <c r="P168" s="79">
        <v>4478.78</v>
      </c>
      <c r="Q168" s="136"/>
      <c r="R168" s="79">
        <v>4478.78</v>
      </c>
      <c r="S168" s="79"/>
      <c r="T168" s="79">
        <v>4478.78</v>
      </c>
      <c r="U168" s="79">
        <v>0</v>
      </c>
      <c r="V168" s="189">
        <v>4478.78</v>
      </c>
      <c r="W168" s="66"/>
      <c r="X168" s="79">
        <v>4478.78</v>
      </c>
      <c r="Y168" s="79"/>
      <c r="Z168" s="79">
        <v>4478.78</v>
      </c>
      <c r="AA168" s="255">
        <v>0</v>
      </c>
      <c r="AB168" s="66"/>
      <c r="AC168" s="254"/>
    </row>
    <row r="169" spans="1:29" ht="12">
      <c r="A169" s="67" t="s">
        <v>10815</v>
      </c>
      <c r="B169" s="65" t="s">
        <v>10816</v>
      </c>
      <c r="C169" s="71" t="s">
        <v>103</v>
      </c>
      <c r="D169" s="78">
        <v>1</v>
      </c>
      <c r="E169" s="79">
        <v>4974.1000000000004</v>
      </c>
      <c r="F169" s="70">
        <v>4974.1000000000004</v>
      </c>
      <c r="G169" s="320"/>
      <c r="H169" s="79">
        <v>4974.1000000000004</v>
      </c>
      <c r="I169" s="79">
        <v>0</v>
      </c>
      <c r="J169" s="79">
        <v>4974.1000000000004</v>
      </c>
      <c r="K169" s="79">
        <v>0</v>
      </c>
      <c r="L169" s="70">
        <v>4974.1000000000004</v>
      </c>
      <c r="M169" s="132"/>
      <c r="N169" s="79">
        <v>4974.1000000000004</v>
      </c>
      <c r="O169" s="79"/>
      <c r="P169" s="79">
        <v>4974.1000000000004</v>
      </c>
      <c r="Q169" s="136"/>
      <c r="R169" s="79">
        <v>4974.1000000000004</v>
      </c>
      <c r="S169" s="79"/>
      <c r="T169" s="79">
        <v>4974.1000000000004</v>
      </c>
      <c r="U169" s="79">
        <v>0</v>
      </c>
      <c r="V169" s="189">
        <v>4974.1000000000004</v>
      </c>
      <c r="W169" s="66"/>
      <c r="X169" s="79">
        <v>4974.1000000000004</v>
      </c>
      <c r="Y169" s="79"/>
      <c r="Z169" s="79">
        <v>4974.1000000000004</v>
      </c>
      <c r="AA169" s="255">
        <v>0</v>
      </c>
      <c r="AB169" s="66"/>
      <c r="AC169" s="254"/>
    </row>
    <row r="170" spans="1:29" ht="12">
      <c r="A170" s="67" t="s">
        <v>10817</v>
      </c>
      <c r="B170" s="65" t="s">
        <v>10818</v>
      </c>
      <c r="C170" s="71" t="s">
        <v>103</v>
      </c>
      <c r="D170" s="78">
        <v>1</v>
      </c>
      <c r="E170" s="79">
        <v>16764.75</v>
      </c>
      <c r="F170" s="70">
        <v>16764.75</v>
      </c>
      <c r="G170" s="320"/>
      <c r="H170" s="79">
        <v>16764.75</v>
      </c>
      <c r="I170" s="79">
        <v>0</v>
      </c>
      <c r="J170" s="79">
        <v>16764.75</v>
      </c>
      <c r="K170" s="79">
        <v>0</v>
      </c>
      <c r="L170" s="70">
        <v>16764.75</v>
      </c>
      <c r="M170" s="132"/>
      <c r="N170" s="79">
        <v>16764.75</v>
      </c>
      <c r="O170" s="79"/>
      <c r="P170" s="79">
        <v>16764.75</v>
      </c>
      <c r="Q170" s="136"/>
      <c r="R170" s="79">
        <v>16764.75</v>
      </c>
      <c r="S170" s="79"/>
      <c r="T170" s="79">
        <v>16764.75</v>
      </c>
      <c r="U170" s="79">
        <v>0</v>
      </c>
      <c r="V170" s="189">
        <v>16764.75</v>
      </c>
      <c r="W170" s="66"/>
      <c r="X170" s="79">
        <v>16764.75</v>
      </c>
      <c r="Y170" s="79"/>
      <c r="Z170" s="79">
        <v>16764.75</v>
      </c>
      <c r="AA170" s="255">
        <v>0</v>
      </c>
      <c r="AB170" s="66"/>
      <c r="AC170" s="254"/>
    </row>
    <row r="171" spans="1:29" ht="12">
      <c r="A171" s="489" t="s">
        <v>10819</v>
      </c>
      <c r="B171" s="490" t="s">
        <v>10820</v>
      </c>
      <c r="C171" s="491"/>
      <c r="D171" s="492"/>
      <c r="E171" s="79"/>
      <c r="F171" s="63"/>
      <c r="G171" s="320"/>
      <c r="H171" s="79"/>
      <c r="I171" s="79"/>
      <c r="J171" s="79"/>
      <c r="K171" s="79"/>
      <c r="L171" s="70"/>
      <c r="M171" s="132"/>
      <c r="N171" s="79"/>
      <c r="O171" s="79"/>
      <c r="P171" s="79"/>
      <c r="Q171" s="136"/>
      <c r="R171" s="79"/>
      <c r="S171" s="79"/>
      <c r="T171" s="79"/>
      <c r="U171" s="79"/>
      <c r="V171" s="189"/>
      <c r="X171" s="79"/>
      <c r="Y171" s="79"/>
      <c r="Z171" s="79"/>
      <c r="AA171" s="255"/>
      <c r="AC171" s="254"/>
    </row>
    <row r="172" spans="1:29" ht="12">
      <c r="A172" s="489" t="s">
        <v>10821</v>
      </c>
      <c r="B172" s="490" t="s">
        <v>10822</v>
      </c>
      <c r="C172" s="491"/>
      <c r="D172" s="492"/>
      <c r="E172" s="79"/>
      <c r="F172" s="63"/>
      <c r="G172" s="320"/>
      <c r="H172" s="79"/>
      <c r="I172" s="79"/>
      <c r="J172" s="79"/>
      <c r="K172" s="79"/>
      <c r="L172" s="70"/>
      <c r="M172" s="132"/>
      <c r="N172" s="79"/>
      <c r="O172" s="79"/>
      <c r="P172" s="79"/>
      <c r="Q172" s="136"/>
      <c r="R172" s="79"/>
      <c r="S172" s="79"/>
      <c r="T172" s="79"/>
      <c r="U172" s="79"/>
      <c r="V172" s="189"/>
      <c r="X172" s="79"/>
      <c r="Y172" s="79"/>
      <c r="Z172" s="79"/>
      <c r="AA172" s="255"/>
      <c r="AC172" s="254"/>
    </row>
    <row r="173" spans="1:29" ht="12">
      <c r="A173" s="67" t="s">
        <v>10823</v>
      </c>
      <c r="B173" s="65" t="s">
        <v>10824</v>
      </c>
      <c r="C173" s="71" t="s">
        <v>509</v>
      </c>
      <c r="D173" s="78">
        <v>1</v>
      </c>
      <c r="E173" s="79">
        <v>584.20000000000005</v>
      </c>
      <c r="F173" s="70">
        <v>584.20000000000005</v>
      </c>
      <c r="G173" s="320"/>
      <c r="H173" s="79">
        <v>438.68000000000012</v>
      </c>
      <c r="I173" s="79">
        <v>145.51999999999998</v>
      </c>
      <c r="J173" s="79">
        <v>584.20000000000005</v>
      </c>
      <c r="K173" s="79">
        <v>0</v>
      </c>
      <c r="L173" s="70">
        <v>584.20000000000005</v>
      </c>
      <c r="M173" s="132"/>
      <c r="N173" s="79">
        <v>438.68000000000012</v>
      </c>
      <c r="O173" s="79">
        <v>145.51999999999998</v>
      </c>
      <c r="P173" s="79">
        <v>584.20000000000005</v>
      </c>
      <c r="Q173" s="136"/>
      <c r="R173" s="79">
        <v>438.68</v>
      </c>
      <c r="S173" s="79">
        <v>145.49</v>
      </c>
      <c r="T173" s="79">
        <v>584.17000000000007</v>
      </c>
      <c r="U173" s="79">
        <v>0</v>
      </c>
      <c r="V173" s="189">
        <v>584.17000000000007</v>
      </c>
      <c r="X173" s="79">
        <v>438.68</v>
      </c>
      <c r="Y173" s="79">
        <v>145.49</v>
      </c>
      <c r="Z173" s="79">
        <v>584.16999999999996</v>
      </c>
      <c r="AA173" s="255">
        <v>3.0000000000086402E-2</v>
      </c>
      <c r="AC173" s="254"/>
    </row>
    <row r="174" spans="1:29" s="61" customFormat="1" ht="12">
      <c r="A174" s="67" t="s">
        <v>10825</v>
      </c>
      <c r="B174" s="65" t="s">
        <v>10826</v>
      </c>
      <c r="C174" s="71" t="s">
        <v>509</v>
      </c>
      <c r="D174" s="78">
        <v>1</v>
      </c>
      <c r="E174" s="79">
        <v>1097.2599999999995</v>
      </c>
      <c r="F174" s="70">
        <v>1097.26</v>
      </c>
      <c r="G174" s="320"/>
      <c r="H174" s="79">
        <v>729.91999999999973</v>
      </c>
      <c r="I174" s="79">
        <v>367.34</v>
      </c>
      <c r="J174" s="79">
        <v>1097.2599999999998</v>
      </c>
      <c r="K174" s="79">
        <v>0</v>
      </c>
      <c r="L174" s="70">
        <v>1097.2599999999998</v>
      </c>
      <c r="M174" s="132"/>
      <c r="N174" s="79">
        <v>729.91999999999973</v>
      </c>
      <c r="O174" s="79">
        <v>367.34</v>
      </c>
      <c r="P174" s="79">
        <v>1097.2599999999998</v>
      </c>
      <c r="Q174" s="136"/>
      <c r="R174" s="79">
        <v>729.92</v>
      </c>
      <c r="S174" s="79">
        <v>367.34</v>
      </c>
      <c r="T174" s="79">
        <v>1097.26</v>
      </c>
      <c r="U174" s="79">
        <v>0</v>
      </c>
      <c r="V174" s="189">
        <v>1097.26</v>
      </c>
      <c r="X174" s="79">
        <v>729.92</v>
      </c>
      <c r="Y174" s="79">
        <v>367.34</v>
      </c>
      <c r="Z174" s="79">
        <v>1097.26</v>
      </c>
      <c r="AA174" s="255">
        <v>0</v>
      </c>
      <c r="AC174" s="254"/>
    </row>
    <row r="175" spans="1:29" ht="12">
      <c r="A175" s="67" t="s">
        <v>10827</v>
      </c>
      <c r="B175" s="65" t="s">
        <v>10828</v>
      </c>
      <c r="C175" s="71" t="s">
        <v>142</v>
      </c>
      <c r="D175" s="78">
        <v>1</v>
      </c>
      <c r="E175" s="79">
        <v>1213.99</v>
      </c>
      <c r="F175" s="70">
        <v>1213.99</v>
      </c>
      <c r="G175" s="320"/>
      <c r="H175" s="79">
        <v>1213.99</v>
      </c>
      <c r="I175" s="79">
        <v>0</v>
      </c>
      <c r="J175" s="79">
        <v>1213.99</v>
      </c>
      <c r="K175" s="79">
        <v>0</v>
      </c>
      <c r="L175" s="70">
        <v>1213.99</v>
      </c>
      <c r="M175" s="132"/>
      <c r="N175" s="79">
        <v>1213.99</v>
      </c>
      <c r="O175" s="79"/>
      <c r="P175" s="79">
        <v>1213.99</v>
      </c>
      <c r="Q175" s="136"/>
      <c r="R175" s="79">
        <v>1213.99</v>
      </c>
      <c r="S175" s="79"/>
      <c r="T175" s="79">
        <v>1213.99</v>
      </c>
      <c r="U175" s="79">
        <v>0</v>
      </c>
      <c r="V175" s="189">
        <v>1213.99</v>
      </c>
      <c r="W175" s="66"/>
      <c r="X175" s="79">
        <v>1213.99</v>
      </c>
      <c r="Y175" s="79"/>
      <c r="Z175" s="79">
        <v>1213.99</v>
      </c>
      <c r="AA175" s="255">
        <v>0</v>
      </c>
      <c r="AB175" s="66"/>
      <c r="AC175" s="254"/>
    </row>
    <row r="176" spans="1:29" ht="12">
      <c r="A176" s="67" t="s">
        <v>10829</v>
      </c>
      <c r="B176" s="65" t="s">
        <v>10830</v>
      </c>
      <c r="C176" s="71" t="s">
        <v>509</v>
      </c>
      <c r="D176" s="78">
        <v>1</v>
      </c>
      <c r="E176" s="79">
        <v>24.54</v>
      </c>
      <c r="F176" s="70">
        <v>24.54</v>
      </c>
      <c r="G176" s="320"/>
      <c r="H176" s="79">
        <v>16.53</v>
      </c>
      <c r="I176" s="79">
        <v>8.01</v>
      </c>
      <c r="J176" s="79">
        <v>24.54</v>
      </c>
      <c r="K176" s="79">
        <v>0</v>
      </c>
      <c r="L176" s="70">
        <v>24.54</v>
      </c>
      <c r="M176" s="132"/>
      <c r="N176" s="79">
        <v>16.53</v>
      </c>
      <c r="O176" s="79">
        <v>8.01</v>
      </c>
      <c r="P176" s="79">
        <v>24.54</v>
      </c>
      <c r="Q176" s="136"/>
      <c r="R176" s="79">
        <v>16.53</v>
      </c>
      <c r="S176" s="79">
        <v>8.0299999999999994</v>
      </c>
      <c r="T176" s="79">
        <v>24.560000000000002</v>
      </c>
      <c r="U176" s="79">
        <v>0</v>
      </c>
      <c r="V176" s="189">
        <v>24.560000000000002</v>
      </c>
      <c r="X176" s="79">
        <v>16.53</v>
      </c>
      <c r="Y176" s="79">
        <v>8.0299999999999994</v>
      </c>
      <c r="Z176" s="79">
        <v>24.56</v>
      </c>
      <c r="AA176" s="255">
        <v>-1.9999999999999574E-2</v>
      </c>
      <c r="AC176" s="254"/>
    </row>
    <row r="177" spans="1:29" ht="12">
      <c r="A177" s="489" t="s">
        <v>10831</v>
      </c>
      <c r="B177" s="490" t="s">
        <v>10832</v>
      </c>
      <c r="C177" s="491"/>
      <c r="D177" s="492"/>
      <c r="E177" s="79"/>
      <c r="F177" s="63"/>
      <c r="G177" s="320"/>
      <c r="H177" s="79"/>
      <c r="I177" s="79"/>
      <c r="J177" s="79"/>
      <c r="K177" s="79"/>
      <c r="L177" s="70"/>
      <c r="M177" s="132"/>
      <c r="N177" s="79"/>
      <c r="O177" s="79"/>
      <c r="P177" s="79"/>
      <c r="Q177" s="136"/>
      <c r="R177" s="79"/>
      <c r="S177" s="79"/>
      <c r="T177" s="79"/>
      <c r="U177" s="79"/>
      <c r="V177" s="189"/>
      <c r="X177" s="79"/>
      <c r="Y177" s="79"/>
      <c r="Z177" s="79"/>
      <c r="AA177" s="255"/>
      <c r="AC177" s="254"/>
    </row>
    <row r="178" spans="1:29" ht="12">
      <c r="A178" s="67" t="s">
        <v>10833</v>
      </c>
      <c r="B178" s="65" t="s">
        <v>10834</v>
      </c>
      <c r="C178" s="71" t="s">
        <v>142</v>
      </c>
      <c r="D178" s="78">
        <v>1</v>
      </c>
      <c r="E178" s="79">
        <v>1009.13</v>
      </c>
      <c r="F178" s="70">
        <v>1009.13</v>
      </c>
      <c r="G178" s="320"/>
      <c r="H178" s="79">
        <v>916.42</v>
      </c>
      <c r="I178" s="79">
        <v>92.710000000000008</v>
      </c>
      <c r="J178" s="79">
        <v>1009.13</v>
      </c>
      <c r="K178" s="79">
        <v>0</v>
      </c>
      <c r="L178" s="70">
        <v>1009.13</v>
      </c>
      <c r="M178" s="132"/>
      <c r="N178" s="79">
        <v>916.42</v>
      </c>
      <c r="O178" s="79">
        <v>92.710000000000008</v>
      </c>
      <c r="P178" s="79">
        <v>1009.13</v>
      </c>
      <c r="Q178" s="136"/>
      <c r="R178" s="79">
        <v>916.42</v>
      </c>
      <c r="S178" s="79">
        <v>92.75</v>
      </c>
      <c r="T178" s="79">
        <v>1009.17</v>
      </c>
      <c r="U178" s="79">
        <v>0</v>
      </c>
      <c r="V178" s="189">
        <v>1009.17</v>
      </c>
      <c r="X178" s="79">
        <v>916.42</v>
      </c>
      <c r="Y178" s="79">
        <v>92.75</v>
      </c>
      <c r="Z178" s="79">
        <v>1009.17</v>
      </c>
      <c r="AA178" s="255">
        <v>-3.999999999996362E-2</v>
      </c>
      <c r="AC178" s="254"/>
    </row>
    <row r="179" spans="1:29" ht="24">
      <c r="A179" s="67" t="s">
        <v>10835</v>
      </c>
      <c r="B179" s="65" t="s">
        <v>10836</v>
      </c>
      <c r="C179" s="71" t="s">
        <v>142</v>
      </c>
      <c r="D179" s="78">
        <v>1</v>
      </c>
      <c r="E179" s="79">
        <v>1588.5900000000001</v>
      </c>
      <c r="F179" s="70">
        <v>1588.59</v>
      </c>
      <c r="G179" s="320"/>
      <c r="H179" s="79">
        <v>1433.14</v>
      </c>
      <c r="I179" s="79">
        <v>155.44999999999999</v>
      </c>
      <c r="J179" s="79">
        <v>1588.5900000000001</v>
      </c>
      <c r="K179" s="79">
        <v>0</v>
      </c>
      <c r="L179" s="70">
        <v>1588.5900000000001</v>
      </c>
      <c r="M179" s="132"/>
      <c r="N179" s="79">
        <v>1433.14</v>
      </c>
      <c r="O179" s="79">
        <v>155.44999999999999</v>
      </c>
      <c r="P179" s="79">
        <v>1588.5900000000001</v>
      </c>
      <c r="Q179" s="136"/>
      <c r="R179" s="79">
        <v>1433.14</v>
      </c>
      <c r="S179" s="79">
        <v>155.52000000000001</v>
      </c>
      <c r="T179" s="79">
        <v>1588.66</v>
      </c>
      <c r="U179" s="79">
        <v>0</v>
      </c>
      <c r="V179" s="189">
        <v>1588.66</v>
      </c>
      <c r="X179" s="79">
        <v>1433.14</v>
      </c>
      <c r="Y179" s="79">
        <v>155.52000000000001</v>
      </c>
      <c r="Z179" s="79">
        <v>1588.66</v>
      </c>
      <c r="AA179" s="255">
        <v>-7.0000000000163709E-2</v>
      </c>
      <c r="AC179" s="254"/>
    </row>
    <row r="180" spans="1:29" ht="24">
      <c r="A180" s="67" t="s">
        <v>10837</v>
      </c>
      <c r="B180" s="65" t="s">
        <v>10838</v>
      </c>
      <c r="C180" s="71" t="s">
        <v>142</v>
      </c>
      <c r="D180" s="78">
        <v>1</v>
      </c>
      <c r="E180" s="79">
        <v>1531.98</v>
      </c>
      <c r="F180" s="70">
        <v>1531.98</v>
      </c>
      <c r="G180" s="320"/>
      <c r="H180" s="79">
        <v>1376.53</v>
      </c>
      <c r="I180" s="79">
        <v>155.44999999999999</v>
      </c>
      <c r="J180" s="79">
        <v>1531.98</v>
      </c>
      <c r="K180" s="79">
        <v>0</v>
      </c>
      <c r="L180" s="70">
        <v>1531.98</v>
      </c>
      <c r="M180" s="132"/>
      <c r="N180" s="79">
        <v>1376.53</v>
      </c>
      <c r="O180" s="79">
        <v>155.44999999999999</v>
      </c>
      <c r="P180" s="79">
        <v>1531.98</v>
      </c>
      <c r="Q180" s="136"/>
      <c r="R180" s="79">
        <v>1376.53</v>
      </c>
      <c r="S180" s="79">
        <v>155.52000000000001</v>
      </c>
      <c r="T180" s="79">
        <v>1532.05</v>
      </c>
      <c r="U180" s="79">
        <v>0</v>
      </c>
      <c r="V180" s="189">
        <v>1532.05</v>
      </c>
      <c r="X180" s="79">
        <v>1376.53</v>
      </c>
      <c r="Y180" s="79">
        <v>155.52000000000001</v>
      </c>
      <c r="Z180" s="79">
        <v>1532.05</v>
      </c>
      <c r="AA180" s="255">
        <v>-6.9999999999936335E-2</v>
      </c>
      <c r="AC180" s="254"/>
    </row>
    <row r="181" spans="1:29" ht="12">
      <c r="A181" s="67" t="s">
        <v>10839</v>
      </c>
      <c r="B181" s="65" t="s">
        <v>10840</v>
      </c>
      <c r="C181" s="71" t="s">
        <v>142</v>
      </c>
      <c r="D181" s="78">
        <v>1</v>
      </c>
      <c r="E181" s="79">
        <v>999.48</v>
      </c>
      <c r="F181" s="70">
        <v>999.48</v>
      </c>
      <c r="G181" s="320"/>
      <c r="H181" s="79">
        <v>906.77</v>
      </c>
      <c r="I181" s="79">
        <v>92.710000000000008</v>
      </c>
      <c r="J181" s="79">
        <v>999.48</v>
      </c>
      <c r="K181" s="79">
        <v>0</v>
      </c>
      <c r="L181" s="70">
        <v>999.48</v>
      </c>
      <c r="M181" s="132"/>
      <c r="N181" s="79">
        <v>906.77</v>
      </c>
      <c r="O181" s="79">
        <v>92.710000000000008</v>
      </c>
      <c r="P181" s="79">
        <v>999.48</v>
      </c>
      <c r="Q181" s="136"/>
      <c r="R181" s="79">
        <v>906.77</v>
      </c>
      <c r="S181" s="79">
        <v>92.75</v>
      </c>
      <c r="T181" s="79">
        <v>999.52</v>
      </c>
      <c r="U181" s="79">
        <v>0</v>
      </c>
      <c r="V181" s="189">
        <v>999.52</v>
      </c>
      <c r="X181" s="79">
        <v>906.77</v>
      </c>
      <c r="Y181" s="79">
        <v>92.75</v>
      </c>
      <c r="Z181" s="79">
        <v>999.52</v>
      </c>
      <c r="AA181" s="255">
        <v>-3.999999999996362E-2</v>
      </c>
      <c r="AC181" s="254"/>
    </row>
    <row r="182" spans="1:29" ht="12">
      <c r="A182" s="67" t="s">
        <v>10841</v>
      </c>
      <c r="B182" s="65" t="s">
        <v>10842</v>
      </c>
      <c r="C182" s="71" t="s">
        <v>142</v>
      </c>
      <c r="D182" s="78">
        <v>1</v>
      </c>
      <c r="E182" s="79">
        <v>1017.4399999999999</v>
      </c>
      <c r="F182" s="70">
        <v>1017.44</v>
      </c>
      <c r="G182" s="320"/>
      <c r="H182" s="79">
        <v>986.51</v>
      </c>
      <c r="I182" s="79">
        <v>30.93</v>
      </c>
      <c r="J182" s="79">
        <v>1017.4399999999999</v>
      </c>
      <c r="K182" s="79">
        <v>0</v>
      </c>
      <c r="L182" s="70">
        <v>1017.4399999999999</v>
      </c>
      <c r="M182" s="132"/>
      <c r="N182" s="79">
        <v>986.51</v>
      </c>
      <c r="O182" s="79">
        <v>30.93</v>
      </c>
      <c r="P182" s="79">
        <v>1017.4399999999999</v>
      </c>
      <c r="Q182" s="136"/>
      <c r="R182" s="79">
        <v>986.51</v>
      </c>
      <c r="S182" s="79">
        <v>30.91</v>
      </c>
      <c r="T182" s="79">
        <v>1017.42</v>
      </c>
      <c r="U182" s="79">
        <v>0</v>
      </c>
      <c r="V182" s="189">
        <v>1017.42</v>
      </c>
      <c r="X182" s="79">
        <v>986.51</v>
      </c>
      <c r="Y182" s="79">
        <v>30.91</v>
      </c>
      <c r="Z182" s="79">
        <v>1017.42</v>
      </c>
      <c r="AA182" s="255">
        <v>2.0000000000095497E-2</v>
      </c>
      <c r="AC182" s="254"/>
    </row>
    <row r="183" spans="1:29" ht="12">
      <c r="A183" s="489" t="s">
        <v>10843</v>
      </c>
      <c r="B183" s="490" t="s">
        <v>10844</v>
      </c>
      <c r="C183" s="491"/>
      <c r="D183" s="492"/>
      <c r="E183" s="79"/>
      <c r="F183" s="63"/>
      <c r="G183" s="320"/>
      <c r="H183" s="79"/>
      <c r="I183" s="79"/>
      <c r="J183" s="79"/>
      <c r="K183" s="79"/>
      <c r="L183" s="70"/>
      <c r="M183" s="132"/>
      <c r="N183" s="79"/>
      <c r="O183" s="79"/>
      <c r="P183" s="79"/>
      <c r="Q183" s="136"/>
      <c r="R183" s="79"/>
      <c r="S183" s="79"/>
      <c r="T183" s="79"/>
      <c r="U183" s="79"/>
      <c r="V183" s="189"/>
      <c r="X183" s="79"/>
      <c r="Y183" s="79"/>
      <c r="Z183" s="79"/>
      <c r="AA183" s="255"/>
      <c r="AC183" s="254"/>
    </row>
    <row r="184" spans="1:29" ht="12">
      <c r="A184" s="67" t="s">
        <v>10845</v>
      </c>
      <c r="B184" s="65" t="s">
        <v>10846</v>
      </c>
      <c r="C184" s="71" t="s">
        <v>509</v>
      </c>
      <c r="D184" s="78">
        <v>1</v>
      </c>
      <c r="E184" s="79">
        <v>2.87</v>
      </c>
      <c r="F184" s="70">
        <v>2.87</v>
      </c>
      <c r="G184" s="320"/>
      <c r="H184" s="79">
        <v>0.59</v>
      </c>
      <c r="I184" s="79">
        <v>2.2800000000000002</v>
      </c>
      <c r="J184" s="79">
        <v>2.87</v>
      </c>
      <c r="K184" s="79">
        <v>0</v>
      </c>
      <c r="L184" s="70">
        <v>2.87</v>
      </c>
      <c r="M184" s="132"/>
      <c r="N184" s="79">
        <v>0.59</v>
      </c>
      <c r="O184" s="79">
        <v>2.2800000000000002</v>
      </c>
      <c r="P184" s="79">
        <v>2.87</v>
      </c>
      <c r="Q184" s="136"/>
      <c r="R184" s="79">
        <v>0.59</v>
      </c>
      <c r="S184" s="79">
        <v>2.27</v>
      </c>
      <c r="T184" s="79">
        <v>2.86</v>
      </c>
      <c r="U184" s="79">
        <v>0</v>
      </c>
      <c r="V184" s="189">
        <v>2.86</v>
      </c>
      <c r="X184" s="79">
        <v>0.59</v>
      </c>
      <c r="Y184" s="79">
        <v>2.27</v>
      </c>
      <c r="Z184" s="79">
        <v>2.86</v>
      </c>
      <c r="AA184" s="255">
        <v>1.0000000000000231E-2</v>
      </c>
      <c r="AC184" s="254"/>
    </row>
    <row r="185" spans="1:29" ht="12">
      <c r="A185" s="67" t="s">
        <v>10847</v>
      </c>
      <c r="B185" s="65" t="s">
        <v>10848</v>
      </c>
      <c r="C185" s="71" t="s">
        <v>509</v>
      </c>
      <c r="D185" s="78">
        <v>1</v>
      </c>
      <c r="E185" s="79">
        <v>27.910000000000004</v>
      </c>
      <c r="F185" s="70">
        <v>27.91</v>
      </c>
      <c r="G185" s="320"/>
      <c r="H185" s="79">
        <v>5.4999999999999991</v>
      </c>
      <c r="I185" s="79">
        <v>22.41</v>
      </c>
      <c r="J185" s="79">
        <v>27.91</v>
      </c>
      <c r="K185" s="79">
        <v>0</v>
      </c>
      <c r="L185" s="70">
        <v>27.91</v>
      </c>
      <c r="M185" s="132"/>
      <c r="N185" s="79">
        <v>5.4999999999999991</v>
      </c>
      <c r="O185" s="79">
        <v>22.41</v>
      </c>
      <c r="P185" s="79">
        <v>27.91</v>
      </c>
      <c r="Q185" s="136"/>
      <c r="R185" s="79">
        <v>5.5</v>
      </c>
      <c r="S185" s="79">
        <v>22.42</v>
      </c>
      <c r="T185" s="79">
        <v>27.92</v>
      </c>
      <c r="U185" s="79">
        <v>0</v>
      </c>
      <c r="V185" s="189">
        <v>27.92</v>
      </c>
      <c r="X185" s="79">
        <v>5.5</v>
      </c>
      <c r="Y185" s="79">
        <v>22.42</v>
      </c>
      <c r="Z185" s="79">
        <v>27.92</v>
      </c>
      <c r="AA185" s="255">
        <v>-1.0000000000001563E-2</v>
      </c>
      <c r="AC185" s="254"/>
    </row>
    <row r="186" spans="1:29" ht="12">
      <c r="A186" s="67" t="s">
        <v>10849</v>
      </c>
      <c r="B186" s="65" t="s">
        <v>10850</v>
      </c>
      <c r="C186" s="71" t="s">
        <v>509</v>
      </c>
      <c r="D186" s="78">
        <v>1</v>
      </c>
      <c r="E186" s="79">
        <v>47.099999999999994</v>
      </c>
      <c r="F186" s="70">
        <v>47.1</v>
      </c>
      <c r="G186" s="320"/>
      <c r="H186" s="79">
        <v>13.69</v>
      </c>
      <c r="I186" s="79">
        <v>33.409999999999997</v>
      </c>
      <c r="J186" s="79">
        <v>47.099999999999994</v>
      </c>
      <c r="K186" s="79">
        <v>0</v>
      </c>
      <c r="L186" s="70">
        <v>47.099999999999994</v>
      </c>
      <c r="M186" s="132"/>
      <c r="N186" s="79">
        <v>13.69</v>
      </c>
      <c r="O186" s="79">
        <v>33.409999999999997</v>
      </c>
      <c r="P186" s="79">
        <v>47.099999999999994</v>
      </c>
      <c r="Q186" s="136"/>
      <c r="R186" s="79">
        <v>13.69</v>
      </c>
      <c r="S186" s="79">
        <v>33.4</v>
      </c>
      <c r="T186" s="79">
        <v>47.089999999999996</v>
      </c>
      <c r="U186" s="79">
        <v>0</v>
      </c>
      <c r="V186" s="189">
        <v>47.089999999999996</v>
      </c>
      <c r="X186" s="79">
        <v>13.69</v>
      </c>
      <c r="Y186" s="79">
        <v>33.4</v>
      </c>
      <c r="Z186" s="79">
        <v>47.09</v>
      </c>
      <c r="AA186" s="255">
        <v>9.9999999999980105E-3</v>
      </c>
      <c r="AC186" s="254"/>
    </row>
    <row r="187" spans="1:29" ht="12">
      <c r="A187" s="67" t="s">
        <v>10851</v>
      </c>
      <c r="B187" s="65" t="s">
        <v>10852</v>
      </c>
      <c r="C187" s="71" t="s">
        <v>509</v>
      </c>
      <c r="D187" s="78">
        <v>1</v>
      </c>
      <c r="E187" s="79">
        <v>109.47</v>
      </c>
      <c r="F187" s="70">
        <v>109.47</v>
      </c>
      <c r="G187" s="320"/>
      <c r="H187" s="79">
        <v>48.900000000000006</v>
      </c>
      <c r="I187" s="79">
        <v>60.57</v>
      </c>
      <c r="J187" s="79">
        <v>109.47</v>
      </c>
      <c r="K187" s="79">
        <v>0</v>
      </c>
      <c r="L187" s="70">
        <v>109.47</v>
      </c>
      <c r="M187" s="132"/>
      <c r="N187" s="79">
        <v>48.900000000000006</v>
      </c>
      <c r="O187" s="79">
        <v>60.57</v>
      </c>
      <c r="P187" s="79">
        <v>109.47</v>
      </c>
      <c r="Q187" s="136"/>
      <c r="R187" s="79">
        <v>48.9</v>
      </c>
      <c r="S187" s="79">
        <v>60.57</v>
      </c>
      <c r="T187" s="79">
        <v>109.47</v>
      </c>
      <c r="U187" s="79">
        <v>0</v>
      </c>
      <c r="V187" s="189">
        <v>109.47</v>
      </c>
      <c r="X187" s="79">
        <v>48.9</v>
      </c>
      <c r="Y187" s="79">
        <v>60.57</v>
      </c>
      <c r="Z187" s="79">
        <v>109.47</v>
      </c>
      <c r="AA187" s="255">
        <v>0</v>
      </c>
      <c r="AC187" s="254"/>
    </row>
    <row r="188" spans="1:29" ht="12">
      <c r="A188" s="67" t="s">
        <v>10853</v>
      </c>
      <c r="B188" s="65" t="s">
        <v>10854</v>
      </c>
      <c r="C188" s="71" t="s">
        <v>509</v>
      </c>
      <c r="D188" s="78">
        <v>1</v>
      </c>
      <c r="E188" s="79">
        <v>109.08</v>
      </c>
      <c r="F188" s="70">
        <v>109.08</v>
      </c>
      <c r="G188" s="320"/>
      <c r="H188" s="79">
        <v>48.900000000000006</v>
      </c>
      <c r="I188" s="79">
        <v>60.18</v>
      </c>
      <c r="J188" s="79">
        <v>109.08000000000001</v>
      </c>
      <c r="K188" s="79">
        <v>0</v>
      </c>
      <c r="L188" s="70">
        <v>109.08000000000001</v>
      </c>
      <c r="M188" s="132"/>
      <c r="N188" s="79">
        <v>48.900000000000006</v>
      </c>
      <c r="O188" s="79">
        <v>60.18</v>
      </c>
      <c r="P188" s="79">
        <v>109.08000000000001</v>
      </c>
      <c r="Q188" s="136"/>
      <c r="R188" s="79">
        <v>48.9</v>
      </c>
      <c r="S188" s="79">
        <v>60.17</v>
      </c>
      <c r="T188" s="79">
        <v>109.07</v>
      </c>
      <c r="U188" s="79">
        <v>0</v>
      </c>
      <c r="V188" s="189">
        <v>109.07</v>
      </c>
      <c r="X188" s="79">
        <v>48.9</v>
      </c>
      <c r="Y188" s="79">
        <v>60.17</v>
      </c>
      <c r="Z188" s="79">
        <v>109.07</v>
      </c>
      <c r="AA188" s="255">
        <v>1.0000000000005116E-2</v>
      </c>
      <c r="AC188" s="254"/>
    </row>
    <row r="189" spans="1:29" ht="12">
      <c r="A189" s="67" t="s">
        <v>10855</v>
      </c>
      <c r="B189" s="65" t="s">
        <v>10856</v>
      </c>
      <c r="C189" s="71" t="s">
        <v>10857</v>
      </c>
      <c r="D189" s="78">
        <v>1</v>
      </c>
      <c r="E189" s="79">
        <v>46.06</v>
      </c>
      <c r="F189" s="70">
        <v>46.06</v>
      </c>
      <c r="G189" s="320"/>
      <c r="H189" s="79">
        <v>44.92</v>
      </c>
      <c r="I189" s="79">
        <v>1.1400000000000001</v>
      </c>
      <c r="J189" s="79">
        <v>46.06</v>
      </c>
      <c r="K189" s="79">
        <v>0</v>
      </c>
      <c r="L189" s="70">
        <v>46.06</v>
      </c>
      <c r="M189" s="132"/>
      <c r="N189" s="79">
        <v>44.92</v>
      </c>
      <c r="O189" s="79">
        <v>1.1400000000000001</v>
      </c>
      <c r="P189" s="79">
        <v>46.06</v>
      </c>
      <c r="Q189" s="136"/>
      <c r="R189" s="79">
        <v>44.92</v>
      </c>
      <c r="S189" s="79">
        <v>1.1399999999999999</v>
      </c>
      <c r="T189" s="79">
        <v>46.06</v>
      </c>
      <c r="U189" s="79">
        <v>0</v>
      </c>
      <c r="V189" s="189">
        <v>46.06</v>
      </c>
      <c r="X189" s="79">
        <v>44.92</v>
      </c>
      <c r="Y189" s="79">
        <v>1.1399999999999999</v>
      </c>
      <c r="Z189" s="79">
        <v>46.06</v>
      </c>
      <c r="AA189" s="255">
        <v>0</v>
      </c>
      <c r="AC189" s="254"/>
    </row>
    <row r="190" spans="1:29" ht="12">
      <c r="A190" s="67" t="s">
        <v>10858</v>
      </c>
      <c r="B190" s="65" t="s">
        <v>10859</v>
      </c>
      <c r="C190" s="71" t="s">
        <v>509</v>
      </c>
      <c r="D190" s="78">
        <v>1</v>
      </c>
      <c r="E190" s="79">
        <v>17.52</v>
      </c>
      <c r="F190" s="70">
        <v>17.52</v>
      </c>
      <c r="G190" s="320"/>
      <c r="H190" s="79">
        <v>12.98</v>
      </c>
      <c r="I190" s="79">
        <v>4.54</v>
      </c>
      <c r="J190" s="79">
        <v>17.52</v>
      </c>
      <c r="K190" s="79">
        <v>0</v>
      </c>
      <c r="L190" s="70">
        <v>17.52</v>
      </c>
      <c r="M190" s="132"/>
      <c r="N190" s="79">
        <v>12.98</v>
      </c>
      <c r="O190" s="79">
        <v>4.54</v>
      </c>
      <c r="P190" s="79">
        <v>17.52</v>
      </c>
      <c r="Q190" s="136"/>
      <c r="R190" s="79">
        <v>12.98</v>
      </c>
      <c r="S190" s="79">
        <v>4.54</v>
      </c>
      <c r="T190" s="79">
        <v>17.52</v>
      </c>
      <c r="U190" s="79">
        <v>0</v>
      </c>
      <c r="V190" s="189">
        <v>17.52</v>
      </c>
      <c r="X190" s="79">
        <v>12.98</v>
      </c>
      <c r="Y190" s="79">
        <v>4.54</v>
      </c>
      <c r="Z190" s="79">
        <v>17.52</v>
      </c>
      <c r="AA190" s="255">
        <v>0</v>
      </c>
      <c r="AC190" s="254"/>
    </row>
    <row r="191" spans="1:29" ht="12">
      <c r="A191" s="67" t="s">
        <v>10860</v>
      </c>
      <c r="B191" s="65" t="s">
        <v>10861</v>
      </c>
      <c r="C191" s="71" t="s">
        <v>509</v>
      </c>
      <c r="D191" s="78">
        <v>1</v>
      </c>
      <c r="E191" s="79">
        <v>124.39999999999999</v>
      </c>
      <c r="F191" s="70">
        <v>124.4</v>
      </c>
      <c r="G191" s="320"/>
      <c r="H191" s="79">
        <v>81.08</v>
      </c>
      <c r="I191" s="79">
        <v>43.32</v>
      </c>
      <c r="J191" s="79">
        <v>124.4</v>
      </c>
      <c r="K191" s="79">
        <v>0</v>
      </c>
      <c r="L191" s="70">
        <v>124.4</v>
      </c>
      <c r="M191" s="132"/>
      <c r="N191" s="79">
        <v>81.08</v>
      </c>
      <c r="O191" s="79">
        <v>43.32</v>
      </c>
      <c r="P191" s="79">
        <v>124.4</v>
      </c>
      <c r="Q191" s="136"/>
      <c r="R191" s="79">
        <v>81.08</v>
      </c>
      <c r="S191" s="79">
        <v>43.32</v>
      </c>
      <c r="T191" s="79">
        <v>124.4</v>
      </c>
      <c r="U191" s="79">
        <v>0</v>
      </c>
      <c r="V191" s="189">
        <v>124.4</v>
      </c>
      <c r="X191" s="79">
        <v>81.08</v>
      </c>
      <c r="Y191" s="79">
        <v>43.32</v>
      </c>
      <c r="Z191" s="79">
        <v>124.4</v>
      </c>
      <c r="AA191" s="255">
        <v>0</v>
      </c>
      <c r="AC191" s="254"/>
    </row>
    <row r="192" spans="1:29" ht="12">
      <c r="A192" s="67" t="s">
        <v>10862</v>
      </c>
      <c r="B192" s="65" t="s">
        <v>10863</v>
      </c>
      <c r="C192" s="71" t="s">
        <v>509</v>
      </c>
      <c r="D192" s="78">
        <v>1</v>
      </c>
      <c r="E192" s="79">
        <v>131.68</v>
      </c>
      <c r="F192" s="70">
        <v>131.68</v>
      </c>
      <c r="G192" s="320"/>
      <c r="H192" s="79">
        <v>88.36</v>
      </c>
      <c r="I192" s="79">
        <v>43.32</v>
      </c>
      <c r="J192" s="79">
        <v>131.68</v>
      </c>
      <c r="K192" s="79">
        <v>0</v>
      </c>
      <c r="L192" s="70">
        <v>131.68</v>
      </c>
      <c r="M192" s="132"/>
      <c r="N192" s="79">
        <v>88.36</v>
      </c>
      <c r="O192" s="79">
        <v>43.32</v>
      </c>
      <c r="P192" s="79">
        <v>131.68</v>
      </c>
      <c r="Q192" s="136"/>
      <c r="R192" s="79">
        <v>88.36</v>
      </c>
      <c r="S192" s="79">
        <v>43.32</v>
      </c>
      <c r="T192" s="79">
        <v>131.68</v>
      </c>
      <c r="U192" s="79">
        <v>0</v>
      </c>
      <c r="V192" s="189">
        <v>131.68</v>
      </c>
      <c r="X192" s="79">
        <v>88.36</v>
      </c>
      <c r="Y192" s="79">
        <v>43.32</v>
      </c>
      <c r="Z192" s="79">
        <v>131.68</v>
      </c>
      <c r="AA192" s="255">
        <v>0</v>
      </c>
      <c r="AC192" s="254"/>
    </row>
    <row r="193" spans="1:29" ht="24">
      <c r="A193" s="67" t="s">
        <v>42031</v>
      </c>
      <c r="B193" s="65" t="s">
        <v>42032</v>
      </c>
      <c r="C193" s="71" t="s">
        <v>509</v>
      </c>
      <c r="D193" s="78">
        <v>1</v>
      </c>
      <c r="E193" s="79">
        <v>154.72</v>
      </c>
      <c r="F193" s="70">
        <v>154.72</v>
      </c>
      <c r="G193" s="320"/>
      <c r="H193" s="79">
        <v>63.18</v>
      </c>
      <c r="I193" s="79">
        <v>91.539999999999992</v>
      </c>
      <c r="J193" s="79">
        <v>154.72</v>
      </c>
      <c r="K193" s="79">
        <v>0</v>
      </c>
      <c r="L193" s="70">
        <v>154.72</v>
      </c>
      <c r="M193" s="132"/>
      <c r="N193" s="79">
        <v>63.18</v>
      </c>
      <c r="O193" s="79">
        <v>91.539999999999992</v>
      </c>
      <c r="P193" s="79">
        <v>154.72</v>
      </c>
      <c r="Q193" s="136"/>
      <c r="R193" s="79">
        <v>63.18</v>
      </c>
      <c r="S193" s="79">
        <v>91.55</v>
      </c>
      <c r="T193" s="79">
        <v>154.72999999999999</v>
      </c>
      <c r="U193" s="79">
        <v>0</v>
      </c>
      <c r="V193" s="189">
        <v>154.72999999999999</v>
      </c>
      <c r="X193" s="79">
        <v>63.18</v>
      </c>
      <c r="Y193" s="79">
        <v>91.55</v>
      </c>
      <c r="Z193" s="79">
        <v>154.72999999999999</v>
      </c>
      <c r="AA193" s="255">
        <v>-9.9999999999909051E-3</v>
      </c>
      <c r="AC193" s="254"/>
    </row>
    <row r="194" spans="1:29" ht="12">
      <c r="A194" s="67" t="s">
        <v>42033</v>
      </c>
      <c r="B194" s="65" t="s">
        <v>42034</v>
      </c>
      <c r="C194" s="71" t="s">
        <v>509</v>
      </c>
      <c r="D194" s="78">
        <v>1</v>
      </c>
      <c r="E194" s="79">
        <v>274.40999999999997</v>
      </c>
      <c r="F194" s="70">
        <v>274.41000000000003</v>
      </c>
      <c r="G194" s="320"/>
      <c r="H194" s="79">
        <v>182.87</v>
      </c>
      <c r="I194" s="79">
        <v>91.539999999999992</v>
      </c>
      <c r="J194" s="79">
        <v>274.40999999999997</v>
      </c>
      <c r="K194" s="79">
        <v>0</v>
      </c>
      <c r="L194" s="70">
        <v>274.40999999999997</v>
      </c>
      <c r="M194" s="132"/>
      <c r="N194" s="79">
        <v>182.87</v>
      </c>
      <c r="O194" s="79">
        <v>91.539999999999992</v>
      </c>
      <c r="P194" s="79">
        <v>274.40999999999997</v>
      </c>
      <c r="Q194" s="136"/>
      <c r="R194" s="79">
        <v>182.87</v>
      </c>
      <c r="S194" s="79">
        <v>91.55</v>
      </c>
      <c r="T194" s="79">
        <v>274.42</v>
      </c>
      <c r="U194" s="79">
        <v>0</v>
      </c>
      <c r="V194" s="189">
        <v>274.42</v>
      </c>
      <c r="X194" s="79">
        <v>182.87</v>
      </c>
      <c r="Y194" s="79">
        <v>91.55</v>
      </c>
      <c r="Z194" s="79">
        <v>274.42</v>
      </c>
      <c r="AA194" s="255">
        <v>-9.9999999999909051E-3</v>
      </c>
      <c r="AC194" s="254"/>
    </row>
    <row r="195" spans="1:29" s="61" customFormat="1" ht="24">
      <c r="A195" s="67" t="s">
        <v>10864</v>
      </c>
      <c r="B195" s="65" t="s">
        <v>10865</v>
      </c>
      <c r="C195" s="71" t="s">
        <v>121</v>
      </c>
      <c r="D195" s="78">
        <v>1</v>
      </c>
      <c r="E195" s="79">
        <v>103.74999999999999</v>
      </c>
      <c r="F195" s="70">
        <v>103.75</v>
      </c>
      <c r="G195" s="320"/>
      <c r="H195" s="79">
        <v>53.77</v>
      </c>
      <c r="I195" s="79">
        <v>49.980000000000004</v>
      </c>
      <c r="J195" s="79">
        <v>103.75</v>
      </c>
      <c r="K195" s="79">
        <v>0</v>
      </c>
      <c r="L195" s="70">
        <v>103.75</v>
      </c>
      <c r="M195" s="132"/>
      <c r="N195" s="79">
        <v>53.77</v>
      </c>
      <c r="O195" s="79">
        <v>49.980000000000004</v>
      </c>
      <c r="P195" s="79">
        <v>103.75</v>
      </c>
      <c r="Q195" s="136"/>
      <c r="R195" s="79">
        <v>53.77</v>
      </c>
      <c r="S195" s="79">
        <v>49.99</v>
      </c>
      <c r="T195" s="79">
        <v>103.76</v>
      </c>
      <c r="U195" s="79">
        <v>0</v>
      </c>
      <c r="V195" s="189">
        <v>103.76</v>
      </c>
      <c r="X195" s="79">
        <v>53.77</v>
      </c>
      <c r="Y195" s="79">
        <v>49.99</v>
      </c>
      <c r="Z195" s="79">
        <v>103.76</v>
      </c>
      <c r="AA195" s="255">
        <v>-1.0000000000005116E-2</v>
      </c>
      <c r="AC195" s="254"/>
    </row>
    <row r="196" spans="1:29" ht="12">
      <c r="A196" s="489" t="s">
        <v>10866</v>
      </c>
      <c r="B196" s="490" t="s">
        <v>10867</v>
      </c>
      <c r="C196" s="491"/>
      <c r="D196" s="492"/>
      <c r="E196" s="79"/>
      <c r="F196" s="63"/>
      <c r="G196" s="320"/>
      <c r="H196" s="79"/>
      <c r="I196" s="79"/>
      <c r="J196" s="79"/>
      <c r="K196" s="79"/>
      <c r="L196" s="70"/>
      <c r="M196" s="132"/>
      <c r="N196" s="79"/>
      <c r="O196" s="79"/>
      <c r="P196" s="79"/>
      <c r="Q196" s="136"/>
      <c r="R196" s="79"/>
      <c r="S196" s="79"/>
      <c r="T196" s="79"/>
      <c r="U196" s="79"/>
      <c r="V196" s="189"/>
      <c r="X196" s="79"/>
      <c r="Y196" s="79"/>
      <c r="Z196" s="79"/>
      <c r="AA196" s="255"/>
      <c r="AC196" s="254"/>
    </row>
    <row r="197" spans="1:29" ht="12">
      <c r="A197" s="67" t="s">
        <v>10868</v>
      </c>
      <c r="B197" s="65" t="s">
        <v>10869</v>
      </c>
      <c r="C197" s="71" t="s">
        <v>165</v>
      </c>
      <c r="D197" s="78">
        <v>1</v>
      </c>
      <c r="E197" s="79">
        <v>13.81</v>
      </c>
      <c r="F197" s="70">
        <v>13.81</v>
      </c>
      <c r="G197" s="320"/>
      <c r="H197" s="79">
        <v>0</v>
      </c>
      <c r="I197" s="79">
        <v>13.81</v>
      </c>
      <c r="J197" s="79">
        <v>13.81</v>
      </c>
      <c r="K197" s="79">
        <v>0</v>
      </c>
      <c r="L197" s="70">
        <v>13.81</v>
      </c>
      <c r="M197" s="132"/>
      <c r="N197" s="79"/>
      <c r="O197" s="79">
        <v>13.81</v>
      </c>
      <c r="P197" s="79">
        <v>13.81</v>
      </c>
      <c r="Q197" s="136"/>
      <c r="R197" s="79"/>
      <c r="S197" s="79">
        <v>13.83</v>
      </c>
      <c r="T197" s="79">
        <v>13.83</v>
      </c>
      <c r="U197" s="79">
        <v>0</v>
      </c>
      <c r="V197" s="189">
        <v>13.83</v>
      </c>
      <c r="X197" s="79"/>
      <c r="Y197" s="79">
        <v>13.83</v>
      </c>
      <c r="Z197" s="79">
        <v>13.83</v>
      </c>
      <c r="AA197" s="255">
        <v>-1.9999999999999574E-2</v>
      </c>
      <c r="AC197" s="254"/>
    </row>
    <row r="198" spans="1:29" ht="12">
      <c r="A198" s="67" t="s">
        <v>10870</v>
      </c>
      <c r="B198" s="65" t="s">
        <v>10871</v>
      </c>
      <c r="C198" s="71" t="s">
        <v>165</v>
      </c>
      <c r="D198" s="78">
        <v>1</v>
      </c>
      <c r="E198" s="79">
        <v>34.9</v>
      </c>
      <c r="F198" s="70">
        <v>34.9</v>
      </c>
      <c r="G198" s="320"/>
      <c r="H198" s="79">
        <v>0</v>
      </c>
      <c r="I198" s="79">
        <v>34.9</v>
      </c>
      <c r="J198" s="79">
        <v>34.9</v>
      </c>
      <c r="K198" s="79">
        <v>0</v>
      </c>
      <c r="L198" s="70">
        <v>34.9</v>
      </c>
      <c r="M198" s="132"/>
      <c r="N198" s="79"/>
      <c r="O198" s="79">
        <v>34.9</v>
      </c>
      <c r="P198" s="79">
        <v>34.9</v>
      </c>
      <c r="Q198" s="136"/>
      <c r="R198" s="79"/>
      <c r="S198" s="79">
        <v>34.909999999999997</v>
      </c>
      <c r="T198" s="79">
        <v>34.909999999999997</v>
      </c>
      <c r="U198" s="79">
        <v>0</v>
      </c>
      <c r="V198" s="189">
        <v>34.909999999999997</v>
      </c>
      <c r="X198" s="79"/>
      <c r="Y198" s="79">
        <v>34.909999999999997</v>
      </c>
      <c r="Z198" s="79">
        <v>34.909999999999997</v>
      </c>
      <c r="AA198" s="255">
        <v>-9.9999999999980105E-3</v>
      </c>
      <c r="AC198" s="254"/>
    </row>
    <row r="199" spans="1:29" ht="12">
      <c r="A199" s="67" t="s">
        <v>10872</v>
      </c>
      <c r="B199" s="65" t="s">
        <v>10873</v>
      </c>
      <c r="C199" s="71" t="s">
        <v>509</v>
      </c>
      <c r="D199" s="78">
        <v>1</v>
      </c>
      <c r="E199" s="79">
        <v>13.81</v>
      </c>
      <c r="F199" s="70">
        <v>13.81</v>
      </c>
      <c r="G199" s="320"/>
      <c r="H199" s="79">
        <v>0</v>
      </c>
      <c r="I199" s="79">
        <v>13.81</v>
      </c>
      <c r="J199" s="79">
        <v>13.81</v>
      </c>
      <c r="K199" s="79">
        <v>0</v>
      </c>
      <c r="L199" s="70">
        <v>13.81</v>
      </c>
      <c r="M199" s="132"/>
      <c r="N199" s="79"/>
      <c r="O199" s="79">
        <v>13.81</v>
      </c>
      <c r="P199" s="79">
        <v>13.81</v>
      </c>
      <c r="Q199" s="136"/>
      <c r="R199" s="79"/>
      <c r="S199" s="79">
        <v>13.83</v>
      </c>
      <c r="T199" s="79">
        <v>13.83</v>
      </c>
      <c r="U199" s="79">
        <v>0</v>
      </c>
      <c r="V199" s="189">
        <v>13.83</v>
      </c>
      <c r="X199" s="79"/>
      <c r="Y199" s="79">
        <v>13.83</v>
      </c>
      <c r="Z199" s="79">
        <v>13.83</v>
      </c>
      <c r="AA199" s="255">
        <v>-1.9999999999999574E-2</v>
      </c>
      <c r="AC199" s="254"/>
    </row>
    <row r="200" spans="1:29" ht="12">
      <c r="A200" s="67" t="s">
        <v>10874</v>
      </c>
      <c r="B200" s="65" t="s">
        <v>10875</v>
      </c>
      <c r="C200" s="71" t="s">
        <v>509</v>
      </c>
      <c r="D200" s="78">
        <v>1</v>
      </c>
      <c r="E200" s="79">
        <v>34.9</v>
      </c>
      <c r="F200" s="70">
        <v>34.9</v>
      </c>
      <c r="G200" s="320"/>
      <c r="H200" s="79">
        <v>0</v>
      </c>
      <c r="I200" s="79">
        <v>34.9</v>
      </c>
      <c r="J200" s="79">
        <v>34.9</v>
      </c>
      <c r="K200" s="79">
        <v>0</v>
      </c>
      <c r="L200" s="70">
        <v>34.9</v>
      </c>
      <c r="M200" s="132"/>
      <c r="N200" s="79"/>
      <c r="O200" s="79">
        <v>34.9</v>
      </c>
      <c r="P200" s="79">
        <v>34.9</v>
      </c>
      <c r="Q200" s="136"/>
      <c r="R200" s="79"/>
      <c r="S200" s="79">
        <v>34.909999999999997</v>
      </c>
      <c r="T200" s="79">
        <v>34.909999999999997</v>
      </c>
      <c r="U200" s="79">
        <v>0</v>
      </c>
      <c r="V200" s="189">
        <v>34.909999999999997</v>
      </c>
      <c r="X200" s="79"/>
      <c r="Y200" s="79">
        <v>34.909999999999997</v>
      </c>
      <c r="Z200" s="79">
        <v>34.909999999999997</v>
      </c>
      <c r="AA200" s="255">
        <v>-9.9999999999980105E-3</v>
      </c>
      <c r="AC200" s="254"/>
    </row>
    <row r="201" spans="1:29" ht="12">
      <c r="A201" s="67" t="s">
        <v>10876</v>
      </c>
      <c r="B201" s="65" t="s">
        <v>10877</v>
      </c>
      <c r="C201" s="71" t="s">
        <v>142</v>
      </c>
      <c r="D201" s="78">
        <v>1</v>
      </c>
      <c r="E201" s="79">
        <v>2134.14</v>
      </c>
      <c r="F201" s="70">
        <v>2134.14</v>
      </c>
      <c r="G201" s="320"/>
      <c r="H201" s="79">
        <v>2134.14</v>
      </c>
      <c r="I201" s="79">
        <v>0</v>
      </c>
      <c r="J201" s="79">
        <v>2134.14</v>
      </c>
      <c r="K201" s="79">
        <v>0</v>
      </c>
      <c r="L201" s="70">
        <v>2134.14</v>
      </c>
      <c r="M201" s="132"/>
      <c r="N201" s="79">
        <v>2134.14</v>
      </c>
      <c r="O201" s="79"/>
      <c r="P201" s="79">
        <v>2134.14</v>
      </c>
      <c r="Q201" s="136"/>
      <c r="R201" s="79">
        <v>2134.14</v>
      </c>
      <c r="S201" s="79"/>
      <c r="T201" s="79">
        <v>2134.14</v>
      </c>
      <c r="U201" s="79">
        <v>0</v>
      </c>
      <c r="V201" s="189">
        <v>2134.14</v>
      </c>
      <c r="X201" s="79">
        <v>2134.14</v>
      </c>
      <c r="Y201" s="79"/>
      <c r="Z201" s="79">
        <v>2134.14</v>
      </c>
      <c r="AA201" s="255">
        <v>0</v>
      </c>
      <c r="AC201" s="254"/>
    </row>
    <row r="202" spans="1:29" ht="12">
      <c r="A202" s="67" t="s">
        <v>10878</v>
      </c>
      <c r="B202" s="65" t="s">
        <v>10879</v>
      </c>
      <c r="C202" s="71" t="s">
        <v>133</v>
      </c>
      <c r="D202" s="78">
        <v>1</v>
      </c>
      <c r="E202" s="79">
        <v>28.34</v>
      </c>
      <c r="F202" s="70">
        <v>28.34</v>
      </c>
      <c r="G202" s="320"/>
      <c r="H202" s="79">
        <v>22.89</v>
      </c>
      <c r="I202" s="79">
        <v>5.45</v>
      </c>
      <c r="J202" s="79">
        <v>28.34</v>
      </c>
      <c r="K202" s="79">
        <v>0</v>
      </c>
      <c r="L202" s="70">
        <v>28.34</v>
      </c>
      <c r="M202" s="132"/>
      <c r="N202" s="79">
        <v>22.89</v>
      </c>
      <c r="O202" s="79">
        <v>5.45</v>
      </c>
      <c r="P202" s="79">
        <v>28.34</v>
      </c>
      <c r="Q202" s="136"/>
      <c r="R202" s="79">
        <v>22.89</v>
      </c>
      <c r="S202" s="79">
        <v>5.45</v>
      </c>
      <c r="T202" s="79">
        <v>28.34</v>
      </c>
      <c r="U202" s="79">
        <v>0</v>
      </c>
      <c r="V202" s="189">
        <v>28.34</v>
      </c>
      <c r="X202" s="79">
        <v>22.89</v>
      </c>
      <c r="Y202" s="79">
        <v>5.45</v>
      </c>
      <c r="Z202" s="79">
        <v>28.34</v>
      </c>
      <c r="AA202" s="255">
        <v>0</v>
      </c>
      <c r="AC202" s="254"/>
    </row>
    <row r="203" spans="1:29" s="61" customFormat="1" ht="12">
      <c r="A203" s="67" t="s">
        <v>10880</v>
      </c>
      <c r="B203" s="65" t="s">
        <v>10881</v>
      </c>
      <c r="C203" s="71" t="s">
        <v>10857</v>
      </c>
      <c r="D203" s="78">
        <v>1</v>
      </c>
      <c r="E203" s="79">
        <v>25.529999999999998</v>
      </c>
      <c r="F203" s="70">
        <v>25.53</v>
      </c>
      <c r="G203" s="320"/>
      <c r="H203" s="79">
        <v>20.079999999999998</v>
      </c>
      <c r="I203" s="79">
        <v>5.45</v>
      </c>
      <c r="J203" s="79">
        <v>25.529999999999998</v>
      </c>
      <c r="K203" s="79">
        <v>0</v>
      </c>
      <c r="L203" s="70">
        <v>25.529999999999998</v>
      </c>
      <c r="M203" s="132"/>
      <c r="N203" s="79">
        <v>20.079999999999998</v>
      </c>
      <c r="O203" s="79">
        <v>5.45</v>
      </c>
      <c r="P203" s="79">
        <v>25.529999999999998</v>
      </c>
      <c r="Q203" s="136"/>
      <c r="R203" s="79">
        <v>20.079999999999998</v>
      </c>
      <c r="S203" s="79">
        <v>5.45</v>
      </c>
      <c r="T203" s="79">
        <v>25.529999999999998</v>
      </c>
      <c r="U203" s="79">
        <v>0</v>
      </c>
      <c r="V203" s="189">
        <v>25.529999999999998</v>
      </c>
      <c r="X203" s="79">
        <v>20.079999999999998</v>
      </c>
      <c r="Y203" s="79">
        <v>5.45</v>
      </c>
      <c r="Z203" s="79">
        <v>25.53</v>
      </c>
      <c r="AA203" s="255">
        <v>0</v>
      </c>
      <c r="AC203" s="254"/>
    </row>
    <row r="204" spans="1:29" s="61" customFormat="1" ht="12">
      <c r="A204" s="489" t="s">
        <v>10882</v>
      </c>
      <c r="B204" s="490" t="s">
        <v>10883</v>
      </c>
      <c r="C204" s="491"/>
      <c r="D204" s="78"/>
      <c r="E204" s="79"/>
      <c r="F204" s="70"/>
      <c r="G204" s="320"/>
      <c r="H204" s="79"/>
      <c r="I204" s="79"/>
      <c r="J204" s="79"/>
      <c r="K204" s="79"/>
      <c r="L204" s="70"/>
      <c r="M204" s="132"/>
      <c r="N204" s="79"/>
      <c r="O204" s="79"/>
      <c r="P204" s="79"/>
      <c r="Q204" s="136"/>
      <c r="R204" s="79"/>
      <c r="S204" s="79"/>
      <c r="T204" s="79"/>
      <c r="U204" s="79"/>
      <c r="V204" s="189"/>
      <c r="X204" s="79"/>
      <c r="Y204" s="79"/>
      <c r="Z204" s="79"/>
      <c r="AA204" s="255"/>
      <c r="AC204" s="254"/>
    </row>
    <row r="205" spans="1:29" ht="24">
      <c r="A205" s="67" t="s">
        <v>10884</v>
      </c>
      <c r="B205" s="65" t="s">
        <v>10885</v>
      </c>
      <c r="C205" s="71" t="s">
        <v>142</v>
      </c>
      <c r="D205" s="78">
        <v>1</v>
      </c>
      <c r="E205" s="79">
        <v>13352.55</v>
      </c>
      <c r="F205" s="70">
        <v>13352.55</v>
      </c>
      <c r="G205" s="320"/>
      <c r="H205" s="79">
        <v>9490.9</v>
      </c>
      <c r="I205" s="79">
        <v>3861.65</v>
      </c>
      <c r="J205" s="79">
        <v>13352.55</v>
      </c>
      <c r="K205" s="79">
        <v>0</v>
      </c>
      <c r="L205" s="70">
        <v>13352.55</v>
      </c>
      <c r="M205" s="132"/>
      <c r="N205" s="78">
        <v>9490.9</v>
      </c>
      <c r="O205" s="78">
        <v>3861.65</v>
      </c>
      <c r="P205" s="79">
        <v>13352.55</v>
      </c>
      <c r="Q205" s="136"/>
      <c r="R205" s="79">
        <v>9490.9</v>
      </c>
      <c r="S205" s="79">
        <v>3861.9</v>
      </c>
      <c r="T205" s="79">
        <v>13352.8</v>
      </c>
      <c r="U205" s="79">
        <v>0</v>
      </c>
      <c r="V205" s="189">
        <v>13352.8</v>
      </c>
      <c r="X205" s="78">
        <v>9490.9</v>
      </c>
      <c r="Y205" s="78">
        <v>3861.9</v>
      </c>
      <c r="Z205" s="79">
        <v>13352.8</v>
      </c>
      <c r="AA205" s="255">
        <v>-0.25</v>
      </c>
      <c r="AC205" s="254"/>
    </row>
    <row r="206" spans="1:29" ht="24">
      <c r="A206" s="67" t="s">
        <v>10886</v>
      </c>
      <c r="B206" s="65" t="s">
        <v>10887</v>
      </c>
      <c r="C206" s="71" t="s">
        <v>142</v>
      </c>
      <c r="D206" s="78">
        <v>1</v>
      </c>
      <c r="E206" s="79">
        <v>21713.15</v>
      </c>
      <c r="F206" s="70">
        <v>21713.15</v>
      </c>
      <c r="G206" s="320"/>
      <c r="H206" s="79">
        <v>17851.5</v>
      </c>
      <c r="I206" s="79">
        <v>3861.65</v>
      </c>
      <c r="J206" s="79">
        <v>21713.15</v>
      </c>
      <c r="K206" s="79">
        <v>0</v>
      </c>
      <c r="L206" s="70">
        <v>21713.15</v>
      </c>
      <c r="M206" s="132"/>
      <c r="N206" s="78">
        <v>17851.5</v>
      </c>
      <c r="O206" s="78">
        <v>3861.65</v>
      </c>
      <c r="P206" s="79">
        <v>21713.15</v>
      </c>
      <c r="Q206" s="136"/>
      <c r="R206" s="79">
        <v>17851.5</v>
      </c>
      <c r="S206" s="79">
        <v>3861.9</v>
      </c>
      <c r="T206" s="79">
        <v>21713.4</v>
      </c>
      <c r="U206" s="79">
        <v>0</v>
      </c>
      <c r="V206" s="189">
        <v>21713.4</v>
      </c>
      <c r="X206" s="78">
        <v>17851.5</v>
      </c>
      <c r="Y206" s="78">
        <v>3861.9</v>
      </c>
      <c r="Z206" s="79">
        <v>21713.4</v>
      </c>
      <c r="AA206" s="255">
        <v>-0.25</v>
      </c>
      <c r="AC206" s="254"/>
    </row>
    <row r="207" spans="1:29" ht="12">
      <c r="A207" s="489" t="s">
        <v>10888</v>
      </c>
      <c r="B207" s="490" t="s">
        <v>10889</v>
      </c>
      <c r="C207" s="491"/>
      <c r="D207" s="492"/>
      <c r="E207" s="79"/>
      <c r="F207" s="63"/>
      <c r="G207" s="320"/>
      <c r="H207" s="79"/>
      <c r="I207" s="79"/>
      <c r="J207" s="79"/>
      <c r="K207" s="79"/>
      <c r="L207" s="70"/>
      <c r="M207" s="132"/>
      <c r="N207" s="79"/>
      <c r="O207" s="79"/>
      <c r="P207" s="79"/>
      <c r="Q207" s="136"/>
      <c r="R207" s="79"/>
      <c r="S207" s="79"/>
      <c r="T207" s="79"/>
      <c r="U207" s="79"/>
      <c r="V207" s="189"/>
      <c r="X207" s="79"/>
      <c r="Y207" s="79"/>
      <c r="Z207" s="79"/>
      <c r="AA207" s="255"/>
      <c r="AC207" s="254"/>
    </row>
    <row r="208" spans="1:29" ht="12">
      <c r="A208" s="67" t="s">
        <v>10890</v>
      </c>
      <c r="B208" s="65" t="s">
        <v>10891</v>
      </c>
      <c r="C208" s="71" t="s">
        <v>509</v>
      </c>
      <c r="D208" s="78">
        <v>1</v>
      </c>
      <c r="E208" s="79">
        <v>889.61000000000024</v>
      </c>
      <c r="F208" s="70">
        <v>889.61</v>
      </c>
      <c r="G208" s="320"/>
      <c r="H208" s="79">
        <v>785.26000000000022</v>
      </c>
      <c r="I208" s="79">
        <v>104.35</v>
      </c>
      <c r="J208" s="79">
        <v>889.61000000000024</v>
      </c>
      <c r="K208" s="79">
        <v>0</v>
      </c>
      <c r="L208" s="70">
        <v>889.61000000000024</v>
      </c>
      <c r="M208" s="132"/>
      <c r="N208" s="79">
        <v>785.26000000000022</v>
      </c>
      <c r="O208" s="79">
        <v>104.35</v>
      </c>
      <c r="P208" s="79">
        <v>889.61000000000024</v>
      </c>
      <c r="Q208" s="136"/>
      <c r="R208" s="79">
        <v>785.26</v>
      </c>
      <c r="S208" s="79">
        <v>104.34</v>
      </c>
      <c r="T208" s="79">
        <v>889.6</v>
      </c>
      <c r="U208" s="79">
        <v>0</v>
      </c>
      <c r="V208" s="189">
        <v>889.6</v>
      </c>
      <c r="X208" s="79">
        <v>785.26</v>
      </c>
      <c r="Y208" s="79">
        <v>104.34</v>
      </c>
      <c r="Z208" s="79">
        <v>889.6</v>
      </c>
      <c r="AA208" s="255">
        <v>9.9999999999909051E-3</v>
      </c>
      <c r="AC208" s="254"/>
    </row>
    <row r="209" spans="1:29" ht="12">
      <c r="A209" s="67" t="s">
        <v>10892</v>
      </c>
      <c r="B209" s="65" t="s">
        <v>10893</v>
      </c>
      <c r="C209" s="71" t="s">
        <v>509</v>
      </c>
      <c r="D209" s="78">
        <v>1</v>
      </c>
      <c r="E209" s="79">
        <v>442.96000000000004</v>
      </c>
      <c r="F209" s="70">
        <v>442.96</v>
      </c>
      <c r="G209" s="320"/>
      <c r="H209" s="79">
        <v>413.56</v>
      </c>
      <c r="I209" s="79">
        <v>29.4</v>
      </c>
      <c r="J209" s="79">
        <v>442.96</v>
      </c>
      <c r="K209" s="79">
        <v>0</v>
      </c>
      <c r="L209" s="70">
        <v>442.96</v>
      </c>
      <c r="M209" s="132"/>
      <c r="N209" s="79">
        <v>413.56</v>
      </c>
      <c r="O209" s="79">
        <v>29.4</v>
      </c>
      <c r="P209" s="79">
        <v>442.96</v>
      </c>
      <c r="Q209" s="136"/>
      <c r="R209" s="79">
        <v>413.56</v>
      </c>
      <c r="S209" s="79">
        <v>29.39</v>
      </c>
      <c r="T209" s="79">
        <v>442.95</v>
      </c>
      <c r="U209" s="79">
        <v>0</v>
      </c>
      <c r="V209" s="189">
        <v>442.95</v>
      </c>
      <c r="X209" s="79">
        <v>413.56</v>
      </c>
      <c r="Y209" s="79">
        <v>29.39</v>
      </c>
      <c r="Z209" s="79">
        <v>442.95</v>
      </c>
      <c r="AA209" s="255">
        <v>9.9999999999909051E-3</v>
      </c>
      <c r="AC209" s="254"/>
    </row>
    <row r="210" spans="1:29" s="61" customFormat="1" ht="12">
      <c r="A210" s="67" t="s">
        <v>10894</v>
      </c>
      <c r="B210" s="65" t="s">
        <v>10895</v>
      </c>
      <c r="C210" s="71" t="s">
        <v>509</v>
      </c>
      <c r="D210" s="78">
        <v>1</v>
      </c>
      <c r="E210" s="79">
        <v>205.77</v>
      </c>
      <c r="F210" s="70">
        <v>205.77</v>
      </c>
      <c r="G210" s="320"/>
      <c r="H210" s="79">
        <v>146.20000000000002</v>
      </c>
      <c r="I210" s="79">
        <v>59.57</v>
      </c>
      <c r="J210" s="79">
        <v>205.77</v>
      </c>
      <c r="K210" s="79">
        <v>0</v>
      </c>
      <c r="L210" s="70">
        <v>205.77</v>
      </c>
      <c r="M210" s="132"/>
      <c r="N210" s="79">
        <v>146.20000000000002</v>
      </c>
      <c r="O210" s="79">
        <v>59.57</v>
      </c>
      <c r="P210" s="79">
        <v>205.77</v>
      </c>
      <c r="Q210" s="136"/>
      <c r="R210" s="79">
        <v>146.19999999999999</v>
      </c>
      <c r="S210" s="79">
        <v>59.57</v>
      </c>
      <c r="T210" s="79">
        <v>205.76999999999998</v>
      </c>
      <c r="U210" s="79">
        <v>0</v>
      </c>
      <c r="V210" s="189">
        <v>205.76999999999998</v>
      </c>
      <c r="X210" s="79">
        <v>146.19999999999999</v>
      </c>
      <c r="Y210" s="79">
        <v>59.57</v>
      </c>
      <c r="Z210" s="79">
        <v>205.77</v>
      </c>
      <c r="AA210" s="255">
        <v>0</v>
      </c>
      <c r="AC210" s="254"/>
    </row>
    <row r="211" spans="1:29" s="61" customFormat="1" ht="12">
      <c r="A211" s="489" t="s">
        <v>10896</v>
      </c>
      <c r="B211" s="490" t="s">
        <v>10897</v>
      </c>
      <c r="C211" s="491"/>
      <c r="D211" s="492"/>
      <c r="E211" s="79"/>
      <c r="F211" s="63"/>
      <c r="G211" s="320"/>
      <c r="H211" s="79"/>
      <c r="I211" s="79"/>
      <c r="J211" s="79"/>
      <c r="K211" s="79"/>
      <c r="L211" s="70"/>
      <c r="M211" s="132"/>
      <c r="N211" s="79"/>
      <c r="O211" s="79"/>
      <c r="P211" s="79"/>
      <c r="Q211" s="136"/>
      <c r="R211" s="79"/>
      <c r="S211" s="79"/>
      <c r="T211" s="79"/>
      <c r="U211" s="79"/>
      <c r="V211" s="189"/>
      <c r="X211" s="79"/>
      <c r="Y211" s="79"/>
      <c r="Z211" s="79"/>
      <c r="AA211" s="255"/>
      <c r="AC211" s="254"/>
    </row>
    <row r="212" spans="1:29" ht="24">
      <c r="A212" s="67" t="s">
        <v>10898</v>
      </c>
      <c r="B212" s="65" t="s">
        <v>10899</v>
      </c>
      <c r="C212" s="71" t="s">
        <v>509</v>
      </c>
      <c r="D212" s="78">
        <v>1</v>
      </c>
      <c r="E212" s="79">
        <v>8.33</v>
      </c>
      <c r="F212" s="70">
        <v>8.33</v>
      </c>
      <c r="G212" s="320"/>
      <c r="H212" s="79">
        <v>2.65</v>
      </c>
      <c r="I212" s="79">
        <v>5.68</v>
      </c>
      <c r="J212" s="79">
        <v>8.33</v>
      </c>
      <c r="K212" s="79">
        <v>0</v>
      </c>
      <c r="L212" s="70">
        <v>8.33</v>
      </c>
      <c r="M212" s="132"/>
      <c r="N212" s="79">
        <v>2.65</v>
      </c>
      <c r="O212" s="79">
        <v>5.68</v>
      </c>
      <c r="P212" s="79">
        <v>8.33</v>
      </c>
      <c r="Q212" s="136"/>
      <c r="R212" s="79">
        <v>2.65</v>
      </c>
      <c r="S212" s="79">
        <v>5.68</v>
      </c>
      <c r="T212" s="79">
        <v>8.33</v>
      </c>
      <c r="U212" s="79">
        <v>0</v>
      </c>
      <c r="V212" s="189">
        <v>8.33</v>
      </c>
      <c r="X212" s="79">
        <v>2.65</v>
      </c>
      <c r="Y212" s="79">
        <v>5.68</v>
      </c>
      <c r="Z212" s="79">
        <v>8.33</v>
      </c>
      <c r="AA212" s="255">
        <v>0</v>
      </c>
      <c r="AC212" s="254"/>
    </row>
    <row r="213" spans="1:29" ht="24">
      <c r="A213" s="67" t="s">
        <v>10900</v>
      </c>
      <c r="B213" s="65" t="s">
        <v>10901</v>
      </c>
      <c r="C213" s="71" t="s">
        <v>509</v>
      </c>
      <c r="D213" s="78">
        <v>1</v>
      </c>
      <c r="E213" s="79">
        <v>5.37</v>
      </c>
      <c r="F213" s="70">
        <v>5.37</v>
      </c>
      <c r="G213" s="320"/>
      <c r="H213" s="79">
        <v>5.1899999999999995</v>
      </c>
      <c r="I213" s="79">
        <v>0.18</v>
      </c>
      <c r="J213" s="79">
        <v>5.3699999999999992</v>
      </c>
      <c r="K213" s="79">
        <v>0</v>
      </c>
      <c r="L213" s="70">
        <v>5.3699999999999992</v>
      </c>
      <c r="M213" s="132"/>
      <c r="N213" s="79">
        <v>5.1899999999999995</v>
      </c>
      <c r="O213" s="79">
        <v>0.18</v>
      </c>
      <c r="P213" s="79">
        <v>5.3699999999999992</v>
      </c>
      <c r="Q213" s="136"/>
      <c r="R213" s="79">
        <v>5.19</v>
      </c>
      <c r="S213" s="79">
        <v>0.18</v>
      </c>
      <c r="T213" s="79">
        <v>5.37</v>
      </c>
      <c r="U213" s="79">
        <v>0</v>
      </c>
      <c r="V213" s="189">
        <v>5.37</v>
      </c>
      <c r="X213" s="79">
        <v>5.19</v>
      </c>
      <c r="Y213" s="79">
        <v>0.18</v>
      </c>
      <c r="Z213" s="79">
        <v>5.37</v>
      </c>
      <c r="AA213" s="255">
        <v>0</v>
      </c>
      <c r="AC213" s="254"/>
    </row>
    <row r="214" spans="1:29" ht="24">
      <c r="A214" s="67" t="s">
        <v>10902</v>
      </c>
      <c r="B214" s="65" t="s">
        <v>10903</v>
      </c>
      <c r="C214" s="71" t="s">
        <v>509</v>
      </c>
      <c r="D214" s="78">
        <v>1</v>
      </c>
      <c r="E214" s="79">
        <v>5.9</v>
      </c>
      <c r="F214" s="70">
        <v>5.9</v>
      </c>
      <c r="G214" s="320"/>
      <c r="H214" s="79">
        <v>5.72</v>
      </c>
      <c r="I214" s="79">
        <v>0.18</v>
      </c>
      <c r="J214" s="79">
        <v>5.8999999999999995</v>
      </c>
      <c r="K214" s="79">
        <v>0</v>
      </c>
      <c r="L214" s="70">
        <v>5.8999999999999995</v>
      </c>
      <c r="M214" s="132"/>
      <c r="N214" s="79">
        <v>5.72</v>
      </c>
      <c r="O214" s="79">
        <v>0.18</v>
      </c>
      <c r="P214" s="79">
        <v>5.8999999999999995</v>
      </c>
      <c r="Q214" s="136"/>
      <c r="R214" s="79">
        <v>5.72</v>
      </c>
      <c r="S214" s="79">
        <v>0.18</v>
      </c>
      <c r="T214" s="79">
        <v>5.8999999999999995</v>
      </c>
      <c r="U214" s="79">
        <v>0</v>
      </c>
      <c r="V214" s="189">
        <v>5.8999999999999995</v>
      </c>
      <c r="X214" s="79">
        <v>5.72</v>
      </c>
      <c r="Y214" s="79">
        <v>0.18</v>
      </c>
      <c r="Z214" s="79">
        <v>5.9</v>
      </c>
      <c r="AA214" s="255">
        <v>0</v>
      </c>
      <c r="AC214" s="254"/>
    </row>
    <row r="215" spans="1:29" ht="12">
      <c r="A215" s="67" t="s">
        <v>10904</v>
      </c>
      <c r="B215" s="65" t="s">
        <v>10905</v>
      </c>
      <c r="C215" s="71" t="s">
        <v>121</v>
      </c>
      <c r="D215" s="78">
        <v>1</v>
      </c>
      <c r="E215" s="79">
        <v>80.069999999999993</v>
      </c>
      <c r="F215" s="70">
        <v>80.069999999999993</v>
      </c>
      <c r="G215" s="320"/>
      <c r="H215" s="79">
        <v>69.849999999999994</v>
      </c>
      <c r="I215" s="79">
        <v>10.220000000000001</v>
      </c>
      <c r="J215" s="79">
        <v>80.069999999999993</v>
      </c>
      <c r="K215" s="79">
        <v>0</v>
      </c>
      <c r="L215" s="70">
        <v>80.069999999999993</v>
      </c>
      <c r="M215" s="132"/>
      <c r="N215" s="79">
        <v>69.849999999999994</v>
      </c>
      <c r="O215" s="79">
        <v>10.220000000000001</v>
      </c>
      <c r="P215" s="79">
        <v>80.069999999999993</v>
      </c>
      <c r="Q215" s="136"/>
      <c r="R215" s="79">
        <v>69.849999999999994</v>
      </c>
      <c r="S215" s="79">
        <v>10.220000000000001</v>
      </c>
      <c r="T215" s="79">
        <v>80.069999999999993</v>
      </c>
      <c r="U215" s="79">
        <v>0</v>
      </c>
      <c r="V215" s="189">
        <v>80.069999999999993</v>
      </c>
      <c r="X215" s="79">
        <v>69.849999999999994</v>
      </c>
      <c r="Y215" s="79">
        <v>10.220000000000001</v>
      </c>
      <c r="Z215" s="79">
        <v>80.069999999999993</v>
      </c>
      <c r="AA215" s="255">
        <v>0</v>
      </c>
      <c r="AC215" s="254"/>
    </row>
    <row r="216" spans="1:29" ht="12">
      <c r="A216" s="67" t="s">
        <v>10906</v>
      </c>
      <c r="B216" s="65" t="s">
        <v>10907</v>
      </c>
      <c r="C216" s="71" t="s">
        <v>121</v>
      </c>
      <c r="D216" s="78">
        <v>1</v>
      </c>
      <c r="E216" s="79">
        <v>94.29</v>
      </c>
      <c r="F216" s="70">
        <v>94.29</v>
      </c>
      <c r="G216" s="320"/>
      <c r="H216" s="79">
        <v>82.26</v>
      </c>
      <c r="I216" s="79">
        <v>12.03</v>
      </c>
      <c r="J216" s="79">
        <v>94.29</v>
      </c>
      <c r="K216" s="79">
        <v>0</v>
      </c>
      <c r="L216" s="70">
        <v>94.29</v>
      </c>
      <c r="M216" s="132"/>
      <c r="N216" s="79">
        <v>82.26</v>
      </c>
      <c r="O216" s="79">
        <v>12.03</v>
      </c>
      <c r="P216" s="79">
        <v>94.29</v>
      </c>
      <c r="Q216" s="136"/>
      <c r="R216" s="79">
        <v>82.26</v>
      </c>
      <c r="S216" s="79">
        <v>12.04</v>
      </c>
      <c r="T216" s="79">
        <v>94.300000000000011</v>
      </c>
      <c r="U216" s="79">
        <v>0</v>
      </c>
      <c r="V216" s="189">
        <v>94.300000000000011</v>
      </c>
      <c r="X216" s="79">
        <v>82.26</v>
      </c>
      <c r="Y216" s="79">
        <v>12.04</v>
      </c>
      <c r="Z216" s="79">
        <v>94.3</v>
      </c>
      <c r="AA216" s="255">
        <v>-9.9999999999909051E-3</v>
      </c>
      <c r="AC216" s="254"/>
    </row>
    <row r="217" spans="1:29" ht="12">
      <c r="A217" s="489" t="s">
        <v>10908</v>
      </c>
      <c r="B217" s="490" t="s">
        <v>10909</v>
      </c>
      <c r="C217" s="491"/>
      <c r="D217" s="492"/>
      <c r="E217" s="79"/>
      <c r="F217" s="63"/>
      <c r="G217" s="320"/>
      <c r="H217" s="79"/>
      <c r="I217" s="79"/>
      <c r="J217" s="79"/>
      <c r="K217" s="79"/>
      <c r="L217" s="70"/>
      <c r="M217" s="132"/>
      <c r="N217" s="79"/>
      <c r="O217" s="79"/>
      <c r="P217" s="79"/>
      <c r="Q217" s="136"/>
      <c r="R217" s="79"/>
      <c r="S217" s="79"/>
      <c r="T217" s="79"/>
      <c r="U217" s="79"/>
      <c r="V217" s="189"/>
      <c r="X217" s="79"/>
      <c r="Y217" s="79"/>
      <c r="Z217" s="79"/>
      <c r="AA217" s="255"/>
      <c r="AC217" s="254"/>
    </row>
    <row r="218" spans="1:29" ht="12">
      <c r="A218" s="67" t="s">
        <v>10910</v>
      </c>
      <c r="B218" s="65" t="s">
        <v>10911</v>
      </c>
      <c r="C218" s="71" t="s">
        <v>509</v>
      </c>
      <c r="D218" s="78">
        <v>1</v>
      </c>
      <c r="E218" s="79">
        <v>17.820000000000004</v>
      </c>
      <c r="F218" s="70">
        <v>17.82</v>
      </c>
      <c r="G218" s="320"/>
      <c r="H218" s="79">
        <v>11.290000000000001</v>
      </c>
      <c r="I218" s="79">
        <v>6.53</v>
      </c>
      <c r="J218" s="79">
        <v>17.82</v>
      </c>
      <c r="K218" s="79">
        <v>0</v>
      </c>
      <c r="L218" s="70">
        <v>17.82</v>
      </c>
      <c r="M218" s="132"/>
      <c r="N218" s="79">
        <v>11.290000000000001</v>
      </c>
      <c r="O218" s="79">
        <v>6.53</v>
      </c>
      <c r="P218" s="79">
        <v>17.82</v>
      </c>
      <c r="Q218" s="136"/>
      <c r="R218" s="79">
        <v>11.29</v>
      </c>
      <c r="S218" s="79">
        <v>6.54</v>
      </c>
      <c r="T218" s="79">
        <v>17.829999999999998</v>
      </c>
      <c r="U218" s="79">
        <v>0</v>
      </c>
      <c r="V218" s="189">
        <v>17.829999999999998</v>
      </c>
      <c r="X218" s="79">
        <v>11.29</v>
      </c>
      <c r="Y218" s="79">
        <v>6.54</v>
      </c>
      <c r="Z218" s="79">
        <v>17.829999999999998</v>
      </c>
      <c r="AA218" s="255">
        <v>-9.9999999999980105E-3</v>
      </c>
      <c r="AC218" s="254"/>
    </row>
    <row r="219" spans="1:29" ht="12">
      <c r="A219" s="67" t="s">
        <v>10912</v>
      </c>
      <c r="B219" s="65" t="s">
        <v>10913</v>
      </c>
      <c r="C219" s="71" t="s">
        <v>165</v>
      </c>
      <c r="D219" s="78">
        <v>1</v>
      </c>
      <c r="E219" s="79">
        <v>1.51</v>
      </c>
      <c r="F219" s="70">
        <v>1.51</v>
      </c>
      <c r="G219" s="320"/>
      <c r="H219" s="79">
        <v>1.05</v>
      </c>
      <c r="I219" s="79">
        <v>0.46</v>
      </c>
      <c r="J219" s="79">
        <v>1.51</v>
      </c>
      <c r="K219" s="79">
        <v>0</v>
      </c>
      <c r="L219" s="70">
        <v>1.51</v>
      </c>
      <c r="M219" s="132"/>
      <c r="N219" s="79">
        <v>1.05</v>
      </c>
      <c r="O219" s="79">
        <v>0.46</v>
      </c>
      <c r="P219" s="79">
        <v>1.51</v>
      </c>
      <c r="Q219" s="136"/>
      <c r="R219" s="79">
        <v>1.05</v>
      </c>
      <c r="S219" s="79">
        <v>0.46</v>
      </c>
      <c r="T219" s="79">
        <v>1.51</v>
      </c>
      <c r="U219" s="79">
        <v>0</v>
      </c>
      <c r="V219" s="189">
        <v>1.51</v>
      </c>
      <c r="X219" s="79">
        <v>1.05</v>
      </c>
      <c r="Y219" s="79">
        <v>0.46</v>
      </c>
      <c r="Z219" s="79">
        <v>1.51</v>
      </c>
      <c r="AA219" s="255">
        <v>0</v>
      </c>
      <c r="AC219" s="254"/>
    </row>
    <row r="220" spans="1:29" ht="12">
      <c r="A220" s="67" t="s">
        <v>10914</v>
      </c>
      <c r="B220" s="65" t="s">
        <v>10915</v>
      </c>
      <c r="C220" s="71" t="s">
        <v>165</v>
      </c>
      <c r="D220" s="78">
        <v>1</v>
      </c>
      <c r="E220" s="79">
        <v>1.51</v>
      </c>
      <c r="F220" s="70">
        <v>1.51</v>
      </c>
      <c r="G220" s="320"/>
      <c r="H220" s="79">
        <v>1.05</v>
      </c>
      <c r="I220" s="79">
        <v>0.46</v>
      </c>
      <c r="J220" s="79">
        <v>1.51</v>
      </c>
      <c r="K220" s="79">
        <v>0</v>
      </c>
      <c r="L220" s="70">
        <v>1.51</v>
      </c>
      <c r="M220" s="132"/>
      <c r="N220" s="79">
        <v>1.05</v>
      </c>
      <c r="O220" s="79">
        <v>0.46</v>
      </c>
      <c r="P220" s="79">
        <v>1.51</v>
      </c>
      <c r="Q220" s="136"/>
      <c r="R220" s="79">
        <v>1.05</v>
      </c>
      <c r="S220" s="79">
        <v>0.46</v>
      </c>
      <c r="T220" s="79">
        <v>1.51</v>
      </c>
      <c r="U220" s="79">
        <v>0</v>
      </c>
      <c r="V220" s="189">
        <v>1.51</v>
      </c>
      <c r="X220" s="79">
        <v>1.05</v>
      </c>
      <c r="Y220" s="79">
        <v>0.46</v>
      </c>
      <c r="Z220" s="79">
        <v>1.51</v>
      </c>
      <c r="AA220" s="255">
        <v>0</v>
      </c>
      <c r="AC220" s="254"/>
    </row>
    <row r="221" spans="1:29" ht="12">
      <c r="A221" s="67" t="s">
        <v>10916</v>
      </c>
      <c r="B221" s="65" t="s">
        <v>10917</v>
      </c>
      <c r="C221" s="71" t="s">
        <v>509</v>
      </c>
      <c r="D221" s="78">
        <v>1</v>
      </c>
      <c r="E221" s="79">
        <v>1.85</v>
      </c>
      <c r="F221" s="70">
        <v>1.85</v>
      </c>
      <c r="G221" s="320"/>
      <c r="H221" s="79">
        <v>0.91</v>
      </c>
      <c r="I221" s="79">
        <v>0.94000000000000006</v>
      </c>
      <c r="J221" s="79">
        <v>1.85</v>
      </c>
      <c r="K221" s="79">
        <v>0</v>
      </c>
      <c r="L221" s="70">
        <v>1.85</v>
      </c>
      <c r="M221" s="132"/>
      <c r="N221" s="79">
        <v>0.91</v>
      </c>
      <c r="O221" s="79">
        <v>0.94000000000000006</v>
      </c>
      <c r="P221" s="79">
        <v>1.85</v>
      </c>
      <c r="Q221" s="136"/>
      <c r="R221" s="79">
        <v>0.91</v>
      </c>
      <c r="S221" s="79">
        <v>0.93</v>
      </c>
      <c r="T221" s="79">
        <v>1.84</v>
      </c>
      <c r="U221" s="79">
        <v>0</v>
      </c>
      <c r="V221" s="189">
        <v>1.84</v>
      </c>
      <c r="X221" s="79">
        <v>0.91</v>
      </c>
      <c r="Y221" s="79">
        <v>0.93</v>
      </c>
      <c r="Z221" s="79">
        <v>1.84</v>
      </c>
      <c r="AA221" s="255">
        <v>1.0000000000000009E-2</v>
      </c>
      <c r="AC221" s="254"/>
    </row>
    <row r="222" spans="1:29" ht="12">
      <c r="A222" s="489" t="s">
        <v>10918</v>
      </c>
      <c r="B222" s="490" t="s">
        <v>10919</v>
      </c>
      <c r="C222" s="491"/>
      <c r="D222" s="492"/>
      <c r="E222" s="79"/>
      <c r="F222" s="63"/>
      <c r="G222" s="320"/>
      <c r="H222" s="79"/>
      <c r="I222" s="79"/>
      <c r="J222" s="79"/>
      <c r="K222" s="79"/>
      <c r="L222" s="70"/>
      <c r="M222" s="132"/>
      <c r="N222" s="79"/>
      <c r="O222" s="79"/>
      <c r="P222" s="79"/>
      <c r="Q222" s="136"/>
      <c r="R222" s="79"/>
      <c r="S222" s="79"/>
      <c r="T222" s="79"/>
      <c r="U222" s="79"/>
      <c r="V222" s="189"/>
      <c r="X222" s="79"/>
      <c r="Y222" s="79"/>
      <c r="Z222" s="79"/>
      <c r="AA222" s="255"/>
      <c r="AC222" s="254"/>
    </row>
    <row r="223" spans="1:29" ht="12">
      <c r="A223" s="489" t="s">
        <v>10920</v>
      </c>
      <c r="B223" s="490" t="s">
        <v>10921</v>
      </c>
      <c r="C223" s="491"/>
      <c r="D223" s="492"/>
      <c r="E223" s="79"/>
      <c r="F223" s="63"/>
      <c r="G223" s="320"/>
      <c r="H223" s="79"/>
      <c r="I223" s="79"/>
      <c r="J223" s="79"/>
      <c r="K223" s="79"/>
      <c r="L223" s="70"/>
      <c r="M223" s="132"/>
      <c r="N223" s="79"/>
      <c r="O223" s="79"/>
      <c r="P223" s="79"/>
      <c r="Q223" s="136"/>
      <c r="R223" s="79"/>
      <c r="S223" s="79"/>
      <c r="T223" s="79"/>
      <c r="U223" s="79"/>
      <c r="V223" s="189"/>
      <c r="X223" s="79"/>
      <c r="Y223" s="79"/>
      <c r="Z223" s="79"/>
      <c r="AA223" s="255"/>
      <c r="AC223" s="254"/>
    </row>
    <row r="224" spans="1:29" ht="12">
      <c r="A224" s="67" t="s">
        <v>10922</v>
      </c>
      <c r="B224" s="65" t="s">
        <v>10923</v>
      </c>
      <c r="C224" s="71" t="s">
        <v>121</v>
      </c>
      <c r="D224" s="78">
        <v>1</v>
      </c>
      <c r="E224" s="79">
        <v>249.8</v>
      </c>
      <c r="F224" s="70">
        <v>249.8</v>
      </c>
      <c r="G224" s="320"/>
      <c r="H224" s="79">
        <v>0</v>
      </c>
      <c r="I224" s="79">
        <v>249.8</v>
      </c>
      <c r="J224" s="79">
        <v>249.8</v>
      </c>
      <c r="K224" s="79">
        <v>0</v>
      </c>
      <c r="L224" s="70">
        <v>249.8</v>
      </c>
      <c r="M224" s="132"/>
      <c r="N224" s="79"/>
      <c r="O224" s="79">
        <v>249.8</v>
      </c>
      <c r="P224" s="79">
        <v>249.8</v>
      </c>
      <c r="Q224" s="136"/>
      <c r="R224" s="79"/>
      <c r="S224" s="79">
        <v>249.81</v>
      </c>
      <c r="T224" s="79">
        <v>249.81</v>
      </c>
      <c r="U224" s="79">
        <v>0</v>
      </c>
      <c r="V224" s="189">
        <v>249.81</v>
      </c>
      <c r="X224" s="79"/>
      <c r="Y224" s="79">
        <v>249.81</v>
      </c>
      <c r="Z224" s="79">
        <v>249.81</v>
      </c>
      <c r="AA224" s="255">
        <v>-9.9999999999909051E-3</v>
      </c>
      <c r="AC224" s="254"/>
    </row>
    <row r="225" spans="1:29" ht="12">
      <c r="A225" s="67" t="s">
        <v>10924</v>
      </c>
      <c r="B225" s="65" t="s">
        <v>10925</v>
      </c>
      <c r="C225" s="71" t="s">
        <v>121</v>
      </c>
      <c r="D225" s="78">
        <v>1</v>
      </c>
      <c r="E225" s="79">
        <v>454.18</v>
      </c>
      <c r="F225" s="70">
        <v>454.18</v>
      </c>
      <c r="G225" s="320"/>
      <c r="H225" s="79">
        <v>0</v>
      </c>
      <c r="I225" s="79">
        <v>454.18</v>
      </c>
      <c r="J225" s="79">
        <v>454.18</v>
      </c>
      <c r="K225" s="79">
        <v>0</v>
      </c>
      <c r="L225" s="70">
        <v>454.18</v>
      </c>
      <c r="M225" s="132"/>
      <c r="N225" s="79"/>
      <c r="O225" s="79">
        <v>454.18</v>
      </c>
      <c r="P225" s="79">
        <v>454.18</v>
      </c>
      <c r="Q225" s="136"/>
      <c r="R225" s="79"/>
      <c r="S225" s="79">
        <v>454.2</v>
      </c>
      <c r="T225" s="79">
        <v>454.2</v>
      </c>
      <c r="U225" s="79">
        <v>0</v>
      </c>
      <c r="V225" s="189">
        <v>454.2</v>
      </c>
      <c r="X225" s="79"/>
      <c r="Y225" s="79">
        <v>454.2</v>
      </c>
      <c r="Z225" s="79">
        <v>454.2</v>
      </c>
      <c r="AA225" s="255">
        <v>-1.999999999998181E-2</v>
      </c>
      <c r="AC225" s="254"/>
    </row>
    <row r="226" spans="1:29" ht="12">
      <c r="A226" s="67" t="s">
        <v>10926</v>
      </c>
      <c r="B226" s="65" t="s">
        <v>10927</v>
      </c>
      <c r="C226" s="71" t="s">
        <v>509</v>
      </c>
      <c r="D226" s="78">
        <v>1</v>
      </c>
      <c r="E226" s="79">
        <v>34.07</v>
      </c>
      <c r="F226" s="70">
        <v>34.07</v>
      </c>
      <c r="G226" s="320"/>
      <c r="H226" s="79">
        <v>0</v>
      </c>
      <c r="I226" s="79">
        <v>34.07</v>
      </c>
      <c r="J226" s="79">
        <v>34.07</v>
      </c>
      <c r="K226" s="79">
        <v>0</v>
      </c>
      <c r="L226" s="70">
        <v>34.07</v>
      </c>
      <c r="M226" s="132"/>
      <c r="N226" s="79"/>
      <c r="O226" s="79">
        <v>34.07</v>
      </c>
      <c r="P226" s="79">
        <v>34.07</v>
      </c>
      <c r="Q226" s="136"/>
      <c r="R226" s="79"/>
      <c r="S226" s="79">
        <v>34.07</v>
      </c>
      <c r="T226" s="79">
        <v>34.07</v>
      </c>
      <c r="U226" s="79">
        <v>0</v>
      </c>
      <c r="V226" s="189">
        <v>34.07</v>
      </c>
      <c r="X226" s="79"/>
      <c r="Y226" s="79">
        <v>34.07</v>
      </c>
      <c r="Z226" s="79">
        <v>34.07</v>
      </c>
      <c r="AA226" s="255">
        <v>0</v>
      </c>
      <c r="AC226" s="254"/>
    </row>
    <row r="227" spans="1:29" ht="24">
      <c r="A227" s="67" t="s">
        <v>10928</v>
      </c>
      <c r="B227" s="65" t="s">
        <v>10929</v>
      </c>
      <c r="C227" s="71" t="s">
        <v>121</v>
      </c>
      <c r="D227" s="78">
        <v>1</v>
      </c>
      <c r="E227" s="79">
        <v>527.11</v>
      </c>
      <c r="F227" s="70">
        <v>527.11</v>
      </c>
      <c r="G227" s="320"/>
      <c r="H227" s="79">
        <v>390.86</v>
      </c>
      <c r="I227" s="79">
        <v>136.25</v>
      </c>
      <c r="J227" s="79">
        <v>527.11</v>
      </c>
      <c r="K227" s="79">
        <v>0</v>
      </c>
      <c r="L227" s="70">
        <v>527.11</v>
      </c>
      <c r="M227" s="132"/>
      <c r="N227" s="79">
        <v>390.86</v>
      </c>
      <c r="O227" s="79">
        <v>136.25</v>
      </c>
      <c r="P227" s="79">
        <v>527.11</v>
      </c>
      <c r="Q227" s="136"/>
      <c r="R227" s="79">
        <v>390.86</v>
      </c>
      <c r="S227" s="79">
        <v>136.26</v>
      </c>
      <c r="T227" s="79">
        <v>527.12</v>
      </c>
      <c r="U227" s="79">
        <v>0</v>
      </c>
      <c r="V227" s="189">
        <v>527.12</v>
      </c>
      <c r="X227" s="79">
        <v>390.86</v>
      </c>
      <c r="Y227" s="79">
        <v>136.26</v>
      </c>
      <c r="Z227" s="79">
        <v>527.12</v>
      </c>
      <c r="AA227" s="255">
        <v>-9.9999999999909051E-3</v>
      </c>
      <c r="AC227" s="254"/>
    </row>
    <row r="228" spans="1:29" ht="24">
      <c r="A228" s="67" t="s">
        <v>10930</v>
      </c>
      <c r="B228" s="65" t="s">
        <v>10931</v>
      </c>
      <c r="C228" s="71" t="s">
        <v>121</v>
      </c>
      <c r="D228" s="78">
        <v>1</v>
      </c>
      <c r="E228" s="79">
        <v>505.71000000000004</v>
      </c>
      <c r="F228" s="70">
        <v>505.71</v>
      </c>
      <c r="G228" s="320"/>
      <c r="H228" s="79">
        <v>369.46000000000004</v>
      </c>
      <c r="I228" s="79">
        <v>136.25</v>
      </c>
      <c r="J228" s="79">
        <v>505.71000000000004</v>
      </c>
      <c r="K228" s="79">
        <v>0</v>
      </c>
      <c r="L228" s="70">
        <v>505.71000000000004</v>
      </c>
      <c r="M228" s="132"/>
      <c r="N228" s="79">
        <v>369.46000000000004</v>
      </c>
      <c r="O228" s="79">
        <v>136.25</v>
      </c>
      <c r="P228" s="79">
        <v>505.71000000000004</v>
      </c>
      <c r="Q228" s="136"/>
      <c r="R228" s="79">
        <v>369.46</v>
      </c>
      <c r="S228" s="79">
        <v>136.26</v>
      </c>
      <c r="T228" s="79">
        <v>505.71999999999997</v>
      </c>
      <c r="U228" s="79">
        <v>0</v>
      </c>
      <c r="V228" s="189">
        <v>505.71999999999997</v>
      </c>
      <c r="X228" s="79">
        <v>369.46</v>
      </c>
      <c r="Y228" s="79">
        <v>136.26</v>
      </c>
      <c r="Z228" s="79">
        <v>505.72</v>
      </c>
      <c r="AA228" s="255">
        <v>-1.0000000000047748E-2</v>
      </c>
      <c r="AC228" s="254"/>
    </row>
    <row r="229" spans="1:29" ht="24">
      <c r="A229" s="67" t="s">
        <v>10932</v>
      </c>
      <c r="B229" s="65" t="s">
        <v>10933</v>
      </c>
      <c r="C229" s="71" t="s">
        <v>121</v>
      </c>
      <c r="D229" s="78">
        <v>1</v>
      </c>
      <c r="E229" s="79">
        <v>296.97000000000003</v>
      </c>
      <c r="F229" s="70">
        <v>296.97000000000003</v>
      </c>
      <c r="G229" s="320"/>
      <c r="H229" s="79">
        <v>206.13000000000002</v>
      </c>
      <c r="I229" s="79">
        <v>90.84</v>
      </c>
      <c r="J229" s="79">
        <v>296.97000000000003</v>
      </c>
      <c r="K229" s="79">
        <v>0</v>
      </c>
      <c r="L229" s="70">
        <v>296.97000000000003</v>
      </c>
      <c r="M229" s="132"/>
      <c r="N229" s="79">
        <v>206.13000000000002</v>
      </c>
      <c r="O229" s="79">
        <v>90.84</v>
      </c>
      <c r="P229" s="79">
        <v>296.97000000000003</v>
      </c>
      <c r="Q229" s="136"/>
      <c r="R229" s="79">
        <v>206.13</v>
      </c>
      <c r="S229" s="79">
        <v>90.84</v>
      </c>
      <c r="T229" s="79">
        <v>296.97000000000003</v>
      </c>
      <c r="U229" s="79">
        <v>0</v>
      </c>
      <c r="V229" s="189">
        <v>296.97000000000003</v>
      </c>
      <c r="X229" s="79">
        <v>206.13</v>
      </c>
      <c r="Y229" s="79">
        <v>90.84</v>
      </c>
      <c r="Z229" s="79">
        <v>296.97000000000003</v>
      </c>
      <c r="AA229" s="255">
        <v>0</v>
      </c>
      <c r="AC229" s="254"/>
    </row>
    <row r="230" spans="1:29" ht="24">
      <c r="A230" s="67" t="s">
        <v>10934</v>
      </c>
      <c r="B230" s="65" t="s">
        <v>10935</v>
      </c>
      <c r="C230" s="71" t="s">
        <v>121</v>
      </c>
      <c r="D230" s="78">
        <v>1</v>
      </c>
      <c r="E230" s="79">
        <v>275.57</v>
      </c>
      <c r="F230" s="70">
        <v>275.57</v>
      </c>
      <c r="G230" s="320"/>
      <c r="H230" s="79">
        <v>184.73000000000002</v>
      </c>
      <c r="I230" s="79">
        <v>90.84</v>
      </c>
      <c r="J230" s="79">
        <v>275.57000000000005</v>
      </c>
      <c r="K230" s="79">
        <v>0</v>
      </c>
      <c r="L230" s="70">
        <v>275.57000000000005</v>
      </c>
      <c r="M230" s="132"/>
      <c r="N230" s="79">
        <v>184.73000000000002</v>
      </c>
      <c r="O230" s="79">
        <v>90.84</v>
      </c>
      <c r="P230" s="79">
        <v>275.57000000000005</v>
      </c>
      <c r="Q230" s="136"/>
      <c r="R230" s="79">
        <v>184.73</v>
      </c>
      <c r="S230" s="79">
        <v>90.84</v>
      </c>
      <c r="T230" s="79">
        <v>275.57</v>
      </c>
      <c r="U230" s="79">
        <v>0</v>
      </c>
      <c r="V230" s="189">
        <v>275.57</v>
      </c>
      <c r="X230" s="79">
        <v>184.73</v>
      </c>
      <c r="Y230" s="79">
        <v>90.84</v>
      </c>
      <c r="Z230" s="79">
        <v>275.57</v>
      </c>
      <c r="AA230" s="255">
        <v>0</v>
      </c>
      <c r="AC230" s="254"/>
    </row>
    <row r="231" spans="1:29" ht="24">
      <c r="A231" s="67" t="s">
        <v>10936</v>
      </c>
      <c r="B231" s="65" t="s">
        <v>10937</v>
      </c>
      <c r="C231" s="71" t="s">
        <v>509</v>
      </c>
      <c r="D231" s="78">
        <v>1</v>
      </c>
      <c r="E231" s="79">
        <v>29.23</v>
      </c>
      <c r="F231" s="70">
        <v>29.23</v>
      </c>
      <c r="G231" s="320"/>
      <c r="H231" s="79">
        <v>20.149999999999999</v>
      </c>
      <c r="I231" s="79">
        <v>9.08</v>
      </c>
      <c r="J231" s="79">
        <v>29.229999999999997</v>
      </c>
      <c r="K231" s="79">
        <v>0</v>
      </c>
      <c r="L231" s="70">
        <v>29.229999999999997</v>
      </c>
      <c r="M231" s="132"/>
      <c r="N231" s="79">
        <v>20.149999999999999</v>
      </c>
      <c r="O231" s="79">
        <v>9.08</v>
      </c>
      <c r="P231" s="79">
        <v>29.229999999999997</v>
      </c>
      <c r="Q231" s="136"/>
      <c r="R231" s="79">
        <v>20.149999999999999</v>
      </c>
      <c r="S231" s="79">
        <v>9.08</v>
      </c>
      <c r="T231" s="79">
        <v>29.229999999999997</v>
      </c>
      <c r="U231" s="79">
        <v>0</v>
      </c>
      <c r="V231" s="189">
        <v>29.229999999999997</v>
      </c>
      <c r="X231" s="79">
        <v>20.149999999999999</v>
      </c>
      <c r="Y231" s="79">
        <v>9.08</v>
      </c>
      <c r="Z231" s="79">
        <v>29.23</v>
      </c>
      <c r="AA231" s="255">
        <v>0</v>
      </c>
      <c r="AC231" s="254"/>
    </row>
    <row r="232" spans="1:29" ht="24">
      <c r="A232" s="67" t="s">
        <v>10938</v>
      </c>
      <c r="B232" s="65" t="s">
        <v>10939</v>
      </c>
      <c r="C232" s="71" t="s">
        <v>509</v>
      </c>
      <c r="D232" s="78">
        <v>1</v>
      </c>
      <c r="E232" s="79">
        <v>27.560000000000002</v>
      </c>
      <c r="F232" s="70">
        <v>27.56</v>
      </c>
      <c r="G232" s="320"/>
      <c r="H232" s="79">
        <v>18.48</v>
      </c>
      <c r="I232" s="79">
        <v>9.08</v>
      </c>
      <c r="J232" s="79">
        <v>27.560000000000002</v>
      </c>
      <c r="K232" s="79">
        <v>0</v>
      </c>
      <c r="L232" s="70">
        <v>27.560000000000002</v>
      </c>
      <c r="M232" s="132"/>
      <c r="N232" s="79">
        <v>18.48</v>
      </c>
      <c r="O232" s="79">
        <v>9.08</v>
      </c>
      <c r="P232" s="79">
        <v>27.560000000000002</v>
      </c>
      <c r="Q232" s="136"/>
      <c r="R232" s="79">
        <v>18.48</v>
      </c>
      <c r="S232" s="79">
        <v>9.08</v>
      </c>
      <c r="T232" s="79">
        <v>27.560000000000002</v>
      </c>
      <c r="U232" s="79">
        <v>0</v>
      </c>
      <c r="V232" s="189">
        <v>27.560000000000002</v>
      </c>
      <c r="X232" s="79">
        <v>18.48</v>
      </c>
      <c r="Y232" s="79">
        <v>9.08</v>
      </c>
      <c r="Z232" s="79">
        <v>27.56</v>
      </c>
      <c r="AA232" s="255">
        <v>0</v>
      </c>
      <c r="AC232" s="254"/>
    </row>
    <row r="233" spans="1:29" ht="24">
      <c r="A233" s="67" t="s">
        <v>10940</v>
      </c>
      <c r="B233" s="65" t="s">
        <v>10941</v>
      </c>
      <c r="C233" s="71" t="s">
        <v>121</v>
      </c>
      <c r="D233" s="78">
        <v>1</v>
      </c>
      <c r="E233" s="79">
        <v>292.27</v>
      </c>
      <c r="F233" s="70">
        <v>292.27</v>
      </c>
      <c r="G233" s="320"/>
      <c r="H233" s="79">
        <v>201.43</v>
      </c>
      <c r="I233" s="79">
        <v>90.84</v>
      </c>
      <c r="J233" s="79">
        <v>292.27</v>
      </c>
      <c r="K233" s="79">
        <v>0</v>
      </c>
      <c r="L233" s="70">
        <v>292.27</v>
      </c>
      <c r="M233" s="132"/>
      <c r="N233" s="79">
        <v>201.43</v>
      </c>
      <c r="O233" s="79">
        <v>90.84</v>
      </c>
      <c r="P233" s="79">
        <v>292.27</v>
      </c>
      <c r="Q233" s="136"/>
      <c r="R233" s="79">
        <v>201.43</v>
      </c>
      <c r="S233" s="79">
        <v>90.84</v>
      </c>
      <c r="T233" s="79">
        <v>292.27</v>
      </c>
      <c r="U233" s="79">
        <v>0</v>
      </c>
      <c r="V233" s="189">
        <v>292.27</v>
      </c>
      <c r="X233" s="79">
        <v>201.43</v>
      </c>
      <c r="Y233" s="79">
        <v>90.84</v>
      </c>
      <c r="Z233" s="79">
        <v>292.27</v>
      </c>
      <c r="AA233" s="255">
        <v>0</v>
      </c>
      <c r="AC233" s="254"/>
    </row>
    <row r="234" spans="1:29" ht="24">
      <c r="A234" s="67" t="s">
        <v>10942</v>
      </c>
      <c r="B234" s="65" t="s">
        <v>10943</v>
      </c>
      <c r="C234" s="71" t="s">
        <v>121</v>
      </c>
      <c r="D234" s="78">
        <v>1</v>
      </c>
      <c r="E234" s="79">
        <v>275.57</v>
      </c>
      <c r="F234" s="70">
        <v>275.57</v>
      </c>
      <c r="G234" s="320"/>
      <c r="H234" s="79">
        <v>184.73000000000002</v>
      </c>
      <c r="I234" s="79">
        <v>90.84</v>
      </c>
      <c r="J234" s="79">
        <v>275.57000000000005</v>
      </c>
      <c r="K234" s="79">
        <v>0</v>
      </c>
      <c r="L234" s="70">
        <v>275.57000000000005</v>
      </c>
      <c r="M234" s="132"/>
      <c r="N234" s="79">
        <v>184.73000000000002</v>
      </c>
      <c r="O234" s="79">
        <v>90.84</v>
      </c>
      <c r="P234" s="79">
        <v>275.57000000000005</v>
      </c>
      <c r="Q234" s="136"/>
      <c r="R234" s="79">
        <v>184.73</v>
      </c>
      <c r="S234" s="79">
        <v>90.84</v>
      </c>
      <c r="T234" s="79">
        <v>275.57</v>
      </c>
      <c r="U234" s="79">
        <v>0</v>
      </c>
      <c r="V234" s="189">
        <v>275.57</v>
      </c>
      <c r="X234" s="79">
        <v>184.73</v>
      </c>
      <c r="Y234" s="79">
        <v>90.84</v>
      </c>
      <c r="Z234" s="79">
        <v>275.57</v>
      </c>
      <c r="AA234" s="255">
        <v>0</v>
      </c>
      <c r="AC234" s="254"/>
    </row>
    <row r="235" spans="1:29" ht="12">
      <c r="A235" s="489" t="s">
        <v>10944</v>
      </c>
      <c r="B235" s="490" t="s">
        <v>10945</v>
      </c>
      <c r="C235" s="491"/>
      <c r="D235" s="492"/>
      <c r="E235" s="79"/>
      <c r="F235" s="63"/>
      <c r="G235" s="320"/>
      <c r="H235" s="79"/>
      <c r="I235" s="79"/>
      <c r="J235" s="79"/>
      <c r="K235" s="79"/>
      <c r="L235" s="70"/>
      <c r="M235" s="132"/>
      <c r="N235" s="79"/>
      <c r="O235" s="79"/>
      <c r="P235" s="79"/>
      <c r="Q235" s="136"/>
      <c r="R235" s="79"/>
      <c r="S235" s="79"/>
      <c r="T235" s="79"/>
      <c r="U235" s="79"/>
      <c r="V235" s="189"/>
      <c r="X235" s="79"/>
      <c r="Y235" s="79"/>
      <c r="Z235" s="79"/>
      <c r="AA235" s="255"/>
      <c r="AC235" s="254"/>
    </row>
    <row r="236" spans="1:29" ht="12">
      <c r="A236" s="67" t="s">
        <v>10946</v>
      </c>
      <c r="B236" s="65" t="s">
        <v>10947</v>
      </c>
      <c r="C236" s="71" t="s">
        <v>121</v>
      </c>
      <c r="D236" s="78">
        <v>1</v>
      </c>
      <c r="E236" s="79">
        <v>136.25</v>
      </c>
      <c r="F236" s="70">
        <v>136.25</v>
      </c>
      <c r="G236" s="320"/>
      <c r="H236" s="79">
        <v>0</v>
      </c>
      <c r="I236" s="79">
        <v>136.25</v>
      </c>
      <c r="J236" s="79">
        <v>136.25</v>
      </c>
      <c r="K236" s="79">
        <v>0</v>
      </c>
      <c r="L236" s="70">
        <v>136.25</v>
      </c>
      <c r="M236" s="132"/>
      <c r="N236" s="79"/>
      <c r="O236" s="79">
        <v>136.25</v>
      </c>
      <c r="P236" s="79">
        <v>136.25</v>
      </c>
      <c r="Q236" s="136"/>
      <c r="R236" s="79"/>
      <c r="S236" s="79">
        <v>136.26</v>
      </c>
      <c r="T236" s="79">
        <v>136.26</v>
      </c>
      <c r="U236" s="79">
        <v>0</v>
      </c>
      <c r="V236" s="189">
        <v>136.26</v>
      </c>
      <c r="X236" s="79"/>
      <c r="Y236" s="79">
        <v>136.26</v>
      </c>
      <c r="Z236" s="79">
        <v>136.26</v>
      </c>
      <c r="AA236" s="255">
        <v>-9.9999999999909051E-3</v>
      </c>
      <c r="AC236" s="254"/>
    </row>
    <row r="237" spans="1:29" ht="12">
      <c r="A237" s="67" t="s">
        <v>10948</v>
      </c>
      <c r="B237" s="65" t="s">
        <v>10949</v>
      </c>
      <c r="C237" s="71" t="s">
        <v>121</v>
      </c>
      <c r="D237" s="78">
        <v>1</v>
      </c>
      <c r="E237" s="79">
        <v>90.84</v>
      </c>
      <c r="F237" s="70">
        <v>90.84</v>
      </c>
      <c r="G237" s="320"/>
      <c r="H237" s="79">
        <v>0</v>
      </c>
      <c r="I237" s="79">
        <v>90.84</v>
      </c>
      <c r="J237" s="79">
        <v>90.84</v>
      </c>
      <c r="K237" s="79">
        <v>0</v>
      </c>
      <c r="L237" s="70">
        <v>90.84</v>
      </c>
      <c r="M237" s="132"/>
      <c r="N237" s="79"/>
      <c r="O237" s="79">
        <v>90.84</v>
      </c>
      <c r="P237" s="79">
        <v>90.84</v>
      </c>
      <c r="Q237" s="136"/>
      <c r="R237" s="79"/>
      <c r="S237" s="79">
        <v>90.84</v>
      </c>
      <c r="T237" s="79">
        <v>90.84</v>
      </c>
      <c r="U237" s="79">
        <v>0</v>
      </c>
      <c r="V237" s="189">
        <v>90.84</v>
      </c>
      <c r="X237" s="79"/>
      <c r="Y237" s="79">
        <v>90.84</v>
      </c>
      <c r="Z237" s="79">
        <v>90.84</v>
      </c>
      <c r="AA237" s="255">
        <v>0</v>
      </c>
      <c r="AC237" s="254"/>
    </row>
    <row r="238" spans="1:29" ht="12">
      <c r="A238" s="489" t="s">
        <v>10950</v>
      </c>
      <c r="B238" s="490" t="s">
        <v>10951</v>
      </c>
      <c r="C238" s="491"/>
      <c r="D238" s="492"/>
      <c r="E238" s="79"/>
      <c r="F238" s="63"/>
      <c r="G238" s="320"/>
      <c r="H238" s="79"/>
      <c r="I238" s="79"/>
      <c r="J238" s="79"/>
      <c r="K238" s="79"/>
      <c r="L238" s="70"/>
      <c r="M238" s="132"/>
      <c r="N238" s="79"/>
      <c r="O238" s="79"/>
      <c r="P238" s="79"/>
      <c r="Q238" s="136"/>
      <c r="R238" s="79"/>
      <c r="S238" s="79"/>
      <c r="T238" s="79"/>
      <c r="U238" s="79"/>
      <c r="V238" s="189"/>
      <c r="X238" s="79"/>
      <c r="Y238" s="79"/>
      <c r="Z238" s="79"/>
      <c r="AA238" s="255"/>
      <c r="AC238" s="254"/>
    </row>
    <row r="239" spans="1:29" ht="12">
      <c r="A239" s="67" t="s">
        <v>10952</v>
      </c>
      <c r="B239" s="65" t="s">
        <v>10953</v>
      </c>
      <c r="C239" s="71" t="s">
        <v>509</v>
      </c>
      <c r="D239" s="78">
        <v>1</v>
      </c>
      <c r="E239" s="79">
        <v>3.4</v>
      </c>
      <c r="F239" s="70">
        <v>3.4</v>
      </c>
      <c r="G239" s="320"/>
      <c r="H239" s="79">
        <v>0</v>
      </c>
      <c r="I239" s="79">
        <v>3.4</v>
      </c>
      <c r="J239" s="79">
        <v>3.4</v>
      </c>
      <c r="K239" s="79">
        <v>0</v>
      </c>
      <c r="L239" s="70">
        <v>3.4</v>
      </c>
      <c r="M239" s="132"/>
      <c r="N239" s="79"/>
      <c r="O239" s="79">
        <v>3.4</v>
      </c>
      <c r="P239" s="79">
        <v>3.4</v>
      </c>
      <c r="Q239" s="136"/>
      <c r="R239" s="79"/>
      <c r="S239" s="79">
        <v>3.41</v>
      </c>
      <c r="T239" s="79">
        <v>3.41</v>
      </c>
      <c r="U239" s="79">
        <v>0</v>
      </c>
      <c r="V239" s="189">
        <v>3.41</v>
      </c>
      <c r="X239" s="79"/>
      <c r="Y239" s="79">
        <v>3.41</v>
      </c>
      <c r="Z239" s="79">
        <v>3.41</v>
      </c>
      <c r="AA239" s="255">
        <v>-1.0000000000000231E-2</v>
      </c>
      <c r="AC239" s="254"/>
    </row>
    <row r="240" spans="1:29" ht="12">
      <c r="A240" s="67" t="s">
        <v>10954</v>
      </c>
      <c r="B240" s="65" t="s">
        <v>10955</v>
      </c>
      <c r="C240" s="71" t="s">
        <v>509</v>
      </c>
      <c r="D240" s="78">
        <v>1</v>
      </c>
      <c r="E240" s="79">
        <v>6.82</v>
      </c>
      <c r="F240" s="70">
        <v>6.82</v>
      </c>
      <c r="G240" s="320"/>
      <c r="H240" s="79">
        <v>0</v>
      </c>
      <c r="I240" s="79">
        <v>6.82</v>
      </c>
      <c r="J240" s="79">
        <v>6.82</v>
      </c>
      <c r="K240" s="79">
        <v>0</v>
      </c>
      <c r="L240" s="70">
        <v>6.82</v>
      </c>
      <c r="M240" s="132"/>
      <c r="N240" s="79"/>
      <c r="O240" s="79">
        <v>6.82</v>
      </c>
      <c r="P240" s="79">
        <v>6.82</v>
      </c>
      <c r="Q240" s="136"/>
      <c r="R240" s="79"/>
      <c r="S240" s="79">
        <v>6.81</v>
      </c>
      <c r="T240" s="79">
        <v>6.81</v>
      </c>
      <c r="U240" s="79">
        <v>0</v>
      </c>
      <c r="V240" s="189">
        <v>6.81</v>
      </c>
      <c r="X240" s="79"/>
      <c r="Y240" s="79">
        <v>6.81</v>
      </c>
      <c r="Z240" s="79">
        <v>6.81</v>
      </c>
      <c r="AA240" s="255">
        <v>1.0000000000000675E-2</v>
      </c>
      <c r="AC240" s="254"/>
    </row>
    <row r="241" spans="1:29" ht="12">
      <c r="A241" s="67" t="s">
        <v>10956</v>
      </c>
      <c r="B241" s="65" t="s">
        <v>10957</v>
      </c>
      <c r="C241" s="71" t="s">
        <v>509</v>
      </c>
      <c r="D241" s="78">
        <v>1</v>
      </c>
      <c r="E241" s="79">
        <v>11.370000000000001</v>
      </c>
      <c r="F241" s="70">
        <v>11.37</v>
      </c>
      <c r="G241" s="320"/>
      <c r="H241" s="79">
        <v>0</v>
      </c>
      <c r="I241" s="79">
        <v>11.370000000000001</v>
      </c>
      <c r="J241" s="79">
        <v>11.370000000000001</v>
      </c>
      <c r="K241" s="79">
        <v>0</v>
      </c>
      <c r="L241" s="70">
        <v>11.370000000000001</v>
      </c>
      <c r="M241" s="132"/>
      <c r="N241" s="79"/>
      <c r="O241" s="79">
        <v>11.370000000000001</v>
      </c>
      <c r="P241" s="79">
        <v>11.370000000000001</v>
      </c>
      <c r="Q241" s="136"/>
      <c r="R241" s="79"/>
      <c r="S241" s="79">
        <v>11.36</v>
      </c>
      <c r="T241" s="79">
        <v>11.36</v>
      </c>
      <c r="U241" s="79">
        <v>0</v>
      </c>
      <c r="V241" s="189">
        <v>11.36</v>
      </c>
      <c r="X241" s="79"/>
      <c r="Y241" s="79">
        <v>11.36</v>
      </c>
      <c r="Z241" s="79">
        <v>11.36</v>
      </c>
      <c r="AA241" s="255">
        <v>9.9999999999997868E-3</v>
      </c>
      <c r="AC241" s="254"/>
    </row>
    <row r="242" spans="1:29" ht="12">
      <c r="A242" s="489" t="s">
        <v>10958</v>
      </c>
      <c r="B242" s="490" t="s">
        <v>10959</v>
      </c>
      <c r="C242" s="491"/>
      <c r="D242" s="492"/>
      <c r="E242" s="79"/>
      <c r="F242" s="63"/>
      <c r="G242" s="320"/>
      <c r="H242" s="79"/>
      <c r="I242" s="79"/>
      <c r="J242" s="79"/>
      <c r="K242" s="79"/>
      <c r="L242" s="70"/>
      <c r="M242" s="132"/>
      <c r="N242" s="79"/>
      <c r="O242" s="79"/>
      <c r="P242" s="79"/>
      <c r="Q242" s="136"/>
      <c r="R242" s="79"/>
      <c r="S242" s="79"/>
      <c r="T242" s="79"/>
      <c r="U242" s="79"/>
      <c r="V242" s="189"/>
      <c r="X242" s="79"/>
      <c r="Y242" s="79"/>
      <c r="Z242" s="79"/>
      <c r="AA242" s="255"/>
      <c r="AC242" s="254"/>
    </row>
    <row r="243" spans="1:29" ht="12">
      <c r="A243" s="67" t="s">
        <v>10960</v>
      </c>
      <c r="B243" s="65" t="s">
        <v>10961</v>
      </c>
      <c r="C243" s="71" t="s">
        <v>509</v>
      </c>
      <c r="D243" s="78">
        <v>1</v>
      </c>
      <c r="E243" s="79">
        <v>13.629999999999999</v>
      </c>
      <c r="F243" s="70">
        <v>13.63</v>
      </c>
      <c r="G243" s="320"/>
      <c r="H243" s="79">
        <v>0</v>
      </c>
      <c r="I243" s="79">
        <v>13.629999999999999</v>
      </c>
      <c r="J243" s="79">
        <v>13.629999999999999</v>
      </c>
      <c r="K243" s="79">
        <v>0</v>
      </c>
      <c r="L243" s="70">
        <v>13.629999999999999</v>
      </c>
      <c r="M243" s="132"/>
      <c r="N243" s="79"/>
      <c r="O243" s="79">
        <v>13.629999999999999</v>
      </c>
      <c r="P243" s="79">
        <v>13.629999999999999</v>
      </c>
      <c r="Q243" s="136"/>
      <c r="R243" s="79"/>
      <c r="S243" s="79">
        <v>13.63</v>
      </c>
      <c r="T243" s="79">
        <v>13.63</v>
      </c>
      <c r="U243" s="79">
        <v>0</v>
      </c>
      <c r="V243" s="189">
        <v>13.63</v>
      </c>
      <c r="X243" s="79"/>
      <c r="Y243" s="79">
        <v>13.63</v>
      </c>
      <c r="Z243" s="79">
        <v>13.63</v>
      </c>
      <c r="AA243" s="255">
        <v>0</v>
      </c>
      <c r="AC243" s="254"/>
    </row>
    <row r="244" spans="1:29" ht="12">
      <c r="A244" s="67" t="s">
        <v>10962</v>
      </c>
      <c r="B244" s="65" t="s">
        <v>10963</v>
      </c>
      <c r="C244" s="71" t="s">
        <v>509</v>
      </c>
      <c r="D244" s="78">
        <v>1</v>
      </c>
      <c r="E244" s="79">
        <v>11.370000000000001</v>
      </c>
      <c r="F244" s="70">
        <v>11.37</v>
      </c>
      <c r="G244" s="320"/>
      <c r="H244" s="79">
        <v>0</v>
      </c>
      <c r="I244" s="79">
        <v>11.370000000000001</v>
      </c>
      <c r="J244" s="79">
        <v>11.370000000000001</v>
      </c>
      <c r="K244" s="79">
        <v>0</v>
      </c>
      <c r="L244" s="70">
        <v>11.370000000000001</v>
      </c>
      <c r="M244" s="132"/>
      <c r="N244" s="79"/>
      <c r="O244" s="79">
        <v>11.370000000000001</v>
      </c>
      <c r="P244" s="79">
        <v>11.370000000000001</v>
      </c>
      <c r="Q244" s="136"/>
      <c r="R244" s="79"/>
      <c r="S244" s="79">
        <v>11.36</v>
      </c>
      <c r="T244" s="79">
        <v>11.36</v>
      </c>
      <c r="U244" s="79">
        <v>0</v>
      </c>
      <c r="V244" s="189">
        <v>11.36</v>
      </c>
      <c r="X244" s="79"/>
      <c r="Y244" s="79">
        <v>11.36</v>
      </c>
      <c r="Z244" s="79">
        <v>11.36</v>
      </c>
      <c r="AA244" s="255">
        <v>9.9999999999997868E-3</v>
      </c>
      <c r="AC244" s="254"/>
    </row>
    <row r="245" spans="1:29" ht="24">
      <c r="A245" s="67" t="s">
        <v>10964</v>
      </c>
      <c r="B245" s="65" t="s">
        <v>10965</v>
      </c>
      <c r="C245" s="71" t="s">
        <v>165</v>
      </c>
      <c r="D245" s="78">
        <v>1</v>
      </c>
      <c r="E245" s="79">
        <v>3.4</v>
      </c>
      <c r="F245" s="70">
        <v>3.4</v>
      </c>
      <c r="G245" s="320"/>
      <c r="H245" s="79">
        <v>0</v>
      </c>
      <c r="I245" s="79">
        <v>3.4</v>
      </c>
      <c r="J245" s="79">
        <v>3.4</v>
      </c>
      <c r="K245" s="79">
        <v>0</v>
      </c>
      <c r="L245" s="70">
        <v>3.4</v>
      </c>
      <c r="M245" s="132"/>
      <c r="N245" s="79"/>
      <c r="O245" s="79">
        <v>3.4</v>
      </c>
      <c r="P245" s="79">
        <v>3.4</v>
      </c>
      <c r="Q245" s="136"/>
      <c r="R245" s="79"/>
      <c r="S245" s="79">
        <v>3.41</v>
      </c>
      <c r="T245" s="79">
        <v>3.41</v>
      </c>
      <c r="U245" s="79">
        <v>0</v>
      </c>
      <c r="V245" s="189">
        <v>3.41</v>
      </c>
      <c r="X245" s="79"/>
      <c r="Y245" s="79">
        <v>3.41</v>
      </c>
      <c r="Z245" s="79">
        <v>3.41</v>
      </c>
      <c r="AA245" s="255">
        <v>-1.0000000000000231E-2</v>
      </c>
      <c r="AC245" s="254"/>
    </row>
    <row r="246" spans="1:29" ht="12">
      <c r="A246" s="489" t="s">
        <v>10966</v>
      </c>
      <c r="B246" s="490" t="s">
        <v>10967</v>
      </c>
      <c r="C246" s="491"/>
      <c r="D246" s="492"/>
      <c r="E246" s="79"/>
      <c r="F246" s="63"/>
      <c r="G246" s="320"/>
      <c r="H246" s="79"/>
      <c r="I246" s="79"/>
      <c r="J246" s="79"/>
      <c r="K246" s="79"/>
      <c r="L246" s="70"/>
      <c r="M246" s="132"/>
      <c r="N246" s="79"/>
      <c r="O246" s="79"/>
      <c r="P246" s="79"/>
      <c r="Q246" s="136"/>
      <c r="R246" s="79"/>
      <c r="S246" s="79"/>
      <c r="T246" s="79"/>
      <c r="U246" s="79"/>
      <c r="V246" s="189"/>
      <c r="X246" s="79"/>
      <c r="Y246" s="79"/>
      <c r="Z246" s="79"/>
      <c r="AA246" s="255"/>
      <c r="AC246" s="254"/>
    </row>
    <row r="247" spans="1:29" ht="12">
      <c r="A247" s="67" t="s">
        <v>10968</v>
      </c>
      <c r="B247" s="65" t="s">
        <v>10969</v>
      </c>
      <c r="C247" s="71" t="s">
        <v>509</v>
      </c>
      <c r="D247" s="78">
        <v>1</v>
      </c>
      <c r="E247" s="79">
        <v>9.08</v>
      </c>
      <c r="F247" s="70">
        <v>9.08</v>
      </c>
      <c r="G247" s="320"/>
      <c r="H247" s="79">
        <v>0</v>
      </c>
      <c r="I247" s="79">
        <v>9.08</v>
      </c>
      <c r="J247" s="79">
        <v>9.08</v>
      </c>
      <c r="K247" s="79">
        <v>0</v>
      </c>
      <c r="L247" s="70">
        <v>9.08</v>
      </c>
      <c r="M247" s="132"/>
      <c r="N247" s="79"/>
      <c r="O247" s="79">
        <v>9.08</v>
      </c>
      <c r="P247" s="79">
        <v>9.08</v>
      </c>
      <c r="Q247" s="136"/>
      <c r="R247" s="79"/>
      <c r="S247" s="79">
        <v>9.08</v>
      </c>
      <c r="T247" s="79">
        <v>9.08</v>
      </c>
      <c r="U247" s="79">
        <v>0</v>
      </c>
      <c r="V247" s="189">
        <v>9.08</v>
      </c>
      <c r="X247" s="79"/>
      <c r="Y247" s="79">
        <v>9.08</v>
      </c>
      <c r="Z247" s="79">
        <v>9.08</v>
      </c>
      <c r="AA247" s="255">
        <v>0</v>
      </c>
      <c r="AC247" s="254"/>
    </row>
    <row r="248" spans="1:29" ht="12">
      <c r="A248" s="489" t="s">
        <v>10970</v>
      </c>
      <c r="B248" s="490" t="s">
        <v>10971</v>
      </c>
      <c r="C248" s="491"/>
      <c r="D248" s="492"/>
      <c r="E248" s="79"/>
      <c r="F248" s="63"/>
      <c r="G248" s="320"/>
      <c r="H248" s="79"/>
      <c r="I248" s="79"/>
      <c r="J248" s="79"/>
      <c r="K248" s="79"/>
      <c r="L248" s="70"/>
      <c r="M248" s="132"/>
      <c r="N248" s="79"/>
      <c r="O248" s="79"/>
      <c r="P248" s="79"/>
      <c r="Q248" s="136"/>
      <c r="R248" s="79"/>
      <c r="S248" s="79"/>
      <c r="T248" s="79"/>
      <c r="U248" s="79"/>
      <c r="V248" s="189"/>
      <c r="X248" s="79"/>
      <c r="Y248" s="79"/>
      <c r="Z248" s="79"/>
      <c r="AA248" s="255"/>
      <c r="AC248" s="254"/>
    </row>
    <row r="249" spans="1:29" ht="24">
      <c r="A249" s="67" t="s">
        <v>10972</v>
      </c>
      <c r="B249" s="65" t="s">
        <v>10973</v>
      </c>
      <c r="C249" s="71" t="s">
        <v>509</v>
      </c>
      <c r="D249" s="78">
        <v>1</v>
      </c>
      <c r="E249" s="79">
        <v>28.520000000000003</v>
      </c>
      <c r="F249" s="70">
        <v>28.52</v>
      </c>
      <c r="G249" s="320"/>
      <c r="H249" s="79">
        <v>17.149999999999999</v>
      </c>
      <c r="I249" s="79">
        <v>11.370000000000001</v>
      </c>
      <c r="J249" s="79">
        <v>28.52</v>
      </c>
      <c r="K249" s="79">
        <v>0</v>
      </c>
      <c r="L249" s="70">
        <v>28.52</v>
      </c>
      <c r="M249" s="132"/>
      <c r="N249" s="79">
        <v>17.149999999999999</v>
      </c>
      <c r="O249" s="79">
        <v>11.370000000000001</v>
      </c>
      <c r="P249" s="79">
        <v>28.52</v>
      </c>
      <c r="Q249" s="136"/>
      <c r="R249" s="79">
        <v>17.149999999999999</v>
      </c>
      <c r="S249" s="79">
        <v>11.36</v>
      </c>
      <c r="T249" s="79">
        <v>28.509999999999998</v>
      </c>
      <c r="U249" s="79">
        <v>0</v>
      </c>
      <c r="V249" s="189">
        <v>28.509999999999998</v>
      </c>
      <c r="X249" s="79">
        <v>17.149999999999999</v>
      </c>
      <c r="Y249" s="79">
        <v>11.36</v>
      </c>
      <c r="Z249" s="79">
        <v>28.51</v>
      </c>
      <c r="AA249" s="255">
        <v>9.9999999999980105E-3</v>
      </c>
      <c r="AC249" s="254"/>
    </row>
    <row r="250" spans="1:29" ht="24">
      <c r="A250" s="67" t="s">
        <v>10974</v>
      </c>
      <c r="B250" s="65" t="s">
        <v>10975</v>
      </c>
      <c r="C250" s="71" t="s">
        <v>509</v>
      </c>
      <c r="D250" s="78">
        <v>1</v>
      </c>
      <c r="E250" s="79">
        <v>12.950000000000001</v>
      </c>
      <c r="F250" s="70">
        <v>12.95</v>
      </c>
      <c r="G250" s="320"/>
      <c r="H250" s="79">
        <v>1.58</v>
      </c>
      <c r="I250" s="79">
        <v>11.370000000000001</v>
      </c>
      <c r="J250" s="79">
        <v>12.950000000000001</v>
      </c>
      <c r="K250" s="79">
        <v>0</v>
      </c>
      <c r="L250" s="70">
        <v>12.950000000000001</v>
      </c>
      <c r="M250" s="132"/>
      <c r="N250" s="79">
        <v>1.58</v>
      </c>
      <c r="O250" s="79">
        <v>11.370000000000001</v>
      </c>
      <c r="P250" s="79">
        <v>12.950000000000001</v>
      </c>
      <c r="Q250" s="136"/>
      <c r="R250" s="79">
        <v>1.58</v>
      </c>
      <c r="S250" s="79">
        <v>11.36</v>
      </c>
      <c r="T250" s="79">
        <v>12.94</v>
      </c>
      <c r="U250" s="79">
        <v>0</v>
      </c>
      <c r="V250" s="189">
        <v>12.94</v>
      </c>
      <c r="X250" s="79">
        <v>1.58</v>
      </c>
      <c r="Y250" s="79">
        <v>11.36</v>
      </c>
      <c r="Z250" s="79">
        <v>12.94</v>
      </c>
      <c r="AA250" s="255">
        <v>9.9999999999997868E-3</v>
      </c>
      <c r="AC250" s="254"/>
    </row>
    <row r="251" spans="1:29" ht="12">
      <c r="A251" s="489" t="s">
        <v>10976</v>
      </c>
      <c r="B251" s="490" t="s">
        <v>10977</v>
      </c>
      <c r="C251" s="491"/>
      <c r="D251" s="492"/>
      <c r="E251" s="79"/>
      <c r="F251" s="63"/>
      <c r="G251" s="320"/>
      <c r="H251" s="79"/>
      <c r="I251" s="79"/>
      <c r="J251" s="79"/>
      <c r="K251" s="79"/>
      <c r="L251" s="70"/>
      <c r="M251" s="132"/>
      <c r="N251" s="79"/>
      <c r="O251" s="79"/>
      <c r="P251" s="79"/>
      <c r="Q251" s="136"/>
      <c r="R251" s="79"/>
      <c r="S251" s="79"/>
      <c r="T251" s="79"/>
      <c r="U251" s="79"/>
      <c r="V251" s="189"/>
      <c r="X251" s="79"/>
      <c r="Y251" s="79"/>
      <c r="Z251" s="79"/>
      <c r="AA251" s="255"/>
      <c r="AC251" s="254"/>
    </row>
    <row r="252" spans="1:29" ht="24">
      <c r="A252" s="67" t="s">
        <v>10978</v>
      </c>
      <c r="B252" s="65" t="s">
        <v>10979</v>
      </c>
      <c r="C252" s="71" t="s">
        <v>509</v>
      </c>
      <c r="D252" s="78">
        <v>1</v>
      </c>
      <c r="E252" s="79">
        <v>25.32</v>
      </c>
      <c r="F252" s="70">
        <v>25.32</v>
      </c>
      <c r="G252" s="320"/>
      <c r="H252" s="79">
        <v>20.78</v>
      </c>
      <c r="I252" s="79">
        <v>4.54</v>
      </c>
      <c r="J252" s="79">
        <v>25.32</v>
      </c>
      <c r="K252" s="79">
        <v>0</v>
      </c>
      <c r="L252" s="70">
        <v>25.32</v>
      </c>
      <c r="M252" s="132"/>
      <c r="N252" s="79">
        <v>20.78</v>
      </c>
      <c r="O252" s="79">
        <v>4.54</v>
      </c>
      <c r="P252" s="79">
        <v>25.32</v>
      </c>
      <c r="Q252" s="136"/>
      <c r="R252" s="79">
        <v>20.78</v>
      </c>
      <c r="S252" s="79">
        <v>4.54</v>
      </c>
      <c r="T252" s="79">
        <v>25.32</v>
      </c>
      <c r="U252" s="79">
        <v>0</v>
      </c>
      <c r="V252" s="189">
        <v>25.32</v>
      </c>
      <c r="X252" s="79">
        <v>20.78</v>
      </c>
      <c r="Y252" s="79">
        <v>4.54</v>
      </c>
      <c r="Z252" s="79">
        <v>25.32</v>
      </c>
      <c r="AA252" s="255">
        <v>0</v>
      </c>
      <c r="AC252" s="254"/>
    </row>
    <row r="253" spans="1:29" ht="24">
      <c r="A253" s="67" t="s">
        <v>10980</v>
      </c>
      <c r="B253" s="65" t="s">
        <v>10981</v>
      </c>
      <c r="C253" s="71" t="s">
        <v>509</v>
      </c>
      <c r="D253" s="78">
        <v>1</v>
      </c>
      <c r="E253" s="79">
        <v>23.02</v>
      </c>
      <c r="F253" s="70">
        <v>23.02</v>
      </c>
      <c r="G253" s="320"/>
      <c r="H253" s="79">
        <v>18.48</v>
      </c>
      <c r="I253" s="79">
        <v>4.54</v>
      </c>
      <c r="J253" s="79">
        <v>23.02</v>
      </c>
      <c r="K253" s="79">
        <v>0</v>
      </c>
      <c r="L253" s="70">
        <v>23.02</v>
      </c>
      <c r="M253" s="132"/>
      <c r="N253" s="79">
        <v>18.48</v>
      </c>
      <c r="O253" s="79">
        <v>4.54</v>
      </c>
      <c r="P253" s="79">
        <v>23.02</v>
      </c>
      <c r="Q253" s="136"/>
      <c r="R253" s="79">
        <v>18.48</v>
      </c>
      <c r="S253" s="79">
        <v>4.54</v>
      </c>
      <c r="T253" s="79">
        <v>23.02</v>
      </c>
      <c r="U253" s="79">
        <v>0</v>
      </c>
      <c r="V253" s="189">
        <v>23.02</v>
      </c>
      <c r="X253" s="79">
        <v>18.48</v>
      </c>
      <c r="Y253" s="79">
        <v>4.54</v>
      </c>
      <c r="Z253" s="79">
        <v>23.02</v>
      </c>
      <c r="AA253" s="255">
        <v>0</v>
      </c>
      <c r="AC253" s="254"/>
    </row>
    <row r="254" spans="1:29" ht="24">
      <c r="A254" s="67" t="s">
        <v>10982</v>
      </c>
      <c r="B254" s="65" t="s">
        <v>10983</v>
      </c>
      <c r="C254" s="71" t="s">
        <v>509</v>
      </c>
      <c r="D254" s="78">
        <v>1</v>
      </c>
      <c r="E254" s="79">
        <v>13.600000000000001</v>
      </c>
      <c r="F254" s="70">
        <v>13.6</v>
      </c>
      <c r="G254" s="320"/>
      <c r="H254" s="79">
        <v>12</v>
      </c>
      <c r="I254" s="79">
        <v>1.6</v>
      </c>
      <c r="J254" s="79">
        <v>13.6</v>
      </c>
      <c r="K254" s="79">
        <v>0</v>
      </c>
      <c r="L254" s="70">
        <v>13.6</v>
      </c>
      <c r="M254" s="132"/>
      <c r="N254" s="79">
        <v>12</v>
      </c>
      <c r="O254" s="79">
        <v>1.6</v>
      </c>
      <c r="P254" s="79">
        <v>13.6</v>
      </c>
      <c r="Q254" s="136"/>
      <c r="R254" s="79">
        <v>12</v>
      </c>
      <c r="S254" s="79">
        <v>1.59</v>
      </c>
      <c r="T254" s="79">
        <v>13.59</v>
      </c>
      <c r="U254" s="79">
        <v>0</v>
      </c>
      <c r="V254" s="189">
        <v>13.59</v>
      </c>
      <c r="X254" s="79">
        <v>12</v>
      </c>
      <c r="Y254" s="79">
        <v>1.59</v>
      </c>
      <c r="Z254" s="79">
        <v>13.59</v>
      </c>
      <c r="AA254" s="255">
        <v>9.9999999999997868E-3</v>
      </c>
      <c r="AC254" s="254"/>
    </row>
    <row r="255" spans="1:29" ht="24">
      <c r="A255" s="67" t="s">
        <v>10984</v>
      </c>
      <c r="B255" s="65" t="s">
        <v>10985</v>
      </c>
      <c r="C255" s="71" t="s">
        <v>509</v>
      </c>
      <c r="D255" s="78">
        <v>1</v>
      </c>
      <c r="E255" s="79">
        <v>11</v>
      </c>
      <c r="F255" s="70">
        <v>11</v>
      </c>
      <c r="G255" s="320"/>
      <c r="H255" s="79">
        <v>9.4</v>
      </c>
      <c r="I255" s="79">
        <v>1.6</v>
      </c>
      <c r="J255" s="79">
        <v>11</v>
      </c>
      <c r="K255" s="79">
        <v>0</v>
      </c>
      <c r="L255" s="70">
        <v>11</v>
      </c>
      <c r="M255" s="132"/>
      <c r="N255" s="79">
        <v>9.4</v>
      </c>
      <c r="O255" s="79">
        <v>1.6</v>
      </c>
      <c r="P255" s="79">
        <v>11</v>
      </c>
      <c r="Q255" s="136"/>
      <c r="R255" s="79">
        <v>9.4</v>
      </c>
      <c r="S255" s="79">
        <v>1.59</v>
      </c>
      <c r="T255" s="79">
        <v>10.99</v>
      </c>
      <c r="U255" s="79">
        <v>0</v>
      </c>
      <c r="V255" s="189">
        <v>10.99</v>
      </c>
      <c r="X255" s="79">
        <v>9.4</v>
      </c>
      <c r="Y255" s="79">
        <v>1.59</v>
      </c>
      <c r="Z255" s="79">
        <v>10.99</v>
      </c>
      <c r="AA255" s="255">
        <v>9.9999999999997868E-3</v>
      </c>
      <c r="AC255" s="254"/>
    </row>
    <row r="256" spans="1:29" ht="24">
      <c r="A256" s="67" t="s">
        <v>10986</v>
      </c>
      <c r="B256" s="65" t="s">
        <v>10987</v>
      </c>
      <c r="C256" s="71" t="s">
        <v>509</v>
      </c>
      <c r="D256" s="78">
        <v>1</v>
      </c>
      <c r="E256" s="79">
        <v>16.03</v>
      </c>
      <c r="F256" s="70">
        <v>16.03</v>
      </c>
      <c r="G256" s="320"/>
      <c r="H256" s="79">
        <v>15.350000000000001</v>
      </c>
      <c r="I256" s="79">
        <v>0.67999999999999994</v>
      </c>
      <c r="J256" s="79">
        <v>16.03</v>
      </c>
      <c r="K256" s="79">
        <v>0</v>
      </c>
      <c r="L256" s="70">
        <v>16.03</v>
      </c>
      <c r="M256" s="132"/>
      <c r="N256" s="79">
        <v>15.350000000000001</v>
      </c>
      <c r="O256" s="79">
        <v>0.67999999999999994</v>
      </c>
      <c r="P256" s="79">
        <v>16.03</v>
      </c>
      <c r="Q256" s="136"/>
      <c r="R256" s="79">
        <v>15.35</v>
      </c>
      <c r="S256" s="79">
        <v>0.68</v>
      </c>
      <c r="T256" s="79">
        <v>16.03</v>
      </c>
      <c r="U256" s="79">
        <v>0</v>
      </c>
      <c r="V256" s="189">
        <v>16.03</v>
      </c>
      <c r="X256" s="79">
        <v>15.35</v>
      </c>
      <c r="Y256" s="79">
        <v>0.68</v>
      </c>
      <c r="Z256" s="79">
        <v>16.03</v>
      </c>
      <c r="AA256" s="255">
        <v>0</v>
      </c>
      <c r="AC256" s="254"/>
    </row>
    <row r="257" spans="1:29" ht="12">
      <c r="A257" s="489" t="s">
        <v>10988</v>
      </c>
      <c r="B257" s="490" t="s">
        <v>10989</v>
      </c>
      <c r="C257" s="491"/>
      <c r="D257" s="492"/>
      <c r="E257" s="79"/>
      <c r="F257" s="63"/>
      <c r="G257" s="320"/>
      <c r="H257" s="79"/>
      <c r="I257" s="79"/>
      <c r="J257" s="79"/>
      <c r="K257" s="79"/>
      <c r="L257" s="70"/>
      <c r="M257" s="132"/>
      <c r="N257" s="79"/>
      <c r="O257" s="79"/>
      <c r="P257" s="79"/>
      <c r="Q257" s="136"/>
      <c r="R257" s="79"/>
      <c r="S257" s="79"/>
      <c r="T257" s="79"/>
      <c r="U257" s="79"/>
      <c r="V257" s="189"/>
      <c r="X257" s="79"/>
      <c r="Y257" s="79"/>
      <c r="Z257" s="79"/>
      <c r="AA257" s="255"/>
      <c r="AC257" s="254"/>
    </row>
    <row r="258" spans="1:29" ht="12">
      <c r="A258" s="67" t="s">
        <v>10990</v>
      </c>
      <c r="B258" s="65" t="s">
        <v>10991</v>
      </c>
      <c r="C258" s="71" t="s">
        <v>509</v>
      </c>
      <c r="D258" s="78">
        <v>1</v>
      </c>
      <c r="E258" s="79">
        <v>11.8</v>
      </c>
      <c r="F258" s="70">
        <v>11.8</v>
      </c>
      <c r="G258" s="320"/>
      <c r="H258" s="79">
        <v>0</v>
      </c>
      <c r="I258" s="79">
        <v>11.8</v>
      </c>
      <c r="J258" s="79">
        <v>11.8</v>
      </c>
      <c r="K258" s="79">
        <v>0</v>
      </c>
      <c r="L258" s="70">
        <v>11.8</v>
      </c>
      <c r="M258" s="132"/>
      <c r="N258" s="79"/>
      <c r="O258" s="79">
        <v>11.8</v>
      </c>
      <c r="P258" s="79">
        <v>11.8</v>
      </c>
      <c r="Q258" s="136"/>
      <c r="R258" s="79"/>
      <c r="S258" s="79">
        <v>11.81</v>
      </c>
      <c r="T258" s="79">
        <v>11.81</v>
      </c>
      <c r="U258" s="79">
        <v>0</v>
      </c>
      <c r="V258" s="189">
        <v>11.81</v>
      </c>
      <c r="X258" s="79"/>
      <c r="Y258" s="79">
        <v>11.81</v>
      </c>
      <c r="Z258" s="79">
        <v>11.81</v>
      </c>
      <c r="AA258" s="255">
        <v>-9.9999999999997868E-3</v>
      </c>
      <c r="AC258" s="254"/>
    </row>
    <row r="259" spans="1:29" ht="12">
      <c r="A259" s="67" t="s">
        <v>10992</v>
      </c>
      <c r="B259" s="65" t="s">
        <v>10993</v>
      </c>
      <c r="C259" s="71" t="s">
        <v>509</v>
      </c>
      <c r="D259" s="78">
        <v>1</v>
      </c>
      <c r="E259" s="79">
        <v>6.82</v>
      </c>
      <c r="F259" s="70">
        <v>6.82</v>
      </c>
      <c r="G259" s="320"/>
      <c r="H259" s="79">
        <v>0</v>
      </c>
      <c r="I259" s="79">
        <v>6.82</v>
      </c>
      <c r="J259" s="79">
        <v>6.82</v>
      </c>
      <c r="K259" s="79">
        <v>0</v>
      </c>
      <c r="L259" s="70">
        <v>6.82</v>
      </c>
      <c r="M259" s="132"/>
      <c r="N259" s="79"/>
      <c r="O259" s="79">
        <v>6.82</v>
      </c>
      <c r="P259" s="79">
        <v>6.82</v>
      </c>
      <c r="Q259" s="136"/>
      <c r="R259" s="79"/>
      <c r="S259" s="79">
        <v>6.81</v>
      </c>
      <c r="T259" s="79">
        <v>6.81</v>
      </c>
      <c r="U259" s="79">
        <v>0</v>
      </c>
      <c r="V259" s="189">
        <v>6.81</v>
      </c>
      <c r="X259" s="79"/>
      <c r="Y259" s="79">
        <v>6.81</v>
      </c>
      <c r="Z259" s="79">
        <v>6.81</v>
      </c>
      <c r="AA259" s="255">
        <v>1.0000000000000675E-2</v>
      </c>
      <c r="AC259" s="254"/>
    </row>
    <row r="260" spans="1:29" ht="12">
      <c r="A260" s="67" t="s">
        <v>10994</v>
      </c>
      <c r="B260" s="65" t="s">
        <v>10995</v>
      </c>
      <c r="C260" s="71" t="s">
        <v>509</v>
      </c>
      <c r="D260" s="78">
        <v>1</v>
      </c>
      <c r="E260" s="79">
        <v>6.82</v>
      </c>
      <c r="F260" s="70">
        <v>6.82</v>
      </c>
      <c r="G260" s="320"/>
      <c r="H260" s="79">
        <v>0</v>
      </c>
      <c r="I260" s="79">
        <v>6.82</v>
      </c>
      <c r="J260" s="79">
        <v>6.82</v>
      </c>
      <c r="K260" s="79">
        <v>0</v>
      </c>
      <c r="L260" s="70">
        <v>6.82</v>
      </c>
      <c r="M260" s="132"/>
      <c r="N260" s="79"/>
      <c r="O260" s="79">
        <v>6.82</v>
      </c>
      <c r="P260" s="79">
        <v>6.82</v>
      </c>
      <c r="Q260" s="136"/>
      <c r="R260" s="79"/>
      <c r="S260" s="79">
        <v>6.81</v>
      </c>
      <c r="T260" s="79">
        <v>6.81</v>
      </c>
      <c r="U260" s="79">
        <v>0</v>
      </c>
      <c r="V260" s="189">
        <v>6.81</v>
      </c>
      <c r="X260" s="79"/>
      <c r="Y260" s="79">
        <v>6.81</v>
      </c>
      <c r="Z260" s="79">
        <v>6.81</v>
      </c>
      <c r="AA260" s="255">
        <v>1.0000000000000675E-2</v>
      </c>
      <c r="AC260" s="254"/>
    </row>
    <row r="261" spans="1:29" ht="12">
      <c r="A261" s="67" t="s">
        <v>10996</v>
      </c>
      <c r="B261" s="65" t="s">
        <v>10997</v>
      </c>
      <c r="C261" s="71" t="s">
        <v>509</v>
      </c>
      <c r="D261" s="78">
        <v>1</v>
      </c>
      <c r="E261" s="79">
        <v>7.49</v>
      </c>
      <c r="F261" s="70">
        <v>7.49</v>
      </c>
      <c r="G261" s="320"/>
      <c r="H261" s="79">
        <v>0</v>
      </c>
      <c r="I261" s="79">
        <v>7.49</v>
      </c>
      <c r="J261" s="79">
        <v>7.49</v>
      </c>
      <c r="K261" s="79">
        <v>0</v>
      </c>
      <c r="L261" s="70">
        <v>7.49</v>
      </c>
      <c r="M261" s="132"/>
      <c r="N261" s="79"/>
      <c r="O261" s="79">
        <v>7.49</v>
      </c>
      <c r="P261" s="79">
        <v>7.49</v>
      </c>
      <c r="Q261" s="136"/>
      <c r="R261" s="79"/>
      <c r="S261" s="79">
        <v>7.49</v>
      </c>
      <c r="T261" s="79">
        <v>7.49</v>
      </c>
      <c r="U261" s="79">
        <v>0</v>
      </c>
      <c r="V261" s="189">
        <v>7.49</v>
      </c>
      <c r="X261" s="79"/>
      <c r="Y261" s="79">
        <v>7.49</v>
      </c>
      <c r="Z261" s="79">
        <v>7.49</v>
      </c>
      <c r="AA261" s="255">
        <v>0</v>
      </c>
      <c r="AC261" s="254"/>
    </row>
    <row r="262" spans="1:29" ht="12">
      <c r="A262" s="489" t="s">
        <v>10998</v>
      </c>
      <c r="B262" s="490" t="s">
        <v>10999</v>
      </c>
      <c r="C262" s="491"/>
      <c r="D262" s="492"/>
      <c r="E262" s="79"/>
      <c r="F262" s="63"/>
      <c r="G262" s="320"/>
      <c r="H262" s="79"/>
      <c r="I262" s="79"/>
      <c r="J262" s="79"/>
      <c r="K262" s="79"/>
      <c r="L262" s="70"/>
      <c r="M262" s="132"/>
      <c r="N262" s="79"/>
      <c r="O262" s="79"/>
      <c r="P262" s="79"/>
      <c r="Q262" s="136"/>
      <c r="R262" s="79"/>
      <c r="S262" s="79"/>
      <c r="T262" s="79"/>
      <c r="U262" s="79"/>
      <c r="V262" s="189"/>
      <c r="X262" s="79"/>
      <c r="Y262" s="79"/>
      <c r="Z262" s="79"/>
      <c r="AA262" s="255"/>
      <c r="AC262" s="254"/>
    </row>
    <row r="263" spans="1:29" ht="12">
      <c r="A263" s="67" t="s">
        <v>11000</v>
      </c>
      <c r="B263" s="65" t="s">
        <v>11001</v>
      </c>
      <c r="C263" s="71" t="s">
        <v>509</v>
      </c>
      <c r="D263" s="78">
        <v>1</v>
      </c>
      <c r="E263" s="79">
        <v>18.28</v>
      </c>
      <c r="F263" s="70">
        <v>18.28</v>
      </c>
      <c r="G263" s="320"/>
      <c r="H263" s="79">
        <v>0</v>
      </c>
      <c r="I263" s="79">
        <v>18.28</v>
      </c>
      <c r="J263" s="79">
        <v>18.28</v>
      </c>
      <c r="K263" s="79">
        <v>0</v>
      </c>
      <c r="L263" s="70">
        <v>18.28</v>
      </c>
      <c r="M263" s="132"/>
      <c r="N263" s="79"/>
      <c r="O263" s="79">
        <v>18.28</v>
      </c>
      <c r="P263" s="79">
        <v>18.28</v>
      </c>
      <c r="Q263" s="136"/>
      <c r="R263" s="79"/>
      <c r="S263" s="79">
        <v>18.27</v>
      </c>
      <c r="T263" s="79">
        <v>18.27</v>
      </c>
      <c r="U263" s="79">
        <v>0</v>
      </c>
      <c r="V263" s="189">
        <v>18.27</v>
      </c>
      <c r="X263" s="79"/>
      <c r="Y263" s="79">
        <v>18.27</v>
      </c>
      <c r="Z263" s="79">
        <v>18.27</v>
      </c>
      <c r="AA263" s="255">
        <v>1.0000000000001563E-2</v>
      </c>
      <c r="AC263" s="254"/>
    </row>
    <row r="264" spans="1:29" ht="12">
      <c r="A264" s="67" t="s">
        <v>11002</v>
      </c>
      <c r="B264" s="65" t="s">
        <v>11003</v>
      </c>
      <c r="C264" s="71" t="s">
        <v>509</v>
      </c>
      <c r="D264" s="78">
        <v>1</v>
      </c>
      <c r="E264" s="79">
        <v>21.91</v>
      </c>
      <c r="F264" s="70">
        <v>21.91</v>
      </c>
      <c r="G264" s="320"/>
      <c r="H264" s="79">
        <v>0</v>
      </c>
      <c r="I264" s="79">
        <v>21.91</v>
      </c>
      <c r="J264" s="79">
        <v>21.91</v>
      </c>
      <c r="K264" s="79">
        <v>0</v>
      </c>
      <c r="L264" s="70">
        <v>21.91</v>
      </c>
      <c r="M264" s="132"/>
      <c r="N264" s="79"/>
      <c r="O264" s="79">
        <v>21.91</v>
      </c>
      <c r="P264" s="79">
        <v>21.91</v>
      </c>
      <c r="Q264" s="136"/>
      <c r="R264" s="79"/>
      <c r="S264" s="79">
        <v>21.92</v>
      </c>
      <c r="T264" s="79">
        <v>21.92</v>
      </c>
      <c r="U264" s="79">
        <v>0</v>
      </c>
      <c r="V264" s="189">
        <v>21.92</v>
      </c>
      <c r="X264" s="79"/>
      <c r="Y264" s="79">
        <v>21.92</v>
      </c>
      <c r="Z264" s="79">
        <v>21.92</v>
      </c>
      <c r="AA264" s="255">
        <v>-1.0000000000001563E-2</v>
      </c>
      <c r="AC264" s="254"/>
    </row>
    <row r="265" spans="1:29" ht="12">
      <c r="A265" s="67" t="s">
        <v>11004</v>
      </c>
      <c r="B265" s="65" t="s">
        <v>11005</v>
      </c>
      <c r="C265" s="71" t="s">
        <v>165</v>
      </c>
      <c r="D265" s="78">
        <v>1</v>
      </c>
      <c r="E265" s="79">
        <v>7.3</v>
      </c>
      <c r="F265" s="70">
        <v>7.3</v>
      </c>
      <c r="G265" s="320"/>
      <c r="H265" s="79">
        <v>0</v>
      </c>
      <c r="I265" s="79">
        <v>7.3</v>
      </c>
      <c r="J265" s="79">
        <v>7.3</v>
      </c>
      <c r="K265" s="79">
        <v>0</v>
      </c>
      <c r="L265" s="70">
        <v>7.3</v>
      </c>
      <c r="M265" s="132"/>
      <c r="N265" s="79"/>
      <c r="O265" s="79">
        <v>7.3</v>
      </c>
      <c r="P265" s="79">
        <v>7.3</v>
      </c>
      <c r="Q265" s="136"/>
      <c r="R265" s="79"/>
      <c r="S265" s="79">
        <v>7.3</v>
      </c>
      <c r="T265" s="79">
        <v>7.3</v>
      </c>
      <c r="U265" s="79">
        <v>0</v>
      </c>
      <c r="V265" s="189">
        <v>7.3</v>
      </c>
      <c r="X265" s="79"/>
      <c r="Y265" s="79">
        <v>7.3</v>
      </c>
      <c r="Z265" s="79">
        <v>7.3</v>
      </c>
      <c r="AA265" s="255">
        <v>0</v>
      </c>
      <c r="AC265" s="254"/>
    </row>
    <row r="266" spans="1:29" ht="12">
      <c r="A266" s="489" t="s">
        <v>11006</v>
      </c>
      <c r="B266" s="490" t="s">
        <v>11007</v>
      </c>
      <c r="C266" s="491"/>
      <c r="D266" s="492"/>
      <c r="E266" s="79"/>
      <c r="F266" s="63"/>
      <c r="G266" s="320"/>
      <c r="H266" s="79"/>
      <c r="I266" s="79"/>
      <c r="J266" s="79"/>
      <c r="K266" s="79"/>
      <c r="L266" s="70"/>
      <c r="M266" s="132"/>
      <c r="N266" s="79"/>
      <c r="O266" s="79"/>
      <c r="P266" s="79"/>
      <c r="Q266" s="136"/>
      <c r="R266" s="79"/>
      <c r="S266" s="79"/>
      <c r="T266" s="79"/>
      <c r="U266" s="79"/>
      <c r="V266" s="189"/>
      <c r="X266" s="79"/>
      <c r="Y266" s="79"/>
      <c r="Z266" s="79"/>
      <c r="AA266" s="255"/>
      <c r="AC266" s="254"/>
    </row>
    <row r="267" spans="1:29" ht="12">
      <c r="A267" s="67" t="s">
        <v>11008</v>
      </c>
      <c r="B267" s="65" t="s">
        <v>11009</v>
      </c>
      <c r="C267" s="71" t="s">
        <v>165</v>
      </c>
      <c r="D267" s="78">
        <v>1</v>
      </c>
      <c r="E267" s="79">
        <v>1.75</v>
      </c>
      <c r="F267" s="70">
        <v>1.75</v>
      </c>
      <c r="G267" s="320"/>
      <c r="H267" s="79">
        <v>0.08</v>
      </c>
      <c r="I267" s="79">
        <v>1.67</v>
      </c>
      <c r="J267" s="79">
        <v>1.75</v>
      </c>
      <c r="K267" s="79">
        <v>0</v>
      </c>
      <c r="L267" s="70">
        <v>1.75</v>
      </c>
      <c r="M267" s="132"/>
      <c r="N267" s="79">
        <v>0.08</v>
      </c>
      <c r="O267" s="79">
        <v>1.67</v>
      </c>
      <c r="P267" s="79">
        <v>1.75</v>
      </c>
      <c r="Q267" s="136"/>
      <c r="R267" s="79">
        <v>0.08</v>
      </c>
      <c r="S267" s="79">
        <v>1.66</v>
      </c>
      <c r="T267" s="79">
        <v>1.74</v>
      </c>
      <c r="U267" s="79">
        <v>0</v>
      </c>
      <c r="V267" s="189">
        <v>1.74</v>
      </c>
      <c r="X267" s="79">
        <v>0.08</v>
      </c>
      <c r="Y267" s="79">
        <v>1.66</v>
      </c>
      <c r="Z267" s="79">
        <v>1.74</v>
      </c>
      <c r="AA267" s="255">
        <v>1.0000000000000009E-2</v>
      </c>
      <c r="AC267" s="254"/>
    </row>
    <row r="268" spans="1:29" ht="12">
      <c r="A268" s="67" t="s">
        <v>11010</v>
      </c>
      <c r="B268" s="65" t="s">
        <v>11011</v>
      </c>
      <c r="C268" s="71" t="s">
        <v>165</v>
      </c>
      <c r="D268" s="78">
        <v>1</v>
      </c>
      <c r="E268" s="79">
        <v>2.6399999999999997</v>
      </c>
      <c r="F268" s="70">
        <v>2.64</v>
      </c>
      <c r="G268" s="320"/>
      <c r="H268" s="79">
        <v>0.97</v>
      </c>
      <c r="I268" s="79">
        <v>1.67</v>
      </c>
      <c r="J268" s="79">
        <v>2.6399999999999997</v>
      </c>
      <c r="K268" s="79">
        <v>0</v>
      </c>
      <c r="L268" s="70">
        <v>2.6399999999999997</v>
      </c>
      <c r="M268" s="132"/>
      <c r="N268" s="79">
        <v>0.97</v>
      </c>
      <c r="O268" s="79">
        <v>1.67</v>
      </c>
      <c r="P268" s="79">
        <v>2.6399999999999997</v>
      </c>
      <c r="Q268" s="136"/>
      <c r="R268" s="79">
        <v>0.97</v>
      </c>
      <c r="S268" s="79">
        <v>1.66</v>
      </c>
      <c r="T268" s="79">
        <v>2.63</v>
      </c>
      <c r="U268" s="79">
        <v>0</v>
      </c>
      <c r="V268" s="189">
        <v>2.63</v>
      </c>
      <c r="X268" s="79">
        <v>0.97</v>
      </c>
      <c r="Y268" s="79">
        <v>1.66</v>
      </c>
      <c r="Z268" s="79">
        <v>2.63</v>
      </c>
      <c r="AA268" s="255">
        <v>1.0000000000000231E-2</v>
      </c>
      <c r="AC268" s="254"/>
    </row>
    <row r="269" spans="1:29" ht="12">
      <c r="A269" s="67" t="s">
        <v>11012</v>
      </c>
      <c r="B269" s="65" t="s">
        <v>11013</v>
      </c>
      <c r="C269" s="71" t="s">
        <v>509</v>
      </c>
      <c r="D269" s="78">
        <v>1</v>
      </c>
      <c r="E269" s="79">
        <v>18.07</v>
      </c>
      <c r="F269" s="70">
        <v>18.07</v>
      </c>
      <c r="G269" s="320"/>
      <c r="H269" s="79">
        <v>4.83</v>
      </c>
      <c r="I269" s="79">
        <v>13.24</v>
      </c>
      <c r="J269" s="79">
        <v>18.07</v>
      </c>
      <c r="K269" s="79">
        <v>0</v>
      </c>
      <c r="L269" s="70">
        <v>18.07</v>
      </c>
      <c r="M269" s="132"/>
      <c r="N269" s="79">
        <v>4.83</v>
      </c>
      <c r="O269" s="79">
        <v>13.24</v>
      </c>
      <c r="P269" s="79">
        <v>18.07</v>
      </c>
      <c r="Q269" s="136"/>
      <c r="R269" s="79">
        <v>4.83</v>
      </c>
      <c r="S269" s="79">
        <v>13.25</v>
      </c>
      <c r="T269" s="79">
        <v>18.079999999999998</v>
      </c>
      <c r="U269" s="79">
        <v>0</v>
      </c>
      <c r="V269" s="189">
        <v>18.079999999999998</v>
      </c>
      <c r="X269" s="79">
        <v>4.83</v>
      </c>
      <c r="Y269" s="79">
        <v>13.25</v>
      </c>
      <c r="Z269" s="79">
        <v>18.079999999999998</v>
      </c>
      <c r="AA269" s="255">
        <v>-9.9999999999980105E-3</v>
      </c>
      <c r="AC269" s="254"/>
    </row>
    <row r="270" spans="1:29" ht="12">
      <c r="A270" s="67" t="s">
        <v>11014</v>
      </c>
      <c r="B270" s="65" t="s">
        <v>11015</v>
      </c>
      <c r="C270" s="71" t="s">
        <v>509</v>
      </c>
      <c r="D270" s="78">
        <v>1</v>
      </c>
      <c r="E270" s="79">
        <v>10.32</v>
      </c>
      <c r="F270" s="70">
        <v>10.32</v>
      </c>
      <c r="G270" s="320"/>
      <c r="H270" s="79">
        <v>0.39</v>
      </c>
      <c r="I270" s="79">
        <v>9.93</v>
      </c>
      <c r="J270" s="79">
        <v>10.32</v>
      </c>
      <c r="K270" s="79">
        <v>0</v>
      </c>
      <c r="L270" s="70">
        <v>10.32</v>
      </c>
      <c r="M270" s="132"/>
      <c r="N270" s="79">
        <v>0.39</v>
      </c>
      <c r="O270" s="79">
        <v>9.93</v>
      </c>
      <c r="P270" s="79">
        <v>10.32</v>
      </c>
      <c r="Q270" s="136"/>
      <c r="R270" s="79">
        <v>0.39</v>
      </c>
      <c r="S270" s="79">
        <v>9.94</v>
      </c>
      <c r="T270" s="79">
        <v>10.33</v>
      </c>
      <c r="U270" s="79">
        <v>0</v>
      </c>
      <c r="V270" s="189">
        <v>10.33</v>
      </c>
      <c r="X270" s="79">
        <v>0.39</v>
      </c>
      <c r="Y270" s="79">
        <v>9.94</v>
      </c>
      <c r="Z270" s="79">
        <v>10.33</v>
      </c>
      <c r="AA270" s="255">
        <v>-9.9999999999997868E-3</v>
      </c>
      <c r="AC270" s="254"/>
    </row>
    <row r="271" spans="1:29" ht="12">
      <c r="A271" s="67" t="s">
        <v>11016</v>
      </c>
      <c r="B271" s="65" t="s">
        <v>11017</v>
      </c>
      <c r="C271" s="71" t="s">
        <v>509</v>
      </c>
      <c r="D271" s="78">
        <v>1</v>
      </c>
      <c r="E271" s="79">
        <v>14.76</v>
      </c>
      <c r="F271" s="70">
        <v>14.76</v>
      </c>
      <c r="G271" s="320"/>
      <c r="H271" s="79">
        <v>4.83</v>
      </c>
      <c r="I271" s="79">
        <v>9.93</v>
      </c>
      <c r="J271" s="79">
        <v>14.76</v>
      </c>
      <c r="K271" s="79">
        <v>0</v>
      </c>
      <c r="L271" s="70">
        <v>14.76</v>
      </c>
      <c r="M271" s="132"/>
      <c r="N271" s="79">
        <v>4.83</v>
      </c>
      <c r="O271" s="79">
        <v>9.93</v>
      </c>
      <c r="P271" s="79">
        <v>14.76</v>
      </c>
      <c r="Q271" s="136"/>
      <c r="R271" s="79">
        <v>4.83</v>
      </c>
      <c r="S271" s="79">
        <v>9.94</v>
      </c>
      <c r="T271" s="79">
        <v>14.77</v>
      </c>
      <c r="U271" s="79">
        <v>0</v>
      </c>
      <c r="V271" s="189">
        <v>14.77</v>
      </c>
      <c r="X271" s="79">
        <v>4.83</v>
      </c>
      <c r="Y271" s="79">
        <v>9.94</v>
      </c>
      <c r="Z271" s="79">
        <v>14.77</v>
      </c>
      <c r="AA271" s="255">
        <v>-9.9999999999997868E-3</v>
      </c>
      <c r="AC271" s="254"/>
    </row>
    <row r="272" spans="1:29" ht="12">
      <c r="A272" s="67" t="s">
        <v>11018</v>
      </c>
      <c r="B272" s="65" t="s">
        <v>11019</v>
      </c>
      <c r="C272" s="71" t="s">
        <v>509</v>
      </c>
      <c r="D272" s="78">
        <v>1</v>
      </c>
      <c r="E272" s="79">
        <v>7.01</v>
      </c>
      <c r="F272" s="70">
        <v>7.01</v>
      </c>
      <c r="G272" s="320"/>
      <c r="H272" s="79">
        <v>0.39</v>
      </c>
      <c r="I272" s="79">
        <v>6.62</v>
      </c>
      <c r="J272" s="79">
        <v>7.01</v>
      </c>
      <c r="K272" s="79">
        <v>0</v>
      </c>
      <c r="L272" s="70">
        <v>7.01</v>
      </c>
      <c r="M272" s="132"/>
      <c r="N272" s="79">
        <v>0.39</v>
      </c>
      <c r="O272" s="79">
        <v>6.62</v>
      </c>
      <c r="P272" s="79">
        <v>7.01</v>
      </c>
      <c r="Q272" s="136"/>
      <c r="R272" s="79">
        <v>0.39</v>
      </c>
      <c r="S272" s="79">
        <v>6.62</v>
      </c>
      <c r="T272" s="79">
        <v>7.01</v>
      </c>
      <c r="U272" s="79">
        <v>0</v>
      </c>
      <c r="V272" s="189">
        <v>7.01</v>
      </c>
      <c r="X272" s="79">
        <v>0.39</v>
      </c>
      <c r="Y272" s="79">
        <v>6.62</v>
      </c>
      <c r="Z272" s="79">
        <v>7.01</v>
      </c>
      <c r="AA272" s="255">
        <v>0</v>
      </c>
      <c r="AC272" s="254"/>
    </row>
    <row r="273" spans="1:29" ht="12">
      <c r="A273" s="489" t="s">
        <v>11020</v>
      </c>
      <c r="B273" s="490" t="s">
        <v>11021</v>
      </c>
      <c r="C273" s="71"/>
      <c r="D273" s="78"/>
      <c r="E273" s="79"/>
      <c r="F273" s="70"/>
      <c r="G273" s="320"/>
      <c r="H273" s="79"/>
      <c r="I273" s="79"/>
      <c r="J273" s="79"/>
      <c r="K273" s="79"/>
      <c r="L273" s="70"/>
      <c r="M273" s="132"/>
      <c r="N273" s="79"/>
      <c r="O273" s="79"/>
      <c r="P273" s="79"/>
      <c r="Q273" s="136"/>
      <c r="R273" s="79"/>
      <c r="S273" s="79"/>
      <c r="T273" s="79"/>
      <c r="U273" s="79"/>
      <c r="V273" s="189"/>
      <c r="X273" s="79"/>
      <c r="Y273" s="79"/>
      <c r="Z273" s="79"/>
      <c r="AA273" s="255"/>
      <c r="AC273" s="254"/>
    </row>
    <row r="274" spans="1:29" s="61" customFormat="1" ht="12">
      <c r="A274" s="67" t="s">
        <v>11022</v>
      </c>
      <c r="B274" s="65" t="s">
        <v>11023</v>
      </c>
      <c r="C274" s="71" t="s">
        <v>509</v>
      </c>
      <c r="D274" s="78">
        <v>1</v>
      </c>
      <c r="E274" s="79">
        <v>99.14</v>
      </c>
      <c r="F274" s="70">
        <v>99.14</v>
      </c>
      <c r="G274" s="320"/>
      <c r="H274" s="79">
        <v>99.14</v>
      </c>
      <c r="I274" s="79">
        <v>0</v>
      </c>
      <c r="J274" s="79">
        <v>99.14</v>
      </c>
      <c r="K274" s="79">
        <v>0</v>
      </c>
      <c r="L274" s="70">
        <v>99.14</v>
      </c>
      <c r="M274" s="132"/>
      <c r="N274" s="79">
        <v>99.14</v>
      </c>
      <c r="O274" s="79"/>
      <c r="P274" s="79">
        <v>99.14</v>
      </c>
      <c r="Q274" s="136"/>
      <c r="R274" s="79">
        <v>99.14</v>
      </c>
      <c r="S274" s="79"/>
      <c r="T274" s="79">
        <v>4.2</v>
      </c>
      <c r="U274" s="79">
        <v>0</v>
      </c>
      <c r="V274" s="189">
        <v>4.2</v>
      </c>
      <c r="X274" s="79">
        <v>99.14</v>
      </c>
      <c r="Y274" s="79"/>
      <c r="Z274" s="79">
        <v>99.14</v>
      </c>
      <c r="AA274" s="255">
        <v>0</v>
      </c>
      <c r="AC274" s="254"/>
    </row>
    <row r="275" spans="1:29" s="61" customFormat="1" ht="12">
      <c r="A275" s="67" t="s">
        <v>11024</v>
      </c>
      <c r="B275" s="65" t="s">
        <v>11025</v>
      </c>
      <c r="C275" s="71" t="s">
        <v>103</v>
      </c>
      <c r="D275" s="78">
        <v>1</v>
      </c>
      <c r="E275" s="79">
        <v>13.93</v>
      </c>
      <c r="F275" s="70">
        <v>13.93</v>
      </c>
      <c r="G275" s="320"/>
      <c r="H275" s="79">
        <v>3.87</v>
      </c>
      <c r="I275" s="79">
        <v>10.06</v>
      </c>
      <c r="J275" s="79">
        <v>13.93</v>
      </c>
      <c r="K275" s="79">
        <v>0</v>
      </c>
      <c r="L275" s="70">
        <v>13.93</v>
      </c>
      <c r="M275" s="132"/>
      <c r="N275" s="79">
        <v>3.87</v>
      </c>
      <c r="O275" s="79">
        <v>10.06</v>
      </c>
      <c r="P275" s="79">
        <v>13.93</v>
      </c>
      <c r="Q275" s="136"/>
      <c r="R275" s="79">
        <v>3.87</v>
      </c>
      <c r="S275" s="79">
        <v>10.07</v>
      </c>
      <c r="T275" s="79">
        <v>4.2</v>
      </c>
      <c r="U275" s="79">
        <v>0</v>
      </c>
      <c r="V275" s="189">
        <v>4.2</v>
      </c>
      <c r="X275" s="79">
        <v>3.87</v>
      </c>
      <c r="Y275" s="79">
        <v>10.07</v>
      </c>
      <c r="Z275" s="79">
        <v>13.94</v>
      </c>
      <c r="AA275" s="255">
        <v>-9.9999999999997868E-3</v>
      </c>
      <c r="AC275" s="254"/>
    </row>
    <row r="276" spans="1:29" ht="12">
      <c r="A276" s="489" t="s">
        <v>11026</v>
      </c>
      <c r="B276" s="490" t="s">
        <v>11027</v>
      </c>
      <c r="C276" s="491"/>
      <c r="D276" s="492"/>
      <c r="E276" s="79"/>
      <c r="F276" s="63"/>
      <c r="G276" s="320"/>
      <c r="H276" s="79"/>
      <c r="I276" s="79"/>
      <c r="J276" s="79"/>
      <c r="K276" s="79"/>
      <c r="L276" s="70"/>
      <c r="M276" s="132"/>
      <c r="N276" s="79"/>
      <c r="O276" s="79"/>
      <c r="P276" s="79"/>
      <c r="Q276" s="136"/>
      <c r="R276" s="79"/>
      <c r="S276" s="79"/>
      <c r="T276" s="79"/>
      <c r="U276" s="79"/>
      <c r="V276" s="189"/>
      <c r="X276" s="79"/>
      <c r="Y276" s="79"/>
      <c r="Z276" s="79"/>
      <c r="AA276" s="255"/>
      <c r="AC276" s="254"/>
    </row>
    <row r="277" spans="1:29" ht="12">
      <c r="A277" s="489" t="s">
        <v>11028</v>
      </c>
      <c r="B277" s="490" t="s">
        <v>11029</v>
      </c>
      <c r="C277" s="491"/>
      <c r="D277" s="492"/>
      <c r="E277" s="79"/>
      <c r="F277" s="63"/>
      <c r="G277" s="320"/>
      <c r="H277" s="79"/>
      <c r="I277" s="79"/>
      <c r="J277" s="79"/>
      <c r="K277" s="79"/>
      <c r="L277" s="70"/>
      <c r="M277" s="132"/>
      <c r="N277" s="79"/>
      <c r="O277" s="79"/>
      <c r="P277" s="79"/>
      <c r="Q277" s="136"/>
      <c r="R277" s="79"/>
      <c r="S277" s="79"/>
      <c r="T277" s="79"/>
      <c r="U277" s="79"/>
      <c r="V277" s="189"/>
      <c r="X277" s="79"/>
      <c r="Y277" s="79"/>
      <c r="Z277" s="79"/>
      <c r="AA277" s="255"/>
      <c r="AC277" s="254"/>
    </row>
    <row r="278" spans="1:29" ht="12">
      <c r="A278" s="67" t="s">
        <v>11030</v>
      </c>
      <c r="B278" s="65" t="s">
        <v>11031</v>
      </c>
      <c r="C278" s="71" t="s">
        <v>509</v>
      </c>
      <c r="D278" s="78">
        <v>1</v>
      </c>
      <c r="E278" s="79">
        <v>41.47</v>
      </c>
      <c r="F278" s="70">
        <v>41.47</v>
      </c>
      <c r="G278" s="320"/>
      <c r="H278" s="79">
        <v>0</v>
      </c>
      <c r="I278" s="79">
        <v>41.47</v>
      </c>
      <c r="J278" s="79">
        <v>41.47</v>
      </c>
      <c r="K278" s="79">
        <v>0</v>
      </c>
      <c r="L278" s="70">
        <v>41.47</v>
      </c>
      <c r="M278" s="132"/>
      <c r="N278" s="79"/>
      <c r="O278" s="79">
        <v>41.47</v>
      </c>
      <c r="P278" s="79">
        <v>41.47</v>
      </c>
      <c r="Q278" s="136"/>
      <c r="R278" s="79"/>
      <c r="S278" s="79">
        <v>41.46</v>
      </c>
      <c r="T278" s="79">
        <v>41.46</v>
      </c>
      <c r="U278" s="79">
        <v>0</v>
      </c>
      <c r="V278" s="189">
        <v>41.46</v>
      </c>
      <c r="X278" s="79"/>
      <c r="Y278" s="79">
        <v>41.46</v>
      </c>
      <c r="Z278" s="79">
        <v>41.46</v>
      </c>
      <c r="AA278" s="255">
        <v>9.9999999999980105E-3</v>
      </c>
      <c r="AC278" s="254"/>
    </row>
    <row r="279" spans="1:29" ht="12">
      <c r="A279" s="67" t="s">
        <v>11032</v>
      </c>
      <c r="B279" s="65" t="s">
        <v>11033</v>
      </c>
      <c r="C279" s="71" t="s">
        <v>509</v>
      </c>
      <c r="D279" s="78">
        <v>1</v>
      </c>
      <c r="E279" s="79">
        <v>35.92</v>
      </c>
      <c r="F279" s="70">
        <v>35.92</v>
      </c>
      <c r="G279" s="320"/>
      <c r="H279" s="79">
        <v>0</v>
      </c>
      <c r="I279" s="79">
        <v>35.92</v>
      </c>
      <c r="J279" s="79">
        <v>35.92</v>
      </c>
      <c r="K279" s="79">
        <v>0</v>
      </c>
      <c r="L279" s="70">
        <v>35.92</v>
      </c>
      <c r="M279" s="132"/>
      <c r="N279" s="79"/>
      <c r="O279" s="79">
        <v>35.92</v>
      </c>
      <c r="P279" s="79">
        <v>35.92</v>
      </c>
      <c r="Q279" s="136"/>
      <c r="R279" s="79"/>
      <c r="S279" s="79">
        <v>35.93</v>
      </c>
      <c r="T279" s="79">
        <v>35.93</v>
      </c>
      <c r="U279" s="79">
        <v>0</v>
      </c>
      <c r="V279" s="189">
        <v>35.93</v>
      </c>
      <c r="X279" s="79"/>
      <c r="Y279" s="79">
        <v>35.93</v>
      </c>
      <c r="Z279" s="79">
        <v>35.93</v>
      </c>
      <c r="AA279" s="255">
        <v>-9.9999999999980105E-3</v>
      </c>
      <c r="AC279" s="254"/>
    </row>
    <row r="280" spans="1:29" ht="12">
      <c r="A280" s="67" t="s">
        <v>11034</v>
      </c>
      <c r="B280" s="65" t="s">
        <v>11035</v>
      </c>
      <c r="C280" s="71" t="s">
        <v>509</v>
      </c>
      <c r="D280" s="78">
        <v>1</v>
      </c>
      <c r="E280" s="79">
        <v>22.119999999999997</v>
      </c>
      <c r="F280" s="70">
        <v>22.12</v>
      </c>
      <c r="G280" s="320"/>
      <c r="H280" s="79">
        <v>0</v>
      </c>
      <c r="I280" s="79">
        <v>22.119999999999997</v>
      </c>
      <c r="J280" s="79">
        <v>22.119999999999997</v>
      </c>
      <c r="K280" s="79">
        <v>0</v>
      </c>
      <c r="L280" s="70">
        <v>22.119999999999997</v>
      </c>
      <c r="M280" s="132"/>
      <c r="N280" s="79"/>
      <c r="O280" s="79">
        <v>22.119999999999997</v>
      </c>
      <c r="P280" s="79">
        <v>22.119999999999997</v>
      </c>
      <c r="Q280" s="136"/>
      <c r="R280" s="79"/>
      <c r="S280" s="79">
        <v>22.11</v>
      </c>
      <c r="T280" s="79">
        <v>22.11</v>
      </c>
      <c r="U280" s="79">
        <v>0</v>
      </c>
      <c r="V280" s="189">
        <v>22.11</v>
      </c>
      <c r="X280" s="79"/>
      <c r="Y280" s="79">
        <v>22.11</v>
      </c>
      <c r="Z280" s="79">
        <v>22.11</v>
      </c>
      <c r="AA280" s="255">
        <v>1.0000000000001563E-2</v>
      </c>
      <c r="AC280" s="254"/>
    </row>
    <row r="281" spans="1:29" ht="12">
      <c r="A281" s="67" t="s">
        <v>11036</v>
      </c>
      <c r="B281" s="65" t="s">
        <v>11037</v>
      </c>
      <c r="C281" s="71" t="s">
        <v>509</v>
      </c>
      <c r="D281" s="78">
        <v>1</v>
      </c>
      <c r="E281" s="79">
        <v>3.4699999999999998</v>
      </c>
      <c r="F281" s="70">
        <v>3.47</v>
      </c>
      <c r="G281" s="320"/>
      <c r="H281" s="79">
        <v>2.69</v>
      </c>
      <c r="I281" s="79">
        <v>0.78</v>
      </c>
      <c r="J281" s="79">
        <v>3.4699999999999998</v>
      </c>
      <c r="K281" s="79">
        <v>0</v>
      </c>
      <c r="L281" s="70">
        <v>3.4699999999999998</v>
      </c>
      <c r="M281" s="132"/>
      <c r="N281" s="79">
        <v>2.69</v>
      </c>
      <c r="O281" s="79">
        <v>0.78</v>
      </c>
      <c r="P281" s="79">
        <v>3.4699999999999998</v>
      </c>
      <c r="Q281" s="136"/>
      <c r="R281" s="79">
        <v>2.69</v>
      </c>
      <c r="S281" s="79">
        <v>0.77</v>
      </c>
      <c r="T281" s="79">
        <v>3.46</v>
      </c>
      <c r="U281" s="79">
        <v>0</v>
      </c>
      <c r="V281" s="189">
        <v>3.46</v>
      </c>
      <c r="X281" s="79">
        <v>2.69</v>
      </c>
      <c r="Y281" s="79">
        <v>0.77</v>
      </c>
      <c r="Z281" s="79">
        <v>3.46</v>
      </c>
      <c r="AA281" s="255">
        <v>1.0000000000000231E-2</v>
      </c>
      <c r="AC281" s="254"/>
    </row>
    <row r="282" spans="1:29" ht="12">
      <c r="A282" s="67" t="s">
        <v>11038</v>
      </c>
      <c r="B282" s="65" t="s">
        <v>11039</v>
      </c>
      <c r="C282" s="71" t="s">
        <v>165</v>
      </c>
      <c r="D282" s="78">
        <v>1</v>
      </c>
      <c r="E282" s="79">
        <v>4.79</v>
      </c>
      <c r="F282" s="70">
        <v>4.79</v>
      </c>
      <c r="G282" s="320"/>
      <c r="H282" s="79">
        <v>0</v>
      </c>
      <c r="I282" s="79">
        <v>4.79</v>
      </c>
      <c r="J282" s="79">
        <v>4.79</v>
      </c>
      <c r="K282" s="79">
        <v>0</v>
      </c>
      <c r="L282" s="70">
        <v>4.79</v>
      </c>
      <c r="M282" s="132"/>
      <c r="N282" s="79"/>
      <c r="O282" s="79">
        <v>4.79</v>
      </c>
      <c r="P282" s="79">
        <v>4.79</v>
      </c>
      <c r="Q282" s="136"/>
      <c r="R282" s="79"/>
      <c r="S282" s="79">
        <v>4.79</v>
      </c>
      <c r="T282" s="79">
        <v>4.79</v>
      </c>
      <c r="U282" s="79">
        <v>0</v>
      </c>
      <c r="V282" s="189">
        <v>4.79</v>
      </c>
      <c r="X282" s="79"/>
      <c r="Y282" s="79">
        <v>4.79</v>
      </c>
      <c r="Z282" s="79">
        <v>4.79</v>
      </c>
      <c r="AA282" s="255">
        <v>0</v>
      </c>
      <c r="AC282" s="254"/>
    </row>
    <row r="283" spans="1:29" ht="12">
      <c r="A283" s="67" t="s">
        <v>11040</v>
      </c>
      <c r="B283" s="65" t="s">
        <v>11041</v>
      </c>
      <c r="C283" s="71" t="s">
        <v>165</v>
      </c>
      <c r="D283" s="78">
        <v>1</v>
      </c>
      <c r="E283" s="79">
        <v>14.08</v>
      </c>
      <c r="F283" s="70">
        <v>14.08</v>
      </c>
      <c r="G283" s="320"/>
      <c r="H283" s="79">
        <v>0</v>
      </c>
      <c r="I283" s="79">
        <v>14.08</v>
      </c>
      <c r="J283" s="79">
        <v>14.08</v>
      </c>
      <c r="K283" s="79">
        <v>0</v>
      </c>
      <c r="L283" s="70">
        <v>14.08</v>
      </c>
      <c r="M283" s="132"/>
      <c r="N283" s="79"/>
      <c r="O283" s="79">
        <v>14.08</v>
      </c>
      <c r="P283" s="79">
        <v>14.08</v>
      </c>
      <c r="Q283" s="136"/>
      <c r="R283" s="79"/>
      <c r="S283" s="79">
        <v>14.08</v>
      </c>
      <c r="T283" s="79">
        <v>14.08</v>
      </c>
      <c r="U283" s="79">
        <v>0</v>
      </c>
      <c r="V283" s="189">
        <v>14.08</v>
      </c>
      <c r="X283" s="79"/>
      <c r="Y283" s="79">
        <v>14.08</v>
      </c>
      <c r="Z283" s="79">
        <v>14.08</v>
      </c>
      <c r="AA283" s="255">
        <v>0</v>
      </c>
      <c r="AC283" s="254"/>
    </row>
    <row r="284" spans="1:29" ht="12">
      <c r="A284" s="489" t="s">
        <v>11042</v>
      </c>
      <c r="B284" s="490" t="s">
        <v>11043</v>
      </c>
      <c r="C284" s="491"/>
      <c r="D284" s="492"/>
      <c r="E284" s="79"/>
      <c r="F284" s="63"/>
      <c r="G284" s="320"/>
      <c r="H284" s="79"/>
      <c r="I284" s="79"/>
      <c r="J284" s="79"/>
      <c r="K284" s="79"/>
      <c r="L284" s="70"/>
      <c r="M284" s="132"/>
      <c r="N284" s="79"/>
      <c r="O284" s="79"/>
      <c r="P284" s="79"/>
      <c r="Q284" s="136"/>
      <c r="R284" s="79"/>
      <c r="S284" s="79"/>
      <c r="T284" s="79"/>
      <c r="U284" s="79"/>
      <c r="V284" s="189"/>
      <c r="X284" s="79"/>
      <c r="Y284" s="79"/>
      <c r="Z284" s="79"/>
      <c r="AA284" s="255"/>
      <c r="AC284" s="254"/>
    </row>
    <row r="285" spans="1:29" ht="12">
      <c r="A285" s="67" t="s">
        <v>11044</v>
      </c>
      <c r="B285" s="65" t="s">
        <v>11045</v>
      </c>
      <c r="C285" s="71" t="s">
        <v>165</v>
      </c>
      <c r="D285" s="78">
        <v>1</v>
      </c>
      <c r="E285" s="79">
        <v>1.5099999999999998</v>
      </c>
      <c r="F285" s="70">
        <v>1.51</v>
      </c>
      <c r="G285" s="320"/>
      <c r="H285" s="79">
        <v>0</v>
      </c>
      <c r="I285" s="79">
        <v>1.5099999999999998</v>
      </c>
      <c r="J285" s="79">
        <v>1.5099999999999998</v>
      </c>
      <c r="K285" s="79">
        <v>0</v>
      </c>
      <c r="L285" s="70">
        <v>1.5099999999999998</v>
      </c>
      <c r="M285" s="132"/>
      <c r="N285" s="79"/>
      <c r="O285" s="79">
        <v>1.5099999999999998</v>
      </c>
      <c r="P285" s="79">
        <v>1.5099999999999998</v>
      </c>
      <c r="Q285" s="136"/>
      <c r="R285" s="79"/>
      <c r="S285" s="79">
        <v>1.51</v>
      </c>
      <c r="T285" s="79">
        <v>1.51</v>
      </c>
      <c r="U285" s="79">
        <v>0</v>
      </c>
      <c r="V285" s="189">
        <v>1.51</v>
      </c>
      <c r="X285" s="79"/>
      <c r="Y285" s="79">
        <v>1.51</v>
      </c>
      <c r="Z285" s="79">
        <v>1.51</v>
      </c>
      <c r="AA285" s="255">
        <v>0</v>
      </c>
      <c r="AC285" s="254"/>
    </row>
    <row r="286" spans="1:29" ht="12">
      <c r="A286" s="67" t="s">
        <v>11046</v>
      </c>
      <c r="B286" s="65" t="s">
        <v>11047</v>
      </c>
      <c r="C286" s="71" t="s">
        <v>165</v>
      </c>
      <c r="D286" s="78">
        <v>1</v>
      </c>
      <c r="E286" s="79">
        <v>5.04</v>
      </c>
      <c r="F286" s="70">
        <v>5.04</v>
      </c>
      <c r="G286" s="320"/>
      <c r="H286" s="79">
        <v>0</v>
      </c>
      <c r="I286" s="79">
        <v>5.04</v>
      </c>
      <c r="J286" s="79">
        <v>5.04</v>
      </c>
      <c r="K286" s="79">
        <v>0</v>
      </c>
      <c r="L286" s="70">
        <v>5.04</v>
      </c>
      <c r="M286" s="132"/>
      <c r="N286" s="79"/>
      <c r="O286" s="79">
        <v>5.04</v>
      </c>
      <c r="P286" s="79">
        <v>5.04</v>
      </c>
      <c r="Q286" s="136"/>
      <c r="R286" s="79"/>
      <c r="S286" s="79">
        <v>5.03</v>
      </c>
      <c r="T286" s="79">
        <v>5.03</v>
      </c>
      <c r="U286" s="79">
        <v>0</v>
      </c>
      <c r="V286" s="189">
        <v>5.03</v>
      </c>
      <c r="X286" s="79"/>
      <c r="Y286" s="79">
        <v>5.03</v>
      </c>
      <c r="Z286" s="79">
        <v>5.03</v>
      </c>
      <c r="AA286" s="255">
        <v>9.9999999999997868E-3</v>
      </c>
      <c r="AC286" s="254"/>
    </row>
    <row r="287" spans="1:29" ht="12">
      <c r="A287" s="67" t="s">
        <v>11048</v>
      </c>
      <c r="B287" s="65" t="s">
        <v>11049</v>
      </c>
      <c r="C287" s="71" t="s">
        <v>509</v>
      </c>
      <c r="D287" s="78">
        <v>1</v>
      </c>
      <c r="E287" s="79">
        <v>27.68</v>
      </c>
      <c r="F287" s="70">
        <v>27.68</v>
      </c>
      <c r="G287" s="320"/>
      <c r="H287" s="79">
        <v>0</v>
      </c>
      <c r="I287" s="79">
        <v>27.68</v>
      </c>
      <c r="J287" s="79">
        <v>27.68</v>
      </c>
      <c r="K287" s="79">
        <v>0</v>
      </c>
      <c r="L287" s="70">
        <v>27.68</v>
      </c>
      <c r="M287" s="132"/>
      <c r="N287" s="79"/>
      <c r="O287" s="79">
        <v>27.68</v>
      </c>
      <c r="P287" s="79">
        <v>27.68</v>
      </c>
      <c r="Q287" s="136"/>
      <c r="R287" s="79"/>
      <c r="S287" s="79">
        <v>27.69</v>
      </c>
      <c r="T287" s="79">
        <v>27.69</v>
      </c>
      <c r="U287" s="79">
        <v>0</v>
      </c>
      <c r="V287" s="189">
        <v>27.69</v>
      </c>
      <c r="X287" s="79"/>
      <c r="Y287" s="79">
        <v>27.69</v>
      </c>
      <c r="Z287" s="79">
        <v>27.69</v>
      </c>
      <c r="AA287" s="255">
        <v>-1.0000000000001563E-2</v>
      </c>
      <c r="AC287" s="254"/>
    </row>
    <row r="288" spans="1:29" ht="12">
      <c r="A288" s="67" t="s">
        <v>11050</v>
      </c>
      <c r="B288" s="65" t="s">
        <v>11051</v>
      </c>
      <c r="C288" s="71" t="s">
        <v>509</v>
      </c>
      <c r="D288" s="78">
        <v>1</v>
      </c>
      <c r="E288" s="79">
        <v>22.66</v>
      </c>
      <c r="F288" s="70">
        <v>22.66</v>
      </c>
      <c r="G288" s="320"/>
      <c r="H288" s="79">
        <v>0</v>
      </c>
      <c r="I288" s="79">
        <v>22.66</v>
      </c>
      <c r="J288" s="79">
        <v>22.66</v>
      </c>
      <c r="K288" s="79">
        <v>0</v>
      </c>
      <c r="L288" s="70">
        <v>22.66</v>
      </c>
      <c r="M288" s="132"/>
      <c r="N288" s="79"/>
      <c r="O288" s="79">
        <v>22.66</v>
      </c>
      <c r="P288" s="79">
        <v>22.66</v>
      </c>
      <c r="Q288" s="136"/>
      <c r="R288" s="79"/>
      <c r="S288" s="79">
        <v>22.66</v>
      </c>
      <c r="T288" s="79">
        <v>22.66</v>
      </c>
      <c r="U288" s="79">
        <v>0</v>
      </c>
      <c r="V288" s="189">
        <v>22.66</v>
      </c>
      <c r="X288" s="79"/>
      <c r="Y288" s="79">
        <v>22.66</v>
      </c>
      <c r="Z288" s="79">
        <v>22.66</v>
      </c>
      <c r="AA288" s="255">
        <v>0</v>
      </c>
      <c r="AC288" s="254"/>
    </row>
    <row r="289" spans="1:29" ht="12">
      <c r="A289" s="67" t="s">
        <v>11052</v>
      </c>
      <c r="B289" s="65" t="s">
        <v>11053</v>
      </c>
      <c r="C289" s="71" t="s">
        <v>509</v>
      </c>
      <c r="D289" s="78">
        <v>1</v>
      </c>
      <c r="E289" s="79">
        <v>20.130000000000003</v>
      </c>
      <c r="F289" s="70">
        <v>20.13</v>
      </c>
      <c r="G289" s="320"/>
      <c r="H289" s="79">
        <v>0</v>
      </c>
      <c r="I289" s="79">
        <v>20.130000000000003</v>
      </c>
      <c r="J289" s="79">
        <v>20.130000000000003</v>
      </c>
      <c r="K289" s="79">
        <v>0</v>
      </c>
      <c r="L289" s="70">
        <v>20.130000000000003</v>
      </c>
      <c r="M289" s="132"/>
      <c r="N289" s="79"/>
      <c r="O289" s="79">
        <v>20.130000000000003</v>
      </c>
      <c r="P289" s="79">
        <v>20.130000000000003</v>
      </c>
      <c r="Q289" s="136"/>
      <c r="R289" s="79"/>
      <c r="S289" s="79">
        <v>20.14</v>
      </c>
      <c r="T289" s="79">
        <v>20.14</v>
      </c>
      <c r="U289" s="79">
        <v>0</v>
      </c>
      <c r="V289" s="189">
        <v>20.14</v>
      </c>
      <c r="X289" s="79"/>
      <c r="Y289" s="79">
        <v>20.14</v>
      </c>
      <c r="Z289" s="79">
        <v>20.14</v>
      </c>
      <c r="AA289" s="255">
        <v>-1.0000000000001563E-2</v>
      </c>
      <c r="AC289" s="254"/>
    </row>
    <row r="290" spans="1:29" ht="12">
      <c r="A290" s="67" t="s">
        <v>11054</v>
      </c>
      <c r="B290" s="65" t="s">
        <v>11055</v>
      </c>
      <c r="C290" s="71" t="s">
        <v>509</v>
      </c>
      <c r="D290" s="78">
        <v>1</v>
      </c>
      <c r="E290" s="79">
        <v>15.11</v>
      </c>
      <c r="F290" s="70">
        <v>15.11</v>
      </c>
      <c r="G290" s="320"/>
      <c r="H290" s="79">
        <v>0</v>
      </c>
      <c r="I290" s="79">
        <v>15.11</v>
      </c>
      <c r="J290" s="79">
        <v>15.11</v>
      </c>
      <c r="K290" s="79">
        <v>0</v>
      </c>
      <c r="L290" s="70">
        <v>15.11</v>
      </c>
      <c r="M290" s="132"/>
      <c r="N290" s="79"/>
      <c r="O290" s="79">
        <v>15.11</v>
      </c>
      <c r="P290" s="79">
        <v>15.11</v>
      </c>
      <c r="Q290" s="136"/>
      <c r="R290" s="79"/>
      <c r="S290" s="79">
        <v>15.1</v>
      </c>
      <c r="T290" s="79">
        <v>15.1</v>
      </c>
      <c r="U290" s="79">
        <v>0</v>
      </c>
      <c r="V290" s="189">
        <v>15.1</v>
      </c>
      <c r="X290" s="79"/>
      <c r="Y290" s="79">
        <v>15.1</v>
      </c>
      <c r="Z290" s="79">
        <v>15.1</v>
      </c>
      <c r="AA290" s="255">
        <v>9.9999999999997868E-3</v>
      </c>
      <c r="AC290" s="254"/>
    </row>
    <row r="291" spans="1:29" ht="12">
      <c r="A291" s="67" t="s">
        <v>11056</v>
      </c>
      <c r="B291" s="65" t="s">
        <v>5943</v>
      </c>
      <c r="C291" s="71" t="s">
        <v>207</v>
      </c>
      <c r="D291" s="78">
        <v>1</v>
      </c>
      <c r="E291" s="79">
        <v>2.5299999999999998</v>
      </c>
      <c r="F291" s="70">
        <v>2.5299999999999998</v>
      </c>
      <c r="G291" s="320"/>
      <c r="H291" s="79">
        <v>2.5299999999999998</v>
      </c>
      <c r="I291" s="79">
        <v>0</v>
      </c>
      <c r="J291" s="79">
        <v>2.5299999999999998</v>
      </c>
      <c r="K291" s="79">
        <v>0</v>
      </c>
      <c r="L291" s="70">
        <v>2.5299999999999998</v>
      </c>
      <c r="M291" s="132"/>
      <c r="N291" s="79">
        <v>2.5299999999999998</v>
      </c>
      <c r="O291" s="79"/>
      <c r="P291" s="79">
        <v>2.5299999999999998</v>
      </c>
      <c r="Q291" s="136"/>
      <c r="R291" s="79">
        <v>2.5299999999999998</v>
      </c>
      <c r="S291" s="79"/>
      <c r="T291" s="79">
        <v>2.5299999999999998</v>
      </c>
      <c r="U291" s="79">
        <v>0</v>
      </c>
      <c r="V291" s="189">
        <v>2.5299999999999998</v>
      </c>
      <c r="X291" s="79">
        <v>2.5299999999999998</v>
      </c>
      <c r="Y291" s="79"/>
      <c r="Z291" s="79">
        <v>2.5299999999999998</v>
      </c>
      <c r="AA291" s="255">
        <v>0</v>
      </c>
      <c r="AC291" s="254"/>
    </row>
    <row r="292" spans="1:29" ht="12">
      <c r="A292" s="489" t="s">
        <v>11057</v>
      </c>
      <c r="B292" s="490" t="s">
        <v>11058</v>
      </c>
      <c r="C292" s="491"/>
      <c r="D292" s="492"/>
      <c r="E292" s="79"/>
      <c r="F292" s="63"/>
      <c r="G292" s="320"/>
      <c r="H292" s="79"/>
      <c r="I292" s="79"/>
      <c r="J292" s="79"/>
      <c r="K292" s="79"/>
      <c r="L292" s="70"/>
      <c r="M292" s="132"/>
      <c r="N292" s="79"/>
      <c r="O292" s="79"/>
      <c r="P292" s="79"/>
      <c r="Q292" s="136"/>
      <c r="R292" s="79"/>
      <c r="S292" s="79"/>
      <c r="T292" s="79"/>
      <c r="U292" s="79"/>
      <c r="V292" s="189"/>
      <c r="X292" s="79"/>
      <c r="Y292" s="79"/>
      <c r="Z292" s="79"/>
      <c r="AA292" s="255"/>
      <c r="AC292" s="254"/>
    </row>
    <row r="293" spans="1:29" ht="12">
      <c r="A293" s="67" t="s">
        <v>11059</v>
      </c>
      <c r="B293" s="65" t="s">
        <v>11060</v>
      </c>
      <c r="C293" s="71" t="s">
        <v>509</v>
      </c>
      <c r="D293" s="78">
        <v>1</v>
      </c>
      <c r="E293" s="79">
        <v>18.170000000000002</v>
      </c>
      <c r="F293" s="70">
        <v>18.170000000000002</v>
      </c>
      <c r="G293" s="320"/>
      <c r="H293" s="79">
        <v>0</v>
      </c>
      <c r="I293" s="79">
        <v>18.170000000000002</v>
      </c>
      <c r="J293" s="79">
        <v>18.170000000000002</v>
      </c>
      <c r="K293" s="79">
        <v>0</v>
      </c>
      <c r="L293" s="70">
        <v>18.170000000000002</v>
      </c>
      <c r="M293" s="132"/>
      <c r="N293" s="79"/>
      <c r="O293" s="79">
        <v>18.170000000000002</v>
      </c>
      <c r="P293" s="79">
        <v>18.170000000000002</v>
      </c>
      <c r="Q293" s="136"/>
      <c r="R293" s="79"/>
      <c r="S293" s="79">
        <v>18.170000000000002</v>
      </c>
      <c r="T293" s="79">
        <v>18.170000000000002</v>
      </c>
      <c r="U293" s="79">
        <v>0</v>
      </c>
      <c r="V293" s="189">
        <v>18.170000000000002</v>
      </c>
      <c r="X293" s="79"/>
      <c r="Y293" s="79">
        <v>18.170000000000002</v>
      </c>
      <c r="Z293" s="79">
        <v>18.170000000000002</v>
      </c>
      <c r="AA293" s="255">
        <v>0</v>
      </c>
      <c r="AC293" s="254"/>
    </row>
    <row r="294" spans="1:29" ht="12">
      <c r="A294" s="67" t="s">
        <v>11061</v>
      </c>
      <c r="B294" s="65" t="s">
        <v>11062</v>
      </c>
      <c r="C294" s="71" t="s">
        <v>509</v>
      </c>
      <c r="D294" s="78">
        <v>1</v>
      </c>
      <c r="E294" s="79">
        <v>9.08</v>
      </c>
      <c r="F294" s="70">
        <v>9.08</v>
      </c>
      <c r="G294" s="320"/>
      <c r="H294" s="79">
        <v>0</v>
      </c>
      <c r="I294" s="79">
        <v>9.08</v>
      </c>
      <c r="J294" s="79">
        <v>9.08</v>
      </c>
      <c r="K294" s="79">
        <v>0</v>
      </c>
      <c r="L294" s="70">
        <v>9.08</v>
      </c>
      <c r="M294" s="132"/>
      <c r="N294" s="79"/>
      <c r="O294" s="79">
        <v>9.08</v>
      </c>
      <c r="P294" s="79">
        <v>9.08</v>
      </c>
      <c r="Q294" s="136"/>
      <c r="R294" s="79"/>
      <c r="S294" s="79">
        <v>9.08</v>
      </c>
      <c r="T294" s="79">
        <v>9.08</v>
      </c>
      <c r="U294" s="79">
        <v>0</v>
      </c>
      <c r="V294" s="189">
        <v>9.08</v>
      </c>
      <c r="X294" s="79"/>
      <c r="Y294" s="79">
        <v>9.08</v>
      </c>
      <c r="Z294" s="79">
        <v>9.08</v>
      </c>
      <c r="AA294" s="255">
        <v>0</v>
      </c>
      <c r="AC294" s="254"/>
    </row>
    <row r="295" spans="1:29" ht="12">
      <c r="A295" s="67" t="s">
        <v>11063</v>
      </c>
      <c r="B295" s="65" t="s">
        <v>11064</v>
      </c>
      <c r="C295" s="71" t="s">
        <v>165</v>
      </c>
      <c r="D295" s="78">
        <v>1</v>
      </c>
      <c r="E295" s="79">
        <v>6.82</v>
      </c>
      <c r="F295" s="70">
        <v>6.82</v>
      </c>
      <c r="G295" s="320"/>
      <c r="H295" s="79">
        <v>0</v>
      </c>
      <c r="I295" s="79">
        <v>6.82</v>
      </c>
      <c r="J295" s="79">
        <v>6.82</v>
      </c>
      <c r="K295" s="79">
        <v>0</v>
      </c>
      <c r="L295" s="70">
        <v>6.82</v>
      </c>
      <c r="M295" s="132"/>
      <c r="N295" s="79"/>
      <c r="O295" s="79">
        <v>6.82</v>
      </c>
      <c r="P295" s="79">
        <v>6.82</v>
      </c>
      <c r="Q295" s="136"/>
      <c r="R295" s="79"/>
      <c r="S295" s="79">
        <v>6.81</v>
      </c>
      <c r="T295" s="79">
        <v>6.81</v>
      </c>
      <c r="U295" s="79">
        <v>0</v>
      </c>
      <c r="V295" s="189">
        <v>6.81</v>
      </c>
      <c r="X295" s="79"/>
      <c r="Y295" s="79">
        <v>6.81</v>
      </c>
      <c r="Z295" s="79">
        <v>6.81</v>
      </c>
      <c r="AA295" s="255">
        <v>1.0000000000000675E-2</v>
      </c>
      <c r="AC295" s="254"/>
    </row>
    <row r="296" spans="1:29" ht="12">
      <c r="A296" s="67" t="s">
        <v>11065</v>
      </c>
      <c r="B296" s="65" t="s">
        <v>11066</v>
      </c>
      <c r="C296" s="71" t="s">
        <v>165</v>
      </c>
      <c r="D296" s="78">
        <v>1</v>
      </c>
      <c r="E296" s="79">
        <v>11.370000000000001</v>
      </c>
      <c r="F296" s="70">
        <v>11.37</v>
      </c>
      <c r="G296" s="320"/>
      <c r="H296" s="79">
        <v>0</v>
      </c>
      <c r="I296" s="79">
        <v>11.370000000000001</v>
      </c>
      <c r="J296" s="79">
        <v>11.370000000000001</v>
      </c>
      <c r="K296" s="79">
        <v>0</v>
      </c>
      <c r="L296" s="70">
        <v>11.370000000000001</v>
      </c>
      <c r="M296" s="132"/>
      <c r="N296" s="79"/>
      <c r="O296" s="79">
        <v>11.370000000000001</v>
      </c>
      <c r="P296" s="79">
        <v>11.370000000000001</v>
      </c>
      <c r="Q296" s="136"/>
      <c r="R296" s="79"/>
      <c r="S296" s="79">
        <v>11.36</v>
      </c>
      <c r="T296" s="79">
        <v>11.36</v>
      </c>
      <c r="U296" s="79">
        <v>0</v>
      </c>
      <c r="V296" s="189">
        <v>11.36</v>
      </c>
      <c r="X296" s="79"/>
      <c r="Y296" s="79">
        <v>11.36</v>
      </c>
      <c r="Z296" s="79">
        <v>11.36</v>
      </c>
      <c r="AA296" s="255">
        <v>9.9999999999997868E-3</v>
      </c>
      <c r="AC296" s="254"/>
    </row>
    <row r="297" spans="1:29" ht="12">
      <c r="A297" s="67" t="s">
        <v>11067</v>
      </c>
      <c r="B297" s="65" t="s">
        <v>11068</v>
      </c>
      <c r="C297" s="71" t="s">
        <v>509</v>
      </c>
      <c r="D297" s="78">
        <v>1</v>
      </c>
      <c r="E297" s="79">
        <v>13.829999999999998</v>
      </c>
      <c r="F297" s="70">
        <v>13.83</v>
      </c>
      <c r="G297" s="320"/>
      <c r="H297" s="79">
        <v>0</v>
      </c>
      <c r="I297" s="79">
        <v>13.829999999999998</v>
      </c>
      <c r="J297" s="79">
        <v>13.829999999999998</v>
      </c>
      <c r="K297" s="79">
        <v>0</v>
      </c>
      <c r="L297" s="70">
        <v>13.829999999999998</v>
      </c>
      <c r="M297" s="132"/>
      <c r="N297" s="79"/>
      <c r="O297" s="79">
        <v>13.829999999999998</v>
      </c>
      <c r="P297" s="79">
        <v>13.829999999999998</v>
      </c>
      <c r="Q297" s="136"/>
      <c r="R297" s="79"/>
      <c r="S297" s="79">
        <v>13.82</v>
      </c>
      <c r="T297" s="79">
        <v>13.82</v>
      </c>
      <c r="U297" s="79">
        <v>0</v>
      </c>
      <c r="V297" s="189">
        <v>13.82</v>
      </c>
      <c r="X297" s="79"/>
      <c r="Y297" s="79">
        <v>13.82</v>
      </c>
      <c r="Z297" s="79">
        <v>13.82</v>
      </c>
      <c r="AA297" s="255">
        <v>9.9999999999997868E-3</v>
      </c>
      <c r="AC297" s="254"/>
    </row>
    <row r="298" spans="1:29" ht="12">
      <c r="A298" s="489" t="s">
        <v>11069</v>
      </c>
      <c r="B298" s="490" t="s">
        <v>11070</v>
      </c>
      <c r="C298" s="491"/>
      <c r="D298" s="492"/>
      <c r="E298" s="79"/>
      <c r="F298" s="63"/>
      <c r="G298" s="320"/>
      <c r="H298" s="79"/>
      <c r="I298" s="79"/>
      <c r="J298" s="79"/>
      <c r="K298" s="79"/>
      <c r="L298" s="70"/>
      <c r="M298" s="132"/>
      <c r="N298" s="79"/>
      <c r="O298" s="79"/>
      <c r="P298" s="79"/>
      <c r="Q298" s="136"/>
      <c r="R298" s="79"/>
      <c r="S298" s="79"/>
      <c r="T298" s="79"/>
      <c r="U298" s="79"/>
      <c r="V298" s="189"/>
      <c r="X298" s="79"/>
      <c r="Y298" s="79"/>
      <c r="Z298" s="79"/>
      <c r="AA298" s="255"/>
      <c r="AC298" s="254"/>
    </row>
    <row r="299" spans="1:29" ht="12">
      <c r="A299" s="67" t="s">
        <v>11071</v>
      </c>
      <c r="B299" s="65" t="s">
        <v>11072</v>
      </c>
      <c r="C299" s="71" t="s">
        <v>509</v>
      </c>
      <c r="D299" s="78">
        <v>1</v>
      </c>
      <c r="E299" s="79">
        <v>48.59</v>
      </c>
      <c r="F299" s="70">
        <v>48.59</v>
      </c>
      <c r="G299" s="320"/>
      <c r="H299" s="79">
        <v>0</v>
      </c>
      <c r="I299" s="79">
        <v>48.59</v>
      </c>
      <c r="J299" s="79">
        <v>48.59</v>
      </c>
      <c r="K299" s="79">
        <v>0</v>
      </c>
      <c r="L299" s="70">
        <v>48.59</v>
      </c>
      <c r="M299" s="132"/>
      <c r="N299" s="79"/>
      <c r="O299" s="79">
        <v>48.59</v>
      </c>
      <c r="P299" s="79">
        <v>48.59</v>
      </c>
      <c r="Q299" s="136"/>
      <c r="R299" s="79"/>
      <c r="S299" s="79">
        <v>48.58</v>
      </c>
      <c r="T299" s="79">
        <v>48.58</v>
      </c>
      <c r="U299" s="79">
        <v>0</v>
      </c>
      <c r="V299" s="189">
        <v>48.58</v>
      </c>
      <c r="X299" s="79"/>
      <c r="Y299" s="79">
        <v>48.58</v>
      </c>
      <c r="Z299" s="79">
        <v>48.58</v>
      </c>
      <c r="AA299" s="255">
        <v>1.0000000000005116E-2</v>
      </c>
      <c r="AC299" s="254"/>
    </row>
    <row r="300" spans="1:29" ht="12">
      <c r="A300" s="67" t="s">
        <v>11073</v>
      </c>
      <c r="B300" s="65" t="s">
        <v>11074</v>
      </c>
      <c r="C300" s="71" t="s">
        <v>509</v>
      </c>
      <c r="D300" s="78">
        <v>1</v>
      </c>
      <c r="E300" s="79">
        <v>29.53</v>
      </c>
      <c r="F300" s="70">
        <v>29.53</v>
      </c>
      <c r="G300" s="320"/>
      <c r="H300" s="79">
        <v>0</v>
      </c>
      <c r="I300" s="79">
        <v>29.53</v>
      </c>
      <c r="J300" s="79">
        <v>29.53</v>
      </c>
      <c r="K300" s="79">
        <v>0</v>
      </c>
      <c r="L300" s="70">
        <v>29.53</v>
      </c>
      <c r="M300" s="132"/>
      <c r="N300" s="79"/>
      <c r="O300" s="79">
        <v>29.53</v>
      </c>
      <c r="P300" s="79">
        <v>29.53</v>
      </c>
      <c r="Q300" s="136"/>
      <c r="R300" s="79"/>
      <c r="S300" s="79">
        <v>29.52</v>
      </c>
      <c r="T300" s="79">
        <v>29.52</v>
      </c>
      <c r="U300" s="79">
        <v>0</v>
      </c>
      <c r="V300" s="189">
        <v>29.52</v>
      </c>
      <c r="X300" s="79"/>
      <c r="Y300" s="79">
        <v>29.52</v>
      </c>
      <c r="Z300" s="79">
        <v>29.52</v>
      </c>
      <c r="AA300" s="255">
        <v>1.0000000000001563E-2</v>
      </c>
      <c r="AC300" s="254"/>
    </row>
    <row r="301" spans="1:29" ht="12">
      <c r="A301" s="67" t="s">
        <v>11075</v>
      </c>
      <c r="B301" s="65" t="s">
        <v>11076</v>
      </c>
      <c r="C301" s="71" t="s">
        <v>165</v>
      </c>
      <c r="D301" s="78">
        <v>1</v>
      </c>
      <c r="E301" s="79">
        <v>20.450000000000003</v>
      </c>
      <c r="F301" s="70">
        <v>20.45</v>
      </c>
      <c r="G301" s="320"/>
      <c r="H301" s="79">
        <v>0</v>
      </c>
      <c r="I301" s="79">
        <v>20.450000000000003</v>
      </c>
      <c r="J301" s="79">
        <v>20.450000000000003</v>
      </c>
      <c r="K301" s="79">
        <v>0</v>
      </c>
      <c r="L301" s="70">
        <v>20.450000000000003</v>
      </c>
      <c r="M301" s="132"/>
      <c r="N301" s="79"/>
      <c r="O301" s="79">
        <v>20.450000000000003</v>
      </c>
      <c r="P301" s="79">
        <v>20.450000000000003</v>
      </c>
      <c r="Q301" s="136"/>
      <c r="R301" s="79"/>
      <c r="S301" s="79">
        <v>20.440000000000001</v>
      </c>
      <c r="T301" s="79">
        <v>20.440000000000001</v>
      </c>
      <c r="U301" s="79">
        <v>0</v>
      </c>
      <c r="V301" s="189">
        <v>20.440000000000001</v>
      </c>
      <c r="X301" s="79"/>
      <c r="Y301" s="79">
        <v>20.440000000000001</v>
      </c>
      <c r="Z301" s="79">
        <v>20.440000000000001</v>
      </c>
      <c r="AA301" s="255">
        <v>9.9999999999980105E-3</v>
      </c>
      <c r="AC301" s="254"/>
    </row>
    <row r="302" spans="1:29" ht="12">
      <c r="A302" s="67" t="s">
        <v>11077</v>
      </c>
      <c r="B302" s="65" t="s">
        <v>11078</v>
      </c>
      <c r="C302" s="71" t="s">
        <v>165</v>
      </c>
      <c r="D302" s="78">
        <v>1</v>
      </c>
      <c r="E302" s="79">
        <v>22.71</v>
      </c>
      <c r="F302" s="70">
        <v>22.71</v>
      </c>
      <c r="G302" s="320"/>
      <c r="H302" s="79">
        <v>0</v>
      </c>
      <c r="I302" s="79">
        <v>22.71</v>
      </c>
      <c r="J302" s="79">
        <v>22.71</v>
      </c>
      <c r="K302" s="79">
        <v>0</v>
      </c>
      <c r="L302" s="70">
        <v>22.71</v>
      </c>
      <c r="M302" s="132"/>
      <c r="N302" s="79"/>
      <c r="O302" s="79">
        <v>22.71</v>
      </c>
      <c r="P302" s="79">
        <v>22.71</v>
      </c>
      <c r="Q302" s="136"/>
      <c r="R302" s="79"/>
      <c r="S302" s="79">
        <v>22.71</v>
      </c>
      <c r="T302" s="79">
        <v>22.71</v>
      </c>
      <c r="U302" s="79">
        <v>0</v>
      </c>
      <c r="V302" s="189">
        <v>22.71</v>
      </c>
      <c r="X302" s="79"/>
      <c r="Y302" s="79">
        <v>22.71</v>
      </c>
      <c r="Z302" s="79">
        <v>22.71</v>
      </c>
      <c r="AA302" s="255">
        <v>0</v>
      </c>
      <c r="AC302" s="254"/>
    </row>
    <row r="303" spans="1:29" ht="12">
      <c r="A303" s="67" t="s">
        <v>11079</v>
      </c>
      <c r="B303" s="65" t="s">
        <v>11080</v>
      </c>
      <c r="C303" s="71" t="s">
        <v>165</v>
      </c>
      <c r="D303" s="78">
        <v>1</v>
      </c>
      <c r="E303" s="79">
        <v>18.170000000000002</v>
      </c>
      <c r="F303" s="70">
        <v>18.170000000000002</v>
      </c>
      <c r="G303" s="320"/>
      <c r="H303" s="79">
        <v>0</v>
      </c>
      <c r="I303" s="79">
        <v>18.170000000000002</v>
      </c>
      <c r="J303" s="79">
        <v>18.170000000000002</v>
      </c>
      <c r="K303" s="79">
        <v>0</v>
      </c>
      <c r="L303" s="70">
        <v>18.170000000000002</v>
      </c>
      <c r="M303" s="132"/>
      <c r="N303" s="79"/>
      <c r="O303" s="79">
        <v>18.170000000000002</v>
      </c>
      <c r="P303" s="79">
        <v>18.170000000000002</v>
      </c>
      <c r="Q303" s="136"/>
      <c r="R303" s="79"/>
      <c r="S303" s="79">
        <v>18.170000000000002</v>
      </c>
      <c r="T303" s="79">
        <v>18.170000000000002</v>
      </c>
      <c r="U303" s="79">
        <v>0</v>
      </c>
      <c r="V303" s="189">
        <v>18.170000000000002</v>
      </c>
      <c r="X303" s="79"/>
      <c r="Y303" s="79">
        <v>18.170000000000002</v>
      </c>
      <c r="Z303" s="79">
        <v>18.170000000000002</v>
      </c>
      <c r="AA303" s="255">
        <v>0</v>
      </c>
      <c r="AC303" s="254"/>
    </row>
    <row r="304" spans="1:29" ht="12">
      <c r="A304" s="489" t="s">
        <v>11081</v>
      </c>
      <c r="B304" s="490" t="s">
        <v>11082</v>
      </c>
      <c r="C304" s="491"/>
      <c r="D304" s="492"/>
      <c r="E304" s="79"/>
      <c r="F304" s="63"/>
      <c r="G304" s="320"/>
      <c r="H304" s="79"/>
      <c r="I304" s="79"/>
      <c r="J304" s="79"/>
      <c r="K304" s="79"/>
      <c r="L304" s="70"/>
      <c r="M304" s="132"/>
      <c r="N304" s="79"/>
      <c r="O304" s="79"/>
      <c r="P304" s="79"/>
      <c r="Q304" s="136"/>
      <c r="R304" s="79"/>
      <c r="S304" s="79"/>
      <c r="T304" s="79"/>
      <c r="U304" s="79"/>
      <c r="V304" s="189"/>
      <c r="X304" s="79"/>
      <c r="Y304" s="79"/>
      <c r="Z304" s="79"/>
      <c r="AA304" s="255"/>
      <c r="AC304" s="254"/>
    </row>
    <row r="305" spans="1:29" ht="12">
      <c r="A305" s="67" t="s">
        <v>11083</v>
      </c>
      <c r="B305" s="65" t="s">
        <v>11084</v>
      </c>
      <c r="C305" s="71" t="s">
        <v>509</v>
      </c>
      <c r="D305" s="78">
        <v>1</v>
      </c>
      <c r="E305" s="79">
        <v>63.7</v>
      </c>
      <c r="F305" s="70">
        <v>63.7</v>
      </c>
      <c r="G305" s="320"/>
      <c r="H305" s="79">
        <v>0</v>
      </c>
      <c r="I305" s="79">
        <v>63.7</v>
      </c>
      <c r="J305" s="79">
        <v>63.7</v>
      </c>
      <c r="K305" s="79">
        <v>0</v>
      </c>
      <c r="L305" s="70">
        <v>63.7</v>
      </c>
      <c r="M305" s="132"/>
      <c r="N305" s="79"/>
      <c r="O305" s="79">
        <v>63.7</v>
      </c>
      <c r="P305" s="79">
        <v>63.7</v>
      </c>
      <c r="Q305" s="136"/>
      <c r="R305" s="79"/>
      <c r="S305" s="79">
        <v>63.69</v>
      </c>
      <c r="T305" s="79">
        <v>63.69</v>
      </c>
      <c r="U305" s="79">
        <v>0</v>
      </c>
      <c r="V305" s="189">
        <v>63.69</v>
      </c>
      <c r="X305" s="79"/>
      <c r="Y305" s="79">
        <v>63.69</v>
      </c>
      <c r="Z305" s="79">
        <v>63.69</v>
      </c>
      <c r="AA305" s="255">
        <v>1.0000000000005116E-2</v>
      </c>
      <c r="AC305" s="254"/>
    </row>
    <row r="306" spans="1:29" ht="12">
      <c r="A306" s="67" t="s">
        <v>11085</v>
      </c>
      <c r="B306" s="65" t="s">
        <v>11086</v>
      </c>
      <c r="C306" s="71" t="s">
        <v>509</v>
      </c>
      <c r="D306" s="78">
        <v>1</v>
      </c>
      <c r="E306" s="79">
        <v>13.629999999999999</v>
      </c>
      <c r="F306" s="70">
        <v>13.63</v>
      </c>
      <c r="G306" s="320"/>
      <c r="H306" s="79">
        <v>0</v>
      </c>
      <c r="I306" s="79">
        <v>13.629999999999999</v>
      </c>
      <c r="J306" s="79">
        <v>13.629999999999999</v>
      </c>
      <c r="K306" s="79">
        <v>0</v>
      </c>
      <c r="L306" s="70">
        <v>13.629999999999999</v>
      </c>
      <c r="M306" s="132"/>
      <c r="N306" s="79"/>
      <c r="O306" s="79">
        <v>13.629999999999999</v>
      </c>
      <c r="P306" s="79">
        <v>13.629999999999999</v>
      </c>
      <c r="Q306" s="136"/>
      <c r="R306" s="79"/>
      <c r="S306" s="79">
        <v>13.63</v>
      </c>
      <c r="T306" s="79">
        <v>13.63</v>
      </c>
      <c r="U306" s="79">
        <v>0</v>
      </c>
      <c r="V306" s="189">
        <v>13.63</v>
      </c>
      <c r="X306" s="79"/>
      <c r="Y306" s="79">
        <v>13.63</v>
      </c>
      <c r="Z306" s="79">
        <v>13.63</v>
      </c>
      <c r="AA306" s="255">
        <v>0</v>
      </c>
      <c r="AC306" s="254"/>
    </row>
    <row r="307" spans="1:29" ht="12">
      <c r="A307" s="67" t="s">
        <v>11087</v>
      </c>
      <c r="B307" s="65" t="s">
        <v>11088</v>
      </c>
      <c r="C307" s="71" t="s">
        <v>509</v>
      </c>
      <c r="D307" s="78">
        <v>1</v>
      </c>
      <c r="E307" s="79">
        <v>17.62</v>
      </c>
      <c r="F307" s="70">
        <v>17.62</v>
      </c>
      <c r="G307" s="320"/>
      <c r="H307" s="79">
        <v>0</v>
      </c>
      <c r="I307" s="79">
        <v>17.62</v>
      </c>
      <c r="J307" s="79">
        <v>17.62</v>
      </c>
      <c r="K307" s="79">
        <v>0</v>
      </c>
      <c r="L307" s="70">
        <v>17.62</v>
      </c>
      <c r="M307" s="132"/>
      <c r="N307" s="79"/>
      <c r="O307" s="79">
        <v>17.62</v>
      </c>
      <c r="P307" s="79">
        <v>17.62</v>
      </c>
      <c r="Q307" s="136"/>
      <c r="R307" s="79"/>
      <c r="S307" s="79">
        <v>17.62</v>
      </c>
      <c r="T307" s="79">
        <v>17.62</v>
      </c>
      <c r="U307" s="79">
        <v>0</v>
      </c>
      <c r="V307" s="189">
        <v>17.62</v>
      </c>
      <c r="X307" s="79"/>
      <c r="Y307" s="79">
        <v>17.62</v>
      </c>
      <c r="Z307" s="79">
        <v>17.62</v>
      </c>
      <c r="AA307" s="255">
        <v>0</v>
      </c>
      <c r="AC307" s="254"/>
    </row>
    <row r="308" spans="1:29" ht="12">
      <c r="A308" s="67" t="s">
        <v>11089</v>
      </c>
      <c r="B308" s="65" t="s">
        <v>11090</v>
      </c>
      <c r="C308" s="71" t="s">
        <v>509</v>
      </c>
      <c r="D308" s="78">
        <v>1</v>
      </c>
      <c r="E308" s="79">
        <v>30.22</v>
      </c>
      <c r="F308" s="70">
        <v>30.22</v>
      </c>
      <c r="G308" s="320"/>
      <c r="H308" s="79">
        <v>0</v>
      </c>
      <c r="I308" s="79">
        <v>30.22</v>
      </c>
      <c r="J308" s="79">
        <v>30.22</v>
      </c>
      <c r="K308" s="79">
        <v>0</v>
      </c>
      <c r="L308" s="70">
        <v>30.22</v>
      </c>
      <c r="M308" s="132"/>
      <c r="N308" s="79"/>
      <c r="O308" s="79">
        <v>30.22</v>
      </c>
      <c r="P308" s="79">
        <v>30.22</v>
      </c>
      <c r="Q308" s="136"/>
      <c r="R308" s="79"/>
      <c r="S308" s="79">
        <v>30.21</v>
      </c>
      <c r="T308" s="79">
        <v>30.21</v>
      </c>
      <c r="U308" s="79">
        <v>0</v>
      </c>
      <c r="V308" s="189">
        <v>30.21</v>
      </c>
      <c r="X308" s="79"/>
      <c r="Y308" s="79">
        <v>30.21</v>
      </c>
      <c r="Z308" s="79">
        <v>30.21</v>
      </c>
      <c r="AA308" s="255">
        <v>9.9999999999980105E-3</v>
      </c>
      <c r="AC308" s="254"/>
    </row>
    <row r="309" spans="1:29" ht="12">
      <c r="A309" s="67" t="s">
        <v>11091</v>
      </c>
      <c r="B309" s="65" t="s">
        <v>11092</v>
      </c>
      <c r="C309" s="71" t="s">
        <v>165</v>
      </c>
      <c r="D309" s="78">
        <v>1</v>
      </c>
      <c r="E309" s="79">
        <v>15.11</v>
      </c>
      <c r="F309" s="70">
        <v>15.11</v>
      </c>
      <c r="G309" s="320"/>
      <c r="H309" s="79">
        <v>0</v>
      </c>
      <c r="I309" s="79">
        <v>15.11</v>
      </c>
      <c r="J309" s="79">
        <v>15.11</v>
      </c>
      <c r="K309" s="79">
        <v>0</v>
      </c>
      <c r="L309" s="70">
        <v>15.11</v>
      </c>
      <c r="M309" s="132"/>
      <c r="N309" s="79"/>
      <c r="O309" s="79">
        <v>15.11</v>
      </c>
      <c r="P309" s="79">
        <v>15.11</v>
      </c>
      <c r="Q309" s="136"/>
      <c r="R309" s="79"/>
      <c r="S309" s="79">
        <v>15.1</v>
      </c>
      <c r="T309" s="79">
        <v>15.1</v>
      </c>
      <c r="U309" s="79">
        <v>0</v>
      </c>
      <c r="V309" s="189">
        <v>15.1</v>
      </c>
      <c r="X309" s="79"/>
      <c r="Y309" s="79">
        <v>15.1</v>
      </c>
      <c r="Z309" s="79">
        <v>15.1</v>
      </c>
      <c r="AA309" s="255">
        <v>9.9999999999997868E-3</v>
      </c>
      <c r="AC309" s="254"/>
    </row>
    <row r="310" spans="1:29" ht="12">
      <c r="A310" s="67" t="s">
        <v>11093</v>
      </c>
      <c r="B310" s="65" t="s">
        <v>11094</v>
      </c>
      <c r="C310" s="71" t="s">
        <v>165</v>
      </c>
      <c r="D310" s="78">
        <v>1</v>
      </c>
      <c r="E310" s="79">
        <v>3.4</v>
      </c>
      <c r="F310" s="70">
        <v>3.4</v>
      </c>
      <c r="G310" s="320"/>
      <c r="H310" s="79">
        <v>0</v>
      </c>
      <c r="I310" s="79">
        <v>3.4</v>
      </c>
      <c r="J310" s="79">
        <v>3.4</v>
      </c>
      <c r="K310" s="79">
        <v>0</v>
      </c>
      <c r="L310" s="70">
        <v>3.4</v>
      </c>
      <c r="M310" s="132"/>
      <c r="N310" s="79"/>
      <c r="O310" s="79">
        <v>3.4</v>
      </c>
      <c r="P310" s="79">
        <v>3.4</v>
      </c>
      <c r="Q310" s="136"/>
      <c r="R310" s="79"/>
      <c r="S310" s="79">
        <v>3.41</v>
      </c>
      <c r="T310" s="79">
        <v>3.41</v>
      </c>
      <c r="U310" s="79">
        <v>0</v>
      </c>
      <c r="V310" s="189">
        <v>3.41</v>
      </c>
      <c r="X310" s="79"/>
      <c r="Y310" s="79">
        <v>3.41</v>
      </c>
      <c r="Z310" s="79">
        <v>3.41</v>
      </c>
      <c r="AA310" s="255">
        <v>-1.0000000000000231E-2</v>
      </c>
      <c r="AC310" s="254"/>
    </row>
    <row r="311" spans="1:29" ht="12">
      <c r="A311" s="489" t="s">
        <v>11095</v>
      </c>
      <c r="B311" s="490" t="s">
        <v>11096</v>
      </c>
      <c r="C311" s="491"/>
      <c r="D311" s="492"/>
      <c r="E311" s="79"/>
      <c r="F311" s="63"/>
      <c r="G311" s="320"/>
      <c r="H311" s="79"/>
      <c r="I311" s="79"/>
      <c r="J311" s="79"/>
      <c r="K311" s="79"/>
      <c r="L311" s="70"/>
      <c r="M311" s="132"/>
      <c r="N311" s="79"/>
      <c r="O311" s="79"/>
      <c r="P311" s="79"/>
      <c r="Q311" s="136"/>
      <c r="R311" s="79"/>
      <c r="S311" s="79"/>
      <c r="T311" s="79"/>
      <c r="U311" s="79"/>
      <c r="V311" s="189"/>
      <c r="X311" s="79"/>
      <c r="Y311" s="79"/>
      <c r="Z311" s="79"/>
      <c r="AA311" s="255"/>
      <c r="AC311" s="254"/>
    </row>
    <row r="312" spans="1:29" ht="12">
      <c r="A312" s="67" t="s">
        <v>11097</v>
      </c>
      <c r="B312" s="65" t="s">
        <v>11098</v>
      </c>
      <c r="C312" s="71" t="s">
        <v>509</v>
      </c>
      <c r="D312" s="78">
        <v>1</v>
      </c>
      <c r="E312" s="79">
        <v>63.7</v>
      </c>
      <c r="F312" s="70">
        <v>63.7</v>
      </c>
      <c r="G312" s="320"/>
      <c r="H312" s="79">
        <v>0</v>
      </c>
      <c r="I312" s="79">
        <v>63.7</v>
      </c>
      <c r="J312" s="79">
        <v>63.7</v>
      </c>
      <c r="K312" s="79">
        <v>0</v>
      </c>
      <c r="L312" s="70">
        <v>63.7</v>
      </c>
      <c r="M312" s="132"/>
      <c r="N312" s="79"/>
      <c r="O312" s="79">
        <v>63.7</v>
      </c>
      <c r="P312" s="79">
        <v>63.7</v>
      </c>
      <c r="Q312" s="136"/>
      <c r="R312" s="79"/>
      <c r="S312" s="79">
        <v>63.69</v>
      </c>
      <c r="T312" s="79">
        <v>63.69</v>
      </c>
      <c r="U312" s="79">
        <v>0</v>
      </c>
      <c r="V312" s="189">
        <v>63.69</v>
      </c>
      <c r="X312" s="79"/>
      <c r="Y312" s="79">
        <v>63.69</v>
      </c>
      <c r="Z312" s="79">
        <v>63.69</v>
      </c>
      <c r="AA312" s="255">
        <v>1.0000000000005116E-2</v>
      </c>
      <c r="AC312" s="254"/>
    </row>
    <row r="313" spans="1:29" ht="12">
      <c r="A313" s="67" t="s">
        <v>11099</v>
      </c>
      <c r="B313" s="65" t="s">
        <v>11100</v>
      </c>
      <c r="C313" s="71" t="s">
        <v>509</v>
      </c>
      <c r="D313" s="78">
        <v>1</v>
      </c>
      <c r="E313" s="79">
        <v>5.04</v>
      </c>
      <c r="F313" s="70">
        <v>5.04</v>
      </c>
      <c r="G313" s="320"/>
      <c r="H313" s="79">
        <v>0</v>
      </c>
      <c r="I313" s="79">
        <v>5.04</v>
      </c>
      <c r="J313" s="79">
        <v>5.04</v>
      </c>
      <c r="K313" s="79">
        <v>0</v>
      </c>
      <c r="L313" s="70">
        <v>5.04</v>
      </c>
      <c r="M313" s="132"/>
      <c r="N313" s="79"/>
      <c r="O313" s="79">
        <v>5.04</v>
      </c>
      <c r="P313" s="79">
        <v>5.04</v>
      </c>
      <c r="Q313" s="136"/>
      <c r="R313" s="79"/>
      <c r="S313" s="79">
        <v>5.03</v>
      </c>
      <c r="T313" s="79">
        <v>5.03</v>
      </c>
      <c r="U313" s="79">
        <v>0</v>
      </c>
      <c r="V313" s="189">
        <v>5.03</v>
      </c>
      <c r="X313" s="79"/>
      <c r="Y313" s="79">
        <v>5.03</v>
      </c>
      <c r="Z313" s="79">
        <v>5.03</v>
      </c>
      <c r="AA313" s="255">
        <v>9.9999999999997868E-3</v>
      </c>
      <c r="AC313" s="254"/>
    </row>
    <row r="314" spans="1:29" ht="12">
      <c r="A314" s="67" t="s">
        <v>11101</v>
      </c>
      <c r="B314" s="65" t="s">
        <v>11102</v>
      </c>
      <c r="C314" s="71" t="s">
        <v>165</v>
      </c>
      <c r="D314" s="78">
        <v>1</v>
      </c>
      <c r="E314" s="79">
        <v>4.68</v>
      </c>
      <c r="F314" s="70">
        <v>4.68</v>
      </c>
      <c r="G314" s="320"/>
      <c r="H314" s="79">
        <v>0</v>
      </c>
      <c r="I314" s="79">
        <v>4.68</v>
      </c>
      <c r="J314" s="79">
        <v>4.68</v>
      </c>
      <c r="K314" s="79">
        <v>0</v>
      </c>
      <c r="L314" s="70">
        <v>4.68</v>
      </c>
      <c r="M314" s="132"/>
      <c r="N314" s="79"/>
      <c r="O314" s="79">
        <v>4.68</v>
      </c>
      <c r="P314" s="79">
        <v>4.68</v>
      </c>
      <c r="Q314" s="136"/>
      <c r="R314" s="79"/>
      <c r="S314" s="79">
        <v>4.68</v>
      </c>
      <c r="T314" s="79">
        <v>4.68</v>
      </c>
      <c r="U314" s="79">
        <v>0</v>
      </c>
      <c r="V314" s="189">
        <v>4.68</v>
      </c>
      <c r="X314" s="79"/>
      <c r="Y314" s="79">
        <v>4.68</v>
      </c>
      <c r="Z314" s="79">
        <v>4.68</v>
      </c>
      <c r="AA314" s="255">
        <v>0</v>
      </c>
      <c r="AC314" s="254"/>
    </row>
    <row r="315" spans="1:29" ht="12">
      <c r="A315" s="67" t="s">
        <v>11103</v>
      </c>
      <c r="B315" s="65" t="s">
        <v>11104</v>
      </c>
      <c r="C315" s="71" t="s">
        <v>165</v>
      </c>
      <c r="D315" s="78">
        <v>1</v>
      </c>
      <c r="E315" s="79">
        <v>1.1400000000000001</v>
      </c>
      <c r="F315" s="70">
        <v>1.1399999999999999</v>
      </c>
      <c r="G315" s="320"/>
      <c r="H315" s="79">
        <v>0</v>
      </c>
      <c r="I315" s="79">
        <v>1.1400000000000001</v>
      </c>
      <c r="J315" s="79">
        <v>1.1400000000000001</v>
      </c>
      <c r="K315" s="79">
        <v>0</v>
      </c>
      <c r="L315" s="70">
        <v>1.1400000000000001</v>
      </c>
      <c r="M315" s="132"/>
      <c r="N315" s="79"/>
      <c r="O315" s="79">
        <v>1.1400000000000001</v>
      </c>
      <c r="P315" s="79">
        <v>1.1400000000000001</v>
      </c>
      <c r="Q315" s="136"/>
      <c r="R315" s="79"/>
      <c r="S315" s="79">
        <v>1.1399999999999999</v>
      </c>
      <c r="T315" s="79">
        <v>1.1399999999999999</v>
      </c>
      <c r="U315" s="79">
        <v>0</v>
      </c>
      <c r="V315" s="189">
        <v>1.1399999999999999</v>
      </c>
      <c r="X315" s="79"/>
      <c r="Y315" s="79">
        <v>1.1399999999999999</v>
      </c>
      <c r="Z315" s="79">
        <v>1.1399999999999999</v>
      </c>
      <c r="AA315" s="255">
        <v>0</v>
      </c>
      <c r="AC315" s="254"/>
    </row>
    <row r="316" spans="1:29" ht="12">
      <c r="A316" s="67" t="s">
        <v>11105</v>
      </c>
      <c r="B316" s="65" t="s">
        <v>11106</v>
      </c>
      <c r="C316" s="71" t="s">
        <v>509</v>
      </c>
      <c r="D316" s="78">
        <v>1</v>
      </c>
      <c r="E316" s="79">
        <v>55.16</v>
      </c>
      <c r="F316" s="70">
        <v>55.16</v>
      </c>
      <c r="G316" s="320"/>
      <c r="H316" s="79">
        <v>0</v>
      </c>
      <c r="I316" s="79">
        <v>55.16</v>
      </c>
      <c r="J316" s="79">
        <v>55.16</v>
      </c>
      <c r="K316" s="79">
        <v>0</v>
      </c>
      <c r="L316" s="70">
        <v>55.16</v>
      </c>
      <c r="M316" s="132"/>
      <c r="N316" s="79"/>
      <c r="O316" s="79">
        <v>55.16</v>
      </c>
      <c r="P316" s="79">
        <v>55.16</v>
      </c>
      <c r="Q316" s="136"/>
      <c r="R316" s="79"/>
      <c r="S316" s="79">
        <v>55.16</v>
      </c>
      <c r="T316" s="79">
        <v>55.16</v>
      </c>
      <c r="U316" s="79">
        <v>0</v>
      </c>
      <c r="V316" s="189">
        <v>55.16</v>
      </c>
      <c r="X316" s="79"/>
      <c r="Y316" s="79">
        <v>55.16</v>
      </c>
      <c r="Z316" s="79">
        <v>55.16</v>
      </c>
      <c r="AA316" s="255">
        <v>0</v>
      </c>
      <c r="AC316" s="254"/>
    </row>
    <row r="317" spans="1:29" ht="12">
      <c r="A317" s="489" t="s">
        <v>11107</v>
      </c>
      <c r="B317" s="490" t="s">
        <v>11108</v>
      </c>
      <c r="C317" s="491"/>
      <c r="D317" s="492"/>
      <c r="E317" s="79"/>
      <c r="F317" s="63"/>
      <c r="G317" s="320"/>
      <c r="H317" s="79"/>
      <c r="I317" s="79"/>
      <c r="J317" s="79"/>
      <c r="K317" s="79"/>
      <c r="L317" s="70"/>
      <c r="M317" s="132"/>
      <c r="N317" s="79"/>
      <c r="O317" s="79"/>
      <c r="P317" s="79"/>
      <c r="Q317" s="136"/>
      <c r="R317" s="79"/>
      <c r="S317" s="79"/>
      <c r="T317" s="79"/>
      <c r="U317" s="79"/>
      <c r="V317" s="189"/>
      <c r="X317" s="79"/>
      <c r="Y317" s="79"/>
      <c r="Z317" s="79"/>
      <c r="AA317" s="255"/>
      <c r="AC317" s="254"/>
    </row>
    <row r="318" spans="1:29" ht="12">
      <c r="A318" s="67" t="s">
        <v>11109</v>
      </c>
      <c r="B318" s="65" t="s">
        <v>11110</v>
      </c>
      <c r="C318" s="71" t="s">
        <v>509</v>
      </c>
      <c r="D318" s="78">
        <v>1</v>
      </c>
      <c r="E318" s="79">
        <v>14.1</v>
      </c>
      <c r="F318" s="70">
        <v>14.1</v>
      </c>
      <c r="G318" s="320"/>
      <c r="H318" s="79">
        <v>0</v>
      </c>
      <c r="I318" s="79">
        <v>14.1</v>
      </c>
      <c r="J318" s="79">
        <v>14.1</v>
      </c>
      <c r="K318" s="79">
        <v>0</v>
      </c>
      <c r="L318" s="70">
        <v>14.1</v>
      </c>
      <c r="M318" s="132"/>
      <c r="N318" s="79"/>
      <c r="O318" s="79">
        <v>14.1</v>
      </c>
      <c r="P318" s="79">
        <v>14.1</v>
      </c>
      <c r="Q318" s="136"/>
      <c r="R318" s="79"/>
      <c r="S318" s="79">
        <v>14.1</v>
      </c>
      <c r="T318" s="79">
        <v>14.1</v>
      </c>
      <c r="U318" s="79">
        <v>0</v>
      </c>
      <c r="V318" s="189">
        <v>14.1</v>
      </c>
      <c r="X318" s="79"/>
      <c r="Y318" s="79">
        <v>14.1</v>
      </c>
      <c r="Z318" s="79">
        <v>14.1</v>
      </c>
      <c r="AA318" s="255">
        <v>0</v>
      </c>
      <c r="AC318" s="254"/>
    </row>
    <row r="319" spans="1:29" ht="12">
      <c r="A319" s="67" t="s">
        <v>11111</v>
      </c>
      <c r="B319" s="65" t="s">
        <v>11112</v>
      </c>
      <c r="C319" s="71" t="s">
        <v>509</v>
      </c>
      <c r="D319" s="78">
        <v>1</v>
      </c>
      <c r="E319" s="79">
        <v>7.5500000000000007</v>
      </c>
      <c r="F319" s="70">
        <v>7.55</v>
      </c>
      <c r="G319" s="320"/>
      <c r="H319" s="79">
        <v>0</v>
      </c>
      <c r="I319" s="79">
        <v>7.5500000000000007</v>
      </c>
      <c r="J319" s="79">
        <v>7.5500000000000007</v>
      </c>
      <c r="K319" s="79">
        <v>0</v>
      </c>
      <c r="L319" s="70">
        <v>7.5500000000000007</v>
      </c>
      <c r="M319" s="132"/>
      <c r="N319" s="79"/>
      <c r="O319" s="79">
        <v>7.5500000000000007</v>
      </c>
      <c r="P319" s="79">
        <v>7.5500000000000007</v>
      </c>
      <c r="Q319" s="136"/>
      <c r="R319" s="79"/>
      <c r="S319" s="79">
        <v>7.56</v>
      </c>
      <c r="T319" s="79">
        <v>7.56</v>
      </c>
      <c r="U319" s="79">
        <v>0</v>
      </c>
      <c r="V319" s="189">
        <v>7.56</v>
      </c>
      <c r="X319" s="79"/>
      <c r="Y319" s="79">
        <v>7.56</v>
      </c>
      <c r="Z319" s="79">
        <v>7.56</v>
      </c>
      <c r="AA319" s="255">
        <v>-9.9999999999997868E-3</v>
      </c>
      <c r="AC319" s="254"/>
    </row>
    <row r="320" spans="1:29" ht="12">
      <c r="A320" s="67" t="s">
        <v>11113</v>
      </c>
      <c r="B320" s="65" t="s">
        <v>11114</v>
      </c>
      <c r="C320" s="71" t="s">
        <v>509</v>
      </c>
      <c r="D320" s="78">
        <v>1</v>
      </c>
      <c r="E320" s="79">
        <v>5.68</v>
      </c>
      <c r="F320" s="70">
        <v>5.68</v>
      </c>
      <c r="G320" s="320"/>
      <c r="H320" s="79">
        <v>0</v>
      </c>
      <c r="I320" s="79">
        <v>5.68</v>
      </c>
      <c r="J320" s="79">
        <v>5.68</v>
      </c>
      <c r="K320" s="79">
        <v>0</v>
      </c>
      <c r="L320" s="70">
        <v>5.68</v>
      </c>
      <c r="M320" s="132"/>
      <c r="N320" s="79"/>
      <c r="O320" s="79">
        <v>5.68</v>
      </c>
      <c r="P320" s="79">
        <v>5.68</v>
      </c>
      <c r="Q320" s="136"/>
      <c r="R320" s="79"/>
      <c r="S320" s="79">
        <v>5.68</v>
      </c>
      <c r="T320" s="79">
        <v>5.68</v>
      </c>
      <c r="U320" s="79">
        <v>0</v>
      </c>
      <c r="V320" s="189">
        <v>5.68</v>
      </c>
      <c r="X320" s="79"/>
      <c r="Y320" s="79">
        <v>5.68</v>
      </c>
      <c r="Z320" s="79">
        <v>5.68</v>
      </c>
      <c r="AA320" s="255">
        <v>0</v>
      </c>
      <c r="AC320" s="254"/>
    </row>
    <row r="321" spans="1:29" ht="12">
      <c r="A321" s="489" t="s">
        <v>11115</v>
      </c>
      <c r="B321" s="490" t="s">
        <v>11116</v>
      </c>
      <c r="C321" s="491"/>
      <c r="D321" s="492"/>
      <c r="E321" s="79"/>
      <c r="F321" s="63"/>
      <c r="G321" s="320"/>
      <c r="H321" s="79"/>
      <c r="I321" s="79"/>
      <c r="J321" s="79"/>
      <c r="K321" s="79"/>
      <c r="L321" s="70"/>
      <c r="M321" s="132"/>
      <c r="N321" s="79"/>
      <c r="O321" s="79"/>
      <c r="P321" s="79"/>
      <c r="Q321" s="136"/>
      <c r="R321" s="79"/>
      <c r="S321" s="79"/>
      <c r="T321" s="79"/>
      <c r="U321" s="79"/>
      <c r="V321" s="189"/>
      <c r="X321" s="79"/>
      <c r="Y321" s="79"/>
      <c r="Z321" s="79"/>
      <c r="AA321" s="255"/>
      <c r="AC321" s="254"/>
    </row>
    <row r="322" spans="1:29" ht="12">
      <c r="A322" s="67" t="s">
        <v>11117</v>
      </c>
      <c r="B322" s="65" t="s">
        <v>11118</v>
      </c>
      <c r="C322" s="71" t="s">
        <v>103</v>
      </c>
      <c r="D322" s="78">
        <v>1</v>
      </c>
      <c r="E322" s="79">
        <v>25.2</v>
      </c>
      <c r="F322" s="70">
        <v>25.2</v>
      </c>
      <c r="G322" s="320"/>
      <c r="H322" s="79">
        <v>0</v>
      </c>
      <c r="I322" s="79">
        <v>25.2</v>
      </c>
      <c r="J322" s="79">
        <v>25.2</v>
      </c>
      <c r="K322" s="79">
        <v>0</v>
      </c>
      <c r="L322" s="70">
        <v>25.2</v>
      </c>
      <c r="M322" s="132"/>
      <c r="N322" s="79"/>
      <c r="O322" s="79">
        <v>25.2</v>
      </c>
      <c r="P322" s="79">
        <v>25.2</v>
      </c>
      <c r="Q322" s="136"/>
      <c r="R322" s="79"/>
      <c r="S322" s="79">
        <v>25.18</v>
      </c>
      <c r="T322" s="79">
        <v>25.18</v>
      </c>
      <c r="U322" s="79">
        <v>0</v>
      </c>
      <c r="V322" s="189">
        <v>25.18</v>
      </c>
      <c r="X322" s="79"/>
      <c r="Y322" s="79">
        <v>25.18</v>
      </c>
      <c r="Z322" s="79">
        <v>25.18</v>
      </c>
      <c r="AA322" s="255">
        <v>1.9999999999999574E-2</v>
      </c>
      <c r="AC322" s="254"/>
    </row>
    <row r="323" spans="1:29" ht="12">
      <c r="A323" s="67" t="s">
        <v>11119</v>
      </c>
      <c r="B323" s="65" t="s">
        <v>11120</v>
      </c>
      <c r="C323" s="71" t="s">
        <v>165</v>
      </c>
      <c r="D323" s="78">
        <v>1</v>
      </c>
      <c r="E323" s="79">
        <v>1.94</v>
      </c>
      <c r="F323" s="70">
        <v>1.94</v>
      </c>
      <c r="G323" s="320"/>
      <c r="H323" s="79">
        <v>0</v>
      </c>
      <c r="I323" s="79">
        <v>1.94</v>
      </c>
      <c r="J323" s="79">
        <v>1.94</v>
      </c>
      <c r="K323" s="79">
        <v>0</v>
      </c>
      <c r="L323" s="70">
        <v>1.94</v>
      </c>
      <c r="M323" s="132"/>
      <c r="N323" s="79"/>
      <c r="O323" s="79">
        <v>1.94</v>
      </c>
      <c r="P323" s="79">
        <v>1.94</v>
      </c>
      <c r="Q323" s="136"/>
      <c r="R323" s="79"/>
      <c r="S323" s="79">
        <v>1.93</v>
      </c>
      <c r="T323" s="79">
        <v>1.93</v>
      </c>
      <c r="U323" s="79">
        <v>0</v>
      </c>
      <c r="V323" s="189">
        <v>1.93</v>
      </c>
      <c r="X323" s="79"/>
      <c r="Y323" s="79">
        <v>1.93</v>
      </c>
      <c r="Z323" s="79">
        <v>1.93</v>
      </c>
      <c r="AA323" s="255">
        <v>1.0000000000000009E-2</v>
      </c>
      <c r="AC323" s="254"/>
    </row>
    <row r="324" spans="1:29" ht="12">
      <c r="A324" s="67" t="s">
        <v>11121</v>
      </c>
      <c r="B324" s="65" t="s">
        <v>11122</v>
      </c>
      <c r="C324" s="71" t="s">
        <v>165</v>
      </c>
      <c r="D324" s="78">
        <v>1</v>
      </c>
      <c r="E324" s="79">
        <v>15.11</v>
      </c>
      <c r="F324" s="70">
        <v>15.11</v>
      </c>
      <c r="G324" s="320"/>
      <c r="H324" s="79">
        <v>0</v>
      </c>
      <c r="I324" s="79">
        <v>15.11</v>
      </c>
      <c r="J324" s="79">
        <v>15.11</v>
      </c>
      <c r="K324" s="79">
        <v>0</v>
      </c>
      <c r="L324" s="70">
        <v>15.11</v>
      </c>
      <c r="M324" s="132"/>
      <c r="N324" s="79"/>
      <c r="O324" s="79">
        <v>15.11</v>
      </c>
      <c r="P324" s="79">
        <v>15.11</v>
      </c>
      <c r="Q324" s="136"/>
      <c r="R324" s="79"/>
      <c r="S324" s="79">
        <v>15.1</v>
      </c>
      <c r="T324" s="79">
        <v>15.1</v>
      </c>
      <c r="U324" s="79">
        <v>0</v>
      </c>
      <c r="V324" s="189">
        <v>15.1</v>
      </c>
      <c r="X324" s="79"/>
      <c r="Y324" s="79">
        <v>15.1</v>
      </c>
      <c r="Z324" s="79">
        <v>15.1</v>
      </c>
      <c r="AA324" s="255">
        <v>9.9999999999997868E-3</v>
      </c>
      <c r="AC324" s="254"/>
    </row>
    <row r="325" spans="1:29" s="61" customFormat="1" ht="12">
      <c r="A325" s="67" t="s">
        <v>11123</v>
      </c>
      <c r="B325" s="65" t="s">
        <v>11124</v>
      </c>
      <c r="C325" s="71" t="s">
        <v>509</v>
      </c>
      <c r="D325" s="78">
        <v>1</v>
      </c>
      <c r="E325" s="79">
        <v>6.82</v>
      </c>
      <c r="F325" s="70">
        <v>6.82</v>
      </c>
      <c r="G325" s="320"/>
      <c r="H325" s="79">
        <v>0</v>
      </c>
      <c r="I325" s="79">
        <v>6.82</v>
      </c>
      <c r="J325" s="79">
        <v>6.82</v>
      </c>
      <c r="K325" s="79">
        <v>0</v>
      </c>
      <c r="L325" s="70">
        <v>6.82</v>
      </c>
      <c r="M325" s="132"/>
      <c r="N325" s="79"/>
      <c r="O325" s="79">
        <v>6.82</v>
      </c>
      <c r="P325" s="79">
        <v>6.82</v>
      </c>
      <c r="Q325" s="136"/>
      <c r="R325" s="79"/>
      <c r="S325" s="79">
        <v>6.81</v>
      </c>
      <c r="T325" s="79">
        <v>6.81</v>
      </c>
      <c r="U325" s="79">
        <v>0</v>
      </c>
      <c r="V325" s="189">
        <v>6.81</v>
      </c>
      <c r="X325" s="79"/>
      <c r="Y325" s="79">
        <v>6.81</v>
      </c>
      <c r="Z325" s="79">
        <v>6.81</v>
      </c>
      <c r="AA325" s="255">
        <v>1.0000000000000675E-2</v>
      </c>
      <c r="AC325" s="254"/>
    </row>
    <row r="326" spans="1:29" ht="12">
      <c r="A326" s="67" t="s">
        <v>11125</v>
      </c>
      <c r="B326" s="65" t="s">
        <v>11126</v>
      </c>
      <c r="C326" s="71" t="s">
        <v>509</v>
      </c>
      <c r="D326" s="78">
        <v>1</v>
      </c>
      <c r="E326" s="79">
        <v>22.66</v>
      </c>
      <c r="F326" s="70">
        <v>22.66</v>
      </c>
      <c r="G326" s="320"/>
      <c r="H326" s="79">
        <v>0</v>
      </c>
      <c r="I326" s="79">
        <v>22.66</v>
      </c>
      <c r="J326" s="79">
        <v>22.66</v>
      </c>
      <c r="K326" s="79">
        <v>0</v>
      </c>
      <c r="L326" s="70">
        <v>22.66</v>
      </c>
      <c r="M326" s="132"/>
      <c r="N326" s="79"/>
      <c r="O326" s="79">
        <v>22.66</v>
      </c>
      <c r="P326" s="79">
        <v>22.66</v>
      </c>
      <c r="Q326" s="136"/>
      <c r="R326" s="79"/>
      <c r="S326" s="79">
        <v>22.66</v>
      </c>
      <c r="T326" s="79">
        <v>22.66</v>
      </c>
      <c r="U326" s="79">
        <v>0</v>
      </c>
      <c r="V326" s="189">
        <v>22.66</v>
      </c>
      <c r="X326" s="79"/>
      <c r="Y326" s="79">
        <v>22.66</v>
      </c>
      <c r="Z326" s="79">
        <v>22.66</v>
      </c>
      <c r="AA326" s="255">
        <v>0</v>
      </c>
      <c r="AC326" s="254"/>
    </row>
    <row r="327" spans="1:29" s="73" customFormat="1" ht="12">
      <c r="A327" s="489" t="s">
        <v>11127</v>
      </c>
      <c r="B327" s="490" t="s">
        <v>11128</v>
      </c>
      <c r="C327" s="491"/>
      <c r="D327" s="492"/>
      <c r="E327" s="79"/>
      <c r="F327" s="63"/>
      <c r="G327" s="320"/>
      <c r="H327" s="79"/>
      <c r="I327" s="79"/>
      <c r="J327" s="79"/>
      <c r="K327" s="79"/>
      <c r="L327" s="70"/>
      <c r="M327" s="132"/>
      <c r="N327" s="79"/>
      <c r="O327" s="79"/>
      <c r="P327" s="79"/>
      <c r="Q327" s="136"/>
      <c r="R327" s="79"/>
      <c r="S327" s="79"/>
      <c r="T327" s="79"/>
      <c r="U327" s="79"/>
      <c r="V327" s="189"/>
      <c r="W327" s="61"/>
      <c r="X327" s="79"/>
      <c r="Y327" s="79"/>
      <c r="Z327" s="79"/>
      <c r="AA327" s="255"/>
      <c r="AB327" s="61"/>
      <c r="AC327" s="254"/>
    </row>
    <row r="328" spans="1:29" ht="12">
      <c r="A328" s="67" t="s">
        <v>11129</v>
      </c>
      <c r="B328" s="65" t="s">
        <v>11130</v>
      </c>
      <c r="C328" s="71" t="s">
        <v>509</v>
      </c>
      <c r="D328" s="78">
        <v>1</v>
      </c>
      <c r="E328" s="79">
        <v>35.26</v>
      </c>
      <c r="F328" s="70">
        <v>35.26</v>
      </c>
      <c r="G328" s="320"/>
      <c r="H328" s="79">
        <v>0</v>
      </c>
      <c r="I328" s="79">
        <v>35.26</v>
      </c>
      <c r="J328" s="79">
        <v>35.26</v>
      </c>
      <c r="K328" s="79">
        <v>0</v>
      </c>
      <c r="L328" s="70">
        <v>35.26</v>
      </c>
      <c r="M328" s="132"/>
      <c r="N328" s="79"/>
      <c r="O328" s="79">
        <v>35.26</v>
      </c>
      <c r="P328" s="79">
        <v>35.26</v>
      </c>
      <c r="Q328" s="136"/>
      <c r="R328" s="79"/>
      <c r="S328" s="79">
        <v>35.25</v>
      </c>
      <c r="T328" s="79">
        <v>35.25</v>
      </c>
      <c r="U328" s="79">
        <v>0</v>
      </c>
      <c r="V328" s="189">
        <v>35.25</v>
      </c>
      <c r="X328" s="79"/>
      <c r="Y328" s="79">
        <v>35.25</v>
      </c>
      <c r="Z328" s="79">
        <v>35.25</v>
      </c>
      <c r="AA328" s="255">
        <v>9.9999999999980105E-3</v>
      </c>
      <c r="AC328" s="254"/>
    </row>
    <row r="329" spans="1:29" ht="12">
      <c r="A329" s="67" t="s">
        <v>11131</v>
      </c>
      <c r="B329" s="65" t="s">
        <v>11132</v>
      </c>
      <c r="C329" s="71" t="s">
        <v>103</v>
      </c>
      <c r="D329" s="78">
        <v>1</v>
      </c>
      <c r="E329" s="79">
        <v>29.4</v>
      </c>
      <c r="F329" s="70">
        <v>29.4</v>
      </c>
      <c r="G329" s="320"/>
      <c r="H329" s="79">
        <v>0</v>
      </c>
      <c r="I329" s="79">
        <v>29.4</v>
      </c>
      <c r="J329" s="79">
        <v>29.4</v>
      </c>
      <c r="K329" s="79">
        <v>0</v>
      </c>
      <c r="L329" s="70">
        <v>29.4</v>
      </c>
      <c r="M329" s="132"/>
      <c r="N329" s="79"/>
      <c r="O329" s="79">
        <v>29.4</v>
      </c>
      <c r="P329" s="79">
        <v>29.4</v>
      </c>
      <c r="Q329" s="136"/>
      <c r="R329" s="79"/>
      <c r="S329" s="79">
        <v>29.39</v>
      </c>
      <c r="T329" s="79">
        <v>29.39</v>
      </c>
      <c r="U329" s="79">
        <v>0</v>
      </c>
      <c r="V329" s="189">
        <v>29.39</v>
      </c>
      <c r="X329" s="79"/>
      <c r="Y329" s="79">
        <v>29.39</v>
      </c>
      <c r="Z329" s="79">
        <v>29.39</v>
      </c>
      <c r="AA329" s="255">
        <v>9.9999999999980105E-3</v>
      </c>
      <c r="AC329" s="254"/>
    </row>
    <row r="330" spans="1:29" ht="12">
      <c r="A330" s="67" t="s">
        <v>11133</v>
      </c>
      <c r="B330" s="65" t="s">
        <v>11134</v>
      </c>
      <c r="C330" s="71" t="s">
        <v>165</v>
      </c>
      <c r="D330" s="78">
        <v>1</v>
      </c>
      <c r="E330" s="79">
        <v>12.100000000000001</v>
      </c>
      <c r="F330" s="70">
        <v>12.1</v>
      </c>
      <c r="G330" s="320"/>
      <c r="H330" s="79">
        <v>0</v>
      </c>
      <c r="I330" s="79">
        <v>12.100000000000001</v>
      </c>
      <c r="J330" s="79">
        <v>12.100000000000001</v>
      </c>
      <c r="K330" s="79">
        <v>0</v>
      </c>
      <c r="L330" s="70">
        <v>12.100000000000001</v>
      </c>
      <c r="M330" s="132"/>
      <c r="N330" s="79"/>
      <c r="O330" s="79">
        <v>12.100000000000001</v>
      </c>
      <c r="P330" s="79">
        <v>12.100000000000001</v>
      </c>
      <c r="Q330" s="136"/>
      <c r="R330" s="79"/>
      <c r="S330" s="79">
        <v>12.08</v>
      </c>
      <c r="T330" s="79">
        <v>12.08</v>
      </c>
      <c r="U330" s="79">
        <v>0</v>
      </c>
      <c r="V330" s="189">
        <v>12.08</v>
      </c>
      <c r="X330" s="79"/>
      <c r="Y330" s="79">
        <v>12.08</v>
      </c>
      <c r="Z330" s="79">
        <v>12.08</v>
      </c>
      <c r="AA330" s="255">
        <v>1.9999999999999574E-2</v>
      </c>
      <c r="AC330" s="254"/>
    </row>
    <row r="331" spans="1:29" ht="12">
      <c r="A331" s="67" t="s">
        <v>11135</v>
      </c>
      <c r="B331" s="65" t="s">
        <v>11136</v>
      </c>
      <c r="C331" s="71" t="s">
        <v>165</v>
      </c>
      <c r="D331" s="78">
        <v>1</v>
      </c>
      <c r="E331" s="79">
        <v>8.2800000000000011</v>
      </c>
      <c r="F331" s="70">
        <v>8.2799999999999994</v>
      </c>
      <c r="G331" s="320"/>
      <c r="H331" s="79">
        <v>0</v>
      </c>
      <c r="I331" s="79">
        <v>8.2800000000000011</v>
      </c>
      <c r="J331" s="79">
        <v>8.2800000000000011</v>
      </c>
      <c r="K331" s="79">
        <v>0</v>
      </c>
      <c r="L331" s="70">
        <v>8.2800000000000011</v>
      </c>
      <c r="M331" s="132"/>
      <c r="N331" s="79"/>
      <c r="O331" s="79">
        <v>8.2800000000000011</v>
      </c>
      <c r="P331" s="79">
        <v>8.2800000000000011</v>
      </c>
      <c r="Q331" s="136"/>
      <c r="R331" s="79"/>
      <c r="S331" s="79">
        <v>8.2899999999999991</v>
      </c>
      <c r="T331" s="79">
        <v>8.2899999999999991</v>
      </c>
      <c r="U331" s="79">
        <v>0</v>
      </c>
      <c r="V331" s="189">
        <v>8.2899999999999991</v>
      </c>
      <c r="X331" s="79"/>
      <c r="Y331" s="79">
        <v>8.2899999999999991</v>
      </c>
      <c r="Z331" s="79">
        <v>8.2899999999999991</v>
      </c>
      <c r="AA331" s="255">
        <v>-9.9999999999997868E-3</v>
      </c>
      <c r="AC331" s="254"/>
    </row>
    <row r="332" spans="1:29" ht="12">
      <c r="A332" s="67" t="s">
        <v>11137</v>
      </c>
      <c r="B332" s="65" t="s">
        <v>11138</v>
      </c>
      <c r="C332" s="71" t="s">
        <v>509</v>
      </c>
      <c r="D332" s="78">
        <v>1</v>
      </c>
      <c r="E332" s="79">
        <v>35.26</v>
      </c>
      <c r="F332" s="70">
        <v>35.26</v>
      </c>
      <c r="G332" s="320"/>
      <c r="H332" s="79">
        <v>0</v>
      </c>
      <c r="I332" s="79">
        <v>35.26</v>
      </c>
      <c r="J332" s="79">
        <v>35.26</v>
      </c>
      <c r="K332" s="79">
        <v>0</v>
      </c>
      <c r="L332" s="70">
        <v>35.26</v>
      </c>
      <c r="M332" s="132"/>
      <c r="N332" s="79"/>
      <c r="O332" s="79">
        <v>35.26</v>
      </c>
      <c r="P332" s="79">
        <v>35.26</v>
      </c>
      <c r="Q332" s="136"/>
      <c r="R332" s="79"/>
      <c r="S332" s="79">
        <v>35.25</v>
      </c>
      <c r="T332" s="79">
        <v>35.25</v>
      </c>
      <c r="U332" s="79">
        <v>0</v>
      </c>
      <c r="V332" s="189">
        <v>35.25</v>
      </c>
      <c r="X332" s="79"/>
      <c r="Y332" s="79">
        <v>35.25</v>
      </c>
      <c r="Z332" s="79">
        <v>35.25</v>
      </c>
      <c r="AA332" s="255">
        <v>9.9999999999980105E-3</v>
      </c>
      <c r="AC332" s="254"/>
    </row>
    <row r="333" spans="1:29" ht="12">
      <c r="A333" s="67" t="s">
        <v>11139</v>
      </c>
      <c r="B333" s="65" t="s">
        <v>11140</v>
      </c>
      <c r="C333" s="71" t="s">
        <v>165</v>
      </c>
      <c r="D333" s="78">
        <v>1</v>
      </c>
      <c r="E333" s="79">
        <v>40.28</v>
      </c>
      <c r="F333" s="70">
        <v>40.28</v>
      </c>
      <c r="G333" s="320"/>
      <c r="H333" s="79">
        <v>0</v>
      </c>
      <c r="I333" s="79">
        <v>40.28</v>
      </c>
      <c r="J333" s="79">
        <v>40.28</v>
      </c>
      <c r="K333" s="79">
        <v>0</v>
      </c>
      <c r="L333" s="70">
        <v>40.28</v>
      </c>
      <c r="M333" s="132"/>
      <c r="N333" s="79"/>
      <c r="O333" s="79">
        <v>40.28</v>
      </c>
      <c r="P333" s="79">
        <v>40.28</v>
      </c>
      <c r="Q333" s="136"/>
      <c r="R333" s="79"/>
      <c r="S333" s="79">
        <v>40.28</v>
      </c>
      <c r="T333" s="79">
        <v>40.28</v>
      </c>
      <c r="U333" s="79">
        <v>0</v>
      </c>
      <c r="V333" s="189">
        <v>40.28</v>
      </c>
      <c r="X333" s="79"/>
      <c r="Y333" s="79">
        <v>40.28</v>
      </c>
      <c r="Z333" s="79">
        <v>40.28</v>
      </c>
      <c r="AA333" s="255">
        <v>0</v>
      </c>
      <c r="AC333" s="254"/>
    </row>
    <row r="334" spans="1:29" ht="12">
      <c r="A334" s="67" t="s">
        <v>11141</v>
      </c>
      <c r="B334" s="65" t="s">
        <v>11142</v>
      </c>
      <c r="C334" s="71" t="s">
        <v>103</v>
      </c>
      <c r="D334" s="78">
        <v>1</v>
      </c>
      <c r="E334" s="79">
        <v>29.53</v>
      </c>
      <c r="F334" s="70">
        <v>29.53</v>
      </c>
      <c r="G334" s="320"/>
      <c r="H334" s="79">
        <v>0</v>
      </c>
      <c r="I334" s="79">
        <v>29.53</v>
      </c>
      <c r="J334" s="79">
        <v>29.53</v>
      </c>
      <c r="K334" s="79">
        <v>0</v>
      </c>
      <c r="L334" s="70">
        <v>29.53</v>
      </c>
      <c r="M334" s="132"/>
      <c r="N334" s="79"/>
      <c r="O334" s="79">
        <v>29.53</v>
      </c>
      <c r="P334" s="79">
        <v>29.53</v>
      </c>
      <c r="Q334" s="136"/>
      <c r="R334" s="79"/>
      <c r="S334" s="79">
        <v>29.52</v>
      </c>
      <c r="T334" s="79">
        <v>29.52</v>
      </c>
      <c r="U334" s="79">
        <v>0</v>
      </c>
      <c r="V334" s="189">
        <v>29.52</v>
      </c>
      <c r="X334" s="79"/>
      <c r="Y334" s="79">
        <v>29.52</v>
      </c>
      <c r="Z334" s="79">
        <v>29.52</v>
      </c>
      <c r="AA334" s="255">
        <v>1.0000000000001563E-2</v>
      </c>
      <c r="AC334" s="254"/>
    </row>
    <row r="335" spans="1:29" ht="12">
      <c r="A335" s="67" t="s">
        <v>11143</v>
      </c>
      <c r="B335" s="65" t="s">
        <v>11144</v>
      </c>
      <c r="C335" s="71" t="s">
        <v>509</v>
      </c>
      <c r="D335" s="78">
        <v>1</v>
      </c>
      <c r="E335" s="79">
        <v>4.79</v>
      </c>
      <c r="F335" s="70">
        <v>4.79</v>
      </c>
      <c r="G335" s="320"/>
      <c r="H335" s="79">
        <v>0</v>
      </c>
      <c r="I335" s="79">
        <v>4.79</v>
      </c>
      <c r="J335" s="79">
        <v>4.79</v>
      </c>
      <c r="K335" s="79">
        <v>0</v>
      </c>
      <c r="L335" s="70">
        <v>4.79</v>
      </c>
      <c r="M335" s="132"/>
      <c r="N335" s="79"/>
      <c r="O335" s="79">
        <v>4.79</v>
      </c>
      <c r="P335" s="79">
        <v>4.79</v>
      </c>
      <c r="Q335" s="136"/>
      <c r="R335" s="79"/>
      <c r="S335" s="79">
        <v>4.79</v>
      </c>
      <c r="T335" s="79">
        <v>4.79</v>
      </c>
      <c r="U335" s="79">
        <v>0</v>
      </c>
      <c r="V335" s="189">
        <v>4.79</v>
      </c>
      <c r="X335" s="79"/>
      <c r="Y335" s="79">
        <v>4.79</v>
      </c>
      <c r="Z335" s="79">
        <v>4.79</v>
      </c>
      <c r="AA335" s="255">
        <v>0</v>
      </c>
      <c r="AC335" s="254"/>
    </row>
    <row r="336" spans="1:29" ht="12">
      <c r="A336" s="489" t="s">
        <v>11145</v>
      </c>
      <c r="B336" s="490" t="s">
        <v>11146</v>
      </c>
      <c r="C336" s="491"/>
      <c r="D336" s="492"/>
      <c r="E336" s="79"/>
      <c r="F336" s="63"/>
      <c r="G336" s="320"/>
      <c r="H336" s="79"/>
      <c r="I336" s="79"/>
      <c r="J336" s="79"/>
      <c r="K336" s="79"/>
      <c r="L336" s="70"/>
      <c r="M336" s="132"/>
      <c r="N336" s="79"/>
      <c r="O336" s="79"/>
      <c r="P336" s="79"/>
      <c r="Q336" s="136"/>
      <c r="R336" s="79"/>
      <c r="S336" s="79"/>
      <c r="T336" s="79"/>
      <c r="U336" s="79"/>
      <c r="V336" s="189"/>
      <c r="X336" s="79"/>
      <c r="Y336" s="79"/>
      <c r="Z336" s="79"/>
      <c r="AA336" s="255"/>
      <c r="AC336" s="254"/>
    </row>
    <row r="337" spans="1:29" ht="12">
      <c r="A337" s="67" t="s">
        <v>11147</v>
      </c>
      <c r="B337" s="65" t="s">
        <v>11148</v>
      </c>
      <c r="C337" s="71" t="s">
        <v>103</v>
      </c>
      <c r="D337" s="78">
        <v>1</v>
      </c>
      <c r="E337" s="79">
        <v>13.829999999999998</v>
      </c>
      <c r="F337" s="70">
        <v>13.83</v>
      </c>
      <c r="G337" s="320"/>
      <c r="H337" s="79">
        <v>0</v>
      </c>
      <c r="I337" s="79">
        <v>13.829999999999998</v>
      </c>
      <c r="J337" s="79">
        <v>13.829999999999998</v>
      </c>
      <c r="K337" s="79">
        <v>0</v>
      </c>
      <c r="L337" s="70">
        <v>13.829999999999998</v>
      </c>
      <c r="M337" s="132"/>
      <c r="N337" s="79"/>
      <c r="O337" s="79">
        <v>13.829999999999998</v>
      </c>
      <c r="P337" s="79">
        <v>13.829999999999998</v>
      </c>
      <c r="Q337" s="136"/>
      <c r="R337" s="79"/>
      <c r="S337" s="79">
        <v>13.82</v>
      </c>
      <c r="T337" s="79">
        <v>13.82</v>
      </c>
      <c r="U337" s="79">
        <v>0</v>
      </c>
      <c r="V337" s="189">
        <v>13.82</v>
      </c>
      <c r="X337" s="79"/>
      <c r="Y337" s="79">
        <v>13.82</v>
      </c>
      <c r="Z337" s="79">
        <v>13.82</v>
      </c>
      <c r="AA337" s="255">
        <v>9.9999999999997868E-3</v>
      </c>
      <c r="AC337" s="254"/>
    </row>
    <row r="338" spans="1:29" ht="12">
      <c r="A338" s="67" t="s">
        <v>11149</v>
      </c>
      <c r="B338" s="65" t="s">
        <v>11150</v>
      </c>
      <c r="C338" s="71" t="s">
        <v>103</v>
      </c>
      <c r="D338" s="78">
        <v>1</v>
      </c>
      <c r="E338" s="79">
        <v>5.52</v>
      </c>
      <c r="F338" s="70">
        <v>5.52</v>
      </c>
      <c r="G338" s="320"/>
      <c r="H338" s="79">
        <v>0</v>
      </c>
      <c r="I338" s="79">
        <v>5.52</v>
      </c>
      <c r="J338" s="79">
        <v>5.52</v>
      </c>
      <c r="K338" s="79">
        <v>0</v>
      </c>
      <c r="L338" s="70">
        <v>5.52</v>
      </c>
      <c r="M338" s="132"/>
      <c r="N338" s="79"/>
      <c r="O338" s="79">
        <v>5.52</v>
      </c>
      <c r="P338" s="79">
        <v>5.52</v>
      </c>
      <c r="Q338" s="136"/>
      <c r="R338" s="79"/>
      <c r="S338" s="79">
        <v>5.53</v>
      </c>
      <c r="T338" s="79">
        <v>5.53</v>
      </c>
      <c r="U338" s="79">
        <v>0</v>
      </c>
      <c r="V338" s="189">
        <v>5.53</v>
      </c>
      <c r="X338" s="79"/>
      <c r="Y338" s="79">
        <v>5.53</v>
      </c>
      <c r="Z338" s="79">
        <v>5.53</v>
      </c>
      <c r="AA338" s="255">
        <v>-1.0000000000000675E-2</v>
      </c>
      <c r="AC338" s="254"/>
    </row>
    <row r="339" spans="1:29" ht="12">
      <c r="A339" s="67" t="s">
        <v>11151</v>
      </c>
      <c r="B339" s="65" t="s">
        <v>11152</v>
      </c>
      <c r="C339" s="71" t="s">
        <v>103</v>
      </c>
      <c r="D339" s="78">
        <v>1</v>
      </c>
      <c r="E339" s="79">
        <v>2.76</v>
      </c>
      <c r="F339" s="70">
        <v>2.76</v>
      </c>
      <c r="G339" s="320"/>
      <c r="H339" s="79">
        <v>0</v>
      </c>
      <c r="I339" s="79">
        <v>2.76</v>
      </c>
      <c r="J339" s="79">
        <v>2.76</v>
      </c>
      <c r="K339" s="79">
        <v>0</v>
      </c>
      <c r="L339" s="70">
        <v>2.76</v>
      </c>
      <c r="M339" s="132"/>
      <c r="N339" s="79"/>
      <c r="O339" s="79">
        <v>2.76</v>
      </c>
      <c r="P339" s="79">
        <v>2.76</v>
      </c>
      <c r="Q339" s="136"/>
      <c r="R339" s="79"/>
      <c r="S339" s="79">
        <v>2.76</v>
      </c>
      <c r="T339" s="79">
        <v>2.76</v>
      </c>
      <c r="U339" s="79">
        <v>0</v>
      </c>
      <c r="V339" s="189">
        <v>2.76</v>
      </c>
      <c r="X339" s="79"/>
      <c r="Y339" s="79">
        <v>2.76</v>
      </c>
      <c r="Z339" s="79">
        <v>2.76</v>
      </c>
      <c r="AA339" s="255">
        <v>0</v>
      </c>
      <c r="AC339" s="254"/>
    </row>
    <row r="340" spans="1:29" ht="12">
      <c r="A340" s="67" t="s">
        <v>11153</v>
      </c>
      <c r="B340" s="65" t="s">
        <v>11154</v>
      </c>
      <c r="C340" s="71" t="s">
        <v>103</v>
      </c>
      <c r="D340" s="78">
        <v>1</v>
      </c>
      <c r="E340" s="79">
        <v>21.64</v>
      </c>
      <c r="F340" s="70">
        <v>21.64</v>
      </c>
      <c r="G340" s="320"/>
      <c r="H340" s="79">
        <v>0</v>
      </c>
      <c r="I340" s="79">
        <v>21.64</v>
      </c>
      <c r="J340" s="79">
        <v>21.64</v>
      </c>
      <c r="K340" s="79">
        <v>0</v>
      </c>
      <c r="L340" s="70">
        <v>21.64</v>
      </c>
      <c r="M340" s="132"/>
      <c r="N340" s="79"/>
      <c r="O340" s="79">
        <v>21.64</v>
      </c>
      <c r="P340" s="79">
        <v>21.64</v>
      </c>
      <c r="Q340" s="136"/>
      <c r="R340" s="79"/>
      <c r="S340" s="79">
        <v>21.64</v>
      </c>
      <c r="T340" s="79">
        <v>21.64</v>
      </c>
      <c r="U340" s="79">
        <v>0</v>
      </c>
      <c r="V340" s="189">
        <v>21.64</v>
      </c>
      <c r="X340" s="79"/>
      <c r="Y340" s="79">
        <v>21.64</v>
      </c>
      <c r="Z340" s="79">
        <v>21.64</v>
      </c>
      <c r="AA340" s="255">
        <v>0</v>
      </c>
      <c r="AC340" s="254"/>
    </row>
    <row r="341" spans="1:29" ht="12">
      <c r="A341" s="489" t="s">
        <v>11155</v>
      </c>
      <c r="B341" s="490" t="s">
        <v>11156</v>
      </c>
      <c r="C341" s="491"/>
      <c r="D341" s="492"/>
      <c r="E341" s="79"/>
      <c r="F341" s="63"/>
      <c r="G341" s="320"/>
      <c r="H341" s="79"/>
      <c r="I341" s="79"/>
      <c r="J341" s="79"/>
      <c r="K341" s="79"/>
      <c r="L341" s="70"/>
      <c r="M341" s="132"/>
      <c r="N341" s="79"/>
      <c r="O341" s="79"/>
      <c r="P341" s="79"/>
      <c r="Q341" s="136"/>
      <c r="R341" s="79"/>
      <c r="S341" s="79"/>
      <c r="T341" s="79"/>
      <c r="U341" s="79"/>
      <c r="V341" s="189"/>
      <c r="X341" s="79"/>
      <c r="Y341" s="79"/>
      <c r="Z341" s="79"/>
      <c r="AA341" s="255"/>
      <c r="AC341" s="254"/>
    </row>
    <row r="342" spans="1:29" ht="12">
      <c r="A342" s="67" t="s">
        <v>11157</v>
      </c>
      <c r="B342" s="65" t="s">
        <v>11158</v>
      </c>
      <c r="C342" s="71" t="s">
        <v>103</v>
      </c>
      <c r="D342" s="78">
        <v>1</v>
      </c>
      <c r="E342" s="79">
        <v>49.69</v>
      </c>
      <c r="F342" s="70">
        <v>49.69</v>
      </c>
      <c r="G342" s="320"/>
      <c r="H342" s="79">
        <v>0</v>
      </c>
      <c r="I342" s="79">
        <v>49.69</v>
      </c>
      <c r="J342" s="79">
        <v>49.69</v>
      </c>
      <c r="K342" s="79">
        <v>0</v>
      </c>
      <c r="L342" s="70">
        <v>49.69</v>
      </c>
      <c r="M342" s="132"/>
      <c r="N342" s="79"/>
      <c r="O342" s="79">
        <v>49.69</v>
      </c>
      <c r="P342" s="79">
        <v>49.69</v>
      </c>
      <c r="Q342" s="136"/>
      <c r="R342" s="79"/>
      <c r="S342" s="79">
        <v>49.68</v>
      </c>
      <c r="T342" s="79">
        <v>49.68</v>
      </c>
      <c r="U342" s="79">
        <v>0</v>
      </c>
      <c r="V342" s="189">
        <v>49.68</v>
      </c>
      <c r="X342" s="79"/>
      <c r="Y342" s="79">
        <v>49.68</v>
      </c>
      <c r="Z342" s="79">
        <v>49.68</v>
      </c>
      <c r="AA342" s="255">
        <v>9.9999999999980105E-3</v>
      </c>
      <c r="AC342" s="254"/>
    </row>
    <row r="343" spans="1:29" ht="12">
      <c r="A343" s="67" t="s">
        <v>11159</v>
      </c>
      <c r="B343" s="65" t="s">
        <v>11160</v>
      </c>
      <c r="C343" s="71" t="s">
        <v>509</v>
      </c>
      <c r="D343" s="78">
        <v>1</v>
      </c>
      <c r="E343" s="79">
        <v>70.48</v>
      </c>
      <c r="F343" s="70">
        <v>70.48</v>
      </c>
      <c r="G343" s="320"/>
      <c r="H343" s="79">
        <v>0</v>
      </c>
      <c r="I343" s="79">
        <v>70.48</v>
      </c>
      <c r="J343" s="79">
        <v>70.48</v>
      </c>
      <c r="K343" s="79">
        <v>0</v>
      </c>
      <c r="L343" s="70">
        <v>70.48</v>
      </c>
      <c r="M343" s="132"/>
      <c r="N343" s="79"/>
      <c r="O343" s="79">
        <v>70.48</v>
      </c>
      <c r="P343" s="79">
        <v>70.48</v>
      </c>
      <c r="Q343" s="136"/>
      <c r="R343" s="79"/>
      <c r="S343" s="79">
        <v>70.489999999999995</v>
      </c>
      <c r="T343" s="79">
        <v>70.489999999999995</v>
      </c>
      <c r="U343" s="79">
        <v>0</v>
      </c>
      <c r="V343" s="189">
        <v>70.489999999999995</v>
      </c>
      <c r="X343" s="79"/>
      <c r="Y343" s="79">
        <v>70.489999999999995</v>
      </c>
      <c r="Z343" s="79">
        <v>70.489999999999995</v>
      </c>
      <c r="AA343" s="255">
        <v>-9.9999999999909051E-3</v>
      </c>
      <c r="AC343" s="254"/>
    </row>
    <row r="344" spans="1:29" ht="12">
      <c r="A344" s="67" t="s">
        <v>11161</v>
      </c>
      <c r="B344" s="65" t="s">
        <v>11162</v>
      </c>
      <c r="C344" s="71" t="s">
        <v>103</v>
      </c>
      <c r="D344" s="78">
        <v>1</v>
      </c>
      <c r="E344" s="79">
        <v>16.59</v>
      </c>
      <c r="F344" s="70">
        <v>16.59</v>
      </c>
      <c r="G344" s="320"/>
      <c r="H344" s="79">
        <v>0</v>
      </c>
      <c r="I344" s="79">
        <v>16.59</v>
      </c>
      <c r="J344" s="79">
        <v>16.59</v>
      </c>
      <c r="K344" s="79">
        <v>0</v>
      </c>
      <c r="L344" s="70">
        <v>16.59</v>
      </c>
      <c r="M344" s="132"/>
      <c r="N344" s="79"/>
      <c r="O344" s="79">
        <v>16.59</v>
      </c>
      <c r="P344" s="79">
        <v>16.59</v>
      </c>
      <c r="Q344" s="136"/>
      <c r="R344" s="79"/>
      <c r="S344" s="79">
        <v>16.579999999999998</v>
      </c>
      <c r="T344" s="79">
        <v>16.579999999999998</v>
      </c>
      <c r="U344" s="79">
        <v>0</v>
      </c>
      <c r="V344" s="189">
        <v>16.579999999999998</v>
      </c>
      <c r="X344" s="79"/>
      <c r="Y344" s="79">
        <v>16.579999999999998</v>
      </c>
      <c r="Z344" s="79">
        <v>16.579999999999998</v>
      </c>
      <c r="AA344" s="255">
        <v>1.0000000000001563E-2</v>
      </c>
      <c r="AC344" s="254"/>
    </row>
    <row r="345" spans="1:29" ht="12">
      <c r="A345" s="67" t="s">
        <v>11163</v>
      </c>
      <c r="B345" s="65" t="s">
        <v>11164</v>
      </c>
      <c r="C345" s="71" t="s">
        <v>103</v>
      </c>
      <c r="D345" s="78">
        <v>1</v>
      </c>
      <c r="E345" s="79">
        <v>6.92</v>
      </c>
      <c r="F345" s="70">
        <v>6.92</v>
      </c>
      <c r="G345" s="320"/>
      <c r="H345" s="79">
        <v>0</v>
      </c>
      <c r="I345" s="79">
        <v>6.92</v>
      </c>
      <c r="J345" s="79">
        <v>6.92</v>
      </c>
      <c r="K345" s="79">
        <v>0</v>
      </c>
      <c r="L345" s="70">
        <v>6.92</v>
      </c>
      <c r="M345" s="132"/>
      <c r="N345" s="79"/>
      <c r="O345" s="79">
        <v>6.92</v>
      </c>
      <c r="P345" s="79">
        <v>6.92</v>
      </c>
      <c r="Q345" s="136"/>
      <c r="R345" s="79"/>
      <c r="S345" s="79">
        <v>6.91</v>
      </c>
      <c r="T345" s="79">
        <v>6.91</v>
      </c>
      <c r="U345" s="79">
        <v>0</v>
      </c>
      <c r="V345" s="189">
        <v>6.91</v>
      </c>
      <c r="X345" s="79"/>
      <c r="Y345" s="79">
        <v>6.91</v>
      </c>
      <c r="Z345" s="79">
        <v>6.91</v>
      </c>
      <c r="AA345" s="255">
        <v>9.9999999999997868E-3</v>
      </c>
      <c r="AC345" s="254"/>
    </row>
    <row r="346" spans="1:29" ht="12">
      <c r="A346" s="67" t="s">
        <v>11165</v>
      </c>
      <c r="B346" s="65" t="s">
        <v>11166</v>
      </c>
      <c r="C346" s="71" t="s">
        <v>103</v>
      </c>
      <c r="D346" s="78">
        <v>1</v>
      </c>
      <c r="E346" s="79">
        <v>63.519999999999996</v>
      </c>
      <c r="F346" s="70">
        <v>63.52</v>
      </c>
      <c r="G346" s="320"/>
      <c r="H346" s="79">
        <v>0</v>
      </c>
      <c r="I346" s="79">
        <v>63.519999999999996</v>
      </c>
      <c r="J346" s="79">
        <v>63.519999999999996</v>
      </c>
      <c r="K346" s="79">
        <v>0</v>
      </c>
      <c r="L346" s="70">
        <v>63.519999999999996</v>
      </c>
      <c r="M346" s="132"/>
      <c r="N346" s="79"/>
      <c r="O346" s="79">
        <v>63.519999999999996</v>
      </c>
      <c r="P346" s="79">
        <v>63.519999999999996</v>
      </c>
      <c r="Q346" s="136"/>
      <c r="R346" s="79"/>
      <c r="S346" s="79">
        <v>63.5</v>
      </c>
      <c r="T346" s="79">
        <v>63.5</v>
      </c>
      <c r="U346" s="79">
        <v>0</v>
      </c>
      <c r="V346" s="189">
        <v>63.5</v>
      </c>
      <c r="X346" s="79"/>
      <c r="Y346" s="79">
        <v>63.5</v>
      </c>
      <c r="Z346" s="79">
        <v>63.5</v>
      </c>
      <c r="AA346" s="255">
        <v>2.0000000000003126E-2</v>
      </c>
      <c r="AC346" s="254"/>
    </row>
    <row r="347" spans="1:29" ht="12">
      <c r="A347" s="67" t="s">
        <v>11167</v>
      </c>
      <c r="B347" s="65" t="s">
        <v>11168</v>
      </c>
      <c r="C347" s="71" t="s">
        <v>103</v>
      </c>
      <c r="D347" s="78">
        <v>1</v>
      </c>
      <c r="E347" s="79">
        <v>36.43</v>
      </c>
      <c r="F347" s="70">
        <v>36.43</v>
      </c>
      <c r="G347" s="320"/>
      <c r="H347" s="79">
        <v>0</v>
      </c>
      <c r="I347" s="79">
        <v>36.43</v>
      </c>
      <c r="J347" s="79">
        <v>36.43</v>
      </c>
      <c r="K347" s="79">
        <v>0</v>
      </c>
      <c r="L347" s="70">
        <v>36.43</v>
      </c>
      <c r="M347" s="132"/>
      <c r="N347" s="79"/>
      <c r="O347" s="79">
        <v>36.43</v>
      </c>
      <c r="P347" s="79">
        <v>36.43</v>
      </c>
      <c r="Q347" s="136"/>
      <c r="R347" s="79"/>
      <c r="S347" s="79">
        <v>36.43</v>
      </c>
      <c r="T347" s="79">
        <v>36.43</v>
      </c>
      <c r="U347" s="79">
        <v>0</v>
      </c>
      <c r="V347" s="189">
        <v>36.43</v>
      </c>
      <c r="X347" s="79"/>
      <c r="Y347" s="79">
        <v>36.43</v>
      </c>
      <c r="Z347" s="79">
        <v>36.43</v>
      </c>
      <c r="AA347" s="255">
        <v>0</v>
      </c>
      <c r="AC347" s="254"/>
    </row>
    <row r="348" spans="1:29" ht="12">
      <c r="A348" s="67" t="s">
        <v>11169</v>
      </c>
      <c r="B348" s="65" t="s">
        <v>11170</v>
      </c>
      <c r="C348" s="71" t="s">
        <v>103</v>
      </c>
      <c r="D348" s="78">
        <v>1</v>
      </c>
      <c r="E348" s="79">
        <v>36.43</v>
      </c>
      <c r="F348" s="70">
        <v>36.43</v>
      </c>
      <c r="G348" s="320"/>
      <c r="H348" s="79">
        <v>0</v>
      </c>
      <c r="I348" s="79">
        <v>36.43</v>
      </c>
      <c r="J348" s="79">
        <v>36.43</v>
      </c>
      <c r="K348" s="79">
        <v>0</v>
      </c>
      <c r="L348" s="70">
        <v>36.43</v>
      </c>
      <c r="M348" s="132"/>
      <c r="N348" s="79"/>
      <c r="O348" s="78">
        <v>36.43</v>
      </c>
      <c r="P348" s="79">
        <v>36.43</v>
      </c>
      <c r="Q348" s="136"/>
      <c r="R348" s="79"/>
      <c r="S348" s="79">
        <v>36.43</v>
      </c>
      <c r="T348" s="79">
        <v>36.43</v>
      </c>
      <c r="U348" s="79">
        <v>0</v>
      </c>
      <c r="V348" s="189">
        <v>36.43</v>
      </c>
      <c r="X348" s="79"/>
      <c r="Y348" s="78">
        <v>36.43</v>
      </c>
      <c r="Z348" s="79">
        <v>36.43</v>
      </c>
      <c r="AA348" s="255">
        <v>0</v>
      </c>
      <c r="AC348" s="254"/>
    </row>
    <row r="349" spans="1:29" ht="12">
      <c r="A349" s="67" t="s">
        <v>11171</v>
      </c>
      <c r="B349" s="65" t="s">
        <v>11172</v>
      </c>
      <c r="C349" s="71" t="s">
        <v>103</v>
      </c>
      <c r="D349" s="78">
        <v>1</v>
      </c>
      <c r="E349" s="79">
        <v>8.6</v>
      </c>
      <c r="F349" s="70">
        <v>8.6</v>
      </c>
      <c r="G349" s="320"/>
      <c r="H349" s="79">
        <v>0</v>
      </c>
      <c r="I349" s="79">
        <v>8.6</v>
      </c>
      <c r="J349" s="79">
        <v>8.6</v>
      </c>
      <c r="K349" s="79">
        <v>0</v>
      </c>
      <c r="L349" s="70">
        <v>8.6</v>
      </c>
      <c r="M349" s="132"/>
      <c r="N349" s="79"/>
      <c r="O349" s="79">
        <v>8.6</v>
      </c>
      <c r="P349" s="79">
        <v>8.6</v>
      </c>
      <c r="Q349" s="136"/>
      <c r="R349" s="79"/>
      <c r="S349" s="79">
        <v>8.61</v>
      </c>
      <c r="T349" s="79">
        <v>8.61</v>
      </c>
      <c r="U349" s="79">
        <v>0</v>
      </c>
      <c r="V349" s="189">
        <v>8.61</v>
      </c>
      <c r="X349" s="79"/>
      <c r="Y349" s="79">
        <v>8.61</v>
      </c>
      <c r="Z349" s="79">
        <v>8.61</v>
      </c>
      <c r="AA349" s="255">
        <v>-9.9999999999997868E-3</v>
      </c>
      <c r="AC349" s="254"/>
    </row>
    <row r="350" spans="1:29" ht="12">
      <c r="A350" s="67" t="s">
        <v>11173</v>
      </c>
      <c r="B350" s="65" t="s">
        <v>11174</v>
      </c>
      <c r="C350" s="71" t="s">
        <v>103</v>
      </c>
      <c r="D350" s="78">
        <v>1</v>
      </c>
      <c r="E350" s="79">
        <v>13.24</v>
      </c>
      <c r="F350" s="70">
        <v>13.24</v>
      </c>
      <c r="G350" s="320"/>
      <c r="H350" s="79">
        <v>0</v>
      </c>
      <c r="I350" s="79">
        <v>13.24</v>
      </c>
      <c r="J350" s="79">
        <v>13.24</v>
      </c>
      <c r="K350" s="79">
        <v>0</v>
      </c>
      <c r="L350" s="70">
        <v>13.24</v>
      </c>
      <c r="M350" s="132"/>
      <c r="N350" s="79"/>
      <c r="O350" s="79">
        <v>13.24</v>
      </c>
      <c r="P350" s="79">
        <v>13.24</v>
      </c>
      <c r="Q350" s="136"/>
      <c r="R350" s="79"/>
      <c r="S350" s="79">
        <v>13.25</v>
      </c>
      <c r="T350" s="79">
        <v>13.25</v>
      </c>
      <c r="U350" s="79">
        <v>0</v>
      </c>
      <c r="V350" s="189">
        <v>13.25</v>
      </c>
      <c r="X350" s="79"/>
      <c r="Y350" s="79">
        <v>13.25</v>
      </c>
      <c r="Z350" s="79">
        <v>13.25</v>
      </c>
      <c r="AA350" s="255">
        <v>-9.9999999999997868E-3</v>
      </c>
      <c r="AC350" s="254"/>
    </row>
    <row r="351" spans="1:29" ht="12">
      <c r="A351" s="67" t="s">
        <v>11175</v>
      </c>
      <c r="B351" s="65" t="s">
        <v>11176</v>
      </c>
      <c r="C351" s="71" t="s">
        <v>103</v>
      </c>
      <c r="D351" s="78">
        <v>1</v>
      </c>
      <c r="E351" s="79">
        <v>25.17</v>
      </c>
      <c r="F351" s="70">
        <v>25.17</v>
      </c>
      <c r="G351" s="320"/>
      <c r="H351" s="79">
        <v>0</v>
      </c>
      <c r="I351" s="79">
        <v>25.17</v>
      </c>
      <c r="J351" s="79">
        <v>25.17</v>
      </c>
      <c r="K351" s="79">
        <v>0</v>
      </c>
      <c r="L351" s="70">
        <v>25.17</v>
      </c>
      <c r="M351" s="132"/>
      <c r="N351" s="79"/>
      <c r="O351" s="79">
        <v>25.17</v>
      </c>
      <c r="P351" s="79">
        <v>25.17</v>
      </c>
      <c r="Q351" s="136"/>
      <c r="R351" s="79"/>
      <c r="S351" s="79">
        <v>25.17</v>
      </c>
      <c r="T351" s="79">
        <v>25.17</v>
      </c>
      <c r="U351" s="79">
        <v>0</v>
      </c>
      <c r="V351" s="189">
        <v>25.17</v>
      </c>
      <c r="X351" s="79"/>
      <c r="Y351" s="79">
        <v>25.17</v>
      </c>
      <c r="Z351" s="79">
        <v>25.17</v>
      </c>
      <c r="AA351" s="255">
        <v>0</v>
      </c>
      <c r="AC351" s="254"/>
    </row>
    <row r="352" spans="1:29" ht="12">
      <c r="A352" s="489" t="s">
        <v>11177</v>
      </c>
      <c r="B352" s="490" t="s">
        <v>11178</v>
      </c>
      <c r="C352" s="491"/>
      <c r="D352" s="492"/>
      <c r="E352" s="79"/>
      <c r="F352" s="63"/>
      <c r="G352" s="320"/>
      <c r="H352" s="79"/>
      <c r="I352" s="79"/>
      <c r="J352" s="79"/>
      <c r="K352" s="79"/>
      <c r="L352" s="70"/>
      <c r="M352" s="132"/>
      <c r="N352" s="79"/>
      <c r="O352" s="79"/>
      <c r="P352" s="79"/>
      <c r="Q352" s="136"/>
      <c r="R352" s="79"/>
      <c r="S352" s="79"/>
      <c r="T352" s="79"/>
      <c r="U352" s="79"/>
      <c r="V352" s="189"/>
      <c r="X352" s="79"/>
      <c r="Y352" s="79"/>
      <c r="Z352" s="79"/>
      <c r="AA352" s="255"/>
      <c r="AC352" s="254"/>
    </row>
    <row r="353" spans="1:29" ht="12">
      <c r="A353" s="67" t="s">
        <v>11179</v>
      </c>
      <c r="B353" s="65" t="s">
        <v>11180</v>
      </c>
      <c r="C353" s="71" t="s">
        <v>103</v>
      </c>
      <c r="D353" s="78">
        <v>1</v>
      </c>
      <c r="E353" s="79">
        <v>105.51</v>
      </c>
      <c r="F353" s="70">
        <v>105.51</v>
      </c>
      <c r="G353" s="320"/>
      <c r="H353" s="79">
        <v>0</v>
      </c>
      <c r="I353" s="79">
        <v>105.51</v>
      </c>
      <c r="J353" s="79">
        <v>105.51</v>
      </c>
      <c r="K353" s="79">
        <v>0</v>
      </c>
      <c r="L353" s="70">
        <v>105.51</v>
      </c>
      <c r="M353" s="132"/>
      <c r="N353" s="79"/>
      <c r="O353" s="79">
        <v>105.51</v>
      </c>
      <c r="P353" s="79">
        <v>105.51</v>
      </c>
      <c r="Q353" s="136"/>
      <c r="R353" s="79"/>
      <c r="S353" s="79">
        <v>105.51</v>
      </c>
      <c r="T353" s="79">
        <v>105.51</v>
      </c>
      <c r="U353" s="79">
        <v>0</v>
      </c>
      <c r="V353" s="189">
        <v>105.51</v>
      </c>
      <c r="X353" s="79"/>
      <c r="Y353" s="79">
        <v>105.51</v>
      </c>
      <c r="Z353" s="79">
        <v>105.51</v>
      </c>
      <c r="AA353" s="255">
        <v>0</v>
      </c>
      <c r="AC353" s="254"/>
    </row>
    <row r="354" spans="1:29" ht="12">
      <c r="A354" s="67" t="s">
        <v>11181</v>
      </c>
      <c r="B354" s="65" t="s">
        <v>11182</v>
      </c>
      <c r="C354" s="71" t="s">
        <v>103</v>
      </c>
      <c r="D354" s="78">
        <v>1</v>
      </c>
      <c r="E354" s="79">
        <v>83.76</v>
      </c>
      <c r="F354" s="70">
        <v>83.76</v>
      </c>
      <c r="G354" s="320"/>
      <c r="H354" s="79">
        <v>0</v>
      </c>
      <c r="I354" s="79">
        <v>83.76</v>
      </c>
      <c r="J354" s="79">
        <v>83.76</v>
      </c>
      <c r="K354" s="79">
        <v>0</v>
      </c>
      <c r="L354" s="70">
        <v>83.76</v>
      </c>
      <c r="M354" s="132"/>
      <c r="N354" s="79"/>
      <c r="O354" s="79">
        <v>83.76</v>
      </c>
      <c r="P354" s="79">
        <v>83.76</v>
      </c>
      <c r="Q354" s="136"/>
      <c r="R354" s="79"/>
      <c r="S354" s="79">
        <v>83.75</v>
      </c>
      <c r="T354" s="79">
        <v>83.75</v>
      </c>
      <c r="U354" s="79">
        <v>0</v>
      </c>
      <c r="V354" s="189">
        <v>83.75</v>
      </c>
      <c r="X354" s="79"/>
      <c r="Y354" s="79">
        <v>83.75</v>
      </c>
      <c r="Z354" s="79">
        <v>83.75</v>
      </c>
      <c r="AA354" s="255">
        <v>1.0000000000005116E-2</v>
      </c>
      <c r="AC354" s="254"/>
    </row>
    <row r="355" spans="1:29" ht="12">
      <c r="A355" s="489" t="s">
        <v>11183</v>
      </c>
      <c r="B355" s="490" t="s">
        <v>11184</v>
      </c>
      <c r="C355" s="491"/>
      <c r="D355" s="492"/>
      <c r="E355" s="79"/>
      <c r="F355" s="63"/>
      <c r="G355" s="320"/>
      <c r="H355" s="79"/>
      <c r="I355" s="79"/>
      <c r="J355" s="79"/>
      <c r="K355" s="79"/>
      <c r="L355" s="70"/>
      <c r="M355" s="132"/>
      <c r="N355" s="79"/>
      <c r="O355" s="79"/>
      <c r="P355" s="79"/>
      <c r="Q355" s="136"/>
      <c r="R355" s="79"/>
      <c r="S355" s="79"/>
      <c r="T355" s="79"/>
      <c r="U355" s="79"/>
      <c r="V355" s="189"/>
      <c r="X355" s="79"/>
      <c r="Y355" s="79"/>
      <c r="Z355" s="79"/>
      <c r="AA355" s="255"/>
      <c r="AC355" s="254"/>
    </row>
    <row r="356" spans="1:29" ht="12">
      <c r="A356" s="67" t="s">
        <v>11185</v>
      </c>
      <c r="B356" s="65" t="s">
        <v>11186</v>
      </c>
      <c r="C356" s="71" t="s">
        <v>509</v>
      </c>
      <c r="D356" s="78">
        <v>1</v>
      </c>
      <c r="E356" s="79">
        <v>6.82</v>
      </c>
      <c r="F356" s="70">
        <v>6.82</v>
      </c>
      <c r="G356" s="320"/>
      <c r="H356" s="79">
        <v>0</v>
      </c>
      <c r="I356" s="79">
        <v>6.82</v>
      </c>
      <c r="J356" s="79">
        <v>6.82</v>
      </c>
      <c r="K356" s="79">
        <v>0</v>
      </c>
      <c r="L356" s="70">
        <v>6.82</v>
      </c>
      <c r="M356" s="132"/>
      <c r="N356" s="79"/>
      <c r="O356" s="79">
        <v>6.82</v>
      </c>
      <c r="P356" s="79">
        <v>6.82</v>
      </c>
      <c r="Q356" s="136"/>
      <c r="R356" s="79"/>
      <c r="S356" s="79">
        <v>6.81</v>
      </c>
      <c r="T356" s="79">
        <v>6.81</v>
      </c>
      <c r="U356" s="79">
        <v>0</v>
      </c>
      <c r="V356" s="189">
        <v>6.81</v>
      </c>
      <c r="X356" s="79"/>
      <c r="Y356" s="79">
        <v>6.81</v>
      </c>
      <c r="Z356" s="79">
        <v>6.81</v>
      </c>
      <c r="AA356" s="255">
        <v>1.0000000000000675E-2</v>
      </c>
      <c r="AC356" s="254"/>
    </row>
    <row r="357" spans="1:29" ht="12">
      <c r="A357" s="67" t="s">
        <v>11187</v>
      </c>
      <c r="B357" s="65" t="s">
        <v>11188</v>
      </c>
      <c r="C357" s="71" t="s">
        <v>509</v>
      </c>
      <c r="D357" s="78">
        <v>1</v>
      </c>
      <c r="E357" s="79">
        <v>1.1400000000000001</v>
      </c>
      <c r="F357" s="70">
        <v>1.1399999999999999</v>
      </c>
      <c r="G357" s="320"/>
      <c r="H357" s="79">
        <v>0</v>
      </c>
      <c r="I357" s="79">
        <v>1.1400000000000001</v>
      </c>
      <c r="J357" s="79">
        <v>1.1400000000000001</v>
      </c>
      <c r="K357" s="79">
        <v>0</v>
      </c>
      <c r="L357" s="70">
        <v>1.1400000000000001</v>
      </c>
      <c r="M357" s="132"/>
      <c r="N357" s="79"/>
      <c r="O357" s="79">
        <v>1.1400000000000001</v>
      </c>
      <c r="P357" s="79">
        <v>1.1400000000000001</v>
      </c>
      <c r="Q357" s="136"/>
      <c r="R357" s="79"/>
      <c r="S357" s="79">
        <v>1.1399999999999999</v>
      </c>
      <c r="T357" s="79">
        <v>1.1399999999999999</v>
      </c>
      <c r="U357" s="79">
        <v>0</v>
      </c>
      <c r="V357" s="189">
        <v>1.1399999999999999</v>
      </c>
      <c r="X357" s="79"/>
      <c r="Y357" s="79">
        <v>1.1399999999999999</v>
      </c>
      <c r="Z357" s="79">
        <v>1.1399999999999999</v>
      </c>
      <c r="AA357" s="255">
        <v>0</v>
      </c>
      <c r="AC357" s="254"/>
    </row>
    <row r="358" spans="1:29" ht="12">
      <c r="A358" s="489" t="s">
        <v>11189</v>
      </c>
      <c r="B358" s="490" t="s">
        <v>11190</v>
      </c>
      <c r="C358" s="491"/>
      <c r="D358" s="492"/>
      <c r="E358" s="79"/>
      <c r="F358" s="63"/>
      <c r="G358" s="320"/>
      <c r="H358" s="79"/>
      <c r="I358" s="79"/>
      <c r="J358" s="79"/>
      <c r="K358" s="79"/>
      <c r="L358" s="70"/>
      <c r="M358" s="132"/>
      <c r="N358" s="79"/>
      <c r="O358" s="79"/>
      <c r="P358" s="79"/>
      <c r="Q358" s="136"/>
      <c r="R358" s="79"/>
      <c r="S358" s="79"/>
      <c r="T358" s="79"/>
      <c r="U358" s="79"/>
      <c r="V358" s="189"/>
      <c r="X358" s="79"/>
      <c r="Y358" s="79"/>
      <c r="Z358" s="79"/>
      <c r="AA358" s="255"/>
      <c r="AC358" s="254"/>
    </row>
    <row r="359" spans="1:29" ht="12">
      <c r="A359" s="67" t="s">
        <v>11191</v>
      </c>
      <c r="B359" s="65" t="s">
        <v>11192</v>
      </c>
      <c r="C359" s="71" t="s">
        <v>509</v>
      </c>
      <c r="D359" s="78">
        <v>1</v>
      </c>
      <c r="E359" s="79">
        <v>16.57</v>
      </c>
      <c r="F359" s="70">
        <v>16.57</v>
      </c>
      <c r="G359" s="320"/>
      <c r="H359" s="79">
        <v>0</v>
      </c>
      <c r="I359" s="79">
        <v>16.57</v>
      </c>
      <c r="J359" s="79">
        <v>16.57</v>
      </c>
      <c r="K359" s="79">
        <v>0</v>
      </c>
      <c r="L359" s="70">
        <v>16.57</v>
      </c>
      <c r="M359" s="132"/>
      <c r="N359" s="79"/>
      <c r="O359" s="79">
        <v>16.57</v>
      </c>
      <c r="P359" s="79">
        <v>16.57</v>
      </c>
      <c r="Q359" s="136"/>
      <c r="R359" s="79"/>
      <c r="S359" s="79">
        <v>16.559999999999999</v>
      </c>
      <c r="T359" s="79">
        <v>16.559999999999999</v>
      </c>
      <c r="U359" s="79">
        <v>0</v>
      </c>
      <c r="V359" s="189">
        <v>16.559999999999999</v>
      </c>
      <c r="X359" s="79"/>
      <c r="Y359" s="79">
        <v>16.559999999999999</v>
      </c>
      <c r="Z359" s="79">
        <v>16.559999999999999</v>
      </c>
      <c r="AA359" s="255">
        <v>1.0000000000001563E-2</v>
      </c>
      <c r="AC359" s="254"/>
    </row>
    <row r="360" spans="1:29" ht="12">
      <c r="A360" s="67" t="s">
        <v>11193</v>
      </c>
      <c r="B360" s="65" t="s">
        <v>11194</v>
      </c>
      <c r="C360" s="71" t="s">
        <v>509</v>
      </c>
      <c r="D360" s="78">
        <v>1</v>
      </c>
      <c r="E360" s="79">
        <v>50.349999999999994</v>
      </c>
      <c r="F360" s="70">
        <v>50.35</v>
      </c>
      <c r="G360" s="320"/>
      <c r="H360" s="79">
        <v>0</v>
      </c>
      <c r="I360" s="79">
        <v>50.349999999999994</v>
      </c>
      <c r="J360" s="79">
        <v>50.349999999999994</v>
      </c>
      <c r="K360" s="79">
        <v>0</v>
      </c>
      <c r="L360" s="70">
        <v>50.349999999999994</v>
      </c>
      <c r="M360" s="132"/>
      <c r="N360" s="79"/>
      <c r="O360" s="79">
        <v>50.349999999999994</v>
      </c>
      <c r="P360" s="79">
        <v>50.349999999999994</v>
      </c>
      <c r="Q360" s="136"/>
      <c r="R360" s="79"/>
      <c r="S360" s="79">
        <v>50.35</v>
      </c>
      <c r="T360" s="79">
        <v>50.35</v>
      </c>
      <c r="U360" s="79">
        <v>0</v>
      </c>
      <c r="V360" s="189">
        <v>50.35</v>
      </c>
      <c r="X360" s="79"/>
      <c r="Y360" s="79">
        <v>50.35</v>
      </c>
      <c r="Z360" s="79">
        <v>50.35</v>
      </c>
      <c r="AA360" s="255">
        <v>0</v>
      </c>
      <c r="AC360" s="254"/>
    </row>
    <row r="361" spans="1:29" ht="12">
      <c r="A361" s="489" t="s">
        <v>11195</v>
      </c>
      <c r="B361" s="490" t="s">
        <v>11196</v>
      </c>
      <c r="C361" s="491"/>
      <c r="D361" s="492"/>
      <c r="E361" s="79"/>
      <c r="F361" s="63"/>
      <c r="G361" s="320"/>
      <c r="H361" s="79"/>
      <c r="I361" s="79"/>
      <c r="J361" s="79"/>
      <c r="K361" s="79"/>
      <c r="L361" s="70"/>
      <c r="M361" s="132"/>
      <c r="N361" s="79"/>
      <c r="O361" s="79"/>
      <c r="P361" s="79"/>
      <c r="Q361" s="136"/>
      <c r="R361" s="79"/>
      <c r="S361" s="79"/>
      <c r="T361" s="79"/>
      <c r="U361" s="79"/>
      <c r="V361" s="189"/>
      <c r="X361" s="79"/>
      <c r="Y361" s="79"/>
      <c r="Z361" s="79"/>
      <c r="AA361" s="255"/>
      <c r="AC361" s="254"/>
    </row>
    <row r="362" spans="1:29" ht="12">
      <c r="A362" s="67" t="s">
        <v>11197</v>
      </c>
      <c r="B362" s="65" t="s">
        <v>11198</v>
      </c>
      <c r="C362" s="71" t="s">
        <v>103</v>
      </c>
      <c r="D362" s="78">
        <v>1</v>
      </c>
      <c r="E362" s="79">
        <v>22.32</v>
      </c>
      <c r="F362" s="70">
        <v>22.32</v>
      </c>
      <c r="G362" s="320"/>
      <c r="H362" s="79">
        <v>0</v>
      </c>
      <c r="I362" s="79">
        <v>22.32</v>
      </c>
      <c r="J362" s="79">
        <v>22.32</v>
      </c>
      <c r="K362" s="79">
        <v>0</v>
      </c>
      <c r="L362" s="70">
        <v>22.32</v>
      </c>
      <c r="M362" s="132"/>
      <c r="N362" s="79"/>
      <c r="O362" s="79">
        <v>22.32</v>
      </c>
      <c r="P362" s="79">
        <v>22.32</v>
      </c>
      <c r="Q362" s="136"/>
      <c r="R362" s="79"/>
      <c r="S362" s="79">
        <v>22.33</v>
      </c>
      <c r="T362" s="79">
        <v>22.33</v>
      </c>
      <c r="U362" s="79">
        <v>0</v>
      </c>
      <c r="V362" s="189">
        <v>22.33</v>
      </c>
      <c r="X362" s="79"/>
      <c r="Y362" s="79">
        <v>22.33</v>
      </c>
      <c r="Z362" s="79">
        <v>22.33</v>
      </c>
      <c r="AA362" s="255">
        <v>-9.9999999999980105E-3</v>
      </c>
      <c r="AC362" s="254"/>
    </row>
    <row r="363" spans="1:29" ht="12">
      <c r="A363" s="67" t="s">
        <v>11199</v>
      </c>
      <c r="B363" s="65" t="s">
        <v>11200</v>
      </c>
      <c r="C363" s="71" t="s">
        <v>103</v>
      </c>
      <c r="D363" s="78">
        <v>1</v>
      </c>
      <c r="E363" s="79">
        <v>83.76</v>
      </c>
      <c r="F363" s="70">
        <v>83.76</v>
      </c>
      <c r="G363" s="320"/>
      <c r="H363" s="79">
        <v>0</v>
      </c>
      <c r="I363" s="79">
        <v>83.76</v>
      </c>
      <c r="J363" s="79">
        <v>83.76</v>
      </c>
      <c r="K363" s="79">
        <v>0</v>
      </c>
      <c r="L363" s="70">
        <v>83.76</v>
      </c>
      <c r="M363" s="132"/>
      <c r="N363" s="79"/>
      <c r="O363" s="79">
        <v>83.76</v>
      </c>
      <c r="P363" s="79">
        <v>83.76</v>
      </c>
      <c r="Q363" s="136"/>
      <c r="R363" s="79"/>
      <c r="S363" s="79">
        <v>83.75</v>
      </c>
      <c r="T363" s="79">
        <v>83.75</v>
      </c>
      <c r="U363" s="79">
        <v>0</v>
      </c>
      <c r="V363" s="189">
        <v>83.75</v>
      </c>
      <c r="X363" s="79"/>
      <c r="Y363" s="79">
        <v>83.75</v>
      </c>
      <c r="Z363" s="79">
        <v>83.75</v>
      </c>
      <c r="AA363" s="255">
        <v>1.0000000000005116E-2</v>
      </c>
      <c r="AC363" s="254"/>
    </row>
    <row r="364" spans="1:29" ht="12">
      <c r="A364" s="67" t="s">
        <v>11201</v>
      </c>
      <c r="B364" s="65" t="s">
        <v>11202</v>
      </c>
      <c r="C364" s="71" t="s">
        <v>103</v>
      </c>
      <c r="D364" s="78">
        <v>1</v>
      </c>
      <c r="E364" s="79">
        <v>27.939999999999998</v>
      </c>
      <c r="F364" s="70">
        <v>27.94</v>
      </c>
      <c r="G364" s="320"/>
      <c r="H364" s="79">
        <v>0</v>
      </c>
      <c r="I364" s="79">
        <v>27.939999999999998</v>
      </c>
      <c r="J364" s="79">
        <v>27.939999999999998</v>
      </c>
      <c r="K364" s="79">
        <v>0</v>
      </c>
      <c r="L364" s="70">
        <v>27.939999999999998</v>
      </c>
      <c r="M364" s="132"/>
      <c r="N364" s="79"/>
      <c r="O364" s="79">
        <v>27.939999999999998</v>
      </c>
      <c r="P364" s="79">
        <v>27.939999999999998</v>
      </c>
      <c r="Q364" s="136"/>
      <c r="R364" s="79"/>
      <c r="S364" s="79">
        <v>27.92</v>
      </c>
      <c r="T364" s="79">
        <v>27.92</v>
      </c>
      <c r="U364" s="79">
        <v>0</v>
      </c>
      <c r="V364" s="189">
        <v>27.92</v>
      </c>
      <c r="X364" s="79"/>
      <c r="Y364" s="79">
        <v>27.92</v>
      </c>
      <c r="Z364" s="79">
        <v>27.92</v>
      </c>
      <c r="AA364" s="255">
        <v>1.9999999999999574E-2</v>
      </c>
      <c r="AC364" s="254"/>
    </row>
    <row r="365" spans="1:29" ht="12">
      <c r="A365" s="67" t="s">
        <v>11203</v>
      </c>
      <c r="B365" s="65" t="s">
        <v>11204</v>
      </c>
      <c r="C365" s="71" t="s">
        <v>165</v>
      </c>
      <c r="D365" s="78">
        <v>1</v>
      </c>
      <c r="E365" s="79">
        <v>22.32</v>
      </c>
      <c r="F365" s="70">
        <v>22.32</v>
      </c>
      <c r="G365" s="320"/>
      <c r="H365" s="79">
        <v>0</v>
      </c>
      <c r="I365" s="79">
        <v>22.32</v>
      </c>
      <c r="J365" s="79">
        <v>22.32</v>
      </c>
      <c r="K365" s="79">
        <v>0</v>
      </c>
      <c r="L365" s="70">
        <v>22.32</v>
      </c>
      <c r="M365" s="132"/>
      <c r="N365" s="79"/>
      <c r="O365" s="79">
        <v>22.32</v>
      </c>
      <c r="P365" s="79">
        <v>22.32</v>
      </c>
      <c r="Q365" s="136"/>
      <c r="R365" s="79"/>
      <c r="S365" s="79">
        <v>22.33</v>
      </c>
      <c r="T365" s="79">
        <v>22.33</v>
      </c>
      <c r="U365" s="79">
        <v>0</v>
      </c>
      <c r="V365" s="189">
        <v>22.33</v>
      </c>
      <c r="X365" s="79"/>
      <c r="Y365" s="79">
        <v>22.33</v>
      </c>
      <c r="Z365" s="79">
        <v>22.33</v>
      </c>
      <c r="AA365" s="255">
        <v>-9.9999999999980105E-3</v>
      </c>
      <c r="AC365" s="254"/>
    </row>
    <row r="366" spans="1:29" ht="12">
      <c r="A366" s="67" t="s">
        <v>11205</v>
      </c>
      <c r="B366" s="65" t="s">
        <v>11206</v>
      </c>
      <c r="C366" s="71" t="s">
        <v>103</v>
      </c>
      <c r="D366" s="78">
        <v>1</v>
      </c>
      <c r="E366" s="79">
        <v>8.379999999999999</v>
      </c>
      <c r="F366" s="70">
        <v>8.3800000000000008</v>
      </c>
      <c r="G366" s="320"/>
      <c r="H366" s="79">
        <v>0</v>
      </c>
      <c r="I366" s="79">
        <v>8.379999999999999</v>
      </c>
      <c r="J366" s="79">
        <v>8.379999999999999</v>
      </c>
      <c r="K366" s="79">
        <v>0</v>
      </c>
      <c r="L366" s="70">
        <v>8.379999999999999</v>
      </c>
      <c r="M366" s="132"/>
      <c r="N366" s="79"/>
      <c r="O366" s="79">
        <v>8.379999999999999</v>
      </c>
      <c r="P366" s="79">
        <v>8.379999999999999</v>
      </c>
      <c r="Q366" s="136"/>
      <c r="R366" s="79"/>
      <c r="S366" s="79">
        <v>8.3800000000000008</v>
      </c>
      <c r="T366" s="79">
        <v>8.3800000000000008</v>
      </c>
      <c r="U366" s="79">
        <v>0</v>
      </c>
      <c r="V366" s="189">
        <v>8.3800000000000008</v>
      </c>
      <c r="X366" s="79"/>
      <c r="Y366" s="79">
        <v>8.3800000000000008</v>
      </c>
      <c r="Z366" s="79">
        <v>8.3800000000000008</v>
      </c>
      <c r="AA366" s="255">
        <v>0</v>
      </c>
      <c r="AC366" s="254"/>
    </row>
    <row r="367" spans="1:29" ht="12">
      <c r="A367" s="67" t="s">
        <v>11207</v>
      </c>
      <c r="B367" s="65" t="s">
        <v>11208</v>
      </c>
      <c r="C367" s="71" t="s">
        <v>103</v>
      </c>
      <c r="D367" s="78">
        <v>1</v>
      </c>
      <c r="E367" s="79">
        <v>8.379999999999999</v>
      </c>
      <c r="F367" s="70">
        <v>8.3800000000000008</v>
      </c>
      <c r="G367" s="320"/>
      <c r="H367" s="79">
        <v>0</v>
      </c>
      <c r="I367" s="79">
        <v>8.379999999999999</v>
      </c>
      <c r="J367" s="79">
        <v>8.379999999999999</v>
      </c>
      <c r="K367" s="79">
        <v>0</v>
      </c>
      <c r="L367" s="70">
        <v>8.379999999999999</v>
      </c>
      <c r="M367" s="132"/>
      <c r="N367" s="79"/>
      <c r="O367" s="79">
        <v>8.379999999999999</v>
      </c>
      <c r="P367" s="79">
        <v>8.379999999999999</v>
      </c>
      <c r="Q367" s="136"/>
      <c r="R367" s="79"/>
      <c r="S367" s="79">
        <v>8.3800000000000008</v>
      </c>
      <c r="T367" s="79">
        <v>8.3800000000000008</v>
      </c>
      <c r="U367" s="79">
        <v>0</v>
      </c>
      <c r="V367" s="189">
        <v>8.3800000000000008</v>
      </c>
      <c r="X367" s="79"/>
      <c r="Y367" s="79">
        <v>8.3800000000000008</v>
      </c>
      <c r="Z367" s="79">
        <v>8.3800000000000008</v>
      </c>
      <c r="AA367" s="255">
        <v>0</v>
      </c>
      <c r="AC367" s="254"/>
    </row>
    <row r="368" spans="1:29" ht="12">
      <c r="A368" s="67" t="s">
        <v>11209</v>
      </c>
      <c r="B368" s="65" t="s">
        <v>11210</v>
      </c>
      <c r="C368" s="71" t="s">
        <v>103</v>
      </c>
      <c r="D368" s="78">
        <v>1</v>
      </c>
      <c r="E368" s="79">
        <v>55.83</v>
      </c>
      <c r="F368" s="70">
        <v>55.83</v>
      </c>
      <c r="G368" s="320"/>
      <c r="H368" s="79">
        <v>0</v>
      </c>
      <c r="I368" s="79">
        <v>55.83</v>
      </c>
      <c r="J368" s="79">
        <v>55.83</v>
      </c>
      <c r="K368" s="79">
        <v>0</v>
      </c>
      <c r="L368" s="70">
        <v>55.83</v>
      </c>
      <c r="M368" s="132"/>
      <c r="N368" s="79"/>
      <c r="O368" s="79">
        <v>55.83</v>
      </c>
      <c r="P368" s="79">
        <v>55.83</v>
      </c>
      <c r="Q368" s="136"/>
      <c r="R368" s="79"/>
      <c r="S368" s="79">
        <v>55.83</v>
      </c>
      <c r="T368" s="79">
        <v>55.83</v>
      </c>
      <c r="U368" s="79">
        <v>0</v>
      </c>
      <c r="V368" s="189">
        <v>55.83</v>
      </c>
      <c r="X368" s="79"/>
      <c r="Y368" s="79">
        <v>55.83</v>
      </c>
      <c r="Z368" s="79">
        <v>55.83</v>
      </c>
      <c r="AA368" s="255">
        <v>0</v>
      </c>
      <c r="AC368" s="254"/>
    </row>
    <row r="369" spans="1:29" ht="12">
      <c r="A369" s="67" t="s">
        <v>11211</v>
      </c>
      <c r="B369" s="65" t="s">
        <v>11212</v>
      </c>
      <c r="C369" s="71" t="s">
        <v>103</v>
      </c>
      <c r="D369" s="78">
        <v>1</v>
      </c>
      <c r="E369" s="79">
        <v>27.939999999999998</v>
      </c>
      <c r="F369" s="70">
        <v>27.94</v>
      </c>
      <c r="G369" s="320"/>
      <c r="H369" s="79">
        <v>0</v>
      </c>
      <c r="I369" s="79">
        <v>27.939999999999998</v>
      </c>
      <c r="J369" s="79">
        <v>27.939999999999998</v>
      </c>
      <c r="K369" s="79">
        <v>0</v>
      </c>
      <c r="L369" s="70">
        <v>27.939999999999998</v>
      </c>
      <c r="M369" s="132"/>
      <c r="N369" s="79"/>
      <c r="O369" s="79">
        <v>27.939999999999998</v>
      </c>
      <c r="P369" s="79">
        <v>27.939999999999998</v>
      </c>
      <c r="Q369" s="136"/>
      <c r="R369" s="79"/>
      <c r="S369" s="79">
        <v>27.92</v>
      </c>
      <c r="T369" s="79">
        <v>27.92</v>
      </c>
      <c r="U369" s="79">
        <v>0</v>
      </c>
      <c r="V369" s="189">
        <v>27.92</v>
      </c>
      <c r="X369" s="79"/>
      <c r="Y369" s="79">
        <v>27.92</v>
      </c>
      <c r="Z369" s="79">
        <v>27.92</v>
      </c>
      <c r="AA369" s="255">
        <v>1.9999999999999574E-2</v>
      </c>
      <c r="AC369" s="254"/>
    </row>
    <row r="370" spans="1:29" ht="12">
      <c r="A370" s="67" t="s">
        <v>11213</v>
      </c>
      <c r="B370" s="65" t="s">
        <v>11214</v>
      </c>
      <c r="C370" s="71" t="s">
        <v>103</v>
      </c>
      <c r="D370" s="78">
        <v>1</v>
      </c>
      <c r="E370" s="79">
        <v>25.130000000000003</v>
      </c>
      <c r="F370" s="70">
        <v>25.13</v>
      </c>
      <c r="G370" s="320"/>
      <c r="H370" s="79">
        <v>0</v>
      </c>
      <c r="I370" s="79">
        <v>25.130000000000003</v>
      </c>
      <c r="J370" s="79">
        <v>25.130000000000003</v>
      </c>
      <c r="K370" s="79">
        <v>0</v>
      </c>
      <c r="L370" s="70">
        <v>25.130000000000003</v>
      </c>
      <c r="M370" s="132"/>
      <c r="N370" s="79"/>
      <c r="O370" s="79">
        <v>25.130000000000003</v>
      </c>
      <c r="P370" s="79">
        <v>25.130000000000003</v>
      </c>
      <c r="Q370" s="136"/>
      <c r="R370" s="79"/>
      <c r="S370" s="79">
        <v>25.12</v>
      </c>
      <c r="T370" s="79">
        <v>25.12</v>
      </c>
      <c r="U370" s="79">
        <v>0</v>
      </c>
      <c r="V370" s="189">
        <v>25.12</v>
      </c>
      <c r="X370" s="79"/>
      <c r="Y370" s="79">
        <v>25.12</v>
      </c>
      <c r="Z370" s="79">
        <v>25.12</v>
      </c>
      <c r="AA370" s="255">
        <v>9.9999999999980105E-3</v>
      </c>
      <c r="AC370" s="254"/>
    </row>
    <row r="371" spans="1:29" ht="12">
      <c r="A371" s="67" t="s">
        <v>11215</v>
      </c>
      <c r="B371" s="65" t="s">
        <v>11216</v>
      </c>
      <c r="C371" s="71" t="s">
        <v>103</v>
      </c>
      <c r="D371" s="78">
        <v>1</v>
      </c>
      <c r="E371" s="79">
        <v>22.32</v>
      </c>
      <c r="F371" s="70">
        <v>22.32</v>
      </c>
      <c r="G371" s="320"/>
      <c r="H371" s="79">
        <v>0</v>
      </c>
      <c r="I371" s="79">
        <v>22.32</v>
      </c>
      <c r="J371" s="79">
        <v>22.32</v>
      </c>
      <c r="K371" s="79">
        <v>0</v>
      </c>
      <c r="L371" s="70">
        <v>22.32</v>
      </c>
      <c r="M371" s="132"/>
      <c r="N371" s="79"/>
      <c r="O371" s="79">
        <v>22.32</v>
      </c>
      <c r="P371" s="79">
        <v>22.32</v>
      </c>
      <c r="Q371" s="136"/>
      <c r="R371" s="79"/>
      <c r="S371" s="79">
        <v>22.33</v>
      </c>
      <c r="T371" s="79">
        <v>22.33</v>
      </c>
      <c r="U371" s="79">
        <v>0</v>
      </c>
      <c r="V371" s="189">
        <v>22.33</v>
      </c>
      <c r="X371" s="79"/>
      <c r="Y371" s="79">
        <v>22.33</v>
      </c>
      <c r="Z371" s="79">
        <v>22.33</v>
      </c>
      <c r="AA371" s="255">
        <v>-9.9999999999980105E-3</v>
      </c>
      <c r="AC371" s="254"/>
    </row>
    <row r="372" spans="1:29" ht="12">
      <c r="A372" s="67" t="s">
        <v>11217</v>
      </c>
      <c r="B372" s="65" t="s">
        <v>11218</v>
      </c>
      <c r="C372" s="71" t="s">
        <v>103</v>
      </c>
      <c r="D372" s="78">
        <v>1</v>
      </c>
      <c r="E372" s="79">
        <v>22.32</v>
      </c>
      <c r="F372" s="70">
        <v>22.32</v>
      </c>
      <c r="G372" s="320"/>
      <c r="H372" s="79">
        <v>0</v>
      </c>
      <c r="I372" s="79">
        <v>22.32</v>
      </c>
      <c r="J372" s="79">
        <v>22.32</v>
      </c>
      <c r="K372" s="79">
        <v>0</v>
      </c>
      <c r="L372" s="70">
        <v>22.32</v>
      </c>
      <c r="M372" s="132"/>
      <c r="N372" s="79"/>
      <c r="O372" s="79">
        <v>22.32</v>
      </c>
      <c r="P372" s="79">
        <v>22.32</v>
      </c>
      <c r="Q372" s="136"/>
      <c r="R372" s="79"/>
      <c r="S372" s="79">
        <v>22.33</v>
      </c>
      <c r="T372" s="79">
        <v>22.33</v>
      </c>
      <c r="U372" s="79">
        <v>0</v>
      </c>
      <c r="V372" s="189">
        <v>22.33</v>
      </c>
      <c r="X372" s="79"/>
      <c r="Y372" s="79">
        <v>22.33</v>
      </c>
      <c r="Z372" s="79">
        <v>22.33</v>
      </c>
      <c r="AA372" s="255">
        <v>-9.9999999999980105E-3</v>
      </c>
      <c r="AC372" s="254"/>
    </row>
    <row r="373" spans="1:29" ht="12">
      <c r="A373" s="67" t="s">
        <v>11219</v>
      </c>
      <c r="B373" s="65" t="s">
        <v>11220</v>
      </c>
      <c r="C373" s="71" t="s">
        <v>103</v>
      </c>
      <c r="D373" s="78">
        <v>1</v>
      </c>
      <c r="E373" s="79">
        <v>16.75</v>
      </c>
      <c r="F373" s="70">
        <v>16.75</v>
      </c>
      <c r="G373" s="320"/>
      <c r="H373" s="79">
        <v>0</v>
      </c>
      <c r="I373" s="79">
        <v>16.75</v>
      </c>
      <c r="J373" s="79">
        <v>16.75</v>
      </c>
      <c r="K373" s="79">
        <v>0</v>
      </c>
      <c r="L373" s="70">
        <v>16.75</v>
      </c>
      <c r="M373" s="132"/>
      <c r="N373" s="79"/>
      <c r="O373" s="79">
        <v>16.75</v>
      </c>
      <c r="P373" s="79">
        <v>16.75</v>
      </c>
      <c r="Q373" s="136"/>
      <c r="R373" s="79"/>
      <c r="S373" s="79">
        <v>16.75</v>
      </c>
      <c r="T373" s="79">
        <v>16.75</v>
      </c>
      <c r="U373" s="79">
        <v>0</v>
      </c>
      <c r="V373" s="189">
        <v>16.75</v>
      </c>
      <c r="X373" s="79"/>
      <c r="Y373" s="79">
        <v>16.75</v>
      </c>
      <c r="Z373" s="79">
        <v>16.75</v>
      </c>
      <c r="AA373" s="255">
        <v>0</v>
      </c>
      <c r="AC373" s="254"/>
    </row>
    <row r="374" spans="1:29" ht="12">
      <c r="A374" s="489" t="s">
        <v>11221</v>
      </c>
      <c r="B374" s="490" t="s">
        <v>11222</v>
      </c>
      <c r="C374" s="491"/>
      <c r="D374" s="492"/>
      <c r="E374" s="79"/>
      <c r="F374" s="63"/>
      <c r="G374" s="320"/>
      <c r="H374" s="79"/>
      <c r="I374" s="79"/>
      <c r="J374" s="79"/>
      <c r="K374" s="79"/>
      <c r="L374" s="70"/>
      <c r="M374" s="132"/>
      <c r="N374" s="79"/>
      <c r="O374" s="79"/>
      <c r="P374" s="79"/>
      <c r="Q374" s="136"/>
      <c r="R374" s="79"/>
      <c r="S374" s="79"/>
      <c r="T374" s="79"/>
      <c r="U374" s="79"/>
      <c r="V374" s="189"/>
      <c r="X374" s="79"/>
      <c r="Y374" s="79"/>
      <c r="Z374" s="79"/>
      <c r="AA374" s="255"/>
      <c r="AC374" s="254"/>
    </row>
    <row r="375" spans="1:29" ht="12">
      <c r="A375" s="67" t="s">
        <v>11223</v>
      </c>
      <c r="B375" s="65" t="s">
        <v>11224</v>
      </c>
      <c r="C375" s="71" t="s">
        <v>103</v>
      </c>
      <c r="D375" s="78">
        <v>1</v>
      </c>
      <c r="E375" s="79">
        <v>13.969999999999999</v>
      </c>
      <c r="F375" s="70">
        <v>13.97</v>
      </c>
      <c r="G375" s="320"/>
      <c r="H375" s="79">
        <v>0</v>
      </c>
      <c r="I375" s="79">
        <v>13.969999999999999</v>
      </c>
      <c r="J375" s="79">
        <v>13.969999999999999</v>
      </c>
      <c r="K375" s="79">
        <v>0</v>
      </c>
      <c r="L375" s="70">
        <v>13.969999999999999</v>
      </c>
      <c r="M375" s="132"/>
      <c r="N375" s="79"/>
      <c r="O375" s="79">
        <v>13.969999999999999</v>
      </c>
      <c r="P375" s="79">
        <v>13.969999999999999</v>
      </c>
      <c r="Q375" s="136"/>
      <c r="R375" s="79"/>
      <c r="S375" s="79">
        <v>13.96</v>
      </c>
      <c r="T375" s="79">
        <v>13.96</v>
      </c>
      <c r="U375" s="79">
        <v>0</v>
      </c>
      <c r="V375" s="189">
        <v>13.96</v>
      </c>
      <c r="X375" s="79"/>
      <c r="Y375" s="79">
        <v>13.96</v>
      </c>
      <c r="Z375" s="79">
        <v>13.96</v>
      </c>
      <c r="AA375" s="255">
        <v>9.9999999999997868E-3</v>
      </c>
      <c r="AC375" s="254"/>
    </row>
    <row r="376" spans="1:29" ht="12">
      <c r="A376" s="67" t="s">
        <v>11225</v>
      </c>
      <c r="B376" s="65" t="s">
        <v>11226</v>
      </c>
      <c r="C376" s="71" t="s">
        <v>165</v>
      </c>
      <c r="D376" s="78">
        <v>1</v>
      </c>
      <c r="E376" s="79">
        <v>19.54</v>
      </c>
      <c r="F376" s="70">
        <v>19.54</v>
      </c>
      <c r="G376" s="320"/>
      <c r="H376" s="79">
        <v>0</v>
      </c>
      <c r="I376" s="79">
        <v>19.54</v>
      </c>
      <c r="J376" s="79">
        <v>19.54</v>
      </c>
      <c r="K376" s="79">
        <v>0</v>
      </c>
      <c r="L376" s="70">
        <v>19.54</v>
      </c>
      <c r="M376" s="132"/>
      <c r="N376" s="79"/>
      <c r="O376" s="79">
        <v>19.54</v>
      </c>
      <c r="P376" s="79">
        <v>19.54</v>
      </c>
      <c r="Q376" s="136"/>
      <c r="R376" s="79"/>
      <c r="S376" s="79">
        <v>19.54</v>
      </c>
      <c r="T376" s="79">
        <v>19.54</v>
      </c>
      <c r="U376" s="79">
        <v>0</v>
      </c>
      <c r="V376" s="189">
        <v>19.54</v>
      </c>
      <c r="X376" s="79"/>
      <c r="Y376" s="79">
        <v>19.54</v>
      </c>
      <c r="Z376" s="79">
        <v>19.54</v>
      </c>
      <c r="AA376" s="255">
        <v>0</v>
      </c>
      <c r="AC376" s="254"/>
    </row>
    <row r="377" spans="1:29" ht="12">
      <c r="A377" s="67" t="s">
        <v>11227</v>
      </c>
      <c r="B377" s="65" t="s">
        <v>11228</v>
      </c>
      <c r="C377" s="71" t="s">
        <v>103</v>
      </c>
      <c r="D377" s="78">
        <v>1</v>
      </c>
      <c r="E377" s="79">
        <v>279.13</v>
      </c>
      <c r="F377" s="70">
        <v>279.13</v>
      </c>
      <c r="G377" s="320"/>
      <c r="H377" s="79">
        <v>0</v>
      </c>
      <c r="I377" s="79">
        <v>279.13</v>
      </c>
      <c r="J377" s="79">
        <v>279.13</v>
      </c>
      <c r="K377" s="79">
        <v>0</v>
      </c>
      <c r="L377" s="70">
        <v>279.13</v>
      </c>
      <c r="M377" s="132"/>
      <c r="N377" s="79"/>
      <c r="O377" s="79">
        <v>279.13</v>
      </c>
      <c r="P377" s="79">
        <v>279.13</v>
      </c>
      <c r="Q377" s="136"/>
      <c r="R377" s="79"/>
      <c r="S377" s="79">
        <v>279.14999999999998</v>
      </c>
      <c r="T377" s="79">
        <v>279.14999999999998</v>
      </c>
      <c r="U377" s="79">
        <v>0</v>
      </c>
      <c r="V377" s="189">
        <v>279.14999999999998</v>
      </c>
      <c r="X377" s="79"/>
      <c r="Y377" s="79">
        <v>279.14999999999998</v>
      </c>
      <c r="Z377" s="79">
        <v>279.14999999999998</v>
      </c>
      <c r="AA377" s="255">
        <v>-1.999999999998181E-2</v>
      </c>
      <c r="AC377" s="254"/>
    </row>
    <row r="378" spans="1:29" ht="12">
      <c r="A378" s="67" t="s">
        <v>11229</v>
      </c>
      <c r="B378" s="65" t="s">
        <v>11230</v>
      </c>
      <c r="C378" s="71" t="s">
        <v>103</v>
      </c>
      <c r="D378" s="78">
        <v>1</v>
      </c>
      <c r="E378" s="79">
        <v>223.3</v>
      </c>
      <c r="F378" s="70">
        <v>223.3</v>
      </c>
      <c r="G378" s="320"/>
      <c r="H378" s="79">
        <v>0</v>
      </c>
      <c r="I378" s="79">
        <v>223.3</v>
      </c>
      <c r="J378" s="79">
        <v>223.3</v>
      </c>
      <c r="K378" s="79">
        <v>0</v>
      </c>
      <c r="L378" s="70">
        <v>223.3</v>
      </c>
      <c r="M378" s="132"/>
      <c r="N378" s="79"/>
      <c r="O378" s="79">
        <v>223.3</v>
      </c>
      <c r="P378" s="79">
        <v>223.3</v>
      </c>
      <c r="Q378" s="136"/>
      <c r="R378" s="79"/>
      <c r="S378" s="79">
        <v>223.32</v>
      </c>
      <c r="T378" s="79">
        <v>223.32</v>
      </c>
      <c r="U378" s="79">
        <v>0</v>
      </c>
      <c r="V378" s="189">
        <v>223.32</v>
      </c>
      <c r="X378" s="79"/>
      <c r="Y378" s="79">
        <v>223.32</v>
      </c>
      <c r="Z378" s="79">
        <v>223.32</v>
      </c>
      <c r="AA378" s="255">
        <v>-1.999999999998181E-2</v>
      </c>
      <c r="AC378" s="254"/>
    </row>
    <row r="379" spans="1:29" ht="12">
      <c r="A379" s="67" t="s">
        <v>11231</v>
      </c>
      <c r="B379" s="65" t="s">
        <v>11232</v>
      </c>
      <c r="C379" s="71" t="s">
        <v>103</v>
      </c>
      <c r="D379" s="78">
        <v>1</v>
      </c>
      <c r="E379" s="79">
        <v>111.65</v>
      </c>
      <c r="F379" s="70">
        <v>111.65</v>
      </c>
      <c r="G379" s="320"/>
      <c r="H379" s="79">
        <v>0</v>
      </c>
      <c r="I379" s="79">
        <v>111.65</v>
      </c>
      <c r="J379" s="79">
        <v>111.65</v>
      </c>
      <c r="K379" s="79">
        <v>0</v>
      </c>
      <c r="L379" s="70">
        <v>111.65</v>
      </c>
      <c r="M379" s="132"/>
      <c r="N379" s="79"/>
      <c r="O379" s="79">
        <v>111.65</v>
      </c>
      <c r="P379" s="79">
        <v>111.65</v>
      </c>
      <c r="Q379" s="136"/>
      <c r="R379" s="79"/>
      <c r="S379" s="79">
        <v>111.66</v>
      </c>
      <c r="T379" s="79">
        <v>111.66</v>
      </c>
      <c r="U379" s="79">
        <v>0</v>
      </c>
      <c r="V379" s="189">
        <v>111.66</v>
      </c>
      <c r="X379" s="79"/>
      <c r="Y379" s="79">
        <v>111.66</v>
      </c>
      <c r="Z379" s="79">
        <v>111.66</v>
      </c>
      <c r="AA379" s="255">
        <v>-9.9999999999909051E-3</v>
      </c>
      <c r="AC379" s="254"/>
    </row>
    <row r="380" spans="1:29" ht="12">
      <c r="A380" s="67" t="s">
        <v>11233</v>
      </c>
      <c r="B380" s="65" t="s">
        <v>11234</v>
      </c>
      <c r="C380" s="71" t="s">
        <v>103</v>
      </c>
      <c r="D380" s="78">
        <v>1</v>
      </c>
      <c r="E380" s="79">
        <v>61.989999999999995</v>
      </c>
      <c r="F380" s="70">
        <v>61.99</v>
      </c>
      <c r="G380" s="320"/>
      <c r="H380" s="79">
        <v>0</v>
      </c>
      <c r="I380" s="79">
        <v>61.989999999999995</v>
      </c>
      <c r="J380" s="79">
        <v>61.989999999999995</v>
      </c>
      <c r="K380" s="79">
        <v>0</v>
      </c>
      <c r="L380" s="70">
        <v>61.989999999999995</v>
      </c>
      <c r="M380" s="132"/>
      <c r="N380" s="79"/>
      <c r="O380" s="79">
        <v>61.989999999999995</v>
      </c>
      <c r="P380" s="79">
        <v>61.989999999999995</v>
      </c>
      <c r="Q380" s="136"/>
      <c r="R380" s="79"/>
      <c r="S380" s="79">
        <v>61.98</v>
      </c>
      <c r="T380" s="79">
        <v>61.98</v>
      </c>
      <c r="U380" s="79">
        <v>0</v>
      </c>
      <c r="V380" s="189">
        <v>61.98</v>
      </c>
      <c r="X380" s="79"/>
      <c r="Y380" s="79">
        <v>61.98</v>
      </c>
      <c r="Z380" s="79">
        <v>61.98</v>
      </c>
      <c r="AA380" s="255">
        <v>1.0000000000005116E-2</v>
      </c>
      <c r="AC380" s="254"/>
    </row>
    <row r="381" spans="1:29" ht="12">
      <c r="A381" s="67" t="s">
        <v>11235</v>
      </c>
      <c r="B381" s="65" t="s">
        <v>11236</v>
      </c>
      <c r="C381" s="71" t="s">
        <v>103</v>
      </c>
      <c r="D381" s="78">
        <v>1</v>
      </c>
      <c r="E381" s="79">
        <v>8.2800000000000011</v>
      </c>
      <c r="F381" s="70">
        <v>8.2799999999999994</v>
      </c>
      <c r="G381" s="320"/>
      <c r="H381" s="79">
        <v>0</v>
      </c>
      <c r="I381" s="79">
        <v>8.2800000000000011</v>
      </c>
      <c r="J381" s="79">
        <v>8.2800000000000011</v>
      </c>
      <c r="K381" s="79">
        <v>0</v>
      </c>
      <c r="L381" s="70">
        <v>8.2800000000000011</v>
      </c>
      <c r="M381" s="132"/>
      <c r="N381" s="79"/>
      <c r="O381" s="79">
        <v>8.2800000000000011</v>
      </c>
      <c r="P381" s="79">
        <v>8.2800000000000011</v>
      </c>
      <c r="Q381" s="136"/>
      <c r="R381" s="79"/>
      <c r="S381" s="79">
        <v>8.2799999999999994</v>
      </c>
      <c r="T381" s="79">
        <v>8.2799999999999994</v>
      </c>
      <c r="U381" s="79">
        <v>0</v>
      </c>
      <c r="V381" s="189">
        <v>8.2799999999999994</v>
      </c>
      <c r="X381" s="79"/>
      <c r="Y381" s="79">
        <v>8.2799999999999994</v>
      </c>
      <c r="Z381" s="79">
        <v>8.2799999999999994</v>
      </c>
      <c r="AA381" s="255">
        <v>0</v>
      </c>
      <c r="AC381" s="254"/>
    </row>
    <row r="382" spans="1:29" ht="12">
      <c r="A382" s="67" t="s">
        <v>11237</v>
      </c>
      <c r="B382" s="65" t="s">
        <v>11238</v>
      </c>
      <c r="C382" s="71" t="s">
        <v>103</v>
      </c>
      <c r="D382" s="78">
        <v>1</v>
      </c>
      <c r="E382" s="79">
        <v>9.93</v>
      </c>
      <c r="F382" s="70">
        <v>9.93</v>
      </c>
      <c r="G382" s="320"/>
      <c r="H382" s="79">
        <v>0</v>
      </c>
      <c r="I382" s="79">
        <v>9.93</v>
      </c>
      <c r="J382" s="79">
        <v>9.93</v>
      </c>
      <c r="K382" s="79">
        <v>0</v>
      </c>
      <c r="L382" s="70">
        <v>9.93</v>
      </c>
      <c r="M382" s="132"/>
      <c r="N382" s="79"/>
      <c r="O382" s="79">
        <v>9.93</v>
      </c>
      <c r="P382" s="79">
        <v>9.93</v>
      </c>
      <c r="Q382" s="136"/>
      <c r="R382" s="79"/>
      <c r="S382" s="79">
        <v>9.94</v>
      </c>
      <c r="T382" s="79">
        <v>9.94</v>
      </c>
      <c r="U382" s="79">
        <v>0</v>
      </c>
      <c r="V382" s="189">
        <v>9.94</v>
      </c>
      <c r="X382" s="79"/>
      <c r="Y382" s="79">
        <v>9.94</v>
      </c>
      <c r="Z382" s="79">
        <v>9.94</v>
      </c>
      <c r="AA382" s="255">
        <v>-9.9999999999997868E-3</v>
      </c>
      <c r="AC382" s="254"/>
    </row>
    <row r="383" spans="1:29" ht="12">
      <c r="A383" s="67" t="s">
        <v>11239</v>
      </c>
      <c r="B383" s="65" t="s">
        <v>11240</v>
      </c>
      <c r="C383" s="71" t="s">
        <v>103</v>
      </c>
      <c r="D383" s="78">
        <v>1</v>
      </c>
      <c r="E383" s="79">
        <v>61.989999999999995</v>
      </c>
      <c r="F383" s="70">
        <v>61.99</v>
      </c>
      <c r="G383" s="320"/>
      <c r="H383" s="79">
        <v>0</v>
      </c>
      <c r="I383" s="79">
        <v>61.989999999999995</v>
      </c>
      <c r="J383" s="79">
        <v>61.989999999999995</v>
      </c>
      <c r="K383" s="79">
        <v>0</v>
      </c>
      <c r="L383" s="70">
        <v>61.989999999999995</v>
      </c>
      <c r="M383" s="132"/>
      <c r="N383" s="79"/>
      <c r="O383" s="79">
        <v>61.989999999999995</v>
      </c>
      <c r="P383" s="79">
        <v>61.989999999999995</v>
      </c>
      <c r="Q383" s="136"/>
      <c r="R383" s="79"/>
      <c r="S383" s="79">
        <v>61.98</v>
      </c>
      <c r="T383" s="79">
        <v>61.98</v>
      </c>
      <c r="U383" s="79">
        <v>0</v>
      </c>
      <c r="V383" s="189">
        <v>61.98</v>
      </c>
      <c r="X383" s="79"/>
      <c r="Y383" s="79">
        <v>61.98</v>
      </c>
      <c r="Z383" s="79">
        <v>61.98</v>
      </c>
      <c r="AA383" s="255">
        <v>1.0000000000005116E-2</v>
      </c>
      <c r="AC383" s="254"/>
    </row>
    <row r="384" spans="1:29" ht="12">
      <c r="A384" s="67" t="s">
        <v>11241</v>
      </c>
      <c r="B384" s="65" t="s">
        <v>11242</v>
      </c>
      <c r="C384" s="71" t="s">
        <v>165</v>
      </c>
      <c r="D384" s="78">
        <v>1</v>
      </c>
      <c r="E384" s="79">
        <v>13.969999999999999</v>
      </c>
      <c r="F384" s="70">
        <v>13.97</v>
      </c>
      <c r="G384" s="320"/>
      <c r="H384" s="79">
        <v>0</v>
      </c>
      <c r="I384" s="79">
        <v>13.969999999999999</v>
      </c>
      <c r="J384" s="79">
        <v>13.969999999999999</v>
      </c>
      <c r="K384" s="79">
        <v>0</v>
      </c>
      <c r="L384" s="70">
        <v>13.969999999999999</v>
      </c>
      <c r="M384" s="132"/>
      <c r="N384" s="79"/>
      <c r="O384" s="79">
        <v>13.969999999999999</v>
      </c>
      <c r="P384" s="79">
        <v>13.969999999999999</v>
      </c>
      <c r="Q384" s="136"/>
      <c r="R384" s="79"/>
      <c r="S384" s="79">
        <v>13.96</v>
      </c>
      <c r="T384" s="79">
        <v>13.96</v>
      </c>
      <c r="U384" s="79">
        <v>0</v>
      </c>
      <c r="V384" s="189">
        <v>13.96</v>
      </c>
      <c r="X384" s="79"/>
      <c r="Y384" s="79">
        <v>13.96</v>
      </c>
      <c r="Z384" s="79">
        <v>13.96</v>
      </c>
      <c r="AA384" s="255">
        <v>9.9999999999997868E-3</v>
      </c>
      <c r="AC384" s="254"/>
    </row>
    <row r="385" spans="1:29" ht="12">
      <c r="A385" s="67" t="s">
        <v>11243</v>
      </c>
      <c r="B385" s="65" t="s">
        <v>11244</v>
      </c>
      <c r="C385" s="71" t="s">
        <v>103</v>
      </c>
      <c r="D385" s="78">
        <v>1</v>
      </c>
      <c r="E385" s="79">
        <v>27.939999999999998</v>
      </c>
      <c r="F385" s="70">
        <v>27.94</v>
      </c>
      <c r="G385" s="320"/>
      <c r="H385" s="79">
        <v>0</v>
      </c>
      <c r="I385" s="79">
        <v>27.939999999999998</v>
      </c>
      <c r="J385" s="79">
        <v>27.939999999999998</v>
      </c>
      <c r="K385" s="79">
        <v>0</v>
      </c>
      <c r="L385" s="70">
        <v>27.939999999999998</v>
      </c>
      <c r="M385" s="132"/>
      <c r="N385" s="79"/>
      <c r="O385" s="79">
        <v>27.939999999999998</v>
      </c>
      <c r="P385" s="79">
        <v>27.939999999999998</v>
      </c>
      <c r="Q385" s="136"/>
      <c r="R385" s="79"/>
      <c r="S385" s="79">
        <v>27.92</v>
      </c>
      <c r="T385" s="79">
        <v>27.92</v>
      </c>
      <c r="U385" s="79">
        <v>0</v>
      </c>
      <c r="V385" s="189">
        <v>27.92</v>
      </c>
      <c r="X385" s="79"/>
      <c r="Y385" s="79">
        <v>27.92</v>
      </c>
      <c r="Z385" s="79">
        <v>27.92</v>
      </c>
      <c r="AA385" s="255">
        <v>1.9999999999999574E-2</v>
      </c>
      <c r="AC385" s="254"/>
    </row>
    <row r="386" spans="1:29" ht="12">
      <c r="A386" s="67" t="s">
        <v>11245</v>
      </c>
      <c r="B386" s="65" t="s">
        <v>11246</v>
      </c>
      <c r="C386" s="71" t="s">
        <v>103</v>
      </c>
      <c r="D386" s="78">
        <v>1</v>
      </c>
      <c r="E386" s="79">
        <v>22.32</v>
      </c>
      <c r="F386" s="70">
        <v>22.32</v>
      </c>
      <c r="G386" s="320"/>
      <c r="H386" s="79">
        <v>0</v>
      </c>
      <c r="I386" s="79">
        <v>22.32</v>
      </c>
      <c r="J386" s="79">
        <v>22.32</v>
      </c>
      <c r="K386" s="79">
        <v>0</v>
      </c>
      <c r="L386" s="70">
        <v>22.32</v>
      </c>
      <c r="M386" s="132"/>
      <c r="N386" s="79"/>
      <c r="O386" s="79">
        <v>22.32</v>
      </c>
      <c r="P386" s="79">
        <v>22.32</v>
      </c>
      <c r="Q386" s="136"/>
      <c r="R386" s="79"/>
      <c r="S386" s="79">
        <v>22.33</v>
      </c>
      <c r="T386" s="79">
        <v>22.33</v>
      </c>
      <c r="U386" s="79">
        <v>0</v>
      </c>
      <c r="V386" s="189">
        <v>22.33</v>
      </c>
      <c r="X386" s="79"/>
      <c r="Y386" s="79">
        <v>22.33</v>
      </c>
      <c r="Z386" s="79">
        <v>22.33</v>
      </c>
      <c r="AA386" s="255">
        <v>-9.9999999999980105E-3</v>
      </c>
      <c r="AC386" s="254"/>
    </row>
    <row r="387" spans="1:29" ht="12">
      <c r="A387" s="67" t="s">
        <v>11247</v>
      </c>
      <c r="B387" s="65" t="s">
        <v>11248</v>
      </c>
      <c r="C387" s="71" t="s">
        <v>103</v>
      </c>
      <c r="D387" s="78">
        <v>1</v>
      </c>
      <c r="E387" s="79">
        <v>33.5</v>
      </c>
      <c r="F387" s="70">
        <v>33.5</v>
      </c>
      <c r="G387" s="320"/>
      <c r="H387" s="79">
        <v>0</v>
      </c>
      <c r="I387" s="79">
        <v>33.5</v>
      </c>
      <c r="J387" s="79">
        <v>33.5</v>
      </c>
      <c r="K387" s="79">
        <v>0</v>
      </c>
      <c r="L387" s="70">
        <v>33.5</v>
      </c>
      <c r="M387" s="132"/>
      <c r="N387" s="79"/>
      <c r="O387" s="79">
        <v>33.5</v>
      </c>
      <c r="P387" s="79">
        <v>33.5</v>
      </c>
      <c r="Q387" s="136"/>
      <c r="R387" s="79"/>
      <c r="S387" s="79">
        <v>33.5</v>
      </c>
      <c r="T387" s="79">
        <v>33.5</v>
      </c>
      <c r="U387" s="79">
        <v>0</v>
      </c>
      <c r="V387" s="189">
        <v>33.5</v>
      </c>
      <c r="X387" s="79"/>
      <c r="Y387" s="79">
        <v>33.5</v>
      </c>
      <c r="Z387" s="79">
        <v>33.5</v>
      </c>
      <c r="AA387" s="255">
        <v>0</v>
      </c>
      <c r="AC387" s="254"/>
    </row>
    <row r="388" spans="1:29" ht="12">
      <c r="A388" s="67" t="s">
        <v>11249</v>
      </c>
      <c r="B388" s="65" t="s">
        <v>11250</v>
      </c>
      <c r="C388" s="71" t="s">
        <v>103</v>
      </c>
      <c r="D388" s="78">
        <v>1</v>
      </c>
      <c r="E388" s="79">
        <v>27.939999999999998</v>
      </c>
      <c r="F388" s="70">
        <v>27.94</v>
      </c>
      <c r="G388" s="320"/>
      <c r="H388" s="79">
        <v>0</v>
      </c>
      <c r="I388" s="79">
        <v>27.939999999999998</v>
      </c>
      <c r="J388" s="79">
        <v>27.939999999999998</v>
      </c>
      <c r="K388" s="79">
        <v>0</v>
      </c>
      <c r="L388" s="70">
        <v>27.939999999999998</v>
      </c>
      <c r="M388" s="132"/>
      <c r="N388" s="79"/>
      <c r="O388" s="79">
        <v>27.939999999999998</v>
      </c>
      <c r="P388" s="79">
        <v>27.939999999999998</v>
      </c>
      <c r="Q388" s="136"/>
      <c r="R388" s="79"/>
      <c r="S388" s="79">
        <v>27.92</v>
      </c>
      <c r="T388" s="79">
        <v>27.92</v>
      </c>
      <c r="U388" s="79">
        <v>0</v>
      </c>
      <c r="V388" s="189">
        <v>27.92</v>
      </c>
      <c r="X388" s="79"/>
      <c r="Y388" s="79">
        <v>27.92</v>
      </c>
      <c r="Z388" s="79">
        <v>27.92</v>
      </c>
      <c r="AA388" s="255">
        <v>1.9999999999999574E-2</v>
      </c>
      <c r="AC388" s="254"/>
    </row>
    <row r="389" spans="1:29" ht="12">
      <c r="A389" s="67" t="s">
        <v>11251</v>
      </c>
      <c r="B389" s="65" t="s">
        <v>11252</v>
      </c>
      <c r="C389" s="71" t="s">
        <v>103</v>
      </c>
      <c r="D389" s="78">
        <v>1</v>
      </c>
      <c r="E389" s="79">
        <v>55.83</v>
      </c>
      <c r="F389" s="70">
        <v>55.83</v>
      </c>
      <c r="G389" s="320"/>
      <c r="H389" s="79">
        <v>0</v>
      </c>
      <c r="I389" s="79">
        <v>55.83</v>
      </c>
      <c r="J389" s="79">
        <v>55.83</v>
      </c>
      <c r="K389" s="79">
        <v>0</v>
      </c>
      <c r="L389" s="70">
        <v>55.83</v>
      </c>
      <c r="M389" s="132"/>
      <c r="N389" s="79"/>
      <c r="O389" s="79">
        <v>55.83</v>
      </c>
      <c r="P389" s="79">
        <v>55.83</v>
      </c>
      <c r="Q389" s="136"/>
      <c r="R389" s="79"/>
      <c r="S389" s="79">
        <v>55.83</v>
      </c>
      <c r="T389" s="79">
        <v>55.83</v>
      </c>
      <c r="U389" s="79">
        <v>0</v>
      </c>
      <c r="V389" s="189">
        <v>55.83</v>
      </c>
      <c r="X389" s="79"/>
      <c r="Y389" s="79">
        <v>55.83</v>
      </c>
      <c r="Z389" s="79">
        <v>55.83</v>
      </c>
      <c r="AA389" s="255">
        <v>0</v>
      </c>
      <c r="AC389" s="254"/>
    </row>
    <row r="390" spans="1:29" ht="12">
      <c r="A390" s="67" t="s">
        <v>11253</v>
      </c>
      <c r="B390" s="65" t="s">
        <v>11254</v>
      </c>
      <c r="C390" s="71" t="s">
        <v>103</v>
      </c>
      <c r="D390" s="78">
        <v>1</v>
      </c>
      <c r="E390" s="79">
        <v>83.76</v>
      </c>
      <c r="F390" s="70">
        <v>83.76</v>
      </c>
      <c r="G390" s="320"/>
      <c r="H390" s="79">
        <v>0</v>
      </c>
      <c r="I390" s="79">
        <v>83.76</v>
      </c>
      <c r="J390" s="79">
        <v>83.76</v>
      </c>
      <c r="K390" s="79">
        <v>0</v>
      </c>
      <c r="L390" s="70">
        <v>83.76</v>
      </c>
      <c r="M390" s="132"/>
      <c r="N390" s="79"/>
      <c r="O390" s="79">
        <v>83.76</v>
      </c>
      <c r="P390" s="79">
        <v>83.76</v>
      </c>
      <c r="Q390" s="136"/>
      <c r="R390" s="79"/>
      <c r="S390" s="79">
        <v>83.75</v>
      </c>
      <c r="T390" s="79">
        <v>83.75</v>
      </c>
      <c r="U390" s="79">
        <v>0</v>
      </c>
      <c r="V390" s="189">
        <v>83.75</v>
      </c>
      <c r="X390" s="79"/>
      <c r="Y390" s="79">
        <v>83.75</v>
      </c>
      <c r="Z390" s="79">
        <v>83.75</v>
      </c>
      <c r="AA390" s="255">
        <v>1.0000000000005116E-2</v>
      </c>
      <c r="AC390" s="254"/>
    </row>
    <row r="391" spans="1:29" ht="12">
      <c r="A391" s="67" t="s">
        <v>11255</v>
      </c>
      <c r="B391" s="65" t="s">
        <v>11256</v>
      </c>
      <c r="C391" s="71" t="s">
        <v>103</v>
      </c>
      <c r="D391" s="78">
        <v>1</v>
      </c>
      <c r="E391" s="79">
        <v>157.07</v>
      </c>
      <c r="F391" s="70">
        <v>157.07</v>
      </c>
      <c r="G391" s="320"/>
      <c r="H391" s="79">
        <v>0</v>
      </c>
      <c r="I391" s="79">
        <v>157.07</v>
      </c>
      <c r="J391" s="79">
        <v>157.07</v>
      </c>
      <c r="K391" s="79">
        <v>0</v>
      </c>
      <c r="L391" s="70">
        <v>157.07</v>
      </c>
      <c r="M391" s="132"/>
      <c r="N391" s="79"/>
      <c r="O391" s="79">
        <v>157.07</v>
      </c>
      <c r="P391" s="79">
        <v>157.07</v>
      </c>
      <c r="Q391" s="136"/>
      <c r="R391" s="79"/>
      <c r="S391" s="79">
        <v>157.08000000000001</v>
      </c>
      <c r="T391" s="79">
        <v>157.08000000000001</v>
      </c>
      <c r="U391" s="79">
        <v>0</v>
      </c>
      <c r="V391" s="189">
        <v>157.08000000000001</v>
      </c>
      <c r="X391" s="79"/>
      <c r="Y391" s="79">
        <v>157.08000000000001</v>
      </c>
      <c r="Z391" s="79">
        <v>157.08000000000001</v>
      </c>
      <c r="AA391" s="255">
        <v>-1.0000000000019327E-2</v>
      </c>
      <c r="AC391" s="254"/>
    </row>
    <row r="392" spans="1:29" ht="12">
      <c r="A392" s="67" t="s">
        <v>11257</v>
      </c>
      <c r="B392" s="65" t="s">
        <v>11258</v>
      </c>
      <c r="C392" s="71" t="s">
        <v>103</v>
      </c>
      <c r="D392" s="78">
        <v>1</v>
      </c>
      <c r="E392" s="79">
        <v>41.86</v>
      </c>
      <c r="F392" s="70">
        <v>41.86</v>
      </c>
      <c r="G392" s="320"/>
      <c r="H392" s="79">
        <v>0</v>
      </c>
      <c r="I392" s="79">
        <v>41.86</v>
      </c>
      <c r="J392" s="79">
        <v>41.86</v>
      </c>
      <c r="K392" s="79">
        <v>0</v>
      </c>
      <c r="L392" s="70">
        <v>41.86</v>
      </c>
      <c r="M392" s="132"/>
      <c r="N392" s="79"/>
      <c r="O392" s="79">
        <v>41.86</v>
      </c>
      <c r="P392" s="79">
        <v>41.86</v>
      </c>
      <c r="Q392" s="136"/>
      <c r="R392" s="79"/>
      <c r="S392" s="79">
        <v>41.87</v>
      </c>
      <c r="T392" s="79">
        <v>41.87</v>
      </c>
      <c r="U392" s="79">
        <v>0</v>
      </c>
      <c r="V392" s="189">
        <v>41.87</v>
      </c>
      <c r="X392" s="79"/>
      <c r="Y392" s="79">
        <v>41.87</v>
      </c>
      <c r="Z392" s="79">
        <v>41.87</v>
      </c>
      <c r="AA392" s="255">
        <v>-9.9999999999980105E-3</v>
      </c>
      <c r="AC392" s="254"/>
    </row>
    <row r="393" spans="1:29" ht="12">
      <c r="A393" s="67" t="s">
        <v>11259</v>
      </c>
      <c r="B393" s="65" t="s">
        <v>11260</v>
      </c>
      <c r="C393" s="71" t="s">
        <v>103</v>
      </c>
      <c r="D393" s="78">
        <v>1</v>
      </c>
      <c r="E393" s="79">
        <v>11.370000000000001</v>
      </c>
      <c r="F393" s="70">
        <v>11.37</v>
      </c>
      <c r="G393" s="320"/>
      <c r="H393" s="79">
        <v>0</v>
      </c>
      <c r="I393" s="79">
        <v>11.370000000000001</v>
      </c>
      <c r="J393" s="79">
        <v>11.370000000000001</v>
      </c>
      <c r="K393" s="79">
        <v>0</v>
      </c>
      <c r="L393" s="70">
        <v>11.370000000000001</v>
      </c>
      <c r="M393" s="132"/>
      <c r="N393" s="79"/>
      <c r="O393" s="79">
        <v>11.370000000000001</v>
      </c>
      <c r="P393" s="79">
        <v>11.370000000000001</v>
      </c>
      <c r="Q393" s="136"/>
      <c r="R393" s="79"/>
      <c r="S393" s="79">
        <v>11.36</v>
      </c>
      <c r="T393" s="79">
        <v>11.36</v>
      </c>
      <c r="U393" s="79">
        <v>0</v>
      </c>
      <c r="V393" s="189">
        <v>11.36</v>
      </c>
      <c r="X393" s="79"/>
      <c r="Y393" s="79">
        <v>11.36</v>
      </c>
      <c r="Z393" s="79">
        <v>11.36</v>
      </c>
      <c r="AA393" s="255">
        <v>9.9999999999997868E-3</v>
      </c>
      <c r="AC393" s="254"/>
    </row>
    <row r="394" spans="1:29" ht="12">
      <c r="A394" s="67" t="s">
        <v>11261</v>
      </c>
      <c r="B394" s="65" t="s">
        <v>11262</v>
      </c>
      <c r="C394" s="71" t="s">
        <v>103</v>
      </c>
      <c r="D394" s="78">
        <v>1</v>
      </c>
      <c r="E394" s="79">
        <v>22.25</v>
      </c>
      <c r="F394" s="70">
        <v>22.25</v>
      </c>
      <c r="G394" s="320"/>
      <c r="H394" s="79">
        <v>0</v>
      </c>
      <c r="I394" s="79">
        <v>22.25</v>
      </c>
      <c r="J394" s="79">
        <v>22.25</v>
      </c>
      <c r="K394" s="79">
        <v>0</v>
      </c>
      <c r="L394" s="70">
        <v>22.25</v>
      </c>
      <c r="M394" s="132"/>
      <c r="N394" s="79"/>
      <c r="O394" s="79">
        <v>22.25</v>
      </c>
      <c r="P394" s="79">
        <v>22.25</v>
      </c>
      <c r="Q394" s="136"/>
      <c r="R394" s="79"/>
      <c r="S394" s="79">
        <v>22.24</v>
      </c>
      <c r="T394" s="79">
        <v>22.24</v>
      </c>
      <c r="U394" s="79">
        <v>0</v>
      </c>
      <c r="V394" s="189">
        <v>22.24</v>
      </c>
      <c r="X394" s="79"/>
      <c r="Y394" s="79">
        <v>22.24</v>
      </c>
      <c r="Z394" s="79">
        <v>22.24</v>
      </c>
      <c r="AA394" s="255">
        <v>1.0000000000001563E-2</v>
      </c>
      <c r="AC394" s="254"/>
    </row>
    <row r="395" spans="1:29" ht="12">
      <c r="A395" s="67" t="s">
        <v>11263</v>
      </c>
      <c r="B395" s="65" t="s">
        <v>11264</v>
      </c>
      <c r="C395" s="71" t="s">
        <v>165</v>
      </c>
      <c r="D395" s="78">
        <v>1</v>
      </c>
      <c r="E395" s="79">
        <v>6.6899999999999995</v>
      </c>
      <c r="F395" s="70">
        <v>6.69</v>
      </c>
      <c r="G395" s="320"/>
      <c r="H395" s="79">
        <v>0</v>
      </c>
      <c r="I395" s="79">
        <v>6.6899999999999995</v>
      </c>
      <c r="J395" s="79">
        <v>6.6899999999999995</v>
      </c>
      <c r="K395" s="79">
        <v>0</v>
      </c>
      <c r="L395" s="70">
        <v>6.6899999999999995</v>
      </c>
      <c r="M395" s="132"/>
      <c r="N395" s="79"/>
      <c r="O395" s="79">
        <v>6.6899999999999995</v>
      </c>
      <c r="P395" s="79">
        <v>6.6899999999999995</v>
      </c>
      <c r="Q395" s="136"/>
      <c r="R395" s="79"/>
      <c r="S395" s="79">
        <v>6.7</v>
      </c>
      <c r="T395" s="79">
        <v>6.7</v>
      </c>
      <c r="U395" s="79">
        <v>0</v>
      </c>
      <c r="V395" s="189">
        <v>6.7</v>
      </c>
      <c r="X395" s="79"/>
      <c r="Y395" s="79">
        <v>6.7</v>
      </c>
      <c r="Z395" s="79">
        <v>6.7</v>
      </c>
      <c r="AA395" s="255">
        <v>-9.9999999999997868E-3</v>
      </c>
      <c r="AC395" s="254"/>
    </row>
    <row r="396" spans="1:29" ht="12">
      <c r="A396" s="67" t="s">
        <v>11265</v>
      </c>
      <c r="B396" s="65" t="s">
        <v>11266</v>
      </c>
      <c r="C396" s="71" t="s">
        <v>165</v>
      </c>
      <c r="D396" s="78">
        <v>1</v>
      </c>
      <c r="E396" s="79">
        <v>3.3499999999999996</v>
      </c>
      <c r="F396" s="70">
        <v>3.35</v>
      </c>
      <c r="G396" s="320"/>
      <c r="H396" s="79">
        <v>0</v>
      </c>
      <c r="I396" s="79">
        <v>3.3499999999999996</v>
      </c>
      <c r="J396" s="79">
        <v>3.3499999999999996</v>
      </c>
      <c r="K396" s="79">
        <v>0</v>
      </c>
      <c r="L396" s="70">
        <v>3.3499999999999996</v>
      </c>
      <c r="M396" s="132"/>
      <c r="N396" s="79"/>
      <c r="O396" s="79">
        <v>3.3499999999999996</v>
      </c>
      <c r="P396" s="79">
        <v>3.3499999999999996</v>
      </c>
      <c r="Q396" s="136"/>
      <c r="R396" s="79"/>
      <c r="S396" s="79">
        <v>3.35</v>
      </c>
      <c r="T396" s="79">
        <v>3.35</v>
      </c>
      <c r="U396" s="79">
        <v>0</v>
      </c>
      <c r="V396" s="189">
        <v>3.35</v>
      </c>
      <c r="X396" s="79"/>
      <c r="Y396" s="79">
        <v>3.35</v>
      </c>
      <c r="Z396" s="79">
        <v>3.35</v>
      </c>
      <c r="AA396" s="255">
        <v>0</v>
      </c>
      <c r="AC396" s="254"/>
    </row>
    <row r="397" spans="1:29" ht="12">
      <c r="A397" s="67" t="s">
        <v>11267</v>
      </c>
      <c r="B397" s="65" t="s">
        <v>11268</v>
      </c>
      <c r="C397" s="71" t="s">
        <v>165</v>
      </c>
      <c r="D397" s="78">
        <v>1</v>
      </c>
      <c r="E397" s="79">
        <v>5.59</v>
      </c>
      <c r="F397" s="70">
        <v>5.59</v>
      </c>
      <c r="G397" s="320"/>
      <c r="H397" s="79">
        <v>0</v>
      </c>
      <c r="I397" s="79">
        <v>5.59</v>
      </c>
      <c r="J397" s="79">
        <v>5.59</v>
      </c>
      <c r="K397" s="79">
        <v>0</v>
      </c>
      <c r="L397" s="70">
        <v>5.59</v>
      </c>
      <c r="M397" s="132"/>
      <c r="N397" s="79"/>
      <c r="O397" s="79">
        <v>5.59</v>
      </c>
      <c r="P397" s="79">
        <v>5.59</v>
      </c>
      <c r="Q397" s="136"/>
      <c r="R397" s="79"/>
      <c r="S397" s="79">
        <v>5.58</v>
      </c>
      <c r="T397" s="79">
        <v>5.58</v>
      </c>
      <c r="U397" s="79">
        <v>0</v>
      </c>
      <c r="V397" s="189">
        <v>5.58</v>
      </c>
      <c r="X397" s="79"/>
      <c r="Y397" s="79">
        <v>5.58</v>
      </c>
      <c r="Z397" s="79">
        <v>5.58</v>
      </c>
      <c r="AA397" s="255">
        <v>9.9999999999997868E-3</v>
      </c>
      <c r="AC397" s="254"/>
    </row>
    <row r="398" spans="1:29" ht="12">
      <c r="A398" s="67" t="s">
        <v>11269</v>
      </c>
      <c r="B398" s="65" t="s">
        <v>11270</v>
      </c>
      <c r="C398" s="71" t="s">
        <v>165</v>
      </c>
      <c r="D398" s="78">
        <v>1</v>
      </c>
      <c r="E398" s="79">
        <v>2.81</v>
      </c>
      <c r="F398" s="70">
        <v>2.81</v>
      </c>
      <c r="G398" s="320"/>
      <c r="H398" s="79">
        <v>0</v>
      </c>
      <c r="I398" s="79">
        <v>2.81</v>
      </c>
      <c r="J398" s="79">
        <v>2.81</v>
      </c>
      <c r="K398" s="79">
        <v>0</v>
      </c>
      <c r="L398" s="70">
        <v>2.81</v>
      </c>
      <c r="M398" s="132"/>
      <c r="N398" s="79"/>
      <c r="O398" s="79">
        <v>2.81</v>
      </c>
      <c r="P398" s="79">
        <v>2.81</v>
      </c>
      <c r="Q398" s="136"/>
      <c r="R398" s="79"/>
      <c r="S398" s="79">
        <v>2.8</v>
      </c>
      <c r="T398" s="79">
        <v>2.8</v>
      </c>
      <c r="U398" s="79">
        <v>0</v>
      </c>
      <c r="V398" s="189">
        <v>2.8</v>
      </c>
      <c r="X398" s="79"/>
      <c r="Y398" s="79">
        <v>2.8</v>
      </c>
      <c r="Z398" s="79">
        <v>2.8</v>
      </c>
      <c r="AA398" s="255">
        <v>1.0000000000000231E-2</v>
      </c>
      <c r="AC398" s="254"/>
    </row>
    <row r="399" spans="1:29" ht="12">
      <c r="A399" s="67" t="s">
        <v>11271</v>
      </c>
      <c r="B399" s="65" t="s">
        <v>11272</v>
      </c>
      <c r="C399" s="71" t="s">
        <v>165</v>
      </c>
      <c r="D399" s="78">
        <v>1</v>
      </c>
      <c r="E399" s="79">
        <v>39.28</v>
      </c>
      <c r="F399" s="70">
        <v>39.28</v>
      </c>
      <c r="G399" s="320"/>
      <c r="H399" s="79">
        <v>0</v>
      </c>
      <c r="I399" s="79">
        <v>39.28</v>
      </c>
      <c r="J399" s="79">
        <v>39.28</v>
      </c>
      <c r="K399" s="79">
        <v>0</v>
      </c>
      <c r="L399" s="70">
        <v>39.28</v>
      </c>
      <c r="M399" s="132"/>
      <c r="N399" s="79"/>
      <c r="O399" s="79">
        <v>39.28</v>
      </c>
      <c r="P399" s="79">
        <v>39.28</v>
      </c>
      <c r="Q399" s="136"/>
      <c r="R399" s="79"/>
      <c r="S399" s="79">
        <v>39.270000000000003</v>
      </c>
      <c r="T399" s="79">
        <v>39.270000000000003</v>
      </c>
      <c r="U399" s="79">
        <v>0</v>
      </c>
      <c r="V399" s="189">
        <v>39.270000000000003</v>
      </c>
      <c r="X399" s="79"/>
      <c r="Y399" s="79">
        <v>39.270000000000003</v>
      </c>
      <c r="Z399" s="79">
        <v>39.270000000000003</v>
      </c>
      <c r="AA399" s="255">
        <v>9.9999999999980105E-3</v>
      </c>
      <c r="AC399" s="254"/>
    </row>
    <row r="400" spans="1:29" ht="12">
      <c r="A400" s="67" t="s">
        <v>11273</v>
      </c>
      <c r="B400" s="65" t="s">
        <v>11274</v>
      </c>
      <c r="C400" s="71" t="s">
        <v>165</v>
      </c>
      <c r="D400" s="78">
        <v>1</v>
      </c>
      <c r="E400" s="79">
        <v>11.16</v>
      </c>
      <c r="F400" s="70">
        <v>11.16</v>
      </c>
      <c r="G400" s="320"/>
      <c r="H400" s="79">
        <v>0</v>
      </c>
      <c r="I400" s="79">
        <v>11.16</v>
      </c>
      <c r="J400" s="79">
        <v>11.16</v>
      </c>
      <c r="K400" s="79">
        <v>0</v>
      </c>
      <c r="L400" s="70">
        <v>11.16</v>
      </c>
      <c r="M400" s="132"/>
      <c r="N400" s="79"/>
      <c r="O400" s="79">
        <v>11.16</v>
      </c>
      <c r="P400" s="79">
        <v>11.16</v>
      </c>
      <c r="Q400" s="136"/>
      <c r="R400" s="79"/>
      <c r="S400" s="79">
        <v>11.16</v>
      </c>
      <c r="T400" s="79">
        <v>11.16</v>
      </c>
      <c r="U400" s="79">
        <v>0</v>
      </c>
      <c r="V400" s="189">
        <v>11.16</v>
      </c>
      <c r="X400" s="79"/>
      <c r="Y400" s="79">
        <v>11.16</v>
      </c>
      <c r="Z400" s="79">
        <v>11.16</v>
      </c>
      <c r="AA400" s="255">
        <v>0</v>
      </c>
      <c r="AC400" s="254"/>
    </row>
    <row r="401" spans="1:29" ht="12">
      <c r="A401" s="67" t="s">
        <v>11275</v>
      </c>
      <c r="B401" s="65" t="s">
        <v>11276</v>
      </c>
      <c r="C401" s="71" t="s">
        <v>103</v>
      </c>
      <c r="D401" s="78">
        <v>1</v>
      </c>
      <c r="E401" s="79">
        <v>55.83</v>
      </c>
      <c r="F401" s="70">
        <v>55.83</v>
      </c>
      <c r="G401" s="320"/>
      <c r="H401" s="79">
        <v>0</v>
      </c>
      <c r="I401" s="79">
        <v>55.83</v>
      </c>
      <c r="J401" s="79">
        <v>55.83</v>
      </c>
      <c r="K401" s="79">
        <v>0</v>
      </c>
      <c r="L401" s="70">
        <v>55.83</v>
      </c>
      <c r="M401" s="132"/>
      <c r="N401" s="79"/>
      <c r="O401" s="79">
        <v>55.83</v>
      </c>
      <c r="P401" s="79">
        <v>55.83</v>
      </c>
      <c r="Q401" s="136"/>
      <c r="R401" s="79"/>
      <c r="S401" s="79">
        <v>55.83</v>
      </c>
      <c r="T401" s="79">
        <v>55.83</v>
      </c>
      <c r="U401" s="79">
        <v>0</v>
      </c>
      <c r="V401" s="189">
        <v>55.83</v>
      </c>
      <c r="X401" s="79"/>
      <c r="Y401" s="79">
        <v>55.83</v>
      </c>
      <c r="Z401" s="79">
        <v>55.83</v>
      </c>
      <c r="AA401" s="255">
        <v>0</v>
      </c>
      <c r="AC401" s="254"/>
    </row>
    <row r="402" spans="1:29" ht="12">
      <c r="A402" s="67" t="s">
        <v>11277</v>
      </c>
      <c r="B402" s="65" t="s">
        <v>11278</v>
      </c>
      <c r="C402" s="71" t="s">
        <v>103</v>
      </c>
      <c r="D402" s="78">
        <v>1</v>
      </c>
      <c r="E402" s="79">
        <v>11.16</v>
      </c>
      <c r="F402" s="70">
        <v>11.16</v>
      </c>
      <c r="G402" s="320"/>
      <c r="H402" s="79">
        <v>0</v>
      </c>
      <c r="I402" s="79">
        <v>11.16</v>
      </c>
      <c r="J402" s="79">
        <v>11.16</v>
      </c>
      <c r="K402" s="79">
        <v>0</v>
      </c>
      <c r="L402" s="70">
        <v>11.16</v>
      </c>
      <c r="M402" s="132"/>
      <c r="N402" s="79"/>
      <c r="O402" s="79">
        <v>11.16</v>
      </c>
      <c r="P402" s="79">
        <v>11.16</v>
      </c>
      <c r="Q402" s="136"/>
      <c r="R402" s="79"/>
      <c r="S402" s="79">
        <v>11.16</v>
      </c>
      <c r="T402" s="79">
        <v>11.16</v>
      </c>
      <c r="U402" s="79">
        <v>0</v>
      </c>
      <c r="V402" s="189">
        <v>11.16</v>
      </c>
      <c r="X402" s="79"/>
      <c r="Y402" s="79">
        <v>11.16</v>
      </c>
      <c r="Z402" s="79">
        <v>11.16</v>
      </c>
      <c r="AA402" s="255">
        <v>0</v>
      </c>
      <c r="AC402" s="254"/>
    </row>
    <row r="403" spans="1:29" ht="12">
      <c r="A403" s="67" t="s">
        <v>11279</v>
      </c>
      <c r="B403" s="65" t="s">
        <v>11280</v>
      </c>
      <c r="C403" s="71" t="s">
        <v>103</v>
      </c>
      <c r="D403" s="78">
        <v>1</v>
      </c>
      <c r="E403" s="79">
        <v>83.76</v>
      </c>
      <c r="F403" s="70">
        <v>83.76</v>
      </c>
      <c r="G403" s="320"/>
      <c r="H403" s="79">
        <v>0</v>
      </c>
      <c r="I403" s="79">
        <v>83.76</v>
      </c>
      <c r="J403" s="79">
        <v>83.76</v>
      </c>
      <c r="K403" s="79">
        <v>0</v>
      </c>
      <c r="L403" s="70">
        <v>83.76</v>
      </c>
      <c r="M403" s="132"/>
      <c r="N403" s="79"/>
      <c r="O403" s="79">
        <v>83.76</v>
      </c>
      <c r="P403" s="79">
        <v>83.76</v>
      </c>
      <c r="Q403" s="136"/>
      <c r="R403" s="79"/>
      <c r="S403" s="79">
        <v>83.75</v>
      </c>
      <c r="T403" s="79">
        <v>83.75</v>
      </c>
      <c r="U403" s="79">
        <v>0</v>
      </c>
      <c r="V403" s="189">
        <v>83.75</v>
      </c>
      <c r="X403" s="79"/>
      <c r="Y403" s="79">
        <v>83.75</v>
      </c>
      <c r="Z403" s="79">
        <v>83.75</v>
      </c>
      <c r="AA403" s="255">
        <v>1.0000000000005116E-2</v>
      </c>
      <c r="AC403" s="254"/>
    </row>
    <row r="404" spans="1:29" ht="12">
      <c r="A404" s="67" t="s">
        <v>11281</v>
      </c>
      <c r="B404" s="65" t="s">
        <v>11282</v>
      </c>
      <c r="C404" s="71" t="s">
        <v>103</v>
      </c>
      <c r="D404" s="78">
        <v>1</v>
      </c>
      <c r="E404" s="79">
        <v>117.81</v>
      </c>
      <c r="F404" s="70">
        <v>117.81</v>
      </c>
      <c r="G404" s="320"/>
      <c r="H404" s="79">
        <v>0</v>
      </c>
      <c r="I404" s="79">
        <v>117.81</v>
      </c>
      <c r="J404" s="79">
        <v>117.81</v>
      </c>
      <c r="K404" s="79">
        <v>0</v>
      </c>
      <c r="L404" s="70">
        <v>117.81</v>
      </c>
      <c r="M404" s="132"/>
      <c r="N404" s="79"/>
      <c r="O404" s="79">
        <v>117.81</v>
      </c>
      <c r="P404" s="79">
        <v>117.81</v>
      </c>
      <c r="Q404" s="136"/>
      <c r="R404" s="79"/>
      <c r="S404" s="79">
        <v>117.81</v>
      </c>
      <c r="T404" s="79">
        <v>117.81</v>
      </c>
      <c r="U404" s="79">
        <v>0</v>
      </c>
      <c r="V404" s="189">
        <v>117.81</v>
      </c>
      <c r="X404" s="79"/>
      <c r="Y404" s="79">
        <v>117.81</v>
      </c>
      <c r="Z404" s="79">
        <v>117.81</v>
      </c>
      <c r="AA404" s="255">
        <v>0</v>
      </c>
      <c r="AC404" s="254"/>
    </row>
    <row r="405" spans="1:29" ht="12">
      <c r="A405" s="489" t="s">
        <v>11283</v>
      </c>
      <c r="B405" s="490" t="s">
        <v>11284</v>
      </c>
      <c r="C405" s="491"/>
      <c r="D405" s="492"/>
      <c r="E405" s="79"/>
      <c r="F405" s="63"/>
      <c r="G405" s="320"/>
      <c r="H405" s="79"/>
      <c r="I405" s="79"/>
      <c r="J405" s="79"/>
      <c r="K405" s="79"/>
      <c r="L405" s="70"/>
      <c r="M405" s="132"/>
      <c r="N405" s="79"/>
      <c r="O405" s="79"/>
      <c r="P405" s="79"/>
      <c r="Q405" s="136"/>
      <c r="R405" s="79"/>
      <c r="S405" s="79"/>
      <c r="T405" s="79"/>
      <c r="U405" s="79"/>
      <c r="V405" s="189"/>
      <c r="X405" s="79"/>
      <c r="Y405" s="79"/>
      <c r="Z405" s="79"/>
      <c r="AA405" s="255"/>
      <c r="AC405" s="254"/>
    </row>
    <row r="406" spans="1:29" ht="12">
      <c r="A406" s="67" t="s">
        <v>11285</v>
      </c>
      <c r="B406" s="65" t="s">
        <v>11286</v>
      </c>
      <c r="C406" s="71" t="s">
        <v>103</v>
      </c>
      <c r="D406" s="78">
        <v>1</v>
      </c>
      <c r="E406" s="79">
        <v>229.32999999999998</v>
      </c>
      <c r="F406" s="70">
        <v>229.33</v>
      </c>
      <c r="G406" s="320"/>
      <c r="H406" s="79">
        <v>0</v>
      </c>
      <c r="I406" s="79">
        <v>229.32999999999998</v>
      </c>
      <c r="J406" s="79">
        <v>229.32999999999998</v>
      </c>
      <c r="K406" s="79">
        <v>0</v>
      </c>
      <c r="L406" s="70">
        <v>229.32999999999998</v>
      </c>
      <c r="M406" s="132"/>
      <c r="N406" s="79"/>
      <c r="O406" s="79">
        <v>229.32999999999998</v>
      </c>
      <c r="P406" s="79">
        <v>229.32999999999998</v>
      </c>
      <c r="Q406" s="136"/>
      <c r="R406" s="79"/>
      <c r="S406" s="79">
        <v>229.34</v>
      </c>
      <c r="T406" s="79">
        <v>229.34</v>
      </c>
      <c r="U406" s="79">
        <v>0</v>
      </c>
      <c r="V406" s="189">
        <v>229.34</v>
      </c>
      <c r="X406" s="79"/>
      <c r="Y406" s="79">
        <v>229.34</v>
      </c>
      <c r="Z406" s="79">
        <v>229.34</v>
      </c>
      <c r="AA406" s="255">
        <v>-9.9999999999909051E-3</v>
      </c>
      <c r="AC406" s="254"/>
    </row>
    <row r="407" spans="1:29" ht="12">
      <c r="A407" s="67" t="s">
        <v>11287</v>
      </c>
      <c r="B407" s="65" t="s">
        <v>11288</v>
      </c>
      <c r="C407" s="71" t="s">
        <v>103</v>
      </c>
      <c r="D407" s="78">
        <v>1</v>
      </c>
      <c r="E407" s="79">
        <v>55.83</v>
      </c>
      <c r="F407" s="70">
        <v>55.83</v>
      </c>
      <c r="G407" s="320"/>
      <c r="H407" s="79">
        <v>0</v>
      </c>
      <c r="I407" s="79">
        <v>55.83</v>
      </c>
      <c r="J407" s="79">
        <v>55.83</v>
      </c>
      <c r="K407" s="79">
        <v>0</v>
      </c>
      <c r="L407" s="70">
        <v>55.83</v>
      </c>
      <c r="M407" s="132"/>
      <c r="N407" s="79"/>
      <c r="O407" s="79">
        <v>55.83</v>
      </c>
      <c r="P407" s="79">
        <v>55.83</v>
      </c>
      <c r="Q407" s="136"/>
      <c r="R407" s="79"/>
      <c r="S407" s="79">
        <v>55.83</v>
      </c>
      <c r="T407" s="79">
        <v>55.83</v>
      </c>
      <c r="U407" s="79">
        <v>0</v>
      </c>
      <c r="V407" s="189">
        <v>55.83</v>
      </c>
      <c r="X407" s="79"/>
      <c r="Y407" s="79">
        <v>55.83</v>
      </c>
      <c r="Z407" s="79">
        <v>55.83</v>
      </c>
      <c r="AA407" s="255">
        <v>0</v>
      </c>
      <c r="AC407" s="254"/>
    </row>
    <row r="408" spans="1:29" ht="12">
      <c r="A408" s="67" t="s">
        <v>11289</v>
      </c>
      <c r="B408" s="65" t="s">
        <v>11290</v>
      </c>
      <c r="C408" s="71" t="s">
        <v>103</v>
      </c>
      <c r="D408" s="78">
        <v>1</v>
      </c>
      <c r="E408" s="79">
        <v>13.969999999999999</v>
      </c>
      <c r="F408" s="70">
        <v>13.97</v>
      </c>
      <c r="G408" s="320"/>
      <c r="H408" s="79">
        <v>0</v>
      </c>
      <c r="I408" s="79">
        <v>13.969999999999999</v>
      </c>
      <c r="J408" s="79">
        <v>13.969999999999999</v>
      </c>
      <c r="K408" s="79">
        <v>0</v>
      </c>
      <c r="L408" s="70">
        <v>13.969999999999999</v>
      </c>
      <c r="M408" s="132"/>
      <c r="N408" s="79"/>
      <c r="O408" s="79">
        <v>13.969999999999999</v>
      </c>
      <c r="P408" s="79">
        <v>13.969999999999999</v>
      </c>
      <c r="Q408" s="136"/>
      <c r="R408" s="79"/>
      <c r="S408" s="79">
        <v>13.96</v>
      </c>
      <c r="T408" s="79">
        <v>13.96</v>
      </c>
      <c r="U408" s="79">
        <v>0</v>
      </c>
      <c r="V408" s="189">
        <v>13.96</v>
      </c>
      <c r="X408" s="79"/>
      <c r="Y408" s="79">
        <v>13.96</v>
      </c>
      <c r="Z408" s="79">
        <v>13.96</v>
      </c>
      <c r="AA408" s="255">
        <v>9.9999999999997868E-3</v>
      </c>
      <c r="AC408" s="254"/>
    </row>
    <row r="409" spans="1:29" ht="12">
      <c r="A409" s="67" t="s">
        <v>11291</v>
      </c>
      <c r="B409" s="65" t="s">
        <v>11292</v>
      </c>
      <c r="C409" s="71" t="s">
        <v>509</v>
      </c>
      <c r="D409" s="78">
        <v>1</v>
      </c>
      <c r="E409" s="79">
        <v>55.83</v>
      </c>
      <c r="F409" s="70">
        <v>55.83</v>
      </c>
      <c r="G409" s="320"/>
      <c r="H409" s="79">
        <v>0</v>
      </c>
      <c r="I409" s="79">
        <v>55.83</v>
      </c>
      <c r="J409" s="79">
        <v>55.83</v>
      </c>
      <c r="K409" s="79">
        <v>0</v>
      </c>
      <c r="L409" s="70">
        <v>55.83</v>
      </c>
      <c r="M409" s="132"/>
      <c r="N409" s="79"/>
      <c r="O409" s="79">
        <v>55.83</v>
      </c>
      <c r="P409" s="79">
        <v>55.83</v>
      </c>
      <c r="Q409" s="136"/>
      <c r="R409" s="79"/>
      <c r="S409" s="79">
        <v>55.83</v>
      </c>
      <c r="T409" s="79">
        <v>55.83</v>
      </c>
      <c r="U409" s="79">
        <v>0</v>
      </c>
      <c r="V409" s="189">
        <v>55.83</v>
      </c>
      <c r="X409" s="79"/>
      <c r="Y409" s="79">
        <v>55.83</v>
      </c>
      <c r="Z409" s="79">
        <v>55.83</v>
      </c>
      <c r="AA409" s="255">
        <v>0</v>
      </c>
      <c r="AC409" s="254"/>
    </row>
    <row r="410" spans="1:29" ht="12">
      <c r="A410" s="67" t="s">
        <v>11293</v>
      </c>
      <c r="B410" s="65" t="s">
        <v>11294</v>
      </c>
      <c r="C410" s="71" t="s">
        <v>103</v>
      </c>
      <c r="D410" s="78">
        <v>1</v>
      </c>
      <c r="E410" s="79">
        <v>11.16</v>
      </c>
      <c r="F410" s="70">
        <v>11.16</v>
      </c>
      <c r="G410" s="320"/>
      <c r="H410" s="79">
        <v>0</v>
      </c>
      <c r="I410" s="79">
        <v>11.16</v>
      </c>
      <c r="J410" s="79">
        <v>11.16</v>
      </c>
      <c r="K410" s="79">
        <v>0</v>
      </c>
      <c r="L410" s="70">
        <v>11.16</v>
      </c>
      <c r="M410" s="132"/>
      <c r="N410" s="79"/>
      <c r="O410" s="79">
        <v>11.16</v>
      </c>
      <c r="P410" s="79">
        <v>11.16</v>
      </c>
      <c r="Q410" s="136"/>
      <c r="R410" s="79"/>
      <c r="S410" s="79">
        <v>11.16</v>
      </c>
      <c r="T410" s="79">
        <v>11.16</v>
      </c>
      <c r="U410" s="79">
        <v>0</v>
      </c>
      <c r="V410" s="189">
        <v>11.16</v>
      </c>
      <c r="X410" s="79"/>
      <c r="Y410" s="79">
        <v>11.16</v>
      </c>
      <c r="Z410" s="79">
        <v>11.16</v>
      </c>
      <c r="AA410" s="255">
        <v>0</v>
      </c>
      <c r="AC410" s="254"/>
    </row>
    <row r="411" spans="1:29" ht="12">
      <c r="A411" s="67" t="s">
        <v>11295</v>
      </c>
      <c r="B411" s="65" t="s">
        <v>11296</v>
      </c>
      <c r="C411" s="71" t="s">
        <v>103</v>
      </c>
      <c r="D411" s="78">
        <v>1</v>
      </c>
      <c r="E411" s="79">
        <v>22.32</v>
      </c>
      <c r="F411" s="70">
        <v>22.32</v>
      </c>
      <c r="G411" s="320"/>
      <c r="H411" s="79">
        <v>0</v>
      </c>
      <c r="I411" s="79">
        <v>22.32</v>
      </c>
      <c r="J411" s="79">
        <v>22.32</v>
      </c>
      <c r="K411" s="79">
        <v>0</v>
      </c>
      <c r="L411" s="70">
        <v>22.32</v>
      </c>
      <c r="M411" s="132"/>
      <c r="N411" s="79"/>
      <c r="O411" s="79">
        <v>22.32</v>
      </c>
      <c r="P411" s="79">
        <v>22.32</v>
      </c>
      <c r="Q411" s="136"/>
      <c r="R411" s="79"/>
      <c r="S411" s="79">
        <v>22.33</v>
      </c>
      <c r="T411" s="79">
        <v>22.33</v>
      </c>
      <c r="U411" s="79">
        <v>0</v>
      </c>
      <c r="V411" s="189">
        <v>22.33</v>
      </c>
      <c r="X411" s="79"/>
      <c r="Y411" s="79">
        <v>22.33</v>
      </c>
      <c r="Z411" s="79">
        <v>22.33</v>
      </c>
      <c r="AA411" s="255">
        <v>-9.9999999999980105E-3</v>
      </c>
      <c r="AC411" s="254"/>
    </row>
    <row r="412" spans="1:29" ht="12">
      <c r="A412" s="67" t="s">
        <v>11297</v>
      </c>
      <c r="B412" s="65" t="s">
        <v>11298</v>
      </c>
      <c r="C412" s="71" t="s">
        <v>103</v>
      </c>
      <c r="D412" s="78">
        <v>1</v>
      </c>
      <c r="E412" s="79">
        <v>5.59</v>
      </c>
      <c r="F412" s="70">
        <v>5.59</v>
      </c>
      <c r="G412" s="320"/>
      <c r="H412" s="79">
        <v>0</v>
      </c>
      <c r="I412" s="79">
        <v>5.59</v>
      </c>
      <c r="J412" s="79">
        <v>5.59</v>
      </c>
      <c r="K412" s="79">
        <v>0</v>
      </c>
      <c r="L412" s="70">
        <v>5.59</v>
      </c>
      <c r="M412" s="132"/>
      <c r="N412" s="79"/>
      <c r="O412" s="79">
        <v>5.59</v>
      </c>
      <c r="P412" s="79">
        <v>5.59</v>
      </c>
      <c r="Q412" s="136"/>
      <c r="R412" s="79"/>
      <c r="S412" s="79">
        <v>5.58</v>
      </c>
      <c r="T412" s="79">
        <v>5.58</v>
      </c>
      <c r="U412" s="79">
        <v>0</v>
      </c>
      <c r="V412" s="189">
        <v>5.58</v>
      </c>
      <c r="X412" s="79"/>
      <c r="Y412" s="79">
        <v>5.58</v>
      </c>
      <c r="Z412" s="79">
        <v>5.58</v>
      </c>
      <c r="AA412" s="255">
        <v>9.9999999999997868E-3</v>
      </c>
      <c r="AC412" s="254"/>
    </row>
    <row r="413" spans="1:29" ht="12">
      <c r="A413" s="67" t="s">
        <v>11299</v>
      </c>
      <c r="B413" s="65" t="s">
        <v>11300</v>
      </c>
      <c r="C413" s="71" t="s">
        <v>103</v>
      </c>
      <c r="D413" s="78">
        <v>1</v>
      </c>
      <c r="E413" s="79">
        <v>8.379999999999999</v>
      </c>
      <c r="F413" s="70">
        <v>8.3800000000000008</v>
      </c>
      <c r="G413" s="320"/>
      <c r="H413" s="79">
        <v>0</v>
      </c>
      <c r="I413" s="79">
        <v>8.379999999999999</v>
      </c>
      <c r="J413" s="79">
        <v>8.379999999999999</v>
      </c>
      <c r="K413" s="79">
        <v>0</v>
      </c>
      <c r="L413" s="70">
        <v>8.379999999999999</v>
      </c>
      <c r="M413" s="132"/>
      <c r="N413" s="79"/>
      <c r="O413" s="79">
        <v>8.379999999999999</v>
      </c>
      <c r="P413" s="79">
        <v>8.379999999999999</v>
      </c>
      <c r="Q413" s="136"/>
      <c r="R413" s="79"/>
      <c r="S413" s="79">
        <v>8.3800000000000008</v>
      </c>
      <c r="T413" s="79">
        <v>8.3800000000000008</v>
      </c>
      <c r="U413" s="79">
        <v>0</v>
      </c>
      <c r="V413" s="189">
        <v>8.3800000000000008</v>
      </c>
      <c r="X413" s="79"/>
      <c r="Y413" s="79">
        <v>8.3800000000000008</v>
      </c>
      <c r="Z413" s="79">
        <v>8.3800000000000008</v>
      </c>
      <c r="AA413" s="255">
        <v>0</v>
      </c>
      <c r="AC413" s="254"/>
    </row>
    <row r="414" spans="1:29" ht="12">
      <c r="A414" s="67" t="s">
        <v>11301</v>
      </c>
      <c r="B414" s="65" t="s">
        <v>11302</v>
      </c>
      <c r="C414" s="71" t="s">
        <v>103</v>
      </c>
      <c r="D414" s="78">
        <v>1</v>
      </c>
      <c r="E414" s="79">
        <v>13.969999999999999</v>
      </c>
      <c r="F414" s="70">
        <v>13.97</v>
      </c>
      <c r="G414" s="320"/>
      <c r="H414" s="79">
        <v>0</v>
      </c>
      <c r="I414" s="79">
        <v>13.969999999999999</v>
      </c>
      <c r="J414" s="79">
        <v>13.969999999999999</v>
      </c>
      <c r="K414" s="79">
        <v>0</v>
      </c>
      <c r="L414" s="70">
        <v>13.969999999999999</v>
      </c>
      <c r="M414" s="132"/>
      <c r="N414" s="79"/>
      <c r="O414" s="79">
        <v>13.969999999999999</v>
      </c>
      <c r="P414" s="79">
        <v>13.969999999999999</v>
      </c>
      <c r="Q414" s="136"/>
      <c r="R414" s="79"/>
      <c r="S414" s="79">
        <v>13.96</v>
      </c>
      <c r="T414" s="79">
        <v>13.96</v>
      </c>
      <c r="U414" s="79">
        <v>0</v>
      </c>
      <c r="V414" s="189">
        <v>13.96</v>
      </c>
      <c r="X414" s="79"/>
      <c r="Y414" s="79">
        <v>13.96</v>
      </c>
      <c r="Z414" s="79">
        <v>13.96</v>
      </c>
      <c r="AA414" s="255">
        <v>9.9999999999997868E-3</v>
      </c>
      <c r="AC414" s="254"/>
    </row>
    <row r="415" spans="1:29" ht="12">
      <c r="A415" s="65" t="s">
        <v>11303</v>
      </c>
      <c r="B415" s="65" t="s">
        <v>11304</v>
      </c>
      <c r="C415" s="108" t="s">
        <v>103</v>
      </c>
      <c r="D415" s="78">
        <v>1</v>
      </c>
      <c r="E415" s="79">
        <v>13.969999999999999</v>
      </c>
      <c r="F415" s="70">
        <v>13.97</v>
      </c>
      <c r="G415" s="320"/>
      <c r="H415" s="79">
        <v>0</v>
      </c>
      <c r="I415" s="79">
        <v>13.969999999999999</v>
      </c>
      <c r="J415" s="79">
        <v>13.969999999999999</v>
      </c>
      <c r="K415" s="79">
        <v>0</v>
      </c>
      <c r="L415" s="70">
        <v>13.969999999999999</v>
      </c>
      <c r="M415" s="132"/>
      <c r="N415" s="79"/>
      <c r="O415" s="79">
        <v>13.969999999999999</v>
      </c>
      <c r="P415" s="79">
        <v>13.969999999999999</v>
      </c>
      <c r="Q415" s="136"/>
      <c r="R415" s="79"/>
      <c r="S415" s="79">
        <v>13.96</v>
      </c>
      <c r="T415" s="79">
        <v>13.96</v>
      </c>
      <c r="U415" s="79">
        <v>0</v>
      </c>
      <c r="V415" s="189">
        <v>13.96</v>
      </c>
      <c r="X415" s="79"/>
      <c r="Y415" s="79">
        <v>13.96</v>
      </c>
      <c r="Z415" s="79">
        <v>13.96</v>
      </c>
      <c r="AA415" s="255">
        <v>9.9999999999997868E-3</v>
      </c>
      <c r="AC415" s="254"/>
    </row>
    <row r="416" spans="1:29" ht="12">
      <c r="A416" s="489" t="s">
        <v>11305</v>
      </c>
      <c r="B416" s="490" t="s">
        <v>11306</v>
      </c>
      <c r="C416" s="491"/>
      <c r="D416" s="492"/>
      <c r="E416" s="79"/>
      <c r="F416" s="63"/>
      <c r="G416" s="320"/>
      <c r="H416" s="79"/>
      <c r="I416" s="79"/>
      <c r="J416" s="79"/>
      <c r="K416" s="79"/>
      <c r="L416" s="70"/>
      <c r="M416" s="132"/>
      <c r="N416" s="79"/>
      <c r="O416" s="79"/>
      <c r="P416" s="79"/>
      <c r="Q416" s="136"/>
      <c r="R416" s="79"/>
      <c r="S416" s="79"/>
      <c r="T416" s="79"/>
      <c r="U416" s="79"/>
      <c r="V416" s="189"/>
      <c r="X416" s="79"/>
      <c r="Y416" s="79"/>
      <c r="Z416" s="79"/>
      <c r="AA416" s="255"/>
      <c r="AC416" s="254"/>
    </row>
    <row r="417" spans="1:29" ht="12">
      <c r="A417" s="67" t="s">
        <v>11307</v>
      </c>
      <c r="B417" s="65" t="s">
        <v>11308</v>
      </c>
      <c r="C417" s="71" t="s">
        <v>103</v>
      </c>
      <c r="D417" s="78">
        <v>1</v>
      </c>
      <c r="E417" s="79">
        <v>39.28</v>
      </c>
      <c r="F417" s="70">
        <v>39.28</v>
      </c>
      <c r="G417" s="320"/>
      <c r="H417" s="79">
        <v>0</v>
      </c>
      <c r="I417" s="79">
        <v>39.28</v>
      </c>
      <c r="J417" s="79">
        <v>39.28</v>
      </c>
      <c r="K417" s="79">
        <v>0</v>
      </c>
      <c r="L417" s="70">
        <v>39.28</v>
      </c>
      <c r="M417" s="132"/>
      <c r="N417" s="79"/>
      <c r="O417" s="79">
        <v>39.28</v>
      </c>
      <c r="P417" s="79">
        <v>39.28</v>
      </c>
      <c r="Q417" s="136"/>
      <c r="R417" s="79"/>
      <c r="S417" s="79">
        <v>39.270000000000003</v>
      </c>
      <c r="T417" s="79">
        <v>39.270000000000003</v>
      </c>
      <c r="U417" s="79">
        <v>0</v>
      </c>
      <c r="V417" s="189">
        <v>39.270000000000003</v>
      </c>
      <c r="X417" s="79"/>
      <c r="Y417" s="79">
        <v>39.270000000000003</v>
      </c>
      <c r="Z417" s="79">
        <v>39.270000000000003</v>
      </c>
      <c r="AA417" s="255">
        <v>9.9999999999980105E-3</v>
      </c>
      <c r="AC417" s="254"/>
    </row>
    <row r="418" spans="1:29" ht="12">
      <c r="A418" s="67" t="s">
        <v>11309</v>
      </c>
      <c r="B418" s="65" t="s">
        <v>11310</v>
      </c>
      <c r="C418" s="71" t="s">
        <v>103</v>
      </c>
      <c r="D418" s="78">
        <v>1</v>
      </c>
      <c r="E418" s="79">
        <v>4.54</v>
      </c>
      <c r="F418" s="70">
        <v>4.54</v>
      </c>
      <c r="G418" s="320"/>
      <c r="H418" s="79">
        <v>0</v>
      </c>
      <c r="I418" s="79">
        <v>4.54</v>
      </c>
      <c r="J418" s="79">
        <v>4.54</v>
      </c>
      <c r="K418" s="79">
        <v>0</v>
      </c>
      <c r="L418" s="70">
        <v>4.54</v>
      </c>
      <c r="M418" s="132"/>
      <c r="N418" s="79"/>
      <c r="O418" s="79">
        <v>4.54</v>
      </c>
      <c r="P418" s="79">
        <v>4.54</v>
      </c>
      <c r="Q418" s="136"/>
      <c r="R418" s="79"/>
      <c r="S418" s="79">
        <v>4.54</v>
      </c>
      <c r="T418" s="79">
        <v>4.54</v>
      </c>
      <c r="U418" s="79">
        <v>0</v>
      </c>
      <c r="V418" s="189">
        <v>4.54</v>
      </c>
      <c r="X418" s="79"/>
      <c r="Y418" s="79">
        <v>4.54</v>
      </c>
      <c r="Z418" s="79">
        <v>4.54</v>
      </c>
      <c r="AA418" s="255">
        <v>0</v>
      </c>
      <c r="AC418" s="254"/>
    </row>
    <row r="419" spans="1:29" ht="12">
      <c r="A419" s="67" t="s">
        <v>11311</v>
      </c>
      <c r="B419" s="65" t="s">
        <v>11312</v>
      </c>
      <c r="C419" s="71" t="s">
        <v>103</v>
      </c>
      <c r="D419" s="78">
        <v>1</v>
      </c>
      <c r="E419" s="79">
        <v>55.83</v>
      </c>
      <c r="F419" s="70">
        <v>55.83</v>
      </c>
      <c r="G419" s="320"/>
      <c r="H419" s="79">
        <v>0</v>
      </c>
      <c r="I419" s="79">
        <v>55.83</v>
      </c>
      <c r="J419" s="79">
        <v>55.83</v>
      </c>
      <c r="K419" s="79">
        <v>0</v>
      </c>
      <c r="L419" s="70">
        <v>55.83</v>
      </c>
      <c r="M419" s="132"/>
      <c r="N419" s="79"/>
      <c r="O419" s="79">
        <v>55.83</v>
      </c>
      <c r="P419" s="79">
        <v>55.83</v>
      </c>
      <c r="Q419" s="136"/>
      <c r="R419" s="79"/>
      <c r="S419" s="79">
        <v>55.83</v>
      </c>
      <c r="T419" s="79">
        <v>55.83</v>
      </c>
      <c r="U419" s="79">
        <v>0</v>
      </c>
      <c r="V419" s="189">
        <v>55.83</v>
      </c>
      <c r="X419" s="79"/>
      <c r="Y419" s="79">
        <v>55.83</v>
      </c>
      <c r="Z419" s="79">
        <v>55.83</v>
      </c>
      <c r="AA419" s="255">
        <v>0</v>
      </c>
      <c r="AC419" s="254"/>
    </row>
    <row r="420" spans="1:29" ht="12">
      <c r="A420" s="67" t="s">
        <v>11313</v>
      </c>
      <c r="B420" s="65" t="s">
        <v>11314</v>
      </c>
      <c r="C420" s="71" t="s">
        <v>103</v>
      </c>
      <c r="D420" s="78">
        <v>1</v>
      </c>
      <c r="E420" s="79">
        <v>27.939999999999998</v>
      </c>
      <c r="F420" s="70">
        <v>27.94</v>
      </c>
      <c r="G420" s="320"/>
      <c r="H420" s="79">
        <v>0</v>
      </c>
      <c r="I420" s="79">
        <v>27.939999999999998</v>
      </c>
      <c r="J420" s="79">
        <v>27.939999999999998</v>
      </c>
      <c r="K420" s="79">
        <v>0</v>
      </c>
      <c r="L420" s="70">
        <v>27.939999999999998</v>
      </c>
      <c r="M420" s="132"/>
      <c r="N420" s="79"/>
      <c r="O420" s="79">
        <v>27.939999999999998</v>
      </c>
      <c r="P420" s="79">
        <v>27.939999999999998</v>
      </c>
      <c r="Q420" s="136"/>
      <c r="R420" s="79"/>
      <c r="S420" s="79">
        <v>27.92</v>
      </c>
      <c r="T420" s="79">
        <v>27.92</v>
      </c>
      <c r="U420" s="79">
        <v>0</v>
      </c>
      <c r="V420" s="189">
        <v>27.92</v>
      </c>
      <c r="X420" s="79"/>
      <c r="Y420" s="79">
        <v>27.92</v>
      </c>
      <c r="Z420" s="79">
        <v>27.92</v>
      </c>
      <c r="AA420" s="255">
        <v>1.9999999999999574E-2</v>
      </c>
      <c r="AC420" s="254"/>
    </row>
    <row r="421" spans="1:29" ht="12">
      <c r="A421" s="67" t="s">
        <v>11315</v>
      </c>
      <c r="B421" s="65" t="s">
        <v>11316</v>
      </c>
      <c r="C421" s="71" t="s">
        <v>103</v>
      </c>
      <c r="D421" s="78">
        <v>1</v>
      </c>
      <c r="E421" s="79">
        <v>22.71</v>
      </c>
      <c r="F421" s="70">
        <v>22.71</v>
      </c>
      <c r="G421" s="320"/>
      <c r="H421" s="79">
        <v>0</v>
      </c>
      <c r="I421" s="79">
        <v>22.71</v>
      </c>
      <c r="J421" s="79">
        <v>22.71</v>
      </c>
      <c r="K421" s="79">
        <v>0</v>
      </c>
      <c r="L421" s="70">
        <v>22.71</v>
      </c>
      <c r="M421" s="132"/>
      <c r="N421" s="79"/>
      <c r="O421" s="79">
        <v>22.71</v>
      </c>
      <c r="P421" s="79">
        <v>22.71</v>
      </c>
      <c r="Q421" s="136"/>
      <c r="R421" s="79"/>
      <c r="S421" s="79">
        <v>22.71</v>
      </c>
      <c r="T421" s="79">
        <v>22.71</v>
      </c>
      <c r="U421" s="79">
        <v>0</v>
      </c>
      <c r="V421" s="189">
        <v>22.71</v>
      </c>
      <c r="X421" s="79"/>
      <c r="Y421" s="79">
        <v>22.71</v>
      </c>
      <c r="Z421" s="79">
        <v>22.71</v>
      </c>
      <c r="AA421" s="255">
        <v>0</v>
      </c>
      <c r="AC421" s="254"/>
    </row>
    <row r="422" spans="1:29" ht="12">
      <c r="A422" s="67" t="s">
        <v>11317</v>
      </c>
      <c r="B422" s="65" t="s">
        <v>11318</v>
      </c>
      <c r="C422" s="71" t="s">
        <v>103</v>
      </c>
      <c r="D422" s="78">
        <v>1</v>
      </c>
      <c r="E422" s="79">
        <v>78.53</v>
      </c>
      <c r="F422" s="70">
        <v>78.53</v>
      </c>
      <c r="G422" s="320"/>
      <c r="H422" s="79">
        <v>0</v>
      </c>
      <c r="I422" s="79">
        <v>78.53</v>
      </c>
      <c r="J422" s="79">
        <v>78.53</v>
      </c>
      <c r="K422" s="79">
        <v>0</v>
      </c>
      <c r="L422" s="70">
        <v>78.53</v>
      </c>
      <c r="M422" s="132"/>
      <c r="N422" s="79"/>
      <c r="O422" s="79">
        <v>78.53</v>
      </c>
      <c r="P422" s="79">
        <v>78.53</v>
      </c>
      <c r="Q422" s="136"/>
      <c r="R422" s="79"/>
      <c r="S422" s="79">
        <v>78.540000000000006</v>
      </c>
      <c r="T422" s="79">
        <v>78.540000000000006</v>
      </c>
      <c r="U422" s="79">
        <v>0</v>
      </c>
      <c r="V422" s="189">
        <v>78.540000000000006</v>
      </c>
      <c r="X422" s="79"/>
      <c r="Y422" s="79">
        <v>78.540000000000006</v>
      </c>
      <c r="Z422" s="79">
        <v>78.540000000000006</v>
      </c>
      <c r="AA422" s="255">
        <v>-1.0000000000005116E-2</v>
      </c>
      <c r="AC422" s="254"/>
    </row>
    <row r="423" spans="1:29" ht="12">
      <c r="A423" s="489" t="s">
        <v>11319</v>
      </c>
      <c r="B423" s="490" t="s">
        <v>11320</v>
      </c>
      <c r="C423" s="491"/>
      <c r="D423" s="492"/>
      <c r="E423" s="79"/>
      <c r="F423" s="63"/>
      <c r="G423" s="320"/>
      <c r="H423" s="79"/>
      <c r="I423" s="79"/>
      <c r="J423" s="79"/>
      <c r="K423" s="79"/>
      <c r="L423" s="70"/>
      <c r="M423" s="132"/>
      <c r="N423" s="79"/>
      <c r="O423" s="79"/>
      <c r="P423" s="79"/>
      <c r="Q423" s="136"/>
      <c r="R423" s="79"/>
      <c r="S423" s="79"/>
      <c r="T423" s="79"/>
      <c r="U423" s="79"/>
      <c r="V423" s="189"/>
      <c r="X423" s="79"/>
      <c r="Y423" s="79"/>
      <c r="Z423" s="79"/>
      <c r="AA423" s="255"/>
      <c r="AC423" s="254"/>
    </row>
    <row r="424" spans="1:29" ht="12">
      <c r="A424" s="67" t="s">
        <v>11321</v>
      </c>
      <c r="B424" s="65" t="s">
        <v>11322</v>
      </c>
      <c r="C424" s="71" t="s">
        <v>153</v>
      </c>
      <c r="D424" s="78">
        <v>1</v>
      </c>
      <c r="E424" s="79">
        <v>0.91</v>
      </c>
      <c r="F424" s="70">
        <v>0.91</v>
      </c>
      <c r="G424" s="320"/>
      <c r="H424" s="79">
        <v>0</v>
      </c>
      <c r="I424" s="79">
        <v>0.91</v>
      </c>
      <c r="J424" s="79">
        <v>0.91</v>
      </c>
      <c r="K424" s="79">
        <v>0</v>
      </c>
      <c r="L424" s="70">
        <v>0.91</v>
      </c>
      <c r="M424" s="132"/>
      <c r="N424" s="79"/>
      <c r="O424" s="79">
        <v>0.91</v>
      </c>
      <c r="P424" s="79">
        <v>0.91</v>
      </c>
      <c r="Q424" s="136"/>
      <c r="R424" s="79"/>
      <c r="S424" s="79">
        <v>0.91</v>
      </c>
      <c r="T424" s="79">
        <v>0.91</v>
      </c>
      <c r="U424" s="79">
        <v>0</v>
      </c>
      <c r="V424" s="189">
        <v>0.91</v>
      </c>
      <c r="X424" s="79"/>
      <c r="Y424" s="79">
        <v>0.91</v>
      </c>
      <c r="Z424" s="79">
        <v>0.91</v>
      </c>
      <c r="AA424" s="255">
        <v>0</v>
      </c>
      <c r="AC424" s="254"/>
    </row>
    <row r="425" spans="1:29" ht="12">
      <c r="A425" s="67" t="s">
        <v>11323</v>
      </c>
      <c r="B425" s="65" t="s">
        <v>11324</v>
      </c>
      <c r="C425" s="71" t="s">
        <v>103</v>
      </c>
      <c r="D425" s="78">
        <v>1</v>
      </c>
      <c r="E425" s="79">
        <v>83.76</v>
      </c>
      <c r="F425" s="70">
        <v>83.76</v>
      </c>
      <c r="G425" s="320"/>
      <c r="H425" s="79">
        <v>0</v>
      </c>
      <c r="I425" s="79">
        <v>83.76</v>
      </c>
      <c r="J425" s="79">
        <v>83.76</v>
      </c>
      <c r="K425" s="79">
        <v>0</v>
      </c>
      <c r="L425" s="70">
        <v>83.76</v>
      </c>
      <c r="M425" s="132"/>
      <c r="N425" s="79"/>
      <c r="O425" s="79">
        <v>83.76</v>
      </c>
      <c r="P425" s="79">
        <v>83.76</v>
      </c>
      <c r="Q425" s="136"/>
      <c r="R425" s="79"/>
      <c r="S425" s="79">
        <v>83.75</v>
      </c>
      <c r="T425" s="79">
        <v>83.75</v>
      </c>
      <c r="U425" s="79">
        <v>0</v>
      </c>
      <c r="V425" s="189">
        <v>83.75</v>
      </c>
      <c r="X425" s="79"/>
      <c r="Y425" s="79">
        <v>83.75</v>
      </c>
      <c r="Z425" s="79">
        <v>83.75</v>
      </c>
      <c r="AA425" s="255">
        <v>1.0000000000005116E-2</v>
      </c>
      <c r="AC425" s="254"/>
    </row>
    <row r="426" spans="1:29" ht="12">
      <c r="A426" s="67" t="s">
        <v>11325</v>
      </c>
      <c r="B426" s="65" t="s">
        <v>11326</v>
      </c>
      <c r="C426" s="71" t="s">
        <v>103</v>
      </c>
      <c r="D426" s="78">
        <v>1</v>
      </c>
      <c r="E426" s="79">
        <v>111.65</v>
      </c>
      <c r="F426" s="70">
        <v>111.65</v>
      </c>
      <c r="G426" s="320"/>
      <c r="H426" s="79">
        <v>0</v>
      </c>
      <c r="I426" s="79">
        <v>111.65</v>
      </c>
      <c r="J426" s="79">
        <v>111.65</v>
      </c>
      <c r="K426" s="79">
        <v>0</v>
      </c>
      <c r="L426" s="70">
        <v>111.65</v>
      </c>
      <c r="M426" s="132"/>
      <c r="N426" s="79"/>
      <c r="O426" s="79">
        <v>111.65</v>
      </c>
      <c r="P426" s="79">
        <v>111.65</v>
      </c>
      <c r="Q426" s="136"/>
      <c r="R426" s="79"/>
      <c r="S426" s="79">
        <v>111.66</v>
      </c>
      <c r="T426" s="79">
        <v>111.66</v>
      </c>
      <c r="U426" s="79">
        <v>0</v>
      </c>
      <c r="V426" s="189">
        <v>111.66</v>
      </c>
      <c r="X426" s="79"/>
      <c r="Y426" s="79">
        <v>111.66</v>
      </c>
      <c r="Z426" s="79">
        <v>111.66</v>
      </c>
      <c r="AA426" s="255">
        <v>-9.9999999999909051E-3</v>
      </c>
      <c r="AC426" s="254"/>
    </row>
    <row r="427" spans="1:29" ht="12">
      <c r="A427" s="67" t="s">
        <v>11327</v>
      </c>
      <c r="B427" s="65" t="s">
        <v>11328</v>
      </c>
      <c r="C427" s="71" t="s">
        <v>165</v>
      </c>
      <c r="D427" s="78">
        <v>1</v>
      </c>
      <c r="E427" s="79">
        <v>22.32</v>
      </c>
      <c r="F427" s="70">
        <v>22.32</v>
      </c>
      <c r="G427" s="320"/>
      <c r="H427" s="79">
        <v>0</v>
      </c>
      <c r="I427" s="79">
        <v>22.32</v>
      </c>
      <c r="J427" s="79">
        <v>22.32</v>
      </c>
      <c r="K427" s="79">
        <v>0</v>
      </c>
      <c r="L427" s="70">
        <v>22.32</v>
      </c>
      <c r="M427" s="132"/>
      <c r="N427" s="79"/>
      <c r="O427" s="79">
        <v>22.32</v>
      </c>
      <c r="P427" s="79">
        <v>22.32</v>
      </c>
      <c r="Q427" s="136"/>
      <c r="R427" s="79"/>
      <c r="S427" s="79">
        <v>22.33</v>
      </c>
      <c r="T427" s="79">
        <v>22.33</v>
      </c>
      <c r="U427" s="79">
        <v>0</v>
      </c>
      <c r="V427" s="189">
        <v>22.33</v>
      </c>
      <c r="X427" s="79"/>
      <c r="Y427" s="79">
        <v>22.33</v>
      </c>
      <c r="Z427" s="79">
        <v>22.33</v>
      </c>
      <c r="AA427" s="255">
        <v>-9.9999999999980105E-3</v>
      </c>
      <c r="AC427" s="254"/>
    </row>
    <row r="428" spans="1:29" ht="12">
      <c r="A428" s="67" t="s">
        <v>11329</v>
      </c>
      <c r="B428" s="65" t="s">
        <v>11330</v>
      </c>
      <c r="C428" s="71" t="s">
        <v>509</v>
      </c>
      <c r="D428" s="78">
        <v>1</v>
      </c>
      <c r="E428" s="79">
        <v>55.83</v>
      </c>
      <c r="F428" s="70">
        <v>55.83</v>
      </c>
      <c r="G428" s="320"/>
      <c r="H428" s="79">
        <v>0</v>
      </c>
      <c r="I428" s="79">
        <v>55.83</v>
      </c>
      <c r="J428" s="79">
        <v>55.83</v>
      </c>
      <c r="K428" s="79">
        <v>0</v>
      </c>
      <c r="L428" s="70">
        <v>55.83</v>
      </c>
      <c r="M428" s="132"/>
      <c r="N428" s="79"/>
      <c r="O428" s="79">
        <v>55.83</v>
      </c>
      <c r="P428" s="79">
        <v>55.83</v>
      </c>
      <c r="Q428" s="136"/>
      <c r="R428" s="79"/>
      <c r="S428" s="79">
        <v>55.83</v>
      </c>
      <c r="T428" s="79">
        <v>55.83</v>
      </c>
      <c r="U428" s="79">
        <v>0</v>
      </c>
      <c r="V428" s="189">
        <v>55.83</v>
      </c>
      <c r="X428" s="79"/>
      <c r="Y428" s="79">
        <v>55.83</v>
      </c>
      <c r="Z428" s="79">
        <v>55.83</v>
      </c>
      <c r="AA428" s="255">
        <v>0</v>
      </c>
      <c r="AC428" s="254"/>
    </row>
    <row r="429" spans="1:29" ht="12">
      <c r="A429" s="67" t="s">
        <v>11331</v>
      </c>
      <c r="B429" s="65" t="s">
        <v>11332</v>
      </c>
      <c r="C429" s="71" t="s">
        <v>103</v>
      </c>
      <c r="D429" s="78">
        <v>1</v>
      </c>
      <c r="E429" s="79">
        <v>284.20999999999998</v>
      </c>
      <c r="F429" s="70">
        <v>284.20999999999998</v>
      </c>
      <c r="G429" s="320"/>
      <c r="H429" s="79">
        <v>127.14</v>
      </c>
      <c r="I429" s="79">
        <v>157.07</v>
      </c>
      <c r="J429" s="79">
        <v>284.20999999999998</v>
      </c>
      <c r="K429" s="79">
        <v>0</v>
      </c>
      <c r="L429" s="70">
        <v>284.20999999999998</v>
      </c>
      <c r="M429" s="132"/>
      <c r="N429" s="79">
        <v>127.14</v>
      </c>
      <c r="O429" s="79">
        <v>157.07</v>
      </c>
      <c r="P429" s="79">
        <v>284.20999999999998</v>
      </c>
      <c r="Q429" s="136"/>
      <c r="R429" s="79">
        <v>127.14</v>
      </c>
      <c r="S429" s="79">
        <v>157.08000000000001</v>
      </c>
      <c r="T429" s="79">
        <v>284.22000000000003</v>
      </c>
      <c r="U429" s="79">
        <v>0</v>
      </c>
      <c r="V429" s="189">
        <v>284.22000000000003</v>
      </c>
      <c r="X429" s="79">
        <v>127.14</v>
      </c>
      <c r="Y429" s="79">
        <v>157.08000000000001</v>
      </c>
      <c r="Z429" s="79">
        <v>284.22000000000003</v>
      </c>
      <c r="AA429" s="255">
        <v>-1.0000000000047748E-2</v>
      </c>
      <c r="AC429" s="254"/>
    </row>
    <row r="430" spans="1:29" ht="12">
      <c r="A430" s="67" t="s">
        <v>11333</v>
      </c>
      <c r="B430" s="65" t="s">
        <v>11334</v>
      </c>
      <c r="C430" s="71" t="s">
        <v>103</v>
      </c>
      <c r="D430" s="78">
        <v>1</v>
      </c>
      <c r="E430" s="79">
        <v>284.20999999999998</v>
      </c>
      <c r="F430" s="70">
        <v>284.20999999999998</v>
      </c>
      <c r="G430" s="320"/>
      <c r="H430" s="79">
        <v>127.14</v>
      </c>
      <c r="I430" s="79">
        <v>157.07</v>
      </c>
      <c r="J430" s="79">
        <v>284.20999999999998</v>
      </c>
      <c r="K430" s="79">
        <v>0</v>
      </c>
      <c r="L430" s="70">
        <v>284.20999999999998</v>
      </c>
      <c r="M430" s="132"/>
      <c r="N430" s="79">
        <v>127.14</v>
      </c>
      <c r="O430" s="79">
        <v>157.07</v>
      </c>
      <c r="P430" s="79">
        <v>284.20999999999998</v>
      </c>
      <c r="Q430" s="136"/>
      <c r="R430" s="79">
        <v>127.14</v>
      </c>
      <c r="S430" s="79">
        <v>157.08000000000001</v>
      </c>
      <c r="T430" s="79">
        <v>284.22000000000003</v>
      </c>
      <c r="U430" s="79">
        <v>0</v>
      </c>
      <c r="V430" s="189">
        <v>284.22000000000003</v>
      </c>
      <c r="X430" s="79">
        <v>127.14</v>
      </c>
      <c r="Y430" s="79">
        <v>157.08000000000001</v>
      </c>
      <c r="Z430" s="79">
        <v>284.22000000000003</v>
      </c>
      <c r="AA430" s="255">
        <v>-1.0000000000047748E-2</v>
      </c>
      <c r="AC430" s="254"/>
    </row>
    <row r="431" spans="1:29" ht="12">
      <c r="A431" s="67" t="s">
        <v>11335</v>
      </c>
      <c r="B431" s="65" t="s">
        <v>11336</v>
      </c>
      <c r="C431" s="71" t="s">
        <v>103</v>
      </c>
      <c r="D431" s="78">
        <v>1</v>
      </c>
      <c r="E431" s="79">
        <v>175.92000000000002</v>
      </c>
      <c r="F431" s="70">
        <v>175.92</v>
      </c>
      <c r="G431" s="320"/>
      <c r="H431" s="79">
        <v>0</v>
      </c>
      <c r="I431" s="79">
        <v>175.92000000000002</v>
      </c>
      <c r="J431" s="79">
        <v>175.92000000000002</v>
      </c>
      <c r="K431" s="79">
        <v>0</v>
      </c>
      <c r="L431" s="70">
        <v>175.92000000000002</v>
      </c>
      <c r="M431" s="132"/>
      <c r="N431" s="79"/>
      <c r="O431" s="79">
        <v>175.92000000000002</v>
      </c>
      <c r="P431" s="79">
        <v>175.92000000000002</v>
      </c>
      <c r="Q431" s="136"/>
      <c r="R431" s="79"/>
      <c r="S431" s="79">
        <v>175.91</v>
      </c>
      <c r="T431" s="79">
        <v>175.91</v>
      </c>
      <c r="U431" s="79">
        <v>0</v>
      </c>
      <c r="V431" s="189">
        <v>175.91</v>
      </c>
      <c r="X431" s="79"/>
      <c r="Y431" s="79">
        <v>175.91</v>
      </c>
      <c r="Z431" s="79">
        <v>175.91</v>
      </c>
      <c r="AA431" s="255">
        <v>9.9999999999909051E-3</v>
      </c>
      <c r="AC431" s="254"/>
    </row>
    <row r="432" spans="1:29" ht="12">
      <c r="A432" s="67" t="s">
        <v>11337</v>
      </c>
      <c r="B432" s="65" t="s">
        <v>11338</v>
      </c>
      <c r="C432" s="71" t="s">
        <v>509</v>
      </c>
      <c r="D432" s="78">
        <v>1</v>
      </c>
      <c r="E432" s="79">
        <v>111.65</v>
      </c>
      <c r="F432" s="70">
        <v>111.65</v>
      </c>
      <c r="G432" s="320"/>
      <c r="H432" s="79">
        <v>0</v>
      </c>
      <c r="I432" s="79">
        <v>111.65</v>
      </c>
      <c r="J432" s="79">
        <v>111.65</v>
      </c>
      <c r="K432" s="79">
        <v>0</v>
      </c>
      <c r="L432" s="70">
        <v>111.65</v>
      </c>
      <c r="M432" s="132"/>
      <c r="N432" s="79"/>
      <c r="O432" s="79">
        <v>111.65</v>
      </c>
      <c r="P432" s="79">
        <v>111.65</v>
      </c>
      <c r="Q432" s="136"/>
      <c r="R432" s="79"/>
      <c r="S432" s="79">
        <v>111.66</v>
      </c>
      <c r="T432" s="79">
        <v>111.66</v>
      </c>
      <c r="U432" s="79">
        <v>0</v>
      </c>
      <c r="V432" s="189">
        <v>111.66</v>
      </c>
      <c r="X432" s="79"/>
      <c r="Y432" s="79">
        <v>111.66</v>
      </c>
      <c r="Z432" s="79">
        <v>111.66</v>
      </c>
      <c r="AA432" s="255">
        <v>-9.9999999999909051E-3</v>
      </c>
      <c r="AC432" s="254"/>
    </row>
    <row r="433" spans="1:29" ht="12">
      <c r="A433" s="67" t="s">
        <v>11339</v>
      </c>
      <c r="B433" s="65" t="s">
        <v>11340</v>
      </c>
      <c r="C433" s="71" t="s">
        <v>103</v>
      </c>
      <c r="D433" s="78">
        <v>1</v>
      </c>
      <c r="E433" s="79">
        <v>19.649999999999999</v>
      </c>
      <c r="F433" s="70">
        <v>19.649999999999999</v>
      </c>
      <c r="G433" s="320"/>
      <c r="H433" s="79">
        <v>0</v>
      </c>
      <c r="I433" s="79">
        <v>19.649999999999999</v>
      </c>
      <c r="J433" s="79">
        <v>19.649999999999999</v>
      </c>
      <c r="K433" s="79">
        <v>0</v>
      </c>
      <c r="L433" s="70">
        <v>19.649999999999999</v>
      </c>
      <c r="M433" s="132"/>
      <c r="N433" s="79"/>
      <c r="O433" s="79">
        <v>19.649999999999999</v>
      </c>
      <c r="P433" s="79">
        <v>19.649999999999999</v>
      </c>
      <c r="Q433" s="136"/>
      <c r="R433" s="79"/>
      <c r="S433" s="79">
        <v>19.64</v>
      </c>
      <c r="T433" s="79">
        <v>19.64</v>
      </c>
      <c r="U433" s="79">
        <v>0</v>
      </c>
      <c r="V433" s="189">
        <v>19.64</v>
      </c>
      <c r="X433" s="79"/>
      <c r="Y433" s="79">
        <v>19.64</v>
      </c>
      <c r="Z433" s="79">
        <v>19.64</v>
      </c>
      <c r="AA433" s="255">
        <v>9.9999999999980105E-3</v>
      </c>
      <c r="AC433" s="254"/>
    </row>
    <row r="434" spans="1:29" ht="12">
      <c r="A434" s="67" t="s">
        <v>11341</v>
      </c>
      <c r="B434" s="65" t="s">
        <v>11342</v>
      </c>
      <c r="C434" s="71" t="s">
        <v>103</v>
      </c>
      <c r="D434" s="78">
        <v>1</v>
      </c>
      <c r="E434" s="79">
        <v>111.65</v>
      </c>
      <c r="F434" s="70">
        <v>111.65</v>
      </c>
      <c r="G434" s="320"/>
      <c r="H434" s="79">
        <v>0</v>
      </c>
      <c r="I434" s="79">
        <v>111.65</v>
      </c>
      <c r="J434" s="79">
        <v>111.65</v>
      </c>
      <c r="K434" s="79">
        <v>0</v>
      </c>
      <c r="L434" s="70">
        <v>111.65</v>
      </c>
      <c r="M434" s="132"/>
      <c r="N434" s="79"/>
      <c r="O434" s="79">
        <v>111.65</v>
      </c>
      <c r="P434" s="79">
        <v>111.65</v>
      </c>
      <c r="Q434" s="136"/>
      <c r="R434" s="79"/>
      <c r="S434" s="79">
        <v>111.66</v>
      </c>
      <c r="T434" s="79">
        <v>111.66</v>
      </c>
      <c r="U434" s="79">
        <v>0</v>
      </c>
      <c r="V434" s="189">
        <v>111.66</v>
      </c>
      <c r="X434" s="79"/>
      <c r="Y434" s="79">
        <v>111.66</v>
      </c>
      <c r="Z434" s="79">
        <v>111.66</v>
      </c>
      <c r="AA434" s="255">
        <v>-9.9999999999909051E-3</v>
      </c>
      <c r="AC434" s="254"/>
    </row>
    <row r="435" spans="1:29" ht="12">
      <c r="A435" s="67" t="s">
        <v>11343</v>
      </c>
      <c r="B435" s="65" t="s">
        <v>11344</v>
      </c>
      <c r="C435" s="71" t="s">
        <v>103</v>
      </c>
      <c r="D435" s="78">
        <v>1</v>
      </c>
      <c r="E435" s="79">
        <v>26.5</v>
      </c>
      <c r="F435" s="70">
        <v>26.5</v>
      </c>
      <c r="G435" s="320"/>
      <c r="H435" s="79">
        <v>0</v>
      </c>
      <c r="I435" s="79">
        <v>26.5</v>
      </c>
      <c r="J435" s="79">
        <v>26.5</v>
      </c>
      <c r="K435" s="79">
        <v>0</v>
      </c>
      <c r="L435" s="70">
        <v>26.5</v>
      </c>
      <c r="M435" s="132"/>
      <c r="N435" s="79"/>
      <c r="O435" s="79">
        <v>26.5</v>
      </c>
      <c r="P435" s="79">
        <v>26.5</v>
      </c>
      <c r="Q435" s="136"/>
      <c r="R435" s="79"/>
      <c r="S435" s="79">
        <v>26.5</v>
      </c>
      <c r="T435" s="79">
        <v>26.5</v>
      </c>
      <c r="U435" s="79">
        <v>0</v>
      </c>
      <c r="V435" s="189">
        <v>26.5</v>
      </c>
      <c r="X435" s="79"/>
      <c r="Y435" s="79">
        <v>26.5</v>
      </c>
      <c r="Z435" s="79">
        <v>26.5</v>
      </c>
      <c r="AA435" s="255">
        <v>0</v>
      </c>
      <c r="AC435" s="254"/>
    </row>
    <row r="436" spans="1:29" ht="12">
      <c r="A436" s="67" t="s">
        <v>11345</v>
      </c>
      <c r="B436" s="65" t="s">
        <v>11346</v>
      </c>
      <c r="C436" s="71" t="s">
        <v>103</v>
      </c>
      <c r="D436" s="78">
        <v>1</v>
      </c>
      <c r="E436" s="79">
        <v>4.54</v>
      </c>
      <c r="F436" s="70">
        <v>4.54</v>
      </c>
      <c r="G436" s="320"/>
      <c r="H436" s="79">
        <v>0</v>
      </c>
      <c r="I436" s="79">
        <v>4.54</v>
      </c>
      <c r="J436" s="79">
        <v>4.54</v>
      </c>
      <c r="K436" s="79">
        <v>0</v>
      </c>
      <c r="L436" s="70">
        <v>4.54</v>
      </c>
      <c r="M436" s="132"/>
      <c r="N436" s="79"/>
      <c r="O436" s="79">
        <v>4.54</v>
      </c>
      <c r="P436" s="79">
        <v>4.54</v>
      </c>
      <c r="Q436" s="136"/>
      <c r="R436" s="79"/>
      <c r="S436" s="79">
        <v>4.54</v>
      </c>
      <c r="T436" s="79">
        <v>4.54</v>
      </c>
      <c r="U436" s="79">
        <v>0</v>
      </c>
      <c r="V436" s="189">
        <v>4.54</v>
      </c>
      <c r="X436" s="79"/>
      <c r="Y436" s="79">
        <v>4.54</v>
      </c>
      <c r="Z436" s="79">
        <v>4.54</v>
      </c>
      <c r="AA436" s="255">
        <v>0</v>
      </c>
      <c r="AC436" s="254"/>
    </row>
    <row r="437" spans="1:29" ht="12">
      <c r="A437" s="67" t="s">
        <v>11347</v>
      </c>
      <c r="B437" s="65" t="s">
        <v>11348</v>
      </c>
      <c r="C437" s="71" t="s">
        <v>103</v>
      </c>
      <c r="D437" s="78">
        <v>1</v>
      </c>
      <c r="E437" s="79">
        <v>4.54</v>
      </c>
      <c r="F437" s="70">
        <v>4.54</v>
      </c>
      <c r="G437" s="320"/>
      <c r="H437" s="79">
        <v>0</v>
      </c>
      <c r="I437" s="79">
        <v>4.54</v>
      </c>
      <c r="J437" s="79">
        <v>4.54</v>
      </c>
      <c r="K437" s="79">
        <v>0</v>
      </c>
      <c r="L437" s="70">
        <v>4.54</v>
      </c>
      <c r="M437" s="132"/>
      <c r="N437" s="79"/>
      <c r="O437" s="79">
        <v>4.54</v>
      </c>
      <c r="P437" s="79">
        <v>4.54</v>
      </c>
      <c r="Q437" s="136"/>
      <c r="R437" s="79"/>
      <c r="S437" s="79">
        <v>4.54</v>
      </c>
      <c r="T437" s="79">
        <v>4.54</v>
      </c>
      <c r="U437" s="79">
        <v>0</v>
      </c>
      <c r="V437" s="189">
        <v>4.54</v>
      </c>
      <c r="X437" s="79"/>
      <c r="Y437" s="79">
        <v>4.54</v>
      </c>
      <c r="Z437" s="79">
        <v>4.54</v>
      </c>
      <c r="AA437" s="255">
        <v>0</v>
      </c>
      <c r="AC437" s="254"/>
    </row>
    <row r="438" spans="1:29" ht="12">
      <c r="A438" s="67" t="s">
        <v>11349</v>
      </c>
      <c r="B438" s="65" t="s">
        <v>11350</v>
      </c>
      <c r="C438" s="71" t="s">
        <v>103</v>
      </c>
      <c r="D438" s="78">
        <v>1</v>
      </c>
      <c r="E438" s="79">
        <v>36.33</v>
      </c>
      <c r="F438" s="70">
        <v>36.33</v>
      </c>
      <c r="G438" s="320"/>
      <c r="H438" s="79">
        <v>0</v>
      </c>
      <c r="I438" s="79">
        <v>36.33</v>
      </c>
      <c r="J438" s="79">
        <v>36.33</v>
      </c>
      <c r="K438" s="79">
        <v>0</v>
      </c>
      <c r="L438" s="70">
        <v>36.33</v>
      </c>
      <c r="M438" s="132"/>
      <c r="N438" s="79"/>
      <c r="O438" s="79">
        <v>36.33</v>
      </c>
      <c r="P438" s="79">
        <v>36.33</v>
      </c>
      <c r="Q438" s="136"/>
      <c r="R438" s="79"/>
      <c r="S438" s="79">
        <v>36.340000000000003</v>
      </c>
      <c r="T438" s="79">
        <v>36.340000000000003</v>
      </c>
      <c r="U438" s="79">
        <v>0</v>
      </c>
      <c r="V438" s="189">
        <v>36.340000000000003</v>
      </c>
      <c r="X438" s="79"/>
      <c r="Y438" s="79">
        <v>36.340000000000003</v>
      </c>
      <c r="Z438" s="79">
        <v>36.340000000000003</v>
      </c>
      <c r="AA438" s="255">
        <v>-1.0000000000005116E-2</v>
      </c>
      <c r="AC438" s="254"/>
    </row>
    <row r="439" spans="1:29" ht="12">
      <c r="A439" s="489" t="s">
        <v>11351</v>
      </c>
      <c r="B439" s="490" t="s">
        <v>11352</v>
      </c>
      <c r="C439" s="491"/>
      <c r="D439" s="492"/>
      <c r="E439" s="79"/>
      <c r="F439" s="63"/>
      <c r="G439" s="320"/>
      <c r="H439" s="79"/>
      <c r="I439" s="79"/>
      <c r="J439" s="79"/>
      <c r="K439" s="79"/>
      <c r="L439" s="70"/>
      <c r="M439" s="132"/>
      <c r="N439" s="79"/>
      <c r="O439" s="79"/>
      <c r="P439" s="79"/>
      <c r="Q439" s="136"/>
      <c r="R439" s="79"/>
      <c r="S439" s="79"/>
      <c r="T439" s="79"/>
      <c r="U439" s="79"/>
      <c r="V439" s="189"/>
      <c r="X439" s="79"/>
      <c r="Y439" s="79"/>
      <c r="Z439" s="79"/>
      <c r="AA439" s="255"/>
      <c r="AC439" s="254"/>
    </row>
    <row r="440" spans="1:29" ht="12">
      <c r="A440" s="67" t="s">
        <v>11353</v>
      </c>
      <c r="B440" s="65" t="s">
        <v>11354</v>
      </c>
      <c r="C440" s="71" t="s">
        <v>103</v>
      </c>
      <c r="D440" s="78">
        <v>1</v>
      </c>
      <c r="E440" s="79">
        <v>5.68</v>
      </c>
      <c r="F440" s="70">
        <v>5.68</v>
      </c>
      <c r="G440" s="320"/>
      <c r="H440" s="79">
        <v>0</v>
      </c>
      <c r="I440" s="79">
        <v>5.68</v>
      </c>
      <c r="J440" s="79">
        <v>5.68</v>
      </c>
      <c r="K440" s="79">
        <v>0</v>
      </c>
      <c r="L440" s="70">
        <v>5.68</v>
      </c>
      <c r="M440" s="132"/>
      <c r="N440" s="79"/>
      <c r="O440" s="79">
        <v>5.68</v>
      </c>
      <c r="P440" s="79">
        <v>5.68</v>
      </c>
      <c r="Q440" s="136"/>
      <c r="R440" s="79"/>
      <c r="S440" s="79">
        <v>5.68</v>
      </c>
      <c r="T440" s="79">
        <v>5.68</v>
      </c>
      <c r="U440" s="79">
        <v>0</v>
      </c>
      <c r="V440" s="189">
        <v>5.68</v>
      </c>
      <c r="X440" s="79"/>
      <c r="Y440" s="79">
        <v>5.68</v>
      </c>
      <c r="Z440" s="79">
        <v>5.68</v>
      </c>
      <c r="AA440" s="255">
        <v>0</v>
      </c>
      <c r="AC440" s="254"/>
    </row>
    <row r="441" spans="1:29" ht="12">
      <c r="A441" s="67" t="s">
        <v>11355</v>
      </c>
      <c r="B441" s="65" t="s">
        <v>11356</v>
      </c>
      <c r="C441" s="71" t="s">
        <v>103</v>
      </c>
      <c r="D441" s="78">
        <v>1</v>
      </c>
      <c r="E441" s="79">
        <v>386.39</v>
      </c>
      <c r="F441" s="70">
        <v>386.39</v>
      </c>
      <c r="G441" s="320"/>
      <c r="H441" s="79">
        <v>0</v>
      </c>
      <c r="I441" s="79">
        <v>386.39</v>
      </c>
      <c r="J441" s="79">
        <v>386.39</v>
      </c>
      <c r="K441" s="79">
        <v>0</v>
      </c>
      <c r="L441" s="70">
        <v>386.39</v>
      </c>
      <c r="M441" s="132"/>
      <c r="N441" s="79"/>
      <c r="O441" s="79">
        <v>386.39</v>
      </c>
      <c r="P441" s="79">
        <v>386.39</v>
      </c>
      <c r="Q441" s="136"/>
      <c r="R441" s="79"/>
      <c r="S441" s="79">
        <v>386.42</v>
      </c>
      <c r="T441" s="79">
        <v>386.42</v>
      </c>
      <c r="U441" s="79">
        <v>0</v>
      </c>
      <c r="V441" s="189">
        <v>386.42</v>
      </c>
      <c r="X441" s="79"/>
      <c r="Y441" s="79">
        <v>386.42</v>
      </c>
      <c r="Z441" s="79">
        <v>386.42</v>
      </c>
      <c r="AA441" s="255">
        <v>-3.0000000000029559E-2</v>
      </c>
      <c r="AC441" s="254"/>
    </row>
    <row r="442" spans="1:29" ht="12">
      <c r="A442" s="67" t="s">
        <v>11357</v>
      </c>
      <c r="B442" s="65" t="s">
        <v>11358</v>
      </c>
      <c r="C442" s="71" t="s">
        <v>103</v>
      </c>
      <c r="D442" s="78">
        <v>1</v>
      </c>
      <c r="E442" s="79">
        <v>36.29</v>
      </c>
      <c r="F442" s="70">
        <v>36.29</v>
      </c>
      <c r="G442" s="320"/>
      <c r="H442" s="79">
        <v>0</v>
      </c>
      <c r="I442" s="79">
        <v>36.29</v>
      </c>
      <c r="J442" s="79">
        <v>36.29</v>
      </c>
      <c r="K442" s="79">
        <v>0</v>
      </c>
      <c r="L442" s="70">
        <v>36.29</v>
      </c>
      <c r="M442" s="132"/>
      <c r="N442" s="79"/>
      <c r="O442" s="79">
        <v>36.29</v>
      </c>
      <c r="P442" s="79">
        <v>36.29</v>
      </c>
      <c r="Q442" s="136"/>
      <c r="R442" s="79"/>
      <c r="S442" s="79">
        <v>36.29</v>
      </c>
      <c r="T442" s="79">
        <v>36.29</v>
      </c>
      <c r="U442" s="79">
        <v>0</v>
      </c>
      <c r="V442" s="189">
        <v>36.29</v>
      </c>
      <c r="X442" s="79"/>
      <c r="Y442" s="79">
        <v>36.29</v>
      </c>
      <c r="Z442" s="79">
        <v>36.29</v>
      </c>
      <c r="AA442" s="255">
        <v>0</v>
      </c>
      <c r="AC442" s="254"/>
    </row>
    <row r="443" spans="1:29" ht="12">
      <c r="A443" s="67" t="s">
        <v>11359</v>
      </c>
      <c r="B443" s="65" t="s">
        <v>11360</v>
      </c>
      <c r="C443" s="71" t="s">
        <v>103</v>
      </c>
      <c r="D443" s="78">
        <v>1</v>
      </c>
      <c r="E443" s="79">
        <v>700.88</v>
      </c>
      <c r="F443" s="70">
        <v>700.88</v>
      </c>
      <c r="G443" s="320"/>
      <c r="H443" s="79">
        <v>254.28</v>
      </c>
      <c r="I443" s="79">
        <v>446.6</v>
      </c>
      <c r="J443" s="79">
        <v>700.88</v>
      </c>
      <c r="K443" s="79">
        <v>0</v>
      </c>
      <c r="L443" s="70">
        <v>700.88</v>
      </c>
      <c r="M443" s="132"/>
      <c r="N443" s="79">
        <v>254.28</v>
      </c>
      <c r="O443" s="79">
        <v>446.6</v>
      </c>
      <c r="P443" s="79">
        <v>700.88</v>
      </c>
      <c r="Q443" s="136"/>
      <c r="R443" s="79">
        <v>254.28</v>
      </c>
      <c r="S443" s="79">
        <v>446.64</v>
      </c>
      <c r="T443" s="79">
        <v>700.92</v>
      </c>
      <c r="U443" s="79">
        <v>0</v>
      </c>
      <c r="V443" s="189">
        <v>700.92</v>
      </c>
      <c r="X443" s="79">
        <v>254.28</v>
      </c>
      <c r="Y443" s="79">
        <v>446.64</v>
      </c>
      <c r="Z443" s="79">
        <v>700.92</v>
      </c>
      <c r="AA443" s="255">
        <v>-3.999999999996362E-2</v>
      </c>
      <c r="AC443" s="254"/>
    </row>
    <row r="444" spans="1:29" ht="12">
      <c r="A444" s="67" t="s">
        <v>11361</v>
      </c>
      <c r="B444" s="65" t="s">
        <v>11362</v>
      </c>
      <c r="C444" s="71" t="s">
        <v>165</v>
      </c>
      <c r="D444" s="78">
        <v>1</v>
      </c>
      <c r="E444" s="79">
        <v>27.939999999999998</v>
      </c>
      <c r="F444" s="70">
        <v>27.94</v>
      </c>
      <c r="G444" s="320"/>
      <c r="H444" s="79">
        <v>0</v>
      </c>
      <c r="I444" s="79">
        <v>27.939999999999998</v>
      </c>
      <c r="J444" s="79">
        <v>27.939999999999998</v>
      </c>
      <c r="K444" s="79">
        <v>0</v>
      </c>
      <c r="L444" s="70">
        <v>27.939999999999998</v>
      </c>
      <c r="M444" s="132"/>
      <c r="N444" s="79"/>
      <c r="O444" s="79">
        <v>27.939999999999998</v>
      </c>
      <c r="P444" s="79">
        <v>27.939999999999998</v>
      </c>
      <c r="Q444" s="136"/>
      <c r="R444" s="79"/>
      <c r="S444" s="79">
        <v>27.92</v>
      </c>
      <c r="T444" s="79">
        <v>27.92</v>
      </c>
      <c r="U444" s="79">
        <v>0</v>
      </c>
      <c r="V444" s="189">
        <v>27.92</v>
      </c>
      <c r="X444" s="79"/>
      <c r="Y444" s="79">
        <v>27.92</v>
      </c>
      <c r="Z444" s="79">
        <v>27.92</v>
      </c>
      <c r="AA444" s="255">
        <v>1.9999999999999574E-2</v>
      </c>
      <c r="AC444" s="254"/>
    </row>
    <row r="445" spans="1:29" ht="12">
      <c r="A445" s="67" t="s">
        <v>11363</v>
      </c>
      <c r="B445" s="65" t="s">
        <v>11364</v>
      </c>
      <c r="C445" s="71" t="s">
        <v>165</v>
      </c>
      <c r="D445" s="78">
        <v>1</v>
      </c>
      <c r="E445" s="79">
        <v>13.969999999999999</v>
      </c>
      <c r="F445" s="70">
        <v>13.97</v>
      </c>
      <c r="G445" s="320"/>
      <c r="H445" s="79">
        <v>0</v>
      </c>
      <c r="I445" s="79">
        <v>13.969999999999999</v>
      </c>
      <c r="J445" s="79">
        <v>13.969999999999999</v>
      </c>
      <c r="K445" s="79">
        <v>0</v>
      </c>
      <c r="L445" s="70">
        <v>13.969999999999999</v>
      </c>
      <c r="M445" s="132"/>
      <c r="N445" s="79"/>
      <c r="O445" s="79">
        <v>13.969999999999999</v>
      </c>
      <c r="P445" s="79">
        <v>13.969999999999999</v>
      </c>
      <c r="Q445" s="136"/>
      <c r="R445" s="79"/>
      <c r="S445" s="79">
        <v>13.96</v>
      </c>
      <c r="T445" s="79">
        <v>13.96</v>
      </c>
      <c r="U445" s="79">
        <v>0</v>
      </c>
      <c r="V445" s="189">
        <v>13.96</v>
      </c>
      <c r="X445" s="79"/>
      <c r="Y445" s="79">
        <v>13.96</v>
      </c>
      <c r="Z445" s="79">
        <v>13.96</v>
      </c>
      <c r="AA445" s="255">
        <v>9.9999999999997868E-3</v>
      </c>
      <c r="AC445" s="254"/>
    </row>
    <row r="446" spans="1:29" ht="12">
      <c r="A446" s="67" t="s">
        <v>11365</v>
      </c>
      <c r="B446" s="65" t="s">
        <v>11366</v>
      </c>
      <c r="C446" s="71" t="s">
        <v>165</v>
      </c>
      <c r="D446" s="78">
        <v>1</v>
      </c>
      <c r="E446" s="79">
        <v>55.83</v>
      </c>
      <c r="F446" s="70">
        <v>55.83</v>
      </c>
      <c r="G446" s="320"/>
      <c r="H446" s="79">
        <v>0</v>
      </c>
      <c r="I446" s="79">
        <v>55.83</v>
      </c>
      <c r="J446" s="79">
        <v>55.83</v>
      </c>
      <c r="K446" s="79">
        <v>0</v>
      </c>
      <c r="L446" s="70">
        <v>55.83</v>
      </c>
      <c r="M446" s="132"/>
      <c r="N446" s="79"/>
      <c r="O446" s="79">
        <v>55.83</v>
      </c>
      <c r="P446" s="79">
        <v>55.83</v>
      </c>
      <c r="Q446" s="136"/>
      <c r="R446" s="79"/>
      <c r="S446" s="79">
        <v>55.83</v>
      </c>
      <c r="T446" s="79">
        <v>55.83</v>
      </c>
      <c r="U446" s="79">
        <v>0</v>
      </c>
      <c r="V446" s="189">
        <v>55.83</v>
      </c>
      <c r="X446" s="79"/>
      <c r="Y446" s="79">
        <v>55.83</v>
      </c>
      <c r="Z446" s="79">
        <v>55.83</v>
      </c>
      <c r="AA446" s="255">
        <v>0</v>
      </c>
      <c r="AC446" s="254"/>
    </row>
    <row r="447" spans="1:29" ht="12">
      <c r="A447" s="67" t="s">
        <v>11367</v>
      </c>
      <c r="B447" s="65" t="s">
        <v>11368</v>
      </c>
      <c r="C447" s="71" t="s">
        <v>165</v>
      </c>
      <c r="D447" s="78">
        <v>1</v>
      </c>
      <c r="E447" s="79">
        <v>27.939999999999998</v>
      </c>
      <c r="F447" s="70">
        <v>27.94</v>
      </c>
      <c r="G447" s="320"/>
      <c r="H447" s="79">
        <v>0</v>
      </c>
      <c r="I447" s="79">
        <v>27.939999999999998</v>
      </c>
      <c r="J447" s="79">
        <v>27.939999999999998</v>
      </c>
      <c r="K447" s="79">
        <v>0</v>
      </c>
      <c r="L447" s="70">
        <v>27.939999999999998</v>
      </c>
      <c r="M447" s="132"/>
      <c r="N447" s="79"/>
      <c r="O447" s="79">
        <v>27.939999999999998</v>
      </c>
      <c r="P447" s="79">
        <v>27.939999999999998</v>
      </c>
      <c r="Q447" s="136"/>
      <c r="R447" s="79"/>
      <c r="S447" s="79">
        <v>27.92</v>
      </c>
      <c r="T447" s="79">
        <v>27.92</v>
      </c>
      <c r="U447" s="79">
        <v>0</v>
      </c>
      <c r="V447" s="189">
        <v>27.92</v>
      </c>
      <c r="X447" s="79"/>
      <c r="Y447" s="79">
        <v>27.92</v>
      </c>
      <c r="Z447" s="79">
        <v>27.92</v>
      </c>
      <c r="AA447" s="255">
        <v>1.9999999999999574E-2</v>
      </c>
      <c r="AC447" s="254"/>
    </row>
    <row r="448" spans="1:29" ht="12">
      <c r="A448" s="67" t="s">
        <v>11369</v>
      </c>
      <c r="B448" s="65" t="s">
        <v>11370</v>
      </c>
      <c r="C448" s="71" t="s">
        <v>165</v>
      </c>
      <c r="D448" s="78">
        <v>1</v>
      </c>
      <c r="E448" s="79">
        <v>11.16</v>
      </c>
      <c r="F448" s="70">
        <v>11.16</v>
      </c>
      <c r="G448" s="320"/>
      <c r="H448" s="79">
        <v>0</v>
      </c>
      <c r="I448" s="79">
        <v>11.16</v>
      </c>
      <c r="J448" s="79">
        <v>11.16</v>
      </c>
      <c r="K448" s="79">
        <v>0</v>
      </c>
      <c r="L448" s="70">
        <v>11.16</v>
      </c>
      <c r="M448" s="132"/>
      <c r="N448" s="79"/>
      <c r="O448" s="79">
        <v>11.16</v>
      </c>
      <c r="P448" s="79">
        <v>11.16</v>
      </c>
      <c r="Q448" s="136"/>
      <c r="R448" s="79"/>
      <c r="S448" s="79">
        <v>11.16</v>
      </c>
      <c r="T448" s="79">
        <v>11.16</v>
      </c>
      <c r="U448" s="79">
        <v>0</v>
      </c>
      <c r="V448" s="189">
        <v>11.16</v>
      </c>
      <c r="X448" s="79"/>
      <c r="Y448" s="79">
        <v>11.16</v>
      </c>
      <c r="Z448" s="79">
        <v>11.16</v>
      </c>
      <c r="AA448" s="255">
        <v>0</v>
      </c>
      <c r="AC448" s="254"/>
    </row>
    <row r="449" spans="1:29" ht="12">
      <c r="A449" s="489" t="s">
        <v>11371</v>
      </c>
      <c r="B449" s="490" t="s">
        <v>11372</v>
      </c>
      <c r="C449" s="491"/>
      <c r="D449" s="492"/>
      <c r="E449" s="79"/>
      <c r="F449" s="63"/>
      <c r="G449" s="320"/>
      <c r="H449" s="79"/>
      <c r="I449" s="79"/>
      <c r="J449" s="79"/>
      <c r="K449" s="79"/>
      <c r="L449" s="70"/>
      <c r="M449" s="132"/>
      <c r="N449" s="79"/>
      <c r="O449" s="79"/>
      <c r="P449" s="79"/>
      <c r="Q449" s="136"/>
      <c r="R449" s="79"/>
      <c r="S449" s="79"/>
      <c r="T449" s="79"/>
      <c r="U449" s="79"/>
      <c r="V449" s="189"/>
      <c r="X449" s="79"/>
      <c r="Y449" s="79"/>
      <c r="Z449" s="79"/>
      <c r="AA449" s="255"/>
      <c r="AC449" s="254"/>
    </row>
    <row r="450" spans="1:29" ht="12">
      <c r="A450" s="67" t="s">
        <v>11373</v>
      </c>
      <c r="B450" s="65" t="s">
        <v>11374</v>
      </c>
      <c r="C450" s="71" t="s">
        <v>165</v>
      </c>
      <c r="D450" s="78">
        <v>1</v>
      </c>
      <c r="E450" s="79">
        <v>5.23</v>
      </c>
      <c r="F450" s="70">
        <v>5.23</v>
      </c>
      <c r="G450" s="320"/>
      <c r="H450" s="79">
        <v>0</v>
      </c>
      <c r="I450" s="79">
        <v>5.23</v>
      </c>
      <c r="J450" s="79">
        <v>5.23</v>
      </c>
      <c r="K450" s="79">
        <v>0</v>
      </c>
      <c r="L450" s="70">
        <v>5.23</v>
      </c>
      <c r="M450" s="132"/>
      <c r="N450" s="79"/>
      <c r="O450" s="79">
        <v>5.23</v>
      </c>
      <c r="P450" s="79">
        <v>5.23</v>
      </c>
      <c r="Q450" s="136"/>
      <c r="R450" s="79"/>
      <c r="S450" s="79">
        <v>5.22</v>
      </c>
      <c r="T450" s="79">
        <v>5.22</v>
      </c>
      <c r="U450" s="79">
        <v>0</v>
      </c>
      <c r="V450" s="189">
        <v>5.22</v>
      </c>
      <c r="X450" s="79"/>
      <c r="Y450" s="79">
        <v>5.22</v>
      </c>
      <c r="Z450" s="79">
        <v>5.22</v>
      </c>
      <c r="AA450" s="255">
        <v>1.0000000000000675E-2</v>
      </c>
      <c r="AC450" s="254"/>
    </row>
    <row r="451" spans="1:29" ht="12">
      <c r="A451" s="67" t="s">
        <v>11375</v>
      </c>
      <c r="B451" s="65" t="s">
        <v>11376</v>
      </c>
      <c r="C451" s="71" t="s">
        <v>165</v>
      </c>
      <c r="D451" s="78">
        <v>1</v>
      </c>
      <c r="E451" s="79">
        <v>3.4</v>
      </c>
      <c r="F451" s="70">
        <v>3.4</v>
      </c>
      <c r="G451" s="320"/>
      <c r="H451" s="79">
        <v>0</v>
      </c>
      <c r="I451" s="79">
        <v>3.4</v>
      </c>
      <c r="J451" s="79">
        <v>3.4</v>
      </c>
      <c r="K451" s="79">
        <v>0</v>
      </c>
      <c r="L451" s="70">
        <v>3.4</v>
      </c>
      <c r="M451" s="132"/>
      <c r="N451" s="79"/>
      <c r="O451" s="79">
        <v>3.4</v>
      </c>
      <c r="P451" s="79">
        <v>3.4</v>
      </c>
      <c r="Q451" s="136"/>
      <c r="R451" s="79"/>
      <c r="S451" s="79">
        <v>3.41</v>
      </c>
      <c r="T451" s="79">
        <v>3.41</v>
      </c>
      <c r="U451" s="79">
        <v>0</v>
      </c>
      <c r="V451" s="189">
        <v>3.41</v>
      </c>
      <c r="X451" s="79"/>
      <c r="Y451" s="79">
        <v>3.41</v>
      </c>
      <c r="Z451" s="79">
        <v>3.41</v>
      </c>
      <c r="AA451" s="255">
        <v>-1.0000000000000231E-2</v>
      </c>
      <c r="AC451" s="254"/>
    </row>
    <row r="452" spans="1:29" ht="12">
      <c r="A452" s="67" t="s">
        <v>11377</v>
      </c>
      <c r="B452" s="65" t="s">
        <v>11378</v>
      </c>
      <c r="C452" s="71" t="s">
        <v>165</v>
      </c>
      <c r="D452" s="78">
        <v>1</v>
      </c>
      <c r="E452" s="79">
        <v>9.08</v>
      </c>
      <c r="F452" s="70">
        <v>9.08</v>
      </c>
      <c r="G452" s="320"/>
      <c r="H452" s="79">
        <v>0</v>
      </c>
      <c r="I452" s="79">
        <v>9.08</v>
      </c>
      <c r="J452" s="79">
        <v>9.08</v>
      </c>
      <c r="K452" s="79">
        <v>0</v>
      </c>
      <c r="L452" s="70">
        <v>9.08</v>
      </c>
      <c r="M452" s="132"/>
      <c r="N452" s="79"/>
      <c r="O452" s="79">
        <v>9.08</v>
      </c>
      <c r="P452" s="79">
        <v>9.08</v>
      </c>
      <c r="Q452" s="136"/>
      <c r="R452" s="79"/>
      <c r="S452" s="79">
        <v>9.08</v>
      </c>
      <c r="T452" s="79">
        <v>9.08</v>
      </c>
      <c r="U452" s="79">
        <v>0</v>
      </c>
      <c r="V452" s="189">
        <v>9.08</v>
      </c>
      <c r="X452" s="79"/>
      <c r="Y452" s="79">
        <v>9.08</v>
      </c>
      <c r="Z452" s="79">
        <v>9.08</v>
      </c>
      <c r="AA452" s="255">
        <v>0</v>
      </c>
      <c r="AC452" s="254"/>
    </row>
    <row r="453" spans="1:29" ht="12">
      <c r="A453" s="67" t="s">
        <v>11379</v>
      </c>
      <c r="B453" s="65" t="s">
        <v>11380</v>
      </c>
      <c r="C453" s="71" t="s">
        <v>103</v>
      </c>
      <c r="D453" s="78">
        <v>1</v>
      </c>
      <c r="E453" s="79">
        <v>99.35</v>
      </c>
      <c r="F453" s="70">
        <v>99.35</v>
      </c>
      <c r="G453" s="320"/>
      <c r="H453" s="79">
        <v>0</v>
      </c>
      <c r="I453" s="79">
        <v>99.35</v>
      </c>
      <c r="J453" s="79">
        <v>99.35</v>
      </c>
      <c r="K453" s="79">
        <v>0</v>
      </c>
      <c r="L453" s="70">
        <v>99.35</v>
      </c>
      <c r="M453" s="132"/>
      <c r="N453" s="79"/>
      <c r="O453" s="79">
        <v>99.35</v>
      </c>
      <c r="P453" s="79">
        <v>99.35</v>
      </c>
      <c r="Q453" s="136"/>
      <c r="R453" s="79"/>
      <c r="S453" s="79">
        <v>99.36</v>
      </c>
      <c r="T453" s="79">
        <v>99.36</v>
      </c>
      <c r="U453" s="79">
        <v>0</v>
      </c>
      <c r="V453" s="189">
        <v>99.36</v>
      </c>
      <c r="X453" s="79"/>
      <c r="Y453" s="79">
        <v>99.36</v>
      </c>
      <c r="Z453" s="79">
        <v>99.36</v>
      </c>
      <c r="AA453" s="255">
        <v>-1.0000000000005116E-2</v>
      </c>
      <c r="AC453" s="254"/>
    </row>
    <row r="454" spans="1:29" ht="12">
      <c r="A454" s="67" t="s">
        <v>11381</v>
      </c>
      <c r="B454" s="65" t="s">
        <v>11382</v>
      </c>
      <c r="C454" s="71" t="s">
        <v>103</v>
      </c>
      <c r="D454" s="78">
        <v>1</v>
      </c>
      <c r="E454" s="79">
        <v>167.48</v>
      </c>
      <c r="F454" s="70">
        <v>167.48</v>
      </c>
      <c r="G454" s="320"/>
      <c r="H454" s="79">
        <v>0</v>
      </c>
      <c r="I454" s="79">
        <v>167.48</v>
      </c>
      <c r="J454" s="79">
        <v>167.48</v>
      </c>
      <c r="K454" s="79">
        <v>0</v>
      </c>
      <c r="L454" s="70">
        <v>167.48</v>
      </c>
      <c r="M454" s="132"/>
      <c r="N454" s="79"/>
      <c r="O454" s="79">
        <v>167.48</v>
      </c>
      <c r="P454" s="79">
        <v>167.48</v>
      </c>
      <c r="Q454" s="136"/>
      <c r="R454" s="79"/>
      <c r="S454" s="79">
        <v>167.49</v>
      </c>
      <c r="T454" s="79">
        <v>167.49</v>
      </c>
      <c r="U454" s="79">
        <v>0</v>
      </c>
      <c r="V454" s="189">
        <v>167.49</v>
      </c>
      <c r="X454" s="79"/>
      <c r="Y454" s="79">
        <v>167.49</v>
      </c>
      <c r="Z454" s="79">
        <v>167.49</v>
      </c>
      <c r="AA454" s="255">
        <v>-1.0000000000019327E-2</v>
      </c>
      <c r="AC454" s="254"/>
    </row>
    <row r="455" spans="1:29" ht="12">
      <c r="A455" s="489" t="s">
        <v>11383</v>
      </c>
      <c r="B455" s="490" t="s">
        <v>11384</v>
      </c>
      <c r="C455" s="491"/>
      <c r="D455" s="78"/>
      <c r="E455" s="79"/>
      <c r="F455" s="70"/>
      <c r="G455" s="320"/>
      <c r="H455" s="79"/>
      <c r="I455" s="79"/>
      <c r="J455" s="79"/>
      <c r="K455" s="79"/>
      <c r="L455" s="70"/>
      <c r="M455" s="132"/>
      <c r="N455" s="79"/>
      <c r="O455" s="79"/>
      <c r="P455" s="79"/>
      <c r="Q455" s="136"/>
      <c r="R455" s="79"/>
      <c r="S455" s="79"/>
      <c r="T455" s="79"/>
      <c r="U455" s="79"/>
      <c r="V455" s="189"/>
      <c r="X455" s="79"/>
      <c r="Y455" s="79"/>
      <c r="Z455" s="79"/>
      <c r="AA455" s="255"/>
      <c r="AC455" s="254"/>
    </row>
    <row r="456" spans="1:29" ht="12">
      <c r="A456" s="67" t="s">
        <v>11385</v>
      </c>
      <c r="B456" s="65" t="s">
        <v>11386</v>
      </c>
      <c r="C456" s="71" t="s">
        <v>103</v>
      </c>
      <c r="D456" s="78">
        <v>1</v>
      </c>
      <c r="E456" s="79">
        <v>15.7</v>
      </c>
      <c r="F456" s="70">
        <v>15.7</v>
      </c>
      <c r="G456" s="320"/>
      <c r="H456" s="79">
        <v>0</v>
      </c>
      <c r="I456" s="79">
        <v>15.7</v>
      </c>
      <c r="J456" s="79">
        <v>15.7</v>
      </c>
      <c r="K456" s="79">
        <v>0</v>
      </c>
      <c r="L456" s="70">
        <v>15.7</v>
      </c>
      <c r="M456" s="132"/>
      <c r="N456" s="79"/>
      <c r="O456" s="78">
        <v>15.7</v>
      </c>
      <c r="P456" s="79">
        <v>15.7</v>
      </c>
      <c r="Q456" s="136"/>
      <c r="R456" s="79"/>
      <c r="S456" s="79">
        <v>15.7</v>
      </c>
      <c r="T456" s="79">
        <v>15.7</v>
      </c>
      <c r="U456" s="79">
        <v>0</v>
      </c>
      <c r="V456" s="189">
        <v>15.7</v>
      </c>
      <c r="X456" s="78"/>
      <c r="Y456" s="78">
        <v>15.7</v>
      </c>
      <c r="Z456" s="79">
        <v>15.7</v>
      </c>
      <c r="AA456" s="255">
        <v>0</v>
      </c>
      <c r="AC456" s="254"/>
    </row>
    <row r="457" spans="1:29" ht="12">
      <c r="A457" s="489" t="s">
        <v>11387</v>
      </c>
      <c r="B457" s="490" t="s">
        <v>11388</v>
      </c>
      <c r="C457" s="491"/>
      <c r="D457" s="492"/>
      <c r="E457" s="79"/>
      <c r="F457" s="63"/>
      <c r="G457" s="320"/>
      <c r="H457" s="79"/>
      <c r="I457" s="79"/>
      <c r="J457" s="79"/>
      <c r="K457" s="79"/>
      <c r="L457" s="70"/>
      <c r="M457" s="132"/>
      <c r="N457" s="79"/>
      <c r="O457" s="79"/>
      <c r="P457" s="79"/>
      <c r="Q457" s="136"/>
      <c r="R457" s="79"/>
      <c r="S457" s="79"/>
      <c r="T457" s="79"/>
      <c r="U457" s="79"/>
      <c r="V457" s="189"/>
      <c r="X457" s="79"/>
      <c r="Y457" s="79"/>
      <c r="Z457" s="79"/>
      <c r="AA457" s="255"/>
      <c r="AC457" s="254"/>
    </row>
    <row r="458" spans="1:29" ht="12">
      <c r="A458" s="67" t="s">
        <v>11389</v>
      </c>
      <c r="B458" s="65" t="s">
        <v>11390</v>
      </c>
      <c r="C458" s="71" t="s">
        <v>103</v>
      </c>
      <c r="D458" s="78">
        <v>1</v>
      </c>
      <c r="E458" s="79">
        <v>25.310000000000002</v>
      </c>
      <c r="F458" s="70">
        <v>25.31</v>
      </c>
      <c r="G458" s="320"/>
      <c r="H458" s="79">
        <v>0</v>
      </c>
      <c r="I458" s="79">
        <v>25.310000000000002</v>
      </c>
      <c r="J458" s="79">
        <v>25.310000000000002</v>
      </c>
      <c r="K458" s="79">
        <v>0</v>
      </c>
      <c r="L458" s="70">
        <v>25.310000000000002</v>
      </c>
      <c r="M458" s="132"/>
      <c r="N458" s="79"/>
      <c r="O458" s="79">
        <v>25.310000000000002</v>
      </c>
      <c r="P458" s="79">
        <v>25.310000000000002</v>
      </c>
      <c r="Q458" s="136"/>
      <c r="R458" s="79"/>
      <c r="S458" s="79">
        <v>25.31</v>
      </c>
      <c r="T458" s="79">
        <v>25.31</v>
      </c>
      <c r="U458" s="79">
        <v>0</v>
      </c>
      <c r="V458" s="189">
        <v>25.31</v>
      </c>
      <c r="X458" s="79"/>
      <c r="Y458" s="79">
        <v>25.31</v>
      </c>
      <c r="Z458" s="79">
        <v>25.31</v>
      </c>
      <c r="AA458" s="255">
        <v>0</v>
      </c>
      <c r="AC458" s="254"/>
    </row>
    <row r="459" spans="1:29" ht="12">
      <c r="A459" s="489" t="s">
        <v>11391</v>
      </c>
      <c r="B459" s="490" t="s">
        <v>11392</v>
      </c>
      <c r="C459" s="491"/>
      <c r="D459" s="492"/>
      <c r="E459" s="79"/>
      <c r="F459" s="63"/>
      <c r="G459" s="320"/>
      <c r="H459" s="79"/>
      <c r="I459" s="79"/>
      <c r="J459" s="79"/>
      <c r="K459" s="79"/>
      <c r="L459" s="70"/>
      <c r="M459" s="132"/>
      <c r="N459" s="79"/>
      <c r="O459" s="79"/>
      <c r="P459" s="79"/>
      <c r="Q459" s="136"/>
      <c r="R459" s="79"/>
      <c r="S459" s="79"/>
      <c r="T459" s="79"/>
      <c r="U459" s="79"/>
      <c r="V459" s="189"/>
      <c r="X459" s="79"/>
      <c r="Y459" s="79"/>
      <c r="Z459" s="79"/>
      <c r="AA459" s="255"/>
      <c r="AC459" s="254"/>
    </row>
    <row r="460" spans="1:29" ht="24">
      <c r="A460" s="67" t="s">
        <v>11393</v>
      </c>
      <c r="B460" s="65" t="s">
        <v>11394</v>
      </c>
      <c r="C460" s="71" t="s">
        <v>165</v>
      </c>
      <c r="D460" s="78">
        <v>1</v>
      </c>
      <c r="E460" s="79">
        <v>9.9700000000000006</v>
      </c>
      <c r="F460" s="70">
        <v>9.9700000000000006</v>
      </c>
      <c r="G460" s="320"/>
      <c r="H460" s="79">
        <v>0.89</v>
      </c>
      <c r="I460" s="79">
        <v>9.08</v>
      </c>
      <c r="J460" s="79">
        <v>9.9700000000000006</v>
      </c>
      <c r="K460" s="79">
        <v>0</v>
      </c>
      <c r="L460" s="70">
        <v>9.9700000000000006</v>
      </c>
      <c r="M460" s="132"/>
      <c r="N460" s="79">
        <v>0.89</v>
      </c>
      <c r="O460" s="79">
        <v>9.08</v>
      </c>
      <c r="P460" s="79">
        <v>9.9700000000000006</v>
      </c>
      <c r="Q460" s="136"/>
      <c r="R460" s="79">
        <v>0.89</v>
      </c>
      <c r="S460" s="79">
        <v>9.08</v>
      </c>
      <c r="T460" s="79">
        <v>9.9700000000000006</v>
      </c>
      <c r="U460" s="79">
        <v>0</v>
      </c>
      <c r="V460" s="189">
        <v>9.9700000000000006</v>
      </c>
      <c r="X460" s="79">
        <v>0.89</v>
      </c>
      <c r="Y460" s="79">
        <v>9.08</v>
      </c>
      <c r="Z460" s="79">
        <v>9.9700000000000006</v>
      </c>
      <c r="AA460" s="255">
        <v>0</v>
      </c>
      <c r="AC460" s="254"/>
    </row>
    <row r="461" spans="1:29" ht="12">
      <c r="A461" s="67" t="s">
        <v>11395</v>
      </c>
      <c r="B461" s="65" t="s">
        <v>11396</v>
      </c>
      <c r="C461" s="71" t="s">
        <v>165</v>
      </c>
      <c r="D461" s="78">
        <v>1</v>
      </c>
      <c r="E461" s="79">
        <v>4.54</v>
      </c>
      <c r="F461" s="70">
        <v>4.54</v>
      </c>
      <c r="G461" s="320"/>
      <c r="H461" s="79">
        <v>0</v>
      </c>
      <c r="I461" s="79">
        <v>4.54</v>
      </c>
      <c r="J461" s="79">
        <v>4.54</v>
      </c>
      <c r="K461" s="79">
        <v>0</v>
      </c>
      <c r="L461" s="70">
        <v>4.54</v>
      </c>
      <c r="M461" s="132"/>
      <c r="N461" s="79"/>
      <c r="O461" s="79">
        <v>4.54</v>
      </c>
      <c r="P461" s="79">
        <v>4.54</v>
      </c>
      <c r="Q461" s="136"/>
      <c r="R461" s="79"/>
      <c r="S461" s="79">
        <v>4.54</v>
      </c>
      <c r="T461" s="79">
        <v>4.54</v>
      </c>
      <c r="U461" s="79">
        <v>0</v>
      </c>
      <c r="V461" s="189">
        <v>4.54</v>
      </c>
      <c r="X461" s="79"/>
      <c r="Y461" s="79">
        <v>4.54</v>
      </c>
      <c r="Z461" s="79">
        <v>4.54</v>
      </c>
      <c r="AA461" s="255">
        <v>0</v>
      </c>
      <c r="AC461" s="254"/>
    </row>
    <row r="462" spans="1:29" ht="12">
      <c r="A462" s="67" t="s">
        <v>11397</v>
      </c>
      <c r="B462" s="65" t="s">
        <v>11398</v>
      </c>
      <c r="C462" s="71" t="s">
        <v>165</v>
      </c>
      <c r="D462" s="78">
        <v>1</v>
      </c>
      <c r="E462" s="79">
        <v>9.08</v>
      </c>
      <c r="F462" s="70">
        <v>9.08</v>
      </c>
      <c r="G462" s="320"/>
      <c r="H462" s="79">
        <v>0</v>
      </c>
      <c r="I462" s="79">
        <v>9.08</v>
      </c>
      <c r="J462" s="79">
        <v>9.08</v>
      </c>
      <c r="K462" s="79">
        <v>0</v>
      </c>
      <c r="L462" s="70">
        <v>9.08</v>
      </c>
      <c r="M462" s="132"/>
      <c r="N462" s="79"/>
      <c r="O462" s="79">
        <v>9.08</v>
      </c>
      <c r="P462" s="79">
        <v>9.08</v>
      </c>
      <c r="Q462" s="136"/>
      <c r="R462" s="79"/>
      <c r="S462" s="79">
        <v>9.08</v>
      </c>
      <c r="T462" s="79">
        <v>9.08</v>
      </c>
      <c r="U462" s="79">
        <v>0</v>
      </c>
      <c r="V462" s="189">
        <v>9.08</v>
      </c>
      <c r="X462" s="79"/>
      <c r="Y462" s="79">
        <v>9.08</v>
      </c>
      <c r="Z462" s="79">
        <v>9.08</v>
      </c>
      <c r="AA462" s="255">
        <v>0</v>
      </c>
      <c r="AC462" s="254"/>
    </row>
    <row r="463" spans="1:29" ht="24">
      <c r="A463" s="67" t="s">
        <v>11399</v>
      </c>
      <c r="B463" s="65" t="s">
        <v>11400</v>
      </c>
      <c r="C463" s="71" t="s">
        <v>509</v>
      </c>
      <c r="D463" s="78">
        <v>1</v>
      </c>
      <c r="E463" s="79">
        <v>20.729999999999997</v>
      </c>
      <c r="F463" s="70">
        <v>20.73</v>
      </c>
      <c r="G463" s="320"/>
      <c r="H463" s="79">
        <v>7.1</v>
      </c>
      <c r="I463" s="79">
        <v>13.629999999999999</v>
      </c>
      <c r="J463" s="79">
        <v>20.729999999999997</v>
      </c>
      <c r="K463" s="79">
        <v>0</v>
      </c>
      <c r="L463" s="70">
        <v>20.729999999999997</v>
      </c>
      <c r="M463" s="132"/>
      <c r="N463" s="79">
        <v>7.1</v>
      </c>
      <c r="O463" s="79">
        <v>13.629999999999999</v>
      </c>
      <c r="P463" s="79">
        <v>20.729999999999997</v>
      </c>
      <c r="Q463" s="136"/>
      <c r="R463" s="79">
        <v>7.1</v>
      </c>
      <c r="S463" s="79">
        <v>13.63</v>
      </c>
      <c r="T463" s="79">
        <v>20.73</v>
      </c>
      <c r="U463" s="79">
        <v>0</v>
      </c>
      <c r="V463" s="189">
        <v>20.73</v>
      </c>
      <c r="X463" s="79">
        <v>7.1</v>
      </c>
      <c r="Y463" s="79">
        <v>13.63</v>
      </c>
      <c r="Z463" s="79">
        <v>20.73</v>
      </c>
      <c r="AA463" s="255">
        <v>0</v>
      </c>
      <c r="AC463" s="254"/>
    </row>
    <row r="464" spans="1:29" ht="12">
      <c r="A464" s="67" t="s">
        <v>11401</v>
      </c>
      <c r="B464" s="65" t="s">
        <v>11402</v>
      </c>
      <c r="C464" s="71" t="s">
        <v>509</v>
      </c>
      <c r="D464" s="78">
        <v>1</v>
      </c>
      <c r="E464" s="79">
        <v>13.629999999999999</v>
      </c>
      <c r="F464" s="70">
        <v>13.63</v>
      </c>
      <c r="G464" s="320"/>
      <c r="H464" s="79">
        <v>0</v>
      </c>
      <c r="I464" s="79">
        <v>13.629999999999999</v>
      </c>
      <c r="J464" s="79">
        <v>13.629999999999999</v>
      </c>
      <c r="K464" s="79">
        <v>0</v>
      </c>
      <c r="L464" s="70">
        <v>13.629999999999999</v>
      </c>
      <c r="M464" s="132"/>
      <c r="N464" s="79"/>
      <c r="O464" s="79">
        <v>13.629999999999999</v>
      </c>
      <c r="P464" s="79">
        <v>13.629999999999999</v>
      </c>
      <c r="Q464" s="136"/>
      <c r="R464" s="79"/>
      <c r="S464" s="79">
        <v>13.63</v>
      </c>
      <c r="T464" s="79">
        <v>13.63</v>
      </c>
      <c r="U464" s="79">
        <v>0</v>
      </c>
      <c r="V464" s="189">
        <v>13.63</v>
      </c>
      <c r="X464" s="79"/>
      <c r="Y464" s="79">
        <v>13.63</v>
      </c>
      <c r="Z464" s="79">
        <v>13.63</v>
      </c>
      <c r="AA464" s="255">
        <v>0</v>
      </c>
      <c r="AC464" s="254"/>
    </row>
    <row r="465" spans="1:29" ht="12">
      <c r="A465" s="489" t="s">
        <v>11403</v>
      </c>
      <c r="B465" s="490" t="s">
        <v>11404</v>
      </c>
      <c r="C465" s="71"/>
      <c r="D465" s="78"/>
      <c r="E465" s="79"/>
      <c r="F465" s="70"/>
      <c r="G465" s="320"/>
      <c r="H465" s="79"/>
      <c r="I465" s="79"/>
      <c r="J465" s="79"/>
      <c r="K465" s="79"/>
      <c r="L465" s="70"/>
      <c r="M465" s="132"/>
      <c r="N465" s="79"/>
      <c r="O465" s="79"/>
      <c r="P465" s="79"/>
      <c r="Q465" s="136"/>
      <c r="R465" s="79"/>
      <c r="S465" s="79"/>
      <c r="T465" s="79"/>
      <c r="U465" s="79"/>
      <c r="V465" s="189"/>
      <c r="X465" s="79"/>
      <c r="Y465" s="79"/>
      <c r="Z465" s="79"/>
      <c r="AA465" s="255"/>
      <c r="AC465" s="254"/>
    </row>
    <row r="466" spans="1:29" ht="12">
      <c r="A466" s="67" t="s">
        <v>11405</v>
      </c>
      <c r="B466" s="65" t="s">
        <v>11406</v>
      </c>
      <c r="C466" s="71" t="s">
        <v>509</v>
      </c>
      <c r="D466" s="78">
        <v>1</v>
      </c>
      <c r="E466" s="79">
        <v>62.59</v>
      </c>
      <c r="F466" s="70">
        <v>62.59</v>
      </c>
      <c r="G466" s="320"/>
      <c r="H466" s="79">
        <v>42.46</v>
      </c>
      <c r="I466" s="79">
        <v>20.130000000000003</v>
      </c>
      <c r="J466" s="79">
        <v>62.59</v>
      </c>
      <c r="K466" s="79">
        <v>0</v>
      </c>
      <c r="L466" s="70">
        <v>62.59</v>
      </c>
      <c r="M466" s="132"/>
      <c r="N466" s="79">
        <v>42.46</v>
      </c>
      <c r="O466" s="79">
        <v>20.130000000000003</v>
      </c>
      <c r="P466" s="79">
        <v>62.59</v>
      </c>
      <c r="Q466" s="136"/>
      <c r="R466" s="79">
        <v>42.46</v>
      </c>
      <c r="S466" s="79">
        <v>20.14</v>
      </c>
      <c r="T466" s="79">
        <v>62.6</v>
      </c>
      <c r="U466" s="79">
        <v>0</v>
      </c>
      <c r="V466" s="189">
        <v>62.6</v>
      </c>
      <c r="X466" s="79">
        <v>42.46</v>
      </c>
      <c r="Y466" s="79">
        <v>20.14</v>
      </c>
      <c r="Z466" s="79">
        <v>62.6</v>
      </c>
      <c r="AA466" s="255">
        <v>-9.9999999999980105E-3</v>
      </c>
      <c r="AC466" s="254"/>
    </row>
    <row r="467" spans="1:29" ht="12">
      <c r="A467" s="489" t="s">
        <v>11407</v>
      </c>
      <c r="B467" s="490" t="s">
        <v>11408</v>
      </c>
      <c r="C467" s="491"/>
      <c r="D467" s="492"/>
      <c r="E467" s="79"/>
      <c r="F467" s="63"/>
      <c r="G467" s="320"/>
      <c r="H467" s="79"/>
      <c r="I467" s="79"/>
      <c r="J467" s="79"/>
      <c r="K467" s="79"/>
      <c r="L467" s="70"/>
      <c r="M467" s="132"/>
      <c r="N467" s="79"/>
      <c r="O467" s="79"/>
      <c r="P467" s="79"/>
      <c r="Q467" s="136"/>
      <c r="R467" s="79"/>
      <c r="S467" s="79"/>
      <c r="T467" s="79"/>
      <c r="U467" s="79"/>
      <c r="V467" s="189"/>
      <c r="X467" s="79"/>
      <c r="Y467" s="79"/>
      <c r="Z467" s="79"/>
      <c r="AA467" s="255"/>
      <c r="AC467" s="254"/>
    </row>
    <row r="468" spans="1:29" ht="12">
      <c r="A468" s="489" t="s">
        <v>11409</v>
      </c>
      <c r="B468" s="490" t="s">
        <v>11410</v>
      </c>
      <c r="C468" s="491"/>
      <c r="D468" s="492"/>
      <c r="E468" s="79"/>
      <c r="F468" s="63"/>
      <c r="G468" s="320"/>
      <c r="H468" s="79"/>
      <c r="I468" s="79"/>
      <c r="J468" s="79"/>
      <c r="K468" s="79"/>
      <c r="L468" s="70"/>
      <c r="M468" s="132"/>
      <c r="N468" s="79"/>
      <c r="O468" s="79"/>
      <c r="P468" s="79"/>
      <c r="Q468" s="136"/>
      <c r="R468" s="79"/>
      <c r="S468" s="79"/>
      <c r="T468" s="79"/>
      <c r="U468" s="79"/>
      <c r="V468" s="189"/>
      <c r="X468" s="79"/>
      <c r="Y468" s="79"/>
      <c r="Z468" s="79"/>
      <c r="AA468" s="255"/>
      <c r="AC468" s="254"/>
    </row>
    <row r="469" spans="1:29" ht="12">
      <c r="A469" s="67" t="s">
        <v>11411</v>
      </c>
      <c r="B469" s="65" t="s">
        <v>11412</v>
      </c>
      <c r="C469" s="71" t="s">
        <v>121</v>
      </c>
      <c r="D469" s="78">
        <v>1</v>
      </c>
      <c r="E469" s="79">
        <v>149.09</v>
      </c>
      <c r="F469" s="70">
        <v>149.09</v>
      </c>
      <c r="G469" s="320"/>
      <c r="H469" s="79">
        <v>26.46</v>
      </c>
      <c r="I469" s="79">
        <v>122.63</v>
      </c>
      <c r="J469" s="79">
        <v>149.09</v>
      </c>
      <c r="K469" s="79">
        <v>0</v>
      </c>
      <c r="L469" s="70">
        <v>149.09</v>
      </c>
      <c r="M469" s="132"/>
      <c r="N469" s="79">
        <v>26.46</v>
      </c>
      <c r="O469" s="79">
        <v>122.63</v>
      </c>
      <c r="P469" s="79">
        <v>149.09</v>
      </c>
      <c r="Q469" s="136"/>
      <c r="R469" s="79">
        <v>26.46</v>
      </c>
      <c r="S469" s="79">
        <v>122.63</v>
      </c>
      <c r="T469" s="79">
        <v>149.09</v>
      </c>
      <c r="U469" s="79">
        <v>0</v>
      </c>
      <c r="V469" s="189">
        <v>149.09</v>
      </c>
      <c r="X469" s="79">
        <v>26.46</v>
      </c>
      <c r="Y469" s="79">
        <v>122.63</v>
      </c>
      <c r="Z469" s="79">
        <v>149.09</v>
      </c>
      <c r="AA469" s="255">
        <v>0</v>
      </c>
      <c r="AC469" s="254"/>
    </row>
    <row r="470" spans="1:29" ht="12">
      <c r="A470" s="489" t="s">
        <v>11413</v>
      </c>
      <c r="B470" s="490" t="s">
        <v>11414</v>
      </c>
      <c r="C470" s="491"/>
      <c r="D470" s="492"/>
      <c r="E470" s="79"/>
      <c r="F470" s="63"/>
      <c r="G470" s="320"/>
      <c r="H470" s="79"/>
      <c r="I470" s="79"/>
      <c r="J470" s="79"/>
      <c r="K470" s="79"/>
      <c r="L470" s="70"/>
      <c r="M470" s="132"/>
      <c r="N470" s="79"/>
      <c r="O470" s="79"/>
      <c r="P470" s="79"/>
      <c r="Q470" s="136"/>
      <c r="R470" s="79"/>
      <c r="S470" s="79"/>
      <c r="T470" s="79"/>
      <c r="U470" s="79"/>
      <c r="V470" s="189"/>
      <c r="X470" s="79"/>
      <c r="Y470" s="79"/>
      <c r="Z470" s="79"/>
      <c r="AA470" s="255"/>
      <c r="AC470" s="254"/>
    </row>
    <row r="471" spans="1:29" ht="24">
      <c r="A471" s="67" t="s">
        <v>11415</v>
      </c>
      <c r="B471" s="65" t="s">
        <v>11416</v>
      </c>
      <c r="C471" s="71" t="s">
        <v>121</v>
      </c>
      <c r="D471" s="78">
        <v>1</v>
      </c>
      <c r="E471" s="79">
        <v>112.66</v>
      </c>
      <c r="F471" s="70">
        <v>112.66</v>
      </c>
      <c r="G471" s="320"/>
      <c r="H471" s="79">
        <v>99.03</v>
      </c>
      <c r="I471" s="79">
        <v>13.629999999999999</v>
      </c>
      <c r="J471" s="79">
        <v>112.66</v>
      </c>
      <c r="K471" s="79">
        <v>0</v>
      </c>
      <c r="L471" s="70">
        <v>112.66</v>
      </c>
      <c r="M471" s="132"/>
      <c r="N471" s="78">
        <v>99.03</v>
      </c>
      <c r="O471" s="78">
        <v>13.629999999999999</v>
      </c>
      <c r="P471" s="79">
        <v>112.66</v>
      </c>
      <c r="Q471" s="136"/>
      <c r="R471" s="79">
        <v>99.03</v>
      </c>
      <c r="S471" s="79">
        <v>13.63</v>
      </c>
      <c r="T471" s="79">
        <v>112.66</v>
      </c>
      <c r="U471" s="79">
        <v>0</v>
      </c>
      <c r="V471" s="189">
        <v>112.66</v>
      </c>
      <c r="X471" s="78">
        <v>99.03</v>
      </c>
      <c r="Y471" s="78">
        <v>13.63</v>
      </c>
      <c r="Z471" s="79">
        <v>112.66</v>
      </c>
      <c r="AA471" s="255">
        <v>0</v>
      </c>
      <c r="AC471" s="254"/>
    </row>
    <row r="472" spans="1:29" ht="24">
      <c r="A472" s="67" t="s">
        <v>11417</v>
      </c>
      <c r="B472" s="65" t="s">
        <v>11418</v>
      </c>
      <c r="C472" s="71" t="s">
        <v>121</v>
      </c>
      <c r="D472" s="78">
        <v>1</v>
      </c>
      <c r="E472" s="79">
        <v>136.22999999999999</v>
      </c>
      <c r="F472" s="70">
        <v>136.22999999999999</v>
      </c>
      <c r="G472" s="320"/>
      <c r="H472" s="79">
        <v>122.6</v>
      </c>
      <c r="I472" s="79">
        <v>13.629999999999999</v>
      </c>
      <c r="J472" s="79">
        <v>136.22999999999999</v>
      </c>
      <c r="K472" s="79">
        <v>0</v>
      </c>
      <c r="L472" s="70">
        <v>136.22999999999999</v>
      </c>
      <c r="M472" s="132"/>
      <c r="N472" s="78">
        <v>122.6</v>
      </c>
      <c r="O472" s="78">
        <v>13.629999999999999</v>
      </c>
      <c r="P472" s="79">
        <v>136.22999999999999</v>
      </c>
      <c r="Q472" s="136"/>
      <c r="R472" s="79">
        <v>122.6</v>
      </c>
      <c r="S472" s="79">
        <v>13.63</v>
      </c>
      <c r="T472" s="79">
        <v>136.22999999999999</v>
      </c>
      <c r="U472" s="79">
        <v>0</v>
      </c>
      <c r="V472" s="189">
        <v>136.22999999999999</v>
      </c>
      <c r="X472" s="78">
        <v>122.6</v>
      </c>
      <c r="Y472" s="78">
        <v>13.63</v>
      </c>
      <c r="Z472" s="79">
        <v>136.22999999999999</v>
      </c>
      <c r="AA472" s="255">
        <v>0</v>
      </c>
      <c r="AC472" s="254"/>
    </row>
    <row r="473" spans="1:29" ht="24">
      <c r="A473" s="67" t="s">
        <v>11419</v>
      </c>
      <c r="B473" s="65" t="s">
        <v>11420</v>
      </c>
      <c r="C473" s="71" t="s">
        <v>121</v>
      </c>
      <c r="D473" s="78">
        <v>1</v>
      </c>
      <c r="E473" s="79">
        <v>139.03</v>
      </c>
      <c r="F473" s="70">
        <v>139.03</v>
      </c>
      <c r="G473" s="320"/>
      <c r="H473" s="79">
        <v>125.4</v>
      </c>
      <c r="I473" s="79">
        <v>13.629999999999999</v>
      </c>
      <c r="J473" s="79">
        <v>139.03</v>
      </c>
      <c r="K473" s="79">
        <v>0</v>
      </c>
      <c r="L473" s="70">
        <v>139.03</v>
      </c>
      <c r="M473" s="132"/>
      <c r="N473" s="78">
        <v>125.4</v>
      </c>
      <c r="O473" s="78">
        <v>13.629999999999999</v>
      </c>
      <c r="P473" s="79">
        <v>139.03</v>
      </c>
      <c r="Q473" s="136"/>
      <c r="R473" s="79">
        <v>125.4</v>
      </c>
      <c r="S473" s="79">
        <v>13.63</v>
      </c>
      <c r="T473" s="79">
        <v>139.03</v>
      </c>
      <c r="U473" s="79">
        <v>0</v>
      </c>
      <c r="V473" s="189">
        <v>139.03</v>
      </c>
      <c r="X473" s="78">
        <v>125.4</v>
      </c>
      <c r="Y473" s="78">
        <v>13.63</v>
      </c>
      <c r="Z473" s="79">
        <v>139.03</v>
      </c>
      <c r="AA473" s="255">
        <v>0</v>
      </c>
      <c r="AC473" s="254"/>
    </row>
    <row r="474" spans="1:29" ht="12">
      <c r="A474" s="67" t="s">
        <v>11421</v>
      </c>
      <c r="B474" s="65" t="s">
        <v>11422</v>
      </c>
      <c r="C474" s="71" t="s">
        <v>121</v>
      </c>
      <c r="D474" s="78">
        <v>1</v>
      </c>
      <c r="E474" s="79">
        <v>136.78</v>
      </c>
      <c r="F474" s="70">
        <v>136.78</v>
      </c>
      <c r="G474" s="320"/>
      <c r="H474" s="79">
        <v>123.15</v>
      </c>
      <c r="I474" s="79">
        <v>13.629999999999999</v>
      </c>
      <c r="J474" s="79">
        <v>136.78</v>
      </c>
      <c r="K474" s="79">
        <v>0</v>
      </c>
      <c r="L474" s="70">
        <v>136.78</v>
      </c>
      <c r="M474" s="132"/>
      <c r="N474" s="78">
        <v>123.15</v>
      </c>
      <c r="O474" s="78">
        <v>13.629999999999999</v>
      </c>
      <c r="P474" s="79">
        <v>136.78</v>
      </c>
      <c r="Q474" s="136"/>
      <c r="R474" s="79">
        <v>123.15</v>
      </c>
      <c r="S474" s="79">
        <v>13.63</v>
      </c>
      <c r="T474" s="79">
        <v>136.78</v>
      </c>
      <c r="U474" s="79">
        <v>0</v>
      </c>
      <c r="V474" s="189">
        <v>136.78</v>
      </c>
      <c r="X474" s="78">
        <v>123.15</v>
      </c>
      <c r="Y474" s="78">
        <v>13.63</v>
      </c>
      <c r="Z474" s="79">
        <v>136.78</v>
      </c>
      <c r="AA474" s="255">
        <v>0</v>
      </c>
      <c r="AC474" s="254"/>
    </row>
    <row r="475" spans="1:29" ht="12">
      <c r="A475" s="67" t="s">
        <v>28049</v>
      </c>
      <c r="B475" s="65" t="s">
        <v>28050</v>
      </c>
      <c r="C475" s="71" t="s">
        <v>118</v>
      </c>
      <c r="D475" s="78">
        <v>1</v>
      </c>
      <c r="E475" s="79">
        <v>276.86</v>
      </c>
      <c r="F475" s="70">
        <v>276.86</v>
      </c>
      <c r="G475" s="320"/>
      <c r="H475" s="79">
        <v>275.72000000000003</v>
      </c>
      <c r="I475" s="79">
        <v>1.1400000000000001</v>
      </c>
      <c r="J475" s="79">
        <v>276.86</v>
      </c>
      <c r="K475" s="79">
        <v>0</v>
      </c>
      <c r="L475" s="70">
        <v>276.86</v>
      </c>
      <c r="M475" s="132"/>
      <c r="N475" s="78">
        <v>275.72000000000003</v>
      </c>
      <c r="O475" s="78">
        <v>1.1400000000000001</v>
      </c>
      <c r="P475" s="79">
        <v>276.86</v>
      </c>
      <c r="Q475" s="136"/>
      <c r="R475" s="79">
        <v>275.72000000000003</v>
      </c>
      <c r="S475" s="79">
        <v>1.1399999999999999</v>
      </c>
      <c r="T475" s="79">
        <v>276.86</v>
      </c>
      <c r="U475" s="79">
        <v>0</v>
      </c>
      <c r="V475" s="189">
        <v>276.86</v>
      </c>
      <c r="X475" s="78">
        <v>275.72000000000003</v>
      </c>
      <c r="Y475" s="78">
        <v>1.1399999999999999</v>
      </c>
      <c r="Z475" s="79">
        <v>276.86</v>
      </c>
      <c r="AA475" s="255">
        <v>0</v>
      </c>
      <c r="AC475" s="254"/>
    </row>
    <row r="476" spans="1:29" ht="12">
      <c r="A476" s="489" t="s">
        <v>11423</v>
      </c>
      <c r="B476" s="490" t="s">
        <v>11424</v>
      </c>
      <c r="C476" s="491"/>
      <c r="D476" s="492"/>
      <c r="E476" s="79"/>
      <c r="F476" s="63"/>
      <c r="G476" s="320"/>
      <c r="H476" s="79"/>
      <c r="I476" s="79"/>
      <c r="J476" s="79"/>
      <c r="K476" s="79"/>
      <c r="L476" s="70"/>
      <c r="M476" s="132"/>
      <c r="N476" s="79"/>
      <c r="O476" s="79"/>
      <c r="P476" s="79"/>
      <c r="Q476" s="136"/>
      <c r="R476" s="79"/>
      <c r="S476" s="79"/>
      <c r="T476" s="79"/>
      <c r="U476" s="79"/>
      <c r="V476" s="189"/>
      <c r="X476" s="79"/>
      <c r="Y476" s="79"/>
      <c r="Z476" s="79"/>
      <c r="AA476" s="255"/>
      <c r="AC476" s="254"/>
    </row>
    <row r="477" spans="1:29" ht="12">
      <c r="A477" s="67" t="s">
        <v>11425</v>
      </c>
      <c r="B477" s="65" t="s">
        <v>11426</v>
      </c>
      <c r="C477" s="71" t="s">
        <v>121</v>
      </c>
      <c r="D477" s="78">
        <v>1</v>
      </c>
      <c r="E477" s="79">
        <v>21.36</v>
      </c>
      <c r="F477" s="70">
        <v>21.36</v>
      </c>
      <c r="G477" s="320"/>
      <c r="H477" s="79">
        <v>21.36</v>
      </c>
      <c r="I477" s="79">
        <v>0</v>
      </c>
      <c r="J477" s="79">
        <v>21.36</v>
      </c>
      <c r="K477" s="79">
        <v>0</v>
      </c>
      <c r="L477" s="70">
        <v>21.36</v>
      </c>
      <c r="M477" s="132"/>
      <c r="N477" s="79">
        <v>21.36</v>
      </c>
      <c r="O477" s="79"/>
      <c r="P477" s="79">
        <v>21.36</v>
      </c>
      <c r="Q477" s="136"/>
      <c r="R477" s="79">
        <v>21.36</v>
      </c>
      <c r="S477" s="79"/>
      <c r="T477" s="79">
        <v>21.36</v>
      </c>
      <c r="U477" s="79">
        <v>0</v>
      </c>
      <c r="V477" s="189">
        <v>21.36</v>
      </c>
      <c r="X477" s="79">
        <v>21.36</v>
      </c>
      <c r="Y477" s="79"/>
      <c r="Z477" s="79">
        <v>21.36</v>
      </c>
      <c r="AA477" s="255">
        <v>0</v>
      </c>
      <c r="AC477" s="254"/>
    </row>
    <row r="478" spans="1:29" ht="12">
      <c r="A478" s="67" t="s">
        <v>11427</v>
      </c>
      <c r="B478" s="65" t="s">
        <v>11428</v>
      </c>
      <c r="C478" s="71" t="s">
        <v>121</v>
      </c>
      <c r="D478" s="78">
        <v>1</v>
      </c>
      <c r="E478" s="79">
        <v>40.049999999999997</v>
      </c>
      <c r="F478" s="70">
        <v>40.049999999999997</v>
      </c>
      <c r="G478" s="320"/>
      <c r="H478" s="79">
        <v>40.049999999999997</v>
      </c>
      <c r="I478" s="79">
        <v>0</v>
      </c>
      <c r="J478" s="79">
        <v>40.049999999999997</v>
      </c>
      <c r="K478" s="79">
        <v>0</v>
      </c>
      <c r="L478" s="70">
        <v>40.049999999999997</v>
      </c>
      <c r="M478" s="132"/>
      <c r="N478" s="79">
        <v>40.049999999999997</v>
      </c>
      <c r="O478" s="79"/>
      <c r="P478" s="79">
        <v>40.049999999999997</v>
      </c>
      <c r="Q478" s="136"/>
      <c r="R478" s="79">
        <v>40.049999999999997</v>
      </c>
      <c r="S478" s="79"/>
      <c r="T478" s="79">
        <v>40.049999999999997</v>
      </c>
      <c r="U478" s="79">
        <v>0</v>
      </c>
      <c r="V478" s="189">
        <v>40.049999999999997</v>
      </c>
      <c r="X478" s="79">
        <v>40.049999999999997</v>
      </c>
      <c r="Y478" s="79"/>
      <c r="Z478" s="79">
        <v>40.049999999999997</v>
      </c>
      <c r="AA478" s="255">
        <v>0</v>
      </c>
      <c r="AC478" s="254"/>
    </row>
    <row r="479" spans="1:29" ht="12">
      <c r="A479" s="67" t="s">
        <v>11429</v>
      </c>
      <c r="B479" s="65" t="s">
        <v>11430</v>
      </c>
      <c r="C479" s="71" t="s">
        <v>121</v>
      </c>
      <c r="D479" s="78">
        <v>1</v>
      </c>
      <c r="E479" s="79">
        <v>49.73</v>
      </c>
      <c r="F479" s="70">
        <v>49.73</v>
      </c>
      <c r="G479" s="320"/>
      <c r="H479" s="79">
        <v>49.73</v>
      </c>
      <c r="I479" s="79">
        <v>0</v>
      </c>
      <c r="J479" s="79">
        <v>49.73</v>
      </c>
      <c r="K479" s="79">
        <v>0</v>
      </c>
      <c r="L479" s="70">
        <v>49.73</v>
      </c>
      <c r="M479" s="132"/>
      <c r="N479" s="79">
        <v>49.73</v>
      </c>
      <c r="O479" s="79"/>
      <c r="P479" s="79">
        <v>49.73</v>
      </c>
      <c r="Q479" s="136"/>
      <c r="R479" s="79">
        <v>49.73</v>
      </c>
      <c r="S479" s="79"/>
      <c r="T479" s="79">
        <v>49.73</v>
      </c>
      <c r="U479" s="79">
        <v>0</v>
      </c>
      <c r="V479" s="189">
        <v>49.73</v>
      </c>
      <c r="X479" s="79">
        <v>49.73</v>
      </c>
      <c r="Y479" s="79"/>
      <c r="Z479" s="79">
        <v>49.73</v>
      </c>
      <c r="AA479" s="255">
        <v>0</v>
      </c>
      <c r="AC479" s="254"/>
    </row>
    <row r="480" spans="1:29" ht="12">
      <c r="A480" s="67" t="s">
        <v>11431</v>
      </c>
      <c r="B480" s="65" t="s">
        <v>11432</v>
      </c>
      <c r="C480" s="71" t="s">
        <v>121</v>
      </c>
      <c r="D480" s="78">
        <v>1</v>
      </c>
      <c r="E480" s="79">
        <v>56.56</v>
      </c>
      <c r="F480" s="70">
        <v>56.56</v>
      </c>
      <c r="G480" s="320"/>
      <c r="H480" s="79">
        <v>56.56</v>
      </c>
      <c r="I480" s="79">
        <v>0</v>
      </c>
      <c r="J480" s="79">
        <v>56.56</v>
      </c>
      <c r="K480" s="79">
        <v>0</v>
      </c>
      <c r="L480" s="70">
        <v>56.56</v>
      </c>
      <c r="M480" s="132"/>
      <c r="N480" s="79">
        <v>56.56</v>
      </c>
      <c r="O480" s="79"/>
      <c r="P480" s="79">
        <v>56.56</v>
      </c>
      <c r="Q480" s="136"/>
      <c r="R480" s="79">
        <v>56.56</v>
      </c>
      <c r="S480" s="79"/>
      <c r="T480" s="79">
        <v>56.56</v>
      </c>
      <c r="U480" s="79">
        <v>0</v>
      </c>
      <c r="V480" s="189">
        <v>56.56</v>
      </c>
      <c r="X480" s="79">
        <v>56.56</v>
      </c>
      <c r="Y480" s="79"/>
      <c r="Z480" s="79">
        <v>56.56</v>
      </c>
      <c r="AA480" s="255">
        <v>0</v>
      </c>
      <c r="AC480" s="254"/>
    </row>
    <row r="481" spans="1:29" ht="12">
      <c r="A481" s="67" t="s">
        <v>11433</v>
      </c>
      <c r="B481" s="65" t="s">
        <v>11434</v>
      </c>
      <c r="C481" s="71" t="s">
        <v>11435</v>
      </c>
      <c r="D481" s="78">
        <v>1</v>
      </c>
      <c r="E481" s="79">
        <v>2.83</v>
      </c>
      <c r="F481" s="70">
        <v>2.83</v>
      </c>
      <c r="G481" s="320"/>
      <c r="H481" s="79">
        <v>2.83</v>
      </c>
      <c r="I481" s="79">
        <v>0</v>
      </c>
      <c r="J481" s="79">
        <v>2.83</v>
      </c>
      <c r="K481" s="79">
        <v>0</v>
      </c>
      <c r="L481" s="70">
        <v>2.83</v>
      </c>
      <c r="M481" s="132"/>
      <c r="N481" s="79">
        <v>2.83</v>
      </c>
      <c r="O481" s="79"/>
      <c r="P481" s="79">
        <v>2.83</v>
      </c>
      <c r="Q481" s="136"/>
      <c r="R481" s="79">
        <v>2.83</v>
      </c>
      <c r="S481" s="79"/>
      <c r="T481" s="79">
        <v>2.83</v>
      </c>
      <c r="U481" s="79">
        <v>0</v>
      </c>
      <c r="V481" s="189">
        <v>2.83</v>
      </c>
      <c r="X481" s="79">
        <v>2.83</v>
      </c>
      <c r="Y481" s="79"/>
      <c r="Z481" s="79">
        <v>2.83</v>
      </c>
      <c r="AA481" s="255">
        <v>0</v>
      </c>
      <c r="AC481" s="254"/>
    </row>
    <row r="482" spans="1:29" ht="24">
      <c r="A482" s="67" t="s">
        <v>11436</v>
      </c>
      <c r="B482" s="65" t="s">
        <v>11437</v>
      </c>
      <c r="C482" s="71" t="s">
        <v>121</v>
      </c>
      <c r="D482" s="78">
        <v>1</v>
      </c>
      <c r="E482" s="79">
        <v>17.27</v>
      </c>
      <c r="F482" s="70">
        <v>17.27</v>
      </c>
      <c r="G482" s="320"/>
      <c r="H482" s="79">
        <v>17.27</v>
      </c>
      <c r="I482" s="79">
        <v>0</v>
      </c>
      <c r="J482" s="79">
        <v>17.27</v>
      </c>
      <c r="K482" s="79">
        <v>0</v>
      </c>
      <c r="L482" s="70">
        <v>17.27</v>
      </c>
      <c r="M482" s="132"/>
      <c r="N482" s="79">
        <v>17.27</v>
      </c>
      <c r="O482" s="79"/>
      <c r="P482" s="79">
        <v>17.27</v>
      </c>
      <c r="Q482" s="136"/>
      <c r="R482" s="79">
        <v>17.27</v>
      </c>
      <c r="S482" s="79"/>
      <c r="T482" s="79">
        <v>17.27</v>
      </c>
      <c r="U482" s="79">
        <v>0</v>
      </c>
      <c r="V482" s="189">
        <v>17.27</v>
      </c>
      <c r="X482" s="79">
        <v>17.27</v>
      </c>
      <c r="Y482" s="79"/>
      <c r="Z482" s="79">
        <v>17.27</v>
      </c>
      <c r="AA482" s="255">
        <v>0</v>
      </c>
      <c r="AC482" s="254"/>
    </row>
    <row r="483" spans="1:29" ht="12">
      <c r="A483" s="489" t="s">
        <v>11438</v>
      </c>
      <c r="B483" s="490" t="s">
        <v>11439</v>
      </c>
      <c r="C483" s="71"/>
      <c r="D483" s="78"/>
      <c r="E483" s="79"/>
      <c r="F483" s="70"/>
      <c r="G483" s="320"/>
      <c r="H483" s="79"/>
      <c r="I483" s="79"/>
      <c r="J483" s="79"/>
      <c r="K483" s="79"/>
      <c r="L483" s="70"/>
      <c r="M483" s="132"/>
      <c r="N483" s="79"/>
      <c r="O483" s="79"/>
      <c r="P483" s="79"/>
      <c r="Q483" s="136"/>
      <c r="R483" s="79"/>
      <c r="S483" s="79"/>
      <c r="T483" s="79"/>
      <c r="U483" s="79"/>
      <c r="V483" s="189"/>
      <c r="X483" s="79"/>
      <c r="Y483" s="79"/>
      <c r="Z483" s="79"/>
      <c r="AA483" s="255"/>
      <c r="AC483" s="254"/>
    </row>
    <row r="484" spans="1:29" ht="12">
      <c r="A484" s="67" t="s">
        <v>11440</v>
      </c>
      <c r="B484" s="65" t="s">
        <v>117</v>
      </c>
      <c r="C484" s="71" t="s">
        <v>118</v>
      </c>
      <c r="D484" s="78">
        <v>1</v>
      </c>
      <c r="E484" s="79">
        <v>48.06</v>
      </c>
      <c r="F484" s="70">
        <v>48.06</v>
      </c>
      <c r="G484" s="320"/>
      <c r="H484" s="79">
        <v>48.06</v>
      </c>
      <c r="I484" s="79">
        <v>0</v>
      </c>
      <c r="J484" s="79">
        <v>48.06</v>
      </c>
      <c r="K484" s="79">
        <v>0</v>
      </c>
      <c r="L484" s="70">
        <v>48.06</v>
      </c>
      <c r="M484" s="132"/>
      <c r="N484" s="79">
        <v>48.06</v>
      </c>
      <c r="O484" s="79"/>
      <c r="P484" s="79">
        <v>48.06</v>
      </c>
      <c r="Q484" s="136"/>
      <c r="R484" s="79">
        <v>48.06</v>
      </c>
      <c r="S484" s="79"/>
      <c r="T484" s="79">
        <v>48.06</v>
      </c>
      <c r="U484" s="79">
        <v>0</v>
      </c>
      <c r="V484" s="189">
        <v>48.06</v>
      </c>
      <c r="X484" s="79">
        <v>48.06</v>
      </c>
      <c r="Y484" s="79"/>
      <c r="Z484" s="79">
        <v>48.06</v>
      </c>
      <c r="AA484" s="255">
        <v>0</v>
      </c>
      <c r="AC484" s="254"/>
    </row>
    <row r="485" spans="1:29" ht="12">
      <c r="A485" s="67" t="s">
        <v>11441</v>
      </c>
      <c r="B485" s="65" t="s">
        <v>120</v>
      </c>
      <c r="C485" s="71" t="s">
        <v>121</v>
      </c>
      <c r="D485" s="78">
        <v>1</v>
      </c>
      <c r="E485" s="79">
        <v>31.05</v>
      </c>
      <c r="F485" s="70">
        <v>31.05</v>
      </c>
      <c r="G485" s="320"/>
      <c r="H485" s="79">
        <v>31.05</v>
      </c>
      <c r="I485" s="79">
        <v>0</v>
      </c>
      <c r="J485" s="79">
        <v>31.05</v>
      </c>
      <c r="K485" s="79">
        <v>0</v>
      </c>
      <c r="L485" s="70">
        <v>31.05</v>
      </c>
      <c r="M485" s="132"/>
      <c r="N485" s="79">
        <v>31.05</v>
      </c>
      <c r="O485" s="79"/>
      <c r="P485" s="79">
        <v>31.05</v>
      </c>
      <c r="Q485" s="136"/>
      <c r="R485" s="79">
        <v>31.05</v>
      </c>
      <c r="S485" s="79"/>
      <c r="T485" s="79">
        <v>31.05</v>
      </c>
      <c r="U485" s="79">
        <v>0</v>
      </c>
      <c r="V485" s="189">
        <v>31.05</v>
      </c>
      <c r="X485" s="79">
        <v>31.05</v>
      </c>
      <c r="Y485" s="79"/>
      <c r="Z485" s="79">
        <v>31.05</v>
      </c>
      <c r="AA485" s="255">
        <v>0</v>
      </c>
      <c r="AC485" s="254"/>
    </row>
    <row r="486" spans="1:29" ht="12">
      <c r="A486" s="67" t="s">
        <v>11442</v>
      </c>
      <c r="B486" s="65" t="s">
        <v>28051</v>
      </c>
      <c r="C486" s="71" t="s">
        <v>118</v>
      </c>
      <c r="D486" s="78">
        <v>1</v>
      </c>
      <c r="E486" s="79">
        <v>922.99</v>
      </c>
      <c r="F486" s="70">
        <v>922.99</v>
      </c>
      <c r="G486" s="320"/>
      <c r="H486" s="79">
        <v>922.99</v>
      </c>
      <c r="I486" s="79">
        <v>0</v>
      </c>
      <c r="J486" s="79">
        <v>922.99</v>
      </c>
      <c r="K486" s="79">
        <v>0</v>
      </c>
      <c r="L486" s="70">
        <v>922.99</v>
      </c>
      <c r="M486" s="132"/>
      <c r="N486" s="79">
        <v>922.99</v>
      </c>
      <c r="O486" s="79"/>
      <c r="P486" s="79">
        <v>922.99</v>
      </c>
      <c r="Q486" s="136"/>
      <c r="R486" s="79">
        <v>922.99</v>
      </c>
      <c r="S486" s="79"/>
      <c r="T486" s="79">
        <v>922.99</v>
      </c>
      <c r="U486" s="79">
        <v>0</v>
      </c>
      <c r="V486" s="189">
        <v>922.99</v>
      </c>
      <c r="X486" s="79">
        <v>922.99</v>
      </c>
      <c r="Y486" s="79"/>
      <c r="Z486" s="79">
        <v>922.99</v>
      </c>
      <c r="AA486" s="255">
        <v>0</v>
      </c>
      <c r="AC486" s="254"/>
    </row>
    <row r="487" spans="1:29" ht="12">
      <c r="A487" s="489" t="s">
        <v>11443</v>
      </c>
      <c r="B487" s="490" t="s">
        <v>11444</v>
      </c>
      <c r="C487" s="491"/>
      <c r="D487" s="492"/>
      <c r="E487" s="79"/>
      <c r="F487" s="63"/>
      <c r="G487" s="320"/>
      <c r="H487" s="79"/>
      <c r="I487" s="79"/>
      <c r="J487" s="79"/>
      <c r="K487" s="79"/>
      <c r="L487" s="70"/>
      <c r="M487" s="132"/>
      <c r="N487" s="79"/>
      <c r="O487" s="79"/>
      <c r="P487" s="79"/>
      <c r="Q487" s="136"/>
      <c r="R487" s="79"/>
      <c r="S487" s="79"/>
      <c r="T487" s="79"/>
      <c r="U487" s="79"/>
      <c r="V487" s="189"/>
      <c r="X487" s="79"/>
      <c r="Y487" s="79"/>
      <c r="Z487" s="79"/>
      <c r="AA487" s="255"/>
      <c r="AC487" s="254"/>
    </row>
    <row r="488" spans="1:29" ht="12">
      <c r="A488" s="67" t="s">
        <v>11445</v>
      </c>
      <c r="B488" s="65" t="s">
        <v>11446</v>
      </c>
      <c r="C488" s="71" t="s">
        <v>121</v>
      </c>
      <c r="D488" s="78">
        <v>1</v>
      </c>
      <c r="E488" s="79">
        <v>5.52</v>
      </c>
      <c r="F488" s="70">
        <v>5.52</v>
      </c>
      <c r="G488" s="320"/>
      <c r="H488" s="79">
        <v>5.52</v>
      </c>
      <c r="I488" s="79">
        <v>0</v>
      </c>
      <c r="J488" s="79">
        <v>5.52</v>
      </c>
      <c r="K488" s="79">
        <v>0</v>
      </c>
      <c r="L488" s="70">
        <v>5.52</v>
      </c>
      <c r="M488" s="132"/>
      <c r="N488" s="79">
        <v>5.52</v>
      </c>
      <c r="O488" s="79"/>
      <c r="P488" s="79">
        <v>5.52</v>
      </c>
      <c r="Q488" s="136"/>
      <c r="R488" s="79">
        <v>5.52</v>
      </c>
      <c r="S488" s="79"/>
      <c r="T488" s="79">
        <v>5.52</v>
      </c>
      <c r="U488" s="79">
        <v>0</v>
      </c>
      <c r="V488" s="189">
        <v>5.52</v>
      </c>
      <c r="X488" s="79">
        <v>5.52</v>
      </c>
      <c r="Y488" s="79"/>
      <c r="Z488" s="79">
        <v>5.52</v>
      </c>
      <c r="AA488" s="255">
        <v>0</v>
      </c>
      <c r="AC488" s="254"/>
    </row>
    <row r="489" spans="1:29" s="61" customFormat="1" ht="12">
      <c r="A489" s="67" t="s">
        <v>11447</v>
      </c>
      <c r="B489" s="65" t="s">
        <v>11448</v>
      </c>
      <c r="C489" s="71" t="s">
        <v>121</v>
      </c>
      <c r="D489" s="78">
        <v>1</v>
      </c>
      <c r="E489" s="79">
        <v>8.7100000000000009</v>
      </c>
      <c r="F489" s="70">
        <v>8.7100000000000009</v>
      </c>
      <c r="G489" s="320"/>
      <c r="H489" s="79">
        <v>8.7100000000000009</v>
      </c>
      <c r="I489" s="79">
        <v>0</v>
      </c>
      <c r="J489" s="79">
        <v>8.7100000000000009</v>
      </c>
      <c r="K489" s="79">
        <v>0</v>
      </c>
      <c r="L489" s="70">
        <v>8.7100000000000009</v>
      </c>
      <c r="M489" s="132"/>
      <c r="N489" s="79">
        <v>8.7100000000000009</v>
      </c>
      <c r="O489" s="79"/>
      <c r="P489" s="79">
        <v>8.7100000000000009</v>
      </c>
      <c r="Q489" s="136"/>
      <c r="R489" s="79">
        <v>8.7100000000000009</v>
      </c>
      <c r="S489" s="79"/>
      <c r="T489" s="79">
        <v>8.7100000000000009</v>
      </c>
      <c r="U489" s="79">
        <v>0</v>
      </c>
      <c r="V489" s="189">
        <v>8.7100000000000009</v>
      </c>
      <c r="X489" s="79">
        <v>8.7100000000000009</v>
      </c>
      <c r="Y489" s="79"/>
      <c r="Z489" s="79">
        <v>8.7100000000000009</v>
      </c>
      <c r="AA489" s="255">
        <v>0</v>
      </c>
      <c r="AC489" s="254"/>
    </row>
    <row r="490" spans="1:29" ht="24">
      <c r="A490" s="67" t="s">
        <v>11449</v>
      </c>
      <c r="B490" s="65" t="s">
        <v>11450</v>
      </c>
      <c r="C490" s="71" t="s">
        <v>121</v>
      </c>
      <c r="D490" s="78">
        <v>1</v>
      </c>
      <c r="E490" s="79">
        <v>13.01</v>
      </c>
      <c r="F490" s="70">
        <v>13.01</v>
      </c>
      <c r="G490" s="320"/>
      <c r="H490" s="79">
        <v>13.01</v>
      </c>
      <c r="I490" s="79">
        <v>0</v>
      </c>
      <c r="J490" s="79">
        <v>13.01</v>
      </c>
      <c r="K490" s="79">
        <v>0</v>
      </c>
      <c r="L490" s="70">
        <v>13.01</v>
      </c>
      <c r="M490" s="132"/>
      <c r="N490" s="79">
        <v>13.01</v>
      </c>
      <c r="O490" s="79"/>
      <c r="P490" s="79">
        <v>13.01</v>
      </c>
      <c r="Q490" s="136"/>
      <c r="R490" s="79">
        <v>13</v>
      </c>
      <c r="S490" s="79"/>
      <c r="T490" s="79">
        <v>13</v>
      </c>
      <c r="U490" s="79">
        <v>0</v>
      </c>
      <c r="V490" s="189">
        <v>13</v>
      </c>
      <c r="X490" s="79">
        <v>13</v>
      </c>
      <c r="Y490" s="79"/>
      <c r="Z490" s="79">
        <v>13</v>
      </c>
      <c r="AA490" s="255">
        <v>9.9999999999997868E-3</v>
      </c>
      <c r="AC490" s="254"/>
    </row>
    <row r="491" spans="1:29" ht="24">
      <c r="A491" s="67" t="s">
        <v>11451</v>
      </c>
      <c r="B491" s="65" t="s">
        <v>11452</v>
      </c>
      <c r="C491" s="71" t="s">
        <v>121</v>
      </c>
      <c r="D491" s="78">
        <v>1</v>
      </c>
      <c r="E491" s="79">
        <v>14.38</v>
      </c>
      <c r="F491" s="70">
        <v>14.38</v>
      </c>
      <c r="G491" s="320"/>
      <c r="H491" s="79">
        <v>14.38</v>
      </c>
      <c r="I491" s="79">
        <v>0</v>
      </c>
      <c r="J491" s="79">
        <v>14.38</v>
      </c>
      <c r="K491" s="79">
        <v>0</v>
      </c>
      <c r="L491" s="70">
        <v>14.38</v>
      </c>
      <c r="M491" s="132"/>
      <c r="N491" s="79">
        <v>14.38</v>
      </c>
      <c r="O491" s="79"/>
      <c r="P491" s="79">
        <v>14.38</v>
      </c>
      <c r="Q491" s="136"/>
      <c r="R491" s="79">
        <v>14.37</v>
      </c>
      <c r="S491" s="79"/>
      <c r="T491" s="79">
        <v>14.37</v>
      </c>
      <c r="U491" s="79">
        <v>0</v>
      </c>
      <c r="V491" s="189">
        <v>14.37</v>
      </c>
      <c r="X491" s="79">
        <v>14.37</v>
      </c>
      <c r="Y491" s="79"/>
      <c r="Z491" s="79">
        <v>14.37</v>
      </c>
      <c r="AA491" s="255">
        <v>1.0000000000001563E-2</v>
      </c>
      <c r="AC491" s="254"/>
    </row>
    <row r="492" spans="1:29" ht="24">
      <c r="A492" s="67" t="s">
        <v>11453</v>
      </c>
      <c r="B492" s="65" t="s">
        <v>11454</v>
      </c>
      <c r="C492" s="71" t="s">
        <v>121</v>
      </c>
      <c r="D492" s="78">
        <v>1</v>
      </c>
      <c r="E492" s="79">
        <v>19.21</v>
      </c>
      <c r="F492" s="70">
        <v>19.21</v>
      </c>
      <c r="G492" s="320"/>
      <c r="H492" s="79">
        <v>19.21</v>
      </c>
      <c r="I492" s="79">
        <v>0</v>
      </c>
      <c r="J492" s="79">
        <v>19.21</v>
      </c>
      <c r="K492" s="79">
        <v>0</v>
      </c>
      <c r="L492" s="70">
        <v>19.21</v>
      </c>
      <c r="M492" s="132"/>
      <c r="N492" s="79">
        <v>19.21</v>
      </c>
      <c r="O492" s="79"/>
      <c r="P492" s="79">
        <v>19.21</v>
      </c>
      <c r="Q492" s="136"/>
      <c r="R492" s="79">
        <v>19.21</v>
      </c>
      <c r="S492" s="79"/>
      <c r="T492" s="79">
        <v>19.21</v>
      </c>
      <c r="U492" s="79">
        <v>0</v>
      </c>
      <c r="V492" s="189">
        <v>19.21</v>
      </c>
      <c r="X492" s="79">
        <v>19.21</v>
      </c>
      <c r="Y492" s="79"/>
      <c r="Z492" s="79">
        <v>19.21</v>
      </c>
      <c r="AA492" s="255">
        <v>0</v>
      </c>
      <c r="AC492" s="254"/>
    </row>
    <row r="493" spans="1:29" ht="24">
      <c r="A493" s="67" t="s">
        <v>11455</v>
      </c>
      <c r="B493" s="65" t="s">
        <v>11456</v>
      </c>
      <c r="C493" s="71" t="s">
        <v>121</v>
      </c>
      <c r="D493" s="78">
        <v>1</v>
      </c>
      <c r="E493" s="79">
        <v>28.79</v>
      </c>
      <c r="F493" s="70">
        <v>28.79</v>
      </c>
      <c r="G493" s="320"/>
      <c r="H493" s="79">
        <v>28.79</v>
      </c>
      <c r="I493" s="79">
        <v>0</v>
      </c>
      <c r="J493" s="79">
        <v>28.79</v>
      </c>
      <c r="K493" s="79">
        <v>0</v>
      </c>
      <c r="L493" s="70">
        <v>28.79</v>
      </c>
      <c r="M493" s="132"/>
      <c r="N493" s="79">
        <v>28.79</v>
      </c>
      <c r="O493" s="79"/>
      <c r="P493" s="79">
        <v>28.79</v>
      </c>
      <c r="Q493" s="136"/>
      <c r="R493" s="79">
        <v>28.79</v>
      </c>
      <c r="S493" s="79"/>
      <c r="T493" s="79">
        <v>28.79</v>
      </c>
      <c r="U493" s="79">
        <v>0</v>
      </c>
      <c r="V493" s="189">
        <v>28.79</v>
      </c>
      <c r="X493" s="79">
        <v>28.79</v>
      </c>
      <c r="Y493" s="79"/>
      <c r="Z493" s="79">
        <v>28.79</v>
      </c>
      <c r="AA493" s="255">
        <v>0</v>
      </c>
      <c r="AC493" s="254"/>
    </row>
    <row r="494" spans="1:29" ht="24">
      <c r="A494" s="67" t="s">
        <v>11457</v>
      </c>
      <c r="B494" s="65" t="s">
        <v>11458</v>
      </c>
      <c r="C494" s="71" t="s">
        <v>121</v>
      </c>
      <c r="D494" s="78">
        <v>1</v>
      </c>
      <c r="E494" s="79">
        <v>38.35</v>
      </c>
      <c r="F494" s="70">
        <v>38.35</v>
      </c>
      <c r="G494" s="320"/>
      <c r="H494" s="79">
        <v>38.35</v>
      </c>
      <c r="I494" s="79">
        <v>0</v>
      </c>
      <c r="J494" s="79">
        <v>38.35</v>
      </c>
      <c r="K494" s="79">
        <v>0</v>
      </c>
      <c r="L494" s="70">
        <v>38.35</v>
      </c>
      <c r="M494" s="132"/>
      <c r="N494" s="79">
        <v>38.35</v>
      </c>
      <c r="O494" s="79"/>
      <c r="P494" s="79">
        <v>38.35</v>
      </c>
      <c r="Q494" s="136"/>
      <c r="R494" s="79">
        <v>38.340000000000003</v>
      </c>
      <c r="S494" s="79"/>
      <c r="T494" s="79">
        <v>38.340000000000003</v>
      </c>
      <c r="U494" s="79">
        <v>0</v>
      </c>
      <c r="V494" s="189">
        <v>38.340000000000003</v>
      </c>
      <c r="X494" s="79">
        <v>38.340000000000003</v>
      </c>
      <c r="Y494" s="79"/>
      <c r="Z494" s="79">
        <v>38.340000000000003</v>
      </c>
      <c r="AA494" s="255">
        <v>9.9999999999980105E-3</v>
      </c>
      <c r="AC494" s="254"/>
    </row>
    <row r="495" spans="1:29" ht="12">
      <c r="A495" s="67" t="s">
        <v>11459</v>
      </c>
      <c r="B495" s="65" t="s">
        <v>11460</v>
      </c>
      <c r="C495" s="71" t="s">
        <v>11435</v>
      </c>
      <c r="D495" s="78">
        <v>1</v>
      </c>
      <c r="E495" s="79">
        <v>1.84</v>
      </c>
      <c r="F495" s="70">
        <v>1.84</v>
      </c>
      <c r="G495" s="320"/>
      <c r="H495" s="79">
        <v>1.84</v>
      </c>
      <c r="I495" s="79">
        <v>0</v>
      </c>
      <c r="J495" s="79">
        <v>1.84</v>
      </c>
      <c r="K495" s="79">
        <v>0</v>
      </c>
      <c r="L495" s="70">
        <v>1.84</v>
      </c>
      <c r="M495" s="132"/>
      <c r="N495" s="79">
        <v>1.84</v>
      </c>
      <c r="O495" s="79"/>
      <c r="P495" s="79">
        <v>1.84</v>
      </c>
      <c r="Q495" s="136"/>
      <c r="R495" s="79">
        <v>1.85</v>
      </c>
      <c r="S495" s="79"/>
      <c r="T495" s="79">
        <v>1.85</v>
      </c>
      <c r="U495" s="79">
        <v>0</v>
      </c>
      <c r="V495" s="189">
        <v>1.85</v>
      </c>
      <c r="X495" s="79">
        <v>1.85</v>
      </c>
      <c r="Y495" s="79"/>
      <c r="Z495" s="79">
        <v>1.85</v>
      </c>
      <c r="AA495" s="255">
        <v>-1.0000000000000009E-2</v>
      </c>
      <c r="AC495" s="254"/>
    </row>
    <row r="496" spans="1:29" ht="12">
      <c r="A496" s="67" t="s">
        <v>11461</v>
      </c>
      <c r="B496" s="65" t="s">
        <v>11462</v>
      </c>
      <c r="C496" s="71" t="s">
        <v>121</v>
      </c>
      <c r="D496" s="78">
        <v>1</v>
      </c>
      <c r="E496" s="79">
        <v>14.98</v>
      </c>
      <c r="F496" s="70">
        <v>14.98</v>
      </c>
      <c r="G496" s="320"/>
      <c r="H496" s="79">
        <v>14.98</v>
      </c>
      <c r="I496" s="79">
        <v>0</v>
      </c>
      <c r="J496" s="79">
        <v>14.98</v>
      </c>
      <c r="K496" s="79">
        <v>0</v>
      </c>
      <c r="L496" s="70">
        <v>14.98</v>
      </c>
      <c r="M496" s="132"/>
      <c r="N496" s="79">
        <v>14.98</v>
      </c>
      <c r="O496" s="79"/>
      <c r="P496" s="79">
        <v>14.98</v>
      </c>
      <c r="Q496" s="136"/>
      <c r="R496" s="79">
        <v>14.98</v>
      </c>
      <c r="S496" s="79"/>
      <c r="T496" s="79">
        <v>14.98</v>
      </c>
      <c r="U496" s="79">
        <v>0</v>
      </c>
      <c r="V496" s="189">
        <v>14.98</v>
      </c>
      <c r="X496" s="79">
        <v>14.98</v>
      </c>
      <c r="Y496" s="79"/>
      <c r="Z496" s="79">
        <v>14.98</v>
      </c>
      <c r="AA496" s="255">
        <v>0</v>
      </c>
      <c r="AC496" s="254"/>
    </row>
    <row r="497" spans="1:29" ht="12">
      <c r="A497" s="67" t="s">
        <v>11463</v>
      </c>
      <c r="B497" s="65" t="s">
        <v>11464</v>
      </c>
      <c r="C497" s="71" t="s">
        <v>121</v>
      </c>
      <c r="D497" s="78">
        <v>1</v>
      </c>
      <c r="E497" s="79">
        <v>20.66</v>
      </c>
      <c r="F497" s="70">
        <v>20.66</v>
      </c>
      <c r="G497" s="320"/>
      <c r="H497" s="79">
        <v>20.66</v>
      </c>
      <c r="I497" s="79">
        <v>0</v>
      </c>
      <c r="J497" s="79">
        <v>20.66</v>
      </c>
      <c r="K497" s="79">
        <v>0</v>
      </c>
      <c r="L497" s="70">
        <v>20.66</v>
      </c>
      <c r="M497" s="132"/>
      <c r="N497" s="79">
        <v>20.66</v>
      </c>
      <c r="O497" s="79"/>
      <c r="P497" s="79">
        <v>20.66</v>
      </c>
      <c r="Q497" s="136"/>
      <c r="R497" s="79">
        <v>20.66</v>
      </c>
      <c r="S497" s="79"/>
      <c r="T497" s="79">
        <v>20.66</v>
      </c>
      <c r="U497" s="79">
        <v>0</v>
      </c>
      <c r="V497" s="189">
        <v>20.66</v>
      </c>
      <c r="X497" s="79">
        <v>20.66</v>
      </c>
      <c r="Y497" s="79"/>
      <c r="Z497" s="79">
        <v>20.66</v>
      </c>
      <c r="AA497" s="255">
        <v>0</v>
      </c>
      <c r="AC497" s="254"/>
    </row>
    <row r="498" spans="1:29" ht="12">
      <c r="A498" s="67" t="s">
        <v>11465</v>
      </c>
      <c r="B498" s="65" t="s">
        <v>11466</v>
      </c>
      <c r="C498" s="71" t="s">
        <v>121</v>
      </c>
      <c r="D498" s="78">
        <v>1</v>
      </c>
      <c r="E498" s="79">
        <v>21.57</v>
      </c>
      <c r="F498" s="70">
        <v>21.57</v>
      </c>
      <c r="G498" s="320"/>
      <c r="H498" s="79">
        <v>21.57</v>
      </c>
      <c r="I498" s="79">
        <v>0</v>
      </c>
      <c r="J498" s="79">
        <v>21.57</v>
      </c>
      <c r="K498" s="79">
        <v>0</v>
      </c>
      <c r="L498" s="70">
        <v>21.57</v>
      </c>
      <c r="M498" s="132"/>
      <c r="N498" s="79">
        <v>21.57</v>
      </c>
      <c r="O498" s="79"/>
      <c r="P498" s="79">
        <v>21.57</v>
      </c>
      <c r="Q498" s="136"/>
      <c r="R498" s="79">
        <v>21.57</v>
      </c>
      <c r="S498" s="79"/>
      <c r="T498" s="79">
        <v>21.57</v>
      </c>
      <c r="U498" s="79">
        <v>0</v>
      </c>
      <c r="V498" s="189">
        <v>21.57</v>
      </c>
      <c r="X498" s="79">
        <v>21.57</v>
      </c>
      <c r="Y498" s="79"/>
      <c r="Z498" s="79">
        <v>21.57</v>
      </c>
      <c r="AA498" s="255">
        <v>0</v>
      </c>
      <c r="AC498" s="254"/>
    </row>
    <row r="499" spans="1:29" ht="12">
      <c r="A499" s="67" t="s">
        <v>11467</v>
      </c>
      <c r="B499" s="65" t="s">
        <v>11468</v>
      </c>
      <c r="C499" s="71" t="s">
        <v>121</v>
      </c>
      <c r="D499" s="78">
        <v>1</v>
      </c>
      <c r="E499" s="79">
        <v>27.57</v>
      </c>
      <c r="F499" s="70">
        <v>27.57</v>
      </c>
      <c r="G499" s="320"/>
      <c r="H499" s="79">
        <v>27.57</v>
      </c>
      <c r="I499" s="79">
        <v>0</v>
      </c>
      <c r="J499" s="79">
        <v>27.57</v>
      </c>
      <c r="K499" s="79">
        <v>0</v>
      </c>
      <c r="L499" s="70">
        <v>27.57</v>
      </c>
      <c r="M499" s="132"/>
      <c r="N499" s="79">
        <v>27.57</v>
      </c>
      <c r="O499" s="79"/>
      <c r="P499" s="79">
        <v>27.57</v>
      </c>
      <c r="Q499" s="136"/>
      <c r="R499" s="79">
        <v>27.57</v>
      </c>
      <c r="S499" s="79"/>
      <c r="T499" s="79">
        <v>27.57</v>
      </c>
      <c r="U499" s="79">
        <v>0</v>
      </c>
      <c r="V499" s="189">
        <v>27.57</v>
      </c>
      <c r="X499" s="79">
        <v>27.57</v>
      </c>
      <c r="Y499" s="79"/>
      <c r="Z499" s="79">
        <v>27.57</v>
      </c>
      <c r="AA499" s="255">
        <v>0</v>
      </c>
      <c r="AC499" s="254"/>
    </row>
    <row r="500" spans="1:29" ht="12">
      <c r="A500" s="67" t="s">
        <v>11469</v>
      </c>
      <c r="B500" s="65" t="s">
        <v>11470</v>
      </c>
      <c r="C500" s="71" t="s">
        <v>121</v>
      </c>
      <c r="D500" s="78">
        <v>1</v>
      </c>
      <c r="E500" s="79">
        <v>41.33</v>
      </c>
      <c r="F500" s="70">
        <v>41.33</v>
      </c>
      <c r="G500" s="320"/>
      <c r="H500" s="79">
        <v>41.33</v>
      </c>
      <c r="I500" s="79">
        <v>0</v>
      </c>
      <c r="J500" s="79">
        <v>41.33</v>
      </c>
      <c r="K500" s="79">
        <v>0</v>
      </c>
      <c r="L500" s="70">
        <v>41.33</v>
      </c>
      <c r="M500" s="132"/>
      <c r="N500" s="79">
        <v>41.33</v>
      </c>
      <c r="O500" s="79"/>
      <c r="P500" s="79">
        <v>41.33</v>
      </c>
      <c r="Q500" s="136"/>
      <c r="R500" s="79">
        <v>41.33</v>
      </c>
      <c r="S500" s="79"/>
      <c r="T500" s="79">
        <v>41.33</v>
      </c>
      <c r="U500" s="79">
        <v>0</v>
      </c>
      <c r="V500" s="189">
        <v>41.33</v>
      </c>
      <c r="X500" s="79">
        <v>41.33</v>
      </c>
      <c r="Y500" s="79"/>
      <c r="Z500" s="79">
        <v>41.33</v>
      </c>
      <c r="AA500" s="255">
        <v>0</v>
      </c>
      <c r="AC500" s="254"/>
    </row>
    <row r="501" spans="1:29" ht="12">
      <c r="A501" s="67" t="s">
        <v>11471</v>
      </c>
      <c r="B501" s="65" t="s">
        <v>11472</v>
      </c>
      <c r="C501" s="71" t="s">
        <v>121</v>
      </c>
      <c r="D501" s="78">
        <v>1</v>
      </c>
      <c r="E501" s="79">
        <v>55.09</v>
      </c>
      <c r="F501" s="70">
        <v>55.09</v>
      </c>
      <c r="G501" s="320"/>
      <c r="H501" s="79">
        <v>55.09</v>
      </c>
      <c r="I501" s="79">
        <v>0</v>
      </c>
      <c r="J501" s="79">
        <v>55.09</v>
      </c>
      <c r="K501" s="79">
        <v>0</v>
      </c>
      <c r="L501" s="70">
        <v>55.09</v>
      </c>
      <c r="M501" s="132"/>
      <c r="N501" s="79">
        <v>55.09</v>
      </c>
      <c r="O501" s="79"/>
      <c r="P501" s="79">
        <v>55.09</v>
      </c>
      <c r="Q501" s="136"/>
      <c r="R501" s="79">
        <v>55.09</v>
      </c>
      <c r="S501" s="79"/>
      <c r="T501" s="79">
        <v>55.09</v>
      </c>
      <c r="U501" s="79">
        <v>0</v>
      </c>
      <c r="V501" s="189">
        <v>55.09</v>
      </c>
      <c r="X501" s="79">
        <v>55.09</v>
      </c>
      <c r="Y501" s="79"/>
      <c r="Z501" s="79">
        <v>55.09</v>
      </c>
      <c r="AA501" s="255">
        <v>0</v>
      </c>
      <c r="AC501" s="254"/>
    </row>
    <row r="502" spans="1:29" ht="12">
      <c r="A502" s="67" t="s">
        <v>11473</v>
      </c>
      <c r="B502" s="65" t="s">
        <v>11474</v>
      </c>
      <c r="C502" s="71" t="s">
        <v>11435</v>
      </c>
      <c r="D502" s="78">
        <v>1</v>
      </c>
      <c r="E502" s="79">
        <v>2.67</v>
      </c>
      <c r="F502" s="70">
        <v>2.67</v>
      </c>
      <c r="G502" s="320"/>
      <c r="H502" s="79">
        <v>2.67</v>
      </c>
      <c r="I502" s="79">
        <v>0</v>
      </c>
      <c r="J502" s="79">
        <v>2.67</v>
      </c>
      <c r="K502" s="79">
        <v>0</v>
      </c>
      <c r="L502" s="70">
        <v>2.67</v>
      </c>
      <c r="M502" s="132"/>
      <c r="N502" s="79">
        <v>2.67</v>
      </c>
      <c r="O502" s="79"/>
      <c r="P502" s="79">
        <v>2.67</v>
      </c>
      <c r="Q502" s="136"/>
      <c r="R502" s="79">
        <v>2.67</v>
      </c>
      <c r="S502" s="79"/>
      <c r="T502" s="79">
        <v>2.67</v>
      </c>
      <c r="U502" s="79">
        <v>0</v>
      </c>
      <c r="V502" s="189">
        <v>2.67</v>
      </c>
      <c r="X502" s="79">
        <v>2.67</v>
      </c>
      <c r="Y502" s="79"/>
      <c r="Z502" s="79">
        <v>2.67</v>
      </c>
      <c r="AA502" s="255">
        <v>0</v>
      </c>
      <c r="AC502" s="254"/>
    </row>
    <row r="503" spans="1:29" ht="11">
      <c r="A503" s="67"/>
      <c r="B503" s="65"/>
      <c r="C503" s="71"/>
      <c r="D503" s="78"/>
      <c r="E503" s="79"/>
      <c r="F503" s="70"/>
      <c r="G503" s="320"/>
      <c r="H503" s="79"/>
      <c r="I503" s="79"/>
      <c r="J503" s="79"/>
      <c r="K503" s="79"/>
      <c r="L503" s="70"/>
      <c r="M503" s="132"/>
      <c r="N503" s="79"/>
      <c r="O503" s="79"/>
      <c r="P503" s="79"/>
      <c r="Q503" s="136"/>
      <c r="R503" s="79">
        <v>2.7</v>
      </c>
      <c r="S503" s="79"/>
      <c r="T503" s="79"/>
      <c r="U503" s="79"/>
      <c r="V503" s="189"/>
      <c r="X503" s="79">
        <v>2.7</v>
      </c>
      <c r="Y503" s="79"/>
      <c r="Z503" s="79">
        <v>2.7</v>
      </c>
      <c r="AA503" s="255"/>
      <c r="AC503" s="254"/>
    </row>
    <row r="504" spans="1:29" ht="12">
      <c r="A504" s="489" t="s">
        <v>11475</v>
      </c>
      <c r="B504" s="490" t="s">
        <v>11476</v>
      </c>
      <c r="C504" s="491"/>
      <c r="D504" s="492"/>
      <c r="E504" s="79"/>
      <c r="F504" s="63"/>
      <c r="G504" s="320"/>
      <c r="H504" s="79"/>
      <c r="I504" s="79"/>
      <c r="J504" s="79"/>
      <c r="K504" s="79"/>
      <c r="L504" s="70"/>
      <c r="M504" s="132"/>
      <c r="N504" s="79"/>
      <c r="O504" s="79"/>
      <c r="P504" s="79"/>
      <c r="Q504" s="136"/>
      <c r="R504" s="79"/>
      <c r="S504" s="79"/>
      <c r="T504" s="79"/>
      <c r="U504" s="79"/>
      <c r="V504" s="189"/>
      <c r="X504" s="79"/>
      <c r="Y504" s="79"/>
      <c r="Z504" s="79"/>
      <c r="AA504" s="255"/>
      <c r="AC504" s="254"/>
    </row>
    <row r="505" spans="1:29" ht="12">
      <c r="A505" s="489" t="s">
        <v>11477</v>
      </c>
      <c r="B505" s="490" t="s">
        <v>11478</v>
      </c>
      <c r="C505" s="491"/>
      <c r="D505" s="492"/>
      <c r="E505" s="79"/>
      <c r="F505" s="63"/>
      <c r="G505" s="320"/>
      <c r="H505" s="79"/>
      <c r="I505" s="79"/>
      <c r="J505" s="79"/>
      <c r="K505" s="79"/>
      <c r="L505" s="70"/>
      <c r="M505" s="132"/>
      <c r="N505" s="79"/>
      <c r="O505" s="79"/>
      <c r="P505" s="79"/>
      <c r="Q505" s="136"/>
      <c r="R505" s="79"/>
      <c r="S505" s="79"/>
      <c r="T505" s="79"/>
      <c r="U505" s="79"/>
      <c r="V505" s="189"/>
      <c r="X505" s="79"/>
      <c r="Y505" s="79"/>
      <c r="Z505" s="79"/>
      <c r="AA505" s="255"/>
      <c r="AC505" s="254"/>
    </row>
    <row r="506" spans="1:29" ht="12">
      <c r="A506" s="67" t="s">
        <v>11479</v>
      </c>
      <c r="B506" s="65" t="s">
        <v>11480</v>
      </c>
      <c r="C506" s="71" t="s">
        <v>121</v>
      </c>
      <c r="D506" s="78">
        <v>1</v>
      </c>
      <c r="E506" s="79">
        <v>56.78</v>
      </c>
      <c r="F506" s="70">
        <v>56.78</v>
      </c>
      <c r="G506" s="320"/>
      <c r="H506" s="79">
        <v>0</v>
      </c>
      <c r="I506" s="79">
        <v>56.78</v>
      </c>
      <c r="J506" s="79">
        <v>56.78</v>
      </c>
      <c r="K506" s="79">
        <v>0</v>
      </c>
      <c r="L506" s="70">
        <v>56.78</v>
      </c>
      <c r="M506" s="132"/>
      <c r="N506" s="79"/>
      <c r="O506" s="79">
        <v>56.78</v>
      </c>
      <c r="P506" s="79">
        <v>56.78</v>
      </c>
      <c r="Q506" s="136"/>
      <c r="R506" s="79"/>
      <c r="S506" s="79">
        <v>56.78</v>
      </c>
      <c r="T506" s="79">
        <v>56.78</v>
      </c>
      <c r="U506" s="79">
        <v>0</v>
      </c>
      <c r="V506" s="189">
        <v>56.78</v>
      </c>
      <c r="X506" s="79"/>
      <c r="Y506" s="79">
        <v>56.78</v>
      </c>
      <c r="Z506" s="79">
        <v>56.78</v>
      </c>
      <c r="AA506" s="255">
        <v>0</v>
      </c>
      <c r="AC506" s="254"/>
    </row>
    <row r="507" spans="1:29" ht="12">
      <c r="A507" s="67" t="s">
        <v>11481</v>
      </c>
      <c r="B507" s="65" t="s">
        <v>11482</v>
      </c>
      <c r="C507" s="71" t="s">
        <v>121</v>
      </c>
      <c r="D507" s="78">
        <v>1</v>
      </c>
      <c r="E507" s="79">
        <v>70.84</v>
      </c>
      <c r="F507" s="70">
        <v>70.84</v>
      </c>
      <c r="G507" s="320"/>
      <c r="H507" s="79">
        <v>0</v>
      </c>
      <c r="I507" s="79">
        <v>70.84</v>
      </c>
      <c r="J507" s="79">
        <v>70.84</v>
      </c>
      <c r="K507" s="79">
        <v>0</v>
      </c>
      <c r="L507" s="70">
        <v>70.84</v>
      </c>
      <c r="M507" s="132"/>
      <c r="N507" s="79"/>
      <c r="O507" s="79">
        <v>70.84</v>
      </c>
      <c r="P507" s="79">
        <v>70.84</v>
      </c>
      <c r="Q507" s="136"/>
      <c r="R507" s="79"/>
      <c r="S507" s="79">
        <v>70.86</v>
      </c>
      <c r="T507" s="79">
        <v>70.86</v>
      </c>
      <c r="U507" s="79">
        <v>0</v>
      </c>
      <c r="V507" s="189">
        <v>70.86</v>
      </c>
      <c r="X507" s="79"/>
      <c r="Y507" s="79">
        <v>70.86</v>
      </c>
      <c r="Z507" s="79">
        <v>70.86</v>
      </c>
      <c r="AA507" s="255">
        <v>-1.9999999999996021E-2</v>
      </c>
      <c r="AC507" s="254"/>
    </row>
    <row r="508" spans="1:29" ht="12">
      <c r="A508" s="489" t="s">
        <v>11483</v>
      </c>
      <c r="B508" s="490" t="s">
        <v>11484</v>
      </c>
      <c r="C508" s="491"/>
      <c r="D508" s="492"/>
      <c r="E508" s="79"/>
      <c r="F508" s="63"/>
      <c r="G508" s="320"/>
      <c r="H508" s="79"/>
      <c r="I508" s="79"/>
      <c r="J508" s="79"/>
      <c r="K508" s="79"/>
      <c r="L508" s="70"/>
      <c r="M508" s="132"/>
      <c r="N508" s="79"/>
      <c r="O508" s="79"/>
      <c r="P508" s="79"/>
      <c r="Q508" s="136"/>
      <c r="R508" s="79"/>
      <c r="S508" s="79"/>
      <c r="T508" s="79"/>
      <c r="U508" s="79"/>
      <c r="V508" s="189"/>
      <c r="X508" s="79"/>
      <c r="Y508" s="79"/>
      <c r="Z508" s="79"/>
      <c r="AA508" s="255"/>
      <c r="AC508" s="254"/>
    </row>
    <row r="509" spans="1:29" ht="12">
      <c r="A509" s="67" t="s">
        <v>11485</v>
      </c>
      <c r="B509" s="65" t="s">
        <v>11486</v>
      </c>
      <c r="C509" s="71" t="s">
        <v>121</v>
      </c>
      <c r="D509" s="78">
        <v>1</v>
      </c>
      <c r="E509" s="79">
        <v>68.13</v>
      </c>
      <c r="F509" s="70">
        <v>68.13</v>
      </c>
      <c r="G509" s="320"/>
      <c r="H509" s="79">
        <v>0</v>
      </c>
      <c r="I509" s="79">
        <v>68.13</v>
      </c>
      <c r="J509" s="79">
        <v>68.13</v>
      </c>
      <c r="K509" s="79">
        <v>0</v>
      </c>
      <c r="L509" s="70">
        <v>68.13</v>
      </c>
      <c r="M509" s="132"/>
      <c r="N509" s="79"/>
      <c r="O509" s="79">
        <v>68.13</v>
      </c>
      <c r="P509" s="79">
        <v>68.13</v>
      </c>
      <c r="Q509" s="136"/>
      <c r="R509" s="79"/>
      <c r="S509" s="79">
        <v>68.13</v>
      </c>
      <c r="T509" s="79">
        <v>68.13</v>
      </c>
      <c r="U509" s="79">
        <v>0</v>
      </c>
      <c r="V509" s="189">
        <v>68.13</v>
      </c>
      <c r="X509" s="79"/>
      <c r="Y509" s="79">
        <v>68.13</v>
      </c>
      <c r="Z509" s="79">
        <v>68.13</v>
      </c>
      <c r="AA509" s="255">
        <v>0</v>
      </c>
      <c r="AC509" s="254"/>
    </row>
    <row r="510" spans="1:29" ht="12">
      <c r="A510" s="67" t="s">
        <v>11487</v>
      </c>
      <c r="B510" s="65" t="s">
        <v>11488</v>
      </c>
      <c r="C510" s="71" t="s">
        <v>121</v>
      </c>
      <c r="D510" s="78">
        <v>1</v>
      </c>
      <c r="E510" s="79">
        <v>88.12</v>
      </c>
      <c r="F510" s="70">
        <v>88.12</v>
      </c>
      <c r="G510" s="320"/>
      <c r="H510" s="79">
        <v>0</v>
      </c>
      <c r="I510" s="79">
        <v>88.12</v>
      </c>
      <c r="J510" s="79">
        <v>88.12</v>
      </c>
      <c r="K510" s="79">
        <v>0</v>
      </c>
      <c r="L510" s="70">
        <v>88.12</v>
      </c>
      <c r="M510" s="132"/>
      <c r="N510" s="79"/>
      <c r="O510" s="79">
        <v>88.12</v>
      </c>
      <c r="P510" s="79">
        <v>88.12</v>
      </c>
      <c r="Q510" s="136"/>
      <c r="R510" s="79"/>
      <c r="S510" s="79">
        <v>88.11</v>
      </c>
      <c r="T510" s="79">
        <v>88.11</v>
      </c>
      <c r="U510" s="79">
        <v>0</v>
      </c>
      <c r="V510" s="189">
        <v>88.11</v>
      </c>
      <c r="X510" s="79"/>
      <c r="Y510" s="79">
        <v>88.11</v>
      </c>
      <c r="Z510" s="79">
        <v>88.11</v>
      </c>
      <c r="AA510" s="255">
        <v>1.0000000000005116E-2</v>
      </c>
      <c r="AC510" s="254"/>
    </row>
    <row r="511" spans="1:29" ht="12">
      <c r="A511" s="489" t="s">
        <v>11489</v>
      </c>
      <c r="B511" s="490" t="s">
        <v>11490</v>
      </c>
      <c r="C511" s="491"/>
      <c r="D511" s="492"/>
      <c r="E511" s="79"/>
      <c r="F511" s="63"/>
      <c r="G511" s="320"/>
      <c r="H511" s="79"/>
      <c r="I511" s="79"/>
      <c r="J511" s="79"/>
      <c r="K511" s="79"/>
      <c r="L511" s="70"/>
      <c r="M511" s="132"/>
      <c r="N511" s="79"/>
      <c r="O511" s="79"/>
      <c r="P511" s="79"/>
      <c r="Q511" s="136"/>
      <c r="R511" s="79"/>
      <c r="S511" s="79"/>
      <c r="T511" s="79"/>
      <c r="U511" s="79"/>
      <c r="V511" s="189"/>
      <c r="X511" s="79"/>
      <c r="Y511" s="79"/>
      <c r="Z511" s="79"/>
      <c r="AA511" s="255"/>
      <c r="AC511" s="254"/>
    </row>
    <row r="512" spans="1:29" ht="12">
      <c r="A512" s="67" t="s">
        <v>11491</v>
      </c>
      <c r="B512" s="65" t="s">
        <v>11492</v>
      </c>
      <c r="C512" s="71" t="s">
        <v>121</v>
      </c>
      <c r="D512" s="78">
        <v>1</v>
      </c>
      <c r="E512" s="79">
        <v>9.77</v>
      </c>
      <c r="F512" s="70">
        <v>9.77</v>
      </c>
      <c r="G512" s="320"/>
      <c r="H512" s="79">
        <v>0</v>
      </c>
      <c r="I512" s="79">
        <v>9.77</v>
      </c>
      <c r="J512" s="79">
        <v>9.77</v>
      </c>
      <c r="K512" s="79">
        <v>0</v>
      </c>
      <c r="L512" s="70">
        <v>9.77</v>
      </c>
      <c r="M512" s="132"/>
      <c r="N512" s="79"/>
      <c r="O512" s="79">
        <v>9.77</v>
      </c>
      <c r="P512" s="79">
        <v>9.77</v>
      </c>
      <c r="Q512" s="136"/>
      <c r="R512" s="79"/>
      <c r="S512" s="79">
        <v>9.77</v>
      </c>
      <c r="T512" s="79">
        <v>9.77</v>
      </c>
      <c r="U512" s="79">
        <v>0</v>
      </c>
      <c r="V512" s="189">
        <v>9.77</v>
      </c>
      <c r="X512" s="79"/>
      <c r="Y512" s="79">
        <v>9.77</v>
      </c>
      <c r="Z512" s="79">
        <v>9.77</v>
      </c>
      <c r="AA512" s="255">
        <v>0</v>
      </c>
      <c r="AC512" s="254"/>
    </row>
    <row r="513" spans="1:29" s="61" customFormat="1" ht="12">
      <c r="A513" s="67" t="s">
        <v>11493</v>
      </c>
      <c r="B513" s="65" t="s">
        <v>11494</v>
      </c>
      <c r="C513" s="71" t="s">
        <v>121</v>
      </c>
      <c r="D513" s="78">
        <v>1</v>
      </c>
      <c r="E513" s="79">
        <v>21.200000000000003</v>
      </c>
      <c r="F513" s="70">
        <v>21.2</v>
      </c>
      <c r="G513" s="320"/>
      <c r="H513" s="79">
        <v>0</v>
      </c>
      <c r="I513" s="79">
        <v>21.200000000000003</v>
      </c>
      <c r="J513" s="79">
        <v>21.200000000000003</v>
      </c>
      <c r="K513" s="79">
        <v>0</v>
      </c>
      <c r="L513" s="70">
        <v>21.200000000000003</v>
      </c>
      <c r="M513" s="132"/>
      <c r="N513" s="79"/>
      <c r="O513" s="79">
        <v>21.200000000000003</v>
      </c>
      <c r="P513" s="79">
        <v>21.200000000000003</v>
      </c>
      <c r="Q513" s="136"/>
      <c r="R513" s="79"/>
      <c r="S513" s="79">
        <v>21.19</v>
      </c>
      <c r="T513" s="79">
        <v>21.19</v>
      </c>
      <c r="U513" s="79">
        <v>0</v>
      </c>
      <c r="V513" s="189">
        <v>21.19</v>
      </c>
      <c r="X513" s="79"/>
      <c r="Y513" s="79">
        <v>21.19</v>
      </c>
      <c r="Z513" s="79">
        <v>21.19</v>
      </c>
      <c r="AA513" s="255">
        <v>9.9999999999980105E-3</v>
      </c>
      <c r="AC513" s="254"/>
    </row>
    <row r="514" spans="1:29" s="61" customFormat="1" ht="12">
      <c r="A514" s="67" t="s">
        <v>11495</v>
      </c>
      <c r="B514" s="65" t="s">
        <v>11496</v>
      </c>
      <c r="C514" s="71" t="s">
        <v>121</v>
      </c>
      <c r="D514" s="78">
        <v>1</v>
      </c>
      <c r="E514" s="79">
        <v>95.33</v>
      </c>
      <c r="F514" s="70">
        <v>95.33</v>
      </c>
      <c r="G514" s="320"/>
      <c r="H514" s="79">
        <v>19.03</v>
      </c>
      <c r="I514" s="79">
        <v>76.3</v>
      </c>
      <c r="J514" s="79">
        <v>95.33</v>
      </c>
      <c r="K514" s="79">
        <v>0</v>
      </c>
      <c r="L514" s="70">
        <v>95.33</v>
      </c>
      <c r="M514" s="132"/>
      <c r="N514" s="79">
        <v>19.03</v>
      </c>
      <c r="O514" s="79">
        <v>76.3</v>
      </c>
      <c r="P514" s="79">
        <v>95.33</v>
      </c>
      <c r="Q514" s="136"/>
      <c r="R514" s="79">
        <v>19.03</v>
      </c>
      <c r="S514" s="79">
        <v>76.31</v>
      </c>
      <c r="T514" s="79">
        <v>95.34</v>
      </c>
      <c r="U514" s="79">
        <v>0</v>
      </c>
      <c r="V514" s="189">
        <v>95.34</v>
      </c>
      <c r="X514" s="79">
        <v>19.03</v>
      </c>
      <c r="Y514" s="79">
        <v>76.31</v>
      </c>
      <c r="Z514" s="79">
        <v>95.34</v>
      </c>
      <c r="AA514" s="255">
        <v>-1.0000000000005116E-2</v>
      </c>
      <c r="AC514" s="254"/>
    </row>
    <row r="515" spans="1:29" s="61" customFormat="1" ht="12">
      <c r="A515" s="489" t="s">
        <v>11497</v>
      </c>
      <c r="B515" s="490" t="s">
        <v>11498</v>
      </c>
      <c r="C515" s="491"/>
      <c r="D515" s="492"/>
      <c r="E515" s="79"/>
      <c r="F515" s="63"/>
      <c r="G515" s="320"/>
      <c r="H515" s="79"/>
      <c r="I515" s="79"/>
      <c r="J515" s="79"/>
      <c r="K515" s="79"/>
      <c r="L515" s="70"/>
      <c r="M515" s="132"/>
      <c r="N515" s="79"/>
      <c r="O515" s="79"/>
      <c r="P515" s="79"/>
      <c r="Q515" s="136"/>
      <c r="R515" s="79"/>
      <c r="S515" s="79"/>
      <c r="T515" s="79"/>
      <c r="U515" s="79"/>
      <c r="V515" s="189"/>
      <c r="X515" s="79"/>
      <c r="Y515" s="79"/>
      <c r="Z515" s="79"/>
      <c r="AA515" s="255"/>
      <c r="AC515" s="254"/>
    </row>
    <row r="516" spans="1:29" ht="12">
      <c r="A516" s="67" t="s">
        <v>11499</v>
      </c>
      <c r="B516" s="65" t="s">
        <v>11500</v>
      </c>
      <c r="C516" s="71" t="s">
        <v>121</v>
      </c>
      <c r="D516" s="78">
        <v>1</v>
      </c>
      <c r="E516" s="79">
        <v>70.14</v>
      </c>
      <c r="F516" s="70">
        <v>70.14</v>
      </c>
      <c r="G516" s="320"/>
      <c r="H516" s="79">
        <v>0</v>
      </c>
      <c r="I516" s="79">
        <v>70.14</v>
      </c>
      <c r="J516" s="79">
        <v>70.14</v>
      </c>
      <c r="K516" s="79">
        <v>0</v>
      </c>
      <c r="L516" s="70">
        <v>70.14</v>
      </c>
      <c r="M516" s="132"/>
      <c r="N516" s="79"/>
      <c r="O516" s="79">
        <v>70.14</v>
      </c>
      <c r="P516" s="79">
        <v>70.14</v>
      </c>
      <c r="Q516" s="136"/>
      <c r="R516" s="79"/>
      <c r="S516" s="79">
        <v>70.150000000000006</v>
      </c>
      <c r="T516" s="79">
        <v>70.150000000000006</v>
      </c>
      <c r="U516" s="79">
        <v>0</v>
      </c>
      <c r="V516" s="189">
        <v>70.150000000000006</v>
      </c>
      <c r="X516" s="79"/>
      <c r="Y516" s="79">
        <v>70.150000000000006</v>
      </c>
      <c r="Z516" s="79">
        <v>70.150000000000006</v>
      </c>
      <c r="AA516" s="255">
        <v>-1.0000000000005116E-2</v>
      </c>
      <c r="AC516" s="254"/>
    </row>
    <row r="517" spans="1:29" ht="12">
      <c r="A517" s="489" t="s">
        <v>11501</v>
      </c>
      <c r="B517" s="490" t="s">
        <v>11502</v>
      </c>
      <c r="C517" s="491"/>
      <c r="D517" s="492"/>
      <c r="E517" s="79"/>
      <c r="F517" s="63"/>
      <c r="G517" s="320"/>
      <c r="H517" s="79"/>
      <c r="I517" s="79"/>
      <c r="J517" s="79"/>
      <c r="K517" s="79"/>
      <c r="L517" s="70"/>
      <c r="M517" s="132"/>
      <c r="N517" s="79"/>
      <c r="O517" s="79"/>
      <c r="P517" s="79"/>
      <c r="Q517" s="136"/>
      <c r="R517" s="79"/>
      <c r="S517" s="79"/>
      <c r="T517" s="79"/>
      <c r="U517" s="79"/>
      <c r="V517" s="189"/>
      <c r="X517" s="79"/>
      <c r="Y517" s="79"/>
      <c r="Z517" s="79"/>
      <c r="AA517" s="255"/>
      <c r="AC517" s="254"/>
    </row>
    <row r="518" spans="1:29" ht="12">
      <c r="A518" s="67" t="s">
        <v>11503</v>
      </c>
      <c r="B518" s="65" t="s">
        <v>11504</v>
      </c>
      <c r="C518" s="71" t="s">
        <v>121</v>
      </c>
      <c r="D518" s="78">
        <v>1</v>
      </c>
      <c r="E518" s="79">
        <v>13.629999999999999</v>
      </c>
      <c r="F518" s="70">
        <v>13.63</v>
      </c>
      <c r="G518" s="320"/>
      <c r="H518" s="79">
        <v>0</v>
      </c>
      <c r="I518" s="79">
        <v>13.629999999999999</v>
      </c>
      <c r="J518" s="79">
        <v>13.629999999999999</v>
      </c>
      <c r="K518" s="79">
        <v>0</v>
      </c>
      <c r="L518" s="70">
        <v>13.629999999999999</v>
      </c>
      <c r="M518" s="132"/>
      <c r="N518" s="79"/>
      <c r="O518" s="79">
        <v>13.629999999999999</v>
      </c>
      <c r="P518" s="79">
        <v>13.629999999999999</v>
      </c>
      <c r="Q518" s="136"/>
      <c r="R518" s="79"/>
      <c r="S518" s="79">
        <v>13.63</v>
      </c>
      <c r="T518" s="79">
        <v>13.63</v>
      </c>
      <c r="U518" s="79">
        <v>0</v>
      </c>
      <c r="V518" s="189">
        <v>13.63</v>
      </c>
      <c r="X518" s="79"/>
      <c r="Y518" s="79">
        <v>13.63</v>
      </c>
      <c r="Z518" s="79">
        <v>13.63</v>
      </c>
      <c r="AA518" s="255">
        <v>0</v>
      </c>
      <c r="AC518" s="254"/>
    </row>
    <row r="519" spans="1:29" ht="12">
      <c r="A519" s="489" t="s">
        <v>11505</v>
      </c>
      <c r="B519" s="490" t="s">
        <v>11506</v>
      </c>
      <c r="C519" s="491"/>
      <c r="D519" s="492"/>
      <c r="E519" s="79"/>
      <c r="F519" s="63"/>
      <c r="G519" s="320"/>
      <c r="H519" s="79"/>
      <c r="I519" s="79"/>
      <c r="J519" s="79"/>
      <c r="K519" s="79"/>
      <c r="L519" s="70"/>
      <c r="M519" s="132"/>
      <c r="N519" s="79"/>
      <c r="O519" s="79"/>
      <c r="P519" s="79"/>
      <c r="Q519" s="136"/>
      <c r="R519" s="79"/>
      <c r="S519" s="79"/>
      <c r="T519" s="79"/>
      <c r="U519" s="79"/>
      <c r="V519" s="189"/>
      <c r="X519" s="79"/>
      <c r="Y519" s="79"/>
      <c r="Z519" s="79"/>
      <c r="AA519" s="255"/>
      <c r="AC519" s="254"/>
    </row>
    <row r="520" spans="1:29" ht="12">
      <c r="A520" s="489" t="s">
        <v>11507</v>
      </c>
      <c r="B520" s="490" t="s">
        <v>11508</v>
      </c>
      <c r="C520" s="491"/>
      <c r="D520" s="492"/>
      <c r="E520" s="79"/>
      <c r="F520" s="63"/>
      <c r="G520" s="320"/>
      <c r="H520" s="79"/>
      <c r="I520" s="79"/>
      <c r="J520" s="79"/>
      <c r="K520" s="79"/>
      <c r="L520" s="70"/>
      <c r="M520" s="132"/>
      <c r="N520" s="79"/>
      <c r="O520" s="79"/>
      <c r="P520" s="79"/>
      <c r="Q520" s="136"/>
      <c r="R520" s="79"/>
      <c r="S520" s="79"/>
      <c r="T520" s="79"/>
      <c r="U520" s="79"/>
      <c r="V520" s="189"/>
      <c r="X520" s="79"/>
      <c r="Y520" s="79"/>
      <c r="Z520" s="79"/>
      <c r="AA520" s="255"/>
      <c r="AC520" s="254"/>
    </row>
    <row r="521" spans="1:29" ht="12">
      <c r="A521" s="67" t="s">
        <v>11509</v>
      </c>
      <c r="B521" s="65" t="s">
        <v>11510</v>
      </c>
      <c r="C521" s="71" t="s">
        <v>121</v>
      </c>
      <c r="D521" s="78">
        <v>1</v>
      </c>
      <c r="E521" s="79">
        <v>15.59</v>
      </c>
      <c r="F521" s="70">
        <v>15.59</v>
      </c>
      <c r="G521" s="320"/>
      <c r="H521" s="79">
        <v>15.27</v>
      </c>
      <c r="I521" s="79">
        <v>0.32</v>
      </c>
      <c r="J521" s="79">
        <v>15.59</v>
      </c>
      <c r="K521" s="79">
        <v>0</v>
      </c>
      <c r="L521" s="70">
        <v>15.59</v>
      </c>
      <c r="M521" s="132"/>
      <c r="N521" s="79">
        <v>15.27</v>
      </c>
      <c r="O521" s="79">
        <v>0.32</v>
      </c>
      <c r="P521" s="79">
        <v>15.59</v>
      </c>
      <c r="Q521" s="136"/>
      <c r="R521" s="79">
        <v>15.27</v>
      </c>
      <c r="S521" s="79">
        <v>0.32</v>
      </c>
      <c r="T521" s="79">
        <v>15.59</v>
      </c>
      <c r="U521" s="79">
        <v>0</v>
      </c>
      <c r="V521" s="189">
        <v>15.59</v>
      </c>
      <c r="X521" s="79">
        <v>15.27</v>
      </c>
      <c r="Y521" s="79">
        <v>0.32</v>
      </c>
      <c r="Z521" s="79">
        <v>15.59</v>
      </c>
      <c r="AA521" s="255">
        <v>0</v>
      </c>
      <c r="AC521" s="254"/>
    </row>
    <row r="522" spans="1:29" ht="12">
      <c r="A522" s="67" t="s">
        <v>11511</v>
      </c>
      <c r="B522" s="65" t="s">
        <v>11512</v>
      </c>
      <c r="C522" s="71" t="s">
        <v>121</v>
      </c>
      <c r="D522" s="78">
        <v>1</v>
      </c>
      <c r="E522" s="79">
        <v>16.03</v>
      </c>
      <c r="F522" s="70">
        <v>16.03</v>
      </c>
      <c r="G522" s="320"/>
      <c r="H522" s="79">
        <v>15.71</v>
      </c>
      <c r="I522" s="79">
        <v>0.32</v>
      </c>
      <c r="J522" s="79">
        <v>16.03</v>
      </c>
      <c r="K522" s="79">
        <v>0</v>
      </c>
      <c r="L522" s="70">
        <v>16.03</v>
      </c>
      <c r="M522" s="132"/>
      <c r="N522" s="79">
        <v>15.71</v>
      </c>
      <c r="O522" s="79">
        <v>0.32</v>
      </c>
      <c r="P522" s="79">
        <v>16.03</v>
      </c>
      <c r="Q522" s="136"/>
      <c r="R522" s="79">
        <v>15.71</v>
      </c>
      <c r="S522" s="79">
        <v>0.32</v>
      </c>
      <c r="T522" s="79">
        <v>16.03</v>
      </c>
      <c r="U522" s="79">
        <v>0</v>
      </c>
      <c r="V522" s="189">
        <v>16.03</v>
      </c>
      <c r="X522" s="79">
        <v>15.71</v>
      </c>
      <c r="Y522" s="79">
        <v>0.32</v>
      </c>
      <c r="Z522" s="79">
        <v>16.03</v>
      </c>
      <c r="AA522" s="255">
        <v>0</v>
      </c>
      <c r="AC522" s="254"/>
    </row>
    <row r="523" spans="1:29" ht="12">
      <c r="A523" s="67" t="s">
        <v>11513</v>
      </c>
      <c r="B523" s="65" t="s">
        <v>11514</v>
      </c>
      <c r="C523" s="71" t="s">
        <v>121</v>
      </c>
      <c r="D523" s="78">
        <v>1</v>
      </c>
      <c r="E523" s="79">
        <v>34.5</v>
      </c>
      <c r="F523" s="70">
        <v>34.5</v>
      </c>
      <c r="G523" s="320"/>
      <c r="H523" s="79">
        <v>33.43</v>
      </c>
      <c r="I523" s="79">
        <v>1.0699999999999998</v>
      </c>
      <c r="J523" s="79">
        <v>34.5</v>
      </c>
      <c r="K523" s="79">
        <v>0</v>
      </c>
      <c r="L523" s="70">
        <v>34.5</v>
      </c>
      <c r="M523" s="132"/>
      <c r="N523" s="79">
        <v>33.43</v>
      </c>
      <c r="O523" s="79">
        <v>1.0699999999999998</v>
      </c>
      <c r="P523" s="79">
        <v>34.5</v>
      </c>
      <c r="Q523" s="136"/>
      <c r="R523" s="79">
        <v>33.43</v>
      </c>
      <c r="S523" s="79">
        <v>1.06</v>
      </c>
      <c r="T523" s="79">
        <v>34.49</v>
      </c>
      <c r="U523" s="79">
        <v>0</v>
      </c>
      <c r="V523" s="189">
        <v>34.49</v>
      </c>
      <c r="X523" s="79">
        <v>33.43</v>
      </c>
      <c r="Y523" s="79">
        <v>1.06</v>
      </c>
      <c r="Z523" s="79">
        <v>34.49</v>
      </c>
      <c r="AA523" s="255">
        <v>9.9999999999980105E-3</v>
      </c>
      <c r="AC523" s="254"/>
    </row>
    <row r="524" spans="1:29" ht="12">
      <c r="A524" s="67" t="s">
        <v>11515</v>
      </c>
      <c r="B524" s="65" t="s">
        <v>11516</v>
      </c>
      <c r="C524" s="71" t="s">
        <v>121</v>
      </c>
      <c r="D524" s="78">
        <v>1</v>
      </c>
      <c r="E524" s="79">
        <v>15.12</v>
      </c>
      <c r="F524" s="70">
        <v>15.12</v>
      </c>
      <c r="G524" s="320"/>
      <c r="H524" s="79">
        <v>15.12</v>
      </c>
      <c r="I524" s="79">
        <v>0</v>
      </c>
      <c r="J524" s="79">
        <v>15.12</v>
      </c>
      <c r="K524" s="79">
        <v>0</v>
      </c>
      <c r="L524" s="70">
        <v>15.12</v>
      </c>
      <c r="M524" s="132"/>
      <c r="N524" s="79">
        <v>15.12</v>
      </c>
      <c r="O524" s="79"/>
      <c r="P524" s="79">
        <v>15.12</v>
      </c>
      <c r="Q524" s="136"/>
      <c r="R524" s="79">
        <v>15.12</v>
      </c>
      <c r="S524" s="79"/>
      <c r="T524" s="79">
        <v>15.12</v>
      </c>
      <c r="U524" s="79">
        <v>0</v>
      </c>
      <c r="V524" s="189">
        <v>15.12</v>
      </c>
      <c r="X524" s="79">
        <v>15.12</v>
      </c>
      <c r="Y524" s="79"/>
      <c r="Z524" s="79">
        <v>15.12</v>
      </c>
      <c r="AA524" s="255">
        <v>0</v>
      </c>
      <c r="AC524" s="254"/>
    </row>
    <row r="525" spans="1:29" ht="12">
      <c r="A525" s="489" t="s">
        <v>11517</v>
      </c>
      <c r="B525" s="490" t="s">
        <v>11518</v>
      </c>
      <c r="C525" s="491"/>
      <c r="D525" s="492"/>
      <c r="E525" s="79"/>
      <c r="F525" s="63"/>
      <c r="G525" s="320"/>
      <c r="H525" s="79"/>
      <c r="I525" s="79"/>
      <c r="J525" s="79"/>
      <c r="K525" s="79"/>
      <c r="L525" s="70"/>
      <c r="M525" s="132"/>
      <c r="N525" s="79"/>
      <c r="O525" s="79"/>
      <c r="P525" s="79"/>
      <c r="Q525" s="136"/>
      <c r="R525" s="79"/>
      <c r="S525" s="79"/>
      <c r="T525" s="79"/>
      <c r="U525" s="79"/>
      <c r="V525" s="189"/>
      <c r="X525" s="79"/>
      <c r="Y525" s="79"/>
      <c r="Z525" s="79"/>
      <c r="AA525" s="255"/>
      <c r="AC525" s="254"/>
    </row>
    <row r="526" spans="1:29" ht="12">
      <c r="A526" s="67" t="s">
        <v>11519</v>
      </c>
      <c r="B526" s="65" t="s">
        <v>11520</v>
      </c>
      <c r="C526" s="71" t="s">
        <v>121</v>
      </c>
      <c r="D526" s="78">
        <v>1</v>
      </c>
      <c r="E526" s="79">
        <v>11.64</v>
      </c>
      <c r="F526" s="70">
        <v>11.64</v>
      </c>
      <c r="G526" s="320"/>
      <c r="H526" s="79">
        <v>10.18</v>
      </c>
      <c r="I526" s="79">
        <v>1.46</v>
      </c>
      <c r="J526" s="79">
        <v>11.64</v>
      </c>
      <c r="K526" s="79">
        <v>0</v>
      </c>
      <c r="L526" s="70">
        <v>11.64</v>
      </c>
      <c r="M526" s="132"/>
      <c r="N526" s="79">
        <v>10.18</v>
      </c>
      <c r="O526" s="79">
        <v>1.46</v>
      </c>
      <c r="P526" s="79">
        <v>11.64</v>
      </c>
      <c r="Q526" s="136"/>
      <c r="R526" s="79">
        <v>10.18</v>
      </c>
      <c r="S526" s="79">
        <v>1.46</v>
      </c>
      <c r="T526" s="79">
        <v>11.64</v>
      </c>
      <c r="U526" s="79">
        <v>0</v>
      </c>
      <c r="V526" s="189">
        <v>11.64</v>
      </c>
      <c r="X526" s="79">
        <v>10.18</v>
      </c>
      <c r="Y526" s="79">
        <v>1.46</v>
      </c>
      <c r="Z526" s="79">
        <v>11.64</v>
      </c>
      <c r="AA526" s="255">
        <v>0</v>
      </c>
      <c r="AC526" s="254"/>
    </row>
    <row r="527" spans="1:29" ht="12">
      <c r="A527" s="67" t="s">
        <v>11521</v>
      </c>
      <c r="B527" s="65" t="s">
        <v>11522</v>
      </c>
      <c r="C527" s="71" t="s">
        <v>121</v>
      </c>
      <c r="D527" s="78">
        <v>1</v>
      </c>
      <c r="E527" s="79">
        <v>13.110000000000001</v>
      </c>
      <c r="F527" s="70">
        <v>13.11</v>
      </c>
      <c r="G527" s="320"/>
      <c r="H527" s="79">
        <v>11.47</v>
      </c>
      <c r="I527" s="79">
        <v>1.6400000000000001</v>
      </c>
      <c r="J527" s="79">
        <v>13.110000000000001</v>
      </c>
      <c r="K527" s="79">
        <v>0</v>
      </c>
      <c r="L527" s="70">
        <v>13.110000000000001</v>
      </c>
      <c r="M527" s="132"/>
      <c r="N527" s="79">
        <v>11.47</v>
      </c>
      <c r="O527" s="79">
        <v>1.6400000000000001</v>
      </c>
      <c r="P527" s="79">
        <v>13.110000000000001</v>
      </c>
      <c r="Q527" s="136"/>
      <c r="R527" s="79">
        <v>11.47</v>
      </c>
      <c r="S527" s="79">
        <v>1.65</v>
      </c>
      <c r="T527" s="79">
        <v>13.120000000000001</v>
      </c>
      <c r="U527" s="79">
        <v>0</v>
      </c>
      <c r="V527" s="189">
        <v>13.120000000000001</v>
      </c>
      <c r="X527" s="79">
        <v>11.47</v>
      </c>
      <c r="Y527" s="79">
        <v>1.65</v>
      </c>
      <c r="Z527" s="79">
        <v>13.12</v>
      </c>
      <c r="AA527" s="255">
        <v>-9.9999999999997868E-3</v>
      </c>
      <c r="AC527" s="254"/>
    </row>
    <row r="528" spans="1:29" ht="12">
      <c r="A528" s="67" t="s">
        <v>11523</v>
      </c>
      <c r="B528" s="65" t="s">
        <v>11524</v>
      </c>
      <c r="C528" s="71" t="s">
        <v>121</v>
      </c>
      <c r="D528" s="78">
        <v>1</v>
      </c>
      <c r="E528" s="79">
        <v>22.17</v>
      </c>
      <c r="F528" s="70">
        <v>22.17</v>
      </c>
      <c r="G528" s="320"/>
      <c r="H528" s="79">
        <v>21.23</v>
      </c>
      <c r="I528" s="79">
        <v>0.94</v>
      </c>
      <c r="J528" s="79">
        <v>22.17</v>
      </c>
      <c r="K528" s="79">
        <v>0</v>
      </c>
      <c r="L528" s="70">
        <v>22.17</v>
      </c>
      <c r="M528" s="132"/>
      <c r="N528" s="79">
        <v>21.23</v>
      </c>
      <c r="O528" s="79">
        <v>0.94</v>
      </c>
      <c r="P528" s="79">
        <v>22.17</v>
      </c>
      <c r="Q528" s="136"/>
      <c r="R528" s="79">
        <v>21.23</v>
      </c>
      <c r="S528" s="79">
        <v>0.95</v>
      </c>
      <c r="T528" s="79">
        <v>22.18</v>
      </c>
      <c r="U528" s="79">
        <v>0</v>
      </c>
      <c r="V528" s="189">
        <v>22.18</v>
      </c>
      <c r="X528" s="79">
        <v>21.23</v>
      </c>
      <c r="Y528" s="79">
        <v>0.95</v>
      </c>
      <c r="Z528" s="79">
        <v>22.18</v>
      </c>
      <c r="AA528" s="255">
        <v>-9.9999999999980105E-3</v>
      </c>
      <c r="AC528" s="254"/>
    </row>
    <row r="529" spans="1:29" ht="24">
      <c r="A529" s="67" t="s">
        <v>11525</v>
      </c>
      <c r="B529" s="65" t="s">
        <v>11526</v>
      </c>
      <c r="C529" s="71" t="s">
        <v>121</v>
      </c>
      <c r="D529" s="78">
        <v>1</v>
      </c>
      <c r="E529" s="79">
        <v>23.330000000000002</v>
      </c>
      <c r="F529" s="70">
        <v>23.33</v>
      </c>
      <c r="G529" s="320"/>
      <c r="H529" s="79">
        <v>22.42</v>
      </c>
      <c r="I529" s="79">
        <v>0.91</v>
      </c>
      <c r="J529" s="79">
        <v>23.330000000000002</v>
      </c>
      <c r="K529" s="79">
        <v>0</v>
      </c>
      <c r="L529" s="70">
        <v>23.330000000000002</v>
      </c>
      <c r="M529" s="132"/>
      <c r="N529" s="79">
        <v>22.42</v>
      </c>
      <c r="O529" s="79">
        <v>0.91</v>
      </c>
      <c r="P529" s="79">
        <v>23.330000000000002</v>
      </c>
      <c r="Q529" s="136"/>
      <c r="R529" s="79">
        <v>22.42</v>
      </c>
      <c r="S529" s="79">
        <v>0.9</v>
      </c>
      <c r="T529" s="79">
        <v>23.32</v>
      </c>
      <c r="U529" s="79">
        <v>0</v>
      </c>
      <c r="V529" s="189">
        <v>23.32</v>
      </c>
      <c r="X529" s="79">
        <v>22.42</v>
      </c>
      <c r="Y529" s="79">
        <v>0.9</v>
      </c>
      <c r="Z529" s="79">
        <v>23.32</v>
      </c>
      <c r="AA529" s="255">
        <v>9.9999999999980105E-3</v>
      </c>
      <c r="AC529" s="254"/>
    </row>
    <row r="530" spans="1:29" ht="12">
      <c r="A530" s="489" t="s">
        <v>11527</v>
      </c>
      <c r="B530" s="490" t="s">
        <v>11528</v>
      </c>
      <c r="C530" s="491"/>
      <c r="D530" s="492"/>
      <c r="E530" s="79"/>
      <c r="F530" s="63"/>
      <c r="G530" s="320"/>
      <c r="H530" s="79"/>
      <c r="I530" s="79"/>
      <c r="J530" s="79"/>
      <c r="K530" s="79"/>
      <c r="L530" s="70"/>
      <c r="M530" s="132"/>
      <c r="N530" s="79"/>
      <c r="O530" s="79"/>
      <c r="P530" s="79"/>
      <c r="Q530" s="136"/>
      <c r="R530" s="79"/>
      <c r="S530" s="79"/>
      <c r="T530" s="79"/>
      <c r="U530" s="79"/>
      <c r="V530" s="189"/>
      <c r="X530" s="79"/>
      <c r="Y530" s="79"/>
      <c r="Z530" s="79"/>
      <c r="AA530" s="255"/>
      <c r="AC530" s="254"/>
    </row>
    <row r="531" spans="1:29" ht="12">
      <c r="A531" s="67" t="s">
        <v>11529</v>
      </c>
      <c r="B531" s="65" t="s">
        <v>11530</v>
      </c>
      <c r="C531" s="71" t="s">
        <v>121</v>
      </c>
      <c r="D531" s="78">
        <v>1</v>
      </c>
      <c r="E531" s="79">
        <v>33.24</v>
      </c>
      <c r="F531" s="70">
        <v>33.24</v>
      </c>
      <c r="G531" s="320"/>
      <c r="H531" s="79">
        <v>31.119999999999997</v>
      </c>
      <c r="I531" s="79">
        <v>2.12</v>
      </c>
      <c r="J531" s="79">
        <v>33.239999999999995</v>
      </c>
      <c r="K531" s="79">
        <v>0</v>
      </c>
      <c r="L531" s="70">
        <v>33.239999999999995</v>
      </c>
      <c r="M531" s="132"/>
      <c r="N531" s="79">
        <v>31.119999999999997</v>
      </c>
      <c r="O531" s="79">
        <v>2.12</v>
      </c>
      <c r="P531" s="79">
        <v>33.239999999999995</v>
      </c>
      <c r="Q531" s="136"/>
      <c r="R531" s="79">
        <v>31.12</v>
      </c>
      <c r="S531" s="79">
        <v>2.12</v>
      </c>
      <c r="T531" s="79">
        <v>33.24</v>
      </c>
      <c r="U531" s="79">
        <v>0</v>
      </c>
      <c r="V531" s="189">
        <v>33.24</v>
      </c>
      <c r="X531" s="79">
        <v>31.12</v>
      </c>
      <c r="Y531" s="79">
        <v>2.12</v>
      </c>
      <c r="Z531" s="79">
        <v>33.24</v>
      </c>
      <c r="AA531" s="255">
        <v>0</v>
      </c>
      <c r="AC531" s="254"/>
    </row>
    <row r="532" spans="1:29" ht="12">
      <c r="A532" s="67" t="s">
        <v>11531</v>
      </c>
      <c r="B532" s="65" t="s">
        <v>11532</v>
      </c>
      <c r="C532" s="71" t="s">
        <v>121</v>
      </c>
      <c r="D532" s="78">
        <v>1</v>
      </c>
      <c r="E532" s="79">
        <v>28.740000000000002</v>
      </c>
      <c r="F532" s="70">
        <v>28.74</v>
      </c>
      <c r="G532" s="320"/>
      <c r="H532" s="79">
        <v>27.03</v>
      </c>
      <c r="I532" s="79">
        <v>1.71</v>
      </c>
      <c r="J532" s="79">
        <v>28.740000000000002</v>
      </c>
      <c r="K532" s="79">
        <v>0</v>
      </c>
      <c r="L532" s="70">
        <v>28.740000000000002</v>
      </c>
      <c r="M532" s="132"/>
      <c r="N532" s="79">
        <v>27.03</v>
      </c>
      <c r="O532" s="79">
        <v>1.71</v>
      </c>
      <c r="P532" s="79">
        <v>28.740000000000002</v>
      </c>
      <c r="Q532" s="136"/>
      <c r="R532" s="79">
        <v>27.03</v>
      </c>
      <c r="S532" s="79">
        <v>1.7</v>
      </c>
      <c r="T532" s="79">
        <v>28.73</v>
      </c>
      <c r="U532" s="79">
        <v>0</v>
      </c>
      <c r="V532" s="189">
        <v>28.73</v>
      </c>
      <c r="X532" s="79">
        <v>27.03</v>
      </c>
      <c r="Y532" s="79">
        <v>1.7</v>
      </c>
      <c r="Z532" s="79">
        <v>28.73</v>
      </c>
      <c r="AA532" s="255">
        <v>9.9999999999980105E-3</v>
      </c>
      <c r="AC532" s="254"/>
    </row>
    <row r="533" spans="1:29" ht="12">
      <c r="A533" s="489" t="s">
        <v>11533</v>
      </c>
      <c r="B533" s="490" t="s">
        <v>11534</v>
      </c>
      <c r="C533" s="71"/>
      <c r="D533" s="78"/>
      <c r="E533" s="79"/>
      <c r="F533" s="70"/>
      <c r="G533" s="320"/>
      <c r="H533" s="79"/>
      <c r="I533" s="79"/>
      <c r="J533" s="79"/>
      <c r="K533" s="79"/>
      <c r="L533" s="70"/>
      <c r="M533" s="132"/>
      <c r="N533" s="79"/>
      <c r="O533" s="79"/>
      <c r="P533" s="79"/>
      <c r="Q533" s="136"/>
      <c r="R533" s="79"/>
      <c r="S533" s="79"/>
      <c r="T533" s="79"/>
      <c r="U533" s="79"/>
      <c r="V533" s="189"/>
      <c r="X533" s="79"/>
      <c r="Y533" s="79"/>
      <c r="Z533" s="79"/>
      <c r="AA533" s="255"/>
      <c r="AC533" s="254"/>
    </row>
    <row r="534" spans="1:29" ht="12">
      <c r="A534" s="67" t="s">
        <v>11535</v>
      </c>
      <c r="B534" s="65" t="s">
        <v>11536</v>
      </c>
      <c r="C534" s="71" t="s">
        <v>121</v>
      </c>
      <c r="D534" s="78">
        <v>1</v>
      </c>
      <c r="E534" s="79">
        <v>336.75000000000006</v>
      </c>
      <c r="F534" s="70">
        <v>336.75</v>
      </c>
      <c r="G534" s="320"/>
      <c r="H534" s="79">
        <v>336.75000000000006</v>
      </c>
      <c r="I534" s="79">
        <v>0</v>
      </c>
      <c r="J534" s="79">
        <v>336.75000000000006</v>
      </c>
      <c r="K534" s="79">
        <v>0</v>
      </c>
      <c r="L534" s="70">
        <v>336.75000000000006</v>
      </c>
      <c r="M534" s="132"/>
      <c r="N534" s="79">
        <v>336.75000000000006</v>
      </c>
      <c r="O534" s="79"/>
      <c r="P534" s="79">
        <v>336.75000000000006</v>
      </c>
      <c r="Q534" s="136"/>
      <c r="R534" s="79">
        <v>336.75</v>
      </c>
      <c r="S534" s="79"/>
      <c r="T534" s="79">
        <v>336.75</v>
      </c>
      <c r="U534" s="79">
        <v>0</v>
      </c>
      <c r="V534" s="189">
        <v>336.75</v>
      </c>
      <c r="X534" s="79">
        <v>336.75</v>
      </c>
      <c r="Y534" s="79"/>
      <c r="Z534" s="79">
        <v>336.75</v>
      </c>
      <c r="AA534" s="255">
        <v>0</v>
      </c>
      <c r="AC534" s="254"/>
    </row>
    <row r="535" spans="1:29" ht="12">
      <c r="A535" s="489" t="s">
        <v>11537</v>
      </c>
      <c r="B535" s="490" t="s">
        <v>11538</v>
      </c>
      <c r="C535" s="491"/>
      <c r="D535" s="492"/>
      <c r="E535" s="79"/>
      <c r="F535" s="63"/>
      <c r="G535" s="320"/>
      <c r="H535" s="79"/>
      <c r="I535" s="79"/>
      <c r="J535" s="79"/>
      <c r="K535" s="79"/>
      <c r="L535" s="70"/>
      <c r="M535" s="132"/>
      <c r="N535" s="79"/>
      <c r="O535" s="79"/>
      <c r="P535" s="79"/>
      <c r="Q535" s="136"/>
      <c r="R535" s="79"/>
      <c r="S535" s="79"/>
      <c r="T535" s="79"/>
      <c r="U535" s="79"/>
      <c r="V535" s="189"/>
      <c r="X535" s="79"/>
      <c r="Y535" s="79"/>
      <c r="Z535" s="79"/>
      <c r="AA535" s="255"/>
      <c r="AC535" s="254"/>
    </row>
    <row r="536" spans="1:29" ht="12">
      <c r="A536" s="67" t="s">
        <v>11539</v>
      </c>
      <c r="B536" s="65" t="s">
        <v>11540</v>
      </c>
      <c r="C536" s="71" t="s">
        <v>121</v>
      </c>
      <c r="D536" s="78">
        <v>1</v>
      </c>
      <c r="E536" s="79">
        <v>5.75</v>
      </c>
      <c r="F536" s="70">
        <v>5.75</v>
      </c>
      <c r="G536" s="320"/>
      <c r="H536" s="79">
        <v>5.6099999999999994</v>
      </c>
      <c r="I536" s="79">
        <v>0.14000000000000001</v>
      </c>
      <c r="J536" s="79">
        <v>5.7499999999999991</v>
      </c>
      <c r="K536" s="79">
        <v>0</v>
      </c>
      <c r="L536" s="70">
        <v>5.7499999999999991</v>
      </c>
      <c r="M536" s="132"/>
      <c r="N536" s="79">
        <v>5.6099999999999994</v>
      </c>
      <c r="O536" s="79">
        <v>0.14000000000000001</v>
      </c>
      <c r="P536" s="79">
        <v>5.7499999999999991</v>
      </c>
      <c r="Q536" s="136"/>
      <c r="R536" s="79">
        <v>5.61</v>
      </c>
      <c r="S536" s="79">
        <v>0.13</v>
      </c>
      <c r="T536" s="79">
        <v>5.74</v>
      </c>
      <c r="U536" s="79">
        <v>0</v>
      </c>
      <c r="V536" s="189">
        <v>5.74</v>
      </c>
      <c r="X536" s="79">
        <v>5.61</v>
      </c>
      <c r="Y536" s="79">
        <v>0.13</v>
      </c>
      <c r="Z536" s="79">
        <v>5.74</v>
      </c>
      <c r="AA536" s="255">
        <v>9.9999999999997868E-3</v>
      </c>
      <c r="AC536" s="254"/>
    </row>
    <row r="537" spans="1:29" ht="12">
      <c r="A537" s="489" t="s">
        <v>11541</v>
      </c>
      <c r="B537" s="490" t="s">
        <v>11542</v>
      </c>
      <c r="C537" s="491"/>
      <c r="D537" s="492"/>
      <c r="E537" s="79"/>
      <c r="F537" s="63"/>
      <c r="G537" s="320"/>
      <c r="H537" s="79"/>
      <c r="I537" s="79"/>
      <c r="J537" s="79"/>
      <c r="K537" s="79"/>
      <c r="L537" s="70"/>
      <c r="M537" s="132"/>
      <c r="N537" s="79"/>
      <c r="O537" s="79"/>
      <c r="P537" s="79"/>
      <c r="Q537" s="136"/>
      <c r="R537" s="79"/>
      <c r="S537" s="79"/>
      <c r="T537" s="79"/>
      <c r="U537" s="79"/>
      <c r="V537" s="189"/>
      <c r="X537" s="79"/>
      <c r="Y537" s="79"/>
      <c r="Z537" s="79"/>
      <c r="AA537" s="255"/>
      <c r="AC537" s="254"/>
    </row>
    <row r="538" spans="1:29" ht="12">
      <c r="A538" s="67" t="s">
        <v>11543</v>
      </c>
      <c r="B538" s="65" t="s">
        <v>11544</v>
      </c>
      <c r="C538" s="71" t="s">
        <v>121</v>
      </c>
      <c r="D538" s="78">
        <v>1</v>
      </c>
      <c r="E538" s="79">
        <v>7.7</v>
      </c>
      <c r="F538" s="70">
        <v>7.7</v>
      </c>
      <c r="G538" s="320"/>
      <c r="H538" s="79">
        <v>4.53</v>
      </c>
      <c r="I538" s="79">
        <v>3.17</v>
      </c>
      <c r="J538" s="79">
        <v>7.7</v>
      </c>
      <c r="K538" s="79">
        <v>0</v>
      </c>
      <c r="L538" s="70">
        <v>7.7</v>
      </c>
      <c r="M538" s="132"/>
      <c r="N538" s="79">
        <v>4.53</v>
      </c>
      <c r="O538" s="79">
        <v>3.17</v>
      </c>
      <c r="P538" s="79">
        <v>7.7</v>
      </c>
      <c r="Q538" s="136"/>
      <c r="R538" s="79">
        <v>4.53</v>
      </c>
      <c r="S538" s="79">
        <v>3.17</v>
      </c>
      <c r="T538" s="79">
        <v>7.7</v>
      </c>
      <c r="U538" s="79">
        <v>0</v>
      </c>
      <c r="V538" s="189">
        <v>7.7</v>
      </c>
      <c r="X538" s="79">
        <v>4.53</v>
      </c>
      <c r="Y538" s="79">
        <v>3.17</v>
      </c>
      <c r="Z538" s="79">
        <v>7.7</v>
      </c>
      <c r="AA538" s="255">
        <v>0</v>
      </c>
      <c r="AC538" s="254"/>
    </row>
    <row r="539" spans="1:29" ht="12">
      <c r="A539" s="67" t="s">
        <v>11545</v>
      </c>
      <c r="B539" s="65" t="s">
        <v>11546</v>
      </c>
      <c r="C539" s="71" t="s">
        <v>121</v>
      </c>
      <c r="D539" s="78">
        <v>1</v>
      </c>
      <c r="E539" s="79">
        <v>23.17</v>
      </c>
      <c r="F539" s="70">
        <v>23.17</v>
      </c>
      <c r="G539" s="320"/>
      <c r="H539" s="79">
        <v>20.25</v>
      </c>
      <c r="I539" s="79">
        <v>2.92</v>
      </c>
      <c r="J539" s="79">
        <v>23.17</v>
      </c>
      <c r="K539" s="79">
        <v>0</v>
      </c>
      <c r="L539" s="70">
        <v>23.17</v>
      </c>
      <c r="M539" s="132"/>
      <c r="N539" s="79">
        <v>20.25</v>
      </c>
      <c r="O539" s="79">
        <v>2.92</v>
      </c>
      <c r="P539" s="79">
        <v>23.17</v>
      </c>
      <c r="Q539" s="136"/>
      <c r="R539" s="79">
        <v>20.25</v>
      </c>
      <c r="S539" s="79">
        <v>2.91</v>
      </c>
      <c r="T539" s="79">
        <v>23.16</v>
      </c>
      <c r="U539" s="79">
        <v>0</v>
      </c>
      <c r="V539" s="189">
        <v>23.16</v>
      </c>
      <c r="X539" s="79">
        <v>20.25</v>
      </c>
      <c r="Y539" s="79">
        <v>2.91</v>
      </c>
      <c r="Z539" s="79">
        <v>23.16</v>
      </c>
      <c r="AA539" s="255">
        <v>1.0000000000001563E-2</v>
      </c>
      <c r="AC539" s="254"/>
    </row>
    <row r="540" spans="1:29" ht="12">
      <c r="A540" s="489" t="s">
        <v>11547</v>
      </c>
      <c r="B540" s="490" t="s">
        <v>11548</v>
      </c>
      <c r="C540" s="491"/>
      <c r="D540" s="492"/>
      <c r="E540" s="79"/>
      <c r="F540" s="63"/>
      <c r="G540" s="320"/>
      <c r="H540" s="79"/>
      <c r="I540" s="79"/>
      <c r="J540" s="79"/>
      <c r="K540" s="79"/>
      <c r="L540" s="70"/>
      <c r="M540" s="132"/>
      <c r="N540" s="79"/>
      <c r="O540" s="79"/>
      <c r="P540" s="79"/>
      <c r="Q540" s="136"/>
      <c r="R540" s="79"/>
      <c r="S540" s="79"/>
      <c r="T540" s="79"/>
      <c r="U540" s="79"/>
      <c r="V540" s="189"/>
      <c r="X540" s="79"/>
      <c r="Y540" s="79"/>
      <c r="Z540" s="79"/>
      <c r="AA540" s="255"/>
      <c r="AC540" s="254"/>
    </row>
    <row r="541" spans="1:29" ht="24">
      <c r="A541" s="67" t="s">
        <v>11549</v>
      </c>
      <c r="B541" s="65" t="s">
        <v>11550</v>
      </c>
      <c r="C541" s="71" t="s">
        <v>121</v>
      </c>
      <c r="D541" s="78">
        <v>1</v>
      </c>
      <c r="E541" s="79">
        <v>17.63</v>
      </c>
      <c r="F541" s="70">
        <v>17.63</v>
      </c>
      <c r="G541" s="320"/>
      <c r="H541" s="79">
        <v>17.149999999999999</v>
      </c>
      <c r="I541" s="79">
        <v>0.48</v>
      </c>
      <c r="J541" s="79">
        <v>17.63</v>
      </c>
      <c r="K541" s="79">
        <v>0</v>
      </c>
      <c r="L541" s="70">
        <v>17.63</v>
      </c>
      <c r="M541" s="132"/>
      <c r="N541" s="79">
        <v>17.149999999999999</v>
      </c>
      <c r="O541" s="79">
        <v>0.48</v>
      </c>
      <c r="P541" s="79">
        <v>17.63</v>
      </c>
      <c r="Q541" s="136"/>
      <c r="R541" s="79">
        <v>17.149999999999999</v>
      </c>
      <c r="S541" s="79">
        <v>0.48</v>
      </c>
      <c r="T541" s="79">
        <v>17.63</v>
      </c>
      <c r="U541" s="79">
        <v>0</v>
      </c>
      <c r="V541" s="189">
        <v>17.63</v>
      </c>
      <c r="X541" s="79">
        <v>17.149999999999999</v>
      </c>
      <c r="Y541" s="79">
        <v>0.48</v>
      </c>
      <c r="Z541" s="79">
        <v>17.63</v>
      </c>
      <c r="AA541" s="255">
        <v>0</v>
      </c>
      <c r="AC541" s="254"/>
    </row>
    <row r="542" spans="1:29" ht="24">
      <c r="A542" s="67" t="s">
        <v>11551</v>
      </c>
      <c r="B542" s="65" t="s">
        <v>11552</v>
      </c>
      <c r="C542" s="71" t="s">
        <v>121</v>
      </c>
      <c r="D542" s="78">
        <v>1</v>
      </c>
      <c r="E542" s="79">
        <v>12.54</v>
      </c>
      <c r="F542" s="70">
        <v>12.54</v>
      </c>
      <c r="G542" s="320"/>
      <c r="H542" s="79">
        <v>12.2</v>
      </c>
      <c r="I542" s="79">
        <v>0.33999999999999997</v>
      </c>
      <c r="J542" s="79">
        <v>12.54</v>
      </c>
      <c r="K542" s="79">
        <v>0</v>
      </c>
      <c r="L542" s="70">
        <v>12.54</v>
      </c>
      <c r="M542" s="132"/>
      <c r="N542" s="79">
        <v>12.2</v>
      </c>
      <c r="O542" s="79">
        <v>0.33999999999999997</v>
      </c>
      <c r="P542" s="79">
        <v>12.54</v>
      </c>
      <c r="Q542" s="136"/>
      <c r="R542" s="79">
        <v>12.2</v>
      </c>
      <c r="S542" s="79">
        <v>0.34</v>
      </c>
      <c r="T542" s="79">
        <v>12.54</v>
      </c>
      <c r="U542" s="79">
        <v>0</v>
      </c>
      <c r="V542" s="189">
        <v>12.54</v>
      </c>
      <c r="X542" s="79">
        <v>12.2</v>
      </c>
      <c r="Y542" s="79">
        <v>0.34</v>
      </c>
      <c r="Z542" s="79">
        <v>12.54</v>
      </c>
      <c r="AA542" s="255">
        <v>0</v>
      </c>
      <c r="AC542" s="254"/>
    </row>
    <row r="543" spans="1:29" ht="24">
      <c r="A543" s="67" t="s">
        <v>11553</v>
      </c>
      <c r="B543" s="65" t="s">
        <v>11554</v>
      </c>
      <c r="C543" s="71" t="s">
        <v>121</v>
      </c>
      <c r="D543" s="78">
        <v>1</v>
      </c>
      <c r="E543" s="79">
        <v>12.55</v>
      </c>
      <c r="F543" s="70">
        <v>12.55</v>
      </c>
      <c r="G543" s="320"/>
      <c r="H543" s="79">
        <v>12.39</v>
      </c>
      <c r="I543" s="79">
        <v>0.16</v>
      </c>
      <c r="J543" s="79">
        <v>12.55</v>
      </c>
      <c r="K543" s="79">
        <v>0</v>
      </c>
      <c r="L543" s="70">
        <v>12.55</v>
      </c>
      <c r="M543" s="132"/>
      <c r="N543" s="79">
        <v>12.39</v>
      </c>
      <c r="O543" s="79">
        <v>0.16</v>
      </c>
      <c r="P543" s="79">
        <v>12.55</v>
      </c>
      <c r="Q543" s="136"/>
      <c r="R543" s="79">
        <v>12.39</v>
      </c>
      <c r="S543" s="79">
        <v>0.15</v>
      </c>
      <c r="T543" s="79">
        <v>12.540000000000001</v>
      </c>
      <c r="U543" s="79">
        <v>0</v>
      </c>
      <c r="V543" s="189">
        <v>12.540000000000001</v>
      </c>
      <c r="X543" s="79">
        <v>12.39</v>
      </c>
      <c r="Y543" s="79">
        <v>0.15</v>
      </c>
      <c r="Z543" s="79">
        <v>12.54</v>
      </c>
      <c r="AA543" s="255">
        <v>1.0000000000001563E-2</v>
      </c>
      <c r="AC543" s="254"/>
    </row>
    <row r="544" spans="1:29" ht="24">
      <c r="A544" s="67" t="s">
        <v>11555</v>
      </c>
      <c r="B544" s="65" t="s">
        <v>11556</v>
      </c>
      <c r="C544" s="71" t="s">
        <v>121</v>
      </c>
      <c r="D544" s="78">
        <v>1</v>
      </c>
      <c r="E544" s="79">
        <v>20.54</v>
      </c>
      <c r="F544" s="70">
        <v>20.54</v>
      </c>
      <c r="G544" s="320"/>
      <c r="H544" s="79">
        <v>20.079999999999998</v>
      </c>
      <c r="I544" s="79">
        <v>0.46</v>
      </c>
      <c r="J544" s="79">
        <v>20.54</v>
      </c>
      <c r="K544" s="79">
        <v>0</v>
      </c>
      <c r="L544" s="70">
        <v>20.54</v>
      </c>
      <c r="M544" s="132"/>
      <c r="N544" s="79">
        <v>20.079999999999998</v>
      </c>
      <c r="O544" s="79">
        <v>0.46</v>
      </c>
      <c r="P544" s="79">
        <v>20.54</v>
      </c>
      <c r="Q544" s="136"/>
      <c r="R544" s="79">
        <v>20.079999999999998</v>
      </c>
      <c r="S544" s="79">
        <v>0.45</v>
      </c>
      <c r="T544" s="79">
        <v>20.529999999999998</v>
      </c>
      <c r="U544" s="79">
        <v>0</v>
      </c>
      <c r="V544" s="189">
        <v>20.529999999999998</v>
      </c>
      <c r="X544" s="79">
        <v>20.079999999999998</v>
      </c>
      <c r="Y544" s="79">
        <v>0.45</v>
      </c>
      <c r="Z544" s="79">
        <v>20.53</v>
      </c>
      <c r="AA544" s="255">
        <v>9.9999999999980105E-3</v>
      </c>
      <c r="AC544" s="254"/>
    </row>
    <row r="545" spans="1:29" ht="12">
      <c r="A545" s="489" t="s">
        <v>11557</v>
      </c>
      <c r="B545" s="490" t="s">
        <v>11558</v>
      </c>
      <c r="C545" s="491"/>
      <c r="D545" s="492"/>
      <c r="E545" s="79"/>
      <c r="F545" s="63"/>
      <c r="G545" s="320"/>
      <c r="H545" s="79"/>
      <c r="I545" s="79"/>
      <c r="J545" s="79"/>
      <c r="K545" s="79"/>
      <c r="L545" s="70"/>
      <c r="M545" s="132"/>
      <c r="N545" s="79"/>
      <c r="O545" s="79"/>
      <c r="P545" s="79"/>
      <c r="Q545" s="136"/>
      <c r="R545" s="79"/>
      <c r="S545" s="79"/>
      <c r="T545" s="79"/>
      <c r="U545" s="79"/>
      <c r="V545" s="189"/>
      <c r="X545" s="79"/>
      <c r="Y545" s="79"/>
      <c r="Z545" s="79"/>
      <c r="AA545" s="255"/>
      <c r="AC545" s="254"/>
    </row>
    <row r="546" spans="1:29" ht="12">
      <c r="A546" s="489" t="s">
        <v>11559</v>
      </c>
      <c r="B546" s="490" t="s">
        <v>11560</v>
      </c>
      <c r="C546" s="491"/>
      <c r="D546" s="492"/>
      <c r="E546" s="79"/>
      <c r="F546" s="63"/>
      <c r="G546" s="320"/>
      <c r="H546" s="79"/>
      <c r="I546" s="79"/>
      <c r="J546" s="79"/>
      <c r="K546" s="79"/>
      <c r="L546" s="70"/>
      <c r="M546" s="132"/>
      <c r="N546" s="79"/>
      <c r="O546" s="79"/>
      <c r="P546" s="79"/>
      <c r="Q546" s="136"/>
      <c r="R546" s="79"/>
      <c r="S546" s="79"/>
      <c r="T546" s="79"/>
      <c r="U546" s="79"/>
      <c r="V546" s="189"/>
      <c r="X546" s="79"/>
      <c r="Y546" s="79"/>
      <c r="Z546" s="79"/>
      <c r="AA546" s="255"/>
      <c r="AC546" s="254"/>
    </row>
    <row r="547" spans="1:29" ht="12">
      <c r="A547" s="67" t="s">
        <v>11561</v>
      </c>
      <c r="B547" s="65" t="s">
        <v>11562</v>
      </c>
      <c r="C547" s="71" t="s">
        <v>509</v>
      </c>
      <c r="D547" s="78">
        <v>1</v>
      </c>
      <c r="E547" s="79">
        <v>103.73</v>
      </c>
      <c r="F547" s="70">
        <v>103.73</v>
      </c>
      <c r="G547" s="320"/>
      <c r="H547" s="79">
        <v>36.769999999999996</v>
      </c>
      <c r="I547" s="79">
        <v>66.959999999999994</v>
      </c>
      <c r="J547" s="79">
        <v>103.72999999999999</v>
      </c>
      <c r="K547" s="79">
        <v>0</v>
      </c>
      <c r="L547" s="70">
        <v>103.72999999999999</v>
      </c>
      <c r="M547" s="132"/>
      <c r="N547" s="79">
        <v>36.769999999999996</v>
      </c>
      <c r="O547" s="79">
        <v>66.959999999999994</v>
      </c>
      <c r="P547" s="79">
        <v>103.72999999999999</v>
      </c>
      <c r="Q547" s="136"/>
      <c r="R547" s="79">
        <v>36.770000000000003</v>
      </c>
      <c r="S547" s="79">
        <v>66.959999999999994</v>
      </c>
      <c r="T547" s="79">
        <v>103.72999999999999</v>
      </c>
      <c r="U547" s="79">
        <v>0</v>
      </c>
      <c r="V547" s="189">
        <v>103.72999999999999</v>
      </c>
      <c r="X547" s="79">
        <v>36.770000000000003</v>
      </c>
      <c r="Y547" s="79">
        <v>66.959999999999994</v>
      </c>
      <c r="Z547" s="79">
        <v>103.73</v>
      </c>
      <c r="AA547" s="255">
        <v>0</v>
      </c>
      <c r="AC547" s="254"/>
    </row>
    <row r="548" spans="1:29" ht="12">
      <c r="A548" s="67" t="s">
        <v>11563</v>
      </c>
      <c r="B548" s="65" t="s">
        <v>11564</v>
      </c>
      <c r="C548" s="71" t="s">
        <v>509</v>
      </c>
      <c r="D548" s="78">
        <v>1</v>
      </c>
      <c r="E548" s="79">
        <v>60.690000000000005</v>
      </c>
      <c r="F548" s="70">
        <v>60.69</v>
      </c>
      <c r="G548" s="320"/>
      <c r="H548" s="79">
        <v>20.41</v>
      </c>
      <c r="I548" s="79">
        <v>40.28</v>
      </c>
      <c r="J548" s="79">
        <v>60.69</v>
      </c>
      <c r="K548" s="79">
        <v>0</v>
      </c>
      <c r="L548" s="70">
        <v>60.69</v>
      </c>
      <c r="M548" s="132"/>
      <c r="N548" s="79">
        <v>20.41</v>
      </c>
      <c r="O548" s="79">
        <v>40.28</v>
      </c>
      <c r="P548" s="79">
        <v>60.69</v>
      </c>
      <c r="Q548" s="136"/>
      <c r="R548" s="79">
        <v>20.41</v>
      </c>
      <c r="S548" s="79">
        <v>40.28</v>
      </c>
      <c r="T548" s="79">
        <v>60.69</v>
      </c>
      <c r="U548" s="79">
        <v>0</v>
      </c>
      <c r="V548" s="189">
        <v>60.69</v>
      </c>
      <c r="X548" s="79">
        <v>20.41</v>
      </c>
      <c r="Y548" s="79">
        <v>40.28</v>
      </c>
      <c r="Z548" s="79">
        <v>60.69</v>
      </c>
      <c r="AA548" s="255">
        <v>0</v>
      </c>
      <c r="AC548" s="254"/>
    </row>
    <row r="549" spans="1:29" ht="12">
      <c r="A549" s="67" t="s">
        <v>11565</v>
      </c>
      <c r="B549" s="65" t="s">
        <v>11566</v>
      </c>
      <c r="C549" s="71" t="s">
        <v>509</v>
      </c>
      <c r="D549" s="78">
        <v>1</v>
      </c>
      <c r="E549" s="79">
        <v>23.439999999999998</v>
      </c>
      <c r="F549" s="70">
        <v>23.44</v>
      </c>
      <c r="G549" s="320"/>
      <c r="H549" s="79">
        <v>13.719999999999999</v>
      </c>
      <c r="I549" s="79">
        <v>9.7199999999999989</v>
      </c>
      <c r="J549" s="79">
        <v>23.439999999999998</v>
      </c>
      <c r="K549" s="79">
        <v>0</v>
      </c>
      <c r="L549" s="70">
        <v>23.439999999999998</v>
      </c>
      <c r="M549" s="132"/>
      <c r="N549" s="79">
        <v>13.719999999999999</v>
      </c>
      <c r="O549" s="79">
        <v>9.7199999999999989</v>
      </c>
      <c r="P549" s="79">
        <v>23.439999999999998</v>
      </c>
      <c r="Q549" s="136"/>
      <c r="R549" s="79">
        <v>13.72</v>
      </c>
      <c r="S549" s="79">
        <v>9.73</v>
      </c>
      <c r="T549" s="79">
        <v>23.450000000000003</v>
      </c>
      <c r="U549" s="79">
        <v>0</v>
      </c>
      <c r="V549" s="189">
        <v>23.450000000000003</v>
      </c>
      <c r="X549" s="79">
        <v>13.72</v>
      </c>
      <c r="Y549" s="79">
        <v>9.73</v>
      </c>
      <c r="Z549" s="79">
        <v>23.45</v>
      </c>
      <c r="AA549" s="255">
        <v>-9.9999999999980105E-3</v>
      </c>
      <c r="AC549" s="254"/>
    </row>
    <row r="550" spans="1:29" ht="12">
      <c r="A550" s="67" t="s">
        <v>11567</v>
      </c>
      <c r="B550" s="65" t="s">
        <v>11568</v>
      </c>
      <c r="C550" s="71" t="s">
        <v>509</v>
      </c>
      <c r="D550" s="78">
        <v>1</v>
      </c>
      <c r="E550" s="79">
        <v>125.39</v>
      </c>
      <c r="F550" s="70">
        <v>125.39</v>
      </c>
      <c r="G550" s="320"/>
      <c r="H550" s="79">
        <v>47.45</v>
      </c>
      <c r="I550" s="79">
        <v>77.94</v>
      </c>
      <c r="J550" s="79">
        <v>125.39</v>
      </c>
      <c r="K550" s="79">
        <v>0</v>
      </c>
      <c r="L550" s="70">
        <v>125.39</v>
      </c>
      <c r="M550" s="132"/>
      <c r="N550" s="79">
        <v>47.45</v>
      </c>
      <c r="O550" s="79">
        <v>77.94</v>
      </c>
      <c r="P550" s="79">
        <v>125.39</v>
      </c>
      <c r="Q550" s="136"/>
      <c r="R550" s="79">
        <v>47.45</v>
      </c>
      <c r="S550" s="79">
        <v>77.930000000000007</v>
      </c>
      <c r="T550" s="79">
        <v>125.38000000000001</v>
      </c>
      <c r="U550" s="79">
        <v>0</v>
      </c>
      <c r="V550" s="189">
        <v>125.38000000000001</v>
      </c>
      <c r="X550" s="79">
        <v>47.45</v>
      </c>
      <c r="Y550" s="79">
        <v>77.930000000000007</v>
      </c>
      <c r="Z550" s="79">
        <v>125.38</v>
      </c>
      <c r="AA550" s="255">
        <v>1.0000000000005116E-2</v>
      </c>
      <c r="AC550" s="254"/>
    </row>
    <row r="551" spans="1:29" ht="12">
      <c r="A551" s="67" t="s">
        <v>11569</v>
      </c>
      <c r="B551" s="65" t="s">
        <v>5947</v>
      </c>
      <c r="C551" s="71" t="s">
        <v>509</v>
      </c>
      <c r="D551" s="78">
        <v>1</v>
      </c>
      <c r="E551" s="79">
        <v>421.22</v>
      </c>
      <c r="F551" s="70">
        <v>421.22</v>
      </c>
      <c r="G551" s="320"/>
      <c r="H551" s="79">
        <v>421.22</v>
      </c>
      <c r="I551" s="79">
        <v>0</v>
      </c>
      <c r="J551" s="79">
        <v>421.22</v>
      </c>
      <c r="K551" s="79">
        <v>0</v>
      </c>
      <c r="L551" s="70">
        <v>421.22</v>
      </c>
      <c r="M551" s="132"/>
      <c r="N551" s="79">
        <v>421.22</v>
      </c>
      <c r="O551" s="79"/>
      <c r="P551" s="79">
        <v>421.22</v>
      </c>
      <c r="Q551" s="136"/>
      <c r="R551" s="79">
        <v>421.22</v>
      </c>
      <c r="S551" s="79"/>
      <c r="T551" s="79">
        <v>421.22</v>
      </c>
      <c r="U551" s="79">
        <v>0</v>
      </c>
      <c r="V551" s="189">
        <v>421.22</v>
      </c>
      <c r="X551" s="79">
        <v>421.22</v>
      </c>
      <c r="Y551" s="79"/>
      <c r="Z551" s="79">
        <v>421.22</v>
      </c>
      <c r="AA551" s="255">
        <v>0</v>
      </c>
      <c r="AC551" s="254"/>
    </row>
    <row r="552" spans="1:29" ht="12">
      <c r="A552" s="67" t="s">
        <v>11570</v>
      </c>
      <c r="B552" s="65" t="s">
        <v>5949</v>
      </c>
      <c r="C552" s="71" t="s">
        <v>509</v>
      </c>
      <c r="D552" s="78">
        <v>1</v>
      </c>
      <c r="E552" s="79">
        <v>466.06</v>
      </c>
      <c r="F552" s="70">
        <v>466.06</v>
      </c>
      <c r="G552" s="320"/>
      <c r="H552" s="79">
        <v>466.06</v>
      </c>
      <c r="I552" s="79">
        <v>0</v>
      </c>
      <c r="J552" s="79">
        <v>466.06</v>
      </c>
      <c r="K552" s="79">
        <v>0</v>
      </c>
      <c r="L552" s="70">
        <v>466.06</v>
      </c>
      <c r="M552" s="132"/>
      <c r="N552" s="79">
        <v>466.06</v>
      </c>
      <c r="O552" s="79"/>
      <c r="P552" s="79">
        <v>466.06</v>
      </c>
      <c r="Q552" s="136"/>
      <c r="R552" s="79">
        <v>466.06</v>
      </c>
      <c r="S552" s="79"/>
      <c r="T552" s="79">
        <v>466.06</v>
      </c>
      <c r="U552" s="79">
        <v>0</v>
      </c>
      <c r="V552" s="189">
        <v>466.06</v>
      </c>
      <c r="X552" s="79">
        <v>466.06</v>
      </c>
      <c r="Y552" s="79"/>
      <c r="Z552" s="79">
        <v>466.06</v>
      </c>
      <c r="AA552" s="255">
        <v>0</v>
      </c>
      <c r="AC552" s="254"/>
    </row>
    <row r="553" spans="1:29" ht="12">
      <c r="A553" s="67" t="s">
        <v>11571</v>
      </c>
      <c r="B553" s="65" t="s">
        <v>5951</v>
      </c>
      <c r="C553" s="71" t="s">
        <v>509</v>
      </c>
      <c r="D553" s="78">
        <v>1</v>
      </c>
      <c r="E553" s="79">
        <v>520.09</v>
      </c>
      <c r="F553" s="70">
        <v>520.09</v>
      </c>
      <c r="G553" s="320"/>
      <c r="H553" s="79">
        <v>520.09</v>
      </c>
      <c r="I553" s="79">
        <v>0</v>
      </c>
      <c r="J553" s="79">
        <v>520.09</v>
      </c>
      <c r="K553" s="79">
        <v>0</v>
      </c>
      <c r="L553" s="70">
        <v>520.09</v>
      </c>
      <c r="M553" s="132"/>
      <c r="N553" s="79">
        <v>520.09</v>
      </c>
      <c r="O553" s="79"/>
      <c r="P553" s="79">
        <v>520.09</v>
      </c>
      <c r="Q553" s="136"/>
      <c r="R553" s="79">
        <v>520.09</v>
      </c>
      <c r="S553" s="79"/>
      <c r="T553" s="79">
        <v>520.09</v>
      </c>
      <c r="U553" s="79">
        <v>0</v>
      </c>
      <c r="V553" s="189">
        <v>520.09</v>
      </c>
      <c r="X553" s="79">
        <v>520.09</v>
      </c>
      <c r="Y553" s="79"/>
      <c r="Z553" s="79">
        <v>520.09</v>
      </c>
      <c r="AA553" s="255">
        <v>0</v>
      </c>
      <c r="AC553" s="254"/>
    </row>
    <row r="554" spans="1:29" ht="12">
      <c r="A554" s="489" t="s">
        <v>11572</v>
      </c>
      <c r="B554" s="490" t="s">
        <v>11573</v>
      </c>
      <c r="C554" s="491"/>
      <c r="D554" s="492"/>
      <c r="E554" s="79"/>
      <c r="F554" s="63"/>
      <c r="G554" s="320"/>
      <c r="H554" s="79"/>
      <c r="I554" s="79"/>
      <c r="J554" s="79"/>
      <c r="K554" s="79"/>
      <c r="L554" s="70"/>
      <c r="M554" s="132"/>
      <c r="N554" s="79"/>
      <c r="O554" s="79"/>
      <c r="P554" s="79"/>
      <c r="Q554" s="136"/>
      <c r="R554" s="79"/>
      <c r="S554" s="79"/>
      <c r="T554" s="79"/>
      <c r="U554" s="79"/>
      <c r="V554" s="189"/>
      <c r="X554" s="79"/>
      <c r="Y554" s="79"/>
      <c r="Z554" s="79"/>
      <c r="AA554" s="255"/>
      <c r="AC554" s="254"/>
    </row>
    <row r="555" spans="1:29" ht="12">
      <c r="A555" s="67" t="s">
        <v>11574</v>
      </c>
      <c r="B555" s="65" t="s">
        <v>11575</v>
      </c>
      <c r="C555" s="71" t="s">
        <v>121</v>
      </c>
      <c r="D555" s="78">
        <v>1</v>
      </c>
      <c r="E555" s="79">
        <v>58.6</v>
      </c>
      <c r="F555" s="70">
        <v>58.6</v>
      </c>
      <c r="G555" s="320"/>
      <c r="H555" s="79">
        <v>22.060000000000002</v>
      </c>
      <c r="I555" s="79">
        <v>36.54</v>
      </c>
      <c r="J555" s="79">
        <v>58.6</v>
      </c>
      <c r="K555" s="79">
        <v>0</v>
      </c>
      <c r="L555" s="70">
        <v>58.6</v>
      </c>
      <c r="M555" s="132"/>
      <c r="N555" s="79">
        <v>22.060000000000002</v>
      </c>
      <c r="O555" s="79">
        <v>36.54</v>
      </c>
      <c r="P555" s="79">
        <v>58.6</v>
      </c>
      <c r="Q555" s="136"/>
      <c r="R555" s="79">
        <v>22.06</v>
      </c>
      <c r="S555" s="79">
        <v>36.53</v>
      </c>
      <c r="T555" s="79">
        <v>58.59</v>
      </c>
      <c r="U555" s="79">
        <v>0</v>
      </c>
      <c r="V555" s="189">
        <v>58.59</v>
      </c>
      <c r="X555" s="79">
        <v>22.06</v>
      </c>
      <c r="Y555" s="79">
        <v>36.53</v>
      </c>
      <c r="Z555" s="79">
        <v>58.59</v>
      </c>
      <c r="AA555" s="255">
        <v>9.9999999999980105E-3</v>
      </c>
      <c r="AC555" s="254"/>
    </row>
    <row r="556" spans="1:29" ht="12">
      <c r="A556" s="67" t="s">
        <v>11576</v>
      </c>
      <c r="B556" s="65" t="s">
        <v>11577</v>
      </c>
      <c r="C556" s="71" t="s">
        <v>207</v>
      </c>
      <c r="D556" s="78">
        <v>1</v>
      </c>
      <c r="E556" s="79">
        <v>12.74</v>
      </c>
      <c r="F556" s="70">
        <v>12.74</v>
      </c>
      <c r="G556" s="320"/>
      <c r="H556" s="79">
        <v>10.210000000000001</v>
      </c>
      <c r="I556" s="79">
        <v>2.5299999999999998</v>
      </c>
      <c r="J556" s="79">
        <v>12.74</v>
      </c>
      <c r="K556" s="79">
        <v>0</v>
      </c>
      <c r="L556" s="70">
        <v>12.74</v>
      </c>
      <c r="M556" s="132"/>
      <c r="N556" s="79">
        <v>10.210000000000001</v>
      </c>
      <c r="O556" s="79">
        <v>2.5299999999999998</v>
      </c>
      <c r="P556" s="79">
        <v>12.74</v>
      </c>
      <c r="Q556" s="136"/>
      <c r="R556" s="79">
        <v>10.210000000000001</v>
      </c>
      <c r="S556" s="79">
        <v>2.52</v>
      </c>
      <c r="T556" s="79">
        <v>12.73</v>
      </c>
      <c r="U556" s="79">
        <v>0</v>
      </c>
      <c r="V556" s="189">
        <v>12.73</v>
      </c>
      <c r="X556" s="79">
        <v>10.210000000000001</v>
      </c>
      <c r="Y556" s="79">
        <v>2.52</v>
      </c>
      <c r="Z556" s="79">
        <v>12.73</v>
      </c>
      <c r="AA556" s="255">
        <v>9.9999999999997868E-3</v>
      </c>
      <c r="AC556" s="254"/>
    </row>
    <row r="557" spans="1:29" ht="12">
      <c r="A557" s="67" t="s">
        <v>11578</v>
      </c>
      <c r="B557" s="65" t="s">
        <v>11579</v>
      </c>
      <c r="C557" s="71" t="s">
        <v>792</v>
      </c>
      <c r="D557" s="78">
        <v>1</v>
      </c>
      <c r="E557" s="79">
        <v>12.440000000000001</v>
      </c>
      <c r="F557" s="70">
        <v>12.44</v>
      </c>
      <c r="G557" s="320"/>
      <c r="H557" s="79">
        <v>10.16</v>
      </c>
      <c r="I557" s="79">
        <v>2.2800000000000002</v>
      </c>
      <c r="J557" s="79">
        <v>12.440000000000001</v>
      </c>
      <c r="K557" s="79">
        <v>0</v>
      </c>
      <c r="L557" s="70">
        <v>12.440000000000001</v>
      </c>
      <c r="M557" s="132"/>
      <c r="N557" s="79">
        <v>10.16</v>
      </c>
      <c r="O557" s="79">
        <v>2.2800000000000002</v>
      </c>
      <c r="P557" s="79">
        <v>12.440000000000001</v>
      </c>
      <c r="Q557" s="136"/>
      <c r="R557" s="79">
        <v>10.16</v>
      </c>
      <c r="S557" s="79">
        <v>2.27</v>
      </c>
      <c r="T557" s="79">
        <v>12.43</v>
      </c>
      <c r="U557" s="79">
        <v>0</v>
      </c>
      <c r="V557" s="189">
        <v>12.43</v>
      </c>
      <c r="X557" s="79">
        <v>10.16</v>
      </c>
      <c r="Y557" s="79">
        <v>2.27</v>
      </c>
      <c r="Z557" s="79">
        <v>12.43</v>
      </c>
      <c r="AA557" s="255">
        <v>9.9999999999997868E-3</v>
      </c>
      <c r="AC557" s="254"/>
    </row>
    <row r="558" spans="1:29" ht="12">
      <c r="A558" s="67" t="s">
        <v>11580</v>
      </c>
      <c r="B558" s="65" t="s">
        <v>11581</v>
      </c>
      <c r="C558" s="71" t="s">
        <v>121</v>
      </c>
      <c r="D558" s="78">
        <v>1</v>
      </c>
      <c r="E558" s="79">
        <v>17.28</v>
      </c>
      <c r="F558" s="70">
        <v>17.28</v>
      </c>
      <c r="G558" s="320"/>
      <c r="H558" s="79">
        <v>0</v>
      </c>
      <c r="I558" s="79">
        <v>17.28</v>
      </c>
      <c r="J558" s="79">
        <v>17.28</v>
      </c>
      <c r="K558" s="79">
        <v>0</v>
      </c>
      <c r="L558" s="70">
        <v>17.28</v>
      </c>
      <c r="M558" s="132"/>
      <c r="N558" s="79"/>
      <c r="O558" s="79">
        <v>17.28</v>
      </c>
      <c r="P558" s="79">
        <v>17.28</v>
      </c>
      <c r="Q558" s="136"/>
      <c r="R558" s="79"/>
      <c r="S558" s="79">
        <v>17.28</v>
      </c>
      <c r="T558" s="79">
        <v>17.28</v>
      </c>
      <c r="U558" s="79">
        <v>0</v>
      </c>
      <c r="V558" s="189">
        <v>17.28</v>
      </c>
      <c r="X558" s="79"/>
      <c r="Y558" s="79">
        <v>17.28</v>
      </c>
      <c r="Z558" s="79">
        <v>17.28</v>
      </c>
      <c r="AA558" s="255">
        <v>0</v>
      </c>
      <c r="AC558" s="254"/>
    </row>
    <row r="559" spans="1:29" ht="12">
      <c r="A559" s="489" t="s">
        <v>11582</v>
      </c>
      <c r="B559" s="490" t="s">
        <v>11583</v>
      </c>
      <c r="C559" s="491"/>
      <c r="D559" s="492"/>
      <c r="E559" s="79"/>
      <c r="F559" s="63"/>
      <c r="G559" s="320"/>
      <c r="H559" s="79"/>
      <c r="I559" s="79"/>
      <c r="J559" s="79"/>
      <c r="K559" s="79"/>
      <c r="L559" s="70"/>
      <c r="M559" s="132"/>
      <c r="N559" s="79"/>
      <c r="O559" s="79"/>
      <c r="P559" s="79"/>
      <c r="Q559" s="136"/>
      <c r="R559" s="79"/>
      <c r="S559" s="79"/>
      <c r="T559" s="79"/>
      <c r="U559" s="79"/>
      <c r="V559" s="189"/>
      <c r="X559" s="79"/>
      <c r="Y559" s="79"/>
      <c r="Z559" s="79"/>
      <c r="AA559" s="255"/>
      <c r="AC559" s="254"/>
    </row>
    <row r="560" spans="1:29" ht="12">
      <c r="A560" s="67" t="s">
        <v>11584</v>
      </c>
      <c r="B560" s="65" t="s">
        <v>11585</v>
      </c>
      <c r="C560" s="71" t="s">
        <v>121</v>
      </c>
      <c r="D560" s="78">
        <v>1</v>
      </c>
      <c r="E560" s="79">
        <v>10.06</v>
      </c>
      <c r="F560" s="70">
        <v>10.06</v>
      </c>
      <c r="G560" s="320"/>
      <c r="H560" s="79">
        <v>0</v>
      </c>
      <c r="I560" s="79">
        <v>10.06</v>
      </c>
      <c r="J560" s="79">
        <v>10.06</v>
      </c>
      <c r="K560" s="79">
        <v>0</v>
      </c>
      <c r="L560" s="70">
        <v>10.06</v>
      </c>
      <c r="M560" s="132"/>
      <c r="N560" s="79"/>
      <c r="O560" s="79">
        <v>10.06</v>
      </c>
      <c r="P560" s="79">
        <v>10.06</v>
      </c>
      <c r="Q560" s="136"/>
      <c r="R560" s="79"/>
      <c r="S560" s="79">
        <v>10.07</v>
      </c>
      <c r="T560" s="79">
        <v>10.07</v>
      </c>
      <c r="U560" s="79">
        <v>0</v>
      </c>
      <c r="V560" s="189">
        <v>10.07</v>
      </c>
      <c r="X560" s="79"/>
      <c r="Y560" s="79">
        <v>10.07</v>
      </c>
      <c r="Z560" s="79">
        <v>10.07</v>
      </c>
      <c r="AA560" s="255">
        <v>-9.9999999999997868E-3</v>
      </c>
      <c r="AC560" s="254"/>
    </row>
    <row r="561" spans="1:29" ht="12">
      <c r="A561" s="489" t="s">
        <v>11586</v>
      </c>
      <c r="B561" s="490" t="s">
        <v>11587</v>
      </c>
      <c r="C561" s="491"/>
      <c r="D561" s="492"/>
      <c r="E561" s="79"/>
      <c r="F561" s="63"/>
      <c r="G561" s="320"/>
      <c r="H561" s="79"/>
      <c r="I561" s="79"/>
      <c r="J561" s="79"/>
      <c r="K561" s="79"/>
      <c r="L561" s="70"/>
      <c r="M561" s="132"/>
      <c r="N561" s="79"/>
      <c r="O561" s="79"/>
      <c r="P561" s="79"/>
      <c r="Q561" s="136"/>
      <c r="R561" s="79"/>
      <c r="S561" s="79"/>
      <c r="T561" s="79"/>
      <c r="U561" s="79"/>
      <c r="V561" s="189"/>
      <c r="X561" s="79"/>
      <c r="Y561" s="79"/>
      <c r="Z561" s="79"/>
      <c r="AA561" s="255"/>
      <c r="AC561" s="254"/>
    </row>
    <row r="562" spans="1:29" ht="12">
      <c r="A562" s="67" t="s">
        <v>11588</v>
      </c>
      <c r="B562" s="65" t="s">
        <v>11589</v>
      </c>
      <c r="C562" s="71" t="s">
        <v>509</v>
      </c>
      <c r="D562" s="78">
        <v>1</v>
      </c>
      <c r="E562" s="79">
        <v>33.33</v>
      </c>
      <c r="F562" s="70">
        <v>33.33</v>
      </c>
      <c r="G562" s="320"/>
      <c r="H562" s="79">
        <v>32.49</v>
      </c>
      <c r="I562" s="79">
        <v>0.84</v>
      </c>
      <c r="J562" s="79">
        <v>33.330000000000005</v>
      </c>
      <c r="K562" s="79">
        <v>0</v>
      </c>
      <c r="L562" s="70">
        <v>33.330000000000005</v>
      </c>
      <c r="M562" s="132"/>
      <c r="N562" s="79">
        <v>32.49</v>
      </c>
      <c r="O562" s="79">
        <v>0.84</v>
      </c>
      <c r="P562" s="79">
        <v>33.330000000000005</v>
      </c>
      <c r="Q562" s="136"/>
      <c r="R562" s="79">
        <v>32.49</v>
      </c>
      <c r="S562" s="79">
        <v>0.85</v>
      </c>
      <c r="T562" s="79">
        <v>33.340000000000003</v>
      </c>
      <c r="U562" s="79">
        <v>0</v>
      </c>
      <c r="V562" s="189">
        <v>33.340000000000003</v>
      </c>
      <c r="X562" s="79">
        <v>32.49</v>
      </c>
      <c r="Y562" s="79">
        <v>0.85</v>
      </c>
      <c r="Z562" s="79">
        <v>33.340000000000003</v>
      </c>
      <c r="AA562" s="255">
        <v>-1.0000000000005116E-2</v>
      </c>
      <c r="AC562" s="254"/>
    </row>
    <row r="563" spans="1:29" ht="12">
      <c r="A563" s="67" t="s">
        <v>11590</v>
      </c>
      <c r="B563" s="65" t="s">
        <v>11591</v>
      </c>
      <c r="C563" s="71" t="s">
        <v>121</v>
      </c>
      <c r="D563" s="78">
        <v>1</v>
      </c>
      <c r="E563" s="79">
        <v>181.42999999999998</v>
      </c>
      <c r="F563" s="70">
        <v>181.43</v>
      </c>
      <c r="G563" s="320"/>
      <c r="H563" s="79">
        <v>156.22999999999999</v>
      </c>
      <c r="I563" s="79">
        <v>25.2</v>
      </c>
      <c r="J563" s="79">
        <v>181.42999999999998</v>
      </c>
      <c r="K563" s="79">
        <v>0</v>
      </c>
      <c r="L563" s="70">
        <v>181.42999999999998</v>
      </c>
      <c r="M563" s="132"/>
      <c r="N563" s="79">
        <v>156.22999999999999</v>
      </c>
      <c r="O563" s="79">
        <v>25.2</v>
      </c>
      <c r="P563" s="79">
        <v>181.42999999999998</v>
      </c>
      <c r="Q563" s="136"/>
      <c r="R563" s="79">
        <v>156.22999999999999</v>
      </c>
      <c r="S563" s="79">
        <v>25.18</v>
      </c>
      <c r="T563" s="79">
        <v>181.41</v>
      </c>
      <c r="U563" s="79">
        <v>0</v>
      </c>
      <c r="V563" s="189">
        <v>181.41</v>
      </c>
      <c r="X563" s="79">
        <v>156.22999999999999</v>
      </c>
      <c r="Y563" s="79">
        <v>25.18</v>
      </c>
      <c r="Z563" s="79">
        <v>181.41</v>
      </c>
      <c r="AA563" s="255">
        <v>2.0000000000010232E-2</v>
      </c>
      <c r="AC563" s="254"/>
    </row>
    <row r="564" spans="1:29" ht="12">
      <c r="A564" s="67" t="s">
        <v>11592</v>
      </c>
      <c r="B564" s="65" t="s">
        <v>11593</v>
      </c>
      <c r="C564" s="71" t="s">
        <v>121</v>
      </c>
      <c r="D564" s="78">
        <v>1</v>
      </c>
      <c r="E564" s="79">
        <v>193.97000000000003</v>
      </c>
      <c r="F564" s="70">
        <v>193.97</v>
      </c>
      <c r="G564" s="320"/>
      <c r="H564" s="79">
        <v>178.86</v>
      </c>
      <c r="I564" s="79">
        <v>15.11</v>
      </c>
      <c r="J564" s="79">
        <v>193.97000000000003</v>
      </c>
      <c r="K564" s="79">
        <v>0</v>
      </c>
      <c r="L564" s="70">
        <v>193.97000000000003</v>
      </c>
      <c r="M564" s="132"/>
      <c r="N564" s="79">
        <v>178.86</v>
      </c>
      <c r="O564" s="79">
        <v>15.11</v>
      </c>
      <c r="P564" s="79">
        <v>193.97000000000003</v>
      </c>
      <c r="Q564" s="136"/>
      <c r="R564" s="79">
        <v>178.86</v>
      </c>
      <c r="S564" s="79">
        <v>15.1</v>
      </c>
      <c r="T564" s="79">
        <v>193.96</v>
      </c>
      <c r="U564" s="79">
        <v>0</v>
      </c>
      <c r="V564" s="189">
        <v>193.96</v>
      </c>
      <c r="X564" s="79">
        <v>178.86</v>
      </c>
      <c r="Y564" s="79">
        <v>15.1</v>
      </c>
      <c r="Z564" s="79">
        <v>193.96</v>
      </c>
      <c r="AA564" s="255">
        <v>9.9999999999909051E-3</v>
      </c>
      <c r="AC564" s="254"/>
    </row>
    <row r="565" spans="1:29" ht="12">
      <c r="A565" s="67" t="s">
        <v>11594</v>
      </c>
      <c r="B565" s="65" t="s">
        <v>11595</v>
      </c>
      <c r="C565" s="71" t="s">
        <v>509</v>
      </c>
      <c r="D565" s="78">
        <v>1</v>
      </c>
      <c r="E565" s="79">
        <v>22.49</v>
      </c>
      <c r="F565" s="70">
        <v>22.49</v>
      </c>
      <c r="G565" s="320"/>
      <c r="H565" s="79">
        <v>7.38</v>
      </c>
      <c r="I565" s="79">
        <v>15.11</v>
      </c>
      <c r="J565" s="79">
        <v>22.49</v>
      </c>
      <c r="K565" s="79">
        <v>0</v>
      </c>
      <c r="L565" s="70">
        <v>22.49</v>
      </c>
      <c r="M565" s="132"/>
      <c r="N565" s="79">
        <v>7.38</v>
      </c>
      <c r="O565" s="79">
        <v>15.11</v>
      </c>
      <c r="P565" s="79">
        <v>22.49</v>
      </c>
      <c r="Q565" s="136"/>
      <c r="R565" s="79">
        <v>7.38</v>
      </c>
      <c r="S565" s="79">
        <v>15.1</v>
      </c>
      <c r="T565" s="79">
        <v>22.48</v>
      </c>
      <c r="U565" s="79">
        <v>0</v>
      </c>
      <c r="V565" s="189">
        <v>22.48</v>
      </c>
      <c r="X565" s="79">
        <v>7.38</v>
      </c>
      <c r="Y565" s="79">
        <v>15.1</v>
      </c>
      <c r="Z565" s="79">
        <v>22.48</v>
      </c>
      <c r="AA565" s="255">
        <v>9.9999999999980105E-3</v>
      </c>
      <c r="AC565" s="254"/>
    </row>
    <row r="566" spans="1:29" ht="12">
      <c r="A566" s="67" t="s">
        <v>11596</v>
      </c>
      <c r="B566" s="65" t="s">
        <v>11597</v>
      </c>
      <c r="C566" s="71" t="s">
        <v>509</v>
      </c>
      <c r="D566" s="78">
        <v>1</v>
      </c>
      <c r="E566" s="79">
        <v>24.95</v>
      </c>
      <c r="F566" s="70">
        <v>24.95</v>
      </c>
      <c r="G566" s="320"/>
      <c r="H566" s="79">
        <v>9.84</v>
      </c>
      <c r="I566" s="79">
        <v>15.11</v>
      </c>
      <c r="J566" s="79">
        <v>24.95</v>
      </c>
      <c r="K566" s="79">
        <v>0</v>
      </c>
      <c r="L566" s="70">
        <v>24.95</v>
      </c>
      <c r="M566" s="132"/>
      <c r="N566" s="79">
        <v>9.84</v>
      </c>
      <c r="O566" s="79">
        <v>15.11</v>
      </c>
      <c r="P566" s="79">
        <v>24.95</v>
      </c>
      <c r="Q566" s="136"/>
      <c r="R566" s="79">
        <v>9.84</v>
      </c>
      <c r="S566" s="79">
        <v>15.1</v>
      </c>
      <c r="T566" s="79">
        <v>24.939999999999998</v>
      </c>
      <c r="U566" s="79">
        <v>0</v>
      </c>
      <c r="V566" s="189">
        <v>24.939999999999998</v>
      </c>
      <c r="X566" s="79">
        <v>9.84</v>
      </c>
      <c r="Y566" s="79">
        <v>15.1</v>
      </c>
      <c r="Z566" s="79">
        <v>24.94</v>
      </c>
      <c r="AA566" s="255">
        <v>9.9999999999980105E-3</v>
      </c>
      <c r="AC566" s="254"/>
    </row>
    <row r="567" spans="1:29" s="61" customFormat="1" ht="12">
      <c r="A567" s="67" t="s">
        <v>11598</v>
      </c>
      <c r="B567" s="65" t="s">
        <v>11599</v>
      </c>
      <c r="C567" s="71" t="s">
        <v>509</v>
      </c>
      <c r="D567" s="78">
        <v>1</v>
      </c>
      <c r="E567" s="79">
        <v>34.700000000000003</v>
      </c>
      <c r="F567" s="70">
        <v>34.700000000000003</v>
      </c>
      <c r="G567" s="320"/>
      <c r="H567" s="79">
        <v>19.59</v>
      </c>
      <c r="I567" s="79">
        <v>15.11</v>
      </c>
      <c r="J567" s="79">
        <v>34.700000000000003</v>
      </c>
      <c r="K567" s="79">
        <v>0</v>
      </c>
      <c r="L567" s="70">
        <v>34.700000000000003</v>
      </c>
      <c r="M567" s="132"/>
      <c r="N567" s="79">
        <v>19.59</v>
      </c>
      <c r="O567" s="79">
        <v>15.11</v>
      </c>
      <c r="P567" s="79">
        <v>34.700000000000003</v>
      </c>
      <c r="Q567" s="136"/>
      <c r="R567" s="79">
        <v>19.59</v>
      </c>
      <c r="S567" s="79">
        <v>15.1</v>
      </c>
      <c r="T567" s="79">
        <v>34.69</v>
      </c>
      <c r="U567" s="79">
        <v>0</v>
      </c>
      <c r="V567" s="189">
        <v>34.69</v>
      </c>
      <c r="X567" s="79">
        <v>19.59</v>
      </c>
      <c r="Y567" s="79">
        <v>15.1</v>
      </c>
      <c r="Z567" s="79">
        <v>34.69</v>
      </c>
      <c r="AA567" s="255">
        <v>1.0000000000005116E-2</v>
      </c>
      <c r="AC567" s="254"/>
    </row>
    <row r="568" spans="1:29" s="69" customFormat="1" ht="12">
      <c r="A568" s="489" t="s">
        <v>11600</v>
      </c>
      <c r="B568" s="490" t="s">
        <v>11601</v>
      </c>
      <c r="C568" s="491"/>
      <c r="D568" s="492"/>
      <c r="E568" s="79"/>
      <c r="F568" s="63"/>
      <c r="G568" s="320"/>
      <c r="H568" s="79"/>
      <c r="I568" s="79"/>
      <c r="J568" s="79"/>
      <c r="K568" s="79"/>
      <c r="L568" s="70"/>
      <c r="M568" s="132"/>
      <c r="N568" s="79"/>
      <c r="O568" s="79"/>
      <c r="P568" s="79"/>
      <c r="Q568" s="136"/>
      <c r="R568" s="79"/>
      <c r="S568" s="79"/>
      <c r="T568" s="79"/>
      <c r="U568" s="79"/>
      <c r="V568" s="189"/>
      <c r="W568" s="61"/>
      <c r="X568" s="79"/>
      <c r="Y568" s="79"/>
      <c r="Z568" s="79"/>
      <c r="AA568" s="255"/>
      <c r="AB568" s="61"/>
      <c r="AC568" s="254"/>
    </row>
    <row r="569" spans="1:29" s="69" customFormat="1" ht="12">
      <c r="A569" s="67" t="s">
        <v>11602</v>
      </c>
      <c r="B569" s="65" t="s">
        <v>11603</v>
      </c>
      <c r="C569" s="71" t="s">
        <v>165</v>
      </c>
      <c r="D569" s="78">
        <v>1</v>
      </c>
      <c r="E569" s="79">
        <v>30.200000000000003</v>
      </c>
      <c r="F569" s="70">
        <v>30.2</v>
      </c>
      <c r="G569" s="320"/>
      <c r="H569" s="79">
        <v>12.58</v>
      </c>
      <c r="I569" s="79">
        <v>17.62</v>
      </c>
      <c r="J569" s="79">
        <v>30.200000000000003</v>
      </c>
      <c r="K569" s="79">
        <v>0</v>
      </c>
      <c r="L569" s="70">
        <v>30.200000000000003</v>
      </c>
      <c r="M569" s="132"/>
      <c r="N569" s="79">
        <v>12.58</v>
      </c>
      <c r="O569" s="79">
        <v>17.62</v>
      </c>
      <c r="P569" s="79">
        <v>30.200000000000003</v>
      </c>
      <c r="Q569" s="136"/>
      <c r="R569" s="79">
        <v>12.58</v>
      </c>
      <c r="S569" s="79">
        <v>17.62</v>
      </c>
      <c r="T569" s="79">
        <v>30.200000000000003</v>
      </c>
      <c r="U569" s="79">
        <v>0</v>
      </c>
      <c r="V569" s="189">
        <v>30.200000000000003</v>
      </c>
      <c r="W569" s="61"/>
      <c r="X569" s="79">
        <v>12.58</v>
      </c>
      <c r="Y569" s="79">
        <v>17.62</v>
      </c>
      <c r="Z569" s="79">
        <v>30.2</v>
      </c>
      <c r="AA569" s="255">
        <v>0</v>
      </c>
      <c r="AB569" s="61"/>
      <c r="AC569" s="254"/>
    </row>
    <row r="570" spans="1:29" ht="12">
      <c r="A570" s="67" t="s">
        <v>11604</v>
      </c>
      <c r="B570" s="65" t="s">
        <v>11605</v>
      </c>
      <c r="C570" s="71" t="s">
        <v>165</v>
      </c>
      <c r="D570" s="78">
        <v>1</v>
      </c>
      <c r="E570" s="79">
        <v>38.36</v>
      </c>
      <c r="F570" s="70">
        <v>38.36</v>
      </c>
      <c r="G570" s="320"/>
      <c r="H570" s="79">
        <v>18.23</v>
      </c>
      <c r="I570" s="79">
        <v>20.130000000000003</v>
      </c>
      <c r="J570" s="79">
        <v>38.36</v>
      </c>
      <c r="K570" s="79">
        <v>0</v>
      </c>
      <c r="L570" s="70">
        <v>38.36</v>
      </c>
      <c r="M570" s="132"/>
      <c r="N570" s="79">
        <v>18.23</v>
      </c>
      <c r="O570" s="79">
        <v>20.130000000000003</v>
      </c>
      <c r="P570" s="79">
        <v>38.36</v>
      </c>
      <c r="Q570" s="136"/>
      <c r="R570" s="79">
        <v>18.23</v>
      </c>
      <c r="S570" s="79">
        <v>20.14</v>
      </c>
      <c r="T570" s="79">
        <v>38.370000000000005</v>
      </c>
      <c r="U570" s="79">
        <v>0</v>
      </c>
      <c r="V570" s="189">
        <v>38.370000000000005</v>
      </c>
      <c r="X570" s="79">
        <v>18.23</v>
      </c>
      <c r="Y570" s="79">
        <v>20.14</v>
      </c>
      <c r="Z570" s="79">
        <v>38.369999999999997</v>
      </c>
      <c r="AA570" s="255">
        <v>-9.9999999999980105E-3</v>
      </c>
      <c r="AC570" s="254"/>
    </row>
    <row r="571" spans="1:29" ht="12">
      <c r="A571" s="67" t="s">
        <v>11606</v>
      </c>
      <c r="B571" s="65" t="s">
        <v>11607</v>
      </c>
      <c r="C571" s="71" t="s">
        <v>165</v>
      </c>
      <c r="D571" s="78">
        <v>1</v>
      </c>
      <c r="E571" s="79">
        <v>42.370000000000005</v>
      </c>
      <c r="F571" s="70">
        <v>42.37</v>
      </c>
      <c r="G571" s="320"/>
      <c r="H571" s="79">
        <v>17.170000000000002</v>
      </c>
      <c r="I571" s="79">
        <v>25.2</v>
      </c>
      <c r="J571" s="79">
        <v>42.370000000000005</v>
      </c>
      <c r="K571" s="79">
        <v>0</v>
      </c>
      <c r="L571" s="70">
        <v>42.370000000000005</v>
      </c>
      <c r="M571" s="132"/>
      <c r="N571" s="79">
        <v>17.170000000000002</v>
      </c>
      <c r="O571" s="79">
        <v>25.2</v>
      </c>
      <c r="P571" s="79">
        <v>42.370000000000005</v>
      </c>
      <c r="Q571" s="136"/>
      <c r="R571" s="79">
        <v>17.170000000000002</v>
      </c>
      <c r="S571" s="79">
        <v>25.18</v>
      </c>
      <c r="T571" s="79">
        <v>42.35</v>
      </c>
      <c r="U571" s="79">
        <v>0</v>
      </c>
      <c r="V571" s="189">
        <v>42.35</v>
      </c>
      <c r="X571" s="79">
        <v>17.170000000000002</v>
      </c>
      <c r="Y571" s="79">
        <v>25.18</v>
      </c>
      <c r="Z571" s="79">
        <v>42.35</v>
      </c>
      <c r="AA571" s="255">
        <v>1.9999999999996021E-2</v>
      </c>
      <c r="AC571" s="254"/>
    </row>
    <row r="572" spans="1:29" ht="12">
      <c r="A572" s="489" t="s">
        <v>11608</v>
      </c>
      <c r="B572" s="490" t="s">
        <v>11609</v>
      </c>
      <c r="C572" s="491"/>
      <c r="D572" s="492"/>
      <c r="E572" s="79"/>
      <c r="F572" s="63"/>
      <c r="G572" s="320"/>
      <c r="H572" s="79"/>
      <c r="I572" s="79"/>
      <c r="J572" s="79"/>
      <c r="K572" s="79"/>
      <c r="L572" s="70"/>
      <c r="M572" s="132"/>
      <c r="N572" s="79"/>
      <c r="O572" s="79"/>
      <c r="P572" s="79"/>
      <c r="Q572" s="136"/>
      <c r="R572" s="79"/>
      <c r="S572" s="79"/>
      <c r="T572" s="79"/>
      <c r="U572" s="79"/>
      <c r="V572" s="189"/>
      <c r="X572" s="79"/>
      <c r="Y572" s="79"/>
      <c r="Z572" s="79"/>
      <c r="AA572" s="255"/>
      <c r="AC572" s="254"/>
    </row>
    <row r="573" spans="1:29" ht="24">
      <c r="A573" s="67" t="s">
        <v>11610</v>
      </c>
      <c r="B573" s="65" t="s">
        <v>110</v>
      </c>
      <c r="C573" s="71" t="s">
        <v>108</v>
      </c>
      <c r="D573" s="78">
        <v>1</v>
      </c>
      <c r="E573" s="79">
        <v>12930.43</v>
      </c>
      <c r="F573" s="70">
        <v>12930.43</v>
      </c>
      <c r="G573" s="320"/>
      <c r="H573" s="79">
        <v>12930.43</v>
      </c>
      <c r="I573" s="79">
        <v>0</v>
      </c>
      <c r="J573" s="79">
        <v>12930.43</v>
      </c>
      <c r="K573" s="79">
        <v>0</v>
      </c>
      <c r="L573" s="70">
        <v>12930.43</v>
      </c>
      <c r="M573" s="132"/>
      <c r="N573" s="79">
        <v>12930.43</v>
      </c>
      <c r="O573" s="79"/>
      <c r="P573" s="79">
        <v>12930.43</v>
      </c>
      <c r="Q573" s="136"/>
      <c r="R573" s="79">
        <v>12930.43</v>
      </c>
      <c r="S573" s="79"/>
      <c r="T573" s="79">
        <v>12930.43</v>
      </c>
      <c r="U573" s="79">
        <v>0</v>
      </c>
      <c r="V573" s="189">
        <v>12930.43</v>
      </c>
      <c r="X573" s="79">
        <v>12930.43</v>
      </c>
      <c r="Y573" s="79"/>
      <c r="Z573" s="79">
        <v>12930.43</v>
      </c>
      <c r="AA573" s="255">
        <v>0</v>
      </c>
      <c r="AC573" s="254"/>
    </row>
    <row r="574" spans="1:29" ht="24">
      <c r="A574" s="67" t="s">
        <v>11611</v>
      </c>
      <c r="B574" s="65" t="s">
        <v>11612</v>
      </c>
      <c r="C574" s="71" t="s">
        <v>113</v>
      </c>
      <c r="D574" s="78">
        <v>1</v>
      </c>
      <c r="E574" s="79">
        <v>845.54</v>
      </c>
      <c r="F574" s="70">
        <v>845.54</v>
      </c>
      <c r="G574" s="320"/>
      <c r="H574" s="79">
        <v>845.54</v>
      </c>
      <c r="I574" s="79">
        <v>0</v>
      </c>
      <c r="J574" s="79">
        <v>845.54</v>
      </c>
      <c r="K574" s="79">
        <v>0</v>
      </c>
      <c r="L574" s="70">
        <v>845.54</v>
      </c>
      <c r="M574" s="132"/>
      <c r="N574" s="79">
        <v>845.54</v>
      </c>
      <c r="O574" s="79"/>
      <c r="P574" s="79">
        <v>845.54</v>
      </c>
      <c r="Q574" s="136"/>
      <c r="R574" s="79">
        <v>845.54</v>
      </c>
      <c r="S574" s="79"/>
      <c r="T574" s="79">
        <v>845.54</v>
      </c>
      <c r="U574" s="79">
        <v>0</v>
      </c>
      <c r="V574" s="189">
        <v>845.54</v>
      </c>
      <c r="X574" s="79">
        <v>845.54</v>
      </c>
      <c r="Y574" s="79"/>
      <c r="Z574" s="79">
        <v>845.54</v>
      </c>
      <c r="AA574" s="255">
        <v>0</v>
      </c>
      <c r="AC574" s="254"/>
    </row>
    <row r="575" spans="1:29" s="61" customFormat="1" ht="12">
      <c r="A575" s="67" t="s">
        <v>11613</v>
      </c>
      <c r="B575" s="65" t="s">
        <v>11614</v>
      </c>
      <c r="C575" s="71" t="s">
        <v>103</v>
      </c>
      <c r="D575" s="78">
        <v>1</v>
      </c>
      <c r="E575" s="79">
        <v>742.73</v>
      </c>
      <c r="F575" s="70">
        <v>742.73</v>
      </c>
      <c r="G575" s="320"/>
      <c r="H575" s="79">
        <v>742.73</v>
      </c>
      <c r="I575" s="79">
        <v>0</v>
      </c>
      <c r="J575" s="79">
        <v>742.73</v>
      </c>
      <c r="K575" s="79">
        <v>0</v>
      </c>
      <c r="L575" s="70">
        <v>742.73</v>
      </c>
      <c r="M575" s="132"/>
      <c r="N575" s="79">
        <v>742.73</v>
      </c>
      <c r="O575" s="79"/>
      <c r="P575" s="79">
        <v>742.73</v>
      </c>
      <c r="Q575" s="136"/>
      <c r="R575" s="79">
        <v>742.73</v>
      </c>
      <c r="S575" s="79"/>
      <c r="T575" s="79">
        <v>742.73</v>
      </c>
      <c r="U575" s="79">
        <v>0</v>
      </c>
      <c r="V575" s="189">
        <v>742.73</v>
      </c>
      <c r="X575" s="79">
        <v>742.73</v>
      </c>
      <c r="Y575" s="79"/>
      <c r="Z575" s="79">
        <v>742.73</v>
      </c>
      <c r="AA575" s="255">
        <v>0</v>
      </c>
      <c r="AC575" s="254"/>
    </row>
    <row r="576" spans="1:29" s="61" customFormat="1" ht="12">
      <c r="A576" s="67" t="s">
        <v>11615</v>
      </c>
      <c r="B576" s="65" t="s">
        <v>11616</v>
      </c>
      <c r="C576" s="71" t="s">
        <v>11617</v>
      </c>
      <c r="D576" s="78">
        <v>1</v>
      </c>
      <c r="E576" s="79">
        <v>7.13</v>
      </c>
      <c r="F576" s="70">
        <v>7.13</v>
      </c>
      <c r="G576" s="320"/>
      <c r="H576" s="79">
        <v>2.59</v>
      </c>
      <c r="I576" s="79">
        <v>4.54</v>
      </c>
      <c r="J576" s="79">
        <v>7.13</v>
      </c>
      <c r="K576" s="79">
        <v>0</v>
      </c>
      <c r="L576" s="70">
        <v>7.13</v>
      </c>
      <c r="M576" s="132"/>
      <c r="N576" s="79">
        <v>2.59</v>
      </c>
      <c r="O576" s="79">
        <v>4.54</v>
      </c>
      <c r="P576" s="79">
        <v>7.13</v>
      </c>
      <c r="Q576" s="136"/>
      <c r="R576" s="79">
        <v>2.59</v>
      </c>
      <c r="S576" s="79">
        <v>4.54</v>
      </c>
      <c r="T576" s="79">
        <v>7.13</v>
      </c>
      <c r="U576" s="79">
        <v>0</v>
      </c>
      <c r="V576" s="189">
        <v>7.13</v>
      </c>
      <c r="X576" s="79">
        <v>2.59</v>
      </c>
      <c r="Y576" s="79">
        <v>4.54</v>
      </c>
      <c r="Z576" s="79">
        <v>7.13</v>
      </c>
      <c r="AA576" s="255">
        <v>0</v>
      </c>
      <c r="AC576" s="254"/>
    </row>
    <row r="577" spans="1:29" s="61" customFormat="1" ht="12">
      <c r="A577" s="489" t="s">
        <v>11618</v>
      </c>
      <c r="B577" s="490" t="s">
        <v>11619</v>
      </c>
      <c r="C577" s="491"/>
      <c r="D577" s="492"/>
      <c r="E577" s="79"/>
      <c r="F577" s="63"/>
      <c r="G577" s="320"/>
      <c r="H577" s="79"/>
      <c r="I577" s="79"/>
      <c r="J577" s="79"/>
      <c r="K577" s="79"/>
      <c r="L577" s="70"/>
      <c r="M577" s="132"/>
      <c r="N577" s="79"/>
      <c r="O577" s="79"/>
      <c r="P577" s="79"/>
      <c r="Q577" s="136"/>
      <c r="R577" s="79"/>
      <c r="S577" s="79"/>
      <c r="T577" s="79"/>
      <c r="U577" s="79"/>
      <c r="V577" s="189"/>
      <c r="X577" s="79"/>
      <c r="Y577" s="79"/>
      <c r="Z577" s="79"/>
      <c r="AA577" s="255"/>
      <c r="AC577" s="254"/>
    </row>
    <row r="578" spans="1:29" s="61" customFormat="1" ht="12">
      <c r="A578" s="67" t="s">
        <v>11620</v>
      </c>
      <c r="B578" s="65" t="s">
        <v>11621</v>
      </c>
      <c r="C578" s="71" t="s">
        <v>121</v>
      </c>
      <c r="D578" s="78">
        <v>1</v>
      </c>
      <c r="E578" s="79">
        <v>346.58000000000004</v>
      </c>
      <c r="F578" s="70">
        <v>346.58</v>
      </c>
      <c r="G578" s="320"/>
      <c r="H578" s="79">
        <v>195.54</v>
      </c>
      <c r="I578" s="79">
        <v>151.04000000000002</v>
      </c>
      <c r="J578" s="79">
        <v>346.58000000000004</v>
      </c>
      <c r="K578" s="79">
        <v>0</v>
      </c>
      <c r="L578" s="70">
        <v>346.58000000000004</v>
      </c>
      <c r="M578" s="132"/>
      <c r="N578" s="79">
        <v>195.54</v>
      </c>
      <c r="O578" s="79">
        <v>151.04000000000002</v>
      </c>
      <c r="P578" s="79">
        <v>346.58000000000004</v>
      </c>
      <c r="Q578" s="136"/>
      <c r="R578" s="79">
        <v>195.54</v>
      </c>
      <c r="S578" s="79">
        <v>151.05000000000001</v>
      </c>
      <c r="T578" s="79">
        <v>346.59000000000003</v>
      </c>
      <c r="U578" s="79">
        <v>0</v>
      </c>
      <c r="V578" s="189">
        <v>346.59000000000003</v>
      </c>
      <c r="X578" s="79">
        <v>195.54</v>
      </c>
      <c r="Y578" s="79">
        <v>151.05000000000001</v>
      </c>
      <c r="Z578" s="79">
        <v>346.59</v>
      </c>
      <c r="AA578" s="255">
        <v>-9.9999999999909051E-3</v>
      </c>
      <c r="AC578" s="254"/>
    </row>
    <row r="579" spans="1:29" s="61" customFormat="1" ht="12">
      <c r="A579" s="67" t="s">
        <v>11622</v>
      </c>
      <c r="B579" s="65" t="s">
        <v>11623</v>
      </c>
      <c r="C579" s="71" t="s">
        <v>121</v>
      </c>
      <c r="D579" s="78">
        <v>1</v>
      </c>
      <c r="E579" s="79">
        <v>631.74</v>
      </c>
      <c r="F579" s="70">
        <v>631.74</v>
      </c>
      <c r="G579" s="320"/>
      <c r="H579" s="79">
        <v>339.51</v>
      </c>
      <c r="I579" s="79">
        <v>292.23</v>
      </c>
      <c r="J579" s="79">
        <v>631.74</v>
      </c>
      <c r="K579" s="79">
        <v>0</v>
      </c>
      <c r="L579" s="70">
        <v>631.74</v>
      </c>
      <c r="M579" s="132"/>
      <c r="N579" s="79">
        <v>339.51</v>
      </c>
      <c r="O579" s="79">
        <v>292.23</v>
      </c>
      <c r="P579" s="79">
        <v>631.74</v>
      </c>
      <c r="Q579" s="136"/>
      <c r="R579" s="79">
        <v>339.51</v>
      </c>
      <c r="S579" s="79">
        <v>292.24</v>
      </c>
      <c r="T579" s="79">
        <v>631.75</v>
      </c>
      <c r="U579" s="79">
        <v>0</v>
      </c>
      <c r="V579" s="189">
        <v>631.75</v>
      </c>
      <c r="X579" s="79">
        <v>339.51</v>
      </c>
      <c r="Y579" s="79">
        <v>292.24</v>
      </c>
      <c r="Z579" s="79">
        <v>631.75</v>
      </c>
      <c r="AA579" s="255">
        <v>-9.9999999999909051E-3</v>
      </c>
      <c r="AC579" s="254"/>
    </row>
    <row r="580" spans="1:29" s="61" customFormat="1" ht="24">
      <c r="A580" s="67" t="s">
        <v>11624</v>
      </c>
      <c r="B580" s="65" t="s">
        <v>11625</v>
      </c>
      <c r="C580" s="71" t="s">
        <v>121</v>
      </c>
      <c r="D580" s="78">
        <v>1</v>
      </c>
      <c r="E580" s="79">
        <v>946.01999999999987</v>
      </c>
      <c r="F580" s="70">
        <v>946.02</v>
      </c>
      <c r="G580" s="320"/>
      <c r="H580" s="79">
        <v>810.13</v>
      </c>
      <c r="I580" s="79">
        <v>135.88999999999999</v>
      </c>
      <c r="J580" s="79">
        <v>946.02</v>
      </c>
      <c r="K580" s="79">
        <v>0</v>
      </c>
      <c r="L580" s="70">
        <v>946.02</v>
      </c>
      <c r="M580" s="132"/>
      <c r="N580" s="79">
        <v>810.13</v>
      </c>
      <c r="O580" s="79">
        <v>135.88999999999999</v>
      </c>
      <c r="P580" s="79">
        <v>946.02</v>
      </c>
      <c r="Q580" s="136"/>
      <c r="R580" s="79">
        <v>810.13</v>
      </c>
      <c r="S580" s="79">
        <v>135.88999999999999</v>
      </c>
      <c r="T580" s="79">
        <v>946.02</v>
      </c>
      <c r="U580" s="79">
        <v>0</v>
      </c>
      <c r="V580" s="189">
        <v>946.02</v>
      </c>
      <c r="X580" s="79">
        <v>810.13</v>
      </c>
      <c r="Y580" s="79">
        <v>135.88999999999999</v>
      </c>
      <c r="Z580" s="79">
        <v>946.02</v>
      </c>
      <c r="AA580" s="255">
        <v>0</v>
      </c>
      <c r="AC580" s="254"/>
    </row>
    <row r="581" spans="1:29" s="61" customFormat="1" ht="24">
      <c r="A581" s="67" t="s">
        <v>11626</v>
      </c>
      <c r="B581" s="65" t="s">
        <v>11627</v>
      </c>
      <c r="C581" s="71" t="s">
        <v>121</v>
      </c>
      <c r="D581" s="78">
        <v>1</v>
      </c>
      <c r="E581" s="79">
        <v>793.14</v>
      </c>
      <c r="F581" s="70">
        <v>793.14</v>
      </c>
      <c r="G581" s="320"/>
      <c r="H581" s="79">
        <v>626.26</v>
      </c>
      <c r="I581" s="79">
        <v>166.88</v>
      </c>
      <c r="J581" s="79">
        <v>793.14</v>
      </c>
      <c r="K581" s="79">
        <v>0</v>
      </c>
      <c r="L581" s="70">
        <v>793.14</v>
      </c>
      <c r="M581" s="132"/>
      <c r="N581" s="79">
        <v>626.26</v>
      </c>
      <c r="O581" s="79">
        <v>166.88</v>
      </c>
      <c r="P581" s="79">
        <v>793.14</v>
      </c>
      <c r="Q581" s="136"/>
      <c r="R581" s="79">
        <v>626.26</v>
      </c>
      <c r="S581" s="79">
        <v>166.9</v>
      </c>
      <c r="T581" s="79">
        <v>793.16</v>
      </c>
      <c r="U581" s="79">
        <v>0</v>
      </c>
      <c r="V581" s="189">
        <v>793.16</v>
      </c>
      <c r="X581" s="79">
        <v>626.26</v>
      </c>
      <c r="Y581" s="79">
        <v>166.9</v>
      </c>
      <c r="Z581" s="79">
        <v>793.16</v>
      </c>
      <c r="AA581" s="255">
        <v>-1.999999999998181E-2</v>
      </c>
      <c r="AC581" s="254"/>
    </row>
    <row r="582" spans="1:29" ht="12">
      <c r="A582" s="489" t="s">
        <v>11628</v>
      </c>
      <c r="B582" s="490" t="s">
        <v>11629</v>
      </c>
      <c r="C582" s="491"/>
      <c r="D582" s="492"/>
      <c r="E582" s="79"/>
      <c r="F582" s="63"/>
      <c r="G582" s="320"/>
      <c r="H582" s="79"/>
      <c r="I582" s="79"/>
      <c r="J582" s="79"/>
      <c r="K582" s="79"/>
      <c r="L582" s="70"/>
      <c r="M582" s="132"/>
      <c r="N582" s="79"/>
      <c r="O582" s="79"/>
      <c r="P582" s="79"/>
      <c r="Q582" s="136"/>
      <c r="R582" s="79"/>
      <c r="S582" s="79"/>
      <c r="T582" s="79"/>
      <c r="U582" s="79"/>
      <c r="V582" s="189"/>
      <c r="X582" s="79"/>
      <c r="Y582" s="79"/>
      <c r="Z582" s="79"/>
      <c r="AA582" s="255"/>
      <c r="AC582" s="254"/>
    </row>
    <row r="583" spans="1:29" ht="12">
      <c r="A583" s="489" t="s">
        <v>11630</v>
      </c>
      <c r="B583" s="490" t="s">
        <v>11631</v>
      </c>
      <c r="C583" s="491"/>
      <c r="D583" s="492"/>
      <c r="E583" s="79"/>
      <c r="F583" s="63"/>
      <c r="G583" s="320"/>
      <c r="H583" s="79"/>
      <c r="I583" s="79"/>
      <c r="J583" s="79"/>
      <c r="K583" s="79"/>
      <c r="L583" s="70"/>
      <c r="M583" s="132"/>
      <c r="N583" s="79"/>
      <c r="O583" s="79"/>
      <c r="P583" s="79"/>
      <c r="Q583" s="136"/>
      <c r="R583" s="79"/>
      <c r="S583" s="79"/>
      <c r="T583" s="79"/>
      <c r="U583" s="79"/>
      <c r="V583" s="189"/>
      <c r="X583" s="79"/>
      <c r="Y583" s="79"/>
      <c r="Z583" s="79"/>
      <c r="AA583" s="255"/>
      <c r="AC583" s="254"/>
    </row>
    <row r="584" spans="1:29" ht="12">
      <c r="A584" s="67" t="s">
        <v>11632</v>
      </c>
      <c r="B584" s="65" t="s">
        <v>11633</v>
      </c>
      <c r="C584" s="71" t="s">
        <v>509</v>
      </c>
      <c r="D584" s="78">
        <v>1</v>
      </c>
      <c r="E584" s="79">
        <v>109.61</v>
      </c>
      <c r="F584" s="70">
        <v>109.61</v>
      </c>
      <c r="G584" s="320"/>
      <c r="H584" s="79">
        <v>44.15</v>
      </c>
      <c r="I584" s="79">
        <v>65.460000000000008</v>
      </c>
      <c r="J584" s="79">
        <v>109.61000000000001</v>
      </c>
      <c r="K584" s="79">
        <v>0</v>
      </c>
      <c r="L584" s="70">
        <v>109.61000000000001</v>
      </c>
      <c r="M584" s="132"/>
      <c r="N584" s="79">
        <v>44.15</v>
      </c>
      <c r="O584" s="79">
        <v>65.460000000000008</v>
      </c>
      <c r="P584" s="79">
        <v>109.61000000000001</v>
      </c>
      <c r="Q584" s="136"/>
      <c r="R584" s="79">
        <v>44.15</v>
      </c>
      <c r="S584" s="79">
        <v>65.45</v>
      </c>
      <c r="T584" s="79">
        <v>109.6</v>
      </c>
      <c r="U584" s="79">
        <v>0</v>
      </c>
      <c r="V584" s="189">
        <v>109.6</v>
      </c>
      <c r="X584" s="79">
        <v>44.15</v>
      </c>
      <c r="Y584" s="79">
        <v>65.45</v>
      </c>
      <c r="Z584" s="79">
        <v>109.6</v>
      </c>
      <c r="AA584" s="255">
        <v>1.0000000000005116E-2</v>
      </c>
      <c r="AC584" s="254"/>
    </row>
    <row r="585" spans="1:29" ht="12">
      <c r="A585" s="67" t="s">
        <v>11634</v>
      </c>
      <c r="B585" s="65" t="s">
        <v>11635</v>
      </c>
      <c r="C585" s="71" t="s">
        <v>509</v>
      </c>
      <c r="D585" s="78">
        <v>1</v>
      </c>
      <c r="E585" s="79">
        <v>254.44</v>
      </c>
      <c r="F585" s="70">
        <v>254.44</v>
      </c>
      <c r="G585" s="320"/>
      <c r="H585" s="79">
        <v>178.89999999999998</v>
      </c>
      <c r="I585" s="79">
        <v>75.539999999999992</v>
      </c>
      <c r="J585" s="79">
        <v>254.43999999999997</v>
      </c>
      <c r="K585" s="79">
        <v>0</v>
      </c>
      <c r="L585" s="70">
        <v>254.43999999999997</v>
      </c>
      <c r="M585" s="132"/>
      <c r="N585" s="79">
        <v>178.89999999999998</v>
      </c>
      <c r="O585" s="79">
        <v>75.539999999999992</v>
      </c>
      <c r="P585" s="79">
        <v>254.43999999999997</v>
      </c>
      <c r="Q585" s="136"/>
      <c r="R585" s="79">
        <v>178.9</v>
      </c>
      <c r="S585" s="79">
        <v>75.53</v>
      </c>
      <c r="T585" s="79">
        <v>254.43</v>
      </c>
      <c r="U585" s="79">
        <v>0</v>
      </c>
      <c r="V585" s="189">
        <v>254.43</v>
      </c>
      <c r="X585" s="79">
        <v>178.9</v>
      </c>
      <c r="Y585" s="79">
        <v>75.53</v>
      </c>
      <c r="Z585" s="79">
        <v>254.43</v>
      </c>
      <c r="AA585" s="255">
        <v>9.9999999999909051E-3</v>
      </c>
      <c r="AC585" s="254"/>
    </row>
    <row r="586" spans="1:29" ht="12">
      <c r="A586" s="67" t="s">
        <v>11636</v>
      </c>
      <c r="B586" s="65" t="s">
        <v>11637</v>
      </c>
      <c r="C586" s="71" t="s">
        <v>509</v>
      </c>
      <c r="D586" s="78">
        <v>1</v>
      </c>
      <c r="E586" s="79">
        <v>122.37</v>
      </c>
      <c r="F586" s="70">
        <v>122.37</v>
      </c>
      <c r="G586" s="320"/>
      <c r="H586" s="79">
        <v>61.959999999999994</v>
      </c>
      <c r="I586" s="79">
        <v>60.41</v>
      </c>
      <c r="J586" s="79">
        <v>122.36999999999999</v>
      </c>
      <c r="K586" s="79">
        <v>0</v>
      </c>
      <c r="L586" s="70">
        <v>122.36999999999999</v>
      </c>
      <c r="M586" s="132"/>
      <c r="N586" s="79">
        <v>61.959999999999994</v>
      </c>
      <c r="O586" s="79">
        <v>60.41</v>
      </c>
      <c r="P586" s="79">
        <v>122.36999999999999</v>
      </c>
      <c r="Q586" s="136"/>
      <c r="R586" s="79">
        <v>61.96</v>
      </c>
      <c r="S586" s="79">
        <v>60.42</v>
      </c>
      <c r="T586" s="79">
        <v>122.38</v>
      </c>
      <c r="U586" s="79">
        <v>0</v>
      </c>
      <c r="V586" s="189">
        <v>122.38</v>
      </c>
      <c r="X586" s="79">
        <v>61.96</v>
      </c>
      <c r="Y586" s="79">
        <v>60.42</v>
      </c>
      <c r="Z586" s="79">
        <v>122.38</v>
      </c>
      <c r="AA586" s="255">
        <v>-9.9999999999909051E-3</v>
      </c>
      <c r="AC586" s="254"/>
    </row>
    <row r="587" spans="1:29" ht="12">
      <c r="A587" s="67" t="s">
        <v>11638</v>
      </c>
      <c r="B587" s="65" t="s">
        <v>11639</v>
      </c>
      <c r="C587" s="71" t="s">
        <v>509</v>
      </c>
      <c r="D587" s="78">
        <v>1</v>
      </c>
      <c r="E587" s="79">
        <v>7.76</v>
      </c>
      <c r="F587" s="70">
        <v>7.76</v>
      </c>
      <c r="G587" s="320"/>
      <c r="H587" s="79">
        <v>0</v>
      </c>
      <c r="I587" s="79">
        <v>7.76</v>
      </c>
      <c r="J587" s="79">
        <v>7.76</v>
      </c>
      <c r="K587" s="79">
        <v>0</v>
      </c>
      <c r="L587" s="70">
        <v>7.76</v>
      </c>
      <c r="M587" s="132"/>
      <c r="N587" s="79"/>
      <c r="O587" s="79">
        <v>7.76</v>
      </c>
      <c r="P587" s="79">
        <v>7.76</v>
      </c>
      <c r="Q587" s="136"/>
      <c r="R587" s="79"/>
      <c r="S587" s="79">
        <v>7.76</v>
      </c>
      <c r="T587" s="79">
        <v>7.76</v>
      </c>
      <c r="U587" s="79">
        <v>0</v>
      </c>
      <c r="V587" s="189">
        <v>7.76</v>
      </c>
      <c r="X587" s="79"/>
      <c r="Y587" s="79">
        <v>7.76</v>
      </c>
      <c r="Z587" s="79">
        <v>7.76</v>
      </c>
      <c r="AA587" s="255">
        <v>0</v>
      </c>
      <c r="AC587" s="254"/>
    </row>
    <row r="588" spans="1:29" s="61" customFormat="1" ht="12">
      <c r="A588" s="67" t="s">
        <v>11640</v>
      </c>
      <c r="B588" s="65" t="s">
        <v>11641</v>
      </c>
      <c r="C588" s="71" t="s">
        <v>509</v>
      </c>
      <c r="D588" s="78">
        <v>1</v>
      </c>
      <c r="E588" s="79">
        <v>9.2199999999999989</v>
      </c>
      <c r="F588" s="70">
        <v>9.2200000000000006</v>
      </c>
      <c r="G588" s="320"/>
      <c r="H588" s="79">
        <v>0</v>
      </c>
      <c r="I588" s="79">
        <v>9.2199999999999989</v>
      </c>
      <c r="J588" s="79">
        <v>9.2199999999999989</v>
      </c>
      <c r="K588" s="79">
        <v>0</v>
      </c>
      <c r="L588" s="70">
        <v>9.2199999999999989</v>
      </c>
      <c r="M588" s="132"/>
      <c r="N588" s="79"/>
      <c r="O588" s="79">
        <v>9.2199999999999989</v>
      </c>
      <c r="P588" s="79">
        <v>9.2199999999999989</v>
      </c>
      <c r="Q588" s="136"/>
      <c r="R588" s="79"/>
      <c r="S588" s="79">
        <v>9.23</v>
      </c>
      <c r="T588" s="79">
        <v>9.23</v>
      </c>
      <c r="U588" s="79">
        <v>0</v>
      </c>
      <c r="V588" s="189">
        <v>9.23</v>
      </c>
      <c r="X588" s="79"/>
      <c r="Y588" s="79">
        <v>9.23</v>
      </c>
      <c r="Z588" s="79">
        <v>9.23</v>
      </c>
      <c r="AA588" s="255">
        <v>-9.9999999999997868E-3</v>
      </c>
      <c r="AC588" s="254"/>
    </row>
    <row r="589" spans="1:29" s="61" customFormat="1" ht="12">
      <c r="A589" s="489" t="s">
        <v>11642</v>
      </c>
      <c r="B589" s="490" t="s">
        <v>11643</v>
      </c>
      <c r="C589" s="491"/>
      <c r="D589" s="492"/>
      <c r="E589" s="79"/>
      <c r="F589" s="63"/>
      <c r="G589" s="320"/>
      <c r="H589" s="79"/>
      <c r="I589" s="79"/>
      <c r="J589" s="79"/>
      <c r="K589" s="79"/>
      <c r="L589" s="70"/>
      <c r="M589" s="132"/>
      <c r="N589" s="79"/>
      <c r="O589" s="79"/>
      <c r="P589" s="79"/>
      <c r="Q589" s="136"/>
      <c r="R589" s="79"/>
      <c r="S589" s="79"/>
      <c r="T589" s="79"/>
      <c r="U589" s="79"/>
      <c r="V589" s="189"/>
      <c r="X589" s="79"/>
      <c r="Y589" s="79"/>
      <c r="Z589" s="79"/>
      <c r="AA589" s="255"/>
      <c r="AC589" s="254"/>
    </row>
    <row r="590" spans="1:29" s="61" customFormat="1" ht="12">
      <c r="A590" s="67" t="s">
        <v>11644</v>
      </c>
      <c r="B590" s="65" t="s">
        <v>11645</v>
      </c>
      <c r="C590" s="71" t="s">
        <v>509</v>
      </c>
      <c r="D590" s="78">
        <v>1</v>
      </c>
      <c r="E590" s="79">
        <v>195.98</v>
      </c>
      <c r="F590" s="70">
        <v>195.98</v>
      </c>
      <c r="G590" s="320"/>
      <c r="H590" s="79">
        <v>125.5</v>
      </c>
      <c r="I590" s="79">
        <v>70.48</v>
      </c>
      <c r="J590" s="79">
        <v>195.98000000000002</v>
      </c>
      <c r="K590" s="79">
        <v>0</v>
      </c>
      <c r="L590" s="70">
        <v>195.98000000000002</v>
      </c>
      <c r="M590" s="132"/>
      <c r="N590" s="79">
        <v>125.5</v>
      </c>
      <c r="O590" s="79">
        <v>70.48</v>
      </c>
      <c r="P590" s="79">
        <v>195.98000000000002</v>
      </c>
      <c r="Q590" s="136"/>
      <c r="R590" s="79">
        <v>125.5</v>
      </c>
      <c r="S590" s="79">
        <v>70.489999999999995</v>
      </c>
      <c r="T590" s="79">
        <v>195.99</v>
      </c>
      <c r="U590" s="79">
        <v>0</v>
      </c>
      <c r="V590" s="189">
        <v>195.99</v>
      </c>
      <c r="X590" s="79">
        <v>125.5</v>
      </c>
      <c r="Y590" s="79">
        <v>70.489999999999995</v>
      </c>
      <c r="Z590" s="79">
        <v>195.99</v>
      </c>
      <c r="AA590" s="255">
        <v>-1.0000000000019327E-2</v>
      </c>
      <c r="AC590" s="254"/>
    </row>
    <row r="591" spans="1:29" s="61" customFormat="1" ht="12">
      <c r="A591" s="67" t="s">
        <v>11646</v>
      </c>
      <c r="B591" s="65" t="s">
        <v>11647</v>
      </c>
      <c r="C591" s="71" t="s">
        <v>509</v>
      </c>
      <c r="D591" s="78">
        <v>1</v>
      </c>
      <c r="E591" s="79">
        <v>200.61999999999998</v>
      </c>
      <c r="F591" s="70">
        <v>200.62</v>
      </c>
      <c r="G591" s="320"/>
      <c r="H591" s="79">
        <v>130.13999999999999</v>
      </c>
      <c r="I591" s="79">
        <v>70.48</v>
      </c>
      <c r="J591" s="79">
        <v>200.62</v>
      </c>
      <c r="K591" s="79">
        <v>0</v>
      </c>
      <c r="L591" s="70">
        <v>200.62</v>
      </c>
      <c r="M591" s="132"/>
      <c r="N591" s="79">
        <v>130.13999999999999</v>
      </c>
      <c r="O591" s="79">
        <v>70.48</v>
      </c>
      <c r="P591" s="79">
        <v>200.62</v>
      </c>
      <c r="Q591" s="136"/>
      <c r="R591" s="79">
        <v>130.13999999999999</v>
      </c>
      <c r="S591" s="79">
        <v>70.489999999999995</v>
      </c>
      <c r="T591" s="79">
        <v>200.63</v>
      </c>
      <c r="U591" s="79">
        <v>0</v>
      </c>
      <c r="V591" s="189">
        <v>200.63</v>
      </c>
      <c r="X591" s="79">
        <v>130.13999999999999</v>
      </c>
      <c r="Y591" s="79">
        <v>70.489999999999995</v>
      </c>
      <c r="Z591" s="79">
        <v>200.63</v>
      </c>
      <c r="AA591" s="255">
        <v>-9.9999999999909051E-3</v>
      </c>
      <c r="AC591" s="254"/>
    </row>
    <row r="592" spans="1:29" s="61" customFormat="1" ht="12">
      <c r="A592" s="67" t="s">
        <v>11648</v>
      </c>
      <c r="B592" s="65" t="s">
        <v>11649</v>
      </c>
      <c r="C592" s="71" t="s">
        <v>509</v>
      </c>
      <c r="D592" s="78">
        <v>1</v>
      </c>
      <c r="E592" s="79">
        <v>240.54999999999998</v>
      </c>
      <c r="F592" s="70">
        <v>240.55</v>
      </c>
      <c r="G592" s="320"/>
      <c r="H592" s="79">
        <v>114.66000000000001</v>
      </c>
      <c r="I592" s="79">
        <v>125.89</v>
      </c>
      <c r="J592" s="79">
        <v>240.55</v>
      </c>
      <c r="K592" s="79">
        <v>0</v>
      </c>
      <c r="L592" s="70">
        <v>240.55</v>
      </c>
      <c r="M592" s="132"/>
      <c r="N592" s="79">
        <v>114.66000000000001</v>
      </c>
      <c r="O592" s="79">
        <v>125.89</v>
      </c>
      <c r="P592" s="79">
        <v>240.55</v>
      </c>
      <c r="Q592" s="136"/>
      <c r="R592" s="79">
        <v>114.66</v>
      </c>
      <c r="S592" s="79">
        <v>125.88</v>
      </c>
      <c r="T592" s="79">
        <v>240.54</v>
      </c>
      <c r="U592" s="79">
        <v>0</v>
      </c>
      <c r="V592" s="189">
        <v>240.54</v>
      </c>
      <c r="X592" s="79">
        <v>114.66</v>
      </c>
      <c r="Y592" s="79">
        <v>125.88</v>
      </c>
      <c r="Z592" s="79">
        <v>240.54</v>
      </c>
      <c r="AA592" s="255">
        <v>1.0000000000019327E-2</v>
      </c>
      <c r="AC592" s="254"/>
    </row>
    <row r="593" spans="1:29" s="61" customFormat="1" ht="12">
      <c r="A593" s="67" t="s">
        <v>11650</v>
      </c>
      <c r="B593" s="65" t="s">
        <v>11651</v>
      </c>
      <c r="C593" s="71" t="s">
        <v>509</v>
      </c>
      <c r="D593" s="78">
        <v>1</v>
      </c>
      <c r="E593" s="79">
        <v>143.32999999999998</v>
      </c>
      <c r="F593" s="70">
        <v>143.33000000000001</v>
      </c>
      <c r="G593" s="320"/>
      <c r="H593" s="79">
        <v>75.36</v>
      </c>
      <c r="I593" s="79">
        <v>67.97</v>
      </c>
      <c r="J593" s="79">
        <v>143.32999999999998</v>
      </c>
      <c r="K593" s="79">
        <v>0</v>
      </c>
      <c r="L593" s="70">
        <v>143.32999999999998</v>
      </c>
      <c r="M593" s="132"/>
      <c r="N593" s="79">
        <v>75.36</v>
      </c>
      <c r="O593" s="79">
        <v>67.97</v>
      </c>
      <c r="P593" s="79">
        <v>143.32999999999998</v>
      </c>
      <c r="Q593" s="136"/>
      <c r="R593" s="79">
        <v>75.36</v>
      </c>
      <c r="S593" s="79">
        <v>67.97</v>
      </c>
      <c r="T593" s="79">
        <v>143.32999999999998</v>
      </c>
      <c r="U593" s="79">
        <v>0</v>
      </c>
      <c r="V593" s="189">
        <v>143.32999999999998</v>
      </c>
      <c r="X593" s="79">
        <v>75.36</v>
      </c>
      <c r="Y593" s="79">
        <v>67.97</v>
      </c>
      <c r="Z593" s="79">
        <v>143.33000000000001</v>
      </c>
      <c r="AA593" s="255">
        <v>0</v>
      </c>
      <c r="AC593" s="254"/>
    </row>
    <row r="594" spans="1:29" s="61" customFormat="1" ht="12">
      <c r="A594" s="67" t="s">
        <v>11652</v>
      </c>
      <c r="B594" s="65" t="s">
        <v>11653</v>
      </c>
      <c r="C594" s="71" t="s">
        <v>509</v>
      </c>
      <c r="D594" s="78">
        <v>1</v>
      </c>
      <c r="E594" s="79">
        <v>96.79</v>
      </c>
      <c r="F594" s="70">
        <v>96.79</v>
      </c>
      <c r="G594" s="320"/>
      <c r="H594" s="79">
        <v>41.4</v>
      </c>
      <c r="I594" s="79">
        <v>55.39</v>
      </c>
      <c r="J594" s="79">
        <v>96.789999999999992</v>
      </c>
      <c r="K594" s="79">
        <v>0</v>
      </c>
      <c r="L594" s="70">
        <v>96.789999999999992</v>
      </c>
      <c r="M594" s="132"/>
      <c r="N594" s="79">
        <v>41.4</v>
      </c>
      <c r="O594" s="79">
        <v>55.39</v>
      </c>
      <c r="P594" s="79">
        <v>96.789999999999992</v>
      </c>
      <c r="Q594" s="136"/>
      <c r="R594" s="79">
        <v>41.4</v>
      </c>
      <c r="S594" s="79">
        <v>55.38</v>
      </c>
      <c r="T594" s="79">
        <v>96.78</v>
      </c>
      <c r="U594" s="79">
        <v>0</v>
      </c>
      <c r="V594" s="189">
        <v>96.78</v>
      </c>
      <c r="X594" s="79">
        <v>41.4</v>
      </c>
      <c r="Y594" s="79">
        <v>55.38</v>
      </c>
      <c r="Z594" s="79">
        <v>96.78</v>
      </c>
      <c r="AA594" s="255">
        <v>1.0000000000005116E-2</v>
      </c>
      <c r="AC594" s="254"/>
    </row>
    <row r="595" spans="1:29" s="61" customFormat="1" ht="12">
      <c r="A595" s="67" t="s">
        <v>11654</v>
      </c>
      <c r="B595" s="65" t="s">
        <v>11655</v>
      </c>
      <c r="C595" s="71" t="s">
        <v>509</v>
      </c>
      <c r="D595" s="78">
        <v>1</v>
      </c>
      <c r="E595" s="79">
        <v>208.35999999999999</v>
      </c>
      <c r="F595" s="70">
        <v>208.36</v>
      </c>
      <c r="G595" s="320"/>
      <c r="H595" s="79">
        <v>98.190000000000012</v>
      </c>
      <c r="I595" s="79">
        <v>110.16999999999999</v>
      </c>
      <c r="J595" s="79">
        <v>208.36</v>
      </c>
      <c r="K595" s="79">
        <v>0</v>
      </c>
      <c r="L595" s="70">
        <v>208.36</v>
      </c>
      <c r="M595" s="132"/>
      <c r="N595" s="79">
        <v>98.190000000000012</v>
      </c>
      <c r="O595" s="79">
        <v>110.16999999999999</v>
      </c>
      <c r="P595" s="79">
        <v>208.36</v>
      </c>
      <c r="Q595" s="136"/>
      <c r="R595" s="79">
        <v>98.19</v>
      </c>
      <c r="S595" s="79">
        <v>110.17</v>
      </c>
      <c r="T595" s="79">
        <v>208.36</v>
      </c>
      <c r="U595" s="79">
        <v>0</v>
      </c>
      <c r="V595" s="189">
        <v>208.36</v>
      </c>
      <c r="X595" s="79">
        <v>98.19</v>
      </c>
      <c r="Y595" s="79">
        <v>110.17</v>
      </c>
      <c r="Z595" s="79">
        <v>208.36</v>
      </c>
      <c r="AA595" s="255">
        <v>0</v>
      </c>
      <c r="AC595" s="254"/>
    </row>
    <row r="596" spans="1:29" s="61" customFormat="1" ht="24">
      <c r="A596" s="67" t="s">
        <v>11656</v>
      </c>
      <c r="B596" s="65" t="s">
        <v>11657</v>
      </c>
      <c r="C596" s="71" t="s">
        <v>509</v>
      </c>
      <c r="D596" s="78">
        <v>1</v>
      </c>
      <c r="E596" s="79">
        <v>153.82</v>
      </c>
      <c r="F596" s="70">
        <v>153.82</v>
      </c>
      <c r="G596" s="320"/>
      <c r="H596" s="79">
        <v>110.46000000000001</v>
      </c>
      <c r="I596" s="79">
        <v>43.36</v>
      </c>
      <c r="J596" s="79">
        <v>153.82</v>
      </c>
      <c r="K596" s="79">
        <v>0</v>
      </c>
      <c r="L596" s="70">
        <v>153.82</v>
      </c>
      <c r="M596" s="132"/>
      <c r="N596" s="79">
        <v>110.46000000000001</v>
      </c>
      <c r="O596" s="79">
        <v>43.36</v>
      </c>
      <c r="P596" s="79">
        <v>153.82</v>
      </c>
      <c r="Q596" s="136"/>
      <c r="R596" s="79">
        <v>110.46</v>
      </c>
      <c r="S596" s="79">
        <v>43.34</v>
      </c>
      <c r="T596" s="79">
        <v>153.80000000000001</v>
      </c>
      <c r="U596" s="79">
        <v>0</v>
      </c>
      <c r="V596" s="189">
        <v>153.80000000000001</v>
      </c>
      <c r="X596" s="79">
        <v>110.46</v>
      </c>
      <c r="Y596" s="79">
        <v>43.34</v>
      </c>
      <c r="Z596" s="79">
        <v>153.80000000000001</v>
      </c>
      <c r="AA596" s="255">
        <v>1.999999999998181E-2</v>
      </c>
      <c r="AC596" s="254"/>
    </row>
    <row r="597" spans="1:29" ht="12">
      <c r="A597" s="67" t="s">
        <v>11658</v>
      </c>
      <c r="B597" s="65" t="s">
        <v>11659</v>
      </c>
      <c r="C597" s="71" t="s">
        <v>509</v>
      </c>
      <c r="D597" s="78">
        <v>1</v>
      </c>
      <c r="E597" s="79">
        <v>192.4</v>
      </c>
      <c r="F597" s="70">
        <v>192.4</v>
      </c>
      <c r="G597" s="320"/>
      <c r="H597" s="79">
        <v>115.10000000000001</v>
      </c>
      <c r="I597" s="79">
        <v>77.3</v>
      </c>
      <c r="J597" s="79">
        <v>192.4</v>
      </c>
      <c r="K597" s="79">
        <v>0</v>
      </c>
      <c r="L597" s="70">
        <v>192.4</v>
      </c>
      <c r="M597" s="132"/>
      <c r="N597" s="79">
        <v>115.10000000000001</v>
      </c>
      <c r="O597" s="79">
        <v>77.3</v>
      </c>
      <c r="P597" s="79">
        <v>192.4</v>
      </c>
      <c r="Q597" s="136"/>
      <c r="R597" s="79">
        <v>115.1</v>
      </c>
      <c r="S597" s="79">
        <v>77.3</v>
      </c>
      <c r="T597" s="79">
        <v>192.39999999999998</v>
      </c>
      <c r="U597" s="79">
        <v>0</v>
      </c>
      <c r="V597" s="189">
        <v>192.39999999999998</v>
      </c>
      <c r="X597" s="79">
        <v>115.1</v>
      </c>
      <c r="Y597" s="79">
        <v>77.3</v>
      </c>
      <c r="Z597" s="79">
        <v>192.4</v>
      </c>
      <c r="AA597" s="255">
        <v>0</v>
      </c>
      <c r="AC597" s="254"/>
    </row>
    <row r="598" spans="1:29" ht="24">
      <c r="A598" s="67" t="s">
        <v>11660</v>
      </c>
      <c r="B598" s="65" t="s">
        <v>11661</v>
      </c>
      <c r="C598" s="71" t="s">
        <v>509</v>
      </c>
      <c r="D598" s="78">
        <v>1</v>
      </c>
      <c r="E598" s="79">
        <v>206.10999999999996</v>
      </c>
      <c r="F598" s="70">
        <v>206.11</v>
      </c>
      <c r="G598" s="320"/>
      <c r="H598" s="79">
        <v>73.390000000000015</v>
      </c>
      <c r="I598" s="79">
        <v>132.72</v>
      </c>
      <c r="J598" s="79">
        <v>206.11</v>
      </c>
      <c r="K598" s="79">
        <v>0</v>
      </c>
      <c r="L598" s="70">
        <v>206.11</v>
      </c>
      <c r="M598" s="132"/>
      <c r="N598" s="79">
        <v>73.390000000000015</v>
      </c>
      <c r="O598" s="79">
        <v>132.72</v>
      </c>
      <c r="P598" s="79">
        <v>206.11</v>
      </c>
      <c r="Q598" s="136"/>
      <c r="R598" s="79">
        <v>73.39</v>
      </c>
      <c r="S598" s="79">
        <v>132.69</v>
      </c>
      <c r="T598" s="79">
        <v>206.07999999999998</v>
      </c>
      <c r="U598" s="79">
        <v>0</v>
      </c>
      <c r="V598" s="189">
        <v>206.07999999999998</v>
      </c>
      <c r="X598" s="79">
        <v>73.39</v>
      </c>
      <c r="Y598" s="79">
        <v>132.69</v>
      </c>
      <c r="Z598" s="79">
        <v>206.08</v>
      </c>
      <c r="AA598" s="255">
        <v>3.0000000000001137E-2</v>
      </c>
      <c r="AC598" s="254"/>
    </row>
    <row r="599" spans="1:29" ht="12">
      <c r="A599" s="489" t="s">
        <v>11662</v>
      </c>
      <c r="B599" s="490" t="s">
        <v>11663</v>
      </c>
      <c r="C599" s="491"/>
      <c r="D599" s="492"/>
      <c r="E599" s="79"/>
      <c r="F599" s="63"/>
      <c r="G599" s="320"/>
      <c r="H599" s="79"/>
      <c r="I599" s="79"/>
      <c r="J599" s="79"/>
      <c r="K599" s="79"/>
      <c r="L599" s="70"/>
      <c r="M599" s="132"/>
      <c r="N599" s="79"/>
      <c r="O599" s="79"/>
      <c r="P599" s="79"/>
      <c r="Q599" s="136"/>
      <c r="R599" s="79"/>
      <c r="S599" s="79"/>
      <c r="T599" s="79"/>
      <c r="U599" s="79"/>
      <c r="V599" s="189"/>
      <c r="X599" s="79"/>
      <c r="Y599" s="79"/>
      <c r="Z599" s="79"/>
      <c r="AA599" s="255"/>
      <c r="AC599" s="254"/>
    </row>
    <row r="600" spans="1:29" ht="12">
      <c r="A600" s="67" t="s">
        <v>11664</v>
      </c>
      <c r="B600" s="65" t="s">
        <v>11665</v>
      </c>
      <c r="C600" s="71" t="s">
        <v>165</v>
      </c>
      <c r="D600" s="78">
        <v>1</v>
      </c>
      <c r="E600" s="79">
        <v>109.31</v>
      </c>
      <c r="F600" s="70">
        <v>109.31</v>
      </c>
      <c r="G600" s="320"/>
      <c r="H600" s="79">
        <v>97.350000000000009</v>
      </c>
      <c r="I600" s="79">
        <v>11.96</v>
      </c>
      <c r="J600" s="79">
        <v>109.31</v>
      </c>
      <c r="K600" s="79">
        <v>0</v>
      </c>
      <c r="L600" s="70">
        <v>109.31</v>
      </c>
      <c r="M600" s="132"/>
      <c r="N600" s="79">
        <v>97.350000000000009</v>
      </c>
      <c r="O600" s="79">
        <v>11.96</v>
      </c>
      <c r="P600" s="79">
        <v>109.31</v>
      </c>
      <c r="Q600" s="136"/>
      <c r="R600" s="79">
        <v>97.35</v>
      </c>
      <c r="S600" s="79">
        <v>11.96</v>
      </c>
      <c r="T600" s="79">
        <v>109.31</v>
      </c>
      <c r="U600" s="79">
        <v>0</v>
      </c>
      <c r="V600" s="189">
        <v>109.31</v>
      </c>
      <c r="X600" s="79">
        <v>97.35</v>
      </c>
      <c r="Y600" s="79">
        <v>11.96</v>
      </c>
      <c r="Z600" s="79">
        <v>109.31</v>
      </c>
      <c r="AA600" s="255">
        <v>0</v>
      </c>
      <c r="AC600" s="254"/>
    </row>
    <row r="601" spans="1:29" ht="12">
      <c r="A601" s="67" t="s">
        <v>11666</v>
      </c>
      <c r="B601" s="65" t="s">
        <v>11667</v>
      </c>
      <c r="C601" s="71" t="s">
        <v>165</v>
      </c>
      <c r="D601" s="78">
        <v>1</v>
      </c>
      <c r="E601" s="79">
        <v>130.48999999999998</v>
      </c>
      <c r="F601" s="70">
        <v>130.49</v>
      </c>
      <c r="G601" s="320"/>
      <c r="H601" s="79">
        <v>118.53</v>
      </c>
      <c r="I601" s="79">
        <v>11.96</v>
      </c>
      <c r="J601" s="79">
        <v>130.49</v>
      </c>
      <c r="K601" s="79">
        <v>0</v>
      </c>
      <c r="L601" s="70">
        <v>130.49</v>
      </c>
      <c r="M601" s="132"/>
      <c r="N601" s="79">
        <v>118.53</v>
      </c>
      <c r="O601" s="79">
        <v>11.96</v>
      </c>
      <c r="P601" s="79">
        <v>130.49</v>
      </c>
      <c r="Q601" s="136"/>
      <c r="R601" s="79">
        <v>118.53</v>
      </c>
      <c r="S601" s="79">
        <v>11.96</v>
      </c>
      <c r="T601" s="79">
        <v>130.49</v>
      </c>
      <c r="U601" s="79">
        <v>0</v>
      </c>
      <c r="V601" s="189">
        <v>130.49</v>
      </c>
      <c r="X601" s="79">
        <v>118.53</v>
      </c>
      <c r="Y601" s="79">
        <v>11.96</v>
      </c>
      <c r="Z601" s="79">
        <v>130.49</v>
      </c>
      <c r="AA601" s="255">
        <v>0</v>
      </c>
      <c r="AC601" s="254"/>
    </row>
    <row r="602" spans="1:29" ht="12">
      <c r="A602" s="67" t="s">
        <v>11668</v>
      </c>
      <c r="B602" s="65" t="s">
        <v>11669</v>
      </c>
      <c r="C602" s="71" t="s">
        <v>165</v>
      </c>
      <c r="D602" s="78">
        <v>1</v>
      </c>
      <c r="E602" s="79">
        <v>153.11999999999998</v>
      </c>
      <c r="F602" s="70">
        <v>153.12</v>
      </c>
      <c r="G602" s="320"/>
      <c r="H602" s="79">
        <v>141.15999999999997</v>
      </c>
      <c r="I602" s="79">
        <v>11.96</v>
      </c>
      <c r="J602" s="79">
        <v>153.11999999999998</v>
      </c>
      <c r="K602" s="79">
        <v>0</v>
      </c>
      <c r="L602" s="70">
        <v>153.11999999999998</v>
      </c>
      <c r="M602" s="132"/>
      <c r="N602" s="79">
        <v>141.15999999999997</v>
      </c>
      <c r="O602" s="79">
        <v>11.96</v>
      </c>
      <c r="P602" s="79">
        <v>153.11999999999998</v>
      </c>
      <c r="Q602" s="136"/>
      <c r="R602" s="79">
        <v>141.16</v>
      </c>
      <c r="S602" s="79">
        <v>11.96</v>
      </c>
      <c r="T602" s="79">
        <v>153.12</v>
      </c>
      <c r="U602" s="79">
        <v>0</v>
      </c>
      <c r="V602" s="189">
        <v>153.12</v>
      </c>
      <c r="X602" s="79">
        <v>141.16</v>
      </c>
      <c r="Y602" s="79">
        <v>11.96</v>
      </c>
      <c r="Z602" s="79">
        <v>153.12</v>
      </c>
      <c r="AA602" s="255">
        <v>0</v>
      </c>
      <c r="AC602" s="254"/>
    </row>
    <row r="603" spans="1:29" ht="12">
      <c r="A603" s="67" t="s">
        <v>11670</v>
      </c>
      <c r="B603" s="65" t="s">
        <v>11671</v>
      </c>
      <c r="C603" s="71" t="s">
        <v>165</v>
      </c>
      <c r="D603" s="78">
        <v>1</v>
      </c>
      <c r="E603" s="79">
        <v>176.35999999999999</v>
      </c>
      <c r="F603" s="70">
        <v>176.36</v>
      </c>
      <c r="G603" s="320"/>
      <c r="H603" s="79">
        <v>164.39999999999998</v>
      </c>
      <c r="I603" s="79">
        <v>11.96</v>
      </c>
      <c r="J603" s="79">
        <v>176.35999999999999</v>
      </c>
      <c r="K603" s="79">
        <v>0</v>
      </c>
      <c r="L603" s="70">
        <v>176.35999999999999</v>
      </c>
      <c r="M603" s="132"/>
      <c r="N603" s="79">
        <v>164.39999999999998</v>
      </c>
      <c r="O603" s="79">
        <v>11.96</v>
      </c>
      <c r="P603" s="79">
        <v>176.35999999999999</v>
      </c>
      <c r="Q603" s="136"/>
      <c r="R603" s="79">
        <v>164.4</v>
      </c>
      <c r="S603" s="79">
        <v>11.96</v>
      </c>
      <c r="T603" s="79">
        <v>176.36</v>
      </c>
      <c r="U603" s="79">
        <v>0</v>
      </c>
      <c r="V603" s="189">
        <v>176.36</v>
      </c>
      <c r="X603" s="79">
        <v>164.4</v>
      </c>
      <c r="Y603" s="79">
        <v>11.96</v>
      </c>
      <c r="Z603" s="79">
        <v>176.36</v>
      </c>
      <c r="AA603" s="255">
        <v>0</v>
      </c>
      <c r="AC603" s="254"/>
    </row>
    <row r="604" spans="1:29" ht="12">
      <c r="A604" s="67" t="s">
        <v>11672</v>
      </c>
      <c r="B604" s="65" t="s">
        <v>11673</v>
      </c>
      <c r="C604" s="71" t="s">
        <v>165</v>
      </c>
      <c r="D604" s="78">
        <v>1</v>
      </c>
      <c r="E604" s="79">
        <v>195.45</v>
      </c>
      <c r="F604" s="70">
        <v>195.45</v>
      </c>
      <c r="G604" s="320"/>
      <c r="H604" s="79">
        <v>183.48999999999998</v>
      </c>
      <c r="I604" s="79">
        <v>11.96</v>
      </c>
      <c r="J604" s="79">
        <v>195.45</v>
      </c>
      <c r="K604" s="79">
        <v>0</v>
      </c>
      <c r="L604" s="70">
        <v>195.45</v>
      </c>
      <c r="M604" s="132"/>
      <c r="N604" s="79">
        <v>183.48999999999998</v>
      </c>
      <c r="O604" s="79">
        <v>11.96</v>
      </c>
      <c r="P604" s="79">
        <v>195.45</v>
      </c>
      <c r="Q604" s="136"/>
      <c r="R604" s="79">
        <v>183.49</v>
      </c>
      <c r="S604" s="79">
        <v>11.96</v>
      </c>
      <c r="T604" s="79">
        <v>195.45000000000002</v>
      </c>
      <c r="U604" s="79">
        <v>0</v>
      </c>
      <c r="V604" s="189">
        <v>195.45000000000002</v>
      </c>
      <c r="X604" s="79">
        <v>183.49</v>
      </c>
      <c r="Y604" s="79">
        <v>11.96</v>
      </c>
      <c r="Z604" s="79">
        <v>195.45</v>
      </c>
      <c r="AA604" s="255">
        <v>0</v>
      </c>
      <c r="AC604" s="254"/>
    </row>
    <row r="605" spans="1:29" ht="12">
      <c r="A605" s="67" t="s">
        <v>11674</v>
      </c>
      <c r="B605" s="65" t="s">
        <v>11675</v>
      </c>
      <c r="C605" s="71" t="s">
        <v>165</v>
      </c>
      <c r="D605" s="78">
        <v>1</v>
      </c>
      <c r="E605" s="79">
        <v>232.64</v>
      </c>
      <c r="F605" s="70">
        <v>232.64</v>
      </c>
      <c r="G605" s="320"/>
      <c r="H605" s="79">
        <v>220.67999999999998</v>
      </c>
      <c r="I605" s="79">
        <v>11.96</v>
      </c>
      <c r="J605" s="79">
        <v>232.64</v>
      </c>
      <c r="K605" s="79">
        <v>0</v>
      </c>
      <c r="L605" s="70">
        <v>232.64</v>
      </c>
      <c r="M605" s="132"/>
      <c r="N605" s="79">
        <v>220.67999999999998</v>
      </c>
      <c r="O605" s="79">
        <v>11.96</v>
      </c>
      <c r="P605" s="79">
        <v>232.64</v>
      </c>
      <c r="Q605" s="136"/>
      <c r="R605" s="79">
        <v>220.68</v>
      </c>
      <c r="S605" s="79">
        <v>11.96</v>
      </c>
      <c r="T605" s="79">
        <v>232.64000000000001</v>
      </c>
      <c r="U605" s="79">
        <v>0</v>
      </c>
      <c r="V605" s="189">
        <v>232.64000000000001</v>
      </c>
      <c r="X605" s="79">
        <v>220.68</v>
      </c>
      <c r="Y605" s="79">
        <v>11.96</v>
      </c>
      <c r="Z605" s="79">
        <v>232.64</v>
      </c>
      <c r="AA605" s="255">
        <v>0</v>
      </c>
      <c r="AC605" s="254"/>
    </row>
    <row r="606" spans="1:29" ht="12">
      <c r="A606" s="489" t="s">
        <v>11676</v>
      </c>
      <c r="B606" s="490" t="s">
        <v>11677</v>
      </c>
      <c r="C606" s="491"/>
      <c r="D606" s="78"/>
      <c r="E606" s="79"/>
      <c r="F606" s="70"/>
      <c r="G606" s="320"/>
      <c r="H606" s="79"/>
      <c r="I606" s="79"/>
      <c r="J606" s="79"/>
      <c r="K606" s="79"/>
      <c r="L606" s="70"/>
      <c r="M606" s="132"/>
      <c r="N606" s="79"/>
      <c r="O606" s="79"/>
      <c r="P606" s="79"/>
      <c r="Q606" s="136"/>
      <c r="R606" s="79"/>
      <c r="S606" s="79"/>
      <c r="T606" s="79"/>
      <c r="U606" s="79"/>
      <c r="V606" s="189"/>
      <c r="X606" s="79"/>
      <c r="Y606" s="79"/>
      <c r="Z606" s="79"/>
      <c r="AA606" s="255"/>
      <c r="AC606" s="254"/>
    </row>
    <row r="607" spans="1:29" ht="24">
      <c r="A607" s="67" t="s">
        <v>11678</v>
      </c>
      <c r="B607" s="65" t="s">
        <v>791</v>
      </c>
      <c r="C607" s="71" t="s">
        <v>121</v>
      </c>
      <c r="D607" s="78">
        <v>1</v>
      </c>
      <c r="E607" s="79">
        <v>518.96</v>
      </c>
      <c r="F607" s="70">
        <v>518.96</v>
      </c>
      <c r="G607" s="320"/>
      <c r="H607" s="79">
        <v>430.84</v>
      </c>
      <c r="I607" s="79">
        <v>88.12</v>
      </c>
      <c r="J607" s="79">
        <v>518.96</v>
      </c>
      <c r="K607" s="79">
        <v>0</v>
      </c>
      <c r="L607" s="70">
        <v>518.96</v>
      </c>
      <c r="M607" s="132"/>
      <c r="N607" s="79">
        <v>430.84</v>
      </c>
      <c r="O607" s="79">
        <v>88.12</v>
      </c>
      <c r="P607" s="79">
        <v>518.96</v>
      </c>
      <c r="Q607" s="136"/>
      <c r="R607" s="79">
        <v>430.84</v>
      </c>
      <c r="S607" s="79">
        <v>88.13</v>
      </c>
      <c r="T607" s="79">
        <v>518.97</v>
      </c>
      <c r="U607" s="79">
        <v>0</v>
      </c>
      <c r="V607" s="189">
        <v>518.97</v>
      </c>
      <c r="X607" s="79">
        <v>430.84</v>
      </c>
      <c r="Y607" s="79">
        <v>88.13</v>
      </c>
      <c r="Z607" s="79">
        <v>518.97</v>
      </c>
      <c r="AA607" s="255">
        <v>-9.9999999999909051E-3</v>
      </c>
      <c r="AC607" s="254"/>
    </row>
    <row r="608" spans="1:29" ht="12">
      <c r="A608" s="489" t="s">
        <v>11679</v>
      </c>
      <c r="B608" s="490" t="s">
        <v>11680</v>
      </c>
      <c r="C608" s="491"/>
      <c r="D608" s="492"/>
      <c r="E608" s="79"/>
      <c r="F608" s="63"/>
      <c r="G608" s="320"/>
      <c r="H608" s="79"/>
      <c r="I608" s="79"/>
      <c r="J608" s="79"/>
      <c r="K608" s="79"/>
      <c r="L608" s="70"/>
      <c r="M608" s="132"/>
      <c r="N608" s="79"/>
      <c r="O608" s="79"/>
      <c r="P608" s="79"/>
      <c r="Q608" s="136"/>
      <c r="R608" s="79"/>
      <c r="S608" s="79"/>
      <c r="T608" s="79"/>
      <c r="U608" s="79"/>
      <c r="V608" s="189"/>
      <c r="X608" s="79"/>
      <c r="Y608" s="79"/>
      <c r="Z608" s="79"/>
      <c r="AA608" s="255"/>
      <c r="AC608" s="254"/>
    </row>
    <row r="609" spans="1:29" ht="12">
      <c r="A609" s="489" t="s">
        <v>11681</v>
      </c>
      <c r="B609" s="490" t="s">
        <v>11682</v>
      </c>
      <c r="C609" s="491"/>
      <c r="D609" s="492"/>
      <c r="E609" s="79"/>
      <c r="F609" s="63"/>
      <c r="G609" s="320"/>
      <c r="H609" s="79"/>
      <c r="I609" s="79"/>
      <c r="J609" s="79"/>
      <c r="K609" s="79"/>
      <c r="L609" s="70"/>
      <c r="M609" s="132"/>
      <c r="N609" s="79"/>
      <c r="O609" s="79"/>
      <c r="P609" s="79"/>
      <c r="Q609" s="136"/>
      <c r="R609" s="79"/>
      <c r="S609" s="79"/>
      <c r="T609" s="79"/>
      <c r="U609" s="79"/>
      <c r="V609" s="189"/>
      <c r="X609" s="79"/>
      <c r="Y609" s="79"/>
      <c r="Z609" s="79"/>
      <c r="AA609" s="255"/>
      <c r="AC609" s="254"/>
    </row>
    <row r="610" spans="1:29" ht="12">
      <c r="A610" s="67" t="s">
        <v>11683</v>
      </c>
      <c r="B610" s="65" t="s">
        <v>11684</v>
      </c>
      <c r="C610" s="71" t="s">
        <v>207</v>
      </c>
      <c r="D610" s="78">
        <v>1</v>
      </c>
      <c r="E610" s="79">
        <v>11.440000000000001</v>
      </c>
      <c r="F610" s="70">
        <v>11.44</v>
      </c>
      <c r="G610" s="320"/>
      <c r="H610" s="79">
        <v>8.5200000000000014</v>
      </c>
      <c r="I610" s="79">
        <v>2.92</v>
      </c>
      <c r="J610" s="79">
        <v>11.440000000000001</v>
      </c>
      <c r="K610" s="79">
        <v>0</v>
      </c>
      <c r="L610" s="70">
        <v>11.440000000000001</v>
      </c>
      <c r="M610" s="132"/>
      <c r="N610" s="79">
        <v>8.5200000000000014</v>
      </c>
      <c r="O610" s="79">
        <v>2.92</v>
      </c>
      <c r="P610" s="79">
        <v>11.440000000000001</v>
      </c>
      <c r="Q610" s="136"/>
      <c r="R610" s="79">
        <v>8.52</v>
      </c>
      <c r="S610" s="79">
        <v>2.93</v>
      </c>
      <c r="T610" s="79">
        <v>11.45</v>
      </c>
      <c r="U610" s="79">
        <v>0</v>
      </c>
      <c r="V610" s="189">
        <v>11.45</v>
      </c>
      <c r="X610" s="79">
        <v>8.52</v>
      </c>
      <c r="Y610" s="79">
        <v>2.93</v>
      </c>
      <c r="Z610" s="79">
        <v>11.45</v>
      </c>
      <c r="AA610" s="255">
        <v>-9.9999999999997868E-3</v>
      </c>
      <c r="AC610" s="254"/>
    </row>
    <row r="611" spans="1:29" ht="12">
      <c r="A611" s="67" t="s">
        <v>11685</v>
      </c>
      <c r="B611" s="65" t="s">
        <v>11686</v>
      </c>
      <c r="C611" s="71" t="s">
        <v>207</v>
      </c>
      <c r="D611" s="78">
        <v>1</v>
      </c>
      <c r="E611" s="79">
        <v>10.14</v>
      </c>
      <c r="F611" s="70">
        <v>10.14</v>
      </c>
      <c r="G611" s="320"/>
      <c r="H611" s="79">
        <v>7.22</v>
      </c>
      <c r="I611" s="79">
        <v>2.92</v>
      </c>
      <c r="J611" s="79">
        <v>10.14</v>
      </c>
      <c r="K611" s="79">
        <v>0</v>
      </c>
      <c r="L611" s="70">
        <v>10.14</v>
      </c>
      <c r="M611" s="132"/>
      <c r="N611" s="79">
        <v>7.22</v>
      </c>
      <c r="O611" s="79">
        <v>2.92</v>
      </c>
      <c r="P611" s="79">
        <v>10.14</v>
      </c>
      <c r="Q611" s="136"/>
      <c r="R611" s="79">
        <v>7.22</v>
      </c>
      <c r="S611" s="79">
        <v>2.93</v>
      </c>
      <c r="T611" s="79">
        <v>10.15</v>
      </c>
      <c r="U611" s="79">
        <v>0</v>
      </c>
      <c r="V611" s="189">
        <v>10.15</v>
      </c>
      <c r="X611" s="79">
        <v>7.22</v>
      </c>
      <c r="Y611" s="79">
        <v>2.93</v>
      </c>
      <c r="Z611" s="79">
        <v>10.15</v>
      </c>
      <c r="AA611" s="255">
        <v>-9.9999999999997868E-3</v>
      </c>
      <c r="AC611" s="254"/>
    </row>
    <row r="612" spans="1:29" ht="12">
      <c r="A612" s="67" t="s">
        <v>11687</v>
      </c>
      <c r="B612" s="65" t="s">
        <v>11688</v>
      </c>
      <c r="C612" s="71" t="s">
        <v>207</v>
      </c>
      <c r="D612" s="78">
        <v>1</v>
      </c>
      <c r="E612" s="79">
        <v>10.790000000000001</v>
      </c>
      <c r="F612" s="70">
        <v>10.79</v>
      </c>
      <c r="G612" s="320"/>
      <c r="H612" s="79">
        <v>7.87</v>
      </c>
      <c r="I612" s="79">
        <v>2.92</v>
      </c>
      <c r="J612" s="79">
        <v>10.79</v>
      </c>
      <c r="K612" s="79">
        <v>0</v>
      </c>
      <c r="L612" s="70">
        <v>10.79</v>
      </c>
      <c r="M612" s="132"/>
      <c r="N612" s="79">
        <v>7.87</v>
      </c>
      <c r="O612" s="79">
        <v>2.92</v>
      </c>
      <c r="P612" s="79">
        <v>10.79</v>
      </c>
      <c r="Q612" s="136"/>
      <c r="R612" s="79">
        <v>7.87</v>
      </c>
      <c r="S612" s="79">
        <v>2.93</v>
      </c>
      <c r="T612" s="79">
        <v>10.8</v>
      </c>
      <c r="U612" s="79">
        <v>0</v>
      </c>
      <c r="V612" s="189">
        <v>10.8</v>
      </c>
      <c r="X612" s="79">
        <v>7.87</v>
      </c>
      <c r="Y612" s="79">
        <v>2.93</v>
      </c>
      <c r="Z612" s="79">
        <v>10.8</v>
      </c>
      <c r="AA612" s="255">
        <v>-1.0000000000001563E-2</v>
      </c>
      <c r="AC612" s="254"/>
    </row>
    <row r="613" spans="1:29" ht="12">
      <c r="A613" s="489" t="s">
        <v>11689</v>
      </c>
      <c r="B613" s="490" t="s">
        <v>11690</v>
      </c>
      <c r="C613" s="491"/>
      <c r="D613" s="492"/>
      <c r="E613" s="79"/>
      <c r="F613" s="63"/>
      <c r="G613" s="320"/>
      <c r="H613" s="79"/>
      <c r="I613" s="79"/>
      <c r="J613" s="79"/>
      <c r="K613" s="79"/>
      <c r="L613" s="70"/>
      <c r="M613" s="132"/>
      <c r="N613" s="79"/>
      <c r="O613" s="79"/>
      <c r="P613" s="79"/>
      <c r="Q613" s="136"/>
      <c r="R613" s="79"/>
      <c r="S613" s="79"/>
      <c r="T613" s="79"/>
      <c r="U613" s="79"/>
      <c r="V613" s="189"/>
      <c r="X613" s="79"/>
      <c r="Y613" s="79"/>
      <c r="Z613" s="79"/>
      <c r="AA613" s="255"/>
      <c r="AC613" s="254"/>
    </row>
    <row r="614" spans="1:29" ht="12">
      <c r="A614" s="67" t="s">
        <v>11691</v>
      </c>
      <c r="B614" s="65" t="s">
        <v>11692</v>
      </c>
      <c r="C614" s="71" t="s">
        <v>207</v>
      </c>
      <c r="D614" s="78">
        <v>1</v>
      </c>
      <c r="E614" s="79">
        <v>9.83</v>
      </c>
      <c r="F614" s="70">
        <v>9.83</v>
      </c>
      <c r="G614" s="320"/>
      <c r="H614" s="79">
        <v>8.3699999999999992</v>
      </c>
      <c r="I614" s="79">
        <v>1.46</v>
      </c>
      <c r="J614" s="79">
        <v>9.8299999999999983</v>
      </c>
      <c r="K614" s="79">
        <v>0</v>
      </c>
      <c r="L614" s="70">
        <v>9.8299999999999983</v>
      </c>
      <c r="M614" s="132"/>
      <c r="N614" s="79">
        <v>8.3699999999999992</v>
      </c>
      <c r="O614" s="79">
        <v>1.46</v>
      </c>
      <c r="P614" s="79">
        <v>9.8299999999999983</v>
      </c>
      <c r="Q614" s="136"/>
      <c r="R614" s="79">
        <v>8.3699999999999992</v>
      </c>
      <c r="S614" s="79">
        <v>1.46</v>
      </c>
      <c r="T614" s="79">
        <v>9.8299999999999983</v>
      </c>
      <c r="U614" s="79">
        <v>0</v>
      </c>
      <c r="V614" s="189">
        <v>9.8299999999999983</v>
      </c>
      <c r="X614" s="79">
        <v>8.3699999999999992</v>
      </c>
      <c r="Y614" s="79">
        <v>1.46</v>
      </c>
      <c r="Z614" s="79">
        <v>9.83</v>
      </c>
      <c r="AA614" s="255">
        <v>0</v>
      </c>
      <c r="AC614" s="254"/>
    </row>
    <row r="615" spans="1:29" ht="12">
      <c r="A615" s="67" t="s">
        <v>11693</v>
      </c>
      <c r="B615" s="65" t="s">
        <v>11694</v>
      </c>
      <c r="C615" s="71"/>
      <c r="D615" s="78"/>
      <c r="E615" s="79"/>
      <c r="F615" s="70"/>
      <c r="G615" s="320"/>
      <c r="H615" s="79"/>
      <c r="I615" s="79"/>
      <c r="J615" s="79"/>
      <c r="K615" s="79"/>
      <c r="L615" s="70"/>
      <c r="M615" s="132"/>
      <c r="N615" s="79"/>
      <c r="O615" s="79"/>
      <c r="P615" s="79"/>
      <c r="Q615" s="136"/>
      <c r="R615" s="79"/>
      <c r="S615" s="79"/>
      <c r="T615" s="79"/>
      <c r="U615" s="79"/>
      <c r="V615" s="189"/>
      <c r="X615" s="79"/>
      <c r="Y615" s="79"/>
      <c r="Z615" s="79"/>
      <c r="AA615" s="255"/>
      <c r="AC615" s="254"/>
    </row>
    <row r="616" spans="1:29" ht="12">
      <c r="A616" s="67" t="s">
        <v>11695</v>
      </c>
      <c r="B616" s="65" t="s">
        <v>11696</v>
      </c>
      <c r="C616" s="71" t="s">
        <v>207</v>
      </c>
      <c r="D616" s="78">
        <v>1</v>
      </c>
      <c r="E616" s="79">
        <v>60.33</v>
      </c>
      <c r="F616" s="70">
        <v>60.33</v>
      </c>
      <c r="G616" s="320"/>
      <c r="H616" s="79">
        <v>45.65</v>
      </c>
      <c r="I616" s="79">
        <v>14.68</v>
      </c>
      <c r="J616" s="79">
        <v>60.33</v>
      </c>
      <c r="K616" s="79">
        <v>0</v>
      </c>
      <c r="L616" s="70">
        <v>60.33</v>
      </c>
      <c r="M616" s="132"/>
      <c r="N616" s="79">
        <v>45.65</v>
      </c>
      <c r="O616" s="79">
        <v>14.68</v>
      </c>
      <c r="P616" s="79">
        <v>60.33</v>
      </c>
      <c r="Q616" s="136"/>
      <c r="R616" s="79">
        <v>45.65</v>
      </c>
      <c r="S616" s="79">
        <v>14.67</v>
      </c>
      <c r="T616" s="79">
        <v>60.32</v>
      </c>
      <c r="U616" s="79">
        <v>0</v>
      </c>
      <c r="V616" s="189">
        <v>60.32</v>
      </c>
      <c r="X616" s="79">
        <v>45.65</v>
      </c>
      <c r="Y616" s="79">
        <v>14.67</v>
      </c>
      <c r="Z616" s="79">
        <v>60.32</v>
      </c>
      <c r="AA616" s="255">
        <v>9.9999999999980105E-3</v>
      </c>
      <c r="AC616" s="254"/>
    </row>
    <row r="617" spans="1:29" ht="12">
      <c r="A617" s="489" t="s">
        <v>11697</v>
      </c>
      <c r="B617" s="490" t="s">
        <v>11698</v>
      </c>
      <c r="C617" s="491"/>
      <c r="D617" s="492"/>
      <c r="E617" s="79"/>
      <c r="F617" s="63"/>
      <c r="G617" s="320"/>
      <c r="H617" s="79"/>
      <c r="I617" s="79"/>
      <c r="J617" s="79"/>
      <c r="K617" s="79"/>
      <c r="L617" s="70"/>
      <c r="M617" s="132"/>
      <c r="N617" s="79"/>
      <c r="O617" s="79"/>
      <c r="P617" s="79"/>
      <c r="Q617" s="136"/>
      <c r="R617" s="79"/>
      <c r="S617" s="79"/>
      <c r="T617" s="79"/>
      <c r="U617" s="79"/>
      <c r="V617" s="189"/>
      <c r="X617" s="79"/>
      <c r="Y617" s="79"/>
      <c r="Z617" s="79"/>
      <c r="AA617" s="255"/>
      <c r="AC617" s="254"/>
    </row>
    <row r="618" spans="1:29" ht="12">
      <c r="A618" s="489" t="s">
        <v>11699</v>
      </c>
      <c r="B618" s="490" t="s">
        <v>11700</v>
      </c>
      <c r="C618" s="491"/>
      <c r="D618" s="492"/>
      <c r="E618" s="79"/>
      <c r="F618" s="63"/>
      <c r="G618" s="320"/>
      <c r="H618" s="79"/>
      <c r="I618" s="79"/>
      <c r="J618" s="79"/>
      <c r="K618" s="79"/>
      <c r="L618" s="70"/>
      <c r="M618" s="132"/>
      <c r="N618" s="79"/>
      <c r="O618" s="79"/>
      <c r="P618" s="79"/>
      <c r="Q618" s="136"/>
      <c r="R618" s="79"/>
      <c r="S618" s="79"/>
      <c r="T618" s="79"/>
      <c r="U618" s="79"/>
      <c r="V618" s="189"/>
      <c r="X618" s="79"/>
      <c r="Y618" s="79"/>
      <c r="Z618" s="79"/>
      <c r="AA618" s="255"/>
      <c r="AC618" s="254"/>
    </row>
    <row r="619" spans="1:29" ht="12">
      <c r="A619" s="67" t="s">
        <v>11701</v>
      </c>
      <c r="B619" s="65" t="s">
        <v>11702</v>
      </c>
      <c r="C619" s="71" t="s">
        <v>121</v>
      </c>
      <c r="D619" s="78">
        <v>1</v>
      </c>
      <c r="E619" s="79">
        <v>493.41</v>
      </c>
      <c r="F619" s="70">
        <v>493.41</v>
      </c>
      <c r="G619" s="320"/>
      <c r="H619" s="79">
        <v>493.41</v>
      </c>
      <c r="I619" s="79">
        <v>0</v>
      </c>
      <c r="J619" s="79">
        <v>493.41</v>
      </c>
      <c r="K619" s="79">
        <v>0</v>
      </c>
      <c r="L619" s="70">
        <v>493.41</v>
      </c>
      <c r="M619" s="132"/>
      <c r="N619" s="79">
        <v>493.41</v>
      </c>
      <c r="O619" s="79"/>
      <c r="P619" s="79">
        <v>493.41</v>
      </c>
      <c r="Q619" s="136"/>
      <c r="R619" s="79">
        <v>493.41</v>
      </c>
      <c r="S619" s="79"/>
      <c r="T619" s="79">
        <v>493.41</v>
      </c>
      <c r="U619" s="79">
        <v>0</v>
      </c>
      <c r="V619" s="189">
        <v>493.41</v>
      </c>
      <c r="X619" s="79">
        <v>493.41</v>
      </c>
      <c r="Y619" s="79"/>
      <c r="Z619" s="79">
        <v>493.41</v>
      </c>
      <c r="AA619" s="255">
        <v>0</v>
      </c>
      <c r="AC619" s="254"/>
    </row>
    <row r="620" spans="1:29" ht="12">
      <c r="A620" s="67" t="s">
        <v>11703</v>
      </c>
      <c r="B620" s="65" t="s">
        <v>11704</v>
      </c>
      <c r="C620" s="71" t="s">
        <v>121</v>
      </c>
      <c r="D620" s="78">
        <v>1</v>
      </c>
      <c r="E620" s="79">
        <v>516.96</v>
      </c>
      <c r="F620" s="70">
        <v>516.96</v>
      </c>
      <c r="G620" s="320"/>
      <c r="H620" s="79">
        <v>516.96</v>
      </c>
      <c r="I620" s="79">
        <v>0</v>
      </c>
      <c r="J620" s="79">
        <v>516.96</v>
      </c>
      <c r="K620" s="79">
        <v>0</v>
      </c>
      <c r="L620" s="70">
        <v>516.96</v>
      </c>
      <c r="M620" s="132"/>
      <c r="N620" s="79">
        <v>516.96</v>
      </c>
      <c r="O620" s="79"/>
      <c r="P620" s="79">
        <v>516.96</v>
      </c>
      <c r="Q620" s="136"/>
      <c r="R620" s="79">
        <v>516.96</v>
      </c>
      <c r="S620" s="79"/>
      <c r="T620" s="79">
        <v>516.96</v>
      </c>
      <c r="U620" s="79">
        <v>0</v>
      </c>
      <c r="V620" s="189">
        <v>516.96</v>
      </c>
      <c r="X620" s="79">
        <v>516.96</v>
      </c>
      <c r="Y620" s="79"/>
      <c r="Z620" s="79">
        <v>516.96</v>
      </c>
      <c r="AA620" s="255">
        <v>0</v>
      </c>
      <c r="AC620" s="254"/>
    </row>
    <row r="621" spans="1:29" s="61" customFormat="1" ht="12">
      <c r="A621" s="67" t="s">
        <v>11705</v>
      </c>
      <c r="B621" s="65" t="s">
        <v>11706</v>
      </c>
      <c r="C621" s="71" t="s">
        <v>121</v>
      </c>
      <c r="D621" s="78">
        <v>1</v>
      </c>
      <c r="E621" s="79">
        <v>541.64</v>
      </c>
      <c r="F621" s="70">
        <v>541.64</v>
      </c>
      <c r="G621" s="320"/>
      <c r="H621" s="79">
        <v>541.64</v>
      </c>
      <c r="I621" s="79">
        <v>0</v>
      </c>
      <c r="J621" s="79">
        <v>541.64</v>
      </c>
      <c r="K621" s="79">
        <v>0</v>
      </c>
      <c r="L621" s="70">
        <v>541.64</v>
      </c>
      <c r="M621" s="132"/>
      <c r="N621" s="79">
        <v>541.64</v>
      </c>
      <c r="O621" s="79"/>
      <c r="P621" s="79">
        <v>541.64</v>
      </c>
      <c r="Q621" s="136"/>
      <c r="R621" s="79">
        <v>541.64</v>
      </c>
      <c r="S621" s="79"/>
      <c r="T621" s="79">
        <v>541.64</v>
      </c>
      <c r="U621" s="79">
        <v>0</v>
      </c>
      <c r="V621" s="189">
        <v>541.64</v>
      </c>
      <c r="X621" s="79">
        <v>541.64</v>
      </c>
      <c r="Y621" s="79"/>
      <c r="Z621" s="79">
        <v>541.64</v>
      </c>
      <c r="AA621" s="255">
        <v>0</v>
      </c>
      <c r="AC621" s="254"/>
    </row>
    <row r="622" spans="1:29" s="61" customFormat="1" ht="12">
      <c r="A622" s="67" t="s">
        <v>11707</v>
      </c>
      <c r="B622" s="65" t="s">
        <v>11708</v>
      </c>
      <c r="C622" s="71" t="s">
        <v>121</v>
      </c>
      <c r="D622" s="78">
        <v>1</v>
      </c>
      <c r="E622" s="79">
        <v>567.49</v>
      </c>
      <c r="F622" s="70">
        <v>567.49</v>
      </c>
      <c r="G622" s="320"/>
      <c r="H622" s="79">
        <v>567.49</v>
      </c>
      <c r="I622" s="79">
        <v>0</v>
      </c>
      <c r="J622" s="79">
        <v>567.49</v>
      </c>
      <c r="K622" s="79">
        <v>0</v>
      </c>
      <c r="L622" s="70">
        <v>567.49</v>
      </c>
      <c r="M622" s="132"/>
      <c r="N622" s="79">
        <v>567.49</v>
      </c>
      <c r="O622" s="79"/>
      <c r="P622" s="79">
        <v>567.49</v>
      </c>
      <c r="Q622" s="136"/>
      <c r="R622" s="79">
        <v>567.49</v>
      </c>
      <c r="S622" s="79"/>
      <c r="T622" s="79">
        <v>567.49</v>
      </c>
      <c r="U622" s="79">
        <v>0</v>
      </c>
      <c r="V622" s="189">
        <v>567.49</v>
      </c>
      <c r="X622" s="79">
        <v>567.49</v>
      </c>
      <c r="Y622" s="79"/>
      <c r="Z622" s="79">
        <v>567.49</v>
      </c>
      <c r="AA622" s="255">
        <v>0</v>
      </c>
      <c r="AC622" s="254"/>
    </row>
    <row r="623" spans="1:29" s="61" customFormat="1" ht="12">
      <c r="A623" s="67" t="s">
        <v>11709</v>
      </c>
      <c r="B623" s="65" t="s">
        <v>11710</v>
      </c>
      <c r="C623" s="71" t="s">
        <v>121</v>
      </c>
      <c r="D623" s="78">
        <v>1</v>
      </c>
      <c r="E623" s="79">
        <v>594.58000000000004</v>
      </c>
      <c r="F623" s="70">
        <v>594.58000000000004</v>
      </c>
      <c r="G623" s="320"/>
      <c r="H623" s="79">
        <v>594.58000000000004</v>
      </c>
      <c r="I623" s="79">
        <v>0</v>
      </c>
      <c r="J623" s="79">
        <v>594.58000000000004</v>
      </c>
      <c r="K623" s="79">
        <v>0</v>
      </c>
      <c r="L623" s="70">
        <v>594.58000000000004</v>
      </c>
      <c r="M623" s="132"/>
      <c r="N623" s="79">
        <v>594.58000000000004</v>
      </c>
      <c r="O623" s="79"/>
      <c r="P623" s="79">
        <v>594.58000000000004</v>
      </c>
      <c r="Q623" s="136"/>
      <c r="R623" s="79">
        <v>594.58000000000004</v>
      </c>
      <c r="S623" s="79"/>
      <c r="T623" s="79">
        <v>594.58000000000004</v>
      </c>
      <c r="U623" s="79">
        <v>0</v>
      </c>
      <c r="V623" s="189">
        <v>594.58000000000004</v>
      </c>
      <c r="X623" s="79">
        <v>594.58000000000004</v>
      </c>
      <c r="Y623" s="79"/>
      <c r="Z623" s="79">
        <v>594.58000000000004</v>
      </c>
      <c r="AA623" s="255">
        <v>0</v>
      </c>
      <c r="AC623" s="254"/>
    </row>
    <row r="624" spans="1:29" s="61" customFormat="1" ht="12">
      <c r="A624" s="67" t="s">
        <v>11711</v>
      </c>
      <c r="B624" s="65" t="s">
        <v>11712</v>
      </c>
      <c r="C624" s="71" t="s">
        <v>121</v>
      </c>
      <c r="D624" s="78">
        <v>1</v>
      </c>
      <c r="E624" s="79">
        <v>553.04</v>
      </c>
      <c r="F624" s="70">
        <v>553.04</v>
      </c>
      <c r="G624" s="320"/>
      <c r="H624" s="79">
        <v>553.04</v>
      </c>
      <c r="I624" s="79">
        <v>0</v>
      </c>
      <c r="J624" s="79">
        <v>553.04</v>
      </c>
      <c r="K624" s="79">
        <v>0</v>
      </c>
      <c r="L624" s="70">
        <v>553.04</v>
      </c>
      <c r="M624" s="132"/>
      <c r="N624" s="79">
        <v>553.04</v>
      </c>
      <c r="O624" s="79"/>
      <c r="P624" s="79">
        <v>553.04</v>
      </c>
      <c r="Q624" s="136"/>
      <c r="R624" s="79">
        <v>553.04</v>
      </c>
      <c r="S624" s="79"/>
      <c r="T624" s="79">
        <v>553.04</v>
      </c>
      <c r="U624" s="79">
        <v>0</v>
      </c>
      <c r="V624" s="189">
        <v>553.04</v>
      </c>
      <c r="X624" s="79">
        <v>553.04</v>
      </c>
      <c r="Y624" s="79"/>
      <c r="Z624" s="79">
        <v>553.04</v>
      </c>
      <c r="AA624" s="255">
        <v>0</v>
      </c>
      <c r="AC624" s="254"/>
    </row>
    <row r="625" spans="1:29" s="61" customFormat="1" ht="12">
      <c r="A625" s="67" t="s">
        <v>11713</v>
      </c>
      <c r="B625" s="65" t="s">
        <v>11714</v>
      </c>
      <c r="C625" s="71" t="s">
        <v>121</v>
      </c>
      <c r="D625" s="78">
        <v>1</v>
      </c>
      <c r="E625" s="79">
        <v>574.14</v>
      </c>
      <c r="F625" s="70">
        <v>574.14</v>
      </c>
      <c r="G625" s="320"/>
      <c r="H625" s="79">
        <v>574.14</v>
      </c>
      <c r="I625" s="79">
        <v>0</v>
      </c>
      <c r="J625" s="79">
        <v>574.14</v>
      </c>
      <c r="K625" s="79">
        <v>0</v>
      </c>
      <c r="L625" s="70">
        <v>574.14</v>
      </c>
      <c r="M625" s="132"/>
      <c r="N625" s="79">
        <v>574.14</v>
      </c>
      <c r="O625" s="79"/>
      <c r="P625" s="79">
        <v>574.14</v>
      </c>
      <c r="Q625" s="136"/>
      <c r="R625" s="79">
        <v>574.14</v>
      </c>
      <c r="S625" s="79"/>
      <c r="T625" s="79">
        <v>574.14</v>
      </c>
      <c r="U625" s="79">
        <v>0</v>
      </c>
      <c r="V625" s="189">
        <v>574.14</v>
      </c>
      <c r="X625" s="79">
        <v>574.14</v>
      </c>
      <c r="Y625" s="79"/>
      <c r="Z625" s="79">
        <v>574.14</v>
      </c>
      <c r="AA625" s="255">
        <v>0</v>
      </c>
      <c r="AC625" s="254"/>
    </row>
    <row r="626" spans="1:29" s="61" customFormat="1" ht="12">
      <c r="A626" s="67" t="s">
        <v>11715</v>
      </c>
      <c r="B626" s="65" t="s">
        <v>11716</v>
      </c>
      <c r="C626" s="71" t="s">
        <v>121</v>
      </c>
      <c r="D626" s="78">
        <v>1</v>
      </c>
      <c r="E626" s="79">
        <v>598.41999999999996</v>
      </c>
      <c r="F626" s="70">
        <v>598.41999999999996</v>
      </c>
      <c r="G626" s="320"/>
      <c r="H626" s="79">
        <v>598.41999999999996</v>
      </c>
      <c r="I626" s="79">
        <v>0</v>
      </c>
      <c r="J626" s="79">
        <v>598.41999999999996</v>
      </c>
      <c r="K626" s="79">
        <v>0</v>
      </c>
      <c r="L626" s="70">
        <v>598.41999999999996</v>
      </c>
      <c r="M626" s="132"/>
      <c r="N626" s="79">
        <v>598.41999999999996</v>
      </c>
      <c r="O626" s="79"/>
      <c r="P626" s="79">
        <v>598.41999999999996</v>
      </c>
      <c r="Q626" s="136"/>
      <c r="R626" s="79">
        <v>598.41999999999996</v>
      </c>
      <c r="S626" s="79"/>
      <c r="T626" s="79">
        <v>598.41999999999996</v>
      </c>
      <c r="U626" s="79">
        <v>0</v>
      </c>
      <c r="V626" s="189">
        <v>598.41999999999996</v>
      </c>
      <c r="X626" s="79">
        <v>598.41999999999996</v>
      </c>
      <c r="Y626" s="79"/>
      <c r="Z626" s="79">
        <v>598.41999999999996</v>
      </c>
      <c r="AA626" s="255">
        <v>0</v>
      </c>
      <c r="AC626" s="254"/>
    </row>
    <row r="627" spans="1:29" s="61" customFormat="1" ht="12">
      <c r="A627" s="67" t="s">
        <v>11717</v>
      </c>
      <c r="B627" s="65" t="s">
        <v>11718</v>
      </c>
      <c r="C627" s="71" t="s">
        <v>121</v>
      </c>
      <c r="D627" s="78">
        <v>1</v>
      </c>
      <c r="E627" s="79">
        <v>623.86</v>
      </c>
      <c r="F627" s="70">
        <v>623.86</v>
      </c>
      <c r="G627" s="320"/>
      <c r="H627" s="79">
        <v>623.86</v>
      </c>
      <c r="I627" s="79">
        <v>0</v>
      </c>
      <c r="J627" s="79">
        <v>623.86</v>
      </c>
      <c r="K627" s="79">
        <v>0</v>
      </c>
      <c r="L627" s="70">
        <v>623.86</v>
      </c>
      <c r="M627" s="132"/>
      <c r="N627" s="79">
        <v>623.86</v>
      </c>
      <c r="O627" s="79"/>
      <c r="P627" s="79">
        <v>623.86</v>
      </c>
      <c r="Q627" s="136"/>
      <c r="R627" s="79">
        <v>623.86</v>
      </c>
      <c r="S627" s="79"/>
      <c r="T627" s="79">
        <v>623.86</v>
      </c>
      <c r="U627" s="79">
        <v>0</v>
      </c>
      <c r="V627" s="189">
        <v>623.86</v>
      </c>
      <c r="X627" s="79">
        <v>623.86</v>
      </c>
      <c r="Y627" s="79"/>
      <c r="Z627" s="79">
        <v>623.86</v>
      </c>
      <c r="AA627" s="255">
        <v>0</v>
      </c>
      <c r="AC627" s="254"/>
    </row>
    <row r="628" spans="1:29" s="61" customFormat="1" ht="12">
      <c r="A628" s="67" t="s">
        <v>11719</v>
      </c>
      <c r="B628" s="65" t="s">
        <v>11720</v>
      </c>
      <c r="C628" s="71" t="s">
        <v>121</v>
      </c>
      <c r="D628" s="78">
        <v>1</v>
      </c>
      <c r="E628" s="79">
        <v>653</v>
      </c>
      <c r="F628" s="70">
        <v>653</v>
      </c>
      <c r="G628" s="320"/>
      <c r="H628" s="79">
        <v>653</v>
      </c>
      <c r="I628" s="79">
        <v>0</v>
      </c>
      <c r="J628" s="79">
        <v>653</v>
      </c>
      <c r="K628" s="79">
        <v>0</v>
      </c>
      <c r="L628" s="70">
        <v>653</v>
      </c>
      <c r="M628" s="132"/>
      <c r="N628" s="79">
        <v>653</v>
      </c>
      <c r="O628" s="79"/>
      <c r="P628" s="79">
        <v>653</v>
      </c>
      <c r="Q628" s="136"/>
      <c r="R628" s="79">
        <v>653</v>
      </c>
      <c r="S628" s="79"/>
      <c r="T628" s="79">
        <v>653</v>
      </c>
      <c r="U628" s="79">
        <v>0</v>
      </c>
      <c r="V628" s="189">
        <v>653</v>
      </c>
      <c r="X628" s="79">
        <v>653</v>
      </c>
      <c r="Y628" s="79"/>
      <c r="Z628" s="79">
        <v>653</v>
      </c>
      <c r="AA628" s="255">
        <v>0</v>
      </c>
      <c r="AC628" s="254"/>
    </row>
    <row r="629" spans="1:29" s="61" customFormat="1" ht="12">
      <c r="A629" s="67" t="s">
        <v>11721</v>
      </c>
      <c r="B629" s="496" t="s">
        <v>11722</v>
      </c>
      <c r="C629" s="71" t="s">
        <v>121</v>
      </c>
      <c r="D629" s="78">
        <v>1</v>
      </c>
      <c r="E629" s="79">
        <v>625.49</v>
      </c>
      <c r="F629" s="70">
        <v>625.49</v>
      </c>
      <c r="G629" s="320"/>
      <c r="H629" s="79">
        <v>625.49</v>
      </c>
      <c r="I629" s="79">
        <v>0</v>
      </c>
      <c r="J629" s="79">
        <v>625.49</v>
      </c>
      <c r="K629" s="79">
        <v>0</v>
      </c>
      <c r="L629" s="70">
        <v>625.49</v>
      </c>
      <c r="M629" s="132"/>
      <c r="N629" s="79">
        <v>625.49</v>
      </c>
      <c r="O629" s="79"/>
      <c r="P629" s="79">
        <v>625.49</v>
      </c>
      <c r="Q629" s="136"/>
      <c r="R629" s="79">
        <v>625.49</v>
      </c>
      <c r="S629" s="79"/>
      <c r="T629" s="79">
        <v>625.49</v>
      </c>
      <c r="U629" s="79">
        <v>0</v>
      </c>
      <c r="V629" s="189">
        <v>625.49</v>
      </c>
      <c r="X629" s="79">
        <v>625.49</v>
      </c>
      <c r="Y629" s="79"/>
      <c r="Z629" s="79">
        <v>625.49</v>
      </c>
      <c r="AA629" s="255">
        <v>0</v>
      </c>
      <c r="AC629" s="254"/>
    </row>
    <row r="630" spans="1:29" s="61" customFormat="1" ht="12">
      <c r="A630" s="67" t="s">
        <v>11723</v>
      </c>
      <c r="B630" s="496" t="s">
        <v>11724</v>
      </c>
      <c r="C630" s="71" t="s">
        <v>121</v>
      </c>
      <c r="D630" s="78">
        <v>1</v>
      </c>
      <c r="E630" s="79">
        <v>548.14</v>
      </c>
      <c r="F630" s="70">
        <v>548.14</v>
      </c>
      <c r="G630" s="320"/>
      <c r="H630" s="79">
        <v>548.14</v>
      </c>
      <c r="I630" s="79">
        <v>0</v>
      </c>
      <c r="J630" s="79">
        <v>548.14</v>
      </c>
      <c r="K630" s="79">
        <v>0</v>
      </c>
      <c r="L630" s="70">
        <v>548.14</v>
      </c>
      <c r="M630" s="132"/>
      <c r="N630" s="79">
        <v>548.14</v>
      </c>
      <c r="O630" s="79"/>
      <c r="P630" s="79">
        <v>548.14</v>
      </c>
      <c r="Q630" s="136"/>
      <c r="R630" s="79">
        <v>548.14</v>
      </c>
      <c r="S630" s="79"/>
      <c r="T630" s="79">
        <v>548.14</v>
      </c>
      <c r="U630" s="79"/>
      <c r="V630" s="189">
        <v>548.14</v>
      </c>
      <c r="X630" s="79">
        <v>548.14</v>
      </c>
      <c r="Y630" s="79"/>
      <c r="Z630" s="79">
        <v>548.14</v>
      </c>
      <c r="AA630" s="255">
        <v>0</v>
      </c>
      <c r="AC630" s="254"/>
    </row>
    <row r="631" spans="1:29" ht="12">
      <c r="A631" s="67" t="s">
        <v>11725</v>
      </c>
      <c r="B631" s="65" t="s">
        <v>11726</v>
      </c>
      <c r="C631" s="71" t="s">
        <v>121</v>
      </c>
      <c r="D631" s="78">
        <v>1</v>
      </c>
      <c r="E631" s="79">
        <v>622.16999999999996</v>
      </c>
      <c r="F631" s="70">
        <v>622.16999999999996</v>
      </c>
      <c r="G631" s="320"/>
      <c r="H631" s="79">
        <v>622.16999999999996</v>
      </c>
      <c r="I631" s="79">
        <v>0</v>
      </c>
      <c r="J631" s="79">
        <v>622.16999999999996</v>
      </c>
      <c r="K631" s="79">
        <v>0</v>
      </c>
      <c r="L631" s="70">
        <v>622.16999999999996</v>
      </c>
      <c r="M631" s="132"/>
      <c r="N631" s="79">
        <v>622.16999999999996</v>
      </c>
      <c r="O631" s="79"/>
      <c r="P631" s="79">
        <v>622.16999999999996</v>
      </c>
      <c r="Q631" s="136"/>
      <c r="R631" s="79">
        <v>622.16999999999996</v>
      </c>
      <c r="S631" s="79"/>
      <c r="T631" s="79">
        <v>622.16999999999996</v>
      </c>
      <c r="U631" s="79">
        <v>0</v>
      </c>
      <c r="V631" s="189">
        <v>622.16999999999996</v>
      </c>
      <c r="X631" s="79">
        <v>622.16999999999996</v>
      </c>
      <c r="Y631" s="79"/>
      <c r="Z631" s="79">
        <v>622.16999999999996</v>
      </c>
      <c r="AA631" s="255">
        <v>0</v>
      </c>
      <c r="AC631" s="254"/>
    </row>
    <row r="632" spans="1:29" ht="12">
      <c r="A632" s="489" t="s">
        <v>11727</v>
      </c>
      <c r="B632" s="490" t="s">
        <v>11728</v>
      </c>
      <c r="C632" s="491"/>
      <c r="D632" s="492"/>
      <c r="E632" s="79"/>
      <c r="F632" s="63"/>
      <c r="G632" s="320"/>
      <c r="H632" s="79"/>
      <c r="I632" s="79"/>
      <c r="J632" s="79"/>
      <c r="K632" s="79"/>
      <c r="L632" s="70"/>
      <c r="M632" s="132"/>
      <c r="N632" s="79"/>
      <c r="O632" s="79"/>
      <c r="P632" s="79"/>
      <c r="Q632" s="136"/>
      <c r="R632" s="79"/>
      <c r="S632" s="79"/>
      <c r="T632" s="79"/>
      <c r="U632" s="79"/>
      <c r="V632" s="189"/>
      <c r="X632" s="79"/>
      <c r="Y632" s="79"/>
      <c r="Z632" s="79"/>
      <c r="AA632" s="255"/>
      <c r="AC632" s="254"/>
    </row>
    <row r="633" spans="1:29" ht="12">
      <c r="A633" s="67" t="s">
        <v>11729</v>
      </c>
      <c r="B633" s="65" t="s">
        <v>11730</v>
      </c>
      <c r="C633" s="71" t="s">
        <v>121</v>
      </c>
      <c r="D633" s="78">
        <v>1</v>
      </c>
      <c r="E633" s="79">
        <v>684.6</v>
      </c>
      <c r="F633" s="70">
        <v>684.6</v>
      </c>
      <c r="G633" s="320"/>
      <c r="H633" s="79">
        <v>684.6</v>
      </c>
      <c r="I633" s="79">
        <v>0</v>
      </c>
      <c r="J633" s="79">
        <v>684.6</v>
      </c>
      <c r="K633" s="79">
        <v>0</v>
      </c>
      <c r="L633" s="70">
        <v>684.6</v>
      </c>
      <c r="M633" s="132"/>
      <c r="N633" s="79">
        <v>684.6</v>
      </c>
      <c r="O633" s="79"/>
      <c r="P633" s="79">
        <v>684.6</v>
      </c>
      <c r="Q633" s="136"/>
      <c r="R633" s="79">
        <v>684.6</v>
      </c>
      <c r="S633" s="79"/>
      <c r="T633" s="79">
        <v>684.6</v>
      </c>
      <c r="U633" s="79">
        <v>0</v>
      </c>
      <c r="V633" s="189">
        <v>684.6</v>
      </c>
      <c r="X633" s="79">
        <v>684.6</v>
      </c>
      <c r="Y633" s="79"/>
      <c r="Z633" s="79">
        <v>684.6</v>
      </c>
      <c r="AA633" s="255">
        <v>0</v>
      </c>
      <c r="AC633" s="254"/>
    </row>
    <row r="634" spans="1:29" ht="12">
      <c r="A634" s="67" t="s">
        <v>11731</v>
      </c>
      <c r="B634" s="65" t="s">
        <v>11732</v>
      </c>
      <c r="C634" s="71" t="s">
        <v>121</v>
      </c>
      <c r="D634" s="78">
        <v>1</v>
      </c>
      <c r="E634" s="79">
        <v>709.8</v>
      </c>
      <c r="F634" s="70">
        <v>709.8</v>
      </c>
      <c r="G634" s="320"/>
      <c r="H634" s="79">
        <v>709.8</v>
      </c>
      <c r="I634" s="79">
        <v>0</v>
      </c>
      <c r="J634" s="79">
        <v>709.8</v>
      </c>
      <c r="K634" s="79">
        <v>0</v>
      </c>
      <c r="L634" s="70">
        <v>709.8</v>
      </c>
      <c r="M634" s="132"/>
      <c r="N634" s="79">
        <v>709.8</v>
      </c>
      <c r="O634" s="79"/>
      <c r="P634" s="79">
        <v>709.8</v>
      </c>
      <c r="Q634" s="136"/>
      <c r="R634" s="79">
        <v>709.8</v>
      </c>
      <c r="S634" s="79"/>
      <c r="T634" s="79">
        <v>709.8</v>
      </c>
      <c r="U634" s="79">
        <v>0</v>
      </c>
      <c r="V634" s="189">
        <v>709.8</v>
      </c>
      <c r="X634" s="79">
        <v>709.8</v>
      </c>
      <c r="Y634" s="79"/>
      <c r="Z634" s="79">
        <v>709.8</v>
      </c>
      <c r="AA634" s="255">
        <v>0</v>
      </c>
      <c r="AC634" s="254"/>
    </row>
    <row r="635" spans="1:29" ht="12">
      <c r="A635" s="67" t="s">
        <v>11733</v>
      </c>
      <c r="B635" s="65" t="s">
        <v>11734</v>
      </c>
      <c r="C635" s="71" t="s">
        <v>121</v>
      </c>
      <c r="D635" s="78">
        <v>1</v>
      </c>
      <c r="E635" s="79">
        <v>610.61</v>
      </c>
      <c r="F635" s="70">
        <v>610.61</v>
      </c>
      <c r="G635" s="320"/>
      <c r="H635" s="79">
        <v>610.61</v>
      </c>
      <c r="I635" s="79">
        <v>0</v>
      </c>
      <c r="J635" s="79">
        <v>610.61</v>
      </c>
      <c r="K635" s="79">
        <v>0</v>
      </c>
      <c r="L635" s="70">
        <v>610.61</v>
      </c>
      <c r="M635" s="132"/>
      <c r="N635" s="79">
        <v>610.61</v>
      </c>
      <c r="O635" s="79"/>
      <c r="P635" s="79">
        <v>610.61</v>
      </c>
      <c r="Q635" s="136"/>
      <c r="R635" s="79">
        <v>610.61</v>
      </c>
      <c r="S635" s="79"/>
      <c r="T635" s="79">
        <v>610.61</v>
      </c>
      <c r="U635" s="79">
        <v>0</v>
      </c>
      <c r="V635" s="189">
        <v>610.61</v>
      </c>
      <c r="X635" s="79">
        <v>610.61</v>
      </c>
      <c r="Y635" s="79"/>
      <c r="Z635" s="79">
        <v>610.61</v>
      </c>
      <c r="AA635" s="255">
        <v>0</v>
      </c>
      <c r="AC635" s="254"/>
    </row>
    <row r="636" spans="1:29" ht="12">
      <c r="A636" s="489" t="s">
        <v>11735</v>
      </c>
      <c r="B636" s="490" t="s">
        <v>11736</v>
      </c>
      <c r="C636" s="491"/>
      <c r="D636" s="492"/>
      <c r="E636" s="79"/>
      <c r="F636" s="63"/>
      <c r="G636" s="320"/>
      <c r="H636" s="79"/>
      <c r="I636" s="79"/>
      <c r="J636" s="79"/>
      <c r="K636" s="79"/>
      <c r="L636" s="70"/>
      <c r="M636" s="132"/>
      <c r="N636" s="79"/>
      <c r="O636" s="79"/>
      <c r="P636" s="79"/>
      <c r="Q636" s="136"/>
      <c r="R636" s="79"/>
      <c r="S636" s="79"/>
      <c r="T636" s="79"/>
      <c r="U636" s="79"/>
      <c r="V636" s="189"/>
      <c r="X636" s="79"/>
      <c r="Y636" s="79"/>
      <c r="Z636" s="79"/>
      <c r="AA636" s="255"/>
      <c r="AC636" s="254"/>
    </row>
    <row r="637" spans="1:29" ht="12">
      <c r="A637" s="67" t="s">
        <v>11737</v>
      </c>
      <c r="B637" s="65" t="s">
        <v>11738</v>
      </c>
      <c r="C637" s="71" t="s">
        <v>121</v>
      </c>
      <c r="D637" s="78">
        <v>1</v>
      </c>
      <c r="E637" s="79">
        <v>565.57000000000005</v>
      </c>
      <c r="F637" s="70">
        <v>565.57000000000005</v>
      </c>
      <c r="G637" s="320"/>
      <c r="H637" s="79">
        <v>429.32</v>
      </c>
      <c r="I637" s="79">
        <v>136.25</v>
      </c>
      <c r="J637" s="79">
        <v>565.56999999999994</v>
      </c>
      <c r="K637" s="79">
        <v>0</v>
      </c>
      <c r="L637" s="70">
        <v>565.56999999999994</v>
      </c>
      <c r="M637" s="132"/>
      <c r="N637" s="79">
        <v>429.32</v>
      </c>
      <c r="O637" s="79">
        <v>136.25</v>
      </c>
      <c r="P637" s="79">
        <v>565.56999999999994</v>
      </c>
      <c r="Q637" s="136"/>
      <c r="R637" s="79">
        <v>429.32</v>
      </c>
      <c r="S637" s="79">
        <v>136.26</v>
      </c>
      <c r="T637" s="79">
        <v>565.57999999999993</v>
      </c>
      <c r="U637" s="79">
        <v>0</v>
      </c>
      <c r="V637" s="189">
        <v>565.57999999999993</v>
      </c>
      <c r="X637" s="79">
        <v>429.32</v>
      </c>
      <c r="Y637" s="79">
        <v>136.26</v>
      </c>
      <c r="Z637" s="79">
        <v>565.58000000000004</v>
      </c>
      <c r="AA637" s="255">
        <v>-9.9999999999909051E-3</v>
      </c>
      <c r="AC637" s="254"/>
    </row>
    <row r="638" spans="1:29" ht="12">
      <c r="A638" s="489" t="s">
        <v>11739</v>
      </c>
      <c r="B638" s="490" t="s">
        <v>11740</v>
      </c>
      <c r="C638" s="491"/>
      <c r="D638" s="492"/>
      <c r="E638" s="79"/>
      <c r="F638" s="63"/>
      <c r="G638" s="320"/>
      <c r="H638" s="79"/>
      <c r="I638" s="79"/>
      <c r="J638" s="79"/>
      <c r="K638" s="79"/>
      <c r="L638" s="70"/>
      <c r="M638" s="132"/>
      <c r="N638" s="79"/>
      <c r="O638" s="79"/>
      <c r="P638" s="79"/>
      <c r="Q638" s="136"/>
      <c r="R638" s="79"/>
      <c r="S638" s="79"/>
      <c r="T638" s="79"/>
      <c r="U638" s="79"/>
      <c r="V638" s="189"/>
      <c r="X638" s="79"/>
      <c r="Y638" s="79"/>
      <c r="Z638" s="79"/>
      <c r="AA638" s="255"/>
      <c r="AC638" s="254"/>
    </row>
    <row r="639" spans="1:29" ht="12">
      <c r="A639" s="67" t="s">
        <v>11741</v>
      </c>
      <c r="B639" s="65" t="s">
        <v>11742</v>
      </c>
      <c r="C639" s="71" t="s">
        <v>121</v>
      </c>
      <c r="D639" s="78">
        <v>1</v>
      </c>
      <c r="E639" s="79">
        <v>410.33</v>
      </c>
      <c r="F639" s="70">
        <v>410.33</v>
      </c>
      <c r="G639" s="320"/>
      <c r="H639" s="79">
        <v>353.55</v>
      </c>
      <c r="I639" s="79">
        <v>56.78</v>
      </c>
      <c r="J639" s="79">
        <v>410.33000000000004</v>
      </c>
      <c r="K639" s="79">
        <v>0</v>
      </c>
      <c r="L639" s="70">
        <v>410.33000000000004</v>
      </c>
      <c r="M639" s="132"/>
      <c r="N639" s="79">
        <v>353.55</v>
      </c>
      <c r="O639" s="79">
        <v>56.78</v>
      </c>
      <c r="P639" s="79">
        <v>410.33000000000004</v>
      </c>
      <c r="Q639" s="136"/>
      <c r="R639" s="79">
        <v>353.55</v>
      </c>
      <c r="S639" s="79">
        <v>56.78</v>
      </c>
      <c r="T639" s="79">
        <v>410.33000000000004</v>
      </c>
      <c r="U639" s="79">
        <v>0</v>
      </c>
      <c r="V639" s="189">
        <v>410.33000000000004</v>
      </c>
      <c r="X639" s="79">
        <v>353.55</v>
      </c>
      <c r="Y639" s="79">
        <v>56.78</v>
      </c>
      <c r="Z639" s="79">
        <v>410.33</v>
      </c>
      <c r="AA639" s="255">
        <v>0</v>
      </c>
      <c r="AC639" s="254"/>
    </row>
    <row r="640" spans="1:29" ht="12">
      <c r="A640" s="67" t="s">
        <v>11743</v>
      </c>
      <c r="B640" s="65" t="s">
        <v>11744</v>
      </c>
      <c r="C640" s="71" t="s">
        <v>121</v>
      </c>
      <c r="D640" s="78">
        <v>1</v>
      </c>
      <c r="E640" s="79">
        <v>443.83</v>
      </c>
      <c r="F640" s="70">
        <v>443.83</v>
      </c>
      <c r="G640" s="320"/>
      <c r="H640" s="79">
        <v>387.05</v>
      </c>
      <c r="I640" s="79">
        <v>56.78</v>
      </c>
      <c r="J640" s="79">
        <v>443.83000000000004</v>
      </c>
      <c r="K640" s="79">
        <v>0</v>
      </c>
      <c r="L640" s="70">
        <v>443.83000000000004</v>
      </c>
      <c r="M640" s="132"/>
      <c r="N640" s="79">
        <v>387.05</v>
      </c>
      <c r="O640" s="79">
        <v>56.78</v>
      </c>
      <c r="P640" s="79">
        <v>443.83000000000004</v>
      </c>
      <c r="Q640" s="136"/>
      <c r="R640" s="79">
        <v>387.05</v>
      </c>
      <c r="S640" s="79">
        <v>56.78</v>
      </c>
      <c r="T640" s="79">
        <v>443.83000000000004</v>
      </c>
      <c r="U640" s="79">
        <v>0</v>
      </c>
      <c r="V640" s="189">
        <v>443.83000000000004</v>
      </c>
      <c r="X640" s="79">
        <v>387.05</v>
      </c>
      <c r="Y640" s="79">
        <v>56.78</v>
      </c>
      <c r="Z640" s="79">
        <v>443.83</v>
      </c>
      <c r="AA640" s="255">
        <v>0</v>
      </c>
      <c r="AC640" s="254"/>
    </row>
    <row r="641" spans="1:29" ht="12">
      <c r="A641" s="67" t="s">
        <v>11745</v>
      </c>
      <c r="B641" s="65" t="s">
        <v>11746</v>
      </c>
      <c r="C641" s="71" t="s">
        <v>121</v>
      </c>
      <c r="D641" s="78">
        <v>1</v>
      </c>
      <c r="E641" s="79">
        <v>514.84</v>
      </c>
      <c r="F641" s="70">
        <v>514.84</v>
      </c>
      <c r="G641" s="320"/>
      <c r="H641" s="79">
        <v>458.06</v>
      </c>
      <c r="I641" s="79">
        <v>56.78</v>
      </c>
      <c r="J641" s="79">
        <v>514.84</v>
      </c>
      <c r="K641" s="79">
        <v>0</v>
      </c>
      <c r="L641" s="70">
        <v>514.84</v>
      </c>
      <c r="M641" s="132"/>
      <c r="N641" s="79">
        <v>458.06</v>
      </c>
      <c r="O641" s="79">
        <v>56.78</v>
      </c>
      <c r="P641" s="79">
        <v>514.84</v>
      </c>
      <c r="Q641" s="136"/>
      <c r="R641" s="79">
        <v>458.06</v>
      </c>
      <c r="S641" s="79">
        <v>56.78</v>
      </c>
      <c r="T641" s="79">
        <v>514.84</v>
      </c>
      <c r="U641" s="79">
        <v>0</v>
      </c>
      <c r="V641" s="189">
        <v>514.84</v>
      </c>
      <c r="X641" s="79">
        <v>458.06</v>
      </c>
      <c r="Y641" s="79">
        <v>56.78</v>
      </c>
      <c r="Z641" s="79">
        <v>514.84</v>
      </c>
      <c r="AA641" s="255">
        <v>0</v>
      </c>
      <c r="AC641" s="254"/>
    </row>
    <row r="642" spans="1:29" ht="12">
      <c r="A642" s="489" t="s">
        <v>11747</v>
      </c>
      <c r="B642" s="490" t="s">
        <v>11748</v>
      </c>
      <c r="C642" s="491"/>
      <c r="D642" s="492"/>
      <c r="E642" s="79"/>
      <c r="F642" s="63"/>
      <c r="G642" s="320"/>
      <c r="H642" s="79"/>
      <c r="I642" s="79"/>
      <c r="J642" s="79"/>
      <c r="K642" s="79"/>
      <c r="L642" s="70"/>
      <c r="M642" s="132"/>
      <c r="N642" s="79"/>
      <c r="O642" s="79"/>
      <c r="P642" s="79"/>
      <c r="Q642" s="136"/>
      <c r="R642" s="79"/>
      <c r="S642" s="79"/>
      <c r="T642" s="79"/>
      <c r="U642" s="79"/>
      <c r="V642" s="189"/>
      <c r="X642" s="79"/>
      <c r="Y642" s="79"/>
      <c r="Z642" s="79"/>
      <c r="AA642" s="255"/>
      <c r="AC642" s="254"/>
    </row>
    <row r="643" spans="1:29" ht="12">
      <c r="A643" s="67" t="s">
        <v>11749</v>
      </c>
      <c r="B643" s="65" t="s">
        <v>11750</v>
      </c>
      <c r="C643" s="71" t="s">
        <v>121</v>
      </c>
      <c r="D643" s="78">
        <v>1</v>
      </c>
      <c r="E643" s="79">
        <v>140.57999999999998</v>
      </c>
      <c r="F643" s="70">
        <v>140.58000000000001</v>
      </c>
      <c r="G643" s="320"/>
      <c r="H643" s="79">
        <v>83.8</v>
      </c>
      <c r="I643" s="79">
        <v>56.78</v>
      </c>
      <c r="J643" s="79">
        <v>140.57999999999998</v>
      </c>
      <c r="K643" s="79">
        <v>0</v>
      </c>
      <c r="L643" s="70">
        <v>140.57999999999998</v>
      </c>
      <c r="M643" s="132"/>
      <c r="N643" s="79">
        <v>83.8</v>
      </c>
      <c r="O643" s="79">
        <v>56.78</v>
      </c>
      <c r="P643" s="79">
        <v>140.57999999999998</v>
      </c>
      <c r="Q643" s="136"/>
      <c r="R643" s="79">
        <v>83.8</v>
      </c>
      <c r="S643" s="79">
        <v>56.78</v>
      </c>
      <c r="T643" s="79">
        <v>140.57999999999998</v>
      </c>
      <c r="U643" s="79">
        <v>0</v>
      </c>
      <c r="V643" s="189">
        <v>140.57999999999998</v>
      </c>
      <c r="X643" s="79">
        <v>83.8</v>
      </c>
      <c r="Y643" s="79">
        <v>56.78</v>
      </c>
      <c r="Z643" s="79">
        <v>140.58000000000001</v>
      </c>
      <c r="AA643" s="255">
        <v>0</v>
      </c>
      <c r="AC643" s="254"/>
    </row>
    <row r="644" spans="1:29" ht="12">
      <c r="A644" s="67" t="s">
        <v>11751</v>
      </c>
      <c r="B644" s="65" t="s">
        <v>11752</v>
      </c>
      <c r="C644" s="71" t="s">
        <v>121</v>
      </c>
      <c r="D644" s="78">
        <v>1</v>
      </c>
      <c r="E644" s="79">
        <v>4109.1499999999996</v>
      </c>
      <c r="F644" s="70">
        <v>4109.1499999999996</v>
      </c>
      <c r="G644" s="320"/>
      <c r="H644" s="79">
        <v>4045.45</v>
      </c>
      <c r="I644" s="79">
        <v>63.7</v>
      </c>
      <c r="J644" s="79">
        <v>4109.1499999999996</v>
      </c>
      <c r="K644" s="79">
        <v>0</v>
      </c>
      <c r="L644" s="70">
        <v>4109.1499999999996</v>
      </c>
      <c r="M644" s="132"/>
      <c r="N644" s="79">
        <v>4045.45</v>
      </c>
      <c r="O644" s="79">
        <v>63.7</v>
      </c>
      <c r="P644" s="79">
        <v>4109.1499999999996</v>
      </c>
      <c r="Q644" s="136"/>
      <c r="R644" s="79">
        <v>4045.45</v>
      </c>
      <c r="S644" s="79">
        <v>63.69</v>
      </c>
      <c r="T644" s="79">
        <v>4109.1399999999994</v>
      </c>
      <c r="U644" s="79">
        <v>0</v>
      </c>
      <c r="V644" s="189">
        <v>4109.1399999999994</v>
      </c>
      <c r="X644" s="79">
        <v>4045.45</v>
      </c>
      <c r="Y644" s="79">
        <v>63.69</v>
      </c>
      <c r="Z644" s="79">
        <v>4109.1400000000003</v>
      </c>
      <c r="AA644" s="255">
        <v>9.999999999308784E-3</v>
      </c>
      <c r="AC644" s="254"/>
    </row>
    <row r="645" spans="1:29" ht="12">
      <c r="A645" s="67" t="s">
        <v>11753</v>
      </c>
      <c r="B645" s="65" t="s">
        <v>11754</v>
      </c>
      <c r="C645" s="71" t="s">
        <v>121</v>
      </c>
      <c r="D645" s="78">
        <v>1</v>
      </c>
      <c r="E645" s="79">
        <v>457.37000000000006</v>
      </c>
      <c r="F645" s="70">
        <v>457.37</v>
      </c>
      <c r="G645" s="320"/>
      <c r="H645" s="79">
        <v>393.67</v>
      </c>
      <c r="I645" s="79">
        <v>63.7</v>
      </c>
      <c r="J645" s="79">
        <v>457.37</v>
      </c>
      <c r="K645" s="79">
        <v>0</v>
      </c>
      <c r="L645" s="70">
        <v>457.37</v>
      </c>
      <c r="M645" s="132"/>
      <c r="N645" s="79">
        <v>393.67</v>
      </c>
      <c r="O645" s="79">
        <v>63.7</v>
      </c>
      <c r="P645" s="79">
        <v>457.37</v>
      </c>
      <c r="Q645" s="136"/>
      <c r="R645" s="79">
        <v>393.67</v>
      </c>
      <c r="S645" s="79">
        <v>63.69</v>
      </c>
      <c r="T645" s="79">
        <v>457.36</v>
      </c>
      <c r="U645" s="79">
        <v>0</v>
      </c>
      <c r="V645" s="189">
        <v>457.36</v>
      </c>
      <c r="X645" s="79">
        <v>393.67</v>
      </c>
      <c r="Y645" s="79">
        <v>63.69</v>
      </c>
      <c r="Z645" s="79">
        <v>457.36</v>
      </c>
      <c r="AA645" s="255">
        <v>9.9999999999909051E-3</v>
      </c>
      <c r="AC645" s="254"/>
    </row>
    <row r="646" spans="1:29" ht="24">
      <c r="A646" s="67" t="s">
        <v>11755</v>
      </c>
      <c r="B646" s="65" t="s">
        <v>11756</v>
      </c>
      <c r="C646" s="71" t="s">
        <v>121</v>
      </c>
      <c r="D646" s="78">
        <v>1</v>
      </c>
      <c r="E646" s="79">
        <v>830.76000000000022</v>
      </c>
      <c r="F646" s="70">
        <v>830.76</v>
      </c>
      <c r="G646" s="320"/>
      <c r="H646" s="79">
        <v>412.14000000000004</v>
      </c>
      <c r="I646" s="79">
        <v>418.62</v>
      </c>
      <c r="J646" s="79">
        <v>830.76</v>
      </c>
      <c r="K646" s="79">
        <v>0</v>
      </c>
      <c r="L646" s="70">
        <v>830.76</v>
      </c>
      <c r="M646" s="132"/>
      <c r="N646" s="79">
        <v>412.14000000000004</v>
      </c>
      <c r="O646" s="79">
        <v>418.62</v>
      </c>
      <c r="P646" s="79">
        <v>830.76</v>
      </c>
      <c r="Q646" s="136"/>
      <c r="R646" s="79">
        <v>412.14</v>
      </c>
      <c r="S646" s="79">
        <v>418.64</v>
      </c>
      <c r="T646" s="79">
        <v>830.78</v>
      </c>
      <c r="U646" s="79">
        <v>0</v>
      </c>
      <c r="V646" s="189">
        <v>830.78</v>
      </c>
      <c r="X646" s="79">
        <v>412.14</v>
      </c>
      <c r="Y646" s="79">
        <v>418.64</v>
      </c>
      <c r="Z646" s="79">
        <v>830.78</v>
      </c>
      <c r="AA646" s="255">
        <v>-1.999999999998181E-2</v>
      </c>
      <c r="AC646" s="254"/>
    </row>
    <row r="647" spans="1:29" ht="12">
      <c r="A647" s="67" t="s">
        <v>11757</v>
      </c>
      <c r="B647" s="65" t="s">
        <v>11758</v>
      </c>
      <c r="C647" s="71" t="s">
        <v>121</v>
      </c>
      <c r="D647" s="78">
        <v>1</v>
      </c>
      <c r="E647" s="79">
        <v>3189.5</v>
      </c>
      <c r="F647" s="70">
        <v>3189.5</v>
      </c>
      <c r="G647" s="320"/>
      <c r="H647" s="79">
        <v>2423.38</v>
      </c>
      <c r="I647" s="79">
        <v>766.12</v>
      </c>
      <c r="J647" s="79">
        <v>3189.5</v>
      </c>
      <c r="K647" s="79">
        <v>0</v>
      </c>
      <c r="L647" s="70">
        <v>3189.5</v>
      </c>
      <c r="M647" s="132"/>
      <c r="N647" s="79">
        <v>2423.38</v>
      </c>
      <c r="O647" s="79">
        <v>766.12</v>
      </c>
      <c r="P647" s="79">
        <v>3189.5</v>
      </c>
      <c r="Q647" s="136"/>
      <c r="R647" s="79">
        <v>2423.38</v>
      </c>
      <c r="S647" s="79">
        <v>766.16</v>
      </c>
      <c r="T647" s="79">
        <v>3189.54</v>
      </c>
      <c r="U647" s="79">
        <v>0</v>
      </c>
      <c r="V647" s="189">
        <v>3189.54</v>
      </c>
      <c r="X647" s="79">
        <v>2423.38</v>
      </c>
      <c r="Y647" s="79">
        <v>766.16</v>
      </c>
      <c r="Z647" s="79">
        <v>3189.54</v>
      </c>
      <c r="AA647" s="255">
        <v>-3.999999999996362E-2</v>
      </c>
      <c r="AC647" s="254"/>
    </row>
    <row r="648" spans="1:29" ht="12">
      <c r="A648" s="489" t="s">
        <v>11759</v>
      </c>
      <c r="B648" s="490" t="s">
        <v>11760</v>
      </c>
      <c r="C648" s="212"/>
      <c r="D648" s="492"/>
      <c r="E648" s="79"/>
      <c r="F648" s="63"/>
      <c r="G648" s="320"/>
      <c r="H648" s="79"/>
      <c r="I648" s="79"/>
      <c r="J648" s="79"/>
      <c r="K648" s="79"/>
      <c r="L648" s="70"/>
      <c r="M648" s="132"/>
      <c r="N648" s="79"/>
      <c r="O648" s="79"/>
      <c r="P648" s="79"/>
      <c r="R648" s="79"/>
      <c r="S648" s="79"/>
      <c r="T648" s="79"/>
      <c r="U648" s="79"/>
      <c r="V648" s="63"/>
      <c r="X648" s="79"/>
      <c r="Y648" s="79"/>
      <c r="Z648" s="79"/>
      <c r="AA648" s="493"/>
      <c r="AC648" s="254"/>
    </row>
    <row r="649" spans="1:29" ht="24">
      <c r="A649" s="497" t="s">
        <v>11761</v>
      </c>
      <c r="B649" s="496" t="s">
        <v>11762</v>
      </c>
      <c r="C649" s="212" t="s">
        <v>121</v>
      </c>
      <c r="D649" s="78">
        <v>1</v>
      </c>
      <c r="E649" s="79">
        <v>611.74</v>
      </c>
      <c r="F649" s="70">
        <v>611.74</v>
      </c>
      <c r="G649" s="320"/>
      <c r="H649" s="79">
        <v>554.96</v>
      </c>
      <c r="I649" s="79">
        <v>56.78</v>
      </c>
      <c r="J649" s="79">
        <v>611.74</v>
      </c>
      <c r="K649" s="79">
        <v>0</v>
      </c>
      <c r="L649" s="70">
        <v>611.74</v>
      </c>
      <c r="M649" s="132"/>
      <c r="N649" s="79">
        <v>554.96</v>
      </c>
      <c r="O649" s="79">
        <v>56.78</v>
      </c>
      <c r="P649" s="79">
        <v>611.74</v>
      </c>
      <c r="Q649" s="136"/>
      <c r="R649" s="79">
        <v>554.96</v>
      </c>
      <c r="S649" s="79">
        <v>56.78</v>
      </c>
      <c r="T649" s="79"/>
      <c r="U649" s="79"/>
      <c r="V649" s="63"/>
      <c r="X649" s="79">
        <v>554.96</v>
      </c>
      <c r="Y649" s="79">
        <v>56.78</v>
      </c>
      <c r="Z649" s="79">
        <v>611.74</v>
      </c>
      <c r="AA649" s="493">
        <v>0</v>
      </c>
      <c r="AC649" s="254"/>
    </row>
    <row r="650" spans="1:29" ht="12">
      <c r="A650" s="489" t="s">
        <v>11763</v>
      </c>
      <c r="B650" s="490" t="s">
        <v>11764</v>
      </c>
      <c r="C650" s="491"/>
      <c r="D650" s="492"/>
      <c r="E650" s="79"/>
      <c r="F650" s="63"/>
      <c r="G650" s="320"/>
      <c r="H650" s="79"/>
      <c r="I650" s="79"/>
      <c r="J650" s="79"/>
      <c r="K650" s="79"/>
      <c r="L650" s="70"/>
      <c r="M650" s="132"/>
      <c r="N650" s="79"/>
      <c r="O650" s="79"/>
      <c r="P650" s="79"/>
      <c r="Q650" s="136"/>
      <c r="R650" s="79"/>
      <c r="S650" s="79"/>
      <c r="T650" s="79"/>
      <c r="U650" s="79"/>
      <c r="V650" s="189"/>
      <c r="X650" s="79"/>
      <c r="Y650" s="79"/>
      <c r="Z650" s="79"/>
      <c r="AA650" s="255"/>
      <c r="AC650" s="254"/>
    </row>
    <row r="651" spans="1:29" ht="12">
      <c r="A651" s="67" t="s">
        <v>11765</v>
      </c>
      <c r="B651" s="65" t="s">
        <v>11766</v>
      </c>
      <c r="C651" s="71" t="s">
        <v>121</v>
      </c>
      <c r="D651" s="78">
        <v>1</v>
      </c>
      <c r="E651" s="79">
        <v>95.77000000000001</v>
      </c>
      <c r="F651" s="70">
        <v>95.77</v>
      </c>
      <c r="G651" s="320"/>
      <c r="H651" s="79">
        <v>0</v>
      </c>
      <c r="I651" s="79">
        <v>95.77000000000001</v>
      </c>
      <c r="J651" s="79">
        <v>95.77000000000001</v>
      </c>
      <c r="K651" s="79">
        <v>0</v>
      </c>
      <c r="L651" s="70">
        <v>95.77000000000001</v>
      </c>
      <c r="M651" s="132"/>
      <c r="N651" s="79"/>
      <c r="O651" s="79">
        <v>95.77000000000001</v>
      </c>
      <c r="P651" s="79">
        <v>95.77000000000001</v>
      </c>
      <c r="Q651" s="136"/>
      <c r="R651" s="79"/>
      <c r="S651" s="79">
        <v>95.77</v>
      </c>
      <c r="T651" s="79">
        <v>95.77</v>
      </c>
      <c r="U651" s="79">
        <v>0</v>
      </c>
      <c r="V651" s="189">
        <v>95.77</v>
      </c>
      <c r="X651" s="79"/>
      <c r="Y651" s="79">
        <v>95.77</v>
      </c>
      <c r="Z651" s="79">
        <v>95.77</v>
      </c>
      <c r="AA651" s="255">
        <v>0</v>
      </c>
      <c r="AC651" s="254"/>
    </row>
    <row r="652" spans="1:29" ht="12">
      <c r="A652" s="67" t="s">
        <v>11767</v>
      </c>
      <c r="B652" s="65" t="s">
        <v>11768</v>
      </c>
      <c r="C652" s="71" t="s">
        <v>121</v>
      </c>
      <c r="D652" s="78">
        <v>1</v>
      </c>
      <c r="E652" s="79">
        <v>191.53</v>
      </c>
      <c r="F652" s="70">
        <v>191.53</v>
      </c>
      <c r="G652" s="320"/>
      <c r="H652" s="79">
        <v>0</v>
      </c>
      <c r="I652" s="79">
        <v>191.53</v>
      </c>
      <c r="J652" s="79">
        <v>191.53</v>
      </c>
      <c r="K652" s="79">
        <v>0</v>
      </c>
      <c r="L652" s="70">
        <v>191.53</v>
      </c>
      <c r="M652" s="132"/>
      <c r="N652" s="79"/>
      <c r="O652" s="79">
        <v>191.53</v>
      </c>
      <c r="P652" s="79">
        <v>191.53</v>
      </c>
      <c r="Q652" s="136"/>
      <c r="R652" s="79"/>
      <c r="S652" s="79">
        <v>191.54</v>
      </c>
      <c r="T652" s="79">
        <v>191.54</v>
      </c>
      <c r="U652" s="79">
        <v>0</v>
      </c>
      <c r="V652" s="189">
        <v>191.54</v>
      </c>
      <c r="X652" s="79"/>
      <c r="Y652" s="79">
        <v>191.54</v>
      </c>
      <c r="Z652" s="79">
        <v>191.54</v>
      </c>
      <c r="AA652" s="255">
        <v>-9.9999999999909051E-3</v>
      </c>
      <c r="AC652" s="254"/>
    </row>
    <row r="653" spans="1:29" s="61" customFormat="1" ht="12">
      <c r="A653" s="67" t="s">
        <v>11769</v>
      </c>
      <c r="B653" s="65" t="s">
        <v>11770</v>
      </c>
      <c r="C653" s="71" t="s">
        <v>121</v>
      </c>
      <c r="D653" s="78">
        <v>1</v>
      </c>
      <c r="E653" s="79">
        <v>132.30000000000001</v>
      </c>
      <c r="F653" s="70">
        <v>132.30000000000001</v>
      </c>
      <c r="G653" s="320"/>
      <c r="H653" s="79">
        <v>0</v>
      </c>
      <c r="I653" s="79">
        <v>132.30000000000001</v>
      </c>
      <c r="J653" s="79">
        <v>132.30000000000001</v>
      </c>
      <c r="K653" s="79">
        <v>0</v>
      </c>
      <c r="L653" s="70">
        <v>132.30000000000001</v>
      </c>
      <c r="M653" s="132"/>
      <c r="N653" s="79"/>
      <c r="O653" s="79">
        <v>132.30000000000001</v>
      </c>
      <c r="P653" s="79">
        <v>132.30000000000001</v>
      </c>
      <c r="Q653" s="136"/>
      <c r="R653" s="79"/>
      <c r="S653" s="79">
        <v>132.30000000000001</v>
      </c>
      <c r="T653" s="79">
        <v>132.30000000000001</v>
      </c>
      <c r="U653" s="79">
        <v>0</v>
      </c>
      <c r="V653" s="189">
        <v>132.30000000000001</v>
      </c>
      <c r="X653" s="79"/>
      <c r="Y653" s="79">
        <v>132.30000000000001</v>
      </c>
      <c r="Z653" s="79">
        <v>132.30000000000001</v>
      </c>
      <c r="AA653" s="255">
        <v>0</v>
      </c>
      <c r="AC653" s="254"/>
    </row>
    <row r="654" spans="1:29" ht="12">
      <c r="A654" s="67" t="s">
        <v>11771</v>
      </c>
      <c r="B654" s="65" t="s">
        <v>11772</v>
      </c>
      <c r="C654" s="71" t="s">
        <v>121</v>
      </c>
      <c r="D654" s="78">
        <v>1</v>
      </c>
      <c r="E654" s="79">
        <v>136.76</v>
      </c>
      <c r="F654" s="70">
        <v>136.76</v>
      </c>
      <c r="G654" s="320"/>
      <c r="H654" s="79">
        <v>63.7</v>
      </c>
      <c r="I654" s="79">
        <v>73.06</v>
      </c>
      <c r="J654" s="79">
        <v>136.76</v>
      </c>
      <c r="K654" s="79">
        <v>0</v>
      </c>
      <c r="L654" s="70">
        <v>136.76</v>
      </c>
      <c r="M654" s="132"/>
      <c r="N654" s="79">
        <v>63.7</v>
      </c>
      <c r="O654" s="79">
        <v>73.06</v>
      </c>
      <c r="P654" s="79">
        <v>136.76</v>
      </c>
      <c r="Q654" s="136"/>
      <c r="R654" s="79">
        <v>63.7</v>
      </c>
      <c r="S654" s="79">
        <v>73.06</v>
      </c>
      <c r="T654" s="79">
        <v>136.76</v>
      </c>
      <c r="U654" s="79">
        <v>0</v>
      </c>
      <c r="V654" s="189">
        <v>136.76</v>
      </c>
      <c r="X654" s="79">
        <v>63.7</v>
      </c>
      <c r="Y654" s="79">
        <v>73.06</v>
      </c>
      <c r="Z654" s="79">
        <v>136.76</v>
      </c>
      <c r="AA654" s="255">
        <v>0</v>
      </c>
      <c r="AC654" s="254"/>
    </row>
    <row r="655" spans="1:29" ht="12">
      <c r="A655" s="67" t="s">
        <v>11773</v>
      </c>
      <c r="B655" s="65" t="s">
        <v>11774</v>
      </c>
      <c r="C655" s="71" t="s">
        <v>509</v>
      </c>
      <c r="D655" s="78">
        <v>1</v>
      </c>
      <c r="E655" s="79">
        <v>16.66</v>
      </c>
      <c r="F655" s="70">
        <v>16.66</v>
      </c>
      <c r="G655" s="320"/>
      <c r="H655" s="79">
        <v>16.66</v>
      </c>
      <c r="I655" s="79">
        <v>0</v>
      </c>
      <c r="J655" s="79">
        <v>16.66</v>
      </c>
      <c r="K655" s="79">
        <v>0</v>
      </c>
      <c r="L655" s="70">
        <v>16.66</v>
      </c>
      <c r="M655" s="132"/>
      <c r="N655" s="79">
        <v>16.66</v>
      </c>
      <c r="O655" s="79"/>
      <c r="P655" s="79">
        <v>16.66</v>
      </c>
      <c r="Q655" s="136"/>
      <c r="R655" s="79">
        <v>16.66</v>
      </c>
      <c r="S655" s="79"/>
      <c r="T655" s="79">
        <v>16.66</v>
      </c>
      <c r="U655" s="79">
        <v>0</v>
      </c>
      <c r="V655" s="189">
        <v>16.66</v>
      </c>
      <c r="X655" s="79">
        <v>16.66</v>
      </c>
      <c r="Y655" s="79"/>
      <c r="Z655" s="79">
        <v>16.66</v>
      </c>
      <c r="AA655" s="255">
        <v>0</v>
      </c>
      <c r="AC655" s="254"/>
    </row>
    <row r="656" spans="1:29" ht="12">
      <c r="A656" s="489" t="s">
        <v>11775</v>
      </c>
      <c r="B656" s="490" t="s">
        <v>11776</v>
      </c>
      <c r="C656" s="491"/>
      <c r="D656" s="492"/>
      <c r="E656" s="79"/>
      <c r="F656" s="63"/>
      <c r="G656" s="320"/>
      <c r="H656" s="79"/>
      <c r="I656" s="79"/>
      <c r="J656" s="79"/>
      <c r="K656" s="79"/>
      <c r="L656" s="70"/>
      <c r="M656" s="132"/>
      <c r="N656" s="79"/>
      <c r="O656" s="79"/>
      <c r="P656" s="79"/>
      <c r="Q656" s="136"/>
      <c r="R656" s="79"/>
      <c r="S656" s="79"/>
      <c r="T656" s="79"/>
      <c r="U656" s="79"/>
      <c r="V656" s="189"/>
      <c r="X656" s="79"/>
      <c r="Y656" s="79"/>
      <c r="Z656" s="79"/>
      <c r="AA656" s="255"/>
      <c r="AC656" s="254"/>
    </row>
    <row r="657" spans="1:29" s="61" customFormat="1" ht="12">
      <c r="A657" s="67" t="s">
        <v>11777</v>
      </c>
      <c r="B657" s="65" t="s">
        <v>11778</v>
      </c>
      <c r="C657" s="71" t="s">
        <v>121</v>
      </c>
      <c r="D657" s="78">
        <v>1</v>
      </c>
      <c r="E657" s="79">
        <v>275.82</v>
      </c>
      <c r="F657" s="70">
        <v>275.82</v>
      </c>
      <c r="G657" s="320"/>
      <c r="H657" s="79">
        <v>196.33</v>
      </c>
      <c r="I657" s="79">
        <v>79.489999999999995</v>
      </c>
      <c r="J657" s="79">
        <v>275.82</v>
      </c>
      <c r="K657" s="79">
        <v>0</v>
      </c>
      <c r="L657" s="70">
        <v>275.82</v>
      </c>
      <c r="M657" s="132"/>
      <c r="N657" s="79">
        <v>196.33</v>
      </c>
      <c r="O657" s="79">
        <v>79.489999999999995</v>
      </c>
      <c r="P657" s="79">
        <v>275.82</v>
      </c>
      <c r="Q657" s="136"/>
      <c r="R657" s="79">
        <v>196.33</v>
      </c>
      <c r="S657" s="79">
        <v>79.489999999999995</v>
      </c>
      <c r="T657" s="79">
        <v>275.82</v>
      </c>
      <c r="U657" s="79">
        <v>0</v>
      </c>
      <c r="V657" s="189">
        <v>275.82</v>
      </c>
      <c r="X657" s="79">
        <v>196.33</v>
      </c>
      <c r="Y657" s="79">
        <v>79.489999999999995</v>
      </c>
      <c r="Z657" s="79">
        <v>275.82</v>
      </c>
      <c r="AA657" s="255">
        <v>0</v>
      </c>
      <c r="AC657" s="254"/>
    </row>
    <row r="658" spans="1:29" s="61" customFormat="1" ht="12">
      <c r="A658" s="67" t="s">
        <v>11779</v>
      </c>
      <c r="B658" s="65" t="s">
        <v>11780</v>
      </c>
      <c r="C658" s="71" t="s">
        <v>121</v>
      </c>
      <c r="D658" s="78">
        <v>1</v>
      </c>
      <c r="E658" s="79">
        <v>221.54999999999998</v>
      </c>
      <c r="F658" s="70">
        <v>221.55</v>
      </c>
      <c r="G658" s="320"/>
      <c r="H658" s="79">
        <v>187.48</v>
      </c>
      <c r="I658" s="79">
        <v>34.07</v>
      </c>
      <c r="J658" s="79">
        <v>221.54999999999998</v>
      </c>
      <c r="K658" s="79">
        <v>0</v>
      </c>
      <c r="L658" s="70">
        <v>221.54999999999998</v>
      </c>
      <c r="M658" s="132"/>
      <c r="N658" s="79">
        <v>187.48</v>
      </c>
      <c r="O658" s="79">
        <v>34.07</v>
      </c>
      <c r="P658" s="79">
        <v>221.54999999999998</v>
      </c>
      <c r="Q658" s="136"/>
      <c r="R658" s="79">
        <v>187.48</v>
      </c>
      <c r="S658" s="79">
        <v>34.07</v>
      </c>
      <c r="T658" s="79">
        <v>221.54999999999998</v>
      </c>
      <c r="U658" s="79">
        <v>0</v>
      </c>
      <c r="V658" s="189">
        <v>221.54999999999998</v>
      </c>
      <c r="X658" s="79">
        <v>187.48</v>
      </c>
      <c r="Y658" s="79">
        <v>34.07</v>
      </c>
      <c r="Z658" s="79">
        <v>221.55</v>
      </c>
      <c r="AA658" s="255">
        <v>0</v>
      </c>
      <c r="AC658" s="254"/>
    </row>
    <row r="659" spans="1:29" s="61" customFormat="1" ht="12">
      <c r="A659" s="67" t="s">
        <v>11781</v>
      </c>
      <c r="B659" s="65" t="s">
        <v>11782</v>
      </c>
      <c r="C659" s="71" t="s">
        <v>509</v>
      </c>
      <c r="D659" s="78">
        <v>1</v>
      </c>
      <c r="E659" s="79">
        <v>2.17</v>
      </c>
      <c r="F659" s="70">
        <v>2.17</v>
      </c>
      <c r="G659" s="320"/>
      <c r="H659" s="79">
        <v>1.49</v>
      </c>
      <c r="I659" s="79">
        <v>0.67999999999999994</v>
      </c>
      <c r="J659" s="79">
        <v>2.17</v>
      </c>
      <c r="K659" s="79">
        <v>0</v>
      </c>
      <c r="L659" s="70">
        <v>2.17</v>
      </c>
      <c r="M659" s="132"/>
      <c r="N659" s="79">
        <v>1.49</v>
      </c>
      <c r="O659" s="79">
        <v>0.67999999999999994</v>
      </c>
      <c r="P659" s="79">
        <v>2.17</v>
      </c>
      <c r="Q659" s="136"/>
      <c r="R659" s="79">
        <v>1.49</v>
      </c>
      <c r="S659" s="79">
        <v>0.68</v>
      </c>
      <c r="T659" s="79">
        <v>2.17</v>
      </c>
      <c r="U659" s="79">
        <v>0</v>
      </c>
      <c r="V659" s="189">
        <v>2.17</v>
      </c>
      <c r="X659" s="79">
        <v>1.49</v>
      </c>
      <c r="Y659" s="79">
        <v>0.68</v>
      </c>
      <c r="Z659" s="79">
        <v>2.17</v>
      </c>
      <c r="AA659" s="255">
        <v>0</v>
      </c>
      <c r="AC659" s="254"/>
    </row>
    <row r="660" spans="1:29" s="61" customFormat="1" ht="12">
      <c r="A660" s="67" t="s">
        <v>11783</v>
      </c>
      <c r="B660" s="65" t="s">
        <v>11784</v>
      </c>
      <c r="C660" s="71" t="s">
        <v>121</v>
      </c>
      <c r="D660" s="78">
        <v>1</v>
      </c>
      <c r="E660" s="79">
        <v>1309.76</v>
      </c>
      <c r="F660" s="70">
        <v>1309.76</v>
      </c>
      <c r="G660" s="320"/>
      <c r="H660" s="79">
        <v>1205.0899999999999</v>
      </c>
      <c r="I660" s="79">
        <v>104.67</v>
      </c>
      <c r="J660" s="79">
        <v>1309.76</v>
      </c>
      <c r="K660" s="79">
        <v>0</v>
      </c>
      <c r="L660" s="70">
        <v>1309.76</v>
      </c>
      <c r="M660" s="132"/>
      <c r="N660" s="79">
        <v>1205.0899999999999</v>
      </c>
      <c r="O660" s="79">
        <v>104.67</v>
      </c>
      <c r="P660" s="79">
        <v>1309.76</v>
      </c>
      <c r="Q660" s="136"/>
      <c r="R660" s="79">
        <v>1205.0899999999999</v>
      </c>
      <c r="S660" s="79">
        <v>104.66</v>
      </c>
      <c r="T660" s="79">
        <v>1309.75</v>
      </c>
      <c r="U660" s="79">
        <v>0</v>
      </c>
      <c r="V660" s="189">
        <v>1309.75</v>
      </c>
      <c r="X660" s="79">
        <v>1205.0899999999999</v>
      </c>
      <c r="Y660" s="79">
        <v>104.66</v>
      </c>
      <c r="Z660" s="79">
        <v>1309.75</v>
      </c>
      <c r="AA660" s="255">
        <v>9.9999999999909051E-3</v>
      </c>
      <c r="AC660" s="254"/>
    </row>
    <row r="661" spans="1:29" s="61" customFormat="1" ht="12">
      <c r="A661" s="67" t="s">
        <v>11785</v>
      </c>
      <c r="B661" s="65" t="s">
        <v>11786</v>
      </c>
      <c r="C661" s="71" t="s">
        <v>121</v>
      </c>
      <c r="D661" s="78">
        <v>1</v>
      </c>
      <c r="E661" s="79">
        <v>386.67</v>
      </c>
      <c r="F661" s="70">
        <v>386.67</v>
      </c>
      <c r="G661" s="320"/>
      <c r="H661" s="79">
        <v>341.25</v>
      </c>
      <c r="I661" s="79">
        <v>45.42</v>
      </c>
      <c r="J661" s="79">
        <v>386.67</v>
      </c>
      <c r="K661" s="79">
        <v>0</v>
      </c>
      <c r="L661" s="70">
        <v>386.67</v>
      </c>
      <c r="M661" s="132"/>
      <c r="N661" s="79">
        <v>341.25</v>
      </c>
      <c r="O661" s="79">
        <v>45.42</v>
      </c>
      <c r="P661" s="79">
        <v>386.67</v>
      </c>
      <c r="Q661" s="136"/>
      <c r="R661" s="79">
        <v>341.25</v>
      </c>
      <c r="S661" s="79">
        <v>45.42</v>
      </c>
      <c r="T661" s="79">
        <v>386.67</v>
      </c>
      <c r="U661" s="79">
        <v>0</v>
      </c>
      <c r="V661" s="189">
        <v>386.67</v>
      </c>
      <c r="X661" s="79">
        <v>341.25</v>
      </c>
      <c r="Y661" s="79">
        <v>45.42</v>
      </c>
      <c r="Z661" s="79">
        <v>386.67</v>
      </c>
      <c r="AA661" s="255">
        <v>0</v>
      </c>
      <c r="AC661" s="254"/>
    </row>
    <row r="662" spans="1:29" s="61" customFormat="1" ht="12">
      <c r="A662" s="67" t="s">
        <v>11787</v>
      </c>
      <c r="B662" s="65" t="s">
        <v>11788</v>
      </c>
      <c r="C662" s="71" t="s">
        <v>121</v>
      </c>
      <c r="D662" s="78">
        <v>1</v>
      </c>
      <c r="E662" s="79">
        <v>45.42</v>
      </c>
      <c r="F662" s="70">
        <v>45.42</v>
      </c>
      <c r="G662" s="320"/>
      <c r="H662" s="79">
        <v>0</v>
      </c>
      <c r="I662" s="79">
        <v>45.42</v>
      </c>
      <c r="J662" s="79">
        <v>45.42</v>
      </c>
      <c r="K662" s="79">
        <v>0</v>
      </c>
      <c r="L662" s="70">
        <v>45.42</v>
      </c>
      <c r="M662" s="132"/>
      <c r="N662" s="79"/>
      <c r="O662" s="79">
        <v>45.42</v>
      </c>
      <c r="P662" s="79">
        <v>45.42</v>
      </c>
      <c r="Q662" s="136"/>
      <c r="R662" s="79"/>
      <c r="S662" s="79">
        <v>45.42</v>
      </c>
      <c r="T662" s="79">
        <v>45.42</v>
      </c>
      <c r="U662" s="79">
        <v>0</v>
      </c>
      <c r="V662" s="189">
        <v>45.42</v>
      </c>
      <c r="X662" s="79"/>
      <c r="Y662" s="79">
        <v>45.42</v>
      </c>
      <c r="Z662" s="79">
        <v>45.42</v>
      </c>
      <c r="AA662" s="255">
        <v>0</v>
      </c>
      <c r="AC662" s="254"/>
    </row>
    <row r="663" spans="1:29" ht="12">
      <c r="A663" s="67" t="s">
        <v>11789</v>
      </c>
      <c r="B663" s="65" t="s">
        <v>11790</v>
      </c>
      <c r="C663" s="71" t="s">
        <v>121</v>
      </c>
      <c r="D663" s="78">
        <v>1</v>
      </c>
      <c r="E663" s="79">
        <v>267.01</v>
      </c>
      <c r="F663" s="70">
        <v>267.01</v>
      </c>
      <c r="G663" s="320"/>
      <c r="H663" s="79">
        <v>244.3</v>
      </c>
      <c r="I663" s="79">
        <v>22.71</v>
      </c>
      <c r="J663" s="79">
        <v>267.01</v>
      </c>
      <c r="K663" s="79">
        <v>0</v>
      </c>
      <c r="L663" s="70">
        <v>267.01</v>
      </c>
      <c r="M663" s="132"/>
      <c r="N663" s="79">
        <v>244.3</v>
      </c>
      <c r="O663" s="79">
        <v>22.71</v>
      </c>
      <c r="P663" s="79">
        <v>267.01</v>
      </c>
      <c r="Q663" s="136"/>
      <c r="R663" s="79">
        <v>244.3</v>
      </c>
      <c r="S663" s="79">
        <v>22.71</v>
      </c>
      <c r="T663" s="79">
        <v>267.01</v>
      </c>
      <c r="U663" s="79">
        <v>0</v>
      </c>
      <c r="V663" s="189">
        <v>267.01</v>
      </c>
      <c r="X663" s="79">
        <v>244.3</v>
      </c>
      <c r="Y663" s="79">
        <v>22.71</v>
      </c>
      <c r="Z663" s="79">
        <v>267.01</v>
      </c>
      <c r="AA663" s="255">
        <v>0</v>
      </c>
      <c r="AC663" s="254"/>
    </row>
    <row r="664" spans="1:29" ht="12">
      <c r="A664" s="67" t="s">
        <v>11791</v>
      </c>
      <c r="B664" s="65" t="s">
        <v>11792</v>
      </c>
      <c r="C664" s="71" t="s">
        <v>121</v>
      </c>
      <c r="D664" s="78">
        <v>1</v>
      </c>
      <c r="E664" s="79">
        <v>277.41999999999996</v>
      </c>
      <c r="F664" s="70">
        <v>277.42</v>
      </c>
      <c r="G664" s="320"/>
      <c r="H664" s="79">
        <v>209.29</v>
      </c>
      <c r="I664" s="79">
        <v>68.13</v>
      </c>
      <c r="J664" s="79">
        <v>277.41999999999996</v>
      </c>
      <c r="K664" s="79">
        <v>0</v>
      </c>
      <c r="L664" s="70">
        <v>277.41999999999996</v>
      </c>
      <c r="M664" s="132"/>
      <c r="N664" s="79">
        <v>209.29</v>
      </c>
      <c r="O664" s="79">
        <v>68.13</v>
      </c>
      <c r="P664" s="79">
        <v>277.41999999999996</v>
      </c>
      <c r="Q664" s="136"/>
      <c r="R664" s="79">
        <v>209.29</v>
      </c>
      <c r="S664" s="79">
        <v>68.13</v>
      </c>
      <c r="T664" s="79">
        <v>277.41999999999996</v>
      </c>
      <c r="U664" s="79">
        <v>0</v>
      </c>
      <c r="V664" s="189">
        <v>277.41999999999996</v>
      </c>
      <c r="X664" s="79">
        <v>209.29</v>
      </c>
      <c r="Y664" s="79">
        <v>68.13</v>
      </c>
      <c r="Z664" s="79">
        <v>277.42</v>
      </c>
      <c r="AA664" s="255">
        <v>0</v>
      </c>
      <c r="AC664" s="254"/>
    </row>
    <row r="665" spans="1:29" ht="12">
      <c r="A665" s="67" t="s">
        <v>11793</v>
      </c>
      <c r="B665" s="65" t="s">
        <v>11794</v>
      </c>
      <c r="C665" s="71" t="s">
        <v>121</v>
      </c>
      <c r="D665" s="78">
        <v>1</v>
      </c>
      <c r="E665" s="79">
        <v>303.46000000000004</v>
      </c>
      <c r="F665" s="70">
        <v>303.45999999999998</v>
      </c>
      <c r="G665" s="320"/>
      <c r="H665" s="79">
        <v>196.33</v>
      </c>
      <c r="I665" s="79">
        <v>107.13</v>
      </c>
      <c r="J665" s="79">
        <v>303.46000000000004</v>
      </c>
      <c r="K665" s="79">
        <v>0</v>
      </c>
      <c r="L665" s="70">
        <v>303.46000000000004</v>
      </c>
      <c r="M665" s="132"/>
      <c r="N665" s="79">
        <v>196.33</v>
      </c>
      <c r="O665" s="79">
        <v>107.13</v>
      </c>
      <c r="P665" s="79">
        <v>303.46000000000004</v>
      </c>
      <c r="Q665" s="136"/>
      <c r="R665" s="79">
        <v>196.33</v>
      </c>
      <c r="S665" s="79">
        <v>107.13</v>
      </c>
      <c r="T665" s="79">
        <v>303.46000000000004</v>
      </c>
      <c r="U665" s="79">
        <v>0</v>
      </c>
      <c r="V665" s="189">
        <v>303.46000000000004</v>
      </c>
      <c r="X665" s="79">
        <v>196.33</v>
      </c>
      <c r="Y665" s="79">
        <v>107.13</v>
      </c>
      <c r="Z665" s="79">
        <v>303.45999999999998</v>
      </c>
      <c r="AA665" s="255">
        <v>0</v>
      </c>
      <c r="AC665" s="254"/>
    </row>
    <row r="666" spans="1:29" s="61" customFormat="1" ht="12">
      <c r="A666" s="67" t="s">
        <v>11795</v>
      </c>
      <c r="B666" s="65" t="s">
        <v>11796</v>
      </c>
      <c r="C666" s="71" t="s">
        <v>121</v>
      </c>
      <c r="D666" s="78">
        <v>1</v>
      </c>
      <c r="E666" s="79">
        <v>215.95</v>
      </c>
      <c r="F666" s="70">
        <v>215.95</v>
      </c>
      <c r="G666" s="320"/>
      <c r="H666" s="79">
        <v>215.72</v>
      </c>
      <c r="I666" s="79">
        <v>0.23</v>
      </c>
      <c r="J666" s="79">
        <v>215.95</v>
      </c>
      <c r="K666" s="79">
        <v>0</v>
      </c>
      <c r="L666" s="70">
        <v>215.95</v>
      </c>
      <c r="M666" s="132"/>
      <c r="N666" s="79">
        <v>215.72</v>
      </c>
      <c r="O666" s="79">
        <v>0.23</v>
      </c>
      <c r="P666" s="79">
        <v>215.95</v>
      </c>
      <c r="Q666" s="136"/>
      <c r="R666" s="79">
        <v>215.72</v>
      </c>
      <c r="S666" s="79">
        <v>0.23</v>
      </c>
      <c r="T666" s="79">
        <v>215.95</v>
      </c>
      <c r="U666" s="79">
        <v>0</v>
      </c>
      <c r="V666" s="189">
        <v>215.95</v>
      </c>
      <c r="X666" s="79">
        <v>215.72</v>
      </c>
      <c r="Y666" s="79">
        <v>0.23</v>
      </c>
      <c r="Z666" s="79">
        <v>215.95</v>
      </c>
      <c r="AA666" s="255">
        <v>0</v>
      </c>
      <c r="AC666" s="254"/>
    </row>
    <row r="667" spans="1:29" ht="12">
      <c r="A667" s="67" t="s">
        <v>11797</v>
      </c>
      <c r="B667" s="65" t="s">
        <v>11798</v>
      </c>
      <c r="C667" s="71" t="s">
        <v>121</v>
      </c>
      <c r="D667" s="78">
        <v>1</v>
      </c>
      <c r="E667" s="79">
        <v>393.24</v>
      </c>
      <c r="F667" s="70">
        <v>393.24</v>
      </c>
      <c r="G667" s="320"/>
      <c r="H667" s="79">
        <v>375.07</v>
      </c>
      <c r="I667" s="79">
        <v>18.170000000000002</v>
      </c>
      <c r="J667" s="79">
        <v>393.24</v>
      </c>
      <c r="K667" s="79">
        <v>0</v>
      </c>
      <c r="L667" s="70">
        <v>393.24</v>
      </c>
      <c r="M667" s="132"/>
      <c r="N667" s="79">
        <v>375.07</v>
      </c>
      <c r="O667" s="79">
        <v>18.170000000000002</v>
      </c>
      <c r="P667" s="79">
        <v>393.24</v>
      </c>
      <c r="Q667" s="136"/>
      <c r="R667" s="79">
        <v>375.07</v>
      </c>
      <c r="S667" s="79">
        <v>18.170000000000002</v>
      </c>
      <c r="T667" s="79">
        <v>393.24</v>
      </c>
      <c r="U667" s="79">
        <v>0</v>
      </c>
      <c r="V667" s="189">
        <v>393.24</v>
      </c>
      <c r="X667" s="79">
        <v>375.07</v>
      </c>
      <c r="Y667" s="79">
        <v>18.170000000000002</v>
      </c>
      <c r="Z667" s="79">
        <v>393.24</v>
      </c>
      <c r="AA667" s="255">
        <v>0</v>
      </c>
      <c r="AC667" s="254"/>
    </row>
    <row r="668" spans="1:29" ht="12">
      <c r="A668" s="67" t="s">
        <v>11799</v>
      </c>
      <c r="B668" s="65" t="s">
        <v>11800</v>
      </c>
      <c r="C668" s="71" t="s">
        <v>121</v>
      </c>
      <c r="D668" s="78">
        <v>1</v>
      </c>
      <c r="E668" s="79">
        <v>1152.47</v>
      </c>
      <c r="F668" s="70">
        <v>1152.47</v>
      </c>
      <c r="G668" s="320"/>
      <c r="H668" s="79">
        <v>1134.3</v>
      </c>
      <c r="I668" s="79">
        <v>18.170000000000002</v>
      </c>
      <c r="J668" s="79">
        <v>1152.47</v>
      </c>
      <c r="K668" s="79">
        <v>0</v>
      </c>
      <c r="L668" s="70">
        <v>1152.47</v>
      </c>
      <c r="M668" s="132"/>
      <c r="N668" s="79">
        <v>1134.3</v>
      </c>
      <c r="O668" s="79">
        <v>18.170000000000002</v>
      </c>
      <c r="P668" s="79">
        <v>1152.47</v>
      </c>
      <c r="Q668" s="136"/>
      <c r="R668" s="79">
        <v>1134.3</v>
      </c>
      <c r="S668" s="79">
        <v>18.170000000000002</v>
      </c>
      <c r="T668" s="79">
        <v>1152.47</v>
      </c>
      <c r="U668" s="79">
        <v>0</v>
      </c>
      <c r="V668" s="189">
        <v>1152.47</v>
      </c>
      <c r="X668" s="79">
        <v>1134.3</v>
      </c>
      <c r="Y668" s="79">
        <v>18.170000000000002</v>
      </c>
      <c r="Z668" s="79">
        <v>1152.47</v>
      </c>
      <c r="AA668" s="498">
        <v>0</v>
      </c>
      <c r="AC668" s="254"/>
    </row>
    <row r="669" spans="1:29" ht="12">
      <c r="A669" s="489" t="s">
        <v>11801</v>
      </c>
      <c r="B669" s="490" t="s">
        <v>11802</v>
      </c>
      <c r="C669" s="491"/>
      <c r="D669" s="492"/>
      <c r="E669" s="79"/>
      <c r="F669" s="63"/>
      <c r="G669" s="320"/>
      <c r="H669" s="79"/>
      <c r="I669" s="79"/>
      <c r="J669" s="79"/>
      <c r="K669" s="79"/>
      <c r="L669" s="70"/>
      <c r="M669" s="132"/>
      <c r="N669" s="79"/>
      <c r="O669" s="79"/>
      <c r="P669" s="79"/>
      <c r="Q669" s="136"/>
      <c r="R669" s="79"/>
      <c r="S669" s="79"/>
      <c r="T669" s="79"/>
      <c r="U669" s="79"/>
      <c r="V669" s="189"/>
      <c r="X669" s="79"/>
      <c r="Y669" s="79"/>
      <c r="Z669" s="79"/>
      <c r="AA669" s="255"/>
      <c r="AC669" s="254"/>
    </row>
    <row r="670" spans="1:29" ht="12">
      <c r="A670" s="67" t="s">
        <v>11803</v>
      </c>
      <c r="B670" s="65" t="s">
        <v>11804</v>
      </c>
      <c r="C670" s="71" t="s">
        <v>509</v>
      </c>
      <c r="D670" s="78">
        <v>1</v>
      </c>
      <c r="E670" s="79">
        <v>8.49</v>
      </c>
      <c r="F670" s="70">
        <v>8.49</v>
      </c>
      <c r="G670" s="320"/>
      <c r="H670" s="79">
        <v>2.81</v>
      </c>
      <c r="I670" s="79">
        <v>5.68</v>
      </c>
      <c r="J670" s="79">
        <v>8.49</v>
      </c>
      <c r="K670" s="79">
        <v>0</v>
      </c>
      <c r="L670" s="70">
        <v>8.49</v>
      </c>
      <c r="M670" s="132"/>
      <c r="N670" s="79">
        <v>2.81</v>
      </c>
      <c r="O670" s="79">
        <v>5.68</v>
      </c>
      <c r="P670" s="79">
        <v>8.49</v>
      </c>
      <c r="Q670" s="136"/>
      <c r="R670" s="79">
        <v>2.81</v>
      </c>
      <c r="S670" s="79">
        <v>5.68</v>
      </c>
      <c r="T670" s="79">
        <v>8.49</v>
      </c>
      <c r="U670" s="79">
        <v>0</v>
      </c>
      <c r="V670" s="189">
        <v>8.49</v>
      </c>
      <c r="X670" s="79">
        <v>2.81</v>
      </c>
      <c r="Y670" s="79">
        <v>5.68</v>
      </c>
      <c r="Z670" s="79">
        <v>8.49</v>
      </c>
      <c r="AA670" s="255">
        <v>0</v>
      </c>
      <c r="AC670" s="254"/>
    </row>
    <row r="671" spans="1:29" ht="12">
      <c r="A671" s="67" t="s">
        <v>11805</v>
      </c>
      <c r="B671" s="65" t="s">
        <v>11806</v>
      </c>
      <c r="C671" s="71" t="s">
        <v>165</v>
      </c>
      <c r="D671" s="78">
        <v>1</v>
      </c>
      <c r="E671" s="79">
        <v>11.91</v>
      </c>
      <c r="F671" s="70">
        <v>11.91</v>
      </c>
      <c r="G671" s="320"/>
      <c r="H671" s="79">
        <v>11.91</v>
      </c>
      <c r="I671" s="79">
        <v>0</v>
      </c>
      <c r="J671" s="79">
        <v>11.91</v>
      </c>
      <c r="K671" s="79">
        <v>0</v>
      </c>
      <c r="L671" s="70">
        <v>11.91</v>
      </c>
      <c r="M671" s="132"/>
      <c r="N671" s="79">
        <v>11.91</v>
      </c>
      <c r="O671" s="79"/>
      <c r="P671" s="79">
        <v>11.91</v>
      </c>
      <c r="Q671" s="136"/>
      <c r="R671" s="79">
        <v>11.91</v>
      </c>
      <c r="S671" s="79"/>
      <c r="T671" s="79">
        <v>11.91</v>
      </c>
      <c r="U671" s="79">
        <v>0</v>
      </c>
      <c r="V671" s="189">
        <v>11.91</v>
      </c>
      <c r="X671" s="79">
        <v>11.91</v>
      </c>
      <c r="Y671" s="79"/>
      <c r="Z671" s="79">
        <v>11.91</v>
      </c>
      <c r="AA671" s="255">
        <v>0</v>
      </c>
      <c r="AC671" s="254"/>
    </row>
    <row r="672" spans="1:29" ht="12">
      <c r="A672" s="67" t="s">
        <v>11807</v>
      </c>
      <c r="B672" s="65" t="s">
        <v>11808</v>
      </c>
      <c r="C672" s="71" t="s">
        <v>509</v>
      </c>
      <c r="D672" s="78">
        <v>1</v>
      </c>
      <c r="E672" s="79">
        <v>9.76</v>
      </c>
      <c r="F672" s="70">
        <v>9.76</v>
      </c>
      <c r="G672" s="320"/>
      <c r="H672" s="79">
        <v>4.08</v>
      </c>
      <c r="I672" s="79">
        <v>5.68</v>
      </c>
      <c r="J672" s="79">
        <v>9.76</v>
      </c>
      <c r="K672" s="79">
        <v>0</v>
      </c>
      <c r="L672" s="70">
        <v>9.76</v>
      </c>
      <c r="M672" s="132"/>
      <c r="N672" s="79">
        <v>4.08</v>
      </c>
      <c r="O672" s="79">
        <v>5.68</v>
      </c>
      <c r="P672" s="79">
        <v>9.76</v>
      </c>
      <c r="Q672" s="136"/>
      <c r="R672" s="79">
        <v>4.08</v>
      </c>
      <c r="S672" s="79">
        <v>5.68</v>
      </c>
      <c r="T672" s="79">
        <v>9.76</v>
      </c>
      <c r="U672" s="79">
        <v>0</v>
      </c>
      <c r="V672" s="189">
        <v>9.76</v>
      </c>
      <c r="X672" s="79">
        <v>4.08</v>
      </c>
      <c r="Y672" s="79">
        <v>5.68</v>
      </c>
      <c r="Z672" s="79">
        <v>9.76</v>
      </c>
      <c r="AA672" s="255">
        <v>0</v>
      </c>
      <c r="AC672" s="254"/>
    </row>
    <row r="673" spans="1:29" ht="12">
      <c r="A673" s="67" t="s">
        <v>11809</v>
      </c>
      <c r="B673" s="65" t="s">
        <v>11810</v>
      </c>
      <c r="C673" s="71" t="s">
        <v>121</v>
      </c>
      <c r="D673" s="78">
        <v>1</v>
      </c>
      <c r="E673" s="79">
        <v>11430.87</v>
      </c>
      <c r="F673" s="70">
        <v>11430.87</v>
      </c>
      <c r="G673" s="320"/>
      <c r="H673" s="79">
        <v>9458.51</v>
      </c>
      <c r="I673" s="79">
        <v>1972.3600000000001</v>
      </c>
      <c r="J673" s="79">
        <v>11430.87</v>
      </c>
      <c r="K673" s="79">
        <v>0</v>
      </c>
      <c r="L673" s="70">
        <v>11430.87</v>
      </c>
      <c r="M673" s="132"/>
      <c r="N673" s="79">
        <v>9458.51</v>
      </c>
      <c r="O673" s="79">
        <v>1972.3600000000001</v>
      </c>
      <c r="P673" s="79">
        <v>11430.87</v>
      </c>
      <c r="Q673" s="136"/>
      <c r="R673" s="79">
        <v>9458.3700000000008</v>
      </c>
      <c r="S673" s="79">
        <v>1972.46</v>
      </c>
      <c r="T673" s="79">
        <v>11430.830000000002</v>
      </c>
      <c r="U673" s="79">
        <v>0</v>
      </c>
      <c r="V673" s="189">
        <v>11430.830000000002</v>
      </c>
      <c r="X673" s="79">
        <v>9458.3700000000008</v>
      </c>
      <c r="Y673" s="79">
        <v>1972.46</v>
      </c>
      <c r="Z673" s="79">
        <v>11430.83</v>
      </c>
      <c r="AA673" s="255">
        <v>4.0000000000873115E-2</v>
      </c>
      <c r="AC673" s="254"/>
    </row>
    <row r="674" spans="1:29" ht="12">
      <c r="A674" s="67" t="s">
        <v>11811</v>
      </c>
      <c r="B674" s="65" t="s">
        <v>11812</v>
      </c>
      <c r="C674" s="71" t="s">
        <v>165</v>
      </c>
      <c r="D674" s="78">
        <v>1</v>
      </c>
      <c r="E674" s="79">
        <v>349.83000000000004</v>
      </c>
      <c r="F674" s="70">
        <v>349.83</v>
      </c>
      <c r="G674" s="320"/>
      <c r="H674" s="79">
        <v>198.79000000000002</v>
      </c>
      <c r="I674" s="79">
        <v>151.04000000000002</v>
      </c>
      <c r="J674" s="79">
        <v>349.83000000000004</v>
      </c>
      <c r="K674" s="79">
        <v>0</v>
      </c>
      <c r="L674" s="70">
        <v>349.83000000000004</v>
      </c>
      <c r="M674" s="132"/>
      <c r="N674" s="79">
        <v>198.79000000000002</v>
      </c>
      <c r="O674" s="79">
        <v>151.04000000000002</v>
      </c>
      <c r="P674" s="79">
        <v>349.83000000000004</v>
      </c>
      <c r="Q674" s="136"/>
      <c r="R674" s="79">
        <v>198.79</v>
      </c>
      <c r="S674" s="79">
        <v>151.05000000000001</v>
      </c>
      <c r="T674" s="79">
        <v>349.84000000000003</v>
      </c>
      <c r="U674" s="79">
        <v>0</v>
      </c>
      <c r="V674" s="189">
        <v>349.84000000000003</v>
      </c>
      <c r="X674" s="79">
        <v>198.79</v>
      </c>
      <c r="Y674" s="79">
        <v>151.05000000000001</v>
      </c>
      <c r="Z674" s="79">
        <v>349.84</v>
      </c>
      <c r="AA674" s="255">
        <v>-9.9999999999909051E-3</v>
      </c>
      <c r="AC674" s="254"/>
    </row>
    <row r="675" spans="1:29" ht="12">
      <c r="A675" s="494" t="s">
        <v>40940</v>
      </c>
      <c r="B675" s="65" t="s">
        <v>40941</v>
      </c>
      <c r="C675" s="71" t="s">
        <v>207</v>
      </c>
      <c r="D675" s="78">
        <v>1</v>
      </c>
      <c r="E675" s="79">
        <v>8.1399999999999988</v>
      </c>
      <c r="F675" s="70">
        <v>8.14</v>
      </c>
      <c r="G675" s="320"/>
      <c r="H675" s="79">
        <v>7.77</v>
      </c>
      <c r="I675" s="79">
        <v>0.37</v>
      </c>
      <c r="J675" s="79">
        <v>8.1399999999999988</v>
      </c>
      <c r="K675" s="79">
        <v>0</v>
      </c>
      <c r="L675" s="70">
        <v>8.1399999999999988</v>
      </c>
      <c r="M675" s="132"/>
      <c r="N675" s="79">
        <v>7.77</v>
      </c>
      <c r="O675" s="79">
        <v>0.37</v>
      </c>
      <c r="P675" s="79">
        <v>8.1399999999999988</v>
      </c>
      <c r="Q675" s="136"/>
      <c r="R675" s="79">
        <v>7.77</v>
      </c>
      <c r="S675" s="79">
        <v>0.38</v>
      </c>
      <c r="T675" s="79">
        <v>8.15</v>
      </c>
      <c r="U675" s="79">
        <v>0</v>
      </c>
      <c r="V675" s="189">
        <v>8.15</v>
      </c>
      <c r="X675" s="79">
        <v>7.77</v>
      </c>
      <c r="Y675" s="79">
        <v>0.38</v>
      </c>
      <c r="Z675" s="79">
        <v>8.15</v>
      </c>
      <c r="AA675" s="255">
        <v>-9.9999999999997868E-3</v>
      </c>
      <c r="AC675" s="254"/>
    </row>
    <row r="676" spans="1:29" ht="12">
      <c r="A676" s="489" t="s">
        <v>11813</v>
      </c>
      <c r="B676" s="490" t="s">
        <v>11814</v>
      </c>
      <c r="C676" s="491"/>
      <c r="D676" s="492"/>
      <c r="E676" s="79"/>
      <c r="F676" s="63"/>
      <c r="G676" s="320"/>
      <c r="H676" s="79"/>
      <c r="I676" s="79"/>
      <c r="J676" s="79"/>
      <c r="K676" s="79"/>
      <c r="L676" s="70"/>
      <c r="M676" s="132"/>
      <c r="N676" s="79"/>
      <c r="O676" s="79"/>
      <c r="P676" s="79"/>
      <c r="Q676" s="136"/>
      <c r="R676" s="79"/>
      <c r="S676" s="79"/>
      <c r="T676" s="79"/>
      <c r="U676" s="79"/>
      <c r="V676" s="189"/>
      <c r="X676" s="79"/>
      <c r="Y676" s="79"/>
      <c r="Z676" s="79"/>
      <c r="AA676" s="255"/>
      <c r="AC676" s="254"/>
    </row>
    <row r="677" spans="1:29" ht="12">
      <c r="A677" s="489" t="s">
        <v>11815</v>
      </c>
      <c r="B677" s="490" t="s">
        <v>11816</v>
      </c>
      <c r="C677" s="491"/>
      <c r="D677" s="492"/>
      <c r="E677" s="79"/>
      <c r="F677" s="63"/>
      <c r="G677" s="320"/>
      <c r="H677" s="79"/>
      <c r="I677" s="79"/>
      <c r="J677" s="79"/>
      <c r="K677" s="79"/>
      <c r="L677" s="70"/>
      <c r="M677" s="132"/>
      <c r="N677" s="79"/>
      <c r="O677" s="79"/>
      <c r="P677" s="79"/>
      <c r="Q677" s="136"/>
      <c r="R677" s="79"/>
      <c r="S677" s="79"/>
      <c r="T677" s="79"/>
      <c r="U677" s="79"/>
      <c r="V677" s="189"/>
      <c r="X677" s="79"/>
      <c r="Y677" s="79"/>
      <c r="Z677" s="79"/>
      <c r="AA677" s="255"/>
      <c r="AC677" s="254"/>
    </row>
    <row r="678" spans="1:29" ht="12">
      <c r="A678" s="67" t="s">
        <v>11817</v>
      </c>
      <c r="B678" s="65" t="s">
        <v>11818</v>
      </c>
      <c r="C678" s="71" t="s">
        <v>165</v>
      </c>
      <c r="D678" s="78">
        <v>1</v>
      </c>
      <c r="E678" s="79">
        <v>71.83</v>
      </c>
      <c r="F678" s="70">
        <v>71.83</v>
      </c>
      <c r="G678" s="320"/>
      <c r="H678" s="79">
        <v>18.809999999999999</v>
      </c>
      <c r="I678" s="79">
        <v>53.019999999999996</v>
      </c>
      <c r="J678" s="79">
        <v>71.83</v>
      </c>
      <c r="K678" s="79">
        <v>0</v>
      </c>
      <c r="L678" s="70">
        <v>71.83</v>
      </c>
      <c r="M678" s="132"/>
      <c r="N678" s="79">
        <v>18.809999999999999</v>
      </c>
      <c r="O678" s="79">
        <v>53.019999999999996</v>
      </c>
      <c r="P678" s="79">
        <v>71.83</v>
      </c>
      <c r="Q678" s="136"/>
      <c r="R678" s="79">
        <v>18.809999999999999</v>
      </c>
      <c r="S678" s="79">
        <v>53.01</v>
      </c>
      <c r="T678" s="79">
        <v>71.819999999999993</v>
      </c>
      <c r="U678" s="79">
        <v>0</v>
      </c>
      <c r="V678" s="189">
        <v>71.819999999999993</v>
      </c>
      <c r="X678" s="79">
        <v>18.809999999999999</v>
      </c>
      <c r="Y678" s="79">
        <v>53.01</v>
      </c>
      <c r="Z678" s="79">
        <v>71.819999999999993</v>
      </c>
      <c r="AA678" s="255">
        <v>1.0000000000005116E-2</v>
      </c>
      <c r="AC678" s="254"/>
    </row>
    <row r="679" spans="1:29" ht="12">
      <c r="A679" s="67" t="s">
        <v>11819</v>
      </c>
      <c r="B679" s="65" t="s">
        <v>11820</v>
      </c>
      <c r="C679" s="71" t="s">
        <v>165</v>
      </c>
      <c r="D679" s="78">
        <v>1</v>
      </c>
      <c r="E679" s="79">
        <v>85.529999999999987</v>
      </c>
      <c r="F679" s="70">
        <v>85.53</v>
      </c>
      <c r="G679" s="320"/>
      <c r="H679" s="79">
        <v>30.41</v>
      </c>
      <c r="I679" s="79">
        <v>55.12</v>
      </c>
      <c r="J679" s="79">
        <v>85.53</v>
      </c>
      <c r="K679" s="79">
        <v>0</v>
      </c>
      <c r="L679" s="70">
        <v>85.53</v>
      </c>
      <c r="M679" s="132"/>
      <c r="N679" s="79">
        <v>30.41</v>
      </c>
      <c r="O679" s="79">
        <v>55.12</v>
      </c>
      <c r="P679" s="79">
        <v>85.53</v>
      </c>
      <c r="Q679" s="136"/>
      <c r="R679" s="79">
        <v>30.41</v>
      </c>
      <c r="S679" s="79">
        <v>55.12</v>
      </c>
      <c r="T679" s="79">
        <v>85.53</v>
      </c>
      <c r="U679" s="79">
        <v>0</v>
      </c>
      <c r="V679" s="189">
        <v>85.53</v>
      </c>
      <c r="X679" s="79">
        <v>30.41</v>
      </c>
      <c r="Y679" s="79">
        <v>55.12</v>
      </c>
      <c r="Z679" s="79">
        <v>85.53</v>
      </c>
      <c r="AA679" s="255">
        <v>0</v>
      </c>
      <c r="AC679" s="254"/>
    </row>
    <row r="680" spans="1:29" ht="12">
      <c r="A680" s="67" t="s">
        <v>11821</v>
      </c>
      <c r="B680" s="65" t="s">
        <v>11822</v>
      </c>
      <c r="C680" s="71" t="s">
        <v>165</v>
      </c>
      <c r="D680" s="78">
        <v>1</v>
      </c>
      <c r="E680" s="79">
        <v>133.31</v>
      </c>
      <c r="F680" s="70">
        <v>133.31</v>
      </c>
      <c r="G680" s="320"/>
      <c r="H680" s="79">
        <v>45.56</v>
      </c>
      <c r="I680" s="79">
        <v>87.75</v>
      </c>
      <c r="J680" s="79">
        <v>133.31</v>
      </c>
      <c r="K680" s="79">
        <v>0</v>
      </c>
      <c r="L680" s="70">
        <v>133.31</v>
      </c>
      <c r="M680" s="132"/>
      <c r="N680" s="79">
        <v>45.56</v>
      </c>
      <c r="O680" s="79">
        <v>87.75</v>
      </c>
      <c r="P680" s="79">
        <v>133.31</v>
      </c>
      <c r="Q680" s="136"/>
      <c r="R680" s="79">
        <v>45.56</v>
      </c>
      <c r="S680" s="79">
        <v>87.75</v>
      </c>
      <c r="T680" s="79">
        <v>133.31</v>
      </c>
      <c r="U680" s="79">
        <v>0</v>
      </c>
      <c r="V680" s="189">
        <v>133.31</v>
      </c>
      <c r="X680" s="79">
        <v>45.56</v>
      </c>
      <c r="Y680" s="79">
        <v>87.75</v>
      </c>
      <c r="Z680" s="79">
        <v>133.31</v>
      </c>
      <c r="AA680" s="255">
        <v>0</v>
      </c>
      <c r="AC680" s="254"/>
    </row>
    <row r="681" spans="1:29" ht="12">
      <c r="A681" s="489" t="s">
        <v>11823</v>
      </c>
      <c r="B681" s="490" t="s">
        <v>11824</v>
      </c>
      <c r="C681" s="491"/>
      <c r="D681" s="492"/>
      <c r="E681" s="79"/>
      <c r="F681" s="63"/>
      <c r="G681" s="320"/>
      <c r="H681" s="79"/>
      <c r="I681" s="79"/>
      <c r="J681" s="79"/>
      <c r="K681" s="79"/>
      <c r="L681" s="70"/>
      <c r="M681" s="132"/>
      <c r="N681" s="79"/>
      <c r="O681" s="79"/>
      <c r="P681" s="79"/>
      <c r="Q681" s="136"/>
      <c r="R681" s="79"/>
      <c r="S681" s="79"/>
      <c r="T681" s="79"/>
      <c r="U681" s="79"/>
      <c r="V681" s="189"/>
      <c r="X681" s="79"/>
      <c r="Y681" s="79"/>
      <c r="Z681" s="79"/>
      <c r="AA681" s="255"/>
      <c r="AC681" s="254"/>
    </row>
    <row r="682" spans="1:29" ht="24">
      <c r="A682" s="67" t="s">
        <v>11825</v>
      </c>
      <c r="B682" s="65" t="s">
        <v>175</v>
      </c>
      <c r="C682" s="71" t="s">
        <v>108</v>
      </c>
      <c r="D682" s="78">
        <v>1</v>
      </c>
      <c r="E682" s="79">
        <v>29336.400000000001</v>
      </c>
      <c r="F682" s="70">
        <v>29336.400000000001</v>
      </c>
      <c r="G682" s="320"/>
      <c r="H682" s="79">
        <v>29336.400000000001</v>
      </c>
      <c r="I682" s="79">
        <v>0</v>
      </c>
      <c r="J682" s="79">
        <v>29336.400000000001</v>
      </c>
      <c r="K682" s="79">
        <v>0</v>
      </c>
      <c r="L682" s="70">
        <v>29336.400000000001</v>
      </c>
      <c r="M682" s="132"/>
      <c r="N682" s="79">
        <v>29336.400000000001</v>
      </c>
      <c r="O682" s="79"/>
      <c r="P682" s="79">
        <v>29336.400000000001</v>
      </c>
      <c r="Q682" s="136"/>
      <c r="R682" s="79">
        <v>29336.400000000001</v>
      </c>
      <c r="S682" s="79"/>
      <c r="T682" s="79">
        <v>29336.400000000001</v>
      </c>
      <c r="U682" s="79">
        <v>0</v>
      </c>
      <c r="V682" s="189">
        <v>29336.400000000001</v>
      </c>
      <c r="X682" s="79">
        <v>29336.400000000001</v>
      </c>
      <c r="Y682" s="79"/>
      <c r="Z682" s="79">
        <v>29336.400000000001</v>
      </c>
      <c r="AA682" s="255">
        <v>0</v>
      </c>
      <c r="AC682" s="254"/>
    </row>
    <row r="683" spans="1:29" ht="12">
      <c r="A683" s="67" t="s">
        <v>11826</v>
      </c>
      <c r="B683" s="65" t="s">
        <v>177</v>
      </c>
      <c r="C683" s="71" t="s">
        <v>165</v>
      </c>
      <c r="D683" s="78">
        <v>1</v>
      </c>
      <c r="E683" s="79">
        <v>179.22</v>
      </c>
      <c r="F683" s="70">
        <v>179.22</v>
      </c>
      <c r="G683" s="320"/>
      <c r="H683" s="79">
        <v>176.94</v>
      </c>
      <c r="I683" s="79">
        <v>2.2800000000000002</v>
      </c>
      <c r="J683" s="79">
        <v>179.22</v>
      </c>
      <c r="K683" s="79">
        <v>0</v>
      </c>
      <c r="L683" s="70">
        <v>179.22</v>
      </c>
      <c r="M683" s="132"/>
      <c r="N683" s="79">
        <v>176.94</v>
      </c>
      <c r="O683" s="79">
        <v>2.2800000000000002</v>
      </c>
      <c r="P683" s="79">
        <v>179.22</v>
      </c>
      <c r="Q683" s="136"/>
      <c r="R683" s="79">
        <v>176.94</v>
      </c>
      <c r="S683" s="79">
        <v>2.27</v>
      </c>
      <c r="T683" s="79">
        <v>179.21</v>
      </c>
      <c r="U683" s="79">
        <v>0</v>
      </c>
      <c r="V683" s="189">
        <v>179.21</v>
      </c>
      <c r="X683" s="79">
        <v>176.94</v>
      </c>
      <c r="Y683" s="79">
        <v>2.27</v>
      </c>
      <c r="Z683" s="79">
        <v>179.21</v>
      </c>
      <c r="AA683" s="255">
        <v>9.9999999999909051E-3</v>
      </c>
      <c r="AC683" s="254"/>
    </row>
    <row r="684" spans="1:29" ht="12">
      <c r="A684" s="67" t="s">
        <v>11827</v>
      </c>
      <c r="B684" s="65" t="s">
        <v>180</v>
      </c>
      <c r="C684" s="71" t="s">
        <v>165</v>
      </c>
      <c r="D684" s="78">
        <v>1</v>
      </c>
      <c r="E684" s="79">
        <v>193.11</v>
      </c>
      <c r="F684" s="70">
        <v>193.11</v>
      </c>
      <c r="G684" s="320"/>
      <c r="H684" s="79">
        <v>190.82999999999998</v>
      </c>
      <c r="I684" s="79">
        <v>2.2800000000000002</v>
      </c>
      <c r="J684" s="79">
        <v>193.10999999999999</v>
      </c>
      <c r="K684" s="79">
        <v>0</v>
      </c>
      <c r="L684" s="70">
        <v>193.10999999999999</v>
      </c>
      <c r="M684" s="132"/>
      <c r="N684" s="79">
        <v>190.82999999999998</v>
      </c>
      <c r="O684" s="79">
        <v>2.2800000000000002</v>
      </c>
      <c r="P684" s="79">
        <v>193.10999999999999</v>
      </c>
      <c r="Q684" s="136"/>
      <c r="R684" s="79">
        <v>190.83</v>
      </c>
      <c r="S684" s="79">
        <v>2.27</v>
      </c>
      <c r="T684" s="79">
        <v>193.10000000000002</v>
      </c>
      <c r="U684" s="79">
        <v>0</v>
      </c>
      <c r="V684" s="189">
        <v>193.10000000000002</v>
      </c>
      <c r="X684" s="79">
        <v>190.83</v>
      </c>
      <c r="Y684" s="79">
        <v>2.27</v>
      </c>
      <c r="Z684" s="79">
        <v>193.1</v>
      </c>
      <c r="AA684" s="255">
        <v>1.0000000000019327E-2</v>
      </c>
      <c r="AC684" s="254"/>
    </row>
    <row r="685" spans="1:29" ht="12">
      <c r="A685" s="67" t="s">
        <v>11828</v>
      </c>
      <c r="B685" s="65" t="s">
        <v>183</v>
      </c>
      <c r="C685" s="71" t="s">
        <v>165</v>
      </c>
      <c r="D685" s="78">
        <v>1</v>
      </c>
      <c r="E685" s="79">
        <v>203.55</v>
      </c>
      <c r="F685" s="70">
        <v>203.55</v>
      </c>
      <c r="G685" s="320"/>
      <c r="H685" s="79">
        <v>201.26999999999998</v>
      </c>
      <c r="I685" s="79">
        <v>2.2800000000000002</v>
      </c>
      <c r="J685" s="79">
        <v>203.54999999999998</v>
      </c>
      <c r="K685" s="79">
        <v>0</v>
      </c>
      <c r="L685" s="70">
        <v>203.54999999999998</v>
      </c>
      <c r="M685" s="132"/>
      <c r="N685" s="79">
        <v>201.26999999999998</v>
      </c>
      <c r="O685" s="79">
        <v>2.2800000000000002</v>
      </c>
      <c r="P685" s="79">
        <v>203.54999999999998</v>
      </c>
      <c r="Q685" s="136"/>
      <c r="R685" s="79">
        <v>201.27</v>
      </c>
      <c r="S685" s="79">
        <v>2.27</v>
      </c>
      <c r="T685" s="79">
        <v>203.54000000000002</v>
      </c>
      <c r="U685" s="79">
        <v>0</v>
      </c>
      <c r="V685" s="189">
        <v>203.54000000000002</v>
      </c>
      <c r="X685" s="79">
        <v>201.27</v>
      </c>
      <c r="Y685" s="79">
        <v>2.27</v>
      </c>
      <c r="Z685" s="79">
        <v>203.54</v>
      </c>
      <c r="AA685" s="255">
        <v>1.0000000000019327E-2</v>
      </c>
      <c r="AC685" s="254"/>
    </row>
    <row r="686" spans="1:29" ht="12">
      <c r="A686" s="67" t="s">
        <v>11829</v>
      </c>
      <c r="B686" s="65" t="s">
        <v>186</v>
      </c>
      <c r="C686" s="71" t="s">
        <v>165</v>
      </c>
      <c r="D686" s="78">
        <v>1</v>
      </c>
      <c r="E686" s="79">
        <v>216.41</v>
      </c>
      <c r="F686" s="70">
        <v>216.41</v>
      </c>
      <c r="G686" s="320"/>
      <c r="H686" s="79">
        <v>214.13</v>
      </c>
      <c r="I686" s="79">
        <v>2.2800000000000002</v>
      </c>
      <c r="J686" s="79">
        <v>216.41</v>
      </c>
      <c r="K686" s="79">
        <v>0</v>
      </c>
      <c r="L686" s="70">
        <v>216.41</v>
      </c>
      <c r="M686" s="132"/>
      <c r="N686" s="79">
        <v>214.13</v>
      </c>
      <c r="O686" s="79">
        <v>2.2800000000000002</v>
      </c>
      <c r="P686" s="79">
        <v>216.41</v>
      </c>
      <c r="Q686" s="136"/>
      <c r="R686" s="79">
        <v>214.13</v>
      </c>
      <c r="S686" s="79">
        <v>2.27</v>
      </c>
      <c r="T686" s="79">
        <v>216.4</v>
      </c>
      <c r="U686" s="79">
        <v>0</v>
      </c>
      <c r="V686" s="189">
        <v>216.4</v>
      </c>
      <c r="X686" s="79">
        <v>214.13</v>
      </c>
      <c r="Y686" s="79">
        <v>2.27</v>
      </c>
      <c r="Z686" s="79">
        <v>216.4</v>
      </c>
      <c r="AA686" s="255">
        <v>9.9999999999909051E-3</v>
      </c>
      <c r="AC686" s="254"/>
    </row>
    <row r="687" spans="1:29" ht="12">
      <c r="A687" s="67" t="s">
        <v>11830</v>
      </c>
      <c r="B687" s="65" t="s">
        <v>189</v>
      </c>
      <c r="C687" s="71" t="s">
        <v>165</v>
      </c>
      <c r="D687" s="78">
        <v>1</v>
      </c>
      <c r="E687" s="79">
        <v>247.1</v>
      </c>
      <c r="F687" s="70">
        <v>247.1</v>
      </c>
      <c r="G687" s="320"/>
      <c r="H687" s="79">
        <v>244.82</v>
      </c>
      <c r="I687" s="79">
        <v>2.2800000000000002</v>
      </c>
      <c r="J687" s="79">
        <v>247.1</v>
      </c>
      <c r="K687" s="79">
        <v>0</v>
      </c>
      <c r="L687" s="70">
        <v>247.1</v>
      </c>
      <c r="M687" s="132"/>
      <c r="N687" s="79">
        <v>244.82</v>
      </c>
      <c r="O687" s="79">
        <v>2.2800000000000002</v>
      </c>
      <c r="P687" s="79">
        <v>247.1</v>
      </c>
      <c r="Q687" s="136"/>
      <c r="R687" s="79">
        <v>244.82</v>
      </c>
      <c r="S687" s="79">
        <v>2.27</v>
      </c>
      <c r="T687" s="79">
        <v>247.09</v>
      </c>
      <c r="U687" s="79">
        <v>0</v>
      </c>
      <c r="V687" s="189">
        <v>247.09</v>
      </c>
      <c r="X687" s="79">
        <v>244.82</v>
      </c>
      <c r="Y687" s="79">
        <v>2.27</v>
      </c>
      <c r="Z687" s="79">
        <v>247.09</v>
      </c>
      <c r="AA687" s="255">
        <v>9.9999999999909051E-3</v>
      </c>
      <c r="AC687" s="254"/>
    </row>
    <row r="688" spans="1:29" ht="12">
      <c r="A688" s="489" t="s">
        <v>11831</v>
      </c>
      <c r="B688" s="490" t="s">
        <v>11832</v>
      </c>
      <c r="C688" s="491"/>
      <c r="D688" s="492"/>
      <c r="E688" s="79"/>
      <c r="F688" s="63"/>
      <c r="G688" s="320"/>
      <c r="H688" s="79"/>
      <c r="I688" s="79"/>
      <c r="J688" s="79"/>
      <c r="K688" s="79"/>
      <c r="L688" s="70"/>
      <c r="M688" s="132"/>
      <c r="N688" s="79"/>
      <c r="O688" s="79"/>
      <c r="P688" s="79"/>
      <c r="Q688" s="136"/>
      <c r="R688" s="79"/>
      <c r="S688" s="79"/>
      <c r="T688" s="79"/>
      <c r="U688" s="79"/>
      <c r="V688" s="189"/>
      <c r="X688" s="79"/>
      <c r="Y688" s="79"/>
      <c r="Z688" s="79"/>
      <c r="AA688" s="255"/>
      <c r="AC688" s="254"/>
    </row>
    <row r="689" spans="1:29" ht="12">
      <c r="A689" s="67" t="s">
        <v>11833</v>
      </c>
      <c r="B689" s="65" t="s">
        <v>192</v>
      </c>
      <c r="C689" s="71" t="s">
        <v>108</v>
      </c>
      <c r="D689" s="78">
        <v>1</v>
      </c>
      <c r="E689" s="79">
        <v>2765.37</v>
      </c>
      <c r="F689" s="70">
        <v>2765.37</v>
      </c>
      <c r="G689" s="320"/>
      <c r="H689" s="79">
        <v>2765.37</v>
      </c>
      <c r="I689" s="79">
        <v>0</v>
      </c>
      <c r="J689" s="79">
        <v>2765.37</v>
      </c>
      <c r="K689" s="79">
        <v>0</v>
      </c>
      <c r="L689" s="70">
        <v>2765.37</v>
      </c>
      <c r="M689" s="132"/>
      <c r="N689" s="79">
        <v>2765.37</v>
      </c>
      <c r="O689" s="79"/>
      <c r="P689" s="79">
        <v>2765.37</v>
      </c>
      <c r="Q689" s="136"/>
      <c r="R689" s="79">
        <v>2765.37</v>
      </c>
      <c r="S689" s="79"/>
      <c r="T689" s="79">
        <v>2765.37</v>
      </c>
      <c r="U689" s="79">
        <v>0</v>
      </c>
      <c r="V689" s="189">
        <v>2765.37</v>
      </c>
      <c r="X689" s="79">
        <v>2765.37</v>
      </c>
      <c r="Y689" s="79"/>
      <c r="Z689" s="79">
        <v>2765.37</v>
      </c>
      <c r="AA689" s="255">
        <v>0</v>
      </c>
      <c r="AC689" s="254"/>
    </row>
    <row r="690" spans="1:29" ht="12">
      <c r="A690" s="67" t="s">
        <v>11834</v>
      </c>
      <c r="B690" s="65" t="s">
        <v>223</v>
      </c>
      <c r="C690" s="71" t="s">
        <v>165</v>
      </c>
      <c r="D690" s="78">
        <v>1</v>
      </c>
      <c r="E690" s="79">
        <v>60.59</v>
      </c>
      <c r="F690" s="70">
        <v>60.59</v>
      </c>
      <c r="G690" s="320"/>
      <c r="H690" s="79">
        <v>43.79</v>
      </c>
      <c r="I690" s="79">
        <v>16.8</v>
      </c>
      <c r="J690" s="79">
        <v>60.59</v>
      </c>
      <c r="K690" s="79">
        <v>0</v>
      </c>
      <c r="L690" s="70">
        <v>60.59</v>
      </c>
      <c r="M690" s="132"/>
      <c r="N690" s="79">
        <v>43.79</v>
      </c>
      <c r="O690" s="79">
        <v>16.8</v>
      </c>
      <c r="P690" s="79">
        <v>60.59</v>
      </c>
      <c r="Q690" s="136"/>
      <c r="R690" s="79">
        <v>43.79</v>
      </c>
      <c r="S690" s="79">
        <v>16.79</v>
      </c>
      <c r="T690" s="79">
        <v>60.58</v>
      </c>
      <c r="U690" s="79">
        <v>0</v>
      </c>
      <c r="V690" s="189">
        <v>60.58</v>
      </c>
      <c r="X690" s="79">
        <v>43.79</v>
      </c>
      <c r="Y690" s="79">
        <v>16.79</v>
      </c>
      <c r="Z690" s="79">
        <v>60.58</v>
      </c>
      <c r="AA690" s="255">
        <v>1.0000000000005116E-2</v>
      </c>
      <c r="AC690" s="254"/>
    </row>
    <row r="691" spans="1:29" ht="12">
      <c r="A691" s="67" t="s">
        <v>11835</v>
      </c>
      <c r="B691" s="65" t="s">
        <v>225</v>
      </c>
      <c r="C691" s="71" t="s">
        <v>165</v>
      </c>
      <c r="D691" s="78">
        <v>1</v>
      </c>
      <c r="E691" s="79">
        <v>82.86</v>
      </c>
      <c r="F691" s="70">
        <v>82.86</v>
      </c>
      <c r="G691" s="320"/>
      <c r="H691" s="79">
        <v>58.600000000000009</v>
      </c>
      <c r="I691" s="79">
        <v>24.259999999999998</v>
      </c>
      <c r="J691" s="79">
        <v>82.860000000000014</v>
      </c>
      <c r="K691" s="79">
        <v>0</v>
      </c>
      <c r="L691" s="70">
        <v>82.860000000000014</v>
      </c>
      <c r="M691" s="132"/>
      <c r="N691" s="79">
        <v>58.600000000000009</v>
      </c>
      <c r="O691" s="79">
        <v>24.259999999999998</v>
      </c>
      <c r="P691" s="79">
        <v>82.860000000000014</v>
      </c>
      <c r="Q691" s="136"/>
      <c r="R691" s="79">
        <v>58.6</v>
      </c>
      <c r="S691" s="79">
        <v>24.25</v>
      </c>
      <c r="T691" s="79">
        <v>82.85</v>
      </c>
      <c r="U691" s="79">
        <v>0</v>
      </c>
      <c r="V691" s="189">
        <v>82.85</v>
      </c>
      <c r="X691" s="79">
        <v>58.6</v>
      </c>
      <c r="Y691" s="79">
        <v>24.25</v>
      </c>
      <c r="Z691" s="79">
        <v>82.85</v>
      </c>
      <c r="AA691" s="255">
        <v>1.0000000000005116E-2</v>
      </c>
      <c r="AC691" s="254"/>
    </row>
    <row r="692" spans="1:29" ht="12">
      <c r="A692" s="67" t="s">
        <v>11836</v>
      </c>
      <c r="B692" s="65" t="s">
        <v>227</v>
      </c>
      <c r="C692" s="71" t="s">
        <v>165</v>
      </c>
      <c r="D692" s="78">
        <v>1</v>
      </c>
      <c r="E692" s="79">
        <v>110.25</v>
      </c>
      <c r="F692" s="70">
        <v>110.25</v>
      </c>
      <c r="G692" s="320"/>
      <c r="H692" s="79">
        <v>77.039999999999992</v>
      </c>
      <c r="I692" s="79">
        <v>33.21</v>
      </c>
      <c r="J692" s="79">
        <v>110.25</v>
      </c>
      <c r="K692" s="79">
        <v>0</v>
      </c>
      <c r="L692" s="70">
        <v>110.25</v>
      </c>
      <c r="M692" s="132"/>
      <c r="N692" s="79">
        <v>77.039999999999992</v>
      </c>
      <c r="O692" s="79">
        <v>33.21</v>
      </c>
      <c r="P692" s="79">
        <v>110.25</v>
      </c>
      <c r="Q692" s="136"/>
      <c r="R692" s="79">
        <v>77.040000000000006</v>
      </c>
      <c r="S692" s="79">
        <v>33.229999999999997</v>
      </c>
      <c r="T692" s="79">
        <v>110.27000000000001</v>
      </c>
      <c r="U692" s="79">
        <v>0</v>
      </c>
      <c r="V692" s="189">
        <v>110.27000000000001</v>
      </c>
      <c r="X692" s="79">
        <v>77.040000000000006</v>
      </c>
      <c r="Y692" s="79">
        <v>33.229999999999997</v>
      </c>
      <c r="Z692" s="79">
        <v>110.27</v>
      </c>
      <c r="AA692" s="255">
        <v>-1.9999999999996021E-2</v>
      </c>
      <c r="AC692" s="254"/>
    </row>
    <row r="693" spans="1:29" ht="12">
      <c r="A693" s="67" t="s">
        <v>11837</v>
      </c>
      <c r="B693" s="65" t="s">
        <v>229</v>
      </c>
      <c r="C693" s="71" t="s">
        <v>165</v>
      </c>
      <c r="D693" s="78">
        <v>1</v>
      </c>
      <c r="E693" s="79">
        <v>143.92999999999998</v>
      </c>
      <c r="F693" s="70">
        <v>143.93</v>
      </c>
      <c r="G693" s="320"/>
      <c r="H693" s="79">
        <v>99.97</v>
      </c>
      <c r="I693" s="79">
        <v>43.959999999999994</v>
      </c>
      <c r="J693" s="79">
        <v>143.93</v>
      </c>
      <c r="K693" s="79">
        <v>0</v>
      </c>
      <c r="L693" s="70">
        <v>143.93</v>
      </c>
      <c r="M693" s="132"/>
      <c r="N693" s="79">
        <v>99.97</v>
      </c>
      <c r="O693" s="79">
        <v>43.959999999999994</v>
      </c>
      <c r="P693" s="79">
        <v>143.93</v>
      </c>
      <c r="Q693" s="136"/>
      <c r="R693" s="79">
        <v>99.97</v>
      </c>
      <c r="S693" s="79">
        <v>43.97</v>
      </c>
      <c r="T693" s="79">
        <v>143.94</v>
      </c>
      <c r="U693" s="79">
        <v>0</v>
      </c>
      <c r="V693" s="189">
        <v>143.94</v>
      </c>
      <c r="X693" s="79">
        <v>99.97</v>
      </c>
      <c r="Y693" s="79">
        <v>43.97</v>
      </c>
      <c r="Z693" s="79">
        <v>143.94</v>
      </c>
      <c r="AA693" s="255">
        <v>-9.9999999999909051E-3</v>
      </c>
      <c r="AC693" s="254"/>
    </row>
    <row r="694" spans="1:29" ht="12">
      <c r="A694" s="489" t="s">
        <v>11838</v>
      </c>
      <c r="B694" s="490" t="s">
        <v>11839</v>
      </c>
      <c r="C694" s="491"/>
      <c r="D694" s="492"/>
      <c r="E694" s="79"/>
      <c r="F694" s="63"/>
      <c r="G694" s="320"/>
      <c r="H694" s="79"/>
      <c r="I694" s="79"/>
      <c r="J694" s="79"/>
      <c r="K694" s="79"/>
      <c r="L694" s="70"/>
      <c r="M694" s="132"/>
      <c r="N694" s="79"/>
      <c r="O694" s="79"/>
      <c r="P694" s="79"/>
      <c r="Q694" s="136"/>
      <c r="R694" s="79"/>
      <c r="S694" s="79"/>
      <c r="T694" s="79"/>
      <c r="U694" s="79"/>
      <c r="V694" s="189"/>
      <c r="X694" s="79"/>
      <c r="Y694" s="79"/>
      <c r="Z694" s="79"/>
      <c r="AA694" s="255"/>
      <c r="AC694" s="254"/>
    </row>
    <row r="695" spans="1:29" ht="24">
      <c r="A695" s="67" t="s">
        <v>11840</v>
      </c>
      <c r="B695" s="65" t="s">
        <v>194</v>
      </c>
      <c r="C695" s="71" t="s">
        <v>108</v>
      </c>
      <c r="D695" s="78">
        <v>1</v>
      </c>
      <c r="E695" s="79">
        <v>3099.83</v>
      </c>
      <c r="F695" s="70">
        <v>3099.83</v>
      </c>
      <c r="G695" s="320"/>
      <c r="H695" s="79">
        <v>3099.83</v>
      </c>
      <c r="I695" s="79">
        <v>0</v>
      </c>
      <c r="J695" s="79">
        <v>3099.83</v>
      </c>
      <c r="K695" s="79">
        <v>0</v>
      </c>
      <c r="L695" s="70">
        <v>3099.83</v>
      </c>
      <c r="M695" s="132"/>
      <c r="N695" s="79">
        <v>3099.83</v>
      </c>
      <c r="O695" s="79"/>
      <c r="P695" s="79">
        <v>3099.83</v>
      </c>
      <c r="Q695" s="136"/>
      <c r="R695" s="79">
        <v>3099.83</v>
      </c>
      <c r="S695" s="79"/>
      <c r="T695" s="79">
        <v>3099.83</v>
      </c>
      <c r="U695" s="79">
        <v>0</v>
      </c>
      <c r="V695" s="189">
        <v>3099.83</v>
      </c>
      <c r="X695" s="79">
        <v>3099.83</v>
      </c>
      <c r="Y695" s="79"/>
      <c r="Z695" s="79">
        <v>3099.83</v>
      </c>
      <c r="AA695" s="255">
        <v>0</v>
      </c>
      <c r="AC695" s="254"/>
    </row>
    <row r="696" spans="1:29" ht="12">
      <c r="A696" s="67" t="s">
        <v>11841</v>
      </c>
      <c r="B696" s="65" t="s">
        <v>200</v>
      </c>
      <c r="C696" s="71" t="s">
        <v>165</v>
      </c>
      <c r="D696" s="78">
        <v>1</v>
      </c>
      <c r="E696" s="79">
        <v>77.84</v>
      </c>
      <c r="F696" s="70">
        <v>77.84</v>
      </c>
      <c r="G696" s="320"/>
      <c r="H696" s="79">
        <v>63.710000000000008</v>
      </c>
      <c r="I696" s="79">
        <v>14.13</v>
      </c>
      <c r="J696" s="79">
        <v>77.84</v>
      </c>
      <c r="K696" s="79">
        <v>0</v>
      </c>
      <c r="L696" s="70">
        <v>77.84</v>
      </c>
      <c r="M696" s="132"/>
      <c r="N696" s="79">
        <v>63.710000000000008</v>
      </c>
      <c r="O696" s="79">
        <v>14.13</v>
      </c>
      <c r="P696" s="79">
        <v>77.84</v>
      </c>
      <c r="Q696" s="136"/>
      <c r="R696" s="79">
        <v>63.71</v>
      </c>
      <c r="S696" s="79">
        <v>14.13</v>
      </c>
      <c r="T696" s="79">
        <v>77.84</v>
      </c>
      <c r="U696" s="79">
        <v>0</v>
      </c>
      <c r="V696" s="189">
        <v>77.84</v>
      </c>
      <c r="X696" s="79">
        <v>63.71</v>
      </c>
      <c r="Y696" s="79">
        <v>14.13</v>
      </c>
      <c r="Z696" s="79">
        <v>77.84</v>
      </c>
      <c r="AA696" s="255">
        <v>0</v>
      </c>
      <c r="AC696" s="254"/>
    </row>
    <row r="697" spans="1:29" ht="12">
      <c r="A697" s="67" t="s">
        <v>11842</v>
      </c>
      <c r="B697" s="65" t="s">
        <v>202</v>
      </c>
      <c r="C697" s="71" t="s">
        <v>165</v>
      </c>
      <c r="D697" s="78">
        <v>1</v>
      </c>
      <c r="E697" s="79">
        <v>103.16000000000001</v>
      </c>
      <c r="F697" s="70">
        <v>103.16</v>
      </c>
      <c r="G697" s="320"/>
      <c r="H697" s="79">
        <v>82.76</v>
      </c>
      <c r="I697" s="79">
        <v>20.400000000000002</v>
      </c>
      <c r="J697" s="79">
        <v>103.16000000000001</v>
      </c>
      <c r="K697" s="79">
        <v>0</v>
      </c>
      <c r="L697" s="70">
        <v>103.16000000000001</v>
      </c>
      <c r="M697" s="132"/>
      <c r="N697" s="79">
        <v>82.76</v>
      </c>
      <c r="O697" s="79">
        <v>20.400000000000002</v>
      </c>
      <c r="P697" s="79">
        <v>103.16000000000001</v>
      </c>
      <c r="Q697" s="136"/>
      <c r="R697" s="79">
        <v>82.76</v>
      </c>
      <c r="S697" s="79">
        <v>20.39</v>
      </c>
      <c r="T697" s="79">
        <v>103.15</v>
      </c>
      <c r="U697" s="79">
        <v>0</v>
      </c>
      <c r="V697" s="189">
        <v>103.15</v>
      </c>
      <c r="X697" s="79">
        <v>82.76</v>
      </c>
      <c r="Y697" s="79">
        <v>20.39</v>
      </c>
      <c r="Z697" s="79">
        <v>103.15</v>
      </c>
      <c r="AA697" s="255">
        <v>9.9999999999909051E-3</v>
      </c>
      <c r="AC697" s="254"/>
    </row>
    <row r="698" spans="1:29" ht="12">
      <c r="A698" s="67" t="s">
        <v>11843</v>
      </c>
      <c r="B698" s="65" t="s">
        <v>204</v>
      </c>
      <c r="C698" s="71" t="s">
        <v>165</v>
      </c>
      <c r="D698" s="78">
        <v>1</v>
      </c>
      <c r="E698" s="79">
        <v>135.97</v>
      </c>
      <c r="F698" s="70">
        <v>135.97</v>
      </c>
      <c r="G698" s="320"/>
      <c r="H698" s="79">
        <v>108.17</v>
      </c>
      <c r="I698" s="79">
        <v>27.799999999999997</v>
      </c>
      <c r="J698" s="79">
        <v>135.97</v>
      </c>
      <c r="K698" s="79">
        <v>0</v>
      </c>
      <c r="L698" s="70">
        <v>135.97</v>
      </c>
      <c r="M698" s="132"/>
      <c r="N698" s="79">
        <v>108.17</v>
      </c>
      <c r="O698" s="79">
        <v>27.799999999999997</v>
      </c>
      <c r="P698" s="79">
        <v>135.97</v>
      </c>
      <c r="Q698" s="136"/>
      <c r="R698" s="79">
        <v>108.17</v>
      </c>
      <c r="S698" s="79">
        <v>27.81</v>
      </c>
      <c r="T698" s="79">
        <v>135.97999999999999</v>
      </c>
      <c r="U698" s="79">
        <v>0</v>
      </c>
      <c r="V698" s="189">
        <v>135.97999999999999</v>
      </c>
      <c r="X698" s="79">
        <v>108.17</v>
      </c>
      <c r="Y698" s="79">
        <v>27.81</v>
      </c>
      <c r="Z698" s="79">
        <v>135.97999999999999</v>
      </c>
      <c r="AA698" s="255">
        <v>-9.9999999999909051E-3</v>
      </c>
      <c r="AC698" s="254"/>
    </row>
    <row r="699" spans="1:29" ht="12">
      <c r="A699" s="67" t="s">
        <v>11844</v>
      </c>
      <c r="B699" s="65" t="s">
        <v>239</v>
      </c>
      <c r="C699" s="71" t="s">
        <v>165</v>
      </c>
      <c r="D699" s="78">
        <v>1</v>
      </c>
      <c r="E699" s="79">
        <v>202.39999999999998</v>
      </c>
      <c r="F699" s="70">
        <v>202.4</v>
      </c>
      <c r="G699" s="320"/>
      <c r="H699" s="79">
        <v>166.13</v>
      </c>
      <c r="I699" s="79">
        <v>36.269999999999996</v>
      </c>
      <c r="J699" s="79">
        <v>202.39999999999998</v>
      </c>
      <c r="K699" s="79">
        <v>0</v>
      </c>
      <c r="L699" s="70">
        <v>202.39999999999998</v>
      </c>
      <c r="M699" s="132"/>
      <c r="N699" s="79">
        <v>166.13</v>
      </c>
      <c r="O699" s="79">
        <v>36.269999999999996</v>
      </c>
      <c r="P699" s="79">
        <v>202.39999999999998</v>
      </c>
      <c r="Q699" s="136"/>
      <c r="R699" s="79">
        <v>166.13</v>
      </c>
      <c r="S699" s="79">
        <v>36.26</v>
      </c>
      <c r="T699" s="79">
        <v>202.39</v>
      </c>
      <c r="U699" s="79">
        <v>0</v>
      </c>
      <c r="V699" s="189">
        <v>202.39</v>
      </c>
      <c r="X699" s="79">
        <v>166.13</v>
      </c>
      <c r="Y699" s="79">
        <v>36.26</v>
      </c>
      <c r="Z699" s="79">
        <v>202.39</v>
      </c>
      <c r="AA699" s="255">
        <v>1.0000000000019327E-2</v>
      </c>
      <c r="AC699" s="254"/>
    </row>
    <row r="700" spans="1:29" ht="12">
      <c r="A700" s="489" t="s">
        <v>11845</v>
      </c>
      <c r="B700" s="490" t="s">
        <v>11846</v>
      </c>
      <c r="C700" s="491"/>
      <c r="D700" s="492"/>
      <c r="E700" s="79"/>
      <c r="F700" s="63"/>
      <c r="G700" s="320"/>
      <c r="H700" s="79"/>
      <c r="I700" s="79"/>
      <c r="J700" s="79"/>
      <c r="K700" s="79"/>
      <c r="L700" s="70"/>
      <c r="M700" s="132"/>
      <c r="N700" s="79"/>
      <c r="O700" s="79"/>
      <c r="P700" s="79"/>
      <c r="Q700" s="136"/>
      <c r="R700" s="79"/>
      <c r="S700" s="79"/>
      <c r="T700" s="79"/>
      <c r="U700" s="79"/>
      <c r="V700" s="189"/>
      <c r="X700" s="79"/>
      <c r="Y700" s="79"/>
      <c r="Z700" s="79"/>
      <c r="AA700" s="255"/>
      <c r="AC700" s="254"/>
    </row>
    <row r="701" spans="1:29" ht="24">
      <c r="A701" s="67" t="s">
        <v>11847</v>
      </c>
      <c r="B701" s="65" t="s">
        <v>196</v>
      </c>
      <c r="C701" s="71" t="s">
        <v>108</v>
      </c>
      <c r="D701" s="78">
        <v>1</v>
      </c>
      <c r="E701" s="79">
        <v>32657.79</v>
      </c>
      <c r="F701" s="70">
        <v>32657.79</v>
      </c>
      <c r="G701" s="320"/>
      <c r="H701" s="79">
        <v>32657.79</v>
      </c>
      <c r="I701" s="79">
        <v>0</v>
      </c>
      <c r="J701" s="79">
        <v>32657.79</v>
      </c>
      <c r="K701" s="79">
        <v>0</v>
      </c>
      <c r="L701" s="70">
        <v>32657.79</v>
      </c>
      <c r="M701" s="132"/>
      <c r="N701" s="79">
        <v>32657.79</v>
      </c>
      <c r="O701" s="79"/>
      <c r="P701" s="79">
        <v>32657.79</v>
      </c>
      <c r="Q701" s="136"/>
      <c r="R701" s="79">
        <v>32657.79</v>
      </c>
      <c r="S701" s="79"/>
      <c r="T701" s="79">
        <v>32657.79</v>
      </c>
      <c r="U701" s="79">
        <v>0</v>
      </c>
      <c r="V701" s="189">
        <v>32657.79</v>
      </c>
      <c r="X701" s="79">
        <v>32657.79</v>
      </c>
      <c r="Y701" s="79"/>
      <c r="Z701" s="79">
        <v>32657.79</v>
      </c>
      <c r="AA701" s="255">
        <v>0</v>
      </c>
      <c r="AC701" s="254"/>
    </row>
    <row r="702" spans="1:29" ht="12">
      <c r="A702" s="67" t="s">
        <v>11848</v>
      </c>
      <c r="B702" s="65" t="s">
        <v>11849</v>
      </c>
      <c r="C702" s="71" t="s">
        <v>165</v>
      </c>
      <c r="D702" s="78">
        <v>1</v>
      </c>
      <c r="E702" s="79">
        <v>264.53000000000003</v>
      </c>
      <c r="F702" s="70">
        <v>264.52999999999997</v>
      </c>
      <c r="G702" s="320"/>
      <c r="H702" s="79">
        <v>254.26</v>
      </c>
      <c r="I702" s="79">
        <v>10.27</v>
      </c>
      <c r="J702" s="79">
        <v>264.52999999999997</v>
      </c>
      <c r="K702" s="79">
        <v>0</v>
      </c>
      <c r="L702" s="70">
        <v>264.52999999999997</v>
      </c>
      <c r="M702" s="132"/>
      <c r="N702" s="79">
        <v>254.26</v>
      </c>
      <c r="O702" s="79">
        <v>10.27</v>
      </c>
      <c r="P702" s="79">
        <v>264.52999999999997</v>
      </c>
      <c r="Q702" s="136"/>
      <c r="R702" s="79">
        <v>254.26</v>
      </c>
      <c r="S702" s="79">
        <v>10.28</v>
      </c>
      <c r="T702" s="79">
        <v>264.53999999999996</v>
      </c>
      <c r="U702" s="79">
        <v>0</v>
      </c>
      <c r="V702" s="189">
        <v>264.53999999999996</v>
      </c>
      <c r="X702" s="79">
        <v>254.26</v>
      </c>
      <c r="Y702" s="79">
        <v>10.28</v>
      </c>
      <c r="Z702" s="79">
        <v>264.54000000000002</v>
      </c>
      <c r="AA702" s="255">
        <v>-1.0000000000047748E-2</v>
      </c>
      <c r="AC702" s="254"/>
    </row>
    <row r="703" spans="1:29" ht="12">
      <c r="A703" s="67" t="s">
        <v>11850</v>
      </c>
      <c r="B703" s="65" t="s">
        <v>11851</v>
      </c>
      <c r="C703" s="71" t="s">
        <v>165</v>
      </c>
      <c r="D703" s="78">
        <v>1</v>
      </c>
      <c r="E703" s="79">
        <v>289.57999999999993</v>
      </c>
      <c r="F703" s="70">
        <v>289.58</v>
      </c>
      <c r="G703" s="320"/>
      <c r="H703" s="79">
        <v>276.70999999999998</v>
      </c>
      <c r="I703" s="79">
        <v>12.870000000000001</v>
      </c>
      <c r="J703" s="79">
        <v>289.58</v>
      </c>
      <c r="K703" s="79">
        <v>0</v>
      </c>
      <c r="L703" s="70">
        <v>289.58</v>
      </c>
      <c r="M703" s="132"/>
      <c r="N703" s="79">
        <v>276.70999999999998</v>
      </c>
      <c r="O703" s="79">
        <v>12.870000000000001</v>
      </c>
      <c r="P703" s="79">
        <v>289.58</v>
      </c>
      <c r="Q703" s="136"/>
      <c r="R703" s="79">
        <v>276.70999999999998</v>
      </c>
      <c r="S703" s="79">
        <v>12.89</v>
      </c>
      <c r="T703" s="79">
        <v>289.59999999999997</v>
      </c>
      <c r="U703" s="79">
        <v>0</v>
      </c>
      <c r="V703" s="189">
        <v>289.59999999999997</v>
      </c>
      <c r="X703" s="79">
        <v>276.70999999999998</v>
      </c>
      <c r="Y703" s="79">
        <v>12.89</v>
      </c>
      <c r="Z703" s="79">
        <v>289.60000000000002</v>
      </c>
      <c r="AA703" s="255">
        <v>-2.0000000000038654E-2</v>
      </c>
      <c r="AC703" s="254"/>
    </row>
    <row r="704" spans="1:29" ht="12">
      <c r="A704" s="67" t="s">
        <v>11852</v>
      </c>
      <c r="B704" s="65" t="s">
        <v>11853</v>
      </c>
      <c r="C704" s="71" t="s">
        <v>165</v>
      </c>
      <c r="D704" s="78">
        <v>1</v>
      </c>
      <c r="E704" s="79">
        <v>360.03000000000003</v>
      </c>
      <c r="F704" s="70">
        <v>360.03</v>
      </c>
      <c r="G704" s="320"/>
      <c r="H704" s="79">
        <v>340.52000000000004</v>
      </c>
      <c r="I704" s="79">
        <v>19.510000000000002</v>
      </c>
      <c r="J704" s="79">
        <v>360.03000000000003</v>
      </c>
      <c r="K704" s="79">
        <v>0</v>
      </c>
      <c r="L704" s="70">
        <v>360.03000000000003</v>
      </c>
      <c r="M704" s="132"/>
      <c r="N704" s="79">
        <v>340.52000000000004</v>
      </c>
      <c r="O704" s="79">
        <v>19.510000000000002</v>
      </c>
      <c r="P704" s="79">
        <v>360.03000000000003</v>
      </c>
      <c r="Q704" s="136"/>
      <c r="R704" s="79">
        <v>340.52</v>
      </c>
      <c r="S704" s="79">
        <v>19.510000000000002</v>
      </c>
      <c r="T704" s="79">
        <v>360.03</v>
      </c>
      <c r="U704" s="79">
        <v>0</v>
      </c>
      <c r="V704" s="189">
        <v>360.03</v>
      </c>
      <c r="X704" s="79">
        <v>340.52</v>
      </c>
      <c r="Y704" s="79">
        <v>19.510000000000002</v>
      </c>
      <c r="Z704" s="79">
        <v>360.03</v>
      </c>
      <c r="AA704" s="255">
        <v>0</v>
      </c>
      <c r="AC704" s="254"/>
    </row>
    <row r="705" spans="1:29" ht="12">
      <c r="A705" s="67" t="s">
        <v>11854</v>
      </c>
      <c r="B705" s="65" t="s">
        <v>11855</v>
      </c>
      <c r="C705" s="71" t="s">
        <v>165</v>
      </c>
      <c r="D705" s="78">
        <v>1</v>
      </c>
      <c r="E705" s="79">
        <v>396.13</v>
      </c>
      <c r="F705" s="70">
        <v>396.13</v>
      </c>
      <c r="G705" s="320"/>
      <c r="H705" s="79">
        <v>368.83</v>
      </c>
      <c r="I705" s="79">
        <v>27.299999999999997</v>
      </c>
      <c r="J705" s="79">
        <v>396.13</v>
      </c>
      <c r="K705" s="79">
        <v>0</v>
      </c>
      <c r="L705" s="70">
        <v>396.13</v>
      </c>
      <c r="M705" s="132"/>
      <c r="N705" s="79">
        <v>368.83</v>
      </c>
      <c r="O705" s="79">
        <v>27.299999999999997</v>
      </c>
      <c r="P705" s="79">
        <v>396.13</v>
      </c>
      <c r="Q705" s="136"/>
      <c r="R705" s="79">
        <v>368.83</v>
      </c>
      <c r="S705" s="79">
        <v>27.3</v>
      </c>
      <c r="T705" s="79">
        <v>396.13</v>
      </c>
      <c r="U705" s="79">
        <v>0</v>
      </c>
      <c r="V705" s="189">
        <v>396.13</v>
      </c>
      <c r="X705" s="79">
        <v>368.83</v>
      </c>
      <c r="Y705" s="79">
        <v>27.3</v>
      </c>
      <c r="Z705" s="79">
        <v>396.13</v>
      </c>
      <c r="AA705" s="255">
        <v>0</v>
      </c>
      <c r="AC705" s="254"/>
    </row>
    <row r="706" spans="1:29" ht="12">
      <c r="A706" s="67" t="s">
        <v>11856</v>
      </c>
      <c r="B706" s="65" t="s">
        <v>11857</v>
      </c>
      <c r="C706" s="71" t="s">
        <v>165</v>
      </c>
      <c r="D706" s="78">
        <v>1</v>
      </c>
      <c r="E706" s="79">
        <v>465.88000000000005</v>
      </c>
      <c r="F706" s="70">
        <v>465.88</v>
      </c>
      <c r="G706" s="320"/>
      <c r="H706" s="79">
        <v>424.18000000000006</v>
      </c>
      <c r="I706" s="79">
        <v>41.7</v>
      </c>
      <c r="J706" s="79">
        <v>465.88000000000005</v>
      </c>
      <c r="K706" s="79">
        <v>0</v>
      </c>
      <c r="L706" s="70">
        <v>465.88000000000005</v>
      </c>
      <c r="M706" s="132"/>
      <c r="N706" s="79">
        <v>424.18000000000006</v>
      </c>
      <c r="O706" s="79">
        <v>41.7</v>
      </c>
      <c r="P706" s="79">
        <v>465.88000000000005</v>
      </c>
      <c r="Q706" s="136"/>
      <c r="R706" s="79">
        <v>424.18</v>
      </c>
      <c r="S706" s="79">
        <v>41.71</v>
      </c>
      <c r="T706" s="79">
        <v>465.89</v>
      </c>
      <c r="U706" s="79">
        <v>0</v>
      </c>
      <c r="V706" s="189">
        <v>465.89</v>
      </c>
      <c r="X706" s="79">
        <v>424.18</v>
      </c>
      <c r="Y706" s="79">
        <v>41.71</v>
      </c>
      <c r="Z706" s="79">
        <v>465.89</v>
      </c>
      <c r="AA706" s="255">
        <v>-9.9999999999909051E-3</v>
      </c>
      <c r="AC706" s="254"/>
    </row>
    <row r="707" spans="1:29" ht="12">
      <c r="A707" s="67" t="s">
        <v>11858</v>
      </c>
      <c r="B707" s="65" t="s">
        <v>11859</v>
      </c>
      <c r="C707" s="71" t="s">
        <v>165</v>
      </c>
      <c r="D707" s="78">
        <v>1</v>
      </c>
      <c r="E707" s="79">
        <v>535.69000000000005</v>
      </c>
      <c r="F707" s="70">
        <v>535.69000000000005</v>
      </c>
      <c r="G707" s="320"/>
      <c r="H707" s="79">
        <v>486.76</v>
      </c>
      <c r="I707" s="79">
        <v>48.929999999999993</v>
      </c>
      <c r="J707" s="79">
        <v>535.68999999999994</v>
      </c>
      <c r="K707" s="79">
        <v>0</v>
      </c>
      <c r="L707" s="70">
        <v>535.68999999999994</v>
      </c>
      <c r="M707" s="132"/>
      <c r="N707" s="79">
        <v>486.76</v>
      </c>
      <c r="O707" s="79">
        <v>48.929999999999993</v>
      </c>
      <c r="P707" s="79">
        <v>535.68999999999994</v>
      </c>
      <c r="Q707" s="136"/>
      <c r="R707" s="79">
        <v>486.76</v>
      </c>
      <c r="S707" s="79">
        <v>48.91</v>
      </c>
      <c r="T707" s="79">
        <v>535.66999999999996</v>
      </c>
      <c r="U707" s="79">
        <v>0</v>
      </c>
      <c r="V707" s="189">
        <v>535.66999999999996</v>
      </c>
      <c r="X707" s="79">
        <v>486.76</v>
      </c>
      <c r="Y707" s="79">
        <v>48.91</v>
      </c>
      <c r="Z707" s="79">
        <v>535.66999999999996</v>
      </c>
      <c r="AA707" s="255">
        <v>2.0000000000095497E-2</v>
      </c>
      <c r="AC707" s="254"/>
    </row>
    <row r="708" spans="1:29" ht="12">
      <c r="A708" s="67" t="s">
        <v>11860</v>
      </c>
      <c r="B708" s="65" t="s">
        <v>11861</v>
      </c>
      <c r="C708" s="71" t="s">
        <v>165</v>
      </c>
      <c r="D708" s="78">
        <v>1</v>
      </c>
      <c r="E708" s="79">
        <v>655.87</v>
      </c>
      <c r="F708" s="70">
        <v>655.87</v>
      </c>
      <c r="G708" s="320"/>
      <c r="H708" s="79">
        <v>598.01</v>
      </c>
      <c r="I708" s="79">
        <v>57.86</v>
      </c>
      <c r="J708" s="79">
        <v>655.87</v>
      </c>
      <c r="K708" s="79">
        <v>0</v>
      </c>
      <c r="L708" s="70">
        <v>655.87</v>
      </c>
      <c r="M708" s="132"/>
      <c r="N708" s="79">
        <v>598.01</v>
      </c>
      <c r="O708" s="79">
        <v>57.86</v>
      </c>
      <c r="P708" s="79">
        <v>655.87</v>
      </c>
      <c r="Q708" s="136"/>
      <c r="R708" s="79">
        <v>598.01</v>
      </c>
      <c r="S708" s="79">
        <v>57.84</v>
      </c>
      <c r="T708" s="79">
        <v>655.85</v>
      </c>
      <c r="U708" s="79">
        <v>0</v>
      </c>
      <c r="V708" s="189">
        <v>655.85</v>
      </c>
      <c r="X708" s="79">
        <v>598.01</v>
      </c>
      <c r="Y708" s="79">
        <v>57.84</v>
      </c>
      <c r="Z708" s="79">
        <v>655.85</v>
      </c>
      <c r="AA708" s="255">
        <v>1.999999999998181E-2</v>
      </c>
      <c r="AC708" s="254"/>
    </row>
    <row r="709" spans="1:29" s="69" customFormat="1" ht="12">
      <c r="A709" s="67" t="s">
        <v>11862</v>
      </c>
      <c r="B709" s="65" t="s">
        <v>11863</v>
      </c>
      <c r="C709" s="71" t="s">
        <v>165</v>
      </c>
      <c r="D709" s="78">
        <v>1</v>
      </c>
      <c r="E709" s="79">
        <v>717.65</v>
      </c>
      <c r="F709" s="70">
        <v>717.65</v>
      </c>
      <c r="G709" s="320"/>
      <c r="H709" s="79">
        <v>668.72</v>
      </c>
      <c r="I709" s="79">
        <v>48.929999999999993</v>
      </c>
      <c r="J709" s="79">
        <v>717.65</v>
      </c>
      <c r="K709" s="79">
        <v>0</v>
      </c>
      <c r="L709" s="70">
        <v>717.65</v>
      </c>
      <c r="M709" s="132"/>
      <c r="N709" s="79">
        <v>668.72</v>
      </c>
      <c r="O709" s="79">
        <v>48.929999999999993</v>
      </c>
      <c r="P709" s="79">
        <v>717.65</v>
      </c>
      <c r="Q709" s="136"/>
      <c r="R709" s="79">
        <v>668.72</v>
      </c>
      <c r="S709" s="79">
        <v>48.91</v>
      </c>
      <c r="T709" s="79">
        <v>717.63</v>
      </c>
      <c r="U709" s="79">
        <v>0</v>
      </c>
      <c r="V709" s="189">
        <v>717.63</v>
      </c>
      <c r="W709" s="61"/>
      <c r="X709" s="79">
        <v>668.72</v>
      </c>
      <c r="Y709" s="79">
        <v>48.91</v>
      </c>
      <c r="Z709" s="79">
        <v>717.63</v>
      </c>
      <c r="AA709" s="255">
        <v>1.999999999998181E-2</v>
      </c>
      <c r="AB709" s="61"/>
      <c r="AC709" s="254"/>
    </row>
    <row r="710" spans="1:29" s="69" customFormat="1" ht="12">
      <c r="A710" s="67" t="s">
        <v>11864</v>
      </c>
      <c r="B710" s="65" t="s">
        <v>11865</v>
      </c>
      <c r="C710" s="71" t="s">
        <v>165</v>
      </c>
      <c r="D710" s="78">
        <v>1</v>
      </c>
      <c r="E710" s="79">
        <v>402.19</v>
      </c>
      <c r="F710" s="70">
        <v>402.19</v>
      </c>
      <c r="G710" s="320"/>
      <c r="H710" s="79">
        <v>402.19</v>
      </c>
      <c r="I710" s="79">
        <v>0</v>
      </c>
      <c r="J710" s="79">
        <v>402.19</v>
      </c>
      <c r="K710" s="79">
        <v>0</v>
      </c>
      <c r="L710" s="70">
        <v>402.19</v>
      </c>
      <c r="M710" s="132"/>
      <c r="N710" s="79">
        <v>402.19</v>
      </c>
      <c r="O710" s="79"/>
      <c r="P710" s="79">
        <v>402.19</v>
      </c>
      <c r="Q710" s="136"/>
      <c r="R710" s="79">
        <v>402.19</v>
      </c>
      <c r="S710" s="79"/>
      <c r="T710" s="79">
        <v>402.19</v>
      </c>
      <c r="U710" s="79">
        <v>0</v>
      </c>
      <c r="V710" s="189">
        <v>402.19</v>
      </c>
      <c r="W710" s="61"/>
      <c r="X710" s="79">
        <v>402.19</v>
      </c>
      <c r="Y710" s="79"/>
      <c r="Z710" s="79">
        <v>402.19</v>
      </c>
      <c r="AA710" s="255">
        <v>0</v>
      </c>
      <c r="AB710" s="61"/>
      <c r="AC710" s="254"/>
    </row>
    <row r="711" spans="1:29" s="69" customFormat="1" ht="12">
      <c r="A711" s="67" t="s">
        <v>11866</v>
      </c>
      <c r="B711" s="65" t="s">
        <v>11867</v>
      </c>
      <c r="C711" s="71" t="s">
        <v>165</v>
      </c>
      <c r="D711" s="78">
        <v>1</v>
      </c>
      <c r="E711" s="79">
        <v>532.14</v>
      </c>
      <c r="F711" s="70">
        <v>532.14</v>
      </c>
      <c r="G711" s="320"/>
      <c r="H711" s="79">
        <v>532.14</v>
      </c>
      <c r="I711" s="79">
        <v>0</v>
      </c>
      <c r="J711" s="79">
        <v>532.14</v>
      </c>
      <c r="K711" s="79">
        <v>0</v>
      </c>
      <c r="L711" s="70">
        <v>532.14</v>
      </c>
      <c r="M711" s="132"/>
      <c r="N711" s="79">
        <v>532.14</v>
      </c>
      <c r="O711" s="79"/>
      <c r="P711" s="79">
        <v>532.14</v>
      </c>
      <c r="Q711" s="136"/>
      <c r="R711" s="79">
        <v>532.14</v>
      </c>
      <c r="S711" s="79"/>
      <c r="T711" s="79">
        <v>532.14</v>
      </c>
      <c r="U711" s="79">
        <v>0</v>
      </c>
      <c r="V711" s="189">
        <v>532.14</v>
      </c>
      <c r="W711" s="61"/>
      <c r="X711" s="79">
        <v>532.14</v>
      </c>
      <c r="Y711" s="79"/>
      <c r="Z711" s="79">
        <v>532.14</v>
      </c>
      <c r="AA711" s="255">
        <v>0</v>
      </c>
      <c r="AB711" s="61"/>
      <c r="AC711" s="254"/>
    </row>
    <row r="712" spans="1:29" s="69" customFormat="1" ht="24">
      <c r="A712" s="67" t="s">
        <v>11868</v>
      </c>
      <c r="B712" s="65" t="s">
        <v>243</v>
      </c>
      <c r="C712" s="71" t="s">
        <v>108</v>
      </c>
      <c r="D712" s="78">
        <v>1</v>
      </c>
      <c r="E712" s="79">
        <v>32657.79</v>
      </c>
      <c r="F712" s="70">
        <v>32657.79</v>
      </c>
      <c r="G712" s="320"/>
      <c r="H712" s="79">
        <v>32657.79</v>
      </c>
      <c r="I712" s="79">
        <v>0</v>
      </c>
      <c r="J712" s="79">
        <v>32657.79</v>
      </c>
      <c r="K712" s="79">
        <v>0</v>
      </c>
      <c r="L712" s="70">
        <v>32657.79</v>
      </c>
      <c r="M712" s="132"/>
      <c r="N712" s="79">
        <v>32657.79</v>
      </c>
      <c r="O712" s="79"/>
      <c r="P712" s="79">
        <v>32657.79</v>
      </c>
      <c r="Q712" s="136"/>
      <c r="R712" s="79">
        <v>32657.79</v>
      </c>
      <c r="S712" s="79"/>
      <c r="T712" s="79">
        <v>32657.79</v>
      </c>
      <c r="U712" s="79">
        <v>0</v>
      </c>
      <c r="V712" s="189">
        <v>32657.79</v>
      </c>
      <c r="W712" s="61"/>
      <c r="X712" s="79">
        <v>32657.79</v>
      </c>
      <c r="Y712" s="79"/>
      <c r="Z712" s="79">
        <v>32657.79</v>
      </c>
      <c r="AA712" s="255">
        <v>0</v>
      </c>
      <c r="AB712" s="61"/>
      <c r="AC712" s="254"/>
    </row>
    <row r="713" spans="1:29" s="69" customFormat="1" ht="12">
      <c r="A713" s="67" t="s">
        <v>11869</v>
      </c>
      <c r="B713" s="65" t="s">
        <v>11870</v>
      </c>
      <c r="C713" s="71" t="s">
        <v>165</v>
      </c>
      <c r="D713" s="78">
        <v>1</v>
      </c>
      <c r="E713" s="79">
        <v>1296.7</v>
      </c>
      <c r="F713" s="70">
        <v>1296.7</v>
      </c>
      <c r="G713" s="320"/>
      <c r="H713" s="79">
        <v>1296.7</v>
      </c>
      <c r="I713" s="79">
        <v>0</v>
      </c>
      <c r="J713" s="79">
        <v>1296.7</v>
      </c>
      <c r="K713" s="79">
        <v>0</v>
      </c>
      <c r="L713" s="70">
        <v>1296.7</v>
      </c>
      <c r="M713" s="132"/>
      <c r="N713" s="79">
        <v>1296.7</v>
      </c>
      <c r="O713" s="79"/>
      <c r="P713" s="79">
        <v>1296.7</v>
      </c>
      <c r="Q713" s="136"/>
      <c r="R713" s="79">
        <v>1296.7</v>
      </c>
      <c r="S713" s="79"/>
      <c r="T713" s="79">
        <v>1296.7</v>
      </c>
      <c r="U713" s="79">
        <v>0</v>
      </c>
      <c r="V713" s="189">
        <v>1296.7</v>
      </c>
      <c r="W713" s="61"/>
      <c r="X713" s="79">
        <v>1296.7</v>
      </c>
      <c r="Y713" s="79"/>
      <c r="Z713" s="79">
        <v>1296.7</v>
      </c>
      <c r="AA713" s="255">
        <v>0</v>
      </c>
      <c r="AB713" s="61"/>
      <c r="AC713" s="254"/>
    </row>
    <row r="714" spans="1:29" s="69" customFormat="1" ht="12">
      <c r="A714" s="67" t="s">
        <v>11871</v>
      </c>
      <c r="B714" s="65" t="s">
        <v>11872</v>
      </c>
      <c r="C714" s="71" t="s">
        <v>165</v>
      </c>
      <c r="D714" s="78">
        <v>1</v>
      </c>
      <c r="E714" s="79">
        <v>1484.19</v>
      </c>
      <c r="F714" s="70">
        <v>1484.19</v>
      </c>
      <c r="G714" s="320"/>
      <c r="H714" s="79">
        <v>1484.19</v>
      </c>
      <c r="I714" s="79">
        <v>0</v>
      </c>
      <c r="J714" s="79">
        <v>1484.19</v>
      </c>
      <c r="K714" s="79">
        <v>0</v>
      </c>
      <c r="L714" s="70">
        <v>1484.19</v>
      </c>
      <c r="M714" s="132"/>
      <c r="N714" s="79">
        <v>1484.19</v>
      </c>
      <c r="O714" s="79"/>
      <c r="P714" s="79">
        <v>1484.19</v>
      </c>
      <c r="Q714" s="136"/>
      <c r="R714" s="79">
        <v>1484.19</v>
      </c>
      <c r="S714" s="79"/>
      <c r="T714" s="79">
        <v>1484.19</v>
      </c>
      <c r="U714" s="79">
        <v>0</v>
      </c>
      <c r="V714" s="189">
        <v>1484.19</v>
      </c>
      <c r="W714" s="61"/>
      <c r="X714" s="79">
        <v>1484.19</v>
      </c>
      <c r="Y714" s="79"/>
      <c r="Z714" s="79">
        <v>1484.19</v>
      </c>
      <c r="AA714" s="255">
        <v>0</v>
      </c>
      <c r="AB714" s="61"/>
      <c r="AC714" s="254"/>
    </row>
    <row r="715" spans="1:29" ht="12">
      <c r="A715" s="67" t="s">
        <v>11873</v>
      </c>
      <c r="B715" s="65" t="s">
        <v>11874</v>
      </c>
      <c r="C715" s="71" t="s">
        <v>165</v>
      </c>
      <c r="D715" s="78">
        <v>1</v>
      </c>
      <c r="E715" s="79">
        <v>1731.17</v>
      </c>
      <c r="F715" s="70">
        <v>1731.17</v>
      </c>
      <c r="G715" s="320"/>
      <c r="H715" s="79">
        <v>1731.17</v>
      </c>
      <c r="I715" s="79">
        <v>0</v>
      </c>
      <c r="J715" s="79">
        <v>1731.17</v>
      </c>
      <c r="K715" s="79">
        <v>0</v>
      </c>
      <c r="L715" s="70">
        <v>1731.17</v>
      </c>
      <c r="M715" s="132"/>
      <c r="N715" s="79">
        <v>1731.17</v>
      </c>
      <c r="O715" s="79"/>
      <c r="P715" s="79">
        <v>1731.17</v>
      </c>
      <c r="Q715" s="136"/>
      <c r="R715" s="79">
        <v>1731.17</v>
      </c>
      <c r="S715" s="79"/>
      <c r="T715" s="79">
        <v>1731.17</v>
      </c>
      <c r="U715" s="79">
        <v>0</v>
      </c>
      <c r="V715" s="189">
        <v>1731.17</v>
      </c>
      <c r="X715" s="79">
        <v>1731.17</v>
      </c>
      <c r="Y715" s="79"/>
      <c r="Z715" s="79">
        <v>1731.17</v>
      </c>
      <c r="AA715" s="255">
        <v>0</v>
      </c>
      <c r="AC715" s="254"/>
    </row>
    <row r="716" spans="1:29" ht="12">
      <c r="A716" s="83" t="s">
        <v>11875</v>
      </c>
      <c r="B716" s="64" t="s">
        <v>11876</v>
      </c>
      <c r="C716" s="71" t="s">
        <v>165</v>
      </c>
      <c r="D716" s="78">
        <v>1</v>
      </c>
      <c r="E716" s="79">
        <v>839</v>
      </c>
      <c r="F716" s="70">
        <v>839</v>
      </c>
      <c r="G716" s="320"/>
      <c r="H716" s="79">
        <v>839</v>
      </c>
      <c r="I716" s="79">
        <v>0</v>
      </c>
      <c r="J716" s="79">
        <v>839</v>
      </c>
      <c r="K716" s="79">
        <v>0</v>
      </c>
      <c r="L716" s="70">
        <v>839</v>
      </c>
      <c r="M716" s="132"/>
      <c r="N716" s="79">
        <v>839</v>
      </c>
      <c r="O716" s="79"/>
      <c r="P716" s="79">
        <v>839</v>
      </c>
      <c r="R716" s="79">
        <v>839</v>
      </c>
      <c r="S716" s="79"/>
      <c r="T716" s="79">
        <v>839</v>
      </c>
      <c r="U716" s="79">
        <v>0</v>
      </c>
      <c r="V716" s="189">
        <v>839</v>
      </c>
      <c r="X716" s="79">
        <v>839</v>
      </c>
      <c r="Y716" s="79"/>
      <c r="Z716" s="79">
        <v>839</v>
      </c>
      <c r="AA716" s="255">
        <v>0</v>
      </c>
      <c r="AC716" s="254"/>
    </row>
    <row r="717" spans="1:29" ht="12">
      <c r="A717" s="83" t="s">
        <v>11877</v>
      </c>
      <c r="B717" s="64" t="s">
        <v>11878</v>
      </c>
      <c r="C717" s="71" t="s">
        <v>165</v>
      </c>
      <c r="D717" s="78">
        <v>1</v>
      </c>
      <c r="E717" s="79">
        <v>962.12</v>
      </c>
      <c r="F717" s="70">
        <v>962.12</v>
      </c>
      <c r="G717" s="320"/>
      <c r="H717" s="79">
        <v>962.12</v>
      </c>
      <c r="I717" s="79">
        <v>0</v>
      </c>
      <c r="J717" s="79">
        <v>962.12</v>
      </c>
      <c r="K717" s="79">
        <v>0</v>
      </c>
      <c r="L717" s="70">
        <v>962.12</v>
      </c>
      <c r="M717" s="132"/>
      <c r="N717" s="79">
        <v>962.12</v>
      </c>
      <c r="O717" s="79"/>
      <c r="P717" s="79">
        <v>962.12</v>
      </c>
      <c r="R717" s="79">
        <v>962.12</v>
      </c>
      <c r="S717" s="79"/>
      <c r="T717" s="79">
        <v>962.12</v>
      </c>
      <c r="U717" s="79">
        <v>0</v>
      </c>
      <c r="V717" s="189">
        <v>962.12</v>
      </c>
      <c r="X717" s="79">
        <v>962.12</v>
      </c>
      <c r="Y717" s="79"/>
      <c r="Z717" s="79">
        <v>962.12</v>
      </c>
      <c r="AA717" s="255">
        <v>0</v>
      </c>
      <c r="AC717" s="254"/>
    </row>
    <row r="718" spans="1:29" ht="12">
      <c r="A718" s="83" t="s">
        <v>11879</v>
      </c>
      <c r="B718" s="64" t="s">
        <v>11880</v>
      </c>
      <c r="C718" s="71" t="s">
        <v>121</v>
      </c>
      <c r="D718" s="78">
        <v>1</v>
      </c>
      <c r="E718" s="79">
        <v>664.44</v>
      </c>
      <c r="F718" s="70">
        <v>664.44</v>
      </c>
      <c r="G718" s="320"/>
      <c r="H718" s="79">
        <v>664.44</v>
      </c>
      <c r="I718" s="79">
        <v>0</v>
      </c>
      <c r="J718" s="79">
        <v>664.44</v>
      </c>
      <c r="K718" s="79">
        <v>0</v>
      </c>
      <c r="L718" s="70">
        <v>664.44</v>
      </c>
      <c r="M718" s="132"/>
      <c r="N718" s="79">
        <v>664.44</v>
      </c>
      <c r="O718" s="79"/>
      <c r="P718" s="79">
        <v>664.44</v>
      </c>
      <c r="R718" s="79">
        <v>664.44</v>
      </c>
      <c r="S718" s="79"/>
      <c r="T718" s="79">
        <v>664.44</v>
      </c>
      <c r="U718" s="79">
        <v>0</v>
      </c>
      <c r="V718" s="189">
        <v>664.44</v>
      </c>
      <c r="X718" s="79">
        <v>664.44</v>
      </c>
      <c r="Y718" s="79"/>
      <c r="Z718" s="79">
        <v>664.44</v>
      </c>
      <c r="AA718" s="255">
        <v>0</v>
      </c>
      <c r="AC718" s="254"/>
    </row>
    <row r="719" spans="1:29" ht="12">
      <c r="A719" s="489" t="s">
        <v>11881</v>
      </c>
      <c r="B719" s="490" t="s">
        <v>11882</v>
      </c>
      <c r="C719" s="491"/>
      <c r="D719" s="492"/>
      <c r="E719" s="79"/>
      <c r="F719" s="63"/>
      <c r="G719" s="320"/>
      <c r="H719" s="79"/>
      <c r="I719" s="79"/>
      <c r="J719" s="79"/>
      <c r="K719" s="79"/>
      <c r="L719" s="70"/>
      <c r="M719" s="132"/>
      <c r="N719" s="79"/>
      <c r="O719" s="79"/>
      <c r="P719" s="79"/>
      <c r="Q719" s="136"/>
      <c r="R719" s="79"/>
      <c r="S719" s="79"/>
      <c r="T719" s="79"/>
      <c r="U719" s="79"/>
      <c r="V719" s="189"/>
      <c r="X719" s="79"/>
      <c r="Y719" s="79"/>
      <c r="Z719" s="79"/>
      <c r="AA719" s="255"/>
      <c r="AC719" s="254"/>
    </row>
    <row r="720" spans="1:29" ht="24">
      <c r="A720" s="67" t="s">
        <v>11883</v>
      </c>
      <c r="B720" s="65" t="s">
        <v>198</v>
      </c>
      <c r="C720" s="71" t="s">
        <v>108</v>
      </c>
      <c r="D720" s="78">
        <v>1</v>
      </c>
      <c r="E720" s="79">
        <v>1917.98</v>
      </c>
      <c r="F720" s="70">
        <v>1917.98</v>
      </c>
      <c r="G720" s="320"/>
      <c r="H720" s="79">
        <v>1917.98</v>
      </c>
      <c r="I720" s="79">
        <v>0</v>
      </c>
      <c r="J720" s="79">
        <v>1917.98</v>
      </c>
      <c r="K720" s="79">
        <v>0</v>
      </c>
      <c r="L720" s="70">
        <v>1917.98</v>
      </c>
      <c r="M720" s="132"/>
      <c r="N720" s="79">
        <v>1917.98</v>
      </c>
      <c r="O720" s="79"/>
      <c r="P720" s="79">
        <v>1917.98</v>
      </c>
      <c r="Q720" s="136"/>
      <c r="R720" s="79">
        <v>1917.98</v>
      </c>
      <c r="S720" s="79"/>
      <c r="T720" s="79">
        <v>1917.98</v>
      </c>
      <c r="U720" s="79">
        <v>0</v>
      </c>
      <c r="V720" s="189">
        <v>1917.98</v>
      </c>
      <c r="X720" s="79">
        <v>1917.98</v>
      </c>
      <c r="Y720" s="79"/>
      <c r="Z720" s="79">
        <v>1917.98</v>
      </c>
      <c r="AA720" s="255">
        <v>0</v>
      </c>
      <c r="AC720" s="254"/>
    </row>
    <row r="721" spans="1:29" s="61" customFormat="1" ht="12">
      <c r="A721" s="67" t="s">
        <v>11884</v>
      </c>
      <c r="B721" s="65" t="s">
        <v>11885</v>
      </c>
      <c r="C721" s="71" t="s">
        <v>165</v>
      </c>
      <c r="D721" s="78">
        <v>1</v>
      </c>
      <c r="E721" s="79">
        <v>38.92</v>
      </c>
      <c r="F721" s="70">
        <v>38.92</v>
      </c>
      <c r="G721" s="320"/>
      <c r="H721" s="79">
        <v>38.92</v>
      </c>
      <c r="I721" s="79">
        <v>0</v>
      </c>
      <c r="J721" s="79">
        <v>38.92</v>
      </c>
      <c r="K721" s="79">
        <v>0</v>
      </c>
      <c r="L721" s="70">
        <v>38.92</v>
      </c>
      <c r="M721" s="132"/>
      <c r="N721" s="79">
        <v>38.92</v>
      </c>
      <c r="O721" s="79"/>
      <c r="P721" s="79">
        <v>38.92</v>
      </c>
      <c r="Q721" s="136"/>
      <c r="R721" s="79">
        <v>38.92</v>
      </c>
      <c r="S721" s="79"/>
      <c r="T721" s="79">
        <v>38.92</v>
      </c>
      <c r="U721" s="79">
        <v>0</v>
      </c>
      <c r="V721" s="189">
        <v>38.92</v>
      </c>
      <c r="X721" s="79">
        <v>38.92</v>
      </c>
      <c r="Y721" s="79"/>
      <c r="Z721" s="79">
        <v>38.92</v>
      </c>
      <c r="AA721" s="255">
        <v>0</v>
      </c>
      <c r="AC721" s="254"/>
    </row>
    <row r="722" spans="1:29" ht="12">
      <c r="A722" s="67" t="s">
        <v>11886</v>
      </c>
      <c r="B722" s="65" t="s">
        <v>11887</v>
      </c>
      <c r="C722" s="71" t="s">
        <v>165</v>
      </c>
      <c r="D722" s="78">
        <v>1</v>
      </c>
      <c r="E722" s="79">
        <v>45.63</v>
      </c>
      <c r="F722" s="70">
        <v>45.63</v>
      </c>
      <c r="G722" s="320"/>
      <c r="H722" s="79">
        <v>45.63</v>
      </c>
      <c r="I722" s="79">
        <v>0</v>
      </c>
      <c r="J722" s="79">
        <v>45.63</v>
      </c>
      <c r="K722" s="79">
        <v>0</v>
      </c>
      <c r="L722" s="70">
        <v>45.63</v>
      </c>
      <c r="M722" s="132"/>
      <c r="N722" s="79">
        <v>45.63</v>
      </c>
      <c r="O722" s="79"/>
      <c r="P722" s="79">
        <v>45.63</v>
      </c>
      <c r="Q722" s="136"/>
      <c r="R722" s="79">
        <v>45.63</v>
      </c>
      <c r="S722" s="79"/>
      <c r="T722" s="79">
        <v>45.63</v>
      </c>
      <c r="U722" s="79">
        <v>0</v>
      </c>
      <c r="V722" s="189">
        <v>45.63</v>
      </c>
      <c r="X722" s="79">
        <v>45.63</v>
      </c>
      <c r="Y722" s="79"/>
      <c r="Z722" s="79">
        <v>45.63</v>
      </c>
      <c r="AA722" s="255">
        <v>0</v>
      </c>
      <c r="AC722" s="254"/>
    </row>
    <row r="723" spans="1:29" ht="12">
      <c r="A723" s="67" t="s">
        <v>11888</v>
      </c>
      <c r="B723" s="65" t="s">
        <v>11889</v>
      </c>
      <c r="C723" s="71" t="s">
        <v>165</v>
      </c>
      <c r="D723" s="78">
        <v>1</v>
      </c>
      <c r="E723" s="79">
        <v>73.459999999999994</v>
      </c>
      <c r="F723" s="70">
        <v>73.459999999999994</v>
      </c>
      <c r="G723" s="320"/>
      <c r="H723" s="79">
        <v>73.459999999999994</v>
      </c>
      <c r="I723" s="79">
        <v>0</v>
      </c>
      <c r="J723" s="79">
        <v>73.459999999999994</v>
      </c>
      <c r="K723" s="79">
        <v>0</v>
      </c>
      <c r="L723" s="70">
        <v>73.459999999999994</v>
      </c>
      <c r="M723" s="132"/>
      <c r="N723" s="79">
        <v>73.459999999999994</v>
      </c>
      <c r="O723" s="79"/>
      <c r="P723" s="79">
        <v>73.459999999999994</v>
      </c>
      <c r="Q723" s="136"/>
      <c r="R723" s="79">
        <v>73.459999999999994</v>
      </c>
      <c r="S723" s="79"/>
      <c r="T723" s="79">
        <v>73.459999999999994</v>
      </c>
      <c r="U723" s="79">
        <v>0</v>
      </c>
      <c r="V723" s="189">
        <v>73.459999999999994</v>
      </c>
      <c r="X723" s="79">
        <v>73.459999999999994</v>
      </c>
      <c r="Y723" s="79"/>
      <c r="Z723" s="79">
        <v>73.459999999999994</v>
      </c>
      <c r="AA723" s="255">
        <v>0</v>
      </c>
      <c r="AC723" s="254"/>
    </row>
    <row r="724" spans="1:29" s="69" customFormat="1" ht="12">
      <c r="A724" s="67" t="s">
        <v>11890</v>
      </c>
      <c r="B724" s="65" t="s">
        <v>11891</v>
      </c>
      <c r="C724" s="71" t="s">
        <v>121</v>
      </c>
      <c r="D724" s="78">
        <v>1</v>
      </c>
      <c r="E724" s="79">
        <v>558.25</v>
      </c>
      <c r="F724" s="70">
        <v>558.25</v>
      </c>
      <c r="G724" s="320"/>
      <c r="H724" s="79">
        <v>0</v>
      </c>
      <c r="I724" s="79">
        <v>558.25</v>
      </c>
      <c r="J724" s="79">
        <v>558.25</v>
      </c>
      <c r="K724" s="79">
        <v>0</v>
      </c>
      <c r="L724" s="70">
        <v>558.25</v>
      </c>
      <c r="M724" s="132"/>
      <c r="N724" s="79"/>
      <c r="O724" s="79">
        <v>558.25</v>
      </c>
      <c r="P724" s="79">
        <v>558.25</v>
      </c>
      <c r="Q724" s="136"/>
      <c r="R724" s="79"/>
      <c r="S724" s="79">
        <v>558.29999999999995</v>
      </c>
      <c r="T724" s="79">
        <v>558.29999999999995</v>
      </c>
      <c r="U724" s="79">
        <v>0</v>
      </c>
      <c r="V724" s="189">
        <v>558.29999999999995</v>
      </c>
      <c r="W724" s="61"/>
      <c r="X724" s="79"/>
      <c r="Y724" s="79">
        <v>558.29999999999995</v>
      </c>
      <c r="Z724" s="79">
        <v>558.29999999999995</v>
      </c>
      <c r="AA724" s="255">
        <v>-4.9999999999954525E-2</v>
      </c>
      <c r="AB724" s="61"/>
      <c r="AC724" s="254"/>
    </row>
    <row r="725" spans="1:29" s="69" customFormat="1" ht="12">
      <c r="A725" s="489" t="s">
        <v>11892</v>
      </c>
      <c r="B725" s="490" t="s">
        <v>11893</v>
      </c>
      <c r="C725" s="491"/>
      <c r="D725" s="492"/>
      <c r="E725" s="79"/>
      <c r="F725" s="63"/>
      <c r="G725" s="320"/>
      <c r="H725" s="79"/>
      <c r="I725" s="79"/>
      <c r="J725" s="79"/>
      <c r="K725" s="79"/>
      <c r="L725" s="70"/>
      <c r="M725" s="132"/>
      <c r="N725" s="79"/>
      <c r="O725" s="79"/>
      <c r="P725" s="79"/>
      <c r="Q725" s="136"/>
      <c r="R725" s="79"/>
      <c r="S725" s="79"/>
      <c r="T725" s="79"/>
      <c r="U725" s="79"/>
      <c r="V725" s="189"/>
      <c r="W725" s="61"/>
      <c r="X725" s="79"/>
      <c r="Y725" s="79"/>
      <c r="Z725" s="79"/>
      <c r="AA725" s="255"/>
      <c r="AB725" s="61"/>
      <c r="AC725" s="254"/>
    </row>
    <row r="726" spans="1:29" s="61" customFormat="1" ht="24">
      <c r="A726" s="67" t="s">
        <v>11894</v>
      </c>
      <c r="B726" s="65" t="s">
        <v>215</v>
      </c>
      <c r="C726" s="71" t="s">
        <v>108</v>
      </c>
      <c r="D726" s="78">
        <v>1</v>
      </c>
      <c r="E726" s="79">
        <v>43853.17</v>
      </c>
      <c r="F726" s="70">
        <v>43853.17</v>
      </c>
      <c r="G726" s="320"/>
      <c r="H726" s="79">
        <v>43853.17</v>
      </c>
      <c r="I726" s="79">
        <v>0</v>
      </c>
      <c r="J726" s="79">
        <v>43853.17</v>
      </c>
      <c r="K726" s="79">
        <v>0</v>
      </c>
      <c r="L726" s="70">
        <v>43853.17</v>
      </c>
      <c r="M726" s="132"/>
      <c r="N726" s="79">
        <v>43853.17</v>
      </c>
      <c r="O726" s="79"/>
      <c r="P726" s="79">
        <v>43853.17</v>
      </c>
      <c r="Q726" s="136"/>
      <c r="R726" s="79">
        <v>43853.17</v>
      </c>
      <c r="S726" s="79"/>
      <c r="T726" s="79">
        <v>43853.17</v>
      </c>
      <c r="U726" s="79">
        <v>0</v>
      </c>
      <c r="V726" s="189">
        <v>43853.17</v>
      </c>
      <c r="X726" s="79">
        <v>43853.17</v>
      </c>
      <c r="Y726" s="79"/>
      <c r="Z726" s="79">
        <v>43853.17</v>
      </c>
      <c r="AA726" s="255">
        <v>0</v>
      </c>
      <c r="AC726" s="254"/>
    </row>
    <row r="727" spans="1:29" s="61" customFormat="1" ht="12">
      <c r="A727" s="67" t="s">
        <v>11895</v>
      </c>
      <c r="B727" s="65" t="s">
        <v>231</v>
      </c>
      <c r="C727" s="71" t="s">
        <v>165</v>
      </c>
      <c r="D727" s="78">
        <v>1</v>
      </c>
      <c r="E727" s="79">
        <v>49.589999999999996</v>
      </c>
      <c r="F727" s="70">
        <v>49.59</v>
      </c>
      <c r="G727" s="320"/>
      <c r="H727" s="79">
        <v>43.54</v>
      </c>
      <c r="I727" s="79">
        <v>6.05</v>
      </c>
      <c r="J727" s="79">
        <v>49.589999999999996</v>
      </c>
      <c r="K727" s="79">
        <v>0</v>
      </c>
      <c r="L727" s="70">
        <v>49.589999999999996</v>
      </c>
      <c r="M727" s="132"/>
      <c r="N727" s="79">
        <v>43.54</v>
      </c>
      <c r="O727" s="79">
        <v>6.05</v>
      </c>
      <c r="P727" s="79">
        <v>49.589999999999996</v>
      </c>
      <c r="Q727" s="136"/>
      <c r="R727" s="79">
        <v>43.54</v>
      </c>
      <c r="S727" s="79">
        <v>6.06</v>
      </c>
      <c r="T727" s="79">
        <v>49.6</v>
      </c>
      <c r="U727" s="79">
        <v>0</v>
      </c>
      <c r="V727" s="189">
        <v>49.6</v>
      </c>
      <c r="X727" s="79">
        <v>43.54</v>
      </c>
      <c r="Y727" s="79">
        <v>6.06</v>
      </c>
      <c r="Z727" s="79">
        <v>49.6</v>
      </c>
      <c r="AA727" s="255">
        <v>-9.9999999999980105E-3</v>
      </c>
      <c r="AC727" s="254"/>
    </row>
    <row r="728" spans="1:29" s="61" customFormat="1" ht="12">
      <c r="A728" s="67" t="s">
        <v>11896</v>
      </c>
      <c r="B728" s="65" t="s">
        <v>221</v>
      </c>
      <c r="C728" s="71" t="s">
        <v>165</v>
      </c>
      <c r="D728" s="78">
        <v>1</v>
      </c>
      <c r="E728" s="79">
        <v>62.19</v>
      </c>
      <c r="F728" s="70">
        <v>62.19</v>
      </c>
      <c r="G728" s="320"/>
      <c r="H728" s="79">
        <v>56.14</v>
      </c>
      <c r="I728" s="79">
        <v>6.05</v>
      </c>
      <c r="J728" s="79">
        <v>62.19</v>
      </c>
      <c r="K728" s="79">
        <v>0</v>
      </c>
      <c r="L728" s="70">
        <v>62.19</v>
      </c>
      <c r="M728" s="132"/>
      <c r="N728" s="79">
        <v>56.14</v>
      </c>
      <c r="O728" s="79">
        <v>6.05</v>
      </c>
      <c r="P728" s="79">
        <v>62.19</v>
      </c>
      <c r="Q728" s="136"/>
      <c r="R728" s="79">
        <v>56.14</v>
      </c>
      <c r="S728" s="79">
        <v>6.06</v>
      </c>
      <c r="T728" s="79">
        <v>62.2</v>
      </c>
      <c r="U728" s="79">
        <v>0</v>
      </c>
      <c r="V728" s="189">
        <v>62.2</v>
      </c>
      <c r="X728" s="79">
        <v>56.14</v>
      </c>
      <c r="Y728" s="79">
        <v>6.06</v>
      </c>
      <c r="Z728" s="79">
        <v>62.2</v>
      </c>
      <c r="AA728" s="255">
        <v>-1.0000000000005116E-2</v>
      </c>
      <c r="AC728" s="254"/>
    </row>
    <row r="729" spans="1:29" s="61" customFormat="1" ht="12">
      <c r="A729" s="67" t="s">
        <v>11897</v>
      </c>
      <c r="B729" s="65" t="s">
        <v>217</v>
      </c>
      <c r="C729" s="71" t="s">
        <v>165</v>
      </c>
      <c r="D729" s="78">
        <v>1</v>
      </c>
      <c r="E729" s="79">
        <v>66.209999999999994</v>
      </c>
      <c r="F729" s="70">
        <v>66.209999999999994</v>
      </c>
      <c r="G729" s="320"/>
      <c r="H729" s="79">
        <v>60.16</v>
      </c>
      <c r="I729" s="79">
        <v>6.05</v>
      </c>
      <c r="J729" s="79">
        <v>66.209999999999994</v>
      </c>
      <c r="K729" s="79">
        <v>0</v>
      </c>
      <c r="L729" s="70">
        <v>66.209999999999994</v>
      </c>
      <c r="M729" s="132"/>
      <c r="N729" s="79">
        <v>60.16</v>
      </c>
      <c r="O729" s="79">
        <v>6.05</v>
      </c>
      <c r="P729" s="79">
        <v>66.209999999999994</v>
      </c>
      <c r="Q729" s="136"/>
      <c r="R729" s="79">
        <v>60.16</v>
      </c>
      <c r="S729" s="79">
        <v>6.06</v>
      </c>
      <c r="T729" s="79">
        <v>66.22</v>
      </c>
      <c r="U729" s="79">
        <v>0</v>
      </c>
      <c r="V729" s="189">
        <v>66.22</v>
      </c>
      <c r="X729" s="79">
        <v>60.16</v>
      </c>
      <c r="Y729" s="79">
        <v>6.06</v>
      </c>
      <c r="Z729" s="79">
        <v>66.22</v>
      </c>
      <c r="AA729" s="255">
        <v>-1.0000000000005116E-2</v>
      </c>
      <c r="AC729" s="254"/>
    </row>
    <row r="730" spans="1:29" ht="12">
      <c r="A730" s="67" t="s">
        <v>11898</v>
      </c>
      <c r="B730" s="65" t="s">
        <v>233</v>
      </c>
      <c r="C730" s="71" t="s">
        <v>165</v>
      </c>
      <c r="D730" s="78">
        <v>1</v>
      </c>
      <c r="E730" s="79">
        <v>78.22</v>
      </c>
      <c r="F730" s="70">
        <v>78.22</v>
      </c>
      <c r="G730" s="320"/>
      <c r="H730" s="79">
        <v>72.17</v>
      </c>
      <c r="I730" s="79">
        <v>6.05</v>
      </c>
      <c r="J730" s="79">
        <v>78.22</v>
      </c>
      <c r="K730" s="79">
        <v>0</v>
      </c>
      <c r="L730" s="70">
        <v>78.22</v>
      </c>
      <c r="M730" s="132"/>
      <c r="N730" s="79">
        <v>72.17</v>
      </c>
      <c r="O730" s="79">
        <v>6.05</v>
      </c>
      <c r="P730" s="79">
        <v>78.22</v>
      </c>
      <c r="Q730" s="136"/>
      <c r="R730" s="79">
        <v>72.17</v>
      </c>
      <c r="S730" s="79">
        <v>6.06</v>
      </c>
      <c r="T730" s="79">
        <v>78.23</v>
      </c>
      <c r="U730" s="79">
        <v>0</v>
      </c>
      <c r="V730" s="189">
        <v>78.23</v>
      </c>
      <c r="X730" s="79">
        <v>72.17</v>
      </c>
      <c r="Y730" s="79">
        <v>6.06</v>
      </c>
      <c r="Z730" s="79">
        <v>78.23</v>
      </c>
      <c r="AA730" s="255">
        <v>-1.0000000000005116E-2</v>
      </c>
      <c r="AC730" s="254"/>
    </row>
    <row r="731" spans="1:29" s="69" customFormat="1" ht="12">
      <c r="A731" s="67" t="s">
        <v>11899</v>
      </c>
      <c r="B731" s="65" t="s">
        <v>235</v>
      </c>
      <c r="C731" s="71" t="s">
        <v>165</v>
      </c>
      <c r="D731" s="78">
        <v>1</v>
      </c>
      <c r="E731" s="79">
        <v>104.67</v>
      </c>
      <c r="F731" s="70">
        <v>104.67</v>
      </c>
      <c r="G731" s="320"/>
      <c r="H731" s="79">
        <v>98.62</v>
      </c>
      <c r="I731" s="79">
        <v>6.05</v>
      </c>
      <c r="J731" s="79">
        <v>104.67</v>
      </c>
      <c r="K731" s="79">
        <v>0</v>
      </c>
      <c r="L731" s="70">
        <v>104.67</v>
      </c>
      <c r="M731" s="132"/>
      <c r="N731" s="79">
        <v>98.62</v>
      </c>
      <c r="O731" s="79">
        <v>6.05</v>
      </c>
      <c r="P731" s="79">
        <v>104.67</v>
      </c>
      <c r="Q731" s="136"/>
      <c r="R731" s="79">
        <v>98.62</v>
      </c>
      <c r="S731" s="79">
        <v>6.06</v>
      </c>
      <c r="T731" s="79">
        <v>104.68</v>
      </c>
      <c r="U731" s="79">
        <v>0</v>
      </c>
      <c r="V731" s="189">
        <v>104.68</v>
      </c>
      <c r="W731" s="61"/>
      <c r="X731" s="79">
        <v>98.62</v>
      </c>
      <c r="Y731" s="79">
        <v>6.06</v>
      </c>
      <c r="Z731" s="79">
        <v>104.68</v>
      </c>
      <c r="AA731" s="255">
        <v>-1.0000000000005116E-2</v>
      </c>
      <c r="AB731" s="61"/>
      <c r="AC731" s="254"/>
    </row>
    <row r="732" spans="1:29" ht="12">
      <c r="A732" s="67" t="s">
        <v>11900</v>
      </c>
      <c r="B732" s="65" t="s">
        <v>219</v>
      </c>
      <c r="C732" s="71" t="s">
        <v>165</v>
      </c>
      <c r="D732" s="78">
        <v>1</v>
      </c>
      <c r="E732" s="79">
        <v>123.22</v>
      </c>
      <c r="F732" s="70">
        <v>123.22</v>
      </c>
      <c r="G732" s="320"/>
      <c r="H732" s="79">
        <v>117.17</v>
      </c>
      <c r="I732" s="79">
        <v>6.05</v>
      </c>
      <c r="J732" s="79">
        <v>123.22</v>
      </c>
      <c r="K732" s="79">
        <v>0</v>
      </c>
      <c r="L732" s="70">
        <v>123.22</v>
      </c>
      <c r="M732" s="132"/>
      <c r="N732" s="79">
        <v>117.17</v>
      </c>
      <c r="O732" s="79">
        <v>6.05</v>
      </c>
      <c r="P732" s="79">
        <v>123.22</v>
      </c>
      <c r="Q732" s="136"/>
      <c r="R732" s="79">
        <v>117.17</v>
      </c>
      <c r="S732" s="79">
        <v>6.06</v>
      </c>
      <c r="T732" s="79">
        <v>123.23</v>
      </c>
      <c r="U732" s="79">
        <v>0</v>
      </c>
      <c r="V732" s="189">
        <v>123.23</v>
      </c>
      <c r="X732" s="79">
        <v>117.17</v>
      </c>
      <c r="Y732" s="79">
        <v>6.06</v>
      </c>
      <c r="Z732" s="79">
        <v>123.23</v>
      </c>
      <c r="AA732" s="255">
        <v>-1.0000000000005116E-2</v>
      </c>
      <c r="AC732" s="254"/>
    </row>
    <row r="733" spans="1:29" s="61" customFormat="1" ht="12">
      <c r="A733" s="67" t="s">
        <v>11901</v>
      </c>
      <c r="B733" s="65" t="s">
        <v>241</v>
      </c>
      <c r="C733" s="71" t="s">
        <v>165</v>
      </c>
      <c r="D733" s="78">
        <v>1</v>
      </c>
      <c r="E733" s="79">
        <v>162.96</v>
      </c>
      <c r="F733" s="70">
        <v>162.96</v>
      </c>
      <c r="G733" s="320"/>
      <c r="H733" s="79">
        <v>156.91</v>
      </c>
      <c r="I733" s="79">
        <v>6.05</v>
      </c>
      <c r="J733" s="79">
        <v>162.96</v>
      </c>
      <c r="K733" s="79">
        <v>0</v>
      </c>
      <c r="L733" s="70">
        <v>162.96</v>
      </c>
      <c r="M733" s="132"/>
      <c r="N733" s="79">
        <v>156.91</v>
      </c>
      <c r="O733" s="79">
        <v>6.05</v>
      </c>
      <c r="P733" s="79">
        <v>162.96</v>
      </c>
      <c r="Q733" s="136"/>
      <c r="R733" s="79">
        <v>156.91</v>
      </c>
      <c r="S733" s="79">
        <v>6.06</v>
      </c>
      <c r="T733" s="79">
        <v>162.97</v>
      </c>
      <c r="U733" s="79">
        <v>0</v>
      </c>
      <c r="V733" s="189">
        <v>162.97</v>
      </c>
      <c r="X733" s="79">
        <v>156.91</v>
      </c>
      <c r="Y733" s="79">
        <v>6.06</v>
      </c>
      <c r="Z733" s="79">
        <v>162.97</v>
      </c>
      <c r="AA733" s="255">
        <v>-9.9999999999909051E-3</v>
      </c>
      <c r="AC733" s="254"/>
    </row>
    <row r="734" spans="1:29" s="61" customFormat="1" ht="12">
      <c r="A734" s="67" t="s">
        <v>11902</v>
      </c>
      <c r="B734" s="65" t="s">
        <v>237</v>
      </c>
      <c r="C734" s="71" t="s">
        <v>165</v>
      </c>
      <c r="D734" s="78">
        <v>1</v>
      </c>
      <c r="E734" s="79">
        <v>202.75000000000003</v>
      </c>
      <c r="F734" s="70">
        <v>202.75</v>
      </c>
      <c r="G734" s="320"/>
      <c r="H734" s="79">
        <v>196.70000000000002</v>
      </c>
      <c r="I734" s="79">
        <v>6.05</v>
      </c>
      <c r="J734" s="79">
        <v>202.75000000000003</v>
      </c>
      <c r="K734" s="79">
        <v>0</v>
      </c>
      <c r="L734" s="70">
        <v>202.75000000000003</v>
      </c>
      <c r="M734" s="132"/>
      <c r="N734" s="79">
        <v>196.70000000000002</v>
      </c>
      <c r="O734" s="79">
        <v>6.05</v>
      </c>
      <c r="P734" s="79">
        <v>202.75000000000003</v>
      </c>
      <c r="Q734" s="136"/>
      <c r="R734" s="79">
        <v>196.7</v>
      </c>
      <c r="S734" s="79">
        <v>6.06</v>
      </c>
      <c r="T734" s="79">
        <v>202.76</v>
      </c>
      <c r="U734" s="79">
        <v>0</v>
      </c>
      <c r="V734" s="189">
        <v>202.76</v>
      </c>
      <c r="X734" s="79">
        <v>196.7</v>
      </c>
      <c r="Y734" s="79">
        <v>6.06</v>
      </c>
      <c r="Z734" s="79">
        <v>202.76</v>
      </c>
      <c r="AA734" s="255">
        <v>-9.9999999999909051E-3</v>
      </c>
      <c r="AC734" s="254"/>
    </row>
    <row r="735" spans="1:29" s="61" customFormat="1" ht="12">
      <c r="A735" s="489" t="s">
        <v>11903</v>
      </c>
      <c r="B735" s="490" t="s">
        <v>11904</v>
      </c>
      <c r="C735" s="491"/>
      <c r="D735" s="78"/>
      <c r="E735" s="79"/>
      <c r="F735" s="70"/>
      <c r="G735" s="320"/>
      <c r="H735" s="79"/>
      <c r="I735" s="79"/>
      <c r="J735" s="79"/>
      <c r="K735" s="79"/>
      <c r="L735" s="70"/>
      <c r="M735" s="132"/>
      <c r="N735" s="79"/>
      <c r="O735" s="79"/>
      <c r="P735" s="79"/>
      <c r="Q735" s="136"/>
      <c r="R735" s="79"/>
      <c r="S735" s="79"/>
      <c r="T735" s="79"/>
      <c r="U735" s="79"/>
      <c r="V735" s="189"/>
      <c r="X735" s="79"/>
      <c r="Y735" s="79"/>
      <c r="Z735" s="79"/>
      <c r="AA735" s="255"/>
      <c r="AC735" s="254"/>
    </row>
    <row r="736" spans="1:29" s="61" customFormat="1" ht="24">
      <c r="A736" s="67" t="s">
        <v>11905</v>
      </c>
      <c r="B736" s="65" t="s">
        <v>107</v>
      </c>
      <c r="C736" s="71" t="s">
        <v>108</v>
      </c>
      <c r="D736" s="78">
        <v>1</v>
      </c>
      <c r="E736" s="79">
        <v>31824.45</v>
      </c>
      <c r="F736" s="70">
        <v>31824.45</v>
      </c>
      <c r="G736" s="320"/>
      <c r="H736" s="79">
        <v>31824.45</v>
      </c>
      <c r="I736" s="79">
        <v>0</v>
      </c>
      <c r="J736" s="79">
        <v>31824.45</v>
      </c>
      <c r="K736" s="79">
        <v>0</v>
      </c>
      <c r="L736" s="70">
        <v>31824.45</v>
      </c>
      <c r="M736" s="132"/>
      <c r="N736" s="79">
        <v>31824.45</v>
      </c>
      <c r="O736" s="79"/>
      <c r="P736" s="79">
        <v>31824.45</v>
      </c>
      <c r="Q736" s="136"/>
      <c r="R736" s="79">
        <v>31824.45</v>
      </c>
      <c r="S736" s="79"/>
      <c r="T736" s="79">
        <v>31824.45</v>
      </c>
      <c r="U736" s="79">
        <v>0</v>
      </c>
      <c r="V736" s="189">
        <v>31824.45</v>
      </c>
      <c r="X736" s="79">
        <v>31824.45</v>
      </c>
      <c r="Y736" s="79"/>
      <c r="Z736" s="79">
        <v>31824.45</v>
      </c>
      <c r="AA736" s="255">
        <v>0</v>
      </c>
      <c r="AC736" s="254"/>
    </row>
    <row r="737" spans="1:29" ht="12">
      <c r="A737" s="67" t="s">
        <v>11906</v>
      </c>
      <c r="B737" s="65" t="s">
        <v>271</v>
      </c>
      <c r="C737" s="71" t="s">
        <v>165</v>
      </c>
      <c r="D737" s="78">
        <v>1</v>
      </c>
      <c r="E737" s="79">
        <v>389.7</v>
      </c>
      <c r="F737" s="70">
        <v>389.7</v>
      </c>
      <c r="G737" s="320"/>
      <c r="H737" s="79">
        <v>362.4</v>
      </c>
      <c r="I737" s="79">
        <v>27.299999999999997</v>
      </c>
      <c r="J737" s="79">
        <v>389.7</v>
      </c>
      <c r="K737" s="79">
        <v>0</v>
      </c>
      <c r="L737" s="70">
        <v>389.7</v>
      </c>
      <c r="M737" s="132"/>
      <c r="N737" s="79">
        <v>362.4</v>
      </c>
      <c r="O737" s="79">
        <v>27.299999999999997</v>
      </c>
      <c r="P737" s="79">
        <v>389.7</v>
      </c>
      <c r="Q737" s="136"/>
      <c r="R737" s="79">
        <v>362.4</v>
      </c>
      <c r="S737" s="79">
        <v>27.3</v>
      </c>
      <c r="T737" s="79">
        <v>389.7</v>
      </c>
      <c r="U737" s="79">
        <v>0</v>
      </c>
      <c r="V737" s="189">
        <v>389.7</v>
      </c>
      <c r="X737" s="79">
        <v>362.4</v>
      </c>
      <c r="Y737" s="79">
        <v>27.3</v>
      </c>
      <c r="Z737" s="79">
        <v>389.7</v>
      </c>
      <c r="AA737" s="255">
        <v>0</v>
      </c>
      <c r="AC737" s="254"/>
    </row>
    <row r="738" spans="1:29" ht="12">
      <c r="A738" s="67" t="s">
        <v>11907</v>
      </c>
      <c r="B738" s="65" t="s">
        <v>273</v>
      </c>
      <c r="C738" s="71" t="s">
        <v>165</v>
      </c>
      <c r="D738" s="78">
        <v>1</v>
      </c>
      <c r="E738" s="79">
        <v>470.44</v>
      </c>
      <c r="F738" s="70">
        <v>470.44</v>
      </c>
      <c r="G738" s="320"/>
      <c r="H738" s="79">
        <v>428.74</v>
      </c>
      <c r="I738" s="79">
        <v>41.7</v>
      </c>
      <c r="J738" s="79">
        <v>470.44</v>
      </c>
      <c r="K738" s="79">
        <v>0</v>
      </c>
      <c r="L738" s="70">
        <v>470.44</v>
      </c>
      <c r="M738" s="132"/>
      <c r="N738" s="79">
        <v>428.74</v>
      </c>
      <c r="O738" s="79">
        <v>41.7</v>
      </c>
      <c r="P738" s="79">
        <v>470.44</v>
      </c>
      <c r="Q738" s="136"/>
      <c r="R738" s="79">
        <v>428.74</v>
      </c>
      <c r="S738" s="79">
        <v>41.71</v>
      </c>
      <c r="T738" s="79">
        <v>470.45</v>
      </c>
      <c r="U738" s="79">
        <v>0</v>
      </c>
      <c r="V738" s="189">
        <v>470.45</v>
      </c>
      <c r="X738" s="79">
        <v>428.74</v>
      </c>
      <c r="Y738" s="79">
        <v>41.71</v>
      </c>
      <c r="Z738" s="79">
        <v>470.45</v>
      </c>
      <c r="AA738" s="255">
        <v>-9.9999999999909051E-3</v>
      </c>
      <c r="AC738" s="254"/>
    </row>
    <row r="739" spans="1:29" ht="12">
      <c r="A739" s="67" t="s">
        <v>11908</v>
      </c>
      <c r="B739" s="65" t="s">
        <v>275</v>
      </c>
      <c r="C739" s="71" t="s">
        <v>165</v>
      </c>
      <c r="D739" s="78">
        <v>1</v>
      </c>
      <c r="E739" s="79">
        <v>538.48</v>
      </c>
      <c r="F739" s="70">
        <v>538.48</v>
      </c>
      <c r="G739" s="320"/>
      <c r="H739" s="79">
        <v>489.55000000000007</v>
      </c>
      <c r="I739" s="79">
        <v>48.929999999999993</v>
      </c>
      <c r="J739" s="79">
        <v>538.48</v>
      </c>
      <c r="K739" s="79">
        <v>0</v>
      </c>
      <c r="L739" s="70">
        <v>538.48</v>
      </c>
      <c r="M739" s="132"/>
      <c r="N739" s="79">
        <v>489.55000000000007</v>
      </c>
      <c r="O739" s="79">
        <v>48.929999999999993</v>
      </c>
      <c r="P739" s="79">
        <v>538.48</v>
      </c>
      <c r="Q739" s="136"/>
      <c r="R739" s="79">
        <v>489.55</v>
      </c>
      <c r="S739" s="79">
        <v>48.91</v>
      </c>
      <c r="T739" s="79">
        <v>538.46</v>
      </c>
      <c r="U739" s="79">
        <v>0</v>
      </c>
      <c r="V739" s="189">
        <v>538.46</v>
      </c>
      <c r="X739" s="79">
        <v>489.55</v>
      </c>
      <c r="Y739" s="79">
        <v>48.91</v>
      </c>
      <c r="Z739" s="79">
        <v>538.46</v>
      </c>
      <c r="AA739" s="255">
        <v>1.999999999998181E-2</v>
      </c>
      <c r="AC739" s="254"/>
    </row>
    <row r="740" spans="1:29" ht="12">
      <c r="A740" s="489" t="s">
        <v>11909</v>
      </c>
      <c r="B740" s="490" t="s">
        <v>11910</v>
      </c>
      <c r="C740" s="491"/>
      <c r="D740" s="492"/>
      <c r="E740" s="79"/>
      <c r="F740" s="63"/>
      <c r="G740" s="320"/>
      <c r="H740" s="79"/>
      <c r="I740" s="79"/>
      <c r="J740" s="79"/>
      <c r="K740" s="79"/>
      <c r="L740" s="70"/>
      <c r="M740" s="132"/>
      <c r="N740" s="79"/>
      <c r="O740" s="79"/>
      <c r="P740" s="79"/>
      <c r="Q740" s="136"/>
      <c r="R740" s="79"/>
      <c r="S740" s="79"/>
      <c r="T740" s="79"/>
      <c r="U740" s="79"/>
      <c r="V740" s="189"/>
      <c r="X740" s="79"/>
      <c r="Y740" s="79"/>
      <c r="Z740" s="79"/>
      <c r="AA740" s="255"/>
      <c r="AC740" s="254"/>
    </row>
    <row r="741" spans="1:29" ht="12">
      <c r="A741" s="489" t="s">
        <v>11911</v>
      </c>
      <c r="B741" s="490" t="s">
        <v>11912</v>
      </c>
      <c r="C741" s="491"/>
      <c r="D741" s="492"/>
      <c r="E741" s="79"/>
      <c r="F741" s="63"/>
      <c r="G741" s="320"/>
      <c r="H741" s="79"/>
      <c r="I741" s="79"/>
      <c r="J741" s="79"/>
      <c r="K741" s="79"/>
      <c r="L741" s="70"/>
      <c r="M741" s="132"/>
      <c r="N741" s="79"/>
      <c r="O741" s="79"/>
      <c r="P741" s="79"/>
      <c r="Q741" s="136"/>
      <c r="R741" s="79"/>
      <c r="S741" s="79"/>
      <c r="T741" s="79"/>
      <c r="U741" s="79"/>
      <c r="V741" s="189"/>
      <c r="X741" s="79"/>
      <c r="Y741" s="79"/>
      <c r="Z741" s="79"/>
      <c r="AA741" s="255"/>
      <c r="AC741" s="254"/>
    </row>
    <row r="742" spans="1:29" ht="24">
      <c r="A742" s="67" t="s">
        <v>11913</v>
      </c>
      <c r="B742" s="65" t="s">
        <v>11914</v>
      </c>
      <c r="C742" s="71" t="s">
        <v>509</v>
      </c>
      <c r="D742" s="78">
        <v>1</v>
      </c>
      <c r="E742" s="79">
        <v>154.41</v>
      </c>
      <c r="F742" s="70">
        <v>154.41</v>
      </c>
      <c r="G742" s="320"/>
      <c r="H742" s="79">
        <v>117.76</v>
      </c>
      <c r="I742" s="79">
        <v>36.65</v>
      </c>
      <c r="J742" s="79">
        <v>154.41</v>
      </c>
      <c r="K742" s="79">
        <v>0</v>
      </c>
      <c r="L742" s="70">
        <v>154.41</v>
      </c>
      <c r="M742" s="132"/>
      <c r="N742" s="79">
        <v>117.76</v>
      </c>
      <c r="O742" s="79">
        <v>36.65</v>
      </c>
      <c r="P742" s="79">
        <v>154.41</v>
      </c>
      <c r="Q742" s="136"/>
      <c r="R742" s="79">
        <v>117.76</v>
      </c>
      <c r="S742" s="79">
        <v>36.65</v>
      </c>
      <c r="T742" s="79">
        <v>154.41</v>
      </c>
      <c r="U742" s="79">
        <v>0</v>
      </c>
      <c r="V742" s="189">
        <v>154.41</v>
      </c>
      <c r="X742" s="79">
        <v>117.76</v>
      </c>
      <c r="Y742" s="79">
        <v>36.65</v>
      </c>
      <c r="Z742" s="79">
        <v>154.41</v>
      </c>
      <c r="AA742" s="255">
        <v>0</v>
      </c>
      <c r="AC742" s="254"/>
    </row>
    <row r="743" spans="1:29" ht="24">
      <c r="A743" s="67" t="s">
        <v>11915</v>
      </c>
      <c r="B743" s="65" t="s">
        <v>11916</v>
      </c>
      <c r="C743" s="71" t="s">
        <v>509</v>
      </c>
      <c r="D743" s="78">
        <v>1</v>
      </c>
      <c r="E743" s="79">
        <v>165.13</v>
      </c>
      <c r="F743" s="70">
        <v>165.13</v>
      </c>
      <c r="G743" s="320"/>
      <c r="H743" s="79">
        <v>124.85000000000001</v>
      </c>
      <c r="I743" s="79">
        <v>40.28</v>
      </c>
      <c r="J743" s="79">
        <v>165.13</v>
      </c>
      <c r="K743" s="79">
        <v>0</v>
      </c>
      <c r="L743" s="70">
        <v>165.13</v>
      </c>
      <c r="M743" s="132"/>
      <c r="N743" s="79">
        <v>124.85000000000001</v>
      </c>
      <c r="O743" s="79">
        <v>40.28</v>
      </c>
      <c r="P743" s="79">
        <v>165.13</v>
      </c>
      <c r="Q743" s="136"/>
      <c r="R743" s="79">
        <v>124.85</v>
      </c>
      <c r="S743" s="79">
        <v>40.31</v>
      </c>
      <c r="T743" s="79">
        <v>165.16</v>
      </c>
      <c r="U743" s="79">
        <v>0</v>
      </c>
      <c r="V743" s="189">
        <v>165.16</v>
      </c>
      <c r="X743" s="79">
        <v>124.85</v>
      </c>
      <c r="Y743" s="79">
        <v>40.31</v>
      </c>
      <c r="Z743" s="79">
        <v>165.16</v>
      </c>
      <c r="AA743" s="255">
        <v>-3.0000000000001137E-2</v>
      </c>
      <c r="AC743" s="254"/>
    </row>
    <row r="744" spans="1:29" ht="24">
      <c r="A744" s="67" t="s">
        <v>11917</v>
      </c>
      <c r="B744" s="65" t="s">
        <v>11918</v>
      </c>
      <c r="C744" s="71" t="s">
        <v>509</v>
      </c>
      <c r="D744" s="78">
        <v>1</v>
      </c>
      <c r="E744" s="79">
        <v>198.07</v>
      </c>
      <c r="F744" s="70">
        <v>198.07</v>
      </c>
      <c r="G744" s="320"/>
      <c r="H744" s="79">
        <v>154.11000000000001</v>
      </c>
      <c r="I744" s="79">
        <v>43.96</v>
      </c>
      <c r="J744" s="79">
        <v>198.07000000000002</v>
      </c>
      <c r="K744" s="79">
        <v>0</v>
      </c>
      <c r="L744" s="70">
        <v>198.07000000000002</v>
      </c>
      <c r="M744" s="132"/>
      <c r="N744" s="79">
        <v>154.11000000000001</v>
      </c>
      <c r="O744" s="79">
        <v>43.96</v>
      </c>
      <c r="P744" s="79">
        <v>198.07000000000002</v>
      </c>
      <c r="Q744" s="136"/>
      <c r="R744" s="79">
        <v>154.11000000000001</v>
      </c>
      <c r="S744" s="79">
        <v>43.96</v>
      </c>
      <c r="T744" s="79">
        <v>198.07000000000002</v>
      </c>
      <c r="U744" s="79">
        <v>0</v>
      </c>
      <c r="V744" s="189">
        <v>198.07000000000002</v>
      </c>
      <c r="X744" s="79">
        <v>154.11000000000001</v>
      </c>
      <c r="Y744" s="79">
        <v>43.96</v>
      </c>
      <c r="Z744" s="79">
        <v>198.07</v>
      </c>
      <c r="AA744" s="255">
        <v>0</v>
      </c>
      <c r="AC744" s="254"/>
    </row>
    <row r="745" spans="1:29" ht="24">
      <c r="A745" s="67" t="s">
        <v>11919</v>
      </c>
      <c r="B745" s="65" t="s">
        <v>11920</v>
      </c>
      <c r="C745" s="71" t="s">
        <v>509</v>
      </c>
      <c r="D745" s="78">
        <v>1</v>
      </c>
      <c r="E745" s="79">
        <v>210.04999999999998</v>
      </c>
      <c r="F745" s="70">
        <v>210.05</v>
      </c>
      <c r="G745" s="320"/>
      <c r="H745" s="79">
        <v>162.44</v>
      </c>
      <c r="I745" s="79">
        <v>47.61</v>
      </c>
      <c r="J745" s="79">
        <v>210.05</v>
      </c>
      <c r="K745" s="79">
        <v>0</v>
      </c>
      <c r="L745" s="70">
        <v>210.05</v>
      </c>
      <c r="M745" s="132"/>
      <c r="N745" s="79">
        <v>162.44</v>
      </c>
      <c r="O745" s="79">
        <v>47.61</v>
      </c>
      <c r="P745" s="79">
        <v>210.05</v>
      </c>
      <c r="Q745" s="136"/>
      <c r="R745" s="79">
        <v>162.44</v>
      </c>
      <c r="S745" s="79">
        <v>47.61</v>
      </c>
      <c r="T745" s="79">
        <v>210.05</v>
      </c>
      <c r="U745" s="79">
        <v>0</v>
      </c>
      <c r="V745" s="189">
        <v>210.05</v>
      </c>
      <c r="X745" s="79">
        <v>162.44</v>
      </c>
      <c r="Y745" s="79">
        <v>47.61</v>
      </c>
      <c r="Z745" s="79">
        <v>210.05</v>
      </c>
      <c r="AA745" s="255">
        <v>0</v>
      </c>
      <c r="AC745" s="254"/>
    </row>
    <row r="746" spans="1:29" ht="24">
      <c r="A746" s="67" t="s">
        <v>11921</v>
      </c>
      <c r="B746" s="65" t="s">
        <v>11922</v>
      </c>
      <c r="C746" s="71" t="s">
        <v>509</v>
      </c>
      <c r="D746" s="78">
        <v>1</v>
      </c>
      <c r="E746" s="79">
        <v>249.69</v>
      </c>
      <c r="F746" s="70">
        <v>249.69</v>
      </c>
      <c r="G746" s="320"/>
      <c r="H746" s="79">
        <v>197.39999999999998</v>
      </c>
      <c r="I746" s="79">
        <v>52.29</v>
      </c>
      <c r="J746" s="79">
        <v>249.68999999999997</v>
      </c>
      <c r="K746" s="79">
        <v>0</v>
      </c>
      <c r="L746" s="70">
        <v>249.68999999999997</v>
      </c>
      <c r="M746" s="132"/>
      <c r="N746" s="79">
        <v>197.39999999999998</v>
      </c>
      <c r="O746" s="79">
        <v>52.29</v>
      </c>
      <c r="P746" s="79">
        <v>249.68999999999997</v>
      </c>
      <c r="Q746" s="136"/>
      <c r="R746" s="79">
        <v>197.4</v>
      </c>
      <c r="S746" s="79">
        <v>52.26</v>
      </c>
      <c r="T746" s="79">
        <v>249.66</v>
      </c>
      <c r="U746" s="79">
        <v>0</v>
      </c>
      <c r="V746" s="189">
        <v>249.66</v>
      </c>
      <c r="X746" s="79">
        <v>197.4</v>
      </c>
      <c r="Y746" s="79">
        <v>52.26</v>
      </c>
      <c r="Z746" s="79">
        <v>249.66</v>
      </c>
      <c r="AA746" s="255">
        <v>3.0000000000001137E-2</v>
      </c>
      <c r="AC746" s="254"/>
    </row>
    <row r="747" spans="1:29" ht="24">
      <c r="A747" s="67" t="s">
        <v>11923</v>
      </c>
      <c r="B747" s="65" t="s">
        <v>11924</v>
      </c>
      <c r="C747" s="71" t="s">
        <v>509</v>
      </c>
      <c r="D747" s="78">
        <v>1</v>
      </c>
      <c r="E747" s="79">
        <v>181.16</v>
      </c>
      <c r="F747" s="70">
        <v>181.16</v>
      </c>
      <c r="G747" s="320"/>
      <c r="H747" s="79">
        <v>140.88</v>
      </c>
      <c r="I747" s="79">
        <v>40.28</v>
      </c>
      <c r="J747" s="79">
        <v>181.16</v>
      </c>
      <c r="K747" s="79">
        <v>0</v>
      </c>
      <c r="L747" s="70">
        <v>181.16</v>
      </c>
      <c r="M747" s="132"/>
      <c r="N747" s="79">
        <v>140.88</v>
      </c>
      <c r="O747" s="79">
        <v>40.28</v>
      </c>
      <c r="P747" s="79">
        <v>181.16</v>
      </c>
      <c r="Q747" s="136"/>
      <c r="R747" s="79">
        <v>140.88</v>
      </c>
      <c r="S747" s="79">
        <v>40.31</v>
      </c>
      <c r="T747" s="79">
        <v>181.19</v>
      </c>
      <c r="U747" s="79">
        <v>0</v>
      </c>
      <c r="V747" s="189">
        <v>181.19</v>
      </c>
      <c r="X747" s="79">
        <v>140.88</v>
      </c>
      <c r="Y747" s="79">
        <v>40.31</v>
      </c>
      <c r="Z747" s="79">
        <v>181.19</v>
      </c>
      <c r="AA747" s="255">
        <v>-3.0000000000001137E-2</v>
      </c>
      <c r="AC747" s="254"/>
    </row>
    <row r="748" spans="1:29" ht="24">
      <c r="A748" s="67" t="s">
        <v>11925</v>
      </c>
      <c r="B748" s="65" t="s">
        <v>11926</v>
      </c>
      <c r="C748" s="71" t="s">
        <v>509</v>
      </c>
      <c r="D748" s="78">
        <v>1</v>
      </c>
      <c r="E748" s="79">
        <v>204.19</v>
      </c>
      <c r="F748" s="70">
        <v>204.19</v>
      </c>
      <c r="G748" s="320"/>
      <c r="H748" s="79">
        <v>163.90999999999997</v>
      </c>
      <c r="I748" s="79">
        <v>40.28</v>
      </c>
      <c r="J748" s="79">
        <v>204.18999999999997</v>
      </c>
      <c r="K748" s="79">
        <v>0</v>
      </c>
      <c r="L748" s="70">
        <v>204.18999999999997</v>
      </c>
      <c r="M748" s="132"/>
      <c r="N748" s="79">
        <v>163.90999999999997</v>
      </c>
      <c r="O748" s="79">
        <v>40.28</v>
      </c>
      <c r="P748" s="79">
        <v>204.18999999999997</v>
      </c>
      <c r="Q748" s="136"/>
      <c r="R748" s="79">
        <v>163.91</v>
      </c>
      <c r="S748" s="79">
        <v>40.31</v>
      </c>
      <c r="T748" s="79">
        <v>204.22</v>
      </c>
      <c r="U748" s="79">
        <v>0</v>
      </c>
      <c r="V748" s="189">
        <v>204.22</v>
      </c>
      <c r="X748" s="79">
        <v>163.91</v>
      </c>
      <c r="Y748" s="79">
        <v>40.31</v>
      </c>
      <c r="Z748" s="79">
        <v>204.22</v>
      </c>
      <c r="AA748" s="255">
        <v>-3.0000000000001137E-2</v>
      </c>
      <c r="AC748" s="254"/>
    </row>
    <row r="749" spans="1:29" ht="24">
      <c r="A749" s="67" t="s">
        <v>11927</v>
      </c>
      <c r="B749" s="65" t="s">
        <v>11928</v>
      </c>
      <c r="C749" s="71" t="s">
        <v>509</v>
      </c>
      <c r="D749" s="78">
        <v>1</v>
      </c>
      <c r="E749" s="79">
        <v>245.86</v>
      </c>
      <c r="F749" s="70">
        <v>245.86</v>
      </c>
      <c r="G749" s="320"/>
      <c r="H749" s="79">
        <v>201.89999999999998</v>
      </c>
      <c r="I749" s="79">
        <v>43.96</v>
      </c>
      <c r="J749" s="79">
        <v>245.85999999999999</v>
      </c>
      <c r="K749" s="79">
        <v>0</v>
      </c>
      <c r="L749" s="70">
        <v>245.85999999999999</v>
      </c>
      <c r="M749" s="132"/>
      <c r="N749" s="79">
        <v>201.89999999999998</v>
      </c>
      <c r="O749" s="79">
        <v>43.96</v>
      </c>
      <c r="P749" s="79">
        <v>245.85999999999999</v>
      </c>
      <c r="Q749" s="136"/>
      <c r="R749" s="79">
        <v>201.9</v>
      </c>
      <c r="S749" s="79">
        <v>43.96</v>
      </c>
      <c r="T749" s="79">
        <v>245.86</v>
      </c>
      <c r="U749" s="79">
        <v>0</v>
      </c>
      <c r="V749" s="189">
        <v>245.86</v>
      </c>
      <c r="X749" s="79">
        <v>201.9</v>
      </c>
      <c r="Y749" s="79">
        <v>43.96</v>
      </c>
      <c r="Z749" s="79">
        <v>245.86</v>
      </c>
      <c r="AA749" s="255">
        <v>0</v>
      </c>
      <c r="AC749" s="254"/>
    </row>
    <row r="750" spans="1:29" ht="24">
      <c r="A750" s="67" t="s">
        <v>11929</v>
      </c>
      <c r="B750" s="65" t="s">
        <v>11930</v>
      </c>
      <c r="C750" s="71" t="s">
        <v>509</v>
      </c>
      <c r="D750" s="78">
        <v>1</v>
      </c>
      <c r="E750" s="79">
        <v>271.33</v>
      </c>
      <c r="F750" s="70">
        <v>271.33</v>
      </c>
      <c r="G750" s="320"/>
      <c r="H750" s="79">
        <v>223.72</v>
      </c>
      <c r="I750" s="79">
        <v>47.61</v>
      </c>
      <c r="J750" s="79">
        <v>271.33</v>
      </c>
      <c r="K750" s="79">
        <v>0</v>
      </c>
      <c r="L750" s="70">
        <v>271.33</v>
      </c>
      <c r="M750" s="132"/>
      <c r="N750" s="79">
        <v>223.72</v>
      </c>
      <c r="O750" s="79">
        <v>47.61</v>
      </c>
      <c r="P750" s="79">
        <v>271.33</v>
      </c>
      <c r="Q750" s="136"/>
      <c r="R750" s="79">
        <v>223.72</v>
      </c>
      <c r="S750" s="79">
        <v>47.61</v>
      </c>
      <c r="T750" s="79">
        <v>271.33</v>
      </c>
      <c r="U750" s="79">
        <v>0</v>
      </c>
      <c r="V750" s="189">
        <v>271.33</v>
      </c>
      <c r="X750" s="79">
        <v>223.72</v>
      </c>
      <c r="Y750" s="79">
        <v>47.61</v>
      </c>
      <c r="Z750" s="79">
        <v>271.33</v>
      </c>
      <c r="AA750" s="255">
        <v>0</v>
      </c>
      <c r="AC750" s="254"/>
    </row>
    <row r="751" spans="1:29" ht="24">
      <c r="A751" s="67" t="s">
        <v>11931</v>
      </c>
      <c r="B751" s="65" t="s">
        <v>11932</v>
      </c>
      <c r="C751" s="71" t="s">
        <v>509</v>
      </c>
      <c r="D751" s="78">
        <v>1</v>
      </c>
      <c r="E751" s="79">
        <v>289.14</v>
      </c>
      <c r="F751" s="70">
        <v>289.14</v>
      </c>
      <c r="G751" s="320"/>
      <c r="H751" s="79">
        <v>236.84999999999997</v>
      </c>
      <c r="I751" s="79">
        <v>52.29</v>
      </c>
      <c r="J751" s="79">
        <v>289.14</v>
      </c>
      <c r="K751" s="79">
        <v>0</v>
      </c>
      <c r="L751" s="70">
        <v>289.14</v>
      </c>
      <c r="M751" s="132"/>
      <c r="N751" s="79">
        <v>236.84999999999997</v>
      </c>
      <c r="O751" s="79">
        <v>52.29</v>
      </c>
      <c r="P751" s="79">
        <v>289.14</v>
      </c>
      <c r="Q751" s="136"/>
      <c r="R751" s="79">
        <v>236.85</v>
      </c>
      <c r="S751" s="79">
        <v>52.26</v>
      </c>
      <c r="T751" s="79">
        <v>289.11</v>
      </c>
      <c r="U751" s="79">
        <v>0</v>
      </c>
      <c r="V751" s="189">
        <v>289.11</v>
      </c>
      <c r="X751" s="79">
        <v>236.85</v>
      </c>
      <c r="Y751" s="79">
        <v>52.26</v>
      </c>
      <c r="Z751" s="79">
        <v>289.11</v>
      </c>
      <c r="AA751" s="255">
        <v>2.9999999999972715E-2</v>
      </c>
      <c r="AC751" s="254"/>
    </row>
    <row r="752" spans="1:29" ht="12">
      <c r="A752" s="489" t="s">
        <v>11933</v>
      </c>
      <c r="B752" s="490" t="s">
        <v>11934</v>
      </c>
      <c r="C752" s="491"/>
      <c r="D752" s="492"/>
      <c r="E752" s="79"/>
      <c r="F752" s="63"/>
      <c r="G752" s="320"/>
      <c r="H752" s="79"/>
      <c r="I752" s="79"/>
      <c r="J752" s="79"/>
      <c r="K752" s="79"/>
      <c r="L752" s="70"/>
      <c r="M752" s="132"/>
      <c r="N752" s="79"/>
      <c r="O752" s="79"/>
      <c r="P752" s="79"/>
      <c r="Q752" s="136"/>
      <c r="R752" s="79"/>
      <c r="S752" s="79"/>
      <c r="T752" s="79"/>
      <c r="U752" s="79"/>
      <c r="V752" s="189"/>
      <c r="X752" s="79"/>
      <c r="Y752" s="79"/>
      <c r="Z752" s="79"/>
      <c r="AA752" s="255"/>
      <c r="AC752" s="254"/>
    </row>
    <row r="753" spans="1:29" ht="24">
      <c r="A753" s="67" t="s">
        <v>11935</v>
      </c>
      <c r="B753" s="65" t="s">
        <v>11936</v>
      </c>
      <c r="C753" s="71" t="s">
        <v>509</v>
      </c>
      <c r="D753" s="78">
        <v>1</v>
      </c>
      <c r="E753" s="79">
        <v>201.89</v>
      </c>
      <c r="F753" s="70">
        <v>201.89</v>
      </c>
      <c r="G753" s="320"/>
      <c r="H753" s="79">
        <v>161.61000000000001</v>
      </c>
      <c r="I753" s="79">
        <v>40.28</v>
      </c>
      <c r="J753" s="79">
        <v>201.89000000000001</v>
      </c>
      <c r="K753" s="79">
        <v>0</v>
      </c>
      <c r="L753" s="70">
        <v>201.89000000000001</v>
      </c>
      <c r="M753" s="132"/>
      <c r="N753" s="79">
        <v>161.61000000000001</v>
      </c>
      <c r="O753" s="79">
        <v>40.28</v>
      </c>
      <c r="P753" s="79">
        <v>201.89000000000001</v>
      </c>
      <c r="Q753" s="136"/>
      <c r="R753" s="79">
        <v>161.61000000000001</v>
      </c>
      <c r="S753" s="79">
        <v>40.31</v>
      </c>
      <c r="T753" s="79">
        <v>201.92000000000002</v>
      </c>
      <c r="U753" s="79">
        <v>0</v>
      </c>
      <c r="V753" s="189">
        <v>201.92000000000002</v>
      </c>
      <c r="X753" s="79">
        <v>161.61000000000001</v>
      </c>
      <c r="Y753" s="79">
        <v>40.31</v>
      </c>
      <c r="Z753" s="79">
        <v>201.92</v>
      </c>
      <c r="AA753" s="255">
        <v>-3.0000000000001137E-2</v>
      </c>
      <c r="AC753" s="254"/>
    </row>
    <row r="754" spans="1:29" ht="24">
      <c r="A754" s="67" t="s">
        <v>11937</v>
      </c>
      <c r="B754" s="65" t="s">
        <v>11938</v>
      </c>
      <c r="C754" s="71" t="s">
        <v>509</v>
      </c>
      <c r="D754" s="78">
        <v>1</v>
      </c>
      <c r="E754" s="79">
        <v>225.18</v>
      </c>
      <c r="F754" s="70">
        <v>225.18</v>
      </c>
      <c r="G754" s="320"/>
      <c r="H754" s="79">
        <v>181.22</v>
      </c>
      <c r="I754" s="79">
        <v>43.96</v>
      </c>
      <c r="J754" s="79">
        <v>225.18</v>
      </c>
      <c r="K754" s="79">
        <v>0</v>
      </c>
      <c r="L754" s="70">
        <v>225.18</v>
      </c>
      <c r="M754" s="132"/>
      <c r="N754" s="79">
        <v>181.22</v>
      </c>
      <c r="O754" s="79">
        <v>43.96</v>
      </c>
      <c r="P754" s="79">
        <v>225.18</v>
      </c>
      <c r="Q754" s="136"/>
      <c r="R754" s="79">
        <v>181.22</v>
      </c>
      <c r="S754" s="79">
        <v>43.96</v>
      </c>
      <c r="T754" s="79">
        <v>225.18</v>
      </c>
      <c r="U754" s="79">
        <v>0</v>
      </c>
      <c r="V754" s="189">
        <v>225.18</v>
      </c>
      <c r="X754" s="79">
        <v>181.22</v>
      </c>
      <c r="Y754" s="79">
        <v>43.96</v>
      </c>
      <c r="Z754" s="79">
        <v>225.18</v>
      </c>
      <c r="AA754" s="255">
        <v>0</v>
      </c>
      <c r="AC754" s="254"/>
    </row>
    <row r="755" spans="1:29" s="69" customFormat="1" ht="24">
      <c r="A755" s="67" t="s">
        <v>11939</v>
      </c>
      <c r="B755" s="65" t="s">
        <v>11940</v>
      </c>
      <c r="C755" s="71" t="s">
        <v>509</v>
      </c>
      <c r="D755" s="78">
        <v>1</v>
      </c>
      <c r="E755" s="79">
        <v>243.33999999999997</v>
      </c>
      <c r="F755" s="70">
        <v>243.34</v>
      </c>
      <c r="G755" s="320"/>
      <c r="H755" s="79">
        <v>195.73</v>
      </c>
      <c r="I755" s="79">
        <v>47.61</v>
      </c>
      <c r="J755" s="79">
        <v>243.33999999999997</v>
      </c>
      <c r="K755" s="79">
        <v>0</v>
      </c>
      <c r="L755" s="70">
        <v>243.33999999999997</v>
      </c>
      <c r="M755" s="132"/>
      <c r="N755" s="79">
        <v>195.73</v>
      </c>
      <c r="O755" s="79">
        <v>47.61</v>
      </c>
      <c r="P755" s="79">
        <v>243.33999999999997</v>
      </c>
      <c r="Q755" s="136"/>
      <c r="R755" s="79">
        <v>195.73</v>
      </c>
      <c r="S755" s="79">
        <v>47.61</v>
      </c>
      <c r="T755" s="79">
        <v>243.33999999999997</v>
      </c>
      <c r="U755" s="79">
        <v>0</v>
      </c>
      <c r="V755" s="189">
        <v>243.33999999999997</v>
      </c>
      <c r="W755" s="61"/>
      <c r="X755" s="79">
        <v>195.73</v>
      </c>
      <c r="Y755" s="79">
        <v>47.61</v>
      </c>
      <c r="Z755" s="79">
        <v>243.34</v>
      </c>
      <c r="AA755" s="255">
        <v>0</v>
      </c>
      <c r="AB755" s="61"/>
      <c r="AC755" s="254"/>
    </row>
    <row r="756" spans="1:29" ht="24">
      <c r="A756" s="67" t="s">
        <v>11941</v>
      </c>
      <c r="B756" s="65" t="s">
        <v>11942</v>
      </c>
      <c r="C756" s="71" t="s">
        <v>509</v>
      </c>
      <c r="D756" s="78">
        <v>1</v>
      </c>
      <c r="E756" s="79">
        <v>258.75</v>
      </c>
      <c r="F756" s="70">
        <v>258.75</v>
      </c>
      <c r="G756" s="320"/>
      <c r="H756" s="79">
        <v>206.45999999999998</v>
      </c>
      <c r="I756" s="79">
        <v>52.29</v>
      </c>
      <c r="J756" s="79">
        <v>258.75</v>
      </c>
      <c r="K756" s="79">
        <v>0</v>
      </c>
      <c r="L756" s="70">
        <v>258.75</v>
      </c>
      <c r="M756" s="132"/>
      <c r="N756" s="79">
        <v>206.45999999999998</v>
      </c>
      <c r="O756" s="79">
        <v>52.29</v>
      </c>
      <c r="P756" s="79">
        <v>258.75</v>
      </c>
      <c r="Q756" s="136"/>
      <c r="R756" s="79">
        <v>206.46</v>
      </c>
      <c r="S756" s="79">
        <v>52.26</v>
      </c>
      <c r="T756" s="79">
        <v>258.72000000000003</v>
      </c>
      <c r="U756" s="79">
        <v>0</v>
      </c>
      <c r="V756" s="189">
        <v>258.72000000000003</v>
      </c>
      <c r="X756" s="79">
        <v>206.46</v>
      </c>
      <c r="Y756" s="79">
        <v>52.26</v>
      </c>
      <c r="Z756" s="79">
        <v>258.72000000000003</v>
      </c>
      <c r="AA756" s="255">
        <v>2.9999999999972715E-2</v>
      </c>
      <c r="AC756" s="254"/>
    </row>
    <row r="757" spans="1:29" ht="12">
      <c r="A757" s="489" t="s">
        <v>11943</v>
      </c>
      <c r="B757" s="490" t="s">
        <v>11944</v>
      </c>
      <c r="C757" s="491"/>
      <c r="D757" s="492"/>
      <c r="E757" s="79"/>
      <c r="F757" s="63"/>
      <c r="G757" s="320"/>
      <c r="H757" s="79"/>
      <c r="I757" s="79"/>
      <c r="J757" s="79"/>
      <c r="K757" s="79"/>
      <c r="L757" s="70"/>
      <c r="M757" s="132"/>
      <c r="N757" s="79"/>
      <c r="O757" s="79"/>
      <c r="P757" s="79"/>
      <c r="Q757" s="136"/>
      <c r="R757" s="79"/>
      <c r="S757" s="79"/>
      <c r="T757" s="79"/>
      <c r="U757" s="79"/>
      <c r="V757" s="189"/>
      <c r="X757" s="79"/>
      <c r="Y757" s="79"/>
      <c r="Z757" s="79"/>
      <c r="AA757" s="255"/>
      <c r="AC757" s="254"/>
    </row>
    <row r="758" spans="1:29" s="69" customFormat="1" ht="12">
      <c r="A758" s="67" t="s">
        <v>11945</v>
      </c>
      <c r="B758" s="65" t="s">
        <v>11946</v>
      </c>
      <c r="C758" s="71" t="s">
        <v>509</v>
      </c>
      <c r="D758" s="78">
        <v>1</v>
      </c>
      <c r="E758" s="79">
        <v>159.74</v>
      </c>
      <c r="F758" s="70">
        <v>159.74</v>
      </c>
      <c r="G758" s="320"/>
      <c r="H758" s="79">
        <v>147.46000000000004</v>
      </c>
      <c r="I758" s="79">
        <v>12.280000000000001</v>
      </c>
      <c r="J758" s="79">
        <v>159.74000000000004</v>
      </c>
      <c r="K758" s="79">
        <v>0</v>
      </c>
      <c r="L758" s="70">
        <v>159.74000000000004</v>
      </c>
      <c r="M758" s="132"/>
      <c r="N758" s="79">
        <v>147.46000000000004</v>
      </c>
      <c r="O758" s="79">
        <v>12.280000000000001</v>
      </c>
      <c r="P758" s="79">
        <v>159.74000000000004</v>
      </c>
      <c r="Q758" s="136"/>
      <c r="R758" s="79">
        <v>147.46</v>
      </c>
      <c r="S758" s="79">
        <v>12.29</v>
      </c>
      <c r="T758" s="79">
        <v>159.75</v>
      </c>
      <c r="U758" s="79">
        <v>0</v>
      </c>
      <c r="V758" s="189">
        <v>159.75</v>
      </c>
      <c r="W758" s="61"/>
      <c r="X758" s="79">
        <v>147.46</v>
      </c>
      <c r="Y758" s="79">
        <v>12.29</v>
      </c>
      <c r="Z758" s="79">
        <v>159.75</v>
      </c>
      <c r="AA758" s="255">
        <v>-9.9999999999909051E-3</v>
      </c>
      <c r="AB758" s="61"/>
      <c r="AC758" s="254"/>
    </row>
    <row r="759" spans="1:29" ht="12">
      <c r="A759" s="67" t="s">
        <v>11947</v>
      </c>
      <c r="B759" s="65" t="s">
        <v>11948</v>
      </c>
      <c r="C759" s="71" t="s">
        <v>509</v>
      </c>
      <c r="D759" s="78">
        <v>1</v>
      </c>
      <c r="E759" s="79">
        <v>177.33</v>
      </c>
      <c r="F759" s="70">
        <v>177.33</v>
      </c>
      <c r="G759" s="320"/>
      <c r="H759" s="79">
        <v>164.41000000000003</v>
      </c>
      <c r="I759" s="79">
        <v>12.92</v>
      </c>
      <c r="J759" s="79">
        <v>177.33</v>
      </c>
      <c r="K759" s="79">
        <v>0</v>
      </c>
      <c r="L759" s="70">
        <v>177.33</v>
      </c>
      <c r="M759" s="132"/>
      <c r="N759" s="79">
        <v>164.41000000000003</v>
      </c>
      <c r="O759" s="79">
        <v>12.92</v>
      </c>
      <c r="P759" s="79">
        <v>177.33</v>
      </c>
      <c r="Q759" s="136"/>
      <c r="R759" s="79">
        <v>164.41</v>
      </c>
      <c r="S759" s="79">
        <v>12.92</v>
      </c>
      <c r="T759" s="79">
        <v>177.32999999999998</v>
      </c>
      <c r="U759" s="79">
        <v>0</v>
      </c>
      <c r="V759" s="189">
        <v>177.32999999999998</v>
      </c>
      <c r="X759" s="79">
        <v>164.41</v>
      </c>
      <c r="Y759" s="79">
        <v>12.92</v>
      </c>
      <c r="Z759" s="79">
        <v>177.33</v>
      </c>
      <c r="AA759" s="255">
        <v>0</v>
      </c>
      <c r="AC759" s="254"/>
    </row>
    <row r="760" spans="1:29" ht="12">
      <c r="A760" s="67" t="s">
        <v>11949</v>
      </c>
      <c r="B760" s="65" t="s">
        <v>11950</v>
      </c>
      <c r="C760" s="71" t="s">
        <v>509</v>
      </c>
      <c r="D760" s="78">
        <v>1</v>
      </c>
      <c r="E760" s="79">
        <v>191.94</v>
      </c>
      <c r="F760" s="70">
        <v>191.94</v>
      </c>
      <c r="G760" s="320"/>
      <c r="H760" s="79">
        <v>178.38</v>
      </c>
      <c r="I760" s="79">
        <v>13.56</v>
      </c>
      <c r="J760" s="79">
        <v>191.94</v>
      </c>
      <c r="K760" s="79">
        <v>0</v>
      </c>
      <c r="L760" s="70">
        <v>191.94</v>
      </c>
      <c r="M760" s="132"/>
      <c r="N760" s="79">
        <v>178.38</v>
      </c>
      <c r="O760" s="79">
        <v>13.56</v>
      </c>
      <c r="P760" s="79">
        <v>191.94</v>
      </c>
      <c r="Q760" s="136"/>
      <c r="R760" s="79">
        <v>178.38</v>
      </c>
      <c r="S760" s="79">
        <v>13.56</v>
      </c>
      <c r="T760" s="79">
        <v>191.94</v>
      </c>
      <c r="U760" s="79">
        <v>0</v>
      </c>
      <c r="V760" s="189">
        <v>191.94</v>
      </c>
      <c r="X760" s="79">
        <v>178.38</v>
      </c>
      <c r="Y760" s="79">
        <v>13.56</v>
      </c>
      <c r="Z760" s="79">
        <v>191.94</v>
      </c>
      <c r="AA760" s="255">
        <v>0</v>
      </c>
      <c r="AC760" s="254"/>
    </row>
    <row r="761" spans="1:29" ht="12">
      <c r="A761" s="67" t="s">
        <v>11951</v>
      </c>
      <c r="B761" s="65" t="s">
        <v>11952</v>
      </c>
      <c r="C761" s="71" t="s">
        <v>509</v>
      </c>
      <c r="D761" s="78">
        <v>1</v>
      </c>
      <c r="E761" s="79">
        <v>262.60000000000002</v>
      </c>
      <c r="F761" s="70">
        <v>262.60000000000002</v>
      </c>
      <c r="G761" s="320"/>
      <c r="H761" s="79">
        <v>248.79000000000005</v>
      </c>
      <c r="I761" s="79">
        <v>13.81</v>
      </c>
      <c r="J761" s="79">
        <v>262.60000000000002</v>
      </c>
      <c r="K761" s="79">
        <v>0</v>
      </c>
      <c r="L761" s="70">
        <v>262.60000000000002</v>
      </c>
      <c r="M761" s="132"/>
      <c r="N761" s="79">
        <v>248.79000000000005</v>
      </c>
      <c r="O761" s="79">
        <v>13.81</v>
      </c>
      <c r="P761" s="79">
        <v>262.60000000000002</v>
      </c>
      <c r="Q761" s="136"/>
      <c r="R761" s="79">
        <v>248.79</v>
      </c>
      <c r="S761" s="79">
        <v>13.81</v>
      </c>
      <c r="T761" s="79">
        <v>262.59999999999997</v>
      </c>
      <c r="U761" s="79">
        <v>0</v>
      </c>
      <c r="V761" s="189">
        <v>262.59999999999997</v>
      </c>
      <c r="X761" s="79">
        <v>248.79</v>
      </c>
      <c r="Y761" s="79">
        <v>13.81</v>
      </c>
      <c r="Z761" s="79">
        <v>262.60000000000002</v>
      </c>
      <c r="AA761" s="255">
        <v>0</v>
      </c>
      <c r="AC761" s="254"/>
    </row>
    <row r="762" spans="1:29" ht="12">
      <c r="A762" s="67" t="s">
        <v>11953</v>
      </c>
      <c r="B762" s="65" t="s">
        <v>11954</v>
      </c>
      <c r="C762" s="71" t="s">
        <v>509</v>
      </c>
      <c r="D762" s="78">
        <v>1</v>
      </c>
      <c r="E762" s="79">
        <v>161.93</v>
      </c>
      <c r="F762" s="70">
        <v>161.93</v>
      </c>
      <c r="G762" s="320"/>
      <c r="H762" s="79">
        <v>149.65000000000003</v>
      </c>
      <c r="I762" s="79">
        <v>12.280000000000001</v>
      </c>
      <c r="J762" s="79">
        <v>161.93000000000004</v>
      </c>
      <c r="K762" s="79">
        <v>0</v>
      </c>
      <c r="L762" s="70">
        <v>161.93000000000004</v>
      </c>
      <c r="M762" s="132"/>
      <c r="N762" s="79">
        <v>149.65000000000003</v>
      </c>
      <c r="O762" s="79">
        <v>12.280000000000001</v>
      </c>
      <c r="P762" s="79">
        <v>161.93000000000004</v>
      </c>
      <c r="Q762" s="136"/>
      <c r="R762" s="79">
        <v>149.65</v>
      </c>
      <c r="S762" s="79">
        <v>12.29</v>
      </c>
      <c r="T762" s="79">
        <v>161.94</v>
      </c>
      <c r="U762" s="79">
        <v>0</v>
      </c>
      <c r="V762" s="189">
        <v>161.94</v>
      </c>
      <c r="X762" s="79">
        <v>149.65</v>
      </c>
      <c r="Y762" s="79">
        <v>12.29</v>
      </c>
      <c r="Z762" s="79">
        <v>161.94</v>
      </c>
      <c r="AA762" s="255">
        <v>-9.9999999999909051E-3</v>
      </c>
      <c r="AC762" s="254"/>
    </row>
    <row r="763" spans="1:29" ht="12">
      <c r="A763" s="67" t="s">
        <v>11955</v>
      </c>
      <c r="B763" s="65" t="s">
        <v>11956</v>
      </c>
      <c r="C763" s="71" t="s">
        <v>509</v>
      </c>
      <c r="D763" s="78">
        <v>1</v>
      </c>
      <c r="E763" s="79">
        <v>168.70000000000002</v>
      </c>
      <c r="F763" s="70">
        <v>168.7</v>
      </c>
      <c r="G763" s="320"/>
      <c r="H763" s="79">
        <v>155.78</v>
      </c>
      <c r="I763" s="79">
        <v>12.92</v>
      </c>
      <c r="J763" s="79">
        <v>168.7</v>
      </c>
      <c r="K763" s="79">
        <v>0</v>
      </c>
      <c r="L763" s="70">
        <v>168.7</v>
      </c>
      <c r="M763" s="132"/>
      <c r="N763" s="79">
        <v>155.78</v>
      </c>
      <c r="O763" s="79">
        <v>12.92</v>
      </c>
      <c r="P763" s="79">
        <v>168.7</v>
      </c>
      <c r="Q763" s="136"/>
      <c r="R763" s="79">
        <v>155.78</v>
      </c>
      <c r="S763" s="79">
        <v>12.92</v>
      </c>
      <c r="T763" s="79">
        <v>168.7</v>
      </c>
      <c r="U763" s="79">
        <v>0</v>
      </c>
      <c r="V763" s="189">
        <v>168.7</v>
      </c>
      <c r="X763" s="79">
        <v>155.78</v>
      </c>
      <c r="Y763" s="79">
        <v>12.92</v>
      </c>
      <c r="Z763" s="79">
        <v>168.7</v>
      </c>
      <c r="AA763" s="255">
        <v>0</v>
      </c>
      <c r="AC763" s="254"/>
    </row>
    <row r="764" spans="1:29" ht="12">
      <c r="A764" s="489" t="s">
        <v>11957</v>
      </c>
      <c r="B764" s="490" t="s">
        <v>11958</v>
      </c>
      <c r="C764" s="491"/>
      <c r="D764" s="492"/>
      <c r="E764" s="79"/>
      <c r="F764" s="63"/>
      <c r="G764" s="320"/>
      <c r="H764" s="79"/>
      <c r="I764" s="79"/>
      <c r="J764" s="79"/>
      <c r="K764" s="79"/>
      <c r="L764" s="70"/>
      <c r="M764" s="132"/>
      <c r="N764" s="79"/>
      <c r="O764" s="79"/>
      <c r="P764" s="79"/>
      <c r="Q764" s="136"/>
      <c r="R764" s="79"/>
      <c r="S764" s="79"/>
      <c r="T764" s="79"/>
      <c r="U764" s="79"/>
      <c r="V764" s="189"/>
      <c r="X764" s="79"/>
      <c r="Y764" s="79"/>
      <c r="Z764" s="79"/>
      <c r="AA764" s="255"/>
      <c r="AC764" s="254"/>
    </row>
    <row r="765" spans="1:29" ht="12">
      <c r="A765" s="489" t="s">
        <v>11959</v>
      </c>
      <c r="B765" s="490" t="s">
        <v>11960</v>
      </c>
      <c r="C765" s="491"/>
      <c r="D765" s="492"/>
      <c r="E765" s="79"/>
      <c r="F765" s="63"/>
      <c r="G765" s="320"/>
      <c r="H765" s="79"/>
      <c r="I765" s="79"/>
      <c r="J765" s="79"/>
      <c r="K765" s="79"/>
      <c r="L765" s="70"/>
      <c r="M765" s="132"/>
      <c r="N765" s="79"/>
      <c r="O765" s="79"/>
      <c r="P765" s="79"/>
      <c r="Q765" s="136"/>
      <c r="R765" s="79"/>
      <c r="S765" s="79"/>
      <c r="T765" s="79"/>
      <c r="U765" s="79"/>
      <c r="V765" s="189"/>
      <c r="X765" s="79"/>
      <c r="Y765" s="79"/>
      <c r="Z765" s="79"/>
      <c r="AA765" s="255"/>
      <c r="AC765" s="254"/>
    </row>
    <row r="766" spans="1:29" ht="12">
      <c r="A766" s="67" t="s">
        <v>11961</v>
      </c>
      <c r="B766" s="65" t="s">
        <v>11962</v>
      </c>
      <c r="C766" s="71" t="s">
        <v>121</v>
      </c>
      <c r="D766" s="78">
        <v>1</v>
      </c>
      <c r="E766" s="79">
        <v>1105.8599999999999</v>
      </c>
      <c r="F766" s="70">
        <v>1105.8599999999999</v>
      </c>
      <c r="G766" s="320"/>
      <c r="H766" s="79">
        <v>688.69999999999993</v>
      </c>
      <c r="I766" s="79">
        <v>417.15999999999997</v>
      </c>
      <c r="J766" s="79">
        <v>1105.8599999999999</v>
      </c>
      <c r="K766" s="79">
        <v>0</v>
      </c>
      <c r="L766" s="70">
        <v>1105.8599999999999</v>
      </c>
      <c r="M766" s="132"/>
      <c r="N766" s="79">
        <v>688.69999999999993</v>
      </c>
      <c r="O766" s="79">
        <v>417.15999999999997</v>
      </c>
      <c r="P766" s="79">
        <v>1105.8599999999999</v>
      </c>
      <c r="Q766" s="136"/>
      <c r="R766" s="79">
        <v>688.7</v>
      </c>
      <c r="S766" s="79">
        <v>417.17</v>
      </c>
      <c r="T766" s="79">
        <v>1105.8700000000001</v>
      </c>
      <c r="U766" s="79">
        <v>0</v>
      </c>
      <c r="V766" s="189">
        <v>1105.8700000000001</v>
      </c>
      <c r="X766" s="79">
        <v>688.7</v>
      </c>
      <c r="Y766" s="79">
        <v>417.17</v>
      </c>
      <c r="Z766" s="79">
        <v>1105.8699999999999</v>
      </c>
      <c r="AA766" s="255">
        <v>-9.9999999999909051E-3</v>
      </c>
      <c r="AC766" s="254"/>
    </row>
    <row r="767" spans="1:29" ht="12">
      <c r="A767" s="67" t="s">
        <v>11963</v>
      </c>
      <c r="B767" s="65" t="s">
        <v>11964</v>
      </c>
      <c r="C767" s="71" t="s">
        <v>509</v>
      </c>
      <c r="D767" s="78">
        <v>1</v>
      </c>
      <c r="E767" s="79">
        <v>117.41</v>
      </c>
      <c r="F767" s="70">
        <v>117.41</v>
      </c>
      <c r="G767" s="320"/>
      <c r="H767" s="79">
        <v>77.38000000000001</v>
      </c>
      <c r="I767" s="79">
        <v>40.03</v>
      </c>
      <c r="J767" s="79">
        <v>117.41000000000001</v>
      </c>
      <c r="K767" s="79">
        <v>0</v>
      </c>
      <c r="L767" s="70">
        <v>117.41000000000001</v>
      </c>
      <c r="M767" s="132"/>
      <c r="N767" s="79">
        <v>77.38000000000001</v>
      </c>
      <c r="O767" s="79">
        <v>40.03</v>
      </c>
      <c r="P767" s="79">
        <v>117.41000000000001</v>
      </c>
      <c r="Q767" s="136"/>
      <c r="R767" s="79">
        <v>77.38</v>
      </c>
      <c r="S767" s="79">
        <v>40.03</v>
      </c>
      <c r="T767" s="79">
        <v>117.41</v>
      </c>
      <c r="U767" s="79">
        <v>0</v>
      </c>
      <c r="V767" s="189">
        <v>117.41</v>
      </c>
      <c r="X767" s="79">
        <v>77.38</v>
      </c>
      <c r="Y767" s="79">
        <v>40.03</v>
      </c>
      <c r="Z767" s="79">
        <v>117.41</v>
      </c>
      <c r="AA767" s="255">
        <v>0</v>
      </c>
      <c r="AC767" s="254"/>
    </row>
    <row r="768" spans="1:29" ht="12">
      <c r="A768" s="67" t="s">
        <v>11965</v>
      </c>
      <c r="B768" s="65" t="s">
        <v>11966</v>
      </c>
      <c r="C768" s="71" t="s">
        <v>509</v>
      </c>
      <c r="D768" s="78">
        <v>1</v>
      </c>
      <c r="E768" s="79">
        <v>145.34</v>
      </c>
      <c r="F768" s="70">
        <v>145.34</v>
      </c>
      <c r="G768" s="320"/>
      <c r="H768" s="79">
        <v>104.4</v>
      </c>
      <c r="I768" s="79">
        <v>40.94</v>
      </c>
      <c r="J768" s="79">
        <v>145.34</v>
      </c>
      <c r="K768" s="79">
        <v>0</v>
      </c>
      <c r="L768" s="70">
        <v>145.34</v>
      </c>
      <c r="M768" s="132"/>
      <c r="N768" s="79">
        <v>104.4</v>
      </c>
      <c r="O768" s="79">
        <v>40.94</v>
      </c>
      <c r="P768" s="79">
        <v>145.34</v>
      </c>
      <c r="Q768" s="136"/>
      <c r="R768" s="79">
        <v>104.4</v>
      </c>
      <c r="S768" s="79">
        <v>40.94</v>
      </c>
      <c r="T768" s="79">
        <v>145.34</v>
      </c>
      <c r="U768" s="79">
        <v>0</v>
      </c>
      <c r="V768" s="189">
        <v>145.34</v>
      </c>
      <c r="X768" s="79">
        <v>104.4</v>
      </c>
      <c r="Y768" s="79">
        <v>40.94</v>
      </c>
      <c r="Z768" s="79">
        <v>145.34</v>
      </c>
      <c r="AA768" s="255">
        <v>0</v>
      </c>
      <c r="AC768" s="254"/>
    </row>
    <row r="769" spans="1:29" ht="12">
      <c r="A769" s="489" t="s">
        <v>11967</v>
      </c>
      <c r="B769" s="490" t="s">
        <v>11968</v>
      </c>
      <c r="C769" s="491"/>
      <c r="D769" s="492"/>
      <c r="E769" s="79"/>
      <c r="F769" s="63"/>
      <c r="G769" s="320"/>
      <c r="H769" s="79"/>
      <c r="I769" s="79"/>
      <c r="J769" s="79"/>
      <c r="K769" s="79"/>
      <c r="L769" s="70"/>
      <c r="M769" s="132"/>
      <c r="N769" s="79"/>
      <c r="O769" s="79"/>
      <c r="P769" s="79"/>
      <c r="Q769" s="136"/>
      <c r="R769" s="79"/>
      <c r="S769" s="79"/>
      <c r="T769" s="79"/>
      <c r="U769" s="79"/>
      <c r="V769" s="189"/>
      <c r="X769" s="79"/>
      <c r="Y769" s="79"/>
      <c r="Z769" s="79"/>
      <c r="AA769" s="255"/>
      <c r="AC769" s="254"/>
    </row>
    <row r="770" spans="1:29" ht="12">
      <c r="A770" s="67" t="s">
        <v>11969</v>
      </c>
      <c r="B770" s="65" t="s">
        <v>11970</v>
      </c>
      <c r="C770" s="71" t="s">
        <v>509</v>
      </c>
      <c r="D770" s="78">
        <v>1</v>
      </c>
      <c r="E770" s="79">
        <v>94.240000000000009</v>
      </c>
      <c r="F770" s="70">
        <v>94.24</v>
      </c>
      <c r="G770" s="320"/>
      <c r="H770" s="79">
        <v>42.71</v>
      </c>
      <c r="I770" s="79">
        <v>51.53</v>
      </c>
      <c r="J770" s="79">
        <v>94.240000000000009</v>
      </c>
      <c r="K770" s="79">
        <v>0</v>
      </c>
      <c r="L770" s="70">
        <v>94.240000000000009</v>
      </c>
      <c r="M770" s="132"/>
      <c r="N770" s="79">
        <v>42.71</v>
      </c>
      <c r="O770" s="79">
        <v>51.53</v>
      </c>
      <c r="P770" s="79">
        <v>94.240000000000009</v>
      </c>
      <c r="Q770" s="136"/>
      <c r="R770" s="79">
        <v>42.71</v>
      </c>
      <c r="S770" s="79">
        <v>51.51</v>
      </c>
      <c r="T770" s="79">
        <v>94.22</v>
      </c>
      <c r="U770" s="79">
        <v>0</v>
      </c>
      <c r="V770" s="189">
        <v>94.22</v>
      </c>
      <c r="X770" s="79">
        <v>42.71</v>
      </c>
      <c r="Y770" s="79">
        <v>51.51</v>
      </c>
      <c r="Z770" s="79">
        <v>94.22</v>
      </c>
      <c r="AA770" s="255">
        <v>1.9999999999996021E-2</v>
      </c>
      <c r="AC770" s="254"/>
    </row>
    <row r="771" spans="1:29" ht="12">
      <c r="A771" s="67" t="s">
        <v>11971</v>
      </c>
      <c r="B771" s="65" t="s">
        <v>11972</v>
      </c>
      <c r="C771" s="71" t="s">
        <v>509</v>
      </c>
      <c r="D771" s="78">
        <v>1</v>
      </c>
      <c r="E771" s="79">
        <v>140.01</v>
      </c>
      <c r="F771" s="70">
        <v>140.01</v>
      </c>
      <c r="G771" s="320"/>
      <c r="H771" s="79">
        <v>58.489999999999995</v>
      </c>
      <c r="I771" s="79">
        <v>81.52</v>
      </c>
      <c r="J771" s="79">
        <v>140.01</v>
      </c>
      <c r="K771" s="79">
        <v>0</v>
      </c>
      <c r="L771" s="70">
        <v>140.01</v>
      </c>
      <c r="M771" s="132"/>
      <c r="N771" s="79">
        <v>58.489999999999995</v>
      </c>
      <c r="O771" s="79">
        <v>81.52</v>
      </c>
      <c r="P771" s="79">
        <v>140.01</v>
      </c>
      <c r="Q771" s="136"/>
      <c r="R771" s="79">
        <v>58.49</v>
      </c>
      <c r="S771" s="79">
        <v>81.53</v>
      </c>
      <c r="T771" s="79">
        <v>140.02000000000001</v>
      </c>
      <c r="U771" s="79">
        <v>0</v>
      </c>
      <c r="V771" s="189">
        <v>140.02000000000001</v>
      </c>
      <c r="X771" s="79">
        <v>58.49</v>
      </c>
      <c r="Y771" s="79">
        <v>81.53</v>
      </c>
      <c r="Z771" s="79">
        <v>140.02000000000001</v>
      </c>
      <c r="AA771" s="255">
        <v>-1.0000000000019327E-2</v>
      </c>
      <c r="AC771" s="254"/>
    </row>
    <row r="772" spans="1:29" ht="12">
      <c r="A772" s="67" t="s">
        <v>11973</v>
      </c>
      <c r="B772" s="65" t="s">
        <v>11974</v>
      </c>
      <c r="C772" s="71" t="s">
        <v>509</v>
      </c>
      <c r="D772" s="78">
        <v>1</v>
      </c>
      <c r="E772" s="79">
        <v>261.88000000000005</v>
      </c>
      <c r="F772" s="70">
        <v>261.88</v>
      </c>
      <c r="G772" s="320"/>
      <c r="H772" s="79">
        <v>129.58000000000001</v>
      </c>
      <c r="I772" s="79">
        <v>132.30000000000001</v>
      </c>
      <c r="J772" s="79">
        <v>261.88</v>
      </c>
      <c r="K772" s="79">
        <v>0</v>
      </c>
      <c r="L772" s="70">
        <v>261.88</v>
      </c>
      <c r="M772" s="132"/>
      <c r="N772" s="79">
        <v>129.58000000000001</v>
      </c>
      <c r="O772" s="79">
        <v>132.30000000000001</v>
      </c>
      <c r="P772" s="79">
        <v>261.88</v>
      </c>
      <c r="Q772" s="136"/>
      <c r="R772" s="79">
        <v>129.58000000000001</v>
      </c>
      <c r="S772" s="79">
        <v>132.29</v>
      </c>
      <c r="T772" s="79">
        <v>261.87</v>
      </c>
      <c r="U772" s="79">
        <v>0</v>
      </c>
      <c r="V772" s="189">
        <v>261.87</v>
      </c>
      <c r="X772" s="79">
        <v>129.58000000000001</v>
      </c>
      <c r="Y772" s="79">
        <v>132.29</v>
      </c>
      <c r="Z772" s="79">
        <v>261.87</v>
      </c>
      <c r="AA772" s="255">
        <v>9.9999999999909051E-3</v>
      </c>
      <c r="AC772" s="254"/>
    </row>
    <row r="773" spans="1:29" ht="12">
      <c r="A773" s="67" t="s">
        <v>11975</v>
      </c>
      <c r="B773" s="65" t="s">
        <v>11976</v>
      </c>
      <c r="C773" s="71" t="s">
        <v>509</v>
      </c>
      <c r="D773" s="78">
        <v>1</v>
      </c>
      <c r="E773" s="79">
        <v>350.3</v>
      </c>
      <c r="F773" s="70">
        <v>350.3</v>
      </c>
      <c r="G773" s="320"/>
      <c r="H773" s="79">
        <v>187.16000000000003</v>
      </c>
      <c r="I773" s="79">
        <v>163.13999999999999</v>
      </c>
      <c r="J773" s="79">
        <v>350.3</v>
      </c>
      <c r="K773" s="79">
        <v>0</v>
      </c>
      <c r="L773" s="70">
        <v>350.3</v>
      </c>
      <c r="M773" s="132"/>
      <c r="N773" s="79">
        <v>187.16000000000003</v>
      </c>
      <c r="O773" s="79">
        <v>163.13999999999999</v>
      </c>
      <c r="P773" s="79">
        <v>350.3</v>
      </c>
      <c r="Q773" s="136"/>
      <c r="R773" s="79">
        <v>187.16</v>
      </c>
      <c r="S773" s="79">
        <v>163.15</v>
      </c>
      <c r="T773" s="79">
        <v>350.31</v>
      </c>
      <c r="U773" s="79">
        <v>0</v>
      </c>
      <c r="V773" s="189">
        <v>350.31</v>
      </c>
      <c r="X773" s="79">
        <v>187.16</v>
      </c>
      <c r="Y773" s="79">
        <v>163.15</v>
      </c>
      <c r="Z773" s="79">
        <v>350.31</v>
      </c>
      <c r="AA773" s="255">
        <v>-9.9999999999909051E-3</v>
      </c>
      <c r="AC773" s="254"/>
    </row>
    <row r="774" spans="1:29" ht="12">
      <c r="A774" s="67" t="s">
        <v>11977</v>
      </c>
      <c r="B774" s="65" t="s">
        <v>11978</v>
      </c>
      <c r="C774" s="71" t="s">
        <v>509</v>
      </c>
      <c r="D774" s="78">
        <v>1</v>
      </c>
      <c r="E774" s="79">
        <v>200.31</v>
      </c>
      <c r="F774" s="70">
        <v>200.31</v>
      </c>
      <c r="G774" s="320"/>
      <c r="H774" s="79">
        <v>118.79</v>
      </c>
      <c r="I774" s="79">
        <v>81.52</v>
      </c>
      <c r="J774" s="79">
        <v>200.31</v>
      </c>
      <c r="K774" s="79">
        <v>0</v>
      </c>
      <c r="L774" s="70">
        <v>200.31</v>
      </c>
      <c r="M774" s="132"/>
      <c r="N774" s="79">
        <v>118.79</v>
      </c>
      <c r="O774" s="79">
        <v>81.52</v>
      </c>
      <c r="P774" s="79">
        <v>200.31</v>
      </c>
      <c r="Q774" s="136"/>
      <c r="R774" s="79">
        <v>118.79</v>
      </c>
      <c r="S774" s="79">
        <v>81.53</v>
      </c>
      <c r="T774" s="79">
        <v>200.32</v>
      </c>
      <c r="U774" s="79">
        <v>0</v>
      </c>
      <c r="V774" s="189">
        <v>200.32</v>
      </c>
      <c r="X774" s="79">
        <v>118.79</v>
      </c>
      <c r="Y774" s="79">
        <v>81.53</v>
      </c>
      <c r="Z774" s="79">
        <v>200.32</v>
      </c>
      <c r="AA774" s="255">
        <v>-9.9999999999909051E-3</v>
      </c>
      <c r="AC774" s="254"/>
    </row>
    <row r="775" spans="1:29" ht="12">
      <c r="A775" s="67" t="s">
        <v>11979</v>
      </c>
      <c r="B775" s="65" t="s">
        <v>11980</v>
      </c>
      <c r="C775" s="71" t="s">
        <v>509</v>
      </c>
      <c r="D775" s="78">
        <v>1</v>
      </c>
      <c r="E775" s="79">
        <v>400.48</v>
      </c>
      <c r="F775" s="70">
        <v>400.48</v>
      </c>
      <c r="G775" s="320"/>
      <c r="H775" s="79">
        <v>268.18</v>
      </c>
      <c r="I775" s="79">
        <v>132.30000000000001</v>
      </c>
      <c r="J775" s="79">
        <v>400.48</v>
      </c>
      <c r="K775" s="79">
        <v>0</v>
      </c>
      <c r="L775" s="70">
        <v>400.48</v>
      </c>
      <c r="M775" s="132"/>
      <c r="N775" s="79">
        <v>268.18</v>
      </c>
      <c r="O775" s="79">
        <v>132.30000000000001</v>
      </c>
      <c r="P775" s="79">
        <v>400.48</v>
      </c>
      <c r="Q775" s="136"/>
      <c r="R775" s="79">
        <v>268.18</v>
      </c>
      <c r="S775" s="79">
        <v>132.29</v>
      </c>
      <c r="T775" s="79">
        <v>400.47</v>
      </c>
      <c r="U775" s="79">
        <v>0</v>
      </c>
      <c r="V775" s="189">
        <v>400.47</v>
      </c>
      <c r="X775" s="79">
        <v>268.18</v>
      </c>
      <c r="Y775" s="79">
        <v>132.29</v>
      </c>
      <c r="Z775" s="79">
        <v>400.47</v>
      </c>
      <c r="AA775" s="255">
        <v>9.9999999999909051E-3</v>
      </c>
      <c r="AC775" s="254"/>
    </row>
    <row r="776" spans="1:29" ht="12">
      <c r="A776" s="489" t="s">
        <v>11981</v>
      </c>
      <c r="B776" s="490" t="s">
        <v>11982</v>
      </c>
      <c r="C776" s="491"/>
      <c r="D776" s="492"/>
      <c r="E776" s="79"/>
      <c r="F776" s="63"/>
      <c r="G776" s="320"/>
      <c r="H776" s="79"/>
      <c r="I776" s="79"/>
      <c r="J776" s="79"/>
      <c r="K776" s="79"/>
      <c r="L776" s="70"/>
      <c r="M776" s="132"/>
      <c r="N776" s="79"/>
      <c r="O776" s="79"/>
      <c r="P776" s="79"/>
      <c r="Q776" s="136"/>
      <c r="R776" s="79"/>
      <c r="S776" s="79"/>
      <c r="T776" s="79"/>
      <c r="U776" s="79"/>
      <c r="V776" s="189"/>
      <c r="X776" s="79"/>
      <c r="Y776" s="79"/>
      <c r="Z776" s="79"/>
      <c r="AA776" s="255"/>
      <c r="AC776" s="254"/>
    </row>
    <row r="777" spans="1:29" ht="12">
      <c r="A777" s="67" t="s">
        <v>11983</v>
      </c>
      <c r="B777" s="65" t="s">
        <v>11984</v>
      </c>
      <c r="C777" s="71" t="s">
        <v>509</v>
      </c>
      <c r="D777" s="78">
        <v>1</v>
      </c>
      <c r="E777" s="79">
        <v>228.15</v>
      </c>
      <c r="F777" s="70">
        <v>228.15</v>
      </c>
      <c r="G777" s="320"/>
      <c r="H777" s="79">
        <v>155.5</v>
      </c>
      <c r="I777" s="79">
        <v>72.650000000000006</v>
      </c>
      <c r="J777" s="79">
        <v>228.15</v>
      </c>
      <c r="K777" s="79">
        <v>0</v>
      </c>
      <c r="L777" s="70">
        <v>228.15</v>
      </c>
      <c r="M777" s="132"/>
      <c r="N777" s="79">
        <v>155.5</v>
      </c>
      <c r="O777" s="79">
        <v>72.650000000000006</v>
      </c>
      <c r="P777" s="79">
        <v>228.15</v>
      </c>
      <c r="Q777" s="136"/>
      <c r="R777" s="79">
        <v>155.5</v>
      </c>
      <c r="S777" s="79">
        <v>72.66</v>
      </c>
      <c r="T777" s="79">
        <v>228.16</v>
      </c>
      <c r="U777" s="79">
        <v>0</v>
      </c>
      <c r="V777" s="189">
        <v>228.16</v>
      </c>
      <c r="X777" s="79">
        <v>155.5</v>
      </c>
      <c r="Y777" s="79">
        <v>72.66</v>
      </c>
      <c r="Z777" s="79">
        <v>228.16</v>
      </c>
      <c r="AA777" s="255">
        <v>-9.9999999999909051E-3</v>
      </c>
      <c r="AC777" s="254"/>
    </row>
    <row r="778" spans="1:29" ht="12">
      <c r="A778" s="67" t="s">
        <v>11985</v>
      </c>
      <c r="B778" s="65" t="s">
        <v>11986</v>
      </c>
      <c r="C778" s="71" t="s">
        <v>509</v>
      </c>
      <c r="D778" s="78">
        <v>1</v>
      </c>
      <c r="E778" s="79">
        <v>430.45</v>
      </c>
      <c r="F778" s="70">
        <v>430.45</v>
      </c>
      <c r="G778" s="320"/>
      <c r="H778" s="79">
        <v>293.39999999999998</v>
      </c>
      <c r="I778" s="79">
        <v>137.05000000000001</v>
      </c>
      <c r="J778" s="79">
        <v>430.45</v>
      </c>
      <c r="K778" s="79">
        <v>0</v>
      </c>
      <c r="L778" s="70">
        <v>430.45</v>
      </c>
      <c r="M778" s="132"/>
      <c r="N778" s="79">
        <v>293.39999999999998</v>
      </c>
      <c r="O778" s="79">
        <v>137.05000000000001</v>
      </c>
      <c r="P778" s="79">
        <v>430.45</v>
      </c>
      <c r="Q778" s="136"/>
      <c r="R778" s="79">
        <v>293.39999999999998</v>
      </c>
      <c r="S778" s="79">
        <v>137.04</v>
      </c>
      <c r="T778" s="79">
        <v>430.43999999999994</v>
      </c>
      <c r="U778" s="79">
        <v>0</v>
      </c>
      <c r="V778" s="189">
        <v>430.43999999999994</v>
      </c>
      <c r="X778" s="79">
        <v>293.39999999999998</v>
      </c>
      <c r="Y778" s="79">
        <v>137.04</v>
      </c>
      <c r="Z778" s="79">
        <v>430.44</v>
      </c>
      <c r="AA778" s="255">
        <v>9.9999999999909051E-3</v>
      </c>
      <c r="AC778" s="254"/>
    </row>
    <row r="779" spans="1:29" ht="12">
      <c r="A779" s="67" t="s">
        <v>11987</v>
      </c>
      <c r="B779" s="65" t="s">
        <v>11988</v>
      </c>
      <c r="C779" s="71" t="s">
        <v>509</v>
      </c>
      <c r="D779" s="78">
        <v>1</v>
      </c>
      <c r="E779" s="79">
        <v>798.1</v>
      </c>
      <c r="F779" s="70">
        <v>798.1</v>
      </c>
      <c r="G779" s="320"/>
      <c r="H779" s="79">
        <v>606.42999999999995</v>
      </c>
      <c r="I779" s="79">
        <v>191.67000000000002</v>
      </c>
      <c r="J779" s="79">
        <v>798.09999999999991</v>
      </c>
      <c r="K779" s="79">
        <v>0</v>
      </c>
      <c r="L779" s="70">
        <v>798.09999999999991</v>
      </c>
      <c r="M779" s="132"/>
      <c r="N779" s="79">
        <v>606.42999999999995</v>
      </c>
      <c r="O779" s="79">
        <v>191.67000000000002</v>
      </c>
      <c r="P779" s="79">
        <v>798.09999999999991</v>
      </c>
      <c r="Q779" s="136"/>
      <c r="R779" s="79">
        <v>606.42999999999995</v>
      </c>
      <c r="S779" s="79">
        <v>191.67</v>
      </c>
      <c r="T779" s="79">
        <v>798.09999999999991</v>
      </c>
      <c r="U779" s="79">
        <v>0</v>
      </c>
      <c r="V779" s="189">
        <v>798.09999999999991</v>
      </c>
      <c r="X779" s="79">
        <v>606.42999999999995</v>
      </c>
      <c r="Y779" s="79">
        <v>191.67</v>
      </c>
      <c r="Z779" s="79">
        <v>798.1</v>
      </c>
      <c r="AA779" s="255">
        <v>0</v>
      </c>
      <c r="AC779" s="254"/>
    </row>
    <row r="780" spans="1:29" ht="12">
      <c r="A780" s="489" t="s">
        <v>11989</v>
      </c>
      <c r="B780" s="490" t="s">
        <v>11990</v>
      </c>
      <c r="C780" s="491"/>
      <c r="D780" s="492"/>
      <c r="E780" s="79"/>
      <c r="F780" s="63"/>
      <c r="G780" s="320"/>
      <c r="H780" s="79"/>
      <c r="I780" s="79"/>
      <c r="J780" s="79"/>
      <c r="K780" s="79"/>
      <c r="L780" s="70"/>
      <c r="M780" s="132"/>
      <c r="N780" s="79"/>
      <c r="O780" s="79"/>
      <c r="P780" s="79"/>
      <c r="Q780" s="136"/>
      <c r="R780" s="79"/>
      <c r="S780" s="79"/>
      <c r="T780" s="79"/>
      <c r="U780" s="79"/>
      <c r="V780" s="189"/>
      <c r="X780" s="79"/>
      <c r="Y780" s="79"/>
      <c r="Z780" s="79"/>
      <c r="AA780" s="255"/>
      <c r="AC780" s="254"/>
    </row>
    <row r="781" spans="1:29" ht="12">
      <c r="A781" s="67" t="s">
        <v>11991</v>
      </c>
      <c r="B781" s="65" t="s">
        <v>28052</v>
      </c>
      <c r="C781" s="71" t="s">
        <v>509</v>
      </c>
      <c r="D781" s="78">
        <v>1</v>
      </c>
      <c r="E781" s="79">
        <v>76.56</v>
      </c>
      <c r="F781" s="70">
        <v>76.56</v>
      </c>
      <c r="G781" s="320"/>
      <c r="H781" s="79">
        <v>39.68</v>
      </c>
      <c r="I781" s="79">
        <v>36.879999999999995</v>
      </c>
      <c r="J781" s="79">
        <v>76.56</v>
      </c>
      <c r="K781" s="79">
        <v>0</v>
      </c>
      <c r="L781" s="70">
        <v>76.56</v>
      </c>
      <c r="M781" s="132"/>
      <c r="N781" s="79">
        <v>39.68</v>
      </c>
      <c r="O781" s="79">
        <v>36.879999999999995</v>
      </c>
      <c r="P781" s="79">
        <v>76.56</v>
      </c>
      <c r="Q781" s="136"/>
      <c r="R781" s="79">
        <v>39.68</v>
      </c>
      <c r="S781" s="79">
        <v>36.880000000000003</v>
      </c>
      <c r="T781" s="79">
        <v>76.56</v>
      </c>
      <c r="U781" s="79">
        <v>0</v>
      </c>
      <c r="V781" s="189">
        <v>76.56</v>
      </c>
      <c r="X781" s="79">
        <v>39.68</v>
      </c>
      <c r="Y781" s="79">
        <v>36.880000000000003</v>
      </c>
      <c r="Z781" s="79">
        <v>76.56</v>
      </c>
      <c r="AA781" s="255">
        <v>0</v>
      </c>
      <c r="AC781" s="254"/>
    </row>
    <row r="782" spans="1:29" ht="12">
      <c r="A782" s="67" t="s">
        <v>11992</v>
      </c>
      <c r="B782" s="65" t="s">
        <v>28053</v>
      </c>
      <c r="C782" s="71" t="s">
        <v>509</v>
      </c>
      <c r="D782" s="78">
        <v>1</v>
      </c>
      <c r="E782" s="79">
        <v>86.34</v>
      </c>
      <c r="F782" s="70">
        <v>86.34</v>
      </c>
      <c r="G782" s="320"/>
      <c r="H782" s="79">
        <v>46.31</v>
      </c>
      <c r="I782" s="79">
        <v>40.03</v>
      </c>
      <c r="J782" s="79">
        <v>86.34</v>
      </c>
      <c r="K782" s="79">
        <v>0</v>
      </c>
      <c r="L782" s="70">
        <v>86.34</v>
      </c>
      <c r="M782" s="132"/>
      <c r="N782" s="79">
        <v>46.31</v>
      </c>
      <c r="O782" s="79">
        <v>40.03</v>
      </c>
      <c r="P782" s="79">
        <v>86.34</v>
      </c>
      <c r="Q782" s="136"/>
      <c r="R782" s="79">
        <v>46.31</v>
      </c>
      <c r="S782" s="79">
        <v>40.03</v>
      </c>
      <c r="T782" s="79">
        <v>86.34</v>
      </c>
      <c r="U782" s="79">
        <v>0</v>
      </c>
      <c r="V782" s="189">
        <v>86.34</v>
      </c>
      <c r="X782" s="79">
        <v>46.31</v>
      </c>
      <c r="Y782" s="79">
        <v>40.03</v>
      </c>
      <c r="Z782" s="79">
        <v>86.34</v>
      </c>
      <c r="AA782" s="255">
        <v>0</v>
      </c>
      <c r="AC782" s="254"/>
    </row>
    <row r="783" spans="1:29" ht="12">
      <c r="A783" s="67" t="s">
        <v>11993</v>
      </c>
      <c r="B783" s="65" t="s">
        <v>28054</v>
      </c>
      <c r="C783" s="71" t="s">
        <v>509</v>
      </c>
      <c r="D783" s="78">
        <v>1</v>
      </c>
      <c r="E783" s="79">
        <v>102.24000000000001</v>
      </c>
      <c r="F783" s="70">
        <v>102.24</v>
      </c>
      <c r="G783" s="320"/>
      <c r="H783" s="79">
        <v>59.29</v>
      </c>
      <c r="I783" s="79">
        <v>42.95</v>
      </c>
      <c r="J783" s="79">
        <v>102.24000000000001</v>
      </c>
      <c r="K783" s="79">
        <v>0</v>
      </c>
      <c r="L783" s="70">
        <v>102.24000000000001</v>
      </c>
      <c r="M783" s="132"/>
      <c r="N783" s="79">
        <v>59.29</v>
      </c>
      <c r="O783" s="79">
        <v>42.95</v>
      </c>
      <c r="P783" s="79">
        <v>102.24000000000001</v>
      </c>
      <c r="Q783" s="136"/>
      <c r="R783" s="79">
        <v>59.29</v>
      </c>
      <c r="S783" s="79">
        <v>42.96</v>
      </c>
      <c r="T783" s="79">
        <v>102.25</v>
      </c>
      <c r="U783" s="79">
        <v>0</v>
      </c>
      <c r="V783" s="189">
        <v>102.25</v>
      </c>
      <c r="X783" s="79">
        <v>59.29</v>
      </c>
      <c r="Y783" s="79">
        <v>42.96</v>
      </c>
      <c r="Z783" s="79">
        <v>102.25</v>
      </c>
      <c r="AA783" s="255">
        <v>-1.0000000000005116E-2</v>
      </c>
      <c r="AC783" s="254"/>
    </row>
    <row r="784" spans="1:29" ht="12">
      <c r="A784" s="489" t="s">
        <v>11994</v>
      </c>
      <c r="B784" s="490" t="s">
        <v>11995</v>
      </c>
      <c r="C784" s="491"/>
      <c r="D784" s="492"/>
      <c r="E784" s="79"/>
      <c r="F784" s="63"/>
      <c r="G784" s="320"/>
      <c r="H784" s="79"/>
      <c r="I784" s="79"/>
      <c r="J784" s="79"/>
      <c r="K784" s="79"/>
      <c r="L784" s="70"/>
      <c r="M784" s="132"/>
      <c r="N784" s="79"/>
      <c r="O784" s="79"/>
      <c r="P784" s="79"/>
      <c r="Q784" s="136"/>
      <c r="R784" s="79"/>
      <c r="S784" s="79"/>
      <c r="T784" s="79"/>
      <c r="U784" s="79"/>
      <c r="V784" s="189"/>
      <c r="X784" s="79"/>
      <c r="Y784" s="79"/>
      <c r="Z784" s="79"/>
      <c r="AA784" s="255"/>
      <c r="AC784" s="254"/>
    </row>
    <row r="785" spans="1:29" ht="12">
      <c r="A785" s="67" t="s">
        <v>11996</v>
      </c>
      <c r="B785" s="65" t="s">
        <v>28055</v>
      </c>
      <c r="C785" s="71" t="s">
        <v>509</v>
      </c>
      <c r="D785" s="78">
        <v>1</v>
      </c>
      <c r="E785" s="79">
        <v>87.55</v>
      </c>
      <c r="F785" s="70">
        <v>87.55</v>
      </c>
      <c r="G785" s="320"/>
      <c r="H785" s="79">
        <v>47.519999999999996</v>
      </c>
      <c r="I785" s="79">
        <v>40.03</v>
      </c>
      <c r="J785" s="79">
        <v>87.55</v>
      </c>
      <c r="K785" s="79">
        <v>0</v>
      </c>
      <c r="L785" s="70">
        <v>87.55</v>
      </c>
      <c r="M785" s="132"/>
      <c r="N785" s="79">
        <v>47.519999999999996</v>
      </c>
      <c r="O785" s="79">
        <v>40.03</v>
      </c>
      <c r="P785" s="79">
        <v>87.55</v>
      </c>
      <c r="Q785" s="136"/>
      <c r="R785" s="79">
        <v>47.52</v>
      </c>
      <c r="S785" s="79">
        <v>40.03</v>
      </c>
      <c r="T785" s="79">
        <v>87.550000000000011</v>
      </c>
      <c r="U785" s="79">
        <v>0</v>
      </c>
      <c r="V785" s="189">
        <v>87.550000000000011</v>
      </c>
      <c r="X785" s="79">
        <v>47.52</v>
      </c>
      <c r="Y785" s="79">
        <v>40.03</v>
      </c>
      <c r="Z785" s="79">
        <v>87.55</v>
      </c>
      <c r="AA785" s="255">
        <v>0</v>
      </c>
      <c r="AC785" s="254"/>
    </row>
    <row r="786" spans="1:29" ht="12">
      <c r="A786" s="67" t="s">
        <v>11997</v>
      </c>
      <c r="B786" s="65" t="s">
        <v>28056</v>
      </c>
      <c r="C786" s="71" t="s">
        <v>509</v>
      </c>
      <c r="D786" s="78">
        <v>1</v>
      </c>
      <c r="E786" s="79">
        <v>106.49000000000001</v>
      </c>
      <c r="F786" s="70">
        <v>106.49</v>
      </c>
      <c r="G786" s="320"/>
      <c r="H786" s="79">
        <v>63.54</v>
      </c>
      <c r="I786" s="79">
        <v>42.95</v>
      </c>
      <c r="J786" s="79">
        <v>106.49000000000001</v>
      </c>
      <c r="K786" s="79">
        <v>0</v>
      </c>
      <c r="L786" s="70">
        <v>106.49000000000001</v>
      </c>
      <c r="M786" s="132"/>
      <c r="N786" s="79">
        <v>63.54</v>
      </c>
      <c r="O786" s="79">
        <v>42.95</v>
      </c>
      <c r="P786" s="79">
        <v>106.49000000000001</v>
      </c>
      <c r="Q786" s="136"/>
      <c r="R786" s="79">
        <v>63.54</v>
      </c>
      <c r="S786" s="79">
        <v>42.96</v>
      </c>
      <c r="T786" s="79">
        <v>106.5</v>
      </c>
      <c r="U786" s="79">
        <v>0</v>
      </c>
      <c r="V786" s="189">
        <v>106.5</v>
      </c>
      <c r="X786" s="79">
        <v>63.54</v>
      </c>
      <c r="Y786" s="79">
        <v>42.96</v>
      </c>
      <c r="Z786" s="79">
        <v>106.5</v>
      </c>
      <c r="AA786" s="255">
        <v>-1.0000000000005116E-2</v>
      </c>
      <c r="AC786" s="254"/>
    </row>
    <row r="787" spans="1:29" ht="12">
      <c r="A787" s="489" t="s">
        <v>11998</v>
      </c>
      <c r="B787" s="490" t="s">
        <v>11999</v>
      </c>
      <c r="C787" s="491"/>
      <c r="D787" s="492"/>
      <c r="E787" s="79"/>
      <c r="F787" s="63"/>
      <c r="G787" s="320"/>
      <c r="H787" s="79"/>
      <c r="I787" s="79"/>
      <c r="J787" s="79"/>
      <c r="K787" s="79"/>
      <c r="L787" s="70"/>
      <c r="M787" s="132"/>
      <c r="N787" s="79"/>
      <c r="O787" s="79"/>
      <c r="P787" s="79"/>
      <c r="Q787" s="136"/>
      <c r="R787" s="79"/>
      <c r="S787" s="79"/>
      <c r="T787" s="79"/>
      <c r="U787" s="79"/>
      <c r="V787" s="189"/>
      <c r="X787" s="79"/>
      <c r="Y787" s="79"/>
      <c r="Z787" s="79"/>
      <c r="AA787" s="255"/>
      <c r="AC787" s="254"/>
    </row>
    <row r="788" spans="1:29" ht="12">
      <c r="A788" s="67" t="s">
        <v>12000</v>
      </c>
      <c r="B788" s="65" t="s">
        <v>40942</v>
      </c>
      <c r="C788" s="71" t="s">
        <v>509</v>
      </c>
      <c r="D788" s="78">
        <v>1</v>
      </c>
      <c r="E788" s="79">
        <v>85.12</v>
      </c>
      <c r="F788" s="70">
        <v>85.12</v>
      </c>
      <c r="G788" s="320"/>
      <c r="H788" s="79">
        <v>48.24</v>
      </c>
      <c r="I788" s="79">
        <v>36.879999999999995</v>
      </c>
      <c r="J788" s="79">
        <v>85.12</v>
      </c>
      <c r="K788" s="79">
        <v>0</v>
      </c>
      <c r="L788" s="70">
        <v>85.12</v>
      </c>
      <c r="M788" s="132"/>
      <c r="N788" s="79">
        <v>48.24</v>
      </c>
      <c r="O788" s="79">
        <v>36.879999999999995</v>
      </c>
      <c r="P788" s="79">
        <v>85.12</v>
      </c>
      <c r="Q788" s="136"/>
      <c r="R788" s="79">
        <v>48.24</v>
      </c>
      <c r="S788" s="79">
        <v>36.880000000000003</v>
      </c>
      <c r="T788" s="79">
        <v>85.12</v>
      </c>
      <c r="U788" s="79">
        <v>0</v>
      </c>
      <c r="V788" s="189">
        <v>85.12</v>
      </c>
      <c r="X788" s="79">
        <v>48.24</v>
      </c>
      <c r="Y788" s="79">
        <v>36.880000000000003</v>
      </c>
      <c r="Z788" s="79">
        <v>85.12</v>
      </c>
      <c r="AA788" s="255">
        <v>0</v>
      </c>
      <c r="AC788" s="254"/>
    </row>
    <row r="789" spans="1:29" ht="12">
      <c r="A789" s="67" t="s">
        <v>12001</v>
      </c>
      <c r="B789" s="65" t="s">
        <v>40943</v>
      </c>
      <c r="C789" s="71" t="s">
        <v>509</v>
      </c>
      <c r="D789" s="78">
        <v>1</v>
      </c>
      <c r="E789" s="79">
        <v>100.5</v>
      </c>
      <c r="F789" s="70">
        <v>100.5</v>
      </c>
      <c r="G789" s="320"/>
      <c r="H789" s="79">
        <v>60.47</v>
      </c>
      <c r="I789" s="79">
        <v>40.03</v>
      </c>
      <c r="J789" s="79">
        <v>100.5</v>
      </c>
      <c r="K789" s="79">
        <v>0</v>
      </c>
      <c r="L789" s="70">
        <v>100.5</v>
      </c>
      <c r="M789" s="132"/>
      <c r="N789" s="79">
        <v>60.47</v>
      </c>
      <c r="O789" s="79">
        <v>40.03</v>
      </c>
      <c r="P789" s="79">
        <v>100.5</v>
      </c>
      <c r="Q789" s="136"/>
      <c r="R789" s="79">
        <v>60.47</v>
      </c>
      <c r="S789" s="79">
        <v>40.03</v>
      </c>
      <c r="T789" s="79">
        <v>100.5</v>
      </c>
      <c r="U789" s="79">
        <v>0</v>
      </c>
      <c r="V789" s="189">
        <v>100.5</v>
      </c>
      <c r="X789" s="79">
        <v>60.47</v>
      </c>
      <c r="Y789" s="79">
        <v>40.03</v>
      </c>
      <c r="Z789" s="79">
        <v>100.5</v>
      </c>
      <c r="AA789" s="255">
        <v>0</v>
      </c>
      <c r="AC789" s="254"/>
    </row>
    <row r="790" spans="1:29" ht="12">
      <c r="A790" s="67" t="s">
        <v>12002</v>
      </c>
      <c r="B790" s="65" t="s">
        <v>40944</v>
      </c>
      <c r="C790" s="71" t="s">
        <v>509</v>
      </c>
      <c r="D790" s="78">
        <v>1</v>
      </c>
      <c r="E790" s="79">
        <v>120.10999999999999</v>
      </c>
      <c r="F790" s="70">
        <v>120.11</v>
      </c>
      <c r="G790" s="320"/>
      <c r="H790" s="79">
        <v>79.17</v>
      </c>
      <c r="I790" s="79">
        <v>40.94</v>
      </c>
      <c r="J790" s="79">
        <v>120.11</v>
      </c>
      <c r="K790" s="79">
        <v>0</v>
      </c>
      <c r="L790" s="70">
        <v>120.11</v>
      </c>
      <c r="M790" s="132"/>
      <c r="N790" s="79">
        <v>79.17</v>
      </c>
      <c r="O790" s="79">
        <v>40.94</v>
      </c>
      <c r="P790" s="79">
        <v>120.11</v>
      </c>
      <c r="Q790" s="136"/>
      <c r="R790" s="79">
        <v>79.17</v>
      </c>
      <c r="S790" s="79">
        <v>40.94</v>
      </c>
      <c r="T790" s="79">
        <v>120.11</v>
      </c>
      <c r="U790" s="79">
        <v>0</v>
      </c>
      <c r="V790" s="189">
        <v>120.11</v>
      </c>
      <c r="X790" s="79">
        <v>79.17</v>
      </c>
      <c r="Y790" s="79">
        <v>40.94</v>
      </c>
      <c r="Z790" s="79">
        <v>120.11</v>
      </c>
      <c r="AA790" s="255">
        <v>0</v>
      </c>
      <c r="AC790" s="254"/>
    </row>
    <row r="791" spans="1:29" ht="12">
      <c r="A791" s="489" t="s">
        <v>12003</v>
      </c>
      <c r="B791" s="490" t="s">
        <v>12004</v>
      </c>
      <c r="C791" s="491"/>
      <c r="D791" s="492"/>
      <c r="E791" s="79"/>
      <c r="F791" s="63"/>
      <c r="G791" s="320"/>
      <c r="H791" s="79"/>
      <c r="I791" s="79"/>
      <c r="J791" s="79"/>
      <c r="K791" s="79"/>
      <c r="L791" s="70"/>
      <c r="M791" s="132"/>
      <c r="N791" s="79"/>
      <c r="O791" s="79"/>
      <c r="P791" s="79"/>
      <c r="Q791" s="136"/>
      <c r="R791" s="79"/>
      <c r="S791" s="79"/>
      <c r="T791" s="79"/>
      <c r="U791" s="79"/>
      <c r="V791" s="189"/>
      <c r="X791" s="79"/>
      <c r="Y791" s="79"/>
      <c r="Z791" s="79"/>
      <c r="AA791" s="255"/>
      <c r="AC791" s="254"/>
    </row>
    <row r="792" spans="1:29" ht="12">
      <c r="A792" s="67" t="s">
        <v>12005</v>
      </c>
      <c r="B792" s="65" t="s">
        <v>40945</v>
      </c>
      <c r="C792" s="71" t="s">
        <v>509</v>
      </c>
      <c r="D792" s="78">
        <v>1</v>
      </c>
      <c r="E792" s="79">
        <v>119.49</v>
      </c>
      <c r="F792" s="70">
        <v>119.49</v>
      </c>
      <c r="G792" s="320"/>
      <c r="H792" s="79">
        <v>74.44</v>
      </c>
      <c r="I792" s="79">
        <v>45.05</v>
      </c>
      <c r="J792" s="79">
        <v>119.49</v>
      </c>
      <c r="K792" s="79">
        <v>0</v>
      </c>
      <c r="L792" s="70">
        <v>119.49</v>
      </c>
      <c r="M792" s="132"/>
      <c r="N792" s="79">
        <v>74.44</v>
      </c>
      <c r="O792" s="79">
        <v>45.05</v>
      </c>
      <c r="P792" s="79">
        <v>119.49</v>
      </c>
      <c r="Q792" s="136"/>
      <c r="R792" s="79">
        <v>74.44</v>
      </c>
      <c r="S792" s="79">
        <v>45.06</v>
      </c>
      <c r="T792" s="79">
        <v>119.5</v>
      </c>
      <c r="U792" s="79">
        <v>0</v>
      </c>
      <c r="V792" s="189">
        <v>119.5</v>
      </c>
      <c r="X792" s="79">
        <v>74.44</v>
      </c>
      <c r="Y792" s="79">
        <v>45.06</v>
      </c>
      <c r="Z792" s="79">
        <v>119.5</v>
      </c>
      <c r="AA792" s="255">
        <v>-1.0000000000005116E-2</v>
      </c>
      <c r="AC792" s="254"/>
    </row>
    <row r="793" spans="1:29" ht="12">
      <c r="A793" s="67" t="s">
        <v>12006</v>
      </c>
      <c r="B793" s="65" t="s">
        <v>40946</v>
      </c>
      <c r="C793" s="71" t="s">
        <v>509</v>
      </c>
      <c r="D793" s="78">
        <v>1</v>
      </c>
      <c r="E793" s="79">
        <v>133</v>
      </c>
      <c r="F793" s="70">
        <v>133</v>
      </c>
      <c r="G793" s="320"/>
      <c r="H793" s="79">
        <v>86.81</v>
      </c>
      <c r="I793" s="79">
        <v>46.19</v>
      </c>
      <c r="J793" s="79">
        <v>133</v>
      </c>
      <c r="K793" s="79">
        <v>0</v>
      </c>
      <c r="L793" s="70">
        <v>133</v>
      </c>
      <c r="M793" s="132"/>
      <c r="N793" s="79">
        <v>86.81</v>
      </c>
      <c r="O793" s="79">
        <v>46.19</v>
      </c>
      <c r="P793" s="79">
        <v>133</v>
      </c>
      <c r="Q793" s="136"/>
      <c r="R793" s="79">
        <v>86.81</v>
      </c>
      <c r="S793" s="79">
        <v>46.2</v>
      </c>
      <c r="T793" s="79">
        <v>133.01</v>
      </c>
      <c r="U793" s="79">
        <v>0</v>
      </c>
      <c r="V793" s="189">
        <v>133.01</v>
      </c>
      <c r="X793" s="79">
        <v>86.81</v>
      </c>
      <c r="Y793" s="79">
        <v>46.2</v>
      </c>
      <c r="Z793" s="79">
        <v>133.01</v>
      </c>
      <c r="AA793" s="255">
        <v>-9.9999999999909051E-3</v>
      </c>
      <c r="AC793" s="254"/>
    </row>
    <row r="794" spans="1:29" ht="12">
      <c r="A794" s="67" t="s">
        <v>12007</v>
      </c>
      <c r="B794" s="65" t="s">
        <v>40947</v>
      </c>
      <c r="C794" s="71" t="s">
        <v>509</v>
      </c>
      <c r="D794" s="78">
        <v>1</v>
      </c>
      <c r="E794" s="79">
        <v>138.02000000000001</v>
      </c>
      <c r="F794" s="70">
        <v>138.02000000000001</v>
      </c>
      <c r="G794" s="320"/>
      <c r="H794" s="79">
        <v>78.34</v>
      </c>
      <c r="I794" s="79">
        <v>59.68</v>
      </c>
      <c r="J794" s="79">
        <v>138.02000000000001</v>
      </c>
      <c r="K794" s="79">
        <v>0</v>
      </c>
      <c r="L794" s="70">
        <v>138.02000000000001</v>
      </c>
      <c r="M794" s="132"/>
      <c r="N794" s="79">
        <v>78.34</v>
      </c>
      <c r="O794" s="79">
        <v>59.68</v>
      </c>
      <c r="P794" s="79">
        <v>138.02000000000001</v>
      </c>
      <c r="Q794" s="136"/>
      <c r="R794" s="79">
        <v>78.34</v>
      </c>
      <c r="S794" s="79">
        <v>59.67</v>
      </c>
      <c r="T794" s="79">
        <v>138.01</v>
      </c>
      <c r="U794" s="79">
        <v>0</v>
      </c>
      <c r="V794" s="189">
        <v>138.01</v>
      </c>
      <c r="X794" s="79">
        <v>78.34</v>
      </c>
      <c r="Y794" s="79">
        <v>59.67</v>
      </c>
      <c r="Z794" s="79">
        <v>138.01</v>
      </c>
      <c r="AA794" s="255">
        <v>1.0000000000019327E-2</v>
      </c>
      <c r="AC794" s="254"/>
    </row>
    <row r="795" spans="1:29" ht="12">
      <c r="A795" s="67" t="s">
        <v>12008</v>
      </c>
      <c r="B795" s="65" t="s">
        <v>40948</v>
      </c>
      <c r="C795" s="71" t="s">
        <v>509</v>
      </c>
      <c r="D795" s="78">
        <v>1</v>
      </c>
      <c r="E795" s="79">
        <v>169.37</v>
      </c>
      <c r="F795" s="70">
        <v>169.37</v>
      </c>
      <c r="G795" s="320"/>
      <c r="H795" s="79">
        <v>105.78999999999999</v>
      </c>
      <c r="I795" s="79">
        <v>63.58</v>
      </c>
      <c r="J795" s="79">
        <v>169.37</v>
      </c>
      <c r="K795" s="79">
        <v>0</v>
      </c>
      <c r="L795" s="70">
        <v>169.37</v>
      </c>
      <c r="M795" s="132"/>
      <c r="N795" s="79">
        <v>105.78999999999999</v>
      </c>
      <c r="O795" s="79">
        <v>63.58</v>
      </c>
      <c r="P795" s="79">
        <v>169.37</v>
      </c>
      <c r="Q795" s="136"/>
      <c r="R795" s="79">
        <v>105.79</v>
      </c>
      <c r="S795" s="79">
        <v>63.6</v>
      </c>
      <c r="T795" s="79">
        <v>169.39000000000001</v>
      </c>
      <c r="U795" s="79">
        <v>0</v>
      </c>
      <c r="V795" s="189">
        <v>169.39000000000001</v>
      </c>
      <c r="X795" s="79">
        <v>105.79</v>
      </c>
      <c r="Y795" s="79">
        <v>63.6</v>
      </c>
      <c r="Z795" s="79">
        <v>169.39</v>
      </c>
      <c r="AA795" s="255">
        <v>-1.999999999998181E-2</v>
      </c>
      <c r="AC795" s="254"/>
    </row>
    <row r="796" spans="1:29" ht="12">
      <c r="A796" s="489" t="s">
        <v>12009</v>
      </c>
      <c r="B796" s="490" t="s">
        <v>12010</v>
      </c>
      <c r="C796" s="491"/>
      <c r="D796" s="492"/>
      <c r="E796" s="79"/>
      <c r="F796" s="63"/>
      <c r="G796" s="320"/>
      <c r="H796" s="79"/>
      <c r="I796" s="79"/>
      <c r="J796" s="79"/>
      <c r="K796" s="79"/>
      <c r="L796" s="70"/>
      <c r="M796" s="132"/>
      <c r="N796" s="79"/>
      <c r="O796" s="79"/>
      <c r="P796" s="79"/>
      <c r="Q796" s="136"/>
      <c r="R796" s="79"/>
      <c r="S796" s="79"/>
      <c r="T796" s="79"/>
      <c r="U796" s="79"/>
      <c r="V796" s="189"/>
      <c r="X796" s="79"/>
      <c r="Y796" s="79"/>
      <c r="Z796" s="79"/>
      <c r="AA796" s="255"/>
      <c r="AC796" s="254"/>
    </row>
    <row r="797" spans="1:29" ht="12">
      <c r="A797" s="67" t="s">
        <v>12011</v>
      </c>
      <c r="B797" s="65" t="s">
        <v>12012</v>
      </c>
      <c r="C797" s="71" t="s">
        <v>509</v>
      </c>
      <c r="D797" s="78">
        <v>1</v>
      </c>
      <c r="E797" s="79">
        <v>115.13</v>
      </c>
      <c r="F797" s="70">
        <v>115.13</v>
      </c>
      <c r="G797" s="320"/>
      <c r="H797" s="79">
        <v>97.649999999999991</v>
      </c>
      <c r="I797" s="79">
        <v>17.48</v>
      </c>
      <c r="J797" s="79">
        <v>115.13</v>
      </c>
      <c r="K797" s="79">
        <v>0</v>
      </c>
      <c r="L797" s="70">
        <v>115.13</v>
      </c>
      <c r="M797" s="132"/>
      <c r="N797" s="79">
        <v>97.649999999999991</v>
      </c>
      <c r="O797" s="79">
        <v>17.48</v>
      </c>
      <c r="P797" s="79">
        <v>115.13</v>
      </c>
      <c r="Q797" s="136"/>
      <c r="R797" s="79">
        <v>97.65</v>
      </c>
      <c r="S797" s="79">
        <v>17.47</v>
      </c>
      <c r="T797" s="79">
        <v>115.12</v>
      </c>
      <c r="U797" s="79">
        <v>0</v>
      </c>
      <c r="V797" s="189">
        <v>115.12</v>
      </c>
      <c r="X797" s="79">
        <v>97.65</v>
      </c>
      <c r="Y797" s="79">
        <v>17.47</v>
      </c>
      <c r="Z797" s="79">
        <v>115.12</v>
      </c>
      <c r="AA797" s="255">
        <v>9.9999999999909051E-3</v>
      </c>
      <c r="AC797" s="254"/>
    </row>
    <row r="798" spans="1:29" ht="12">
      <c r="A798" s="67" t="s">
        <v>12013</v>
      </c>
      <c r="B798" s="65" t="s">
        <v>12014</v>
      </c>
      <c r="C798" s="71" t="s">
        <v>509</v>
      </c>
      <c r="D798" s="78">
        <v>1</v>
      </c>
      <c r="E798" s="79">
        <v>137.9</v>
      </c>
      <c r="F798" s="70">
        <v>137.9</v>
      </c>
      <c r="G798" s="320"/>
      <c r="H798" s="79">
        <v>119.96000000000001</v>
      </c>
      <c r="I798" s="79">
        <v>17.939999999999998</v>
      </c>
      <c r="J798" s="79">
        <v>137.9</v>
      </c>
      <c r="K798" s="79">
        <v>0</v>
      </c>
      <c r="L798" s="70">
        <v>137.9</v>
      </c>
      <c r="M798" s="132"/>
      <c r="N798" s="79">
        <v>119.96000000000001</v>
      </c>
      <c r="O798" s="79">
        <v>17.939999999999998</v>
      </c>
      <c r="P798" s="79">
        <v>137.9</v>
      </c>
      <c r="Q798" s="136"/>
      <c r="R798" s="79">
        <v>119.96</v>
      </c>
      <c r="S798" s="79">
        <v>17.920000000000002</v>
      </c>
      <c r="T798" s="79">
        <v>137.88</v>
      </c>
      <c r="U798" s="79">
        <v>0</v>
      </c>
      <c r="V798" s="189">
        <v>137.88</v>
      </c>
      <c r="X798" s="79">
        <v>119.96</v>
      </c>
      <c r="Y798" s="79">
        <v>17.920000000000002</v>
      </c>
      <c r="Z798" s="79">
        <v>137.88</v>
      </c>
      <c r="AA798" s="255">
        <v>2.0000000000010232E-2</v>
      </c>
      <c r="AC798" s="254"/>
    </row>
    <row r="799" spans="1:29" ht="12">
      <c r="A799" s="67" t="s">
        <v>12015</v>
      </c>
      <c r="B799" s="65" t="s">
        <v>12016</v>
      </c>
      <c r="C799" s="71" t="s">
        <v>509</v>
      </c>
      <c r="D799" s="78">
        <v>1</v>
      </c>
      <c r="E799" s="79">
        <v>165.39</v>
      </c>
      <c r="F799" s="70">
        <v>165.39</v>
      </c>
      <c r="G799" s="320"/>
      <c r="H799" s="79">
        <v>147.22</v>
      </c>
      <c r="I799" s="79">
        <v>18.170000000000002</v>
      </c>
      <c r="J799" s="79">
        <v>165.39</v>
      </c>
      <c r="K799" s="79">
        <v>0</v>
      </c>
      <c r="L799" s="70">
        <v>165.39</v>
      </c>
      <c r="M799" s="132"/>
      <c r="N799" s="79">
        <v>147.22</v>
      </c>
      <c r="O799" s="79">
        <v>18.170000000000002</v>
      </c>
      <c r="P799" s="79">
        <v>165.39</v>
      </c>
      <c r="Q799" s="136"/>
      <c r="R799" s="79">
        <v>147.22</v>
      </c>
      <c r="S799" s="79">
        <v>18.149999999999999</v>
      </c>
      <c r="T799" s="79">
        <v>165.37</v>
      </c>
      <c r="U799" s="79">
        <v>0</v>
      </c>
      <c r="V799" s="189">
        <v>165.37</v>
      </c>
      <c r="X799" s="79">
        <v>147.22</v>
      </c>
      <c r="Y799" s="79">
        <v>18.149999999999999</v>
      </c>
      <c r="Z799" s="79">
        <v>165.37</v>
      </c>
      <c r="AA799" s="255">
        <v>1.999999999998181E-2</v>
      </c>
      <c r="AC799" s="254"/>
    </row>
    <row r="800" spans="1:29" ht="12">
      <c r="A800" s="67" t="s">
        <v>12017</v>
      </c>
      <c r="B800" s="65" t="s">
        <v>12018</v>
      </c>
      <c r="C800" s="71" t="s">
        <v>509</v>
      </c>
      <c r="D800" s="78">
        <v>1</v>
      </c>
      <c r="E800" s="79">
        <v>208.36</v>
      </c>
      <c r="F800" s="70">
        <v>208.36</v>
      </c>
      <c r="G800" s="320"/>
      <c r="H800" s="79">
        <v>189.51</v>
      </c>
      <c r="I800" s="79">
        <v>18.850000000000001</v>
      </c>
      <c r="J800" s="79">
        <v>208.35999999999999</v>
      </c>
      <c r="K800" s="79">
        <v>0</v>
      </c>
      <c r="L800" s="70">
        <v>208.35999999999999</v>
      </c>
      <c r="M800" s="132"/>
      <c r="N800" s="79">
        <v>189.51</v>
      </c>
      <c r="O800" s="79">
        <v>18.850000000000001</v>
      </c>
      <c r="P800" s="79">
        <v>208.35999999999999</v>
      </c>
      <c r="Q800" s="136"/>
      <c r="R800" s="79">
        <v>189.51</v>
      </c>
      <c r="S800" s="79">
        <v>18.829999999999998</v>
      </c>
      <c r="T800" s="79">
        <v>208.33999999999997</v>
      </c>
      <c r="U800" s="79">
        <v>0</v>
      </c>
      <c r="V800" s="189">
        <v>208.33999999999997</v>
      </c>
      <c r="X800" s="79">
        <v>189.51</v>
      </c>
      <c r="Y800" s="79">
        <v>18.829999999999998</v>
      </c>
      <c r="Z800" s="79">
        <v>208.34</v>
      </c>
      <c r="AA800" s="255">
        <v>2.0000000000010232E-2</v>
      </c>
      <c r="AC800" s="254"/>
    </row>
    <row r="801" spans="1:29" ht="12">
      <c r="A801" s="489" t="s">
        <v>12019</v>
      </c>
      <c r="B801" s="490" t="s">
        <v>12020</v>
      </c>
      <c r="C801" s="491"/>
      <c r="D801" s="492"/>
      <c r="E801" s="79"/>
      <c r="F801" s="63"/>
      <c r="G801" s="320"/>
      <c r="H801" s="79"/>
      <c r="I801" s="79"/>
      <c r="J801" s="79"/>
      <c r="K801" s="79"/>
      <c r="L801" s="70"/>
      <c r="M801" s="132"/>
      <c r="N801" s="79"/>
      <c r="O801" s="79"/>
      <c r="P801" s="79"/>
      <c r="Q801" s="136"/>
      <c r="R801" s="79"/>
      <c r="S801" s="79"/>
      <c r="T801" s="79"/>
      <c r="U801" s="79"/>
      <c r="V801" s="189"/>
      <c r="X801" s="79"/>
      <c r="Y801" s="79"/>
      <c r="Z801" s="79"/>
      <c r="AA801" s="255"/>
      <c r="AC801" s="254"/>
    </row>
    <row r="802" spans="1:29" ht="12">
      <c r="A802" s="67" t="s">
        <v>12021</v>
      </c>
      <c r="B802" s="65" t="s">
        <v>12022</v>
      </c>
      <c r="C802" s="71" t="s">
        <v>121</v>
      </c>
      <c r="D802" s="78">
        <v>1</v>
      </c>
      <c r="E802" s="79">
        <v>1902.2200000000003</v>
      </c>
      <c r="F802" s="70">
        <v>1902.22</v>
      </c>
      <c r="G802" s="320"/>
      <c r="H802" s="79">
        <v>950.1400000000001</v>
      </c>
      <c r="I802" s="79">
        <v>952.07999999999993</v>
      </c>
      <c r="J802" s="79">
        <v>1902.22</v>
      </c>
      <c r="K802" s="79">
        <v>0</v>
      </c>
      <c r="L802" s="70">
        <v>1902.22</v>
      </c>
      <c r="M802" s="132"/>
      <c r="N802" s="79">
        <v>950.1400000000001</v>
      </c>
      <c r="O802" s="79">
        <v>952.07999999999993</v>
      </c>
      <c r="P802" s="79">
        <v>1902.22</v>
      </c>
      <c r="Q802" s="136"/>
      <c r="R802" s="79">
        <v>950.14</v>
      </c>
      <c r="S802" s="79">
        <v>952.14</v>
      </c>
      <c r="T802" s="79">
        <v>1902.28</v>
      </c>
      <c r="U802" s="79">
        <v>0</v>
      </c>
      <c r="V802" s="189">
        <v>1902.28</v>
      </c>
      <c r="X802" s="79">
        <v>950.14</v>
      </c>
      <c r="Y802" s="79">
        <v>952.14</v>
      </c>
      <c r="Z802" s="79">
        <v>1902.28</v>
      </c>
      <c r="AA802" s="255">
        <v>-5.999999999994543E-2</v>
      </c>
      <c r="AC802" s="254"/>
    </row>
    <row r="803" spans="1:29" ht="12">
      <c r="A803" s="67" t="s">
        <v>12023</v>
      </c>
      <c r="B803" s="65" t="s">
        <v>12024</v>
      </c>
      <c r="C803" s="71" t="s">
        <v>165</v>
      </c>
      <c r="D803" s="78">
        <v>1</v>
      </c>
      <c r="E803" s="79">
        <v>12.909999999999998</v>
      </c>
      <c r="F803" s="70">
        <v>12.91</v>
      </c>
      <c r="G803" s="320"/>
      <c r="H803" s="79">
        <v>4.3099999999999996</v>
      </c>
      <c r="I803" s="79">
        <v>8.6</v>
      </c>
      <c r="J803" s="79">
        <v>12.91</v>
      </c>
      <c r="K803" s="79">
        <v>0</v>
      </c>
      <c r="L803" s="70">
        <v>12.91</v>
      </c>
      <c r="M803" s="132"/>
      <c r="N803" s="79">
        <v>4.3099999999999996</v>
      </c>
      <c r="O803" s="79">
        <v>8.6</v>
      </c>
      <c r="P803" s="79">
        <v>12.91</v>
      </c>
      <c r="Q803" s="136"/>
      <c r="R803" s="79">
        <v>4.3099999999999996</v>
      </c>
      <c r="S803" s="79">
        <v>8.61</v>
      </c>
      <c r="T803" s="79">
        <v>12.919999999999998</v>
      </c>
      <c r="U803" s="79">
        <v>0</v>
      </c>
      <c r="V803" s="189">
        <v>12.919999999999998</v>
      </c>
      <c r="X803" s="79">
        <v>4.3099999999999996</v>
      </c>
      <c r="Y803" s="79">
        <v>8.61</v>
      </c>
      <c r="Z803" s="79">
        <v>12.92</v>
      </c>
      <c r="AA803" s="255">
        <v>-9.9999999999997868E-3</v>
      </c>
      <c r="AC803" s="254"/>
    </row>
    <row r="804" spans="1:29" ht="12">
      <c r="A804" s="489" t="s">
        <v>12025</v>
      </c>
      <c r="B804" s="490" t="s">
        <v>12026</v>
      </c>
      <c r="C804" s="491"/>
      <c r="D804" s="492"/>
      <c r="E804" s="79"/>
      <c r="F804" s="63"/>
      <c r="G804" s="320"/>
      <c r="H804" s="79"/>
      <c r="I804" s="79"/>
      <c r="J804" s="79"/>
      <c r="K804" s="79"/>
      <c r="L804" s="70"/>
      <c r="M804" s="132"/>
      <c r="N804" s="79"/>
      <c r="O804" s="79"/>
      <c r="P804" s="79"/>
      <c r="Q804" s="136"/>
      <c r="R804" s="79"/>
      <c r="S804" s="79"/>
      <c r="T804" s="79"/>
      <c r="U804" s="79"/>
      <c r="V804" s="189"/>
      <c r="X804" s="79"/>
      <c r="Y804" s="79"/>
      <c r="Z804" s="79"/>
      <c r="AA804" s="255"/>
      <c r="AC804" s="254"/>
    </row>
    <row r="805" spans="1:29" ht="12">
      <c r="A805" s="67" t="s">
        <v>12027</v>
      </c>
      <c r="B805" s="65" t="s">
        <v>12028</v>
      </c>
      <c r="C805" s="499" t="s">
        <v>509</v>
      </c>
      <c r="D805" s="78">
        <v>1</v>
      </c>
      <c r="E805" s="79">
        <v>266.18</v>
      </c>
      <c r="F805" s="70">
        <v>266.18</v>
      </c>
      <c r="G805" s="320"/>
      <c r="H805" s="79">
        <v>175.6</v>
      </c>
      <c r="I805" s="79">
        <v>90.58</v>
      </c>
      <c r="J805" s="79">
        <v>266.18</v>
      </c>
      <c r="K805" s="79">
        <v>0</v>
      </c>
      <c r="L805" s="70">
        <v>266.18</v>
      </c>
      <c r="M805" s="132"/>
      <c r="N805" s="79">
        <v>175.6</v>
      </c>
      <c r="O805" s="79">
        <v>90.58</v>
      </c>
      <c r="P805" s="79">
        <v>266.18</v>
      </c>
      <c r="Q805" s="136"/>
      <c r="R805" s="79">
        <v>175.6</v>
      </c>
      <c r="S805" s="79">
        <v>90.58</v>
      </c>
      <c r="T805" s="79">
        <v>266.18</v>
      </c>
      <c r="U805" s="79">
        <v>0</v>
      </c>
      <c r="V805" s="189">
        <v>266.18</v>
      </c>
      <c r="X805" s="79">
        <v>175.6</v>
      </c>
      <c r="Y805" s="79">
        <v>90.58</v>
      </c>
      <c r="Z805" s="79">
        <v>266.18</v>
      </c>
      <c r="AA805" s="255">
        <v>0</v>
      </c>
      <c r="AC805" s="254"/>
    </row>
    <row r="806" spans="1:29" ht="12">
      <c r="A806" s="67" t="s">
        <v>12029</v>
      </c>
      <c r="B806" s="65" t="s">
        <v>12030</v>
      </c>
      <c r="C806" s="71" t="s">
        <v>509</v>
      </c>
      <c r="D806" s="78">
        <v>1</v>
      </c>
      <c r="E806" s="79">
        <v>231.4</v>
      </c>
      <c r="F806" s="70">
        <v>231.4</v>
      </c>
      <c r="G806" s="320"/>
      <c r="H806" s="79">
        <v>156.22</v>
      </c>
      <c r="I806" s="79">
        <v>75.180000000000007</v>
      </c>
      <c r="J806" s="79">
        <v>231.4</v>
      </c>
      <c r="K806" s="79">
        <v>0</v>
      </c>
      <c r="L806" s="70">
        <v>231.4</v>
      </c>
      <c r="M806" s="132"/>
      <c r="N806" s="79">
        <v>156.22</v>
      </c>
      <c r="O806" s="79">
        <v>75.180000000000007</v>
      </c>
      <c r="P806" s="79">
        <v>231.4</v>
      </c>
      <c r="Q806" s="136"/>
      <c r="R806" s="79">
        <v>156.22</v>
      </c>
      <c r="S806" s="79">
        <v>75.17</v>
      </c>
      <c r="T806" s="79">
        <v>231.39</v>
      </c>
      <c r="U806" s="79">
        <v>0</v>
      </c>
      <c r="V806" s="189">
        <v>231.39</v>
      </c>
      <c r="X806" s="79">
        <v>156.22</v>
      </c>
      <c r="Y806" s="79">
        <v>75.17</v>
      </c>
      <c r="Z806" s="79">
        <v>231.39</v>
      </c>
      <c r="AA806" s="255">
        <v>1.0000000000019327E-2</v>
      </c>
      <c r="AC806" s="254"/>
    </row>
    <row r="807" spans="1:29" ht="12">
      <c r="A807" s="67" t="s">
        <v>12031</v>
      </c>
      <c r="B807" s="65" t="s">
        <v>12032</v>
      </c>
      <c r="C807" s="71" t="s">
        <v>509</v>
      </c>
      <c r="D807" s="78">
        <v>1</v>
      </c>
      <c r="E807" s="79">
        <v>230.64999999999998</v>
      </c>
      <c r="F807" s="70">
        <v>230.65</v>
      </c>
      <c r="G807" s="320"/>
      <c r="H807" s="79">
        <v>155.44999999999999</v>
      </c>
      <c r="I807" s="79">
        <v>75.2</v>
      </c>
      <c r="J807" s="79">
        <v>230.64999999999998</v>
      </c>
      <c r="K807" s="79">
        <v>0</v>
      </c>
      <c r="L807" s="70">
        <v>230.64999999999998</v>
      </c>
      <c r="M807" s="132"/>
      <c r="N807" s="79">
        <v>155.44999999999999</v>
      </c>
      <c r="O807" s="79">
        <v>75.2</v>
      </c>
      <c r="P807" s="79">
        <v>230.64999999999998</v>
      </c>
      <c r="Q807" s="136"/>
      <c r="R807" s="79">
        <v>155.44999999999999</v>
      </c>
      <c r="S807" s="79">
        <v>75.17</v>
      </c>
      <c r="T807" s="79">
        <v>230.62</v>
      </c>
      <c r="U807" s="79">
        <v>0</v>
      </c>
      <c r="V807" s="189">
        <v>230.62</v>
      </c>
      <c r="X807" s="79">
        <v>155.44999999999999</v>
      </c>
      <c r="Y807" s="79">
        <v>75.17</v>
      </c>
      <c r="Z807" s="79">
        <v>230.62</v>
      </c>
      <c r="AA807" s="255">
        <v>3.0000000000001137E-2</v>
      </c>
      <c r="AC807" s="254"/>
    </row>
    <row r="808" spans="1:29" ht="12">
      <c r="A808" s="67" t="s">
        <v>12033</v>
      </c>
      <c r="B808" s="65" t="s">
        <v>12034</v>
      </c>
      <c r="C808" s="71" t="s">
        <v>509</v>
      </c>
      <c r="D808" s="78">
        <v>1</v>
      </c>
      <c r="E808" s="79">
        <v>2293.83</v>
      </c>
      <c r="F808" s="70">
        <v>2293.83</v>
      </c>
      <c r="G808" s="320"/>
      <c r="H808" s="79">
        <v>2089.9299999999998</v>
      </c>
      <c r="I808" s="79">
        <v>203.9</v>
      </c>
      <c r="J808" s="79">
        <v>2293.83</v>
      </c>
      <c r="K808" s="79">
        <v>0</v>
      </c>
      <c r="L808" s="70">
        <v>2293.83</v>
      </c>
      <c r="M808" s="132"/>
      <c r="N808" s="79">
        <v>2089.9299999999998</v>
      </c>
      <c r="O808" s="79">
        <v>203.9</v>
      </c>
      <c r="P808" s="79">
        <v>2293.83</v>
      </c>
      <c r="Q808" s="136"/>
      <c r="R808" s="79">
        <v>2089.9299999999998</v>
      </c>
      <c r="S808" s="79">
        <v>203.91</v>
      </c>
      <c r="T808" s="79">
        <v>2293.8399999999997</v>
      </c>
      <c r="U808" s="79">
        <v>0</v>
      </c>
      <c r="V808" s="189">
        <v>2293.8399999999997</v>
      </c>
      <c r="X808" s="79">
        <v>2089.9299999999998</v>
      </c>
      <c r="Y808" s="79">
        <v>203.91</v>
      </c>
      <c r="Z808" s="79">
        <v>2293.84</v>
      </c>
      <c r="AA808" s="255">
        <v>-1.0000000000218279E-2</v>
      </c>
      <c r="AC808" s="254"/>
    </row>
    <row r="809" spans="1:29" ht="12">
      <c r="A809" s="67" t="s">
        <v>12035</v>
      </c>
      <c r="B809" s="65" t="s">
        <v>12036</v>
      </c>
      <c r="C809" s="71" t="s">
        <v>509</v>
      </c>
      <c r="D809" s="78">
        <v>1</v>
      </c>
      <c r="E809" s="79">
        <v>1142.18</v>
      </c>
      <c r="F809" s="70">
        <v>1142.18</v>
      </c>
      <c r="G809" s="320"/>
      <c r="H809" s="79">
        <v>1006.79</v>
      </c>
      <c r="I809" s="79">
        <v>135.38999999999999</v>
      </c>
      <c r="J809" s="79">
        <v>1142.1799999999998</v>
      </c>
      <c r="K809" s="79">
        <v>0</v>
      </c>
      <c r="L809" s="70">
        <v>1142.1799999999998</v>
      </c>
      <c r="M809" s="132"/>
      <c r="N809" s="79">
        <v>1006.79</v>
      </c>
      <c r="O809" s="79">
        <v>135.38999999999999</v>
      </c>
      <c r="P809" s="79">
        <v>1142.1799999999998</v>
      </c>
      <c r="Q809" s="136"/>
      <c r="R809" s="79">
        <v>1006.79</v>
      </c>
      <c r="S809" s="79">
        <v>135.38999999999999</v>
      </c>
      <c r="T809" s="79">
        <v>1142.1799999999998</v>
      </c>
      <c r="U809" s="79">
        <v>0</v>
      </c>
      <c r="V809" s="189">
        <v>1142.1799999999998</v>
      </c>
      <c r="X809" s="79">
        <v>1006.79</v>
      </c>
      <c r="Y809" s="79">
        <v>135.38999999999999</v>
      </c>
      <c r="Z809" s="79">
        <v>1142.18</v>
      </c>
      <c r="AA809" s="255">
        <v>0</v>
      </c>
      <c r="AC809" s="254"/>
    </row>
    <row r="810" spans="1:29" ht="12">
      <c r="A810" s="489" t="s">
        <v>12037</v>
      </c>
      <c r="B810" s="490" t="s">
        <v>12038</v>
      </c>
      <c r="C810" s="491"/>
      <c r="D810" s="492"/>
      <c r="E810" s="79"/>
      <c r="F810" s="63"/>
      <c r="G810" s="320"/>
      <c r="H810" s="79"/>
      <c r="I810" s="79"/>
      <c r="J810" s="79"/>
      <c r="K810" s="79"/>
      <c r="L810" s="70"/>
      <c r="M810" s="132"/>
      <c r="N810" s="79"/>
      <c r="O810" s="79"/>
      <c r="P810" s="79"/>
      <c r="Q810" s="136"/>
      <c r="R810" s="79"/>
      <c r="S810" s="79"/>
      <c r="T810" s="79"/>
      <c r="U810" s="79"/>
      <c r="V810" s="189"/>
      <c r="X810" s="79"/>
      <c r="Y810" s="79"/>
      <c r="Z810" s="79"/>
      <c r="AA810" s="255"/>
      <c r="AC810" s="254"/>
    </row>
    <row r="811" spans="1:29" ht="12">
      <c r="A811" s="67" t="s">
        <v>12039</v>
      </c>
      <c r="B811" s="65" t="s">
        <v>12040</v>
      </c>
      <c r="C811" s="71" t="s">
        <v>509</v>
      </c>
      <c r="D811" s="78">
        <v>1</v>
      </c>
      <c r="E811" s="79">
        <v>1283.7800000000002</v>
      </c>
      <c r="F811" s="70">
        <v>1283.78</v>
      </c>
      <c r="G811" s="320"/>
      <c r="H811" s="79">
        <v>1196.1200000000001</v>
      </c>
      <c r="I811" s="79">
        <v>87.66</v>
      </c>
      <c r="J811" s="79">
        <v>1283.7800000000002</v>
      </c>
      <c r="K811" s="79">
        <v>0</v>
      </c>
      <c r="L811" s="70">
        <v>1283.7800000000002</v>
      </c>
      <c r="M811" s="132"/>
      <c r="N811" s="79">
        <v>1196.1200000000001</v>
      </c>
      <c r="O811" s="79">
        <v>87.66</v>
      </c>
      <c r="P811" s="79">
        <v>1283.7800000000002</v>
      </c>
      <c r="Q811" s="136"/>
      <c r="R811" s="79">
        <v>1196.1199999999999</v>
      </c>
      <c r="S811" s="79">
        <v>87.67</v>
      </c>
      <c r="T811" s="79">
        <v>1283.79</v>
      </c>
      <c r="U811" s="79">
        <v>0</v>
      </c>
      <c r="V811" s="189">
        <v>1283.79</v>
      </c>
      <c r="X811" s="79">
        <v>1196.1199999999999</v>
      </c>
      <c r="Y811" s="79">
        <v>87.67</v>
      </c>
      <c r="Z811" s="79">
        <v>1283.79</v>
      </c>
      <c r="AA811" s="255">
        <v>-9.9999999999909051E-3</v>
      </c>
      <c r="AC811" s="254"/>
    </row>
    <row r="812" spans="1:29" ht="12">
      <c r="A812" s="67" t="s">
        <v>12041</v>
      </c>
      <c r="B812" s="65" t="s">
        <v>12042</v>
      </c>
      <c r="C812" s="71" t="s">
        <v>509</v>
      </c>
      <c r="D812" s="78">
        <v>1</v>
      </c>
      <c r="E812" s="79">
        <v>273.12</v>
      </c>
      <c r="F812" s="70">
        <v>273.12</v>
      </c>
      <c r="G812" s="320"/>
      <c r="H812" s="79">
        <v>273.12</v>
      </c>
      <c r="I812" s="79">
        <v>0</v>
      </c>
      <c r="J812" s="79">
        <v>273.12</v>
      </c>
      <c r="K812" s="79">
        <v>0</v>
      </c>
      <c r="L812" s="70">
        <v>273.12</v>
      </c>
      <c r="M812" s="132"/>
      <c r="N812" s="79">
        <v>273.12</v>
      </c>
      <c r="O812" s="79"/>
      <c r="P812" s="79">
        <v>273.12</v>
      </c>
      <c r="Q812" s="136"/>
      <c r="R812" s="79">
        <v>273.12</v>
      </c>
      <c r="S812" s="79"/>
      <c r="T812" s="79">
        <v>273.12</v>
      </c>
      <c r="U812" s="79">
        <v>0</v>
      </c>
      <c r="V812" s="189">
        <v>273.12</v>
      </c>
      <c r="X812" s="79">
        <v>273.12</v>
      </c>
      <c r="Y812" s="79"/>
      <c r="Z812" s="79">
        <v>273.12</v>
      </c>
      <c r="AA812" s="255">
        <v>0</v>
      </c>
      <c r="AC812" s="254"/>
    </row>
    <row r="813" spans="1:29" ht="24">
      <c r="A813" s="67" t="s">
        <v>12043</v>
      </c>
      <c r="B813" s="65" t="s">
        <v>12044</v>
      </c>
      <c r="C813" s="71" t="s">
        <v>509</v>
      </c>
      <c r="D813" s="78">
        <v>1</v>
      </c>
      <c r="E813" s="79">
        <v>839.86</v>
      </c>
      <c r="F813" s="70">
        <v>839.86</v>
      </c>
      <c r="G813" s="320"/>
      <c r="H813" s="79">
        <v>839.86</v>
      </c>
      <c r="I813" s="79">
        <v>0</v>
      </c>
      <c r="J813" s="79">
        <v>839.86</v>
      </c>
      <c r="K813" s="79">
        <v>0</v>
      </c>
      <c r="L813" s="70">
        <v>839.86</v>
      </c>
      <c r="M813" s="132"/>
      <c r="N813" s="79">
        <v>839.86</v>
      </c>
      <c r="O813" s="79"/>
      <c r="P813" s="79">
        <v>839.86</v>
      </c>
      <c r="Q813" s="136"/>
      <c r="R813" s="79">
        <v>839.86</v>
      </c>
      <c r="S813" s="79"/>
      <c r="T813" s="79">
        <v>839.86</v>
      </c>
      <c r="U813" s="79">
        <v>0</v>
      </c>
      <c r="V813" s="189">
        <v>839.86</v>
      </c>
      <c r="X813" s="79">
        <v>839.86</v>
      </c>
      <c r="Y813" s="79"/>
      <c r="Z813" s="79">
        <v>839.86</v>
      </c>
      <c r="AA813" s="255">
        <v>0</v>
      </c>
      <c r="AC813" s="254"/>
    </row>
    <row r="814" spans="1:29" ht="12">
      <c r="A814" s="67" t="s">
        <v>12045</v>
      </c>
      <c r="B814" s="65" t="s">
        <v>12046</v>
      </c>
      <c r="C814" s="71" t="s">
        <v>509</v>
      </c>
      <c r="D814" s="78">
        <v>1</v>
      </c>
      <c r="E814" s="79">
        <v>1189.3499999999999</v>
      </c>
      <c r="F814" s="70">
        <v>1189.3499999999999</v>
      </c>
      <c r="G814" s="320"/>
      <c r="H814" s="79">
        <v>1101.69</v>
      </c>
      <c r="I814" s="79">
        <v>87.66</v>
      </c>
      <c r="J814" s="79">
        <v>1189.3500000000001</v>
      </c>
      <c r="K814" s="79">
        <v>0</v>
      </c>
      <c r="L814" s="70">
        <v>1189.3500000000001</v>
      </c>
      <c r="M814" s="132"/>
      <c r="N814" s="79">
        <v>1101.69</v>
      </c>
      <c r="O814" s="79">
        <v>87.66</v>
      </c>
      <c r="P814" s="79">
        <v>1189.3500000000001</v>
      </c>
      <c r="Q814" s="136"/>
      <c r="R814" s="79">
        <v>1101.69</v>
      </c>
      <c r="S814" s="79">
        <v>87.67</v>
      </c>
      <c r="T814" s="79">
        <v>1189.3600000000001</v>
      </c>
      <c r="U814" s="79">
        <v>0</v>
      </c>
      <c r="V814" s="189">
        <v>1189.3600000000001</v>
      </c>
      <c r="X814" s="79">
        <v>1101.69</v>
      </c>
      <c r="Y814" s="79">
        <v>87.67</v>
      </c>
      <c r="Z814" s="79">
        <v>1189.3599999999999</v>
      </c>
      <c r="AA814" s="255">
        <v>-9.9999999999909051E-3</v>
      </c>
      <c r="AC814" s="254"/>
    </row>
    <row r="815" spans="1:29" ht="24">
      <c r="A815" s="67" t="s">
        <v>12047</v>
      </c>
      <c r="B815" s="65" t="s">
        <v>12048</v>
      </c>
      <c r="C815" s="71" t="s">
        <v>509</v>
      </c>
      <c r="D815" s="78">
        <v>1</v>
      </c>
      <c r="E815" s="79">
        <v>195.73</v>
      </c>
      <c r="F815" s="70">
        <v>195.73</v>
      </c>
      <c r="G815" s="320"/>
      <c r="H815" s="79">
        <v>195.73</v>
      </c>
      <c r="I815" s="79">
        <v>0</v>
      </c>
      <c r="J815" s="79">
        <v>195.73</v>
      </c>
      <c r="K815" s="79">
        <v>0</v>
      </c>
      <c r="L815" s="70">
        <v>195.73</v>
      </c>
      <c r="M815" s="132"/>
      <c r="N815" s="79">
        <v>195.73</v>
      </c>
      <c r="O815" s="79"/>
      <c r="P815" s="79">
        <v>195.73</v>
      </c>
      <c r="Q815" s="136"/>
      <c r="R815" s="79">
        <v>195.73</v>
      </c>
      <c r="S815" s="79"/>
      <c r="T815" s="79">
        <v>195.73</v>
      </c>
      <c r="U815" s="79">
        <v>0</v>
      </c>
      <c r="V815" s="189">
        <v>195.73</v>
      </c>
      <c r="X815" s="79">
        <v>195.73</v>
      </c>
      <c r="Y815" s="79"/>
      <c r="Z815" s="79">
        <v>195.73</v>
      </c>
      <c r="AA815" s="255">
        <v>0</v>
      </c>
      <c r="AC815" s="254"/>
    </row>
    <row r="816" spans="1:29" ht="24">
      <c r="A816" s="67" t="s">
        <v>12049</v>
      </c>
      <c r="B816" s="65" t="s">
        <v>12050</v>
      </c>
      <c r="C816" s="71" t="s">
        <v>509</v>
      </c>
      <c r="D816" s="78">
        <v>1</v>
      </c>
      <c r="E816" s="79">
        <v>222.73</v>
      </c>
      <c r="F816" s="70">
        <v>222.73</v>
      </c>
      <c r="G816" s="320"/>
      <c r="H816" s="79">
        <v>222.73</v>
      </c>
      <c r="I816" s="79">
        <v>0</v>
      </c>
      <c r="J816" s="79">
        <v>222.73</v>
      </c>
      <c r="K816" s="79">
        <v>0</v>
      </c>
      <c r="L816" s="70">
        <v>222.73</v>
      </c>
      <c r="M816" s="132"/>
      <c r="N816" s="79">
        <v>222.73</v>
      </c>
      <c r="O816" s="79"/>
      <c r="P816" s="79">
        <v>222.73</v>
      </c>
      <c r="Q816" s="136"/>
      <c r="R816" s="79">
        <v>222.73</v>
      </c>
      <c r="S816" s="79"/>
      <c r="T816" s="79">
        <v>222.73</v>
      </c>
      <c r="U816" s="79">
        <v>0</v>
      </c>
      <c r="V816" s="189">
        <v>222.73</v>
      </c>
      <c r="X816" s="79">
        <v>222.73</v>
      </c>
      <c r="Y816" s="79"/>
      <c r="Z816" s="79">
        <v>222.73</v>
      </c>
      <c r="AA816" s="255">
        <v>0</v>
      </c>
      <c r="AC816" s="254"/>
    </row>
    <row r="817" spans="1:29" ht="24">
      <c r="A817" s="67" t="s">
        <v>12051</v>
      </c>
      <c r="B817" s="65" t="s">
        <v>12052</v>
      </c>
      <c r="C817" s="71" t="s">
        <v>509</v>
      </c>
      <c r="D817" s="78">
        <v>1</v>
      </c>
      <c r="E817" s="79">
        <v>223.54</v>
      </c>
      <c r="F817" s="70">
        <v>223.54</v>
      </c>
      <c r="G817" s="320"/>
      <c r="H817" s="79">
        <v>223.54</v>
      </c>
      <c r="I817" s="79">
        <v>0</v>
      </c>
      <c r="J817" s="79">
        <v>223.54</v>
      </c>
      <c r="K817" s="79">
        <v>0</v>
      </c>
      <c r="L817" s="70">
        <v>223.54</v>
      </c>
      <c r="M817" s="132"/>
      <c r="N817" s="79">
        <v>223.54</v>
      </c>
      <c r="O817" s="79"/>
      <c r="P817" s="79">
        <v>223.54</v>
      </c>
      <c r="Q817" s="136"/>
      <c r="R817" s="79">
        <v>223.54</v>
      </c>
      <c r="S817" s="79"/>
      <c r="T817" s="79">
        <v>223.54</v>
      </c>
      <c r="U817" s="79">
        <v>0</v>
      </c>
      <c r="V817" s="189">
        <v>223.54</v>
      </c>
      <c r="X817" s="79">
        <v>223.54</v>
      </c>
      <c r="Y817" s="79"/>
      <c r="Z817" s="79">
        <v>223.54</v>
      </c>
      <c r="AA817" s="255">
        <v>0</v>
      </c>
      <c r="AC817" s="254"/>
    </row>
    <row r="818" spans="1:29" ht="24">
      <c r="A818" s="67" t="s">
        <v>12053</v>
      </c>
      <c r="B818" s="65" t="s">
        <v>12054</v>
      </c>
      <c r="C818" s="71" t="s">
        <v>509</v>
      </c>
      <c r="D818" s="78">
        <v>1</v>
      </c>
      <c r="E818" s="79">
        <v>195.03</v>
      </c>
      <c r="F818" s="70">
        <v>195.03</v>
      </c>
      <c r="G818" s="320"/>
      <c r="H818" s="79">
        <v>195.03</v>
      </c>
      <c r="I818" s="79">
        <v>0</v>
      </c>
      <c r="J818" s="79">
        <v>195.03</v>
      </c>
      <c r="K818" s="79">
        <v>0</v>
      </c>
      <c r="L818" s="70">
        <v>195.03</v>
      </c>
      <c r="M818" s="132"/>
      <c r="N818" s="79">
        <v>195.03</v>
      </c>
      <c r="O818" s="79"/>
      <c r="P818" s="79">
        <v>195.03</v>
      </c>
      <c r="Q818" s="136"/>
      <c r="R818" s="79">
        <v>195.03</v>
      </c>
      <c r="S818" s="79"/>
      <c r="T818" s="79">
        <v>195.03</v>
      </c>
      <c r="U818" s="79">
        <v>0</v>
      </c>
      <c r="V818" s="189">
        <v>195.03</v>
      </c>
      <c r="X818" s="79">
        <v>195.03</v>
      </c>
      <c r="Y818" s="79"/>
      <c r="Z818" s="79">
        <v>195.03</v>
      </c>
      <c r="AA818" s="255">
        <v>0</v>
      </c>
      <c r="AC818" s="254"/>
    </row>
    <row r="819" spans="1:29" ht="24">
      <c r="A819" s="67" t="s">
        <v>12055</v>
      </c>
      <c r="B819" s="65" t="s">
        <v>12056</v>
      </c>
      <c r="C819" s="71" t="s">
        <v>509</v>
      </c>
      <c r="D819" s="78">
        <v>1</v>
      </c>
      <c r="E819" s="79">
        <v>162.41999999999999</v>
      </c>
      <c r="F819" s="70">
        <v>162.41999999999999</v>
      </c>
      <c r="G819" s="320"/>
      <c r="H819" s="79">
        <v>162.41999999999999</v>
      </c>
      <c r="I819" s="79">
        <v>0</v>
      </c>
      <c r="J819" s="79">
        <v>162.41999999999999</v>
      </c>
      <c r="K819" s="79">
        <v>0</v>
      </c>
      <c r="L819" s="70">
        <v>162.41999999999999</v>
      </c>
      <c r="M819" s="132"/>
      <c r="N819" s="79">
        <v>162.41999999999999</v>
      </c>
      <c r="O819" s="79"/>
      <c r="P819" s="79">
        <v>162.41999999999999</v>
      </c>
      <c r="Q819" s="136"/>
      <c r="R819" s="79">
        <v>162.41999999999999</v>
      </c>
      <c r="S819" s="79"/>
      <c r="T819" s="79">
        <v>162.41999999999999</v>
      </c>
      <c r="U819" s="79">
        <v>0</v>
      </c>
      <c r="V819" s="189">
        <v>162.41999999999999</v>
      </c>
      <c r="X819" s="79">
        <v>162.41999999999999</v>
      </c>
      <c r="Y819" s="79"/>
      <c r="Z819" s="79">
        <v>162.41999999999999</v>
      </c>
      <c r="AA819" s="255">
        <v>0</v>
      </c>
      <c r="AC819" s="254"/>
    </row>
    <row r="820" spans="1:29" ht="24">
      <c r="A820" s="67" t="s">
        <v>12057</v>
      </c>
      <c r="B820" s="65" t="s">
        <v>12058</v>
      </c>
      <c r="C820" s="71" t="s">
        <v>509</v>
      </c>
      <c r="D820" s="78">
        <v>1</v>
      </c>
      <c r="E820" s="79">
        <v>170.23</v>
      </c>
      <c r="F820" s="70">
        <v>170.23</v>
      </c>
      <c r="G820" s="320"/>
      <c r="H820" s="79">
        <v>170.23</v>
      </c>
      <c r="I820" s="79">
        <v>0</v>
      </c>
      <c r="J820" s="79">
        <v>170.23</v>
      </c>
      <c r="K820" s="79">
        <v>0</v>
      </c>
      <c r="L820" s="70">
        <v>170.23</v>
      </c>
      <c r="M820" s="132"/>
      <c r="N820" s="79">
        <v>170.23</v>
      </c>
      <c r="O820" s="79"/>
      <c r="P820" s="79">
        <v>170.23</v>
      </c>
      <c r="Q820" s="136"/>
      <c r="R820" s="79">
        <v>170.23</v>
      </c>
      <c r="S820" s="79"/>
      <c r="T820" s="79">
        <v>170.23</v>
      </c>
      <c r="U820" s="79">
        <v>0</v>
      </c>
      <c r="V820" s="189">
        <v>170.23</v>
      </c>
      <c r="X820" s="79">
        <v>170.23</v>
      </c>
      <c r="Y820" s="79"/>
      <c r="Z820" s="79">
        <v>170.23</v>
      </c>
      <c r="AA820" s="255">
        <v>0</v>
      </c>
      <c r="AC820" s="254"/>
    </row>
    <row r="821" spans="1:29" ht="24">
      <c r="A821" s="67" t="s">
        <v>12059</v>
      </c>
      <c r="B821" s="65" t="s">
        <v>12060</v>
      </c>
      <c r="C821" s="71" t="s">
        <v>509</v>
      </c>
      <c r="D821" s="78">
        <v>1</v>
      </c>
      <c r="E821" s="79">
        <v>219.19</v>
      </c>
      <c r="F821" s="70">
        <v>219.19</v>
      </c>
      <c r="G821" s="320"/>
      <c r="H821" s="79">
        <v>219.19</v>
      </c>
      <c r="I821" s="79">
        <v>0</v>
      </c>
      <c r="J821" s="79">
        <v>219.19</v>
      </c>
      <c r="K821" s="79">
        <v>0</v>
      </c>
      <c r="L821" s="70">
        <v>219.19</v>
      </c>
      <c r="M821" s="132"/>
      <c r="N821" s="79">
        <v>219.19</v>
      </c>
      <c r="O821" s="79"/>
      <c r="P821" s="79">
        <v>219.19</v>
      </c>
      <c r="Q821" s="136"/>
      <c r="R821" s="79">
        <v>219.19</v>
      </c>
      <c r="S821" s="79"/>
      <c r="T821" s="79">
        <v>219.19</v>
      </c>
      <c r="U821" s="79">
        <v>0</v>
      </c>
      <c r="V821" s="189">
        <v>219.19</v>
      </c>
      <c r="X821" s="79">
        <v>219.19</v>
      </c>
      <c r="Y821" s="79"/>
      <c r="Z821" s="79">
        <v>219.19</v>
      </c>
      <c r="AA821" s="255">
        <v>0</v>
      </c>
      <c r="AC821" s="254"/>
    </row>
    <row r="822" spans="1:29" s="69" customFormat="1" ht="24">
      <c r="A822" s="67" t="s">
        <v>12061</v>
      </c>
      <c r="B822" s="65" t="s">
        <v>12062</v>
      </c>
      <c r="C822" s="71" t="s">
        <v>509</v>
      </c>
      <c r="D822" s="78">
        <v>1</v>
      </c>
      <c r="E822" s="79">
        <v>176.74</v>
      </c>
      <c r="F822" s="70">
        <v>176.74</v>
      </c>
      <c r="G822" s="320"/>
      <c r="H822" s="79">
        <v>176.74</v>
      </c>
      <c r="I822" s="79">
        <v>0</v>
      </c>
      <c r="J822" s="79">
        <v>176.74</v>
      </c>
      <c r="K822" s="79">
        <v>0</v>
      </c>
      <c r="L822" s="70">
        <v>176.74</v>
      </c>
      <c r="M822" s="132"/>
      <c r="N822" s="79">
        <v>176.74</v>
      </c>
      <c r="O822" s="79"/>
      <c r="P822" s="79">
        <v>176.74</v>
      </c>
      <c r="Q822" s="136"/>
      <c r="R822" s="79">
        <v>176.74</v>
      </c>
      <c r="S822" s="79"/>
      <c r="T822" s="79">
        <v>176.74</v>
      </c>
      <c r="U822" s="79">
        <v>0</v>
      </c>
      <c r="V822" s="189">
        <v>176.74</v>
      </c>
      <c r="W822" s="61"/>
      <c r="X822" s="79">
        <v>176.74</v>
      </c>
      <c r="Y822" s="79"/>
      <c r="Z822" s="79">
        <v>176.74</v>
      </c>
      <c r="AA822" s="255">
        <v>0</v>
      </c>
      <c r="AB822" s="61"/>
      <c r="AC822" s="254"/>
    </row>
    <row r="823" spans="1:29" s="69" customFormat="1" ht="24">
      <c r="A823" s="67" t="s">
        <v>12063</v>
      </c>
      <c r="B823" s="65" t="s">
        <v>12064</v>
      </c>
      <c r="C823" s="71" t="s">
        <v>509</v>
      </c>
      <c r="D823" s="78">
        <v>1</v>
      </c>
      <c r="E823" s="79">
        <v>258.08</v>
      </c>
      <c r="F823" s="70">
        <v>258.08</v>
      </c>
      <c r="G823" s="320"/>
      <c r="H823" s="79">
        <v>258.08</v>
      </c>
      <c r="I823" s="79">
        <v>0</v>
      </c>
      <c r="J823" s="79">
        <v>258.08</v>
      </c>
      <c r="K823" s="79">
        <v>0</v>
      </c>
      <c r="L823" s="70">
        <v>258.08</v>
      </c>
      <c r="M823" s="132"/>
      <c r="N823" s="79">
        <v>258.08</v>
      </c>
      <c r="O823" s="79"/>
      <c r="P823" s="79">
        <v>258.08</v>
      </c>
      <c r="Q823" s="136"/>
      <c r="R823" s="79">
        <v>258.08</v>
      </c>
      <c r="S823" s="79"/>
      <c r="T823" s="79">
        <v>258.08</v>
      </c>
      <c r="U823" s="79">
        <v>0</v>
      </c>
      <c r="V823" s="189">
        <v>258.08</v>
      </c>
      <c r="W823" s="61"/>
      <c r="X823" s="79">
        <v>258.08</v>
      </c>
      <c r="Y823" s="79"/>
      <c r="Z823" s="79">
        <v>258.08</v>
      </c>
      <c r="AA823" s="255">
        <v>0</v>
      </c>
      <c r="AB823" s="61"/>
      <c r="AC823" s="254"/>
    </row>
    <row r="824" spans="1:29" s="69" customFormat="1" ht="24">
      <c r="A824" s="67" t="s">
        <v>12065</v>
      </c>
      <c r="B824" s="65" t="s">
        <v>12066</v>
      </c>
      <c r="C824" s="71" t="s">
        <v>509</v>
      </c>
      <c r="D824" s="78">
        <v>1</v>
      </c>
      <c r="E824" s="79">
        <v>262.73</v>
      </c>
      <c r="F824" s="70">
        <v>262.73</v>
      </c>
      <c r="G824" s="320"/>
      <c r="H824" s="79">
        <v>262.73</v>
      </c>
      <c r="I824" s="79">
        <v>0</v>
      </c>
      <c r="J824" s="79">
        <v>262.73</v>
      </c>
      <c r="K824" s="79">
        <v>0</v>
      </c>
      <c r="L824" s="70">
        <v>262.73</v>
      </c>
      <c r="M824" s="132"/>
      <c r="N824" s="79">
        <v>262.73</v>
      </c>
      <c r="O824" s="79"/>
      <c r="P824" s="79">
        <v>262.73</v>
      </c>
      <c r="Q824" s="136"/>
      <c r="R824" s="79">
        <v>262.73</v>
      </c>
      <c r="S824" s="79"/>
      <c r="T824" s="79">
        <v>262.73</v>
      </c>
      <c r="U824" s="79">
        <v>0</v>
      </c>
      <c r="V824" s="189">
        <v>262.73</v>
      </c>
      <c r="W824" s="61"/>
      <c r="X824" s="79">
        <v>262.73</v>
      </c>
      <c r="Y824" s="79"/>
      <c r="Z824" s="79">
        <v>262.73</v>
      </c>
      <c r="AA824" s="255">
        <v>0</v>
      </c>
      <c r="AB824" s="61"/>
      <c r="AC824" s="254"/>
    </row>
    <row r="825" spans="1:29" ht="24">
      <c r="A825" s="67" t="s">
        <v>12067</v>
      </c>
      <c r="B825" s="65" t="s">
        <v>873</v>
      </c>
      <c r="C825" s="71" t="s">
        <v>509</v>
      </c>
      <c r="D825" s="78">
        <v>1</v>
      </c>
      <c r="E825" s="79">
        <v>1634.25</v>
      </c>
      <c r="F825" s="70">
        <v>1634.25</v>
      </c>
      <c r="G825" s="320"/>
      <c r="H825" s="79">
        <v>1634.25</v>
      </c>
      <c r="I825" s="79">
        <v>0</v>
      </c>
      <c r="J825" s="79">
        <v>1634.25</v>
      </c>
      <c r="K825" s="79">
        <v>0</v>
      </c>
      <c r="L825" s="70">
        <v>1634.25</v>
      </c>
      <c r="M825" s="132"/>
      <c r="N825" s="79">
        <v>1634.25</v>
      </c>
      <c r="O825" s="79"/>
      <c r="P825" s="79">
        <v>1634.25</v>
      </c>
      <c r="Q825" s="136"/>
      <c r="R825" s="79">
        <v>1634.25</v>
      </c>
      <c r="S825" s="79"/>
      <c r="T825" s="79">
        <v>1634.25</v>
      </c>
      <c r="U825" s="79">
        <v>0</v>
      </c>
      <c r="V825" s="189">
        <v>1634.25</v>
      </c>
      <c r="X825" s="79">
        <v>1634.25</v>
      </c>
      <c r="Y825" s="79"/>
      <c r="Z825" s="79">
        <v>1634.25</v>
      </c>
      <c r="AA825" s="255">
        <v>0</v>
      </c>
      <c r="AC825" s="254"/>
    </row>
    <row r="826" spans="1:29" ht="24">
      <c r="A826" s="67" t="s">
        <v>12068</v>
      </c>
      <c r="B826" s="65" t="s">
        <v>12069</v>
      </c>
      <c r="C826" s="71" t="s">
        <v>509</v>
      </c>
      <c r="D826" s="78">
        <v>1</v>
      </c>
      <c r="E826" s="79">
        <v>918.72</v>
      </c>
      <c r="F826" s="70">
        <v>918.72</v>
      </c>
      <c r="G826" s="320"/>
      <c r="H826" s="79">
        <v>918.72</v>
      </c>
      <c r="I826" s="79">
        <v>0</v>
      </c>
      <c r="J826" s="79">
        <v>918.72</v>
      </c>
      <c r="K826" s="79">
        <v>0</v>
      </c>
      <c r="L826" s="70">
        <v>918.72</v>
      </c>
      <c r="M826" s="132"/>
      <c r="N826" s="79">
        <v>918.72</v>
      </c>
      <c r="O826" s="79"/>
      <c r="P826" s="79">
        <v>918.72</v>
      </c>
      <c r="Q826" s="136"/>
      <c r="R826" s="79">
        <v>918.72</v>
      </c>
      <c r="S826" s="79"/>
      <c r="T826" s="79">
        <v>918.72</v>
      </c>
      <c r="U826" s="79">
        <v>0</v>
      </c>
      <c r="V826" s="189">
        <v>918.72</v>
      </c>
      <c r="X826" s="79">
        <v>918.72</v>
      </c>
      <c r="Y826" s="79"/>
      <c r="Z826" s="79">
        <v>918.72</v>
      </c>
      <c r="AA826" s="255">
        <v>0</v>
      </c>
      <c r="AC826" s="254"/>
    </row>
    <row r="827" spans="1:29" ht="24">
      <c r="A827" s="67" t="s">
        <v>12070</v>
      </c>
      <c r="B827" s="65" t="s">
        <v>12071</v>
      </c>
      <c r="C827" s="71" t="s">
        <v>509</v>
      </c>
      <c r="D827" s="78">
        <v>1</v>
      </c>
      <c r="E827" s="79">
        <v>1466.28</v>
      </c>
      <c r="F827" s="70">
        <v>1466.28</v>
      </c>
      <c r="G827" s="320"/>
      <c r="H827" s="79">
        <v>1466.28</v>
      </c>
      <c r="I827" s="79">
        <v>0</v>
      </c>
      <c r="J827" s="79">
        <v>1466.28</v>
      </c>
      <c r="K827" s="79">
        <v>0</v>
      </c>
      <c r="L827" s="70">
        <v>1466.28</v>
      </c>
      <c r="M827" s="132"/>
      <c r="N827" s="79">
        <v>1466.28</v>
      </c>
      <c r="O827" s="79"/>
      <c r="P827" s="79">
        <v>1466.28</v>
      </c>
      <c r="Q827" s="136"/>
      <c r="R827" s="79">
        <v>1466.28</v>
      </c>
      <c r="S827" s="79"/>
      <c r="T827" s="79">
        <v>1466.28</v>
      </c>
      <c r="U827" s="79">
        <v>0</v>
      </c>
      <c r="V827" s="189">
        <v>1466.28</v>
      </c>
      <c r="X827" s="79">
        <v>1466.28</v>
      </c>
      <c r="Y827" s="79"/>
      <c r="Z827" s="79">
        <v>1466.28</v>
      </c>
      <c r="AA827" s="255">
        <v>0</v>
      </c>
      <c r="AC827" s="254"/>
    </row>
    <row r="828" spans="1:29" ht="12">
      <c r="A828" s="67" t="s">
        <v>12072</v>
      </c>
      <c r="B828" s="65" t="s">
        <v>12073</v>
      </c>
      <c r="C828" s="71" t="s">
        <v>509</v>
      </c>
      <c r="D828" s="78">
        <v>1</v>
      </c>
      <c r="E828" s="79">
        <v>392.09000000000003</v>
      </c>
      <c r="F828" s="70">
        <v>392.09</v>
      </c>
      <c r="G828" s="320"/>
      <c r="H828" s="79">
        <v>310.75</v>
      </c>
      <c r="I828" s="79">
        <v>81.34</v>
      </c>
      <c r="J828" s="79">
        <v>392.09000000000003</v>
      </c>
      <c r="K828" s="79">
        <v>0</v>
      </c>
      <c r="L828" s="70">
        <v>392.09000000000003</v>
      </c>
      <c r="M828" s="132"/>
      <c r="N828" s="79">
        <v>310.75</v>
      </c>
      <c r="O828" s="79">
        <v>81.34</v>
      </c>
      <c r="P828" s="79">
        <v>392.09000000000003</v>
      </c>
      <c r="Q828" s="136"/>
      <c r="R828" s="79">
        <v>310.75</v>
      </c>
      <c r="S828" s="79">
        <v>81.349999999999994</v>
      </c>
      <c r="T828" s="79">
        <v>392.1</v>
      </c>
      <c r="U828" s="79">
        <v>0</v>
      </c>
      <c r="V828" s="189">
        <v>392.1</v>
      </c>
      <c r="X828" s="79">
        <v>310.75</v>
      </c>
      <c r="Y828" s="79">
        <v>81.349999999999994</v>
      </c>
      <c r="Z828" s="79">
        <v>392.1</v>
      </c>
      <c r="AA828" s="255">
        <v>-1.0000000000047748E-2</v>
      </c>
      <c r="AC828" s="254"/>
    </row>
    <row r="829" spans="1:29" ht="24">
      <c r="A829" s="67" t="s">
        <v>12074</v>
      </c>
      <c r="B829" s="65" t="s">
        <v>12075</v>
      </c>
      <c r="C829" s="71" t="s">
        <v>509</v>
      </c>
      <c r="D829" s="78">
        <v>1</v>
      </c>
      <c r="E829" s="79">
        <v>283.97000000000003</v>
      </c>
      <c r="F829" s="70">
        <v>283.97000000000003</v>
      </c>
      <c r="G829" s="320"/>
      <c r="H829" s="79">
        <v>283.97000000000003</v>
      </c>
      <c r="I829" s="79">
        <v>0</v>
      </c>
      <c r="J829" s="79">
        <v>283.97000000000003</v>
      </c>
      <c r="K829" s="79">
        <v>0</v>
      </c>
      <c r="L829" s="70">
        <v>283.97000000000003</v>
      </c>
      <c r="M829" s="132"/>
      <c r="N829" s="79">
        <v>283.97000000000003</v>
      </c>
      <c r="O829" s="79"/>
      <c r="P829" s="79">
        <v>283.97000000000003</v>
      </c>
      <c r="Q829" s="136"/>
      <c r="R829" s="79">
        <v>283.97000000000003</v>
      </c>
      <c r="S829" s="79"/>
      <c r="T829" s="79">
        <v>283.97000000000003</v>
      </c>
      <c r="U829" s="79">
        <v>0</v>
      </c>
      <c r="V829" s="189">
        <v>283.97000000000003</v>
      </c>
      <c r="X829" s="79">
        <v>283.97000000000003</v>
      </c>
      <c r="Y829" s="79"/>
      <c r="Z829" s="79">
        <v>283.97000000000003</v>
      </c>
      <c r="AA829" s="255">
        <v>0</v>
      </c>
      <c r="AC829" s="254"/>
    </row>
    <row r="830" spans="1:29" ht="24">
      <c r="A830" s="67" t="s">
        <v>12076</v>
      </c>
      <c r="B830" s="65" t="s">
        <v>12077</v>
      </c>
      <c r="C830" s="71" t="s">
        <v>509</v>
      </c>
      <c r="D830" s="78">
        <v>1</v>
      </c>
      <c r="E830" s="79">
        <v>286.08999999999997</v>
      </c>
      <c r="F830" s="70">
        <v>286.08999999999997</v>
      </c>
      <c r="G830" s="320"/>
      <c r="H830" s="79">
        <v>286.08999999999997</v>
      </c>
      <c r="I830" s="79">
        <v>0</v>
      </c>
      <c r="J830" s="79">
        <v>286.08999999999997</v>
      </c>
      <c r="K830" s="79">
        <v>0</v>
      </c>
      <c r="L830" s="70">
        <v>286.08999999999997</v>
      </c>
      <c r="M830" s="132"/>
      <c r="N830" s="79">
        <v>286.08999999999997</v>
      </c>
      <c r="O830" s="79"/>
      <c r="P830" s="79">
        <v>286.08999999999997</v>
      </c>
      <c r="Q830" s="136"/>
      <c r="R830" s="79">
        <v>286.08999999999997</v>
      </c>
      <c r="S830" s="79"/>
      <c r="T830" s="79">
        <v>286.08999999999997</v>
      </c>
      <c r="U830" s="79">
        <v>0</v>
      </c>
      <c r="V830" s="189">
        <v>286.08999999999997</v>
      </c>
      <c r="X830" s="79">
        <v>286.08999999999997</v>
      </c>
      <c r="Y830" s="79"/>
      <c r="Z830" s="79">
        <v>286.08999999999997</v>
      </c>
      <c r="AA830" s="255">
        <v>0</v>
      </c>
      <c r="AC830" s="254"/>
    </row>
    <row r="831" spans="1:29" ht="24">
      <c r="A831" s="67" t="s">
        <v>12078</v>
      </c>
      <c r="B831" s="65" t="s">
        <v>12079</v>
      </c>
      <c r="C831" s="71" t="s">
        <v>509</v>
      </c>
      <c r="D831" s="78">
        <v>1</v>
      </c>
      <c r="E831" s="79">
        <v>299.14999999999998</v>
      </c>
      <c r="F831" s="70">
        <v>299.14999999999998</v>
      </c>
      <c r="G831" s="320"/>
      <c r="H831" s="79">
        <v>299.14999999999998</v>
      </c>
      <c r="I831" s="79">
        <v>0</v>
      </c>
      <c r="J831" s="79">
        <v>299.14999999999998</v>
      </c>
      <c r="K831" s="79">
        <v>0</v>
      </c>
      <c r="L831" s="70">
        <v>299.14999999999998</v>
      </c>
      <c r="M831" s="132"/>
      <c r="N831" s="79">
        <v>299.14999999999998</v>
      </c>
      <c r="O831" s="79"/>
      <c r="P831" s="79">
        <v>299.14999999999998</v>
      </c>
      <c r="Q831" s="136"/>
      <c r="R831" s="79">
        <v>299.14999999999998</v>
      </c>
      <c r="S831" s="79"/>
      <c r="T831" s="79">
        <v>299.14999999999998</v>
      </c>
      <c r="U831" s="79">
        <v>0</v>
      </c>
      <c r="V831" s="189">
        <v>299.14999999999998</v>
      </c>
      <c r="X831" s="79">
        <v>299.14999999999998</v>
      </c>
      <c r="Y831" s="79"/>
      <c r="Z831" s="79">
        <v>299.14999999999998</v>
      </c>
      <c r="AA831" s="255">
        <v>0</v>
      </c>
      <c r="AC831" s="254"/>
    </row>
    <row r="832" spans="1:29" ht="24">
      <c r="A832" s="67" t="s">
        <v>12080</v>
      </c>
      <c r="B832" s="65" t="s">
        <v>12081</v>
      </c>
      <c r="C832" s="71" t="s">
        <v>509</v>
      </c>
      <c r="D832" s="78">
        <v>1</v>
      </c>
      <c r="E832" s="79">
        <v>260.77</v>
      </c>
      <c r="F832" s="70">
        <v>260.77</v>
      </c>
      <c r="G832" s="320"/>
      <c r="H832" s="79">
        <v>260.77</v>
      </c>
      <c r="I832" s="79">
        <v>0</v>
      </c>
      <c r="J832" s="79">
        <v>260.77</v>
      </c>
      <c r="K832" s="79">
        <v>0</v>
      </c>
      <c r="L832" s="70">
        <v>260.77</v>
      </c>
      <c r="M832" s="132"/>
      <c r="N832" s="79">
        <v>260.77</v>
      </c>
      <c r="O832" s="79"/>
      <c r="P832" s="79">
        <v>260.77</v>
      </c>
      <c r="Q832" s="136"/>
      <c r="R832" s="79">
        <v>260.77</v>
      </c>
      <c r="S832" s="79"/>
      <c r="T832" s="79">
        <v>260.77</v>
      </c>
      <c r="U832" s="79">
        <v>0</v>
      </c>
      <c r="V832" s="189">
        <v>260.77</v>
      </c>
      <c r="X832" s="79">
        <v>260.77</v>
      </c>
      <c r="Y832" s="79"/>
      <c r="Z832" s="79">
        <v>260.77</v>
      </c>
      <c r="AA832" s="255">
        <v>0</v>
      </c>
      <c r="AC832" s="254"/>
    </row>
    <row r="833" spans="1:29" ht="24">
      <c r="A833" s="67" t="s">
        <v>12082</v>
      </c>
      <c r="B833" s="65" t="s">
        <v>12083</v>
      </c>
      <c r="C833" s="71" t="s">
        <v>509</v>
      </c>
      <c r="D833" s="78">
        <v>1</v>
      </c>
      <c r="E833" s="79">
        <v>292.64</v>
      </c>
      <c r="F833" s="70">
        <v>292.64</v>
      </c>
      <c r="G833" s="320"/>
      <c r="H833" s="79">
        <v>292.64</v>
      </c>
      <c r="I833" s="79">
        <v>0</v>
      </c>
      <c r="J833" s="79">
        <v>292.64</v>
      </c>
      <c r="K833" s="79">
        <v>0</v>
      </c>
      <c r="L833" s="70">
        <v>292.64</v>
      </c>
      <c r="M833" s="132"/>
      <c r="N833" s="79">
        <v>292.64</v>
      </c>
      <c r="O833" s="79"/>
      <c r="P833" s="79">
        <v>292.64</v>
      </c>
      <c r="Q833" s="136"/>
      <c r="R833" s="79">
        <v>292.64</v>
      </c>
      <c r="S833" s="79"/>
      <c r="T833" s="79">
        <v>292.64</v>
      </c>
      <c r="U833" s="79">
        <v>0</v>
      </c>
      <c r="V833" s="189">
        <v>292.64</v>
      </c>
      <c r="X833" s="79">
        <v>292.64</v>
      </c>
      <c r="Y833" s="79"/>
      <c r="Z833" s="79">
        <v>292.64</v>
      </c>
      <c r="AA833" s="255">
        <v>0</v>
      </c>
      <c r="AC833" s="254"/>
    </row>
    <row r="834" spans="1:29" ht="24">
      <c r="A834" s="67" t="s">
        <v>12084</v>
      </c>
      <c r="B834" s="65" t="s">
        <v>12085</v>
      </c>
      <c r="C834" s="71" t="s">
        <v>509</v>
      </c>
      <c r="D834" s="78">
        <v>1</v>
      </c>
      <c r="E834" s="79">
        <v>255.19</v>
      </c>
      <c r="F834" s="70">
        <v>255.19</v>
      </c>
      <c r="G834" s="320"/>
      <c r="H834" s="79">
        <v>255.19</v>
      </c>
      <c r="I834" s="79">
        <v>0</v>
      </c>
      <c r="J834" s="79">
        <v>255.19</v>
      </c>
      <c r="K834" s="79">
        <v>0</v>
      </c>
      <c r="L834" s="70">
        <v>255.19</v>
      </c>
      <c r="M834" s="132"/>
      <c r="N834" s="79">
        <v>255.19</v>
      </c>
      <c r="O834" s="79"/>
      <c r="P834" s="79">
        <v>255.19</v>
      </c>
      <c r="Q834" s="136"/>
      <c r="R834" s="79">
        <v>255.19</v>
      </c>
      <c r="S834" s="79"/>
      <c r="T834" s="79">
        <v>255.19</v>
      </c>
      <c r="U834" s="79">
        <v>0</v>
      </c>
      <c r="V834" s="189">
        <v>255.19</v>
      </c>
      <c r="X834" s="79">
        <v>255.19</v>
      </c>
      <c r="Y834" s="79"/>
      <c r="Z834" s="79">
        <v>255.19</v>
      </c>
      <c r="AA834" s="255">
        <v>0</v>
      </c>
      <c r="AC834" s="254"/>
    </row>
    <row r="835" spans="1:29" ht="12">
      <c r="A835" s="489" t="s">
        <v>12086</v>
      </c>
      <c r="B835" s="490" t="s">
        <v>12087</v>
      </c>
      <c r="C835" s="491"/>
      <c r="D835" s="468"/>
      <c r="E835" s="467"/>
      <c r="F835" s="500"/>
      <c r="G835" s="320"/>
      <c r="H835" s="79"/>
      <c r="I835" s="79"/>
      <c r="J835" s="79"/>
      <c r="K835" s="79"/>
      <c r="L835" s="70"/>
      <c r="M835" s="132"/>
      <c r="N835" s="79"/>
      <c r="O835" s="79"/>
      <c r="P835" s="79"/>
      <c r="Q835" s="136"/>
      <c r="R835" s="79"/>
      <c r="S835" s="79"/>
      <c r="T835" s="79"/>
      <c r="U835" s="79"/>
      <c r="V835" s="189"/>
      <c r="W835" s="66"/>
      <c r="X835" s="79"/>
      <c r="Y835" s="79"/>
      <c r="Z835" s="79"/>
      <c r="AA835" s="255"/>
      <c r="AB835" s="66"/>
      <c r="AC835" s="254"/>
    </row>
    <row r="836" spans="1:29" ht="12">
      <c r="A836" s="67" t="s">
        <v>12088</v>
      </c>
      <c r="B836" s="65" t="s">
        <v>12089</v>
      </c>
      <c r="C836" s="71" t="s">
        <v>509</v>
      </c>
      <c r="D836" s="78">
        <v>1</v>
      </c>
      <c r="E836" s="79">
        <v>243.62</v>
      </c>
      <c r="F836" s="70">
        <v>243.62</v>
      </c>
      <c r="G836" s="320"/>
      <c r="H836" s="79">
        <v>98.440000000000012</v>
      </c>
      <c r="I836" s="79">
        <v>145.18</v>
      </c>
      <c r="J836" s="79">
        <v>243.62</v>
      </c>
      <c r="K836" s="79">
        <v>0</v>
      </c>
      <c r="L836" s="70">
        <v>243.62</v>
      </c>
      <c r="M836" s="132"/>
      <c r="N836" s="79">
        <v>98.440000000000012</v>
      </c>
      <c r="O836" s="79">
        <v>145.18</v>
      </c>
      <c r="P836" s="79">
        <v>243.62</v>
      </c>
      <c r="Q836" s="136"/>
      <c r="R836" s="79">
        <v>98.44</v>
      </c>
      <c r="S836" s="79">
        <v>145.18</v>
      </c>
      <c r="T836" s="79">
        <v>243.62</v>
      </c>
      <c r="U836" s="79">
        <v>0</v>
      </c>
      <c r="V836" s="189">
        <v>243.62</v>
      </c>
      <c r="X836" s="79">
        <v>98.44</v>
      </c>
      <c r="Y836" s="79">
        <v>145.18</v>
      </c>
      <c r="Z836" s="79">
        <v>243.62</v>
      </c>
      <c r="AA836" s="255">
        <v>0</v>
      </c>
      <c r="AC836" s="254"/>
    </row>
    <row r="837" spans="1:29" ht="12">
      <c r="A837" s="489" t="s">
        <v>12090</v>
      </c>
      <c r="B837" s="490" t="s">
        <v>12091</v>
      </c>
      <c r="C837" s="491"/>
      <c r="D837" s="492"/>
      <c r="E837" s="79"/>
      <c r="F837" s="63"/>
      <c r="G837" s="320"/>
      <c r="H837" s="79"/>
      <c r="I837" s="79"/>
      <c r="J837" s="79"/>
      <c r="K837" s="79"/>
      <c r="L837" s="70"/>
      <c r="M837" s="132"/>
      <c r="N837" s="79"/>
      <c r="O837" s="79"/>
      <c r="P837" s="79"/>
      <c r="Q837" s="136"/>
      <c r="R837" s="79"/>
      <c r="S837" s="79"/>
      <c r="T837" s="79"/>
      <c r="U837" s="79"/>
      <c r="V837" s="189"/>
      <c r="X837" s="79"/>
      <c r="Y837" s="79"/>
      <c r="Z837" s="79"/>
      <c r="AA837" s="255"/>
      <c r="AC837" s="254"/>
    </row>
    <row r="838" spans="1:29" ht="12">
      <c r="A838" s="67" t="s">
        <v>12092</v>
      </c>
      <c r="B838" s="65" t="s">
        <v>12093</v>
      </c>
      <c r="C838" s="71" t="s">
        <v>509</v>
      </c>
      <c r="D838" s="78">
        <v>1</v>
      </c>
      <c r="E838" s="79">
        <v>50.349999999999994</v>
      </c>
      <c r="F838" s="70">
        <v>50.35</v>
      </c>
      <c r="G838" s="320"/>
      <c r="H838" s="79">
        <v>0</v>
      </c>
      <c r="I838" s="79">
        <v>50.349999999999994</v>
      </c>
      <c r="J838" s="79">
        <v>50.349999999999994</v>
      </c>
      <c r="K838" s="79">
        <v>0</v>
      </c>
      <c r="L838" s="70">
        <v>50.349999999999994</v>
      </c>
      <c r="M838" s="132"/>
      <c r="N838" s="79"/>
      <c r="O838" s="79">
        <v>50.349999999999994</v>
      </c>
      <c r="P838" s="79">
        <v>50.349999999999994</v>
      </c>
      <c r="Q838" s="136"/>
      <c r="R838" s="79"/>
      <c r="S838" s="79">
        <v>50.35</v>
      </c>
      <c r="T838" s="79">
        <v>50.35</v>
      </c>
      <c r="U838" s="79">
        <v>0</v>
      </c>
      <c r="V838" s="189">
        <v>50.35</v>
      </c>
      <c r="X838" s="79"/>
      <c r="Y838" s="79">
        <v>50.35</v>
      </c>
      <c r="Z838" s="79">
        <v>50.35</v>
      </c>
      <c r="AA838" s="255">
        <v>0</v>
      </c>
      <c r="AC838" s="254"/>
    </row>
    <row r="839" spans="1:29" ht="12">
      <c r="A839" s="67" t="s">
        <v>12094</v>
      </c>
      <c r="B839" s="65" t="s">
        <v>12095</v>
      </c>
      <c r="C839" s="71" t="s">
        <v>103</v>
      </c>
      <c r="D839" s="78">
        <v>1</v>
      </c>
      <c r="E839" s="79">
        <v>8.8800000000000008</v>
      </c>
      <c r="F839" s="70">
        <v>8.8800000000000008</v>
      </c>
      <c r="G839" s="320"/>
      <c r="H839" s="79">
        <v>1.96</v>
      </c>
      <c r="I839" s="79">
        <v>6.92</v>
      </c>
      <c r="J839" s="79">
        <v>8.879999999999999</v>
      </c>
      <c r="K839" s="79">
        <v>0</v>
      </c>
      <c r="L839" s="70">
        <v>8.879999999999999</v>
      </c>
      <c r="M839" s="132"/>
      <c r="N839" s="79">
        <v>1.96</v>
      </c>
      <c r="O839" s="79">
        <v>6.92</v>
      </c>
      <c r="P839" s="79">
        <v>8.879999999999999</v>
      </c>
      <c r="Q839" s="136"/>
      <c r="R839" s="79">
        <v>1.96</v>
      </c>
      <c r="S839" s="79">
        <v>6.91</v>
      </c>
      <c r="T839" s="79">
        <v>8.870000000000001</v>
      </c>
      <c r="U839" s="79">
        <v>0</v>
      </c>
      <c r="V839" s="189">
        <v>8.870000000000001</v>
      </c>
      <c r="X839" s="79">
        <v>1.96</v>
      </c>
      <c r="Y839" s="79">
        <v>6.91</v>
      </c>
      <c r="Z839" s="79">
        <v>8.8699999999999992</v>
      </c>
      <c r="AA839" s="255">
        <v>1.0000000000001563E-2</v>
      </c>
      <c r="AC839" s="254"/>
    </row>
    <row r="840" spans="1:29" ht="12">
      <c r="A840" s="67" t="s">
        <v>12096</v>
      </c>
      <c r="B840" s="65" t="s">
        <v>12097</v>
      </c>
      <c r="C840" s="71" t="s">
        <v>103</v>
      </c>
      <c r="D840" s="78">
        <v>1</v>
      </c>
      <c r="E840" s="79">
        <v>9.0500000000000007</v>
      </c>
      <c r="F840" s="70">
        <v>9.0500000000000007</v>
      </c>
      <c r="G840" s="320"/>
      <c r="H840" s="79">
        <v>2.13</v>
      </c>
      <c r="I840" s="79">
        <v>6.92</v>
      </c>
      <c r="J840" s="79">
        <v>9.0500000000000007</v>
      </c>
      <c r="K840" s="79">
        <v>0</v>
      </c>
      <c r="L840" s="70">
        <v>9.0500000000000007</v>
      </c>
      <c r="M840" s="132"/>
      <c r="N840" s="79">
        <v>2.13</v>
      </c>
      <c r="O840" s="79">
        <v>6.92</v>
      </c>
      <c r="P840" s="79">
        <v>9.0500000000000007</v>
      </c>
      <c r="Q840" s="136"/>
      <c r="R840" s="79">
        <v>2.13</v>
      </c>
      <c r="S840" s="79">
        <v>6.91</v>
      </c>
      <c r="T840" s="79">
        <v>9.0399999999999991</v>
      </c>
      <c r="U840" s="79">
        <v>0</v>
      </c>
      <c r="V840" s="189">
        <v>9.0399999999999991</v>
      </c>
      <c r="X840" s="79">
        <v>2.13</v>
      </c>
      <c r="Y840" s="79">
        <v>6.91</v>
      </c>
      <c r="Z840" s="79">
        <v>9.0399999999999991</v>
      </c>
      <c r="AA840" s="255">
        <v>1.0000000000001563E-2</v>
      </c>
      <c r="AC840" s="254"/>
    </row>
    <row r="841" spans="1:29" ht="12">
      <c r="A841" s="67" t="s">
        <v>12098</v>
      </c>
      <c r="B841" s="65" t="s">
        <v>12099</v>
      </c>
      <c r="C841" s="71" t="s">
        <v>103</v>
      </c>
      <c r="D841" s="78">
        <v>1</v>
      </c>
      <c r="E841" s="79">
        <v>9.51</v>
      </c>
      <c r="F841" s="70">
        <v>9.51</v>
      </c>
      <c r="G841" s="320"/>
      <c r="H841" s="79">
        <v>2.59</v>
      </c>
      <c r="I841" s="79">
        <v>6.92</v>
      </c>
      <c r="J841" s="79">
        <v>9.51</v>
      </c>
      <c r="K841" s="79">
        <v>0</v>
      </c>
      <c r="L841" s="70">
        <v>9.51</v>
      </c>
      <c r="M841" s="132"/>
      <c r="N841" s="79">
        <v>2.59</v>
      </c>
      <c r="O841" s="79">
        <v>6.92</v>
      </c>
      <c r="P841" s="79">
        <v>9.51</v>
      </c>
      <c r="Q841" s="136"/>
      <c r="R841" s="79">
        <v>2.59</v>
      </c>
      <c r="S841" s="79">
        <v>6.91</v>
      </c>
      <c r="T841" s="79">
        <v>9.5</v>
      </c>
      <c r="U841" s="79">
        <v>0</v>
      </c>
      <c r="V841" s="189">
        <v>9.5</v>
      </c>
      <c r="X841" s="79">
        <v>2.59</v>
      </c>
      <c r="Y841" s="79">
        <v>6.91</v>
      </c>
      <c r="Z841" s="79">
        <v>9.5</v>
      </c>
      <c r="AA841" s="255">
        <v>9.9999999999997868E-3</v>
      </c>
      <c r="AC841" s="254"/>
    </row>
    <row r="842" spans="1:29" ht="12">
      <c r="A842" s="67" t="s">
        <v>12100</v>
      </c>
      <c r="B842" s="65" t="s">
        <v>12101</v>
      </c>
      <c r="C842" s="71" t="s">
        <v>103</v>
      </c>
      <c r="D842" s="78">
        <v>1</v>
      </c>
      <c r="E842" s="79">
        <v>9.67</v>
      </c>
      <c r="F842" s="70">
        <v>9.67</v>
      </c>
      <c r="G842" s="320"/>
      <c r="H842" s="79">
        <v>2.75</v>
      </c>
      <c r="I842" s="79">
        <v>6.92</v>
      </c>
      <c r="J842" s="79">
        <v>9.67</v>
      </c>
      <c r="K842" s="79">
        <v>0</v>
      </c>
      <c r="L842" s="70">
        <v>9.67</v>
      </c>
      <c r="M842" s="132"/>
      <c r="N842" s="79">
        <v>2.75</v>
      </c>
      <c r="O842" s="79">
        <v>6.92</v>
      </c>
      <c r="P842" s="79">
        <v>9.67</v>
      </c>
      <c r="Q842" s="136"/>
      <c r="R842" s="79">
        <v>2.75</v>
      </c>
      <c r="S842" s="79">
        <v>6.91</v>
      </c>
      <c r="T842" s="79">
        <v>9.66</v>
      </c>
      <c r="U842" s="79">
        <v>0</v>
      </c>
      <c r="V842" s="189">
        <v>9.66</v>
      </c>
      <c r="X842" s="79">
        <v>2.75</v>
      </c>
      <c r="Y842" s="79">
        <v>6.91</v>
      </c>
      <c r="Z842" s="79">
        <v>9.66</v>
      </c>
      <c r="AA842" s="255">
        <v>9.9999999999997868E-3</v>
      </c>
      <c r="AC842" s="254"/>
    </row>
    <row r="843" spans="1:29" ht="12">
      <c r="A843" s="67" t="s">
        <v>12102</v>
      </c>
      <c r="B843" s="65" t="s">
        <v>12103</v>
      </c>
      <c r="C843" s="71" t="s">
        <v>103</v>
      </c>
      <c r="D843" s="78">
        <v>1</v>
      </c>
      <c r="E843" s="79">
        <v>10.690000000000001</v>
      </c>
      <c r="F843" s="70">
        <v>10.69</v>
      </c>
      <c r="G843" s="320"/>
      <c r="H843" s="79">
        <v>3.77</v>
      </c>
      <c r="I843" s="79">
        <v>6.92</v>
      </c>
      <c r="J843" s="79">
        <v>10.69</v>
      </c>
      <c r="K843" s="79">
        <v>0</v>
      </c>
      <c r="L843" s="70">
        <v>10.69</v>
      </c>
      <c r="M843" s="132"/>
      <c r="N843" s="79">
        <v>3.77</v>
      </c>
      <c r="O843" s="79">
        <v>6.92</v>
      </c>
      <c r="P843" s="79">
        <v>10.69</v>
      </c>
      <c r="Q843" s="136"/>
      <c r="R843" s="79">
        <v>3.77</v>
      </c>
      <c r="S843" s="79">
        <v>6.91</v>
      </c>
      <c r="T843" s="79">
        <v>10.68</v>
      </c>
      <c r="U843" s="79">
        <v>0</v>
      </c>
      <c r="V843" s="189">
        <v>10.68</v>
      </c>
      <c r="X843" s="79">
        <v>3.77</v>
      </c>
      <c r="Y843" s="79">
        <v>6.91</v>
      </c>
      <c r="Z843" s="79">
        <v>10.68</v>
      </c>
      <c r="AA843" s="255">
        <v>9.9999999999997868E-3</v>
      </c>
      <c r="AC843" s="254"/>
    </row>
    <row r="844" spans="1:29" ht="12">
      <c r="A844" s="489" t="s">
        <v>12104</v>
      </c>
      <c r="B844" s="490" t="s">
        <v>12105</v>
      </c>
      <c r="C844" s="491"/>
      <c r="D844" s="492"/>
      <c r="E844" s="79"/>
      <c r="F844" s="63"/>
      <c r="G844" s="320"/>
      <c r="H844" s="79"/>
      <c r="I844" s="79"/>
      <c r="J844" s="79"/>
      <c r="K844" s="79"/>
      <c r="L844" s="70"/>
      <c r="M844" s="132"/>
      <c r="N844" s="79"/>
      <c r="O844" s="79"/>
      <c r="P844" s="79"/>
      <c r="Q844" s="136"/>
      <c r="R844" s="79"/>
      <c r="S844" s="79"/>
      <c r="T844" s="79"/>
      <c r="U844" s="79"/>
      <c r="V844" s="189"/>
      <c r="X844" s="79"/>
      <c r="Y844" s="79"/>
      <c r="Z844" s="79"/>
      <c r="AA844" s="255"/>
      <c r="AC844" s="254"/>
    </row>
    <row r="845" spans="1:29" ht="12">
      <c r="A845" s="489" t="s">
        <v>12106</v>
      </c>
      <c r="B845" s="490" t="s">
        <v>12107</v>
      </c>
      <c r="C845" s="491"/>
      <c r="D845" s="492"/>
      <c r="E845" s="79"/>
      <c r="F845" s="63"/>
      <c r="G845" s="320"/>
      <c r="H845" s="79"/>
      <c r="I845" s="79"/>
      <c r="J845" s="79"/>
      <c r="K845" s="79"/>
      <c r="L845" s="70"/>
      <c r="M845" s="132"/>
      <c r="N845" s="79"/>
      <c r="O845" s="79"/>
      <c r="P845" s="79"/>
      <c r="Q845" s="136"/>
      <c r="R845" s="79"/>
      <c r="S845" s="79"/>
      <c r="T845" s="79"/>
      <c r="U845" s="79"/>
      <c r="V845" s="189"/>
      <c r="X845" s="79"/>
      <c r="Y845" s="79"/>
      <c r="Z845" s="79"/>
      <c r="AA845" s="255"/>
      <c r="AC845" s="254"/>
    </row>
    <row r="846" spans="1:29" ht="12">
      <c r="A846" s="67" t="s">
        <v>12108</v>
      </c>
      <c r="B846" s="65" t="s">
        <v>12109</v>
      </c>
      <c r="C846" s="71" t="s">
        <v>509</v>
      </c>
      <c r="D846" s="78">
        <v>1</v>
      </c>
      <c r="E846" s="79">
        <v>176.76</v>
      </c>
      <c r="F846" s="70">
        <v>176.76</v>
      </c>
      <c r="G846" s="320"/>
      <c r="H846" s="79">
        <v>113.81</v>
      </c>
      <c r="I846" s="79">
        <v>62.949999999999996</v>
      </c>
      <c r="J846" s="79">
        <v>176.76</v>
      </c>
      <c r="K846" s="79">
        <v>0</v>
      </c>
      <c r="L846" s="70">
        <v>176.76</v>
      </c>
      <c r="M846" s="132"/>
      <c r="N846" s="79">
        <v>113.81</v>
      </c>
      <c r="O846" s="79">
        <v>62.949999999999996</v>
      </c>
      <c r="P846" s="79">
        <v>176.76</v>
      </c>
      <c r="Q846" s="136"/>
      <c r="R846" s="79">
        <v>113.81</v>
      </c>
      <c r="S846" s="79">
        <v>62.94</v>
      </c>
      <c r="T846" s="79">
        <v>176.75</v>
      </c>
      <c r="U846" s="79">
        <v>0</v>
      </c>
      <c r="V846" s="189">
        <v>176.75</v>
      </c>
      <c r="X846" s="79">
        <v>113.81</v>
      </c>
      <c r="Y846" s="79">
        <v>62.94</v>
      </c>
      <c r="Z846" s="79">
        <v>176.75</v>
      </c>
      <c r="AA846" s="255">
        <v>9.9999999999909051E-3</v>
      </c>
      <c r="AC846" s="254"/>
    </row>
    <row r="847" spans="1:29" ht="12">
      <c r="A847" s="67" t="s">
        <v>12110</v>
      </c>
      <c r="B847" s="65" t="s">
        <v>12111</v>
      </c>
      <c r="C847" s="71" t="s">
        <v>509</v>
      </c>
      <c r="D847" s="78">
        <v>1</v>
      </c>
      <c r="E847" s="79">
        <v>187.54</v>
      </c>
      <c r="F847" s="70">
        <v>187.54</v>
      </c>
      <c r="G847" s="320"/>
      <c r="H847" s="79">
        <v>122.08</v>
      </c>
      <c r="I847" s="79">
        <v>65.460000000000008</v>
      </c>
      <c r="J847" s="79">
        <v>187.54000000000002</v>
      </c>
      <c r="K847" s="79">
        <v>0</v>
      </c>
      <c r="L847" s="70">
        <v>187.54000000000002</v>
      </c>
      <c r="M847" s="132"/>
      <c r="N847" s="79">
        <v>122.08</v>
      </c>
      <c r="O847" s="79">
        <v>65.460000000000008</v>
      </c>
      <c r="P847" s="79">
        <v>187.54000000000002</v>
      </c>
      <c r="Q847" s="136"/>
      <c r="R847" s="79">
        <v>122.08</v>
      </c>
      <c r="S847" s="79">
        <v>65.45</v>
      </c>
      <c r="T847" s="79">
        <v>187.53</v>
      </c>
      <c r="U847" s="79">
        <v>0</v>
      </c>
      <c r="V847" s="189">
        <v>187.53</v>
      </c>
      <c r="X847" s="79">
        <v>122.08</v>
      </c>
      <c r="Y847" s="79">
        <v>65.45</v>
      </c>
      <c r="Z847" s="79">
        <v>187.53</v>
      </c>
      <c r="AA847" s="255">
        <v>9.9999999999909051E-3</v>
      </c>
      <c r="AC847" s="254"/>
    </row>
    <row r="848" spans="1:29" ht="12">
      <c r="A848" s="67" t="s">
        <v>12112</v>
      </c>
      <c r="B848" s="65" t="s">
        <v>12113</v>
      </c>
      <c r="C848" s="71" t="s">
        <v>509</v>
      </c>
      <c r="D848" s="78">
        <v>1</v>
      </c>
      <c r="E848" s="79">
        <v>198.31</v>
      </c>
      <c r="F848" s="70">
        <v>198.31</v>
      </c>
      <c r="G848" s="320"/>
      <c r="H848" s="79">
        <v>130.34</v>
      </c>
      <c r="I848" s="79">
        <v>67.97</v>
      </c>
      <c r="J848" s="79">
        <v>198.31</v>
      </c>
      <c r="K848" s="79">
        <v>0</v>
      </c>
      <c r="L848" s="70">
        <v>198.31</v>
      </c>
      <c r="M848" s="132"/>
      <c r="N848" s="79">
        <v>130.34</v>
      </c>
      <c r="O848" s="79">
        <v>67.97</v>
      </c>
      <c r="P848" s="79">
        <v>198.31</v>
      </c>
      <c r="Q848" s="136"/>
      <c r="R848" s="79">
        <v>130.34</v>
      </c>
      <c r="S848" s="79">
        <v>67.97</v>
      </c>
      <c r="T848" s="79">
        <v>198.31</v>
      </c>
      <c r="U848" s="79">
        <v>0</v>
      </c>
      <c r="V848" s="189">
        <v>198.31</v>
      </c>
      <c r="X848" s="79">
        <v>130.34</v>
      </c>
      <c r="Y848" s="79">
        <v>67.97</v>
      </c>
      <c r="Z848" s="79">
        <v>198.31</v>
      </c>
      <c r="AA848" s="255">
        <v>0</v>
      </c>
      <c r="AC848" s="254"/>
    </row>
    <row r="849" spans="1:29" ht="12">
      <c r="A849" s="67" t="s">
        <v>12114</v>
      </c>
      <c r="B849" s="65" t="s">
        <v>12115</v>
      </c>
      <c r="C849" s="71" t="s">
        <v>509</v>
      </c>
      <c r="D849" s="78">
        <v>1</v>
      </c>
      <c r="E849" s="79">
        <v>215.95</v>
      </c>
      <c r="F849" s="70">
        <v>215.95</v>
      </c>
      <c r="G849" s="320"/>
      <c r="H849" s="79">
        <v>142.94</v>
      </c>
      <c r="I849" s="79">
        <v>73.010000000000005</v>
      </c>
      <c r="J849" s="79">
        <v>215.95</v>
      </c>
      <c r="K849" s="79">
        <v>0</v>
      </c>
      <c r="L849" s="70">
        <v>215.95</v>
      </c>
      <c r="M849" s="132"/>
      <c r="N849" s="79">
        <v>142.94</v>
      </c>
      <c r="O849" s="79">
        <v>73.010000000000005</v>
      </c>
      <c r="P849" s="79">
        <v>215.95</v>
      </c>
      <c r="Q849" s="136"/>
      <c r="R849" s="79">
        <v>142.94</v>
      </c>
      <c r="S849" s="79">
        <v>73.010000000000005</v>
      </c>
      <c r="T849" s="79">
        <v>215.95</v>
      </c>
      <c r="U849" s="79">
        <v>0</v>
      </c>
      <c r="V849" s="189">
        <v>215.95</v>
      </c>
      <c r="X849" s="79">
        <v>142.94</v>
      </c>
      <c r="Y849" s="79">
        <v>73.010000000000005</v>
      </c>
      <c r="Z849" s="79">
        <v>215.95</v>
      </c>
      <c r="AA849" s="255">
        <v>0</v>
      </c>
      <c r="AC849" s="254"/>
    </row>
    <row r="850" spans="1:29" ht="12">
      <c r="A850" s="67" t="s">
        <v>12116</v>
      </c>
      <c r="B850" s="65" t="s">
        <v>12117</v>
      </c>
      <c r="C850" s="71" t="s">
        <v>509</v>
      </c>
      <c r="D850" s="78">
        <v>1</v>
      </c>
      <c r="E850" s="79">
        <v>125.99</v>
      </c>
      <c r="F850" s="70">
        <v>125.99</v>
      </c>
      <c r="G850" s="320"/>
      <c r="H850" s="79">
        <v>78.179999999999993</v>
      </c>
      <c r="I850" s="79">
        <v>47.81</v>
      </c>
      <c r="J850" s="79">
        <v>125.99</v>
      </c>
      <c r="K850" s="79">
        <v>0</v>
      </c>
      <c r="L850" s="70">
        <v>125.99</v>
      </c>
      <c r="M850" s="132"/>
      <c r="N850" s="79">
        <v>78.179999999999993</v>
      </c>
      <c r="O850" s="79">
        <v>47.81</v>
      </c>
      <c r="P850" s="79">
        <v>125.99</v>
      </c>
      <c r="Q850" s="136"/>
      <c r="R850" s="79">
        <v>78.180000000000007</v>
      </c>
      <c r="S850" s="79">
        <v>47.83</v>
      </c>
      <c r="T850" s="79">
        <v>126.01</v>
      </c>
      <c r="U850" s="79">
        <v>0</v>
      </c>
      <c r="V850" s="189">
        <v>126.01</v>
      </c>
      <c r="X850" s="79">
        <v>78.180000000000007</v>
      </c>
      <c r="Y850" s="79">
        <v>47.83</v>
      </c>
      <c r="Z850" s="79">
        <v>126.01</v>
      </c>
      <c r="AA850" s="255">
        <v>-2.0000000000010232E-2</v>
      </c>
      <c r="AC850" s="254"/>
    </row>
    <row r="851" spans="1:29" ht="12">
      <c r="A851" s="67" t="s">
        <v>12118</v>
      </c>
      <c r="B851" s="65" t="s">
        <v>12119</v>
      </c>
      <c r="C851" s="71" t="s">
        <v>509</v>
      </c>
      <c r="D851" s="78">
        <v>1</v>
      </c>
      <c r="E851" s="79">
        <v>136.79</v>
      </c>
      <c r="F851" s="70">
        <v>136.79</v>
      </c>
      <c r="G851" s="320"/>
      <c r="H851" s="79">
        <v>86.44</v>
      </c>
      <c r="I851" s="79">
        <v>50.349999999999994</v>
      </c>
      <c r="J851" s="79">
        <v>136.79</v>
      </c>
      <c r="K851" s="79">
        <v>0</v>
      </c>
      <c r="L851" s="70">
        <v>136.79</v>
      </c>
      <c r="M851" s="132"/>
      <c r="N851" s="79">
        <v>86.44</v>
      </c>
      <c r="O851" s="79">
        <v>50.349999999999994</v>
      </c>
      <c r="P851" s="79">
        <v>136.79</v>
      </c>
      <c r="Q851" s="136"/>
      <c r="R851" s="79">
        <v>86.44</v>
      </c>
      <c r="S851" s="79">
        <v>50.35</v>
      </c>
      <c r="T851" s="79">
        <v>136.79</v>
      </c>
      <c r="U851" s="79">
        <v>0</v>
      </c>
      <c r="V851" s="189">
        <v>136.79</v>
      </c>
      <c r="X851" s="79">
        <v>86.44</v>
      </c>
      <c r="Y851" s="79">
        <v>50.35</v>
      </c>
      <c r="Z851" s="79">
        <v>136.79</v>
      </c>
      <c r="AA851" s="255">
        <v>0</v>
      </c>
      <c r="AC851" s="254"/>
    </row>
    <row r="852" spans="1:29" ht="12">
      <c r="A852" s="67" t="s">
        <v>12120</v>
      </c>
      <c r="B852" s="65" t="s">
        <v>12121</v>
      </c>
      <c r="C852" s="71" t="s">
        <v>509</v>
      </c>
      <c r="D852" s="78">
        <v>1</v>
      </c>
      <c r="E852" s="79">
        <v>147.59</v>
      </c>
      <c r="F852" s="70">
        <v>147.59</v>
      </c>
      <c r="G852" s="320"/>
      <c r="H852" s="79">
        <v>94.71</v>
      </c>
      <c r="I852" s="79">
        <v>52.88</v>
      </c>
      <c r="J852" s="79">
        <v>147.59</v>
      </c>
      <c r="K852" s="79">
        <v>0</v>
      </c>
      <c r="L852" s="70">
        <v>147.59</v>
      </c>
      <c r="M852" s="132"/>
      <c r="N852" s="79">
        <v>94.71</v>
      </c>
      <c r="O852" s="79">
        <v>52.88</v>
      </c>
      <c r="P852" s="79">
        <v>147.59</v>
      </c>
      <c r="Q852" s="136"/>
      <c r="R852" s="79">
        <v>94.71</v>
      </c>
      <c r="S852" s="79">
        <v>52.87</v>
      </c>
      <c r="T852" s="79">
        <v>147.57999999999998</v>
      </c>
      <c r="U852" s="79">
        <v>0</v>
      </c>
      <c r="V852" s="189">
        <v>147.57999999999998</v>
      </c>
      <c r="X852" s="79">
        <v>94.71</v>
      </c>
      <c r="Y852" s="79">
        <v>52.87</v>
      </c>
      <c r="Z852" s="79">
        <v>147.58000000000001</v>
      </c>
      <c r="AA852" s="255">
        <v>9.9999999999909051E-3</v>
      </c>
      <c r="AC852" s="254"/>
    </row>
    <row r="853" spans="1:29" ht="12">
      <c r="A853" s="67" t="s">
        <v>12122</v>
      </c>
      <c r="B853" s="65" t="s">
        <v>12123</v>
      </c>
      <c r="C853" s="71" t="s">
        <v>509</v>
      </c>
      <c r="D853" s="78">
        <v>1</v>
      </c>
      <c r="E853" s="79">
        <v>161.26</v>
      </c>
      <c r="F853" s="70">
        <v>161.26</v>
      </c>
      <c r="G853" s="320"/>
      <c r="H853" s="79">
        <v>103.36000000000001</v>
      </c>
      <c r="I853" s="79">
        <v>57.9</v>
      </c>
      <c r="J853" s="79">
        <v>161.26000000000002</v>
      </c>
      <c r="K853" s="79">
        <v>0</v>
      </c>
      <c r="L853" s="70">
        <v>161.26000000000002</v>
      </c>
      <c r="M853" s="132"/>
      <c r="N853" s="79">
        <v>103.36000000000001</v>
      </c>
      <c r="O853" s="79">
        <v>57.9</v>
      </c>
      <c r="P853" s="79">
        <v>161.26000000000002</v>
      </c>
      <c r="Q853" s="136"/>
      <c r="R853" s="79">
        <v>103.36</v>
      </c>
      <c r="S853" s="79">
        <v>57.91</v>
      </c>
      <c r="T853" s="79">
        <v>161.26999999999998</v>
      </c>
      <c r="U853" s="79">
        <v>0</v>
      </c>
      <c r="V853" s="189">
        <v>161.26999999999998</v>
      </c>
      <c r="X853" s="79">
        <v>103.36</v>
      </c>
      <c r="Y853" s="79">
        <v>57.91</v>
      </c>
      <c r="Z853" s="79">
        <v>161.27000000000001</v>
      </c>
      <c r="AA853" s="255">
        <v>-1.0000000000019327E-2</v>
      </c>
      <c r="AC853" s="254"/>
    </row>
    <row r="854" spans="1:29" ht="12">
      <c r="A854" s="67" t="s">
        <v>12124</v>
      </c>
      <c r="B854" s="65" t="s">
        <v>12125</v>
      </c>
      <c r="C854" s="71" t="s">
        <v>509</v>
      </c>
      <c r="D854" s="78">
        <v>1</v>
      </c>
      <c r="E854" s="79">
        <v>145.47999999999999</v>
      </c>
      <c r="F854" s="70">
        <v>145.47999999999999</v>
      </c>
      <c r="G854" s="320"/>
      <c r="H854" s="79">
        <v>85.07</v>
      </c>
      <c r="I854" s="79">
        <v>60.41</v>
      </c>
      <c r="J854" s="79">
        <v>145.47999999999999</v>
      </c>
      <c r="K854" s="79">
        <v>0</v>
      </c>
      <c r="L854" s="70">
        <v>145.47999999999999</v>
      </c>
      <c r="M854" s="132"/>
      <c r="N854" s="79">
        <v>85.07</v>
      </c>
      <c r="O854" s="79">
        <v>60.41</v>
      </c>
      <c r="P854" s="79">
        <v>145.47999999999999</v>
      </c>
      <c r="Q854" s="136"/>
      <c r="R854" s="79">
        <v>85.07</v>
      </c>
      <c r="S854" s="79">
        <v>60.42</v>
      </c>
      <c r="T854" s="79">
        <v>145.49</v>
      </c>
      <c r="U854" s="79">
        <v>0</v>
      </c>
      <c r="V854" s="189">
        <v>145.49</v>
      </c>
      <c r="X854" s="79">
        <v>85.07</v>
      </c>
      <c r="Y854" s="79">
        <v>60.42</v>
      </c>
      <c r="Z854" s="79">
        <v>145.49</v>
      </c>
      <c r="AA854" s="255">
        <v>-1.0000000000019327E-2</v>
      </c>
      <c r="AC854" s="254"/>
    </row>
    <row r="855" spans="1:29" ht="12">
      <c r="A855" s="67" t="s">
        <v>12126</v>
      </c>
      <c r="B855" s="65" t="s">
        <v>12127</v>
      </c>
      <c r="C855" s="71" t="s">
        <v>509</v>
      </c>
      <c r="D855" s="78">
        <v>1</v>
      </c>
      <c r="E855" s="79">
        <v>109.52</v>
      </c>
      <c r="F855" s="70">
        <v>109.52</v>
      </c>
      <c r="G855" s="320"/>
      <c r="H855" s="79">
        <v>64.19</v>
      </c>
      <c r="I855" s="79">
        <v>45.33</v>
      </c>
      <c r="J855" s="79">
        <v>109.52</v>
      </c>
      <c r="K855" s="79">
        <v>0</v>
      </c>
      <c r="L855" s="70">
        <v>109.52</v>
      </c>
      <c r="M855" s="132"/>
      <c r="N855" s="79">
        <v>64.19</v>
      </c>
      <c r="O855" s="79">
        <v>45.33</v>
      </c>
      <c r="P855" s="79">
        <v>109.52</v>
      </c>
      <c r="Q855" s="136"/>
      <c r="R855" s="79">
        <v>64.19</v>
      </c>
      <c r="S855" s="79">
        <v>45.32</v>
      </c>
      <c r="T855" s="79">
        <v>109.50999999999999</v>
      </c>
      <c r="U855" s="79">
        <v>0</v>
      </c>
      <c r="V855" s="189">
        <v>109.50999999999999</v>
      </c>
      <c r="X855" s="79">
        <v>64.19</v>
      </c>
      <c r="Y855" s="79">
        <v>45.32</v>
      </c>
      <c r="Z855" s="79">
        <v>109.51</v>
      </c>
      <c r="AA855" s="255">
        <v>9.9999999999909051E-3</v>
      </c>
      <c r="AC855" s="254"/>
    </row>
    <row r="856" spans="1:29" ht="12">
      <c r="A856" s="67" t="s">
        <v>12128</v>
      </c>
      <c r="B856" s="65" t="s">
        <v>12129</v>
      </c>
      <c r="C856" s="71" t="s">
        <v>509</v>
      </c>
      <c r="D856" s="78">
        <v>1</v>
      </c>
      <c r="E856" s="79">
        <v>112.07000000000001</v>
      </c>
      <c r="F856" s="70">
        <v>112.07</v>
      </c>
      <c r="G856" s="320"/>
      <c r="H856" s="79">
        <v>79.34</v>
      </c>
      <c r="I856" s="79">
        <v>32.730000000000004</v>
      </c>
      <c r="J856" s="79">
        <v>112.07000000000001</v>
      </c>
      <c r="K856" s="79">
        <v>0</v>
      </c>
      <c r="L856" s="70">
        <v>112.07000000000001</v>
      </c>
      <c r="M856" s="132"/>
      <c r="N856" s="79">
        <v>79.34</v>
      </c>
      <c r="O856" s="79">
        <v>32.730000000000004</v>
      </c>
      <c r="P856" s="79">
        <v>112.07000000000001</v>
      </c>
      <c r="Q856" s="136"/>
      <c r="R856" s="79">
        <v>79.34</v>
      </c>
      <c r="S856" s="79">
        <v>32.729999999999997</v>
      </c>
      <c r="T856" s="79">
        <v>112.07</v>
      </c>
      <c r="U856" s="79">
        <v>0</v>
      </c>
      <c r="V856" s="189">
        <v>112.07</v>
      </c>
      <c r="X856" s="79">
        <v>79.34</v>
      </c>
      <c r="Y856" s="79">
        <v>32.729999999999997</v>
      </c>
      <c r="Z856" s="79">
        <v>112.07</v>
      </c>
      <c r="AA856" s="255">
        <v>0</v>
      </c>
      <c r="AC856" s="254"/>
    </row>
    <row r="857" spans="1:29" ht="12">
      <c r="A857" s="67" t="s">
        <v>12130</v>
      </c>
      <c r="B857" s="65" t="s">
        <v>12131</v>
      </c>
      <c r="C857" s="71" t="s">
        <v>509</v>
      </c>
      <c r="D857" s="78">
        <v>1</v>
      </c>
      <c r="E857" s="79">
        <v>30.57</v>
      </c>
      <c r="F857" s="70">
        <v>30.57</v>
      </c>
      <c r="G857" s="320"/>
      <c r="H857" s="79">
        <v>24.13</v>
      </c>
      <c r="I857" s="79">
        <v>6.44</v>
      </c>
      <c r="J857" s="79">
        <v>30.57</v>
      </c>
      <c r="K857" s="79">
        <v>0</v>
      </c>
      <c r="L857" s="70">
        <v>30.57</v>
      </c>
      <c r="M857" s="132"/>
      <c r="N857" s="79">
        <v>24.13</v>
      </c>
      <c r="O857" s="79">
        <v>6.44</v>
      </c>
      <c r="P857" s="79">
        <v>30.57</v>
      </c>
      <c r="Q857" s="136"/>
      <c r="R857" s="79">
        <v>24.13</v>
      </c>
      <c r="S857" s="79">
        <v>6.42</v>
      </c>
      <c r="T857" s="79">
        <v>30.549999999999997</v>
      </c>
      <c r="U857" s="79">
        <v>0</v>
      </c>
      <c r="V857" s="189">
        <v>30.549999999999997</v>
      </c>
      <c r="X857" s="79">
        <v>24.13</v>
      </c>
      <c r="Y857" s="79">
        <v>6.42</v>
      </c>
      <c r="Z857" s="79">
        <v>30.55</v>
      </c>
      <c r="AA857" s="255">
        <v>1.9999999999999574E-2</v>
      </c>
      <c r="AC857" s="254"/>
    </row>
    <row r="858" spans="1:29" ht="12">
      <c r="A858" s="67" t="s">
        <v>12132</v>
      </c>
      <c r="B858" s="65" t="s">
        <v>12133</v>
      </c>
      <c r="C858" s="71" t="s">
        <v>509</v>
      </c>
      <c r="D858" s="78">
        <v>1</v>
      </c>
      <c r="E858" s="79">
        <v>21.51</v>
      </c>
      <c r="F858" s="70">
        <v>21.51</v>
      </c>
      <c r="G858" s="320"/>
      <c r="H858" s="79">
        <v>15.07</v>
      </c>
      <c r="I858" s="79">
        <v>6.44</v>
      </c>
      <c r="J858" s="79">
        <v>21.51</v>
      </c>
      <c r="K858" s="79">
        <v>0</v>
      </c>
      <c r="L858" s="70">
        <v>21.51</v>
      </c>
      <c r="M858" s="132"/>
      <c r="N858" s="79">
        <v>15.07</v>
      </c>
      <c r="O858" s="79">
        <v>6.44</v>
      </c>
      <c r="P858" s="79">
        <v>21.51</v>
      </c>
      <c r="Q858" s="136"/>
      <c r="R858" s="79">
        <v>15.07</v>
      </c>
      <c r="S858" s="79">
        <v>6.42</v>
      </c>
      <c r="T858" s="79">
        <v>21.490000000000002</v>
      </c>
      <c r="U858" s="79">
        <v>0</v>
      </c>
      <c r="V858" s="189">
        <v>21.490000000000002</v>
      </c>
      <c r="X858" s="79">
        <v>15.07</v>
      </c>
      <c r="Y858" s="79">
        <v>6.42</v>
      </c>
      <c r="Z858" s="79">
        <v>21.49</v>
      </c>
      <c r="AA858" s="255">
        <v>2.0000000000003126E-2</v>
      </c>
      <c r="AC858" s="254"/>
    </row>
    <row r="859" spans="1:29" ht="12">
      <c r="A859" s="489" t="s">
        <v>12134</v>
      </c>
      <c r="B859" s="490" t="s">
        <v>12135</v>
      </c>
      <c r="C859" s="491"/>
      <c r="D859" s="492"/>
      <c r="E859" s="79"/>
      <c r="F859" s="63"/>
      <c r="G859" s="320"/>
      <c r="H859" s="79"/>
      <c r="I859" s="79"/>
      <c r="J859" s="79"/>
      <c r="K859" s="79"/>
      <c r="L859" s="70"/>
      <c r="M859" s="132"/>
      <c r="N859" s="79"/>
      <c r="O859" s="79"/>
      <c r="P859" s="79"/>
      <c r="Q859" s="136"/>
      <c r="R859" s="79"/>
      <c r="S859" s="79"/>
      <c r="T859" s="79"/>
      <c r="U859" s="79"/>
      <c r="V859" s="189"/>
      <c r="X859" s="79"/>
      <c r="Y859" s="79"/>
      <c r="Z859" s="79"/>
      <c r="AA859" s="255"/>
      <c r="AC859" s="254"/>
    </row>
    <row r="860" spans="1:29" ht="12">
      <c r="A860" s="67" t="s">
        <v>12136</v>
      </c>
      <c r="B860" s="65" t="s">
        <v>12137</v>
      </c>
      <c r="C860" s="71" t="s">
        <v>207</v>
      </c>
      <c r="D860" s="78">
        <v>1</v>
      </c>
      <c r="E860" s="79">
        <v>29.12</v>
      </c>
      <c r="F860" s="70">
        <v>29.12</v>
      </c>
      <c r="G860" s="320"/>
      <c r="H860" s="79">
        <v>29.12</v>
      </c>
      <c r="I860" s="79">
        <v>0</v>
      </c>
      <c r="J860" s="79">
        <v>29.12</v>
      </c>
      <c r="K860" s="79">
        <v>0</v>
      </c>
      <c r="L860" s="70">
        <v>29.12</v>
      </c>
      <c r="M860" s="132"/>
      <c r="N860" s="79">
        <v>29.12</v>
      </c>
      <c r="O860" s="79"/>
      <c r="P860" s="79">
        <v>29.12</v>
      </c>
      <c r="Q860" s="136"/>
      <c r="R860" s="79">
        <v>29.12</v>
      </c>
      <c r="S860" s="79"/>
      <c r="T860" s="79">
        <v>29.12</v>
      </c>
      <c r="U860" s="79">
        <v>0</v>
      </c>
      <c r="V860" s="189">
        <v>29.12</v>
      </c>
      <c r="X860" s="79">
        <v>29.12</v>
      </c>
      <c r="Y860" s="79"/>
      <c r="Z860" s="79">
        <v>29.12</v>
      </c>
      <c r="AA860" s="255">
        <v>0</v>
      </c>
      <c r="AC860" s="254"/>
    </row>
    <row r="861" spans="1:29" s="69" customFormat="1" ht="12">
      <c r="A861" s="67" t="s">
        <v>12138</v>
      </c>
      <c r="B861" s="65" t="s">
        <v>12139</v>
      </c>
      <c r="C861" s="71" t="s">
        <v>207</v>
      </c>
      <c r="D861" s="78">
        <v>1</v>
      </c>
      <c r="E861" s="79">
        <v>6.46</v>
      </c>
      <c r="F861" s="70">
        <v>6.46</v>
      </c>
      <c r="G861" s="320"/>
      <c r="H861" s="79">
        <v>0</v>
      </c>
      <c r="I861" s="79">
        <v>6.46</v>
      </c>
      <c r="J861" s="79">
        <v>6.46</v>
      </c>
      <c r="K861" s="79">
        <v>0</v>
      </c>
      <c r="L861" s="70">
        <v>6.46</v>
      </c>
      <c r="M861" s="132"/>
      <c r="N861" s="79"/>
      <c r="O861" s="79">
        <v>6.46</v>
      </c>
      <c r="P861" s="79">
        <v>6.46</v>
      </c>
      <c r="Q861" s="136"/>
      <c r="R861" s="79"/>
      <c r="S861" s="79">
        <v>6.47</v>
      </c>
      <c r="T861" s="79">
        <v>6.47</v>
      </c>
      <c r="U861" s="79">
        <v>0</v>
      </c>
      <c r="V861" s="189">
        <v>6.47</v>
      </c>
      <c r="W861" s="61"/>
      <c r="X861" s="79"/>
      <c r="Y861" s="79">
        <v>6.47</v>
      </c>
      <c r="Z861" s="79">
        <v>6.47</v>
      </c>
      <c r="AA861" s="255">
        <v>-9.9999999999997868E-3</v>
      </c>
      <c r="AB861" s="61"/>
      <c r="AC861" s="254"/>
    </row>
    <row r="862" spans="1:29" s="69" customFormat="1" ht="12">
      <c r="A862" s="67" t="s">
        <v>12140</v>
      </c>
      <c r="B862" s="65" t="s">
        <v>12141</v>
      </c>
      <c r="C862" s="71" t="s">
        <v>207</v>
      </c>
      <c r="D862" s="78">
        <v>1</v>
      </c>
      <c r="E862" s="79">
        <v>30</v>
      </c>
      <c r="F862" s="70">
        <v>30</v>
      </c>
      <c r="G862" s="320"/>
      <c r="H862" s="79">
        <v>30</v>
      </c>
      <c r="I862" s="79">
        <v>0</v>
      </c>
      <c r="J862" s="79">
        <v>30</v>
      </c>
      <c r="K862" s="79">
        <v>0</v>
      </c>
      <c r="L862" s="70">
        <v>30</v>
      </c>
      <c r="M862" s="132"/>
      <c r="N862" s="79">
        <v>30</v>
      </c>
      <c r="O862" s="79"/>
      <c r="P862" s="79">
        <v>30</v>
      </c>
      <c r="Q862" s="136"/>
      <c r="R862" s="79">
        <v>30</v>
      </c>
      <c r="S862" s="79"/>
      <c r="T862" s="79">
        <v>30</v>
      </c>
      <c r="U862" s="79">
        <v>0</v>
      </c>
      <c r="V862" s="189">
        <v>30</v>
      </c>
      <c r="W862" s="61"/>
      <c r="X862" s="79">
        <v>30</v>
      </c>
      <c r="Y862" s="79"/>
      <c r="Z862" s="79">
        <v>30</v>
      </c>
      <c r="AA862" s="255">
        <v>0</v>
      </c>
      <c r="AB862" s="61"/>
      <c r="AC862" s="254"/>
    </row>
    <row r="863" spans="1:29" ht="12">
      <c r="A863" s="67" t="s">
        <v>12142</v>
      </c>
      <c r="B863" s="65" t="s">
        <v>950</v>
      </c>
      <c r="C863" s="71" t="s">
        <v>207</v>
      </c>
      <c r="D863" s="78">
        <v>1</v>
      </c>
      <c r="E863" s="79">
        <v>30.92</v>
      </c>
      <c r="F863" s="70">
        <v>30.92</v>
      </c>
      <c r="G863" s="320"/>
      <c r="H863" s="79">
        <v>30.92</v>
      </c>
      <c r="I863" s="79">
        <v>0</v>
      </c>
      <c r="J863" s="79">
        <v>30.92</v>
      </c>
      <c r="K863" s="79">
        <v>0</v>
      </c>
      <c r="L863" s="70">
        <v>30.92</v>
      </c>
      <c r="M863" s="132"/>
      <c r="N863" s="79">
        <v>30.92</v>
      </c>
      <c r="O863" s="79"/>
      <c r="P863" s="79">
        <v>30.92</v>
      </c>
      <c r="Q863" s="136"/>
      <c r="R863" s="79">
        <v>30.92</v>
      </c>
      <c r="S863" s="79"/>
      <c r="T863" s="79">
        <v>30.92</v>
      </c>
      <c r="U863" s="79">
        <v>0</v>
      </c>
      <c r="V863" s="189">
        <v>30.92</v>
      </c>
      <c r="X863" s="79">
        <v>30.92</v>
      </c>
      <c r="Y863" s="79"/>
      <c r="Z863" s="79">
        <v>30.92</v>
      </c>
      <c r="AA863" s="255">
        <v>0</v>
      </c>
      <c r="AC863" s="254"/>
    </row>
    <row r="864" spans="1:29" ht="12">
      <c r="A864" s="67" t="s">
        <v>12143</v>
      </c>
      <c r="B864" s="65" t="s">
        <v>952</v>
      </c>
      <c r="C864" s="71" t="s">
        <v>207</v>
      </c>
      <c r="D864" s="78">
        <v>1</v>
      </c>
      <c r="E864" s="79">
        <v>33.15</v>
      </c>
      <c r="F864" s="70">
        <v>33.15</v>
      </c>
      <c r="G864" s="320"/>
      <c r="H864" s="79">
        <v>33.15</v>
      </c>
      <c r="I864" s="79">
        <v>0</v>
      </c>
      <c r="J864" s="79">
        <v>33.15</v>
      </c>
      <c r="K864" s="79">
        <v>0</v>
      </c>
      <c r="L864" s="70">
        <v>33.15</v>
      </c>
      <c r="M864" s="132"/>
      <c r="N864" s="79">
        <v>33.15</v>
      </c>
      <c r="O864" s="79"/>
      <c r="P864" s="79">
        <v>33.15</v>
      </c>
      <c r="Q864" s="136"/>
      <c r="R864" s="79">
        <v>33.15</v>
      </c>
      <c r="S864" s="79"/>
      <c r="T864" s="79">
        <v>33.15</v>
      </c>
      <c r="U864" s="79">
        <v>0</v>
      </c>
      <c r="V864" s="189">
        <v>33.15</v>
      </c>
      <c r="X864" s="79">
        <v>33.15</v>
      </c>
      <c r="Y864" s="79"/>
      <c r="Z864" s="79">
        <v>33.15</v>
      </c>
      <c r="AA864" s="255">
        <v>0</v>
      </c>
      <c r="AC864" s="254"/>
    </row>
    <row r="865" spans="1:29" ht="12">
      <c r="A865" s="67" t="s">
        <v>12144</v>
      </c>
      <c r="B865" s="65" t="s">
        <v>12145</v>
      </c>
      <c r="C865" s="71" t="s">
        <v>207</v>
      </c>
      <c r="D865" s="78">
        <v>1</v>
      </c>
      <c r="E865" s="79">
        <v>16.97</v>
      </c>
      <c r="F865" s="70">
        <v>16.97</v>
      </c>
      <c r="G865" s="320"/>
      <c r="H865" s="79">
        <v>10.51</v>
      </c>
      <c r="I865" s="79">
        <v>6.46</v>
      </c>
      <c r="J865" s="79">
        <v>16.97</v>
      </c>
      <c r="K865" s="79">
        <v>0</v>
      </c>
      <c r="L865" s="70">
        <v>16.97</v>
      </c>
      <c r="M865" s="132"/>
      <c r="N865" s="79">
        <v>10.51</v>
      </c>
      <c r="O865" s="79">
        <v>6.46</v>
      </c>
      <c r="P865" s="79">
        <v>16.97</v>
      </c>
      <c r="Q865" s="136"/>
      <c r="R865" s="79">
        <v>10.51</v>
      </c>
      <c r="S865" s="79">
        <v>6.47</v>
      </c>
      <c r="T865" s="79">
        <v>16.98</v>
      </c>
      <c r="U865" s="79">
        <v>0</v>
      </c>
      <c r="V865" s="189">
        <v>16.98</v>
      </c>
      <c r="X865" s="79">
        <v>10.51</v>
      </c>
      <c r="Y865" s="79">
        <v>6.47</v>
      </c>
      <c r="Z865" s="79">
        <v>16.98</v>
      </c>
      <c r="AA865" s="255">
        <v>-1.0000000000001563E-2</v>
      </c>
      <c r="AC865" s="254"/>
    </row>
    <row r="866" spans="1:29" ht="12">
      <c r="A866" s="489" t="s">
        <v>12146</v>
      </c>
      <c r="B866" s="490" t="s">
        <v>12147</v>
      </c>
      <c r="C866" s="491"/>
      <c r="D866" s="492"/>
      <c r="E866" s="79"/>
      <c r="F866" s="63"/>
      <c r="G866" s="320"/>
      <c r="H866" s="79"/>
      <c r="I866" s="79"/>
      <c r="J866" s="79"/>
      <c r="K866" s="79"/>
      <c r="L866" s="70"/>
      <c r="M866" s="132"/>
      <c r="N866" s="79"/>
      <c r="O866" s="79"/>
      <c r="P866" s="79"/>
      <c r="Q866" s="136"/>
      <c r="R866" s="79"/>
      <c r="S866" s="79"/>
      <c r="T866" s="79"/>
      <c r="U866" s="79"/>
      <c r="V866" s="189"/>
      <c r="X866" s="79"/>
      <c r="Y866" s="79"/>
      <c r="Z866" s="79"/>
      <c r="AA866" s="255"/>
      <c r="AC866" s="254"/>
    </row>
    <row r="867" spans="1:29" ht="12">
      <c r="A867" s="67" t="s">
        <v>12148</v>
      </c>
      <c r="B867" s="65" t="s">
        <v>12149</v>
      </c>
      <c r="C867" s="71" t="s">
        <v>121</v>
      </c>
      <c r="D867" s="78">
        <v>1</v>
      </c>
      <c r="E867" s="79">
        <v>3469.3299999999995</v>
      </c>
      <c r="F867" s="70">
        <v>3469.33</v>
      </c>
      <c r="G867" s="320"/>
      <c r="H867" s="79">
        <v>2500.52</v>
      </c>
      <c r="I867" s="79">
        <v>968.81000000000006</v>
      </c>
      <c r="J867" s="79">
        <v>3469.33</v>
      </c>
      <c r="K867" s="79">
        <v>0</v>
      </c>
      <c r="L867" s="70">
        <v>3469.33</v>
      </c>
      <c r="M867" s="132"/>
      <c r="N867" s="79">
        <v>2500.52</v>
      </c>
      <c r="O867" s="79">
        <v>968.81000000000006</v>
      </c>
      <c r="P867" s="79">
        <v>3469.33</v>
      </c>
      <c r="Q867" s="136"/>
      <c r="R867" s="79">
        <v>2500.52</v>
      </c>
      <c r="S867" s="79">
        <v>968.87</v>
      </c>
      <c r="T867" s="79">
        <v>3469.39</v>
      </c>
      <c r="U867" s="79">
        <v>0</v>
      </c>
      <c r="V867" s="189">
        <v>3469.39</v>
      </c>
      <c r="X867" s="79">
        <v>2500.52</v>
      </c>
      <c r="Y867" s="79">
        <v>968.87</v>
      </c>
      <c r="Z867" s="79">
        <v>3469.39</v>
      </c>
      <c r="AA867" s="255">
        <v>-5.999999999994543E-2</v>
      </c>
      <c r="AC867" s="254"/>
    </row>
    <row r="868" spans="1:29" ht="12">
      <c r="A868" s="67" t="s">
        <v>12150</v>
      </c>
      <c r="B868" s="65" t="s">
        <v>12151</v>
      </c>
      <c r="C868" s="71" t="s">
        <v>121</v>
      </c>
      <c r="D868" s="78">
        <v>1</v>
      </c>
      <c r="E868" s="79">
        <v>3487.19</v>
      </c>
      <c r="F868" s="70">
        <v>3487.19</v>
      </c>
      <c r="G868" s="320"/>
      <c r="H868" s="79">
        <v>2418.27</v>
      </c>
      <c r="I868" s="79">
        <v>1068.92</v>
      </c>
      <c r="J868" s="79">
        <v>3487.19</v>
      </c>
      <c r="K868" s="79">
        <v>0</v>
      </c>
      <c r="L868" s="70">
        <v>3487.19</v>
      </c>
      <c r="M868" s="132"/>
      <c r="N868" s="79">
        <v>2418.27</v>
      </c>
      <c r="O868" s="79">
        <v>1068.92</v>
      </c>
      <c r="P868" s="79">
        <v>3487.19</v>
      </c>
      <c r="Q868" s="136"/>
      <c r="R868" s="79">
        <v>2418.27</v>
      </c>
      <c r="S868" s="79">
        <v>1068.96</v>
      </c>
      <c r="T868" s="79">
        <v>3487.23</v>
      </c>
      <c r="U868" s="79">
        <v>0</v>
      </c>
      <c r="V868" s="189">
        <v>3487.23</v>
      </c>
      <c r="X868" s="79">
        <v>2418.27</v>
      </c>
      <c r="Y868" s="79">
        <v>1068.96</v>
      </c>
      <c r="Z868" s="79">
        <v>3487.23</v>
      </c>
      <c r="AA868" s="255">
        <v>-3.999999999996362E-2</v>
      </c>
      <c r="AC868" s="254"/>
    </row>
    <row r="869" spans="1:29" ht="12">
      <c r="A869" s="67" t="s">
        <v>12152</v>
      </c>
      <c r="B869" s="65" t="s">
        <v>12153</v>
      </c>
      <c r="C869" s="71" t="s">
        <v>121</v>
      </c>
      <c r="D869" s="78">
        <v>1</v>
      </c>
      <c r="E869" s="79">
        <v>3153.4300000000003</v>
      </c>
      <c r="F869" s="70">
        <v>3153.43</v>
      </c>
      <c r="G869" s="320"/>
      <c r="H869" s="79">
        <v>2232.3600000000006</v>
      </c>
      <c r="I869" s="79">
        <v>921.07</v>
      </c>
      <c r="J869" s="79">
        <v>3153.4300000000007</v>
      </c>
      <c r="K869" s="79">
        <v>0</v>
      </c>
      <c r="L869" s="70">
        <v>3153.4300000000007</v>
      </c>
      <c r="M869" s="132"/>
      <c r="N869" s="79">
        <v>2232.3600000000006</v>
      </c>
      <c r="O869" s="79">
        <v>921.07</v>
      </c>
      <c r="P869" s="79">
        <v>3153.4300000000007</v>
      </c>
      <c r="Q869" s="136"/>
      <c r="R869" s="79">
        <v>2232.36</v>
      </c>
      <c r="S869" s="79">
        <v>921.14</v>
      </c>
      <c r="T869" s="79">
        <v>3153.5</v>
      </c>
      <c r="U869" s="79">
        <v>0</v>
      </c>
      <c r="V869" s="189">
        <v>3153.5</v>
      </c>
      <c r="X869" s="79">
        <v>2232.36</v>
      </c>
      <c r="Y869" s="79">
        <v>921.14</v>
      </c>
      <c r="Z869" s="79">
        <v>3153.5</v>
      </c>
      <c r="AA869" s="255">
        <v>-7.0000000000163709E-2</v>
      </c>
      <c r="AC869" s="254"/>
    </row>
    <row r="870" spans="1:29" ht="12">
      <c r="A870" s="67" t="s">
        <v>12154</v>
      </c>
      <c r="B870" s="65" t="s">
        <v>12155</v>
      </c>
      <c r="C870" s="71" t="s">
        <v>121</v>
      </c>
      <c r="D870" s="78">
        <v>1</v>
      </c>
      <c r="E870" s="79">
        <v>2870.8399999999997</v>
      </c>
      <c r="F870" s="70">
        <v>2870.84</v>
      </c>
      <c r="G870" s="320"/>
      <c r="H870" s="79">
        <v>1959.0800000000004</v>
      </c>
      <c r="I870" s="79">
        <v>911.76</v>
      </c>
      <c r="J870" s="79">
        <v>2870.84</v>
      </c>
      <c r="K870" s="79">
        <v>0</v>
      </c>
      <c r="L870" s="70">
        <v>2870.84</v>
      </c>
      <c r="M870" s="132"/>
      <c r="N870" s="79">
        <v>1959.0800000000004</v>
      </c>
      <c r="O870" s="79">
        <v>911.76</v>
      </c>
      <c r="P870" s="79">
        <v>2870.84</v>
      </c>
      <c r="Q870" s="136"/>
      <c r="R870" s="79">
        <v>1959.08</v>
      </c>
      <c r="S870" s="79">
        <v>911.83</v>
      </c>
      <c r="T870" s="79">
        <v>2870.91</v>
      </c>
      <c r="U870" s="79">
        <v>0</v>
      </c>
      <c r="V870" s="189">
        <v>2870.91</v>
      </c>
      <c r="X870" s="79">
        <v>1959.08</v>
      </c>
      <c r="Y870" s="79">
        <v>911.83</v>
      </c>
      <c r="Z870" s="79">
        <v>2870.91</v>
      </c>
      <c r="AA870" s="255">
        <v>-6.9999999999708962E-2</v>
      </c>
      <c r="AC870" s="254"/>
    </row>
    <row r="871" spans="1:29" ht="12">
      <c r="A871" s="67" t="s">
        <v>12156</v>
      </c>
      <c r="B871" s="65" t="s">
        <v>12157</v>
      </c>
      <c r="C871" s="71" t="s">
        <v>121</v>
      </c>
      <c r="D871" s="78">
        <v>1</v>
      </c>
      <c r="E871" s="79">
        <v>3179.6099999999997</v>
      </c>
      <c r="F871" s="70">
        <v>3179.61</v>
      </c>
      <c r="G871" s="320"/>
      <c r="H871" s="79">
        <v>2202.67</v>
      </c>
      <c r="I871" s="79">
        <v>976.94</v>
      </c>
      <c r="J871" s="79">
        <v>3179.61</v>
      </c>
      <c r="K871" s="79">
        <v>0</v>
      </c>
      <c r="L871" s="70">
        <v>3179.61</v>
      </c>
      <c r="M871" s="132"/>
      <c r="N871" s="79">
        <v>2202.67</v>
      </c>
      <c r="O871" s="79">
        <v>976.94</v>
      </c>
      <c r="P871" s="79">
        <v>3179.61</v>
      </c>
      <c r="Q871" s="136"/>
      <c r="R871" s="79">
        <v>2202.67</v>
      </c>
      <c r="S871" s="79">
        <v>977</v>
      </c>
      <c r="T871" s="79">
        <v>3179.67</v>
      </c>
      <c r="U871" s="79">
        <v>0</v>
      </c>
      <c r="V871" s="189">
        <v>3179.67</v>
      </c>
      <c r="X871" s="79">
        <v>2202.67</v>
      </c>
      <c r="Y871" s="79">
        <v>977</v>
      </c>
      <c r="Z871" s="79">
        <v>3179.67</v>
      </c>
      <c r="AA871" s="255">
        <v>-5.999999999994543E-2</v>
      </c>
      <c r="AC871" s="254"/>
    </row>
    <row r="872" spans="1:29" ht="12">
      <c r="A872" s="489" t="s">
        <v>12158</v>
      </c>
      <c r="B872" s="490" t="s">
        <v>12159</v>
      </c>
      <c r="C872" s="491"/>
      <c r="D872" s="492"/>
      <c r="E872" s="79"/>
      <c r="F872" s="63"/>
      <c r="G872" s="320"/>
      <c r="H872" s="79"/>
      <c r="I872" s="79"/>
      <c r="J872" s="79"/>
      <c r="K872" s="79"/>
      <c r="L872" s="70"/>
      <c r="M872" s="132"/>
      <c r="N872" s="79"/>
      <c r="O872" s="79"/>
      <c r="P872" s="79"/>
      <c r="Q872" s="136"/>
      <c r="R872" s="79"/>
      <c r="S872" s="79"/>
      <c r="T872" s="79"/>
      <c r="U872" s="79"/>
      <c r="V872" s="189"/>
      <c r="X872" s="79"/>
      <c r="Y872" s="79"/>
      <c r="Z872" s="79"/>
      <c r="AA872" s="255"/>
      <c r="AC872" s="254"/>
    </row>
    <row r="873" spans="1:29" ht="12">
      <c r="A873" s="67" t="s">
        <v>12160</v>
      </c>
      <c r="B873" s="65" t="s">
        <v>12161</v>
      </c>
      <c r="C873" s="71" t="s">
        <v>121</v>
      </c>
      <c r="D873" s="78">
        <v>1</v>
      </c>
      <c r="E873" s="79">
        <v>5477.6699999999992</v>
      </c>
      <c r="F873" s="70">
        <v>5477.67</v>
      </c>
      <c r="G873" s="320"/>
      <c r="H873" s="79">
        <v>3967.24</v>
      </c>
      <c r="I873" s="79">
        <v>1510.4299999999998</v>
      </c>
      <c r="J873" s="79">
        <v>5477.67</v>
      </c>
      <c r="K873" s="79">
        <v>0</v>
      </c>
      <c r="L873" s="70">
        <v>5477.67</v>
      </c>
      <c r="M873" s="132"/>
      <c r="N873" s="79">
        <v>3967.24</v>
      </c>
      <c r="O873" s="79">
        <v>1510.4299999999998</v>
      </c>
      <c r="P873" s="79">
        <v>5477.67</v>
      </c>
      <c r="Q873" s="136"/>
      <c r="R873" s="79">
        <v>3967.24</v>
      </c>
      <c r="S873" s="79">
        <v>1510.5</v>
      </c>
      <c r="T873" s="79">
        <v>5477.74</v>
      </c>
      <c r="U873" s="79">
        <v>0</v>
      </c>
      <c r="V873" s="189">
        <v>5477.74</v>
      </c>
      <c r="X873" s="79">
        <v>3967.24</v>
      </c>
      <c r="Y873" s="79">
        <v>1510.5</v>
      </c>
      <c r="Z873" s="79">
        <v>5477.74</v>
      </c>
      <c r="AA873" s="255">
        <v>-6.9999999999708962E-2</v>
      </c>
      <c r="AC873" s="254"/>
    </row>
    <row r="874" spans="1:29" ht="12">
      <c r="A874" s="67" t="s">
        <v>12162</v>
      </c>
      <c r="B874" s="65" t="s">
        <v>12163</v>
      </c>
      <c r="C874" s="71" t="s">
        <v>165</v>
      </c>
      <c r="D874" s="78">
        <v>1</v>
      </c>
      <c r="E874" s="79">
        <v>7.1499999999999995</v>
      </c>
      <c r="F874" s="70">
        <v>7.15</v>
      </c>
      <c r="G874" s="320"/>
      <c r="H874" s="79">
        <v>0.1</v>
      </c>
      <c r="I874" s="79">
        <v>7.05</v>
      </c>
      <c r="J874" s="79">
        <v>7.1499999999999995</v>
      </c>
      <c r="K874" s="79">
        <v>0</v>
      </c>
      <c r="L874" s="70">
        <v>7.1499999999999995</v>
      </c>
      <c r="M874" s="132"/>
      <c r="N874" s="79">
        <v>0.1</v>
      </c>
      <c r="O874" s="79">
        <v>7.05</v>
      </c>
      <c r="P874" s="79">
        <v>7.1499999999999995</v>
      </c>
      <c r="Q874" s="136"/>
      <c r="R874" s="79">
        <v>0.1</v>
      </c>
      <c r="S874" s="79">
        <v>7.05</v>
      </c>
      <c r="T874" s="79">
        <v>7.1499999999999995</v>
      </c>
      <c r="U874" s="79">
        <v>0</v>
      </c>
      <c r="V874" s="189">
        <v>7.1499999999999995</v>
      </c>
      <c r="X874" s="79">
        <v>0.1</v>
      </c>
      <c r="Y874" s="79">
        <v>7.05</v>
      </c>
      <c r="Z874" s="79">
        <v>7.15</v>
      </c>
      <c r="AA874" s="255">
        <v>0</v>
      </c>
      <c r="AC874" s="254"/>
    </row>
    <row r="875" spans="1:29" ht="12">
      <c r="A875" s="67" t="s">
        <v>12164</v>
      </c>
      <c r="B875" s="65" t="s">
        <v>12165</v>
      </c>
      <c r="C875" s="71" t="s">
        <v>165</v>
      </c>
      <c r="D875" s="78">
        <v>1</v>
      </c>
      <c r="E875" s="79">
        <v>18.87</v>
      </c>
      <c r="F875" s="70">
        <v>18.87</v>
      </c>
      <c r="G875" s="320"/>
      <c r="H875" s="79">
        <v>0.25</v>
      </c>
      <c r="I875" s="79">
        <v>18.62</v>
      </c>
      <c r="J875" s="79">
        <v>18.87</v>
      </c>
      <c r="K875" s="79">
        <v>0</v>
      </c>
      <c r="L875" s="70">
        <v>18.87</v>
      </c>
      <c r="M875" s="132"/>
      <c r="N875" s="79">
        <v>0.25</v>
      </c>
      <c r="O875" s="79">
        <v>18.62</v>
      </c>
      <c r="P875" s="79">
        <v>18.87</v>
      </c>
      <c r="Q875" s="136"/>
      <c r="R875" s="79">
        <v>0.25</v>
      </c>
      <c r="S875" s="79">
        <v>18.63</v>
      </c>
      <c r="T875" s="79">
        <v>18.88</v>
      </c>
      <c r="U875" s="79">
        <v>0</v>
      </c>
      <c r="V875" s="189">
        <v>18.88</v>
      </c>
      <c r="X875" s="79">
        <v>0.25</v>
      </c>
      <c r="Y875" s="79">
        <v>18.63</v>
      </c>
      <c r="Z875" s="79">
        <v>18.88</v>
      </c>
      <c r="AA875" s="255">
        <v>-9.9999999999980105E-3</v>
      </c>
      <c r="AC875" s="254"/>
    </row>
    <row r="876" spans="1:29" ht="12">
      <c r="A876" s="489" t="s">
        <v>12166</v>
      </c>
      <c r="B876" s="490" t="s">
        <v>12167</v>
      </c>
      <c r="C876" s="491"/>
      <c r="D876" s="492"/>
      <c r="E876" s="79"/>
      <c r="F876" s="63"/>
      <c r="G876" s="320"/>
      <c r="H876" s="79"/>
      <c r="I876" s="79"/>
      <c r="J876" s="79"/>
      <c r="K876" s="79"/>
      <c r="L876" s="70"/>
      <c r="M876" s="132"/>
      <c r="N876" s="79"/>
      <c r="O876" s="79"/>
      <c r="P876" s="79"/>
      <c r="Q876" s="136"/>
      <c r="R876" s="79"/>
      <c r="S876" s="79"/>
      <c r="T876" s="79"/>
      <c r="U876" s="79"/>
      <c r="V876" s="189"/>
      <c r="X876" s="79"/>
      <c r="Y876" s="79"/>
      <c r="Z876" s="79"/>
      <c r="AA876" s="255"/>
      <c r="AC876" s="254"/>
    </row>
    <row r="877" spans="1:29" ht="12">
      <c r="A877" s="489" t="s">
        <v>12168</v>
      </c>
      <c r="B877" s="490" t="s">
        <v>12169</v>
      </c>
      <c r="C877" s="491"/>
      <c r="D877" s="492"/>
      <c r="E877" s="79"/>
      <c r="F877" s="63"/>
      <c r="G877" s="320"/>
      <c r="H877" s="79"/>
      <c r="I877" s="79"/>
      <c r="J877" s="79"/>
      <c r="K877" s="79"/>
      <c r="L877" s="70"/>
      <c r="M877" s="132"/>
      <c r="N877" s="79"/>
      <c r="O877" s="79"/>
      <c r="P877" s="79"/>
      <c r="Q877" s="136"/>
      <c r="R877" s="79"/>
      <c r="S877" s="79"/>
      <c r="T877" s="79"/>
      <c r="U877" s="79"/>
      <c r="V877" s="189"/>
      <c r="X877" s="79"/>
      <c r="Y877" s="79"/>
      <c r="Z877" s="79"/>
      <c r="AA877" s="255"/>
      <c r="AC877" s="254"/>
    </row>
    <row r="878" spans="1:29" ht="12">
      <c r="A878" s="67" t="s">
        <v>12170</v>
      </c>
      <c r="B878" s="65" t="s">
        <v>1310</v>
      </c>
      <c r="C878" s="71" t="s">
        <v>509</v>
      </c>
      <c r="D878" s="78">
        <v>1</v>
      </c>
      <c r="E878" s="79">
        <v>92.06</v>
      </c>
      <c r="F878" s="70">
        <v>92.06</v>
      </c>
      <c r="G878" s="320"/>
      <c r="H878" s="79">
        <v>55.52</v>
      </c>
      <c r="I878" s="79">
        <v>36.54</v>
      </c>
      <c r="J878" s="79">
        <v>92.06</v>
      </c>
      <c r="K878" s="79">
        <v>0</v>
      </c>
      <c r="L878" s="70">
        <v>92.06</v>
      </c>
      <c r="M878" s="132"/>
      <c r="N878" s="79">
        <v>55.52</v>
      </c>
      <c r="O878" s="79">
        <v>36.54</v>
      </c>
      <c r="P878" s="79">
        <v>92.06</v>
      </c>
      <c r="Q878" s="136"/>
      <c r="R878" s="79">
        <v>55.52</v>
      </c>
      <c r="S878" s="79">
        <v>36.53</v>
      </c>
      <c r="T878" s="79">
        <v>92.050000000000011</v>
      </c>
      <c r="U878" s="79">
        <v>0</v>
      </c>
      <c r="V878" s="189">
        <v>92.050000000000011</v>
      </c>
      <c r="X878" s="79">
        <v>55.52</v>
      </c>
      <c r="Y878" s="79">
        <v>36.53</v>
      </c>
      <c r="Z878" s="79">
        <v>92.05</v>
      </c>
      <c r="AA878" s="255">
        <v>1.0000000000005116E-2</v>
      </c>
      <c r="AC878" s="254"/>
    </row>
    <row r="879" spans="1:29" ht="12">
      <c r="A879" s="67" t="s">
        <v>12171</v>
      </c>
      <c r="B879" s="65" t="s">
        <v>1306</v>
      </c>
      <c r="C879" s="71" t="s">
        <v>509</v>
      </c>
      <c r="D879" s="78">
        <v>1</v>
      </c>
      <c r="E879" s="79">
        <v>99.58</v>
      </c>
      <c r="F879" s="70">
        <v>99.58</v>
      </c>
      <c r="G879" s="320"/>
      <c r="H879" s="79">
        <v>63.04</v>
      </c>
      <c r="I879" s="79">
        <v>36.54</v>
      </c>
      <c r="J879" s="79">
        <v>99.58</v>
      </c>
      <c r="K879" s="79">
        <v>0</v>
      </c>
      <c r="L879" s="70">
        <v>99.58</v>
      </c>
      <c r="M879" s="132"/>
      <c r="N879" s="79">
        <v>63.04</v>
      </c>
      <c r="O879" s="79">
        <v>36.54</v>
      </c>
      <c r="P879" s="79">
        <v>99.58</v>
      </c>
      <c r="Q879" s="136"/>
      <c r="R879" s="79">
        <v>63.04</v>
      </c>
      <c r="S879" s="79">
        <v>36.53</v>
      </c>
      <c r="T879" s="79">
        <v>99.57</v>
      </c>
      <c r="U879" s="79">
        <v>0</v>
      </c>
      <c r="V879" s="189">
        <v>99.57</v>
      </c>
      <c r="X879" s="79">
        <v>63.04</v>
      </c>
      <c r="Y879" s="79">
        <v>36.53</v>
      </c>
      <c r="Z879" s="79">
        <v>99.57</v>
      </c>
      <c r="AA879" s="255">
        <v>1.0000000000005116E-2</v>
      </c>
      <c r="AC879" s="254"/>
    </row>
    <row r="880" spans="1:29" ht="12">
      <c r="A880" s="67" t="s">
        <v>12172</v>
      </c>
      <c r="B880" s="65" t="s">
        <v>1312</v>
      </c>
      <c r="C880" s="71" t="s">
        <v>509</v>
      </c>
      <c r="D880" s="78">
        <v>1</v>
      </c>
      <c r="E880" s="79">
        <v>71.900000000000006</v>
      </c>
      <c r="F880" s="70">
        <v>71.900000000000006</v>
      </c>
      <c r="G880" s="320"/>
      <c r="H880" s="79">
        <v>35.36</v>
      </c>
      <c r="I880" s="79">
        <v>36.54</v>
      </c>
      <c r="J880" s="79">
        <v>71.900000000000006</v>
      </c>
      <c r="K880" s="79">
        <v>0</v>
      </c>
      <c r="L880" s="70">
        <v>71.900000000000006</v>
      </c>
      <c r="M880" s="132"/>
      <c r="N880" s="79">
        <v>35.36</v>
      </c>
      <c r="O880" s="79">
        <v>36.54</v>
      </c>
      <c r="P880" s="79">
        <v>71.900000000000006</v>
      </c>
      <c r="Q880" s="136"/>
      <c r="R880" s="79">
        <v>35.36</v>
      </c>
      <c r="S880" s="79">
        <v>36.53</v>
      </c>
      <c r="T880" s="79">
        <v>71.89</v>
      </c>
      <c r="U880" s="79">
        <v>0</v>
      </c>
      <c r="V880" s="189">
        <v>71.89</v>
      </c>
      <c r="X880" s="79">
        <v>35.36</v>
      </c>
      <c r="Y880" s="79">
        <v>36.53</v>
      </c>
      <c r="Z880" s="79">
        <v>71.89</v>
      </c>
      <c r="AA880" s="255">
        <v>1.0000000000005116E-2</v>
      </c>
      <c r="AC880" s="254"/>
    </row>
    <row r="881" spans="1:29" ht="12">
      <c r="A881" s="67" t="s">
        <v>12173</v>
      </c>
      <c r="B881" s="65" t="s">
        <v>12174</v>
      </c>
      <c r="C881" s="71" t="s">
        <v>509</v>
      </c>
      <c r="D881" s="78">
        <v>1</v>
      </c>
      <c r="E881" s="79">
        <v>146.06</v>
      </c>
      <c r="F881" s="70">
        <v>146.06</v>
      </c>
      <c r="G881" s="320"/>
      <c r="H881" s="79">
        <v>91.26</v>
      </c>
      <c r="I881" s="79">
        <v>54.8</v>
      </c>
      <c r="J881" s="79">
        <v>146.06</v>
      </c>
      <c r="K881" s="79">
        <v>0</v>
      </c>
      <c r="L881" s="70">
        <v>146.06</v>
      </c>
      <c r="M881" s="132"/>
      <c r="N881" s="79">
        <v>91.26</v>
      </c>
      <c r="O881" s="79">
        <v>54.8</v>
      </c>
      <c r="P881" s="79">
        <v>146.06</v>
      </c>
      <c r="Q881" s="136"/>
      <c r="R881" s="79">
        <v>91.26</v>
      </c>
      <c r="S881" s="79">
        <v>54.8</v>
      </c>
      <c r="T881" s="79">
        <v>146.06</v>
      </c>
      <c r="U881" s="79">
        <v>0</v>
      </c>
      <c r="V881" s="189">
        <v>146.06</v>
      </c>
      <c r="X881" s="79">
        <v>91.26</v>
      </c>
      <c r="Y881" s="79">
        <v>54.8</v>
      </c>
      <c r="Z881" s="79">
        <v>146.06</v>
      </c>
      <c r="AA881" s="255">
        <v>0</v>
      </c>
      <c r="AC881" s="254"/>
    </row>
    <row r="882" spans="1:29" ht="12">
      <c r="A882" s="67" t="s">
        <v>12175</v>
      </c>
      <c r="B882" s="65" t="s">
        <v>1308</v>
      </c>
      <c r="C882" s="71" t="s">
        <v>509</v>
      </c>
      <c r="D882" s="78">
        <v>1</v>
      </c>
      <c r="E882" s="79">
        <v>161.44999999999999</v>
      </c>
      <c r="F882" s="70">
        <v>161.44999999999999</v>
      </c>
      <c r="G882" s="320"/>
      <c r="H882" s="79">
        <v>106.65</v>
      </c>
      <c r="I882" s="79">
        <v>54.8</v>
      </c>
      <c r="J882" s="79">
        <v>161.44999999999999</v>
      </c>
      <c r="K882" s="79">
        <v>0</v>
      </c>
      <c r="L882" s="70">
        <v>161.44999999999999</v>
      </c>
      <c r="M882" s="132"/>
      <c r="N882" s="79">
        <v>106.65</v>
      </c>
      <c r="O882" s="79">
        <v>54.8</v>
      </c>
      <c r="P882" s="79">
        <v>161.44999999999999</v>
      </c>
      <c r="Q882" s="136"/>
      <c r="R882" s="79">
        <v>106.65</v>
      </c>
      <c r="S882" s="79">
        <v>54.8</v>
      </c>
      <c r="T882" s="79">
        <v>161.44999999999999</v>
      </c>
      <c r="U882" s="79">
        <v>0</v>
      </c>
      <c r="V882" s="189">
        <v>161.44999999999999</v>
      </c>
      <c r="X882" s="79">
        <v>106.65</v>
      </c>
      <c r="Y882" s="79">
        <v>54.8</v>
      </c>
      <c r="Z882" s="79">
        <v>161.44999999999999</v>
      </c>
      <c r="AA882" s="255">
        <v>0</v>
      </c>
      <c r="AC882" s="254"/>
    </row>
    <row r="883" spans="1:29" ht="12">
      <c r="A883" s="67" t="s">
        <v>12176</v>
      </c>
      <c r="B883" s="65" t="s">
        <v>12177</v>
      </c>
      <c r="C883" s="71" t="s">
        <v>165</v>
      </c>
      <c r="D883" s="78">
        <v>1</v>
      </c>
      <c r="E883" s="79">
        <v>17.11</v>
      </c>
      <c r="F883" s="70">
        <v>17.11</v>
      </c>
      <c r="G883" s="320"/>
      <c r="H883" s="79">
        <v>1</v>
      </c>
      <c r="I883" s="79">
        <v>16.11</v>
      </c>
      <c r="J883" s="79">
        <v>17.11</v>
      </c>
      <c r="K883" s="79">
        <v>0</v>
      </c>
      <c r="L883" s="70">
        <v>17.11</v>
      </c>
      <c r="M883" s="132"/>
      <c r="N883" s="79">
        <v>1</v>
      </c>
      <c r="O883" s="79">
        <v>16.11</v>
      </c>
      <c r="P883" s="79">
        <v>17.11</v>
      </c>
      <c r="Q883" s="136"/>
      <c r="R883" s="79">
        <v>1</v>
      </c>
      <c r="S883" s="79">
        <v>16.11</v>
      </c>
      <c r="T883" s="79">
        <v>17.11</v>
      </c>
      <c r="U883" s="79">
        <v>0</v>
      </c>
      <c r="V883" s="189">
        <v>17.11</v>
      </c>
      <c r="X883" s="79">
        <v>1</v>
      </c>
      <c r="Y883" s="79">
        <v>16.11</v>
      </c>
      <c r="Z883" s="79">
        <v>17.11</v>
      </c>
      <c r="AA883" s="255">
        <v>0</v>
      </c>
      <c r="AC883" s="254"/>
    </row>
    <row r="884" spans="1:29" ht="12">
      <c r="A884" s="67" t="s">
        <v>12178</v>
      </c>
      <c r="B884" s="65" t="s">
        <v>12179</v>
      </c>
      <c r="C884" s="71" t="s">
        <v>165</v>
      </c>
      <c r="D884" s="78">
        <v>1</v>
      </c>
      <c r="E884" s="79">
        <v>34.15</v>
      </c>
      <c r="F884" s="70">
        <v>34.15</v>
      </c>
      <c r="G884" s="320"/>
      <c r="H884" s="79">
        <v>14.02</v>
      </c>
      <c r="I884" s="79">
        <v>20.130000000000003</v>
      </c>
      <c r="J884" s="79">
        <v>34.150000000000006</v>
      </c>
      <c r="K884" s="79">
        <v>0</v>
      </c>
      <c r="L884" s="70">
        <v>34.150000000000006</v>
      </c>
      <c r="M884" s="132"/>
      <c r="N884" s="79">
        <v>14.02</v>
      </c>
      <c r="O884" s="79">
        <v>20.130000000000003</v>
      </c>
      <c r="P884" s="79">
        <v>34.150000000000006</v>
      </c>
      <c r="Q884" s="136"/>
      <c r="R884" s="79">
        <v>14.02</v>
      </c>
      <c r="S884" s="79">
        <v>20.14</v>
      </c>
      <c r="T884" s="79">
        <v>34.159999999999997</v>
      </c>
      <c r="U884" s="79">
        <v>0</v>
      </c>
      <c r="V884" s="189">
        <v>34.159999999999997</v>
      </c>
      <c r="X884" s="79">
        <v>14.02</v>
      </c>
      <c r="Y884" s="79">
        <v>20.14</v>
      </c>
      <c r="Z884" s="79">
        <v>34.159999999999997</v>
      </c>
      <c r="AA884" s="255">
        <v>-9.9999999999980105E-3</v>
      </c>
      <c r="AC884" s="254"/>
    </row>
    <row r="885" spans="1:29" ht="12">
      <c r="A885" s="67" t="s">
        <v>12180</v>
      </c>
      <c r="B885" s="65" t="s">
        <v>12181</v>
      </c>
      <c r="C885" s="71" t="s">
        <v>165</v>
      </c>
      <c r="D885" s="78">
        <v>1</v>
      </c>
      <c r="E885" s="79">
        <v>41.870000000000005</v>
      </c>
      <c r="F885" s="70">
        <v>41.87</v>
      </c>
      <c r="G885" s="320"/>
      <c r="H885" s="79">
        <v>21.740000000000002</v>
      </c>
      <c r="I885" s="79">
        <v>20.130000000000003</v>
      </c>
      <c r="J885" s="79">
        <v>41.870000000000005</v>
      </c>
      <c r="K885" s="79">
        <v>0</v>
      </c>
      <c r="L885" s="70">
        <v>41.870000000000005</v>
      </c>
      <c r="M885" s="132"/>
      <c r="N885" s="79">
        <v>21.740000000000002</v>
      </c>
      <c r="O885" s="79">
        <v>20.130000000000003</v>
      </c>
      <c r="P885" s="79">
        <v>41.870000000000005</v>
      </c>
      <c r="Q885" s="136"/>
      <c r="R885" s="79">
        <v>21.74</v>
      </c>
      <c r="S885" s="79">
        <v>20.14</v>
      </c>
      <c r="T885" s="79">
        <v>41.879999999999995</v>
      </c>
      <c r="U885" s="79">
        <v>0</v>
      </c>
      <c r="V885" s="189">
        <v>41.879999999999995</v>
      </c>
      <c r="X885" s="79">
        <v>21.74</v>
      </c>
      <c r="Y885" s="79">
        <v>20.14</v>
      </c>
      <c r="Z885" s="79">
        <v>41.88</v>
      </c>
      <c r="AA885" s="255">
        <v>-1.0000000000005116E-2</v>
      </c>
      <c r="AC885" s="254"/>
    </row>
    <row r="886" spans="1:29" ht="12">
      <c r="A886" s="489" t="s">
        <v>12182</v>
      </c>
      <c r="B886" s="490" t="s">
        <v>12183</v>
      </c>
      <c r="C886" s="491"/>
      <c r="D886" s="492"/>
      <c r="E886" s="79"/>
      <c r="F886" s="63"/>
      <c r="G886" s="320"/>
      <c r="H886" s="79"/>
      <c r="I886" s="79"/>
      <c r="J886" s="79"/>
      <c r="K886" s="79"/>
      <c r="L886" s="70"/>
      <c r="M886" s="132"/>
      <c r="N886" s="79"/>
      <c r="O886" s="79"/>
      <c r="P886" s="79"/>
      <c r="Q886" s="136"/>
      <c r="R886" s="79"/>
      <c r="S886" s="79"/>
      <c r="T886" s="79"/>
      <c r="U886" s="79"/>
      <c r="V886" s="189"/>
      <c r="X886" s="79"/>
      <c r="Y886" s="79"/>
      <c r="Z886" s="79"/>
      <c r="AA886" s="255"/>
      <c r="AC886" s="254"/>
    </row>
    <row r="887" spans="1:29" ht="12">
      <c r="A887" s="67" t="s">
        <v>12184</v>
      </c>
      <c r="B887" s="65" t="s">
        <v>12185</v>
      </c>
      <c r="C887" s="71" t="s">
        <v>509</v>
      </c>
      <c r="D887" s="78">
        <v>1</v>
      </c>
      <c r="E887" s="79">
        <v>59.84</v>
      </c>
      <c r="F887" s="70">
        <v>59.84</v>
      </c>
      <c r="G887" s="320"/>
      <c r="H887" s="79">
        <v>39.71</v>
      </c>
      <c r="I887" s="79">
        <v>20.130000000000003</v>
      </c>
      <c r="J887" s="79">
        <v>59.84</v>
      </c>
      <c r="K887" s="79">
        <v>0</v>
      </c>
      <c r="L887" s="70">
        <v>59.84</v>
      </c>
      <c r="M887" s="132"/>
      <c r="N887" s="79">
        <v>39.71</v>
      </c>
      <c r="O887" s="79">
        <v>20.130000000000003</v>
      </c>
      <c r="P887" s="79">
        <v>59.84</v>
      </c>
      <c r="Q887" s="136"/>
      <c r="R887" s="79">
        <v>39.71</v>
      </c>
      <c r="S887" s="79">
        <v>20.14</v>
      </c>
      <c r="T887" s="79">
        <v>59.85</v>
      </c>
      <c r="U887" s="79">
        <v>0</v>
      </c>
      <c r="V887" s="189">
        <v>59.85</v>
      </c>
      <c r="X887" s="79">
        <v>39.71</v>
      </c>
      <c r="Y887" s="79">
        <v>20.14</v>
      </c>
      <c r="Z887" s="79">
        <v>59.85</v>
      </c>
      <c r="AA887" s="255">
        <v>-9.9999999999980105E-3</v>
      </c>
      <c r="AC887" s="254"/>
    </row>
    <row r="888" spans="1:29" ht="12">
      <c r="A888" s="67" t="s">
        <v>12186</v>
      </c>
      <c r="B888" s="65" t="s">
        <v>12187</v>
      </c>
      <c r="C888" s="71" t="s">
        <v>509</v>
      </c>
      <c r="D888" s="78">
        <v>1</v>
      </c>
      <c r="E888" s="79">
        <v>80.94</v>
      </c>
      <c r="F888" s="70">
        <v>80.94</v>
      </c>
      <c r="G888" s="320"/>
      <c r="H888" s="79">
        <v>60.809999999999995</v>
      </c>
      <c r="I888" s="79">
        <v>20.130000000000003</v>
      </c>
      <c r="J888" s="79">
        <v>80.94</v>
      </c>
      <c r="K888" s="79">
        <v>0</v>
      </c>
      <c r="L888" s="70">
        <v>80.94</v>
      </c>
      <c r="M888" s="132"/>
      <c r="N888" s="79">
        <v>60.809999999999995</v>
      </c>
      <c r="O888" s="79">
        <v>20.130000000000003</v>
      </c>
      <c r="P888" s="79">
        <v>80.94</v>
      </c>
      <c r="Q888" s="136"/>
      <c r="R888" s="79">
        <v>60.81</v>
      </c>
      <c r="S888" s="79">
        <v>20.14</v>
      </c>
      <c r="T888" s="79">
        <v>80.95</v>
      </c>
      <c r="U888" s="79">
        <v>0</v>
      </c>
      <c r="V888" s="189">
        <v>80.95</v>
      </c>
      <c r="X888" s="79">
        <v>60.81</v>
      </c>
      <c r="Y888" s="79">
        <v>20.14</v>
      </c>
      <c r="Z888" s="79">
        <v>80.95</v>
      </c>
      <c r="AA888" s="255">
        <v>-1.0000000000005116E-2</v>
      </c>
      <c r="AC888" s="254"/>
    </row>
    <row r="889" spans="1:29" ht="12">
      <c r="A889" s="67" t="s">
        <v>12188</v>
      </c>
      <c r="B889" s="65" t="s">
        <v>12189</v>
      </c>
      <c r="C889" s="71" t="s">
        <v>509</v>
      </c>
      <c r="D889" s="78">
        <v>1</v>
      </c>
      <c r="E889" s="79">
        <v>173.52999999999997</v>
      </c>
      <c r="F889" s="70">
        <v>173.53</v>
      </c>
      <c r="G889" s="320"/>
      <c r="H889" s="79">
        <v>153.39999999999998</v>
      </c>
      <c r="I889" s="79">
        <v>20.130000000000003</v>
      </c>
      <c r="J889" s="79">
        <v>173.52999999999997</v>
      </c>
      <c r="K889" s="79">
        <v>0</v>
      </c>
      <c r="L889" s="70">
        <v>173.52999999999997</v>
      </c>
      <c r="M889" s="132"/>
      <c r="N889" s="79">
        <v>153.39999999999998</v>
      </c>
      <c r="O889" s="79">
        <v>20.130000000000003</v>
      </c>
      <c r="P889" s="79">
        <v>173.52999999999997</v>
      </c>
      <c r="Q889" s="136"/>
      <c r="R889" s="79">
        <v>153.4</v>
      </c>
      <c r="S889" s="79">
        <v>20.14</v>
      </c>
      <c r="T889" s="79">
        <v>173.54000000000002</v>
      </c>
      <c r="U889" s="79">
        <v>0</v>
      </c>
      <c r="V889" s="189">
        <v>173.54000000000002</v>
      </c>
      <c r="X889" s="79">
        <v>153.4</v>
      </c>
      <c r="Y889" s="79">
        <v>20.14</v>
      </c>
      <c r="Z889" s="79">
        <v>173.54</v>
      </c>
      <c r="AA889" s="255">
        <v>-9.9999999999909051E-3</v>
      </c>
      <c r="AC889" s="254"/>
    </row>
    <row r="890" spans="1:29" ht="12">
      <c r="A890" s="67" t="s">
        <v>12190</v>
      </c>
      <c r="B890" s="65" t="s">
        <v>12191</v>
      </c>
      <c r="C890" s="71" t="s">
        <v>509</v>
      </c>
      <c r="D890" s="78">
        <v>1</v>
      </c>
      <c r="E890" s="79">
        <v>183.39</v>
      </c>
      <c r="F890" s="70">
        <v>183.39</v>
      </c>
      <c r="G890" s="320"/>
      <c r="H890" s="79">
        <v>163.26</v>
      </c>
      <c r="I890" s="79">
        <v>20.130000000000003</v>
      </c>
      <c r="J890" s="79">
        <v>183.39</v>
      </c>
      <c r="K890" s="79">
        <v>0</v>
      </c>
      <c r="L890" s="70">
        <v>183.39</v>
      </c>
      <c r="M890" s="132"/>
      <c r="N890" s="79">
        <v>163.26</v>
      </c>
      <c r="O890" s="79">
        <v>20.130000000000003</v>
      </c>
      <c r="P890" s="79">
        <v>183.39</v>
      </c>
      <c r="Q890" s="136"/>
      <c r="R890" s="79">
        <v>163.26</v>
      </c>
      <c r="S890" s="79">
        <v>20.14</v>
      </c>
      <c r="T890" s="79">
        <v>183.39999999999998</v>
      </c>
      <c r="U890" s="79">
        <v>0</v>
      </c>
      <c r="V890" s="189">
        <v>183.39999999999998</v>
      </c>
      <c r="X890" s="79">
        <v>163.26</v>
      </c>
      <c r="Y890" s="79">
        <v>20.14</v>
      </c>
      <c r="Z890" s="79">
        <v>183.4</v>
      </c>
      <c r="AA890" s="255">
        <v>-1.0000000000019327E-2</v>
      </c>
      <c r="AC890" s="254"/>
    </row>
    <row r="891" spans="1:29" ht="12">
      <c r="A891" s="67" t="s">
        <v>12192</v>
      </c>
      <c r="B891" s="65" t="s">
        <v>12193</v>
      </c>
      <c r="C891" s="71" t="s">
        <v>165</v>
      </c>
      <c r="D891" s="78">
        <v>1</v>
      </c>
      <c r="E891" s="79">
        <v>95.62</v>
      </c>
      <c r="F891" s="70">
        <v>95.62</v>
      </c>
      <c r="G891" s="320"/>
      <c r="H891" s="79">
        <v>85.56</v>
      </c>
      <c r="I891" s="79">
        <v>10.06</v>
      </c>
      <c r="J891" s="79">
        <v>95.62</v>
      </c>
      <c r="K891" s="79">
        <v>0</v>
      </c>
      <c r="L891" s="70">
        <v>95.62</v>
      </c>
      <c r="M891" s="132"/>
      <c r="N891" s="79">
        <v>85.56</v>
      </c>
      <c r="O891" s="79">
        <v>10.06</v>
      </c>
      <c r="P891" s="79">
        <v>95.62</v>
      </c>
      <c r="Q891" s="136"/>
      <c r="R891" s="79">
        <v>85.56</v>
      </c>
      <c r="S891" s="79">
        <v>10.07</v>
      </c>
      <c r="T891" s="79">
        <v>95.63</v>
      </c>
      <c r="U891" s="79">
        <v>0</v>
      </c>
      <c r="V891" s="189">
        <v>95.63</v>
      </c>
      <c r="X891" s="79">
        <v>85.56</v>
      </c>
      <c r="Y891" s="79">
        <v>10.07</v>
      </c>
      <c r="Z891" s="79">
        <v>95.63</v>
      </c>
      <c r="AA891" s="255">
        <v>-9.9999999999909051E-3</v>
      </c>
      <c r="AC891" s="254"/>
    </row>
    <row r="892" spans="1:29" ht="12">
      <c r="A892" s="67" t="s">
        <v>12194</v>
      </c>
      <c r="B892" s="65" t="s">
        <v>12195</v>
      </c>
      <c r="C892" s="71" t="s">
        <v>165</v>
      </c>
      <c r="D892" s="78">
        <v>1</v>
      </c>
      <c r="E892" s="79">
        <v>90.38</v>
      </c>
      <c r="F892" s="70">
        <v>90.38</v>
      </c>
      <c r="G892" s="320"/>
      <c r="H892" s="79">
        <v>80.319999999999993</v>
      </c>
      <c r="I892" s="79">
        <v>10.06</v>
      </c>
      <c r="J892" s="79">
        <v>90.38</v>
      </c>
      <c r="K892" s="79">
        <v>0</v>
      </c>
      <c r="L892" s="70">
        <v>90.38</v>
      </c>
      <c r="M892" s="132"/>
      <c r="N892" s="79">
        <v>80.319999999999993</v>
      </c>
      <c r="O892" s="79">
        <v>10.06</v>
      </c>
      <c r="P892" s="79">
        <v>90.38</v>
      </c>
      <c r="Q892" s="136"/>
      <c r="R892" s="79">
        <v>80.319999999999993</v>
      </c>
      <c r="S892" s="79">
        <v>10.07</v>
      </c>
      <c r="T892" s="79">
        <v>90.389999999999986</v>
      </c>
      <c r="U892" s="79">
        <v>0</v>
      </c>
      <c r="V892" s="189">
        <v>90.389999999999986</v>
      </c>
      <c r="X892" s="79">
        <v>80.319999999999993</v>
      </c>
      <c r="Y892" s="79">
        <v>10.07</v>
      </c>
      <c r="Z892" s="79">
        <v>90.39</v>
      </c>
      <c r="AA892" s="255">
        <v>-1.0000000000005116E-2</v>
      </c>
      <c r="AC892" s="254"/>
    </row>
    <row r="893" spans="1:29" ht="12">
      <c r="A893" s="67" t="s">
        <v>12196</v>
      </c>
      <c r="B893" s="65" t="s">
        <v>12197</v>
      </c>
      <c r="C893" s="71" t="s">
        <v>165</v>
      </c>
      <c r="D893" s="78">
        <v>1</v>
      </c>
      <c r="E893" s="79">
        <v>125.93</v>
      </c>
      <c r="F893" s="70">
        <v>125.93</v>
      </c>
      <c r="G893" s="320"/>
      <c r="H893" s="79">
        <v>115.87</v>
      </c>
      <c r="I893" s="79">
        <v>10.06</v>
      </c>
      <c r="J893" s="79">
        <v>125.93</v>
      </c>
      <c r="K893" s="79">
        <v>0</v>
      </c>
      <c r="L893" s="70">
        <v>125.93</v>
      </c>
      <c r="M893" s="132"/>
      <c r="N893" s="79">
        <v>115.87</v>
      </c>
      <c r="O893" s="79">
        <v>10.06</v>
      </c>
      <c r="P893" s="79">
        <v>125.93</v>
      </c>
      <c r="Q893" s="136"/>
      <c r="R893" s="79">
        <v>115.87</v>
      </c>
      <c r="S893" s="79">
        <v>10.07</v>
      </c>
      <c r="T893" s="79">
        <v>125.94</v>
      </c>
      <c r="U893" s="79">
        <v>0</v>
      </c>
      <c r="V893" s="189">
        <v>125.94</v>
      </c>
      <c r="X893" s="79">
        <v>115.87</v>
      </c>
      <c r="Y893" s="79">
        <v>10.07</v>
      </c>
      <c r="Z893" s="79">
        <v>125.94</v>
      </c>
      <c r="AA893" s="255">
        <v>-9.9999999999909051E-3</v>
      </c>
      <c r="AC893" s="254"/>
    </row>
    <row r="894" spans="1:29" ht="12">
      <c r="A894" s="67" t="s">
        <v>12198</v>
      </c>
      <c r="B894" s="65" t="s">
        <v>12199</v>
      </c>
      <c r="C894" s="71" t="s">
        <v>165</v>
      </c>
      <c r="D894" s="78">
        <v>1</v>
      </c>
      <c r="E894" s="79">
        <v>186.74</v>
      </c>
      <c r="F894" s="70">
        <v>186.74</v>
      </c>
      <c r="G894" s="320"/>
      <c r="H894" s="79">
        <v>176.68</v>
      </c>
      <c r="I894" s="79">
        <v>10.06</v>
      </c>
      <c r="J894" s="79">
        <v>186.74</v>
      </c>
      <c r="K894" s="79">
        <v>0</v>
      </c>
      <c r="L894" s="70">
        <v>186.74</v>
      </c>
      <c r="M894" s="132"/>
      <c r="N894" s="79">
        <v>176.68</v>
      </c>
      <c r="O894" s="79">
        <v>10.06</v>
      </c>
      <c r="P894" s="79">
        <v>186.74</v>
      </c>
      <c r="Q894" s="136"/>
      <c r="R894" s="79">
        <v>176.68</v>
      </c>
      <c r="S894" s="79">
        <v>10.07</v>
      </c>
      <c r="T894" s="79">
        <v>186.75</v>
      </c>
      <c r="U894" s="79">
        <v>0</v>
      </c>
      <c r="V894" s="189">
        <v>186.75</v>
      </c>
      <c r="X894" s="79">
        <v>176.68</v>
      </c>
      <c r="Y894" s="79">
        <v>10.07</v>
      </c>
      <c r="Z894" s="79">
        <v>186.75</v>
      </c>
      <c r="AA894" s="255">
        <v>-9.9999999999909051E-3</v>
      </c>
      <c r="AC894" s="254"/>
    </row>
    <row r="895" spans="1:29" ht="12">
      <c r="A895" s="67" t="s">
        <v>12200</v>
      </c>
      <c r="B895" s="65" t="s">
        <v>12201</v>
      </c>
      <c r="C895" s="71" t="s">
        <v>165</v>
      </c>
      <c r="D895" s="78">
        <v>1</v>
      </c>
      <c r="E895" s="79">
        <v>67.31</v>
      </c>
      <c r="F895" s="70">
        <v>67.31</v>
      </c>
      <c r="G895" s="320"/>
      <c r="H895" s="79">
        <v>57.25</v>
      </c>
      <c r="I895" s="79">
        <v>10.06</v>
      </c>
      <c r="J895" s="79">
        <v>67.31</v>
      </c>
      <c r="K895" s="79">
        <v>0</v>
      </c>
      <c r="L895" s="70">
        <v>67.31</v>
      </c>
      <c r="M895" s="132"/>
      <c r="N895" s="79">
        <v>57.25</v>
      </c>
      <c r="O895" s="79">
        <v>10.06</v>
      </c>
      <c r="P895" s="79">
        <v>67.31</v>
      </c>
      <c r="Q895" s="136"/>
      <c r="R895" s="79">
        <v>57.25</v>
      </c>
      <c r="S895" s="79">
        <v>10.07</v>
      </c>
      <c r="T895" s="79">
        <v>67.319999999999993</v>
      </c>
      <c r="U895" s="79">
        <v>0</v>
      </c>
      <c r="V895" s="189">
        <v>67.319999999999993</v>
      </c>
      <c r="X895" s="79">
        <v>57.25</v>
      </c>
      <c r="Y895" s="79">
        <v>10.07</v>
      </c>
      <c r="Z895" s="79">
        <v>67.319999999999993</v>
      </c>
      <c r="AA895" s="255">
        <v>-9.9999999999909051E-3</v>
      </c>
      <c r="AC895" s="254"/>
    </row>
    <row r="896" spans="1:29" ht="12">
      <c r="A896" s="67" t="s">
        <v>12202</v>
      </c>
      <c r="B896" s="65" t="s">
        <v>12203</v>
      </c>
      <c r="C896" s="71" t="s">
        <v>165</v>
      </c>
      <c r="D896" s="78">
        <v>1</v>
      </c>
      <c r="E896" s="79">
        <v>118.99</v>
      </c>
      <c r="F896" s="70">
        <v>118.99</v>
      </c>
      <c r="G896" s="320"/>
      <c r="H896" s="79">
        <v>108.92999999999999</v>
      </c>
      <c r="I896" s="79">
        <v>10.06</v>
      </c>
      <c r="J896" s="79">
        <v>118.99</v>
      </c>
      <c r="K896" s="79">
        <v>0</v>
      </c>
      <c r="L896" s="70">
        <v>118.99</v>
      </c>
      <c r="M896" s="132"/>
      <c r="N896" s="79">
        <v>108.92999999999999</v>
      </c>
      <c r="O896" s="79">
        <v>10.06</v>
      </c>
      <c r="P896" s="79">
        <v>118.99</v>
      </c>
      <c r="Q896" s="136"/>
      <c r="R896" s="79">
        <v>108.93</v>
      </c>
      <c r="S896" s="79">
        <v>10.07</v>
      </c>
      <c r="T896" s="79">
        <v>119</v>
      </c>
      <c r="U896" s="79">
        <v>0</v>
      </c>
      <c r="V896" s="189">
        <v>119</v>
      </c>
      <c r="X896" s="79">
        <v>108.93</v>
      </c>
      <c r="Y896" s="79">
        <v>10.07</v>
      </c>
      <c r="Z896" s="79">
        <v>119</v>
      </c>
      <c r="AA896" s="255">
        <v>-1.0000000000005116E-2</v>
      </c>
      <c r="AC896" s="254"/>
    </row>
    <row r="897" spans="1:29" ht="12">
      <c r="A897" s="67" t="s">
        <v>12204</v>
      </c>
      <c r="B897" s="65" t="s">
        <v>12205</v>
      </c>
      <c r="C897" s="71" t="s">
        <v>165</v>
      </c>
      <c r="D897" s="78">
        <v>1</v>
      </c>
      <c r="E897" s="79">
        <v>84.77</v>
      </c>
      <c r="F897" s="70">
        <v>84.77</v>
      </c>
      <c r="G897" s="320"/>
      <c r="H897" s="79">
        <v>74.709999999999994</v>
      </c>
      <c r="I897" s="79">
        <v>10.06</v>
      </c>
      <c r="J897" s="79">
        <v>84.77</v>
      </c>
      <c r="K897" s="79">
        <v>0</v>
      </c>
      <c r="L897" s="70">
        <v>84.77</v>
      </c>
      <c r="M897" s="132"/>
      <c r="N897" s="79">
        <v>74.709999999999994</v>
      </c>
      <c r="O897" s="79">
        <v>10.06</v>
      </c>
      <c r="P897" s="79">
        <v>84.77</v>
      </c>
      <c r="Q897" s="136"/>
      <c r="R897" s="79">
        <v>74.709999999999994</v>
      </c>
      <c r="S897" s="79">
        <v>10.07</v>
      </c>
      <c r="T897" s="79">
        <v>84.78</v>
      </c>
      <c r="U897" s="79">
        <v>0</v>
      </c>
      <c r="V897" s="189">
        <v>84.78</v>
      </c>
      <c r="X897" s="79">
        <v>74.709999999999994</v>
      </c>
      <c r="Y897" s="79">
        <v>10.07</v>
      </c>
      <c r="Z897" s="79">
        <v>84.78</v>
      </c>
      <c r="AA897" s="255">
        <v>-1.0000000000005116E-2</v>
      </c>
      <c r="AC897" s="254"/>
    </row>
    <row r="898" spans="1:29" ht="12">
      <c r="A898" s="489" t="s">
        <v>12206</v>
      </c>
      <c r="B898" s="490" t="s">
        <v>12207</v>
      </c>
      <c r="C898" s="491"/>
      <c r="D898" s="492"/>
      <c r="E898" s="79"/>
      <c r="F898" s="63"/>
      <c r="G898" s="320"/>
      <c r="H898" s="79"/>
      <c r="I898" s="79"/>
      <c r="J898" s="79"/>
      <c r="K898" s="79"/>
      <c r="L898" s="70"/>
      <c r="M898" s="132"/>
      <c r="N898" s="79"/>
      <c r="O898" s="79"/>
      <c r="P898" s="79"/>
      <c r="Q898" s="136"/>
      <c r="R898" s="79"/>
      <c r="S898" s="79"/>
      <c r="T898" s="79"/>
      <c r="U898" s="79"/>
      <c r="V898" s="189"/>
      <c r="X898" s="79"/>
      <c r="Y898" s="79"/>
      <c r="Z898" s="79"/>
      <c r="AA898" s="255"/>
      <c r="AC898" s="254"/>
    </row>
    <row r="899" spans="1:29" ht="12">
      <c r="A899" s="67" t="s">
        <v>12208</v>
      </c>
      <c r="B899" s="65" t="s">
        <v>12209</v>
      </c>
      <c r="C899" s="71" t="s">
        <v>509</v>
      </c>
      <c r="D899" s="78">
        <v>1</v>
      </c>
      <c r="E899" s="79">
        <v>115.88000000000001</v>
      </c>
      <c r="F899" s="70">
        <v>115.88</v>
      </c>
      <c r="G899" s="320"/>
      <c r="H899" s="79">
        <v>83.15</v>
      </c>
      <c r="I899" s="79">
        <v>32.730000000000004</v>
      </c>
      <c r="J899" s="79">
        <v>115.88000000000001</v>
      </c>
      <c r="K899" s="79">
        <v>0</v>
      </c>
      <c r="L899" s="70">
        <v>115.88000000000001</v>
      </c>
      <c r="M899" s="132"/>
      <c r="N899" s="79">
        <v>83.15</v>
      </c>
      <c r="O899" s="79">
        <v>32.730000000000004</v>
      </c>
      <c r="P899" s="79">
        <v>115.88000000000001</v>
      </c>
      <c r="Q899" s="136"/>
      <c r="R899" s="79">
        <v>83.15</v>
      </c>
      <c r="S899" s="79">
        <v>32.729999999999997</v>
      </c>
      <c r="T899" s="79">
        <v>115.88</v>
      </c>
      <c r="U899" s="79">
        <v>0</v>
      </c>
      <c r="V899" s="189">
        <v>115.88</v>
      </c>
      <c r="X899" s="79">
        <v>83.15</v>
      </c>
      <c r="Y899" s="79">
        <v>32.729999999999997</v>
      </c>
      <c r="Z899" s="79">
        <v>115.88</v>
      </c>
      <c r="AA899" s="255">
        <v>0</v>
      </c>
      <c r="AC899" s="254"/>
    </row>
    <row r="900" spans="1:29" ht="12">
      <c r="A900" s="67" t="s">
        <v>12210</v>
      </c>
      <c r="B900" s="65" t="s">
        <v>12211</v>
      </c>
      <c r="C900" s="71" t="s">
        <v>165</v>
      </c>
      <c r="D900" s="78">
        <v>1</v>
      </c>
      <c r="E900" s="79">
        <v>119.71000000000001</v>
      </c>
      <c r="F900" s="70">
        <v>119.71</v>
      </c>
      <c r="G900" s="320"/>
      <c r="H900" s="79">
        <v>108.64</v>
      </c>
      <c r="I900" s="79">
        <v>11.07</v>
      </c>
      <c r="J900" s="79">
        <v>119.71000000000001</v>
      </c>
      <c r="K900" s="79">
        <v>0</v>
      </c>
      <c r="L900" s="70">
        <v>119.71000000000001</v>
      </c>
      <c r="M900" s="132"/>
      <c r="N900" s="79">
        <v>108.64</v>
      </c>
      <c r="O900" s="79">
        <v>11.07</v>
      </c>
      <c r="P900" s="79">
        <v>119.71000000000001</v>
      </c>
      <c r="Q900" s="136"/>
      <c r="R900" s="79">
        <v>108.64</v>
      </c>
      <c r="S900" s="79">
        <v>11.08</v>
      </c>
      <c r="T900" s="79">
        <v>119.72</v>
      </c>
      <c r="U900" s="79">
        <v>0</v>
      </c>
      <c r="V900" s="189">
        <v>119.72</v>
      </c>
      <c r="X900" s="79">
        <v>108.64</v>
      </c>
      <c r="Y900" s="79">
        <v>11.08</v>
      </c>
      <c r="Z900" s="79">
        <v>119.72</v>
      </c>
      <c r="AA900" s="255">
        <v>-1.0000000000005116E-2</v>
      </c>
      <c r="AC900" s="254"/>
    </row>
    <row r="901" spans="1:29" ht="12">
      <c r="A901" s="489" t="s">
        <v>12212</v>
      </c>
      <c r="B901" s="490" t="s">
        <v>12213</v>
      </c>
      <c r="C901" s="491"/>
      <c r="D901" s="492"/>
      <c r="E901" s="79"/>
      <c r="F901" s="63"/>
      <c r="G901" s="320"/>
      <c r="H901" s="79"/>
      <c r="I901" s="79"/>
      <c r="J901" s="79"/>
      <c r="K901" s="79"/>
      <c r="L901" s="70"/>
      <c r="M901" s="132"/>
      <c r="N901" s="79"/>
      <c r="O901" s="79"/>
      <c r="P901" s="79"/>
      <c r="Q901" s="136"/>
      <c r="R901" s="79"/>
      <c r="S901" s="79"/>
      <c r="T901" s="79"/>
      <c r="U901" s="79"/>
      <c r="V901" s="189"/>
      <c r="X901" s="79"/>
      <c r="Y901" s="79"/>
      <c r="Z901" s="79"/>
      <c r="AA901" s="255"/>
      <c r="AC901" s="254"/>
    </row>
    <row r="902" spans="1:29" ht="24">
      <c r="A902" s="67" t="s">
        <v>12214</v>
      </c>
      <c r="B902" s="65" t="s">
        <v>12215</v>
      </c>
      <c r="C902" s="71" t="s">
        <v>509</v>
      </c>
      <c r="D902" s="78">
        <v>1</v>
      </c>
      <c r="E902" s="79">
        <v>111.28</v>
      </c>
      <c r="F902" s="70">
        <v>111.28</v>
      </c>
      <c r="G902" s="320"/>
      <c r="H902" s="79">
        <v>91.15</v>
      </c>
      <c r="I902" s="79">
        <v>20.130000000000003</v>
      </c>
      <c r="J902" s="79">
        <v>111.28</v>
      </c>
      <c r="K902" s="79">
        <v>0</v>
      </c>
      <c r="L902" s="70">
        <v>111.28</v>
      </c>
      <c r="M902" s="132"/>
      <c r="N902" s="79">
        <v>91.15</v>
      </c>
      <c r="O902" s="79">
        <v>20.130000000000003</v>
      </c>
      <c r="P902" s="79">
        <v>111.28</v>
      </c>
      <c r="Q902" s="136"/>
      <c r="R902" s="79">
        <v>91.15</v>
      </c>
      <c r="S902" s="79">
        <v>20.14</v>
      </c>
      <c r="T902" s="79">
        <v>111.29</v>
      </c>
      <c r="U902" s="79">
        <v>0</v>
      </c>
      <c r="V902" s="189">
        <v>111.29</v>
      </c>
      <c r="X902" s="79">
        <v>91.15</v>
      </c>
      <c r="Y902" s="79">
        <v>20.14</v>
      </c>
      <c r="Z902" s="79">
        <v>111.29</v>
      </c>
      <c r="AA902" s="255">
        <v>-1.0000000000005116E-2</v>
      </c>
      <c r="AC902" s="254"/>
    </row>
    <row r="903" spans="1:29" ht="24">
      <c r="A903" s="67" t="s">
        <v>12216</v>
      </c>
      <c r="B903" s="65" t="s">
        <v>12217</v>
      </c>
      <c r="C903" s="71" t="s">
        <v>509</v>
      </c>
      <c r="D903" s="78">
        <v>1</v>
      </c>
      <c r="E903" s="79">
        <v>183.59</v>
      </c>
      <c r="F903" s="70">
        <v>183.59</v>
      </c>
      <c r="G903" s="320"/>
      <c r="H903" s="79">
        <v>163.46</v>
      </c>
      <c r="I903" s="79">
        <v>20.130000000000003</v>
      </c>
      <c r="J903" s="79">
        <v>183.59</v>
      </c>
      <c r="K903" s="79">
        <v>0</v>
      </c>
      <c r="L903" s="70">
        <v>183.59</v>
      </c>
      <c r="M903" s="132"/>
      <c r="N903" s="79">
        <v>163.46</v>
      </c>
      <c r="O903" s="79">
        <v>20.130000000000003</v>
      </c>
      <c r="P903" s="79">
        <v>183.59</v>
      </c>
      <c r="Q903" s="136"/>
      <c r="R903" s="79">
        <v>163.46</v>
      </c>
      <c r="S903" s="79">
        <v>20.14</v>
      </c>
      <c r="T903" s="79">
        <v>183.60000000000002</v>
      </c>
      <c r="U903" s="79">
        <v>0</v>
      </c>
      <c r="V903" s="189">
        <v>183.60000000000002</v>
      </c>
      <c r="X903" s="79">
        <v>163.46</v>
      </c>
      <c r="Y903" s="79">
        <v>20.14</v>
      </c>
      <c r="Z903" s="79">
        <v>183.6</v>
      </c>
      <c r="AA903" s="255">
        <v>-9.9999999999909051E-3</v>
      </c>
      <c r="AC903" s="254"/>
    </row>
    <row r="904" spans="1:29" ht="24">
      <c r="A904" s="67" t="s">
        <v>12218</v>
      </c>
      <c r="B904" s="65" t="s">
        <v>12219</v>
      </c>
      <c r="C904" s="71" t="s">
        <v>509</v>
      </c>
      <c r="D904" s="78">
        <v>1</v>
      </c>
      <c r="E904" s="79">
        <v>189.64</v>
      </c>
      <c r="F904" s="70">
        <v>189.64</v>
      </c>
      <c r="G904" s="320"/>
      <c r="H904" s="79">
        <v>169.51</v>
      </c>
      <c r="I904" s="79">
        <v>20.130000000000003</v>
      </c>
      <c r="J904" s="79">
        <v>189.64</v>
      </c>
      <c r="K904" s="79">
        <v>0</v>
      </c>
      <c r="L904" s="70">
        <v>189.64</v>
      </c>
      <c r="M904" s="132"/>
      <c r="N904" s="79">
        <v>169.51</v>
      </c>
      <c r="O904" s="79">
        <v>20.130000000000003</v>
      </c>
      <c r="P904" s="79">
        <v>189.64</v>
      </c>
      <c r="Q904" s="136"/>
      <c r="R904" s="79">
        <v>169.51</v>
      </c>
      <c r="S904" s="79">
        <v>20.14</v>
      </c>
      <c r="T904" s="79">
        <v>189.64999999999998</v>
      </c>
      <c r="U904" s="79">
        <v>0</v>
      </c>
      <c r="V904" s="189">
        <v>189.64999999999998</v>
      </c>
      <c r="X904" s="79">
        <v>169.51</v>
      </c>
      <c r="Y904" s="79">
        <v>20.14</v>
      </c>
      <c r="Z904" s="79">
        <v>189.65</v>
      </c>
      <c r="AA904" s="255">
        <v>-1.0000000000019327E-2</v>
      </c>
      <c r="AC904" s="254"/>
    </row>
    <row r="905" spans="1:29" ht="24">
      <c r="A905" s="67" t="s">
        <v>12220</v>
      </c>
      <c r="B905" s="65" t="s">
        <v>12221</v>
      </c>
      <c r="C905" s="71" t="s">
        <v>509</v>
      </c>
      <c r="D905" s="78">
        <v>1</v>
      </c>
      <c r="E905" s="79">
        <v>110.62</v>
      </c>
      <c r="F905" s="70">
        <v>110.62</v>
      </c>
      <c r="G905" s="320"/>
      <c r="H905" s="79">
        <v>90.49</v>
      </c>
      <c r="I905" s="79">
        <v>20.130000000000003</v>
      </c>
      <c r="J905" s="79">
        <v>110.62</v>
      </c>
      <c r="K905" s="79">
        <v>0</v>
      </c>
      <c r="L905" s="70">
        <v>110.62</v>
      </c>
      <c r="M905" s="132"/>
      <c r="N905" s="79">
        <v>90.49</v>
      </c>
      <c r="O905" s="79">
        <v>20.130000000000003</v>
      </c>
      <c r="P905" s="79">
        <v>110.62</v>
      </c>
      <c r="Q905" s="136"/>
      <c r="R905" s="79">
        <v>90.49</v>
      </c>
      <c r="S905" s="79">
        <v>20.14</v>
      </c>
      <c r="T905" s="79">
        <v>110.63</v>
      </c>
      <c r="U905" s="79">
        <v>0</v>
      </c>
      <c r="V905" s="189">
        <v>110.63</v>
      </c>
      <c r="X905" s="79">
        <v>90.49</v>
      </c>
      <c r="Y905" s="79">
        <v>20.14</v>
      </c>
      <c r="Z905" s="79">
        <v>110.63</v>
      </c>
      <c r="AA905" s="255">
        <v>-9.9999999999909051E-3</v>
      </c>
      <c r="AC905" s="254"/>
    </row>
    <row r="906" spans="1:29" ht="24">
      <c r="A906" s="67" t="s">
        <v>12222</v>
      </c>
      <c r="B906" s="65" t="s">
        <v>12223</v>
      </c>
      <c r="C906" s="71" t="s">
        <v>165</v>
      </c>
      <c r="D906" s="78">
        <v>1</v>
      </c>
      <c r="E906" s="79">
        <v>86.09</v>
      </c>
      <c r="F906" s="70">
        <v>86.09</v>
      </c>
      <c r="G906" s="320"/>
      <c r="H906" s="79">
        <v>76.03</v>
      </c>
      <c r="I906" s="79">
        <v>10.06</v>
      </c>
      <c r="J906" s="79">
        <v>86.09</v>
      </c>
      <c r="K906" s="79">
        <v>0</v>
      </c>
      <c r="L906" s="70">
        <v>86.09</v>
      </c>
      <c r="M906" s="132"/>
      <c r="N906" s="79">
        <v>76.03</v>
      </c>
      <c r="O906" s="79">
        <v>10.06</v>
      </c>
      <c r="P906" s="79">
        <v>86.09</v>
      </c>
      <c r="Q906" s="136"/>
      <c r="R906" s="79">
        <v>76.03</v>
      </c>
      <c r="S906" s="79">
        <v>10.07</v>
      </c>
      <c r="T906" s="79">
        <v>86.1</v>
      </c>
      <c r="U906" s="79">
        <v>0</v>
      </c>
      <c r="V906" s="189">
        <v>86.1</v>
      </c>
      <c r="X906" s="79">
        <v>76.03</v>
      </c>
      <c r="Y906" s="79">
        <v>10.07</v>
      </c>
      <c r="Z906" s="79">
        <v>86.1</v>
      </c>
      <c r="AA906" s="255">
        <v>-9.9999999999909051E-3</v>
      </c>
      <c r="AC906" s="254"/>
    </row>
    <row r="907" spans="1:29" ht="24">
      <c r="A907" s="67" t="s">
        <v>12224</v>
      </c>
      <c r="B907" s="65" t="s">
        <v>12225</v>
      </c>
      <c r="C907" s="71" t="s">
        <v>165</v>
      </c>
      <c r="D907" s="78">
        <v>1</v>
      </c>
      <c r="E907" s="79">
        <v>85.89</v>
      </c>
      <c r="F907" s="70">
        <v>85.89</v>
      </c>
      <c r="G907" s="320"/>
      <c r="H907" s="79">
        <v>75.83</v>
      </c>
      <c r="I907" s="79">
        <v>10.06</v>
      </c>
      <c r="J907" s="79">
        <v>85.89</v>
      </c>
      <c r="K907" s="79">
        <v>0</v>
      </c>
      <c r="L907" s="70">
        <v>85.89</v>
      </c>
      <c r="M907" s="132"/>
      <c r="N907" s="79">
        <v>75.83</v>
      </c>
      <c r="O907" s="79">
        <v>10.06</v>
      </c>
      <c r="P907" s="79">
        <v>85.89</v>
      </c>
      <c r="Q907" s="136"/>
      <c r="R907" s="79">
        <v>75.83</v>
      </c>
      <c r="S907" s="79">
        <v>10.07</v>
      </c>
      <c r="T907" s="79">
        <v>85.9</v>
      </c>
      <c r="U907" s="79">
        <v>0</v>
      </c>
      <c r="V907" s="189">
        <v>85.9</v>
      </c>
      <c r="X907" s="79">
        <v>75.83</v>
      </c>
      <c r="Y907" s="79">
        <v>10.07</v>
      </c>
      <c r="Z907" s="79">
        <v>85.9</v>
      </c>
      <c r="AA907" s="255">
        <v>-1.0000000000005116E-2</v>
      </c>
      <c r="AC907" s="254"/>
    </row>
    <row r="908" spans="1:29" ht="12">
      <c r="A908" s="489" t="s">
        <v>12226</v>
      </c>
      <c r="B908" s="490" t="s">
        <v>12227</v>
      </c>
      <c r="C908" s="491"/>
      <c r="D908" s="492"/>
      <c r="E908" s="79"/>
      <c r="F908" s="63"/>
      <c r="G908" s="320"/>
      <c r="H908" s="79"/>
      <c r="I908" s="79"/>
      <c r="J908" s="79"/>
      <c r="K908" s="79"/>
      <c r="L908" s="70"/>
      <c r="M908" s="132"/>
      <c r="N908" s="79"/>
      <c r="O908" s="79"/>
      <c r="P908" s="79"/>
      <c r="Q908" s="136"/>
      <c r="R908" s="79"/>
      <c r="S908" s="79"/>
      <c r="T908" s="79"/>
      <c r="U908" s="79"/>
      <c r="V908" s="189"/>
      <c r="X908" s="79"/>
      <c r="Y908" s="79"/>
      <c r="Z908" s="79"/>
      <c r="AA908" s="255"/>
      <c r="AC908" s="254"/>
    </row>
    <row r="909" spans="1:29" ht="24">
      <c r="A909" s="67" t="s">
        <v>12228</v>
      </c>
      <c r="B909" s="65" t="s">
        <v>12229</v>
      </c>
      <c r="C909" s="71" t="s">
        <v>509</v>
      </c>
      <c r="D909" s="78">
        <v>1</v>
      </c>
      <c r="E909" s="79">
        <v>220.04000000000002</v>
      </c>
      <c r="F909" s="70">
        <v>220.04</v>
      </c>
      <c r="G909" s="320"/>
      <c r="H909" s="79">
        <v>169.37</v>
      </c>
      <c r="I909" s="79">
        <v>50.67</v>
      </c>
      <c r="J909" s="79">
        <v>220.04000000000002</v>
      </c>
      <c r="K909" s="79">
        <v>0</v>
      </c>
      <c r="L909" s="70">
        <v>220.04000000000002</v>
      </c>
      <c r="M909" s="132"/>
      <c r="N909" s="79">
        <v>169.37</v>
      </c>
      <c r="O909" s="79">
        <v>50.67</v>
      </c>
      <c r="P909" s="79">
        <v>220.04000000000002</v>
      </c>
      <c r="Q909" s="136"/>
      <c r="R909" s="79">
        <v>169.37</v>
      </c>
      <c r="S909" s="79">
        <v>50.65</v>
      </c>
      <c r="T909" s="79">
        <v>220.02</v>
      </c>
      <c r="U909" s="79">
        <v>0</v>
      </c>
      <c r="V909" s="189">
        <v>220.02</v>
      </c>
      <c r="X909" s="79">
        <v>169.37</v>
      </c>
      <c r="Y909" s="79">
        <v>50.65</v>
      </c>
      <c r="Z909" s="79">
        <v>220.02</v>
      </c>
      <c r="AA909" s="255">
        <v>1.999999999998181E-2</v>
      </c>
      <c r="AC909" s="254"/>
    </row>
    <row r="910" spans="1:29" ht="24">
      <c r="A910" s="67" t="s">
        <v>12230</v>
      </c>
      <c r="B910" s="65" t="s">
        <v>12231</v>
      </c>
      <c r="C910" s="71" t="s">
        <v>509</v>
      </c>
      <c r="D910" s="78">
        <v>1</v>
      </c>
      <c r="E910" s="79">
        <v>191.77</v>
      </c>
      <c r="F910" s="70">
        <v>191.77</v>
      </c>
      <c r="G910" s="320"/>
      <c r="H910" s="79">
        <v>169.86</v>
      </c>
      <c r="I910" s="79">
        <v>21.91</v>
      </c>
      <c r="J910" s="79">
        <v>191.77</v>
      </c>
      <c r="K910" s="79">
        <v>0</v>
      </c>
      <c r="L910" s="70">
        <v>191.77</v>
      </c>
      <c r="M910" s="132"/>
      <c r="N910" s="79">
        <v>169.86</v>
      </c>
      <c r="O910" s="79">
        <v>21.91</v>
      </c>
      <c r="P910" s="79">
        <v>191.77</v>
      </c>
      <c r="Q910" s="136"/>
      <c r="R910" s="79">
        <v>169.86</v>
      </c>
      <c r="S910" s="79">
        <v>21.92</v>
      </c>
      <c r="T910" s="79">
        <v>191.78000000000003</v>
      </c>
      <c r="U910" s="79">
        <v>0</v>
      </c>
      <c r="V910" s="189">
        <v>191.78000000000003</v>
      </c>
      <c r="X910" s="79">
        <v>169.86</v>
      </c>
      <c r="Y910" s="79">
        <v>21.92</v>
      </c>
      <c r="Z910" s="79">
        <v>191.78</v>
      </c>
      <c r="AA910" s="255">
        <v>-9.9999999999909051E-3</v>
      </c>
      <c r="AC910" s="254"/>
    </row>
    <row r="911" spans="1:29" ht="24">
      <c r="A911" s="67" t="s">
        <v>12232</v>
      </c>
      <c r="B911" s="65" t="s">
        <v>12233</v>
      </c>
      <c r="C911" s="71" t="s">
        <v>509</v>
      </c>
      <c r="D911" s="78">
        <v>1</v>
      </c>
      <c r="E911" s="79">
        <v>145.62</v>
      </c>
      <c r="F911" s="70">
        <v>145.62</v>
      </c>
      <c r="G911" s="320"/>
      <c r="H911" s="79">
        <v>123.71</v>
      </c>
      <c r="I911" s="79">
        <v>21.91</v>
      </c>
      <c r="J911" s="79">
        <v>145.62</v>
      </c>
      <c r="K911" s="79">
        <v>0</v>
      </c>
      <c r="L911" s="70">
        <v>145.62</v>
      </c>
      <c r="M911" s="132"/>
      <c r="N911" s="79">
        <v>123.71</v>
      </c>
      <c r="O911" s="79">
        <v>21.91</v>
      </c>
      <c r="P911" s="79">
        <v>145.62</v>
      </c>
      <c r="Q911" s="136"/>
      <c r="R911" s="79">
        <v>123.71</v>
      </c>
      <c r="S911" s="79">
        <v>21.92</v>
      </c>
      <c r="T911" s="79">
        <v>145.63</v>
      </c>
      <c r="U911" s="79">
        <v>0</v>
      </c>
      <c r="V911" s="189">
        <v>145.63</v>
      </c>
      <c r="X911" s="79">
        <v>123.71</v>
      </c>
      <c r="Y911" s="79">
        <v>21.92</v>
      </c>
      <c r="Z911" s="79">
        <v>145.63</v>
      </c>
      <c r="AA911" s="255">
        <v>-9.9999999999909051E-3</v>
      </c>
      <c r="AC911" s="254"/>
    </row>
    <row r="912" spans="1:29" ht="24">
      <c r="A912" s="67" t="s">
        <v>12234</v>
      </c>
      <c r="B912" s="65" t="s">
        <v>12235</v>
      </c>
      <c r="C912" s="71" t="s">
        <v>509</v>
      </c>
      <c r="D912" s="78">
        <v>1</v>
      </c>
      <c r="E912" s="79">
        <v>139.75</v>
      </c>
      <c r="F912" s="70">
        <v>139.75</v>
      </c>
      <c r="G912" s="320"/>
      <c r="H912" s="79">
        <v>119.62</v>
      </c>
      <c r="I912" s="79">
        <v>20.130000000000003</v>
      </c>
      <c r="J912" s="79">
        <v>139.75</v>
      </c>
      <c r="K912" s="79">
        <v>0</v>
      </c>
      <c r="L912" s="70">
        <v>139.75</v>
      </c>
      <c r="M912" s="132"/>
      <c r="N912" s="79">
        <v>119.62</v>
      </c>
      <c r="O912" s="79">
        <v>20.130000000000003</v>
      </c>
      <c r="P912" s="79">
        <v>139.75</v>
      </c>
      <c r="Q912" s="136"/>
      <c r="R912" s="79">
        <v>119.62</v>
      </c>
      <c r="S912" s="79">
        <v>20.14</v>
      </c>
      <c r="T912" s="79">
        <v>139.76</v>
      </c>
      <c r="U912" s="79">
        <v>0</v>
      </c>
      <c r="V912" s="189">
        <v>139.76</v>
      </c>
      <c r="X912" s="79">
        <v>119.62</v>
      </c>
      <c r="Y912" s="79">
        <v>20.14</v>
      </c>
      <c r="Z912" s="79">
        <v>139.76</v>
      </c>
      <c r="AA912" s="255">
        <v>-9.9999999999909051E-3</v>
      </c>
      <c r="AC912" s="254"/>
    </row>
    <row r="913" spans="1:29" ht="12">
      <c r="A913" s="489" t="s">
        <v>12236</v>
      </c>
      <c r="B913" s="490" t="s">
        <v>12237</v>
      </c>
      <c r="C913" s="491"/>
      <c r="D913" s="492"/>
      <c r="E913" s="79"/>
      <c r="F913" s="63"/>
      <c r="G913" s="320"/>
      <c r="H913" s="79"/>
      <c r="I913" s="79"/>
      <c r="J913" s="79"/>
      <c r="K913" s="79"/>
      <c r="L913" s="70"/>
      <c r="M913" s="132"/>
      <c r="N913" s="79"/>
      <c r="O913" s="79"/>
      <c r="P913" s="79"/>
      <c r="Q913" s="136"/>
      <c r="R913" s="79"/>
      <c r="S913" s="79"/>
      <c r="T913" s="79"/>
      <c r="U913" s="79"/>
      <c r="V913" s="189"/>
      <c r="X913" s="79"/>
      <c r="Y913" s="79"/>
      <c r="Z913" s="79"/>
      <c r="AA913" s="255"/>
      <c r="AC913" s="254"/>
    </row>
    <row r="914" spans="1:29" ht="12">
      <c r="A914" s="67" t="s">
        <v>12238</v>
      </c>
      <c r="B914" s="65" t="s">
        <v>12239</v>
      </c>
      <c r="C914" s="71" t="s">
        <v>509</v>
      </c>
      <c r="D914" s="78">
        <v>1</v>
      </c>
      <c r="E914" s="79">
        <v>87.43</v>
      </c>
      <c r="F914" s="70">
        <v>87.43</v>
      </c>
      <c r="G914" s="320"/>
      <c r="H914" s="79">
        <v>67.3</v>
      </c>
      <c r="I914" s="79">
        <v>20.130000000000003</v>
      </c>
      <c r="J914" s="79">
        <v>87.43</v>
      </c>
      <c r="K914" s="79">
        <v>0</v>
      </c>
      <c r="L914" s="70">
        <v>87.43</v>
      </c>
      <c r="M914" s="132"/>
      <c r="N914" s="79">
        <v>67.3</v>
      </c>
      <c r="O914" s="79">
        <v>20.130000000000003</v>
      </c>
      <c r="P914" s="79">
        <v>87.43</v>
      </c>
      <c r="Q914" s="136"/>
      <c r="R914" s="79">
        <v>67.3</v>
      </c>
      <c r="S914" s="79">
        <v>20.14</v>
      </c>
      <c r="T914" s="79">
        <v>87.44</v>
      </c>
      <c r="U914" s="79">
        <v>0</v>
      </c>
      <c r="V914" s="189">
        <v>87.44</v>
      </c>
      <c r="X914" s="79">
        <v>67.3</v>
      </c>
      <c r="Y914" s="79">
        <v>20.14</v>
      </c>
      <c r="Z914" s="79">
        <v>87.44</v>
      </c>
      <c r="AA914" s="255">
        <v>-9.9999999999909051E-3</v>
      </c>
      <c r="AC914" s="254"/>
    </row>
    <row r="915" spans="1:29" ht="12">
      <c r="A915" s="67" t="s">
        <v>12240</v>
      </c>
      <c r="B915" s="65" t="s">
        <v>12241</v>
      </c>
      <c r="C915" s="71" t="s">
        <v>509</v>
      </c>
      <c r="D915" s="78">
        <v>1</v>
      </c>
      <c r="E915" s="79">
        <v>126.44999999999999</v>
      </c>
      <c r="F915" s="70">
        <v>126.45</v>
      </c>
      <c r="G915" s="320"/>
      <c r="H915" s="79">
        <v>106.32</v>
      </c>
      <c r="I915" s="79">
        <v>20.130000000000003</v>
      </c>
      <c r="J915" s="79">
        <v>126.44999999999999</v>
      </c>
      <c r="K915" s="79">
        <v>0</v>
      </c>
      <c r="L915" s="70">
        <v>126.44999999999999</v>
      </c>
      <c r="M915" s="132"/>
      <c r="N915" s="79">
        <v>106.32</v>
      </c>
      <c r="O915" s="79">
        <v>20.130000000000003</v>
      </c>
      <c r="P915" s="79">
        <v>126.44999999999999</v>
      </c>
      <c r="Q915" s="136"/>
      <c r="R915" s="79">
        <v>106.32</v>
      </c>
      <c r="S915" s="79">
        <v>20.14</v>
      </c>
      <c r="T915" s="79">
        <v>126.46</v>
      </c>
      <c r="U915" s="79">
        <v>0</v>
      </c>
      <c r="V915" s="189">
        <v>126.46</v>
      </c>
      <c r="X915" s="79">
        <v>106.32</v>
      </c>
      <c r="Y915" s="79">
        <v>20.14</v>
      </c>
      <c r="Z915" s="79">
        <v>126.46</v>
      </c>
      <c r="AA915" s="255">
        <v>-9.9999999999909051E-3</v>
      </c>
      <c r="AC915" s="254"/>
    </row>
    <row r="916" spans="1:29" ht="12">
      <c r="A916" s="67" t="s">
        <v>12242</v>
      </c>
      <c r="B916" s="65" t="s">
        <v>12243</v>
      </c>
      <c r="C916" s="71" t="s">
        <v>165</v>
      </c>
      <c r="D916" s="78">
        <v>1</v>
      </c>
      <c r="E916" s="79">
        <v>177.4</v>
      </c>
      <c r="F916" s="70">
        <v>177.4</v>
      </c>
      <c r="G916" s="320"/>
      <c r="H916" s="79">
        <v>167.34</v>
      </c>
      <c r="I916" s="79">
        <v>10.06</v>
      </c>
      <c r="J916" s="79">
        <v>177.4</v>
      </c>
      <c r="K916" s="79">
        <v>0</v>
      </c>
      <c r="L916" s="70">
        <v>177.4</v>
      </c>
      <c r="M916" s="132"/>
      <c r="N916" s="79">
        <v>167.34</v>
      </c>
      <c r="O916" s="79">
        <v>10.06</v>
      </c>
      <c r="P916" s="79">
        <v>177.4</v>
      </c>
      <c r="Q916" s="136"/>
      <c r="R916" s="79">
        <v>167.34</v>
      </c>
      <c r="S916" s="79">
        <v>10.07</v>
      </c>
      <c r="T916" s="79">
        <v>177.41</v>
      </c>
      <c r="U916" s="79">
        <v>0</v>
      </c>
      <c r="V916" s="189">
        <v>177.41</v>
      </c>
      <c r="X916" s="79">
        <v>167.34</v>
      </c>
      <c r="Y916" s="79">
        <v>10.07</v>
      </c>
      <c r="Z916" s="79">
        <v>177.41</v>
      </c>
      <c r="AA916" s="255">
        <v>-9.9999999999909051E-3</v>
      </c>
      <c r="AC916" s="254"/>
    </row>
    <row r="917" spans="1:29" ht="12">
      <c r="A917" s="489" t="s">
        <v>12244</v>
      </c>
      <c r="B917" s="490" t="s">
        <v>12245</v>
      </c>
      <c r="C917" s="491"/>
      <c r="D917" s="492"/>
      <c r="E917" s="79"/>
      <c r="F917" s="63"/>
      <c r="G917" s="320"/>
      <c r="H917" s="79"/>
      <c r="I917" s="79"/>
      <c r="J917" s="79"/>
      <c r="K917" s="79"/>
      <c r="L917" s="70"/>
      <c r="M917" s="132"/>
      <c r="N917" s="79"/>
      <c r="O917" s="79"/>
      <c r="P917" s="79"/>
      <c r="Q917" s="136"/>
      <c r="R917" s="79"/>
      <c r="S917" s="79"/>
      <c r="T917" s="79"/>
      <c r="U917" s="79"/>
      <c r="V917" s="189"/>
      <c r="X917" s="79"/>
      <c r="Y917" s="79"/>
      <c r="Z917" s="79"/>
      <c r="AA917" s="255"/>
      <c r="AC917" s="254"/>
    </row>
    <row r="918" spans="1:29" ht="12">
      <c r="A918" s="67" t="s">
        <v>12246</v>
      </c>
      <c r="B918" s="65" t="s">
        <v>12247</v>
      </c>
      <c r="C918" s="71" t="s">
        <v>103</v>
      </c>
      <c r="D918" s="78">
        <v>1</v>
      </c>
      <c r="E918" s="79">
        <v>75.56</v>
      </c>
      <c r="F918" s="70">
        <v>75.56</v>
      </c>
      <c r="G918" s="320"/>
      <c r="H918" s="79">
        <v>70.52</v>
      </c>
      <c r="I918" s="79">
        <v>5.04</v>
      </c>
      <c r="J918" s="79">
        <v>75.56</v>
      </c>
      <c r="K918" s="79">
        <v>0</v>
      </c>
      <c r="L918" s="70">
        <v>75.56</v>
      </c>
      <c r="M918" s="132"/>
      <c r="N918" s="79">
        <v>70.52</v>
      </c>
      <c r="O918" s="79">
        <v>5.04</v>
      </c>
      <c r="P918" s="79">
        <v>75.56</v>
      </c>
      <c r="Q918" s="136"/>
      <c r="R918" s="79">
        <v>70.52</v>
      </c>
      <c r="S918" s="79">
        <v>5.03</v>
      </c>
      <c r="T918" s="79">
        <v>75.55</v>
      </c>
      <c r="U918" s="79">
        <v>0</v>
      </c>
      <c r="V918" s="189">
        <v>75.55</v>
      </c>
      <c r="X918" s="79">
        <v>70.52</v>
      </c>
      <c r="Y918" s="79">
        <v>5.03</v>
      </c>
      <c r="Z918" s="79">
        <v>75.55</v>
      </c>
      <c r="AA918" s="255">
        <v>1.0000000000005116E-2</v>
      </c>
      <c r="AC918" s="254"/>
    </row>
    <row r="919" spans="1:29" ht="12">
      <c r="A919" s="67" t="s">
        <v>12248</v>
      </c>
      <c r="B919" s="65" t="s">
        <v>12249</v>
      </c>
      <c r="C919" s="71" t="s">
        <v>103</v>
      </c>
      <c r="D919" s="78">
        <v>1</v>
      </c>
      <c r="E919" s="79">
        <v>75.56</v>
      </c>
      <c r="F919" s="70">
        <v>75.56</v>
      </c>
      <c r="G919" s="320"/>
      <c r="H919" s="79">
        <v>70.52</v>
      </c>
      <c r="I919" s="79">
        <v>5.04</v>
      </c>
      <c r="J919" s="79">
        <v>75.56</v>
      </c>
      <c r="K919" s="79">
        <v>0</v>
      </c>
      <c r="L919" s="70">
        <v>75.56</v>
      </c>
      <c r="M919" s="132"/>
      <c r="N919" s="79">
        <v>70.52</v>
      </c>
      <c r="O919" s="79">
        <v>5.04</v>
      </c>
      <c r="P919" s="79">
        <v>75.56</v>
      </c>
      <c r="Q919" s="136"/>
      <c r="R919" s="79">
        <v>70.52</v>
      </c>
      <c r="S919" s="79">
        <v>5.03</v>
      </c>
      <c r="T919" s="79">
        <v>75.55</v>
      </c>
      <c r="U919" s="79">
        <v>0</v>
      </c>
      <c r="V919" s="189">
        <v>75.55</v>
      </c>
      <c r="X919" s="79">
        <v>70.52</v>
      </c>
      <c r="Y919" s="79">
        <v>5.03</v>
      </c>
      <c r="Z919" s="79">
        <v>75.55</v>
      </c>
      <c r="AA919" s="255">
        <v>1.0000000000005116E-2</v>
      </c>
      <c r="AC919" s="254"/>
    </row>
    <row r="920" spans="1:29" ht="12">
      <c r="A920" s="489" t="s">
        <v>12250</v>
      </c>
      <c r="B920" s="490" t="s">
        <v>12251</v>
      </c>
      <c r="C920" s="491"/>
      <c r="D920" s="492"/>
      <c r="E920" s="79"/>
      <c r="F920" s="63"/>
      <c r="G920" s="320"/>
      <c r="H920" s="79"/>
      <c r="I920" s="79"/>
      <c r="J920" s="79"/>
      <c r="K920" s="79"/>
      <c r="L920" s="70"/>
      <c r="M920" s="132"/>
      <c r="N920" s="79"/>
      <c r="O920" s="79"/>
      <c r="P920" s="79"/>
      <c r="Q920" s="136"/>
      <c r="R920" s="79"/>
      <c r="S920" s="79"/>
      <c r="T920" s="79"/>
      <c r="U920" s="79"/>
      <c r="V920" s="189"/>
      <c r="X920" s="79"/>
      <c r="Y920" s="79"/>
      <c r="Z920" s="79"/>
      <c r="AA920" s="255"/>
      <c r="AC920" s="254"/>
    </row>
    <row r="921" spans="1:29" ht="12">
      <c r="A921" s="67" t="s">
        <v>12252</v>
      </c>
      <c r="B921" s="65" t="s">
        <v>12253</v>
      </c>
      <c r="C921" s="71" t="s">
        <v>509</v>
      </c>
      <c r="D921" s="78">
        <v>1</v>
      </c>
      <c r="E921" s="79">
        <v>959.9</v>
      </c>
      <c r="F921" s="70">
        <v>959.9</v>
      </c>
      <c r="G921" s="320"/>
      <c r="H921" s="79">
        <v>959.9</v>
      </c>
      <c r="I921" s="79">
        <v>0</v>
      </c>
      <c r="J921" s="79">
        <v>959.9</v>
      </c>
      <c r="K921" s="79">
        <v>0</v>
      </c>
      <c r="L921" s="70">
        <v>959.9</v>
      </c>
      <c r="M921" s="132"/>
      <c r="N921" s="79">
        <v>959.9</v>
      </c>
      <c r="O921" s="79"/>
      <c r="P921" s="79">
        <v>959.9</v>
      </c>
      <c r="Q921" s="136"/>
      <c r="R921" s="79">
        <v>959.9</v>
      </c>
      <c r="S921" s="79"/>
      <c r="T921" s="79">
        <v>959.9</v>
      </c>
      <c r="U921" s="79">
        <v>0</v>
      </c>
      <c r="V921" s="189">
        <v>959.9</v>
      </c>
      <c r="X921" s="79">
        <v>959.9</v>
      </c>
      <c r="Y921" s="79"/>
      <c r="Z921" s="79">
        <v>959.9</v>
      </c>
      <c r="AA921" s="255">
        <v>0</v>
      </c>
      <c r="AC921" s="254"/>
    </row>
    <row r="922" spans="1:29" ht="12">
      <c r="A922" s="489" t="s">
        <v>12254</v>
      </c>
      <c r="B922" s="490" t="s">
        <v>12255</v>
      </c>
      <c r="C922" s="491"/>
      <c r="D922" s="492"/>
      <c r="E922" s="79"/>
      <c r="F922" s="63"/>
      <c r="G922" s="320"/>
      <c r="H922" s="79"/>
      <c r="I922" s="79"/>
      <c r="J922" s="79"/>
      <c r="K922" s="79"/>
      <c r="L922" s="70"/>
      <c r="M922" s="132"/>
      <c r="N922" s="79"/>
      <c r="O922" s="79"/>
      <c r="P922" s="79"/>
      <c r="Q922" s="136"/>
      <c r="R922" s="79"/>
      <c r="S922" s="79"/>
      <c r="T922" s="79"/>
      <c r="U922" s="79"/>
      <c r="V922" s="189"/>
      <c r="X922" s="79"/>
      <c r="Y922" s="79"/>
      <c r="Z922" s="79"/>
      <c r="AA922" s="255"/>
      <c r="AC922" s="254"/>
    </row>
    <row r="923" spans="1:29" ht="12">
      <c r="A923" s="67" t="s">
        <v>12256</v>
      </c>
      <c r="B923" s="65" t="s">
        <v>12257</v>
      </c>
      <c r="C923" s="71" t="s">
        <v>509</v>
      </c>
      <c r="D923" s="78">
        <v>1</v>
      </c>
      <c r="E923" s="79">
        <v>235.14999999999998</v>
      </c>
      <c r="F923" s="70">
        <v>235.15</v>
      </c>
      <c r="G923" s="320"/>
      <c r="H923" s="79">
        <v>132.41999999999999</v>
      </c>
      <c r="I923" s="79">
        <v>102.73</v>
      </c>
      <c r="J923" s="79">
        <v>235.14999999999998</v>
      </c>
      <c r="K923" s="79">
        <v>0</v>
      </c>
      <c r="L923" s="70">
        <v>235.14999999999998</v>
      </c>
      <c r="M923" s="132"/>
      <c r="N923" s="79">
        <v>132.41999999999999</v>
      </c>
      <c r="O923" s="79">
        <v>102.73</v>
      </c>
      <c r="P923" s="79">
        <v>235.14999999999998</v>
      </c>
      <c r="Q923" s="136"/>
      <c r="R923" s="79">
        <v>132.41999999999999</v>
      </c>
      <c r="S923" s="79">
        <v>102.71</v>
      </c>
      <c r="T923" s="79">
        <v>235.13</v>
      </c>
      <c r="U923" s="79">
        <v>0</v>
      </c>
      <c r="V923" s="189">
        <v>235.13</v>
      </c>
      <c r="X923" s="79">
        <v>132.41999999999999</v>
      </c>
      <c r="Y923" s="79">
        <v>102.71</v>
      </c>
      <c r="Z923" s="79">
        <v>235.13</v>
      </c>
      <c r="AA923" s="501">
        <v>2.0000000000010232E-2</v>
      </c>
      <c r="AC923" s="254"/>
    </row>
    <row r="924" spans="1:29" ht="12">
      <c r="A924" s="67" t="s">
        <v>12258</v>
      </c>
      <c r="B924" s="65" t="s">
        <v>12259</v>
      </c>
      <c r="C924" s="71" t="s">
        <v>509</v>
      </c>
      <c r="D924" s="78">
        <v>1</v>
      </c>
      <c r="E924" s="79">
        <v>266.47000000000003</v>
      </c>
      <c r="F924" s="70">
        <v>266.47000000000003</v>
      </c>
      <c r="G924" s="320"/>
      <c r="H924" s="79">
        <v>174.01</v>
      </c>
      <c r="I924" s="79">
        <v>92.460000000000008</v>
      </c>
      <c r="J924" s="79">
        <v>266.47000000000003</v>
      </c>
      <c r="K924" s="79">
        <v>0</v>
      </c>
      <c r="L924" s="70">
        <v>266.47000000000003</v>
      </c>
      <c r="M924" s="132"/>
      <c r="N924" s="79">
        <v>174.01</v>
      </c>
      <c r="O924" s="79">
        <v>92.460000000000008</v>
      </c>
      <c r="P924" s="79">
        <v>266.47000000000003</v>
      </c>
      <c r="Q924" s="136"/>
      <c r="R924" s="79">
        <v>174.01</v>
      </c>
      <c r="S924" s="79">
        <v>92.45</v>
      </c>
      <c r="T924" s="79">
        <v>266.45999999999998</v>
      </c>
      <c r="U924" s="79">
        <v>0</v>
      </c>
      <c r="V924" s="189">
        <v>266.45999999999998</v>
      </c>
      <c r="X924" s="79">
        <v>174.01</v>
      </c>
      <c r="Y924" s="79">
        <v>92.45</v>
      </c>
      <c r="Z924" s="79">
        <v>266.45999999999998</v>
      </c>
      <c r="AA924" s="501">
        <v>1.0000000000047748E-2</v>
      </c>
      <c r="AC924" s="254"/>
    </row>
    <row r="925" spans="1:29" ht="12">
      <c r="A925" s="67" t="s">
        <v>12260</v>
      </c>
      <c r="B925" s="65" t="s">
        <v>12261</v>
      </c>
      <c r="C925" s="71" t="s">
        <v>509</v>
      </c>
      <c r="D925" s="78">
        <v>1</v>
      </c>
      <c r="E925" s="79">
        <v>275.01</v>
      </c>
      <c r="F925" s="70">
        <v>275.01</v>
      </c>
      <c r="G925" s="320"/>
      <c r="H925" s="79">
        <v>172.28</v>
      </c>
      <c r="I925" s="79">
        <v>102.73</v>
      </c>
      <c r="J925" s="79">
        <v>275.01</v>
      </c>
      <c r="K925" s="79">
        <v>0</v>
      </c>
      <c r="L925" s="70">
        <v>275.01</v>
      </c>
      <c r="M925" s="132"/>
      <c r="N925" s="79">
        <v>172.28</v>
      </c>
      <c r="O925" s="79">
        <v>102.73</v>
      </c>
      <c r="P925" s="79">
        <v>275.01</v>
      </c>
      <c r="Q925" s="136"/>
      <c r="R925" s="79">
        <v>172.28</v>
      </c>
      <c r="S925" s="79">
        <v>102.71</v>
      </c>
      <c r="T925" s="79">
        <v>274.99</v>
      </c>
      <c r="U925" s="79">
        <v>0</v>
      </c>
      <c r="V925" s="189">
        <v>274.99</v>
      </c>
      <c r="X925" s="79">
        <v>172.28</v>
      </c>
      <c r="Y925" s="79">
        <v>102.71</v>
      </c>
      <c r="Z925" s="79">
        <v>274.99</v>
      </c>
      <c r="AA925" s="501">
        <v>1.999999999998181E-2</v>
      </c>
      <c r="AC925" s="254"/>
    </row>
    <row r="926" spans="1:29" ht="12">
      <c r="A926" s="489" t="s">
        <v>12262</v>
      </c>
      <c r="B926" s="490" t="s">
        <v>12263</v>
      </c>
      <c r="C926" s="491"/>
      <c r="D926" s="492"/>
      <c r="E926" s="79"/>
      <c r="F926" s="63"/>
      <c r="G926" s="320"/>
      <c r="H926" s="79"/>
      <c r="I926" s="79"/>
      <c r="J926" s="79"/>
      <c r="K926" s="79"/>
      <c r="L926" s="70"/>
      <c r="M926" s="132"/>
      <c r="N926" s="79"/>
      <c r="O926" s="79"/>
      <c r="P926" s="79"/>
      <c r="Q926" s="136"/>
      <c r="R926" s="79"/>
      <c r="S926" s="79"/>
      <c r="T926" s="79"/>
      <c r="U926" s="79"/>
      <c r="V926" s="189"/>
      <c r="X926" s="79"/>
      <c r="Y926" s="79"/>
      <c r="Z926" s="79"/>
      <c r="AA926" s="255"/>
      <c r="AC926" s="254"/>
    </row>
    <row r="927" spans="1:29" ht="12">
      <c r="A927" s="67" t="s">
        <v>12264</v>
      </c>
      <c r="B927" s="65" t="s">
        <v>12265</v>
      </c>
      <c r="C927" s="71" t="s">
        <v>165</v>
      </c>
      <c r="D927" s="78">
        <v>1</v>
      </c>
      <c r="E927" s="79">
        <v>118.83</v>
      </c>
      <c r="F927" s="70">
        <v>118.83</v>
      </c>
      <c r="G927" s="320"/>
      <c r="H927" s="79">
        <v>57.41</v>
      </c>
      <c r="I927" s="79">
        <v>61.42</v>
      </c>
      <c r="J927" s="79">
        <v>118.83</v>
      </c>
      <c r="K927" s="79">
        <v>0</v>
      </c>
      <c r="L927" s="70">
        <v>118.83</v>
      </c>
      <c r="M927" s="132"/>
      <c r="N927" s="79">
        <v>57.41</v>
      </c>
      <c r="O927" s="79">
        <v>61.42</v>
      </c>
      <c r="P927" s="79">
        <v>118.83</v>
      </c>
      <c r="Q927" s="136"/>
      <c r="R927" s="79">
        <v>57.41</v>
      </c>
      <c r="S927" s="79">
        <v>61.41</v>
      </c>
      <c r="T927" s="79">
        <v>118.82</v>
      </c>
      <c r="U927" s="79">
        <v>0</v>
      </c>
      <c r="V927" s="189">
        <v>118.82</v>
      </c>
      <c r="X927" s="79">
        <v>57.41</v>
      </c>
      <c r="Y927" s="79">
        <v>61.41</v>
      </c>
      <c r="Z927" s="79">
        <v>118.82</v>
      </c>
      <c r="AA927" s="255">
        <v>1.0000000000005116E-2</v>
      </c>
      <c r="AC927" s="254"/>
    </row>
    <row r="928" spans="1:29" ht="12">
      <c r="A928" s="67" t="s">
        <v>12266</v>
      </c>
      <c r="B928" s="65" t="s">
        <v>12267</v>
      </c>
      <c r="C928" s="71" t="s">
        <v>165</v>
      </c>
      <c r="D928" s="78">
        <v>1</v>
      </c>
      <c r="E928" s="79">
        <v>161.63</v>
      </c>
      <c r="F928" s="70">
        <v>161.63</v>
      </c>
      <c r="G928" s="320"/>
      <c r="H928" s="79">
        <v>89.05</v>
      </c>
      <c r="I928" s="79">
        <v>72.58</v>
      </c>
      <c r="J928" s="79">
        <v>161.63</v>
      </c>
      <c r="K928" s="79">
        <v>0</v>
      </c>
      <c r="L928" s="70">
        <v>161.63</v>
      </c>
      <c r="M928" s="132"/>
      <c r="N928" s="79">
        <v>89.05</v>
      </c>
      <c r="O928" s="79">
        <v>72.58</v>
      </c>
      <c r="P928" s="79">
        <v>161.63</v>
      </c>
      <c r="Q928" s="136"/>
      <c r="R928" s="79">
        <v>89.05</v>
      </c>
      <c r="S928" s="79">
        <v>72.58</v>
      </c>
      <c r="T928" s="79">
        <v>161.63</v>
      </c>
      <c r="U928" s="79">
        <v>0</v>
      </c>
      <c r="V928" s="189">
        <v>161.63</v>
      </c>
      <c r="X928" s="79">
        <v>89.05</v>
      </c>
      <c r="Y928" s="79">
        <v>72.58</v>
      </c>
      <c r="Z928" s="79">
        <v>161.63</v>
      </c>
      <c r="AA928" s="255">
        <v>0</v>
      </c>
      <c r="AC928" s="254"/>
    </row>
    <row r="929" spans="1:29" ht="12">
      <c r="A929" s="67" t="s">
        <v>12268</v>
      </c>
      <c r="B929" s="65" t="s">
        <v>12269</v>
      </c>
      <c r="C929" s="71" t="s">
        <v>165</v>
      </c>
      <c r="D929" s="78">
        <v>1</v>
      </c>
      <c r="E929" s="79">
        <v>244.73</v>
      </c>
      <c r="F929" s="70">
        <v>244.73</v>
      </c>
      <c r="G929" s="320"/>
      <c r="H929" s="79">
        <v>166.58</v>
      </c>
      <c r="I929" s="79">
        <v>78.149999999999991</v>
      </c>
      <c r="J929" s="79">
        <v>244.73000000000002</v>
      </c>
      <c r="K929" s="79">
        <v>0</v>
      </c>
      <c r="L929" s="70">
        <v>244.73000000000002</v>
      </c>
      <c r="M929" s="132"/>
      <c r="N929" s="79">
        <v>166.58</v>
      </c>
      <c r="O929" s="79">
        <v>78.149999999999991</v>
      </c>
      <c r="P929" s="79">
        <v>244.73000000000002</v>
      </c>
      <c r="Q929" s="136"/>
      <c r="R929" s="79">
        <v>166.58</v>
      </c>
      <c r="S929" s="79">
        <v>78.16</v>
      </c>
      <c r="T929" s="79">
        <v>244.74</v>
      </c>
      <c r="U929" s="79">
        <v>0</v>
      </c>
      <c r="V929" s="189">
        <v>244.74</v>
      </c>
      <c r="X929" s="79">
        <v>166.58</v>
      </c>
      <c r="Y929" s="79">
        <v>78.16</v>
      </c>
      <c r="Z929" s="79">
        <v>244.74</v>
      </c>
      <c r="AA929" s="255">
        <v>-1.0000000000019327E-2</v>
      </c>
      <c r="AC929" s="254"/>
    </row>
    <row r="930" spans="1:29" ht="12">
      <c r="A930" s="67" t="s">
        <v>12270</v>
      </c>
      <c r="B930" s="65" t="s">
        <v>12271</v>
      </c>
      <c r="C930" s="71" t="s">
        <v>165</v>
      </c>
      <c r="D930" s="78">
        <v>1</v>
      </c>
      <c r="E930" s="79">
        <v>106.09</v>
      </c>
      <c r="F930" s="70">
        <v>106.09</v>
      </c>
      <c r="G930" s="320"/>
      <c r="H930" s="79">
        <v>44.67</v>
      </c>
      <c r="I930" s="79">
        <v>61.42</v>
      </c>
      <c r="J930" s="79">
        <v>106.09</v>
      </c>
      <c r="K930" s="79">
        <v>0</v>
      </c>
      <c r="L930" s="70">
        <v>106.09</v>
      </c>
      <c r="M930" s="132"/>
      <c r="N930" s="79">
        <v>44.67</v>
      </c>
      <c r="O930" s="79">
        <v>61.42</v>
      </c>
      <c r="P930" s="79">
        <v>106.09</v>
      </c>
      <c r="Q930" s="136"/>
      <c r="R930" s="79">
        <v>44.67</v>
      </c>
      <c r="S930" s="79">
        <v>61.41</v>
      </c>
      <c r="T930" s="79">
        <v>106.08</v>
      </c>
      <c r="U930" s="79">
        <v>0</v>
      </c>
      <c r="V930" s="189">
        <v>106.08</v>
      </c>
      <c r="X930" s="79">
        <v>44.67</v>
      </c>
      <c r="Y930" s="79">
        <v>61.41</v>
      </c>
      <c r="Z930" s="79">
        <v>106.08</v>
      </c>
      <c r="AA930" s="255">
        <v>1.0000000000005116E-2</v>
      </c>
      <c r="AC930" s="254"/>
    </row>
    <row r="931" spans="1:29" ht="12">
      <c r="A931" s="67" t="s">
        <v>12272</v>
      </c>
      <c r="B931" s="65" t="s">
        <v>12273</v>
      </c>
      <c r="C931" s="71" t="s">
        <v>165</v>
      </c>
      <c r="D931" s="78">
        <v>1</v>
      </c>
      <c r="E931" s="79">
        <v>140.69999999999999</v>
      </c>
      <c r="F931" s="70">
        <v>140.69999999999999</v>
      </c>
      <c r="G931" s="320"/>
      <c r="H931" s="79">
        <v>68.12</v>
      </c>
      <c r="I931" s="79">
        <v>72.58</v>
      </c>
      <c r="J931" s="79">
        <v>140.69999999999999</v>
      </c>
      <c r="K931" s="79">
        <v>0</v>
      </c>
      <c r="L931" s="70">
        <v>140.69999999999999</v>
      </c>
      <c r="M931" s="132"/>
      <c r="N931" s="79">
        <v>68.12</v>
      </c>
      <c r="O931" s="79">
        <v>72.58</v>
      </c>
      <c r="P931" s="79">
        <v>140.69999999999999</v>
      </c>
      <c r="Q931" s="136"/>
      <c r="R931" s="79">
        <v>68.12</v>
      </c>
      <c r="S931" s="79">
        <v>72.58</v>
      </c>
      <c r="T931" s="79">
        <v>140.69999999999999</v>
      </c>
      <c r="U931" s="79">
        <v>0</v>
      </c>
      <c r="V931" s="189">
        <v>140.69999999999999</v>
      </c>
      <c r="X931" s="79">
        <v>68.12</v>
      </c>
      <c r="Y931" s="79">
        <v>72.58</v>
      </c>
      <c r="Z931" s="79">
        <v>140.69999999999999</v>
      </c>
      <c r="AA931" s="255">
        <v>0</v>
      </c>
      <c r="AC931" s="254"/>
    </row>
    <row r="932" spans="1:29" ht="12">
      <c r="A932" s="67" t="s">
        <v>12274</v>
      </c>
      <c r="B932" s="65" t="s">
        <v>12275</v>
      </c>
      <c r="C932" s="71" t="s">
        <v>165</v>
      </c>
      <c r="D932" s="78">
        <v>1</v>
      </c>
      <c r="E932" s="79">
        <v>159.48000000000002</v>
      </c>
      <c r="F932" s="70">
        <v>159.47999999999999</v>
      </c>
      <c r="G932" s="320"/>
      <c r="H932" s="79">
        <v>106.46000000000001</v>
      </c>
      <c r="I932" s="79">
        <v>53.019999999999996</v>
      </c>
      <c r="J932" s="79">
        <v>159.48000000000002</v>
      </c>
      <c r="K932" s="79">
        <v>0</v>
      </c>
      <c r="L932" s="70">
        <v>159.48000000000002</v>
      </c>
      <c r="M932" s="132"/>
      <c r="N932" s="79">
        <v>106.46000000000001</v>
      </c>
      <c r="O932" s="79">
        <v>53.019999999999996</v>
      </c>
      <c r="P932" s="79">
        <v>159.48000000000002</v>
      </c>
      <c r="Q932" s="136"/>
      <c r="R932" s="79">
        <v>106.46</v>
      </c>
      <c r="S932" s="79">
        <v>53.03</v>
      </c>
      <c r="T932" s="79">
        <v>159.49</v>
      </c>
      <c r="U932" s="79">
        <v>0</v>
      </c>
      <c r="V932" s="189">
        <v>159.49</v>
      </c>
      <c r="X932" s="79">
        <v>106.46</v>
      </c>
      <c r="Y932" s="79">
        <v>53.03</v>
      </c>
      <c r="Z932" s="79">
        <v>159.49</v>
      </c>
      <c r="AA932" s="255">
        <v>-1.0000000000019327E-2</v>
      </c>
      <c r="AC932" s="254"/>
    </row>
    <row r="933" spans="1:29" ht="12">
      <c r="A933" s="67" t="s">
        <v>12276</v>
      </c>
      <c r="B933" s="65" t="s">
        <v>12277</v>
      </c>
      <c r="C933" s="71" t="s">
        <v>103</v>
      </c>
      <c r="D933" s="78">
        <v>1</v>
      </c>
      <c r="E933" s="79">
        <v>17.59</v>
      </c>
      <c r="F933" s="70">
        <v>17.59</v>
      </c>
      <c r="G933" s="320"/>
      <c r="H933" s="79">
        <v>15.99</v>
      </c>
      <c r="I933" s="79">
        <v>1.6</v>
      </c>
      <c r="J933" s="79">
        <v>17.59</v>
      </c>
      <c r="K933" s="79">
        <v>0</v>
      </c>
      <c r="L933" s="70">
        <v>17.59</v>
      </c>
      <c r="M933" s="132"/>
      <c r="N933" s="79">
        <v>15.99</v>
      </c>
      <c r="O933" s="79">
        <v>1.6</v>
      </c>
      <c r="P933" s="79">
        <v>17.59</v>
      </c>
      <c r="Q933" s="136"/>
      <c r="R933" s="79">
        <v>15.99</v>
      </c>
      <c r="S933" s="79">
        <v>1.59</v>
      </c>
      <c r="T933" s="79">
        <v>17.580000000000002</v>
      </c>
      <c r="U933" s="79">
        <v>0</v>
      </c>
      <c r="V933" s="189">
        <v>17.580000000000002</v>
      </c>
      <c r="X933" s="79">
        <v>15.99</v>
      </c>
      <c r="Y933" s="79">
        <v>1.59</v>
      </c>
      <c r="Z933" s="79">
        <v>17.579999999999998</v>
      </c>
      <c r="AA933" s="255">
        <v>1.0000000000001563E-2</v>
      </c>
      <c r="AC933" s="254"/>
    </row>
    <row r="934" spans="1:29" ht="12">
      <c r="A934" s="67" t="s">
        <v>12278</v>
      </c>
      <c r="B934" s="65" t="s">
        <v>12279</v>
      </c>
      <c r="C934" s="71" t="s">
        <v>103</v>
      </c>
      <c r="D934" s="78">
        <v>1</v>
      </c>
      <c r="E934" s="79">
        <v>20.91</v>
      </c>
      <c r="F934" s="70">
        <v>20.91</v>
      </c>
      <c r="G934" s="320"/>
      <c r="H934" s="79">
        <v>18.63</v>
      </c>
      <c r="I934" s="79">
        <v>2.2800000000000002</v>
      </c>
      <c r="J934" s="79">
        <v>20.91</v>
      </c>
      <c r="K934" s="79">
        <v>0</v>
      </c>
      <c r="L934" s="70">
        <v>20.91</v>
      </c>
      <c r="M934" s="132"/>
      <c r="N934" s="79">
        <v>18.63</v>
      </c>
      <c r="O934" s="79">
        <v>2.2800000000000002</v>
      </c>
      <c r="P934" s="79">
        <v>20.91</v>
      </c>
      <c r="Q934" s="136"/>
      <c r="R934" s="79">
        <v>18.63</v>
      </c>
      <c r="S934" s="79">
        <v>2.27</v>
      </c>
      <c r="T934" s="79">
        <v>20.9</v>
      </c>
      <c r="U934" s="79">
        <v>0</v>
      </c>
      <c r="V934" s="189">
        <v>20.9</v>
      </c>
      <c r="X934" s="79">
        <v>18.63</v>
      </c>
      <c r="Y934" s="79">
        <v>2.27</v>
      </c>
      <c r="Z934" s="79">
        <v>20.9</v>
      </c>
      <c r="AA934" s="255">
        <v>1.0000000000001563E-2</v>
      </c>
      <c r="AC934" s="254"/>
    </row>
    <row r="935" spans="1:29" ht="12">
      <c r="A935" s="67" t="s">
        <v>12280</v>
      </c>
      <c r="B935" s="65" t="s">
        <v>12281</v>
      </c>
      <c r="C935" s="71" t="s">
        <v>103</v>
      </c>
      <c r="D935" s="78">
        <v>1</v>
      </c>
      <c r="E935" s="79">
        <v>23.689999999999998</v>
      </c>
      <c r="F935" s="70">
        <v>23.69</v>
      </c>
      <c r="G935" s="320"/>
      <c r="H935" s="79">
        <v>20.52</v>
      </c>
      <c r="I935" s="79">
        <v>3.17</v>
      </c>
      <c r="J935" s="79">
        <v>23.689999999999998</v>
      </c>
      <c r="K935" s="79">
        <v>0</v>
      </c>
      <c r="L935" s="70">
        <v>23.689999999999998</v>
      </c>
      <c r="M935" s="132"/>
      <c r="N935" s="79">
        <v>20.52</v>
      </c>
      <c r="O935" s="79">
        <v>3.17</v>
      </c>
      <c r="P935" s="79">
        <v>23.689999999999998</v>
      </c>
      <c r="Q935" s="136"/>
      <c r="R935" s="79">
        <v>20.52</v>
      </c>
      <c r="S935" s="79">
        <v>3.18</v>
      </c>
      <c r="T935" s="79">
        <v>23.7</v>
      </c>
      <c r="U935" s="79">
        <v>0</v>
      </c>
      <c r="V935" s="189">
        <v>23.7</v>
      </c>
      <c r="X935" s="79">
        <v>20.52</v>
      </c>
      <c r="Y935" s="79">
        <v>3.18</v>
      </c>
      <c r="Z935" s="79">
        <v>23.7</v>
      </c>
      <c r="AA935" s="255">
        <v>-9.9999999999980105E-3</v>
      </c>
      <c r="AC935" s="254"/>
    </row>
    <row r="936" spans="1:29" ht="12">
      <c r="A936" s="489" t="s">
        <v>12282</v>
      </c>
      <c r="B936" s="490" t="s">
        <v>12283</v>
      </c>
      <c r="C936" s="491"/>
      <c r="D936" s="492"/>
      <c r="E936" s="79"/>
      <c r="F936" s="63"/>
      <c r="G936" s="320"/>
      <c r="H936" s="79"/>
      <c r="I936" s="79"/>
      <c r="J936" s="79"/>
      <c r="K936" s="79"/>
      <c r="L936" s="70"/>
      <c r="M936" s="132"/>
      <c r="N936" s="79"/>
      <c r="O936" s="79"/>
      <c r="P936" s="79"/>
      <c r="Q936" s="136"/>
      <c r="R936" s="79"/>
      <c r="S936" s="79"/>
      <c r="T936" s="79"/>
      <c r="U936" s="79"/>
      <c r="V936" s="189"/>
      <c r="X936" s="79"/>
      <c r="Y936" s="79"/>
      <c r="Z936" s="79"/>
      <c r="AA936" s="255"/>
      <c r="AC936" s="254"/>
    </row>
    <row r="937" spans="1:29" ht="12">
      <c r="A937" s="67" t="s">
        <v>12284</v>
      </c>
      <c r="B937" s="65" t="s">
        <v>12285</v>
      </c>
      <c r="C937" s="71" t="s">
        <v>165</v>
      </c>
      <c r="D937" s="78">
        <v>1</v>
      </c>
      <c r="E937" s="79">
        <v>22.72</v>
      </c>
      <c r="F937" s="70">
        <v>22.72</v>
      </c>
      <c r="G937" s="320"/>
      <c r="H937" s="79">
        <v>2.59</v>
      </c>
      <c r="I937" s="79">
        <v>20.130000000000003</v>
      </c>
      <c r="J937" s="79">
        <v>22.720000000000002</v>
      </c>
      <c r="K937" s="79">
        <v>0</v>
      </c>
      <c r="L937" s="70">
        <v>22.720000000000002</v>
      </c>
      <c r="M937" s="132"/>
      <c r="N937" s="79">
        <v>2.59</v>
      </c>
      <c r="O937" s="79">
        <v>20.130000000000003</v>
      </c>
      <c r="P937" s="79">
        <v>22.720000000000002</v>
      </c>
      <c r="Q937" s="136"/>
      <c r="R937" s="79">
        <v>2.59</v>
      </c>
      <c r="S937" s="79">
        <v>20.14</v>
      </c>
      <c r="T937" s="79">
        <v>22.73</v>
      </c>
      <c r="U937" s="79">
        <v>0</v>
      </c>
      <c r="V937" s="189">
        <v>22.73</v>
      </c>
      <c r="X937" s="79">
        <v>2.59</v>
      </c>
      <c r="Y937" s="79">
        <v>20.14</v>
      </c>
      <c r="Z937" s="79">
        <v>22.73</v>
      </c>
      <c r="AA937" s="255">
        <v>-1.0000000000001563E-2</v>
      </c>
      <c r="AC937" s="254"/>
    </row>
    <row r="938" spans="1:29" ht="12">
      <c r="A938" s="67" t="s">
        <v>12286</v>
      </c>
      <c r="B938" s="65" t="s">
        <v>12287</v>
      </c>
      <c r="C938" s="71" t="s">
        <v>509</v>
      </c>
      <c r="D938" s="78">
        <v>1</v>
      </c>
      <c r="E938" s="79">
        <v>54.8</v>
      </c>
      <c r="F938" s="70">
        <v>54.8</v>
      </c>
      <c r="G938" s="320"/>
      <c r="H938" s="79">
        <v>0</v>
      </c>
      <c r="I938" s="79">
        <v>54.8</v>
      </c>
      <c r="J938" s="79">
        <v>54.8</v>
      </c>
      <c r="K938" s="79">
        <v>0</v>
      </c>
      <c r="L938" s="70">
        <v>54.8</v>
      </c>
      <c r="M938" s="132"/>
      <c r="N938" s="79"/>
      <c r="O938" s="79">
        <v>54.8</v>
      </c>
      <c r="P938" s="79">
        <v>54.8</v>
      </c>
      <c r="Q938" s="136"/>
      <c r="R938" s="79"/>
      <c r="S938" s="79">
        <v>54.8</v>
      </c>
      <c r="T938" s="79">
        <v>54.8</v>
      </c>
      <c r="U938" s="79">
        <v>0</v>
      </c>
      <c r="V938" s="189">
        <v>54.8</v>
      </c>
      <c r="X938" s="79"/>
      <c r="Y938" s="79">
        <v>54.8</v>
      </c>
      <c r="Z938" s="79">
        <v>54.8</v>
      </c>
      <c r="AA938" s="255">
        <v>0</v>
      </c>
      <c r="AC938" s="254"/>
    </row>
    <row r="939" spans="1:29" ht="12">
      <c r="A939" s="67" t="s">
        <v>12288</v>
      </c>
      <c r="B939" s="65" t="s">
        <v>12289</v>
      </c>
      <c r="C939" s="71" t="s">
        <v>509</v>
      </c>
      <c r="D939" s="78">
        <v>1</v>
      </c>
      <c r="E939" s="79">
        <v>54.8</v>
      </c>
      <c r="F939" s="70">
        <v>54.8</v>
      </c>
      <c r="G939" s="320"/>
      <c r="H939" s="79">
        <v>0</v>
      </c>
      <c r="I939" s="79">
        <v>54.8</v>
      </c>
      <c r="J939" s="79">
        <v>54.8</v>
      </c>
      <c r="K939" s="79">
        <v>0</v>
      </c>
      <c r="L939" s="70">
        <v>54.8</v>
      </c>
      <c r="M939" s="132"/>
      <c r="N939" s="79"/>
      <c r="O939" s="79">
        <v>54.8</v>
      </c>
      <c r="P939" s="79">
        <v>54.8</v>
      </c>
      <c r="Q939" s="136"/>
      <c r="R939" s="79"/>
      <c r="S939" s="79">
        <v>54.8</v>
      </c>
      <c r="T939" s="79">
        <v>54.8</v>
      </c>
      <c r="U939" s="79">
        <v>0</v>
      </c>
      <c r="V939" s="189">
        <v>54.8</v>
      </c>
      <c r="X939" s="79"/>
      <c r="Y939" s="79">
        <v>54.8</v>
      </c>
      <c r="Z939" s="79">
        <v>54.8</v>
      </c>
      <c r="AA939" s="255">
        <v>0</v>
      </c>
      <c r="AC939" s="254"/>
    </row>
    <row r="940" spans="1:29" ht="12">
      <c r="A940" s="67" t="s">
        <v>12290</v>
      </c>
      <c r="B940" s="65" t="s">
        <v>12291</v>
      </c>
      <c r="C940" s="71" t="s">
        <v>509</v>
      </c>
      <c r="D940" s="78">
        <v>1</v>
      </c>
      <c r="E940" s="79">
        <v>25.2</v>
      </c>
      <c r="F940" s="70">
        <v>25.2</v>
      </c>
      <c r="G940" s="320"/>
      <c r="H940" s="79">
        <v>0</v>
      </c>
      <c r="I940" s="79">
        <v>25.2</v>
      </c>
      <c r="J940" s="79">
        <v>25.2</v>
      </c>
      <c r="K940" s="79">
        <v>0</v>
      </c>
      <c r="L940" s="70">
        <v>25.2</v>
      </c>
      <c r="M940" s="132"/>
      <c r="N940" s="79"/>
      <c r="O940" s="79">
        <v>25.2</v>
      </c>
      <c r="P940" s="79">
        <v>25.2</v>
      </c>
      <c r="Q940" s="136"/>
      <c r="R940" s="79"/>
      <c r="S940" s="79">
        <v>25.18</v>
      </c>
      <c r="T940" s="79">
        <v>25.18</v>
      </c>
      <c r="U940" s="79">
        <v>0</v>
      </c>
      <c r="V940" s="189">
        <v>25.18</v>
      </c>
      <c r="X940" s="79"/>
      <c r="Y940" s="79">
        <v>25.18</v>
      </c>
      <c r="Z940" s="79">
        <v>25.18</v>
      </c>
      <c r="AA940" s="255">
        <v>1.9999999999999574E-2</v>
      </c>
      <c r="AC940" s="254"/>
    </row>
    <row r="941" spans="1:29" ht="12">
      <c r="A941" s="67" t="s">
        <v>12292</v>
      </c>
      <c r="B941" s="65" t="s">
        <v>12293</v>
      </c>
      <c r="C941" s="71" t="s">
        <v>509</v>
      </c>
      <c r="D941" s="78">
        <v>1</v>
      </c>
      <c r="E941" s="79">
        <v>36.54</v>
      </c>
      <c r="F941" s="70">
        <v>36.54</v>
      </c>
      <c r="G941" s="320"/>
      <c r="H941" s="79">
        <v>0</v>
      </c>
      <c r="I941" s="79">
        <v>36.54</v>
      </c>
      <c r="J941" s="79">
        <v>36.54</v>
      </c>
      <c r="K941" s="79">
        <v>0</v>
      </c>
      <c r="L941" s="70">
        <v>36.54</v>
      </c>
      <c r="M941" s="132"/>
      <c r="N941" s="79"/>
      <c r="O941" s="79">
        <v>36.54</v>
      </c>
      <c r="P941" s="79">
        <v>36.54</v>
      </c>
      <c r="Q941" s="136"/>
      <c r="R941" s="79"/>
      <c r="S941" s="79">
        <v>36.53</v>
      </c>
      <c r="T941" s="79">
        <v>36.53</v>
      </c>
      <c r="U941" s="79">
        <v>0</v>
      </c>
      <c r="V941" s="189">
        <v>36.53</v>
      </c>
      <c r="X941" s="79"/>
      <c r="Y941" s="79">
        <v>36.53</v>
      </c>
      <c r="Z941" s="79">
        <v>36.53</v>
      </c>
      <c r="AA941" s="255">
        <v>9.9999999999980105E-3</v>
      </c>
      <c r="AC941" s="254"/>
    </row>
    <row r="942" spans="1:29" ht="12">
      <c r="A942" s="67" t="s">
        <v>12294</v>
      </c>
      <c r="B942" s="65" t="s">
        <v>12295</v>
      </c>
      <c r="C942" s="71" t="s">
        <v>509</v>
      </c>
      <c r="D942" s="78">
        <v>1</v>
      </c>
      <c r="E942" s="79">
        <v>23.28</v>
      </c>
      <c r="F942" s="70">
        <v>23.28</v>
      </c>
      <c r="G942" s="320"/>
      <c r="H942" s="79">
        <v>3.15</v>
      </c>
      <c r="I942" s="79">
        <v>20.130000000000003</v>
      </c>
      <c r="J942" s="79">
        <v>23.28</v>
      </c>
      <c r="K942" s="79">
        <v>0</v>
      </c>
      <c r="L942" s="70">
        <v>23.28</v>
      </c>
      <c r="M942" s="132"/>
      <c r="N942" s="79">
        <v>3.15</v>
      </c>
      <c r="O942" s="79">
        <v>20.130000000000003</v>
      </c>
      <c r="P942" s="79">
        <v>23.28</v>
      </c>
      <c r="Q942" s="136"/>
      <c r="R942" s="79">
        <v>3.15</v>
      </c>
      <c r="S942" s="79">
        <v>20.14</v>
      </c>
      <c r="T942" s="79">
        <v>23.29</v>
      </c>
      <c r="U942" s="79">
        <v>0</v>
      </c>
      <c r="V942" s="189">
        <v>23.29</v>
      </c>
      <c r="X942" s="79">
        <v>3.15</v>
      </c>
      <c r="Y942" s="79">
        <v>20.14</v>
      </c>
      <c r="Z942" s="79">
        <v>23.29</v>
      </c>
      <c r="AA942" s="255">
        <v>-9.9999999999980105E-3</v>
      </c>
      <c r="AC942" s="254"/>
    </row>
    <row r="943" spans="1:29" ht="12">
      <c r="A943" s="67" t="s">
        <v>12296</v>
      </c>
      <c r="B943" s="65" t="s">
        <v>12297</v>
      </c>
      <c r="C943" s="71" t="s">
        <v>509</v>
      </c>
      <c r="D943" s="78">
        <v>1</v>
      </c>
      <c r="E943" s="79">
        <v>29.580000000000002</v>
      </c>
      <c r="F943" s="70">
        <v>29.58</v>
      </c>
      <c r="G943" s="320"/>
      <c r="H943" s="79">
        <v>9.4499999999999993</v>
      </c>
      <c r="I943" s="79">
        <v>20.130000000000003</v>
      </c>
      <c r="J943" s="79">
        <v>29.580000000000002</v>
      </c>
      <c r="K943" s="79">
        <v>0</v>
      </c>
      <c r="L943" s="70">
        <v>29.580000000000002</v>
      </c>
      <c r="M943" s="132"/>
      <c r="N943" s="79">
        <v>9.4499999999999993</v>
      </c>
      <c r="O943" s="79">
        <v>20.130000000000003</v>
      </c>
      <c r="P943" s="79">
        <v>29.580000000000002</v>
      </c>
      <c r="Q943" s="136"/>
      <c r="R943" s="79">
        <v>9.4499999999999993</v>
      </c>
      <c r="S943" s="79">
        <v>20.14</v>
      </c>
      <c r="T943" s="79">
        <v>29.59</v>
      </c>
      <c r="U943" s="79">
        <v>0</v>
      </c>
      <c r="V943" s="189">
        <v>29.59</v>
      </c>
      <c r="X943" s="79">
        <v>9.4499999999999993</v>
      </c>
      <c r="Y943" s="79">
        <v>20.14</v>
      </c>
      <c r="Z943" s="79">
        <v>29.59</v>
      </c>
      <c r="AA943" s="255">
        <v>-1.0000000000001563E-2</v>
      </c>
      <c r="AC943" s="254"/>
    </row>
    <row r="944" spans="1:29" ht="12">
      <c r="A944" s="489" t="s">
        <v>12298</v>
      </c>
      <c r="B944" s="490" t="s">
        <v>12299</v>
      </c>
      <c r="C944" s="491"/>
      <c r="D944" s="492"/>
      <c r="E944" s="79"/>
      <c r="F944" s="63"/>
      <c r="G944" s="320"/>
      <c r="H944" s="79"/>
      <c r="I944" s="79"/>
      <c r="J944" s="79"/>
      <c r="K944" s="79"/>
      <c r="L944" s="70"/>
      <c r="M944" s="132"/>
      <c r="N944" s="79"/>
      <c r="O944" s="79"/>
      <c r="P944" s="79"/>
      <c r="Q944" s="136"/>
      <c r="R944" s="79"/>
      <c r="S944" s="79"/>
      <c r="T944" s="79"/>
      <c r="U944" s="79"/>
      <c r="V944" s="189"/>
      <c r="X944" s="79"/>
      <c r="Y944" s="79"/>
      <c r="Z944" s="79"/>
      <c r="AA944" s="255"/>
      <c r="AC944" s="254"/>
    </row>
    <row r="945" spans="1:29" ht="12">
      <c r="A945" s="489" t="s">
        <v>12300</v>
      </c>
      <c r="B945" s="490" t="s">
        <v>12301</v>
      </c>
      <c r="C945" s="491"/>
      <c r="D945" s="492"/>
      <c r="E945" s="79"/>
      <c r="F945" s="63"/>
      <c r="G945" s="320"/>
      <c r="H945" s="79"/>
      <c r="I945" s="79"/>
      <c r="J945" s="79"/>
      <c r="K945" s="79"/>
      <c r="L945" s="70"/>
      <c r="M945" s="132"/>
      <c r="N945" s="79"/>
      <c r="O945" s="79"/>
      <c r="P945" s="79"/>
      <c r="Q945" s="136"/>
      <c r="R945" s="79"/>
      <c r="S945" s="79"/>
      <c r="T945" s="79"/>
      <c r="U945" s="79"/>
      <c r="V945" s="189"/>
      <c r="X945" s="79"/>
      <c r="Y945" s="79"/>
      <c r="Z945" s="79"/>
      <c r="AA945" s="255"/>
      <c r="AC945" s="254"/>
    </row>
    <row r="946" spans="1:29" ht="12">
      <c r="A946" s="67" t="s">
        <v>12302</v>
      </c>
      <c r="B946" s="65" t="s">
        <v>12303</v>
      </c>
      <c r="C946" s="71" t="s">
        <v>121</v>
      </c>
      <c r="D946" s="78">
        <v>1</v>
      </c>
      <c r="E946" s="79">
        <v>1479.8</v>
      </c>
      <c r="F946" s="70">
        <v>1479.8</v>
      </c>
      <c r="G946" s="320"/>
      <c r="H946" s="79">
        <v>1120.93</v>
      </c>
      <c r="I946" s="79">
        <v>358.87</v>
      </c>
      <c r="J946" s="79">
        <v>1479.8000000000002</v>
      </c>
      <c r="K946" s="79">
        <v>0</v>
      </c>
      <c r="L946" s="70">
        <v>1479.8000000000002</v>
      </c>
      <c r="M946" s="132"/>
      <c r="N946" s="79">
        <v>1120.93</v>
      </c>
      <c r="O946" s="79">
        <v>358.87</v>
      </c>
      <c r="P946" s="79">
        <v>1479.8000000000002</v>
      </c>
      <c r="Q946" s="136"/>
      <c r="R946" s="79">
        <v>1120.93</v>
      </c>
      <c r="S946" s="79">
        <v>358.88</v>
      </c>
      <c r="T946" s="79">
        <v>1479.81</v>
      </c>
      <c r="U946" s="79">
        <v>0</v>
      </c>
      <c r="V946" s="189">
        <v>1479.81</v>
      </c>
      <c r="X946" s="79">
        <v>1120.93</v>
      </c>
      <c r="Y946" s="79">
        <v>358.88</v>
      </c>
      <c r="Z946" s="79">
        <v>1479.81</v>
      </c>
      <c r="AA946" s="255">
        <v>-9.9999999999909051E-3</v>
      </c>
      <c r="AC946" s="254"/>
    </row>
    <row r="947" spans="1:29" ht="12">
      <c r="A947" s="67" t="s">
        <v>12304</v>
      </c>
      <c r="B947" s="65" t="s">
        <v>12305</v>
      </c>
      <c r="C947" s="71" t="s">
        <v>121</v>
      </c>
      <c r="D947" s="78">
        <v>1</v>
      </c>
      <c r="E947" s="79">
        <v>854.23</v>
      </c>
      <c r="F947" s="70">
        <v>854.23</v>
      </c>
      <c r="G947" s="320"/>
      <c r="H947" s="79">
        <v>495.35999999999996</v>
      </c>
      <c r="I947" s="79">
        <v>358.87</v>
      </c>
      <c r="J947" s="79">
        <v>854.23</v>
      </c>
      <c r="K947" s="79">
        <v>0</v>
      </c>
      <c r="L947" s="70">
        <v>854.23</v>
      </c>
      <c r="M947" s="132"/>
      <c r="N947" s="79">
        <v>495.35999999999996</v>
      </c>
      <c r="O947" s="79">
        <v>358.87</v>
      </c>
      <c r="P947" s="79">
        <v>854.23</v>
      </c>
      <c r="Q947" s="136"/>
      <c r="R947" s="79">
        <v>495.36</v>
      </c>
      <c r="S947" s="79">
        <v>358.88</v>
      </c>
      <c r="T947" s="79">
        <v>854.24</v>
      </c>
      <c r="U947" s="79">
        <v>0</v>
      </c>
      <c r="V947" s="189">
        <v>854.24</v>
      </c>
      <c r="X947" s="79">
        <v>495.36</v>
      </c>
      <c r="Y947" s="79">
        <v>358.88</v>
      </c>
      <c r="Z947" s="79">
        <v>854.24</v>
      </c>
      <c r="AA947" s="255">
        <v>-9.9999999999909051E-3</v>
      </c>
      <c r="AC947" s="254"/>
    </row>
    <row r="948" spans="1:29" ht="12">
      <c r="A948" s="67" t="s">
        <v>12306</v>
      </c>
      <c r="B948" s="65" t="s">
        <v>12307</v>
      </c>
      <c r="C948" s="71" t="s">
        <v>121</v>
      </c>
      <c r="D948" s="78">
        <v>1</v>
      </c>
      <c r="E948" s="79">
        <v>798.58999999999992</v>
      </c>
      <c r="F948" s="70">
        <v>798.59</v>
      </c>
      <c r="G948" s="320"/>
      <c r="H948" s="79">
        <v>439.71999999999997</v>
      </c>
      <c r="I948" s="79">
        <v>358.87</v>
      </c>
      <c r="J948" s="79">
        <v>798.58999999999992</v>
      </c>
      <c r="K948" s="79">
        <v>0</v>
      </c>
      <c r="L948" s="70">
        <v>798.58999999999992</v>
      </c>
      <c r="M948" s="132"/>
      <c r="N948" s="79">
        <v>439.71999999999997</v>
      </c>
      <c r="O948" s="79">
        <v>358.87</v>
      </c>
      <c r="P948" s="79">
        <v>798.58999999999992</v>
      </c>
      <c r="Q948" s="136"/>
      <c r="R948" s="79">
        <v>439.72</v>
      </c>
      <c r="S948" s="79">
        <v>358.88</v>
      </c>
      <c r="T948" s="79">
        <v>798.6</v>
      </c>
      <c r="U948" s="79">
        <v>0</v>
      </c>
      <c r="V948" s="189">
        <v>798.6</v>
      </c>
      <c r="X948" s="79">
        <v>439.72</v>
      </c>
      <c r="Y948" s="79">
        <v>358.88</v>
      </c>
      <c r="Z948" s="79">
        <v>798.6</v>
      </c>
      <c r="AA948" s="255">
        <v>-9.9999999999909051E-3</v>
      </c>
      <c r="AC948" s="254"/>
    </row>
    <row r="949" spans="1:29" ht="12">
      <c r="A949" s="67" t="s">
        <v>12308</v>
      </c>
      <c r="B949" s="65" t="s">
        <v>12309</v>
      </c>
      <c r="C949" s="71" t="s">
        <v>509</v>
      </c>
      <c r="D949" s="78">
        <v>1</v>
      </c>
      <c r="E949" s="79">
        <v>32.130000000000003</v>
      </c>
      <c r="F949" s="70">
        <v>32.130000000000003</v>
      </c>
      <c r="G949" s="320"/>
      <c r="H949" s="79">
        <v>4.17</v>
      </c>
      <c r="I949" s="79">
        <v>27.96</v>
      </c>
      <c r="J949" s="79">
        <v>32.130000000000003</v>
      </c>
      <c r="K949" s="79">
        <v>0</v>
      </c>
      <c r="L949" s="70">
        <v>32.130000000000003</v>
      </c>
      <c r="M949" s="132"/>
      <c r="N949" s="79">
        <v>4.17</v>
      </c>
      <c r="O949" s="79">
        <v>27.96</v>
      </c>
      <c r="P949" s="79">
        <v>32.130000000000003</v>
      </c>
      <c r="Q949" s="136"/>
      <c r="R949" s="79">
        <v>4.17</v>
      </c>
      <c r="S949" s="79">
        <v>27.94</v>
      </c>
      <c r="T949" s="79">
        <v>32.11</v>
      </c>
      <c r="U949" s="79">
        <v>0</v>
      </c>
      <c r="V949" s="189">
        <v>32.11</v>
      </c>
      <c r="X949" s="79">
        <v>4.17</v>
      </c>
      <c r="Y949" s="79">
        <v>27.94</v>
      </c>
      <c r="Z949" s="79">
        <v>32.11</v>
      </c>
      <c r="AA949" s="255">
        <v>2.0000000000003126E-2</v>
      </c>
      <c r="AC949" s="254"/>
    </row>
    <row r="950" spans="1:29" ht="12">
      <c r="A950" s="67" t="s">
        <v>12310</v>
      </c>
      <c r="B950" s="65" t="s">
        <v>12311</v>
      </c>
      <c r="C950" s="71" t="s">
        <v>509</v>
      </c>
      <c r="D950" s="78">
        <v>1</v>
      </c>
      <c r="E950" s="79">
        <v>36.869999999999997</v>
      </c>
      <c r="F950" s="70">
        <v>36.869999999999997</v>
      </c>
      <c r="G950" s="320"/>
      <c r="H950" s="79">
        <v>9.41</v>
      </c>
      <c r="I950" s="79">
        <v>27.46</v>
      </c>
      <c r="J950" s="79">
        <v>36.870000000000005</v>
      </c>
      <c r="K950" s="79">
        <v>0</v>
      </c>
      <c r="L950" s="70">
        <v>36.870000000000005</v>
      </c>
      <c r="M950" s="132"/>
      <c r="N950" s="79">
        <v>9.41</v>
      </c>
      <c r="O950" s="79">
        <v>27.46</v>
      </c>
      <c r="P950" s="79">
        <v>36.870000000000005</v>
      </c>
      <c r="Q950" s="136"/>
      <c r="R950" s="79">
        <v>9.41</v>
      </c>
      <c r="S950" s="79">
        <v>27.45</v>
      </c>
      <c r="T950" s="79">
        <v>36.86</v>
      </c>
      <c r="U950" s="79">
        <v>0</v>
      </c>
      <c r="V950" s="189">
        <v>36.86</v>
      </c>
      <c r="X950" s="79">
        <v>9.41</v>
      </c>
      <c r="Y950" s="79">
        <v>27.45</v>
      </c>
      <c r="Z950" s="79">
        <v>36.86</v>
      </c>
      <c r="AA950" s="255">
        <v>9.9999999999980105E-3</v>
      </c>
      <c r="AC950" s="254"/>
    </row>
    <row r="951" spans="1:29" ht="12">
      <c r="A951" s="67" t="s">
        <v>12312</v>
      </c>
      <c r="B951" s="65" t="s">
        <v>12313</v>
      </c>
      <c r="C951" s="71" t="s">
        <v>121</v>
      </c>
      <c r="D951" s="78">
        <v>1</v>
      </c>
      <c r="E951" s="79">
        <v>1560.03</v>
      </c>
      <c r="F951" s="70">
        <v>1560.03</v>
      </c>
      <c r="G951" s="320"/>
      <c r="H951" s="79">
        <v>1201.1600000000001</v>
      </c>
      <c r="I951" s="79">
        <v>358.87</v>
      </c>
      <c r="J951" s="79">
        <v>1560.0300000000002</v>
      </c>
      <c r="K951" s="79">
        <v>0</v>
      </c>
      <c r="L951" s="70">
        <v>1560.0300000000002</v>
      </c>
      <c r="M951" s="132"/>
      <c r="N951" s="79">
        <v>1201.1600000000001</v>
      </c>
      <c r="O951" s="79">
        <v>358.87</v>
      </c>
      <c r="P951" s="79">
        <v>1560.0300000000002</v>
      </c>
      <c r="Q951" s="136"/>
      <c r="R951" s="79">
        <v>1201.1600000000001</v>
      </c>
      <c r="S951" s="79">
        <v>358.88</v>
      </c>
      <c r="T951" s="79">
        <v>1560.04</v>
      </c>
      <c r="U951" s="79">
        <v>0</v>
      </c>
      <c r="V951" s="189">
        <v>1560.04</v>
      </c>
      <c r="X951" s="79">
        <v>1201.1600000000001</v>
      </c>
      <c r="Y951" s="79">
        <v>358.88</v>
      </c>
      <c r="Z951" s="79">
        <v>1560.04</v>
      </c>
      <c r="AA951" s="255">
        <v>-9.9999999999909051E-3</v>
      </c>
      <c r="AC951" s="254"/>
    </row>
    <row r="952" spans="1:29" ht="12">
      <c r="A952" s="489" t="s">
        <v>12314</v>
      </c>
      <c r="B952" s="490" t="s">
        <v>12315</v>
      </c>
      <c r="C952" s="491"/>
      <c r="D952" s="492"/>
      <c r="E952" s="79"/>
      <c r="F952" s="63"/>
      <c r="G952" s="320"/>
      <c r="H952" s="79"/>
      <c r="I952" s="79"/>
      <c r="J952" s="79"/>
      <c r="K952" s="79"/>
      <c r="L952" s="70"/>
      <c r="M952" s="132"/>
      <c r="N952" s="79"/>
      <c r="O952" s="79"/>
      <c r="P952" s="79"/>
      <c r="Q952" s="136"/>
      <c r="R952" s="79"/>
      <c r="S952" s="79"/>
      <c r="T952" s="79"/>
      <c r="U952" s="79"/>
      <c r="V952" s="189"/>
      <c r="X952" s="79"/>
      <c r="Y952" s="79"/>
      <c r="Z952" s="79"/>
      <c r="AA952" s="255"/>
      <c r="AC952" s="254"/>
    </row>
    <row r="953" spans="1:29" ht="12">
      <c r="A953" s="67" t="s">
        <v>12316</v>
      </c>
      <c r="B953" s="65" t="s">
        <v>12317</v>
      </c>
      <c r="C953" s="71" t="s">
        <v>509</v>
      </c>
      <c r="D953" s="78">
        <v>1</v>
      </c>
      <c r="E953" s="79">
        <v>7.8000000000000007</v>
      </c>
      <c r="F953" s="70">
        <v>7.8</v>
      </c>
      <c r="G953" s="320"/>
      <c r="H953" s="79">
        <v>2.48</v>
      </c>
      <c r="I953" s="79">
        <v>5.32</v>
      </c>
      <c r="J953" s="79">
        <v>7.8000000000000007</v>
      </c>
      <c r="K953" s="79">
        <v>0</v>
      </c>
      <c r="L953" s="70">
        <v>7.8000000000000007</v>
      </c>
      <c r="M953" s="132"/>
      <c r="N953" s="79">
        <v>2.48</v>
      </c>
      <c r="O953" s="79">
        <v>5.32</v>
      </c>
      <c r="P953" s="79">
        <v>7.8000000000000007</v>
      </c>
      <c r="Q953" s="136"/>
      <c r="R953" s="79">
        <v>2.48</v>
      </c>
      <c r="S953" s="79">
        <v>5.31</v>
      </c>
      <c r="T953" s="79">
        <v>7.7899999999999991</v>
      </c>
      <c r="U953" s="79">
        <v>0</v>
      </c>
      <c r="V953" s="189">
        <v>7.7899999999999991</v>
      </c>
      <c r="X953" s="79">
        <v>2.48</v>
      </c>
      <c r="Y953" s="79">
        <v>5.31</v>
      </c>
      <c r="Z953" s="79">
        <v>7.79</v>
      </c>
      <c r="AA953" s="255">
        <v>9.9999999999997868E-3</v>
      </c>
      <c r="AC953" s="254"/>
    </row>
    <row r="954" spans="1:29" ht="12">
      <c r="A954" s="67" t="s">
        <v>12318</v>
      </c>
      <c r="B954" s="65" t="s">
        <v>12319</v>
      </c>
      <c r="C954" s="71" t="s">
        <v>509</v>
      </c>
      <c r="D954" s="78">
        <v>1</v>
      </c>
      <c r="E954" s="79">
        <v>6.91</v>
      </c>
      <c r="F954" s="70">
        <v>6.91</v>
      </c>
      <c r="G954" s="320"/>
      <c r="H954" s="79">
        <v>1.59</v>
      </c>
      <c r="I954" s="79">
        <v>5.32</v>
      </c>
      <c r="J954" s="79">
        <v>6.91</v>
      </c>
      <c r="K954" s="79">
        <v>0</v>
      </c>
      <c r="L954" s="70">
        <v>6.91</v>
      </c>
      <c r="M954" s="132"/>
      <c r="N954" s="79">
        <v>1.59</v>
      </c>
      <c r="O954" s="79">
        <v>5.32</v>
      </c>
      <c r="P954" s="79">
        <v>6.91</v>
      </c>
      <c r="Q954" s="136"/>
      <c r="R954" s="79">
        <v>1.59</v>
      </c>
      <c r="S954" s="79">
        <v>5.31</v>
      </c>
      <c r="T954" s="79">
        <v>6.8999999999999995</v>
      </c>
      <c r="U954" s="79">
        <v>0</v>
      </c>
      <c r="V954" s="189">
        <v>6.8999999999999995</v>
      </c>
      <c r="X954" s="79">
        <v>1.59</v>
      </c>
      <c r="Y954" s="79">
        <v>5.31</v>
      </c>
      <c r="Z954" s="79">
        <v>6.9</v>
      </c>
      <c r="AA954" s="255">
        <v>9.9999999999997868E-3</v>
      </c>
      <c r="AC954" s="254"/>
    </row>
    <row r="955" spans="1:29" ht="12">
      <c r="A955" s="67" t="s">
        <v>12320</v>
      </c>
      <c r="B955" s="65" t="s">
        <v>12321</v>
      </c>
      <c r="C955" s="71" t="s">
        <v>509</v>
      </c>
      <c r="D955" s="78">
        <v>1</v>
      </c>
      <c r="E955" s="79">
        <v>12.920000000000002</v>
      </c>
      <c r="F955" s="70">
        <v>12.92</v>
      </c>
      <c r="G955" s="320"/>
      <c r="H955" s="79">
        <v>7.6000000000000005</v>
      </c>
      <c r="I955" s="79">
        <v>5.32</v>
      </c>
      <c r="J955" s="79">
        <v>12.920000000000002</v>
      </c>
      <c r="K955" s="79">
        <v>0</v>
      </c>
      <c r="L955" s="70">
        <v>12.920000000000002</v>
      </c>
      <c r="M955" s="132"/>
      <c r="N955" s="79">
        <v>7.6000000000000005</v>
      </c>
      <c r="O955" s="79">
        <v>5.32</v>
      </c>
      <c r="P955" s="79">
        <v>12.920000000000002</v>
      </c>
      <c r="Q955" s="136"/>
      <c r="R955" s="79">
        <v>7.6</v>
      </c>
      <c r="S955" s="79">
        <v>5.31</v>
      </c>
      <c r="T955" s="79">
        <v>12.91</v>
      </c>
      <c r="U955" s="79">
        <v>0</v>
      </c>
      <c r="V955" s="189">
        <v>12.91</v>
      </c>
      <c r="X955" s="79">
        <v>7.6</v>
      </c>
      <c r="Y955" s="79">
        <v>5.31</v>
      </c>
      <c r="Z955" s="79">
        <v>12.91</v>
      </c>
      <c r="AA955" s="255">
        <v>9.9999999999997868E-3</v>
      </c>
      <c r="AC955" s="254"/>
    </row>
    <row r="956" spans="1:29" ht="12">
      <c r="A956" s="67" t="s">
        <v>12322</v>
      </c>
      <c r="B956" s="65" t="s">
        <v>12323</v>
      </c>
      <c r="C956" s="71" t="s">
        <v>509</v>
      </c>
      <c r="D956" s="78">
        <v>1</v>
      </c>
      <c r="E956" s="79">
        <v>10.29</v>
      </c>
      <c r="F956" s="70">
        <v>10.29</v>
      </c>
      <c r="G956" s="320"/>
      <c r="H956" s="79">
        <v>2.5299999999999998</v>
      </c>
      <c r="I956" s="79">
        <v>7.76</v>
      </c>
      <c r="J956" s="79">
        <v>10.29</v>
      </c>
      <c r="K956" s="79">
        <v>0</v>
      </c>
      <c r="L956" s="70">
        <v>10.29</v>
      </c>
      <c r="M956" s="132"/>
      <c r="N956" s="79">
        <v>2.5299999999999998</v>
      </c>
      <c r="O956" s="79">
        <v>7.76</v>
      </c>
      <c r="P956" s="79">
        <v>10.29</v>
      </c>
      <c r="Q956" s="136"/>
      <c r="R956" s="79">
        <v>2.5299999999999998</v>
      </c>
      <c r="S956" s="79">
        <v>7.76</v>
      </c>
      <c r="T956" s="79">
        <v>10.29</v>
      </c>
      <c r="U956" s="79">
        <v>0</v>
      </c>
      <c r="V956" s="189">
        <v>10.29</v>
      </c>
      <c r="X956" s="79">
        <v>2.5299999999999998</v>
      </c>
      <c r="Y956" s="79">
        <v>7.76</v>
      </c>
      <c r="Z956" s="79">
        <v>10.29</v>
      </c>
      <c r="AA956" s="255">
        <v>0</v>
      </c>
      <c r="AC956" s="254"/>
    </row>
    <row r="957" spans="1:29" ht="12">
      <c r="A957" s="67" t="s">
        <v>12324</v>
      </c>
      <c r="B957" s="65" t="s">
        <v>12325</v>
      </c>
      <c r="C957" s="71" t="s">
        <v>509</v>
      </c>
      <c r="D957" s="78">
        <v>1</v>
      </c>
      <c r="E957" s="79">
        <v>12.639999999999999</v>
      </c>
      <c r="F957" s="70">
        <v>12.64</v>
      </c>
      <c r="G957" s="320"/>
      <c r="H957" s="79">
        <v>4.4000000000000004</v>
      </c>
      <c r="I957" s="79">
        <v>8.24</v>
      </c>
      <c r="J957" s="79">
        <v>12.64</v>
      </c>
      <c r="K957" s="79">
        <v>0</v>
      </c>
      <c r="L957" s="70">
        <v>12.64</v>
      </c>
      <c r="M957" s="132"/>
      <c r="N957" s="79">
        <v>4.4000000000000004</v>
      </c>
      <c r="O957" s="79">
        <v>8.24</v>
      </c>
      <c r="P957" s="79">
        <v>12.64</v>
      </c>
      <c r="Q957" s="136"/>
      <c r="R957" s="79">
        <v>4.4000000000000004</v>
      </c>
      <c r="S957" s="79">
        <v>8.24</v>
      </c>
      <c r="T957" s="79">
        <v>12.64</v>
      </c>
      <c r="U957" s="79">
        <v>0</v>
      </c>
      <c r="V957" s="189">
        <v>12.64</v>
      </c>
      <c r="X957" s="79">
        <v>4.4000000000000004</v>
      </c>
      <c r="Y957" s="79">
        <v>8.24</v>
      </c>
      <c r="Z957" s="79">
        <v>12.64</v>
      </c>
      <c r="AA957" s="255">
        <v>0</v>
      </c>
      <c r="AC957" s="254"/>
    </row>
    <row r="958" spans="1:29" ht="12">
      <c r="A958" s="67" t="s">
        <v>12326</v>
      </c>
      <c r="B958" s="65" t="s">
        <v>12327</v>
      </c>
      <c r="C958" s="71" t="s">
        <v>509</v>
      </c>
      <c r="D958" s="78">
        <v>1</v>
      </c>
      <c r="E958" s="79">
        <v>24.76</v>
      </c>
      <c r="F958" s="70">
        <v>24.76</v>
      </c>
      <c r="G958" s="320"/>
      <c r="H958" s="79">
        <v>10.149999999999999</v>
      </c>
      <c r="I958" s="79">
        <v>14.610000000000001</v>
      </c>
      <c r="J958" s="79">
        <v>24.759999999999998</v>
      </c>
      <c r="K958" s="79">
        <v>0</v>
      </c>
      <c r="L958" s="70">
        <v>24.759999999999998</v>
      </c>
      <c r="M958" s="132"/>
      <c r="N958" s="79">
        <v>10.149999999999999</v>
      </c>
      <c r="O958" s="79">
        <v>14.610000000000001</v>
      </c>
      <c r="P958" s="79">
        <v>24.759999999999998</v>
      </c>
      <c r="Q958" s="136"/>
      <c r="R958" s="79">
        <v>10.15</v>
      </c>
      <c r="S958" s="79">
        <v>14.61</v>
      </c>
      <c r="T958" s="79">
        <v>24.759999999999998</v>
      </c>
      <c r="U958" s="79">
        <v>0</v>
      </c>
      <c r="V958" s="189">
        <v>24.759999999999998</v>
      </c>
      <c r="X958" s="79">
        <v>10.15</v>
      </c>
      <c r="Y958" s="79">
        <v>14.61</v>
      </c>
      <c r="Z958" s="79">
        <v>24.76</v>
      </c>
      <c r="AA958" s="255">
        <v>0</v>
      </c>
      <c r="AC958" s="254"/>
    </row>
    <row r="959" spans="1:29" ht="12">
      <c r="A959" s="67" t="s">
        <v>12328</v>
      </c>
      <c r="B959" s="65" t="s">
        <v>12329</v>
      </c>
      <c r="C959" s="71" t="s">
        <v>509</v>
      </c>
      <c r="D959" s="78">
        <v>1</v>
      </c>
      <c r="E959" s="79">
        <v>30.280000000000005</v>
      </c>
      <c r="F959" s="70">
        <v>30.28</v>
      </c>
      <c r="G959" s="320"/>
      <c r="H959" s="79">
        <v>10.149999999999999</v>
      </c>
      <c r="I959" s="79">
        <v>20.130000000000003</v>
      </c>
      <c r="J959" s="79">
        <v>30.28</v>
      </c>
      <c r="K959" s="79">
        <v>0</v>
      </c>
      <c r="L959" s="70">
        <v>30.28</v>
      </c>
      <c r="M959" s="132"/>
      <c r="N959" s="79">
        <v>10.149999999999999</v>
      </c>
      <c r="O959" s="79">
        <v>20.130000000000003</v>
      </c>
      <c r="P959" s="79">
        <v>30.28</v>
      </c>
      <c r="Q959" s="136"/>
      <c r="R959" s="79">
        <v>10.15</v>
      </c>
      <c r="S959" s="79">
        <v>20.14</v>
      </c>
      <c r="T959" s="79">
        <v>30.29</v>
      </c>
      <c r="U959" s="79">
        <v>0</v>
      </c>
      <c r="V959" s="189">
        <v>30.29</v>
      </c>
      <c r="X959" s="79">
        <v>10.15</v>
      </c>
      <c r="Y959" s="79">
        <v>20.14</v>
      </c>
      <c r="Z959" s="79">
        <v>30.29</v>
      </c>
      <c r="AA959" s="255">
        <v>-9.9999999999980105E-3</v>
      </c>
      <c r="AC959" s="254"/>
    </row>
    <row r="960" spans="1:29" ht="12">
      <c r="A960" s="67" t="s">
        <v>12330</v>
      </c>
      <c r="B960" s="65" t="s">
        <v>12331</v>
      </c>
      <c r="C960" s="71" t="s">
        <v>509</v>
      </c>
      <c r="D960" s="78">
        <v>1</v>
      </c>
      <c r="E960" s="79">
        <v>64.45</v>
      </c>
      <c r="F960" s="70">
        <v>64.45</v>
      </c>
      <c r="G960" s="320"/>
      <c r="H960" s="79">
        <v>51.85</v>
      </c>
      <c r="I960" s="79">
        <v>12.6</v>
      </c>
      <c r="J960" s="79">
        <v>64.45</v>
      </c>
      <c r="K960" s="79">
        <v>0</v>
      </c>
      <c r="L960" s="70">
        <v>64.45</v>
      </c>
      <c r="M960" s="132"/>
      <c r="N960" s="79">
        <v>51.85</v>
      </c>
      <c r="O960" s="79">
        <v>12.6</v>
      </c>
      <c r="P960" s="79">
        <v>64.45</v>
      </c>
      <c r="Q960" s="136"/>
      <c r="R960" s="79">
        <v>51.85</v>
      </c>
      <c r="S960" s="79">
        <v>12.59</v>
      </c>
      <c r="T960" s="79"/>
      <c r="U960" s="79">
        <v>0</v>
      </c>
      <c r="V960" s="189"/>
      <c r="X960" s="79">
        <v>51.85</v>
      </c>
      <c r="Y960" s="79">
        <v>12.59</v>
      </c>
      <c r="Z960" s="79">
        <v>64.44</v>
      </c>
      <c r="AA960" s="255">
        <v>1.0000000000005116E-2</v>
      </c>
      <c r="AC960" s="254"/>
    </row>
    <row r="961" spans="1:29" ht="12">
      <c r="A961" s="67" t="s">
        <v>12332</v>
      </c>
      <c r="B961" s="65" t="s">
        <v>12333</v>
      </c>
      <c r="C961" s="71" t="s">
        <v>509</v>
      </c>
      <c r="D961" s="78">
        <v>1</v>
      </c>
      <c r="E961" s="79">
        <v>14.55</v>
      </c>
      <c r="F961" s="70">
        <v>14.55</v>
      </c>
      <c r="G961" s="320"/>
      <c r="H961" s="79">
        <v>1.95</v>
      </c>
      <c r="I961" s="79">
        <v>12.6</v>
      </c>
      <c r="J961" s="79">
        <v>14.549999999999999</v>
      </c>
      <c r="K961" s="79">
        <v>0</v>
      </c>
      <c r="L961" s="70">
        <v>14.549999999999999</v>
      </c>
      <c r="M961" s="132"/>
      <c r="N961" s="79">
        <v>1.95</v>
      </c>
      <c r="O961" s="79">
        <v>12.6</v>
      </c>
      <c r="P961" s="79">
        <v>14.549999999999999</v>
      </c>
      <c r="Q961" s="136"/>
      <c r="R961" s="79">
        <v>2.02</v>
      </c>
      <c r="S961" s="79">
        <v>12.59</v>
      </c>
      <c r="T961" s="79">
        <v>14.61</v>
      </c>
      <c r="U961" s="79">
        <v>0</v>
      </c>
      <c r="V961" s="189">
        <v>14.61</v>
      </c>
      <c r="X961" s="79">
        <v>2.02</v>
      </c>
      <c r="Y961" s="79">
        <v>12.59</v>
      </c>
      <c r="Z961" s="79">
        <v>14.61</v>
      </c>
      <c r="AA961" s="255">
        <v>-5.9999999999998721E-2</v>
      </c>
      <c r="AC961" s="254"/>
    </row>
    <row r="962" spans="1:29" s="73" customFormat="1" ht="12">
      <c r="A962" s="67" t="s">
        <v>12334</v>
      </c>
      <c r="B962" s="65" t="s">
        <v>12335</v>
      </c>
      <c r="C962" s="71" t="s">
        <v>509</v>
      </c>
      <c r="D962" s="78">
        <v>1</v>
      </c>
      <c r="E962" s="79">
        <v>42.910000000000011</v>
      </c>
      <c r="F962" s="70">
        <v>42.91</v>
      </c>
      <c r="G962" s="320"/>
      <c r="H962" s="79">
        <v>10.18</v>
      </c>
      <c r="I962" s="79">
        <v>32.730000000000004</v>
      </c>
      <c r="J962" s="79">
        <v>42.910000000000004</v>
      </c>
      <c r="K962" s="79">
        <v>0</v>
      </c>
      <c r="L962" s="70">
        <v>42.910000000000004</v>
      </c>
      <c r="M962" s="132"/>
      <c r="N962" s="79">
        <v>10.18</v>
      </c>
      <c r="O962" s="79">
        <v>32.730000000000004</v>
      </c>
      <c r="P962" s="79">
        <v>42.910000000000004</v>
      </c>
      <c r="Q962" s="136"/>
      <c r="R962" s="79">
        <v>10.18</v>
      </c>
      <c r="S962" s="79">
        <v>32.729999999999997</v>
      </c>
      <c r="T962" s="79">
        <v>42.91</v>
      </c>
      <c r="U962" s="79">
        <v>0</v>
      </c>
      <c r="V962" s="189">
        <v>42.91</v>
      </c>
      <c r="W962" s="61"/>
      <c r="X962" s="79">
        <v>10.18</v>
      </c>
      <c r="Y962" s="79">
        <v>32.729999999999997</v>
      </c>
      <c r="Z962" s="79">
        <v>42.91</v>
      </c>
      <c r="AA962" s="255">
        <v>0</v>
      </c>
      <c r="AB962" s="61"/>
      <c r="AC962" s="254"/>
    </row>
    <row r="963" spans="1:29" ht="12">
      <c r="A963" s="489" t="s">
        <v>12336</v>
      </c>
      <c r="B963" s="490" t="s">
        <v>12337</v>
      </c>
      <c r="C963" s="491"/>
      <c r="D963" s="492"/>
      <c r="E963" s="79"/>
      <c r="F963" s="63"/>
      <c r="G963" s="320"/>
      <c r="H963" s="79"/>
      <c r="I963" s="79"/>
      <c r="J963" s="79"/>
      <c r="K963" s="79"/>
      <c r="L963" s="70"/>
      <c r="M963" s="132"/>
      <c r="N963" s="79"/>
      <c r="O963" s="79"/>
      <c r="P963" s="79"/>
      <c r="Q963" s="136"/>
      <c r="R963" s="79"/>
      <c r="S963" s="79"/>
      <c r="T963" s="79"/>
      <c r="U963" s="79"/>
      <c r="V963" s="189"/>
      <c r="X963" s="79"/>
      <c r="Y963" s="79"/>
      <c r="Z963" s="79"/>
      <c r="AA963" s="255"/>
      <c r="AC963" s="254"/>
    </row>
    <row r="964" spans="1:29" ht="12">
      <c r="A964" s="67" t="s">
        <v>12338</v>
      </c>
      <c r="B964" s="65" t="s">
        <v>12339</v>
      </c>
      <c r="C964" s="71" t="s">
        <v>509</v>
      </c>
      <c r="D964" s="78">
        <v>1</v>
      </c>
      <c r="E964" s="79">
        <v>37.590000000000003</v>
      </c>
      <c r="F964" s="70">
        <v>37.590000000000003</v>
      </c>
      <c r="G964" s="320"/>
      <c r="H964" s="79">
        <v>9.91</v>
      </c>
      <c r="I964" s="79">
        <v>27.68</v>
      </c>
      <c r="J964" s="79">
        <v>37.590000000000003</v>
      </c>
      <c r="K964" s="79">
        <v>0</v>
      </c>
      <c r="L964" s="70">
        <v>37.590000000000003</v>
      </c>
      <c r="M964" s="132"/>
      <c r="N964" s="79">
        <v>9.91</v>
      </c>
      <c r="O964" s="79">
        <v>27.68</v>
      </c>
      <c r="P964" s="79">
        <v>37.590000000000003</v>
      </c>
      <c r="Q964" s="136"/>
      <c r="R964" s="79">
        <v>9.91</v>
      </c>
      <c r="S964" s="79">
        <v>27.69</v>
      </c>
      <c r="T964" s="79">
        <v>37.6</v>
      </c>
      <c r="U964" s="79">
        <v>0</v>
      </c>
      <c r="V964" s="189">
        <v>37.6</v>
      </c>
      <c r="X964" s="79">
        <v>9.91</v>
      </c>
      <c r="Y964" s="79">
        <v>27.69</v>
      </c>
      <c r="Z964" s="79">
        <v>37.6</v>
      </c>
      <c r="AA964" s="255">
        <v>-9.9999999999980105E-3</v>
      </c>
      <c r="AC964" s="254"/>
    </row>
    <row r="965" spans="1:29" s="73" customFormat="1" ht="12">
      <c r="A965" s="67" t="s">
        <v>12340</v>
      </c>
      <c r="B965" s="65" t="s">
        <v>12341</v>
      </c>
      <c r="C965" s="71" t="s">
        <v>509</v>
      </c>
      <c r="D965" s="78">
        <v>1</v>
      </c>
      <c r="E965" s="79">
        <v>43.310000000000009</v>
      </c>
      <c r="F965" s="70">
        <v>43.31</v>
      </c>
      <c r="G965" s="320"/>
      <c r="H965" s="79">
        <v>10.58</v>
      </c>
      <c r="I965" s="79">
        <v>32.730000000000004</v>
      </c>
      <c r="J965" s="79">
        <v>43.31</v>
      </c>
      <c r="K965" s="79">
        <v>0</v>
      </c>
      <c r="L965" s="70">
        <v>43.31</v>
      </c>
      <c r="M965" s="132"/>
      <c r="N965" s="79">
        <v>10.58</v>
      </c>
      <c r="O965" s="79">
        <v>32.730000000000004</v>
      </c>
      <c r="P965" s="79">
        <v>43.31</v>
      </c>
      <c r="Q965" s="136"/>
      <c r="R965" s="79">
        <v>10.58</v>
      </c>
      <c r="S965" s="79">
        <v>32.729999999999997</v>
      </c>
      <c r="T965" s="79">
        <v>43.309999999999995</v>
      </c>
      <c r="U965" s="79">
        <v>0</v>
      </c>
      <c r="V965" s="189">
        <v>43.309999999999995</v>
      </c>
      <c r="W965" s="61"/>
      <c r="X965" s="79">
        <v>10.58</v>
      </c>
      <c r="Y965" s="79">
        <v>32.729999999999997</v>
      </c>
      <c r="Z965" s="79">
        <v>43.31</v>
      </c>
      <c r="AA965" s="255">
        <v>0</v>
      </c>
      <c r="AB965" s="61"/>
      <c r="AC965" s="254"/>
    </row>
    <row r="966" spans="1:29" ht="12">
      <c r="A966" s="67" t="s">
        <v>12342</v>
      </c>
      <c r="B966" s="65" t="s">
        <v>12343</v>
      </c>
      <c r="C966" s="71" t="s">
        <v>509</v>
      </c>
      <c r="D966" s="78">
        <v>1</v>
      </c>
      <c r="E966" s="79">
        <v>63.20000000000001</v>
      </c>
      <c r="F966" s="70">
        <v>63.2</v>
      </c>
      <c r="G966" s="320"/>
      <c r="H966" s="79">
        <v>30.47</v>
      </c>
      <c r="I966" s="79">
        <v>32.730000000000004</v>
      </c>
      <c r="J966" s="79">
        <v>63.2</v>
      </c>
      <c r="K966" s="79">
        <v>0</v>
      </c>
      <c r="L966" s="70">
        <v>63.2</v>
      </c>
      <c r="M966" s="132"/>
      <c r="N966" s="79">
        <v>30.47</v>
      </c>
      <c r="O966" s="79">
        <v>32.730000000000004</v>
      </c>
      <c r="P966" s="79">
        <v>63.2</v>
      </c>
      <c r="Q966" s="136"/>
      <c r="R966" s="79">
        <v>30.47</v>
      </c>
      <c r="S966" s="79">
        <v>32.729999999999997</v>
      </c>
      <c r="T966" s="79">
        <v>63.199999999999996</v>
      </c>
      <c r="U966" s="79">
        <v>0</v>
      </c>
      <c r="V966" s="189">
        <v>63.199999999999996</v>
      </c>
      <c r="X966" s="79">
        <v>30.47</v>
      </c>
      <c r="Y966" s="79">
        <v>32.729999999999997</v>
      </c>
      <c r="Z966" s="79">
        <v>63.2</v>
      </c>
      <c r="AA966" s="255">
        <v>0</v>
      </c>
      <c r="AC966" s="254"/>
    </row>
    <row r="967" spans="1:29" ht="12">
      <c r="A967" s="67" t="s">
        <v>12344</v>
      </c>
      <c r="B967" s="65" t="s">
        <v>12345</v>
      </c>
      <c r="C967" s="71" t="s">
        <v>509</v>
      </c>
      <c r="D967" s="78">
        <v>1</v>
      </c>
      <c r="E967" s="79">
        <v>30.040000000000003</v>
      </c>
      <c r="F967" s="70">
        <v>30.04</v>
      </c>
      <c r="G967" s="320"/>
      <c r="H967" s="79">
        <v>9.91</v>
      </c>
      <c r="I967" s="79">
        <v>20.130000000000003</v>
      </c>
      <c r="J967" s="79">
        <v>30.040000000000003</v>
      </c>
      <c r="K967" s="79">
        <v>0</v>
      </c>
      <c r="L967" s="70">
        <v>30.040000000000003</v>
      </c>
      <c r="M967" s="132"/>
      <c r="N967" s="79">
        <v>9.91</v>
      </c>
      <c r="O967" s="79">
        <v>20.130000000000003</v>
      </c>
      <c r="P967" s="79">
        <v>30.040000000000003</v>
      </c>
      <c r="Q967" s="136"/>
      <c r="R967" s="79">
        <v>9.91</v>
      </c>
      <c r="S967" s="79">
        <v>20.14</v>
      </c>
      <c r="T967" s="79">
        <v>30.05</v>
      </c>
      <c r="U967" s="79">
        <v>0</v>
      </c>
      <c r="V967" s="189">
        <v>30.05</v>
      </c>
      <c r="X967" s="79">
        <v>9.91</v>
      </c>
      <c r="Y967" s="79">
        <v>20.14</v>
      </c>
      <c r="Z967" s="79">
        <v>30.05</v>
      </c>
      <c r="AA967" s="255">
        <v>-1.0000000000001563E-2</v>
      </c>
      <c r="AC967" s="254"/>
    </row>
    <row r="968" spans="1:29" ht="12">
      <c r="A968" s="67" t="s">
        <v>12346</v>
      </c>
      <c r="B968" s="65" t="s">
        <v>12347</v>
      </c>
      <c r="C968" s="71" t="s">
        <v>509</v>
      </c>
      <c r="D968" s="78">
        <v>1</v>
      </c>
      <c r="E968" s="79">
        <v>45.17</v>
      </c>
      <c r="F968" s="70">
        <v>45.17</v>
      </c>
      <c r="G968" s="320"/>
      <c r="H968" s="79">
        <v>9.91</v>
      </c>
      <c r="I968" s="79">
        <v>35.26</v>
      </c>
      <c r="J968" s="79">
        <v>45.17</v>
      </c>
      <c r="K968" s="79">
        <v>0</v>
      </c>
      <c r="L968" s="70">
        <v>45.17</v>
      </c>
      <c r="M968" s="132"/>
      <c r="N968" s="79">
        <v>9.91</v>
      </c>
      <c r="O968" s="79">
        <v>35.26</v>
      </c>
      <c r="P968" s="79">
        <v>45.17</v>
      </c>
      <c r="Q968" s="136"/>
      <c r="R968" s="79">
        <v>9.91</v>
      </c>
      <c r="S968" s="79">
        <v>35.25</v>
      </c>
      <c r="T968" s="79">
        <v>45.16</v>
      </c>
      <c r="U968" s="79">
        <v>0</v>
      </c>
      <c r="V968" s="189">
        <v>45.16</v>
      </c>
      <c r="X968" s="79">
        <v>9.91</v>
      </c>
      <c r="Y968" s="79">
        <v>35.25</v>
      </c>
      <c r="Z968" s="79">
        <v>45.16</v>
      </c>
      <c r="AA968" s="255">
        <v>1.0000000000005116E-2</v>
      </c>
      <c r="AC968" s="254"/>
    </row>
    <row r="969" spans="1:29" ht="12">
      <c r="A969" s="67" t="s">
        <v>12348</v>
      </c>
      <c r="B969" s="65" t="s">
        <v>12349</v>
      </c>
      <c r="C969" s="71" t="s">
        <v>165</v>
      </c>
      <c r="D969" s="78">
        <v>1</v>
      </c>
      <c r="E969" s="79">
        <v>64.13</v>
      </c>
      <c r="F969" s="70">
        <v>64.13</v>
      </c>
      <c r="G969" s="320"/>
      <c r="H969" s="79">
        <v>7.12</v>
      </c>
      <c r="I969" s="79">
        <v>57.01</v>
      </c>
      <c r="J969" s="79">
        <v>64.13</v>
      </c>
      <c r="K969" s="79">
        <v>0</v>
      </c>
      <c r="L969" s="70">
        <v>64.13</v>
      </c>
      <c r="M969" s="132"/>
      <c r="N969" s="79">
        <v>7.12</v>
      </c>
      <c r="O969" s="79">
        <v>57.01</v>
      </c>
      <c r="P969" s="79">
        <v>64.13</v>
      </c>
      <c r="Q969" s="136"/>
      <c r="R969" s="79">
        <v>7.12</v>
      </c>
      <c r="S969" s="79">
        <v>57.02</v>
      </c>
      <c r="T969" s="79">
        <v>64.14</v>
      </c>
      <c r="U969" s="79">
        <v>0</v>
      </c>
      <c r="V969" s="189">
        <v>64.14</v>
      </c>
      <c r="X969" s="79">
        <v>7.12</v>
      </c>
      <c r="Y969" s="79">
        <v>57.02</v>
      </c>
      <c r="Z969" s="79">
        <v>64.14</v>
      </c>
      <c r="AA969" s="255">
        <v>-1.0000000000005116E-2</v>
      </c>
      <c r="AC969" s="254"/>
    </row>
    <row r="970" spans="1:29" ht="12">
      <c r="A970" s="67" t="s">
        <v>12350</v>
      </c>
      <c r="B970" s="65" t="s">
        <v>12351</v>
      </c>
      <c r="C970" s="71" t="s">
        <v>165</v>
      </c>
      <c r="D970" s="78">
        <v>1</v>
      </c>
      <c r="E970" s="79">
        <v>27.71</v>
      </c>
      <c r="F970" s="70">
        <v>27.71</v>
      </c>
      <c r="G970" s="320"/>
      <c r="H970" s="79">
        <v>1.17</v>
      </c>
      <c r="I970" s="79">
        <v>26.54</v>
      </c>
      <c r="J970" s="79">
        <v>27.71</v>
      </c>
      <c r="K970" s="79">
        <v>0</v>
      </c>
      <c r="L970" s="70">
        <v>27.71</v>
      </c>
      <c r="M970" s="132"/>
      <c r="N970" s="79">
        <v>1.17</v>
      </c>
      <c r="O970" s="79">
        <v>26.54</v>
      </c>
      <c r="P970" s="79">
        <v>27.71</v>
      </c>
      <c r="Q970" s="136"/>
      <c r="R970" s="79">
        <v>1.17</v>
      </c>
      <c r="S970" s="79">
        <v>26.54</v>
      </c>
      <c r="T970" s="79">
        <v>27.71</v>
      </c>
      <c r="U970" s="79">
        <v>0</v>
      </c>
      <c r="V970" s="189">
        <v>27.71</v>
      </c>
      <c r="X970" s="79">
        <v>1.17</v>
      </c>
      <c r="Y970" s="79">
        <v>26.54</v>
      </c>
      <c r="Z970" s="79">
        <v>27.71</v>
      </c>
      <c r="AA970" s="255">
        <v>0</v>
      </c>
      <c r="AC970" s="254"/>
    </row>
    <row r="971" spans="1:29" ht="12">
      <c r="A971" s="67" t="s">
        <v>12352</v>
      </c>
      <c r="B971" s="65" t="s">
        <v>12353</v>
      </c>
      <c r="C971" s="71" t="s">
        <v>165</v>
      </c>
      <c r="D971" s="78">
        <v>1</v>
      </c>
      <c r="E971" s="79">
        <v>27.9</v>
      </c>
      <c r="F971" s="70">
        <v>27.9</v>
      </c>
      <c r="G971" s="320"/>
      <c r="H971" s="79">
        <v>1.3599999999999999</v>
      </c>
      <c r="I971" s="79">
        <v>26.54</v>
      </c>
      <c r="J971" s="79">
        <v>27.9</v>
      </c>
      <c r="K971" s="79">
        <v>0</v>
      </c>
      <c r="L971" s="70">
        <v>27.9</v>
      </c>
      <c r="M971" s="132"/>
      <c r="N971" s="79">
        <v>1.3599999999999999</v>
      </c>
      <c r="O971" s="79">
        <v>26.54</v>
      </c>
      <c r="P971" s="79">
        <v>27.9</v>
      </c>
      <c r="Q971" s="136"/>
      <c r="R971" s="79">
        <v>1.36</v>
      </c>
      <c r="S971" s="79">
        <v>26.54</v>
      </c>
      <c r="T971" s="79">
        <v>27.9</v>
      </c>
      <c r="U971" s="79">
        <v>0</v>
      </c>
      <c r="V971" s="189">
        <v>27.9</v>
      </c>
      <c r="X971" s="79">
        <v>1.36</v>
      </c>
      <c r="Y971" s="79">
        <v>26.54</v>
      </c>
      <c r="Z971" s="79">
        <v>27.9</v>
      </c>
      <c r="AA971" s="255">
        <v>0</v>
      </c>
      <c r="AC971" s="254"/>
    </row>
    <row r="972" spans="1:29" ht="12">
      <c r="A972" s="67" t="s">
        <v>12354</v>
      </c>
      <c r="B972" s="65" t="s">
        <v>12355</v>
      </c>
      <c r="C972" s="71" t="s">
        <v>165</v>
      </c>
      <c r="D972" s="78">
        <v>1</v>
      </c>
      <c r="E972" s="79">
        <v>28.169999999999998</v>
      </c>
      <c r="F972" s="70">
        <v>28.17</v>
      </c>
      <c r="G972" s="320"/>
      <c r="H972" s="79">
        <v>1.6300000000000001</v>
      </c>
      <c r="I972" s="79">
        <v>26.54</v>
      </c>
      <c r="J972" s="79">
        <v>28.169999999999998</v>
      </c>
      <c r="K972" s="79">
        <v>0</v>
      </c>
      <c r="L972" s="70">
        <v>28.169999999999998</v>
      </c>
      <c r="M972" s="132"/>
      <c r="N972" s="79">
        <v>1.6300000000000001</v>
      </c>
      <c r="O972" s="79">
        <v>26.54</v>
      </c>
      <c r="P972" s="79">
        <v>28.169999999999998</v>
      </c>
      <c r="Q972" s="136"/>
      <c r="R972" s="79">
        <v>1.63</v>
      </c>
      <c r="S972" s="79">
        <v>26.54</v>
      </c>
      <c r="T972" s="79">
        <v>28.169999999999998</v>
      </c>
      <c r="U972" s="79">
        <v>0</v>
      </c>
      <c r="V972" s="189">
        <v>28.169999999999998</v>
      </c>
      <c r="X972" s="79">
        <v>1.63</v>
      </c>
      <c r="Y972" s="79">
        <v>26.54</v>
      </c>
      <c r="Z972" s="79">
        <v>28.17</v>
      </c>
      <c r="AA972" s="255">
        <v>0</v>
      </c>
      <c r="AC972" s="254"/>
    </row>
    <row r="973" spans="1:29" ht="12">
      <c r="A973" s="67" t="s">
        <v>12356</v>
      </c>
      <c r="B973" s="65" t="s">
        <v>12357</v>
      </c>
      <c r="C973" s="71" t="s">
        <v>165</v>
      </c>
      <c r="D973" s="78">
        <v>1</v>
      </c>
      <c r="E973" s="79">
        <v>28.650000000000002</v>
      </c>
      <c r="F973" s="70">
        <v>28.65</v>
      </c>
      <c r="G973" s="320"/>
      <c r="H973" s="79">
        <v>2.11</v>
      </c>
      <c r="I973" s="79">
        <v>26.54</v>
      </c>
      <c r="J973" s="79">
        <v>28.65</v>
      </c>
      <c r="K973" s="79">
        <v>0</v>
      </c>
      <c r="L973" s="70">
        <v>28.65</v>
      </c>
      <c r="M973" s="132"/>
      <c r="N973" s="79">
        <v>2.11</v>
      </c>
      <c r="O973" s="79">
        <v>26.54</v>
      </c>
      <c r="P973" s="79">
        <v>28.65</v>
      </c>
      <c r="Q973" s="136"/>
      <c r="R973" s="79">
        <v>2.11</v>
      </c>
      <c r="S973" s="79">
        <v>26.54</v>
      </c>
      <c r="T973" s="79">
        <v>28.65</v>
      </c>
      <c r="U973" s="79">
        <v>0</v>
      </c>
      <c r="V973" s="189">
        <v>28.65</v>
      </c>
      <c r="X973" s="79">
        <v>2.11</v>
      </c>
      <c r="Y973" s="79">
        <v>26.54</v>
      </c>
      <c r="Z973" s="79">
        <v>28.65</v>
      </c>
      <c r="AA973" s="255">
        <v>0</v>
      </c>
      <c r="AC973" s="254"/>
    </row>
    <row r="974" spans="1:29" ht="12">
      <c r="A974" s="489" t="s">
        <v>12358</v>
      </c>
      <c r="B974" s="490" t="s">
        <v>12359</v>
      </c>
      <c r="C974" s="491"/>
      <c r="D974" s="492"/>
      <c r="E974" s="79"/>
      <c r="F974" s="63"/>
      <c r="G974" s="320"/>
      <c r="H974" s="79"/>
      <c r="I974" s="79"/>
      <c r="J974" s="79"/>
      <c r="K974" s="79"/>
      <c r="L974" s="70"/>
      <c r="M974" s="132"/>
      <c r="N974" s="79"/>
      <c r="O974" s="79"/>
      <c r="P974" s="79"/>
      <c r="Q974" s="136"/>
      <c r="R974" s="79"/>
      <c r="S974" s="79"/>
      <c r="T974" s="79"/>
      <c r="U974" s="79"/>
      <c r="V974" s="189"/>
      <c r="X974" s="79"/>
      <c r="Y974" s="79"/>
      <c r="Z974" s="79"/>
      <c r="AA974" s="255"/>
      <c r="AC974" s="254"/>
    </row>
    <row r="975" spans="1:29" ht="12">
      <c r="A975" s="67" t="s">
        <v>12360</v>
      </c>
      <c r="B975" s="65" t="s">
        <v>12361</v>
      </c>
      <c r="C975" s="71" t="s">
        <v>509</v>
      </c>
      <c r="D975" s="78">
        <v>1</v>
      </c>
      <c r="E975" s="79">
        <v>21.880000000000003</v>
      </c>
      <c r="F975" s="70">
        <v>21.88</v>
      </c>
      <c r="G975" s="320"/>
      <c r="H975" s="79">
        <v>5.15</v>
      </c>
      <c r="I975" s="79">
        <v>16.73</v>
      </c>
      <c r="J975" s="79">
        <v>21.880000000000003</v>
      </c>
      <c r="K975" s="79">
        <v>0</v>
      </c>
      <c r="L975" s="70">
        <v>21.880000000000003</v>
      </c>
      <c r="M975" s="132"/>
      <c r="N975" s="79">
        <v>5.15</v>
      </c>
      <c r="O975" s="79">
        <v>16.73</v>
      </c>
      <c r="P975" s="79">
        <v>21.880000000000003</v>
      </c>
      <c r="Q975" s="136"/>
      <c r="R975" s="79">
        <v>5.15</v>
      </c>
      <c r="S975" s="79">
        <v>16.739999999999998</v>
      </c>
      <c r="T975" s="79">
        <v>21.89</v>
      </c>
      <c r="U975" s="79">
        <v>0</v>
      </c>
      <c r="V975" s="189">
        <v>21.89</v>
      </c>
      <c r="X975" s="79">
        <v>5.15</v>
      </c>
      <c r="Y975" s="79">
        <v>16.739999999999998</v>
      </c>
      <c r="Z975" s="79">
        <v>21.89</v>
      </c>
      <c r="AA975" s="255">
        <v>-1.0000000000001563E-2</v>
      </c>
      <c r="AC975" s="254"/>
    </row>
    <row r="976" spans="1:29" ht="12">
      <c r="A976" s="67" t="s">
        <v>12362</v>
      </c>
      <c r="B976" s="65" t="s">
        <v>12363</v>
      </c>
      <c r="C976" s="71" t="s">
        <v>509</v>
      </c>
      <c r="D976" s="78">
        <v>1</v>
      </c>
      <c r="E976" s="79">
        <v>23.94</v>
      </c>
      <c r="F976" s="70">
        <v>23.94</v>
      </c>
      <c r="G976" s="320"/>
      <c r="H976" s="79">
        <v>7.21</v>
      </c>
      <c r="I976" s="79">
        <v>16.73</v>
      </c>
      <c r="J976" s="79">
        <v>23.94</v>
      </c>
      <c r="K976" s="79">
        <v>0</v>
      </c>
      <c r="L976" s="70">
        <v>23.94</v>
      </c>
      <c r="M976" s="132"/>
      <c r="N976" s="79">
        <v>7.21</v>
      </c>
      <c r="O976" s="79">
        <v>16.73</v>
      </c>
      <c r="P976" s="79">
        <v>23.94</v>
      </c>
      <c r="Q976" s="136"/>
      <c r="R976" s="79">
        <v>7.21</v>
      </c>
      <c r="S976" s="79">
        <v>16.739999999999998</v>
      </c>
      <c r="T976" s="79">
        <v>23.95</v>
      </c>
      <c r="U976" s="79">
        <v>0</v>
      </c>
      <c r="V976" s="189">
        <v>23.95</v>
      </c>
      <c r="X976" s="79">
        <v>7.21</v>
      </c>
      <c r="Y976" s="79">
        <v>16.739999999999998</v>
      </c>
      <c r="Z976" s="79">
        <v>23.95</v>
      </c>
      <c r="AA976" s="255">
        <v>-9.9999999999980105E-3</v>
      </c>
      <c r="AC976" s="254"/>
    </row>
    <row r="977" spans="1:29" ht="12">
      <c r="A977" s="489" t="s">
        <v>12364</v>
      </c>
      <c r="B977" s="490" t="s">
        <v>12365</v>
      </c>
      <c r="C977" s="491"/>
      <c r="D977" s="492"/>
      <c r="E977" s="79"/>
      <c r="F977" s="63"/>
      <c r="G977" s="320"/>
      <c r="H977" s="79"/>
      <c r="I977" s="79"/>
      <c r="J977" s="79"/>
      <c r="K977" s="79"/>
      <c r="L977" s="70"/>
      <c r="M977" s="132"/>
      <c r="N977" s="79"/>
      <c r="O977" s="79"/>
      <c r="P977" s="79"/>
      <c r="Q977" s="136"/>
      <c r="R977" s="79"/>
      <c r="S977" s="79"/>
      <c r="T977" s="79"/>
      <c r="U977" s="79"/>
      <c r="V977" s="189"/>
      <c r="X977" s="79"/>
      <c r="Y977" s="79"/>
      <c r="Z977" s="79"/>
      <c r="AA977" s="255"/>
      <c r="AC977" s="254"/>
    </row>
    <row r="978" spans="1:29" ht="12">
      <c r="A978" s="67" t="s">
        <v>12366</v>
      </c>
      <c r="B978" s="65" t="s">
        <v>12367</v>
      </c>
      <c r="C978" s="71" t="s">
        <v>121</v>
      </c>
      <c r="D978" s="78">
        <v>1</v>
      </c>
      <c r="E978" s="79">
        <v>977.70999999999992</v>
      </c>
      <c r="F978" s="70">
        <v>977.71</v>
      </c>
      <c r="G978" s="320"/>
      <c r="H978" s="79">
        <v>494.46</v>
      </c>
      <c r="I978" s="79">
        <v>483.25</v>
      </c>
      <c r="J978" s="79">
        <v>977.71</v>
      </c>
      <c r="K978" s="79">
        <v>0</v>
      </c>
      <c r="L978" s="70">
        <v>977.71</v>
      </c>
      <c r="M978" s="132"/>
      <c r="N978" s="79">
        <v>494.46</v>
      </c>
      <c r="O978" s="79">
        <v>483.25</v>
      </c>
      <c r="P978" s="79">
        <v>977.71</v>
      </c>
      <c r="Q978" s="136"/>
      <c r="R978" s="79">
        <v>494.46</v>
      </c>
      <c r="S978" s="79">
        <v>483.26</v>
      </c>
      <c r="T978" s="79">
        <v>977.72</v>
      </c>
      <c r="U978" s="79">
        <v>0</v>
      </c>
      <c r="V978" s="189">
        <v>977.72</v>
      </c>
      <c r="X978" s="79">
        <v>494.46</v>
      </c>
      <c r="Y978" s="79">
        <v>483.26</v>
      </c>
      <c r="Z978" s="79">
        <v>977.72</v>
      </c>
      <c r="AA978" s="255">
        <v>-9.9999999999909051E-3</v>
      </c>
      <c r="AC978" s="254"/>
    </row>
    <row r="979" spans="1:29" ht="12">
      <c r="A979" s="67" t="s">
        <v>12368</v>
      </c>
      <c r="B979" s="65" t="s">
        <v>12369</v>
      </c>
      <c r="C979" s="71" t="s">
        <v>121</v>
      </c>
      <c r="D979" s="78">
        <v>1</v>
      </c>
      <c r="E979" s="79">
        <v>1044.54</v>
      </c>
      <c r="F979" s="70">
        <v>1044.54</v>
      </c>
      <c r="G979" s="320"/>
      <c r="H979" s="79">
        <v>561.29</v>
      </c>
      <c r="I979" s="79">
        <v>483.25</v>
      </c>
      <c r="J979" s="79">
        <v>1044.54</v>
      </c>
      <c r="K979" s="79">
        <v>0</v>
      </c>
      <c r="L979" s="70">
        <v>1044.54</v>
      </c>
      <c r="M979" s="132"/>
      <c r="N979" s="79">
        <v>561.29</v>
      </c>
      <c r="O979" s="79">
        <v>483.25</v>
      </c>
      <c r="P979" s="79">
        <v>1044.54</v>
      </c>
      <c r="Q979" s="136"/>
      <c r="R979" s="79">
        <v>561.29</v>
      </c>
      <c r="S979" s="79">
        <v>483.26</v>
      </c>
      <c r="T979" s="79">
        <v>1044.55</v>
      </c>
      <c r="U979" s="79">
        <v>0</v>
      </c>
      <c r="V979" s="189">
        <v>1044.55</v>
      </c>
      <c r="X979" s="79">
        <v>561.29</v>
      </c>
      <c r="Y979" s="79">
        <v>483.26</v>
      </c>
      <c r="Z979" s="79">
        <v>1044.55</v>
      </c>
      <c r="AA979" s="255">
        <v>-9.9999999999909051E-3</v>
      </c>
      <c r="AC979" s="254"/>
    </row>
    <row r="980" spans="1:29" ht="12">
      <c r="A980" s="67" t="s">
        <v>12370</v>
      </c>
      <c r="B980" s="65" t="s">
        <v>12371</v>
      </c>
      <c r="C980" s="71" t="s">
        <v>121</v>
      </c>
      <c r="D980" s="78">
        <v>1</v>
      </c>
      <c r="E980" s="79">
        <v>1084.3000000000002</v>
      </c>
      <c r="F980" s="70">
        <v>1084.3</v>
      </c>
      <c r="G980" s="320"/>
      <c r="H980" s="79">
        <v>601.04999999999995</v>
      </c>
      <c r="I980" s="79">
        <v>483.25</v>
      </c>
      <c r="J980" s="79">
        <v>1084.3</v>
      </c>
      <c r="K980" s="79">
        <v>0</v>
      </c>
      <c r="L980" s="70">
        <v>1084.3</v>
      </c>
      <c r="M980" s="132"/>
      <c r="N980" s="79">
        <v>601.04999999999995</v>
      </c>
      <c r="O980" s="79">
        <v>483.25</v>
      </c>
      <c r="P980" s="79">
        <v>1084.3</v>
      </c>
      <c r="Q980" s="136"/>
      <c r="R980" s="79">
        <v>601.04999999999995</v>
      </c>
      <c r="S980" s="79">
        <v>483.26</v>
      </c>
      <c r="T980" s="79">
        <v>1084.31</v>
      </c>
      <c r="U980" s="79">
        <v>0</v>
      </c>
      <c r="V980" s="189">
        <v>1084.31</v>
      </c>
      <c r="X980" s="79">
        <v>601.04999999999995</v>
      </c>
      <c r="Y980" s="79">
        <v>483.26</v>
      </c>
      <c r="Z980" s="79">
        <v>1084.31</v>
      </c>
      <c r="AA980" s="255">
        <v>-9.9999999999909051E-3</v>
      </c>
      <c r="AC980" s="254"/>
    </row>
    <row r="981" spans="1:29" ht="12">
      <c r="A981" s="67" t="s">
        <v>12372</v>
      </c>
      <c r="B981" s="65" t="s">
        <v>12373</v>
      </c>
      <c r="C981" s="71" t="s">
        <v>165</v>
      </c>
      <c r="D981" s="78">
        <v>1</v>
      </c>
      <c r="E981" s="79">
        <v>83.910000000000011</v>
      </c>
      <c r="F981" s="70">
        <v>83.91</v>
      </c>
      <c r="G981" s="320"/>
      <c r="H981" s="79">
        <v>27.740000000000002</v>
      </c>
      <c r="I981" s="79">
        <v>56.17</v>
      </c>
      <c r="J981" s="79">
        <v>83.91</v>
      </c>
      <c r="K981" s="79">
        <v>0</v>
      </c>
      <c r="L981" s="70">
        <v>83.91</v>
      </c>
      <c r="M981" s="132"/>
      <c r="N981" s="79">
        <v>27.740000000000002</v>
      </c>
      <c r="O981" s="79">
        <v>56.17</v>
      </c>
      <c r="P981" s="79">
        <v>83.91</v>
      </c>
      <c r="Q981" s="136"/>
      <c r="R981" s="79">
        <v>27.74</v>
      </c>
      <c r="S981" s="79">
        <v>56.16</v>
      </c>
      <c r="T981" s="79">
        <v>83.899999999999991</v>
      </c>
      <c r="U981" s="79">
        <v>0</v>
      </c>
      <c r="V981" s="189">
        <v>83.899999999999991</v>
      </c>
      <c r="X981" s="79">
        <v>27.74</v>
      </c>
      <c r="Y981" s="79">
        <v>56.16</v>
      </c>
      <c r="Z981" s="79">
        <v>83.9</v>
      </c>
      <c r="AA981" s="255">
        <v>9.9999999999909051E-3</v>
      </c>
      <c r="AC981" s="254"/>
    </row>
    <row r="982" spans="1:29" ht="12">
      <c r="A982" s="67" t="s">
        <v>12374</v>
      </c>
      <c r="B982" s="65" t="s">
        <v>12375</v>
      </c>
      <c r="C982" s="71" t="s">
        <v>165</v>
      </c>
      <c r="D982" s="78">
        <v>1</v>
      </c>
      <c r="E982" s="79">
        <v>91.030000000000015</v>
      </c>
      <c r="F982" s="70">
        <v>91.03</v>
      </c>
      <c r="G982" s="320"/>
      <c r="H982" s="79">
        <v>14.569999999999999</v>
      </c>
      <c r="I982" s="79">
        <v>76.460000000000008</v>
      </c>
      <c r="J982" s="79">
        <v>91.03</v>
      </c>
      <c r="K982" s="79">
        <v>0</v>
      </c>
      <c r="L982" s="70">
        <v>91.03</v>
      </c>
      <c r="M982" s="132"/>
      <c r="N982" s="79">
        <v>14.569999999999999</v>
      </c>
      <c r="O982" s="79">
        <v>76.460000000000008</v>
      </c>
      <c r="P982" s="79">
        <v>91.03</v>
      </c>
      <c r="Q982" s="136"/>
      <c r="R982" s="79">
        <v>14.57</v>
      </c>
      <c r="S982" s="79">
        <v>76.45</v>
      </c>
      <c r="T982" s="79">
        <v>91.02000000000001</v>
      </c>
      <c r="U982" s="79">
        <v>0</v>
      </c>
      <c r="V982" s="189">
        <v>91.02000000000001</v>
      </c>
      <c r="X982" s="79">
        <v>14.57</v>
      </c>
      <c r="Y982" s="79">
        <v>76.45</v>
      </c>
      <c r="Z982" s="79">
        <v>91.02</v>
      </c>
      <c r="AA982" s="255">
        <v>1.0000000000005116E-2</v>
      </c>
      <c r="AC982" s="254"/>
    </row>
    <row r="983" spans="1:29" ht="12">
      <c r="A983" s="489" t="s">
        <v>12376</v>
      </c>
      <c r="B983" s="490" t="s">
        <v>12377</v>
      </c>
      <c r="C983" s="491"/>
      <c r="D983" s="492"/>
      <c r="E983" s="79"/>
      <c r="F983" s="63"/>
      <c r="G983" s="320"/>
      <c r="H983" s="79"/>
      <c r="I983" s="79"/>
      <c r="J983" s="79"/>
      <c r="K983" s="79"/>
      <c r="L983" s="70"/>
      <c r="M983" s="132"/>
      <c r="N983" s="79"/>
      <c r="O983" s="79"/>
      <c r="P983" s="79"/>
      <c r="Q983" s="136"/>
      <c r="R983" s="79"/>
      <c r="S983" s="79"/>
      <c r="T983" s="79"/>
      <c r="U983" s="79"/>
      <c r="V983" s="189"/>
      <c r="X983" s="79"/>
      <c r="Y983" s="79"/>
      <c r="Z983" s="79"/>
      <c r="AA983" s="255"/>
      <c r="AC983" s="254"/>
    </row>
    <row r="984" spans="1:29" ht="12">
      <c r="A984" s="67" t="s">
        <v>12378</v>
      </c>
      <c r="B984" s="65" t="s">
        <v>12379</v>
      </c>
      <c r="C984" s="71" t="s">
        <v>509</v>
      </c>
      <c r="D984" s="78">
        <v>1</v>
      </c>
      <c r="E984" s="79">
        <v>109.42999999999999</v>
      </c>
      <c r="F984" s="70">
        <v>109.43</v>
      </c>
      <c r="G984" s="320"/>
      <c r="H984" s="79">
        <v>100.35</v>
      </c>
      <c r="I984" s="79">
        <v>9.08</v>
      </c>
      <c r="J984" s="79">
        <v>109.42999999999999</v>
      </c>
      <c r="K984" s="79">
        <v>0</v>
      </c>
      <c r="L984" s="70">
        <v>109.42999999999999</v>
      </c>
      <c r="M984" s="132"/>
      <c r="N984" s="79">
        <v>100.35</v>
      </c>
      <c r="O984" s="79">
        <v>9.08</v>
      </c>
      <c r="P984" s="79">
        <v>109.42999999999999</v>
      </c>
      <c r="Q984" s="136"/>
      <c r="R984" s="79">
        <v>100.35</v>
      </c>
      <c r="S984" s="79">
        <v>9.08</v>
      </c>
      <c r="T984" s="79">
        <v>109.42999999999999</v>
      </c>
      <c r="U984" s="79">
        <v>0</v>
      </c>
      <c r="V984" s="189">
        <v>109.42999999999999</v>
      </c>
      <c r="X984" s="79">
        <v>100.35</v>
      </c>
      <c r="Y984" s="79">
        <v>9.08</v>
      </c>
      <c r="Z984" s="79">
        <v>109.43</v>
      </c>
      <c r="AA984" s="255">
        <v>0</v>
      </c>
      <c r="AC984" s="254"/>
    </row>
    <row r="985" spans="1:29" ht="12">
      <c r="A985" s="67" t="s">
        <v>12380</v>
      </c>
      <c r="B985" s="65" t="s">
        <v>12381</v>
      </c>
      <c r="C985" s="71" t="s">
        <v>165</v>
      </c>
      <c r="D985" s="78">
        <v>1</v>
      </c>
      <c r="E985" s="79">
        <v>60.660000000000004</v>
      </c>
      <c r="F985" s="70">
        <v>60.66</v>
      </c>
      <c r="G985" s="320"/>
      <c r="H985" s="79">
        <v>58.38</v>
      </c>
      <c r="I985" s="79">
        <v>2.2800000000000002</v>
      </c>
      <c r="J985" s="79">
        <v>60.660000000000004</v>
      </c>
      <c r="K985" s="79">
        <v>0</v>
      </c>
      <c r="L985" s="70">
        <v>60.660000000000004</v>
      </c>
      <c r="M985" s="132"/>
      <c r="N985" s="79">
        <v>58.38</v>
      </c>
      <c r="O985" s="79">
        <v>2.2800000000000002</v>
      </c>
      <c r="P985" s="79">
        <v>60.660000000000004</v>
      </c>
      <c r="Q985" s="136"/>
      <c r="R985" s="79">
        <v>58.38</v>
      </c>
      <c r="S985" s="79">
        <v>2.27</v>
      </c>
      <c r="T985" s="79">
        <v>60.650000000000006</v>
      </c>
      <c r="U985" s="79">
        <v>0</v>
      </c>
      <c r="V985" s="189">
        <v>60.650000000000006</v>
      </c>
      <c r="X985" s="79">
        <v>58.38</v>
      </c>
      <c r="Y985" s="79">
        <v>2.27</v>
      </c>
      <c r="Z985" s="79">
        <v>60.65</v>
      </c>
      <c r="AA985" s="255">
        <v>9.9999999999980105E-3</v>
      </c>
      <c r="AC985" s="254"/>
    </row>
    <row r="986" spans="1:29" ht="12">
      <c r="A986" s="67" t="s">
        <v>12382</v>
      </c>
      <c r="B986" s="65" t="s">
        <v>12383</v>
      </c>
      <c r="C986" s="71" t="s">
        <v>165</v>
      </c>
      <c r="D986" s="78">
        <v>1</v>
      </c>
      <c r="E986" s="79">
        <v>100.5</v>
      </c>
      <c r="F986" s="70">
        <v>100.5</v>
      </c>
      <c r="G986" s="320"/>
      <c r="H986" s="79">
        <v>97.78</v>
      </c>
      <c r="I986" s="79">
        <v>2.7199999999999998</v>
      </c>
      <c r="J986" s="79">
        <v>100.5</v>
      </c>
      <c r="K986" s="79">
        <v>0</v>
      </c>
      <c r="L986" s="70">
        <v>100.5</v>
      </c>
      <c r="M986" s="132"/>
      <c r="N986" s="79">
        <v>97.78</v>
      </c>
      <c r="O986" s="79">
        <v>2.7199999999999998</v>
      </c>
      <c r="P986" s="79">
        <v>100.5</v>
      </c>
      <c r="Q986" s="136"/>
      <c r="R986" s="79">
        <v>97.78</v>
      </c>
      <c r="S986" s="79">
        <v>2.73</v>
      </c>
      <c r="T986" s="79">
        <v>100.51</v>
      </c>
      <c r="U986" s="79">
        <v>0</v>
      </c>
      <c r="V986" s="189">
        <v>100.51</v>
      </c>
      <c r="X986" s="79">
        <v>97.78</v>
      </c>
      <c r="Y986" s="79">
        <v>2.73</v>
      </c>
      <c r="Z986" s="79">
        <v>100.51</v>
      </c>
      <c r="AA986" s="255">
        <v>-1.0000000000005116E-2</v>
      </c>
      <c r="AC986" s="254"/>
    </row>
    <row r="987" spans="1:29" ht="12">
      <c r="A987" s="67" t="s">
        <v>12384</v>
      </c>
      <c r="B987" s="65" t="s">
        <v>12385</v>
      </c>
      <c r="C987" s="71" t="s">
        <v>165</v>
      </c>
      <c r="D987" s="78">
        <v>1</v>
      </c>
      <c r="E987" s="79">
        <v>59.37</v>
      </c>
      <c r="F987" s="70">
        <v>59.37</v>
      </c>
      <c r="G987" s="320"/>
      <c r="H987" s="79">
        <v>54.83</v>
      </c>
      <c r="I987" s="79">
        <v>4.54</v>
      </c>
      <c r="J987" s="79">
        <v>59.37</v>
      </c>
      <c r="K987" s="79">
        <v>0</v>
      </c>
      <c r="L987" s="70">
        <v>59.37</v>
      </c>
      <c r="M987" s="132"/>
      <c r="N987" s="79">
        <v>54.83</v>
      </c>
      <c r="O987" s="79">
        <v>4.54</v>
      </c>
      <c r="P987" s="79">
        <v>59.37</v>
      </c>
      <c r="Q987" s="136"/>
      <c r="R987" s="79">
        <v>54.83</v>
      </c>
      <c r="S987" s="79">
        <v>4.54</v>
      </c>
      <c r="T987" s="79">
        <v>59.37</v>
      </c>
      <c r="U987" s="79">
        <v>0</v>
      </c>
      <c r="V987" s="189">
        <v>59.37</v>
      </c>
      <c r="X987" s="79">
        <v>54.83</v>
      </c>
      <c r="Y987" s="79">
        <v>4.54</v>
      </c>
      <c r="Z987" s="79">
        <v>59.37</v>
      </c>
      <c r="AA987" s="255">
        <v>0</v>
      </c>
      <c r="AC987" s="254"/>
    </row>
    <row r="988" spans="1:29" ht="12">
      <c r="A988" s="67" t="s">
        <v>12386</v>
      </c>
      <c r="B988" s="65" t="s">
        <v>12387</v>
      </c>
      <c r="C988" s="71" t="s">
        <v>165</v>
      </c>
      <c r="D988" s="78">
        <v>1</v>
      </c>
      <c r="E988" s="79">
        <v>125.4</v>
      </c>
      <c r="F988" s="70">
        <v>125.4</v>
      </c>
      <c r="G988" s="320"/>
      <c r="H988" s="79">
        <v>124.85000000000001</v>
      </c>
      <c r="I988" s="79">
        <v>0.55000000000000004</v>
      </c>
      <c r="J988" s="79">
        <v>125.4</v>
      </c>
      <c r="K988" s="79">
        <v>0</v>
      </c>
      <c r="L988" s="70">
        <v>125.4</v>
      </c>
      <c r="M988" s="132"/>
      <c r="N988" s="79">
        <v>124.85000000000001</v>
      </c>
      <c r="O988" s="79">
        <v>0.55000000000000004</v>
      </c>
      <c r="P988" s="79">
        <v>125.4</v>
      </c>
      <c r="Q988" s="136"/>
      <c r="R988" s="79">
        <v>124.85</v>
      </c>
      <c r="S988" s="79">
        <v>0.55000000000000004</v>
      </c>
      <c r="T988" s="79">
        <v>125.39999999999999</v>
      </c>
      <c r="U988" s="79">
        <v>0</v>
      </c>
      <c r="V988" s="189">
        <v>125.39999999999999</v>
      </c>
      <c r="X988" s="79">
        <v>124.85</v>
      </c>
      <c r="Y988" s="79">
        <v>0.55000000000000004</v>
      </c>
      <c r="Z988" s="79">
        <v>125.4</v>
      </c>
      <c r="AA988" s="255">
        <v>0</v>
      </c>
      <c r="AC988" s="254"/>
    </row>
    <row r="989" spans="1:29" ht="12">
      <c r="A989" s="67" t="s">
        <v>12388</v>
      </c>
      <c r="B989" s="65" t="s">
        <v>12389</v>
      </c>
      <c r="C989" s="71" t="s">
        <v>509</v>
      </c>
      <c r="D989" s="78">
        <v>1</v>
      </c>
      <c r="E989" s="79">
        <v>266.99</v>
      </c>
      <c r="F989" s="70">
        <v>266.99</v>
      </c>
      <c r="G989" s="320"/>
      <c r="H989" s="79">
        <v>261.54000000000002</v>
      </c>
      <c r="I989" s="79">
        <v>5.45</v>
      </c>
      <c r="J989" s="79">
        <v>266.99</v>
      </c>
      <c r="K989" s="79">
        <v>0</v>
      </c>
      <c r="L989" s="70">
        <v>266.99</v>
      </c>
      <c r="M989" s="132"/>
      <c r="N989" s="79">
        <v>261.54000000000002</v>
      </c>
      <c r="O989" s="79">
        <v>5.45</v>
      </c>
      <c r="P989" s="79">
        <v>266.99</v>
      </c>
      <c r="Q989" s="136"/>
      <c r="R989" s="79">
        <v>261.54000000000002</v>
      </c>
      <c r="S989" s="79">
        <v>5.45</v>
      </c>
      <c r="T989" s="79">
        <v>266.99</v>
      </c>
      <c r="U989" s="79">
        <v>0</v>
      </c>
      <c r="V989" s="189">
        <v>266.99</v>
      </c>
      <c r="X989" s="79">
        <v>261.54000000000002</v>
      </c>
      <c r="Y989" s="79">
        <v>5.45</v>
      </c>
      <c r="Z989" s="79">
        <v>266.99</v>
      </c>
      <c r="AA989" s="255">
        <v>0</v>
      </c>
      <c r="AC989" s="254"/>
    </row>
    <row r="990" spans="1:29" ht="12">
      <c r="A990" s="489" t="s">
        <v>12390</v>
      </c>
      <c r="B990" s="490" t="s">
        <v>12391</v>
      </c>
      <c r="C990" s="491"/>
      <c r="D990" s="492"/>
      <c r="E990" s="79"/>
      <c r="F990" s="63"/>
      <c r="G990" s="320"/>
      <c r="H990" s="79"/>
      <c r="I990" s="79"/>
      <c r="J990" s="79"/>
      <c r="K990" s="79"/>
      <c r="L990" s="70"/>
      <c r="M990" s="132"/>
      <c r="N990" s="79"/>
      <c r="O990" s="79"/>
      <c r="P990" s="79"/>
      <c r="Q990" s="136"/>
      <c r="R990" s="79"/>
      <c r="S990" s="79"/>
      <c r="T990" s="79"/>
      <c r="U990" s="79"/>
      <c r="V990" s="189"/>
      <c r="X990" s="79"/>
      <c r="Y990" s="79"/>
      <c r="Z990" s="79"/>
      <c r="AA990" s="255"/>
      <c r="AC990" s="254"/>
    </row>
    <row r="991" spans="1:29" ht="12">
      <c r="A991" s="67" t="s">
        <v>12392</v>
      </c>
      <c r="B991" s="65" t="s">
        <v>12393</v>
      </c>
      <c r="C991" s="71" t="s">
        <v>509</v>
      </c>
      <c r="D991" s="78">
        <v>1</v>
      </c>
      <c r="E991" s="79">
        <v>108.94999999999999</v>
      </c>
      <c r="F991" s="70">
        <v>108.95</v>
      </c>
      <c r="G991" s="320"/>
      <c r="H991" s="79">
        <v>99.86999999999999</v>
      </c>
      <c r="I991" s="79">
        <v>9.08</v>
      </c>
      <c r="J991" s="79">
        <v>108.94999999999999</v>
      </c>
      <c r="K991" s="79">
        <v>0</v>
      </c>
      <c r="L991" s="70">
        <v>108.94999999999999</v>
      </c>
      <c r="M991" s="132"/>
      <c r="N991" s="79">
        <v>99.86999999999999</v>
      </c>
      <c r="O991" s="79">
        <v>9.08</v>
      </c>
      <c r="P991" s="79">
        <v>108.94999999999999</v>
      </c>
      <c r="Q991" s="136"/>
      <c r="R991" s="79">
        <v>99.87</v>
      </c>
      <c r="S991" s="79">
        <v>9.08</v>
      </c>
      <c r="T991" s="79">
        <v>108.95</v>
      </c>
      <c r="U991" s="79">
        <v>0</v>
      </c>
      <c r="V991" s="189">
        <v>108.95</v>
      </c>
      <c r="X991" s="79">
        <v>99.87</v>
      </c>
      <c r="Y991" s="79">
        <v>9.08</v>
      </c>
      <c r="Z991" s="79">
        <v>108.95</v>
      </c>
      <c r="AA991" s="255">
        <v>0</v>
      </c>
      <c r="AC991" s="254"/>
    </row>
    <row r="992" spans="1:29" ht="12">
      <c r="A992" s="67" t="s">
        <v>12394</v>
      </c>
      <c r="B992" s="65" t="s">
        <v>12395</v>
      </c>
      <c r="C992" s="71" t="s">
        <v>165</v>
      </c>
      <c r="D992" s="78">
        <v>1</v>
      </c>
      <c r="E992" s="79">
        <v>47.190000000000005</v>
      </c>
      <c r="F992" s="70">
        <v>47.19</v>
      </c>
      <c r="G992" s="320"/>
      <c r="H992" s="79">
        <v>44.910000000000004</v>
      </c>
      <c r="I992" s="79">
        <v>2.2800000000000002</v>
      </c>
      <c r="J992" s="79">
        <v>47.190000000000005</v>
      </c>
      <c r="K992" s="79">
        <v>0</v>
      </c>
      <c r="L992" s="70">
        <v>47.190000000000005</v>
      </c>
      <c r="M992" s="132"/>
      <c r="N992" s="79">
        <v>44.910000000000004</v>
      </c>
      <c r="O992" s="79">
        <v>2.2800000000000002</v>
      </c>
      <c r="P992" s="79">
        <v>47.190000000000005</v>
      </c>
      <c r="Q992" s="136"/>
      <c r="R992" s="79">
        <v>44.91</v>
      </c>
      <c r="S992" s="79">
        <v>2.27</v>
      </c>
      <c r="T992" s="79">
        <v>47.18</v>
      </c>
      <c r="U992" s="79">
        <v>0</v>
      </c>
      <c r="V992" s="189">
        <v>47.18</v>
      </c>
      <c r="X992" s="79">
        <v>44.91</v>
      </c>
      <c r="Y992" s="79">
        <v>2.27</v>
      </c>
      <c r="Z992" s="79">
        <v>47.18</v>
      </c>
      <c r="AA992" s="255">
        <v>9.9999999999980105E-3</v>
      </c>
      <c r="AC992" s="254"/>
    </row>
    <row r="993" spans="1:31" ht="12">
      <c r="A993" s="67" t="s">
        <v>12396</v>
      </c>
      <c r="B993" s="65" t="s">
        <v>12397</v>
      </c>
      <c r="C993" s="71" t="s">
        <v>165</v>
      </c>
      <c r="D993" s="78">
        <v>1</v>
      </c>
      <c r="E993" s="79">
        <v>101.25</v>
      </c>
      <c r="F993" s="70">
        <v>101.25</v>
      </c>
      <c r="G993" s="320"/>
      <c r="H993" s="79">
        <v>98.53</v>
      </c>
      <c r="I993" s="79">
        <v>2.7199999999999998</v>
      </c>
      <c r="J993" s="79">
        <v>101.25</v>
      </c>
      <c r="K993" s="79">
        <v>0</v>
      </c>
      <c r="L993" s="70">
        <v>101.25</v>
      </c>
      <c r="M993" s="132"/>
      <c r="N993" s="79">
        <v>98.53</v>
      </c>
      <c r="O993" s="79">
        <v>2.7199999999999998</v>
      </c>
      <c r="P993" s="79">
        <v>101.25</v>
      </c>
      <c r="Q993" s="136"/>
      <c r="R993" s="79">
        <v>98.53</v>
      </c>
      <c r="S993" s="79">
        <v>2.73</v>
      </c>
      <c r="T993" s="79">
        <v>101.26</v>
      </c>
      <c r="U993" s="79">
        <v>0</v>
      </c>
      <c r="V993" s="189">
        <v>101.26</v>
      </c>
      <c r="X993" s="79">
        <v>98.53</v>
      </c>
      <c r="Y993" s="79">
        <v>2.73</v>
      </c>
      <c r="Z993" s="79">
        <v>101.26</v>
      </c>
      <c r="AA993" s="255">
        <v>-1.0000000000005116E-2</v>
      </c>
      <c r="AC993" s="254"/>
    </row>
    <row r="994" spans="1:31" ht="12">
      <c r="A994" s="67" t="s">
        <v>12398</v>
      </c>
      <c r="B994" s="65" t="s">
        <v>12399</v>
      </c>
      <c r="C994" s="71" t="s">
        <v>165</v>
      </c>
      <c r="D994" s="78">
        <v>1</v>
      </c>
      <c r="E994" s="79">
        <v>100.52</v>
      </c>
      <c r="F994" s="70">
        <v>100.52</v>
      </c>
      <c r="G994" s="320"/>
      <c r="H994" s="79">
        <v>97.8</v>
      </c>
      <c r="I994" s="79">
        <v>2.7199999999999998</v>
      </c>
      <c r="J994" s="79">
        <v>100.52</v>
      </c>
      <c r="K994" s="79">
        <v>0</v>
      </c>
      <c r="L994" s="70">
        <v>100.52</v>
      </c>
      <c r="M994" s="132"/>
      <c r="N994" s="79">
        <v>97.8</v>
      </c>
      <c r="O994" s="79">
        <v>2.7199999999999998</v>
      </c>
      <c r="P994" s="79">
        <v>100.52</v>
      </c>
      <c r="Q994" s="136"/>
      <c r="R994" s="79">
        <v>97.8</v>
      </c>
      <c r="S994" s="79">
        <v>2.73</v>
      </c>
      <c r="T994" s="79">
        <v>100.53</v>
      </c>
      <c r="U994" s="79">
        <v>0</v>
      </c>
      <c r="V994" s="189">
        <v>100.53</v>
      </c>
      <c r="X994" s="79">
        <v>97.8</v>
      </c>
      <c r="Y994" s="79">
        <v>2.73</v>
      </c>
      <c r="Z994" s="79">
        <v>100.53</v>
      </c>
      <c r="AA994" s="255">
        <v>-1.0000000000005116E-2</v>
      </c>
      <c r="AC994" s="254"/>
    </row>
    <row r="995" spans="1:31" ht="12">
      <c r="A995" s="67" t="s">
        <v>12400</v>
      </c>
      <c r="B995" s="65" t="s">
        <v>12401</v>
      </c>
      <c r="C995" s="71" t="s">
        <v>165</v>
      </c>
      <c r="D995" s="78">
        <v>1</v>
      </c>
      <c r="E995" s="79">
        <v>52.78</v>
      </c>
      <c r="F995" s="70">
        <v>52.78</v>
      </c>
      <c r="G995" s="320"/>
      <c r="H995" s="79">
        <v>48.24</v>
      </c>
      <c r="I995" s="79">
        <v>4.54</v>
      </c>
      <c r="J995" s="79">
        <v>52.78</v>
      </c>
      <c r="K995" s="79">
        <v>0</v>
      </c>
      <c r="L995" s="70">
        <v>52.78</v>
      </c>
      <c r="M995" s="132"/>
      <c r="N995" s="79">
        <v>48.24</v>
      </c>
      <c r="O995" s="79">
        <v>4.54</v>
      </c>
      <c r="P995" s="79">
        <v>52.78</v>
      </c>
      <c r="Q995" s="136"/>
      <c r="R995" s="79">
        <v>48.24</v>
      </c>
      <c r="S995" s="79">
        <v>4.54</v>
      </c>
      <c r="T995" s="79">
        <v>52.78</v>
      </c>
      <c r="U995" s="79">
        <v>0</v>
      </c>
      <c r="V995" s="189">
        <v>52.78</v>
      </c>
      <c r="X995" s="79">
        <v>48.24</v>
      </c>
      <c r="Y995" s="79">
        <v>4.54</v>
      </c>
      <c r="Z995" s="79">
        <v>52.78</v>
      </c>
      <c r="AA995" s="255">
        <v>0</v>
      </c>
      <c r="AC995" s="254"/>
    </row>
    <row r="996" spans="1:31" ht="12">
      <c r="A996" s="67" t="s">
        <v>12402</v>
      </c>
      <c r="B996" s="65" t="s">
        <v>12403</v>
      </c>
      <c r="C996" s="71" t="s">
        <v>165</v>
      </c>
      <c r="D996" s="78">
        <v>1</v>
      </c>
      <c r="E996" s="79">
        <v>90.67</v>
      </c>
      <c r="F996" s="70">
        <v>90.67</v>
      </c>
      <c r="G996" s="320"/>
      <c r="H996" s="79">
        <v>90.67</v>
      </c>
      <c r="I996" s="79">
        <v>0</v>
      </c>
      <c r="J996" s="79">
        <v>90.67</v>
      </c>
      <c r="K996" s="79">
        <v>0</v>
      </c>
      <c r="L996" s="70">
        <v>90.67</v>
      </c>
      <c r="M996" s="132"/>
      <c r="N996" s="79">
        <v>90.67</v>
      </c>
      <c r="O996" s="79">
        <v>0</v>
      </c>
      <c r="P996" s="79">
        <v>90.67</v>
      </c>
      <c r="Q996" s="136"/>
      <c r="R996" s="79">
        <v>90.67</v>
      </c>
      <c r="S996" s="79"/>
      <c r="T996" s="79">
        <v>90.67</v>
      </c>
      <c r="U996" s="79">
        <v>0</v>
      </c>
      <c r="V996" s="189">
        <v>90.67</v>
      </c>
      <c r="X996" s="79">
        <v>90.67</v>
      </c>
      <c r="Y996" s="79"/>
      <c r="Z996" s="79">
        <v>90.67</v>
      </c>
      <c r="AA996" s="255">
        <v>0</v>
      </c>
      <c r="AC996" s="254"/>
    </row>
    <row r="997" spans="1:31" ht="12">
      <c r="A997" s="67" t="s">
        <v>12404</v>
      </c>
      <c r="B997" s="65" t="s">
        <v>12405</v>
      </c>
      <c r="C997" s="499" t="s">
        <v>509</v>
      </c>
      <c r="D997" s="78">
        <v>1</v>
      </c>
      <c r="E997" s="79">
        <v>169.41</v>
      </c>
      <c r="F997" s="70">
        <v>169.41</v>
      </c>
      <c r="G997" s="320"/>
      <c r="H997" s="79">
        <v>169.41</v>
      </c>
      <c r="I997" s="79">
        <v>0</v>
      </c>
      <c r="J997" s="79">
        <v>169.41</v>
      </c>
      <c r="K997" s="79">
        <v>0</v>
      </c>
      <c r="L997" s="70">
        <v>169.41</v>
      </c>
      <c r="M997" s="132"/>
      <c r="N997" s="79">
        <v>169.41</v>
      </c>
      <c r="O997" s="79">
        <v>0</v>
      </c>
      <c r="P997" s="79">
        <v>169.41</v>
      </c>
      <c r="Q997" s="136"/>
      <c r="R997" s="79">
        <v>169.41</v>
      </c>
      <c r="S997" s="79"/>
      <c r="T997" s="79">
        <v>169.41</v>
      </c>
      <c r="U997" s="79">
        <v>0</v>
      </c>
      <c r="V997" s="189">
        <v>169.41</v>
      </c>
      <c r="X997" s="79">
        <v>169.41</v>
      </c>
      <c r="Y997" s="79"/>
      <c r="Z997" s="79">
        <v>169.41</v>
      </c>
      <c r="AA997" s="255">
        <v>0</v>
      </c>
      <c r="AC997" s="254"/>
    </row>
    <row r="998" spans="1:31" ht="24">
      <c r="A998" s="67" t="s">
        <v>12406</v>
      </c>
      <c r="B998" s="65" t="s">
        <v>2013</v>
      </c>
      <c r="C998" s="499" t="s">
        <v>108</v>
      </c>
      <c r="D998" s="78">
        <v>1</v>
      </c>
      <c r="E998" s="79">
        <v>1660.19</v>
      </c>
      <c r="F998" s="70">
        <v>1660.19</v>
      </c>
      <c r="G998" s="320"/>
      <c r="H998" s="79">
        <v>1660.19</v>
      </c>
      <c r="I998" s="79">
        <v>0</v>
      </c>
      <c r="J998" s="79">
        <v>1660.19</v>
      </c>
      <c r="K998" s="79">
        <v>0</v>
      </c>
      <c r="L998" s="70">
        <v>1660.19</v>
      </c>
      <c r="M998" s="132"/>
      <c r="N998" s="79">
        <v>1660.19</v>
      </c>
      <c r="O998" s="79"/>
      <c r="P998" s="79">
        <v>1660.19</v>
      </c>
      <c r="Q998" s="136"/>
      <c r="R998" s="79">
        <v>1660.19</v>
      </c>
      <c r="S998" s="79"/>
      <c r="T998" s="79">
        <v>1660.19</v>
      </c>
      <c r="U998" s="79">
        <v>0</v>
      </c>
      <c r="V998" s="189">
        <v>1660.19</v>
      </c>
      <c r="X998" s="79">
        <v>1660.19</v>
      </c>
      <c r="Y998" s="79"/>
      <c r="Z998" s="79">
        <v>1660.19</v>
      </c>
      <c r="AA998" s="255">
        <v>0</v>
      </c>
      <c r="AC998" s="254"/>
    </row>
    <row r="999" spans="1:31" ht="12">
      <c r="A999" s="489" t="s">
        <v>12407</v>
      </c>
      <c r="B999" s="490" t="s">
        <v>12408</v>
      </c>
      <c r="C999" s="491"/>
      <c r="D999" s="492"/>
      <c r="E999" s="79"/>
      <c r="F999" s="63"/>
      <c r="G999" s="320"/>
      <c r="H999" s="79"/>
      <c r="I999" s="79"/>
      <c r="J999" s="79"/>
      <c r="K999" s="79"/>
      <c r="L999" s="70"/>
      <c r="M999" s="132"/>
      <c r="N999" s="79"/>
      <c r="O999" s="79"/>
      <c r="P999" s="79"/>
      <c r="Q999" s="136"/>
      <c r="R999" s="79"/>
      <c r="S999" s="79"/>
      <c r="T999" s="79"/>
      <c r="U999" s="79"/>
      <c r="V999" s="189"/>
      <c r="X999" s="79"/>
      <c r="Y999" s="79"/>
      <c r="Z999" s="79"/>
      <c r="AA999" s="255"/>
      <c r="AC999" s="254"/>
    </row>
    <row r="1000" spans="1:31" ht="12">
      <c r="A1000" s="67" t="s">
        <v>12409</v>
      </c>
      <c r="B1000" s="65" t="s">
        <v>12410</v>
      </c>
      <c r="C1000" s="71" t="s">
        <v>509</v>
      </c>
      <c r="D1000" s="78">
        <v>1</v>
      </c>
      <c r="E1000" s="79">
        <v>99.37</v>
      </c>
      <c r="F1000" s="70">
        <v>99.37</v>
      </c>
      <c r="G1000" s="320"/>
      <c r="H1000" s="79">
        <v>35.56</v>
      </c>
      <c r="I1000" s="79">
        <v>63.81</v>
      </c>
      <c r="J1000" s="79">
        <v>99.37</v>
      </c>
      <c r="K1000" s="79">
        <v>0</v>
      </c>
      <c r="L1000" s="70">
        <v>99.37</v>
      </c>
      <c r="M1000" s="132"/>
      <c r="N1000" s="79">
        <v>35.56</v>
      </c>
      <c r="O1000" s="79">
        <v>63.81</v>
      </c>
      <c r="P1000" s="79">
        <v>99.37</v>
      </c>
      <c r="Q1000" s="136"/>
      <c r="R1000" s="79">
        <v>35.56</v>
      </c>
      <c r="S1000" s="79">
        <v>63.83</v>
      </c>
      <c r="T1000" s="79">
        <v>99.39</v>
      </c>
      <c r="U1000" s="79">
        <v>0</v>
      </c>
      <c r="V1000" s="189">
        <v>99.39</v>
      </c>
      <c r="X1000" s="79">
        <v>35.56</v>
      </c>
      <c r="Y1000" s="79">
        <v>63.83</v>
      </c>
      <c r="Z1000" s="79">
        <v>99.39</v>
      </c>
      <c r="AA1000" s="255">
        <v>-1.9999999999996021E-2</v>
      </c>
      <c r="AC1000" s="254"/>
    </row>
    <row r="1001" spans="1:31" ht="12">
      <c r="A1001" s="67" t="s">
        <v>12411</v>
      </c>
      <c r="B1001" s="65" t="s">
        <v>12412</v>
      </c>
      <c r="C1001" s="71" t="s">
        <v>165</v>
      </c>
      <c r="D1001" s="78">
        <v>1</v>
      </c>
      <c r="E1001" s="79">
        <v>115.15</v>
      </c>
      <c r="F1001" s="70">
        <v>115.15</v>
      </c>
      <c r="G1001" s="320"/>
      <c r="H1001" s="79">
        <v>92.44</v>
      </c>
      <c r="I1001" s="79">
        <v>22.71</v>
      </c>
      <c r="J1001" s="79">
        <v>115.15</v>
      </c>
      <c r="K1001" s="79">
        <v>0</v>
      </c>
      <c r="L1001" s="70">
        <v>115.15</v>
      </c>
      <c r="M1001" s="132"/>
      <c r="N1001" s="79">
        <v>92.44</v>
      </c>
      <c r="O1001" s="79">
        <v>22.71</v>
      </c>
      <c r="P1001" s="79">
        <v>115.15</v>
      </c>
      <c r="Q1001" s="136"/>
      <c r="R1001" s="79">
        <v>92.44</v>
      </c>
      <c r="S1001" s="79">
        <v>22.71</v>
      </c>
      <c r="T1001" s="79">
        <v>115.15</v>
      </c>
      <c r="U1001" s="79">
        <v>0</v>
      </c>
      <c r="V1001" s="189">
        <v>115.15</v>
      </c>
      <c r="X1001" s="79">
        <v>92.44</v>
      </c>
      <c r="Y1001" s="79">
        <v>22.71</v>
      </c>
      <c r="Z1001" s="79">
        <v>115.15</v>
      </c>
      <c r="AA1001" s="255">
        <v>0</v>
      </c>
      <c r="AC1001" s="254"/>
    </row>
    <row r="1002" spans="1:31" ht="12">
      <c r="A1002" s="67" t="s">
        <v>12413</v>
      </c>
      <c r="B1002" s="65" t="s">
        <v>12414</v>
      </c>
      <c r="C1002" s="71" t="s">
        <v>165</v>
      </c>
      <c r="D1002" s="78">
        <v>1</v>
      </c>
      <c r="E1002" s="79">
        <v>10.94</v>
      </c>
      <c r="F1002" s="70">
        <v>10.94</v>
      </c>
      <c r="G1002" s="320"/>
      <c r="H1002" s="79">
        <v>10.94</v>
      </c>
      <c r="I1002" s="79">
        <v>0</v>
      </c>
      <c r="J1002" s="79">
        <v>10.94</v>
      </c>
      <c r="K1002" s="79">
        <v>0</v>
      </c>
      <c r="L1002" s="70">
        <v>10.94</v>
      </c>
      <c r="M1002" s="132"/>
      <c r="N1002" s="79">
        <v>10.94</v>
      </c>
      <c r="O1002" s="79"/>
      <c r="P1002" s="79">
        <v>10.94</v>
      </c>
      <c r="Q1002" s="136"/>
      <c r="R1002" s="79">
        <v>10.94</v>
      </c>
      <c r="S1002" s="79"/>
      <c r="T1002" s="79">
        <v>10.94</v>
      </c>
      <c r="U1002" s="79">
        <v>0</v>
      </c>
      <c r="V1002" s="189">
        <v>10.94</v>
      </c>
      <c r="X1002" s="79">
        <v>10.94</v>
      </c>
      <c r="Y1002" s="79"/>
      <c r="Z1002" s="79">
        <v>10.94</v>
      </c>
      <c r="AA1002" s="255">
        <v>0</v>
      </c>
      <c r="AC1002" s="254"/>
    </row>
    <row r="1003" spans="1:31" ht="12">
      <c r="A1003" s="67" t="s">
        <v>12415</v>
      </c>
      <c r="B1003" s="65" t="s">
        <v>12416</v>
      </c>
      <c r="C1003" s="71" t="s">
        <v>509</v>
      </c>
      <c r="D1003" s="78">
        <v>1</v>
      </c>
      <c r="E1003" s="79">
        <v>217.19</v>
      </c>
      <c r="F1003" s="70">
        <v>217.19</v>
      </c>
      <c r="G1003" s="320"/>
      <c r="H1003" s="79">
        <v>194.48</v>
      </c>
      <c r="I1003" s="79">
        <v>22.71</v>
      </c>
      <c r="J1003" s="79">
        <v>217.19</v>
      </c>
      <c r="K1003" s="79">
        <v>0</v>
      </c>
      <c r="L1003" s="70">
        <v>217.19</v>
      </c>
      <c r="M1003" s="132"/>
      <c r="N1003" s="79">
        <v>194.48</v>
      </c>
      <c r="O1003" s="79">
        <v>22.71</v>
      </c>
      <c r="P1003" s="79">
        <v>217.19</v>
      </c>
      <c r="Q1003" s="136"/>
      <c r="R1003" s="79">
        <v>194.48</v>
      </c>
      <c r="S1003" s="79">
        <v>22.71</v>
      </c>
      <c r="T1003" s="79">
        <v>217.19</v>
      </c>
      <c r="U1003" s="79">
        <v>0</v>
      </c>
      <c r="V1003" s="189">
        <v>217.19</v>
      </c>
      <c r="X1003" s="79">
        <v>194.48</v>
      </c>
      <c r="Y1003" s="79">
        <v>22.71</v>
      </c>
      <c r="Z1003" s="79">
        <v>217.19</v>
      </c>
      <c r="AA1003" s="255">
        <v>0</v>
      </c>
      <c r="AC1003" s="254"/>
    </row>
    <row r="1004" spans="1:31" ht="12">
      <c r="A1004" s="67" t="s">
        <v>12417</v>
      </c>
      <c r="B1004" s="65" t="s">
        <v>12418</v>
      </c>
      <c r="C1004" s="71" t="s">
        <v>509</v>
      </c>
      <c r="D1004" s="78">
        <v>1</v>
      </c>
      <c r="E1004" s="79">
        <v>40.029999999999994</v>
      </c>
      <c r="F1004" s="70">
        <v>40.03</v>
      </c>
      <c r="G1004" s="320"/>
      <c r="H1004" s="79">
        <v>14.989999999999998</v>
      </c>
      <c r="I1004" s="79">
        <v>25.04</v>
      </c>
      <c r="J1004" s="79">
        <v>40.03</v>
      </c>
      <c r="K1004" s="79">
        <v>0</v>
      </c>
      <c r="L1004" s="70">
        <v>40.03</v>
      </c>
      <c r="M1004" s="132"/>
      <c r="N1004" s="79">
        <v>14.989999999999998</v>
      </c>
      <c r="O1004" s="79">
        <v>25.04</v>
      </c>
      <c r="P1004" s="79">
        <v>40.03</v>
      </c>
      <c r="Q1004" s="136"/>
      <c r="R1004" s="79">
        <v>14.99</v>
      </c>
      <c r="S1004" s="79">
        <v>25.04</v>
      </c>
      <c r="T1004" s="79">
        <v>40.03</v>
      </c>
      <c r="U1004" s="79">
        <v>0</v>
      </c>
      <c r="V1004" s="189">
        <v>40.03</v>
      </c>
      <c r="X1004" s="79">
        <v>14.99</v>
      </c>
      <c r="Y1004" s="79">
        <v>25.04</v>
      </c>
      <c r="Z1004" s="79">
        <v>40.03</v>
      </c>
      <c r="AA1004" s="255">
        <v>0</v>
      </c>
      <c r="AC1004" s="254"/>
    </row>
    <row r="1005" spans="1:31" ht="12">
      <c r="A1005" s="489" t="s">
        <v>12419</v>
      </c>
      <c r="B1005" s="490" t="s">
        <v>12420</v>
      </c>
      <c r="C1005" s="491"/>
      <c r="D1005" s="492"/>
      <c r="E1005" s="79"/>
      <c r="F1005" s="63"/>
      <c r="G1005" s="320"/>
      <c r="H1005" s="79"/>
      <c r="I1005" s="79"/>
      <c r="J1005" s="79"/>
      <c r="K1005" s="79"/>
      <c r="L1005" s="70"/>
      <c r="M1005" s="132"/>
      <c r="N1005" s="79"/>
      <c r="O1005" s="79"/>
      <c r="P1005" s="79"/>
      <c r="Q1005" s="136"/>
      <c r="R1005" s="79"/>
      <c r="S1005" s="79"/>
      <c r="T1005" s="79"/>
      <c r="U1005" s="79"/>
      <c r="V1005" s="189"/>
      <c r="X1005" s="79"/>
      <c r="Y1005" s="79"/>
      <c r="Z1005" s="79"/>
      <c r="AA1005" s="255"/>
      <c r="AC1005" s="254"/>
    </row>
    <row r="1006" spans="1:31" ht="12">
      <c r="A1006" s="67" t="s">
        <v>12421</v>
      </c>
      <c r="B1006" s="65" t="s">
        <v>12422</v>
      </c>
      <c r="C1006" s="71" t="s">
        <v>509</v>
      </c>
      <c r="D1006" s="78">
        <v>1</v>
      </c>
      <c r="E1006" s="79">
        <v>56.21</v>
      </c>
      <c r="F1006" s="70">
        <v>56.21</v>
      </c>
      <c r="G1006" s="320"/>
      <c r="H1006" s="79">
        <v>56.21</v>
      </c>
      <c r="I1006" s="79">
        <v>0</v>
      </c>
      <c r="J1006" s="79">
        <v>56.21</v>
      </c>
      <c r="K1006" s="79">
        <v>0</v>
      </c>
      <c r="L1006" s="70">
        <v>56.21</v>
      </c>
      <c r="M1006" s="132"/>
      <c r="N1006" s="79">
        <v>56.21</v>
      </c>
      <c r="O1006" s="79"/>
      <c r="P1006" s="79">
        <v>56.21</v>
      </c>
      <c r="Q1006" s="136"/>
      <c r="R1006" s="79">
        <v>56.21</v>
      </c>
      <c r="S1006" s="79"/>
      <c r="T1006" s="79">
        <v>56.21</v>
      </c>
      <c r="U1006" s="79">
        <v>0</v>
      </c>
      <c r="V1006" s="189">
        <v>56.21</v>
      </c>
      <c r="X1006" s="79">
        <v>56.21</v>
      </c>
      <c r="Y1006" s="79"/>
      <c r="Z1006" s="79">
        <v>56.21</v>
      </c>
      <c r="AA1006" s="255">
        <v>0</v>
      </c>
      <c r="AC1006" s="254"/>
    </row>
    <row r="1007" spans="1:31" ht="12">
      <c r="A1007" s="67" t="s">
        <v>12423</v>
      </c>
      <c r="B1007" s="65" t="s">
        <v>12424</v>
      </c>
      <c r="C1007" s="71" t="s">
        <v>509</v>
      </c>
      <c r="D1007" s="78">
        <v>1</v>
      </c>
      <c r="E1007" s="79">
        <v>49.54</v>
      </c>
      <c r="F1007" s="70">
        <v>49.54</v>
      </c>
      <c r="G1007" s="320"/>
      <c r="H1007" s="79">
        <v>49.54</v>
      </c>
      <c r="I1007" s="79">
        <v>0</v>
      </c>
      <c r="J1007" s="79">
        <v>49.54</v>
      </c>
      <c r="K1007" s="79">
        <v>0</v>
      </c>
      <c r="L1007" s="70">
        <v>49.54</v>
      </c>
      <c r="M1007" s="132"/>
      <c r="N1007" s="79">
        <v>49.54</v>
      </c>
      <c r="O1007" s="79"/>
      <c r="P1007" s="79">
        <v>49.54</v>
      </c>
      <c r="Q1007" s="136"/>
      <c r="R1007" s="79">
        <v>49.54</v>
      </c>
      <c r="S1007" s="79"/>
      <c r="T1007" s="79">
        <v>49.54</v>
      </c>
      <c r="U1007" s="79">
        <v>0</v>
      </c>
      <c r="V1007" s="189">
        <v>49.54</v>
      </c>
      <c r="X1007" s="79">
        <v>49.54</v>
      </c>
      <c r="Y1007" s="79"/>
      <c r="Z1007" s="79">
        <v>49.54</v>
      </c>
      <c r="AA1007" s="255">
        <v>0</v>
      </c>
      <c r="AC1007" s="254"/>
    </row>
    <row r="1008" spans="1:31" ht="12">
      <c r="A1008" s="67" t="s">
        <v>12425</v>
      </c>
      <c r="B1008" s="65" t="s">
        <v>12426</v>
      </c>
      <c r="C1008" s="71" t="s">
        <v>165</v>
      </c>
      <c r="D1008" s="78">
        <v>1</v>
      </c>
      <c r="E1008" s="79">
        <v>59.5</v>
      </c>
      <c r="F1008" s="70">
        <v>59.5</v>
      </c>
      <c r="G1008" s="320"/>
      <c r="H1008" s="79">
        <v>59.5</v>
      </c>
      <c r="I1008" s="79">
        <v>0</v>
      </c>
      <c r="J1008" s="79">
        <v>59.5</v>
      </c>
      <c r="K1008" s="79">
        <v>0</v>
      </c>
      <c r="L1008" s="70">
        <v>59.5</v>
      </c>
      <c r="M1008" s="132"/>
      <c r="N1008" s="79">
        <v>59.5</v>
      </c>
      <c r="O1008" s="79"/>
      <c r="P1008" s="79">
        <v>59.5</v>
      </c>
      <c r="Q1008" s="136"/>
      <c r="R1008" s="79">
        <v>59.5</v>
      </c>
      <c r="S1008" s="79"/>
      <c r="T1008" s="79">
        <v>59.5</v>
      </c>
      <c r="U1008" s="79">
        <v>0</v>
      </c>
      <c r="V1008" s="189">
        <v>59.5</v>
      </c>
      <c r="X1008" s="79">
        <v>59.5</v>
      </c>
      <c r="Y1008" s="79"/>
      <c r="Z1008" s="79">
        <v>59.5</v>
      </c>
      <c r="AA1008" s="255">
        <v>0</v>
      </c>
      <c r="AC1008" s="254"/>
      <c r="AD1008" s="61"/>
      <c r="AE1008" s="61"/>
    </row>
    <row r="1009" spans="1:31" ht="12">
      <c r="A1009" s="67" t="s">
        <v>12427</v>
      </c>
      <c r="B1009" s="65" t="s">
        <v>12428</v>
      </c>
      <c r="C1009" s="71" t="s">
        <v>165</v>
      </c>
      <c r="D1009" s="78">
        <v>1</v>
      </c>
      <c r="E1009" s="79">
        <v>55.6</v>
      </c>
      <c r="F1009" s="70">
        <v>55.6</v>
      </c>
      <c r="G1009" s="320"/>
      <c r="H1009" s="79">
        <v>55.6</v>
      </c>
      <c r="I1009" s="79">
        <v>0</v>
      </c>
      <c r="J1009" s="79">
        <v>55.6</v>
      </c>
      <c r="K1009" s="79">
        <v>0</v>
      </c>
      <c r="L1009" s="70">
        <v>55.6</v>
      </c>
      <c r="M1009" s="132"/>
      <c r="N1009" s="79">
        <v>55.6</v>
      </c>
      <c r="O1009" s="79"/>
      <c r="P1009" s="79">
        <v>55.6</v>
      </c>
      <c r="Q1009" s="136"/>
      <c r="R1009" s="79">
        <v>55.6</v>
      </c>
      <c r="S1009" s="79"/>
      <c r="T1009" s="79">
        <v>55.6</v>
      </c>
      <c r="U1009" s="79">
        <v>0</v>
      </c>
      <c r="V1009" s="189">
        <v>55.6</v>
      </c>
      <c r="X1009" s="79">
        <v>55.6</v>
      </c>
      <c r="Y1009" s="79"/>
      <c r="Z1009" s="79">
        <v>55.6</v>
      </c>
      <c r="AA1009" s="255">
        <v>0</v>
      </c>
      <c r="AC1009" s="254"/>
      <c r="AD1009" s="61"/>
      <c r="AE1009" s="61"/>
    </row>
    <row r="1010" spans="1:31" s="61" customFormat="1" ht="12">
      <c r="A1010" s="67" t="s">
        <v>12429</v>
      </c>
      <c r="B1010" s="65" t="s">
        <v>12430</v>
      </c>
      <c r="C1010" s="71" t="s">
        <v>165</v>
      </c>
      <c r="D1010" s="78">
        <v>1</v>
      </c>
      <c r="E1010" s="79">
        <v>50.349999999999994</v>
      </c>
      <c r="F1010" s="70">
        <v>50.35</v>
      </c>
      <c r="G1010" s="320"/>
      <c r="H1010" s="79">
        <v>0</v>
      </c>
      <c r="I1010" s="79">
        <v>50.349999999999994</v>
      </c>
      <c r="J1010" s="79">
        <v>50.349999999999994</v>
      </c>
      <c r="K1010" s="79">
        <v>0</v>
      </c>
      <c r="L1010" s="70">
        <v>50.349999999999994</v>
      </c>
      <c r="M1010" s="132"/>
      <c r="N1010" s="79"/>
      <c r="O1010" s="79">
        <v>50.349999999999994</v>
      </c>
      <c r="P1010" s="79">
        <v>50.349999999999994</v>
      </c>
      <c r="Q1010" s="136"/>
      <c r="R1010" s="79"/>
      <c r="S1010" s="79">
        <v>50.35</v>
      </c>
      <c r="T1010" s="79">
        <v>50.35</v>
      </c>
      <c r="U1010" s="79">
        <v>0</v>
      </c>
      <c r="V1010" s="189">
        <v>50.35</v>
      </c>
      <c r="X1010" s="79"/>
      <c r="Y1010" s="79">
        <v>50.35</v>
      </c>
      <c r="Z1010" s="79">
        <v>50.35</v>
      </c>
      <c r="AA1010" s="255">
        <v>0</v>
      </c>
      <c r="AC1010" s="254"/>
    </row>
    <row r="1011" spans="1:31" s="61" customFormat="1" ht="12">
      <c r="A1011" s="67" t="s">
        <v>12431</v>
      </c>
      <c r="B1011" s="65" t="s">
        <v>12432</v>
      </c>
      <c r="C1011" s="71" t="s">
        <v>509</v>
      </c>
      <c r="D1011" s="78">
        <v>1</v>
      </c>
      <c r="E1011" s="79">
        <v>37.22</v>
      </c>
      <c r="F1011" s="70">
        <v>37.22</v>
      </c>
      <c r="G1011" s="320"/>
      <c r="H1011" s="79">
        <v>11.57</v>
      </c>
      <c r="I1011" s="79">
        <v>25.65</v>
      </c>
      <c r="J1011" s="79">
        <v>37.22</v>
      </c>
      <c r="K1011" s="79">
        <v>0</v>
      </c>
      <c r="L1011" s="70">
        <v>37.22</v>
      </c>
      <c r="M1011" s="132"/>
      <c r="N1011" s="79">
        <v>11.57</v>
      </c>
      <c r="O1011" s="79">
        <v>25.65</v>
      </c>
      <c r="P1011" s="79">
        <v>37.22</v>
      </c>
      <c r="Q1011" s="136"/>
      <c r="R1011" s="79">
        <v>11.57</v>
      </c>
      <c r="S1011" s="79">
        <v>25.64</v>
      </c>
      <c r="T1011" s="79">
        <v>37.21</v>
      </c>
      <c r="U1011" s="79">
        <v>0</v>
      </c>
      <c r="V1011" s="189">
        <v>37.21</v>
      </c>
      <c r="X1011" s="79">
        <v>11.57</v>
      </c>
      <c r="Y1011" s="79">
        <v>25.64</v>
      </c>
      <c r="Z1011" s="79">
        <v>37.21</v>
      </c>
      <c r="AA1011" s="255">
        <v>9.9999999999980105E-3</v>
      </c>
      <c r="AC1011" s="254"/>
    </row>
    <row r="1012" spans="1:31" s="61" customFormat="1" ht="12">
      <c r="A1012" s="67" t="s">
        <v>12433</v>
      </c>
      <c r="B1012" s="65" t="s">
        <v>12434</v>
      </c>
      <c r="C1012" s="71" t="s">
        <v>509</v>
      </c>
      <c r="D1012" s="78">
        <v>1</v>
      </c>
      <c r="E1012" s="79">
        <v>51.83</v>
      </c>
      <c r="F1012" s="70">
        <v>51.83</v>
      </c>
      <c r="G1012" s="320"/>
      <c r="H1012" s="79">
        <v>26.18</v>
      </c>
      <c r="I1012" s="79">
        <v>25.65</v>
      </c>
      <c r="J1012" s="79">
        <v>51.83</v>
      </c>
      <c r="K1012" s="79">
        <v>0</v>
      </c>
      <c r="L1012" s="70">
        <v>51.83</v>
      </c>
      <c r="M1012" s="132"/>
      <c r="N1012" s="79">
        <v>26.18</v>
      </c>
      <c r="O1012" s="79">
        <v>25.65</v>
      </c>
      <c r="P1012" s="79">
        <v>51.83</v>
      </c>
      <c r="Q1012" s="136"/>
      <c r="R1012" s="79">
        <v>26.18</v>
      </c>
      <c r="S1012" s="79">
        <v>25.64</v>
      </c>
      <c r="T1012" s="79">
        <v>51.82</v>
      </c>
      <c r="U1012" s="79">
        <v>0</v>
      </c>
      <c r="V1012" s="189">
        <v>51.82</v>
      </c>
      <c r="X1012" s="79">
        <v>26.18</v>
      </c>
      <c r="Y1012" s="79">
        <v>25.64</v>
      </c>
      <c r="Z1012" s="79">
        <v>51.82</v>
      </c>
      <c r="AA1012" s="255">
        <v>9.9999999999980105E-3</v>
      </c>
      <c r="AC1012" s="254"/>
    </row>
    <row r="1013" spans="1:31" s="61" customFormat="1" ht="12">
      <c r="A1013" s="67" t="s">
        <v>12435</v>
      </c>
      <c r="B1013" s="65" t="s">
        <v>12436</v>
      </c>
      <c r="C1013" s="71" t="s">
        <v>165</v>
      </c>
      <c r="D1013" s="78">
        <v>1</v>
      </c>
      <c r="E1013" s="79">
        <v>19.54</v>
      </c>
      <c r="F1013" s="70">
        <v>19.54</v>
      </c>
      <c r="G1013" s="320"/>
      <c r="H1013" s="79">
        <v>6.17</v>
      </c>
      <c r="I1013" s="79">
        <v>13.37</v>
      </c>
      <c r="J1013" s="79">
        <v>19.54</v>
      </c>
      <c r="K1013" s="79">
        <v>0</v>
      </c>
      <c r="L1013" s="70">
        <v>19.54</v>
      </c>
      <c r="M1013" s="132"/>
      <c r="N1013" s="79">
        <v>6.17</v>
      </c>
      <c r="O1013" s="79">
        <v>13.37</v>
      </c>
      <c r="P1013" s="79">
        <v>19.54</v>
      </c>
      <c r="Q1013" s="136"/>
      <c r="R1013" s="79">
        <v>6.17</v>
      </c>
      <c r="S1013" s="79">
        <v>13.38</v>
      </c>
      <c r="T1013" s="79">
        <v>19.55</v>
      </c>
      <c r="U1013" s="79">
        <v>0</v>
      </c>
      <c r="V1013" s="189">
        <v>19.55</v>
      </c>
      <c r="X1013" s="79">
        <v>6.17</v>
      </c>
      <c r="Y1013" s="79">
        <v>13.38</v>
      </c>
      <c r="Z1013" s="79">
        <v>19.55</v>
      </c>
      <c r="AA1013" s="255">
        <v>-1.0000000000001563E-2</v>
      </c>
      <c r="AC1013" s="254"/>
      <c r="AD1013" s="236"/>
      <c r="AE1013" s="236"/>
    </row>
    <row r="1014" spans="1:31" s="61" customFormat="1" ht="12">
      <c r="A1014" s="67" t="s">
        <v>12437</v>
      </c>
      <c r="B1014" s="65" t="s">
        <v>12438</v>
      </c>
      <c r="C1014" s="71" t="s">
        <v>165</v>
      </c>
      <c r="D1014" s="78">
        <v>1</v>
      </c>
      <c r="E1014" s="79">
        <v>27.33</v>
      </c>
      <c r="F1014" s="70">
        <v>27.33</v>
      </c>
      <c r="G1014" s="320"/>
      <c r="H1014" s="79">
        <v>13.96</v>
      </c>
      <c r="I1014" s="79">
        <v>13.37</v>
      </c>
      <c r="J1014" s="79">
        <v>27.33</v>
      </c>
      <c r="K1014" s="79">
        <v>0</v>
      </c>
      <c r="L1014" s="70">
        <v>27.33</v>
      </c>
      <c r="M1014" s="132"/>
      <c r="N1014" s="79">
        <v>13.96</v>
      </c>
      <c r="O1014" s="79">
        <v>13.37</v>
      </c>
      <c r="P1014" s="79">
        <v>27.33</v>
      </c>
      <c r="Q1014" s="136"/>
      <c r="R1014" s="79">
        <v>13.96</v>
      </c>
      <c r="S1014" s="79">
        <v>13.38</v>
      </c>
      <c r="T1014" s="79">
        <v>27.340000000000003</v>
      </c>
      <c r="U1014" s="79">
        <v>0</v>
      </c>
      <c r="V1014" s="189">
        <v>27.340000000000003</v>
      </c>
      <c r="X1014" s="79">
        <v>13.96</v>
      </c>
      <c r="Y1014" s="79">
        <v>13.38</v>
      </c>
      <c r="Z1014" s="79">
        <v>27.34</v>
      </c>
      <c r="AA1014" s="255">
        <v>-1.0000000000001563E-2</v>
      </c>
      <c r="AC1014" s="254"/>
      <c r="AD1014" s="236"/>
      <c r="AE1014" s="236"/>
    </row>
    <row r="1015" spans="1:31" ht="12">
      <c r="A1015" s="489" t="s">
        <v>12439</v>
      </c>
      <c r="B1015" s="490" t="s">
        <v>12440</v>
      </c>
      <c r="C1015" s="491"/>
      <c r="D1015" s="492"/>
      <c r="E1015" s="79"/>
      <c r="F1015" s="63"/>
      <c r="G1015" s="320"/>
      <c r="H1015" s="79"/>
      <c r="I1015" s="79"/>
      <c r="J1015" s="79"/>
      <c r="K1015" s="79"/>
      <c r="L1015" s="70"/>
      <c r="M1015" s="132"/>
      <c r="N1015" s="79"/>
      <c r="O1015" s="79"/>
      <c r="P1015" s="79"/>
      <c r="Q1015" s="136"/>
      <c r="R1015" s="79"/>
      <c r="S1015" s="79"/>
      <c r="T1015" s="79"/>
      <c r="U1015" s="79"/>
      <c r="V1015" s="189"/>
      <c r="X1015" s="79"/>
      <c r="Y1015" s="79"/>
      <c r="Z1015" s="79"/>
      <c r="AA1015" s="255"/>
      <c r="AC1015" s="254"/>
    </row>
    <row r="1016" spans="1:31" ht="12">
      <c r="A1016" s="489" t="s">
        <v>12441</v>
      </c>
      <c r="B1016" s="490" t="s">
        <v>12442</v>
      </c>
      <c r="C1016" s="491"/>
      <c r="D1016" s="492"/>
      <c r="E1016" s="79"/>
      <c r="F1016" s="63"/>
      <c r="G1016" s="320"/>
      <c r="H1016" s="79"/>
      <c r="I1016" s="79"/>
      <c r="J1016" s="79"/>
      <c r="K1016" s="79"/>
      <c r="L1016" s="70"/>
      <c r="M1016" s="132"/>
      <c r="N1016" s="79"/>
      <c r="O1016" s="79"/>
      <c r="P1016" s="79"/>
      <c r="Q1016" s="136"/>
      <c r="R1016" s="79"/>
      <c r="S1016" s="79"/>
      <c r="T1016" s="79"/>
      <c r="U1016" s="79"/>
      <c r="V1016" s="189"/>
      <c r="X1016" s="79"/>
      <c r="Y1016" s="79"/>
      <c r="Z1016" s="79"/>
      <c r="AA1016" s="255"/>
      <c r="AC1016" s="254"/>
    </row>
    <row r="1017" spans="1:31" ht="12">
      <c r="A1017" s="67" t="s">
        <v>12443</v>
      </c>
      <c r="B1017" s="65" t="s">
        <v>12444</v>
      </c>
      <c r="C1017" s="71" t="s">
        <v>509</v>
      </c>
      <c r="D1017" s="78">
        <v>1</v>
      </c>
      <c r="E1017" s="79">
        <v>77.37</v>
      </c>
      <c r="F1017" s="70">
        <v>77.37</v>
      </c>
      <c r="G1017" s="320"/>
      <c r="H1017" s="79">
        <v>62.88</v>
      </c>
      <c r="I1017" s="79">
        <v>14.490000000000002</v>
      </c>
      <c r="J1017" s="79">
        <v>77.37</v>
      </c>
      <c r="K1017" s="79">
        <v>0</v>
      </c>
      <c r="L1017" s="70">
        <v>77.37</v>
      </c>
      <c r="M1017" s="132"/>
      <c r="N1017" s="79">
        <v>62.88</v>
      </c>
      <c r="O1017" s="79">
        <v>14.490000000000002</v>
      </c>
      <c r="P1017" s="79">
        <v>77.37</v>
      </c>
      <c r="Q1017" s="136"/>
      <c r="R1017" s="79">
        <v>62.88</v>
      </c>
      <c r="S1017" s="79">
        <v>14.49</v>
      </c>
      <c r="T1017" s="79">
        <v>77.37</v>
      </c>
      <c r="U1017" s="79">
        <v>0</v>
      </c>
      <c r="V1017" s="189">
        <v>77.37</v>
      </c>
      <c r="X1017" s="79">
        <v>62.88</v>
      </c>
      <c r="Y1017" s="79">
        <v>14.49</v>
      </c>
      <c r="Z1017" s="79">
        <v>77.37</v>
      </c>
      <c r="AA1017" s="255">
        <v>0</v>
      </c>
      <c r="AC1017" s="254"/>
    </row>
    <row r="1018" spans="1:31" ht="12">
      <c r="A1018" s="489" t="s">
        <v>12445</v>
      </c>
      <c r="B1018" s="490" t="s">
        <v>12446</v>
      </c>
      <c r="C1018" s="491"/>
      <c r="D1018" s="492"/>
      <c r="E1018" s="79"/>
      <c r="F1018" s="63"/>
      <c r="G1018" s="320"/>
      <c r="H1018" s="79"/>
      <c r="I1018" s="79"/>
      <c r="J1018" s="79"/>
      <c r="K1018" s="79"/>
      <c r="L1018" s="70"/>
      <c r="M1018" s="132"/>
      <c r="N1018" s="79"/>
      <c r="O1018" s="79"/>
      <c r="P1018" s="79"/>
      <c r="Q1018" s="136"/>
      <c r="R1018" s="79"/>
      <c r="S1018" s="79"/>
      <c r="T1018" s="79"/>
      <c r="U1018" s="79"/>
      <c r="V1018" s="189"/>
      <c r="X1018" s="79"/>
      <c r="Y1018" s="79"/>
      <c r="Z1018" s="79"/>
      <c r="AA1018" s="255"/>
      <c r="AC1018" s="254"/>
    </row>
    <row r="1019" spans="1:31" ht="24">
      <c r="A1019" s="67" t="s">
        <v>12447</v>
      </c>
      <c r="B1019" s="65" t="s">
        <v>12448</v>
      </c>
      <c r="C1019" s="71" t="s">
        <v>509</v>
      </c>
      <c r="D1019" s="78">
        <v>1</v>
      </c>
      <c r="E1019" s="79">
        <v>51.150000000000006</v>
      </c>
      <c r="F1019" s="70">
        <v>51.15</v>
      </c>
      <c r="G1019" s="320"/>
      <c r="H1019" s="79">
        <v>33.99</v>
      </c>
      <c r="I1019" s="79">
        <v>17.16</v>
      </c>
      <c r="J1019" s="79">
        <v>51.150000000000006</v>
      </c>
      <c r="K1019" s="79">
        <v>0</v>
      </c>
      <c r="L1019" s="70">
        <v>51.150000000000006</v>
      </c>
      <c r="M1019" s="132"/>
      <c r="N1019" s="79">
        <v>33.99</v>
      </c>
      <c r="O1019" s="79">
        <v>17.16</v>
      </c>
      <c r="P1019" s="79">
        <v>51.150000000000006</v>
      </c>
      <c r="Q1019" s="136"/>
      <c r="R1019" s="79">
        <v>33.99</v>
      </c>
      <c r="S1019" s="79">
        <v>17.16</v>
      </c>
      <c r="T1019" s="79">
        <v>51.150000000000006</v>
      </c>
      <c r="U1019" s="79">
        <v>0</v>
      </c>
      <c r="V1019" s="189">
        <v>51.150000000000006</v>
      </c>
      <c r="X1019" s="79">
        <v>33.99</v>
      </c>
      <c r="Y1019" s="79">
        <v>17.16</v>
      </c>
      <c r="Z1019" s="79">
        <v>51.15</v>
      </c>
      <c r="AA1019" s="255">
        <v>0</v>
      </c>
      <c r="AC1019" s="254"/>
    </row>
    <row r="1020" spans="1:31" ht="24">
      <c r="A1020" s="67" t="s">
        <v>12449</v>
      </c>
      <c r="B1020" s="65" t="s">
        <v>12450</v>
      </c>
      <c r="C1020" s="71" t="s">
        <v>165</v>
      </c>
      <c r="D1020" s="78">
        <v>1</v>
      </c>
      <c r="E1020" s="79">
        <v>6.9799999999999995</v>
      </c>
      <c r="F1020" s="70">
        <v>6.98</v>
      </c>
      <c r="G1020" s="320"/>
      <c r="H1020" s="79">
        <v>5.59</v>
      </c>
      <c r="I1020" s="79">
        <v>1.3900000000000001</v>
      </c>
      <c r="J1020" s="79">
        <v>6.98</v>
      </c>
      <c r="K1020" s="79">
        <v>0</v>
      </c>
      <c r="L1020" s="70">
        <v>6.98</v>
      </c>
      <c r="M1020" s="132"/>
      <c r="N1020" s="79">
        <v>5.59</v>
      </c>
      <c r="O1020" s="79">
        <v>1.3900000000000001</v>
      </c>
      <c r="P1020" s="79">
        <v>6.98</v>
      </c>
      <c r="Q1020" s="136"/>
      <c r="R1020" s="79">
        <v>5.59</v>
      </c>
      <c r="S1020" s="79">
        <v>1.37</v>
      </c>
      <c r="T1020" s="79">
        <v>6.96</v>
      </c>
      <c r="U1020" s="79">
        <v>0</v>
      </c>
      <c r="V1020" s="189">
        <v>6.96</v>
      </c>
      <c r="X1020" s="79">
        <v>5.59</v>
      </c>
      <c r="Y1020" s="79">
        <v>1.37</v>
      </c>
      <c r="Z1020" s="79">
        <v>6.96</v>
      </c>
      <c r="AA1020" s="255">
        <v>2.0000000000000462E-2</v>
      </c>
      <c r="AC1020" s="254"/>
    </row>
    <row r="1021" spans="1:31" ht="36">
      <c r="A1021" s="67" t="s">
        <v>12451</v>
      </c>
      <c r="B1021" s="65" t="s">
        <v>12452</v>
      </c>
      <c r="C1021" s="71" t="s">
        <v>509</v>
      </c>
      <c r="D1021" s="78">
        <v>1</v>
      </c>
      <c r="E1021" s="79">
        <v>133.38</v>
      </c>
      <c r="F1021" s="70">
        <v>133.38</v>
      </c>
      <c r="G1021" s="320"/>
      <c r="H1021" s="79">
        <v>116.22</v>
      </c>
      <c r="I1021" s="79">
        <v>17.16</v>
      </c>
      <c r="J1021" s="79">
        <v>133.38</v>
      </c>
      <c r="K1021" s="79">
        <v>0</v>
      </c>
      <c r="L1021" s="70">
        <v>133.38</v>
      </c>
      <c r="M1021" s="132"/>
      <c r="N1021" s="79">
        <v>116.22</v>
      </c>
      <c r="O1021" s="79">
        <v>17.16</v>
      </c>
      <c r="P1021" s="79">
        <v>133.38</v>
      </c>
      <c r="Q1021" s="136"/>
      <c r="R1021" s="79">
        <v>116.22</v>
      </c>
      <c r="S1021" s="79">
        <v>17.16</v>
      </c>
      <c r="T1021" s="79">
        <v>133.38</v>
      </c>
      <c r="U1021" s="79">
        <v>0</v>
      </c>
      <c r="V1021" s="189">
        <v>133.38</v>
      </c>
      <c r="X1021" s="79">
        <v>116.22</v>
      </c>
      <c r="Y1021" s="79">
        <v>17.16</v>
      </c>
      <c r="Z1021" s="79">
        <v>133.38</v>
      </c>
      <c r="AA1021" s="255">
        <v>0</v>
      </c>
      <c r="AC1021" s="254"/>
    </row>
    <row r="1022" spans="1:31" ht="36">
      <c r="A1022" s="67" t="s">
        <v>12453</v>
      </c>
      <c r="B1022" s="65" t="s">
        <v>12454</v>
      </c>
      <c r="C1022" s="71" t="s">
        <v>165</v>
      </c>
      <c r="D1022" s="78">
        <v>1</v>
      </c>
      <c r="E1022" s="79">
        <v>20.82</v>
      </c>
      <c r="F1022" s="70">
        <v>20.82</v>
      </c>
      <c r="G1022" s="320"/>
      <c r="H1022" s="79">
        <v>19.43</v>
      </c>
      <c r="I1022" s="79">
        <v>1.3900000000000001</v>
      </c>
      <c r="J1022" s="79">
        <v>20.82</v>
      </c>
      <c r="K1022" s="79">
        <v>0</v>
      </c>
      <c r="L1022" s="70">
        <v>20.82</v>
      </c>
      <c r="M1022" s="132"/>
      <c r="N1022" s="79">
        <v>19.43</v>
      </c>
      <c r="O1022" s="79">
        <v>1.3900000000000001</v>
      </c>
      <c r="P1022" s="79">
        <v>20.82</v>
      </c>
      <c r="Q1022" s="136"/>
      <c r="R1022" s="79">
        <v>19.43</v>
      </c>
      <c r="S1022" s="79">
        <v>1.37</v>
      </c>
      <c r="T1022" s="79">
        <v>20.8</v>
      </c>
      <c r="U1022" s="79">
        <v>0</v>
      </c>
      <c r="V1022" s="189">
        <v>20.8</v>
      </c>
      <c r="X1022" s="79">
        <v>19.43</v>
      </c>
      <c r="Y1022" s="79">
        <v>1.37</v>
      </c>
      <c r="Z1022" s="79">
        <v>20.8</v>
      </c>
      <c r="AA1022" s="255">
        <v>1.9999999999999574E-2</v>
      </c>
      <c r="AC1022" s="254"/>
    </row>
    <row r="1023" spans="1:31" ht="24">
      <c r="A1023" s="67" t="s">
        <v>12455</v>
      </c>
      <c r="B1023" s="65" t="s">
        <v>12456</v>
      </c>
      <c r="C1023" s="71" t="s">
        <v>509</v>
      </c>
      <c r="D1023" s="78">
        <v>1</v>
      </c>
      <c r="E1023" s="79">
        <v>58.180000000000007</v>
      </c>
      <c r="F1023" s="70">
        <v>58.18</v>
      </c>
      <c r="G1023" s="320"/>
      <c r="H1023" s="79">
        <v>41.02</v>
      </c>
      <c r="I1023" s="79">
        <v>17.16</v>
      </c>
      <c r="J1023" s="79">
        <v>58.180000000000007</v>
      </c>
      <c r="K1023" s="79">
        <v>0</v>
      </c>
      <c r="L1023" s="70">
        <v>58.180000000000007</v>
      </c>
      <c r="M1023" s="132"/>
      <c r="N1023" s="79">
        <v>41.02</v>
      </c>
      <c r="O1023" s="79">
        <v>17.16</v>
      </c>
      <c r="P1023" s="79">
        <v>58.180000000000007</v>
      </c>
      <c r="Q1023" s="136"/>
      <c r="R1023" s="79">
        <v>41.02</v>
      </c>
      <c r="S1023" s="79">
        <v>17.16</v>
      </c>
      <c r="T1023" s="79">
        <v>58.180000000000007</v>
      </c>
      <c r="U1023" s="79">
        <v>0</v>
      </c>
      <c r="V1023" s="189">
        <v>58.180000000000007</v>
      </c>
      <c r="X1023" s="79">
        <v>41.02</v>
      </c>
      <c r="Y1023" s="79">
        <v>17.16</v>
      </c>
      <c r="Z1023" s="79">
        <v>58.18</v>
      </c>
      <c r="AA1023" s="255">
        <v>0</v>
      </c>
      <c r="AC1023" s="254"/>
    </row>
    <row r="1024" spans="1:31" ht="24">
      <c r="A1024" s="67" t="s">
        <v>12457</v>
      </c>
      <c r="B1024" s="65" t="s">
        <v>12458</v>
      </c>
      <c r="C1024" s="71" t="s">
        <v>165</v>
      </c>
      <c r="D1024" s="78">
        <v>1</v>
      </c>
      <c r="E1024" s="79">
        <v>7.96</v>
      </c>
      <c r="F1024" s="70">
        <v>7.96</v>
      </c>
      <c r="G1024" s="320"/>
      <c r="H1024" s="79">
        <v>6.57</v>
      </c>
      <c r="I1024" s="79">
        <v>1.3900000000000001</v>
      </c>
      <c r="J1024" s="79">
        <v>7.9600000000000009</v>
      </c>
      <c r="K1024" s="79">
        <v>0</v>
      </c>
      <c r="L1024" s="70">
        <v>7.9600000000000009</v>
      </c>
      <c r="M1024" s="132"/>
      <c r="N1024" s="79">
        <v>6.57</v>
      </c>
      <c r="O1024" s="79">
        <v>1.3900000000000001</v>
      </c>
      <c r="P1024" s="79">
        <v>7.9600000000000009</v>
      </c>
      <c r="Q1024" s="136"/>
      <c r="R1024" s="79">
        <v>6.57</v>
      </c>
      <c r="S1024" s="79">
        <v>1.37</v>
      </c>
      <c r="T1024" s="79">
        <v>7.94</v>
      </c>
      <c r="U1024" s="79">
        <v>0</v>
      </c>
      <c r="V1024" s="189">
        <v>7.94</v>
      </c>
      <c r="X1024" s="79">
        <v>6.57</v>
      </c>
      <c r="Y1024" s="79">
        <v>1.37</v>
      </c>
      <c r="Z1024" s="79">
        <v>7.94</v>
      </c>
      <c r="AA1024" s="255">
        <v>1.9999999999999574E-2</v>
      </c>
      <c r="AC1024" s="254"/>
    </row>
    <row r="1025" spans="1:29" ht="24">
      <c r="A1025" s="67" t="s">
        <v>12459</v>
      </c>
      <c r="B1025" s="65" t="s">
        <v>12460</v>
      </c>
      <c r="C1025" s="71" t="s">
        <v>509</v>
      </c>
      <c r="D1025" s="78">
        <v>1</v>
      </c>
      <c r="E1025" s="79">
        <v>52.95</v>
      </c>
      <c r="F1025" s="70">
        <v>52.95</v>
      </c>
      <c r="G1025" s="320"/>
      <c r="H1025" s="79">
        <v>35.79</v>
      </c>
      <c r="I1025" s="79">
        <v>17.16</v>
      </c>
      <c r="J1025" s="79">
        <v>52.95</v>
      </c>
      <c r="K1025" s="79">
        <v>0</v>
      </c>
      <c r="L1025" s="70">
        <v>52.95</v>
      </c>
      <c r="M1025" s="132"/>
      <c r="N1025" s="79">
        <v>35.79</v>
      </c>
      <c r="O1025" s="79">
        <v>17.16</v>
      </c>
      <c r="P1025" s="79">
        <v>52.95</v>
      </c>
      <c r="Q1025" s="136"/>
      <c r="R1025" s="79">
        <v>35.79</v>
      </c>
      <c r="S1025" s="79">
        <v>17.16</v>
      </c>
      <c r="T1025" s="79">
        <v>52.95</v>
      </c>
      <c r="U1025" s="79">
        <v>0</v>
      </c>
      <c r="V1025" s="189">
        <v>52.95</v>
      </c>
      <c r="X1025" s="79">
        <v>35.79</v>
      </c>
      <c r="Y1025" s="79">
        <v>17.16</v>
      </c>
      <c r="Z1025" s="79">
        <v>52.95</v>
      </c>
      <c r="AA1025" s="255">
        <v>0</v>
      </c>
      <c r="AC1025" s="254"/>
    </row>
    <row r="1026" spans="1:29" ht="36">
      <c r="A1026" s="67" t="s">
        <v>12461</v>
      </c>
      <c r="B1026" s="65" t="s">
        <v>12462</v>
      </c>
      <c r="C1026" s="71" t="s">
        <v>165</v>
      </c>
      <c r="D1026" s="78">
        <v>1</v>
      </c>
      <c r="E1026" s="79">
        <v>7.0699999999999994</v>
      </c>
      <c r="F1026" s="70">
        <v>7.07</v>
      </c>
      <c r="G1026" s="320"/>
      <c r="H1026" s="79">
        <v>5.68</v>
      </c>
      <c r="I1026" s="79">
        <v>1.3900000000000001</v>
      </c>
      <c r="J1026" s="79">
        <v>7.07</v>
      </c>
      <c r="K1026" s="79">
        <v>0</v>
      </c>
      <c r="L1026" s="70">
        <v>7.07</v>
      </c>
      <c r="M1026" s="132"/>
      <c r="N1026" s="79">
        <v>5.68</v>
      </c>
      <c r="O1026" s="79">
        <v>1.3900000000000001</v>
      </c>
      <c r="P1026" s="79">
        <v>7.07</v>
      </c>
      <c r="Q1026" s="136"/>
      <c r="R1026" s="79">
        <v>5.68</v>
      </c>
      <c r="S1026" s="79">
        <v>1.37</v>
      </c>
      <c r="T1026" s="79">
        <v>7.05</v>
      </c>
      <c r="U1026" s="79">
        <v>0</v>
      </c>
      <c r="V1026" s="189">
        <v>7.05</v>
      </c>
      <c r="X1026" s="79">
        <v>5.68</v>
      </c>
      <c r="Y1026" s="79">
        <v>1.37</v>
      </c>
      <c r="Z1026" s="79">
        <v>7.05</v>
      </c>
      <c r="AA1026" s="255">
        <v>2.0000000000000462E-2</v>
      </c>
      <c r="AC1026" s="254"/>
    </row>
    <row r="1027" spans="1:29" ht="12">
      <c r="A1027" s="67" t="s">
        <v>12463</v>
      </c>
      <c r="B1027" s="65" t="s">
        <v>12464</v>
      </c>
      <c r="C1027" s="71" t="s">
        <v>509</v>
      </c>
      <c r="D1027" s="78">
        <v>1</v>
      </c>
      <c r="E1027" s="79">
        <v>84.68</v>
      </c>
      <c r="F1027" s="70">
        <v>84.68</v>
      </c>
      <c r="G1027" s="320"/>
      <c r="H1027" s="79">
        <v>12.56</v>
      </c>
      <c r="I1027" s="79">
        <v>72.12</v>
      </c>
      <c r="J1027" s="79">
        <v>84.68</v>
      </c>
      <c r="K1027" s="79">
        <v>0</v>
      </c>
      <c r="L1027" s="70">
        <v>84.68</v>
      </c>
      <c r="M1027" s="132"/>
      <c r="N1027" s="79">
        <v>12.56</v>
      </c>
      <c r="O1027" s="79">
        <v>72.12</v>
      </c>
      <c r="P1027" s="79">
        <v>84.68</v>
      </c>
      <c r="Q1027" s="136"/>
      <c r="R1027" s="79">
        <v>12.56</v>
      </c>
      <c r="S1027" s="79">
        <v>72.12</v>
      </c>
      <c r="T1027" s="79">
        <v>84.68</v>
      </c>
      <c r="U1027" s="79">
        <v>0</v>
      </c>
      <c r="V1027" s="189">
        <v>84.68</v>
      </c>
      <c r="X1027" s="79">
        <v>12.56</v>
      </c>
      <c r="Y1027" s="79">
        <v>72.12</v>
      </c>
      <c r="Z1027" s="79">
        <v>84.68</v>
      </c>
      <c r="AA1027" s="255">
        <v>0</v>
      </c>
      <c r="AC1027" s="254"/>
    </row>
    <row r="1028" spans="1:29" ht="12">
      <c r="A1028" s="67" t="s">
        <v>12465</v>
      </c>
      <c r="B1028" s="65" t="s">
        <v>12466</v>
      </c>
      <c r="C1028" s="71" t="s">
        <v>509</v>
      </c>
      <c r="D1028" s="78">
        <v>1</v>
      </c>
      <c r="E1028" s="79">
        <v>12.64</v>
      </c>
      <c r="F1028" s="70">
        <v>12.64</v>
      </c>
      <c r="G1028" s="320"/>
      <c r="H1028" s="79">
        <v>1.18</v>
      </c>
      <c r="I1028" s="79">
        <v>11.46</v>
      </c>
      <c r="J1028" s="79">
        <v>12.64</v>
      </c>
      <c r="K1028" s="79">
        <v>0</v>
      </c>
      <c r="L1028" s="70">
        <v>12.64</v>
      </c>
      <c r="M1028" s="132"/>
      <c r="N1028" s="79">
        <v>1.18</v>
      </c>
      <c r="O1028" s="79">
        <v>11.46</v>
      </c>
      <c r="P1028" s="79">
        <v>12.64</v>
      </c>
      <c r="Q1028" s="136"/>
      <c r="R1028" s="79">
        <v>1.18</v>
      </c>
      <c r="S1028" s="79">
        <v>11.45</v>
      </c>
      <c r="T1028" s="79">
        <v>12.629999999999999</v>
      </c>
      <c r="U1028" s="79">
        <v>0</v>
      </c>
      <c r="V1028" s="189">
        <v>12.629999999999999</v>
      </c>
      <c r="X1028" s="79">
        <v>1.18</v>
      </c>
      <c r="Y1028" s="79">
        <v>11.45</v>
      </c>
      <c r="Z1028" s="79">
        <v>12.63</v>
      </c>
      <c r="AA1028" s="255">
        <v>9.9999999999997868E-3</v>
      </c>
      <c r="AC1028" s="254"/>
    </row>
    <row r="1029" spans="1:29" ht="24">
      <c r="A1029" s="67" t="s">
        <v>12467</v>
      </c>
      <c r="B1029" s="65" t="s">
        <v>12468</v>
      </c>
      <c r="C1029" s="71" t="s">
        <v>509</v>
      </c>
      <c r="D1029" s="78">
        <v>1</v>
      </c>
      <c r="E1029" s="79">
        <v>14.440000000000001</v>
      </c>
      <c r="F1029" s="70">
        <v>14.44</v>
      </c>
      <c r="G1029" s="320"/>
      <c r="H1029" s="79">
        <v>2.98</v>
      </c>
      <c r="I1029" s="79">
        <v>11.46</v>
      </c>
      <c r="J1029" s="79">
        <v>14.440000000000001</v>
      </c>
      <c r="K1029" s="79">
        <v>0</v>
      </c>
      <c r="L1029" s="70">
        <v>14.440000000000001</v>
      </c>
      <c r="M1029" s="132"/>
      <c r="N1029" s="79">
        <v>2.98</v>
      </c>
      <c r="O1029" s="79">
        <v>11.46</v>
      </c>
      <c r="P1029" s="79">
        <v>14.440000000000001</v>
      </c>
      <c r="Q1029" s="136"/>
      <c r="R1029" s="79">
        <v>2.98</v>
      </c>
      <c r="S1029" s="79">
        <v>11.45</v>
      </c>
      <c r="T1029" s="79">
        <v>14.43</v>
      </c>
      <c r="U1029" s="79">
        <v>0</v>
      </c>
      <c r="V1029" s="189">
        <v>14.43</v>
      </c>
      <c r="X1029" s="79">
        <v>2.98</v>
      </c>
      <c r="Y1029" s="79">
        <v>11.45</v>
      </c>
      <c r="Z1029" s="79">
        <v>14.43</v>
      </c>
      <c r="AA1029" s="255">
        <v>9.9999999999997868E-3</v>
      </c>
      <c r="AC1029" s="254"/>
    </row>
    <row r="1030" spans="1:29" ht="12">
      <c r="A1030" s="67" t="s">
        <v>12469</v>
      </c>
      <c r="B1030" s="65" t="s">
        <v>12470</v>
      </c>
      <c r="C1030" s="71" t="s">
        <v>509</v>
      </c>
      <c r="D1030" s="78">
        <v>1</v>
      </c>
      <c r="E1030" s="79">
        <v>13.82</v>
      </c>
      <c r="F1030" s="70">
        <v>13.82</v>
      </c>
      <c r="G1030" s="320"/>
      <c r="H1030" s="79">
        <v>2.36</v>
      </c>
      <c r="I1030" s="79">
        <v>11.46</v>
      </c>
      <c r="J1030" s="79">
        <v>13.82</v>
      </c>
      <c r="K1030" s="79">
        <v>0</v>
      </c>
      <c r="L1030" s="70">
        <v>13.82</v>
      </c>
      <c r="M1030" s="132"/>
      <c r="N1030" s="79">
        <v>2.36</v>
      </c>
      <c r="O1030" s="79">
        <v>11.46</v>
      </c>
      <c r="P1030" s="79">
        <v>13.82</v>
      </c>
      <c r="Q1030" s="136"/>
      <c r="R1030" s="79">
        <v>2.36</v>
      </c>
      <c r="S1030" s="79">
        <v>11.45</v>
      </c>
      <c r="T1030" s="79">
        <v>13.809999999999999</v>
      </c>
      <c r="U1030" s="79">
        <v>0</v>
      </c>
      <c r="V1030" s="189">
        <v>13.809999999999999</v>
      </c>
      <c r="X1030" s="79">
        <v>2.36</v>
      </c>
      <c r="Y1030" s="79">
        <v>11.45</v>
      </c>
      <c r="Z1030" s="79">
        <v>13.81</v>
      </c>
      <c r="AA1030" s="255">
        <v>9.9999999999997868E-3</v>
      </c>
      <c r="AC1030" s="254"/>
    </row>
    <row r="1031" spans="1:29" ht="24">
      <c r="A1031" s="67" t="s">
        <v>12471</v>
      </c>
      <c r="B1031" s="65" t="s">
        <v>12472</v>
      </c>
      <c r="C1031" s="71" t="s">
        <v>509</v>
      </c>
      <c r="D1031" s="78">
        <v>1</v>
      </c>
      <c r="E1031" s="79">
        <v>18.900000000000002</v>
      </c>
      <c r="F1031" s="70">
        <v>18.899999999999999</v>
      </c>
      <c r="G1031" s="320"/>
      <c r="H1031" s="79">
        <v>7.44</v>
      </c>
      <c r="I1031" s="79">
        <v>11.46</v>
      </c>
      <c r="J1031" s="79">
        <v>18.900000000000002</v>
      </c>
      <c r="K1031" s="79">
        <v>0</v>
      </c>
      <c r="L1031" s="70">
        <v>18.900000000000002</v>
      </c>
      <c r="M1031" s="132"/>
      <c r="N1031" s="79">
        <v>7.44</v>
      </c>
      <c r="O1031" s="79">
        <v>11.46</v>
      </c>
      <c r="P1031" s="79">
        <v>18.900000000000002</v>
      </c>
      <c r="Q1031" s="136"/>
      <c r="R1031" s="79">
        <v>7.44</v>
      </c>
      <c r="S1031" s="79">
        <v>11.45</v>
      </c>
      <c r="T1031" s="79">
        <v>18.89</v>
      </c>
      <c r="U1031" s="79">
        <v>0</v>
      </c>
      <c r="V1031" s="189">
        <v>18.89</v>
      </c>
      <c r="X1031" s="79">
        <v>7.44</v>
      </c>
      <c r="Y1031" s="79">
        <v>11.45</v>
      </c>
      <c r="Z1031" s="79">
        <v>18.89</v>
      </c>
      <c r="AA1031" s="255">
        <v>9.9999999999980105E-3</v>
      </c>
      <c r="AC1031" s="254"/>
    </row>
    <row r="1032" spans="1:29" ht="24">
      <c r="A1032" s="67" t="s">
        <v>12473</v>
      </c>
      <c r="B1032" s="65" t="s">
        <v>12474</v>
      </c>
      <c r="C1032" s="71" t="s">
        <v>165</v>
      </c>
      <c r="D1032" s="78">
        <v>1</v>
      </c>
      <c r="E1032" s="79">
        <v>1.4</v>
      </c>
      <c r="F1032" s="70">
        <v>1.4</v>
      </c>
      <c r="G1032" s="320"/>
      <c r="H1032" s="79">
        <v>0.12</v>
      </c>
      <c r="I1032" s="79">
        <v>1.28</v>
      </c>
      <c r="J1032" s="79">
        <v>1.4</v>
      </c>
      <c r="K1032" s="79">
        <v>0</v>
      </c>
      <c r="L1032" s="70">
        <v>1.4</v>
      </c>
      <c r="M1032" s="132"/>
      <c r="N1032" s="79">
        <v>0.12</v>
      </c>
      <c r="O1032" s="79">
        <v>1.28</v>
      </c>
      <c r="P1032" s="79">
        <v>1.4</v>
      </c>
      <c r="Q1032" s="136"/>
      <c r="R1032" s="79">
        <v>0.12</v>
      </c>
      <c r="S1032" s="79">
        <v>1.28</v>
      </c>
      <c r="T1032" s="79">
        <v>1.4</v>
      </c>
      <c r="U1032" s="79">
        <v>0</v>
      </c>
      <c r="V1032" s="189">
        <v>1.4</v>
      </c>
      <c r="X1032" s="79">
        <v>0.12</v>
      </c>
      <c r="Y1032" s="79">
        <v>1.28</v>
      </c>
      <c r="Z1032" s="79">
        <v>1.4</v>
      </c>
      <c r="AA1032" s="255">
        <v>0</v>
      </c>
      <c r="AC1032" s="254"/>
    </row>
    <row r="1033" spans="1:29" ht="24">
      <c r="A1033" s="67" t="s">
        <v>12475</v>
      </c>
      <c r="B1033" s="65" t="s">
        <v>12476</v>
      </c>
      <c r="C1033" s="71" t="s">
        <v>165</v>
      </c>
      <c r="D1033" s="78">
        <v>1</v>
      </c>
      <c r="E1033" s="79">
        <v>1.58</v>
      </c>
      <c r="F1033" s="70">
        <v>1.58</v>
      </c>
      <c r="G1033" s="320"/>
      <c r="H1033" s="79">
        <v>0.3</v>
      </c>
      <c r="I1033" s="79">
        <v>1.28</v>
      </c>
      <c r="J1033" s="79">
        <v>1.58</v>
      </c>
      <c r="K1033" s="79">
        <v>0</v>
      </c>
      <c r="L1033" s="70">
        <v>1.58</v>
      </c>
      <c r="M1033" s="132"/>
      <c r="N1033" s="79">
        <v>0.3</v>
      </c>
      <c r="O1033" s="79">
        <v>1.28</v>
      </c>
      <c r="P1033" s="79">
        <v>1.58</v>
      </c>
      <c r="Q1033" s="136"/>
      <c r="R1033" s="79">
        <v>0.3</v>
      </c>
      <c r="S1033" s="79">
        <v>1.28</v>
      </c>
      <c r="T1033" s="79">
        <v>1.58</v>
      </c>
      <c r="U1033" s="79">
        <v>0</v>
      </c>
      <c r="V1033" s="189">
        <v>1.58</v>
      </c>
      <c r="X1033" s="79">
        <v>0.3</v>
      </c>
      <c r="Y1033" s="79">
        <v>1.28</v>
      </c>
      <c r="Z1033" s="79">
        <v>1.58</v>
      </c>
      <c r="AA1033" s="255">
        <v>0</v>
      </c>
      <c r="AC1033" s="254"/>
    </row>
    <row r="1034" spans="1:29" ht="24">
      <c r="A1034" s="67" t="s">
        <v>12477</v>
      </c>
      <c r="B1034" s="65" t="s">
        <v>12478</v>
      </c>
      <c r="C1034" s="71" t="s">
        <v>165</v>
      </c>
      <c r="D1034" s="78">
        <v>1</v>
      </c>
      <c r="E1034" s="79">
        <v>1.52</v>
      </c>
      <c r="F1034" s="70">
        <v>1.52</v>
      </c>
      <c r="G1034" s="320"/>
      <c r="H1034" s="79">
        <v>0.24</v>
      </c>
      <c r="I1034" s="79">
        <v>1.28</v>
      </c>
      <c r="J1034" s="79">
        <v>1.52</v>
      </c>
      <c r="K1034" s="79">
        <v>0</v>
      </c>
      <c r="L1034" s="70">
        <v>1.52</v>
      </c>
      <c r="M1034" s="132"/>
      <c r="N1034" s="79">
        <v>0.24</v>
      </c>
      <c r="O1034" s="79">
        <v>1.28</v>
      </c>
      <c r="P1034" s="79">
        <v>1.52</v>
      </c>
      <c r="Q1034" s="136"/>
      <c r="R1034" s="79">
        <v>0.24</v>
      </c>
      <c r="S1034" s="79">
        <v>1.28</v>
      </c>
      <c r="T1034" s="79">
        <v>1.52</v>
      </c>
      <c r="U1034" s="79">
        <v>0</v>
      </c>
      <c r="V1034" s="189">
        <v>1.52</v>
      </c>
      <c r="X1034" s="79">
        <v>0.24</v>
      </c>
      <c r="Y1034" s="79">
        <v>1.28</v>
      </c>
      <c r="Z1034" s="79">
        <v>1.52</v>
      </c>
      <c r="AA1034" s="255">
        <v>0</v>
      </c>
      <c r="AC1034" s="254"/>
    </row>
    <row r="1035" spans="1:29" ht="24">
      <c r="A1035" s="67" t="s">
        <v>12479</v>
      </c>
      <c r="B1035" s="65" t="s">
        <v>12480</v>
      </c>
      <c r="C1035" s="71" t="s">
        <v>165</v>
      </c>
      <c r="D1035" s="78">
        <v>1</v>
      </c>
      <c r="E1035" s="79">
        <v>2.02</v>
      </c>
      <c r="F1035" s="70">
        <v>2.02</v>
      </c>
      <c r="G1035" s="320"/>
      <c r="H1035" s="79">
        <v>0.74</v>
      </c>
      <c r="I1035" s="79">
        <v>1.28</v>
      </c>
      <c r="J1035" s="79">
        <v>2.02</v>
      </c>
      <c r="K1035" s="79">
        <v>0</v>
      </c>
      <c r="L1035" s="70">
        <v>2.02</v>
      </c>
      <c r="M1035" s="132"/>
      <c r="N1035" s="79">
        <v>0.74</v>
      </c>
      <c r="O1035" s="79">
        <v>1.28</v>
      </c>
      <c r="P1035" s="79">
        <v>2.02</v>
      </c>
      <c r="Q1035" s="136"/>
      <c r="R1035" s="79">
        <v>0.74</v>
      </c>
      <c r="S1035" s="79">
        <v>1.28</v>
      </c>
      <c r="T1035" s="79">
        <v>2.02</v>
      </c>
      <c r="U1035" s="79">
        <v>0</v>
      </c>
      <c r="V1035" s="189">
        <v>2.02</v>
      </c>
      <c r="X1035" s="79">
        <v>0.74</v>
      </c>
      <c r="Y1035" s="79">
        <v>1.28</v>
      </c>
      <c r="Z1035" s="79">
        <v>2.02</v>
      </c>
      <c r="AA1035" s="255">
        <v>0</v>
      </c>
      <c r="AC1035" s="254"/>
    </row>
    <row r="1036" spans="1:29" ht="12">
      <c r="A1036" s="489" t="s">
        <v>12481</v>
      </c>
      <c r="B1036" s="490" t="s">
        <v>12482</v>
      </c>
      <c r="C1036" s="491"/>
      <c r="D1036" s="492"/>
      <c r="E1036" s="79"/>
      <c r="F1036" s="63"/>
      <c r="G1036" s="320"/>
      <c r="H1036" s="79"/>
      <c r="I1036" s="79"/>
      <c r="J1036" s="79"/>
      <c r="K1036" s="79"/>
      <c r="L1036" s="70"/>
      <c r="M1036" s="132"/>
      <c r="N1036" s="79"/>
      <c r="O1036" s="79"/>
      <c r="P1036" s="79"/>
      <c r="Q1036" s="136"/>
      <c r="R1036" s="79"/>
      <c r="S1036" s="79"/>
      <c r="T1036" s="79"/>
      <c r="U1036" s="79"/>
      <c r="V1036" s="189"/>
      <c r="X1036" s="79"/>
      <c r="Y1036" s="79"/>
      <c r="Z1036" s="79"/>
      <c r="AA1036" s="255"/>
      <c r="AC1036" s="254"/>
    </row>
    <row r="1037" spans="1:29" ht="24">
      <c r="A1037" s="67" t="s">
        <v>12483</v>
      </c>
      <c r="B1037" s="65" t="s">
        <v>12484</v>
      </c>
      <c r="C1037" s="71" t="s">
        <v>509</v>
      </c>
      <c r="D1037" s="78">
        <v>1</v>
      </c>
      <c r="E1037" s="79">
        <v>184.06</v>
      </c>
      <c r="F1037" s="70">
        <v>184.06</v>
      </c>
      <c r="G1037" s="320"/>
      <c r="H1037" s="79">
        <v>166.89999999999998</v>
      </c>
      <c r="I1037" s="79">
        <v>17.16</v>
      </c>
      <c r="J1037" s="79">
        <v>184.05999999999997</v>
      </c>
      <c r="K1037" s="79">
        <v>0</v>
      </c>
      <c r="L1037" s="70">
        <v>184.05999999999997</v>
      </c>
      <c r="M1037" s="132"/>
      <c r="N1037" s="79">
        <v>166.89999999999998</v>
      </c>
      <c r="O1037" s="79">
        <v>17.16</v>
      </c>
      <c r="P1037" s="79">
        <v>184.05999999999997</v>
      </c>
      <c r="Q1037" s="136"/>
      <c r="R1037" s="79">
        <v>166.9</v>
      </c>
      <c r="S1037" s="79">
        <v>17.16</v>
      </c>
      <c r="T1037" s="79">
        <v>184.06</v>
      </c>
      <c r="U1037" s="79">
        <v>0</v>
      </c>
      <c r="V1037" s="189">
        <v>184.06</v>
      </c>
      <c r="X1037" s="79">
        <v>166.9</v>
      </c>
      <c r="Y1037" s="79">
        <v>17.16</v>
      </c>
      <c r="Z1037" s="79">
        <v>184.06</v>
      </c>
      <c r="AA1037" s="255">
        <v>0</v>
      </c>
      <c r="AC1037" s="254"/>
    </row>
    <row r="1038" spans="1:29" ht="24">
      <c r="A1038" s="67" t="s">
        <v>12485</v>
      </c>
      <c r="B1038" s="65" t="s">
        <v>12486</v>
      </c>
      <c r="C1038" s="71" t="s">
        <v>509</v>
      </c>
      <c r="D1038" s="78">
        <v>1</v>
      </c>
      <c r="E1038" s="79">
        <v>207.3</v>
      </c>
      <c r="F1038" s="70">
        <v>207.3</v>
      </c>
      <c r="G1038" s="320"/>
      <c r="H1038" s="79">
        <v>190.14000000000001</v>
      </c>
      <c r="I1038" s="79">
        <v>17.16</v>
      </c>
      <c r="J1038" s="79">
        <v>207.3</v>
      </c>
      <c r="K1038" s="79">
        <v>0</v>
      </c>
      <c r="L1038" s="70">
        <v>207.3</v>
      </c>
      <c r="M1038" s="132"/>
      <c r="N1038" s="79">
        <v>190.14000000000001</v>
      </c>
      <c r="O1038" s="79">
        <v>17.16</v>
      </c>
      <c r="P1038" s="79">
        <v>207.3</v>
      </c>
      <c r="Q1038" s="136"/>
      <c r="R1038" s="79">
        <v>190.14</v>
      </c>
      <c r="S1038" s="79">
        <v>17.16</v>
      </c>
      <c r="T1038" s="79">
        <v>207.29999999999998</v>
      </c>
      <c r="U1038" s="79">
        <v>0</v>
      </c>
      <c r="V1038" s="189">
        <v>207.29999999999998</v>
      </c>
      <c r="X1038" s="79">
        <v>190.14</v>
      </c>
      <c r="Y1038" s="79">
        <v>17.16</v>
      </c>
      <c r="Z1038" s="79">
        <v>207.3</v>
      </c>
      <c r="AA1038" s="498">
        <v>0</v>
      </c>
      <c r="AC1038" s="254"/>
    </row>
    <row r="1039" spans="1:29" ht="24">
      <c r="A1039" s="67" t="s">
        <v>12487</v>
      </c>
      <c r="B1039" s="65" t="s">
        <v>12488</v>
      </c>
      <c r="C1039" s="71" t="s">
        <v>509</v>
      </c>
      <c r="D1039" s="78">
        <v>1</v>
      </c>
      <c r="E1039" s="79">
        <v>203.11</v>
      </c>
      <c r="F1039" s="70">
        <v>203.11</v>
      </c>
      <c r="G1039" s="320"/>
      <c r="H1039" s="79">
        <v>185.95</v>
      </c>
      <c r="I1039" s="79">
        <v>17.16</v>
      </c>
      <c r="J1039" s="79">
        <v>203.10999999999999</v>
      </c>
      <c r="K1039" s="79">
        <v>0</v>
      </c>
      <c r="L1039" s="70">
        <v>203.10999999999999</v>
      </c>
      <c r="M1039" s="132"/>
      <c r="N1039" s="79">
        <v>185.95</v>
      </c>
      <c r="O1039" s="79">
        <v>17.16</v>
      </c>
      <c r="P1039" s="79">
        <v>203.10999999999999</v>
      </c>
      <c r="Q1039" s="136"/>
      <c r="R1039" s="79">
        <v>185.95</v>
      </c>
      <c r="S1039" s="79">
        <v>17.16</v>
      </c>
      <c r="T1039" s="79">
        <v>203.10999999999999</v>
      </c>
      <c r="U1039" s="79">
        <v>0</v>
      </c>
      <c r="V1039" s="189">
        <v>203.10999999999999</v>
      </c>
      <c r="X1039" s="79">
        <v>185.95</v>
      </c>
      <c r="Y1039" s="79">
        <v>17.16</v>
      </c>
      <c r="Z1039" s="79">
        <v>203.11</v>
      </c>
      <c r="AA1039" s="255">
        <v>0</v>
      </c>
      <c r="AC1039" s="254"/>
    </row>
    <row r="1040" spans="1:29" ht="24">
      <c r="A1040" s="67" t="s">
        <v>12489</v>
      </c>
      <c r="B1040" s="65" t="s">
        <v>12490</v>
      </c>
      <c r="C1040" s="71" t="s">
        <v>165</v>
      </c>
      <c r="D1040" s="78">
        <v>1</v>
      </c>
      <c r="E1040" s="79">
        <v>49.260000000000005</v>
      </c>
      <c r="F1040" s="70">
        <v>49.26</v>
      </c>
      <c r="G1040" s="320"/>
      <c r="H1040" s="79">
        <v>47.550000000000004</v>
      </c>
      <c r="I1040" s="79">
        <v>1.71</v>
      </c>
      <c r="J1040" s="79">
        <v>49.260000000000005</v>
      </c>
      <c r="K1040" s="79">
        <v>0</v>
      </c>
      <c r="L1040" s="70">
        <v>49.260000000000005</v>
      </c>
      <c r="M1040" s="132"/>
      <c r="N1040" s="79">
        <v>47.550000000000004</v>
      </c>
      <c r="O1040" s="79">
        <v>1.71</v>
      </c>
      <c r="P1040" s="79">
        <v>49.260000000000005</v>
      </c>
      <c r="Q1040" s="136"/>
      <c r="R1040" s="79">
        <v>47.55</v>
      </c>
      <c r="S1040" s="79">
        <v>1.72</v>
      </c>
      <c r="T1040" s="79">
        <v>49.269999999999996</v>
      </c>
      <c r="U1040" s="79">
        <v>0</v>
      </c>
      <c r="V1040" s="189">
        <v>49.269999999999996</v>
      </c>
      <c r="X1040" s="79">
        <v>47.55</v>
      </c>
      <c r="Y1040" s="79">
        <v>1.72</v>
      </c>
      <c r="Z1040" s="79">
        <v>49.27</v>
      </c>
      <c r="AA1040" s="255">
        <v>-1.0000000000005116E-2</v>
      </c>
      <c r="AC1040" s="254"/>
    </row>
    <row r="1041" spans="1:31" ht="36">
      <c r="A1041" s="67" t="s">
        <v>12491</v>
      </c>
      <c r="B1041" s="65" t="s">
        <v>12492</v>
      </c>
      <c r="C1041" s="71" t="s">
        <v>509</v>
      </c>
      <c r="D1041" s="78">
        <v>1</v>
      </c>
      <c r="E1041" s="79">
        <v>353.88</v>
      </c>
      <c r="F1041" s="70">
        <v>353.88</v>
      </c>
      <c r="G1041" s="320"/>
      <c r="H1041" s="79">
        <v>336.72</v>
      </c>
      <c r="I1041" s="79">
        <v>17.16</v>
      </c>
      <c r="J1041" s="79">
        <v>353.88000000000005</v>
      </c>
      <c r="K1041" s="79">
        <v>0</v>
      </c>
      <c r="L1041" s="70">
        <v>353.88000000000005</v>
      </c>
      <c r="M1041" s="132"/>
      <c r="N1041" s="79">
        <v>336.72</v>
      </c>
      <c r="O1041" s="79">
        <v>17.16</v>
      </c>
      <c r="P1041" s="79">
        <v>353.88000000000005</v>
      </c>
      <c r="Q1041" s="136"/>
      <c r="R1041" s="79">
        <v>336.72</v>
      </c>
      <c r="S1041" s="79">
        <v>17.16</v>
      </c>
      <c r="T1041" s="79">
        <v>353.88000000000005</v>
      </c>
      <c r="U1041" s="79">
        <v>0</v>
      </c>
      <c r="V1041" s="189">
        <v>353.88000000000005</v>
      </c>
      <c r="X1041" s="79">
        <v>336.72</v>
      </c>
      <c r="Y1041" s="79">
        <v>17.16</v>
      </c>
      <c r="Z1041" s="79">
        <v>353.88</v>
      </c>
      <c r="AA1041" s="255">
        <v>0</v>
      </c>
      <c r="AC1041" s="254"/>
    </row>
    <row r="1042" spans="1:31" ht="36">
      <c r="A1042" s="67" t="s">
        <v>12493</v>
      </c>
      <c r="B1042" s="65" t="s">
        <v>12494</v>
      </c>
      <c r="C1042" s="71" t="s">
        <v>165</v>
      </c>
      <c r="D1042" s="78">
        <v>1</v>
      </c>
      <c r="E1042" s="79">
        <v>68.430000000000007</v>
      </c>
      <c r="F1042" s="70">
        <v>68.430000000000007</v>
      </c>
      <c r="G1042" s="320"/>
      <c r="H1042" s="79">
        <v>66.72</v>
      </c>
      <c r="I1042" s="79">
        <v>1.71</v>
      </c>
      <c r="J1042" s="79">
        <v>68.429999999999993</v>
      </c>
      <c r="K1042" s="79">
        <v>0</v>
      </c>
      <c r="L1042" s="70">
        <v>68.429999999999993</v>
      </c>
      <c r="M1042" s="132"/>
      <c r="N1042" s="79">
        <v>66.72</v>
      </c>
      <c r="O1042" s="79">
        <v>1.71</v>
      </c>
      <c r="P1042" s="79">
        <v>68.429999999999993</v>
      </c>
      <c r="Q1042" s="136"/>
      <c r="R1042" s="79">
        <v>66.72</v>
      </c>
      <c r="S1042" s="79">
        <v>1.72</v>
      </c>
      <c r="T1042" s="79">
        <v>68.44</v>
      </c>
      <c r="U1042" s="79">
        <v>0</v>
      </c>
      <c r="V1042" s="189">
        <v>68.44</v>
      </c>
      <c r="X1042" s="79">
        <v>66.72</v>
      </c>
      <c r="Y1042" s="79">
        <v>1.72</v>
      </c>
      <c r="Z1042" s="79">
        <v>68.44</v>
      </c>
      <c r="AA1042" s="255">
        <v>-9.9999999999909051E-3</v>
      </c>
      <c r="AC1042" s="254"/>
      <c r="AD1042" s="61"/>
      <c r="AE1042" s="61"/>
    </row>
    <row r="1043" spans="1:31" ht="24">
      <c r="A1043" s="67" t="s">
        <v>12495</v>
      </c>
      <c r="B1043" s="65" t="s">
        <v>12496</v>
      </c>
      <c r="C1043" s="71" t="s">
        <v>509</v>
      </c>
      <c r="D1043" s="78">
        <v>1</v>
      </c>
      <c r="E1043" s="79">
        <v>56.480000000000004</v>
      </c>
      <c r="F1043" s="70">
        <v>56.48</v>
      </c>
      <c r="G1043" s="320"/>
      <c r="H1043" s="79">
        <v>45.02</v>
      </c>
      <c r="I1043" s="79">
        <v>11.46</v>
      </c>
      <c r="J1043" s="79">
        <v>56.480000000000004</v>
      </c>
      <c r="K1043" s="79">
        <v>0</v>
      </c>
      <c r="L1043" s="70">
        <v>56.480000000000004</v>
      </c>
      <c r="M1043" s="132"/>
      <c r="N1043" s="79">
        <v>45.02</v>
      </c>
      <c r="O1043" s="79">
        <v>11.46</v>
      </c>
      <c r="P1043" s="79">
        <v>56.480000000000004</v>
      </c>
      <c r="Q1043" s="136"/>
      <c r="R1043" s="79">
        <v>45.02</v>
      </c>
      <c r="S1043" s="79">
        <v>11.45</v>
      </c>
      <c r="T1043" s="79">
        <v>56.47</v>
      </c>
      <c r="U1043" s="79">
        <v>0</v>
      </c>
      <c r="V1043" s="189">
        <v>56.47</v>
      </c>
      <c r="X1043" s="79">
        <v>45.02</v>
      </c>
      <c r="Y1043" s="79">
        <v>11.45</v>
      </c>
      <c r="Z1043" s="79">
        <v>56.47</v>
      </c>
      <c r="AA1043" s="255">
        <v>9.9999999999980105E-3</v>
      </c>
      <c r="AC1043" s="254"/>
    </row>
    <row r="1044" spans="1:31" s="61" customFormat="1" ht="24">
      <c r="A1044" s="67" t="s">
        <v>12497</v>
      </c>
      <c r="B1044" s="65" t="s">
        <v>12498</v>
      </c>
      <c r="C1044" s="71" t="s">
        <v>509</v>
      </c>
      <c r="D1044" s="78">
        <v>1</v>
      </c>
      <c r="E1044" s="79">
        <v>53.02</v>
      </c>
      <c r="F1044" s="70">
        <v>53.02</v>
      </c>
      <c r="G1044" s="320"/>
      <c r="H1044" s="79">
        <v>41.56</v>
      </c>
      <c r="I1044" s="79">
        <v>11.46</v>
      </c>
      <c r="J1044" s="79">
        <v>53.02</v>
      </c>
      <c r="K1044" s="79">
        <v>0</v>
      </c>
      <c r="L1044" s="70">
        <v>53.02</v>
      </c>
      <c r="M1044" s="132"/>
      <c r="N1044" s="79">
        <v>41.56</v>
      </c>
      <c r="O1044" s="79">
        <v>11.46</v>
      </c>
      <c r="P1044" s="79">
        <v>53.02</v>
      </c>
      <c r="Q1044" s="136"/>
      <c r="R1044" s="79">
        <v>41.56</v>
      </c>
      <c r="S1044" s="79">
        <v>11.45</v>
      </c>
      <c r="T1044" s="79">
        <v>53.010000000000005</v>
      </c>
      <c r="U1044" s="79">
        <v>0</v>
      </c>
      <c r="V1044" s="189">
        <v>53.010000000000005</v>
      </c>
      <c r="X1044" s="79">
        <v>41.56</v>
      </c>
      <c r="Y1044" s="79">
        <v>11.45</v>
      </c>
      <c r="Z1044" s="79">
        <v>53.01</v>
      </c>
      <c r="AA1044" s="255">
        <v>1.0000000000005116E-2</v>
      </c>
      <c r="AC1044" s="254"/>
      <c r="AD1044" s="236"/>
      <c r="AE1044" s="236"/>
    </row>
    <row r="1045" spans="1:31" ht="36">
      <c r="A1045" s="67" t="s">
        <v>12499</v>
      </c>
      <c r="B1045" s="65" t="s">
        <v>12500</v>
      </c>
      <c r="C1045" s="71" t="s">
        <v>509</v>
      </c>
      <c r="D1045" s="78">
        <v>1</v>
      </c>
      <c r="E1045" s="79">
        <v>86.5</v>
      </c>
      <c r="F1045" s="70">
        <v>86.5</v>
      </c>
      <c r="G1045" s="320"/>
      <c r="H1045" s="79">
        <v>75.040000000000006</v>
      </c>
      <c r="I1045" s="79">
        <v>11.46</v>
      </c>
      <c r="J1045" s="79">
        <v>86.5</v>
      </c>
      <c r="K1045" s="79">
        <v>0</v>
      </c>
      <c r="L1045" s="70">
        <v>86.5</v>
      </c>
      <c r="M1045" s="132"/>
      <c r="N1045" s="79">
        <v>75.040000000000006</v>
      </c>
      <c r="O1045" s="79">
        <v>11.46</v>
      </c>
      <c r="P1045" s="79">
        <v>86.5</v>
      </c>
      <c r="Q1045" s="136"/>
      <c r="R1045" s="79">
        <v>75.040000000000006</v>
      </c>
      <c r="S1045" s="79">
        <v>11.45</v>
      </c>
      <c r="T1045" s="79">
        <v>86.490000000000009</v>
      </c>
      <c r="U1045" s="79">
        <v>0</v>
      </c>
      <c r="V1045" s="189">
        <v>86.490000000000009</v>
      </c>
      <c r="X1045" s="79">
        <v>75.040000000000006</v>
      </c>
      <c r="Y1045" s="79">
        <v>11.45</v>
      </c>
      <c r="Z1045" s="79">
        <v>86.49</v>
      </c>
      <c r="AA1045" s="255">
        <v>1.0000000000005116E-2</v>
      </c>
      <c r="AC1045" s="254"/>
    </row>
    <row r="1046" spans="1:31" ht="24">
      <c r="A1046" s="67" t="s">
        <v>12501</v>
      </c>
      <c r="B1046" s="65" t="s">
        <v>12502</v>
      </c>
      <c r="C1046" s="71" t="s">
        <v>509</v>
      </c>
      <c r="D1046" s="78">
        <v>1</v>
      </c>
      <c r="E1046" s="79">
        <v>80.72</v>
      </c>
      <c r="F1046" s="70">
        <v>80.72</v>
      </c>
      <c r="G1046" s="320"/>
      <c r="H1046" s="79">
        <v>69.260000000000005</v>
      </c>
      <c r="I1046" s="79">
        <v>11.46</v>
      </c>
      <c r="J1046" s="79">
        <v>80.72</v>
      </c>
      <c r="K1046" s="79">
        <v>0</v>
      </c>
      <c r="L1046" s="70">
        <v>80.72</v>
      </c>
      <c r="M1046" s="132"/>
      <c r="N1046" s="79">
        <v>69.260000000000005</v>
      </c>
      <c r="O1046" s="79">
        <v>11.46</v>
      </c>
      <c r="P1046" s="79">
        <v>80.72</v>
      </c>
      <c r="Q1046" s="136"/>
      <c r="R1046" s="79">
        <v>69.260000000000005</v>
      </c>
      <c r="S1046" s="79">
        <v>11.45</v>
      </c>
      <c r="T1046" s="79">
        <v>80.710000000000008</v>
      </c>
      <c r="U1046" s="79">
        <v>0</v>
      </c>
      <c r="V1046" s="189">
        <v>80.710000000000008</v>
      </c>
      <c r="X1046" s="79">
        <v>69.260000000000005</v>
      </c>
      <c r="Y1046" s="79">
        <v>11.45</v>
      </c>
      <c r="Z1046" s="79">
        <v>80.709999999999994</v>
      </c>
      <c r="AA1046" s="255">
        <v>1.0000000000005116E-2</v>
      </c>
      <c r="AC1046" s="254"/>
    </row>
    <row r="1047" spans="1:31" ht="36">
      <c r="A1047" s="67" t="s">
        <v>12503</v>
      </c>
      <c r="B1047" s="65" t="s">
        <v>12504</v>
      </c>
      <c r="C1047" s="71" t="s">
        <v>509</v>
      </c>
      <c r="D1047" s="78">
        <v>1</v>
      </c>
      <c r="E1047" s="79">
        <v>80.22</v>
      </c>
      <c r="F1047" s="70">
        <v>80.22</v>
      </c>
      <c r="G1047" s="320"/>
      <c r="H1047" s="79">
        <v>68.760000000000005</v>
      </c>
      <c r="I1047" s="79">
        <v>11.46</v>
      </c>
      <c r="J1047" s="79">
        <v>80.22</v>
      </c>
      <c r="K1047" s="79">
        <v>0</v>
      </c>
      <c r="L1047" s="70">
        <v>80.22</v>
      </c>
      <c r="M1047" s="132"/>
      <c r="N1047" s="79">
        <v>68.760000000000005</v>
      </c>
      <c r="O1047" s="79">
        <v>11.46</v>
      </c>
      <c r="P1047" s="79">
        <v>80.22</v>
      </c>
      <c r="Q1047" s="136"/>
      <c r="R1047" s="79">
        <v>68.760000000000005</v>
      </c>
      <c r="S1047" s="79">
        <v>11.45</v>
      </c>
      <c r="T1047" s="79">
        <v>80.210000000000008</v>
      </c>
      <c r="U1047" s="79">
        <v>0</v>
      </c>
      <c r="V1047" s="189">
        <v>80.210000000000008</v>
      </c>
      <c r="X1047" s="79">
        <v>68.760000000000005</v>
      </c>
      <c r="Y1047" s="79">
        <v>11.45</v>
      </c>
      <c r="Z1047" s="79">
        <v>80.209999999999994</v>
      </c>
      <c r="AA1047" s="255">
        <v>1.0000000000005116E-2</v>
      </c>
      <c r="AC1047" s="254"/>
    </row>
    <row r="1048" spans="1:31" ht="24">
      <c r="A1048" s="67" t="s">
        <v>12505</v>
      </c>
      <c r="B1048" s="65" t="s">
        <v>12506</v>
      </c>
      <c r="C1048" s="71" t="s">
        <v>165</v>
      </c>
      <c r="D1048" s="78">
        <v>1</v>
      </c>
      <c r="E1048" s="79">
        <v>5.6400000000000006</v>
      </c>
      <c r="F1048" s="70">
        <v>5.64</v>
      </c>
      <c r="G1048" s="320"/>
      <c r="H1048" s="79">
        <v>4.5</v>
      </c>
      <c r="I1048" s="79">
        <v>1.1400000000000001</v>
      </c>
      <c r="J1048" s="79">
        <v>5.6400000000000006</v>
      </c>
      <c r="K1048" s="79">
        <v>0</v>
      </c>
      <c r="L1048" s="70">
        <v>5.6400000000000006</v>
      </c>
      <c r="M1048" s="132"/>
      <c r="N1048" s="79">
        <v>4.5</v>
      </c>
      <c r="O1048" s="79">
        <v>1.1400000000000001</v>
      </c>
      <c r="P1048" s="79">
        <v>5.6400000000000006</v>
      </c>
      <c r="Q1048" s="136"/>
      <c r="R1048" s="79">
        <v>4.5</v>
      </c>
      <c r="S1048" s="79">
        <v>1.1399999999999999</v>
      </c>
      <c r="T1048" s="79">
        <v>5.64</v>
      </c>
      <c r="U1048" s="79">
        <v>0</v>
      </c>
      <c r="V1048" s="189">
        <v>5.64</v>
      </c>
      <c r="X1048" s="79">
        <v>4.5</v>
      </c>
      <c r="Y1048" s="79">
        <v>1.1399999999999999</v>
      </c>
      <c r="Z1048" s="79">
        <v>5.64</v>
      </c>
      <c r="AA1048" s="255">
        <v>0</v>
      </c>
      <c r="AC1048" s="254"/>
    </row>
    <row r="1049" spans="1:31" ht="24">
      <c r="A1049" s="67" t="s">
        <v>12507</v>
      </c>
      <c r="B1049" s="65" t="s">
        <v>12508</v>
      </c>
      <c r="C1049" s="71" t="s">
        <v>165</v>
      </c>
      <c r="D1049" s="78">
        <v>1</v>
      </c>
      <c r="E1049" s="79">
        <v>5.3000000000000007</v>
      </c>
      <c r="F1049" s="70">
        <v>5.3</v>
      </c>
      <c r="G1049" s="320"/>
      <c r="H1049" s="79">
        <v>4.16</v>
      </c>
      <c r="I1049" s="79">
        <v>1.1400000000000001</v>
      </c>
      <c r="J1049" s="79">
        <v>5.3000000000000007</v>
      </c>
      <c r="K1049" s="79">
        <v>0</v>
      </c>
      <c r="L1049" s="70">
        <v>5.3000000000000007</v>
      </c>
      <c r="M1049" s="132"/>
      <c r="N1049" s="79">
        <v>4.16</v>
      </c>
      <c r="O1049" s="79">
        <v>1.1400000000000001</v>
      </c>
      <c r="P1049" s="79">
        <v>5.3000000000000007</v>
      </c>
      <c r="Q1049" s="136"/>
      <c r="R1049" s="79">
        <v>4.16</v>
      </c>
      <c r="S1049" s="79">
        <v>1.1399999999999999</v>
      </c>
      <c r="T1049" s="79">
        <v>5.3</v>
      </c>
      <c r="U1049" s="79">
        <v>0</v>
      </c>
      <c r="V1049" s="189">
        <v>5.3</v>
      </c>
      <c r="X1049" s="79">
        <v>4.16</v>
      </c>
      <c r="Y1049" s="79">
        <v>1.1399999999999999</v>
      </c>
      <c r="Z1049" s="79">
        <v>5.3</v>
      </c>
      <c r="AA1049" s="255">
        <v>0</v>
      </c>
      <c r="AC1049" s="254"/>
      <c r="AD1049" s="61"/>
      <c r="AE1049" s="61"/>
    </row>
    <row r="1050" spans="1:31" ht="12">
      <c r="A1050" s="489" t="s">
        <v>12509</v>
      </c>
      <c r="B1050" s="490" t="s">
        <v>12510</v>
      </c>
      <c r="C1050" s="491"/>
      <c r="D1050" s="492"/>
      <c r="E1050" s="79"/>
      <c r="F1050" s="63"/>
      <c r="G1050" s="320"/>
      <c r="H1050" s="79"/>
      <c r="I1050" s="79"/>
      <c r="J1050" s="79"/>
      <c r="K1050" s="79"/>
      <c r="L1050" s="70"/>
      <c r="M1050" s="132"/>
      <c r="N1050" s="79"/>
      <c r="O1050" s="79"/>
      <c r="P1050" s="79"/>
      <c r="Q1050" s="136"/>
      <c r="R1050" s="79"/>
      <c r="S1050" s="79"/>
      <c r="T1050" s="79"/>
      <c r="U1050" s="79"/>
      <c r="V1050" s="189"/>
      <c r="X1050" s="79"/>
      <c r="Y1050" s="79"/>
      <c r="Z1050" s="79"/>
      <c r="AA1050" s="255"/>
      <c r="AC1050" s="254"/>
    </row>
    <row r="1051" spans="1:31" s="61" customFormat="1" ht="36">
      <c r="A1051" s="67" t="s">
        <v>12511</v>
      </c>
      <c r="B1051" s="65" t="s">
        <v>12512</v>
      </c>
      <c r="C1051" s="499" t="s">
        <v>509</v>
      </c>
      <c r="D1051" s="78">
        <v>1</v>
      </c>
      <c r="E1051" s="79">
        <v>147.71</v>
      </c>
      <c r="F1051" s="70">
        <v>147.71</v>
      </c>
      <c r="G1051" s="320"/>
      <c r="H1051" s="79">
        <v>102.38000000000001</v>
      </c>
      <c r="I1051" s="79">
        <v>45.33</v>
      </c>
      <c r="J1051" s="79">
        <v>147.71</v>
      </c>
      <c r="K1051" s="79">
        <v>0</v>
      </c>
      <c r="L1051" s="70">
        <v>147.71</v>
      </c>
      <c r="M1051" s="132"/>
      <c r="N1051" s="79">
        <v>102.38000000000001</v>
      </c>
      <c r="O1051" s="79">
        <v>45.33</v>
      </c>
      <c r="P1051" s="79">
        <v>147.71</v>
      </c>
      <c r="Q1051" s="136"/>
      <c r="R1051" s="79">
        <v>102.38</v>
      </c>
      <c r="S1051" s="79">
        <v>45.32</v>
      </c>
      <c r="T1051" s="79">
        <v>147.69999999999999</v>
      </c>
      <c r="U1051" s="79">
        <v>0</v>
      </c>
      <c r="V1051" s="189">
        <v>147.69999999999999</v>
      </c>
      <c r="X1051" s="79">
        <v>102.38</v>
      </c>
      <c r="Y1051" s="79">
        <v>45.32</v>
      </c>
      <c r="Z1051" s="79">
        <v>147.69999999999999</v>
      </c>
      <c r="AA1051" s="255">
        <v>1.0000000000019327E-2</v>
      </c>
      <c r="AC1051" s="254"/>
    </row>
    <row r="1052" spans="1:31" ht="24">
      <c r="A1052" s="67" t="s">
        <v>12513</v>
      </c>
      <c r="B1052" s="65" t="s">
        <v>12514</v>
      </c>
      <c r="C1052" s="499" t="s">
        <v>165</v>
      </c>
      <c r="D1052" s="78">
        <v>1</v>
      </c>
      <c r="E1052" s="79">
        <v>30.919999999999998</v>
      </c>
      <c r="F1052" s="70">
        <v>30.92</v>
      </c>
      <c r="G1052" s="320"/>
      <c r="H1052" s="79">
        <v>18.32</v>
      </c>
      <c r="I1052" s="79">
        <v>12.6</v>
      </c>
      <c r="J1052" s="79">
        <v>30.92</v>
      </c>
      <c r="K1052" s="79">
        <v>0</v>
      </c>
      <c r="L1052" s="70">
        <v>30.92</v>
      </c>
      <c r="M1052" s="132"/>
      <c r="N1052" s="79">
        <v>18.32</v>
      </c>
      <c r="O1052" s="79">
        <v>12.6</v>
      </c>
      <c r="P1052" s="79">
        <v>30.92</v>
      </c>
      <c r="Q1052" s="136"/>
      <c r="R1052" s="79">
        <v>18.32</v>
      </c>
      <c r="S1052" s="79">
        <v>12.59</v>
      </c>
      <c r="T1052" s="79">
        <v>30.91</v>
      </c>
      <c r="U1052" s="79">
        <v>0</v>
      </c>
      <c r="V1052" s="189">
        <v>30.91</v>
      </c>
      <c r="X1052" s="79">
        <v>18.32</v>
      </c>
      <c r="Y1052" s="79">
        <v>12.59</v>
      </c>
      <c r="Z1052" s="79">
        <v>30.91</v>
      </c>
      <c r="AA1052" s="255">
        <v>1.0000000000001563E-2</v>
      </c>
      <c r="AC1052" s="254"/>
    </row>
    <row r="1053" spans="1:31" s="61" customFormat="1" ht="24">
      <c r="A1053" s="67" t="s">
        <v>12515</v>
      </c>
      <c r="B1053" s="65" t="s">
        <v>12516</v>
      </c>
      <c r="C1053" s="71" t="s">
        <v>509</v>
      </c>
      <c r="D1053" s="78">
        <v>1</v>
      </c>
      <c r="E1053" s="79">
        <v>189</v>
      </c>
      <c r="F1053" s="70">
        <v>189</v>
      </c>
      <c r="G1053" s="320"/>
      <c r="H1053" s="79">
        <v>143.67000000000002</v>
      </c>
      <c r="I1053" s="79">
        <v>45.33</v>
      </c>
      <c r="J1053" s="79">
        <v>189</v>
      </c>
      <c r="K1053" s="79">
        <v>0</v>
      </c>
      <c r="L1053" s="70">
        <v>189</v>
      </c>
      <c r="M1053" s="132"/>
      <c r="N1053" s="79">
        <v>143.67000000000002</v>
      </c>
      <c r="O1053" s="79">
        <v>45.33</v>
      </c>
      <c r="P1053" s="79">
        <v>189</v>
      </c>
      <c r="Q1053" s="136"/>
      <c r="R1053" s="79">
        <v>143.66999999999999</v>
      </c>
      <c r="S1053" s="79">
        <v>45.32</v>
      </c>
      <c r="T1053" s="79">
        <v>188.98999999999998</v>
      </c>
      <c r="U1053" s="79">
        <v>0</v>
      </c>
      <c r="V1053" s="189">
        <v>188.98999999999998</v>
      </c>
      <c r="X1053" s="79">
        <v>143.66999999999999</v>
      </c>
      <c r="Y1053" s="79">
        <v>45.32</v>
      </c>
      <c r="Z1053" s="79">
        <v>188.99</v>
      </c>
      <c r="AA1053" s="255">
        <v>9.9999999999909051E-3</v>
      </c>
      <c r="AC1053" s="254"/>
      <c r="AD1053" s="236"/>
      <c r="AE1053" s="236"/>
    </row>
    <row r="1054" spans="1:31" ht="24">
      <c r="A1054" s="67" t="s">
        <v>12517</v>
      </c>
      <c r="B1054" s="65" t="s">
        <v>12518</v>
      </c>
      <c r="C1054" s="71" t="s">
        <v>165</v>
      </c>
      <c r="D1054" s="78">
        <v>1</v>
      </c>
      <c r="E1054" s="79">
        <v>38.1</v>
      </c>
      <c r="F1054" s="70">
        <v>38.1</v>
      </c>
      <c r="G1054" s="320"/>
      <c r="H1054" s="79">
        <v>25.5</v>
      </c>
      <c r="I1054" s="79">
        <v>12.6</v>
      </c>
      <c r="J1054" s="79">
        <v>38.1</v>
      </c>
      <c r="K1054" s="79">
        <v>0</v>
      </c>
      <c r="L1054" s="70">
        <v>38.1</v>
      </c>
      <c r="M1054" s="132"/>
      <c r="N1054" s="79">
        <v>25.5</v>
      </c>
      <c r="O1054" s="79">
        <v>12.6</v>
      </c>
      <c r="P1054" s="79">
        <v>38.1</v>
      </c>
      <c r="Q1054" s="136"/>
      <c r="R1054" s="79">
        <v>25.5</v>
      </c>
      <c r="S1054" s="79">
        <v>12.59</v>
      </c>
      <c r="T1054" s="79">
        <v>38.090000000000003</v>
      </c>
      <c r="U1054" s="79">
        <v>0</v>
      </c>
      <c r="V1054" s="189">
        <v>38.090000000000003</v>
      </c>
      <c r="X1054" s="79">
        <v>25.5</v>
      </c>
      <c r="Y1054" s="79">
        <v>12.59</v>
      </c>
      <c r="Z1054" s="79">
        <v>38.090000000000003</v>
      </c>
      <c r="AA1054" s="255">
        <v>9.9999999999980105E-3</v>
      </c>
      <c r="AC1054" s="254"/>
      <c r="AD1054" s="61"/>
      <c r="AE1054" s="61"/>
    </row>
    <row r="1055" spans="1:31" ht="36">
      <c r="A1055" s="67" t="s">
        <v>12519</v>
      </c>
      <c r="B1055" s="65" t="s">
        <v>12520</v>
      </c>
      <c r="C1055" s="71" t="s">
        <v>509</v>
      </c>
      <c r="D1055" s="78">
        <v>1</v>
      </c>
      <c r="E1055" s="79">
        <v>151.10000000000002</v>
      </c>
      <c r="F1055" s="70">
        <v>151.1</v>
      </c>
      <c r="G1055" s="320"/>
      <c r="H1055" s="79">
        <v>105.77000000000001</v>
      </c>
      <c r="I1055" s="79">
        <v>45.33</v>
      </c>
      <c r="J1055" s="79">
        <v>151.10000000000002</v>
      </c>
      <c r="K1055" s="79">
        <v>0</v>
      </c>
      <c r="L1055" s="70">
        <v>151.10000000000002</v>
      </c>
      <c r="M1055" s="132"/>
      <c r="N1055" s="79">
        <v>105.77000000000001</v>
      </c>
      <c r="O1055" s="79">
        <v>45.33</v>
      </c>
      <c r="P1055" s="79">
        <v>151.10000000000002</v>
      </c>
      <c r="Q1055" s="136"/>
      <c r="R1055" s="79">
        <v>105.77</v>
      </c>
      <c r="S1055" s="79">
        <v>45.32</v>
      </c>
      <c r="T1055" s="79">
        <v>151.09</v>
      </c>
      <c r="U1055" s="79">
        <v>0</v>
      </c>
      <c r="V1055" s="189">
        <v>151.09</v>
      </c>
      <c r="X1055" s="79">
        <v>105.77</v>
      </c>
      <c r="Y1055" s="79">
        <v>45.32</v>
      </c>
      <c r="Z1055" s="79">
        <v>151.09</v>
      </c>
      <c r="AA1055" s="255">
        <v>9.9999999999909051E-3</v>
      </c>
      <c r="AC1055" s="254"/>
    </row>
    <row r="1056" spans="1:31" s="61" customFormat="1" ht="36">
      <c r="A1056" s="67" t="s">
        <v>12521</v>
      </c>
      <c r="B1056" s="65" t="s">
        <v>12522</v>
      </c>
      <c r="C1056" s="71" t="s">
        <v>165</v>
      </c>
      <c r="D1056" s="78">
        <v>1</v>
      </c>
      <c r="E1056" s="79">
        <v>31.51</v>
      </c>
      <c r="F1056" s="70">
        <v>31.51</v>
      </c>
      <c r="G1056" s="320"/>
      <c r="H1056" s="79">
        <v>18.91</v>
      </c>
      <c r="I1056" s="79">
        <v>12.6</v>
      </c>
      <c r="J1056" s="79">
        <v>31.509999999999998</v>
      </c>
      <c r="K1056" s="79">
        <v>0</v>
      </c>
      <c r="L1056" s="70">
        <v>31.509999999999998</v>
      </c>
      <c r="M1056" s="132"/>
      <c r="N1056" s="79">
        <v>18.91</v>
      </c>
      <c r="O1056" s="79">
        <v>12.6</v>
      </c>
      <c r="P1056" s="79">
        <v>31.509999999999998</v>
      </c>
      <c r="Q1056" s="136"/>
      <c r="R1056" s="79">
        <v>18.91</v>
      </c>
      <c r="S1056" s="79">
        <v>12.59</v>
      </c>
      <c r="T1056" s="79">
        <v>31.5</v>
      </c>
      <c r="U1056" s="79">
        <v>0</v>
      </c>
      <c r="V1056" s="189">
        <v>31.5</v>
      </c>
      <c r="X1056" s="79">
        <v>18.91</v>
      </c>
      <c r="Y1056" s="79">
        <v>12.59</v>
      </c>
      <c r="Z1056" s="79">
        <v>31.5</v>
      </c>
      <c r="AA1056" s="255">
        <v>1.0000000000001563E-2</v>
      </c>
      <c r="AC1056" s="254"/>
      <c r="AD1056" s="236"/>
      <c r="AE1056" s="236"/>
    </row>
    <row r="1057" spans="1:29" ht="24">
      <c r="A1057" s="67" t="s">
        <v>12523</v>
      </c>
      <c r="B1057" s="65" t="s">
        <v>12524</v>
      </c>
      <c r="C1057" s="71" t="s">
        <v>509</v>
      </c>
      <c r="D1057" s="78">
        <v>1</v>
      </c>
      <c r="E1057" s="79">
        <v>196.08999999999997</v>
      </c>
      <c r="F1057" s="70">
        <v>196.09</v>
      </c>
      <c r="G1057" s="320"/>
      <c r="H1057" s="79">
        <v>150.76</v>
      </c>
      <c r="I1057" s="79">
        <v>45.33</v>
      </c>
      <c r="J1057" s="79">
        <v>196.08999999999997</v>
      </c>
      <c r="K1057" s="79">
        <v>0</v>
      </c>
      <c r="L1057" s="70">
        <v>196.08999999999997</v>
      </c>
      <c r="M1057" s="132"/>
      <c r="N1057" s="79">
        <v>150.76</v>
      </c>
      <c r="O1057" s="79">
        <v>45.33</v>
      </c>
      <c r="P1057" s="79">
        <v>196.08999999999997</v>
      </c>
      <c r="Q1057" s="136"/>
      <c r="R1057" s="79">
        <v>150.76</v>
      </c>
      <c r="S1057" s="79">
        <v>45.32</v>
      </c>
      <c r="T1057" s="79">
        <v>196.07999999999998</v>
      </c>
      <c r="U1057" s="79">
        <v>0</v>
      </c>
      <c r="V1057" s="189">
        <v>196.07999999999998</v>
      </c>
      <c r="X1057" s="79">
        <v>150.76</v>
      </c>
      <c r="Y1057" s="79">
        <v>45.32</v>
      </c>
      <c r="Z1057" s="79">
        <v>196.08</v>
      </c>
      <c r="AA1057" s="255">
        <v>9.9999999999909051E-3</v>
      </c>
      <c r="AC1057" s="254"/>
    </row>
    <row r="1058" spans="1:29" ht="24">
      <c r="A1058" s="67" t="s">
        <v>12525</v>
      </c>
      <c r="B1058" s="65" t="s">
        <v>12526</v>
      </c>
      <c r="C1058" s="71" t="s">
        <v>165</v>
      </c>
      <c r="D1058" s="78">
        <v>1</v>
      </c>
      <c r="E1058" s="79">
        <v>39.6</v>
      </c>
      <c r="F1058" s="70">
        <v>39.6</v>
      </c>
      <c r="G1058" s="320"/>
      <c r="H1058" s="79">
        <v>26.999999999999996</v>
      </c>
      <c r="I1058" s="79">
        <v>12.6</v>
      </c>
      <c r="J1058" s="79">
        <v>39.599999999999994</v>
      </c>
      <c r="K1058" s="79">
        <v>0</v>
      </c>
      <c r="L1058" s="70">
        <v>39.599999999999994</v>
      </c>
      <c r="M1058" s="132"/>
      <c r="N1058" s="79">
        <v>26.999999999999996</v>
      </c>
      <c r="O1058" s="79">
        <v>12.6</v>
      </c>
      <c r="P1058" s="79">
        <v>39.599999999999994</v>
      </c>
      <c r="Q1058" s="136"/>
      <c r="R1058" s="79">
        <v>27</v>
      </c>
      <c r="S1058" s="79">
        <v>12.59</v>
      </c>
      <c r="T1058" s="79">
        <v>39.590000000000003</v>
      </c>
      <c r="U1058" s="79">
        <v>0</v>
      </c>
      <c r="V1058" s="189">
        <v>39.590000000000003</v>
      </c>
      <c r="X1058" s="79">
        <v>27</v>
      </c>
      <c r="Y1058" s="79">
        <v>12.59</v>
      </c>
      <c r="Z1058" s="79">
        <v>39.590000000000003</v>
      </c>
      <c r="AA1058" s="255">
        <v>9.9999999999980105E-3</v>
      </c>
      <c r="AC1058" s="254"/>
    </row>
    <row r="1059" spans="1:29" ht="24">
      <c r="A1059" s="67" t="s">
        <v>12527</v>
      </c>
      <c r="B1059" s="65" t="s">
        <v>12528</v>
      </c>
      <c r="C1059" s="71" t="s">
        <v>509</v>
      </c>
      <c r="D1059" s="78">
        <v>1</v>
      </c>
      <c r="E1059" s="79">
        <v>198.04000000000002</v>
      </c>
      <c r="F1059" s="70">
        <v>198.04</v>
      </c>
      <c r="G1059" s="320"/>
      <c r="H1059" s="79">
        <v>152.71</v>
      </c>
      <c r="I1059" s="79">
        <v>45.33</v>
      </c>
      <c r="J1059" s="79">
        <v>198.04000000000002</v>
      </c>
      <c r="K1059" s="79">
        <v>0</v>
      </c>
      <c r="L1059" s="70">
        <v>198.04000000000002</v>
      </c>
      <c r="M1059" s="132"/>
      <c r="N1059" s="79">
        <v>152.71</v>
      </c>
      <c r="O1059" s="79">
        <v>45.33</v>
      </c>
      <c r="P1059" s="79">
        <v>198.04000000000002</v>
      </c>
      <c r="Q1059" s="136"/>
      <c r="R1059" s="79">
        <v>152.71</v>
      </c>
      <c r="S1059" s="79">
        <v>45.32</v>
      </c>
      <c r="T1059" s="79">
        <v>198.03</v>
      </c>
      <c r="U1059" s="79">
        <v>0</v>
      </c>
      <c r="V1059" s="189">
        <v>198.03</v>
      </c>
      <c r="X1059" s="79">
        <v>152.71</v>
      </c>
      <c r="Y1059" s="79">
        <v>45.32</v>
      </c>
      <c r="Z1059" s="79">
        <v>198.03</v>
      </c>
      <c r="AA1059" s="255">
        <v>9.9999999999909051E-3</v>
      </c>
      <c r="AC1059" s="254"/>
    </row>
    <row r="1060" spans="1:29" ht="24">
      <c r="A1060" s="67" t="s">
        <v>12529</v>
      </c>
      <c r="B1060" s="65" t="s">
        <v>12530</v>
      </c>
      <c r="C1060" s="71" t="s">
        <v>165</v>
      </c>
      <c r="D1060" s="78">
        <v>1</v>
      </c>
      <c r="E1060" s="79">
        <v>39.94</v>
      </c>
      <c r="F1060" s="70">
        <v>39.94</v>
      </c>
      <c r="G1060" s="320"/>
      <c r="H1060" s="79">
        <v>27.339999999999996</v>
      </c>
      <c r="I1060" s="79">
        <v>12.6</v>
      </c>
      <c r="J1060" s="79">
        <v>39.94</v>
      </c>
      <c r="K1060" s="79">
        <v>0</v>
      </c>
      <c r="L1060" s="70">
        <v>39.94</v>
      </c>
      <c r="M1060" s="132"/>
      <c r="N1060" s="79">
        <v>27.339999999999996</v>
      </c>
      <c r="O1060" s="79">
        <v>12.6</v>
      </c>
      <c r="P1060" s="79">
        <v>39.94</v>
      </c>
      <c r="Q1060" s="136"/>
      <c r="R1060" s="79">
        <v>27.34</v>
      </c>
      <c r="S1060" s="79">
        <v>12.59</v>
      </c>
      <c r="T1060" s="79">
        <v>39.93</v>
      </c>
      <c r="U1060" s="79">
        <v>0</v>
      </c>
      <c r="V1060" s="189">
        <v>39.93</v>
      </c>
      <c r="X1060" s="79">
        <v>27.34</v>
      </c>
      <c r="Y1060" s="79">
        <v>12.59</v>
      </c>
      <c r="Z1060" s="79">
        <v>39.93</v>
      </c>
      <c r="AA1060" s="255">
        <v>9.9999999999980105E-3</v>
      </c>
      <c r="AC1060" s="254"/>
    </row>
    <row r="1061" spans="1:29" ht="36">
      <c r="A1061" s="67" t="s">
        <v>12531</v>
      </c>
      <c r="B1061" s="65" t="s">
        <v>12532</v>
      </c>
      <c r="C1061" s="71" t="s">
        <v>509</v>
      </c>
      <c r="D1061" s="78">
        <v>1</v>
      </c>
      <c r="E1061" s="79">
        <v>249.68</v>
      </c>
      <c r="F1061" s="70">
        <v>249.68</v>
      </c>
      <c r="G1061" s="320"/>
      <c r="H1061" s="79">
        <v>204.35</v>
      </c>
      <c r="I1061" s="79">
        <v>45.33</v>
      </c>
      <c r="J1061" s="79">
        <v>249.68</v>
      </c>
      <c r="K1061" s="79">
        <v>0</v>
      </c>
      <c r="L1061" s="70">
        <v>249.68</v>
      </c>
      <c r="M1061" s="132"/>
      <c r="N1061" s="79">
        <v>204.35</v>
      </c>
      <c r="O1061" s="79">
        <v>45.33</v>
      </c>
      <c r="P1061" s="79">
        <v>249.68</v>
      </c>
      <c r="Q1061" s="136"/>
      <c r="R1061" s="79">
        <v>204.35</v>
      </c>
      <c r="S1061" s="79">
        <v>45.32</v>
      </c>
      <c r="T1061" s="79">
        <v>249.67</v>
      </c>
      <c r="U1061" s="79">
        <v>0</v>
      </c>
      <c r="V1061" s="189">
        <v>249.67</v>
      </c>
      <c r="X1061" s="79">
        <v>204.35</v>
      </c>
      <c r="Y1061" s="79">
        <v>45.32</v>
      </c>
      <c r="Z1061" s="79">
        <v>249.67</v>
      </c>
      <c r="AA1061" s="255">
        <v>1.0000000000019327E-2</v>
      </c>
      <c r="AC1061" s="254"/>
    </row>
    <row r="1062" spans="1:29" ht="24">
      <c r="A1062" s="67" t="s">
        <v>12533</v>
      </c>
      <c r="B1062" s="65" t="s">
        <v>12534</v>
      </c>
      <c r="C1062" s="71" t="s">
        <v>165</v>
      </c>
      <c r="D1062" s="78">
        <v>1</v>
      </c>
      <c r="E1062" s="79">
        <v>48.93</v>
      </c>
      <c r="F1062" s="70">
        <v>48.93</v>
      </c>
      <c r="G1062" s="320"/>
      <c r="H1062" s="79">
        <v>36.330000000000005</v>
      </c>
      <c r="I1062" s="79">
        <v>12.6</v>
      </c>
      <c r="J1062" s="79">
        <v>48.930000000000007</v>
      </c>
      <c r="K1062" s="79">
        <v>0</v>
      </c>
      <c r="L1062" s="70">
        <v>48.930000000000007</v>
      </c>
      <c r="M1062" s="132"/>
      <c r="N1062" s="79">
        <v>36.330000000000005</v>
      </c>
      <c r="O1062" s="79">
        <v>12.6</v>
      </c>
      <c r="P1062" s="79">
        <v>48.930000000000007</v>
      </c>
      <c r="Q1062" s="136"/>
      <c r="R1062" s="79">
        <v>36.33</v>
      </c>
      <c r="S1062" s="79">
        <v>12.59</v>
      </c>
      <c r="T1062" s="79">
        <v>48.92</v>
      </c>
      <c r="U1062" s="79">
        <v>0</v>
      </c>
      <c r="V1062" s="189">
        <v>48.92</v>
      </c>
      <c r="X1062" s="79">
        <v>36.33</v>
      </c>
      <c r="Y1062" s="79">
        <v>12.59</v>
      </c>
      <c r="Z1062" s="79">
        <v>48.92</v>
      </c>
      <c r="AA1062" s="255">
        <v>9.9999999999980105E-3</v>
      </c>
      <c r="AC1062" s="254"/>
    </row>
    <row r="1063" spans="1:29" ht="12">
      <c r="A1063" s="489" t="s">
        <v>12535</v>
      </c>
      <c r="B1063" s="490" t="s">
        <v>12536</v>
      </c>
      <c r="C1063" s="491"/>
      <c r="D1063" s="492"/>
      <c r="E1063" s="79"/>
      <c r="F1063" s="63"/>
      <c r="G1063" s="320"/>
      <c r="H1063" s="79"/>
      <c r="I1063" s="79"/>
      <c r="J1063" s="79"/>
      <c r="K1063" s="79"/>
      <c r="L1063" s="70"/>
      <c r="M1063" s="132"/>
      <c r="N1063" s="79"/>
      <c r="O1063" s="79"/>
      <c r="P1063" s="79"/>
      <c r="Q1063" s="136"/>
      <c r="R1063" s="79"/>
      <c r="S1063" s="79"/>
      <c r="T1063" s="79"/>
      <c r="U1063" s="79"/>
      <c r="V1063" s="189"/>
      <c r="X1063" s="79"/>
      <c r="Y1063" s="79"/>
      <c r="Z1063" s="79"/>
      <c r="AA1063" s="255"/>
      <c r="AC1063" s="254"/>
    </row>
    <row r="1064" spans="1:29" ht="24">
      <c r="A1064" s="67" t="s">
        <v>12537</v>
      </c>
      <c r="B1064" s="65" t="s">
        <v>12538</v>
      </c>
      <c r="C1064" s="71" t="s">
        <v>509</v>
      </c>
      <c r="D1064" s="78">
        <v>1</v>
      </c>
      <c r="E1064" s="79">
        <v>164.28</v>
      </c>
      <c r="F1064" s="70">
        <v>164.28</v>
      </c>
      <c r="G1064" s="320"/>
      <c r="H1064" s="79">
        <v>138.6</v>
      </c>
      <c r="I1064" s="79">
        <v>25.68</v>
      </c>
      <c r="J1064" s="79">
        <v>164.28</v>
      </c>
      <c r="K1064" s="79">
        <v>0</v>
      </c>
      <c r="L1064" s="70">
        <v>164.28</v>
      </c>
      <c r="M1064" s="132"/>
      <c r="N1064" s="79">
        <v>138.6</v>
      </c>
      <c r="O1064" s="79">
        <v>25.68</v>
      </c>
      <c r="P1064" s="79">
        <v>164.28</v>
      </c>
      <c r="Q1064" s="136"/>
      <c r="R1064" s="79">
        <v>138.6</v>
      </c>
      <c r="S1064" s="79">
        <v>25.66</v>
      </c>
      <c r="T1064" s="79">
        <v>164.26</v>
      </c>
      <c r="U1064" s="79">
        <v>0</v>
      </c>
      <c r="V1064" s="189">
        <v>164.26</v>
      </c>
      <c r="X1064" s="79">
        <v>138.6</v>
      </c>
      <c r="Y1064" s="79">
        <v>25.66</v>
      </c>
      <c r="Z1064" s="79">
        <v>164.26</v>
      </c>
      <c r="AA1064" s="255">
        <v>2.0000000000010232E-2</v>
      </c>
      <c r="AC1064" s="254"/>
    </row>
    <row r="1065" spans="1:29" ht="24">
      <c r="A1065" s="67" t="s">
        <v>12539</v>
      </c>
      <c r="B1065" s="65" t="s">
        <v>12540</v>
      </c>
      <c r="C1065" s="71" t="s">
        <v>509</v>
      </c>
      <c r="D1065" s="78">
        <v>1</v>
      </c>
      <c r="E1065" s="79">
        <v>140.41</v>
      </c>
      <c r="F1065" s="70">
        <v>140.41</v>
      </c>
      <c r="G1065" s="320"/>
      <c r="H1065" s="79">
        <v>114.73</v>
      </c>
      <c r="I1065" s="79">
        <v>25.68</v>
      </c>
      <c r="J1065" s="79">
        <v>140.41</v>
      </c>
      <c r="K1065" s="79">
        <v>0</v>
      </c>
      <c r="L1065" s="70">
        <v>140.41</v>
      </c>
      <c r="M1065" s="132"/>
      <c r="N1065" s="79">
        <v>114.73</v>
      </c>
      <c r="O1065" s="79">
        <v>25.68</v>
      </c>
      <c r="P1065" s="79">
        <v>140.41</v>
      </c>
      <c r="Q1065" s="136"/>
      <c r="R1065" s="79">
        <v>114.73</v>
      </c>
      <c r="S1065" s="79">
        <v>25.66</v>
      </c>
      <c r="T1065" s="79">
        <v>140.39000000000001</v>
      </c>
      <c r="U1065" s="79">
        <v>0</v>
      </c>
      <c r="V1065" s="189">
        <v>140.39000000000001</v>
      </c>
      <c r="X1065" s="79">
        <v>114.73</v>
      </c>
      <c r="Y1065" s="79">
        <v>25.66</v>
      </c>
      <c r="Z1065" s="79">
        <v>140.38999999999999</v>
      </c>
      <c r="AA1065" s="255">
        <v>2.0000000000010232E-2</v>
      </c>
      <c r="AC1065" s="254"/>
    </row>
    <row r="1066" spans="1:29" ht="24">
      <c r="A1066" s="67" t="s">
        <v>12541</v>
      </c>
      <c r="B1066" s="65" t="s">
        <v>12542</v>
      </c>
      <c r="C1066" s="71" t="s">
        <v>509</v>
      </c>
      <c r="D1066" s="78">
        <v>1</v>
      </c>
      <c r="E1066" s="79">
        <v>101.38000000000001</v>
      </c>
      <c r="F1066" s="70">
        <v>101.38</v>
      </c>
      <c r="G1066" s="320"/>
      <c r="H1066" s="79">
        <v>75.7</v>
      </c>
      <c r="I1066" s="79">
        <v>25.68</v>
      </c>
      <c r="J1066" s="79">
        <v>101.38</v>
      </c>
      <c r="K1066" s="79">
        <v>0</v>
      </c>
      <c r="L1066" s="70">
        <v>101.38</v>
      </c>
      <c r="M1066" s="132"/>
      <c r="N1066" s="79">
        <v>75.7</v>
      </c>
      <c r="O1066" s="79">
        <v>25.68</v>
      </c>
      <c r="P1066" s="79">
        <v>101.38</v>
      </c>
      <c r="Q1066" s="136"/>
      <c r="R1066" s="79">
        <v>75.7</v>
      </c>
      <c r="S1066" s="79">
        <v>25.66</v>
      </c>
      <c r="T1066" s="79">
        <v>101.36</v>
      </c>
      <c r="U1066" s="79">
        <v>0</v>
      </c>
      <c r="V1066" s="189">
        <v>101.36</v>
      </c>
      <c r="X1066" s="79">
        <v>75.7</v>
      </c>
      <c r="Y1066" s="79">
        <v>25.66</v>
      </c>
      <c r="Z1066" s="79">
        <v>101.36</v>
      </c>
      <c r="AA1066" s="255">
        <v>1.9999999999996021E-2</v>
      </c>
      <c r="AC1066" s="254"/>
    </row>
    <row r="1067" spans="1:29" ht="24">
      <c r="A1067" s="67" t="s">
        <v>12543</v>
      </c>
      <c r="B1067" s="65" t="s">
        <v>12544</v>
      </c>
      <c r="C1067" s="71" t="s">
        <v>509</v>
      </c>
      <c r="D1067" s="78">
        <v>1</v>
      </c>
      <c r="E1067" s="79">
        <v>115.48000000000002</v>
      </c>
      <c r="F1067" s="70">
        <v>115.48</v>
      </c>
      <c r="G1067" s="320"/>
      <c r="H1067" s="79">
        <v>89.800000000000011</v>
      </c>
      <c r="I1067" s="79">
        <v>25.68</v>
      </c>
      <c r="J1067" s="79">
        <v>115.48000000000002</v>
      </c>
      <c r="K1067" s="79">
        <v>0</v>
      </c>
      <c r="L1067" s="70">
        <v>115.48000000000002</v>
      </c>
      <c r="M1067" s="132"/>
      <c r="N1067" s="79">
        <v>89.800000000000011</v>
      </c>
      <c r="O1067" s="79">
        <v>25.68</v>
      </c>
      <c r="P1067" s="79">
        <v>115.48000000000002</v>
      </c>
      <c r="Q1067" s="136"/>
      <c r="R1067" s="79">
        <v>89.8</v>
      </c>
      <c r="S1067" s="79">
        <v>25.66</v>
      </c>
      <c r="T1067" s="79">
        <v>115.46</v>
      </c>
      <c r="U1067" s="79">
        <v>0</v>
      </c>
      <c r="V1067" s="189">
        <v>115.46</v>
      </c>
      <c r="X1067" s="79">
        <v>89.8</v>
      </c>
      <c r="Y1067" s="79">
        <v>25.66</v>
      </c>
      <c r="Z1067" s="79">
        <v>115.46</v>
      </c>
      <c r="AA1067" s="255">
        <v>2.0000000000010232E-2</v>
      </c>
      <c r="AC1067" s="254"/>
    </row>
    <row r="1068" spans="1:29" ht="24">
      <c r="A1068" s="67" t="s">
        <v>12545</v>
      </c>
      <c r="B1068" s="65" t="s">
        <v>12546</v>
      </c>
      <c r="C1068" s="71" t="s">
        <v>509</v>
      </c>
      <c r="D1068" s="78">
        <v>1</v>
      </c>
      <c r="E1068" s="79">
        <v>112.94</v>
      </c>
      <c r="F1068" s="70">
        <v>112.94</v>
      </c>
      <c r="G1068" s="320"/>
      <c r="H1068" s="79">
        <v>87.26</v>
      </c>
      <c r="I1068" s="79">
        <v>25.68</v>
      </c>
      <c r="J1068" s="79">
        <v>112.94</v>
      </c>
      <c r="K1068" s="79">
        <v>0</v>
      </c>
      <c r="L1068" s="70">
        <v>112.94</v>
      </c>
      <c r="M1068" s="132"/>
      <c r="N1068" s="79">
        <v>87.26</v>
      </c>
      <c r="O1068" s="79">
        <v>25.68</v>
      </c>
      <c r="P1068" s="79">
        <v>112.94</v>
      </c>
      <c r="Q1068" s="136"/>
      <c r="R1068" s="79">
        <v>87.26</v>
      </c>
      <c r="S1068" s="79">
        <v>25.66</v>
      </c>
      <c r="T1068" s="79">
        <v>112.92</v>
      </c>
      <c r="U1068" s="79">
        <v>0</v>
      </c>
      <c r="V1068" s="189">
        <v>112.92</v>
      </c>
      <c r="X1068" s="79">
        <v>87.26</v>
      </c>
      <c r="Y1068" s="79">
        <v>25.66</v>
      </c>
      <c r="Z1068" s="79">
        <v>112.92</v>
      </c>
      <c r="AA1068" s="255">
        <v>1.9999999999996021E-2</v>
      </c>
      <c r="AC1068" s="254"/>
    </row>
    <row r="1069" spans="1:29" ht="12">
      <c r="A1069" s="489" t="s">
        <v>12547</v>
      </c>
      <c r="B1069" s="490" t="s">
        <v>12548</v>
      </c>
      <c r="C1069" s="491"/>
      <c r="D1069" s="492"/>
      <c r="E1069" s="79"/>
      <c r="F1069" s="63"/>
      <c r="G1069" s="320"/>
      <c r="H1069" s="79"/>
      <c r="I1069" s="79"/>
      <c r="J1069" s="79"/>
      <c r="K1069" s="79"/>
      <c r="L1069" s="70"/>
      <c r="M1069" s="132"/>
      <c r="N1069" s="79"/>
      <c r="O1069" s="79"/>
      <c r="P1069" s="79"/>
      <c r="Q1069" s="136"/>
      <c r="R1069" s="79"/>
      <c r="S1069" s="79"/>
      <c r="T1069" s="79"/>
      <c r="U1069" s="79"/>
      <c r="V1069" s="189"/>
      <c r="X1069" s="79"/>
      <c r="Y1069" s="79"/>
      <c r="Z1069" s="79"/>
      <c r="AA1069" s="255"/>
      <c r="AC1069" s="254"/>
    </row>
    <row r="1070" spans="1:29" ht="24">
      <c r="A1070" s="67" t="s">
        <v>12549</v>
      </c>
      <c r="B1070" s="65" t="s">
        <v>12550</v>
      </c>
      <c r="C1070" s="71" t="s">
        <v>509</v>
      </c>
      <c r="D1070" s="78">
        <v>1</v>
      </c>
      <c r="E1070" s="79">
        <v>212.48000000000002</v>
      </c>
      <c r="F1070" s="70">
        <v>212.48</v>
      </c>
      <c r="G1070" s="320"/>
      <c r="H1070" s="79">
        <v>179.98000000000002</v>
      </c>
      <c r="I1070" s="79">
        <v>32.5</v>
      </c>
      <c r="J1070" s="79">
        <v>212.48000000000002</v>
      </c>
      <c r="K1070" s="79">
        <v>0</v>
      </c>
      <c r="L1070" s="70">
        <v>212.48000000000002</v>
      </c>
      <c r="M1070" s="132"/>
      <c r="N1070" s="79">
        <v>179.98000000000002</v>
      </c>
      <c r="O1070" s="79">
        <v>32.5</v>
      </c>
      <c r="P1070" s="79">
        <v>212.48000000000002</v>
      </c>
      <c r="Q1070" s="136"/>
      <c r="R1070" s="79">
        <v>179.98</v>
      </c>
      <c r="S1070" s="79">
        <v>32.479999999999997</v>
      </c>
      <c r="T1070" s="79">
        <v>212.45999999999998</v>
      </c>
      <c r="U1070" s="79">
        <v>0</v>
      </c>
      <c r="V1070" s="189">
        <v>212.45999999999998</v>
      </c>
      <c r="X1070" s="79">
        <v>179.98</v>
      </c>
      <c r="Y1070" s="79">
        <v>32.479999999999997</v>
      </c>
      <c r="Z1070" s="79">
        <v>212.46</v>
      </c>
      <c r="AA1070" s="255">
        <v>1.999999999998181E-2</v>
      </c>
      <c r="AC1070" s="254"/>
    </row>
    <row r="1071" spans="1:29" ht="24">
      <c r="A1071" s="67" t="s">
        <v>12551</v>
      </c>
      <c r="B1071" s="65" t="s">
        <v>12552</v>
      </c>
      <c r="C1071" s="71" t="s">
        <v>509</v>
      </c>
      <c r="D1071" s="78">
        <v>1</v>
      </c>
      <c r="E1071" s="79">
        <v>213.36</v>
      </c>
      <c r="F1071" s="70">
        <v>213.36</v>
      </c>
      <c r="G1071" s="320"/>
      <c r="H1071" s="79">
        <v>180.86</v>
      </c>
      <c r="I1071" s="79">
        <v>32.5</v>
      </c>
      <c r="J1071" s="79">
        <v>213.36</v>
      </c>
      <c r="K1071" s="79">
        <v>0</v>
      </c>
      <c r="L1071" s="70">
        <v>213.36</v>
      </c>
      <c r="M1071" s="132"/>
      <c r="N1071" s="79">
        <v>180.86</v>
      </c>
      <c r="O1071" s="79">
        <v>32.5</v>
      </c>
      <c r="P1071" s="79">
        <v>213.36</v>
      </c>
      <c r="Q1071" s="136"/>
      <c r="R1071" s="79">
        <v>180.86</v>
      </c>
      <c r="S1071" s="79">
        <v>32.479999999999997</v>
      </c>
      <c r="T1071" s="79">
        <v>213.34</v>
      </c>
      <c r="U1071" s="79">
        <v>0</v>
      </c>
      <c r="V1071" s="189">
        <v>213.34</v>
      </c>
      <c r="X1071" s="79">
        <v>180.86</v>
      </c>
      <c r="Y1071" s="79">
        <v>32.479999999999997</v>
      </c>
      <c r="Z1071" s="79">
        <v>213.34</v>
      </c>
      <c r="AA1071" s="255">
        <v>2.0000000000010232E-2</v>
      </c>
      <c r="AC1071" s="254"/>
    </row>
    <row r="1072" spans="1:29" ht="24">
      <c r="A1072" s="67" t="s">
        <v>12553</v>
      </c>
      <c r="B1072" s="65" t="s">
        <v>12554</v>
      </c>
      <c r="C1072" s="71" t="s">
        <v>509</v>
      </c>
      <c r="D1072" s="78">
        <v>1</v>
      </c>
      <c r="E1072" s="79">
        <v>294.35000000000002</v>
      </c>
      <c r="F1072" s="70">
        <v>294.35000000000002</v>
      </c>
      <c r="G1072" s="320"/>
      <c r="H1072" s="79">
        <v>261.85000000000002</v>
      </c>
      <c r="I1072" s="79">
        <v>32.5</v>
      </c>
      <c r="J1072" s="79">
        <v>294.35000000000002</v>
      </c>
      <c r="K1072" s="79">
        <v>0</v>
      </c>
      <c r="L1072" s="70">
        <v>294.35000000000002</v>
      </c>
      <c r="M1072" s="132"/>
      <c r="N1072" s="79">
        <v>261.85000000000002</v>
      </c>
      <c r="O1072" s="79">
        <v>32.5</v>
      </c>
      <c r="P1072" s="79">
        <v>294.35000000000002</v>
      </c>
      <c r="Q1072" s="136"/>
      <c r="R1072" s="79">
        <v>261.85000000000002</v>
      </c>
      <c r="S1072" s="79">
        <v>32.479999999999997</v>
      </c>
      <c r="T1072" s="79">
        <v>294.33000000000004</v>
      </c>
      <c r="U1072" s="79">
        <v>0</v>
      </c>
      <c r="V1072" s="189">
        <v>294.33000000000004</v>
      </c>
      <c r="X1072" s="79">
        <v>261.85000000000002</v>
      </c>
      <c r="Y1072" s="79">
        <v>32.479999999999997</v>
      </c>
      <c r="Z1072" s="79">
        <v>294.33</v>
      </c>
      <c r="AA1072" s="255">
        <v>2.0000000000038654E-2</v>
      </c>
      <c r="AC1072" s="254"/>
    </row>
    <row r="1073" spans="1:29" ht="12">
      <c r="A1073" s="489" t="s">
        <v>12555</v>
      </c>
      <c r="B1073" s="490" t="s">
        <v>12556</v>
      </c>
      <c r="C1073" s="491"/>
      <c r="D1073" s="492"/>
      <c r="E1073" s="79"/>
      <c r="F1073" s="63"/>
      <c r="G1073" s="320"/>
      <c r="H1073" s="79"/>
      <c r="I1073" s="79"/>
      <c r="J1073" s="79"/>
      <c r="K1073" s="79"/>
      <c r="L1073" s="70"/>
      <c r="M1073" s="132"/>
      <c r="N1073" s="79"/>
      <c r="O1073" s="79"/>
      <c r="P1073" s="79"/>
      <c r="Q1073" s="136"/>
      <c r="R1073" s="79"/>
      <c r="S1073" s="79"/>
      <c r="T1073" s="79"/>
      <c r="U1073" s="79"/>
      <c r="V1073" s="189"/>
      <c r="X1073" s="79"/>
      <c r="Y1073" s="79"/>
      <c r="Z1073" s="79"/>
      <c r="AA1073" s="255"/>
      <c r="AC1073" s="254"/>
    </row>
    <row r="1074" spans="1:29" ht="24">
      <c r="A1074" s="67" t="s">
        <v>12557</v>
      </c>
      <c r="B1074" s="65" t="s">
        <v>12558</v>
      </c>
      <c r="C1074" s="71" t="s">
        <v>509</v>
      </c>
      <c r="D1074" s="78">
        <v>1</v>
      </c>
      <c r="E1074" s="79">
        <v>159.70999999999998</v>
      </c>
      <c r="F1074" s="70">
        <v>159.71</v>
      </c>
      <c r="G1074" s="320"/>
      <c r="H1074" s="79">
        <v>138.91999999999999</v>
      </c>
      <c r="I1074" s="79">
        <v>20.79</v>
      </c>
      <c r="J1074" s="79">
        <v>159.70999999999998</v>
      </c>
      <c r="K1074" s="79">
        <v>0</v>
      </c>
      <c r="L1074" s="70">
        <v>159.70999999999998</v>
      </c>
      <c r="M1074" s="132"/>
      <c r="N1074" s="79">
        <v>138.91999999999999</v>
      </c>
      <c r="O1074" s="79">
        <v>20.79</v>
      </c>
      <c r="P1074" s="79">
        <v>159.70999999999998</v>
      </c>
      <c r="Q1074" s="136"/>
      <c r="R1074" s="79">
        <v>138.91999999999999</v>
      </c>
      <c r="S1074" s="79">
        <v>20.78</v>
      </c>
      <c r="T1074" s="79">
        <v>159.69999999999999</v>
      </c>
      <c r="U1074" s="79">
        <v>0</v>
      </c>
      <c r="V1074" s="189">
        <v>159.69999999999999</v>
      </c>
      <c r="X1074" s="79">
        <v>138.91999999999999</v>
      </c>
      <c r="Y1074" s="79">
        <v>20.78</v>
      </c>
      <c r="Z1074" s="79">
        <v>159.69999999999999</v>
      </c>
      <c r="AA1074" s="255">
        <v>1.0000000000019327E-2</v>
      </c>
      <c r="AC1074" s="254"/>
    </row>
    <row r="1075" spans="1:29" ht="24">
      <c r="A1075" s="67" t="s">
        <v>12559</v>
      </c>
      <c r="B1075" s="65" t="s">
        <v>12560</v>
      </c>
      <c r="C1075" s="71" t="s">
        <v>509</v>
      </c>
      <c r="D1075" s="78">
        <v>1</v>
      </c>
      <c r="E1075" s="79">
        <v>168.77</v>
      </c>
      <c r="F1075" s="70">
        <v>168.77</v>
      </c>
      <c r="G1075" s="320"/>
      <c r="H1075" s="79">
        <v>147.97999999999999</v>
      </c>
      <c r="I1075" s="79">
        <v>20.79</v>
      </c>
      <c r="J1075" s="79">
        <v>168.76999999999998</v>
      </c>
      <c r="K1075" s="79">
        <v>0</v>
      </c>
      <c r="L1075" s="70">
        <v>168.76999999999998</v>
      </c>
      <c r="M1075" s="132"/>
      <c r="N1075" s="79">
        <v>147.97999999999999</v>
      </c>
      <c r="O1075" s="79">
        <v>20.79</v>
      </c>
      <c r="P1075" s="79">
        <v>168.76999999999998</v>
      </c>
      <c r="Q1075" s="136"/>
      <c r="R1075" s="79">
        <v>147.97999999999999</v>
      </c>
      <c r="S1075" s="79">
        <v>20.78</v>
      </c>
      <c r="T1075" s="79">
        <v>168.76</v>
      </c>
      <c r="U1075" s="79">
        <v>0</v>
      </c>
      <c r="V1075" s="189">
        <v>168.76</v>
      </c>
      <c r="X1075" s="79">
        <v>147.97999999999999</v>
      </c>
      <c r="Y1075" s="79">
        <v>20.78</v>
      </c>
      <c r="Z1075" s="79">
        <v>168.76</v>
      </c>
      <c r="AA1075" s="255">
        <v>1.0000000000019327E-2</v>
      </c>
      <c r="AC1075" s="254"/>
    </row>
    <row r="1076" spans="1:29" ht="24">
      <c r="A1076" s="67" t="s">
        <v>12561</v>
      </c>
      <c r="B1076" s="65" t="s">
        <v>12562</v>
      </c>
      <c r="C1076" s="71" t="s">
        <v>509</v>
      </c>
      <c r="D1076" s="78">
        <v>1</v>
      </c>
      <c r="E1076" s="79">
        <v>72.06</v>
      </c>
      <c r="F1076" s="70">
        <v>72.06</v>
      </c>
      <c r="G1076" s="320"/>
      <c r="H1076" s="79">
        <v>60.6</v>
      </c>
      <c r="I1076" s="79">
        <v>11.46</v>
      </c>
      <c r="J1076" s="79">
        <v>72.06</v>
      </c>
      <c r="K1076" s="79">
        <v>0</v>
      </c>
      <c r="L1076" s="70">
        <v>72.06</v>
      </c>
      <c r="M1076" s="132"/>
      <c r="N1076" s="79">
        <v>60.6</v>
      </c>
      <c r="O1076" s="79">
        <v>11.46</v>
      </c>
      <c r="P1076" s="79">
        <v>72.06</v>
      </c>
      <c r="Q1076" s="136"/>
      <c r="R1076" s="79">
        <v>60.6</v>
      </c>
      <c r="S1076" s="79">
        <v>11.45</v>
      </c>
      <c r="T1076" s="79">
        <v>72.05</v>
      </c>
      <c r="U1076" s="79">
        <v>0</v>
      </c>
      <c r="V1076" s="189">
        <v>72.05</v>
      </c>
      <c r="X1076" s="79">
        <v>60.6</v>
      </c>
      <c r="Y1076" s="79">
        <v>11.45</v>
      </c>
      <c r="Z1076" s="79">
        <v>72.05</v>
      </c>
      <c r="AA1076" s="255">
        <v>1.0000000000005116E-2</v>
      </c>
      <c r="AC1076" s="254"/>
    </row>
    <row r="1077" spans="1:29" ht="12">
      <c r="A1077" s="489" t="s">
        <v>12563</v>
      </c>
      <c r="B1077" s="490" t="s">
        <v>12564</v>
      </c>
      <c r="C1077" s="491"/>
      <c r="D1077" s="492"/>
      <c r="E1077" s="79"/>
      <c r="F1077" s="63"/>
      <c r="G1077" s="320"/>
      <c r="H1077" s="79"/>
      <c r="I1077" s="79"/>
      <c r="J1077" s="79"/>
      <c r="K1077" s="79"/>
      <c r="L1077" s="70"/>
      <c r="M1077" s="132"/>
      <c r="N1077" s="79"/>
      <c r="O1077" s="79"/>
      <c r="P1077" s="79"/>
      <c r="Q1077" s="136"/>
      <c r="R1077" s="79"/>
      <c r="S1077" s="79"/>
      <c r="T1077" s="79"/>
      <c r="U1077" s="79"/>
      <c r="V1077" s="189"/>
      <c r="X1077" s="79"/>
      <c r="Y1077" s="79"/>
      <c r="Z1077" s="79"/>
      <c r="AA1077" s="255"/>
      <c r="AC1077" s="254"/>
    </row>
    <row r="1078" spans="1:29" ht="12">
      <c r="A1078" s="489" t="s">
        <v>12565</v>
      </c>
      <c r="B1078" s="490" t="s">
        <v>12566</v>
      </c>
      <c r="C1078" s="491"/>
      <c r="D1078" s="492"/>
      <c r="E1078" s="79"/>
      <c r="F1078" s="63"/>
      <c r="G1078" s="320"/>
      <c r="H1078" s="79"/>
      <c r="I1078" s="79"/>
      <c r="J1078" s="79"/>
      <c r="K1078" s="79"/>
      <c r="L1078" s="70"/>
      <c r="M1078" s="132"/>
      <c r="N1078" s="79"/>
      <c r="O1078" s="79"/>
      <c r="P1078" s="79"/>
      <c r="Q1078" s="136"/>
      <c r="R1078" s="79"/>
      <c r="S1078" s="79"/>
      <c r="T1078" s="79"/>
      <c r="U1078" s="79"/>
      <c r="V1078" s="189"/>
      <c r="X1078" s="79"/>
      <c r="Y1078" s="79"/>
      <c r="Z1078" s="79"/>
      <c r="AA1078" s="255"/>
      <c r="AC1078" s="254"/>
    </row>
    <row r="1079" spans="1:29" ht="12">
      <c r="A1079" s="67" t="s">
        <v>12567</v>
      </c>
      <c r="B1079" s="65" t="s">
        <v>12568</v>
      </c>
      <c r="C1079" s="71" t="s">
        <v>509</v>
      </c>
      <c r="D1079" s="78">
        <v>1</v>
      </c>
      <c r="E1079" s="79">
        <v>512.39</v>
      </c>
      <c r="F1079" s="70">
        <v>512.39</v>
      </c>
      <c r="G1079" s="320"/>
      <c r="H1079" s="79">
        <v>462.13</v>
      </c>
      <c r="I1079" s="79">
        <v>50.260000000000005</v>
      </c>
      <c r="J1079" s="79">
        <v>512.39</v>
      </c>
      <c r="K1079" s="79">
        <v>0</v>
      </c>
      <c r="L1079" s="70">
        <v>512.39</v>
      </c>
      <c r="M1079" s="132"/>
      <c r="N1079" s="79">
        <v>462.13</v>
      </c>
      <c r="O1079" s="79">
        <v>50.260000000000005</v>
      </c>
      <c r="P1079" s="79">
        <v>512.39</v>
      </c>
      <c r="Q1079" s="136"/>
      <c r="R1079" s="79">
        <v>462.13</v>
      </c>
      <c r="S1079" s="79">
        <v>50.25</v>
      </c>
      <c r="T1079" s="79">
        <v>512.38</v>
      </c>
      <c r="U1079" s="79">
        <v>0</v>
      </c>
      <c r="V1079" s="189">
        <v>512.38</v>
      </c>
      <c r="X1079" s="79">
        <v>462.13</v>
      </c>
      <c r="Y1079" s="79">
        <v>50.25</v>
      </c>
      <c r="Z1079" s="79">
        <v>512.38</v>
      </c>
      <c r="AA1079" s="255">
        <v>9.9999999999909051E-3</v>
      </c>
      <c r="AC1079" s="254"/>
    </row>
    <row r="1080" spans="1:29" ht="12">
      <c r="A1080" s="67" t="s">
        <v>12569</v>
      </c>
      <c r="B1080" s="65" t="s">
        <v>12570</v>
      </c>
      <c r="C1080" s="71" t="s">
        <v>165</v>
      </c>
      <c r="D1080" s="78">
        <v>1</v>
      </c>
      <c r="E1080" s="79">
        <v>176.1</v>
      </c>
      <c r="F1080" s="70">
        <v>176.1</v>
      </c>
      <c r="G1080" s="320"/>
      <c r="H1080" s="79">
        <v>161.01</v>
      </c>
      <c r="I1080" s="79">
        <v>15.09</v>
      </c>
      <c r="J1080" s="79">
        <v>176.1</v>
      </c>
      <c r="K1080" s="79">
        <v>0</v>
      </c>
      <c r="L1080" s="70">
        <v>176.1</v>
      </c>
      <c r="M1080" s="132"/>
      <c r="N1080" s="79">
        <v>161.01</v>
      </c>
      <c r="O1080" s="79">
        <v>15.09</v>
      </c>
      <c r="P1080" s="79">
        <v>176.1</v>
      </c>
      <c r="Q1080" s="136"/>
      <c r="R1080" s="79">
        <v>161.01</v>
      </c>
      <c r="S1080" s="79">
        <v>15.07</v>
      </c>
      <c r="T1080" s="79">
        <v>176.07999999999998</v>
      </c>
      <c r="U1080" s="79">
        <v>0</v>
      </c>
      <c r="V1080" s="189">
        <v>176.07999999999998</v>
      </c>
      <c r="X1080" s="79">
        <v>161.01</v>
      </c>
      <c r="Y1080" s="79">
        <v>15.07</v>
      </c>
      <c r="Z1080" s="79">
        <v>176.08</v>
      </c>
      <c r="AA1080" s="255">
        <v>1.999999999998181E-2</v>
      </c>
      <c r="AC1080" s="254"/>
    </row>
    <row r="1081" spans="1:29" ht="24">
      <c r="A1081" s="67" t="s">
        <v>12571</v>
      </c>
      <c r="B1081" s="65" t="s">
        <v>12572</v>
      </c>
      <c r="C1081" s="71" t="s">
        <v>165</v>
      </c>
      <c r="D1081" s="78">
        <v>1</v>
      </c>
      <c r="E1081" s="79">
        <v>214.16</v>
      </c>
      <c r="F1081" s="70">
        <v>214.16</v>
      </c>
      <c r="G1081" s="320"/>
      <c r="H1081" s="79">
        <v>191.54</v>
      </c>
      <c r="I1081" s="79">
        <v>22.62</v>
      </c>
      <c r="J1081" s="79">
        <v>214.16</v>
      </c>
      <c r="K1081" s="79">
        <v>0</v>
      </c>
      <c r="L1081" s="70">
        <v>214.16</v>
      </c>
      <c r="M1081" s="132"/>
      <c r="N1081" s="79">
        <v>191.54</v>
      </c>
      <c r="O1081" s="79">
        <v>22.62</v>
      </c>
      <c r="P1081" s="79">
        <v>214.16</v>
      </c>
      <c r="Q1081" s="136"/>
      <c r="R1081" s="79">
        <v>191.54</v>
      </c>
      <c r="S1081" s="79">
        <v>22.61</v>
      </c>
      <c r="T1081" s="79">
        <v>214.14999999999998</v>
      </c>
      <c r="U1081" s="79">
        <v>0</v>
      </c>
      <c r="V1081" s="189">
        <v>214.14999999999998</v>
      </c>
      <c r="X1081" s="79">
        <v>191.54</v>
      </c>
      <c r="Y1081" s="79">
        <v>22.61</v>
      </c>
      <c r="Z1081" s="79">
        <v>214.15</v>
      </c>
      <c r="AA1081" s="255">
        <v>9.9999999999909051E-3</v>
      </c>
      <c r="AC1081" s="254"/>
    </row>
    <row r="1082" spans="1:29" ht="12">
      <c r="A1082" s="67" t="s">
        <v>12573</v>
      </c>
      <c r="B1082" s="65" t="s">
        <v>12574</v>
      </c>
      <c r="C1082" s="71" t="s">
        <v>165</v>
      </c>
      <c r="D1082" s="78">
        <v>1</v>
      </c>
      <c r="E1082" s="79">
        <v>432.55</v>
      </c>
      <c r="F1082" s="70">
        <v>432.55</v>
      </c>
      <c r="G1082" s="320"/>
      <c r="H1082" s="79">
        <v>394.87</v>
      </c>
      <c r="I1082" s="79">
        <v>37.68</v>
      </c>
      <c r="J1082" s="79">
        <v>432.55</v>
      </c>
      <c r="K1082" s="79">
        <v>0</v>
      </c>
      <c r="L1082" s="70">
        <v>432.55</v>
      </c>
      <c r="M1082" s="132"/>
      <c r="N1082" s="79">
        <v>394.87</v>
      </c>
      <c r="O1082" s="79">
        <v>37.68</v>
      </c>
      <c r="P1082" s="79">
        <v>432.55</v>
      </c>
      <c r="Q1082" s="136"/>
      <c r="R1082" s="79">
        <v>394.87</v>
      </c>
      <c r="S1082" s="79">
        <v>37.69</v>
      </c>
      <c r="T1082" s="79">
        <v>432.56</v>
      </c>
      <c r="U1082" s="79">
        <v>0</v>
      </c>
      <c r="V1082" s="189">
        <v>432.56</v>
      </c>
      <c r="X1082" s="79">
        <v>394.87</v>
      </c>
      <c r="Y1082" s="79">
        <v>37.69</v>
      </c>
      <c r="Z1082" s="79">
        <v>432.56</v>
      </c>
      <c r="AA1082" s="255">
        <v>-9.9999999999909051E-3</v>
      </c>
      <c r="AC1082" s="254"/>
    </row>
    <row r="1083" spans="1:29" ht="12">
      <c r="A1083" s="67" t="s">
        <v>12575</v>
      </c>
      <c r="B1083" s="65" t="s">
        <v>12576</v>
      </c>
      <c r="C1083" s="71" t="s">
        <v>165</v>
      </c>
      <c r="D1083" s="78">
        <v>1</v>
      </c>
      <c r="E1083" s="79">
        <v>85.03</v>
      </c>
      <c r="F1083" s="70">
        <v>85.03</v>
      </c>
      <c r="G1083" s="320"/>
      <c r="H1083" s="79">
        <v>77.5</v>
      </c>
      <c r="I1083" s="79">
        <v>7.53</v>
      </c>
      <c r="J1083" s="79">
        <v>85.03</v>
      </c>
      <c r="K1083" s="79">
        <v>0</v>
      </c>
      <c r="L1083" s="70">
        <v>85.03</v>
      </c>
      <c r="M1083" s="132"/>
      <c r="N1083" s="79">
        <v>77.5</v>
      </c>
      <c r="O1083" s="79">
        <v>7.53</v>
      </c>
      <c r="P1083" s="79">
        <v>85.03</v>
      </c>
      <c r="Q1083" s="136"/>
      <c r="R1083" s="79">
        <v>77.5</v>
      </c>
      <c r="S1083" s="79">
        <v>7.54</v>
      </c>
      <c r="T1083" s="79">
        <v>85.04</v>
      </c>
      <c r="U1083" s="79">
        <v>0</v>
      </c>
      <c r="V1083" s="189">
        <v>85.04</v>
      </c>
      <c r="X1083" s="79">
        <v>77.5</v>
      </c>
      <c r="Y1083" s="79">
        <v>7.54</v>
      </c>
      <c r="Z1083" s="79">
        <v>85.04</v>
      </c>
      <c r="AA1083" s="255">
        <v>-1.0000000000005116E-2</v>
      </c>
      <c r="AC1083" s="254"/>
    </row>
    <row r="1084" spans="1:29" ht="12">
      <c r="A1084" s="67" t="s">
        <v>12577</v>
      </c>
      <c r="B1084" s="65" t="s">
        <v>12578</v>
      </c>
      <c r="C1084" s="71" t="s">
        <v>165</v>
      </c>
      <c r="D1084" s="78">
        <v>1</v>
      </c>
      <c r="E1084" s="79">
        <v>98.42</v>
      </c>
      <c r="F1084" s="70">
        <v>98.42</v>
      </c>
      <c r="G1084" s="320"/>
      <c r="H1084" s="79">
        <v>90.89</v>
      </c>
      <c r="I1084" s="79">
        <v>7.53</v>
      </c>
      <c r="J1084" s="79">
        <v>98.42</v>
      </c>
      <c r="K1084" s="79">
        <v>0</v>
      </c>
      <c r="L1084" s="70">
        <v>98.42</v>
      </c>
      <c r="M1084" s="132"/>
      <c r="N1084" s="79">
        <v>90.89</v>
      </c>
      <c r="O1084" s="79">
        <v>7.53</v>
      </c>
      <c r="P1084" s="79">
        <v>98.42</v>
      </c>
      <c r="Q1084" s="136"/>
      <c r="R1084" s="79">
        <v>90.89</v>
      </c>
      <c r="S1084" s="79">
        <v>7.54</v>
      </c>
      <c r="T1084" s="79">
        <v>98.43</v>
      </c>
      <c r="U1084" s="79">
        <v>0</v>
      </c>
      <c r="V1084" s="189">
        <v>98.43</v>
      </c>
      <c r="X1084" s="79">
        <v>90.89</v>
      </c>
      <c r="Y1084" s="79">
        <v>7.54</v>
      </c>
      <c r="Z1084" s="79">
        <v>98.43</v>
      </c>
      <c r="AA1084" s="255">
        <v>-1.0000000000005116E-2</v>
      </c>
      <c r="AC1084" s="254"/>
    </row>
    <row r="1085" spans="1:29" ht="12">
      <c r="A1085" s="489" t="s">
        <v>12579</v>
      </c>
      <c r="B1085" s="490" t="s">
        <v>12580</v>
      </c>
      <c r="C1085" s="491"/>
      <c r="D1085" s="492"/>
      <c r="E1085" s="79"/>
      <c r="F1085" s="63"/>
      <c r="G1085" s="320"/>
      <c r="H1085" s="79"/>
      <c r="I1085" s="79"/>
      <c r="J1085" s="79"/>
      <c r="K1085" s="79"/>
      <c r="L1085" s="70"/>
      <c r="M1085" s="132"/>
      <c r="N1085" s="79"/>
      <c r="O1085" s="79"/>
      <c r="P1085" s="79"/>
      <c r="Q1085" s="136"/>
      <c r="R1085" s="79"/>
      <c r="S1085" s="79"/>
      <c r="T1085" s="79"/>
      <c r="U1085" s="79"/>
      <c r="V1085" s="189"/>
      <c r="X1085" s="79"/>
      <c r="Y1085" s="79"/>
      <c r="Z1085" s="79"/>
      <c r="AA1085" s="255"/>
      <c r="AC1085" s="254"/>
    </row>
    <row r="1086" spans="1:29" ht="12">
      <c r="A1086" s="67" t="s">
        <v>12581</v>
      </c>
      <c r="B1086" s="65" t="s">
        <v>12582</v>
      </c>
      <c r="C1086" s="71" t="s">
        <v>509</v>
      </c>
      <c r="D1086" s="78">
        <v>1</v>
      </c>
      <c r="E1086" s="79">
        <v>939.33</v>
      </c>
      <c r="F1086" s="70">
        <v>939.33</v>
      </c>
      <c r="G1086" s="320"/>
      <c r="H1086" s="79">
        <v>889.07</v>
      </c>
      <c r="I1086" s="79">
        <v>50.260000000000005</v>
      </c>
      <c r="J1086" s="79">
        <v>939.33</v>
      </c>
      <c r="K1086" s="79">
        <v>0</v>
      </c>
      <c r="L1086" s="70">
        <v>939.33</v>
      </c>
      <c r="M1086" s="132"/>
      <c r="N1086" s="79">
        <v>889.07</v>
      </c>
      <c r="O1086" s="79">
        <v>50.260000000000005</v>
      </c>
      <c r="P1086" s="79">
        <v>939.33</v>
      </c>
      <c r="Q1086" s="136"/>
      <c r="R1086" s="79">
        <v>889.07</v>
      </c>
      <c r="S1086" s="79">
        <v>50.25</v>
      </c>
      <c r="T1086" s="79">
        <v>939.32</v>
      </c>
      <c r="U1086" s="79">
        <v>0</v>
      </c>
      <c r="V1086" s="189">
        <v>939.32</v>
      </c>
      <c r="X1086" s="79">
        <v>889.07</v>
      </c>
      <c r="Y1086" s="79">
        <v>50.25</v>
      </c>
      <c r="Z1086" s="79">
        <v>939.32</v>
      </c>
      <c r="AA1086" s="255">
        <v>9.9999999999909051E-3</v>
      </c>
      <c r="AC1086" s="254"/>
    </row>
    <row r="1087" spans="1:29" ht="12">
      <c r="A1087" s="67" t="s">
        <v>12583</v>
      </c>
      <c r="B1087" s="65" t="s">
        <v>12584</v>
      </c>
      <c r="C1087" s="71" t="s">
        <v>509</v>
      </c>
      <c r="D1087" s="78">
        <v>1</v>
      </c>
      <c r="E1087" s="79">
        <v>1028.27</v>
      </c>
      <c r="F1087" s="70">
        <v>1028.27</v>
      </c>
      <c r="G1087" s="320"/>
      <c r="H1087" s="79">
        <v>978.01</v>
      </c>
      <c r="I1087" s="79">
        <v>50.260000000000005</v>
      </c>
      <c r="J1087" s="79">
        <v>1028.27</v>
      </c>
      <c r="K1087" s="79">
        <v>0</v>
      </c>
      <c r="L1087" s="70">
        <v>1028.27</v>
      </c>
      <c r="M1087" s="132"/>
      <c r="N1087" s="79">
        <v>978.01</v>
      </c>
      <c r="O1087" s="79">
        <v>50.260000000000005</v>
      </c>
      <c r="P1087" s="79">
        <v>1028.27</v>
      </c>
      <c r="Q1087" s="136"/>
      <c r="R1087" s="79">
        <v>978.01</v>
      </c>
      <c r="S1087" s="79">
        <v>50.25</v>
      </c>
      <c r="T1087" s="79">
        <v>1028.26</v>
      </c>
      <c r="U1087" s="79">
        <v>0</v>
      </c>
      <c r="V1087" s="189">
        <v>1028.26</v>
      </c>
      <c r="X1087" s="79">
        <v>978.01</v>
      </c>
      <c r="Y1087" s="79">
        <v>50.25</v>
      </c>
      <c r="Z1087" s="79">
        <v>1028.26</v>
      </c>
      <c r="AA1087" s="255">
        <v>9.9999999999909051E-3</v>
      </c>
      <c r="AC1087" s="254"/>
    </row>
    <row r="1088" spans="1:29" ht="12">
      <c r="A1088" s="67" t="s">
        <v>12585</v>
      </c>
      <c r="B1088" s="65" t="s">
        <v>12586</v>
      </c>
      <c r="C1088" s="71" t="s">
        <v>509</v>
      </c>
      <c r="D1088" s="78">
        <v>1</v>
      </c>
      <c r="E1088" s="79">
        <v>1007.8</v>
      </c>
      <c r="F1088" s="70">
        <v>1007.8</v>
      </c>
      <c r="G1088" s="320"/>
      <c r="H1088" s="79">
        <v>957.54</v>
      </c>
      <c r="I1088" s="79">
        <v>50.260000000000005</v>
      </c>
      <c r="J1088" s="79">
        <v>1007.8</v>
      </c>
      <c r="K1088" s="79">
        <v>0</v>
      </c>
      <c r="L1088" s="70">
        <v>1007.8</v>
      </c>
      <c r="M1088" s="132"/>
      <c r="N1088" s="79">
        <v>957.54</v>
      </c>
      <c r="O1088" s="79">
        <v>50.260000000000005</v>
      </c>
      <c r="P1088" s="79">
        <v>1007.8</v>
      </c>
      <c r="Q1088" s="136"/>
      <c r="R1088" s="79">
        <v>957.54</v>
      </c>
      <c r="S1088" s="79">
        <v>50.25</v>
      </c>
      <c r="T1088" s="79">
        <v>1007.79</v>
      </c>
      <c r="U1088" s="79">
        <v>0</v>
      </c>
      <c r="V1088" s="189">
        <v>1007.79</v>
      </c>
      <c r="X1088" s="79">
        <v>957.54</v>
      </c>
      <c r="Y1088" s="79">
        <v>50.25</v>
      </c>
      <c r="Z1088" s="79">
        <v>1007.79</v>
      </c>
      <c r="AA1088" s="255">
        <v>9.9999999999909051E-3</v>
      </c>
      <c r="AC1088" s="254"/>
    </row>
    <row r="1089" spans="1:29" ht="12">
      <c r="A1089" s="67" t="s">
        <v>12587</v>
      </c>
      <c r="B1089" s="65" t="s">
        <v>12588</v>
      </c>
      <c r="C1089" s="71" t="s">
        <v>509</v>
      </c>
      <c r="D1089" s="78">
        <v>1</v>
      </c>
      <c r="E1089" s="79">
        <v>1127.23</v>
      </c>
      <c r="F1089" s="70">
        <v>1127.23</v>
      </c>
      <c r="G1089" s="320"/>
      <c r="H1089" s="79">
        <v>1076.97</v>
      </c>
      <c r="I1089" s="79">
        <v>50.260000000000005</v>
      </c>
      <c r="J1089" s="79">
        <v>1127.23</v>
      </c>
      <c r="K1089" s="79">
        <v>0</v>
      </c>
      <c r="L1089" s="70">
        <v>1127.23</v>
      </c>
      <c r="M1089" s="132"/>
      <c r="N1089" s="79">
        <v>1076.97</v>
      </c>
      <c r="O1089" s="79">
        <v>50.260000000000005</v>
      </c>
      <c r="P1089" s="79">
        <v>1127.23</v>
      </c>
      <c r="Q1089" s="136"/>
      <c r="R1089" s="79">
        <v>1076.97</v>
      </c>
      <c r="S1089" s="79">
        <v>50.25</v>
      </c>
      <c r="T1089" s="79">
        <v>1127.22</v>
      </c>
      <c r="U1089" s="79">
        <v>0</v>
      </c>
      <c r="V1089" s="189">
        <v>1127.22</v>
      </c>
      <c r="X1089" s="79">
        <v>1076.97</v>
      </c>
      <c r="Y1089" s="79">
        <v>50.25</v>
      </c>
      <c r="Z1089" s="79">
        <v>1127.22</v>
      </c>
      <c r="AA1089" s="255">
        <v>9.9999999999909051E-3</v>
      </c>
      <c r="AC1089" s="254"/>
    </row>
    <row r="1090" spans="1:29" ht="12">
      <c r="A1090" s="67" t="s">
        <v>12589</v>
      </c>
      <c r="B1090" s="65" t="s">
        <v>12590</v>
      </c>
      <c r="C1090" s="71" t="s">
        <v>165</v>
      </c>
      <c r="D1090" s="78">
        <v>1</v>
      </c>
      <c r="E1090" s="79">
        <v>461.28000000000003</v>
      </c>
      <c r="F1090" s="70">
        <v>461.28</v>
      </c>
      <c r="G1090" s="320"/>
      <c r="H1090" s="79">
        <v>423.6</v>
      </c>
      <c r="I1090" s="79">
        <v>37.68</v>
      </c>
      <c r="J1090" s="79">
        <v>461.28000000000003</v>
      </c>
      <c r="K1090" s="79">
        <v>0</v>
      </c>
      <c r="L1090" s="70">
        <v>461.28000000000003</v>
      </c>
      <c r="M1090" s="132"/>
      <c r="N1090" s="79">
        <v>423.6</v>
      </c>
      <c r="O1090" s="79">
        <v>37.68</v>
      </c>
      <c r="P1090" s="79">
        <v>461.28000000000003</v>
      </c>
      <c r="Q1090" s="136"/>
      <c r="R1090" s="79">
        <v>423.6</v>
      </c>
      <c r="S1090" s="79">
        <v>37.69</v>
      </c>
      <c r="T1090" s="79">
        <v>461.29</v>
      </c>
      <c r="U1090" s="79">
        <v>0</v>
      </c>
      <c r="V1090" s="189">
        <v>461.29</v>
      </c>
      <c r="X1090" s="79">
        <v>423.6</v>
      </c>
      <c r="Y1090" s="79">
        <v>37.69</v>
      </c>
      <c r="Z1090" s="79">
        <v>461.29</v>
      </c>
      <c r="AA1090" s="255">
        <v>-1.0000000000047748E-2</v>
      </c>
      <c r="AC1090" s="254"/>
    </row>
    <row r="1091" spans="1:29" ht="12">
      <c r="A1091" s="67" t="s">
        <v>12591</v>
      </c>
      <c r="B1091" s="65" t="s">
        <v>12592</v>
      </c>
      <c r="C1091" s="71" t="s">
        <v>165</v>
      </c>
      <c r="D1091" s="78">
        <v>1</v>
      </c>
      <c r="E1091" s="79">
        <v>529.05999999999995</v>
      </c>
      <c r="F1091" s="70">
        <v>529.05999999999995</v>
      </c>
      <c r="G1091" s="320"/>
      <c r="H1091" s="79">
        <v>491.38</v>
      </c>
      <c r="I1091" s="79">
        <v>37.68</v>
      </c>
      <c r="J1091" s="79">
        <v>529.05999999999995</v>
      </c>
      <c r="K1091" s="79">
        <v>0</v>
      </c>
      <c r="L1091" s="70">
        <v>529.05999999999995</v>
      </c>
      <c r="M1091" s="132"/>
      <c r="N1091" s="79">
        <v>491.38</v>
      </c>
      <c r="O1091" s="79">
        <v>37.68</v>
      </c>
      <c r="P1091" s="79">
        <v>529.05999999999995</v>
      </c>
      <c r="Q1091" s="136"/>
      <c r="R1091" s="79">
        <v>491.38</v>
      </c>
      <c r="S1091" s="79">
        <v>37.69</v>
      </c>
      <c r="T1091" s="79">
        <v>529.06999999999994</v>
      </c>
      <c r="U1091" s="79">
        <v>0</v>
      </c>
      <c r="V1091" s="189">
        <v>529.06999999999994</v>
      </c>
      <c r="X1091" s="79">
        <v>491.38</v>
      </c>
      <c r="Y1091" s="79">
        <v>37.69</v>
      </c>
      <c r="Z1091" s="79">
        <v>529.07000000000005</v>
      </c>
      <c r="AA1091" s="255">
        <v>-1.0000000000104592E-2</v>
      </c>
      <c r="AC1091" s="254"/>
    </row>
    <row r="1092" spans="1:29" ht="12">
      <c r="A1092" s="67" t="s">
        <v>12593</v>
      </c>
      <c r="B1092" s="65" t="s">
        <v>12594</v>
      </c>
      <c r="C1092" s="71" t="s">
        <v>165</v>
      </c>
      <c r="D1092" s="78">
        <v>1</v>
      </c>
      <c r="E1092" s="79">
        <v>79.330000000000013</v>
      </c>
      <c r="F1092" s="70">
        <v>79.33</v>
      </c>
      <c r="G1092" s="320"/>
      <c r="H1092" s="79">
        <v>69.290000000000006</v>
      </c>
      <c r="I1092" s="79">
        <v>10.039999999999999</v>
      </c>
      <c r="J1092" s="79">
        <v>79.330000000000013</v>
      </c>
      <c r="K1092" s="79">
        <v>0</v>
      </c>
      <c r="L1092" s="70">
        <v>79.330000000000013</v>
      </c>
      <c r="M1092" s="132"/>
      <c r="N1092" s="79">
        <v>69.290000000000006</v>
      </c>
      <c r="O1092" s="79">
        <v>10.039999999999999</v>
      </c>
      <c r="P1092" s="79">
        <v>79.330000000000013</v>
      </c>
      <c r="Q1092" s="136"/>
      <c r="R1092" s="79">
        <v>69.290000000000006</v>
      </c>
      <c r="S1092" s="79">
        <v>10.050000000000001</v>
      </c>
      <c r="T1092" s="79">
        <v>79.34</v>
      </c>
      <c r="U1092" s="79">
        <v>0</v>
      </c>
      <c r="V1092" s="189">
        <v>79.34</v>
      </c>
      <c r="X1092" s="79">
        <v>69.290000000000006</v>
      </c>
      <c r="Y1092" s="79">
        <v>10.050000000000001</v>
      </c>
      <c r="Z1092" s="79">
        <v>79.34</v>
      </c>
      <c r="AA1092" s="255">
        <v>-1.0000000000005116E-2</v>
      </c>
      <c r="AC1092" s="254"/>
    </row>
    <row r="1093" spans="1:29" ht="12">
      <c r="A1093" s="489" t="s">
        <v>12595</v>
      </c>
      <c r="B1093" s="490" t="s">
        <v>12596</v>
      </c>
      <c r="C1093" s="491"/>
      <c r="D1093" s="492"/>
      <c r="E1093" s="79"/>
      <c r="F1093" s="63"/>
      <c r="G1093" s="320"/>
      <c r="H1093" s="79"/>
      <c r="I1093" s="79"/>
      <c r="J1093" s="79"/>
      <c r="K1093" s="79"/>
      <c r="L1093" s="70"/>
      <c r="M1093" s="132"/>
      <c r="N1093" s="79"/>
      <c r="O1093" s="79"/>
      <c r="P1093" s="79"/>
      <c r="Q1093" s="136"/>
      <c r="R1093" s="79"/>
      <c r="S1093" s="79"/>
      <c r="T1093" s="79"/>
      <c r="U1093" s="79"/>
      <c r="V1093" s="189"/>
      <c r="X1093" s="79"/>
      <c r="Y1093" s="79"/>
      <c r="Z1093" s="79"/>
      <c r="AA1093" s="255"/>
      <c r="AC1093" s="254"/>
    </row>
    <row r="1094" spans="1:29" ht="12">
      <c r="A1094" s="67" t="s">
        <v>12597</v>
      </c>
      <c r="B1094" s="65" t="s">
        <v>12598</v>
      </c>
      <c r="C1094" s="71" t="s">
        <v>509</v>
      </c>
      <c r="D1094" s="78">
        <v>1</v>
      </c>
      <c r="E1094" s="79">
        <v>315.67</v>
      </c>
      <c r="F1094" s="70">
        <v>315.67</v>
      </c>
      <c r="G1094" s="320"/>
      <c r="H1094" s="79">
        <v>270.34000000000003</v>
      </c>
      <c r="I1094" s="79">
        <v>45.33</v>
      </c>
      <c r="J1094" s="79">
        <v>315.67</v>
      </c>
      <c r="K1094" s="79">
        <v>0</v>
      </c>
      <c r="L1094" s="70">
        <v>315.67</v>
      </c>
      <c r="M1094" s="132"/>
      <c r="N1094" s="79">
        <v>270.34000000000003</v>
      </c>
      <c r="O1094" s="79">
        <v>45.33</v>
      </c>
      <c r="P1094" s="79">
        <v>315.67</v>
      </c>
      <c r="Q1094" s="136"/>
      <c r="R1094" s="79">
        <v>270.33999999999997</v>
      </c>
      <c r="S1094" s="79">
        <v>45.32</v>
      </c>
      <c r="T1094" s="79">
        <v>315.65999999999997</v>
      </c>
      <c r="U1094" s="79">
        <v>0</v>
      </c>
      <c r="V1094" s="189">
        <v>315.65999999999997</v>
      </c>
      <c r="X1094" s="79">
        <v>270.33999999999997</v>
      </c>
      <c r="Y1094" s="79">
        <v>45.32</v>
      </c>
      <c r="Z1094" s="79">
        <v>315.66000000000003</v>
      </c>
      <c r="AA1094" s="255">
        <v>9.9999999999909051E-3</v>
      </c>
      <c r="AC1094" s="254"/>
    </row>
    <row r="1095" spans="1:29" ht="12">
      <c r="A1095" s="67" t="s">
        <v>12599</v>
      </c>
      <c r="B1095" s="65" t="s">
        <v>12600</v>
      </c>
      <c r="C1095" s="71" t="s">
        <v>509</v>
      </c>
      <c r="D1095" s="78">
        <v>1</v>
      </c>
      <c r="E1095" s="79">
        <v>109.37</v>
      </c>
      <c r="F1095" s="70">
        <v>109.37</v>
      </c>
      <c r="G1095" s="320"/>
      <c r="H1095" s="79">
        <v>64.040000000000006</v>
      </c>
      <c r="I1095" s="79">
        <v>45.33</v>
      </c>
      <c r="J1095" s="79">
        <v>109.37</v>
      </c>
      <c r="K1095" s="79">
        <v>0</v>
      </c>
      <c r="L1095" s="70">
        <v>109.37</v>
      </c>
      <c r="M1095" s="132"/>
      <c r="N1095" s="79">
        <v>64.040000000000006</v>
      </c>
      <c r="O1095" s="79">
        <v>45.33</v>
      </c>
      <c r="P1095" s="79">
        <v>109.37</v>
      </c>
      <c r="Q1095" s="136"/>
      <c r="R1095" s="79">
        <v>64.040000000000006</v>
      </c>
      <c r="S1095" s="79">
        <v>45.32</v>
      </c>
      <c r="T1095" s="79">
        <v>109.36000000000001</v>
      </c>
      <c r="U1095" s="79">
        <v>0</v>
      </c>
      <c r="V1095" s="189">
        <v>109.36000000000001</v>
      </c>
      <c r="X1095" s="79">
        <v>64.040000000000006</v>
      </c>
      <c r="Y1095" s="79">
        <v>45.32</v>
      </c>
      <c r="Z1095" s="79">
        <v>109.36</v>
      </c>
      <c r="AA1095" s="255">
        <v>1.0000000000005116E-2</v>
      </c>
      <c r="AC1095" s="254"/>
    </row>
    <row r="1096" spans="1:29" ht="12">
      <c r="A1096" s="67" t="s">
        <v>12601</v>
      </c>
      <c r="B1096" s="65" t="s">
        <v>12602</v>
      </c>
      <c r="C1096" s="71" t="s">
        <v>165</v>
      </c>
      <c r="D1096" s="78">
        <v>1</v>
      </c>
      <c r="E1096" s="79">
        <v>22.330000000000002</v>
      </c>
      <c r="F1096" s="70">
        <v>22.33</v>
      </c>
      <c r="G1096" s="320"/>
      <c r="H1096" s="79">
        <v>8.73</v>
      </c>
      <c r="I1096" s="79">
        <v>13.6</v>
      </c>
      <c r="J1096" s="79">
        <v>22.33</v>
      </c>
      <c r="K1096" s="79">
        <v>0</v>
      </c>
      <c r="L1096" s="70">
        <v>22.33</v>
      </c>
      <c r="M1096" s="132"/>
      <c r="N1096" s="79">
        <v>8.73</v>
      </c>
      <c r="O1096" s="79">
        <v>13.6</v>
      </c>
      <c r="P1096" s="79">
        <v>22.33</v>
      </c>
      <c r="Q1096" s="136"/>
      <c r="R1096" s="79">
        <v>8.73</v>
      </c>
      <c r="S1096" s="79">
        <v>13.59</v>
      </c>
      <c r="T1096" s="79">
        <v>22.32</v>
      </c>
      <c r="U1096" s="79">
        <v>0</v>
      </c>
      <c r="V1096" s="189">
        <v>22.32</v>
      </c>
      <c r="X1096" s="79">
        <v>8.73</v>
      </c>
      <c r="Y1096" s="79">
        <v>13.59</v>
      </c>
      <c r="Z1096" s="79">
        <v>22.32</v>
      </c>
      <c r="AA1096" s="255">
        <v>9.9999999999980105E-3</v>
      </c>
      <c r="AC1096" s="254"/>
    </row>
    <row r="1097" spans="1:29" ht="12">
      <c r="A1097" s="67" t="s">
        <v>12603</v>
      </c>
      <c r="B1097" s="65" t="s">
        <v>12604</v>
      </c>
      <c r="C1097" s="71" t="s">
        <v>165</v>
      </c>
      <c r="D1097" s="78">
        <v>1</v>
      </c>
      <c r="E1097" s="79">
        <v>61.75</v>
      </c>
      <c r="F1097" s="70">
        <v>61.75</v>
      </c>
      <c r="G1097" s="320"/>
      <c r="H1097" s="79">
        <v>54.97</v>
      </c>
      <c r="I1097" s="79">
        <v>6.7799999999999994</v>
      </c>
      <c r="J1097" s="79">
        <v>61.75</v>
      </c>
      <c r="K1097" s="79">
        <v>0</v>
      </c>
      <c r="L1097" s="70">
        <v>61.75</v>
      </c>
      <c r="M1097" s="132"/>
      <c r="N1097" s="79">
        <v>54.97</v>
      </c>
      <c r="O1097" s="79">
        <v>6.7799999999999994</v>
      </c>
      <c r="P1097" s="79">
        <v>61.75</v>
      </c>
      <c r="Q1097" s="136"/>
      <c r="R1097" s="79">
        <v>54.97</v>
      </c>
      <c r="S1097" s="79">
        <v>6.8</v>
      </c>
      <c r="T1097" s="79">
        <v>61.769999999999996</v>
      </c>
      <c r="U1097" s="79">
        <v>0</v>
      </c>
      <c r="V1097" s="189">
        <v>61.769999999999996</v>
      </c>
      <c r="X1097" s="79">
        <v>54.97</v>
      </c>
      <c r="Y1097" s="79">
        <v>6.8</v>
      </c>
      <c r="Z1097" s="79">
        <v>61.77</v>
      </c>
      <c r="AA1097" s="255">
        <v>-2.0000000000003126E-2</v>
      </c>
      <c r="AC1097" s="254"/>
    </row>
    <row r="1098" spans="1:29" ht="12">
      <c r="A1098" s="67" t="s">
        <v>12605</v>
      </c>
      <c r="B1098" s="65" t="s">
        <v>12606</v>
      </c>
      <c r="C1098" s="71" t="s">
        <v>509</v>
      </c>
      <c r="D1098" s="78">
        <v>1</v>
      </c>
      <c r="E1098" s="79">
        <v>92.76</v>
      </c>
      <c r="F1098" s="70">
        <v>92.76</v>
      </c>
      <c r="G1098" s="320"/>
      <c r="H1098" s="79">
        <v>72.63</v>
      </c>
      <c r="I1098" s="79">
        <v>20.130000000000003</v>
      </c>
      <c r="J1098" s="79">
        <v>92.759999999999991</v>
      </c>
      <c r="K1098" s="79">
        <v>0</v>
      </c>
      <c r="L1098" s="70">
        <v>92.759999999999991</v>
      </c>
      <c r="M1098" s="132"/>
      <c r="N1098" s="79">
        <v>72.63</v>
      </c>
      <c r="O1098" s="79">
        <v>20.130000000000003</v>
      </c>
      <c r="P1098" s="79">
        <v>92.759999999999991</v>
      </c>
      <c r="Q1098" s="136"/>
      <c r="R1098" s="79">
        <v>72.63</v>
      </c>
      <c r="S1098" s="79">
        <v>20.14</v>
      </c>
      <c r="T1098" s="79">
        <v>92.77</v>
      </c>
      <c r="U1098" s="79">
        <v>0</v>
      </c>
      <c r="V1098" s="189">
        <v>92.77</v>
      </c>
      <c r="X1098" s="79">
        <v>72.63</v>
      </c>
      <c r="Y1098" s="79">
        <v>20.14</v>
      </c>
      <c r="Z1098" s="79">
        <v>92.77</v>
      </c>
      <c r="AA1098" s="255">
        <v>-9.9999999999909051E-3</v>
      </c>
      <c r="AC1098" s="254"/>
    </row>
    <row r="1099" spans="1:29" ht="12">
      <c r="A1099" s="67" t="s">
        <v>12607</v>
      </c>
      <c r="B1099" s="65" t="s">
        <v>12608</v>
      </c>
      <c r="C1099" s="71" t="s">
        <v>165</v>
      </c>
      <c r="D1099" s="78">
        <v>1</v>
      </c>
      <c r="E1099" s="79">
        <v>24.369999999999997</v>
      </c>
      <c r="F1099" s="70">
        <v>24.37</v>
      </c>
      <c r="G1099" s="320"/>
      <c r="H1099" s="79">
        <v>17.59</v>
      </c>
      <c r="I1099" s="79">
        <v>6.7799999999999994</v>
      </c>
      <c r="J1099" s="79">
        <v>24.369999999999997</v>
      </c>
      <c r="K1099" s="79">
        <v>0</v>
      </c>
      <c r="L1099" s="70">
        <v>24.369999999999997</v>
      </c>
      <c r="M1099" s="132"/>
      <c r="N1099" s="79">
        <v>17.59</v>
      </c>
      <c r="O1099" s="79">
        <v>6.7799999999999994</v>
      </c>
      <c r="P1099" s="79">
        <v>24.369999999999997</v>
      </c>
      <c r="Q1099" s="136"/>
      <c r="R1099" s="79">
        <v>17.59</v>
      </c>
      <c r="S1099" s="79">
        <v>6.8</v>
      </c>
      <c r="T1099" s="79">
        <v>24.39</v>
      </c>
      <c r="U1099" s="79">
        <v>0</v>
      </c>
      <c r="V1099" s="189">
        <v>24.39</v>
      </c>
      <c r="X1099" s="79">
        <v>17.59</v>
      </c>
      <c r="Y1099" s="79">
        <v>6.8</v>
      </c>
      <c r="Z1099" s="79">
        <v>24.39</v>
      </c>
      <c r="AA1099" s="255">
        <v>-1.9999999999999574E-2</v>
      </c>
      <c r="AC1099" s="254"/>
    </row>
    <row r="1100" spans="1:29" ht="12">
      <c r="A1100" s="67" t="s">
        <v>12609</v>
      </c>
      <c r="B1100" s="65" t="s">
        <v>12610</v>
      </c>
      <c r="C1100" s="71" t="s">
        <v>165</v>
      </c>
      <c r="D1100" s="78">
        <v>1</v>
      </c>
      <c r="E1100" s="79">
        <v>107.44</v>
      </c>
      <c r="F1100" s="70">
        <v>107.44</v>
      </c>
      <c r="G1100" s="320"/>
      <c r="H1100" s="79">
        <v>93.84</v>
      </c>
      <c r="I1100" s="79">
        <v>13.6</v>
      </c>
      <c r="J1100" s="79">
        <v>107.44</v>
      </c>
      <c r="K1100" s="79">
        <v>0</v>
      </c>
      <c r="L1100" s="70">
        <v>107.44</v>
      </c>
      <c r="M1100" s="132"/>
      <c r="N1100" s="79">
        <v>93.84</v>
      </c>
      <c r="O1100" s="79">
        <v>13.6</v>
      </c>
      <c r="P1100" s="79">
        <v>107.44</v>
      </c>
      <c r="Q1100" s="136"/>
      <c r="R1100" s="79">
        <v>93.84</v>
      </c>
      <c r="S1100" s="79">
        <v>13.59</v>
      </c>
      <c r="T1100" s="79">
        <v>107.43</v>
      </c>
      <c r="U1100" s="79">
        <v>0</v>
      </c>
      <c r="V1100" s="189">
        <v>107.43</v>
      </c>
      <c r="X1100" s="79">
        <v>93.84</v>
      </c>
      <c r="Y1100" s="79">
        <v>13.59</v>
      </c>
      <c r="Z1100" s="79">
        <v>107.43</v>
      </c>
      <c r="AA1100" s="255">
        <v>9.9999999999909051E-3</v>
      </c>
      <c r="AC1100" s="254"/>
    </row>
    <row r="1101" spans="1:29" ht="12">
      <c r="A1101" s="489" t="s">
        <v>12611</v>
      </c>
      <c r="B1101" s="490" t="s">
        <v>12612</v>
      </c>
      <c r="C1101" s="491"/>
      <c r="D1101" s="492"/>
      <c r="E1101" s="79"/>
      <c r="F1101" s="63"/>
      <c r="G1101" s="320"/>
      <c r="H1101" s="79"/>
      <c r="I1101" s="79"/>
      <c r="J1101" s="79"/>
      <c r="K1101" s="79"/>
      <c r="L1101" s="70"/>
      <c r="M1101" s="132"/>
      <c r="N1101" s="79"/>
      <c r="O1101" s="79"/>
      <c r="P1101" s="79"/>
      <c r="Q1101" s="136"/>
      <c r="R1101" s="79"/>
      <c r="S1101" s="79"/>
      <c r="T1101" s="79"/>
      <c r="U1101" s="79"/>
      <c r="V1101" s="189"/>
      <c r="X1101" s="79"/>
      <c r="Y1101" s="79"/>
      <c r="Z1101" s="79"/>
      <c r="AA1101" s="255"/>
      <c r="AC1101" s="254"/>
    </row>
    <row r="1102" spans="1:29" ht="12">
      <c r="A1102" s="67" t="s">
        <v>12613</v>
      </c>
      <c r="B1102" s="65" t="s">
        <v>12614</v>
      </c>
      <c r="C1102" s="71" t="s">
        <v>509</v>
      </c>
      <c r="D1102" s="78">
        <v>1</v>
      </c>
      <c r="E1102" s="79">
        <v>70.31</v>
      </c>
      <c r="F1102" s="70">
        <v>70.31</v>
      </c>
      <c r="G1102" s="320"/>
      <c r="H1102" s="79">
        <v>24.98</v>
      </c>
      <c r="I1102" s="79">
        <v>45.33</v>
      </c>
      <c r="J1102" s="79">
        <v>70.31</v>
      </c>
      <c r="K1102" s="79">
        <v>0</v>
      </c>
      <c r="L1102" s="70">
        <v>70.31</v>
      </c>
      <c r="M1102" s="132"/>
      <c r="N1102" s="79">
        <v>24.98</v>
      </c>
      <c r="O1102" s="79">
        <v>45.33</v>
      </c>
      <c r="P1102" s="79">
        <v>70.31</v>
      </c>
      <c r="Q1102" s="136"/>
      <c r="R1102" s="79">
        <v>24.98</v>
      </c>
      <c r="S1102" s="79">
        <v>45.32</v>
      </c>
      <c r="T1102" s="79">
        <v>70.3</v>
      </c>
      <c r="U1102" s="79">
        <v>0</v>
      </c>
      <c r="V1102" s="189">
        <v>70.3</v>
      </c>
      <c r="X1102" s="79">
        <v>24.98</v>
      </c>
      <c r="Y1102" s="79">
        <v>45.32</v>
      </c>
      <c r="Z1102" s="79">
        <v>70.3</v>
      </c>
      <c r="AA1102" s="255">
        <v>1.0000000000005116E-2</v>
      </c>
      <c r="AC1102" s="254"/>
    </row>
    <row r="1103" spans="1:29" ht="12">
      <c r="A1103" s="489" t="s">
        <v>12615</v>
      </c>
      <c r="B1103" s="490" t="s">
        <v>12616</v>
      </c>
      <c r="C1103" s="491"/>
      <c r="D1103" s="492"/>
      <c r="E1103" s="79"/>
      <c r="F1103" s="63"/>
      <c r="G1103" s="320"/>
      <c r="H1103" s="79"/>
      <c r="I1103" s="79"/>
      <c r="J1103" s="79"/>
      <c r="K1103" s="79"/>
      <c r="L1103" s="70"/>
      <c r="M1103" s="132"/>
      <c r="N1103" s="79"/>
      <c r="O1103" s="79"/>
      <c r="P1103" s="79"/>
      <c r="Q1103" s="136"/>
      <c r="R1103" s="79"/>
      <c r="S1103" s="79"/>
      <c r="T1103" s="79"/>
      <c r="U1103" s="79"/>
      <c r="V1103" s="189"/>
      <c r="X1103" s="79"/>
      <c r="Y1103" s="79"/>
      <c r="Z1103" s="79"/>
      <c r="AA1103" s="255"/>
      <c r="AC1103" s="254"/>
    </row>
    <row r="1104" spans="1:29" ht="12">
      <c r="A1104" s="489" t="s">
        <v>12617</v>
      </c>
      <c r="B1104" s="490" t="s">
        <v>12618</v>
      </c>
      <c r="C1104" s="491"/>
      <c r="D1104" s="492"/>
      <c r="E1104" s="79"/>
      <c r="F1104" s="63"/>
      <c r="G1104" s="320"/>
      <c r="H1104" s="79"/>
      <c r="I1104" s="79"/>
      <c r="J1104" s="79"/>
      <c r="K1104" s="79"/>
      <c r="L1104" s="70"/>
      <c r="M1104" s="132"/>
      <c r="N1104" s="79"/>
      <c r="O1104" s="79"/>
      <c r="P1104" s="79"/>
      <c r="Q1104" s="136"/>
      <c r="R1104" s="79"/>
      <c r="S1104" s="79"/>
      <c r="T1104" s="79"/>
      <c r="U1104" s="79"/>
      <c r="V1104" s="189"/>
      <c r="X1104" s="79"/>
      <c r="Y1104" s="79"/>
      <c r="Z1104" s="79"/>
      <c r="AA1104" s="255"/>
      <c r="AC1104" s="254"/>
    </row>
    <row r="1105" spans="1:29" ht="12">
      <c r="A1105" s="67" t="s">
        <v>12619</v>
      </c>
      <c r="B1105" s="65" t="s">
        <v>12620</v>
      </c>
      <c r="C1105" s="71" t="s">
        <v>509</v>
      </c>
      <c r="D1105" s="78">
        <v>1</v>
      </c>
      <c r="E1105" s="79">
        <v>182.25</v>
      </c>
      <c r="F1105" s="70">
        <v>182.25</v>
      </c>
      <c r="G1105" s="320"/>
      <c r="H1105" s="79">
        <v>104.47</v>
      </c>
      <c r="I1105" s="79">
        <v>77.78</v>
      </c>
      <c r="J1105" s="79">
        <v>182.25</v>
      </c>
      <c r="K1105" s="79">
        <v>0</v>
      </c>
      <c r="L1105" s="70">
        <v>182.25</v>
      </c>
      <c r="M1105" s="132"/>
      <c r="N1105" s="79">
        <v>104.47</v>
      </c>
      <c r="O1105" s="79">
        <v>77.78</v>
      </c>
      <c r="P1105" s="79">
        <v>182.25</v>
      </c>
      <c r="Q1105" s="136"/>
      <c r="R1105" s="79">
        <v>104.47</v>
      </c>
      <c r="S1105" s="79">
        <v>77.790000000000006</v>
      </c>
      <c r="T1105" s="79">
        <v>182.26</v>
      </c>
      <c r="U1105" s="79">
        <v>0</v>
      </c>
      <c r="V1105" s="189">
        <v>182.26</v>
      </c>
      <c r="X1105" s="79">
        <v>104.47</v>
      </c>
      <c r="Y1105" s="79">
        <v>77.790000000000006</v>
      </c>
      <c r="Z1105" s="79">
        <v>182.26</v>
      </c>
      <c r="AA1105" s="255">
        <v>-9.9999999999909051E-3</v>
      </c>
      <c r="AC1105" s="254"/>
    </row>
    <row r="1106" spans="1:29" ht="12">
      <c r="A1106" s="489" t="s">
        <v>12621</v>
      </c>
      <c r="B1106" s="490" t="s">
        <v>12622</v>
      </c>
      <c r="C1106" s="491"/>
      <c r="D1106" s="492"/>
      <c r="E1106" s="79"/>
      <c r="F1106" s="63"/>
      <c r="G1106" s="320"/>
      <c r="H1106" s="79"/>
      <c r="I1106" s="79"/>
      <c r="J1106" s="79"/>
      <c r="K1106" s="79"/>
      <c r="L1106" s="70"/>
      <c r="M1106" s="132"/>
      <c r="N1106" s="79"/>
      <c r="O1106" s="79"/>
      <c r="P1106" s="79"/>
      <c r="Q1106" s="136"/>
      <c r="R1106" s="79"/>
      <c r="S1106" s="79"/>
      <c r="T1106" s="79"/>
      <c r="U1106" s="79"/>
      <c r="V1106" s="189"/>
      <c r="X1106" s="79"/>
      <c r="Y1106" s="79"/>
      <c r="Z1106" s="79"/>
      <c r="AA1106" s="255"/>
      <c r="AC1106" s="254"/>
    </row>
    <row r="1107" spans="1:29" ht="12">
      <c r="A1107" s="67" t="s">
        <v>12623</v>
      </c>
      <c r="B1107" s="65" t="s">
        <v>12624</v>
      </c>
      <c r="C1107" s="71" t="s">
        <v>509</v>
      </c>
      <c r="D1107" s="78">
        <v>1</v>
      </c>
      <c r="E1107" s="79">
        <v>750.06999999999994</v>
      </c>
      <c r="F1107" s="70">
        <v>750.07</v>
      </c>
      <c r="G1107" s="320"/>
      <c r="H1107" s="79">
        <v>750.06999999999994</v>
      </c>
      <c r="I1107" s="79">
        <v>0</v>
      </c>
      <c r="J1107" s="79">
        <v>750.06999999999994</v>
      </c>
      <c r="K1107" s="79">
        <v>0</v>
      </c>
      <c r="L1107" s="70">
        <v>750.06999999999994</v>
      </c>
      <c r="M1107" s="132"/>
      <c r="N1107" s="79">
        <v>750.06999999999994</v>
      </c>
      <c r="O1107" s="79"/>
      <c r="P1107" s="79">
        <v>750.06999999999994</v>
      </c>
      <c r="Q1107" s="136"/>
      <c r="R1107" s="79">
        <v>750.07</v>
      </c>
      <c r="S1107" s="79"/>
      <c r="T1107" s="79">
        <v>750.07</v>
      </c>
      <c r="U1107" s="79">
        <v>0</v>
      </c>
      <c r="V1107" s="189">
        <v>750.07</v>
      </c>
      <c r="X1107" s="79">
        <v>750.07</v>
      </c>
      <c r="Y1107" s="79"/>
      <c r="Z1107" s="79">
        <v>750.07</v>
      </c>
      <c r="AA1107" s="255">
        <v>0</v>
      </c>
      <c r="AC1107" s="254"/>
    </row>
    <row r="1108" spans="1:29" ht="12">
      <c r="A1108" s="489" t="s">
        <v>12625</v>
      </c>
      <c r="B1108" s="490" t="s">
        <v>12626</v>
      </c>
      <c r="C1108" s="491"/>
      <c r="D1108" s="492"/>
      <c r="E1108" s="79"/>
      <c r="F1108" s="63"/>
      <c r="G1108" s="320"/>
      <c r="H1108" s="79"/>
      <c r="I1108" s="79"/>
      <c r="J1108" s="79"/>
      <c r="K1108" s="79"/>
      <c r="L1108" s="70"/>
      <c r="M1108" s="132"/>
      <c r="N1108" s="79"/>
      <c r="O1108" s="79"/>
      <c r="P1108" s="79"/>
      <c r="Q1108" s="136"/>
      <c r="R1108" s="79"/>
      <c r="S1108" s="79"/>
      <c r="T1108" s="79"/>
      <c r="U1108" s="79"/>
      <c r="V1108" s="189"/>
      <c r="X1108" s="79"/>
      <c r="Y1108" s="79"/>
      <c r="Z1108" s="79"/>
      <c r="AA1108" s="255"/>
      <c r="AC1108" s="254"/>
    </row>
    <row r="1109" spans="1:29" ht="12">
      <c r="A1109" s="67" t="s">
        <v>12627</v>
      </c>
      <c r="B1109" s="65" t="s">
        <v>12628</v>
      </c>
      <c r="C1109" s="71" t="s">
        <v>509</v>
      </c>
      <c r="D1109" s="78">
        <v>1</v>
      </c>
      <c r="E1109" s="79">
        <v>421.33</v>
      </c>
      <c r="F1109" s="70">
        <v>421.33</v>
      </c>
      <c r="G1109" s="320"/>
      <c r="H1109" s="79">
        <v>395.75</v>
      </c>
      <c r="I1109" s="79">
        <v>25.58</v>
      </c>
      <c r="J1109" s="79">
        <v>421.33</v>
      </c>
      <c r="K1109" s="79">
        <v>0</v>
      </c>
      <c r="L1109" s="70">
        <v>421.33</v>
      </c>
      <c r="M1109" s="132"/>
      <c r="N1109" s="79">
        <v>395.75</v>
      </c>
      <c r="O1109" s="79">
        <v>25.58</v>
      </c>
      <c r="P1109" s="79">
        <v>421.33</v>
      </c>
      <c r="Q1109" s="136"/>
      <c r="R1109" s="79">
        <v>395.75</v>
      </c>
      <c r="S1109" s="79">
        <v>25.57</v>
      </c>
      <c r="T1109" s="79">
        <v>421.32</v>
      </c>
      <c r="U1109" s="79">
        <v>0</v>
      </c>
      <c r="V1109" s="189">
        <v>421.32</v>
      </c>
      <c r="X1109" s="79">
        <v>395.75</v>
      </c>
      <c r="Y1109" s="79">
        <v>25.57</v>
      </c>
      <c r="Z1109" s="79">
        <v>421.32</v>
      </c>
      <c r="AA1109" s="255">
        <v>9.9999999999909051E-3</v>
      </c>
      <c r="AC1109" s="254"/>
    </row>
    <row r="1110" spans="1:29" ht="12">
      <c r="A1110" s="489" t="s">
        <v>12629</v>
      </c>
      <c r="B1110" s="490" t="s">
        <v>12630</v>
      </c>
      <c r="C1110" s="491"/>
      <c r="D1110" s="492"/>
      <c r="E1110" s="79"/>
      <c r="F1110" s="63"/>
      <c r="G1110" s="320"/>
      <c r="H1110" s="79"/>
      <c r="I1110" s="79"/>
      <c r="J1110" s="79"/>
      <c r="K1110" s="79"/>
      <c r="L1110" s="70"/>
      <c r="M1110" s="132"/>
      <c r="N1110" s="79"/>
      <c r="O1110" s="79"/>
      <c r="P1110" s="79"/>
      <c r="Q1110" s="136"/>
      <c r="R1110" s="79"/>
      <c r="S1110" s="79"/>
      <c r="T1110" s="79"/>
      <c r="U1110" s="79"/>
      <c r="V1110" s="189"/>
      <c r="X1110" s="79"/>
      <c r="Y1110" s="79"/>
      <c r="Z1110" s="79"/>
      <c r="AA1110" s="255"/>
      <c r="AC1110" s="254"/>
    </row>
    <row r="1111" spans="1:29" ht="12">
      <c r="A1111" s="67" t="s">
        <v>12631</v>
      </c>
      <c r="B1111" s="65" t="s">
        <v>12632</v>
      </c>
      <c r="C1111" s="71" t="s">
        <v>165</v>
      </c>
      <c r="D1111" s="78">
        <v>1</v>
      </c>
      <c r="E1111" s="79">
        <v>46.69</v>
      </c>
      <c r="F1111" s="70">
        <v>46.69</v>
      </c>
      <c r="G1111" s="320"/>
      <c r="H1111" s="79">
        <v>29.71</v>
      </c>
      <c r="I1111" s="79">
        <v>16.98</v>
      </c>
      <c r="J1111" s="79">
        <v>46.69</v>
      </c>
      <c r="K1111" s="79">
        <v>0</v>
      </c>
      <c r="L1111" s="70">
        <v>46.69</v>
      </c>
      <c r="M1111" s="132"/>
      <c r="N1111" s="79">
        <v>29.71</v>
      </c>
      <c r="O1111" s="79">
        <v>16.98</v>
      </c>
      <c r="P1111" s="79">
        <v>46.69</v>
      </c>
      <c r="Q1111" s="136"/>
      <c r="R1111" s="79">
        <v>29.71</v>
      </c>
      <c r="S1111" s="79">
        <v>16.98</v>
      </c>
      <c r="T1111" s="79">
        <v>46.69</v>
      </c>
      <c r="U1111" s="79">
        <v>0</v>
      </c>
      <c r="V1111" s="189">
        <v>46.69</v>
      </c>
      <c r="X1111" s="79">
        <v>29.71</v>
      </c>
      <c r="Y1111" s="79">
        <v>16.98</v>
      </c>
      <c r="Z1111" s="79">
        <v>46.69</v>
      </c>
      <c r="AA1111" s="255">
        <v>0</v>
      </c>
      <c r="AC1111" s="254"/>
    </row>
    <row r="1112" spans="1:29" ht="12">
      <c r="A1112" s="67" t="s">
        <v>12633</v>
      </c>
      <c r="B1112" s="65" t="s">
        <v>12634</v>
      </c>
      <c r="C1112" s="71" t="s">
        <v>165</v>
      </c>
      <c r="D1112" s="78">
        <v>1</v>
      </c>
      <c r="E1112" s="79">
        <v>8.48</v>
      </c>
      <c r="F1112" s="70">
        <v>8.48</v>
      </c>
      <c r="G1112" s="320"/>
      <c r="H1112" s="79">
        <v>4.33</v>
      </c>
      <c r="I1112" s="79">
        <v>4.1500000000000004</v>
      </c>
      <c r="J1112" s="79">
        <v>8.48</v>
      </c>
      <c r="K1112" s="79">
        <v>0</v>
      </c>
      <c r="L1112" s="70">
        <v>8.48</v>
      </c>
      <c r="M1112" s="132"/>
      <c r="N1112" s="79">
        <v>4.33</v>
      </c>
      <c r="O1112" s="79">
        <v>4.1500000000000004</v>
      </c>
      <c r="P1112" s="79">
        <v>8.48</v>
      </c>
      <c r="Q1112" s="136"/>
      <c r="R1112" s="79">
        <v>4.33</v>
      </c>
      <c r="S1112" s="79">
        <v>4.1500000000000004</v>
      </c>
      <c r="T1112" s="79">
        <v>8.48</v>
      </c>
      <c r="U1112" s="79">
        <v>0</v>
      </c>
      <c r="V1112" s="189">
        <v>8.48</v>
      </c>
      <c r="X1112" s="79">
        <v>4.33</v>
      </c>
      <c r="Y1112" s="79">
        <v>4.1500000000000004</v>
      </c>
      <c r="Z1112" s="79">
        <v>8.48</v>
      </c>
      <c r="AA1112" s="255">
        <v>0</v>
      </c>
      <c r="AC1112" s="254"/>
    </row>
    <row r="1113" spans="1:29" ht="12">
      <c r="A1113" s="489" t="s">
        <v>12635</v>
      </c>
      <c r="B1113" s="490" t="s">
        <v>12636</v>
      </c>
      <c r="C1113" s="491"/>
      <c r="D1113" s="492"/>
      <c r="E1113" s="79"/>
      <c r="F1113" s="63"/>
      <c r="G1113" s="320"/>
      <c r="H1113" s="79"/>
      <c r="I1113" s="79"/>
      <c r="J1113" s="79"/>
      <c r="K1113" s="79"/>
      <c r="L1113" s="70"/>
      <c r="M1113" s="132"/>
      <c r="N1113" s="79"/>
      <c r="O1113" s="79"/>
      <c r="P1113" s="79"/>
      <c r="Q1113" s="136"/>
      <c r="R1113" s="79"/>
      <c r="S1113" s="79"/>
      <c r="T1113" s="79"/>
      <c r="U1113" s="79"/>
      <c r="V1113" s="189"/>
      <c r="X1113" s="79"/>
      <c r="Y1113" s="79"/>
      <c r="Z1113" s="79"/>
      <c r="AA1113" s="255"/>
      <c r="AC1113" s="254"/>
    </row>
    <row r="1114" spans="1:29" ht="12">
      <c r="A1114" s="67" t="s">
        <v>12637</v>
      </c>
      <c r="B1114" s="65" t="s">
        <v>12638</v>
      </c>
      <c r="C1114" s="71" t="s">
        <v>509</v>
      </c>
      <c r="D1114" s="78">
        <v>1</v>
      </c>
      <c r="E1114" s="79">
        <v>10.46</v>
      </c>
      <c r="F1114" s="70">
        <v>10.46</v>
      </c>
      <c r="G1114" s="320"/>
      <c r="H1114" s="79">
        <v>0.4</v>
      </c>
      <c r="I1114" s="79">
        <v>10.06</v>
      </c>
      <c r="J1114" s="79">
        <v>10.46</v>
      </c>
      <c r="K1114" s="79">
        <v>0</v>
      </c>
      <c r="L1114" s="70">
        <v>10.46</v>
      </c>
      <c r="M1114" s="132"/>
      <c r="N1114" s="79">
        <v>0.4</v>
      </c>
      <c r="O1114" s="79">
        <v>10.06</v>
      </c>
      <c r="P1114" s="79">
        <v>10.46</v>
      </c>
      <c r="Q1114" s="136"/>
      <c r="R1114" s="79">
        <v>0.4</v>
      </c>
      <c r="S1114" s="79">
        <v>10.07</v>
      </c>
      <c r="T1114" s="79">
        <v>10.47</v>
      </c>
      <c r="U1114" s="79">
        <v>0</v>
      </c>
      <c r="V1114" s="189">
        <v>10.47</v>
      </c>
      <c r="X1114" s="79">
        <v>0.4</v>
      </c>
      <c r="Y1114" s="79">
        <v>10.07</v>
      </c>
      <c r="Z1114" s="79">
        <v>10.47</v>
      </c>
      <c r="AA1114" s="255">
        <v>-9.9999999999997868E-3</v>
      </c>
      <c r="AC1114" s="254"/>
    </row>
    <row r="1115" spans="1:29" ht="12">
      <c r="A1115" s="67" t="s">
        <v>12639</v>
      </c>
      <c r="B1115" s="65" t="s">
        <v>12640</v>
      </c>
      <c r="C1115" s="71" t="s">
        <v>509</v>
      </c>
      <c r="D1115" s="78">
        <v>1</v>
      </c>
      <c r="E1115" s="79">
        <v>47.7</v>
      </c>
      <c r="F1115" s="70">
        <v>47.7</v>
      </c>
      <c r="G1115" s="320"/>
      <c r="H1115" s="79">
        <v>22.12</v>
      </c>
      <c r="I1115" s="79">
        <v>25.58</v>
      </c>
      <c r="J1115" s="79">
        <v>47.7</v>
      </c>
      <c r="K1115" s="79">
        <v>0</v>
      </c>
      <c r="L1115" s="70">
        <v>47.7</v>
      </c>
      <c r="M1115" s="132"/>
      <c r="N1115" s="79">
        <v>22.12</v>
      </c>
      <c r="O1115" s="79">
        <v>25.58</v>
      </c>
      <c r="P1115" s="79">
        <v>47.7</v>
      </c>
      <c r="Q1115" s="136"/>
      <c r="R1115" s="79">
        <v>22.12</v>
      </c>
      <c r="S1115" s="79">
        <v>25.57</v>
      </c>
      <c r="T1115" s="79">
        <v>47.69</v>
      </c>
      <c r="U1115" s="79">
        <v>0</v>
      </c>
      <c r="V1115" s="189">
        <v>47.69</v>
      </c>
      <c r="X1115" s="79">
        <v>22.12</v>
      </c>
      <c r="Y1115" s="79">
        <v>25.57</v>
      </c>
      <c r="Z1115" s="79">
        <v>47.69</v>
      </c>
      <c r="AA1115" s="255">
        <v>1.0000000000005116E-2</v>
      </c>
      <c r="AC1115" s="254"/>
    </row>
    <row r="1116" spans="1:29" ht="12">
      <c r="A1116" s="67" t="s">
        <v>12641</v>
      </c>
      <c r="B1116" s="65" t="s">
        <v>12642</v>
      </c>
      <c r="C1116" s="71" t="s">
        <v>165</v>
      </c>
      <c r="D1116" s="78">
        <v>1</v>
      </c>
      <c r="E1116" s="79">
        <v>13.23</v>
      </c>
      <c r="F1116" s="70">
        <v>13.23</v>
      </c>
      <c r="G1116" s="320"/>
      <c r="H1116" s="79">
        <v>0.4</v>
      </c>
      <c r="I1116" s="79">
        <v>12.83</v>
      </c>
      <c r="J1116" s="79">
        <v>13.23</v>
      </c>
      <c r="K1116" s="79">
        <v>0</v>
      </c>
      <c r="L1116" s="70">
        <v>13.23</v>
      </c>
      <c r="M1116" s="132"/>
      <c r="N1116" s="79">
        <v>0.4</v>
      </c>
      <c r="O1116" s="79">
        <v>12.83</v>
      </c>
      <c r="P1116" s="79">
        <v>13.23</v>
      </c>
      <c r="Q1116" s="136"/>
      <c r="R1116" s="79">
        <v>0.4</v>
      </c>
      <c r="S1116" s="79">
        <v>12.83</v>
      </c>
      <c r="T1116" s="79">
        <v>13.23</v>
      </c>
      <c r="U1116" s="79">
        <v>0</v>
      </c>
      <c r="V1116" s="189">
        <v>13.23</v>
      </c>
      <c r="X1116" s="79">
        <v>0.4</v>
      </c>
      <c r="Y1116" s="79">
        <v>12.83</v>
      </c>
      <c r="Z1116" s="79">
        <v>13.23</v>
      </c>
      <c r="AA1116" s="255">
        <v>0</v>
      </c>
      <c r="AC1116" s="254"/>
    </row>
    <row r="1117" spans="1:29" ht="12">
      <c r="A1117" s="67" t="s">
        <v>12643</v>
      </c>
      <c r="B1117" s="502" t="s">
        <v>12644</v>
      </c>
      <c r="C1117" s="71" t="s">
        <v>509</v>
      </c>
      <c r="D1117" s="78">
        <v>1</v>
      </c>
      <c r="E1117" s="79">
        <v>170.19</v>
      </c>
      <c r="F1117" s="70">
        <v>170.19</v>
      </c>
      <c r="G1117" s="320"/>
      <c r="H1117" s="79">
        <v>170.19</v>
      </c>
      <c r="I1117" s="79">
        <v>0</v>
      </c>
      <c r="J1117" s="79">
        <v>170.19</v>
      </c>
      <c r="K1117" s="79">
        <v>0</v>
      </c>
      <c r="L1117" s="70">
        <v>170.19</v>
      </c>
      <c r="M1117" s="132"/>
      <c r="N1117" s="79">
        <v>170.19</v>
      </c>
      <c r="O1117" s="79"/>
      <c r="P1117" s="79">
        <v>170.19</v>
      </c>
      <c r="Q1117" s="136"/>
      <c r="R1117" s="79">
        <v>170.19</v>
      </c>
      <c r="S1117" s="79"/>
      <c r="T1117" s="79">
        <v>170.19</v>
      </c>
      <c r="U1117" s="79">
        <v>0</v>
      </c>
      <c r="V1117" s="189">
        <v>170.19</v>
      </c>
      <c r="X1117" s="79">
        <v>170.19</v>
      </c>
      <c r="Y1117" s="79"/>
      <c r="Z1117" s="79">
        <v>170.19</v>
      </c>
      <c r="AA1117" s="255">
        <v>0</v>
      </c>
      <c r="AC1117" s="254"/>
    </row>
    <row r="1118" spans="1:29" ht="12">
      <c r="A1118" s="489" t="s">
        <v>12645</v>
      </c>
      <c r="B1118" s="490" t="s">
        <v>12646</v>
      </c>
      <c r="C1118" s="491"/>
      <c r="D1118" s="492"/>
      <c r="E1118" s="79"/>
      <c r="F1118" s="63"/>
      <c r="G1118" s="320"/>
      <c r="H1118" s="79"/>
      <c r="I1118" s="79"/>
      <c r="J1118" s="79"/>
      <c r="K1118" s="79"/>
      <c r="L1118" s="70"/>
      <c r="M1118" s="132"/>
      <c r="N1118" s="79"/>
      <c r="O1118" s="79"/>
      <c r="P1118" s="79"/>
      <c r="Q1118" s="136"/>
      <c r="R1118" s="79"/>
      <c r="S1118" s="79"/>
      <c r="T1118" s="79"/>
      <c r="U1118" s="79"/>
      <c r="V1118" s="189"/>
      <c r="X1118" s="79"/>
      <c r="Y1118" s="79"/>
      <c r="Z1118" s="79"/>
      <c r="AA1118" s="255"/>
      <c r="AC1118" s="254"/>
    </row>
    <row r="1119" spans="1:29" ht="12">
      <c r="A1119" s="489" t="s">
        <v>12647</v>
      </c>
      <c r="B1119" s="490" t="s">
        <v>12648</v>
      </c>
      <c r="C1119" s="491"/>
      <c r="D1119" s="492"/>
      <c r="E1119" s="79"/>
      <c r="F1119" s="63"/>
      <c r="G1119" s="320"/>
      <c r="H1119" s="79"/>
      <c r="I1119" s="79"/>
      <c r="J1119" s="79"/>
      <c r="K1119" s="79"/>
      <c r="L1119" s="70"/>
      <c r="M1119" s="132"/>
      <c r="N1119" s="79"/>
      <c r="O1119" s="79"/>
      <c r="P1119" s="79"/>
      <c r="Q1119" s="136"/>
      <c r="R1119" s="79"/>
      <c r="S1119" s="79"/>
      <c r="T1119" s="79"/>
      <c r="U1119" s="79"/>
      <c r="V1119" s="189"/>
      <c r="X1119" s="79"/>
      <c r="Y1119" s="79"/>
      <c r="Z1119" s="79"/>
      <c r="AA1119" s="255"/>
      <c r="AC1119" s="254"/>
    </row>
    <row r="1120" spans="1:29" ht="12">
      <c r="A1120" s="67" t="s">
        <v>12649</v>
      </c>
      <c r="B1120" s="65" t="s">
        <v>12650</v>
      </c>
      <c r="C1120" s="71" t="s">
        <v>509</v>
      </c>
      <c r="D1120" s="78">
        <v>1</v>
      </c>
      <c r="E1120" s="79">
        <v>132.98000000000002</v>
      </c>
      <c r="F1120" s="70">
        <v>132.97999999999999</v>
      </c>
      <c r="G1120" s="320"/>
      <c r="H1120" s="79">
        <v>121.39</v>
      </c>
      <c r="I1120" s="79">
        <v>11.59</v>
      </c>
      <c r="J1120" s="79">
        <v>132.97999999999999</v>
      </c>
      <c r="K1120" s="79">
        <v>0</v>
      </c>
      <c r="L1120" s="70">
        <v>132.97999999999999</v>
      </c>
      <c r="M1120" s="132"/>
      <c r="N1120" s="79">
        <v>121.39</v>
      </c>
      <c r="O1120" s="79">
        <v>11.59</v>
      </c>
      <c r="P1120" s="79">
        <v>132.97999999999999</v>
      </c>
      <c r="Q1120" s="136"/>
      <c r="R1120" s="79">
        <v>121.39</v>
      </c>
      <c r="S1120" s="79">
        <v>11.58</v>
      </c>
      <c r="T1120" s="79">
        <v>132.97</v>
      </c>
      <c r="U1120" s="79">
        <v>0</v>
      </c>
      <c r="V1120" s="189">
        <v>132.97</v>
      </c>
      <c r="X1120" s="79">
        <v>121.39</v>
      </c>
      <c r="Y1120" s="79">
        <v>11.58</v>
      </c>
      <c r="Z1120" s="79">
        <v>132.97</v>
      </c>
      <c r="AA1120" s="255">
        <v>9.9999999999909051E-3</v>
      </c>
      <c r="AC1120" s="254"/>
    </row>
    <row r="1121" spans="1:31" ht="12">
      <c r="A1121" s="67" t="s">
        <v>12651</v>
      </c>
      <c r="B1121" s="65" t="s">
        <v>12652</v>
      </c>
      <c r="C1121" s="71" t="s">
        <v>509</v>
      </c>
      <c r="D1121" s="78">
        <v>1</v>
      </c>
      <c r="E1121" s="79">
        <v>102.26</v>
      </c>
      <c r="F1121" s="70">
        <v>102.26</v>
      </c>
      <c r="G1121" s="320"/>
      <c r="H1121" s="79">
        <v>102.26</v>
      </c>
      <c r="I1121" s="79">
        <v>0</v>
      </c>
      <c r="J1121" s="79">
        <v>102.26</v>
      </c>
      <c r="K1121" s="79">
        <v>0</v>
      </c>
      <c r="L1121" s="70">
        <v>102.26</v>
      </c>
      <c r="M1121" s="132"/>
      <c r="N1121" s="79">
        <v>102.26</v>
      </c>
      <c r="O1121" s="79"/>
      <c r="P1121" s="79">
        <v>102.26</v>
      </c>
      <c r="Q1121" s="136"/>
      <c r="R1121" s="79">
        <v>102.26</v>
      </c>
      <c r="S1121" s="79"/>
      <c r="T1121" s="79">
        <v>102.26</v>
      </c>
      <c r="U1121" s="79">
        <v>0</v>
      </c>
      <c r="V1121" s="189">
        <v>102.26</v>
      </c>
      <c r="X1121" s="79">
        <v>102.26</v>
      </c>
      <c r="Y1121" s="79"/>
      <c r="Z1121" s="79">
        <v>102.26</v>
      </c>
      <c r="AA1121" s="255">
        <v>0</v>
      </c>
      <c r="AC1121" s="254"/>
    </row>
    <row r="1122" spans="1:31" ht="12">
      <c r="A1122" s="489" t="s">
        <v>12653</v>
      </c>
      <c r="B1122" s="490" t="s">
        <v>12654</v>
      </c>
      <c r="C1122" s="491"/>
      <c r="D1122" s="492"/>
      <c r="E1122" s="79"/>
      <c r="F1122" s="63"/>
      <c r="G1122" s="320"/>
      <c r="H1122" s="79"/>
      <c r="I1122" s="79"/>
      <c r="J1122" s="79"/>
      <c r="K1122" s="79"/>
      <c r="L1122" s="70"/>
      <c r="M1122" s="132"/>
      <c r="N1122" s="79"/>
      <c r="O1122" s="79"/>
      <c r="P1122" s="79"/>
      <c r="Q1122" s="136"/>
      <c r="R1122" s="79"/>
      <c r="S1122" s="79"/>
      <c r="T1122" s="79"/>
      <c r="U1122" s="79"/>
      <c r="V1122" s="189"/>
      <c r="X1122" s="79"/>
      <c r="Y1122" s="79"/>
      <c r="Z1122" s="79"/>
      <c r="AA1122" s="255"/>
      <c r="AC1122" s="254"/>
    </row>
    <row r="1123" spans="1:31" ht="24">
      <c r="A1123" s="67" t="s">
        <v>12655</v>
      </c>
      <c r="B1123" s="65" t="s">
        <v>12656</v>
      </c>
      <c r="C1123" s="71" t="s">
        <v>509</v>
      </c>
      <c r="D1123" s="78">
        <v>1</v>
      </c>
      <c r="E1123" s="79">
        <v>185.71999999999997</v>
      </c>
      <c r="F1123" s="70">
        <v>185.72</v>
      </c>
      <c r="G1123" s="320"/>
      <c r="H1123" s="79">
        <v>160.01999999999998</v>
      </c>
      <c r="I1123" s="79">
        <v>25.7</v>
      </c>
      <c r="J1123" s="79">
        <v>185.71999999999997</v>
      </c>
      <c r="K1123" s="79">
        <v>0</v>
      </c>
      <c r="L1123" s="70">
        <v>185.71999999999997</v>
      </c>
      <c r="M1123" s="132"/>
      <c r="N1123" s="79">
        <v>160.01999999999998</v>
      </c>
      <c r="O1123" s="79">
        <v>25.7</v>
      </c>
      <c r="P1123" s="79">
        <v>185.71999999999997</v>
      </c>
      <c r="Q1123" s="136"/>
      <c r="R1123" s="79">
        <v>160.02000000000001</v>
      </c>
      <c r="S1123" s="79">
        <v>25.7</v>
      </c>
      <c r="T1123" s="79">
        <v>185.72</v>
      </c>
      <c r="U1123" s="79">
        <v>0</v>
      </c>
      <c r="V1123" s="189">
        <v>185.72</v>
      </c>
      <c r="X1123" s="79">
        <v>160.02000000000001</v>
      </c>
      <c r="Y1123" s="79">
        <v>25.7</v>
      </c>
      <c r="Z1123" s="79">
        <v>185.72</v>
      </c>
      <c r="AA1123" s="255">
        <v>0</v>
      </c>
      <c r="AC1123" s="254"/>
    </row>
    <row r="1124" spans="1:31" ht="24">
      <c r="A1124" s="67" t="s">
        <v>12657</v>
      </c>
      <c r="B1124" s="65" t="s">
        <v>12658</v>
      </c>
      <c r="C1124" s="71" t="s">
        <v>509</v>
      </c>
      <c r="D1124" s="78">
        <v>1</v>
      </c>
      <c r="E1124" s="79">
        <v>272.73</v>
      </c>
      <c r="F1124" s="70">
        <v>272.73</v>
      </c>
      <c r="G1124" s="320"/>
      <c r="H1124" s="79">
        <v>247.03</v>
      </c>
      <c r="I1124" s="79">
        <v>25.7</v>
      </c>
      <c r="J1124" s="79">
        <v>272.73</v>
      </c>
      <c r="K1124" s="79">
        <v>0</v>
      </c>
      <c r="L1124" s="70">
        <v>272.73</v>
      </c>
      <c r="M1124" s="132"/>
      <c r="N1124" s="79">
        <v>247.03</v>
      </c>
      <c r="O1124" s="79">
        <v>25.7</v>
      </c>
      <c r="P1124" s="79">
        <v>272.73</v>
      </c>
      <c r="Q1124" s="136"/>
      <c r="R1124" s="79">
        <v>247.03</v>
      </c>
      <c r="S1124" s="79">
        <v>25.7</v>
      </c>
      <c r="T1124" s="79">
        <v>272.73</v>
      </c>
      <c r="U1124" s="79">
        <v>0</v>
      </c>
      <c r="V1124" s="189">
        <v>272.73</v>
      </c>
      <c r="X1124" s="79">
        <v>247.03</v>
      </c>
      <c r="Y1124" s="79">
        <v>25.7</v>
      </c>
      <c r="Z1124" s="79">
        <v>272.73</v>
      </c>
      <c r="AA1124" s="255">
        <v>0</v>
      </c>
      <c r="AC1124" s="254"/>
      <c r="AD1124" s="61"/>
      <c r="AE1124" s="61"/>
    </row>
    <row r="1125" spans="1:31" ht="24">
      <c r="A1125" s="67" t="s">
        <v>12659</v>
      </c>
      <c r="B1125" s="65" t="s">
        <v>12660</v>
      </c>
      <c r="C1125" s="71" t="s">
        <v>509</v>
      </c>
      <c r="D1125" s="78">
        <v>1</v>
      </c>
      <c r="E1125" s="79">
        <v>226.63</v>
      </c>
      <c r="F1125" s="70">
        <v>226.63</v>
      </c>
      <c r="G1125" s="320"/>
      <c r="H1125" s="79">
        <v>226.63</v>
      </c>
      <c r="I1125" s="79">
        <v>0</v>
      </c>
      <c r="J1125" s="79">
        <v>226.63</v>
      </c>
      <c r="K1125" s="79">
        <v>0</v>
      </c>
      <c r="L1125" s="70">
        <v>226.63</v>
      </c>
      <c r="M1125" s="132"/>
      <c r="N1125" s="79">
        <v>226.63</v>
      </c>
      <c r="O1125" s="79"/>
      <c r="P1125" s="79">
        <v>226.63</v>
      </c>
      <c r="Q1125" s="136"/>
      <c r="R1125" s="79">
        <v>226.63</v>
      </c>
      <c r="S1125" s="79"/>
      <c r="T1125" s="79">
        <v>226.63</v>
      </c>
      <c r="U1125" s="79">
        <v>0</v>
      </c>
      <c r="V1125" s="189">
        <v>226.63</v>
      </c>
      <c r="X1125" s="79">
        <v>226.63</v>
      </c>
      <c r="Y1125" s="79"/>
      <c r="Z1125" s="79">
        <v>226.63</v>
      </c>
      <c r="AA1125" s="255">
        <v>0</v>
      </c>
      <c r="AC1125" s="254"/>
    </row>
    <row r="1126" spans="1:31" s="61" customFormat="1" ht="24">
      <c r="A1126" s="67" t="s">
        <v>12661</v>
      </c>
      <c r="B1126" s="65" t="s">
        <v>12662</v>
      </c>
      <c r="C1126" s="71" t="s">
        <v>509</v>
      </c>
      <c r="D1126" s="78">
        <v>1</v>
      </c>
      <c r="E1126" s="79">
        <v>304.21999999999997</v>
      </c>
      <c r="F1126" s="70">
        <v>304.22000000000003</v>
      </c>
      <c r="G1126" s="320"/>
      <c r="H1126" s="79">
        <v>278.52</v>
      </c>
      <c r="I1126" s="79">
        <v>25.7</v>
      </c>
      <c r="J1126" s="79">
        <v>304.21999999999997</v>
      </c>
      <c r="K1126" s="79">
        <v>0</v>
      </c>
      <c r="L1126" s="70">
        <v>304.21999999999997</v>
      </c>
      <c r="M1126" s="132"/>
      <c r="N1126" s="79">
        <v>278.52</v>
      </c>
      <c r="O1126" s="79">
        <v>25.7</v>
      </c>
      <c r="P1126" s="79">
        <v>304.21999999999997</v>
      </c>
      <c r="Q1126" s="136"/>
      <c r="R1126" s="79">
        <v>278.52</v>
      </c>
      <c r="S1126" s="79">
        <v>25.7</v>
      </c>
      <c r="T1126" s="79">
        <v>304.21999999999997</v>
      </c>
      <c r="U1126" s="79">
        <v>0</v>
      </c>
      <c r="V1126" s="189">
        <v>304.21999999999997</v>
      </c>
      <c r="X1126" s="79">
        <v>278.52</v>
      </c>
      <c r="Y1126" s="79">
        <v>25.7</v>
      </c>
      <c r="Z1126" s="79">
        <v>304.22000000000003</v>
      </c>
      <c r="AA1126" s="255">
        <v>0</v>
      </c>
      <c r="AC1126" s="254"/>
      <c r="AD1126" s="236"/>
      <c r="AE1126" s="236"/>
    </row>
    <row r="1127" spans="1:31" ht="24">
      <c r="A1127" s="67" t="s">
        <v>12663</v>
      </c>
      <c r="B1127" s="65" t="s">
        <v>12664</v>
      </c>
      <c r="C1127" s="71" t="s">
        <v>509</v>
      </c>
      <c r="D1127" s="78">
        <v>1</v>
      </c>
      <c r="E1127" s="79">
        <v>393.4</v>
      </c>
      <c r="F1127" s="70">
        <v>393.4</v>
      </c>
      <c r="G1127" s="320"/>
      <c r="H1127" s="79">
        <v>367.7</v>
      </c>
      <c r="I1127" s="79">
        <v>25.7</v>
      </c>
      <c r="J1127" s="79">
        <v>393.4</v>
      </c>
      <c r="K1127" s="79">
        <v>0</v>
      </c>
      <c r="L1127" s="70">
        <v>393.4</v>
      </c>
      <c r="M1127" s="132"/>
      <c r="N1127" s="79">
        <v>367.7</v>
      </c>
      <c r="O1127" s="79">
        <v>25.7</v>
      </c>
      <c r="P1127" s="79">
        <v>393.4</v>
      </c>
      <c r="Q1127" s="136"/>
      <c r="R1127" s="79">
        <v>367.7</v>
      </c>
      <c r="S1127" s="79">
        <v>25.7</v>
      </c>
      <c r="T1127" s="79">
        <v>393.4</v>
      </c>
      <c r="U1127" s="79">
        <v>0</v>
      </c>
      <c r="V1127" s="189">
        <v>393.4</v>
      </c>
      <c r="X1127" s="79">
        <v>367.7</v>
      </c>
      <c r="Y1127" s="79">
        <v>25.7</v>
      </c>
      <c r="Z1127" s="79">
        <v>393.4</v>
      </c>
      <c r="AA1127" s="255">
        <v>0</v>
      </c>
      <c r="AC1127" s="254"/>
    </row>
    <row r="1128" spans="1:31" ht="24">
      <c r="A1128" s="67" t="s">
        <v>12665</v>
      </c>
      <c r="B1128" s="65" t="s">
        <v>12666</v>
      </c>
      <c r="C1128" s="71" t="s">
        <v>509</v>
      </c>
      <c r="D1128" s="78">
        <v>1</v>
      </c>
      <c r="E1128" s="79">
        <v>282.39</v>
      </c>
      <c r="F1128" s="70">
        <v>282.39</v>
      </c>
      <c r="G1128" s="320"/>
      <c r="H1128" s="79">
        <v>256.69</v>
      </c>
      <c r="I1128" s="79">
        <v>25.7</v>
      </c>
      <c r="J1128" s="79">
        <v>282.39</v>
      </c>
      <c r="K1128" s="79">
        <v>0</v>
      </c>
      <c r="L1128" s="70">
        <v>282.39</v>
      </c>
      <c r="M1128" s="132"/>
      <c r="N1128" s="79">
        <v>256.69</v>
      </c>
      <c r="O1128" s="79">
        <v>25.7</v>
      </c>
      <c r="P1128" s="79">
        <v>282.39</v>
      </c>
      <c r="Q1128" s="136"/>
      <c r="R1128" s="79">
        <v>256.69</v>
      </c>
      <c r="S1128" s="79">
        <v>25.7</v>
      </c>
      <c r="T1128" s="79">
        <v>282.39</v>
      </c>
      <c r="U1128" s="79">
        <v>0</v>
      </c>
      <c r="V1128" s="189">
        <v>282.39</v>
      </c>
      <c r="X1128" s="79">
        <v>256.69</v>
      </c>
      <c r="Y1128" s="79">
        <v>25.7</v>
      </c>
      <c r="Z1128" s="79">
        <v>282.39</v>
      </c>
      <c r="AA1128" s="255">
        <v>0</v>
      </c>
      <c r="AC1128" s="254"/>
      <c r="AD1128" s="61"/>
      <c r="AE1128" s="61"/>
    </row>
    <row r="1129" spans="1:31" ht="24">
      <c r="A1129" s="67" t="s">
        <v>12667</v>
      </c>
      <c r="B1129" s="65" t="s">
        <v>12668</v>
      </c>
      <c r="C1129" s="71" t="s">
        <v>509</v>
      </c>
      <c r="D1129" s="78">
        <v>1</v>
      </c>
      <c r="E1129" s="79">
        <v>510.98999999999995</v>
      </c>
      <c r="F1129" s="70">
        <v>510.99</v>
      </c>
      <c r="G1129" s="320"/>
      <c r="H1129" s="79">
        <v>485.28999999999996</v>
      </c>
      <c r="I1129" s="79">
        <v>25.7</v>
      </c>
      <c r="J1129" s="79">
        <v>510.98999999999995</v>
      </c>
      <c r="K1129" s="79">
        <v>0</v>
      </c>
      <c r="L1129" s="70">
        <v>510.98999999999995</v>
      </c>
      <c r="M1129" s="132"/>
      <c r="N1129" s="79">
        <v>485.28999999999996</v>
      </c>
      <c r="O1129" s="79">
        <v>25.7</v>
      </c>
      <c r="P1129" s="79">
        <v>510.98999999999995</v>
      </c>
      <c r="Q1129" s="136"/>
      <c r="R1129" s="79">
        <v>485.29</v>
      </c>
      <c r="S1129" s="79">
        <v>25.7</v>
      </c>
      <c r="T1129" s="79">
        <v>510.99</v>
      </c>
      <c r="U1129" s="79">
        <v>0</v>
      </c>
      <c r="V1129" s="189">
        <v>510.99</v>
      </c>
      <c r="X1129" s="79">
        <v>485.29</v>
      </c>
      <c r="Y1129" s="79">
        <v>25.7</v>
      </c>
      <c r="Z1129" s="79">
        <v>510.99</v>
      </c>
      <c r="AA1129" s="255">
        <v>0</v>
      </c>
      <c r="AC1129" s="254"/>
      <c r="AD1129" s="61"/>
      <c r="AE1129" s="61"/>
    </row>
    <row r="1130" spans="1:31" s="61" customFormat="1" ht="12">
      <c r="A1130" s="67" t="s">
        <v>12669</v>
      </c>
      <c r="B1130" s="65" t="s">
        <v>12670</v>
      </c>
      <c r="C1130" s="71" t="s">
        <v>509</v>
      </c>
      <c r="D1130" s="78">
        <v>1</v>
      </c>
      <c r="E1130" s="79">
        <v>440.11</v>
      </c>
      <c r="F1130" s="70">
        <v>440.11</v>
      </c>
      <c r="G1130" s="320"/>
      <c r="H1130" s="79">
        <v>414.41</v>
      </c>
      <c r="I1130" s="79">
        <v>25.7</v>
      </c>
      <c r="J1130" s="79">
        <v>440.11</v>
      </c>
      <c r="K1130" s="79">
        <v>0</v>
      </c>
      <c r="L1130" s="70">
        <v>440.11</v>
      </c>
      <c r="M1130" s="132"/>
      <c r="N1130" s="79">
        <v>414.41</v>
      </c>
      <c r="O1130" s="79">
        <v>25.7</v>
      </c>
      <c r="P1130" s="79">
        <v>440.11</v>
      </c>
      <c r="Q1130" s="136"/>
      <c r="R1130" s="79">
        <v>414.41</v>
      </c>
      <c r="S1130" s="79">
        <v>25.7</v>
      </c>
      <c r="T1130" s="79">
        <v>440.11</v>
      </c>
      <c r="U1130" s="79">
        <v>0</v>
      </c>
      <c r="V1130" s="189">
        <v>440.11</v>
      </c>
      <c r="X1130" s="79">
        <v>414.41</v>
      </c>
      <c r="Y1130" s="79">
        <v>25.7</v>
      </c>
      <c r="Z1130" s="79">
        <v>440.11</v>
      </c>
      <c r="AA1130" s="255">
        <v>0</v>
      </c>
      <c r="AC1130" s="254"/>
      <c r="AD1130" s="236"/>
      <c r="AE1130" s="236"/>
    </row>
    <row r="1131" spans="1:31" s="61" customFormat="1" ht="24">
      <c r="A1131" s="67" t="s">
        <v>12671</v>
      </c>
      <c r="B1131" s="65" t="s">
        <v>12672</v>
      </c>
      <c r="C1131" s="71" t="s">
        <v>509</v>
      </c>
      <c r="D1131" s="78">
        <v>1</v>
      </c>
      <c r="E1131" s="79">
        <v>348.77</v>
      </c>
      <c r="F1131" s="70">
        <v>348.77</v>
      </c>
      <c r="G1131" s="320"/>
      <c r="H1131" s="79">
        <v>296.57</v>
      </c>
      <c r="I1131" s="79">
        <v>52.2</v>
      </c>
      <c r="J1131" s="79">
        <v>348.77</v>
      </c>
      <c r="K1131" s="79">
        <v>0</v>
      </c>
      <c r="L1131" s="70">
        <v>348.77</v>
      </c>
      <c r="M1131" s="132"/>
      <c r="N1131" s="79">
        <v>296.57</v>
      </c>
      <c r="O1131" s="79">
        <v>52.2</v>
      </c>
      <c r="P1131" s="79">
        <v>348.77</v>
      </c>
      <c r="Q1131" s="136"/>
      <c r="R1131" s="79">
        <v>296.57</v>
      </c>
      <c r="S1131" s="79">
        <v>52.2</v>
      </c>
      <c r="T1131" s="79">
        <v>348.77</v>
      </c>
      <c r="U1131" s="79">
        <v>0</v>
      </c>
      <c r="V1131" s="189">
        <v>348.77</v>
      </c>
      <c r="X1131" s="79">
        <v>296.57</v>
      </c>
      <c r="Y1131" s="79">
        <v>52.2</v>
      </c>
      <c r="Z1131" s="79">
        <v>348.77</v>
      </c>
      <c r="AA1131" s="255">
        <v>0</v>
      </c>
      <c r="AC1131" s="254"/>
      <c r="AD1131" s="236"/>
      <c r="AE1131" s="236"/>
    </row>
    <row r="1132" spans="1:31" ht="12">
      <c r="A1132" s="489" t="s">
        <v>12673</v>
      </c>
      <c r="B1132" s="490" t="s">
        <v>12674</v>
      </c>
      <c r="C1132" s="491"/>
      <c r="D1132" s="492"/>
      <c r="E1132" s="79"/>
      <c r="F1132" s="63"/>
      <c r="G1132" s="320"/>
      <c r="H1132" s="79"/>
      <c r="I1132" s="79"/>
      <c r="J1132" s="79"/>
      <c r="K1132" s="79"/>
      <c r="L1132" s="70"/>
      <c r="M1132" s="132"/>
      <c r="N1132" s="79"/>
      <c r="O1132" s="79"/>
      <c r="P1132" s="79"/>
      <c r="Q1132" s="136"/>
      <c r="R1132" s="79"/>
      <c r="S1132" s="79"/>
      <c r="T1132" s="79"/>
      <c r="U1132" s="79"/>
      <c r="V1132" s="189"/>
      <c r="X1132" s="79"/>
      <c r="Y1132" s="79"/>
      <c r="Z1132" s="79"/>
      <c r="AA1132" s="255"/>
      <c r="AC1132" s="254"/>
    </row>
    <row r="1133" spans="1:31" ht="24">
      <c r="A1133" s="67" t="s">
        <v>12675</v>
      </c>
      <c r="B1133" s="65" t="s">
        <v>12676</v>
      </c>
      <c r="C1133" s="71" t="s">
        <v>509</v>
      </c>
      <c r="D1133" s="78">
        <v>1</v>
      </c>
      <c r="E1133" s="79">
        <v>1485</v>
      </c>
      <c r="F1133" s="70">
        <v>1485</v>
      </c>
      <c r="G1133" s="320"/>
      <c r="H1133" s="79">
        <v>1485</v>
      </c>
      <c r="I1133" s="79">
        <v>0</v>
      </c>
      <c r="J1133" s="79">
        <v>1485</v>
      </c>
      <c r="K1133" s="79">
        <v>0</v>
      </c>
      <c r="L1133" s="70">
        <v>1485</v>
      </c>
      <c r="M1133" s="132"/>
      <c r="N1133" s="79">
        <v>1485</v>
      </c>
      <c r="O1133" s="79"/>
      <c r="P1133" s="79">
        <v>1485</v>
      </c>
      <c r="Q1133" s="136"/>
      <c r="R1133" s="79">
        <v>1485</v>
      </c>
      <c r="S1133" s="79"/>
      <c r="T1133" s="79">
        <v>1485</v>
      </c>
      <c r="U1133" s="79">
        <v>0</v>
      </c>
      <c r="V1133" s="189">
        <v>1485</v>
      </c>
      <c r="X1133" s="79">
        <v>1485</v>
      </c>
      <c r="Y1133" s="79"/>
      <c r="Z1133" s="79">
        <v>1485</v>
      </c>
      <c r="AA1133" s="255">
        <v>0</v>
      </c>
      <c r="AC1133" s="254"/>
      <c r="AD1133" s="61"/>
      <c r="AE1133" s="61"/>
    </row>
    <row r="1134" spans="1:31" ht="12">
      <c r="A1134" s="67" t="s">
        <v>12677</v>
      </c>
      <c r="B1134" s="65" t="s">
        <v>12678</v>
      </c>
      <c r="C1134" s="71" t="s">
        <v>509</v>
      </c>
      <c r="D1134" s="78">
        <v>1</v>
      </c>
      <c r="E1134" s="79">
        <v>328.48</v>
      </c>
      <c r="F1134" s="70">
        <v>328.48</v>
      </c>
      <c r="G1134" s="320"/>
      <c r="H1134" s="79">
        <v>328.48</v>
      </c>
      <c r="I1134" s="79">
        <v>0</v>
      </c>
      <c r="J1134" s="79">
        <v>328.48</v>
      </c>
      <c r="K1134" s="79">
        <v>0</v>
      </c>
      <c r="L1134" s="70">
        <v>328.48</v>
      </c>
      <c r="M1134" s="132"/>
      <c r="N1134" s="79">
        <v>328.48</v>
      </c>
      <c r="O1134" s="79"/>
      <c r="P1134" s="79">
        <v>328.48</v>
      </c>
      <c r="Q1134" s="136"/>
      <c r="R1134" s="79">
        <v>328.48</v>
      </c>
      <c r="S1134" s="79"/>
      <c r="T1134" s="79">
        <v>328.48</v>
      </c>
      <c r="U1134" s="79">
        <v>0</v>
      </c>
      <c r="V1134" s="189">
        <v>328.48</v>
      </c>
      <c r="X1134" s="79">
        <v>328.48</v>
      </c>
      <c r="Y1134" s="79"/>
      <c r="Z1134" s="79">
        <v>328.48</v>
      </c>
      <c r="AA1134" s="255">
        <v>0</v>
      </c>
      <c r="AC1134" s="254"/>
    </row>
    <row r="1135" spans="1:31" ht="24">
      <c r="A1135" s="67" t="s">
        <v>12679</v>
      </c>
      <c r="B1135" s="65" t="s">
        <v>12680</v>
      </c>
      <c r="C1135" s="71" t="s">
        <v>509</v>
      </c>
      <c r="D1135" s="78">
        <v>1</v>
      </c>
      <c r="E1135" s="79">
        <v>882.92000000000007</v>
      </c>
      <c r="F1135" s="70">
        <v>882.92</v>
      </c>
      <c r="G1135" s="320"/>
      <c r="H1135" s="79">
        <v>563.43999999999994</v>
      </c>
      <c r="I1135" s="79">
        <v>319.48</v>
      </c>
      <c r="J1135" s="79">
        <v>882.92</v>
      </c>
      <c r="K1135" s="79">
        <v>0</v>
      </c>
      <c r="L1135" s="70">
        <v>882.92</v>
      </c>
      <c r="M1135" s="132"/>
      <c r="N1135" s="79">
        <v>563.43999999999994</v>
      </c>
      <c r="O1135" s="79">
        <v>319.48</v>
      </c>
      <c r="P1135" s="79">
        <v>882.92</v>
      </c>
      <c r="Q1135" s="136"/>
      <c r="R1135" s="79">
        <v>563.42999999999995</v>
      </c>
      <c r="S1135" s="79">
        <v>319.47000000000003</v>
      </c>
      <c r="T1135" s="79">
        <v>882.9</v>
      </c>
      <c r="U1135" s="79">
        <v>0</v>
      </c>
      <c r="V1135" s="189">
        <v>882.9</v>
      </c>
      <c r="X1135" s="79">
        <v>563.42999999999995</v>
      </c>
      <c r="Y1135" s="79">
        <v>319.47000000000003</v>
      </c>
      <c r="Z1135" s="79">
        <v>882.9</v>
      </c>
      <c r="AA1135" s="255">
        <v>1.999999999998181E-2</v>
      </c>
      <c r="AC1135" s="254"/>
    </row>
    <row r="1136" spans="1:31" ht="24">
      <c r="A1136" s="67" t="s">
        <v>12681</v>
      </c>
      <c r="B1136" s="65" t="s">
        <v>12682</v>
      </c>
      <c r="C1136" s="71" t="s">
        <v>509</v>
      </c>
      <c r="D1136" s="78">
        <v>1</v>
      </c>
      <c r="E1136" s="79">
        <v>693.74</v>
      </c>
      <c r="F1136" s="70">
        <v>693.74</v>
      </c>
      <c r="G1136" s="320"/>
      <c r="H1136" s="79">
        <v>374.26</v>
      </c>
      <c r="I1136" s="79">
        <v>319.48</v>
      </c>
      <c r="J1136" s="79">
        <v>693.74</v>
      </c>
      <c r="K1136" s="79">
        <v>0</v>
      </c>
      <c r="L1136" s="70">
        <v>693.74</v>
      </c>
      <c r="M1136" s="132"/>
      <c r="N1136" s="79">
        <v>374.26</v>
      </c>
      <c r="O1136" s="79">
        <v>319.48</v>
      </c>
      <c r="P1136" s="79">
        <v>693.74</v>
      </c>
      <c r="Q1136" s="136"/>
      <c r="R1136" s="79">
        <v>374.25</v>
      </c>
      <c r="S1136" s="79">
        <v>319.47000000000003</v>
      </c>
      <c r="T1136" s="79">
        <v>693.72</v>
      </c>
      <c r="U1136" s="79">
        <v>0</v>
      </c>
      <c r="V1136" s="189">
        <v>693.72</v>
      </c>
      <c r="X1136" s="79">
        <v>374.25</v>
      </c>
      <c r="Y1136" s="79">
        <v>319.47000000000003</v>
      </c>
      <c r="Z1136" s="79">
        <v>693.72</v>
      </c>
      <c r="AA1136" s="255">
        <v>1.999999999998181E-2</v>
      </c>
      <c r="AC1136" s="254"/>
    </row>
    <row r="1137" spans="1:29" ht="12">
      <c r="A1137" s="489" t="s">
        <v>12683</v>
      </c>
      <c r="B1137" s="490" t="s">
        <v>12684</v>
      </c>
      <c r="C1137" s="491"/>
      <c r="D1137" s="492"/>
      <c r="E1137" s="79"/>
      <c r="F1137" s="63"/>
      <c r="G1137" s="320"/>
      <c r="H1137" s="79"/>
      <c r="I1137" s="79"/>
      <c r="J1137" s="79"/>
      <c r="K1137" s="79"/>
      <c r="L1137" s="70"/>
      <c r="M1137" s="132"/>
      <c r="N1137" s="79"/>
      <c r="O1137" s="79"/>
      <c r="P1137" s="79"/>
      <c r="Q1137" s="136"/>
      <c r="R1137" s="79"/>
      <c r="S1137" s="79"/>
      <c r="T1137" s="79"/>
      <c r="U1137" s="79"/>
      <c r="V1137" s="189"/>
      <c r="X1137" s="79"/>
      <c r="Y1137" s="79"/>
      <c r="Z1137" s="79"/>
      <c r="AA1137" s="255"/>
      <c r="AC1137" s="254"/>
    </row>
    <row r="1138" spans="1:29" ht="24">
      <c r="A1138" s="67" t="s">
        <v>12685</v>
      </c>
      <c r="B1138" s="65" t="s">
        <v>12686</v>
      </c>
      <c r="C1138" s="71" t="s">
        <v>509</v>
      </c>
      <c r="D1138" s="78">
        <v>1</v>
      </c>
      <c r="E1138" s="79">
        <v>157.06</v>
      </c>
      <c r="F1138" s="70">
        <v>157.06</v>
      </c>
      <c r="G1138" s="320"/>
      <c r="H1138" s="79">
        <v>157.06</v>
      </c>
      <c r="I1138" s="79">
        <v>0</v>
      </c>
      <c r="J1138" s="79">
        <v>157.06</v>
      </c>
      <c r="K1138" s="79">
        <v>0</v>
      </c>
      <c r="L1138" s="70">
        <v>157.06</v>
      </c>
      <c r="M1138" s="132"/>
      <c r="N1138" s="79">
        <v>157.06</v>
      </c>
      <c r="O1138" s="79"/>
      <c r="P1138" s="79">
        <v>157.06</v>
      </c>
      <c r="Q1138" s="136"/>
      <c r="R1138" s="79">
        <v>157.06</v>
      </c>
      <c r="S1138" s="79"/>
      <c r="T1138" s="79">
        <v>157.06</v>
      </c>
      <c r="U1138" s="79">
        <v>0</v>
      </c>
      <c r="V1138" s="189">
        <v>157.06</v>
      </c>
      <c r="X1138" s="79">
        <v>157.06</v>
      </c>
      <c r="Y1138" s="79"/>
      <c r="Z1138" s="79">
        <v>157.06</v>
      </c>
      <c r="AA1138" s="255">
        <v>0</v>
      </c>
      <c r="AC1138" s="254"/>
    </row>
    <row r="1139" spans="1:29" ht="12">
      <c r="A1139" s="67" t="s">
        <v>12687</v>
      </c>
      <c r="B1139" s="65" t="s">
        <v>12688</v>
      </c>
      <c r="C1139" s="71" t="s">
        <v>509</v>
      </c>
      <c r="D1139" s="78">
        <v>1</v>
      </c>
      <c r="E1139" s="79">
        <v>203.29</v>
      </c>
      <c r="F1139" s="70">
        <v>203.29</v>
      </c>
      <c r="G1139" s="320"/>
      <c r="H1139" s="79">
        <v>203.29</v>
      </c>
      <c r="I1139" s="79">
        <v>0</v>
      </c>
      <c r="J1139" s="79">
        <v>203.29</v>
      </c>
      <c r="K1139" s="79">
        <v>0</v>
      </c>
      <c r="L1139" s="70">
        <v>203.29</v>
      </c>
      <c r="M1139" s="132"/>
      <c r="N1139" s="79">
        <v>203.29</v>
      </c>
      <c r="O1139" s="79"/>
      <c r="P1139" s="79">
        <v>203.29</v>
      </c>
      <c r="Q1139" s="136"/>
      <c r="R1139" s="79">
        <v>203.29</v>
      </c>
      <c r="S1139" s="79"/>
      <c r="T1139" s="79">
        <v>203.29</v>
      </c>
      <c r="U1139" s="79">
        <v>0</v>
      </c>
      <c r="V1139" s="189">
        <v>203.29</v>
      </c>
      <c r="X1139" s="79">
        <v>203.29</v>
      </c>
      <c r="Y1139" s="79"/>
      <c r="Z1139" s="79">
        <v>203.29</v>
      </c>
      <c r="AA1139" s="255">
        <v>0</v>
      </c>
      <c r="AC1139" s="254"/>
    </row>
    <row r="1140" spans="1:29" ht="12">
      <c r="A1140" s="489" t="s">
        <v>12689</v>
      </c>
      <c r="B1140" s="490" t="s">
        <v>12690</v>
      </c>
      <c r="C1140" s="491"/>
      <c r="D1140" s="492"/>
      <c r="E1140" s="79"/>
      <c r="F1140" s="63"/>
      <c r="G1140" s="320"/>
      <c r="H1140" s="79"/>
      <c r="I1140" s="79"/>
      <c r="J1140" s="79"/>
      <c r="K1140" s="79"/>
      <c r="L1140" s="70"/>
      <c r="M1140" s="132"/>
      <c r="N1140" s="79"/>
      <c r="O1140" s="79"/>
      <c r="P1140" s="79"/>
      <c r="Q1140" s="136"/>
      <c r="R1140" s="79"/>
      <c r="S1140" s="79"/>
      <c r="T1140" s="79"/>
      <c r="U1140" s="79"/>
      <c r="V1140" s="189"/>
      <c r="X1140" s="79"/>
      <c r="Y1140" s="79"/>
      <c r="Z1140" s="79"/>
      <c r="AA1140" s="255"/>
      <c r="AC1140" s="254"/>
    </row>
    <row r="1141" spans="1:29" ht="24">
      <c r="A1141" s="67" t="s">
        <v>12691</v>
      </c>
      <c r="B1141" s="65" t="s">
        <v>12692</v>
      </c>
      <c r="C1141" s="71" t="s">
        <v>509</v>
      </c>
      <c r="D1141" s="78">
        <v>1</v>
      </c>
      <c r="E1141" s="79">
        <v>266.37</v>
      </c>
      <c r="F1141" s="70">
        <v>266.37</v>
      </c>
      <c r="G1141" s="320"/>
      <c r="H1141" s="79">
        <v>156.77000000000001</v>
      </c>
      <c r="I1141" s="79">
        <v>109.6</v>
      </c>
      <c r="J1141" s="79">
        <v>266.37</v>
      </c>
      <c r="K1141" s="79">
        <v>0</v>
      </c>
      <c r="L1141" s="70">
        <v>266.37</v>
      </c>
      <c r="M1141" s="132"/>
      <c r="N1141" s="79">
        <v>156.77000000000001</v>
      </c>
      <c r="O1141" s="79">
        <v>109.6</v>
      </c>
      <c r="P1141" s="79">
        <v>266.37</v>
      </c>
      <c r="Q1141" s="136"/>
      <c r="R1141" s="79">
        <v>156.77000000000001</v>
      </c>
      <c r="S1141" s="79">
        <v>109.59</v>
      </c>
      <c r="T1141" s="79">
        <v>266.36</v>
      </c>
      <c r="U1141" s="79">
        <v>0</v>
      </c>
      <c r="V1141" s="189">
        <v>266.36</v>
      </c>
      <c r="X1141" s="79">
        <v>156.77000000000001</v>
      </c>
      <c r="Y1141" s="79">
        <v>109.59</v>
      </c>
      <c r="Z1141" s="79">
        <v>266.36</v>
      </c>
      <c r="AA1141" s="255">
        <v>9.9999999999909051E-3</v>
      </c>
      <c r="AC1141" s="254"/>
    </row>
    <row r="1142" spans="1:29" ht="12">
      <c r="A1142" s="67" t="s">
        <v>12693</v>
      </c>
      <c r="B1142" s="65" t="s">
        <v>12694</v>
      </c>
      <c r="C1142" s="71" t="s">
        <v>509</v>
      </c>
      <c r="D1142" s="78">
        <v>1</v>
      </c>
      <c r="E1142" s="79">
        <v>511.62</v>
      </c>
      <c r="F1142" s="70">
        <v>511.62</v>
      </c>
      <c r="G1142" s="320"/>
      <c r="H1142" s="79">
        <v>511.62</v>
      </c>
      <c r="I1142" s="79">
        <v>0</v>
      </c>
      <c r="J1142" s="79">
        <v>511.62</v>
      </c>
      <c r="K1142" s="79">
        <v>0</v>
      </c>
      <c r="L1142" s="70">
        <v>511.62</v>
      </c>
      <c r="M1142" s="132"/>
      <c r="N1142" s="79">
        <v>511.62</v>
      </c>
      <c r="O1142" s="79"/>
      <c r="P1142" s="79">
        <v>511.62</v>
      </c>
      <c r="Q1142" s="136"/>
      <c r="R1142" s="79">
        <v>511.62</v>
      </c>
      <c r="S1142" s="79"/>
      <c r="T1142" s="79">
        <v>511.62</v>
      </c>
      <c r="U1142" s="79">
        <v>0</v>
      </c>
      <c r="V1142" s="189">
        <v>511.62</v>
      </c>
      <c r="X1142" s="79">
        <v>511.62</v>
      </c>
      <c r="Y1142" s="79"/>
      <c r="Z1142" s="79">
        <v>511.62</v>
      </c>
      <c r="AA1142" s="255">
        <v>0</v>
      </c>
      <c r="AC1142" s="254"/>
    </row>
    <row r="1143" spans="1:29" ht="12">
      <c r="A1143" s="489" t="s">
        <v>12695</v>
      </c>
      <c r="B1143" s="490" t="s">
        <v>12696</v>
      </c>
      <c r="C1143" s="491"/>
      <c r="D1143" s="503"/>
      <c r="E1143" s="467"/>
      <c r="F1143" s="504"/>
      <c r="G1143" s="320"/>
      <c r="H1143" s="79"/>
      <c r="I1143" s="79"/>
      <c r="J1143" s="79"/>
      <c r="K1143" s="79"/>
      <c r="L1143" s="70"/>
      <c r="M1143" s="132"/>
      <c r="N1143" s="79"/>
      <c r="O1143" s="79"/>
      <c r="P1143" s="79"/>
      <c r="Q1143" s="136"/>
      <c r="R1143" s="79"/>
      <c r="S1143" s="79"/>
      <c r="T1143" s="79"/>
      <c r="U1143" s="79"/>
      <c r="V1143" s="189"/>
      <c r="X1143" s="79"/>
      <c r="Y1143" s="79"/>
      <c r="Z1143" s="79"/>
      <c r="AA1143" s="255"/>
      <c r="AC1143" s="254"/>
    </row>
    <row r="1144" spans="1:29" ht="12">
      <c r="A1144" s="67" t="s">
        <v>12697</v>
      </c>
      <c r="B1144" s="65" t="s">
        <v>12698</v>
      </c>
      <c r="C1144" s="71" t="s">
        <v>509</v>
      </c>
      <c r="D1144" s="78">
        <v>1</v>
      </c>
      <c r="E1144" s="79">
        <v>788.21</v>
      </c>
      <c r="F1144" s="70">
        <v>788.21</v>
      </c>
      <c r="G1144" s="320"/>
      <c r="H1144" s="79">
        <v>788.21</v>
      </c>
      <c r="I1144" s="79">
        <v>0</v>
      </c>
      <c r="J1144" s="79">
        <v>788.21</v>
      </c>
      <c r="K1144" s="79">
        <v>0</v>
      </c>
      <c r="L1144" s="70">
        <v>788.21</v>
      </c>
      <c r="M1144" s="132"/>
      <c r="N1144" s="79">
        <v>788.21</v>
      </c>
      <c r="O1144" s="79"/>
      <c r="P1144" s="79">
        <v>788.21</v>
      </c>
      <c r="Q1144" s="136"/>
      <c r="R1144" s="79">
        <v>788.21</v>
      </c>
      <c r="S1144" s="79"/>
      <c r="T1144" s="79">
        <v>788.21</v>
      </c>
      <c r="U1144" s="79">
        <v>0</v>
      </c>
      <c r="V1144" s="189">
        <v>788.21</v>
      </c>
      <c r="X1144" s="79">
        <v>788.21</v>
      </c>
      <c r="Y1144" s="79"/>
      <c r="Z1144" s="79">
        <v>788.21</v>
      </c>
      <c r="AA1144" s="255">
        <v>0</v>
      </c>
      <c r="AC1144" s="254"/>
    </row>
    <row r="1145" spans="1:29" ht="12">
      <c r="A1145" s="489" t="s">
        <v>12699</v>
      </c>
      <c r="B1145" s="490" t="s">
        <v>12700</v>
      </c>
      <c r="C1145" s="491"/>
      <c r="D1145" s="492"/>
      <c r="E1145" s="79"/>
      <c r="F1145" s="63"/>
      <c r="G1145" s="320"/>
      <c r="H1145" s="79"/>
      <c r="I1145" s="79"/>
      <c r="J1145" s="79"/>
      <c r="K1145" s="79"/>
      <c r="L1145" s="70"/>
      <c r="M1145" s="132"/>
      <c r="N1145" s="79"/>
      <c r="O1145" s="79"/>
      <c r="P1145" s="79"/>
      <c r="Q1145" s="136"/>
      <c r="R1145" s="79"/>
      <c r="S1145" s="79"/>
      <c r="T1145" s="79"/>
      <c r="U1145" s="79"/>
      <c r="V1145" s="189"/>
      <c r="X1145" s="79"/>
      <c r="Y1145" s="79"/>
      <c r="Z1145" s="79"/>
      <c r="AA1145" s="255"/>
      <c r="AC1145" s="254"/>
    </row>
    <row r="1146" spans="1:29" ht="12">
      <c r="A1146" s="67" t="s">
        <v>12701</v>
      </c>
      <c r="B1146" s="65" t="s">
        <v>12702</v>
      </c>
      <c r="C1146" s="71" t="s">
        <v>165</v>
      </c>
      <c r="D1146" s="78">
        <v>1</v>
      </c>
      <c r="E1146" s="79">
        <v>53.25</v>
      </c>
      <c r="F1146" s="70">
        <v>53.25</v>
      </c>
      <c r="G1146" s="320"/>
      <c r="H1146" s="79">
        <v>44.349999999999994</v>
      </c>
      <c r="I1146" s="79">
        <v>8.9</v>
      </c>
      <c r="J1146" s="79">
        <v>53.249999999999993</v>
      </c>
      <c r="K1146" s="79">
        <v>0</v>
      </c>
      <c r="L1146" s="70">
        <v>53.249999999999993</v>
      </c>
      <c r="M1146" s="132"/>
      <c r="N1146" s="79">
        <v>44.349999999999994</v>
      </c>
      <c r="O1146" s="79">
        <v>8.9</v>
      </c>
      <c r="P1146" s="79">
        <v>53.249999999999993</v>
      </c>
      <c r="Q1146" s="136"/>
      <c r="R1146" s="79">
        <v>44.35</v>
      </c>
      <c r="S1146" s="79">
        <v>8.8699999999999992</v>
      </c>
      <c r="T1146" s="79">
        <v>53.22</v>
      </c>
      <c r="U1146" s="79">
        <v>0</v>
      </c>
      <c r="V1146" s="189">
        <v>53.22</v>
      </c>
      <c r="X1146" s="79">
        <v>44.35</v>
      </c>
      <c r="Y1146" s="79">
        <v>8.8699999999999992</v>
      </c>
      <c r="Z1146" s="79">
        <v>53.22</v>
      </c>
      <c r="AA1146" s="255">
        <v>3.0000000000001137E-2</v>
      </c>
      <c r="AC1146" s="254"/>
    </row>
    <row r="1147" spans="1:29" ht="12">
      <c r="A1147" s="67" t="s">
        <v>12703</v>
      </c>
      <c r="B1147" s="65" t="s">
        <v>12704</v>
      </c>
      <c r="C1147" s="71" t="s">
        <v>165</v>
      </c>
      <c r="D1147" s="78">
        <v>1</v>
      </c>
      <c r="E1147" s="79">
        <v>77.2</v>
      </c>
      <c r="F1147" s="70">
        <v>77.2</v>
      </c>
      <c r="G1147" s="320"/>
      <c r="H1147" s="79">
        <v>68.3</v>
      </c>
      <c r="I1147" s="79">
        <v>8.9</v>
      </c>
      <c r="J1147" s="79">
        <v>77.2</v>
      </c>
      <c r="K1147" s="79">
        <v>0</v>
      </c>
      <c r="L1147" s="70">
        <v>77.2</v>
      </c>
      <c r="M1147" s="132"/>
      <c r="N1147" s="79">
        <v>68.3</v>
      </c>
      <c r="O1147" s="79">
        <v>8.9</v>
      </c>
      <c r="P1147" s="79">
        <v>77.2</v>
      </c>
      <c r="Q1147" s="136"/>
      <c r="R1147" s="79">
        <v>68.3</v>
      </c>
      <c r="S1147" s="79">
        <v>8.8699999999999992</v>
      </c>
      <c r="T1147" s="79">
        <v>77.17</v>
      </c>
      <c r="U1147" s="79">
        <v>0</v>
      </c>
      <c r="V1147" s="189">
        <v>77.17</v>
      </c>
      <c r="X1147" s="79">
        <v>68.3</v>
      </c>
      <c r="Y1147" s="79">
        <v>8.8699999999999992</v>
      </c>
      <c r="Z1147" s="79">
        <v>77.17</v>
      </c>
      <c r="AA1147" s="255">
        <v>3.0000000000001137E-2</v>
      </c>
      <c r="AC1147" s="254"/>
    </row>
    <row r="1148" spans="1:29" ht="24">
      <c r="A1148" s="67" t="s">
        <v>12705</v>
      </c>
      <c r="B1148" s="65" t="s">
        <v>12706</v>
      </c>
      <c r="C1148" s="71" t="s">
        <v>165</v>
      </c>
      <c r="D1148" s="78">
        <v>1</v>
      </c>
      <c r="E1148" s="79">
        <v>42.08</v>
      </c>
      <c r="F1148" s="70">
        <v>42.08</v>
      </c>
      <c r="G1148" s="320"/>
      <c r="H1148" s="79">
        <v>30.46</v>
      </c>
      <c r="I1148" s="79">
        <v>11.620000000000001</v>
      </c>
      <c r="J1148" s="79">
        <v>42.08</v>
      </c>
      <c r="K1148" s="79">
        <v>0</v>
      </c>
      <c r="L1148" s="70">
        <v>42.08</v>
      </c>
      <c r="M1148" s="132"/>
      <c r="N1148" s="79">
        <v>30.46</v>
      </c>
      <c r="O1148" s="79">
        <v>11.620000000000001</v>
      </c>
      <c r="P1148" s="79">
        <v>42.08</v>
      </c>
      <c r="Q1148" s="136"/>
      <c r="R1148" s="79">
        <v>30.46</v>
      </c>
      <c r="S1148" s="79">
        <v>11.6</v>
      </c>
      <c r="T1148" s="79">
        <v>42.06</v>
      </c>
      <c r="U1148" s="79">
        <v>0</v>
      </c>
      <c r="V1148" s="189">
        <v>42.06</v>
      </c>
      <c r="X1148" s="79">
        <v>30.46</v>
      </c>
      <c r="Y1148" s="79">
        <v>11.6</v>
      </c>
      <c r="Z1148" s="79">
        <v>42.06</v>
      </c>
      <c r="AA1148" s="255">
        <v>1.9999999999996021E-2</v>
      </c>
      <c r="AC1148" s="254"/>
    </row>
    <row r="1149" spans="1:29" ht="24">
      <c r="A1149" s="67" t="s">
        <v>12707</v>
      </c>
      <c r="B1149" s="65" t="s">
        <v>12708</v>
      </c>
      <c r="C1149" s="71" t="s">
        <v>165</v>
      </c>
      <c r="D1149" s="78">
        <v>1</v>
      </c>
      <c r="E1149" s="79">
        <v>47.95</v>
      </c>
      <c r="F1149" s="70">
        <v>47.95</v>
      </c>
      <c r="G1149" s="320"/>
      <c r="H1149" s="79">
        <v>36.33</v>
      </c>
      <c r="I1149" s="79">
        <v>11.620000000000001</v>
      </c>
      <c r="J1149" s="79">
        <v>47.95</v>
      </c>
      <c r="K1149" s="79">
        <v>0</v>
      </c>
      <c r="L1149" s="70">
        <v>47.95</v>
      </c>
      <c r="M1149" s="132"/>
      <c r="N1149" s="79">
        <v>36.33</v>
      </c>
      <c r="O1149" s="79">
        <v>11.620000000000001</v>
      </c>
      <c r="P1149" s="79">
        <v>47.95</v>
      </c>
      <c r="Q1149" s="136"/>
      <c r="R1149" s="79">
        <v>36.33</v>
      </c>
      <c r="S1149" s="79">
        <v>11.6</v>
      </c>
      <c r="T1149" s="79">
        <v>47.93</v>
      </c>
      <c r="U1149" s="79">
        <v>0</v>
      </c>
      <c r="V1149" s="189">
        <v>47.93</v>
      </c>
      <c r="X1149" s="79">
        <v>36.33</v>
      </c>
      <c r="Y1149" s="79">
        <v>11.6</v>
      </c>
      <c r="Z1149" s="79">
        <v>47.93</v>
      </c>
      <c r="AA1149" s="255">
        <v>2.0000000000003126E-2</v>
      </c>
      <c r="AC1149" s="254"/>
    </row>
    <row r="1150" spans="1:29" ht="24">
      <c r="A1150" s="67" t="s">
        <v>12709</v>
      </c>
      <c r="B1150" s="65" t="s">
        <v>12710</v>
      </c>
      <c r="C1150" s="71" t="s">
        <v>165</v>
      </c>
      <c r="D1150" s="78">
        <v>1</v>
      </c>
      <c r="E1150" s="79">
        <v>61.809999999999995</v>
      </c>
      <c r="F1150" s="70">
        <v>61.81</v>
      </c>
      <c r="G1150" s="320"/>
      <c r="H1150" s="79">
        <v>52.91</v>
      </c>
      <c r="I1150" s="79">
        <v>8.9</v>
      </c>
      <c r="J1150" s="79">
        <v>61.809999999999995</v>
      </c>
      <c r="K1150" s="79">
        <v>0</v>
      </c>
      <c r="L1150" s="70">
        <v>61.809999999999995</v>
      </c>
      <c r="M1150" s="132"/>
      <c r="N1150" s="79">
        <v>52.91</v>
      </c>
      <c r="O1150" s="79">
        <v>8.9</v>
      </c>
      <c r="P1150" s="79">
        <v>61.809999999999995</v>
      </c>
      <c r="Q1150" s="136"/>
      <c r="R1150" s="79">
        <v>52.91</v>
      </c>
      <c r="S1150" s="79">
        <v>8.8699999999999992</v>
      </c>
      <c r="T1150" s="79">
        <v>61.779999999999994</v>
      </c>
      <c r="U1150" s="79">
        <v>0</v>
      </c>
      <c r="V1150" s="189">
        <v>61.779999999999994</v>
      </c>
      <c r="X1150" s="79">
        <v>52.91</v>
      </c>
      <c r="Y1150" s="79">
        <v>8.8699999999999992</v>
      </c>
      <c r="Z1150" s="79">
        <v>61.78</v>
      </c>
      <c r="AA1150" s="255">
        <v>3.0000000000001137E-2</v>
      </c>
      <c r="AC1150" s="254"/>
    </row>
    <row r="1151" spans="1:29" ht="12">
      <c r="A1151" s="67" t="s">
        <v>12711</v>
      </c>
      <c r="B1151" s="65" t="s">
        <v>12712</v>
      </c>
      <c r="C1151" s="71" t="s">
        <v>165</v>
      </c>
      <c r="D1151" s="78">
        <v>1</v>
      </c>
      <c r="E1151" s="79">
        <v>26.65</v>
      </c>
      <c r="F1151" s="70">
        <v>26.65</v>
      </c>
      <c r="G1151" s="320"/>
      <c r="H1151" s="79">
        <v>23.11</v>
      </c>
      <c r="I1151" s="79">
        <v>3.54</v>
      </c>
      <c r="J1151" s="79">
        <v>26.65</v>
      </c>
      <c r="K1151" s="79">
        <v>0</v>
      </c>
      <c r="L1151" s="70">
        <v>26.65</v>
      </c>
      <c r="M1151" s="132"/>
      <c r="N1151" s="79">
        <v>23.11</v>
      </c>
      <c r="O1151" s="79">
        <v>3.54</v>
      </c>
      <c r="P1151" s="79">
        <v>26.65</v>
      </c>
      <c r="Q1151" s="136"/>
      <c r="R1151" s="79">
        <v>23.11</v>
      </c>
      <c r="S1151" s="79">
        <v>3.52</v>
      </c>
      <c r="T1151" s="79">
        <v>26.63</v>
      </c>
      <c r="U1151" s="79">
        <v>0</v>
      </c>
      <c r="V1151" s="189">
        <v>26.63</v>
      </c>
      <c r="X1151" s="79">
        <v>23.11</v>
      </c>
      <c r="Y1151" s="79">
        <v>3.52</v>
      </c>
      <c r="Z1151" s="79">
        <v>26.63</v>
      </c>
      <c r="AA1151" s="255">
        <v>1.9999999999999574E-2</v>
      </c>
      <c r="AC1151" s="254"/>
    </row>
    <row r="1152" spans="1:29" ht="12">
      <c r="A1152" s="67" t="s">
        <v>12713</v>
      </c>
      <c r="B1152" s="65" t="s">
        <v>12714</v>
      </c>
      <c r="C1152" s="71" t="s">
        <v>165</v>
      </c>
      <c r="D1152" s="78">
        <v>1</v>
      </c>
      <c r="E1152" s="79">
        <v>11.3</v>
      </c>
      <c r="F1152" s="70">
        <v>11.3</v>
      </c>
      <c r="G1152" s="320"/>
      <c r="H1152" s="79">
        <v>11.3</v>
      </c>
      <c r="I1152" s="79">
        <v>0</v>
      </c>
      <c r="J1152" s="79">
        <v>11.3</v>
      </c>
      <c r="K1152" s="79">
        <v>0</v>
      </c>
      <c r="L1152" s="70">
        <v>11.3</v>
      </c>
      <c r="M1152" s="132"/>
      <c r="N1152" s="79">
        <v>11.3</v>
      </c>
      <c r="O1152" s="79"/>
      <c r="P1152" s="79">
        <v>11.3</v>
      </c>
      <c r="Q1152" s="136"/>
      <c r="R1152" s="79">
        <v>11.3</v>
      </c>
      <c r="S1152" s="79"/>
      <c r="T1152" s="79">
        <v>11.3</v>
      </c>
      <c r="U1152" s="79">
        <v>0</v>
      </c>
      <c r="V1152" s="189">
        <v>11.3</v>
      </c>
      <c r="X1152" s="79">
        <v>11.3</v>
      </c>
      <c r="Y1152" s="79"/>
      <c r="Z1152" s="79">
        <v>11.3</v>
      </c>
      <c r="AA1152" s="255">
        <v>0</v>
      </c>
      <c r="AC1152" s="254"/>
    </row>
    <row r="1153" spans="1:31" ht="12">
      <c r="A1153" s="67" t="s">
        <v>12715</v>
      </c>
      <c r="B1153" s="65" t="s">
        <v>12716</v>
      </c>
      <c r="C1153" s="71" t="s">
        <v>165</v>
      </c>
      <c r="D1153" s="78">
        <v>1</v>
      </c>
      <c r="E1153" s="79">
        <v>82.57</v>
      </c>
      <c r="F1153" s="70">
        <v>82.57</v>
      </c>
      <c r="G1153" s="320"/>
      <c r="H1153" s="79">
        <v>82.57</v>
      </c>
      <c r="I1153" s="79">
        <v>0</v>
      </c>
      <c r="J1153" s="79">
        <v>82.57</v>
      </c>
      <c r="K1153" s="79">
        <v>0</v>
      </c>
      <c r="L1153" s="70">
        <v>82.57</v>
      </c>
      <c r="M1153" s="132"/>
      <c r="N1153" s="79">
        <v>82.57</v>
      </c>
      <c r="O1153" s="79"/>
      <c r="P1153" s="79">
        <v>82.57</v>
      </c>
      <c r="Q1153" s="136"/>
      <c r="R1153" s="79">
        <v>82.57</v>
      </c>
      <c r="S1153" s="79"/>
      <c r="T1153" s="79">
        <v>82.57</v>
      </c>
      <c r="U1153" s="79">
        <v>0</v>
      </c>
      <c r="V1153" s="189">
        <v>82.57</v>
      </c>
      <c r="X1153" s="79">
        <v>82.57</v>
      </c>
      <c r="Y1153" s="79"/>
      <c r="Z1153" s="79">
        <v>82.57</v>
      </c>
      <c r="AA1153" s="255">
        <v>0</v>
      </c>
      <c r="AC1153" s="254"/>
    </row>
    <row r="1154" spans="1:31" ht="12">
      <c r="A1154" s="489" t="s">
        <v>12717</v>
      </c>
      <c r="B1154" s="490" t="s">
        <v>12718</v>
      </c>
      <c r="C1154" s="491"/>
      <c r="D1154" s="492"/>
      <c r="E1154" s="79"/>
      <c r="F1154" s="63"/>
      <c r="G1154" s="320"/>
      <c r="H1154" s="79"/>
      <c r="I1154" s="79"/>
      <c r="J1154" s="79"/>
      <c r="K1154" s="79"/>
      <c r="L1154" s="70"/>
      <c r="M1154" s="132"/>
      <c r="N1154" s="79"/>
      <c r="O1154" s="79"/>
      <c r="P1154" s="79"/>
      <c r="Q1154" s="136"/>
      <c r="R1154" s="79"/>
      <c r="S1154" s="79"/>
      <c r="T1154" s="79"/>
      <c r="U1154" s="79"/>
      <c r="V1154" s="189"/>
      <c r="X1154" s="79"/>
      <c r="Y1154" s="79"/>
      <c r="Z1154" s="79"/>
      <c r="AA1154" s="255"/>
      <c r="AC1154" s="254"/>
    </row>
    <row r="1155" spans="1:31" ht="12">
      <c r="A1155" s="67" t="s">
        <v>12719</v>
      </c>
      <c r="B1155" s="65" t="s">
        <v>12720</v>
      </c>
      <c r="C1155" s="71" t="s">
        <v>165</v>
      </c>
      <c r="D1155" s="78">
        <v>1</v>
      </c>
      <c r="E1155" s="79">
        <v>224.75</v>
      </c>
      <c r="F1155" s="70">
        <v>224.75</v>
      </c>
      <c r="G1155" s="320"/>
      <c r="H1155" s="79">
        <v>215.19</v>
      </c>
      <c r="I1155" s="79">
        <v>9.5599999999999987</v>
      </c>
      <c r="J1155" s="79">
        <v>224.75</v>
      </c>
      <c r="K1155" s="79">
        <v>0</v>
      </c>
      <c r="L1155" s="70">
        <v>224.75</v>
      </c>
      <c r="M1155" s="132"/>
      <c r="N1155" s="79">
        <v>215.19</v>
      </c>
      <c r="O1155" s="79">
        <v>9.5599999999999987</v>
      </c>
      <c r="P1155" s="79">
        <v>224.75</v>
      </c>
      <c r="Q1155" s="136"/>
      <c r="R1155" s="79">
        <v>215.19</v>
      </c>
      <c r="S1155" s="79">
        <v>9.56</v>
      </c>
      <c r="T1155" s="79">
        <v>224.75</v>
      </c>
      <c r="U1155" s="79">
        <v>0</v>
      </c>
      <c r="V1155" s="189">
        <v>224.75</v>
      </c>
      <c r="X1155" s="79">
        <v>215.19</v>
      </c>
      <c r="Y1155" s="79">
        <v>9.56</v>
      </c>
      <c r="Z1155" s="79">
        <v>224.75</v>
      </c>
      <c r="AA1155" s="255">
        <v>0</v>
      </c>
      <c r="AC1155" s="254"/>
    </row>
    <row r="1156" spans="1:31" ht="24">
      <c r="A1156" s="67" t="s">
        <v>12721</v>
      </c>
      <c r="B1156" s="65" t="s">
        <v>12722</v>
      </c>
      <c r="C1156" s="71" t="s">
        <v>165</v>
      </c>
      <c r="D1156" s="78">
        <v>1</v>
      </c>
      <c r="E1156" s="79">
        <v>61.14</v>
      </c>
      <c r="F1156" s="70">
        <v>61.14</v>
      </c>
      <c r="G1156" s="320"/>
      <c r="H1156" s="79">
        <v>52.24</v>
      </c>
      <c r="I1156" s="79">
        <v>8.9</v>
      </c>
      <c r="J1156" s="79">
        <v>61.14</v>
      </c>
      <c r="K1156" s="79">
        <v>0</v>
      </c>
      <c r="L1156" s="70">
        <v>61.14</v>
      </c>
      <c r="M1156" s="132"/>
      <c r="N1156" s="79">
        <v>52.24</v>
      </c>
      <c r="O1156" s="79">
        <v>8.9</v>
      </c>
      <c r="P1156" s="79">
        <v>61.14</v>
      </c>
      <c r="Q1156" s="136"/>
      <c r="R1156" s="79">
        <v>52.24</v>
      </c>
      <c r="S1156" s="79">
        <v>8.8699999999999992</v>
      </c>
      <c r="T1156" s="79">
        <v>61.11</v>
      </c>
      <c r="U1156" s="79">
        <v>0</v>
      </c>
      <c r="V1156" s="189">
        <v>61.11</v>
      </c>
      <c r="X1156" s="79">
        <v>52.24</v>
      </c>
      <c r="Y1156" s="79">
        <v>8.8699999999999992</v>
      </c>
      <c r="Z1156" s="79">
        <v>61.11</v>
      </c>
      <c r="AA1156" s="255">
        <v>3.0000000000001137E-2</v>
      </c>
      <c r="AC1156" s="254"/>
    </row>
    <row r="1157" spans="1:31" ht="12">
      <c r="A1157" s="489" t="s">
        <v>12723</v>
      </c>
      <c r="B1157" s="490" t="s">
        <v>12724</v>
      </c>
      <c r="C1157" s="491"/>
      <c r="D1157" s="492"/>
      <c r="E1157" s="79"/>
      <c r="F1157" s="63"/>
      <c r="G1157" s="320"/>
      <c r="H1157" s="79"/>
      <c r="I1157" s="79"/>
      <c r="J1157" s="79"/>
      <c r="K1157" s="79"/>
      <c r="L1157" s="70"/>
      <c r="M1157" s="132"/>
      <c r="N1157" s="79"/>
      <c r="O1157" s="79"/>
      <c r="P1157" s="79"/>
      <c r="Q1157" s="136"/>
      <c r="R1157" s="79"/>
      <c r="S1157" s="79"/>
      <c r="T1157" s="79"/>
      <c r="U1157" s="79"/>
      <c r="V1157" s="189"/>
      <c r="X1157" s="79"/>
      <c r="Y1157" s="79"/>
      <c r="Z1157" s="79"/>
      <c r="AA1157" s="255"/>
      <c r="AC1157" s="254"/>
    </row>
    <row r="1158" spans="1:31" ht="12">
      <c r="A1158" s="67" t="s">
        <v>12725</v>
      </c>
      <c r="B1158" s="65" t="s">
        <v>12726</v>
      </c>
      <c r="C1158" s="71" t="s">
        <v>509</v>
      </c>
      <c r="D1158" s="78">
        <v>1</v>
      </c>
      <c r="E1158" s="79">
        <v>22.85</v>
      </c>
      <c r="F1158" s="70">
        <v>22.85</v>
      </c>
      <c r="G1158" s="320"/>
      <c r="H1158" s="79">
        <v>12.79</v>
      </c>
      <c r="I1158" s="79">
        <v>10.06</v>
      </c>
      <c r="J1158" s="79">
        <v>22.85</v>
      </c>
      <c r="K1158" s="79">
        <v>0</v>
      </c>
      <c r="L1158" s="70">
        <v>22.85</v>
      </c>
      <c r="M1158" s="132"/>
      <c r="N1158" s="79">
        <v>12.79</v>
      </c>
      <c r="O1158" s="79">
        <v>10.06</v>
      </c>
      <c r="P1158" s="79">
        <v>22.85</v>
      </c>
      <c r="Q1158" s="136"/>
      <c r="R1158" s="79">
        <v>12.79</v>
      </c>
      <c r="S1158" s="79">
        <v>10.07</v>
      </c>
      <c r="T1158" s="79">
        <v>22.86</v>
      </c>
      <c r="U1158" s="79">
        <v>0</v>
      </c>
      <c r="V1158" s="189">
        <v>22.86</v>
      </c>
      <c r="X1158" s="79">
        <v>12.79</v>
      </c>
      <c r="Y1158" s="79">
        <v>10.07</v>
      </c>
      <c r="Z1158" s="79">
        <v>22.86</v>
      </c>
      <c r="AA1158" s="255">
        <v>-9.9999999999980105E-3</v>
      </c>
      <c r="AC1158" s="254"/>
    </row>
    <row r="1159" spans="1:31" ht="12">
      <c r="A1159" s="67" t="s">
        <v>12727</v>
      </c>
      <c r="B1159" s="65" t="s">
        <v>12728</v>
      </c>
      <c r="C1159" s="71" t="s">
        <v>509</v>
      </c>
      <c r="D1159" s="78">
        <v>1</v>
      </c>
      <c r="E1159" s="79">
        <v>39.5</v>
      </c>
      <c r="F1159" s="70">
        <v>39.5</v>
      </c>
      <c r="G1159" s="320"/>
      <c r="H1159" s="79">
        <v>4.24</v>
      </c>
      <c r="I1159" s="79">
        <v>35.26</v>
      </c>
      <c r="J1159" s="79">
        <v>39.5</v>
      </c>
      <c r="K1159" s="79">
        <v>0</v>
      </c>
      <c r="L1159" s="70">
        <v>39.5</v>
      </c>
      <c r="M1159" s="132"/>
      <c r="N1159" s="79">
        <v>4.24</v>
      </c>
      <c r="O1159" s="79">
        <v>35.26</v>
      </c>
      <c r="P1159" s="79">
        <v>39.5</v>
      </c>
      <c r="Q1159" s="136"/>
      <c r="R1159" s="79">
        <v>4.24</v>
      </c>
      <c r="S1159" s="79">
        <v>35.25</v>
      </c>
      <c r="T1159" s="79">
        <v>39.49</v>
      </c>
      <c r="U1159" s="79">
        <v>0</v>
      </c>
      <c r="V1159" s="189">
        <v>39.49</v>
      </c>
      <c r="X1159" s="79">
        <v>4.24</v>
      </c>
      <c r="Y1159" s="79">
        <v>35.25</v>
      </c>
      <c r="Z1159" s="79">
        <v>39.49</v>
      </c>
      <c r="AA1159" s="255">
        <v>9.9999999999980105E-3</v>
      </c>
      <c r="AC1159" s="254"/>
    </row>
    <row r="1160" spans="1:31" ht="12">
      <c r="A1160" s="67" t="s">
        <v>12729</v>
      </c>
      <c r="B1160" s="65" t="s">
        <v>12730</v>
      </c>
      <c r="C1160" s="71" t="s">
        <v>509</v>
      </c>
      <c r="D1160" s="78">
        <v>1</v>
      </c>
      <c r="E1160" s="79">
        <v>76.8</v>
      </c>
      <c r="F1160" s="70">
        <v>76.8</v>
      </c>
      <c r="G1160" s="320"/>
      <c r="H1160" s="79">
        <v>0</v>
      </c>
      <c r="I1160" s="79">
        <v>76.8</v>
      </c>
      <c r="J1160" s="79">
        <v>76.8</v>
      </c>
      <c r="K1160" s="79">
        <v>0</v>
      </c>
      <c r="L1160" s="70">
        <v>76.8</v>
      </c>
      <c r="M1160" s="132"/>
      <c r="N1160" s="79"/>
      <c r="O1160" s="79">
        <v>76.8</v>
      </c>
      <c r="P1160" s="79">
        <v>76.8</v>
      </c>
      <c r="Q1160" s="136"/>
      <c r="R1160" s="79"/>
      <c r="S1160" s="79">
        <v>76.8</v>
      </c>
      <c r="T1160" s="79">
        <v>76.8</v>
      </c>
      <c r="U1160" s="79">
        <v>0</v>
      </c>
      <c r="V1160" s="189">
        <v>76.8</v>
      </c>
      <c r="X1160" s="79"/>
      <c r="Y1160" s="79">
        <v>76.8</v>
      </c>
      <c r="Z1160" s="79">
        <v>76.8</v>
      </c>
      <c r="AA1160" s="255">
        <v>0</v>
      </c>
      <c r="AC1160" s="254"/>
    </row>
    <row r="1161" spans="1:31" ht="12">
      <c r="A1161" s="67" t="s">
        <v>12731</v>
      </c>
      <c r="B1161" s="65" t="s">
        <v>2004</v>
      </c>
      <c r="C1161" s="71" t="s">
        <v>103</v>
      </c>
      <c r="D1161" s="78">
        <v>1</v>
      </c>
      <c r="E1161" s="79">
        <v>57.98</v>
      </c>
      <c r="F1161" s="70">
        <v>57.98</v>
      </c>
      <c r="G1161" s="320"/>
      <c r="H1161" s="79">
        <v>57.98</v>
      </c>
      <c r="I1161" s="79">
        <v>0</v>
      </c>
      <c r="J1161" s="79">
        <v>57.98</v>
      </c>
      <c r="K1161" s="79">
        <v>0</v>
      </c>
      <c r="L1161" s="70">
        <v>57.98</v>
      </c>
      <c r="M1161" s="132"/>
      <c r="N1161" s="79">
        <v>57.98</v>
      </c>
      <c r="O1161" s="79"/>
      <c r="P1161" s="79">
        <v>57.98</v>
      </c>
      <c r="Q1161" s="136"/>
      <c r="R1161" s="79">
        <v>57.98</v>
      </c>
      <c r="S1161" s="79"/>
      <c r="T1161" s="79">
        <v>57.98</v>
      </c>
      <c r="U1161" s="79">
        <v>0</v>
      </c>
      <c r="V1161" s="189">
        <v>57.98</v>
      </c>
      <c r="X1161" s="79">
        <v>57.98</v>
      </c>
      <c r="Y1161" s="79"/>
      <c r="Z1161" s="79">
        <v>57.98</v>
      </c>
      <c r="AA1161" s="255">
        <v>0</v>
      </c>
      <c r="AC1161" s="254"/>
      <c r="AD1161" s="61"/>
      <c r="AE1161" s="61"/>
    </row>
    <row r="1162" spans="1:31" ht="12">
      <c r="A1162" s="67" t="s">
        <v>12732</v>
      </c>
      <c r="B1162" s="65" t="s">
        <v>12733</v>
      </c>
      <c r="C1162" s="71" t="s">
        <v>165</v>
      </c>
      <c r="D1162" s="78">
        <v>1</v>
      </c>
      <c r="E1162" s="79">
        <v>12.83</v>
      </c>
      <c r="F1162" s="70">
        <v>12.83</v>
      </c>
      <c r="G1162" s="320"/>
      <c r="H1162" s="79">
        <v>0</v>
      </c>
      <c r="I1162" s="79">
        <v>12.83</v>
      </c>
      <c r="J1162" s="79">
        <v>12.83</v>
      </c>
      <c r="K1162" s="79">
        <v>0</v>
      </c>
      <c r="L1162" s="70">
        <v>12.83</v>
      </c>
      <c r="M1162" s="132"/>
      <c r="N1162" s="79"/>
      <c r="O1162" s="79">
        <v>12.83</v>
      </c>
      <c r="P1162" s="79">
        <v>12.83</v>
      </c>
      <c r="Q1162" s="136"/>
      <c r="R1162" s="79"/>
      <c r="S1162" s="79">
        <v>12.83</v>
      </c>
      <c r="T1162" s="79">
        <v>12.83</v>
      </c>
      <c r="U1162" s="79">
        <v>0</v>
      </c>
      <c r="V1162" s="189">
        <v>12.83</v>
      </c>
      <c r="X1162" s="79"/>
      <c r="Y1162" s="79">
        <v>12.83</v>
      </c>
      <c r="Z1162" s="79">
        <v>12.83</v>
      </c>
      <c r="AA1162" s="255">
        <v>0</v>
      </c>
      <c r="AC1162" s="254"/>
      <c r="AD1162" s="61"/>
      <c r="AE1162" s="61"/>
    </row>
    <row r="1163" spans="1:31" s="61" customFormat="1" ht="12">
      <c r="A1163" s="67" t="s">
        <v>12734</v>
      </c>
      <c r="B1163" s="65" t="s">
        <v>12735</v>
      </c>
      <c r="C1163" s="71" t="s">
        <v>165</v>
      </c>
      <c r="D1163" s="78">
        <v>1</v>
      </c>
      <c r="E1163" s="79">
        <v>30.319999999999997</v>
      </c>
      <c r="F1163" s="70">
        <v>30.32</v>
      </c>
      <c r="G1163" s="320"/>
      <c r="H1163" s="79">
        <v>16.489999999999998</v>
      </c>
      <c r="I1163" s="79">
        <v>13.829999999999998</v>
      </c>
      <c r="J1163" s="79">
        <v>30.319999999999997</v>
      </c>
      <c r="K1163" s="79">
        <v>0</v>
      </c>
      <c r="L1163" s="70">
        <v>30.319999999999997</v>
      </c>
      <c r="M1163" s="132"/>
      <c r="N1163" s="79">
        <v>16.489999999999998</v>
      </c>
      <c r="O1163" s="79">
        <v>13.829999999999998</v>
      </c>
      <c r="P1163" s="79">
        <v>30.319999999999997</v>
      </c>
      <c r="Q1163" s="136"/>
      <c r="R1163" s="79">
        <v>16.489999999999998</v>
      </c>
      <c r="S1163" s="79">
        <v>13.82</v>
      </c>
      <c r="T1163" s="79">
        <v>30.31</v>
      </c>
      <c r="U1163" s="79">
        <v>0</v>
      </c>
      <c r="V1163" s="189">
        <v>30.31</v>
      </c>
      <c r="X1163" s="79">
        <v>16.489999999999998</v>
      </c>
      <c r="Y1163" s="79">
        <v>13.82</v>
      </c>
      <c r="Z1163" s="79">
        <v>30.31</v>
      </c>
      <c r="AA1163" s="255">
        <v>1.0000000000001563E-2</v>
      </c>
      <c r="AC1163" s="254"/>
      <c r="AD1163" s="236"/>
      <c r="AE1163" s="236"/>
    </row>
    <row r="1164" spans="1:31" s="61" customFormat="1" ht="12">
      <c r="A1164" s="67" t="s">
        <v>12736</v>
      </c>
      <c r="B1164" s="65" t="s">
        <v>12737</v>
      </c>
      <c r="C1164" s="71" t="s">
        <v>165</v>
      </c>
      <c r="D1164" s="78">
        <v>1</v>
      </c>
      <c r="E1164" s="79">
        <v>30.569999999999997</v>
      </c>
      <c r="F1164" s="70">
        <v>30.57</v>
      </c>
      <c r="G1164" s="320"/>
      <c r="H1164" s="79">
        <v>16.739999999999998</v>
      </c>
      <c r="I1164" s="79">
        <v>13.829999999999998</v>
      </c>
      <c r="J1164" s="79">
        <v>30.569999999999997</v>
      </c>
      <c r="K1164" s="79">
        <v>0</v>
      </c>
      <c r="L1164" s="70">
        <v>30.569999999999997</v>
      </c>
      <c r="M1164" s="132"/>
      <c r="N1164" s="79">
        <v>16.739999999999998</v>
      </c>
      <c r="O1164" s="79">
        <v>13.829999999999998</v>
      </c>
      <c r="P1164" s="79">
        <v>30.569999999999997</v>
      </c>
      <c r="Q1164" s="136"/>
      <c r="R1164" s="79">
        <v>16.739999999999998</v>
      </c>
      <c r="S1164" s="79">
        <v>13.82</v>
      </c>
      <c r="T1164" s="79">
        <v>30.56</v>
      </c>
      <c r="U1164" s="79">
        <v>0</v>
      </c>
      <c r="V1164" s="189">
        <v>30.56</v>
      </c>
      <c r="X1164" s="79">
        <v>16.739999999999998</v>
      </c>
      <c r="Y1164" s="79">
        <v>13.82</v>
      </c>
      <c r="Z1164" s="79">
        <v>30.56</v>
      </c>
      <c r="AA1164" s="255">
        <v>1.0000000000001563E-2</v>
      </c>
      <c r="AC1164" s="254"/>
      <c r="AD1164" s="236"/>
      <c r="AE1164" s="236"/>
    </row>
    <row r="1165" spans="1:31" ht="12">
      <c r="A1165" s="67" t="s">
        <v>12738</v>
      </c>
      <c r="B1165" s="65" t="s">
        <v>12739</v>
      </c>
      <c r="C1165" s="71" t="s">
        <v>165</v>
      </c>
      <c r="D1165" s="78">
        <v>1</v>
      </c>
      <c r="E1165" s="79">
        <v>66.459999999999994</v>
      </c>
      <c r="F1165" s="70">
        <v>66.459999999999994</v>
      </c>
      <c r="G1165" s="320"/>
      <c r="H1165" s="79">
        <v>62.92</v>
      </c>
      <c r="I1165" s="79">
        <v>3.54</v>
      </c>
      <c r="J1165" s="79">
        <v>66.460000000000008</v>
      </c>
      <c r="K1165" s="79">
        <v>0</v>
      </c>
      <c r="L1165" s="70">
        <v>66.460000000000008</v>
      </c>
      <c r="M1165" s="132"/>
      <c r="N1165" s="79">
        <v>62.92</v>
      </c>
      <c r="O1165" s="79">
        <v>3.54</v>
      </c>
      <c r="P1165" s="79">
        <v>66.460000000000008</v>
      </c>
      <c r="Q1165" s="136"/>
      <c r="R1165" s="79">
        <v>62.92</v>
      </c>
      <c r="S1165" s="79">
        <v>3.52</v>
      </c>
      <c r="T1165" s="79">
        <v>66.44</v>
      </c>
      <c r="U1165" s="79">
        <v>0</v>
      </c>
      <c r="V1165" s="189">
        <v>66.44</v>
      </c>
      <c r="X1165" s="79">
        <v>62.92</v>
      </c>
      <c r="Y1165" s="79">
        <v>3.52</v>
      </c>
      <c r="Z1165" s="79">
        <v>66.44</v>
      </c>
      <c r="AA1165" s="255">
        <v>1.9999999999996021E-2</v>
      </c>
      <c r="AC1165" s="254"/>
    </row>
    <row r="1166" spans="1:31" ht="12">
      <c r="A1166" s="67" t="s">
        <v>12740</v>
      </c>
      <c r="B1166" s="65" t="s">
        <v>12741</v>
      </c>
      <c r="C1166" s="71" t="s">
        <v>165</v>
      </c>
      <c r="D1166" s="78">
        <v>1</v>
      </c>
      <c r="E1166" s="79">
        <v>19.100000000000001</v>
      </c>
      <c r="F1166" s="70">
        <v>19.100000000000001</v>
      </c>
      <c r="G1166" s="320"/>
      <c r="H1166" s="79">
        <v>17.34</v>
      </c>
      <c r="I1166" s="79">
        <v>1.76</v>
      </c>
      <c r="J1166" s="79">
        <v>19.100000000000001</v>
      </c>
      <c r="K1166" s="79">
        <v>0</v>
      </c>
      <c r="L1166" s="70">
        <v>19.100000000000001</v>
      </c>
      <c r="M1166" s="132"/>
      <c r="N1166" s="79">
        <v>17.34</v>
      </c>
      <c r="O1166" s="79">
        <v>1.76</v>
      </c>
      <c r="P1166" s="79">
        <v>19.100000000000001</v>
      </c>
      <c r="Q1166" s="136"/>
      <c r="R1166" s="79">
        <v>17.34</v>
      </c>
      <c r="S1166" s="79">
        <v>1.76</v>
      </c>
      <c r="T1166" s="79">
        <v>19.100000000000001</v>
      </c>
      <c r="U1166" s="79">
        <v>0</v>
      </c>
      <c r="V1166" s="189">
        <v>19.100000000000001</v>
      </c>
      <c r="X1166" s="79">
        <v>17.34</v>
      </c>
      <c r="Y1166" s="79">
        <v>1.76</v>
      </c>
      <c r="Z1166" s="79">
        <v>19.100000000000001</v>
      </c>
      <c r="AA1166" s="255">
        <v>0</v>
      </c>
      <c r="AC1166" s="254"/>
    </row>
    <row r="1167" spans="1:31" ht="12">
      <c r="A1167" s="67" t="s">
        <v>12742</v>
      </c>
      <c r="B1167" s="65" t="s">
        <v>12743</v>
      </c>
      <c r="C1167" s="71" t="s">
        <v>165</v>
      </c>
      <c r="D1167" s="78">
        <v>1</v>
      </c>
      <c r="E1167" s="79">
        <v>46.480000000000004</v>
      </c>
      <c r="F1167" s="70">
        <v>46.48</v>
      </c>
      <c r="G1167" s="320"/>
      <c r="H1167" s="79">
        <v>38.93</v>
      </c>
      <c r="I1167" s="79">
        <v>7.5500000000000007</v>
      </c>
      <c r="J1167" s="79">
        <v>46.480000000000004</v>
      </c>
      <c r="K1167" s="79">
        <v>0</v>
      </c>
      <c r="L1167" s="70">
        <v>46.480000000000004</v>
      </c>
      <c r="M1167" s="132"/>
      <c r="N1167" s="79">
        <v>38.93</v>
      </c>
      <c r="O1167" s="79">
        <v>7.5500000000000007</v>
      </c>
      <c r="P1167" s="79">
        <v>46.480000000000004</v>
      </c>
      <c r="Q1167" s="136"/>
      <c r="R1167" s="79">
        <v>38.93</v>
      </c>
      <c r="S1167" s="79">
        <v>7.56</v>
      </c>
      <c r="T1167" s="79"/>
      <c r="U1167" s="79">
        <v>0</v>
      </c>
      <c r="V1167" s="189"/>
      <c r="X1167" s="79">
        <v>38.93</v>
      </c>
      <c r="Y1167" s="79">
        <v>7.56</v>
      </c>
      <c r="Z1167" s="79">
        <v>46.49</v>
      </c>
      <c r="AA1167" s="255">
        <v>-1.0000000000005116E-2</v>
      </c>
      <c r="AC1167" s="254"/>
    </row>
    <row r="1168" spans="1:31" ht="12">
      <c r="A1168" s="489" t="s">
        <v>12744</v>
      </c>
      <c r="B1168" s="490" t="s">
        <v>12745</v>
      </c>
      <c r="C1168" s="491"/>
      <c r="D1168" s="492"/>
      <c r="E1168" s="79"/>
      <c r="F1168" s="63"/>
      <c r="G1168" s="320"/>
      <c r="H1168" s="79"/>
      <c r="I1168" s="79"/>
      <c r="J1168" s="79"/>
      <c r="K1168" s="79"/>
      <c r="L1168" s="70"/>
      <c r="M1168" s="132"/>
      <c r="N1168" s="79"/>
      <c r="O1168" s="79"/>
      <c r="P1168" s="79"/>
      <c r="Q1168" s="136"/>
      <c r="R1168" s="79"/>
      <c r="S1168" s="79"/>
      <c r="T1168" s="79"/>
      <c r="U1168" s="79"/>
      <c r="V1168" s="189"/>
      <c r="X1168" s="79"/>
      <c r="Y1168" s="79"/>
      <c r="Z1168" s="79"/>
      <c r="AA1168" s="255"/>
      <c r="AC1168" s="254"/>
    </row>
    <row r="1169" spans="1:29" ht="12">
      <c r="A1169" s="489" t="s">
        <v>12746</v>
      </c>
      <c r="B1169" s="490" t="s">
        <v>12747</v>
      </c>
      <c r="C1169" s="491"/>
      <c r="D1169" s="492"/>
      <c r="E1169" s="79"/>
      <c r="F1169" s="63"/>
      <c r="G1169" s="320"/>
      <c r="H1169" s="79"/>
      <c r="I1169" s="79"/>
      <c r="J1169" s="79"/>
      <c r="K1169" s="79"/>
      <c r="L1169" s="70"/>
      <c r="M1169" s="132"/>
      <c r="N1169" s="79"/>
      <c r="O1169" s="79"/>
      <c r="P1169" s="79"/>
      <c r="Q1169" s="136"/>
      <c r="R1169" s="79"/>
      <c r="S1169" s="79"/>
      <c r="T1169" s="79"/>
      <c r="U1169" s="79"/>
      <c r="V1169" s="189"/>
      <c r="X1169" s="79"/>
      <c r="Y1169" s="79"/>
      <c r="Z1169" s="79"/>
      <c r="AA1169" s="255"/>
      <c r="AC1169" s="254"/>
    </row>
    <row r="1170" spans="1:29" ht="12">
      <c r="A1170" s="67" t="s">
        <v>12748</v>
      </c>
      <c r="B1170" s="65" t="s">
        <v>12749</v>
      </c>
      <c r="C1170" s="71" t="s">
        <v>509</v>
      </c>
      <c r="D1170" s="78">
        <v>1</v>
      </c>
      <c r="E1170" s="79">
        <v>88.22999999999999</v>
      </c>
      <c r="F1170" s="70">
        <v>88.23</v>
      </c>
      <c r="G1170" s="320"/>
      <c r="H1170" s="79">
        <v>58.01</v>
      </c>
      <c r="I1170" s="79">
        <v>30.22</v>
      </c>
      <c r="J1170" s="79">
        <v>88.22999999999999</v>
      </c>
      <c r="K1170" s="79">
        <v>0</v>
      </c>
      <c r="L1170" s="70">
        <v>88.22999999999999</v>
      </c>
      <c r="M1170" s="132"/>
      <c r="N1170" s="79">
        <v>58.01</v>
      </c>
      <c r="O1170" s="79">
        <v>30.22</v>
      </c>
      <c r="P1170" s="79">
        <v>88.22999999999999</v>
      </c>
      <c r="Q1170" s="136"/>
      <c r="R1170" s="79">
        <v>58.01</v>
      </c>
      <c r="S1170" s="79">
        <v>30.21</v>
      </c>
      <c r="T1170" s="79">
        <v>88.22</v>
      </c>
      <c r="U1170" s="79">
        <v>0</v>
      </c>
      <c r="V1170" s="189">
        <v>88.22</v>
      </c>
      <c r="X1170" s="79">
        <v>58.01</v>
      </c>
      <c r="Y1170" s="79">
        <v>30.21</v>
      </c>
      <c r="Z1170" s="79">
        <v>88.22</v>
      </c>
      <c r="AA1170" s="255">
        <v>1.0000000000005116E-2</v>
      </c>
      <c r="AC1170" s="254"/>
    </row>
    <row r="1171" spans="1:29" ht="12">
      <c r="A1171" s="67" t="s">
        <v>12750</v>
      </c>
      <c r="B1171" s="65" t="s">
        <v>12751</v>
      </c>
      <c r="C1171" s="71" t="s">
        <v>509</v>
      </c>
      <c r="D1171" s="78">
        <v>1</v>
      </c>
      <c r="E1171" s="79">
        <v>135.62999999999997</v>
      </c>
      <c r="F1171" s="70">
        <v>135.63</v>
      </c>
      <c r="G1171" s="320"/>
      <c r="H1171" s="79">
        <v>75.220000000000013</v>
      </c>
      <c r="I1171" s="79">
        <v>60.41</v>
      </c>
      <c r="J1171" s="79">
        <v>135.63</v>
      </c>
      <c r="K1171" s="79">
        <v>0</v>
      </c>
      <c r="L1171" s="70">
        <v>135.63</v>
      </c>
      <c r="M1171" s="132"/>
      <c r="N1171" s="79">
        <v>75.220000000000013</v>
      </c>
      <c r="O1171" s="79">
        <v>60.41</v>
      </c>
      <c r="P1171" s="79">
        <v>135.63</v>
      </c>
      <c r="Q1171" s="136"/>
      <c r="R1171" s="79">
        <v>75.22</v>
      </c>
      <c r="S1171" s="79">
        <v>60.42</v>
      </c>
      <c r="T1171" s="79">
        <v>135.63999999999999</v>
      </c>
      <c r="U1171" s="79">
        <v>0</v>
      </c>
      <c r="V1171" s="189">
        <v>135.63999999999999</v>
      </c>
      <c r="X1171" s="79">
        <v>75.22</v>
      </c>
      <c r="Y1171" s="79">
        <v>60.42</v>
      </c>
      <c r="Z1171" s="79">
        <v>135.63999999999999</v>
      </c>
      <c r="AA1171" s="255">
        <v>-9.9999999999909051E-3</v>
      </c>
      <c r="AC1171" s="254"/>
    </row>
    <row r="1172" spans="1:29" ht="12">
      <c r="A1172" s="67" t="s">
        <v>12752</v>
      </c>
      <c r="B1172" s="65" t="s">
        <v>12753</v>
      </c>
      <c r="C1172" s="71" t="s">
        <v>509</v>
      </c>
      <c r="D1172" s="78">
        <v>1</v>
      </c>
      <c r="E1172" s="79">
        <v>167.21</v>
      </c>
      <c r="F1172" s="70">
        <v>167.21</v>
      </c>
      <c r="G1172" s="320"/>
      <c r="H1172" s="79">
        <v>101.75000000000001</v>
      </c>
      <c r="I1172" s="79">
        <v>65.460000000000008</v>
      </c>
      <c r="J1172" s="79">
        <v>167.21000000000004</v>
      </c>
      <c r="K1172" s="79">
        <v>0</v>
      </c>
      <c r="L1172" s="70">
        <v>167.21000000000004</v>
      </c>
      <c r="M1172" s="132"/>
      <c r="N1172" s="79">
        <v>101.75000000000001</v>
      </c>
      <c r="O1172" s="79">
        <v>65.460000000000008</v>
      </c>
      <c r="P1172" s="79">
        <v>167.21000000000004</v>
      </c>
      <c r="Q1172" s="136"/>
      <c r="R1172" s="79">
        <v>101.75</v>
      </c>
      <c r="S1172" s="79">
        <v>65.45</v>
      </c>
      <c r="T1172" s="79">
        <v>167.2</v>
      </c>
      <c r="U1172" s="79">
        <v>0</v>
      </c>
      <c r="V1172" s="189">
        <v>167.2</v>
      </c>
      <c r="X1172" s="79">
        <v>101.75</v>
      </c>
      <c r="Y1172" s="79">
        <v>65.45</v>
      </c>
      <c r="Z1172" s="79">
        <v>167.2</v>
      </c>
      <c r="AA1172" s="255">
        <v>1.0000000000019327E-2</v>
      </c>
      <c r="AC1172" s="254"/>
    </row>
    <row r="1173" spans="1:29" ht="12">
      <c r="A1173" s="67" t="s">
        <v>12754</v>
      </c>
      <c r="B1173" s="65" t="s">
        <v>12755</v>
      </c>
      <c r="C1173" s="71" t="s">
        <v>165</v>
      </c>
      <c r="D1173" s="78">
        <v>1</v>
      </c>
      <c r="E1173" s="79">
        <v>40.660000000000004</v>
      </c>
      <c r="F1173" s="70">
        <v>40.659999999999997</v>
      </c>
      <c r="G1173" s="320"/>
      <c r="H1173" s="79">
        <v>20.53</v>
      </c>
      <c r="I1173" s="79">
        <v>20.130000000000003</v>
      </c>
      <c r="J1173" s="79">
        <v>40.660000000000004</v>
      </c>
      <c r="K1173" s="79">
        <v>0</v>
      </c>
      <c r="L1173" s="70">
        <v>40.660000000000004</v>
      </c>
      <c r="M1173" s="132"/>
      <c r="N1173" s="79">
        <v>20.53</v>
      </c>
      <c r="O1173" s="79">
        <v>20.130000000000003</v>
      </c>
      <c r="P1173" s="79">
        <v>40.660000000000004</v>
      </c>
      <c r="Q1173" s="136"/>
      <c r="R1173" s="79">
        <v>20.53</v>
      </c>
      <c r="S1173" s="79">
        <v>20.14</v>
      </c>
      <c r="T1173" s="79">
        <v>40.67</v>
      </c>
      <c r="U1173" s="79">
        <v>0</v>
      </c>
      <c r="V1173" s="189">
        <v>40.67</v>
      </c>
      <c r="X1173" s="79">
        <v>20.53</v>
      </c>
      <c r="Y1173" s="79">
        <v>20.14</v>
      </c>
      <c r="Z1173" s="79">
        <v>40.67</v>
      </c>
      <c r="AA1173" s="255">
        <v>-1.0000000000005116E-2</v>
      </c>
      <c r="AC1173" s="254"/>
    </row>
    <row r="1174" spans="1:29" ht="24">
      <c r="A1174" s="67" t="s">
        <v>12756</v>
      </c>
      <c r="B1174" s="65" t="s">
        <v>12757</v>
      </c>
      <c r="C1174" s="71" t="s">
        <v>509</v>
      </c>
      <c r="D1174" s="78">
        <v>1</v>
      </c>
      <c r="E1174" s="79">
        <v>201.42000000000002</v>
      </c>
      <c r="F1174" s="70">
        <v>201.42</v>
      </c>
      <c r="G1174" s="320"/>
      <c r="H1174" s="79">
        <v>141.01</v>
      </c>
      <c r="I1174" s="79">
        <v>60.41</v>
      </c>
      <c r="J1174" s="79">
        <v>201.42</v>
      </c>
      <c r="K1174" s="79">
        <v>0</v>
      </c>
      <c r="L1174" s="70">
        <v>201.42</v>
      </c>
      <c r="M1174" s="132"/>
      <c r="N1174" s="79">
        <v>141.01</v>
      </c>
      <c r="O1174" s="79">
        <v>60.41</v>
      </c>
      <c r="P1174" s="79">
        <v>201.42</v>
      </c>
      <c r="Q1174" s="136"/>
      <c r="R1174" s="79">
        <v>141.01</v>
      </c>
      <c r="S1174" s="79">
        <v>60.42</v>
      </c>
      <c r="T1174" s="79">
        <v>201.43</v>
      </c>
      <c r="U1174" s="79">
        <v>0</v>
      </c>
      <c r="V1174" s="189">
        <v>201.43</v>
      </c>
      <c r="X1174" s="79">
        <v>141.01</v>
      </c>
      <c r="Y1174" s="79">
        <v>60.42</v>
      </c>
      <c r="Z1174" s="79">
        <v>201.43</v>
      </c>
      <c r="AA1174" s="255">
        <v>-1.0000000000019327E-2</v>
      </c>
      <c r="AC1174" s="254"/>
    </row>
    <row r="1175" spans="1:29" ht="12">
      <c r="A1175" s="67" t="s">
        <v>12758</v>
      </c>
      <c r="B1175" s="65" t="s">
        <v>12759</v>
      </c>
      <c r="C1175" s="71" t="s">
        <v>509</v>
      </c>
      <c r="D1175" s="78">
        <v>1</v>
      </c>
      <c r="E1175" s="79">
        <v>136.95999999999998</v>
      </c>
      <c r="F1175" s="70">
        <v>136.96</v>
      </c>
      <c r="G1175" s="320"/>
      <c r="H1175" s="79">
        <v>106.74</v>
      </c>
      <c r="I1175" s="79">
        <v>30.22</v>
      </c>
      <c r="J1175" s="79">
        <v>136.95999999999998</v>
      </c>
      <c r="K1175" s="79">
        <v>0</v>
      </c>
      <c r="L1175" s="70">
        <v>136.95999999999998</v>
      </c>
      <c r="M1175" s="132"/>
      <c r="N1175" s="79">
        <v>106.74</v>
      </c>
      <c r="O1175" s="79">
        <v>30.22</v>
      </c>
      <c r="P1175" s="79">
        <v>136.95999999999998</v>
      </c>
      <c r="Q1175" s="136"/>
      <c r="R1175" s="79">
        <v>106.74</v>
      </c>
      <c r="S1175" s="79">
        <v>30.21</v>
      </c>
      <c r="T1175" s="79">
        <v>136.94999999999999</v>
      </c>
      <c r="U1175" s="79">
        <v>0</v>
      </c>
      <c r="V1175" s="189">
        <v>136.94999999999999</v>
      </c>
      <c r="X1175" s="79">
        <v>106.74</v>
      </c>
      <c r="Y1175" s="79">
        <v>30.21</v>
      </c>
      <c r="Z1175" s="79">
        <v>136.94999999999999</v>
      </c>
      <c r="AA1175" s="255">
        <v>1.0000000000019327E-2</v>
      </c>
      <c r="AC1175" s="254"/>
    </row>
    <row r="1176" spans="1:29" ht="12">
      <c r="A1176" s="489" t="s">
        <v>12760</v>
      </c>
      <c r="B1176" s="490" t="s">
        <v>12761</v>
      </c>
      <c r="C1176" s="491"/>
      <c r="D1176" s="492"/>
      <c r="E1176" s="79"/>
      <c r="F1176" s="63"/>
      <c r="G1176" s="320"/>
      <c r="H1176" s="79"/>
      <c r="I1176" s="79"/>
      <c r="J1176" s="79"/>
      <c r="K1176" s="79"/>
      <c r="L1176" s="70"/>
      <c r="M1176" s="132"/>
      <c r="N1176" s="79"/>
      <c r="O1176" s="79"/>
      <c r="P1176" s="79"/>
      <c r="Q1176" s="136"/>
      <c r="R1176" s="79"/>
      <c r="S1176" s="79"/>
      <c r="T1176" s="79"/>
      <c r="U1176" s="79"/>
      <c r="V1176" s="189"/>
      <c r="X1176" s="79"/>
      <c r="Y1176" s="79"/>
      <c r="Z1176" s="79"/>
      <c r="AA1176" s="255"/>
      <c r="AC1176" s="254"/>
    </row>
    <row r="1177" spans="1:29" ht="12">
      <c r="A1177" s="67" t="s">
        <v>12762</v>
      </c>
      <c r="B1177" s="65" t="s">
        <v>12763</v>
      </c>
      <c r="C1177" s="71" t="s">
        <v>509</v>
      </c>
      <c r="D1177" s="78">
        <v>1</v>
      </c>
      <c r="E1177" s="79">
        <v>154.80000000000001</v>
      </c>
      <c r="F1177" s="70">
        <v>154.80000000000001</v>
      </c>
      <c r="G1177" s="320"/>
      <c r="H1177" s="79">
        <v>154.80000000000001</v>
      </c>
      <c r="I1177" s="79">
        <v>0</v>
      </c>
      <c r="J1177" s="79">
        <v>154.80000000000001</v>
      </c>
      <c r="K1177" s="79">
        <v>0</v>
      </c>
      <c r="L1177" s="70">
        <v>154.80000000000001</v>
      </c>
      <c r="M1177" s="132"/>
      <c r="N1177" s="79">
        <v>154.80000000000001</v>
      </c>
      <c r="O1177" s="79"/>
      <c r="P1177" s="79">
        <v>154.80000000000001</v>
      </c>
      <c r="Q1177" s="136"/>
      <c r="R1177" s="79">
        <v>154.80000000000001</v>
      </c>
      <c r="S1177" s="79"/>
      <c r="T1177" s="79">
        <v>154.80000000000001</v>
      </c>
      <c r="U1177" s="79">
        <v>0</v>
      </c>
      <c r="V1177" s="189">
        <v>154.80000000000001</v>
      </c>
      <c r="X1177" s="79">
        <v>154.80000000000001</v>
      </c>
      <c r="Y1177" s="79"/>
      <c r="Z1177" s="79">
        <v>154.80000000000001</v>
      </c>
      <c r="AA1177" s="255">
        <v>0</v>
      </c>
      <c r="AC1177" s="254"/>
    </row>
    <row r="1178" spans="1:29" ht="12">
      <c r="A1178" s="67" t="s">
        <v>12764</v>
      </c>
      <c r="B1178" s="65" t="s">
        <v>12765</v>
      </c>
      <c r="C1178" s="71" t="s">
        <v>509</v>
      </c>
      <c r="D1178" s="78">
        <v>1</v>
      </c>
      <c r="E1178" s="79">
        <v>129.83000000000001</v>
      </c>
      <c r="F1178" s="70">
        <v>129.83000000000001</v>
      </c>
      <c r="G1178" s="320"/>
      <c r="H1178" s="79">
        <v>129.83000000000001</v>
      </c>
      <c r="I1178" s="79">
        <v>0</v>
      </c>
      <c r="J1178" s="79">
        <v>129.83000000000001</v>
      </c>
      <c r="K1178" s="79">
        <v>0</v>
      </c>
      <c r="L1178" s="70">
        <v>129.83000000000001</v>
      </c>
      <c r="M1178" s="132"/>
      <c r="N1178" s="79">
        <v>129.83000000000001</v>
      </c>
      <c r="O1178" s="79"/>
      <c r="P1178" s="79">
        <v>129.83000000000001</v>
      </c>
      <c r="Q1178" s="136"/>
      <c r="R1178" s="79">
        <v>129.83000000000001</v>
      </c>
      <c r="S1178" s="79"/>
      <c r="T1178" s="79">
        <v>129.83000000000001</v>
      </c>
      <c r="U1178" s="79">
        <v>0</v>
      </c>
      <c r="V1178" s="189">
        <v>129.83000000000001</v>
      </c>
      <c r="X1178" s="79">
        <v>129.83000000000001</v>
      </c>
      <c r="Y1178" s="79"/>
      <c r="Z1178" s="79">
        <v>129.83000000000001</v>
      </c>
      <c r="AA1178" s="255">
        <v>0</v>
      </c>
      <c r="AC1178" s="254"/>
    </row>
    <row r="1179" spans="1:29" ht="12">
      <c r="A1179" s="67" t="s">
        <v>12766</v>
      </c>
      <c r="B1179" s="65" t="s">
        <v>12767</v>
      </c>
      <c r="C1179" s="71" t="s">
        <v>509</v>
      </c>
      <c r="D1179" s="78">
        <v>1</v>
      </c>
      <c r="E1179" s="79">
        <v>105.94</v>
      </c>
      <c r="F1179" s="70">
        <v>105.94</v>
      </c>
      <c r="G1179" s="320"/>
      <c r="H1179" s="79">
        <v>105.94</v>
      </c>
      <c r="I1179" s="79">
        <v>0</v>
      </c>
      <c r="J1179" s="79">
        <v>105.94</v>
      </c>
      <c r="K1179" s="79">
        <v>0</v>
      </c>
      <c r="L1179" s="70">
        <v>105.94</v>
      </c>
      <c r="M1179" s="132"/>
      <c r="N1179" s="79">
        <v>105.94</v>
      </c>
      <c r="O1179" s="79"/>
      <c r="P1179" s="79">
        <v>105.94</v>
      </c>
      <c r="Q1179" s="136"/>
      <c r="R1179" s="79">
        <v>105.94</v>
      </c>
      <c r="S1179" s="79"/>
      <c r="T1179" s="79">
        <v>105.94</v>
      </c>
      <c r="U1179" s="79">
        <v>0</v>
      </c>
      <c r="V1179" s="189">
        <v>105.94</v>
      </c>
      <c r="X1179" s="79">
        <v>105.94</v>
      </c>
      <c r="Y1179" s="79"/>
      <c r="Z1179" s="79">
        <v>105.94</v>
      </c>
      <c r="AA1179" s="255">
        <v>0</v>
      </c>
      <c r="AC1179" s="254"/>
    </row>
    <row r="1180" spans="1:29" ht="12">
      <c r="A1180" s="489" t="s">
        <v>12768</v>
      </c>
      <c r="B1180" s="490" t="s">
        <v>12769</v>
      </c>
      <c r="C1180" s="491"/>
      <c r="D1180" s="492"/>
      <c r="E1180" s="79"/>
      <c r="F1180" s="63"/>
      <c r="G1180" s="320"/>
      <c r="H1180" s="79"/>
      <c r="I1180" s="79"/>
      <c r="J1180" s="79"/>
      <c r="K1180" s="79"/>
      <c r="L1180" s="70"/>
      <c r="M1180" s="132"/>
      <c r="N1180" s="79"/>
      <c r="O1180" s="79"/>
      <c r="P1180" s="79"/>
      <c r="Q1180" s="136"/>
      <c r="R1180" s="79"/>
      <c r="S1180" s="79"/>
      <c r="T1180" s="79"/>
      <c r="U1180" s="79"/>
      <c r="V1180" s="189"/>
      <c r="X1180" s="79"/>
      <c r="Y1180" s="79"/>
      <c r="Z1180" s="79"/>
      <c r="AA1180" s="255"/>
      <c r="AC1180" s="254"/>
    </row>
    <row r="1181" spans="1:29" ht="12">
      <c r="A1181" s="67" t="s">
        <v>12770</v>
      </c>
      <c r="B1181" s="65" t="s">
        <v>12771</v>
      </c>
      <c r="C1181" s="71" t="s">
        <v>509</v>
      </c>
      <c r="D1181" s="78">
        <v>1</v>
      </c>
      <c r="E1181" s="79">
        <v>124.26</v>
      </c>
      <c r="F1181" s="70">
        <v>124.26</v>
      </c>
      <c r="G1181" s="320"/>
      <c r="H1181" s="79">
        <v>124.26</v>
      </c>
      <c r="I1181" s="79">
        <v>0</v>
      </c>
      <c r="J1181" s="79">
        <v>124.26</v>
      </c>
      <c r="K1181" s="79">
        <v>0</v>
      </c>
      <c r="L1181" s="70">
        <v>124.26</v>
      </c>
      <c r="M1181" s="132"/>
      <c r="N1181" s="79">
        <v>124.26</v>
      </c>
      <c r="O1181" s="79"/>
      <c r="P1181" s="79">
        <v>124.26</v>
      </c>
      <c r="Q1181" s="136"/>
      <c r="R1181" s="79">
        <v>124.26</v>
      </c>
      <c r="S1181" s="79"/>
      <c r="T1181" s="79">
        <v>124.26</v>
      </c>
      <c r="U1181" s="79">
        <v>0</v>
      </c>
      <c r="V1181" s="189">
        <v>124.26</v>
      </c>
      <c r="X1181" s="79">
        <v>124.26</v>
      </c>
      <c r="Y1181" s="79"/>
      <c r="Z1181" s="79">
        <v>124.26</v>
      </c>
      <c r="AA1181" s="255">
        <v>0</v>
      </c>
      <c r="AC1181" s="254"/>
    </row>
    <row r="1182" spans="1:29" ht="12">
      <c r="A1182" s="67" t="s">
        <v>12772</v>
      </c>
      <c r="B1182" s="65" t="s">
        <v>12773</v>
      </c>
      <c r="C1182" s="71" t="s">
        <v>509</v>
      </c>
      <c r="D1182" s="78">
        <v>1</v>
      </c>
      <c r="E1182" s="79">
        <v>181.89</v>
      </c>
      <c r="F1182" s="70">
        <v>181.89</v>
      </c>
      <c r="G1182" s="320"/>
      <c r="H1182" s="79">
        <v>181.89</v>
      </c>
      <c r="I1182" s="79">
        <v>0</v>
      </c>
      <c r="J1182" s="79">
        <v>181.89</v>
      </c>
      <c r="K1182" s="79">
        <v>0</v>
      </c>
      <c r="L1182" s="70">
        <v>181.89</v>
      </c>
      <c r="M1182" s="132"/>
      <c r="N1182" s="79">
        <v>181.89</v>
      </c>
      <c r="O1182" s="79"/>
      <c r="P1182" s="79">
        <v>181.89</v>
      </c>
      <c r="Q1182" s="136"/>
      <c r="R1182" s="79">
        <v>181.89</v>
      </c>
      <c r="S1182" s="79"/>
      <c r="T1182" s="79">
        <v>181.89</v>
      </c>
      <c r="U1182" s="79">
        <v>0</v>
      </c>
      <c r="V1182" s="189">
        <v>181.89</v>
      </c>
      <c r="X1182" s="79">
        <v>181.89</v>
      </c>
      <c r="Y1182" s="79"/>
      <c r="Z1182" s="79">
        <v>181.89</v>
      </c>
      <c r="AA1182" s="255">
        <v>0</v>
      </c>
      <c r="AC1182" s="254"/>
    </row>
    <row r="1183" spans="1:29" ht="12">
      <c r="A1183" s="67" t="s">
        <v>12774</v>
      </c>
      <c r="B1183" s="65" t="s">
        <v>12775</v>
      </c>
      <c r="C1183" s="71" t="s">
        <v>509</v>
      </c>
      <c r="D1183" s="78">
        <v>1</v>
      </c>
      <c r="E1183" s="79">
        <v>106.66</v>
      </c>
      <c r="F1183" s="70">
        <v>106.66</v>
      </c>
      <c r="G1183" s="320"/>
      <c r="H1183" s="79">
        <v>106.66</v>
      </c>
      <c r="I1183" s="79">
        <v>0</v>
      </c>
      <c r="J1183" s="79">
        <v>106.66</v>
      </c>
      <c r="K1183" s="79">
        <v>0</v>
      </c>
      <c r="L1183" s="70">
        <v>106.66</v>
      </c>
      <c r="M1183" s="132"/>
      <c r="N1183" s="79">
        <v>106.66</v>
      </c>
      <c r="O1183" s="79"/>
      <c r="P1183" s="79">
        <v>106.66</v>
      </c>
      <c r="Q1183" s="136"/>
      <c r="R1183" s="79">
        <v>106.66</v>
      </c>
      <c r="S1183" s="79"/>
      <c r="T1183" s="79">
        <v>106.66</v>
      </c>
      <c r="U1183" s="79">
        <v>0</v>
      </c>
      <c r="V1183" s="189">
        <v>106.66</v>
      </c>
      <c r="X1183" s="79">
        <v>106.66</v>
      </c>
      <c r="Y1183" s="79"/>
      <c r="Z1183" s="79">
        <v>106.66</v>
      </c>
      <c r="AA1183" s="255">
        <v>0</v>
      </c>
      <c r="AC1183" s="254"/>
    </row>
    <row r="1184" spans="1:29" ht="12">
      <c r="A1184" s="67" t="s">
        <v>12776</v>
      </c>
      <c r="B1184" s="65" t="s">
        <v>12777</v>
      </c>
      <c r="C1184" s="71" t="s">
        <v>509</v>
      </c>
      <c r="D1184" s="78">
        <v>1</v>
      </c>
      <c r="E1184" s="79">
        <v>176.84</v>
      </c>
      <c r="F1184" s="70">
        <v>176.84</v>
      </c>
      <c r="G1184" s="320"/>
      <c r="H1184" s="79">
        <v>176.84</v>
      </c>
      <c r="I1184" s="79">
        <v>0</v>
      </c>
      <c r="J1184" s="79">
        <v>176.84</v>
      </c>
      <c r="K1184" s="79">
        <v>0</v>
      </c>
      <c r="L1184" s="70">
        <v>176.84</v>
      </c>
      <c r="M1184" s="132"/>
      <c r="N1184" s="79">
        <v>176.84</v>
      </c>
      <c r="O1184" s="79"/>
      <c r="P1184" s="79">
        <v>176.84</v>
      </c>
      <c r="Q1184" s="136"/>
      <c r="R1184" s="79">
        <v>176.84</v>
      </c>
      <c r="S1184" s="79"/>
      <c r="T1184" s="79">
        <v>176.84</v>
      </c>
      <c r="U1184" s="79">
        <v>0</v>
      </c>
      <c r="V1184" s="189">
        <v>176.84</v>
      </c>
      <c r="X1184" s="79">
        <v>176.84</v>
      </c>
      <c r="Y1184" s="79"/>
      <c r="Z1184" s="79">
        <v>176.84</v>
      </c>
      <c r="AA1184" s="255">
        <v>0</v>
      </c>
      <c r="AC1184" s="254"/>
    </row>
    <row r="1185" spans="1:31" ht="12">
      <c r="A1185" s="67" t="s">
        <v>12778</v>
      </c>
      <c r="B1185" s="65" t="s">
        <v>12779</v>
      </c>
      <c r="C1185" s="71" t="s">
        <v>509</v>
      </c>
      <c r="D1185" s="78">
        <v>1</v>
      </c>
      <c r="E1185" s="79">
        <v>116.86</v>
      </c>
      <c r="F1185" s="70">
        <v>116.86</v>
      </c>
      <c r="G1185" s="320"/>
      <c r="H1185" s="79">
        <v>116.86</v>
      </c>
      <c r="I1185" s="79">
        <v>0</v>
      </c>
      <c r="J1185" s="79">
        <v>116.86</v>
      </c>
      <c r="K1185" s="79">
        <v>0</v>
      </c>
      <c r="L1185" s="70">
        <v>116.86</v>
      </c>
      <c r="M1185" s="132"/>
      <c r="N1185" s="79">
        <v>116.86</v>
      </c>
      <c r="O1185" s="79"/>
      <c r="P1185" s="79">
        <v>116.86</v>
      </c>
      <c r="Q1185" s="136"/>
      <c r="R1185" s="79">
        <v>116.86</v>
      </c>
      <c r="S1185" s="79"/>
      <c r="T1185" s="79">
        <v>116.86</v>
      </c>
      <c r="U1185" s="79">
        <v>0</v>
      </c>
      <c r="V1185" s="189">
        <v>116.86</v>
      </c>
      <c r="X1185" s="79">
        <v>116.86</v>
      </c>
      <c r="Y1185" s="79"/>
      <c r="Z1185" s="79">
        <v>116.86</v>
      </c>
      <c r="AA1185" s="255">
        <v>0</v>
      </c>
      <c r="AC1185" s="254"/>
    </row>
    <row r="1186" spans="1:31" ht="12">
      <c r="A1186" s="67" t="s">
        <v>12780</v>
      </c>
      <c r="B1186" s="65" t="s">
        <v>12781</v>
      </c>
      <c r="C1186" s="71" t="s">
        <v>509</v>
      </c>
      <c r="D1186" s="78">
        <v>1</v>
      </c>
      <c r="E1186" s="79">
        <v>319.83</v>
      </c>
      <c r="F1186" s="70">
        <v>319.83</v>
      </c>
      <c r="G1186" s="320"/>
      <c r="H1186" s="79">
        <v>319.83</v>
      </c>
      <c r="I1186" s="79">
        <v>0</v>
      </c>
      <c r="J1186" s="79">
        <v>319.83</v>
      </c>
      <c r="K1186" s="79">
        <v>0</v>
      </c>
      <c r="L1186" s="70">
        <v>319.83</v>
      </c>
      <c r="M1186" s="132"/>
      <c r="N1186" s="79">
        <v>319.83</v>
      </c>
      <c r="O1186" s="79"/>
      <c r="P1186" s="79">
        <v>319.83</v>
      </c>
      <c r="Q1186" s="136"/>
      <c r="R1186" s="79">
        <v>319.83</v>
      </c>
      <c r="S1186" s="79"/>
      <c r="T1186" s="79">
        <v>319.83</v>
      </c>
      <c r="U1186" s="79">
        <v>0</v>
      </c>
      <c r="V1186" s="189">
        <v>319.83</v>
      </c>
      <c r="X1186" s="79">
        <v>319.83</v>
      </c>
      <c r="Y1186" s="79"/>
      <c r="Z1186" s="79">
        <v>319.83</v>
      </c>
      <c r="AA1186" s="255">
        <v>0</v>
      </c>
      <c r="AC1186" s="254"/>
    </row>
    <row r="1187" spans="1:31" ht="12">
      <c r="A1187" s="67" t="s">
        <v>12782</v>
      </c>
      <c r="B1187" s="65" t="s">
        <v>12783</v>
      </c>
      <c r="C1187" s="71" t="s">
        <v>509</v>
      </c>
      <c r="D1187" s="78">
        <v>1</v>
      </c>
      <c r="E1187" s="79">
        <v>288.16000000000003</v>
      </c>
      <c r="F1187" s="70">
        <v>288.16000000000003</v>
      </c>
      <c r="G1187" s="320"/>
      <c r="H1187" s="79">
        <v>288.16000000000003</v>
      </c>
      <c r="I1187" s="79">
        <v>0</v>
      </c>
      <c r="J1187" s="79">
        <v>288.16000000000003</v>
      </c>
      <c r="K1187" s="79">
        <v>0</v>
      </c>
      <c r="L1187" s="70">
        <v>288.16000000000003</v>
      </c>
      <c r="M1187" s="132"/>
      <c r="N1187" s="79">
        <v>288.16000000000003</v>
      </c>
      <c r="O1187" s="79"/>
      <c r="P1187" s="79">
        <v>288.16000000000003</v>
      </c>
      <c r="Q1187" s="136"/>
      <c r="R1187" s="79">
        <v>288.16000000000003</v>
      </c>
      <c r="S1187" s="79"/>
      <c r="T1187" s="79">
        <v>288.16000000000003</v>
      </c>
      <c r="U1187" s="79">
        <v>0</v>
      </c>
      <c r="V1187" s="189">
        <v>288.16000000000003</v>
      </c>
      <c r="X1187" s="79">
        <v>288.16000000000003</v>
      </c>
      <c r="Y1187" s="79"/>
      <c r="Z1187" s="79">
        <v>288.16000000000003</v>
      </c>
      <c r="AA1187" s="255">
        <v>0</v>
      </c>
      <c r="AC1187" s="254"/>
    </row>
    <row r="1188" spans="1:31" ht="12">
      <c r="A1188" s="67" t="s">
        <v>12784</v>
      </c>
      <c r="B1188" s="65" t="s">
        <v>12785</v>
      </c>
      <c r="C1188" s="71" t="s">
        <v>509</v>
      </c>
      <c r="D1188" s="78">
        <v>1</v>
      </c>
      <c r="E1188" s="79">
        <v>280.49</v>
      </c>
      <c r="F1188" s="70">
        <v>280.49</v>
      </c>
      <c r="G1188" s="320"/>
      <c r="H1188" s="79">
        <v>280.49</v>
      </c>
      <c r="I1188" s="79">
        <v>0</v>
      </c>
      <c r="J1188" s="79">
        <v>280.49</v>
      </c>
      <c r="K1188" s="79">
        <v>0</v>
      </c>
      <c r="L1188" s="70">
        <v>280.49</v>
      </c>
      <c r="M1188" s="132"/>
      <c r="N1188" s="79">
        <v>280.49</v>
      </c>
      <c r="O1188" s="79"/>
      <c r="P1188" s="79">
        <v>280.49</v>
      </c>
      <c r="Q1188" s="136"/>
      <c r="R1188" s="79">
        <v>280.49</v>
      </c>
      <c r="S1188" s="79"/>
      <c r="T1188" s="79">
        <v>280.49</v>
      </c>
      <c r="U1188" s="79">
        <v>0</v>
      </c>
      <c r="V1188" s="189">
        <v>280.49</v>
      </c>
      <c r="X1188" s="79">
        <v>280.49</v>
      </c>
      <c r="Y1188" s="79"/>
      <c r="Z1188" s="79">
        <v>280.49</v>
      </c>
      <c r="AA1188" s="255">
        <v>0</v>
      </c>
      <c r="AC1188" s="254"/>
    </row>
    <row r="1189" spans="1:31" ht="12">
      <c r="A1189" s="489" t="s">
        <v>12786</v>
      </c>
      <c r="B1189" s="490" t="s">
        <v>12787</v>
      </c>
      <c r="C1189" s="491"/>
      <c r="D1189" s="492"/>
      <c r="E1189" s="79"/>
      <c r="F1189" s="63"/>
      <c r="G1189" s="320"/>
      <c r="H1189" s="79"/>
      <c r="I1189" s="79"/>
      <c r="J1189" s="79"/>
      <c r="K1189" s="79"/>
      <c r="L1189" s="70"/>
      <c r="M1189" s="132"/>
      <c r="N1189" s="79"/>
      <c r="O1189" s="79"/>
      <c r="P1189" s="79"/>
      <c r="Q1189" s="136"/>
      <c r="R1189" s="79"/>
      <c r="S1189" s="79"/>
      <c r="T1189" s="79"/>
      <c r="U1189" s="79"/>
      <c r="V1189" s="189"/>
      <c r="X1189" s="79"/>
      <c r="Y1189" s="79"/>
      <c r="Z1189" s="79"/>
      <c r="AA1189" s="255"/>
      <c r="AC1189" s="254"/>
    </row>
    <row r="1190" spans="1:31" ht="12">
      <c r="A1190" s="67" t="s">
        <v>12788</v>
      </c>
      <c r="B1190" s="65" t="s">
        <v>12789</v>
      </c>
      <c r="C1190" s="71" t="s">
        <v>509</v>
      </c>
      <c r="D1190" s="78">
        <v>1</v>
      </c>
      <c r="E1190" s="79">
        <v>880.77</v>
      </c>
      <c r="F1190" s="70">
        <v>880.77</v>
      </c>
      <c r="G1190" s="320"/>
      <c r="H1190" s="79">
        <v>880.77</v>
      </c>
      <c r="I1190" s="79">
        <v>0</v>
      </c>
      <c r="J1190" s="79">
        <v>880.77</v>
      </c>
      <c r="K1190" s="79">
        <v>0</v>
      </c>
      <c r="L1190" s="70">
        <v>880.77</v>
      </c>
      <c r="M1190" s="132"/>
      <c r="N1190" s="79">
        <v>880.77</v>
      </c>
      <c r="O1190" s="79"/>
      <c r="P1190" s="79">
        <v>880.77</v>
      </c>
      <c r="Q1190" s="136"/>
      <c r="R1190" s="79">
        <v>880.77</v>
      </c>
      <c r="S1190" s="79"/>
      <c r="T1190" s="79">
        <v>880.77</v>
      </c>
      <c r="U1190" s="79">
        <v>0</v>
      </c>
      <c r="V1190" s="189">
        <v>880.77</v>
      </c>
      <c r="X1190" s="79">
        <v>880.77</v>
      </c>
      <c r="Y1190" s="79"/>
      <c r="Z1190" s="79">
        <v>880.77</v>
      </c>
      <c r="AA1190" s="255">
        <v>0</v>
      </c>
      <c r="AC1190" s="254"/>
    </row>
    <row r="1191" spans="1:31" ht="12">
      <c r="A1191" s="67" t="s">
        <v>12790</v>
      </c>
      <c r="B1191" s="65" t="s">
        <v>12791</v>
      </c>
      <c r="C1191" s="71" t="s">
        <v>509</v>
      </c>
      <c r="D1191" s="78">
        <v>1</v>
      </c>
      <c r="E1191" s="79">
        <v>464.6</v>
      </c>
      <c r="F1191" s="70">
        <v>464.6</v>
      </c>
      <c r="G1191" s="320"/>
      <c r="H1191" s="79">
        <v>464.6</v>
      </c>
      <c r="I1191" s="79">
        <v>0</v>
      </c>
      <c r="J1191" s="79">
        <v>464.6</v>
      </c>
      <c r="K1191" s="79">
        <v>0</v>
      </c>
      <c r="L1191" s="70">
        <v>464.6</v>
      </c>
      <c r="M1191" s="132"/>
      <c r="N1191" s="79">
        <v>464.6</v>
      </c>
      <c r="O1191" s="79"/>
      <c r="P1191" s="79">
        <v>464.6</v>
      </c>
      <c r="Q1191" s="136"/>
      <c r="R1191" s="79">
        <v>464.6</v>
      </c>
      <c r="S1191" s="79"/>
      <c r="T1191" s="79">
        <v>464.6</v>
      </c>
      <c r="U1191" s="79">
        <v>0</v>
      </c>
      <c r="V1191" s="189">
        <v>464.6</v>
      </c>
      <c r="X1191" s="79">
        <v>464.6</v>
      </c>
      <c r="Y1191" s="79"/>
      <c r="Z1191" s="79">
        <v>464.6</v>
      </c>
      <c r="AA1191" s="255">
        <v>0</v>
      </c>
      <c r="AC1191" s="254"/>
    </row>
    <row r="1192" spans="1:31" ht="12">
      <c r="A1192" s="489" t="s">
        <v>12792</v>
      </c>
      <c r="B1192" s="490" t="s">
        <v>12793</v>
      </c>
      <c r="C1192" s="491"/>
      <c r="D1192" s="78"/>
      <c r="E1192" s="79"/>
      <c r="F1192" s="70"/>
      <c r="G1192" s="320"/>
      <c r="H1192" s="79"/>
      <c r="I1192" s="79"/>
      <c r="J1192" s="79"/>
      <c r="K1192" s="79"/>
      <c r="L1192" s="70"/>
      <c r="M1192" s="132"/>
      <c r="N1192" s="79"/>
      <c r="O1192" s="79"/>
      <c r="P1192" s="79"/>
      <c r="Q1192" s="136"/>
      <c r="R1192" s="79"/>
      <c r="S1192" s="79"/>
      <c r="T1192" s="79"/>
      <c r="U1192" s="79"/>
      <c r="V1192" s="189"/>
      <c r="X1192" s="79"/>
      <c r="Y1192" s="79"/>
      <c r="Z1192" s="79"/>
      <c r="AA1192" s="255"/>
      <c r="AC1192" s="254"/>
    </row>
    <row r="1193" spans="1:31" ht="12">
      <c r="A1193" s="67" t="s">
        <v>12794</v>
      </c>
      <c r="B1193" s="65" t="s">
        <v>12795</v>
      </c>
      <c r="C1193" s="71" t="s">
        <v>509</v>
      </c>
      <c r="D1193" s="78">
        <v>1</v>
      </c>
      <c r="E1193" s="79">
        <v>410.69000000000005</v>
      </c>
      <c r="F1193" s="70">
        <v>410.69</v>
      </c>
      <c r="G1193" s="320"/>
      <c r="H1193" s="79">
        <v>265.51</v>
      </c>
      <c r="I1193" s="79">
        <v>145.18</v>
      </c>
      <c r="J1193" s="79">
        <v>410.69</v>
      </c>
      <c r="K1193" s="79">
        <v>0</v>
      </c>
      <c r="L1193" s="70">
        <v>410.69</v>
      </c>
      <c r="M1193" s="132"/>
      <c r="N1193" s="79">
        <v>265.51</v>
      </c>
      <c r="O1193" s="79">
        <v>145.18</v>
      </c>
      <c r="P1193" s="79">
        <v>410.69</v>
      </c>
      <c r="Q1193" s="136"/>
      <c r="R1193" s="79">
        <v>265.51</v>
      </c>
      <c r="S1193" s="79">
        <v>145.18</v>
      </c>
      <c r="T1193" s="79">
        <v>410.69</v>
      </c>
      <c r="U1193" s="79">
        <v>0</v>
      </c>
      <c r="V1193" s="189">
        <v>410.69</v>
      </c>
      <c r="X1193" s="79">
        <v>265.51</v>
      </c>
      <c r="Y1193" s="79">
        <v>145.18</v>
      </c>
      <c r="Z1193" s="79">
        <v>410.69</v>
      </c>
      <c r="AA1193" s="255">
        <v>0</v>
      </c>
      <c r="AC1193" s="254"/>
      <c r="AD1193" s="61"/>
      <c r="AE1193" s="61"/>
    </row>
    <row r="1194" spans="1:31" ht="24">
      <c r="A1194" s="67" t="s">
        <v>12796</v>
      </c>
      <c r="B1194" s="65" t="s">
        <v>12797</v>
      </c>
      <c r="C1194" s="71" t="s">
        <v>509</v>
      </c>
      <c r="D1194" s="78">
        <v>1</v>
      </c>
      <c r="E1194" s="79">
        <v>831.31</v>
      </c>
      <c r="F1194" s="70">
        <v>831.31</v>
      </c>
      <c r="G1194" s="320"/>
      <c r="H1194" s="79">
        <v>831.31</v>
      </c>
      <c r="I1194" s="79">
        <v>0</v>
      </c>
      <c r="J1194" s="79">
        <v>831.31</v>
      </c>
      <c r="K1194" s="79">
        <v>0</v>
      </c>
      <c r="L1194" s="70">
        <v>831.31</v>
      </c>
      <c r="M1194" s="132"/>
      <c r="N1194" s="79">
        <v>831.31</v>
      </c>
      <c r="O1194" s="79"/>
      <c r="P1194" s="79">
        <v>831.31</v>
      </c>
      <c r="Q1194" s="136"/>
      <c r="R1194" s="79">
        <v>831.31</v>
      </c>
      <c r="S1194" s="79"/>
      <c r="T1194" s="79">
        <v>831.31</v>
      </c>
      <c r="U1194" s="79">
        <v>0</v>
      </c>
      <c r="V1194" s="189">
        <v>831.31</v>
      </c>
      <c r="X1194" s="79">
        <v>831.31</v>
      </c>
      <c r="Y1194" s="79"/>
      <c r="Z1194" s="79">
        <v>831.31</v>
      </c>
      <c r="AA1194" s="255">
        <v>0</v>
      </c>
      <c r="AC1194" s="254"/>
    </row>
    <row r="1195" spans="1:31" ht="12">
      <c r="A1195" s="67" t="s">
        <v>12798</v>
      </c>
      <c r="B1195" s="65" t="s">
        <v>12799</v>
      </c>
      <c r="C1195" s="71" t="s">
        <v>509</v>
      </c>
      <c r="D1195" s="78">
        <v>1</v>
      </c>
      <c r="E1195" s="79">
        <v>654.5</v>
      </c>
      <c r="F1195" s="70">
        <v>654.5</v>
      </c>
      <c r="G1195" s="320"/>
      <c r="H1195" s="79">
        <v>654.5</v>
      </c>
      <c r="I1195" s="79">
        <v>0</v>
      </c>
      <c r="J1195" s="79">
        <v>654.5</v>
      </c>
      <c r="K1195" s="79">
        <v>0</v>
      </c>
      <c r="L1195" s="70">
        <v>654.5</v>
      </c>
      <c r="M1195" s="132"/>
      <c r="N1195" s="79">
        <v>654.5</v>
      </c>
      <c r="O1195" s="79"/>
      <c r="P1195" s="79">
        <v>654.5</v>
      </c>
      <c r="Q1195" s="136"/>
      <c r="R1195" s="79">
        <v>654.5</v>
      </c>
      <c r="S1195" s="79"/>
      <c r="T1195" s="79">
        <v>654.5</v>
      </c>
      <c r="U1195" s="79">
        <v>0</v>
      </c>
      <c r="V1195" s="189">
        <v>654.5</v>
      </c>
      <c r="X1195" s="79">
        <v>654.5</v>
      </c>
      <c r="Y1195" s="79"/>
      <c r="Z1195" s="79">
        <v>654.5</v>
      </c>
      <c r="AA1195" s="255">
        <v>0</v>
      </c>
      <c r="AC1195" s="254"/>
    </row>
    <row r="1196" spans="1:31" ht="12">
      <c r="A1196" s="67" t="s">
        <v>12800</v>
      </c>
      <c r="B1196" s="65" t="s">
        <v>12801</v>
      </c>
      <c r="C1196" s="71" t="s">
        <v>509</v>
      </c>
      <c r="D1196" s="78">
        <v>1</v>
      </c>
      <c r="E1196" s="79">
        <v>1090.83</v>
      </c>
      <c r="F1196" s="70">
        <v>1090.83</v>
      </c>
      <c r="G1196" s="320"/>
      <c r="H1196" s="79">
        <v>1090.83</v>
      </c>
      <c r="I1196" s="79">
        <v>0</v>
      </c>
      <c r="J1196" s="79">
        <v>1090.83</v>
      </c>
      <c r="K1196" s="79">
        <v>0</v>
      </c>
      <c r="L1196" s="70">
        <v>1090.83</v>
      </c>
      <c r="M1196" s="132"/>
      <c r="N1196" s="79">
        <v>1090.83</v>
      </c>
      <c r="O1196" s="79"/>
      <c r="P1196" s="79">
        <v>1090.83</v>
      </c>
      <c r="Q1196" s="136"/>
      <c r="R1196" s="79">
        <v>1090.83</v>
      </c>
      <c r="S1196" s="79"/>
      <c r="T1196" s="79">
        <v>1090.83</v>
      </c>
      <c r="U1196" s="79">
        <v>0</v>
      </c>
      <c r="V1196" s="189">
        <v>1090.83</v>
      </c>
      <c r="X1196" s="79">
        <v>1090.83</v>
      </c>
      <c r="Y1196" s="79"/>
      <c r="Z1196" s="79">
        <v>1090.83</v>
      </c>
      <c r="AA1196" s="255">
        <v>0</v>
      </c>
      <c r="AC1196" s="254"/>
    </row>
    <row r="1197" spans="1:31" ht="12">
      <c r="A1197" s="489" t="s">
        <v>12802</v>
      </c>
      <c r="B1197" s="490" t="s">
        <v>12803</v>
      </c>
      <c r="C1197" s="491"/>
      <c r="D1197" s="492"/>
      <c r="E1197" s="79"/>
      <c r="F1197" s="63"/>
      <c r="G1197" s="320"/>
      <c r="H1197" s="79"/>
      <c r="I1197" s="79"/>
      <c r="J1197" s="79"/>
      <c r="K1197" s="79"/>
      <c r="L1197" s="70"/>
      <c r="M1197" s="132"/>
      <c r="N1197" s="79"/>
      <c r="O1197" s="79"/>
      <c r="P1197" s="79"/>
      <c r="Q1197" s="136"/>
      <c r="R1197" s="79"/>
      <c r="S1197" s="79"/>
      <c r="T1197" s="79"/>
      <c r="U1197" s="79"/>
      <c r="V1197" s="189"/>
      <c r="X1197" s="79"/>
      <c r="Y1197" s="79"/>
      <c r="Z1197" s="79"/>
      <c r="AA1197" s="255"/>
      <c r="AC1197" s="254"/>
    </row>
    <row r="1198" spans="1:31" ht="12">
      <c r="A1198" s="67" t="s">
        <v>12804</v>
      </c>
      <c r="B1198" s="65" t="s">
        <v>12805</v>
      </c>
      <c r="C1198" s="71" t="s">
        <v>509</v>
      </c>
      <c r="D1198" s="78">
        <v>1</v>
      </c>
      <c r="E1198" s="79">
        <v>78.039999999999992</v>
      </c>
      <c r="F1198" s="70">
        <v>78.040000000000006</v>
      </c>
      <c r="G1198" s="320"/>
      <c r="H1198" s="79">
        <v>70.489999999999995</v>
      </c>
      <c r="I1198" s="79">
        <v>7.5500000000000007</v>
      </c>
      <c r="J1198" s="79">
        <v>78.039999999999992</v>
      </c>
      <c r="K1198" s="79">
        <v>0</v>
      </c>
      <c r="L1198" s="70">
        <v>78.039999999999992</v>
      </c>
      <c r="M1198" s="132"/>
      <c r="N1198" s="79">
        <v>70.489999999999995</v>
      </c>
      <c r="O1198" s="79">
        <v>7.5500000000000007</v>
      </c>
      <c r="P1198" s="79">
        <v>78.039999999999992</v>
      </c>
      <c r="Q1198" s="136"/>
      <c r="R1198" s="79">
        <v>70.489999999999995</v>
      </c>
      <c r="S1198" s="79">
        <v>7.56</v>
      </c>
      <c r="T1198" s="79">
        <v>78.05</v>
      </c>
      <c r="U1198" s="79">
        <v>0</v>
      </c>
      <c r="V1198" s="189">
        <v>78.05</v>
      </c>
      <c r="X1198" s="79">
        <v>70.489999999999995</v>
      </c>
      <c r="Y1198" s="79">
        <v>7.56</v>
      </c>
      <c r="Z1198" s="79">
        <v>78.05</v>
      </c>
      <c r="AA1198" s="255">
        <v>-9.9999999999909051E-3</v>
      </c>
      <c r="AC1198" s="254"/>
    </row>
    <row r="1199" spans="1:31" ht="12">
      <c r="A1199" s="67" t="s">
        <v>12806</v>
      </c>
      <c r="B1199" s="65" t="s">
        <v>12807</v>
      </c>
      <c r="C1199" s="71" t="s">
        <v>509</v>
      </c>
      <c r="D1199" s="78">
        <v>1</v>
      </c>
      <c r="E1199" s="79">
        <v>15.899999999999999</v>
      </c>
      <c r="F1199" s="70">
        <v>15.9</v>
      </c>
      <c r="G1199" s="320"/>
      <c r="H1199" s="79">
        <v>0.79</v>
      </c>
      <c r="I1199" s="79">
        <v>15.11</v>
      </c>
      <c r="J1199" s="79">
        <v>15.899999999999999</v>
      </c>
      <c r="K1199" s="79">
        <v>0</v>
      </c>
      <c r="L1199" s="70">
        <v>15.899999999999999</v>
      </c>
      <c r="M1199" s="132"/>
      <c r="N1199" s="79">
        <v>0.79</v>
      </c>
      <c r="O1199" s="79">
        <v>15.11</v>
      </c>
      <c r="P1199" s="79">
        <v>15.899999999999999</v>
      </c>
      <c r="Q1199" s="136"/>
      <c r="R1199" s="79">
        <v>0.79</v>
      </c>
      <c r="S1199" s="79">
        <v>15.1</v>
      </c>
      <c r="T1199" s="79">
        <v>15.89</v>
      </c>
      <c r="U1199" s="79">
        <v>0</v>
      </c>
      <c r="V1199" s="189">
        <v>15.89</v>
      </c>
      <c r="X1199" s="79">
        <v>0.79</v>
      </c>
      <c r="Y1199" s="79">
        <v>15.1</v>
      </c>
      <c r="Z1199" s="79">
        <v>15.89</v>
      </c>
      <c r="AA1199" s="255">
        <v>9.9999999999997868E-3</v>
      </c>
      <c r="AC1199" s="254"/>
    </row>
    <row r="1200" spans="1:31" ht="12">
      <c r="A1200" s="67" t="s">
        <v>12808</v>
      </c>
      <c r="B1200" s="65" t="s">
        <v>12809</v>
      </c>
      <c r="C1200" s="71" t="s">
        <v>509</v>
      </c>
      <c r="D1200" s="78">
        <v>1</v>
      </c>
      <c r="E1200" s="79">
        <v>7.5500000000000007</v>
      </c>
      <c r="F1200" s="70">
        <v>7.55</v>
      </c>
      <c r="G1200" s="320"/>
      <c r="H1200" s="79">
        <v>0</v>
      </c>
      <c r="I1200" s="79">
        <v>7.5500000000000007</v>
      </c>
      <c r="J1200" s="79">
        <v>7.5500000000000007</v>
      </c>
      <c r="K1200" s="79">
        <v>0</v>
      </c>
      <c r="L1200" s="70">
        <v>7.5500000000000007</v>
      </c>
      <c r="M1200" s="132"/>
      <c r="N1200" s="79"/>
      <c r="O1200" s="79">
        <v>7.5500000000000007</v>
      </c>
      <c r="P1200" s="79">
        <v>7.5500000000000007</v>
      </c>
      <c r="Q1200" s="136"/>
      <c r="R1200" s="79"/>
      <c r="S1200" s="79">
        <v>7.56</v>
      </c>
      <c r="T1200" s="79">
        <v>7.56</v>
      </c>
      <c r="U1200" s="79">
        <v>0</v>
      </c>
      <c r="V1200" s="189">
        <v>7.56</v>
      </c>
      <c r="X1200" s="79"/>
      <c r="Y1200" s="79">
        <v>7.56</v>
      </c>
      <c r="Z1200" s="79">
        <v>7.56</v>
      </c>
      <c r="AA1200" s="255">
        <v>-9.9999999999997868E-3</v>
      </c>
      <c r="AC1200" s="254"/>
    </row>
    <row r="1201" spans="1:29" ht="12">
      <c r="A1201" s="67" t="s">
        <v>12810</v>
      </c>
      <c r="B1201" s="65" t="s">
        <v>12811</v>
      </c>
      <c r="C1201" s="71" t="s">
        <v>165</v>
      </c>
      <c r="D1201" s="78">
        <v>1</v>
      </c>
      <c r="E1201" s="79">
        <v>25.71</v>
      </c>
      <c r="F1201" s="70">
        <v>25.71</v>
      </c>
      <c r="G1201" s="320"/>
      <c r="H1201" s="79">
        <v>25.71</v>
      </c>
      <c r="I1201" s="79">
        <v>0</v>
      </c>
      <c r="J1201" s="79">
        <v>25.71</v>
      </c>
      <c r="K1201" s="79">
        <v>0</v>
      </c>
      <c r="L1201" s="70">
        <v>25.71</v>
      </c>
      <c r="M1201" s="132"/>
      <c r="N1201" s="79">
        <v>25.71</v>
      </c>
      <c r="O1201" s="79"/>
      <c r="P1201" s="79">
        <v>25.71</v>
      </c>
      <c r="Q1201" s="136"/>
      <c r="R1201" s="79">
        <v>25.71</v>
      </c>
      <c r="S1201" s="79"/>
      <c r="T1201" s="79">
        <v>25.71</v>
      </c>
      <c r="U1201" s="79">
        <v>0</v>
      </c>
      <c r="V1201" s="189">
        <v>25.71</v>
      </c>
      <c r="X1201" s="79">
        <v>25.71</v>
      </c>
      <c r="Y1201" s="79"/>
      <c r="Z1201" s="79">
        <v>25.71</v>
      </c>
      <c r="AA1201" s="255">
        <v>0</v>
      </c>
      <c r="AC1201" s="254"/>
    </row>
    <row r="1202" spans="1:29" ht="12">
      <c r="A1202" s="67" t="s">
        <v>12812</v>
      </c>
      <c r="B1202" s="65" t="s">
        <v>3630</v>
      </c>
      <c r="C1202" s="71" t="s">
        <v>103</v>
      </c>
      <c r="D1202" s="78">
        <v>1</v>
      </c>
      <c r="E1202" s="79">
        <v>31.58</v>
      </c>
      <c r="F1202" s="70">
        <v>31.58</v>
      </c>
      <c r="G1202" s="320"/>
      <c r="H1202" s="79">
        <v>31.58</v>
      </c>
      <c r="I1202" s="79">
        <v>0</v>
      </c>
      <c r="J1202" s="79">
        <v>31.58</v>
      </c>
      <c r="K1202" s="79">
        <v>0</v>
      </c>
      <c r="L1202" s="70">
        <v>31.58</v>
      </c>
      <c r="M1202" s="132"/>
      <c r="N1202" s="79">
        <v>31.58</v>
      </c>
      <c r="O1202" s="79"/>
      <c r="P1202" s="79">
        <v>31.58</v>
      </c>
      <c r="Q1202" s="136"/>
      <c r="R1202" s="79">
        <v>31.58</v>
      </c>
      <c r="S1202" s="79"/>
      <c r="T1202" s="79">
        <v>31.58</v>
      </c>
      <c r="U1202" s="79">
        <v>0</v>
      </c>
      <c r="V1202" s="189">
        <v>31.58</v>
      </c>
      <c r="X1202" s="79">
        <v>31.58</v>
      </c>
      <c r="Y1202" s="79"/>
      <c r="Z1202" s="79">
        <v>31.58</v>
      </c>
      <c r="AA1202" s="255">
        <v>0</v>
      </c>
      <c r="AC1202" s="254"/>
    </row>
    <row r="1203" spans="1:29" ht="12">
      <c r="A1203" s="489" t="s">
        <v>12813</v>
      </c>
      <c r="B1203" s="490" t="s">
        <v>12814</v>
      </c>
      <c r="C1203" s="491"/>
      <c r="D1203" s="492"/>
      <c r="E1203" s="79"/>
      <c r="F1203" s="63"/>
      <c r="G1203" s="320"/>
      <c r="H1203" s="79"/>
      <c r="I1203" s="79"/>
      <c r="J1203" s="79"/>
      <c r="K1203" s="79"/>
      <c r="L1203" s="70"/>
      <c r="M1203" s="132"/>
      <c r="N1203" s="79"/>
      <c r="O1203" s="79"/>
      <c r="P1203" s="79"/>
      <c r="Q1203" s="136"/>
      <c r="R1203" s="79"/>
      <c r="S1203" s="79"/>
      <c r="T1203" s="79"/>
      <c r="U1203" s="79"/>
      <c r="V1203" s="189"/>
      <c r="X1203" s="79"/>
      <c r="Y1203" s="79"/>
      <c r="Z1203" s="79"/>
      <c r="AA1203" s="255"/>
      <c r="AC1203" s="254"/>
    </row>
    <row r="1204" spans="1:29" ht="12">
      <c r="A1204" s="489" t="s">
        <v>12815</v>
      </c>
      <c r="B1204" s="490" t="s">
        <v>12816</v>
      </c>
      <c r="C1204" s="491"/>
      <c r="D1204" s="492"/>
      <c r="E1204" s="79"/>
      <c r="F1204" s="63"/>
      <c r="G1204" s="320"/>
      <c r="H1204" s="79"/>
      <c r="I1204" s="79"/>
      <c r="J1204" s="79"/>
      <c r="K1204" s="79"/>
      <c r="L1204" s="70"/>
      <c r="M1204" s="132"/>
      <c r="N1204" s="79"/>
      <c r="O1204" s="79"/>
      <c r="P1204" s="79"/>
      <c r="Q1204" s="136"/>
      <c r="R1204" s="79"/>
      <c r="S1204" s="79"/>
      <c r="T1204" s="79"/>
      <c r="U1204" s="79"/>
      <c r="V1204" s="189"/>
      <c r="X1204" s="79"/>
      <c r="Y1204" s="79"/>
      <c r="Z1204" s="79"/>
      <c r="AA1204" s="255"/>
      <c r="AC1204" s="254"/>
    </row>
    <row r="1205" spans="1:29" ht="12">
      <c r="A1205" s="67" t="s">
        <v>12817</v>
      </c>
      <c r="B1205" s="65" t="s">
        <v>12818</v>
      </c>
      <c r="C1205" s="71" t="s">
        <v>509</v>
      </c>
      <c r="D1205" s="78">
        <v>1</v>
      </c>
      <c r="E1205" s="79">
        <v>1106.03</v>
      </c>
      <c r="F1205" s="70">
        <v>1106.03</v>
      </c>
      <c r="G1205" s="320"/>
      <c r="H1205" s="79">
        <v>1040.0900000000001</v>
      </c>
      <c r="I1205" s="79">
        <v>65.94</v>
      </c>
      <c r="J1205" s="79">
        <v>1106.0300000000002</v>
      </c>
      <c r="K1205" s="79">
        <v>0</v>
      </c>
      <c r="L1205" s="70">
        <v>1106.0300000000002</v>
      </c>
      <c r="M1205" s="132"/>
      <c r="N1205" s="79">
        <v>1040.0900000000001</v>
      </c>
      <c r="O1205" s="79">
        <v>65.94</v>
      </c>
      <c r="P1205" s="79">
        <v>1106.0300000000002</v>
      </c>
      <c r="Q1205" s="136"/>
      <c r="R1205" s="79">
        <v>1040.0899999999999</v>
      </c>
      <c r="S1205" s="79">
        <v>65.95</v>
      </c>
      <c r="T1205" s="79">
        <v>1106.04</v>
      </c>
      <c r="U1205" s="79">
        <v>0</v>
      </c>
      <c r="V1205" s="189">
        <v>1106.04</v>
      </c>
      <c r="X1205" s="79">
        <v>1040.0899999999999</v>
      </c>
      <c r="Y1205" s="79">
        <v>65.95</v>
      </c>
      <c r="Z1205" s="79">
        <v>1106.04</v>
      </c>
      <c r="AA1205" s="255">
        <v>-9.9999999999909051E-3</v>
      </c>
      <c r="AC1205" s="254"/>
    </row>
    <row r="1206" spans="1:29" ht="12">
      <c r="A1206" s="67" t="s">
        <v>12819</v>
      </c>
      <c r="B1206" s="65" t="s">
        <v>12820</v>
      </c>
      <c r="C1206" s="71" t="s">
        <v>509</v>
      </c>
      <c r="D1206" s="78">
        <v>1</v>
      </c>
      <c r="E1206" s="79">
        <v>995.83999999999992</v>
      </c>
      <c r="F1206" s="70">
        <v>995.84</v>
      </c>
      <c r="G1206" s="320"/>
      <c r="H1206" s="79">
        <v>929.9</v>
      </c>
      <c r="I1206" s="79">
        <v>65.94</v>
      </c>
      <c r="J1206" s="79">
        <v>995.83999999999992</v>
      </c>
      <c r="K1206" s="79">
        <v>0</v>
      </c>
      <c r="L1206" s="70">
        <v>995.83999999999992</v>
      </c>
      <c r="M1206" s="132"/>
      <c r="N1206" s="79">
        <v>929.9</v>
      </c>
      <c r="O1206" s="79">
        <v>65.94</v>
      </c>
      <c r="P1206" s="79">
        <v>995.83999999999992</v>
      </c>
      <c r="Q1206" s="136"/>
      <c r="R1206" s="79">
        <v>929.9</v>
      </c>
      <c r="S1206" s="79">
        <v>65.95</v>
      </c>
      <c r="T1206" s="79">
        <v>995.85</v>
      </c>
      <c r="U1206" s="79">
        <v>0</v>
      </c>
      <c r="V1206" s="189">
        <v>995.85</v>
      </c>
      <c r="X1206" s="79">
        <v>929.9</v>
      </c>
      <c r="Y1206" s="79">
        <v>65.95</v>
      </c>
      <c r="Z1206" s="79">
        <v>995.85</v>
      </c>
      <c r="AA1206" s="255">
        <v>-9.9999999999909051E-3</v>
      </c>
      <c r="AC1206" s="254"/>
    </row>
    <row r="1207" spans="1:29" ht="12">
      <c r="A1207" s="489" t="s">
        <v>12821</v>
      </c>
      <c r="B1207" s="490" t="s">
        <v>12822</v>
      </c>
      <c r="C1207" s="491"/>
      <c r="D1207" s="492"/>
      <c r="E1207" s="79"/>
      <c r="F1207" s="63"/>
      <c r="G1207" s="320"/>
      <c r="H1207" s="79"/>
      <c r="I1207" s="79"/>
      <c r="J1207" s="79"/>
      <c r="K1207" s="79"/>
      <c r="L1207" s="70"/>
      <c r="M1207" s="132"/>
      <c r="N1207" s="79"/>
      <c r="O1207" s="79"/>
      <c r="P1207" s="79"/>
      <c r="Q1207" s="136"/>
      <c r="R1207" s="79"/>
      <c r="S1207" s="79"/>
      <c r="T1207" s="79"/>
      <c r="U1207" s="79"/>
      <c r="V1207" s="189"/>
      <c r="X1207" s="79"/>
      <c r="Y1207" s="79"/>
      <c r="Z1207" s="79"/>
      <c r="AA1207" s="255"/>
      <c r="AC1207" s="254"/>
    </row>
    <row r="1208" spans="1:29" ht="12">
      <c r="A1208" s="67" t="s">
        <v>12823</v>
      </c>
      <c r="B1208" s="65" t="s">
        <v>12824</v>
      </c>
      <c r="C1208" s="71" t="s">
        <v>509</v>
      </c>
      <c r="D1208" s="78">
        <v>1</v>
      </c>
      <c r="E1208" s="79">
        <v>887.68000000000006</v>
      </c>
      <c r="F1208" s="70">
        <v>887.68</v>
      </c>
      <c r="G1208" s="320"/>
      <c r="H1208" s="79">
        <v>818.21</v>
      </c>
      <c r="I1208" s="79">
        <v>69.47</v>
      </c>
      <c r="J1208" s="79">
        <v>887.68000000000006</v>
      </c>
      <c r="K1208" s="79">
        <v>0</v>
      </c>
      <c r="L1208" s="70">
        <v>887.68000000000006</v>
      </c>
      <c r="M1208" s="132"/>
      <c r="N1208" s="79">
        <v>818.21</v>
      </c>
      <c r="O1208" s="79">
        <v>69.47</v>
      </c>
      <c r="P1208" s="79">
        <v>887.68000000000006</v>
      </c>
      <c r="Q1208" s="136"/>
      <c r="R1208" s="79">
        <v>818.21</v>
      </c>
      <c r="S1208" s="79">
        <v>69.48</v>
      </c>
      <c r="T1208" s="79">
        <v>887.69</v>
      </c>
      <c r="U1208" s="79">
        <v>0</v>
      </c>
      <c r="V1208" s="189">
        <v>887.69</v>
      </c>
      <c r="X1208" s="79">
        <v>818.21</v>
      </c>
      <c r="Y1208" s="79">
        <v>69.48</v>
      </c>
      <c r="Z1208" s="79">
        <v>887.69</v>
      </c>
      <c r="AA1208" s="255">
        <v>-1.0000000000104592E-2</v>
      </c>
      <c r="AC1208" s="254"/>
    </row>
    <row r="1209" spans="1:29" ht="12">
      <c r="A1209" s="67" t="s">
        <v>12825</v>
      </c>
      <c r="B1209" s="65" t="s">
        <v>12826</v>
      </c>
      <c r="C1209" s="71" t="s">
        <v>103</v>
      </c>
      <c r="D1209" s="78">
        <v>1</v>
      </c>
      <c r="E1209" s="79">
        <v>1502.84</v>
      </c>
      <c r="F1209" s="70">
        <v>1502.84</v>
      </c>
      <c r="G1209" s="320"/>
      <c r="H1209" s="79">
        <v>1361.84</v>
      </c>
      <c r="I1209" s="79">
        <v>141</v>
      </c>
      <c r="J1209" s="79">
        <v>1502.84</v>
      </c>
      <c r="K1209" s="79">
        <v>0</v>
      </c>
      <c r="L1209" s="70">
        <v>1502.84</v>
      </c>
      <c r="M1209" s="132"/>
      <c r="N1209" s="79">
        <v>1361.84</v>
      </c>
      <c r="O1209" s="79">
        <v>141</v>
      </c>
      <c r="P1209" s="79">
        <v>1502.84</v>
      </c>
      <c r="Q1209" s="136"/>
      <c r="R1209" s="79">
        <v>1361.84</v>
      </c>
      <c r="S1209" s="79">
        <v>140.97999999999999</v>
      </c>
      <c r="T1209" s="79">
        <v>1502.82</v>
      </c>
      <c r="U1209" s="79">
        <v>0</v>
      </c>
      <c r="V1209" s="189">
        <v>1502.82</v>
      </c>
      <c r="X1209" s="79">
        <v>1361.84</v>
      </c>
      <c r="Y1209" s="79">
        <v>140.97999999999999</v>
      </c>
      <c r="Z1209" s="79">
        <v>1502.82</v>
      </c>
      <c r="AA1209" s="255">
        <v>1.999999999998181E-2</v>
      </c>
      <c r="AC1209" s="254"/>
    </row>
    <row r="1210" spans="1:29" ht="12">
      <c r="A1210" s="67" t="s">
        <v>12827</v>
      </c>
      <c r="B1210" s="65" t="s">
        <v>12828</v>
      </c>
      <c r="C1210" s="71" t="s">
        <v>103</v>
      </c>
      <c r="D1210" s="78">
        <v>1</v>
      </c>
      <c r="E1210" s="79">
        <v>1516.89</v>
      </c>
      <c r="F1210" s="70">
        <v>1516.89</v>
      </c>
      <c r="G1210" s="320"/>
      <c r="H1210" s="79">
        <v>1375.89</v>
      </c>
      <c r="I1210" s="79">
        <v>141</v>
      </c>
      <c r="J1210" s="79">
        <v>1516.89</v>
      </c>
      <c r="K1210" s="79">
        <v>0</v>
      </c>
      <c r="L1210" s="70">
        <v>1516.89</v>
      </c>
      <c r="M1210" s="132"/>
      <c r="N1210" s="79">
        <v>1375.89</v>
      </c>
      <c r="O1210" s="79">
        <v>141</v>
      </c>
      <c r="P1210" s="79">
        <v>1516.89</v>
      </c>
      <c r="Q1210" s="136"/>
      <c r="R1210" s="79">
        <v>1375.89</v>
      </c>
      <c r="S1210" s="79">
        <v>140.97999999999999</v>
      </c>
      <c r="T1210" s="79">
        <v>1516.8700000000001</v>
      </c>
      <c r="U1210" s="79">
        <v>0</v>
      </c>
      <c r="V1210" s="189">
        <v>1516.8700000000001</v>
      </c>
      <c r="X1210" s="79">
        <v>1375.89</v>
      </c>
      <c r="Y1210" s="79">
        <v>140.97999999999999</v>
      </c>
      <c r="Z1210" s="79">
        <v>1516.87</v>
      </c>
      <c r="AA1210" s="255">
        <v>2.0000000000209184E-2</v>
      </c>
      <c r="AC1210" s="254"/>
    </row>
    <row r="1211" spans="1:29" ht="12">
      <c r="A1211" s="67" t="s">
        <v>12829</v>
      </c>
      <c r="B1211" s="65" t="s">
        <v>12830</v>
      </c>
      <c r="C1211" s="71" t="s">
        <v>103</v>
      </c>
      <c r="D1211" s="78">
        <v>1</v>
      </c>
      <c r="E1211" s="79">
        <v>1621.27</v>
      </c>
      <c r="F1211" s="70">
        <v>1621.27</v>
      </c>
      <c r="G1211" s="320"/>
      <c r="H1211" s="79">
        <v>1480.27</v>
      </c>
      <c r="I1211" s="79">
        <v>141</v>
      </c>
      <c r="J1211" s="79">
        <v>1621.27</v>
      </c>
      <c r="K1211" s="79">
        <v>0</v>
      </c>
      <c r="L1211" s="70">
        <v>1621.27</v>
      </c>
      <c r="M1211" s="132"/>
      <c r="N1211" s="79">
        <v>1480.27</v>
      </c>
      <c r="O1211" s="79">
        <v>141</v>
      </c>
      <c r="P1211" s="79">
        <v>1621.27</v>
      </c>
      <c r="Q1211" s="136"/>
      <c r="R1211" s="79">
        <v>1480.27</v>
      </c>
      <c r="S1211" s="79">
        <v>140.97999999999999</v>
      </c>
      <c r="T1211" s="79">
        <v>1621.25</v>
      </c>
      <c r="U1211" s="79">
        <v>0</v>
      </c>
      <c r="V1211" s="189">
        <v>1621.25</v>
      </c>
      <c r="X1211" s="79">
        <v>1480.27</v>
      </c>
      <c r="Y1211" s="79">
        <v>140.97999999999999</v>
      </c>
      <c r="Z1211" s="79">
        <v>1621.25</v>
      </c>
      <c r="AA1211" s="255">
        <v>1.999999999998181E-2</v>
      </c>
      <c r="AC1211" s="254"/>
    </row>
    <row r="1212" spans="1:29" ht="12">
      <c r="A1212" s="67" t="s">
        <v>12831</v>
      </c>
      <c r="B1212" s="65" t="s">
        <v>12832</v>
      </c>
      <c r="C1212" s="71" t="s">
        <v>103</v>
      </c>
      <c r="D1212" s="78">
        <v>1</v>
      </c>
      <c r="E1212" s="79">
        <v>2757.5199999999995</v>
      </c>
      <c r="F1212" s="70">
        <v>2757.52</v>
      </c>
      <c r="G1212" s="320"/>
      <c r="H1212" s="79">
        <v>2581.2799999999997</v>
      </c>
      <c r="I1212" s="79">
        <v>176.24</v>
      </c>
      <c r="J1212" s="79">
        <v>2757.5199999999995</v>
      </c>
      <c r="K1212" s="79">
        <v>0</v>
      </c>
      <c r="L1212" s="70">
        <v>2757.5199999999995</v>
      </c>
      <c r="M1212" s="132"/>
      <c r="N1212" s="79">
        <v>2581.2799999999997</v>
      </c>
      <c r="O1212" s="79">
        <v>176.24</v>
      </c>
      <c r="P1212" s="79">
        <v>2757.5199999999995</v>
      </c>
      <c r="Q1212" s="136"/>
      <c r="R1212" s="79">
        <v>2581.2800000000002</v>
      </c>
      <c r="S1212" s="79">
        <v>176.23</v>
      </c>
      <c r="T1212" s="79">
        <v>2757.51</v>
      </c>
      <c r="U1212" s="79">
        <v>0</v>
      </c>
      <c r="V1212" s="189">
        <v>2757.51</v>
      </c>
      <c r="X1212" s="79">
        <v>2581.2800000000002</v>
      </c>
      <c r="Y1212" s="79">
        <v>176.23</v>
      </c>
      <c r="Z1212" s="79">
        <v>2757.51</v>
      </c>
      <c r="AA1212" s="255">
        <v>9.9999999997635314E-3</v>
      </c>
      <c r="AC1212" s="254"/>
    </row>
    <row r="1213" spans="1:29" ht="12">
      <c r="A1213" s="489" t="s">
        <v>12833</v>
      </c>
      <c r="B1213" s="490" t="s">
        <v>12834</v>
      </c>
      <c r="C1213" s="491"/>
      <c r="D1213" s="492"/>
      <c r="E1213" s="79"/>
      <c r="F1213" s="63"/>
      <c r="G1213" s="320"/>
      <c r="H1213" s="79"/>
      <c r="I1213" s="79"/>
      <c r="J1213" s="79"/>
      <c r="K1213" s="79"/>
      <c r="L1213" s="70"/>
      <c r="M1213" s="132"/>
      <c r="N1213" s="79"/>
      <c r="O1213" s="79"/>
      <c r="P1213" s="79"/>
      <c r="Q1213" s="136"/>
      <c r="R1213" s="79"/>
      <c r="S1213" s="79"/>
      <c r="T1213" s="79"/>
      <c r="U1213" s="79"/>
      <c r="V1213" s="189"/>
      <c r="X1213" s="79"/>
      <c r="Y1213" s="79"/>
      <c r="Z1213" s="79"/>
      <c r="AA1213" s="255"/>
      <c r="AC1213" s="254"/>
    </row>
    <row r="1214" spans="1:29" ht="12">
      <c r="A1214" s="67" t="s">
        <v>12835</v>
      </c>
      <c r="B1214" s="65" t="s">
        <v>12836</v>
      </c>
      <c r="C1214" s="71" t="s">
        <v>103</v>
      </c>
      <c r="D1214" s="78">
        <v>1</v>
      </c>
      <c r="E1214" s="79">
        <v>1463.3799999999999</v>
      </c>
      <c r="F1214" s="70">
        <v>1463.38</v>
      </c>
      <c r="G1214" s="320"/>
      <c r="H1214" s="79">
        <v>1392.8999999999999</v>
      </c>
      <c r="I1214" s="79">
        <v>70.48</v>
      </c>
      <c r="J1214" s="79">
        <v>1463.3799999999999</v>
      </c>
      <c r="K1214" s="79">
        <v>0</v>
      </c>
      <c r="L1214" s="70">
        <v>1463.3799999999999</v>
      </c>
      <c r="M1214" s="132"/>
      <c r="N1214" s="79">
        <v>1392.8999999999999</v>
      </c>
      <c r="O1214" s="79">
        <v>70.48</v>
      </c>
      <c r="P1214" s="79">
        <v>1463.3799999999999</v>
      </c>
      <c r="Q1214" s="136"/>
      <c r="R1214" s="79">
        <v>1392.9</v>
      </c>
      <c r="S1214" s="79">
        <v>70.489999999999995</v>
      </c>
      <c r="T1214" s="79">
        <v>1463.39</v>
      </c>
      <c r="U1214" s="79">
        <v>0</v>
      </c>
      <c r="V1214" s="189">
        <v>1463.39</v>
      </c>
      <c r="X1214" s="79">
        <v>1392.9</v>
      </c>
      <c r="Y1214" s="79">
        <v>70.489999999999995</v>
      </c>
      <c r="Z1214" s="79">
        <v>1463.39</v>
      </c>
      <c r="AA1214" s="498">
        <v>-9.9999999999909051E-3</v>
      </c>
      <c r="AC1214" s="254"/>
    </row>
    <row r="1215" spans="1:29" ht="12">
      <c r="A1215" s="67" t="s">
        <v>12837</v>
      </c>
      <c r="B1215" s="65" t="s">
        <v>12838</v>
      </c>
      <c r="C1215" s="71" t="s">
        <v>103</v>
      </c>
      <c r="D1215" s="78">
        <v>1</v>
      </c>
      <c r="E1215" s="79">
        <v>1236.4000000000001</v>
      </c>
      <c r="F1215" s="70">
        <v>1236.4000000000001</v>
      </c>
      <c r="G1215" s="320"/>
      <c r="H1215" s="79">
        <v>1165.92</v>
      </c>
      <c r="I1215" s="79">
        <v>70.48</v>
      </c>
      <c r="J1215" s="79">
        <v>1236.4000000000001</v>
      </c>
      <c r="K1215" s="79">
        <v>0</v>
      </c>
      <c r="L1215" s="70">
        <v>1236.4000000000001</v>
      </c>
      <c r="M1215" s="132"/>
      <c r="N1215" s="79">
        <v>1165.92</v>
      </c>
      <c r="O1215" s="79">
        <v>70.48</v>
      </c>
      <c r="P1215" s="79">
        <v>1236.4000000000001</v>
      </c>
      <c r="Q1215" s="136"/>
      <c r="R1215" s="79">
        <v>1165.92</v>
      </c>
      <c r="S1215" s="79">
        <v>70.489999999999995</v>
      </c>
      <c r="T1215" s="79">
        <v>1236.4100000000001</v>
      </c>
      <c r="U1215" s="79">
        <v>0</v>
      </c>
      <c r="V1215" s="189">
        <v>1236.4100000000001</v>
      </c>
      <c r="X1215" s="79">
        <v>1165.92</v>
      </c>
      <c r="Y1215" s="79">
        <v>70.489999999999995</v>
      </c>
      <c r="Z1215" s="79">
        <v>1236.4100000000001</v>
      </c>
      <c r="AA1215" s="498">
        <v>-9.9999999999909051E-3</v>
      </c>
      <c r="AC1215" s="254"/>
    </row>
    <row r="1216" spans="1:29" ht="24">
      <c r="A1216" s="67" t="s">
        <v>12839</v>
      </c>
      <c r="B1216" s="65" t="s">
        <v>12840</v>
      </c>
      <c r="C1216" s="71" t="s">
        <v>103</v>
      </c>
      <c r="D1216" s="78">
        <v>1</v>
      </c>
      <c r="E1216" s="79">
        <v>1478.3</v>
      </c>
      <c r="F1216" s="70">
        <v>1478.3</v>
      </c>
      <c r="G1216" s="320"/>
      <c r="H1216" s="79">
        <v>1337.3</v>
      </c>
      <c r="I1216" s="79">
        <v>141</v>
      </c>
      <c r="J1216" s="79">
        <v>1478.3</v>
      </c>
      <c r="K1216" s="79">
        <v>0</v>
      </c>
      <c r="L1216" s="70">
        <v>1478.3</v>
      </c>
      <c r="M1216" s="132"/>
      <c r="N1216" s="79">
        <v>1337.3</v>
      </c>
      <c r="O1216" s="79">
        <v>141</v>
      </c>
      <c r="P1216" s="79">
        <v>1478.3</v>
      </c>
      <c r="Q1216" s="136"/>
      <c r="R1216" s="79">
        <v>1337.3</v>
      </c>
      <c r="S1216" s="79">
        <v>140.97999999999999</v>
      </c>
      <c r="T1216" s="79">
        <v>1478.28</v>
      </c>
      <c r="U1216" s="79">
        <v>0</v>
      </c>
      <c r="V1216" s="189">
        <v>1478.28</v>
      </c>
      <c r="X1216" s="79">
        <v>1337.3</v>
      </c>
      <c r="Y1216" s="79">
        <v>140.97999999999999</v>
      </c>
      <c r="Z1216" s="79">
        <v>1478.28</v>
      </c>
      <c r="AA1216" s="255">
        <v>1.999999999998181E-2</v>
      </c>
      <c r="AC1216" s="254"/>
    </row>
    <row r="1217" spans="1:29" ht="24">
      <c r="A1217" s="67" t="s">
        <v>12841</v>
      </c>
      <c r="B1217" s="65" t="s">
        <v>12842</v>
      </c>
      <c r="C1217" s="71" t="s">
        <v>103</v>
      </c>
      <c r="D1217" s="78">
        <v>1</v>
      </c>
      <c r="E1217" s="79">
        <v>1593.26</v>
      </c>
      <c r="F1217" s="70">
        <v>1593.26</v>
      </c>
      <c r="G1217" s="320"/>
      <c r="H1217" s="79">
        <v>1452.26</v>
      </c>
      <c r="I1217" s="79">
        <v>141</v>
      </c>
      <c r="J1217" s="79">
        <v>1593.26</v>
      </c>
      <c r="K1217" s="79">
        <v>0</v>
      </c>
      <c r="L1217" s="70">
        <v>1593.26</v>
      </c>
      <c r="M1217" s="132"/>
      <c r="N1217" s="79">
        <v>1452.26</v>
      </c>
      <c r="O1217" s="79">
        <v>141</v>
      </c>
      <c r="P1217" s="79">
        <v>1593.26</v>
      </c>
      <c r="Q1217" s="136"/>
      <c r="R1217" s="79">
        <v>1452.26</v>
      </c>
      <c r="S1217" s="79">
        <v>140.97999999999999</v>
      </c>
      <c r="T1217" s="79">
        <v>1593.24</v>
      </c>
      <c r="U1217" s="79">
        <v>0</v>
      </c>
      <c r="V1217" s="189">
        <v>1593.24</v>
      </c>
      <c r="X1217" s="79">
        <v>1452.26</v>
      </c>
      <c r="Y1217" s="79">
        <v>140.97999999999999</v>
      </c>
      <c r="Z1217" s="79">
        <v>1593.24</v>
      </c>
      <c r="AA1217" s="255">
        <v>1.999999999998181E-2</v>
      </c>
      <c r="AC1217" s="254"/>
    </row>
    <row r="1218" spans="1:29" ht="24">
      <c r="A1218" s="67" t="s">
        <v>12843</v>
      </c>
      <c r="B1218" s="65" t="s">
        <v>12844</v>
      </c>
      <c r="C1218" s="71" t="s">
        <v>103</v>
      </c>
      <c r="D1218" s="78">
        <v>1</v>
      </c>
      <c r="E1218" s="79">
        <v>1603.38</v>
      </c>
      <c r="F1218" s="70">
        <v>1603.38</v>
      </c>
      <c r="G1218" s="320"/>
      <c r="H1218" s="79">
        <v>1462.38</v>
      </c>
      <c r="I1218" s="79">
        <v>141</v>
      </c>
      <c r="J1218" s="79">
        <v>1603.38</v>
      </c>
      <c r="K1218" s="79">
        <v>0</v>
      </c>
      <c r="L1218" s="70">
        <v>1603.38</v>
      </c>
      <c r="M1218" s="132"/>
      <c r="N1218" s="79">
        <v>1462.38</v>
      </c>
      <c r="O1218" s="79">
        <v>141</v>
      </c>
      <c r="P1218" s="79">
        <v>1603.38</v>
      </c>
      <c r="Q1218" s="136"/>
      <c r="R1218" s="79">
        <v>1462.38</v>
      </c>
      <c r="S1218" s="79">
        <v>140.97999999999999</v>
      </c>
      <c r="T1218" s="79">
        <v>1603.3600000000001</v>
      </c>
      <c r="U1218" s="79">
        <v>0</v>
      </c>
      <c r="V1218" s="189">
        <v>1603.3600000000001</v>
      </c>
      <c r="X1218" s="79">
        <v>1462.38</v>
      </c>
      <c r="Y1218" s="79">
        <v>140.97999999999999</v>
      </c>
      <c r="Z1218" s="79">
        <v>1603.36</v>
      </c>
      <c r="AA1218" s="255">
        <v>2.0000000000209184E-2</v>
      </c>
      <c r="AC1218" s="254"/>
    </row>
    <row r="1219" spans="1:29" ht="24">
      <c r="A1219" s="67" t="s">
        <v>12845</v>
      </c>
      <c r="B1219" s="65" t="s">
        <v>12846</v>
      </c>
      <c r="C1219" s="71" t="s">
        <v>103</v>
      </c>
      <c r="D1219" s="78">
        <v>1</v>
      </c>
      <c r="E1219" s="79">
        <v>2570.16</v>
      </c>
      <c r="F1219" s="70">
        <v>2570.16</v>
      </c>
      <c r="G1219" s="320"/>
      <c r="H1219" s="79">
        <v>2393.92</v>
      </c>
      <c r="I1219" s="79">
        <v>176.24</v>
      </c>
      <c r="J1219" s="79">
        <v>2570.16</v>
      </c>
      <c r="K1219" s="79">
        <v>0</v>
      </c>
      <c r="L1219" s="70">
        <v>2570.16</v>
      </c>
      <c r="M1219" s="132"/>
      <c r="N1219" s="79">
        <v>2393.92</v>
      </c>
      <c r="O1219" s="79">
        <v>176.24</v>
      </c>
      <c r="P1219" s="79">
        <v>2570.16</v>
      </c>
      <c r="Q1219" s="136"/>
      <c r="R1219" s="79">
        <v>2393.92</v>
      </c>
      <c r="S1219" s="79">
        <v>176.23</v>
      </c>
      <c r="T1219" s="79">
        <v>2570.15</v>
      </c>
      <c r="U1219" s="79">
        <v>0</v>
      </c>
      <c r="V1219" s="189">
        <v>2570.15</v>
      </c>
      <c r="X1219" s="79">
        <v>2393.92</v>
      </c>
      <c r="Y1219" s="79">
        <v>176.23</v>
      </c>
      <c r="Z1219" s="79">
        <v>2570.15</v>
      </c>
      <c r="AA1219" s="255">
        <v>9.9999999997635314E-3</v>
      </c>
      <c r="AC1219" s="254"/>
    </row>
    <row r="1220" spans="1:29" ht="24">
      <c r="A1220" s="67" t="s">
        <v>12847</v>
      </c>
      <c r="B1220" s="65" t="s">
        <v>12848</v>
      </c>
      <c r="C1220" s="71" t="s">
        <v>103</v>
      </c>
      <c r="D1220" s="78">
        <v>1</v>
      </c>
      <c r="E1220" s="79">
        <v>2710.2799999999997</v>
      </c>
      <c r="F1220" s="70">
        <v>2710.28</v>
      </c>
      <c r="G1220" s="320"/>
      <c r="H1220" s="79">
        <v>2534.04</v>
      </c>
      <c r="I1220" s="79">
        <v>176.24</v>
      </c>
      <c r="J1220" s="79">
        <v>2710.2799999999997</v>
      </c>
      <c r="K1220" s="79">
        <v>0</v>
      </c>
      <c r="L1220" s="70">
        <v>2710.2799999999997</v>
      </c>
      <c r="M1220" s="132"/>
      <c r="N1220" s="79">
        <v>2534.04</v>
      </c>
      <c r="O1220" s="79">
        <v>176.24</v>
      </c>
      <c r="P1220" s="79">
        <v>2710.2799999999997</v>
      </c>
      <c r="Q1220" s="136"/>
      <c r="R1220" s="79">
        <v>2534.04</v>
      </c>
      <c r="S1220" s="79">
        <v>176.23</v>
      </c>
      <c r="T1220" s="79">
        <v>2710.27</v>
      </c>
      <c r="U1220" s="79">
        <v>0</v>
      </c>
      <c r="V1220" s="189">
        <v>2710.27</v>
      </c>
      <c r="X1220" s="79">
        <v>2534.04</v>
      </c>
      <c r="Y1220" s="79">
        <v>176.23</v>
      </c>
      <c r="Z1220" s="79">
        <v>2710.27</v>
      </c>
      <c r="AA1220" s="255">
        <v>1.0000000000218279E-2</v>
      </c>
      <c r="AC1220" s="254"/>
    </row>
    <row r="1221" spans="1:29" ht="24">
      <c r="A1221" s="67" t="s">
        <v>12849</v>
      </c>
      <c r="B1221" s="65" t="s">
        <v>12850</v>
      </c>
      <c r="C1221" s="71" t="s">
        <v>103</v>
      </c>
      <c r="D1221" s="78">
        <v>1</v>
      </c>
      <c r="E1221" s="79">
        <v>4771.91</v>
      </c>
      <c r="F1221" s="70">
        <v>4771.91</v>
      </c>
      <c r="G1221" s="320"/>
      <c r="H1221" s="79">
        <v>4570.47</v>
      </c>
      <c r="I1221" s="79">
        <v>201.44</v>
      </c>
      <c r="J1221" s="79">
        <v>4771.91</v>
      </c>
      <c r="K1221" s="79">
        <v>0</v>
      </c>
      <c r="L1221" s="70">
        <v>4771.91</v>
      </c>
      <c r="M1221" s="132"/>
      <c r="N1221" s="79">
        <v>4570.47</v>
      </c>
      <c r="O1221" s="79">
        <v>201.44</v>
      </c>
      <c r="P1221" s="79">
        <v>4771.91</v>
      </c>
      <c r="Q1221" s="136"/>
      <c r="R1221" s="79">
        <v>4570.47</v>
      </c>
      <c r="S1221" s="79">
        <v>201.41</v>
      </c>
      <c r="T1221" s="79">
        <v>4771.88</v>
      </c>
      <c r="U1221" s="79">
        <v>0</v>
      </c>
      <c r="V1221" s="189">
        <v>4771.88</v>
      </c>
      <c r="X1221" s="79">
        <v>4570.47</v>
      </c>
      <c r="Y1221" s="79">
        <v>201.41</v>
      </c>
      <c r="Z1221" s="79">
        <v>4771.88</v>
      </c>
      <c r="AA1221" s="255">
        <v>2.9999999999745341E-2</v>
      </c>
      <c r="AC1221" s="254"/>
    </row>
    <row r="1222" spans="1:29" ht="24">
      <c r="A1222" s="67" t="s">
        <v>12851</v>
      </c>
      <c r="B1222" s="65" t="s">
        <v>12852</v>
      </c>
      <c r="C1222" s="71" t="s">
        <v>103</v>
      </c>
      <c r="D1222" s="78">
        <v>1</v>
      </c>
      <c r="E1222" s="79">
        <v>1328.6299999999999</v>
      </c>
      <c r="F1222" s="70">
        <v>1328.63</v>
      </c>
      <c r="G1222" s="320"/>
      <c r="H1222" s="79">
        <v>1311.01</v>
      </c>
      <c r="I1222" s="79">
        <v>17.62</v>
      </c>
      <c r="J1222" s="79">
        <v>1328.6299999999999</v>
      </c>
      <c r="K1222" s="79">
        <v>0</v>
      </c>
      <c r="L1222" s="70">
        <v>1328.6299999999999</v>
      </c>
      <c r="M1222" s="132"/>
      <c r="N1222" s="79">
        <v>1311.01</v>
      </c>
      <c r="O1222" s="79">
        <v>17.62</v>
      </c>
      <c r="P1222" s="79">
        <v>1328.6299999999999</v>
      </c>
      <c r="Q1222" s="136"/>
      <c r="R1222" s="79">
        <v>1311.01</v>
      </c>
      <c r="S1222" s="79">
        <v>17.62</v>
      </c>
      <c r="T1222" s="79">
        <v>1328.6299999999999</v>
      </c>
      <c r="U1222" s="79">
        <v>0</v>
      </c>
      <c r="V1222" s="189">
        <v>1328.6299999999999</v>
      </c>
      <c r="X1222" s="79">
        <v>1311.01</v>
      </c>
      <c r="Y1222" s="79">
        <v>17.62</v>
      </c>
      <c r="Z1222" s="79">
        <v>1328.63</v>
      </c>
      <c r="AA1222" s="255">
        <v>0</v>
      </c>
      <c r="AC1222" s="254"/>
    </row>
    <row r="1223" spans="1:29" ht="24">
      <c r="A1223" s="67" t="s">
        <v>12853</v>
      </c>
      <c r="B1223" s="65" t="s">
        <v>12854</v>
      </c>
      <c r="C1223" s="71" t="s">
        <v>103</v>
      </c>
      <c r="D1223" s="78">
        <v>1</v>
      </c>
      <c r="E1223" s="79">
        <v>2260.8100000000004</v>
      </c>
      <c r="F1223" s="70">
        <v>2260.81</v>
      </c>
      <c r="G1223" s="320"/>
      <c r="H1223" s="79">
        <v>2124.88</v>
      </c>
      <c r="I1223" s="79">
        <v>135.93</v>
      </c>
      <c r="J1223" s="79">
        <v>2260.81</v>
      </c>
      <c r="K1223" s="79">
        <v>0</v>
      </c>
      <c r="L1223" s="70">
        <v>2260.81</v>
      </c>
      <c r="M1223" s="132"/>
      <c r="N1223" s="79">
        <v>2124.88</v>
      </c>
      <c r="O1223" s="79">
        <v>135.93</v>
      </c>
      <c r="P1223" s="79">
        <v>2260.81</v>
      </c>
      <c r="Q1223" s="136"/>
      <c r="R1223" s="79">
        <v>2124.88</v>
      </c>
      <c r="S1223" s="79">
        <v>135.94</v>
      </c>
      <c r="T1223" s="79">
        <v>2260.8200000000002</v>
      </c>
      <c r="U1223" s="79">
        <v>0</v>
      </c>
      <c r="V1223" s="189">
        <v>2260.8200000000002</v>
      </c>
      <c r="X1223" s="79">
        <v>2124.88</v>
      </c>
      <c r="Y1223" s="79">
        <v>135.94</v>
      </c>
      <c r="Z1223" s="79">
        <v>2260.8200000000002</v>
      </c>
      <c r="AA1223" s="255">
        <v>-1.0000000000218279E-2</v>
      </c>
      <c r="AC1223" s="254"/>
    </row>
    <row r="1224" spans="1:29" ht="24">
      <c r="A1224" s="67" t="s">
        <v>12855</v>
      </c>
      <c r="B1224" s="65" t="s">
        <v>12856</v>
      </c>
      <c r="C1224" s="71" t="s">
        <v>103</v>
      </c>
      <c r="D1224" s="78">
        <v>1</v>
      </c>
      <c r="E1224" s="79">
        <v>2356.59</v>
      </c>
      <c r="F1224" s="70">
        <v>2356.59</v>
      </c>
      <c r="G1224" s="320"/>
      <c r="H1224" s="79">
        <v>2225.6800000000003</v>
      </c>
      <c r="I1224" s="79">
        <v>130.91</v>
      </c>
      <c r="J1224" s="79">
        <v>2356.59</v>
      </c>
      <c r="K1224" s="79">
        <v>0</v>
      </c>
      <c r="L1224" s="70">
        <v>2356.59</v>
      </c>
      <c r="M1224" s="132"/>
      <c r="N1224" s="79">
        <v>2225.6800000000003</v>
      </c>
      <c r="O1224" s="79">
        <v>130.91</v>
      </c>
      <c r="P1224" s="79">
        <v>2356.59</v>
      </c>
      <c r="Q1224" s="136"/>
      <c r="R1224" s="79">
        <v>2225.6799999999998</v>
      </c>
      <c r="S1224" s="79">
        <v>130.9</v>
      </c>
      <c r="T1224" s="79">
        <v>2356.58</v>
      </c>
      <c r="U1224" s="79">
        <v>0</v>
      </c>
      <c r="V1224" s="189">
        <v>2356.58</v>
      </c>
      <c r="X1224" s="79">
        <v>2225.6799999999998</v>
      </c>
      <c r="Y1224" s="79">
        <v>130.9</v>
      </c>
      <c r="Z1224" s="79">
        <v>2356.58</v>
      </c>
      <c r="AA1224" s="255">
        <v>1.0000000000218279E-2</v>
      </c>
      <c r="AC1224" s="254"/>
    </row>
    <row r="1225" spans="1:29" ht="24">
      <c r="A1225" s="67" t="s">
        <v>12857</v>
      </c>
      <c r="B1225" s="65" t="s">
        <v>12858</v>
      </c>
      <c r="C1225" s="71" t="s">
        <v>103</v>
      </c>
      <c r="D1225" s="78">
        <v>1</v>
      </c>
      <c r="E1225" s="79">
        <v>2517.62</v>
      </c>
      <c r="F1225" s="70">
        <v>2517.62</v>
      </c>
      <c r="G1225" s="320"/>
      <c r="H1225" s="79">
        <v>2386.71</v>
      </c>
      <c r="I1225" s="79">
        <v>130.91</v>
      </c>
      <c r="J1225" s="79">
        <v>2517.62</v>
      </c>
      <c r="K1225" s="79">
        <v>0</v>
      </c>
      <c r="L1225" s="70">
        <v>2517.62</v>
      </c>
      <c r="M1225" s="132"/>
      <c r="N1225" s="79">
        <v>2386.71</v>
      </c>
      <c r="O1225" s="79">
        <v>130.91</v>
      </c>
      <c r="P1225" s="79">
        <v>2517.62</v>
      </c>
      <c r="Q1225" s="136"/>
      <c r="R1225" s="79">
        <v>2386.71</v>
      </c>
      <c r="S1225" s="79">
        <v>130.9</v>
      </c>
      <c r="T1225" s="79">
        <v>2517.61</v>
      </c>
      <c r="U1225" s="79">
        <v>0</v>
      </c>
      <c r="V1225" s="189">
        <v>2517.61</v>
      </c>
      <c r="X1225" s="79">
        <v>2386.71</v>
      </c>
      <c r="Y1225" s="79">
        <v>130.9</v>
      </c>
      <c r="Z1225" s="79">
        <v>2517.61</v>
      </c>
      <c r="AA1225" s="255">
        <v>9.9999999997635314E-3</v>
      </c>
      <c r="AC1225" s="254"/>
    </row>
    <row r="1226" spans="1:29" ht="24">
      <c r="A1226" s="67" t="s">
        <v>12859</v>
      </c>
      <c r="B1226" s="65" t="s">
        <v>12860</v>
      </c>
      <c r="C1226" s="71" t="s">
        <v>103</v>
      </c>
      <c r="D1226" s="78">
        <v>1</v>
      </c>
      <c r="E1226" s="79">
        <v>2527.7399999999998</v>
      </c>
      <c r="F1226" s="70">
        <v>2527.7399999999998</v>
      </c>
      <c r="G1226" s="320"/>
      <c r="H1226" s="79">
        <v>2396.83</v>
      </c>
      <c r="I1226" s="79">
        <v>130.91</v>
      </c>
      <c r="J1226" s="79">
        <v>2527.7399999999998</v>
      </c>
      <c r="K1226" s="79">
        <v>0</v>
      </c>
      <c r="L1226" s="70">
        <v>2527.7399999999998</v>
      </c>
      <c r="M1226" s="132"/>
      <c r="N1226" s="79">
        <v>2396.83</v>
      </c>
      <c r="O1226" s="79">
        <v>130.91</v>
      </c>
      <c r="P1226" s="79">
        <v>2527.7399999999998</v>
      </c>
      <c r="Q1226" s="136"/>
      <c r="R1226" s="79">
        <v>2396.83</v>
      </c>
      <c r="S1226" s="79">
        <v>130.9</v>
      </c>
      <c r="T1226" s="79">
        <v>2527.73</v>
      </c>
      <c r="U1226" s="79">
        <v>0</v>
      </c>
      <c r="V1226" s="189">
        <v>2527.73</v>
      </c>
      <c r="X1226" s="79">
        <v>2396.83</v>
      </c>
      <c r="Y1226" s="79">
        <v>130.9</v>
      </c>
      <c r="Z1226" s="79">
        <v>2527.73</v>
      </c>
      <c r="AA1226" s="255">
        <v>9.9999999997635314E-3</v>
      </c>
      <c r="AC1226" s="254"/>
    </row>
    <row r="1227" spans="1:29" ht="24">
      <c r="A1227" s="67" t="s">
        <v>12861</v>
      </c>
      <c r="B1227" s="65" t="s">
        <v>12862</v>
      </c>
      <c r="C1227" s="71" t="s">
        <v>103</v>
      </c>
      <c r="D1227" s="78">
        <v>1</v>
      </c>
      <c r="E1227" s="79">
        <v>3426.37</v>
      </c>
      <c r="F1227" s="70">
        <v>3426.37</v>
      </c>
      <c r="G1227" s="320"/>
      <c r="H1227" s="79">
        <v>3255.15</v>
      </c>
      <c r="I1227" s="79">
        <v>171.22000000000003</v>
      </c>
      <c r="J1227" s="79">
        <v>3426.37</v>
      </c>
      <c r="K1227" s="79">
        <v>0</v>
      </c>
      <c r="L1227" s="70">
        <v>3426.37</v>
      </c>
      <c r="M1227" s="132"/>
      <c r="N1227" s="79">
        <v>3255.15</v>
      </c>
      <c r="O1227" s="79">
        <v>171.22000000000003</v>
      </c>
      <c r="P1227" s="79">
        <v>3426.37</v>
      </c>
      <c r="Q1227" s="136"/>
      <c r="R1227" s="79">
        <v>3255.15</v>
      </c>
      <c r="S1227" s="79">
        <v>171.2</v>
      </c>
      <c r="T1227" s="79">
        <v>3426.35</v>
      </c>
      <c r="U1227" s="79">
        <v>0</v>
      </c>
      <c r="V1227" s="189">
        <v>3426.35</v>
      </c>
      <c r="X1227" s="79">
        <v>3255.15</v>
      </c>
      <c r="Y1227" s="79">
        <v>171.2</v>
      </c>
      <c r="Z1227" s="79">
        <v>3426.35</v>
      </c>
      <c r="AA1227" s="255">
        <v>1.999999999998181E-2</v>
      </c>
      <c r="AC1227" s="254"/>
    </row>
    <row r="1228" spans="1:29" ht="12">
      <c r="A1228" s="489" t="s">
        <v>12863</v>
      </c>
      <c r="B1228" s="490" t="s">
        <v>12864</v>
      </c>
      <c r="C1228" s="491"/>
      <c r="D1228" s="492"/>
      <c r="E1228" s="79"/>
      <c r="F1228" s="63"/>
      <c r="G1228" s="320"/>
      <c r="H1228" s="79"/>
      <c r="I1228" s="79"/>
      <c r="J1228" s="79"/>
      <c r="K1228" s="79"/>
      <c r="L1228" s="70"/>
      <c r="M1228" s="132"/>
      <c r="N1228" s="79"/>
      <c r="O1228" s="79"/>
      <c r="P1228" s="79"/>
      <c r="Q1228" s="136"/>
      <c r="R1228" s="79"/>
      <c r="S1228" s="79"/>
      <c r="T1228" s="79"/>
      <c r="U1228" s="79"/>
      <c r="V1228" s="189"/>
      <c r="X1228" s="79"/>
      <c r="Y1228" s="79"/>
      <c r="Z1228" s="79"/>
      <c r="AA1228" s="255"/>
      <c r="AC1228" s="254"/>
    </row>
    <row r="1229" spans="1:29" ht="12">
      <c r="A1229" s="67" t="s">
        <v>12865</v>
      </c>
      <c r="B1229" s="65" t="s">
        <v>12866</v>
      </c>
      <c r="C1229" s="71" t="s">
        <v>509</v>
      </c>
      <c r="D1229" s="78">
        <v>1</v>
      </c>
      <c r="E1229" s="79">
        <v>146.69</v>
      </c>
      <c r="F1229" s="70">
        <v>146.69</v>
      </c>
      <c r="G1229" s="320"/>
      <c r="H1229" s="79">
        <v>96.34</v>
      </c>
      <c r="I1229" s="79">
        <v>50.349999999999994</v>
      </c>
      <c r="J1229" s="79">
        <v>146.69</v>
      </c>
      <c r="K1229" s="79">
        <v>0</v>
      </c>
      <c r="L1229" s="70">
        <v>146.69</v>
      </c>
      <c r="M1229" s="132"/>
      <c r="N1229" s="79">
        <v>96.34</v>
      </c>
      <c r="O1229" s="79">
        <v>50.349999999999994</v>
      </c>
      <c r="P1229" s="79">
        <v>146.69</v>
      </c>
      <c r="Q1229" s="136"/>
      <c r="R1229" s="79">
        <v>96.34</v>
      </c>
      <c r="S1229" s="79">
        <v>50.35</v>
      </c>
      <c r="T1229" s="79">
        <v>146.69</v>
      </c>
      <c r="U1229" s="79">
        <v>0</v>
      </c>
      <c r="V1229" s="189">
        <v>146.69</v>
      </c>
      <c r="X1229" s="79">
        <v>96.34</v>
      </c>
      <c r="Y1229" s="79">
        <v>50.35</v>
      </c>
      <c r="Z1229" s="79">
        <v>146.69</v>
      </c>
      <c r="AA1229" s="255">
        <v>0</v>
      </c>
      <c r="AC1229" s="254"/>
    </row>
    <row r="1230" spans="1:29" ht="12">
      <c r="A1230" s="67" t="s">
        <v>12867</v>
      </c>
      <c r="B1230" s="65" t="s">
        <v>12868</v>
      </c>
      <c r="C1230" s="71" t="s">
        <v>165</v>
      </c>
      <c r="D1230" s="78">
        <v>1</v>
      </c>
      <c r="E1230" s="79">
        <v>17.169999999999998</v>
      </c>
      <c r="F1230" s="70">
        <v>17.170000000000002</v>
      </c>
      <c r="G1230" s="320"/>
      <c r="H1230" s="79">
        <v>7.1099999999999994</v>
      </c>
      <c r="I1230" s="79">
        <v>10.06</v>
      </c>
      <c r="J1230" s="79">
        <v>17.170000000000002</v>
      </c>
      <c r="K1230" s="79">
        <v>0</v>
      </c>
      <c r="L1230" s="70">
        <v>17.170000000000002</v>
      </c>
      <c r="M1230" s="132"/>
      <c r="N1230" s="79">
        <v>7.1099999999999994</v>
      </c>
      <c r="O1230" s="79">
        <v>10.06</v>
      </c>
      <c r="P1230" s="79">
        <v>17.170000000000002</v>
      </c>
      <c r="Q1230" s="136"/>
      <c r="R1230" s="79">
        <v>7.11</v>
      </c>
      <c r="S1230" s="79">
        <v>10.07</v>
      </c>
      <c r="T1230" s="79">
        <v>17.18</v>
      </c>
      <c r="U1230" s="79">
        <v>0</v>
      </c>
      <c r="V1230" s="189">
        <v>17.18</v>
      </c>
      <c r="X1230" s="79">
        <v>7.11</v>
      </c>
      <c r="Y1230" s="79">
        <v>10.07</v>
      </c>
      <c r="Z1230" s="79">
        <v>17.18</v>
      </c>
      <c r="AA1230" s="255">
        <v>-9.9999999999980105E-3</v>
      </c>
      <c r="AC1230" s="254"/>
    </row>
    <row r="1231" spans="1:29" ht="24">
      <c r="A1231" s="67" t="s">
        <v>12869</v>
      </c>
      <c r="B1231" s="65" t="s">
        <v>12870</v>
      </c>
      <c r="C1231" s="71" t="s">
        <v>165</v>
      </c>
      <c r="D1231" s="78">
        <v>1</v>
      </c>
      <c r="E1231" s="79">
        <v>204.98</v>
      </c>
      <c r="F1231" s="70">
        <v>204.98</v>
      </c>
      <c r="G1231" s="320"/>
      <c r="H1231" s="79">
        <v>104.28</v>
      </c>
      <c r="I1231" s="79">
        <v>100.69999999999999</v>
      </c>
      <c r="J1231" s="79">
        <v>204.98</v>
      </c>
      <c r="K1231" s="79">
        <v>0</v>
      </c>
      <c r="L1231" s="70">
        <v>204.98</v>
      </c>
      <c r="M1231" s="132"/>
      <c r="N1231" s="79">
        <v>104.28</v>
      </c>
      <c r="O1231" s="79">
        <v>100.69999999999999</v>
      </c>
      <c r="P1231" s="79">
        <v>204.98</v>
      </c>
      <c r="Q1231" s="136"/>
      <c r="R1231" s="79">
        <v>104.28</v>
      </c>
      <c r="S1231" s="79">
        <v>100.7</v>
      </c>
      <c r="T1231" s="79">
        <v>204.98000000000002</v>
      </c>
      <c r="U1231" s="79">
        <v>0</v>
      </c>
      <c r="V1231" s="189">
        <v>204.98000000000002</v>
      </c>
      <c r="X1231" s="79">
        <v>104.28</v>
      </c>
      <c r="Y1231" s="79">
        <v>100.7</v>
      </c>
      <c r="Z1231" s="79">
        <v>204.98</v>
      </c>
      <c r="AA1231" s="255">
        <v>0</v>
      </c>
      <c r="AC1231" s="254"/>
    </row>
    <row r="1232" spans="1:29" ht="24">
      <c r="A1232" s="67" t="s">
        <v>12871</v>
      </c>
      <c r="B1232" s="65" t="s">
        <v>12872</v>
      </c>
      <c r="C1232" s="71" t="s">
        <v>509</v>
      </c>
      <c r="D1232" s="78">
        <v>1</v>
      </c>
      <c r="E1232" s="79">
        <v>2690.4</v>
      </c>
      <c r="F1232" s="70">
        <v>2690.4</v>
      </c>
      <c r="G1232" s="320"/>
      <c r="H1232" s="79">
        <v>2690.4</v>
      </c>
      <c r="I1232" s="79">
        <v>0</v>
      </c>
      <c r="J1232" s="79">
        <v>2690.4</v>
      </c>
      <c r="K1232" s="79">
        <v>0</v>
      </c>
      <c r="L1232" s="70">
        <v>2690.4</v>
      </c>
      <c r="M1232" s="132"/>
      <c r="N1232" s="79">
        <v>2690.4</v>
      </c>
      <c r="O1232" s="79"/>
      <c r="P1232" s="79">
        <v>2690.4</v>
      </c>
      <c r="Q1232" s="136"/>
      <c r="R1232" s="79">
        <v>2690.4</v>
      </c>
      <c r="S1232" s="79"/>
      <c r="T1232" s="79">
        <v>2690.4</v>
      </c>
      <c r="U1232" s="79">
        <v>0</v>
      </c>
      <c r="V1232" s="189">
        <v>2690.4</v>
      </c>
      <c r="X1232" s="79">
        <v>2690.4</v>
      </c>
      <c r="Y1232" s="79"/>
      <c r="Z1232" s="79">
        <v>2690.4</v>
      </c>
      <c r="AA1232" s="255">
        <v>0</v>
      </c>
      <c r="AC1232" s="254"/>
    </row>
    <row r="1233" spans="1:29" ht="24">
      <c r="A1233" s="67" t="s">
        <v>12873</v>
      </c>
      <c r="B1233" s="65" t="s">
        <v>12874</v>
      </c>
      <c r="C1233" s="71" t="s">
        <v>509</v>
      </c>
      <c r="D1233" s="78">
        <v>1</v>
      </c>
      <c r="E1233" s="79">
        <v>909.13</v>
      </c>
      <c r="F1233" s="70">
        <v>909.13</v>
      </c>
      <c r="G1233" s="320"/>
      <c r="H1233" s="79">
        <v>909.13</v>
      </c>
      <c r="I1233" s="79">
        <v>0</v>
      </c>
      <c r="J1233" s="79">
        <v>909.13</v>
      </c>
      <c r="K1233" s="79">
        <v>0</v>
      </c>
      <c r="L1233" s="70">
        <v>909.13</v>
      </c>
      <c r="M1233" s="132"/>
      <c r="N1233" s="79">
        <v>909.13</v>
      </c>
      <c r="O1233" s="79"/>
      <c r="P1233" s="79">
        <v>909.13</v>
      </c>
      <c r="Q1233" s="136"/>
      <c r="R1233" s="79">
        <v>909.13</v>
      </c>
      <c r="S1233" s="79"/>
      <c r="T1233" s="79">
        <v>909.13</v>
      </c>
      <c r="U1233" s="79">
        <v>0</v>
      </c>
      <c r="V1233" s="189">
        <v>909.13</v>
      </c>
      <c r="X1233" s="79">
        <v>909.13</v>
      </c>
      <c r="Y1233" s="79"/>
      <c r="Z1233" s="79">
        <v>909.13</v>
      </c>
      <c r="AA1233" s="255">
        <v>0</v>
      </c>
      <c r="AC1233" s="254"/>
    </row>
    <row r="1234" spans="1:29" ht="24">
      <c r="A1234" s="67" t="s">
        <v>12875</v>
      </c>
      <c r="B1234" s="65" t="s">
        <v>12876</v>
      </c>
      <c r="C1234" s="71" t="s">
        <v>509</v>
      </c>
      <c r="D1234" s="78">
        <v>1</v>
      </c>
      <c r="E1234" s="79">
        <v>709.12</v>
      </c>
      <c r="F1234" s="70">
        <v>709.12</v>
      </c>
      <c r="G1234" s="320"/>
      <c r="H1234" s="79">
        <v>688.99</v>
      </c>
      <c r="I1234" s="79">
        <v>20.130000000000003</v>
      </c>
      <c r="J1234" s="79">
        <v>709.12</v>
      </c>
      <c r="K1234" s="79">
        <v>0</v>
      </c>
      <c r="L1234" s="70">
        <v>709.12</v>
      </c>
      <c r="M1234" s="132"/>
      <c r="N1234" s="79">
        <v>688.99</v>
      </c>
      <c r="O1234" s="79">
        <v>20.130000000000003</v>
      </c>
      <c r="P1234" s="79">
        <v>709.12</v>
      </c>
      <c r="Q1234" s="136"/>
      <c r="R1234" s="79">
        <v>688.99</v>
      </c>
      <c r="S1234" s="79">
        <v>20.14</v>
      </c>
      <c r="T1234" s="79">
        <v>709.13</v>
      </c>
      <c r="U1234" s="79">
        <v>0</v>
      </c>
      <c r="V1234" s="189">
        <v>709.13</v>
      </c>
      <c r="X1234" s="79">
        <v>688.99</v>
      </c>
      <c r="Y1234" s="79">
        <v>20.14</v>
      </c>
      <c r="Z1234" s="79">
        <v>709.13</v>
      </c>
      <c r="AA1234" s="255">
        <v>-9.9999999999909051E-3</v>
      </c>
      <c r="AC1234" s="254"/>
    </row>
    <row r="1235" spans="1:29" ht="24">
      <c r="A1235" s="67" t="s">
        <v>12877</v>
      </c>
      <c r="B1235" s="65" t="s">
        <v>12878</v>
      </c>
      <c r="C1235" s="71" t="s">
        <v>509</v>
      </c>
      <c r="D1235" s="78">
        <v>1</v>
      </c>
      <c r="E1235" s="79">
        <v>2356.9499999999998</v>
      </c>
      <c r="F1235" s="70">
        <v>2356.9499999999998</v>
      </c>
      <c r="G1235" s="320"/>
      <c r="H1235" s="79">
        <v>2356.9499999999998</v>
      </c>
      <c r="I1235" s="79">
        <v>0</v>
      </c>
      <c r="J1235" s="79">
        <v>2356.9499999999998</v>
      </c>
      <c r="K1235" s="79">
        <v>0</v>
      </c>
      <c r="L1235" s="70">
        <v>2356.9499999999998</v>
      </c>
      <c r="M1235" s="132"/>
      <c r="N1235" s="79">
        <v>2356.9499999999998</v>
      </c>
      <c r="O1235" s="79"/>
      <c r="P1235" s="79">
        <v>2356.9499999999998</v>
      </c>
      <c r="Q1235" s="136"/>
      <c r="R1235" s="79">
        <v>2356.9499999999998</v>
      </c>
      <c r="S1235" s="79"/>
      <c r="T1235" s="79">
        <v>2356.9499999999998</v>
      </c>
      <c r="U1235" s="79">
        <v>0</v>
      </c>
      <c r="V1235" s="189">
        <v>2356.9499999999998</v>
      </c>
      <c r="X1235" s="79">
        <v>2356.9499999999998</v>
      </c>
      <c r="Y1235" s="79"/>
      <c r="Z1235" s="79">
        <v>2356.9499999999998</v>
      </c>
      <c r="AA1235" s="255">
        <v>0</v>
      </c>
      <c r="AC1235" s="254"/>
    </row>
    <row r="1236" spans="1:29" ht="12">
      <c r="A1236" s="67" t="s">
        <v>12879</v>
      </c>
      <c r="B1236" s="65" t="s">
        <v>12880</v>
      </c>
      <c r="C1236" s="71" t="s">
        <v>509</v>
      </c>
      <c r="D1236" s="78">
        <v>1</v>
      </c>
      <c r="E1236" s="79">
        <v>230.62</v>
      </c>
      <c r="F1236" s="70">
        <v>230.62</v>
      </c>
      <c r="G1236" s="320"/>
      <c r="H1236" s="79">
        <v>180.27</v>
      </c>
      <c r="I1236" s="79">
        <v>50.349999999999994</v>
      </c>
      <c r="J1236" s="79">
        <v>230.62</v>
      </c>
      <c r="K1236" s="79">
        <v>0</v>
      </c>
      <c r="L1236" s="70">
        <v>230.62</v>
      </c>
      <c r="M1236" s="132"/>
      <c r="N1236" s="79">
        <v>180.27</v>
      </c>
      <c r="O1236" s="79">
        <v>50.349999999999994</v>
      </c>
      <c r="P1236" s="79">
        <v>230.62</v>
      </c>
      <c r="Q1236" s="136"/>
      <c r="R1236" s="79">
        <v>180.27</v>
      </c>
      <c r="S1236" s="79">
        <v>50.35</v>
      </c>
      <c r="T1236" s="79">
        <v>230.62</v>
      </c>
      <c r="U1236" s="79">
        <v>0</v>
      </c>
      <c r="V1236" s="189">
        <v>230.62</v>
      </c>
      <c r="X1236" s="79">
        <v>180.27</v>
      </c>
      <c r="Y1236" s="79">
        <v>50.35</v>
      </c>
      <c r="Z1236" s="79">
        <v>230.62</v>
      </c>
      <c r="AA1236" s="255">
        <v>0</v>
      </c>
      <c r="AC1236" s="254"/>
    </row>
    <row r="1237" spans="1:29" ht="12">
      <c r="A1237" s="67" t="s">
        <v>12881</v>
      </c>
      <c r="B1237" s="65" t="s">
        <v>12882</v>
      </c>
      <c r="C1237" s="71" t="s">
        <v>396</v>
      </c>
      <c r="D1237" s="78">
        <v>1</v>
      </c>
      <c r="E1237" s="79">
        <v>1430.8700000000001</v>
      </c>
      <c r="F1237" s="70">
        <v>1430.87</v>
      </c>
      <c r="G1237" s="320"/>
      <c r="H1237" s="79">
        <v>1214.3700000000001</v>
      </c>
      <c r="I1237" s="79">
        <v>216.5</v>
      </c>
      <c r="J1237" s="79">
        <v>1430.8700000000001</v>
      </c>
      <c r="K1237" s="79">
        <v>0</v>
      </c>
      <c r="L1237" s="70">
        <v>1430.8700000000001</v>
      </c>
      <c r="M1237" s="132"/>
      <c r="N1237" s="79">
        <v>1214.3700000000001</v>
      </c>
      <c r="O1237" s="79">
        <v>216.5</v>
      </c>
      <c r="P1237" s="79">
        <v>1430.8700000000001</v>
      </c>
      <c r="Q1237" s="136"/>
      <c r="R1237" s="79">
        <v>1214.3699999999999</v>
      </c>
      <c r="S1237" s="79">
        <v>216.5</v>
      </c>
      <c r="T1237" s="79">
        <v>1430.87</v>
      </c>
      <c r="U1237" s="79">
        <v>0</v>
      </c>
      <c r="V1237" s="189">
        <v>1430.87</v>
      </c>
      <c r="X1237" s="79">
        <v>1214.3699999999999</v>
      </c>
      <c r="Y1237" s="79">
        <v>216.5</v>
      </c>
      <c r="Z1237" s="79">
        <v>1430.87</v>
      </c>
      <c r="AA1237" s="255">
        <v>0</v>
      </c>
      <c r="AC1237" s="254"/>
    </row>
    <row r="1238" spans="1:29" ht="12">
      <c r="A1238" s="67" t="s">
        <v>12883</v>
      </c>
      <c r="B1238" s="65" t="s">
        <v>12884</v>
      </c>
      <c r="C1238" s="71" t="s">
        <v>509</v>
      </c>
      <c r="D1238" s="78">
        <v>1</v>
      </c>
      <c r="E1238" s="79">
        <v>295.73</v>
      </c>
      <c r="F1238" s="70">
        <v>295.73</v>
      </c>
      <c r="G1238" s="320"/>
      <c r="H1238" s="79">
        <v>285.85000000000002</v>
      </c>
      <c r="I1238" s="79">
        <v>9.879999999999999</v>
      </c>
      <c r="J1238" s="79">
        <v>295.73</v>
      </c>
      <c r="K1238" s="79">
        <v>0</v>
      </c>
      <c r="L1238" s="70">
        <v>295.73</v>
      </c>
      <c r="M1238" s="132"/>
      <c r="N1238" s="79">
        <v>285.85000000000002</v>
      </c>
      <c r="O1238" s="79">
        <v>9.879999999999999</v>
      </c>
      <c r="P1238" s="79">
        <v>295.73</v>
      </c>
      <c r="Q1238" s="136"/>
      <c r="R1238" s="79">
        <v>285.85000000000002</v>
      </c>
      <c r="S1238" s="79">
        <v>9.8699999999999992</v>
      </c>
      <c r="T1238" s="79">
        <v>295.72000000000003</v>
      </c>
      <c r="U1238" s="79">
        <v>0</v>
      </c>
      <c r="V1238" s="189">
        <v>295.72000000000003</v>
      </c>
      <c r="X1238" s="79">
        <v>285.85000000000002</v>
      </c>
      <c r="Y1238" s="79">
        <v>9.8699999999999992</v>
      </c>
      <c r="Z1238" s="79">
        <v>295.72000000000003</v>
      </c>
      <c r="AA1238" s="255">
        <v>9.9999999999909051E-3</v>
      </c>
      <c r="AC1238" s="254"/>
    </row>
    <row r="1239" spans="1:29" ht="24">
      <c r="A1239" s="67" t="s">
        <v>12885</v>
      </c>
      <c r="B1239" s="65" t="s">
        <v>12886</v>
      </c>
      <c r="C1239" s="71" t="s">
        <v>509</v>
      </c>
      <c r="D1239" s="78">
        <v>1</v>
      </c>
      <c r="E1239" s="79">
        <v>2180.71</v>
      </c>
      <c r="F1239" s="70">
        <v>2180.71</v>
      </c>
      <c r="G1239" s="320"/>
      <c r="H1239" s="79">
        <v>2180.71</v>
      </c>
      <c r="I1239" s="79">
        <v>0</v>
      </c>
      <c r="J1239" s="79">
        <v>2180.71</v>
      </c>
      <c r="K1239" s="79">
        <v>0</v>
      </c>
      <c r="L1239" s="70">
        <v>2180.71</v>
      </c>
      <c r="M1239" s="132"/>
      <c r="N1239" s="79">
        <v>2180.71</v>
      </c>
      <c r="O1239" s="79"/>
      <c r="P1239" s="79">
        <v>2180.71</v>
      </c>
      <c r="Q1239" s="136"/>
      <c r="R1239" s="79">
        <v>2180.71</v>
      </c>
      <c r="S1239" s="79"/>
      <c r="T1239" s="79">
        <v>2180.71</v>
      </c>
      <c r="U1239" s="79">
        <v>0</v>
      </c>
      <c r="V1239" s="189">
        <v>2180.71</v>
      </c>
      <c r="X1239" s="79">
        <v>2180.71</v>
      </c>
      <c r="Y1239" s="79"/>
      <c r="Z1239" s="79">
        <v>2180.71</v>
      </c>
      <c r="AA1239" s="255">
        <v>0</v>
      </c>
      <c r="AC1239" s="254"/>
    </row>
    <row r="1240" spans="1:29" ht="24">
      <c r="A1240" s="67" t="s">
        <v>12887</v>
      </c>
      <c r="B1240" s="65" t="s">
        <v>12888</v>
      </c>
      <c r="C1240" s="71" t="s">
        <v>509</v>
      </c>
      <c r="D1240" s="78">
        <v>1</v>
      </c>
      <c r="E1240" s="79">
        <v>2066.7399999999998</v>
      </c>
      <c r="F1240" s="70">
        <v>2066.7399999999998</v>
      </c>
      <c r="G1240" s="320"/>
      <c r="H1240" s="79">
        <v>2066.7399999999998</v>
      </c>
      <c r="I1240" s="79">
        <v>0</v>
      </c>
      <c r="J1240" s="79">
        <v>2066.7399999999998</v>
      </c>
      <c r="K1240" s="79">
        <v>0</v>
      </c>
      <c r="L1240" s="70">
        <v>2066.7399999999998</v>
      </c>
      <c r="M1240" s="132"/>
      <c r="N1240" s="79">
        <v>2066.7399999999998</v>
      </c>
      <c r="O1240" s="79"/>
      <c r="P1240" s="79">
        <v>2066.7399999999998</v>
      </c>
      <c r="Q1240" s="136"/>
      <c r="R1240" s="79">
        <v>2066.7399999999998</v>
      </c>
      <c r="S1240" s="79"/>
      <c r="T1240" s="79">
        <v>2066.7399999999998</v>
      </c>
      <c r="U1240" s="79">
        <v>0</v>
      </c>
      <c r="V1240" s="189">
        <v>2066.7399999999998</v>
      </c>
      <c r="X1240" s="79">
        <v>2066.7399999999998</v>
      </c>
      <c r="Y1240" s="79"/>
      <c r="Z1240" s="79">
        <v>2066.7399999999998</v>
      </c>
      <c r="AA1240" s="255">
        <v>0</v>
      </c>
      <c r="AC1240" s="254"/>
    </row>
    <row r="1241" spans="1:29" ht="12">
      <c r="A1241" s="67" t="s">
        <v>12889</v>
      </c>
      <c r="B1241" s="65" t="s">
        <v>12890</v>
      </c>
      <c r="C1241" s="71" t="s">
        <v>509</v>
      </c>
      <c r="D1241" s="78">
        <v>1</v>
      </c>
      <c r="E1241" s="79">
        <v>476.87</v>
      </c>
      <c r="F1241" s="70">
        <v>476.87</v>
      </c>
      <c r="G1241" s="320"/>
      <c r="H1241" s="79">
        <v>435.4</v>
      </c>
      <c r="I1241" s="79">
        <v>41.47</v>
      </c>
      <c r="J1241" s="79">
        <v>476.87</v>
      </c>
      <c r="K1241" s="79">
        <v>0</v>
      </c>
      <c r="L1241" s="70">
        <v>476.87</v>
      </c>
      <c r="M1241" s="132"/>
      <c r="N1241" s="79">
        <v>435.4</v>
      </c>
      <c r="O1241" s="79">
        <v>41.47</v>
      </c>
      <c r="P1241" s="79">
        <v>476.87</v>
      </c>
      <c r="Q1241" s="136"/>
      <c r="R1241" s="79">
        <v>435.4</v>
      </c>
      <c r="S1241" s="79">
        <v>41.46</v>
      </c>
      <c r="T1241" s="79">
        <v>476.85999999999996</v>
      </c>
      <c r="U1241" s="79">
        <v>0</v>
      </c>
      <c r="V1241" s="189">
        <v>476.85999999999996</v>
      </c>
      <c r="X1241" s="79">
        <v>435.4</v>
      </c>
      <c r="Y1241" s="79">
        <v>41.46</v>
      </c>
      <c r="Z1241" s="79">
        <v>476.86</v>
      </c>
      <c r="AA1241" s="255">
        <v>9.9999999999909051E-3</v>
      </c>
      <c r="AC1241" s="254"/>
    </row>
    <row r="1242" spans="1:29" ht="24">
      <c r="A1242" s="67" t="s">
        <v>12891</v>
      </c>
      <c r="B1242" s="65" t="s">
        <v>12892</v>
      </c>
      <c r="C1242" s="71" t="s">
        <v>509</v>
      </c>
      <c r="D1242" s="78">
        <v>1</v>
      </c>
      <c r="E1242" s="79">
        <v>1068.1500000000001</v>
      </c>
      <c r="F1242" s="70">
        <v>1068.1500000000001</v>
      </c>
      <c r="G1242" s="320"/>
      <c r="H1242" s="79">
        <v>866.7600000000001</v>
      </c>
      <c r="I1242" s="79">
        <v>201.39</v>
      </c>
      <c r="J1242" s="79">
        <v>1068.1500000000001</v>
      </c>
      <c r="K1242" s="79">
        <v>0</v>
      </c>
      <c r="L1242" s="70">
        <v>1068.1500000000001</v>
      </c>
      <c r="M1242" s="132"/>
      <c r="N1242" s="79">
        <v>866.7600000000001</v>
      </c>
      <c r="O1242" s="79">
        <v>201.39</v>
      </c>
      <c r="P1242" s="79">
        <v>1068.1500000000001</v>
      </c>
      <c r="Q1242" s="136"/>
      <c r="R1242" s="79">
        <v>866.76</v>
      </c>
      <c r="S1242" s="79">
        <v>201.4</v>
      </c>
      <c r="T1242" s="79">
        <v>1068.1600000000001</v>
      </c>
      <c r="U1242" s="79">
        <v>0</v>
      </c>
      <c r="V1242" s="189">
        <v>1068.1600000000001</v>
      </c>
      <c r="X1242" s="79">
        <v>866.76</v>
      </c>
      <c r="Y1242" s="79">
        <v>201.4</v>
      </c>
      <c r="Z1242" s="79">
        <v>1068.1600000000001</v>
      </c>
      <c r="AA1242" s="255">
        <v>-9.9999999999909051E-3</v>
      </c>
      <c r="AC1242" s="254"/>
    </row>
    <row r="1243" spans="1:29" ht="12">
      <c r="A1243" s="67" t="s">
        <v>12893</v>
      </c>
      <c r="B1243" s="65" t="s">
        <v>12894</v>
      </c>
      <c r="C1243" s="71" t="s">
        <v>509</v>
      </c>
      <c r="D1243" s="78">
        <v>1</v>
      </c>
      <c r="E1243" s="79">
        <v>604.1</v>
      </c>
      <c r="F1243" s="70">
        <v>604.1</v>
      </c>
      <c r="G1243" s="320"/>
      <c r="H1243" s="79">
        <v>503.65999999999997</v>
      </c>
      <c r="I1243" s="79">
        <v>100.44</v>
      </c>
      <c r="J1243" s="79">
        <v>604.09999999999991</v>
      </c>
      <c r="K1243" s="79">
        <v>0</v>
      </c>
      <c r="L1243" s="70">
        <v>604.09999999999991</v>
      </c>
      <c r="M1243" s="132"/>
      <c r="N1243" s="79">
        <v>503.65999999999997</v>
      </c>
      <c r="O1243" s="79">
        <v>100.44</v>
      </c>
      <c r="P1243" s="79">
        <v>604.09999999999991</v>
      </c>
      <c r="Q1243" s="136"/>
      <c r="R1243" s="79">
        <v>503.66</v>
      </c>
      <c r="S1243" s="79">
        <v>100.42</v>
      </c>
      <c r="T1243" s="79">
        <v>604.08000000000004</v>
      </c>
      <c r="U1243" s="79">
        <v>0</v>
      </c>
      <c r="V1243" s="189">
        <v>604.08000000000004</v>
      </c>
      <c r="X1243" s="79">
        <v>503.66</v>
      </c>
      <c r="Y1243" s="79">
        <v>100.42</v>
      </c>
      <c r="Z1243" s="79">
        <v>604.08000000000004</v>
      </c>
      <c r="AA1243" s="255">
        <v>1.999999999998181E-2</v>
      </c>
      <c r="AC1243" s="254"/>
    </row>
    <row r="1244" spans="1:29" ht="24">
      <c r="A1244" s="67" t="s">
        <v>12895</v>
      </c>
      <c r="B1244" s="65" t="s">
        <v>12896</v>
      </c>
      <c r="C1244" s="71" t="s">
        <v>165</v>
      </c>
      <c r="D1244" s="78">
        <v>1</v>
      </c>
      <c r="E1244" s="79">
        <v>302.40999999999997</v>
      </c>
      <c r="F1244" s="70">
        <v>302.41000000000003</v>
      </c>
      <c r="G1244" s="320"/>
      <c r="H1244" s="79">
        <v>292.34999999999997</v>
      </c>
      <c r="I1244" s="79">
        <v>10.06</v>
      </c>
      <c r="J1244" s="79">
        <v>302.40999999999997</v>
      </c>
      <c r="K1244" s="79">
        <v>0</v>
      </c>
      <c r="L1244" s="70">
        <v>302.40999999999997</v>
      </c>
      <c r="M1244" s="132"/>
      <c r="N1244" s="79">
        <v>292.34999999999997</v>
      </c>
      <c r="O1244" s="79">
        <v>10.06</v>
      </c>
      <c r="P1244" s="79">
        <v>302.40999999999997</v>
      </c>
      <c r="Q1244" s="136"/>
      <c r="R1244" s="79">
        <v>292.35000000000002</v>
      </c>
      <c r="S1244" s="79">
        <v>10.07</v>
      </c>
      <c r="T1244" s="79">
        <v>302.42</v>
      </c>
      <c r="U1244" s="79">
        <v>0</v>
      </c>
      <c r="V1244" s="189">
        <v>302.42</v>
      </c>
      <c r="X1244" s="79">
        <v>292.35000000000002</v>
      </c>
      <c r="Y1244" s="79">
        <v>10.07</v>
      </c>
      <c r="Z1244" s="79">
        <v>302.42</v>
      </c>
      <c r="AA1244" s="255">
        <v>-9.9999999999909051E-3</v>
      </c>
      <c r="AC1244" s="254"/>
    </row>
    <row r="1245" spans="1:29" ht="12">
      <c r="A1245" s="489" t="s">
        <v>12897</v>
      </c>
      <c r="B1245" s="490" t="s">
        <v>12898</v>
      </c>
      <c r="C1245" s="491"/>
      <c r="D1245" s="492"/>
      <c r="E1245" s="79"/>
      <c r="F1245" s="63"/>
      <c r="G1245" s="320"/>
      <c r="H1245" s="79"/>
      <c r="I1245" s="79"/>
      <c r="J1245" s="79"/>
      <c r="K1245" s="79"/>
      <c r="L1245" s="70"/>
      <c r="M1245" s="132"/>
      <c r="N1245" s="79"/>
      <c r="O1245" s="79"/>
      <c r="P1245" s="79"/>
      <c r="Q1245" s="136"/>
      <c r="R1245" s="79"/>
      <c r="S1245" s="79"/>
      <c r="T1245" s="79"/>
      <c r="U1245" s="79"/>
      <c r="V1245" s="189"/>
      <c r="X1245" s="79"/>
      <c r="Y1245" s="79"/>
      <c r="Z1245" s="79"/>
      <c r="AA1245" s="255"/>
      <c r="AC1245" s="254"/>
    </row>
    <row r="1246" spans="1:29" ht="12">
      <c r="A1246" s="67" t="s">
        <v>12899</v>
      </c>
      <c r="B1246" s="65" t="s">
        <v>12900</v>
      </c>
      <c r="C1246" s="71" t="s">
        <v>509</v>
      </c>
      <c r="D1246" s="78">
        <v>1</v>
      </c>
      <c r="E1246" s="79">
        <v>325.60000000000002</v>
      </c>
      <c r="F1246" s="70">
        <v>325.60000000000002</v>
      </c>
      <c r="G1246" s="320"/>
      <c r="H1246" s="79">
        <v>256.13</v>
      </c>
      <c r="I1246" s="79">
        <v>69.47</v>
      </c>
      <c r="J1246" s="79">
        <v>325.60000000000002</v>
      </c>
      <c r="K1246" s="79">
        <v>0</v>
      </c>
      <c r="L1246" s="70">
        <v>325.60000000000002</v>
      </c>
      <c r="M1246" s="132"/>
      <c r="N1246" s="79">
        <v>256.13</v>
      </c>
      <c r="O1246" s="79">
        <v>69.47</v>
      </c>
      <c r="P1246" s="79">
        <v>325.60000000000002</v>
      </c>
      <c r="Q1246" s="136"/>
      <c r="R1246" s="79">
        <v>256.13</v>
      </c>
      <c r="S1246" s="79">
        <v>69.48</v>
      </c>
      <c r="T1246" s="79">
        <v>325.61</v>
      </c>
      <c r="U1246" s="79">
        <v>0</v>
      </c>
      <c r="V1246" s="189">
        <v>325.61</v>
      </c>
      <c r="X1246" s="79">
        <v>256.13</v>
      </c>
      <c r="Y1246" s="79">
        <v>69.48</v>
      </c>
      <c r="Z1246" s="79">
        <v>325.61</v>
      </c>
      <c r="AA1246" s="255">
        <v>-9.9999999999909051E-3</v>
      </c>
      <c r="AC1246" s="254"/>
    </row>
    <row r="1247" spans="1:29" ht="12">
      <c r="A1247" s="67" t="s">
        <v>12901</v>
      </c>
      <c r="B1247" s="65" t="s">
        <v>12902</v>
      </c>
      <c r="C1247" s="71" t="s">
        <v>103</v>
      </c>
      <c r="D1247" s="78">
        <v>1</v>
      </c>
      <c r="E1247" s="79">
        <v>646.34999999999991</v>
      </c>
      <c r="F1247" s="70">
        <v>646.35</v>
      </c>
      <c r="G1247" s="320"/>
      <c r="H1247" s="79">
        <v>505.34999999999997</v>
      </c>
      <c r="I1247" s="79">
        <v>141</v>
      </c>
      <c r="J1247" s="79">
        <v>646.34999999999991</v>
      </c>
      <c r="K1247" s="79">
        <v>0</v>
      </c>
      <c r="L1247" s="70">
        <v>646.34999999999991</v>
      </c>
      <c r="M1247" s="132"/>
      <c r="N1247" s="79">
        <v>505.34999999999997</v>
      </c>
      <c r="O1247" s="79">
        <v>141</v>
      </c>
      <c r="P1247" s="79">
        <v>646.34999999999991</v>
      </c>
      <c r="Q1247" s="136"/>
      <c r="R1247" s="79">
        <v>505.35</v>
      </c>
      <c r="S1247" s="79">
        <v>140.97999999999999</v>
      </c>
      <c r="T1247" s="79">
        <v>646.33000000000004</v>
      </c>
      <c r="U1247" s="79">
        <v>0</v>
      </c>
      <c r="V1247" s="189">
        <v>646.33000000000004</v>
      </c>
      <c r="X1247" s="79">
        <v>505.35</v>
      </c>
      <c r="Y1247" s="79">
        <v>140.97999999999999</v>
      </c>
      <c r="Z1247" s="79">
        <v>646.33000000000004</v>
      </c>
      <c r="AA1247" s="255">
        <v>1.999999999998181E-2</v>
      </c>
      <c r="AC1247" s="254"/>
    </row>
    <row r="1248" spans="1:29" ht="12">
      <c r="A1248" s="67" t="s">
        <v>12903</v>
      </c>
      <c r="B1248" s="65" t="s">
        <v>12904</v>
      </c>
      <c r="C1248" s="71" t="s">
        <v>103</v>
      </c>
      <c r="D1248" s="78">
        <v>1</v>
      </c>
      <c r="E1248" s="79">
        <v>644.05999999999995</v>
      </c>
      <c r="F1248" s="70">
        <v>644.05999999999995</v>
      </c>
      <c r="G1248" s="320"/>
      <c r="H1248" s="79">
        <v>503.05999999999995</v>
      </c>
      <c r="I1248" s="79">
        <v>141</v>
      </c>
      <c r="J1248" s="79">
        <v>644.05999999999995</v>
      </c>
      <c r="K1248" s="79">
        <v>0</v>
      </c>
      <c r="L1248" s="70">
        <v>644.05999999999995</v>
      </c>
      <c r="M1248" s="132"/>
      <c r="N1248" s="79">
        <v>503.05999999999995</v>
      </c>
      <c r="O1248" s="79">
        <v>141</v>
      </c>
      <c r="P1248" s="79">
        <v>644.05999999999995</v>
      </c>
      <c r="Q1248" s="136"/>
      <c r="R1248" s="79">
        <v>503.06</v>
      </c>
      <c r="S1248" s="79">
        <v>140.97999999999999</v>
      </c>
      <c r="T1248" s="79">
        <v>644.04</v>
      </c>
      <c r="U1248" s="79">
        <v>0</v>
      </c>
      <c r="V1248" s="189">
        <v>644.04</v>
      </c>
      <c r="X1248" s="79">
        <v>503.06</v>
      </c>
      <c r="Y1248" s="79">
        <v>140.97999999999999</v>
      </c>
      <c r="Z1248" s="79">
        <v>644.04</v>
      </c>
      <c r="AA1248" s="255">
        <v>1.999999999998181E-2</v>
      </c>
      <c r="AC1248" s="254"/>
    </row>
    <row r="1249" spans="1:31" ht="12">
      <c r="A1249" s="67" t="s">
        <v>12905</v>
      </c>
      <c r="B1249" s="65" t="s">
        <v>12906</v>
      </c>
      <c r="C1249" s="71" t="s">
        <v>103</v>
      </c>
      <c r="D1249" s="78">
        <v>1</v>
      </c>
      <c r="E1249" s="79">
        <v>650.51</v>
      </c>
      <c r="F1249" s="70">
        <v>650.51</v>
      </c>
      <c r="G1249" s="320"/>
      <c r="H1249" s="79">
        <v>509.51</v>
      </c>
      <c r="I1249" s="79">
        <v>141</v>
      </c>
      <c r="J1249" s="79">
        <v>650.51</v>
      </c>
      <c r="K1249" s="79">
        <v>0</v>
      </c>
      <c r="L1249" s="70">
        <v>650.51</v>
      </c>
      <c r="M1249" s="132"/>
      <c r="N1249" s="79">
        <v>509.51</v>
      </c>
      <c r="O1249" s="79">
        <v>141</v>
      </c>
      <c r="P1249" s="79">
        <v>650.51</v>
      </c>
      <c r="Q1249" s="136"/>
      <c r="R1249" s="79">
        <v>509.51</v>
      </c>
      <c r="S1249" s="79">
        <v>140.97999999999999</v>
      </c>
      <c r="T1249" s="79">
        <v>650.49</v>
      </c>
      <c r="U1249" s="79">
        <v>0</v>
      </c>
      <c r="V1249" s="189">
        <v>650.49</v>
      </c>
      <c r="X1249" s="79">
        <v>509.51</v>
      </c>
      <c r="Y1249" s="79">
        <v>140.97999999999999</v>
      </c>
      <c r="Z1249" s="79">
        <v>650.49</v>
      </c>
      <c r="AA1249" s="255">
        <v>1.999999999998181E-2</v>
      </c>
      <c r="AC1249" s="254"/>
    </row>
    <row r="1250" spans="1:31" ht="12">
      <c r="A1250" s="67" t="s">
        <v>12907</v>
      </c>
      <c r="B1250" s="65" t="s">
        <v>12908</v>
      </c>
      <c r="C1250" s="71" t="s">
        <v>103</v>
      </c>
      <c r="D1250" s="78">
        <v>1</v>
      </c>
      <c r="E1250" s="79">
        <v>679.69</v>
      </c>
      <c r="F1250" s="70">
        <v>679.69</v>
      </c>
      <c r="G1250" s="320"/>
      <c r="H1250" s="79">
        <v>538.69000000000005</v>
      </c>
      <c r="I1250" s="79">
        <v>141</v>
      </c>
      <c r="J1250" s="79">
        <v>679.69</v>
      </c>
      <c r="K1250" s="79">
        <v>0</v>
      </c>
      <c r="L1250" s="70">
        <v>679.69</v>
      </c>
      <c r="M1250" s="132"/>
      <c r="N1250" s="79">
        <v>538.69000000000005</v>
      </c>
      <c r="O1250" s="79">
        <v>141</v>
      </c>
      <c r="P1250" s="79">
        <v>679.69</v>
      </c>
      <c r="Q1250" s="136"/>
      <c r="R1250" s="79">
        <v>538.69000000000005</v>
      </c>
      <c r="S1250" s="79">
        <v>140.97999999999999</v>
      </c>
      <c r="T1250" s="79">
        <v>679.67000000000007</v>
      </c>
      <c r="U1250" s="79">
        <v>0</v>
      </c>
      <c r="V1250" s="189">
        <v>679.67000000000007</v>
      </c>
      <c r="X1250" s="79">
        <v>538.69000000000005</v>
      </c>
      <c r="Y1250" s="79">
        <v>140.97999999999999</v>
      </c>
      <c r="Z1250" s="79">
        <v>679.67</v>
      </c>
      <c r="AA1250" s="255">
        <v>2.0000000000095497E-2</v>
      </c>
      <c r="AC1250" s="254"/>
      <c r="AD1250" s="61"/>
      <c r="AE1250" s="61"/>
    </row>
    <row r="1251" spans="1:31" ht="12">
      <c r="A1251" s="67" t="s">
        <v>12909</v>
      </c>
      <c r="B1251" s="65" t="s">
        <v>12910</v>
      </c>
      <c r="C1251" s="71" t="s">
        <v>103</v>
      </c>
      <c r="D1251" s="78">
        <v>1</v>
      </c>
      <c r="E1251" s="79">
        <v>935.29</v>
      </c>
      <c r="F1251" s="70">
        <v>935.29</v>
      </c>
      <c r="G1251" s="320"/>
      <c r="H1251" s="79">
        <v>794.29</v>
      </c>
      <c r="I1251" s="79">
        <v>141</v>
      </c>
      <c r="J1251" s="79">
        <v>935.29</v>
      </c>
      <c r="K1251" s="79">
        <v>0</v>
      </c>
      <c r="L1251" s="70">
        <v>935.29</v>
      </c>
      <c r="M1251" s="132"/>
      <c r="N1251" s="79">
        <v>794.29</v>
      </c>
      <c r="O1251" s="79">
        <v>141</v>
      </c>
      <c r="P1251" s="79">
        <v>935.29</v>
      </c>
      <c r="Q1251" s="136"/>
      <c r="R1251" s="79">
        <v>794.29</v>
      </c>
      <c r="S1251" s="79">
        <v>140.97999999999999</v>
      </c>
      <c r="T1251" s="79">
        <v>935.27</v>
      </c>
      <c r="U1251" s="79">
        <v>0</v>
      </c>
      <c r="V1251" s="189">
        <v>935.27</v>
      </c>
      <c r="X1251" s="79">
        <v>794.29</v>
      </c>
      <c r="Y1251" s="79">
        <v>140.97999999999999</v>
      </c>
      <c r="Z1251" s="79">
        <v>935.27</v>
      </c>
      <c r="AA1251" s="255">
        <v>1.999999999998181E-2</v>
      </c>
      <c r="AC1251" s="254"/>
    </row>
    <row r="1252" spans="1:31" s="61" customFormat="1" ht="12">
      <c r="A1252" s="67" t="s">
        <v>12911</v>
      </c>
      <c r="B1252" s="65" t="s">
        <v>12912</v>
      </c>
      <c r="C1252" s="71" t="s">
        <v>103</v>
      </c>
      <c r="D1252" s="78">
        <v>1</v>
      </c>
      <c r="E1252" s="79">
        <v>1063.04</v>
      </c>
      <c r="F1252" s="70">
        <v>1063.04</v>
      </c>
      <c r="G1252" s="320"/>
      <c r="H1252" s="79">
        <v>886.8</v>
      </c>
      <c r="I1252" s="79">
        <v>176.24</v>
      </c>
      <c r="J1252" s="79">
        <v>1063.04</v>
      </c>
      <c r="K1252" s="79">
        <v>0</v>
      </c>
      <c r="L1252" s="70">
        <v>1063.04</v>
      </c>
      <c r="M1252" s="132"/>
      <c r="N1252" s="79">
        <v>886.8</v>
      </c>
      <c r="O1252" s="79">
        <v>176.24</v>
      </c>
      <c r="P1252" s="79">
        <v>1063.04</v>
      </c>
      <c r="Q1252" s="136"/>
      <c r="R1252" s="79">
        <v>886.8</v>
      </c>
      <c r="S1252" s="79">
        <v>176.23</v>
      </c>
      <c r="T1252" s="79">
        <v>1063.03</v>
      </c>
      <c r="U1252" s="79">
        <v>0</v>
      </c>
      <c r="V1252" s="189">
        <v>1063.03</v>
      </c>
      <c r="X1252" s="79">
        <v>886.8</v>
      </c>
      <c r="Y1252" s="79">
        <v>176.23</v>
      </c>
      <c r="Z1252" s="79">
        <v>1063.03</v>
      </c>
      <c r="AA1252" s="255">
        <v>9.9999999999909051E-3</v>
      </c>
      <c r="AC1252" s="254"/>
      <c r="AD1252" s="236"/>
      <c r="AE1252" s="236"/>
    </row>
    <row r="1253" spans="1:31" ht="12">
      <c r="A1253" s="67" t="s">
        <v>12913</v>
      </c>
      <c r="B1253" s="65" t="s">
        <v>12914</v>
      </c>
      <c r="C1253" s="71" t="s">
        <v>103</v>
      </c>
      <c r="D1253" s="78">
        <v>1</v>
      </c>
      <c r="E1253" s="79">
        <v>1108.1899999999998</v>
      </c>
      <c r="F1253" s="70">
        <v>1108.19</v>
      </c>
      <c r="G1253" s="320"/>
      <c r="H1253" s="79">
        <v>904.29</v>
      </c>
      <c r="I1253" s="79">
        <v>203.9</v>
      </c>
      <c r="J1253" s="79">
        <v>1108.19</v>
      </c>
      <c r="K1253" s="79">
        <v>0</v>
      </c>
      <c r="L1253" s="70">
        <v>1108.19</v>
      </c>
      <c r="M1253" s="132"/>
      <c r="N1253" s="79">
        <v>904.29</v>
      </c>
      <c r="O1253" s="79">
        <v>203.9</v>
      </c>
      <c r="P1253" s="79">
        <v>1108.19</v>
      </c>
      <c r="Q1253" s="136"/>
      <c r="R1253" s="79">
        <v>904.29</v>
      </c>
      <c r="S1253" s="79">
        <v>203.91</v>
      </c>
      <c r="T1253" s="79">
        <v>1108.2</v>
      </c>
      <c r="U1253" s="79">
        <v>0</v>
      </c>
      <c r="V1253" s="189">
        <v>1108.2</v>
      </c>
      <c r="X1253" s="79">
        <v>904.29</v>
      </c>
      <c r="Y1253" s="79">
        <v>203.91</v>
      </c>
      <c r="Z1253" s="79">
        <v>1108.2</v>
      </c>
      <c r="AA1253" s="255">
        <v>-9.9999999999909051E-3</v>
      </c>
      <c r="AC1253" s="254"/>
    </row>
    <row r="1254" spans="1:31" ht="12">
      <c r="A1254" s="67" t="s">
        <v>12915</v>
      </c>
      <c r="B1254" s="65" t="s">
        <v>12916</v>
      </c>
      <c r="C1254" s="71" t="s">
        <v>103</v>
      </c>
      <c r="D1254" s="78">
        <v>1</v>
      </c>
      <c r="E1254" s="79">
        <v>428.5</v>
      </c>
      <c r="F1254" s="70">
        <v>428.5</v>
      </c>
      <c r="G1254" s="320"/>
      <c r="H1254" s="79">
        <v>358.02</v>
      </c>
      <c r="I1254" s="79">
        <v>70.48</v>
      </c>
      <c r="J1254" s="79">
        <v>428.5</v>
      </c>
      <c r="K1254" s="79">
        <v>0</v>
      </c>
      <c r="L1254" s="70">
        <v>428.5</v>
      </c>
      <c r="M1254" s="132"/>
      <c r="N1254" s="79">
        <v>358.02</v>
      </c>
      <c r="O1254" s="79">
        <v>70.48</v>
      </c>
      <c r="P1254" s="79">
        <v>428.5</v>
      </c>
      <c r="Q1254" s="136"/>
      <c r="R1254" s="79">
        <v>358.02</v>
      </c>
      <c r="S1254" s="79">
        <v>70.489999999999995</v>
      </c>
      <c r="T1254" s="79">
        <v>428.51</v>
      </c>
      <c r="U1254" s="79">
        <v>0</v>
      </c>
      <c r="V1254" s="189">
        <v>428.51</v>
      </c>
      <c r="X1254" s="79">
        <v>358.02</v>
      </c>
      <c r="Y1254" s="79">
        <v>70.489999999999995</v>
      </c>
      <c r="Z1254" s="79">
        <v>428.51</v>
      </c>
      <c r="AA1254" s="255">
        <v>-9.9999999999909051E-3</v>
      </c>
      <c r="AC1254" s="254"/>
    </row>
    <row r="1255" spans="1:31" ht="12">
      <c r="A1255" s="67" t="s">
        <v>12917</v>
      </c>
      <c r="B1255" s="65" t="s">
        <v>12918</v>
      </c>
      <c r="C1255" s="71" t="s">
        <v>103</v>
      </c>
      <c r="D1255" s="78">
        <v>1</v>
      </c>
      <c r="E1255" s="79">
        <v>432.66</v>
      </c>
      <c r="F1255" s="70">
        <v>432.66</v>
      </c>
      <c r="G1255" s="320"/>
      <c r="H1255" s="79">
        <v>362.18</v>
      </c>
      <c r="I1255" s="79">
        <v>70.48</v>
      </c>
      <c r="J1255" s="79">
        <v>432.66</v>
      </c>
      <c r="K1255" s="79">
        <v>0</v>
      </c>
      <c r="L1255" s="70">
        <v>432.66</v>
      </c>
      <c r="M1255" s="132"/>
      <c r="N1255" s="79">
        <v>362.18</v>
      </c>
      <c r="O1255" s="79">
        <v>70.48</v>
      </c>
      <c r="P1255" s="79">
        <v>432.66</v>
      </c>
      <c r="Q1255" s="136"/>
      <c r="R1255" s="79">
        <v>362.18</v>
      </c>
      <c r="S1255" s="79">
        <v>70.489999999999995</v>
      </c>
      <c r="T1255" s="79">
        <v>432.67</v>
      </c>
      <c r="U1255" s="79">
        <v>0</v>
      </c>
      <c r="V1255" s="189">
        <v>432.67</v>
      </c>
      <c r="X1255" s="79">
        <v>362.18</v>
      </c>
      <c r="Y1255" s="79">
        <v>70.489999999999995</v>
      </c>
      <c r="Z1255" s="79">
        <v>432.67</v>
      </c>
      <c r="AA1255" s="255">
        <v>-9.9999999999909051E-3</v>
      </c>
      <c r="AC1255" s="254"/>
      <c r="AD1255" s="73"/>
      <c r="AE1255" s="73"/>
    </row>
    <row r="1256" spans="1:31" ht="12">
      <c r="A1256" s="67" t="s">
        <v>12919</v>
      </c>
      <c r="B1256" s="65" t="s">
        <v>12920</v>
      </c>
      <c r="C1256" s="71" t="s">
        <v>103</v>
      </c>
      <c r="D1256" s="78">
        <v>1</v>
      </c>
      <c r="E1256" s="79">
        <v>461.84000000000003</v>
      </c>
      <c r="F1256" s="70">
        <v>461.84</v>
      </c>
      <c r="G1256" s="320"/>
      <c r="H1256" s="79">
        <v>391.36</v>
      </c>
      <c r="I1256" s="79">
        <v>70.48</v>
      </c>
      <c r="J1256" s="79">
        <v>461.84000000000003</v>
      </c>
      <c r="K1256" s="79">
        <v>0</v>
      </c>
      <c r="L1256" s="70">
        <v>461.84000000000003</v>
      </c>
      <c r="M1256" s="132"/>
      <c r="N1256" s="79">
        <v>391.36</v>
      </c>
      <c r="O1256" s="79">
        <v>70.48</v>
      </c>
      <c r="P1256" s="79">
        <v>461.84000000000003</v>
      </c>
      <c r="Q1256" s="136"/>
      <c r="R1256" s="79">
        <v>391.36</v>
      </c>
      <c r="S1256" s="79">
        <v>70.489999999999995</v>
      </c>
      <c r="T1256" s="79">
        <v>461.85</v>
      </c>
      <c r="U1256" s="79">
        <v>0</v>
      </c>
      <c r="V1256" s="189">
        <v>461.85</v>
      </c>
      <c r="X1256" s="79">
        <v>391.36</v>
      </c>
      <c r="Y1256" s="79">
        <v>70.489999999999995</v>
      </c>
      <c r="Z1256" s="79">
        <v>461.85</v>
      </c>
      <c r="AA1256" s="255">
        <v>-1.0000000000047748E-2</v>
      </c>
      <c r="AC1256" s="254"/>
    </row>
    <row r="1257" spans="1:31" s="73" customFormat="1" ht="12">
      <c r="A1257" s="67" t="s">
        <v>12921</v>
      </c>
      <c r="B1257" s="65" t="s">
        <v>12922</v>
      </c>
      <c r="C1257" s="71" t="s">
        <v>103</v>
      </c>
      <c r="D1257" s="78">
        <v>1</v>
      </c>
      <c r="E1257" s="79">
        <v>1049.3400000000001</v>
      </c>
      <c r="F1257" s="70">
        <v>1049.3399999999999</v>
      </c>
      <c r="G1257" s="320"/>
      <c r="H1257" s="79">
        <v>978.86</v>
      </c>
      <c r="I1257" s="79">
        <v>70.48</v>
      </c>
      <c r="J1257" s="79">
        <v>1049.3399999999999</v>
      </c>
      <c r="K1257" s="79">
        <v>0</v>
      </c>
      <c r="L1257" s="70">
        <v>1049.3399999999999</v>
      </c>
      <c r="M1257" s="132"/>
      <c r="N1257" s="79">
        <v>978.86</v>
      </c>
      <c r="O1257" s="79">
        <v>70.48</v>
      </c>
      <c r="P1257" s="79">
        <v>1049.3399999999999</v>
      </c>
      <c r="Q1257" s="136"/>
      <c r="R1257" s="79">
        <v>978.86</v>
      </c>
      <c r="S1257" s="79">
        <v>70.489999999999995</v>
      </c>
      <c r="T1257" s="79">
        <v>1049.3499999999999</v>
      </c>
      <c r="U1257" s="79">
        <v>0</v>
      </c>
      <c r="V1257" s="189">
        <v>1049.3499999999999</v>
      </c>
      <c r="W1257" s="61"/>
      <c r="X1257" s="79">
        <v>978.86</v>
      </c>
      <c r="Y1257" s="79">
        <v>70.489999999999995</v>
      </c>
      <c r="Z1257" s="79">
        <v>1049.3499999999999</v>
      </c>
      <c r="AA1257" s="255">
        <v>-9.9999999999909051E-3</v>
      </c>
      <c r="AB1257" s="61"/>
      <c r="AC1257" s="254"/>
      <c r="AD1257" s="61"/>
      <c r="AE1257" s="61"/>
    </row>
    <row r="1258" spans="1:31" ht="12">
      <c r="A1258" s="67" t="s">
        <v>12923</v>
      </c>
      <c r="B1258" s="65" t="s">
        <v>12924</v>
      </c>
      <c r="C1258" s="71" t="s">
        <v>103</v>
      </c>
      <c r="D1258" s="78">
        <v>1</v>
      </c>
      <c r="E1258" s="79">
        <v>1053.5</v>
      </c>
      <c r="F1258" s="70">
        <v>1053.5</v>
      </c>
      <c r="G1258" s="320"/>
      <c r="H1258" s="79">
        <v>983.02</v>
      </c>
      <c r="I1258" s="79">
        <v>70.48</v>
      </c>
      <c r="J1258" s="79">
        <v>1053.5</v>
      </c>
      <c r="K1258" s="79">
        <v>0</v>
      </c>
      <c r="L1258" s="70">
        <v>1053.5</v>
      </c>
      <c r="M1258" s="132"/>
      <c r="N1258" s="79">
        <v>983.02</v>
      </c>
      <c r="O1258" s="79">
        <v>70.48</v>
      </c>
      <c r="P1258" s="79">
        <v>1053.5</v>
      </c>
      <c r="Q1258" s="136"/>
      <c r="R1258" s="79">
        <v>983.02</v>
      </c>
      <c r="S1258" s="79">
        <v>70.489999999999995</v>
      </c>
      <c r="T1258" s="79">
        <v>1053.51</v>
      </c>
      <c r="U1258" s="79">
        <v>0</v>
      </c>
      <c r="V1258" s="189">
        <v>1053.51</v>
      </c>
      <c r="X1258" s="79">
        <v>983.02</v>
      </c>
      <c r="Y1258" s="79">
        <v>70.489999999999995</v>
      </c>
      <c r="Z1258" s="79">
        <v>1053.51</v>
      </c>
      <c r="AA1258" s="255">
        <v>-9.9999999999909051E-3</v>
      </c>
      <c r="AC1258" s="254"/>
      <c r="AD1258" s="61"/>
      <c r="AE1258" s="61"/>
    </row>
    <row r="1259" spans="1:31" s="61" customFormat="1" ht="12">
      <c r="A1259" s="67" t="s">
        <v>12925</v>
      </c>
      <c r="B1259" s="65" t="s">
        <v>12926</v>
      </c>
      <c r="C1259" s="71" t="s">
        <v>103</v>
      </c>
      <c r="D1259" s="78">
        <v>1</v>
      </c>
      <c r="E1259" s="79">
        <v>1522.35</v>
      </c>
      <c r="F1259" s="70">
        <v>1522.35</v>
      </c>
      <c r="G1259" s="320"/>
      <c r="H1259" s="79">
        <v>1391.44</v>
      </c>
      <c r="I1259" s="79">
        <v>130.91</v>
      </c>
      <c r="J1259" s="79">
        <v>1522.3500000000001</v>
      </c>
      <c r="K1259" s="79">
        <v>0</v>
      </c>
      <c r="L1259" s="70">
        <v>1522.3500000000001</v>
      </c>
      <c r="M1259" s="132"/>
      <c r="N1259" s="79">
        <v>1391.44</v>
      </c>
      <c r="O1259" s="79">
        <v>130.91</v>
      </c>
      <c r="P1259" s="79">
        <v>1522.3500000000001</v>
      </c>
      <c r="Q1259" s="136"/>
      <c r="R1259" s="79">
        <v>1391.44</v>
      </c>
      <c r="S1259" s="79">
        <v>130.9</v>
      </c>
      <c r="T1259" s="79">
        <v>1522.3400000000001</v>
      </c>
      <c r="U1259" s="79">
        <v>0</v>
      </c>
      <c r="V1259" s="189">
        <v>1522.3400000000001</v>
      </c>
      <c r="X1259" s="79">
        <v>1391.44</v>
      </c>
      <c r="Y1259" s="79">
        <v>130.9</v>
      </c>
      <c r="Z1259" s="79">
        <v>1522.34</v>
      </c>
      <c r="AA1259" s="255">
        <v>9.9999999999909051E-3</v>
      </c>
      <c r="AC1259" s="254"/>
    </row>
    <row r="1260" spans="1:31" s="61" customFormat="1" ht="12">
      <c r="A1260" s="67" t="s">
        <v>12927</v>
      </c>
      <c r="B1260" s="65" t="s">
        <v>12928</v>
      </c>
      <c r="C1260" s="71" t="s">
        <v>103</v>
      </c>
      <c r="D1260" s="78">
        <v>1</v>
      </c>
      <c r="E1260" s="79">
        <v>1551.83</v>
      </c>
      <c r="F1260" s="70">
        <v>1551.83</v>
      </c>
      <c r="G1260" s="320"/>
      <c r="H1260" s="79">
        <v>1420.92</v>
      </c>
      <c r="I1260" s="79">
        <v>130.91</v>
      </c>
      <c r="J1260" s="79">
        <v>1551.8300000000002</v>
      </c>
      <c r="K1260" s="79">
        <v>0</v>
      </c>
      <c r="L1260" s="70">
        <v>1551.8300000000002</v>
      </c>
      <c r="M1260" s="132"/>
      <c r="N1260" s="79">
        <v>1420.92</v>
      </c>
      <c r="O1260" s="79">
        <v>130.91</v>
      </c>
      <c r="P1260" s="79">
        <v>1551.8300000000002</v>
      </c>
      <c r="Q1260" s="136"/>
      <c r="R1260" s="79">
        <v>1420.92</v>
      </c>
      <c r="S1260" s="79">
        <v>130.9</v>
      </c>
      <c r="T1260" s="79">
        <v>1551.8200000000002</v>
      </c>
      <c r="U1260" s="79">
        <v>0</v>
      </c>
      <c r="V1260" s="189">
        <v>1551.8200000000002</v>
      </c>
      <c r="X1260" s="79">
        <v>1420.92</v>
      </c>
      <c r="Y1260" s="79">
        <v>130.9</v>
      </c>
      <c r="Z1260" s="79">
        <v>1551.82</v>
      </c>
      <c r="AA1260" s="255">
        <v>9.9999999999909051E-3</v>
      </c>
      <c r="AC1260" s="254"/>
    </row>
    <row r="1261" spans="1:31" s="61" customFormat="1" ht="12">
      <c r="A1261" s="67" t="s">
        <v>12929</v>
      </c>
      <c r="B1261" s="65" t="s">
        <v>12930</v>
      </c>
      <c r="C1261" s="71" t="s">
        <v>103</v>
      </c>
      <c r="D1261" s="78">
        <v>1</v>
      </c>
      <c r="E1261" s="79">
        <v>1604.05</v>
      </c>
      <c r="F1261" s="70">
        <v>1604.05</v>
      </c>
      <c r="G1261" s="320"/>
      <c r="H1261" s="79">
        <v>1473.1399999999999</v>
      </c>
      <c r="I1261" s="79">
        <v>130.91</v>
      </c>
      <c r="J1261" s="79">
        <v>1604.05</v>
      </c>
      <c r="K1261" s="79">
        <v>0</v>
      </c>
      <c r="L1261" s="70">
        <v>1604.05</v>
      </c>
      <c r="M1261" s="132"/>
      <c r="N1261" s="79">
        <v>1473.1399999999999</v>
      </c>
      <c r="O1261" s="79">
        <v>130.91</v>
      </c>
      <c r="P1261" s="79">
        <v>1604.05</v>
      </c>
      <c r="Q1261" s="136"/>
      <c r="R1261" s="79">
        <v>1473.14</v>
      </c>
      <c r="S1261" s="79">
        <v>130.9</v>
      </c>
      <c r="T1261" s="79">
        <v>1604.0400000000002</v>
      </c>
      <c r="U1261" s="79">
        <v>0</v>
      </c>
      <c r="V1261" s="189">
        <v>1604.0400000000002</v>
      </c>
      <c r="X1261" s="79">
        <v>1473.14</v>
      </c>
      <c r="Y1261" s="79">
        <v>130.9</v>
      </c>
      <c r="Z1261" s="79">
        <v>1604.04</v>
      </c>
      <c r="AA1261" s="255">
        <v>9.9999999999909051E-3</v>
      </c>
      <c r="AC1261" s="254"/>
      <c r="AD1261" s="236"/>
      <c r="AE1261" s="236"/>
    </row>
    <row r="1262" spans="1:31" s="61" customFormat="1" ht="12">
      <c r="A1262" s="67" t="s">
        <v>12931</v>
      </c>
      <c r="B1262" s="65" t="s">
        <v>12932</v>
      </c>
      <c r="C1262" s="71" t="s">
        <v>103</v>
      </c>
      <c r="D1262" s="78">
        <v>1</v>
      </c>
      <c r="E1262" s="79">
        <v>1919.25</v>
      </c>
      <c r="F1262" s="70">
        <v>1919.25</v>
      </c>
      <c r="G1262" s="320"/>
      <c r="H1262" s="79">
        <v>1748.0299999999997</v>
      </c>
      <c r="I1262" s="79">
        <v>171.22000000000003</v>
      </c>
      <c r="J1262" s="79">
        <v>1919.2499999999998</v>
      </c>
      <c r="K1262" s="79">
        <v>0</v>
      </c>
      <c r="L1262" s="70">
        <v>1919.2499999999998</v>
      </c>
      <c r="M1262" s="132"/>
      <c r="N1262" s="79">
        <v>1748.0299999999997</v>
      </c>
      <c r="O1262" s="79">
        <v>171.22000000000003</v>
      </c>
      <c r="P1262" s="79">
        <v>1919.2499999999998</v>
      </c>
      <c r="Q1262" s="136"/>
      <c r="R1262" s="79">
        <v>1748.03</v>
      </c>
      <c r="S1262" s="79">
        <v>171.2</v>
      </c>
      <c r="T1262" s="79">
        <v>1919.23</v>
      </c>
      <c r="U1262" s="79">
        <v>0</v>
      </c>
      <c r="V1262" s="189">
        <v>1919.23</v>
      </c>
      <c r="X1262" s="79">
        <v>1748.03</v>
      </c>
      <c r="Y1262" s="79">
        <v>171.2</v>
      </c>
      <c r="Z1262" s="79">
        <v>1919.23</v>
      </c>
      <c r="AA1262" s="255">
        <v>1.999999999998181E-2</v>
      </c>
      <c r="AC1262" s="254"/>
      <c r="AD1262" s="236"/>
      <c r="AE1262" s="236"/>
    </row>
    <row r="1263" spans="1:31" ht="12">
      <c r="A1263" s="67" t="s">
        <v>12933</v>
      </c>
      <c r="B1263" s="65" t="s">
        <v>12934</v>
      </c>
      <c r="C1263" s="71" t="s">
        <v>103</v>
      </c>
      <c r="D1263" s="78">
        <v>1</v>
      </c>
      <c r="E1263" s="79">
        <v>2019.71</v>
      </c>
      <c r="F1263" s="70">
        <v>2019.71</v>
      </c>
      <c r="G1263" s="320"/>
      <c r="H1263" s="79">
        <v>1848.49</v>
      </c>
      <c r="I1263" s="79">
        <v>171.22000000000003</v>
      </c>
      <c r="J1263" s="79">
        <v>2019.71</v>
      </c>
      <c r="K1263" s="79">
        <v>0</v>
      </c>
      <c r="L1263" s="70">
        <v>2019.71</v>
      </c>
      <c r="M1263" s="132"/>
      <c r="N1263" s="79">
        <v>1848.49</v>
      </c>
      <c r="O1263" s="79">
        <v>171.22000000000003</v>
      </c>
      <c r="P1263" s="79">
        <v>2019.71</v>
      </c>
      <c r="Q1263" s="136"/>
      <c r="R1263" s="79">
        <v>1848.49</v>
      </c>
      <c r="S1263" s="79">
        <v>171.2</v>
      </c>
      <c r="T1263" s="79">
        <v>2019.69</v>
      </c>
      <c r="U1263" s="79">
        <v>0</v>
      </c>
      <c r="V1263" s="189">
        <v>2019.69</v>
      </c>
      <c r="X1263" s="79">
        <v>1848.49</v>
      </c>
      <c r="Y1263" s="79">
        <v>171.2</v>
      </c>
      <c r="Z1263" s="79">
        <v>2019.69</v>
      </c>
      <c r="AA1263" s="255">
        <v>1.999999999998181E-2</v>
      </c>
      <c r="AC1263" s="254"/>
    </row>
    <row r="1264" spans="1:31" ht="12">
      <c r="A1264" s="67" t="s">
        <v>12935</v>
      </c>
      <c r="B1264" s="65" t="s">
        <v>12936</v>
      </c>
      <c r="C1264" s="71" t="s">
        <v>103</v>
      </c>
      <c r="D1264" s="78">
        <v>1</v>
      </c>
      <c r="E1264" s="79">
        <v>1234.49</v>
      </c>
      <c r="F1264" s="70">
        <v>1234.49</v>
      </c>
      <c r="G1264" s="320"/>
      <c r="H1264" s="79">
        <v>1164.01</v>
      </c>
      <c r="I1264" s="79">
        <v>70.48</v>
      </c>
      <c r="J1264" s="79">
        <v>1234.49</v>
      </c>
      <c r="K1264" s="79">
        <v>0</v>
      </c>
      <c r="L1264" s="70">
        <v>1234.49</v>
      </c>
      <c r="M1264" s="132"/>
      <c r="N1264" s="79">
        <v>1164.01</v>
      </c>
      <c r="O1264" s="79">
        <v>70.48</v>
      </c>
      <c r="P1264" s="79">
        <v>1234.49</v>
      </c>
      <c r="Q1264" s="136"/>
      <c r="R1264" s="79">
        <v>1164.01</v>
      </c>
      <c r="S1264" s="79">
        <v>70.489999999999995</v>
      </c>
      <c r="T1264" s="79">
        <v>1234.5</v>
      </c>
      <c r="U1264" s="79">
        <v>0</v>
      </c>
      <c r="V1264" s="189">
        <v>1234.5</v>
      </c>
      <c r="X1264" s="79">
        <v>1164.01</v>
      </c>
      <c r="Y1264" s="79">
        <v>70.489999999999995</v>
      </c>
      <c r="Z1264" s="79">
        <v>1234.5</v>
      </c>
      <c r="AA1264" s="255">
        <v>-9.9999999999909051E-3</v>
      </c>
      <c r="AC1264" s="254"/>
    </row>
    <row r="1265" spans="1:31" ht="12">
      <c r="A1265" s="67" t="s">
        <v>12937</v>
      </c>
      <c r="B1265" s="65" t="s">
        <v>12938</v>
      </c>
      <c r="C1265" s="71" t="s">
        <v>103</v>
      </c>
      <c r="D1265" s="78">
        <v>1</v>
      </c>
      <c r="E1265" s="79">
        <v>1441.18</v>
      </c>
      <c r="F1265" s="70">
        <v>1441.18</v>
      </c>
      <c r="G1265" s="320"/>
      <c r="H1265" s="79">
        <v>1370.7</v>
      </c>
      <c r="I1265" s="79">
        <v>70.48</v>
      </c>
      <c r="J1265" s="79">
        <v>1441.18</v>
      </c>
      <c r="K1265" s="79">
        <v>0</v>
      </c>
      <c r="L1265" s="70">
        <v>1441.18</v>
      </c>
      <c r="M1265" s="132"/>
      <c r="N1265" s="79">
        <v>1370.7</v>
      </c>
      <c r="O1265" s="79">
        <v>70.48</v>
      </c>
      <c r="P1265" s="79">
        <v>1441.18</v>
      </c>
      <c r="Q1265" s="136"/>
      <c r="R1265" s="79">
        <v>1370.7</v>
      </c>
      <c r="S1265" s="79">
        <v>70.489999999999995</v>
      </c>
      <c r="T1265" s="79">
        <v>1441.19</v>
      </c>
      <c r="U1265" s="79">
        <v>0</v>
      </c>
      <c r="V1265" s="189">
        <v>1441.19</v>
      </c>
      <c r="X1265" s="79">
        <v>1370.7</v>
      </c>
      <c r="Y1265" s="79">
        <v>70.489999999999995</v>
      </c>
      <c r="Z1265" s="79">
        <v>1441.19</v>
      </c>
      <c r="AA1265" s="255">
        <v>-9.9999999999909051E-3</v>
      </c>
      <c r="AC1265" s="254"/>
    </row>
    <row r="1266" spans="1:31" ht="12">
      <c r="A1266" s="67" t="s">
        <v>12939</v>
      </c>
      <c r="B1266" s="65" t="s">
        <v>12940</v>
      </c>
      <c r="C1266" s="71" t="s">
        <v>103</v>
      </c>
      <c r="D1266" s="78">
        <v>1</v>
      </c>
      <c r="E1266" s="79">
        <v>957.4100000000002</v>
      </c>
      <c r="F1266" s="70">
        <v>957.41</v>
      </c>
      <c r="G1266" s="320"/>
      <c r="H1266" s="79">
        <v>781.17000000000007</v>
      </c>
      <c r="I1266" s="79">
        <v>176.24</v>
      </c>
      <c r="J1266" s="79">
        <v>957.41000000000008</v>
      </c>
      <c r="K1266" s="79">
        <v>0</v>
      </c>
      <c r="L1266" s="70">
        <v>957.41000000000008</v>
      </c>
      <c r="M1266" s="132"/>
      <c r="N1266" s="79">
        <v>781.17000000000007</v>
      </c>
      <c r="O1266" s="79">
        <v>176.24</v>
      </c>
      <c r="P1266" s="79">
        <v>957.41000000000008</v>
      </c>
      <c r="Q1266" s="136"/>
      <c r="R1266" s="79">
        <v>781.17</v>
      </c>
      <c r="S1266" s="79">
        <v>176.23</v>
      </c>
      <c r="T1266" s="79">
        <v>957.4</v>
      </c>
      <c r="U1266" s="79">
        <v>0</v>
      </c>
      <c r="V1266" s="189">
        <v>957.4</v>
      </c>
      <c r="X1266" s="79">
        <v>781.17</v>
      </c>
      <c r="Y1266" s="79">
        <v>176.23</v>
      </c>
      <c r="Z1266" s="79">
        <v>957.4</v>
      </c>
      <c r="AA1266" s="255">
        <v>9.9999999999909051E-3</v>
      </c>
      <c r="AC1266" s="254"/>
    </row>
    <row r="1267" spans="1:31" ht="12">
      <c r="A1267" s="489" t="s">
        <v>12941</v>
      </c>
      <c r="B1267" s="490" t="s">
        <v>12942</v>
      </c>
      <c r="C1267" s="491"/>
      <c r="D1267" s="492"/>
      <c r="E1267" s="79"/>
      <c r="F1267" s="63"/>
      <c r="G1267" s="320"/>
      <c r="H1267" s="79"/>
      <c r="I1267" s="79"/>
      <c r="J1267" s="79"/>
      <c r="K1267" s="79"/>
      <c r="L1267" s="70"/>
      <c r="M1267" s="132"/>
      <c r="N1267" s="79"/>
      <c r="O1267" s="79"/>
      <c r="P1267" s="79"/>
      <c r="Q1267" s="136"/>
      <c r="R1267" s="79"/>
      <c r="S1267" s="79"/>
      <c r="T1267" s="79"/>
      <c r="U1267" s="79"/>
      <c r="V1267" s="189"/>
      <c r="X1267" s="79"/>
      <c r="Y1267" s="79"/>
      <c r="Z1267" s="79"/>
      <c r="AA1267" s="255"/>
      <c r="AC1267" s="254"/>
    </row>
    <row r="1268" spans="1:31" ht="12">
      <c r="A1268" s="67" t="s">
        <v>12943</v>
      </c>
      <c r="B1268" s="65" t="s">
        <v>12944</v>
      </c>
      <c r="C1268" s="71" t="s">
        <v>509</v>
      </c>
      <c r="D1268" s="78">
        <v>1</v>
      </c>
      <c r="E1268" s="79">
        <v>329.55</v>
      </c>
      <c r="F1268" s="70">
        <v>329.55</v>
      </c>
      <c r="G1268" s="320"/>
      <c r="H1268" s="79">
        <v>260.08</v>
      </c>
      <c r="I1268" s="79">
        <v>69.47</v>
      </c>
      <c r="J1268" s="79">
        <v>329.54999999999995</v>
      </c>
      <c r="K1268" s="79">
        <v>0</v>
      </c>
      <c r="L1268" s="70">
        <v>329.54999999999995</v>
      </c>
      <c r="M1268" s="132"/>
      <c r="N1268" s="79">
        <v>260.08</v>
      </c>
      <c r="O1268" s="79">
        <v>69.47</v>
      </c>
      <c r="P1268" s="79">
        <v>329.54999999999995</v>
      </c>
      <c r="Q1268" s="136"/>
      <c r="R1268" s="79">
        <v>260.08</v>
      </c>
      <c r="S1268" s="79">
        <v>69.48</v>
      </c>
      <c r="T1268" s="79">
        <v>329.56</v>
      </c>
      <c r="U1268" s="79">
        <v>0</v>
      </c>
      <c r="V1268" s="189">
        <v>329.56</v>
      </c>
      <c r="X1268" s="79">
        <v>260.08</v>
      </c>
      <c r="Y1268" s="79">
        <v>69.48</v>
      </c>
      <c r="Z1268" s="79">
        <v>329.56</v>
      </c>
      <c r="AA1268" s="255">
        <v>-9.9999999999909051E-3</v>
      </c>
      <c r="AC1268" s="254"/>
    </row>
    <row r="1269" spans="1:31" ht="12">
      <c r="A1269" s="67" t="s">
        <v>12945</v>
      </c>
      <c r="B1269" s="65" t="s">
        <v>12946</v>
      </c>
      <c r="C1269" s="71" t="s">
        <v>103</v>
      </c>
      <c r="D1269" s="78">
        <v>1</v>
      </c>
      <c r="E1269" s="79">
        <v>645.32000000000005</v>
      </c>
      <c r="F1269" s="70">
        <v>645.32000000000005</v>
      </c>
      <c r="G1269" s="320"/>
      <c r="H1269" s="79">
        <v>504.32</v>
      </c>
      <c r="I1269" s="79">
        <v>141</v>
      </c>
      <c r="J1269" s="79">
        <v>645.31999999999994</v>
      </c>
      <c r="K1269" s="79">
        <v>0</v>
      </c>
      <c r="L1269" s="70">
        <v>645.31999999999994</v>
      </c>
      <c r="M1269" s="132"/>
      <c r="N1269" s="79">
        <v>504.32</v>
      </c>
      <c r="O1269" s="79">
        <v>141</v>
      </c>
      <c r="P1269" s="79">
        <v>645.31999999999994</v>
      </c>
      <c r="Q1269" s="136"/>
      <c r="R1269" s="79">
        <v>504.32</v>
      </c>
      <c r="S1269" s="79">
        <v>140.97999999999999</v>
      </c>
      <c r="T1269" s="79">
        <v>645.29999999999995</v>
      </c>
      <c r="U1269" s="79">
        <v>0</v>
      </c>
      <c r="V1269" s="189">
        <v>645.29999999999995</v>
      </c>
      <c r="X1269" s="79">
        <v>504.32</v>
      </c>
      <c r="Y1269" s="79">
        <v>140.97999999999999</v>
      </c>
      <c r="Z1269" s="79">
        <v>645.29999999999995</v>
      </c>
      <c r="AA1269" s="255">
        <v>2.0000000000095497E-2</v>
      </c>
      <c r="AC1269" s="254"/>
    </row>
    <row r="1270" spans="1:31" ht="12">
      <c r="A1270" s="67" t="s">
        <v>12947</v>
      </c>
      <c r="B1270" s="65" t="s">
        <v>12948</v>
      </c>
      <c r="C1270" s="71" t="s">
        <v>103</v>
      </c>
      <c r="D1270" s="78">
        <v>1</v>
      </c>
      <c r="E1270" s="79">
        <v>654.14</v>
      </c>
      <c r="F1270" s="70">
        <v>654.14</v>
      </c>
      <c r="G1270" s="320"/>
      <c r="H1270" s="79">
        <v>513.14</v>
      </c>
      <c r="I1270" s="79">
        <v>141</v>
      </c>
      <c r="J1270" s="79">
        <v>654.14</v>
      </c>
      <c r="K1270" s="79">
        <v>0</v>
      </c>
      <c r="L1270" s="70">
        <v>654.14</v>
      </c>
      <c r="M1270" s="132"/>
      <c r="N1270" s="79">
        <v>513.14</v>
      </c>
      <c r="O1270" s="79">
        <v>141</v>
      </c>
      <c r="P1270" s="79">
        <v>654.14</v>
      </c>
      <c r="Q1270" s="136"/>
      <c r="R1270" s="79">
        <v>513.14</v>
      </c>
      <c r="S1270" s="79">
        <v>140.97999999999999</v>
      </c>
      <c r="T1270" s="79">
        <v>654.12</v>
      </c>
      <c r="U1270" s="79">
        <v>0</v>
      </c>
      <c r="V1270" s="189">
        <v>654.12</v>
      </c>
      <c r="X1270" s="79">
        <v>513.14</v>
      </c>
      <c r="Y1270" s="79">
        <v>140.97999999999999</v>
      </c>
      <c r="Z1270" s="79">
        <v>654.12</v>
      </c>
      <c r="AA1270" s="255">
        <v>1.999999999998181E-2</v>
      </c>
      <c r="AC1270" s="254"/>
      <c r="AD1270" s="73"/>
      <c r="AE1270" s="73"/>
    </row>
    <row r="1271" spans="1:31" ht="12">
      <c r="A1271" s="67" t="s">
        <v>12949</v>
      </c>
      <c r="B1271" s="65" t="s">
        <v>12950</v>
      </c>
      <c r="C1271" s="71" t="s">
        <v>103</v>
      </c>
      <c r="D1271" s="78">
        <v>1</v>
      </c>
      <c r="E1271" s="79">
        <v>686.33</v>
      </c>
      <c r="F1271" s="70">
        <v>686.33</v>
      </c>
      <c r="G1271" s="320"/>
      <c r="H1271" s="79">
        <v>545.33000000000004</v>
      </c>
      <c r="I1271" s="79">
        <v>141</v>
      </c>
      <c r="J1271" s="79">
        <v>686.33</v>
      </c>
      <c r="K1271" s="79">
        <v>0</v>
      </c>
      <c r="L1271" s="70">
        <v>686.33</v>
      </c>
      <c r="M1271" s="132"/>
      <c r="N1271" s="79">
        <v>545.33000000000004</v>
      </c>
      <c r="O1271" s="79">
        <v>141</v>
      </c>
      <c r="P1271" s="79">
        <v>686.33</v>
      </c>
      <c r="Q1271" s="136"/>
      <c r="R1271" s="79">
        <v>545.33000000000004</v>
      </c>
      <c r="S1271" s="79">
        <v>140.97999999999999</v>
      </c>
      <c r="T1271" s="79">
        <v>686.31000000000006</v>
      </c>
      <c r="U1271" s="79">
        <v>0</v>
      </c>
      <c r="V1271" s="189">
        <v>686.31000000000006</v>
      </c>
      <c r="X1271" s="79">
        <v>545.33000000000004</v>
      </c>
      <c r="Y1271" s="79">
        <v>140.97999999999999</v>
      </c>
      <c r="Z1271" s="79">
        <v>686.31</v>
      </c>
      <c r="AA1271" s="255">
        <v>2.0000000000095497E-2</v>
      </c>
      <c r="AC1271" s="254"/>
    </row>
    <row r="1272" spans="1:31" s="73" customFormat="1" ht="12">
      <c r="A1272" s="489" t="s">
        <v>12951</v>
      </c>
      <c r="B1272" s="490" t="s">
        <v>12952</v>
      </c>
      <c r="C1272" s="71"/>
      <c r="D1272" s="78"/>
      <c r="E1272" s="79"/>
      <c r="F1272" s="70"/>
      <c r="G1272" s="320"/>
      <c r="H1272" s="79"/>
      <c r="I1272" s="79"/>
      <c r="J1272" s="79"/>
      <c r="K1272" s="79"/>
      <c r="L1272" s="70"/>
      <c r="M1272" s="132"/>
      <c r="N1272" s="79"/>
      <c r="O1272" s="79"/>
      <c r="P1272" s="79"/>
      <c r="Q1272" s="136"/>
      <c r="R1272" s="79"/>
      <c r="S1272" s="79"/>
      <c r="T1272" s="79"/>
      <c r="U1272" s="79"/>
      <c r="V1272" s="189"/>
      <c r="W1272" s="61"/>
      <c r="X1272" s="79"/>
      <c r="Y1272" s="79"/>
      <c r="Z1272" s="79"/>
      <c r="AA1272" s="255"/>
      <c r="AB1272" s="61"/>
      <c r="AC1272" s="254"/>
      <c r="AD1272" s="236"/>
      <c r="AE1272" s="236"/>
    </row>
    <row r="1273" spans="1:31" ht="24">
      <c r="A1273" s="67" t="s">
        <v>12953</v>
      </c>
      <c r="B1273" s="65" t="s">
        <v>12954</v>
      </c>
      <c r="C1273" s="71" t="s">
        <v>103</v>
      </c>
      <c r="D1273" s="78">
        <v>1</v>
      </c>
      <c r="E1273" s="79">
        <v>627.58000000000004</v>
      </c>
      <c r="F1273" s="70">
        <v>627.58000000000004</v>
      </c>
      <c r="G1273" s="320"/>
      <c r="H1273" s="79">
        <v>627.58000000000004</v>
      </c>
      <c r="I1273" s="79">
        <v>0</v>
      </c>
      <c r="J1273" s="79">
        <v>627.58000000000004</v>
      </c>
      <c r="K1273" s="79">
        <v>0</v>
      </c>
      <c r="L1273" s="70">
        <v>627.58000000000004</v>
      </c>
      <c r="M1273" s="132"/>
      <c r="N1273" s="79">
        <v>627.58000000000004</v>
      </c>
      <c r="O1273" s="79"/>
      <c r="P1273" s="79">
        <v>627.58000000000004</v>
      </c>
      <c r="Q1273" s="136"/>
      <c r="R1273" s="79">
        <v>627.58000000000004</v>
      </c>
      <c r="S1273" s="79"/>
      <c r="T1273" s="79">
        <v>627.58000000000004</v>
      </c>
      <c r="U1273" s="79">
        <v>0</v>
      </c>
      <c r="V1273" s="189">
        <v>627.58000000000004</v>
      </c>
      <c r="X1273" s="79">
        <v>627.58000000000004</v>
      </c>
      <c r="Y1273" s="79"/>
      <c r="Z1273" s="79">
        <v>627.58000000000004</v>
      </c>
      <c r="AA1273" s="255">
        <v>0</v>
      </c>
      <c r="AC1273" s="254"/>
    </row>
    <row r="1274" spans="1:31" ht="12">
      <c r="A1274" s="489" t="s">
        <v>12955</v>
      </c>
      <c r="B1274" s="490" t="s">
        <v>12956</v>
      </c>
      <c r="C1274" s="71"/>
      <c r="D1274" s="78"/>
      <c r="E1274" s="79"/>
      <c r="F1274" s="70"/>
      <c r="G1274" s="320"/>
      <c r="H1274" s="79"/>
      <c r="I1274" s="79"/>
      <c r="J1274" s="79"/>
      <c r="K1274" s="79"/>
      <c r="L1274" s="70"/>
      <c r="M1274" s="132"/>
      <c r="N1274" s="79"/>
      <c r="O1274" s="79"/>
      <c r="P1274" s="79"/>
      <c r="Q1274" s="136"/>
      <c r="R1274" s="79"/>
      <c r="S1274" s="79"/>
      <c r="T1274" s="79"/>
      <c r="U1274" s="79"/>
      <c r="V1274" s="189"/>
      <c r="X1274" s="79"/>
      <c r="Y1274" s="79"/>
      <c r="Z1274" s="79"/>
      <c r="AA1274" s="255"/>
      <c r="AC1274" s="254"/>
    </row>
    <row r="1275" spans="1:31" ht="24">
      <c r="A1275" s="67" t="s">
        <v>12957</v>
      </c>
      <c r="B1275" s="65" t="s">
        <v>12958</v>
      </c>
      <c r="C1275" s="71" t="s">
        <v>103</v>
      </c>
      <c r="D1275" s="78">
        <v>1</v>
      </c>
      <c r="E1275" s="79">
        <v>627.58000000000004</v>
      </c>
      <c r="F1275" s="70">
        <v>627.58000000000004</v>
      </c>
      <c r="G1275" s="320"/>
      <c r="H1275" s="79">
        <v>627.58000000000004</v>
      </c>
      <c r="I1275" s="79">
        <v>0</v>
      </c>
      <c r="J1275" s="79">
        <v>627.58000000000004</v>
      </c>
      <c r="K1275" s="79">
        <v>0</v>
      </c>
      <c r="L1275" s="70">
        <v>627.58000000000004</v>
      </c>
      <c r="M1275" s="132"/>
      <c r="N1275" s="79">
        <v>627.58000000000004</v>
      </c>
      <c r="O1275" s="79"/>
      <c r="P1275" s="79">
        <v>627.58000000000004</v>
      </c>
      <c r="Q1275" s="136"/>
      <c r="R1275" s="79">
        <v>627.58000000000004</v>
      </c>
      <c r="S1275" s="79"/>
      <c r="T1275" s="79">
        <v>627.58000000000004</v>
      </c>
      <c r="U1275" s="79">
        <v>0</v>
      </c>
      <c r="V1275" s="189">
        <v>627.58000000000004</v>
      </c>
      <c r="X1275" s="79">
        <v>627.58000000000004</v>
      </c>
      <c r="Y1275" s="79"/>
      <c r="Z1275" s="79">
        <v>627.58000000000004</v>
      </c>
      <c r="AA1275" s="255">
        <v>0</v>
      </c>
      <c r="AC1275" s="254"/>
    </row>
    <row r="1276" spans="1:31" ht="24">
      <c r="A1276" s="67" t="s">
        <v>12959</v>
      </c>
      <c r="B1276" s="65" t="s">
        <v>12960</v>
      </c>
      <c r="C1276" s="71" t="s">
        <v>103</v>
      </c>
      <c r="D1276" s="78">
        <v>1</v>
      </c>
      <c r="E1276" s="79">
        <v>645.22</v>
      </c>
      <c r="F1276" s="70">
        <v>645.22</v>
      </c>
      <c r="G1276" s="320"/>
      <c r="H1276" s="79">
        <v>645.22</v>
      </c>
      <c r="I1276" s="79">
        <v>0</v>
      </c>
      <c r="J1276" s="79">
        <v>645.22</v>
      </c>
      <c r="K1276" s="79">
        <v>0</v>
      </c>
      <c r="L1276" s="70">
        <v>645.22</v>
      </c>
      <c r="M1276" s="132"/>
      <c r="N1276" s="79">
        <v>645.22</v>
      </c>
      <c r="O1276" s="79"/>
      <c r="P1276" s="79">
        <v>645.22</v>
      </c>
      <c r="Q1276" s="136"/>
      <c r="R1276" s="79">
        <v>645.22</v>
      </c>
      <c r="S1276" s="79"/>
      <c r="T1276" s="79">
        <v>645.22</v>
      </c>
      <c r="U1276" s="79">
        <v>0</v>
      </c>
      <c r="V1276" s="189">
        <v>645.22</v>
      </c>
      <c r="X1276" s="79">
        <v>645.22</v>
      </c>
      <c r="Y1276" s="79"/>
      <c r="Z1276" s="79">
        <v>645.22</v>
      </c>
      <c r="AA1276" s="255">
        <v>0</v>
      </c>
      <c r="AC1276" s="254"/>
      <c r="AD1276" s="61"/>
      <c r="AE1276" s="61"/>
    </row>
    <row r="1277" spans="1:31" ht="24">
      <c r="A1277" s="67" t="s">
        <v>12961</v>
      </c>
      <c r="B1277" s="65" t="s">
        <v>12962</v>
      </c>
      <c r="C1277" s="71" t="s">
        <v>103</v>
      </c>
      <c r="D1277" s="78">
        <v>1</v>
      </c>
      <c r="E1277" s="79">
        <v>627.58000000000004</v>
      </c>
      <c r="F1277" s="70">
        <v>627.58000000000004</v>
      </c>
      <c r="G1277" s="320"/>
      <c r="H1277" s="79">
        <v>627.58000000000004</v>
      </c>
      <c r="I1277" s="79">
        <v>0</v>
      </c>
      <c r="J1277" s="79">
        <v>627.58000000000004</v>
      </c>
      <c r="K1277" s="79">
        <v>0</v>
      </c>
      <c r="L1277" s="70">
        <v>627.58000000000004</v>
      </c>
      <c r="M1277" s="132"/>
      <c r="N1277" s="79">
        <v>627.58000000000004</v>
      </c>
      <c r="O1277" s="79"/>
      <c r="P1277" s="79">
        <v>627.58000000000004</v>
      </c>
      <c r="Q1277" s="136"/>
      <c r="R1277" s="79">
        <v>627.58000000000004</v>
      </c>
      <c r="S1277" s="79"/>
      <c r="T1277" s="79">
        <v>627.58000000000004</v>
      </c>
      <c r="U1277" s="79">
        <v>0</v>
      </c>
      <c r="V1277" s="189">
        <v>627.58000000000004</v>
      </c>
      <c r="X1277" s="79">
        <v>627.58000000000004</v>
      </c>
      <c r="Y1277" s="79"/>
      <c r="Z1277" s="79">
        <v>627.58000000000004</v>
      </c>
      <c r="AA1277" s="255">
        <v>0</v>
      </c>
      <c r="AC1277" s="254"/>
      <c r="AD1277" s="61"/>
      <c r="AE1277" s="61"/>
    </row>
    <row r="1278" spans="1:31" s="61" customFormat="1" ht="36">
      <c r="A1278" s="67" t="s">
        <v>12963</v>
      </c>
      <c r="B1278" s="65" t="s">
        <v>12964</v>
      </c>
      <c r="C1278" s="71" t="s">
        <v>103</v>
      </c>
      <c r="D1278" s="78">
        <v>1</v>
      </c>
      <c r="E1278" s="79">
        <v>779.61</v>
      </c>
      <c r="F1278" s="70">
        <v>779.61</v>
      </c>
      <c r="G1278" s="320"/>
      <c r="H1278" s="79">
        <v>779.61</v>
      </c>
      <c r="I1278" s="79">
        <v>0</v>
      </c>
      <c r="J1278" s="79">
        <v>779.61</v>
      </c>
      <c r="K1278" s="79">
        <v>0</v>
      </c>
      <c r="L1278" s="70">
        <v>779.61</v>
      </c>
      <c r="M1278" s="132"/>
      <c r="N1278" s="79">
        <v>779.61</v>
      </c>
      <c r="O1278" s="79"/>
      <c r="P1278" s="79">
        <v>779.61</v>
      </c>
      <c r="Q1278" s="136"/>
      <c r="R1278" s="79">
        <v>779.61</v>
      </c>
      <c r="S1278" s="79"/>
      <c r="T1278" s="79">
        <v>779.61</v>
      </c>
      <c r="U1278" s="79">
        <v>0</v>
      </c>
      <c r="V1278" s="189">
        <v>779.61</v>
      </c>
      <c r="X1278" s="79">
        <v>779.61</v>
      </c>
      <c r="Y1278" s="79"/>
      <c r="Z1278" s="79">
        <v>779.61</v>
      </c>
      <c r="AA1278" s="255">
        <v>0</v>
      </c>
      <c r="AC1278" s="254"/>
    </row>
    <row r="1279" spans="1:31" s="61" customFormat="1" ht="24">
      <c r="A1279" s="67" t="s">
        <v>12965</v>
      </c>
      <c r="B1279" s="65" t="s">
        <v>12966</v>
      </c>
      <c r="C1279" s="71" t="s">
        <v>103</v>
      </c>
      <c r="D1279" s="78">
        <v>1</v>
      </c>
      <c r="E1279" s="79">
        <v>817.04</v>
      </c>
      <c r="F1279" s="70">
        <v>817.04</v>
      </c>
      <c r="G1279" s="320"/>
      <c r="H1279" s="79">
        <v>817.04</v>
      </c>
      <c r="I1279" s="79">
        <v>0</v>
      </c>
      <c r="J1279" s="79">
        <v>817.04</v>
      </c>
      <c r="K1279" s="79">
        <v>0</v>
      </c>
      <c r="L1279" s="70">
        <v>817.04</v>
      </c>
      <c r="M1279" s="132"/>
      <c r="N1279" s="79">
        <v>817.04</v>
      </c>
      <c r="O1279" s="79"/>
      <c r="P1279" s="79">
        <v>817.04</v>
      </c>
      <c r="Q1279" s="136"/>
      <c r="R1279" s="79">
        <v>817.04</v>
      </c>
      <c r="S1279" s="79"/>
      <c r="T1279" s="79">
        <v>817.04</v>
      </c>
      <c r="U1279" s="79">
        <v>0</v>
      </c>
      <c r="V1279" s="189">
        <v>817.04</v>
      </c>
      <c r="X1279" s="79">
        <v>817.04</v>
      </c>
      <c r="Y1279" s="79"/>
      <c r="Z1279" s="79">
        <v>817.04</v>
      </c>
      <c r="AA1279" s="255">
        <v>0</v>
      </c>
      <c r="AC1279" s="254"/>
      <c r="AD1279" s="236"/>
      <c r="AE1279" s="236"/>
    </row>
    <row r="1280" spans="1:31" s="61" customFormat="1" ht="36">
      <c r="A1280" s="67" t="s">
        <v>12967</v>
      </c>
      <c r="B1280" s="65" t="s">
        <v>12968</v>
      </c>
      <c r="C1280" s="71" t="s">
        <v>103</v>
      </c>
      <c r="D1280" s="78">
        <v>1</v>
      </c>
      <c r="E1280" s="79">
        <v>913.27</v>
      </c>
      <c r="F1280" s="70">
        <v>913.27</v>
      </c>
      <c r="G1280" s="320"/>
      <c r="H1280" s="79">
        <v>913.27</v>
      </c>
      <c r="I1280" s="79">
        <v>0</v>
      </c>
      <c r="J1280" s="79">
        <v>913.27</v>
      </c>
      <c r="K1280" s="79">
        <v>0</v>
      </c>
      <c r="L1280" s="70">
        <v>913.27</v>
      </c>
      <c r="M1280" s="132"/>
      <c r="N1280" s="79">
        <v>913.27</v>
      </c>
      <c r="O1280" s="79"/>
      <c r="P1280" s="79">
        <v>913.27</v>
      </c>
      <c r="Q1280" s="136"/>
      <c r="R1280" s="79">
        <v>913.27</v>
      </c>
      <c r="S1280" s="79"/>
      <c r="T1280" s="79">
        <v>913.27</v>
      </c>
      <c r="U1280" s="79">
        <v>0</v>
      </c>
      <c r="V1280" s="189">
        <v>913.27</v>
      </c>
      <c r="X1280" s="79">
        <v>913.27</v>
      </c>
      <c r="Y1280" s="79"/>
      <c r="Z1280" s="79">
        <v>913.27</v>
      </c>
      <c r="AA1280" s="255">
        <v>0</v>
      </c>
      <c r="AC1280" s="254"/>
      <c r="AD1280" s="236"/>
      <c r="AE1280" s="236"/>
    </row>
    <row r="1281" spans="1:31" ht="12">
      <c r="A1281" s="489" t="s">
        <v>12969</v>
      </c>
      <c r="B1281" s="490" t="s">
        <v>12970</v>
      </c>
      <c r="C1281" s="491"/>
      <c r="D1281" s="492"/>
      <c r="E1281" s="79"/>
      <c r="F1281" s="63"/>
      <c r="G1281" s="320"/>
      <c r="H1281" s="79"/>
      <c r="I1281" s="79"/>
      <c r="J1281" s="79"/>
      <c r="K1281" s="79"/>
      <c r="L1281" s="70"/>
      <c r="M1281" s="132"/>
      <c r="N1281" s="79"/>
      <c r="O1281" s="79"/>
      <c r="P1281" s="79"/>
      <c r="Q1281" s="136"/>
      <c r="R1281" s="79"/>
      <c r="S1281" s="79"/>
      <c r="T1281" s="79"/>
      <c r="U1281" s="79"/>
      <c r="V1281" s="189"/>
      <c r="X1281" s="79"/>
      <c r="Y1281" s="79"/>
      <c r="Z1281" s="79"/>
      <c r="AA1281" s="255"/>
      <c r="AC1281" s="254"/>
    </row>
    <row r="1282" spans="1:31" ht="12">
      <c r="A1282" s="67" t="s">
        <v>12971</v>
      </c>
      <c r="B1282" s="65" t="s">
        <v>12972</v>
      </c>
      <c r="C1282" s="71" t="s">
        <v>103</v>
      </c>
      <c r="D1282" s="78">
        <v>1</v>
      </c>
      <c r="E1282" s="79">
        <v>65.460000000000008</v>
      </c>
      <c r="F1282" s="70">
        <v>65.459999999999994</v>
      </c>
      <c r="G1282" s="320"/>
      <c r="H1282" s="79">
        <v>0</v>
      </c>
      <c r="I1282" s="79">
        <v>65.460000000000008</v>
      </c>
      <c r="J1282" s="79">
        <v>65.460000000000008</v>
      </c>
      <c r="K1282" s="79">
        <v>0</v>
      </c>
      <c r="L1282" s="70">
        <v>65.460000000000008</v>
      </c>
      <c r="M1282" s="132"/>
      <c r="N1282" s="79"/>
      <c r="O1282" s="79">
        <v>65.460000000000008</v>
      </c>
      <c r="P1282" s="79">
        <v>65.460000000000008</v>
      </c>
      <c r="Q1282" s="136"/>
      <c r="R1282" s="79"/>
      <c r="S1282" s="79">
        <v>65.45</v>
      </c>
      <c r="T1282" s="79">
        <v>65.45</v>
      </c>
      <c r="U1282" s="79">
        <v>0</v>
      </c>
      <c r="V1282" s="189">
        <v>65.45</v>
      </c>
      <c r="X1282" s="79"/>
      <c r="Y1282" s="79">
        <v>65.45</v>
      </c>
      <c r="Z1282" s="79">
        <v>65.45</v>
      </c>
      <c r="AA1282" s="255">
        <v>9.9999999999909051E-3</v>
      </c>
      <c r="AC1282" s="254"/>
      <c r="AD1282" s="61"/>
      <c r="AE1282" s="61"/>
    </row>
    <row r="1283" spans="1:31" ht="12">
      <c r="A1283" s="67" t="s">
        <v>12973</v>
      </c>
      <c r="B1283" s="65" t="s">
        <v>12974</v>
      </c>
      <c r="C1283" s="71" t="s">
        <v>103</v>
      </c>
      <c r="D1283" s="78">
        <v>1</v>
      </c>
      <c r="E1283" s="79">
        <v>80.569999999999993</v>
      </c>
      <c r="F1283" s="70">
        <v>80.569999999999993</v>
      </c>
      <c r="G1283" s="320"/>
      <c r="H1283" s="79">
        <v>0</v>
      </c>
      <c r="I1283" s="79">
        <v>80.569999999999993</v>
      </c>
      <c r="J1283" s="79">
        <v>80.569999999999993</v>
      </c>
      <c r="K1283" s="79">
        <v>0</v>
      </c>
      <c r="L1283" s="70">
        <v>80.569999999999993</v>
      </c>
      <c r="M1283" s="132"/>
      <c r="N1283" s="79"/>
      <c r="O1283" s="79">
        <v>80.569999999999993</v>
      </c>
      <c r="P1283" s="79">
        <v>80.569999999999993</v>
      </c>
      <c r="Q1283" s="136"/>
      <c r="R1283" s="79"/>
      <c r="S1283" s="79">
        <v>80.56</v>
      </c>
      <c r="T1283" s="79">
        <v>80.56</v>
      </c>
      <c r="U1283" s="79">
        <v>0</v>
      </c>
      <c r="V1283" s="189">
        <v>80.56</v>
      </c>
      <c r="X1283" s="79"/>
      <c r="Y1283" s="79">
        <v>80.56</v>
      </c>
      <c r="Z1283" s="79">
        <v>80.56</v>
      </c>
      <c r="AA1283" s="255">
        <v>9.9999999999909051E-3</v>
      </c>
      <c r="AC1283" s="254"/>
    </row>
    <row r="1284" spans="1:31" s="61" customFormat="1" ht="12">
      <c r="A1284" s="67" t="s">
        <v>12975</v>
      </c>
      <c r="B1284" s="65" t="s">
        <v>12976</v>
      </c>
      <c r="C1284" s="71" t="s">
        <v>165</v>
      </c>
      <c r="D1284" s="78">
        <v>1</v>
      </c>
      <c r="E1284" s="79">
        <v>2.5299999999999998</v>
      </c>
      <c r="F1284" s="70">
        <v>2.5299999999999998</v>
      </c>
      <c r="G1284" s="320"/>
      <c r="H1284" s="79">
        <v>0</v>
      </c>
      <c r="I1284" s="79">
        <v>2.5299999999999998</v>
      </c>
      <c r="J1284" s="79">
        <v>2.5299999999999998</v>
      </c>
      <c r="K1284" s="79">
        <v>0</v>
      </c>
      <c r="L1284" s="70">
        <v>2.5299999999999998</v>
      </c>
      <c r="M1284" s="132"/>
      <c r="N1284" s="79"/>
      <c r="O1284" s="79">
        <v>2.5299999999999998</v>
      </c>
      <c r="P1284" s="79">
        <v>2.5299999999999998</v>
      </c>
      <c r="Q1284" s="136"/>
      <c r="R1284" s="79"/>
      <c r="S1284" s="79">
        <v>2.52</v>
      </c>
      <c r="T1284" s="79">
        <v>2.52</v>
      </c>
      <c r="U1284" s="79">
        <v>0</v>
      </c>
      <c r="V1284" s="189">
        <v>2.52</v>
      </c>
      <c r="X1284" s="79"/>
      <c r="Y1284" s="79">
        <v>2.52</v>
      </c>
      <c r="Z1284" s="79">
        <v>2.52</v>
      </c>
      <c r="AA1284" s="255">
        <v>9.9999999999997868E-3</v>
      </c>
      <c r="AC1284" s="254"/>
    </row>
    <row r="1285" spans="1:31" ht="12">
      <c r="A1285" s="67" t="s">
        <v>12977</v>
      </c>
      <c r="B1285" s="65" t="s">
        <v>12978</v>
      </c>
      <c r="C1285" s="71" t="s">
        <v>165</v>
      </c>
      <c r="D1285" s="78">
        <v>1</v>
      </c>
      <c r="E1285" s="79">
        <v>56.29</v>
      </c>
      <c r="F1285" s="70">
        <v>56.29</v>
      </c>
      <c r="G1285" s="320"/>
      <c r="H1285" s="79">
        <v>41.18</v>
      </c>
      <c r="I1285" s="79">
        <v>15.11</v>
      </c>
      <c r="J1285" s="79">
        <v>56.29</v>
      </c>
      <c r="K1285" s="79">
        <v>0</v>
      </c>
      <c r="L1285" s="70">
        <v>56.29</v>
      </c>
      <c r="M1285" s="132"/>
      <c r="N1285" s="79">
        <v>41.18</v>
      </c>
      <c r="O1285" s="79">
        <v>15.11</v>
      </c>
      <c r="P1285" s="79">
        <v>56.29</v>
      </c>
      <c r="Q1285" s="136"/>
      <c r="R1285" s="79">
        <v>41.18</v>
      </c>
      <c r="S1285" s="79">
        <v>15.1</v>
      </c>
      <c r="T1285" s="79">
        <v>56.28</v>
      </c>
      <c r="U1285" s="79">
        <v>0</v>
      </c>
      <c r="V1285" s="189">
        <v>56.28</v>
      </c>
      <c r="X1285" s="79">
        <v>41.18</v>
      </c>
      <c r="Y1285" s="79">
        <v>15.1</v>
      </c>
      <c r="Z1285" s="79">
        <v>56.28</v>
      </c>
      <c r="AA1285" s="255">
        <v>9.9999999999980105E-3</v>
      </c>
      <c r="AC1285" s="254"/>
      <c r="AD1285" s="61"/>
      <c r="AE1285" s="61"/>
    </row>
    <row r="1286" spans="1:31" s="61" customFormat="1" ht="12">
      <c r="A1286" s="67" t="s">
        <v>12979</v>
      </c>
      <c r="B1286" s="65" t="s">
        <v>12980</v>
      </c>
      <c r="C1286" s="71" t="s">
        <v>509</v>
      </c>
      <c r="D1286" s="78">
        <v>1</v>
      </c>
      <c r="E1286" s="79">
        <v>1917.2299999999998</v>
      </c>
      <c r="F1286" s="70">
        <v>1917.23</v>
      </c>
      <c r="G1286" s="320"/>
      <c r="H1286" s="79">
        <v>1715.84</v>
      </c>
      <c r="I1286" s="79">
        <v>201.39</v>
      </c>
      <c r="J1286" s="79">
        <v>1917.23</v>
      </c>
      <c r="K1286" s="79">
        <v>0</v>
      </c>
      <c r="L1286" s="70">
        <v>1917.23</v>
      </c>
      <c r="M1286" s="132"/>
      <c r="N1286" s="79">
        <v>1715.84</v>
      </c>
      <c r="O1286" s="79">
        <v>201.39</v>
      </c>
      <c r="P1286" s="79">
        <v>1917.23</v>
      </c>
      <c r="Q1286" s="136"/>
      <c r="R1286" s="79">
        <v>1715.84</v>
      </c>
      <c r="S1286" s="79">
        <v>201.4</v>
      </c>
      <c r="T1286" s="79">
        <v>1917.24</v>
      </c>
      <c r="U1286" s="79">
        <v>0</v>
      </c>
      <c r="V1286" s="189">
        <v>1917.24</v>
      </c>
      <c r="X1286" s="79">
        <v>1715.84</v>
      </c>
      <c r="Y1286" s="79">
        <v>201.4</v>
      </c>
      <c r="Z1286" s="79">
        <v>1917.24</v>
      </c>
      <c r="AA1286" s="255">
        <v>-9.9999999999909051E-3</v>
      </c>
      <c r="AC1286" s="254"/>
    </row>
    <row r="1287" spans="1:31" s="61" customFormat="1" ht="12">
      <c r="A1287" s="67" t="s">
        <v>12981</v>
      </c>
      <c r="B1287" s="65" t="s">
        <v>12982</v>
      </c>
      <c r="C1287" s="71" t="s">
        <v>165</v>
      </c>
      <c r="D1287" s="78">
        <v>1</v>
      </c>
      <c r="E1287" s="79">
        <v>9.2799999999999994</v>
      </c>
      <c r="F1287" s="70">
        <v>9.2799999999999994</v>
      </c>
      <c r="G1287" s="320"/>
      <c r="H1287" s="79">
        <v>6.75</v>
      </c>
      <c r="I1287" s="79">
        <v>2.5299999999999998</v>
      </c>
      <c r="J1287" s="79">
        <v>9.2799999999999994</v>
      </c>
      <c r="K1287" s="79">
        <v>0</v>
      </c>
      <c r="L1287" s="70">
        <v>9.2799999999999994</v>
      </c>
      <c r="M1287" s="132"/>
      <c r="N1287" s="79">
        <v>6.75</v>
      </c>
      <c r="O1287" s="79">
        <v>2.5299999999999998</v>
      </c>
      <c r="P1287" s="79">
        <v>9.2799999999999994</v>
      </c>
      <c r="Q1287" s="136"/>
      <c r="R1287" s="79">
        <v>6.75</v>
      </c>
      <c r="S1287" s="79">
        <v>2.52</v>
      </c>
      <c r="T1287" s="79">
        <v>9.27</v>
      </c>
      <c r="U1287" s="79">
        <v>0</v>
      </c>
      <c r="V1287" s="189">
        <v>9.27</v>
      </c>
      <c r="X1287" s="79">
        <v>6.75</v>
      </c>
      <c r="Y1287" s="79">
        <v>2.52</v>
      </c>
      <c r="Z1287" s="79">
        <v>9.27</v>
      </c>
      <c r="AA1287" s="255">
        <v>9.9999999999997868E-3</v>
      </c>
      <c r="AC1287" s="254"/>
    </row>
    <row r="1288" spans="1:31" s="61" customFormat="1" ht="12">
      <c r="A1288" s="67" t="s">
        <v>12983</v>
      </c>
      <c r="B1288" s="65" t="s">
        <v>12984</v>
      </c>
      <c r="C1288" s="71" t="s">
        <v>103</v>
      </c>
      <c r="D1288" s="78">
        <v>1</v>
      </c>
      <c r="E1288" s="79">
        <v>330.94</v>
      </c>
      <c r="F1288" s="70">
        <v>330.94</v>
      </c>
      <c r="G1288" s="320"/>
      <c r="H1288" s="79">
        <v>330.94</v>
      </c>
      <c r="I1288" s="79">
        <v>0</v>
      </c>
      <c r="J1288" s="79">
        <v>330.94</v>
      </c>
      <c r="K1288" s="79">
        <v>0</v>
      </c>
      <c r="L1288" s="70">
        <v>330.94</v>
      </c>
      <c r="M1288" s="132"/>
      <c r="N1288" s="79">
        <v>330.94</v>
      </c>
      <c r="O1288" s="79"/>
      <c r="P1288" s="79">
        <v>330.94</v>
      </c>
      <c r="Q1288" s="136"/>
      <c r="R1288" s="79">
        <v>330.94</v>
      </c>
      <c r="S1288" s="79"/>
      <c r="T1288" s="79">
        <v>330.94</v>
      </c>
      <c r="U1288" s="79">
        <v>0</v>
      </c>
      <c r="V1288" s="189">
        <v>330.94</v>
      </c>
      <c r="X1288" s="79">
        <v>330.94</v>
      </c>
      <c r="Y1288" s="79"/>
      <c r="Z1288" s="79">
        <v>330.94</v>
      </c>
      <c r="AA1288" s="255">
        <v>0</v>
      </c>
      <c r="AC1288" s="254"/>
    </row>
    <row r="1289" spans="1:31" s="61" customFormat="1" ht="12">
      <c r="A1289" s="67" t="s">
        <v>12985</v>
      </c>
      <c r="B1289" s="65" t="s">
        <v>12986</v>
      </c>
      <c r="C1289" s="71" t="s">
        <v>509</v>
      </c>
      <c r="D1289" s="78">
        <v>1</v>
      </c>
      <c r="E1289" s="79">
        <v>1226.71</v>
      </c>
      <c r="F1289" s="70">
        <v>1226.71</v>
      </c>
      <c r="G1289" s="320"/>
      <c r="H1289" s="79">
        <v>1201.51</v>
      </c>
      <c r="I1289" s="79">
        <v>25.2</v>
      </c>
      <c r="J1289" s="79">
        <v>1226.71</v>
      </c>
      <c r="K1289" s="79">
        <v>0</v>
      </c>
      <c r="L1289" s="70">
        <v>1226.71</v>
      </c>
      <c r="M1289" s="132"/>
      <c r="N1289" s="79">
        <v>1201.51</v>
      </c>
      <c r="O1289" s="79">
        <v>25.2</v>
      </c>
      <c r="P1289" s="79">
        <v>1226.71</v>
      </c>
      <c r="Q1289" s="136"/>
      <c r="R1289" s="79">
        <v>1201.51</v>
      </c>
      <c r="S1289" s="79">
        <v>25.18</v>
      </c>
      <c r="T1289" s="79">
        <v>1226.69</v>
      </c>
      <c r="U1289" s="79">
        <v>0</v>
      </c>
      <c r="V1289" s="189">
        <v>1226.69</v>
      </c>
      <c r="X1289" s="79">
        <v>1201.51</v>
      </c>
      <c r="Y1289" s="79">
        <v>25.18</v>
      </c>
      <c r="Z1289" s="79">
        <v>1226.69</v>
      </c>
      <c r="AA1289" s="255">
        <v>1.999999999998181E-2</v>
      </c>
      <c r="AC1289" s="254"/>
      <c r="AD1289" s="236"/>
      <c r="AE1289" s="236"/>
    </row>
    <row r="1290" spans="1:31" s="61" customFormat="1" ht="12">
      <c r="A1290" s="67" t="s">
        <v>12987</v>
      </c>
      <c r="B1290" s="65" t="s">
        <v>12988</v>
      </c>
      <c r="C1290" s="71" t="s">
        <v>509</v>
      </c>
      <c r="D1290" s="78">
        <v>1</v>
      </c>
      <c r="E1290" s="79">
        <v>157.60999999999999</v>
      </c>
      <c r="F1290" s="70">
        <v>157.61000000000001</v>
      </c>
      <c r="G1290" s="320"/>
      <c r="H1290" s="79">
        <v>132.41</v>
      </c>
      <c r="I1290" s="79">
        <v>25.2</v>
      </c>
      <c r="J1290" s="79">
        <v>157.60999999999999</v>
      </c>
      <c r="K1290" s="79">
        <v>0</v>
      </c>
      <c r="L1290" s="70">
        <v>157.60999999999999</v>
      </c>
      <c r="M1290" s="132"/>
      <c r="N1290" s="79">
        <v>132.41</v>
      </c>
      <c r="O1290" s="79">
        <v>25.2</v>
      </c>
      <c r="P1290" s="79">
        <v>157.60999999999999</v>
      </c>
      <c r="Q1290" s="136"/>
      <c r="R1290" s="79">
        <v>132.41</v>
      </c>
      <c r="S1290" s="79">
        <v>25.18</v>
      </c>
      <c r="T1290" s="79">
        <v>157.59</v>
      </c>
      <c r="U1290" s="79">
        <v>0</v>
      </c>
      <c r="V1290" s="189">
        <v>157.59</v>
      </c>
      <c r="X1290" s="79">
        <v>132.41</v>
      </c>
      <c r="Y1290" s="79">
        <v>25.18</v>
      </c>
      <c r="Z1290" s="79">
        <v>157.59</v>
      </c>
      <c r="AA1290" s="255">
        <v>2.0000000000010232E-2</v>
      </c>
      <c r="AC1290" s="254"/>
      <c r="AD1290" s="236"/>
      <c r="AE1290" s="236"/>
    </row>
    <row r="1291" spans="1:31" ht="12">
      <c r="A1291" s="67" t="s">
        <v>12989</v>
      </c>
      <c r="B1291" s="65" t="s">
        <v>12990</v>
      </c>
      <c r="C1291" s="71" t="s">
        <v>509</v>
      </c>
      <c r="D1291" s="78">
        <v>1</v>
      </c>
      <c r="E1291" s="79">
        <v>512.43000000000006</v>
      </c>
      <c r="F1291" s="70">
        <v>512.42999999999995</v>
      </c>
      <c r="G1291" s="320"/>
      <c r="H1291" s="79">
        <v>487.23</v>
      </c>
      <c r="I1291" s="79">
        <v>25.2</v>
      </c>
      <c r="J1291" s="79">
        <v>512.43000000000006</v>
      </c>
      <c r="K1291" s="79">
        <v>0</v>
      </c>
      <c r="L1291" s="70">
        <v>512.43000000000006</v>
      </c>
      <c r="M1291" s="132"/>
      <c r="N1291" s="79">
        <v>487.23</v>
      </c>
      <c r="O1291" s="79">
        <v>25.2</v>
      </c>
      <c r="P1291" s="79">
        <v>512.43000000000006</v>
      </c>
      <c r="Q1291" s="136"/>
      <c r="R1291" s="79">
        <v>487.23</v>
      </c>
      <c r="S1291" s="79">
        <v>25.18</v>
      </c>
      <c r="T1291" s="79">
        <v>512.41</v>
      </c>
      <c r="U1291" s="79">
        <v>0</v>
      </c>
      <c r="V1291" s="189">
        <v>512.41</v>
      </c>
      <c r="X1291" s="79">
        <v>487.23</v>
      </c>
      <c r="Y1291" s="79">
        <v>25.18</v>
      </c>
      <c r="Z1291" s="79">
        <v>512.41</v>
      </c>
      <c r="AA1291" s="255">
        <v>1.999999999998181E-2</v>
      </c>
      <c r="AC1291" s="254"/>
    </row>
    <row r="1292" spans="1:31" ht="12">
      <c r="A1292" s="67" t="s">
        <v>12991</v>
      </c>
      <c r="B1292" s="65" t="s">
        <v>12992</v>
      </c>
      <c r="C1292" s="71" t="s">
        <v>103</v>
      </c>
      <c r="D1292" s="78">
        <v>1</v>
      </c>
      <c r="E1292" s="79">
        <v>314.66999999999996</v>
      </c>
      <c r="F1292" s="70">
        <v>314.67</v>
      </c>
      <c r="G1292" s="320"/>
      <c r="H1292" s="79">
        <v>239.13</v>
      </c>
      <c r="I1292" s="79">
        <v>75.539999999999992</v>
      </c>
      <c r="J1292" s="79">
        <v>314.66999999999996</v>
      </c>
      <c r="K1292" s="79">
        <v>0</v>
      </c>
      <c r="L1292" s="70">
        <v>314.66999999999996</v>
      </c>
      <c r="M1292" s="132"/>
      <c r="N1292" s="79">
        <v>239.13</v>
      </c>
      <c r="O1292" s="79">
        <v>75.539999999999992</v>
      </c>
      <c r="P1292" s="79">
        <v>314.66999999999996</v>
      </c>
      <c r="Q1292" s="136"/>
      <c r="R1292" s="79">
        <v>239.13</v>
      </c>
      <c r="S1292" s="79">
        <v>75.53</v>
      </c>
      <c r="T1292" s="79">
        <v>314.65999999999997</v>
      </c>
      <c r="U1292" s="79">
        <v>0</v>
      </c>
      <c r="V1292" s="189">
        <v>314.65999999999997</v>
      </c>
      <c r="X1292" s="79">
        <v>239.13</v>
      </c>
      <c r="Y1292" s="79">
        <v>75.53</v>
      </c>
      <c r="Z1292" s="79">
        <v>314.66000000000003</v>
      </c>
      <c r="AA1292" s="255">
        <v>9.9999999999909051E-3</v>
      </c>
      <c r="AC1292" s="254"/>
    </row>
    <row r="1293" spans="1:31" ht="12">
      <c r="A1293" s="67" t="s">
        <v>12993</v>
      </c>
      <c r="B1293" s="65" t="s">
        <v>12994</v>
      </c>
      <c r="C1293" s="71" t="s">
        <v>103</v>
      </c>
      <c r="D1293" s="78">
        <v>1</v>
      </c>
      <c r="E1293" s="79">
        <v>312.38</v>
      </c>
      <c r="F1293" s="70">
        <v>312.38</v>
      </c>
      <c r="G1293" s="320"/>
      <c r="H1293" s="79">
        <v>236.84</v>
      </c>
      <c r="I1293" s="79">
        <v>75.539999999999992</v>
      </c>
      <c r="J1293" s="79">
        <v>312.38</v>
      </c>
      <c r="K1293" s="79">
        <v>0</v>
      </c>
      <c r="L1293" s="70">
        <v>312.38</v>
      </c>
      <c r="M1293" s="132"/>
      <c r="N1293" s="79">
        <v>236.84</v>
      </c>
      <c r="O1293" s="79">
        <v>75.539999999999992</v>
      </c>
      <c r="P1293" s="79">
        <v>312.38</v>
      </c>
      <c r="Q1293" s="136"/>
      <c r="R1293" s="79">
        <v>236.84</v>
      </c>
      <c r="S1293" s="79">
        <v>75.53</v>
      </c>
      <c r="T1293" s="79">
        <v>312.37</v>
      </c>
      <c r="U1293" s="79">
        <v>0</v>
      </c>
      <c r="V1293" s="189">
        <v>312.37</v>
      </c>
      <c r="X1293" s="79">
        <v>236.84</v>
      </c>
      <c r="Y1293" s="79">
        <v>75.53</v>
      </c>
      <c r="Z1293" s="79">
        <v>312.37</v>
      </c>
      <c r="AA1293" s="255">
        <v>9.9999999999909051E-3</v>
      </c>
      <c r="AC1293" s="254"/>
    </row>
    <row r="1294" spans="1:31" ht="12">
      <c r="A1294" s="67" t="s">
        <v>12995</v>
      </c>
      <c r="B1294" s="65" t="s">
        <v>12996</v>
      </c>
      <c r="C1294" s="71" t="s">
        <v>103</v>
      </c>
      <c r="D1294" s="78">
        <v>1</v>
      </c>
      <c r="E1294" s="79">
        <v>318.83</v>
      </c>
      <c r="F1294" s="70">
        <v>318.83</v>
      </c>
      <c r="G1294" s="320"/>
      <c r="H1294" s="79">
        <v>243.29</v>
      </c>
      <c r="I1294" s="79">
        <v>75.539999999999992</v>
      </c>
      <c r="J1294" s="79">
        <v>318.83</v>
      </c>
      <c r="K1294" s="79">
        <v>0</v>
      </c>
      <c r="L1294" s="70">
        <v>318.83</v>
      </c>
      <c r="M1294" s="132"/>
      <c r="N1294" s="79">
        <v>243.29</v>
      </c>
      <c r="O1294" s="79">
        <v>75.539999999999992</v>
      </c>
      <c r="P1294" s="79">
        <v>318.83</v>
      </c>
      <c r="Q1294" s="136"/>
      <c r="R1294" s="79">
        <v>243.29</v>
      </c>
      <c r="S1294" s="79">
        <v>75.53</v>
      </c>
      <c r="T1294" s="79">
        <v>318.82</v>
      </c>
      <c r="U1294" s="79">
        <v>0</v>
      </c>
      <c r="V1294" s="189">
        <v>318.82</v>
      </c>
      <c r="X1294" s="79">
        <v>243.29</v>
      </c>
      <c r="Y1294" s="79">
        <v>75.53</v>
      </c>
      <c r="Z1294" s="79">
        <v>318.82</v>
      </c>
      <c r="AA1294" s="255">
        <v>9.9999999999909051E-3</v>
      </c>
      <c r="AC1294" s="254"/>
    </row>
    <row r="1295" spans="1:31" ht="12">
      <c r="A1295" s="67" t="s">
        <v>12997</v>
      </c>
      <c r="B1295" s="65" t="s">
        <v>12998</v>
      </c>
      <c r="C1295" s="71" t="s">
        <v>103</v>
      </c>
      <c r="D1295" s="78">
        <v>1</v>
      </c>
      <c r="E1295" s="79">
        <v>348.01</v>
      </c>
      <c r="F1295" s="70">
        <v>348.01</v>
      </c>
      <c r="G1295" s="320"/>
      <c r="H1295" s="79">
        <v>272.47000000000003</v>
      </c>
      <c r="I1295" s="79">
        <v>75.539999999999992</v>
      </c>
      <c r="J1295" s="79">
        <v>348.01</v>
      </c>
      <c r="K1295" s="79">
        <v>0</v>
      </c>
      <c r="L1295" s="70">
        <v>348.01</v>
      </c>
      <c r="M1295" s="132"/>
      <c r="N1295" s="79">
        <v>272.47000000000003</v>
      </c>
      <c r="O1295" s="79">
        <v>75.539999999999992</v>
      </c>
      <c r="P1295" s="79">
        <v>348.01</v>
      </c>
      <c r="Q1295" s="136"/>
      <c r="R1295" s="79">
        <v>272.47000000000003</v>
      </c>
      <c r="S1295" s="79">
        <v>75.53</v>
      </c>
      <c r="T1295" s="79">
        <v>348</v>
      </c>
      <c r="U1295" s="79">
        <v>0</v>
      </c>
      <c r="V1295" s="189">
        <v>348</v>
      </c>
      <c r="X1295" s="79">
        <v>272.47000000000003</v>
      </c>
      <c r="Y1295" s="79">
        <v>75.53</v>
      </c>
      <c r="Z1295" s="79">
        <v>348</v>
      </c>
      <c r="AA1295" s="255">
        <v>9.9999999999909051E-3</v>
      </c>
      <c r="AC1295" s="254"/>
    </row>
    <row r="1296" spans="1:31" ht="12">
      <c r="A1296" s="67" t="s">
        <v>12999</v>
      </c>
      <c r="B1296" s="65" t="s">
        <v>13000</v>
      </c>
      <c r="C1296" s="71" t="s">
        <v>103</v>
      </c>
      <c r="D1296" s="78">
        <v>1</v>
      </c>
      <c r="E1296" s="79">
        <v>1146.6199999999999</v>
      </c>
      <c r="F1296" s="70">
        <v>1146.6199999999999</v>
      </c>
      <c r="G1296" s="320"/>
      <c r="H1296" s="79">
        <v>1071.08</v>
      </c>
      <c r="I1296" s="79">
        <v>75.539999999999992</v>
      </c>
      <c r="J1296" s="79">
        <v>1146.6199999999999</v>
      </c>
      <c r="K1296" s="79">
        <v>0</v>
      </c>
      <c r="L1296" s="70">
        <v>1146.6199999999999</v>
      </c>
      <c r="M1296" s="132"/>
      <c r="N1296" s="79">
        <v>1071.08</v>
      </c>
      <c r="O1296" s="79">
        <v>75.539999999999992</v>
      </c>
      <c r="P1296" s="79">
        <v>1146.6199999999999</v>
      </c>
      <c r="Q1296" s="136"/>
      <c r="R1296" s="79">
        <v>1071.08</v>
      </c>
      <c r="S1296" s="79">
        <v>75.53</v>
      </c>
      <c r="T1296" s="79">
        <v>1146.6099999999999</v>
      </c>
      <c r="U1296" s="79">
        <v>0</v>
      </c>
      <c r="V1296" s="189">
        <v>1146.6099999999999</v>
      </c>
      <c r="X1296" s="79">
        <v>1071.08</v>
      </c>
      <c r="Y1296" s="79">
        <v>75.53</v>
      </c>
      <c r="Z1296" s="79">
        <v>1146.6099999999999</v>
      </c>
      <c r="AA1296" s="255">
        <v>9.9999999999909051E-3</v>
      </c>
      <c r="AC1296" s="254"/>
    </row>
    <row r="1297" spans="1:29" ht="12">
      <c r="A1297" s="67" t="s">
        <v>13001</v>
      </c>
      <c r="B1297" s="65" t="s">
        <v>13002</v>
      </c>
      <c r="C1297" s="71" t="s">
        <v>103</v>
      </c>
      <c r="D1297" s="78">
        <v>1</v>
      </c>
      <c r="E1297" s="79">
        <v>1271.7</v>
      </c>
      <c r="F1297" s="70">
        <v>1271.7</v>
      </c>
      <c r="G1297" s="320"/>
      <c r="H1297" s="79">
        <v>1196.1600000000001</v>
      </c>
      <c r="I1297" s="79">
        <v>75.539999999999992</v>
      </c>
      <c r="J1297" s="79">
        <v>1271.7</v>
      </c>
      <c r="K1297" s="79">
        <v>0</v>
      </c>
      <c r="L1297" s="70">
        <v>1271.7</v>
      </c>
      <c r="M1297" s="132"/>
      <c r="N1297" s="79">
        <v>1196.1600000000001</v>
      </c>
      <c r="O1297" s="79">
        <v>75.539999999999992</v>
      </c>
      <c r="P1297" s="79">
        <v>1271.7</v>
      </c>
      <c r="Q1297" s="136"/>
      <c r="R1297" s="79">
        <v>1196.1600000000001</v>
      </c>
      <c r="S1297" s="79">
        <v>75.53</v>
      </c>
      <c r="T1297" s="79">
        <v>1271.69</v>
      </c>
      <c r="U1297" s="79">
        <v>0</v>
      </c>
      <c r="V1297" s="189">
        <v>1271.69</v>
      </c>
      <c r="X1297" s="79">
        <v>1196.1600000000001</v>
      </c>
      <c r="Y1297" s="79">
        <v>75.53</v>
      </c>
      <c r="Z1297" s="79">
        <v>1271.69</v>
      </c>
      <c r="AA1297" s="255">
        <v>9.9999999999909051E-3</v>
      </c>
      <c r="AC1297" s="254"/>
    </row>
    <row r="1298" spans="1:29" ht="12">
      <c r="A1298" s="67" t="s">
        <v>13003</v>
      </c>
      <c r="B1298" s="65" t="s">
        <v>13004</v>
      </c>
      <c r="C1298" s="71" t="s">
        <v>103</v>
      </c>
      <c r="D1298" s="78">
        <v>1</v>
      </c>
      <c r="E1298" s="79">
        <v>1261.58</v>
      </c>
      <c r="F1298" s="70">
        <v>1261.58</v>
      </c>
      <c r="G1298" s="320"/>
      <c r="H1298" s="79">
        <v>1186.04</v>
      </c>
      <c r="I1298" s="79">
        <v>75.539999999999992</v>
      </c>
      <c r="J1298" s="79">
        <v>1261.58</v>
      </c>
      <c r="K1298" s="79">
        <v>0</v>
      </c>
      <c r="L1298" s="70">
        <v>1261.58</v>
      </c>
      <c r="M1298" s="132"/>
      <c r="N1298" s="79">
        <v>1186.04</v>
      </c>
      <c r="O1298" s="79">
        <v>75.539999999999992</v>
      </c>
      <c r="P1298" s="79">
        <v>1261.58</v>
      </c>
      <c r="Q1298" s="136"/>
      <c r="R1298" s="79">
        <v>1186.04</v>
      </c>
      <c r="S1298" s="79">
        <v>75.53</v>
      </c>
      <c r="T1298" s="79">
        <v>1261.57</v>
      </c>
      <c r="U1298" s="79">
        <v>0</v>
      </c>
      <c r="V1298" s="189">
        <v>1261.57</v>
      </c>
      <c r="X1298" s="79">
        <v>1186.04</v>
      </c>
      <c r="Y1298" s="79">
        <v>75.53</v>
      </c>
      <c r="Z1298" s="79">
        <v>1261.57</v>
      </c>
      <c r="AA1298" s="255">
        <v>9.9999999999909051E-3</v>
      </c>
      <c r="AC1298" s="254"/>
    </row>
    <row r="1299" spans="1:29" ht="12">
      <c r="A1299" s="67" t="s">
        <v>40949</v>
      </c>
      <c r="B1299" s="65" t="s">
        <v>29997</v>
      </c>
      <c r="C1299" s="71" t="s">
        <v>509</v>
      </c>
      <c r="D1299" s="78">
        <v>1</v>
      </c>
      <c r="E1299" s="79">
        <v>673.77</v>
      </c>
      <c r="F1299" s="70">
        <v>673.77</v>
      </c>
      <c r="G1299" s="320"/>
      <c r="H1299" s="79">
        <v>632.89</v>
      </c>
      <c r="I1299" s="79">
        <v>40.879999999999995</v>
      </c>
      <c r="J1299" s="79">
        <v>673.77</v>
      </c>
      <c r="K1299" s="79">
        <v>0</v>
      </c>
      <c r="L1299" s="70">
        <v>673.77</v>
      </c>
      <c r="M1299" s="132"/>
      <c r="N1299" s="79">
        <v>632.89</v>
      </c>
      <c r="O1299" s="79">
        <v>40.879999999999995</v>
      </c>
      <c r="P1299" s="79">
        <v>673.77</v>
      </c>
      <c r="Q1299" s="136"/>
      <c r="R1299" s="79">
        <v>632.89</v>
      </c>
      <c r="S1299" s="79">
        <v>40.880000000000003</v>
      </c>
      <c r="T1299" s="79">
        <v>673.77</v>
      </c>
      <c r="U1299" s="79">
        <v>0</v>
      </c>
      <c r="V1299" s="189">
        <v>673.77</v>
      </c>
      <c r="X1299" s="79">
        <v>632.89</v>
      </c>
      <c r="Y1299" s="79">
        <v>40.880000000000003</v>
      </c>
      <c r="Z1299" s="79">
        <v>673.77</v>
      </c>
      <c r="AA1299" s="255">
        <v>0</v>
      </c>
      <c r="AC1299" s="254"/>
    </row>
    <row r="1300" spans="1:29" ht="12">
      <c r="A1300" s="67" t="s">
        <v>13005</v>
      </c>
      <c r="B1300" s="65" t="s">
        <v>13006</v>
      </c>
      <c r="C1300" s="71" t="s">
        <v>509</v>
      </c>
      <c r="D1300" s="78">
        <v>1</v>
      </c>
      <c r="E1300" s="79">
        <v>1214.3900000000001</v>
      </c>
      <c r="F1300" s="70">
        <v>1214.3900000000001</v>
      </c>
      <c r="G1300" s="320"/>
      <c r="H1300" s="79">
        <v>1138.8499999999999</v>
      </c>
      <c r="I1300" s="79">
        <v>75.539999999999992</v>
      </c>
      <c r="J1300" s="79">
        <v>1214.3899999999999</v>
      </c>
      <c r="K1300" s="79">
        <v>0</v>
      </c>
      <c r="L1300" s="70">
        <v>1214.3899999999999</v>
      </c>
      <c r="M1300" s="132"/>
      <c r="N1300" s="79">
        <v>1138.8499999999999</v>
      </c>
      <c r="O1300" s="79">
        <v>75.539999999999992</v>
      </c>
      <c r="P1300" s="79">
        <v>1214.3899999999999</v>
      </c>
      <c r="Q1300" s="136"/>
      <c r="R1300" s="79">
        <v>1138.8499999999999</v>
      </c>
      <c r="S1300" s="79">
        <v>75.53</v>
      </c>
      <c r="T1300" s="79">
        <v>1214.3799999999999</v>
      </c>
      <c r="U1300" s="79">
        <v>0</v>
      </c>
      <c r="V1300" s="189">
        <v>1214.3799999999999</v>
      </c>
      <c r="X1300" s="79">
        <v>1138.8499999999999</v>
      </c>
      <c r="Y1300" s="79">
        <v>75.53</v>
      </c>
      <c r="Z1300" s="79">
        <v>1214.3800000000001</v>
      </c>
      <c r="AA1300" s="255">
        <v>9.9999999999909051E-3</v>
      </c>
      <c r="AC1300" s="254"/>
    </row>
    <row r="1301" spans="1:29" ht="12">
      <c r="A1301" s="489" t="s">
        <v>13007</v>
      </c>
      <c r="B1301" s="490" t="s">
        <v>13008</v>
      </c>
      <c r="C1301" s="491"/>
      <c r="D1301" s="492"/>
      <c r="E1301" s="79"/>
      <c r="F1301" s="63"/>
      <c r="G1301" s="320"/>
      <c r="H1301" s="79"/>
      <c r="I1301" s="79"/>
      <c r="J1301" s="79"/>
      <c r="K1301" s="79"/>
      <c r="L1301" s="70"/>
      <c r="M1301" s="132"/>
      <c r="N1301" s="79"/>
      <c r="O1301" s="79"/>
      <c r="P1301" s="79"/>
      <c r="Q1301" s="136"/>
      <c r="R1301" s="79"/>
      <c r="S1301" s="79"/>
      <c r="T1301" s="79"/>
      <c r="U1301" s="79"/>
      <c r="V1301" s="189"/>
      <c r="X1301" s="79"/>
      <c r="Y1301" s="79"/>
      <c r="Z1301" s="79"/>
      <c r="AA1301" s="255"/>
      <c r="AC1301" s="254"/>
    </row>
    <row r="1302" spans="1:29" ht="12">
      <c r="A1302" s="489" t="s">
        <v>13009</v>
      </c>
      <c r="B1302" s="490" t="s">
        <v>13010</v>
      </c>
      <c r="C1302" s="491"/>
      <c r="D1302" s="492"/>
      <c r="E1302" s="79"/>
      <c r="F1302" s="63"/>
      <c r="G1302" s="320"/>
      <c r="H1302" s="79"/>
      <c r="I1302" s="79"/>
      <c r="J1302" s="79"/>
      <c r="K1302" s="79"/>
      <c r="L1302" s="70"/>
      <c r="M1302" s="132"/>
      <c r="N1302" s="79"/>
      <c r="O1302" s="79"/>
      <c r="P1302" s="79"/>
      <c r="Q1302" s="136"/>
      <c r="R1302" s="79"/>
      <c r="S1302" s="79"/>
      <c r="T1302" s="79"/>
      <c r="U1302" s="79"/>
      <c r="V1302" s="189"/>
      <c r="X1302" s="79"/>
      <c r="Y1302" s="79"/>
      <c r="Z1302" s="79"/>
      <c r="AA1302" s="255"/>
      <c r="AC1302" s="254"/>
    </row>
    <row r="1303" spans="1:29" ht="12">
      <c r="A1303" s="67" t="s">
        <v>13011</v>
      </c>
      <c r="B1303" s="65" t="s">
        <v>13012</v>
      </c>
      <c r="C1303" s="71" t="s">
        <v>509</v>
      </c>
      <c r="D1303" s="78">
        <v>1</v>
      </c>
      <c r="E1303" s="79">
        <v>588</v>
      </c>
      <c r="F1303" s="70">
        <v>588</v>
      </c>
      <c r="G1303" s="320"/>
      <c r="H1303" s="79">
        <v>556.05000000000007</v>
      </c>
      <c r="I1303" s="79">
        <v>31.95</v>
      </c>
      <c r="J1303" s="79">
        <v>588.00000000000011</v>
      </c>
      <c r="K1303" s="79">
        <v>0</v>
      </c>
      <c r="L1303" s="70">
        <v>588.00000000000011</v>
      </c>
      <c r="M1303" s="132"/>
      <c r="N1303" s="79">
        <v>556.05000000000007</v>
      </c>
      <c r="O1303" s="79">
        <v>31.95</v>
      </c>
      <c r="P1303" s="79">
        <v>588.00000000000011</v>
      </c>
      <c r="Q1303" s="136"/>
      <c r="R1303" s="79">
        <v>556.04999999999995</v>
      </c>
      <c r="S1303" s="79">
        <v>31.96</v>
      </c>
      <c r="T1303" s="79">
        <v>588.01</v>
      </c>
      <c r="U1303" s="79">
        <v>0</v>
      </c>
      <c r="V1303" s="189">
        <v>588.01</v>
      </c>
      <c r="X1303" s="79">
        <v>556.04999999999995</v>
      </c>
      <c r="Y1303" s="79">
        <v>31.96</v>
      </c>
      <c r="Z1303" s="79">
        <v>588.01</v>
      </c>
      <c r="AA1303" s="255">
        <v>-9.9999999999909051E-3</v>
      </c>
      <c r="AC1303" s="254"/>
    </row>
    <row r="1304" spans="1:29" ht="12">
      <c r="A1304" s="67" t="s">
        <v>13013</v>
      </c>
      <c r="B1304" s="65" t="s">
        <v>13014</v>
      </c>
      <c r="C1304" s="71" t="s">
        <v>509</v>
      </c>
      <c r="D1304" s="78">
        <v>1</v>
      </c>
      <c r="E1304" s="79">
        <v>1696.1399999999999</v>
      </c>
      <c r="F1304" s="70">
        <v>1696.14</v>
      </c>
      <c r="G1304" s="320"/>
      <c r="H1304" s="79">
        <v>1664.1899999999998</v>
      </c>
      <c r="I1304" s="79">
        <v>31.95</v>
      </c>
      <c r="J1304" s="79">
        <v>1696.1399999999999</v>
      </c>
      <c r="K1304" s="79">
        <v>0</v>
      </c>
      <c r="L1304" s="70">
        <v>1696.1399999999999</v>
      </c>
      <c r="M1304" s="132"/>
      <c r="N1304" s="79">
        <v>1664.1899999999998</v>
      </c>
      <c r="O1304" s="79">
        <v>31.95</v>
      </c>
      <c r="P1304" s="79">
        <v>1696.1399999999999</v>
      </c>
      <c r="Q1304" s="136"/>
      <c r="R1304" s="79">
        <v>1664.19</v>
      </c>
      <c r="S1304" s="79">
        <v>31.96</v>
      </c>
      <c r="T1304" s="79">
        <v>1696.15</v>
      </c>
      <c r="U1304" s="79">
        <v>0</v>
      </c>
      <c r="V1304" s="189">
        <v>1696.15</v>
      </c>
      <c r="X1304" s="79">
        <v>1664.19</v>
      </c>
      <c r="Y1304" s="79">
        <v>31.96</v>
      </c>
      <c r="Z1304" s="79">
        <v>1696.15</v>
      </c>
      <c r="AA1304" s="255">
        <v>-9.9999999999909051E-3</v>
      </c>
      <c r="AC1304" s="254"/>
    </row>
    <row r="1305" spans="1:29" ht="12">
      <c r="A1305" s="67" t="s">
        <v>13015</v>
      </c>
      <c r="B1305" s="65" t="s">
        <v>13016</v>
      </c>
      <c r="C1305" s="71" t="s">
        <v>509</v>
      </c>
      <c r="D1305" s="78">
        <v>1</v>
      </c>
      <c r="E1305" s="79">
        <v>959.62</v>
      </c>
      <c r="F1305" s="70">
        <v>959.62</v>
      </c>
      <c r="G1305" s="320"/>
      <c r="H1305" s="79">
        <v>927.67000000000007</v>
      </c>
      <c r="I1305" s="79">
        <v>31.95</v>
      </c>
      <c r="J1305" s="79">
        <v>959.62000000000012</v>
      </c>
      <c r="K1305" s="79">
        <v>0</v>
      </c>
      <c r="L1305" s="70">
        <v>959.62000000000012</v>
      </c>
      <c r="M1305" s="132"/>
      <c r="N1305" s="79">
        <v>927.67000000000007</v>
      </c>
      <c r="O1305" s="79">
        <v>31.95</v>
      </c>
      <c r="P1305" s="79">
        <v>959.62000000000012</v>
      </c>
      <c r="Q1305" s="136"/>
      <c r="R1305" s="79">
        <v>927.67</v>
      </c>
      <c r="S1305" s="79">
        <v>31.96</v>
      </c>
      <c r="T1305" s="79">
        <v>959.63</v>
      </c>
      <c r="U1305" s="79">
        <v>0</v>
      </c>
      <c r="V1305" s="189">
        <v>959.63</v>
      </c>
      <c r="X1305" s="79">
        <v>927.67</v>
      </c>
      <c r="Y1305" s="79">
        <v>31.96</v>
      </c>
      <c r="Z1305" s="79">
        <v>959.63</v>
      </c>
      <c r="AA1305" s="255">
        <v>-9.9999999999909051E-3</v>
      </c>
      <c r="AC1305" s="254"/>
    </row>
    <row r="1306" spans="1:29" ht="12">
      <c r="A1306" s="67" t="s">
        <v>13017</v>
      </c>
      <c r="B1306" s="65" t="s">
        <v>13018</v>
      </c>
      <c r="C1306" s="71" t="s">
        <v>509</v>
      </c>
      <c r="D1306" s="78">
        <v>1</v>
      </c>
      <c r="E1306" s="79">
        <v>650.27</v>
      </c>
      <c r="F1306" s="70">
        <v>650.27</v>
      </c>
      <c r="G1306" s="320"/>
      <c r="H1306" s="79">
        <v>618.32000000000005</v>
      </c>
      <c r="I1306" s="79">
        <v>31.95</v>
      </c>
      <c r="J1306" s="79">
        <v>650.2700000000001</v>
      </c>
      <c r="K1306" s="79">
        <v>0</v>
      </c>
      <c r="L1306" s="70">
        <v>650.2700000000001</v>
      </c>
      <c r="M1306" s="132"/>
      <c r="N1306" s="79">
        <v>618.32000000000005</v>
      </c>
      <c r="O1306" s="79">
        <v>31.95</v>
      </c>
      <c r="P1306" s="79">
        <v>650.2700000000001</v>
      </c>
      <c r="Q1306" s="136"/>
      <c r="R1306" s="79">
        <v>618.32000000000005</v>
      </c>
      <c r="S1306" s="79">
        <v>31.96</v>
      </c>
      <c r="T1306" s="79">
        <v>650.28000000000009</v>
      </c>
      <c r="U1306" s="79">
        <v>0</v>
      </c>
      <c r="V1306" s="189">
        <v>650.28000000000009</v>
      </c>
      <c r="X1306" s="79">
        <v>618.32000000000005</v>
      </c>
      <c r="Y1306" s="79">
        <v>31.96</v>
      </c>
      <c r="Z1306" s="79">
        <v>650.28</v>
      </c>
      <c r="AA1306" s="255">
        <v>-9.9999999999909051E-3</v>
      </c>
      <c r="AC1306" s="254"/>
    </row>
    <row r="1307" spans="1:29" ht="12">
      <c r="A1307" s="67" t="s">
        <v>13019</v>
      </c>
      <c r="B1307" s="65" t="s">
        <v>13020</v>
      </c>
      <c r="C1307" s="71" t="s">
        <v>509</v>
      </c>
      <c r="D1307" s="78">
        <v>1</v>
      </c>
      <c r="E1307" s="79">
        <v>420.45000000000005</v>
      </c>
      <c r="F1307" s="70">
        <v>420.45</v>
      </c>
      <c r="G1307" s="320"/>
      <c r="H1307" s="79">
        <v>388.5</v>
      </c>
      <c r="I1307" s="79">
        <v>31.95</v>
      </c>
      <c r="J1307" s="79">
        <v>420.45</v>
      </c>
      <c r="K1307" s="79">
        <v>0</v>
      </c>
      <c r="L1307" s="70">
        <v>420.45</v>
      </c>
      <c r="M1307" s="132"/>
      <c r="N1307" s="79">
        <v>388.5</v>
      </c>
      <c r="O1307" s="79">
        <v>31.95</v>
      </c>
      <c r="P1307" s="79">
        <v>420.45</v>
      </c>
      <c r="Q1307" s="136"/>
      <c r="R1307" s="79">
        <v>388.5</v>
      </c>
      <c r="S1307" s="79">
        <v>31.96</v>
      </c>
      <c r="T1307" s="79">
        <v>420.46</v>
      </c>
      <c r="U1307" s="79">
        <v>0</v>
      </c>
      <c r="V1307" s="189">
        <v>420.46</v>
      </c>
      <c r="X1307" s="79">
        <v>388.5</v>
      </c>
      <c r="Y1307" s="79">
        <v>31.96</v>
      </c>
      <c r="Z1307" s="79">
        <v>420.46</v>
      </c>
      <c r="AA1307" s="255">
        <v>-9.9999999999909051E-3</v>
      </c>
      <c r="AC1307" s="254"/>
    </row>
    <row r="1308" spans="1:29" ht="12">
      <c r="A1308" s="67" t="s">
        <v>13021</v>
      </c>
      <c r="B1308" s="65" t="s">
        <v>13022</v>
      </c>
      <c r="C1308" s="71" t="s">
        <v>509</v>
      </c>
      <c r="D1308" s="78">
        <v>1</v>
      </c>
      <c r="E1308" s="79">
        <v>861.66</v>
      </c>
      <c r="F1308" s="70">
        <v>861.66</v>
      </c>
      <c r="G1308" s="320"/>
      <c r="H1308" s="79">
        <v>829.71</v>
      </c>
      <c r="I1308" s="79">
        <v>31.95</v>
      </c>
      <c r="J1308" s="79">
        <v>861.66000000000008</v>
      </c>
      <c r="K1308" s="79">
        <v>0</v>
      </c>
      <c r="L1308" s="70">
        <v>861.66000000000008</v>
      </c>
      <c r="M1308" s="132"/>
      <c r="N1308" s="79">
        <v>829.71</v>
      </c>
      <c r="O1308" s="79">
        <v>31.95</v>
      </c>
      <c r="P1308" s="79">
        <v>861.66000000000008</v>
      </c>
      <c r="Q1308" s="136"/>
      <c r="R1308" s="79">
        <v>829.71</v>
      </c>
      <c r="S1308" s="79">
        <v>31.96</v>
      </c>
      <c r="T1308" s="79">
        <v>861.67000000000007</v>
      </c>
      <c r="U1308" s="79">
        <v>0</v>
      </c>
      <c r="V1308" s="189">
        <v>861.67000000000007</v>
      </c>
      <c r="X1308" s="79">
        <v>829.71</v>
      </c>
      <c r="Y1308" s="79">
        <v>31.96</v>
      </c>
      <c r="Z1308" s="79">
        <v>861.67</v>
      </c>
      <c r="AA1308" s="255">
        <v>-9.9999999999909051E-3</v>
      </c>
      <c r="AC1308" s="254"/>
    </row>
    <row r="1309" spans="1:29" ht="24">
      <c r="A1309" s="67" t="s">
        <v>13023</v>
      </c>
      <c r="B1309" s="65" t="s">
        <v>13024</v>
      </c>
      <c r="C1309" s="71" t="s">
        <v>509</v>
      </c>
      <c r="D1309" s="78">
        <v>1</v>
      </c>
      <c r="E1309" s="79">
        <v>290.15999999999997</v>
      </c>
      <c r="F1309" s="70">
        <v>290.16000000000003</v>
      </c>
      <c r="G1309" s="320"/>
      <c r="H1309" s="79">
        <v>290.15999999999997</v>
      </c>
      <c r="I1309" s="79">
        <v>0</v>
      </c>
      <c r="J1309" s="79">
        <v>290.15999999999997</v>
      </c>
      <c r="K1309" s="79">
        <v>0</v>
      </c>
      <c r="L1309" s="70">
        <v>290.15999999999997</v>
      </c>
      <c r="M1309" s="132"/>
      <c r="N1309" s="79">
        <v>290.15999999999997</v>
      </c>
      <c r="O1309" s="79"/>
      <c r="P1309" s="79">
        <v>290.15999999999997</v>
      </c>
      <c r="Q1309" s="136"/>
      <c r="R1309" s="79">
        <v>290.16000000000003</v>
      </c>
      <c r="S1309" s="79"/>
      <c r="T1309" s="79">
        <v>290.16000000000003</v>
      </c>
      <c r="U1309" s="79">
        <v>0</v>
      </c>
      <c r="V1309" s="189">
        <v>290.16000000000003</v>
      </c>
      <c r="X1309" s="79">
        <v>290.16000000000003</v>
      </c>
      <c r="Y1309" s="79"/>
      <c r="Z1309" s="79">
        <v>290.16000000000003</v>
      </c>
      <c r="AA1309" s="255">
        <v>0</v>
      </c>
      <c r="AC1309" s="254"/>
    </row>
    <row r="1310" spans="1:29" ht="24">
      <c r="A1310" s="67" t="s">
        <v>13025</v>
      </c>
      <c r="B1310" s="65" t="s">
        <v>13026</v>
      </c>
      <c r="C1310" s="71" t="s">
        <v>509</v>
      </c>
      <c r="D1310" s="78">
        <v>1</v>
      </c>
      <c r="E1310" s="79">
        <v>905.58</v>
      </c>
      <c r="F1310" s="70">
        <v>905.58</v>
      </c>
      <c r="G1310" s="320"/>
      <c r="H1310" s="79">
        <v>874.97</v>
      </c>
      <c r="I1310" s="79">
        <v>30.61</v>
      </c>
      <c r="J1310" s="79">
        <v>905.58</v>
      </c>
      <c r="K1310" s="79">
        <v>0</v>
      </c>
      <c r="L1310" s="70">
        <v>905.58</v>
      </c>
      <c r="M1310" s="132"/>
      <c r="N1310" s="79">
        <v>874.97</v>
      </c>
      <c r="O1310" s="79">
        <v>30.61</v>
      </c>
      <c r="P1310" s="79">
        <v>905.58</v>
      </c>
      <c r="Q1310" s="136"/>
      <c r="R1310" s="79">
        <v>874.97</v>
      </c>
      <c r="S1310" s="79">
        <v>30.69</v>
      </c>
      <c r="T1310" s="79">
        <v>905.66000000000008</v>
      </c>
      <c r="U1310" s="79">
        <v>0</v>
      </c>
      <c r="V1310" s="189">
        <v>905.66000000000008</v>
      </c>
      <c r="X1310" s="79">
        <v>874.97</v>
      </c>
      <c r="Y1310" s="79">
        <v>30.69</v>
      </c>
      <c r="Z1310" s="79">
        <v>905.66</v>
      </c>
      <c r="AA1310" s="255">
        <v>-7.999999999992724E-2</v>
      </c>
      <c r="AC1310" s="254"/>
    </row>
    <row r="1311" spans="1:29" ht="24">
      <c r="A1311" s="67" t="s">
        <v>13027</v>
      </c>
      <c r="B1311" s="65" t="s">
        <v>13028</v>
      </c>
      <c r="C1311" s="71" t="s">
        <v>509</v>
      </c>
      <c r="D1311" s="78">
        <v>1</v>
      </c>
      <c r="E1311" s="79">
        <v>750.06999999999994</v>
      </c>
      <c r="F1311" s="70">
        <v>750.07</v>
      </c>
      <c r="G1311" s="320"/>
      <c r="H1311" s="79">
        <v>719.37</v>
      </c>
      <c r="I1311" s="79">
        <v>30.700000000000003</v>
      </c>
      <c r="J1311" s="79">
        <v>750.07</v>
      </c>
      <c r="K1311" s="79">
        <v>0</v>
      </c>
      <c r="L1311" s="70">
        <v>750.07</v>
      </c>
      <c r="M1311" s="132"/>
      <c r="N1311" s="79">
        <v>719.37</v>
      </c>
      <c r="O1311" s="79">
        <v>30.700000000000003</v>
      </c>
      <c r="P1311" s="79">
        <v>750.07</v>
      </c>
      <c r="Q1311" s="136"/>
      <c r="R1311" s="79">
        <v>719.37</v>
      </c>
      <c r="S1311" s="79">
        <v>30.69</v>
      </c>
      <c r="T1311" s="79">
        <v>750.06000000000006</v>
      </c>
      <c r="U1311" s="79">
        <v>0</v>
      </c>
      <c r="V1311" s="189">
        <v>750.06000000000006</v>
      </c>
      <c r="X1311" s="79">
        <v>719.37</v>
      </c>
      <c r="Y1311" s="79">
        <v>30.69</v>
      </c>
      <c r="Z1311" s="79">
        <v>750.06</v>
      </c>
      <c r="AA1311" s="255">
        <v>1.0000000000104592E-2</v>
      </c>
      <c r="AC1311" s="254"/>
    </row>
    <row r="1312" spans="1:29" ht="12">
      <c r="A1312" s="67" t="s">
        <v>13029</v>
      </c>
      <c r="B1312" s="65" t="s">
        <v>13030</v>
      </c>
      <c r="C1312" s="71" t="s">
        <v>509</v>
      </c>
      <c r="D1312" s="78">
        <v>1</v>
      </c>
      <c r="E1312" s="79">
        <v>2204.67</v>
      </c>
      <c r="F1312" s="70">
        <v>2204.67</v>
      </c>
      <c r="G1312" s="320"/>
      <c r="H1312" s="79">
        <v>2123.4700000000003</v>
      </c>
      <c r="I1312" s="79">
        <v>81.199999999999989</v>
      </c>
      <c r="J1312" s="79">
        <v>2204.67</v>
      </c>
      <c r="K1312" s="79">
        <v>0</v>
      </c>
      <c r="L1312" s="70">
        <v>2204.67</v>
      </c>
      <c r="M1312" s="132"/>
      <c r="N1312" s="79">
        <v>2123.4700000000003</v>
      </c>
      <c r="O1312" s="79">
        <v>81.199999999999989</v>
      </c>
      <c r="P1312" s="79">
        <v>2204.67</v>
      </c>
      <c r="Q1312" s="136"/>
      <c r="R1312" s="79">
        <v>2123.4699999999998</v>
      </c>
      <c r="S1312" s="79">
        <v>81.209999999999994</v>
      </c>
      <c r="T1312" s="79">
        <v>2204.6799999999998</v>
      </c>
      <c r="U1312" s="79">
        <v>0</v>
      </c>
      <c r="V1312" s="189">
        <v>2204.6799999999998</v>
      </c>
      <c r="X1312" s="79">
        <v>2123.4699999999998</v>
      </c>
      <c r="Y1312" s="79">
        <v>81.209999999999994</v>
      </c>
      <c r="Z1312" s="79">
        <v>2204.6799999999998</v>
      </c>
      <c r="AA1312" s="255">
        <v>-9.9999999997635314E-3</v>
      </c>
      <c r="AC1312" s="254"/>
    </row>
    <row r="1313" spans="1:31" ht="12">
      <c r="A1313" s="67" t="s">
        <v>13031</v>
      </c>
      <c r="B1313" s="65" t="s">
        <v>13032</v>
      </c>
      <c r="C1313" s="71" t="s">
        <v>509</v>
      </c>
      <c r="D1313" s="78">
        <v>1</v>
      </c>
      <c r="E1313" s="79">
        <v>1094.08</v>
      </c>
      <c r="F1313" s="70">
        <v>1094.08</v>
      </c>
      <c r="G1313" s="320"/>
      <c r="H1313" s="79">
        <v>998.31000000000006</v>
      </c>
      <c r="I1313" s="79">
        <v>95.77000000000001</v>
      </c>
      <c r="J1313" s="79">
        <v>1094.0800000000002</v>
      </c>
      <c r="K1313" s="79">
        <v>0</v>
      </c>
      <c r="L1313" s="70">
        <v>1094.0800000000002</v>
      </c>
      <c r="M1313" s="132"/>
      <c r="N1313" s="79">
        <v>998.31000000000006</v>
      </c>
      <c r="O1313" s="79">
        <v>95.77000000000001</v>
      </c>
      <c r="P1313" s="79">
        <v>1094.0800000000002</v>
      </c>
      <c r="Q1313" s="136"/>
      <c r="R1313" s="79">
        <v>998.31</v>
      </c>
      <c r="S1313" s="79">
        <v>95.77</v>
      </c>
      <c r="T1313" s="79">
        <v>1094.08</v>
      </c>
      <c r="U1313" s="79">
        <v>0</v>
      </c>
      <c r="V1313" s="189">
        <v>1094.08</v>
      </c>
      <c r="X1313" s="79">
        <v>998.31</v>
      </c>
      <c r="Y1313" s="79">
        <v>95.77</v>
      </c>
      <c r="Z1313" s="79">
        <v>1094.08</v>
      </c>
      <c r="AA1313" s="255">
        <v>0</v>
      </c>
      <c r="AC1313" s="254"/>
    </row>
    <row r="1314" spans="1:31" ht="12">
      <c r="A1314" s="489" t="s">
        <v>13033</v>
      </c>
      <c r="B1314" s="490" t="s">
        <v>13034</v>
      </c>
      <c r="C1314" s="491"/>
      <c r="D1314" s="492"/>
      <c r="E1314" s="79"/>
      <c r="F1314" s="63"/>
      <c r="G1314" s="320"/>
      <c r="H1314" s="79"/>
      <c r="I1314" s="79"/>
      <c r="J1314" s="79"/>
      <c r="K1314" s="79"/>
      <c r="L1314" s="70"/>
      <c r="M1314" s="132"/>
      <c r="N1314" s="79"/>
      <c r="O1314" s="79"/>
      <c r="P1314" s="79"/>
      <c r="Q1314" s="136"/>
      <c r="R1314" s="79"/>
      <c r="S1314" s="79"/>
      <c r="T1314" s="79"/>
      <c r="U1314" s="79"/>
      <c r="V1314" s="189"/>
      <c r="X1314" s="79"/>
      <c r="Y1314" s="79"/>
      <c r="Z1314" s="79"/>
      <c r="AA1314" s="255"/>
      <c r="AC1314" s="254"/>
    </row>
    <row r="1315" spans="1:31" ht="12">
      <c r="A1315" s="67" t="s">
        <v>13035</v>
      </c>
      <c r="B1315" s="65" t="s">
        <v>13036</v>
      </c>
      <c r="C1315" s="71" t="s">
        <v>509</v>
      </c>
      <c r="D1315" s="78">
        <v>1</v>
      </c>
      <c r="E1315" s="79">
        <v>1082.7</v>
      </c>
      <c r="F1315" s="70">
        <v>1082.7</v>
      </c>
      <c r="G1315" s="320"/>
      <c r="H1315" s="79">
        <v>986.93000000000006</v>
      </c>
      <c r="I1315" s="79">
        <v>95.77000000000001</v>
      </c>
      <c r="J1315" s="79">
        <v>1082.7</v>
      </c>
      <c r="K1315" s="79">
        <v>0</v>
      </c>
      <c r="L1315" s="70">
        <v>1082.7</v>
      </c>
      <c r="M1315" s="132"/>
      <c r="N1315" s="79">
        <v>986.93000000000006</v>
      </c>
      <c r="O1315" s="79">
        <v>95.77000000000001</v>
      </c>
      <c r="P1315" s="79">
        <v>1082.7</v>
      </c>
      <c r="Q1315" s="136"/>
      <c r="R1315" s="79">
        <v>986.93</v>
      </c>
      <c r="S1315" s="79">
        <v>95.77</v>
      </c>
      <c r="T1315" s="79">
        <v>1082.7</v>
      </c>
      <c r="U1315" s="79">
        <v>0</v>
      </c>
      <c r="V1315" s="189">
        <v>1082.7</v>
      </c>
      <c r="X1315" s="79">
        <v>986.93</v>
      </c>
      <c r="Y1315" s="79">
        <v>95.77</v>
      </c>
      <c r="Z1315" s="79">
        <v>1082.7</v>
      </c>
      <c r="AA1315" s="255">
        <v>0</v>
      </c>
      <c r="AC1315" s="254"/>
    </row>
    <row r="1316" spans="1:31" ht="12">
      <c r="A1316" s="67" t="s">
        <v>13037</v>
      </c>
      <c r="B1316" s="65" t="s">
        <v>13038</v>
      </c>
      <c r="C1316" s="71" t="s">
        <v>509</v>
      </c>
      <c r="D1316" s="78">
        <v>1</v>
      </c>
      <c r="E1316" s="79">
        <v>957.66000000000008</v>
      </c>
      <c r="F1316" s="70">
        <v>957.66</v>
      </c>
      <c r="G1316" s="320"/>
      <c r="H1316" s="79">
        <v>861.8900000000001</v>
      </c>
      <c r="I1316" s="79">
        <v>95.77000000000001</v>
      </c>
      <c r="J1316" s="79">
        <v>957.66000000000008</v>
      </c>
      <c r="K1316" s="79">
        <v>0</v>
      </c>
      <c r="L1316" s="70">
        <v>957.66000000000008</v>
      </c>
      <c r="M1316" s="132"/>
      <c r="N1316" s="79">
        <v>861.8900000000001</v>
      </c>
      <c r="O1316" s="79">
        <v>95.77000000000001</v>
      </c>
      <c r="P1316" s="79">
        <v>957.66000000000008</v>
      </c>
      <c r="Q1316" s="136"/>
      <c r="R1316" s="79">
        <v>861.89</v>
      </c>
      <c r="S1316" s="79">
        <v>95.77</v>
      </c>
      <c r="T1316" s="79">
        <v>957.66</v>
      </c>
      <c r="U1316" s="79">
        <v>0</v>
      </c>
      <c r="V1316" s="189">
        <v>957.66</v>
      </c>
      <c r="X1316" s="79">
        <v>861.89</v>
      </c>
      <c r="Y1316" s="79">
        <v>95.77</v>
      </c>
      <c r="Z1316" s="79">
        <v>957.66</v>
      </c>
      <c r="AA1316" s="255">
        <v>0</v>
      </c>
      <c r="AC1316" s="254"/>
    </row>
    <row r="1317" spans="1:31" ht="12">
      <c r="A1317" s="67" t="s">
        <v>13039</v>
      </c>
      <c r="B1317" s="65" t="s">
        <v>13040</v>
      </c>
      <c r="C1317" s="71" t="s">
        <v>103</v>
      </c>
      <c r="D1317" s="78">
        <v>1</v>
      </c>
      <c r="E1317" s="79">
        <v>1595.5</v>
      </c>
      <c r="F1317" s="70">
        <v>1595.5</v>
      </c>
      <c r="G1317" s="320"/>
      <c r="H1317" s="79">
        <v>1426.68</v>
      </c>
      <c r="I1317" s="79">
        <v>168.82</v>
      </c>
      <c r="J1317" s="79">
        <v>1595.5</v>
      </c>
      <c r="K1317" s="79">
        <v>0</v>
      </c>
      <c r="L1317" s="70">
        <v>1595.5</v>
      </c>
      <c r="M1317" s="132"/>
      <c r="N1317" s="79">
        <v>1426.68</v>
      </c>
      <c r="O1317" s="79">
        <v>168.82</v>
      </c>
      <c r="P1317" s="79">
        <v>1595.5</v>
      </c>
      <c r="Q1317" s="136"/>
      <c r="R1317" s="79">
        <v>1426.68</v>
      </c>
      <c r="S1317" s="79">
        <v>168.83</v>
      </c>
      <c r="T1317" s="79">
        <v>1595.51</v>
      </c>
      <c r="U1317" s="79">
        <v>0</v>
      </c>
      <c r="V1317" s="189">
        <v>1595.51</v>
      </c>
      <c r="X1317" s="79">
        <v>1426.68</v>
      </c>
      <c r="Y1317" s="79">
        <v>168.83</v>
      </c>
      <c r="Z1317" s="79">
        <v>1595.51</v>
      </c>
      <c r="AA1317" s="255">
        <v>-9.9999999999909051E-3</v>
      </c>
      <c r="AC1317" s="254"/>
    </row>
    <row r="1318" spans="1:31" ht="12">
      <c r="A1318" s="67" t="s">
        <v>13041</v>
      </c>
      <c r="B1318" s="65" t="s">
        <v>13042</v>
      </c>
      <c r="C1318" s="71" t="s">
        <v>103</v>
      </c>
      <c r="D1318" s="78">
        <v>1</v>
      </c>
      <c r="E1318" s="79">
        <v>1659.4499999999998</v>
      </c>
      <c r="F1318" s="70">
        <v>1659.45</v>
      </c>
      <c r="G1318" s="320"/>
      <c r="H1318" s="79">
        <v>1490.6299999999999</v>
      </c>
      <c r="I1318" s="79">
        <v>168.82</v>
      </c>
      <c r="J1318" s="79">
        <v>1659.4499999999998</v>
      </c>
      <c r="K1318" s="79">
        <v>0</v>
      </c>
      <c r="L1318" s="70">
        <v>1659.4499999999998</v>
      </c>
      <c r="M1318" s="132"/>
      <c r="N1318" s="79">
        <v>1490.6299999999999</v>
      </c>
      <c r="O1318" s="79">
        <v>168.82</v>
      </c>
      <c r="P1318" s="79">
        <v>1659.4499999999998</v>
      </c>
      <c r="Q1318" s="136"/>
      <c r="R1318" s="79">
        <v>1490.63</v>
      </c>
      <c r="S1318" s="79">
        <v>168.83</v>
      </c>
      <c r="T1318" s="79">
        <v>1659.46</v>
      </c>
      <c r="U1318" s="79">
        <v>0</v>
      </c>
      <c r="V1318" s="189">
        <v>1659.46</v>
      </c>
      <c r="X1318" s="79">
        <v>1490.63</v>
      </c>
      <c r="Y1318" s="79">
        <v>168.83</v>
      </c>
      <c r="Z1318" s="79">
        <v>1659.46</v>
      </c>
      <c r="AA1318" s="255">
        <v>-9.9999999999909051E-3</v>
      </c>
      <c r="AC1318" s="254"/>
    </row>
    <row r="1319" spans="1:31" ht="12">
      <c r="A1319" s="67" t="s">
        <v>13043</v>
      </c>
      <c r="B1319" s="65" t="s">
        <v>13044</v>
      </c>
      <c r="C1319" s="71" t="s">
        <v>509</v>
      </c>
      <c r="D1319" s="78">
        <v>1</v>
      </c>
      <c r="E1319" s="79">
        <v>1247.81</v>
      </c>
      <c r="F1319" s="70">
        <v>1247.81</v>
      </c>
      <c r="G1319" s="320"/>
      <c r="H1319" s="79">
        <v>1152.04</v>
      </c>
      <c r="I1319" s="79">
        <v>95.77000000000001</v>
      </c>
      <c r="J1319" s="79">
        <v>1247.81</v>
      </c>
      <c r="K1319" s="79">
        <v>0</v>
      </c>
      <c r="L1319" s="70">
        <v>1247.81</v>
      </c>
      <c r="M1319" s="132"/>
      <c r="N1319" s="79">
        <v>1152.04</v>
      </c>
      <c r="O1319" s="79">
        <v>95.77000000000001</v>
      </c>
      <c r="P1319" s="79">
        <v>1247.81</v>
      </c>
      <c r="Q1319" s="136"/>
      <c r="R1319" s="79">
        <v>1152.04</v>
      </c>
      <c r="S1319" s="79">
        <v>95.77</v>
      </c>
      <c r="T1319" s="79">
        <v>1247.81</v>
      </c>
      <c r="U1319" s="79">
        <v>0</v>
      </c>
      <c r="V1319" s="189">
        <v>1247.81</v>
      </c>
      <c r="X1319" s="79">
        <v>1152.04</v>
      </c>
      <c r="Y1319" s="79">
        <v>95.77</v>
      </c>
      <c r="Z1319" s="79">
        <v>1247.81</v>
      </c>
      <c r="AA1319" s="255">
        <v>0</v>
      </c>
      <c r="AC1319" s="254"/>
    </row>
    <row r="1320" spans="1:31" ht="12">
      <c r="A1320" s="67" t="s">
        <v>13045</v>
      </c>
      <c r="B1320" s="65" t="s">
        <v>13046</v>
      </c>
      <c r="C1320" s="71" t="s">
        <v>103</v>
      </c>
      <c r="D1320" s="78">
        <v>1</v>
      </c>
      <c r="E1320" s="79">
        <v>2747.69</v>
      </c>
      <c r="F1320" s="70">
        <v>2747.69</v>
      </c>
      <c r="G1320" s="320"/>
      <c r="H1320" s="79">
        <v>2578.8700000000003</v>
      </c>
      <c r="I1320" s="79">
        <v>168.82</v>
      </c>
      <c r="J1320" s="79">
        <v>2747.6900000000005</v>
      </c>
      <c r="K1320" s="79">
        <v>0</v>
      </c>
      <c r="L1320" s="70">
        <v>2747.6900000000005</v>
      </c>
      <c r="M1320" s="132"/>
      <c r="N1320" s="79">
        <v>2578.8700000000003</v>
      </c>
      <c r="O1320" s="79">
        <v>168.82</v>
      </c>
      <c r="P1320" s="79">
        <v>2747.6900000000005</v>
      </c>
      <c r="Q1320" s="136"/>
      <c r="R1320" s="79">
        <v>2578.87</v>
      </c>
      <c r="S1320" s="79">
        <v>168.83</v>
      </c>
      <c r="T1320" s="79">
        <v>2747.7</v>
      </c>
      <c r="U1320" s="79">
        <v>0</v>
      </c>
      <c r="V1320" s="189">
        <v>2747.7</v>
      </c>
      <c r="X1320" s="79">
        <v>2578.87</v>
      </c>
      <c r="Y1320" s="79">
        <v>168.83</v>
      </c>
      <c r="Z1320" s="79">
        <v>2747.7</v>
      </c>
      <c r="AA1320" s="255">
        <v>-9.9999999997635314E-3</v>
      </c>
      <c r="AC1320" s="254"/>
    </row>
    <row r="1321" spans="1:31" ht="12">
      <c r="A1321" s="67" t="s">
        <v>13047</v>
      </c>
      <c r="B1321" s="65" t="s">
        <v>13048</v>
      </c>
      <c r="C1321" s="71" t="s">
        <v>103</v>
      </c>
      <c r="D1321" s="78">
        <v>1</v>
      </c>
      <c r="E1321" s="79">
        <v>2615.31</v>
      </c>
      <c r="F1321" s="70">
        <v>2615.31</v>
      </c>
      <c r="G1321" s="320"/>
      <c r="H1321" s="79">
        <v>2446.4900000000002</v>
      </c>
      <c r="I1321" s="79">
        <v>168.82</v>
      </c>
      <c r="J1321" s="79">
        <v>2615.3100000000004</v>
      </c>
      <c r="K1321" s="79">
        <v>0</v>
      </c>
      <c r="L1321" s="70">
        <v>2615.3100000000004</v>
      </c>
      <c r="M1321" s="132"/>
      <c r="N1321" s="79">
        <v>2446.4900000000002</v>
      </c>
      <c r="O1321" s="79">
        <v>168.82</v>
      </c>
      <c r="P1321" s="79">
        <v>2615.3100000000004</v>
      </c>
      <c r="Q1321" s="136"/>
      <c r="R1321" s="79">
        <v>2446.4899999999998</v>
      </c>
      <c r="S1321" s="79">
        <v>168.83</v>
      </c>
      <c r="T1321" s="79">
        <v>2615.3199999999997</v>
      </c>
      <c r="U1321" s="79">
        <v>0</v>
      </c>
      <c r="V1321" s="189">
        <v>2615.3199999999997</v>
      </c>
      <c r="X1321" s="79">
        <v>2446.4899999999998</v>
      </c>
      <c r="Y1321" s="79">
        <v>168.83</v>
      </c>
      <c r="Z1321" s="79">
        <v>2615.3200000000002</v>
      </c>
      <c r="AA1321" s="255">
        <v>-1.0000000000218279E-2</v>
      </c>
      <c r="AC1321" s="254"/>
    </row>
    <row r="1322" spans="1:31" ht="12">
      <c r="A1322" s="67" t="s">
        <v>13049</v>
      </c>
      <c r="B1322" s="65" t="s">
        <v>13050</v>
      </c>
      <c r="C1322" s="71" t="s">
        <v>509</v>
      </c>
      <c r="D1322" s="78">
        <v>1</v>
      </c>
      <c r="E1322" s="79">
        <v>1062.5999999999999</v>
      </c>
      <c r="F1322" s="70">
        <v>1062.5999999999999</v>
      </c>
      <c r="G1322" s="320"/>
      <c r="H1322" s="79">
        <v>966.83</v>
      </c>
      <c r="I1322" s="79">
        <v>95.77000000000001</v>
      </c>
      <c r="J1322" s="79">
        <v>1062.6000000000001</v>
      </c>
      <c r="K1322" s="79">
        <v>0</v>
      </c>
      <c r="L1322" s="70">
        <v>1062.6000000000001</v>
      </c>
      <c r="M1322" s="132"/>
      <c r="N1322" s="79">
        <v>966.83</v>
      </c>
      <c r="O1322" s="79">
        <v>95.77000000000001</v>
      </c>
      <c r="P1322" s="79">
        <v>1062.6000000000001</v>
      </c>
      <c r="Q1322" s="136"/>
      <c r="R1322" s="79">
        <v>966.83</v>
      </c>
      <c r="S1322" s="79">
        <v>95.77</v>
      </c>
      <c r="T1322" s="79">
        <v>1062.6000000000001</v>
      </c>
      <c r="U1322" s="79">
        <v>0</v>
      </c>
      <c r="V1322" s="189">
        <v>1062.6000000000001</v>
      </c>
      <c r="X1322" s="79">
        <v>966.83</v>
      </c>
      <c r="Y1322" s="79">
        <v>95.77</v>
      </c>
      <c r="Z1322" s="79">
        <v>1062.5999999999999</v>
      </c>
      <c r="AA1322" s="255">
        <v>0</v>
      </c>
      <c r="AC1322" s="254"/>
    </row>
    <row r="1323" spans="1:31" ht="12">
      <c r="A1323" s="67" t="s">
        <v>13051</v>
      </c>
      <c r="B1323" s="65" t="s">
        <v>13052</v>
      </c>
      <c r="C1323" s="71" t="s">
        <v>509</v>
      </c>
      <c r="D1323" s="78">
        <v>1</v>
      </c>
      <c r="E1323" s="79">
        <v>414.5</v>
      </c>
      <c r="F1323" s="70">
        <v>414.5</v>
      </c>
      <c r="G1323" s="320"/>
      <c r="H1323" s="79">
        <v>318.73</v>
      </c>
      <c r="I1323" s="79">
        <v>95.77000000000001</v>
      </c>
      <c r="J1323" s="79">
        <v>414.5</v>
      </c>
      <c r="K1323" s="79">
        <v>0</v>
      </c>
      <c r="L1323" s="70">
        <v>414.5</v>
      </c>
      <c r="M1323" s="132"/>
      <c r="N1323" s="79">
        <v>318.73</v>
      </c>
      <c r="O1323" s="79">
        <v>95.77000000000001</v>
      </c>
      <c r="P1323" s="79">
        <v>414.5</v>
      </c>
      <c r="Q1323" s="136"/>
      <c r="R1323" s="79">
        <v>318.73</v>
      </c>
      <c r="S1323" s="79">
        <v>95.77</v>
      </c>
      <c r="T1323" s="79">
        <v>414.5</v>
      </c>
      <c r="U1323" s="79">
        <v>0</v>
      </c>
      <c r="V1323" s="189">
        <v>414.5</v>
      </c>
      <c r="X1323" s="79">
        <v>318.73</v>
      </c>
      <c r="Y1323" s="79">
        <v>95.77</v>
      </c>
      <c r="Z1323" s="79">
        <v>414.5</v>
      </c>
      <c r="AA1323" s="255">
        <v>0</v>
      </c>
      <c r="AC1323" s="254"/>
    </row>
    <row r="1324" spans="1:31" ht="12">
      <c r="A1324" s="67" t="s">
        <v>13053</v>
      </c>
      <c r="B1324" s="65" t="s">
        <v>40950</v>
      </c>
      <c r="C1324" s="71" t="s">
        <v>509</v>
      </c>
      <c r="D1324" s="78">
        <v>1</v>
      </c>
      <c r="E1324" s="79">
        <v>1690.72</v>
      </c>
      <c r="F1324" s="70">
        <v>1690.72</v>
      </c>
      <c r="G1324" s="320"/>
      <c r="H1324" s="79">
        <v>1594.95</v>
      </c>
      <c r="I1324" s="79">
        <v>95.77000000000001</v>
      </c>
      <c r="J1324" s="79">
        <v>1690.72</v>
      </c>
      <c r="K1324" s="79">
        <v>0</v>
      </c>
      <c r="L1324" s="70">
        <v>1690.72</v>
      </c>
      <c r="M1324" s="132"/>
      <c r="N1324" s="79">
        <v>1594.95</v>
      </c>
      <c r="O1324" s="79">
        <v>95.77000000000001</v>
      </c>
      <c r="P1324" s="79">
        <v>1690.72</v>
      </c>
      <c r="Q1324" s="136"/>
      <c r="R1324" s="79">
        <v>1594.95</v>
      </c>
      <c r="S1324" s="79">
        <v>95.77</v>
      </c>
      <c r="T1324" s="79">
        <v>1690.72</v>
      </c>
      <c r="U1324" s="79">
        <v>0</v>
      </c>
      <c r="V1324" s="189">
        <v>1690.72</v>
      </c>
      <c r="X1324" s="79">
        <v>1594.95</v>
      </c>
      <c r="Y1324" s="79">
        <v>95.77</v>
      </c>
      <c r="Z1324" s="79">
        <v>1690.72</v>
      </c>
      <c r="AA1324" s="255">
        <v>0</v>
      </c>
      <c r="AC1324" s="254"/>
    </row>
    <row r="1325" spans="1:31" ht="12">
      <c r="A1325" s="67" t="s">
        <v>13054</v>
      </c>
      <c r="B1325" s="65" t="s">
        <v>13055</v>
      </c>
      <c r="C1325" s="71" t="s">
        <v>509</v>
      </c>
      <c r="D1325" s="78">
        <v>1</v>
      </c>
      <c r="E1325" s="79">
        <v>1048.94</v>
      </c>
      <c r="F1325" s="70">
        <v>1048.94</v>
      </c>
      <c r="G1325" s="320"/>
      <c r="H1325" s="79">
        <v>975.88</v>
      </c>
      <c r="I1325" s="79">
        <v>73.06</v>
      </c>
      <c r="J1325" s="79">
        <v>1048.94</v>
      </c>
      <c r="K1325" s="79">
        <v>0</v>
      </c>
      <c r="L1325" s="70">
        <v>1048.94</v>
      </c>
      <c r="M1325" s="132"/>
      <c r="N1325" s="79">
        <v>975.88</v>
      </c>
      <c r="O1325" s="79">
        <v>73.06</v>
      </c>
      <c r="P1325" s="79">
        <v>1048.94</v>
      </c>
      <c r="Q1325" s="136"/>
      <c r="R1325" s="79">
        <v>975.88</v>
      </c>
      <c r="S1325" s="79">
        <v>73.06</v>
      </c>
      <c r="T1325" s="79">
        <v>1048.94</v>
      </c>
      <c r="U1325" s="79">
        <v>0</v>
      </c>
      <c r="V1325" s="189">
        <v>1048.94</v>
      </c>
      <c r="X1325" s="79">
        <v>975.88</v>
      </c>
      <c r="Y1325" s="79">
        <v>73.06</v>
      </c>
      <c r="Z1325" s="79">
        <v>1048.94</v>
      </c>
      <c r="AA1325" s="255">
        <v>0</v>
      </c>
      <c r="AC1325" s="254"/>
    </row>
    <row r="1326" spans="1:31" ht="12">
      <c r="A1326" s="67" t="s">
        <v>13056</v>
      </c>
      <c r="B1326" s="65" t="s">
        <v>13057</v>
      </c>
      <c r="C1326" s="71" t="s">
        <v>509</v>
      </c>
      <c r="D1326" s="78">
        <v>1</v>
      </c>
      <c r="E1326" s="79">
        <v>879.29000000000008</v>
      </c>
      <c r="F1326" s="70">
        <v>879.29</v>
      </c>
      <c r="G1326" s="320"/>
      <c r="H1326" s="79">
        <v>783.5200000000001</v>
      </c>
      <c r="I1326" s="79">
        <v>95.77000000000001</v>
      </c>
      <c r="J1326" s="79">
        <v>879.29000000000008</v>
      </c>
      <c r="K1326" s="79">
        <v>0</v>
      </c>
      <c r="L1326" s="70">
        <v>879.29000000000008</v>
      </c>
      <c r="M1326" s="132"/>
      <c r="N1326" s="79">
        <v>783.5200000000001</v>
      </c>
      <c r="O1326" s="79">
        <v>95.77000000000001</v>
      </c>
      <c r="P1326" s="79">
        <v>879.29000000000008</v>
      </c>
      <c r="Q1326" s="136"/>
      <c r="R1326" s="79">
        <v>783.52</v>
      </c>
      <c r="S1326" s="79">
        <v>95.77</v>
      </c>
      <c r="T1326" s="79">
        <v>879.29</v>
      </c>
      <c r="U1326" s="79">
        <v>0</v>
      </c>
      <c r="V1326" s="189">
        <v>879.29</v>
      </c>
      <c r="X1326" s="79">
        <v>783.52</v>
      </c>
      <c r="Y1326" s="79">
        <v>95.77</v>
      </c>
      <c r="Z1326" s="79">
        <v>879.29</v>
      </c>
      <c r="AA1326" s="255">
        <v>0</v>
      </c>
      <c r="AC1326" s="254"/>
    </row>
    <row r="1327" spans="1:31" ht="12">
      <c r="A1327" s="67" t="s">
        <v>13058</v>
      </c>
      <c r="B1327" s="65" t="s">
        <v>13059</v>
      </c>
      <c r="C1327" s="71" t="s">
        <v>509</v>
      </c>
      <c r="D1327" s="78">
        <v>1</v>
      </c>
      <c r="E1327" s="79">
        <v>796.06</v>
      </c>
      <c r="F1327" s="70">
        <v>796.06</v>
      </c>
      <c r="G1327" s="320"/>
      <c r="H1327" s="79">
        <v>700.29</v>
      </c>
      <c r="I1327" s="79">
        <v>95.77000000000001</v>
      </c>
      <c r="J1327" s="79">
        <v>796.06</v>
      </c>
      <c r="K1327" s="79">
        <v>0</v>
      </c>
      <c r="L1327" s="70">
        <v>796.06</v>
      </c>
      <c r="M1327" s="132"/>
      <c r="N1327" s="79">
        <v>700.29</v>
      </c>
      <c r="O1327" s="79">
        <v>95.77000000000001</v>
      </c>
      <c r="P1327" s="79">
        <v>796.06</v>
      </c>
      <c r="Q1327" s="136"/>
      <c r="R1327" s="79">
        <v>700.35</v>
      </c>
      <c r="S1327" s="79">
        <v>95.77</v>
      </c>
      <c r="T1327" s="79">
        <v>796.12</v>
      </c>
      <c r="U1327" s="79">
        <v>0</v>
      </c>
      <c r="V1327" s="189">
        <v>796.12</v>
      </c>
      <c r="X1327" s="79">
        <v>700.35</v>
      </c>
      <c r="Y1327" s="79">
        <v>95.77</v>
      </c>
      <c r="Z1327" s="79">
        <v>796.12</v>
      </c>
      <c r="AA1327" s="255">
        <v>-6.0000000000059117E-2</v>
      </c>
      <c r="AC1327" s="254"/>
      <c r="AD1327" s="61"/>
      <c r="AE1327" s="61"/>
    </row>
    <row r="1328" spans="1:31" ht="12">
      <c r="A1328" s="67" t="s">
        <v>13060</v>
      </c>
      <c r="B1328" s="65" t="s">
        <v>13061</v>
      </c>
      <c r="C1328" s="71" t="s">
        <v>509</v>
      </c>
      <c r="D1328" s="78">
        <v>1</v>
      </c>
      <c r="E1328" s="79">
        <v>1396.61</v>
      </c>
      <c r="F1328" s="70">
        <v>1396.61</v>
      </c>
      <c r="G1328" s="320"/>
      <c r="H1328" s="79">
        <v>1300.8399999999999</v>
      </c>
      <c r="I1328" s="79">
        <v>95.77000000000001</v>
      </c>
      <c r="J1328" s="79">
        <v>1396.61</v>
      </c>
      <c r="K1328" s="79">
        <v>0</v>
      </c>
      <c r="L1328" s="70">
        <v>1396.61</v>
      </c>
      <c r="M1328" s="132"/>
      <c r="N1328" s="79">
        <v>1300.8399999999999</v>
      </c>
      <c r="O1328" s="79">
        <v>95.77000000000001</v>
      </c>
      <c r="P1328" s="79">
        <v>1396.61</v>
      </c>
      <c r="Q1328" s="136"/>
      <c r="R1328" s="79">
        <v>1300.9000000000001</v>
      </c>
      <c r="S1328" s="79">
        <v>95.77</v>
      </c>
      <c r="T1328" s="79">
        <v>1396.67</v>
      </c>
      <c r="U1328" s="79">
        <v>0</v>
      </c>
      <c r="V1328" s="189">
        <v>1396.67</v>
      </c>
      <c r="X1328" s="79">
        <v>1300.9000000000001</v>
      </c>
      <c r="Y1328" s="79">
        <v>95.77</v>
      </c>
      <c r="Z1328" s="79">
        <v>1396.67</v>
      </c>
      <c r="AA1328" s="255">
        <v>-6.0000000000172804E-2</v>
      </c>
      <c r="AC1328" s="254"/>
      <c r="AD1328" s="61"/>
      <c r="AE1328" s="61"/>
    </row>
    <row r="1329" spans="1:31" s="61" customFormat="1" ht="12">
      <c r="A1329" s="67" t="s">
        <v>13062</v>
      </c>
      <c r="B1329" s="65" t="s">
        <v>13063</v>
      </c>
      <c r="C1329" s="71" t="s">
        <v>509</v>
      </c>
      <c r="D1329" s="78">
        <v>1</v>
      </c>
      <c r="E1329" s="79">
        <v>1523.53</v>
      </c>
      <c r="F1329" s="70">
        <v>1523.53</v>
      </c>
      <c r="G1329" s="320"/>
      <c r="H1329" s="79">
        <v>1427.76</v>
      </c>
      <c r="I1329" s="79">
        <v>95.77000000000001</v>
      </c>
      <c r="J1329" s="79">
        <v>1523.53</v>
      </c>
      <c r="K1329" s="79">
        <v>0</v>
      </c>
      <c r="L1329" s="70">
        <v>1523.53</v>
      </c>
      <c r="M1329" s="132"/>
      <c r="N1329" s="79">
        <v>1427.76</v>
      </c>
      <c r="O1329" s="79">
        <v>95.77000000000001</v>
      </c>
      <c r="P1329" s="79">
        <v>1523.53</v>
      </c>
      <c r="Q1329" s="136"/>
      <c r="R1329" s="79">
        <v>1427.82</v>
      </c>
      <c r="S1329" s="79">
        <v>95.77</v>
      </c>
      <c r="T1329" s="79">
        <v>1523.59</v>
      </c>
      <c r="U1329" s="79">
        <v>0</v>
      </c>
      <c r="V1329" s="189">
        <v>1523.59</v>
      </c>
      <c r="X1329" s="79">
        <v>1427.82</v>
      </c>
      <c r="Y1329" s="79">
        <v>95.77</v>
      </c>
      <c r="Z1329" s="79">
        <v>1523.59</v>
      </c>
      <c r="AA1329" s="255">
        <v>-5.999999999994543E-2</v>
      </c>
      <c r="AC1329" s="254"/>
    </row>
    <row r="1330" spans="1:31" s="61" customFormat="1" ht="24">
      <c r="A1330" s="67" t="s">
        <v>13064</v>
      </c>
      <c r="B1330" s="65" t="s">
        <v>13065</v>
      </c>
      <c r="C1330" s="71" t="s">
        <v>509</v>
      </c>
      <c r="D1330" s="78">
        <v>1</v>
      </c>
      <c r="E1330" s="79">
        <v>937.69999999999993</v>
      </c>
      <c r="F1330" s="70">
        <v>937.7</v>
      </c>
      <c r="G1330" s="320"/>
      <c r="H1330" s="79">
        <v>841.93</v>
      </c>
      <c r="I1330" s="79">
        <v>95.77000000000001</v>
      </c>
      <c r="J1330" s="79">
        <v>937.69999999999993</v>
      </c>
      <c r="K1330" s="79">
        <v>0</v>
      </c>
      <c r="L1330" s="70">
        <v>937.69999999999993</v>
      </c>
      <c r="M1330" s="132"/>
      <c r="N1330" s="79">
        <v>841.93</v>
      </c>
      <c r="O1330" s="79">
        <v>95.77000000000001</v>
      </c>
      <c r="P1330" s="79">
        <v>937.69999999999993</v>
      </c>
      <c r="Q1330" s="136"/>
      <c r="R1330" s="79">
        <v>841.99</v>
      </c>
      <c r="S1330" s="79">
        <v>95.77</v>
      </c>
      <c r="T1330" s="79">
        <v>937.76</v>
      </c>
      <c r="U1330" s="79">
        <v>0</v>
      </c>
      <c r="V1330" s="189">
        <v>937.76</v>
      </c>
      <c r="X1330" s="79">
        <v>841.99</v>
      </c>
      <c r="Y1330" s="79">
        <v>95.77</v>
      </c>
      <c r="Z1330" s="79">
        <v>937.76</v>
      </c>
      <c r="AA1330" s="255">
        <v>-5.999999999994543E-2</v>
      </c>
      <c r="AC1330" s="254"/>
    </row>
    <row r="1331" spans="1:31" s="61" customFormat="1" ht="12">
      <c r="A1331" s="67" t="s">
        <v>13066</v>
      </c>
      <c r="B1331" s="65" t="s">
        <v>1433</v>
      </c>
      <c r="C1331" s="71" t="s">
        <v>509</v>
      </c>
      <c r="D1331" s="78">
        <v>1</v>
      </c>
      <c r="E1331" s="79">
        <v>1560.5400000000002</v>
      </c>
      <c r="F1331" s="70">
        <v>1560.54</v>
      </c>
      <c r="G1331" s="320"/>
      <c r="H1331" s="79">
        <v>1496.91</v>
      </c>
      <c r="I1331" s="79">
        <v>63.63</v>
      </c>
      <c r="J1331" s="79">
        <v>1560.5400000000002</v>
      </c>
      <c r="K1331" s="79">
        <v>0</v>
      </c>
      <c r="L1331" s="70">
        <v>1560.5400000000002</v>
      </c>
      <c r="M1331" s="132"/>
      <c r="N1331" s="79">
        <v>1496.91</v>
      </c>
      <c r="O1331" s="79">
        <v>63.63</v>
      </c>
      <c r="P1331" s="79">
        <v>1560.5400000000002</v>
      </c>
      <c r="Q1331" s="136"/>
      <c r="R1331" s="79">
        <v>1496.91</v>
      </c>
      <c r="S1331" s="79">
        <v>63.64</v>
      </c>
      <c r="T1331" s="79">
        <v>1560.5500000000002</v>
      </c>
      <c r="U1331" s="79">
        <v>0</v>
      </c>
      <c r="V1331" s="189">
        <v>1560.5500000000002</v>
      </c>
      <c r="X1331" s="79">
        <v>1496.91</v>
      </c>
      <c r="Y1331" s="79">
        <v>63.64</v>
      </c>
      <c r="Z1331" s="79">
        <v>1560.55</v>
      </c>
      <c r="AA1331" s="255">
        <v>-9.9999999999909051E-3</v>
      </c>
      <c r="AC1331" s="254"/>
      <c r="AD1331" s="236"/>
      <c r="AE1331" s="236"/>
    </row>
    <row r="1332" spans="1:31" s="61" customFormat="1" ht="12">
      <c r="A1332" s="67" t="s">
        <v>13067</v>
      </c>
      <c r="B1332" s="65" t="s">
        <v>13068</v>
      </c>
      <c r="C1332" s="71" t="s">
        <v>509</v>
      </c>
      <c r="D1332" s="78">
        <v>1</v>
      </c>
      <c r="E1332" s="79">
        <v>1333.6599999999999</v>
      </c>
      <c r="F1332" s="70">
        <v>1333.66</v>
      </c>
      <c r="G1332" s="320"/>
      <c r="H1332" s="79">
        <v>1260.5999999999999</v>
      </c>
      <c r="I1332" s="79">
        <v>73.06</v>
      </c>
      <c r="J1332" s="79">
        <v>1333.6599999999999</v>
      </c>
      <c r="K1332" s="79">
        <v>0</v>
      </c>
      <c r="L1332" s="70">
        <v>1333.6599999999999</v>
      </c>
      <c r="M1332" s="132"/>
      <c r="N1332" s="79">
        <v>1260.5999999999999</v>
      </c>
      <c r="O1332" s="79">
        <v>73.06</v>
      </c>
      <c r="P1332" s="79">
        <v>1333.6599999999999</v>
      </c>
      <c r="Q1332" s="136"/>
      <c r="R1332" s="79">
        <v>1260.5999999999999</v>
      </c>
      <c r="S1332" s="79">
        <v>73.06</v>
      </c>
      <c r="T1332" s="79">
        <v>1333.6599999999999</v>
      </c>
      <c r="U1332" s="79">
        <v>0</v>
      </c>
      <c r="V1332" s="189">
        <v>1333.6599999999999</v>
      </c>
      <c r="X1332" s="79">
        <v>1260.5999999999999</v>
      </c>
      <c r="Y1332" s="79">
        <v>73.06</v>
      </c>
      <c r="Z1332" s="79">
        <v>1333.66</v>
      </c>
      <c r="AA1332" s="255">
        <v>0</v>
      </c>
      <c r="AC1332" s="254"/>
      <c r="AD1332" s="236"/>
      <c r="AE1332" s="236"/>
    </row>
    <row r="1333" spans="1:31" ht="12">
      <c r="A1333" s="67" t="s">
        <v>13069</v>
      </c>
      <c r="B1333" s="65" t="s">
        <v>13070</v>
      </c>
      <c r="C1333" s="71" t="s">
        <v>509</v>
      </c>
      <c r="D1333" s="78">
        <v>1</v>
      </c>
      <c r="E1333" s="79">
        <v>2100</v>
      </c>
      <c r="F1333" s="70">
        <v>2100</v>
      </c>
      <c r="G1333" s="320"/>
      <c r="H1333" s="79">
        <v>2036.37</v>
      </c>
      <c r="I1333" s="79">
        <v>63.63</v>
      </c>
      <c r="J1333" s="79">
        <v>2100</v>
      </c>
      <c r="K1333" s="79">
        <v>0</v>
      </c>
      <c r="L1333" s="70">
        <v>2100</v>
      </c>
      <c r="M1333" s="132"/>
      <c r="N1333" s="79">
        <v>2036.37</v>
      </c>
      <c r="O1333" s="79">
        <v>63.63</v>
      </c>
      <c r="P1333" s="79">
        <v>2100</v>
      </c>
      <c r="Q1333" s="136"/>
      <c r="R1333" s="79">
        <v>2036.37</v>
      </c>
      <c r="S1333" s="79">
        <v>63.64</v>
      </c>
      <c r="T1333" s="79">
        <v>2100.0099999999998</v>
      </c>
      <c r="U1333" s="79">
        <v>0</v>
      </c>
      <c r="V1333" s="189">
        <v>2100.0099999999998</v>
      </c>
      <c r="X1333" s="79">
        <v>2036.37</v>
      </c>
      <c r="Y1333" s="79">
        <v>63.64</v>
      </c>
      <c r="Z1333" s="79">
        <v>2100.0100000000002</v>
      </c>
      <c r="AA1333" s="255">
        <v>-1.0000000000218279E-2</v>
      </c>
      <c r="AC1333" s="254"/>
    </row>
    <row r="1334" spans="1:31" ht="12">
      <c r="A1334" s="67" t="s">
        <v>13071</v>
      </c>
      <c r="B1334" s="65" t="s">
        <v>13072</v>
      </c>
      <c r="C1334" s="71" t="s">
        <v>509</v>
      </c>
      <c r="D1334" s="78">
        <v>1</v>
      </c>
      <c r="E1334" s="79">
        <v>1519.95</v>
      </c>
      <c r="F1334" s="70">
        <v>1519.95</v>
      </c>
      <c r="G1334" s="320"/>
      <c r="H1334" s="79">
        <v>1456.32</v>
      </c>
      <c r="I1334" s="79">
        <v>63.63</v>
      </c>
      <c r="J1334" s="79">
        <v>1519.95</v>
      </c>
      <c r="K1334" s="79">
        <v>0</v>
      </c>
      <c r="L1334" s="70">
        <v>1519.95</v>
      </c>
      <c r="M1334" s="132"/>
      <c r="N1334" s="79">
        <v>1456.32</v>
      </c>
      <c r="O1334" s="79">
        <v>63.63</v>
      </c>
      <c r="P1334" s="79">
        <v>1519.95</v>
      </c>
      <c r="Q1334" s="136"/>
      <c r="R1334" s="79">
        <v>1456.32</v>
      </c>
      <c r="S1334" s="79">
        <v>63.64</v>
      </c>
      <c r="T1334" s="79">
        <v>1519.96</v>
      </c>
      <c r="U1334" s="79">
        <v>0</v>
      </c>
      <c r="V1334" s="189">
        <v>1519.96</v>
      </c>
      <c r="X1334" s="79">
        <v>1456.32</v>
      </c>
      <c r="Y1334" s="79">
        <v>63.64</v>
      </c>
      <c r="Z1334" s="79">
        <v>1519.96</v>
      </c>
      <c r="AA1334" s="255">
        <v>-9.9999999999909051E-3</v>
      </c>
      <c r="AC1334" s="254"/>
    </row>
    <row r="1335" spans="1:31" ht="12">
      <c r="A1335" s="67" t="s">
        <v>13073</v>
      </c>
      <c r="B1335" s="65" t="s">
        <v>13074</v>
      </c>
      <c r="C1335" s="71" t="s">
        <v>509</v>
      </c>
      <c r="D1335" s="78">
        <v>1</v>
      </c>
      <c r="E1335" s="79">
        <v>1889.18</v>
      </c>
      <c r="F1335" s="70">
        <v>1889.18</v>
      </c>
      <c r="G1335" s="320"/>
      <c r="H1335" s="79">
        <v>1857.23</v>
      </c>
      <c r="I1335" s="79">
        <v>31.95</v>
      </c>
      <c r="J1335" s="79">
        <v>1889.18</v>
      </c>
      <c r="K1335" s="79">
        <v>0</v>
      </c>
      <c r="L1335" s="70">
        <v>1889.18</v>
      </c>
      <c r="M1335" s="132"/>
      <c r="N1335" s="79">
        <v>1857.23</v>
      </c>
      <c r="O1335" s="79">
        <v>31.95</v>
      </c>
      <c r="P1335" s="79">
        <v>1889.18</v>
      </c>
      <c r="Q1335" s="136"/>
      <c r="R1335" s="79">
        <v>1857.23</v>
      </c>
      <c r="S1335" s="79">
        <v>31.96</v>
      </c>
      <c r="T1335" s="79">
        <v>1889.19</v>
      </c>
      <c r="U1335" s="79">
        <v>0</v>
      </c>
      <c r="V1335" s="189">
        <v>1889.19</v>
      </c>
      <c r="X1335" s="79">
        <v>1857.23</v>
      </c>
      <c r="Y1335" s="79">
        <v>31.96</v>
      </c>
      <c r="Z1335" s="79">
        <v>1889.19</v>
      </c>
      <c r="AA1335" s="255">
        <v>-9.9999999999909051E-3</v>
      </c>
      <c r="AC1335" s="254"/>
    </row>
    <row r="1336" spans="1:31" ht="12">
      <c r="A1336" s="67" t="s">
        <v>13075</v>
      </c>
      <c r="B1336" s="65" t="s">
        <v>13076</v>
      </c>
      <c r="C1336" s="71" t="s">
        <v>509</v>
      </c>
      <c r="D1336" s="78">
        <v>1</v>
      </c>
      <c r="E1336" s="79">
        <v>340.31</v>
      </c>
      <c r="F1336" s="70">
        <v>340.31</v>
      </c>
      <c r="G1336" s="320"/>
      <c r="H1336" s="79">
        <v>289.96000000000004</v>
      </c>
      <c r="I1336" s="79">
        <v>50.349999999999994</v>
      </c>
      <c r="J1336" s="79">
        <v>340.31000000000006</v>
      </c>
      <c r="K1336" s="79">
        <v>0</v>
      </c>
      <c r="L1336" s="70">
        <v>340.31000000000006</v>
      </c>
      <c r="M1336" s="132"/>
      <c r="N1336" s="79">
        <v>289.96000000000004</v>
      </c>
      <c r="O1336" s="79">
        <v>50.349999999999994</v>
      </c>
      <c r="P1336" s="79">
        <v>340.31000000000006</v>
      </c>
      <c r="Q1336" s="136"/>
      <c r="R1336" s="79">
        <v>289.95999999999998</v>
      </c>
      <c r="S1336" s="79">
        <v>50.35</v>
      </c>
      <c r="T1336" s="79">
        <v>340.31</v>
      </c>
      <c r="U1336" s="79">
        <v>0</v>
      </c>
      <c r="V1336" s="189">
        <v>340.31</v>
      </c>
      <c r="X1336" s="79">
        <v>289.95999999999998</v>
      </c>
      <c r="Y1336" s="79">
        <v>50.35</v>
      </c>
      <c r="Z1336" s="79">
        <v>340.31</v>
      </c>
      <c r="AA1336" s="255">
        <v>0</v>
      </c>
      <c r="AC1336" s="254"/>
    </row>
    <row r="1337" spans="1:31" ht="24">
      <c r="A1337" s="67" t="s">
        <v>13077</v>
      </c>
      <c r="B1337" s="65" t="s">
        <v>13078</v>
      </c>
      <c r="C1337" s="71" t="s">
        <v>509</v>
      </c>
      <c r="D1337" s="78">
        <v>1</v>
      </c>
      <c r="E1337" s="79">
        <v>929.23</v>
      </c>
      <c r="F1337" s="70">
        <v>929.23</v>
      </c>
      <c r="G1337" s="320"/>
      <c r="H1337" s="79">
        <v>833.46</v>
      </c>
      <c r="I1337" s="79">
        <v>95.77000000000001</v>
      </c>
      <c r="J1337" s="79">
        <v>929.23</v>
      </c>
      <c r="K1337" s="79">
        <v>0</v>
      </c>
      <c r="L1337" s="70">
        <v>929.23</v>
      </c>
      <c r="M1337" s="132"/>
      <c r="N1337" s="79">
        <v>833.46</v>
      </c>
      <c r="O1337" s="79">
        <v>95.77000000000001</v>
      </c>
      <c r="P1337" s="79">
        <v>929.23</v>
      </c>
      <c r="Q1337" s="136"/>
      <c r="R1337" s="79">
        <v>833.46</v>
      </c>
      <c r="S1337" s="79">
        <v>95.77</v>
      </c>
      <c r="T1337" s="79">
        <v>929.23</v>
      </c>
      <c r="U1337" s="79">
        <v>0</v>
      </c>
      <c r="V1337" s="189">
        <v>929.23</v>
      </c>
      <c r="X1337" s="79">
        <v>833.46</v>
      </c>
      <c r="Y1337" s="79">
        <v>95.77</v>
      </c>
      <c r="Z1337" s="79">
        <v>929.23</v>
      </c>
      <c r="AA1337" s="255">
        <v>0</v>
      </c>
      <c r="AC1337" s="254"/>
    </row>
    <row r="1338" spans="1:31" ht="12">
      <c r="A1338" s="67" t="s">
        <v>13079</v>
      </c>
      <c r="B1338" s="65" t="s">
        <v>13080</v>
      </c>
      <c r="C1338" s="71" t="s">
        <v>509</v>
      </c>
      <c r="D1338" s="78">
        <v>1</v>
      </c>
      <c r="E1338" s="79">
        <v>1360.5300000000002</v>
      </c>
      <c r="F1338" s="70">
        <v>1360.53</v>
      </c>
      <c r="G1338" s="320"/>
      <c r="H1338" s="79">
        <v>1208.5500000000002</v>
      </c>
      <c r="I1338" s="79">
        <v>151.98000000000002</v>
      </c>
      <c r="J1338" s="79">
        <v>1360.5300000000002</v>
      </c>
      <c r="K1338" s="79">
        <v>0</v>
      </c>
      <c r="L1338" s="70">
        <v>1360.5300000000002</v>
      </c>
      <c r="M1338" s="132"/>
      <c r="N1338" s="79">
        <v>1208.5500000000002</v>
      </c>
      <c r="O1338" s="79">
        <v>151.98000000000002</v>
      </c>
      <c r="P1338" s="79">
        <v>1360.5300000000002</v>
      </c>
      <c r="Q1338" s="136"/>
      <c r="R1338" s="79">
        <v>1208.55</v>
      </c>
      <c r="S1338" s="79">
        <v>151.97999999999999</v>
      </c>
      <c r="T1338" s="79">
        <v>1360.53</v>
      </c>
      <c r="U1338" s="79">
        <v>0</v>
      </c>
      <c r="V1338" s="189">
        <v>1360.53</v>
      </c>
      <c r="X1338" s="79">
        <v>1208.55</v>
      </c>
      <c r="Y1338" s="79">
        <v>151.97999999999999</v>
      </c>
      <c r="Z1338" s="79">
        <v>1360.53</v>
      </c>
      <c r="AA1338" s="255">
        <v>0</v>
      </c>
      <c r="AC1338" s="254"/>
    </row>
    <row r="1339" spans="1:31" ht="24">
      <c r="A1339" s="83" t="s">
        <v>13081</v>
      </c>
      <c r="B1339" s="64" t="s">
        <v>13082</v>
      </c>
      <c r="C1339" s="71" t="s">
        <v>509</v>
      </c>
      <c r="D1339" s="78">
        <v>1</v>
      </c>
      <c r="E1339" s="79">
        <v>6998.14</v>
      </c>
      <c r="F1339" s="70">
        <v>6998.14</v>
      </c>
      <c r="G1339" s="320"/>
      <c r="H1339" s="79">
        <v>6810.56</v>
      </c>
      <c r="I1339" s="79">
        <v>187.57999999999998</v>
      </c>
      <c r="J1339" s="79">
        <v>6998.14</v>
      </c>
      <c r="K1339" s="79">
        <v>0</v>
      </c>
      <c r="L1339" s="70">
        <v>6998.14</v>
      </c>
      <c r="M1339" s="132"/>
      <c r="N1339" s="79">
        <v>6810.56</v>
      </c>
      <c r="O1339" s="79">
        <v>187.57999999999998</v>
      </c>
      <c r="P1339" s="79">
        <v>6998.14</v>
      </c>
      <c r="Q1339" s="136"/>
      <c r="R1339" s="79">
        <v>6810.56</v>
      </c>
      <c r="S1339" s="79">
        <v>187.59</v>
      </c>
      <c r="T1339" s="79"/>
      <c r="U1339" s="79"/>
      <c r="V1339" s="63"/>
      <c r="X1339" s="79">
        <v>6810.56</v>
      </c>
      <c r="Y1339" s="79">
        <v>187.59</v>
      </c>
      <c r="Z1339" s="79">
        <v>6998.15</v>
      </c>
      <c r="AA1339" s="255">
        <v>-9.999999999308784E-3</v>
      </c>
      <c r="AC1339" s="254"/>
    </row>
    <row r="1340" spans="1:31" ht="12">
      <c r="A1340" s="67" t="s">
        <v>13083</v>
      </c>
      <c r="B1340" s="65" t="s">
        <v>13084</v>
      </c>
      <c r="C1340" s="71" t="s">
        <v>509</v>
      </c>
      <c r="D1340" s="78">
        <v>1</v>
      </c>
      <c r="E1340" s="79">
        <v>1118.6000000000001</v>
      </c>
      <c r="F1340" s="70">
        <v>1118.5999999999999</v>
      </c>
      <c r="G1340" s="320"/>
      <c r="H1340" s="79">
        <v>1054.97</v>
      </c>
      <c r="I1340" s="79">
        <v>63.63</v>
      </c>
      <c r="J1340" s="79">
        <v>1118.6000000000001</v>
      </c>
      <c r="K1340" s="79">
        <v>0</v>
      </c>
      <c r="L1340" s="70">
        <v>1118.6000000000001</v>
      </c>
      <c r="M1340" s="132"/>
      <c r="N1340" s="79">
        <v>1054.97</v>
      </c>
      <c r="O1340" s="79">
        <v>63.63</v>
      </c>
      <c r="P1340" s="79">
        <v>1118.6000000000001</v>
      </c>
      <c r="Q1340" s="136"/>
      <c r="R1340" s="79">
        <v>1054.97</v>
      </c>
      <c r="S1340" s="79">
        <v>63.64</v>
      </c>
      <c r="T1340" s="79">
        <v>1118.6100000000001</v>
      </c>
      <c r="U1340" s="79">
        <v>0</v>
      </c>
      <c r="V1340" s="189">
        <v>1118.6100000000001</v>
      </c>
      <c r="X1340" s="79">
        <v>1054.97</v>
      </c>
      <c r="Y1340" s="79">
        <v>63.64</v>
      </c>
      <c r="Z1340" s="79">
        <v>1118.6099999999999</v>
      </c>
      <c r="AA1340" s="255">
        <v>-9.9999999999909051E-3</v>
      </c>
      <c r="AC1340" s="254"/>
    </row>
    <row r="1341" spans="1:31" ht="12">
      <c r="A1341" s="67" t="s">
        <v>13085</v>
      </c>
      <c r="B1341" s="65" t="s">
        <v>13086</v>
      </c>
      <c r="C1341" s="71" t="s">
        <v>509</v>
      </c>
      <c r="D1341" s="78">
        <v>1</v>
      </c>
      <c r="E1341" s="79">
        <v>1792.95</v>
      </c>
      <c r="F1341" s="70">
        <v>1792.95</v>
      </c>
      <c r="G1341" s="320"/>
      <c r="H1341" s="79">
        <v>1720.24</v>
      </c>
      <c r="I1341" s="79">
        <v>72.710000000000008</v>
      </c>
      <c r="J1341" s="79">
        <v>1792.95</v>
      </c>
      <c r="K1341" s="79">
        <v>0</v>
      </c>
      <c r="L1341" s="70">
        <v>1792.95</v>
      </c>
      <c r="M1341" s="132"/>
      <c r="N1341" s="79">
        <v>1720.24</v>
      </c>
      <c r="O1341" s="79">
        <v>72.710000000000008</v>
      </c>
      <c r="P1341" s="79">
        <v>1792.95</v>
      </c>
      <c r="Q1341" s="136"/>
      <c r="R1341" s="79">
        <v>1720.24</v>
      </c>
      <c r="S1341" s="79">
        <v>72.73</v>
      </c>
      <c r="T1341" s="79">
        <v>1792.97</v>
      </c>
      <c r="U1341" s="79">
        <v>0</v>
      </c>
      <c r="V1341" s="189">
        <v>1792.97</v>
      </c>
      <c r="X1341" s="79">
        <v>1720.24</v>
      </c>
      <c r="Y1341" s="79">
        <v>72.73</v>
      </c>
      <c r="Z1341" s="79">
        <v>1792.97</v>
      </c>
      <c r="AA1341" s="255">
        <v>-1.999999999998181E-2</v>
      </c>
      <c r="AC1341" s="254"/>
    </row>
    <row r="1342" spans="1:31" ht="12">
      <c r="A1342" s="67" t="s">
        <v>13087</v>
      </c>
      <c r="B1342" s="65" t="s">
        <v>13088</v>
      </c>
      <c r="C1342" s="71" t="s">
        <v>509</v>
      </c>
      <c r="D1342" s="78">
        <v>1</v>
      </c>
      <c r="E1342" s="79">
        <v>1517.2800000000002</v>
      </c>
      <c r="F1342" s="70">
        <v>1517.28</v>
      </c>
      <c r="G1342" s="320"/>
      <c r="H1342" s="79">
        <v>1421.51</v>
      </c>
      <c r="I1342" s="79">
        <v>95.77000000000001</v>
      </c>
      <c r="J1342" s="79">
        <v>1517.28</v>
      </c>
      <c r="K1342" s="79">
        <v>0</v>
      </c>
      <c r="L1342" s="70">
        <v>1517.28</v>
      </c>
      <c r="M1342" s="132"/>
      <c r="N1342" s="79">
        <v>1421.51</v>
      </c>
      <c r="O1342" s="79">
        <v>95.77000000000001</v>
      </c>
      <c r="P1342" s="79">
        <v>1517.28</v>
      </c>
      <c r="Q1342" s="136"/>
      <c r="R1342" s="79">
        <v>1421.51</v>
      </c>
      <c r="S1342" s="79">
        <v>95.77</v>
      </c>
      <c r="T1342" s="79">
        <v>1517.28</v>
      </c>
      <c r="U1342" s="79">
        <v>0</v>
      </c>
      <c r="V1342" s="189">
        <v>1517.28</v>
      </c>
      <c r="X1342" s="79">
        <v>1421.51</v>
      </c>
      <c r="Y1342" s="79">
        <v>95.77</v>
      </c>
      <c r="Z1342" s="79">
        <v>1517.28</v>
      </c>
      <c r="AA1342" s="255">
        <v>0</v>
      </c>
      <c r="AC1342" s="254"/>
    </row>
    <row r="1343" spans="1:31" ht="12">
      <c r="A1343" s="489" t="s">
        <v>13089</v>
      </c>
      <c r="B1343" s="490" t="s">
        <v>13090</v>
      </c>
      <c r="C1343" s="491"/>
      <c r="D1343" s="492"/>
      <c r="E1343" s="79"/>
      <c r="F1343" s="63"/>
      <c r="G1343" s="320"/>
      <c r="H1343" s="79"/>
      <c r="I1343" s="79"/>
      <c r="J1343" s="79"/>
      <c r="K1343" s="79"/>
      <c r="L1343" s="70"/>
      <c r="M1343" s="132"/>
      <c r="N1343" s="79"/>
      <c r="O1343" s="79"/>
      <c r="P1343" s="79"/>
      <c r="Q1343" s="136"/>
      <c r="R1343" s="79"/>
      <c r="S1343" s="79"/>
      <c r="T1343" s="79"/>
      <c r="U1343" s="79"/>
      <c r="V1343" s="189"/>
      <c r="X1343" s="79"/>
      <c r="Y1343" s="79"/>
      <c r="Z1343" s="79"/>
      <c r="AA1343" s="255"/>
      <c r="AC1343" s="254"/>
    </row>
    <row r="1344" spans="1:31" ht="12">
      <c r="A1344" s="67" t="s">
        <v>13091</v>
      </c>
      <c r="B1344" s="65" t="s">
        <v>13092</v>
      </c>
      <c r="C1344" s="71" t="s">
        <v>165</v>
      </c>
      <c r="D1344" s="78">
        <v>1</v>
      </c>
      <c r="E1344" s="79">
        <v>831.95</v>
      </c>
      <c r="F1344" s="70">
        <v>831.95</v>
      </c>
      <c r="G1344" s="320"/>
      <c r="H1344" s="79">
        <v>781.6</v>
      </c>
      <c r="I1344" s="79">
        <v>50.349999999999994</v>
      </c>
      <c r="J1344" s="79">
        <v>831.95</v>
      </c>
      <c r="K1344" s="79">
        <v>0</v>
      </c>
      <c r="L1344" s="70">
        <v>831.95</v>
      </c>
      <c r="M1344" s="132"/>
      <c r="N1344" s="79">
        <v>781.6</v>
      </c>
      <c r="O1344" s="79">
        <v>50.349999999999994</v>
      </c>
      <c r="P1344" s="79">
        <v>831.95</v>
      </c>
      <c r="Q1344" s="136"/>
      <c r="R1344" s="79">
        <v>781.6</v>
      </c>
      <c r="S1344" s="79">
        <v>50.35</v>
      </c>
      <c r="T1344" s="79">
        <v>831.95</v>
      </c>
      <c r="U1344" s="79">
        <v>0</v>
      </c>
      <c r="V1344" s="189">
        <v>831.95</v>
      </c>
      <c r="X1344" s="79">
        <v>781.6</v>
      </c>
      <c r="Y1344" s="79">
        <v>50.35</v>
      </c>
      <c r="Z1344" s="79">
        <v>831.95</v>
      </c>
      <c r="AA1344" s="255">
        <v>0</v>
      </c>
      <c r="AC1344" s="254"/>
    </row>
    <row r="1345" spans="1:29" ht="12">
      <c r="A1345" s="67" t="s">
        <v>13093</v>
      </c>
      <c r="B1345" s="65" t="s">
        <v>13094</v>
      </c>
      <c r="C1345" s="71" t="s">
        <v>165</v>
      </c>
      <c r="D1345" s="78">
        <v>1</v>
      </c>
      <c r="E1345" s="79">
        <v>850.38</v>
      </c>
      <c r="F1345" s="70">
        <v>850.38</v>
      </c>
      <c r="G1345" s="320"/>
      <c r="H1345" s="79">
        <v>830.25</v>
      </c>
      <c r="I1345" s="79">
        <v>20.130000000000003</v>
      </c>
      <c r="J1345" s="79">
        <v>850.38</v>
      </c>
      <c r="K1345" s="79">
        <v>0</v>
      </c>
      <c r="L1345" s="70">
        <v>850.38</v>
      </c>
      <c r="M1345" s="132"/>
      <c r="N1345" s="79">
        <v>830.25</v>
      </c>
      <c r="O1345" s="79">
        <v>20.130000000000003</v>
      </c>
      <c r="P1345" s="79">
        <v>850.38</v>
      </c>
      <c r="Q1345" s="136"/>
      <c r="R1345" s="79">
        <v>830.25</v>
      </c>
      <c r="S1345" s="79">
        <v>20.14</v>
      </c>
      <c r="T1345" s="79">
        <v>850.39</v>
      </c>
      <c r="U1345" s="79">
        <v>0</v>
      </c>
      <c r="V1345" s="189">
        <v>850.39</v>
      </c>
      <c r="X1345" s="79">
        <v>830.25</v>
      </c>
      <c r="Y1345" s="79">
        <v>20.14</v>
      </c>
      <c r="Z1345" s="79">
        <v>850.39</v>
      </c>
      <c r="AA1345" s="255">
        <v>-9.9999999999909051E-3</v>
      </c>
      <c r="AC1345" s="254"/>
    </row>
    <row r="1346" spans="1:29" ht="12">
      <c r="A1346" s="67" t="s">
        <v>13095</v>
      </c>
      <c r="B1346" s="65" t="s">
        <v>13096</v>
      </c>
      <c r="C1346" s="71" t="s">
        <v>165</v>
      </c>
      <c r="D1346" s="78">
        <v>1</v>
      </c>
      <c r="E1346" s="79">
        <v>1399.34</v>
      </c>
      <c r="F1346" s="70">
        <v>1399.34</v>
      </c>
      <c r="G1346" s="320"/>
      <c r="H1346" s="79">
        <v>1348.99</v>
      </c>
      <c r="I1346" s="79">
        <v>50.349999999999994</v>
      </c>
      <c r="J1346" s="79">
        <v>1399.34</v>
      </c>
      <c r="K1346" s="79">
        <v>0</v>
      </c>
      <c r="L1346" s="70">
        <v>1399.34</v>
      </c>
      <c r="M1346" s="132"/>
      <c r="N1346" s="79">
        <v>1348.99</v>
      </c>
      <c r="O1346" s="79">
        <v>50.349999999999994</v>
      </c>
      <c r="P1346" s="79">
        <v>1399.34</v>
      </c>
      <c r="Q1346" s="136"/>
      <c r="R1346" s="79">
        <v>1348.99</v>
      </c>
      <c r="S1346" s="79">
        <v>50.35</v>
      </c>
      <c r="T1346" s="79">
        <v>1399.34</v>
      </c>
      <c r="U1346" s="79">
        <v>0</v>
      </c>
      <c r="V1346" s="189">
        <v>1399.34</v>
      </c>
      <c r="X1346" s="79">
        <v>1348.99</v>
      </c>
      <c r="Y1346" s="79">
        <v>50.35</v>
      </c>
      <c r="Z1346" s="79">
        <v>1399.34</v>
      </c>
      <c r="AA1346" s="255">
        <v>0</v>
      </c>
      <c r="AC1346" s="254"/>
    </row>
    <row r="1347" spans="1:29" ht="12">
      <c r="A1347" s="67" t="s">
        <v>13097</v>
      </c>
      <c r="B1347" s="65" t="s">
        <v>13098</v>
      </c>
      <c r="C1347" s="71" t="s">
        <v>509</v>
      </c>
      <c r="D1347" s="78">
        <v>1</v>
      </c>
      <c r="E1347" s="79">
        <v>1569.75</v>
      </c>
      <c r="F1347" s="70">
        <v>1569.75</v>
      </c>
      <c r="G1347" s="320"/>
      <c r="H1347" s="79">
        <v>1469.05</v>
      </c>
      <c r="I1347" s="79">
        <v>100.69999999999999</v>
      </c>
      <c r="J1347" s="79">
        <v>1569.75</v>
      </c>
      <c r="K1347" s="79">
        <v>0</v>
      </c>
      <c r="L1347" s="70">
        <v>1569.75</v>
      </c>
      <c r="M1347" s="132"/>
      <c r="N1347" s="79">
        <v>1469.05</v>
      </c>
      <c r="O1347" s="79">
        <v>100.69999999999999</v>
      </c>
      <c r="P1347" s="79">
        <v>1569.75</v>
      </c>
      <c r="Q1347" s="136"/>
      <c r="R1347" s="79">
        <v>1469.05</v>
      </c>
      <c r="S1347" s="79">
        <v>100.7</v>
      </c>
      <c r="T1347" s="79">
        <v>1569.75</v>
      </c>
      <c r="U1347" s="79">
        <v>0</v>
      </c>
      <c r="V1347" s="189">
        <v>1569.75</v>
      </c>
      <c r="X1347" s="79">
        <v>1469.05</v>
      </c>
      <c r="Y1347" s="79">
        <v>100.7</v>
      </c>
      <c r="Z1347" s="79">
        <v>1569.75</v>
      </c>
      <c r="AA1347" s="255">
        <v>0</v>
      </c>
      <c r="AC1347" s="254"/>
    </row>
    <row r="1348" spans="1:29" ht="12">
      <c r="A1348" s="67" t="s">
        <v>13099</v>
      </c>
      <c r="B1348" s="65" t="s">
        <v>13100</v>
      </c>
      <c r="C1348" s="71" t="s">
        <v>509</v>
      </c>
      <c r="D1348" s="78">
        <v>1</v>
      </c>
      <c r="E1348" s="79">
        <v>1008.86</v>
      </c>
      <c r="F1348" s="70">
        <v>1008.86</v>
      </c>
      <c r="G1348" s="320"/>
      <c r="H1348" s="79">
        <v>992.24</v>
      </c>
      <c r="I1348" s="79">
        <v>16.619999999999997</v>
      </c>
      <c r="J1348" s="79">
        <v>1008.86</v>
      </c>
      <c r="K1348" s="79">
        <v>0</v>
      </c>
      <c r="L1348" s="70">
        <v>1008.86</v>
      </c>
      <c r="M1348" s="132"/>
      <c r="N1348" s="79">
        <v>992.24</v>
      </c>
      <c r="O1348" s="79">
        <v>16.619999999999997</v>
      </c>
      <c r="P1348" s="79">
        <v>1008.86</v>
      </c>
      <c r="Q1348" s="136"/>
      <c r="R1348" s="79">
        <v>992.24</v>
      </c>
      <c r="S1348" s="79">
        <v>16.61</v>
      </c>
      <c r="T1348" s="79">
        <v>1008.85</v>
      </c>
      <c r="U1348" s="79">
        <v>0</v>
      </c>
      <c r="V1348" s="189">
        <v>1008.85</v>
      </c>
      <c r="X1348" s="79">
        <v>992.24</v>
      </c>
      <c r="Y1348" s="79">
        <v>16.61</v>
      </c>
      <c r="Z1348" s="79">
        <v>1008.85</v>
      </c>
      <c r="AA1348" s="255">
        <v>9.9999999999909051E-3</v>
      </c>
      <c r="AC1348" s="254"/>
    </row>
    <row r="1349" spans="1:29" ht="12">
      <c r="A1349" s="67" t="s">
        <v>13101</v>
      </c>
      <c r="B1349" s="65" t="s">
        <v>40951</v>
      </c>
      <c r="C1349" s="71" t="s">
        <v>509</v>
      </c>
      <c r="D1349" s="78">
        <v>1</v>
      </c>
      <c r="E1349" s="79">
        <v>623.81999999999994</v>
      </c>
      <c r="F1349" s="70">
        <v>623.82000000000005</v>
      </c>
      <c r="G1349" s="320"/>
      <c r="H1349" s="79">
        <v>404.67</v>
      </c>
      <c r="I1349" s="79">
        <v>219.15</v>
      </c>
      <c r="J1349" s="79">
        <v>623.82000000000005</v>
      </c>
      <c r="K1349" s="79">
        <v>0</v>
      </c>
      <c r="L1349" s="70">
        <v>623.82000000000005</v>
      </c>
      <c r="M1349" s="132"/>
      <c r="N1349" s="79">
        <v>404.67</v>
      </c>
      <c r="O1349" s="79">
        <v>219.15</v>
      </c>
      <c r="P1349" s="79">
        <v>623.82000000000005</v>
      </c>
      <c r="Q1349" s="136"/>
      <c r="R1349" s="79">
        <v>404.67</v>
      </c>
      <c r="S1349" s="79">
        <v>219.12</v>
      </c>
      <c r="T1349" s="79">
        <v>623.79</v>
      </c>
      <c r="U1349" s="79">
        <v>0</v>
      </c>
      <c r="V1349" s="189">
        <v>623.79</v>
      </c>
      <c r="X1349" s="79">
        <v>404.67</v>
      </c>
      <c r="Y1349" s="79">
        <v>219.12</v>
      </c>
      <c r="Z1349" s="79">
        <v>623.79</v>
      </c>
      <c r="AA1349" s="255">
        <v>3.0000000000086402E-2</v>
      </c>
      <c r="AC1349" s="254"/>
    </row>
    <row r="1350" spans="1:29" ht="24">
      <c r="A1350" s="67" t="s">
        <v>13102</v>
      </c>
      <c r="B1350" s="65" t="s">
        <v>13103</v>
      </c>
      <c r="C1350" s="71" t="s">
        <v>509</v>
      </c>
      <c r="D1350" s="78">
        <v>1</v>
      </c>
      <c r="E1350" s="79">
        <v>1018.67</v>
      </c>
      <c r="F1350" s="70">
        <v>1018.67</v>
      </c>
      <c r="G1350" s="320"/>
      <c r="H1350" s="79">
        <v>986.72</v>
      </c>
      <c r="I1350" s="79">
        <v>31.95</v>
      </c>
      <c r="J1350" s="79">
        <v>1018.6700000000001</v>
      </c>
      <c r="K1350" s="79">
        <v>0</v>
      </c>
      <c r="L1350" s="70">
        <v>1018.6700000000001</v>
      </c>
      <c r="M1350" s="132"/>
      <c r="N1350" s="79">
        <v>986.72</v>
      </c>
      <c r="O1350" s="79">
        <v>31.95</v>
      </c>
      <c r="P1350" s="79">
        <v>1018.6700000000001</v>
      </c>
      <c r="Q1350" s="136"/>
      <c r="R1350" s="79">
        <v>986.72</v>
      </c>
      <c r="S1350" s="79">
        <v>31.96</v>
      </c>
      <c r="T1350" s="79">
        <v>1018.6800000000001</v>
      </c>
      <c r="U1350" s="79">
        <v>0</v>
      </c>
      <c r="V1350" s="189">
        <v>1018.6800000000001</v>
      </c>
      <c r="X1350" s="79">
        <v>986.72</v>
      </c>
      <c r="Y1350" s="79">
        <v>31.96</v>
      </c>
      <c r="Z1350" s="79">
        <v>1018.68</v>
      </c>
      <c r="AA1350" s="255">
        <v>-9.9999999999909051E-3</v>
      </c>
      <c r="AC1350" s="254"/>
    </row>
    <row r="1351" spans="1:29" ht="24">
      <c r="A1351" s="67" t="s">
        <v>13104</v>
      </c>
      <c r="B1351" s="65" t="s">
        <v>13105</v>
      </c>
      <c r="C1351" s="71" t="s">
        <v>509</v>
      </c>
      <c r="D1351" s="78">
        <v>1</v>
      </c>
      <c r="E1351" s="79">
        <v>858.77</v>
      </c>
      <c r="F1351" s="70">
        <v>858.77</v>
      </c>
      <c r="G1351" s="320"/>
      <c r="H1351" s="79">
        <v>795.14</v>
      </c>
      <c r="I1351" s="79">
        <v>63.63</v>
      </c>
      <c r="J1351" s="79">
        <v>858.77</v>
      </c>
      <c r="K1351" s="79">
        <v>0</v>
      </c>
      <c r="L1351" s="70">
        <v>858.77</v>
      </c>
      <c r="M1351" s="132"/>
      <c r="N1351" s="79">
        <v>795.14</v>
      </c>
      <c r="O1351" s="79">
        <v>63.63</v>
      </c>
      <c r="P1351" s="79">
        <v>858.77</v>
      </c>
      <c r="Q1351" s="136"/>
      <c r="R1351" s="79">
        <v>795.14</v>
      </c>
      <c r="S1351" s="79">
        <v>63.64</v>
      </c>
      <c r="T1351" s="79">
        <v>858.78</v>
      </c>
      <c r="U1351" s="79">
        <v>0</v>
      </c>
      <c r="V1351" s="189">
        <v>858.78</v>
      </c>
      <c r="X1351" s="79">
        <v>795.14</v>
      </c>
      <c r="Y1351" s="79">
        <v>63.64</v>
      </c>
      <c r="Z1351" s="79">
        <v>858.78</v>
      </c>
      <c r="AA1351" s="255">
        <v>-9.9999999999909051E-3</v>
      </c>
      <c r="AC1351" s="254"/>
    </row>
    <row r="1352" spans="1:29" ht="12">
      <c r="A1352" s="67" t="s">
        <v>13106</v>
      </c>
      <c r="B1352" s="65" t="s">
        <v>13107</v>
      </c>
      <c r="C1352" s="71" t="s">
        <v>165</v>
      </c>
      <c r="D1352" s="78">
        <v>1</v>
      </c>
      <c r="E1352" s="79">
        <v>245.5</v>
      </c>
      <c r="F1352" s="70">
        <v>245.5</v>
      </c>
      <c r="G1352" s="320"/>
      <c r="H1352" s="79">
        <v>220.3</v>
      </c>
      <c r="I1352" s="79">
        <v>25.2</v>
      </c>
      <c r="J1352" s="79">
        <v>245.5</v>
      </c>
      <c r="K1352" s="79">
        <v>0</v>
      </c>
      <c r="L1352" s="70">
        <v>245.5</v>
      </c>
      <c r="M1352" s="132"/>
      <c r="N1352" s="79">
        <v>220.3</v>
      </c>
      <c r="O1352" s="79">
        <v>25.2</v>
      </c>
      <c r="P1352" s="79">
        <v>245.5</v>
      </c>
      <c r="Q1352" s="136"/>
      <c r="R1352" s="79">
        <v>220.3</v>
      </c>
      <c r="S1352" s="79">
        <v>25.18</v>
      </c>
      <c r="T1352" s="79">
        <v>245.48000000000002</v>
      </c>
      <c r="U1352" s="79">
        <v>0</v>
      </c>
      <c r="V1352" s="189">
        <v>245.48000000000002</v>
      </c>
      <c r="X1352" s="79">
        <v>220.3</v>
      </c>
      <c r="Y1352" s="79">
        <v>25.18</v>
      </c>
      <c r="Z1352" s="79">
        <v>245.48</v>
      </c>
      <c r="AA1352" s="255">
        <v>2.0000000000010232E-2</v>
      </c>
      <c r="AC1352" s="254"/>
    </row>
    <row r="1353" spans="1:29" ht="12">
      <c r="A1353" s="67" t="s">
        <v>13108</v>
      </c>
      <c r="B1353" s="65" t="s">
        <v>13109</v>
      </c>
      <c r="C1353" s="71" t="s">
        <v>165</v>
      </c>
      <c r="D1353" s="78">
        <v>1</v>
      </c>
      <c r="E1353" s="79">
        <v>281.16000000000003</v>
      </c>
      <c r="F1353" s="70">
        <v>281.16000000000003</v>
      </c>
      <c r="G1353" s="320"/>
      <c r="H1353" s="79">
        <v>255.96</v>
      </c>
      <c r="I1353" s="79">
        <v>25.2</v>
      </c>
      <c r="J1353" s="79">
        <v>281.16000000000003</v>
      </c>
      <c r="K1353" s="79">
        <v>0</v>
      </c>
      <c r="L1353" s="70">
        <v>281.16000000000003</v>
      </c>
      <c r="M1353" s="132"/>
      <c r="N1353" s="79">
        <v>255.96</v>
      </c>
      <c r="O1353" s="79">
        <v>25.2</v>
      </c>
      <c r="P1353" s="79">
        <v>281.16000000000003</v>
      </c>
      <c r="Q1353" s="136"/>
      <c r="R1353" s="79">
        <v>255.96</v>
      </c>
      <c r="S1353" s="79">
        <v>25.18</v>
      </c>
      <c r="T1353" s="79">
        <v>281.14</v>
      </c>
      <c r="U1353" s="79">
        <v>0</v>
      </c>
      <c r="V1353" s="189">
        <v>281.14</v>
      </c>
      <c r="X1353" s="79">
        <v>255.96</v>
      </c>
      <c r="Y1353" s="79">
        <v>25.18</v>
      </c>
      <c r="Z1353" s="79">
        <v>281.14</v>
      </c>
      <c r="AA1353" s="255">
        <v>2.0000000000038654E-2</v>
      </c>
      <c r="AC1353" s="254"/>
    </row>
    <row r="1354" spans="1:29" ht="12">
      <c r="A1354" s="67" t="s">
        <v>13110</v>
      </c>
      <c r="B1354" s="65" t="s">
        <v>13111</v>
      </c>
      <c r="C1354" s="71" t="s">
        <v>509</v>
      </c>
      <c r="D1354" s="78">
        <v>1</v>
      </c>
      <c r="E1354" s="79">
        <v>1434.8899999999999</v>
      </c>
      <c r="F1354" s="70">
        <v>1434.89</v>
      </c>
      <c r="G1354" s="320"/>
      <c r="H1354" s="79">
        <v>1361.83</v>
      </c>
      <c r="I1354" s="79">
        <v>73.06</v>
      </c>
      <c r="J1354" s="79">
        <v>1434.8899999999999</v>
      </c>
      <c r="K1354" s="79">
        <v>0</v>
      </c>
      <c r="L1354" s="70">
        <v>1434.8899999999999</v>
      </c>
      <c r="M1354" s="132"/>
      <c r="N1354" s="79">
        <v>1361.83</v>
      </c>
      <c r="O1354" s="79">
        <v>73.06</v>
      </c>
      <c r="P1354" s="79">
        <v>1434.8899999999999</v>
      </c>
      <c r="Q1354" s="136"/>
      <c r="R1354" s="79">
        <v>1361.83</v>
      </c>
      <c r="S1354" s="79">
        <v>73.06</v>
      </c>
      <c r="T1354" s="79">
        <v>1434.8899999999999</v>
      </c>
      <c r="U1354" s="79">
        <v>0</v>
      </c>
      <c r="V1354" s="189">
        <v>1434.8899999999999</v>
      </c>
      <c r="X1354" s="79">
        <v>1361.83</v>
      </c>
      <c r="Y1354" s="79">
        <v>73.06</v>
      </c>
      <c r="Z1354" s="79">
        <v>1434.89</v>
      </c>
      <c r="AA1354" s="255">
        <v>0</v>
      </c>
      <c r="AC1354" s="254"/>
    </row>
    <row r="1355" spans="1:29" ht="24">
      <c r="A1355" s="67" t="s">
        <v>13112</v>
      </c>
      <c r="B1355" s="65" t="s">
        <v>13113</v>
      </c>
      <c r="C1355" s="71" t="s">
        <v>509</v>
      </c>
      <c r="D1355" s="78">
        <v>1</v>
      </c>
      <c r="E1355" s="79">
        <v>993.92000000000007</v>
      </c>
      <c r="F1355" s="70">
        <v>993.92</v>
      </c>
      <c r="G1355" s="320"/>
      <c r="H1355" s="79">
        <v>961.97</v>
      </c>
      <c r="I1355" s="79">
        <v>31.95</v>
      </c>
      <c r="J1355" s="79">
        <v>993.92000000000007</v>
      </c>
      <c r="K1355" s="79">
        <v>0</v>
      </c>
      <c r="L1355" s="70">
        <v>993.92000000000007</v>
      </c>
      <c r="M1355" s="132"/>
      <c r="N1355" s="79">
        <v>961.97</v>
      </c>
      <c r="O1355" s="79">
        <v>31.95</v>
      </c>
      <c r="P1355" s="79">
        <v>993.92000000000007</v>
      </c>
      <c r="Q1355" s="136"/>
      <c r="R1355" s="79">
        <v>961.97</v>
      </c>
      <c r="S1355" s="79">
        <v>31.96</v>
      </c>
      <c r="T1355" s="79">
        <v>993.93000000000006</v>
      </c>
      <c r="U1355" s="79">
        <v>0</v>
      </c>
      <c r="V1355" s="189">
        <v>993.93000000000006</v>
      </c>
      <c r="X1355" s="79">
        <v>961.97</v>
      </c>
      <c r="Y1355" s="79">
        <v>31.96</v>
      </c>
      <c r="Z1355" s="79">
        <v>993.93</v>
      </c>
      <c r="AA1355" s="255">
        <v>-9.9999999999909051E-3</v>
      </c>
      <c r="AC1355" s="254"/>
    </row>
    <row r="1356" spans="1:29" ht="12">
      <c r="A1356" s="67" t="s">
        <v>13114</v>
      </c>
      <c r="B1356" s="65" t="s">
        <v>13115</v>
      </c>
      <c r="C1356" s="71" t="s">
        <v>509</v>
      </c>
      <c r="D1356" s="78">
        <v>1</v>
      </c>
      <c r="E1356" s="79">
        <v>1044.1100000000001</v>
      </c>
      <c r="F1356" s="70">
        <v>1044.1099999999999</v>
      </c>
      <c r="G1356" s="320"/>
      <c r="H1356" s="79">
        <v>980.48</v>
      </c>
      <c r="I1356" s="79">
        <v>63.63</v>
      </c>
      <c r="J1356" s="79">
        <v>1044.1100000000001</v>
      </c>
      <c r="K1356" s="79">
        <v>0</v>
      </c>
      <c r="L1356" s="70">
        <v>1044.1100000000001</v>
      </c>
      <c r="M1356" s="132"/>
      <c r="N1356" s="79">
        <v>980.48</v>
      </c>
      <c r="O1356" s="79">
        <v>63.63</v>
      </c>
      <c r="P1356" s="79">
        <v>1044.1100000000001</v>
      </c>
      <c r="Q1356" s="136"/>
      <c r="R1356" s="79">
        <v>980.48</v>
      </c>
      <c r="S1356" s="79">
        <v>63.64</v>
      </c>
      <c r="T1356" s="79">
        <v>1044.1200000000001</v>
      </c>
      <c r="U1356" s="79">
        <v>0</v>
      </c>
      <c r="V1356" s="189">
        <v>1044.1200000000001</v>
      </c>
      <c r="X1356" s="79">
        <v>980.48</v>
      </c>
      <c r="Y1356" s="79">
        <v>63.64</v>
      </c>
      <c r="Z1356" s="79">
        <v>1044.1199999999999</v>
      </c>
      <c r="AA1356" s="255">
        <v>-9.9999999999909051E-3</v>
      </c>
      <c r="AC1356" s="254"/>
    </row>
    <row r="1357" spans="1:29" ht="12">
      <c r="A1357" s="67" t="s">
        <v>13116</v>
      </c>
      <c r="B1357" s="65" t="s">
        <v>13117</v>
      </c>
      <c r="C1357" s="71" t="s">
        <v>509</v>
      </c>
      <c r="D1357" s="78">
        <v>1</v>
      </c>
      <c r="E1357" s="79">
        <v>753.98</v>
      </c>
      <c r="F1357" s="70">
        <v>753.98</v>
      </c>
      <c r="G1357" s="320"/>
      <c r="H1357" s="79">
        <v>733.85</v>
      </c>
      <c r="I1357" s="79">
        <v>20.130000000000003</v>
      </c>
      <c r="J1357" s="79">
        <v>753.98</v>
      </c>
      <c r="K1357" s="79">
        <v>0</v>
      </c>
      <c r="L1357" s="70">
        <v>753.98</v>
      </c>
      <c r="M1357" s="132"/>
      <c r="N1357" s="79">
        <v>733.85</v>
      </c>
      <c r="O1357" s="79">
        <v>20.130000000000003</v>
      </c>
      <c r="P1357" s="79">
        <v>753.98</v>
      </c>
      <c r="Q1357" s="136"/>
      <c r="R1357" s="79">
        <v>733.85</v>
      </c>
      <c r="S1357" s="79">
        <v>20.14</v>
      </c>
      <c r="T1357" s="79">
        <v>753.99</v>
      </c>
      <c r="U1357" s="79">
        <v>0</v>
      </c>
      <c r="V1357" s="189">
        <v>753.99</v>
      </c>
      <c r="X1357" s="79">
        <v>733.85</v>
      </c>
      <c r="Y1357" s="79">
        <v>20.14</v>
      </c>
      <c r="Z1357" s="79">
        <v>753.99</v>
      </c>
      <c r="AA1357" s="255">
        <v>-9.9999999999909051E-3</v>
      </c>
      <c r="AC1357" s="254"/>
    </row>
    <row r="1358" spans="1:29" ht="24">
      <c r="A1358" s="67" t="s">
        <v>13118</v>
      </c>
      <c r="B1358" s="65" t="s">
        <v>13119</v>
      </c>
      <c r="C1358" s="71" t="s">
        <v>509</v>
      </c>
      <c r="D1358" s="78">
        <v>1</v>
      </c>
      <c r="E1358" s="79">
        <v>694.03</v>
      </c>
      <c r="F1358" s="70">
        <v>694.03</v>
      </c>
      <c r="G1358" s="320"/>
      <c r="H1358" s="79">
        <v>694.03</v>
      </c>
      <c r="I1358" s="79">
        <v>0</v>
      </c>
      <c r="J1358" s="79">
        <v>694.03</v>
      </c>
      <c r="K1358" s="79">
        <v>0</v>
      </c>
      <c r="L1358" s="70">
        <v>694.03</v>
      </c>
      <c r="M1358" s="132"/>
      <c r="N1358" s="79">
        <v>694.03</v>
      </c>
      <c r="O1358" s="79"/>
      <c r="P1358" s="79">
        <v>694.03</v>
      </c>
      <c r="Q1358" s="136"/>
      <c r="R1358" s="79">
        <v>694.03</v>
      </c>
      <c r="S1358" s="79"/>
      <c r="T1358" s="79">
        <v>694.03</v>
      </c>
      <c r="U1358" s="79">
        <v>0</v>
      </c>
      <c r="V1358" s="189">
        <v>694.03</v>
      </c>
      <c r="X1358" s="79">
        <v>694.03</v>
      </c>
      <c r="Y1358" s="79"/>
      <c r="Z1358" s="79">
        <v>694.03</v>
      </c>
      <c r="AA1358" s="255">
        <v>0</v>
      </c>
      <c r="AC1358" s="254"/>
    </row>
    <row r="1359" spans="1:29" ht="12">
      <c r="A1359" s="489" t="s">
        <v>13120</v>
      </c>
      <c r="B1359" s="490" t="s">
        <v>13121</v>
      </c>
      <c r="C1359" s="491"/>
      <c r="D1359" s="492"/>
      <c r="E1359" s="79"/>
      <c r="F1359" s="63"/>
      <c r="G1359" s="320"/>
      <c r="H1359" s="79"/>
      <c r="I1359" s="79"/>
      <c r="J1359" s="79"/>
      <c r="K1359" s="79"/>
      <c r="L1359" s="70"/>
      <c r="M1359" s="132"/>
      <c r="N1359" s="79"/>
      <c r="O1359" s="79"/>
      <c r="P1359" s="79"/>
      <c r="Q1359" s="136"/>
      <c r="R1359" s="79"/>
      <c r="S1359" s="79"/>
      <c r="T1359" s="79"/>
      <c r="U1359" s="79"/>
      <c r="V1359" s="189"/>
      <c r="X1359" s="79"/>
      <c r="Y1359" s="79"/>
      <c r="Z1359" s="79"/>
      <c r="AA1359" s="255"/>
      <c r="AC1359" s="254"/>
    </row>
    <row r="1360" spans="1:29" ht="24">
      <c r="A1360" s="67" t="s">
        <v>13122</v>
      </c>
      <c r="B1360" s="65" t="s">
        <v>13123</v>
      </c>
      <c r="C1360" s="71" t="s">
        <v>509</v>
      </c>
      <c r="D1360" s="78">
        <v>1</v>
      </c>
      <c r="E1360" s="79">
        <v>3301.2400000000002</v>
      </c>
      <c r="F1360" s="70">
        <v>3301.24</v>
      </c>
      <c r="G1360" s="320"/>
      <c r="H1360" s="79">
        <v>3230.53</v>
      </c>
      <c r="I1360" s="79">
        <v>70.709999999999994</v>
      </c>
      <c r="J1360" s="79">
        <v>3301.2400000000002</v>
      </c>
      <c r="K1360" s="79">
        <v>0</v>
      </c>
      <c r="L1360" s="70">
        <v>3301.2400000000002</v>
      </c>
      <c r="M1360" s="132"/>
      <c r="N1360" s="79">
        <v>3230.53</v>
      </c>
      <c r="O1360" s="79">
        <v>70.709999999999994</v>
      </c>
      <c r="P1360" s="79">
        <v>3301.2400000000002</v>
      </c>
      <c r="Q1360" s="136"/>
      <c r="R1360" s="79">
        <v>3230.53</v>
      </c>
      <c r="S1360" s="79">
        <v>70.709999999999994</v>
      </c>
      <c r="T1360" s="79">
        <v>3301.2400000000002</v>
      </c>
      <c r="U1360" s="79">
        <v>0</v>
      </c>
      <c r="V1360" s="189">
        <v>3301.2400000000002</v>
      </c>
      <c r="X1360" s="79">
        <v>3230.53</v>
      </c>
      <c r="Y1360" s="79">
        <v>70.709999999999994</v>
      </c>
      <c r="Z1360" s="79">
        <v>3301.24</v>
      </c>
      <c r="AA1360" s="255">
        <v>0</v>
      </c>
      <c r="AC1360" s="254"/>
    </row>
    <row r="1361" spans="1:31" ht="12">
      <c r="A1361" s="67" t="s">
        <v>13124</v>
      </c>
      <c r="B1361" s="65" t="s">
        <v>13125</v>
      </c>
      <c r="C1361" s="71" t="s">
        <v>509</v>
      </c>
      <c r="D1361" s="78">
        <v>1</v>
      </c>
      <c r="E1361" s="79">
        <v>1972.6100000000001</v>
      </c>
      <c r="F1361" s="70">
        <v>1972.61</v>
      </c>
      <c r="G1361" s="320"/>
      <c r="H1361" s="79">
        <v>1901.9</v>
      </c>
      <c r="I1361" s="79">
        <v>70.709999999999994</v>
      </c>
      <c r="J1361" s="79">
        <v>1972.6100000000001</v>
      </c>
      <c r="K1361" s="79">
        <v>0</v>
      </c>
      <c r="L1361" s="70">
        <v>1972.6100000000001</v>
      </c>
      <c r="M1361" s="132"/>
      <c r="N1361" s="79">
        <v>1901.9</v>
      </c>
      <c r="O1361" s="79">
        <v>70.709999999999994</v>
      </c>
      <c r="P1361" s="79">
        <v>1972.6100000000001</v>
      </c>
      <c r="Q1361" s="136"/>
      <c r="R1361" s="79">
        <v>1901.9</v>
      </c>
      <c r="S1361" s="79">
        <v>70.709999999999994</v>
      </c>
      <c r="T1361" s="79">
        <v>1972.6100000000001</v>
      </c>
      <c r="U1361" s="79">
        <v>0</v>
      </c>
      <c r="V1361" s="189">
        <v>1972.6100000000001</v>
      </c>
      <c r="X1361" s="79">
        <v>1901.9</v>
      </c>
      <c r="Y1361" s="79">
        <v>70.709999999999994</v>
      </c>
      <c r="Z1361" s="79">
        <v>1972.61</v>
      </c>
      <c r="AA1361" s="255">
        <v>0</v>
      </c>
      <c r="AC1361" s="254"/>
    </row>
    <row r="1362" spans="1:31" ht="12">
      <c r="A1362" s="67" t="s">
        <v>13126</v>
      </c>
      <c r="B1362" s="65" t="s">
        <v>13127</v>
      </c>
      <c r="C1362" s="71" t="s">
        <v>509</v>
      </c>
      <c r="D1362" s="78">
        <v>1</v>
      </c>
      <c r="E1362" s="79">
        <v>2110.63</v>
      </c>
      <c r="F1362" s="70">
        <v>2110.63</v>
      </c>
      <c r="G1362" s="320"/>
      <c r="H1362" s="79">
        <v>2039.92</v>
      </c>
      <c r="I1362" s="79">
        <v>70.709999999999994</v>
      </c>
      <c r="J1362" s="79">
        <v>2110.63</v>
      </c>
      <c r="K1362" s="79">
        <v>0</v>
      </c>
      <c r="L1362" s="70">
        <v>2110.63</v>
      </c>
      <c r="M1362" s="132"/>
      <c r="N1362" s="79">
        <v>2039.92</v>
      </c>
      <c r="O1362" s="79">
        <v>70.709999999999994</v>
      </c>
      <c r="P1362" s="79">
        <v>2110.63</v>
      </c>
      <c r="Q1362" s="136"/>
      <c r="R1362" s="79">
        <v>2039.92</v>
      </c>
      <c r="S1362" s="79">
        <v>70.709999999999994</v>
      </c>
      <c r="T1362" s="79">
        <v>2110.63</v>
      </c>
      <c r="U1362" s="79">
        <v>0</v>
      </c>
      <c r="V1362" s="189">
        <v>2110.63</v>
      </c>
      <c r="X1362" s="79">
        <v>2039.92</v>
      </c>
      <c r="Y1362" s="79">
        <v>70.709999999999994</v>
      </c>
      <c r="Z1362" s="79">
        <v>2110.63</v>
      </c>
      <c r="AA1362" s="255">
        <v>0</v>
      </c>
      <c r="AC1362" s="254"/>
    </row>
    <row r="1363" spans="1:31" ht="12">
      <c r="A1363" s="67" t="s">
        <v>13128</v>
      </c>
      <c r="B1363" s="65" t="s">
        <v>13129</v>
      </c>
      <c r="C1363" s="71" t="s">
        <v>509</v>
      </c>
      <c r="D1363" s="78">
        <v>1</v>
      </c>
      <c r="E1363" s="79">
        <v>3160.76</v>
      </c>
      <c r="F1363" s="70">
        <v>3160.76</v>
      </c>
      <c r="G1363" s="320"/>
      <c r="H1363" s="79">
        <v>3090.05</v>
      </c>
      <c r="I1363" s="79">
        <v>70.709999999999994</v>
      </c>
      <c r="J1363" s="79">
        <v>3160.76</v>
      </c>
      <c r="K1363" s="79">
        <v>0</v>
      </c>
      <c r="L1363" s="70">
        <v>3160.76</v>
      </c>
      <c r="M1363" s="132"/>
      <c r="N1363" s="79">
        <v>3090.05</v>
      </c>
      <c r="O1363" s="79">
        <v>70.709999999999994</v>
      </c>
      <c r="P1363" s="79">
        <v>3160.76</v>
      </c>
      <c r="Q1363" s="136"/>
      <c r="R1363" s="79">
        <v>3090.05</v>
      </c>
      <c r="S1363" s="79">
        <v>70.709999999999994</v>
      </c>
      <c r="T1363" s="79">
        <v>3160.76</v>
      </c>
      <c r="U1363" s="79">
        <v>0</v>
      </c>
      <c r="V1363" s="189">
        <v>3160.76</v>
      </c>
      <c r="X1363" s="79">
        <v>3090.05</v>
      </c>
      <c r="Y1363" s="79">
        <v>70.709999999999994</v>
      </c>
      <c r="Z1363" s="79">
        <v>3160.76</v>
      </c>
      <c r="AA1363" s="255">
        <v>0</v>
      </c>
      <c r="AC1363" s="254"/>
    </row>
    <row r="1364" spans="1:31" ht="24">
      <c r="A1364" s="67" t="s">
        <v>13130</v>
      </c>
      <c r="B1364" s="65" t="s">
        <v>13131</v>
      </c>
      <c r="C1364" s="71" t="s">
        <v>509</v>
      </c>
      <c r="D1364" s="78">
        <v>1</v>
      </c>
      <c r="E1364" s="79">
        <v>2620.4399999999996</v>
      </c>
      <c r="F1364" s="70">
        <v>2620.44</v>
      </c>
      <c r="G1364" s="320"/>
      <c r="H1364" s="79">
        <v>2490.9699999999998</v>
      </c>
      <c r="I1364" s="79">
        <v>129.47</v>
      </c>
      <c r="J1364" s="79">
        <v>2620.4399999999996</v>
      </c>
      <c r="K1364" s="79">
        <v>0</v>
      </c>
      <c r="L1364" s="70">
        <v>2620.4399999999996</v>
      </c>
      <c r="M1364" s="132"/>
      <c r="N1364" s="79">
        <v>2490.9699999999998</v>
      </c>
      <c r="O1364" s="79">
        <v>129.47</v>
      </c>
      <c r="P1364" s="79">
        <v>2620.4399999999996</v>
      </c>
      <c r="Q1364" s="136"/>
      <c r="R1364" s="79">
        <v>2490.9699999999998</v>
      </c>
      <c r="S1364" s="79">
        <v>129.47999999999999</v>
      </c>
      <c r="T1364" s="79">
        <v>2620.4499999999998</v>
      </c>
      <c r="U1364" s="79">
        <v>0</v>
      </c>
      <c r="V1364" s="189">
        <v>2620.4499999999998</v>
      </c>
      <c r="X1364" s="79">
        <v>2490.9699999999998</v>
      </c>
      <c r="Y1364" s="79">
        <v>129.47999999999999</v>
      </c>
      <c r="Z1364" s="79">
        <v>2620.4499999999998</v>
      </c>
      <c r="AA1364" s="255">
        <v>-9.9999999997635314E-3</v>
      </c>
      <c r="AC1364" s="254"/>
    </row>
    <row r="1365" spans="1:31" ht="24">
      <c r="A1365" s="67" t="s">
        <v>13132</v>
      </c>
      <c r="B1365" s="65" t="s">
        <v>13133</v>
      </c>
      <c r="C1365" s="71" t="s">
        <v>509</v>
      </c>
      <c r="D1365" s="78">
        <v>1</v>
      </c>
      <c r="E1365" s="79">
        <v>3882.6099999999997</v>
      </c>
      <c r="F1365" s="70">
        <v>3882.61</v>
      </c>
      <c r="G1365" s="320"/>
      <c r="H1365" s="79">
        <v>3753.14</v>
      </c>
      <c r="I1365" s="79">
        <v>129.47</v>
      </c>
      <c r="J1365" s="79">
        <v>3882.6099999999997</v>
      </c>
      <c r="K1365" s="79">
        <v>0</v>
      </c>
      <c r="L1365" s="70">
        <v>3882.6099999999997</v>
      </c>
      <c r="M1365" s="132"/>
      <c r="N1365" s="79">
        <v>3753.14</v>
      </c>
      <c r="O1365" s="79">
        <v>129.47</v>
      </c>
      <c r="P1365" s="79">
        <v>3882.6099999999997</v>
      </c>
      <c r="Q1365" s="136"/>
      <c r="R1365" s="79">
        <v>3753.14</v>
      </c>
      <c r="S1365" s="79">
        <v>129.47999999999999</v>
      </c>
      <c r="T1365" s="79">
        <v>3882.62</v>
      </c>
      <c r="U1365" s="79">
        <v>0</v>
      </c>
      <c r="V1365" s="189">
        <v>3882.62</v>
      </c>
      <c r="X1365" s="79">
        <v>3753.14</v>
      </c>
      <c r="Y1365" s="79">
        <v>129.47999999999999</v>
      </c>
      <c r="Z1365" s="79">
        <v>3882.62</v>
      </c>
      <c r="AA1365" s="255">
        <v>-9.9999999997635314E-3</v>
      </c>
      <c r="AC1365" s="254"/>
    </row>
    <row r="1366" spans="1:31" ht="24">
      <c r="A1366" s="67" t="s">
        <v>13134</v>
      </c>
      <c r="B1366" s="65" t="s">
        <v>13135</v>
      </c>
      <c r="C1366" s="71" t="s">
        <v>509</v>
      </c>
      <c r="D1366" s="78">
        <v>1</v>
      </c>
      <c r="E1366" s="79">
        <v>3131.2999999999997</v>
      </c>
      <c r="F1366" s="70">
        <v>3131.3</v>
      </c>
      <c r="G1366" s="320"/>
      <c r="H1366" s="79">
        <v>3001.83</v>
      </c>
      <c r="I1366" s="79">
        <v>129.47</v>
      </c>
      <c r="J1366" s="79">
        <v>3131.2999999999997</v>
      </c>
      <c r="K1366" s="79">
        <v>0</v>
      </c>
      <c r="L1366" s="70">
        <v>3131.2999999999997</v>
      </c>
      <c r="M1366" s="132"/>
      <c r="N1366" s="79">
        <v>3001.83</v>
      </c>
      <c r="O1366" s="79">
        <v>129.47</v>
      </c>
      <c r="P1366" s="79">
        <v>3131.2999999999997</v>
      </c>
      <c r="Q1366" s="136"/>
      <c r="R1366" s="79">
        <v>3001.83</v>
      </c>
      <c r="S1366" s="79">
        <v>129.47999999999999</v>
      </c>
      <c r="T1366" s="79">
        <v>3131.31</v>
      </c>
      <c r="U1366" s="79">
        <v>0</v>
      </c>
      <c r="V1366" s="189">
        <v>3131.31</v>
      </c>
      <c r="X1366" s="79">
        <v>3001.83</v>
      </c>
      <c r="Y1366" s="79">
        <v>129.47999999999999</v>
      </c>
      <c r="Z1366" s="79">
        <v>3131.31</v>
      </c>
      <c r="AA1366" s="255">
        <v>-9.9999999997635314E-3</v>
      </c>
      <c r="AC1366" s="254"/>
    </row>
    <row r="1367" spans="1:31" ht="24">
      <c r="A1367" s="67" t="s">
        <v>13136</v>
      </c>
      <c r="B1367" s="65" t="s">
        <v>13137</v>
      </c>
      <c r="C1367" s="71" t="s">
        <v>509</v>
      </c>
      <c r="D1367" s="78">
        <v>1</v>
      </c>
      <c r="E1367" s="79">
        <v>3928.75</v>
      </c>
      <c r="F1367" s="70">
        <v>3928.75</v>
      </c>
      <c r="G1367" s="320"/>
      <c r="H1367" s="79">
        <v>3799.28</v>
      </c>
      <c r="I1367" s="79">
        <v>129.47</v>
      </c>
      <c r="J1367" s="79">
        <v>3928.75</v>
      </c>
      <c r="K1367" s="79">
        <v>0</v>
      </c>
      <c r="L1367" s="70">
        <v>3928.75</v>
      </c>
      <c r="M1367" s="132"/>
      <c r="N1367" s="79">
        <v>3799.28</v>
      </c>
      <c r="O1367" s="79">
        <v>129.47</v>
      </c>
      <c r="P1367" s="79">
        <v>3928.75</v>
      </c>
      <c r="Q1367" s="136"/>
      <c r="R1367" s="79">
        <v>3799.28</v>
      </c>
      <c r="S1367" s="79">
        <v>129.47999999999999</v>
      </c>
      <c r="T1367" s="79">
        <v>3928.76</v>
      </c>
      <c r="U1367" s="79">
        <v>0</v>
      </c>
      <c r="V1367" s="189">
        <v>3928.76</v>
      </c>
      <c r="X1367" s="79">
        <v>3799.28</v>
      </c>
      <c r="Y1367" s="79">
        <v>129.47999999999999</v>
      </c>
      <c r="Z1367" s="79">
        <v>3928.76</v>
      </c>
      <c r="AA1367" s="255">
        <v>-1.0000000000218279E-2</v>
      </c>
      <c r="AC1367" s="254"/>
    </row>
    <row r="1368" spans="1:31" ht="12">
      <c r="A1368" s="67" t="s">
        <v>13138</v>
      </c>
      <c r="B1368" s="65" t="s">
        <v>13139</v>
      </c>
      <c r="C1368" s="71" t="s">
        <v>509</v>
      </c>
      <c r="D1368" s="78">
        <v>1</v>
      </c>
      <c r="E1368" s="79">
        <v>2538.0100000000002</v>
      </c>
      <c r="F1368" s="70">
        <v>2538.0100000000002</v>
      </c>
      <c r="G1368" s="320"/>
      <c r="H1368" s="79">
        <v>2467.3000000000002</v>
      </c>
      <c r="I1368" s="79">
        <v>70.709999999999994</v>
      </c>
      <c r="J1368" s="79">
        <v>2538.0100000000002</v>
      </c>
      <c r="K1368" s="79">
        <v>0</v>
      </c>
      <c r="L1368" s="70">
        <v>2538.0100000000002</v>
      </c>
      <c r="M1368" s="132"/>
      <c r="N1368" s="79">
        <v>2467.3000000000002</v>
      </c>
      <c r="O1368" s="79">
        <v>70.709999999999994</v>
      </c>
      <c r="P1368" s="79">
        <v>2538.0100000000002</v>
      </c>
      <c r="Q1368" s="136"/>
      <c r="R1368" s="79">
        <v>2467.3000000000002</v>
      </c>
      <c r="S1368" s="79">
        <v>70.709999999999994</v>
      </c>
      <c r="T1368" s="79">
        <v>2538.0100000000002</v>
      </c>
      <c r="U1368" s="79">
        <v>0</v>
      </c>
      <c r="V1368" s="189">
        <v>2538.0100000000002</v>
      </c>
      <c r="X1368" s="79">
        <v>2467.3000000000002</v>
      </c>
      <c r="Y1368" s="79">
        <v>70.709999999999994</v>
      </c>
      <c r="Z1368" s="79">
        <v>2538.0100000000002</v>
      </c>
      <c r="AA1368" s="255">
        <v>0</v>
      </c>
      <c r="AC1368" s="254"/>
    </row>
    <row r="1369" spans="1:31" ht="12">
      <c r="A1369" s="67" t="s">
        <v>13140</v>
      </c>
      <c r="B1369" s="65" t="s">
        <v>13141</v>
      </c>
      <c r="C1369" s="71" t="s">
        <v>509</v>
      </c>
      <c r="D1369" s="78">
        <v>1</v>
      </c>
      <c r="E1369" s="79">
        <v>2560.73</v>
      </c>
      <c r="F1369" s="70">
        <v>2560.73</v>
      </c>
      <c r="G1369" s="320"/>
      <c r="H1369" s="79">
        <v>2490.02</v>
      </c>
      <c r="I1369" s="79">
        <v>70.709999999999994</v>
      </c>
      <c r="J1369" s="79">
        <v>2560.73</v>
      </c>
      <c r="K1369" s="79">
        <v>0</v>
      </c>
      <c r="L1369" s="70">
        <v>2560.73</v>
      </c>
      <c r="M1369" s="132"/>
      <c r="N1369" s="79">
        <v>2490.02</v>
      </c>
      <c r="O1369" s="79">
        <v>70.709999999999994</v>
      </c>
      <c r="P1369" s="79">
        <v>2560.73</v>
      </c>
      <c r="Q1369" s="136"/>
      <c r="R1369" s="79">
        <v>2490.02</v>
      </c>
      <c r="S1369" s="79">
        <v>70.709999999999994</v>
      </c>
      <c r="T1369" s="79">
        <v>2560.73</v>
      </c>
      <c r="U1369" s="79">
        <v>0</v>
      </c>
      <c r="V1369" s="189">
        <v>2560.73</v>
      </c>
      <c r="X1369" s="79">
        <v>2490.02</v>
      </c>
      <c r="Y1369" s="79">
        <v>70.709999999999994</v>
      </c>
      <c r="Z1369" s="79">
        <v>2560.73</v>
      </c>
      <c r="AA1369" s="255">
        <v>0</v>
      </c>
      <c r="AC1369" s="254"/>
    </row>
    <row r="1370" spans="1:31" ht="12">
      <c r="A1370" s="67" t="s">
        <v>13142</v>
      </c>
      <c r="B1370" s="65" t="s">
        <v>13143</v>
      </c>
      <c r="C1370" s="71" t="s">
        <v>509</v>
      </c>
      <c r="D1370" s="78">
        <v>1</v>
      </c>
      <c r="E1370" s="79">
        <v>3765.65</v>
      </c>
      <c r="F1370" s="70">
        <v>3765.65</v>
      </c>
      <c r="G1370" s="320"/>
      <c r="H1370" s="79">
        <v>3694.94</v>
      </c>
      <c r="I1370" s="79">
        <v>70.709999999999994</v>
      </c>
      <c r="J1370" s="79">
        <v>3765.65</v>
      </c>
      <c r="K1370" s="79">
        <v>0</v>
      </c>
      <c r="L1370" s="70">
        <v>3765.65</v>
      </c>
      <c r="M1370" s="132"/>
      <c r="N1370" s="79">
        <v>3694.94</v>
      </c>
      <c r="O1370" s="79">
        <v>70.709999999999994</v>
      </c>
      <c r="P1370" s="79">
        <v>3765.65</v>
      </c>
      <c r="Q1370" s="136"/>
      <c r="R1370" s="79">
        <v>3694.94</v>
      </c>
      <c r="S1370" s="79">
        <v>70.709999999999994</v>
      </c>
      <c r="T1370" s="79">
        <v>3765.65</v>
      </c>
      <c r="U1370" s="79">
        <v>0</v>
      </c>
      <c r="V1370" s="189">
        <v>3765.65</v>
      </c>
      <c r="X1370" s="79">
        <v>3694.94</v>
      </c>
      <c r="Y1370" s="79">
        <v>70.709999999999994</v>
      </c>
      <c r="Z1370" s="79">
        <v>3765.65</v>
      </c>
      <c r="AA1370" s="255">
        <v>0</v>
      </c>
      <c r="AC1370" s="254"/>
    </row>
    <row r="1371" spans="1:31" ht="24">
      <c r="A1371" s="67" t="s">
        <v>13144</v>
      </c>
      <c r="B1371" s="65" t="s">
        <v>13145</v>
      </c>
      <c r="C1371" s="71" t="s">
        <v>509</v>
      </c>
      <c r="D1371" s="78">
        <v>1</v>
      </c>
      <c r="E1371" s="79">
        <v>3202.8199999999997</v>
      </c>
      <c r="F1371" s="70">
        <v>3202.82</v>
      </c>
      <c r="G1371" s="320"/>
      <c r="H1371" s="79">
        <v>3073.35</v>
      </c>
      <c r="I1371" s="79">
        <v>129.47</v>
      </c>
      <c r="J1371" s="79">
        <v>3202.8199999999997</v>
      </c>
      <c r="K1371" s="79">
        <v>0</v>
      </c>
      <c r="L1371" s="70">
        <v>3202.8199999999997</v>
      </c>
      <c r="M1371" s="132"/>
      <c r="N1371" s="79">
        <v>3073.35</v>
      </c>
      <c r="O1371" s="79">
        <v>129.47</v>
      </c>
      <c r="P1371" s="79">
        <v>3202.8199999999997</v>
      </c>
      <c r="Q1371" s="136"/>
      <c r="R1371" s="79">
        <v>3073.35</v>
      </c>
      <c r="S1371" s="79">
        <v>129.47999999999999</v>
      </c>
      <c r="T1371" s="79">
        <v>3202.83</v>
      </c>
      <c r="U1371" s="79">
        <v>0</v>
      </c>
      <c r="V1371" s="189">
        <v>3202.83</v>
      </c>
      <c r="X1371" s="79">
        <v>3073.35</v>
      </c>
      <c r="Y1371" s="79">
        <v>129.47999999999999</v>
      </c>
      <c r="Z1371" s="79">
        <v>3202.83</v>
      </c>
      <c r="AA1371" s="255">
        <v>-9.9999999997635314E-3</v>
      </c>
      <c r="AC1371" s="254"/>
      <c r="AD1371" s="61"/>
      <c r="AE1371" s="61"/>
    </row>
    <row r="1372" spans="1:31" ht="24">
      <c r="A1372" s="67" t="s">
        <v>13146</v>
      </c>
      <c r="B1372" s="65" t="s">
        <v>13147</v>
      </c>
      <c r="C1372" s="71" t="s">
        <v>509</v>
      </c>
      <c r="D1372" s="78">
        <v>1</v>
      </c>
      <c r="E1372" s="79">
        <v>4479.38</v>
      </c>
      <c r="F1372" s="70">
        <v>4479.38</v>
      </c>
      <c r="G1372" s="320"/>
      <c r="H1372" s="79">
        <v>4349.91</v>
      </c>
      <c r="I1372" s="79">
        <v>129.47</v>
      </c>
      <c r="J1372" s="79">
        <v>4479.38</v>
      </c>
      <c r="K1372" s="79">
        <v>0</v>
      </c>
      <c r="L1372" s="70">
        <v>4479.38</v>
      </c>
      <c r="M1372" s="132"/>
      <c r="N1372" s="79">
        <v>4349.91</v>
      </c>
      <c r="O1372" s="79">
        <v>129.47</v>
      </c>
      <c r="P1372" s="79">
        <v>4479.38</v>
      </c>
      <c r="Q1372" s="136"/>
      <c r="R1372" s="79">
        <v>4349.91</v>
      </c>
      <c r="S1372" s="79">
        <v>129.47999999999999</v>
      </c>
      <c r="T1372" s="79">
        <v>4479.3899999999994</v>
      </c>
      <c r="U1372" s="79">
        <v>0</v>
      </c>
      <c r="V1372" s="189">
        <v>4479.3899999999994</v>
      </c>
      <c r="X1372" s="79">
        <v>4349.91</v>
      </c>
      <c r="Y1372" s="79">
        <v>129.47999999999999</v>
      </c>
      <c r="Z1372" s="79">
        <v>4479.3900000000003</v>
      </c>
      <c r="AA1372" s="255">
        <v>-1.0000000000218279E-2</v>
      </c>
      <c r="AC1372" s="254"/>
    </row>
    <row r="1373" spans="1:31" s="61" customFormat="1" ht="24">
      <c r="A1373" s="67" t="s">
        <v>13148</v>
      </c>
      <c r="B1373" s="65" t="s">
        <v>13149</v>
      </c>
      <c r="C1373" s="71" t="s">
        <v>509</v>
      </c>
      <c r="D1373" s="78">
        <v>1</v>
      </c>
      <c r="E1373" s="79">
        <v>3458.9599999999996</v>
      </c>
      <c r="F1373" s="70">
        <v>3458.96</v>
      </c>
      <c r="G1373" s="320"/>
      <c r="H1373" s="79">
        <v>3329.49</v>
      </c>
      <c r="I1373" s="79">
        <v>129.47</v>
      </c>
      <c r="J1373" s="79">
        <v>3458.9599999999996</v>
      </c>
      <c r="K1373" s="79">
        <v>0</v>
      </c>
      <c r="L1373" s="70">
        <v>3458.9599999999996</v>
      </c>
      <c r="M1373" s="132"/>
      <c r="N1373" s="79">
        <v>3329.49</v>
      </c>
      <c r="O1373" s="79">
        <v>129.47</v>
      </c>
      <c r="P1373" s="79">
        <v>3458.9599999999996</v>
      </c>
      <c r="Q1373" s="136"/>
      <c r="R1373" s="79">
        <v>3329.49</v>
      </c>
      <c r="S1373" s="79">
        <v>129.47999999999999</v>
      </c>
      <c r="T1373" s="79">
        <v>3458.97</v>
      </c>
      <c r="U1373" s="79">
        <v>0</v>
      </c>
      <c r="V1373" s="189">
        <v>3458.97</v>
      </c>
      <c r="X1373" s="79">
        <v>3329.49</v>
      </c>
      <c r="Y1373" s="79">
        <v>129.47999999999999</v>
      </c>
      <c r="Z1373" s="79">
        <v>3458.97</v>
      </c>
      <c r="AA1373" s="255">
        <v>-9.9999999997635314E-3</v>
      </c>
      <c r="AC1373" s="254"/>
      <c r="AD1373" s="236"/>
      <c r="AE1373" s="236"/>
    </row>
    <row r="1374" spans="1:31" ht="24">
      <c r="A1374" s="67" t="s">
        <v>13150</v>
      </c>
      <c r="B1374" s="65" t="s">
        <v>13151</v>
      </c>
      <c r="C1374" s="71" t="s">
        <v>509</v>
      </c>
      <c r="D1374" s="78">
        <v>1</v>
      </c>
      <c r="E1374" s="79">
        <v>4515.5</v>
      </c>
      <c r="F1374" s="70">
        <v>4515.5</v>
      </c>
      <c r="G1374" s="320"/>
      <c r="H1374" s="79">
        <v>4386.03</v>
      </c>
      <c r="I1374" s="79">
        <v>129.47</v>
      </c>
      <c r="J1374" s="79">
        <v>4515.5</v>
      </c>
      <c r="K1374" s="79">
        <v>0</v>
      </c>
      <c r="L1374" s="70">
        <v>4515.5</v>
      </c>
      <c r="M1374" s="132"/>
      <c r="N1374" s="79">
        <v>4386.03</v>
      </c>
      <c r="O1374" s="79">
        <v>129.47</v>
      </c>
      <c r="P1374" s="79">
        <v>4515.5</v>
      </c>
      <c r="Q1374" s="136"/>
      <c r="R1374" s="79">
        <v>4386.03</v>
      </c>
      <c r="S1374" s="79">
        <v>129.47999999999999</v>
      </c>
      <c r="T1374" s="79">
        <v>4515.5099999999993</v>
      </c>
      <c r="U1374" s="79">
        <v>0</v>
      </c>
      <c r="V1374" s="189">
        <v>4515.5099999999993</v>
      </c>
      <c r="X1374" s="79">
        <v>4386.03</v>
      </c>
      <c r="Y1374" s="79">
        <v>129.47999999999999</v>
      </c>
      <c r="Z1374" s="79">
        <v>4515.51</v>
      </c>
      <c r="AA1374" s="255">
        <v>-1.0000000000218279E-2</v>
      </c>
      <c r="AC1374" s="254"/>
    </row>
    <row r="1375" spans="1:31" ht="24">
      <c r="A1375" s="67" t="s">
        <v>13152</v>
      </c>
      <c r="B1375" s="65" t="s">
        <v>13153</v>
      </c>
      <c r="C1375" s="71" t="s">
        <v>509</v>
      </c>
      <c r="D1375" s="78">
        <v>1</v>
      </c>
      <c r="E1375" s="79">
        <v>4581.12</v>
      </c>
      <c r="F1375" s="70">
        <v>4581.12</v>
      </c>
      <c r="G1375" s="320"/>
      <c r="H1375" s="79">
        <v>4451.6499999999996</v>
      </c>
      <c r="I1375" s="79">
        <v>129.47</v>
      </c>
      <c r="J1375" s="79">
        <v>4581.12</v>
      </c>
      <c r="K1375" s="79">
        <v>0</v>
      </c>
      <c r="L1375" s="70">
        <v>4581.12</v>
      </c>
      <c r="M1375" s="132"/>
      <c r="N1375" s="79">
        <v>4451.6499999999996</v>
      </c>
      <c r="O1375" s="79">
        <v>129.47</v>
      </c>
      <c r="P1375" s="79">
        <v>4581.12</v>
      </c>
      <c r="Q1375" s="136"/>
      <c r="R1375" s="79">
        <v>4451.6499999999996</v>
      </c>
      <c r="S1375" s="79">
        <v>129.47999999999999</v>
      </c>
      <c r="T1375" s="79">
        <v>4581.1299999999992</v>
      </c>
      <c r="U1375" s="79">
        <v>0</v>
      </c>
      <c r="V1375" s="189">
        <v>4581.1299999999992</v>
      </c>
      <c r="X1375" s="79">
        <v>4451.6499999999996</v>
      </c>
      <c r="Y1375" s="79">
        <v>129.47999999999999</v>
      </c>
      <c r="Z1375" s="79">
        <v>4581.13</v>
      </c>
      <c r="AA1375" s="255">
        <v>-1.0000000000218279E-2</v>
      </c>
      <c r="AC1375" s="254"/>
    </row>
    <row r="1376" spans="1:31" ht="24">
      <c r="A1376" s="67" t="s">
        <v>13154</v>
      </c>
      <c r="B1376" s="65" t="s">
        <v>13155</v>
      </c>
      <c r="C1376" s="71" t="s">
        <v>509</v>
      </c>
      <c r="D1376" s="78">
        <v>1</v>
      </c>
      <c r="E1376" s="79">
        <v>4342.8999999999996</v>
      </c>
      <c r="F1376" s="70">
        <v>4342.8999999999996</v>
      </c>
      <c r="G1376" s="320"/>
      <c r="H1376" s="79">
        <v>4272.1899999999996</v>
      </c>
      <c r="I1376" s="79">
        <v>70.709999999999994</v>
      </c>
      <c r="J1376" s="79">
        <v>4342.8999999999996</v>
      </c>
      <c r="K1376" s="79">
        <v>0</v>
      </c>
      <c r="L1376" s="70">
        <v>4342.8999999999996</v>
      </c>
      <c r="M1376" s="132"/>
      <c r="N1376" s="79">
        <v>4272.1899999999996</v>
      </c>
      <c r="O1376" s="79">
        <v>70.709999999999994</v>
      </c>
      <c r="P1376" s="79">
        <v>4342.8999999999996</v>
      </c>
      <c r="Q1376" s="136"/>
      <c r="R1376" s="79">
        <v>4272.1899999999996</v>
      </c>
      <c r="S1376" s="79">
        <v>70.709999999999994</v>
      </c>
      <c r="T1376" s="79">
        <v>4342.8999999999996</v>
      </c>
      <c r="U1376" s="79">
        <v>0</v>
      </c>
      <c r="V1376" s="189">
        <v>4342.8999999999996</v>
      </c>
      <c r="X1376" s="79">
        <v>4272.1899999999996</v>
      </c>
      <c r="Y1376" s="79">
        <v>70.709999999999994</v>
      </c>
      <c r="Z1376" s="79">
        <v>4342.8999999999996</v>
      </c>
      <c r="AA1376" s="255">
        <v>0</v>
      </c>
      <c r="AC1376" s="254"/>
    </row>
    <row r="1377" spans="1:31" ht="24">
      <c r="A1377" s="67" t="s">
        <v>13156</v>
      </c>
      <c r="B1377" s="65" t="s">
        <v>13157</v>
      </c>
      <c r="C1377" s="71" t="s">
        <v>509</v>
      </c>
      <c r="D1377" s="78">
        <v>1</v>
      </c>
      <c r="E1377" s="79">
        <v>2775.93</v>
      </c>
      <c r="F1377" s="70">
        <v>2775.93</v>
      </c>
      <c r="G1377" s="320"/>
      <c r="H1377" s="79">
        <v>2705.22</v>
      </c>
      <c r="I1377" s="79">
        <v>70.709999999999994</v>
      </c>
      <c r="J1377" s="79">
        <v>2775.93</v>
      </c>
      <c r="K1377" s="79">
        <v>0</v>
      </c>
      <c r="L1377" s="70">
        <v>2775.93</v>
      </c>
      <c r="M1377" s="132"/>
      <c r="N1377" s="79">
        <v>2705.22</v>
      </c>
      <c r="O1377" s="79">
        <v>70.709999999999994</v>
      </c>
      <c r="P1377" s="79">
        <v>2775.93</v>
      </c>
      <c r="Q1377" s="136"/>
      <c r="R1377" s="79">
        <v>2705.22</v>
      </c>
      <c r="S1377" s="79">
        <v>70.709999999999994</v>
      </c>
      <c r="T1377" s="79">
        <v>2775.93</v>
      </c>
      <c r="U1377" s="79">
        <v>0</v>
      </c>
      <c r="V1377" s="189">
        <v>2775.93</v>
      </c>
      <c r="X1377" s="79">
        <v>2705.22</v>
      </c>
      <c r="Y1377" s="79">
        <v>70.709999999999994</v>
      </c>
      <c r="Z1377" s="79">
        <v>2775.93</v>
      </c>
      <c r="AA1377" s="255">
        <v>0</v>
      </c>
      <c r="AC1377" s="254"/>
    </row>
    <row r="1378" spans="1:31" ht="24">
      <c r="A1378" s="67" t="s">
        <v>13158</v>
      </c>
      <c r="B1378" s="65" t="s">
        <v>13159</v>
      </c>
      <c r="C1378" s="71" t="s">
        <v>509</v>
      </c>
      <c r="D1378" s="78">
        <v>1</v>
      </c>
      <c r="E1378" s="79">
        <v>4658.8100000000004</v>
      </c>
      <c r="F1378" s="70">
        <v>4658.8100000000004</v>
      </c>
      <c r="G1378" s="320"/>
      <c r="H1378" s="79">
        <v>4588.1000000000004</v>
      </c>
      <c r="I1378" s="79">
        <v>70.709999999999994</v>
      </c>
      <c r="J1378" s="79">
        <v>4658.8100000000004</v>
      </c>
      <c r="K1378" s="79">
        <v>0</v>
      </c>
      <c r="L1378" s="70">
        <v>4658.8100000000004</v>
      </c>
      <c r="M1378" s="132"/>
      <c r="N1378" s="79">
        <v>4588.1000000000004</v>
      </c>
      <c r="O1378" s="79">
        <v>70.709999999999994</v>
      </c>
      <c r="P1378" s="79">
        <v>4658.8100000000004</v>
      </c>
      <c r="Q1378" s="136"/>
      <c r="R1378" s="79">
        <v>4588.1000000000004</v>
      </c>
      <c r="S1378" s="79">
        <v>70.709999999999994</v>
      </c>
      <c r="T1378" s="79">
        <v>4658.8100000000004</v>
      </c>
      <c r="U1378" s="79">
        <v>0</v>
      </c>
      <c r="V1378" s="189">
        <v>4658.8100000000004</v>
      </c>
      <c r="X1378" s="79">
        <v>4588.1000000000004</v>
      </c>
      <c r="Y1378" s="79">
        <v>70.709999999999994</v>
      </c>
      <c r="Z1378" s="79">
        <v>4658.8100000000004</v>
      </c>
      <c r="AA1378" s="255">
        <v>0</v>
      </c>
      <c r="AC1378" s="254"/>
    </row>
    <row r="1379" spans="1:31" ht="24">
      <c r="A1379" s="67" t="s">
        <v>13160</v>
      </c>
      <c r="B1379" s="65" t="s">
        <v>13161</v>
      </c>
      <c r="C1379" s="71" t="s">
        <v>509</v>
      </c>
      <c r="D1379" s="78">
        <v>1</v>
      </c>
      <c r="E1379" s="79">
        <v>4250.6499999999996</v>
      </c>
      <c r="F1379" s="70">
        <v>4250.6499999999996</v>
      </c>
      <c r="G1379" s="320"/>
      <c r="H1379" s="79">
        <v>3966.9599999999996</v>
      </c>
      <c r="I1379" s="79">
        <v>283.69</v>
      </c>
      <c r="J1379" s="79">
        <v>4250.6499999999996</v>
      </c>
      <c r="K1379" s="79">
        <v>0</v>
      </c>
      <c r="L1379" s="70">
        <v>4250.6499999999996</v>
      </c>
      <c r="M1379" s="132"/>
      <c r="N1379" s="79">
        <v>3966.9599999999996</v>
      </c>
      <c r="O1379" s="79">
        <v>283.69</v>
      </c>
      <c r="P1379" s="79">
        <v>4250.6499999999996</v>
      </c>
      <c r="Q1379" s="136"/>
      <c r="R1379" s="79">
        <v>3966.96</v>
      </c>
      <c r="S1379" s="79">
        <v>283.7</v>
      </c>
      <c r="T1379" s="79">
        <v>4250.66</v>
      </c>
      <c r="U1379" s="79">
        <v>0</v>
      </c>
      <c r="V1379" s="189">
        <v>4250.66</v>
      </c>
      <c r="X1379" s="79">
        <v>3966.96</v>
      </c>
      <c r="Y1379" s="79">
        <v>283.7</v>
      </c>
      <c r="Z1379" s="79">
        <v>4250.66</v>
      </c>
      <c r="AA1379" s="255">
        <v>-1.0000000000218279E-2</v>
      </c>
      <c r="AC1379" s="254"/>
    </row>
    <row r="1380" spans="1:31" ht="24">
      <c r="A1380" s="67" t="s">
        <v>13162</v>
      </c>
      <c r="B1380" s="65" t="s">
        <v>13163</v>
      </c>
      <c r="C1380" s="71" t="s">
        <v>509</v>
      </c>
      <c r="D1380" s="78">
        <v>1</v>
      </c>
      <c r="E1380" s="79">
        <v>3626.37</v>
      </c>
      <c r="F1380" s="70">
        <v>3626.37</v>
      </c>
      <c r="G1380" s="320"/>
      <c r="H1380" s="79">
        <v>3555.66</v>
      </c>
      <c r="I1380" s="79">
        <v>70.709999999999994</v>
      </c>
      <c r="J1380" s="79">
        <v>3626.37</v>
      </c>
      <c r="K1380" s="79">
        <v>0</v>
      </c>
      <c r="L1380" s="70">
        <v>3626.37</v>
      </c>
      <c r="M1380" s="132"/>
      <c r="N1380" s="79">
        <v>3555.66</v>
      </c>
      <c r="O1380" s="79">
        <v>70.709999999999994</v>
      </c>
      <c r="P1380" s="79">
        <v>3626.37</v>
      </c>
      <c r="Q1380" s="136"/>
      <c r="R1380" s="79">
        <v>3555.66</v>
      </c>
      <c r="S1380" s="79">
        <v>70.709999999999994</v>
      </c>
      <c r="T1380" s="79">
        <v>3626.37</v>
      </c>
      <c r="U1380" s="79">
        <v>0</v>
      </c>
      <c r="V1380" s="189">
        <v>3626.37</v>
      </c>
      <c r="X1380" s="79">
        <v>3555.66</v>
      </c>
      <c r="Y1380" s="79">
        <v>70.709999999999994</v>
      </c>
      <c r="Z1380" s="79">
        <v>3626.37</v>
      </c>
      <c r="AA1380" s="255">
        <v>0</v>
      </c>
      <c r="AC1380" s="254"/>
    </row>
    <row r="1381" spans="1:31" ht="24">
      <c r="A1381" s="67" t="s">
        <v>13164</v>
      </c>
      <c r="B1381" s="65" t="s">
        <v>13165</v>
      </c>
      <c r="C1381" s="71" t="s">
        <v>509</v>
      </c>
      <c r="D1381" s="78">
        <v>1</v>
      </c>
      <c r="E1381" s="79">
        <v>1814.91</v>
      </c>
      <c r="F1381" s="70">
        <v>1814.91</v>
      </c>
      <c r="G1381" s="320"/>
      <c r="H1381" s="79">
        <v>1744.2</v>
      </c>
      <c r="I1381" s="79">
        <v>70.709999999999994</v>
      </c>
      <c r="J1381" s="79">
        <v>1814.91</v>
      </c>
      <c r="K1381" s="79">
        <v>0</v>
      </c>
      <c r="L1381" s="70">
        <v>1814.91</v>
      </c>
      <c r="M1381" s="132"/>
      <c r="N1381" s="79">
        <v>1744.2</v>
      </c>
      <c r="O1381" s="79">
        <v>70.709999999999994</v>
      </c>
      <c r="P1381" s="79">
        <v>1814.91</v>
      </c>
      <c r="Q1381" s="136"/>
      <c r="R1381" s="79">
        <v>1744.2</v>
      </c>
      <c r="S1381" s="79">
        <v>70.709999999999994</v>
      </c>
      <c r="T1381" s="79">
        <v>1814.91</v>
      </c>
      <c r="U1381" s="79">
        <v>0</v>
      </c>
      <c r="V1381" s="189">
        <v>1814.91</v>
      </c>
      <c r="X1381" s="79">
        <v>1744.2</v>
      </c>
      <c r="Y1381" s="79">
        <v>70.709999999999994</v>
      </c>
      <c r="Z1381" s="79">
        <v>1814.91</v>
      </c>
      <c r="AA1381" s="255">
        <v>0</v>
      </c>
      <c r="AC1381" s="254"/>
    </row>
    <row r="1382" spans="1:31" ht="24">
      <c r="A1382" s="67" t="s">
        <v>13166</v>
      </c>
      <c r="B1382" s="65" t="s">
        <v>13167</v>
      </c>
      <c r="C1382" s="71" t="s">
        <v>509</v>
      </c>
      <c r="D1382" s="78">
        <v>1</v>
      </c>
      <c r="E1382" s="79">
        <v>2900.98</v>
      </c>
      <c r="F1382" s="70">
        <v>2900.98</v>
      </c>
      <c r="G1382" s="320"/>
      <c r="H1382" s="79">
        <v>2830.27</v>
      </c>
      <c r="I1382" s="79">
        <v>70.709999999999994</v>
      </c>
      <c r="J1382" s="79">
        <v>2900.98</v>
      </c>
      <c r="K1382" s="79">
        <v>0</v>
      </c>
      <c r="L1382" s="70">
        <v>2900.98</v>
      </c>
      <c r="M1382" s="132"/>
      <c r="N1382" s="79">
        <v>2830.27</v>
      </c>
      <c r="O1382" s="79">
        <v>70.709999999999994</v>
      </c>
      <c r="P1382" s="79">
        <v>2900.98</v>
      </c>
      <c r="Q1382" s="136"/>
      <c r="R1382" s="79">
        <v>2830.27</v>
      </c>
      <c r="S1382" s="79">
        <v>70.709999999999994</v>
      </c>
      <c r="T1382" s="79">
        <v>2900.98</v>
      </c>
      <c r="U1382" s="79">
        <v>0</v>
      </c>
      <c r="V1382" s="189">
        <v>2900.98</v>
      </c>
      <c r="X1382" s="79">
        <v>2830.27</v>
      </c>
      <c r="Y1382" s="79">
        <v>70.709999999999994</v>
      </c>
      <c r="Z1382" s="79">
        <v>2900.98</v>
      </c>
      <c r="AA1382" s="255">
        <v>0</v>
      </c>
      <c r="AC1382" s="254"/>
    </row>
    <row r="1383" spans="1:31" ht="24">
      <c r="A1383" s="67" t="s">
        <v>13168</v>
      </c>
      <c r="B1383" s="65" t="s">
        <v>13169</v>
      </c>
      <c r="C1383" s="71" t="s">
        <v>509</v>
      </c>
      <c r="D1383" s="78">
        <v>1</v>
      </c>
      <c r="E1383" s="79">
        <v>2389.4700000000003</v>
      </c>
      <c r="F1383" s="70">
        <v>2389.4699999999998</v>
      </c>
      <c r="G1383" s="320"/>
      <c r="H1383" s="79">
        <v>2318.7600000000002</v>
      </c>
      <c r="I1383" s="79">
        <v>70.709999999999994</v>
      </c>
      <c r="J1383" s="79">
        <v>2389.4700000000003</v>
      </c>
      <c r="K1383" s="79">
        <v>0</v>
      </c>
      <c r="L1383" s="70">
        <v>2389.4700000000003</v>
      </c>
      <c r="M1383" s="132"/>
      <c r="N1383" s="79">
        <v>2318.7600000000002</v>
      </c>
      <c r="O1383" s="79">
        <v>70.709999999999994</v>
      </c>
      <c r="P1383" s="79">
        <v>2389.4700000000003</v>
      </c>
      <c r="Q1383" s="136"/>
      <c r="R1383" s="79">
        <v>2318.7600000000002</v>
      </c>
      <c r="S1383" s="79">
        <v>70.709999999999994</v>
      </c>
      <c r="T1383" s="79">
        <v>2389.4700000000003</v>
      </c>
      <c r="U1383" s="79">
        <v>0</v>
      </c>
      <c r="V1383" s="189">
        <v>2389.4700000000003</v>
      </c>
      <c r="X1383" s="79">
        <v>2318.7600000000002</v>
      </c>
      <c r="Y1383" s="79">
        <v>70.709999999999994</v>
      </c>
      <c r="Z1383" s="79">
        <v>2389.4699999999998</v>
      </c>
      <c r="AA1383" s="255">
        <v>0</v>
      </c>
      <c r="AC1383" s="254"/>
    </row>
    <row r="1384" spans="1:31" ht="12">
      <c r="A1384" s="489" t="s">
        <v>13170</v>
      </c>
      <c r="B1384" s="490" t="s">
        <v>13171</v>
      </c>
      <c r="C1384" s="491"/>
      <c r="D1384" s="78"/>
      <c r="E1384" s="79"/>
      <c r="F1384" s="70"/>
      <c r="G1384" s="320"/>
      <c r="H1384" s="79"/>
      <c r="I1384" s="79"/>
      <c r="J1384" s="79"/>
      <c r="K1384" s="79"/>
      <c r="L1384" s="70"/>
      <c r="M1384" s="132"/>
      <c r="N1384" s="79"/>
      <c r="O1384" s="79"/>
      <c r="P1384" s="79"/>
      <c r="Q1384" s="136"/>
      <c r="R1384" s="79"/>
      <c r="S1384" s="79"/>
      <c r="T1384" s="79"/>
      <c r="U1384" s="79"/>
      <c r="V1384" s="189"/>
      <c r="X1384" s="79"/>
      <c r="Y1384" s="79"/>
      <c r="Z1384" s="79"/>
      <c r="AA1384" s="255"/>
      <c r="AC1384" s="254"/>
    </row>
    <row r="1385" spans="1:31" ht="12">
      <c r="A1385" s="67" t="s">
        <v>13172</v>
      </c>
      <c r="B1385" s="65" t="s">
        <v>13173</v>
      </c>
      <c r="C1385" s="71" t="s">
        <v>165</v>
      </c>
      <c r="D1385" s="78">
        <v>1</v>
      </c>
      <c r="E1385" s="79">
        <v>987.94</v>
      </c>
      <c r="F1385" s="70">
        <v>987.94</v>
      </c>
      <c r="G1385" s="320"/>
      <c r="H1385" s="79">
        <v>929.17000000000007</v>
      </c>
      <c r="I1385" s="79">
        <v>58.77</v>
      </c>
      <c r="J1385" s="79">
        <v>987.94</v>
      </c>
      <c r="K1385" s="79">
        <v>0</v>
      </c>
      <c r="L1385" s="70">
        <v>987.94</v>
      </c>
      <c r="M1385" s="132"/>
      <c r="N1385" s="79">
        <v>929.17000000000007</v>
      </c>
      <c r="O1385" s="79">
        <v>58.77</v>
      </c>
      <c r="P1385" s="79">
        <v>987.94</v>
      </c>
      <c r="Q1385" s="136"/>
      <c r="R1385" s="79">
        <v>929.17</v>
      </c>
      <c r="S1385" s="79">
        <v>58.77</v>
      </c>
      <c r="T1385" s="79">
        <v>987.93999999999994</v>
      </c>
      <c r="U1385" s="79">
        <v>0</v>
      </c>
      <c r="V1385" s="189">
        <v>987.93999999999994</v>
      </c>
      <c r="X1385" s="79">
        <v>929.17</v>
      </c>
      <c r="Y1385" s="79">
        <v>58.77</v>
      </c>
      <c r="Z1385" s="79">
        <v>987.94</v>
      </c>
      <c r="AA1385" s="255">
        <v>0</v>
      </c>
      <c r="AC1385" s="254"/>
    </row>
    <row r="1386" spans="1:31" ht="12">
      <c r="A1386" s="489" t="s">
        <v>13174</v>
      </c>
      <c r="B1386" s="490" t="s">
        <v>13175</v>
      </c>
      <c r="C1386" s="491"/>
      <c r="D1386" s="468"/>
      <c r="E1386" s="467"/>
      <c r="F1386" s="500"/>
      <c r="G1386" s="320"/>
      <c r="H1386" s="79"/>
      <c r="I1386" s="79"/>
      <c r="J1386" s="79"/>
      <c r="K1386" s="79"/>
      <c r="L1386" s="70"/>
      <c r="M1386" s="132"/>
      <c r="N1386" s="79"/>
      <c r="O1386" s="79"/>
      <c r="P1386" s="79"/>
      <c r="Q1386" s="136"/>
      <c r="R1386" s="79"/>
      <c r="S1386" s="79"/>
      <c r="T1386" s="79"/>
      <c r="U1386" s="79"/>
      <c r="V1386" s="189"/>
      <c r="X1386" s="79"/>
      <c r="Y1386" s="79"/>
      <c r="Z1386" s="79"/>
      <c r="AA1386" s="255"/>
      <c r="AC1386" s="254"/>
    </row>
    <row r="1387" spans="1:31" ht="12">
      <c r="A1387" s="67" t="s">
        <v>13176</v>
      </c>
      <c r="B1387" s="65" t="s">
        <v>13177</v>
      </c>
      <c r="C1387" s="71" t="s">
        <v>509</v>
      </c>
      <c r="D1387" s="78">
        <v>1</v>
      </c>
      <c r="E1387" s="79">
        <v>731.29</v>
      </c>
      <c r="F1387" s="70">
        <v>731.29</v>
      </c>
      <c r="G1387" s="320"/>
      <c r="H1387" s="79">
        <v>680.93999999999994</v>
      </c>
      <c r="I1387" s="79">
        <v>50.349999999999994</v>
      </c>
      <c r="J1387" s="79">
        <v>731.29</v>
      </c>
      <c r="K1387" s="79">
        <v>0</v>
      </c>
      <c r="L1387" s="70">
        <v>731.29</v>
      </c>
      <c r="M1387" s="132"/>
      <c r="N1387" s="79">
        <v>680.93999999999994</v>
      </c>
      <c r="O1387" s="79">
        <v>50.349999999999994</v>
      </c>
      <c r="P1387" s="79">
        <v>731.29</v>
      </c>
      <c r="Q1387" s="136"/>
      <c r="R1387" s="79">
        <v>680.94</v>
      </c>
      <c r="S1387" s="79">
        <v>50.35</v>
      </c>
      <c r="T1387" s="79">
        <v>731.29000000000008</v>
      </c>
      <c r="U1387" s="79">
        <v>0</v>
      </c>
      <c r="V1387" s="189">
        <v>731.29000000000008</v>
      </c>
      <c r="X1387" s="79">
        <v>680.94</v>
      </c>
      <c r="Y1387" s="79">
        <v>50.35</v>
      </c>
      <c r="Z1387" s="79">
        <v>731.29</v>
      </c>
      <c r="AA1387" s="255">
        <v>0</v>
      </c>
      <c r="AC1387" s="254"/>
    </row>
    <row r="1388" spans="1:31" ht="24">
      <c r="A1388" s="67" t="s">
        <v>13178</v>
      </c>
      <c r="B1388" s="65" t="s">
        <v>13179</v>
      </c>
      <c r="C1388" s="71" t="s">
        <v>509</v>
      </c>
      <c r="D1388" s="78">
        <v>1</v>
      </c>
      <c r="E1388" s="79">
        <v>1127.96</v>
      </c>
      <c r="F1388" s="70">
        <v>1127.96</v>
      </c>
      <c r="G1388" s="320"/>
      <c r="H1388" s="79">
        <v>986.71</v>
      </c>
      <c r="I1388" s="79">
        <v>141.25</v>
      </c>
      <c r="J1388" s="79">
        <v>1127.96</v>
      </c>
      <c r="K1388" s="79">
        <v>0</v>
      </c>
      <c r="L1388" s="70">
        <v>1127.96</v>
      </c>
      <c r="M1388" s="132"/>
      <c r="N1388" s="78">
        <v>986.71</v>
      </c>
      <c r="O1388" s="78">
        <v>141.25</v>
      </c>
      <c r="P1388" s="79">
        <v>1127.96</v>
      </c>
      <c r="Q1388" s="136"/>
      <c r="R1388" s="79">
        <v>986.71</v>
      </c>
      <c r="S1388" s="79">
        <v>141.26</v>
      </c>
      <c r="T1388" s="79">
        <v>1127.97</v>
      </c>
      <c r="U1388" s="79">
        <v>0</v>
      </c>
      <c r="V1388" s="189">
        <v>1127.97</v>
      </c>
      <c r="X1388" s="78">
        <v>986.71</v>
      </c>
      <c r="Y1388" s="78">
        <v>141.26</v>
      </c>
      <c r="Z1388" s="79">
        <v>1127.97</v>
      </c>
      <c r="AA1388" s="255">
        <v>-9.9999999999909051E-3</v>
      </c>
      <c r="AC1388" s="254"/>
    </row>
    <row r="1389" spans="1:31" ht="12">
      <c r="A1389" s="489" t="s">
        <v>13180</v>
      </c>
      <c r="B1389" s="490" t="s">
        <v>13181</v>
      </c>
      <c r="C1389" s="491"/>
      <c r="D1389" s="63"/>
      <c r="E1389" s="79"/>
      <c r="F1389" s="63"/>
      <c r="G1389" s="320"/>
      <c r="H1389" s="79"/>
      <c r="I1389" s="79"/>
      <c r="J1389" s="79"/>
      <c r="K1389" s="79"/>
      <c r="L1389" s="70"/>
      <c r="M1389" s="132"/>
      <c r="N1389" s="79"/>
      <c r="O1389" s="79"/>
      <c r="P1389" s="79"/>
      <c r="Q1389" s="136"/>
      <c r="R1389" s="79"/>
      <c r="S1389" s="79"/>
      <c r="T1389" s="79"/>
      <c r="U1389" s="79"/>
      <c r="V1389" s="189"/>
      <c r="X1389" s="79"/>
      <c r="Y1389" s="79"/>
      <c r="Z1389" s="79"/>
      <c r="AA1389" s="255"/>
      <c r="AC1389" s="254"/>
    </row>
    <row r="1390" spans="1:31" ht="24">
      <c r="A1390" s="67" t="s">
        <v>13182</v>
      </c>
      <c r="B1390" s="65" t="s">
        <v>13183</v>
      </c>
      <c r="C1390" s="71" t="s">
        <v>165</v>
      </c>
      <c r="D1390" s="78">
        <v>1</v>
      </c>
      <c r="E1390" s="79">
        <v>736.3</v>
      </c>
      <c r="F1390" s="70">
        <v>736.3</v>
      </c>
      <c r="G1390" s="320"/>
      <c r="H1390" s="79">
        <v>675.89</v>
      </c>
      <c r="I1390" s="79">
        <v>60.41</v>
      </c>
      <c r="J1390" s="79">
        <v>736.3</v>
      </c>
      <c r="K1390" s="79">
        <v>0</v>
      </c>
      <c r="L1390" s="70">
        <v>736.3</v>
      </c>
      <c r="M1390" s="132"/>
      <c r="N1390" s="78">
        <v>675.89</v>
      </c>
      <c r="O1390" s="78">
        <v>60.41</v>
      </c>
      <c r="P1390" s="79">
        <v>736.3</v>
      </c>
      <c r="Q1390" s="136"/>
      <c r="R1390" s="79">
        <v>675.89</v>
      </c>
      <c r="S1390" s="79">
        <v>60.42</v>
      </c>
      <c r="T1390" s="79">
        <v>736.31</v>
      </c>
      <c r="U1390" s="79">
        <v>0</v>
      </c>
      <c r="V1390" s="189">
        <v>736.31</v>
      </c>
      <c r="X1390" s="78">
        <v>675.89</v>
      </c>
      <c r="Y1390" s="78">
        <v>60.42</v>
      </c>
      <c r="Z1390" s="79">
        <v>736.31</v>
      </c>
      <c r="AA1390" s="255">
        <v>-9.9999999999909051E-3</v>
      </c>
      <c r="AC1390" s="254"/>
    </row>
    <row r="1391" spans="1:31" ht="12">
      <c r="A1391" s="67" t="s">
        <v>13184</v>
      </c>
      <c r="B1391" s="65" t="s">
        <v>13185</v>
      </c>
      <c r="C1391" s="71" t="s">
        <v>165</v>
      </c>
      <c r="D1391" s="78">
        <v>1</v>
      </c>
      <c r="E1391" s="79">
        <v>591.42000000000007</v>
      </c>
      <c r="F1391" s="70">
        <v>591.41999999999996</v>
      </c>
      <c r="G1391" s="320"/>
      <c r="H1391" s="79">
        <v>566.22</v>
      </c>
      <c r="I1391" s="79">
        <v>25.2</v>
      </c>
      <c r="J1391" s="79">
        <v>591.42000000000007</v>
      </c>
      <c r="K1391" s="79">
        <v>0</v>
      </c>
      <c r="L1391" s="70">
        <v>591.42000000000007</v>
      </c>
      <c r="M1391" s="132"/>
      <c r="N1391" s="78">
        <v>566.22</v>
      </c>
      <c r="O1391" s="78">
        <v>25.2</v>
      </c>
      <c r="P1391" s="79">
        <v>591.42000000000007</v>
      </c>
      <c r="Q1391" s="136"/>
      <c r="R1391" s="79">
        <v>566.22</v>
      </c>
      <c r="S1391" s="79">
        <v>25.18</v>
      </c>
      <c r="T1391" s="79">
        <v>591.4</v>
      </c>
      <c r="U1391" s="79">
        <v>0</v>
      </c>
      <c r="V1391" s="189">
        <v>591.4</v>
      </c>
      <c r="X1391" s="78">
        <v>566.22</v>
      </c>
      <c r="Y1391" s="78">
        <v>25.18</v>
      </c>
      <c r="Z1391" s="79">
        <v>591.4</v>
      </c>
      <c r="AA1391" s="255">
        <v>1.999999999998181E-2</v>
      </c>
      <c r="AC1391" s="254"/>
    </row>
    <row r="1392" spans="1:31" ht="24">
      <c r="A1392" s="67" t="s">
        <v>13186</v>
      </c>
      <c r="B1392" s="65" t="s">
        <v>13187</v>
      </c>
      <c r="C1392" s="71" t="s">
        <v>165</v>
      </c>
      <c r="D1392" s="78">
        <v>1</v>
      </c>
      <c r="E1392" s="79">
        <v>628.82000000000005</v>
      </c>
      <c r="F1392" s="70">
        <v>628.82000000000005</v>
      </c>
      <c r="G1392" s="320"/>
      <c r="H1392" s="79">
        <v>578.47</v>
      </c>
      <c r="I1392" s="79">
        <v>50.349999999999994</v>
      </c>
      <c r="J1392" s="79">
        <v>628.82000000000005</v>
      </c>
      <c r="K1392" s="79">
        <v>0</v>
      </c>
      <c r="L1392" s="70">
        <v>628.82000000000005</v>
      </c>
      <c r="M1392" s="132"/>
      <c r="N1392" s="78">
        <v>578.47</v>
      </c>
      <c r="O1392" s="78">
        <v>50.349999999999994</v>
      </c>
      <c r="P1392" s="79">
        <v>628.82000000000005</v>
      </c>
      <c r="Q1392" s="136"/>
      <c r="R1392" s="79">
        <v>578.47</v>
      </c>
      <c r="S1392" s="79">
        <v>50.35</v>
      </c>
      <c r="T1392" s="79">
        <v>628.82000000000005</v>
      </c>
      <c r="U1392" s="79">
        <v>0</v>
      </c>
      <c r="V1392" s="189">
        <v>628.82000000000005</v>
      </c>
      <c r="X1392" s="78">
        <v>578.47</v>
      </c>
      <c r="Y1392" s="78">
        <v>50.35</v>
      </c>
      <c r="Z1392" s="79">
        <v>628.82000000000005</v>
      </c>
      <c r="AA1392" s="255">
        <v>0</v>
      </c>
      <c r="AC1392" s="254"/>
      <c r="AD1392" s="61"/>
      <c r="AE1392" s="61"/>
    </row>
    <row r="1393" spans="1:31" ht="12">
      <c r="A1393" s="489" t="s">
        <v>13188</v>
      </c>
      <c r="B1393" s="490" t="s">
        <v>13189</v>
      </c>
      <c r="C1393" s="491"/>
      <c r="D1393" s="492"/>
      <c r="E1393" s="79"/>
      <c r="F1393" s="63"/>
      <c r="G1393" s="320"/>
      <c r="H1393" s="79"/>
      <c r="I1393" s="79"/>
      <c r="J1393" s="79"/>
      <c r="K1393" s="79"/>
      <c r="L1393" s="70"/>
      <c r="M1393" s="132"/>
      <c r="N1393" s="79"/>
      <c r="O1393" s="79"/>
      <c r="P1393" s="79"/>
      <c r="Q1393" s="136"/>
      <c r="R1393" s="79"/>
      <c r="S1393" s="79"/>
      <c r="T1393" s="79"/>
      <c r="U1393" s="79"/>
      <c r="V1393" s="189"/>
      <c r="X1393" s="79"/>
      <c r="Y1393" s="79"/>
      <c r="Z1393" s="79"/>
      <c r="AA1393" s="255"/>
      <c r="AC1393" s="254"/>
    </row>
    <row r="1394" spans="1:31" s="61" customFormat="1" ht="12">
      <c r="A1394" s="67" t="s">
        <v>13190</v>
      </c>
      <c r="B1394" s="65" t="s">
        <v>13191</v>
      </c>
      <c r="C1394" s="71" t="s">
        <v>509</v>
      </c>
      <c r="D1394" s="78">
        <v>1</v>
      </c>
      <c r="E1394" s="79">
        <v>50.349999999999994</v>
      </c>
      <c r="F1394" s="70">
        <v>50.35</v>
      </c>
      <c r="G1394" s="320"/>
      <c r="H1394" s="79">
        <v>0</v>
      </c>
      <c r="I1394" s="79">
        <v>50.349999999999994</v>
      </c>
      <c r="J1394" s="79">
        <v>50.349999999999994</v>
      </c>
      <c r="K1394" s="79">
        <v>0</v>
      </c>
      <c r="L1394" s="70">
        <v>50.349999999999994</v>
      </c>
      <c r="M1394" s="132"/>
      <c r="N1394" s="79"/>
      <c r="O1394" s="79">
        <v>50.349999999999994</v>
      </c>
      <c r="P1394" s="79">
        <v>50.349999999999994</v>
      </c>
      <c r="Q1394" s="136"/>
      <c r="R1394" s="79"/>
      <c r="S1394" s="79">
        <v>50.35</v>
      </c>
      <c r="T1394" s="79">
        <v>50.35</v>
      </c>
      <c r="U1394" s="79">
        <v>0</v>
      </c>
      <c r="V1394" s="189">
        <v>50.35</v>
      </c>
      <c r="X1394" s="79"/>
      <c r="Y1394" s="79">
        <v>50.35</v>
      </c>
      <c r="Z1394" s="79">
        <v>50.35</v>
      </c>
      <c r="AA1394" s="255">
        <v>0</v>
      </c>
      <c r="AC1394" s="254"/>
      <c r="AD1394" s="236"/>
      <c r="AE1394" s="236"/>
    </row>
    <row r="1395" spans="1:31" ht="12">
      <c r="A1395" s="67" t="s">
        <v>13192</v>
      </c>
      <c r="B1395" s="65" t="s">
        <v>13193</v>
      </c>
      <c r="C1395" s="71" t="s">
        <v>165</v>
      </c>
      <c r="D1395" s="78">
        <v>1</v>
      </c>
      <c r="E1395" s="79">
        <v>15.170000000000002</v>
      </c>
      <c r="F1395" s="70">
        <v>15.17</v>
      </c>
      <c r="G1395" s="320"/>
      <c r="H1395" s="79">
        <v>2.0699999999999998</v>
      </c>
      <c r="I1395" s="79">
        <v>13.100000000000001</v>
      </c>
      <c r="J1395" s="79">
        <v>15.170000000000002</v>
      </c>
      <c r="K1395" s="79">
        <v>0</v>
      </c>
      <c r="L1395" s="70">
        <v>15.170000000000002</v>
      </c>
      <c r="M1395" s="132"/>
      <c r="N1395" s="79">
        <v>2.0699999999999998</v>
      </c>
      <c r="O1395" s="79">
        <v>13.100000000000001</v>
      </c>
      <c r="P1395" s="79">
        <v>15.170000000000002</v>
      </c>
      <c r="Q1395" s="136"/>
      <c r="R1395" s="79">
        <v>2.0699999999999998</v>
      </c>
      <c r="S1395" s="79">
        <v>13.09</v>
      </c>
      <c r="T1395" s="79">
        <v>15.16</v>
      </c>
      <c r="U1395" s="79">
        <v>0</v>
      </c>
      <c r="V1395" s="189">
        <v>15.16</v>
      </c>
      <c r="X1395" s="79">
        <v>2.0699999999999998</v>
      </c>
      <c r="Y1395" s="79">
        <v>13.09</v>
      </c>
      <c r="Z1395" s="79">
        <v>15.16</v>
      </c>
      <c r="AA1395" s="255">
        <v>9.9999999999997868E-3</v>
      </c>
      <c r="AC1395" s="254"/>
    </row>
    <row r="1396" spans="1:31" ht="12">
      <c r="A1396" s="67" t="s">
        <v>13194</v>
      </c>
      <c r="B1396" s="65" t="s">
        <v>13195</v>
      </c>
      <c r="C1396" s="71" t="s">
        <v>165</v>
      </c>
      <c r="D1396" s="78">
        <v>1</v>
      </c>
      <c r="E1396" s="79">
        <v>30.22</v>
      </c>
      <c r="F1396" s="70">
        <v>30.22</v>
      </c>
      <c r="G1396" s="320"/>
      <c r="H1396" s="79">
        <v>0</v>
      </c>
      <c r="I1396" s="79">
        <v>30.22</v>
      </c>
      <c r="J1396" s="79">
        <v>30.22</v>
      </c>
      <c r="K1396" s="79">
        <v>0</v>
      </c>
      <c r="L1396" s="70">
        <v>30.22</v>
      </c>
      <c r="M1396" s="132"/>
      <c r="N1396" s="79"/>
      <c r="O1396" s="79">
        <v>30.22</v>
      </c>
      <c r="P1396" s="79">
        <v>30.22</v>
      </c>
      <c r="Q1396" s="136"/>
      <c r="R1396" s="79"/>
      <c r="S1396" s="79">
        <v>30.21</v>
      </c>
      <c r="T1396" s="79">
        <v>30.21</v>
      </c>
      <c r="U1396" s="79">
        <v>0</v>
      </c>
      <c r="V1396" s="189">
        <v>30.21</v>
      </c>
      <c r="X1396" s="79"/>
      <c r="Y1396" s="79">
        <v>30.21</v>
      </c>
      <c r="Z1396" s="79">
        <v>30.21</v>
      </c>
      <c r="AA1396" s="255">
        <v>9.9999999999980105E-3</v>
      </c>
      <c r="AC1396" s="254"/>
    </row>
    <row r="1397" spans="1:31" ht="12">
      <c r="A1397" s="67" t="s">
        <v>13196</v>
      </c>
      <c r="B1397" s="65" t="s">
        <v>13197</v>
      </c>
      <c r="C1397" s="71" t="s">
        <v>165</v>
      </c>
      <c r="D1397" s="78">
        <v>1</v>
      </c>
      <c r="E1397" s="79">
        <v>55.66</v>
      </c>
      <c r="F1397" s="70">
        <v>55.66</v>
      </c>
      <c r="G1397" s="320"/>
      <c r="H1397" s="79">
        <v>24.21</v>
      </c>
      <c r="I1397" s="79">
        <v>31.450000000000003</v>
      </c>
      <c r="J1397" s="79">
        <v>55.660000000000004</v>
      </c>
      <c r="K1397" s="79">
        <v>0</v>
      </c>
      <c r="L1397" s="70">
        <v>55.660000000000004</v>
      </c>
      <c r="M1397" s="132"/>
      <c r="N1397" s="79">
        <v>24.21</v>
      </c>
      <c r="O1397" s="79">
        <v>31.450000000000003</v>
      </c>
      <c r="P1397" s="79">
        <v>55.660000000000004</v>
      </c>
      <c r="Q1397" s="136"/>
      <c r="R1397" s="79">
        <v>24.21</v>
      </c>
      <c r="S1397" s="79">
        <v>31.46</v>
      </c>
      <c r="T1397" s="79">
        <v>55.67</v>
      </c>
      <c r="U1397" s="79">
        <v>0</v>
      </c>
      <c r="V1397" s="189">
        <v>55.67</v>
      </c>
      <c r="X1397" s="79">
        <v>24.21</v>
      </c>
      <c r="Y1397" s="79">
        <v>31.46</v>
      </c>
      <c r="Z1397" s="79">
        <v>55.67</v>
      </c>
      <c r="AA1397" s="255">
        <v>-1.0000000000005116E-2</v>
      </c>
      <c r="AC1397" s="254"/>
    </row>
    <row r="1398" spans="1:31" ht="12">
      <c r="A1398" s="67" t="s">
        <v>13198</v>
      </c>
      <c r="B1398" s="65" t="s">
        <v>13199</v>
      </c>
      <c r="C1398" s="71" t="s">
        <v>396</v>
      </c>
      <c r="D1398" s="78">
        <v>1</v>
      </c>
      <c r="E1398" s="79">
        <v>4130.84</v>
      </c>
      <c r="F1398" s="70">
        <v>4130.84</v>
      </c>
      <c r="G1398" s="320"/>
      <c r="H1398" s="79">
        <v>4013.3</v>
      </c>
      <c r="I1398" s="79">
        <v>117.54</v>
      </c>
      <c r="J1398" s="79">
        <v>4130.84</v>
      </c>
      <c r="K1398" s="79">
        <v>0</v>
      </c>
      <c r="L1398" s="70">
        <v>4130.84</v>
      </c>
      <c r="M1398" s="132"/>
      <c r="N1398" s="79">
        <v>4013.3</v>
      </c>
      <c r="O1398" s="79">
        <v>117.54</v>
      </c>
      <c r="P1398" s="79">
        <v>4130.84</v>
      </c>
      <c r="Q1398" s="136"/>
      <c r="R1398" s="79">
        <v>4013.3</v>
      </c>
      <c r="S1398" s="79">
        <v>117.54</v>
      </c>
      <c r="T1398" s="79">
        <v>4130.84</v>
      </c>
      <c r="U1398" s="79">
        <v>0</v>
      </c>
      <c r="V1398" s="189">
        <v>4130.84</v>
      </c>
      <c r="X1398" s="79">
        <v>4013.3</v>
      </c>
      <c r="Y1398" s="79">
        <v>117.54</v>
      </c>
      <c r="Z1398" s="79">
        <v>4130.84</v>
      </c>
      <c r="AA1398" s="255">
        <v>0</v>
      </c>
      <c r="AC1398" s="254"/>
    </row>
    <row r="1399" spans="1:31" ht="12">
      <c r="A1399" s="67" t="s">
        <v>13200</v>
      </c>
      <c r="B1399" s="65" t="s">
        <v>13201</v>
      </c>
      <c r="C1399" s="71" t="s">
        <v>165</v>
      </c>
      <c r="D1399" s="78">
        <v>1</v>
      </c>
      <c r="E1399" s="79">
        <v>246.47</v>
      </c>
      <c r="F1399" s="70">
        <v>246.47</v>
      </c>
      <c r="G1399" s="320"/>
      <c r="H1399" s="79">
        <v>233.37</v>
      </c>
      <c r="I1399" s="79">
        <v>13.100000000000001</v>
      </c>
      <c r="J1399" s="79">
        <v>246.47</v>
      </c>
      <c r="K1399" s="79">
        <v>0</v>
      </c>
      <c r="L1399" s="70">
        <v>246.47</v>
      </c>
      <c r="M1399" s="132"/>
      <c r="N1399" s="79">
        <v>233.37</v>
      </c>
      <c r="O1399" s="79">
        <v>13.100000000000001</v>
      </c>
      <c r="P1399" s="79">
        <v>246.47</v>
      </c>
      <c r="Q1399" s="136"/>
      <c r="R1399" s="79">
        <v>233.37</v>
      </c>
      <c r="S1399" s="79">
        <v>13.09</v>
      </c>
      <c r="T1399" s="79">
        <v>246.46</v>
      </c>
      <c r="U1399" s="79">
        <v>0</v>
      </c>
      <c r="V1399" s="189">
        <v>246.46</v>
      </c>
      <c r="X1399" s="79">
        <v>233.37</v>
      </c>
      <c r="Y1399" s="79">
        <v>13.09</v>
      </c>
      <c r="Z1399" s="79">
        <v>246.46</v>
      </c>
      <c r="AA1399" s="255">
        <v>9.9999999999909051E-3</v>
      </c>
      <c r="AC1399" s="254"/>
      <c r="AD1399" s="61"/>
      <c r="AE1399" s="61"/>
    </row>
    <row r="1400" spans="1:31" ht="12">
      <c r="A1400" s="67" t="s">
        <v>13202</v>
      </c>
      <c r="B1400" s="65" t="s">
        <v>1767</v>
      </c>
      <c r="C1400" s="71" t="s">
        <v>165</v>
      </c>
      <c r="D1400" s="78">
        <v>1</v>
      </c>
      <c r="E1400" s="79">
        <v>341.94</v>
      </c>
      <c r="F1400" s="70">
        <v>341.94</v>
      </c>
      <c r="G1400" s="320"/>
      <c r="H1400" s="79">
        <v>328.84</v>
      </c>
      <c r="I1400" s="79">
        <v>13.100000000000001</v>
      </c>
      <c r="J1400" s="79">
        <v>341.94</v>
      </c>
      <c r="K1400" s="79">
        <v>0</v>
      </c>
      <c r="L1400" s="70">
        <v>341.94</v>
      </c>
      <c r="M1400" s="132"/>
      <c r="N1400" s="79">
        <v>328.84</v>
      </c>
      <c r="O1400" s="79">
        <v>13.100000000000001</v>
      </c>
      <c r="P1400" s="79">
        <v>341.94</v>
      </c>
      <c r="Q1400" s="136"/>
      <c r="R1400" s="79">
        <v>328.84</v>
      </c>
      <c r="S1400" s="79">
        <v>13.09</v>
      </c>
      <c r="T1400" s="79">
        <v>341.92999999999995</v>
      </c>
      <c r="U1400" s="79">
        <v>0</v>
      </c>
      <c r="V1400" s="189">
        <v>341.92999999999995</v>
      </c>
      <c r="X1400" s="79">
        <v>328.84</v>
      </c>
      <c r="Y1400" s="79">
        <v>13.09</v>
      </c>
      <c r="Z1400" s="79">
        <v>341.93</v>
      </c>
      <c r="AA1400" s="255">
        <v>9.9999999999909051E-3</v>
      </c>
      <c r="AC1400" s="254"/>
    </row>
    <row r="1401" spans="1:31" s="61" customFormat="1" ht="12">
      <c r="A1401" s="67" t="s">
        <v>13203</v>
      </c>
      <c r="B1401" s="65" t="s">
        <v>13204</v>
      </c>
      <c r="C1401" s="71" t="s">
        <v>509</v>
      </c>
      <c r="D1401" s="78">
        <v>1</v>
      </c>
      <c r="E1401" s="79">
        <v>284.07</v>
      </c>
      <c r="F1401" s="70">
        <v>284.07</v>
      </c>
      <c r="G1401" s="320"/>
      <c r="H1401" s="79">
        <v>223.66</v>
      </c>
      <c r="I1401" s="79">
        <v>60.41</v>
      </c>
      <c r="J1401" s="79">
        <v>284.07</v>
      </c>
      <c r="K1401" s="79">
        <v>0</v>
      </c>
      <c r="L1401" s="70">
        <v>284.07</v>
      </c>
      <c r="M1401" s="132"/>
      <c r="N1401" s="79">
        <v>223.66</v>
      </c>
      <c r="O1401" s="79">
        <v>60.41</v>
      </c>
      <c r="P1401" s="79">
        <v>284.07</v>
      </c>
      <c r="Q1401" s="136"/>
      <c r="R1401" s="79">
        <v>223.66</v>
      </c>
      <c r="S1401" s="79">
        <v>60.42</v>
      </c>
      <c r="T1401" s="79">
        <v>284.08</v>
      </c>
      <c r="U1401" s="79">
        <v>0</v>
      </c>
      <c r="V1401" s="189">
        <v>284.08</v>
      </c>
      <c r="X1401" s="79">
        <v>223.66</v>
      </c>
      <c r="Y1401" s="79">
        <v>60.42</v>
      </c>
      <c r="Z1401" s="79">
        <v>284.08</v>
      </c>
      <c r="AA1401" s="255">
        <v>-9.9999999999909051E-3</v>
      </c>
      <c r="AC1401" s="254"/>
      <c r="AD1401" s="236"/>
      <c r="AE1401" s="236"/>
    </row>
    <row r="1402" spans="1:31" ht="12">
      <c r="A1402" s="67" t="s">
        <v>13205</v>
      </c>
      <c r="B1402" s="65" t="s">
        <v>13206</v>
      </c>
      <c r="C1402" s="71" t="s">
        <v>509</v>
      </c>
      <c r="D1402" s="78">
        <v>1</v>
      </c>
      <c r="E1402" s="79">
        <v>117.07000000000001</v>
      </c>
      <c r="F1402" s="70">
        <v>117.07</v>
      </c>
      <c r="G1402" s="320"/>
      <c r="H1402" s="79">
        <v>106.09</v>
      </c>
      <c r="I1402" s="79">
        <v>10.98</v>
      </c>
      <c r="J1402" s="79">
        <v>117.07000000000001</v>
      </c>
      <c r="K1402" s="79">
        <v>0</v>
      </c>
      <c r="L1402" s="70">
        <v>117.07000000000001</v>
      </c>
      <c r="M1402" s="132"/>
      <c r="N1402" s="79">
        <v>106.09</v>
      </c>
      <c r="O1402" s="79">
        <v>10.98</v>
      </c>
      <c r="P1402" s="79">
        <v>117.07000000000001</v>
      </c>
      <c r="Q1402" s="136"/>
      <c r="R1402" s="79">
        <v>106.09</v>
      </c>
      <c r="S1402" s="79">
        <v>10.96</v>
      </c>
      <c r="T1402" s="79">
        <v>117.05000000000001</v>
      </c>
      <c r="U1402" s="79">
        <v>0</v>
      </c>
      <c r="V1402" s="189">
        <v>117.05000000000001</v>
      </c>
      <c r="X1402" s="79">
        <v>106.09</v>
      </c>
      <c r="Y1402" s="79">
        <v>10.96</v>
      </c>
      <c r="Z1402" s="79">
        <v>117.05</v>
      </c>
      <c r="AA1402" s="255">
        <v>1.9999999999996021E-2</v>
      </c>
      <c r="AC1402" s="254"/>
    </row>
    <row r="1403" spans="1:31" ht="12">
      <c r="A1403" s="67" t="s">
        <v>13207</v>
      </c>
      <c r="B1403" s="65" t="s">
        <v>13208</v>
      </c>
      <c r="C1403" s="71" t="s">
        <v>509</v>
      </c>
      <c r="D1403" s="78">
        <v>1</v>
      </c>
      <c r="E1403" s="79">
        <v>46.02</v>
      </c>
      <c r="F1403" s="70">
        <v>46.02</v>
      </c>
      <c r="G1403" s="320"/>
      <c r="H1403" s="79">
        <v>35.04</v>
      </c>
      <c r="I1403" s="79">
        <v>10.98</v>
      </c>
      <c r="J1403" s="79">
        <v>46.019999999999996</v>
      </c>
      <c r="K1403" s="79">
        <v>0</v>
      </c>
      <c r="L1403" s="70">
        <v>46.019999999999996</v>
      </c>
      <c r="M1403" s="132"/>
      <c r="N1403" s="79">
        <v>35.04</v>
      </c>
      <c r="O1403" s="79">
        <v>10.98</v>
      </c>
      <c r="P1403" s="79">
        <v>46.019999999999996</v>
      </c>
      <c r="Q1403" s="136"/>
      <c r="R1403" s="79">
        <v>35.04</v>
      </c>
      <c r="S1403" s="79">
        <v>10.96</v>
      </c>
      <c r="T1403" s="79">
        <v>46</v>
      </c>
      <c r="U1403" s="79">
        <v>0</v>
      </c>
      <c r="V1403" s="189">
        <v>46</v>
      </c>
      <c r="X1403" s="79">
        <v>35.04</v>
      </c>
      <c r="Y1403" s="79">
        <v>10.96</v>
      </c>
      <c r="Z1403" s="79">
        <v>46</v>
      </c>
      <c r="AA1403" s="255">
        <v>2.0000000000003126E-2</v>
      </c>
      <c r="AC1403" s="254"/>
    </row>
    <row r="1404" spans="1:31" ht="24">
      <c r="A1404" s="67" t="s">
        <v>13209</v>
      </c>
      <c r="B1404" s="65" t="s">
        <v>13210</v>
      </c>
      <c r="C1404" s="71" t="s">
        <v>509</v>
      </c>
      <c r="D1404" s="78">
        <v>1</v>
      </c>
      <c r="E1404" s="79">
        <v>692.8</v>
      </c>
      <c r="F1404" s="70">
        <v>692.8</v>
      </c>
      <c r="G1404" s="320"/>
      <c r="H1404" s="79">
        <v>584.95999999999992</v>
      </c>
      <c r="I1404" s="79">
        <v>107.84</v>
      </c>
      <c r="J1404" s="79">
        <v>692.8</v>
      </c>
      <c r="K1404" s="79">
        <v>0</v>
      </c>
      <c r="L1404" s="70">
        <v>692.8</v>
      </c>
      <c r="M1404" s="132"/>
      <c r="N1404" s="79">
        <v>584.95999999999992</v>
      </c>
      <c r="O1404" s="79">
        <v>107.84</v>
      </c>
      <c r="P1404" s="79">
        <v>692.8</v>
      </c>
      <c r="Q1404" s="136"/>
      <c r="R1404" s="79">
        <v>584.96</v>
      </c>
      <c r="S1404" s="79">
        <v>107.85</v>
      </c>
      <c r="T1404" s="79">
        <v>692.81000000000006</v>
      </c>
      <c r="U1404" s="79">
        <v>0</v>
      </c>
      <c r="V1404" s="189">
        <v>692.81000000000006</v>
      </c>
      <c r="X1404" s="79">
        <v>584.96</v>
      </c>
      <c r="Y1404" s="79">
        <v>107.85</v>
      </c>
      <c r="Z1404" s="79">
        <v>692.81</v>
      </c>
      <c r="AA1404" s="255">
        <v>-9.9999999999909051E-3</v>
      </c>
      <c r="AC1404" s="254"/>
    </row>
    <row r="1405" spans="1:31" ht="24">
      <c r="A1405" s="67" t="s">
        <v>13211</v>
      </c>
      <c r="B1405" s="65" t="s">
        <v>13212</v>
      </c>
      <c r="C1405" s="71" t="s">
        <v>509</v>
      </c>
      <c r="D1405" s="78">
        <v>1</v>
      </c>
      <c r="E1405" s="79">
        <v>1006.12</v>
      </c>
      <c r="F1405" s="70">
        <v>1006.12</v>
      </c>
      <c r="G1405" s="320"/>
      <c r="H1405" s="79">
        <v>898.28</v>
      </c>
      <c r="I1405" s="79">
        <v>107.84</v>
      </c>
      <c r="J1405" s="79">
        <v>1006.12</v>
      </c>
      <c r="K1405" s="79">
        <v>0</v>
      </c>
      <c r="L1405" s="70">
        <v>1006.12</v>
      </c>
      <c r="M1405" s="132"/>
      <c r="N1405" s="79">
        <v>898.28</v>
      </c>
      <c r="O1405" s="79">
        <v>107.84</v>
      </c>
      <c r="P1405" s="79">
        <v>1006.12</v>
      </c>
      <c r="Q1405" s="136"/>
      <c r="R1405" s="79">
        <v>898.28</v>
      </c>
      <c r="S1405" s="79">
        <v>107.85</v>
      </c>
      <c r="T1405" s="79">
        <v>1006.13</v>
      </c>
      <c r="U1405" s="79">
        <v>0</v>
      </c>
      <c r="V1405" s="189">
        <v>1006.13</v>
      </c>
      <c r="X1405" s="79">
        <v>898.28</v>
      </c>
      <c r="Y1405" s="79">
        <v>107.85</v>
      </c>
      <c r="Z1405" s="79">
        <v>1006.13</v>
      </c>
      <c r="AA1405" s="255">
        <v>-9.9999999999909051E-3</v>
      </c>
      <c r="AC1405" s="254"/>
    </row>
    <row r="1406" spans="1:31" ht="12">
      <c r="A1406" s="489" t="s">
        <v>13213</v>
      </c>
      <c r="B1406" s="490" t="s">
        <v>13214</v>
      </c>
      <c r="C1406" s="491"/>
      <c r="D1406" s="492"/>
      <c r="E1406" s="79"/>
      <c r="F1406" s="63"/>
      <c r="G1406" s="320"/>
      <c r="H1406" s="79"/>
      <c r="I1406" s="79"/>
      <c r="J1406" s="79"/>
      <c r="K1406" s="79"/>
      <c r="L1406" s="70"/>
      <c r="M1406" s="132"/>
      <c r="N1406" s="79"/>
      <c r="O1406" s="79"/>
      <c r="P1406" s="79"/>
      <c r="Q1406" s="136"/>
      <c r="R1406" s="79"/>
      <c r="S1406" s="79"/>
      <c r="T1406" s="79"/>
      <c r="U1406" s="79"/>
      <c r="V1406" s="189"/>
      <c r="X1406" s="79"/>
      <c r="Y1406" s="79"/>
      <c r="Z1406" s="79"/>
      <c r="AA1406" s="255"/>
      <c r="AC1406" s="254"/>
    </row>
    <row r="1407" spans="1:31" ht="12">
      <c r="A1407" s="489" t="s">
        <v>13215</v>
      </c>
      <c r="B1407" s="490" t="s">
        <v>13216</v>
      </c>
      <c r="C1407" s="491"/>
      <c r="D1407" s="492"/>
      <c r="E1407" s="79"/>
      <c r="F1407" s="63"/>
      <c r="G1407" s="320"/>
      <c r="H1407" s="79"/>
      <c r="I1407" s="79"/>
      <c r="J1407" s="79"/>
      <c r="K1407" s="79"/>
      <c r="L1407" s="70"/>
      <c r="M1407" s="132"/>
      <c r="N1407" s="79"/>
      <c r="O1407" s="79"/>
      <c r="P1407" s="79"/>
      <c r="Q1407" s="136"/>
      <c r="R1407" s="79"/>
      <c r="S1407" s="79"/>
      <c r="T1407" s="79"/>
      <c r="U1407" s="79"/>
      <c r="V1407" s="189"/>
      <c r="X1407" s="79"/>
      <c r="Y1407" s="79"/>
      <c r="Z1407" s="79"/>
      <c r="AA1407" s="255"/>
      <c r="AC1407" s="254"/>
    </row>
    <row r="1408" spans="1:31" ht="12">
      <c r="A1408" s="67" t="s">
        <v>13217</v>
      </c>
      <c r="B1408" s="65" t="s">
        <v>13218</v>
      </c>
      <c r="C1408" s="71" t="s">
        <v>509</v>
      </c>
      <c r="D1408" s="78">
        <v>1</v>
      </c>
      <c r="E1408" s="79">
        <v>958.86</v>
      </c>
      <c r="F1408" s="70">
        <v>958.86</v>
      </c>
      <c r="G1408" s="320"/>
      <c r="H1408" s="79">
        <v>883.31999999999994</v>
      </c>
      <c r="I1408" s="79">
        <v>75.539999999999992</v>
      </c>
      <c r="J1408" s="79">
        <v>958.8599999999999</v>
      </c>
      <c r="K1408" s="79">
        <v>0</v>
      </c>
      <c r="L1408" s="70">
        <v>958.8599999999999</v>
      </c>
      <c r="M1408" s="132"/>
      <c r="N1408" s="79">
        <v>883.31999999999994</v>
      </c>
      <c r="O1408" s="79">
        <v>75.539999999999992</v>
      </c>
      <c r="P1408" s="79">
        <v>958.8599999999999</v>
      </c>
      <c r="Q1408" s="136"/>
      <c r="R1408" s="79">
        <v>883.32</v>
      </c>
      <c r="S1408" s="79">
        <v>75.53</v>
      </c>
      <c r="T1408" s="79">
        <v>958.85</v>
      </c>
      <c r="U1408" s="79">
        <v>0</v>
      </c>
      <c r="V1408" s="189">
        <v>958.85</v>
      </c>
      <c r="X1408" s="79">
        <v>883.32</v>
      </c>
      <c r="Y1408" s="79">
        <v>75.53</v>
      </c>
      <c r="Z1408" s="79">
        <v>958.85</v>
      </c>
      <c r="AA1408" s="255">
        <v>9.9999999999909051E-3</v>
      </c>
      <c r="AC1408" s="254"/>
    </row>
    <row r="1409" spans="1:29" ht="12">
      <c r="A1409" s="67" t="s">
        <v>13219</v>
      </c>
      <c r="B1409" s="65" t="s">
        <v>13220</v>
      </c>
      <c r="C1409" s="71" t="s">
        <v>509</v>
      </c>
      <c r="D1409" s="78">
        <v>1</v>
      </c>
      <c r="E1409" s="79">
        <v>449.78</v>
      </c>
      <c r="F1409" s="70">
        <v>449.78</v>
      </c>
      <c r="G1409" s="320"/>
      <c r="H1409" s="79">
        <v>374.24</v>
      </c>
      <c r="I1409" s="79">
        <v>75.539999999999992</v>
      </c>
      <c r="J1409" s="79">
        <v>449.78</v>
      </c>
      <c r="K1409" s="79">
        <v>0</v>
      </c>
      <c r="L1409" s="70">
        <v>449.78</v>
      </c>
      <c r="M1409" s="132"/>
      <c r="N1409" s="79">
        <v>374.24</v>
      </c>
      <c r="O1409" s="79">
        <v>75.539999999999992</v>
      </c>
      <c r="P1409" s="79">
        <v>449.78</v>
      </c>
      <c r="Q1409" s="136"/>
      <c r="R1409" s="79">
        <v>374.24</v>
      </c>
      <c r="S1409" s="79">
        <v>75.53</v>
      </c>
      <c r="T1409" s="79">
        <v>449.77</v>
      </c>
      <c r="U1409" s="79">
        <v>0</v>
      </c>
      <c r="V1409" s="189">
        <v>449.77</v>
      </c>
      <c r="X1409" s="79">
        <v>374.24</v>
      </c>
      <c r="Y1409" s="79">
        <v>75.53</v>
      </c>
      <c r="Z1409" s="79">
        <v>449.77</v>
      </c>
      <c r="AA1409" s="255">
        <v>9.9999999999909051E-3</v>
      </c>
      <c r="AC1409" s="254"/>
    </row>
    <row r="1410" spans="1:29" ht="12">
      <c r="A1410" s="67" t="s">
        <v>13221</v>
      </c>
      <c r="B1410" s="65" t="s">
        <v>13222</v>
      </c>
      <c r="C1410" s="71" t="s">
        <v>509</v>
      </c>
      <c r="D1410" s="78">
        <v>1</v>
      </c>
      <c r="E1410" s="79">
        <v>1349.59</v>
      </c>
      <c r="F1410" s="70">
        <v>1349.59</v>
      </c>
      <c r="G1410" s="320"/>
      <c r="H1410" s="79">
        <v>1274.05</v>
      </c>
      <c r="I1410" s="79">
        <v>75.539999999999992</v>
      </c>
      <c r="J1410" s="79">
        <v>1349.59</v>
      </c>
      <c r="K1410" s="79">
        <v>0</v>
      </c>
      <c r="L1410" s="70">
        <v>1349.59</v>
      </c>
      <c r="M1410" s="132"/>
      <c r="N1410" s="79">
        <v>1274.05</v>
      </c>
      <c r="O1410" s="79">
        <v>75.539999999999992</v>
      </c>
      <c r="P1410" s="79">
        <v>1349.59</v>
      </c>
      <c r="Q1410" s="136"/>
      <c r="R1410" s="79">
        <v>1274.05</v>
      </c>
      <c r="S1410" s="79">
        <v>75.53</v>
      </c>
      <c r="T1410" s="79">
        <v>1349.58</v>
      </c>
      <c r="U1410" s="79">
        <v>0</v>
      </c>
      <c r="V1410" s="189">
        <v>1349.58</v>
      </c>
      <c r="X1410" s="79">
        <v>1274.05</v>
      </c>
      <c r="Y1410" s="79">
        <v>75.53</v>
      </c>
      <c r="Z1410" s="79">
        <v>1349.58</v>
      </c>
      <c r="AA1410" s="255">
        <v>9.9999999999909051E-3</v>
      </c>
      <c r="AC1410" s="254"/>
    </row>
    <row r="1411" spans="1:29" ht="12">
      <c r="A1411" s="67" t="s">
        <v>13223</v>
      </c>
      <c r="B1411" s="65" t="s">
        <v>13224</v>
      </c>
      <c r="C1411" s="71" t="s">
        <v>509</v>
      </c>
      <c r="D1411" s="78">
        <v>1</v>
      </c>
      <c r="E1411" s="79">
        <v>527.17999999999995</v>
      </c>
      <c r="F1411" s="70">
        <v>527.17999999999995</v>
      </c>
      <c r="G1411" s="320"/>
      <c r="H1411" s="79">
        <v>451.64</v>
      </c>
      <c r="I1411" s="79">
        <v>75.539999999999992</v>
      </c>
      <c r="J1411" s="79">
        <v>527.17999999999995</v>
      </c>
      <c r="K1411" s="79">
        <v>0</v>
      </c>
      <c r="L1411" s="70">
        <v>527.17999999999995</v>
      </c>
      <c r="M1411" s="132"/>
      <c r="N1411" s="79">
        <v>451.64</v>
      </c>
      <c r="O1411" s="79">
        <v>75.539999999999992</v>
      </c>
      <c r="P1411" s="79">
        <v>527.17999999999995</v>
      </c>
      <c r="Q1411" s="136"/>
      <c r="R1411" s="79">
        <v>451.64</v>
      </c>
      <c r="S1411" s="79">
        <v>75.53</v>
      </c>
      <c r="T1411" s="79">
        <v>527.16999999999996</v>
      </c>
      <c r="U1411" s="79">
        <v>0</v>
      </c>
      <c r="V1411" s="189">
        <v>527.16999999999996</v>
      </c>
      <c r="X1411" s="79">
        <v>451.64</v>
      </c>
      <c r="Y1411" s="79">
        <v>75.53</v>
      </c>
      <c r="Z1411" s="79">
        <v>527.16999999999996</v>
      </c>
      <c r="AA1411" s="255">
        <v>9.9999999999909051E-3</v>
      </c>
      <c r="AC1411" s="254"/>
    </row>
    <row r="1412" spans="1:29" ht="12">
      <c r="A1412" s="67" t="s">
        <v>13225</v>
      </c>
      <c r="B1412" s="65" t="s">
        <v>13226</v>
      </c>
      <c r="C1412" s="71" t="s">
        <v>509</v>
      </c>
      <c r="D1412" s="78">
        <v>1</v>
      </c>
      <c r="E1412" s="79">
        <v>1047.47</v>
      </c>
      <c r="F1412" s="70">
        <v>1047.47</v>
      </c>
      <c r="G1412" s="320"/>
      <c r="H1412" s="79">
        <v>971.93</v>
      </c>
      <c r="I1412" s="79">
        <v>75.539999999999992</v>
      </c>
      <c r="J1412" s="79">
        <v>1047.47</v>
      </c>
      <c r="K1412" s="79">
        <v>0</v>
      </c>
      <c r="L1412" s="70">
        <v>1047.47</v>
      </c>
      <c r="M1412" s="132"/>
      <c r="N1412" s="79">
        <v>971.93</v>
      </c>
      <c r="O1412" s="79">
        <v>75.539999999999992</v>
      </c>
      <c r="P1412" s="79">
        <v>1047.47</v>
      </c>
      <c r="Q1412" s="136"/>
      <c r="R1412" s="79">
        <v>971.93</v>
      </c>
      <c r="S1412" s="79">
        <v>75.53</v>
      </c>
      <c r="T1412" s="79">
        <v>1047.46</v>
      </c>
      <c r="U1412" s="79">
        <v>0</v>
      </c>
      <c r="V1412" s="189">
        <v>1047.46</v>
      </c>
      <c r="X1412" s="79">
        <v>971.93</v>
      </c>
      <c r="Y1412" s="79">
        <v>75.53</v>
      </c>
      <c r="Z1412" s="79">
        <v>1047.46</v>
      </c>
      <c r="AA1412" s="255">
        <v>9.9999999999909051E-3</v>
      </c>
      <c r="AC1412" s="254"/>
    </row>
    <row r="1413" spans="1:29" ht="12">
      <c r="A1413" s="67" t="s">
        <v>13227</v>
      </c>
      <c r="B1413" s="65" t="s">
        <v>13228</v>
      </c>
      <c r="C1413" s="71" t="s">
        <v>509</v>
      </c>
      <c r="D1413" s="78">
        <v>1</v>
      </c>
      <c r="E1413" s="79">
        <v>336.28</v>
      </c>
      <c r="F1413" s="70">
        <v>336.28</v>
      </c>
      <c r="G1413" s="320"/>
      <c r="H1413" s="79">
        <v>260.74</v>
      </c>
      <c r="I1413" s="79">
        <v>75.539999999999992</v>
      </c>
      <c r="J1413" s="79">
        <v>336.28</v>
      </c>
      <c r="K1413" s="79">
        <v>0</v>
      </c>
      <c r="L1413" s="70">
        <v>336.28</v>
      </c>
      <c r="M1413" s="132"/>
      <c r="N1413" s="79">
        <v>260.74</v>
      </c>
      <c r="O1413" s="79">
        <v>75.539999999999992</v>
      </c>
      <c r="P1413" s="79">
        <v>336.28</v>
      </c>
      <c r="Q1413" s="136"/>
      <c r="R1413" s="79">
        <v>260.74</v>
      </c>
      <c r="S1413" s="79">
        <v>75.53</v>
      </c>
      <c r="T1413" s="79">
        <v>336.27</v>
      </c>
      <c r="U1413" s="79">
        <v>0</v>
      </c>
      <c r="V1413" s="189">
        <v>336.27</v>
      </c>
      <c r="X1413" s="79">
        <v>260.74</v>
      </c>
      <c r="Y1413" s="79">
        <v>75.53</v>
      </c>
      <c r="Z1413" s="79">
        <v>336.27</v>
      </c>
      <c r="AA1413" s="255">
        <v>9.9999999999909051E-3</v>
      </c>
      <c r="AC1413" s="254"/>
    </row>
    <row r="1414" spans="1:29" ht="12">
      <c r="A1414" s="67" t="s">
        <v>13229</v>
      </c>
      <c r="B1414" s="65" t="s">
        <v>13230</v>
      </c>
      <c r="C1414" s="71" t="s">
        <v>509</v>
      </c>
      <c r="D1414" s="78">
        <v>1</v>
      </c>
      <c r="E1414" s="79">
        <v>902.59</v>
      </c>
      <c r="F1414" s="70">
        <v>902.59</v>
      </c>
      <c r="G1414" s="320"/>
      <c r="H1414" s="79">
        <v>827.05</v>
      </c>
      <c r="I1414" s="79">
        <v>75.539999999999992</v>
      </c>
      <c r="J1414" s="79">
        <v>902.58999999999992</v>
      </c>
      <c r="K1414" s="79">
        <v>0</v>
      </c>
      <c r="L1414" s="70">
        <v>902.58999999999992</v>
      </c>
      <c r="M1414" s="132"/>
      <c r="N1414" s="79">
        <v>827.05</v>
      </c>
      <c r="O1414" s="79">
        <v>75.539999999999992</v>
      </c>
      <c r="P1414" s="79">
        <v>902.58999999999992</v>
      </c>
      <c r="Q1414" s="136"/>
      <c r="R1414" s="79">
        <v>827.05</v>
      </c>
      <c r="S1414" s="79">
        <v>75.53</v>
      </c>
      <c r="T1414" s="79">
        <v>902.57999999999993</v>
      </c>
      <c r="U1414" s="79">
        <v>0</v>
      </c>
      <c r="V1414" s="189">
        <v>902.57999999999993</v>
      </c>
      <c r="X1414" s="79">
        <v>827.05</v>
      </c>
      <c r="Y1414" s="79">
        <v>75.53</v>
      </c>
      <c r="Z1414" s="79">
        <v>902.58</v>
      </c>
      <c r="AA1414" s="255">
        <v>9.9999999999909051E-3</v>
      </c>
      <c r="AC1414" s="254"/>
    </row>
    <row r="1415" spans="1:29" ht="12">
      <c r="A1415" s="67" t="s">
        <v>13231</v>
      </c>
      <c r="B1415" s="65" t="s">
        <v>1561</v>
      </c>
      <c r="C1415" s="71" t="s">
        <v>509</v>
      </c>
      <c r="D1415" s="78">
        <v>1</v>
      </c>
      <c r="E1415" s="79">
        <v>452.38</v>
      </c>
      <c r="F1415" s="70">
        <v>452.38</v>
      </c>
      <c r="G1415" s="320"/>
      <c r="H1415" s="79">
        <v>376.84000000000003</v>
      </c>
      <c r="I1415" s="79">
        <v>75.539999999999992</v>
      </c>
      <c r="J1415" s="79">
        <v>452.38</v>
      </c>
      <c r="K1415" s="79">
        <v>0</v>
      </c>
      <c r="L1415" s="70">
        <v>452.38</v>
      </c>
      <c r="M1415" s="132"/>
      <c r="N1415" s="79">
        <v>376.84000000000003</v>
      </c>
      <c r="O1415" s="79">
        <v>75.539999999999992</v>
      </c>
      <c r="P1415" s="79">
        <v>452.38</v>
      </c>
      <c r="Q1415" s="136"/>
      <c r="R1415" s="79">
        <v>376.84</v>
      </c>
      <c r="S1415" s="79">
        <v>75.53</v>
      </c>
      <c r="T1415" s="79">
        <v>452.37</v>
      </c>
      <c r="U1415" s="79">
        <v>0</v>
      </c>
      <c r="V1415" s="189">
        <v>452.37</v>
      </c>
      <c r="X1415" s="79">
        <v>376.84</v>
      </c>
      <c r="Y1415" s="79">
        <v>75.53</v>
      </c>
      <c r="Z1415" s="79">
        <v>452.37</v>
      </c>
      <c r="AA1415" s="255">
        <v>9.9999999999909051E-3</v>
      </c>
      <c r="AC1415" s="254"/>
    </row>
    <row r="1416" spans="1:29" ht="12">
      <c r="A1416" s="67" t="s">
        <v>13232</v>
      </c>
      <c r="B1416" s="65" t="s">
        <v>13233</v>
      </c>
      <c r="C1416" s="71" t="s">
        <v>509</v>
      </c>
      <c r="D1416" s="78">
        <v>1</v>
      </c>
      <c r="E1416" s="79">
        <v>1411.92</v>
      </c>
      <c r="F1416" s="70">
        <v>1411.92</v>
      </c>
      <c r="G1416" s="320"/>
      <c r="H1416" s="79">
        <v>1336.38</v>
      </c>
      <c r="I1416" s="79">
        <v>75.539999999999992</v>
      </c>
      <c r="J1416" s="79">
        <v>1411.92</v>
      </c>
      <c r="K1416" s="79">
        <v>0</v>
      </c>
      <c r="L1416" s="70">
        <v>1411.92</v>
      </c>
      <c r="M1416" s="132"/>
      <c r="N1416" s="79">
        <v>1336.38</v>
      </c>
      <c r="O1416" s="79">
        <v>75.539999999999992</v>
      </c>
      <c r="P1416" s="79">
        <v>1411.92</v>
      </c>
      <c r="Q1416" s="136"/>
      <c r="R1416" s="79">
        <v>1336.38</v>
      </c>
      <c r="S1416" s="79">
        <v>75.53</v>
      </c>
      <c r="T1416" s="79">
        <v>1411.91</v>
      </c>
      <c r="U1416" s="79">
        <v>0</v>
      </c>
      <c r="V1416" s="189">
        <v>1411.91</v>
      </c>
      <c r="X1416" s="79">
        <v>1336.38</v>
      </c>
      <c r="Y1416" s="79">
        <v>75.53</v>
      </c>
      <c r="Z1416" s="79">
        <v>1411.91</v>
      </c>
      <c r="AA1416" s="255">
        <v>9.9999999999909051E-3</v>
      </c>
      <c r="AC1416" s="254"/>
    </row>
    <row r="1417" spans="1:29" ht="12">
      <c r="A1417" s="67" t="s">
        <v>13234</v>
      </c>
      <c r="B1417" s="65" t="s">
        <v>13235</v>
      </c>
      <c r="C1417" s="71" t="s">
        <v>509</v>
      </c>
      <c r="D1417" s="78">
        <v>1</v>
      </c>
      <c r="E1417" s="79">
        <v>1232.92</v>
      </c>
      <c r="F1417" s="70">
        <v>1232.92</v>
      </c>
      <c r="G1417" s="320"/>
      <c r="H1417" s="79">
        <v>1232.92</v>
      </c>
      <c r="I1417" s="79">
        <v>0</v>
      </c>
      <c r="J1417" s="79">
        <v>1232.92</v>
      </c>
      <c r="K1417" s="79">
        <v>9.9999999999999994E-12</v>
      </c>
      <c r="L1417" s="70">
        <v>1232.9200000000101</v>
      </c>
      <c r="M1417" s="132"/>
      <c r="N1417" s="79">
        <v>1232.92</v>
      </c>
      <c r="O1417" s="79">
        <v>0</v>
      </c>
      <c r="P1417" s="79">
        <v>1232.92</v>
      </c>
      <c r="Q1417" s="136"/>
      <c r="R1417" s="79">
        <v>1232.92</v>
      </c>
      <c r="S1417" s="79"/>
      <c r="T1417" s="79">
        <v>1232.92</v>
      </c>
      <c r="U1417" s="79">
        <v>0</v>
      </c>
      <c r="V1417" s="189">
        <v>1232.92</v>
      </c>
      <c r="X1417" s="79">
        <v>1232.92</v>
      </c>
      <c r="Y1417" s="79"/>
      <c r="Z1417" s="79">
        <v>1232.92</v>
      </c>
      <c r="AA1417" s="255">
        <v>0</v>
      </c>
      <c r="AC1417" s="254"/>
    </row>
    <row r="1418" spans="1:29" ht="12">
      <c r="A1418" s="67" t="s">
        <v>13236</v>
      </c>
      <c r="B1418" s="65" t="s">
        <v>13237</v>
      </c>
      <c r="C1418" s="71" t="s">
        <v>509</v>
      </c>
      <c r="D1418" s="78">
        <v>1</v>
      </c>
      <c r="E1418" s="79">
        <v>504.23</v>
      </c>
      <c r="F1418" s="70">
        <v>504.23</v>
      </c>
      <c r="G1418" s="320"/>
      <c r="H1418" s="79">
        <v>504.23</v>
      </c>
      <c r="I1418" s="79">
        <v>0</v>
      </c>
      <c r="J1418" s="79">
        <v>504.23</v>
      </c>
      <c r="K1418" s="79">
        <v>0</v>
      </c>
      <c r="L1418" s="70">
        <v>504.23</v>
      </c>
      <c r="M1418" s="132"/>
      <c r="N1418" s="79">
        <v>504.23</v>
      </c>
      <c r="O1418" s="79"/>
      <c r="P1418" s="79">
        <v>504.23</v>
      </c>
      <c r="Q1418" s="136"/>
      <c r="R1418" s="79">
        <v>504.23</v>
      </c>
      <c r="S1418" s="79"/>
      <c r="T1418" s="79">
        <v>504.23</v>
      </c>
      <c r="U1418" s="79">
        <v>0</v>
      </c>
      <c r="V1418" s="189">
        <v>504.23</v>
      </c>
      <c r="X1418" s="79">
        <v>504.23</v>
      </c>
      <c r="Y1418" s="79"/>
      <c r="Z1418" s="79">
        <v>504.23</v>
      </c>
      <c r="AA1418" s="255">
        <v>0</v>
      </c>
      <c r="AC1418" s="254"/>
    </row>
    <row r="1419" spans="1:29" ht="12">
      <c r="A1419" s="67" t="s">
        <v>13238</v>
      </c>
      <c r="B1419" s="65" t="s">
        <v>13239</v>
      </c>
      <c r="C1419" s="71" t="s">
        <v>509</v>
      </c>
      <c r="D1419" s="78">
        <v>1</v>
      </c>
      <c r="E1419" s="79">
        <v>875.33</v>
      </c>
      <c r="F1419" s="70">
        <v>875.33</v>
      </c>
      <c r="G1419" s="320"/>
      <c r="H1419" s="79">
        <v>875.33</v>
      </c>
      <c r="I1419" s="79">
        <v>0</v>
      </c>
      <c r="J1419" s="79">
        <v>875.33</v>
      </c>
      <c r="K1419" s="79">
        <v>0</v>
      </c>
      <c r="L1419" s="70">
        <v>875.33</v>
      </c>
      <c r="M1419" s="132"/>
      <c r="N1419" s="79">
        <v>875.33</v>
      </c>
      <c r="O1419" s="79">
        <v>0</v>
      </c>
      <c r="P1419" s="79">
        <v>875.33</v>
      </c>
      <c r="Q1419" s="136"/>
      <c r="R1419" s="79">
        <v>875.33</v>
      </c>
      <c r="S1419" s="79"/>
      <c r="T1419" s="79">
        <v>875.33</v>
      </c>
      <c r="U1419" s="79">
        <v>0</v>
      </c>
      <c r="V1419" s="189">
        <v>875.33</v>
      </c>
      <c r="X1419" s="79">
        <v>875.33</v>
      </c>
      <c r="Y1419" s="79"/>
      <c r="Z1419" s="79">
        <v>875.33</v>
      </c>
      <c r="AA1419" s="255">
        <v>0</v>
      </c>
      <c r="AC1419" s="254"/>
    </row>
    <row r="1420" spans="1:29" ht="12">
      <c r="A1420" s="67" t="s">
        <v>13240</v>
      </c>
      <c r="B1420" s="65" t="s">
        <v>13241</v>
      </c>
      <c r="C1420" s="71" t="s">
        <v>509</v>
      </c>
      <c r="D1420" s="78">
        <v>1</v>
      </c>
      <c r="E1420" s="79">
        <v>1406.43</v>
      </c>
      <c r="F1420" s="70">
        <v>1406.43</v>
      </c>
      <c r="G1420" s="320"/>
      <c r="H1420" s="79">
        <v>1330.89</v>
      </c>
      <c r="I1420" s="79">
        <v>75.539999999999992</v>
      </c>
      <c r="J1420" s="79">
        <v>1406.43</v>
      </c>
      <c r="K1420" s="79">
        <v>0</v>
      </c>
      <c r="L1420" s="70">
        <v>1406.43</v>
      </c>
      <c r="M1420" s="132"/>
      <c r="N1420" s="79">
        <v>1330.89</v>
      </c>
      <c r="O1420" s="79">
        <v>75.539999999999992</v>
      </c>
      <c r="P1420" s="79">
        <v>1406.43</v>
      </c>
      <c r="Q1420" s="136"/>
      <c r="R1420" s="79">
        <v>1330.89</v>
      </c>
      <c r="S1420" s="79">
        <v>75.53</v>
      </c>
      <c r="T1420" s="79">
        <v>1406.42</v>
      </c>
      <c r="U1420" s="79">
        <v>0</v>
      </c>
      <c r="V1420" s="189">
        <v>1406.42</v>
      </c>
      <c r="X1420" s="79">
        <v>1330.89</v>
      </c>
      <c r="Y1420" s="79">
        <v>75.53</v>
      </c>
      <c r="Z1420" s="79">
        <v>1406.42</v>
      </c>
      <c r="AA1420" s="255">
        <v>9.9999999999909051E-3</v>
      </c>
      <c r="AC1420" s="254"/>
    </row>
    <row r="1421" spans="1:29" ht="12">
      <c r="A1421" s="67" t="s">
        <v>13242</v>
      </c>
      <c r="B1421" s="65" t="s">
        <v>13243</v>
      </c>
      <c r="C1421" s="71" t="s">
        <v>509</v>
      </c>
      <c r="D1421" s="78">
        <v>1</v>
      </c>
      <c r="E1421" s="79">
        <v>1098.56</v>
      </c>
      <c r="F1421" s="70">
        <v>1098.56</v>
      </c>
      <c r="G1421" s="320"/>
      <c r="H1421" s="79">
        <v>1023.02</v>
      </c>
      <c r="I1421" s="79">
        <v>75.539999999999992</v>
      </c>
      <c r="J1421" s="79">
        <v>1098.56</v>
      </c>
      <c r="K1421" s="79">
        <v>0</v>
      </c>
      <c r="L1421" s="70">
        <v>1098.56</v>
      </c>
      <c r="M1421" s="132"/>
      <c r="N1421" s="79">
        <v>1023.02</v>
      </c>
      <c r="O1421" s="79">
        <v>75.539999999999992</v>
      </c>
      <c r="P1421" s="79">
        <v>1098.56</v>
      </c>
      <c r="Q1421" s="136"/>
      <c r="R1421" s="79">
        <v>1023.02</v>
      </c>
      <c r="S1421" s="79">
        <v>75.53</v>
      </c>
      <c r="T1421" s="79">
        <v>1098.55</v>
      </c>
      <c r="U1421" s="79">
        <v>0</v>
      </c>
      <c r="V1421" s="189">
        <v>1098.55</v>
      </c>
      <c r="X1421" s="79">
        <v>1023.02</v>
      </c>
      <c r="Y1421" s="79">
        <v>75.53</v>
      </c>
      <c r="Z1421" s="79">
        <v>1098.55</v>
      </c>
      <c r="AA1421" s="255">
        <v>9.9999999999909051E-3</v>
      </c>
      <c r="AC1421" s="254"/>
    </row>
    <row r="1422" spans="1:29" ht="12">
      <c r="A1422" s="67" t="s">
        <v>13244</v>
      </c>
      <c r="B1422" s="65" t="s">
        <v>13245</v>
      </c>
      <c r="C1422" s="71" t="s">
        <v>509</v>
      </c>
      <c r="D1422" s="78">
        <v>1</v>
      </c>
      <c r="E1422" s="79">
        <v>742.99</v>
      </c>
      <c r="F1422" s="70">
        <v>742.99</v>
      </c>
      <c r="G1422" s="320"/>
      <c r="H1422" s="79">
        <v>667.44999999999993</v>
      </c>
      <c r="I1422" s="79">
        <v>75.539999999999992</v>
      </c>
      <c r="J1422" s="79">
        <v>742.9899999999999</v>
      </c>
      <c r="K1422" s="79">
        <v>0</v>
      </c>
      <c r="L1422" s="70">
        <v>742.9899999999999</v>
      </c>
      <c r="M1422" s="132"/>
      <c r="N1422" s="79">
        <v>667.44999999999993</v>
      </c>
      <c r="O1422" s="79">
        <v>75.539999999999992</v>
      </c>
      <c r="P1422" s="79">
        <v>742.9899999999999</v>
      </c>
      <c r="Q1422" s="136"/>
      <c r="R1422" s="79">
        <v>667.45</v>
      </c>
      <c r="S1422" s="79">
        <v>75.53</v>
      </c>
      <c r="T1422" s="79">
        <v>742.98</v>
      </c>
      <c r="U1422" s="79">
        <v>0</v>
      </c>
      <c r="V1422" s="189">
        <v>742.98</v>
      </c>
      <c r="X1422" s="79">
        <v>667.45</v>
      </c>
      <c r="Y1422" s="79">
        <v>75.53</v>
      </c>
      <c r="Z1422" s="79">
        <v>742.98</v>
      </c>
      <c r="AA1422" s="255">
        <v>9.9999999999909051E-3</v>
      </c>
      <c r="AC1422" s="254"/>
    </row>
    <row r="1423" spans="1:29" ht="12">
      <c r="A1423" s="67" t="s">
        <v>13246</v>
      </c>
      <c r="B1423" s="65" t="s">
        <v>42035</v>
      </c>
      <c r="C1423" s="71" t="s">
        <v>509</v>
      </c>
      <c r="D1423" s="78">
        <v>1</v>
      </c>
      <c r="E1423" s="79">
        <v>620.65</v>
      </c>
      <c r="F1423" s="70">
        <v>620.65</v>
      </c>
      <c r="G1423" s="320"/>
      <c r="H1423" s="79">
        <v>592.04999999999995</v>
      </c>
      <c r="I1423" s="79">
        <v>28.6</v>
      </c>
      <c r="J1423" s="79">
        <v>620.65</v>
      </c>
      <c r="K1423" s="79">
        <v>0</v>
      </c>
      <c r="L1423" s="70">
        <v>620.65</v>
      </c>
      <c r="M1423" s="132"/>
      <c r="N1423" s="79">
        <v>592.04999999999995</v>
      </c>
      <c r="O1423" s="79">
        <v>28.6</v>
      </c>
      <c r="P1423" s="79">
        <v>620.65</v>
      </c>
      <c r="Q1423" s="136"/>
      <c r="R1423" s="79">
        <v>592.05999999999995</v>
      </c>
      <c r="S1423" s="79">
        <v>28.59</v>
      </c>
      <c r="T1423" s="79">
        <v>620.65</v>
      </c>
      <c r="U1423" s="79">
        <v>0</v>
      </c>
      <c r="V1423" s="189">
        <v>620.65</v>
      </c>
      <c r="X1423" s="79">
        <v>592.05999999999995</v>
      </c>
      <c r="Y1423" s="79">
        <v>28.59</v>
      </c>
      <c r="Z1423" s="79">
        <v>620.65</v>
      </c>
      <c r="AA1423" s="255">
        <v>0</v>
      </c>
      <c r="AC1423" s="254"/>
    </row>
    <row r="1424" spans="1:29" ht="12">
      <c r="A1424" s="67" t="s">
        <v>13247</v>
      </c>
      <c r="B1424" s="65" t="s">
        <v>13248</v>
      </c>
      <c r="C1424" s="71" t="s">
        <v>509</v>
      </c>
      <c r="D1424" s="78">
        <v>1</v>
      </c>
      <c r="E1424" s="79">
        <v>1032.96</v>
      </c>
      <c r="F1424" s="70">
        <v>1032.96</v>
      </c>
      <c r="G1424" s="320"/>
      <c r="H1424" s="79">
        <v>1004.36</v>
      </c>
      <c r="I1424" s="79">
        <v>28.6</v>
      </c>
      <c r="J1424" s="79">
        <v>1032.96</v>
      </c>
      <c r="K1424" s="79">
        <v>0</v>
      </c>
      <c r="L1424" s="70">
        <v>1032.96</v>
      </c>
      <c r="M1424" s="132"/>
      <c r="N1424" s="79">
        <v>1004.36</v>
      </c>
      <c r="O1424" s="79">
        <v>28.6</v>
      </c>
      <c r="P1424" s="79">
        <v>1032.96</v>
      </c>
      <c r="Q1424" s="136"/>
      <c r="R1424" s="79">
        <v>1004.37</v>
      </c>
      <c r="S1424" s="79">
        <v>28.59</v>
      </c>
      <c r="T1424" s="79">
        <v>1032.96</v>
      </c>
      <c r="U1424" s="79">
        <v>0</v>
      </c>
      <c r="V1424" s="189">
        <v>1032.96</v>
      </c>
      <c r="X1424" s="79">
        <v>1004.37</v>
      </c>
      <c r="Y1424" s="79">
        <v>28.59</v>
      </c>
      <c r="Z1424" s="79">
        <v>1032.96</v>
      </c>
      <c r="AA1424" s="255">
        <v>0</v>
      </c>
      <c r="AC1424" s="254"/>
    </row>
    <row r="1425" spans="1:31" ht="12">
      <c r="A1425" s="67" t="s">
        <v>13249</v>
      </c>
      <c r="B1425" s="65" t="s">
        <v>13250</v>
      </c>
      <c r="C1425" s="71" t="s">
        <v>509</v>
      </c>
      <c r="D1425" s="78">
        <v>1</v>
      </c>
      <c r="E1425" s="79">
        <v>984</v>
      </c>
      <c r="F1425" s="70">
        <v>984</v>
      </c>
      <c r="G1425" s="320"/>
      <c r="H1425" s="79">
        <v>940.45</v>
      </c>
      <c r="I1425" s="79">
        <v>43.55</v>
      </c>
      <c r="J1425" s="79">
        <v>984</v>
      </c>
      <c r="K1425" s="79">
        <v>0</v>
      </c>
      <c r="L1425" s="70">
        <v>984</v>
      </c>
      <c r="M1425" s="132"/>
      <c r="N1425" s="79">
        <v>940.45</v>
      </c>
      <c r="O1425" s="79">
        <v>43.55</v>
      </c>
      <c r="P1425" s="79">
        <v>984</v>
      </c>
      <c r="Q1425" s="136"/>
      <c r="R1425" s="79">
        <v>940.45</v>
      </c>
      <c r="S1425" s="79">
        <v>43.54</v>
      </c>
      <c r="T1425" s="79">
        <v>983.99</v>
      </c>
      <c r="U1425" s="79">
        <v>0</v>
      </c>
      <c r="V1425" s="189">
        <v>983.99</v>
      </c>
      <c r="X1425" s="79">
        <v>940.45</v>
      </c>
      <c r="Y1425" s="79">
        <v>43.54</v>
      </c>
      <c r="Z1425" s="79">
        <v>983.99</v>
      </c>
      <c r="AA1425" s="255">
        <v>9.9999999999909051E-3</v>
      </c>
      <c r="AC1425" s="254"/>
    </row>
    <row r="1426" spans="1:31" ht="12">
      <c r="A1426" s="67" t="s">
        <v>13251</v>
      </c>
      <c r="B1426" s="65" t="s">
        <v>13252</v>
      </c>
      <c r="C1426" s="71" t="s">
        <v>509</v>
      </c>
      <c r="D1426" s="78">
        <v>1</v>
      </c>
      <c r="E1426" s="79">
        <v>1047.22</v>
      </c>
      <c r="F1426" s="70">
        <v>1047.22</v>
      </c>
      <c r="G1426" s="320"/>
      <c r="H1426" s="79">
        <v>1003.67</v>
      </c>
      <c r="I1426" s="79">
        <v>43.55</v>
      </c>
      <c r="J1426" s="79">
        <v>1047.22</v>
      </c>
      <c r="K1426" s="79">
        <v>0</v>
      </c>
      <c r="L1426" s="70">
        <v>1047.22</v>
      </c>
      <c r="M1426" s="132"/>
      <c r="N1426" s="79">
        <v>1003.67</v>
      </c>
      <c r="O1426" s="79">
        <v>43.55</v>
      </c>
      <c r="P1426" s="79">
        <v>1047.22</v>
      </c>
      <c r="Q1426" s="136"/>
      <c r="R1426" s="79">
        <v>1003.67</v>
      </c>
      <c r="S1426" s="79">
        <v>43.54</v>
      </c>
      <c r="T1426" s="79">
        <v>1047.21</v>
      </c>
      <c r="U1426" s="79">
        <v>0</v>
      </c>
      <c r="V1426" s="189">
        <v>1047.21</v>
      </c>
      <c r="X1426" s="79">
        <v>1003.67</v>
      </c>
      <c r="Y1426" s="79">
        <v>43.54</v>
      </c>
      <c r="Z1426" s="79">
        <v>1047.21</v>
      </c>
      <c r="AA1426" s="255">
        <v>9.9999999999909051E-3</v>
      </c>
      <c r="AC1426" s="254"/>
    </row>
    <row r="1427" spans="1:31" ht="12">
      <c r="A1427" s="67" t="s">
        <v>13253</v>
      </c>
      <c r="B1427" s="65" t="s">
        <v>13254</v>
      </c>
      <c r="C1427" s="71" t="s">
        <v>509</v>
      </c>
      <c r="D1427" s="78">
        <v>1</v>
      </c>
      <c r="E1427" s="79">
        <v>1435.33</v>
      </c>
      <c r="F1427" s="70">
        <v>1435.33</v>
      </c>
      <c r="G1427" s="320"/>
      <c r="H1427" s="79">
        <v>1391.78</v>
      </c>
      <c r="I1427" s="79">
        <v>43.55</v>
      </c>
      <c r="J1427" s="79">
        <v>1435.33</v>
      </c>
      <c r="K1427" s="79">
        <v>0</v>
      </c>
      <c r="L1427" s="70">
        <v>1435.33</v>
      </c>
      <c r="M1427" s="132"/>
      <c r="N1427" s="79">
        <v>1391.78</v>
      </c>
      <c r="O1427" s="79">
        <v>43.55</v>
      </c>
      <c r="P1427" s="79">
        <v>1435.33</v>
      </c>
      <c r="Q1427" s="136"/>
      <c r="R1427" s="79">
        <v>1391.78</v>
      </c>
      <c r="S1427" s="79">
        <v>43.54</v>
      </c>
      <c r="T1427" s="79">
        <v>1435.32</v>
      </c>
      <c r="U1427" s="79">
        <v>0</v>
      </c>
      <c r="V1427" s="189">
        <v>1435.32</v>
      </c>
      <c r="X1427" s="79">
        <v>1391.78</v>
      </c>
      <c r="Y1427" s="79">
        <v>43.54</v>
      </c>
      <c r="Z1427" s="79">
        <v>1435.32</v>
      </c>
      <c r="AA1427" s="255">
        <v>9.9999999999909051E-3</v>
      </c>
      <c r="AC1427" s="254"/>
    </row>
    <row r="1428" spans="1:31" ht="12">
      <c r="A1428" s="67" t="s">
        <v>13255</v>
      </c>
      <c r="B1428" s="65" t="s">
        <v>13256</v>
      </c>
      <c r="C1428" s="71" t="s">
        <v>509</v>
      </c>
      <c r="D1428" s="78">
        <v>1</v>
      </c>
      <c r="E1428" s="79">
        <v>883.12</v>
      </c>
      <c r="F1428" s="70">
        <v>883.12</v>
      </c>
      <c r="G1428" s="320"/>
      <c r="H1428" s="79">
        <v>883.12</v>
      </c>
      <c r="I1428" s="79">
        <v>0</v>
      </c>
      <c r="J1428" s="79">
        <v>883.12</v>
      </c>
      <c r="K1428" s="79">
        <v>0</v>
      </c>
      <c r="L1428" s="70">
        <v>883.12</v>
      </c>
      <c r="M1428" s="132"/>
      <c r="N1428" s="79">
        <v>883.12</v>
      </c>
      <c r="O1428" s="79"/>
      <c r="P1428" s="79">
        <v>883.12</v>
      </c>
      <c r="Q1428" s="136"/>
      <c r="R1428" s="79">
        <v>883.12</v>
      </c>
      <c r="S1428" s="79"/>
      <c r="T1428" s="79">
        <v>883.12</v>
      </c>
      <c r="U1428" s="79">
        <v>0</v>
      </c>
      <c r="V1428" s="189">
        <v>883.12</v>
      </c>
      <c r="X1428" s="79">
        <v>883.12</v>
      </c>
      <c r="Y1428" s="79"/>
      <c r="Z1428" s="79">
        <v>883.12</v>
      </c>
      <c r="AA1428" s="255">
        <v>0</v>
      </c>
      <c r="AC1428" s="254"/>
    </row>
    <row r="1429" spans="1:31" ht="12">
      <c r="A1429" s="67" t="s">
        <v>13257</v>
      </c>
      <c r="B1429" s="65" t="s">
        <v>13258</v>
      </c>
      <c r="C1429" s="71" t="s">
        <v>509</v>
      </c>
      <c r="D1429" s="78">
        <v>1</v>
      </c>
      <c r="E1429" s="79">
        <v>1490.69</v>
      </c>
      <c r="F1429" s="70">
        <v>1490.69</v>
      </c>
      <c r="G1429" s="320"/>
      <c r="H1429" s="79">
        <v>1490.69</v>
      </c>
      <c r="I1429" s="79">
        <v>0</v>
      </c>
      <c r="J1429" s="79">
        <v>1490.69</v>
      </c>
      <c r="K1429" s="79">
        <v>0</v>
      </c>
      <c r="L1429" s="70">
        <v>1490.69</v>
      </c>
      <c r="M1429" s="132"/>
      <c r="N1429" s="79">
        <v>1490.69</v>
      </c>
      <c r="O1429" s="79"/>
      <c r="P1429" s="79">
        <v>1490.69</v>
      </c>
      <c r="Q1429" s="136"/>
      <c r="R1429" s="79">
        <v>1490.69</v>
      </c>
      <c r="S1429" s="79"/>
      <c r="T1429" s="79">
        <v>1490.69</v>
      </c>
      <c r="U1429" s="79">
        <v>0</v>
      </c>
      <c r="V1429" s="189">
        <v>1490.69</v>
      </c>
      <c r="X1429" s="79">
        <v>1490.69</v>
      </c>
      <c r="Y1429" s="79"/>
      <c r="Z1429" s="79">
        <v>1490.69</v>
      </c>
      <c r="AA1429" s="255">
        <v>0</v>
      </c>
      <c r="AC1429" s="254"/>
    </row>
    <row r="1430" spans="1:31" ht="12">
      <c r="A1430" s="67" t="s">
        <v>13259</v>
      </c>
      <c r="B1430" s="65" t="s">
        <v>13260</v>
      </c>
      <c r="C1430" s="71" t="s">
        <v>509</v>
      </c>
      <c r="D1430" s="78">
        <v>1</v>
      </c>
      <c r="E1430" s="79">
        <v>945.86</v>
      </c>
      <c r="F1430" s="70">
        <v>945.86</v>
      </c>
      <c r="G1430" s="320"/>
      <c r="H1430" s="79">
        <v>945.86</v>
      </c>
      <c r="I1430" s="79">
        <v>0</v>
      </c>
      <c r="J1430" s="79">
        <v>945.86</v>
      </c>
      <c r="K1430" s="79">
        <v>0</v>
      </c>
      <c r="L1430" s="70">
        <v>945.86</v>
      </c>
      <c r="M1430" s="132"/>
      <c r="N1430" s="79">
        <v>945.86</v>
      </c>
      <c r="O1430" s="79"/>
      <c r="P1430" s="79">
        <v>945.86</v>
      </c>
      <c r="Q1430" s="136"/>
      <c r="R1430" s="79">
        <v>950.04</v>
      </c>
      <c r="S1430" s="79">
        <v>75.53</v>
      </c>
      <c r="T1430" s="79">
        <v>1025.57</v>
      </c>
      <c r="U1430" s="79">
        <v>0</v>
      </c>
      <c r="V1430" s="189">
        <v>1025.57</v>
      </c>
      <c r="X1430" s="79">
        <v>950.04</v>
      </c>
      <c r="Y1430" s="79">
        <v>75.53</v>
      </c>
      <c r="Z1430" s="79">
        <v>1025.57</v>
      </c>
      <c r="AA1430" s="255">
        <v>-79.709999999999923</v>
      </c>
      <c r="AC1430" s="254"/>
    </row>
    <row r="1431" spans="1:31" ht="12">
      <c r="A1431" s="67" t="s">
        <v>13261</v>
      </c>
      <c r="B1431" s="65" t="s">
        <v>13262</v>
      </c>
      <c r="C1431" s="71" t="s">
        <v>509</v>
      </c>
      <c r="D1431" s="78">
        <v>1</v>
      </c>
      <c r="E1431" s="79">
        <v>938.52</v>
      </c>
      <c r="F1431" s="70">
        <v>938.52</v>
      </c>
      <c r="G1431" s="320"/>
      <c r="H1431" s="79">
        <v>938.52</v>
      </c>
      <c r="I1431" s="79">
        <v>0</v>
      </c>
      <c r="J1431" s="79">
        <v>938.52</v>
      </c>
      <c r="K1431" s="79">
        <v>0</v>
      </c>
      <c r="L1431" s="70">
        <v>938.52</v>
      </c>
      <c r="M1431" s="132"/>
      <c r="N1431" s="79">
        <v>938.52</v>
      </c>
      <c r="O1431" s="79"/>
      <c r="P1431" s="79">
        <v>938.52</v>
      </c>
      <c r="Q1431" s="136"/>
      <c r="R1431" s="79">
        <v>942.7</v>
      </c>
      <c r="S1431" s="79">
        <v>75.53</v>
      </c>
      <c r="T1431" s="79">
        <v>1018.23</v>
      </c>
      <c r="U1431" s="79">
        <v>0</v>
      </c>
      <c r="V1431" s="189">
        <v>1018.23</v>
      </c>
      <c r="X1431" s="79">
        <v>942.7</v>
      </c>
      <c r="Y1431" s="79">
        <v>75.53</v>
      </c>
      <c r="Z1431" s="79">
        <v>1018.23</v>
      </c>
      <c r="AA1431" s="255">
        <v>-79.710000000000036</v>
      </c>
      <c r="AC1431" s="254"/>
    </row>
    <row r="1432" spans="1:31" ht="12">
      <c r="A1432" s="67" t="s">
        <v>13263</v>
      </c>
      <c r="B1432" s="65" t="s">
        <v>13264</v>
      </c>
      <c r="C1432" s="71" t="s">
        <v>509</v>
      </c>
      <c r="D1432" s="78">
        <v>1</v>
      </c>
      <c r="E1432" s="79">
        <v>1112.07</v>
      </c>
      <c r="F1432" s="70">
        <v>1112.07</v>
      </c>
      <c r="G1432" s="320"/>
      <c r="H1432" s="79">
        <v>1036.53</v>
      </c>
      <c r="I1432" s="79">
        <v>75.539999999999992</v>
      </c>
      <c r="J1432" s="79">
        <v>1112.07</v>
      </c>
      <c r="K1432" s="79">
        <v>0</v>
      </c>
      <c r="L1432" s="70">
        <v>1112.07</v>
      </c>
      <c r="M1432" s="132"/>
      <c r="N1432" s="79">
        <v>1036.53</v>
      </c>
      <c r="O1432" s="79">
        <v>75.539999999999992</v>
      </c>
      <c r="P1432" s="79">
        <v>1112.07</v>
      </c>
      <c r="Q1432" s="136"/>
      <c r="R1432" s="79">
        <v>1036.53</v>
      </c>
      <c r="S1432" s="79">
        <v>75.53</v>
      </c>
      <c r="T1432" s="79">
        <v>1112.06</v>
      </c>
      <c r="U1432" s="79">
        <v>0</v>
      </c>
      <c r="V1432" s="189">
        <v>1112.06</v>
      </c>
      <c r="X1432" s="79">
        <v>1036.53</v>
      </c>
      <c r="Y1432" s="79">
        <v>75.53</v>
      </c>
      <c r="Z1432" s="79">
        <v>1112.06</v>
      </c>
      <c r="AA1432" s="255">
        <v>9.9999999999909051E-3</v>
      </c>
      <c r="AC1432" s="254"/>
    </row>
    <row r="1433" spans="1:31" ht="12">
      <c r="A1433" s="67" t="s">
        <v>13265</v>
      </c>
      <c r="B1433" s="65" t="s">
        <v>13266</v>
      </c>
      <c r="C1433" s="71" t="s">
        <v>509</v>
      </c>
      <c r="D1433" s="78">
        <v>1</v>
      </c>
      <c r="E1433" s="79">
        <v>1233.1200000000001</v>
      </c>
      <c r="F1433" s="70">
        <v>1233.1199999999999</v>
      </c>
      <c r="G1433" s="320"/>
      <c r="H1433" s="79">
        <v>1157.5800000000002</v>
      </c>
      <c r="I1433" s="79">
        <v>75.539999999999992</v>
      </c>
      <c r="J1433" s="79">
        <v>1233.1200000000001</v>
      </c>
      <c r="K1433" s="79">
        <v>0</v>
      </c>
      <c r="L1433" s="70">
        <v>1233.1200000000001</v>
      </c>
      <c r="M1433" s="132"/>
      <c r="N1433" s="79">
        <v>1157.5800000000002</v>
      </c>
      <c r="O1433" s="79">
        <v>75.539999999999992</v>
      </c>
      <c r="P1433" s="79">
        <v>1233.1200000000001</v>
      </c>
      <c r="Q1433" s="136"/>
      <c r="R1433" s="79">
        <v>1157.58</v>
      </c>
      <c r="S1433" s="79">
        <v>75.53</v>
      </c>
      <c r="T1433" s="79">
        <v>1233.1099999999999</v>
      </c>
      <c r="U1433" s="79">
        <v>0</v>
      </c>
      <c r="V1433" s="189">
        <v>1233.1099999999999</v>
      </c>
      <c r="X1433" s="79">
        <v>1157.58</v>
      </c>
      <c r="Y1433" s="79">
        <v>75.53</v>
      </c>
      <c r="Z1433" s="79">
        <v>1233.1099999999999</v>
      </c>
      <c r="AA1433" s="255">
        <v>9.9999999999909051E-3</v>
      </c>
      <c r="AC1433" s="254"/>
    </row>
    <row r="1434" spans="1:31" ht="12">
      <c r="A1434" s="67" t="s">
        <v>13267</v>
      </c>
      <c r="B1434" s="65" t="s">
        <v>13268</v>
      </c>
      <c r="C1434" s="71" t="s">
        <v>509</v>
      </c>
      <c r="D1434" s="78">
        <v>1</v>
      </c>
      <c r="E1434" s="79">
        <v>1309.42</v>
      </c>
      <c r="F1434" s="70">
        <v>1309.42</v>
      </c>
      <c r="G1434" s="320"/>
      <c r="H1434" s="79">
        <v>1233.8800000000001</v>
      </c>
      <c r="I1434" s="79">
        <v>75.539999999999992</v>
      </c>
      <c r="J1434" s="79">
        <v>1309.42</v>
      </c>
      <c r="K1434" s="79">
        <v>0</v>
      </c>
      <c r="L1434" s="70">
        <v>1309.42</v>
      </c>
      <c r="M1434" s="132"/>
      <c r="N1434" s="79">
        <v>1233.8800000000001</v>
      </c>
      <c r="O1434" s="79">
        <v>75.539999999999992</v>
      </c>
      <c r="P1434" s="79">
        <v>1309.42</v>
      </c>
      <c r="Q1434" s="136"/>
      <c r="R1434" s="79">
        <v>1233.8800000000001</v>
      </c>
      <c r="S1434" s="79">
        <v>75.53</v>
      </c>
      <c r="T1434" s="79">
        <v>1309.4100000000001</v>
      </c>
      <c r="U1434" s="79">
        <v>0</v>
      </c>
      <c r="V1434" s="189">
        <v>1309.4100000000001</v>
      </c>
      <c r="X1434" s="79">
        <v>1233.8800000000001</v>
      </c>
      <c r="Y1434" s="79">
        <v>75.53</v>
      </c>
      <c r="Z1434" s="79">
        <v>1309.4100000000001</v>
      </c>
      <c r="AA1434" s="255">
        <v>9.9999999999909051E-3</v>
      </c>
      <c r="AC1434" s="254"/>
    </row>
    <row r="1435" spans="1:31" ht="12">
      <c r="A1435" s="67" t="s">
        <v>13269</v>
      </c>
      <c r="B1435" s="65" t="s">
        <v>13270</v>
      </c>
      <c r="C1435" s="71" t="s">
        <v>509</v>
      </c>
      <c r="D1435" s="78">
        <v>1</v>
      </c>
      <c r="E1435" s="79">
        <v>1259.01</v>
      </c>
      <c r="F1435" s="70">
        <v>1259.01</v>
      </c>
      <c r="G1435" s="320"/>
      <c r="H1435" s="79">
        <v>1183.47</v>
      </c>
      <c r="I1435" s="79">
        <v>75.539999999999992</v>
      </c>
      <c r="J1435" s="79">
        <v>1259.01</v>
      </c>
      <c r="K1435" s="79">
        <v>0</v>
      </c>
      <c r="L1435" s="70">
        <v>1259.01</v>
      </c>
      <c r="M1435" s="132"/>
      <c r="N1435" s="79">
        <v>1183.47</v>
      </c>
      <c r="O1435" s="79">
        <v>75.539999999999992</v>
      </c>
      <c r="P1435" s="79">
        <v>1259.01</v>
      </c>
      <c r="Q1435" s="136"/>
      <c r="R1435" s="79">
        <v>1183.47</v>
      </c>
      <c r="S1435" s="79">
        <v>75.53</v>
      </c>
      <c r="T1435" s="79">
        <v>1259</v>
      </c>
      <c r="U1435" s="79">
        <v>0</v>
      </c>
      <c r="V1435" s="189">
        <v>1259</v>
      </c>
      <c r="X1435" s="79">
        <v>1183.47</v>
      </c>
      <c r="Y1435" s="79">
        <v>75.53</v>
      </c>
      <c r="Z1435" s="79">
        <v>1259</v>
      </c>
      <c r="AA1435" s="255">
        <v>9.9999999999909051E-3</v>
      </c>
      <c r="AC1435" s="254"/>
      <c r="AD1435" s="61"/>
      <c r="AE1435" s="61"/>
    </row>
    <row r="1436" spans="1:31" ht="12">
      <c r="A1436" s="489" t="s">
        <v>13271</v>
      </c>
      <c r="B1436" s="490" t="s">
        <v>13272</v>
      </c>
      <c r="C1436" s="491"/>
      <c r="D1436" s="492"/>
      <c r="E1436" s="79"/>
      <c r="F1436" s="63"/>
      <c r="G1436" s="320"/>
      <c r="H1436" s="79"/>
      <c r="I1436" s="79"/>
      <c r="J1436" s="79"/>
      <c r="K1436" s="79"/>
      <c r="L1436" s="70"/>
      <c r="M1436" s="132"/>
      <c r="N1436" s="79"/>
      <c r="O1436" s="79"/>
      <c r="P1436" s="79"/>
      <c r="Q1436" s="136"/>
      <c r="R1436" s="79"/>
      <c r="S1436" s="79"/>
      <c r="T1436" s="79"/>
      <c r="U1436" s="79"/>
      <c r="V1436" s="189"/>
      <c r="X1436" s="79"/>
      <c r="Y1436" s="79"/>
      <c r="Z1436" s="79"/>
      <c r="AA1436" s="255"/>
      <c r="AC1436" s="254"/>
      <c r="AD1436" s="61"/>
      <c r="AE1436" s="61"/>
    </row>
    <row r="1437" spans="1:31" ht="12">
      <c r="A1437" s="67" t="s">
        <v>13273</v>
      </c>
      <c r="B1437" s="65" t="s">
        <v>13274</v>
      </c>
      <c r="C1437" s="71" t="s">
        <v>509</v>
      </c>
      <c r="D1437" s="78">
        <v>1</v>
      </c>
      <c r="E1437" s="79">
        <v>563.95000000000005</v>
      </c>
      <c r="F1437" s="70">
        <v>563.95000000000005</v>
      </c>
      <c r="G1437" s="320"/>
      <c r="H1437" s="79">
        <v>412.90999999999997</v>
      </c>
      <c r="I1437" s="79">
        <v>151.04000000000002</v>
      </c>
      <c r="J1437" s="79">
        <v>563.95000000000005</v>
      </c>
      <c r="K1437" s="79">
        <v>0</v>
      </c>
      <c r="L1437" s="70">
        <v>563.95000000000005</v>
      </c>
      <c r="M1437" s="132"/>
      <c r="N1437" s="79">
        <v>412.90999999999997</v>
      </c>
      <c r="O1437" s="79">
        <v>151.04000000000002</v>
      </c>
      <c r="P1437" s="79">
        <v>563.95000000000005</v>
      </c>
      <c r="Q1437" s="136"/>
      <c r="R1437" s="79">
        <v>412.91</v>
      </c>
      <c r="S1437" s="79">
        <v>151.05000000000001</v>
      </c>
      <c r="T1437" s="79">
        <v>563.96</v>
      </c>
      <c r="U1437" s="79">
        <v>0</v>
      </c>
      <c r="V1437" s="189">
        <v>563.96</v>
      </c>
      <c r="X1437" s="79">
        <v>412.91</v>
      </c>
      <c r="Y1437" s="79">
        <v>151.05000000000001</v>
      </c>
      <c r="Z1437" s="79">
        <v>563.96</v>
      </c>
      <c r="AA1437" s="255">
        <v>-9.9999999999909051E-3</v>
      </c>
      <c r="AC1437" s="254"/>
      <c r="AD1437" s="61"/>
      <c r="AE1437" s="61"/>
    </row>
    <row r="1438" spans="1:31" s="61" customFormat="1" ht="12">
      <c r="A1438" s="67" t="s">
        <v>13275</v>
      </c>
      <c r="B1438" s="65" t="s">
        <v>13276</v>
      </c>
      <c r="C1438" s="71" t="s">
        <v>509</v>
      </c>
      <c r="D1438" s="78">
        <v>1</v>
      </c>
      <c r="E1438" s="79">
        <v>1108.3</v>
      </c>
      <c r="F1438" s="70">
        <v>1108.3</v>
      </c>
      <c r="G1438" s="320"/>
      <c r="H1438" s="79">
        <v>957.26</v>
      </c>
      <c r="I1438" s="79">
        <v>151.04000000000002</v>
      </c>
      <c r="J1438" s="79">
        <v>1108.3</v>
      </c>
      <c r="K1438" s="79">
        <v>0</v>
      </c>
      <c r="L1438" s="70">
        <v>1108.3</v>
      </c>
      <c r="M1438" s="132"/>
      <c r="N1438" s="79">
        <v>957.26</v>
      </c>
      <c r="O1438" s="79">
        <v>151.04000000000002</v>
      </c>
      <c r="P1438" s="79">
        <v>1108.3</v>
      </c>
      <c r="Q1438" s="136"/>
      <c r="R1438" s="79">
        <v>957.26</v>
      </c>
      <c r="S1438" s="79">
        <v>151.05000000000001</v>
      </c>
      <c r="T1438" s="79">
        <v>1108.31</v>
      </c>
      <c r="U1438" s="79">
        <v>0</v>
      </c>
      <c r="V1438" s="189">
        <v>1108.31</v>
      </c>
      <c r="X1438" s="79">
        <v>957.26</v>
      </c>
      <c r="Y1438" s="79">
        <v>151.05000000000001</v>
      </c>
      <c r="Z1438" s="79">
        <v>1108.31</v>
      </c>
      <c r="AA1438" s="255">
        <v>-9.9999999999909051E-3</v>
      </c>
      <c r="AC1438" s="254"/>
      <c r="AD1438" s="236"/>
      <c r="AE1438" s="236"/>
    </row>
    <row r="1439" spans="1:31" ht="12">
      <c r="A1439" s="67" t="s">
        <v>13277</v>
      </c>
      <c r="B1439" s="65" t="s">
        <v>13278</v>
      </c>
      <c r="C1439" s="71" t="s">
        <v>509</v>
      </c>
      <c r="D1439" s="78">
        <v>1</v>
      </c>
      <c r="E1439" s="79">
        <v>1213.1200000000001</v>
      </c>
      <c r="F1439" s="70">
        <v>1213.1199999999999</v>
      </c>
      <c r="G1439" s="320"/>
      <c r="H1439" s="79">
        <v>1062.08</v>
      </c>
      <c r="I1439" s="79">
        <v>151.04000000000002</v>
      </c>
      <c r="J1439" s="79">
        <v>1213.1199999999999</v>
      </c>
      <c r="K1439" s="79">
        <v>0</v>
      </c>
      <c r="L1439" s="70">
        <v>1213.1199999999999</v>
      </c>
      <c r="M1439" s="132"/>
      <c r="N1439" s="79">
        <v>1062.08</v>
      </c>
      <c r="O1439" s="79">
        <v>151.04000000000002</v>
      </c>
      <c r="P1439" s="79">
        <v>1213.1199999999999</v>
      </c>
      <c r="Q1439" s="136"/>
      <c r="R1439" s="79">
        <v>1062.08</v>
      </c>
      <c r="S1439" s="79">
        <v>151.05000000000001</v>
      </c>
      <c r="T1439" s="79">
        <v>1213.1299999999999</v>
      </c>
      <c r="U1439" s="79">
        <v>0</v>
      </c>
      <c r="V1439" s="189">
        <v>1213.1299999999999</v>
      </c>
      <c r="X1439" s="79">
        <v>1062.08</v>
      </c>
      <c r="Y1439" s="79">
        <v>151.05000000000001</v>
      </c>
      <c r="Z1439" s="79">
        <v>1213.1300000000001</v>
      </c>
      <c r="AA1439" s="255">
        <v>-1.0000000000218279E-2</v>
      </c>
      <c r="AC1439" s="254"/>
    </row>
    <row r="1440" spans="1:31" ht="12">
      <c r="A1440" s="67" t="s">
        <v>13279</v>
      </c>
      <c r="B1440" s="65" t="s">
        <v>13280</v>
      </c>
      <c r="C1440" s="71" t="s">
        <v>509</v>
      </c>
      <c r="D1440" s="78">
        <v>1</v>
      </c>
      <c r="E1440" s="79">
        <v>1194.28</v>
      </c>
      <c r="F1440" s="70">
        <v>1194.28</v>
      </c>
      <c r="G1440" s="320"/>
      <c r="H1440" s="79">
        <v>1118.74</v>
      </c>
      <c r="I1440" s="79">
        <v>75.539999999999992</v>
      </c>
      <c r="J1440" s="79">
        <v>1194.28</v>
      </c>
      <c r="K1440" s="79">
        <v>0</v>
      </c>
      <c r="L1440" s="70">
        <v>1194.28</v>
      </c>
      <c r="M1440" s="132"/>
      <c r="N1440" s="79">
        <v>1118.74</v>
      </c>
      <c r="O1440" s="79">
        <v>75.539999999999992</v>
      </c>
      <c r="P1440" s="79">
        <v>1194.28</v>
      </c>
      <c r="Q1440" s="136"/>
      <c r="R1440" s="79">
        <v>1118.74</v>
      </c>
      <c r="S1440" s="79">
        <v>75.53</v>
      </c>
      <c r="T1440" s="79">
        <v>1194.27</v>
      </c>
      <c r="U1440" s="79">
        <v>0</v>
      </c>
      <c r="V1440" s="189">
        <v>1194.27</v>
      </c>
      <c r="X1440" s="79">
        <v>1118.74</v>
      </c>
      <c r="Y1440" s="79">
        <v>75.53</v>
      </c>
      <c r="Z1440" s="79">
        <v>1194.27</v>
      </c>
      <c r="AA1440" s="255">
        <v>9.9999999999909051E-3</v>
      </c>
      <c r="AC1440" s="254"/>
    </row>
    <row r="1441" spans="1:31" ht="12">
      <c r="A1441" s="67" t="s">
        <v>13281</v>
      </c>
      <c r="B1441" s="65" t="s">
        <v>13282</v>
      </c>
      <c r="C1441" s="71" t="s">
        <v>509</v>
      </c>
      <c r="D1441" s="78">
        <v>1</v>
      </c>
      <c r="E1441" s="79">
        <v>538.02</v>
      </c>
      <c r="F1441" s="70">
        <v>538.02</v>
      </c>
      <c r="G1441" s="320"/>
      <c r="H1441" s="79">
        <v>386.97999999999996</v>
      </c>
      <c r="I1441" s="79">
        <v>151.04000000000002</v>
      </c>
      <c r="J1441" s="79">
        <v>538.02</v>
      </c>
      <c r="K1441" s="79">
        <v>0</v>
      </c>
      <c r="L1441" s="70">
        <v>538.02</v>
      </c>
      <c r="M1441" s="132"/>
      <c r="N1441" s="79">
        <v>386.97999999999996</v>
      </c>
      <c r="O1441" s="79">
        <v>151.04000000000002</v>
      </c>
      <c r="P1441" s="79">
        <v>538.02</v>
      </c>
      <c r="Q1441" s="136"/>
      <c r="R1441" s="79">
        <v>386.98</v>
      </c>
      <c r="S1441" s="79">
        <v>151.05000000000001</v>
      </c>
      <c r="T1441" s="79">
        <v>538.03</v>
      </c>
      <c r="U1441" s="79">
        <v>0</v>
      </c>
      <c r="V1441" s="189">
        <v>538.03</v>
      </c>
      <c r="X1441" s="79">
        <v>386.98</v>
      </c>
      <c r="Y1441" s="79">
        <v>151.05000000000001</v>
      </c>
      <c r="Z1441" s="79">
        <v>538.03</v>
      </c>
      <c r="AA1441" s="255">
        <v>-9.9999999999909051E-3</v>
      </c>
      <c r="AC1441" s="254"/>
    </row>
    <row r="1442" spans="1:31" ht="12">
      <c r="A1442" s="67" t="s">
        <v>13283</v>
      </c>
      <c r="B1442" s="65" t="s">
        <v>40952</v>
      </c>
      <c r="C1442" s="71" t="s">
        <v>509</v>
      </c>
      <c r="D1442" s="78">
        <v>1</v>
      </c>
      <c r="E1442" s="79">
        <v>1111.06</v>
      </c>
      <c r="F1442" s="70">
        <v>1111.06</v>
      </c>
      <c r="G1442" s="320"/>
      <c r="H1442" s="79">
        <v>960.02</v>
      </c>
      <c r="I1442" s="79">
        <v>151.04000000000002</v>
      </c>
      <c r="J1442" s="79">
        <v>1111.06</v>
      </c>
      <c r="K1442" s="79">
        <v>0</v>
      </c>
      <c r="L1442" s="70">
        <v>1111.06</v>
      </c>
      <c r="M1442" s="132"/>
      <c r="N1442" s="79">
        <v>960.02</v>
      </c>
      <c r="O1442" s="79">
        <v>151.04000000000002</v>
      </c>
      <c r="P1442" s="79">
        <v>1111.06</v>
      </c>
      <c r="Q1442" s="136"/>
      <c r="R1442" s="79">
        <v>960.02</v>
      </c>
      <c r="S1442" s="79">
        <v>151.05000000000001</v>
      </c>
      <c r="T1442" s="79">
        <v>1111.07</v>
      </c>
      <c r="U1442" s="79">
        <v>0</v>
      </c>
      <c r="V1442" s="189">
        <v>1111.07</v>
      </c>
      <c r="X1442" s="79">
        <v>960.02</v>
      </c>
      <c r="Y1442" s="79">
        <v>151.05000000000001</v>
      </c>
      <c r="Z1442" s="79">
        <v>1111.07</v>
      </c>
      <c r="AA1442" s="255">
        <v>-9.9999999999909051E-3</v>
      </c>
      <c r="AC1442" s="254"/>
    </row>
    <row r="1443" spans="1:31" ht="12">
      <c r="A1443" s="67" t="s">
        <v>13284</v>
      </c>
      <c r="B1443" s="65" t="s">
        <v>40953</v>
      </c>
      <c r="C1443" s="71" t="s">
        <v>509</v>
      </c>
      <c r="D1443" s="78">
        <v>1</v>
      </c>
      <c r="E1443" s="79">
        <v>663.97</v>
      </c>
      <c r="F1443" s="70">
        <v>663.97</v>
      </c>
      <c r="G1443" s="320"/>
      <c r="H1443" s="79">
        <v>512.92999999999995</v>
      </c>
      <c r="I1443" s="79">
        <v>151.04000000000002</v>
      </c>
      <c r="J1443" s="79">
        <v>663.97</v>
      </c>
      <c r="K1443" s="79">
        <v>0</v>
      </c>
      <c r="L1443" s="70">
        <v>663.97</v>
      </c>
      <c r="M1443" s="132"/>
      <c r="N1443" s="79">
        <v>512.92999999999995</v>
      </c>
      <c r="O1443" s="79">
        <v>151.04000000000002</v>
      </c>
      <c r="P1443" s="79">
        <v>663.97</v>
      </c>
      <c r="Q1443" s="136"/>
      <c r="R1443" s="79">
        <v>512.92999999999995</v>
      </c>
      <c r="S1443" s="79">
        <v>151.05000000000001</v>
      </c>
      <c r="T1443" s="79">
        <v>663.98</v>
      </c>
      <c r="U1443" s="79">
        <v>0</v>
      </c>
      <c r="V1443" s="189">
        <v>663.98</v>
      </c>
      <c r="X1443" s="79">
        <v>512.92999999999995</v>
      </c>
      <c r="Y1443" s="79">
        <v>151.05000000000001</v>
      </c>
      <c r="Z1443" s="79">
        <v>663.98</v>
      </c>
      <c r="AA1443" s="255">
        <v>-9.9999999999909051E-3</v>
      </c>
      <c r="AC1443" s="254"/>
    </row>
    <row r="1444" spans="1:31" ht="12">
      <c r="A1444" s="67" t="s">
        <v>13285</v>
      </c>
      <c r="B1444" s="65" t="s">
        <v>39481</v>
      </c>
      <c r="C1444" s="71" t="s">
        <v>509</v>
      </c>
      <c r="D1444" s="78">
        <v>1</v>
      </c>
      <c r="E1444" s="79">
        <v>1256.8300000000002</v>
      </c>
      <c r="F1444" s="70">
        <v>1256.83</v>
      </c>
      <c r="G1444" s="320"/>
      <c r="H1444" s="79">
        <v>1105.79</v>
      </c>
      <c r="I1444" s="79">
        <v>151.04000000000002</v>
      </c>
      <c r="J1444" s="79">
        <v>1256.83</v>
      </c>
      <c r="K1444" s="79">
        <v>0</v>
      </c>
      <c r="L1444" s="70">
        <v>1256.83</v>
      </c>
      <c r="M1444" s="132"/>
      <c r="N1444" s="79">
        <v>1105.79</v>
      </c>
      <c r="O1444" s="79">
        <v>151.04000000000002</v>
      </c>
      <c r="P1444" s="79">
        <v>1256.83</v>
      </c>
      <c r="Q1444" s="136"/>
      <c r="R1444" s="79">
        <v>1105.79</v>
      </c>
      <c r="S1444" s="79">
        <v>151.05000000000001</v>
      </c>
      <c r="T1444" s="79">
        <v>1256.8399999999999</v>
      </c>
      <c r="U1444" s="79">
        <v>0</v>
      </c>
      <c r="V1444" s="189">
        <v>1256.8399999999999</v>
      </c>
      <c r="X1444" s="79">
        <v>1105.79</v>
      </c>
      <c r="Y1444" s="79">
        <v>151.05000000000001</v>
      </c>
      <c r="Z1444" s="79">
        <v>1256.8399999999999</v>
      </c>
      <c r="AA1444" s="255">
        <v>-9.9999999999909051E-3</v>
      </c>
      <c r="AC1444" s="254"/>
    </row>
    <row r="1445" spans="1:31" ht="12">
      <c r="A1445" s="67" t="s">
        <v>13286</v>
      </c>
      <c r="B1445" s="65" t="s">
        <v>13287</v>
      </c>
      <c r="C1445" s="71" t="s">
        <v>509</v>
      </c>
      <c r="D1445" s="78">
        <v>1</v>
      </c>
      <c r="E1445" s="79">
        <v>716.43999999999994</v>
      </c>
      <c r="F1445" s="70">
        <v>716.44</v>
      </c>
      <c r="G1445" s="320"/>
      <c r="H1445" s="79">
        <v>565.4</v>
      </c>
      <c r="I1445" s="79">
        <v>151.04000000000002</v>
      </c>
      <c r="J1445" s="79">
        <v>716.44</v>
      </c>
      <c r="K1445" s="79">
        <v>0</v>
      </c>
      <c r="L1445" s="70">
        <v>716.44</v>
      </c>
      <c r="M1445" s="132"/>
      <c r="N1445" s="79">
        <v>565.4</v>
      </c>
      <c r="O1445" s="79">
        <v>151.04000000000002</v>
      </c>
      <c r="P1445" s="79">
        <v>716.44</v>
      </c>
      <c r="Q1445" s="136"/>
      <c r="R1445" s="79">
        <v>565.4</v>
      </c>
      <c r="S1445" s="79">
        <v>151.05000000000001</v>
      </c>
      <c r="T1445" s="79">
        <v>716.45</v>
      </c>
      <c r="U1445" s="79">
        <v>0</v>
      </c>
      <c r="V1445" s="189">
        <v>716.45</v>
      </c>
      <c r="X1445" s="79">
        <v>565.4</v>
      </c>
      <c r="Y1445" s="79">
        <v>151.05000000000001</v>
      </c>
      <c r="Z1445" s="79">
        <v>716.45</v>
      </c>
      <c r="AA1445" s="255">
        <v>-9.9999999999909051E-3</v>
      </c>
      <c r="AC1445" s="254"/>
    </row>
    <row r="1446" spans="1:31" ht="12">
      <c r="A1446" s="67" t="s">
        <v>13288</v>
      </c>
      <c r="B1446" s="65" t="s">
        <v>13289</v>
      </c>
      <c r="C1446" s="71" t="s">
        <v>509</v>
      </c>
      <c r="D1446" s="78">
        <v>1</v>
      </c>
      <c r="E1446" s="79">
        <v>876.43999999999994</v>
      </c>
      <c r="F1446" s="70">
        <v>876.44</v>
      </c>
      <c r="G1446" s="320"/>
      <c r="H1446" s="79">
        <v>725.4</v>
      </c>
      <c r="I1446" s="79">
        <v>151.04000000000002</v>
      </c>
      <c r="J1446" s="79">
        <v>876.44</v>
      </c>
      <c r="K1446" s="79">
        <v>0</v>
      </c>
      <c r="L1446" s="70">
        <v>876.44</v>
      </c>
      <c r="M1446" s="132"/>
      <c r="N1446" s="79">
        <v>725.4</v>
      </c>
      <c r="O1446" s="79">
        <v>151.04000000000002</v>
      </c>
      <c r="P1446" s="79">
        <v>876.44</v>
      </c>
      <c r="Q1446" s="136"/>
      <c r="R1446" s="79">
        <v>725.4</v>
      </c>
      <c r="S1446" s="79">
        <v>151.05000000000001</v>
      </c>
      <c r="T1446" s="79">
        <v>876.45</v>
      </c>
      <c r="U1446" s="79">
        <v>0</v>
      </c>
      <c r="V1446" s="189">
        <v>876.45</v>
      </c>
      <c r="X1446" s="79">
        <v>725.4</v>
      </c>
      <c r="Y1446" s="79">
        <v>151.05000000000001</v>
      </c>
      <c r="Z1446" s="79">
        <v>876.45</v>
      </c>
      <c r="AA1446" s="255">
        <v>-9.9999999999909051E-3</v>
      </c>
      <c r="AC1446" s="254"/>
    </row>
    <row r="1447" spans="1:31" ht="12">
      <c r="A1447" s="67" t="s">
        <v>13290</v>
      </c>
      <c r="B1447" s="65" t="s">
        <v>13291</v>
      </c>
      <c r="C1447" s="71" t="s">
        <v>509</v>
      </c>
      <c r="D1447" s="78">
        <v>1</v>
      </c>
      <c r="E1447" s="79">
        <v>1106.06</v>
      </c>
      <c r="F1447" s="70">
        <v>1106.06</v>
      </c>
      <c r="G1447" s="320"/>
      <c r="H1447" s="79">
        <v>1030.52</v>
      </c>
      <c r="I1447" s="79">
        <v>75.539999999999992</v>
      </c>
      <c r="J1447" s="79">
        <v>1106.06</v>
      </c>
      <c r="K1447" s="79">
        <v>0</v>
      </c>
      <c r="L1447" s="70">
        <v>1106.06</v>
      </c>
      <c r="M1447" s="132"/>
      <c r="N1447" s="79">
        <v>1030.52</v>
      </c>
      <c r="O1447" s="79">
        <v>75.539999999999992</v>
      </c>
      <c r="P1447" s="79">
        <v>1106.06</v>
      </c>
      <c r="Q1447" s="136"/>
      <c r="R1447" s="79">
        <v>1030.52</v>
      </c>
      <c r="S1447" s="79">
        <v>75.53</v>
      </c>
      <c r="T1447" s="79">
        <v>1106.05</v>
      </c>
      <c r="U1447" s="79">
        <v>0</v>
      </c>
      <c r="V1447" s="189">
        <v>1106.05</v>
      </c>
      <c r="X1447" s="79">
        <v>1030.52</v>
      </c>
      <c r="Y1447" s="79">
        <v>75.53</v>
      </c>
      <c r="Z1447" s="79">
        <v>1106.05</v>
      </c>
      <c r="AA1447" s="255">
        <v>9.9999999999909051E-3</v>
      </c>
      <c r="AC1447" s="254"/>
    </row>
    <row r="1448" spans="1:31" ht="12">
      <c r="A1448" s="67" t="s">
        <v>13292</v>
      </c>
      <c r="B1448" s="65" t="s">
        <v>39482</v>
      </c>
      <c r="C1448" s="71" t="s">
        <v>509</v>
      </c>
      <c r="D1448" s="78">
        <v>1</v>
      </c>
      <c r="E1448" s="79">
        <v>1049.51</v>
      </c>
      <c r="F1448" s="70">
        <v>1049.51</v>
      </c>
      <c r="G1448" s="320"/>
      <c r="H1448" s="79">
        <v>973.96999999999991</v>
      </c>
      <c r="I1448" s="79">
        <v>75.539999999999992</v>
      </c>
      <c r="J1448" s="79">
        <v>1049.51</v>
      </c>
      <c r="K1448" s="79">
        <v>0</v>
      </c>
      <c r="L1448" s="70">
        <v>1049.51</v>
      </c>
      <c r="M1448" s="132"/>
      <c r="N1448" s="79">
        <v>973.96999999999991</v>
      </c>
      <c r="O1448" s="79">
        <v>75.539999999999992</v>
      </c>
      <c r="P1448" s="79">
        <v>1049.51</v>
      </c>
      <c r="Q1448" s="136"/>
      <c r="R1448" s="79">
        <v>973.97</v>
      </c>
      <c r="S1448" s="79">
        <v>75.53</v>
      </c>
      <c r="T1448" s="79">
        <v>1049.5</v>
      </c>
      <c r="U1448" s="79">
        <v>0</v>
      </c>
      <c r="V1448" s="189">
        <v>1049.5</v>
      </c>
      <c r="X1448" s="79">
        <v>973.97</v>
      </c>
      <c r="Y1448" s="79">
        <v>75.53</v>
      </c>
      <c r="Z1448" s="79">
        <v>1049.5</v>
      </c>
      <c r="AA1448" s="255">
        <v>9.9999999999909051E-3</v>
      </c>
      <c r="AC1448" s="254"/>
    </row>
    <row r="1449" spans="1:31" ht="12">
      <c r="A1449" s="67" t="s">
        <v>13293</v>
      </c>
      <c r="B1449" s="65" t="s">
        <v>13294</v>
      </c>
      <c r="C1449" s="71" t="s">
        <v>509</v>
      </c>
      <c r="D1449" s="78">
        <v>1</v>
      </c>
      <c r="E1449" s="79">
        <v>1016.61</v>
      </c>
      <c r="F1449" s="70">
        <v>1016.61</v>
      </c>
      <c r="G1449" s="320"/>
      <c r="H1449" s="79">
        <v>941.06999999999994</v>
      </c>
      <c r="I1449" s="79">
        <v>75.539999999999992</v>
      </c>
      <c r="J1449" s="79">
        <v>1016.6099999999999</v>
      </c>
      <c r="K1449" s="79">
        <v>0</v>
      </c>
      <c r="L1449" s="70">
        <v>1016.6099999999999</v>
      </c>
      <c r="M1449" s="132"/>
      <c r="N1449" s="79">
        <v>941.06999999999994</v>
      </c>
      <c r="O1449" s="79">
        <v>75.539999999999992</v>
      </c>
      <c r="P1449" s="79">
        <v>1016.6099999999999</v>
      </c>
      <c r="Q1449" s="136"/>
      <c r="R1449" s="79">
        <v>941.07</v>
      </c>
      <c r="S1449" s="79">
        <v>75.53</v>
      </c>
      <c r="T1449" s="79">
        <v>1016.6</v>
      </c>
      <c r="U1449" s="79">
        <v>0</v>
      </c>
      <c r="V1449" s="189">
        <v>1016.6</v>
      </c>
      <c r="X1449" s="79">
        <v>941.07</v>
      </c>
      <c r="Y1449" s="79">
        <v>75.53</v>
      </c>
      <c r="Z1449" s="79">
        <v>1016.6</v>
      </c>
      <c r="AA1449" s="255">
        <v>9.9999999999909051E-3</v>
      </c>
      <c r="AC1449" s="254"/>
    </row>
    <row r="1450" spans="1:31" ht="12">
      <c r="A1450" s="67" t="s">
        <v>13295</v>
      </c>
      <c r="B1450" s="65" t="s">
        <v>13296</v>
      </c>
      <c r="C1450" s="71" t="s">
        <v>509</v>
      </c>
      <c r="D1450" s="78">
        <v>1</v>
      </c>
      <c r="E1450" s="79">
        <v>1435.78</v>
      </c>
      <c r="F1450" s="70">
        <v>1435.78</v>
      </c>
      <c r="G1450" s="320"/>
      <c r="H1450" s="79">
        <v>1360.24</v>
      </c>
      <c r="I1450" s="79">
        <v>75.539999999999992</v>
      </c>
      <c r="J1450" s="79">
        <v>1435.78</v>
      </c>
      <c r="K1450" s="79">
        <v>0</v>
      </c>
      <c r="L1450" s="70">
        <v>1435.78</v>
      </c>
      <c r="M1450" s="132"/>
      <c r="N1450" s="79">
        <v>1360.24</v>
      </c>
      <c r="O1450" s="79">
        <v>75.539999999999992</v>
      </c>
      <c r="P1450" s="79">
        <v>1435.78</v>
      </c>
      <c r="Q1450" s="136"/>
      <c r="R1450" s="79">
        <v>1360.24</v>
      </c>
      <c r="S1450" s="79">
        <v>75.53</v>
      </c>
      <c r="T1450" s="79">
        <v>1435.77</v>
      </c>
      <c r="U1450" s="79">
        <v>0</v>
      </c>
      <c r="V1450" s="189">
        <v>1435.77</v>
      </c>
      <c r="X1450" s="79">
        <v>1360.24</v>
      </c>
      <c r="Y1450" s="79">
        <v>75.53</v>
      </c>
      <c r="Z1450" s="79">
        <v>1435.77</v>
      </c>
      <c r="AA1450" s="255">
        <v>9.9999999999909051E-3</v>
      </c>
      <c r="AC1450" s="254"/>
    </row>
    <row r="1451" spans="1:31" ht="12">
      <c r="A1451" s="67" t="s">
        <v>13297</v>
      </c>
      <c r="B1451" s="65" t="s">
        <v>13298</v>
      </c>
      <c r="C1451" s="71" t="s">
        <v>509</v>
      </c>
      <c r="D1451" s="78">
        <v>1</v>
      </c>
      <c r="E1451" s="79">
        <v>1560.43</v>
      </c>
      <c r="F1451" s="70">
        <v>1560.43</v>
      </c>
      <c r="G1451" s="320"/>
      <c r="H1451" s="79">
        <v>1409.3899999999999</v>
      </c>
      <c r="I1451" s="79">
        <v>151.04000000000002</v>
      </c>
      <c r="J1451" s="79">
        <v>1560.4299999999998</v>
      </c>
      <c r="K1451" s="79">
        <v>0</v>
      </c>
      <c r="L1451" s="70">
        <v>1560.4299999999998</v>
      </c>
      <c r="M1451" s="132"/>
      <c r="N1451" s="79">
        <v>1409.3899999999999</v>
      </c>
      <c r="O1451" s="79">
        <v>151.04000000000002</v>
      </c>
      <c r="P1451" s="79">
        <v>1560.4299999999998</v>
      </c>
      <c r="Q1451" s="136"/>
      <c r="R1451" s="79">
        <v>1406.8</v>
      </c>
      <c r="S1451" s="79"/>
      <c r="T1451" s="79">
        <v>1406.8</v>
      </c>
      <c r="U1451" s="79">
        <v>0</v>
      </c>
      <c r="V1451" s="189">
        <v>1406.8</v>
      </c>
      <c r="X1451" s="79">
        <v>1406.8</v>
      </c>
      <c r="Y1451" s="79"/>
      <c r="Z1451" s="79">
        <v>1406.8</v>
      </c>
      <c r="AA1451" s="255">
        <v>153.63000000000011</v>
      </c>
      <c r="AC1451" s="254"/>
    </row>
    <row r="1452" spans="1:31" ht="12">
      <c r="A1452" s="67" t="s">
        <v>13299</v>
      </c>
      <c r="B1452" s="65" t="s">
        <v>13300</v>
      </c>
      <c r="C1452" s="71" t="s">
        <v>509</v>
      </c>
      <c r="D1452" s="78">
        <v>1</v>
      </c>
      <c r="E1452" s="79">
        <v>1529.89</v>
      </c>
      <c r="F1452" s="70">
        <v>1529.89</v>
      </c>
      <c r="G1452" s="320"/>
      <c r="H1452" s="79">
        <v>1378.85</v>
      </c>
      <c r="I1452" s="79">
        <v>151.04000000000002</v>
      </c>
      <c r="J1452" s="79">
        <v>1529.8899999999999</v>
      </c>
      <c r="K1452" s="79">
        <v>0</v>
      </c>
      <c r="L1452" s="70">
        <v>1529.8899999999999</v>
      </c>
      <c r="M1452" s="132"/>
      <c r="N1452" s="467">
        <v>1378.85</v>
      </c>
      <c r="O1452" s="467">
        <v>151.04000000000002</v>
      </c>
      <c r="P1452" s="79">
        <v>1529.8899999999999</v>
      </c>
      <c r="Q1452" s="136"/>
      <c r="R1452" s="79">
        <v>1378.85</v>
      </c>
      <c r="S1452" s="79">
        <v>151.05000000000001</v>
      </c>
      <c r="T1452" s="79">
        <v>1529.8999999999999</v>
      </c>
      <c r="U1452" s="79">
        <v>0</v>
      </c>
      <c r="V1452" s="189">
        <v>1529.8999999999999</v>
      </c>
      <c r="X1452" s="467">
        <v>1378.85</v>
      </c>
      <c r="Y1452" s="467">
        <v>151.05000000000001</v>
      </c>
      <c r="Z1452" s="467">
        <v>1529.9</v>
      </c>
      <c r="AA1452" s="255">
        <v>-9.9999999999909051E-3</v>
      </c>
      <c r="AC1452" s="254"/>
    </row>
    <row r="1453" spans="1:31" ht="12">
      <c r="A1453" s="489" t="s">
        <v>13301</v>
      </c>
      <c r="B1453" s="490" t="s">
        <v>13302</v>
      </c>
      <c r="C1453" s="491"/>
      <c r="D1453" s="78"/>
      <c r="E1453" s="79"/>
      <c r="F1453" s="70"/>
      <c r="G1453" s="320"/>
      <c r="H1453" s="79"/>
      <c r="I1453" s="79"/>
      <c r="J1453" s="79"/>
      <c r="K1453" s="79"/>
      <c r="L1453" s="70"/>
      <c r="M1453" s="132"/>
      <c r="N1453" s="79"/>
      <c r="O1453" s="79"/>
      <c r="P1453" s="79"/>
      <c r="Q1453" s="136"/>
      <c r="R1453" s="79"/>
      <c r="S1453" s="79"/>
      <c r="T1453" s="79"/>
      <c r="U1453" s="79"/>
      <c r="V1453" s="189"/>
      <c r="X1453" s="79"/>
      <c r="Y1453" s="79"/>
      <c r="Z1453" s="79"/>
      <c r="AA1453" s="255"/>
      <c r="AC1453" s="254"/>
    </row>
    <row r="1454" spans="1:31" ht="24">
      <c r="A1454" s="67" t="s">
        <v>13303</v>
      </c>
      <c r="B1454" s="65" t="s">
        <v>13304</v>
      </c>
      <c r="C1454" s="71" t="s">
        <v>509</v>
      </c>
      <c r="D1454" s="78">
        <v>1</v>
      </c>
      <c r="E1454" s="79">
        <v>228.55</v>
      </c>
      <c r="F1454" s="70">
        <v>228.55</v>
      </c>
      <c r="G1454" s="320"/>
      <c r="H1454" s="79">
        <v>211.8</v>
      </c>
      <c r="I1454" s="79">
        <v>16.75</v>
      </c>
      <c r="J1454" s="79">
        <v>228.55</v>
      </c>
      <c r="K1454" s="79">
        <v>0</v>
      </c>
      <c r="L1454" s="70">
        <v>228.55</v>
      </c>
      <c r="M1454" s="132"/>
      <c r="N1454" s="79">
        <v>211.8</v>
      </c>
      <c r="O1454" s="79">
        <v>16.75</v>
      </c>
      <c r="P1454" s="79">
        <v>228.55</v>
      </c>
      <c r="Q1454" s="136"/>
      <c r="R1454" s="79">
        <v>211.8</v>
      </c>
      <c r="S1454" s="79">
        <v>16.760000000000002</v>
      </c>
      <c r="T1454" s="79">
        <v>228.56</v>
      </c>
      <c r="U1454" s="79">
        <v>0</v>
      </c>
      <c r="V1454" s="189">
        <v>228.56</v>
      </c>
      <c r="X1454" s="79">
        <v>211.8</v>
      </c>
      <c r="Y1454" s="79">
        <v>16.760000000000002</v>
      </c>
      <c r="Z1454" s="79">
        <v>228.56</v>
      </c>
      <c r="AA1454" s="255">
        <v>-9.9999999999909051E-3</v>
      </c>
      <c r="AC1454" s="254"/>
    </row>
    <row r="1455" spans="1:31" ht="12">
      <c r="A1455" s="489" t="s">
        <v>13305</v>
      </c>
      <c r="B1455" s="490" t="s">
        <v>13306</v>
      </c>
      <c r="C1455" s="491"/>
      <c r="D1455" s="492"/>
      <c r="E1455" s="79"/>
      <c r="F1455" s="63"/>
      <c r="G1455" s="320"/>
      <c r="H1455" s="79"/>
      <c r="I1455" s="79"/>
      <c r="J1455" s="79"/>
      <c r="K1455" s="79"/>
      <c r="L1455" s="70"/>
      <c r="M1455" s="132"/>
      <c r="N1455" s="79"/>
      <c r="O1455" s="79"/>
      <c r="P1455" s="79"/>
      <c r="Q1455" s="136"/>
      <c r="R1455" s="79"/>
      <c r="S1455" s="79"/>
      <c r="T1455" s="79"/>
      <c r="U1455" s="79"/>
      <c r="V1455" s="189"/>
      <c r="X1455" s="79"/>
      <c r="Y1455" s="79"/>
      <c r="Z1455" s="79"/>
      <c r="AA1455" s="255"/>
      <c r="AC1455" s="254"/>
      <c r="AD1455" s="61"/>
      <c r="AE1455" s="61"/>
    </row>
    <row r="1456" spans="1:31" ht="12">
      <c r="A1456" s="489" t="s">
        <v>13307</v>
      </c>
      <c r="B1456" s="490" t="s">
        <v>13308</v>
      </c>
      <c r="C1456" s="491"/>
      <c r="D1456" s="492"/>
      <c r="E1456" s="79"/>
      <c r="F1456" s="63"/>
      <c r="G1456" s="320"/>
      <c r="H1456" s="79"/>
      <c r="I1456" s="79"/>
      <c r="J1456" s="79"/>
      <c r="K1456" s="79"/>
      <c r="L1456" s="70"/>
      <c r="M1456" s="132"/>
      <c r="N1456" s="79"/>
      <c r="O1456" s="79"/>
      <c r="P1456" s="79"/>
      <c r="Q1456" s="136"/>
      <c r="R1456" s="79"/>
      <c r="S1456" s="79"/>
      <c r="T1456" s="79"/>
      <c r="U1456" s="79"/>
      <c r="V1456" s="189"/>
      <c r="X1456" s="79"/>
      <c r="Y1456" s="79"/>
      <c r="Z1456" s="79"/>
      <c r="AA1456" s="255"/>
      <c r="AC1456" s="254"/>
      <c r="AD1456" s="61"/>
      <c r="AE1456" s="61"/>
    </row>
    <row r="1457" spans="1:31" s="61" customFormat="1" ht="12">
      <c r="A1457" s="67" t="s">
        <v>13309</v>
      </c>
      <c r="B1457" s="65" t="s">
        <v>13310</v>
      </c>
      <c r="C1457" s="71" t="s">
        <v>509</v>
      </c>
      <c r="D1457" s="78">
        <v>1</v>
      </c>
      <c r="E1457" s="79">
        <v>150.20999999999998</v>
      </c>
      <c r="F1457" s="70">
        <v>150.21</v>
      </c>
      <c r="G1457" s="320"/>
      <c r="H1457" s="79">
        <v>126.08999999999999</v>
      </c>
      <c r="I1457" s="79">
        <v>24.12</v>
      </c>
      <c r="J1457" s="79">
        <v>150.20999999999998</v>
      </c>
      <c r="K1457" s="79">
        <v>0</v>
      </c>
      <c r="L1457" s="70">
        <v>150.20999999999998</v>
      </c>
      <c r="M1457" s="132"/>
      <c r="N1457" s="79">
        <v>126.08999999999999</v>
      </c>
      <c r="O1457" s="79">
        <v>24.12</v>
      </c>
      <c r="P1457" s="79">
        <v>150.20999999999998</v>
      </c>
      <c r="Q1457" s="136"/>
      <c r="R1457" s="79">
        <v>126.09</v>
      </c>
      <c r="S1457" s="79">
        <v>24.12</v>
      </c>
      <c r="T1457" s="79">
        <v>150.21</v>
      </c>
      <c r="U1457" s="79">
        <v>0</v>
      </c>
      <c r="V1457" s="189">
        <v>150.21</v>
      </c>
      <c r="X1457" s="79">
        <v>126.09</v>
      </c>
      <c r="Y1457" s="79">
        <v>24.12</v>
      </c>
      <c r="Z1457" s="79">
        <v>150.21</v>
      </c>
      <c r="AA1457" s="255">
        <v>0</v>
      </c>
      <c r="AC1457" s="254"/>
      <c r="AD1457" s="236"/>
      <c r="AE1457" s="236"/>
    </row>
    <row r="1458" spans="1:31" s="61" customFormat="1" ht="12">
      <c r="A1458" s="67" t="s">
        <v>13311</v>
      </c>
      <c r="B1458" s="65" t="s">
        <v>13312</v>
      </c>
      <c r="C1458" s="71" t="s">
        <v>509</v>
      </c>
      <c r="D1458" s="78">
        <v>1</v>
      </c>
      <c r="E1458" s="79">
        <v>183.46999999999997</v>
      </c>
      <c r="F1458" s="70">
        <v>183.47</v>
      </c>
      <c r="G1458" s="320"/>
      <c r="H1458" s="79">
        <v>159.35</v>
      </c>
      <c r="I1458" s="79">
        <v>24.12</v>
      </c>
      <c r="J1458" s="79">
        <v>183.47</v>
      </c>
      <c r="K1458" s="79">
        <v>0</v>
      </c>
      <c r="L1458" s="70">
        <v>183.47</v>
      </c>
      <c r="M1458" s="132"/>
      <c r="N1458" s="79">
        <v>159.35</v>
      </c>
      <c r="O1458" s="79">
        <v>24.12</v>
      </c>
      <c r="P1458" s="79">
        <v>183.47</v>
      </c>
      <c r="Q1458" s="136"/>
      <c r="R1458" s="79">
        <v>159.35</v>
      </c>
      <c r="S1458" s="79">
        <v>24.12</v>
      </c>
      <c r="T1458" s="79">
        <v>183.47</v>
      </c>
      <c r="U1458" s="79">
        <v>0</v>
      </c>
      <c r="V1458" s="189">
        <v>183.47</v>
      </c>
      <c r="X1458" s="79">
        <v>159.35</v>
      </c>
      <c r="Y1458" s="79">
        <v>24.12</v>
      </c>
      <c r="Z1458" s="79">
        <v>183.47</v>
      </c>
      <c r="AA1458" s="255">
        <v>0</v>
      </c>
      <c r="AC1458" s="254"/>
      <c r="AD1458" s="236"/>
      <c r="AE1458" s="236"/>
    </row>
    <row r="1459" spans="1:31" ht="12">
      <c r="A1459" s="67" t="s">
        <v>13313</v>
      </c>
      <c r="B1459" s="65" t="s">
        <v>13314</v>
      </c>
      <c r="C1459" s="71" t="s">
        <v>509</v>
      </c>
      <c r="D1459" s="78">
        <v>1</v>
      </c>
      <c r="E1459" s="79">
        <v>177.95</v>
      </c>
      <c r="F1459" s="70">
        <v>177.95</v>
      </c>
      <c r="G1459" s="320"/>
      <c r="H1459" s="79">
        <v>153.82999999999998</v>
      </c>
      <c r="I1459" s="79">
        <v>24.12</v>
      </c>
      <c r="J1459" s="79">
        <v>177.95</v>
      </c>
      <c r="K1459" s="79">
        <v>0</v>
      </c>
      <c r="L1459" s="70">
        <v>177.95</v>
      </c>
      <c r="M1459" s="132"/>
      <c r="N1459" s="79">
        <v>153.82999999999998</v>
      </c>
      <c r="O1459" s="79">
        <v>24.12</v>
      </c>
      <c r="P1459" s="79">
        <v>177.95</v>
      </c>
      <c r="Q1459" s="136"/>
      <c r="R1459" s="79">
        <v>153.83000000000001</v>
      </c>
      <c r="S1459" s="79">
        <v>24.12</v>
      </c>
      <c r="T1459" s="79">
        <v>177.95000000000002</v>
      </c>
      <c r="U1459" s="79">
        <v>0</v>
      </c>
      <c r="V1459" s="189">
        <v>177.95000000000002</v>
      </c>
      <c r="X1459" s="79">
        <v>153.83000000000001</v>
      </c>
      <c r="Y1459" s="79">
        <v>24.12</v>
      </c>
      <c r="Z1459" s="79">
        <v>177.95</v>
      </c>
      <c r="AA1459" s="255">
        <v>0</v>
      </c>
      <c r="AC1459" s="254"/>
    </row>
    <row r="1460" spans="1:31" ht="12">
      <c r="A1460" s="67" t="s">
        <v>13315</v>
      </c>
      <c r="B1460" s="65" t="s">
        <v>13316</v>
      </c>
      <c r="C1460" s="71" t="s">
        <v>509</v>
      </c>
      <c r="D1460" s="78">
        <v>1</v>
      </c>
      <c r="E1460" s="79">
        <v>201.95999999999998</v>
      </c>
      <c r="F1460" s="70">
        <v>201.96</v>
      </c>
      <c r="G1460" s="320"/>
      <c r="H1460" s="79">
        <v>170.39999999999998</v>
      </c>
      <c r="I1460" s="79">
        <v>31.560000000000002</v>
      </c>
      <c r="J1460" s="79">
        <v>201.95999999999998</v>
      </c>
      <c r="K1460" s="79">
        <v>0</v>
      </c>
      <c r="L1460" s="70">
        <v>201.95999999999998</v>
      </c>
      <c r="M1460" s="132"/>
      <c r="N1460" s="79">
        <v>170.39999999999998</v>
      </c>
      <c r="O1460" s="79">
        <v>31.560000000000002</v>
      </c>
      <c r="P1460" s="79">
        <v>201.95999999999998</v>
      </c>
      <c r="Q1460" s="136"/>
      <c r="R1460" s="79">
        <v>170.4</v>
      </c>
      <c r="S1460" s="79">
        <v>31.56</v>
      </c>
      <c r="T1460" s="79">
        <v>201.96</v>
      </c>
      <c r="U1460" s="79">
        <v>0</v>
      </c>
      <c r="V1460" s="189">
        <v>201.96</v>
      </c>
      <c r="X1460" s="79">
        <v>170.4</v>
      </c>
      <c r="Y1460" s="79">
        <v>31.56</v>
      </c>
      <c r="Z1460" s="79">
        <v>201.96</v>
      </c>
      <c r="AA1460" s="255">
        <v>0</v>
      </c>
      <c r="AC1460" s="254"/>
    </row>
    <row r="1461" spans="1:31" ht="12">
      <c r="A1461" s="67" t="s">
        <v>13317</v>
      </c>
      <c r="B1461" s="65" t="s">
        <v>13318</v>
      </c>
      <c r="C1461" s="71" t="s">
        <v>509</v>
      </c>
      <c r="D1461" s="78">
        <v>1</v>
      </c>
      <c r="E1461" s="79">
        <v>485.02</v>
      </c>
      <c r="F1461" s="70">
        <v>485.02</v>
      </c>
      <c r="G1461" s="320"/>
      <c r="H1461" s="79">
        <v>453.46</v>
      </c>
      <c r="I1461" s="79">
        <v>31.560000000000002</v>
      </c>
      <c r="J1461" s="79">
        <v>485.02</v>
      </c>
      <c r="K1461" s="79">
        <v>0</v>
      </c>
      <c r="L1461" s="70">
        <v>485.02</v>
      </c>
      <c r="M1461" s="132"/>
      <c r="N1461" s="79">
        <v>453.46</v>
      </c>
      <c r="O1461" s="79">
        <v>31.560000000000002</v>
      </c>
      <c r="P1461" s="79">
        <v>485.02</v>
      </c>
      <c r="Q1461" s="136"/>
      <c r="R1461" s="79">
        <v>453.46</v>
      </c>
      <c r="S1461" s="79">
        <v>31.56</v>
      </c>
      <c r="T1461" s="79">
        <v>485.02</v>
      </c>
      <c r="U1461" s="79">
        <v>0</v>
      </c>
      <c r="V1461" s="189">
        <v>485.02</v>
      </c>
      <c r="X1461" s="79">
        <v>453.46</v>
      </c>
      <c r="Y1461" s="79">
        <v>31.56</v>
      </c>
      <c r="Z1461" s="79">
        <v>485.02</v>
      </c>
      <c r="AA1461" s="255">
        <v>0</v>
      </c>
      <c r="AC1461" s="254"/>
    </row>
    <row r="1462" spans="1:31" ht="12">
      <c r="A1462" s="67" t="s">
        <v>13319</v>
      </c>
      <c r="B1462" s="65" t="s">
        <v>13320</v>
      </c>
      <c r="C1462" s="71" t="s">
        <v>509</v>
      </c>
      <c r="D1462" s="78">
        <v>1</v>
      </c>
      <c r="E1462" s="79">
        <v>505.16</v>
      </c>
      <c r="F1462" s="70">
        <v>505.16</v>
      </c>
      <c r="G1462" s="320"/>
      <c r="H1462" s="79">
        <v>468.96000000000004</v>
      </c>
      <c r="I1462" s="79">
        <v>36.200000000000003</v>
      </c>
      <c r="J1462" s="79">
        <v>505.16</v>
      </c>
      <c r="K1462" s="79">
        <v>0</v>
      </c>
      <c r="L1462" s="70">
        <v>505.16</v>
      </c>
      <c r="M1462" s="132"/>
      <c r="N1462" s="79">
        <v>468.96000000000004</v>
      </c>
      <c r="O1462" s="79">
        <v>36.200000000000003</v>
      </c>
      <c r="P1462" s="79">
        <v>505.16</v>
      </c>
      <c r="Q1462" s="136"/>
      <c r="R1462" s="79">
        <v>468.96</v>
      </c>
      <c r="S1462" s="79">
        <v>36.200000000000003</v>
      </c>
      <c r="T1462" s="79">
        <v>505.15999999999997</v>
      </c>
      <c r="U1462" s="79">
        <v>0</v>
      </c>
      <c r="V1462" s="189">
        <v>505.15999999999997</v>
      </c>
      <c r="X1462" s="79">
        <v>468.96</v>
      </c>
      <c r="Y1462" s="79">
        <v>36.200000000000003</v>
      </c>
      <c r="Z1462" s="79">
        <v>505.16</v>
      </c>
      <c r="AA1462" s="255">
        <v>0</v>
      </c>
      <c r="AC1462" s="254"/>
    </row>
    <row r="1463" spans="1:31" ht="12">
      <c r="A1463" s="67" t="s">
        <v>13321</v>
      </c>
      <c r="B1463" s="65" t="s">
        <v>13322</v>
      </c>
      <c r="C1463" s="71" t="s">
        <v>509</v>
      </c>
      <c r="D1463" s="78">
        <v>1</v>
      </c>
      <c r="E1463" s="79">
        <v>574.24</v>
      </c>
      <c r="F1463" s="70">
        <v>574.24</v>
      </c>
      <c r="G1463" s="320"/>
      <c r="H1463" s="79">
        <v>536.16999999999996</v>
      </c>
      <c r="I1463" s="79">
        <v>38.07</v>
      </c>
      <c r="J1463" s="79">
        <v>574.24</v>
      </c>
      <c r="K1463" s="79">
        <v>0</v>
      </c>
      <c r="L1463" s="70">
        <v>574.24</v>
      </c>
      <c r="M1463" s="132"/>
      <c r="N1463" s="79">
        <v>536.16999999999996</v>
      </c>
      <c r="O1463" s="79">
        <v>38.07</v>
      </c>
      <c r="P1463" s="79">
        <v>574.24</v>
      </c>
      <c r="Q1463" s="136"/>
      <c r="R1463" s="79">
        <v>536.16999999999996</v>
      </c>
      <c r="S1463" s="79">
        <v>38.090000000000003</v>
      </c>
      <c r="T1463" s="79">
        <v>574.26</v>
      </c>
      <c r="U1463" s="79">
        <v>0</v>
      </c>
      <c r="V1463" s="189">
        <v>574.26</v>
      </c>
      <c r="X1463" s="79">
        <v>536.16999999999996</v>
      </c>
      <c r="Y1463" s="79">
        <v>38.090000000000003</v>
      </c>
      <c r="Z1463" s="79">
        <v>574.26</v>
      </c>
      <c r="AA1463" s="255">
        <v>-1.999999999998181E-2</v>
      </c>
      <c r="AC1463" s="254"/>
    </row>
    <row r="1464" spans="1:31" ht="12">
      <c r="A1464" s="67" t="s">
        <v>13323</v>
      </c>
      <c r="B1464" s="65" t="s">
        <v>13324</v>
      </c>
      <c r="C1464" s="71" t="s">
        <v>509</v>
      </c>
      <c r="D1464" s="78">
        <v>1</v>
      </c>
      <c r="E1464" s="79">
        <v>476.8</v>
      </c>
      <c r="F1464" s="70">
        <v>476.8</v>
      </c>
      <c r="G1464" s="320"/>
      <c r="H1464" s="79">
        <v>445.24</v>
      </c>
      <c r="I1464" s="79">
        <v>31.560000000000002</v>
      </c>
      <c r="J1464" s="79">
        <v>476.8</v>
      </c>
      <c r="K1464" s="79">
        <v>0</v>
      </c>
      <c r="L1464" s="70">
        <v>476.8</v>
      </c>
      <c r="M1464" s="132"/>
      <c r="N1464" s="79">
        <v>445.24</v>
      </c>
      <c r="O1464" s="79">
        <v>31.560000000000002</v>
      </c>
      <c r="P1464" s="79">
        <v>476.8</v>
      </c>
      <c r="Q1464" s="136"/>
      <c r="R1464" s="79">
        <v>445.24</v>
      </c>
      <c r="S1464" s="79">
        <v>31.56</v>
      </c>
      <c r="T1464" s="79">
        <v>476.8</v>
      </c>
      <c r="U1464" s="79">
        <v>0</v>
      </c>
      <c r="V1464" s="189">
        <v>476.8</v>
      </c>
      <c r="X1464" s="79">
        <v>445.24</v>
      </c>
      <c r="Y1464" s="79">
        <v>31.56</v>
      </c>
      <c r="Z1464" s="79">
        <v>476.8</v>
      </c>
      <c r="AA1464" s="255">
        <v>0</v>
      </c>
      <c r="AC1464" s="254"/>
    </row>
    <row r="1465" spans="1:31" ht="12">
      <c r="A1465" s="67" t="s">
        <v>13325</v>
      </c>
      <c r="B1465" s="65" t="s">
        <v>13326</v>
      </c>
      <c r="C1465" s="71" t="s">
        <v>509</v>
      </c>
      <c r="D1465" s="78">
        <v>1</v>
      </c>
      <c r="E1465" s="79">
        <v>249.02999999999997</v>
      </c>
      <c r="F1465" s="70">
        <v>249.03</v>
      </c>
      <c r="G1465" s="320"/>
      <c r="H1465" s="79">
        <v>217.46999999999997</v>
      </c>
      <c r="I1465" s="79">
        <v>31.560000000000002</v>
      </c>
      <c r="J1465" s="79">
        <v>249.02999999999997</v>
      </c>
      <c r="K1465" s="79">
        <v>0</v>
      </c>
      <c r="L1465" s="70">
        <v>249.02999999999997</v>
      </c>
      <c r="M1465" s="132"/>
      <c r="N1465" s="79">
        <v>217.46999999999997</v>
      </c>
      <c r="O1465" s="79">
        <v>31.560000000000002</v>
      </c>
      <c r="P1465" s="79">
        <v>249.02999999999997</v>
      </c>
      <c r="Q1465" s="136"/>
      <c r="R1465" s="79">
        <v>217.47</v>
      </c>
      <c r="S1465" s="79">
        <v>31.56</v>
      </c>
      <c r="T1465" s="79">
        <v>249.03</v>
      </c>
      <c r="U1465" s="79">
        <v>0</v>
      </c>
      <c r="V1465" s="189">
        <v>249.03</v>
      </c>
      <c r="X1465" s="79">
        <v>217.47</v>
      </c>
      <c r="Y1465" s="79">
        <v>31.56</v>
      </c>
      <c r="Z1465" s="79">
        <v>249.03</v>
      </c>
      <c r="AA1465" s="255">
        <v>0</v>
      </c>
      <c r="AC1465" s="254"/>
    </row>
    <row r="1466" spans="1:31" ht="12">
      <c r="A1466" s="67" t="s">
        <v>13327</v>
      </c>
      <c r="B1466" s="65" t="s">
        <v>13328</v>
      </c>
      <c r="C1466" s="71" t="s">
        <v>509</v>
      </c>
      <c r="D1466" s="78">
        <v>1</v>
      </c>
      <c r="E1466" s="79">
        <v>278.67</v>
      </c>
      <c r="F1466" s="70">
        <v>278.67</v>
      </c>
      <c r="G1466" s="320"/>
      <c r="H1466" s="79">
        <v>242.47</v>
      </c>
      <c r="I1466" s="79">
        <v>36.200000000000003</v>
      </c>
      <c r="J1466" s="79">
        <v>278.67</v>
      </c>
      <c r="K1466" s="79">
        <v>0</v>
      </c>
      <c r="L1466" s="70">
        <v>278.67</v>
      </c>
      <c r="M1466" s="132"/>
      <c r="N1466" s="79">
        <v>242.47</v>
      </c>
      <c r="O1466" s="79">
        <v>36.200000000000003</v>
      </c>
      <c r="P1466" s="79">
        <v>278.67</v>
      </c>
      <c r="Q1466" s="136"/>
      <c r="R1466" s="79">
        <v>242.47</v>
      </c>
      <c r="S1466" s="79">
        <v>36.200000000000003</v>
      </c>
      <c r="T1466" s="79">
        <v>278.67</v>
      </c>
      <c r="U1466" s="79">
        <v>0</v>
      </c>
      <c r="V1466" s="189">
        <v>278.67</v>
      </c>
      <c r="X1466" s="79">
        <v>242.47</v>
      </c>
      <c r="Y1466" s="79">
        <v>36.200000000000003</v>
      </c>
      <c r="Z1466" s="79">
        <v>278.67</v>
      </c>
      <c r="AA1466" s="255">
        <v>0</v>
      </c>
      <c r="AC1466" s="254"/>
      <c r="AD1466" s="69"/>
      <c r="AE1466" s="69"/>
    </row>
    <row r="1467" spans="1:31" ht="12">
      <c r="A1467" s="67" t="s">
        <v>13329</v>
      </c>
      <c r="B1467" s="65" t="s">
        <v>13330</v>
      </c>
      <c r="C1467" s="71" t="s">
        <v>509</v>
      </c>
      <c r="D1467" s="78">
        <v>1</v>
      </c>
      <c r="E1467" s="79">
        <v>410.31</v>
      </c>
      <c r="F1467" s="70">
        <v>410.31</v>
      </c>
      <c r="G1467" s="320"/>
      <c r="H1467" s="79">
        <v>372.24</v>
      </c>
      <c r="I1467" s="79">
        <v>38.07</v>
      </c>
      <c r="J1467" s="79">
        <v>410.31</v>
      </c>
      <c r="K1467" s="79">
        <v>0</v>
      </c>
      <c r="L1467" s="70">
        <v>410.31</v>
      </c>
      <c r="M1467" s="132"/>
      <c r="N1467" s="79">
        <v>372.24</v>
      </c>
      <c r="O1467" s="79">
        <v>38.07</v>
      </c>
      <c r="P1467" s="79">
        <v>410.31</v>
      </c>
      <c r="Q1467" s="136"/>
      <c r="R1467" s="79">
        <v>372.24</v>
      </c>
      <c r="S1467" s="79">
        <v>38.08</v>
      </c>
      <c r="T1467" s="79">
        <v>410.32</v>
      </c>
      <c r="U1467" s="79">
        <v>0</v>
      </c>
      <c r="V1467" s="189">
        <v>410.32</v>
      </c>
      <c r="X1467" s="79">
        <v>372.24</v>
      </c>
      <c r="Y1467" s="79">
        <v>38.08</v>
      </c>
      <c r="Z1467" s="79">
        <v>410.32</v>
      </c>
      <c r="AA1467" s="255">
        <v>-9.9999999999909051E-3</v>
      </c>
      <c r="AC1467" s="254"/>
      <c r="AD1467" s="69"/>
      <c r="AE1467" s="69"/>
    </row>
    <row r="1468" spans="1:31" s="69" customFormat="1" ht="12">
      <c r="A1468" s="67" t="s">
        <v>13331</v>
      </c>
      <c r="B1468" s="65" t="s">
        <v>13332</v>
      </c>
      <c r="C1468" s="71" t="s">
        <v>509</v>
      </c>
      <c r="D1468" s="78">
        <v>1</v>
      </c>
      <c r="E1468" s="79">
        <v>326.85000000000002</v>
      </c>
      <c r="F1468" s="70">
        <v>326.85000000000002</v>
      </c>
      <c r="G1468" s="320"/>
      <c r="H1468" s="79">
        <v>302.73</v>
      </c>
      <c r="I1468" s="79">
        <v>24.12</v>
      </c>
      <c r="J1468" s="79">
        <v>326.85000000000002</v>
      </c>
      <c r="K1468" s="79">
        <v>0</v>
      </c>
      <c r="L1468" s="70">
        <v>326.85000000000002</v>
      </c>
      <c r="M1468" s="132"/>
      <c r="N1468" s="79">
        <v>302.73</v>
      </c>
      <c r="O1468" s="79">
        <v>24.12</v>
      </c>
      <c r="P1468" s="79">
        <v>326.85000000000002</v>
      </c>
      <c r="Q1468" s="136"/>
      <c r="R1468" s="79">
        <v>302.73</v>
      </c>
      <c r="S1468" s="79">
        <v>24.12</v>
      </c>
      <c r="T1468" s="79">
        <v>326.85000000000002</v>
      </c>
      <c r="U1468" s="79">
        <v>0</v>
      </c>
      <c r="V1468" s="189">
        <v>326.85000000000002</v>
      </c>
      <c r="W1468" s="61"/>
      <c r="X1468" s="79">
        <v>302.73</v>
      </c>
      <c r="Y1468" s="79">
        <v>24.12</v>
      </c>
      <c r="Z1468" s="79">
        <v>326.85000000000002</v>
      </c>
      <c r="AA1468" s="255">
        <v>0</v>
      </c>
      <c r="AB1468" s="61"/>
      <c r="AC1468" s="254"/>
    </row>
    <row r="1469" spans="1:31" ht="12">
      <c r="A1469" s="67" t="s">
        <v>13333</v>
      </c>
      <c r="B1469" s="65" t="s">
        <v>13334</v>
      </c>
      <c r="C1469" s="71" t="s">
        <v>509</v>
      </c>
      <c r="D1469" s="78">
        <v>1</v>
      </c>
      <c r="E1469" s="79">
        <v>4049.4</v>
      </c>
      <c r="F1469" s="70">
        <v>4049.4</v>
      </c>
      <c r="G1469" s="320"/>
      <c r="H1469" s="79">
        <v>4049.4</v>
      </c>
      <c r="I1469" s="79">
        <v>0</v>
      </c>
      <c r="J1469" s="79">
        <v>4049.4</v>
      </c>
      <c r="K1469" s="79">
        <v>0</v>
      </c>
      <c r="L1469" s="70">
        <v>4049.4</v>
      </c>
      <c r="M1469" s="132"/>
      <c r="N1469" s="79">
        <v>4049.4</v>
      </c>
      <c r="O1469" s="79"/>
      <c r="P1469" s="79">
        <v>4049.4</v>
      </c>
      <c r="Q1469" s="136"/>
      <c r="R1469" s="79">
        <v>4049.4</v>
      </c>
      <c r="S1469" s="79"/>
      <c r="T1469" s="79">
        <v>4049.4</v>
      </c>
      <c r="U1469" s="79">
        <v>0</v>
      </c>
      <c r="V1469" s="189">
        <v>4049.4</v>
      </c>
      <c r="X1469" s="79">
        <v>4049.4</v>
      </c>
      <c r="Y1469" s="79"/>
      <c r="Z1469" s="79">
        <v>4049.4</v>
      </c>
      <c r="AA1469" s="255">
        <v>0</v>
      </c>
      <c r="AC1469" s="254"/>
      <c r="AD1469" s="69"/>
      <c r="AE1469" s="69"/>
    </row>
    <row r="1470" spans="1:31" s="69" customFormat="1" ht="12">
      <c r="A1470" s="67" t="s">
        <v>13335</v>
      </c>
      <c r="B1470" s="65" t="s">
        <v>13336</v>
      </c>
      <c r="C1470" s="71" t="s">
        <v>509</v>
      </c>
      <c r="D1470" s="78">
        <v>1</v>
      </c>
      <c r="E1470" s="79">
        <v>6216.17</v>
      </c>
      <c r="F1470" s="70">
        <v>6216.17</v>
      </c>
      <c r="G1470" s="320"/>
      <c r="H1470" s="79">
        <v>6121.16</v>
      </c>
      <c r="I1470" s="79">
        <v>95.01</v>
      </c>
      <c r="J1470" s="79">
        <v>6216.17</v>
      </c>
      <c r="K1470" s="79">
        <v>0</v>
      </c>
      <c r="L1470" s="70">
        <v>6216.17</v>
      </c>
      <c r="M1470" s="132"/>
      <c r="N1470" s="79">
        <v>6121.16</v>
      </c>
      <c r="O1470" s="79">
        <v>95.01</v>
      </c>
      <c r="P1470" s="79">
        <v>6216.17</v>
      </c>
      <c r="Q1470" s="136"/>
      <c r="R1470" s="79">
        <v>6121.16</v>
      </c>
      <c r="S1470" s="79">
        <v>95.02</v>
      </c>
      <c r="T1470" s="79">
        <v>6216.18</v>
      </c>
      <c r="U1470" s="79">
        <v>0</v>
      </c>
      <c r="V1470" s="189">
        <v>6216.18</v>
      </c>
      <c r="W1470" s="61"/>
      <c r="X1470" s="79">
        <v>6121.16</v>
      </c>
      <c r="Y1470" s="79">
        <v>95.02</v>
      </c>
      <c r="Z1470" s="79">
        <v>6216.18</v>
      </c>
      <c r="AA1470" s="498">
        <v>-1.0000000000218279E-2</v>
      </c>
      <c r="AB1470" s="61"/>
      <c r="AC1470" s="254"/>
      <c r="AD1470" s="236"/>
      <c r="AE1470" s="236"/>
    </row>
    <row r="1471" spans="1:31" s="69" customFormat="1" ht="12">
      <c r="A1471" s="67" t="s">
        <v>13337</v>
      </c>
      <c r="B1471" s="65" t="s">
        <v>13338</v>
      </c>
      <c r="C1471" s="71" t="s">
        <v>509</v>
      </c>
      <c r="D1471" s="78">
        <v>1</v>
      </c>
      <c r="E1471" s="79">
        <v>249.89</v>
      </c>
      <c r="F1471" s="70">
        <v>249.89</v>
      </c>
      <c r="G1471" s="320"/>
      <c r="H1471" s="79">
        <v>218.32999999999998</v>
      </c>
      <c r="I1471" s="79">
        <v>31.560000000000002</v>
      </c>
      <c r="J1471" s="79">
        <v>249.89</v>
      </c>
      <c r="K1471" s="79">
        <v>0</v>
      </c>
      <c r="L1471" s="70">
        <v>249.89</v>
      </c>
      <c r="M1471" s="132"/>
      <c r="N1471" s="79">
        <v>218.32999999999998</v>
      </c>
      <c r="O1471" s="79">
        <v>31.560000000000002</v>
      </c>
      <c r="P1471" s="79">
        <v>249.89</v>
      </c>
      <c r="Q1471" s="136"/>
      <c r="R1471" s="79">
        <v>218.33</v>
      </c>
      <c r="S1471" s="79">
        <v>31.56</v>
      </c>
      <c r="T1471" s="79">
        <v>249.89000000000001</v>
      </c>
      <c r="U1471" s="79">
        <v>0</v>
      </c>
      <c r="V1471" s="189">
        <v>249.89000000000001</v>
      </c>
      <c r="W1471" s="61"/>
      <c r="X1471" s="79">
        <v>218.33</v>
      </c>
      <c r="Y1471" s="79">
        <v>31.56</v>
      </c>
      <c r="Z1471" s="79">
        <v>249.89</v>
      </c>
      <c r="AA1471" s="255">
        <v>0</v>
      </c>
      <c r="AB1471" s="61"/>
      <c r="AC1471" s="254"/>
      <c r="AD1471" s="236"/>
      <c r="AE1471" s="236"/>
    </row>
    <row r="1472" spans="1:31" ht="12">
      <c r="A1472" s="489" t="s">
        <v>13339</v>
      </c>
      <c r="B1472" s="490" t="s">
        <v>13340</v>
      </c>
      <c r="C1472" s="491"/>
      <c r="D1472" s="492"/>
      <c r="E1472" s="79"/>
      <c r="F1472" s="63"/>
      <c r="G1472" s="320"/>
      <c r="H1472" s="79"/>
      <c r="I1472" s="79"/>
      <c r="J1472" s="79"/>
      <c r="K1472" s="79"/>
      <c r="L1472" s="70"/>
      <c r="M1472" s="132"/>
      <c r="N1472" s="79"/>
      <c r="O1472" s="79"/>
      <c r="P1472" s="79"/>
      <c r="Q1472" s="136"/>
      <c r="R1472" s="79"/>
      <c r="S1472" s="79"/>
      <c r="T1472" s="79"/>
      <c r="U1472" s="79"/>
      <c r="V1472" s="189"/>
      <c r="X1472" s="79"/>
      <c r="Y1472" s="79"/>
      <c r="Z1472" s="79"/>
      <c r="AA1472" s="255"/>
      <c r="AC1472" s="254"/>
      <c r="AD1472" s="61"/>
      <c r="AE1472" s="61"/>
    </row>
    <row r="1473" spans="1:31" ht="12">
      <c r="A1473" s="67" t="s">
        <v>13341</v>
      </c>
      <c r="B1473" s="65" t="s">
        <v>13342</v>
      </c>
      <c r="C1473" s="71" t="s">
        <v>509</v>
      </c>
      <c r="D1473" s="78">
        <v>1</v>
      </c>
      <c r="E1473" s="79">
        <v>250.26</v>
      </c>
      <c r="F1473" s="70">
        <v>250.26</v>
      </c>
      <c r="G1473" s="320"/>
      <c r="H1473" s="79">
        <v>218.7</v>
      </c>
      <c r="I1473" s="79">
        <v>31.560000000000002</v>
      </c>
      <c r="J1473" s="79">
        <v>250.26</v>
      </c>
      <c r="K1473" s="79">
        <v>0</v>
      </c>
      <c r="L1473" s="70">
        <v>250.26</v>
      </c>
      <c r="M1473" s="132"/>
      <c r="N1473" s="79">
        <v>218.7</v>
      </c>
      <c r="O1473" s="79">
        <v>31.560000000000002</v>
      </c>
      <c r="P1473" s="79">
        <v>250.26</v>
      </c>
      <c r="Q1473" s="136"/>
      <c r="R1473" s="79">
        <v>218.7</v>
      </c>
      <c r="S1473" s="79">
        <v>31.56</v>
      </c>
      <c r="T1473" s="79">
        <v>250.26</v>
      </c>
      <c r="U1473" s="79">
        <v>0</v>
      </c>
      <c r="V1473" s="189">
        <v>250.26</v>
      </c>
      <c r="X1473" s="79">
        <v>218.7</v>
      </c>
      <c r="Y1473" s="79">
        <v>31.56</v>
      </c>
      <c r="Z1473" s="79">
        <v>250.26</v>
      </c>
      <c r="AA1473" s="255">
        <v>0</v>
      </c>
      <c r="AC1473" s="254"/>
    </row>
    <row r="1474" spans="1:31" s="61" customFormat="1" ht="12">
      <c r="A1474" s="67" t="s">
        <v>13343</v>
      </c>
      <c r="B1474" s="65" t="s">
        <v>13344</v>
      </c>
      <c r="C1474" s="71" t="s">
        <v>509</v>
      </c>
      <c r="D1474" s="78">
        <v>1</v>
      </c>
      <c r="E1474" s="79">
        <v>269.08000000000004</v>
      </c>
      <c r="F1474" s="70">
        <v>269.08</v>
      </c>
      <c r="G1474" s="320"/>
      <c r="H1474" s="79">
        <v>232.88000000000002</v>
      </c>
      <c r="I1474" s="79">
        <v>36.200000000000003</v>
      </c>
      <c r="J1474" s="79">
        <v>269.08000000000004</v>
      </c>
      <c r="K1474" s="79">
        <v>0</v>
      </c>
      <c r="L1474" s="70">
        <v>269.08000000000004</v>
      </c>
      <c r="M1474" s="132"/>
      <c r="N1474" s="79">
        <v>232.88000000000002</v>
      </c>
      <c r="O1474" s="79">
        <v>36.200000000000003</v>
      </c>
      <c r="P1474" s="79">
        <v>269.08000000000004</v>
      </c>
      <c r="Q1474" s="136"/>
      <c r="R1474" s="79">
        <v>232.88</v>
      </c>
      <c r="S1474" s="79">
        <v>36.200000000000003</v>
      </c>
      <c r="T1474" s="79">
        <v>269.08</v>
      </c>
      <c r="U1474" s="79">
        <v>0</v>
      </c>
      <c r="V1474" s="189">
        <v>269.08</v>
      </c>
      <c r="X1474" s="79">
        <v>232.88</v>
      </c>
      <c r="Y1474" s="79">
        <v>36.200000000000003</v>
      </c>
      <c r="Z1474" s="79">
        <v>269.08</v>
      </c>
      <c r="AA1474" s="255">
        <v>0</v>
      </c>
      <c r="AC1474" s="254"/>
      <c r="AD1474" s="236"/>
      <c r="AE1474" s="236"/>
    </row>
    <row r="1475" spans="1:31" ht="12">
      <c r="A1475" s="67" t="s">
        <v>13345</v>
      </c>
      <c r="B1475" s="65" t="s">
        <v>13346</v>
      </c>
      <c r="C1475" s="71" t="s">
        <v>509</v>
      </c>
      <c r="D1475" s="78">
        <v>1</v>
      </c>
      <c r="E1475" s="79">
        <v>279.83000000000004</v>
      </c>
      <c r="F1475" s="70">
        <v>279.83</v>
      </c>
      <c r="G1475" s="320"/>
      <c r="H1475" s="79">
        <v>241.76</v>
      </c>
      <c r="I1475" s="79">
        <v>38.07</v>
      </c>
      <c r="J1475" s="79">
        <v>279.83</v>
      </c>
      <c r="K1475" s="79">
        <v>0</v>
      </c>
      <c r="L1475" s="70">
        <v>279.83</v>
      </c>
      <c r="M1475" s="132"/>
      <c r="N1475" s="79">
        <v>241.76</v>
      </c>
      <c r="O1475" s="79">
        <v>38.07</v>
      </c>
      <c r="P1475" s="79">
        <v>279.83</v>
      </c>
      <c r="Q1475" s="136"/>
      <c r="R1475" s="79">
        <v>241.76</v>
      </c>
      <c r="S1475" s="79">
        <v>38.08</v>
      </c>
      <c r="T1475" s="79">
        <v>279.83999999999997</v>
      </c>
      <c r="U1475" s="79">
        <v>0</v>
      </c>
      <c r="V1475" s="189">
        <v>279.83999999999997</v>
      </c>
      <c r="X1475" s="79">
        <v>241.76</v>
      </c>
      <c r="Y1475" s="79">
        <v>38.08</v>
      </c>
      <c r="Z1475" s="79">
        <v>279.83999999999997</v>
      </c>
      <c r="AA1475" s="255">
        <v>-9.9999999999909051E-3</v>
      </c>
      <c r="AC1475" s="254"/>
      <c r="AD1475" s="61"/>
      <c r="AE1475" s="61"/>
    </row>
    <row r="1476" spans="1:31" ht="12">
      <c r="A1476" s="67" t="s">
        <v>13347</v>
      </c>
      <c r="B1476" s="65" t="s">
        <v>13348</v>
      </c>
      <c r="C1476" s="71" t="s">
        <v>509</v>
      </c>
      <c r="D1476" s="78">
        <v>1</v>
      </c>
      <c r="E1476" s="79">
        <v>342.1</v>
      </c>
      <c r="F1476" s="70">
        <v>342.1</v>
      </c>
      <c r="G1476" s="320"/>
      <c r="H1476" s="79">
        <v>310.56</v>
      </c>
      <c r="I1476" s="79">
        <v>31.54</v>
      </c>
      <c r="J1476" s="79">
        <v>342.1</v>
      </c>
      <c r="K1476" s="79">
        <v>0</v>
      </c>
      <c r="L1476" s="70">
        <v>342.1</v>
      </c>
      <c r="M1476" s="132"/>
      <c r="N1476" s="79">
        <v>310.56</v>
      </c>
      <c r="O1476" s="79">
        <v>31.54</v>
      </c>
      <c r="P1476" s="79">
        <v>342.1</v>
      </c>
      <c r="Q1476" s="136"/>
      <c r="R1476" s="79">
        <v>310.56</v>
      </c>
      <c r="S1476" s="79">
        <v>31.54</v>
      </c>
      <c r="T1476" s="79">
        <v>342.1</v>
      </c>
      <c r="U1476" s="79">
        <v>0</v>
      </c>
      <c r="V1476" s="189">
        <v>342.1</v>
      </c>
      <c r="X1476" s="79">
        <v>310.56</v>
      </c>
      <c r="Y1476" s="79">
        <v>31.54</v>
      </c>
      <c r="Z1476" s="79">
        <v>342.1</v>
      </c>
      <c r="AA1476" s="255">
        <v>0</v>
      </c>
      <c r="AC1476" s="254"/>
    </row>
    <row r="1477" spans="1:31" s="61" customFormat="1" ht="12">
      <c r="A1477" s="67" t="s">
        <v>13349</v>
      </c>
      <c r="B1477" s="65" t="s">
        <v>13350</v>
      </c>
      <c r="C1477" s="71" t="s">
        <v>509</v>
      </c>
      <c r="D1477" s="78">
        <v>1</v>
      </c>
      <c r="E1477" s="79">
        <v>376.37</v>
      </c>
      <c r="F1477" s="70">
        <v>376.37</v>
      </c>
      <c r="G1477" s="320"/>
      <c r="H1477" s="79">
        <v>340.17</v>
      </c>
      <c r="I1477" s="79">
        <v>36.200000000000003</v>
      </c>
      <c r="J1477" s="79">
        <v>376.37</v>
      </c>
      <c r="K1477" s="79">
        <v>0</v>
      </c>
      <c r="L1477" s="70">
        <v>376.37</v>
      </c>
      <c r="M1477" s="132"/>
      <c r="N1477" s="79">
        <v>340.17</v>
      </c>
      <c r="O1477" s="79">
        <v>36.200000000000003</v>
      </c>
      <c r="P1477" s="79">
        <v>376.37</v>
      </c>
      <c r="Q1477" s="136"/>
      <c r="R1477" s="79">
        <v>340.17</v>
      </c>
      <c r="S1477" s="79">
        <v>36.200000000000003</v>
      </c>
      <c r="T1477" s="79">
        <v>376.37</v>
      </c>
      <c r="U1477" s="79">
        <v>0</v>
      </c>
      <c r="V1477" s="189">
        <v>376.37</v>
      </c>
      <c r="X1477" s="79">
        <v>340.17</v>
      </c>
      <c r="Y1477" s="79">
        <v>36.200000000000003</v>
      </c>
      <c r="Z1477" s="79">
        <v>376.37</v>
      </c>
      <c r="AA1477" s="255">
        <v>0</v>
      </c>
      <c r="AC1477" s="254"/>
    </row>
    <row r="1478" spans="1:31" ht="12">
      <c r="A1478" s="67" t="s">
        <v>13351</v>
      </c>
      <c r="B1478" s="65" t="s">
        <v>13352</v>
      </c>
      <c r="C1478" s="71" t="s">
        <v>509</v>
      </c>
      <c r="D1478" s="78">
        <v>1</v>
      </c>
      <c r="E1478" s="79">
        <v>522.41</v>
      </c>
      <c r="F1478" s="70">
        <v>522.41</v>
      </c>
      <c r="G1478" s="320"/>
      <c r="H1478" s="79">
        <v>484.34000000000003</v>
      </c>
      <c r="I1478" s="79">
        <v>38.07</v>
      </c>
      <c r="J1478" s="79">
        <v>522.41000000000008</v>
      </c>
      <c r="K1478" s="79">
        <v>0</v>
      </c>
      <c r="L1478" s="70">
        <v>522.41000000000008</v>
      </c>
      <c r="M1478" s="132"/>
      <c r="N1478" s="79">
        <v>484.34000000000003</v>
      </c>
      <c r="O1478" s="79">
        <v>38.07</v>
      </c>
      <c r="P1478" s="79">
        <v>522.41000000000008</v>
      </c>
      <c r="Q1478" s="136"/>
      <c r="R1478" s="79">
        <v>484.34</v>
      </c>
      <c r="S1478" s="79">
        <v>38.08</v>
      </c>
      <c r="T1478" s="79">
        <v>522.41999999999996</v>
      </c>
      <c r="U1478" s="79">
        <v>0</v>
      </c>
      <c r="V1478" s="189">
        <v>522.41999999999996</v>
      </c>
      <c r="X1478" s="79">
        <v>484.34</v>
      </c>
      <c r="Y1478" s="79">
        <v>38.08</v>
      </c>
      <c r="Z1478" s="79">
        <v>522.41999999999996</v>
      </c>
      <c r="AA1478" s="255">
        <v>-9.9999999999909051E-3</v>
      </c>
      <c r="AC1478" s="254"/>
      <c r="AD1478" s="61"/>
      <c r="AE1478" s="61"/>
    </row>
    <row r="1479" spans="1:31" s="61" customFormat="1" ht="12">
      <c r="A1479" s="67" t="s">
        <v>13353</v>
      </c>
      <c r="B1479" s="65" t="s">
        <v>13354</v>
      </c>
      <c r="C1479" s="71" t="s">
        <v>509</v>
      </c>
      <c r="D1479" s="78">
        <v>1</v>
      </c>
      <c r="E1479" s="79">
        <v>516.53000000000009</v>
      </c>
      <c r="F1479" s="70">
        <v>516.53</v>
      </c>
      <c r="G1479" s="320"/>
      <c r="H1479" s="79">
        <v>480.33000000000004</v>
      </c>
      <c r="I1479" s="79">
        <v>36.200000000000003</v>
      </c>
      <c r="J1479" s="79">
        <v>516.53000000000009</v>
      </c>
      <c r="K1479" s="79">
        <v>0</v>
      </c>
      <c r="L1479" s="70">
        <v>516.53000000000009</v>
      </c>
      <c r="M1479" s="132"/>
      <c r="N1479" s="79">
        <v>480.33000000000004</v>
      </c>
      <c r="O1479" s="79">
        <v>36.200000000000003</v>
      </c>
      <c r="P1479" s="79">
        <v>516.53000000000009</v>
      </c>
      <c r="Q1479" s="136"/>
      <c r="R1479" s="79">
        <v>480.33</v>
      </c>
      <c r="S1479" s="79">
        <v>36.200000000000003</v>
      </c>
      <c r="T1479" s="79">
        <v>516.53</v>
      </c>
      <c r="U1479" s="79">
        <v>0</v>
      </c>
      <c r="V1479" s="189">
        <v>516.53</v>
      </c>
      <c r="X1479" s="79">
        <v>480.33</v>
      </c>
      <c r="Y1479" s="79">
        <v>36.200000000000003</v>
      </c>
      <c r="Z1479" s="79">
        <v>516.53</v>
      </c>
      <c r="AA1479" s="255">
        <v>0</v>
      </c>
      <c r="AC1479" s="254"/>
      <c r="AD1479" s="236"/>
      <c r="AE1479" s="236"/>
    </row>
    <row r="1480" spans="1:31" s="61" customFormat="1" ht="12">
      <c r="A1480" s="67" t="s">
        <v>13355</v>
      </c>
      <c r="B1480" s="65" t="s">
        <v>13356</v>
      </c>
      <c r="C1480" s="71" t="s">
        <v>509</v>
      </c>
      <c r="D1480" s="78">
        <v>1</v>
      </c>
      <c r="E1480" s="79">
        <v>622.69000000000005</v>
      </c>
      <c r="F1480" s="70">
        <v>622.69000000000005</v>
      </c>
      <c r="G1480" s="320"/>
      <c r="H1480" s="79">
        <v>584.62</v>
      </c>
      <c r="I1480" s="79">
        <v>38.07</v>
      </c>
      <c r="J1480" s="79">
        <v>622.69000000000005</v>
      </c>
      <c r="K1480" s="79">
        <v>0</v>
      </c>
      <c r="L1480" s="70">
        <v>622.69000000000005</v>
      </c>
      <c r="M1480" s="132"/>
      <c r="N1480" s="79">
        <v>584.62</v>
      </c>
      <c r="O1480" s="79">
        <v>38.07</v>
      </c>
      <c r="P1480" s="79">
        <v>622.69000000000005</v>
      </c>
      <c r="Q1480" s="136"/>
      <c r="R1480" s="79">
        <v>584.62</v>
      </c>
      <c r="S1480" s="79">
        <v>38.08</v>
      </c>
      <c r="T1480" s="79">
        <v>622.70000000000005</v>
      </c>
      <c r="U1480" s="79">
        <v>0</v>
      </c>
      <c r="V1480" s="189">
        <v>622.70000000000005</v>
      </c>
      <c r="X1480" s="79">
        <v>584.62</v>
      </c>
      <c r="Y1480" s="79">
        <v>38.08</v>
      </c>
      <c r="Z1480" s="79">
        <v>622.70000000000005</v>
      </c>
      <c r="AA1480" s="255">
        <v>-9.9999999999909051E-3</v>
      </c>
      <c r="AC1480" s="254"/>
      <c r="AD1480" s="236"/>
      <c r="AE1480" s="236"/>
    </row>
    <row r="1481" spans="1:31" ht="12">
      <c r="A1481" s="489" t="s">
        <v>13357</v>
      </c>
      <c r="B1481" s="490" t="s">
        <v>13358</v>
      </c>
      <c r="C1481" s="491"/>
      <c r="D1481" s="78"/>
      <c r="E1481" s="79"/>
      <c r="F1481" s="70"/>
      <c r="G1481" s="320"/>
      <c r="H1481" s="79"/>
      <c r="I1481" s="79"/>
      <c r="J1481" s="79"/>
      <c r="K1481" s="79"/>
      <c r="L1481" s="70"/>
      <c r="M1481" s="132"/>
      <c r="N1481" s="79"/>
      <c r="O1481" s="79"/>
      <c r="P1481" s="79"/>
      <c r="Q1481" s="136"/>
      <c r="R1481" s="79"/>
      <c r="S1481" s="79"/>
      <c r="T1481" s="79"/>
      <c r="U1481" s="79"/>
      <c r="V1481" s="189"/>
      <c r="X1481" s="79"/>
      <c r="Y1481" s="79"/>
      <c r="Z1481" s="79"/>
      <c r="AA1481" s="255"/>
      <c r="AC1481" s="254"/>
    </row>
    <row r="1482" spans="1:31" ht="12">
      <c r="A1482" s="67" t="s">
        <v>13359</v>
      </c>
      <c r="B1482" s="65" t="s">
        <v>13360</v>
      </c>
      <c r="C1482" s="71" t="s">
        <v>509</v>
      </c>
      <c r="D1482" s="78">
        <v>1</v>
      </c>
      <c r="E1482" s="79">
        <v>377.64</v>
      </c>
      <c r="F1482" s="70">
        <v>377.64</v>
      </c>
      <c r="G1482" s="320"/>
      <c r="H1482" s="79">
        <v>341.44</v>
      </c>
      <c r="I1482" s="79">
        <v>36.200000000000003</v>
      </c>
      <c r="J1482" s="79">
        <v>377.64</v>
      </c>
      <c r="K1482" s="79">
        <v>0</v>
      </c>
      <c r="L1482" s="70">
        <v>377.64</v>
      </c>
      <c r="M1482" s="132"/>
      <c r="N1482" s="79">
        <v>341.44</v>
      </c>
      <c r="O1482" s="79">
        <v>36.200000000000003</v>
      </c>
      <c r="P1482" s="79">
        <v>377.64</v>
      </c>
      <c r="Q1482" s="136"/>
      <c r="R1482" s="79">
        <v>341.44</v>
      </c>
      <c r="S1482" s="79">
        <v>36.200000000000003</v>
      </c>
      <c r="T1482" s="79">
        <v>377.64</v>
      </c>
      <c r="U1482" s="79">
        <v>0</v>
      </c>
      <c r="V1482" s="189">
        <v>377.64</v>
      </c>
      <c r="X1482" s="79">
        <v>341.44</v>
      </c>
      <c r="Y1482" s="79">
        <v>36.200000000000003</v>
      </c>
      <c r="Z1482" s="79">
        <v>377.64</v>
      </c>
      <c r="AA1482" s="255">
        <v>0</v>
      </c>
      <c r="AC1482" s="254"/>
    </row>
    <row r="1483" spans="1:31" ht="12">
      <c r="A1483" s="67" t="s">
        <v>13361</v>
      </c>
      <c r="B1483" s="65" t="s">
        <v>13362</v>
      </c>
      <c r="C1483" s="71" t="s">
        <v>509</v>
      </c>
      <c r="D1483" s="78">
        <v>1</v>
      </c>
      <c r="E1483" s="79">
        <v>1110.6100000000001</v>
      </c>
      <c r="F1483" s="70">
        <v>1110.6099999999999</v>
      </c>
      <c r="G1483" s="320"/>
      <c r="H1483" s="79">
        <v>1062.3399999999999</v>
      </c>
      <c r="I1483" s="79">
        <v>48.269999999999996</v>
      </c>
      <c r="J1483" s="79">
        <v>1110.6099999999999</v>
      </c>
      <c r="K1483" s="79">
        <v>0</v>
      </c>
      <c r="L1483" s="70">
        <v>1110.6099999999999</v>
      </c>
      <c r="M1483" s="132"/>
      <c r="N1483" s="79">
        <v>1062.3399999999999</v>
      </c>
      <c r="O1483" s="79">
        <v>48.269999999999996</v>
      </c>
      <c r="P1483" s="79">
        <v>1110.6099999999999</v>
      </c>
      <c r="Q1483" s="136"/>
      <c r="R1483" s="79">
        <v>1062.3399999999999</v>
      </c>
      <c r="S1483" s="79">
        <v>48.27</v>
      </c>
      <c r="T1483" s="79">
        <v>1110.6099999999999</v>
      </c>
      <c r="U1483" s="79">
        <v>0</v>
      </c>
      <c r="V1483" s="189">
        <v>1110.6099999999999</v>
      </c>
      <c r="X1483" s="79">
        <v>1062.3399999999999</v>
      </c>
      <c r="Y1483" s="79">
        <v>48.27</v>
      </c>
      <c r="Z1483" s="79">
        <v>1110.6099999999999</v>
      </c>
      <c r="AA1483" s="255">
        <v>0</v>
      </c>
      <c r="AC1483" s="254"/>
    </row>
    <row r="1484" spans="1:31" s="61" customFormat="1" ht="12">
      <c r="A1484" s="489" t="s">
        <v>13363</v>
      </c>
      <c r="B1484" s="490" t="s">
        <v>13364</v>
      </c>
      <c r="C1484" s="491"/>
      <c r="D1484" s="492"/>
      <c r="E1484" s="79"/>
      <c r="F1484" s="63"/>
      <c r="G1484" s="320"/>
      <c r="H1484" s="79"/>
      <c r="I1484" s="79"/>
      <c r="J1484" s="79"/>
      <c r="K1484" s="79"/>
      <c r="L1484" s="70"/>
      <c r="M1484" s="132"/>
      <c r="N1484" s="79"/>
      <c r="O1484" s="79"/>
      <c r="P1484" s="79"/>
      <c r="Q1484" s="136"/>
      <c r="R1484" s="79"/>
      <c r="S1484" s="79"/>
      <c r="T1484" s="79"/>
      <c r="U1484" s="79"/>
      <c r="V1484" s="189"/>
      <c r="X1484" s="79"/>
      <c r="Y1484" s="79"/>
      <c r="Z1484" s="79"/>
      <c r="AA1484" s="255"/>
      <c r="AC1484" s="254"/>
    </row>
    <row r="1485" spans="1:31" s="61" customFormat="1" ht="12">
      <c r="A1485" s="67" t="s">
        <v>13365</v>
      </c>
      <c r="B1485" s="65" t="s">
        <v>13366</v>
      </c>
      <c r="C1485" s="71" t="s">
        <v>509</v>
      </c>
      <c r="D1485" s="78">
        <v>1</v>
      </c>
      <c r="E1485" s="79">
        <v>575.59</v>
      </c>
      <c r="F1485" s="70">
        <v>575.59</v>
      </c>
      <c r="G1485" s="320"/>
      <c r="H1485" s="79">
        <v>575.59</v>
      </c>
      <c r="I1485" s="79">
        <v>0</v>
      </c>
      <c r="J1485" s="79">
        <v>575.59</v>
      </c>
      <c r="K1485" s="79">
        <v>0</v>
      </c>
      <c r="L1485" s="70">
        <v>575.59</v>
      </c>
      <c r="M1485" s="132"/>
      <c r="N1485" s="79">
        <v>575.59</v>
      </c>
      <c r="O1485" s="79"/>
      <c r="P1485" s="79">
        <v>575.59</v>
      </c>
      <c r="Q1485" s="136"/>
      <c r="R1485" s="79">
        <v>575.59</v>
      </c>
      <c r="S1485" s="79"/>
      <c r="T1485" s="79">
        <v>575.59</v>
      </c>
      <c r="U1485" s="79">
        <v>0</v>
      </c>
      <c r="V1485" s="189">
        <v>575.59</v>
      </c>
      <c r="X1485" s="79">
        <v>575.59</v>
      </c>
      <c r="Y1485" s="79"/>
      <c r="Z1485" s="79">
        <v>575.59</v>
      </c>
      <c r="AA1485" s="255">
        <v>0</v>
      </c>
      <c r="AC1485" s="254"/>
    </row>
    <row r="1486" spans="1:31" s="61" customFormat="1" ht="12">
      <c r="A1486" s="67" t="s">
        <v>13367</v>
      </c>
      <c r="B1486" s="65" t="s">
        <v>13368</v>
      </c>
      <c r="C1486" s="71" t="s">
        <v>509</v>
      </c>
      <c r="D1486" s="78">
        <v>1</v>
      </c>
      <c r="E1486" s="79">
        <v>968.21</v>
      </c>
      <c r="F1486" s="70">
        <v>968.21</v>
      </c>
      <c r="G1486" s="320"/>
      <c r="H1486" s="79">
        <v>943.01</v>
      </c>
      <c r="I1486" s="79">
        <v>25.2</v>
      </c>
      <c r="J1486" s="79">
        <v>968.21</v>
      </c>
      <c r="K1486" s="79">
        <v>0</v>
      </c>
      <c r="L1486" s="70">
        <v>968.21</v>
      </c>
      <c r="M1486" s="132"/>
      <c r="N1486" s="79">
        <v>943.01</v>
      </c>
      <c r="O1486" s="79">
        <v>25.2</v>
      </c>
      <c r="P1486" s="79">
        <v>968.21</v>
      </c>
      <c r="Q1486" s="136"/>
      <c r="R1486" s="79">
        <v>943.01</v>
      </c>
      <c r="S1486" s="79">
        <v>25.18</v>
      </c>
      <c r="T1486" s="79">
        <v>968.18999999999994</v>
      </c>
      <c r="U1486" s="79">
        <v>0</v>
      </c>
      <c r="V1486" s="189">
        <v>968.18999999999994</v>
      </c>
      <c r="X1486" s="79">
        <v>943.01</v>
      </c>
      <c r="Y1486" s="79">
        <v>25.18</v>
      </c>
      <c r="Z1486" s="79">
        <v>968.19</v>
      </c>
      <c r="AA1486" s="255">
        <v>1.999999999998181E-2</v>
      </c>
      <c r="AC1486" s="254"/>
    </row>
    <row r="1487" spans="1:31" s="61" customFormat="1" ht="12">
      <c r="A1487" s="489" t="s">
        <v>13369</v>
      </c>
      <c r="B1487" s="490" t="s">
        <v>13370</v>
      </c>
      <c r="C1487" s="491"/>
      <c r="D1487" s="492"/>
      <c r="E1487" s="79"/>
      <c r="F1487" s="63"/>
      <c r="G1487" s="320"/>
      <c r="H1487" s="79"/>
      <c r="I1487" s="79"/>
      <c r="J1487" s="79"/>
      <c r="K1487" s="79"/>
      <c r="L1487" s="70"/>
      <c r="M1487" s="132"/>
      <c r="N1487" s="79"/>
      <c r="O1487" s="79"/>
      <c r="P1487" s="79"/>
      <c r="Q1487" s="136"/>
      <c r="R1487" s="79"/>
      <c r="S1487" s="79"/>
      <c r="T1487" s="79"/>
      <c r="U1487" s="79"/>
      <c r="V1487" s="189"/>
      <c r="X1487" s="79"/>
      <c r="Y1487" s="79"/>
      <c r="Z1487" s="79"/>
      <c r="AA1487" s="255"/>
      <c r="AC1487" s="254"/>
      <c r="AD1487" s="236"/>
      <c r="AE1487" s="236"/>
    </row>
    <row r="1488" spans="1:31" s="61" customFormat="1" ht="12">
      <c r="A1488" s="67" t="s">
        <v>13371</v>
      </c>
      <c r="B1488" s="65" t="s">
        <v>13372</v>
      </c>
      <c r="C1488" s="71" t="s">
        <v>165</v>
      </c>
      <c r="D1488" s="78">
        <v>1</v>
      </c>
      <c r="E1488" s="79">
        <v>7.98</v>
      </c>
      <c r="F1488" s="70">
        <v>7.98</v>
      </c>
      <c r="G1488" s="320"/>
      <c r="H1488" s="79">
        <v>3</v>
      </c>
      <c r="I1488" s="79">
        <v>4.9800000000000004</v>
      </c>
      <c r="J1488" s="79">
        <v>7.98</v>
      </c>
      <c r="K1488" s="79">
        <v>0</v>
      </c>
      <c r="L1488" s="70">
        <v>7.98</v>
      </c>
      <c r="M1488" s="132"/>
      <c r="N1488" s="79">
        <v>3</v>
      </c>
      <c r="O1488" s="79">
        <v>4.9800000000000004</v>
      </c>
      <c r="P1488" s="79">
        <v>7.98</v>
      </c>
      <c r="Q1488" s="136"/>
      <c r="R1488" s="79">
        <v>3</v>
      </c>
      <c r="S1488" s="79">
        <v>4.97</v>
      </c>
      <c r="T1488" s="79">
        <v>7.97</v>
      </c>
      <c r="U1488" s="79">
        <v>0</v>
      </c>
      <c r="V1488" s="189">
        <v>7.97</v>
      </c>
      <c r="X1488" s="79">
        <v>3</v>
      </c>
      <c r="Y1488" s="79">
        <v>4.97</v>
      </c>
      <c r="Z1488" s="79">
        <v>7.97</v>
      </c>
      <c r="AA1488" s="255">
        <v>1.0000000000000675E-2</v>
      </c>
      <c r="AC1488" s="254"/>
      <c r="AD1488" s="236"/>
      <c r="AE1488" s="236"/>
    </row>
    <row r="1489" spans="1:29" ht="12">
      <c r="A1489" s="67" t="s">
        <v>13373</v>
      </c>
      <c r="B1489" s="65" t="s">
        <v>13374</v>
      </c>
      <c r="C1489" s="71" t="s">
        <v>509</v>
      </c>
      <c r="D1489" s="78">
        <v>1</v>
      </c>
      <c r="E1489" s="79">
        <v>81.23</v>
      </c>
      <c r="F1489" s="70">
        <v>81.23</v>
      </c>
      <c r="G1489" s="320"/>
      <c r="H1489" s="79">
        <v>15</v>
      </c>
      <c r="I1489" s="79">
        <v>66.23</v>
      </c>
      <c r="J1489" s="79">
        <v>81.23</v>
      </c>
      <c r="K1489" s="79">
        <v>0</v>
      </c>
      <c r="L1489" s="70">
        <v>81.23</v>
      </c>
      <c r="M1489" s="132"/>
      <c r="N1489" s="79">
        <v>15</v>
      </c>
      <c r="O1489" s="79">
        <v>66.23</v>
      </c>
      <c r="P1489" s="79">
        <v>81.23</v>
      </c>
      <c r="Q1489" s="136"/>
      <c r="R1489" s="79">
        <v>15</v>
      </c>
      <c r="S1489" s="79">
        <v>66.239999999999995</v>
      </c>
      <c r="T1489" s="79">
        <v>81.239999999999995</v>
      </c>
      <c r="U1489" s="79">
        <v>0</v>
      </c>
      <c r="V1489" s="189">
        <v>81.239999999999995</v>
      </c>
      <c r="X1489" s="79">
        <v>15</v>
      </c>
      <c r="Y1489" s="79">
        <v>66.239999999999995</v>
      </c>
      <c r="Z1489" s="79">
        <v>81.239999999999995</v>
      </c>
      <c r="AA1489" s="255">
        <v>-9.9999999999909051E-3</v>
      </c>
      <c r="AC1489" s="254"/>
    </row>
    <row r="1490" spans="1:29" ht="12">
      <c r="A1490" s="489" t="s">
        <v>13375</v>
      </c>
      <c r="B1490" s="490" t="s">
        <v>13376</v>
      </c>
      <c r="C1490" s="491"/>
      <c r="D1490" s="492"/>
      <c r="E1490" s="79"/>
      <c r="F1490" s="63"/>
      <c r="G1490" s="320"/>
      <c r="H1490" s="79"/>
      <c r="I1490" s="79"/>
      <c r="J1490" s="79"/>
      <c r="K1490" s="79"/>
      <c r="L1490" s="70"/>
      <c r="M1490" s="132"/>
      <c r="N1490" s="79"/>
      <c r="O1490" s="79"/>
      <c r="P1490" s="79"/>
      <c r="Q1490" s="136"/>
      <c r="R1490" s="79"/>
      <c r="S1490" s="79"/>
      <c r="T1490" s="79"/>
      <c r="U1490" s="79"/>
      <c r="V1490" s="189"/>
      <c r="X1490" s="79"/>
      <c r="Y1490" s="79"/>
      <c r="Z1490" s="79"/>
      <c r="AA1490" s="255"/>
      <c r="AC1490" s="254"/>
    </row>
    <row r="1491" spans="1:29" ht="12">
      <c r="A1491" s="489" t="s">
        <v>13377</v>
      </c>
      <c r="B1491" s="490" t="s">
        <v>13378</v>
      </c>
      <c r="C1491" s="491"/>
      <c r="D1491" s="492"/>
      <c r="E1491" s="79"/>
      <c r="F1491" s="63"/>
      <c r="G1491" s="320"/>
      <c r="H1491" s="79"/>
      <c r="I1491" s="79"/>
      <c r="J1491" s="79"/>
      <c r="K1491" s="79"/>
      <c r="L1491" s="70"/>
      <c r="M1491" s="132"/>
      <c r="N1491" s="79"/>
      <c r="O1491" s="79"/>
      <c r="P1491" s="79"/>
      <c r="Q1491" s="136"/>
      <c r="R1491" s="79"/>
      <c r="S1491" s="79"/>
      <c r="T1491" s="79"/>
      <c r="U1491" s="79"/>
      <c r="V1491" s="189"/>
      <c r="X1491" s="79"/>
      <c r="Y1491" s="79"/>
      <c r="Z1491" s="79"/>
      <c r="AA1491" s="255"/>
      <c r="AC1491" s="254"/>
    </row>
    <row r="1492" spans="1:29" ht="12">
      <c r="A1492" s="67" t="s">
        <v>13379</v>
      </c>
      <c r="B1492" s="65" t="s">
        <v>13380</v>
      </c>
      <c r="C1492" s="71" t="s">
        <v>509</v>
      </c>
      <c r="D1492" s="78">
        <v>1</v>
      </c>
      <c r="E1492" s="79">
        <v>517.27</v>
      </c>
      <c r="F1492" s="70">
        <v>517.27</v>
      </c>
      <c r="G1492" s="320"/>
      <c r="H1492" s="79">
        <v>401.49</v>
      </c>
      <c r="I1492" s="79">
        <v>115.78</v>
      </c>
      <c r="J1492" s="79">
        <v>517.27</v>
      </c>
      <c r="K1492" s="79">
        <v>0</v>
      </c>
      <c r="L1492" s="70">
        <v>517.27</v>
      </c>
      <c r="M1492" s="132"/>
      <c r="N1492" s="79">
        <v>401.49</v>
      </c>
      <c r="O1492" s="79">
        <v>115.78</v>
      </c>
      <c r="P1492" s="79">
        <v>517.27</v>
      </c>
      <c r="Q1492" s="136"/>
      <c r="R1492" s="79">
        <v>401.49</v>
      </c>
      <c r="S1492" s="79">
        <v>115.78</v>
      </c>
      <c r="T1492" s="79">
        <v>517.27</v>
      </c>
      <c r="U1492" s="79">
        <v>0</v>
      </c>
      <c r="V1492" s="189">
        <v>517.27</v>
      </c>
      <c r="X1492" s="79">
        <v>401.49</v>
      </c>
      <c r="Y1492" s="79">
        <v>115.78</v>
      </c>
      <c r="Z1492" s="79">
        <v>517.27</v>
      </c>
      <c r="AA1492" s="255">
        <v>0</v>
      </c>
      <c r="AC1492" s="254"/>
    </row>
    <row r="1493" spans="1:29" ht="12">
      <c r="A1493" s="67" t="s">
        <v>13381</v>
      </c>
      <c r="B1493" s="65" t="s">
        <v>13382</v>
      </c>
      <c r="C1493" s="71" t="s">
        <v>509</v>
      </c>
      <c r="D1493" s="78">
        <v>1</v>
      </c>
      <c r="E1493" s="79">
        <v>496.13</v>
      </c>
      <c r="F1493" s="70">
        <v>496.13</v>
      </c>
      <c r="G1493" s="320"/>
      <c r="H1493" s="79">
        <v>380.35</v>
      </c>
      <c r="I1493" s="79">
        <v>115.78</v>
      </c>
      <c r="J1493" s="79">
        <v>496.13</v>
      </c>
      <c r="K1493" s="79">
        <v>0</v>
      </c>
      <c r="L1493" s="70">
        <v>496.13</v>
      </c>
      <c r="M1493" s="132"/>
      <c r="N1493" s="79">
        <v>380.35</v>
      </c>
      <c r="O1493" s="79">
        <v>115.78</v>
      </c>
      <c r="P1493" s="79">
        <v>496.13</v>
      </c>
      <c r="Q1493" s="136"/>
      <c r="R1493" s="79">
        <v>380.35</v>
      </c>
      <c r="S1493" s="79">
        <v>115.78</v>
      </c>
      <c r="T1493" s="79">
        <v>496.13</v>
      </c>
      <c r="U1493" s="79">
        <v>0</v>
      </c>
      <c r="V1493" s="189">
        <v>496.13</v>
      </c>
      <c r="X1493" s="79">
        <v>380.35</v>
      </c>
      <c r="Y1493" s="79">
        <v>115.78</v>
      </c>
      <c r="Z1493" s="79">
        <v>496.13</v>
      </c>
      <c r="AA1493" s="255">
        <v>0</v>
      </c>
      <c r="AC1493" s="254"/>
    </row>
    <row r="1494" spans="1:29" ht="12">
      <c r="A1494" s="67" t="s">
        <v>13383</v>
      </c>
      <c r="B1494" s="65" t="s">
        <v>13384</v>
      </c>
      <c r="C1494" s="71" t="s">
        <v>509</v>
      </c>
      <c r="D1494" s="78">
        <v>1</v>
      </c>
      <c r="E1494" s="79">
        <v>712.13</v>
      </c>
      <c r="F1494" s="70">
        <v>712.13</v>
      </c>
      <c r="G1494" s="320"/>
      <c r="H1494" s="79">
        <v>596.35</v>
      </c>
      <c r="I1494" s="79">
        <v>115.78</v>
      </c>
      <c r="J1494" s="79">
        <v>712.13</v>
      </c>
      <c r="K1494" s="79">
        <v>0</v>
      </c>
      <c r="L1494" s="70">
        <v>712.13</v>
      </c>
      <c r="M1494" s="132"/>
      <c r="N1494" s="79">
        <v>596.35</v>
      </c>
      <c r="O1494" s="79">
        <v>115.78</v>
      </c>
      <c r="P1494" s="79">
        <v>712.13</v>
      </c>
      <c r="Q1494" s="136"/>
      <c r="R1494" s="79">
        <v>596.35</v>
      </c>
      <c r="S1494" s="79">
        <v>115.78</v>
      </c>
      <c r="T1494" s="79">
        <v>712.13</v>
      </c>
      <c r="U1494" s="79">
        <v>0</v>
      </c>
      <c r="V1494" s="189">
        <v>712.13</v>
      </c>
      <c r="X1494" s="79">
        <v>596.35</v>
      </c>
      <c r="Y1494" s="79">
        <v>115.78</v>
      </c>
      <c r="Z1494" s="79">
        <v>712.13</v>
      </c>
      <c r="AA1494" s="255">
        <v>0</v>
      </c>
      <c r="AC1494" s="254"/>
    </row>
    <row r="1495" spans="1:29" ht="12">
      <c r="A1495" s="67" t="s">
        <v>13385</v>
      </c>
      <c r="B1495" s="65" t="s">
        <v>13386</v>
      </c>
      <c r="C1495" s="71" t="s">
        <v>509</v>
      </c>
      <c r="D1495" s="78">
        <v>1</v>
      </c>
      <c r="E1495" s="79">
        <v>177.39</v>
      </c>
      <c r="F1495" s="70">
        <v>177.39</v>
      </c>
      <c r="G1495" s="320"/>
      <c r="H1495" s="79">
        <v>61.61</v>
      </c>
      <c r="I1495" s="79">
        <v>115.78</v>
      </c>
      <c r="J1495" s="79">
        <v>177.39</v>
      </c>
      <c r="K1495" s="79">
        <v>0</v>
      </c>
      <c r="L1495" s="70">
        <v>177.39</v>
      </c>
      <c r="M1495" s="132"/>
      <c r="N1495" s="79">
        <v>61.61</v>
      </c>
      <c r="O1495" s="79">
        <v>115.78</v>
      </c>
      <c r="P1495" s="79">
        <v>177.39</v>
      </c>
      <c r="Q1495" s="136"/>
      <c r="R1495" s="79">
        <v>61.61</v>
      </c>
      <c r="S1495" s="79">
        <v>115.78</v>
      </c>
      <c r="T1495" s="79">
        <v>177.39</v>
      </c>
      <c r="U1495" s="79">
        <v>0</v>
      </c>
      <c r="V1495" s="189">
        <v>177.39</v>
      </c>
      <c r="X1495" s="79">
        <v>61.61</v>
      </c>
      <c r="Y1495" s="79">
        <v>115.78</v>
      </c>
      <c r="Z1495" s="79">
        <v>177.39</v>
      </c>
      <c r="AA1495" s="255">
        <v>0</v>
      </c>
      <c r="AC1495" s="254"/>
    </row>
    <row r="1496" spans="1:29" ht="12">
      <c r="A1496" s="489" t="s">
        <v>13387</v>
      </c>
      <c r="B1496" s="490" t="s">
        <v>13388</v>
      </c>
      <c r="C1496" s="491"/>
      <c r="D1496" s="492"/>
      <c r="E1496" s="79"/>
      <c r="F1496" s="63"/>
      <c r="G1496" s="320"/>
      <c r="H1496" s="79"/>
      <c r="I1496" s="79"/>
      <c r="J1496" s="79"/>
      <c r="K1496" s="79"/>
      <c r="L1496" s="70"/>
      <c r="M1496" s="132"/>
      <c r="N1496" s="79"/>
      <c r="O1496" s="79"/>
      <c r="P1496" s="79"/>
      <c r="Q1496" s="136"/>
      <c r="R1496" s="79"/>
      <c r="S1496" s="79"/>
      <c r="T1496" s="79"/>
      <c r="U1496" s="79"/>
      <c r="V1496" s="189"/>
      <c r="X1496" s="79"/>
      <c r="Y1496" s="79"/>
      <c r="Z1496" s="79"/>
      <c r="AA1496" s="255"/>
      <c r="AC1496" s="254"/>
    </row>
    <row r="1497" spans="1:29" ht="12">
      <c r="A1497" s="67" t="s">
        <v>13389</v>
      </c>
      <c r="B1497" s="65" t="s">
        <v>13390</v>
      </c>
      <c r="C1497" s="71" t="s">
        <v>509</v>
      </c>
      <c r="D1497" s="78">
        <v>1</v>
      </c>
      <c r="E1497" s="79">
        <v>182.96</v>
      </c>
      <c r="F1497" s="70">
        <v>182.96</v>
      </c>
      <c r="G1497" s="320"/>
      <c r="H1497" s="79">
        <v>116.73</v>
      </c>
      <c r="I1497" s="79">
        <v>66.23</v>
      </c>
      <c r="J1497" s="79">
        <v>182.96</v>
      </c>
      <c r="K1497" s="79">
        <v>0</v>
      </c>
      <c r="L1497" s="70">
        <v>182.96</v>
      </c>
      <c r="M1497" s="132"/>
      <c r="N1497" s="79">
        <v>116.73</v>
      </c>
      <c r="O1497" s="79">
        <v>66.23</v>
      </c>
      <c r="P1497" s="79">
        <v>182.96</v>
      </c>
      <c r="Q1497" s="136"/>
      <c r="R1497" s="79">
        <v>116.73</v>
      </c>
      <c r="S1497" s="79">
        <v>66.239999999999995</v>
      </c>
      <c r="T1497" s="79">
        <v>182.97</v>
      </c>
      <c r="U1497" s="79">
        <v>0</v>
      </c>
      <c r="V1497" s="189">
        <v>182.97</v>
      </c>
      <c r="X1497" s="79">
        <v>116.73</v>
      </c>
      <c r="Y1497" s="79">
        <v>66.239999999999995</v>
      </c>
      <c r="Z1497" s="79">
        <v>182.97</v>
      </c>
      <c r="AA1497" s="255">
        <v>-9.9999999999909051E-3</v>
      </c>
      <c r="AC1497" s="254"/>
    </row>
    <row r="1498" spans="1:29" ht="12">
      <c r="A1498" s="489" t="s">
        <v>13391</v>
      </c>
      <c r="B1498" s="490" t="s">
        <v>13392</v>
      </c>
      <c r="C1498" s="491"/>
      <c r="D1498" s="492"/>
      <c r="E1498" s="79"/>
      <c r="F1498" s="63"/>
      <c r="G1498" s="320"/>
      <c r="H1498" s="79"/>
      <c r="I1498" s="79"/>
      <c r="J1498" s="79"/>
      <c r="K1498" s="79"/>
      <c r="L1498" s="70"/>
      <c r="M1498" s="132"/>
      <c r="N1498" s="79"/>
      <c r="O1498" s="79"/>
      <c r="P1498" s="79"/>
      <c r="Q1498" s="136"/>
      <c r="R1498" s="79"/>
      <c r="S1498" s="79"/>
      <c r="T1498" s="79"/>
      <c r="U1498" s="79"/>
      <c r="V1498" s="189"/>
      <c r="X1498" s="79"/>
      <c r="Y1498" s="79"/>
      <c r="Z1498" s="79"/>
      <c r="AA1498" s="255"/>
      <c r="AC1498" s="254"/>
    </row>
    <row r="1499" spans="1:29" ht="12">
      <c r="A1499" s="67" t="s">
        <v>13393</v>
      </c>
      <c r="B1499" s="65" t="s">
        <v>13394</v>
      </c>
      <c r="C1499" s="71" t="s">
        <v>509</v>
      </c>
      <c r="D1499" s="78">
        <v>1</v>
      </c>
      <c r="E1499" s="79">
        <v>2841.4700000000003</v>
      </c>
      <c r="F1499" s="70">
        <v>2841.47</v>
      </c>
      <c r="G1499" s="320"/>
      <c r="H1499" s="79">
        <v>2727.13</v>
      </c>
      <c r="I1499" s="79">
        <v>114.34</v>
      </c>
      <c r="J1499" s="79">
        <v>2841.4700000000003</v>
      </c>
      <c r="K1499" s="79">
        <v>0</v>
      </c>
      <c r="L1499" s="70">
        <v>2841.4700000000003</v>
      </c>
      <c r="M1499" s="132"/>
      <c r="N1499" s="79">
        <v>2727.13</v>
      </c>
      <c r="O1499" s="79">
        <v>114.34</v>
      </c>
      <c r="P1499" s="79">
        <v>2841.4700000000003</v>
      </c>
      <c r="Q1499" s="136"/>
      <c r="R1499" s="79">
        <v>2727.13</v>
      </c>
      <c r="S1499" s="79">
        <v>114.34</v>
      </c>
      <c r="T1499" s="79">
        <v>2841.4700000000003</v>
      </c>
      <c r="U1499" s="79">
        <v>0</v>
      </c>
      <c r="V1499" s="189">
        <v>2841.4700000000003</v>
      </c>
      <c r="X1499" s="79">
        <v>2727.13</v>
      </c>
      <c r="Y1499" s="79">
        <v>114.34</v>
      </c>
      <c r="Z1499" s="79">
        <v>2841.47</v>
      </c>
      <c r="AA1499" s="255">
        <v>0</v>
      </c>
      <c r="AC1499" s="254"/>
    </row>
    <row r="1500" spans="1:29" ht="24">
      <c r="A1500" s="67" t="s">
        <v>13395</v>
      </c>
      <c r="B1500" s="65" t="s">
        <v>13396</v>
      </c>
      <c r="C1500" s="71" t="s">
        <v>165</v>
      </c>
      <c r="D1500" s="78">
        <v>1</v>
      </c>
      <c r="E1500" s="79">
        <v>347.03</v>
      </c>
      <c r="F1500" s="70">
        <v>347.03</v>
      </c>
      <c r="G1500" s="320"/>
      <c r="H1500" s="79">
        <v>254.12</v>
      </c>
      <c r="I1500" s="79">
        <v>92.91</v>
      </c>
      <c r="J1500" s="79">
        <v>347.03</v>
      </c>
      <c r="K1500" s="79">
        <v>0</v>
      </c>
      <c r="L1500" s="70">
        <v>347.03</v>
      </c>
      <c r="M1500" s="132"/>
      <c r="N1500" s="79">
        <v>254.12</v>
      </c>
      <c r="O1500" s="79">
        <v>92.91</v>
      </c>
      <c r="P1500" s="79">
        <v>347.03</v>
      </c>
      <c r="Q1500" s="136"/>
      <c r="R1500" s="79">
        <v>254.12</v>
      </c>
      <c r="S1500" s="79">
        <v>92.9</v>
      </c>
      <c r="T1500" s="79">
        <v>347.02</v>
      </c>
      <c r="U1500" s="79">
        <v>0</v>
      </c>
      <c r="V1500" s="189">
        <v>347.02</v>
      </c>
      <c r="X1500" s="79">
        <v>254.12</v>
      </c>
      <c r="Y1500" s="79">
        <v>92.9</v>
      </c>
      <c r="Z1500" s="79">
        <v>347.02</v>
      </c>
      <c r="AA1500" s="255">
        <v>9.9999999999909051E-3</v>
      </c>
      <c r="AC1500" s="254"/>
    </row>
    <row r="1501" spans="1:29" ht="24">
      <c r="A1501" s="67" t="s">
        <v>13397</v>
      </c>
      <c r="B1501" s="65" t="s">
        <v>13398</v>
      </c>
      <c r="C1501" s="71" t="s">
        <v>165</v>
      </c>
      <c r="D1501" s="78">
        <v>1</v>
      </c>
      <c r="E1501" s="79">
        <v>149.32</v>
      </c>
      <c r="F1501" s="70">
        <v>149.32</v>
      </c>
      <c r="G1501" s="320"/>
      <c r="H1501" s="79">
        <v>119.1</v>
      </c>
      <c r="I1501" s="79">
        <v>30.22</v>
      </c>
      <c r="J1501" s="79">
        <v>149.32</v>
      </c>
      <c r="K1501" s="79">
        <v>0</v>
      </c>
      <c r="L1501" s="70">
        <v>149.32</v>
      </c>
      <c r="M1501" s="132"/>
      <c r="N1501" s="79">
        <v>119.1</v>
      </c>
      <c r="O1501" s="79">
        <v>30.22</v>
      </c>
      <c r="P1501" s="79">
        <v>149.32</v>
      </c>
      <c r="Q1501" s="136"/>
      <c r="R1501" s="79">
        <v>119.1</v>
      </c>
      <c r="S1501" s="79">
        <v>30.21</v>
      </c>
      <c r="T1501" s="79">
        <v>149.31</v>
      </c>
      <c r="U1501" s="79">
        <v>0</v>
      </c>
      <c r="V1501" s="189">
        <v>149.31</v>
      </c>
      <c r="X1501" s="79">
        <v>119.1</v>
      </c>
      <c r="Y1501" s="79">
        <v>30.21</v>
      </c>
      <c r="Z1501" s="79">
        <v>149.31</v>
      </c>
      <c r="AA1501" s="255">
        <v>9.9999999999909051E-3</v>
      </c>
      <c r="AC1501" s="254"/>
    </row>
    <row r="1502" spans="1:29" ht="24">
      <c r="A1502" s="67" t="s">
        <v>13399</v>
      </c>
      <c r="B1502" s="65" t="s">
        <v>13400</v>
      </c>
      <c r="C1502" s="71" t="s">
        <v>165</v>
      </c>
      <c r="D1502" s="78">
        <v>1</v>
      </c>
      <c r="E1502" s="79">
        <v>74.64</v>
      </c>
      <c r="F1502" s="70">
        <v>74.64</v>
      </c>
      <c r="G1502" s="320"/>
      <c r="H1502" s="79">
        <v>60.809999999999995</v>
      </c>
      <c r="I1502" s="79">
        <v>13.829999999999998</v>
      </c>
      <c r="J1502" s="79">
        <v>74.639999999999986</v>
      </c>
      <c r="K1502" s="79">
        <v>0</v>
      </c>
      <c r="L1502" s="70">
        <v>74.639999999999986</v>
      </c>
      <c r="M1502" s="132"/>
      <c r="N1502" s="79">
        <v>60.809999999999995</v>
      </c>
      <c r="O1502" s="79">
        <v>13.829999999999998</v>
      </c>
      <c r="P1502" s="79">
        <v>74.639999999999986</v>
      </c>
      <c r="Q1502" s="136"/>
      <c r="R1502" s="79">
        <v>60.81</v>
      </c>
      <c r="S1502" s="79">
        <v>13.82</v>
      </c>
      <c r="T1502" s="79">
        <v>74.63</v>
      </c>
      <c r="U1502" s="79">
        <v>0</v>
      </c>
      <c r="V1502" s="189">
        <v>74.63</v>
      </c>
      <c r="X1502" s="79">
        <v>60.81</v>
      </c>
      <c r="Y1502" s="79">
        <v>13.82</v>
      </c>
      <c r="Z1502" s="79">
        <v>74.63</v>
      </c>
      <c r="AA1502" s="255">
        <v>1.0000000000005116E-2</v>
      </c>
      <c r="AC1502" s="254"/>
    </row>
    <row r="1503" spans="1:29" ht="12">
      <c r="A1503" s="67" t="s">
        <v>13401</v>
      </c>
      <c r="B1503" s="65" t="s">
        <v>13402</v>
      </c>
      <c r="C1503" s="71" t="s">
        <v>165</v>
      </c>
      <c r="D1503" s="78">
        <v>1</v>
      </c>
      <c r="E1503" s="79">
        <v>84.41</v>
      </c>
      <c r="F1503" s="70">
        <v>84.41</v>
      </c>
      <c r="G1503" s="320"/>
      <c r="H1503" s="79">
        <v>76.86</v>
      </c>
      <c r="I1503" s="79">
        <v>7.5500000000000007</v>
      </c>
      <c r="J1503" s="79">
        <v>84.41</v>
      </c>
      <c r="K1503" s="79">
        <v>0</v>
      </c>
      <c r="L1503" s="70">
        <v>84.41</v>
      </c>
      <c r="M1503" s="132"/>
      <c r="N1503" s="79">
        <v>76.86</v>
      </c>
      <c r="O1503" s="79">
        <v>7.5500000000000007</v>
      </c>
      <c r="P1503" s="79">
        <v>84.41</v>
      </c>
      <c r="Q1503" s="136"/>
      <c r="R1503" s="79">
        <v>76.86</v>
      </c>
      <c r="S1503" s="79">
        <v>7.56</v>
      </c>
      <c r="T1503" s="79">
        <v>84.42</v>
      </c>
      <c r="U1503" s="79">
        <v>0</v>
      </c>
      <c r="V1503" s="189">
        <v>84.42</v>
      </c>
      <c r="X1503" s="79">
        <v>76.86</v>
      </c>
      <c r="Y1503" s="79">
        <v>7.56</v>
      </c>
      <c r="Z1503" s="79">
        <v>84.42</v>
      </c>
      <c r="AA1503" s="255">
        <v>-1.0000000000005116E-2</v>
      </c>
      <c r="AC1503" s="254"/>
    </row>
    <row r="1504" spans="1:29" ht="24">
      <c r="A1504" s="67" t="s">
        <v>13403</v>
      </c>
      <c r="B1504" s="65" t="s">
        <v>13404</v>
      </c>
      <c r="C1504" s="71" t="s">
        <v>165</v>
      </c>
      <c r="D1504" s="78">
        <v>1</v>
      </c>
      <c r="E1504" s="79">
        <v>174.74</v>
      </c>
      <c r="F1504" s="70">
        <v>174.74</v>
      </c>
      <c r="G1504" s="320"/>
      <c r="H1504" s="79">
        <v>92.39</v>
      </c>
      <c r="I1504" s="79">
        <v>82.35</v>
      </c>
      <c r="J1504" s="79">
        <v>174.74</v>
      </c>
      <c r="K1504" s="79">
        <v>0</v>
      </c>
      <c r="L1504" s="70">
        <v>174.74</v>
      </c>
      <c r="M1504" s="132"/>
      <c r="N1504" s="79">
        <v>92.39</v>
      </c>
      <c r="O1504" s="79">
        <v>82.35</v>
      </c>
      <c r="P1504" s="79">
        <v>174.74</v>
      </c>
      <c r="Q1504" s="136"/>
      <c r="R1504" s="79">
        <v>92.39</v>
      </c>
      <c r="S1504" s="79">
        <v>82.34</v>
      </c>
      <c r="T1504" s="79">
        <v>174.73000000000002</v>
      </c>
      <c r="U1504" s="79">
        <v>0</v>
      </c>
      <c r="V1504" s="189">
        <v>174.73000000000002</v>
      </c>
      <c r="X1504" s="79">
        <v>92.39</v>
      </c>
      <c r="Y1504" s="79">
        <v>82.34</v>
      </c>
      <c r="Z1504" s="79">
        <v>174.73</v>
      </c>
      <c r="AA1504" s="255">
        <v>1.0000000000019327E-2</v>
      </c>
      <c r="AC1504" s="254"/>
    </row>
    <row r="1505" spans="1:31" ht="12">
      <c r="A1505" s="67" t="s">
        <v>13405</v>
      </c>
      <c r="B1505" s="65" t="s">
        <v>13406</v>
      </c>
      <c r="C1505" s="71" t="s">
        <v>165</v>
      </c>
      <c r="D1505" s="78">
        <v>1</v>
      </c>
      <c r="E1505" s="79">
        <v>161.85000000000002</v>
      </c>
      <c r="F1505" s="70">
        <v>161.85</v>
      </c>
      <c r="G1505" s="320"/>
      <c r="H1505" s="79">
        <v>119.79</v>
      </c>
      <c r="I1505" s="79">
        <v>42.06</v>
      </c>
      <c r="J1505" s="79">
        <v>161.85000000000002</v>
      </c>
      <c r="K1505" s="79">
        <v>0</v>
      </c>
      <c r="L1505" s="70">
        <v>161.85000000000002</v>
      </c>
      <c r="M1505" s="132"/>
      <c r="N1505" s="79">
        <v>119.79</v>
      </c>
      <c r="O1505" s="79">
        <v>42.06</v>
      </c>
      <c r="P1505" s="79">
        <v>161.85000000000002</v>
      </c>
      <c r="Q1505" s="136"/>
      <c r="R1505" s="79">
        <v>119.79</v>
      </c>
      <c r="S1505" s="79">
        <v>42.06</v>
      </c>
      <c r="T1505" s="79">
        <v>161.85000000000002</v>
      </c>
      <c r="U1505" s="79">
        <v>0</v>
      </c>
      <c r="V1505" s="189">
        <v>161.85000000000002</v>
      </c>
      <c r="X1505" s="79">
        <v>119.79</v>
      </c>
      <c r="Y1505" s="79">
        <v>42.06</v>
      </c>
      <c r="Z1505" s="79">
        <v>161.85</v>
      </c>
      <c r="AA1505" s="255">
        <v>0</v>
      </c>
      <c r="AC1505" s="254"/>
    </row>
    <row r="1506" spans="1:31" ht="12">
      <c r="A1506" s="489" t="s">
        <v>13407</v>
      </c>
      <c r="B1506" s="490" t="s">
        <v>13408</v>
      </c>
      <c r="C1506" s="491"/>
      <c r="D1506" s="492"/>
      <c r="E1506" s="79"/>
      <c r="F1506" s="63"/>
      <c r="G1506" s="320"/>
      <c r="H1506" s="79"/>
      <c r="I1506" s="79"/>
      <c r="J1506" s="79"/>
      <c r="K1506" s="79"/>
      <c r="L1506" s="70"/>
      <c r="M1506" s="132"/>
      <c r="N1506" s="79"/>
      <c r="O1506" s="79"/>
      <c r="P1506" s="79"/>
      <c r="Q1506" s="136"/>
      <c r="R1506" s="79"/>
      <c r="S1506" s="79"/>
      <c r="T1506" s="79"/>
      <c r="U1506" s="79"/>
      <c r="V1506" s="189"/>
      <c r="X1506" s="79"/>
      <c r="Y1506" s="79"/>
      <c r="Z1506" s="79"/>
      <c r="AA1506" s="255"/>
      <c r="AC1506" s="254"/>
      <c r="AD1506" s="61"/>
      <c r="AE1506" s="61"/>
    </row>
    <row r="1507" spans="1:31" ht="12">
      <c r="A1507" s="489" t="s">
        <v>13409</v>
      </c>
      <c r="B1507" s="490" t="s">
        <v>13410</v>
      </c>
      <c r="C1507" s="491"/>
      <c r="D1507" s="492"/>
      <c r="E1507" s="79"/>
      <c r="F1507" s="63"/>
      <c r="G1507" s="320"/>
      <c r="H1507" s="79"/>
      <c r="I1507" s="79"/>
      <c r="J1507" s="79"/>
      <c r="K1507" s="79"/>
      <c r="L1507" s="70"/>
      <c r="M1507" s="132"/>
      <c r="N1507" s="79"/>
      <c r="O1507" s="79"/>
      <c r="P1507" s="79"/>
      <c r="Q1507" s="136"/>
      <c r="R1507" s="79"/>
      <c r="S1507" s="79"/>
      <c r="T1507" s="79"/>
      <c r="U1507" s="79"/>
      <c r="V1507" s="189"/>
      <c r="X1507" s="79"/>
      <c r="Y1507" s="79"/>
      <c r="Z1507" s="79"/>
      <c r="AA1507" s="255"/>
      <c r="AC1507" s="254"/>
    </row>
    <row r="1508" spans="1:31" s="61" customFormat="1" ht="12">
      <c r="A1508" s="67" t="s">
        <v>13411</v>
      </c>
      <c r="B1508" s="65" t="s">
        <v>13412</v>
      </c>
      <c r="C1508" s="71" t="s">
        <v>396</v>
      </c>
      <c r="D1508" s="78">
        <v>1</v>
      </c>
      <c r="E1508" s="79">
        <v>542.70000000000005</v>
      </c>
      <c r="F1508" s="70">
        <v>542.70000000000005</v>
      </c>
      <c r="G1508" s="320"/>
      <c r="H1508" s="79">
        <v>467.16</v>
      </c>
      <c r="I1508" s="79">
        <v>75.539999999999992</v>
      </c>
      <c r="J1508" s="79">
        <v>542.70000000000005</v>
      </c>
      <c r="K1508" s="79">
        <v>0</v>
      </c>
      <c r="L1508" s="70">
        <v>542.70000000000005</v>
      </c>
      <c r="M1508" s="132"/>
      <c r="N1508" s="79">
        <v>467.16</v>
      </c>
      <c r="O1508" s="79">
        <v>75.539999999999992</v>
      </c>
      <c r="P1508" s="79">
        <v>542.70000000000005</v>
      </c>
      <c r="Q1508" s="136"/>
      <c r="R1508" s="79">
        <v>467.16</v>
      </c>
      <c r="S1508" s="79">
        <v>75.53</v>
      </c>
      <c r="T1508" s="79">
        <v>542.69000000000005</v>
      </c>
      <c r="U1508" s="79">
        <v>0</v>
      </c>
      <c r="V1508" s="189">
        <v>542.69000000000005</v>
      </c>
      <c r="X1508" s="79">
        <v>467.16</v>
      </c>
      <c r="Y1508" s="79">
        <v>75.53</v>
      </c>
      <c r="Z1508" s="79">
        <v>542.69000000000005</v>
      </c>
      <c r="AA1508" s="255">
        <v>9.9999999999909051E-3</v>
      </c>
      <c r="AC1508" s="254"/>
      <c r="AD1508" s="236"/>
      <c r="AE1508" s="236"/>
    </row>
    <row r="1509" spans="1:31" ht="12">
      <c r="A1509" s="67" t="s">
        <v>13413</v>
      </c>
      <c r="B1509" s="65" t="s">
        <v>13414</v>
      </c>
      <c r="C1509" s="71" t="s">
        <v>396</v>
      </c>
      <c r="D1509" s="78">
        <v>1</v>
      </c>
      <c r="E1509" s="79">
        <v>975.35</v>
      </c>
      <c r="F1509" s="70">
        <v>975.35</v>
      </c>
      <c r="G1509" s="320"/>
      <c r="H1509" s="79">
        <v>874.65000000000009</v>
      </c>
      <c r="I1509" s="79">
        <v>100.69999999999999</v>
      </c>
      <c r="J1509" s="79">
        <v>975.35000000000014</v>
      </c>
      <c r="K1509" s="79">
        <v>0</v>
      </c>
      <c r="L1509" s="70">
        <v>975.35000000000014</v>
      </c>
      <c r="M1509" s="132"/>
      <c r="N1509" s="79">
        <v>874.65000000000009</v>
      </c>
      <c r="O1509" s="79">
        <v>100.69999999999999</v>
      </c>
      <c r="P1509" s="79">
        <v>975.35000000000014</v>
      </c>
      <c r="Q1509" s="136"/>
      <c r="R1509" s="79">
        <v>874.65</v>
      </c>
      <c r="S1509" s="79">
        <v>100.7</v>
      </c>
      <c r="T1509" s="79">
        <v>975.35</v>
      </c>
      <c r="U1509" s="79">
        <v>0</v>
      </c>
      <c r="V1509" s="189">
        <v>975.35</v>
      </c>
      <c r="X1509" s="79">
        <v>874.65</v>
      </c>
      <c r="Y1509" s="79">
        <v>100.7</v>
      </c>
      <c r="Z1509" s="79">
        <v>975.35</v>
      </c>
      <c r="AA1509" s="498">
        <v>0</v>
      </c>
      <c r="AC1509" s="254"/>
    </row>
    <row r="1510" spans="1:31" ht="12">
      <c r="A1510" s="67" t="s">
        <v>13415</v>
      </c>
      <c r="B1510" s="65" t="s">
        <v>13416</v>
      </c>
      <c r="C1510" s="71" t="s">
        <v>396</v>
      </c>
      <c r="D1510" s="78">
        <v>1</v>
      </c>
      <c r="E1510" s="79">
        <v>434.24999999999994</v>
      </c>
      <c r="F1510" s="70">
        <v>434.25</v>
      </c>
      <c r="G1510" s="320"/>
      <c r="H1510" s="79">
        <v>358.71</v>
      </c>
      <c r="I1510" s="79">
        <v>75.539999999999992</v>
      </c>
      <c r="J1510" s="79">
        <v>434.25</v>
      </c>
      <c r="K1510" s="79">
        <v>0</v>
      </c>
      <c r="L1510" s="70">
        <v>434.25</v>
      </c>
      <c r="M1510" s="132"/>
      <c r="N1510" s="79">
        <v>358.71</v>
      </c>
      <c r="O1510" s="79">
        <v>75.539999999999992</v>
      </c>
      <c r="P1510" s="79">
        <v>434.25</v>
      </c>
      <c r="Q1510" s="136"/>
      <c r="R1510" s="79">
        <v>358.71</v>
      </c>
      <c r="S1510" s="79">
        <v>75.53</v>
      </c>
      <c r="T1510" s="79">
        <v>434.24</v>
      </c>
      <c r="U1510" s="79">
        <v>0</v>
      </c>
      <c r="V1510" s="189">
        <v>434.24</v>
      </c>
      <c r="X1510" s="79">
        <v>358.71</v>
      </c>
      <c r="Y1510" s="79">
        <v>75.53</v>
      </c>
      <c r="Z1510" s="79">
        <v>434.24</v>
      </c>
      <c r="AA1510" s="255">
        <v>9.9999999999909051E-3</v>
      </c>
      <c r="AC1510" s="254"/>
    </row>
    <row r="1511" spans="1:31" ht="12">
      <c r="A1511" s="67" t="s">
        <v>13417</v>
      </c>
      <c r="B1511" s="65" t="s">
        <v>13418</v>
      </c>
      <c r="C1511" s="71" t="s">
        <v>396</v>
      </c>
      <c r="D1511" s="78">
        <v>1</v>
      </c>
      <c r="E1511" s="79">
        <v>811.49000000000012</v>
      </c>
      <c r="F1511" s="70">
        <v>811.49</v>
      </c>
      <c r="G1511" s="320"/>
      <c r="H1511" s="79">
        <v>710.79000000000008</v>
      </c>
      <c r="I1511" s="79">
        <v>100.69999999999999</v>
      </c>
      <c r="J1511" s="79">
        <v>811.49</v>
      </c>
      <c r="K1511" s="79">
        <v>0</v>
      </c>
      <c r="L1511" s="70">
        <v>811.49</v>
      </c>
      <c r="M1511" s="132"/>
      <c r="N1511" s="79">
        <v>710.79000000000008</v>
      </c>
      <c r="O1511" s="79">
        <v>100.69999999999999</v>
      </c>
      <c r="P1511" s="79">
        <v>811.49</v>
      </c>
      <c r="Q1511" s="136"/>
      <c r="R1511" s="79">
        <v>710.79</v>
      </c>
      <c r="S1511" s="79">
        <v>100.7</v>
      </c>
      <c r="T1511" s="79">
        <v>811.49</v>
      </c>
      <c r="U1511" s="79">
        <v>0</v>
      </c>
      <c r="V1511" s="189">
        <v>811.49</v>
      </c>
      <c r="X1511" s="79">
        <v>710.79</v>
      </c>
      <c r="Y1511" s="79">
        <v>100.7</v>
      </c>
      <c r="Z1511" s="79">
        <v>811.49</v>
      </c>
      <c r="AA1511" s="255">
        <v>0</v>
      </c>
      <c r="AC1511" s="254"/>
    </row>
    <row r="1512" spans="1:31" ht="12">
      <c r="A1512" s="67" t="s">
        <v>13419</v>
      </c>
      <c r="B1512" s="65" t="s">
        <v>13420</v>
      </c>
      <c r="C1512" s="71" t="s">
        <v>396</v>
      </c>
      <c r="D1512" s="78">
        <v>1</v>
      </c>
      <c r="E1512" s="79">
        <v>343.3</v>
      </c>
      <c r="F1512" s="70">
        <v>343.3</v>
      </c>
      <c r="G1512" s="320"/>
      <c r="H1512" s="79">
        <v>267.76</v>
      </c>
      <c r="I1512" s="79">
        <v>75.539999999999992</v>
      </c>
      <c r="J1512" s="79">
        <v>343.29999999999995</v>
      </c>
      <c r="K1512" s="79">
        <v>0</v>
      </c>
      <c r="L1512" s="70">
        <v>343.29999999999995</v>
      </c>
      <c r="M1512" s="132"/>
      <c r="N1512" s="79">
        <v>267.76</v>
      </c>
      <c r="O1512" s="79">
        <v>75.539999999999992</v>
      </c>
      <c r="P1512" s="79">
        <v>343.29999999999995</v>
      </c>
      <c r="Q1512" s="136"/>
      <c r="R1512" s="79">
        <v>267.76</v>
      </c>
      <c r="S1512" s="79">
        <v>75.53</v>
      </c>
      <c r="T1512" s="79">
        <v>343.28999999999996</v>
      </c>
      <c r="U1512" s="79">
        <v>0</v>
      </c>
      <c r="V1512" s="189">
        <v>343.28999999999996</v>
      </c>
      <c r="X1512" s="79">
        <v>267.76</v>
      </c>
      <c r="Y1512" s="79">
        <v>75.53</v>
      </c>
      <c r="Z1512" s="79">
        <v>343.29</v>
      </c>
      <c r="AA1512" s="255">
        <v>9.9999999999909051E-3</v>
      </c>
      <c r="AC1512" s="254"/>
    </row>
    <row r="1513" spans="1:31" ht="12">
      <c r="A1513" s="67" t="s">
        <v>13421</v>
      </c>
      <c r="B1513" s="65" t="s">
        <v>13422</v>
      </c>
      <c r="C1513" s="71" t="s">
        <v>396</v>
      </c>
      <c r="D1513" s="78">
        <v>1</v>
      </c>
      <c r="E1513" s="79">
        <v>325.73</v>
      </c>
      <c r="F1513" s="70">
        <v>325.73</v>
      </c>
      <c r="G1513" s="320"/>
      <c r="H1513" s="79">
        <v>325.73</v>
      </c>
      <c r="I1513" s="79">
        <v>0</v>
      </c>
      <c r="J1513" s="79">
        <v>325.73</v>
      </c>
      <c r="K1513" s="79">
        <v>0</v>
      </c>
      <c r="L1513" s="70">
        <v>325.73</v>
      </c>
      <c r="M1513" s="132"/>
      <c r="N1513" s="79">
        <v>325.73</v>
      </c>
      <c r="O1513" s="79"/>
      <c r="P1513" s="79">
        <v>325.73</v>
      </c>
      <c r="Q1513" s="136"/>
      <c r="R1513" s="79">
        <v>325.73</v>
      </c>
      <c r="S1513" s="79"/>
      <c r="T1513" s="79">
        <v>325.73</v>
      </c>
      <c r="U1513" s="79">
        <v>0</v>
      </c>
      <c r="V1513" s="189">
        <v>325.73</v>
      </c>
      <c r="X1513" s="79">
        <v>325.73</v>
      </c>
      <c r="Y1513" s="79"/>
      <c r="Z1513" s="79">
        <v>325.73</v>
      </c>
      <c r="AA1513" s="255">
        <v>0</v>
      </c>
      <c r="AC1513" s="254"/>
    </row>
    <row r="1514" spans="1:31" ht="12">
      <c r="A1514" s="67" t="s">
        <v>13423</v>
      </c>
      <c r="B1514" s="65" t="s">
        <v>13424</v>
      </c>
      <c r="C1514" s="71" t="s">
        <v>396</v>
      </c>
      <c r="D1514" s="78">
        <v>1</v>
      </c>
      <c r="E1514" s="79">
        <v>423.78</v>
      </c>
      <c r="F1514" s="70">
        <v>423.78</v>
      </c>
      <c r="G1514" s="320"/>
      <c r="H1514" s="79">
        <v>423.78</v>
      </c>
      <c r="I1514" s="79">
        <v>0</v>
      </c>
      <c r="J1514" s="79">
        <v>423.78</v>
      </c>
      <c r="K1514" s="79">
        <v>0</v>
      </c>
      <c r="L1514" s="70">
        <v>423.78</v>
      </c>
      <c r="M1514" s="132"/>
      <c r="N1514" s="79">
        <v>423.78</v>
      </c>
      <c r="O1514" s="79"/>
      <c r="P1514" s="79">
        <v>423.78</v>
      </c>
      <c r="Q1514" s="136"/>
      <c r="R1514" s="79">
        <v>423.78</v>
      </c>
      <c r="S1514" s="79"/>
      <c r="T1514" s="79">
        <v>423.78</v>
      </c>
      <c r="U1514" s="79">
        <v>0</v>
      </c>
      <c r="V1514" s="189">
        <v>423.78</v>
      </c>
      <c r="X1514" s="79">
        <v>423.78</v>
      </c>
      <c r="Y1514" s="79"/>
      <c r="Z1514" s="79">
        <v>423.78</v>
      </c>
      <c r="AA1514" s="255">
        <v>0</v>
      </c>
      <c r="AC1514" s="254"/>
    </row>
    <row r="1515" spans="1:31" ht="12">
      <c r="A1515" s="67" t="s">
        <v>13425</v>
      </c>
      <c r="B1515" s="65" t="s">
        <v>13426</v>
      </c>
      <c r="C1515" s="71" t="s">
        <v>103</v>
      </c>
      <c r="D1515" s="78">
        <v>1</v>
      </c>
      <c r="E1515" s="79">
        <v>424.28999999999996</v>
      </c>
      <c r="F1515" s="70">
        <v>424.29</v>
      </c>
      <c r="G1515" s="320"/>
      <c r="H1515" s="79">
        <v>340.53</v>
      </c>
      <c r="I1515" s="79">
        <v>83.76</v>
      </c>
      <c r="J1515" s="79">
        <v>424.28999999999996</v>
      </c>
      <c r="K1515" s="79">
        <v>0</v>
      </c>
      <c r="L1515" s="70">
        <v>424.28999999999996</v>
      </c>
      <c r="M1515" s="132"/>
      <c r="N1515" s="79">
        <v>340.53</v>
      </c>
      <c r="O1515" s="79">
        <v>83.76</v>
      </c>
      <c r="P1515" s="79">
        <v>424.28999999999996</v>
      </c>
      <c r="Q1515" s="136"/>
      <c r="R1515" s="79">
        <v>340.53</v>
      </c>
      <c r="S1515" s="79">
        <v>83.75</v>
      </c>
      <c r="T1515" s="79"/>
      <c r="U1515" s="79">
        <v>0</v>
      </c>
      <c r="V1515" s="189">
        <v>0</v>
      </c>
      <c r="X1515" s="79">
        <v>340.53</v>
      </c>
      <c r="Y1515" s="79">
        <v>83.75</v>
      </c>
      <c r="Z1515" s="79">
        <v>424.28</v>
      </c>
      <c r="AA1515" s="255">
        <v>1.0000000000047748E-2</v>
      </c>
      <c r="AC1515" s="254"/>
    </row>
    <row r="1516" spans="1:31" ht="12">
      <c r="A1516" s="67" t="s">
        <v>13427</v>
      </c>
      <c r="B1516" s="65" t="s">
        <v>13428</v>
      </c>
      <c r="C1516" s="71" t="s">
        <v>396</v>
      </c>
      <c r="D1516" s="78">
        <v>1</v>
      </c>
      <c r="E1516" s="79">
        <v>577.61</v>
      </c>
      <c r="F1516" s="70">
        <v>577.61</v>
      </c>
      <c r="G1516" s="320"/>
      <c r="H1516" s="79">
        <v>493.85</v>
      </c>
      <c r="I1516" s="79">
        <v>83.76</v>
      </c>
      <c r="J1516" s="79">
        <v>577.61</v>
      </c>
      <c r="K1516" s="79">
        <v>0</v>
      </c>
      <c r="L1516" s="70">
        <v>577.61</v>
      </c>
      <c r="M1516" s="132"/>
      <c r="N1516" s="79">
        <v>493.85</v>
      </c>
      <c r="O1516" s="79">
        <v>83.76</v>
      </c>
      <c r="P1516" s="79">
        <v>577.61</v>
      </c>
      <c r="Q1516" s="136"/>
      <c r="R1516" s="79">
        <v>493.85</v>
      </c>
      <c r="S1516" s="79">
        <v>83.75</v>
      </c>
      <c r="T1516" s="79">
        <v>577.6</v>
      </c>
      <c r="U1516" s="79">
        <v>0</v>
      </c>
      <c r="V1516" s="189">
        <v>577.6</v>
      </c>
      <c r="X1516" s="79">
        <v>493.85</v>
      </c>
      <c r="Y1516" s="79">
        <v>83.75</v>
      </c>
      <c r="Z1516" s="79">
        <v>577.6</v>
      </c>
      <c r="AA1516" s="255">
        <v>9.9999999999909051E-3</v>
      </c>
      <c r="AC1516" s="254"/>
    </row>
    <row r="1517" spans="1:31" ht="12">
      <c r="A1517" s="67" t="s">
        <v>13429</v>
      </c>
      <c r="B1517" s="65" t="s">
        <v>13430</v>
      </c>
      <c r="C1517" s="71" t="s">
        <v>103</v>
      </c>
      <c r="D1517" s="78">
        <v>1</v>
      </c>
      <c r="E1517" s="79">
        <v>351.03</v>
      </c>
      <c r="F1517" s="70">
        <v>351.03</v>
      </c>
      <c r="G1517" s="320"/>
      <c r="H1517" s="79">
        <v>327.52</v>
      </c>
      <c r="I1517" s="79">
        <v>23.51</v>
      </c>
      <c r="J1517" s="79">
        <v>351.03</v>
      </c>
      <c r="K1517" s="79">
        <v>0</v>
      </c>
      <c r="L1517" s="70">
        <v>351.03</v>
      </c>
      <c r="M1517" s="132"/>
      <c r="N1517" s="79">
        <v>327.52</v>
      </c>
      <c r="O1517" s="79">
        <v>23.51</v>
      </c>
      <c r="P1517" s="79">
        <v>351.03</v>
      </c>
      <c r="Q1517" s="136"/>
      <c r="R1517" s="79">
        <v>327.52</v>
      </c>
      <c r="S1517" s="79">
        <v>23.5</v>
      </c>
      <c r="T1517" s="79">
        <v>351.02</v>
      </c>
      <c r="U1517" s="79">
        <v>0</v>
      </c>
      <c r="V1517" s="189">
        <v>351.02</v>
      </c>
      <c r="X1517" s="79">
        <v>327.52</v>
      </c>
      <c r="Y1517" s="79">
        <v>23.5</v>
      </c>
      <c r="Z1517" s="79">
        <v>351.02</v>
      </c>
      <c r="AA1517" s="255">
        <v>9.9999999999909051E-3</v>
      </c>
      <c r="AC1517" s="254"/>
    </row>
    <row r="1518" spans="1:31" ht="12">
      <c r="A1518" s="67" t="s">
        <v>13431</v>
      </c>
      <c r="B1518" s="65" t="s">
        <v>13432</v>
      </c>
      <c r="C1518" s="71" t="s">
        <v>103</v>
      </c>
      <c r="D1518" s="78">
        <v>1</v>
      </c>
      <c r="E1518" s="79">
        <v>375.95</v>
      </c>
      <c r="F1518" s="70">
        <v>375.95</v>
      </c>
      <c r="G1518" s="320"/>
      <c r="H1518" s="79">
        <v>352.44</v>
      </c>
      <c r="I1518" s="79">
        <v>23.51</v>
      </c>
      <c r="J1518" s="79">
        <v>375.95</v>
      </c>
      <c r="K1518" s="79">
        <v>0</v>
      </c>
      <c r="L1518" s="70">
        <v>375.95</v>
      </c>
      <c r="M1518" s="132"/>
      <c r="N1518" s="79">
        <v>352.44</v>
      </c>
      <c r="O1518" s="79">
        <v>23.51</v>
      </c>
      <c r="P1518" s="79">
        <v>375.95</v>
      </c>
      <c r="Q1518" s="136"/>
      <c r="R1518" s="79">
        <v>352.44</v>
      </c>
      <c r="S1518" s="79">
        <v>23.5</v>
      </c>
      <c r="T1518" s="79">
        <v>375.94</v>
      </c>
      <c r="U1518" s="79">
        <v>0</v>
      </c>
      <c r="V1518" s="189">
        <v>375.94</v>
      </c>
      <c r="X1518" s="79">
        <v>352.44</v>
      </c>
      <c r="Y1518" s="79">
        <v>23.5</v>
      </c>
      <c r="Z1518" s="79">
        <v>375.94</v>
      </c>
      <c r="AA1518" s="255">
        <v>9.9999999999909051E-3</v>
      </c>
      <c r="AC1518" s="254"/>
    </row>
    <row r="1519" spans="1:31" ht="12">
      <c r="A1519" s="67" t="s">
        <v>13433</v>
      </c>
      <c r="B1519" s="65" t="s">
        <v>13434</v>
      </c>
      <c r="C1519" s="71" t="s">
        <v>103</v>
      </c>
      <c r="D1519" s="78">
        <v>1</v>
      </c>
      <c r="E1519" s="79">
        <v>3676.23</v>
      </c>
      <c r="F1519" s="70">
        <v>3676.23</v>
      </c>
      <c r="G1519" s="320"/>
      <c r="H1519" s="79">
        <v>3617.46</v>
      </c>
      <c r="I1519" s="79">
        <v>58.77</v>
      </c>
      <c r="J1519" s="79">
        <v>3676.23</v>
      </c>
      <c r="K1519" s="79">
        <v>0</v>
      </c>
      <c r="L1519" s="70">
        <v>3676.23</v>
      </c>
      <c r="M1519" s="132"/>
      <c r="N1519" s="79">
        <v>3617.46</v>
      </c>
      <c r="O1519" s="79">
        <v>58.77</v>
      </c>
      <c r="P1519" s="79">
        <v>3676.23</v>
      </c>
      <c r="Q1519" s="136"/>
      <c r="R1519" s="79">
        <v>3617.46</v>
      </c>
      <c r="S1519" s="79">
        <v>58.77</v>
      </c>
      <c r="T1519" s="79">
        <v>3676.23</v>
      </c>
      <c r="U1519" s="79">
        <v>0</v>
      </c>
      <c r="V1519" s="189">
        <v>3676.23</v>
      </c>
      <c r="X1519" s="79">
        <v>3617.46</v>
      </c>
      <c r="Y1519" s="79">
        <v>58.77</v>
      </c>
      <c r="Z1519" s="79">
        <v>3676.23</v>
      </c>
      <c r="AA1519" s="255">
        <v>0</v>
      </c>
      <c r="AC1519" s="254"/>
    </row>
    <row r="1520" spans="1:31" ht="12">
      <c r="A1520" s="67" t="s">
        <v>13435</v>
      </c>
      <c r="B1520" s="65" t="s">
        <v>13436</v>
      </c>
      <c r="C1520" s="71" t="s">
        <v>103</v>
      </c>
      <c r="D1520" s="78">
        <v>1</v>
      </c>
      <c r="E1520" s="79">
        <v>448.43</v>
      </c>
      <c r="F1520" s="70">
        <v>448.43</v>
      </c>
      <c r="G1520" s="320"/>
      <c r="H1520" s="79">
        <v>404.36</v>
      </c>
      <c r="I1520" s="79">
        <v>44.07</v>
      </c>
      <c r="J1520" s="79">
        <v>448.43</v>
      </c>
      <c r="K1520" s="79">
        <v>0</v>
      </c>
      <c r="L1520" s="70">
        <v>448.43</v>
      </c>
      <c r="M1520" s="132"/>
      <c r="N1520" s="79">
        <v>404.36</v>
      </c>
      <c r="O1520" s="79">
        <v>44.07</v>
      </c>
      <c r="P1520" s="79">
        <v>448.43</v>
      </c>
      <c r="Q1520" s="136"/>
      <c r="R1520" s="79">
        <v>404.36</v>
      </c>
      <c r="S1520" s="79">
        <v>44.08</v>
      </c>
      <c r="T1520" s="79">
        <v>448.44</v>
      </c>
      <c r="U1520" s="79">
        <v>0</v>
      </c>
      <c r="V1520" s="189">
        <v>448.44</v>
      </c>
      <c r="X1520" s="79">
        <v>404.36</v>
      </c>
      <c r="Y1520" s="79">
        <v>44.08</v>
      </c>
      <c r="Z1520" s="79">
        <v>448.44</v>
      </c>
      <c r="AA1520" s="255">
        <v>-9.9999999999909051E-3</v>
      </c>
      <c r="AC1520" s="254"/>
    </row>
    <row r="1521" spans="1:31" ht="12">
      <c r="A1521" s="67" t="s">
        <v>13437</v>
      </c>
      <c r="B1521" s="65" t="s">
        <v>13438</v>
      </c>
      <c r="C1521" s="71" t="s">
        <v>103</v>
      </c>
      <c r="D1521" s="78">
        <v>1</v>
      </c>
      <c r="E1521" s="79">
        <v>46.480000000000004</v>
      </c>
      <c r="F1521" s="70">
        <v>46.48</v>
      </c>
      <c r="G1521" s="320"/>
      <c r="H1521" s="79">
        <v>31.37</v>
      </c>
      <c r="I1521" s="79">
        <v>15.11</v>
      </c>
      <c r="J1521" s="79">
        <v>46.480000000000004</v>
      </c>
      <c r="K1521" s="79">
        <v>0</v>
      </c>
      <c r="L1521" s="70">
        <v>46.480000000000004</v>
      </c>
      <c r="M1521" s="132"/>
      <c r="N1521" s="79">
        <v>31.37</v>
      </c>
      <c r="O1521" s="79">
        <v>15.11</v>
      </c>
      <c r="P1521" s="79">
        <v>46.480000000000004</v>
      </c>
      <c r="Q1521" s="136"/>
      <c r="R1521" s="79">
        <v>31.37</v>
      </c>
      <c r="S1521" s="79">
        <v>15.1</v>
      </c>
      <c r="T1521" s="79">
        <v>46.47</v>
      </c>
      <c r="U1521" s="79">
        <v>0</v>
      </c>
      <c r="V1521" s="189">
        <v>46.47</v>
      </c>
      <c r="X1521" s="79">
        <v>31.37</v>
      </c>
      <c r="Y1521" s="79">
        <v>15.1</v>
      </c>
      <c r="Z1521" s="79">
        <v>46.47</v>
      </c>
      <c r="AA1521" s="255">
        <v>9.9999999999980105E-3</v>
      </c>
      <c r="AC1521" s="254"/>
    </row>
    <row r="1522" spans="1:31" ht="12">
      <c r="A1522" s="67" t="s">
        <v>13439</v>
      </c>
      <c r="B1522" s="65" t="s">
        <v>13440</v>
      </c>
      <c r="C1522" s="71" t="s">
        <v>103</v>
      </c>
      <c r="D1522" s="78">
        <v>1</v>
      </c>
      <c r="E1522" s="79">
        <v>1117.3799999999999</v>
      </c>
      <c r="F1522" s="70">
        <v>1117.3800000000001</v>
      </c>
      <c r="G1522" s="320"/>
      <c r="H1522" s="79">
        <v>1058.6099999999999</v>
      </c>
      <c r="I1522" s="79">
        <v>58.77</v>
      </c>
      <c r="J1522" s="79">
        <v>1117.3799999999999</v>
      </c>
      <c r="K1522" s="79">
        <v>0</v>
      </c>
      <c r="L1522" s="70">
        <v>1117.3799999999999</v>
      </c>
      <c r="M1522" s="132"/>
      <c r="N1522" s="79">
        <v>1058.6099999999999</v>
      </c>
      <c r="O1522" s="79">
        <v>58.77</v>
      </c>
      <c r="P1522" s="79">
        <v>1117.3799999999999</v>
      </c>
      <c r="Q1522" s="136"/>
      <c r="R1522" s="79">
        <v>1058.6099999999999</v>
      </c>
      <c r="S1522" s="79">
        <v>58.77</v>
      </c>
      <c r="T1522" s="79">
        <v>1117.3799999999999</v>
      </c>
      <c r="U1522" s="79">
        <v>0</v>
      </c>
      <c r="V1522" s="189">
        <v>1117.3799999999999</v>
      </c>
      <c r="X1522" s="79">
        <v>1058.6099999999999</v>
      </c>
      <c r="Y1522" s="79">
        <v>58.77</v>
      </c>
      <c r="Z1522" s="79">
        <v>1117.3800000000001</v>
      </c>
      <c r="AA1522" s="255">
        <v>0</v>
      </c>
      <c r="AC1522" s="254"/>
    </row>
    <row r="1523" spans="1:31" ht="12">
      <c r="A1523" s="67" t="s">
        <v>13441</v>
      </c>
      <c r="B1523" s="65" t="s">
        <v>13442</v>
      </c>
      <c r="C1523" s="71" t="s">
        <v>103</v>
      </c>
      <c r="D1523" s="78">
        <v>1</v>
      </c>
      <c r="E1523" s="79">
        <v>1179.2</v>
      </c>
      <c r="F1523" s="70">
        <v>1179.2</v>
      </c>
      <c r="G1523" s="320"/>
      <c r="H1523" s="79">
        <v>1061.6600000000001</v>
      </c>
      <c r="I1523" s="79">
        <v>117.54</v>
      </c>
      <c r="J1523" s="79">
        <v>1179.2</v>
      </c>
      <c r="K1523" s="79">
        <v>0</v>
      </c>
      <c r="L1523" s="70">
        <v>1179.2</v>
      </c>
      <c r="M1523" s="132"/>
      <c r="N1523" s="79">
        <v>1061.6600000000001</v>
      </c>
      <c r="O1523" s="79">
        <v>117.54</v>
      </c>
      <c r="P1523" s="79">
        <v>1179.2</v>
      </c>
      <c r="Q1523" s="136"/>
      <c r="R1523" s="79">
        <v>1061.6600000000001</v>
      </c>
      <c r="S1523" s="79">
        <v>117.54</v>
      </c>
      <c r="T1523" s="79">
        <v>1179.2</v>
      </c>
      <c r="U1523" s="79">
        <v>0</v>
      </c>
      <c r="V1523" s="189">
        <v>1179.2</v>
      </c>
      <c r="X1523" s="79">
        <v>1061.6600000000001</v>
      </c>
      <c r="Y1523" s="79">
        <v>117.54</v>
      </c>
      <c r="Z1523" s="79">
        <v>1179.2</v>
      </c>
      <c r="AA1523" s="255">
        <v>0</v>
      </c>
      <c r="AC1523" s="254"/>
    </row>
    <row r="1524" spans="1:31" ht="12">
      <c r="A1524" s="67" t="s">
        <v>13443</v>
      </c>
      <c r="B1524" s="65" t="s">
        <v>13444</v>
      </c>
      <c r="C1524" s="71" t="s">
        <v>103</v>
      </c>
      <c r="D1524" s="78">
        <v>1</v>
      </c>
      <c r="E1524" s="79">
        <v>303.76</v>
      </c>
      <c r="F1524" s="70">
        <v>303.76</v>
      </c>
      <c r="G1524" s="320"/>
      <c r="H1524" s="79">
        <v>228.22</v>
      </c>
      <c r="I1524" s="79">
        <v>75.539999999999992</v>
      </c>
      <c r="J1524" s="79">
        <v>303.76</v>
      </c>
      <c r="K1524" s="79">
        <v>0</v>
      </c>
      <c r="L1524" s="70">
        <v>303.76</v>
      </c>
      <c r="M1524" s="132"/>
      <c r="N1524" s="79">
        <v>228.22</v>
      </c>
      <c r="O1524" s="79">
        <v>75.539999999999992</v>
      </c>
      <c r="P1524" s="79">
        <v>303.76</v>
      </c>
      <c r="Q1524" s="136"/>
      <c r="R1524" s="79">
        <v>228.22</v>
      </c>
      <c r="S1524" s="79">
        <v>75.53</v>
      </c>
      <c r="T1524" s="79">
        <v>303.75</v>
      </c>
      <c r="U1524" s="79">
        <v>0</v>
      </c>
      <c r="V1524" s="189">
        <v>303.75</v>
      </c>
      <c r="X1524" s="79">
        <v>228.22</v>
      </c>
      <c r="Y1524" s="79">
        <v>75.53</v>
      </c>
      <c r="Z1524" s="79">
        <v>303.75</v>
      </c>
      <c r="AA1524" s="255">
        <v>9.9999999999909051E-3</v>
      </c>
      <c r="AC1524" s="254"/>
    </row>
    <row r="1525" spans="1:31" ht="12">
      <c r="A1525" s="489" t="s">
        <v>13445</v>
      </c>
      <c r="B1525" s="490" t="s">
        <v>13446</v>
      </c>
      <c r="C1525" s="491"/>
      <c r="D1525" s="492"/>
      <c r="E1525" s="79"/>
      <c r="F1525" s="63"/>
      <c r="G1525" s="320"/>
      <c r="H1525" s="79"/>
      <c r="I1525" s="79"/>
      <c r="J1525" s="79"/>
      <c r="K1525" s="79"/>
      <c r="L1525" s="70"/>
      <c r="M1525" s="132"/>
      <c r="N1525" s="79"/>
      <c r="O1525" s="79"/>
      <c r="P1525" s="79"/>
      <c r="Q1525" s="136"/>
      <c r="R1525" s="79"/>
      <c r="S1525" s="79"/>
      <c r="T1525" s="79"/>
      <c r="U1525" s="79"/>
      <c r="V1525" s="189"/>
      <c r="X1525" s="79"/>
      <c r="Y1525" s="79"/>
      <c r="Z1525" s="79"/>
      <c r="AA1525" s="255"/>
      <c r="AC1525" s="254"/>
    </row>
    <row r="1526" spans="1:31" ht="12">
      <c r="A1526" s="67" t="s">
        <v>13447</v>
      </c>
      <c r="B1526" s="65" t="s">
        <v>13448</v>
      </c>
      <c r="C1526" s="71" t="s">
        <v>103</v>
      </c>
      <c r="D1526" s="78">
        <v>1</v>
      </c>
      <c r="E1526" s="79">
        <v>19.78</v>
      </c>
      <c r="F1526" s="70">
        <v>19.78</v>
      </c>
      <c r="G1526" s="320"/>
      <c r="H1526" s="79">
        <v>19.78</v>
      </c>
      <c r="I1526" s="79">
        <v>0</v>
      </c>
      <c r="J1526" s="79">
        <v>19.78</v>
      </c>
      <c r="K1526" s="79">
        <v>0</v>
      </c>
      <c r="L1526" s="70">
        <v>19.78</v>
      </c>
      <c r="M1526" s="132"/>
      <c r="N1526" s="79">
        <v>19.78</v>
      </c>
      <c r="O1526" s="79"/>
      <c r="P1526" s="79">
        <v>19.78</v>
      </c>
      <c r="Q1526" s="136"/>
      <c r="R1526" s="79">
        <v>19.78</v>
      </c>
      <c r="S1526" s="79"/>
      <c r="T1526" s="79">
        <v>19.78</v>
      </c>
      <c r="U1526" s="79">
        <v>0</v>
      </c>
      <c r="V1526" s="189">
        <v>19.78</v>
      </c>
      <c r="X1526" s="79">
        <v>19.78</v>
      </c>
      <c r="Y1526" s="79"/>
      <c r="Z1526" s="79">
        <v>19.78</v>
      </c>
      <c r="AA1526" s="255">
        <v>0</v>
      </c>
      <c r="AC1526" s="254"/>
    </row>
    <row r="1527" spans="1:31" ht="12">
      <c r="A1527" s="67" t="s">
        <v>13449</v>
      </c>
      <c r="B1527" s="65" t="s">
        <v>13450</v>
      </c>
      <c r="C1527" s="71" t="s">
        <v>103</v>
      </c>
      <c r="D1527" s="78">
        <v>1</v>
      </c>
      <c r="E1527" s="79">
        <v>30.93</v>
      </c>
      <c r="F1527" s="70">
        <v>30.93</v>
      </c>
      <c r="G1527" s="320"/>
      <c r="H1527" s="79">
        <v>30.93</v>
      </c>
      <c r="I1527" s="79">
        <v>0</v>
      </c>
      <c r="J1527" s="79">
        <v>30.93</v>
      </c>
      <c r="K1527" s="79">
        <v>0</v>
      </c>
      <c r="L1527" s="70">
        <v>30.93</v>
      </c>
      <c r="M1527" s="132"/>
      <c r="N1527" s="79">
        <v>30.93</v>
      </c>
      <c r="O1527" s="79"/>
      <c r="P1527" s="79">
        <v>30.93</v>
      </c>
      <c r="Q1527" s="136"/>
      <c r="R1527" s="79">
        <v>30.93</v>
      </c>
      <c r="S1527" s="79"/>
      <c r="T1527" s="79">
        <v>30.93</v>
      </c>
      <c r="U1527" s="79">
        <v>0</v>
      </c>
      <c r="V1527" s="189">
        <v>30.93</v>
      </c>
      <c r="X1527" s="79">
        <v>30.93</v>
      </c>
      <c r="Y1527" s="79"/>
      <c r="Z1527" s="79">
        <v>30.93</v>
      </c>
      <c r="AA1527" s="255">
        <v>0</v>
      </c>
      <c r="AC1527" s="254"/>
      <c r="AD1527" s="61"/>
      <c r="AE1527" s="61"/>
    </row>
    <row r="1528" spans="1:31" ht="12">
      <c r="A1528" s="67" t="s">
        <v>13451</v>
      </c>
      <c r="B1528" s="65" t="s">
        <v>13452</v>
      </c>
      <c r="C1528" s="71" t="s">
        <v>103</v>
      </c>
      <c r="D1528" s="78">
        <v>1</v>
      </c>
      <c r="E1528" s="79">
        <v>50.54</v>
      </c>
      <c r="F1528" s="70">
        <v>50.54</v>
      </c>
      <c r="G1528" s="320"/>
      <c r="H1528" s="79">
        <v>50.54</v>
      </c>
      <c r="I1528" s="79">
        <v>0</v>
      </c>
      <c r="J1528" s="79">
        <v>50.54</v>
      </c>
      <c r="K1528" s="79">
        <v>0</v>
      </c>
      <c r="L1528" s="70">
        <v>50.54</v>
      </c>
      <c r="M1528" s="132"/>
      <c r="N1528" s="79">
        <v>50.54</v>
      </c>
      <c r="O1528" s="79"/>
      <c r="P1528" s="79">
        <v>50.54</v>
      </c>
      <c r="Q1528" s="136"/>
      <c r="R1528" s="79">
        <v>50.54</v>
      </c>
      <c r="S1528" s="79"/>
      <c r="T1528" s="79">
        <v>50.54</v>
      </c>
      <c r="U1528" s="79">
        <v>0</v>
      </c>
      <c r="V1528" s="189">
        <v>50.54</v>
      </c>
      <c r="X1528" s="79">
        <v>50.54</v>
      </c>
      <c r="Y1528" s="79"/>
      <c r="Z1528" s="79">
        <v>50.54</v>
      </c>
      <c r="AA1528" s="255">
        <v>0</v>
      </c>
      <c r="AC1528" s="254"/>
      <c r="AD1528" s="61"/>
      <c r="AE1528" s="61"/>
    </row>
    <row r="1529" spans="1:31" s="61" customFormat="1" ht="12">
      <c r="A1529" s="67" t="s">
        <v>13453</v>
      </c>
      <c r="B1529" s="65" t="s">
        <v>13454</v>
      </c>
      <c r="C1529" s="71" t="s">
        <v>103</v>
      </c>
      <c r="D1529" s="78">
        <v>1</v>
      </c>
      <c r="E1529" s="79">
        <v>201.68</v>
      </c>
      <c r="F1529" s="70">
        <v>201.68</v>
      </c>
      <c r="G1529" s="320"/>
      <c r="H1529" s="79">
        <v>201.68</v>
      </c>
      <c r="I1529" s="79">
        <v>0</v>
      </c>
      <c r="J1529" s="79">
        <v>201.68</v>
      </c>
      <c r="K1529" s="79">
        <v>0</v>
      </c>
      <c r="L1529" s="70">
        <v>201.68</v>
      </c>
      <c r="M1529" s="132"/>
      <c r="N1529" s="79">
        <v>201.68</v>
      </c>
      <c r="O1529" s="79"/>
      <c r="P1529" s="79">
        <v>201.68</v>
      </c>
      <c r="Q1529" s="136"/>
      <c r="R1529" s="79">
        <v>201.68</v>
      </c>
      <c r="S1529" s="79"/>
      <c r="T1529" s="79">
        <v>201.68</v>
      </c>
      <c r="U1529" s="79">
        <v>0</v>
      </c>
      <c r="V1529" s="189">
        <v>201.68</v>
      </c>
      <c r="X1529" s="79">
        <v>201.68</v>
      </c>
      <c r="Y1529" s="79"/>
      <c r="Z1529" s="79">
        <v>201.68</v>
      </c>
      <c r="AA1529" s="255">
        <v>0</v>
      </c>
      <c r="AC1529" s="254"/>
      <c r="AD1529" s="236"/>
      <c r="AE1529" s="236"/>
    </row>
    <row r="1530" spans="1:31" s="61" customFormat="1" ht="12">
      <c r="A1530" s="67" t="s">
        <v>13455</v>
      </c>
      <c r="B1530" s="65" t="s">
        <v>13456</v>
      </c>
      <c r="C1530" s="71" t="s">
        <v>103</v>
      </c>
      <c r="D1530" s="78">
        <v>1</v>
      </c>
      <c r="E1530" s="79">
        <v>75.34</v>
      </c>
      <c r="F1530" s="70">
        <v>75.34</v>
      </c>
      <c r="G1530" s="320"/>
      <c r="H1530" s="79">
        <v>75.34</v>
      </c>
      <c r="I1530" s="79">
        <v>0</v>
      </c>
      <c r="J1530" s="79">
        <v>75.34</v>
      </c>
      <c r="K1530" s="79">
        <v>0</v>
      </c>
      <c r="L1530" s="70">
        <v>75.34</v>
      </c>
      <c r="M1530" s="132"/>
      <c r="N1530" s="79">
        <v>75.34</v>
      </c>
      <c r="O1530" s="79"/>
      <c r="P1530" s="79">
        <v>75.34</v>
      </c>
      <c r="Q1530" s="136"/>
      <c r="R1530" s="79">
        <v>75.34</v>
      </c>
      <c r="S1530" s="79"/>
      <c r="T1530" s="79">
        <v>75.34</v>
      </c>
      <c r="U1530" s="79">
        <v>0</v>
      </c>
      <c r="V1530" s="189">
        <v>75.34</v>
      </c>
      <c r="X1530" s="79">
        <v>75.34</v>
      </c>
      <c r="Y1530" s="79"/>
      <c r="Z1530" s="79">
        <v>75.34</v>
      </c>
      <c r="AA1530" s="255">
        <v>0</v>
      </c>
      <c r="AC1530" s="254"/>
      <c r="AD1530" s="236"/>
      <c r="AE1530" s="236"/>
    </row>
    <row r="1531" spans="1:31" ht="12">
      <c r="A1531" s="489" t="s">
        <v>13457</v>
      </c>
      <c r="B1531" s="490" t="s">
        <v>13458</v>
      </c>
      <c r="C1531" s="491"/>
      <c r="D1531" s="492"/>
      <c r="E1531" s="79"/>
      <c r="F1531" s="63"/>
      <c r="G1531" s="320"/>
      <c r="H1531" s="79"/>
      <c r="I1531" s="79"/>
      <c r="J1531" s="79"/>
      <c r="K1531" s="79"/>
      <c r="L1531" s="70"/>
      <c r="M1531" s="132"/>
      <c r="N1531" s="79"/>
      <c r="O1531" s="79"/>
      <c r="P1531" s="79"/>
      <c r="Q1531" s="136"/>
      <c r="R1531" s="79"/>
      <c r="S1531" s="79"/>
      <c r="T1531" s="79"/>
      <c r="U1531" s="79"/>
      <c r="V1531" s="189"/>
      <c r="X1531" s="79"/>
      <c r="Y1531" s="79"/>
      <c r="Z1531" s="79"/>
      <c r="AA1531" s="255"/>
      <c r="AC1531" s="254"/>
    </row>
    <row r="1532" spans="1:31" ht="12">
      <c r="A1532" s="67" t="s">
        <v>13459</v>
      </c>
      <c r="B1532" s="65" t="s">
        <v>13460</v>
      </c>
      <c r="C1532" s="71" t="s">
        <v>103</v>
      </c>
      <c r="D1532" s="78">
        <v>1</v>
      </c>
      <c r="E1532" s="79">
        <v>75.539999999999992</v>
      </c>
      <c r="F1532" s="70">
        <v>75.540000000000006</v>
      </c>
      <c r="G1532" s="320"/>
      <c r="H1532" s="79">
        <v>0</v>
      </c>
      <c r="I1532" s="79">
        <v>75.539999999999992</v>
      </c>
      <c r="J1532" s="79">
        <v>75.539999999999992</v>
      </c>
      <c r="K1532" s="79">
        <v>0</v>
      </c>
      <c r="L1532" s="70">
        <v>75.539999999999992</v>
      </c>
      <c r="M1532" s="132"/>
      <c r="N1532" s="79"/>
      <c r="O1532" s="79">
        <v>75.539999999999992</v>
      </c>
      <c r="P1532" s="79">
        <v>75.539999999999992</v>
      </c>
      <c r="Q1532" s="136"/>
      <c r="R1532" s="79"/>
      <c r="S1532" s="79">
        <v>75.53</v>
      </c>
      <c r="T1532" s="79">
        <v>75.53</v>
      </c>
      <c r="U1532" s="79">
        <v>0</v>
      </c>
      <c r="V1532" s="189">
        <v>75.53</v>
      </c>
      <c r="X1532" s="79"/>
      <c r="Y1532" s="79">
        <v>75.53</v>
      </c>
      <c r="Z1532" s="79">
        <v>75.53</v>
      </c>
      <c r="AA1532" s="255">
        <v>1.0000000000005116E-2</v>
      </c>
      <c r="AC1532" s="254"/>
    </row>
    <row r="1533" spans="1:31" ht="12">
      <c r="A1533" s="67" t="s">
        <v>13461</v>
      </c>
      <c r="B1533" s="65" t="s">
        <v>13462</v>
      </c>
      <c r="C1533" s="71" t="s">
        <v>103</v>
      </c>
      <c r="D1533" s="78">
        <v>1</v>
      </c>
      <c r="E1533" s="79">
        <v>1174.45</v>
      </c>
      <c r="F1533" s="70">
        <v>1174.45</v>
      </c>
      <c r="G1533" s="320"/>
      <c r="H1533" s="79">
        <v>1115.68</v>
      </c>
      <c r="I1533" s="79">
        <v>58.77</v>
      </c>
      <c r="J1533" s="79">
        <v>1174.45</v>
      </c>
      <c r="K1533" s="79">
        <v>0</v>
      </c>
      <c r="L1533" s="70">
        <v>1174.45</v>
      </c>
      <c r="M1533" s="132"/>
      <c r="N1533" s="79">
        <v>1115.68</v>
      </c>
      <c r="O1533" s="79">
        <v>58.77</v>
      </c>
      <c r="P1533" s="79">
        <v>1174.45</v>
      </c>
      <c r="Q1533" s="136"/>
      <c r="R1533" s="79">
        <v>1115.68</v>
      </c>
      <c r="S1533" s="79">
        <v>58.77</v>
      </c>
      <c r="T1533" s="79">
        <v>1174.45</v>
      </c>
      <c r="U1533" s="79">
        <v>0</v>
      </c>
      <c r="V1533" s="189">
        <v>1174.45</v>
      </c>
      <c r="X1533" s="79">
        <v>1115.68</v>
      </c>
      <c r="Y1533" s="79">
        <v>58.77</v>
      </c>
      <c r="Z1533" s="79">
        <v>1174.45</v>
      </c>
      <c r="AA1533" s="255">
        <v>0</v>
      </c>
      <c r="AC1533" s="254"/>
    </row>
    <row r="1534" spans="1:31" ht="12">
      <c r="A1534" s="67" t="s">
        <v>13463</v>
      </c>
      <c r="B1534" s="65" t="s">
        <v>13464</v>
      </c>
      <c r="C1534" s="71" t="s">
        <v>103</v>
      </c>
      <c r="D1534" s="78">
        <v>1</v>
      </c>
      <c r="E1534" s="79">
        <v>64.95</v>
      </c>
      <c r="F1534" s="70">
        <v>64.95</v>
      </c>
      <c r="G1534" s="320"/>
      <c r="H1534" s="79">
        <v>0</v>
      </c>
      <c r="I1534" s="79">
        <v>64.95</v>
      </c>
      <c r="J1534" s="79">
        <v>64.95</v>
      </c>
      <c r="K1534" s="79">
        <v>0</v>
      </c>
      <c r="L1534" s="70">
        <v>64.95</v>
      </c>
      <c r="M1534" s="132"/>
      <c r="N1534" s="79"/>
      <c r="O1534" s="79">
        <v>64.95</v>
      </c>
      <c r="P1534" s="79">
        <v>64.95</v>
      </c>
      <c r="Q1534" s="136"/>
      <c r="R1534" s="79"/>
      <c r="S1534" s="79">
        <v>64.959999999999994</v>
      </c>
      <c r="T1534" s="79">
        <v>64.959999999999994</v>
      </c>
      <c r="U1534" s="79">
        <v>0</v>
      </c>
      <c r="V1534" s="189">
        <v>64.959999999999994</v>
      </c>
      <c r="X1534" s="79"/>
      <c r="Y1534" s="79">
        <v>64.959999999999994</v>
      </c>
      <c r="Z1534" s="79">
        <v>64.959999999999994</v>
      </c>
      <c r="AA1534" s="255">
        <v>-9.9999999999909051E-3</v>
      </c>
      <c r="AC1534" s="254"/>
    </row>
    <row r="1535" spans="1:31" ht="12">
      <c r="A1535" s="67" t="s">
        <v>13465</v>
      </c>
      <c r="B1535" s="65" t="s">
        <v>13466</v>
      </c>
      <c r="C1535" s="71" t="s">
        <v>396</v>
      </c>
      <c r="D1535" s="78">
        <v>1</v>
      </c>
      <c r="E1535" s="79">
        <v>1007.05</v>
      </c>
      <c r="F1535" s="70">
        <v>1007.05</v>
      </c>
      <c r="G1535" s="320"/>
      <c r="H1535" s="79">
        <v>930.64</v>
      </c>
      <c r="I1535" s="79">
        <v>76.41</v>
      </c>
      <c r="J1535" s="79">
        <v>1007.05</v>
      </c>
      <c r="K1535" s="79">
        <v>0</v>
      </c>
      <c r="L1535" s="70">
        <v>1007.05</v>
      </c>
      <c r="M1535" s="132"/>
      <c r="N1535" s="79">
        <v>930.64</v>
      </c>
      <c r="O1535" s="79">
        <v>76.41</v>
      </c>
      <c r="P1535" s="79">
        <v>1007.05</v>
      </c>
      <c r="Q1535" s="136"/>
      <c r="R1535" s="79">
        <v>930.64</v>
      </c>
      <c r="S1535" s="79">
        <v>76.400000000000006</v>
      </c>
      <c r="T1535" s="79">
        <v>1007.04</v>
      </c>
      <c r="U1535" s="79">
        <v>0</v>
      </c>
      <c r="V1535" s="189">
        <v>1007.04</v>
      </c>
      <c r="X1535" s="79">
        <v>930.64</v>
      </c>
      <c r="Y1535" s="79">
        <v>76.400000000000006</v>
      </c>
      <c r="Z1535" s="79">
        <v>1007.04</v>
      </c>
      <c r="AA1535" s="255">
        <v>9.9999999999909051E-3</v>
      </c>
      <c r="AC1535" s="254"/>
    </row>
    <row r="1536" spans="1:31" ht="12">
      <c r="A1536" s="67" t="s">
        <v>13467</v>
      </c>
      <c r="B1536" s="65" t="s">
        <v>13468</v>
      </c>
      <c r="C1536" s="71" t="s">
        <v>103</v>
      </c>
      <c r="D1536" s="78">
        <v>1</v>
      </c>
      <c r="E1536" s="79">
        <v>8.5599999999999987</v>
      </c>
      <c r="F1536" s="70">
        <v>8.56</v>
      </c>
      <c r="G1536" s="320"/>
      <c r="H1536" s="79">
        <v>0</v>
      </c>
      <c r="I1536" s="79">
        <v>8.5599999999999987</v>
      </c>
      <c r="J1536" s="79">
        <v>8.5599999999999987</v>
      </c>
      <c r="K1536" s="79">
        <v>0</v>
      </c>
      <c r="L1536" s="70">
        <v>8.5599999999999987</v>
      </c>
      <c r="M1536" s="132"/>
      <c r="N1536" s="79"/>
      <c r="O1536" s="79">
        <v>8.5599999999999987</v>
      </c>
      <c r="P1536" s="79">
        <v>8.5599999999999987</v>
      </c>
      <c r="Q1536" s="136"/>
      <c r="R1536" s="79"/>
      <c r="S1536" s="79">
        <v>8.56</v>
      </c>
      <c r="T1536" s="79">
        <v>8.56</v>
      </c>
      <c r="U1536" s="79">
        <v>0</v>
      </c>
      <c r="V1536" s="189">
        <v>8.56</v>
      </c>
      <c r="X1536" s="79"/>
      <c r="Y1536" s="79">
        <v>8.56</v>
      </c>
      <c r="Z1536" s="79">
        <v>8.56</v>
      </c>
      <c r="AA1536" s="255">
        <v>0</v>
      </c>
      <c r="AC1536" s="254"/>
    </row>
    <row r="1537" spans="1:31" ht="12">
      <c r="A1537" s="67" t="s">
        <v>13469</v>
      </c>
      <c r="B1537" s="65" t="s">
        <v>13470</v>
      </c>
      <c r="C1537" s="71" t="s">
        <v>396</v>
      </c>
      <c r="D1537" s="78">
        <v>1</v>
      </c>
      <c r="E1537" s="79">
        <v>833.79000000000008</v>
      </c>
      <c r="F1537" s="70">
        <v>833.79</v>
      </c>
      <c r="G1537" s="320"/>
      <c r="H1537" s="79">
        <v>682.75</v>
      </c>
      <c r="I1537" s="79">
        <v>151.04000000000002</v>
      </c>
      <c r="J1537" s="79">
        <v>833.79</v>
      </c>
      <c r="K1537" s="79">
        <v>0</v>
      </c>
      <c r="L1537" s="70">
        <v>833.79</v>
      </c>
      <c r="M1537" s="132"/>
      <c r="N1537" s="79">
        <v>682.75</v>
      </c>
      <c r="O1537" s="79">
        <v>151.04000000000002</v>
      </c>
      <c r="P1537" s="79">
        <v>833.79</v>
      </c>
      <c r="Q1537" s="136"/>
      <c r="R1537" s="79">
        <v>682.75</v>
      </c>
      <c r="S1537" s="79">
        <v>151.05000000000001</v>
      </c>
      <c r="T1537" s="79">
        <v>833.8</v>
      </c>
      <c r="U1537" s="79">
        <v>0</v>
      </c>
      <c r="V1537" s="189">
        <v>833.8</v>
      </c>
      <c r="X1537" s="79">
        <v>682.75</v>
      </c>
      <c r="Y1537" s="79">
        <v>151.05000000000001</v>
      </c>
      <c r="Z1537" s="79">
        <v>833.8</v>
      </c>
      <c r="AA1537" s="255">
        <v>-9.9999999999909051E-3</v>
      </c>
      <c r="AC1537" s="254"/>
    </row>
    <row r="1538" spans="1:31" ht="12">
      <c r="A1538" s="67" t="s">
        <v>13471</v>
      </c>
      <c r="B1538" s="65" t="s">
        <v>13472</v>
      </c>
      <c r="C1538" s="71" t="s">
        <v>103</v>
      </c>
      <c r="D1538" s="78">
        <v>1</v>
      </c>
      <c r="E1538" s="79">
        <v>206.64000000000001</v>
      </c>
      <c r="F1538" s="70">
        <v>206.64</v>
      </c>
      <c r="G1538" s="320"/>
      <c r="H1538" s="79">
        <v>178.11</v>
      </c>
      <c r="I1538" s="79">
        <v>28.53</v>
      </c>
      <c r="J1538" s="79">
        <v>206.64000000000001</v>
      </c>
      <c r="K1538" s="79">
        <v>0</v>
      </c>
      <c r="L1538" s="70">
        <v>206.64000000000001</v>
      </c>
      <c r="M1538" s="132"/>
      <c r="N1538" s="79">
        <v>178.11</v>
      </c>
      <c r="O1538" s="79">
        <v>28.53</v>
      </c>
      <c r="P1538" s="79">
        <v>206.64000000000001</v>
      </c>
      <c r="Q1538" s="136"/>
      <c r="R1538" s="79">
        <v>178.11</v>
      </c>
      <c r="S1538" s="79">
        <v>28.52</v>
      </c>
      <c r="T1538" s="79">
        <v>206.63000000000002</v>
      </c>
      <c r="U1538" s="79">
        <v>0</v>
      </c>
      <c r="V1538" s="189">
        <v>206.63000000000002</v>
      </c>
      <c r="X1538" s="79">
        <v>178.11</v>
      </c>
      <c r="Y1538" s="79">
        <v>28.52</v>
      </c>
      <c r="Z1538" s="79">
        <v>206.63</v>
      </c>
      <c r="AA1538" s="255">
        <v>9.9999999999909051E-3</v>
      </c>
      <c r="AC1538" s="254"/>
      <c r="AD1538" s="61"/>
      <c r="AE1538" s="61"/>
    </row>
    <row r="1539" spans="1:31" ht="12">
      <c r="A1539" s="67" t="s">
        <v>13473</v>
      </c>
      <c r="B1539" s="65" t="s">
        <v>1793</v>
      </c>
      <c r="C1539" s="71" t="s">
        <v>396</v>
      </c>
      <c r="D1539" s="78">
        <v>1</v>
      </c>
      <c r="E1539" s="79">
        <v>4571.72</v>
      </c>
      <c r="F1539" s="70">
        <v>4571.72</v>
      </c>
      <c r="G1539" s="320"/>
      <c r="H1539" s="79">
        <v>4395.41</v>
      </c>
      <c r="I1539" s="79">
        <v>176.31</v>
      </c>
      <c r="J1539" s="79">
        <v>4571.72</v>
      </c>
      <c r="K1539" s="79">
        <v>0</v>
      </c>
      <c r="L1539" s="70">
        <v>4571.72</v>
      </c>
      <c r="M1539" s="132"/>
      <c r="N1539" s="79">
        <v>4395.41</v>
      </c>
      <c r="O1539" s="79">
        <v>176.31</v>
      </c>
      <c r="P1539" s="79">
        <v>4571.72</v>
      </c>
      <c r="Q1539" s="136"/>
      <c r="R1539" s="79">
        <v>4395.41</v>
      </c>
      <c r="S1539" s="79">
        <v>176.31</v>
      </c>
      <c r="T1539" s="79">
        <v>4571.72</v>
      </c>
      <c r="U1539" s="79">
        <v>0</v>
      </c>
      <c r="V1539" s="189">
        <v>4571.72</v>
      </c>
      <c r="X1539" s="79">
        <v>4395.41</v>
      </c>
      <c r="Y1539" s="79">
        <v>176.31</v>
      </c>
      <c r="Z1539" s="79">
        <v>4571.72</v>
      </c>
      <c r="AA1539" s="255">
        <v>0</v>
      </c>
      <c r="AC1539" s="254"/>
      <c r="AD1539" s="61"/>
      <c r="AE1539" s="61"/>
    </row>
    <row r="1540" spans="1:31" s="61" customFormat="1" ht="12">
      <c r="A1540" s="67" t="s">
        <v>13474</v>
      </c>
      <c r="B1540" s="65" t="s">
        <v>13475</v>
      </c>
      <c r="C1540" s="71" t="s">
        <v>103</v>
      </c>
      <c r="D1540" s="78">
        <v>1</v>
      </c>
      <c r="E1540" s="79">
        <v>486.60999999999996</v>
      </c>
      <c r="F1540" s="70">
        <v>486.61</v>
      </c>
      <c r="G1540" s="320"/>
      <c r="H1540" s="79">
        <v>427.84</v>
      </c>
      <c r="I1540" s="79">
        <v>58.77</v>
      </c>
      <c r="J1540" s="79">
        <v>486.60999999999996</v>
      </c>
      <c r="K1540" s="79">
        <v>0</v>
      </c>
      <c r="L1540" s="70">
        <v>486.60999999999996</v>
      </c>
      <c r="M1540" s="132"/>
      <c r="N1540" s="79">
        <v>427.84</v>
      </c>
      <c r="O1540" s="79">
        <v>58.77</v>
      </c>
      <c r="P1540" s="79">
        <v>486.60999999999996</v>
      </c>
      <c r="Q1540" s="136"/>
      <c r="R1540" s="79">
        <v>427.84</v>
      </c>
      <c r="S1540" s="79">
        <v>58.77</v>
      </c>
      <c r="T1540" s="79">
        <v>486.60999999999996</v>
      </c>
      <c r="U1540" s="79">
        <v>0</v>
      </c>
      <c r="V1540" s="189">
        <v>486.60999999999996</v>
      </c>
      <c r="X1540" s="79">
        <v>427.84</v>
      </c>
      <c r="Y1540" s="79">
        <v>58.77</v>
      </c>
      <c r="Z1540" s="79">
        <v>486.61</v>
      </c>
      <c r="AA1540" s="255">
        <v>0</v>
      </c>
      <c r="AC1540" s="254"/>
      <c r="AD1540" s="236"/>
      <c r="AE1540" s="236"/>
    </row>
    <row r="1541" spans="1:31" s="61" customFormat="1" ht="12">
      <c r="A1541" s="67" t="s">
        <v>13476</v>
      </c>
      <c r="B1541" s="65" t="s">
        <v>13477</v>
      </c>
      <c r="C1541" s="71" t="s">
        <v>103</v>
      </c>
      <c r="D1541" s="78">
        <v>1</v>
      </c>
      <c r="E1541" s="79">
        <v>258.3</v>
      </c>
      <c r="F1541" s="70">
        <v>258.3</v>
      </c>
      <c r="G1541" s="320"/>
      <c r="H1541" s="79">
        <v>214.23</v>
      </c>
      <c r="I1541" s="79">
        <v>44.07</v>
      </c>
      <c r="J1541" s="79">
        <v>258.3</v>
      </c>
      <c r="K1541" s="79">
        <v>0</v>
      </c>
      <c r="L1541" s="70">
        <v>258.3</v>
      </c>
      <c r="M1541" s="132"/>
      <c r="N1541" s="79">
        <v>214.23</v>
      </c>
      <c r="O1541" s="79">
        <v>44.07</v>
      </c>
      <c r="P1541" s="79">
        <v>258.3</v>
      </c>
      <c r="Q1541" s="136"/>
      <c r="R1541" s="79">
        <v>214.23</v>
      </c>
      <c r="S1541" s="79">
        <v>44.08</v>
      </c>
      <c r="T1541" s="79">
        <v>258.31</v>
      </c>
      <c r="U1541" s="79">
        <v>0</v>
      </c>
      <c r="V1541" s="189">
        <v>258.31</v>
      </c>
      <c r="X1541" s="79">
        <v>214.23</v>
      </c>
      <c r="Y1541" s="79">
        <v>44.08</v>
      </c>
      <c r="Z1541" s="79">
        <v>258.31</v>
      </c>
      <c r="AA1541" s="255">
        <v>-9.9999999999909051E-3</v>
      </c>
      <c r="AC1541" s="254"/>
      <c r="AD1541" s="236"/>
      <c r="AE1541" s="236"/>
    </row>
    <row r="1542" spans="1:31" ht="12">
      <c r="A1542" s="67" t="s">
        <v>13478</v>
      </c>
      <c r="B1542" s="65" t="s">
        <v>13479</v>
      </c>
      <c r="C1542" s="71" t="s">
        <v>103</v>
      </c>
      <c r="D1542" s="78">
        <v>1</v>
      </c>
      <c r="E1542" s="79">
        <v>115.08</v>
      </c>
      <c r="F1542" s="70">
        <v>115.08</v>
      </c>
      <c r="G1542" s="320"/>
      <c r="H1542" s="79">
        <v>105.08</v>
      </c>
      <c r="I1542" s="79">
        <v>10</v>
      </c>
      <c r="J1542" s="79">
        <v>115.08</v>
      </c>
      <c r="K1542" s="79">
        <v>0</v>
      </c>
      <c r="L1542" s="70">
        <v>115.08</v>
      </c>
      <c r="M1542" s="132"/>
      <c r="N1542" s="79">
        <v>105.08</v>
      </c>
      <c r="O1542" s="79">
        <v>10</v>
      </c>
      <c r="P1542" s="79">
        <v>115.08</v>
      </c>
      <c r="Q1542" s="136"/>
      <c r="R1542" s="79">
        <v>105.08</v>
      </c>
      <c r="S1542" s="79">
        <v>9.99</v>
      </c>
      <c r="T1542" s="79">
        <v>115.07</v>
      </c>
      <c r="U1542" s="79">
        <v>0</v>
      </c>
      <c r="V1542" s="189">
        <v>115.07</v>
      </c>
      <c r="X1542" s="79">
        <v>105.08</v>
      </c>
      <c r="Y1542" s="79">
        <v>9.99</v>
      </c>
      <c r="Z1542" s="79">
        <v>115.07</v>
      </c>
      <c r="AA1542" s="255">
        <v>1.0000000000005116E-2</v>
      </c>
      <c r="AC1542" s="254"/>
    </row>
    <row r="1543" spans="1:31" ht="12">
      <c r="A1543" s="67" t="s">
        <v>13480</v>
      </c>
      <c r="B1543" s="65" t="s">
        <v>13481</v>
      </c>
      <c r="C1543" s="71" t="s">
        <v>103</v>
      </c>
      <c r="D1543" s="78">
        <v>1</v>
      </c>
      <c r="E1543" s="79">
        <v>82.63</v>
      </c>
      <c r="F1543" s="70">
        <v>82.63</v>
      </c>
      <c r="G1543" s="320"/>
      <c r="H1543" s="79">
        <v>72.63</v>
      </c>
      <c r="I1543" s="79">
        <v>10</v>
      </c>
      <c r="J1543" s="79">
        <v>82.63</v>
      </c>
      <c r="K1543" s="79">
        <v>0</v>
      </c>
      <c r="L1543" s="70">
        <v>82.63</v>
      </c>
      <c r="M1543" s="132"/>
      <c r="N1543" s="79">
        <v>72.63</v>
      </c>
      <c r="O1543" s="79">
        <v>10</v>
      </c>
      <c r="P1543" s="79">
        <v>82.63</v>
      </c>
      <c r="Q1543" s="136"/>
      <c r="R1543" s="79">
        <v>72.63</v>
      </c>
      <c r="S1543" s="79">
        <v>9.99</v>
      </c>
      <c r="T1543" s="79">
        <v>82.61999999999999</v>
      </c>
      <c r="U1543" s="79">
        <v>0</v>
      </c>
      <c r="V1543" s="189">
        <v>82.61999999999999</v>
      </c>
      <c r="X1543" s="79">
        <v>72.63</v>
      </c>
      <c r="Y1543" s="79">
        <v>9.99</v>
      </c>
      <c r="Z1543" s="79">
        <v>82.62</v>
      </c>
      <c r="AA1543" s="255">
        <v>9.9999999999909051E-3</v>
      </c>
      <c r="AC1543" s="254"/>
    </row>
    <row r="1544" spans="1:31" ht="12">
      <c r="A1544" s="67" t="s">
        <v>13482</v>
      </c>
      <c r="B1544" s="65" t="s">
        <v>13483</v>
      </c>
      <c r="C1544" s="71" t="s">
        <v>103</v>
      </c>
      <c r="D1544" s="78">
        <v>1</v>
      </c>
      <c r="E1544" s="79">
        <v>184.52</v>
      </c>
      <c r="F1544" s="70">
        <v>184.52</v>
      </c>
      <c r="G1544" s="320"/>
      <c r="H1544" s="79">
        <v>174.52</v>
      </c>
      <c r="I1544" s="79">
        <v>10</v>
      </c>
      <c r="J1544" s="79">
        <v>184.52</v>
      </c>
      <c r="K1544" s="79">
        <v>0</v>
      </c>
      <c r="L1544" s="70">
        <v>184.52</v>
      </c>
      <c r="M1544" s="132"/>
      <c r="N1544" s="79">
        <v>174.52</v>
      </c>
      <c r="O1544" s="79">
        <v>10</v>
      </c>
      <c r="P1544" s="79">
        <v>184.52</v>
      </c>
      <c r="Q1544" s="136"/>
      <c r="R1544" s="79">
        <v>174.52</v>
      </c>
      <c r="S1544" s="79">
        <v>9.99</v>
      </c>
      <c r="T1544" s="79">
        <v>184.51000000000002</v>
      </c>
      <c r="U1544" s="79">
        <v>0</v>
      </c>
      <c r="V1544" s="189">
        <v>184.51000000000002</v>
      </c>
      <c r="X1544" s="79">
        <v>174.52</v>
      </c>
      <c r="Y1544" s="79">
        <v>9.99</v>
      </c>
      <c r="Z1544" s="79">
        <v>184.51</v>
      </c>
      <c r="AA1544" s="255">
        <v>1.0000000000019327E-2</v>
      </c>
      <c r="AC1544" s="254"/>
    </row>
    <row r="1545" spans="1:31" ht="12">
      <c r="A1545" s="67" t="s">
        <v>13484</v>
      </c>
      <c r="B1545" s="65" t="s">
        <v>13485</v>
      </c>
      <c r="C1545" s="71" t="s">
        <v>396</v>
      </c>
      <c r="D1545" s="78">
        <v>1</v>
      </c>
      <c r="E1545" s="79">
        <v>34.78</v>
      </c>
      <c r="F1545" s="70">
        <v>34.78</v>
      </c>
      <c r="G1545" s="320"/>
      <c r="H1545" s="79">
        <v>26.22</v>
      </c>
      <c r="I1545" s="79">
        <v>8.5599999999999987</v>
      </c>
      <c r="J1545" s="79">
        <v>34.78</v>
      </c>
      <c r="K1545" s="79">
        <v>0</v>
      </c>
      <c r="L1545" s="70">
        <v>34.78</v>
      </c>
      <c r="M1545" s="132"/>
      <c r="N1545" s="79">
        <v>26.22</v>
      </c>
      <c r="O1545" s="79">
        <v>8.5599999999999987</v>
      </c>
      <c r="P1545" s="79">
        <v>34.78</v>
      </c>
      <c r="Q1545" s="136"/>
      <c r="R1545" s="79">
        <v>26.22</v>
      </c>
      <c r="S1545" s="79">
        <v>8.56</v>
      </c>
      <c r="T1545" s="79">
        <v>34.78</v>
      </c>
      <c r="U1545" s="79">
        <v>0</v>
      </c>
      <c r="V1545" s="189">
        <v>34.78</v>
      </c>
      <c r="X1545" s="79">
        <v>26.22</v>
      </c>
      <c r="Y1545" s="79">
        <v>8.56</v>
      </c>
      <c r="Z1545" s="79">
        <v>34.78</v>
      </c>
      <c r="AA1545" s="255">
        <v>0</v>
      </c>
      <c r="AC1545" s="254"/>
    </row>
    <row r="1546" spans="1:31" ht="12">
      <c r="A1546" s="67" t="s">
        <v>13486</v>
      </c>
      <c r="B1546" s="65" t="s">
        <v>13487</v>
      </c>
      <c r="C1546" s="71" t="s">
        <v>103</v>
      </c>
      <c r="D1546" s="78">
        <v>1</v>
      </c>
      <c r="E1546" s="79">
        <v>49.81</v>
      </c>
      <c r="F1546" s="70">
        <v>49.81</v>
      </c>
      <c r="G1546" s="320"/>
      <c r="H1546" s="79">
        <v>41.25</v>
      </c>
      <c r="I1546" s="79">
        <v>8.5599999999999987</v>
      </c>
      <c r="J1546" s="79">
        <v>49.81</v>
      </c>
      <c r="K1546" s="79">
        <v>0</v>
      </c>
      <c r="L1546" s="70">
        <v>49.81</v>
      </c>
      <c r="M1546" s="132"/>
      <c r="N1546" s="79">
        <v>41.25</v>
      </c>
      <c r="O1546" s="79">
        <v>8.5599999999999987</v>
      </c>
      <c r="P1546" s="79">
        <v>49.81</v>
      </c>
      <c r="Q1546" s="136"/>
      <c r="R1546" s="79">
        <v>41.25</v>
      </c>
      <c r="S1546" s="79">
        <v>8.56</v>
      </c>
      <c r="T1546" s="79">
        <v>49.81</v>
      </c>
      <c r="U1546" s="79">
        <v>0</v>
      </c>
      <c r="V1546" s="189">
        <v>49.81</v>
      </c>
      <c r="X1546" s="79">
        <v>41.25</v>
      </c>
      <c r="Y1546" s="79">
        <v>8.56</v>
      </c>
      <c r="Z1546" s="79">
        <v>49.81</v>
      </c>
      <c r="AA1546" s="255">
        <v>0</v>
      </c>
      <c r="AC1546" s="254"/>
    </row>
    <row r="1547" spans="1:31" ht="12">
      <c r="A1547" s="67" t="s">
        <v>13488</v>
      </c>
      <c r="B1547" s="65" t="s">
        <v>13489</v>
      </c>
      <c r="C1547" s="71" t="s">
        <v>103</v>
      </c>
      <c r="D1547" s="78">
        <v>1</v>
      </c>
      <c r="E1547" s="79">
        <v>108.28</v>
      </c>
      <c r="F1547" s="70">
        <v>108.28</v>
      </c>
      <c r="G1547" s="320"/>
      <c r="H1547" s="79">
        <v>99.72</v>
      </c>
      <c r="I1547" s="79">
        <v>8.5599999999999987</v>
      </c>
      <c r="J1547" s="79">
        <v>108.28</v>
      </c>
      <c r="K1547" s="79">
        <v>0</v>
      </c>
      <c r="L1547" s="70">
        <v>108.28</v>
      </c>
      <c r="M1547" s="132"/>
      <c r="N1547" s="79">
        <v>99.72</v>
      </c>
      <c r="O1547" s="79">
        <v>8.5599999999999987</v>
      </c>
      <c r="P1547" s="79">
        <v>108.28</v>
      </c>
      <c r="Q1547" s="136"/>
      <c r="R1547" s="79">
        <v>99.72</v>
      </c>
      <c r="S1547" s="79">
        <v>8.56</v>
      </c>
      <c r="T1547" s="79">
        <v>108.28</v>
      </c>
      <c r="U1547" s="79">
        <v>0</v>
      </c>
      <c r="V1547" s="189">
        <v>108.28</v>
      </c>
      <c r="X1547" s="79">
        <v>99.72</v>
      </c>
      <c r="Y1547" s="79">
        <v>8.56</v>
      </c>
      <c r="Z1547" s="79">
        <v>108.28</v>
      </c>
      <c r="AA1547" s="255">
        <v>0</v>
      </c>
      <c r="AC1547" s="254"/>
    </row>
    <row r="1548" spans="1:31" ht="12">
      <c r="A1548" s="67" t="s">
        <v>13490</v>
      </c>
      <c r="B1548" s="65" t="s">
        <v>13491</v>
      </c>
      <c r="C1548" s="71" t="s">
        <v>396</v>
      </c>
      <c r="D1548" s="78">
        <v>1</v>
      </c>
      <c r="E1548" s="79">
        <v>247.4</v>
      </c>
      <c r="F1548" s="70">
        <v>247.4</v>
      </c>
      <c r="G1548" s="320"/>
      <c r="H1548" s="79">
        <v>229.28</v>
      </c>
      <c r="I1548" s="79">
        <v>18.12</v>
      </c>
      <c r="J1548" s="79">
        <v>247.4</v>
      </c>
      <c r="K1548" s="79">
        <v>0</v>
      </c>
      <c r="L1548" s="70">
        <v>247.4</v>
      </c>
      <c r="M1548" s="132"/>
      <c r="N1548" s="79">
        <v>229.28</v>
      </c>
      <c r="O1548" s="79">
        <v>18.12</v>
      </c>
      <c r="P1548" s="79">
        <v>247.4</v>
      </c>
      <c r="Q1548" s="136"/>
      <c r="R1548" s="79">
        <v>229.28</v>
      </c>
      <c r="S1548" s="79">
        <v>18.13</v>
      </c>
      <c r="T1548" s="79">
        <v>247.41</v>
      </c>
      <c r="U1548" s="79">
        <v>0</v>
      </c>
      <c r="V1548" s="189">
        <v>247.41</v>
      </c>
      <c r="X1548" s="79">
        <v>229.28</v>
      </c>
      <c r="Y1548" s="79">
        <v>18.13</v>
      </c>
      <c r="Z1548" s="79">
        <v>247.41</v>
      </c>
      <c r="AA1548" s="255">
        <v>-9.9999999999909051E-3</v>
      </c>
      <c r="AC1548" s="254"/>
    </row>
    <row r="1549" spans="1:31" ht="12">
      <c r="A1549" s="67" t="s">
        <v>13492</v>
      </c>
      <c r="B1549" s="65" t="s">
        <v>13493</v>
      </c>
      <c r="C1549" s="71" t="s">
        <v>103</v>
      </c>
      <c r="D1549" s="78">
        <v>1</v>
      </c>
      <c r="E1549" s="79">
        <v>82.69</v>
      </c>
      <c r="F1549" s="70">
        <v>82.69</v>
      </c>
      <c r="G1549" s="320"/>
      <c r="H1549" s="79">
        <v>72.69</v>
      </c>
      <c r="I1549" s="79">
        <v>10</v>
      </c>
      <c r="J1549" s="79">
        <v>82.69</v>
      </c>
      <c r="K1549" s="79">
        <v>0</v>
      </c>
      <c r="L1549" s="70">
        <v>82.69</v>
      </c>
      <c r="M1549" s="132"/>
      <c r="N1549" s="79">
        <v>72.69</v>
      </c>
      <c r="O1549" s="79">
        <v>10</v>
      </c>
      <c r="P1549" s="79">
        <v>82.69</v>
      </c>
      <c r="Q1549" s="136"/>
      <c r="R1549" s="79">
        <v>72.69</v>
      </c>
      <c r="S1549" s="79">
        <v>9.99</v>
      </c>
      <c r="T1549" s="79">
        <v>82.679999999999993</v>
      </c>
      <c r="U1549" s="79">
        <v>0</v>
      </c>
      <c r="V1549" s="189">
        <v>82.679999999999993</v>
      </c>
      <c r="X1549" s="79">
        <v>72.69</v>
      </c>
      <c r="Y1549" s="79">
        <v>9.99</v>
      </c>
      <c r="Z1549" s="79">
        <v>82.68</v>
      </c>
      <c r="AA1549" s="255">
        <v>9.9999999999909051E-3</v>
      </c>
      <c r="AC1549" s="254"/>
    </row>
    <row r="1550" spans="1:31" ht="12">
      <c r="A1550" s="67" t="s">
        <v>13494</v>
      </c>
      <c r="B1550" s="65" t="s">
        <v>13495</v>
      </c>
      <c r="C1550" s="71" t="s">
        <v>103</v>
      </c>
      <c r="D1550" s="78">
        <v>1</v>
      </c>
      <c r="E1550" s="79">
        <v>99.42</v>
      </c>
      <c r="F1550" s="70">
        <v>99.42</v>
      </c>
      <c r="G1550" s="320"/>
      <c r="H1550" s="79">
        <v>89.42</v>
      </c>
      <c r="I1550" s="79">
        <v>10</v>
      </c>
      <c r="J1550" s="79">
        <v>99.42</v>
      </c>
      <c r="K1550" s="79">
        <v>0</v>
      </c>
      <c r="L1550" s="70">
        <v>99.42</v>
      </c>
      <c r="M1550" s="132"/>
      <c r="N1550" s="79">
        <v>89.42</v>
      </c>
      <c r="O1550" s="79">
        <v>10</v>
      </c>
      <c r="P1550" s="79">
        <v>99.42</v>
      </c>
      <c r="Q1550" s="136"/>
      <c r="R1550" s="79">
        <v>89.42</v>
      </c>
      <c r="S1550" s="79">
        <v>9.99</v>
      </c>
      <c r="T1550" s="79">
        <v>99.41</v>
      </c>
      <c r="U1550" s="79">
        <v>0</v>
      </c>
      <c r="V1550" s="189">
        <v>99.41</v>
      </c>
      <c r="X1550" s="79">
        <v>89.42</v>
      </c>
      <c r="Y1550" s="79">
        <v>9.99</v>
      </c>
      <c r="Z1550" s="79">
        <v>99.41</v>
      </c>
      <c r="AA1550" s="255">
        <v>1.0000000000005116E-2</v>
      </c>
      <c r="AC1550" s="254"/>
    </row>
    <row r="1551" spans="1:31" ht="12">
      <c r="A1551" s="67" t="s">
        <v>13496</v>
      </c>
      <c r="B1551" s="65" t="s">
        <v>13497</v>
      </c>
      <c r="C1551" s="71" t="s">
        <v>103</v>
      </c>
      <c r="D1551" s="78">
        <v>1</v>
      </c>
      <c r="E1551" s="79">
        <v>198.08</v>
      </c>
      <c r="F1551" s="70">
        <v>198.08</v>
      </c>
      <c r="G1551" s="320"/>
      <c r="H1551" s="79">
        <v>190.87</v>
      </c>
      <c r="I1551" s="79">
        <v>7.21</v>
      </c>
      <c r="J1551" s="79">
        <v>198.08</v>
      </c>
      <c r="K1551" s="79">
        <v>0</v>
      </c>
      <c r="L1551" s="70">
        <v>198.08</v>
      </c>
      <c r="M1551" s="132"/>
      <c r="N1551" s="79">
        <v>190.87</v>
      </c>
      <c r="O1551" s="79">
        <v>7.21</v>
      </c>
      <c r="P1551" s="79">
        <v>198.08</v>
      </c>
      <c r="Q1551" s="136"/>
      <c r="R1551" s="79">
        <v>190.87</v>
      </c>
      <c r="S1551" s="79">
        <v>7.21</v>
      </c>
      <c r="T1551" s="79">
        <v>198.08</v>
      </c>
      <c r="U1551" s="79">
        <v>0</v>
      </c>
      <c r="V1551" s="189">
        <v>198.08</v>
      </c>
      <c r="X1551" s="79">
        <v>190.87</v>
      </c>
      <c r="Y1551" s="79">
        <v>7.21</v>
      </c>
      <c r="Z1551" s="79">
        <v>198.08</v>
      </c>
      <c r="AA1551" s="255">
        <v>0</v>
      </c>
      <c r="AC1551" s="254"/>
    </row>
    <row r="1552" spans="1:31" ht="12">
      <c r="A1552" s="67" t="s">
        <v>13498</v>
      </c>
      <c r="B1552" s="65" t="s">
        <v>13499</v>
      </c>
      <c r="C1552" s="71" t="s">
        <v>103</v>
      </c>
      <c r="D1552" s="78">
        <v>1</v>
      </c>
      <c r="E1552" s="79">
        <v>227.04</v>
      </c>
      <c r="F1552" s="70">
        <v>227.04</v>
      </c>
      <c r="G1552" s="320"/>
      <c r="H1552" s="79">
        <v>217.04</v>
      </c>
      <c r="I1552" s="79">
        <v>10</v>
      </c>
      <c r="J1552" s="79">
        <v>227.04</v>
      </c>
      <c r="K1552" s="79">
        <v>0</v>
      </c>
      <c r="L1552" s="70">
        <v>227.04</v>
      </c>
      <c r="M1552" s="132"/>
      <c r="N1552" s="79">
        <v>217.04</v>
      </c>
      <c r="O1552" s="79">
        <v>10</v>
      </c>
      <c r="P1552" s="79">
        <v>227.04</v>
      </c>
      <c r="Q1552" s="136"/>
      <c r="R1552" s="79">
        <v>217.04</v>
      </c>
      <c r="S1552" s="79">
        <v>9.99</v>
      </c>
      <c r="T1552" s="79">
        <v>227.03</v>
      </c>
      <c r="U1552" s="79">
        <v>0</v>
      </c>
      <c r="V1552" s="189">
        <v>227.03</v>
      </c>
      <c r="X1552" s="79">
        <v>217.04</v>
      </c>
      <c r="Y1552" s="79">
        <v>9.99</v>
      </c>
      <c r="Z1552" s="79">
        <v>227.03</v>
      </c>
      <c r="AA1552" s="255">
        <v>9.9999999999909051E-3</v>
      </c>
      <c r="AC1552" s="254"/>
    </row>
    <row r="1553" spans="1:31" ht="12">
      <c r="A1553" s="67" t="s">
        <v>13500</v>
      </c>
      <c r="B1553" s="65" t="s">
        <v>13501</v>
      </c>
      <c r="C1553" s="71" t="s">
        <v>103</v>
      </c>
      <c r="D1553" s="78">
        <v>1</v>
      </c>
      <c r="E1553" s="79">
        <v>721.08999999999992</v>
      </c>
      <c r="F1553" s="70">
        <v>721.09</v>
      </c>
      <c r="G1553" s="320"/>
      <c r="H1553" s="79">
        <v>632.91999999999996</v>
      </c>
      <c r="I1553" s="79">
        <v>88.169999999999987</v>
      </c>
      <c r="J1553" s="79">
        <v>721.08999999999992</v>
      </c>
      <c r="K1553" s="79">
        <v>0</v>
      </c>
      <c r="L1553" s="70">
        <v>721.08999999999992</v>
      </c>
      <c r="M1553" s="132"/>
      <c r="N1553" s="79">
        <v>632.91999999999996</v>
      </c>
      <c r="O1553" s="79">
        <v>88.169999999999987</v>
      </c>
      <c r="P1553" s="79">
        <v>721.08999999999992</v>
      </c>
      <c r="Q1553" s="136"/>
      <c r="R1553" s="79">
        <v>632.91999999999996</v>
      </c>
      <c r="S1553" s="79">
        <v>88.16</v>
      </c>
      <c r="T1553" s="79">
        <v>721.07999999999993</v>
      </c>
      <c r="U1553" s="79">
        <v>0</v>
      </c>
      <c r="V1553" s="189">
        <v>721.07999999999993</v>
      </c>
      <c r="X1553" s="79">
        <v>632.91999999999996</v>
      </c>
      <c r="Y1553" s="79">
        <v>88.16</v>
      </c>
      <c r="Z1553" s="79">
        <v>721.08</v>
      </c>
      <c r="AA1553" s="255">
        <v>9.9999999999909051E-3</v>
      </c>
      <c r="AC1553" s="254"/>
    </row>
    <row r="1554" spans="1:31" ht="12">
      <c r="A1554" s="67" t="s">
        <v>13502</v>
      </c>
      <c r="B1554" s="65" t="s">
        <v>13503</v>
      </c>
      <c r="C1554" s="71" t="s">
        <v>103</v>
      </c>
      <c r="D1554" s="78">
        <v>1</v>
      </c>
      <c r="E1554" s="79">
        <v>255.33999999999997</v>
      </c>
      <c r="F1554" s="70">
        <v>255.34</v>
      </c>
      <c r="G1554" s="320"/>
      <c r="H1554" s="79">
        <v>167.17</v>
      </c>
      <c r="I1554" s="79">
        <v>88.169999999999987</v>
      </c>
      <c r="J1554" s="79">
        <v>255.33999999999997</v>
      </c>
      <c r="K1554" s="79">
        <v>0</v>
      </c>
      <c r="L1554" s="70">
        <v>255.33999999999997</v>
      </c>
      <c r="M1554" s="132"/>
      <c r="N1554" s="79">
        <v>167.17</v>
      </c>
      <c r="O1554" s="79">
        <v>88.169999999999987</v>
      </c>
      <c r="P1554" s="79">
        <v>255.33999999999997</v>
      </c>
      <c r="Q1554" s="136"/>
      <c r="R1554" s="79">
        <v>167.17</v>
      </c>
      <c r="S1554" s="79">
        <v>88.16</v>
      </c>
      <c r="T1554" s="79">
        <v>255.32999999999998</v>
      </c>
      <c r="U1554" s="79">
        <v>0</v>
      </c>
      <c r="V1554" s="189">
        <v>255.32999999999998</v>
      </c>
      <c r="X1554" s="79">
        <v>167.17</v>
      </c>
      <c r="Y1554" s="79">
        <v>88.16</v>
      </c>
      <c r="Z1554" s="79">
        <v>255.33</v>
      </c>
      <c r="AA1554" s="255">
        <v>9.9999999999909051E-3</v>
      </c>
      <c r="AC1554" s="254"/>
    </row>
    <row r="1555" spans="1:31" ht="12">
      <c r="A1555" s="67" t="s">
        <v>13504</v>
      </c>
      <c r="B1555" s="65" t="s">
        <v>13505</v>
      </c>
      <c r="C1555" s="71" t="s">
        <v>103</v>
      </c>
      <c r="D1555" s="78">
        <v>1</v>
      </c>
      <c r="E1555" s="79">
        <v>79.120000000000019</v>
      </c>
      <c r="F1555" s="70">
        <v>79.12</v>
      </c>
      <c r="G1555" s="320"/>
      <c r="H1555" s="79">
        <v>22.090000000000003</v>
      </c>
      <c r="I1555" s="79">
        <v>57.03</v>
      </c>
      <c r="J1555" s="79">
        <v>79.12</v>
      </c>
      <c r="K1555" s="79">
        <v>0</v>
      </c>
      <c r="L1555" s="70">
        <v>79.12</v>
      </c>
      <c r="M1555" s="132"/>
      <c r="N1555" s="79">
        <v>22.090000000000003</v>
      </c>
      <c r="O1555" s="79">
        <v>57.03</v>
      </c>
      <c r="P1555" s="79">
        <v>79.12</v>
      </c>
      <c r="Q1555" s="136"/>
      <c r="R1555" s="79">
        <v>22.09</v>
      </c>
      <c r="S1555" s="79">
        <v>57.03</v>
      </c>
      <c r="T1555" s="79">
        <v>79.12</v>
      </c>
      <c r="U1555" s="79">
        <v>0</v>
      </c>
      <c r="V1555" s="189">
        <v>79.12</v>
      </c>
      <c r="X1555" s="79">
        <v>22.09</v>
      </c>
      <c r="Y1555" s="79">
        <v>57.03</v>
      </c>
      <c r="Z1555" s="79">
        <v>79.12</v>
      </c>
      <c r="AA1555" s="255">
        <v>0</v>
      </c>
      <c r="AC1555" s="254"/>
    </row>
    <row r="1556" spans="1:31" ht="12">
      <c r="A1556" s="67" t="s">
        <v>13506</v>
      </c>
      <c r="B1556" s="65" t="s">
        <v>13507</v>
      </c>
      <c r="C1556" s="71" t="s">
        <v>103</v>
      </c>
      <c r="D1556" s="78">
        <v>1</v>
      </c>
      <c r="E1556" s="79">
        <v>58.9</v>
      </c>
      <c r="F1556" s="70">
        <v>58.9</v>
      </c>
      <c r="G1556" s="320"/>
      <c r="H1556" s="79">
        <v>48.9</v>
      </c>
      <c r="I1556" s="79">
        <v>10</v>
      </c>
      <c r="J1556" s="79">
        <v>58.9</v>
      </c>
      <c r="K1556" s="79">
        <v>0</v>
      </c>
      <c r="L1556" s="70">
        <v>58.9</v>
      </c>
      <c r="M1556" s="132"/>
      <c r="N1556" s="79">
        <v>48.9</v>
      </c>
      <c r="O1556" s="79">
        <v>10</v>
      </c>
      <c r="P1556" s="79">
        <v>58.9</v>
      </c>
      <c r="Q1556" s="136"/>
      <c r="R1556" s="79">
        <v>48.9</v>
      </c>
      <c r="S1556" s="79">
        <v>9.99</v>
      </c>
      <c r="T1556" s="79">
        <v>58.89</v>
      </c>
      <c r="U1556" s="79">
        <v>0</v>
      </c>
      <c r="V1556" s="189">
        <v>58.89</v>
      </c>
      <c r="X1556" s="79">
        <v>48.9</v>
      </c>
      <c r="Y1556" s="79">
        <v>9.99</v>
      </c>
      <c r="Z1556" s="79">
        <v>58.89</v>
      </c>
      <c r="AA1556" s="255">
        <v>9.9999999999980105E-3</v>
      </c>
      <c r="AC1556" s="254"/>
    </row>
    <row r="1557" spans="1:31" ht="12">
      <c r="A1557" s="67" t="s">
        <v>13508</v>
      </c>
      <c r="B1557" s="65" t="s">
        <v>13509</v>
      </c>
      <c r="C1557" s="71" t="s">
        <v>103</v>
      </c>
      <c r="D1557" s="78">
        <v>1</v>
      </c>
      <c r="E1557" s="79">
        <v>14003.4</v>
      </c>
      <c r="F1557" s="70">
        <v>14003.4</v>
      </c>
      <c r="G1557" s="320"/>
      <c r="H1557" s="79">
        <v>14003.4</v>
      </c>
      <c r="I1557" s="79">
        <v>0</v>
      </c>
      <c r="J1557" s="79">
        <v>14003.4</v>
      </c>
      <c r="K1557" s="79">
        <v>0</v>
      </c>
      <c r="L1557" s="70">
        <v>14003.4</v>
      </c>
      <c r="M1557" s="132"/>
      <c r="N1557" s="78">
        <v>14003.4</v>
      </c>
      <c r="O1557" s="79"/>
      <c r="P1557" s="79">
        <v>14003.4</v>
      </c>
      <c r="Q1557" s="136"/>
      <c r="R1557" s="79">
        <v>14003.4</v>
      </c>
      <c r="S1557" s="79"/>
      <c r="T1557" s="79">
        <v>14003.4</v>
      </c>
      <c r="U1557" s="79">
        <v>0</v>
      </c>
      <c r="V1557" s="189">
        <v>14003.4</v>
      </c>
      <c r="X1557" s="78">
        <v>14003.4</v>
      </c>
      <c r="Y1557" s="78"/>
      <c r="Z1557" s="79">
        <v>14003.4</v>
      </c>
      <c r="AA1557" s="255">
        <v>0</v>
      </c>
      <c r="AC1557" s="254"/>
    </row>
    <row r="1558" spans="1:31" ht="12">
      <c r="A1558" s="67" t="s">
        <v>13510</v>
      </c>
      <c r="B1558" s="65" t="s">
        <v>13511</v>
      </c>
      <c r="C1558" s="71" t="s">
        <v>103</v>
      </c>
      <c r="D1558" s="78">
        <v>1</v>
      </c>
      <c r="E1558" s="79">
        <v>16635.88</v>
      </c>
      <c r="F1558" s="70">
        <v>16635.88</v>
      </c>
      <c r="G1558" s="320"/>
      <c r="H1558" s="79">
        <v>16635.88</v>
      </c>
      <c r="I1558" s="79">
        <v>0</v>
      </c>
      <c r="J1558" s="79">
        <v>16635.88</v>
      </c>
      <c r="K1558" s="79">
        <v>0</v>
      </c>
      <c r="L1558" s="70">
        <v>16635.88</v>
      </c>
      <c r="M1558" s="132"/>
      <c r="N1558" s="78">
        <v>16635.88</v>
      </c>
      <c r="O1558" s="79"/>
      <c r="P1558" s="79">
        <v>16635.88</v>
      </c>
      <c r="Q1558" s="136"/>
      <c r="R1558" s="79">
        <v>16635.88</v>
      </c>
      <c r="S1558" s="79"/>
      <c r="T1558" s="79">
        <v>16635.88</v>
      </c>
      <c r="U1558" s="79">
        <v>0</v>
      </c>
      <c r="V1558" s="189">
        <v>16635.88</v>
      </c>
      <c r="X1558" s="78">
        <v>16635.88</v>
      </c>
      <c r="Y1558" s="78"/>
      <c r="Z1558" s="79">
        <v>16635.88</v>
      </c>
      <c r="AA1558" s="255">
        <v>0</v>
      </c>
      <c r="AC1558" s="254"/>
    </row>
    <row r="1559" spans="1:31" ht="12">
      <c r="A1559" s="67" t="s">
        <v>13512</v>
      </c>
      <c r="B1559" s="65" t="s">
        <v>13513</v>
      </c>
      <c r="C1559" s="71" t="s">
        <v>396</v>
      </c>
      <c r="D1559" s="78">
        <v>1</v>
      </c>
      <c r="E1559" s="79">
        <v>596</v>
      </c>
      <c r="F1559" s="70">
        <v>596</v>
      </c>
      <c r="G1559" s="320"/>
      <c r="H1559" s="79">
        <v>478.46</v>
      </c>
      <c r="I1559" s="79">
        <v>117.54</v>
      </c>
      <c r="J1559" s="79">
        <v>596</v>
      </c>
      <c r="K1559" s="79">
        <v>0</v>
      </c>
      <c r="L1559" s="70">
        <v>596</v>
      </c>
      <c r="M1559" s="132"/>
      <c r="N1559" s="78">
        <v>478.46</v>
      </c>
      <c r="O1559" s="78">
        <v>117.54</v>
      </c>
      <c r="P1559" s="79">
        <v>596</v>
      </c>
      <c r="Q1559" s="136"/>
      <c r="R1559" s="79">
        <v>478.46</v>
      </c>
      <c r="S1559" s="79">
        <v>117.54</v>
      </c>
      <c r="T1559" s="79">
        <v>596</v>
      </c>
      <c r="U1559" s="79">
        <v>0</v>
      </c>
      <c r="V1559" s="189">
        <v>596</v>
      </c>
      <c r="X1559" s="78">
        <v>478.46</v>
      </c>
      <c r="Y1559" s="78">
        <v>117.54</v>
      </c>
      <c r="Z1559" s="79">
        <v>596</v>
      </c>
      <c r="AA1559" s="255">
        <v>0</v>
      </c>
      <c r="AC1559" s="254"/>
    </row>
    <row r="1560" spans="1:31" ht="12">
      <c r="A1560" s="67" t="s">
        <v>13514</v>
      </c>
      <c r="B1560" s="65" t="s">
        <v>13515</v>
      </c>
      <c r="C1560" s="71" t="s">
        <v>396</v>
      </c>
      <c r="D1560" s="78">
        <v>1</v>
      </c>
      <c r="E1560" s="79">
        <v>1456.03</v>
      </c>
      <c r="F1560" s="70">
        <v>1456.03</v>
      </c>
      <c r="G1560" s="320"/>
      <c r="H1560" s="79">
        <v>1220.95</v>
      </c>
      <c r="I1560" s="79">
        <v>235.08</v>
      </c>
      <c r="J1560" s="79">
        <v>1456.03</v>
      </c>
      <c r="K1560" s="79">
        <v>0</v>
      </c>
      <c r="L1560" s="70">
        <v>1456.03</v>
      </c>
      <c r="M1560" s="132"/>
      <c r="N1560" s="78">
        <v>1220.95</v>
      </c>
      <c r="O1560" s="78">
        <v>235.08</v>
      </c>
      <c r="P1560" s="79">
        <v>1456.03</v>
      </c>
      <c r="Q1560" s="136"/>
      <c r="R1560" s="79">
        <v>1220.95</v>
      </c>
      <c r="S1560" s="79">
        <v>235.08</v>
      </c>
      <c r="T1560" s="79">
        <v>1456.03</v>
      </c>
      <c r="U1560" s="79">
        <v>0</v>
      </c>
      <c r="V1560" s="189">
        <v>1456.03</v>
      </c>
      <c r="X1560" s="78">
        <v>1220.95</v>
      </c>
      <c r="Y1560" s="78">
        <v>235.08</v>
      </c>
      <c r="Z1560" s="79">
        <v>1456.03</v>
      </c>
      <c r="AA1560" s="255">
        <v>0</v>
      </c>
      <c r="AC1560" s="254"/>
    </row>
    <row r="1561" spans="1:31" ht="24">
      <c r="A1561" s="67" t="s">
        <v>13516</v>
      </c>
      <c r="B1561" s="65" t="s">
        <v>1368</v>
      </c>
      <c r="C1561" s="71" t="s">
        <v>396</v>
      </c>
      <c r="D1561" s="78">
        <v>1</v>
      </c>
      <c r="E1561" s="79">
        <v>1492.81</v>
      </c>
      <c r="F1561" s="70">
        <v>1492.81</v>
      </c>
      <c r="G1561" s="320"/>
      <c r="H1561" s="79">
        <v>1257.73</v>
      </c>
      <c r="I1561" s="79">
        <v>235.08</v>
      </c>
      <c r="J1561" s="79">
        <v>1492.81</v>
      </c>
      <c r="K1561" s="79">
        <v>0</v>
      </c>
      <c r="L1561" s="70">
        <v>1492.81</v>
      </c>
      <c r="M1561" s="132"/>
      <c r="N1561" s="78">
        <v>1257.73</v>
      </c>
      <c r="O1561" s="78">
        <v>235.08</v>
      </c>
      <c r="P1561" s="79">
        <v>1492.81</v>
      </c>
      <c r="Q1561" s="136"/>
      <c r="R1561" s="79">
        <v>1257.73</v>
      </c>
      <c r="S1561" s="79">
        <v>235.08</v>
      </c>
      <c r="T1561" s="79">
        <v>1492.81</v>
      </c>
      <c r="U1561" s="79">
        <v>0</v>
      </c>
      <c r="V1561" s="189">
        <v>1492.81</v>
      </c>
      <c r="X1561" s="78">
        <v>1257.73</v>
      </c>
      <c r="Y1561" s="78">
        <v>235.08</v>
      </c>
      <c r="Z1561" s="79">
        <v>1492.81</v>
      </c>
      <c r="AA1561" s="255">
        <v>0</v>
      </c>
      <c r="AC1561" s="254"/>
    </row>
    <row r="1562" spans="1:31" ht="24">
      <c r="A1562" s="67" t="s">
        <v>13517</v>
      </c>
      <c r="B1562" s="65" t="s">
        <v>1370</v>
      </c>
      <c r="C1562" s="71" t="s">
        <v>396</v>
      </c>
      <c r="D1562" s="78">
        <v>1</v>
      </c>
      <c r="E1562" s="79">
        <v>1722.06</v>
      </c>
      <c r="F1562" s="70">
        <v>1722.06</v>
      </c>
      <c r="G1562" s="320"/>
      <c r="H1562" s="79">
        <v>1486.98</v>
      </c>
      <c r="I1562" s="79">
        <v>235.08</v>
      </c>
      <c r="J1562" s="79">
        <v>1722.06</v>
      </c>
      <c r="K1562" s="79">
        <v>0</v>
      </c>
      <c r="L1562" s="70">
        <v>1722.06</v>
      </c>
      <c r="M1562" s="132"/>
      <c r="N1562" s="78">
        <v>1486.98</v>
      </c>
      <c r="O1562" s="78">
        <v>235.08</v>
      </c>
      <c r="P1562" s="79">
        <v>1722.06</v>
      </c>
      <c r="Q1562" s="136"/>
      <c r="R1562" s="79">
        <v>1486.98</v>
      </c>
      <c r="S1562" s="79">
        <v>235.08</v>
      </c>
      <c r="T1562" s="79">
        <v>1722.06</v>
      </c>
      <c r="U1562" s="79">
        <v>0</v>
      </c>
      <c r="V1562" s="189">
        <v>1722.06</v>
      </c>
      <c r="X1562" s="78">
        <v>1486.98</v>
      </c>
      <c r="Y1562" s="78">
        <v>235.08</v>
      </c>
      <c r="Z1562" s="79">
        <v>1722.06</v>
      </c>
      <c r="AA1562" s="255">
        <v>0</v>
      </c>
      <c r="AC1562" s="254"/>
      <c r="AD1562" s="61"/>
      <c r="AE1562" s="61"/>
    </row>
    <row r="1563" spans="1:31" ht="12">
      <c r="A1563" s="67" t="s">
        <v>13518</v>
      </c>
      <c r="B1563" s="65" t="s">
        <v>13519</v>
      </c>
      <c r="C1563" s="71" t="s">
        <v>165</v>
      </c>
      <c r="D1563" s="78">
        <v>1</v>
      </c>
      <c r="E1563" s="79">
        <v>47.86</v>
      </c>
      <c r="F1563" s="70">
        <v>47.86</v>
      </c>
      <c r="G1563" s="320"/>
      <c r="H1563" s="79">
        <v>34.03</v>
      </c>
      <c r="I1563" s="79">
        <v>13.829999999999998</v>
      </c>
      <c r="J1563" s="79">
        <v>47.86</v>
      </c>
      <c r="K1563" s="79">
        <v>0</v>
      </c>
      <c r="L1563" s="70">
        <v>47.86</v>
      </c>
      <c r="M1563" s="132"/>
      <c r="N1563" s="78">
        <v>34.03</v>
      </c>
      <c r="O1563" s="78">
        <v>13.829999999999998</v>
      </c>
      <c r="P1563" s="79">
        <v>47.86</v>
      </c>
      <c r="Q1563" s="136"/>
      <c r="R1563" s="79">
        <v>34.03</v>
      </c>
      <c r="S1563" s="79">
        <v>13.82</v>
      </c>
      <c r="T1563" s="79"/>
      <c r="U1563" s="79">
        <v>0</v>
      </c>
      <c r="V1563" s="189"/>
      <c r="X1563" s="78">
        <v>34.03</v>
      </c>
      <c r="Y1563" s="78">
        <v>13.82</v>
      </c>
      <c r="Z1563" s="79">
        <v>47.85</v>
      </c>
      <c r="AA1563" s="255">
        <v>9.9999999999980105E-3</v>
      </c>
      <c r="AC1563" s="254"/>
      <c r="AD1563" s="61"/>
      <c r="AE1563" s="61"/>
    </row>
    <row r="1564" spans="1:31" s="61" customFormat="1" ht="12">
      <c r="A1564" s="489" t="s">
        <v>13520</v>
      </c>
      <c r="B1564" s="490" t="s">
        <v>13521</v>
      </c>
      <c r="C1564" s="491"/>
      <c r="D1564" s="492"/>
      <c r="E1564" s="79"/>
      <c r="F1564" s="63"/>
      <c r="G1564" s="320"/>
      <c r="H1564" s="79"/>
      <c r="I1564" s="79"/>
      <c r="J1564" s="79"/>
      <c r="K1564" s="79"/>
      <c r="L1564" s="70"/>
      <c r="M1564" s="132"/>
      <c r="N1564" s="79"/>
      <c r="O1564" s="79"/>
      <c r="P1564" s="79"/>
      <c r="Q1564" s="136"/>
      <c r="R1564" s="79"/>
      <c r="S1564" s="79"/>
      <c r="T1564" s="79"/>
      <c r="U1564" s="79"/>
      <c r="V1564" s="189"/>
      <c r="X1564" s="79"/>
      <c r="Y1564" s="79"/>
      <c r="Z1564" s="79"/>
      <c r="AA1564" s="255"/>
      <c r="AC1564" s="254"/>
    </row>
    <row r="1565" spans="1:31" s="61" customFormat="1" ht="12">
      <c r="A1565" s="489" t="s">
        <v>13522</v>
      </c>
      <c r="B1565" s="490" t="s">
        <v>13523</v>
      </c>
      <c r="C1565" s="491"/>
      <c r="D1565" s="492"/>
      <c r="E1565" s="79"/>
      <c r="F1565" s="63"/>
      <c r="G1565" s="320"/>
      <c r="H1565" s="79"/>
      <c r="I1565" s="79"/>
      <c r="J1565" s="79"/>
      <c r="K1565" s="79"/>
      <c r="L1565" s="70"/>
      <c r="M1565" s="132"/>
      <c r="N1565" s="79"/>
      <c r="O1565" s="79"/>
      <c r="P1565" s="79"/>
      <c r="Q1565" s="136"/>
      <c r="R1565" s="79"/>
      <c r="S1565" s="79"/>
      <c r="T1565" s="79"/>
      <c r="U1565" s="79"/>
      <c r="V1565" s="189"/>
      <c r="X1565" s="79"/>
      <c r="Y1565" s="79"/>
      <c r="Z1565" s="79"/>
      <c r="AA1565" s="255"/>
      <c r="AC1565" s="254"/>
    </row>
    <row r="1566" spans="1:31" s="61" customFormat="1" ht="12">
      <c r="A1566" s="67" t="s">
        <v>13524</v>
      </c>
      <c r="B1566" s="65" t="s">
        <v>13525</v>
      </c>
      <c r="C1566" s="71" t="s">
        <v>165</v>
      </c>
      <c r="D1566" s="78">
        <v>1</v>
      </c>
      <c r="E1566" s="79">
        <v>24.54</v>
      </c>
      <c r="F1566" s="70">
        <v>24.54</v>
      </c>
      <c r="G1566" s="320"/>
      <c r="H1566" s="79">
        <v>6.67</v>
      </c>
      <c r="I1566" s="79">
        <v>17.869999999999997</v>
      </c>
      <c r="J1566" s="79">
        <v>24.54</v>
      </c>
      <c r="K1566" s="79">
        <v>0</v>
      </c>
      <c r="L1566" s="70">
        <v>24.54</v>
      </c>
      <c r="M1566" s="132"/>
      <c r="N1566" s="79">
        <v>6.67</v>
      </c>
      <c r="O1566" s="79">
        <v>17.869999999999997</v>
      </c>
      <c r="P1566" s="79">
        <v>24.54</v>
      </c>
      <c r="Q1566" s="136"/>
      <c r="R1566" s="79">
        <v>6.67</v>
      </c>
      <c r="S1566" s="79">
        <v>17.87</v>
      </c>
      <c r="T1566" s="79">
        <v>24.54</v>
      </c>
      <c r="U1566" s="79">
        <v>0</v>
      </c>
      <c r="V1566" s="189">
        <v>24.54</v>
      </c>
      <c r="X1566" s="79">
        <v>6.67</v>
      </c>
      <c r="Y1566" s="79">
        <v>17.87</v>
      </c>
      <c r="Z1566" s="79">
        <v>24.54</v>
      </c>
      <c r="AA1566" s="255">
        <v>0</v>
      </c>
      <c r="AC1566" s="254"/>
    </row>
    <row r="1567" spans="1:31" s="61" customFormat="1" ht="12">
      <c r="A1567" s="67" t="s">
        <v>13526</v>
      </c>
      <c r="B1567" s="65" t="s">
        <v>13527</v>
      </c>
      <c r="C1567" s="71" t="s">
        <v>207</v>
      </c>
      <c r="D1567" s="78">
        <v>1</v>
      </c>
      <c r="E1567" s="79">
        <v>116.22</v>
      </c>
      <c r="F1567" s="70">
        <v>116.22</v>
      </c>
      <c r="G1567" s="320"/>
      <c r="H1567" s="79">
        <v>36.29</v>
      </c>
      <c r="I1567" s="79">
        <v>79.929999999999993</v>
      </c>
      <c r="J1567" s="79">
        <v>116.22</v>
      </c>
      <c r="K1567" s="79">
        <v>0</v>
      </c>
      <c r="L1567" s="70">
        <v>116.22</v>
      </c>
      <c r="M1567" s="132"/>
      <c r="N1567" s="79">
        <v>36.29</v>
      </c>
      <c r="O1567" s="79">
        <v>79.929999999999993</v>
      </c>
      <c r="P1567" s="79">
        <v>116.22</v>
      </c>
      <c r="Q1567" s="136"/>
      <c r="R1567" s="79">
        <v>36.29</v>
      </c>
      <c r="S1567" s="79">
        <v>79.930000000000007</v>
      </c>
      <c r="T1567" s="79">
        <v>116.22</v>
      </c>
      <c r="U1567" s="79">
        <v>0</v>
      </c>
      <c r="V1567" s="189">
        <v>116.22</v>
      </c>
      <c r="X1567" s="79">
        <v>36.29</v>
      </c>
      <c r="Y1567" s="79">
        <v>79.930000000000007</v>
      </c>
      <c r="Z1567" s="79">
        <v>116.22</v>
      </c>
      <c r="AA1567" s="255">
        <v>0</v>
      </c>
      <c r="AC1567" s="254"/>
    </row>
    <row r="1568" spans="1:31" s="61" customFormat="1" ht="12">
      <c r="A1568" s="67" t="s">
        <v>13528</v>
      </c>
      <c r="B1568" s="65" t="s">
        <v>13529</v>
      </c>
      <c r="C1568" s="71" t="s">
        <v>165</v>
      </c>
      <c r="D1568" s="78">
        <v>1</v>
      </c>
      <c r="E1568" s="79">
        <v>27.239999999999995</v>
      </c>
      <c r="F1568" s="70">
        <v>27.24</v>
      </c>
      <c r="G1568" s="320"/>
      <c r="H1568" s="79">
        <v>9.3699999999999992</v>
      </c>
      <c r="I1568" s="79">
        <v>17.869999999999997</v>
      </c>
      <c r="J1568" s="79">
        <v>27.239999999999995</v>
      </c>
      <c r="K1568" s="79">
        <v>0</v>
      </c>
      <c r="L1568" s="70">
        <v>27.239999999999995</v>
      </c>
      <c r="M1568" s="132"/>
      <c r="N1568" s="79">
        <v>9.3699999999999992</v>
      </c>
      <c r="O1568" s="79">
        <v>17.869999999999997</v>
      </c>
      <c r="P1568" s="79">
        <v>27.239999999999995</v>
      </c>
      <c r="Q1568" s="136"/>
      <c r="R1568" s="79">
        <v>9.3699999999999992</v>
      </c>
      <c r="S1568" s="79">
        <v>17.87</v>
      </c>
      <c r="T1568" s="79">
        <v>27.240000000000002</v>
      </c>
      <c r="U1568" s="79">
        <v>0</v>
      </c>
      <c r="V1568" s="189">
        <v>27.240000000000002</v>
      </c>
      <c r="X1568" s="79">
        <v>9.3699999999999992</v>
      </c>
      <c r="Y1568" s="79">
        <v>17.87</v>
      </c>
      <c r="Z1568" s="79">
        <v>27.24</v>
      </c>
      <c r="AA1568" s="255">
        <v>0</v>
      </c>
      <c r="AC1568" s="254"/>
    </row>
    <row r="1569" spans="1:31" s="61" customFormat="1" ht="12">
      <c r="A1569" s="67" t="s">
        <v>13530</v>
      </c>
      <c r="B1569" s="65" t="s">
        <v>13531</v>
      </c>
      <c r="C1569" s="71" t="s">
        <v>207</v>
      </c>
      <c r="D1569" s="78">
        <v>1</v>
      </c>
      <c r="E1569" s="79">
        <v>32.67</v>
      </c>
      <c r="F1569" s="70">
        <v>32.67</v>
      </c>
      <c r="G1569" s="320"/>
      <c r="H1569" s="79">
        <v>14.8</v>
      </c>
      <c r="I1569" s="79">
        <v>17.869999999999997</v>
      </c>
      <c r="J1569" s="79">
        <v>32.67</v>
      </c>
      <c r="K1569" s="79">
        <v>0</v>
      </c>
      <c r="L1569" s="70">
        <v>32.67</v>
      </c>
      <c r="M1569" s="132"/>
      <c r="N1569" s="79">
        <v>14.8</v>
      </c>
      <c r="O1569" s="79">
        <v>17.869999999999997</v>
      </c>
      <c r="P1569" s="79">
        <v>32.67</v>
      </c>
      <c r="Q1569" s="136"/>
      <c r="R1569" s="79">
        <v>14.8</v>
      </c>
      <c r="S1569" s="79">
        <v>17.87</v>
      </c>
      <c r="T1569" s="79">
        <v>32.67</v>
      </c>
      <c r="U1569" s="79">
        <v>0</v>
      </c>
      <c r="V1569" s="189">
        <v>32.67</v>
      </c>
      <c r="X1569" s="79">
        <v>14.8</v>
      </c>
      <c r="Y1569" s="79">
        <v>17.87</v>
      </c>
      <c r="Z1569" s="79">
        <v>32.67</v>
      </c>
      <c r="AA1569" s="255">
        <v>0</v>
      </c>
      <c r="AC1569" s="254"/>
      <c r="AD1569" s="236"/>
      <c r="AE1569" s="236"/>
    </row>
    <row r="1570" spans="1:31" s="61" customFormat="1" ht="12">
      <c r="A1570" s="67" t="s">
        <v>13532</v>
      </c>
      <c r="B1570" s="65" t="s">
        <v>13533</v>
      </c>
      <c r="C1570" s="71" t="s">
        <v>207</v>
      </c>
      <c r="D1570" s="78">
        <v>1</v>
      </c>
      <c r="E1570" s="79">
        <v>27.699999999999996</v>
      </c>
      <c r="F1570" s="70">
        <v>27.7</v>
      </c>
      <c r="G1570" s="320"/>
      <c r="H1570" s="79">
        <v>9.83</v>
      </c>
      <c r="I1570" s="79">
        <v>17.869999999999997</v>
      </c>
      <c r="J1570" s="79">
        <v>27.699999999999996</v>
      </c>
      <c r="K1570" s="79">
        <v>0</v>
      </c>
      <c r="L1570" s="70">
        <v>27.699999999999996</v>
      </c>
      <c r="M1570" s="132"/>
      <c r="N1570" s="79">
        <v>9.83</v>
      </c>
      <c r="O1570" s="79">
        <v>17.869999999999997</v>
      </c>
      <c r="P1570" s="79">
        <v>27.699999999999996</v>
      </c>
      <c r="Q1570" s="136"/>
      <c r="R1570" s="79">
        <v>9.83</v>
      </c>
      <c r="S1570" s="79">
        <v>17.87</v>
      </c>
      <c r="T1570" s="79">
        <v>27.700000000000003</v>
      </c>
      <c r="U1570" s="79">
        <v>0</v>
      </c>
      <c r="V1570" s="189">
        <v>27.700000000000003</v>
      </c>
      <c r="X1570" s="79">
        <v>9.83</v>
      </c>
      <c r="Y1570" s="79">
        <v>17.87</v>
      </c>
      <c r="Z1570" s="79">
        <v>27.7</v>
      </c>
      <c r="AA1570" s="255">
        <v>0</v>
      </c>
      <c r="AC1570" s="254"/>
      <c r="AD1570" s="236"/>
      <c r="AE1570" s="236"/>
    </row>
    <row r="1571" spans="1:31" ht="12">
      <c r="A1571" s="489" t="s">
        <v>13534</v>
      </c>
      <c r="B1571" s="490" t="s">
        <v>13535</v>
      </c>
      <c r="C1571" s="491"/>
      <c r="D1571" s="492"/>
      <c r="E1571" s="79"/>
      <c r="F1571" s="63"/>
      <c r="G1571" s="320"/>
      <c r="H1571" s="79"/>
      <c r="I1571" s="79"/>
      <c r="J1571" s="79"/>
      <c r="K1571" s="79"/>
      <c r="L1571" s="70"/>
      <c r="M1571" s="132"/>
      <c r="N1571" s="79"/>
      <c r="O1571" s="79"/>
      <c r="P1571" s="79"/>
      <c r="Q1571" s="136"/>
      <c r="R1571" s="79"/>
      <c r="S1571" s="79"/>
      <c r="T1571" s="79"/>
      <c r="U1571" s="79"/>
      <c r="V1571" s="189"/>
      <c r="X1571" s="79"/>
      <c r="Y1571" s="79"/>
      <c r="Z1571" s="79"/>
      <c r="AA1571" s="255"/>
      <c r="AC1571" s="254"/>
    </row>
    <row r="1572" spans="1:31" ht="12">
      <c r="A1572" s="67" t="s">
        <v>13536</v>
      </c>
      <c r="B1572" s="65" t="s">
        <v>13537</v>
      </c>
      <c r="C1572" s="71" t="s">
        <v>165</v>
      </c>
      <c r="D1572" s="78">
        <v>1</v>
      </c>
      <c r="E1572" s="79">
        <v>24.09</v>
      </c>
      <c r="F1572" s="70">
        <v>24.09</v>
      </c>
      <c r="G1572" s="320"/>
      <c r="H1572" s="79">
        <v>8.98</v>
      </c>
      <c r="I1572" s="79">
        <v>15.11</v>
      </c>
      <c r="J1572" s="79">
        <v>24.09</v>
      </c>
      <c r="K1572" s="79">
        <v>0</v>
      </c>
      <c r="L1572" s="70">
        <v>24.09</v>
      </c>
      <c r="M1572" s="132"/>
      <c r="N1572" s="79">
        <v>8.98</v>
      </c>
      <c r="O1572" s="79">
        <v>15.11</v>
      </c>
      <c r="P1572" s="79">
        <v>24.09</v>
      </c>
      <c r="Q1572" s="136"/>
      <c r="R1572" s="79">
        <v>8.98</v>
      </c>
      <c r="S1572" s="79">
        <v>15.1</v>
      </c>
      <c r="T1572" s="79">
        <v>24.08</v>
      </c>
      <c r="U1572" s="79">
        <v>0</v>
      </c>
      <c r="V1572" s="189">
        <v>24.08</v>
      </c>
      <c r="X1572" s="79">
        <v>8.98</v>
      </c>
      <c r="Y1572" s="79">
        <v>15.1</v>
      </c>
      <c r="Z1572" s="79">
        <v>24.08</v>
      </c>
      <c r="AA1572" s="255">
        <v>1.0000000000001563E-2</v>
      </c>
      <c r="AC1572" s="254"/>
    </row>
    <row r="1573" spans="1:31" ht="12">
      <c r="A1573" s="67" t="s">
        <v>13538</v>
      </c>
      <c r="B1573" s="65" t="s">
        <v>13539</v>
      </c>
      <c r="C1573" s="71" t="s">
        <v>165</v>
      </c>
      <c r="D1573" s="78">
        <v>1</v>
      </c>
      <c r="E1573" s="79">
        <v>26.47</v>
      </c>
      <c r="F1573" s="70">
        <v>26.47</v>
      </c>
      <c r="G1573" s="320"/>
      <c r="H1573" s="79">
        <v>11.36</v>
      </c>
      <c r="I1573" s="79">
        <v>15.11</v>
      </c>
      <c r="J1573" s="79">
        <v>26.47</v>
      </c>
      <c r="K1573" s="79">
        <v>0</v>
      </c>
      <c r="L1573" s="70">
        <v>26.47</v>
      </c>
      <c r="M1573" s="132"/>
      <c r="N1573" s="79">
        <v>11.36</v>
      </c>
      <c r="O1573" s="79">
        <v>15.11</v>
      </c>
      <c r="P1573" s="79">
        <v>26.47</v>
      </c>
      <c r="Q1573" s="136"/>
      <c r="R1573" s="79">
        <v>11.36</v>
      </c>
      <c r="S1573" s="79">
        <v>15.1</v>
      </c>
      <c r="T1573" s="79">
        <v>26.46</v>
      </c>
      <c r="U1573" s="79">
        <v>0</v>
      </c>
      <c r="V1573" s="189">
        <v>26.46</v>
      </c>
      <c r="X1573" s="79">
        <v>11.36</v>
      </c>
      <c r="Y1573" s="79">
        <v>15.1</v>
      </c>
      <c r="Z1573" s="79">
        <v>26.46</v>
      </c>
      <c r="AA1573" s="255">
        <v>9.9999999999980105E-3</v>
      </c>
      <c r="AC1573" s="254"/>
    </row>
    <row r="1574" spans="1:31" ht="12">
      <c r="A1574" s="67" t="s">
        <v>13540</v>
      </c>
      <c r="B1574" s="65" t="s">
        <v>13541</v>
      </c>
      <c r="C1574" s="71" t="s">
        <v>165</v>
      </c>
      <c r="D1574" s="78">
        <v>1</v>
      </c>
      <c r="E1574" s="79">
        <v>25.24</v>
      </c>
      <c r="F1574" s="70">
        <v>25.24</v>
      </c>
      <c r="G1574" s="320"/>
      <c r="H1574" s="79">
        <v>10.130000000000001</v>
      </c>
      <c r="I1574" s="79">
        <v>15.11</v>
      </c>
      <c r="J1574" s="79">
        <v>25.240000000000002</v>
      </c>
      <c r="K1574" s="79">
        <v>0</v>
      </c>
      <c r="L1574" s="70">
        <v>25.240000000000002</v>
      </c>
      <c r="M1574" s="132"/>
      <c r="N1574" s="79">
        <v>10.130000000000001</v>
      </c>
      <c r="O1574" s="79">
        <v>15.11</v>
      </c>
      <c r="P1574" s="79">
        <v>25.240000000000002</v>
      </c>
      <c r="Q1574" s="136"/>
      <c r="R1574" s="79">
        <v>10.130000000000001</v>
      </c>
      <c r="S1574" s="79">
        <v>15.1</v>
      </c>
      <c r="T1574" s="79">
        <v>25.23</v>
      </c>
      <c r="U1574" s="79">
        <v>0</v>
      </c>
      <c r="V1574" s="189">
        <v>25.23</v>
      </c>
      <c r="X1574" s="79">
        <v>10.130000000000001</v>
      </c>
      <c r="Y1574" s="79">
        <v>15.1</v>
      </c>
      <c r="Z1574" s="79">
        <v>25.23</v>
      </c>
      <c r="AA1574" s="255">
        <v>9.9999999999980105E-3</v>
      </c>
      <c r="AC1574" s="254"/>
    </row>
    <row r="1575" spans="1:31" ht="12">
      <c r="A1575" s="67" t="s">
        <v>13542</v>
      </c>
      <c r="B1575" s="65" t="s">
        <v>13543</v>
      </c>
      <c r="C1575" s="71" t="s">
        <v>165</v>
      </c>
      <c r="D1575" s="78">
        <v>1</v>
      </c>
      <c r="E1575" s="79">
        <v>30.1</v>
      </c>
      <c r="F1575" s="70">
        <v>30.1</v>
      </c>
      <c r="G1575" s="320"/>
      <c r="H1575" s="79">
        <v>14.99</v>
      </c>
      <c r="I1575" s="79">
        <v>15.11</v>
      </c>
      <c r="J1575" s="79">
        <v>30.1</v>
      </c>
      <c r="K1575" s="79">
        <v>0</v>
      </c>
      <c r="L1575" s="70">
        <v>30.1</v>
      </c>
      <c r="M1575" s="132"/>
      <c r="N1575" s="79">
        <v>14.99</v>
      </c>
      <c r="O1575" s="79">
        <v>15.11</v>
      </c>
      <c r="P1575" s="79">
        <v>30.1</v>
      </c>
      <c r="Q1575" s="136"/>
      <c r="R1575" s="79">
        <v>14.99</v>
      </c>
      <c r="S1575" s="79">
        <v>15.1</v>
      </c>
      <c r="T1575" s="79">
        <v>30.09</v>
      </c>
      <c r="U1575" s="79">
        <v>0</v>
      </c>
      <c r="V1575" s="189">
        <v>30.09</v>
      </c>
      <c r="X1575" s="79">
        <v>14.99</v>
      </c>
      <c r="Y1575" s="79">
        <v>15.1</v>
      </c>
      <c r="Z1575" s="79">
        <v>30.09</v>
      </c>
      <c r="AA1575" s="255">
        <v>1.0000000000001563E-2</v>
      </c>
      <c r="AC1575" s="254"/>
    </row>
    <row r="1576" spans="1:31" ht="12">
      <c r="A1576" s="489" t="s">
        <v>13544</v>
      </c>
      <c r="B1576" s="490" t="s">
        <v>13545</v>
      </c>
      <c r="C1576" s="491"/>
      <c r="D1576" s="492"/>
      <c r="E1576" s="79"/>
      <c r="F1576" s="63"/>
      <c r="G1576" s="320"/>
      <c r="H1576" s="79"/>
      <c r="I1576" s="79"/>
      <c r="J1576" s="79"/>
      <c r="K1576" s="79"/>
      <c r="L1576" s="70"/>
      <c r="M1576" s="132"/>
      <c r="N1576" s="79"/>
      <c r="O1576" s="79"/>
      <c r="P1576" s="79"/>
      <c r="Q1576" s="136"/>
      <c r="R1576" s="79"/>
      <c r="S1576" s="79"/>
      <c r="T1576" s="79"/>
      <c r="U1576" s="79"/>
      <c r="V1576" s="189"/>
      <c r="X1576" s="79"/>
      <c r="Y1576" s="79"/>
      <c r="Z1576" s="79"/>
      <c r="AA1576" s="255"/>
      <c r="AC1576" s="254"/>
    </row>
    <row r="1577" spans="1:31" ht="12">
      <c r="A1577" s="67" t="s">
        <v>13546</v>
      </c>
      <c r="B1577" s="65" t="s">
        <v>13547</v>
      </c>
      <c r="C1577" s="71" t="s">
        <v>207</v>
      </c>
      <c r="D1577" s="78">
        <v>1</v>
      </c>
      <c r="E1577" s="79">
        <v>74.8</v>
      </c>
      <c r="F1577" s="70">
        <v>74.8</v>
      </c>
      <c r="G1577" s="320"/>
      <c r="H1577" s="79">
        <v>56.5</v>
      </c>
      <c r="I1577" s="79">
        <v>18.299999999999997</v>
      </c>
      <c r="J1577" s="79">
        <v>74.8</v>
      </c>
      <c r="K1577" s="79">
        <v>0</v>
      </c>
      <c r="L1577" s="70">
        <v>74.8</v>
      </c>
      <c r="M1577" s="132"/>
      <c r="N1577" s="79">
        <v>56.5</v>
      </c>
      <c r="O1577" s="79">
        <v>18.299999999999997</v>
      </c>
      <c r="P1577" s="79">
        <v>74.8</v>
      </c>
      <c r="Q1577" s="136"/>
      <c r="R1577" s="79">
        <v>56.5</v>
      </c>
      <c r="S1577" s="79">
        <v>18.3</v>
      </c>
      <c r="T1577" s="79">
        <v>74.8</v>
      </c>
      <c r="U1577" s="79">
        <v>0</v>
      </c>
      <c r="V1577" s="189">
        <v>74.8</v>
      </c>
      <c r="X1577" s="79">
        <v>56.5</v>
      </c>
      <c r="Y1577" s="79">
        <v>18.3</v>
      </c>
      <c r="Z1577" s="79">
        <v>74.8</v>
      </c>
      <c r="AA1577" s="255">
        <v>0</v>
      </c>
      <c r="AC1577" s="254"/>
    </row>
    <row r="1578" spans="1:31" ht="12">
      <c r="A1578" s="489" t="s">
        <v>13548</v>
      </c>
      <c r="B1578" s="490" t="s">
        <v>13549</v>
      </c>
      <c r="C1578" s="491"/>
      <c r="D1578" s="492"/>
      <c r="E1578" s="79"/>
      <c r="F1578" s="63"/>
      <c r="G1578" s="320"/>
      <c r="H1578" s="79"/>
      <c r="I1578" s="79"/>
      <c r="J1578" s="79"/>
      <c r="K1578" s="79"/>
      <c r="L1578" s="70"/>
      <c r="M1578" s="132"/>
      <c r="N1578" s="79"/>
      <c r="O1578" s="79"/>
      <c r="P1578" s="79"/>
      <c r="Q1578" s="136"/>
      <c r="R1578" s="79"/>
      <c r="S1578" s="79"/>
      <c r="T1578" s="79"/>
      <c r="U1578" s="79"/>
      <c r="V1578" s="189"/>
      <c r="X1578" s="79"/>
      <c r="Y1578" s="79"/>
      <c r="Z1578" s="79"/>
      <c r="AA1578" s="255"/>
      <c r="AC1578" s="254"/>
    </row>
    <row r="1579" spans="1:31" ht="12">
      <c r="A1579" s="489" t="s">
        <v>13550</v>
      </c>
      <c r="B1579" s="490" t="s">
        <v>13551</v>
      </c>
      <c r="C1579" s="491"/>
      <c r="D1579" s="492"/>
      <c r="E1579" s="79"/>
      <c r="F1579" s="63"/>
      <c r="G1579" s="320"/>
      <c r="H1579" s="79"/>
      <c r="I1579" s="79"/>
      <c r="J1579" s="79"/>
      <c r="K1579" s="79"/>
      <c r="L1579" s="70"/>
      <c r="M1579" s="132"/>
      <c r="N1579" s="79"/>
      <c r="O1579" s="79"/>
      <c r="P1579" s="79"/>
      <c r="Q1579" s="136"/>
      <c r="R1579" s="79"/>
      <c r="S1579" s="79"/>
      <c r="T1579" s="79"/>
      <c r="U1579" s="79"/>
      <c r="V1579" s="189"/>
      <c r="X1579" s="79"/>
      <c r="Y1579" s="79"/>
      <c r="Z1579" s="79"/>
      <c r="AA1579" s="255"/>
      <c r="AC1579" s="254"/>
    </row>
    <row r="1580" spans="1:31" ht="24">
      <c r="A1580" s="67" t="s">
        <v>13552</v>
      </c>
      <c r="B1580" s="65" t="s">
        <v>13553</v>
      </c>
      <c r="C1580" s="71" t="s">
        <v>165</v>
      </c>
      <c r="D1580" s="78">
        <v>1</v>
      </c>
      <c r="E1580" s="79">
        <v>222.35000000000002</v>
      </c>
      <c r="F1580" s="70">
        <v>222.35</v>
      </c>
      <c r="G1580" s="320"/>
      <c r="H1580" s="79">
        <v>207.24</v>
      </c>
      <c r="I1580" s="79">
        <v>15.11</v>
      </c>
      <c r="J1580" s="79">
        <v>222.35000000000002</v>
      </c>
      <c r="K1580" s="79">
        <v>0</v>
      </c>
      <c r="L1580" s="70">
        <v>222.35000000000002</v>
      </c>
      <c r="M1580" s="132"/>
      <c r="N1580" s="79">
        <v>207.24</v>
      </c>
      <c r="O1580" s="79">
        <v>15.11</v>
      </c>
      <c r="P1580" s="79">
        <v>222.35000000000002</v>
      </c>
      <c r="Q1580" s="136"/>
      <c r="R1580" s="79">
        <v>207.24</v>
      </c>
      <c r="S1580" s="79">
        <v>15.1</v>
      </c>
      <c r="T1580" s="79">
        <v>222.34</v>
      </c>
      <c r="U1580" s="79">
        <v>0</v>
      </c>
      <c r="V1580" s="189">
        <v>222.34</v>
      </c>
      <c r="X1580" s="79">
        <v>207.24</v>
      </c>
      <c r="Y1580" s="79">
        <v>15.1</v>
      </c>
      <c r="Z1580" s="79">
        <v>222.34</v>
      </c>
      <c r="AA1580" s="255">
        <v>9.9999999999909051E-3</v>
      </c>
      <c r="AC1580" s="254"/>
    </row>
    <row r="1581" spans="1:31" ht="24">
      <c r="A1581" s="67" t="s">
        <v>13554</v>
      </c>
      <c r="B1581" s="65" t="s">
        <v>13555</v>
      </c>
      <c r="C1581" s="71" t="s">
        <v>103</v>
      </c>
      <c r="D1581" s="78">
        <v>1</v>
      </c>
      <c r="E1581" s="79">
        <v>147.73000000000002</v>
      </c>
      <c r="F1581" s="70">
        <v>147.72999999999999</v>
      </c>
      <c r="G1581" s="320"/>
      <c r="H1581" s="79">
        <v>132.62</v>
      </c>
      <c r="I1581" s="79">
        <v>15.11</v>
      </c>
      <c r="J1581" s="79">
        <v>147.73000000000002</v>
      </c>
      <c r="K1581" s="79">
        <v>0</v>
      </c>
      <c r="L1581" s="70">
        <v>147.73000000000002</v>
      </c>
      <c r="M1581" s="132"/>
      <c r="N1581" s="79">
        <v>132.62</v>
      </c>
      <c r="O1581" s="79">
        <v>15.11</v>
      </c>
      <c r="P1581" s="79">
        <v>147.73000000000002</v>
      </c>
      <c r="Q1581" s="136"/>
      <c r="R1581" s="79">
        <v>132.62</v>
      </c>
      <c r="S1581" s="79">
        <v>15.1</v>
      </c>
      <c r="T1581" s="79">
        <v>147.72</v>
      </c>
      <c r="U1581" s="79">
        <v>0</v>
      </c>
      <c r="V1581" s="189">
        <v>147.72</v>
      </c>
      <c r="X1581" s="79">
        <v>132.62</v>
      </c>
      <c r="Y1581" s="79">
        <v>15.1</v>
      </c>
      <c r="Z1581" s="79">
        <v>147.72</v>
      </c>
      <c r="AA1581" s="255">
        <v>9.9999999999909051E-3</v>
      </c>
      <c r="AC1581" s="254"/>
    </row>
    <row r="1582" spans="1:31" ht="24">
      <c r="A1582" s="67" t="s">
        <v>13556</v>
      </c>
      <c r="B1582" s="65" t="s">
        <v>13557</v>
      </c>
      <c r="C1582" s="71" t="s">
        <v>103</v>
      </c>
      <c r="D1582" s="78">
        <v>1</v>
      </c>
      <c r="E1582" s="79">
        <v>187.81</v>
      </c>
      <c r="F1582" s="70">
        <v>187.81</v>
      </c>
      <c r="G1582" s="320"/>
      <c r="H1582" s="79">
        <v>172.7</v>
      </c>
      <c r="I1582" s="79">
        <v>15.11</v>
      </c>
      <c r="J1582" s="79">
        <v>187.81</v>
      </c>
      <c r="K1582" s="79">
        <v>0</v>
      </c>
      <c r="L1582" s="70">
        <v>187.81</v>
      </c>
      <c r="M1582" s="132"/>
      <c r="N1582" s="79">
        <v>172.7</v>
      </c>
      <c r="O1582" s="79">
        <v>15.11</v>
      </c>
      <c r="P1582" s="79">
        <v>187.81</v>
      </c>
      <c r="Q1582" s="136"/>
      <c r="R1582" s="79">
        <v>172.7</v>
      </c>
      <c r="S1582" s="79">
        <v>15.1</v>
      </c>
      <c r="T1582" s="79">
        <v>187.79999999999998</v>
      </c>
      <c r="U1582" s="79">
        <v>0</v>
      </c>
      <c r="V1582" s="189">
        <v>187.79999999999998</v>
      </c>
      <c r="X1582" s="79">
        <v>172.7</v>
      </c>
      <c r="Y1582" s="79">
        <v>15.1</v>
      </c>
      <c r="Z1582" s="79">
        <v>187.8</v>
      </c>
      <c r="AA1582" s="255">
        <v>9.9999999999909051E-3</v>
      </c>
      <c r="AC1582" s="254"/>
    </row>
    <row r="1583" spans="1:31" ht="24">
      <c r="A1583" s="67" t="s">
        <v>13558</v>
      </c>
      <c r="B1583" s="65" t="s">
        <v>13559</v>
      </c>
      <c r="C1583" s="71" t="s">
        <v>103</v>
      </c>
      <c r="D1583" s="78">
        <v>1</v>
      </c>
      <c r="E1583" s="79">
        <v>364.86</v>
      </c>
      <c r="F1583" s="70">
        <v>364.86</v>
      </c>
      <c r="G1583" s="320"/>
      <c r="H1583" s="79">
        <v>349.75</v>
      </c>
      <c r="I1583" s="79">
        <v>15.11</v>
      </c>
      <c r="J1583" s="79">
        <v>364.86</v>
      </c>
      <c r="K1583" s="79">
        <v>0</v>
      </c>
      <c r="L1583" s="70">
        <v>364.86</v>
      </c>
      <c r="M1583" s="132"/>
      <c r="N1583" s="79">
        <v>349.75</v>
      </c>
      <c r="O1583" s="79">
        <v>15.11</v>
      </c>
      <c r="P1583" s="79">
        <v>364.86</v>
      </c>
      <c r="Q1583" s="136"/>
      <c r="R1583" s="79">
        <v>349.75</v>
      </c>
      <c r="S1583" s="79">
        <v>15.1</v>
      </c>
      <c r="T1583" s="79">
        <v>364.85</v>
      </c>
      <c r="U1583" s="79">
        <v>0</v>
      </c>
      <c r="V1583" s="189">
        <v>364.85</v>
      </c>
      <c r="X1583" s="79">
        <v>349.75</v>
      </c>
      <c r="Y1583" s="79">
        <v>15.1</v>
      </c>
      <c r="Z1583" s="79">
        <v>364.85</v>
      </c>
      <c r="AA1583" s="255">
        <v>9.9999999999909051E-3</v>
      </c>
      <c r="AC1583" s="254"/>
    </row>
    <row r="1584" spans="1:31" ht="24">
      <c r="A1584" s="67" t="s">
        <v>13560</v>
      </c>
      <c r="B1584" s="65" t="s">
        <v>13561</v>
      </c>
      <c r="C1584" s="71" t="s">
        <v>103</v>
      </c>
      <c r="D1584" s="78">
        <v>1</v>
      </c>
      <c r="E1584" s="79">
        <v>187.42000000000002</v>
      </c>
      <c r="F1584" s="70">
        <v>187.42</v>
      </c>
      <c r="G1584" s="320"/>
      <c r="H1584" s="79">
        <v>172.31</v>
      </c>
      <c r="I1584" s="79">
        <v>15.11</v>
      </c>
      <c r="J1584" s="79">
        <v>187.42000000000002</v>
      </c>
      <c r="K1584" s="79">
        <v>0</v>
      </c>
      <c r="L1584" s="70">
        <v>187.42000000000002</v>
      </c>
      <c r="M1584" s="132"/>
      <c r="N1584" s="79">
        <v>172.31</v>
      </c>
      <c r="O1584" s="79">
        <v>15.11</v>
      </c>
      <c r="P1584" s="79">
        <v>187.42000000000002</v>
      </c>
      <c r="Q1584" s="136"/>
      <c r="R1584" s="79">
        <v>172.31</v>
      </c>
      <c r="S1584" s="79">
        <v>15.1</v>
      </c>
      <c r="T1584" s="79">
        <v>187.41</v>
      </c>
      <c r="U1584" s="79">
        <v>0</v>
      </c>
      <c r="V1584" s="189">
        <v>187.41</v>
      </c>
      <c r="X1584" s="79">
        <v>172.31</v>
      </c>
      <c r="Y1584" s="79">
        <v>15.1</v>
      </c>
      <c r="Z1584" s="79">
        <v>187.41</v>
      </c>
      <c r="AA1584" s="255">
        <v>9.9999999999909051E-3</v>
      </c>
      <c r="AC1584" s="254"/>
    </row>
    <row r="1585" spans="1:31" ht="24">
      <c r="A1585" s="67" t="s">
        <v>13562</v>
      </c>
      <c r="B1585" s="65" t="s">
        <v>13563</v>
      </c>
      <c r="C1585" s="71" t="s">
        <v>103</v>
      </c>
      <c r="D1585" s="78">
        <v>1</v>
      </c>
      <c r="E1585" s="79">
        <v>164.63</v>
      </c>
      <c r="F1585" s="70">
        <v>164.63</v>
      </c>
      <c r="G1585" s="320"/>
      <c r="H1585" s="79">
        <v>149.52000000000001</v>
      </c>
      <c r="I1585" s="79">
        <v>15.11</v>
      </c>
      <c r="J1585" s="79">
        <v>164.63</v>
      </c>
      <c r="K1585" s="79">
        <v>0</v>
      </c>
      <c r="L1585" s="70">
        <v>164.63</v>
      </c>
      <c r="M1585" s="132"/>
      <c r="N1585" s="79">
        <v>149.52000000000001</v>
      </c>
      <c r="O1585" s="79">
        <v>15.11</v>
      </c>
      <c r="P1585" s="79">
        <v>164.63</v>
      </c>
      <c r="Q1585" s="136"/>
      <c r="R1585" s="79">
        <v>149.52000000000001</v>
      </c>
      <c r="S1585" s="79">
        <v>15.1</v>
      </c>
      <c r="T1585" s="79">
        <v>164.62</v>
      </c>
      <c r="U1585" s="79">
        <v>0</v>
      </c>
      <c r="V1585" s="189">
        <v>164.62</v>
      </c>
      <c r="X1585" s="79">
        <v>149.52000000000001</v>
      </c>
      <c r="Y1585" s="79">
        <v>15.1</v>
      </c>
      <c r="Z1585" s="79">
        <v>164.62</v>
      </c>
      <c r="AA1585" s="255">
        <v>9.9999999999909051E-3</v>
      </c>
      <c r="AC1585" s="254"/>
    </row>
    <row r="1586" spans="1:31" ht="24">
      <c r="A1586" s="67" t="s">
        <v>13564</v>
      </c>
      <c r="B1586" s="65" t="s">
        <v>13565</v>
      </c>
      <c r="C1586" s="71" t="s">
        <v>103</v>
      </c>
      <c r="D1586" s="78">
        <v>1</v>
      </c>
      <c r="E1586" s="79">
        <v>346.47</v>
      </c>
      <c r="F1586" s="70">
        <v>346.47</v>
      </c>
      <c r="G1586" s="320"/>
      <c r="H1586" s="79">
        <v>331.36</v>
      </c>
      <c r="I1586" s="79">
        <v>15.11</v>
      </c>
      <c r="J1586" s="79">
        <v>346.47</v>
      </c>
      <c r="K1586" s="79">
        <v>0</v>
      </c>
      <c r="L1586" s="70">
        <v>346.47</v>
      </c>
      <c r="M1586" s="132"/>
      <c r="N1586" s="79">
        <v>331.36</v>
      </c>
      <c r="O1586" s="79">
        <v>15.11</v>
      </c>
      <c r="P1586" s="79">
        <v>346.47</v>
      </c>
      <c r="Q1586" s="136"/>
      <c r="R1586" s="79">
        <v>331.36</v>
      </c>
      <c r="S1586" s="79">
        <v>15.1</v>
      </c>
      <c r="T1586" s="79">
        <v>346.46000000000004</v>
      </c>
      <c r="U1586" s="79">
        <v>0</v>
      </c>
      <c r="V1586" s="189">
        <v>346.46000000000004</v>
      </c>
      <c r="X1586" s="79">
        <v>331.36</v>
      </c>
      <c r="Y1586" s="79">
        <v>15.1</v>
      </c>
      <c r="Z1586" s="79">
        <v>346.46</v>
      </c>
      <c r="AA1586" s="255">
        <v>1.0000000000047748E-2</v>
      </c>
      <c r="AC1586" s="254"/>
      <c r="AD1586" s="61"/>
      <c r="AE1586" s="61"/>
    </row>
    <row r="1587" spans="1:31" ht="24">
      <c r="A1587" s="67" t="s">
        <v>13566</v>
      </c>
      <c r="B1587" s="65" t="s">
        <v>13567</v>
      </c>
      <c r="C1587" s="71" t="s">
        <v>103</v>
      </c>
      <c r="D1587" s="78">
        <v>1</v>
      </c>
      <c r="E1587" s="79">
        <v>254.81</v>
      </c>
      <c r="F1587" s="70">
        <v>254.81</v>
      </c>
      <c r="G1587" s="320"/>
      <c r="H1587" s="79">
        <v>239.7</v>
      </c>
      <c r="I1587" s="79">
        <v>15.11</v>
      </c>
      <c r="J1587" s="79">
        <v>254.81</v>
      </c>
      <c r="K1587" s="79">
        <v>0</v>
      </c>
      <c r="L1587" s="70">
        <v>254.81</v>
      </c>
      <c r="M1587" s="132"/>
      <c r="N1587" s="79">
        <v>239.7</v>
      </c>
      <c r="O1587" s="79">
        <v>15.11</v>
      </c>
      <c r="P1587" s="79">
        <v>254.81</v>
      </c>
      <c r="Q1587" s="136"/>
      <c r="R1587" s="79">
        <v>239.7</v>
      </c>
      <c r="S1587" s="79">
        <v>15.1</v>
      </c>
      <c r="T1587" s="79">
        <v>254.79999999999998</v>
      </c>
      <c r="U1587" s="79">
        <v>0</v>
      </c>
      <c r="V1587" s="189">
        <v>254.79999999999998</v>
      </c>
      <c r="X1587" s="79">
        <v>239.7</v>
      </c>
      <c r="Y1587" s="79">
        <v>15.1</v>
      </c>
      <c r="Z1587" s="79">
        <v>254.8</v>
      </c>
      <c r="AA1587" s="255">
        <v>9.9999999999909051E-3</v>
      </c>
      <c r="AC1587" s="254"/>
      <c r="AD1587" s="61"/>
      <c r="AE1587" s="61"/>
    </row>
    <row r="1588" spans="1:31" s="61" customFormat="1" ht="24">
      <c r="A1588" s="67" t="s">
        <v>13568</v>
      </c>
      <c r="B1588" s="65" t="s">
        <v>13569</v>
      </c>
      <c r="C1588" s="71" t="s">
        <v>103</v>
      </c>
      <c r="D1588" s="78">
        <v>1</v>
      </c>
      <c r="E1588" s="79">
        <v>171.13</v>
      </c>
      <c r="F1588" s="70">
        <v>171.13</v>
      </c>
      <c r="G1588" s="320"/>
      <c r="H1588" s="79">
        <v>156.02000000000001</v>
      </c>
      <c r="I1588" s="79">
        <v>15.11</v>
      </c>
      <c r="J1588" s="79">
        <v>171.13</v>
      </c>
      <c r="K1588" s="79">
        <v>0</v>
      </c>
      <c r="L1588" s="70">
        <v>171.13</v>
      </c>
      <c r="M1588" s="132"/>
      <c r="N1588" s="79">
        <v>156.02000000000001</v>
      </c>
      <c r="O1588" s="79">
        <v>15.11</v>
      </c>
      <c r="P1588" s="79">
        <v>171.13</v>
      </c>
      <c r="Q1588" s="136"/>
      <c r="R1588" s="79">
        <v>156.02000000000001</v>
      </c>
      <c r="S1588" s="79">
        <v>15.1</v>
      </c>
      <c r="T1588" s="79">
        <v>171.12</v>
      </c>
      <c r="U1588" s="79">
        <v>0</v>
      </c>
      <c r="V1588" s="189">
        <v>171.12</v>
      </c>
      <c r="X1588" s="79">
        <v>156.02000000000001</v>
      </c>
      <c r="Y1588" s="79">
        <v>15.1</v>
      </c>
      <c r="Z1588" s="79">
        <v>171.12</v>
      </c>
      <c r="AA1588" s="255">
        <v>9.9999999999909051E-3</v>
      </c>
      <c r="AC1588" s="254"/>
    </row>
    <row r="1589" spans="1:31" s="61" customFormat="1" ht="24">
      <c r="A1589" s="67" t="s">
        <v>13570</v>
      </c>
      <c r="B1589" s="65" t="s">
        <v>13571</v>
      </c>
      <c r="C1589" s="71" t="s">
        <v>103</v>
      </c>
      <c r="D1589" s="78">
        <v>1</v>
      </c>
      <c r="E1589" s="79">
        <v>436.18</v>
      </c>
      <c r="F1589" s="70">
        <v>436.18</v>
      </c>
      <c r="G1589" s="320"/>
      <c r="H1589" s="79">
        <v>410.98</v>
      </c>
      <c r="I1589" s="79">
        <v>25.2</v>
      </c>
      <c r="J1589" s="79">
        <v>436.18</v>
      </c>
      <c r="K1589" s="79">
        <v>0</v>
      </c>
      <c r="L1589" s="70">
        <v>436.18</v>
      </c>
      <c r="M1589" s="132"/>
      <c r="N1589" s="79">
        <v>410.98</v>
      </c>
      <c r="O1589" s="79">
        <v>25.2</v>
      </c>
      <c r="P1589" s="79">
        <v>436.18</v>
      </c>
      <c r="Q1589" s="136"/>
      <c r="R1589" s="79">
        <v>410.98</v>
      </c>
      <c r="S1589" s="79">
        <v>25.18</v>
      </c>
      <c r="T1589" s="79">
        <v>436.16</v>
      </c>
      <c r="U1589" s="79">
        <v>0</v>
      </c>
      <c r="V1589" s="189">
        <v>436.16</v>
      </c>
      <c r="X1589" s="79">
        <v>410.98</v>
      </c>
      <c r="Y1589" s="79">
        <v>25.18</v>
      </c>
      <c r="Z1589" s="79">
        <v>436.16</v>
      </c>
      <c r="AA1589" s="255">
        <v>1.999999999998181E-2</v>
      </c>
      <c r="AC1589" s="254"/>
    </row>
    <row r="1590" spans="1:31" s="61" customFormat="1" ht="12">
      <c r="A1590" s="489" t="s">
        <v>13572</v>
      </c>
      <c r="B1590" s="490" t="s">
        <v>13573</v>
      </c>
      <c r="C1590" s="491"/>
      <c r="D1590" s="492"/>
      <c r="E1590" s="79"/>
      <c r="F1590" s="63"/>
      <c r="G1590" s="320"/>
      <c r="H1590" s="79"/>
      <c r="I1590" s="79"/>
      <c r="J1590" s="79"/>
      <c r="K1590" s="79"/>
      <c r="L1590" s="70"/>
      <c r="M1590" s="132"/>
      <c r="N1590" s="79"/>
      <c r="O1590" s="79"/>
      <c r="P1590" s="79"/>
      <c r="Q1590" s="136"/>
      <c r="R1590" s="79"/>
      <c r="S1590" s="79"/>
      <c r="T1590" s="79"/>
      <c r="U1590" s="79"/>
      <c r="V1590" s="189"/>
      <c r="X1590" s="79"/>
      <c r="Y1590" s="79"/>
      <c r="Z1590" s="79"/>
      <c r="AA1590" s="255"/>
      <c r="AC1590" s="254"/>
      <c r="AD1590" s="236"/>
      <c r="AE1590" s="236"/>
    </row>
    <row r="1591" spans="1:31" s="61" customFormat="1" ht="24">
      <c r="A1591" s="67" t="s">
        <v>13574</v>
      </c>
      <c r="B1591" s="65" t="s">
        <v>13575</v>
      </c>
      <c r="C1591" s="71" t="s">
        <v>103</v>
      </c>
      <c r="D1591" s="78">
        <v>1</v>
      </c>
      <c r="E1591" s="79">
        <v>3116.61</v>
      </c>
      <c r="F1591" s="70">
        <v>3116.61</v>
      </c>
      <c r="G1591" s="320"/>
      <c r="H1591" s="79">
        <v>3038.08</v>
      </c>
      <c r="I1591" s="79">
        <v>78.53</v>
      </c>
      <c r="J1591" s="79">
        <v>3116.61</v>
      </c>
      <c r="K1591" s="79">
        <v>0</v>
      </c>
      <c r="L1591" s="70">
        <v>3116.61</v>
      </c>
      <c r="M1591" s="132"/>
      <c r="N1591" s="79">
        <v>3038.08</v>
      </c>
      <c r="O1591" s="79">
        <v>78.53</v>
      </c>
      <c r="P1591" s="79">
        <v>3116.61</v>
      </c>
      <c r="Q1591" s="136"/>
      <c r="R1591" s="79">
        <v>3038.08</v>
      </c>
      <c r="S1591" s="79">
        <v>78.540000000000006</v>
      </c>
      <c r="T1591" s="79">
        <v>3116.62</v>
      </c>
      <c r="U1591" s="79">
        <v>0</v>
      </c>
      <c r="V1591" s="189">
        <v>3116.62</v>
      </c>
      <c r="X1591" s="79">
        <v>3038.08</v>
      </c>
      <c r="Y1591" s="79">
        <v>78.540000000000006</v>
      </c>
      <c r="Z1591" s="79">
        <v>3116.62</v>
      </c>
      <c r="AA1591" s="501">
        <v>-9.9999999997635314E-3</v>
      </c>
      <c r="AC1591" s="254"/>
      <c r="AD1591" s="236"/>
      <c r="AE1591" s="236"/>
    </row>
    <row r="1592" spans="1:31" ht="24">
      <c r="A1592" s="67" t="s">
        <v>13576</v>
      </c>
      <c r="B1592" s="65" t="s">
        <v>13577</v>
      </c>
      <c r="C1592" s="71" t="s">
        <v>103</v>
      </c>
      <c r="D1592" s="78">
        <v>1</v>
      </c>
      <c r="E1592" s="79">
        <v>3933.2400000000002</v>
      </c>
      <c r="F1592" s="70">
        <v>3933.24</v>
      </c>
      <c r="G1592" s="320"/>
      <c r="H1592" s="79">
        <v>3854.71</v>
      </c>
      <c r="I1592" s="79">
        <v>78.53</v>
      </c>
      <c r="J1592" s="79">
        <v>3933.2400000000002</v>
      </c>
      <c r="K1592" s="79">
        <v>0</v>
      </c>
      <c r="L1592" s="70">
        <v>3933.2400000000002</v>
      </c>
      <c r="M1592" s="132"/>
      <c r="N1592" s="79">
        <v>3854.71</v>
      </c>
      <c r="O1592" s="79">
        <v>78.53</v>
      </c>
      <c r="P1592" s="79">
        <v>3933.2400000000002</v>
      </c>
      <c r="Q1592" s="136"/>
      <c r="R1592" s="79">
        <v>3854.71</v>
      </c>
      <c r="S1592" s="79">
        <v>78.540000000000006</v>
      </c>
      <c r="T1592" s="79">
        <v>3933.25</v>
      </c>
      <c r="U1592" s="79">
        <v>0</v>
      </c>
      <c r="V1592" s="189">
        <v>3933.25</v>
      </c>
      <c r="X1592" s="79">
        <v>3854.71</v>
      </c>
      <c r="Y1592" s="79">
        <v>78.540000000000006</v>
      </c>
      <c r="Z1592" s="79">
        <v>3933.25</v>
      </c>
      <c r="AA1592" s="501">
        <v>-1.0000000000218279E-2</v>
      </c>
      <c r="AC1592" s="254"/>
    </row>
    <row r="1593" spans="1:31" ht="12">
      <c r="A1593" s="489" t="s">
        <v>13578</v>
      </c>
      <c r="B1593" s="490" t="s">
        <v>13579</v>
      </c>
      <c r="C1593" s="491"/>
      <c r="D1593" s="492"/>
      <c r="E1593" s="79"/>
      <c r="F1593" s="63"/>
      <c r="G1593" s="320"/>
      <c r="H1593" s="79"/>
      <c r="I1593" s="79"/>
      <c r="J1593" s="79"/>
      <c r="K1593" s="79"/>
      <c r="L1593" s="70"/>
      <c r="M1593" s="132"/>
      <c r="N1593" s="79"/>
      <c r="O1593" s="79"/>
      <c r="P1593" s="79"/>
      <c r="Q1593" s="136"/>
      <c r="R1593" s="79"/>
      <c r="S1593" s="79"/>
      <c r="T1593" s="79"/>
      <c r="U1593" s="79"/>
      <c r="V1593" s="189"/>
      <c r="X1593" s="79"/>
      <c r="Y1593" s="79"/>
      <c r="Z1593" s="79"/>
      <c r="AA1593" s="255"/>
      <c r="AC1593" s="254"/>
    </row>
    <row r="1594" spans="1:31" ht="24">
      <c r="A1594" s="67" t="s">
        <v>13580</v>
      </c>
      <c r="B1594" s="65" t="s">
        <v>28057</v>
      </c>
      <c r="C1594" s="71" t="s">
        <v>509</v>
      </c>
      <c r="D1594" s="78">
        <v>1</v>
      </c>
      <c r="E1594" s="79">
        <v>451.84000000000003</v>
      </c>
      <c r="F1594" s="70">
        <v>451.84</v>
      </c>
      <c r="G1594" s="320"/>
      <c r="H1594" s="79">
        <v>424.16</v>
      </c>
      <c r="I1594" s="79">
        <v>27.68</v>
      </c>
      <c r="J1594" s="79">
        <v>451.84000000000003</v>
      </c>
      <c r="K1594" s="79">
        <v>0</v>
      </c>
      <c r="L1594" s="70">
        <v>451.84000000000003</v>
      </c>
      <c r="M1594" s="132"/>
      <c r="N1594" s="79">
        <v>424.16</v>
      </c>
      <c r="O1594" s="79">
        <v>27.68</v>
      </c>
      <c r="P1594" s="79">
        <v>451.84000000000003</v>
      </c>
      <c r="Q1594" s="136"/>
      <c r="R1594" s="79">
        <v>424.16</v>
      </c>
      <c r="S1594" s="79">
        <v>27.67</v>
      </c>
      <c r="T1594" s="79">
        <v>451.83000000000004</v>
      </c>
      <c r="U1594" s="79">
        <v>0</v>
      </c>
      <c r="V1594" s="189">
        <v>451.83000000000004</v>
      </c>
      <c r="X1594" s="79">
        <v>424.16</v>
      </c>
      <c r="Y1594" s="79">
        <v>27.67</v>
      </c>
      <c r="Z1594" s="79">
        <v>451.83</v>
      </c>
      <c r="AA1594" s="255">
        <v>9.9999999999909051E-3</v>
      </c>
      <c r="AC1594" s="254"/>
    </row>
    <row r="1595" spans="1:31" ht="24">
      <c r="A1595" s="67" t="s">
        <v>13581</v>
      </c>
      <c r="B1595" s="65" t="s">
        <v>28058</v>
      </c>
      <c r="C1595" s="71" t="s">
        <v>509</v>
      </c>
      <c r="D1595" s="78">
        <v>1</v>
      </c>
      <c r="E1595" s="79">
        <v>208.95</v>
      </c>
      <c r="F1595" s="70">
        <v>208.95</v>
      </c>
      <c r="G1595" s="320"/>
      <c r="H1595" s="79">
        <v>197.35999999999999</v>
      </c>
      <c r="I1595" s="79">
        <v>11.59</v>
      </c>
      <c r="J1595" s="79">
        <v>208.95</v>
      </c>
      <c r="K1595" s="79">
        <v>0</v>
      </c>
      <c r="L1595" s="70">
        <v>208.95</v>
      </c>
      <c r="M1595" s="132"/>
      <c r="N1595" s="79">
        <v>197.35999999999999</v>
      </c>
      <c r="O1595" s="79">
        <v>11.59</v>
      </c>
      <c r="P1595" s="79">
        <v>208.95</v>
      </c>
      <c r="Q1595" s="136"/>
      <c r="R1595" s="79">
        <v>197.36</v>
      </c>
      <c r="S1595" s="79">
        <v>11.58</v>
      </c>
      <c r="T1595" s="79">
        <v>208.94000000000003</v>
      </c>
      <c r="U1595" s="79">
        <v>0</v>
      </c>
      <c r="V1595" s="189">
        <v>208.94000000000003</v>
      </c>
      <c r="X1595" s="79">
        <v>197.36</v>
      </c>
      <c r="Y1595" s="79">
        <v>11.58</v>
      </c>
      <c r="Z1595" s="79">
        <v>208.94</v>
      </c>
      <c r="AA1595" s="255">
        <v>9.9999999999909051E-3</v>
      </c>
      <c r="AC1595" s="254"/>
    </row>
    <row r="1596" spans="1:31" ht="24">
      <c r="A1596" s="67" t="s">
        <v>13582</v>
      </c>
      <c r="B1596" s="65" t="s">
        <v>13583</v>
      </c>
      <c r="C1596" s="71" t="s">
        <v>509</v>
      </c>
      <c r="D1596" s="78">
        <v>1</v>
      </c>
      <c r="E1596" s="79">
        <v>141.95000000000002</v>
      </c>
      <c r="F1596" s="70">
        <v>141.94999999999999</v>
      </c>
      <c r="G1596" s="320"/>
      <c r="H1596" s="79">
        <v>109.45000000000002</v>
      </c>
      <c r="I1596" s="79">
        <v>32.5</v>
      </c>
      <c r="J1596" s="79">
        <v>141.95000000000002</v>
      </c>
      <c r="K1596" s="79">
        <v>0</v>
      </c>
      <c r="L1596" s="70">
        <v>141.95000000000002</v>
      </c>
      <c r="M1596" s="132"/>
      <c r="N1596" s="79">
        <v>109.45000000000002</v>
      </c>
      <c r="O1596" s="79">
        <v>32.5</v>
      </c>
      <c r="P1596" s="79">
        <v>141.95000000000002</v>
      </c>
      <c r="Q1596" s="136"/>
      <c r="R1596" s="79">
        <v>109.45</v>
      </c>
      <c r="S1596" s="79">
        <v>32.479999999999997</v>
      </c>
      <c r="T1596" s="79">
        <v>141.93</v>
      </c>
      <c r="U1596" s="79">
        <v>0</v>
      </c>
      <c r="V1596" s="189">
        <v>141.93</v>
      </c>
      <c r="X1596" s="79">
        <v>109.45</v>
      </c>
      <c r="Y1596" s="79">
        <v>32.479999999999997</v>
      </c>
      <c r="Z1596" s="79">
        <v>141.93</v>
      </c>
      <c r="AA1596" s="255">
        <v>1.999999999998181E-2</v>
      </c>
      <c r="AC1596" s="254"/>
      <c r="AD1596" s="61"/>
      <c r="AE1596" s="61"/>
    </row>
    <row r="1597" spans="1:31" ht="12">
      <c r="A1597" s="67" t="s">
        <v>28059</v>
      </c>
      <c r="B1597" s="65" t="s">
        <v>28060</v>
      </c>
      <c r="C1597" s="71" t="s">
        <v>509</v>
      </c>
      <c r="D1597" s="78">
        <v>1</v>
      </c>
      <c r="E1597" s="79">
        <v>185.75</v>
      </c>
      <c r="F1597" s="70">
        <v>185.75</v>
      </c>
      <c r="G1597" s="320"/>
      <c r="H1597" s="79">
        <v>153.25</v>
      </c>
      <c r="I1597" s="79">
        <v>32.5</v>
      </c>
      <c r="J1597" s="79">
        <v>185.75</v>
      </c>
      <c r="K1597" s="79">
        <v>0</v>
      </c>
      <c r="L1597" s="70">
        <v>185.75</v>
      </c>
      <c r="M1597" s="132"/>
      <c r="N1597" s="79">
        <v>153.25</v>
      </c>
      <c r="O1597" s="79">
        <v>32.5</v>
      </c>
      <c r="P1597" s="79">
        <v>185.75</v>
      </c>
      <c r="Q1597" s="136"/>
      <c r="R1597" s="79">
        <v>153.25</v>
      </c>
      <c r="S1597" s="79">
        <v>32.479999999999997</v>
      </c>
      <c r="T1597" s="79">
        <v>185.73</v>
      </c>
      <c r="U1597" s="79">
        <v>0</v>
      </c>
      <c r="V1597" s="189">
        <v>185.73</v>
      </c>
      <c r="X1597" s="79">
        <v>153.25</v>
      </c>
      <c r="Y1597" s="79">
        <v>32.479999999999997</v>
      </c>
      <c r="Z1597" s="79">
        <v>185.73</v>
      </c>
      <c r="AA1597" s="255">
        <v>2.0000000000010232E-2</v>
      </c>
      <c r="AC1597" s="254"/>
      <c r="AD1597" s="61"/>
      <c r="AE1597" s="61"/>
    </row>
    <row r="1598" spans="1:31" ht="24">
      <c r="A1598" s="67" t="s">
        <v>13584</v>
      </c>
      <c r="B1598" s="65" t="s">
        <v>13585</v>
      </c>
      <c r="C1598" s="71" t="s">
        <v>103</v>
      </c>
      <c r="D1598" s="78">
        <v>1</v>
      </c>
      <c r="E1598" s="79">
        <v>6.33</v>
      </c>
      <c r="F1598" s="70">
        <v>6.33</v>
      </c>
      <c r="G1598" s="320"/>
      <c r="H1598" s="79">
        <v>4.57</v>
      </c>
      <c r="I1598" s="79">
        <v>1.76</v>
      </c>
      <c r="J1598" s="79">
        <v>6.33</v>
      </c>
      <c r="K1598" s="79">
        <v>0</v>
      </c>
      <c r="L1598" s="70">
        <v>6.33</v>
      </c>
      <c r="M1598" s="132"/>
      <c r="N1598" s="79">
        <v>4.57</v>
      </c>
      <c r="O1598" s="79">
        <v>1.76</v>
      </c>
      <c r="P1598" s="79">
        <v>6.33</v>
      </c>
      <c r="Q1598" s="136"/>
      <c r="R1598" s="79">
        <v>4.57</v>
      </c>
      <c r="S1598" s="79">
        <v>1.76</v>
      </c>
      <c r="T1598" s="79">
        <v>6.33</v>
      </c>
      <c r="U1598" s="79">
        <v>0</v>
      </c>
      <c r="V1598" s="189">
        <v>6.33</v>
      </c>
      <c r="X1598" s="79">
        <v>4.57</v>
      </c>
      <c r="Y1598" s="79">
        <v>1.76</v>
      </c>
      <c r="Z1598" s="79">
        <v>6.33</v>
      </c>
      <c r="AA1598" s="255">
        <v>0</v>
      </c>
      <c r="AC1598" s="254"/>
      <c r="AD1598" s="61"/>
      <c r="AE1598" s="61"/>
    </row>
    <row r="1599" spans="1:31" s="61" customFormat="1" ht="12">
      <c r="A1599" s="67" t="s">
        <v>13586</v>
      </c>
      <c r="B1599" s="65" t="s">
        <v>13587</v>
      </c>
      <c r="C1599" s="71" t="s">
        <v>165</v>
      </c>
      <c r="D1599" s="78">
        <v>1</v>
      </c>
      <c r="E1599" s="79">
        <v>594</v>
      </c>
      <c r="F1599" s="70">
        <v>594</v>
      </c>
      <c r="G1599" s="320"/>
      <c r="H1599" s="79">
        <v>594</v>
      </c>
      <c r="I1599" s="79">
        <v>0</v>
      </c>
      <c r="J1599" s="79">
        <v>594</v>
      </c>
      <c r="K1599" s="79">
        <v>0</v>
      </c>
      <c r="L1599" s="70">
        <v>594</v>
      </c>
      <c r="M1599" s="132"/>
      <c r="N1599" s="79">
        <v>594</v>
      </c>
      <c r="O1599" s="79"/>
      <c r="P1599" s="79">
        <v>594</v>
      </c>
      <c r="Q1599" s="136"/>
      <c r="R1599" s="79">
        <v>594</v>
      </c>
      <c r="S1599" s="79"/>
      <c r="T1599" s="79">
        <v>594</v>
      </c>
      <c r="U1599" s="79">
        <v>0</v>
      </c>
      <c r="V1599" s="189">
        <v>594</v>
      </c>
      <c r="X1599" s="79">
        <v>594</v>
      </c>
      <c r="Y1599" s="79"/>
      <c r="Z1599" s="79">
        <v>594</v>
      </c>
      <c r="AA1599" s="255">
        <v>0</v>
      </c>
      <c r="AC1599" s="254"/>
      <c r="AD1599" s="236"/>
      <c r="AE1599" s="236"/>
    </row>
    <row r="1600" spans="1:31" s="61" customFormat="1" ht="24">
      <c r="A1600" s="67" t="s">
        <v>13588</v>
      </c>
      <c r="B1600" s="65" t="s">
        <v>13589</v>
      </c>
      <c r="C1600" s="71" t="s">
        <v>509</v>
      </c>
      <c r="D1600" s="78">
        <v>1</v>
      </c>
      <c r="E1600" s="79">
        <v>17.97</v>
      </c>
      <c r="F1600" s="70">
        <v>17.97</v>
      </c>
      <c r="G1600" s="320"/>
      <c r="H1600" s="79">
        <v>6.51</v>
      </c>
      <c r="I1600" s="79">
        <v>11.46</v>
      </c>
      <c r="J1600" s="79">
        <v>17.97</v>
      </c>
      <c r="K1600" s="79">
        <v>0</v>
      </c>
      <c r="L1600" s="70">
        <v>17.97</v>
      </c>
      <c r="M1600" s="132"/>
      <c r="N1600" s="79">
        <v>6.51</v>
      </c>
      <c r="O1600" s="79">
        <v>11.46</v>
      </c>
      <c r="P1600" s="79">
        <v>17.97</v>
      </c>
      <c r="Q1600" s="136"/>
      <c r="R1600" s="79">
        <v>6.51</v>
      </c>
      <c r="S1600" s="79">
        <v>11.45</v>
      </c>
      <c r="T1600" s="79">
        <v>17.96</v>
      </c>
      <c r="U1600" s="79">
        <v>0</v>
      </c>
      <c r="V1600" s="189">
        <v>17.96</v>
      </c>
      <c r="X1600" s="79">
        <v>6.51</v>
      </c>
      <c r="Y1600" s="79">
        <v>11.45</v>
      </c>
      <c r="Z1600" s="79">
        <v>17.96</v>
      </c>
      <c r="AA1600" s="255">
        <v>9.9999999999980105E-3</v>
      </c>
      <c r="AC1600" s="254"/>
      <c r="AD1600" s="236"/>
      <c r="AE1600" s="236"/>
    </row>
    <row r="1601" spans="1:31" ht="12">
      <c r="A1601" s="67" t="s">
        <v>13590</v>
      </c>
      <c r="B1601" s="65" t="s">
        <v>13591</v>
      </c>
      <c r="C1601" s="71" t="s">
        <v>103</v>
      </c>
      <c r="D1601" s="78">
        <v>1</v>
      </c>
      <c r="E1601" s="79">
        <v>19.11</v>
      </c>
      <c r="F1601" s="70">
        <v>19.11</v>
      </c>
      <c r="G1601" s="320"/>
      <c r="H1601" s="79">
        <v>0.69</v>
      </c>
      <c r="I1601" s="79">
        <v>18.420000000000002</v>
      </c>
      <c r="J1601" s="79">
        <v>19.110000000000003</v>
      </c>
      <c r="K1601" s="79">
        <v>0</v>
      </c>
      <c r="L1601" s="70">
        <v>19.110000000000003</v>
      </c>
      <c r="M1601" s="132"/>
      <c r="N1601" s="79">
        <v>0.69</v>
      </c>
      <c r="O1601" s="79">
        <v>18.420000000000002</v>
      </c>
      <c r="P1601" s="79">
        <v>19.110000000000003</v>
      </c>
      <c r="Q1601" s="136"/>
      <c r="R1601" s="79">
        <v>0.69</v>
      </c>
      <c r="S1601" s="79">
        <v>18.420000000000002</v>
      </c>
      <c r="T1601" s="79">
        <v>19.110000000000003</v>
      </c>
      <c r="U1601" s="79">
        <v>0</v>
      </c>
      <c r="V1601" s="189">
        <v>19.110000000000003</v>
      </c>
      <c r="X1601" s="79">
        <v>0.69</v>
      </c>
      <c r="Y1601" s="79">
        <v>18.420000000000002</v>
      </c>
      <c r="Z1601" s="79">
        <v>19.11</v>
      </c>
      <c r="AA1601" s="255">
        <v>0</v>
      </c>
      <c r="AC1601" s="254"/>
    </row>
    <row r="1602" spans="1:31" ht="24">
      <c r="A1602" s="67" t="s">
        <v>13592</v>
      </c>
      <c r="B1602" s="65" t="s">
        <v>28061</v>
      </c>
      <c r="C1602" s="71" t="s">
        <v>509</v>
      </c>
      <c r="D1602" s="78">
        <v>1</v>
      </c>
      <c r="E1602" s="79">
        <v>148.12</v>
      </c>
      <c r="F1602" s="70">
        <v>148.12</v>
      </c>
      <c r="G1602" s="320"/>
      <c r="H1602" s="79">
        <v>130.18</v>
      </c>
      <c r="I1602" s="79">
        <v>17.940000000000001</v>
      </c>
      <c r="J1602" s="79">
        <v>148.12</v>
      </c>
      <c r="K1602" s="79">
        <v>0</v>
      </c>
      <c r="L1602" s="70">
        <v>148.12</v>
      </c>
      <c r="M1602" s="132"/>
      <c r="N1602" s="79">
        <v>130.18</v>
      </c>
      <c r="O1602" s="79">
        <v>17.940000000000001</v>
      </c>
      <c r="P1602" s="79">
        <v>148.12</v>
      </c>
      <c r="Q1602" s="136"/>
      <c r="R1602" s="79">
        <v>130.18</v>
      </c>
      <c r="S1602" s="79">
        <v>17.93</v>
      </c>
      <c r="T1602" s="79">
        <v>148.11000000000001</v>
      </c>
      <c r="U1602" s="79">
        <v>0</v>
      </c>
      <c r="V1602" s="189">
        <v>148.11000000000001</v>
      </c>
      <c r="X1602" s="79">
        <v>130.18</v>
      </c>
      <c r="Y1602" s="79">
        <v>17.93</v>
      </c>
      <c r="Z1602" s="79">
        <v>148.11000000000001</v>
      </c>
      <c r="AA1602" s="255">
        <v>9.9999999999909051E-3</v>
      </c>
      <c r="AC1602" s="254"/>
    </row>
    <row r="1603" spans="1:31" ht="12">
      <c r="A1603" s="489" t="s">
        <v>13593</v>
      </c>
      <c r="B1603" s="490" t="s">
        <v>13594</v>
      </c>
      <c r="C1603" s="491"/>
      <c r="D1603" s="492"/>
      <c r="E1603" s="79"/>
      <c r="F1603" s="63"/>
      <c r="G1603" s="320"/>
      <c r="H1603" s="79"/>
      <c r="I1603" s="79"/>
      <c r="J1603" s="79"/>
      <c r="K1603" s="79"/>
      <c r="L1603" s="70"/>
      <c r="M1603" s="132"/>
      <c r="N1603" s="79"/>
      <c r="O1603" s="79"/>
      <c r="P1603" s="79"/>
      <c r="Q1603" s="136"/>
      <c r="R1603" s="79"/>
      <c r="S1603" s="79"/>
      <c r="T1603" s="79"/>
      <c r="U1603" s="79"/>
      <c r="V1603" s="189"/>
      <c r="X1603" s="79"/>
      <c r="Y1603" s="79"/>
      <c r="Z1603" s="79"/>
      <c r="AA1603" s="255"/>
      <c r="AC1603" s="254"/>
    </row>
    <row r="1604" spans="1:31" ht="12">
      <c r="A1604" s="67" t="s">
        <v>13595</v>
      </c>
      <c r="B1604" s="65" t="s">
        <v>13596</v>
      </c>
      <c r="C1604" s="71" t="s">
        <v>103</v>
      </c>
      <c r="D1604" s="78">
        <v>1</v>
      </c>
      <c r="E1604" s="79">
        <v>12.04</v>
      </c>
      <c r="F1604" s="70">
        <v>12.04</v>
      </c>
      <c r="G1604" s="320"/>
      <c r="H1604" s="79">
        <v>10.28</v>
      </c>
      <c r="I1604" s="79">
        <v>1.76</v>
      </c>
      <c r="J1604" s="79">
        <v>12.04</v>
      </c>
      <c r="K1604" s="79">
        <v>0</v>
      </c>
      <c r="L1604" s="70">
        <v>12.04</v>
      </c>
      <c r="M1604" s="132"/>
      <c r="N1604" s="79">
        <v>10.28</v>
      </c>
      <c r="O1604" s="79">
        <v>1.76</v>
      </c>
      <c r="P1604" s="79">
        <v>12.04</v>
      </c>
      <c r="Q1604" s="136"/>
      <c r="R1604" s="79">
        <v>10.28</v>
      </c>
      <c r="S1604" s="79">
        <v>1.76</v>
      </c>
      <c r="T1604" s="79">
        <v>12.04</v>
      </c>
      <c r="U1604" s="79">
        <v>0</v>
      </c>
      <c r="V1604" s="189">
        <v>12.04</v>
      </c>
      <c r="X1604" s="79">
        <v>10.28</v>
      </c>
      <c r="Y1604" s="79">
        <v>1.76</v>
      </c>
      <c r="Z1604" s="79">
        <v>12.04</v>
      </c>
      <c r="AA1604" s="255">
        <v>0</v>
      </c>
      <c r="AC1604" s="254"/>
    </row>
    <row r="1605" spans="1:31" ht="12">
      <c r="A1605" s="67" t="s">
        <v>13597</v>
      </c>
      <c r="B1605" s="65" t="s">
        <v>13598</v>
      </c>
      <c r="C1605" s="71" t="s">
        <v>103</v>
      </c>
      <c r="D1605" s="78">
        <v>1</v>
      </c>
      <c r="E1605" s="79">
        <v>12.45</v>
      </c>
      <c r="F1605" s="70">
        <v>12.45</v>
      </c>
      <c r="G1605" s="320"/>
      <c r="H1605" s="79">
        <v>10.69</v>
      </c>
      <c r="I1605" s="79">
        <v>1.76</v>
      </c>
      <c r="J1605" s="79">
        <v>12.45</v>
      </c>
      <c r="K1605" s="79">
        <v>0</v>
      </c>
      <c r="L1605" s="70">
        <v>12.45</v>
      </c>
      <c r="M1605" s="132"/>
      <c r="N1605" s="79">
        <v>10.69</v>
      </c>
      <c r="O1605" s="79">
        <v>1.76</v>
      </c>
      <c r="P1605" s="79">
        <v>12.45</v>
      </c>
      <c r="Q1605" s="136"/>
      <c r="R1605" s="79">
        <v>10.69</v>
      </c>
      <c r="S1605" s="79">
        <v>1.76</v>
      </c>
      <c r="T1605" s="79">
        <v>12.45</v>
      </c>
      <c r="U1605" s="79">
        <v>0</v>
      </c>
      <c r="V1605" s="189">
        <v>12.45</v>
      </c>
      <c r="X1605" s="79">
        <v>10.69</v>
      </c>
      <c r="Y1605" s="79">
        <v>1.76</v>
      </c>
      <c r="Z1605" s="79">
        <v>12.45</v>
      </c>
      <c r="AA1605" s="255">
        <v>0</v>
      </c>
      <c r="AC1605" s="254"/>
    </row>
    <row r="1606" spans="1:31" ht="24">
      <c r="A1606" s="67" t="s">
        <v>13599</v>
      </c>
      <c r="B1606" s="65" t="s">
        <v>13600</v>
      </c>
      <c r="C1606" s="71" t="s">
        <v>165</v>
      </c>
      <c r="D1606" s="78">
        <v>1</v>
      </c>
      <c r="E1606" s="79">
        <v>72.489999999999995</v>
      </c>
      <c r="F1606" s="70">
        <v>72.489999999999995</v>
      </c>
      <c r="G1606" s="320"/>
      <c r="H1606" s="79">
        <v>44.550000000000004</v>
      </c>
      <c r="I1606" s="79">
        <v>27.939999999999998</v>
      </c>
      <c r="J1606" s="79">
        <v>72.490000000000009</v>
      </c>
      <c r="K1606" s="79">
        <v>0</v>
      </c>
      <c r="L1606" s="70">
        <v>72.490000000000009</v>
      </c>
      <c r="M1606" s="132"/>
      <c r="N1606" s="79">
        <v>44.550000000000004</v>
      </c>
      <c r="O1606" s="79">
        <v>27.939999999999998</v>
      </c>
      <c r="P1606" s="79">
        <v>72.490000000000009</v>
      </c>
      <c r="Q1606" s="136"/>
      <c r="R1606" s="79">
        <v>44.55</v>
      </c>
      <c r="S1606" s="79">
        <v>27.92</v>
      </c>
      <c r="T1606" s="79">
        <v>72.47</v>
      </c>
      <c r="U1606" s="79">
        <v>0</v>
      </c>
      <c r="V1606" s="189">
        <v>72.47</v>
      </c>
      <c r="X1606" s="79">
        <v>44.55</v>
      </c>
      <c r="Y1606" s="79">
        <v>27.92</v>
      </c>
      <c r="Z1606" s="79">
        <v>72.47</v>
      </c>
      <c r="AA1606" s="255">
        <v>1.9999999999996021E-2</v>
      </c>
      <c r="AC1606" s="254"/>
    </row>
    <row r="1607" spans="1:31" ht="24">
      <c r="A1607" s="67" t="s">
        <v>13601</v>
      </c>
      <c r="B1607" s="65" t="s">
        <v>13602</v>
      </c>
      <c r="C1607" s="71" t="s">
        <v>396</v>
      </c>
      <c r="D1607" s="78">
        <v>1</v>
      </c>
      <c r="E1607" s="79">
        <v>328.05</v>
      </c>
      <c r="F1607" s="70">
        <v>328.05</v>
      </c>
      <c r="G1607" s="320"/>
      <c r="H1607" s="79">
        <v>300.11</v>
      </c>
      <c r="I1607" s="79">
        <v>27.939999999999998</v>
      </c>
      <c r="J1607" s="79">
        <v>328.05</v>
      </c>
      <c r="K1607" s="79">
        <v>0</v>
      </c>
      <c r="L1607" s="70">
        <v>328.05</v>
      </c>
      <c r="M1607" s="132"/>
      <c r="N1607" s="79">
        <v>300.11</v>
      </c>
      <c r="O1607" s="79">
        <v>27.939999999999998</v>
      </c>
      <c r="P1607" s="79">
        <v>328.05</v>
      </c>
      <c r="Q1607" s="136"/>
      <c r="R1607" s="79">
        <v>300.11</v>
      </c>
      <c r="S1607" s="79">
        <v>27.92</v>
      </c>
      <c r="T1607" s="79">
        <v>328.03000000000003</v>
      </c>
      <c r="U1607" s="79">
        <v>0</v>
      </c>
      <c r="V1607" s="189">
        <v>328.03000000000003</v>
      </c>
      <c r="X1607" s="79">
        <v>300.11</v>
      </c>
      <c r="Y1607" s="79">
        <v>27.92</v>
      </c>
      <c r="Z1607" s="79">
        <v>328.03</v>
      </c>
      <c r="AA1607" s="255">
        <v>2.0000000000038654E-2</v>
      </c>
      <c r="AC1607" s="254"/>
    </row>
    <row r="1608" spans="1:31" ht="24">
      <c r="A1608" s="67" t="s">
        <v>13603</v>
      </c>
      <c r="B1608" s="65" t="s">
        <v>13604</v>
      </c>
      <c r="C1608" s="71" t="s">
        <v>396</v>
      </c>
      <c r="D1608" s="78">
        <v>1</v>
      </c>
      <c r="E1608" s="79">
        <v>694.24</v>
      </c>
      <c r="F1608" s="70">
        <v>694.24</v>
      </c>
      <c r="G1608" s="320"/>
      <c r="H1608" s="79">
        <v>666.3</v>
      </c>
      <c r="I1608" s="79">
        <v>27.939999999999998</v>
      </c>
      <c r="J1608" s="79">
        <v>694.24</v>
      </c>
      <c r="K1608" s="79">
        <v>0</v>
      </c>
      <c r="L1608" s="70">
        <v>694.24</v>
      </c>
      <c r="M1608" s="132"/>
      <c r="N1608" s="79">
        <v>666.3</v>
      </c>
      <c r="O1608" s="79">
        <v>27.939999999999998</v>
      </c>
      <c r="P1608" s="79">
        <v>694.24</v>
      </c>
      <c r="Q1608" s="136"/>
      <c r="R1608" s="79">
        <v>666.3</v>
      </c>
      <c r="S1608" s="79">
        <v>27.92</v>
      </c>
      <c r="T1608" s="79">
        <v>694.21999999999991</v>
      </c>
      <c r="U1608" s="79">
        <v>0</v>
      </c>
      <c r="V1608" s="189">
        <v>694.21999999999991</v>
      </c>
      <c r="X1608" s="79">
        <v>666.3</v>
      </c>
      <c r="Y1608" s="79">
        <v>27.92</v>
      </c>
      <c r="Z1608" s="79">
        <v>694.22</v>
      </c>
      <c r="AA1608" s="255">
        <v>1.999999999998181E-2</v>
      </c>
      <c r="AC1608" s="254"/>
    </row>
    <row r="1609" spans="1:31" ht="12">
      <c r="A1609" s="67" t="s">
        <v>13605</v>
      </c>
      <c r="B1609" s="65" t="s">
        <v>2174</v>
      </c>
      <c r="C1609" s="71" t="s">
        <v>103</v>
      </c>
      <c r="D1609" s="78">
        <v>1</v>
      </c>
      <c r="E1609" s="79">
        <v>35.590000000000003</v>
      </c>
      <c r="F1609" s="70">
        <v>35.590000000000003</v>
      </c>
      <c r="G1609" s="320"/>
      <c r="H1609" s="79">
        <v>31.05</v>
      </c>
      <c r="I1609" s="79">
        <v>4.54</v>
      </c>
      <c r="J1609" s="79">
        <v>35.590000000000003</v>
      </c>
      <c r="K1609" s="79">
        <v>0</v>
      </c>
      <c r="L1609" s="70">
        <v>35.590000000000003</v>
      </c>
      <c r="M1609" s="132"/>
      <c r="N1609" s="79">
        <v>31.05</v>
      </c>
      <c r="O1609" s="79">
        <v>4.54</v>
      </c>
      <c r="P1609" s="79">
        <v>35.590000000000003</v>
      </c>
      <c r="Q1609" s="136"/>
      <c r="R1609" s="79">
        <v>31.05</v>
      </c>
      <c r="S1609" s="79">
        <v>4.54</v>
      </c>
      <c r="T1609" s="79">
        <v>35.590000000000003</v>
      </c>
      <c r="U1609" s="79">
        <v>0</v>
      </c>
      <c r="V1609" s="189">
        <v>35.590000000000003</v>
      </c>
      <c r="X1609" s="79">
        <v>31.05</v>
      </c>
      <c r="Y1609" s="79">
        <v>4.54</v>
      </c>
      <c r="Z1609" s="79">
        <v>35.590000000000003</v>
      </c>
      <c r="AA1609" s="255">
        <v>0</v>
      </c>
      <c r="AC1609" s="254"/>
    </row>
    <row r="1610" spans="1:31" ht="24">
      <c r="A1610" s="67" t="s">
        <v>13606</v>
      </c>
      <c r="B1610" s="65" t="s">
        <v>13607</v>
      </c>
      <c r="C1610" s="71" t="s">
        <v>103</v>
      </c>
      <c r="D1610" s="78">
        <v>1</v>
      </c>
      <c r="E1610" s="79">
        <v>860.87</v>
      </c>
      <c r="F1610" s="70">
        <v>860.87</v>
      </c>
      <c r="G1610" s="320"/>
      <c r="H1610" s="79">
        <v>855.19</v>
      </c>
      <c r="I1610" s="79">
        <v>5.68</v>
      </c>
      <c r="J1610" s="79">
        <v>860.87</v>
      </c>
      <c r="K1610" s="79">
        <v>0</v>
      </c>
      <c r="L1610" s="70">
        <v>860.87</v>
      </c>
      <c r="M1610" s="132"/>
      <c r="N1610" s="79">
        <v>855.19</v>
      </c>
      <c r="O1610" s="79">
        <v>5.68</v>
      </c>
      <c r="P1610" s="79">
        <v>860.87</v>
      </c>
      <c r="Q1610" s="136"/>
      <c r="R1610" s="79">
        <v>855.19</v>
      </c>
      <c r="S1610" s="79">
        <v>5.68</v>
      </c>
      <c r="T1610" s="79">
        <v>860.87</v>
      </c>
      <c r="U1610" s="79">
        <v>0</v>
      </c>
      <c r="V1610" s="189">
        <v>860.87</v>
      </c>
      <c r="X1610" s="79">
        <v>855.19</v>
      </c>
      <c r="Y1610" s="79">
        <v>5.68</v>
      </c>
      <c r="Z1610" s="79">
        <v>860.87</v>
      </c>
      <c r="AA1610" s="255">
        <v>0</v>
      </c>
      <c r="AC1610" s="254"/>
    </row>
    <row r="1611" spans="1:31" ht="12">
      <c r="A1611" s="67" t="s">
        <v>13608</v>
      </c>
      <c r="B1611" s="65" t="s">
        <v>13609</v>
      </c>
      <c r="C1611" s="71" t="s">
        <v>103</v>
      </c>
      <c r="D1611" s="78">
        <v>1</v>
      </c>
      <c r="E1611" s="79">
        <v>246.08</v>
      </c>
      <c r="F1611" s="70">
        <v>246.08</v>
      </c>
      <c r="G1611" s="320"/>
      <c r="H1611" s="79">
        <v>148.4</v>
      </c>
      <c r="I1611" s="79">
        <v>97.68</v>
      </c>
      <c r="J1611" s="79">
        <v>246.08</v>
      </c>
      <c r="K1611" s="79">
        <v>0</v>
      </c>
      <c r="L1611" s="70">
        <v>246.08</v>
      </c>
      <c r="M1611" s="132"/>
      <c r="N1611" s="79">
        <v>148.4</v>
      </c>
      <c r="O1611" s="79">
        <v>97.68</v>
      </c>
      <c r="P1611" s="79">
        <v>246.08</v>
      </c>
      <c r="Q1611" s="136"/>
      <c r="R1611" s="79">
        <v>148.4</v>
      </c>
      <c r="S1611" s="79">
        <v>97.7</v>
      </c>
      <c r="T1611" s="79">
        <v>246.10000000000002</v>
      </c>
      <c r="U1611" s="79">
        <v>0</v>
      </c>
      <c r="V1611" s="189">
        <v>246.10000000000002</v>
      </c>
      <c r="X1611" s="79">
        <v>148.4</v>
      </c>
      <c r="Y1611" s="79">
        <v>97.7</v>
      </c>
      <c r="Z1611" s="79">
        <v>246.1</v>
      </c>
      <c r="AA1611" s="255">
        <v>-1.999999999998181E-2</v>
      </c>
      <c r="AC1611" s="254"/>
    </row>
    <row r="1612" spans="1:31" ht="12">
      <c r="A1612" s="67" t="s">
        <v>13610</v>
      </c>
      <c r="B1612" s="65" t="s">
        <v>13611</v>
      </c>
      <c r="C1612" s="71" t="s">
        <v>103</v>
      </c>
      <c r="D1612" s="78">
        <v>1</v>
      </c>
      <c r="E1612" s="79">
        <v>537.1099999999999</v>
      </c>
      <c r="F1612" s="70">
        <v>537.11</v>
      </c>
      <c r="G1612" s="320"/>
      <c r="H1612" s="79">
        <v>313.81</v>
      </c>
      <c r="I1612" s="79">
        <v>223.3</v>
      </c>
      <c r="J1612" s="79">
        <v>537.11</v>
      </c>
      <c r="K1612" s="79">
        <v>0</v>
      </c>
      <c r="L1612" s="70">
        <v>537.11</v>
      </c>
      <c r="M1612" s="132"/>
      <c r="N1612" s="79">
        <v>313.81</v>
      </c>
      <c r="O1612" s="79">
        <v>223.3</v>
      </c>
      <c r="P1612" s="79">
        <v>537.11</v>
      </c>
      <c r="Q1612" s="136"/>
      <c r="R1612" s="79">
        <v>313.81</v>
      </c>
      <c r="S1612" s="79">
        <v>223.32</v>
      </c>
      <c r="T1612" s="79">
        <v>537.13</v>
      </c>
      <c r="U1612" s="79">
        <v>0</v>
      </c>
      <c r="V1612" s="189">
        <v>537.13</v>
      </c>
      <c r="X1612" s="79">
        <v>313.81</v>
      </c>
      <c r="Y1612" s="79">
        <v>223.32</v>
      </c>
      <c r="Z1612" s="79">
        <v>537.13</v>
      </c>
      <c r="AA1612" s="255">
        <v>-1.999999999998181E-2</v>
      </c>
      <c r="AC1612" s="254"/>
    </row>
    <row r="1613" spans="1:31" ht="24">
      <c r="A1613" s="67" t="s">
        <v>13612</v>
      </c>
      <c r="B1613" s="65" t="s">
        <v>13613</v>
      </c>
      <c r="C1613" s="71" t="s">
        <v>103</v>
      </c>
      <c r="D1613" s="78">
        <v>1</v>
      </c>
      <c r="E1613" s="79">
        <v>240.81</v>
      </c>
      <c r="F1613" s="70">
        <v>240.81</v>
      </c>
      <c r="G1613" s="320"/>
      <c r="H1613" s="79">
        <v>215.61</v>
      </c>
      <c r="I1613" s="79">
        <v>25.2</v>
      </c>
      <c r="J1613" s="79">
        <v>240.81</v>
      </c>
      <c r="K1613" s="79">
        <v>0</v>
      </c>
      <c r="L1613" s="70">
        <v>240.81</v>
      </c>
      <c r="M1613" s="132"/>
      <c r="N1613" s="79">
        <v>215.61</v>
      </c>
      <c r="O1613" s="79">
        <v>25.2</v>
      </c>
      <c r="P1613" s="79">
        <v>240.81</v>
      </c>
      <c r="Q1613" s="136"/>
      <c r="R1613" s="79">
        <v>215.61</v>
      </c>
      <c r="S1613" s="79">
        <v>25.18</v>
      </c>
      <c r="T1613" s="79">
        <v>240.79000000000002</v>
      </c>
      <c r="U1613" s="79">
        <v>0</v>
      </c>
      <c r="V1613" s="189">
        <v>240.79000000000002</v>
      </c>
      <c r="X1613" s="79">
        <v>215.61</v>
      </c>
      <c r="Y1613" s="79">
        <v>25.18</v>
      </c>
      <c r="Z1613" s="79">
        <v>240.79</v>
      </c>
      <c r="AA1613" s="255">
        <v>2.0000000000010232E-2</v>
      </c>
      <c r="AC1613" s="254"/>
    </row>
    <row r="1614" spans="1:31" ht="24">
      <c r="A1614" s="67" t="s">
        <v>13614</v>
      </c>
      <c r="B1614" s="65" t="s">
        <v>13615</v>
      </c>
      <c r="C1614" s="71" t="s">
        <v>103</v>
      </c>
      <c r="D1614" s="78">
        <v>1</v>
      </c>
      <c r="E1614" s="79">
        <v>31.81</v>
      </c>
      <c r="F1614" s="70">
        <v>31.81</v>
      </c>
      <c r="G1614" s="320"/>
      <c r="H1614" s="79">
        <v>27.27</v>
      </c>
      <c r="I1614" s="79">
        <v>4.54</v>
      </c>
      <c r="J1614" s="79">
        <v>31.81</v>
      </c>
      <c r="K1614" s="79">
        <v>0</v>
      </c>
      <c r="L1614" s="70">
        <v>31.81</v>
      </c>
      <c r="M1614" s="132"/>
      <c r="N1614" s="79">
        <v>27.27</v>
      </c>
      <c r="O1614" s="79">
        <v>4.54</v>
      </c>
      <c r="P1614" s="79">
        <v>31.81</v>
      </c>
      <c r="Q1614" s="136"/>
      <c r="R1614" s="79">
        <v>27.27</v>
      </c>
      <c r="S1614" s="79">
        <v>4.54</v>
      </c>
      <c r="T1614" s="79">
        <v>31.81</v>
      </c>
      <c r="U1614" s="79">
        <v>0</v>
      </c>
      <c r="V1614" s="189">
        <v>31.81</v>
      </c>
      <c r="X1614" s="79">
        <v>27.27</v>
      </c>
      <c r="Y1614" s="79">
        <v>4.54</v>
      </c>
      <c r="Z1614" s="79">
        <v>31.81</v>
      </c>
      <c r="AA1614" s="255">
        <v>0</v>
      </c>
      <c r="AC1614" s="254"/>
      <c r="AD1614" s="61"/>
      <c r="AE1614" s="61"/>
    </row>
    <row r="1615" spans="1:31" ht="12">
      <c r="A1615" s="489" t="s">
        <v>13616</v>
      </c>
      <c r="B1615" s="490" t="s">
        <v>13617</v>
      </c>
      <c r="C1615" s="491"/>
      <c r="D1615" s="492"/>
      <c r="E1615" s="79"/>
      <c r="F1615" s="63"/>
      <c r="G1615" s="320"/>
      <c r="H1615" s="79"/>
      <c r="I1615" s="79"/>
      <c r="J1615" s="79"/>
      <c r="K1615" s="79"/>
      <c r="L1615" s="70"/>
      <c r="M1615" s="132"/>
      <c r="N1615" s="79"/>
      <c r="O1615" s="79"/>
      <c r="P1615" s="79"/>
      <c r="Q1615" s="136"/>
      <c r="R1615" s="79"/>
      <c r="S1615" s="79"/>
      <c r="T1615" s="79"/>
      <c r="U1615" s="79"/>
      <c r="V1615" s="189"/>
      <c r="X1615" s="79"/>
      <c r="Y1615" s="79"/>
      <c r="Z1615" s="79"/>
      <c r="AA1615" s="255"/>
      <c r="AC1615" s="254"/>
      <c r="AD1615" s="61"/>
      <c r="AE1615" s="61"/>
    </row>
    <row r="1616" spans="1:31" s="61" customFormat="1" ht="12">
      <c r="A1616" s="67" t="s">
        <v>13618</v>
      </c>
      <c r="B1616" s="65" t="s">
        <v>13619</v>
      </c>
      <c r="C1616" s="71" t="s">
        <v>103</v>
      </c>
      <c r="D1616" s="78">
        <v>1</v>
      </c>
      <c r="E1616" s="79">
        <v>997.64</v>
      </c>
      <c r="F1616" s="70">
        <v>997.64</v>
      </c>
      <c r="G1616" s="320"/>
      <c r="H1616" s="79">
        <v>991.96</v>
      </c>
      <c r="I1616" s="79">
        <v>5.68</v>
      </c>
      <c r="J1616" s="79">
        <v>997.64</v>
      </c>
      <c r="K1616" s="79">
        <v>0</v>
      </c>
      <c r="L1616" s="70">
        <v>997.64</v>
      </c>
      <c r="M1616" s="132"/>
      <c r="N1616" s="79">
        <v>991.96</v>
      </c>
      <c r="O1616" s="79">
        <v>5.68</v>
      </c>
      <c r="P1616" s="79">
        <v>997.64</v>
      </c>
      <c r="Q1616" s="136"/>
      <c r="R1616" s="79">
        <v>991.96</v>
      </c>
      <c r="S1616" s="79">
        <v>5.68</v>
      </c>
      <c r="T1616" s="79">
        <v>997.64</v>
      </c>
      <c r="U1616" s="79">
        <v>0</v>
      </c>
      <c r="V1616" s="189">
        <v>997.64</v>
      </c>
      <c r="X1616" s="79">
        <v>991.96</v>
      </c>
      <c r="Y1616" s="79">
        <v>5.68</v>
      </c>
      <c r="Z1616" s="79">
        <v>997.64</v>
      </c>
      <c r="AA1616" s="255">
        <v>0</v>
      </c>
      <c r="AC1616" s="254"/>
      <c r="AD1616" s="69"/>
      <c r="AE1616" s="69"/>
    </row>
    <row r="1617" spans="1:31" s="61" customFormat="1" ht="12">
      <c r="A1617" s="67" t="s">
        <v>13620</v>
      </c>
      <c r="B1617" s="65" t="s">
        <v>13621</v>
      </c>
      <c r="C1617" s="71" t="s">
        <v>103</v>
      </c>
      <c r="D1617" s="78">
        <v>1</v>
      </c>
      <c r="E1617" s="79">
        <v>1745.47</v>
      </c>
      <c r="F1617" s="70">
        <v>1745.47</v>
      </c>
      <c r="G1617" s="320"/>
      <c r="H1617" s="79">
        <v>1666.94</v>
      </c>
      <c r="I1617" s="79">
        <v>78.53</v>
      </c>
      <c r="J1617" s="79">
        <v>1745.47</v>
      </c>
      <c r="K1617" s="79">
        <v>0</v>
      </c>
      <c r="L1617" s="70">
        <v>1745.47</v>
      </c>
      <c r="M1617" s="132"/>
      <c r="N1617" s="79">
        <v>1666.94</v>
      </c>
      <c r="O1617" s="79">
        <v>78.53</v>
      </c>
      <c r="P1617" s="79">
        <v>1745.47</v>
      </c>
      <c r="Q1617" s="136"/>
      <c r="R1617" s="79">
        <v>1666.94</v>
      </c>
      <c r="S1617" s="79">
        <v>78.540000000000006</v>
      </c>
      <c r="T1617" s="79">
        <v>1745.48</v>
      </c>
      <c r="U1617" s="79">
        <v>0</v>
      </c>
      <c r="V1617" s="189">
        <v>1745.48</v>
      </c>
      <c r="X1617" s="79">
        <v>1666.94</v>
      </c>
      <c r="Y1617" s="79">
        <v>78.540000000000006</v>
      </c>
      <c r="Z1617" s="79">
        <v>1745.48</v>
      </c>
      <c r="AA1617" s="501">
        <v>-9.9999999999909051E-3</v>
      </c>
      <c r="AC1617" s="254"/>
    </row>
    <row r="1618" spans="1:31" s="69" customFormat="1" ht="12">
      <c r="A1618" s="67" t="s">
        <v>13622</v>
      </c>
      <c r="B1618" s="65" t="s">
        <v>13623</v>
      </c>
      <c r="C1618" s="71" t="s">
        <v>103</v>
      </c>
      <c r="D1618" s="78">
        <v>1</v>
      </c>
      <c r="E1618" s="79">
        <v>2962.49</v>
      </c>
      <c r="F1618" s="70">
        <v>2962.49</v>
      </c>
      <c r="G1618" s="320"/>
      <c r="H1618" s="79">
        <v>2552.9499999999998</v>
      </c>
      <c r="I1618" s="79">
        <v>409.53999999999996</v>
      </c>
      <c r="J1618" s="79">
        <v>2962.49</v>
      </c>
      <c r="K1618" s="79">
        <v>0</v>
      </c>
      <c r="L1618" s="70">
        <v>2962.49</v>
      </c>
      <c r="M1618" s="132"/>
      <c r="N1618" s="79">
        <v>2552.9499999999998</v>
      </c>
      <c r="O1618" s="79">
        <v>409.53999999999996</v>
      </c>
      <c r="P1618" s="79">
        <v>2962.49</v>
      </c>
      <c r="Q1618" s="136"/>
      <c r="R1618" s="79">
        <v>2552.9499999999998</v>
      </c>
      <c r="S1618" s="79">
        <v>409.53</v>
      </c>
      <c r="T1618" s="79">
        <v>2962.4799999999996</v>
      </c>
      <c r="U1618" s="79">
        <v>0</v>
      </c>
      <c r="V1618" s="189">
        <v>2962.4799999999996</v>
      </c>
      <c r="W1618" s="61"/>
      <c r="X1618" s="79">
        <v>2552.9499999999998</v>
      </c>
      <c r="Y1618" s="79">
        <v>409.53</v>
      </c>
      <c r="Z1618" s="79">
        <v>2962.48</v>
      </c>
      <c r="AA1618" s="501">
        <v>9.9999999997635314E-3</v>
      </c>
      <c r="AB1618" s="61"/>
      <c r="AC1618" s="254"/>
      <c r="AD1618" s="236"/>
      <c r="AE1618" s="236"/>
    </row>
    <row r="1619" spans="1:31" s="61" customFormat="1" ht="12">
      <c r="A1619" s="67" t="s">
        <v>13624</v>
      </c>
      <c r="B1619" s="65" t="s">
        <v>13625</v>
      </c>
      <c r="C1619" s="71" t="s">
        <v>103</v>
      </c>
      <c r="D1619" s="78">
        <v>1</v>
      </c>
      <c r="E1619" s="79">
        <v>1275.9100000000001</v>
      </c>
      <c r="F1619" s="70">
        <v>1275.9100000000001</v>
      </c>
      <c r="G1619" s="320"/>
      <c r="H1619" s="79">
        <v>1208.7200000000003</v>
      </c>
      <c r="I1619" s="79">
        <v>67.19</v>
      </c>
      <c r="J1619" s="79">
        <v>1275.9100000000003</v>
      </c>
      <c r="K1619" s="79">
        <v>0</v>
      </c>
      <c r="L1619" s="70">
        <v>1275.9100000000003</v>
      </c>
      <c r="M1619" s="132"/>
      <c r="N1619" s="79">
        <v>1208.7200000000003</v>
      </c>
      <c r="O1619" s="79">
        <v>67.19</v>
      </c>
      <c r="P1619" s="79">
        <v>1275.9100000000003</v>
      </c>
      <c r="Q1619" s="136"/>
      <c r="R1619" s="79">
        <v>1208.72</v>
      </c>
      <c r="S1619" s="79">
        <v>67.19</v>
      </c>
      <c r="T1619" s="79">
        <v>1275.9100000000001</v>
      </c>
      <c r="U1619" s="79">
        <v>0</v>
      </c>
      <c r="V1619" s="189">
        <v>1275.9100000000001</v>
      </c>
      <c r="X1619" s="79">
        <v>1208.72</v>
      </c>
      <c r="Y1619" s="79">
        <v>67.19</v>
      </c>
      <c r="Z1619" s="79">
        <v>1275.9100000000001</v>
      </c>
      <c r="AA1619" s="255">
        <v>0</v>
      </c>
      <c r="AC1619" s="254"/>
      <c r="AD1619" s="236"/>
      <c r="AE1619" s="236"/>
    </row>
    <row r="1620" spans="1:31" ht="12">
      <c r="A1620" s="489" t="s">
        <v>13626</v>
      </c>
      <c r="B1620" s="490" t="s">
        <v>13627</v>
      </c>
      <c r="C1620" s="491"/>
      <c r="D1620" s="492"/>
      <c r="E1620" s="79"/>
      <c r="F1620" s="63"/>
      <c r="G1620" s="320"/>
      <c r="H1620" s="79"/>
      <c r="I1620" s="79"/>
      <c r="J1620" s="79"/>
      <c r="K1620" s="79"/>
      <c r="L1620" s="70"/>
      <c r="M1620" s="132"/>
      <c r="N1620" s="79"/>
      <c r="O1620" s="79"/>
      <c r="P1620" s="79"/>
      <c r="Q1620" s="136"/>
      <c r="R1620" s="79"/>
      <c r="S1620" s="79"/>
      <c r="T1620" s="79"/>
      <c r="U1620" s="79"/>
      <c r="V1620" s="189"/>
      <c r="X1620" s="79"/>
      <c r="Y1620" s="79"/>
      <c r="Z1620" s="79"/>
      <c r="AA1620" s="255"/>
      <c r="AC1620" s="254"/>
    </row>
    <row r="1621" spans="1:31" ht="24">
      <c r="A1621" s="67" t="s">
        <v>13628</v>
      </c>
      <c r="B1621" s="65" t="s">
        <v>13629</v>
      </c>
      <c r="C1621" s="71" t="s">
        <v>396</v>
      </c>
      <c r="D1621" s="78">
        <v>1</v>
      </c>
      <c r="E1621" s="79">
        <v>27148.080000000002</v>
      </c>
      <c r="F1621" s="70">
        <v>27148.080000000002</v>
      </c>
      <c r="G1621" s="320"/>
      <c r="H1621" s="79">
        <v>27148.080000000002</v>
      </c>
      <c r="I1621" s="79">
        <v>0</v>
      </c>
      <c r="J1621" s="79">
        <v>27148.080000000002</v>
      </c>
      <c r="K1621" s="79">
        <v>0</v>
      </c>
      <c r="L1621" s="70">
        <v>27148.080000000002</v>
      </c>
      <c r="M1621" s="132"/>
      <c r="N1621" s="79">
        <v>27148.080000000002</v>
      </c>
      <c r="O1621" s="79"/>
      <c r="P1621" s="79">
        <v>27148.080000000002</v>
      </c>
      <c r="Q1621" s="136"/>
      <c r="R1621" s="79">
        <v>27148.080000000002</v>
      </c>
      <c r="S1621" s="79"/>
      <c r="T1621" s="79">
        <v>27148.080000000002</v>
      </c>
      <c r="U1621" s="79">
        <v>0</v>
      </c>
      <c r="V1621" s="189">
        <v>27148.080000000002</v>
      </c>
      <c r="X1621" s="79">
        <v>27148.080000000002</v>
      </c>
      <c r="Y1621" s="79"/>
      <c r="Z1621" s="79">
        <v>27148.080000000002</v>
      </c>
      <c r="AA1621" s="255">
        <v>0</v>
      </c>
      <c r="AC1621" s="254"/>
    </row>
    <row r="1622" spans="1:31" ht="24">
      <c r="A1622" s="67" t="s">
        <v>13630</v>
      </c>
      <c r="B1622" s="65" t="s">
        <v>13631</v>
      </c>
      <c r="C1622" s="71" t="s">
        <v>396</v>
      </c>
      <c r="D1622" s="78">
        <v>1</v>
      </c>
      <c r="E1622" s="79">
        <v>27960.61</v>
      </c>
      <c r="F1622" s="70">
        <v>27960.61</v>
      </c>
      <c r="G1622" s="320"/>
      <c r="H1622" s="79">
        <v>27960.61</v>
      </c>
      <c r="I1622" s="79">
        <v>0</v>
      </c>
      <c r="J1622" s="79">
        <v>27960.61</v>
      </c>
      <c r="K1622" s="79">
        <v>0</v>
      </c>
      <c r="L1622" s="70">
        <v>27960.61</v>
      </c>
      <c r="M1622" s="132"/>
      <c r="N1622" s="79">
        <v>27960.61</v>
      </c>
      <c r="O1622" s="79"/>
      <c r="P1622" s="79">
        <v>27960.61</v>
      </c>
      <c r="Q1622" s="136"/>
      <c r="R1622" s="79">
        <v>27960.61</v>
      </c>
      <c r="S1622" s="79"/>
      <c r="T1622" s="79">
        <v>27960.61</v>
      </c>
      <c r="U1622" s="79">
        <v>0</v>
      </c>
      <c r="V1622" s="189">
        <v>27960.61</v>
      </c>
      <c r="X1622" s="79">
        <v>27960.61</v>
      </c>
      <c r="Y1622" s="79"/>
      <c r="Z1622" s="79">
        <v>27960.61</v>
      </c>
      <c r="AA1622" s="255">
        <v>0</v>
      </c>
      <c r="AC1622" s="254"/>
    </row>
    <row r="1623" spans="1:31" ht="12">
      <c r="A1623" s="67" t="s">
        <v>40954</v>
      </c>
      <c r="B1623" s="65" t="s">
        <v>40955</v>
      </c>
      <c r="C1623" s="71" t="s">
        <v>396</v>
      </c>
      <c r="D1623" s="78">
        <v>1</v>
      </c>
      <c r="E1623" s="79">
        <v>82065.59</v>
      </c>
      <c r="F1623" s="70">
        <v>82065.59</v>
      </c>
      <c r="G1623" s="320"/>
      <c r="H1623" s="79">
        <v>82065.59</v>
      </c>
      <c r="I1623" s="79">
        <v>0</v>
      </c>
      <c r="J1623" s="79">
        <v>82065.59</v>
      </c>
      <c r="K1623" s="79">
        <v>0</v>
      </c>
      <c r="L1623" s="70">
        <v>82065.59</v>
      </c>
      <c r="M1623" s="132"/>
      <c r="N1623" s="79">
        <v>82065.59</v>
      </c>
      <c r="O1623" s="79"/>
      <c r="P1623" s="79">
        <v>82065.59</v>
      </c>
      <c r="Q1623" s="136"/>
      <c r="R1623" s="79">
        <v>82065.59</v>
      </c>
      <c r="S1623" s="79"/>
      <c r="T1623" s="79">
        <v>82065.59</v>
      </c>
      <c r="U1623" s="79">
        <v>0</v>
      </c>
      <c r="V1623" s="189">
        <v>82065.59</v>
      </c>
      <c r="X1623" s="79">
        <v>82065.59</v>
      </c>
      <c r="Y1623" s="79"/>
      <c r="Z1623" s="79">
        <v>82065.59</v>
      </c>
      <c r="AA1623" s="255">
        <v>0</v>
      </c>
      <c r="AC1623" s="254"/>
    </row>
    <row r="1624" spans="1:31" ht="12">
      <c r="A1624" s="489" t="s">
        <v>13632</v>
      </c>
      <c r="B1624" s="490" t="s">
        <v>13633</v>
      </c>
      <c r="C1624" s="491"/>
      <c r="D1624" s="78"/>
      <c r="E1624" s="79"/>
      <c r="F1624" s="70"/>
      <c r="G1624" s="320"/>
      <c r="H1624" s="79"/>
      <c r="I1624" s="79"/>
      <c r="J1624" s="79"/>
      <c r="K1624" s="79"/>
      <c r="L1624" s="70"/>
      <c r="M1624" s="132"/>
      <c r="N1624" s="79"/>
      <c r="O1624" s="79"/>
      <c r="P1624" s="79"/>
      <c r="Q1624" s="136"/>
      <c r="R1624" s="79"/>
      <c r="S1624" s="79"/>
      <c r="T1624" s="79"/>
      <c r="U1624" s="79"/>
      <c r="V1624" s="189"/>
      <c r="X1624" s="79"/>
      <c r="Y1624" s="79"/>
      <c r="Z1624" s="79"/>
      <c r="AA1624" s="255"/>
      <c r="AC1624" s="254"/>
    </row>
    <row r="1625" spans="1:31" ht="12">
      <c r="A1625" s="489" t="s">
        <v>13634</v>
      </c>
      <c r="B1625" s="490" t="s">
        <v>13635</v>
      </c>
      <c r="C1625" s="491"/>
      <c r="D1625" s="78"/>
      <c r="E1625" s="79"/>
      <c r="F1625" s="70"/>
      <c r="G1625" s="320"/>
      <c r="H1625" s="79"/>
      <c r="I1625" s="79"/>
      <c r="J1625" s="79"/>
      <c r="K1625" s="79"/>
      <c r="L1625" s="70"/>
      <c r="M1625" s="132"/>
      <c r="N1625" s="79"/>
      <c r="O1625" s="79"/>
      <c r="P1625" s="79"/>
      <c r="Q1625" s="136"/>
      <c r="R1625" s="79"/>
      <c r="S1625" s="79"/>
      <c r="T1625" s="79"/>
      <c r="U1625" s="79"/>
      <c r="V1625" s="189"/>
      <c r="X1625" s="79"/>
      <c r="Y1625" s="79"/>
      <c r="Z1625" s="79"/>
      <c r="AA1625" s="255"/>
      <c r="AC1625" s="254"/>
    </row>
    <row r="1626" spans="1:31" ht="12">
      <c r="A1626" s="67" t="s">
        <v>13636</v>
      </c>
      <c r="B1626" s="65" t="s">
        <v>13637</v>
      </c>
      <c r="C1626" s="71" t="s">
        <v>509</v>
      </c>
      <c r="D1626" s="78">
        <v>1</v>
      </c>
      <c r="E1626" s="79">
        <v>22.599999999999998</v>
      </c>
      <c r="F1626" s="70">
        <v>22.6</v>
      </c>
      <c r="G1626" s="320"/>
      <c r="H1626" s="79">
        <v>18.059999999999999</v>
      </c>
      <c r="I1626" s="79">
        <v>4.54</v>
      </c>
      <c r="J1626" s="79">
        <v>22.599999999999998</v>
      </c>
      <c r="K1626" s="79">
        <v>0</v>
      </c>
      <c r="L1626" s="70">
        <v>22.599999999999998</v>
      </c>
      <c r="M1626" s="132"/>
      <c r="N1626" s="79">
        <v>18.059999999999999</v>
      </c>
      <c r="O1626" s="79">
        <v>4.54</v>
      </c>
      <c r="P1626" s="79">
        <v>22.599999999999998</v>
      </c>
      <c r="Q1626" s="136"/>
      <c r="R1626" s="79">
        <v>18.059999999999999</v>
      </c>
      <c r="S1626" s="79">
        <v>4.54</v>
      </c>
      <c r="T1626" s="79">
        <v>22.599999999999998</v>
      </c>
      <c r="U1626" s="79">
        <v>0</v>
      </c>
      <c r="V1626" s="189">
        <v>22.599999999999998</v>
      </c>
      <c r="X1626" s="79">
        <v>18.059999999999999</v>
      </c>
      <c r="Y1626" s="79">
        <v>4.54</v>
      </c>
      <c r="Z1626" s="79">
        <v>22.6</v>
      </c>
      <c r="AA1626" s="255">
        <v>0</v>
      </c>
      <c r="AC1626" s="254"/>
    </row>
    <row r="1627" spans="1:31" ht="12">
      <c r="A1627" s="67" t="s">
        <v>13638</v>
      </c>
      <c r="B1627" s="65" t="s">
        <v>13639</v>
      </c>
      <c r="C1627" s="71" t="s">
        <v>509</v>
      </c>
      <c r="D1627" s="78">
        <v>1</v>
      </c>
      <c r="E1627" s="79">
        <v>34.9</v>
      </c>
      <c r="F1627" s="70">
        <v>34.9</v>
      </c>
      <c r="G1627" s="320"/>
      <c r="H1627" s="79">
        <v>30.36</v>
      </c>
      <c r="I1627" s="79">
        <v>4.54</v>
      </c>
      <c r="J1627" s="79">
        <v>34.9</v>
      </c>
      <c r="K1627" s="79">
        <v>0</v>
      </c>
      <c r="L1627" s="70">
        <v>34.9</v>
      </c>
      <c r="M1627" s="132"/>
      <c r="N1627" s="79">
        <v>30.36</v>
      </c>
      <c r="O1627" s="79">
        <v>4.54</v>
      </c>
      <c r="P1627" s="79">
        <v>34.9</v>
      </c>
      <c r="Q1627" s="136"/>
      <c r="R1627" s="79">
        <v>30.36</v>
      </c>
      <c r="S1627" s="79">
        <v>4.54</v>
      </c>
      <c r="T1627" s="79">
        <v>34.9</v>
      </c>
      <c r="U1627" s="79">
        <v>0</v>
      </c>
      <c r="V1627" s="189">
        <v>34.9</v>
      </c>
      <c r="X1627" s="79">
        <v>30.36</v>
      </c>
      <c r="Y1627" s="79">
        <v>4.54</v>
      </c>
      <c r="Z1627" s="79">
        <v>34.9</v>
      </c>
      <c r="AA1627" s="255">
        <v>0</v>
      </c>
      <c r="AC1627" s="254"/>
    </row>
    <row r="1628" spans="1:31" ht="12">
      <c r="A1628" s="67" t="s">
        <v>13640</v>
      </c>
      <c r="B1628" s="65" t="s">
        <v>13641</v>
      </c>
      <c r="C1628" s="71" t="s">
        <v>121</v>
      </c>
      <c r="D1628" s="78">
        <v>1</v>
      </c>
      <c r="E1628" s="79">
        <v>763</v>
      </c>
      <c r="F1628" s="70">
        <v>763</v>
      </c>
      <c r="G1628" s="320"/>
      <c r="H1628" s="79">
        <v>699.42</v>
      </c>
      <c r="I1628" s="79">
        <v>63.58</v>
      </c>
      <c r="J1628" s="79">
        <v>763</v>
      </c>
      <c r="K1628" s="79">
        <v>0</v>
      </c>
      <c r="L1628" s="70">
        <v>763</v>
      </c>
      <c r="M1628" s="132"/>
      <c r="N1628" s="79">
        <v>699.42</v>
      </c>
      <c r="O1628" s="79">
        <v>63.58</v>
      </c>
      <c r="P1628" s="79">
        <v>763</v>
      </c>
      <c r="Q1628" s="136"/>
      <c r="R1628" s="79">
        <v>699.42</v>
      </c>
      <c r="S1628" s="79">
        <v>63.59</v>
      </c>
      <c r="T1628" s="79">
        <v>763.01</v>
      </c>
      <c r="U1628" s="79">
        <v>0</v>
      </c>
      <c r="V1628" s="189">
        <v>763.01</v>
      </c>
      <c r="X1628" s="79">
        <v>699.42</v>
      </c>
      <c r="Y1628" s="79">
        <v>63.59</v>
      </c>
      <c r="Z1628" s="79">
        <v>763.01</v>
      </c>
      <c r="AA1628" s="255">
        <v>-9.9999999999909051E-3</v>
      </c>
      <c r="AC1628" s="254"/>
    </row>
    <row r="1629" spans="1:31" ht="24">
      <c r="A1629" s="67" t="s">
        <v>13642</v>
      </c>
      <c r="B1629" s="65" t="s">
        <v>13643</v>
      </c>
      <c r="C1629" s="71" t="s">
        <v>509</v>
      </c>
      <c r="D1629" s="78">
        <v>1</v>
      </c>
      <c r="E1629" s="79">
        <v>190.03</v>
      </c>
      <c r="F1629" s="70">
        <v>190.03</v>
      </c>
      <c r="G1629" s="320"/>
      <c r="H1629" s="79">
        <v>181.47</v>
      </c>
      <c r="I1629" s="79">
        <v>8.5599999999999987</v>
      </c>
      <c r="J1629" s="79">
        <v>190.03</v>
      </c>
      <c r="K1629" s="79">
        <v>0</v>
      </c>
      <c r="L1629" s="70">
        <v>190.03</v>
      </c>
      <c r="M1629" s="132"/>
      <c r="N1629" s="79">
        <v>181.47</v>
      </c>
      <c r="O1629" s="79">
        <v>8.5599999999999987</v>
      </c>
      <c r="P1629" s="79">
        <v>190.03</v>
      </c>
      <c r="Q1629" s="136"/>
      <c r="R1629" s="79">
        <v>181.65</v>
      </c>
      <c r="S1629" s="79">
        <v>8.36</v>
      </c>
      <c r="T1629" s="79">
        <v>190.01</v>
      </c>
      <c r="U1629" s="79">
        <v>0</v>
      </c>
      <c r="V1629" s="189">
        <v>190.01</v>
      </c>
      <c r="X1629" s="79">
        <v>181.65</v>
      </c>
      <c r="Y1629" s="79">
        <v>8.36</v>
      </c>
      <c r="Z1629" s="79">
        <v>190.01</v>
      </c>
      <c r="AA1629" s="255">
        <v>2.0000000000010232E-2</v>
      </c>
      <c r="AC1629" s="254"/>
    </row>
    <row r="1630" spans="1:31" ht="24">
      <c r="A1630" s="67" t="s">
        <v>13644</v>
      </c>
      <c r="B1630" s="65" t="s">
        <v>13645</v>
      </c>
      <c r="C1630" s="71" t="s">
        <v>509</v>
      </c>
      <c r="D1630" s="78">
        <v>1</v>
      </c>
      <c r="E1630" s="79">
        <v>32.31</v>
      </c>
      <c r="F1630" s="70">
        <v>32.31</v>
      </c>
      <c r="G1630" s="320"/>
      <c r="H1630" s="79">
        <v>19.96</v>
      </c>
      <c r="I1630" s="79">
        <v>12.350000000000001</v>
      </c>
      <c r="J1630" s="79">
        <v>32.31</v>
      </c>
      <c r="K1630" s="79">
        <v>0</v>
      </c>
      <c r="L1630" s="70">
        <v>32.31</v>
      </c>
      <c r="M1630" s="132"/>
      <c r="N1630" s="79">
        <v>19.96</v>
      </c>
      <c r="O1630" s="79">
        <v>12.350000000000001</v>
      </c>
      <c r="P1630" s="79">
        <v>32.31</v>
      </c>
      <c r="Q1630" s="136"/>
      <c r="R1630" s="79">
        <v>19.96</v>
      </c>
      <c r="S1630" s="79">
        <v>12.34</v>
      </c>
      <c r="T1630" s="79">
        <v>32.299999999999997</v>
      </c>
      <c r="U1630" s="79">
        <v>0</v>
      </c>
      <c r="V1630" s="189">
        <v>32.299999999999997</v>
      </c>
      <c r="X1630" s="79">
        <v>19.96</v>
      </c>
      <c r="Y1630" s="79">
        <v>12.34</v>
      </c>
      <c r="Z1630" s="79">
        <v>32.299999999999997</v>
      </c>
      <c r="AA1630" s="255">
        <v>1.0000000000005116E-2</v>
      </c>
      <c r="AC1630" s="254"/>
    </row>
    <row r="1631" spans="1:31" ht="12">
      <c r="A1631" s="67" t="s">
        <v>13646</v>
      </c>
      <c r="B1631" s="65" t="s">
        <v>28062</v>
      </c>
      <c r="C1631" s="71" t="s">
        <v>509</v>
      </c>
      <c r="D1631" s="78">
        <v>1</v>
      </c>
      <c r="E1631" s="79">
        <v>80.98</v>
      </c>
      <c r="F1631" s="70">
        <v>80.98</v>
      </c>
      <c r="G1631" s="320"/>
      <c r="H1631" s="79">
        <v>80.98</v>
      </c>
      <c r="I1631" s="79">
        <v>0</v>
      </c>
      <c r="J1631" s="79">
        <v>80.98</v>
      </c>
      <c r="K1631" s="79">
        <v>0</v>
      </c>
      <c r="L1631" s="70">
        <v>80.98</v>
      </c>
      <c r="M1631" s="132"/>
      <c r="N1631" s="79">
        <v>80.98</v>
      </c>
      <c r="O1631" s="79"/>
      <c r="P1631" s="79">
        <v>80.98</v>
      </c>
      <c r="Q1631" s="136"/>
      <c r="R1631" s="79">
        <v>80.98</v>
      </c>
      <c r="S1631" s="79"/>
      <c r="T1631" s="79">
        <v>80.98</v>
      </c>
      <c r="U1631" s="79">
        <v>0</v>
      </c>
      <c r="V1631" s="189">
        <v>80.98</v>
      </c>
      <c r="X1631" s="79">
        <v>80.98</v>
      </c>
      <c r="Y1631" s="79"/>
      <c r="Z1631" s="79">
        <v>80.98</v>
      </c>
      <c r="AA1631" s="255">
        <v>0</v>
      </c>
      <c r="AC1631" s="254"/>
    </row>
    <row r="1632" spans="1:31" ht="12">
      <c r="A1632" s="67" t="s">
        <v>40956</v>
      </c>
      <c r="B1632" s="65" t="s">
        <v>40957</v>
      </c>
      <c r="C1632" s="71" t="s">
        <v>509</v>
      </c>
      <c r="D1632" s="78">
        <v>1</v>
      </c>
      <c r="E1632" s="79">
        <v>58.649999999999991</v>
      </c>
      <c r="F1632" s="70">
        <v>58.65</v>
      </c>
      <c r="G1632" s="320"/>
      <c r="H1632" s="79">
        <v>19.55</v>
      </c>
      <c r="I1632" s="79">
        <v>39.099999999999994</v>
      </c>
      <c r="J1632" s="79">
        <v>58.649999999999991</v>
      </c>
      <c r="K1632" s="79">
        <v>0</v>
      </c>
      <c r="L1632" s="70">
        <v>58.649999999999991</v>
      </c>
      <c r="M1632" s="132"/>
      <c r="N1632" s="79">
        <v>19.55</v>
      </c>
      <c r="O1632" s="79">
        <v>39.099999999999994</v>
      </c>
      <c r="P1632" s="79">
        <v>58.649999999999991</v>
      </c>
      <c r="Q1632" s="136"/>
      <c r="R1632" s="79">
        <v>19.55</v>
      </c>
      <c r="S1632" s="79">
        <v>39.08</v>
      </c>
      <c r="T1632" s="79">
        <v>58.629999999999995</v>
      </c>
      <c r="U1632" s="79">
        <v>0</v>
      </c>
      <c r="V1632" s="189">
        <v>58.629999999999995</v>
      </c>
      <c r="X1632" s="79">
        <v>19.55</v>
      </c>
      <c r="Y1632" s="79">
        <v>39.08</v>
      </c>
      <c r="Z1632" s="79">
        <v>58.63</v>
      </c>
      <c r="AA1632" s="255">
        <v>1.9999999999996021E-2</v>
      </c>
      <c r="AC1632" s="505"/>
    </row>
    <row r="1633" spans="1:31" ht="24">
      <c r="A1633" s="67" t="s">
        <v>13647</v>
      </c>
      <c r="B1633" s="65" t="s">
        <v>13648</v>
      </c>
      <c r="C1633" s="71" t="s">
        <v>509</v>
      </c>
      <c r="D1633" s="78">
        <v>1</v>
      </c>
      <c r="E1633" s="79">
        <v>1397.54</v>
      </c>
      <c r="F1633" s="70">
        <v>1397.54</v>
      </c>
      <c r="G1633" s="320"/>
      <c r="H1633" s="79">
        <v>1397.54</v>
      </c>
      <c r="I1633" s="79">
        <v>0</v>
      </c>
      <c r="J1633" s="79">
        <v>1397.54</v>
      </c>
      <c r="K1633" s="79">
        <v>0</v>
      </c>
      <c r="L1633" s="70">
        <v>1397.54</v>
      </c>
      <c r="M1633" s="132"/>
      <c r="N1633" s="79">
        <v>1397.54</v>
      </c>
      <c r="O1633" s="79"/>
      <c r="P1633" s="79">
        <v>1397.54</v>
      </c>
      <c r="Q1633" s="136"/>
      <c r="R1633" s="79">
        <v>1397.54</v>
      </c>
      <c r="S1633" s="79"/>
      <c r="T1633" s="79">
        <v>1397.54</v>
      </c>
      <c r="U1633" s="79">
        <v>0</v>
      </c>
      <c r="V1633" s="189">
        <v>1397.54</v>
      </c>
      <c r="X1633" s="79">
        <v>1397.54</v>
      </c>
      <c r="Y1633" s="79"/>
      <c r="Z1633" s="79">
        <v>1397.54</v>
      </c>
      <c r="AA1633" s="255">
        <v>0</v>
      </c>
      <c r="AC1633" s="254"/>
    </row>
    <row r="1634" spans="1:31" ht="12">
      <c r="A1634" s="67" t="s">
        <v>13649</v>
      </c>
      <c r="B1634" s="65" t="s">
        <v>13650</v>
      </c>
      <c r="C1634" s="71" t="s">
        <v>509</v>
      </c>
      <c r="D1634" s="78">
        <v>1</v>
      </c>
      <c r="E1634" s="79">
        <v>106.22</v>
      </c>
      <c r="F1634" s="70">
        <v>106.22</v>
      </c>
      <c r="G1634" s="320"/>
      <c r="H1634" s="79">
        <v>72.72</v>
      </c>
      <c r="I1634" s="79">
        <v>33.5</v>
      </c>
      <c r="J1634" s="79">
        <v>106.22</v>
      </c>
      <c r="K1634" s="79">
        <v>0</v>
      </c>
      <c r="L1634" s="70">
        <v>106.22</v>
      </c>
      <c r="M1634" s="132"/>
      <c r="N1634" s="79">
        <v>72.72</v>
      </c>
      <c r="O1634" s="79">
        <v>33.5</v>
      </c>
      <c r="P1634" s="79">
        <v>106.22</v>
      </c>
      <c r="Q1634" s="136"/>
      <c r="R1634" s="79">
        <v>72.72</v>
      </c>
      <c r="S1634" s="79">
        <v>33.5</v>
      </c>
      <c r="T1634" s="79">
        <v>106.22</v>
      </c>
      <c r="U1634" s="79">
        <v>0</v>
      </c>
      <c r="V1634" s="189">
        <v>106.22</v>
      </c>
      <c r="X1634" s="79">
        <v>72.72</v>
      </c>
      <c r="Y1634" s="79">
        <v>33.5</v>
      </c>
      <c r="Z1634" s="79">
        <v>106.22</v>
      </c>
      <c r="AA1634" s="255">
        <v>0</v>
      </c>
      <c r="AC1634" s="254"/>
    </row>
    <row r="1635" spans="1:31" ht="24">
      <c r="A1635" s="67" t="s">
        <v>13651</v>
      </c>
      <c r="B1635" s="65" t="s">
        <v>13652</v>
      </c>
      <c r="C1635" s="71" t="s">
        <v>509</v>
      </c>
      <c r="D1635" s="78">
        <v>1</v>
      </c>
      <c r="E1635" s="79">
        <v>704.64</v>
      </c>
      <c r="F1635" s="70">
        <v>704.64</v>
      </c>
      <c r="G1635" s="320"/>
      <c r="H1635" s="79">
        <v>704.64</v>
      </c>
      <c r="I1635" s="79">
        <v>0</v>
      </c>
      <c r="J1635" s="79">
        <v>704.64</v>
      </c>
      <c r="K1635" s="79">
        <v>0</v>
      </c>
      <c r="L1635" s="70">
        <v>704.64</v>
      </c>
      <c r="M1635" s="132"/>
      <c r="N1635" s="79">
        <v>704.64</v>
      </c>
      <c r="O1635" s="79"/>
      <c r="P1635" s="79">
        <v>704.64</v>
      </c>
      <c r="Q1635" s="136"/>
      <c r="R1635" s="79">
        <v>704.64</v>
      </c>
      <c r="S1635" s="79"/>
      <c r="T1635" s="79">
        <v>704.64</v>
      </c>
      <c r="U1635" s="79">
        <v>0</v>
      </c>
      <c r="V1635" s="189">
        <v>704.64</v>
      </c>
      <c r="X1635" s="79">
        <v>704.64</v>
      </c>
      <c r="Y1635" s="79"/>
      <c r="Z1635" s="79">
        <v>704.64</v>
      </c>
      <c r="AA1635" s="255">
        <v>0</v>
      </c>
      <c r="AC1635" s="254"/>
    </row>
    <row r="1636" spans="1:31" ht="12">
      <c r="A1636" s="489" t="s">
        <v>13653</v>
      </c>
      <c r="B1636" s="490" t="s">
        <v>13654</v>
      </c>
      <c r="C1636" s="491"/>
      <c r="D1636" s="492"/>
      <c r="E1636" s="79"/>
      <c r="F1636" s="63"/>
      <c r="G1636" s="320"/>
      <c r="H1636" s="79"/>
      <c r="I1636" s="79"/>
      <c r="J1636" s="79"/>
      <c r="K1636" s="79"/>
      <c r="L1636" s="70"/>
      <c r="M1636" s="132"/>
      <c r="N1636" s="79"/>
      <c r="O1636" s="79"/>
      <c r="P1636" s="79"/>
      <c r="Q1636" s="136"/>
      <c r="R1636" s="79"/>
      <c r="S1636" s="79"/>
      <c r="T1636" s="79"/>
      <c r="U1636" s="79"/>
      <c r="V1636" s="189"/>
      <c r="X1636" s="79"/>
      <c r="Y1636" s="79"/>
      <c r="Z1636" s="79"/>
      <c r="AA1636" s="255"/>
      <c r="AC1636" s="254"/>
      <c r="AD1636" s="61"/>
      <c r="AE1636" s="61"/>
    </row>
    <row r="1637" spans="1:31" ht="12">
      <c r="A1637" s="67" t="s">
        <v>13655</v>
      </c>
      <c r="B1637" s="65" t="s">
        <v>13656</v>
      </c>
      <c r="C1637" s="71" t="s">
        <v>165</v>
      </c>
      <c r="D1637" s="78">
        <v>1</v>
      </c>
      <c r="E1637" s="79">
        <v>9.7200000000000006</v>
      </c>
      <c r="F1637" s="70">
        <v>9.7200000000000006</v>
      </c>
      <c r="G1637" s="320"/>
      <c r="H1637" s="79">
        <v>1.44</v>
      </c>
      <c r="I1637" s="79">
        <v>8.2800000000000011</v>
      </c>
      <c r="J1637" s="79">
        <v>9.7200000000000006</v>
      </c>
      <c r="K1637" s="79">
        <v>0</v>
      </c>
      <c r="L1637" s="70">
        <v>9.7200000000000006</v>
      </c>
      <c r="M1637" s="132"/>
      <c r="N1637" s="79">
        <v>1.44</v>
      </c>
      <c r="O1637" s="79">
        <v>8.2800000000000011</v>
      </c>
      <c r="P1637" s="79">
        <v>9.7200000000000006</v>
      </c>
      <c r="Q1637" s="136"/>
      <c r="R1637" s="79">
        <v>1.44</v>
      </c>
      <c r="S1637" s="79">
        <v>8.2799999999999994</v>
      </c>
      <c r="T1637" s="79">
        <v>9.7199999999999989</v>
      </c>
      <c r="U1637" s="79">
        <v>0</v>
      </c>
      <c r="V1637" s="189">
        <v>9.7199999999999989</v>
      </c>
      <c r="X1637" s="79">
        <v>1.44</v>
      </c>
      <c r="Y1637" s="79">
        <v>8.2799999999999994</v>
      </c>
      <c r="Z1637" s="79">
        <v>9.7200000000000006</v>
      </c>
      <c r="AA1637" s="255">
        <v>0</v>
      </c>
      <c r="AC1637" s="254"/>
    </row>
    <row r="1638" spans="1:31" s="61" customFormat="1" ht="12">
      <c r="A1638" s="67" t="s">
        <v>13657</v>
      </c>
      <c r="B1638" s="65" t="s">
        <v>13658</v>
      </c>
      <c r="C1638" s="71" t="s">
        <v>165</v>
      </c>
      <c r="D1638" s="78">
        <v>1</v>
      </c>
      <c r="E1638" s="79">
        <v>89.98</v>
      </c>
      <c r="F1638" s="70">
        <v>89.98</v>
      </c>
      <c r="G1638" s="320"/>
      <c r="H1638" s="79">
        <v>81.7</v>
      </c>
      <c r="I1638" s="79">
        <v>8.2800000000000011</v>
      </c>
      <c r="J1638" s="79">
        <v>89.98</v>
      </c>
      <c r="K1638" s="79">
        <v>0</v>
      </c>
      <c r="L1638" s="70">
        <v>89.98</v>
      </c>
      <c r="M1638" s="132"/>
      <c r="N1638" s="79">
        <v>81.7</v>
      </c>
      <c r="O1638" s="79">
        <v>8.2800000000000011</v>
      </c>
      <c r="P1638" s="79">
        <v>89.98</v>
      </c>
      <c r="Q1638" s="136"/>
      <c r="R1638" s="79">
        <v>81.7</v>
      </c>
      <c r="S1638" s="79">
        <v>8.2799999999999994</v>
      </c>
      <c r="T1638" s="79">
        <v>89.98</v>
      </c>
      <c r="U1638" s="79">
        <v>0</v>
      </c>
      <c r="V1638" s="189">
        <v>89.98</v>
      </c>
      <c r="X1638" s="79">
        <v>81.7</v>
      </c>
      <c r="Y1638" s="79">
        <v>8.2799999999999994</v>
      </c>
      <c r="Z1638" s="79">
        <v>89.98</v>
      </c>
      <c r="AA1638" s="255">
        <v>0</v>
      </c>
      <c r="AC1638" s="254"/>
      <c r="AD1638" s="236"/>
      <c r="AE1638" s="236"/>
    </row>
    <row r="1639" spans="1:31" ht="24">
      <c r="A1639" s="67" t="s">
        <v>13659</v>
      </c>
      <c r="B1639" s="65" t="s">
        <v>13660</v>
      </c>
      <c r="C1639" s="71" t="s">
        <v>165</v>
      </c>
      <c r="D1639" s="78">
        <v>1</v>
      </c>
      <c r="E1639" s="79">
        <v>11.8</v>
      </c>
      <c r="F1639" s="70">
        <v>11.8</v>
      </c>
      <c r="G1639" s="320"/>
      <c r="H1639" s="79">
        <v>8.35</v>
      </c>
      <c r="I1639" s="79">
        <v>3.45</v>
      </c>
      <c r="J1639" s="79">
        <v>11.8</v>
      </c>
      <c r="K1639" s="79">
        <v>0</v>
      </c>
      <c r="L1639" s="70">
        <v>11.8</v>
      </c>
      <c r="M1639" s="132"/>
      <c r="N1639" s="79">
        <v>8.35</v>
      </c>
      <c r="O1639" s="79">
        <v>3.45</v>
      </c>
      <c r="P1639" s="79">
        <v>11.8</v>
      </c>
      <c r="Q1639" s="136"/>
      <c r="R1639" s="79">
        <v>8.35</v>
      </c>
      <c r="S1639" s="79">
        <v>3.46</v>
      </c>
      <c r="T1639" s="79">
        <v>11.809999999999999</v>
      </c>
      <c r="U1639" s="79">
        <v>0</v>
      </c>
      <c r="V1639" s="189">
        <v>11.809999999999999</v>
      </c>
      <c r="X1639" s="79">
        <v>8.35</v>
      </c>
      <c r="Y1639" s="79">
        <v>3.46</v>
      </c>
      <c r="Z1639" s="79">
        <v>11.81</v>
      </c>
      <c r="AA1639" s="255">
        <v>-9.9999999999997868E-3</v>
      </c>
      <c r="AC1639" s="254"/>
    </row>
    <row r="1640" spans="1:31" ht="12">
      <c r="A1640" s="67" t="s">
        <v>13661</v>
      </c>
      <c r="B1640" s="65" t="s">
        <v>13662</v>
      </c>
      <c r="C1640" s="71" t="s">
        <v>13663</v>
      </c>
      <c r="D1640" s="78">
        <v>1</v>
      </c>
      <c r="E1640" s="79">
        <v>0.22</v>
      </c>
      <c r="F1640" s="70">
        <v>0.22</v>
      </c>
      <c r="G1640" s="320"/>
      <c r="H1640" s="79">
        <v>0.15</v>
      </c>
      <c r="I1640" s="79">
        <v>7.0000000000000007E-2</v>
      </c>
      <c r="J1640" s="79">
        <v>0.22</v>
      </c>
      <c r="K1640" s="79">
        <v>0</v>
      </c>
      <c r="L1640" s="70">
        <v>0.22</v>
      </c>
      <c r="M1640" s="132"/>
      <c r="N1640" s="79">
        <v>0.15</v>
      </c>
      <c r="O1640" s="79">
        <v>7.0000000000000007E-2</v>
      </c>
      <c r="P1640" s="79">
        <v>0.22</v>
      </c>
      <c r="Q1640" s="136"/>
      <c r="R1640" s="79">
        <v>0.15</v>
      </c>
      <c r="S1640" s="79">
        <v>7.0000000000000007E-2</v>
      </c>
      <c r="T1640" s="79">
        <v>0.22</v>
      </c>
      <c r="U1640" s="79">
        <v>0</v>
      </c>
      <c r="V1640" s="189">
        <v>0.22</v>
      </c>
      <c r="X1640" s="79">
        <v>0.15</v>
      </c>
      <c r="Y1640" s="79">
        <v>7.0000000000000007E-2</v>
      </c>
      <c r="Z1640" s="79">
        <v>0.22</v>
      </c>
      <c r="AA1640" s="255">
        <v>0</v>
      </c>
      <c r="AC1640" s="254"/>
      <c r="AD1640" s="61"/>
      <c r="AE1640" s="61"/>
    </row>
    <row r="1641" spans="1:31" ht="12">
      <c r="A1641" s="67" t="s">
        <v>13664</v>
      </c>
      <c r="B1641" s="65" t="s">
        <v>13665</v>
      </c>
      <c r="C1641" s="71" t="s">
        <v>165</v>
      </c>
      <c r="D1641" s="78">
        <v>1</v>
      </c>
      <c r="E1641" s="79">
        <v>12.3</v>
      </c>
      <c r="F1641" s="70">
        <v>12.3</v>
      </c>
      <c r="G1641" s="320"/>
      <c r="H1641" s="79">
        <v>6.78</v>
      </c>
      <c r="I1641" s="79">
        <v>5.52</v>
      </c>
      <c r="J1641" s="79">
        <v>12.3</v>
      </c>
      <c r="K1641" s="79">
        <v>0</v>
      </c>
      <c r="L1641" s="70">
        <v>12.3</v>
      </c>
      <c r="M1641" s="132"/>
      <c r="N1641" s="79">
        <v>6.78</v>
      </c>
      <c r="O1641" s="79">
        <v>5.52</v>
      </c>
      <c r="P1641" s="79">
        <v>12.3</v>
      </c>
      <c r="Q1641" s="136"/>
      <c r="R1641" s="79">
        <v>6.78</v>
      </c>
      <c r="S1641" s="79">
        <v>5.53</v>
      </c>
      <c r="T1641" s="79">
        <v>12.31</v>
      </c>
      <c r="U1641" s="79">
        <v>0</v>
      </c>
      <c r="V1641" s="189">
        <v>12.31</v>
      </c>
      <c r="X1641" s="79">
        <v>6.78</v>
      </c>
      <c r="Y1641" s="79">
        <v>5.53</v>
      </c>
      <c r="Z1641" s="79">
        <v>12.31</v>
      </c>
      <c r="AA1641" s="255">
        <v>-9.9999999999997868E-3</v>
      </c>
      <c r="AC1641" s="254"/>
    </row>
    <row r="1642" spans="1:31" s="61" customFormat="1" ht="12">
      <c r="A1642" s="67" t="s">
        <v>13666</v>
      </c>
      <c r="B1642" s="65" t="s">
        <v>13667</v>
      </c>
      <c r="C1642" s="71" t="s">
        <v>13663</v>
      </c>
      <c r="D1642" s="78">
        <v>1</v>
      </c>
      <c r="E1642" s="79">
        <v>0.30000000000000004</v>
      </c>
      <c r="F1642" s="70">
        <v>0.3</v>
      </c>
      <c r="G1642" s="320"/>
      <c r="H1642" s="79">
        <v>0.16</v>
      </c>
      <c r="I1642" s="79">
        <v>0.14000000000000001</v>
      </c>
      <c r="J1642" s="79">
        <v>0.30000000000000004</v>
      </c>
      <c r="K1642" s="79">
        <v>0</v>
      </c>
      <c r="L1642" s="70">
        <v>0.30000000000000004</v>
      </c>
      <c r="M1642" s="132"/>
      <c r="N1642" s="79">
        <v>0.16</v>
      </c>
      <c r="O1642" s="79">
        <v>0.14000000000000001</v>
      </c>
      <c r="P1642" s="79">
        <v>0.30000000000000004</v>
      </c>
      <c r="Q1642" s="136"/>
      <c r="R1642" s="79">
        <v>0.16</v>
      </c>
      <c r="S1642" s="79">
        <v>0.14000000000000001</v>
      </c>
      <c r="T1642" s="79">
        <v>0.30000000000000004</v>
      </c>
      <c r="U1642" s="79">
        <v>0</v>
      </c>
      <c r="V1642" s="189">
        <v>0.30000000000000004</v>
      </c>
      <c r="X1642" s="79">
        <v>0.16</v>
      </c>
      <c r="Y1642" s="79">
        <v>0.14000000000000001</v>
      </c>
      <c r="Z1642" s="79">
        <v>0.3</v>
      </c>
      <c r="AA1642" s="255">
        <v>0</v>
      </c>
      <c r="AC1642" s="254"/>
      <c r="AD1642" s="236"/>
      <c r="AE1642" s="236"/>
    </row>
    <row r="1643" spans="1:31" s="61" customFormat="1" ht="12">
      <c r="A1643" s="67" t="s">
        <v>40958</v>
      </c>
      <c r="B1643" s="65" t="s">
        <v>40959</v>
      </c>
      <c r="C1643" s="71" t="s">
        <v>165</v>
      </c>
      <c r="D1643" s="78">
        <v>1</v>
      </c>
      <c r="E1643" s="79">
        <v>8.9</v>
      </c>
      <c r="F1643" s="70">
        <v>8.9</v>
      </c>
      <c r="G1643" s="320"/>
      <c r="H1643" s="79">
        <v>8.81</v>
      </c>
      <c r="I1643" s="79">
        <v>0.09</v>
      </c>
      <c r="J1643" s="79">
        <v>8.9</v>
      </c>
      <c r="K1643" s="79">
        <v>0</v>
      </c>
      <c r="L1643" s="70">
        <v>8.9</v>
      </c>
      <c r="M1643" s="132"/>
      <c r="N1643" s="79">
        <v>8.81</v>
      </c>
      <c r="O1643" s="79">
        <v>0.09</v>
      </c>
      <c r="P1643" s="79">
        <v>8.9</v>
      </c>
      <c r="Q1643" s="136"/>
      <c r="R1643" s="79">
        <v>8.81</v>
      </c>
      <c r="S1643" s="79">
        <v>0.1</v>
      </c>
      <c r="T1643" s="79">
        <v>8.91</v>
      </c>
      <c r="U1643" s="79">
        <v>0</v>
      </c>
      <c r="V1643" s="189">
        <v>8.91</v>
      </c>
      <c r="X1643" s="79">
        <v>8.81</v>
      </c>
      <c r="Y1643" s="79">
        <v>0.1</v>
      </c>
      <c r="Z1643" s="79">
        <v>8.91</v>
      </c>
      <c r="AA1643" s="255">
        <v>-9.9999999999997868E-3</v>
      </c>
      <c r="AC1643" s="254"/>
      <c r="AD1643" s="236"/>
      <c r="AE1643" s="236"/>
    </row>
    <row r="1644" spans="1:31" ht="24">
      <c r="A1644" s="67" t="s">
        <v>13668</v>
      </c>
      <c r="B1644" s="65" t="s">
        <v>13669</v>
      </c>
      <c r="C1644" s="71" t="s">
        <v>165</v>
      </c>
      <c r="D1644" s="78">
        <v>1</v>
      </c>
      <c r="E1644" s="79">
        <v>254.16</v>
      </c>
      <c r="F1644" s="70">
        <v>254.16</v>
      </c>
      <c r="G1644" s="320"/>
      <c r="H1644" s="79">
        <v>249.12</v>
      </c>
      <c r="I1644" s="79">
        <v>5.04</v>
      </c>
      <c r="J1644" s="79">
        <v>254.16</v>
      </c>
      <c r="K1644" s="79">
        <v>0</v>
      </c>
      <c r="L1644" s="70">
        <v>254.16</v>
      </c>
      <c r="M1644" s="132"/>
      <c r="N1644" s="79">
        <v>249.12</v>
      </c>
      <c r="O1644" s="79">
        <v>5.04</v>
      </c>
      <c r="P1644" s="79">
        <v>254.16</v>
      </c>
      <c r="Q1644" s="136"/>
      <c r="R1644" s="79">
        <v>249.12</v>
      </c>
      <c r="S1644" s="79">
        <v>5.03</v>
      </c>
      <c r="T1644" s="79">
        <v>254.15</v>
      </c>
      <c r="U1644" s="79">
        <v>0</v>
      </c>
      <c r="V1644" s="189">
        <v>254.15</v>
      </c>
      <c r="X1644" s="79">
        <v>249.12</v>
      </c>
      <c r="Y1644" s="79">
        <v>5.03</v>
      </c>
      <c r="Z1644" s="79">
        <v>254.15</v>
      </c>
      <c r="AA1644" s="255">
        <v>9.9999999999909051E-3</v>
      </c>
      <c r="AC1644" s="254"/>
    </row>
    <row r="1645" spans="1:31" ht="24">
      <c r="A1645" s="67" t="s">
        <v>13670</v>
      </c>
      <c r="B1645" s="65" t="s">
        <v>13671</v>
      </c>
      <c r="C1645" s="71" t="s">
        <v>165</v>
      </c>
      <c r="D1645" s="78">
        <v>1</v>
      </c>
      <c r="E1645" s="79">
        <v>297.57</v>
      </c>
      <c r="F1645" s="70">
        <v>297.57</v>
      </c>
      <c r="G1645" s="320"/>
      <c r="H1645" s="79">
        <v>292.52999999999997</v>
      </c>
      <c r="I1645" s="79">
        <v>5.04</v>
      </c>
      <c r="J1645" s="79">
        <v>297.57</v>
      </c>
      <c r="K1645" s="79">
        <v>0</v>
      </c>
      <c r="L1645" s="70">
        <v>297.57</v>
      </c>
      <c r="M1645" s="132"/>
      <c r="N1645" s="79">
        <v>292.52999999999997</v>
      </c>
      <c r="O1645" s="79">
        <v>5.04</v>
      </c>
      <c r="P1645" s="79">
        <v>297.57</v>
      </c>
      <c r="Q1645" s="136"/>
      <c r="R1645" s="79">
        <v>292.52999999999997</v>
      </c>
      <c r="S1645" s="79">
        <v>5.03</v>
      </c>
      <c r="T1645" s="79">
        <v>297.55999999999995</v>
      </c>
      <c r="U1645" s="79">
        <v>0</v>
      </c>
      <c r="V1645" s="189">
        <v>297.55999999999995</v>
      </c>
      <c r="X1645" s="79">
        <v>292.52999999999997</v>
      </c>
      <c r="Y1645" s="79">
        <v>5.03</v>
      </c>
      <c r="Z1645" s="79">
        <v>297.56</v>
      </c>
      <c r="AA1645" s="255">
        <v>9.9999999999909051E-3</v>
      </c>
      <c r="AC1645" s="254"/>
    </row>
    <row r="1646" spans="1:31" ht="24">
      <c r="A1646" s="67" t="s">
        <v>13672</v>
      </c>
      <c r="B1646" s="65" t="s">
        <v>13673</v>
      </c>
      <c r="C1646" s="71" t="s">
        <v>165</v>
      </c>
      <c r="D1646" s="78">
        <v>1</v>
      </c>
      <c r="E1646" s="79">
        <v>121.91000000000001</v>
      </c>
      <c r="F1646" s="70">
        <v>121.91</v>
      </c>
      <c r="G1646" s="320"/>
      <c r="H1646" s="79">
        <v>116.87</v>
      </c>
      <c r="I1646" s="79">
        <v>5.04</v>
      </c>
      <c r="J1646" s="79">
        <v>121.91000000000001</v>
      </c>
      <c r="K1646" s="79">
        <v>0</v>
      </c>
      <c r="L1646" s="70">
        <v>121.91000000000001</v>
      </c>
      <c r="M1646" s="132"/>
      <c r="N1646" s="79">
        <v>116.87</v>
      </c>
      <c r="O1646" s="79">
        <v>5.04</v>
      </c>
      <c r="P1646" s="79">
        <v>121.91000000000001</v>
      </c>
      <c r="Q1646" s="136"/>
      <c r="R1646" s="79">
        <v>116.87</v>
      </c>
      <c r="S1646" s="79">
        <v>5.03</v>
      </c>
      <c r="T1646" s="79">
        <v>121.9</v>
      </c>
      <c r="U1646" s="79">
        <v>0</v>
      </c>
      <c r="V1646" s="189">
        <v>121.9</v>
      </c>
      <c r="X1646" s="79">
        <v>116.87</v>
      </c>
      <c r="Y1646" s="79">
        <v>5.03</v>
      </c>
      <c r="Z1646" s="79">
        <v>121.9</v>
      </c>
      <c r="AA1646" s="255">
        <v>9.9999999999909051E-3</v>
      </c>
      <c r="AC1646" s="254"/>
    </row>
    <row r="1647" spans="1:31" ht="24">
      <c r="A1647" s="67" t="s">
        <v>13674</v>
      </c>
      <c r="B1647" s="65" t="s">
        <v>13675</v>
      </c>
      <c r="C1647" s="71" t="s">
        <v>165</v>
      </c>
      <c r="D1647" s="78">
        <v>1</v>
      </c>
      <c r="E1647" s="79">
        <v>114.31</v>
      </c>
      <c r="F1647" s="70">
        <v>114.31</v>
      </c>
      <c r="G1647" s="320"/>
      <c r="H1647" s="79">
        <v>109.27</v>
      </c>
      <c r="I1647" s="79">
        <v>5.04</v>
      </c>
      <c r="J1647" s="79">
        <v>114.31</v>
      </c>
      <c r="K1647" s="79">
        <v>0</v>
      </c>
      <c r="L1647" s="70">
        <v>114.31</v>
      </c>
      <c r="M1647" s="132"/>
      <c r="N1647" s="79">
        <v>109.27</v>
      </c>
      <c r="O1647" s="79">
        <v>5.04</v>
      </c>
      <c r="P1647" s="79">
        <v>114.31</v>
      </c>
      <c r="Q1647" s="136"/>
      <c r="R1647" s="79">
        <v>109.27</v>
      </c>
      <c r="S1647" s="79">
        <v>5.03</v>
      </c>
      <c r="T1647" s="79">
        <v>114.3</v>
      </c>
      <c r="U1647" s="79">
        <v>0</v>
      </c>
      <c r="V1647" s="189">
        <v>114.3</v>
      </c>
      <c r="X1647" s="79">
        <v>109.27</v>
      </c>
      <c r="Y1647" s="79">
        <v>5.03</v>
      </c>
      <c r="Z1647" s="79">
        <v>114.3</v>
      </c>
      <c r="AA1647" s="255">
        <v>1.0000000000005116E-2</v>
      </c>
      <c r="AC1647" s="254"/>
    </row>
    <row r="1648" spans="1:31" ht="12">
      <c r="A1648" s="489" t="s">
        <v>13676</v>
      </c>
      <c r="B1648" s="490" t="s">
        <v>13677</v>
      </c>
      <c r="C1648" s="491"/>
      <c r="D1648" s="492"/>
      <c r="E1648" s="79"/>
      <c r="F1648" s="63"/>
      <c r="G1648" s="320"/>
      <c r="H1648" s="79"/>
      <c r="I1648" s="79"/>
      <c r="J1648" s="79"/>
      <c r="K1648" s="79"/>
      <c r="L1648" s="70"/>
      <c r="M1648" s="132"/>
      <c r="N1648" s="79"/>
      <c r="O1648" s="79"/>
      <c r="P1648" s="79"/>
      <c r="Q1648" s="136"/>
      <c r="R1648" s="79"/>
      <c r="S1648" s="79"/>
      <c r="T1648" s="79"/>
      <c r="U1648" s="79"/>
      <c r="V1648" s="189"/>
      <c r="X1648" s="79"/>
      <c r="Y1648" s="79"/>
      <c r="Z1648" s="79"/>
      <c r="AA1648" s="255"/>
      <c r="AC1648" s="254"/>
    </row>
    <row r="1649" spans="1:29" ht="12">
      <c r="A1649" s="67" t="s">
        <v>13678</v>
      </c>
      <c r="B1649" s="65" t="s">
        <v>13679</v>
      </c>
      <c r="C1649" s="71" t="s">
        <v>509</v>
      </c>
      <c r="D1649" s="78">
        <v>1</v>
      </c>
      <c r="E1649" s="79">
        <v>10.89</v>
      </c>
      <c r="F1649" s="70">
        <v>10.89</v>
      </c>
      <c r="G1649" s="320"/>
      <c r="H1649" s="79">
        <v>7.49</v>
      </c>
      <c r="I1649" s="79">
        <v>3.4</v>
      </c>
      <c r="J1649" s="79">
        <v>10.89</v>
      </c>
      <c r="K1649" s="79">
        <v>0</v>
      </c>
      <c r="L1649" s="70">
        <v>10.89</v>
      </c>
      <c r="M1649" s="132"/>
      <c r="N1649" s="79">
        <v>7.49</v>
      </c>
      <c r="O1649" s="79">
        <v>3.4</v>
      </c>
      <c r="P1649" s="79">
        <v>10.89</v>
      </c>
      <c r="Q1649" s="136"/>
      <c r="R1649" s="79">
        <v>7.49</v>
      </c>
      <c r="S1649" s="79">
        <v>3.41</v>
      </c>
      <c r="T1649" s="79">
        <v>10.9</v>
      </c>
      <c r="U1649" s="79">
        <v>0</v>
      </c>
      <c r="V1649" s="189">
        <v>10.9</v>
      </c>
      <c r="X1649" s="79">
        <v>7.49</v>
      </c>
      <c r="Y1649" s="79">
        <v>3.41</v>
      </c>
      <c r="Z1649" s="79">
        <v>10.9</v>
      </c>
      <c r="AA1649" s="255">
        <v>-9.9999999999997868E-3</v>
      </c>
      <c r="AC1649" s="254"/>
    </row>
    <row r="1650" spans="1:29" ht="12">
      <c r="A1650" s="67" t="s">
        <v>13680</v>
      </c>
      <c r="B1650" s="65" t="s">
        <v>13681</v>
      </c>
      <c r="C1650" s="71" t="s">
        <v>509</v>
      </c>
      <c r="D1650" s="78">
        <v>1</v>
      </c>
      <c r="E1650" s="79">
        <v>26.9</v>
      </c>
      <c r="F1650" s="70">
        <v>26.9</v>
      </c>
      <c r="G1650" s="320"/>
      <c r="H1650" s="79">
        <v>23.5</v>
      </c>
      <c r="I1650" s="79">
        <v>3.4</v>
      </c>
      <c r="J1650" s="79">
        <v>26.9</v>
      </c>
      <c r="K1650" s="79">
        <v>0</v>
      </c>
      <c r="L1650" s="70">
        <v>26.9</v>
      </c>
      <c r="M1650" s="132"/>
      <c r="N1650" s="79">
        <v>23.5</v>
      </c>
      <c r="O1650" s="79">
        <v>3.4</v>
      </c>
      <c r="P1650" s="79">
        <v>26.9</v>
      </c>
      <c r="Q1650" s="136"/>
      <c r="R1650" s="79">
        <v>23.5</v>
      </c>
      <c r="S1650" s="79">
        <v>3.41</v>
      </c>
      <c r="T1650" s="79">
        <v>26.91</v>
      </c>
      <c r="U1650" s="79">
        <v>0</v>
      </c>
      <c r="V1650" s="189">
        <v>26.91</v>
      </c>
      <c r="X1650" s="79">
        <v>23.5</v>
      </c>
      <c r="Y1650" s="79">
        <v>3.41</v>
      </c>
      <c r="Z1650" s="79">
        <v>26.91</v>
      </c>
      <c r="AA1650" s="255">
        <v>-1.0000000000001563E-2</v>
      </c>
      <c r="AC1650" s="254"/>
    </row>
    <row r="1651" spans="1:29" ht="12">
      <c r="A1651" s="67" t="s">
        <v>13682</v>
      </c>
      <c r="B1651" s="65" t="s">
        <v>13683</v>
      </c>
      <c r="C1651" s="71" t="s">
        <v>165</v>
      </c>
      <c r="D1651" s="78">
        <v>1</v>
      </c>
      <c r="E1651" s="79">
        <v>67.78</v>
      </c>
      <c r="F1651" s="70">
        <v>67.78</v>
      </c>
      <c r="G1651" s="320"/>
      <c r="H1651" s="79">
        <v>44.36</v>
      </c>
      <c r="I1651" s="79">
        <v>23.42</v>
      </c>
      <c r="J1651" s="79">
        <v>67.78</v>
      </c>
      <c r="K1651" s="79">
        <v>0</v>
      </c>
      <c r="L1651" s="70">
        <v>67.78</v>
      </c>
      <c r="M1651" s="132"/>
      <c r="N1651" s="79">
        <v>44.36</v>
      </c>
      <c r="O1651" s="79">
        <v>23.42</v>
      </c>
      <c r="P1651" s="79">
        <v>67.78</v>
      </c>
      <c r="Q1651" s="136"/>
      <c r="R1651" s="79">
        <v>44.36</v>
      </c>
      <c r="S1651" s="79">
        <v>23.39</v>
      </c>
      <c r="T1651" s="79">
        <v>67.75</v>
      </c>
      <c r="U1651" s="79">
        <v>0</v>
      </c>
      <c r="V1651" s="189">
        <v>67.75</v>
      </c>
      <c r="X1651" s="79">
        <v>44.36</v>
      </c>
      <c r="Y1651" s="79">
        <v>23.39</v>
      </c>
      <c r="Z1651" s="79">
        <v>67.75</v>
      </c>
      <c r="AA1651" s="255">
        <v>3.0000000000001137E-2</v>
      </c>
      <c r="AC1651" s="254"/>
    </row>
    <row r="1652" spans="1:29" ht="12">
      <c r="A1652" s="67" t="s">
        <v>13684</v>
      </c>
      <c r="B1652" s="65" t="s">
        <v>13685</v>
      </c>
      <c r="C1652" s="71" t="s">
        <v>165</v>
      </c>
      <c r="D1652" s="78">
        <v>1</v>
      </c>
      <c r="E1652" s="79">
        <v>113.83</v>
      </c>
      <c r="F1652" s="70">
        <v>113.83</v>
      </c>
      <c r="G1652" s="320"/>
      <c r="H1652" s="79">
        <v>90.41</v>
      </c>
      <c r="I1652" s="79">
        <v>23.42</v>
      </c>
      <c r="J1652" s="79">
        <v>113.83</v>
      </c>
      <c r="K1652" s="79">
        <v>0</v>
      </c>
      <c r="L1652" s="70">
        <v>113.83</v>
      </c>
      <c r="M1652" s="132"/>
      <c r="N1652" s="79">
        <v>90.41</v>
      </c>
      <c r="O1652" s="79">
        <v>23.42</v>
      </c>
      <c r="P1652" s="79">
        <v>113.83</v>
      </c>
      <c r="Q1652" s="136"/>
      <c r="R1652" s="79">
        <v>90.41</v>
      </c>
      <c r="S1652" s="79">
        <v>23.39</v>
      </c>
      <c r="T1652" s="79">
        <v>113.8</v>
      </c>
      <c r="U1652" s="79">
        <v>0</v>
      </c>
      <c r="V1652" s="189">
        <v>113.8</v>
      </c>
      <c r="X1652" s="79">
        <v>90.41</v>
      </c>
      <c r="Y1652" s="79">
        <v>23.39</v>
      </c>
      <c r="Z1652" s="79">
        <v>113.8</v>
      </c>
      <c r="AA1652" s="255">
        <v>3.0000000000001137E-2</v>
      </c>
      <c r="AC1652" s="254"/>
    </row>
    <row r="1653" spans="1:29" ht="24">
      <c r="A1653" s="67" t="s">
        <v>13686</v>
      </c>
      <c r="B1653" s="65" t="s">
        <v>13687</v>
      </c>
      <c r="C1653" s="71" t="s">
        <v>165</v>
      </c>
      <c r="D1653" s="78">
        <v>1</v>
      </c>
      <c r="E1653" s="79">
        <v>135.21</v>
      </c>
      <c r="F1653" s="70">
        <v>135.21</v>
      </c>
      <c r="G1653" s="320"/>
      <c r="H1653" s="79">
        <v>135.21</v>
      </c>
      <c r="I1653" s="79">
        <v>0</v>
      </c>
      <c r="J1653" s="79">
        <v>135.21</v>
      </c>
      <c r="K1653" s="79">
        <v>0</v>
      </c>
      <c r="L1653" s="70">
        <v>135.21</v>
      </c>
      <c r="M1653" s="132"/>
      <c r="N1653" s="79">
        <v>135.21</v>
      </c>
      <c r="O1653" s="79"/>
      <c r="P1653" s="79">
        <v>135.21</v>
      </c>
      <c r="Q1653" s="136"/>
      <c r="R1653" s="79">
        <v>135.21</v>
      </c>
      <c r="S1653" s="79"/>
      <c r="T1653" s="79">
        <v>135.21</v>
      </c>
      <c r="U1653" s="79">
        <v>0</v>
      </c>
      <c r="V1653" s="189">
        <v>135.21</v>
      </c>
      <c r="X1653" s="79">
        <v>135.21</v>
      </c>
      <c r="Y1653" s="79"/>
      <c r="Z1653" s="79">
        <v>135.21</v>
      </c>
      <c r="AA1653" s="255">
        <v>0</v>
      </c>
      <c r="AC1653" s="254"/>
    </row>
    <row r="1654" spans="1:29" ht="24">
      <c r="A1654" s="67" t="s">
        <v>13688</v>
      </c>
      <c r="B1654" s="65" t="s">
        <v>13689</v>
      </c>
      <c r="C1654" s="71" t="s">
        <v>165</v>
      </c>
      <c r="D1654" s="78">
        <v>1</v>
      </c>
      <c r="E1654" s="79">
        <v>399.7</v>
      </c>
      <c r="F1654" s="70">
        <v>399.7</v>
      </c>
      <c r="G1654" s="320"/>
      <c r="H1654" s="79">
        <v>399.7</v>
      </c>
      <c r="I1654" s="79">
        <v>0</v>
      </c>
      <c r="J1654" s="79">
        <v>399.7</v>
      </c>
      <c r="K1654" s="79">
        <v>0</v>
      </c>
      <c r="L1654" s="70">
        <v>399.7</v>
      </c>
      <c r="M1654" s="132"/>
      <c r="N1654" s="79">
        <v>399.7</v>
      </c>
      <c r="O1654" s="79"/>
      <c r="P1654" s="79">
        <v>399.7</v>
      </c>
      <c r="Q1654" s="136"/>
      <c r="R1654" s="79">
        <v>399.7</v>
      </c>
      <c r="S1654" s="79"/>
      <c r="T1654" s="79">
        <v>399.7</v>
      </c>
      <c r="U1654" s="79">
        <v>0</v>
      </c>
      <c r="V1654" s="189">
        <v>399.7</v>
      </c>
      <c r="X1654" s="79">
        <v>399.7</v>
      </c>
      <c r="Y1654" s="79"/>
      <c r="Z1654" s="79">
        <v>399.7</v>
      </c>
      <c r="AA1654" s="255">
        <v>0</v>
      </c>
      <c r="AC1654" s="254"/>
    </row>
    <row r="1655" spans="1:29" ht="24">
      <c r="A1655" s="67" t="s">
        <v>13690</v>
      </c>
      <c r="B1655" s="65" t="s">
        <v>13691</v>
      </c>
      <c r="C1655" s="71" t="s">
        <v>165</v>
      </c>
      <c r="D1655" s="78">
        <v>1</v>
      </c>
      <c r="E1655" s="79">
        <v>926.51</v>
      </c>
      <c r="F1655" s="70">
        <v>926.51</v>
      </c>
      <c r="G1655" s="320"/>
      <c r="H1655" s="79">
        <v>915.14</v>
      </c>
      <c r="I1655" s="79">
        <v>11.370000000000001</v>
      </c>
      <c r="J1655" s="79">
        <v>926.51</v>
      </c>
      <c r="K1655" s="79">
        <v>0</v>
      </c>
      <c r="L1655" s="70">
        <v>926.51</v>
      </c>
      <c r="M1655" s="132"/>
      <c r="N1655" s="79">
        <v>915.14</v>
      </c>
      <c r="O1655" s="79">
        <v>11.370000000000001</v>
      </c>
      <c r="P1655" s="79">
        <v>926.51</v>
      </c>
      <c r="Q1655" s="136"/>
      <c r="R1655" s="79">
        <v>915.14</v>
      </c>
      <c r="S1655" s="79">
        <v>11.36</v>
      </c>
      <c r="T1655" s="79">
        <v>926.5</v>
      </c>
      <c r="U1655" s="79">
        <v>0</v>
      </c>
      <c r="V1655" s="189">
        <v>926.5</v>
      </c>
      <c r="X1655" s="79">
        <v>915.14</v>
      </c>
      <c r="Y1655" s="79">
        <v>11.36</v>
      </c>
      <c r="Z1655" s="79">
        <v>926.5</v>
      </c>
      <c r="AA1655" s="255">
        <v>9.9999999999909051E-3</v>
      </c>
      <c r="AC1655" s="254"/>
    </row>
    <row r="1656" spans="1:29" ht="24">
      <c r="A1656" s="67" t="s">
        <v>13692</v>
      </c>
      <c r="B1656" s="65" t="s">
        <v>13693</v>
      </c>
      <c r="C1656" s="71" t="s">
        <v>165</v>
      </c>
      <c r="D1656" s="78">
        <v>1</v>
      </c>
      <c r="E1656" s="79">
        <v>1227.2099999999998</v>
      </c>
      <c r="F1656" s="70">
        <v>1227.21</v>
      </c>
      <c r="G1656" s="320"/>
      <c r="H1656" s="79">
        <v>1215.8399999999999</v>
      </c>
      <c r="I1656" s="79">
        <v>11.370000000000001</v>
      </c>
      <c r="J1656" s="79">
        <v>1227.2099999999998</v>
      </c>
      <c r="K1656" s="79">
        <v>0</v>
      </c>
      <c r="L1656" s="70">
        <v>1227.2099999999998</v>
      </c>
      <c r="M1656" s="132"/>
      <c r="N1656" s="79">
        <v>1215.8399999999999</v>
      </c>
      <c r="O1656" s="79">
        <v>11.370000000000001</v>
      </c>
      <c r="P1656" s="79">
        <v>1227.2099999999998</v>
      </c>
      <c r="Q1656" s="136"/>
      <c r="R1656" s="79">
        <v>1215.8399999999999</v>
      </c>
      <c r="S1656" s="79">
        <v>11.36</v>
      </c>
      <c r="T1656" s="79">
        <v>1227.1999999999998</v>
      </c>
      <c r="U1656" s="79">
        <v>0</v>
      </c>
      <c r="V1656" s="189">
        <v>1227.1999999999998</v>
      </c>
      <c r="X1656" s="79">
        <v>1215.8399999999999</v>
      </c>
      <c r="Y1656" s="79">
        <v>11.36</v>
      </c>
      <c r="Z1656" s="79">
        <v>1227.2</v>
      </c>
      <c r="AA1656" s="255">
        <v>9.9999999999909051E-3</v>
      </c>
      <c r="AC1656" s="254"/>
    </row>
    <row r="1657" spans="1:29" ht="12">
      <c r="A1657" s="67" t="s">
        <v>13694</v>
      </c>
      <c r="B1657" s="65" t="s">
        <v>13695</v>
      </c>
      <c r="C1657" s="71" t="s">
        <v>165</v>
      </c>
      <c r="D1657" s="78">
        <v>1</v>
      </c>
      <c r="E1657" s="79">
        <v>172.47</v>
      </c>
      <c r="F1657" s="70">
        <v>172.47</v>
      </c>
      <c r="G1657" s="320"/>
      <c r="H1657" s="79">
        <v>172.47</v>
      </c>
      <c r="I1657" s="79">
        <v>0</v>
      </c>
      <c r="J1657" s="79">
        <v>172.47</v>
      </c>
      <c r="K1657" s="79">
        <v>0</v>
      </c>
      <c r="L1657" s="70">
        <v>172.47</v>
      </c>
      <c r="M1657" s="132"/>
      <c r="N1657" s="79">
        <v>172.47</v>
      </c>
      <c r="O1657" s="79"/>
      <c r="P1657" s="79">
        <v>172.47</v>
      </c>
      <c r="Q1657" s="136"/>
      <c r="R1657" s="79">
        <v>172.47</v>
      </c>
      <c r="S1657" s="79"/>
      <c r="T1657" s="79">
        <v>172.47</v>
      </c>
      <c r="U1657" s="79">
        <v>0</v>
      </c>
      <c r="V1657" s="189">
        <v>172.47</v>
      </c>
      <c r="X1657" s="79">
        <v>172.47</v>
      </c>
      <c r="Y1657" s="79"/>
      <c r="Z1657" s="79">
        <v>172.47</v>
      </c>
      <c r="AA1657" s="255">
        <v>0</v>
      </c>
      <c r="AC1657" s="254"/>
    </row>
    <row r="1658" spans="1:29" ht="12">
      <c r="A1658" s="489" t="s">
        <v>13696</v>
      </c>
      <c r="B1658" s="490" t="s">
        <v>13697</v>
      </c>
      <c r="C1658" s="491"/>
      <c r="D1658" s="492"/>
      <c r="E1658" s="79"/>
      <c r="F1658" s="63"/>
      <c r="G1658" s="320"/>
      <c r="H1658" s="79"/>
      <c r="I1658" s="79"/>
      <c r="J1658" s="79"/>
      <c r="K1658" s="79"/>
      <c r="L1658" s="70"/>
      <c r="M1658" s="132"/>
      <c r="N1658" s="79"/>
      <c r="O1658" s="79"/>
      <c r="P1658" s="79"/>
      <c r="Q1658" s="136"/>
      <c r="R1658" s="79"/>
      <c r="S1658" s="79"/>
      <c r="T1658" s="79"/>
      <c r="U1658" s="79"/>
      <c r="V1658" s="189"/>
      <c r="X1658" s="79"/>
      <c r="Y1658" s="79"/>
      <c r="Z1658" s="79"/>
      <c r="AA1658" s="255"/>
      <c r="AC1658" s="254"/>
    </row>
    <row r="1659" spans="1:29" ht="12">
      <c r="A1659" s="67" t="s">
        <v>13698</v>
      </c>
      <c r="B1659" s="65" t="s">
        <v>13699</v>
      </c>
      <c r="C1659" s="71" t="s">
        <v>207</v>
      </c>
      <c r="D1659" s="78">
        <v>1</v>
      </c>
      <c r="E1659" s="79">
        <v>24.35</v>
      </c>
      <c r="F1659" s="70">
        <v>24.35</v>
      </c>
      <c r="G1659" s="320"/>
      <c r="H1659" s="79">
        <v>9.24</v>
      </c>
      <c r="I1659" s="79">
        <v>15.11</v>
      </c>
      <c r="J1659" s="79">
        <v>24.35</v>
      </c>
      <c r="K1659" s="79">
        <v>0</v>
      </c>
      <c r="L1659" s="70">
        <v>24.35</v>
      </c>
      <c r="M1659" s="132"/>
      <c r="N1659" s="79">
        <v>9.24</v>
      </c>
      <c r="O1659" s="79">
        <v>15.11</v>
      </c>
      <c r="P1659" s="79">
        <v>24.35</v>
      </c>
      <c r="Q1659" s="136"/>
      <c r="R1659" s="79">
        <v>9.24</v>
      </c>
      <c r="S1659" s="79">
        <v>15.1</v>
      </c>
      <c r="T1659" s="79">
        <v>24.34</v>
      </c>
      <c r="U1659" s="79">
        <v>0</v>
      </c>
      <c r="V1659" s="189">
        <v>24.34</v>
      </c>
      <c r="X1659" s="79">
        <v>9.24</v>
      </c>
      <c r="Y1659" s="79">
        <v>15.1</v>
      </c>
      <c r="Z1659" s="79">
        <v>24.34</v>
      </c>
      <c r="AA1659" s="255">
        <v>1.0000000000001563E-2</v>
      </c>
      <c r="AC1659" s="254"/>
    </row>
    <row r="1660" spans="1:29" ht="12">
      <c r="A1660" s="67" t="s">
        <v>13700</v>
      </c>
      <c r="B1660" s="65" t="s">
        <v>13701</v>
      </c>
      <c r="C1660" s="71" t="s">
        <v>1187</v>
      </c>
      <c r="D1660" s="78">
        <v>1</v>
      </c>
      <c r="E1660" s="79">
        <v>210.35</v>
      </c>
      <c r="F1660" s="70">
        <v>210.35</v>
      </c>
      <c r="G1660" s="320"/>
      <c r="H1660" s="79">
        <v>200.29</v>
      </c>
      <c r="I1660" s="79">
        <v>10.06</v>
      </c>
      <c r="J1660" s="79">
        <v>210.35</v>
      </c>
      <c r="K1660" s="79">
        <v>0</v>
      </c>
      <c r="L1660" s="70">
        <v>210.35</v>
      </c>
      <c r="M1660" s="132"/>
      <c r="N1660" s="79">
        <v>200.29</v>
      </c>
      <c r="O1660" s="79">
        <v>10.06</v>
      </c>
      <c r="P1660" s="79">
        <v>210.35</v>
      </c>
      <c r="Q1660" s="136"/>
      <c r="R1660" s="79">
        <v>200.29</v>
      </c>
      <c r="S1660" s="79">
        <v>10.07</v>
      </c>
      <c r="T1660" s="79">
        <v>210.35999999999999</v>
      </c>
      <c r="U1660" s="79">
        <v>0</v>
      </c>
      <c r="V1660" s="189">
        <v>210.35999999999999</v>
      </c>
      <c r="X1660" s="79">
        <v>200.29</v>
      </c>
      <c r="Y1660" s="79">
        <v>10.07</v>
      </c>
      <c r="Z1660" s="79">
        <v>210.36</v>
      </c>
      <c r="AA1660" s="255">
        <v>-1.0000000000019327E-2</v>
      </c>
      <c r="AC1660" s="254"/>
    </row>
    <row r="1661" spans="1:29" ht="12">
      <c r="A1661" s="489" t="s">
        <v>13702</v>
      </c>
      <c r="B1661" s="490" t="s">
        <v>13703</v>
      </c>
      <c r="C1661" s="491"/>
      <c r="D1661" s="492"/>
      <c r="E1661" s="79"/>
      <c r="F1661" s="63"/>
      <c r="G1661" s="320"/>
      <c r="H1661" s="79"/>
      <c r="I1661" s="79"/>
      <c r="J1661" s="79"/>
      <c r="K1661" s="79"/>
      <c r="L1661" s="70"/>
      <c r="M1661" s="132"/>
      <c r="N1661" s="79"/>
      <c r="O1661" s="79"/>
      <c r="P1661" s="79"/>
      <c r="Q1661" s="136"/>
      <c r="R1661" s="79"/>
      <c r="S1661" s="79"/>
      <c r="T1661" s="79"/>
      <c r="U1661" s="79"/>
      <c r="V1661" s="189"/>
      <c r="X1661" s="79"/>
      <c r="Y1661" s="79"/>
      <c r="Z1661" s="79"/>
      <c r="AA1661" s="255"/>
      <c r="AC1661" s="254"/>
    </row>
    <row r="1662" spans="1:29" ht="24">
      <c r="A1662" s="67" t="s">
        <v>13704</v>
      </c>
      <c r="B1662" s="65" t="s">
        <v>13705</v>
      </c>
      <c r="C1662" s="71" t="s">
        <v>165</v>
      </c>
      <c r="D1662" s="78">
        <v>1</v>
      </c>
      <c r="E1662" s="79">
        <v>7.55</v>
      </c>
      <c r="F1662" s="70">
        <v>7.55</v>
      </c>
      <c r="G1662" s="320"/>
      <c r="H1662" s="79">
        <v>4.47</v>
      </c>
      <c r="I1662" s="79">
        <v>3.08</v>
      </c>
      <c r="J1662" s="79">
        <v>7.55</v>
      </c>
      <c r="K1662" s="79">
        <v>0</v>
      </c>
      <c r="L1662" s="70">
        <v>7.55</v>
      </c>
      <c r="M1662" s="132"/>
      <c r="N1662" s="79">
        <v>4.47</v>
      </c>
      <c r="O1662" s="79">
        <v>3.08</v>
      </c>
      <c r="P1662" s="79">
        <v>7.55</v>
      </c>
      <c r="Q1662" s="136"/>
      <c r="R1662" s="79">
        <v>4.47</v>
      </c>
      <c r="S1662" s="79">
        <v>3.07</v>
      </c>
      <c r="T1662" s="79">
        <v>7.5399999999999991</v>
      </c>
      <c r="U1662" s="79">
        <v>0</v>
      </c>
      <c r="V1662" s="189">
        <v>7.5399999999999991</v>
      </c>
      <c r="X1662" s="79">
        <v>4.47</v>
      </c>
      <c r="Y1662" s="79">
        <v>3.07</v>
      </c>
      <c r="Z1662" s="79">
        <v>7.54</v>
      </c>
      <c r="AA1662" s="255">
        <v>9.9999999999997868E-3</v>
      </c>
      <c r="AC1662" s="254"/>
    </row>
    <row r="1663" spans="1:29" ht="24">
      <c r="A1663" s="67" t="s">
        <v>13706</v>
      </c>
      <c r="B1663" s="65" t="s">
        <v>13707</v>
      </c>
      <c r="C1663" s="71" t="s">
        <v>165</v>
      </c>
      <c r="D1663" s="78">
        <v>1</v>
      </c>
      <c r="E1663" s="79">
        <v>15.11</v>
      </c>
      <c r="F1663" s="70">
        <v>15.11</v>
      </c>
      <c r="G1663" s="320"/>
      <c r="H1663" s="79">
        <v>8.9699999999999989</v>
      </c>
      <c r="I1663" s="79">
        <v>6.1400000000000006</v>
      </c>
      <c r="J1663" s="79">
        <v>15.11</v>
      </c>
      <c r="K1663" s="79">
        <v>0</v>
      </c>
      <c r="L1663" s="70">
        <v>15.11</v>
      </c>
      <c r="M1663" s="132"/>
      <c r="N1663" s="79">
        <v>8.9699999999999989</v>
      </c>
      <c r="O1663" s="79">
        <v>6.1400000000000006</v>
      </c>
      <c r="P1663" s="79">
        <v>15.11</v>
      </c>
      <c r="Q1663" s="136"/>
      <c r="R1663" s="79">
        <v>8.9700000000000006</v>
      </c>
      <c r="S1663" s="79">
        <v>6.13</v>
      </c>
      <c r="T1663" s="79">
        <v>15.100000000000001</v>
      </c>
      <c r="U1663" s="79">
        <v>0</v>
      </c>
      <c r="V1663" s="189">
        <v>15.100000000000001</v>
      </c>
      <c r="X1663" s="79">
        <v>8.9700000000000006</v>
      </c>
      <c r="Y1663" s="79">
        <v>6.13</v>
      </c>
      <c r="Z1663" s="79">
        <v>15.1</v>
      </c>
      <c r="AA1663" s="255">
        <v>9.9999999999997868E-3</v>
      </c>
      <c r="AC1663" s="254"/>
    </row>
    <row r="1664" spans="1:29" ht="24">
      <c r="A1664" s="67" t="s">
        <v>13708</v>
      </c>
      <c r="B1664" s="65" t="s">
        <v>13709</v>
      </c>
      <c r="C1664" s="71" t="s">
        <v>165</v>
      </c>
      <c r="D1664" s="78">
        <v>1</v>
      </c>
      <c r="E1664" s="79">
        <v>22.659999999999997</v>
      </c>
      <c r="F1664" s="70">
        <v>22.66</v>
      </c>
      <c r="G1664" s="320"/>
      <c r="H1664" s="79">
        <v>13.459999999999999</v>
      </c>
      <c r="I1664" s="79">
        <v>9.1999999999999993</v>
      </c>
      <c r="J1664" s="79">
        <v>22.659999999999997</v>
      </c>
      <c r="K1664" s="79">
        <v>0</v>
      </c>
      <c r="L1664" s="70">
        <v>22.659999999999997</v>
      </c>
      <c r="M1664" s="132"/>
      <c r="N1664" s="79">
        <v>13.459999999999999</v>
      </c>
      <c r="O1664" s="79">
        <v>9.1999999999999993</v>
      </c>
      <c r="P1664" s="79">
        <v>22.659999999999997</v>
      </c>
      <c r="Q1664" s="136"/>
      <c r="R1664" s="79">
        <v>13.46</v>
      </c>
      <c r="S1664" s="79">
        <v>9.1999999999999993</v>
      </c>
      <c r="T1664" s="79">
        <v>22.66</v>
      </c>
      <c r="U1664" s="79">
        <v>0</v>
      </c>
      <c r="V1664" s="189">
        <v>22.66</v>
      </c>
      <c r="X1664" s="79">
        <v>13.46</v>
      </c>
      <c r="Y1664" s="79">
        <v>9.1999999999999993</v>
      </c>
      <c r="Z1664" s="79">
        <v>22.66</v>
      </c>
      <c r="AA1664" s="255">
        <v>0</v>
      </c>
      <c r="AC1664" s="254"/>
    </row>
    <row r="1665" spans="1:31" ht="24">
      <c r="A1665" s="67" t="s">
        <v>13710</v>
      </c>
      <c r="B1665" s="65" t="s">
        <v>13711</v>
      </c>
      <c r="C1665" s="71" t="s">
        <v>165</v>
      </c>
      <c r="D1665" s="78">
        <v>1</v>
      </c>
      <c r="E1665" s="79">
        <v>30.21</v>
      </c>
      <c r="F1665" s="70">
        <v>30.21</v>
      </c>
      <c r="G1665" s="320"/>
      <c r="H1665" s="79">
        <v>17.95</v>
      </c>
      <c r="I1665" s="79">
        <v>12.26</v>
      </c>
      <c r="J1665" s="79">
        <v>30.21</v>
      </c>
      <c r="K1665" s="79">
        <v>0</v>
      </c>
      <c r="L1665" s="70">
        <v>30.21</v>
      </c>
      <c r="M1665" s="132"/>
      <c r="N1665" s="79">
        <v>17.95</v>
      </c>
      <c r="O1665" s="79">
        <v>12.26</v>
      </c>
      <c r="P1665" s="79">
        <v>30.21</v>
      </c>
      <c r="Q1665" s="136"/>
      <c r="R1665" s="79">
        <v>17.95</v>
      </c>
      <c r="S1665" s="79">
        <v>12.27</v>
      </c>
      <c r="T1665" s="79">
        <v>30.22</v>
      </c>
      <c r="U1665" s="79">
        <v>0</v>
      </c>
      <c r="V1665" s="189">
        <v>30.22</v>
      </c>
      <c r="X1665" s="79">
        <v>17.95</v>
      </c>
      <c r="Y1665" s="79">
        <v>12.27</v>
      </c>
      <c r="Z1665" s="79">
        <v>30.22</v>
      </c>
      <c r="AA1665" s="255">
        <v>-9.9999999999980105E-3</v>
      </c>
      <c r="AC1665" s="254"/>
    </row>
    <row r="1666" spans="1:31" ht="24">
      <c r="A1666" s="67" t="s">
        <v>13712</v>
      </c>
      <c r="B1666" s="65" t="s">
        <v>13713</v>
      </c>
      <c r="C1666" s="71" t="s">
        <v>165</v>
      </c>
      <c r="D1666" s="78">
        <v>1</v>
      </c>
      <c r="E1666" s="79">
        <v>45.370000000000005</v>
      </c>
      <c r="F1666" s="70">
        <v>45.37</v>
      </c>
      <c r="G1666" s="320"/>
      <c r="H1666" s="79">
        <v>26.95</v>
      </c>
      <c r="I1666" s="79">
        <v>18.420000000000002</v>
      </c>
      <c r="J1666" s="79">
        <v>45.370000000000005</v>
      </c>
      <c r="K1666" s="79">
        <v>0</v>
      </c>
      <c r="L1666" s="70">
        <v>45.370000000000005</v>
      </c>
      <c r="M1666" s="132"/>
      <c r="N1666" s="79">
        <v>26.95</v>
      </c>
      <c r="O1666" s="79">
        <v>18.420000000000002</v>
      </c>
      <c r="P1666" s="79">
        <v>45.370000000000005</v>
      </c>
      <c r="Q1666" s="136"/>
      <c r="R1666" s="79">
        <v>26.95</v>
      </c>
      <c r="S1666" s="79">
        <v>18.41</v>
      </c>
      <c r="T1666" s="79">
        <v>45.36</v>
      </c>
      <c r="U1666" s="79">
        <v>0</v>
      </c>
      <c r="V1666" s="189">
        <v>45.36</v>
      </c>
      <c r="X1666" s="79">
        <v>26.95</v>
      </c>
      <c r="Y1666" s="79">
        <v>18.41</v>
      </c>
      <c r="Z1666" s="79">
        <v>45.36</v>
      </c>
      <c r="AA1666" s="255">
        <v>9.9999999999980105E-3</v>
      </c>
      <c r="AC1666" s="254"/>
    </row>
    <row r="1667" spans="1:31" ht="12">
      <c r="A1667" s="67" t="s">
        <v>13714</v>
      </c>
      <c r="B1667" s="65" t="s">
        <v>13715</v>
      </c>
      <c r="C1667" s="71" t="s">
        <v>165</v>
      </c>
      <c r="D1667" s="78">
        <v>1</v>
      </c>
      <c r="E1667" s="79">
        <v>30.03</v>
      </c>
      <c r="F1667" s="70">
        <v>30.03</v>
      </c>
      <c r="G1667" s="320"/>
      <c r="H1667" s="79">
        <v>28.14</v>
      </c>
      <c r="I1667" s="79">
        <v>1.8900000000000001</v>
      </c>
      <c r="J1667" s="79">
        <v>30.03</v>
      </c>
      <c r="K1667" s="79">
        <v>0</v>
      </c>
      <c r="L1667" s="70">
        <v>30.03</v>
      </c>
      <c r="M1667" s="132"/>
      <c r="N1667" s="79">
        <v>28.14</v>
      </c>
      <c r="O1667" s="79">
        <v>1.8900000000000001</v>
      </c>
      <c r="P1667" s="79">
        <v>30.03</v>
      </c>
      <c r="Q1667" s="136"/>
      <c r="R1667" s="79">
        <v>28.14</v>
      </c>
      <c r="S1667" s="79">
        <v>1.89</v>
      </c>
      <c r="T1667" s="79">
        <v>30.03</v>
      </c>
      <c r="U1667" s="79">
        <v>0</v>
      </c>
      <c r="V1667" s="189">
        <v>30.03</v>
      </c>
      <c r="X1667" s="79">
        <v>28.14</v>
      </c>
      <c r="Y1667" s="79">
        <v>1.89</v>
      </c>
      <c r="Z1667" s="79">
        <v>30.03</v>
      </c>
      <c r="AA1667" s="255">
        <v>0</v>
      </c>
      <c r="AC1667" s="254"/>
    </row>
    <row r="1668" spans="1:31" ht="24">
      <c r="A1668" s="67" t="s">
        <v>13716</v>
      </c>
      <c r="B1668" s="65" t="s">
        <v>13717</v>
      </c>
      <c r="C1668" s="71" t="s">
        <v>165</v>
      </c>
      <c r="D1668" s="78">
        <v>1</v>
      </c>
      <c r="E1668" s="79">
        <v>52.68</v>
      </c>
      <c r="F1668" s="70">
        <v>52.68</v>
      </c>
      <c r="G1668" s="320"/>
      <c r="H1668" s="79">
        <v>50.03</v>
      </c>
      <c r="I1668" s="79">
        <v>2.65</v>
      </c>
      <c r="J1668" s="79">
        <v>52.68</v>
      </c>
      <c r="K1668" s="79">
        <v>0</v>
      </c>
      <c r="L1668" s="70">
        <v>52.68</v>
      </c>
      <c r="M1668" s="132"/>
      <c r="N1668" s="79">
        <v>50.03</v>
      </c>
      <c r="O1668" s="79">
        <v>2.65</v>
      </c>
      <c r="P1668" s="79">
        <v>52.68</v>
      </c>
      <c r="Q1668" s="136"/>
      <c r="R1668" s="79">
        <v>50.03</v>
      </c>
      <c r="S1668" s="79">
        <v>2.65</v>
      </c>
      <c r="T1668" s="79">
        <v>52.68</v>
      </c>
      <c r="U1668" s="79">
        <v>0</v>
      </c>
      <c r="V1668" s="189">
        <v>52.68</v>
      </c>
      <c r="X1668" s="79">
        <v>50.03</v>
      </c>
      <c r="Y1668" s="79">
        <v>2.65</v>
      </c>
      <c r="Z1668" s="79">
        <v>52.68</v>
      </c>
      <c r="AA1668" s="255">
        <v>0</v>
      </c>
      <c r="AC1668" s="254"/>
    </row>
    <row r="1669" spans="1:31" ht="24">
      <c r="A1669" s="67" t="s">
        <v>13718</v>
      </c>
      <c r="B1669" s="65" t="s">
        <v>13719</v>
      </c>
      <c r="C1669" s="71" t="s">
        <v>165</v>
      </c>
      <c r="D1669" s="78">
        <v>1</v>
      </c>
      <c r="E1669" s="79">
        <v>77.100000000000009</v>
      </c>
      <c r="F1669" s="70">
        <v>77.099999999999994</v>
      </c>
      <c r="G1669" s="320"/>
      <c r="H1669" s="79">
        <v>73.7</v>
      </c>
      <c r="I1669" s="79">
        <v>3.4</v>
      </c>
      <c r="J1669" s="79">
        <v>77.100000000000009</v>
      </c>
      <c r="K1669" s="79">
        <v>0</v>
      </c>
      <c r="L1669" s="70">
        <v>77.100000000000009</v>
      </c>
      <c r="M1669" s="132"/>
      <c r="N1669" s="79">
        <v>73.7</v>
      </c>
      <c r="O1669" s="79">
        <v>3.4</v>
      </c>
      <c r="P1669" s="79">
        <v>77.100000000000009</v>
      </c>
      <c r="Q1669" s="136"/>
      <c r="R1669" s="79">
        <v>73.7</v>
      </c>
      <c r="S1669" s="79">
        <v>3.41</v>
      </c>
      <c r="T1669" s="79">
        <v>77.11</v>
      </c>
      <c r="U1669" s="79">
        <v>0</v>
      </c>
      <c r="V1669" s="189">
        <v>77.11</v>
      </c>
      <c r="X1669" s="79">
        <v>73.7</v>
      </c>
      <c r="Y1669" s="79">
        <v>3.41</v>
      </c>
      <c r="Z1669" s="79">
        <v>77.11</v>
      </c>
      <c r="AA1669" s="255">
        <v>-1.0000000000005116E-2</v>
      </c>
      <c r="AC1669" s="254"/>
    </row>
    <row r="1670" spans="1:31" ht="12">
      <c r="A1670" s="489" t="s">
        <v>13720</v>
      </c>
      <c r="B1670" s="490" t="s">
        <v>13721</v>
      </c>
      <c r="C1670" s="491"/>
      <c r="D1670" s="492"/>
      <c r="E1670" s="79"/>
      <c r="F1670" s="63"/>
      <c r="G1670" s="320"/>
      <c r="H1670" s="79"/>
      <c r="I1670" s="79"/>
      <c r="J1670" s="79"/>
      <c r="K1670" s="79"/>
      <c r="L1670" s="70"/>
      <c r="M1670" s="132"/>
      <c r="N1670" s="79"/>
      <c r="O1670" s="79"/>
      <c r="P1670" s="79"/>
      <c r="Q1670" s="136"/>
      <c r="R1670" s="79"/>
      <c r="S1670" s="79"/>
      <c r="T1670" s="79"/>
      <c r="U1670" s="79"/>
      <c r="V1670" s="189"/>
      <c r="X1670" s="79"/>
      <c r="Y1670" s="79"/>
      <c r="Z1670" s="79"/>
      <c r="AA1670" s="255"/>
      <c r="AC1670" s="254"/>
    </row>
    <row r="1671" spans="1:31" ht="12">
      <c r="A1671" s="67" t="s">
        <v>13722</v>
      </c>
      <c r="B1671" s="65" t="s">
        <v>13723</v>
      </c>
      <c r="C1671" s="71" t="s">
        <v>509</v>
      </c>
      <c r="D1671" s="78">
        <v>1</v>
      </c>
      <c r="E1671" s="79">
        <v>43.980000000000004</v>
      </c>
      <c r="F1671" s="70">
        <v>43.98</v>
      </c>
      <c r="G1671" s="320"/>
      <c r="H1671" s="79">
        <v>31.130000000000003</v>
      </c>
      <c r="I1671" s="79">
        <v>12.85</v>
      </c>
      <c r="J1671" s="79">
        <v>43.980000000000004</v>
      </c>
      <c r="K1671" s="79">
        <v>0</v>
      </c>
      <c r="L1671" s="70">
        <v>43.980000000000004</v>
      </c>
      <c r="M1671" s="132"/>
      <c r="N1671" s="79">
        <v>31.130000000000003</v>
      </c>
      <c r="O1671" s="79">
        <v>12.85</v>
      </c>
      <c r="P1671" s="79">
        <v>43.980000000000004</v>
      </c>
      <c r="Q1671" s="136"/>
      <c r="R1671" s="79">
        <v>31.13</v>
      </c>
      <c r="S1671" s="79">
        <v>12.84</v>
      </c>
      <c r="T1671" s="79">
        <v>43.97</v>
      </c>
      <c r="U1671" s="79">
        <v>0</v>
      </c>
      <c r="V1671" s="189">
        <v>43.97</v>
      </c>
      <c r="X1671" s="79">
        <v>31.13</v>
      </c>
      <c r="Y1671" s="79">
        <v>12.84</v>
      </c>
      <c r="Z1671" s="79">
        <v>43.97</v>
      </c>
      <c r="AA1671" s="255">
        <v>9.9999999999980105E-3</v>
      </c>
      <c r="AC1671" s="254"/>
      <c r="AD1671" s="61"/>
      <c r="AE1671" s="61"/>
    </row>
    <row r="1672" spans="1:31" ht="24">
      <c r="A1672" s="67" t="s">
        <v>13724</v>
      </c>
      <c r="B1672" s="65" t="s">
        <v>13725</v>
      </c>
      <c r="C1672" s="71" t="s">
        <v>165</v>
      </c>
      <c r="D1672" s="78">
        <v>1</v>
      </c>
      <c r="E1672" s="79">
        <v>14.85</v>
      </c>
      <c r="F1672" s="70">
        <v>14.85</v>
      </c>
      <c r="G1672" s="320"/>
      <c r="H1672" s="79">
        <v>2</v>
      </c>
      <c r="I1672" s="79">
        <v>12.85</v>
      </c>
      <c r="J1672" s="79">
        <v>14.85</v>
      </c>
      <c r="K1672" s="79">
        <v>0</v>
      </c>
      <c r="L1672" s="70">
        <v>14.85</v>
      </c>
      <c r="M1672" s="132"/>
      <c r="N1672" s="79">
        <v>2</v>
      </c>
      <c r="O1672" s="79">
        <v>12.85</v>
      </c>
      <c r="P1672" s="79">
        <v>14.85</v>
      </c>
      <c r="Q1672" s="136"/>
      <c r="R1672" s="79">
        <v>2</v>
      </c>
      <c r="S1672" s="79">
        <v>12.84</v>
      </c>
      <c r="T1672" s="79">
        <v>14.84</v>
      </c>
      <c r="U1672" s="79">
        <v>0</v>
      </c>
      <c r="V1672" s="189">
        <v>14.84</v>
      </c>
      <c r="X1672" s="79">
        <v>2</v>
      </c>
      <c r="Y1672" s="79">
        <v>12.84</v>
      </c>
      <c r="Z1672" s="79">
        <v>14.84</v>
      </c>
      <c r="AA1672" s="255">
        <v>9.9999999999997868E-3</v>
      </c>
      <c r="AC1672" s="254"/>
    </row>
    <row r="1673" spans="1:31" s="61" customFormat="1" ht="24">
      <c r="A1673" s="67" t="s">
        <v>13726</v>
      </c>
      <c r="B1673" s="65" t="s">
        <v>13727</v>
      </c>
      <c r="C1673" s="71" t="s">
        <v>165</v>
      </c>
      <c r="D1673" s="78">
        <v>1</v>
      </c>
      <c r="E1673" s="79">
        <v>15.469999999999999</v>
      </c>
      <c r="F1673" s="70">
        <v>15.47</v>
      </c>
      <c r="G1673" s="320"/>
      <c r="H1673" s="79">
        <v>2.62</v>
      </c>
      <c r="I1673" s="79">
        <v>12.85</v>
      </c>
      <c r="J1673" s="79">
        <v>15.469999999999999</v>
      </c>
      <c r="K1673" s="79">
        <v>0</v>
      </c>
      <c r="L1673" s="70">
        <v>15.469999999999999</v>
      </c>
      <c r="M1673" s="132"/>
      <c r="N1673" s="79">
        <v>2.62</v>
      </c>
      <c r="O1673" s="79">
        <v>12.85</v>
      </c>
      <c r="P1673" s="79">
        <v>15.469999999999999</v>
      </c>
      <c r="Q1673" s="136"/>
      <c r="R1673" s="79">
        <v>2.62</v>
      </c>
      <c r="S1673" s="79">
        <v>12.84</v>
      </c>
      <c r="T1673" s="79">
        <v>15.46</v>
      </c>
      <c r="U1673" s="79">
        <v>0</v>
      </c>
      <c r="V1673" s="189">
        <v>15.46</v>
      </c>
      <c r="X1673" s="79">
        <v>2.62</v>
      </c>
      <c r="Y1673" s="79">
        <v>12.84</v>
      </c>
      <c r="Z1673" s="79">
        <v>15.46</v>
      </c>
      <c r="AA1673" s="255">
        <v>9.9999999999997868E-3</v>
      </c>
      <c r="AC1673" s="254"/>
      <c r="AD1673" s="236"/>
      <c r="AE1673" s="236"/>
    </row>
    <row r="1674" spans="1:31" ht="24">
      <c r="A1674" s="67" t="s">
        <v>13728</v>
      </c>
      <c r="B1674" s="65" t="s">
        <v>13729</v>
      </c>
      <c r="C1674" s="71" t="s">
        <v>165</v>
      </c>
      <c r="D1674" s="78">
        <v>1</v>
      </c>
      <c r="E1674" s="79">
        <v>16.02</v>
      </c>
      <c r="F1674" s="70">
        <v>16.02</v>
      </c>
      <c r="G1674" s="320"/>
      <c r="H1674" s="79">
        <v>3.17</v>
      </c>
      <c r="I1674" s="79">
        <v>12.85</v>
      </c>
      <c r="J1674" s="79">
        <v>16.02</v>
      </c>
      <c r="K1674" s="79">
        <v>0</v>
      </c>
      <c r="L1674" s="70">
        <v>16.02</v>
      </c>
      <c r="M1674" s="132"/>
      <c r="N1674" s="79">
        <v>3.17</v>
      </c>
      <c r="O1674" s="79">
        <v>12.85</v>
      </c>
      <c r="P1674" s="79">
        <v>16.02</v>
      </c>
      <c r="Q1674" s="136"/>
      <c r="R1674" s="79">
        <v>3.17</v>
      </c>
      <c r="S1674" s="79">
        <v>12.84</v>
      </c>
      <c r="T1674" s="79">
        <v>16.009999999999998</v>
      </c>
      <c r="U1674" s="79">
        <v>0</v>
      </c>
      <c r="V1674" s="189">
        <v>16.009999999999998</v>
      </c>
      <c r="X1674" s="79">
        <v>3.17</v>
      </c>
      <c r="Y1674" s="79">
        <v>12.84</v>
      </c>
      <c r="Z1674" s="79">
        <v>16.010000000000002</v>
      </c>
      <c r="AA1674" s="255">
        <v>9.9999999999980105E-3</v>
      </c>
      <c r="AC1674" s="254"/>
    </row>
    <row r="1675" spans="1:31" ht="24">
      <c r="A1675" s="67" t="s">
        <v>13730</v>
      </c>
      <c r="B1675" s="65" t="s">
        <v>13731</v>
      </c>
      <c r="C1675" s="71" t="s">
        <v>165</v>
      </c>
      <c r="D1675" s="78">
        <v>1</v>
      </c>
      <c r="E1675" s="79">
        <v>16.939999999999998</v>
      </c>
      <c r="F1675" s="70">
        <v>16.940000000000001</v>
      </c>
      <c r="G1675" s="320"/>
      <c r="H1675" s="79">
        <v>4.09</v>
      </c>
      <c r="I1675" s="79">
        <v>12.85</v>
      </c>
      <c r="J1675" s="79">
        <v>16.939999999999998</v>
      </c>
      <c r="K1675" s="79">
        <v>0</v>
      </c>
      <c r="L1675" s="70">
        <v>16.939999999999998</v>
      </c>
      <c r="M1675" s="132"/>
      <c r="N1675" s="79">
        <v>4.09</v>
      </c>
      <c r="O1675" s="79">
        <v>12.85</v>
      </c>
      <c r="P1675" s="79">
        <v>16.939999999999998</v>
      </c>
      <c r="Q1675" s="136"/>
      <c r="R1675" s="79">
        <v>4.09</v>
      </c>
      <c r="S1675" s="79">
        <v>12.84</v>
      </c>
      <c r="T1675" s="79">
        <v>16.93</v>
      </c>
      <c r="U1675" s="79">
        <v>0</v>
      </c>
      <c r="V1675" s="189">
        <v>16.93</v>
      </c>
      <c r="X1675" s="79">
        <v>4.09</v>
      </c>
      <c r="Y1675" s="79">
        <v>12.84</v>
      </c>
      <c r="Z1675" s="79">
        <v>16.93</v>
      </c>
      <c r="AA1675" s="255">
        <v>1.0000000000001563E-2</v>
      </c>
      <c r="AC1675" s="254"/>
    </row>
    <row r="1676" spans="1:31" ht="24">
      <c r="A1676" s="67" t="s">
        <v>13732</v>
      </c>
      <c r="B1676" s="65" t="s">
        <v>13733</v>
      </c>
      <c r="C1676" s="71" t="s">
        <v>165</v>
      </c>
      <c r="D1676" s="78">
        <v>1</v>
      </c>
      <c r="E1676" s="79">
        <v>17.93</v>
      </c>
      <c r="F1676" s="70">
        <v>17.93</v>
      </c>
      <c r="G1676" s="320"/>
      <c r="H1676" s="79">
        <v>5.08</v>
      </c>
      <c r="I1676" s="79">
        <v>12.85</v>
      </c>
      <c r="J1676" s="79">
        <v>17.93</v>
      </c>
      <c r="K1676" s="79">
        <v>0</v>
      </c>
      <c r="L1676" s="70">
        <v>17.93</v>
      </c>
      <c r="M1676" s="132"/>
      <c r="N1676" s="79">
        <v>5.08</v>
      </c>
      <c r="O1676" s="79">
        <v>12.85</v>
      </c>
      <c r="P1676" s="79">
        <v>17.93</v>
      </c>
      <c r="Q1676" s="136"/>
      <c r="R1676" s="79">
        <v>5.08</v>
      </c>
      <c r="S1676" s="79">
        <v>12.84</v>
      </c>
      <c r="T1676" s="79">
        <v>17.920000000000002</v>
      </c>
      <c r="U1676" s="79">
        <v>0</v>
      </c>
      <c r="V1676" s="189">
        <v>17.920000000000002</v>
      </c>
      <c r="X1676" s="79">
        <v>5.08</v>
      </c>
      <c r="Y1676" s="79">
        <v>12.84</v>
      </c>
      <c r="Z1676" s="79">
        <v>17.920000000000002</v>
      </c>
      <c r="AA1676" s="255">
        <v>9.9999999999980105E-3</v>
      </c>
      <c r="AC1676" s="254"/>
    </row>
    <row r="1677" spans="1:31" ht="24">
      <c r="A1677" s="67" t="s">
        <v>13734</v>
      </c>
      <c r="B1677" s="65" t="s">
        <v>13735</v>
      </c>
      <c r="C1677" s="71" t="s">
        <v>165</v>
      </c>
      <c r="D1677" s="78">
        <v>1</v>
      </c>
      <c r="E1677" s="79">
        <v>22.560000000000002</v>
      </c>
      <c r="F1677" s="70">
        <v>22.56</v>
      </c>
      <c r="G1677" s="320"/>
      <c r="H1677" s="79">
        <v>9.7100000000000009</v>
      </c>
      <c r="I1677" s="79">
        <v>12.85</v>
      </c>
      <c r="J1677" s="79">
        <v>22.560000000000002</v>
      </c>
      <c r="K1677" s="79">
        <v>0</v>
      </c>
      <c r="L1677" s="70">
        <v>22.560000000000002</v>
      </c>
      <c r="M1677" s="132"/>
      <c r="N1677" s="79">
        <v>9.7100000000000009</v>
      </c>
      <c r="O1677" s="79">
        <v>12.85</v>
      </c>
      <c r="P1677" s="79">
        <v>22.560000000000002</v>
      </c>
      <c r="Q1677" s="136"/>
      <c r="R1677" s="79">
        <v>9.7100000000000009</v>
      </c>
      <c r="S1677" s="79">
        <v>12.84</v>
      </c>
      <c r="T1677" s="79">
        <v>22.55</v>
      </c>
      <c r="U1677" s="79">
        <v>0</v>
      </c>
      <c r="V1677" s="189">
        <v>22.55</v>
      </c>
      <c r="X1677" s="79">
        <v>9.7100000000000009</v>
      </c>
      <c r="Y1677" s="79">
        <v>12.84</v>
      </c>
      <c r="Z1677" s="79">
        <v>22.55</v>
      </c>
      <c r="AA1677" s="255">
        <v>9.9999999999980105E-3</v>
      </c>
      <c r="AC1677" s="254"/>
    </row>
    <row r="1678" spans="1:31" ht="24">
      <c r="A1678" s="67" t="s">
        <v>13736</v>
      </c>
      <c r="B1678" s="65" t="s">
        <v>13737</v>
      </c>
      <c r="C1678" s="71" t="s">
        <v>165</v>
      </c>
      <c r="D1678" s="78">
        <v>1</v>
      </c>
      <c r="E1678" s="79">
        <v>20.04</v>
      </c>
      <c r="F1678" s="70">
        <v>20.04</v>
      </c>
      <c r="G1678" s="320"/>
      <c r="H1678" s="79">
        <v>7.1899999999999995</v>
      </c>
      <c r="I1678" s="79">
        <v>12.85</v>
      </c>
      <c r="J1678" s="79">
        <v>20.04</v>
      </c>
      <c r="K1678" s="79">
        <v>0</v>
      </c>
      <c r="L1678" s="70">
        <v>20.04</v>
      </c>
      <c r="M1678" s="132"/>
      <c r="N1678" s="79">
        <v>7.1899999999999995</v>
      </c>
      <c r="O1678" s="79">
        <v>12.85</v>
      </c>
      <c r="P1678" s="79">
        <v>20.04</v>
      </c>
      <c r="Q1678" s="136"/>
      <c r="R1678" s="79">
        <v>7.19</v>
      </c>
      <c r="S1678" s="79">
        <v>12.84</v>
      </c>
      <c r="T1678" s="79">
        <v>20.03</v>
      </c>
      <c r="U1678" s="79">
        <v>0</v>
      </c>
      <c r="V1678" s="189">
        <v>20.03</v>
      </c>
      <c r="X1678" s="79">
        <v>7.19</v>
      </c>
      <c r="Y1678" s="79">
        <v>12.84</v>
      </c>
      <c r="Z1678" s="79">
        <v>20.03</v>
      </c>
      <c r="AA1678" s="255">
        <v>9.9999999999980105E-3</v>
      </c>
      <c r="AC1678" s="254"/>
    </row>
    <row r="1679" spans="1:31" ht="24">
      <c r="A1679" s="67" t="s">
        <v>13738</v>
      </c>
      <c r="B1679" s="65" t="s">
        <v>13739</v>
      </c>
      <c r="C1679" s="71" t="s">
        <v>165</v>
      </c>
      <c r="D1679" s="78">
        <v>1</v>
      </c>
      <c r="E1679" s="79">
        <v>20.96</v>
      </c>
      <c r="F1679" s="70">
        <v>20.96</v>
      </c>
      <c r="G1679" s="320"/>
      <c r="H1679" s="79">
        <v>8.11</v>
      </c>
      <c r="I1679" s="79">
        <v>12.85</v>
      </c>
      <c r="J1679" s="79">
        <v>20.96</v>
      </c>
      <c r="K1679" s="79">
        <v>0</v>
      </c>
      <c r="L1679" s="70">
        <v>20.96</v>
      </c>
      <c r="M1679" s="132"/>
      <c r="N1679" s="79">
        <v>8.11</v>
      </c>
      <c r="O1679" s="79">
        <v>12.85</v>
      </c>
      <c r="P1679" s="79">
        <v>20.96</v>
      </c>
      <c r="Q1679" s="136"/>
      <c r="R1679" s="79">
        <v>8.11</v>
      </c>
      <c r="S1679" s="79">
        <v>12.84</v>
      </c>
      <c r="T1679" s="79">
        <v>20.95</v>
      </c>
      <c r="U1679" s="79">
        <v>0</v>
      </c>
      <c r="V1679" s="189">
        <v>20.95</v>
      </c>
      <c r="X1679" s="79">
        <v>8.11</v>
      </c>
      <c r="Y1679" s="79">
        <v>12.84</v>
      </c>
      <c r="Z1679" s="79">
        <v>20.95</v>
      </c>
      <c r="AA1679" s="255">
        <v>1.0000000000001563E-2</v>
      </c>
      <c r="AC1679" s="254"/>
    </row>
    <row r="1680" spans="1:31" ht="24">
      <c r="A1680" s="67" t="s">
        <v>13740</v>
      </c>
      <c r="B1680" s="65" t="s">
        <v>13741</v>
      </c>
      <c r="C1680" s="71" t="s">
        <v>165</v>
      </c>
      <c r="D1680" s="78">
        <v>1</v>
      </c>
      <c r="E1680" s="79">
        <v>21.419999999999998</v>
      </c>
      <c r="F1680" s="70">
        <v>21.42</v>
      </c>
      <c r="G1680" s="320"/>
      <c r="H1680" s="79">
        <v>8.57</v>
      </c>
      <c r="I1680" s="79">
        <v>12.85</v>
      </c>
      <c r="J1680" s="79">
        <v>21.42</v>
      </c>
      <c r="K1680" s="79">
        <v>0</v>
      </c>
      <c r="L1680" s="70">
        <v>21.42</v>
      </c>
      <c r="M1680" s="132"/>
      <c r="N1680" s="79">
        <v>8.57</v>
      </c>
      <c r="O1680" s="79">
        <v>12.85</v>
      </c>
      <c r="P1680" s="79">
        <v>21.42</v>
      </c>
      <c r="Q1680" s="136"/>
      <c r="R1680" s="79">
        <v>8.57</v>
      </c>
      <c r="S1680" s="79">
        <v>12.84</v>
      </c>
      <c r="T1680" s="79">
        <v>21.41</v>
      </c>
      <c r="U1680" s="79">
        <v>0</v>
      </c>
      <c r="V1680" s="189">
        <v>21.41</v>
      </c>
      <c r="X1680" s="79">
        <v>8.57</v>
      </c>
      <c r="Y1680" s="79">
        <v>12.84</v>
      </c>
      <c r="Z1680" s="79">
        <v>21.41</v>
      </c>
      <c r="AA1680" s="255">
        <v>1.0000000000001563E-2</v>
      </c>
      <c r="AC1680" s="254"/>
    </row>
    <row r="1681" spans="1:29" ht="24">
      <c r="A1681" s="67" t="s">
        <v>13742</v>
      </c>
      <c r="B1681" s="65" t="s">
        <v>13743</v>
      </c>
      <c r="C1681" s="71" t="s">
        <v>165</v>
      </c>
      <c r="D1681" s="78">
        <v>1</v>
      </c>
      <c r="E1681" s="79">
        <v>22.939999999999998</v>
      </c>
      <c r="F1681" s="70">
        <v>22.94</v>
      </c>
      <c r="G1681" s="320"/>
      <c r="H1681" s="79">
        <v>10.09</v>
      </c>
      <c r="I1681" s="79">
        <v>12.85</v>
      </c>
      <c r="J1681" s="79">
        <v>22.939999999999998</v>
      </c>
      <c r="K1681" s="79">
        <v>0</v>
      </c>
      <c r="L1681" s="70">
        <v>22.939999999999998</v>
      </c>
      <c r="M1681" s="132"/>
      <c r="N1681" s="79">
        <v>10.09</v>
      </c>
      <c r="O1681" s="79">
        <v>12.85</v>
      </c>
      <c r="P1681" s="79">
        <v>22.939999999999998</v>
      </c>
      <c r="Q1681" s="136"/>
      <c r="R1681" s="79">
        <v>10.09</v>
      </c>
      <c r="S1681" s="79">
        <v>12.84</v>
      </c>
      <c r="T1681" s="79">
        <v>22.93</v>
      </c>
      <c r="U1681" s="79">
        <v>0</v>
      </c>
      <c r="V1681" s="189">
        <v>22.93</v>
      </c>
      <c r="X1681" s="79">
        <v>10.09</v>
      </c>
      <c r="Y1681" s="79">
        <v>12.84</v>
      </c>
      <c r="Z1681" s="79">
        <v>22.93</v>
      </c>
      <c r="AA1681" s="255">
        <v>1.0000000000001563E-2</v>
      </c>
      <c r="AC1681" s="254"/>
    </row>
    <row r="1682" spans="1:29" ht="24">
      <c r="A1682" s="67" t="s">
        <v>13744</v>
      </c>
      <c r="B1682" s="65" t="s">
        <v>13745</v>
      </c>
      <c r="C1682" s="71" t="s">
        <v>165</v>
      </c>
      <c r="D1682" s="78">
        <v>1</v>
      </c>
      <c r="E1682" s="79">
        <v>33.81</v>
      </c>
      <c r="F1682" s="70">
        <v>33.81</v>
      </c>
      <c r="G1682" s="320"/>
      <c r="H1682" s="79">
        <v>20.96</v>
      </c>
      <c r="I1682" s="79">
        <v>12.85</v>
      </c>
      <c r="J1682" s="79">
        <v>33.81</v>
      </c>
      <c r="K1682" s="79">
        <v>0</v>
      </c>
      <c r="L1682" s="70">
        <v>33.81</v>
      </c>
      <c r="M1682" s="132"/>
      <c r="N1682" s="79">
        <v>20.96</v>
      </c>
      <c r="O1682" s="79">
        <v>12.85</v>
      </c>
      <c r="P1682" s="79">
        <v>33.81</v>
      </c>
      <c r="Q1682" s="136"/>
      <c r="R1682" s="79">
        <v>20.96</v>
      </c>
      <c r="S1682" s="79">
        <v>12.84</v>
      </c>
      <c r="T1682" s="79">
        <v>33.799999999999997</v>
      </c>
      <c r="U1682" s="79">
        <v>0</v>
      </c>
      <c r="V1682" s="189">
        <v>33.799999999999997</v>
      </c>
      <c r="X1682" s="79">
        <v>20.96</v>
      </c>
      <c r="Y1682" s="79">
        <v>12.84</v>
      </c>
      <c r="Z1682" s="79">
        <v>33.799999999999997</v>
      </c>
      <c r="AA1682" s="255">
        <v>1.0000000000005116E-2</v>
      </c>
      <c r="AC1682" s="254"/>
    </row>
    <row r="1683" spans="1:29" ht="24">
      <c r="A1683" s="67" t="s">
        <v>13746</v>
      </c>
      <c r="B1683" s="65" t="s">
        <v>13747</v>
      </c>
      <c r="C1683" s="71" t="s">
        <v>165</v>
      </c>
      <c r="D1683" s="78">
        <v>1</v>
      </c>
      <c r="E1683" s="79">
        <v>38.159999999999997</v>
      </c>
      <c r="F1683" s="70">
        <v>38.159999999999997</v>
      </c>
      <c r="G1683" s="320"/>
      <c r="H1683" s="79">
        <v>25.31</v>
      </c>
      <c r="I1683" s="79">
        <v>12.85</v>
      </c>
      <c r="J1683" s="79">
        <v>38.159999999999997</v>
      </c>
      <c r="K1683" s="79">
        <v>0</v>
      </c>
      <c r="L1683" s="70">
        <v>38.159999999999997</v>
      </c>
      <c r="M1683" s="132"/>
      <c r="N1683" s="79">
        <v>25.31</v>
      </c>
      <c r="O1683" s="79">
        <v>12.85</v>
      </c>
      <c r="P1683" s="79">
        <v>38.159999999999997</v>
      </c>
      <c r="Q1683" s="136"/>
      <c r="R1683" s="79">
        <v>25.31</v>
      </c>
      <c r="S1683" s="79">
        <v>12.84</v>
      </c>
      <c r="T1683" s="79">
        <v>38.15</v>
      </c>
      <c r="U1683" s="79">
        <v>0</v>
      </c>
      <c r="V1683" s="189">
        <v>38.15</v>
      </c>
      <c r="X1683" s="79">
        <v>25.31</v>
      </c>
      <c r="Y1683" s="79">
        <v>12.84</v>
      </c>
      <c r="Z1683" s="79">
        <v>38.15</v>
      </c>
      <c r="AA1683" s="255">
        <v>9.9999999999980105E-3</v>
      </c>
      <c r="AC1683" s="254"/>
    </row>
    <row r="1684" spans="1:29" ht="24">
      <c r="A1684" s="67" t="s">
        <v>13748</v>
      </c>
      <c r="B1684" s="65" t="s">
        <v>13749</v>
      </c>
      <c r="C1684" s="71" t="s">
        <v>165</v>
      </c>
      <c r="D1684" s="78">
        <v>1</v>
      </c>
      <c r="E1684" s="79">
        <v>39.6</v>
      </c>
      <c r="F1684" s="70">
        <v>39.6</v>
      </c>
      <c r="G1684" s="320"/>
      <c r="H1684" s="79">
        <v>26.75</v>
      </c>
      <c r="I1684" s="79">
        <v>12.85</v>
      </c>
      <c r="J1684" s="79">
        <v>39.6</v>
      </c>
      <c r="K1684" s="79">
        <v>0</v>
      </c>
      <c r="L1684" s="70">
        <v>39.6</v>
      </c>
      <c r="M1684" s="132"/>
      <c r="N1684" s="79">
        <v>26.75</v>
      </c>
      <c r="O1684" s="79">
        <v>12.85</v>
      </c>
      <c r="P1684" s="79">
        <v>39.6</v>
      </c>
      <c r="Q1684" s="136"/>
      <c r="R1684" s="79">
        <v>26.75</v>
      </c>
      <c r="S1684" s="79">
        <v>12.84</v>
      </c>
      <c r="T1684" s="79">
        <v>39.590000000000003</v>
      </c>
      <c r="U1684" s="79">
        <v>0</v>
      </c>
      <c r="V1684" s="189">
        <v>39.590000000000003</v>
      </c>
      <c r="X1684" s="79">
        <v>26.75</v>
      </c>
      <c r="Y1684" s="79">
        <v>12.84</v>
      </c>
      <c r="Z1684" s="79">
        <v>39.590000000000003</v>
      </c>
      <c r="AA1684" s="255">
        <v>9.9999999999980105E-3</v>
      </c>
      <c r="AC1684" s="254"/>
    </row>
    <row r="1685" spans="1:29" ht="24">
      <c r="A1685" s="67" t="s">
        <v>13750</v>
      </c>
      <c r="B1685" s="65" t="s">
        <v>13751</v>
      </c>
      <c r="C1685" s="71" t="s">
        <v>165</v>
      </c>
      <c r="D1685" s="78">
        <v>1</v>
      </c>
      <c r="E1685" s="79">
        <v>46.82</v>
      </c>
      <c r="F1685" s="70">
        <v>46.82</v>
      </c>
      <c r="G1685" s="320"/>
      <c r="H1685" s="79">
        <v>33.97</v>
      </c>
      <c r="I1685" s="79">
        <v>12.85</v>
      </c>
      <c r="J1685" s="79">
        <v>46.82</v>
      </c>
      <c r="K1685" s="79">
        <v>0</v>
      </c>
      <c r="L1685" s="70">
        <v>46.82</v>
      </c>
      <c r="M1685" s="132"/>
      <c r="N1685" s="79">
        <v>33.97</v>
      </c>
      <c r="O1685" s="79">
        <v>12.85</v>
      </c>
      <c r="P1685" s="79">
        <v>46.82</v>
      </c>
      <c r="Q1685" s="136"/>
      <c r="R1685" s="79">
        <v>33.97</v>
      </c>
      <c r="S1685" s="79">
        <v>12.84</v>
      </c>
      <c r="T1685" s="79">
        <v>46.81</v>
      </c>
      <c r="U1685" s="79">
        <v>0</v>
      </c>
      <c r="V1685" s="189">
        <v>46.81</v>
      </c>
      <c r="X1685" s="79">
        <v>33.97</v>
      </c>
      <c r="Y1685" s="79">
        <v>12.84</v>
      </c>
      <c r="Z1685" s="79">
        <v>46.81</v>
      </c>
      <c r="AA1685" s="255">
        <v>9.9999999999980105E-3</v>
      </c>
      <c r="AC1685" s="254"/>
    </row>
    <row r="1686" spans="1:29" ht="24">
      <c r="A1686" s="67" t="s">
        <v>13752</v>
      </c>
      <c r="B1686" s="65" t="s">
        <v>13753</v>
      </c>
      <c r="C1686" s="71" t="s">
        <v>165</v>
      </c>
      <c r="D1686" s="78">
        <v>1</v>
      </c>
      <c r="E1686" s="79">
        <v>46.96</v>
      </c>
      <c r="F1686" s="70">
        <v>46.96</v>
      </c>
      <c r="G1686" s="320"/>
      <c r="H1686" s="79">
        <v>34.11</v>
      </c>
      <c r="I1686" s="79">
        <v>12.85</v>
      </c>
      <c r="J1686" s="79">
        <v>46.96</v>
      </c>
      <c r="K1686" s="79">
        <v>0</v>
      </c>
      <c r="L1686" s="70">
        <v>46.96</v>
      </c>
      <c r="M1686" s="132"/>
      <c r="N1686" s="79">
        <v>34.11</v>
      </c>
      <c r="O1686" s="79">
        <v>12.85</v>
      </c>
      <c r="P1686" s="79">
        <v>46.96</v>
      </c>
      <c r="Q1686" s="136"/>
      <c r="R1686" s="79">
        <v>34.11</v>
      </c>
      <c r="S1686" s="79">
        <v>12.84</v>
      </c>
      <c r="T1686" s="79">
        <v>46.95</v>
      </c>
      <c r="U1686" s="79">
        <v>0</v>
      </c>
      <c r="V1686" s="189">
        <v>46.95</v>
      </c>
      <c r="X1686" s="79">
        <v>34.11</v>
      </c>
      <c r="Y1686" s="79">
        <v>12.84</v>
      </c>
      <c r="Z1686" s="79">
        <v>46.95</v>
      </c>
      <c r="AA1686" s="255">
        <v>9.9999999999980105E-3</v>
      </c>
      <c r="AC1686" s="254"/>
    </row>
    <row r="1687" spans="1:29" ht="24">
      <c r="A1687" s="67" t="s">
        <v>13754</v>
      </c>
      <c r="B1687" s="65" t="s">
        <v>13755</v>
      </c>
      <c r="C1687" s="71" t="s">
        <v>165</v>
      </c>
      <c r="D1687" s="78">
        <v>1</v>
      </c>
      <c r="E1687" s="79">
        <v>58.02</v>
      </c>
      <c r="F1687" s="70">
        <v>58.02</v>
      </c>
      <c r="G1687" s="320"/>
      <c r="H1687" s="79">
        <v>45.17</v>
      </c>
      <c r="I1687" s="79">
        <v>12.85</v>
      </c>
      <c r="J1687" s="79">
        <v>58.02</v>
      </c>
      <c r="K1687" s="79">
        <v>0</v>
      </c>
      <c r="L1687" s="70">
        <v>58.02</v>
      </c>
      <c r="M1687" s="132"/>
      <c r="N1687" s="79">
        <v>45.17</v>
      </c>
      <c r="O1687" s="79">
        <v>12.85</v>
      </c>
      <c r="P1687" s="79">
        <v>58.02</v>
      </c>
      <c r="Q1687" s="136"/>
      <c r="R1687" s="79">
        <v>45.17</v>
      </c>
      <c r="S1687" s="79">
        <v>12.84</v>
      </c>
      <c r="T1687" s="79">
        <v>58.010000000000005</v>
      </c>
      <c r="U1687" s="79">
        <v>0</v>
      </c>
      <c r="V1687" s="189">
        <v>58.010000000000005</v>
      </c>
      <c r="X1687" s="79">
        <v>45.17</v>
      </c>
      <c r="Y1687" s="79">
        <v>12.84</v>
      </c>
      <c r="Z1687" s="79">
        <v>58.01</v>
      </c>
      <c r="AA1687" s="255">
        <v>1.0000000000005116E-2</v>
      </c>
      <c r="AC1687" s="254"/>
    </row>
    <row r="1688" spans="1:29" ht="24">
      <c r="A1688" s="67" t="s">
        <v>13756</v>
      </c>
      <c r="B1688" s="65" t="s">
        <v>13757</v>
      </c>
      <c r="C1688" s="71" t="s">
        <v>165</v>
      </c>
      <c r="D1688" s="78">
        <v>1</v>
      </c>
      <c r="E1688" s="79">
        <v>71.94</v>
      </c>
      <c r="F1688" s="70">
        <v>71.94</v>
      </c>
      <c r="G1688" s="320"/>
      <c r="H1688" s="79">
        <v>59.089999999999996</v>
      </c>
      <c r="I1688" s="79">
        <v>12.85</v>
      </c>
      <c r="J1688" s="79">
        <v>71.94</v>
      </c>
      <c r="K1688" s="79">
        <v>0</v>
      </c>
      <c r="L1688" s="70">
        <v>71.94</v>
      </c>
      <c r="M1688" s="132"/>
      <c r="N1688" s="79">
        <v>59.089999999999996</v>
      </c>
      <c r="O1688" s="79">
        <v>12.85</v>
      </c>
      <c r="P1688" s="79">
        <v>71.94</v>
      </c>
      <c r="Q1688" s="136"/>
      <c r="R1688" s="79">
        <v>59.09</v>
      </c>
      <c r="S1688" s="79">
        <v>12.84</v>
      </c>
      <c r="T1688" s="79">
        <v>71.930000000000007</v>
      </c>
      <c r="U1688" s="79">
        <v>0</v>
      </c>
      <c r="V1688" s="189">
        <v>71.930000000000007</v>
      </c>
      <c r="X1688" s="79">
        <v>59.09</v>
      </c>
      <c r="Y1688" s="79">
        <v>12.84</v>
      </c>
      <c r="Z1688" s="79">
        <v>71.930000000000007</v>
      </c>
      <c r="AA1688" s="255">
        <v>9.9999999999909051E-3</v>
      </c>
      <c r="AC1688" s="254"/>
    </row>
    <row r="1689" spans="1:29" ht="24">
      <c r="A1689" s="67" t="s">
        <v>13758</v>
      </c>
      <c r="B1689" s="65" t="s">
        <v>13759</v>
      </c>
      <c r="C1689" s="71" t="s">
        <v>165</v>
      </c>
      <c r="D1689" s="78">
        <v>1</v>
      </c>
      <c r="E1689" s="79">
        <v>74.150000000000006</v>
      </c>
      <c r="F1689" s="70">
        <v>74.150000000000006</v>
      </c>
      <c r="G1689" s="320"/>
      <c r="H1689" s="79">
        <v>61.3</v>
      </c>
      <c r="I1689" s="79">
        <v>12.85</v>
      </c>
      <c r="J1689" s="79">
        <v>74.149999999999991</v>
      </c>
      <c r="K1689" s="79">
        <v>0</v>
      </c>
      <c r="L1689" s="70">
        <v>74.149999999999991</v>
      </c>
      <c r="M1689" s="132"/>
      <c r="N1689" s="79">
        <v>61.3</v>
      </c>
      <c r="O1689" s="79">
        <v>12.85</v>
      </c>
      <c r="P1689" s="79">
        <v>74.149999999999991</v>
      </c>
      <c r="Q1689" s="136"/>
      <c r="R1689" s="79">
        <v>61.3</v>
      </c>
      <c r="S1689" s="79">
        <v>12.84</v>
      </c>
      <c r="T1689" s="79">
        <v>74.14</v>
      </c>
      <c r="U1689" s="79">
        <v>0</v>
      </c>
      <c r="V1689" s="189">
        <v>74.14</v>
      </c>
      <c r="X1689" s="79">
        <v>61.3</v>
      </c>
      <c r="Y1689" s="79">
        <v>12.84</v>
      </c>
      <c r="Z1689" s="79">
        <v>74.14</v>
      </c>
      <c r="AA1689" s="255">
        <v>1.0000000000005116E-2</v>
      </c>
      <c r="AC1689" s="254"/>
    </row>
    <row r="1690" spans="1:29" ht="24">
      <c r="A1690" s="67" t="s">
        <v>13760</v>
      </c>
      <c r="B1690" s="65" t="s">
        <v>13761</v>
      </c>
      <c r="C1690" s="71" t="s">
        <v>165</v>
      </c>
      <c r="D1690" s="78">
        <v>1</v>
      </c>
      <c r="E1690" s="79">
        <v>124.82000000000001</v>
      </c>
      <c r="F1690" s="70">
        <v>124.82</v>
      </c>
      <c r="G1690" s="320"/>
      <c r="H1690" s="79">
        <v>111.97000000000001</v>
      </c>
      <c r="I1690" s="79">
        <v>12.85</v>
      </c>
      <c r="J1690" s="79">
        <v>124.82000000000001</v>
      </c>
      <c r="K1690" s="79">
        <v>0</v>
      </c>
      <c r="L1690" s="70">
        <v>124.82000000000001</v>
      </c>
      <c r="M1690" s="132"/>
      <c r="N1690" s="79">
        <v>111.97000000000001</v>
      </c>
      <c r="O1690" s="79">
        <v>12.85</v>
      </c>
      <c r="P1690" s="79">
        <v>124.82000000000001</v>
      </c>
      <c r="Q1690" s="136"/>
      <c r="R1690" s="79">
        <v>111.97</v>
      </c>
      <c r="S1690" s="79">
        <v>12.84</v>
      </c>
      <c r="T1690" s="79">
        <v>124.81</v>
      </c>
      <c r="U1690" s="79">
        <v>0</v>
      </c>
      <c r="V1690" s="189">
        <v>124.81</v>
      </c>
      <c r="X1690" s="79">
        <v>111.97</v>
      </c>
      <c r="Y1690" s="79">
        <v>12.84</v>
      </c>
      <c r="Z1690" s="79">
        <v>124.81</v>
      </c>
      <c r="AA1690" s="255">
        <v>9.9999999999909051E-3</v>
      </c>
      <c r="AC1690" s="254"/>
    </row>
    <row r="1691" spans="1:29" ht="24">
      <c r="A1691" s="67" t="s">
        <v>13762</v>
      </c>
      <c r="B1691" s="65" t="s">
        <v>13763</v>
      </c>
      <c r="C1691" s="71" t="s">
        <v>165</v>
      </c>
      <c r="D1691" s="78">
        <v>1</v>
      </c>
      <c r="E1691" s="79">
        <v>134.26000000000002</v>
      </c>
      <c r="F1691" s="70">
        <v>134.26</v>
      </c>
      <c r="G1691" s="320"/>
      <c r="H1691" s="79">
        <v>121.41000000000001</v>
      </c>
      <c r="I1691" s="79">
        <v>12.85</v>
      </c>
      <c r="J1691" s="79">
        <v>134.26000000000002</v>
      </c>
      <c r="K1691" s="79">
        <v>0</v>
      </c>
      <c r="L1691" s="70">
        <v>134.26000000000002</v>
      </c>
      <c r="M1691" s="132"/>
      <c r="N1691" s="79">
        <v>121.41000000000001</v>
      </c>
      <c r="O1691" s="79">
        <v>12.85</v>
      </c>
      <c r="P1691" s="79">
        <v>134.26000000000002</v>
      </c>
      <c r="Q1691" s="136"/>
      <c r="R1691" s="79">
        <v>121.41</v>
      </c>
      <c r="S1691" s="79">
        <v>12.84</v>
      </c>
      <c r="T1691" s="79">
        <v>134.25</v>
      </c>
      <c r="U1691" s="79">
        <v>0</v>
      </c>
      <c r="V1691" s="189">
        <v>134.25</v>
      </c>
      <c r="X1691" s="79">
        <v>121.41</v>
      </c>
      <c r="Y1691" s="79">
        <v>12.84</v>
      </c>
      <c r="Z1691" s="79">
        <v>134.25</v>
      </c>
      <c r="AA1691" s="255">
        <v>9.9999999999909051E-3</v>
      </c>
      <c r="AC1691" s="254"/>
    </row>
    <row r="1692" spans="1:29" ht="24">
      <c r="A1692" s="67" t="s">
        <v>13764</v>
      </c>
      <c r="B1692" s="65" t="s">
        <v>13765</v>
      </c>
      <c r="C1692" s="71" t="s">
        <v>165</v>
      </c>
      <c r="D1692" s="78">
        <v>1</v>
      </c>
      <c r="E1692" s="79">
        <v>167.55</v>
      </c>
      <c r="F1692" s="70">
        <v>167.55</v>
      </c>
      <c r="G1692" s="320"/>
      <c r="H1692" s="79">
        <v>154.70000000000002</v>
      </c>
      <c r="I1692" s="79">
        <v>12.85</v>
      </c>
      <c r="J1692" s="79">
        <v>167.55</v>
      </c>
      <c r="K1692" s="79">
        <v>0</v>
      </c>
      <c r="L1692" s="70">
        <v>167.55</v>
      </c>
      <c r="M1692" s="132"/>
      <c r="N1692" s="79">
        <v>154.70000000000002</v>
      </c>
      <c r="O1692" s="79">
        <v>12.85</v>
      </c>
      <c r="P1692" s="79">
        <v>167.55</v>
      </c>
      <c r="Q1692" s="136"/>
      <c r="R1692" s="79">
        <v>154.69999999999999</v>
      </c>
      <c r="S1692" s="79">
        <v>12.84</v>
      </c>
      <c r="T1692" s="79">
        <v>167.54</v>
      </c>
      <c r="U1692" s="79">
        <v>0</v>
      </c>
      <c r="V1692" s="189">
        <v>167.54</v>
      </c>
      <c r="X1692" s="79">
        <v>154.69999999999999</v>
      </c>
      <c r="Y1692" s="79">
        <v>12.84</v>
      </c>
      <c r="Z1692" s="79">
        <v>167.54</v>
      </c>
      <c r="AA1692" s="255">
        <v>1.0000000000019327E-2</v>
      </c>
      <c r="AC1692" s="254"/>
    </row>
    <row r="1693" spans="1:29" ht="24">
      <c r="A1693" s="67" t="s">
        <v>13766</v>
      </c>
      <c r="B1693" s="65" t="s">
        <v>13767</v>
      </c>
      <c r="C1693" s="71" t="s">
        <v>509</v>
      </c>
      <c r="D1693" s="78">
        <v>1</v>
      </c>
      <c r="E1693" s="79">
        <v>217.62</v>
      </c>
      <c r="F1693" s="70">
        <v>217.62</v>
      </c>
      <c r="G1693" s="320"/>
      <c r="H1693" s="79">
        <v>194.07</v>
      </c>
      <c r="I1693" s="79">
        <v>23.55</v>
      </c>
      <c r="J1693" s="79">
        <v>217.62</v>
      </c>
      <c r="K1693" s="79">
        <v>0</v>
      </c>
      <c r="L1693" s="70">
        <v>217.62</v>
      </c>
      <c r="M1693" s="132"/>
      <c r="N1693" s="79">
        <v>194.07</v>
      </c>
      <c r="O1693" s="79">
        <v>23.55</v>
      </c>
      <c r="P1693" s="79">
        <v>217.62</v>
      </c>
      <c r="Q1693" s="136"/>
      <c r="R1693" s="79">
        <v>194.07</v>
      </c>
      <c r="S1693" s="79">
        <v>23.57</v>
      </c>
      <c r="T1693" s="79">
        <v>217.64</v>
      </c>
      <c r="U1693" s="79">
        <v>0</v>
      </c>
      <c r="V1693" s="189">
        <v>217.64</v>
      </c>
      <c r="X1693" s="79">
        <v>194.07</v>
      </c>
      <c r="Y1693" s="79">
        <v>23.57</v>
      </c>
      <c r="Z1693" s="79">
        <v>217.64</v>
      </c>
      <c r="AA1693" s="255">
        <v>-1.999999999998181E-2</v>
      </c>
      <c r="AC1693" s="254"/>
    </row>
    <row r="1694" spans="1:29" ht="24">
      <c r="A1694" s="67" t="s">
        <v>13768</v>
      </c>
      <c r="B1694" s="65" t="s">
        <v>13769</v>
      </c>
      <c r="C1694" s="71" t="s">
        <v>165</v>
      </c>
      <c r="D1694" s="78">
        <v>1</v>
      </c>
      <c r="E1694" s="79">
        <v>29.7</v>
      </c>
      <c r="F1694" s="70">
        <v>29.7</v>
      </c>
      <c r="G1694" s="320"/>
      <c r="H1694" s="79">
        <v>16.850000000000001</v>
      </c>
      <c r="I1694" s="79">
        <v>12.85</v>
      </c>
      <c r="J1694" s="79">
        <v>29.700000000000003</v>
      </c>
      <c r="K1694" s="79">
        <v>0</v>
      </c>
      <c r="L1694" s="70">
        <v>29.700000000000003</v>
      </c>
      <c r="M1694" s="132"/>
      <c r="N1694" s="79">
        <v>16.850000000000001</v>
      </c>
      <c r="O1694" s="79">
        <v>12.85</v>
      </c>
      <c r="P1694" s="79">
        <v>29.700000000000003</v>
      </c>
      <c r="Q1694" s="136"/>
      <c r="R1694" s="79">
        <v>16.850000000000001</v>
      </c>
      <c r="S1694" s="79">
        <v>12.84</v>
      </c>
      <c r="T1694" s="79">
        <v>29.69</v>
      </c>
      <c r="U1694" s="79">
        <v>0</v>
      </c>
      <c r="V1694" s="189">
        <v>29.69</v>
      </c>
      <c r="X1694" s="79">
        <v>16.850000000000001</v>
      </c>
      <c r="Y1694" s="79">
        <v>12.84</v>
      </c>
      <c r="Z1694" s="79">
        <v>29.69</v>
      </c>
      <c r="AA1694" s="255">
        <v>9.9999999999980105E-3</v>
      </c>
      <c r="AC1694" s="254"/>
    </row>
    <row r="1695" spans="1:29" ht="24">
      <c r="A1695" s="67" t="s">
        <v>13770</v>
      </c>
      <c r="B1695" s="65" t="s">
        <v>13771</v>
      </c>
      <c r="C1695" s="71" t="s">
        <v>165</v>
      </c>
      <c r="D1695" s="78">
        <v>1</v>
      </c>
      <c r="E1695" s="79">
        <v>31.93</v>
      </c>
      <c r="F1695" s="70">
        <v>31.93</v>
      </c>
      <c r="G1695" s="320"/>
      <c r="H1695" s="79">
        <v>19.079999999999998</v>
      </c>
      <c r="I1695" s="79">
        <v>12.85</v>
      </c>
      <c r="J1695" s="79">
        <v>31.93</v>
      </c>
      <c r="K1695" s="79">
        <v>0</v>
      </c>
      <c r="L1695" s="70">
        <v>31.93</v>
      </c>
      <c r="M1695" s="132"/>
      <c r="N1695" s="79">
        <v>19.079999999999998</v>
      </c>
      <c r="O1695" s="79">
        <v>12.85</v>
      </c>
      <c r="P1695" s="79">
        <v>31.93</v>
      </c>
      <c r="Q1695" s="136"/>
      <c r="R1695" s="79">
        <v>19.079999999999998</v>
      </c>
      <c r="S1695" s="79">
        <v>12.84</v>
      </c>
      <c r="T1695" s="79">
        <v>31.919999999999998</v>
      </c>
      <c r="U1695" s="79">
        <v>0</v>
      </c>
      <c r="V1695" s="189">
        <v>31.919999999999998</v>
      </c>
      <c r="X1695" s="79">
        <v>19.079999999999998</v>
      </c>
      <c r="Y1695" s="79">
        <v>12.84</v>
      </c>
      <c r="Z1695" s="79">
        <v>31.92</v>
      </c>
      <c r="AA1695" s="255">
        <v>9.9999999999980105E-3</v>
      </c>
      <c r="AC1695" s="254"/>
    </row>
    <row r="1696" spans="1:29" ht="12">
      <c r="A1696" s="489" t="s">
        <v>13772</v>
      </c>
      <c r="B1696" s="490" t="s">
        <v>13773</v>
      </c>
      <c r="C1696" s="491"/>
      <c r="D1696" s="492"/>
      <c r="E1696" s="79"/>
      <c r="F1696" s="63"/>
      <c r="G1696" s="320"/>
      <c r="H1696" s="79"/>
      <c r="I1696" s="79"/>
      <c r="J1696" s="79"/>
      <c r="K1696" s="79"/>
      <c r="L1696" s="70"/>
      <c r="M1696" s="132"/>
      <c r="N1696" s="79"/>
      <c r="O1696" s="79"/>
      <c r="P1696" s="79"/>
      <c r="Q1696" s="136"/>
      <c r="R1696" s="79"/>
      <c r="S1696" s="79"/>
      <c r="T1696" s="79"/>
      <c r="U1696" s="79"/>
      <c r="V1696" s="189"/>
      <c r="X1696" s="79"/>
      <c r="Y1696" s="79"/>
      <c r="Z1696" s="79"/>
      <c r="AA1696" s="255"/>
      <c r="AC1696" s="254"/>
    </row>
    <row r="1697" spans="1:31" ht="12">
      <c r="A1697" s="67" t="s">
        <v>13774</v>
      </c>
      <c r="B1697" s="65" t="s">
        <v>13775</v>
      </c>
      <c r="C1697" s="71" t="s">
        <v>509</v>
      </c>
      <c r="D1697" s="78">
        <v>1</v>
      </c>
      <c r="E1697" s="79">
        <v>88.77000000000001</v>
      </c>
      <c r="F1697" s="70">
        <v>88.77</v>
      </c>
      <c r="G1697" s="320"/>
      <c r="H1697" s="79">
        <v>66.86</v>
      </c>
      <c r="I1697" s="79">
        <v>21.91</v>
      </c>
      <c r="J1697" s="79">
        <v>88.77</v>
      </c>
      <c r="K1697" s="79">
        <v>0</v>
      </c>
      <c r="L1697" s="70">
        <v>88.77</v>
      </c>
      <c r="M1697" s="132"/>
      <c r="N1697" s="79">
        <v>66.86</v>
      </c>
      <c r="O1697" s="79">
        <v>21.91</v>
      </c>
      <c r="P1697" s="79">
        <v>88.77</v>
      </c>
      <c r="Q1697" s="136"/>
      <c r="R1697" s="79">
        <v>66.86</v>
      </c>
      <c r="S1697" s="79">
        <v>21.92</v>
      </c>
      <c r="T1697" s="79">
        <v>88.78</v>
      </c>
      <c r="U1697" s="79">
        <v>0</v>
      </c>
      <c r="V1697" s="189">
        <v>88.78</v>
      </c>
      <c r="X1697" s="79">
        <v>66.86</v>
      </c>
      <c r="Y1697" s="79">
        <v>21.92</v>
      </c>
      <c r="Z1697" s="79">
        <v>88.78</v>
      </c>
      <c r="AA1697" s="255">
        <v>-1.0000000000005116E-2</v>
      </c>
      <c r="AC1697" s="254"/>
    </row>
    <row r="1698" spans="1:31" ht="12">
      <c r="A1698" s="67" t="s">
        <v>13776</v>
      </c>
      <c r="B1698" s="65" t="s">
        <v>13777</v>
      </c>
      <c r="C1698" s="71" t="s">
        <v>509</v>
      </c>
      <c r="D1698" s="78">
        <v>1</v>
      </c>
      <c r="E1698" s="79">
        <v>97.02</v>
      </c>
      <c r="F1698" s="70">
        <v>97.02</v>
      </c>
      <c r="G1698" s="320"/>
      <c r="H1698" s="79">
        <v>75.11</v>
      </c>
      <c r="I1698" s="79">
        <v>21.91</v>
      </c>
      <c r="J1698" s="79">
        <v>97.02</v>
      </c>
      <c r="K1698" s="79">
        <v>0</v>
      </c>
      <c r="L1698" s="70">
        <v>97.02</v>
      </c>
      <c r="M1698" s="132"/>
      <c r="N1698" s="79">
        <v>75.11</v>
      </c>
      <c r="O1698" s="79">
        <v>21.91</v>
      </c>
      <c r="P1698" s="79">
        <v>97.02</v>
      </c>
      <c r="Q1698" s="136"/>
      <c r="R1698" s="79">
        <v>75.11</v>
      </c>
      <c r="S1698" s="79">
        <v>21.92</v>
      </c>
      <c r="T1698" s="79">
        <v>97.03</v>
      </c>
      <c r="U1698" s="79">
        <v>0</v>
      </c>
      <c r="V1698" s="189">
        <v>97.03</v>
      </c>
      <c r="X1698" s="79">
        <v>75.11</v>
      </c>
      <c r="Y1698" s="79">
        <v>21.92</v>
      </c>
      <c r="Z1698" s="79">
        <v>97.03</v>
      </c>
      <c r="AA1698" s="255">
        <v>-1.0000000000005116E-2</v>
      </c>
      <c r="AC1698" s="254"/>
    </row>
    <row r="1699" spans="1:31" ht="24">
      <c r="A1699" s="67" t="s">
        <v>13778</v>
      </c>
      <c r="B1699" s="65" t="s">
        <v>13779</v>
      </c>
      <c r="C1699" s="71" t="s">
        <v>509</v>
      </c>
      <c r="D1699" s="78">
        <v>1</v>
      </c>
      <c r="E1699" s="79">
        <v>160.1</v>
      </c>
      <c r="F1699" s="70">
        <v>160.1</v>
      </c>
      <c r="G1699" s="320"/>
      <c r="H1699" s="79">
        <v>132.51</v>
      </c>
      <c r="I1699" s="79">
        <v>27.59</v>
      </c>
      <c r="J1699" s="79">
        <v>160.1</v>
      </c>
      <c r="K1699" s="79">
        <v>0</v>
      </c>
      <c r="L1699" s="70">
        <v>160.1</v>
      </c>
      <c r="M1699" s="132"/>
      <c r="N1699" s="79">
        <v>132.51</v>
      </c>
      <c r="O1699" s="79">
        <v>27.59</v>
      </c>
      <c r="P1699" s="79">
        <v>160.1</v>
      </c>
      <c r="Q1699" s="136"/>
      <c r="R1699" s="79">
        <v>132.51</v>
      </c>
      <c r="S1699" s="79">
        <v>27.59</v>
      </c>
      <c r="T1699" s="79">
        <v>160.1</v>
      </c>
      <c r="U1699" s="79">
        <v>0</v>
      </c>
      <c r="V1699" s="189">
        <v>160.1</v>
      </c>
      <c r="X1699" s="79">
        <v>132.51</v>
      </c>
      <c r="Y1699" s="79">
        <v>27.59</v>
      </c>
      <c r="Z1699" s="79">
        <v>160.1</v>
      </c>
      <c r="AA1699" s="255">
        <v>0</v>
      </c>
      <c r="AC1699" s="254"/>
      <c r="AD1699" s="69"/>
      <c r="AE1699" s="69"/>
    </row>
    <row r="1700" spans="1:31" ht="24">
      <c r="A1700" s="67" t="s">
        <v>13780</v>
      </c>
      <c r="B1700" s="65" t="s">
        <v>13781</v>
      </c>
      <c r="C1700" s="71" t="s">
        <v>509</v>
      </c>
      <c r="D1700" s="78">
        <v>1</v>
      </c>
      <c r="E1700" s="79">
        <v>167.51</v>
      </c>
      <c r="F1700" s="70">
        <v>167.51</v>
      </c>
      <c r="G1700" s="320"/>
      <c r="H1700" s="79">
        <v>139.91999999999999</v>
      </c>
      <c r="I1700" s="79">
        <v>27.59</v>
      </c>
      <c r="J1700" s="79">
        <v>167.51</v>
      </c>
      <c r="K1700" s="79">
        <v>0</v>
      </c>
      <c r="L1700" s="70">
        <v>167.51</v>
      </c>
      <c r="M1700" s="132"/>
      <c r="N1700" s="79">
        <v>139.91999999999999</v>
      </c>
      <c r="O1700" s="79">
        <v>27.59</v>
      </c>
      <c r="P1700" s="79">
        <v>167.51</v>
      </c>
      <c r="Q1700" s="136"/>
      <c r="R1700" s="79">
        <v>139.91999999999999</v>
      </c>
      <c r="S1700" s="79">
        <v>27.59</v>
      </c>
      <c r="T1700" s="79">
        <v>167.51</v>
      </c>
      <c r="U1700" s="79">
        <v>0</v>
      </c>
      <c r="V1700" s="189">
        <v>167.51</v>
      </c>
      <c r="X1700" s="79">
        <v>139.91999999999999</v>
      </c>
      <c r="Y1700" s="79">
        <v>27.59</v>
      </c>
      <c r="Z1700" s="79">
        <v>167.51</v>
      </c>
      <c r="AA1700" s="255">
        <v>0</v>
      </c>
      <c r="AC1700" s="254"/>
      <c r="AD1700" s="69"/>
      <c r="AE1700" s="69"/>
    </row>
    <row r="1701" spans="1:31" s="69" customFormat="1" ht="12">
      <c r="A1701" s="67" t="s">
        <v>13782</v>
      </c>
      <c r="B1701" s="65" t="s">
        <v>13783</v>
      </c>
      <c r="C1701" s="71" t="s">
        <v>509</v>
      </c>
      <c r="D1701" s="78">
        <v>1</v>
      </c>
      <c r="E1701" s="79">
        <v>163.83000000000001</v>
      </c>
      <c r="F1701" s="70">
        <v>163.83000000000001</v>
      </c>
      <c r="G1701" s="320"/>
      <c r="H1701" s="79">
        <v>163.83000000000001</v>
      </c>
      <c r="I1701" s="79">
        <v>0</v>
      </c>
      <c r="J1701" s="79">
        <v>163.83000000000001</v>
      </c>
      <c r="K1701" s="79">
        <v>0</v>
      </c>
      <c r="L1701" s="70">
        <v>163.83000000000001</v>
      </c>
      <c r="M1701" s="132"/>
      <c r="N1701" s="79">
        <v>163.83000000000001</v>
      </c>
      <c r="O1701" s="79"/>
      <c r="P1701" s="79">
        <v>163.83000000000001</v>
      </c>
      <c r="Q1701" s="136"/>
      <c r="R1701" s="79">
        <v>163.83000000000001</v>
      </c>
      <c r="S1701" s="79"/>
      <c r="T1701" s="79">
        <v>163.83000000000001</v>
      </c>
      <c r="U1701" s="79">
        <v>0</v>
      </c>
      <c r="V1701" s="189">
        <v>163.83000000000001</v>
      </c>
      <c r="W1701" s="61"/>
      <c r="X1701" s="79">
        <v>163.83000000000001</v>
      </c>
      <c r="Y1701" s="79"/>
      <c r="Z1701" s="79">
        <v>163.83000000000001</v>
      </c>
      <c r="AA1701" s="255">
        <v>0</v>
      </c>
      <c r="AB1701" s="61"/>
      <c r="AC1701" s="254"/>
      <c r="AD1701" s="236"/>
      <c r="AE1701" s="236"/>
    </row>
    <row r="1702" spans="1:31" s="69" customFormat="1" ht="12">
      <c r="A1702" s="489" t="s">
        <v>13784</v>
      </c>
      <c r="B1702" s="490" t="s">
        <v>13785</v>
      </c>
      <c r="C1702" s="491"/>
      <c r="D1702" s="492"/>
      <c r="E1702" s="79"/>
      <c r="F1702" s="63"/>
      <c r="G1702" s="320"/>
      <c r="H1702" s="79"/>
      <c r="I1702" s="79"/>
      <c r="J1702" s="79"/>
      <c r="K1702" s="79"/>
      <c r="L1702" s="70"/>
      <c r="M1702" s="132"/>
      <c r="N1702" s="79"/>
      <c r="O1702" s="79"/>
      <c r="P1702" s="79"/>
      <c r="Q1702" s="136"/>
      <c r="R1702" s="79"/>
      <c r="S1702" s="79"/>
      <c r="T1702" s="79"/>
      <c r="U1702" s="79"/>
      <c r="V1702" s="189"/>
      <c r="W1702" s="61"/>
      <c r="X1702" s="79"/>
      <c r="Y1702" s="79"/>
      <c r="Z1702" s="79"/>
      <c r="AA1702" s="255"/>
      <c r="AB1702" s="61"/>
      <c r="AC1702" s="254"/>
      <c r="AD1702" s="236"/>
      <c r="AE1702" s="236"/>
    </row>
    <row r="1703" spans="1:31" ht="12">
      <c r="A1703" s="67" t="s">
        <v>13786</v>
      </c>
      <c r="B1703" s="65" t="s">
        <v>13787</v>
      </c>
      <c r="C1703" s="71" t="s">
        <v>509</v>
      </c>
      <c r="D1703" s="78">
        <v>1</v>
      </c>
      <c r="E1703" s="79">
        <v>19.72</v>
      </c>
      <c r="F1703" s="70">
        <v>19.72</v>
      </c>
      <c r="G1703" s="320"/>
      <c r="H1703" s="79">
        <v>10.64</v>
      </c>
      <c r="I1703" s="79">
        <v>9.08</v>
      </c>
      <c r="J1703" s="79">
        <v>19.72</v>
      </c>
      <c r="K1703" s="79">
        <v>0</v>
      </c>
      <c r="L1703" s="70">
        <v>19.72</v>
      </c>
      <c r="M1703" s="132"/>
      <c r="N1703" s="79">
        <v>10.64</v>
      </c>
      <c r="O1703" s="79">
        <v>9.08</v>
      </c>
      <c r="P1703" s="79">
        <v>19.72</v>
      </c>
      <c r="Q1703" s="136"/>
      <c r="R1703" s="79">
        <v>10.64</v>
      </c>
      <c r="S1703" s="79">
        <v>9.08</v>
      </c>
      <c r="T1703" s="79">
        <v>19.72</v>
      </c>
      <c r="U1703" s="79">
        <v>0</v>
      </c>
      <c r="V1703" s="189">
        <v>19.72</v>
      </c>
      <c r="X1703" s="79">
        <v>10.64</v>
      </c>
      <c r="Y1703" s="79">
        <v>9.08</v>
      </c>
      <c r="Z1703" s="79">
        <v>19.72</v>
      </c>
      <c r="AA1703" s="255">
        <v>0</v>
      </c>
      <c r="AC1703" s="254"/>
    </row>
    <row r="1704" spans="1:31" ht="12">
      <c r="A1704" s="67" t="s">
        <v>13788</v>
      </c>
      <c r="B1704" s="65" t="s">
        <v>13789</v>
      </c>
      <c r="C1704" s="71" t="s">
        <v>509</v>
      </c>
      <c r="D1704" s="78">
        <v>1</v>
      </c>
      <c r="E1704" s="79">
        <v>16.53</v>
      </c>
      <c r="F1704" s="70">
        <v>16.53</v>
      </c>
      <c r="G1704" s="320"/>
      <c r="H1704" s="79">
        <v>7.45</v>
      </c>
      <c r="I1704" s="79">
        <v>9.08</v>
      </c>
      <c r="J1704" s="79">
        <v>16.53</v>
      </c>
      <c r="K1704" s="79">
        <v>0</v>
      </c>
      <c r="L1704" s="70">
        <v>16.53</v>
      </c>
      <c r="M1704" s="132"/>
      <c r="N1704" s="79">
        <v>7.45</v>
      </c>
      <c r="O1704" s="79">
        <v>9.08</v>
      </c>
      <c r="P1704" s="79">
        <v>16.53</v>
      </c>
      <c r="Q1704" s="136"/>
      <c r="R1704" s="79">
        <v>7.45</v>
      </c>
      <c r="S1704" s="79">
        <v>9.08</v>
      </c>
      <c r="T1704" s="79">
        <v>16.53</v>
      </c>
      <c r="U1704" s="79">
        <v>0</v>
      </c>
      <c r="V1704" s="189">
        <v>16.53</v>
      </c>
      <c r="X1704" s="79">
        <v>7.45</v>
      </c>
      <c r="Y1704" s="79">
        <v>9.08</v>
      </c>
      <c r="Z1704" s="79">
        <v>16.53</v>
      </c>
      <c r="AA1704" s="255">
        <v>0</v>
      </c>
      <c r="AC1704" s="254"/>
    </row>
    <row r="1705" spans="1:31" ht="12">
      <c r="A1705" s="67" t="s">
        <v>13790</v>
      </c>
      <c r="B1705" s="65" t="s">
        <v>13791</v>
      </c>
      <c r="C1705" s="71" t="s">
        <v>509</v>
      </c>
      <c r="D1705" s="78">
        <v>1</v>
      </c>
      <c r="E1705" s="79">
        <v>59.66</v>
      </c>
      <c r="F1705" s="70">
        <v>59.66</v>
      </c>
      <c r="G1705" s="320"/>
      <c r="H1705" s="79">
        <v>50.58</v>
      </c>
      <c r="I1705" s="79">
        <v>9.08</v>
      </c>
      <c r="J1705" s="79">
        <v>59.66</v>
      </c>
      <c r="K1705" s="79">
        <v>0</v>
      </c>
      <c r="L1705" s="70">
        <v>59.66</v>
      </c>
      <c r="M1705" s="132"/>
      <c r="N1705" s="79">
        <v>50.58</v>
      </c>
      <c r="O1705" s="79">
        <v>9.08</v>
      </c>
      <c r="P1705" s="79">
        <v>59.66</v>
      </c>
      <c r="Q1705" s="136"/>
      <c r="R1705" s="79">
        <v>50.58</v>
      </c>
      <c r="S1705" s="79">
        <v>9.08</v>
      </c>
      <c r="T1705" s="79">
        <v>59.66</v>
      </c>
      <c r="U1705" s="79">
        <v>0</v>
      </c>
      <c r="V1705" s="189">
        <v>59.66</v>
      </c>
      <c r="X1705" s="79">
        <v>50.58</v>
      </c>
      <c r="Y1705" s="79">
        <v>9.08</v>
      </c>
      <c r="Z1705" s="79">
        <v>59.66</v>
      </c>
      <c r="AA1705" s="255">
        <v>0</v>
      </c>
      <c r="AC1705" s="254"/>
    </row>
    <row r="1706" spans="1:31" ht="24">
      <c r="A1706" s="67" t="s">
        <v>13792</v>
      </c>
      <c r="B1706" s="65" t="s">
        <v>13793</v>
      </c>
      <c r="C1706" s="71" t="s">
        <v>509</v>
      </c>
      <c r="D1706" s="78">
        <v>1</v>
      </c>
      <c r="E1706" s="79">
        <v>103.2</v>
      </c>
      <c r="F1706" s="70">
        <v>103.2</v>
      </c>
      <c r="G1706" s="320"/>
      <c r="H1706" s="79">
        <v>78</v>
      </c>
      <c r="I1706" s="79">
        <v>25.2</v>
      </c>
      <c r="J1706" s="79">
        <v>103.2</v>
      </c>
      <c r="K1706" s="79">
        <v>0</v>
      </c>
      <c r="L1706" s="70">
        <v>103.2</v>
      </c>
      <c r="M1706" s="132"/>
      <c r="N1706" s="79">
        <v>78</v>
      </c>
      <c r="O1706" s="79">
        <v>25.2</v>
      </c>
      <c r="P1706" s="79">
        <v>103.2</v>
      </c>
      <c r="Q1706" s="136"/>
      <c r="R1706" s="79">
        <v>78</v>
      </c>
      <c r="S1706" s="79">
        <v>25.18</v>
      </c>
      <c r="T1706" s="79">
        <v>103.18</v>
      </c>
      <c r="U1706" s="79">
        <v>0</v>
      </c>
      <c r="V1706" s="189">
        <v>103.18</v>
      </c>
      <c r="X1706" s="79">
        <v>78</v>
      </c>
      <c r="Y1706" s="79">
        <v>25.18</v>
      </c>
      <c r="Z1706" s="79">
        <v>103.18</v>
      </c>
      <c r="AA1706" s="255">
        <v>1.9999999999996021E-2</v>
      </c>
      <c r="AC1706" s="254"/>
    </row>
    <row r="1707" spans="1:31" ht="12">
      <c r="A1707" s="67" t="s">
        <v>13794</v>
      </c>
      <c r="B1707" s="65" t="s">
        <v>13795</v>
      </c>
      <c r="C1707" s="71" t="s">
        <v>509</v>
      </c>
      <c r="D1707" s="78">
        <v>1</v>
      </c>
      <c r="E1707" s="79">
        <v>52.309999999999995</v>
      </c>
      <c r="F1707" s="70">
        <v>52.31</v>
      </c>
      <c r="G1707" s="320"/>
      <c r="H1707" s="79">
        <v>43.23</v>
      </c>
      <c r="I1707" s="79">
        <v>9.08</v>
      </c>
      <c r="J1707" s="79">
        <v>52.309999999999995</v>
      </c>
      <c r="K1707" s="79">
        <v>0</v>
      </c>
      <c r="L1707" s="70">
        <v>52.309999999999995</v>
      </c>
      <c r="M1707" s="132"/>
      <c r="N1707" s="79">
        <v>43.23</v>
      </c>
      <c r="O1707" s="79">
        <v>9.08</v>
      </c>
      <c r="P1707" s="79">
        <v>52.309999999999995</v>
      </c>
      <c r="Q1707" s="136"/>
      <c r="R1707" s="79">
        <v>43.23</v>
      </c>
      <c r="S1707" s="79">
        <v>9.08</v>
      </c>
      <c r="T1707" s="79">
        <v>52.309999999999995</v>
      </c>
      <c r="U1707" s="79">
        <v>0</v>
      </c>
      <c r="V1707" s="189">
        <v>52.309999999999995</v>
      </c>
      <c r="X1707" s="79">
        <v>43.23</v>
      </c>
      <c r="Y1707" s="79">
        <v>9.08</v>
      </c>
      <c r="Z1707" s="79">
        <v>52.31</v>
      </c>
      <c r="AA1707" s="255">
        <v>0</v>
      </c>
      <c r="AC1707" s="254"/>
    </row>
    <row r="1708" spans="1:31" ht="24">
      <c r="A1708" s="67" t="s">
        <v>13796</v>
      </c>
      <c r="B1708" s="65" t="s">
        <v>13797</v>
      </c>
      <c r="C1708" s="71" t="s">
        <v>509</v>
      </c>
      <c r="D1708" s="78">
        <v>1</v>
      </c>
      <c r="E1708" s="79">
        <v>92.91</v>
      </c>
      <c r="F1708" s="70">
        <v>92.91</v>
      </c>
      <c r="G1708" s="320"/>
      <c r="H1708" s="79">
        <v>67.710000000000008</v>
      </c>
      <c r="I1708" s="79">
        <v>25.2</v>
      </c>
      <c r="J1708" s="79">
        <v>92.910000000000011</v>
      </c>
      <c r="K1708" s="79">
        <v>0</v>
      </c>
      <c r="L1708" s="70">
        <v>92.910000000000011</v>
      </c>
      <c r="M1708" s="132"/>
      <c r="N1708" s="79">
        <v>67.710000000000008</v>
      </c>
      <c r="O1708" s="79">
        <v>25.2</v>
      </c>
      <c r="P1708" s="79">
        <v>92.910000000000011</v>
      </c>
      <c r="Q1708" s="136"/>
      <c r="R1708" s="79">
        <v>67.709999999999994</v>
      </c>
      <c r="S1708" s="79">
        <v>25.18</v>
      </c>
      <c r="T1708" s="79">
        <v>92.889999999999986</v>
      </c>
      <c r="U1708" s="79">
        <v>0</v>
      </c>
      <c r="V1708" s="189">
        <v>92.889999999999986</v>
      </c>
      <c r="X1708" s="79">
        <v>67.709999999999994</v>
      </c>
      <c r="Y1708" s="79">
        <v>25.18</v>
      </c>
      <c r="Z1708" s="79">
        <v>92.89</v>
      </c>
      <c r="AA1708" s="255">
        <v>1.9999999999996021E-2</v>
      </c>
      <c r="AC1708" s="254"/>
    </row>
    <row r="1709" spans="1:31" ht="24">
      <c r="A1709" s="67" t="s">
        <v>13798</v>
      </c>
      <c r="B1709" s="65" t="s">
        <v>13799</v>
      </c>
      <c r="C1709" s="71" t="s">
        <v>509</v>
      </c>
      <c r="D1709" s="78">
        <v>1</v>
      </c>
      <c r="E1709" s="79">
        <v>77.27</v>
      </c>
      <c r="F1709" s="70">
        <v>77.27</v>
      </c>
      <c r="G1709" s="320"/>
      <c r="H1709" s="79">
        <v>47.53</v>
      </c>
      <c r="I1709" s="79">
        <v>29.740000000000002</v>
      </c>
      <c r="J1709" s="79">
        <v>77.27000000000001</v>
      </c>
      <c r="K1709" s="79">
        <v>0</v>
      </c>
      <c r="L1709" s="70">
        <v>77.27000000000001</v>
      </c>
      <c r="M1709" s="132"/>
      <c r="N1709" s="79">
        <v>47.53</v>
      </c>
      <c r="O1709" s="79">
        <v>29.740000000000002</v>
      </c>
      <c r="P1709" s="79">
        <v>77.27000000000001</v>
      </c>
      <c r="Q1709" s="136"/>
      <c r="R1709" s="79">
        <v>47.53</v>
      </c>
      <c r="S1709" s="79">
        <v>29.72</v>
      </c>
      <c r="T1709" s="79">
        <v>77.25</v>
      </c>
      <c r="U1709" s="79">
        <v>0</v>
      </c>
      <c r="V1709" s="189">
        <v>77.25</v>
      </c>
      <c r="X1709" s="79">
        <v>47.53</v>
      </c>
      <c r="Y1709" s="79">
        <v>29.72</v>
      </c>
      <c r="Z1709" s="79">
        <v>77.25</v>
      </c>
      <c r="AA1709" s="255">
        <v>1.9999999999996021E-2</v>
      </c>
      <c r="AC1709" s="254"/>
    </row>
    <row r="1710" spans="1:31" ht="12">
      <c r="A1710" s="489" t="s">
        <v>13800</v>
      </c>
      <c r="B1710" s="490" t="s">
        <v>13801</v>
      </c>
      <c r="C1710" s="491"/>
      <c r="D1710" s="492"/>
      <c r="E1710" s="79"/>
      <c r="F1710" s="63"/>
      <c r="G1710" s="320"/>
      <c r="H1710" s="79"/>
      <c r="I1710" s="79"/>
      <c r="J1710" s="79"/>
      <c r="K1710" s="79"/>
      <c r="L1710" s="70"/>
      <c r="M1710" s="132"/>
      <c r="N1710" s="79"/>
      <c r="O1710" s="79"/>
      <c r="P1710" s="79"/>
      <c r="Q1710" s="136"/>
      <c r="R1710" s="79"/>
      <c r="S1710" s="79"/>
      <c r="T1710" s="79"/>
      <c r="U1710" s="79"/>
      <c r="V1710" s="189"/>
      <c r="X1710" s="79"/>
      <c r="Y1710" s="79"/>
      <c r="Z1710" s="79"/>
      <c r="AA1710" s="255"/>
      <c r="AC1710" s="254"/>
    </row>
    <row r="1711" spans="1:31" ht="12">
      <c r="A1711" s="67" t="s">
        <v>13802</v>
      </c>
      <c r="B1711" s="65" t="s">
        <v>13803</v>
      </c>
      <c r="C1711" s="71" t="s">
        <v>121</v>
      </c>
      <c r="D1711" s="78">
        <v>1</v>
      </c>
      <c r="E1711" s="79">
        <v>886.24</v>
      </c>
      <c r="F1711" s="70">
        <v>886.24</v>
      </c>
      <c r="G1711" s="320"/>
      <c r="H1711" s="79">
        <v>493.32000000000005</v>
      </c>
      <c r="I1711" s="79">
        <v>392.91999999999996</v>
      </c>
      <c r="J1711" s="79">
        <v>886.24</v>
      </c>
      <c r="K1711" s="79">
        <v>0</v>
      </c>
      <c r="L1711" s="70">
        <v>886.24</v>
      </c>
      <c r="M1711" s="132"/>
      <c r="N1711" s="79">
        <v>493.32000000000005</v>
      </c>
      <c r="O1711" s="79">
        <v>392.91999999999996</v>
      </c>
      <c r="P1711" s="79">
        <v>886.24</v>
      </c>
      <c r="Q1711" s="136"/>
      <c r="R1711" s="79">
        <v>493.32</v>
      </c>
      <c r="S1711" s="79">
        <v>392.94</v>
      </c>
      <c r="T1711" s="79">
        <v>886.26</v>
      </c>
      <c r="U1711" s="79">
        <v>0</v>
      </c>
      <c r="V1711" s="189">
        <v>886.26</v>
      </c>
      <c r="X1711" s="79">
        <v>493.32</v>
      </c>
      <c r="Y1711" s="79">
        <v>392.94</v>
      </c>
      <c r="Z1711" s="79">
        <v>886.26</v>
      </c>
      <c r="AA1711" s="255">
        <v>-1.999999999998181E-2</v>
      </c>
      <c r="AC1711" s="254"/>
    </row>
    <row r="1712" spans="1:31" ht="12">
      <c r="A1712" s="67" t="s">
        <v>13804</v>
      </c>
      <c r="B1712" s="65" t="s">
        <v>13805</v>
      </c>
      <c r="C1712" s="71" t="s">
        <v>121</v>
      </c>
      <c r="D1712" s="78">
        <v>1</v>
      </c>
      <c r="E1712" s="79">
        <v>561.91000000000008</v>
      </c>
      <c r="F1712" s="70">
        <v>561.91</v>
      </c>
      <c r="G1712" s="320"/>
      <c r="H1712" s="79">
        <v>516.47</v>
      </c>
      <c r="I1712" s="79">
        <v>45.44</v>
      </c>
      <c r="J1712" s="79">
        <v>561.91000000000008</v>
      </c>
      <c r="K1712" s="79">
        <v>0</v>
      </c>
      <c r="L1712" s="70">
        <v>561.91000000000008</v>
      </c>
      <c r="M1712" s="132"/>
      <c r="N1712" s="79">
        <v>516.47</v>
      </c>
      <c r="O1712" s="79">
        <v>45.44</v>
      </c>
      <c r="P1712" s="79">
        <v>561.91000000000008</v>
      </c>
      <c r="Q1712" s="136"/>
      <c r="R1712" s="79">
        <v>516.47</v>
      </c>
      <c r="S1712" s="79">
        <v>45.43</v>
      </c>
      <c r="T1712" s="79"/>
      <c r="U1712" s="79">
        <v>0</v>
      </c>
      <c r="V1712" s="189">
        <v>0</v>
      </c>
      <c r="X1712" s="79">
        <v>516.47</v>
      </c>
      <c r="Y1712" s="79">
        <v>45.43</v>
      </c>
      <c r="Z1712" s="79">
        <v>561.9</v>
      </c>
      <c r="AA1712" s="255">
        <v>9.9999999999909051E-3</v>
      </c>
      <c r="AC1712" s="254"/>
    </row>
    <row r="1713" spans="1:29" ht="12">
      <c r="A1713" s="67" t="s">
        <v>13806</v>
      </c>
      <c r="B1713" s="65" t="s">
        <v>13807</v>
      </c>
      <c r="C1713" s="71" t="s">
        <v>509</v>
      </c>
      <c r="D1713" s="78">
        <v>1</v>
      </c>
      <c r="E1713" s="79">
        <v>15.49</v>
      </c>
      <c r="F1713" s="70">
        <v>15.49</v>
      </c>
      <c r="G1713" s="320"/>
      <c r="H1713" s="79">
        <v>5.9</v>
      </c>
      <c r="I1713" s="79">
        <v>9.59</v>
      </c>
      <c r="J1713" s="79">
        <v>15.49</v>
      </c>
      <c r="K1713" s="79">
        <v>0</v>
      </c>
      <c r="L1713" s="70">
        <v>15.49</v>
      </c>
      <c r="M1713" s="132"/>
      <c r="N1713" s="79">
        <v>5.9</v>
      </c>
      <c r="O1713" s="79">
        <v>9.59</v>
      </c>
      <c r="P1713" s="79">
        <v>15.49</v>
      </c>
      <c r="Q1713" s="136"/>
      <c r="R1713" s="79">
        <v>5.9</v>
      </c>
      <c r="S1713" s="79">
        <v>9.57</v>
      </c>
      <c r="T1713" s="79">
        <v>15.47</v>
      </c>
      <c r="U1713" s="79">
        <v>0</v>
      </c>
      <c r="V1713" s="189">
        <v>15.47</v>
      </c>
      <c r="X1713" s="79">
        <v>5.9</v>
      </c>
      <c r="Y1713" s="79">
        <v>9.57</v>
      </c>
      <c r="Z1713" s="79">
        <v>15.47</v>
      </c>
      <c r="AA1713" s="255">
        <v>1.9999999999999574E-2</v>
      </c>
      <c r="AC1713" s="254"/>
    </row>
    <row r="1714" spans="1:29" ht="24">
      <c r="A1714" s="67" t="s">
        <v>13808</v>
      </c>
      <c r="B1714" s="65" t="s">
        <v>13809</v>
      </c>
      <c r="C1714" s="71" t="s">
        <v>509</v>
      </c>
      <c r="D1714" s="78">
        <v>1</v>
      </c>
      <c r="E1714" s="79">
        <v>38.14</v>
      </c>
      <c r="F1714" s="70">
        <v>38.14</v>
      </c>
      <c r="G1714" s="320"/>
      <c r="H1714" s="79">
        <v>18.990000000000002</v>
      </c>
      <c r="I1714" s="79">
        <v>19.149999999999999</v>
      </c>
      <c r="J1714" s="79">
        <v>38.14</v>
      </c>
      <c r="K1714" s="79">
        <v>0</v>
      </c>
      <c r="L1714" s="70">
        <v>38.14</v>
      </c>
      <c r="M1714" s="132"/>
      <c r="N1714" s="79">
        <v>18.990000000000002</v>
      </c>
      <c r="O1714" s="79">
        <v>19.149999999999999</v>
      </c>
      <c r="P1714" s="79">
        <v>38.14</v>
      </c>
      <c r="Q1714" s="136"/>
      <c r="R1714" s="79">
        <v>18.989999999999998</v>
      </c>
      <c r="S1714" s="79">
        <v>19.16</v>
      </c>
      <c r="T1714" s="79">
        <v>38.15</v>
      </c>
      <c r="U1714" s="79">
        <v>0</v>
      </c>
      <c r="V1714" s="189">
        <v>38.15</v>
      </c>
      <c r="X1714" s="79">
        <v>18.989999999999998</v>
      </c>
      <c r="Y1714" s="79">
        <v>19.16</v>
      </c>
      <c r="Z1714" s="79">
        <v>38.15</v>
      </c>
      <c r="AA1714" s="255">
        <v>-9.9999999999980105E-3</v>
      </c>
      <c r="AC1714" s="254"/>
    </row>
    <row r="1715" spans="1:29" ht="24">
      <c r="A1715" s="67" t="s">
        <v>13810</v>
      </c>
      <c r="B1715" s="65" t="s">
        <v>13811</v>
      </c>
      <c r="C1715" s="71" t="s">
        <v>509</v>
      </c>
      <c r="D1715" s="78">
        <v>1</v>
      </c>
      <c r="E1715" s="79">
        <v>64.44</v>
      </c>
      <c r="F1715" s="70">
        <v>64.44</v>
      </c>
      <c r="G1715" s="320"/>
      <c r="H1715" s="79">
        <v>54.85</v>
      </c>
      <c r="I1715" s="79">
        <v>9.59</v>
      </c>
      <c r="J1715" s="79">
        <v>64.44</v>
      </c>
      <c r="K1715" s="79">
        <v>0</v>
      </c>
      <c r="L1715" s="70">
        <v>64.44</v>
      </c>
      <c r="M1715" s="132"/>
      <c r="N1715" s="79">
        <v>54.85</v>
      </c>
      <c r="O1715" s="79">
        <v>9.59</v>
      </c>
      <c r="P1715" s="79">
        <v>64.44</v>
      </c>
      <c r="Q1715" s="136"/>
      <c r="R1715" s="79">
        <v>54.85</v>
      </c>
      <c r="S1715" s="79">
        <v>9.57</v>
      </c>
      <c r="T1715" s="79">
        <v>64.42</v>
      </c>
      <c r="U1715" s="79">
        <v>0</v>
      </c>
      <c r="V1715" s="189">
        <v>64.42</v>
      </c>
      <c r="X1715" s="79">
        <v>54.85</v>
      </c>
      <c r="Y1715" s="79">
        <v>9.57</v>
      </c>
      <c r="Z1715" s="79">
        <v>64.42</v>
      </c>
      <c r="AA1715" s="255">
        <v>1.9999999999996021E-2</v>
      </c>
      <c r="AC1715" s="254"/>
    </row>
    <row r="1716" spans="1:29" ht="12">
      <c r="A1716" s="489" t="s">
        <v>13812</v>
      </c>
      <c r="B1716" s="490" t="s">
        <v>13813</v>
      </c>
      <c r="C1716" s="491"/>
      <c r="D1716" s="492"/>
      <c r="E1716" s="79"/>
      <c r="F1716" s="63"/>
      <c r="G1716" s="320"/>
      <c r="H1716" s="79"/>
      <c r="I1716" s="79"/>
      <c r="J1716" s="79"/>
      <c r="K1716" s="79"/>
      <c r="L1716" s="70"/>
      <c r="M1716" s="132"/>
      <c r="N1716" s="79"/>
      <c r="O1716" s="79"/>
      <c r="P1716" s="79"/>
      <c r="Q1716" s="136"/>
      <c r="R1716" s="79"/>
      <c r="S1716" s="79"/>
      <c r="T1716" s="79"/>
      <c r="U1716" s="79"/>
      <c r="V1716" s="189"/>
      <c r="X1716" s="79"/>
      <c r="Y1716" s="79"/>
      <c r="Z1716" s="79"/>
      <c r="AA1716" s="255"/>
      <c r="AC1716" s="254"/>
    </row>
    <row r="1717" spans="1:29" ht="12">
      <c r="A1717" s="67" t="s">
        <v>13814</v>
      </c>
      <c r="B1717" s="65" t="s">
        <v>13815</v>
      </c>
      <c r="C1717" s="71" t="s">
        <v>121</v>
      </c>
      <c r="D1717" s="78">
        <v>1</v>
      </c>
      <c r="E1717" s="79">
        <v>90.84</v>
      </c>
      <c r="F1717" s="70">
        <v>90.84</v>
      </c>
      <c r="G1717" s="320"/>
      <c r="H1717" s="79">
        <v>0</v>
      </c>
      <c r="I1717" s="79">
        <v>90.84</v>
      </c>
      <c r="J1717" s="79">
        <v>90.84</v>
      </c>
      <c r="K1717" s="79">
        <v>0</v>
      </c>
      <c r="L1717" s="70">
        <v>90.84</v>
      </c>
      <c r="M1717" s="132"/>
      <c r="N1717" s="79"/>
      <c r="O1717" s="79">
        <v>90.84</v>
      </c>
      <c r="P1717" s="79">
        <v>90.84</v>
      </c>
      <c r="Q1717" s="136"/>
      <c r="R1717" s="79"/>
      <c r="S1717" s="79">
        <v>90.84</v>
      </c>
      <c r="T1717" s="79">
        <v>90.84</v>
      </c>
      <c r="U1717" s="79">
        <v>0</v>
      </c>
      <c r="V1717" s="189">
        <v>90.84</v>
      </c>
      <c r="X1717" s="79"/>
      <c r="Y1717" s="79">
        <v>90.84</v>
      </c>
      <c r="Z1717" s="79">
        <v>90.84</v>
      </c>
      <c r="AA1717" s="255">
        <v>0</v>
      </c>
      <c r="AC1717" s="254"/>
    </row>
    <row r="1718" spans="1:29" ht="12">
      <c r="A1718" s="67" t="s">
        <v>13816</v>
      </c>
      <c r="B1718" s="65" t="s">
        <v>13817</v>
      </c>
      <c r="C1718" s="71" t="s">
        <v>509</v>
      </c>
      <c r="D1718" s="78">
        <v>1</v>
      </c>
      <c r="E1718" s="79">
        <v>9.5399999999999991</v>
      </c>
      <c r="F1718" s="70">
        <v>9.5399999999999991</v>
      </c>
      <c r="G1718" s="320"/>
      <c r="H1718" s="79">
        <v>5</v>
      </c>
      <c r="I1718" s="79">
        <v>4.54</v>
      </c>
      <c r="J1718" s="79">
        <v>9.5399999999999991</v>
      </c>
      <c r="K1718" s="79">
        <v>0</v>
      </c>
      <c r="L1718" s="70">
        <v>9.5399999999999991</v>
      </c>
      <c r="M1718" s="132"/>
      <c r="N1718" s="79">
        <v>5</v>
      </c>
      <c r="O1718" s="79">
        <v>4.54</v>
      </c>
      <c r="P1718" s="79">
        <v>9.5399999999999991</v>
      </c>
      <c r="Q1718" s="136"/>
      <c r="R1718" s="79">
        <v>5</v>
      </c>
      <c r="S1718" s="79">
        <v>4.54</v>
      </c>
      <c r="T1718" s="79">
        <v>9.5399999999999991</v>
      </c>
      <c r="U1718" s="79">
        <v>0</v>
      </c>
      <c r="V1718" s="189">
        <v>9.5399999999999991</v>
      </c>
      <c r="X1718" s="79">
        <v>5</v>
      </c>
      <c r="Y1718" s="79">
        <v>4.54</v>
      </c>
      <c r="Z1718" s="79">
        <v>9.5399999999999991</v>
      </c>
      <c r="AA1718" s="255">
        <v>0</v>
      </c>
      <c r="AC1718" s="254"/>
    </row>
    <row r="1719" spans="1:29" ht="12">
      <c r="A1719" s="67" t="s">
        <v>13818</v>
      </c>
      <c r="B1719" s="65" t="s">
        <v>13819</v>
      </c>
      <c r="C1719" s="71" t="s">
        <v>509</v>
      </c>
      <c r="D1719" s="78">
        <v>1</v>
      </c>
      <c r="E1719" s="79">
        <v>10.780000000000001</v>
      </c>
      <c r="F1719" s="70">
        <v>10.78</v>
      </c>
      <c r="G1719" s="320"/>
      <c r="H1719" s="79">
        <v>6.24</v>
      </c>
      <c r="I1719" s="79">
        <v>4.54</v>
      </c>
      <c r="J1719" s="79">
        <v>10.780000000000001</v>
      </c>
      <c r="K1719" s="79">
        <v>0</v>
      </c>
      <c r="L1719" s="70">
        <v>10.780000000000001</v>
      </c>
      <c r="M1719" s="132"/>
      <c r="N1719" s="79">
        <v>6.24</v>
      </c>
      <c r="O1719" s="79">
        <v>4.54</v>
      </c>
      <c r="P1719" s="79">
        <v>10.780000000000001</v>
      </c>
      <c r="Q1719" s="136"/>
      <c r="R1719" s="79">
        <v>6.24</v>
      </c>
      <c r="S1719" s="79">
        <v>4.54</v>
      </c>
      <c r="T1719" s="79">
        <v>10.780000000000001</v>
      </c>
      <c r="U1719" s="79">
        <v>0</v>
      </c>
      <c r="V1719" s="189">
        <v>10.780000000000001</v>
      </c>
      <c r="X1719" s="79">
        <v>6.24</v>
      </c>
      <c r="Y1719" s="79">
        <v>4.54</v>
      </c>
      <c r="Z1719" s="79">
        <v>10.78</v>
      </c>
      <c r="AA1719" s="255">
        <v>0</v>
      </c>
      <c r="AC1719" s="254"/>
    </row>
    <row r="1720" spans="1:29" ht="12">
      <c r="A1720" s="67" t="s">
        <v>13820</v>
      </c>
      <c r="B1720" s="65" t="s">
        <v>13821</v>
      </c>
      <c r="C1720" s="71" t="s">
        <v>509</v>
      </c>
      <c r="D1720" s="78">
        <v>1</v>
      </c>
      <c r="E1720" s="79">
        <v>18.32</v>
      </c>
      <c r="F1720" s="70">
        <v>18.32</v>
      </c>
      <c r="G1720" s="320"/>
      <c r="H1720" s="79">
        <v>13.78</v>
      </c>
      <c r="I1720" s="79">
        <v>4.54</v>
      </c>
      <c r="J1720" s="79">
        <v>18.32</v>
      </c>
      <c r="K1720" s="79">
        <v>0</v>
      </c>
      <c r="L1720" s="70">
        <v>18.32</v>
      </c>
      <c r="M1720" s="132"/>
      <c r="N1720" s="79">
        <v>13.78</v>
      </c>
      <c r="O1720" s="79">
        <v>4.54</v>
      </c>
      <c r="P1720" s="79">
        <v>18.32</v>
      </c>
      <c r="Q1720" s="136"/>
      <c r="R1720" s="79">
        <v>13.78</v>
      </c>
      <c r="S1720" s="79">
        <v>4.54</v>
      </c>
      <c r="T1720" s="79">
        <v>18.32</v>
      </c>
      <c r="U1720" s="79">
        <v>0</v>
      </c>
      <c r="V1720" s="189">
        <v>18.32</v>
      </c>
      <c r="X1720" s="79">
        <v>13.78</v>
      </c>
      <c r="Y1720" s="79">
        <v>4.54</v>
      </c>
      <c r="Z1720" s="79">
        <v>18.32</v>
      </c>
      <c r="AA1720" s="255">
        <v>0</v>
      </c>
      <c r="AC1720" s="254"/>
    </row>
    <row r="1721" spans="1:29" ht="12">
      <c r="A1721" s="67" t="s">
        <v>40960</v>
      </c>
      <c r="B1721" s="65" t="s">
        <v>40961</v>
      </c>
      <c r="C1721" s="71" t="s">
        <v>509</v>
      </c>
      <c r="D1721" s="78">
        <v>1</v>
      </c>
      <c r="E1721" s="79">
        <v>1.87</v>
      </c>
      <c r="F1721" s="70">
        <v>1.87</v>
      </c>
      <c r="G1721" s="320"/>
      <c r="H1721" s="79">
        <v>1.53</v>
      </c>
      <c r="I1721" s="79">
        <v>0.33999999999999997</v>
      </c>
      <c r="J1721" s="79">
        <v>1.87</v>
      </c>
      <c r="K1721" s="79">
        <v>0</v>
      </c>
      <c r="L1721" s="70">
        <v>1.87</v>
      </c>
      <c r="M1721" s="132"/>
      <c r="N1721" s="79">
        <v>1.53</v>
      </c>
      <c r="O1721" s="79">
        <v>0.33999999999999997</v>
      </c>
      <c r="P1721" s="79">
        <v>1.87</v>
      </c>
      <c r="Q1721" s="136"/>
      <c r="R1721" s="79">
        <v>1.53</v>
      </c>
      <c r="S1721" s="79">
        <v>0.33</v>
      </c>
      <c r="T1721" s="79">
        <v>1.86</v>
      </c>
      <c r="U1721" s="79">
        <v>0</v>
      </c>
      <c r="V1721" s="189">
        <v>1.86</v>
      </c>
      <c r="X1721" s="79">
        <v>1.53</v>
      </c>
      <c r="Y1721" s="79">
        <v>0.33</v>
      </c>
      <c r="Z1721" s="79">
        <v>1.86</v>
      </c>
      <c r="AA1721" s="255">
        <v>1.0000000000000009E-2</v>
      </c>
      <c r="AC1721" s="254"/>
    </row>
    <row r="1722" spans="1:29" ht="12">
      <c r="A1722" s="489" t="s">
        <v>13822</v>
      </c>
      <c r="B1722" s="490" t="s">
        <v>13823</v>
      </c>
      <c r="C1722" s="491"/>
      <c r="D1722" s="492"/>
      <c r="E1722" s="79"/>
      <c r="F1722" s="63"/>
      <c r="G1722" s="320"/>
      <c r="H1722" s="79"/>
      <c r="I1722" s="79"/>
      <c r="J1722" s="79"/>
      <c r="K1722" s="79"/>
      <c r="L1722" s="70"/>
      <c r="M1722" s="132"/>
      <c r="N1722" s="79"/>
      <c r="O1722" s="79"/>
      <c r="P1722" s="79"/>
      <c r="Q1722" s="136"/>
      <c r="R1722" s="79"/>
      <c r="S1722" s="79"/>
      <c r="T1722" s="79"/>
      <c r="U1722" s="79"/>
      <c r="V1722" s="189"/>
      <c r="X1722" s="79"/>
      <c r="Y1722" s="79"/>
      <c r="Z1722" s="79"/>
      <c r="AA1722" s="255"/>
      <c r="AC1722" s="254"/>
    </row>
    <row r="1723" spans="1:29" ht="12">
      <c r="A1723" s="489" t="s">
        <v>13824</v>
      </c>
      <c r="B1723" s="490" t="s">
        <v>13825</v>
      </c>
      <c r="C1723" s="491"/>
      <c r="D1723" s="492"/>
      <c r="E1723" s="79"/>
      <c r="F1723" s="63"/>
      <c r="G1723" s="320"/>
      <c r="H1723" s="79"/>
      <c r="I1723" s="79"/>
      <c r="J1723" s="79"/>
      <c r="K1723" s="79"/>
      <c r="L1723" s="70"/>
      <c r="M1723" s="132"/>
      <c r="N1723" s="79"/>
      <c r="O1723" s="79"/>
      <c r="P1723" s="79"/>
      <c r="Q1723" s="136"/>
      <c r="R1723" s="79"/>
      <c r="S1723" s="79"/>
      <c r="T1723" s="79"/>
      <c r="U1723" s="79"/>
      <c r="V1723" s="189"/>
      <c r="X1723" s="79"/>
      <c r="Y1723" s="79"/>
      <c r="Z1723" s="79"/>
      <c r="AA1723" s="255"/>
      <c r="AC1723" s="254"/>
    </row>
    <row r="1724" spans="1:29" ht="12">
      <c r="A1724" s="67" t="s">
        <v>13826</v>
      </c>
      <c r="B1724" s="65" t="s">
        <v>13827</v>
      </c>
      <c r="C1724" s="71" t="s">
        <v>509</v>
      </c>
      <c r="D1724" s="78">
        <v>1</v>
      </c>
      <c r="E1724" s="79">
        <v>47.64</v>
      </c>
      <c r="F1724" s="70">
        <v>47.64</v>
      </c>
      <c r="G1724" s="320"/>
      <c r="H1724" s="79">
        <v>8.64</v>
      </c>
      <c r="I1724" s="79">
        <v>39</v>
      </c>
      <c r="J1724" s="79">
        <v>47.64</v>
      </c>
      <c r="K1724" s="79">
        <v>0</v>
      </c>
      <c r="L1724" s="70">
        <v>47.64</v>
      </c>
      <c r="M1724" s="132"/>
      <c r="N1724" s="79">
        <v>8.64</v>
      </c>
      <c r="O1724" s="79">
        <v>39</v>
      </c>
      <c r="P1724" s="79">
        <v>47.64</v>
      </c>
      <c r="Q1724" s="136"/>
      <c r="R1724" s="79">
        <v>8.64</v>
      </c>
      <c r="S1724" s="79">
        <v>39</v>
      </c>
      <c r="T1724" s="79">
        <v>47.64</v>
      </c>
      <c r="U1724" s="79">
        <v>0</v>
      </c>
      <c r="V1724" s="189">
        <v>47.64</v>
      </c>
      <c r="X1724" s="79">
        <v>8.64</v>
      </c>
      <c r="Y1724" s="79">
        <v>39</v>
      </c>
      <c r="Z1724" s="79">
        <v>47.64</v>
      </c>
      <c r="AA1724" s="255">
        <v>0</v>
      </c>
      <c r="AC1724" s="254"/>
    </row>
    <row r="1725" spans="1:29" ht="12">
      <c r="A1725" s="67" t="s">
        <v>13828</v>
      </c>
      <c r="B1725" s="65" t="s">
        <v>13829</v>
      </c>
      <c r="C1725" s="71" t="s">
        <v>509</v>
      </c>
      <c r="D1725" s="78">
        <v>1</v>
      </c>
      <c r="E1725" s="79">
        <v>44.02</v>
      </c>
      <c r="F1725" s="70">
        <v>44.02</v>
      </c>
      <c r="G1725" s="320"/>
      <c r="H1725" s="79">
        <v>5.0199999999999996</v>
      </c>
      <c r="I1725" s="79">
        <v>39</v>
      </c>
      <c r="J1725" s="79">
        <v>44.019999999999996</v>
      </c>
      <c r="K1725" s="79">
        <v>0</v>
      </c>
      <c r="L1725" s="70">
        <v>44.019999999999996</v>
      </c>
      <c r="M1725" s="132"/>
      <c r="N1725" s="79">
        <v>5.0199999999999996</v>
      </c>
      <c r="O1725" s="79">
        <v>39</v>
      </c>
      <c r="P1725" s="79">
        <v>44.019999999999996</v>
      </c>
      <c r="Q1725" s="136"/>
      <c r="R1725" s="79">
        <v>5</v>
      </c>
      <c r="S1725" s="79">
        <v>39</v>
      </c>
      <c r="T1725" s="79">
        <v>44</v>
      </c>
      <c r="U1725" s="79">
        <v>0</v>
      </c>
      <c r="V1725" s="189">
        <v>44</v>
      </c>
      <c r="X1725" s="79">
        <v>5</v>
      </c>
      <c r="Y1725" s="79">
        <v>39</v>
      </c>
      <c r="Z1725" s="79">
        <v>44</v>
      </c>
      <c r="AA1725" s="255">
        <v>2.0000000000003126E-2</v>
      </c>
      <c r="AC1725" s="254"/>
    </row>
    <row r="1726" spans="1:29" ht="12">
      <c r="A1726" s="67" t="s">
        <v>13830</v>
      </c>
      <c r="B1726" s="65" t="s">
        <v>13831</v>
      </c>
      <c r="C1726" s="71" t="s">
        <v>509</v>
      </c>
      <c r="D1726" s="78">
        <v>1</v>
      </c>
      <c r="E1726" s="79">
        <v>17.329999999999998</v>
      </c>
      <c r="F1726" s="70">
        <v>17.329999999999998</v>
      </c>
      <c r="G1726" s="320"/>
      <c r="H1726" s="79">
        <v>7.4</v>
      </c>
      <c r="I1726" s="79">
        <v>9.93</v>
      </c>
      <c r="J1726" s="79">
        <v>17.329999999999998</v>
      </c>
      <c r="K1726" s="79">
        <v>0</v>
      </c>
      <c r="L1726" s="70">
        <v>17.329999999999998</v>
      </c>
      <c r="M1726" s="132"/>
      <c r="N1726" s="79">
        <v>7.4</v>
      </c>
      <c r="O1726" s="79">
        <v>9.93</v>
      </c>
      <c r="P1726" s="79">
        <v>17.329999999999998</v>
      </c>
      <c r="Q1726" s="136"/>
      <c r="R1726" s="79">
        <v>7.4</v>
      </c>
      <c r="S1726" s="79">
        <v>9.94</v>
      </c>
      <c r="T1726" s="79">
        <v>17.34</v>
      </c>
      <c r="U1726" s="79">
        <v>0</v>
      </c>
      <c r="V1726" s="189">
        <v>17.34</v>
      </c>
      <c r="X1726" s="79">
        <v>7.4</v>
      </c>
      <c r="Y1726" s="79">
        <v>9.94</v>
      </c>
      <c r="Z1726" s="79">
        <v>17.34</v>
      </c>
      <c r="AA1726" s="255">
        <v>-1.0000000000001563E-2</v>
      </c>
      <c r="AC1726" s="254"/>
    </row>
    <row r="1727" spans="1:29" ht="12">
      <c r="A1727" s="67" t="s">
        <v>13832</v>
      </c>
      <c r="B1727" s="65" t="s">
        <v>13833</v>
      </c>
      <c r="C1727" s="71" t="s">
        <v>165</v>
      </c>
      <c r="D1727" s="78">
        <v>1</v>
      </c>
      <c r="E1727" s="79">
        <v>58.489999999999995</v>
      </c>
      <c r="F1727" s="70">
        <v>58.49</v>
      </c>
      <c r="G1727" s="320"/>
      <c r="H1727" s="79">
        <v>30.549999999999997</v>
      </c>
      <c r="I1727" s="79">
        <v>27.939999999999998</v>
      </c>
      <c r="J1727" s="79">
        <v>58.489999999999995</v>
      </c>
      <c r="K1727" s="79">
        <v>0</v>
      </c>
      <c r="L1727" s="70">
        <v>58.489999999999995</v>
      </c>
      <c r="M1727" s="132"/>
      <c r="N1727" s="79">
        <v>30.549999999999997</v>
      </c>
      <c r="O1727" s="79">
        <v>27.939999999999998</v>
      </c>
      <c r="P1727" s="79">
        <v>58.489999999999995</v>
      </c>
      <c r="Q1727" s="136"/>
      <c r="R1727" s="79">
        <v>30.55</v>
      </c>
      <c r="S1727" s="79">
        <v>27.92</v>
      </c>
      <c r="T1727" s="79">
        <v>58.47</v>
      </c>
      <c r="U1727" s="79">
        <v>0</v>
      </c>
      <c r="V1727" s="189">
        <v>58.47</v>
      </c>
      <c r="X1727" s="79">
        <v>30.55</v>
      </c>
      <c r="Y1727" s="79">
        <v>27.92</v>
      </c>
      <c r="Z1727" s="79">
        <v>58.47</v>
      </c>
      <c r="AA1727" s="255">
        <v>2.0000000000003126E-2</v>
      </c>
      <c r="AC1727" s="254"/>
    </row>
    <row r="1728" spans="1:29" ht="12">
      <c r="A1728" s="67" t="s">
        <v>13834</v>
      </c>
      <c r="B1728" s="65" t="s">
        <v>13835</v>
      </c>
      <c r="C1728" s="71" t="s">
        <v>509</v>
      </c>
      <c r="D1728" s="78">
        <v>1</v>
      </c>
      <c r="E1728" s="79">
        <v>19.510000000000002</v>
      </c>
      <c r="F1728" s="70">
        <v>19.510000000000002</v>
      </c>
      <c r="G1728" s="320"/>
      <c r="H1728" s="79">
        <v>8.85</v>
      </c>
      <c r="I1728" s="79">
        <v>10.66</v>
      </c>
      <c r="J1728" s="79">
        <v>19.509999999999998</v>
      </c>
      <c r="K1728" s="79">
        <v>0</v>
      </c>
      <c r="L1728" s="70">
        <v>19.509999999999998</v>
      </c>
      <c r="M1728" s="132"/>
      <c r="N1728" s="79">
        <v>8.85</v>
      </c>
      <c r="O1728" s="79">
        <v>10.66</v>
      </c>
      <c r="P1728" s="79">
        <v>19.509999999999998</v>
      </c>
      <c r="Q1728" s="136"/>
      <c r="R1728" s="79">
        <v>8.85</v>
      </c>
      <c r="S1728" s="79">
        <v>10.68</v>
      </c>
      <c r="T1728" s="79">
        <v>19.53</v>
      </c>
      <c r="U1728" s="79">
        <v>0</v>
      </c>
      <c r="V1728" s="189">
        <v>19.53</v>
      </c>
      <c r="X1728" s="79">
        <v>8.85</v>
      </c>
      <c r="Y1728" s="79">
        <v>10.68</v>
      </c>
      <c r="Z1728" s="79">
        <v>19.53</v>
      </c>
      <c r="AA1728" s="255">
        <v>-1.9999999999999574E-2</v>
      </c>
      <c r="AC1728" s="254"/>
    </row>
    <row r="1729" spans="1:29" ht="12">
      <c r="A1729" s="489" t="s">
        <v>13836</v>
      </c>
      <c r="B1729" s="490" t="s">
        <v>13837</v>
      </c>
      <c r="C1729" s="491"/>
      <c r="D1729" s="492"/>
      <c r="E1729" s="79"/>
      <c r="F1729" s="63"/>
      <c r="G1729" s="320"/>
      <c r="H1729" s="79"/>
      <c r="I1729" s="79"/>
      <c r="J1729" s="79"/>
      <c r="K1729" s="79"/>
      <c r="L1729" s="70"/>
      <c r="M1729" s="132"/>
      <c r="N1729" s="79"/>
      <c r="O1729" s="79"/>
      <c r="P1729" s="79"/>
      <c r="Q1729" s="136"/>
      <c r="R1729" s="79"/>
      <c r="S1729" s="79"/>
      <c r="T1729" s="79"/>
      <c r="U1729" s="79"/>
      <c r="V1729" s="189"/>
      <c r="X1729" s="79"/>
      <c r="Y1729" s="79"/>
      <c r="Z1729" s="79"/>
      <c r="AA1729" s="255"/>
      <c r="AC1729" s="254"/>
    </row>
    <row r="1730" spans="1:29" ht="12">
      <c r="A1730" s="67" t="s">
        <v>13838</v>
      </c>
      <c r="B1730" s="65" t="s">
        <v>13839</v>
      </c>
      <c r="C1730" s="71" t="s">
        <v>509</v>
      </c>
      <c r="D1730" s="78">
        <v>1</v>
      </c>
      <c r="E1730" s="79">
        <v>16.46</v>
      </c>
      <c r="F1730" s="70">
        <v>16.46</v>
      </c>
      <c r="G1730" s="320"/>
      <c r="H1730" s="79">
        <v>3.02</v>
      </c>
      <c r="I1730" s="79">
        <v>13.440000000000001</v>
      </c>
      <c r="J1730" s="79">
        <v>16.46</v>
      </c>
      <c r="K1730" s="79">
        <v>0</v>
      </c>
      <c r="L1730" s="70">
        <v>16.46</v>
      </c>
      <c r="M1730" s="132"/>
      <c r="N1730" s="79">
        <v>3.02</v>
      </c>
      <c r="O1730" s="79">
        <v>13.440000000000001</v>
      </c>
      <c r="P1730" s="79">
        <v>16.46</v>
      </c>
      <c r="Q1730" s="136"/>
      <c r="R1730" s="79">
        <v>3.02</v>
      </c>
      <c r="S1730" s="79">
        <v>13.43</v>
      </c>
      <c r="T1730" s="79">
        <v>16.45</v>
      </c>
      <c r="U1730" s="79">
        <v>0</v>
      </c>
      <c r="V1730" s="189">
        <v>16.45</v>
      </c>
      <c r="X1730" s="79">
        <v>3.02</v>
      </c>
      <c r="Y1730" s="79">
        <v>13.43</v>
      </c>
      <c r="Z1730" s="79">
        <v>16.45</v>
      </c>
      <c r="AA1730" s="255">
        <v>1.0000000000001563E-2</v>
      </c>
      <c r="AC1730" s="254"/>
    </row>
    <row r="1731" spans="1:29" ht="12">
      <c r="A1731" s="67" t="s">
        <v>13840</v>
      </c>
      <c r="B1731" s="65" t="s">
        <v>13841</v>
      </c>
      <c r="C1731" s="71" t="s">
        <v>509</v>
      </c>
      <c r="D1731" s="78">
        <v>1</v>
      </c>
      <c r="E1731" s="79">
        <v>19.28</v>
      </c>
      <c r="F1731" s="70">
        <v>19.28</v>
      </c>
      <c r="G1731" s="320"/>
      <c r="H1731" s="79">
        <v>5.8400000000000007</v>
      </c>
      <c r="I1731" s="79">
        <v>13.440000000000001</v>
      </c>
      <c r="J1731" s="79">
        <v>19.28</v>
      </c>
      <c r="K1731" s="79">
        <v>0</v>
      </c>
      <c r="L1731" s="70">
        <v>19.28</v>
      </c>
      <c r="M1731" s="132"/>
      <c r="N1731" s="79">
        <v>5.8400000000000007</v>
      </c>
      <c r="O1731" s="79">
        <v>13.440000000000001</v>
      </c>
      <c r="P1731" s="79">
        <v>19.28</v>
      </c>
      <c r="Q1731" s="136"/>
      <c r="R1731" s="79">
        <v>5.84</v>
      </c>
      <c r="S1731" s="79">
        <v>13.43</v>
      </c>
      <c r="T1731" s="79">
        <v>19.27</v>
      </c>
      <c r="U1731" s="79">
        <v>0</v>
      </c>
      <c r="V1731" s="189">
        <v>19.27</v>
      </c>
      <c r="X1731" s="79">
        <v>5.84</v>
      </c>
      <c r="Y1731" s="79">
        <v>13.43</v>
      </c>
      <c r="Z1731" s="79">
        <v>19.27</v>
      </c>
      <c r="AA1731" s="255">
        <v>1.0000000000001563E-2</v>
      </c>
      <c r="AC1731" s="254"/>
    </row>
    <row r="1732" spans="1:29" ht="12">
      <c r="A1732" s="489" t="s">
        <v>13842</v>
      </c>
      <c r="B1732" s="490" t="s">
        <v>13843</v>
      </c>
      <c r="C1732" s="491"/>
      <c r="D1732" s="492"/>
      <c r="E1732" s="79"/>
      <c r="F1732" s="63"/>
      <c r="G1732" s="320"/>
      <c r="H1732" s="79"/>
      <c r="I1732" s="79"/>
      <c r="J1732" s="79"/>
      <c r="K1732" s="79"/>
      <c r="L1732" s="70"/>
      <c r="M1732" s="132"/>
      <c r="N1732" s="79"/>
      <c r="O1732" s="79"/>
      <c r="P1732" s="79"/>
      <c r="Q1732" s="136"/>
      <c r="R1732" s="79"/>
      <c r="S1732" s="79"/>
      <c r="T1732" s="79"/>
      <c r="U1732" s="79"/>
      <c r="V1732" s="189"/>
      <c r="X1732" s="79"/>
      <c r="Y1732" s="79"/>
      <c r="Z1732" s="79"/>
      <c r="AA1732" s="255"/>
      <c r="AC1732" s="254"/>
    </row>
    <row r="1733" spans="1:29" ht="12">
      <c r="A1733" s="67" t="s">
        <v>13844</v>
      </c>
      <c r="B1733" s="65" t="s">
        <v>13845</v>
      </c>
      <c r="C1733" s="71" t="s">
        <v>509</v>
      </c>
      <c r="D1733" s="78">
        <v>1</v>
      </c>
      <c r="E1733" s="79">
        <v>34.14</v>
      </c>
      <c r="F1733" s="70">
        <v>34.14</v>
      </c>
      <c r="G1733" s="320"/>
      <c r="H1733" s="79">
        <v>4.5600000000000005</v>
      </c>
      <c r="I1733" s="79">
        <v>29.580000000000002</v>
      </c>
      <c r="J1733" s="79">
        <v>34.14</v>
      </c>
      <c r="K1733" s="79">
        <v>0</v>
      </c>
      <c r="L1733" s="70">
        <v>34.14</v>
      </c>
      <c r="M1733" s="132"/>
      <c r="N1733" s="79">
        <v>4.5600000000000005</v>
      </c>
      <c r="O1733" s="79">
        <v>29.580000000000002</v>
      </c>
      <c r="P1733" s="79">
        <v>34.14</v>
      </c>
      <c r="Q1733" s="136"/>
      <c r="R1733" s="79">
        <v>4.5599999999999996</v>
      </c>
      <c r="S1733" s="79">
        <v>29.58</v>
      </c>
      <c r="T1733" s="79">
        <v>34.14</v>
      </c>
      <c r="U1733" s="79">
        <v>0</v>
      </c>
      <c r="V1733" s="189">
        <v>34.14</v>
      </c>
      <c r="X1733" s="79">
        <v>4.5599999999999996</v>
      </c>
      <c r="Y1733" s="79">
        <v>29.58</v>
      </c>
      <c r="Z1733" s="79">
        <v>34.14</v>
      </c>
      <c r="AA1733" s="255">
        <v>0</v>
      </c>
      <c r="AC1733" s="254"/>
    </row>
    <row r="1734" spans="1:29" ht="12">
      <c r="A1734" s="67" t="s">
        <v>13846</v>
      </c>
      <c r="B1734" s="65" t="s">
        <v>13847</v>
      </c>
      <c r="C1734" s="71" t="s">
        <v>509</v>
      </c>
      <c r="D1734" s="78">
        <v>1</v>
      </c>
      <c r="E1734" s="79">
        <v>34.410000000000004</v>
      </c>
      <c r="F1734" s="70">
        <v>34.409999999999997</v>
      </c>
      <c r="G1734" s="320"/>
      <c r="H1734" s="79">
        <v>9.2799999999999994</v>
      </c>
      <c r="I1734" s="79">
        <v>25.130000000000003</v>
      </c>
      <c r="J1734" s="79">
        <v>34.410000000000004</v>
      </c>
      <c r="K1734" s="79">
        <v>0</v>
      </c>
      <c r="L1734" s="70">
        <v>34.410000000000004</v>
      </c>
      <c r="M1734" s="132"/>
      <c r="N1734" s="79">
        <v>9.2799999999999994</v>
      </c>
      <c r="O1734" s="79">
        <v>25.130000000000003</v>
      </c>
      <c r="P1734" s="79">
        <v>34.410000000000004</v>
      </c>
      <c r="Q1734" s="136"/>
      <c r="R1734" s="79">
        <v>9.2799999999999994</v>
      </c>
      <c r="S1734" s="79">
        <v>25.12</v>
      </c>
      <c r="T1734" s="79">
        <v>34.4</v>
      </c>
      <c r="U1734" s="79">
        <v>0</v>
      </c>
      <c r="V1734" s="189">
        <v>34.4</v>
      </c>
      <c r="X1734" s="79">
        <v>9.2799999999999994</v>
      </c>
      <c r="Y1734" s="79">
        <v>25.12</v>
      </c>
      <c r="Z1734" s="79">
        <v>34.4</v>
      </c>
      <c r="AA1734" s="255">
        <v>9.9999999999980105E-3</v>
      </c>
      <c r="AC1734" s="254"/>
    </row>
    <row r="1735" spans="1:29" ht="12">
      <c r="A1735" s="67" t="s">
        <v>13848</v>
      </c>
      <c r="B1735" s="65" t="s">
        <v>13849</v>
      </c>
      <c r="C1735" s="71" t="s">
        <v>509</v>
      </c>
      <c r="D1735" s="78">
        <v>1</v>
      </c>
      <c r="E1735" s="79">
        <v>32.67</v>
      </c>
      <c r="F1735" s="70">
        <v>32.67</v>
      </c>
      <c r="G1735" s="320"/>
      <c r="H1735" s="79">
        <v>18.7</v>
      </c>
      <c r="I1735" s="79">
        <v>13.969999999999999</v>
      </c>
      <c r="J1735" s="79">
        <v>32.67</v>
      </c>
      <c r="K1735" s="79">
        <v>0</v>
      </c>
      <c r="L1735" s="70">
        <v>32.67</v>
      </c>
      <c r="M1735" s="132"/>
      <c r="N1735" s="79">
        <v>18.7</v>
      </c>
      <c r="O1735" s="79">
        <v>13.969999999999999</v>
      </c>
      <c r="P1735" s="79">
        <v>32.67</v>
      </c>
      <c r="Q1735" s="136"/>
      <c r="R1735" s="79">
        <v>18.7</v>
      </c>
      <c r="S1735" s="79">
        <v>13.96</v>
      </c>
      <c r="T1735" s="79">
        <v>32.659999999999997</v>
      </c>
      <c r="U1735" s="79">
        <v>0</v>
      </c>
      <c r="V1735" s="189">
        <v>32.659999999999997</v>
      </c>
      <c r="X1735" s="79">
        <v>18.7</v>
      </c>
      <c r="Y1735" s="79">
        <v>13.96</v>
      </c>
      <c r="Z1735" s="79">
        <v>32.659999999999997</v>
      </c>
      <c r="AA1735" s="255">
        <v>1.0000000000005116E-2</v>
      </c>
      <c r="AC1735" s="254"/>
    </row>
    <row r="1736" spans="1:29" ht="12">
      <c r="A1736" s="67" t="s">
        <v>13850</v>
      </c>
      <c r="B1736" s="65" t="s">
        <v>13851</v>
      </c>
      <c r="C1736" s="71" t="s">
        <v>509</v>
      </c>
      <c r="D1736" s="78">
        <v>1</v>
      </c>
      <c r="E1736" s="79">
        <v>42.140000000000008</v>
      </c>
      <c r="F1736" s="70">
        <v>42.14</v>
      </c>
      <c r="G1736" s="320"/>
      <c r="H1736" s="79">
        <v>18.149999999999999</v>
      </c>
      <c r="I1736" s="79">
        <v>23.990000000000002</v>
      </c>
      <c r="J1736" s="79">
        <v>42.14</v>
      </c>
      <c r="K1736" s="79">
        <v>0</v>
      </c>
      <c r="L1736" s="70">
        <v>42.14</v>
      </c>
      <c r="M1736" s="132"/>
      <c r="N1736" s="79">
        <v>18.149999999999999</v>
      </c>
      <c r="O1736" s="79">
        <v>23.990000000000002</v>
      </c>
      <c r="P1736" s="79">
        <v>42.14</v>
      </c>
      <c r="Q1736" s="136"/>
      <c r="R1736" s="79">
        <v>18.149999999999999</v>
      </c>
      <c r="S1736" s="79">
        <v>23.98</v>
      </c>
      <c r="T1736" s="79">
        <v>42.129999999999995</v>
      </c>
      <c r="U1736" s="79">
        <v>0</v>
      </c>
      <c r="V1736" s="189">
        <v>42.129999999999995</v>
      </c>
      <c r="X1736" s="79">
        <v>18.149999999999999</v>
      </c>
      <c r="Y1736" s="79">
        <v>23.98</v>
      </c>
      <c r="Z1736" s="79">
        <v>42.13</v>
      </c>
      <c r="AA1736" s="255">
        <v>9.9999999999980105E-3</v>
      </c>
      <c r="AC1736" s="254"/>
    </row>
    <row r="1737" spans="1:29" ht="12">
      <c r="A1737" s="67" t="s">
        <v>13852</v>
      </c>
      <c r="B1737" s="65" t="s">
        <v>13853</v>
      </c>
      <c r="C1737" s="71" t="s">
        <v>509</v>
      </c>
      <c r="D1737" s="78">
        <v>1</v>
      </c>
      <c r="E1737" s="79">
        <v>33.85</v>
      </c>
      <c r="F1737" s="70">
        <v>33.85</v>
      </c>
      <c r="G1737" s="320"/>
      <c r="H1737" s="79">
        <v>16.07</v>
      </c>
      <c r="I1737" s="79">
        <v>17.78</v>
      </c>
      <c r="J1737" s="79">
        <v>33.85</v>
      </c>
      <c r="K1737" s="79">
        <v>0</v>
      </c>
      <c r="L1737" s="70">
        <v>33.85</v>
      </c>
      <c r="M1737" s="132"/>
      <c r="N1737" s="79">
        <v>16.07</v>
      </c>
      <c r="O1737" s="79">
        <v>17.78</v>
      </c>
      <c r="P1737" s="79">
        <v>33.85</v>
      </c>
      <c r="Q1737" s="136"/>
      <c r="R1737" s="79">
        <v>16.07</v>
      </c>
      <c r="S1737" s="79">
        <v>17.79</v>
      </c>
      <c r="T1737" s="79">
        <v>33.86</v>
      </c>
      <c r="U1737" s="79">
        <v>0</v>
      </c>
      <c r="V1737" s="189">
        <v>33.86</v>
      </c>
      <c r="X1737" s="79">
        <v>16.07</v>
      </c>
      <c r="Y1737" s="79">
        <v>17.79</v>
      </c>
      <c r="Z1737" s="79">
        <v>33.86</v>
      </c>
      <c r="AA1737" s="255">
        <v>-9.9999999999980105E-3</v>
      </c>
      <c r="AC1737" s="254"/>
    </row>
    <row r="1738" spans="1:29" ht="24">
      <c r="A1738" s="67" t="s">
        <v>13854</v>
      </c>
      <c r="B1738" s="65" t="s">
        <v>13855</v>
      </c>
      <c r="C1738" s="71" t="s">
        <v>509</v>
      </c>
      <c r="D1738" s="78">
        <v>1</v>
      </c>
      <c r="E1738" s="79">
        <v>59.05</v>
      </c>
      <c r="F1738" s="70">
        <v>59.05</v>
      </c>
      <c r="G1738" s="320"/>
      <c r="H1738" s="79">
        <v>41.269999999999996</v>
      </c>
      <c r="I1738" s="79">
        <v>17.78</v>
      </c>
      <c r="J1738" s="79">
        <v>59.05</v>
      </c>
      <c r="K1738" s="79">
        <v>0</v>
      </c>
      <c r="L1738" s="70">
        <v>59.05</v>
      </c>
      <c r="M1738" s="132"/>
      <c r="N1738" s="79">
        <v>41.269999999999996</v>
      </c>
      <c r="O1738" s="79">
        <v>17.78</v>
      </c>
      <c r="P1738" s="79">
        <v>59.05</v>
      </c>
      <c r="Q1738" s="136"/>
      <c r="R1738" s="79">
        <v>41.27</v>
      </c>
      <c r="S1738" s="79">
        <v>17.79</v>
      </c>
      <c r="T1738" s="79">
        <v>59.06</v>
      </c>
      <c r="U1738" s="79">
        <v>0</v>
      </c>
      <c r="V1738" s="189">
        <v>59.06</v>
      </c>
      <c r="X1738" s="79">
        <v>41.27</v>
      </c>
      <c r="Y1738" s="79">
        <v>17.79</v>
      </c>
      <c r="Z1738" s="79">
        <v>59.06</v>
      </c>
      <c r="AA1738" s="255">
        <v>-1.0000000000005116E-2</v>
      </c>
      <c r="AC1738" s="254"/>
    </row>
    <row r="1739" spans="1:29" ht="12">
      <c r="A1739" s="67" t="s">
        <v>13856</v>
      </c>
      <c r="B1739" s="65" t="s">
        <v>13857</v>
      </c>
      <c r="C1739" s="71" t="s">
        <v>509</v>
      </c>
      <c r="D1739" s="78">
        <v>1</v>
      </c>
      <c r="E1739" s="79">
        <v>55.490000000000009</v>
      </c>
      <c r="F1739" s="70">
        <v>55.49</v>
      </c>
      <c r="G1739" s="320"/>
      <c r="H1739" s="79">
        <v>31.5</v>
      </c>
      <c r="I1739" s="79">
        <v>23.990000000000002</v>
      </c>
      <c r="J1739" s="79">
        <v>55.49</v>
      </c>
      <c r="K1739" s="79">
        <v>0</v>
      </c>
      <c r="L1739" s="70">
        <v>55.49</v>
      </c>
      <c r="M1739" s="132"/>
      <c r="N1739" s="79">
        <v>31.5</v>
      </c>
      <c r="O1739" s="79">
        <v>23.990000000000002</v>
      </c>
      <c r="P1739" s="79">
        <v>55.49</v>
      </c>
      <c r="Q1739" s="136"/>
      <c r="R1739" s="79">
        <v>31.5</v>
      </c>
      <c r="S1739" s="79">
        <v>23.98</v>
      </c>
      <c r="T1739" s="79">
        <v>55.480000000000004</v>
      </c>
      <c r="U1739" s="79">
        <v>0</v>
      </c>
      <c r="V1739" s="189">
        <v>55.480000000000004</v>
      </c>
      <c r="X1739" s="79">
        <v>31.5</v>
      </c>
      <c r="Y1739" s="79">
        <v>23.98</v>
      </c>
      <c r="Z1739" s="79">
        <v>55.48</v>
      </c>
      <c r="AA1739" s="255">
        <v>1.0000000000005116E-2</v>
      </c>
      <c r="AC1739" s="254"/>
    </row>
    <row r="1740" spans="1:29" ht="12">
      <c r="A1740" s="489" t="s">
        <v>13858</v>
      </c>
      <c r="B1740" s="490" t="s">
        <v>13859</v>
      </c>
      <c r="C1740" s="491"/>
      <c r="D1740" s="492"/>
      <c r="E1740" s="79"/>
      <c r="F1740" s="63"/>
      <c r="G1740" s="320"/>
      <c r="H1740" s="79"/>
      <c r="I1740" s="79"/>
      <c r="J1740" s="79"/>
      <c r="K1740" s="79"/>
      <c r="L1740" s="70"/>
      <c r="M1740" s="132"/>
      <c r="N1740" s="79"/>
      <c r="O1740" s="79"/>
      <c r="P1740" s="79"/>
      <c r="Q1740" s="136"/>
      <c r="R1740" s="79"/>
      <c r="S1740" s="79"/>
      <c r="T1740" s="79"/>
      <c r="U1740" s="79"/>
      <c r="V1740" s="189"/>
      <c r="X1740" s="79"/>
      <c r="Y1740" s="79"/>
      <c r="Z1740" s="79"/>
      <c r="AA1740" s="255"/>
      <c r="AC1740" s="254"/>
    </row>
    <row r="1741" spans="1:29" ht="12">
      <c r="A1741" s="67" t="s">
        <v>13860</v>
      </c>
      <c r="B1741" s="65" t="s">
        <v>13861</v>
      </c>
      <c r="C1741" s="71" t="s">
        <v>509</v>
      </c>
      <c r="D1741" s="78">
        <v>1</v>
      </c>
      <c r="E1741" s="79">
        <v>26.35</v>
      </c>
      <c r="F1741" s="70">
        <v>26.35</v>
      </c>
      <c r="G1741" s="320"/>
      <c r="H1741" s="79">
        <v>8.57</v>
      </c>
      <c r="I1741" s="79">
        <v>17.78</v>
      </c>
      <c r="J1741" s="79">
        <v>26.35</v>
      </c>
      <c r="K1741" s="79">
        <v>0</v>
      </c>
      <c r="L1741" s="70">
        <v>26.35</v>
      </c>
      <c r="M1741" s="132"/>
      <c r="N1741" s="79">
        <v>8.57</v>
      </c>
      <c r="O1741" s="79">
        <v>17.78</v>
      </c>
      <c r="P1741" s="79">
        <v>26.35</v>
      </c>
      <c r="Q1741" s="136"/>
      <c r="R1741" s="79">
        <v>8.57</v>
      </c>
      <c r="S1741" s="79">
        <v>17.79</v>
      </c>
      <c r="T1741" s="79">
        <v>26.36</v>
      </c>
      <c r="U1741" s="79">
        <v>0</v>
      </c>
      <c r="V1741" s="189">
        <v>26.36</v>
      </c>
      <c r="X1741" s="79">
        <v>8.57</v>
      </c>
      <c r="Y1741" s="79">
        <v>17.79</v>
      </c>
      <c r="Z1741" s="79">
        <v>26.36</v>
      </c>
      <c r="AA1741" s="255">
        <v>-9.9999999999980105E-3</v>
      </c>
      <c r="AC1741" s="254"/>
    </row>
    <row r="1742" spans="1:29" ht="12">
      <c r="A1742" s="67" t="s">
        <v>13862</v>
      </c>
      <c r="B1742" s="65" t="s">
        <v>13863</v>
      </c>
      <c r="C1742" s="71" t="s">
        <v>165</v>
      </c>
      <c r="D1742" s="78">
        <v>1</v>
      </c>
      <c r="E1742" s="79">
        <v>6.62</v>
      </c>
      <c r="F1742" s="70">
        <v>6.62</v>
      </c>
      <c r="G1742" s="320"/>
      <c r="H1742" s="79">
        <v>3.31</v>
      </c>
      <c r="I1742" s="79">
        <v>3.31</v>
      </c>
      <c r="J1742" s="79">
        <v>6.62</v>
      </c>
      <c r="K1742" s="79">
        <v>0</v>
      </c>
      <c r="L1742" s="70">
        <v>6.62</v>
      </c>
      <c r="M1742" s="132"/>
      <c r="N1742" s="79">
        <v>3.31</v>
      </c>
      <c r="O1742" s="79">
        <v>3.31</v>
      </c>
      <c r="P1742" s="79">
        <v>6.62</v>
      </c>
      <c r="Q1742" s="136"/>
      <c r="R1742" s="79">
        <v>3.31</v>
      </c>
      <c r="S1742" s="79">
        <v>3.31</v>
      </c>
      <c r="T1742" s="79">
        <v>6.62</v>
      </c>
      <c r="U1742" s="79">
        <v>0</v>
      </c>
      <c r="V1742" s="189">
        <v>6.62</v>
      </c>
      <c r="X1742" s="79">
        <v>3.31</v>
      </c>
      <c r="Y1742" s="79">
        <v>3.31</v>
      </c>
      <c r="Z1742" s="79">
        <v>6.62</v>
      </c>
      <c r="AA1742" s="255">
        <v>0</v>
      </c>
      <c r="AC1742" s="254"/>
    </row>
    <row r="1743" spans="1:29" ht="12">
      <c r="A1743" s="67" t="s">
        <v>13864</v>
      </c>
      <c r="B1743" s="65" t="s">
        <v>13865</v>
      </c>
      <c r="C1743" s="71" t="s">
        <v>509</v>
      </c>
      <c r="D1743" s="78">
        <v>1</v>
      </c>
      <c r="E1743" s="79">
        <v>31.39</v>
      </c>
      <c r="F1743" s="70">
        <v>31.39</v>
      </c>
      <c r="G1743" s="320"/>
      <c r="H1743" s="79">
        <v>11.33</v>
      </c>
      <c r="I1743" s="79">
        <v>20.059999999999999</v>
      </c>
      <c r="J1743" s="79">
        <v>31.39</v>
      </c>
      <c r="K1743" s="79">
        <v>0</v>
      </c>
      <c r="L1743" s="70">
        <v>31.39</v>
      </c>
      <c r="M1743" s="132"/>
      <c r="N1743" s="79">
        <v>11.33</v>
      </c>
      <c r="O1743" s="79">
        <v>20.059999999999999</v>
      </c>
      <c r="P1743" s="79">
        <v>31.39</v>
      </c>
      <c r="Q1743" s="136"/>
      <c r="R1743" s="79">
        <v>11.33</v>
      </c>
      <c r="S1743" s="79">
        <v>20.059999999999999</v>
      </c>
      <c r="T1743" s="79">
        <v>31.39</v>
      </c>
      <c r="U1743" s="79">
        <v>0</v>
      </c>
      <c r="V1743" s="189">
        <v>31.39</v>
      </c>
      <c r="X1743" s="79">
        <v>11.33</v>
      </c>
      <c r="Y1743" s="79">
        <v>20.059999999999999</v>
      </c>
      <c r="Z1743" s="79">
        <v>31.39</v>
      </c>
      <c r="AA1743" s="255">
        <v>0</v>
      </c>
      <c r="AC1743" s="254"/>
    </row>
    <row r="1744" spans="1:29" ht="12">
      <c r="A1744" s="67" t="s">
        <v>13866</v>
      </c>
      <c r="B1744" s="65" t="s">
        <v>13867</v>
      </c>
      <c r="C1744" s="71" t="s">
        <v>165</v>
      </c>
      <c r="D1744" s="78">
        <v>1</v>
      </c>
      <c r="E1744" s="79">
        <v>5.65</v>
      </c>
      <c r="F1744" s="70">
        <v>5.65</v>
      </c>
      <c r="G1744" s="320"/>
      <c r="H1744" s="79">
        <v>3</v>
      </c>
      <c r="I1744" s="79">
        <v>2.65</v>
      </c>
      <c r="J1744" s="79">
        <v>5.65</v>
      </c>
      <c r="K1744" s="79">
        <v>0</v>
      </c>
      <c r="L1744" s="70">
        <v>5.65</v>
      </c>
      <c r="M1744" s="132"/>
      <c r="N1744" s="79">
        <v>3</v>
      </c>
      <c r="O1744" s="79">
        <v>2.65</v>
      </c>
      <c r="P1744" s="79">
        <v>5.65</v>
      </c>
      <c r="Q1744" s="136"/>
      <c r="R1744" s="79">
        <v>3</v>
      </c>
      <c r="S1744" s="79">
        <v>2.65</v>
      </c>
      <c r="T1744" s="79">
        <v>5.65</v>
      </c>
      <c r="U1744" s="79">
        <v>0</v>
      </c>
      <c r="V1744" s="189">
        <v>5.65</v>
      </c>
      <c r="X1744" s="79">
        <v>3</v>
      </c>
      <c r="Y1744" s="79">
        <v>2.65</v>
      </c>
      <c r="Z1744" s="79">
        <v>5.65</v>
      </c>
      <c r="AA1744" s="255">
        <v>0</v>
      </c>
      <c r="AC1744" s="254"/>
    </row>
    <row r="1745" spans="1:31" ht="12">
      <c r="A1745" s="489" t="s">
        <v>13868</v>
      </c>
      <c r="B1745" s="490" t="s">
        <v>13869</v>
      </c>
      <c r="C1745" s="491"/>
      <c r="D1745" s="492"/>
      <c r="E1745" s="79"/>
      <c r="F1745" s="63"/>
      <c r="G1745" s="320"/>
      <c r="H1745" s="79"/>
      <c r="I1745" s="79"/>
      <c r="J1745" s="79"/>
      <c r="K1745" s="79"/>
      <c r="L1745" s="70"/>
      <c r="M1745" s="132"/>
      <c r="N1745" s="79"/>
      <c r="O1745" s="79"/>
      <c r="P1745" s="79"/>
      <c r="Q1745" s="136"/>
      <c r="R1745" s="79"/>
      <c r="S1745" s="79"/>
      <c r="T1745" s="79"/>
      <c r="U1745" s="79"/>
      <c r="V1745" s="189"/>
      <c r="X1745" s="79"/>
      <c r="Y1745" s="79"/>
      <c r="Z1745" s="79"/>
      <c r="AA1745" s="255"/>
      <c r="AC1745" s="254"/>
    </row>
    <row r="1746" spans="1:31" ht="12">
      <c r="A1746" s="67" t="s">
        <v>13870</v>
      </c>
      <c r="B1746" s="65" t="s">
        <v>13871</v>
      </c>
      <c r="C1746" s="71" t="s">
        <v>509</v>
      </c>
      <c r="D1746" s="78">
        <v>1</v>
      </c>
      <c r="E1746" s="79">
        <v>28.660000000000004</v>
      </c>
      <c r="F1746" s="70">
        <v>28.66</v>
      </c>
      <c r="G1746" s="320"/>
      <c r="H1746" s="79">
        <v>4.6700000000000008</v>
      </c>
      <c r="I1746" s="79">
        <v>23.990000000000002</v>
      </c>
      <c r="J1746" s="79">
        <v>28.660000000000004</v>
      </c>
      <c r="K1746" s="79">
        <v>0</v>
      </c>
      <c r="L1746" s="70">
        <v>28.660000000000004</v>
      </c>
      <c r="M1746" s="132"/>
      <c r="N1746" s="79">
        <v>4.6700000000000008</v>
      </c>
      <c r="O1746" s="79">
        <v>23.990000000000002</v>
      </c>
      <c r="P1746" s="79">
        <v>28.660000000000004</v>
      </c>
      <c r="Q1746" s="136"/>
      <c r="R1746" s="79">
        <v>4.67</v>
      </c>
      <c r="S1746" s="79">
        <v>23.98</v>
      </c>
      <c r="T1746" s="79">
        <v>28.65</v>
      </c>
      <c r="U1746" s="79">
        <v>0</v>
      </c>
      <c r="V1746" s="189">
        <v>28.65</v>
      </c>
      <c r="X1746" s="79">
        <v>4.67</v>
      </c>
      <c r="Y1746" s="79">
        <v>23.98</v>
      </c>
      <c r="Z1746" s="79">
        <v>28.65</v>
      </c>
      <c r="AA1746" s="255">
        <v>1.0000000000001563E-2</v>
      </c>
      <c r="AC1746" s="254"/>
    </row>
    <row r="1747" spans="1:31" ht="12">
      <c r="A1747" s="489" t="s">
        <v>13872</v>
      </c>
      <c r="B1747" s="490" t="s">
        <v>13873</v>
      </c>
      <c r="C1747" s="491"/>
      <c r="D1747" s="492"/>
      <c r="E1747" s="79"/>
      <c r="F1747" s="63"/>
      <c r="G1747" s="320"/>
      <c r="H1747" s="79"/>
      <c r="I1747" s="79"/>
      <c r="J1747" s="79"/>
      <c r="K1747" s="79"/>
      <c r="L1747" s="70"/>
      <c r="M1747" s="132"/>
      <c r="N1747" s="79"/>
      <c r="O1747" s="79"/>
      <c r="P1747" s="79"/>
      <c r="Q1747" s="136"/>
      <c r="R1747" s="79"/>
      <c r="S1747" s="79"/>
      <c r="T1747" s="79"/>
      <c r="U1747" s="79"/>
      <c r="V1747" s="189"/>
      <c r="X1747" s="79"/>
      <c r="Y1747" s="79"/>
      <c r="Z1747" s="79"/>
      <c r="AA1747" s="255"/>
      <c r="AC1747" s="254"/>
    </row>
    <row r="1748" spans="1:31" ht="12">
      <c r="A1748" s="67" t="s">
        <v>13874</v>
      </c>
      <c r="B1748" s="65" t="s">
        <v>13875</v>
      </c>
      <c r="C1748" s="71" t="s">
        <v>207</v>
      </c>
      <c r="D1748" s="78">
        <v>1</v>
      </c>
      <c r="E1748" s="79">
        <v>4.5</v>
      </c>
      <c r="F1748" s="70">
        <v>4.5</v>
      </c>
      <c r="G1748" s="320"/>
      <c r="H1748" s="79">
        <v>4.5</v>
      </c>
      <c r="I1748" s="79">
        <v>0</v>
      </c>
      <c r="J1748" s="79">
        <v>4.5</v>
      </c>
      <c r="K1748" s="79">
        <v>0</v>
      </c>
      <c r="L1748" s="70">
        <v>4.5</v>
      </c>
      <c r="M1748" s="132"/>
      <c r="N1748" s="79">
        <v>4.5</v>
      </c>
      <c r="O1748" s="79"/>
      <c r="P1748" s="79">
        <v>4.5</v>
      </c>
      <c r="Q1748" s="136"/>
      <c r="R1748" s="79">
        <v>4.5</v>
      </c>
      <c r="S1748" s="79"/>
      <c r="T1748" s="79">
        <v>4.5</v>
      </c>
      <c r="U1748" s="79">
        <v>0</v>
      </c>
      <c r="V1748" s="189">
        <v>4.5</v>
      </c>
      <c r="X1748" s="79">
        <v>4.5</v>
      </c>
      <c r="Y1748" s="79"/>
      <c r="Z1748" s="79">
        <v>4.5</v>
      </c>
      <c r="AA1748" s="255">
        <v>0</v>
      </c>
      <c r="AC1748" s="254"/>
    </row>
    <row r="1749" spans="1:31" ht="12">
      <c r="A1749" s="67" t="s">
        <v>13876</v>
      </c>
      <c r="B1749" s="65" t="s">
        <v>13877</v>
      </c>
      <c r="C1749" s="71" t="s">
        <v>207</v>
      </c>
      <c r="D1749" s="78">
        <v>1</v>
      </c>
      <c r="E1749" s="79">
        <v>4.5599999999999996</v>
      </c>
      <c r="F1749" s="70">
        <v>4.5599999999999996</v>
      </c>
      <c r="G1749" s="320"/>
      <c r="H1749" s="79">
        <v>4.5599999999999996</v>
      </c>
      <c r="I1749" s="79">
        <v>0</v>
      </c>
      <c r="J1749" s="79">
        <v>4.5599999999999996</v>
      </c>
      <c r="K1749" s="79">
        <v>0</v>
      </c>
      <c r="L1749" s="70">
        <v>4.5599999999999996</v>
      </c>
      <c r="M1749" s="132"/>
      <c r="N1749" s="79">
        <v>4.5599999999999996</v>
      </c>
      <c r="O1749" s="79"/>
      <c r="P1749" s="79">
        <v>4.5599999999999996</v>
      </c>
      <c r="Q1749" s="136"/>
      <c r="R1749" s="79">
        <v>4.5599999999999996</v>
      </c>
      <c r="S1749" s="79"/>
      <c r="T1749" s="79">
        <v>4.5599999999999996</v>
      </c>
      <c r="U1749" s="79">
        <v>0</v>
      </c>
      <c r="V1749" s="189">
        <v>4.5599999999999996</v>
      </c>
      <c r="X1749" s="79">
        <v>4.5599999999999996</v>
      </c>
      <c r="Y1749" s="79"/>
      <c r="Z1749" s="79">
        <v>4.5599999999999996</v>
      </c>
      <c r="AA1749" s="255">
        <v>0</v>
      </c>
      <c r="AC1749" s="254"/>
    </row>
    <row r="1750" spans="1:31" ht="24">
      <c r="A1750" s="65" t="s">
        <v>13878</v>
      </c>
      <c r="B1750" s="65" t="s">
        <v>13879</v>
      </c>
      <c r="C1750" s="108" t="s">
        <v>509</v>
      </c>
      <c r="D1750" s="78">
        <v>1</v>
      </c>
      <c r="E1750" s="79">
        <v>405.90999999999997</v>
      </c>
      <c r="F1750" s="70">
        <v>405.91</v>
      </c>
      <c r="G1750" s="320"/>
      <c r="H1750" s="79">
        <v>184.21</v>
      </c>
      <c r="I1750" s="79">
        <v>221.7</v>
      </c>
      <c r="J1750" s="79">
        <v>405.90999999999997</v>
      </c>
      <c r="K1750" s="79">
        <v>0</v>
      </c>
      <c r="L1750" s="70">
        <v>405.90999999999997</v>
      </c>
      <c r="M1750" s="132"/>
      <c r="N1750" s="63">
        <v>184.21</v>
      </c>
      <c r="O1750" s="63">
        <v>221.7</v>
      </c>
      <c r="P1750" s="79">
        <v>405.90999999999997</v>
      </c>
      <c r="Q1750" s="136"/>
      <c r="R1750" s="79">
        <v>184.21</v>
      </c>
      <c r="S1750" s="79">
        <v>221.69</v>
      </c>
      <c r="T1750" s="79">
        <v>405.9</v>
      </c>
      <c r="U1750" s="79">
        <v>0</v>
      </c>
      <c r="V1750" s="189">
        <v>405.9</v>
      </c>
      <c r="X1750" s="506">
        <v>184.21</v>
      </c>
      <c r="Y1750" s="506">
        <v>221.69</v>
      </c>
      <c r="Z1750" s="506">
        <v>405.9</v>
      </c>
      <c r="AA1750" s="255">
        <v>1.0000000000047748E-2</v>
      </c>
      <c r="AC1750" s="254"/>
    </row>
    <row r="1751" spans="1:31" ht="24">
      <c r="A1751" s="65" t="s">
        <v>13880</v>
      </c>
      <c r="B1751" s="65" t="s">
        <v>13881</v>
      </c>
      <c r="C1751" s="108" t="s">
        <v>509</v>
      </c>
      <c r="D1751" s="78">
        <v>1</v>
      </c>
      <c r="E1751" s="79">
        <v>937.2399999999999</v>
      </c>
      <c r="F1751" s="70">
        <v>937.24</v>
      </c>
      <c r="G1751" s="320"/>
      <c r="H1751" s="79">
        <v>680.20999999999992</v>
      </c>
      <c r="I1751" s="79">
        <v>257.02999999999997</v>
      </c>
      <c r="J1751" s="79">
        <v>937.2399999999999</v>
      </c>
      <c r="K1751" s="79">
        <v>0</v>
      </c>
      <c r="L1751" s="70">
        <v>937.2399999999999</v>
      </c>
      <c r="M1751" s="132"/>
      <c r="N1751" s="63">
        <v>680.20999999999992</v>
      </c>
      <c r="O1751" s="63">
        <v>257.02999999999997</v>
      </c>
      <c r="P1751" s="79">
        <v>937.2399999999999</v>
      </c>
      <c r="Q1751" s="136"/>
      <c r="R1751" s="79">
        <v>680.21</v>
      </c>
      <c r="S1751" s="79">
        <v>257.04000000000002</v>
      </c>
      <c r="T1751" s="79">
        <v>937.25</v>
      </c>
      <c r="U1751" s="79">
        <v>0</v>
      </c>
      <c r="V1751" s="189">
        <v>937.25</v>
      </c>
      <c r="X1751" s="506">
        <v>680.21</v>
      </c>
      <c r="Y1751" s="506">
        <v>257.04000000000002</v>
      </c>
      <c r="Z1751" s="506">
        <v>937.25</v>
      </c>
      <c r="AA1751" s="255">
        <v>-9.9999999999909051E-3</v>
      </c>
      <c r="AC1751" s="254"/>
    </row>
    <row r="1752" spans="1:31" ht="12">
      <c r="A1752" s="489" t="s">
        <v>13882</v>
      </c>
      <c r="B1752" s="490" t="s">
        <v>13883</v>
      </c>
      <c r="C1752" s="491"/>
      <c r="D1752" s="492"/>
      <c r="E1752" s="79"/>
      <c r="F1752" s="63"/>
      <c r="G1752" s="320"/>
      <c r="H1752" s="79"/>
      <c r="I1752" s="79"/>
      <c r="J1752" s="79"/>
      <c r="K1752" s="79"/>
      <c r="L1752" s="70"/>
      <c r="M1752" s="132"/>
      <c r="N1752" s="79"/>
      <c r="O1752" s="79"/>
      <c r="P1752" s="79"/>
      <c r="Q1752" s="136"/>
      <c r="R1752" s="79"/>
      <c r="S1752" s="79"/>
      <c r="T1752" s="79"/>
      <c r="U1752" s="79"/>
      <c r="V1752" s="189"/>
      <c r="X1752" s="79"/>
      <c r="Y1752" s="79"/>
      <c r="Z1752" s="79"/>
      <c r="AA1752" s="255"/>
      <c r="AC1752" s="254"/>
    </row>
    <row r="1753" spans="1:31" ht="12">
      <c r="A1753" s="67" t="s">
        <v>13884</v>
      </c>
      <c r="B1753" s="65" t="s">
        <v>13885</v>
      </c>
      <c r="C1753" s="71" t="s">
        <v>165</v>
      </c>
      <c r="D1753" s="78">
        <v>1</v>
      </c>
      <c r="E1753" s="79">
        <v>3.4299999999999997</v>
      </c>
      <c r="F1753" s="70">
        <v>3.43</v>
      </c>
      <c r="G1753" s="320"/>
      <c r="H1753" s="79">
        <v>1.63</v>
      </c>
      <c r="I1753" s="79">
        <v>1.8</v>
      </c>
      <c r="J1753" s="79">
        <v>3.4299999999999997</v>
      </c>
      <c r="K1753" s="79">
        <v>0</v>
      </c>
      <c r="L1753" s="70">
        <v>3.4299999999999997</v>
      </c>
      <c r="M1753" s="132"/>
      <c r="N1753" s="79">
        <v>1.63</v>
      </c>
      <c r="O1753" s="79">
        <v>1.8</v>
      </c>
      <c r="P1753" s="79">
        <v>3.4299999999999997</v>
      </c>
      <c r="Q1753" s="136"/>
      <c r="R1753" s="79">
        <v>1.63</v>
      </c>
      <c r="S1753" s="79">
        <v>1.81</v>
      </c>
      <c r="T1753" s="79">
        <v>3.44</v>
      </c>
      <c r="U1753" s="79">
        <v>0</v>
      </c>
      <c r="V1753" s="189">
        <v>3.44</v>
      </c>
      <c r="X1753" s="79">
        <v>1.63</v>
      </c>
      <c r="Y1753" s="79">
        <v>1.81</v>
      </c>
      <c r="Z1753" s="79">
        <v>3.44</v>
      </c>
      <c r="AA1753" s="255">
        <v>-9.9999999999997868E-3</v>
      </c>
      <c r="AC1753" s="254"/>
    </row>
    <row r="1754" spans="1:31" ht="12">
      <c r="A1754" s="67" t="s">
        <v>13886</v>
      </c>
      <c r="B1754" s="65" t="s">
        <v>13887</v>
      </c>
      <c r="C1754" s="71" t="s">
        <v>165</v>
      </c>
      <c r="D1754" s="78">
        <v>1</v>
      </c>
      <c r="E1754" s="79">
        <v>4.6999999999999993</v>
      </c>
      <c r="F1754" s="70">
        <v>4.7</v>
      </c>
      <c r="G1754" s="320"/>
      <c r="H1754" s="79">
        <v>1.0900000000000001</v>
      </c>
      <c r="I1754" s="79">
        <v>3.61</v>
      </c>
      <c r="J1754" s="79">
        <v>4.7</v>
      </c>
      <c r="K1754" s="79">
        <v>0</v>
      </c>
      <c r="L1754" s="70">
        <v>4.7</v>
      </c>
      <c r="M1754" s="132"/>
      <c r="N1754" s="79">
        <v>1.0900000000000001</v>
      </c>
      <c r="O1754" s="79">
        <v>3.61</v>
      </c>
      <c r="P1754" s="79">
        <v>4.7</v>
      </c>
      <c r="Q1754" s="136"/>
      <c r="R1754" s="79">
        <v>1.0900000000000001</v>
      </c>
      <c r="S1754" s="79">
        <v>3.6</v>
      </c>
      <c r="T1754" s="79">
        <v>4.6900000000000004</v>
      </c>
      <c r="U1754" s="79">
        <v>0</v>
      </c>
      <c r="V1754" s="189">
        <v>4.6900000000000004</v>
      </c>
      <c r="X1754" s="79">
        <v>1.0900000000000001</v>
      </c>
      <c r="Y1754" s="79">
        <v>3.6</v>
      </c>
      <c r="Z1754" s="79">
        <v>4.6900000000000004</v>
      </c>
      <c r="AA1754" s="255">
        <v>9.9999999999997868E-3</v>
      </c>
      <c r="AC1754" s="254"/>
      <c r="AD1754" s="69"/>
      <c r="AE1754" s="69"/>
    </row>
    <row r="1755" spans="1:31" ht="12">
      <c r="A1755" s="489" t="s">
        <v>13888</v>
      </c>
      <c r="B1755" s="490" t="s">
        <v>13889</v>
      </c>
      <c r="C1755" s="491"/>
      <c r="D1755" s="492"/>
      <c r="E1755" s="79"/>
      <c r="F1755" s="63"/>
      <c r="G1755" s="320"/>
      <c r="H1755" s="79"/>
      <c r="I1755" s="79"/>
      <c r="J1755" s="79"/>
      <c r="K1755" s="79"/>
      <c r="L1755" s="70"/>
      <c r="M1755" s="132"/>
      <c r="N1755" s="79"/>
      <c r="O1755" s="79"/>
      <c r="P1755" s="79"/>
      <c r="Q1755" s="136"/>
      <c r="R1755" s="79"/>
      <c r="S1755" s="79"/>
      <c r="T1755" s="79"/>
      <c r="U1755" s="79"/>
      <c r="V1755" s="189"/>
      <c r="X1755" s="79"/>
      <c r="Y1755" s="79"/>
      <c r="Z1755" s="79"/>
      <c r="AA1755" s="255"/>
      <c r="AC1755" s="254"/>
      <c r="AD1755" s="69"/>
      <c r="AE1755" s="69"/>
    </row>
    <row r="1756" spans="1:31" s="69" customFormat="1" ht="12">
      <c r="A1756" s="67" t="s">
        <v>13890</v>
      </c>
      <c r="B1756" s="65" t="s">
        <v>13891</v>
      </c>
      <c r="C1756" s="71" t="s">
        <v>509</v>
      </c>
      <c r="D1756" s="78">
        <v>1</v>
      </c>
      <c r="E1756" s="79">
        <v>32</v>
      </c>
      <c r="F1756" s="70">
        <v>32</v>
      </c>
      <c r="G1756" s="320"/>
      <c r="H1756" s="79">
        <v>8.01</v>
      </c>
      <c r="I1756" s="79">
        <v>23.990000000000002</v>
      </c>
      <c r="J1756" s="79">
        <v>32</v>
      </c>
      <c r="K1756" s="79">
        <v>0</v>
      </c>
      <c r="L1756" s="70">
        <v>32</v>
      </c>
      <c r="M1756" s="132"/>
      <c r="N1756" s="79">
        <v>8.01</v>
      </c>
      <c r="O1756" s="79">
        <v>23.990000000000002</v>
      </c>
      <c r="P1756" s="79">
        <v>32</v>
      </c>
      <c r="Q1756" s="136"/>
      <c r="R1756" s="79">
        <v>8.01</v>
      </c>
      <c r="S1756" s="79">
        <v>23.98</v>
      </c>
      <c r="T1756" s="79">
        <v>31.990000000000002</v>
      </c>
      <c r="U1756" s="79">
        <v>0</v>
      </c>
      <c r="V1756" s="189">
        <v>31.990000000000002</v>
      </c>
      <c r="W1756" s="61"/>
      <c r="X1756" s="79">
        <v>8.01</v>
      </c>
      <c r="Y1756" s="79">
        <v>23.98</v>
      </c>
      <c r="Z1756" s="79">
        <v>31.99</v>
      </c>
      <c r="AA1756" s="255">
        <v>1.0000000000001563E-2</v>
      </c>
      <c r="AB1756" s="61"/>
      <c r="AC1756" s="254"/>
      <c r="AD1756" s="61"/>
      <c r="AE1756" s="61"/>
    </row>
    <row r="1757" spans="1:31" s="61" customFormat="1" ht="12">
      <c r="A1757" s="67" t="s">
        <v>13892</v>
      </c>
      <c r="B1757" s="65" t="s">
        <v>13893</v>
      </c>
      <c r="C1757" s="71" t="s">
        <v>509</v>
      </c>
      <c r="D1757" s="78">
        <v>1</v>
      </c>
      <c r="E1757" s="79">
        <v>38.029999999999994</v>
      </c>
      <c r="F1757" s="70">
        <v>38.03</v>
      </c>
      <c r="G1757" s="320"/>
      <c r="H1757" s="79">
        <v>14.04</v>
      </c>
      <c r="I1757" s="79">
        <v>23.990000000000002</v>
      </c>
      <c r="J1757" s="79">
        <v>38.03</v>
      </c>
      <c r="K1757" s="79">
        <v>0</v>
      </c>
      <c r="L1757" s="70">
        <v>38.03</v>
      </c>
      <c r="M1757" s="132"/>
      <c r="N1757" s="79">
        <v>14.04</v>
      </c>
      <c r="O1757" s="79">
        <v>23.990000000000002</v>
      </c>
      <c r="P1757" s="79">
        <v>38.03</v>
      </c>
      <c r="Q1757" s="136"/>
      <c r="R1757" s="79">
        <v>14.04</v>
      </c>
      <c r="S1757" s="79">
        <v>23.98</v>
      </c>
      <c r="T1757" s="79">
        <v>38.019999999999996</v>
      </c>
      <c r="U1757" s="79">
        <v>0</v>
      </c>
      <c r="V1757" s="189">
        <v>38.019999999999996</v>
      </c>
      <c r="X1757" s="79">
        <v>14.04</v>
      </c>
      <c r="Y1757" s="79">
        <v>23.98</v>
      </c>
      <c r="Z1757" s="79">
        <v>38.020000000000003</v>
      </c>
      <c r="AA1757" s="255">
        <v>9.9999999999980105E-3</v>
      </c>
      <c r="AC1757" s="254"/>
      <c r="AD1757" s="236"/>
      <c r="AE1757" s="236"/>
    </row>
    <row r="1758" spans="1:31" s="61" customFormat="1" ht="12">
      <c r="A1758" s="507" t="s">
        <v>13894</v>
      </c>
      <c r="B1758" s="65" t="s">
        <v>13895</v>
      </c>
      <c r="C1758" s="71" t="s">
        <v>509</v>
      </c>
      <c r="D1758" s="78">
        <v>1</v>
      </c>
      <c r="E1758" s="79">
        <v>39.090000000000003</v>
      </c>
      <c r="F1758" s="70">
        <v>39.090000000000003</v>
      </c>
      <c r="G1758" s="320"/>
      <c r="H1758" s="79">
        <v>15.100000000000001</v>
      </c>
      <c r="I1758" s="79">
        <v>23.990000000000002</v>
      </c>
      <c r="J1758" s="79">
        <v>39.090000000000003</v>
      </c>
      <c r="K1758" s="79">
        <v>0</v>
      </c>
      <c r="L1758" s="70">
        <v>39.090000000000003</v>
      </c>
      <c r="M1758" s="132"/>
      <c r="N1758" s="79">
        <v>15.100000000000001</v>
      </c>
      <c r="O1758" s="79">
        <v>23.990000000000002</v>
      </c>
      <c r="P1758" s="79">
        <v>39.090000000000003</v>
      </c>
      <c r="Q1758" s="136"/>
      <c r="R1758" s="79">
        <v>15.1</v>
      </c>
      <c r="S1758" s="79">
        <v>23.98</v>
      </c>
      <c r="T1758" s="79">
        <v>39.08</v>
      </c>
      <c r="U1758" s="79">
        <v>0</v>
      </c>
      <c r="V1758" s="189">
        <v>39.08</v>
      </c>
      <c r="X1758" s="79">
        <v>15.1</v>
      </c>
      <c r="Y1758" s="79">
        <v>23.98</v>
      </c>
      <c r="Z1758" s="79">
        <v>39.08</v>
      </c>
      <c r="AA1758" s="255">
        <v>1.0000000000005116E-2</v>
      </c>
      <c r="AC1758" s="254"/>
      <c r="AD1758" s="236"/>
      <c r="AE1758" s="236"/>
    </row>
    <row r="1759" spans="1:31" ht="12">
      <c r="A1759" s="67" t="s">
        <v>13896</v>
      </c>
      <c r="B1759" s="65" t="s">
        <v>13897</v>
      </c>
      <c r="C1759" s="71" t="s">
        <v>509</v>
      </c>
      <c r="D1759" s="78">
        <v>1</v>
      </c>
      <c r="E1759" s="79">
        <v>36.76</v>
      </c>
      <c r="F1759" s="70">
        <v>36.76</v>
      </c>
      <c r="G1759" s="320"/>
      <c r="H1759" s="79">
        <v>12.77</v>
      </c>
      <c r="I1759" s="79">
        <v>23.990000000000002</v>
      </c>
      <c r="J1759" s="79">
        <v>36.760000000000005</v>
      </c>
      <c r="K1759" s="79">
        <v>0</v>
      </c>
      <c r="L1759" s="70">
        <v>36.760000000000005</v>
      </c>
      <c r="M1759" s="132"/>
      <c r="N1759" s="79">
        <v>12.77</v>
      </c>
      <c r="O1759" s="79">
        <v>23.990000000000002</v>
      </c>
      <c r="P1759" s="79">
        <v>36.760000000000005</v>
      </c>
      <c r="Q1759" s="136"/>
      <c r="R1759" s="79">
        <v>12.77</v>
      </c>
      <c r="S1759" s="79">
        <v>23.98</v>
      </c>
      <c r="T1759" s="79">
        <v>36.75</v>
      </c>
      <c r="U1759" s="79">
        <v>0</v>
      </c>
      <c r="V1759" s="189">
        <v>36.75</v>
      </c>
      <c r="X1759" s="79">
        <v>12.77</v>
      </c>
      <c r="Y1759" s="79">
        <v>23.98</v>
      </c>
      <c r="Z1759" s="79">
        <v>36.75</v>
      </c>
      <c r="AA1759" s="255">
        <v>9.9999999999980105E-3</v>
      </c>
      <c r="AC1759" s="254"/>
    </row>
    <row r="1760" spans="1:31" ht="12">
      <c r="A1760" s="67" t="s">
        <v>13898</v>
      </c>
      <c r="B1760" s="65" t="s">
        <v>13899</v>
      </c>
      <c r="C1760" s="71" t="s">
        <v>509</v>
      </c>
      <c r="D1760" s="78">
        <v>1</v>
      </c>
      <c r="E1760" s="79">
        <v>152.81</v>
      </c>
      <c r="F1760" s="70">
        <v>152.81</v>
      </c>
      <c r="G1760" s="320"/>
      <c r="H1760" s="79">
        <v>102.55000000000001</v>
      </c>
      <c r="I1760" s="79">
        <v>50.260000000000005</v>
      </c>
      <c r="J1760" s="79">
        <v>152.81</v>
      </c>
      <c r="K1760" s="79">
        <v>0</v>
      </c>
      <c r="L1760" s="70">
        <v>152.81</v>
      </c>
      <c r="M1760" s="132"/>
      <c r="N1760" s="79">
        <v>102.55000000000001</v>
      </c>
      <c r="O1760" s="79">
        <v>50.260000000000005</v>
      </c>
      <c r="P1760" s="79">
        <v>152.81</v>
      </c>
      <c r="Q1760" s="136"/>
      <c r="R1760" s="79">
        <v>102.55</v>
      </c>
      <c r="S1760" s="79">
        <v>50.25</v>
      </c>
      <c r="T1760" s="79">
        <v>152.80000000000001</v>
      </c>
      <c r="U1760" s="79">
        <v>0</v>
      </c>
      <c r="V1760" s="189">
        <v>152.80000000000001</v>
      </c>
      <c r="X1760" s="79">
        <v>102.55</v>
      </c>
      <c r="Y1760" s="79">
        <v>50.25</v>
      </c>
      <c r="Z1760" s="79">
        <v>152.80000000000001</v>
      </c>
      <c r="AA1760" s="255">
        <v>9.9999999999909051E-3</v>
      </c>
      <c r="AC1760" s="254"/>
    </row>
    <row r="1761" spans="1:31" ht="12">
      <c r="A1761" s="67" t="s">
        <v>13900</v>
      </c>
      <c r="B1761" s="65" t="s">
        <v>13901</v>
      </c>
      <c r="C1761" s="71" t="s">
        <v>509</v>
      </c>
      <c r="D1761" s="78">
        <v>1</v>
      </c>
      <c r="E1761" s="79">
        <v>43.66</v>
      </c>
      <c r="F1761" s="70">
        <v>43.66</v>
      </c>
      <c r="G1761" s="320"/>
      <c r="H1761" s="79">
        <v>19.669999999999998</v>
      </c>
      <c r="I1761" s="79">
        <v>23.990000000000002</v>
      </c>
      <c r="J1761" s="79">
        <v>43.66</v>
      </c>
      <c r="K1761" s="79">
        <v>0</v>
      </c>
      <c r="L1761" s="70">
        <v>43.66</v>
      </c>
      <c r="M1761" s="132"/>
      <c r="N1761" s="79">
        <v>19.669999999999998</v>
      </c>
      <c r="O1761" s="79">
        <v>23.990000000000002</v>
      </c>
      <c r="P1761" s="79">
        <v>43.66</v>
      </c>
      <c r="Q1761" s="136"/>
      <c r="R1761" s="79">
        <v>19.670000000000002</v>
      </c>
      <c r="S1761" s="79">
        <v>23.98</v>
      </c>
      <c r="T1761" s="79">
        <v>43.650000000000006</v>
      </c>
      <c r="U1761" s="79">
        <v>0</v>
      </c>
      <c r="V1761" s="189">
        <v>43.650000000000006</v>
      </c>
      <c r="X1761" s="79">
        <v>19.670000000000002</v>
      </c>
      <c r="Y1761" s="79">
        <v>23.98</v>
      </c>
      <c r="Z1761" s="79">
        <v>43.65</v>
      </c>
      <c r="AA1761" s="255">
        <v>9.9999999999980105E-3</v>
      </c>
      <c r="AC1761" s="254"/>
    </row>
    <row r="1762" spans="1:31" ht="12">
      <c r="A1762" s="67" t="s">
        <v>13902</v>
      </c>
      <c r="B1762" s="65" t="s">
        <v>13903</v>
      </c>
      <c r="C1762" s="71" t="s">
        <v>509</v>
      </c>
      <c r="D1762" s="78">
        <v>1</v>
      </c>
      <c r="E1762" s="79">
        <v>45.79</v>
      </c>
      <c r="F1762" s="70">
        <v>45.79</v>
      </c>
      <c r="G1762" s="320"/>
      <c r="H1762" s="79">
        <v>12.29</v>
      </c>
      <c r="I1762" s="79">
        <v>33.5</v>
      </c>
      <c r="J1762" s="79">
        <v>45.79</v>
      </c>
      <c r="K1762" s="79">
        <v>0</v>
      </c>
      <c r="L1762" s="70">
        <v>45.79</v>
      </c>
      <c r="M1762" s="132"/>
      <c r="N1762" s="79">
        <v>12.29</v>
      </c>
      <c r="O1762" s="79">
        <v>33.5</v>
      </c>
      <c r="P1762" s="79">
        <v>45.79</v>
      </c>
      <c r="Q1762" s="136"/>
      <c r="R1762" s="79">
        <v>12.29</v>
      </c>
      <c r="S1762" s="79">
        <v>33.5</v>
      </c>
      <c r="T1762" s="79">
        <v>45.79</v>
      </c>
      <c r="U1762" s="79">
        <v>0</v>
      </c>
      <c r="V1762" s="189">
        <v>45.79</v>
      </c>
      <c r="X1762" s="79">
        <v>12.29</v>
      </c>
      <c r="Y1762" s="79">
        <v>33.5</v>
      </c>
      <c r="Z1762" s="79">
        <v>45.79</v>
      </c>
      <c r="AA1762" s="255">
        <v>0</v>
      </c>
      <c r="AC1762" s="254"/>
      <c r="AD1762" s="61"/>
      <c r="AE1762" s="61"/>
    </row>
    <row r="1763" spans="1:31" ht="24">
      <c r="A1763" s="67" t="s">
        <v>13904</v>
      </c>
      <c r="B1763" s="65" t="s">
        <v>13905</v>
      </c>
      <c r="C1763" s="71" t="s">
        <v>509</v>
      </c>
      <c r="D1763" s="78">
        <v>1</v>
      </c>
      <c r="E1763" s="79">
        <v>259.37</v>
      </c>
      <c r="F1763" s="70">
        <v>259.37</v>
      </c>
      <c r="G1763" s="320"/>
      <c r="H1763" s="79">
        <v>259.37</v>
      </c>
      <c r="I1763" s="79">
        <v>0</v>
      </c>
      <c r="J1763" s="79">
        <v>259.37</v>
      </c>
      <c r="K1763" s="79">
        <v>0</v>
      </c>
      <c r="L1763" s="70">
        <v>259.37</v>
      </c>
      <c r="M1763" s="132"/>
      <c r="N1763" s="79">
        <v>259.37</v>
      </c>
      <c r="O1763" s="79"/>
      <c r="P1763" s="79">
        <v>259.37</v>
      </c>
      <c r="Q1763" s="136"/>
      <c r="R1763" s="79">
        <v>259.37</v>
      </c>
      <c r="S1763" s="79"/>
      <c r="T1763" s="79">
        <v>259.37</v>
      </c>
      <c r="U1763" s="79">
        <v>0</v>
      </c>
      <c r="V1763" s="189">
        <v>259.37</v>
      </c>
      <c r="X1763" s="79">
        <v>259.37</v>
      </c>
      <c r="Y1763" s="79"/>
      <c r="Z1763" s="79">
        <v>259.37</v>
      </c>
      <c r="AA1763" s="255">
        <v>0</v>
      </c>
      <c r="AC1763" s="254"/>
    </row>
    <row r="1764" spans="1:31" s="61" customFormat="1" ht="24">
      <c r="A1764" s="67" t="s">
        <v>13906</v>
      </c>
      <c r="B1764" s="65" t="s">
        <v>13907</v>
      </c>
      <c r="C1764" s="71" t="s">
        <v>509</v>
      </c>
      <c r="D1764" s="78">
        <v>1</v>
      </c>
      <c r="E1764" s="79">
        <v>514.25</v>
      </c>
      <c r="F1764" s="70">
        <v>514.25</v>
      </c>
      <c r="G1764" s="320"/>
      <c r="H1764" s="79">
        <v>514.25</v>
      </c>
      <c r="I1764" s="79">
        <v>0</v>
      </c>
      <c r="J1764" s="79">
        <v>514.25</v>
      </c>
      <c r="K1764" s="79">
        <v>0</v>
      </c>
      <c r="L1764" s="70">
        <v>514.25</v>
      </c>
      <c r="M1764" s="132"/>
      <c r="N1764" s="79">
        <v>514.25</v>
      </c>
      <c r="O1764" s="79"/>
      <c r="P1764" s="79">
        <v>514.25</v>
      </c>
      <c r="Q1764" s="136"/>
      <c r="R1764" s="79">
        <v>514.25</v>
      </c>
      <c r="S1764" s="79"/>
      <c r="T1764" s="79">
        <v>514.25</v>
      </c>
      <c r="U1764" s="79">
        <v>0</v>
      </c>
      <c r="V1764" s="189">
        <v>514.25</v>
      </c>
      <c r="X1764" s="79">
        <v>514.25</v>
      </c>
      <c r="Y1764" s="79"/>
      <c r="Z1764" s="79">
        <v>514.25</v>
      </c>
      <c r="AA1764" s="255">
        <v>0</v>
      </c>
      <c r="AC1764" s="254"/>
      <c r="AD1764" s="236"/>
      <c r="AE1764" s="236"/>
    </row>
    <row r="1765" spans="1:31" ht="12">
      <c r="A1765" s="489" t="s">
        <v>13908</v>
      </c>
      <c r="B1765" s="490" t="s">
        <v>13909</v>
      </c>
      <c r="C1765" s="491"/>
      <c r="D1765" s="492"/>
      <c r="E1765" s="79"/>
      <c r="F1765" s="63"/>
      <c r="G1765" s="320"/>
      <c r="H1765" s="79"/>
      <c r="I1765" s="79"/>
      <c r="J1765" s="79"/>
      <c r="K1765" s="79"/>
      <c r="L1765" s="70"/>
      <c r="M1765" s="132"/>
      <c r="N1765" s="79"/>
      <c r="O1765" s="79"/>
      <c r="P1765" s="79"/>
      <c r="Q1765" s="136"/>
      <c r="R1765" s="79"/>
      <c r="S1765" s="79"/>
      <c r="T1765" s="79"/>
      <c r="U1765" s="79"/>
      <c r="V1765" s="189"/>
      <c r="X1765" s="79"/>
      <c r="Y1765" s="79"/>
      <c r="Z1765" s="79"/>
      <c r="AA1765" s="255"/>
      <c r="AC1765" s="254"/>
    </row>
    <row r="1766" spans="1:31" ht="12">
      <c r="A1766" s="67" t="s">
        <v>13910</v>
      </c>
      <c r="B1766" s="65" t="s">
        <v>13911</v>
      </c>
      <c r="C1766" s="71" t="s">
        <v>509</v>
      </c>
      <c r="D1766" s="78">
        <v>1</v>
      </c>
      <c r="E1766" s="79">
        <v>52.84</v>
      </c>
      <c r="F1766" s="70">
        <v>52.84</v>
      </c>
      <c r="G1766" s="320"/>
      <c r="H1766" s="79">
        <v>19.340000000000003</v>
      </c>
      <c r="I1766" s="79">
        <v>33.5</v>
      </c>
      <c r="J1766" s="79">
        <v>52.84</v>
      </c>
      <c r="K1766" s="79">
        <v>0</v>
      </c>
      <c r="L1766" s="70">
        <v>52.84</v>
      </c>
      <c r="M1766" s="132"/>
      <c r="N1766" s="79">
        <v>19.340000000000003</v>
      </c>
      <c r="O1766" s="79">
        <v>33.5</v>
      </c>
      <c r="P1766" s="79">
        <v>52.84</v>
      </c>
      <c r="Q1766" s="136"/>
      <c r="R1766" s="79">
        <v>19.34</v>
      </c>
      <c r="S1766" s="79">
        <v>33.5</v>
      </c>
      <c r="T1766" s="79">
        <v>52.84</v>
      </c>
      <c r="U1766" s="79">
        <v>0</v>
      </c>
      <c r="V1766" s="189">
        <v>52.84</v>
      </c>
      <c r="X1766" s="79">
        <v>19.34</v>
      </c>
      <c r="Y1766" s="79">
        <v>33.5</v>
      </c>
      <c r="Z1766" s="79">
        <v>52.84</v>
      </c>
      <c r="AA1766" s="255">
        <v>0</v>
      </c>
      <c r="AC1766" s="254"/>
    </row>
    <row r="1767" spans="1:31" ht="12">
      <c r="A1767" s="489" t="s">
        <v>13912</v>
      </c>
      <c r="B1767" s="490" t="s">
        <v>13913</v>
      </c>
      <c r="C1767" s="491"/>
      <c r="D1767" s="492"/>
      <c r="E1767" s="79"/>
      <c r="F1767" s="63"/>
      <c r="G1767" s="320"/>
      <c r="H1767" s="79"/>
      <c r="I1767" s="79"/>
      <c r="J1767" s="79"/>
      <c r="K1767" s="79"/>
      <c r="L1767" s="70"/>
      <c r="M1767" s="132"/>
      <c r="N1767" s="79"/>
      <c r="O1767" s="79"/>
      <c r="P1767" s="79"/>
      <c r="Q1767" s="136"/>
      <c r="R1767" s="79"/>
      <c r="S1767" s="79"/>
      <c r="T1767" s="79"/>
      <c r="U1767" s="79"/>
      <c r="V1767" s="189"/>
      <c r="X1767" s="79"/>
      <c r="Y1767" s="79"/>
      <c r="Z1767" s="79"/>
      <c r="AA1767" s="255"/>
      <c r="AC1767" s="254"/>
      <c r="AD1767" s="69"/>
      <c r="AE1767" s="69"/>
    </row>
    <row r="1768" spans="1:31" ht="12">
      <c r="A1768" s="67" t="s">
        <v>13914</v>
      </c>
      <c r="B1768" s="65" t="s">
        <v>13915</v>
      </c>
      <c r="C1768" s="71" t="s">
        <v>509</v>
      </c>
      <c r="D1768" s="78">
        <v>1</v>
      </c>
      <c r="E1768" s="79">
        <v>53.260000000000005</v>
      </c>
      <c r="F1768" s="70">
        <v>53.26</v>
      </c>
      <c r="G1768" s="320"/>
      <c r="H1768" s="79">
        <v>19.760000000000002</v>
      </c>
      <c r="I1768" s="79">
        <v>33.5</v>
      </c>
      <c r="J1768" s="79">
        <v>53.260000000000005</v>
      </c>
      <c r="K1768" s="79">
        <v>0</v>
      </c>
      <c r="L1768" s="70">
        <v>53.260000000000005</v>
      </c>
      <c r="M1768" s="132"/>
      <c r="N1768" s="79">
        <v>19.760000000000002</v>
      </c>
      <c r="O1768" s="79">
        <v>33.5</v>
      </c>
      <c r="P1768" s="79">
        <v>53.260000000000005</v>
      </c>
      <c r="Q1768" s="136"/>
      <c r="R1768" s="79">
        <v>19.760000000000002</v>
      </c>
      <c r="S1768" s="79">
        <v>33.5</v>
      </c>
      <c r="T1768" s="79">
        <v>53.260000000000005</v>
      </c>
      <c r="U1768" s="79">
        <v>0</v>
      </c>
      <c r="V1768" s="189">
        <v>53.260000000000005</v>
      </c>
      <c r="X1768" s="79">
        <v>19.760000000000002</v>
      </c>
      <c r="Y1768" s="79">
        <v>33.5</v>
      </c>
      <c r="Z1768" s="79">
        <v>53.26</v>
      </c>
      <c r="AA1768" s="255">
        <v>0</v>
      </c>
      <c r="AC1768" s="254"/>
    </row>
    <row r="1769" spans="1:31" s="69" customFormat="1" ht="12">
      <c r="A1769" s="489" t="s">
        <v>13916</v>
      </c>
      <c r="B1769" s="490" t="s">
        <v>13917</v>
      </c>
      <c r="C1769" s="491"/>
      <c r="D1769" s="492"/>
      <c r="E1769" s="79"/>
      <c r="F1769" s="63"/>
      <c r="G1769" s="320"/>
      <c r="H1769" s="79"/>
      <c r="I1769" s="79"/>
      <c r="J1769" s="79"/>
      <c r="K1769" s="79"/>
      <c r="L1769" s="70"/>
      <c r="M1769" s="132"/>
      <c r="N1769" s="79"/>
      <c r="O1769" s="79"/>
      <c r="P1769" s="79"/>
      <c r="Q1769" s="136"/>
      <c r="R1769" s="79"/>
      <c r="S1769" s="79"/>
      <c r="T1769" s="79"/>
      <c r="U1769" s="79"/>
      <c r="V1769" s="189"/>
      <c r="W1769" s="61"/>
      <c r="X1769" s="79"/>
      <c r="Y1769" s="79"/>
      <c r="Z1769" s="79"/>
      <c r="AA1769" s="255"/>
      <c r="AB1769" s="61"/>
      <c r="AC1769" s="254"/>
      <c r="AD1769" s="236"/>
      <c r="AE1769" s="236"/>
    </row>
    <row r="1770" spans="1:31" ht="12">
      <c r="A1770" s="489" t="s">
        <v>13918</v>
      </c>
      <c r="B1770" s="490" t="s">
        <v>13919</v>
      </c>
      <c r="C1770" s="491"/>
      <c r="D1770" s="492"/>
      <c r="E1770" s="79"/>
      <c r="F1770" s="63"/>
      <c r="G1770" s="320"/>
      <c r="H1770" s="79"/>
      <c r="I1770" s="79"/>
      <c r="J1770" s="79"/>
      <c r="K1770" s="79"/>
      <c r="L1770" s="70"/>
      <c r="M1770" s="132"/>
      <c r="N1770" s="79"/>
      <c r="O1770" s="79"/>
      <c r="P1770" s="79"/>
      <c r="Q1770" s="136"/>
      <c r="R1770" s="79"/>
      <c r="S1770" s="79"/>
      <c r="T1770" s="79"/>
      <c r="U1770" s="79"/>
      <c r="V1770" s="189"/>
      <c r="X1770" s="79"/>
      <c r="Y1770" s="79"/>
      <c r="Z1770" s="79"/>
      <c r="AA1770" s="255"/>
      <c r="AC1770" s="254"/>
    </row>
    <row r="1771" spans="1:31" ht="12">
      <c r="A1771" s="67" t="s">
        <v>13920</v>
      </c>
      <c r="B1771" s="65" t="s">
        <v>2103</v>
      </c>
      <c r="C1771" s="71" t="s">
        <v>121</v>
      </c>
      <c r="D1771" s="78">
        <v>1</v>
      </c>
      <c r="E1771" s="79">
        <v>241</v>
      </c>
      <c r="F1771" s="70">
        <v>241</v>
      </c>
      <c r="G1771" s="320"/>
      <c r="H1771" s="79">
        <v>184.22</v>
      </c>
      <c r="I1771" s="79">
        <v>56.78</v>
      </c>
      <c r="J1771" s="79">
        <v>241</v>
      </c>
      <c r="K1771" s="79">
        <v>0</v>
      </c>
      <c r="L1771" s="70">
        <v>241</v>
      </c>
      <c r="M1771" s="132"/>
      <c r="N1771" s="79">
        <v>184.22</v>
      </c>
      <c r="O1771" s="79">
        <v>56.78</v>
      </c>
      <c r="P1771" s="79">
        <v>241</v>
      </c>
      <c r="Q1771" s="136"/>
      <c r="R1771" s="79">
        <v>184.22</v>
      </c>
      <c r="S1771" s="79">
        <v>56.78</v>
      </c>
      <c r="T1771" s="79">
        <v>241</v>
      </c>
      <c r="U1771" s="79">
        <v>0</v>
      </c>
      <c r="V1771" s="189">
        <v>241</v>
      </c>
      <c r="X1771" s="79">
        <v>184.22</v>
      </c>
      <c r="Y1771" s="79">
        <v>56.78</v>
      </c>
      <c r="Z1771" s="79">
        <v>241</v>
      </c>
      <c r="AA1771" s="255">
        <v>0</v>
      </c>
      <c r="AC1771" s="254"/>
    </row>
    <row r="1772" spans="1:31" ht="12">
      <c r="A1772" s="67" t="s">
        <v>13921</v>
      </c>
      <c r="B1772" s="65" t="s">
        <v>13922</v>
      </c>
      <c r="C1772" s="71" t="s">
        <v>509</v>
      </c>
      <c r="D1772" s="78">
        <v>1</v>
      </c>
      <c r="E1772" s="79">
        <v>2.2800000000000002</v>
      </c>
      <c r="F1772" s="70">
        <v>2.2799999999999998</v>
      </c>
      <c r="G1772" s="320"/>
      <c r="H1772" s="79">
        <v>0</v>
      </c>
      <c r="I1772" s="79">
        <v>2.2800000000000002</v>
      </c>
      <c r="J1772" s="79">
        <v>2.2800000000000002</v>
      </c>
      <c r="K1772" s="79">
        <v>0</v>
      </c>
      <c r="L1772" s="70">
        <v>2.2800000000000002</v>
      </c>
      <c r="M1772" s="132"/>
      <c r="N1772" s="79"/>
      <c r="O1772" s="79">
        <v>2.2800000000000002</v>
      </c>
      <c r="P1772" s="79">
        <v>2.2800000000000002</v>
      </c>
      <c r="Q1772" s="136"/>
      <c r="R1772" s="79"/>
      <c r="S1772" s="79">
        <v>2.27</v>
      </c>
      <c r="T1772" s="79">
        <v>2.27</v>
      </c>
      <c r="U1772" s="79">
        <v>0</v>
      </c>
      <c r="V1772" s="189">
        <v>2.27</v>
      </c>
      <c r="X1772" s="79"/>
      <c r="Y1772" s="79">
        <v>2.27</v>
      </c>
      <c r="Z1772" s="79">
        <v>2.27</v>
      </c>
      <c r="AA1772" s="255">
        <v>9.9999999999997868E-3</v>
      </c>
      <c r="AC1772" s="254"/>
      <c r="AD1772" s="61"/>
      <c r="AE1772" s="61"/>
    </row>
    <row r="1773" spans="1:31" ht="12">
      <c r="A1773" s="489" t="s">
        <v>13923</v>
      </c>
      <c r="B1773" s="490" t="s">
        <v>13924</v>
      </c>
      <c r="C1773" s="491"/>
      <c r="D1773" s="492"/>
      <c r="E1773" s="79"/>
      <c r="F1773" s="63"/>
      <c r="G1773" s="320"/>
      <c r="H1773" s="79"/>
      <c r="I1773" s="79"/>
      <c r="J1773" s="79"/>
      <c r="K1773" s="79"/>
      <c r="L1773" s="70"/>
      <c r="M1773" s="132"/>
      <c r="N1773" s="79"/>
      <c r="O1773" s="79"/>
      <c r="P1773" s="79"/>
      <c r="Q1773" s="136"/>
      <c r="R1773" s="79"/>
      <c r="S1773" s="79"/>
      <c r="T1773" s="79"/>
      <c r="U1773" s="79"/>
      <c r="V1773" s="189"/>
      <c r="X1773" s="79"/>
      <c r="Y1773" s="79"/>
      <c r="Z1773" s="79"/>
      <c r="AA1773" s="255"/>
      <c r="AC1773" s="254"/>
    </row>
    <row r="1774" spans="1:31" s="61" customFormat="1" ht="12">
      <c r="A1774" s="67" t="s">
        <v>13925</v>
      </c>
      <c r="B1774" s="65" t="s">
        <v>13926</v>
      </c>
      <c r="C1774" s="71" t="s">
        <v>509</v>
      </c>
      <c r="D1774" s="78">
        <v>1</v>
      </c>
      <c r="E1774" s="79">
        <v>14.22</v>
      </c>
      <c r="F1774" s="70">
        <v>14.22</v>
      </c>
      <c r="G1774" s="320"/>
      <c r="H1774" s="79">
        <v>10.41</v>
      </c>
      <c r="I1774" s="79">
        <v>3.81</v>
      </c>
      <c r="J1774" s="79">
        <v>14.22</v>
      </c>
      <c r="K1774" s="79">
        <v>0</v>
      </c>
      <c r="L1774" s="70">
        <v>14.22</v>
      </c>
      <c r="M1774" s="132"/>
      <c r="N1774" s="79">
        <v>10.41</v>
      </c>
      <c r="O1774" s="79">
        <v>3.81</v>
      </c>
      <c r="P1774" s="79">
        <v>14.22</v>
      </c>
      <c r="Q1774" s="136"/>
      <c r="R1774" s="79">
        <v>10.41</v>
      </c>
      <c r="S1774" s="79">
        <v>3.84</v>
      </c>
      <c r="T1774" s="79">
        <v>14.25</v>
      </c>
      <c r="U1774" s="79">
        <v>0</v>
      </c>
      <c r="V1774" s="189">
        <v>14.25</v>
      </c>
      <c r="X1774" s="79">
        <v>10.41</v>
      </c>
      <c r="Y1774" s="79">
        <v>3.84</v>
      </c>
      <c r="Z1774" s="79">
        <v>14.25</v>
      </c>
      <c r="AA1774" s="255">
        <v>-2.9999999999999361E-2</v>
      </c>
      <c r="AC1774" s="254"/>
      <c r="AD1774" s="236"/>
      <c r="AE1774" s="236"/>
    </row>
    <row r="1775" spans="1:31" ht="12">
      <c r="A1775" s="67" t="s">
        <v>13927</v>
      </c>
      <c r="B1775" s="65" t="s">
        <v>13928</v>
      </c>
      <c r="C1775" s="71" t="s">
        <v>509</v>
      </c>
      <c r="D1775" s="78">
        <v>1</v>
      </c>
      <c r="E1775" s="79">
        <v>15.49</v>
      </c>
      <c r="F1775" s="70">
        <v>15.49</v>
      </c>
      <c r="G1775" s="320"/>
      <c r="H1775" s="79">
        <v>9.74</v>
      </c>
      <c r="I1775" s="79">
        <v>5.75</v>
      </c>
      <c r="J1775" s="79">
        <v>15.49</v>
      </c>
      <c r="K1775" s="79">
        <v>0</v>
      </c>
      <c r="L1775" s="70">
        <v>15.49</v>
      </c>
      <c r="M1775" s="132"/>
      <c r="N1775" s="79">
        <v>9.74</v>
      </c>
      <c r="O1775" s="79">
        <v>5.75</v>
      </c>
      <c r="P1775" s="79">
        <v>15.49</v>
      </c>
      <c r="Q1775" s="136"/>
      <c r="R1775" s="79">
        <v>9.74</v>
      </c>
      <c r="S1775" s="79">
        <v>5.75</v>
      </c>
      <c r="T1775" s="79">
        <v>15.49</v>
      </c>
      <c r="U1775" s="79">
        <v>0</v>
      </c>
      <c r="V1775" s="189">
        <v>15.49</v>
      </c>
      <c r="X1775" s="79">
        <v>9.74</v>
      </c>
      <c r="Y1775" s="79">
        <v>5.75</v>
      </c>
      <c r="Z1775" s="79">
        <v>15.49</v>
      </c>
      <c r="AA1775" s="255">
        <v>0</v>
      </c>
      <c r="AC1775" s="254"/>
    </row>
    <row r="1776" spans="1:31" ht="12">
      <c r="A1776" s="67" t="s">
        <v>13929</v>
      </c>
      <c r="B1776" s="65" t="s">
        <v>13930</v>
      </c>
      <c r="C1776" s="71" t="s">
        <v>509</v>
      </c>
      <c r="D1776" s="78">
        <v>1</v>
      </c>
      <c r="E1776" s="79">
        <v>126.11</v>
      </c>
      <c r="F1776" s="70">
        <v>126.11</v>
      </c>
      <c r="G1776" s="320"/>
      <c r="H1776" s="79">
        <v>118.81</v>
      </c>
      <c r="I1776" s="79">
        <v>7.3</v>
      </c>
      <c r="J1776" s="79">
        <v>126.11</v>
      </c>
      <c r="K1776" s="79">
        <v>0</v>
      </c>
      <c r="L1776" s="70">
        <v>126.11</v>
      </c>
      <c r="M1776" s="132"/>
      <c r="N1776" s="79">
        <v>118.81</v>
      </c>
      <c r="O1776" s="79">
        <v>7.3</v>
      </c>
      <c r="P1776" s="79">
        <v>126.11</v>
      </c>
      <c r="Q1776" s="136"/>
      <c r="R1776" s="79">
        <v>118.81</v>
      </c>
      <c r="S1776" s="79">
        <v>7.3</v>
      </c>
      <c r="T1776" s="79">
        <v>126.11</v>
      </c>
      <c r="U1776" s="79">
        <v>0</v>
      </c>
      <c r="V1776" s="189">
        <v>126.11</v>
      </c>
      <c r="X1776" s="79">
        <v>118.81</v>
      </c>
      <c r="Y1776" s="79">
        <v>7.3</v>
      </c>
      <c r="Z1776" s="79">
        <v>126.11</v>
      </c>
      <c r="AA1776" s="255">
        <v>0</v>
      </c>
      <c r="AC1776" s="254"/>
    </row>
    <row r="1777" spans="1:29" ht="12">
      <c r="A1777" s="67" t="s">
        <v>13931</v>
      </c>
      <c r="B1777" s="65" t="s">
        <v>13932</v>
      </c>
      <c r="C1777" s="71" t="s">
        <v>509</v>
      </c>
      <c r="D1777" s="78">
        <v>1</v>
      </c>
      <c r="E1777" s="79">
        <v>24.02</v>
      </c>
      <c r="F1777" s="70">
        <v>24.02</v>
      </c>
      <c r="G1777" s="320"/>
      <c r="H1777" s="79">
        <v>18.27</v>
      </c>
      <c r="I1777" s="79">
        <v>5.75</v>
      </c>
      <c r="J1777" s="79">
        <v>24.02</v>
      </c>
      <c r="K1777" s="79">
        <v>0</v>
      </c>
      <c r="L1777" s="70">
        <v>24.02</v>
      </c>
      <c r="M1777" s="132"/>
      <c r="N1777" s="79">
        <v>18.27</v>
      </c>
      <c r="O1777" s="79">
        <v>5.75</v>
      </c>
      <c r="P1777" s="79">
        <v>24.02</v>
      </c>
      <c r="Q1777" s="136"/>
      <c r="R1777" s="79">
        <v>18.27</v>
      </c>
      <c r="S1777" s="79">
        <v>5.75</v>
      </c>
      <c r="T1777" s="79">
        <v>24.02</v>
      </c>
      <c r="U1777" s="79">
        <v>0</v>
      </c>
      <c r="V1777" s="189">
        <v>24.02</v>
      </c>
      <c r="X1777" s="79">
        <v>18.27</v>
      </c>
      <c r="Y1777" s="79">
        <v>5.75</v>
      </c>
      <c r="Z1777" s="79">
        <v>24.02</v>
      </c>
      <c r="AA1777" s="255">
        <v>0</v>
      </c>
      <c r="AC1777" s="254"/>
    </row>
    <row r="1778" spans="1:29" ht="12">
      <c r="A1778" s="67" t="s">
        <v>13933</v>
      </c>
      <c r="B1778" s="65" t="s">
        <v>13934</v>
      </c>
      <c r="C1778" s="71" t="s">
        <v>509</v>
      </c>
      <c r="D1778" s="78">
        <v>1</v>
      </c>
      <c r="E1778" s="79">
        <v>62.39</v>
      </c>
      <c r="F1778" s="70">
        <v>62.39</v>
      </c>
      <c r="G1778" s="320"/>
      <c r="H1778" s="79">
        <v>55.09</v>
      </c>
      <c r="I1778" s="79">
        <v>7.3</v>
      </c>
      <c r="J1778" s="79">
        <v>62.39</v>
      </c>
      <c r="K1778" s="79">
        <v>0</v>
      </c>
      <c r="L1778" s="70">
        <v>62.39</v>
      </c>
      <c r="M1778" s="132"/>
      <c r="N1778" s="79">
        <v>55.09</v>
      </c>
      <c r="O1778" s="79">
        <v>7.3</v>
      </c>
      <c r="P1778" s="79">
        <v>62.39</v>
      </c>
      <c r="Q1778" s="136"/>
      <c r="R1778" s="79">
        <v>55.09</v>
      </c>
      <c r="S1778" s="79">
        <v>7.3</v>
      </c>
      <c r="T1778" s="79">
        <v>62.39</v>
      </c>
      <c r="U1778" s="79">
        <v>0</v>
      </c>
      <c r="V1778" s="189">
        <v>62.39</v>
      </c>
      <c r="X1778" s="79">
        <v>55.09</v>
      </c>
      <c r="Y1778" s="79">
        <v>7.3</v>
      </c>
      <c r="Z1778" s="79">
        <v>62.39</v>
      </c>
      <c r="AA1778" s="255">
        <v>0</v>
      </c>
      <c r="AC1778" s="254"/>
    </row>
    <row r="1779" spans="1:29" ht="12">
      <c r="A1779" s="67" t="s">
        <v>13935</v>
      </c>
      <c r="B1779" s="65" t="s">
        <v>13936</v>
      </c>
      <c r="C1779" s="71" t="s">
        <v>509</v>
      </c>
      <c r="D1779" s="78">
        <v>1</v>
      </c>
      <c r="E1779" s="79">
        <v>20.009999999999998</v>
      </c>
      <c r="F1779" s="70">
        <v>20.010000000000002</v>
      </c>
      <c r="G1779" s="320"/>
      <c r="H1779" s="79">
        <v>14.26</v>
      </c>
      <c r="I1779" s="79">
        <v>5.75</v>
      </c>
      <c r="J1779" s="79">
        <v>20.009999999999998</v>
      </c>
      <c r="K1779" s="79">
        <v>0</v>
      </c>
      <c r="L1779" s="70">
        <v>20.009999999999998</v>
      </c>
      <c r="M1779" s="132"/>
      <c r="N1779" s="79">
        <v>14.26</v>
      </c>
      <c r="O1779" s="79">
        <v>5.75</v>
      </c>
      <c r="P1779" s="79">
        <v>20.009999999999998</v>
      </c>
      <c r="Q1779" s="136"/>
      <c r="R1779" s="79">
        <v>14.26</v>
      </c>
      <c r="S1779" s="79">
        <v>5.75</v>
      </c>
      <c r="T1779" s="79">
        <v>20.009999999999998</v>
      </c>
      <c r="U1779" s="79">
        <v>0</v>
      </c>
      <c r="V1779" s="189">
        <v>20.009999999999998</v>
      </c>
      <c r="X1779" s="79">
        <v>14.26</v>
      </c>
      <c r="Y1779" s="79">
        <v>5.75</v>
      </c>
      <c r="Z1779" s="79">
        <v>20.010000000000002</v>
      </c>
      <c r="AA1779" s="255">
        <v>0</v>
      </c>
      <c r="AC1779" s="254"/>
    </row>
    <row r="1780" spans="1:29" ht="12">
      <c r="A1780" s="67" t="s">
        <v>13937</v>
      </c>
      <c r="B1780" s="65" t="s">
        <v>13938</v>
      </c>
      <c r="C1780" s="71" t="s">
        <v>509</v>
      </c>
      <c r="D1780" s="78">
        <v>1</v>
      </c>
      <c r="E1780" s="79">
        <v>62.65</v>
      </c>
      <c r="F1780" s="70">
        <v>62.65</v>
      </c>
      <c r="G1780" s="320"/>
      <c r="H1780" s="79">
        <v>55.349999999999994</v>
      </c>
      <c r="I1780" s="79">
        <v>7.3</v>
      </c>
      <c r="J1780" s="79">
        <v>62.649999999999991</v>
      </c>
      <c r="K1780" s="79">
        <v>0</v>
      </c>
      <c r="L1780" s="70">
        <v>62.649999999999991</v>
      </c>
      <c r="M1780" s="132"/>
      <c r="N1780" s="79">
        <v>55.349999999999994</v>
      </c>
      <c r="O1780" s="79">
        <v>7.3</v>
      </c>
      <c r="P1780" s="79">
        <v>62.649999999999991</v>
      </c>
      <c r="Q1780" s="136"/>
      <c r="R1780" s="79">
        <v>55.35</v>
      </c>
      <c r="S1780" s="79">
        <v>7.3</v>
      </c>
      <c r="T1780" s="79">
        <v>62.65</v>
      </c>
      <c r="U1780" s="79">
        <v>0</v>
      </c>
      <c r="V1780" s="189">
        <v>62.65</v>
      </c>
      <c r="X1780" s="79">
        <v>55.35</v>
      </c>
      <c r="Y1780" s="79">
        <v>7.3</v>
      </c>
      <c r="Z1780" s="79">
        <v>62.65</v>
      </c>
      <c r="AA1780" s="255">
        <v>0</v>
      </c>
      <c r="AC1780" s="254"/>
    </row>
    <row r="1781" spans="1:29" ht="12">
      <c r="A1781" s="67" t="s">
        <v>13939</v>
      </c>
      <c r="B1781" s="65" t="s">
        <v>5646</v>
      </c>
      <c r="C1781" s="71" t="s">
        <v>509</v>
      </c>
      <c r="D1781" s="78">
        <v>1</v>
      </c>
      <c r="E1781" s="79">
        <v>10.39</v>
      </c>
      <c r="F1781" s="70">
        <v>10.39</v>
      </c>
      <c r="G1781" s="320"/>
      <c r="H1781" s="79">
        <v>10.39</v>
      </c>
      <c r="I1781" s="79">
        <v>0</v>
      </c>
      <c r="J1781" s="79">
        <v>10.39</v>
      </c>
      <c r="K1781" s="79">
        <v>0</v>
      </c>
      <c r="L1781" s="70">
        <v>10.39</v>
      </c>
      <c r="M1781" s="132"/>
      <c r="N1781" s="79">
        <v>10.39</v>
      </c>
      <c r="O1781" s="79"/>
      <c r="P1781" s="79">
        <v>10.39</v>
      </c>
      <c r="Q1781" s="136"/>
      <c r="R1781" s="79">
        <v>10.39</v>
      </c>
      <c r="S1781" s="79"/>
      <c r="T1781" s="79">
        <v>10.39</v>
      </c>
      <c r="U1781" s="79">
        <v>0</v>
      </c>
      <c r="V1781" s="189">
        <v>10.39</v>
      </c>
      <c r="X1781" s="79">
        <v>10.39</v>
      </c>
      <c r="Y1781" s="79"/>
      <c r="Z1781" s="79">
        <v>10.39</v>
      </c>
      <c r="AA1781" s="255">
        <v>0</v>
      </c>
      <c r="AC1781" s="254"/>
    </row>
    <row r="1782" spans="1:29" ht="12">
      <c r="A1782" s="489" t="s">
        <v>13940</v>
      </c>
      <c r="B1782" s="490" t="s">
        <v>13941</v>
      </c>
      <c r="C1782" s="491"/>
      <c r="D1782" s="492"/>
      <c r="E1782" s="79"/>
      <c r="F1782" s="63"/>
      <c r="G1782" s="320"/>
      <c r="H1782" s="79"/>
      <c r="I1782" s="79"/>
      <c r="J1782" s="79"/>
      <c r="K1782" s="79"/>
      <c r="L1782" s="70"/>
      <c r="M1782" s="132"/>
      <c r="N1782" s="79"/>
      <c r="O1782" s="79"/>
      <c r="P1782" s="79"/>
      <c r="Q1782" s="136"/>
      <c r="R1782" s="79"/>
      <c r="S1782" s="79"/>
      <c r="T1782" s="79"/>
      <c r="U1782" s="79"/>
      <c r="V1782" s="189"/>
      <c r="X1782" s="79"/>
      <c r="Y1782" s="79"/>
      <c r="Z1782" s="79"/>
      <c r="AA1782" s="255"/>
      <c r="AC1782" s="254"/>
    </row>
    <row r="1783" spans="1:29" ht="12">
      <c r="A1783" s="67" t="s">
        <v>13942</v>
      </c>
      <c r="B1783" s="65" t="s">
        <v>13943</v>
      </c>
      <c r="C1783" s="71" t="s">
        <v>103</v>
      </c>
      <c r="D1783" s="78">
        <v>1</v>
      </c>
      <c r="E1783" s="79">
        <v>61.550000000000004</v>
      </c>
      <c r="F1783" s="70">
        <v>61.55</v>
      </c>
      <c r="G1783" s="320"/>
      <c r="H1783" s="79">
        <v>57.33</v>
      </c>
      <c r="I1783" s="79">
        <v>4.2200000000000006</v>
      </c>
      <c r="J1783" s="79">
        <v>61.55</v>
      </c>
      <c r="K1783" s="79">
        <v>0</v>
      </c>
      <c r="L1783" s="70">
        <v>61.55</v>
      </c>
      <c r="M1783" s="132"/>
      <c r="N1783" s="79">
        <v>57.33</v>
      </c>
      <c r="O1783" s="79">
        <v>4.2200000000000006</v>
      </c>
      <c r="P1783" s="79">
        <v>61.55</v>
      </c>
      <c r="Q1783" s="136"/>
      <c r="R1783" s="79">
        <v>57.33</v>
      </c>
      <c r="S1783" s="79">
        <v>4.2</v>
      </c>
      <c r="T1783" s="79">
        <v>61.53</v>
      </c>
      <c r="U1783" s="79">
        <v>0</v>
      </c>
      <c r="V1783" s="189">
        <v>61.53</v>
      </c>
      <c r="X1783" s="79">
        <v>57.33</v>
      </c>
      <c r="Y1783" s="79">
        <v>4.2</v>
      </c>
      <c r="Z1783" s="79">
        <v>61.53</v>
      </c>
      <c r="AA1783" s="255">
        <v>1.9999999999996021E-2</v>
      </c>
      <c r="AC1783" s="254"/>
    </row>
    <row r="1784" spans="1:29" ht="12">
      <c r="A1784" s="67" t="s">
        <v>13944</v>
      </c>
      <c r="B1784" s="65" t="s">
        <v>2123</v>
      </c>
      <c r="C1784" s="71" t="s">
        <v>103</v>
      </c>
      <c r="D1784" s="78">
        <v>1</v>
      </c>
      <c r="E1784" s="79">
        <v>46.820000000000007</v>
      </c>
      <c r="F1784" s="70">
        <v>46.82</v>
      </c>
      <c r="G1784" s="320"/>
      <c r="H1784" s="79">
        <v>42.6</v>
      </c>
      <c r="I1784" s="79">
        <v>4.2200000000000006</v>
      </c>
      <c r="J1784" s="79">
        <v>46.82</v>
      </c>
      <c r="K1784" s="79">
        <v>0</v>
      </c>
      <c r="L1784" s="70">
        <v>46.82</v>
      </c>
      <c r="M1784" s="132"/>
      <c r="N1784" s="79">
        <v>42.6</v>
      </c>
      <c r="O1784" s="79">
        <v>4.2200000000000006</v>
      </c>
      <c r="P1784" s="79">
        <v>46.82</v>
      </c>
      <c r="Q1784" s="136"/>
      <c r="R1784" s="79">
        <v>42.6</v>
      </c>
      <c r="S1784" s="79">
        <v>4.2</v>
      </c>
      <c r="T1784" s="79">
        <v>46.800000000000004</v>
      </c>
      <c r="U1784" s="79">
        <v>0</v>
      </c>
      <c r="V1784" s="189">
        <v>46.800000000000004</v>
      </c>
      <c r="X1784" s="79">
        <v>42.6</v>
      </c>
      <c r="Y1784" s="79">
        <v>4.2</v>
      </c>
      <c r="Z1784" s="79">
        <v>46.8</v>
      </c>
      <c r="AA1784" s="255">
        <v>2.0000000000003126E-2</v>
      </c>
      <c r="AC1784" s="254"/>
    </row>
    <row r="1785" spans="1:29" ht="12">
      <c r="A1785" s="67" t="s">
        <v>13945</v>
      </c>
      <c r="B1785" s="65" t="s">
        <v>13946</v>
      </c>
      <c r="C1785" s="71" t="s">
        <v>103</v>
      </c>
      <c r="D1785" s="78">
        <v>1</v>
      </c>
      <c r="E1785" s="79">
        <v>57.370000000000005</v>
      </c>
      <c r="F1785" s="70">
        <v>57.37</v>
      </c>
      <c r="G1785" s="320"/>
      <c r="H1785" s="79">
        <v>53.15</v>
      </c>
      <c r="I1785" s="79">
        <v>4.2200000000000006</v>
      </c>
      <c r="J1785" s="79">
        <v>57.37</v>
      </c>
      <c r="K1785" s="79">
        <v>0</v>
      </c>
      <c r="L1785" s="70">
        <v>57.37</v>
      </c>
      <c r="M1785" s="132"/>
      <c r="N1785" s="79">
        <v>53.15</v>
      </c>
      <c r="O1785" s="79">
        <v>4.2200000000000006</v>
      </c>
      <c r="P1785" s="79">
        <v>57.37</v>
      </c>
      <c r="Q1785" s="136"/>
      <c r="R1785" s="79">
        <v>53.15</v>
      </c>
      <c r="S1785" s="79">
        <v>4.2</v>
      </c>
      <c r="T1785" s="79">
        <v>57.35</v>
      </c>
      <c r="U1785" s="79">
        <v>0</v>
      </c>
      <c r="V1785" s="189">
        <v>57.35</v>
      </c>
      <c r="X1785" s="79">
        <v>53.15</v>
      </c>
      <c r="Y1785" s="79">
        <v>4.2</v>
      </c>
      <c r="Z1785" s="79">
        <v>57.35</v>
      </c>
      <c r="AA1785" s="255">
        <v>1.9999999999996021E-2</v>
      </c>
      <c r="AC1785" s="254"/>
    </row>
    <row r="1786" spans="1:29" ht="12">
      <c r="A1786" s="67" t="s">
        <v>13947</v>
      </c>
      <c r="B1786" s="65" t="s">
        <v>13948</v>
      </c>
      <c r="C1786" s="71" t="s">
        <v>103</v>
      </c>
      <c r="D1786" s="78">
        <v>1</v>
      </c>
      <c r="E1786" s="79">
        <v>65.319999999999993</v>
      </c>
      <c r="F1786" s="70">
        <v>65.319999999999993</v>
      </c>
      <c r="G1786" s="320"/>
      <c r="H1786" s="79">
        <v>61.099999999999994</v>
      </c>
      <c r="I1786" s="79">
        <v>4.2200000000000006</v>
      </c>
      <c r="J1786" s="79">
        <v>65.319999999999993</v>
      </c>
      <c r="K1786" s="79">
        <v>0</v>
      </c>
      <c r="L1786" s="70">
        <v>65.319999999999993</v>
      </c>
      <c r="M1786" s="132"/>
      <c r="N1786" s="79">
        <v>61.099999999999994</v>
      </c>
      <c r="O1786" s="79">
        <v>4.2200000000000006</v>
      </c>
      <c r="P1786" s="79">
        <v>65.319999999999993</v>
      </c>
      <c r="Q1786" s="136"/>
      <c r="R1786" s="79">
        <v>61.1</v>
      </c>
      <c r="S1786" s="79">
        <v>4.2</v>
      </c>
      <c r="T1786" s="79">
        <v>65.3</v>
      </c>
      <c r="U1786" s="79">
        <v>0</v>
      </c>
      <c r="V1786" s="189">
        <v>65.3</v>
      </c>
      <c r="X1786" s="79">
        <v>61.1</v>
      </c>
      <c r="Y1786" s="79">
        <v>4.2</v>
      </c>
      <c r="Z1786" s="79">
        <v>65.3</v>
      </c>
      <c r="AA1786" s="255">
        <v>1.9999999999996021E-2</v>
      </c>
      <c r="AC1786" s="254"/>
    </row>
    <row r="1787" spans="1:29" ht="12">
      <c r="A1787" s="489" t="s">
        <v>13949</v>
      </c>
      <c r="B1787" s="490" t="s">
        <v>13950</v>
      </c>
      <c r="C1787" s="491"/>
      <c r="D1787" s="492"/>
      <c r="E1787" s="79"/>
      <c r="F1787" s="63"/>
      <c r="G1787" s="320"/>
      <c r="H1787" s="79"/>
      <c r="I1787" s="79"/>
      <c r="J1787" s="79"/>
      <c r="K1787" s="79"/>
      <c r="L1787" s="70"/>
      <c r="M1787" s="132"/>
      <c r="N1787" s="79"/>
      <c r="O1787" s="79"/>
      <c r="P1787" s="79"/>
      <c r="Q1787" s="136"/>
      <c r="R1787" s="79"/>
      <c r="S1787" s="79"/>
      <c r="T1787" s="79"/>
      <c r="U1787" s="79"/>
      <c r="V1787" s="189"/>
      <c r="X1787" s="79"/>
      <c r="Y1787" s="79"/>
      <c r="Z1787" s="79"/>
      <c r="AA1787" s="255"/>
      <c r="AC1787" s="254"/>
    </row>
    <row r="1788" spans="1:29" ht="12">
      <c r="A1788" s="67" t="s">
        <v>13951</v>
      </c>
      <c r="B1788" s="65" t="s">
        <v>13952</v>
      </c>
      <c r="C1788" s="71" t="s">
        <v>103</v>
      </c>
      <c r="D1788" s="78">
        <v>1</v>
      </c>
      <c r="E1788" s="79">
        <v>143.15</v>
      </c>
      <c r="F1788" s="70">
        <v>143.15</v>
      </c>
      <c r="G1788" s="320"/>
      <c r="H1788" s="79">
        <v>106.61</v>
      </c>
      <c r="I1788" s="79">
        <v>36.54</v>
      </c>
      <c r="J1788" s="79">
        <v>143.15</v>
      </c>
      <c r="K1788" s="79">
        <v>0</v>
      </c>
      <c r="L1788" s="70">
        <v>143.15</v>
      </c>
      <c r="M1788" s="132"/>
      <c r="N1788" s="79">
        <v>106.61</v>
      </c>
      <c r="O1788" s="79">
        <v>36.54</v>
      </c>
      <c r="P1788" s="79">
        <v>143.15</v>
      </c>
      <c r="Q1788" s="136"/>
      <c r="R1788" s="79">
        <v>106.61</v>
      </c>
      <c r="S1788" s="79">
        <v>36.53</v>
      </c>
      <c r="T1788" s="79">
        <v>143.13999999999999</v>
      </c>
      <c r="U1788" s="79">
        <v>0</v>
      </c>
      <c r="V1788" s="189">
        <v>143.13999999999999</v>
      </c>
      <c r="X1788" s="79">
        <v>106.61</v>
      </c>
      <c r="Y1788" s="79">
        <v>36.53</v>
      </c>
      <c r="Z1788" s="79">
        <v>143.13999999999999</v>
      </c>
      <c r="AA1788" s="255">
        <v>1.0000000000019327E-2</v>
      </c>
      <c r="AC1788" s="254"/>
    </row>
    <row r="1789" spans="1:29" ht="12">
      <c r="A1789" s="67" t="s">
        <v>13953</v>
      </c>
      <c r="B1789" s="65" t="s">
        <v>13954</v>
      </c>
      <c r="C1789" s="71" t="s">
        <v>103</v>
      </c>
      <c r="D1789" s="78">
        <v>1</v>
      </c>
      <c r="E1789" s="79">
        <v>192.02</v>
      </c>
      <c r="F1789" s="70">
        <v>192.02</v>
      </c>
      <c r="G1789" s="320"/>
      <c r="H1789" s="79">
        <v>155.48000000000002</v>
      </c>
      <c r="I1789" s="79">
        <v>36.54</v>
      </c>
      <c r="J1789" s="79">
        <v>192.02</v>
      </c>
      <c r="K1789" s="79">
        <v>0</v>
      </c>
      <c r="L1789" s="70">
        <v>192.02</v>
      </c>
      <c r="M1789" s="132"/>
      <c r="N1789" s="79">
        <v>155.48000000000002</v>
      </c>
      <c r="O1789" s="79">
        <v>36.54</v>
      </c>
      <c r="P1789" s="79">
        <v>192.02</v>
      </c>
      <c r="Q1789" s="136"/>
      <c r="R1789" s="79">
        <v>155.47999999999999</v>
      </c>
      <c r="S1789" s="79">
        <v>36.53</v>
      </c>
      <c r="T1789" s="79">
        <v>192.01</v>
      </c>
      <c r="U1789" s="79">
        <v>0</v>
      </c>
      <c r="V1789" s="189">
        <v>192.01</v>
      </c>
      <c r="X1789" s="79">
        <v>155.47999999999999</v>
      </c>
      <c r="Y1789" s="79">
        <v>36.53</v>
      </c>
      <c r="Z1789" s="79">
        <v>192.01</v>
      </c>
      <c r="AA1789" s="255">
        <v>1.0000000000019327E-2</v>
      </c>
      <c r="AC1789" s="254"/>
    </row>
    <row r="1790" spans="1:29" ht="12">
      <c r="A1790" s="67" t="s">
        <v>13955</v>
      </c>
      <c r="B1790" s="65" t="s">
        <v>13956</v>
      </c>
      <c r="C1790" s="71" t="s">
        <v>103</v>
      </c>
      <c r="D1790" s="78">
        <v>1</v>
      </c>
      <c r="E1790" s="79">
        <v>274.96000000000004</v>
      </c>
      <c r="F1790" s="70">
        <v>274.95999999999998</v>
      </c>
      <c r="G1790" s="320"/>
      <c r="H1790" s="79">
        <v>238.42000000000002</v>
      </c>
      <c r="I1790" s="79">
        <v>36.54</v>
      </c>
      <c r="J1790" s="79">
        <v>274.96000000000004</v>
      </c>
      <c r="K1790" s="79">
        <v>0</v>
      </c>
      <c r="L1790" s="70">
        <v>274.96000000000004</v>
      </c>
      <c r="M1790" s="132"/>
      <c r="N1790" s="79">
        <v>238.42000000000002</v>
      </c>
      <c r="O1790" s="79">
        <v>36.54</v>
      </c>
      <c r="P1790" s="79">
        <v>274.96000000000004</v>
      </c>
      <c r="Q1790" s="136"/>
      <c r="R1790" s="79">
        <v>238.42</v>
      </c>
      <c r="S1790" s="79">
        <v>36.53</v>
      </c>
      <c r="T1790" s="79">
        <v>274.95</v>
      </c>
      <c r="U1790" s="79">
        <v>0</v>
      </c>
      <c r="V1790" s="189">
        <v>274.95</v>
      </c>
      <c r="X1790" s="79">
        <v>238.42</v>
      </c>
      <c r="Y1790" s="79">
        <v>36.53</v>
      </c>
      <c r="Z1790" s="79">
        <v>274.95</v>
      </c>
      <c r="AA1790" s="255">
        <v>9.9999999999909051E-3</v>
      </c>
      <c r="AC1790" s="254"/>
    </row>
    <row r="1791" spans="1:29" ht="12">
      <c r="A1791" s="67" t="s">
        <v>13957</v>
      </c>
      <c r="B1791" s="65" t="s">
        <v>13958</v>
      </c>
      <c r="C1791" s="71" t="s">
        <v>103</v>
      </c>
      <c r="D1791" s="78">
        <v>1</v>
      </c>
      <c r="E1791" s="79">
        <v>387.74</v>
      </c>
      <c r="F1791" s="70">
        <v>387.74</v>
      </c>
      <c r="G1791" s="320"/>
      <c r="H1791" s="79">
        <v>351.2</v>
      </c>
      <c r="I1791" s="79">
        <v>36.54</v>
      </c>
      <c r="J1791" s="79">
        <v>387.74</v>
      </c>
      <c r="K1791" s="79">
        <v>0</v>
      </c>
      <c r="L1791" s="70">
        <v>387.74</v>
      </c>
      <c r="M1791" s="132"/>
      <c r="N1791" s="79">
        <v>351.2</v>
      </c>
      <c r="O1791" s="79">
        <v>36.54</v>
      </c>
      <c r="P1791" s="79">
        <v>387.74</v>
      </c>
      <c r="Q1791" s="136"/>
      <c r="R1791" s="79">
        <v>351.2</v>
      </c>
      <c r="S1791" s="79">
        <v>36.53</v>
      </c>
      <c r="T1791" s="79">
        <v>387.73</v>
      </c>
      <c r="U1791" s="79">
        <v>0</v>
      </c>
      <c r="V1791" s="189">
        <v>387.73</v>
      </c>
      <c r="X1791" s="79">
        <v>351.2</v>
      </c>
      <c r="Y1791" s="79">
        <v>36.53</v>
      </c>
      <c r="Z1791" s="79">
        <v>387.73</v>
      </c>
      <c r="AA1791" s="255">
        <v>9.9999999999909051E-3</v>
      </c>
      <c r="AC1791" s="254"/>
    </row>
    <row r="1792" spans="1:29" ht="12">
      <c r="A1792" s="67" t="s">
        <v>13959</v>
      </c>
      <c r="B1792" s="65" t="s">
        <v>13960</v>
      </c>
      <c r="C1792" s="71" t="s">
        <v>103</v>
      </c>
      <c r="D1792" s="78">
        <v>1</v>
      </c>
      <c r="E1792" s="79">
        <v>189.93</v>
      </c>
      <c r="F1792" s="70">
        <v>189.93</v>
      </c>
      <c r="G1792" s="320"/>
      <c r="H1792" s="79">
        <v>153.38999999999999</v>
      </c>
      <c r="I1792" s="79">
        <v>36.54</v>
      </c>
      <c r="J1792" s="79">
        <v>189.92999999999998</v>
      </c>
      <c r="K1792" s="79">
        <v>0</v>
      </c>
      <c r="L1792" s="70">
        <v>189.92999999999998</v>
      </c>
      <c r="M1792" s="132"/>
      <c r="N1792" s="79">
        <v>153.38999999999999</v>
      </c>
      <c r="O1792" s="79">
        <v>36.54</v>
      </c>
      <c r="P1792" s="79">
        <v>189.92999999999998</v>
      </c>
      <c r="Q1792" s="136"/>
      <c r="R1792" s="79">
        <v>153.38999999999999</v>
      </c>
      <c r="S1792" s="79">
        <v>36.53</v>
      </c>
      <c r="T1792" s="79">
        <v>189.92</v>
      </c>
      <c r="U1792" s="79">
        <v>0</v>
      </c>
      <c r="V1792" s="189">
        <v>189.92</v>
      </c>
      <c r="X1792" s="79">
        <v>153.38999999999999</v>
      </c>
      <c r="Y1792" s="79">
        <v>36.53</v>
      </c>
      <c r="Z1792" s="79">
        <v>189.92</v>
      </c>
      <c r="AA1792" s="255">
        <v>1.0000000000019327E-2</v>
      </c>
      <c r="AC1792" s="254"/>
    </row>
    <row r="1793" spans="1:31" ht="12">
      <c r="A1793" s="67" t="s">
        <v>13961</v>
      </c>
      <c r="B1793" s="65" t="s">
        <v>13962</v>
      </c>
      <c r="C1793" s="71" t="s">
        <v>103</v>
      </c>
      <c r="D1793" s="78">
        <v>1</v>
      </c>
      <c r="E1793" s="79">
        <v>127.96000000000001</v>
      </c>
      <c r="F1793" s="70">
        <v>127.96</v>
      </c>
      <c r="G1793" s="320"/>
      <c r="H1793" s="79">
        <v>91.419999999999987</v>
      </c>
      <c r="I1793" s="79">
        <v>36.54</v>
      </c>
      <c r="J1793" s="79">
        <v>127.95999999999998</v>
      </c>
      <c r="K1793" s="79">
        <v>0</v>
      </c>
      <c r="L1793" s="70">
        <v>127.95999999999998</v>
      </c>
      <c r="M1793" s="132"/>
      <c r="N1793" s="79">
        <v>91.419999999999987</v>
      </c>
      <c r="O1793" s="79">
        <v>36.54</v>
      </c>
      <c r="P1793" s="79">
        <v>127.95999999999998</v>
      </c>
      <c r="Q1793" s="136"/>
      <c r="R1793" s="79">
        <v>91.42</v>
      </c>
      <c r="S1793" s="79">
        <v>36.53</v>
      </c>
      <c r="T1793" s="79">
        <v>127.95</v>
      </c>
      <c r="U1793" s="79">
        <v>0</v>
      </c>
      <c r="V1793" s="189">
        <v>127.95</v>
      </c>
      <c r="X1793" s="79">
        <v>91.42</v>
      </c>
      <c r="Y1793" s="79">
        <v>36.53</v>
      </c>
      <c r="Z1793" s="79">
        <v>127.95</v>
      </c>
      <c r="AA1793" s="255">
        <v>9.9999999999909051E-3</v>
      </c>
      <c r="AC1793" s="254"/>
    </row>
    <row r="1794" spans="1:31" ht="12">
      <c r="A1794" s="67" t="s">
        <v>13963</v>
      </c>
      <c r="B1794" s="65" t="s">
        <v>13964</v>
      </c>
      <c r="C1794" s="71" t="s">
        <v>103</v>
      </c>
      <c r="D1794" s="78">
        <v>1</v>
      </c>
      <c r="E1794" s="79">
        <v>454.82</v>
      </c>
      <c r="F1794" s="70">
        <v>454.82</v>
      </c>
      <c r="G1794" s="320"/>
      <c r="H1794" s="79">
        <v>418.28</v>
      </c>
      <c r="I1794" s="79">
        <v>36.54</v>
      </c>
      <c r="J1794" s="79">
        <v>454.82</v>
      </c>
      <c r="K1794" s="79">
        <v>0</v>
      </c>
      <c r="L1794" s="70">
        <v>454.82</v>
      </c>
      <c r="M1794" s="132"/>
      <c r="N1794" s="79">
        <v>418.28</v>
      </c>
      <c r="O1794" s="79">
        <v>36.54</v>
      </c>
      <c r="P1794" s="79">
        <v>454.82</v>
      </c>
      <c r="Q1794" s="136"/>
      <c r="R1794" s="79">
        <v>418.28</v>
      </c>
      <c r="S1794" s="79">
        <v>36.53</v>
      </c>
      <c r="T1794" s="79">
        <v>454.80999999999995</v>
      </c>
      <c r="U1794" s="79">
        <v>0</v>
      </c>
      <c r="V1794" s="189">
        <v>454.80999999999995</v>
      </c>
      <c r="X1794" s="79">
        <v>418.28</v>
      </c>
      <c r="Y1794" s="79">
        <v>36.53</v>
      </c>
      <c r="Z1794" s="79">
        <v>454.81</v>
      </c>
      <c r="AA1794" s="255">
        <v>9.9999999999909051E-3</v>
      </c>
      <c r="AC1794" s="254"/>
    </row>
    <row r="1795" spans="1:31" ht="12">
      <c r="A1795" s="67" t="s">
        <v>13965</v>
      </c>
      <c r="B1795" s="65" t="s">
        <v>28063</v>
      </c>
      <c r="C1795" s="71" t="s">
        <v>103</v>
      </c>
      <c r="D1795" s="78">
        <v>1</v>
      </c>
      <c r="E1795" s="79">
        <v>171.85000000000002</v>
      </c>
      <c r="F1795" s="70">
        <v>171.85</v>
      </c>
      <c r="G1795" s="320"/>
      <c r="H1795" s="79">
        <v>135.31</v>
      </c>
      <c r="I1795" s="79">
        <v>36.54</v>
      </c>
      <c r="J1795" s="79">
        <v>171.85</v>
      </c>
      <c r="K1795" s="79">
        <v>0</v>
      </c>
      <c r="L1795" s="70">
        <v>171.85</v>
      </c>
      <c r="M1795" s="132"/>
      <c r="N1795" s="79">
        <v>135.31</v>
      </c>
      <c r="O1795" s="79">
        <v>36.54</v>
      </c>
      <c r="P1795" s="79">
        <v>171.85</v>
      </c>
      <c r="Q1795" s="136"/>
      <c r="R1795" s="79">
        <v>135.31</v>
      </c>
      <c r="S1795" s="79">
        <v>36.53</v>
      </c>
      <c r="T1795" s="79">
        <v>171.84</v>
      </c>
      <c r="U1795" s="79">
        <v>0</v>
      </c>
      <c r="V1795" s="189">
        <v>171.84</v>
      </c>
      <c r="X1795" s="79">
        <v>135.31</v>
      </c>
      <c r="Y1795" s="79">
        <v>36.53</v>
      </c>
      <c r="Z1795" s="79">
        <v>171.84</v>
      </c>
      <c r="AA1795" s="255">
        <v>9.9999999999909051E-3</v>
      </c>
      <c r="AC1795" s="254"/>
    </row>
    <row r="1796" spans="1:31" ht="12">
      <c r="A1796" s="489" t="s">
        <v>13966</v>
      </c>
      <c r="B1796" s="490" t="s">
        <v>13967</v>
      </c>
      <c r="C1796" s="491"/>
      <c r="D1796" s="492"/>
      <c r="E1796" s="79"/>
      <c r="F1796" s="63"/>
      <c r="G1796" s="320"/>
      <c r="H1796" s="79"/>
      <c r="I1796" s="79"/>
      <c r="J1796" s="79"/>
      <c r="K1796" s="79"/>
      <c r="L1796" s="70"/>
      <c r="M1796" s="132"/>
      <c r="N1796" s="79"/>
      <c r="O1796" s="79"/>
      <c r="P1796" s="79"/>
      <c r="Q1796" s="136"/>
      <c r="R1796" s="79"/>
      <c r="S1796" s="79"/>
      <c r="T1796" s="79"/>
      <c r="U1796" s="79"/>
      <c r="V1796" s="189"/>
      <c r="X1796" s="79"/>
      <c r="Y1796" s="79"/>
      <c r="Z1796" s="79"/>
      <c r="AA1796" s="255"/>
      <c r="AC1796" s="254"/>
    </row>
    <row r="1797" spans="1:31" ht="12">
      <c r="A1797" s="67" t="s">
        <v>13968</v>
      </c>
      <c r="B1797" s="65" t="s">
        <v>13969</v>
      </c>
      <c r="C1797" s="71" t="s">
        <v>165</v>
      </c>
      <c r="D1797" s="78">
        <v>1</v>
      </c>
      <c r="E1797" s="79">
        <v>66.389999999999986</v>
      </c>
      <c r="F1797" s="70">
        <v>66.39</v>
      </c>
      <c r="G1797" s="320"/>
      <c r="H1797" s="79">
        <v>29.85</v>
      </c>
      <c r="I1797" s="79">
        <v>36.54</v>
      </c>
      <c r="J1797" s="79">
        <v>66.39</v>
      </c>
      <c r="K1797" s="79">
        <v>0</v>
      </c>
      <c r="L1797" s="70">
        <v>66.39</v>
      </c>
      <c r="M1797" s="132"/>
      <c r="N1797" s="79">
        <v>29.85</v>
      </c>
      <c r="O1797" s="79">
        <v>36.54</v>
      </c>
      <c r="P1797" s="79">
        <v>66.39</v>
      </c>
      <c r="Q1797" s="136"/>
      <c r="R1797" s="79">
        <v>29.85</v>
      </c>
      <c r="S1797" s="79">
        <v>36.53</v>
      </c>
      <c r="T1797" s="79">
        <v>66.38</v>
      </c>
      <c r="U1797" s="79">
        <v>0</v>
      </c>
      <c r="V1797" s="189">
        <v>66.38</v>
      </c>
      <c r="X1797" s="79">
        <v>29.85</v>
      </c>
      <c r="Y1797" s="79">
        <v>36.53</v>
      </c>
      <c r="Z1797" s="79">
        <v>66.38</v>
      </c>
      <c r="AA1797" s="255">
        <v>1.0000000000005116E-2</v>
      </c>
      <c r="AC1797" s="254"/>
    </row>
    <row r="1798" spans="1:31" ht="12">
      <c r="A1798" s="67" t="s">
        <v>13970</v>
      </c>
      <c r="B1798" s="65" t="s">
        <v>13971</v>
      </c>
      <c r="C1798" s="71" t="s">
        <v>165</v>
      </c>
      <c r="D1798" s="78">
        <v>1</v>
      </c>
      <c r="E1798" s="79">
        <v>77.210000000000008</v>
      </c>
      <c r="F1798" s="70">
        <v>77.209999999999994</v>
      </c>
      <c r="G1798" s="320"/>
      <c r="H1798" s="79">
        <v>40.67</v>
      </c>
      <c r="I1798" s="79">
        <v>36.54</v>
      </c>
      <c r="J1798" s="79">
        <v>77.210000000000008</v>
      </c>
      <c r="K1798" s="79">
        <v>0</v>
      </c>
      <c r="L1798" s="70">
        <v>77.210000000000008</v>
      </c>
      <c r="M1798" s="132"/>
      <c r="N1798" s="79">
        <v>40.67</v>
      </c>
      <c r="O1798" s="79">
        <v>36.54</v>
      </c>
      <c r="P1798" s="79">
        <v>77.210000000000008</v>
      </c>
      <c r="Q1798" s="136"/>
      <c r="R1798" s="79">
        <v>40.67</v>
      </c>
      <c r="S1798" s="79">
        <v>36.53</v>
      </c>
      <c r="T1798" s="79">
        <v>77.2</v>
      </c>
      <c r="U1798" s="79">
        <v>0</v>
      </c>
      <c r="V1798" s="189">
        <v>77.2</v>
      </c>
      <c r="X1798" s="79">
        <v>40.67</v>
      </c>
      <c r="Y1798" s="79">
        <v>36.53</v>
      </c>
      <c r="Z1798" s="79">
        <v>77.2</v>
      </c>
      <c r="AA1798" s="255">
        <v>9.9999999999909051E-3</v>
      </c>
      <c r="AC1798" s="254"/>
    </row>
    <row r="1799" spans="1:31" ht="12">
      <c r="A1799" s="67" t="s">
        <v>13972</v>
      </c>
      <c r="B1799" s="65" t="s">
        <v>13973</v>
      </c>
      <c r="C1799" s="71" t="s">
        <v>165</v>
      </c>
      <c r="D1799" s="78">
        <v>1</v>
      </c>
      <c r="E1799" s="79">
        <v>80.100000000000009</v>
      </c>
      <c r="F1799" s="70">
        <v>80.099999999999994</v>
      </c>
      <c r="G1799" s="320"/>
      <c r="H1799" s="79">
        <v>43.559999999999995</v>
      </c>
      <c r="I1799" s="79">
        <v>36.54</v>
      </c>
      <c r="J1799" s="79">
        <v>80.099999999999994</v>
      </c>
      <c r="K1799" s="79">
        <v>0</v>
      </c>
      <c r="L1799" s="70">
        <v>80.099999999999994</v>
      </c>
      <c r="M1799" s="132"/>
      <c r="N1799" s="79">
        <v>43.559999999999995</v>
      </c>
      <c r="O1799" s="79">
        <v>36.54</v>
      </c>
      <c r="P1799" s="79">
        <v>80.099999999999994</v>
      </c>
      <c r="Q1799" s="136"/>
      <c r="R1799" s="79">
        <v>43.56</v>
      </c>
      <c r="S1799" s="79">
        <v>36.53</v>
      </c>
      <c r="T1799" s="79">
        <v>80.09</v>
      </c>
      <c r="U1799" s="79">
        <v>0</v>
      </c>
      <c r="V1799" s="189">
        <v>80.09</v>
      </c>
      <c r="X1799" s="79">
        <v>43.56</v>
      </c>
      <c r="Y1799" s="79">
        <v>36.53</v>
      </c>
      <c r="Z1799" s="79">
        <v>80.09</v>
      </c>
      <c r="AA1799" s="255">
        <v>9.9999999999909051E-3</v>
      </c>
      <c r="AC1799" s="254"/>
    </row>
    <row r="1800" spans="1:31" ht="24">
      <c r="A1800" s="67" t="s">
        <v>13974</v>
      </c>
      <c r="B1800" s="65" t="s">
        <v>13975</v>
      </c>
      <c r="C1800" s="71" t="s">
        <v>165</v>
      </c>
      <c r="D1800" s="78">
        <v>1</v>
      </c>
      <c r="E1800" s="79">
        <v>216.23</v>
      </c>
      <c r="F1800" s="70">
        <v>216.23</v>
      </c>
      <c r="G1800" s="320"/>
      <c r="H1800" s="79">
        <v>157.69</v>
      </c>
      <c r="I1800" s="79">
        <v>58.54</v>
      </c>
      <c r="J1800" s="79">
        <v>216.23</v>
      </c>
      <c r="K1800" s="79">
        <v>0</v>
      </c>
      <c r="L1800" s="70">
        <v>216.23</v>
      </c>
      <c r="M1800" s="132"/>
      <c r="N1800" s="79">
        <v>157.69</v>
      </c>
      <c r="O1800" s="79">
        <v>58.54</v>
      </c>
      <c r="P1800" s="79">
        <v>216.23</v>
      </c>
      <c r="Q1800" s="136"/>
      <c r="R1800" s="79">
        <v>157.69</v>
      </c>
      <c r="S1800" s="79">
        <v>58.53</v>
      </c>
      <c r="T1800" s="79">
        <v>216.22</v>
      </c>
      <c r="U1800" s="79">
        <v>0</v>
      </c>
      <c r="V1800" s="189">
        <v>216.22</v>
      </c>
      <c r="X1800" s="79">
        <v>157.69</v>
      </c>
      <c r="Y1800" s="79">
        <v>58.53</v>
      </c>
      <c r="Z1800" s="79">
        <v>216.22</v>
      </c>
      <c r="AA1800" s="255">
        <v>9.9999999999909051E-3</v>
      </c>
      <c r="AC1800" s="254"/>
      <c r="AD1800" s="61"/>
      <c r="AE1800" s="61"/>
    </row>
    <row r="1801" spans="1:31" ht="24">
      <c r="A1801" s="67" t="s">
        <v>13976</v>
      </c>
      <c r="B1801" s="65" t="s">
        <v>13977</v>
      </c>
      <c r="C1801" s="71" t="s">
        <v>509</v>
      </c>
      <c r="D1801" s="78">
        <v>1</v>
      </c>
      <c r="E1801" s="79">
        <v>238.41</v>
      </c>
      <c r="F1801" s="70">
        <v>238.41</v>
      </c>
      <c r="G1801" s="320"/>
      <c r="H1801" s="79">
        <v>238.41</v>
      </c>
      <c r="I1801" s="79">
        <v>0</v>
      </c>
      <c r="J1801" s="79">
        <v>238.41</v>
      </c>
      <c r="K1801" s="79">
        <v>0</v>
      </c>
      <c r="L1801" s="70">
        <v>238.41</v>
      </c>
      <c r="M1801" s="132"/>
      <c r="N1801" s="79">
        <v>238.41</v>
      </c>
      <c r="O1801" s="79"/>
      <c r="P1801" s="79">
        <v>238.41</v>
      </c>
      <c r="Q1801" s="136"/>
      <c r="R1801" s="79">
        <v>238.41</v>
      </c>
      <c r="S1801" s="79"/>
      <c r="T1801" s="79">
        <v>238.41</v>
      </c>
      <c r="U1801" s="79">
        <v>0</v>
      </c>
      <c r="V1801" s="189">
        <v>238.41</v>
      </c>
      <c r="X1801" s="79">
        <v>238.41</v>
      </c>
      <c r="Y1801" s="79"/>
      <c r="Z1801" s="79">
        <v>238.41</v>
      </c>
      <c r="AA1801" s="255">
        <v>0</v>
      </c>
      <c r="AC1801" s="254"/>
    </row>
    <row r="1802" spans="1:31" s="61" customFormat="1" ht="24">
      <c r="A1802" s="67" t="s">
        <v>13978</v>
      </c>
      <c r="B1802" s="65" t="s">
        <v>13979</v>
      </c>
      <c r="C1802" s="71" t="s">
        <v>509</v>
      </c>
      <c r="D1802" s="78">
        <v>1</v>
      </c>
      <c r="E1802" s="79">
        <v>248.96</v>
      </c>
      <c r="F1802" s="70">
        <v>248.96</v>
      </c>
      <c r="G1802" s="320"/>
      <c r="H1802" s="79">
        <v>248.96</v>
      </c>
      <c r="I1802" s="79">
        <v>0</v>
      </c>
      <c r="J1802" s="79">
        <v>248.96</v>
      </c>
      <c r="K1802" s="79">
        <v>0</v>
      </c>
      <c r="L1802" s="70">
        <v>248.96</v>
      </c>
      <c r="M1802" s="132"/>
      <c r="N1802" s="79">
        <v>248.96</v>
      </c>
      <c r="O1802" s="79"/>
      <c r="P1802" s="79">
        <v>248.96</v>
      </c>
      <c r="Q1802" s="136"/>
      <c r="R1802" s="79">
        <v>248.96</v>
      </c>
      <c r="S1802" s="79"/>
      <c r="T1802" s="79">
        <v>248.96</v>
      </c>
      <c r="U1802" s="79">
        <v>0</v>
      </c>
      <c r="V1802" s="189">
        <v>248.96</v>
      </c>
      <c r="X1802" s="79">
        <v>248.96</v>
      </c>
      <c r="Y1802" s="79"/>
      <c r="Z1802" s="79">
        <v>248.96</v>
      </c>
      <c r="AA1802" s="255">
        <v>0</v>
      </c>
      <c r="AC1802" s="254"/>
    </row>
    <row r="1803" spans="1:31" ht="12">
      <c r="A1803" s="67" t="s">
        <v>13980</v>
      </c>
      <c r="B1803" s="65" t="s">
        <v>13981</v>
      </c>
      <c r="C1803" s="71" t="s">
        <v>509</v>
      </c>
      <c r="D1803" s="78">
        <v>1</v>
      </c>
      <c r="E1803" s="79">
        <v>220.89</v>
      </c>
      <c r="F1803" s="70">
        <v>220.89</v>
      </c>
      <c r="G1803" s="320"/>
      <c r="H1803" s="79">
        <v>220.89</v>
      </c>
      <c r="I1803" s="79">
        <v>0</v>
      </c>
      <c r="J1803" s="79">
        <v>220.89</v>
      </c>
      <c r="K1803" s="79">
        <v>0</v>
      </c>
      <c r="L1803" s="70">
        <v>220.89</v>
      </c>
      <c r="M1803" s="132"/>
      <c r="N1803" s="79">
        <v>220.89</v>
      </c>
      <c r="O1803" s="79"/>
      <c r="P1803" s="79">
        <v>220.89</v>
      </c>
      <c r="Q1803" s="136"/>
      <c r="R1803" s="79">
        <v>220.89</v>
      </c>
      <c r="S1803" s="79"/>
      <c r="T1803" s="79">
        <v>220.89</v>
      </c>
      <c r="U1803" s="79">
        <v>0</v>
      </c>
      <c r="V1803" s="189">
        <v>220.89</v>
      </c>
      <c r="X1803" s="79">
        <v>220.89</v>
      </c>
      <c r="Y1803" s="79"/>
      <c r="Z1803" s="79">
        <v>220.89</v>
      </c>
      <c r="AA1803" s="255">
        <v>0</v>
      </c>
      <c r="AC1803" s="254"/>
      <c r="AD1803" s="61"/>
      <c r="AE1803" s="61"/>
    </row>
    <row r="1804" spans="1:31" s="61" customFormat="1" ht="12">
      <c r="A1804" s="67" t="s">
        <v>13982</v>
      </c>
      <c r="B1804" s="65" t="s">
        <v>13983</v>
      </c>
      <c r="C1804" s="71" t="s">
        <v>165</v>
      </c>
      <c r="D1804" s="78">
        <v>1</v>
      </c>
      <c r="E1804" s="79">
        <v>45.66</v>
      </c>
      <c r="F1804" s="70">
        <v>45.66</v>
      </c>
      <c r="G1804" s="320"/>
      <c r="H1804" s="79">
        <v>45.66</v>
      </c>
      <c r="I1804" s="79">
        <v>0</v>
      </c>
      <c r="J1804" s="79">
        <v>45.66</v>
      </c>
      <c r="K1804" s="79">
        <v>0</v>
      </c>
      <c r="L1804" s="70">
        <v>45.66</v>
      </c>
      <c r="M1804" s="132"/>
      <c r="N1804" s="79">
        <v>45.66</v>
      </c>
      <c r="O1804" s="79"/>
      <c r="P1804" s="79">
        <v>45.66</v>
      </c>
      <c r="Q1804" s="136"/>
      <c r="R1804" s="79">
        <v>45.66</v>
      </c>
      <c r="S1804" s="79"/>
      <c r="T1804" s="79">
        <v>45.66</v>
      </c>
      <c r="U1804" s="79">
        <v>0</v>
      </c>
      <c r="V1804" s="189">
        <v>45.66</v>
      </c>
      <c r="X1804" s="79">
        <v>45.66</v>
      </c>
      <c r="Y1804" s="79"/>
      <c r="Z1804" s="79">
        <v>45.66</v>
      </c>
      <c r="AA1804" s="255">
        <v>0</v>
      </c>
      <c r="AC1804" s="254"/>
      <c r="AD1804" s="236"/>
      <c r="AE1804" s="236"/>
    </row>
    <row r="1805" spans="1:31" s="61" customFormat="1" ht="24">
      <c r="A1805" s="67" t="s">
        <v>13984</v>
      </c>
      <c r="B1805" s="65" t="s">
        <v>13985</v>
      </c>
      <c r="C1805" s="71" t="s">
        <v>509</v>
      </c>
      <c r="D1805" s="78">
        <v>1</v>
      </c>
      <c r="E1805" s="79">
        <v>330.25</v>
      </c>
      <c r="F1805" s="70">
        <v>330.25</v>
      </c>
      <c r="G1805" s="320"/>
      <c r="H1805" s="79">
        <v>330.25</v>
      </c>
      <c r="I1805" s="79">
        <v>0</v>
      </c>
      <c r="J1805" s="79">
        <v>330.25</v>
      </c>
      <c r="K1805" s="79">
        <v>0</v>
      </c>
      <c r="L1805" s="70">
        <v>330.25</v>
      </c>
      <c r="M1805" s="132"/>
      <c r="N1805" s="79">
        <v>330.25</v>
      </c>
      <c r="O1805" s="79"/>
      <c r="P1805" s="79">
        <v>330.25</v>
      </c>
      <c r="Q1805" s="136"/>
      <c r="R1805" s="79">
        <v>330.25</v>
      </c>
      <c r="S1805" s="79"/>
      <c r="T1805" s="79">
        <v>330.25</v>
      </c>
      <c r="U1805" s="79">
        <v>0</v>
      </c>
      <c r="V1805" s="189">
        <v>330.25</v>
      </c>
      <c r="X1805" s="79">
        <v>330.25</v>
      </c>
      <c r="Y1805" s="79"/>
      <c r="Z1805" s="79">
        <v>330.25</v>
      </c>
      <c r="AA1805" s="255">
        <v>0</v>
      </c>
      <c r="AC1805" s="254"/>
      <c r="AD1805" s="236"/>
      <c r="AE1805" s="236"/>
    </row>
    <row r="1806" spans="1:31" ht="12">
      <c r="A1806" s="67" t="s">
        <v>13986</v>
      </c>
      <c r="B1806" s="65" t="s">
        <v>13987</v>
      </c>
      <c r="C1806" s="71" t="s">
        <v>509</v>
      </c>
      <c r="D1806" s="78">
        <v>1</v>
      </c>
      <c r="E1806" s="79">
        <v>464.2</v>
      </c>
      <c r="F1806" s="70">
        <v>464.2</v>
      </c>
      <c r="G1806" s="320"/>
      <c r="H1806" s="79">
        <v>388.93</v>
      </c>
      <c r="I1806" s="79">
        <v>75.27000000000001</v>
      </c>
      <c r="J1806" s="79">
        <v>464.20000000000005</v>
      </c>
      <c r="K1806" s="79">
        <v>0</v>
      </c>
      <c r="L1806" s="70">
        <v>464.20000000000005</v>
      </c>
      <c r="M1806" s="132"/>
      <c r="N1806" s="79">
        <v>388.93</v>
      </c>
      <c r="O1806" s="79">
        <v>75.27000000000001</v>
      </c>
      <c r="P1806" s="79">
        <v>464.20000000000005</v>
      </c>
      <c r="Q1806" s="136"/>
      <c r="R1806" s="79">
        <v>388.93</v>
      </c>
      <c r="S1806" s="79">
        <v>75.28</v>
      </c>
      <c r="T1806" s="79">
        <v>464.21000000000004</v>
      </c>
      <c r="U1806" s="79">
        <v>0</v>
      </c>
      <c r="V1806" s="189">
        <v>464.21000000000004</v>
      </c>
      <c r="X1806" s="79">
        <v>388.93</v>
      </c>
      <c r="Y1806" s="79">
        <v>75.28</v>
      </c>
      <c r="Z1806" s="79">
        <v>464.21</v>
      </c>
      <c r="AA1806" s="255">
        <v>-9.9999999999909051E-3</v>
      </c>
      <c r="AC1806" s="254"/>
    </row>
    <row r="1807" spans="1:31" ht="12">
      <c r="A1807" s="67" t="s">
        <v>13988</v>
      </c>
      <c r="B1807" s="65" t="s">
        <v>13989</v>
      </c>
      <c r="C1807" s="71" t="s">
        <v>509</v>
      </c>
      <c r="D1807" s="78">
        <v>1</v>
      </c>
      <c r="E1807" s="79">
        <v>238.03</v>
      </c>
      <c r="F1807" s="70">
        <v>238.03</v>
      </c>
      <c r="G1807" s="320"/>
      <c r="H1807" s="79">
        <v>238.03</v>
      </c>
      <c r="I1807" s="79">
        <v>0</v>
      </c>
      <c r="J1807" s="79">
        <v>238.03</v>
      </c>
      <c r="K1807" s="79">
        <v>0</v>
      </c>
      <c r="L1807" s="70">
        <v>238.03</v>
      </c>
      <c r="M1807" s="132"/>
      <c r="N1807" s="79">
        <v>238.03</v>
      </c>
      <c r="O1807" s="79"/>
      <c r="P1807" s="79">
        <v>238.03</v>
      </c>
      <c r="Q1807" s="136"/>
      <c r="R1807" s="79">
        <v>238.03</v>
      </c>
      <c r="S1807" s="79"/>
      <c r="T1807" s="79">
        <v>238.03</v>
      </c>
      <c r="U1807" s="79">
        <v>0</v>
      </c>
      <c r="V1807" s="189">
        <v>238.03</v>
      </c>
      <c r="X1807" s="79">
        <v>238.03</v>
      </c>
      <c r="Y1807" s="79"/>
      <c r="Z1807" s="79">
        <v>238.03</v>
      </c>
      <c r="AA1807" s="255">
        <v>0</v>
      </c>
      <c r="AC1807" s="254"/>
    </row>
    <row r="1808" spans="1:31" ht="24">
      <c r="A1808" s="67" t="s">
        <v>13990</v>
      </c>
      <c r="B1808" s="65" t="s">
        <v>13991</v>
      </c>
      <c r="C1808" s="71" t="s">
        <v>509</v>
      </c>
      <c r="D1808" s="78">
        <v>1</v>
      </c>
      <c r="E1808" s="79">
        <v>1707.0900000000001</v>
      </c>
      <c r="F1808" s="70">
        <v>1707.09</v>
      </c>
      <c r="G1808" s="320"/>
      <c r="H1808" s="79">
        <v>1594.69</v>
      </c>
      <c r="I1808" s="79">
        <v>112.4</v>
      </c>
      <c r="J1808" s="79">
        <v>1707.0900000000001</v>
      </c>
      <c r="K1808" s="79">
        <v>0</v>
      </c>
      <c r="L1808" s="70">
        <v>1707.0900000000001</v>
      </c>
      <c r="M1808" s="132"/>
      <c r="N1808" s="79">
        <v>1594.69</v>
      </c>
      <c r="O1808" s="79">
        <v>112.4</v>
      </c>
      <c r="P1808" s="79">
        <v>1707.0900000000001</v>
      </c>
      <c r="Q1808" s="136"/>
      <c r="R1808" s="79">
        <v>1594.69</v>
      </c>
      <c r="S1808" s="79">
        <v>112.41</v>
      </c>
      <c r="T1808" s="79">
        <v>1707.1000000000001</v>
      </c>
      <c r="U1808" s="79">
        <v>0</v>
      </c>
      <c r="V1808" s="189">
        <v>1707.1000000000001</v>
      </c>
      <c r="X1808" s="79">
        <v>1594.69</v>
      </c>
      <c r="Y1808" s="79">
        <v>112.41</v>
      </c>
      <c r="Z1808" s="79">
        <v>1707.1</v>
      </c>
      <c r="AA1808" s="255">
        <v>-9.9999999999909051E-3</v>
      </c>
      <c r="AC1808" s="254"/>
    </row>
    <row r="1809" spans="1:31" ht="24">
      <c r="A1809" s="67" t="s">
        <v>13992</v>
      </c>
      <c r="B1809" s="65" t="s">
        <v>13993</v>
      </c>
      <c r="C1809" s="71" t="s">
        <v>509</v>
      </c>
      <c r="D1809" s="78">
        <v>1</v>
      </c>
      <c r="E1809" s="79">
        <v>1185.8800000000001</v>
      </c>
      <c r="F1809" s="70">
        <v>1185.8800000000001</v>
      </c>
      <c r="G1809" s="320"/>
      <c r="H1809" s="79">
        <v>1073.48</v>
      </c>
      <c r="I1809" s="79">
        <v>112.4</v>
      </c>
      <c r="J1809" s="79">
        <v>1185.8800000000001</v>
      </c>
      <c r="K1809" s="79">
        <v>0</v>
      </c>
      <c r="L1809" s="70">
        <v>1185.8800000000001</v>
      </c>
      <c r="M1809" s="132"/>
      <c r="N1809" s="79">
        <v>1073.48</v>
      </c>
      <c r="O1809" s="79">
        <v>112.4</v>
      </c>
      <c r="P1809" s="79">
        <v>1185.8800000000001</v>
      </c>
      <c r="Q1809" s="136"/>
      <c r="R1809" s="79">
        <v>1073.48</v>
      </c>
      <c r="S1809" s="79">
        <v>112.41</v>
      </c>
      <c r="T1809" s="79">
        <v>1185.8900000000001</v>
      </c>
      <c r="U1809" s="79">
        <v>0</v>
      </c>
      <c r="V1809" s="189">
        <v>1185.8900000000001</v>
      </c>
      <c r="X1809" s="79">
        <v>1073.48</v>
      </c>
      <c r="Y1809" s="79">
        <v>112.41</v>
      </c>
      <c r="Z1809" s="79">
        <v>1185.8900000000001</v>
      </c>
      <c r="AA1809" s="255">
        <v>-9.9999999999909051E-3</v>
      </c>
      <c r="AC1809" s="254"/>
    </row>
    <row r="1810" spans="1:31" ht="12">
      <c r="A1810" s="67" t="s">
        <v>13994</v>
      </c>
      <c r="B1810" s="65" t="s">
        <v>13995</v>
      </c>
      <c r="C1810" s="71" t="s">
        <v>509</v>
      </c>
      <c r="D1810" s="78">
        <v>1</v>
      </c>
      <c r="E1810" s="79">
        <v>594.09</v>
      </c>
      <c r="F1810" s="70">
        <v>594.09</v>
      </c>
      <c r="G1810" s="320"/>
      <c r="H1810" s="79">
        <v>550.04</v>
      </c>
      <c r="I1810" s="79">
        <v>44.05</v>
      </c>
      <c r="J1810" s="79">
        <v>594.08999999999992</v>
      </c>
      <c r="K1810" s="79">
        <v>0</v>
      </c>
      <c r="L1810" s="70">
        <v>594.08999999999992</v>
      </c>
      <c r="M1810" s="132"/>
      <c r="N1810" s="79">
        <v>550.04</v>
      </c>
      <c r="O1810" s="79">
        <v>44.05</v>
      </c>
      <c r="P1810" s="79">
        <v>594.08999999999992</v>
      </c>
      <c r="Q1810" s="136"/>
      <c r="R1810" s="79">
        <v>550.04</v>
      </c>
      <c r="S1810" s="79">
        <v>44.08</v>
      </c>
      <c r="T1810" s="79">
        <v>594.12</v>
      </c>
      <c r="U1810" s="79">
        <v>0</v>
      </c>
      <c r="V1810" s="189">
        <v>594.12</v>
      </c>
      <c r="X1810" s="79">
        <v>550.04</v>
      </c>
      <c r="Y1810" s="79">
        <v>44.08</v>
      </c>
      <c r="Z1810" s="79">
        <v>594.12</v>
      </c>
      <c r="AA1810" s="255">
        <v>-2.9999999999972715E-2</v>
      </c>
      <c r="AC1810" s="254"/>
    </row>
    <row r="1811" spans="1:31" ht="12">
      <c r="A1811" s="67" t="s">
        <v>13996</v>
      </c>
      <c r="B1811" s="65" t="s">
        <v>13997</v>
      </c>
      <c r="C1811" s="71" t="s">
        <v>509</v>
      </c>
      <c r="D1811" s="78">
        <v>1</v>
      </c>
      <c r="E1811" s="79">
        <v>816.42</v>
      </c>
      <c r="F1811" s="70">
        <v>816.42</v>
      </c>
      <c r="G1811" s="320"/>
      <c r="H1811" s="79">
        <v>778.09999999999991</v>
      </c>
      <c r="I1811" s="79">
        <v>38.32</v>
      </c>
      <c r="J1811" s="79">
        <v>816.42</v>
      </c>
      <c r="K1811" s="79">
        <v>0</v>
      </c>
      <c r="L1811" s="70">
        <v>816.42</v>
      </c>
      <c r="M1811" s="132"/>
      <c r="N1811" s="79">
        <v>778.09999999999991</v>
      </c>
      <c r="O1811" s="79">
        <v>38.32</v>
      </c>
      <c r="P1811" s="79">
        <v>816.42</v>
      </c>
      <c r="Q1811" s="136"/>
      <c r="R1811" s="79">
        <v>778.1</v>
      </c>
      <c r="S1811" s="79">
        <v>38.340000000000003</v>
      </c>
      <c r="T1811" s="79">
        <v>816.44</v>
      </c>
      <c r="U1811" s="79">
        <v>0</v>
      </c>
      <c r="V1811" s="189">
        <v>816.44</v>
      </c>
      <c r="X1811" s="79">
        <v>778.1</v>
      </c>
      <c r="Y1811" s="79">
        <v>38.340000000000003</v>
      </c>
      <c r="Z1811" s="79">
        <v>816.44</v>
      </c>
      <c r="AA1811" s="255">
        <v>-2.0000000000095497E-2</v>
      </c>
      <c r="AC1811" s="254"/>
    </row>
    <row r="1812" spans="1:31" ht="12">
      <c r="A1812" s="67" t="s">
        <v>28064</v>
      </c>
      <c r="B1812" s="65" t="s">
        <v>28065</v>
      </c>
      <c r="C1812" s="71" t="s">
        <v>103</v>
      </c>
      <c r="D1812" s="78">
        <v>1</v>
      </c>
      <c r="E1812" s="79">
        <v>742.54000000000008</v>
      </c>
      <c r="F1812" s="70">
        <v>742.54</v>
      </c>
      <c r="G1812" s="320"/>
      <c r="H1812" s="79">
        <v>591.86</v>
      </c>
      <c r="I1812" s="79">
        <v>150.68</v>
      </c>
      <c r="J1812" s="79">
        <v>742.54</v>
      </c>
      <c r="K1812" s="79">
        <v>0</v>
      </c>
      <c r="L1812" s="70">
        <v>742.54</v>
      </c>
      <c r="M1812" s="132"/>
      <c r="N1812" s="79">
        <v>591.86</v>
      </c>
      <c r="O1812" s="79">
        <v>150.68</v>
      </c>
      <c r="P1812" s="79">
        <v>742.54</v>
      </c>
      <c r="Q1812" s="136"/>
      <c r="R1812" s="79">
        <v>591.86</v>
      </c>
      <c r="S1812" s="79">
        <v>150.68</v>
      </c>
      <c r="T1812" s="79">
        <v>742.54</v>
      </c>
      <c r="U1812" s="79">
        <v>0</v>
      </c>
      <c r="V1812" s="189">
        <v>742.54</v>
      </c>
      <c r="X1812" s="79">
        <v>591.86</v>
      </c>
      <c r="Y1812" s="79">
        <v>150.68</v>
      </c>
      <c r="Z1812" s="79">
        <v>742.54</v>
      </c>
      <c r="AA1812" s="255">
        <v>0</v>
      </c>
      <c r="AC1812" s="505"/>
    </row>
    <row r="1813" spans="1:31" ht="12">
      <c r="A1813" s="67" t="s">
        <v>13998</v>
      </c>
      <c r="B1813" s="65" t="s">
        <v>13999</v>
      </c>
      <c r="C1813" s="71" t="s">
        <v>509</v>
      </c>
      <c r="D1813" s="78">
        <v>1</v>
      </c>
      <c r="E1813" s="79">
        <v>1535.0499999999997</v>
      </c>
      <c r="F1813" s="70">
        <v>1535.05</v>
      </c>
      <c r="G1813" s="320"/>
      <c r="H1813" s="79">
        <v>1444.3299999999997</v>
      </c>
      <c r="I1813" s="79">
        <v>90.72</v>
      </c>
      <c r="J1813" s="79">
        <v>1535.0499999999997</v>
      </c>
      <c r="K1813" s="79">
        <v>0</v>
      </c>
      <c r="L1813" s="70">
        <v>1535.0499999999997</v>
      </c>
      <c r="M1813" s="132"/>
      <c r="N1813" s="79">
        <v>1444.3299999999997</v>
      </c>
      <c r="O1813" s="79">
        <v>90.72</v>
      </c>
      <c r="P1813" s="79">
        <v>1535.0499999999997</v>
      </c>
      <c r="Q1813" s="136"/>
      <c r="R1813" s="79">
        <v>1444.33</v>
      </c>
      <c r="S1813" s="79">
        <v>90.74</v>
      </c>
      <c r="T1813" s="79">
        <v>1535.07</v>
      </c>
      <c r="U1813" s="79">
        <v>0</v>
      </c>
      <c r="V1813" s="189">
        <v>1535.07</v>
      </c>
      <c r="X1813" s="79">
        <v>1444.33</v>
      </c>
      <c r="Y1813" s="79">
        <v>90.74</v>
      </c>
      <c r="Z1813" s="79">
        <v>1535.07</v>
      </c>
      <c r="AA1813" s="255">
        <v>-1.999999999998181E-2</v>
      </c>
      <c r="AC1813" s="254"/>
    </row>
    <row r="1814" spans="1:31" ht="12">
      <c r="A1814" s="67" t="s">
        <v>14000</v>
      </c>
      <c r="B1814" s="65" t="s">
        <v>14001</v>
      </c>
      <c r="C1814" s="71" t="s">
        <v>509</v>
      </c>
      <c r="D1814" s="78">
        <v>1</v>
      </c>
      <c r="E1814" s="79">
        <v>211.53000000000003</v>
      </c>
      <c r="F1814" s="70">
        <v>211.53</v>
      </c>
      <c r="G1814" s="320"/>
      <c r="H1814" s="79">
        <v>100.88</v>
      </c>
      <c r="I1814" s="79">
        <v>110.65</v>
      </c>
      <c r="J1814" s="79">
        <v>211.53</v>
      </c>
      <c r="K1814" s="79">
        <v>0</v>
      </c>
      <c r="L1814" s="70">
        <v>211.53</v>
      </c>
      <c r="M1814" s="132"/>
      <c r="N1814" s="79">
        <v>100.88</v>
      </c>
      <c r="O1814" s="79">
        <v>110.65</v>
      </c>
      <c r="P1814" s="79">
        <v>211.53</v>
      </c>
      <c r="Q1814" s="136"/>
      <c r="R1814" s="79">
        <v>100.88</v>
      </c>
      <c r="S1814" s="79">
        <v>110.65</v>
      </c>
      <c r="T1814" s="79">
        <v>211.53</v>
      </c>
      <c r="U1814" s="79">
        <v>0</v>
      </c>
      <c r="V1814" s="189">
        <v>211.53</v>
      </c>
      <c r="X1814" s="79">
        <v>100.88</v>
      </c>
      <c r="Y1814" s="79">
        <v>110.65</v>
      </c>
      <c r="Z1814" s="79">
        <v>211.53</v>
      </c>
      <c r="AA1814" s="255">
        <v>0</v>
      </c>
      <c r="AC1814" s="254"/>
    </row>
    <row r="1815" spans="1:31" ht="12">
      <c r="A1815" s="67" t="s">
        <v>14002</v>
      </c>
      <c r="B1815" s="65" t="s">
        <v>14003</v>
      </c>
      <c r="C1815" s="71" t="s">
        <v>165</v>
      </c>
      <c r="D1815" s="78">
        <v>1</v>
      </c>
      <c r="E1815" s="79">
        <v>261.20999999999998</v>
      </c>
      <c r="F1815" s="70">
        <v>261.20999999999998</v>
      </c>
      <c r="G1815" s="320"/>
      <c r="H1815" s="79">
        <v>202.21</v>
      </c>
      <c r="I1815" s="79">
        <v>59</v>
      </c>
      <c r="J1815" s="79">
        <v>261.21000000000004</v>
      </c>
      <c r="K1815" s="79">
        <v>0</v>
      </c>
      <c r="L1815" s="70">
        <v>261.21000000000004</v>
      </c>
      <c r="M1815" s="132"/>
      <c r="N1815" s="79">
        <v>202.21</v>
      </c>
      <c r="O1815" s="79">
        <v>59</v>
      </c>
      <c r="P1815" s="79">
        <v>261.21000000000004</v>
      </c>
      <c r="Q1815" s="136"/>
      <c r="R1815" s="79">
        <v>202.21</v>
      </c>
      <c r="S1815" s="79">
        <v>59.01</v>
      </c>
      <c r="T1815" s="79">
        <v>261.22000000000003</v>
      </c>
      <c r="U1815" s="79">
        <v>0</v>
      </c>
      <c r="V1815" s="189">
        <v>261.22000000000003</v>
      </c>
      <c r="X1815" s="79">
        <v>202.21</v>
      </c>
      <c r="Y1815" s="79">
        <v>59.01</v>
      </c>
      <c r="Z1815" s="79">
        <v>261.22000000000003</v>
      </c>
      <c r="AA1815" s="255">
        <v>-1.0000000000047748E-2</v>
      </c>
      <c r="AC1815" s="254"/>
    </row>
    <row r="1816" spans="1:31" ht="12">
      <c r="A1816" s="67" t="s">
        <v>14004</v>
      </c>
      <c r="B1816" s="490" t="s">
        <v>14005</v>
      </c>
      <c r="C1816" s="71"/>
      <c r="D1816" s="78"/>
      <c r="E1816" s="79"/>
      <c r="F1816" s="70"/>
      <c r="G1816" s="320"/>
      <c r="H1816" s="79"/>
      <c r="I1816" s="79"/>
      <c r="J1816" s="79"/>
      <c r="K1816" s="79"/>
      <c r="L1816" s="70"/>
      <c r="M1816" s="132"/>
      <c r="N1816" s="79"/>
      <c r="O1816" s="79"/>
      <c r="P1816" s="79"/>
      <c r="Q1816" s="136"/>
      <c r="R1816" s="79"/>
      <c r="S1816" s="79"/>
      <c r="T1816" s="79"/>
      <c r="U1816" s="79"/>
      <c r="V1816" s="189"/>
      <c r="X1816" s="79"/>
      <c r="Y1816" s="79"/>
      <c r="Z1816" s="79"/>
      <c r="AA1816" s="255"/>
      <c r="AC1816" s="254"/>
    </row>
    <row r="1817" spans="1:31" ht="12">
      <c r="A1817" s="67" t="s">
        <v>14006</v>
      </c>
      <c r="B1817" s="65" t="s">
        <v>14007</v>
      </c>
      <c r="C1817" s="71" t="s">
        <v>103</v>
      </c>
      <c r="D1817" s="78">
        <v>1</v>
      </c>
      <c r="E1817" s="79">
        <v>283.61</v>
      </c>
      <c r="F1817" s="70">
        <v>283.61</v>
      </c>
      <c r="G1817" s="320"/>
      <c r="H1817" s="79">
        <v>106.96</v>
      </c>
      <c r="I1817" s="79">
        <v>176.65</v>
      </c>
      <c r="J1817" s="79">
        <v>283.61</v>
      </c>
      <c r="K1817" s="79">
        <v>0</v>
      </c>
      <c r="L1817" s="70">
        <v>283.61</v>
      </c>
      <c r="M1817" s="132"/>
      <c r="N1817" s="79">
        <v>106.96</v>
      </c>
      <c r="O1817" s="79">
        <v>176.65</v>
      </c>
      <c r="P1817" s="79">
        <v>283.61</v>
      </c>
      <c r="Q1817" s="136"/>
      <c r="R1817" s="79">
        <v>106.96</v>
      </c>
      <c r="S1817" s="79">
        <v>176.66</v>
      </c>
      <c r="T1817" s="79">
        <v>283.62</v>
      </c>
      <c r="U1817" s="79">
        <v>0</v>
      </c>
      <c r="V1817" s="189">
        <v>283.62</v>
      </c>
      <c r="X1817" s="79">
        <v>106.96</v>
      </c>
      <c r="Y1817" s="79">
        <v>176.66</v>
      </c>
      <c r="Z1817" s="79">
        <v>283.62</v>
      </c>
      <c r="AA1817" s="255">
        <v>-9.9999999999909051E-3</v>
      </c>
      <c r="AC1817" s="254"/>
    </row>
    <row r="1818" spans="1:31" ht="12">
      <c r="A1818" s="67" t="s">
        <v>14008</v>
      </c>
      <c r="B1818" s="65" t="s">
        <v>14009</v>
      </c>
      <c r="C1818" s="71" t="s">
        <v>103</v>
      </c>
      <c r="D1818" s="78">
        <v>1</v>
      </c>
      <c r="E1818" s="79">
        <v>792.89</v>
      </c>
      <c r="F1818" s="70">
        <v>792.89</v>
      </c>
      <c r="G1818" s="320"/>
      <c r="H1818" s="79">
        <v>575.83999999999992</v>
      </c>
      <c r="I1818" s="79">
        <v>217.05</v>
      </c>
      <c r="J1818" s="79">
        <v>792.88999999999987</v>
      </c>
      <c r="K1818" s="79">
        <v>0</v>
      </c>
      <c r="L1818" s="70">
        <v>792.88999999999987</v>
      </c>
      <c r="M1818" s="132"/>
      <c r="N1818" s="79">
        <v>575.83999999999992</v>
      </c>
      <c r="O1818" s="79">
        <v>217.05</v>
      </c>
      <c r="P1818" s="79">
        <v>792.88999999999987</v>
      </c>
      <c r="Q1818" s="136"/>
      <c r="R1818" s="79">
        <v>575.84</v>
      </c>
      <c r="S1818" s="79">
        <v>217.06</v>
      </c>
      <c r="T1818" s="79">
        <v>792.90000000000009</v>
      </c>
      <c r="U1818" s="79">
        <v>0</v>
      </c>
      <c r="V1818" s="189">
        <v>792.90000000000009</v>
      </c>
      <c r="X1818" s="79">
        <v>575.84</v>
      </c>
      <c r="Y1818" s="79">
        <v>217.06</v>
      </c>
      <c r="Z1818" s="79">
        <v>792.9</v>
      </c>
      <c r="AA1818" s="255">
        <v>-9.9999999999909051E-3</v>
      </c>
      <c r="AC1818" s="254"/>
    </row>
    <row r="1819" spans="1:31" ht="12">
      <c r="A1819" s="67" t="s">
        <v>14010</v>
      </c>
      <c r="B1819" s="65" t="s">
        <v>14011</v>
      </c>
      <c r="C1819" s="71" t="s">
        <v>103</v>
      </c>
      <c r="D1819" s="78">
        <v>1</v>
      </c>
      <c r="E1819" s="79">
        <v>2720.6800000000003</v>
      </c>
      <c r="F1819" s="70">
        <v>2720.68</v>
      </c>
      <c r="G1819" s="320"/>
      <c r="H1819" s="79">
        <v>2326.98</v>
      </c>
      <c r="I1819" s="79">
        <v>393.7</v>
      </c>
      <c r="J1819" s="79">
        <v>2720.68</v>
      </c>
      <c r="K1819" s="79">
        <v>0</v>
      </c>
      <c r="L1819" s="70">
        <v>2720.68</v>
      </c>
      <c r="M1819" s="132"/>
      <c r="N1819" s="79">
        <v>2326.98</v>
      </c>
      <c r="O1819" s="79">
        <v>393.7</v>
      </c>
      <c r="P1819" s="79">
        <v>2720.68</v>
      </c>
      <c r="Q1819" s="136"/>
      <c r="R1819" s="79">
        <v>2326.98</v>
      </c>
      <c r="S1819" s="79">
        <v>393.72</v>
      </c>
      <c r="T1819" s="79">
        <v>2720.7</v>
      </c>
      <c r="U1819" s="79">
        <v>0</v>
      </c>
      <c r="V1819" s="189">
        <v>2720.7</v>
      </c>
      <c r="X1819" s="79">
        <v>2326.98</v>
      </c>
      <c r="Y1819" s="79">
        <v>393.72</v>
      </c>
      <c r="Z1819" s="79">
        <v>2720.7</v>
      </c>
      <c r="AA1819" s="255">
        <v>-1.999999999998181E-2</v>
      </c>
      <c r="AC1819" s="254"/>
      <c r="AD1819" s="61"/>
      <c r="AE1819" s="61"/>
    </row>
    <row r="1820" spans="1:31" ht="12">
      <c r="A1820" s="67" t="s">
        <v>14012</v>
      </c>
      <c r="B1820" s="65" t="s">
        <v>14013</v>
      </c>
      <c r="C1820" s="71" t="s">
        <v>103</v>
      </c>
      <c r="D1820" s="78">
        <v>1</v>
      </c>
      <c r="E1820" s="79">
        <v>4090.8999999999996</v>
      </c>
      <c r="F1820" s="70">
        <v>4090.9</v>
      </c>
      <c r="G1820" s="320"/>
      <c r="H1820" s="79">
        <v>3020.96</v>
      </c>
      <c r="I1820" s="79">
        <v>1069.94</v>
      </c>
      <c r="J1820" s="79">
        <v>4090.9</v>
      </c>
      <c r="K1820" s="79">
        <v>0</v>
      </c>
      <c r="L1820" s="70">
        <v>4090.9</v>
      </c>
      <c r="M1820" s="132"/>
      <c r="N1820" s="79">
        <v>3020.96</v>
      </c>
      <c r="O1820" s="79">
        <v>1069.94</v>
      </c>
      <c r="P1820" s="79">
        <v>4090.9</v>
      </c>
      <c r="Q1820" s="136"/>
      <c r="R1820" s="79">
        <v>3020.96</v>
      </c>
      <c r="S1820" s="79">
        <v>1070</v>
      </c>
      <c r="T1820" s="79">
        <v>4090.96</v>
      </c>
      <c r="U1820" s="79">
        <v>0</v>
      </c>
      <c r="V1820" s="189">
        <v>4090.96</v>
      </c>
      <c r="X1820" s="79">
        <v>3020.96</v>
      </c>
      <c r="Y1820" s="79">
        <v>1070</v>
      </c>
      <c r="Z1820" s="79">
        <v>4090.96</v>
      </c>
      <c r="AA1820" s="255">
        <v>-5.999999999994543E-2</v>
      </c>
      <c r="AC1820" s="254"/>
    </row>
    <row r="1821" spans="1:31" s="61" customFormat="1" ht="12">
      <c r="A1821" s="67" t="s">
        <v>14014</v>
      </c>
      <c r="B1821" s="65" t="s">
        <v>14015</v>
      </c>
      <c r="C1821" s="71" t="s">
        <v>103</v>
      </c>
      <c r="D1821" s="78">
        <v>1</v>
      </c>
      <c r="E1821" s="79">
        <v>8350.2799999999988</v>
      </c>
      <c r="F1821" s="70">
        <v>8350.2800000000007</v>
      </c>
      <c r="G1821" s="320"/>
      <c r="H1821" s="79">
        <v>6210.4</v>
      </c>
      <c r="I1821" s="79">
        <v>2139.88</v>
      </c>
      <c r="J1821" s="79">
        <v>8350.2799999999988</v>
      </c>
      <c r="K1821" s="79">
        <v>0</v>
      </c>
      <c r="L1821" s="70">
        <v>8350.2799999999988</v>
      </c>
      <c r="M1821" s="132"/>
      <c r="N1821" s="79">
        <v>6210.4</v>
      </c>
      <c r="O1821" s="79">
        <v>2139.88</v>
      </c>
      <c r="P1821" s="79">
        <v>8350.2799999999988</v>
      </c>
      <c r="Q1821" s="136"/>
      <c r="R1821" s="79">
        <v>6210.4</v>
      </c>
      <c r="S1821" s="79">
        <v>2140</v>
      </c>
      <c r="T1821" s="79">
        <v>8350.4</v>
      </c>
      <c r="U1821" s="79">
        <v>0</v>
      </c>
      <c r="V1821" s="189">
        <v>8350.4</v>
      </c>
      <c r="X1821" s="79">
        <v>6210.4</v>
      </c>
      <c r="Y1821" s="79">
        <v>2140</v>
      </c>
      <c r="Z1821" s="79">
        <v>8350.4</v>
      </c>
      <c r="AA1821" s="255">
        <v>-0.11999999999898137</v>
      </c>
      <c r="AC1821" s="254"/>
      <c r="AD1821" s="69"/>
      <c r="AE1821" s="69"/>
    </row>
    <row r="1822" spans="1:31" ht="12">
      <c r="A1822" s="67" t="s">
        <v>14016</v>
      </c>
      <c r="B1822" s="65" t="s">
        <v>14017</v>
      </c>
      <c r="C1822" s="71" t="s">
        <v>103</v>
      </c>
      <c r="D1822" s="78">
        <v>1</v>
      </c>
      <c r="E1822" s="79">
        <v>11634.580000000002</v>
      </c>
      <c r="F1822" s="70">
        <v>11634.58</v>
      </c>
      <c r="G1822" s="320"/>
      <c r="H1822" s="79">
        <v>9151.44</v>
      </c>
      <c r="I1822" s="79">
        <v>2483.1400000000003</v>
      </c>
      <c r="J1822" s="79">
        <v>11634.580000000002</v>
      </c>
      <c r="K1822" s="79">
        <v>0</v>
      </c>
      <c r="L1822" s="70">
        <v>11634.580000000002</v>
      </c>
      <c r="M1822" s="132"/>
      <c r="N1822" s="79">
        <v>9151.44</v>
      </c>
      <c r="O1822" s="79">
        <v>2483.1400000000003</v>
      </c>
      <c r="P1822" s="79">
        <v>11634.580000000002</v>
      </c>
      <c r="Q1822" s="136"/>
      <c r="R1822" s="79">
        <v>9151.44</v>
      </c>
      <c r="S1822" s="79">
        <v>2483.2800000000002</v>
      </c>
      <c r="T1822" s="79">
        <v>11634.720000000001</v>
      </c>
      <c r="U1822" s="79">
        <v>0</v>
      </c>
      <c r="V1822" s="189">
        <v>11634.720000000001</v>
      </c>
      <c r="X1822" s="79">
        <v>9151.44</v>
      </c>
      <c r="Y1822" s="79">
        <v>2483.2800000000002</v>
      </c>
      <c r="Z1822" s="79">
        <v>11634.72</v>
      </c>
      <c r="AA1822" s="255">
        <v>-0.13999999999941792</v>
      </c>
      <c r="AC1822" s="254"/>
      <c r="AD1822" s="69"/>
      <c r="AE1822" s="69"/>
    </row>
    <row r="1823" spans="1:31" s="69" customFormat="1" ht="12">
      <c r="A1823" s="489" t="s">
        <v>14018</v>
      </c>
      <c r="B1823" s="490" t="s">
        <v>14019</v>
      </c>
      <c r="C1823" s="491"/>
      <c r="D1823" s="492"/>
      <c r="E1823" s="79"/>
      <c r="F1823" s="63"/>
      <c r="G1823" s="320"/>
      <c r="H1823" s="79"/>
      <c r="I1823" s="79"/>
      <c r="J1823" s="79"/>
      <c r="K1823" s="79"/>
      <c r="L1823" s="70"/>
      <c r="M1823" s="132"/>
      <c r="N1823" s="79"/>
      <c r="O1823" s="79"/>
      <c r="P1823" s="79"/>
      <c r="Q1823" s="136"/>
      <c r="R1823" s="79"/>
      <c r="S1823" s="79"/>
      <c r="T1823" s="79"/>
      <c r="U1823" s="79"/>
      <c r="V1823" s="189"/>
      <c r="W1823" s="61"/>
      <c r="X1823" s="79"/>
      <c r="Y1823" s="79"/>
      <c r="Z1823" s="79"/>
      <c r="AA1823" s="255"/>
      <c r="AB1823" s="61"/>
      <c r="AC1823" s="254"/>
    </row>
    <row r="1824" spans="1:31" s="69" customFormat="1" ht="12">
      <c r="A1824" s="67" t="s">
        <v>14020</v>
      </c>
      <c r="B1824" s="65" t="s">
        <v>14021</v>
      </c>
      <c r="C1824" s="71" t="s">
        <v>509</v>
      </c>
      <c r="D1824" s="78">
        <v>1</v>
      </c>
      <c r="E1824" s="79">
        <v>17.350000000000001</v>
      </c>
      <c r="F1824" s="70">
        <v>17.350000000000001</v>
      </c>
      <c r="G1824" s="320"/>
      <c r="H1824" s="79">
        <v>8.5399999999999991</v>
      </c>
      <c r="I1824" s="79">
        <v>8.81</v>
      </c>
      <c r="J1824" s="79">
        <v>17.350000000000001</v>
      </c>
      <c r="K1824" s="79">
        <v>0</v>
      </c>
      <c r="L1824" s="70">
        <v>17.350000000000001</v>
      </c>
      <c r="M1824" s="132"/>
      <c r="N1824" s="79">
        <v>8.5399999999999991</v>
      </c>
      <c r="O1824" s="79">
        <v>8.81</v>
      </c>
      <c r="P1824" s="79">
        <v>17.350000000000001</v>
      </c>
      <c r="Q1824" s="136"/>
      <c r="R1824" s="79">
        <v>8.5399999999999991</v>
      </c>
      <c r="S1824" s="79">
        <v>8.82</v>
      </c>
      <c r="T1824" s="79">
        <v>17.36</v>
      </c>
      <c r="U1824" s="79">
        <v>0</v>
      </c>
      <c r="V1824" s="189">
        <v>17.36</v>
      </c>
      <c r="W1824" s="61"/>
      <c r="X1824" s="79">
        <v>8.5399999999999991</v>
      </c>
      <c r="Y1824" s="79">
        <v>8.82</v>
      </c>
      <c r="Z1824" s="79">
        <v>17.36</v>
      </c>
      <c r="AA1824" s="255">
        <v>-9.9999999999980105E-3</v>
      </c>
      <c r="AB1824" s="61"/>
      <c r="AC1824" s="254"/>
    </row>
    <row r="1825" spans="1:31" s="69" customFormat="1" ht="12">
      <c r="A1825" s="67" t="s">
        <v>14022</v>
      </c>
      <c r="B1825" s="65" t="s">
        <v>14023</v>
      </c>
      <c r="C1825" s="71" t="s">
        <v>509</v>
      </c>
      <c r="D1825" s="78">
        <v>1</v>
      </c>
      <c r="E1825" s="79">
        <v>79.560000000000016</v>
      </c>
      <c r="F1825" s="70">
        <v>79.56</v>
      </c>
      <c r="G1825" s="320"/>
      <c r="H1825" s="79">
        <v>67.330000000000013</v>
      </c>
      <c r="I1825" s="79">
        <v>12.23</v>
      </c>
      <c r="J1825" s="79">
        <v>79.560000000000016</v>
      </c>
      <c r="K1825" s="79">
        <v>0</v>
      </c>
      <c r="L1825" s="70">
        <v>79.560000000000016</v>
      </c>
      <c r="M1825" s="132"/>
      <c r="N1825" s="79">
        <v>67.330000000000013</v>
      </c>
      <c r="O1825" s="79">
        <v>12.23</v>
      </c>
      <c r="P1825" s="79">
        <v>79.560000000000016</v>
      </c>
      <c r="Q1825" s="136"/>
      <c r="R1825" s="79">
        <v>67.33</v>
      </c>
      <c r="S1825" s="79">
        <v>12.22</v>
      </c>
      <c r="T1825" s="79">
        <v>79.55</v>
      </c>
      <c r="U1825" s="79">
        <v>0</v>
      </c>
      <c r="V1825" s="189">
        <v>79.55</v>
      </c>
      <c r="W1825" s="61"/>
      <c r="X1825" s="79">
        <v>67.33</v>
      </c>
      <c r="Y1825" s="79">
        <v>12.22</v>
      </c>
      <c r="Z1825" s="79">
        <v>79.55</v>
      </c>
      <c r="AA1825" s="255">
        <v>1.0000000000005116E-2</v>
      </c>
      <c r="AB1825" s="61"/>
      <c r="AC1825" s="254"/>
    </row>
    <row r="1826" spans="1:31" s="69" customFormat="1" ht="12">
      <c r="A1826" s="67" t="s">
        <v>14024</v>
      </c>
      <c r="B1826" s="65" t="s">
        <v>14025</v>
      </c>
      <c r="C1826" s="71" t="s">
        <v>165</v>
      </c>
      <c r="D1826" s="78">
        <v>1</v>
      </c>
      <c r="E1826" s="79">
        <v>10.98</v>
      </c>
      <c r="F1826" s="70">
        <v>10.98</v>
      </c>
      <c r="G1826" s="320"/>
      <c r="H1826" s="79">
        <v>10.98</v>
      </c>
      <c r="I1826" s="79">
        <v>0</v>
      </c>
      <c r="J1826" s="79">
        <v>10.98</v>
      </c>
      <c r="K1826" s="79">
        <v>0</v>
      </c>
      <c r="L1826" s="70">
        <v>10.98</v>
      </c>
      <c r="M1826" s="132"/>
      <c r="N1826" s="79">
        <v>10.98</v>
      </c>
      <c r="O1826" s="79"/>
      <c r="P1826" s="79">
        <v>10.98</v>
      </c>
      <c r="Q1826" s="136"/>
      <c r="R1826" s="79">
        <v>10.98</v>
      </c>
      <c r="S1826" s="79"/>
      <c r="T1826" s="79">
        <v>10.98</v>
      </c>
      <c r="U1826" s="79">
        <v>0</v>
      </c>
      <c r="V1826" s="189">
        <v>10.98</v>
      </c>
      <c r="W1826" s="61"/>
      <c r="X1826" s="79">
        <v>10.98</v>
      </c>
      <c r="Y1826" s="79"/>
      <c r="Z1826" s="79">
        <v>10.98</v>
      </c>
      <c r="AA1826" s="255">
        <v>0</v>
      </c>
      <c r="AB1826" s="61"/>
      <c r="AC1826" s="254"/>
    </row>
    <row r="1827" spans="1:31" s="69" customFormat="1" ht="12">
      <c r="A1827" s="67" t="s">
        <v>14026</v>
      </c>
      <c r="B1827" s="65" t="s">
        <v>14027</v>
      </c>
      <c r="C1827" s="71" t="s">
        <v>509</v>
      </c>
      <c r="D1827" s="78">
        <v>1</v>
      </c>
      <c r="E1827" s="79">
        <v>20.050000000000004</v>
      </c>
      <c r="F1827" s="70">
        <v>20.05</v>
      </c>
      <c r="G1827" s="320"/>
      <c r="H1827" s="79">
        <v>1.49</v>
      </c>
      <c r="I1827" s="79">
        <v>18.560000000000002</v>
      </c>
      <c r="J1827" s="79">
        <v>20.05</v>
      </c>
      <c r="K1827" s="79">
        <v>0</v>
      </c>
      <c r="L1827" s="70">
        <v>20.05</v>
      </c>
      <c r="M1827" s="132"/>
      <c r="N1827" s="79">
        <v>1.49</v>
      </c>
      <c r="O1827" s="79">
        <v>18.560000000000002</v>
      </c>
      <c r="P1827" s="79">
        <v>20.05</v>
      </c>
      <c r="Q1827" s="136"/>
      <c r="R1827" s="79">
        <v>1.49</v>
      </c>
      <c r="S1827" s="79">
        <v>18.53</v>
      </c>
      <c r="T1827" s="79">
        <v>20.02</v>
      </c>
      <c r="U1827" s="79">
        <v>0</v>
      </c>
      <c r="V1827" s="189">
        <v>20.02</v>
      </c>
      <c r="W1827" s="61"/>
      <c r="X1827" s="79">
        <v>1.49</v>
      </c>
      <c r="Y1827" s="79">
        <v>18.53</v>
      </c>
      <c r="Z1827" s="79">
        <v>20.02</v>
      </c>
      <c r="AA1827" s="255">
        <v>3.0000000000001137E-2</v>
      </c>
      <c r="AB1827" s="61"/>
      <c r="AC1827" s="254"/>
      <c r="AD1827" s="61"/>
      <c r="AE1827" s="61"/>
    </row>
    <row r="1828" spans="1:31" s="69" customFormat="1" ht="12">
      <c r="A1828" s="67" t="s">
        <v>14028</v>
      </c>
      <c r="B1828" s="65" t="s">
        <v>14029</v>
      </c>
      <c r="C1828" s="71" t="s">
        <v>509</v>
      </c>
      <c r="D1828" s="78">
        <v>1</v>
      </c>
      <c r="E1828" s="79">
        <v>26.419999999999998</v>
      </c>
      <c r="F1828" s="70">
        <v>26.42</v>
      </c>
      <c r="G1828" s="320"/>
      <c r="H1828" s="79">
        <v>1.5899999999999999</v>
      </c>
      <c r="I1828" s="79">
        <v>24.83</v>
      </c>
      <c r="J1828" s="79">
        <v>26.419999999999998</v>
      </c>
      <c r="K1828" s="79">
        <v>0</v>
      </c>
      <c r="L1828" s="70">
        <v>26.419999999999998</v>
      </c>
      <c r="M1828" s="132"/>
      <c r="N1828" s="79">
        <v>1.5899999999999999</v>
      </c>
      <c r="O1828" s="79">
        <v>24.83</v>
      </c>
      <c r="P1828" s="79">
        <v>26.419999999999998</v>
      </c>
      <c r="Q1828" s="136"/>
      <c r="R1828" s="79">
        <v>1.59</v>
      </c>
      <c r="S1828" s="79">
        <v>24.84</v>
      </c>
      <c r="T1828" s="79">
        <v>26.43</v>
      </c>
      <c r="U1828" s="79">
        <v>0</v>
      </c>
      <c r="V1828" s="189">
        <v>26.43</v>
      </c>
      <c r="W1828" s="61"/>
      <c r="X1828" s="79">
        <v>1.59</v>
      </c>
      <c r="Y1828" s="79">
        <v>24.84</v>
      </c>
      <c r="Z1828" s="79">
        <v>26.43</v>
      </c>
      <c r="AA1828" s="255">
        <v>-9.9999999999980105E-3</v>
      </c>
      <c r="AB1828" s="61"/>
      <c r="AC1828" s="254"/>
      <c r="AD1828" s="61"/>
      <c r="AE1828" s="61"/>
    </row>
    <row r="1829" spans="1:31" s="61" customFormat="1" ht="11">
      <c r="A1829" s="508" t="s">
        <v>40962</v>
      </c>
      <c r="B1829" s="256" t="s">
        <v>40963</v>
      </c>
      <c r="C1829" s="262" t="s">
        <v>103</v>
      </c>
      <c r="D1829" s="78">
        <v>1</v>
      </c>
      <c r="E1829" s="79">
        <v>607.09999999999991</v>
      </c>
      <c r="F1829" s="70">
        <v>607.1</v>
      </c>
      <c r="G1829" s="320"/>
      <c r="H1829" s="79">
        <v>562.70999999999992</v>
      </c>
      <c r="I1829" s="79">
        <v>44.39</v>
      </c>
      <c r="J1829" s="79">
        <v>607.09999999999991</v>
      </c>
      <c r="K1829" s="79">
        <v>0</v>
      </c>
      <c r="L1829" s="70">
        <v>607.09999999999991</v>
      </c>
      <c r="M1829" s="132"/>
      <c r="N1829" s="79">
        <v>562.70999999999992</v>
      </c>
      <c r="O1829" s="79">
        <v>44.39</v>
      </c>
      <c r="P1829" s="79">
        <v>607.09999999999991</v>
      </c>
      <c r="Q1829" s="136"/>
      <c r="R1829" s="79">
        <v>562.71</v>
      </c>
      <c r="S1829" s="79">
        <v>44.38</v>
      </c>
      <c r="T1829" s="79">
        <v>607.09</v>
      </c>
      <c r="U1829" s="79">
        <v>0</v>
      </c>
      <c r="V1829" s="189">
        <v>607.09</v>
      </c>
      <c r="X1829" s="79">
        <v>562.71</v>
      </c>
      <c r="Y1829" s="79">
        <v>44.38</v>
      </c>
      <c r="Z1829" s="79">
        <v>607.09</v>
      </c>
      <c r="AA1829" s="255">
        <v>9.9999999999909051E-3</v>
      </c>
      <c r="AC1829" s="254"/>
      <c r="AD1829" s="236"/>
      <c r="AE1829" s="236"/>
    </row>
    <row r="1830" spans="1:31" s="61" customFormat="1" ht="12">
      <c r="A1830" s="67" t="s">
        <v>14030</v>
      </c>
      <c r="B1830" s="65" t="s">
        <v>14031</v>
      </c>
      <c r="C1830" s="71" t="s">
        <v>509</v>
      </c>
      <c r="D1830" s="78">
        <v>1</v>
      </c>
      <c r="E1830" s="79">
        <v>1558.9</v>
      </c>
      <c r="F1830" s="70">
        <v>1558.9</v>
      </c>
      <c r="G1830" s="320"/>
      <c r="H1830" s="79">
        <v>1533.7</v>
      </c>
      <c r="I1830" s="79">
        <v>25.2</v>
      </c>
      <c r="J1830" s="79">
        <v>1558.9</v>
      </c>
      <c r="K1830" s="79">
        <v>0</v>
      </c>
      <c r="L1830" s="70">
        <v>1558.9</v>
      </c>
      <c r="M1830" s="132"/>
      <c r="N1830" s="79">
        <v>1533.7</v>
      </c>
      <c r="O1830" s="79">
        <v>25.2</v>
      </c>
      <c r="P1830" s="79">
        <v>1558.9</v>
      </c>
      <c r="Q1830" s="136"/>
      <c r="R1830" s="79">
        <v>1533.7</v>
      </c>
      <c r="S1830" s="79">
        <v>25.18</v>
      </c>
      <c r="T1830" s="79">
        <v>1558.88</v>
      </c>
      <c r="U1830" s="79">
        <v>0</v>
      </c>
      <c r="V1830" s="189">
        <v>1558.88</v>
      </c>
      <c r="X1830" s="79">
        <v>1533.7</v>
      </c>
      <c r="Y1830" s="79">
        <v>25.18</v>
      </c>
      <c r="Z1830" s="79">
        <v>1558.88</v>
      </c>
      <c r="AA1830" s="255">
        <v>1.999999999998181E-2</v>
      </c>
      <c r="AC1830" s="254"/>
      <c r="AD1830" s="236"/>
      <c r="AE1830" s="236"/>
    </row>
    <row r="1831" spans="1:31" ht="12">
      <c r="A1831" s="489" t="s">
        <v>14032</v>
      </c>
      <c r="B1831" s="490" t="s">
        <v>14033</v>
      </c>
      <c r="C1831" s="491"/>
      <c r="D1831" s="492"/>
      <c r="E1831" s="79"/>
      <c r="F1831" s="63"/>
      <c r="G1831" s="320"/>
      <c r="H1831" s="79"/>
      <c r="I1831" s="79"/>
      <c r="J1831" s="79"/>
      <c r="K1831" s="79"/>
      <c r="L1831" s="70"/>
      <c r="M1831" s="132"/>
      <c r="N1831" s="79"/>
      <c r="O1831" s="79"/>
      <c r="P1831" s="79"/>
      <c r="Q1831" s="136"/>
      <c r="R1831" s="79"/>
      <c r="S1831" s="79"/>
      <c r="T1831" s="79"/>
      <c r="U1831" s="79"/>
      <c r="V1831" s="189"/>
      <c r="X1831" s="79"/>
      <c r="Y1831" s="79"/>
      <c r="Z1831" s="79"/>
      <c r="AA1831" s="255"/>
      <c r="AC1831" s="254"/>
    </row>
    <row r="1832" spans="1:31" ht="12">
      <c r="A1832" s="489" t="s">
        <v>14034</v>
      </c>
      <c r="B1832" s="490" t="s">
        <v>14035</v>
      </c>
      <c r="C1832" s="491"/>
      <c r="D1832" s="492"/>
      <c r="E1832" s="79"/>
      <c r="F1832" s="63"/>
      <c r="G1832" s="320"/>
      <c r="H1832" s="79"/>
      <c r="I1832" s="79"/>
      <c r="J1832" s="79"/>
      <c r="K1832" s="79"/>
      <c r="L1832" s="70"/>
      <c r="M1832" s="132"/>
      <c r="N1832" s="79"/>
      <c r="O1832" s="79"/>
      <c r="P1832" s="79"/>
      <c r="Q1832" s="136"/>
      <c r="R1832" s="79"/>
      <c r="S1832" s="79"/>
      <c r="T1832" s="79"/>
      <c r="U1832" s="79"/>
      <c r="V1832" s="189"/>
      <c r="X1832" s="79"/>
      <c r="Y1832" s="79"/>
      <c r="Z1832" s="79"/>
      <c r="AA1832" s="255"/>
      <c r="AC1832" s="254"/>
    </row>
    <row r="1833" spans="1:31" ht="12">
      <c r="A1833" s="67" t="s">
        <v>14036</v>
      </c>
      <c r="B1833" s="65" t="s">
        <v>14037</v>
      </c>
      <c r="C1833" s="71" t="s">
        <v>509</v>
      </c>
      <c r="D1833" s="78">
        <v>1</v>
      </c>
      <c r="E1833" s="79">
        <v>46.57</v>
      </c>
      <c r="F1833" s="70">
        <v>46.57</v>
      </c>
      <c r="G1833" s="320"/>
      <c r="H1833" s="79">
        <v>39.020000000000003</v>
      </c>
      <c r="I1833" s="79">
        <v>7.5500000000000007</v>
      </c>
      <c r="J1833" s="79">
        <v>46.570000000000007</v>
      </c>
      <c r="K1833" s="79">
        <v>0</v>
      </c>
      <c r="L1833" s="70">
        <v>46.570000000000007</v>
      </c>
      <c r="M1833" s="132"/>
      <c r="N1833" s="79">
        <v>39.020000000000003</v>
      </c>
      <c r="O1833" s="79">
        <v>7.5500000000000007</v>
      </c>
      <c r="P1833" s="79">
        <v>46.570000000000007</v>
      </c>
      <c r="Q1833" s="136"/>
      <c r="R1833" s="79">
        <v>39.020000000000003</v>
      </c>
      <c r="S1833" s="79">
        <v>7.56</v>
      </c>
      <c r="T1833" s="79">
        <v>46.580000000000005</v>
      </c>
      <c r="U1833" s="79">
        <v>0</v>
      </c>
      <c r="V1833" s="189">
        <v>46.580000000000005</v>
      </c>
      <c r="X1833" s="79">
        <v>39.020000000000003</v>
      </c>
      <c r="Y1833" s="79">
        <v>7.56</v>
      </c>
      <c r="Z1833" s="79">
        <v>46.58</v>
      </c>
      <c r="AA1833" s="255">
        <v>-9.9999999999980105E-3</v>
      </c>
      <c r="AC1833" s="254"/>
    </row>
    <row r="1834" spans="1:31" ht="12">
      <c r="A1834" s="67" t="s">
        <v>14038</v>
      </c>
      <c r="B1834" s="65" t="s">
        <v>14039</v>
      </c>
      <c r="C1834" s="71" t="s">
        <v>396</v>
      </c>
      <c r="D1834" s="78">
        <v>1</v>
      </c>
      <c r="E1834" s="79">
        <v>2346.3799999999997</v>
      </c>
      <c r="F1834" s="70">
        <v>2346.38</v>
      </c>
      <c r="G1834" s="320"/>
      <c r="H1834" s="79">
        <v>2165.12</v>
      </c>
      <c r="I1834" s="79">
        <v>181.26</v>
      </c>
      <c r="J1834" s="79">
        <v>2346.38</v>
      </c>
      <c r="K1834" s="79">
        <v>0</v>
      </c>
      <c r="L1834" s="70">
        <v>2346.38</v>
      </c>
      <c r="M1834" s="132"/>
      <c r="N1834" s="79">
        <v>2165.12</v>
      </c>
      <c r="O1834" s="79">
        <v>181.26</v>
      </c>
      <c r="P1834" s="79">
        <v>2346.38</v>
      </c>
      <c r="Q1834" s="136"/>
      <c r="R1834" s="79">
        <v>2165.12</v>
      </c>
      <c r="S1834" s="79">
        <v>181.26</v>
      </c>
      <c r="T1834" s="79">
        <v>2346.38</v>
      </c>
      <c r="U1834" s="79">
        <v>0</v>
      </c>
      <c r="V1834" s="189">
        <v>2346.38</v>
      </c>
      <c r="X1834" s="79">
        <v>2165.12</v>
      </c>
      <c r="Y1834" s="79">
        <v>181.26</v>
      </c>
      <c r="Z1834" s="79">
        <v>2346.38</v>
      </c>
      <c r="AA1834" s="255">
        <v>0</v>
      </c>
      <c r="AC1834" s="254"/>
      <c r="AD1834" s="61"/>
      <c r="AE1834" s="61"/>
    </row>
    <row r="1835" spans="1:31" s="61" customFormat="1" ht="12">
      <c r="A1835" s="67" t="s">
        <v>14040</v>
      </c>
      <c r="B1835" s="65" t="s">
        <v>14041</v>
      </c>
      <c r="C1835" s="71" t="s">
        <v>396</v>
      </c>
      <c r="D1835" s="78">
        <v>1</v>
      </c>
      <c r="E1835" s="79">
        <v>1909.63</v>
      </c>
      <c r="F1835" s="70">
        <v>1909.63</v>
      </c>
      <c r="G1835" s="320"/>
      <c r="H1835" s="79">
        <v>1728.37</v>
      </c>
      <c r="I1835" s="79">
        <v>181.26</v>
      </c>
      <c r="J1835" s="79">
        <v>1909.6299999999999</v>
      </c>
      <c r="K1835" s="79">
        <v>0</v>
      </c>
      <c r="L1835" s="70">
        <v>1909.6299999999999</v>
      </c>
      <c r="M1835" s="132"/>
      <c r="N1835" s="79">
        <v>1728.37</v>
      </c>
      <c r="O1835" s="79">
        <v>181.26</v>
      </c>
      <c r="P1835" s="79">
        <v>1909.6299999999999</v>
      </c>
      <c r="Q1835" s="136"/>
      <c r="R1835" s="79">
        <v>1728.37</v>
      </c>
      <c r="S1835" s="79">
        <v>181.26</v>
      </c>
      <c r="T1835" s="79">
        <v>1909.6299999999999</v>
      </c>
      <c r="U1835" s="79">
        <v>0</v>
      </c>
      <c r="V1835" s="189">
        <v>1909.6299999999999</v>
      </c>
      <c r="X1835" s="79">
        <v>1728.37</v>
      </c>
      <c r="Y1835" s="79">
        <v>181.26</v>
      </c>
      <c r="Z1835" s="79">
        <v>1909.63</v>
      </c>
      <c r="AA1835" s="255">
        <v>0</v>
      </c>
      <c r="AC1835" s="254"/>
      <c r="AD1835" s="236"/>
      <c r="AE1835" s="236"/>
    </row>
    <row r="1836" spans="1:31" ht="12">
      <c r="A1836" s="67" t="s">
        <v>14042</v>
      </c>
      <c r="B1836" s="65" t="s">
        <v>14043</v>
      </c>
      <c r="C1836" s="71" t="s">
        <v>509</v>
      </c>
      <c r="D1836" s="78">
        <v>1</v>
      </c>
      <c r="E1836" s="79">
        <v>215.85999999999999</v>
      </c>
      <c r="F1836" s="70">
        <v>215.86</v>
      </c>
      <c r="G1836" s="320"/>
      <c r="H1836" s="79">
        <v>178.59000000000003</v>
      </c>
      <c r="I1836" s="79">
        <v>37.269999999999996</v>
      </c>
      <c r="J1836" s="79">
        <v>215.86</v>
      </c>
      <c r="K1836" s="79">
        <v>0</v>
      </c>
      <c r="L1836" s="70">
        <v>215.86</v>
      </c>
      <c r="M1836" s="132"/>
      <c r="N1836" s="79">
        <v>178.59000000000003</v>
      </c>
      <c r="O1836" s="79">
        <v>37.269999999999996</v>
      </c>
      <c r="P1836" s="79">
        <v>215.86</v>
      </c>
      <c r="Q1836" s="136"/>
      <c r="R1836" s="79">
        <v>178.59</v>
      </c>
      <c r="S1836" s="79">
        <v>37.299999999999997</v>
      </c>
      <c r="T1836" s="79">
        <v>215.89</v>
      </c>
      <c r="U1836" s="79">
        <v>0</v>
      </c>
      <c r="V1836" s="189">
        <v>215.89</v>
      </c>
      <c r="X1836" s="79">
        <v>178.59</v>
      </c>
      <c r="Y1836" s="79">
        <v>37.299999999999997</v>
      </c>
      <c r="Z1836" s="79">
        <v>215.89</v>
      </c>
      <c r="AA1836" s="255">
        <v>-2.9999999999972715E-2</v>
      </c>
      <c r="AC1836" s="254"/>
    </row>
    <row r="1837" spans="1:31" ht="12">
      <c r="A1837" s="489" t="s">
        <v>14044</v>
      </c>
      <c r="B1837" s="490" t="s">
        <v>14045</v>
      </c>
      <c r="C1837" s="491"/>
      <c r="D1837" s="492"/>
      <c r="E1837" s="79"/>
      <c r="F1837" s="63"/>
      <c r="G1837" s="320"/>
      <c r="H1837" s="79"/>
      <c r="I1837" s="79"/>
      <c r="J1837" s="79"/>
      <c r="K1837" s="79"/>
      <c r="L1837" s="70"/>
      <c r="M1837" s="132"/>
      <c r="N1837" s="79"/>
      <c r="O1837" s="79"/>
      <c r="P1837" s="79"/>
      <c r="Q1837" s="136"/>
      <c r="R1837" s="79"/>
      <c r="S1837" s="79"/>
      <c r="T1837" s="79"/>
      <c r="U1837" s="79"/>
      <c r="V1837" s="189"/>
      <c r="X1837" s="79"/>
      <c r="Y1837" s="79"/>
      <c r="Z1837" s="79"/>
      <c r="AA1837" s="255"/>
      <c r="AC1837" s="254"/>
    </row>
    <row r="1838" spans="1:31" ht="12">
      <c r="A1838" s="67" t="s">
        <v>14046</v>
      </c>
      <c r="B1838" s="65" t="s">
        <v>14047</v>
      </c>
      <c r="C1838" s="71" t="s">
        <v>103</v>
      </c>
      <c r="D1838" s="78">
        <v>1</v>
      </c>
      <c r="E1838" s="79">
        <v>4831</v>
      </c>
      <c r="F1838" s="70">
        <v>4831</v>
      </c>
      <c r="G1838" s="320"/>
      <c r="H1838" s="79">
        <v>4724.3500000000004</v>
      </c>
      <c r="I1838" s="79">
        <v>106.65</v>
      </c>
      <c r="J1838" s="79">
        <v>4831</v>
      </c>
      <c r="K1838" s="79">
        <v>0</v>
      </c>
      <c r="L1838" s="70">
        <v>4831</v>
      </c>
      <c r="M1838" s="132"/>
      <c r="N1838" s="79">
        <v>4724.3500000000004</v>
      </c>
      <c r="O1838" s="79">
        <v>106.65</v>
      </c>
      <c r="P1838" s="79">
        <v>4831</v>
      </c>
      <c r="Q1838" s="136"/>
      <c r="R1838" s="79">
        <v>4724.3500000000004</v>
      </c>
      <c r="S1838" s="79">
        <v>106.65</v>
      </c>
      <c r="T1838" s="79">
        <v>4831</v>
      </c>
      <c r="U1838" s="79">
        <v>0</v>
      </c>
      <c r="V1838" s="189">
        <v>4831</v>
      </c>
      <c r="X1838" s="79">
        <v>4724.3500000000004</v>
      </c>
      <c r="Y1838" s="79">
        <v>106.65</v>
      </c>
      <c r="Z1838" s="79">
        <v>4831</v>
      </c>
      <c r="AA1838" s="255">
        <v>0</v>
      </c>
      <c r="AC1838" s="254"/>
    </row>
    <row r="1839" spans="1:31" ht="12">
      <c r="A1839" s="489" t="s">
        <v>14048</v>
      </c>
      <c r="B1839" s="490" t="s">
        <v>14049</v>
      </c>
      <c r="C1839" s="491"/>
      <c r="D1839" s="492"/>
      <c r="E1839" s="79"/>
      <c r="F1839" s="63"/>
      <c r="G1839" s="320"/>
      <c r="H1839" s="79"/>
      <c r="I1839" s="79"/>
      <c r="J1839" s="79"/>
      <c r="K1839" s="79"/>
      <c r="L1839" s="70"/>
      <c r="M1839" s="132"/>
      <c r="N1839" s="79"/>
      <c r="O1839" s="79"/>
      <c r="P1839" s="79"/>
      <c r="Q1839" s="136"/>
      <c r="R1839" s="79"/>
      <c r="S1839" s="79"/>
      <c r="T1839" s="79"/>
      <c r="U1839" s="79"/>
      <c r="V1839" s="189"/>
      <c r="X1839" s="79"/>
      <c r="Y1839" s="79"/>
      <c r="Z1839" s="79"/>
      <c r="AA1839" s="255"/>
      <c r="AC1839" s="254"/>
    </row>
    <row r="1840" spans="1:31" ht="12">
      <c r="A1840" s="67" t="s">
        <v>14050</v>
      </c>
      <c r="B1840" s="65" t="s">
        <v>14051</v>
      </c>
      <c r="C1840" s="71" t="s">
        <v>165</v>
      </c>
      <c r="D1840" s="78">
        <v>1</v>
      </c>
      <c r="E1840" s="79">
        <v>230.39</v>
      </c>
      <c r="F1840" s="70">
        <v>230.39</v>
      </c>
      <c r="G1840" s="320"/>
      <c r="H1840" s="79">
        <v>121.07000000000001</v>
      </c>
      <c r="I1840" s="79">
        <v>109.32</v>
      </c>
      <c r="J1840" s="79">
        <v>230.39</v>
      </c>
      <c r="K1840" s="79">
        <v>0</v>
      </c>
      <c r="L1840" s="70">
        <v>230.39</v>
      </c>
      <c r="M1840" s="132"/>
      <c r="N1840" s="79">
        <v>121.07000000000001</v>
      </c>
      <c r="O1840" s="79">
        <v>109.32</v>
      </c>
      <c r="P1840" s="79">
        <v>230.39</v>
      </c>
      <c r="Q1840" s="136"/>
      <c r="R1840" s="79">
        <v>121.07</v>
      </c>
      <c r="S1840" s="79">
        <v>109.32</v>
      </c>
      <c r="T1840" s="79">
        <v>230.39</v>
      </c>
      <c r="U1840" s="79">
        <v>0</v>
      </c>
      <c r="V1840" s="189">
        <v>230.39</v>
      </c>
      <c r="X1840" s="79">
        <v>121.07</v>
      </c>
      <c r="Y1840" s="79">
        <v>109.32</v>
      </c>
      <c r="Z1840" s="79">
        <v>230.39</v>
      </c>
      <c r="AA1840" s="255">
        <v>0</v>
      </c>
      <c r="AC1840" s="254"/>
    </row>
    <row r="1841" spans="1:29" ht="12">
      <c r="A1841" s="67" t="s">
        <v>14052</v>
      </c>
      <c r="B1841" s="65" t="s">
        <v>14053</v>
      </c>
      <c r="C1841" s="71" t="s">
        <v>103</v>
      </c>
      <c r="D1841" s="78">
        <v>1</v>
      </c>
      <c r="E1841" s="79">
        <v>588.77</v>
      </c>
      <c r="F1841" s="70">
        <v>588.77</v>
      </c>
      <c r="G1841" s="320"/>
      <c r="H1841" s="79">
        <v>564.44000000000005</v>
      </c>
      <c r="I1841" s="79">
        <v>24.33</v>
      </c>
      <c r="J1841" s="79">
        <v>588.7700000000001</v>
      </c>
      <c r="K1841" s="79">
        <v>0</v>
      </c>
      <c r="L1841" s="70">
        <v>588.7700000000001</v>
      </c>
      <c r="M1841" s="132"/>
      <c r="N1841" s="79">
        <v>564.44000000000005</v>
      </c>
      <c r="O1841" s="79">
        <v>24.33</v>
      </c>
      <c r="P1841" s="79">
        <v>588.7700000000001</v>
      </c>
      <c r="Q1841" s="136"/>
      <c r="R1841" s="79">
        <v>564.44000000000005</v>
      </c>
      <c r="S1841" s="79">
        <v>24.33</v>
      </c>
      <c r="T1841" s="79">
        <v>588.7700000000001</v>
      </c>
      <c r="U1841" s="79">
        <v>0</v>
      </c>
      <c r="V1841" s="189">
        <v>588.7700000000001</v>
      </c>
      <c r="X1841" s="79">
        <v>564.44000000000005</v>
      </c>
      <c r="Y1841" s="79">
        <v>24.33</v>
      </c>
      <c r="Z1841" s="79">
        <v>588.77</v>
      </c>
      <c r="AA1841" s="255">
        <v>0</v>
      </c>
      <c r="AC1841" s="254"/>
    </row>
    <row r="1842" spans="1:29" ht="12">
      <c r="A1842" s="67" t="s">
        <v>14054</v>
      </c>
      <c r="B1842" s="65" t="s">
        <v>14055</v>
      </c>
      <c r="C1842" s="71" t="s">
        <v>509</v>
      </c>
      <c r="D1842" s="78">
        <v>1</v>
      </c>
      <c r="E1842" s="79">
        <v>224.29999999999998</v>
      </c>
      <c r="F1842" s="70">
        <v>224.3</v>
      </c>
      <c r="G1842" s="320"/>
      <c r="H1842" s="79">
        <v>156.16999999999999</v>
      </c>
      <c r="I1842" s="79">
        <v>68.13</v>
      </c>
      <c r="J1842" s="79">
        <v>224.29999999999998</v>
      </c>
      <c r="K1842" s="79">
        <v>0</v>
      </c>
      <c r="L1842" s="70">
        <v>224.29999999999998</v>
      </c>
      <c r="M1842" s="132"/>
      <c r="N1842" s="79">
        <v>156.16999999999999</v>
      </c>
      <c r="O1842" s="79">
        <v>68.13</v>
      </c>
      <c r="P1842" s="79">
        <v>224.29999999999998</v>
      </c>
      <c r="Q1842" s="136"/>
      <c r="R1842" s="79">
        <v>156.16999999999999</v>
      </c>
      <c r="S1842" s="79">
        <v>68.14</v>
      </c>
      <c r="T1842" s="79">
        <v>224.31</v>
      </c>
      <c r="U1842" s="79">
        <v>0</v>
      </c>
      <c r="V1842" s="189">
        <v>224.31</v>
      </c>
      <c r="X1842" s="79">
        <v>156.16999999999999</v>
      </c>
      <c r="Y1842" s="79">
        <v>68.14</v>
      </c>
      <c r="Z1842" s="79">
        <v>224.31</v>
      </c>
      <c r="AA1842" s="255">
        <v>-9.9999999999909051E-3</v>
      </c>
      <c r="AC1842" s="254"/>
    </row>
    <row r="1843" spans="1:29" ht="12">
      <c r="A1843" s="67" t="s">
        <v>14056</v>
      </c>
      <c r="B1843" s="65" t="s">
        <v>14057</v>
      </c>
      <c r="C1843" s="71" t="s">
        <v>103</v>
      </c>
      <c r="D1843" s="78">
        <v>1</v>
      </c>
      <c r="E1843" s="79">
        <v>652.87999999999988</v>
      </c>
      <c r="F1843" s="70">
        <v>652.88</v>
      </c>
      <c r="G1843" s="320"/>
      <c r="H1843" s="79">
        <v>618.66999999999985</v>
      </c>
      <c r="I1843" s="79">
        <v>34.209999999999994</v>
      </c>
      <c r="J1843" s="79">
        <v>652.87999999999988</v>
      </c>
      <c r="K1843" s="79">
        <v>0</v>
      </c>
      <c r="L1843" s="70">
        <v>652.87999999999988</v>
      </c>
      <c r="M1843" s="132"/>
      <c r="N1843" s="79">
        <v>618.66999999999985</v>
      </c>
      <c r="O1843" s="79">
        <v>34.209999999999994</v>
      </c>
      <c r="P1843" s="79">
        <v>652.87999999999988</v>
      </c>
      <c r="Q1843" s="136"/>
      <c r="R1843" s="79">
        <v>618.66999999999996</v>
      </c>
      <c r="S1843" s="79">
        <v>34.22</v>
      </c>
      <c r="T1843" s="79">
        <v>652.89</v>
      </c>
      <c r="U1843" s="79">
        <v>0</v>
      </c>
      <c r="V1843" s="189">
        <v>652.89</v>
      </c>
      <c r="X1843" s="79">
        <v>618.66999999999996</v>
      </c>
      <c r="Y1843" s="79">
        <v>34.22</v>
      </c>
      <c r="Z1843" s="79">
        <v>652.89</v>
      </c>
      <c r="AA1843" s="255">
        <v>-9.9999999999909051E-3</v>
      </c>
      <c r="AC1843" s="254"/>
    </row>
    <row r="1844" spans="1:29" ht="12">
      <c r="A1844" s="67" t="s">
        <v>14058</v>
      </c>
      <c r="B1844" s="65" t="s">
        <v>14059</v>
      </c>
      <c r="C1844" s="71" t="s">
        <v>103</v>
      </c>
      <c r="D1844" s="78">
        <v>1</v>
      </c>
      <c r="E1844" s="79">
        <v>1111.47</v>
      </c>
      <c r="F1844" s="70">
        <v>1111.47</v>
      </c>
      <c r="G1844" s="320"/>
      <c r="H1844" s="79">
        <v>1060.1400000000001</v>
      </c>
      <c r="I1844" s="79">
        <v>51.33</v>
      </c>
      <c r="J1844" s="79">
        <v>1111.47</v>
      </c>
      <c r="K1844" s="79">
        <v>0</v>
      </c>
      <c r="L1844" s="70">
        <v>1111.47</v>
      </c>
      <c r="M1844" s="132"/>
      <c r="N1844" s="79">
        <v>1060.1400000000001</v>
      </c>
      <c r="O1844" s="79">
        <v>51.33</v>
      </c>
      <c r="P1844" s="79">
        <v>1111.47</v>
      </c>
      <c r="Q1844" s="136"/>
      <c r="R1844" s="79">
        <v>1060.1400000000001</v>
      </c>
      <c r="S1844" s="79">
        <v>51.33</v>
      </c>
      <c r="T1844" s="79">
        <v>1111.47</v>
      </c>
      <c r="U1844" s="79">
        <v>0</v>
      </c>
      <c r="V1844" s="189">
        <v>1111.47</v>
      </c>
      <c r="X1844" s="79">
        <v>1060.1400000000001</v>
      </c>
      <c r="Y1844" s="79">
        <v>51.33</v>
      </c>
      <c r="Z1844" s="79">
        <v>1111.47</v>
      </c>
      <c r="AA1844" s="255">
        <v>0</v>
      </c>
      <c r="AC1844" s="254"/>
    </row>
    <row r="1845" spans="1:29" ht="12">
      <c r="A1845" s="489" t="s">
        <v>14060</v>
      </c>
      <c r="B1845" s="490" t="s">
        <v>14061</v>
      </c>
      <c r="C1845" s="491"/>
      <c r="D1845" s="492"/>
      <c r="E1845" s="79"/>
      <c r="F1845" s="63"/>
      <c r="G1845" s="320"/>
      <c r="H1845" s="79"/>
      <c r="I1845" s="79"/>
      <c r="J1845" s="79"/>
      <c r="K1845" s="79"/>
      <c r="L1845" s="70"/>
      <c r="M1845" s="132"/>
      <c r="N1845" s="79"/>
      <c r="O1845" s="79"/>
      <c r="P1845" s="79"/>
      <c r="Q1845" s="136"/>
      <c r="R1845" s="79"/>
      <c r="S1845" s="79"/>
      <c r="T1845" s="79"/>
      <c r="U1845" s="79"/>
      <c r="V1845" s="189"/>
      <c r="X1845" s="79"/>
      <c r="Y1845" s="79"/>
      <c r="Z1845" s="79"/>
      <c r="AA1845" s="255"/>
      <c r="AC1845" s="254"/>
    </row>
    <row r="1846" spans="1:29" ht="12">
      <c r="A1846" s="67" t="s">
        <v>14062</v>
      </c>
      <c r="B1846" s="65" t="s">
        <v>14063</v>
      </c>
      <c r="C1846" s="71" t="s">
        <v>396</v>
      </c>
      <c r="D1846" s="78">
        <v>1</v>
      </c>
      <c r="E1846" s="79">
        <v>5840.68</v>
      </c>
      <c r="F1846" s="70">
        <v>5840.68</v>
      </c>
      <c r="G1846" s="320"/>
      <c r="H1846" s="79">
        <v>5599.01</v>
      </c>
      <c r="I1846" s="79">
        <v>241.67000000000002</v>
      </c>
      <c r="J1846" s="79">
        <v>5840.68</v>
      </c>
      <c r="K1846" s="79">
        <v>0</v>
      </c>
      <c r="L1846" s="70">
        <v>5840.68</v>
      </c>
      <c r="M1846" s="132"/>
      <c r="N1846" s="79">
        <v>5599.01</v>
      </c>
      <c r="O1846" s="79">
        <v>241.67000000000002</v>
      </c>
      <c r="P1846" s="79">
        <v>5840.68</v>
      </c>
      <c r="Q1846" s="136"/>
      <c r="R1846" s="79">
        <v>5599.01</v>
      </c>
      <c r="S1846" s="79">
        <v>241.68</v>
      </c>
      <c r="T1846" s="79">
        <v>5840.6900000000005</v>
      </c>
      <c r="U1846" s="79">
        <v>0</v>
      </c>
      <c r="V1846" s="189">
        <v>5840.6900000000005</v>
      </c>
      <c r="X1846" s="79">
        <v>5599.01</v>
      </c>
      <c r="Y1846" s="79">
        <v>241.68</v>
      </c>
      <c r="Z1846" s="79">
        <v>5840.69</v>
      </c>
      <c r="AA1846" s="255">
        <v>-9.999999999308784E-3</v>
      </c>
      <c r="AC1846" s="254"/>
    </row>
    <row r="1847" spans="1:29" ht="12">
      <c r="A1847" s="67" t="s">
        <v>14064</v>
      </c>
      <c r="B1847" s="65" t="s">
        <v>14065</v>
      </c>
      <c r="C1847" s="71" t="s">
        <v>396</v>
      </c>
      <c r="D1847" s="78">
        <v>1</v>
      </c>
      <c r="E1847" s="79">
        <v>3292.42</v>
      </c>
      <c r="F1847" s="70">
        <v>3292.42</v>
      </c>
      <c r="G1847" s="320"/>
      <c r="H1847" s="79">
        <v>3050.75</v>
      </c>
      <c r="I1847" s="79">
        <v>241.67000000000002</v>
      </c>
      <c r="J1847" s="79">
        <v>3292.42</v>
      </c>
      <c r="K1847" s="79">
        <v>0</v>
      </c>
      <c r="L1847" s="70">
        <v>3292.42</v>
      </c>
      <c r="M1847" s="132"/>
      <c r="N1847" s="79">
        <v>3050.75</v>
      </c>
      <c r="O1847" s="79">
        <v>241.67000000000002</v>
      </c>
      <c r="P1847" s="79">
        <v>3292.42</v>
      </c>
      <c r="Q1847" s="136"/>
      <c r="R1847" s="79">
        <v>3050.75</v>
      </c>
      <c r="S1847" s="79">
        <v>241.68</v>
      </c>
      <c r="T1847" s="79">
        <v>3292.43</v>
      </c>
      <c r="U1847" s="79">
        <v>0</v>
      </c>
      <c r="V1847" s="189">
        <v>3292.43</v>
      </c>
      <c r="X1847" s="79">
        <v>3050.75</v>
      </c>
      <c r="Y1847" s="79">
        <v>241.68</v>
      </c>
      <c r="Z1847" s="79">
        <v>3292.43</v>
      </c>
      <c r="AA1847" s="255">
        <v>-9.9999999997635314E-3</v>
      </c>
      <c r="AC1847" s="254"/>
    </row>
    <row r="1848" spans="1:29" ht="12">
      <c r="A1848" s="67" t="s">
        <v>14066</v>
      </c>
      <c r="B1848" s="65" t="s">
        <v>14067</v>
      </c>
      <c r="C1848" s="71" t="s">
        <v>396</v>
      </c>
      <c r="D1848" s="78">
        <v>1</v>
      </c>
      <c r="E1848" s="79">
        <v>2057.69</v>
      </c>
      <c r="F1848" s="70">
        <v>2057.69</v>
      </c>
      <c r="G1848" s="320"/>
      <c r="H1848" s="79">
        <v>1816.02</v>
      </c>
      <c r="I1848" s="79">
        <v>241.67000000000002</v>
      </c>
      <c r="J1848" s="79">
        <v>2057.69</v>
      </c>
      <c r="K1848" s="79">
        <v>0</v>
      </c>
      <c r="L1848" s="70">
        <v>2057.69</v>
      </c>
      <c r="M1848" s="132"/>
      <c r="N1848" s="79">
        <v>1816.02</v>
      </c>
      <c r="O1848" s="79">
        <v>241.67000000000002</v>
      </c>
      <c r="P1848" s="79">
        <v>2057.69</v>
      </c>
      <c r="Q1848" s="136"/>
      <c r="R1848" s="79">
        <v>1816.02</v>
      </c>
      <c r="S1848" s="79">
        <v>241.68</v>
      </c>
      <c r="T1848" s="79">
        <v>2057.6999999999998</v>
      </c>
      <c r="U1848" s="79">
        <v>0</v>
      </c>
      <c r="V1848" s="189">
        <v>2057.6999999999998</v>
      </c>
      <c r="X1848" s="79">
        <v>1816.02</v>
      </c>
      <c r="Y1848" s="79">
        <v>241.68</v>
      </c>
      <c r="Z1848" s="79">
        <v>2057.6999999999998</v>
      </c>
      <c r="AA1848" s="255">
        <v>-9.9999999997635314E-3</v>
      </c>
      <c r="AC1848" s="254"/>
    </row>
    <row r="1849" spans="1:29" ht="12">
      <c r="A1849" s="67" t="s">
        <v>14068</v>
      </c>
      <c r="B1849" s="65" t="s">
        <v>14069</v>
      </c>
      <c r="C1849" s="71" t="s">
        <v>396</v>
      </c>
      <c r="D1849" s="78">
        <v>1</v>
      </c>
      <c r="E1849" s="79">
        <v>4098.34</v>
      </c>
      <c r="F1849" s="70">
        <v>4098.34</v>
      </c>
      <c r="G1849" s="320"/>
      <c r="H1849" s="79">
        <v>3856.67</v>
      </c>
      <c r="I1849" s="79">
        <v>241.67000000000002</v>
      </c>
      <c r="J1849" s="79">
        <v>4098.34</v>
      </c>
      <c r="K1849" s="79">
        <v>0</v>
      </c>
      <c r="L1849" s="70">
        <v>4098.34</v>
      </c>
      <c r="M1849" s="132"/>
      <c r="N1849" s="79">
        <v>3856.67</v>
      </c>
      <c r="O1849" s="79">
        <v>241.67000000000002</v>
      </c>
      <c r="P1849" s="79">
        <v>4098.34</v>
      </c>
      <c r="Q1849" s="136"/>
      <c r="R1849" s="79">
        <v>3856.67</v>
      </c>
      <c r="S1849" s="79">
        <v>241.68</v>
      </c>
      <c r="T1849" s="79">
        <v>4098.3500000000004</v>
      </c>
      <c r="U1849" s="79">
        <v>0</v>
      </c>
      <c r="V1849" s="189">
        <v>4098.3500000000004</v>
      </c>
      <c r="X1849" s="79">
        <v>3856.67</v>
      </c>
      <c r="Y1849" s="79">
        <v>241.68</v>
      </c>
      <c r="Z1849" s="79">
        <v>4098.3500000000004</v>
      </c>
      <c r="AA1849" s="255">
        <v>-1.0000000000218279E-2</v>
      </c>
      <c r="AC1849" s="254"/>
    </row>
    <row r="1850" spans="1:29" ht="12">
      <c r="A1850" s="489" t="s">
        <v>14070</v>
      </c>
      <c r="B1850" s="490" t="s">
        <v>14071</v>
      </c>
      <c r="C1850" s="491"/>
      <c r="D1850" s="492"/>
      <c r="E1850" s="79"/>
      <c r="F1850" s="63"/>
      <c r="G1850" s="320"/>
      <c r="H1850" s="79"/>
      <c r="I1850" s="79"/>
      <c r="J1850" s="79"/>
      <c r="K1850" s="79"/>
      <c r="L1850" s="70"/>
      <c r="M1850" s="132"/>
      <c r="N1850" s="79"/>
      <c r="O1850" s="79"/>
      <c r="P1850" s="79"/>
      <c r="Q1850" s="136"/>
      <c r="R1850" s="79"/>
      <c r="S1850" s="79"/>
      <c r="T1850" s="79"/>
      <c r="U1850" s="79"/>
      <c r="V1850" s="189"/>
      <c r="X1850" s="79"/>
      <c r="Y1850" s="79"/>
      <c r="Z1850" s="79"/>
      <c r="AA1850" s="255"/>
      <c r="AC1850" s="254"/>
    </row>
    <row r="1851" spans="1:29" ht="12">
      <c r="A1851" s="67" t="s">
        <v>14072</v>
      </c>
      <c r="B1851" s="65" t="s">
        <v>14073</v>
      </c>
      <c r="C1851" s="71" t="s">
        <v>396</v>
      </c>
      <c r="D1851" s="78">
        <v>1</v>
      </c>
      <c r="E1851" s="79">
        <v>6587.2699999999995</v>
      </c>
      <c r="F1851" s="70">
        <v>6587.27</v>
      </c>
      <c r="G1851" s="320"/>
      <c r="H1851" s="79">
        <v>6203.1399999999994</v>
      </c>
      <c r="I1851" s="79">
        <v>384.13</v>
      </c>
      <c r="J1851" s="79">
        <v>6587.2699999999995</v>
      </c>
      <c r="K1851" s="79">
        <v>0</v>
      </c>
      <c r="L1851" s="70">
        <v>6587.2699999999995</v>
      </c>
      <c r="M1851" s="132"/>
      <c r="N1851" s="79">
        <v>6203.1399999999994</v>
      </c>
      <c r="O1851" s="79">
        <v>384.13</v>
      </c>
      <c r="P1851" s="79">
        <v>6587.2699999999995</v>
      </c>
      <c r="Q1851" s="136"/>
      <c r="R1851" s="79">
        <v>6203.14</v>
      </c>
      <c r="S1851" s="79">
        <v>384.15</v>
      </c>
      <c r="T1851" s="79">
        <v>6587.29</v>
      </c>
      <c r="U1851" s="79">
        <v>0</v>
      </c>
      <c r="V1851" s="189">
        <v>6587.29</v>
      </c>
      <c r="X1851" s="79">
        <v>6203.14</v>
      </c>
      <c r="Y1851" s="79">
        <v>384.15</v>
      </c>
      <c r="Z1851" s="79">
        <v>6587.29</v>
      </c>
      <c r="AA1851" s="255">
        <v>-1.9999999999527063E-2</v>
      </c>
      <c r="AC1851" s="254"/>
    </row>
    <row r="1852" spans="1:29" ht="12">
      <c r="A1852" s="67" t="s">
        <v>14074</v>
      </c>
      <c r="B1852" s="65" t="s">
        <v>14075</v>
      </c>
      <c r="C1852" s="71" t="s">
        <v>396</v>
      </c>
      <c r="D1852" s="78">
        <v>1</v>
      </c>
      <c r="E1852" s="79">
        <v>8858.2199999999993</v>
      </c>
      <c r="F1852" s="70">
        <v>8858.2199999999993</v>
      </c>
      <c r="G1852" s="320"/>
      <c r="H1852" s="79">
        <v>8474.0899999999983</v>
      </c>
      <c r="I1852" s="79">
        <v>384.13</v>
      </c>
      <c r="J1852" s="79">
        <v>8858.2199999999975</v>
      </c>
      <c r="K1852" s="79">
        <v>0</v>
      </c>
      <c r="L1852" s="70">
        <v>8858.2199999999975</v>
      </c>
      <c r="M1852" s="132"/>
      <c r="N1852" s="79">
        <v>8474.0899999999983</v>
      </c>
      <c r="O1852" s="79">
        <v>384.13</v>
      </c>
      <c r="P1852" s="79">
        <v>8858.2199999999975</v>
      </c>
      <c r="Q1852" s="136"/>
      <c r="R1852" s="79">
        <v>8474.09</v>
      </c>
      <c r="S1852" s="79">
        <v>384.15</v>
      </c>
      <c r="T1852" s="79">
        <v>8858.24</v>
      </c>
      <c r="U1852" s="79">
        <v>0</v>
      </c>
      <c r="V1852" s="189">
        <v>8858.24</v>
      </c>
      <c r="X1852" s="79">
        <v>8474.09</v>
      </c>
      <c r="Y1852" s="79">
        <v>384.15</v>
      </c>
      <c r="Z1852" s="79">
        <v>8858.24</v>
      </c>
      <c r="AA1852" s="255">
        <v>-2.0000000000436557E-2</v>
      </c>
      <c r="AC1852" s="254"/>
    </row>
    <row r="1853" spans="1:29" ht="12">
      <c r="A1853" s="67" t="s">
        <v>14076</v>
      </c>
      <c r="B1853" s="65" t="s">
        <v>14077</v>
      </c>
      <c r="C1853" s="71" t="s">
        <v>103</v>
      </c>
      <c r="D1853" s="78">
        <v>1</v>
      </c>
      <c r="E1853" s="79">
        <v>2867.91</v>
      </c>
      <c r="F1853" s="70">
        <v>2867.91</v>
      </c>
      <c r="G1853" s="320"/>
      <c r="H1853" s="79">
        <v>2811.19</v>
      </c>
      <c r="I1853" s="79">
        <v>56.72</v>
      </c>
      <c r="J1853" s="79">
        <v>2867.91</v>
      </c>
      <c r="K1853" s="79">
        <v>0</v>
      </c>
      <c r="L1853" s="70">
        <v>2867.91</v>
      </c>
      <c r="M1853" s="132"/>
      <c r="N1853" s="79">
        <v>2811.19</v>
      </c>
      <c r="O1853" s="79">
        <v>56.72</v>
      </c>
      <c r="P1853" s="79">
        <v>2867.91</v>
      </c>
      <c r="Q1853" s="136"/>
      <c r="R1853" s="79">
        <v>2811.19</v>
      </c>
      <c r="S1853" s="79">
        <v>56.73</v>
      </c>
      <c r="T1853" s="79">
        <v>2867.92</v>
      </c>
      <c r="U1853" s="79">
        <v>0</v>
      </c>
      <c r="V1853" s="189">
        <v>2867.92</v>
      </c>
      <c r="X1853" s="79">
        <v>2811.19</v>
      </c>
      <c r="Y1853" s="79">
        <v>56.73</v>
      </c>
      <c r="Z1853" s="79">
        <v>2867.92</v>
      </c>
      <c r="AA1853" s="255">
        <v>-1.0000000000218279E-2</v>
      </c>
      <c r="AC1853" s="254"/>
    </row>
    <row r="1854" spans="1:29" ht="12">
      <c r="A1854" s="67" t="s">
        <v>14078</v>
      </c>
      <c r="B1854" s="65" t="s">
        <v>14079</v>
      </c>
      <c r="C1854" s="71" t="s">
        <v>103</v>
      </c>
      <c r="D1854" s="78">
        <v>1</v>
      </c>
      <c r="E1854" s="79">
        <v>2110.96</v>
      </c>
      <c r="F1854" s="70">
        <v>2110.96</v>
      </c>
      <c r="G1854" s="320"/>
      <c r="H1854" s="79">
        <v>2054.2400000000002</v>
      </c>
      <c r="I1854" s="79">
        <v>56.72</v>
      </c>
      <c r="J1854" s="79">
        <v>2110.96</v>
      </c>
      <c r="K1854" s="79">
        <v>0</v>
      </c>
      <c r="L1854" s="70">
        <v>2110.96</v>
      </c>
      <c r="M1854" s="132"/>
      <c r="N1854" s="79">
        <v>2054.2400000000002</v>
      </c>
      <c r="O1854" s="79">
        <v>56.72</v>
      </c>
      <c r="P1854" s="79">
        <v>2110.96</v>
      </c>
      <c r="Q1854" s="136"/>
      <c r="R1854" s="79">
        <v>2054.2399999999998</v>
      </c>
      <c r="S1854" s="79">
        <v>56.73</v>
      </c>
      <c r="T1854" s="79">
        <v>2110.9699999999998</v>
      </c>
      <c r="U1854" s="79">
        <v>0</v>
      </c>
      <c r="V1854" s="189">
        <v>2110.9699999999998</v>
      </c>
      <c r="X1854" s="79">
        <v>2054.2399999999998</v>
      </c>
      <c r="Y1854" s="79">
        <v>56.73</v>
      </c>
      <c r="Z1854" s="79">
        <v>2110.9699999999998</v>
      </c>
      <c r="AA1854" s="255">
        <v>-9.9999999997635314E-3</v>
      </c>
      <c r="AC1854" s="254"/>
    </row>
    <row r="1855" spans="1:29" ht="12">
      <c r="A1855" s="489" t="s">
        <v>14080</v>
      </c>
      <c r="B1855" s="490" t="s">
        <v>14081</v>
      </c>
      <c r="C1855" s="491"/>
      <c r="D1855" s="492"/>
      <c r="E1855" s="79"/>
      <c r="F1855" s="63"/>
      <c r="G1855" s="320"/>
      <c r="H1855" s="79"/>
      <c r="I1855" s="79"/>
      <c r="J1855" s="79"/>
      <c r="K1855" s="79"/>
      <c r="L1855" s="70"/>
      <c r="M1855" s="132"/>
      <c r="N1855" s="79"/>
      <c r="O1855" s="79"/>
      <c r="P1855" s="79"/>
      <c r="Q1855" s="136"/>
      <c r="R1855" s="79"/>
      <c r="S1855" s="79"/>
      <c r="T1855" s="79"/>
      <c r="U1855" s="79"/>
      <c r="V1855" s="189"/>
      <c r="X1855" s="79"/>
      <c r="Y1855" s="79"/>
      <c r="Z1855" s="79"/>
      <c r="AA1855" s="255"/>
      <c r="AC1855" s="254"/>
    </row>
    <row r="1856" spans="1:29" ht="12">
      <c r="A1856" s="67" t="s">
        <v>14082</v>
      </c>
      <c r="B1856" s="65" t="s">
        <v>14083</v>
      </c>
      <c r="C1856" s="71" t="s">
        <v>509</v>
      </c>
      <c r="D1856" s="78">
        <v>1</v>
      </c>
      <c r="E1856" s="79">
        <v>13.39</v>
      </c>
      <c r="F1856" s="70">
        <v>13.39</v>
      </c>
      <c r="G1856" s="320"/>
      <c r="H1856" s="79">
        <v>13.39</v>
      </c>
      <c r="I1856" s="79">
        <v>0</v>
      </c>
      <c r="J1856" s="79">
        <v>13.39</v>
      </c>
      <c r="K1856" s="79">
        <v>0</v>
      </c>
      <c r="L1856" s="70">
        <v>13.39</v>
      </c>
      <c r="M1856" s="132"/>
      <c r="N1856" s="79">
        <v>13.39</v>
      </c>
      <c r="O1856" s="79"/>
      <c r="P1856" s="79">
        <v>13.39</v>
      </c>
      <c r="Q1856" s="136"/>
      <c r="R1856" s="79">
        <v>13.39</v>
      </c>
      <c r="S1856" s="79"/>
      <c r="T1856" s="79">
        <v>13.39</v>
      </c>
      <c r="U1856" s="79">
        <v>0</v>
      </c>
      <c r="V1856" s="189">
        <v>13.39</v>
      </c>
      <c r="X1856" s="79">
        <v>13.39</v>
      </c>
      <c r="Y1856" s="79"/>
      <c r="Z1856" s="79">
        <v>13.39</v>
      </c>
      <c r="AA1856" s="255">
        <v>0</v>
      </c>
      <c r="AC1856" s="254"/>
    </row>
    <row r="1857" spans="1:31" ht="12">
      <c r="A1857" s="67" t="s">
        <v>14084</v>
      </c>
      <c r="B1857" s="65" t="s">
        <v>14085</v>
      </c>
      <c r="C1857" s="71" t="s">
        <v>103</v>
      </c>
      <c r="D1857" s="78">
        <v>1</v>
      </c>
      <c r="E1857" s="79">
        <v>1287.74</v>
      </c>
      <c r="F1857" s="70">
        <v>1287.74</v>
      </c>
      <c r="G1857" s="320"/>
      <c r="H1857" s="79">
        <v>1249.99</v>
      </c>
      <c r="I1857" s="79">
        <v>37.75</v>
      </c>
      <c r="J1857" s="79">
        <v>1287.74</v>
      </c>
      <c r="K1857" s="79">
        <v>0</v>
      </c>
      <c r="L1857" s="70">
        <v>1287.74</v>
      </c>
      <c r="M1857" s="132"/>
      <c r="N1857" s="79">
        <v>1249.99</v>
      </c>
      <c r="O1857" s="79">
        <v>37.75</v>
      </c>
      <c r="P1857" s="79">
        <v>1287.74</v>
      </c>
      <c r="Q1857" s="136"/>
      <c r="R1857" s="79">
        <v>1249.99</v>
      </c>
      <c r="S1857" s="79">
        <v>37.76</v>
      </c>
      <c r="T1857" s="79">
        <v>1287.75</v>
      </c>
      <c r="U1857" s="79">
        <v>0</v>
      </c>
      <c r="V1857" s="189">
        <v>1287.75</v>
      </c>
      <c r="X1857" s="79">
        <v>1249.99</v>
      </c>
      <c r="Y1857" s="79">
        <v>37.76</v>
      </c>
      <c r="Z1857" s="79">
        <v>1287.75</v>
      </c>
      <c r="AA1857" s="255">
        <v>-9.9999999999909051E-3</v>
      </c>
      <c r="AC1857" s="254"/>
    </row>
    <row r="1858" spans="1:31" ht="12">
      <c r="A1858" s="489" t="s">
        <v>14086</v>
      </c>
      <c r="B1858" s="490" t="s">
        <v>14087</v>
      </c>
      <c r="C1858" s="491"/>
      <c r="D1858" s="492"/>
      <c r="E1858" s="79"/>
      <c r="F1858" s="63"/>
      <c r="G1858" s="320"/>
      <c r="H1858" s="79"/>
      <c r="I1858" s="79"/>
      <c r="J1858" s="79"/>
      <c r="K1858" s="79"/>
      <c r="L1858" s="70"/>
      <c r="M1858" s="132"/>
      <c r="N1858" s="79"/>
      <c r="O1858" s="79"/>
      <c r="P1858" s="79"/>
      <c r="Q1858" s="136"/>
      <c r="R1858" s="79"/>
      <c r="S1858" s="79"/>
      <c r="T1858" s="79"/>
      <c r="U1858" s="79"/>
      <c r="V1858" s="189"/>
      <c r="X1858" s="79"/>
      <c r="Y1858" s="79"/>
      <c r="Z1858" s="79"/>
      <c r="AA1858" s="255"/>
      <c r="AC1858" s="254"/>
    </row>
    <row r="1859" spans="1:31" ht="12">
      <c r="A1859" s="489" t="s">
        <v>14088</v>
      </c>
      <c r="B1859" s="490" t="s">
        <v>14089</v>
      </c>
      <c r="C1859" s="491"/>
      <c r="D1859" s="492"/>
      <c r="E1859" s="79"/>
      <c r="F1859" s="63"/>
      <c r="G1859" s="320"/>
      <c r="H1859" s="79"/>
      <c r="I1859" s="79"/>
      <c r="J1859" s="79"/>
      <c r="K1859" s="79"/>
      <c r="L1859" s="70"/>
      <c r="M1859" s="132"/>
      <c r="N1859" s="79"/>
      <c r="O1859" s="79"/>
      <c r="P1859" s="79"/>
      <c r="Q1859" s="136"/>
      <c r="R1859" s="79"/>
      <c r="S1859" s="79"/>
      <c r="T1859" s="79"/>
      <c r="U1859" s="79"/>
      <c r="V1859" s="189"/>
      <c r="X1859" s="79"/>
      <c r="Y1859" s="79"/>
      <c r="Z1859" s="79"/>
      <c r="AA1859" s="255"/>
      <c r="AC1859" s="254"/>
    </row>
    <row r="1860" spans="1:31" ht="12">
      <c r="A1860" s="67" t="s">
        <v>14090</v>
      </c>
      <c r="B1860" s="65" t="s">
        <v>14091</v>
      </c>
      <c r="C1860" s="71" t="s">
        <v>396</v>
      </c>
      <c r="D1860" s="78">
        <v>1</v>
      </c>
      <c r="E1860" s="79">
        <v>163034.57</v>
      </c>
      <c r="F1860" s="70">
        <v>163034.57</v>
      </c>
      <c r="G1860" s="320"/>
      <c r="H1860" s="79">
        <v>162739.01</v>
      </c>
      <c r="I1860" s="79">
        <v>295.56</v>
      </c>
      <c r="J1860" s="79">
        <v>163034.57</v>
      </c>
      <c r="K1860" s="79">
        <v>0</v>
      </c>
      <c r="L1860" s="70">
        <v>163034.57</v>
      </c>
      <c r="M1860" s="132"/>
      <c r="N1860" s="79">
        <v>162739.01</v>
      </c>
      <c r="O1860" s="79">
        <v>295.56</v>
      </c>
      <c r="P1860" s="79">
        <v>163034.57</v>
      </c>
      <c r="Q1860" s="136"/>
      <c r="R1860" s="79">
        <v>162739.01</v>
      </c>
      <c r="S1860" s="79">
        <v>295.58</v>
      </c>
      <c r="T1860" s="79">
        <v>163034.59</v>
      </c>
      <c r="U1860" s="79">
        <v>0</v>
      </c>
      <c r="V1860" s="189">
        <v>163034.59</v>
      </c>
      <c r="X1860" s="79">
        <v>162739.01</v>
      </c>
      <c r="Y1860" s="79">
        <v>295.58</v>
      </c>
      <c r="Z1860" s="79">
        <v>163034.59</v>
      </c>
      <c r="AA1860" s="255">
        <v>-1.9999999989522621E-2</v>
      </c>
      <c r="AC1860" s="254"/>
    </row>
    <row r="1861" spans="1:31" ht="12">
      <c r="A1861" s="67" t="s">
        <v>14092</v>
      </c>
      <c r="B1861" s="65" t="s">
        <v>14093</v>
      </c>
      <c r="C1861" s="71" t="s">
        <v>396</v>
      </c>
      <c r="D1861" s="78">
        <v>1</v>
      </c>
      <c r="E1861" s="79">
        <v>139439.1</v>
      </c>
      <c r="F1861" s="70">
        <v>139439.1</v>
      </c>
      <c r="G1861" s="320"/>
      <c r="H1861" s="79">
        <v>139143.54</v>
      </c>
      <c r="I1861" s="79">
        <v>295.56</v>
      </c>
      <c r="J1861" s="79">
        <v>139439.1</v>
      </c>
      <c r="K1861" s="79">
        <v>0</v>
      </c>
      <c r="L1861" s="70">
        <v>139439.1</v>
      </c>
      <c r="M1861" s="132"/>
      <c r="N1861" s="79">
        <v>139143.54</v>
      </c>
      <c r="O1861" s="79">
        <v>295.56</v>
      </c>
      <c r="P1861" s="79">
        <v>139439.1</v>
      </c>
      <c r="Q1861" s="136"/>
      <c r="R1861" s="79">
        <v>139143.54</v>
      </c>
      <c r="S1861" s="79">
        <v>295.58</v>
      </c>
      <c r="T1861" s="79">
        <v>139439.12</v>
      </c>
      <c r="U1861" s="79">
        <v>0</v>
      </c>
      <c r="V1861" s="189">
        <v>139439.12</v>
      </c>
      <c r="X1861" s="79">
        <v>139143.54</v>
      </c>
      <c r="Y1861" s="79">
        <v>295.58</v>
      </c>
      <c r="Z1861" s="79">
        <v>139439.12</v>
      </c>
      <c r="AA1861" s="255">
        <v>-1.9999999989522621E-2</v>
      </c>
      <c r="AC1861" s="254"/>
      <c r="AD1861" s="61"/>
      <c r="AE1861" s="61"/>
    </row>
    <row r="1862" spans="1:31" s="61" customFormat="1" ht="12">
      <c r="A1862" s="489" t="s">
        <v>14094</v>
      </c>
      <c r="B1862" s="490" t="s">
        <v>14095</v>
      </c>
      <c r="C1862" s="491"/>
      <c r="D1862" s="492"/>
      <c r="E1862" s="79"/>
      <c r="F1862" s="63"/>
      <c r="G1862" s="320"/>
      <c r="H1862" s="79"/>
      <c r="I1862" s="79"/>
      <c r="J1862" s="79"/>
      <c r="K1862" s="79"/>
      <c r="L1862" s="70"/>
      <c r="M1862" s="132"/>
      <c r="N1862" s="79"/>
      <c r="O1862" s="79"/>
      <c r="P1862" s="79"/>
      <c r="Q1862" s="136"/>
      <c r="R1862" s="79"/>
      <c r="S1862" s="79"/>
      <c r="T1862" s="79"/>
      <c r="U1862" s="79"/>
      <c r="V1862" s="189"/>
      <c r="X1862" s="79"/>
      <c r="Y1862" s="79"/>
      <c r="Z1862" s="79"/>
      <c r="AA1862" s="255"/>
      <c r="AC1862" s="254"/>
      <c r="AD1862" s="236"/>
      <c r="AE1862" s="236"/>
    </row>
    <row r="1863" spans="1:31" ht="12">
      <c r="A1863" s="67" t="s">
        <v>14096</v>
      </c>
      <c r="B1863" s="65" t="s">
        <v>14097</v>
      </c>
      <c r="C1863" s="71" t="s">
        <v>103</v>
      </c>
      <c r="D1863" s="78">
        <v>1</v>
      </c>
      <c r="E1863" s="79">
        <v>329.95</v>
      </c>
      <c r="F1863" s="70">
        <v>329.95</v>
      </c>
      <c r="G1863" s="320"/>
      <c r="H1863" s="79">
        <v>136.75</v>
      </c>
      <c r="I1863" s="79">
        <v>193.2</v>
      </c>
      <c r="J1863" s="79">
        <v>329.95</v>
      </c>
      <c r="K1863" s="79">
        <v>0</v>
      </c>
      <c r="L1863" s="70">
        <v>329.95</v>
      </c>
      <c r="M1863" s="132"/>
      <c r="N1863" s="79">
        <v>136.75</v>
      </c>
      <c r="O1863" s="79">
        <v>193.2</v>
      </c>
      <c r="P1863" s="79">
        <v>329.95</v>
      </c>
      <c r="Q1863" s="136"/>
      <c r="R1863" s="79">
        <v>136.75</v>
      </c>
      <c r="S1863" s="79">
        <v>193.21</v>
      </c>
      <c r="T1863" s="79">
        <v>329.96000000000004</v>
      </c>
      <c r="U1863" s="79">
        <v>0</v>
      </c>
      <c r="V1863" s="189">
        <v>329.96000000000004</v>
      </c>
      <c r="X1863" s="79">
        <v>136.75</v>
      </c>
      <c r="Y1863" s="79">
        <v>193.21</v>
      </c>
      <c r="Z1863" s="79">
        <v>329.96</v>
      </c>
      <c r="AA1863" s="255">
        <v>-9.9999999999909051E-3</v>
      </c>
      <c r="AC1863" s="254"/>
    </row>
    <row r="1864" spans="1:31" ht="12">
      <c r="A1864" s="67" t="s">
        <v>14098</v>
      </c>
      <c r="B1864" s="65" t="s">
        <v>14099</v>
      </c>
      <c r="C1864" s="71" t="s">
        <v>103</v>
      </c>
      <c r="D1864" s="78">
        <v>1</v>
      </c>
      <c r="E1864" s="79">
        <v>429.92999999999995</v>
      </c>
      <c r="F1864" s="70">
        <v>429.93</v>
      </c>
      <c r="G1864" s="320"/>
      <c r="H1864" s="79">
        <v>236.73</v>
      </c>
      <c r="I1864" s="79">
        <v>193.2</v>
      </c>
      <c r="J1864" s="79">
        <v>429.92999999999995</v>
      </c>
      <c r="K1864" s="79">
        <v>0</v>
      </c>
      <c r="L1864" s="70">
        <v>429.92999999999995</v>
      </c>
      <c r="M1864" s="132"/>
      <c r="N1864" s="79">
        <v>236.73</v>
      </c>
      <c r="O1864" s="79">
        <v>193.2</v>
      </c>
      <c r="P1864" s="79">
        <v>429.92999999999995</v>
      </c>
      <c r="Q1864" s="136"/>
      <c r="R1864" s="79">
        <v>236.73</v>
      </c>
      <c r="S1864" s="79">
        <v>193.21</v>
      </c>
      <c r="T1864" s="79">
        <v>429.94</v>
      </c>
      <c r="U1864" s="79">
        <v>0</v>
      </c>
      <c r="V1864" s="189">
        <v>429.94</v>
      </c>
      <c r="X1864" s="79">
        <v>236.73</v>
      </c>
      <c r="Y1864" s="79">
        <v>193.21</v>
      </c>
      <c r="Z1864" s="79">
        <v>429.94</v>
      </c>
      <c r="AA1864" s="255">
        <v>-9.9999999999909051E-3</v>
      </c>
      <c r="AC1864" s="254"/>
    </row>
    <row r="1865" spans="1:31" ht="12">
      <c r="A1865" s="67" t="s">
        <v>14100</v>
      </c>
      <c r="B1865" s="65" t="s">
        <v>14101</v>
      </c>
      <c r="C1865" s="71" t="s">
        <v>103</v>
      </c>
      <c r="D1865" s="78">
        <v>1</v>
      </c>
      <c r="E1865" s="79">
        <v>1401.11</v>
      </c>
      <c r="F1865" s="70">
        <v>1401.11</v>
      </c>
      <c r="G1865" s="320"/>
      <c r="H1865" s="79">
        <v>1177.81</v>
      </c>
      <c r="I1865" s="79">
        <v>223.3</v>
      </c>
      <c r="J1865" s="79">
        <v>1401.11</v>
      </c>
      <c r="K1865" s="79">
        <v>0</v>
      </c>
      <c r="L1865" s="70">
        <v>1401.11</v>
      </c>
      <c r="M1865" s="132"/>
      <c r="N1865" s="79">
        <v>1177.81</v>
      </c>
      <c r="O1865" s="79">
        <v>223.3</v>
      </c>
      <c r="P1865" s="79">
        <v>1401.11</v>
      </c>
      <c r="Q1865" s="136"/>
      <c r="R1865" s="79">
        <v>1177.81</v>
      </c>
      <c r="S1865" s="79">
        <v>223.32</v>
      </c>
      <c r="T1865" s="79">
        <v>1401.1299999999999</v>
      </c>
      <c r="U1865" s="79">
        <v>0</v>
      </c>
      <c r="V1865" s="189">
        <v>1401.1299999999999</v>
      </c>
      <c r="X1865" s="79">
        <v>1177.81</v>
      </c>
      <c r="Y1865" s="79">
        <v>223.32</v>
      </c>
      <c r="Z1865" s="79">
        <v>1401.13</v>
      </c>
      <c r="AA1865" s="255">
        <v>-2.0000000000209184E-2</v>
      </c>
      <c r="AC1865" s="254"/>
    </row>
    <row r="1866" spans="1:31" ht="12">
      <c r="A1866" s="67" t="s">
        <v>14102</v>
      </c>
      <c r="B1866" s="65" t="s">
        <v>14103</v>
      </c>
      <c r="C1866" s="71" t="s">
        <v>103</v>
      </c>
      <c r="D1866" s="78">
        <v>1</v>
      </c>
      <c r="E1866" s="79">
        <v>2894.9100000000003</v>
      </c>
      <c r="F1866" s="70">
        <v>2894.91</v>
      </c>
      <c r="G1866" s="320"/>
      <c r="H1866" s="79">
        <v>2671.61</v>
      </c>
      <c r="I1866" s="79">
        <v>223.3</v>
      </c>
      <c r="J1866" s="79">
        <v>2894.9100000000003</v>
      </c>
      <c r="K1866" s="79">
        <v>0</v>
      </c>
      <c r="L1866" s="70">
        <v>2894.9100000000003</v>
      </c>
      <c r="M1866" s="132"/>
      <c r="N1866" s="79">
        <v>2671.61</v>
      </c>
      <c r="O1866" s="79">
        <v>223.3</v>
      </c>
      <c r="P1866" s="79">
        <v>2894.9100000000003</v>
      </c>
      <c r="Q1866" s="136"/>
      <c r="R1866" s="79">
        <v>2671.61</v>
      </c>
      <c r="S1866" s="79">
        <v>223.32</v>
      </c>
      <c r="T1866" s="79">
        <v>2894.9300000000003</v>
      </c>
      <c r="U1866" s="79">
        <v>0</v>
      </c>
      <c r="V1866" s="189">
        <v>2894.9300000000003</v>
      </c>
      <c r="X1866" s="79">
        <v>2671.61</v>
      </c>
      <c r="Y1866" s="79">
        <v>223.32</v>
      </c>
      <c r="Z1866" s="79">
        <v>2894.93</v>
      </c>
      <c r="AA1866" s="255">
        <v>-1.999999999998181E-2</v>
      </c>
      <c r="AC1866" s="254"/>
    </row>
    <row r="1867" spans="1:31" ht="12">
      <c r="A1867" s="67" t="s">
        <v>14104</v>
      </c>
      <c r="B1867" s="65" t="s">
        <v>14105</v>
      </c>
      <c r="C1867" s="71" t="s">
        <v>103</v>
      </c>
      <c r="D1867" s="78">
        <v>1</v>
      </c>
      <c r="E1867" s="79">
        <v>2089.12</v>
      </c>
      <c r="F1867" s="70">
        <v>2089.12</v>
      </c>
      <c r="G1867" s="320"/>
      <c r="H1867" s="79">
        <v>1865.82</v>
      </c>
      <c r="I1867" s="79">
        <v>223.3</v>
      </c>
      <c r="J1867" s="79">
        <v>2089.12</v>
      </c>
      <c r="K1867" s="79">
        <v>0</v>
      </c>
      <c r="L1867" s="70">
        <v>2089.12</v>
      </c>
      <c r="M1867" s="132"/>
      <c r="N1867" s="79">
        <v>1865.82</v>
      </c>
      <c r="O1867" s="79">
        <v>223.3</v>
      </c>
      <c r="P1867" s="79">
        <v>2089.12</v>
      </c>
      <c r="Q1867" s="136"/>
      <c r="R1867" s="79">
        <v>1865.82</v>
      </c>
      <c r="S1867" s="79">
        <v>223.32</v>
      </c>
      <c r="T1867" s="79">
        <v>2089.14</v>
      </c>
      <c r="U1867" s="79">
        <v>0</v>
      </c>
      <c r="V1867" s="189">
        <v>2089.14</v>
      </c>
      <c r="X1867" s="79">
        <v>1865.82</v>
      </c>
      <c r="Y1867" s="79">
        <v>223.32</v>
      </c>
      <c r="Z1867" s="79">
        <v>2089.14</v>
      </c>
      <c r="AA1867" s="255">
        <v>-1.999999999998181E-2</v>
      </c>
      <c r="AC1867" s="254"/>
    </row>
    <row r="1868" spans="1:31" ht="12">
      <c r="A1868" s="67" t="s">
        <v>14106</v>
      </c>
      <c r="B1868" s="65" t="s">
        <v>14107</v>
      </c>
      <c r="C1868" s="71" t="s">
        <v>103</v>
      </c>
      <c r="D1868" s="78">
        <v>1</v>
      </c>
      <c r="E1868" s="79">
        <v>720.39</v>
      </c>
      <c r="F1868" s="70">
        <v>720.39</v>
      </c>
      <c r="G1868" s="320"/>
      <c r="H1868" s="79">
        <v>552.91</v>
      </c>
      <c r="I1868" s="79">
        <v>167.48</v>
      </c>
      <c r="J1868" s="79">
        <v>720.39</v>
      </c>
      <c r="K1868" s="79">
        <v>0</v>
      </c>
      <c r="L1868" s="70">
        <v>720.39</v>
      </c>
      <c r="M1868" s="132"/>
      <c r="N1868" s="79">
        <v>552.91</v>
      </c>
      <c r="O1868" s="79">
        <v>167.48</v>
      </c>
      <c r="P1868" s="79">
        <v>720.39</v>
      </c>
      <c r="Q1868" s="136"/>
      <c r="R1868" s="79">
        <v>552.91</v>
      </c>
      <c r="S1868" s="79">
        <v>167.49</v>
      </c>
      <c r="T1868" s="79">
        <v>720.4</v>
      </c>
      <c r="U1868" s="79">
        <v>0</v>
      </c>
      <c r="V1868" s="189">
        <v>720.4</v>
      </c>
      <c r="X1868" s="79">
        <v>552.91</v>
      </c>
      <c r="Y1868" s="79">
        <v>167.49</v>
      </c>
      <c r="Z1868" s="79">
        <v>720.4</v>
      </c>
      <c r="AA1868" s="255">
        <v>-9.9999999999909051E-3</v>
      </c>
      <c r="AC1868" s="254"/>
    </row>
    <row r="1869" spans="1:31" ht="12">
      <c r="A1869" s="67" t="s">
        <v>14108</v>
      </c>
      <c r="B1869" s="65" t="s">
        <v>14109</v>
      </c>
      <c r="C1869" s="71" t="s">
        <v>103</v>
      </c>
      <c r="D1869" s="78">
        <v>1</v>
      </c>
      <c r="E1869" s="79">
        <v>1945.54</v>
      </c>
      <c r="F1869" s="70">
        <v>1945.54</v>
      </c>
      <c r="G1869" s="320"/>
      <c r="H1869" s="79">
        <v>1713.06</v>
      </c>
      <c r="I1869" s="79">
        <v>232.48000000000002</v>
      </c>
      <c r="J1869" s="79">
        <v>1945.54</v>
      </c>
      <c r="K1869" s="79">
        <v>0</v>
      </c>
      <c r="L1869" s="70">
        <v>1945.54</v>
      </c>
      <c r="M1869" s="132"/>
      <c r="N1869" s="79">
        <v>1713.06</v>
      </c>
      <c r="O1869" s="79">
        <v>232.48000000000002</v>
      </c>
      <c r="P1869" s="79">
        <v>1945.54</v>
      </c>
      <c r="Q1869" s="136"/>
      <c r="R1869" s="79">
        <v>1713.06</v>
      </c>
      <c r="S1869" s="79">
        <v>232.48</v>
      </c>
      <c r="T1869" s="79">
        <v>1945.54</v>
      </c>
      <c r="U1869" s="79">
        <v>0</v>
      </c>
      <c r="V1869" s="189">
        <v>1945.54</v>
      </c>
      <c r="X1869" s="79">
        <v>1713.06</v>
      </c>
      <c r="Y1869" s="79">
        <v>232.48</v>
      </c>
      <c r="Z1869" s="79">
        <v>1945.54</v>
      </c>
      <c r="AA1869" s="255">
        <v>0</v>
      </c>
      <c r="AC1869" s="254"/>
    </row>
    <row r="1870" spans="1:31" ht="24">
      <c r="A1870" s="67" t="s">
        <v>14110</v>
      </c>
      <c r="B1870" s="65" t="s">
        <v>14111</v>
      </c>
      <c r="C1870" s="71" t="s">
        <v>103</v>
      </c>
      <c r="D1870" s="78">
        <v>1</v>
      </c>
      <c r="E1870" s="79">
        <v>1321.86</v>
      </c>
      <c r="F1870" s="70">
        <v>1321.86</v>
      </c>
      <c r="G1870" s="320"/>
      <c r="H1870" s="79">
        <v>1098.56</v>
      </c>
      <c r="I1870" s="79">
        <v>223.3</v>
      </c>
      <c r="J1870" s="79">
        <v>1321.86</v>
      </c>
      <c r="K1870" s="79">
        <v>0</v>
      </c>
      <c r="L1870" s="70">
        <v>1321.86</v>
      </c>
      <c r="M1870" s="132"/>
      <c r="N1870" s="79">
        <v>1098.56</v>
      </c>
      <c r="O1870" s="79">
        <v>223.3</v>
      </c>
      <c r="P1870" s="79">
        <v>1321.86</v>
      </c>
      <c r="Q1870" s="136"/>
      <c r="R1870" s="79">
        <v>1098.56</v>
      </c>
      <c r="S1870" s="79">
        <v>223.32</v>
      </c>
      <c r="T1870" s="79">
        <v>1321.8799999999999</v>
      </c>
      <c r="U1870" s="79">
        <v>0</v>
      </c>
      <c r="V1870" s="189">
        <v>1321.8799999999999</v>
      </c>
      <c r="X1870" s="79">
        <v>1098.56</v>
      </c>
      <c r="Y1870" s="79">
        <v>223.32</v>
      </c>
      <c r="Z1870" s="79">
        <v>1321.88</v>
      </c>
      <c r="AA1870" s="255">
        <v>-2.0000000000209184E-2</v>
      </c>
      <c r="AC1870" s="254"/>
    </row>
    <row r="1871" spans="1:31" ht="12">
      <c r="A1871" s="67" t="s">
        <v>14112</v>
      </c>
      <c r="B1871" s="65" t="s">
        <v>14113</v>
      </c>
      <c r="C1871" s="71" t="s">
        <v>103</v>
      </c>
      <c r="D1871" s="78">
        <v>1</v>
      </c>
      <c r="E1871" s="79">
        <v>237.52</v>
      </c>
      <c r="F1871" s="70">
        <v>237.52</v>
      </c>
      <c r="G1871" s="320"/>
      <c r="H1871" s="79">
        <v>125.87</v>
      </c>
      <c r="I1871" s="79">
        <v>111.65</v>
      </c>
      <c r="J1871" s="79">
        <v>237.52</v>
      </c>
      <c r="K1871" s="79">
        <v>0</v>
      </c>
      <c r="L1871" s="70">
        <v>237.52</v>
      </c>
      <c r="M1871" s="132"/>
      <c r="N1871" s="79">
        <v>125.87</v>
      </c>
      <c r="O1871" s="79">
        <v>111.65</v>
      </c>
      <c r="P1871" s="79">
        <v>237.52</v>
      </c>
      <c r="Q1871" s="136"/>
      <c r="R1871" s="79">
        <v>125.87</v>
      </c>
      <c r="S1871" s="79">
        <v>111.66</v>
      </c>
      <c r="T1871" s="79">
        <v>237.53</v>
      </c>
      <c r="U1871" s="79">
        <v>0</v>
      </c>
      <c r="V1871" s="189">
        <v>237.53</v>
      </c>
      <c r="X1871" s="79">
        <v>125.87</v>
      </c>
      <c r="Y1871" s="79">
        <v>111.66</v>
      </c>
      <c r="Z1871" s="79">
        <v>237.53</v>
      </c>
      <c r="AA1871" s="255">
        <v>-9.9999999999909051E-3</v>
      </c>
      <c r="AC1871" s="254"/>
    </row>
    <row r="1872" spans="1:31" ht="12">
      <c r="A1872" s="67" t="s">
        <v>14114</v>
      </c>
      <c r="B1872" s="65" t="s">
        <v>14115</v>
      </c>
      <c r="C1872" s="71" t="s">
        <v>103</v>
      </c>
      <c r="D1872" s="78">
        <v>1</v>
      </c>
      <c r="E1872" s="79">
        <v>391.79999999999995</v>
      </c>
      <c r="F1872" s="70">
        <v>391.8</v>
      </c>
      <c r="G1872" s="320"/>
      <c r="H1872" s="79">
        <v>198.6</v>
      </c>
      <c r="I1872" s="79">
        <v>193.2</v>
      </c>
      <c r="J1872" s="79">
        <v>391.79999999999995</v>
      </c>
      <c r="K1872" s="79">
        <v>0</v>
      </c>
      <c r="L1872" s="70">
        <v>391.79999999999995</v>
      </c>
      <c r="M1872" s="132"/>
      <c r="N1872" s="79">
        <v>198.6</v>
      </c>
      <c r="O1872" s="79">
        <v>193.2</v>
      </c>
      <c r="P1872" s="79">
        <v>391.79999999999995</v>
      </c>
      <c r="Q1872" s="136"/>
      <c r="R1872" s="79">
        <v>198.6</v>
      </c>
      <c r="S1872" s="79">
        <v>193.21</v>
      </c>
      <c r="T1872" s="79">
        <v>391.81</v>
      </c>
      <c r="U1872" s="79">
        <v>0</v>
      </c>
      <c r="V1872" s="189">
        <v>391.81</v>
      </c>
      <c r="X1872" s="79">
        <v>198.6</v>
      </c>
      <c r="Y1872" s="79">
        <v>193.21</v>
      </c>
      <c r="Z1872" s="79">
        <v>391.81</v>
      </c>
      <c r="AA1872" s="255">
        <v>-9.9999999999909051E-3</v>
      </c>
      <c r="AC1872" s="254"/>
    </row>
    <row r="1873" spans="1:31" ht="12">
      <c r="A1873" s="67" t="s">
        <v>14116</v>
      </c>
      <c r="B1873" s="65" t="s">
        <v>14117</v>
      </c>
      <c r="C1873" s="71" t="s">
        <v>103</v>
      </c>
      <c r="D1873" s="78">
        <v>1</v>
      </c>
      <c r="E1873" s="79">
        <v>979.8599999999999</v>
      </c>
      <c r="F1873" s="70">
        <v>979.86</v>
      </c>
      <c r="G1873" s="320"/>
      <c r="H1873" s="79">
        <v>756.56</v>
      </c>
      <c r="I1873" s="79">
        <v>223.3</v>
      </c>
      <c r="J1873" s="79">
        <v>979.8599999999999</v>
      </c>
      <c r="K1873" s="79">
        <v>0</v>
      </c>
      <c r="L1873" s="70">
        <v>979.8599999999999</v>
      </c>
      <c r="M1873" s="132"/>
      <c r="N1873" s="79">
        <v>756.56</v>
      </c>
      <c r="O1873" s="79">
        <v>223.3</v>
      </c>
      <c r="P1873" s="79">
        <v>979.8599999999999</v>
      </c>
      <c r="Q1873" s="136"/>
      <c r="R1873" s="79">
        <v>756.56</v>
      </c>
      <c r="S1873" s="79">
        <v>223.32</v>
      </c>
      <c r="T1873" s="79">
        <v>979.87999999999988</v>
      </c>
      <c r="U1873" s="79">
        <v>0</v>
      </c>
      <c r="V1873" s="189">
        <v>979.87999999999988</v>
      </c>
      <c r="X1873" s="79">
        <v>756.56</v>
      </c>
      <c r="Y1873" s="79">
        <v>223.32</v>
      </c>
      <c r="Z1873" s="79">
        <v>979.88</v>
      </c>
      <c r="AA1873" s="255">
        <v>-1.999999999998181E-2</v>
      </c>
      <c r="AC1873" s="254"/>
    </row>
    <row r="1874" spans="1:31" ht="12">
      <c r="A1874" s="489" t="s">
        <v>14118</v>
      </c>
      <c r="B1874" s="490" t="s">
        <v>14119</v>
      </c>
      <c r="C1874" s="491"/>
      <c r="D1874" s="492"/>
      <c r="E1874" s="79"/>
      <c r="F1874" s="63"/>
      <c r="G1874" s="320"/>
      <c r="H1874" s="79"/>
      <c r="I1874" s="79"/>
      <c r="J1874" s="79"/>
      <c r="K1874" s="79"/>
      <c r="L1874" s="70"/>
      <c r="M1874" s="132"/>
      <c r="N1874" s="79"/>
      <c r="O1874" s="79"/>
      <c r="P1874" s="79"/>
      <c r="Q1874" s="136"/>
      <c r="R1874" s="79"/>
      <c r="S1874" s="79"/>
      <c r="T1874" s="79"/>
      <c r="U1874" s="79"/>
      <c r="V1874" s="189"/>
      <c r="X1874" s="79"/>
      <c r="Y1874" s="79"/>
      <c r="Z1874" s="79"/>
      <c r="AA1874" s="255"/>
      <c r="AC1874" s="254"/>
    </row>
    <row r="1875" spans="1:31" ht="12">
      <c r="A1875" s="67" t="s">
        <v>14120</v>
      </c>
      <c r="B1875" s="65" t="s">
        <v>3995</v>
      </c>
      <c r="C1875" s="71" t="s">
        <v>103</v>
      </c>
      <c r="D1875" s="78">
        <v>1</v>
      </c>
      <c r="E1875" s="79">
        <v>50.62</v>
      </c>
      <c r="F1875" s="70">
        <v>50.62</v>
      </c>
      <c r="G1875" s="320"/>
      <c r="H1875" s="79">
        <v>33.869999999999997</v>
      </c>
      <c r="I1875" s="79">
        <v>16.75</v>
      </c>
      <c r="J1875" s="79">
        <v>50.62</v>
      </c>
      <c r="K1875" s="79">
        <v>0</v>
      </c>
      <c r="L1875" s="70">
        <v>50.62</v>
      </c>
      <c r="M1875" s="132"/>
      <c r="N1875" s="79">
        <v>33.869999999999997</v>
      </c>
      <c r="O1875" s="79">
        <v>16.75</v>
      </c>
      <c r="P1875" s="79">
        <v>50.62</v>
      </c>
      <c r="Q1875" s="136"/>
      <c r="R1875" s="79">
        <v>33.869999999999997</v>
      </c>
      <c r="S1875" s="79">
        <v>16.75</v>
      </c>
      <c r="T1875" s="79">
        <v>50.62</v>
      </c>
      <c r="U1875" s="79">
        <v>0</v>
      </c>
      <c r="V1875" s="189">
        <v>50.62</v>
      </c>
      <c r="X1875" s="79">
        <v>33.869999999999997</v>
      </c>
      <c r="Y1875" s="79">
        <v>16.75</v>
      </c>
      <c r="Z1875" s="79">
        <v>50.62</v>
      </c>
      <c r="AA1875" s="255">
        <v>0</v>
      </c>
      <c r="AC1875" s="254"/>
    </row>
    <row r="1876" spans="1:31" ht="12">
      <c r="A1876" s="67" t="s">
        <v>14121</v>
      </c>
      <c r="B1876" s="65" t="s">
        <v>3993</v>
      </c>
      <c r="C1876" s="71" t="s">
        <v>103</v>
      </c>
      <c r="D1876" s="78">
        <v>1</v>
      </c>
      <c r="E1876" s="79">
        <v>69.31</v>
      </c>
      <c r="F1876" s="70">
        <v>69.31</v>
      </c>
      <c r="G1876" s="320"/>
      <c r="H1876" s="79">
        <v>52.56</v>
      </c>
      <c r="I1876" s="79">
        <v>16.75</v>
      </c>
      <c r="J1876" s="79">
        <v>69.31</v>
      </c>
      <c r="K1876" s="79">
        <v>0</v>
      </c>
      <c r="L1876" s="70">
        <v>69.31</v>
      </c>
      <c r="M1876" s="132"/>
      <c r="N1876" s="79">
        <v>52.56</v>
      </c>
      <c r="O1876" s="79">
        <v>16.75</v>
      </c>
      <c r="P1876" s="79">
        <v>69.31</v>
      </c>
      <c r="Q1876" s="136"/>
      <c r="R1876" s="79">
        <v>52.56</v>
      </c>
      <c r="S1876" s="79">
        <v>16.75</v>
      </c>
      <c r="T1876" s="79">
        <v>69.31</v>
      </c>
      <c r="U1876" s="79">
        <v>0</v>
      </c>
      <c r="V1876" s="189">
        <v>69.31</v>
      </c>
      <c r="X1876" s="79">
        <v>52.56</v>
      </c>
      <c r="Y1876" s="79">
        <v>16.75</v>
      </c>
      <c r="Z1876" s="79">
        <v>69.31</v>
      </c>
      <c r="AA1876" s="255">
        <v>0</v>
      </c>
      <c r="AC1876" s="254"/>
      <c r="AD1876" s="61"/>
      <c r="AE1876" s="61"/>
    </row>
    <row r="1877" spans="1:31" ht="12">
      <c r="A1877" s="67" t="s">
        <v>14122</v>
      </c>
      <c r="B1877" s="65" t="s">
        <v>3991</v>
      </c>
      <c r="C1877" s="71" t="s">
        <v>103</v>
      </c>
      <c r="D1877" s="78">
        <v>1</v>
      </c>
      <c r="E1877" s="79">
        <v>107.25</v>
      </c>
      <c r="F1877" s="70">
        <v>107.25</v>
      </c>
      <c r="G1877" s="320"/>
      <c r="H1877" s="79">
        <v>90.5</v>
      </c>
      <c r="I1877" s="79">
        <v>16.75</v>
      </c>
      <c r="J1877" s="79">
        <v>107.25</v>
      </c>
      <c r="K1877" s="79">
        <v>0</v>
      </c>
      <c r="L1877" s="70">
        <v>107.25</v>
      </c>
      <c r="M1877" s="132"/>
      <c r="N1877" s="79">
        <v>90.5</v>
      </c>
      <c r="O1877" s="79">
        <v>16.75</v>
      </c>
      <c r="P1877" s="79">
        <v>107.25</v>
      </c>
      <c r="Q1877" s="136"/>
      <c r="R1877" s="79">
        <v>90.5</v>
      </c>
      <c r="S1877" s="79">
        <v>16.75</v>
      </c>
      <c r="T1877" s="79">
        <v>107.25</v>
      </c>
      <c r="U1877" s="79">
        <v>0</v>
      </c>
      <c r="V1877" s="189">
        <v>107.25</v>
      </c>
      <c r="X1877" s="79">
        <v>90.5</v>
      </c>
      <c r="Y1877" s="79">
        <v>16.75</v>
      </c>
      <c r="Z1877" s="79">
        <v>107.25</v>
      </c>
      <c r="AA1877" s="255">
        <v>0</v>
      </c>
      <c r="AC1877" s="254"/>
    </row>
    <row r="1878" spans="1:31" s="61" customFormat="1" ht="12">
      <c r="A1878" s="67" t="s">
        <v>14123</v>
      </c>
      <c r="B1878" s="65" t="s">
        <v>3989</v>
      </c>
      <c r="C1878" s="71" t="s">
        <v>103</v>
      </c>
      <c r="D1878" s="78">
        <v>1</v>
      </c>
      <c r="E1878" s="79">
        <v>137.81</v>
      </c>
      <c r="F1878" s="70">
        <v>137.81</v>
      </c>
      <c r="G1878" s="320"/>
      <c r="H1878" s="79">
        <v>121.06</v>
      </c>
      <c r="I1878" s="79">
        <v>16.75</v>
      </c>
      <c r="J1878" s="79">
        <v>137.81</v>
      </c>
      <c r="K1878" s="79">
        <v>0</v>
      </c>
      <c r="L1878" s="70">
        <v>137.81</v>
      </c>
      <c r="M1878" s="132"/>
      <c r="N1878" s="79">
        <v>121.06</v>
      </c>
      <c r="O1878" s="79">
        <v>16.75</v>
      </c>
      <c r="P1878" s="79">
        <v>137.81</v>
      </c>
      <c r="Q1878" s="136"/>
      <c r="R1878" s="79">
        <v>121.06</v>
      </c>
      <c r="S1878" s="79">
        <v>16.75</v>
      </c>
      <c r="T1878" s="79">
        <v>137.81</v>
      </c>
      <c r="U1878" s="79">
        <v>0</v>
      </c>
      <c r="V1878" s="189">
        <v>137.81</v>
      </c>
      <c r="X1878" s="79">
        <v>121.06</v>
      </c>
      <c r="Y1878" s="79">
        <v>16.75</v>
      </c>
      <c r="Z1878" s="79">
        <v>137.81</v>
      </c>
      <c r="AA1878" s="255">
        <v>0</v>
      </c>
      <c r="AC1878" s="254"/>
      <c r="AD1878" s="236"/>
      <c r="AE1878" s="236"/>
    </row>
    <row r="1879" spans="1:31" ht="12">
      <c r="A1879" s="489" t="s">
        <v>14124</v>
      </c>
      <c r="B1879" s="490" t="s">
        <v>14125</v>
      </c>
      <c r="C1879" s="491"/>
      <c r="D1879" s="492"/>
      <c r="E1879" s="79"/>
      <c r="F1879" s="63"/>
      <c r="G1879" s="320"/>
      <c r="H1879" s="79"/>
      <c r="I1879" s="79"/>
      <c r="J1879" s="79"/>
      <c r="K1879" s="79"/>
      <c r="L1879" s="70"/>
      <c r="M1879" s="132"/>
      <c r="N1879" s="79"/>
      <c r="O1879" s="79"/>
      <c r="P1879" s="79"/>
      <c r="Q1879" s="136"/>
      <c r="R1879" s="79"/>
      <c r="S1879" s="79"/>
      <c r="T1879" s="79"/>
      <c r="U1879" s="79"/>
      <c r="V1879" s="189"/>
      <c r="X1879" s="79"/>
      <c r="Y1879" s="79"/>
      <c r="Z1879" s="79"/>
      <c r="AA1879" s="255"/>
      <c r="AC1879" s="254"/>
    </row>
    <row r="1880" spans="1:31" ht="12">
      <c r="A1880" s="67" t="s">
        <v>14126</v>
      </c>
      <c r="B1880" s="65" t="s">
        <v>14127</v>
      </c>
      <c r="C1880" s="71" t="s">
        <v>103</v>
      </c>
      <c r="D1880" s="78">
        <v>1</v>
      </c>
      <c r="E1880" s="79">
        <v>55.209999999999994</v>
      </c>
      <c r="F1880" s="70">
        <v>55.21</v>
      </c>
      <c r="G1880" s="320"/>
      <c r="H1880" s="79">
        <v>44.05</v>
      </c>
      <c r="I1880" s="79">
        <v>11.16</v>
      </c>
      <c r="J1880" s="79">
        <v>55.209999999999994</v>
      </c>
      <c r="K1880" s="79">
        <v>0</v>
      </c>
      <c r="L1880" s="70">
        <v>55.209999999999994</v>
      </c>
      <c r="M1880" s="132"/>
      <c r="N1880" s="79">
        <v>44.05</v>
      </c>
      <c r="O1880" s="79">
        <v>11.16</v>
      </c>
      <c r="P1880" s="79">
        <v>55.209999999999994</v>
      </c>
      <c r="Q1880" s="136"/>
      <c r="R1880" s="79">
        <v>44.05</v>
      </c>
      <c r="S1880" s="79">
        <v>11.16</v>
      </c>
      <c r="T1880" s="79">
        <v>55.209999999999994</v>
      </c>
      <c r="U1880" s="79">
        <v>0</v>
      </c>
      <c r="V1880" s="189">
        <v>55.209999999999994</v>
      </c>
      <c r="X1880" s="79">
        <v>44.05</v>
      </c>
      <c r="Y1880" s="79">
        <v>11.16</v>
      </c>
      <c r="Z1880" s="79">
        <v>55.21</v>
      </c>
      <c r="AA1880" s="255">
        <v>0</v>
      </c>
      <c r="AC1880" s="254"/>
    </row>
    <row r="1881" spans="1:31" ht="12">
      <c r="A1881" s="67" t="s">
        <v>14128</v>
      </c>
      <c r="B1881" s="65" t="s">
        <v>14129</v>
      </c>
      <c r="C1881" s="71" t="s">
        <v>103</v>
      </c>
      <c r="D1881" s="78">
        <v>1</v>
      </c>
      <c r="E1881" s="79">
        <v>102.75</v>
      </c>
      <c r="F1881" s="70">
        <v>102.75</v>
      </c>
      <c r="G1881" s="320"/>
      <c r="H1881" s="79">
        <v>91.59</v>
      </c>
      <c r="I1881" s="79">
        <v>11.16</v>
      </c>
      <c r="J1881" s="79">
        <v>102.75</v>
      </c>
      <c r="K1881" s="79">
        <v>0</v>
      </c>
      <c r="L1881" s="70">
        <v>102.75</v>
      </c>
      <c r="M1881" s="132"/>
      <c r="N1881" s="79">
        <v>91.59</v>
      </c>
      <c r="O1881" s="79">
        <v>11.16</v>
      </c>
      <c r="P1881" s="79">
        <v>102.75</v>
      </c>
      <c r="Q1881" s="136"/>
      <c r="R1881" s="79">
        <v>91.59</v>
      </c>
      <c r="S1881" s="79">
        <v>11.16</v>
      </c>
      <c r="T1881" s="79">
        <v>102.75</v>
      </c>
      <c r="U1881" s="79">
        <v>0</v>
      </c>
      <c r="V1881" s="189">
        <v>102.75</v>
      </c>
      <c r="X1881" s="79">
        <v>91.59</v>
      </c>
      <c r="Y1881" s="79">
        <v>11.16</v>
      </c>
      <c r="Z1881" s="79">
        <v>102.75</v>
      </c>
      <c r="AA1881" s="255">
        <v>0</v>
      </c>
      <c r="AC1881" s="254"/>
    </row>
    <row r="1882" spans="1:31" ht="12">
      <c r="A1882" s="67" t="s">
        <v>14130</v>
      </c>
      <c r="B1882" s="65" t="s">
        <v>14131</v>
      </c>
      <c r="C1882" s="71" t="s">
        <v>103</v>
      </c>
      <c r="D1882" s="78">
        <v>1</v>
      </c>
      <c r="E1882" s="79">
        <v>123.63999999999999</v>
      </c>
      <c r="F1882" s="70">
        <v>123.64</v>
      </c>
      <c r="G1882" s="320"/>
      <c r="H1882" s="79">
        <v>81.78</v>
      </c>
      <c r="I1882" s="79">
        <v>41.86</v>
      </c>
      <c r="J1882" s="79">
        <v>123.64</v>
      </c>
      <c r="K1882" s="79">
        <v>0</v>
      </c>
      <c r="L1882" s="70">
        <v>123.64</v>
      </c>
      <c r="M1882" s="132"/>
      <c r="N1882" s="79">
        <v>81.78</v>
      </c>
      <c r="O1882" s="79">
        <v>41.86</v>
      </c>
      <c r="P1882" s="79">
        <v>123.64</v>
      </c>
      <c r="Q1882" s="136"/>
      <c r="R1882" s="79">
        <v>81.78</v>
      </c>
      <c r="S1882" s="79">
        <v>41.87</v>
      </c>
      <c r="T1882" s="79">
        <v>123.65</v>
      </c>
      <c r="U1882" s="79">
        <v>0</v>
      </c>
      <c r="V1882" s="189">
        <v>123.65</v>
      </c>
      <c r="X1882" s="79">
        <v>81.78</v>
      </c>
      <c r="Y1882" s="79">
        <v>41.87</v>
      </c>
      <c r="Z1882" s="79">
        <v>123.65</v>
      </c>
      <c r="AA1882" s="255">
        <v>-1.0000000000005116E-2</v>
      </c>
      <c r="AC1882" s="254"/>
    </row>
    <row r="1883" spans="1:31" ht="12">
      <c r="A1883" s="67" t="s">
        <v>14132</v>
      </c>
      <c r="B1883" s="65" t="s">
        <v>14133</v>
      </c>
      <c r="C1883" s="71" t="s">
        <v>103</v>
      </c>
      <c r="D1883" s="78">
        <v>1</v>
      </c>
      <c r="E1883" s="79">
        <v>165.07999999999998</v>
      </c>
      <c r="F1883" s="70">
        <v>165.08</v>
      </c>
      <c r="G1883" s="320"/>
      <c r="H1883" s="79">
        <v>153.91999999999999</v>
      </c>
      <c r="I1883" s="79">
        <v>11.16</v>
      </c>
      <c r="J1883" s="79">
        <v>165.07999999999998</v>
      </c>
      <c r="K1883" s="79">
        <v>0</v>
      </c>
      <c r="L1883" s="70">
        <v>165.07999999999998</v>
      </c>
      <c r="M1883" s="132"/>
      <c r="N1883" s="79">
        <v>153.91999999999999</v>
      </c>
      <c r="O1883" s="79">
        <v>11.16</v>
      </c>
      <c r="P1883" s="79">
        <v>165.07999999999998</v>
      </c>
      <c r="Q1883" s="136"/>
      <c r="R1883" s="79">
        <v>153.91999999999999</v>
      </c>
      <c r="S1883" s="79">
        <v>11.16</v>
      </c>
      <c r="T1883" s="79">
        <v>165.07999999999998</v>
      </c>
      <c r="U1883" s="79">
        <v>0</v>
      </c>
      <c r="V1883" s="189">
        <v>165.07999999999998</v>
      </c>
      <c r="X1883" s="79">
        <v>153.91999999999999</v>
      </c>
      <c r="Y1883" s="79">
        <v>11.16</v>
      </c>
      <c r="Z1883" s="79">
        <v>165.08</v>
      </c>
      <c r="AA1883" s="255">
        <v>0</v>
      </c>
      <c r="AC1883" s="254"/>
    </row>
    <row r="1884" spans="1:31" ht="12">
      <c r="A1884" s="67" t="s">
        <v>14134</v>
      </c>
      <c r="B1884" s="65" t="s">
        <v>14135</v>
      </c>
      <c r="C1884" s="71" t="s">
        <v>103</v>
      </c>
      <c r="D1884" s="78">
        <v>1</v>
      </c>
      <c r="E1884" s="79">
        <v>223.26</v>
      </c>
      <c r="F1884" s="70">
        <v>223.26</v>
      </c>
      <c r="G1884" s="320"/>
      <c r="H1884" s="79">
        <v>212.1</v>
      </c>
      <c r="I1884" s="79">
        <v>11.16</v>
      </c>
      <c r="J1884" s="79">
        <v>223.26</v>
      </c>
      <c r="K1884" s="79">
        <v>0</v>
      </c>
      <c r="L1884" s="70">
        <v>223.26</v>
      </c>
      <c r="M1884" s="132"/>
      <c r="N1884" s="79">
        <v>212.1</v>
      </c>
      <c r="O1884" s="79">
        <v>11.16</v>
      </c>
      <c r="P1884" s="79">
        <v>223.26</v>
      </c>
      <c r="Q1884" s="136"/>
      <c r="R1884" s="79">
        <v>212.1</v>
      </c>
      <c r="S1884" s="79">
        <v>11.16</v>
      </c>
      <c r="T1884" s="79">
        <v>223.26</v>
      </c>
      <c r="U1884" s="79">
        <v>0</v>
      </c>
      <c r="V1884" s="189">
        <v>223.26</v>
      </c>
      <c r="X1884" s="79">
        <v>212.1</v>
      </c>
      <c r="Y1884" s="79">
        <v>11.16</v>
      </c>
      <c r="Z1884" s="79">
        <v>223.26</v>
      </c>
      <c r="AA1884" s="255">
        <v>0</v>
      </c>
      <c r="AC1884" s="254"/>
    </row>
    <row r="1885" spans="1:31" ht="12">
      <c r="A1885" s="489" t="s">
        <v>14136</v>
      </c>
      <c r="B1885" s="490" t="s">
        <v>14137</v>
      </c>
      <c r="C1885" s="491"/>
      <c r="D1885" s="492"/>
      <c r="E1885" s="79"/>
      <c r="F1885" s="63"/>
      <c r="G1885" s="320"/>
      <c r="H1885" s="79"/>
      <c r="I1885" s="79"/>
      <c r="J1885" s="79"/>
      <c r="K1885" s="79"/>
      <c r="L1885" s="70"/>
      <c r="M1885" s="132"/>
      <c r="N1885" s="79"/>
      <c r="O1885" s="79"/>
      <c r="P1885" s="79"/>
      <c r="Q1885" s="136"/>
      <c r="R1885" s="79"/>
      <c r="S1885" s="79"/>
      <c r="T1885" s="79"/>
      <c r="U1885" s="79"/>
      <c r="V1885" s="189"/>
      <c r="X1885" s="79"/>
      <c r="Y1885" s="79"/>
      <c r="Z1885" s="79"/>
      <c r="AA1885" s="255"/>
      <c r="AC1885" s="254"/>
    </row>
    <row r="1886" spans="1:31" ht="12">
      <c r="A1886" s="67" t="s">
        <v>14138</v>
      </c>
      <c r="B1886" s="65" t="s">
        <v>14139</v>
      </c>
      <c r="C1886" s="71" t="s">
        <v>396</v>
      </c>
      <c r="D1886" s="78">
        <v>1</v>
      </c>
      <c r="E1886" s="79">
        <v>557.64</v>
      </c>
      <c r="F1886" s="70">
        <v>557.64</v>
      </c>
      <c r="G1886" s="320"/>
      <c r="H1886" s="79">
        <v>529.70000000000005</v>
      </c>
      <c r="I1886" s="79">
        <v>27.939999999999998</v>
      </c>
      <c r="J1886" s="79">
        <v>557.6400000000001</v>
      </c>
      <c r="K1886" s="79">
        <v>0</v>
      </c>
      <c r="L1886" s="70">
        <v>557.6400000000001</v>
      </c>
      <c r="M1886" s="132"/>
      <c r="N1886" s="79">
        <v>529.70000000000005</v>
      </c>
      <c r="O1886" s="79">
        <v>27.939999999999998</v>
      </c>
      <c r="P1886" s="79">
        <v>557.6400000000001</v>
      </c>
      <c r="Q1886" s="136"/>
      <c r="R1886" s="79">
        <v>529.70000000000005</v>
      </c>
      <c r="S1886" s="79">
        <v>27.92</v>
      </c>
      <c r="T1886" s="79">
        <v>557.62</v>
      </c>
      <c r="U1886" s="79">
        <v>0</v>
      </c>
      <c r="V1886" s="189">
        <v>557.62</v>
      </c>
      <c r="X1886" s="79">
        <v>529.70000000000005</v>
      </c>
      <c r="Y1886" s="79">
        <v>27.92</v>
      </c>
      <c r="Z1886" s="79">
        <v>557.62</v>
      </c>
      <c r="AA1886" s="255">
        <v>1.999999999998181E-2</v>
      </c>
      <c r="AC1886" s="254"/>
    </row>
    <row r="1887" spans="1:31" ht="12">
      <c r="A1887" s="67" t="s">
        <v>14140</v>
      </c>
      <c r="B1887" s="65" t="s">
        <v>14141</v>
      </c>
      <c r="C1887" s="71" t="s">
        <v>396</v>
      </c>
      <c r="D1887" s="78">
        <v>1</v>
      </c>
      <c r="E1887" s="79">
        <v>476.99</v>
      </c>
      <c r="F1887" s="70">
        <v>476.99</v>
      </c>
      <c r="G1887" s="320"/>
      <c r="H1887" s="79">
        <v>449.04999999999995</v>
      </c>
      <c r="I1887" s="79">
        <v>27.939999999999998</v>
      </c>
      <c r="J1887" s="79">
        <v>476.98999999999995</v>
      </c>
      <c r="K1887" s="79">
        <v>0</v>
      </c>
      <c r="L1887" s="70">
        <v>476.98999999999995</v>
      </c>
      <c r="M1887" s="132"/>
      <c r="N1887" s="79">
        <v>449.04999999999995</v>
      </c>
      <c r="O1887" s="79">
        <v>27.939999999999998</v>
      </c>
      <c r="P1887" s="79">
        <v>476.98999999999995</v>
      </c>
      <c r="Q1887" s="136"/>
      <c r="R1887" s="79">
        <v>449.05</v>
      </c>
      <c r="S1887" s="79">
        <v>27.92</v>
      </c>
      <c r="T1887" s="79">
        <v>476.97</v>
      </c>
      <c r="U1887" s="79">
        <v>0</v>
      </c>
      <c r="V1887" s="189">
        <v>476.97</v>
      </c>
      <c r="X1887" s="79">
        <v>449.05</v>
      </c>
      <c r="Y1887" s="79">
        <v>27.92</v>
      </c>
      <c r="Z1887" s="79">
        <v>476.97</v>
      </c>
      <c r="AA1887" s="255">
        <v>1.999999999998181E-2</v>
      </c>
      <c r="AC1887" s="254"/>
    </row>
    <row r="1888" spans="1:31" ht="12">
      <c r="A1888" s="489" t="s">
        <v>14142</v>
      </c>
      <c r="B1888" s="490" t="s">
        <v>14143</v>
      </c>
      <c r="C1888" s="491"/>
      <c r="D1888" s="492"/>
      <c r="E1888" s="79"/>
      <c r="F1888" s="63"/>
      <c r="G1888" s="320"/>
      <c r="H1888" s="79"/>
      <c r="I1888" s="79"/>
      <c r="J1888" s="79"/>
      <c r="K1888" s="79"/>
      <c r="L1888" s="70"/>
      <c r="M1888" s="132"/>
      <c r="N1888" s="79"/>
      <c r="O1888" s="79"/>
      <c r="P1888" s="79"/>
      <c r="Q1888" s="136"/>
      <c r="R1888" s="79"/>
      <c r="S1888" s="79"/>
      <c r="T1888" s="79"/>
      <c r="U1888" s="79"/>
      <c r="V1888" s="189"/>
      <c r="X1888" s="79"/>
      <c r="Y1888" s="79"/>
      <c r="Z1888" s="79"/>
      <c r="AA1888" s="255"/>
      <c r="AC1888" s="254"/>
    </row>
    <row r="1889" spans="1:31" ht="12">
      <c r="A1889" s="67" t="s">
        <v>14144</v>
      </c>
      <c r="B1889" s="65" t="s">
        <v>14145</v>
      </c>
      <c r="C1889" s="71" t="s">
        <v>103</v>
      </c>
      <c r="D1889" s="78">
        <v>1</v>
      </c>
      <c r="E1889" s="79">
        <v>278.26</v>
      </c>
      <c r="F1889" s="70">
        <v>278.26</v>
      </c>
      <c r="G1889" s="320"/>
      <c r="H1889" s="79">
        <v>252.08</v>
      </c>
      <c r="I1889" s="79">
        <v>26.18</v>
      </c>
      <c r="J1889" s="79">
        <v>278.26</v>
      </c>
      <c r="K1889" s="79">
        <v>0</v>
      </c>
      <c r="L1889" s="70">
        <v>278.26</v>
      </c>
      <c r="M1889" s="132"/>
      <c r="N1889" s="79">
        <v>252.08</v>
      </c>
      <c r="O1889" s="79">
        <v>26.18</v>
      </c>
      <c r="P1889" s="79">
        <v>278.26</v>
      </c>
      <c r="Q1889" s="136"/>
      <c r="R1889" s="79">
        <v>252.08</v>
      </c>
      <c r="S1889" s="79">
        <v>26.18</v>
      </c>
      <c r="T1889" s="79">
        <v>278.26</v>
      </c>
      <c r="U1889" s="79">
        <v>0</v>
      </c>
      <c r="V1889" s="189">
        <v>278.26</v>
      </c>
      <c r="X1889" s="79">
        <v>252.08</v>
      </c>
      <c r="Y1889" s="79">
        <v>26.18</v>
      </c>
      <c r="Z1889" s="79">
        <v>278.26</v>
      </c>
      <c r="AA1889" s="255">
        <v>0</v>
      </c>
      <c r="AC1889" s="254"/>
    </row>
    <row r="1890" spans="1:31" ht="12">
      <c r="A1890" s="67" t="s">
        <v>14146</v>
      </c>
      <c r="B1890" s="65" t="s">
        <v>14147</v>
      </c>
      <c r="C1890" s="71" t="s">
        <v>103</v>
      </c>
      <c r="D1890" s="78">
        <v>1</v>
      </c>
      <c r="E1890" s="79">
        <v>248.02</v>
      </c>
      <c r="F1890" s="70">
        <v>248.02</v>
      </c>
      <c r="G1890" s="320"/>
      <c r="H1890" s="79">
        <v>221.84</v>
      </c>
      <c r="I1890" s="79">
        <v>26.18</v>
      </c>
      <c r="J1890" s="79">
        <v>248.02</v>
      </c>
      <c r="K1890" s="79">
        <v>0</v>
      </c>
      <c r="L1890" s="70">
        <v>248.02</v>
      </c>
      <c r="M1890" s="132"/>
      <c r="N1890" s="79">
        <v>221.84</v>
      </c>
      <c r="O1890" s="79">
        <v>26.18</v>
      </c>
      <c r="P1890" s="79">
        <v>248.02</v>
      </c>
      <c r="Q1890" s="136"/>
      <c r="R1890" s="79">
        <v>221.84</v>
      </c>
      <c r="S1890" s="79">
        <v>26.18</v>
      </c>
      <c r="T1890" s="79">
        <v>248.02</v>
      </c>
      <c r="U1890" s="79">
        <v>0</v>
      </c>
      <c r="V1890" s="189">
        <v>248.02</v>
      </c>
      <c r="X1890" s="79">
        <v>221.84</v>
      </c>
      <c r="Y1890" s="79">
        <v>26.18</v>
      </c>
      <c r="Z1890" s="79">
        <v>248.02</v>
      </c>
      <c r="AA1890" s="255">
        <v>0</v>
      </c>
      <c r="AC1890" s="254"/>
    </row>
    <row r="1891" spans="1:31" ht="12">
      <c r="A1891" s="67" t="s">
        <v>14148</v>
      </c>
      <c r="B1891" s="65" t="s">
        <v>14149</v>
      </c>
      <c r="C1891" s="71" t="s">
        <v>103</v>
      </c>
      <c r="D1891" s="78">
        <v>1</v>
      </c>
      <c r="E1891" s="79">
        <v>284.8</v>
      </c>
      <c r="F1891" s="70">
        <v>284.8</v>
      </c>
      <c r="G1891" s="320"/>
      <c r="H1891" s="79">
        <v>258.62</v>
      </c>
      <c r="I1891" s="79">
        <v>26.18</v>
      </c>
      <c r="J1891" s="79">
        <v>284.8</v>
      </c>
      <c r="K1891" s="79">
        <v>0</v>
      </c>
      <c r="L1891" s="70">
        <v>284.8</v>
      </c>
      <c r="M1891" s="132"/>
      <c r="N1891" s="79">
        <v>258.62</v>
      </c>
      <c r="O1891" s="79">
        <v>26.18</v>
      </c>
      <c r="P1891" s="79">
        <v>284.8</v>
      </c>
      <c r="Q1891" s="136"/>
      <c r="R1891" s="79">
        <v>258.62</v>
      </c>
      <c r="S1891" s="79">
        <v>26.18</v>
      </c>
      <c r="T1891" s="79">
        <v>284.8</v>
      </c>
      <c r="U1891" s="79">
        <v>0</v>
      </c>
      <c r="V1891" s="189">
        <v>284.8</v>
      </c>
      <c r="X1891" s="79">
        <v>258.62</v>
      </c>
      <c r="Y1891" s="79">
        <v>26.18</v>
      </c>
      <c r="Z1891" s="79">
        <v>284.8</v>
      </c>
      <c r="AA1891" s="255">
        <v>0</v>
      </c>
      <c r="AC1891" s="254"/>
    </row>
    <row r="1892" spans="1:31" ht="12">
      <c r="A1892" s="67" t="s">
        <v>14150</v>
      </c>
      <c r="B1892" s="65" t="s">
        <v>14151</v>
      </c>
      <c r="C1892" s="71" t="s">
        <v>103</v>
      </c>
      <c r="D1892" s="78">
        <v>1</v>
      </c>
      <c r="E1892" s="79">
        <v>243.56</v>
      </c>
      <c r="F1892" s="70">
        <v>243.56</v>
      </c>
      <c r="G1892" s="320"/>
      <c r="H1892" s="79">
        <v>217.38</v>
      </c>
      <c r="I1892" s="79">
        <v>26.18</v>
      </c>
      <c r="J1892" s="79">
        <v>243.56</v>
      </c>
      <c r="K1892" s="79">
        <v>0</v>
      </c>
      <c r="L1892" s="70">
        <v>243.56</v>
      </c>
      <c r="M1892" s="132"/>
      <c r="N1892" s="79">
        <v>217.38</v>
      </c>
      <c r="O1892" s="79">
        <v>26.18</v>
      </c>
      <c r="P1892" s="79">
        <v>243.56</v>
      </c>
      <c r="Q1892" s="136"/>
      <c r="R1892" s="79">
        <v>217.38</v>
      </c>
      <c r="S1892" s="79">
        <v>26.18</v>
      </c>
      <c r="T1892" s="79">
        <v>243.56</v>
      </c>
      <c r="U1892" s="79">
        <v>0</v>
      </c>
      <c r="V1892" s="189">
        <v>243.56</v>
      </c>
      <c r="X1892" s="79">
        <v>217.38</v>
      </c>
      <c r="Y1892" s="79">
        <v>26.18</v>
      </c>
      <c r="Z1892" s="79">
        <v>243.56</v>
      </c>
      <c r="AA1892" s="255">
        <v>0</v>
      </c>
      <c r="AC1892" s="254"/>
    </row>
    <row r="1893" spans="1:31" ht="12">
      <c r="A1893" s="489" t="s">
        <v>14152</v>
      </c>
      <c r="B1893" s="490" t="s">
        <v>14153</v>
      </c>
      <c r="C1893" s="491"/>
      <c r="D1893" s="492"/>
      <c r="E1893" s="79"/>
      <c r="F1893" s="63"/>
      <c r="G1893" s="320"/>
      <c r="H1893" s="79"/>
      <c r="I1893" s="79"/>
      <c r="J1893" s="79"/>
      <c r="K1893" s="79"/>
      <c r="L1893" s="70"/>
      <c r="M1893" s="132"/>
      <c r="N1893" s="79"/>
      <c r="O1893" s="79"/>
      <c r="P1893" s="79"/>
      <c r="Q1893" s="136"/>
      <c r="R1893" s="79"/>
      <c r="S1893" s="79"/>
      <c r="T1893" s="79"/>
      <c r="U1893" s="79"/>
      <c r="V1893" s="189"/>
      <c r="X1893" s="79"/>
      <c r="Y1893" s="79"/>
      <c r="Z1893" s="79"/>
      <c r="AA1893" s="255"/>
      <c r="AC1893" s="254"/>
    </row>
    <row r="1894" spans="1:31" ht="12">
      <c r="A1894" s="67" t="s">
        <v>14154</v>
      </c>
      <c r="B1894" s="65" t="s">
        <v>14155</v>
      </c>
      <c r="C1894" s="71" t="s">
        <v>103</v>
      </c>
      <c r="D1894" s="78">
        <v>1</v>
      </c>
      <c r="E1894" s="79">
        <v>212879.99</v>
      </c>
      <c r="F1894" s="70">
        <v>212879.99</v>
      </c>
      <c r="G1894" s="320"/>
      <c r="H1894" s="79">
        <v>210731.25</v>
      </c>
      <c r="I1894" s="79">
        <v>2148.7399999999998</v>
      </c>
      <c r="J1894" s="79">
        <v>212879.99</v>
      </c>
      <c r="K1894" s="79">
        <v>0</v>
      </c>
      <c r="L1894" s="70">
        <v>212879.99</v>
      </c>
      <c r="M1894" s="132"/>
      <c r="N1894" s="79">
        <v>210731.25</v>
      </c>
      <c r="O1894" s="79">
        <v>2148.7399999999998</v>
      </c>
      <c r="P1894" s="79">
        <v>212879.99</v>
      </c>
      <c r="Q1894" s="136"/>
      <c r="R1894" s="79">
        <v>210731.25</v>
      </c>
      <c r="S1894" s="79">
        <v>2148.88</v>
      </c>
      <c r="T1894" s="79">
        <v>212880.13</v>
      </c>
      <c r="U1894" s="79">
        <v>0</v>
      </c>
      <c r="V1894" s="189">
        <v>212880.13</v>
      </c>
      <c r="X1894" s="79">
        <v>210731.25</v>
      </c>
      <c r="Y1894" s="79">
        <v>2148.88</v>
      </c>
      <c r="Z1894" s="79">
        <v>212880.13</v>
      </c>
      <c r="AA1894" s="255">
        <v>-0.14000000001396984</v>
      </c>
      <c r="AC1894" s="254"/>
    </row>
    <row r="1895" spans="1:31" ht="12">
      <c r="A1895" s="67" t="s">
        <v>14156</v>
      </c>
      <c r="B1895" s="65" t="s">
        <v>14157</v>
      </c>
      <c r="C1895" s="71" t="s">
        <v>103</v>
      </c>
      <c r="D1895" s="78">
        <v>1</v>
      </c>
      <c r="E1895" s="79">
        <v>242385.78999999998</v>
      </c>
      <c r="F1895" s="70">
        <v>242385.79</v>
      </c>
      <c r="G1895" s="320"/>
      <c r="H1895" s="79">
        <v>240237.05</v>
      </c>
      <c r="I1895" s="79">
        <v>2148.7399999999998</v>
      </c>
      <c r="J1895" s="79">
        <v>242385.78999999998</v>
      </c>
      <c r="K1895" s="79">
        <v>0</v>
      </c>
      <c r="L1895" s="70">
        <v>242385.78999999998</v>
      </c>
      <c r="M1895" s="132"/>
      <c r="N1895" s="79">
        <v>240237.05</v>
      </c>
      <c r="O1895" s="79">
        <v>2148.7399999999998</v>
      </c>
      <c r="P1895" s="79">
        <v>242385.78999999998</v>
      </c>
      <c r="Q1895" s="136"/>
      <c r="R1895" s="79">
        <v>240237.05</v>
      </c>
      <c r="S1895" s="79">
        <v>2148.88</v>
      </c>
      <c r="T1895" s="79">
        <v>242385.93</v>
      </c>
      <c r="U1895" s="79">
        <v>0</v>
      </c>
      <c r="V1895" s="189">
        <v>242385.93</v>
      </c>
      <c r="X1895" s="79">
        <v>240237.05</v>
      </c>
      <c r="Y1895" s="79">
        <v>2148.88</v>
      </c>
      <c r="Z1895" s="79">
        <v>242385.93</v>
      </c>
      <c r="AA1895" s="255">
        <v>-0.13999999998486601</v>
      </c>
      <c r="AC1895" s="254"/>
      <c r="AD1895" s="61"/>
      <c r="AE1895" s="61"/>
    </row>
    <row r="1896" spans="1:31" ht="12">
      <c r="A1896" s="67" t="s">
        <v>14158</v>
      </c>
      <c r="B1896" s="65" t="s">
        <v>14159</v>
      </c>
      <c r="C1896" s="71" t="s">
        <v>103</v>
      </c>
      <c r="D1896" s="78">
        <v>1</v>
      </c>
      <c r="E1896" s="79">
        <v>102369.71</v>
      </c>
      <c r="F1896" s="70">
        <v>102369.71</v>
      </c>
      <c r="G1896" s="320"/>
      <c r="H1896" s="79">
        <v>100220.97</v>
      </c>
      <c r="I1896" s="79">
        <v>2148.7399999999998</v>
      </c>
      <c r="J1896" s="79">
        <v>102369.71</v>
      </c>
      <c r="K1896" s="79">
        <v>0</v>
      </c>
      <c r="L1896" s="70">
        <v>102369.71</v>
      </c>
      <c r="M1896" s="132"/>
      <c r="N1896" s="79">
        <v>100220.97</v>
      </c>
      <c r="O1896" s="79">
        <v>2148.7399999999998</v>
      </c>
      <c r="P1896" s="79">
        <v>102369.71</v>
      </c>
      <c r="Q1896" s="136"/>
      <c r="R1896" s="79">
        <v>100220.97</v>
      </c>
      <c r="S1896" s="79">
        <v>2148.88</v>
      </c>
      <c r="T1896" s="79">
        <v>102369.85</v>
      </c>
      <c r="U1896" s="79">
        <v>0</v>
      </c>
      <c r="V1896" s="189">
        <v>102369.85</v>
      </c>
      <c r="X1896" s="79">
        <v>100220.97</v>
      </c>
      <c r="Y1896" s="79">
        <v>2148.88</v>
      </c>
      <c r="Z1896" s="79">
        <v>102369.85</v>
      </c>
      <c r="AA1896" s="255">
        <v>-0.13999999999941792</v>
      </c>
      <c r="AC1896" s="254"/>
    </row>
    <row r="1897" spans="1:31" s="61" customFormat="1" ht="12">
      <c r="A1897" s="67" t="s">
        <v>14160</v>
      </c>
      <c r="B1897" s="65" t="s">
        <v>14161</v>
      </c>
      <c r="C1897" s="71" t="s">
        <v>103</v>
      </c>
      <c r="D1897" s="78">
        <v>1</v>
      </c>
      <c r="E1897" s="79">
        <v>137387.01999999999</v>
      </c>
      <c r="F1897" s="70">
        <v>137387.01999999999</v>
      </c>
      <c r="G1897" s="320"/>
      <c r="H1897" s="79">
        <v>135238.28</v>
      </c>
      <c r="I1897" s="79">
        <v>2148.7399999999998</v>
      </c>
      <c r="J1897" s="79">
        <v>137387.01999999999</v>
      </c>
      <c r="K1897" s="79">
        <v>0</v>
      </c>
      <c r="L1897" s="70">
        <v>137387.01999999999</v>
      </c>
      <c r="M1897" s="132"/>
      <c r="N1897" s="79">
        <v>135238.28</v>
      </c>
      <c r="O1897" s="79">
        <v>2148.7399999999998</v>
      </c>
      <c r="P1897" s="79">
        <v>137387.01999999999</v>
      </c>
      <c r="Q1897" s="136"/>
      <c r="R1897" s="79">
        <v>135238.28</v>
      </c>
      <c r="S1897" s="79">
        <v>2148.88</v>
      </c>
      <c r="T1897" s="79">
        <v>137387.16</v>
      </c>
      <c r="U1897" s="79">
        <v>0</v>
      </c>
      <c r="V1897" s="189">
        <v>137387.16</v>
      </c>
      <c r="X1897" s="79">
        <v>135238.28</v>
      </c>
      <c r="Y1897" s="79">
        <v>2148.88</v>
      </c>
      <c r="Z1897" s="79">
        <v>137387.16</v>
      </c>
      <c r="AA1897" s="255">
        <v>-0.14000000001396984</v>
      </c>
      <c r="AC1897" s="254"/>
    </row>
    <row r="1898" spans="1:31" ht="12">
      <c r="A1898" s="67" t="s">
        <v>14162</v>
      </c>
      <c r="B1898" s="65" t="s">
        <v>14163</v>
      </c>
      <c r="C1898" s="71" t="s">
        <v>103</v>
      </c>
      <c r="D1898" s="78">
        <v>1</v>
      </c>
      <c r="E1898" s="79">
        <v>98569.42</v>
      </c>
      <c r="F1898" s="70">
        <v>98569.42</v>
      </c>
      <c r="G1898" s="320"/>
      <c r="H1898" s="79">
        <v>97422.79</v>
      </c>
      <c r="I1898" s="79">
        <v>1146.6300000000001</v>
      </c>
      <c r="J1898" s="79">
        <v>98569.42</v>
      </c>
      <c r="K1898" s="79">
        <v>0</v>
      </c>
      <c r="L1898" s="70">
        <v>98569.42</v>
      </c>
      <c r="M1898" s="132"/>
      <c r="N1898" s="79">
        <v>97422.79</v>
      </c>
      <c r="O1898" s="79">
        <v>1146.6300000000001</v>
      </c>
      <c r="P1898" s="79">
        <v>98569.42</v>
      </c>
      <c r="Q1898" s="136"/>
      <c r="R1898" s="79">
        <v>97422.79</v>
      </c>
      <c r="S1898" s="79">
        <v>1146.7</v>
      </c>
      <c r="T1898" s="79">
        <v>98569.489999999991</v>
      </c>
      <c r="U1898" s="79">
        <v>0</v>
      </c>
      <c r="V1898" s="189">
        <v>98569.489999999991</v>
      </c>
      <c r="X1898" s="79">
        <v>97422.79</v>
      </c>
      <c r="Y1898" s="79">
        <v>1146.7</v>
      </c>
      <c r="Z1898" s="79">
        <v>98569.49</v>
      </c>
      <c r="AA1898" s="255">
        <v>-7.0000000006984919E-2</v>
      </c>
      <c r="AC1898" s="254"/>
      <c r="AD1898" s="61"/>
      <c r="AE1898" s="61"/>
    </row>
    <row r="1899" spans="1:31" s="61" customFormat="1" ht="12">
      <c r="A1899" s="67" t="s">
        <v>14164</v>
      </c>
      <c r="B1899" s="65" t="s">
        <v>14165</v>
      </c>
      <c r="C1899" s="71" t="s">
        <v>103</v>
      </c>
      <c r="D1899" s="78">
        <v>1</v>
      </c>
      <c r="E1899" s="79">
        <v>154839.26999999999</v>
      </c>
      <c r="F1899" s="70">
        <v>154839.26999999999</v>
      </c>
      <c r="G1899" s="320"/>
      <c r="H1899" s="79">
        <v>152690.53</v>
      </c>
      <c r="I1899" s="79">
        <v>2148.7399999999998</v>
      </c>
      <c r="J1899" s="79">
        <v>154839.26999999999</v>
      </c>
      <c r="K1899" s="79">
        <v>0</v>
      </c>
      <c r="L1899" s="70">
        <v>154839.26999999999</v>
      </c>
      <c r="M1899" s="132"/>
      <c r="N1899" s="79">
        <v>152690.53</v>
      </c>
      <c r="O1899" s="79">
        <v>2148.7399999999998</v>
      </c>
      <c r="P1899" s="79">
        <v>154839.26999999999</v>
      </c>
      <c r="Q1899" s="136"/>
      <c r="R1899" s="79">
        <v>152690.53</v>
      </c>
      <c r="S1899" s="79">
        <v>2148.88</v>
      </c>
      <c r="T1899" s="79">
        <v>154839.41</v>
      </c>
      <c r="U1899" s="79">
        <v>0</v>
      </c>
      <c r="V1899" s="189">
        <v>154839.41</v>
      </c>
      <c r="X1899" s="79">
        <v>152690.53</v>
      </c>
      <c r="Y1899" s="79">
        <v>2148.88</v>
      </c>
      <c r="Z1899" s="79">
        <v>154839.41</v>
      </c>
      <c r="AA1899" s="255">
        <v>-0.14000000001396984</v>
      </c>
      <c r="AC1899" s="254"/>
      <c r="AD1899" s="236"/>
      <c r="AE1899" s="236"/>
    </row>
    <row r="1900" spans="1:31" s="61" customFormat="1" ht="12">
      <c r="A1900" s="67" t="s">
        <v>14166</v>
      </c>
      <c r="B1900" s="65" t="s">
        <v>14167</v>
      </c>
      <c r="C1900" s="71" t="s">
        <v>103</v>
      </c>
      <c r="D1900" s="78">
        <v>1</v>
      </c>
      <c r="E1900" s="79">
        <v>479647.88</v>
      </c>
      <c r="F1900" s="70">
        <v>479647.88</v>
      </c>
      <c r="G1900" s="320"/>
      <c r="H1900" s="79">
        <v>477269.81</v>
      </c>
      <c r="I1900" s="79">
        <v>2378.0699999999997</v>
      </c>
      <c r="J1900" s="79">
        <v>479647.88</v>
      </c>
      <c r="K1900" s="79">
        <v>0</v>
      </c>
      <c r="L1900" s="70">
        <v>479647.88</v>
      </c>
      <c r="M1900" s="132"/>
      <c r="N1900" s="78">
        <v>477269.81</v>
      </c>
      <c r="O1900" s="78">
        <v>2378.0699999999997</v>
      </c>
      <c r="P1900" s="79">
        <v>479647.88</v>
      </c>
      <c r="Q1900" s="136"/>
      <c r="R1900" s="79">
        <v>477269.81</v>
      </c>
      <c r="S1900" s="79">
        <v>2378.2199999999998</v>
      </c>
      <c r="T1900" s="79">
        <v>479648.02999999997</v>
      </c>
      <c r="U1900" s="79">
        <v>0</v>
      </c>
      <c r="V1900" s="189">
        <v>479648.02999999997</v>
      </c>
      <c r="X1900" s="78">
        <v>477269.81</v>
      </c>
      <c r="Y1900" s="78">
        <v>2378.2199999999998</v>
      </c>
      <c r="Z1900" s="79">
        <v>479648.03</v>
      </c>
      <c r="AA1900" s="255">
        <v>-0.15000000002328306</v>
      </c>
      <c r="AC1900" s="254"/>
      <c r="AD1900" s="236"/>
      <c r="AE1900" s="236"/>
    </row>
    <row r="1901" spans="1:31" ht="12">
      <c r="A1901" s="67" t="s">
        <v>14168</v>
      </c>
      <c r="B1901" s="65" t="s">
        <v>14169</v>
      </c>
      <c r="C1901" s="71" t="s">
        <v>103</v>
      </c>
      <c r="D1901" s="78">
        <v>1</v>
      </c>
      <c r="E1901" s="79">
        <v>155843.09999999998</v>
      </c>
      <c r="F1901" s="70">
        <v>155843.1</v>
      </c>
      <c r="G1901" s="320"/>
      <c r="H1901" s="79">
        <v>153694.35999999999</v>
      </c>
      <c r="I1901" s="79">
        <v>2148.7399999999998</v>
      </c>
      <c r="J1901" s="79">
        <v>155843.09999999998</v>
      </c>
      <c r="K1901" s="79">
        <v>0</v>
      </c>
      <c r="L1901" s="70">
        <v>155843.09999999998</v>
      </c>
      <c r="M1901" s="132"/>
      <c r="N1901" s="78">
        <v>153694.35999999999</v>
      </c>
      <c r="O1901" s="78">
        <v>2148.7399999999998</v>
      </c>
      <c r="P1901" s="79">
        <v>155843.09999999998</v>
      </c>
      <c r="Q1901" s="136"/>
      <c r="R1901" s="79">
        <v>153694.35999999999</v>
      </c>
      <c r="S1901" s="79">
        <v>2148.88</v>
      </c>
      <c r="T1901" s="79">
        <v>155843.24</v>
      </c>
      <c r="U1901" s="79">
        <v>0</v>
      </c>
      <c r="V1901" s="189">
        <v>155843.24</v>
      </c>
      <c r="X1901" s="78">
        <v>153694.35999999999</v>
      </c>
      <c r="Y1901" s="78">
        <v>2148.88</v>
      </c>
      <c r="Z1901" s="79">
        <v>155843.24</v>
      </c>
      <c r="AA1901" s="255">
        <v>-0.13999999998486601</v>
      </c>
      <c r="AC1901" s="254"/>
      <c r="AD1901" s="61"/>
      <c r="AE1901" s="61"/>
    </row>
    <row r="1902" spans="1:31" ht="12">
      <c r="A1902" s="67" t="s">
        <v>14170</v>
      </c>
      <c r="B1902" s="65" t="s">
        <v>14171</v>
      </c>
      <c r="C1902" s="71" t="s">
        <v>103</v>
      </c>
      <c r="D1902" s="78">
        <v>1</v>
      </c>
      <c r="E1902" s="79">
        <v>443757.58</v>
      </c>
      <c r="F1902" s="70">
        <v>443757.58</v>
      </c>
      <c r="G1902" s="320"/>
      <c r="H1902" s="79">
        <v>441400.69</v>
      </c>
      <c r="I1902" s="79">
        <v>2356.8900000000003</v>
      </c>
      <c r="J1902" s="79">
        <v>443757.58</v>
      </c>
      <c r="K1902" s="79">
        <v>0</v>
      </c>
      <c r="L1902" s="70">
        <v>443757.58</v>
      </c>
      <c r="M1902" s="132"/>
      <c r="N1902" s="78">
        <v>441400.69</v>
      </c>
      <c r="O1902" s="78">
        <v>2356.8900000000003</v>
      </c>
      <c r="P1902" s="79">
        <v>443757.58</v>
      </c>
      <c r="Q1902" s="136"/>
      <c r="R1902" s="79">
        <v>441400.69</v>
      </c>
      <c r="S1902" s="79">
        <v>2357.08</v>
      </c>
      <c r="T1902" s="79">
        <v>443757.77</v>
      </c>
      <c r="U1902" s="79">
        <v>0</v>
      </c>
      <c r="V1902" s="189">
        <v>443757.77</v>
      </c>
      <c r="X1902" s="78">
        <v>441400.69</v>
      </c>
      <c r="Y1902" s="78">
        <v>2357.08</v>
      </c>
      <c r="Z1902" s="79">
        <v>443757.77</v>
      </c>
      <c r="AA1902" s="255">
        <v>-0.19000000000232831</v>
      </c>
      <c r="AC1902" s="254"/>
    </row>
    <row r="1903" spans="1:31" s="61" customFormat="1" ht="12">
      <c r="A1903" s="67" t="s">
        <v>14172</v>
      </c>
      <c r="B1903" s="65" t="s">
        <v>14173</v>
      </c>
      <c r="C1903" s="71" t="s">
        <v>103</v>
      </c>
      <c r="D1903" s="78">
        <v>1</v>
      </c>
      <c r="E1903" s="79">
        <v>411478.01</v>
      </c>
      <c r="F1903" s="70">
        <v>411478.01</v>
      </c>
      <c r="G1903" s="320"/>
      <c r="H1903" s="79">
        <v>409099.94</v>
      </c>
      <c r="I1903" s="79">
        <v>2378.0699999999997</v>
      </c>
      <c r="J1903" s="79">
        <v>411478.01</v>
      </c>
      <c r="K1903" s="79">
        <v>0</v>
      </c>
      <c r="L1903" s="70">
        <v>411478.01</v>
      </c>
      <c r="M1903" s="132"/>
      <c r="N1903" s="78">
        <v>409099.94</v>
      </c>
      <c r="O1903" s="78">
        <v>2378.0699999999997</v>
      </c>
      <c r="P1903" s="79">
        <v>411478.01</v>
      </c>
      <c r="Q1903" s="136"/>
      <c r="R1903" s="79">
        <v>409099.94</v>
      </c>
      <c r="S1903" s="79">
        <v>2378.2199999999998</v>
      </c>
      <c r="T1903" s="79">
        <v>411478.16</v>
      </c>
      <c r="U1903" s="79">
        <v>0</v>
      </c>
      <c r="V1903" s="189">
        <v>411478.16</v>
      </c>
      <c r="X1903" s="78">
        <v>409099.94</v>
      </c>
      <c r="Y1903" s="78">
        <v>2378.2199999999998</v>
      </c>
      <c r="Z1903" s="79">
        <v>411478.16</v>
      </c>
      <c r="AA1903" s="255">
        <v>-0.1499999999650754</v>
      </c>
      <c r="AC1903" s="254"/>
      <c r="AD1903" s="236"/>
      <c r="AE1903" s="236"/>
    </row>
    <row r="1904" spans="1:31" ht="12">
      <c r="A1904" s="489" t="s">
        <v>14174</v>
      </c>
      <c r="B1904" s="490" t="s">
        <v>14175</v>
      </c>
      <c r="C1904" s="491"/>
      <c r="D1904" s="492"/>
      <c r="E1904" s="79"/>
      <c r="F1904" s="63"/>
      <c r="G1904" s="320"/>
      <c r="H1904" s="79"/>
      <c r="I1904" s="79"/>
      <c r="J1904" s="79"/>
      <c r="K1904" s="79"/>
      <c r="L1904" s="70"/>
      <c r="M1904" s="132"/>
      <c r="N1904" s="79"/>
      <c r="O1904" s="79"/>
      <c r="P1904" s="79"/>
      <c r="Q1904" s="136"/>
      <c r="R1904" s="79"/>
      <c r="S1904" s="79"/>
      <c r="T1904" s="79"/>
      <c r="U1904" s="79"/>
      <c r="V1904" s="189"/>
      <c r="X1904" s="79"/>
      <c r="Y1904" s="79"/>
      <c r="Z1904" s="79"/>
      <c r="AA1904" s="255"/>
      <c r="AC1904" s="254"/>
    </row>
    <row r="1905" spans="1:29" ht="12">
      <c r="A1905" s="67" t="s">
        <v>14176</v>
      </c>
      <c r="B1905" s="65" t="s">
        <v>14177</v>
      </c>
      <c r="C1905" s="71" t="s">
        <v>103</v>
      </c>
      <c r="D1905" s="78">
        <v>1</v>
      </c>
      <c r="E1905" s="79">
        <v>42805.079999999994</v>
      </c>
      <c r="F1905" s="70">
        <v>42805.08</v>
      </c>
      <c r="G1905" s="320"/>
      <c r="H1905" s="79">
        <v>41658.449999999997</v>
      </c>
      <c r="I1905" s="79">
        <v>1146.6300000000001</v>
      </c>
      <c r="J1905" s="79">
        <v>42805.079999999994</v>
      </c>
      <c r="K1905" s="79">
        <v>0</v>
      </c>
      <c r="L1905" s="70">
        <v>42805.079999999994</v>
      </c>
      <c r="M1905" s="132"/>
      <c r="N1905" s="79">
        <v>41658.449999999997</v>
      </c>
      <c r="O1905" s="79">
        <v>1146.6300000000001</v>
      </c>
      <c r="P1905" s="79">
        <v>42805.079999999994</v>
      </c>
      <c r="Q1905" s="136"/>
      <c r="R1905" s="79">
        <v>41658.449999999997</v>
      </c>
      <c r="S1905" s="79">
        <v>1146.7</v>
      </c>
      <c r="T1905" s="79">
        <v>42805.149999999994</v>
      </c>
      <c r="U1905" s="79">
        <v>0</v>
      </c>
      <c r="V1905" s="189">
        <v>42805.149999999994</v>
      </c>
      <c r="X1905" s="79">
        <v>41658.449999999997</v>
      </c>
      <c r="Y1905" s="79">
        <v>1146.7</v>
      </c>
      <c r="Z1905" s="79">
        <v>42805.15</v>
      </c>
      <c r="AA1905" s="255">
        <v>-6.9999999999708962E-2</v>
      </c>
      <c r="AC1905" s="254"/>
    </row>
    <row r="1906" spans="1:29" ht="12">
      <c r="A1906" s="67" t="s">
        <v>14178</v>
      </c>
      <c r="B1906" s="65" t="s">
        <v>14179</v>
      </c>
      <c r="C1906" s="71" t="s">
        <v>103</v>
      </c>
      <c r="D1906" s="78">
        <v>1</v>
      </c>
      <c r="E1906" s="79">
        <v>31828.41</v>
      </c>
      <c r="F1906" s="70">
        <v>31828.41</v>
      </c>
      <c r="G1906" s="320"/>
      <c r="H1906" s="79">
        <v>30681.78</v>
      </c>
      <c r="I1906" s="79">
        <v>1146.6300000000001</v>
      </c>
      <c r="J1906" s="79">
        <v>31828.41</v>
      </c>
      <c r="K1906" s="79">
        <v>0</v>
      </c>
      <c r="L1906" s="70">
        <v>31828.41</v>
      </c>
      <c r="M1906" s="132"/>
      <c r="N1906" s="79">
        <v>30681.78</v>
      </c>
      <c r="O1906" s="79">
        <v>1146.6300000000001</v>
      </c>
      <c r="P1906" s="79">
        <v>31828.41</v>
      </c>
      <c r="Q1906" s="136"/>
      <c r="R1906" s="79">
        <v>30681.78</v>
      </c>
      <c r="S1906" s="79">
        <v>1146.7</v>
      </c>
      <c r="T1906" s="79">
        <v>31828.48</v>
      </c>
      <c r="U1906" s="79">
        <v>0</v>
      </c>
      <c r="V1906" s="189">
        <v>31828.48</v>
      </c>
      <c r="X1906" s="79">
        <v>30681.78</v>
      </c>
      <c r="Y1906" s="79">
        <v>1146.7</v>
      </c>
      <c r="Z1906" s="79">
        <v>31828.48</v>
      </c>
      <c r="AA1906" s="255">
        <v>-6.9999999999708962E-2</v>
      </c>
      <c r="AC1906" s="254"/>
    </row>
    <row r="1907" spans="1:29" ht="12">
      <c r="A1907" s="67" t="s">
        <v>14180</v>
      </c>
      <c r="B1907" s="65" t="s">
        <v>4308</v>
      </c>
      <c r="C1907" s="71" t="s">
        <v>103</v>
      </c>
      <c r="D1907" s="78">
        <v>1</v>
      </c>
      <c r="E1907" s="79">
        <v>88147.8</v>
      </c>
      <c r="F1907" s="70">
        <v>88147.8</v>
      </c>
      <c r="G1907" s="320"/>
      <c r="H1907" s="79">
        <v>86313.2</v>
      </c>
      <c r="I1907" s="79">
        <v>1834.6</v>
      </c>
      <c r="J1907" s="79">
        <v>88147.8</v>
      </c>
      <c r="K1907" s="79">
        <v>0</v>
      </c>
      <c r="L1907" s="70">
        <v>88147.8</v>
      </c>
      <c r="M1907" s="132"/>
      <c r="N1907" s="79">
        <v>86313.2</v>
      </c>
      <c r="O1907" s="79">
        <v>1834.6</v>
      </c>
      <c r="P1907" s="79">
        <v>88147.8</v>
      </c>
      <c r="Q1907" s="136"/>
      <c r="R1907" s="79">
        <v>86313.2</v>
      </c>
      <c r="S1907" s="79">
        <v>1834.72</v>
      </c>
      <c r="T1907" s="79">
        <v>88147.92</v>
      </c>
      <c r="U1907" s="79">
        <v>0</v>
      </c>
      <c r="V1907" s="189">
        <v>88147.92</v>
      </c>
      <c r="X1907" s="79">
        <v>86313.2</v>
      </c>
      <c r="Y1907" s="79">
        <v>1834.72</v>
      </c>
      <c r="Z1907" s="79">
        <v>88147.92</v>
      </c>
      <c r="AA1907" s="255">
        <v>-0.11999999999534339</v>
      </c>
      <c r="AC1907" s="254"/>
    </row>
    <row r="1908" spans="1:29" ht="12">
      <c r="A1908" s="67" t="s">
        <v>14181</v>
      </c>
      <c r="B1908" s="65" t="s">
        <v>14182</v>
      </c>
      <c r="C1908" s="71" t="s">
        <v>103</v>
      </c>
      <c r="D1908" s="78">
        <v>1</v>
      </c>
      <c r="E1908" s="79">
        <v>133260.51</v>
      </c>
      <c r="F1908" s="70">
        <v>133260.51</v>
      </c>
      <c r="G1908" s="320"/>
      <c r="H1908" s="79">
        <v>131425.91</v>
      </c>
      <c r="I1908" s="79">
        <v>1834.6</v>
      </c>
      <c r="J1908" s="79">
        <v>133260.51</v>
      </c>
      <c r="K1908" s="79">
        <v>0</v>
      </c>
      <c r="L1908" s="70">
        <v>133260.51</v>
      </c>
      <c r="M1908" s="132"/>
      <c r="N1908" s="79">
        <v>131425.91</v>
      </c>
      <c r="O1908" s="79">
        <v>1834.6</v>
      </c>
      <c r="P1908" s="79">
        <v>133260.51</v>
      </c>
      <c r="Q1908" s="136"/>
      <c r="R1908" s="79">
        <v>131425.91</v>
      </c>
      <c r="S1908" s="79">
        <v>1834.72</v>
      </c>
      <c r="T1908" s="79">
        <v>133260.63</v>
      </c>
      <c r="U1908" s="79">
        <v>0</v>
      </c>
      <c r="V1908" s="189">
        <v>133260.63</v>
      </c>
      <c r="X1908" s="79">
        <v>131425.91</v>
      </c>
      <c r="Y1908" s="79">
        <v>1834.72</v>
      </c>
      <c r="Z1908" s="79">
        <v>133260.63</v>
      </c>
      <c r="AA1908" s="255">
        <v>-0.11999999999534339</v>
      </c>
      <c r="AC1908" s="254"/>
    </row>
    <row r="1909" spans="1:29" ht="12">
      <c r="A1909" s="67" t="s">
        <v>14183</v>
      </c>
      <c r="B1909" s="65" t="s">
        <v>14184</v>
      </c>
      <c r="C1909" s="71" t="s">
        <v>103</v>
      </c>
      <c r="D1909" s="78">
        <v>1</v>
      </c>
      <c r="E1909" s="79">
        <v>5856.37</v>
      </c>
      <c r="F1909" s="70">
        <v>5856.37</v>
      </c>
      <c r="G1909" s="320"/>
      <c r="H1909" s="79">
        <v>5397.72</v>
      </c>
      <c r="I1909" s="79">
        <v>458.65</v>
      </c>
      <c r="J1909" s="79">
        <v>5856.37</v>
      </c>
      <c r="K1909" s="79">
        <v>0</v>
      </c>
      <c r="L1909" s="70">
        <v>5856.37</v>
      </c>
      <c r="M1909" s="132"/>
      <c r="N1909" s="79">
        <v>5397.72</v>
      </c>
      <c r="O1909" s="79">
        <v>458.65</v>
      </c>
      <c r="P1909" s="79">
        <v>5856.37</v>
      </c>
      <c r="Q1909" s="136"/>
      <c r="R1909" s="79">
        <v>5397.72</v>
      </c>
      <c r="S1909" s="79">
        <v>458.68</v>
      </c>
      <c r="T1909" s="79">
        <v>5856.4000000000005</v>
      </c>
      <c r="U1909" s="79">
        <v>0</v>
      </c>
      <c r="V1909" s="189">
        <v>5856.4000000000005</v>
      </c>
      <c r="X1909" s="79">
        <v>5397.72</v>
      </c>
      <c r="Y1909" s="79">
        <v>458.68</v>
      </c>
      <c r="Z1909" s="79">
        <v>5856.4</v>
      </c>
      <c r="AA1909" s="255">
        <v>-2.9999999999745341E-2</v>
      </c>
      <c r="AC1909" s="254"/>
    </row>
    <row r="1910" spans="1:29" ht="12">
      <c r="A1910" s="67" t="s">
        <v>14185</v>
      </c>
      <c r="B1910" s="65" t="s">
        <v>14186</v>
      </c>
      <c r="C1910" s="71" t="s">
        <v>103</v>
      </c>
      <c r="D1910" s="78">
        <v>1</v>
      </c>
      <c r="E1910" s="79">
        <v>7212.54</v>
      </c>
      <c r="F1910" s="70">
        <v>7212.54</v>
      </c>
      <c r="G1910" s="320"/>
      <c r="H1910" s="79">
        <v>6753.89</v>
      </c>
      <c r="I1910" s="79">
        <v>458.65</v>
      </c>
      <c r="J1910" s="79">
        <v>7212.54</v>
      </c>
      <c r="K1910" s="79">
        <v>0</v>
      </c>
      <c r="L1910" s="70">
        <v>7212.54</v>
      </c>
      <c r="M1910" s="132"/>
      <c r="N1910" s="79">
        <v>6753.89</v>
      </c>
      <c r="O1910" s="79">
        <v>458.65</v>
      </c>
      <c r="P1910" s="79">
        <v>7212.54</v>
      </c>
      <c r="Q1910" s="136"/>
      <c r="R1910" s="79">
        <v>6753.89</v>
      </c>
      <c r="S1910" s="79">
        <v>458.68</v>
      </c>
      <c r="T1910" s="79">
        <v>7212.5700000000006</v>
      </c>
      <c r="U1910" s="79">
        <v>0</v>
      </c>
      <c r="V1910" s="189">
        <v>7212.5700000000006</v>
      </c>
      <c r="X1910" s="79">
        <v>6753.89</v>
      </c>
      <c r="Y1910" s="79">
        <v>458.68</v>
      </c>
      <c r="Z1910" s="79">
        <v>7212.57</v>
      </c>
      <c r="AA1910" s="255">
        <v>-2.9999999999745341E-2</v>
      </c>
      <c r="AC1910" s="254"/>
    </row>
    <row r="1911" spans="1:29" ht="12">
      <c r="A1911" s="67" t="s">
        <v>14187</v>
      </c>
      <c r="B1911" s="65" t="s">
        <v>14188</v>
      </c>
      <c r="C1911" s="71" t="s">
        <v>103</v>
      </c>
      <c r="D1911" s="78">
        <v>1</v>
      </c>
      <c r="E1911" s="79">
        <v>23676.95</v>
      </c>
      <c r="F1911" s="70">
        <v>23676.95</v>
      </c>
      <c r="G1911" s="320"/>
      <c r="H1911" s="79">
        <v>22530.32</v>
      </c>
      <c r="I1911" s="79">
        <v>1146.6300000000001</v>
      </c>
      <c r="J1911" s="79">
        <v>23676.95</v>
      </c>
      <c r="K1911" s="79">
        <v>0</v>
      </c>
      <c r="L1911" s="70">
        <v>23676.95</v>
      </c>
      <c r="M1911" s="132"/>
      <c r="N1911" s="79">
        <v>22530.32</v>
      </c>
      <c r="O1911" s="79">
        <v>1146.6300000000001</v>
      </c>
      <c r="P1911" s="79">
        <v>23676.95</v>
      </c>
      <c r="Q1911" s="136"/>
      <c r="R1911" s="79">
        <v>22530.32</v>
      </c>
      <c r="S1911" s="79">
        <v>1146.7</v>
      </c>
      <c r="T1911" s="79">
        <v>23677.02</v>
      </c>
      <c r="U1911" s="79">
        <v>0</v>
      </c>
      <c r="V1911" s="189">
        <v>23677.02</v>
      </c>
      <c r="X1911" s="79">
        <v>22530.32</v>
      </c>
      <c r="Y1911" s="79">
        <v>1146.7</v>
      </c>
      <c r="Z1911" s="79">
        <v>23677.02</v>
      </c>
      <c r="AA1911" s="255">
        <v>-6.9999999999708962E-2</v>
      </c>
      <c r="AC1911" s="254"/>
    </row>
    <row r="1912" spans="1:29" ht="12">
      <c r="A1912" s="67" t="s">
        <v>14189</v>
      </c>
      <c r="B1912" s="65" t="s">
        <v>14190</v>
      </c>
      <c r="C1912" s="71" t="s">
        <v>103</v>
      </c>
      <c r="D1912" s="78">
        <v>1</v>
      </c>
      <c r="E1912" s="79">
        <v>50666.009999999995</v>
      </c>
      <c r="F1912" s="70">
        <v>50666.01</v>
      </c>
      <c r="G1912" s="320"/>
      <c r="H1912" s="79">
        <v>49519.38</v>
      </c>
      <c r="I1912" s="79">
        <v>1146.6300000000001</v>
      </c>
      <c r="J1912" s="79">
        <v>50666.009999999995</v>
      </c>
      <c r="K1912" s="79">
        <v>0</v>
      </c>
      <c r="L1912" s="70">
        <v>50666.009999999995</v>
      </c>
      <c r="M1912" s="132"/>
      <c r="N1912" s="79">
        <v>49519.38</v>
      </c>
      <c r="O1912" s="79">
        <v>1146.6300000000001</v>
      </c>
      <c r="P1912" s="79">
        <v>50666.009999999995</v>
      </c>
      <c r="Q1912" s="136"/>
      <c r="R1912" s="79">
        <v>49519.38</v>
      </c>
      <c r="S1912" s="79">
        <v>1146.7</v>
      </c>
      <c r="T1912" s="79">
        <v>50666.079999999994</v>
      </c>
      <c r="U1912" s="79">
        <v>0</v>
      </c>
      <c r="V1912" s="189">
        <v>50666.079999999994</v>
      </c>
      <c r="X1912" s="79">
        <v>49519.38</v>
      </c>
      <c r="Y1912" s="79">
        <v>1146.7</v>
      </c>
      <c r="Z1912" s="79">
        <v>50666.080000000002</v>
      </c>
      <c r="AA1912" s="255">
        <v>-6.9999999999708962E-2</v>
      </c>
      <c r="AC1912" s="254"/>
    </row>
    <row r="1913" spans="1:29" ht="12">
      <c r="A1913" s="67" t="s">
        <v>14191</v>
      </c>
      <c r="B1913" s="65" t="s">
        <v>14192</v>
      </c>
      <c r="C1913" s="71" t="s">
        <v>103</v>
      </c>
      <c r="D1913" s="78">
        <v>1</v>
      </c>
      <c r="E1913" s="79">
        <v>25944.59</v>
      </c>
      <c r="F1913" s="70">
        <v>25944.59</v>
      </c>
      <c r="G1913" s="320"/>
      <c r="H1913" s="79">
        <v>24797.96</v>
      </c>
      <c r="I1913" s="79">
        <v>1146.6300000000001</v>
      </c>
      <c r="J1913" s="79">
        <v>25944.59</v>
      </c>
      <c r="K1913" s="79">
        <v>0</v>
      </c>
      <c r="L1913" s="70">
        <v>25944.59</v>
      </c>
      <c r="M1913" s="132"/>
      <c r="N1913" s="79">
        <v>24797.96</v>
      </c>
      <c r="O1913" s="79">
        <v>1146.6300000000001</v>
      </c>
      <c r="P1913" s="79">
        <v>25944.59</v>
      </c>
      <c r="Q1913" s="136"/>
      <c r="R1913" s="79">
        <v>24797.96</v>
      </c>
      <c r="S1913" s="79">
        <v>1146.7</v>
      </c>
      <c r="T1913" s="79">
        <v>25944.66</v>
      </c>
      <c r="U1913" s="79">
        <v>0</v>
      </c>
      <c r="V1913" s="189">
        <v>25944.66</v>
      </c>
      <c r="X1913" s="79">
        <v>24797.96</v>
      </c>
      <c r="Y1913" s="79">
        <v>1146.7</v>
      </c>
      <c r="Z1913" s="79">
        <v>25944.66</v>
      </c>
      <c r="AA1913" s="255">
        <v>-6.9999999999708962E-2</v>
      </c>
      <c r="AC1913" s="254"/>
    </row>
    <row r="1914" spans="1:29" ht="12">
      <c r="A1914" s="67" t="s">
        <v>14193</v>
      </c>
      <c r="B1914" s="65" t="s">
        <v>14194</v>
      </c>
      <c r="C1914" s="71" t="s">
        <v>103</v>
      </c>
      <c r="D1914" s="78">
        <v>1</v>
      </c>
      <c r="E1914" s="79">
        <v>112550.35</v>
      </c>
      <c r="F1914" s="70">
        <v>112550.35</v>
      </c>
      <c r="G1914" s="320"/>
      <c r="H1914" s="79">
        <v>110715.75</v>
      </c>
      <c r="I1914" s="79">
        <v>1834.6</v>
      </c>
      <c r="J1914" s="79">
        <v>112550.35</v>
      </c>
      <c r="K1914" s="79">
        <v>0</v>
      </c>
      <c r="L1914" s="70">
        <v>112550.35</v>
      </c>
      <c r="M1914" s="132"/>
      <c r="N1914" s="79">
        <v>110715.75</v>
      </c>
      <c r="O1914" s="79">
        <v>1834.6</v>
      </c>
      <c r="P1914" s="79">
        <v>112550.35</v>
      </c>
      <c r="Q1914" s="136"/>
      <c r="R1914" s="79">
        <v>110715.75</v>
      </c>
      <c r="S1914" s="79">
        <v>1834.72</v>
      </c>
      <c r="T1914" s="79">
        <v>112550.47</v>
      </c>
      <c r="U1914" s="79">
        <v>0</v>
      </c>
      <c r="V1914" s="189">
        <v>112550.47</v>
      </c>
      <c r="X1914" s="79">
        <v>110715.75</v>
      </c>
      <c r="Y1914" s="79">
        <v>1834.72</v>
      </c>
      <c r="Z1914" s="79">
        <v>112550.47</v>
      </c>
      <c r="AA1914" s="255">
        <v>-0.11999999999534339</v>
      </c>
      <c r="AC1914" s="254"/>
    </row>
    <row r="1915" spans="1:29" ht="12">
      <c r="A1915" s="67" t="s">
        <v>14195</v>
      </c>
      <c r="B1915" s="65" t="s">
        <v>14196</v>
      </c>
      <c r="C1915" s="71" t="s">
        <v>103</v>
      </c>
      <c r="D1915" s="78">
        <v>1</v>
      </c>
      <c r="E1915" s="79">
        <v>19091.07</v>
      </c>
      <c r="F1915" s="70">
        <v>19091.07</v>
      </c>
      <c r="G1915" s="320"/>
      <c r="H1915" s="79">
        <v>18632.419999999998</v>
      </c>
      <c r="I1915" s="79">
        <v>458.65</v>
      </c>
      <c r="J1915" s="79">
        <v>19091.07</v>
      </c>
      <c r="K1915" s="79">
        <v>0</v>
      </c>
      <c r="L1915" s="70">
        <v>19091.07</v>
      </c>
      <c r="M1915" s="132"/>
      <c r="N1915" s="79">
        <v>18632.419999999998</v>
      </c>
      <c r="O1915" s="79">
        <v>458.65</v>
      </c>
      <c r="P1915" s="79">
        <v>19091.07</v>
      </c>
      <c r="Q1915" s="136"/>
      <c r="R1915" s="79">
        <v>18632.419999999998</v>
      </c>
      <c r="S1915" s="79">
        <v>458.68</v>
      </c>
      <c r="T1915" s="79">
        <v>19091.099999999999</v>
      </c>
      <c r="U1915" s="79">
        <v>0</v>
      </c>
      <c r="V1915" s="189">
        <v>19091.099999999999</v>
      </c>
      <c r="X1915" s="79">
        <v>18632.419999999998</v>
      </c>
      <c r="Y1915" s="79">
        <v>458.68</v>
      </c>
      <c r="Z1915" s="79">
        <v>19091.099999999999</v>
      </c>
      <c r="AA1915" s="255">
        <v>-2.9999999998835847E-2</v>
      </c>
      <c r="AC1915" s="254"/>
    </row>
    <row r="1916" spans="1:29" ht="12">
      <c r="A1916" s="67" t="s">
        <v>14197</v>
      </c>
      <c r="B1916" s="65" t="s">
        <v>4348</v>
      </c>
      <c r="C1916" s="71" t="s">
        <v>103</v>
      </c>
      <c r="D1916" s="78">
        <v>1</v>
      </c>
      <c r="E1916" s="79">
        <v>86882.72</v>
      </c>
      <c r="F1916" s="70">
        <v>86882.72</v>
      </c>
      <c r="G1916" s="320"/>
      <c r="H1916" s="79">
        <v>85048.12</v>
      </c>
      <c r="I1916" s="79">
        <v>1834.6</v>
      </c>
      <c r="J1916" s="79">
        <v>86882.72</v>
      </c>
      <c r="K1916" s="79">
        <v>0</v>
      </c>
      <c r="L1916" s="70">
        <v>86882.72</v>
      </c>
      <c r="M1916" s="132"/>
      <c r="N1916" s="79">
        <v>85048.12</v>
      </c>
      <c r="O1916" s="79">
        <v>1834.6</v>
      </c>
      <c r="P1916" s="79">
        <v>86882.72</v>
      </c>
      <c r="Q1916" s="136"/>
      <c r="R1916" s="79">
        <v>85048.12</v>
      </c>
      <c r="S1916" s="79">
        <v>1834.72</v>
      </c>
      <c r="T1916" s="79">
        <v>86882.84</v>
      </c>
      <c r="U1916" s="79">
        <v>0</v>
      </c>
      <c r="V1916" s="189">
        <v>86882.84</v>
      </c>
      <c r="X1916" s="79">
        <v>85048.12</v>
      </c>
      <c r="Y1916" s="79">
        <v>1834.72</v>
      </c>
      <c r="Z1916" s="79">
        <v>86882.84</v>
      </c>
      <c r="AA1916" s="255">
        <v>-0.11999999999534339</v>
      </c>
      <c r="AC1916" s="254"/>
    </row>
    <row r="1917" spans="1:29" ht="12">
      <c r="A1917" s="67" t="s">
        <v>14198</v>
      </c>
      <c r="B1917" s="65" t="s">
        <v>14199</v>
      </c>
      <c r="C1917" s="71" t="s">
        <v>103</v>
      </c>
      <c r="D1917" s="78">
        <v>1</v>
      </c>
      <c r="E1917" s="79">
        <v>94044.21</v>
      </c>
      <c r="F1917" s="70">
        <v>94044.21</v>
      </c>
      <c r="G1917" s="320"/>
      <c r="H1917" s="79">
        <v>92209.61</v>
      </c>
      <c r="I1917" s="79">
        <v>1834.6</v>
      </c>
      <c r="J1917" s="79">
        <v>94044.21</v>
      </c>
      <c r="K1917" s="79">
        <v>0</v>
      </c>
      <c r="L1917" s="70">
        <v>94044.21</v>
      </c>
      <c r="M1917" s="132"/>
      <c r="N1917" s="79">
        <v>92209.61</v>
      </c>
      <c r="O1917" s="79">
        <v>1834.6</v>
      </c>
      <c r="P1917" s="79">
        <v>94044.21</v>
      </c>
      <c r="Q1917" s="136"/>
      <c r="R1917" s="79">
        <v>92209.61</v>
      </c>
      <c r="S1917" s="79">
        <v>1834.72</v>
      </c>
      <c r="T1917" s="79">
        <v>94044.33</v>
      </c>
      <c r="U1917" s="79">
        <v>0</v>
      </c>
      <c r="V1917" s="189">
        <v>94044.33</v>
      </c>
      <c r="X1917" s="79">
        <v>92209.61</v>
      </c>
      <c r="Y1917" s="79">
        <v>1834.72</v>
      </c>
      <c r="Z1917" s="79">
        <v>94044.33</v>
      </c>
      <c r="AA1917" s="255">
        <v>-0.11999999999534339</v>
      </c>
      <c r="AC1917" s="254"/>
    </row>
    <row r="1918" spans="1:29" ht="12">
      <c r="A1918" s="67" t="s">
        <v>14200</v>
      </c>
      <c r="B1918" s="65" t="s">
        <v>14201</v>
      </c>
      <c r="C1918" s="71" t="s">
        <v>103</v>
      </c>
      <c r="D1918" s="78">
        <v>1</v>
      </c>
      <c r="E1918" s="79">
        <v>145315.11000000002</v>
      </c>
      <c r="F1918" s="70">
        <v>145315.10999999999</v>
      </c>
      <c r="G1918" s="320"/>
      <c r="H1918" s="79">
        <v>143480.51</v>
      </c>
      <c r="I1918" s="79">
        <v>1834.6</v>
      </c>
      <c r="J1918" s="79">
        <v>145315.11000000002</v>
      </c>
      <c r="K1918" s="79">
        <v>0</v>
      </c>
      <c r="L1918" s="70">
        <v>145315.11000000002</v>
      </c>
      <c r="M1918" s="132"/>
      <c r="N1918" s="79">
        <v>143480.51</v>
      </c>
      <c r="O1918" s="79">
        <v>1834.6</v>
      </c>
      <c r="P1918" s="79">
        <v>145315.11000000002</v>
      </c>
      <c r="Q1918" s="136"/>
      <c r="R1918" s="79">
        <v>143480.51</v>
      </c>
      <c r="S1918" s="79">
        <v>1834.72</v>
      </c>
      <c r="T1918" s="79">
        <v>145315.23000000001</v>
      </c>
      <c r="U1918" s="79">
        <v>0</v>
      </c>
      <c r="V1918" s="189">
        <v>145315.23000000001</v>
      </c>
      <c r="X1918" s="79">
        <v>143480.51</v>
      </c>
      <c r="Y1918" s="79">
        <v>1834.72</v>
      </c>
      <c r="Z1918" s="79">
        <v>145315.23000000001</v>
      </c>
      <c r="AA1918" s="255">
        <v>-0.12000000002444722</v>
      </c>
      <c r="AC1918" s="254"/>
    </row>
    <row r="1919" spans="1:29" ht="12">
      <c r="A1919" s="67" t="s">
        <v>14202</v>
      </c>
      <c r="B1919" s="65" t="s">
        <v>4338</v>
      </c>
      <c r="C1919" s="71" t="s">
        <v>103</v>
      </c>
      <c r="D1919" s="78">
        <v>1</v>
      </c>
      <c r="E1919" s="79">
        <v>78650.58</v>
      </c>
      <c r="F1919" s="70">
        <v>78650.58</v>
      </c>
      <c r="G1919" s="320"/>
      <c r="H1919" s="79">
        <v>77503.95</v>
      </c>
      <c r="I1919" s="79">
        <v>1146.6300000000001</v>
      </c>
      <c r="J1919" s="79">
        <v>78650.58</v>
      </c>
      <c r="K1919" s="79">
        <v>0</v>
      </c>
      <c r="L1919" s="70">
        <v>78650.58</v>
      </c>
      <c r="M1919" s="132"/>
      <c r="N1919" s="79">
        <v>77503.95</v>
      </c>
      <c r="O1919" s="79">
        <v>1146.6300000000001</v>
      </c>
      <c r="P1919" s="79">
        <v>78650.58</v>
      </c>
      <c r="Q1919" s="136"/>
      <c r="R1919" s="79">
        <v>77503.95</v>
      </c>
      <c r="S1919" s="79">
        <v>1146.7</v>
      </c>
      <c r="T1919" s="79">
        <v>78650.649999999994</v>
      </c>
      <c r="U1919" s="79">
        <v>0</v>
      </c>
      <c r="V1919" s="189">
        <v>78650.649999999994</v>
      </c>
      <c r="X1919" s="79">
        <v>77503.95</v>
      </c>
      <c r="Y1919" s="79">
        <v>1146.7</v>
      </c>
      <c r="Z1919" s="79">
        <v>78650.649999999994</v>
      </c>
      <c r="AA1919" s="255">
        <v>-6.9999999992433004E-2</v>
      </c>
      <c r="AC1919" s="254"/>
    </row>
    <row r="1920" spans="1:29" ht="12">
      <c r="A1920" s="67" t="s">
        <v>14203</v>
      </c>
      <c r="B1920" s="65" t="s">
        <v>4340</v>
      </c>
      <c r="C1920" s="71" t="s">
        <v>103</v>
      </c>
      <c r="D1920" s="78">
        <v>1</v>
      </c>
      <c r="E1920" s="79">
        <v>41724.18</v>
      </c>
      <c r="F1920" s="70">
        <v>41724.18</v>
      </c>
      <c r="G1920" s="320"/>
      <c r="H1920" s="79">
        <v>40577.550000000003</v>
      </c>
      <c r="I1920" s="79">
        <v>1146.6300000000001</v>
      </c>
      <c r="J1920" s="79">
        <v>41724.18</v>
      </c>
      <c r="K1920" s="79">
        <v>0</v>
      </c>
      <c r="L1920" s="70">
        <v>41724.18</v>
      </c>
      <c r="M1920" s="132"/>
      <c r="N1920" s="79">
        <v>40577.550000000003</v>
      </c>
      <c r="O1920" s="79">
        <v>1146.6300000000001</v>
      </c>
      <c r="P1920" s="79">
        <v>41724.18</v>
      </c>
      <c r="Q1920" s="136"/>
      <c r="R1920" s="79">
        <v>40577.550000000003</v>
      </c>
      <c r="S1920" s="79">
        <v>1146.7</v>
      </c>
      <c r="T1920" s="79">
        <v>41724.25</v>
      </c>
      <c r="U1920" s="79">
        <v>0</v>
      </c>
      <c r="V1920" s="189">
        <v>41724.25</v>
      </c>
      <c r="X1920" s="79">
        <v>40577.550000000003</v>
      </c>
      <c r="Y1920" s="79">
        <v>1146.7</v>
      </c>
      <c r="Z1920" s="79">
        <v>41724.25</v>
      </c>
      <c r="AA1920" s="255">
        <v>-6.9999999999708962E-2</v>
      </c>
      <c r="AC1920" s="254"/>
    </row>
    <row r="1921" spans="1:29" ht="12">
      <c r="A1921" s="67" t="s">
        <v>14204</v>
      </c>
      <c r="B1921" s="65" t="s">
        <v>14205</v>
      </c>
      <c r="C1921" s="71" t="s">
        <v>103</v>
      </c>
      <c r="D1921" s="78">
        <v>1</v>
      </c>
      <c r="E1921" s="79">
        <v>143028.52000000002</v>
      </c>
      <c r="F1921" s="70">
        <v>143028.51999999999</v>
      </c>
      <c r="G1921" s="320"/>
      <c r="H1921" s="79">
        <v>141193.92000000001</v>
      </c>
      <c r="I1921" s="79">
        <v>1834.6</v>
      </c>
      <c r="J1921" s="79">
        <v>143028.52000000002</v>
      </c>
      <c r="K1921" s="79">
        <v>0</v>
      </c>
      <c r="L1921" s="70">
        <v>143028.52000000002</v>
      </c>
      <c r="M1921" s="132"/>
      <c r="N1921" s="79">
        <v>141193.92000000001</v>
      </c>
      <c r="O1921" s="79">
        <v>1834.6</v>
      </c>
      <c r="P1921" s="79">
        <v>143028.52000000002</v>
      </c>
      <c r="Q1921" s="136"/>
      <c r="R1921" s="79">
        <v>141193.92000000001</v>
      </c>
      <c r="S1921" s="79">
        <v>1834.72</v>
      </c>
      <c r="T1921" s="79">
        <v>143028.64000000001</v>
      </c>
      <c r="U1921" s="79">
        <v>0</v>
      </c>
      <c r="V1921" s="189">
        <v>143028.64000000001</v>
      </c>
      <c r="X1921" s="79">
        <v>141193.92000000001</v>
      </c>
      <c r="Y1921" s="79">
        <v>1834.72</v>
      </c>
      <c r="Z1921" s="79">
        <v>143028.64000000001</v>
      </c>
      <c r="AA1921" s="255">
        <v>-0.12000000002444722</v>
      </c>
      <c r="AC1921" s="254"/>
    </row>
    <row r="1922" spans="1:29" ht="12">
      <c r="A1922" s="67" t="s">
        <v>14206</v>
      </c>
      <c r="B1922" s="65" t="s">
        <v>14207</v>
      </c>
      <c r="C1922" s="71" t="s">
        <v>103</v>
      </c>
      <c r="D1922" s="78">
        <v>1</v>
      </c>
      <c r="E1922" s="79">
        <v>45442.659999999996</v>
      </c>
      <c r="F1922" s="70">
        <v>45442.66</v>
      </c>
      <c r="G1922" s="320"/>
      <c r="H1922" s="79">
        <v>44296.03</v>
      </c>
      <c r="I1922" s="79">
        <v>1146.6300000000001</v>
      </c>
      <c r="J1922" s="79">
        <v>45442.659999999996</v>
      </c>
      <c r="K1922" s="79">
        <v>0</v>
      </c>
      <c r="L1922" s="70">
        <v>45442.659999999996</v>
      </c>
      <c r="M1922" s="132"/>
      <c r="N1922" s="79">
        <v>44296.03</v>
      </c>
      <c r="O1922" s="79">
        <v>1146.6300000000001</v>
      </c>
      <c r="P1922" s="79">
        <v>45442.659999999996</v>
      </c>
      <c r="Q1922" s="136"/>
      <c r="R1922" s="79">
        <v>44296.03</v>
      </c>
      <c r="S1922" s="79">
        <v>1146.7</v>
      </c>
      <c r="T1922" s="79">
        <v>45442.729999999996</v>
      </c>
      <c r="U1922" s="79">
        <v>0</v>
      </c>
      <c r="V1922" s="189">
        <v>45442.729999999996</v>
      </c>
      <c r="X1922" s="79">
        <v>44296.03</v>
      </c>
      <c r="Y1922" s="79">
        <v>1146.7</v>
      </c>
      <c r="Z1922" s="79">
        <v>45442.73</v>
      </c>
      <c r="AA1922" s="255">
        <v>-6.9999999999708962E-2</v>
      </c>
      <c r="AC1922" s="254"/>
    </row>
    <row r="1923" spans="1:29" ht="12">
      <c r="A1923" s="67" t="s">
        <v>14208</v>
      </c>
      <c r="B1923" s="65" t="s">
        <v>14209</v>
      </c>
      <c r="C1923" s="71" t="s">
        <v>103</v>
      </c>
      <c r="D1923" s="78">
        <v>1</v>
      </c>
      <c r="E1923" s="79">
        <v>50384.21</v>
      </c>
      <c r="F1923" s="70">
        <v>50384.21</v>
      </c>
      <c r="G1923" s="320"/>
      <c r="H1923" s="79">
        <v>49237.58</v>
      </c>
      <c r="I1923" s="79">
        <v>1146.6300000000001</v>
      </c>
      <c r="J1923" s="79">
        <v>50384.21</v>
      </c>
      <c r="K1923" s="79">
        <v>0</v>
      </c>
      <c r="L1923" s="70">
        <v>50384.21</v>
      </c>
      <c r="M1923" s="132"/>
      <c r="N1923" s="79">
        <v>49237.58</v>
      </c>
      <c r="O1923" s="79">
        <v>1146.6300000000001</v>
      </c>
      <c r="P1923" s="79">
        <v>50384.21</v>
      </c>
      <c r="Q1923" s="136"/>
      <c r="R1923" s="79">
        <v>49237.58</v>
      </c>
      <c r="S1923" s="79">
        <v>1146.7</v>
      </c>
      <c r="T1923" s="79">
        <v>50384.28</v>
      </c>
      <c r="U1923" s="79">
        <v>0</v>
      </c>
      <c r="V1923" s="189">
        <v>50384.28</v>
      </c>
      <c r="X1923" s="79">
        <v>49237.58</v>
      </c>
      <c r="Y1923" s="79">
        <v>1146.7</v>
      </c>
      <c r="Z1923" s="79">
        <v>50384.28</v>
      </c>
      <c r="AA1923" s="255">
        <v>-6.9999999999708962E-2</v>
      </c>
      <c r="AC1923" s="254"/>
    </row>
    <row r="1924" spans="1:29" ht="12">
      <c r="A1924" s="489" t="s">
        <v>14210</v>
      </c>
      <c r="B1924" s="490" t="s">
        <v>14211</v>
      </c>
      <c r="C1924" s="491"/>
      <c r="D1924" s="492"/>
      <c r="E1924" s="79"/>
      <c r="F1924" s="63"/>
      <c r="G1924" s="320"/>
      <c r="H1924" s="79"/>
      <c r="I1924" s="79"/>
      <c r="J1924" s="79"/>
      <c r="K1924" s="79"/>
      <c r="L1924" s="70"/>
      <c r="M1924" s="132"/>
      <c r="N1924" s="79"/>
      <c r="O1924" s="79"/>
      <c r="P1924" s="79"/>
      <c r="Q1924" s="136"/>
      <c r="R1924" s="79"/>
      <c r="S1924" s="79"/>
      <c r="T1924" s="79"/>
      <c r="U1924" s="79"/>
      <c r="V1924" s="189"/>
      <c r="X1924" s="79"/>
      <c r="Y1924" s="79"/>
      <c r="Z1924" s="79"/>
      <c r="AA1924" s="255"/>
      <c r="AC1924" s="254"/>
    </row>
    <row r="1925" spans="1:29" ht="12">
      <c r="A1925" s="67" t="s">
        <v>14212</v>
      </c>
      <c r="B1925" s="65" t="s">
        <v>14213</v>
      </c>
      <c r="C1925" s="71" t="s">
        <v>165</v>
      </c>
      <c r="D1925" s="78">
        <v>1</v>
      </c>
      <c r="E1925" s="79">
        <v>97.22999999999999</v>
      </c>
      <c r="F1925" s="70">
        <v>97.23</v>
      </c>
      <c r="G1925" s="320"/>
      <c r="H1925" s="79">
        <v>74.91</v>
      </c>
      <c r="I1925" s="79">
        <v>22.32</v>
      </c>
      <c r="J1925" s="79">
        <v>97.22999999999999</v>
      </c>
      <c r="K1925" s="79">
        <v>0</v>
      </c>
      <c r="L1925" s="70">
        <v>97.22999999999999</v>
      </c>
      <c r="M1925" s="132"/>
      <c r="N1925" s="79">
        <v>74.91</v>
      </c>
      <c r="O1925" s="79">
        <v>22.32</v>
      </c>
      <c r="P1925" s="79">
        <v>97.22999999999999</v>
      </c>
      <c r="Q1925" s="136"/>
      <c r="R1925" s="79">
        <v>74.91</v>
      </c>
      <c r="S1925" s="79">
        <v>22.33</v>
      </c>
      <c r="T1925" s="79">
        <v>97.24</v>
      </c>
      <c r="U1925" s="79">
        <v>0</v>
      </c>
      <c r="V1925" s="189">
        <v>97.24</v>
      </c>
      <c r="X1925" s="79">
        <v>74.91</v>
      </c>
      <c r="Y1925" s="79">
        <v>22.33</v>
      </c>
      <c r="Z1925" s="79">
        <v>97.24</v>
      </c>
      <c r="AA1925" s="255">
        <v>-9.9999999999909051E-3</v>
      </c>
      <c r="AC1925" s="254"/>
    </row>
    <row r="1926" spans="1:29" ht="12">
      <c r="A1926" s="67" t="s">
        <v>14214</v>
      </c>
      <c r="B1926" s="65" t="s">
        <v>5052</v>
      </c>
      <c r="C1926" s="71" t="s">
        <v>103</v>
      </c>
      <c r="D1926" s="78">
        <v>1</v>
      </c>
      <c r="E1926" s="79">
        <v>59.819999999999993</v>
      </c>
      <c r="F1926" s="70">
        <v>59.82</v>
      </c>
      <c r="G1926" s="320"/>
      <c r="H1926" s="79">
        <v>48.66</v>
      </c>
      <c r="I1926" s="79">
        <v>11.16</v>
      </c>
      <c r="J1926" s="79">
        <v>59.819999999999993</v>
      </c>
      <c r="K1926" s="79">
        <v>0</v>
      </c>
      <c r="L1926" s="70">
        <v>59.819999999999993</v>
      </c>
      <c r="M1926" s="132"/>
      <c r="N1926" s="79">
        <v>48.66</v>
      </c>
      <c r="O1926" s="79">
        <v>11.16</v>
      </c>
      <c r="P1926" s="79">
        <v>59.819999999999993</v>
      </c>
      <c r="Q1926" s="136"/>
      <c r="R1926" s="79">
        <v>48.66</v>
      </c>
      <c r="S1926" s="79">
        <v>11.16</v>
      </c>
      <c r="T1926" s="79">
        <v>59.819999999999993</v>
      </c>
      <c r="U1926" s="79">
        <v>0</v>
      </c>
      <c r="V1926" s="189">
        <v>59.819999999999993</v>
      </c>
      <c r="X1926" s="79">
        <v>48.66</v>
      </c>
      <c r="Y1926" s="79">
        <v>11.16</v>
      </c>
      <c r="Z1926" s="79">
        <v>59.82</v>
      </c>
      <c r="AA1926" s="255">
        <v>0</v>
      </c>
      <c r="AC1926" s="254"/>
    </row>
    <row r="1927" spans="1:29" ht="12">
      <c r="A1927" s="67" t="s">
        <v>14215</v>
      </c>
      <c r="B1927" s="65" t="s">
        <v>14216</v>
      </c>
      <c r="C1927" s="71" t="s">
        <v>103</v>
      </c>
      <c r="D1927" s="78">
        <v>1</v>
      </c>
      <c r="E1927" s="79">
        <v>33.739999999999995</v>
      </c>
      <c r="F1927" s="70">
        <v>33.74</v>
      </c>
      <c r="G1927" s="320"/>
      <c r="H1927" s="79">
        <v>22.58</v>
      </c>
      <c r="I1927" s="79">
        <v>11.16</v>
      </c>
      <c r="J1927" s="79">
        <v>33.739999999999995</v>
      </c>
      <c r="K1927" s="79">
        <v>0</v>
      </c>
      <c r="L1927" s="70">
        <v>33.739999999999995</v>
      </c>
      <c r="M1927" s="132"/>
      <c r="N1927" s="79">
        <v>22.58</v>
      </c>
      <c r="O1927" s="79">
        <v>11.16</v>
      </c>
      <c r="P1927" s="79">
        <v>33.739999999999995</v>
      </c>
      <c r="Q1927" s="136"/>
      <c r="R1927" s="79">
        <v>22.58</v>
      </c>
      <c r="S1927" s="79">
        <v>11.16</v>
      </c>
      <c r="T1927" s="79">
        <v>33.739999999999995</v>
      </c>
      <c r="U1927" s="79">
        <v>0</v>
      </c>
      <c r="V1927" s="189">
        <v>33.739999999999995</v>
      </c>
      <c r="X1927" s="79">
        <v>22.58</v>
      </c>
      <c r="Y1927" s="79">
        <v>11.16</v>
      </c>
      <c r="Z1927" s="79">
        <v>33.74</v>
      </c>
      <c r="AA1927" s="255">
        <v>0</v>
      </c>
      <c r="AC1927" s="254"/>
    </row>
    <row r="1928" spans="1:29" ht="12">
      <c r="A1928" s="67" t="s">
        <v>14217</v>
      </c>
      <c r="B1928" s="65" t="s">
        <v>14218</v>
      </c>
      <c r="C1928" s="71" t="s">
        <v>103</v>
      </c>
      <c r="D1928" s="78">
        <v>1</v>
      </c>
      <c r="E1928" s="79">
        <v>11.559999999999999</v>
      </c>
      <c r="F1928" s="70">
        <v>11.56</v>
      </c>
      <c r="G1928" s="320"/>
      <c r="H1928" s="79">
        <v>3.18</v>
      </c>
      <c r="I1928" s="79">
        <v>8.379999999999999</v>
      </c>
      <c r="J1928" s="79">
        <v>11.559999999999999</v>
      </c>
      <c r="K1928" s="79">
        <v>0</v>
      </c>
      <c r="L1928" s="70">
        <v>11.559999999999999</v>
      </c>
      <c r="M1928" s="132"/>
      <c r="N1928" s="79">
        <v>3.18</v>
      </c>
      <c r="O1928" s="79">
        <v>8.379999999999999</v>
      </c>
      <c r="P1928" s="79">
        <v>11.559999999999999</v>
      </c>
      <c r="Q1928" s="136"/>
      <c r="R1928" s="79">
        <v>3.18</v>
      </c>
      <c r="S1928" s="79">
        <v>8.3800000000000008</v>
      </c>
      <c r="T1928" s="79">
        <v>11.56</v>
      </c>
      <c r="U1928" s="79">
        <v>0</v>
      </c>
      <c r="V1928" s="189">
        <v>11.56</v>
      </c>
      <c r="X1928" s="79">
        <v>3.18</v>
      </c>
      <c r="Y1928" s="79">
        <v>8.3800000000000008</v>
      </c>
      <c r="Z1928" s="79">
        <v>11.56</v>
      </c>
      <c r="AA1928" s="255">
        <v>0</v>
      </c>
      <c r="AC1928" s="254"/>
    </row>
    <row r="1929" spans="1:29" ht="12">
      <c r="A1929" s="67" t="s">
        <v>14219</v>
      </c>
      <c r="B1929" s="65" t="s">
        <v>14220</v>
      </c>
      <c r="C1929" s="71" t="s">
        <v>103</v>
      </c>
      <c r="D1929" s="78">
        <v>1</v>
      </c>
      <c r="E1929" s="79">
        <v>37.46</v>
      </c>
      <c r="F1929" s="70">
        <v>37.46</v>
      </c>
      <c r="G1929" s="320"/>
      <c r="H1929" s="79">
        <v>26.3</v>
      </c>
      <c r="I1929" s="79">
        <v>11.16</v>
      </c>
      <c r="J1929" s="79">
        <v>37.46</v>
      </c>
      <c r="K1929" s="79">
        <v>0</v>
      </c>
      <c r="L1929" s="70">
        <v>37.46</v>
      </c>
      <c r="M1929" s="132"/>
      <c r="N1929" s="79">
        <v>26.3</v>
      </c>
      <c r="O1929" s="79">
        <v>11.16</v>
      </c>
      <c r="P1929" s="79">
        <v>37.46</v>
      </c>
      <c r="Q1929" s="136"/>
      <c r="R1929" s="79">
        <v>26.3</v>
      </c>
      <c r="S1929" s="79">
        <v>11.16</v>
      </c>
      <c r="T1929" s="79">
        <v>37.46</v>
      </c>
      <c r="U1929" s="79">
        <v>0</v>
      </c>
      <c r="V1929" s="189">
        <v>37.46</v>
      </c>
      <c r="X1929" s="79">
        <v>26.3</v>
      </c>
      <c r="Y1929" s="79">
        <v>11.16</v>
      </c>
      <c r="Z1929" s="79">
        <v>37.46</v>
      </c>
      <c r="AA1929" s="255">
        <v>0</v>
      </c>
      <c r="AC1929" s="254"/>
    </row>
    <row r="1930" spans="1:29" ht="12">
      <c r="A1930" s="67" t="s">
        <v>14221</v>
      </c>
      <c r="B1930" s="65" t="s">
        <v>14222</v>
      </c>
      <c r="C1930" s="71" t="s">
        <v>103</v>
      </c>
      <c r="D1930" s="78">
        <v>1</v>
      </c>
      <c r="E1930" s="79">
        <v>741.02</v>
      </c>
      <c r="F1930" s="70">
        <v>741.02</v>
      </c>
      <c r="G1930" s="320"/>
      <c r="H1930" s="79">
        <v>739.88</v>
      </c>
      <c r="I1930" s="79">
        <v>1.1400000000000001</v>
      </c>
      <c r="J1930" s="79">
        <v>741.02</v>
      </c>
      <c r="K1930" s="79">
        <v>0</v>
      </c>
      <c r="L1930" s="70">
        <v>741.02</v>
      </c>
      <c r="M1930" s="132"/>
      <c r="N1930" s="79">
        <v>739.88</v>
      </c>
      <c r="O1930" s="79">
        <v>1.1400000000000001</v>
      </c>
      <c r="P1930" s="79">
        <v>741.02</v>
      </c>
      <c r="Q1930" s="136"/>
      <c r="R1930" s="79">
        <v>739.88</v>
      </c>
      <c r="S1930" s="79">
        <v>1.1399999999999999</v>
      </c>
      <c r="T1930" s="79">
        <v>741.02</v>
      </c>
      <c r="U1930" s="79">
        <v>0</v>
      </c>
      <c r="V1930" s="189">
        <v>741.02</v>
      </c>
      <c r="X1930" s="79">
        <v>739.88</v>
      </c>
      <c r="Y1930" s="79">
        <v>1.1399999999999999</v>
      </c>
      <c r="Z1930" s="79">
        <v>741.02</v>
      </c>
      <c r="AA1930" s="255">
        <v>0</v>
      </c>
      <c r="AC1930" s="254"/>
    </row>
    <row r="1931" spans="1:29" ht="12">
      <c r="A1931" s="67" t="s">
        <v>14223</v>
      </c>
      <c r="B1931" s="65" t="s">
        <v>3985</v>
      </c>
      <c r="C1931" s="71" t="s">
        <v>103</v>
      </c>
      <c r="D1931" s="78">
        <v>1</v>
      </c>
      <c r="E1931" s="79">
        <v>581.23</v>
      </c>
      <c r="F1931" s="70">
        <v>581.23</v>
      </c>
      <c r="G1931" s="320"/>
      <c r="H1931" s="79">
        <v>553.29</v>
      </c>
      <c r="I1931" s="79">
        <v>27.939999999999998</v>
      </c>
      <c r="J1931" s="79">
        <v>581.23</v>
      </c>
      <c r="K1931" s="79">
        <v>0</v>
      </c>
      <c r="L1931" s="70">
        <v>581.23</v>
      </c>
      <c r="M1931" s="132"/>
      <c r="N1931" s="79">
        <v>553.29</v>
      </c>
      <c r="O1931" s="79">
        <v>27.939999999999998</v>
      </c>
      <c r="P1931" s="79">
        <v>581.23</v>
      </c>
      <c r="Q1931" s="136"/>
      <c r="R1931" s="79">
        <v>553.29</v>
      </c>
      <c r="S1931" s="79">
        <v>27.92</v>
      </c>
      <c r="T1931" s="79">
        <v>581.20999999999992</v>
      </c>
      <c r="U1931" s="79">
        <v>0</v>
      </c>
      <c r="V1931" s="189">
        <v>581.20999999999992</v>
      </c>
      <c r="X1931" s="79">
        <v>553.29</v>
      </c>
      <c r="Y1931" s="79">
        <v>27.92</v>
      </c>
      <c r="Z1931" s="79">
        <v>581.21</v>
      </c>
      <c r="AA1931" s="255">
        <v>1.999999999998181E-2</v>
      </c>
      <c r="AC1931" s="254"/>
    </row>
    <row r="1932" spans="1:29" ht="12">
      <c r="A1932" s="67" t="s">
        <v>14224</v>
      </c>
      <c r="B1932" s="65" t="s">
        <v>14225</v>
      </c>
      <c r="C1932" s="71" t="s">
        <v>103</v>
      </c>
      <c r="D1932" s="78">
        <v>1</v>
      </c>
      <c r="E1932" s="79">
        <v>269.51</v>
      </c>
      <c r="F1932" s="70">
        <v>269.51</v>
      </c>
      <c r="G1932" s="320"/>
      <c r="H1932" s="79">
        <v>241.57</v>
      </c>
      <c r="I1932" s="79">
        <v>27.939999999999998</v>
      </c>
      <c r="J1932" s="79">
        <v>269.51</v>
      </c>
      <c r="K1932" s="79">
        <v>0</v>
      </c>
      <c r="L1932" s="70">
        <v>269.51</v>
      </c>
      <c r="M1932" s="132"/>
      <c r="N1932" s="79">
        <v>241.57</v>
      </c>
      <c r="O1932" s="79">
        <v>27.939999999999998</v>
      </c>
      <c r="P1932" s="79">
        <v>269.51</v>
      </c>
      <c r="Q1932" s="136"/>
      <c r="R1932" s="79">
        <v>241.57</v>
      </c>
      <c r="S1932" s="79">
        <v>27.92</v>
      </c>
      <c r="T1932" s="79">
        <v>269.49</v>
      </c>
      <c r="U1932" s="79">
        <v>0</v>
      </c>
      <c r="V1932" s="189">
        <v>269.49</v>
      </c>
      <c r="X1932" s="79">
        <v>241.57</v>
      </c>
      <c r="Y1932" s="79">
        <v>27.92</v>
      </c>
      <c r="Z1932" s="79">
        <v>269.49</v>
      </c>
      <c r="AA1932" s="255">
        <v>1.999999999998181E-2</v>
      </c>
      <c r="AC1932" s="254"/>
    </row>
    <row r="1933" spans="1:29" ht="12">
      <c r="A1933" s="67" t="s">
        <v>14226</v>
      </c>
      <c r="B1933" s="65" t="s">
        <v>14227</v>
      </c>
      <c r="C1933" s="71" t="s">
        <v>103</v>
      </c>
      <c r="D1933" s="78">
        <v>1</v>
      </c>
      <c r="E1933" s="79">
        <v>474.4</v>
      </c>
      <c r="F1933" s="70">
        <v>474.4</v>
      </c>
      <c r="G1933" s="320"/>
      <c r="H1933" s="79">
        <v>317.33</v>
      </c>
      <c r="I1933" s="79">
        <v>157.07</v>
      </c>
      <c r="J1933" s="79">
        <v>474.4</v>
      </c>
      <c r="K1933" s="79">
        <v>0</v>
      </c>
      <c r="L1933" s="70">
        <v>474.4</v>
      </c>
      <c r="M1933" s="132"/>
      <c r="N1933" s="79">
        <v>317.33</v>
      </c>
      <c r="O1933" s="79">
        <v>157.07</v>
      </c>
      <c r="P1933" s="79">
        <v>474.4</v>
      </c>
      <c r="Q1933" s="136"/>
      <c r="R1933" s="79">
        <v>317.33</v>
      </c>
      <c r="S1933" s="79">
        <v>157.08000000000001</v>
      </c>
      <c r="T1933" s="79">
        <v>474.40999999999997</v>
      </c>
      <c r="U1933" s="79">
        <v>0</v>
      </c>
      <c r="V1933" s="189">
        <v>474.40999999999997</v>
      </c>
      <c r="X1933" s="79">
        <v>317.33</v>
      </c>
      <c r="Y1933" s="79">
        <v>157.08000000000001</v>
      </c>
      <c r="Z1933" s="79">
        <v>474.41</v>
      </c>
      <c r="AA1933" s="255">
        <v>-1.0000000000047748E-2</v>
      </c>
      <c r="AC1933" s="254"/>
    </row>
    <row r="1934" spans="1:29" ht="12">
      <c r="A1934" s="67" t="s">
        <v>14228</v>
      </c>
      <c r="B1934" s="65" t="s">
        <v>14229</v>
      </c>
      <c r="C1934" s="71" t="s">
        <v>525</v>
      </c>
      <c r="D1934" s="78">
        <v>1</v>
      </c>
      <c r="E1934" s="79">
        <v>614.94999999999993</v>
      </c>
      <c r="F1934" s="70">
        <v>614.95000000000005</v>
      </c>
      <c r="G1934" s="320"/>
      <c r="H1934" s="79">
        <v>613.80999999999995</v>
      </c>
      <c r="I1934" s="79">
        <v>1.1400000000000001</v>
      </c>
      <c r="J1934" s="79">
        <v>614.94999999999993</v>
      </c>
      <c r="K1934" s="79">
        <v>0</v>
      </c>
      <c r="L1934" s="70">
        <v>614.94999999999993</v>
      </c>
      <c r="M1934" s="132"/>
      <c r="N1934" s="79">
        <v>613.80999999999995</v>
      </c>
      <c r="O1934" s="79">
        <v>1.1400000000000001</v>
      </c>
      <c r="P1934" s="79">
        <v>614.94999999999993</v>
      </c>
      <c r="Q1934" s="136"/>
      <c r="R1934" s="79">
        <v>613.80999999999995</v>
      </c>
      <c r="S1934" s="79">
        <v>1.1399999999999999</v>
      </c>
      <c r="T1934" s="79">
        <v>614.94999999999993</v>
      </c>
      <c r="U1934" s="79">
        <v>0</v>
      </c>
      <c r="V1934" s="189">
        <v>614.94999999999993</v>
      </c>
      <c r="X1934" s="79">
        <v>613.80999999999995</v>
      </c>
      <c r="Y1934" s="79">
        <v>1.1399999999999999</v>
      </c>
      <c r="Z1934" s="79">
        <v>614.95000000000005</v>
      </c>
      <c r="AA1934" s="255">
        <v>0</v>
      </c>
      <c r="AC1934" s="254"/>
    </row>
    <row r="1935" spans="1:29" ht="12">
      <c r="A1935" s="67" t="s">
        <v>14230</v>
      </c>
      <c r="B1935" s="65" t="s">
        <v>14231</v>
      </c>
      <c r="C1935" s="71" t="s">
        <v>103</v>
      </c>
      <c r="D1935" s="78">
        <v>1</v>
      </c>
      <c r="E1935" s="79">
        <v>88.95</v>
      </c>
      <c r="F1935" s="70">
        <v>88.95</v>
      </c>
      <c r="G1935" s="320"/>
      <c r="H1935" s="79">
        <v>33.120000000000005</v>
      </c>
      <c r="I1935" s="79">
        <v>55.83</v>
      </c>
      <c r="J1935" s="79">
        <v>88.95</v>
      </c>
      <c r="K1935" s="79">
        <v>0</v>
      </c>
      <c r="L1935" s="70">
        <v>88.95</v>
      </c>
      <c r="M1935" s="132"/>
      <c r="N1935" s="79">
        <v>33.120000000000005</v>
      </c>
      <c r="O1935" s="79">
        <v>55.83</v>
      </c>
      <c r="P1935" s="79">
        <v>88.95</v>
      </c>
      <c r="Q1935" s="136"/>
      <c r="R1935" s="79">
        <v>33.119999999999997</v>
      </c>
      <c r="S1935" s="79">
        <v>55.83</v>
      </c>
      <c r="T1935" s="79">
        <v>88.949999999999989</v>
      </c>
      <c r="U1935" s="79">
        <v>0</v>
      </c>
      <c r="V1935" s="189">
        <v>88.949999999999989</v>
      </c>
      <c r="X1935" s="79">
        <v>33.119999999999997</v>
      </c>
      <c r="Y1935" s="79">
        <v>55.83</v>
      </c>
      <c r="Z1935" s="79">
        <v>88.95</v>
      </c>
      <c r="AA1935" s="255">
        <v>0</v>
      </c>
      <c r="AC1935" s="254"/>
    </row>
    <row r="1936" spans="1:29" ht="12">
      <c r="A1936" s="67" t="s">
        <v>14232</v>
      </c>
      <c r="B1936" s="65" t="s">
        <v>14233</v>
      </c>
      <c r="C1936" s="71" t="s">
        <v>525</v>
      </c>
      <c r="D1936" s="78">
        <v>1</v>
      </c>
      <c r="E1936" s="79">
        <v>458.27</v>
      </c>
      <c r="F1936" s="70">
        <v>458.27</v>
      </c>
      <c r="G1936" s="320"/>
      <c r="H1936" s="79">
        <v>457.13</v>
      </c>
      <c r="I1936" s="79">
        <v>1.1400000000000001</v>
      </c>
      <c r="J1936" s="79">
        <v>458.27</v>
      </c>
      <c r="K1936" s="79">
        <v>0</v>
      </c>
      <c r="L1936" s="70">
        <v>458.27</v>
      </c>
      <c r="M1936" s="132"/>
      <c r="N1936" s="79">
        <v>457.13</v>
      </c>
      <c r="O1936" s="79">
        <v>1.1400000000000001</v>
      </c>
      <c r="P1936" s="79">
        <v>458.27</v>
      </c>
      <c r="Q1936" s="136"/>
      <c r="R1936" s="79">
        <v>457.13</v>
      </c>
      <c r="S1936" s="79">
        <v>1.1399999999999999</v>
      </c>
      <c r="T1936" s="79">
        <v>458.27</v>
      </c>
      <c r="U1936" s="79">
        <v>0</v>
      </c>
      <c r="V1936" s="189">
        <v>458.27</v>
      </c>
      <c r="X1936" s="79">
        <v>457.13</v>
      </c>
      <c r="Y1936" s="79">
        <v>1.1399999999999999</v>
      </c>
      <c r="Z1936" s="79">
        <v>458.27</v>
      </c>
      <c r="AA1936" s="255">
        <v>0</v>
      </c>
      <c r="AC1936" s="254"/>
    </row>
    <row r="1937" spans="1:31" ht="12">
      <c r="A1937" s="67" t="s">
        <v>14234</v>
      </c>
      <c r="B1937" s="65" t="s">
        <v>14235</v>
      </c>
      <c r="C1937" s="71" t="s">
        <v>103</v>
      </c>
      <c r="D1937" s="78">
        <v>1</v>
      </c>
      <c r="E1937" s="79">
        <v>314.14</v>
      </c>
      <c r="F1937" s="70">
        <v>314.14</v>
      </c>
      <c r="G1937" s="320"/>
      <c r="H1937" s="79">
        <v>0</v>
      </c>
      <c r="I1937" s="79">
        <v>314.14</v>
      </c>
      <c r="J1937" s="79">
        <v>314.14</v>
      </c>
      <c r="K1937" s="79">
        <v>0</v>
      </c>
      <c r="L1937" s="70">
        <v>314.14</v>
      </c>
      <c r="M1937" s="132"/>
      <c r="N1937" s="79"/>
      <c r="O1937" s="79">
        <v>314.14</v>
      </c>
      <c r="P1937" s="79">
        <v>314.14</v>
      </c>
      <c r="Q1937" s="136"/>
      <c r="R1937" s="79"/>
      <c r="S1937" s="79">
        <v>314.16000000000003</v>
      </c>
      <c r="T1937" s="79">
        <v>314.16000000000003</v>
      </c>
      <c r="U1937" s="79">
        <v>0</v>
      </c>
      <c r="V1937" s="189">
        <v>314.16000000000003</v>
      </c>
      <c r="X1937" s="79"/>
      <c r="Y1937" s="79">
        <v>314.16000000000003</v>
      </c>
      <c r="Z1937" s="79">
        <v>314.16000000000003</v>
      </c>
      <c r="AA1937" s="255">
        <v>-2.0000000000038654E-2</v>
      </c>
      <c r="AC1937" s="254"/>
    </row>
    <row r="1938" spans="1:31" ht="12">
      <c r="A1938" s="67" t="s">
        <v>14236</v>
      </c>
      <c r="B1938" s="65" t="s">
        <v>14237</v>
      </c>
      <c r="C1938" s="71" t="s">
        <v>153</v>
      </c>
      <c r="D1938" s="78">
        <v>1</v>
      </c>
      <c r="E1938" s="79">
        <v>23.37</v>
      </c>
      <c r="F1938" s="70">
        <v>23.37</v>
      </c>
      <c r="G1938" s="320"/>
      <c r="H1938" s="79">
        <v>22.46</v>
      </c>
      <c r="I1938" s="79">
        <v>0.91</v>
      </c>
      <c r="J1938" s="79">
        <v>23.37</v>
      </c>
      <c r="K1938" s="79">
        <v>0</v>
      </c>
      <c r="L1938" s="70">
        <v>23.37</v>
      </c>
      <c r="M1938" s="132"/>
      <c r="N1938" s="79">
        <v>22.46</v>
      </c>
      <c r="O1938" s="79">
        <v>0.91</v>
      </c>
      <c r="P1938" s="79">
        <v>23.37</v>
      </c>
      <c r="Q1938" s="136"/>
      <c r="R1938" s="79">
        <v>22.46</v>
      </c>
      <c r="S1938" s="79">
        <v>0.91</v>
      </c>
      <c r="T1938" s="79">
        <v>23.37</v>
      </c>
      <c r="U1938" s="79">
        <v>0</v>
      </c>
      <c r="V1938" s="189">
        <v>23.37</v>
      </c>
      <c r="X1938" s="79">
        <v>22.46</v>
      </c>
      <c r="Y1938" s="79">
        <v>0.91</v>
      </c>
      <c r="Z1938" s="79">
        <v>23.37</v>
      </c>
      <c r="AA1938" s="255">
        <v>0</v>
      </c>
      <c r="AC1938" s="254"/>
    </row>
    <row r="1939" spans="1:31" ht="12">
      <c r="A1939" s="67" t="s">
        <v>14238</v>
      </c>
      <c r="B1939" s="65" t="s">
        <v>14239</v>
      </c>
      <c r="C1939" s="71" t="s">
        <v>153</v>
      </c>
      <c r="D1939" s="78">
        <v>1</v>
      </c>
      <c r="E1939" s="79">
        <v>23.830000000000002</v>
      </c>
      <c r="F1939" s="70">
        <v>23.83</v>
      </c>
      <c r="G1939" s="320"/>
      <c r="H1939" s="79">
        <v>22.46</v>
      </c>
      <c r="I1939" s="79">
        <v>1.37</v>
      </c>
      <c r="J1939" s="79">
        <v>23.830000000000002</v>
      </c>
      <c r="K1939" s="79">
        <v>0</v>
      </c>
      <c r="L1939" s="70">
        <v>23.830000000000002</v>
      </c>
      <c r="M1939" s="132"/>
      <c r="N1939" s="79">
        <v>22.46</v>
      </c>
      <c r="O1939" s="79">
        <v>1.37</v>
      </c>
      <c r="P1939" s="79">
        <v>23.830000000000002</v>
      </c>
      <c r="Q1939" s="136"/>
      <c r="R1939" s="79">
        <v>22.46</v>
      </c>
      <c r="S1939" s="79">
        <v>1.36</v>
      </c>
      <c r="T1939" s="79">
        <v>23.82</v>
      </c>
      <c r="U1939" s="79">
        <v>0</v>
      </c>
      <c r="V1939" s="189">
        <v>23.82</v>
      </c>
      <c r="X1939" s="79">
        <v>22.46</v>
      </c>
      <c r="Y1939" s="79">
        <v>1.36</v>
      </c>
      <c r="Z1939" s="79">
        <v>23.82</v>
      </c>
      <c r="AA1939" s="255">
        <v>9.9999999999980105E-3</v>
      </c>
      <c r="AC1939" s="254"/>
    </row>
    <row r="1940" spans="1:31" ht="12">
      <c r="A1940" s="67" t="s">
        <v>14240</v>
      </c>
      <c r="B1940" s="65" t="s">
        <v>14241</v>
      </c>
      <c r="C1940" s="71" t="s">
        <v>509</v>
      </c>
      <c r="D1940" s="78">
        <v>1</v>
      </c>
      <c r="E1940" s="79">
        <v>935.37</v>
      </c>
      <c r="F1940" s="70">
        <v>935.37</v>
      </c>
      <c r="G1940" s="320"/>
      <c r="H1940" s="79">
        <v>924</v>
      </c>
      <c r="I1940" s="79">
        <v>11.370000000000001</v>
      </c>
      <c r="J1940" s="79">
        <v>935.37</v>
      </c>
      <c r="K1940" s="79">
        <v>0</v>
      </c>
      <c r="L1940" s="70">
        <v>935.37</v>
      </c>
      <c r="M1940" s="132"/>
      <c r="N1940" s="79">
        <v>924</v>
      </c>
      <c r="O1940" s="79">
        <v>11.370000000000001</v>
      </c>
      <c r="P1940" s="79">
        <v>935.37</v>
      </c>
      <c r="Q1940" s="136"/>
      <c r="R1940" s="79">
        <v>924</v>
      </c>
      <c r="S1940" s="79">
        <v>11.36</v>
      </c>
      <c r="T1940" s="79">
        <v>935.36</v>
      </c>
      <c r="U1940" s="79">
        <v>0</v>
      </c>
      <c r="V1940" s="189">
        <v>935.36</v>
      </c>
      <c r="X1940" s="79">
        <v>924</v>
      </c>
      <c r="Y1940" s="79">
        <v>11.36</v>
      </c>
      <c r="Z1940" s="79">
        <v>935.36</v>
      </c>
      <c r="AA1940" s="255">
        <v>9.9999999999909051E-3</v>
      </c>
      <c r="AC1940" s="254"/>
    </row>
    <row r="1941" spans="1:31" ht="12">
      <c r="A1941" s="67" t="s">
        <v>14242</v>
      </c>
      <c r="B1941" s="65" t="s">
        <v>14243</v>
      </c>
      <c r="C1941" s="71" t="s">
        <v>509</v>
      </c>
      <c r="D1941" s="78">
        <v>1</v>
      </c>
      <c r="E1941" s="79">
        <v>1163.3799999999999</v>
      </c>
      <c r="F1941" s="70">
        <v>1163.3800000000001</v>
      </c>
      <c r="G1941" s="320"/>
      <c r="H1941" s="79">
        <v>1152.01</v>
      </c>
      <c r="I1941" s="79">
        <v>11.370000000000001</v>
      </c>
      <c r="J1941" s="79">
        <v>1163.3799999999999</v>
      </c>
      <c r="K1941" s="79">
        <v>0</v>
      </c>
      <c r="L1941" s="70">
        <v>1163.3799999999999</v>
      </c>
      <c r="M1941" s="132"/>
      <c r="N1941" s="79">
        <v>1152.01</v>
      </c>
      <c r="O1941" s="79">
        <v>11.370000000000001</v>
      </c>
      <c r="P1941" s="79">
        <v>1163.3799999999999</v>
      </c>
      <c r="Q1941" s="136"/>
      <c r="R1941" s="79">
        <v>1152.01</v>
      </c>
      <c r="S1941" s="79">
        <v>11.36</v>
      </c>
      <c r="T1941" s="79">
        <v>1163.3699999999999</v>
      </c>
      <c r="U1941" s="79">
        <v>0</v>
      </c>
      <c r="V1941" s="189">
        <v>1163.3699999999999</v>
      </c>
      <c r="X1941" s="79">
        <v>1152.01</v>
      </c>
      <c r="Y1941" s="79">
        <v>11.36</v>
      </c>
      <c r="Z1941" s="79">
        <v>1163.3699999999999</v>
      </c>
      <c r="AA1941" s="255">
        <v>1.0000000000218279E-2</v>
      </c>
      <c r="AC1941" s="254"/>
    </row>
    <row r="1942" spans="1:31" ht="12">
      <c r="A1942" s="67" t="s">
        <v>14244</v>
      </c>
      <c r="B1942" s="65" t="s">
        <v>527</v>
      </c>
      <c r="C1942" s="71" t="s">
        <v>525</v>
      </c>
      <c r="D1942" s="78">
        <v>1</v>
      </c>
      <c r="E1942" s="79">
        <v>40.799999999999997</v>
      </c>
      <c r="F1942" s="70">
        <v>40.799999999999997</v>
      </c>
      <c r="G1942" s="320"/>
      <c r="H1942" s="79">
        <v>39.659999999999997</v>
      </c>
      <c r="I1942" s="79">
        <v>1.1400000000000001</v>
      </c>
      <c r="J1942" s="79">
        <v>40.799999999999997</v>
      </c>
      <c r="K1942" s="79">
        <v>0</v>
      </c>
      <c r="L1942" s="70">
        <v>40.799999999999997</v>
      </c>
      <c r="M1942" s="132"/>
      <c r="N1942" s="79">
        <v>39.659999999999997</v>
      </c>
      <c r="O1942" s="79">
        <v>1.1400000000000001</v>
      </c>
      <c r="P1942" s="79">
        <v>40.799999999999997</v>
      </c>
      <c r="Q1942" s="136"/>
      <c r="R1942" s="79">
        <v>39.659999999999997</v>
      </c>
      <c r="S1942" s="79">
        <v>1.1399999999999999</v>
      </c>
      <c r="T1942" s="79">
        <v>40.799999999999997</v>
      </c>
      <c r="U1942" s="79">
        <v>0</v>
      </c>
      <c r="V1942" s="189">
        <v>40.799999999999997</v>
      </c>
      <c r="X1942" s="79">
        <v>39.659999999999997</v>
      </c>
      <c r="Y1942" s="79">
        <v>1.1399999999999999</v>
      </c>
      <c r="Z1942" s="79">
        <v>40.799999999999997</v>
      </c>
      <c r="AA1942" s="255">
        <v>0</v>
      </c>
      <c r="AC1942" s="254"/>
    </row>
    <row r="1943" spans="1:31" ht="12">
      <c r="A1943" s="67" t="s">
        <v>14245</v>
      </c>
      <c r="B1943" s="65" t="s">
        <v>5442</v>
      </c>
      <c r="C1943" s="71" t="s">
        <v>103</v>
      </c>
      <c r="D1943" s="78">
        <v>1</v>
      </c>
      <c r="E1943" s="79">
        <v>97.84</v>
      </c>
      <c r="F1943" s="70">
        <v>97.84</v>
      </c>
      <c r="G1943" s="320"/>
      <c r="H1943" s="79">
        <v>19.309999999999999</v>
      </c>
      <c r="I1943" s="79">
        <v>78.53</v>
      </c>
      <c r="J1943" s="79">
        <v>97.84</v>
      </c>
      <c r="K1943" s="79">
        <v>0</v>
      </c>
      <c r="L1943" s="70">
        <v>97.84</v>
      </c>
      <c r="M1943" s="132"/>
      <c r="N1943" s="79">
        <v>19.309999999999999</v>
      </c>
      <c r="O1943" s="79">
        <v>78.53</v>
      </c>
      <c r="P1943" s="79">
        <v>97.84</v>
      </c>
      <c r="Q1943" s="136"/>
      <c r="R1943" s="79">
        <v>19.309999999999999</v>
      </c>
      <c r="S1943" s="79">
        <v>78.540000000000006</v>
      </c>
      <c r="T1943" s="79">
        <v>97.850000000000009</v>
      </c>
      <c r="U1943" s="79">
        <v>0</v>
      </c>
      <c r="V1943" s="189">
        <v>97.850000000000009</v>
      </c>
      <c r="X1943" s="79">
        <v>19.309999999999999</v>
      </c>
      <c r="Y1943" s="79">
        <v>78.540000000000006</v>
      </c>
      <c r="Z1943" s="79">
        <v>97.85</v>
      </c>
      <c r="AA1943" s="255">
        <v>-9.9999999999909051E-3</v>
      </c>
      <c r="AC1943" s="254"/>
    </row>
    <row r="1944" spans="1:31" ht="12">
      <c r="A1944" s="67" t="s">
        <v>14246</v>
      </c>
      <c r="B1944" s="65" t="s">
        <v>14247</v>
      </c>
      <c r="C1944" s="71" t="s">
        <v>103</v>
      </c>
      <c r="D1944" s="78">
        <v>1</v>
      </c>
      <c r="E1944" s="79">
        <v>74.55</v>
      </c>
      <c r="F1944" s="70">
        <v>74.55</v>
      </c>
      <c r="G1944" s="320"/>
      <c r="H1944" s="79">
        <v>73.41</v>
      </c>
      <c r="I1944" s="79">
        <v>1.1400000000000001</v>
      </c>
      <c r="J1944" s="79">
        <v>74.55</v>
      </c>
      <c r="K1944" s="79">
        <v>0</v>
      </c>
      <c r="L1944" s="70">
        <v>74.55</v>
      </c>
      <c r="M1944" s="132"/>
      <c r="N1944" s="79">
        <v>73.41</v>
      </c>
      <c r="O1944" s="79">
        <v>1.1400000000000001</v>
      </c>
      <c r="P1944" s="79">
        <v>74.55</v>
      </c>
      <c r="Q1944" s="136"/>
      <c r="R1944" s="79">
        <v>73.41</v>
      </c>
      <c r="S1944" s="79">
        <v>1.1399999999999999</v>
      </c>
      <c r="T1944" s="79">
        <v>74.55</v>
      </c>
      <c r="U1944" s="79">
        <v>0</v>
      </c>
      <c r="V1944" s="189">
        <v>74.55</v>
      </c>
      <c r="X1944" s="79">
        <v>73.41</v>
      </c>
      <c r="Y1944" s="79">
        <v>1.1399999999999999</v>
      </c>
      <c r="Z1944" s="79">
        <v>74.55</v>
      </c>
      <c r="AA1944" s="255">
        <v>0</v>
      </c>
      <c r="AC1944" s="254"/>
    </row>
    <row r="1945" spans="1:31" ht="12">
      <c r="A1945" s="67" t="s">
        <v>14248</v>
      </c>
      <c r="B1945" s="65" t="s">
        <v>14249</v>
      </c>
      <c r="C1945" s="71" t="s">
        <v>103</v>
      </c>
      <c r="D1945" s="78">
        <v>1</v>
      </c>
      <c r="E1945" s="79">
        <v>405.95</v>
      </c>
      <c r="F1945" s="70">
        <v>405.95</v>
      </c>
      <c r="G1945" s="320"/>
      <c r="H1945" s="79">
        <v>248.88</v>
      </c>
      <c r="I1945" s="79">
        <v>157.07</v>
      </c>
      <c r="J1945" s="79">
        <v>405.95</v>
      </c>
      <c r="K1945" s="79">
        <v>0</v>
      </c>
      <c r="L1945" s="70">
        <v>405.95</v>
      </c>
      <c r="M1945" s="132"/>
      <c r="N1945" s="79">
        <v>248.88</v>
      </c>
      <c r="O1945" s="79">
        <v>157.07</v>
      </c>
      <c r="P1945" s="79">
        <v>405.95</v>
      </c>
      <c r="Q1945" s="136"/>
      <c r="R1945" s="79">
        <v>248.88</v>
      </c>
      <c r="S1945" s="79">
        <v>157.08000000000001</v>
      </c>
      <c r="T1945" s="79">
        <v>405.96000000000004</v>
      </c>
      <c r="U1945" s="79">
        <v>0</v>
      </c>
      <c r="V1945" s="189">
        <v>405.96000000000004</v>
      </c>
      <c r="X1945" s="79">
        <v>248.88</v>
      </c>
      <c r="Y1945" s="79">
        <v>157.08000000000001</v>
      </c>
      <c r="Z1945" s="79">
        <v>405.96</v>
      </c>
      <c r="AA1945" s="255">
        <v>-9.9999999999909051E-3</v>
      </c>
      <c r="AC1945" s="254"/>
    </row>
    <row r="1946" spans="1:31" ht="12">
      <c r="A1946" s="67" t="s">
        <v>14250</v>
      </c>
      <c r="B1946" s="65" t="s">
        <v>14251</v>
      </c>
      <c r="C1946" s="71" t="s">
        <v>103</v>
      </c>
      <c r="D1946" s="78">
        <v>1</v>
      </c>
      <c r="E1946" s="79">
        <v>678.99</v>
      </c>
      <c r="F1946" s="70">
        <v>678.99</v>
      </c>
      <c r="G1946" s="320"/>
      <c r="H1946" s="79">
        <v>677.85</v>
      </c>
      <c r="I1946" s="79">
        <v>1.1400000000000001</v>
      </c>
      <c r="J1946" s="79">
        <v>678.99</v>
      </c>
      <c r="K1946" s="79">
        <v>0</v>
      </c>
      <c r="L1946" s="70">
        <v>678.99</v>
      </c>
      <c r="M1946" s="132"/>
      <c r="N1946" s="78">
        <v>677.85</v>
      </c>
      <c r="O1946" s="78">
        <v>1.1400000000000001</v>
      </c>
      <c r="P1946" s="79">
        <v>678.99</v>
      </c>
      <c r="Q1946" s="136"/>
      <c r="R1946" s="79">
        <v>677.85</v>
      </c>
      <c r="S1946" s="79">
        <v>1.1399999999999999</v>
      </c>
      <c r="T1946" s="79">
        <v>678.99</v>
      </c>
      <c r="U1946" s="79">
        <v>0</v>
      </c>
      <c r="V1946" s="189">
        <v>678.99</v>
      </c>
      <c r="X1946" s="78">
        <v>677.85</v>
      </c>
      <c r="Y1946" s="78">
        <v>1.1399999999999999</v>
      </c>
      <c r="Z1946" s="79">
        <v>678.99</v>
      </c>
      <c r="AA1946" s="255">
        <v>0</v>
      </c>
      <c r="AC1946" s="254"/>
    </row>
    <row r="1947" spans="1:31" ht="12">
      <c r="A1947" s="67" t="s">
        <v>14252</v>
      </c>
      <c r="B1947" s="65" t="s">
        <v>14253</v>
      </c>
      <c r="C1947" s="71" t="s">
        <v>103</v>
      </c>
      <c r="D1947" s="78">
        <v>1</v>
      </c>
      <c r="E1947" s="79">
        <v>698.79</v>
      </c>
      <c r="F1947" s="70">
        <v>698.79</v>
      </c>
      <c r="G1947" s="320"/>
      <c r="H1947" s="79">
        <v>541.72</v>
      </c>
      <c r="I1947" s="79">
        <v>157.07</v>
      </c>
      <c r="J1947" s="79">
        <v>698.79</v>
      </c>
      <c r="K1947" s="79">
        <v>0</v>
      </c>
      <c r="L1947" s="70">
        <v>698.79</v>
      </c>
      <c r="M1947" s="132"/>
      <c r="N1947" s="79">
        <v>541.72</v>
      </c>
      <c r="O1947" s="79">
        <v>157.07</v>
      </c>
      <c r="P1947" s="79">
        <v>698.79</v>
      </c>
      <c r="Q1947" s="136"/>
      <c r="R1947" s="79">
        <v>541.72</v>
      </c>
      <c r="S1947" s="79">
        <v>157.08000000000001</v>
      </c>
      <c r="T1947" s="79">
        <v>698.80000000000007</v>
      </c>
      <c r="U1947" s="79">
        <v>0</v>
      </c>
      <c r="V1947" s="189">
        <v>698.80000000000007</v>
      </c>
      <c r="X1947" s="79">
        <v>541.72</v>
      </c>
      <c r="Y1947" s="79">
        <v>157.08000000000001</v>
      </c>
      <c r="Z1947" s="79">
        <v>698.8</v>
      </c>
      <c r="AA1947" s="255">
        <v>-9.9999999999909051E-3</v>
      </c>
      <c r="AC1947" s="254"/>
    </row>
    <row r="1948" spans="1:31" ht="12">
      <c r="A1948" s="67" t="s">
        <v>14254</v>
      </c>
      <c r="B1948" s="65" t="s">
        <v>14255</v>
      </c>
      <c r="C1948" s="71" t="s">
        <v>103</v>
      </c>
      <c r="D1948" s="78">
        <v>1</v>
      </c>
      <c r="E1948" s="79">
        <v>2944.09</v>
      </c>
      <c r="F1948" s="70">
        <v>2944.09</v>
      </c>
      <c r="G1948" s="320"/>
      <c r="H1948" s="79">
        <v>2888.26</v>
      </c>
      <c r="I1948" s="79">
        <v>55.83</v>
      </c>
      <c r="J1948" s="79">
        <v>2944.09</v>
      </c>
      <c r="K1948" s="79">
        <v>0</v>
      </c>
      <c r="L1948" s="70">
        <v>2944.09</v>
      </c>
      <c r="M1948" s="132"/>
      <c r="N1948" s="79">
        <v>2888.26</v>
      </c>
      <c r="O1948" s="79">
        <v>55.83</v>
      </c>
      <c r="P1948" s="79">
        <v>2944.09</v>
      </c>
      <c r="Q1948" s="136"/>
      <c r="R1948" s="79">
        <v>2888.26</v>
      </c>
      <c r="S1948" s="79">
        <v>55.83</v>
      </c>
      <c r="T1948" s="79">
        <v>2944.09</v>
      </c>
      <c r="U1948" s="79">
        <v>0</v>
      </c>
      <c r="V1948" s="189">
        <v>2944.09</v>
      </c>
      <c r="X1948" s="79">
        <v>2888.26</v>
      </c>
      <c r="Y1948" s="79">
        <v>55.83</v>
      </c>
      <c r="Z1948" s="79">
        <v>2944.09</v>
      </c>
      <c r="AA1948" s="255">
        <v>0</v>
      </c>
      <c r="AC1948" s="254"/>
    </row>
    <row r="1949" spans="1:31" ht="12">
      <c r="A1949" s="67" t="s">
        <v>14256</v>
      </c>
      <c r="B1949" s="65" t="s">
        <v>14257</v>
      </c>
      <c r="C1949" s="71" t="s">
        <v>103</v>
      </c>
      <c r="D1949" s="78">
        <v>1</v>
      </c>
      <c r="E1949" s="79">
        <v>4414.93</v>
      </c>
      <c r="F1949" s="70">
        <v>4414.93</v>
      </c>
      <c r="G1949" s="320"/>
      <c r="H1949" s="79">
        <v>4359.1000000000004</v>
      </c>
      <c r="I1949" s="79">
        <v>55.83</v>
      </c>
      <c r="J1949" s="79">
        <v>4414.93</v>
      </c>
      <c r="K1949" s="79">
        <v>0</v>
      </c>
      <c r="L1949" s="70">
        <v>4414.93</v>
      </c>
      <c r="M1949" s="132"/>
      <c r="N1949" s="79">
        <v>4359.1000000000004</v>
      </c>
      <c r="O1949" s="79">
        <v>55.83</v>
      </c>
      <c r="P1949" s="79">
        <v>4414.93</v>
      </c>
      <c r="Q1949" s="136"/>
      <c r="R1949" s="79">
        <v>4359.1000000000004</v>
      </c>
      <c r="S1949" s="79">
        <v>55.83</v>
      </c>
      <c r="T1949" s="79">
        <v>4414.93</v>
      </c>
      <c r="U1949" s="79">
        <v>0</v>
      </c>
      <c r="V1949" s="189">
        <v>4414.93</v>
      </c>
      <c r="X1949" s="79">
        <v>4359.1000000000004</v>
      </c>
      <c r="Y1949" s="79">
        <v>55.83</v>
      </c>
      <c r="Z1949" s="79">
        <v>4414.93</v>
      </c>
      <c r="AA1949" s="255">
        <v>0</v>
      </c>
      <c r="AC1949" s="254"/>
    </row>
    <row r="1950" spans="1:31" ht="12">
      <c r="A1950" s="67" t="s">
        <v>14258</v>
      </c>
      <c r="B1950" s="65" t="s">
        <v>14259</v>
      </c>
      <c r="C1950" s="71" t="s">
        <v>103</v>
      </c>
      <c r="D1950" s="78">
        <v>1</v>
      </c>
      <c r="E1950" s="79">
        <v>5732.51</v>
      </c>
      <c r="F1950" s="70">
        <v>5732.51</v>
      </c>
      <c r="G1950" s="320"/>
      <c r="H1950" s="79">
        <v>5676.68</v>
      </c>
      <c r="I1950" s="79">
        <v>55.83</v>
      </c>
      <c r="J1950" s="79">
        <v>5732.51</v>
      </c>
      <c r="K1950" s="79">
        <v>0</v>
      </c>
      <c r="L1950" s="70">
        <v>5732.51</v>
      </c>
      <c r="M1950" s="132"/>
      <c r="N1950" s="79">
        <v>5676.68</v>
      </c>
      <c r="O1950" s="79">
        <v>55.83</v>
      </c>
      <c r="P1950" s="79">
        <v>5732.51</v>
      </c>
      <c r="Q1950" s="136"/>
      <c r="R1950" s="79">
        <v>5676.68</v>
      </c>
      <c r="S1950" s="79">
        <v>55.83</v>
      </c>
      <c r="T1950" s="79">
        <v>5732.51</v>
      </c>
      <c r="U1950" s="79">
        <v>0</v>
      </c>
      <c r="V1950" s="189">
        <v>5732.51</v>
      </c>
      <c r="X1950" s="79">
        <v>5676.68</v>
      </c>
      <c r="Y1950" s="79">
        <v>55.83</v>
      </c>
      <c r="Z1950" s="79">
        <v>5732.51</v>
      </c>
      <c r="AA1950" s="255">
        <v>0</v>
      </c>
      <c r="AC1950" s="254"/>
    </row>
    <row r="1951" spans="1:31" ht="12">
      <c r="A1951" s="489" t="s">
        <v>14260</v>
      </c>
      <c r="B1951" s="490" t="s">
        <v>14261</v>
      </c>
      <c r="C1951" s="491"/>
      <c r="D1951" s="492"/>
      <c r="E1951" s="79"/>
      <c r="F1951" s="63"/>
      <c r="G1951" s="320"/>
      <c r="H1951" s="79"/>
      <c r="I1951" s="79"/>
      <c r="J1951" s="79"/>
      <c r="K1951" s="79"/>
      <c r="L1951" s="70"/>
      <c r="M1951" s="132"/>
      <c r="N1951" s="79"/>
      <c r="O1951" s="79"/>
      <c r="P1951" s="79"/>
      <c r="Q1951" s="136"/>
      <c r="R1951" s="79"/>
      <c r="S1951" s="79"/>
      <c r="T1951" s="79"/>
      <c r="U1951" s="79"/>
      <c r="V1951" s="189"/>
      <c r="X1951" s="79"/>
      <c r="Y1951" s="79"/>
      <c r="Z1951" s="79"/>
      <c r="AA1951" s="255"/>
      <c r="AC1951" s="254"/>
      <c r="AD1951" s="61"/>
      <c r="AE1951" s="61"/>
    </row>
    <row r="1952" spans="1:31" ht="12">
      <c r="A1952" s="489" t="s">
        <v>14262</v>
      </c>
      <c r="B1952" s="490" t="s">
        <v>14263</v>
      </c>
      <c r="C1952" s="491"/>
      <c r="D1952" s="492"/>
      <c r="E1952" s="79"/>
      <c r="F1952" s="63"/>
      <c r="G1952" s="320"/>
      <c r="H1952" s="79"/>
      <c r="I1952" s="79"/>
      <c r="J1952" s="79"/>
      <c r="K1952" s="79"/>
      <c r="L1952" s="70"/>
      <c r="M1952" s="132"/>
      <c r="N1952" s="79"/>
      <c r="O1952" s="79"/>
      <c r="P1952" s="79"/>
      <c r="Q1952" s="136"/>
      <c r="R1952" s="79"/>
      <c r="S1952" s="79"/>
      <c r="T1952" s="79"/>
      <c r="U1952" s="79"/>
      <c r="V1952" s="189"/>
      <c r="X1952" s="79"/>
      <c r="Y1952" s="79"/>
      <c r="Z1952" s="79"/>
      <c r="AA1952" s="255"/>
      <c r="AC1952" s="254"/>
      <c r="AD1952" s="61"/>
      <c r="AE1952" s="61"/>
    </row>
    <row r="1953" spans="1:31" s="61" customFormat="1" ht="12">
      <c r="A1953" s="67" t="s">
        <v>14264</v>
      </c>
      <c r="B1953" s="65" t="s">
        <v>14265</v>
      </c>
      <c r="C1953" s="71" t="s">
        <v>103</v>
      </c>
      <c r="D1953" s="78">
        <v>1</v>
      </c>
      <c r="E1953" s="79">
        <v>144.56</v>
      </c>
      <c r="F1953" s="70">
        <v>144.56</v>
      </c>
      <c r="G1953" s="320"/>
      <c r="H1953" s="79">
        <v>48.45</v>
      </c>
      <c r="I1953" s="79">
        <v>96.11</v>
      </c>
      <c r="J1953" s="79">
        <v>144.56</v>
      </c>
      <c r="K1953" s="79">
        <v>0</v>
      </c>
      <c r="L1953" s="70">
        <v>144.56</v>
      </c>
      <c r="M1953" s="132"/>
      <c r="N1953" s="79">
        <v>48.45</v>
      </c>
      <c r="O1953" s="79">
        <v>96.11</v>
      </c>
      <c r="P1953" s="79">
        <v>144.56</v>
      </c>
      <c r="Q1953" s="136"/>
      <c r="R1953" s="79">
        <v>48.45</v>
      </c>
      <c r="S1953" s="79">
        <v>96.11</v>
      </c>
      <c r="T1953" s="79">
        <v>144.56</v>
      </c>
      <c r="U1953" s="79">
        <v>0</v>
      </c>
      <c r="V1953" s="189">
        <v>144.56</v>
      </c>
      <c r="X1953" s="79">
        <v>48.45</v>
      </c>
      <c r="Y1953" s="79">
        <v>96.11</v>
      </c>
      <c r="Z1953" s="79">
        <v>144.56</v>
      </c>
      <c r="AA1953" s="255">
        <v>0</v>
      </c>
      <c r="AC1953" s="254"/>
    </row>
    <row r="1954" spans="1:31" s="61" customFormat="1" ht="12">
      <c r="A1954" s="67" t="s">
        <v>14266</v>
      </c>
      <c r="B1954" s="65" t="s">
        <v>14267</v>
      </c>
      <c r="C1954" s="71" t="s">
        <v>103</v>
      </c>
      <c r="D1954" s="78">
        <v>1</v>
      </c>
      <c r="E1954" s="79">
        <v>270.01</v>
      </c>
      <c r="F1954" s="70">
        <v>270.01</v>
      </c>
      <c r="G1954" s="320"/>
      <c r="H1954" s="79">
        <v>135.9</v>
      </c>
      <c r="I1954" s="79">
        <v>134.11000000000001</v>
      </c>
      <c r="J1954" s="79">
        <v>270.01</v>
      </c>
      <c r="K1954" s="79">
        <v>0</v>
      </c>
      <c r="L1954" s="70">
        <v>270.01</v>
      </c>
      <c r="M1954" s="132"/>
      <c r="N1954" s="79">
        <v>135.9</v>
      </c>
      <c r="O1954" s="79">
        <v>134.11000000000001</v>
      </c>
      <c r="P1954" s="79">
        <v>270.01</v>
      </c>
      <c r="Q1954" s="136"/>
      <c r="R1954" s="79">
        <v>135.9</v>
      </c>
      <c r="S1954" s="79">
        <v>134.1</v>
      </c>
      <c r="T1954" s="79">
        <v>270</v>
      </c>
      <c r="U1954" s="79">
        <v>0</v>
      </c>
      <c r="V1954" s="189">
        <v>270</v>
      </c>
      <c r="X1954" s="79">
        <v>135.9</v>
      </c>
      <c r="Y1954" s="79">
        <v>134.1</v>
      </c>
      <c r="Z1954" s="79">
        <v>270</v>
      </c>
      <c r="AA1954" s="255">
        <v>9.9999999999909051E-3</v>
      </c>
      <c r="AC1954" s="254"/>
      <c r="AD1954" s="236"/>
      <c r="AE1954" s="236"/>
    </row>
    <row r="1955" spans="1:31" s="61" customFormat="1" ht="12">
      <c r="A1955" s="67" t="s">
        <v>14268</v>
      </c>
      <c r="B1955" s="65" t="s">
        <v>14269</v>
      </c>
      <c r="C1955" s="71" t="s">
        <v>103</v>
      </c>
      <c r="D1955" s="78">
        <v>1</v>
      </c>
      <c r="E1955" s="79">
        <v>429.04</v>
      </c>
      <c r="F1955" s="70">
        <v>429.04</v>
      </c>
      <c r="G1955" s="320"/>
      <c r="H1955" s="79">
        <v>256.98</v>
      </c>
      <c r="I1955" s="79">
        <v>172.06</v>
      </c>
      <c r="J1955" s="79">
        <v>429.04</v>
      </c>
      <c r="K1955" s="79">
        <v>0</v>
      </c>
      <c r="L1955" s="70">
        <v>429.04</v>
      </c>
      <c r="M1955" s="132"/>
      <c r="N1955" s="79">
        <v>256.98</v>
      </c>
      <c r="O1955" s="79">
        <v>172.06</v>
      </c>
      <c r="P1955" s="79">
        <v>429.04</v>
      </c>
      <c r="Q1955" s="136"/>
      <c r="R1955" s="79">
        <v>256.98</v>
      </c>
      <c r="S1955" s="79">
        <v>172.08</v>
      </c>
      <c r="T1955" s="79">
        <v>429.06000000000006</v>
      </c>
      <c r="U1955" s="79">
        <v>0</v>
      </c>
      <c r="V1955" s="189">
        <v>429.06000000000006</v>
      </c>
      <c r="X1955" s="79">
        <v>256.98</v>
      </c>
      <c r="Y1955" s="79">
        <v>172.08</v>
      </c>
      <c r="Z1955" s="79">
        <v>429.06</v>
      </c>
      <c r="AA1955" s="255">
        <v>-1.999999999998181E-2</v>
      </c>
      <c r="AC1955" s="254"/>
      <c r="AD1955" s="236"/>
      <c r="AE1955" s="236"/>
    </row>
    <row r="1956" spans="1:31" ht="12">
      <c r="A1956" s="67" t="s">
        <v>14270</v>
      </c>
      <c r="B1956" s="65" t="s">
        <v>14271</v>
      </c>
      <c r="C1956" s="71" t="s">
        <v>103</v>
      </c>
      <c r="D1956" s="78">
        <v>1</v>
      </c>
      <c r="E1956" s="79">
        <v>684.71</v>
      </c>
      <c r="F1956" s="70">
        <v>684.71</v>
      </c>
      <c r="G1956" s="320"/>
      <c r="H1956" s="79">
        <v>471.34</v>
      </c>
      <c r="I1956" s="79">
        <v>213.37</v>
      </c>
      <c r="J1956" s="79">
        <v>684.71</v>
      </c>
      <c r="K1956" s="79">
        <v>0</v>
      </c>
      <c r="L1956" s="70">
        <v>684.71</v>
      </c>
      <c r="M1956" s="132"/>
      <c r="N1956" s="79">
        <v>471.34</v>
      </c>
      <c r="O1956" s="79">
        <v>213.37</v>
      </c>
      <c r="P1956" s="79">
        <v>684.71</v>
      </c>
      <c r="Q1956" s="136"/>
      <c r="R1956" s="79">
        <v>471.34</v>
      </c>
      <c r="S1956" s="79">
        <v>213.38</v>
      </c>
      <c r="T1956" s="79">
        <v>684.72</v>
      </c>
      <c r="U1956" s="79">
        <v>0</v>
      </c>
      <c r="V1956" s="189">
        <v>684.72</v>
      </c>
      <c r="X1956" s="79">
        <v>471.34</v>
      </c>
      <c r="Y1956" s="79">
        <v>213.38</v>
      </c>
      <c r="Z1956" s="79">
        <v>684.72</v>
      </c>
      <c r="AA1956" s="255">
        <v>-9.9999999999909051E-3</v>
      </c>
      <c r="AC1956" s="254"/>
    </row>
    <row r="1957" spans="1:31" ht="12">
      <c r="A1957" s="67" t="s">
        <v>14272</v>
      </c>
      <c r="B1957" s="65" t="s">
        <v>14273</v>
      </c>
      <c r="C1957" s="71" t="s">
        <v>103</v>
      </c>
      <c r="D1957" s="78">
        <v>1</v>
      </c>
      <c r="E1957" s="79">
        <v>1723.36</v>
      </c>
      <c r="F1957" s="70">
        <v>1723.36</v>
      </c>
      <c r="G1957" s="320"/>
      <c r="H1957" s="79">
        <v>1437.32</v>
      </c>
      <c r="I1957" s="79">
        <v>286.04000000000002</v>
      </c>
      <c r="J1957" s="79">
        <v>1723.36</v>
      </c>
      <c r="K1957" s="79">
        <v>0</v>
      </c>
      <c r="L1957" s="70">
        <v>1723.36</v>
      </c>
      <c r="M1957" s="132"/>
      <c r="N1957" s="79">
        <v>1437.32</v>
      </c>
      <c r="O1957" s="79">
        <v>286.04000000000002</v>
      </c>
      <c r="P1957" s="79">
        <v>1723.36</v>
      </c>
      <c r="Q1957" s="136"/>
      <c r="R1957" s="79">
        <v>1437.32</v>
      </c>
      <c r="S1957" s="79">
        <v>286.04000000000002</v>
      </c>
      <c r="T1957" s="79">
        <v>1723.36</v>
      </c>
      <c r="U1957" s="79">
        <v>0</v>
      </c>
      <c r="V1957" s="189">
        <v>1723.36</v>
      </c>
      <c r="X1957" s="79">
        <v>1437.32</v>
      </c>
      <c r="Y1957" s="79">
        <v>286.04000000000002</v>
      </c>
      <c r="Z1957" s="79">
        <v>1723.36</v>
      </c>
      <c r="AA1957" s="255">
        <v>0</v>
      </c>
      <c r="AC1957" s="254"/>
    </row>
    <row r="1958" spans="1:31" ht="12">
      <c r="A1958" s="489" t="s">
        <v>14274</v>
      </c>
      <c r="B1958" s="490" t="s">
        <v>14275</v>
      </c>
      <c r="C1958" s="491"/>
      <c r="D1958" s="492"/>
      <c r="E1958" s="79"/>
      <c r="F1958" s="63"/>
      <c r="G1958" s="320"/>
      <c r="H1958" s="79"/>
      <c r="I1958" s="79"/>
      <c r="J1958" s="79"/>
      <c r="K1958" s="79"/>
      <c r="L1958" s="70"/>
      <c r="M1958" s="132"/>
      <c r="N1958" s="79"/>
      <c r="O1958" s="79"/>
      <c r="P1958" s="79"/>
      <c r="Q1958" s="136"/>
      <c r="R1958" s="79"/>
      <c r="S1958" s="79"/>
      <c r="T1958" s="79"/>
      <c r="U1958" s="79"/>
      <c r="V1958" s="189"/>
      <c r="X1958" s="79"/>
      <c r="Y1958" s="79"/>
      <c r="Z1958" s="79"/>
      <c r="AA1958" s="255"/>
      <c r="AC1958" s="254"/>
    </row>
    <row r="1959" spans="1:31" ht="12">
      <c r="A1959" s="67" t="s">
        <v>14276</v>
      </c>
      <c r="B1959" s="65" t="s">
        <v>14277</v>
      </c>
      <c r="C1959" s="71" t="s">
        <v>103</v>
      </c>
      <c r="D1959" s="78">
        <v>1</v>
      </c>
      <c r="E1959" s="79">
        <v>145.72</v>
      </c>
      <c r="F1959" s="70">
        <v>145.72</v>
      </c>
      <c r="G1959" s="320"/>
      <c r="H1959" s="79">
        <v>61.96</v>
      </c>
      <c r="I1959" s="79">
        <v>83.76</v>
      </c>
      <c r="J1959" s="79">
        <v>145.72</v>
      </c>
      <c r="K1959" s="79">
        <v>0</v>
      </c>
      <c r="L1959" s="70">
        <v>145.72</v>
      </c>
      <c r="M1959" s="132"/>
      <c r="N1959" s="79">
        <v>61.96</v>
      </c>
      <c r="O1959" s="79">
        <v>83.76</v>
      </c>
      <c r="P1959" s="79">
        <v>145.72</v>
      </c>
      <c r="Q1959" s="136"/>
      <c r="R1959" s="79">
        <v>61.96</v>
      </c>
      <c r="S1959" s="79">
        <v>83.75</v>
      </c>
      <c r="T1959" s="79">
        <v>145.71</v>
      </c>
      <c r="U1959" s="79">
        <v>0</v>
      </c>
      <c r="V1959" s="189">
        <v>145.71</v>
      </c>
      <c r="X1959" s="79">
        <v>61.96</v>
      </c>
      <c r="Y1959" s="79">
        <v>83.75</v>
      </c>
      <c r="Z1959" s="79">
        <v>145.71</v>
      </c>
      <c r="AA1959" s="255">
        <v>9.9999999999909051E-3</v>
      </c>
      <c r="AC1959" s="254"/>
    </row>
    <row r="1960" spans="1:31" ht="12">
      <c r="A1960" s="67" t="s">
        <v>14278</v>
      </c>
      <c r="B1960" s="65" t="s">
        <v>14279</v>
      </c>
      <c r="C1960" s="71" t="s">
        <v>103</v>
      </c>
      <c r="D1960" s="78">
        <v>1</v>
      </c>
      <c r="E1960" s="79">
        <v>234.08</v>
      </c>
      <c r="F1960" s="70">
        <v>234.08</v>
      </c>
      <c r="G1960" s="320"/>
      <c r="H1960" s="79">
        <v>122.43</v>
      </c>
      <c r="I1960" s="79">
        <v>111.65</v>
      </c>
      <c r="J1960" s="79">
        <v>234.08</v>
      </c>
      <c r="K1960" s="79">
        <v>0</v>
      </c>
      <c r="L1960" s="70">
        <v>234.08</v>
      </c>
      <c r="M1960" s="132"/>
      <c r="N1960" s="79">
        <v>122.43</v>
      </c>
      <c r="O1960" s="79">
        <v>111.65</v>
      </c>
      <c r="P1960" s="79">
        <v>234.08</v>
      </c>
      <c r="Q1960" s="136"/>
      <c r="R1960" s="79">
        <v>122.43</v>
      </c>
      <c r="S1960" s="79">
        <v>111.66</v>
      </c>
      <c r="T1960" s="79">
        <v>234.09</v>
      </c>
      <c r="U1960" s="79">
        <v>0</v>
      </c>
      <c r="V1960" s="189">
        <v>234.09</v>
      </c>
      <c r="X1960" s="79">
        <v>122.43</v>
      </c>
      <c r="Y1960" s="79">
        <v>111.66</v>
      </c>
      <c r="Z1960" s="79">
        <v>234.09</v>
      </c>
      <c r="AA1960" s="255">
        <v>-9.9999999999909051E-3</v>
      </c>
      <c r="AC1960" s="254"/>
    </row>
    <row r="1961" spans="1:31" ht="12">
      <c r="A1961" s="67" t="s">
        <v>14280</v>
      </c>
      <c r="B1961" s="65" t="s">
        <v>14281</v>
      </c>
      <c r="C1961" s="71" t="s">
        <v>103</v>
      </c>
      <c r="D1961" s="78">
        <v>1</v>
      </c>
      <c r="E1961" s="79">
        <v>410.41999999999996</v>
      </c>
      <c r="F1961" s="70">
        <v>410.42</v>
      </c>
      <c r="G1961" s="320"/>
      <c r="H1961" s="79">
        <v>270.83</v>
      </c>
      <c r="I1961" s="79">
        <v>139.59</v>
      </c>
      <c r="J1961" s="79">
        <v>410.41999999999996</v>
      </c>
      <c r="K1961" s="79">
        <v>0</v>
      </c>
      <c r="L1961" s="70">
        <v>410.41999999999996</v>
      </c>
      <c r="M1961" s="132"/>
      <c r="N1961" s="79">
        <v>270.83</v>
      </c>
      <c r="O1961" s="79">
        <v>139.59</v>
      </c>
      <c r="P1961" s="79">
        <v>410.41999999999996</v>
      </c>
      <c r="Q1961" s="136"/>
      <c r="R1961" s="79">
        <v>270.83</v>
      </c>
      <c r="S1961" s="79">
        <v>139.58000000000001</v>
      </c>
      <c r="T1961" s="79">
        <v>410.40999999999997</v>
      </c>
      <c r="U1961" s="79">
        <v>0</v>
      </c>
      <c r="V1961" s="189">
        <v>410.40999999999997</v>
      </c>
      <c r="X1961" s="79">
        <v>270.83</v>
      </c>
      <c r="Y1961" s="79">
        <v>139.58000000000001</v>
      </c>
      <c r="Z1961" s="79">
        <v>410.41</v>
      </c>
      <c r="AA1961" s="255">
        <v>9.9999999999909051E-3</v>
      </c>
      <c r="AC1961" s="254"/>
    </row>
    <row r="1962" spans="1:31" ht="12">
      <c r="A1962" s="67" t="s">
        <v>14282</v>
      </c>
      <c r="B1962" s="65" t="s">
        <v>14283</v>
      </c>
      <c r="C1962" s="71" t="s">
        <v>103</v>
      </c>
      <c r="D1962" s="78">
        <v>1</v>
      </c>
      <c r="E1962" s="79">
        <v>698.1</v>
      </c>
      <c r="F1962" s="70">
        <v>698.1</v>
      </c>
      <c r="G1962" s="320"/>
      <c r="H1962" s="79">
        <v>530.62</v>
      </c>
      <c r="I1962" s="79">
        <v>167.48</v>
      </c>
      <c r="J1962" s="79">
        <v>698.1</v>
      </c>
      <c r="K1962" s="79">
        <v>0</v>
      </c>
      <c r="L1962" s="70">
        <v>698.1</v>
      </c>
      <c r="M1962" s="132"/>
      <c r="N1962" s="79">
        <v>530.62</v>
      </c>
      <c r="O1962" s="79">
        <v>167.48</v>
      </c>
      <c r="P1962" s="79">
        <v>698.1</v>
      </c>
      <c r="Q1962" s="136"/>
      <c r="R1962" s="79">
        <v>530.62</v>
      </c>
      <c r="S1962" s="79">
        <v>167.49</v>
      </c>
      <c r="T1962" s="79">
        <v>698.11</v>
      </c>
      <c r="U1962" s="79">
        <v>0</v>
      </c>
      <c r="V1962" s="189">
        <v>698.11</v>
      </c>
      <c r="X1962" s="79">
        <v>530.62</v>
      </c>
      <c r="Y1962" s="79">
        <v>167.49</v>
      </c>
      <c r="Z1962" s="79">
        <v>698.11</v>
      </c>
      <c r="AA1962" s="255">
        <v>-9.9999999999909051E-3</v>
      </c>
      <c r="AC1962" s="254"/>
    </row>
    <row r="1963" spans="1:31" ht="12">
      <c r="A1963" s="489" t="s">
        <v>14284</v>
      </c>
      <c r="B1963" s="490" t="s">
        <v>14285</v>
      </c>
      <c r="C1963" s="491"/>
      <c r="D1963" s="492"/>
      <c r="E1963" s="79"/>
      <c r="F1963" s="63"/>
      <c r="G1963" s="320"/>
      <c r="H1963" s="79"/>
      <c r="I1963" s="79"/>
      <c r="J1963" s="79"/>
      <c r="K1963" s="79"/>
      <c r="L1963" s="70"/>
      <c r="M1963" s="132"/>
      <c r="N1963" s="79"/>
      <c r="O1963" s="79"/>
      <c r="P1963" s="79"/>
      <c r="Q1963" s="136"/>
      <c r="R1963" s="79"/>
      <c r="S1963" s="79"/>
      <c r="T1963" s="79"/>
      <c r="U1963" s="79"/>
      <c r="V1963" s="189"/>
      <c r="X1963" s="79"/>
      <c r="Y1963" s="79"/>
      <c r="Z1963" s="79"/>
      <c r="AA1963" s="255"/>
      <c r="AC1963" s="254"/>
    </row>
    <row r="1964" spans="1:31" ht="24">
      <c r="A1964" s="67" t="s">
        <v>14286</v>
      </c>
      <c r="B1964" s="65" t="s">
        <v>14287</v>
      </c>
      <c r="C1964" s="71" t="s">
        <v>103</v>
      </c>
      <c r="D1964" s="78">
        <v>1</v>
      </c>
      <c r="E1964" s="79">
        <v>572.48</v>
      </c>
      <c r="F1964" s="70">
        <v>572.48</v>
      </c>
      <c r="G1964" s="320"/>
      <c r="H1964" s="79">
        <v>405.55</v>
      </c>
      <c r="I1964" s="79">
        <v>166.93</v>
      </c>
      <c r="J1964" s="79">
        <v>572.48</v>
      </c>
      <c r="K1964" s="79">
        <v>0</v>
      </c>
      <c r="L1964" s="70">
        <v>572.48</v>
      </c>
      <c r="M1964" s="132"/>
      <c r="N1964" s="79">
        <v>405.55</v>
      </c>
      <c r="O1964" s="79">
        <v>166.93</v>
      </c>
      <c r="P1964" s="79">
        <v>572.48</v>
      </c>
      <c r="Q1964" s="136"/>
      <c r="R1964" s="79">
        <v>405.55</v>
      </c>
      <c r="S1964" s="79">
        <v>166.94</v>
      </c>
      <c r="T1964" s="79">
        <v>572.49</v>
      </c>
      <c r="U1964" s="79">
        <v>0</v>
      </c>
      <c r="V1964" s="189">
        <v>572.49</v>
      </c>
      <c r="X1964" s="79">
        <v>405.55</v>
      </c>
      <c r="Y1964" s="79">
        <v>166.94</v>
      </c>
      <c r="Z1964" s="79">
        <v>572.49</v>
      </c>
      <c r="AA1964" s="255">
        <v>-9.9999999999909051E-3</v>
      </c>
      <c r="AC1964" s="254"/>
    </row>
    <row r="1965" spans="1:31" ht="24">
      <c r="A1965" s="67" t="s">
        <v>14288</v>
      </c>
      <c r="B1965" s="65" t="s">
        <v>14289</v>
      </c>
      <c r="C1965" s="71" t="s">
        <v>103</v>
      </c>
      <c r="D1965" s="78">
        <v>1</v>
      </c>
      <c r="E1965" s="79">
        <v>611.63</v>
      </c>
      <c r="F1965" s="70">
        <v>611.63</v>
      </c>
      <c r="G1965" s="320"/>
      <c r="H1965" s="79">
        <v>444.7</v>
      </c>
      <c r="I1965" s="79">
        <v>166.93</v>
      </c>
      <c r="J1965" s="79">
        <v>611.63</v>
      </c>
      <c r="K1965" s="79">
        <v>0</v>
      </c>
      <c r="L1965" s="70">
        <v>611.63</v>
      </c>
      <c r="M1965" s="132"/>
      <c r="N1965" s="79">
        <v>444.7</v>
      </c>
      <c r="O1965" s="79">
        <v>166.93</v>
      </c>
      <c r="P1965" s="79">
        <v>611.63</v>
      </c>
      <c r="Q1965" s="136"/>
      <c r="R1965" s="79">
        <v>444.7</v>
      </c>
      <c r="S1965" s="79">
        <v>166.94</v>
      </c>
      <c r="T1965" s="79">
        <v>611.64</v>
      </c>
      <c r="U1965" s="79">
        <v>0</v>
      </c>
      <c r="V1965" s="189">
        <v>611.64</v>
      </c>
      <c r="X1965" s="79">
        <v>444.7</v>
      </c>
      <c r="Y1965" s="79">
        <v>166.94</v>
      </c>
      <c r="Z1965" s="79">
        <v>611.64</v>
      </c>
      <c r="AA1965" s="255">
        <v>-9.9999999999909051E-3</v>
      </c>
      <c r="AC1965" s="254"/>
    </row>
    <row r="1966" spans="1:31" ht="24">
      <c r="A1966" s="67" t="s">
        <v>14290</v>
      </c>
      <c r="B1966" s="65" t="s">
        <v>14291</v>
      </c>
      <c r="C1966" s="71" t="s">
        <v>103</v>
      </c>
      <c r="D1966" s="78">
        <v>1</v>
      </c>
      <c r="E1966" s="79">
        <v>812.08999999999992</v>
      </c>
      <c r="F1966" s="70">
        <v>812.09</v>
      </c>
      <c r="G1966" s="320"/>
      <c r="H1966" s="79">
        <v>603.4</v>
      </c>
      <c r="I1966" s="79">
        <v>208.69</v>
      </c>
      <c r="J1966" s="79">
        <v>812.08999999999992</v>
      </c>
      <c r="K1966" s="79">
        <v>0</v>
      </c>
      <c r="L1966" s="70">
        <v>812.08999999999992</v>
      </c>
      <c r="M1966" s="132"/>
      <c r="N1966" s="79">
        <v>603.4</v>
      </c>
      <c r="O1966" s="79">
        <v>208.69</v>
      </c>
      <c r="P1966" s="79">
        <v>812.08999999999992</v>
      </c>
      <c r="Q1966" s="136"/>
      <c r="R1966" s="79">
        <v>603.4</v>
      </c>
      <c r="S1966" s="79">
        <v>208.68</v>
      </c>
      <c r="T1966" s="79">
        <v>812.07999999999993</v>
      </c>
      <c r="U1966" s="79">
        <v>0</v>
      </c>
      <c r="V1966" s="189">
        <v>812.07999999999993</v>
      </c>
      <c r="X1966" s="79">
        <v>603.4</v>
      </c>
      <c r="Y1966" s="79">
        <v>208.68</v>
      </c>
      <c r="Z1966" s="79">
        <v>812.08</v>
      </c>
      <c r="AA1966" s="255">
        <v>9.9999999999909051E-3</v>
      </c>
      <c r="AC1966" s="254"/>
    </row>
    <row r="1967" spans="1:31" ht="24">
      <c r="A1967" s="67" t="s">
        <v>14292</v>
      </c>
      <c r="B1967" s="65" t="s">
        <v>14293</v>
      </c>
      <c r="C1967" s="71" t="s">
        <v>103</v>
      </c>
      <c r="D1967" s="78">
        <v>1</v>
      </c>
      <c r="E1967" s="79">
        <v>827.81</v>
      </c>
      <c r="F1967" s="70">
        <v>827.81</v>
      </c>
      <c r="G1967" s="320"/>
      <c r="H1967" s="79">
        <v>619.12</v>
      </c>
      <c r="I1967" s="79">
        <v>208.69</v>
      </c>
      <c r="J1967" s="79">
        <v>827.81</v>
      </c>
      <c r="K1967" s="79">
        <v>0</v>
      </c>
      <c r="L1967" s="70">
        <v>827.81</v>
      </c>
      <c r="M1967" s="132"/>
      <c r="N1967" s="79">
        <v>619.12</v>
      </c>
      <c r="O1967" s="79">
        <v>208.69</v>
      </c>
      <c r="P1967" s="79">
        <v>827.81</v>
      </c>
      <c r="Q1967" s="136"/>
      <c r="R1967" s="79">
        <v>619.12</v>
      </c>
      <c r="S1967" s="79">
        <v>208.68</v>
      </c>
      <c r="T1967" s="79">
        <v>827.8</v>
      </c>
      <c r="U1967" s="79">
        <v>0</v>
      </c>
      <c r="V1967" s="189">
        <v>827.8</v>
      </c>
      <c r="X1967" s="79">
        <v>619.12</v>
      </c>
      <c r="Y1967" s="79">
        <v>208.68</v>
      </c>
      <c r="Z1967" s="79">
        <v>827.8</v>
      </c>
      <c r="AA1967" s="255">
        <v>9.9999999999909051E-3</v>
      </c>
      <c r="AC1967" s="254"/>
    </row>
    <row r="1968" spans="1:31" ht="24">
      <c r="A1968" s="67" t="s">
        <v>14294</v>
      </c>
      <c r="B1968" s="65" t="s">
        <v>14295</v>
      </c>
      <c r="C1968" s="71" t="s">
        <v>103</v>
      </c>
      <c r="D1968" s="78">
        <v>1</v>
      </c>
      <c r="E1968" s="79">
        <v>1268.31</v>
      </c>
      <c r="F1968" s="70">
        <v>1268.31</v>
      </c>
      <c r="G1968" s="320"/>
      <c r="H1968" s="79">
        <v>1017.92</v>
      </c>
      <c r="I1968" s="79">
        <v>250.39</v>
      </c>
      <c r="J1968" s="79">
        <v>1268.31</v>
      </c>
      <c r="K1968" s="79">
        <v>0</v>
      </c>
      <c r="L1968" s="70">
        <v>1268.31</v>
      </c>
      <c r="M1968" s="132"/>
      <c r="N1968" s="79">
        <v>1017.92</v>
      </c>
      <c r="O1968" s="79">
        <v>250.39</v>
      </c>
      <c r="P1968" s="79">
        <v>1268.31</v>
      </c>
      <c r="Q1968" s="136"/>
      <c r="R1968" s="79">
        <v>1017.92</v>
      </c>
      <c r="S1968" s="79">
        <v>250.41</v>
      </c>
      <c r="T1968" s="79">
        <v>1268.33</v>
      </c>
      <c r="U1968" s="79">
        <v>0</v>
      </c>
      <c r="V1968" s="189">
        <v>1268.33</v>
      </c>
      <c r="X1968" s="79">
        <v>1017.92</v>
      </c>
      <c r="Y1968" s="79">
        <v>250.41</v>
      </c>
      <c r="Z1968" s="79">
        <v>1268.33</v>
      </c>
      <c r="AA1968" s="255">
        <v>-1.999999999998181E-2</v>
      </c>
      <c r="AC1968" s="254"/>
    </row>
    <row r="1969" spans="1:29" ht="24">
      <c r="A1969" s="67" t="s">
        <v>14296</v>
      </c>
      <c r="B1969" s="65" t="s">
        <v>14297</v>
      </c>
      <c r="C1969" s="71" t="s">
        <v>103</v>
      </c>
      <c r="D1969" s="78">
        <v>1</v>
      </c>
      <c r="E1969" s="79">
        <v>1499.62</v>
      </c>
      <c r="F1969" s="70">
        <v>1499.62</v>
      </c>
      <c r="G1969" s="320"/>
      <c r="H1969" s="79">
        <v>1249.23</v>
      </c>
      <c r="I1969" s="79">
        <v>250.39</v>
      </c>
      <c r="J1969" s="79">
        <v>1499.62</v>
      </c>
      <c r="K1969" s="79">
        <v>0</v>
      </c>
      <c r="L1969" s="70">
        <v>1499.62</v>
      </c>
      <c r="M1969" s="132"/>
      <c r="N1969" s="79">
        <v>1249.23</v>
      </c>
      <c r="O1969" s="79">
        <v>250.39</v>
      </c>
      <c r="P1969" s="79">
        <v>1499.62</v>
      </c>
      <c r="Q1969" s="136"/>
      <c r="R1969" s="79">
        <v>1249.23</v>
      </c>
      <c r="S1969" s="79">
        <v>250.41</v>
      </c>
      <c r="T1969" s="79">
        <v>1499.64</v>
      </c>
      <c r="U1969" s="79">
        <v>0</v>
      </c>
      <c r="V1969" s="189">
        <v>1499.64</v>
      </c>
      <c r="X1969" s="79">
        <v>1249.23</v>
      </c>
      <c r="Y1969" s="79">
        <v>250.41</v>
      </c>
      <c r="Z1969" s="79">
        <v>1499.64</v>
      </c>
      <c r="AA1969" s="255">
        <v>-2.0000000000209184E-2</v>
      </c>
      <c r="AC1969" s="254"/>
    </row>
    <row r="1970" spans="1:29" ht="12">
      <c r="A1970" s="489" t="s">
        <v>14298</v>
      </c>
      <c r="B1970" s="490" t="s">
        <v>14299</v>
      </c>
      <c r="C1970" s="491"/>
      <c r="D1970" s="492"/>
      <c r="E1970" s="79"/>
      <c r="F1970" s="63"/>
      <c r="G1970" s="320"/>
      <c r="H1970" s="79"/>
      <c r="I1970" s="79"/>
      <c r="J1970" s="79"/>
      <c r="K1970" s="79"/>
      <c r="L1970" s="70"/>
      <c r="M1970" s="132"/>
      <c r="N1970" s="79"/>
      <c r="O1970" s="79"/>
      <c r="P1970" s="79"/>
      <c r="Q1970" s="136"/>
      <c r="R1970" s="79"/>
      <c r="S1970" s="79"/>
      <c r="T1970" s="79"/>
      <c r="U1970" s="79"/>
      <c r="V1970" s="189"/>
      <c r="X1970" s="79"/>
      <c r="Y1970" s="79"/>
      <c r="Z1970" s="79"/>
      <c r="AA1970" s="255"/>
      <c r="AC1970" s="254"/>
    </row>
    <row r="1971" spans="1:29" ht="24">
      <c r="A1971" s="67" t="s">
        <v>14300</v>
      </c>
      <c r="B1971" s="65" t="s">
        <v>14301</v>
      </c>
      <c r="C1971" s="71" t="s">
        <v>103</v>
      </c>
      <c r="D1971" s="78">
        <v>1</v>
      </c>
      <c r="E1971" s="79">
        <v>640.9</v>
      </c>
      <c r="F1971" s="70">
        <v>640.9</v>
      </c>
      <c r="G1971" s="320"/>
      <c r="H1971" s="79">
        <v>515.66999999999996</v>
      </c>
      <c r="I1971" s="79">
        <v>125.23</v>
      </c>
      <c r="J1971" s="79">
        <v>640.9</v>
      </c>
      <c r="K1971" s="79">
        <v>0</v>
      </c>
      <c r="L1971" s="70">
        <v>640.9</v>
      </c>
      <c r="M1971" s="132"/>
      <c r="N1971" s="79">
        <v>515.66999999999996</v>
      </c>
      <c r="O1971" s="79">
        <v>125.23</v>
      </c>
      <c r="P1971" s="79">
        <v>640.9</v>
      </c>
      <c r="Q1971" s="136"/>
      <c r="R1971" s="79">
        <v>515.66999999999996</v>
      </c>
      <c r="S1971" s="79">
        <v>125.21</v>
      </c>
      <c r="T1971" s="79">
        <v>640.88</v>
      </c>
      <c r="U1971" s="79">
        <v>0</v>
      </c>
      <c r="V1971" s="189">
        <v>640.88</v>
      </c>
      <c r="X1971" s="79">
        <v>515.66999999999996</v>
      </c>
      <c r="Y1971" s="79">
        <v>125.21</v>
      </c>
      <c r="Z1971" s="79">
        <v>640.88</v>
      </c>
      <c r="AA1971" s="255">
        <v>1.999999999998181E-2</v>
      </c>
      <c r="AC1971" s="254"/>
    </row>
    <row r="1972" spans="1:29" ht="24">
      <c r="A1972" s="67" t="s">
        <v>14302</v>
      </c>
      <c r="B1972" s="65" t="s">
        <v>14303</v>
      </c>
      <c r="C1972" s="71" t="s">
        <v>103</v>
      </c>
      <c r="D1972" s="78">
        <v>1</v>
      </c>
      <c r="E1972" s="79">
        <v>748.6</v>
      </c>
      <c r="F1972" s="70">
        <v>748.6</v>
      </c>
      <c r="G1972" s="320"/>
      <c r="H1972" s="79">
        <v>623.37</v>
      </c>
      <c r="I1972" s="79">
        <v>125.23</v>
      </c>
      <c r="J1972" s="79">
        <v>748.6</v>
      </c>
      <c r="K1972" s="79">
        <v>0</v>
      </c>
      <c r="L1972" s="70">
        <v>748.6</v>
      </c>
      <c r="M1972" s="132"/>
      <c r="N1972" s="79">
        <v>623.37</v>
      </c>
      <c r="O1972" s="79">
        <v>125.23</v>
      </c>
      <c r="P1972" s="79">
        <v>748.6</v>
      </c>
      <c r="Q1972" s="136"/>
      <c r="R1972" s="79">
        <v>623.37</v>
      </c>
      <c r="S1972" s="79">
        <v>125.21</v>
      </c>
      <c r="T1972" s="79">
        <v>748.58</v>
      </c>
      <c r="U1972" s="79">
        <v>0</v>
      </c>
      <c r="V1972" s="189">
        <v>748.58</v>
      </c>
      <c r="X1972" s="79">
        <v>623.37</v>
      </c>
      <c r="Y1972" s="79">
        <v>125.21</v>
      </c>
      <c r="Z1972" s="79">
        <v>748.58</v>
      </c>
      <c r="AA1972" s="255">
        <v>1.999999999998181E-2</v>
      </c>
      <c r="AC1972" s="254"/>
    </row>
    <row r="1973" spans="1:29" ht="24">
      <c r="A1973" s="67" t="s">
        <v>14304</v>
      </c>
      <c r="B1973" s="65" t="s">
        <v>14305</v>
      </c>
      <c r="C1973" s="71" t="s">
        <v>103</v>
      </c>
      <c r="D1973" s="78">
        <v>1</v>
      </c>
      <c r="E1973" s="79">
        <v>875.58999999999992</v>
      </c>
      <c r="F1973" s="70">
        <v>875.59</v>
      </c>
      <c r="G1973" s="320"/>
      <c r="H1973" s="79">
        <v>708.66</v>
      </c>
      <c r="I1973" s="79">
        <v>166.93</v>
      </c>
      <c r="J1973" s="79">
        <v>875.58999999999992</v>
      </c>
      <c r="K1973" s="79">
        <v>0</v>
      </c>
      <c r="L1973" s="70">
        <v>875.58999999999992</v>
      </c>
      <c r="M1973" s="132"/>
      <c r="N1973" s="79">
        <v>708.66</v>
      </c>
      <c r="O1973" s="79">
        <v>166.93</v>
      </c>
      <c r="P1973" s="79">
        <v>875.58999999999992</v>
      </c>
      <c r="Q1973" s="136"/>
      <c r="R1973" s="79">
        <v>708.66</v>
      </c>
      <c r="S1973" s="79">
        <v>166.94</v>
      </c>
      <c r="T1973" s="79">
        <v>875.59999999999991</v>
      </c>
      <c r="U1973" s="79">
        <v>0</v>
      </c>
      <c r="V1973" s="189">
        <v>875.59999999999991</v>
      </c>
      <c r="X1973" s="79">
        <v>708.66</v>
      </c>
      <c r="Y1973" s="79">
        <v>166.94</v>
      </c>
      <c r="Z1973" s="79">
        <v>875.6</v>
      </c>
      <c r="AA1973" s="255">
        <v>-9.9999999999909051E-3</v>
      </c>
      <c r="AC1973" s="254"/>
    </row>
    <row r="1974" spans="1:29" ht="24">
      <c r="A1974" s="67" t="s">
        <v>14306</v>
      </c>
      <c r="B1974" s="65" t="s">
        <v>14307</v>
      </c>
      <c r="C1974" s="71" t="s">
        <v>103</v>
      </c>
      <c r="D1974" s="78">
        <v>1</v>
      </c>
      <c r="E1974" s="79">
        <v>1148.29</v>
      </c>
      <c r="F1974" s="70">
        <v>1148.29</v>
      </c>
      <c r="G1974" s="320"/>
      <c r="H1974" s="79">
        <v>981.36</v>
      </c>
      <c r="I1974" s="79">
        <v>166.93</v>
      </c>
      <c r="J1974" s="79">
        <v>1148.29</v>
      </c>
      <c r="K1974" s="79">
        <v>0</v>
      </c>
      <c r="L1974" s="70">
        <v>1148.29</v>
      </c>
      <c r="M1974" s="132"/>
      <c r="N1974" s="79">
        <v>981.36</v>
      </c>
      <c r="O1974" s="79">
        <v>166.93</v>
      </c>
      <c r="P1974" s="79">
        <v>1148.29</v>
      </c>
      <c r="Q1974" s="136"/>
      <c r="R1974" s="79">
        <v>981.36</v>
      </c>
      <c r="S1974" s="79">
        <v>166.94</v>
      </c>
      <c r="T1974" s="79">
        <v>1148.3</v>
      </c>
      <c r="U1974" s="79">
        <v>0</v>
      </c>
      <c r="V1974" s="189">
        <v>1148.3</v>
      </c>
      <c r="X1974" s="79">
        <v>981.36</v>
      </c>
      <c r="Y1974" s="79">
        <v>166.94</v>
      </c>
      <c r="Z1974" s="79">
        <v>1148.3</v>
      </c>
      <c r="AA1974" s="255">
        <v>-9.9999999999909051E-3</v>
      </c>
      <c r="AC1974" s="254"/>
    </row>
    <row r="1975" spans="1:29" ht="24">
      <c r="A1975" s="67" t="s">
        <v>14308</v>
      </c>
      <c r="B1975" s="65" t="s">
        <v>14309</v>
      </c>
      <c r="C1975" s="71" t="s">
        <v>103</v>
      </c>
      <c r="D1975" s="78">
        <v>1</v>
      </c>
      <c r="E1975" s="79">
        <v>1273.6000000000001</v>
      </c>
      <c r="F1975" s="70">
        <v>1273.5999999999999</v>
      </c>
      <c r="G1975" s="320"/>
      <c r="H1975" s="79">
        <v>1064.9100000000001</v>
      </c>
      <c r="I1975" s="79">
        <v>208.69</v>
      </c>
      <c r="J1975" s="79">
        <v>1273.6000000000001</v>
      </c>
      <c r="K1975" s="79">
        <v>0</v>
      </c>
      <c r="L1975" s="70">
        <v>1273.6000000000001</v>
      </c>
      <c r="M1975" s="132"/>
      <c r="N1975" s="79">
        <v>1064.9100000000001</v>
      </c>
      <c r="O1975" s="79">
        <v>208.69</v>
      </c>
      <c r="P1975" s="79">
        <v>1273.6000000000001</v>
      </c>
      <c r="Q1975" s="136"/>
      <c r="R1975" s="79">
        <v>1064.9100000000001</v>
      </c>
      <c r="S1975" s="79">
        <v>208.68</v>
      </c>
      <c r="T1975" s="79">
        <v>1273.5900000000001</v>
      </c>
      <c r="U1975" s="79">
        <v>0</v>
      </c>
      <c r="V1975" s="189">
        <v>1273.5900000000001</v>
      </c>
      <c r="X1975" s="79">
        <v>1064.9100000000001</v>
      </c>
      <c r="Y1975" s="79">
        <v>208.68</v>
      </c>
      <c r="Z1975" s="79">
        <v>1273.5899999999999</v>
      </c>
      <c r="AA1975" s="255">
        <v>9.9999999999909051E-3</v>
      </c>
      <c r="AC1975" s="254"/>
    </row>
    <row r="1976" spans="1:29" ht="24">
      <c r="A1976" s="67" t="s">
        <v>14310</v>
      </c>
      <c r="B1976" s="65" t="s">
        <v>14311</v>
      </c>
      <c r="C1976" s="71" t="s">
        <v>103</v>
      </c>
      <c r="D1976" s="78">
        <v>1</v>
      </c>
      <c r="E1976" s="79">
        <v>1990.02</v>
      </c>
      <c r="F1976" s="70">
        <v>1990.02</v>
      </c>
      <c r="G1976" s="320"/>
      <c r="H1976" s="79">
        <v>1781.33</v>
      </c>
      <c r="I1976" s="79">
        <v>208.69</v>
      </c>
      <c r="J1976" s="79">
        <v>1990.02</v>
      </c>
      <c r="K1976" s="79">
        <v>0</v>
      </c>
      <c r="L1976" s="70">
        <v>1990.02</v>
      </c>
      <c r="M1976" s="132"/>
      <c r="N1976" s="79">
        <v>1781.33</v>
      </c>
      <c r="O1976" s="79">
        <v>208.69</v>
      </c>
      <c r="P1976" s="79">
        <v>1990.02</v>
      </c>
      <c r="Q1976" s="136"/>
      <c r="R1976" s="79">
        <v>1781.33</v>
      </c>
      <c r="S1976" s="79">
        <v>208.68</v>
      </c>
      <c r="T1976" s="79">
        <v>1990.01</v>
      </c>
      <c r="U1976" s="79">
        <v>0</v>
      </c>
      <c r="V1976" s="189">
        <v>1990.01</v>
      </c>
      <c r="X1976" s="79">
        <v>1781.33</v>
      </c>
      <c r="Y1976" s="79">
        <v>208.68</v>
      </c>
      <c r="Z1976" s="79">
        <v>1990.01</v>
      </c>
      <c r="AA1976" s="255">
        <v>9.9999999999909051E-3</v>
      </c>
      <c r="AC1976" s="254"/>
    </row>
    <row r="1977" spans="1:29" ht="12">
      <c r="A1977" s="489" t="s">
        <v>14312</v>
      </c>
      <c r="B1977" s="490" t="s">
        <v>14313</v>
      </c>
      <c r="C1977" s="491"/>
      <c r="D1977" s="492"/>
      <c r="E1977" s="79"/>
      <c r="F1977" s="63"/>
      <c r="G1977" s="320"/>
      <c r="H1977" s="79"/>
      <c r="I1977" s="79"/>
      <c r="J1977" s="79"/>
      <c r="K1977" s="79"/>
      <c r="L1977" s="70"/>
      <c r="M1977" s="132"/>
      <c r="N1977" s="79"/>
      <c r="O1977" s="79"/>
      <c r="P1977" s="79"/>
      <c r="Q1977" s="136"/>
      <c r="R1977" s="79"/>
      <c r="S1977" s="79"/>
      <c r="T1977" s="79"/>
      <c r="U1977" s="79"/>
      <c r="V1977" s="189"/>
      <c r="X1977" s="79"/>
      <c r="Y1977" s="79"/>
      <c r="Z1977" s="79"/>
      <c r="AA1977" s="255"/>
      <c r="AC1977" s="254"/>
    </row>
    <row r="1978" spans="1:29" ht="12">
      <c r="A1978" s="67" t="s">
        <v>14314</v>
      </c>
      <c r="B1978" s="65" t="s">
        <v>14315</v>
      </c>
      <c r="C1978" s="71" t="s">
        <v>509</v>
      </c>
      <c r="D1978" s="78">
        <v>1</v>
      </c>
      <c r="E1978" s="79">
        <v>2985.05</v>
      </c>
      <c r="F1978" s="70">
        <v>2985.05</v>
      </c>
      <c r="G1978" s="320"/>
      <c r="H1978" s="79">
        <v>2837.27</v>
      </c>
      <c r="I1978" s="79">
        <v>147.78</v>
      </c>
      <c r="J1978" s="79">
        <v>2985.05</v>
      </c>
      <c r="K1978" s="79">
        <v>0</v>
      </c>
      <c r="L1978" s="70">
        <v>2985.05</v>
      </c>
      <c r="M1978" s="132"/>
      <c r="N1978" s="79">
        <v>2837.27</v>
      </c>
      <c r="O1978" s="79">
        <v>147.78</v>
      </c>
      <c r="P1978" s="79">
        <v>2985.05</v>
      </c>
      <c r="Q1978" s="136"/>
      <c r="R1978" s="79">
        <v>2837.27</v>
      </c>
      <c r="S1978" s="79">
        <v>147.79</v>
      </c>
      <c r="T1978" s="79">
        <v>2985.06</v>
      </c>
      <c r="U1978" s="79">
        <v>0</v>
      </c>
      <c r="V1978" s="189">
        <v>2985.06</v>
      </c>
      <c r="X1978" s="79">
        <v>2837.27</v>
      </c>
      <c r="Y1978" s="79">
        <v>147.79</v>
      </c>
      <c r="Z1978" s="79">
        <v>2985.06</v>
      </c>
      <c r="AA1978" s="255">
        <v>-9.9999999997635314E-3</v>
      </c>
      <c r="AC1978" s="254"/>
    </row>
    <row r="1979" spans="1:29" ht="12">
      <c r="A1979" s="489" t="s">
        <v>14316</v>
      </c>
      <c r="B1979" s="490" t="s">
        <v>14317</v>
      </c>
      <c r="C1979" s="491"/>
      <c r="D1979" s="492"/>
      <c r="E1979" s="79"/>
      <c r="F1979" s="63"/>
      <c r="G1979" s="320"/>
      <c r="H1979" s="79"/>
      <c r="I1979" s="79"/>
      <c r="J1979" s="79"/>
      <c r="K1979" s="79"/>
      <c r="L1979" s="70"/>
      <c r="M1979" s="132"/>
      <c r="N1979" s="79"/>
      <c r="O1979" s="79"/>
      <c r="P1979" s="79"/>
      <c r="Q1979" s="136"/>
      <c r="R1979" s="79"/>
      <c r="S1979" s="79"/>
      <c r="T1979" s="79"/>
      <c r="U1979" s="79"/>
      <c r="V1979" s="189"/>
      <c r="X1979" s="79"/>
      <c r="Y1979" s="79"/>
      <c r="Z1979" s="79"/>
      <c r="AA1979" s="255"/>
      <c r="AC1979" s="254"/>
    </row>
    <row r="1980" spans="1:29" ht="12">
      <c r="A1980" s="67" t="s">
        <v>14318</v>
      </c>
      <c r="B1980" s="65" t="s">
        <v>14319</v>
      </c>
      <c r="C1980" s="71" t="s">
        <v>207</v>
      </c>
      <c r="D1980" s="78">
        <v>1</v>
      </c>
      <c r="E1980" s="79">
        <v>150.13</v>
      </c>
      <c r="F1980" s="70">
        <v>150.13</v>
      </c>
      <c r="G1980" s="320"/>
      <c r="H1980" s="79">
        <v>140.19999999999999</v>
      </c>
      <c r="I1980" s="79">
        <v>9.93</v>
      </c>
      <c r="J1980" s="79">
        <v>150.13</v>
      </c>
      <c r="K1980" s="79">
        <v>0</v>
      </c>
      <c r="L1980" s="70">
        <v>150.13</v>
      </c>
      <c r="M1980" s="132"/>
      <c r="N1980" s="79">
        <v>140.19999999999999</v>
      </c>
      <c r="O1980" s="79">
        <v>9.93</v>
      </c>
      <c r="P1980" s="79">
        <v>150.13</v>
      </c>
      <c r="Q1980" s="136"/>
      <c r="R1980" s="79">
        <v>140.19999999999999</v>
      </c>
      <c r="S1980" s="79">
        <v>9.94</v>
      </c>
      <c r="T1980" s="79">
        <v>150.13999999999999</v>
      </c>
      <c r="U1980" s="79">
        <v>0</v>
      </c>
      <c r="V1980" s="189">
        <v>150.13999999999999</v>
      </c>
      <c r="X1980" s="79">
        <v>140.19999999999999</v>
      </c>
      <c r="Y1980" s="79">
        <v>9.94</v>
      </c>
      <c r="Z1980" s="79">
        <v>150.13999999999999</v>
      </c>
      <c r="AA1980" s="255">
        <v>-9.9999999999909051E-3</v>
      </c>
      <c r="AC1980" s="254"/>
    </row>
    <row r="1981" spans="1:29" ht="12">
      <c r="A1981" s="489" t="s">
        <v>14320</v>
      </c>
      <c r="B1981" s="490" t="s">
        <v>14321</v>
      </c>
      <c r="C1981" s="491"/>
      <c r="D1981" s="492"/>
      <c r="E1981" s="79"/>
      <c r="F1981" s="63"/>
      <c r="G1981" s="320"/>
      <c r="H1981" s="79"/>
      <c r="I1981" s="79"/>
      <c r="J1981" s="79"/>
      <c r="K1981" s="79"/>
      <c r="L1981" s="70"/>
      <c r="M1981" s="132"/>
      <c r="N1981" s="79"/>
      <c r="O1981" s="79"/>
      <c r="P1981" s="79"/>
      <c r="Q1981" s="136"/>
      <c r="R1981" s="79"/>
      <c r="S1981" s="79"/>
      <c r="T1981" s="79"/>
      <c r="U1981" s="79"/>
      <c r="V1981" s="189"/>
      <c r="X1981" s="79"/>
      <c r="Y1981" s="79"/>
      <c r="Z1981" s="79"/>
      <c r="AA1981" s="255"/>
      <c r="AC1981" s="254"/>
    </row>
    <row r="1982" spans="1:29" ht="12">
      <c r="A1982" s="67" t="s">
        <v>14322</v>
      </c>
      <c r="B1982" s="65" t="s">
        <v>14323</v>
      </c>
      <c r="C1982" s="71" t="s">
        <v>103</v>
      </c>
      <c r="D1982" s="78">
        <v>1</v>
      </c>
      <c r="E1982" s="79">
        <v>70.66</v>
      </c>
      <c r="F1982" s="70">
        <v>70.66</v>
      </c>
      <c r="G1982" s="320"/>
      <c r="H1982" s="79">
        <v>53.91</v>
      </c>
      <c r="I1982" s="79">
        <v>16.75</v>
      </c>
      <c r="J1982" s="79">
        <v>70.66</v>
      </c>
      <c r="K1982" s="79">
        <v>0</v>
      </c>
      <c r="L1982" s="70">
        <v>70.66</v>
      </c>
      <c r="M1982" s="132"/>
      <c r="N1982" s="79">
        <v>53.91</v>
      </c>
      <c r="O1982" s="79">
        <v>16.75</v>
      </c>
      <c r="P1982" s="79">
        <v>70.66</v>
      </c>
      <c r="Q1982" s="136"/>
      <c r="R1982" s="79">
        <v>53.91</v>
      </c>
      <c r="S1982" s="79">
        <v>16.75</v>
      </c>
      <c r="T1982" s="79">
        <v>70.66</v>
      </c>
      <c r="U1982" s="79">
        <v>0</v>
      </c>
      <c r="V1982" s="189">
        <v>70.66</v>
      </c>
      <c r="X1982" s="79">
        <v>53.91</v>
      </c>
      <c r="Y1982" s="79">
        <v>16.75</v>
      </c>
      <c r="Z1982" s="79">
        <v>70.66</v>
      </c>
      <c r="AA1982" s="255">
        <v>0</v>
      </c>
      <c r="AC1982" s="254"/>
    </row>
    <row r="1983" spans="1:29" ht="12">
      <c r="A1983" s="67" t="s">
        <v>14324</v>
      </c>
      <c r="B1983" s="65" t="s">
        <v>14325</v>
      </c>
      <c r="C1983" s="71" t="s">
        <v>103</v>
      </c>
      <c r="D1983" s="78">
        <v>1</v>
      </c>
      <c r="E1983" s="79">
        <v>87.33</v>
      </c>
      <c r="F1983" s="70">
        <v>87.33</v>
      </c>
      <c r="G1983" s="320"/>
      <c r="H1983" s="79">
        <v>59.39</v>
      </c>
      <c r="I1983" s="79">
        <v>27.939999999999998</v>
      </c>
      <c r="J1983" s="79">
        <v>87.33</v>
      </c>
      <c r="K1983" s="79">
        <v>0</v>
      </c>
      <c r="L1983" s="70">
        <v>87.33</v>
      </c>
      <c r="M1983" s="132"/>
      <c r="N1983" s="79">
        <v>59.39</v>
      </c>
      <c r="O1983" s="79">
        <v>27.939999999999998</v>
      </c>
      <c r="P1983" s="79">
        <v>87.33</v>
      </c>
      <c r="Q1983" s="136"/>
      <c r="R1983" s="79">
        <v>59.39</v>
      </c>
      <c r="S1983" s="79">
        <v>27.92</v>
      </c>
      <c r="T1983" s="79">
        <v>87.31</v>
      </c>
      <c r="U1983" s="79">
        <v>0</v>
      </c>
      <c r="V1983" s="189">
        <v>87.31</v>
      </c>
      <c r="X1983" s="79">
        <v>59.39</v>
      </c>
      <c r="Y1983" s="79">
        <v>27.92</v>
      </c>
      <c r="Z1983" s="79">
        <v>87.31</v>
      </c>
      <c r="AA1983" s="255">
        <v>1.9999999999996021E-2</v>
      </c>
      <c r="AC1983" s="254"/>
    </row>
    <row r="1984" spans="1:29" ht="12">
      <c r="A1984" s="67" t="s">
        <v>14326</v>
      </c>
      <c r="B1984" s="65" t="s">
        <v>14327</v>
      </c>
      <c r="C1984" s="71" t="s">
        <v>103</v>
      </c>
      <c r="D1984" s="78">
        <v>1</v>
      </c>
      <c r="E1984" s="79">
        <v>133.22</v>
      </c>
      <c r="F1984" s="70">
        <v>133.22</v>
      </c>
      <c r="G1984" s="320"/>
      <c r="H1984" s="79">
        <v>77.39</v>
      </c>
      <c r="I1984" s="79">
        <v>55.83</v>
      </c>
      <c r="J1984" s="79">
        <v>133.22</v>
      </c>
      <c r="K1984" s="79">
        <v>0</v>
      </c>
      <c r="L1984" s="70">
        <v>133.22</v>
      </c>
      <c r="M1984" s="132"/>
      <c r="N1984" s="79">
        <v>77.39</v>
      </c>
      <c r="O1984" s="79">
        <v>55.83</v>
      </c>
      <c r="P1984" s="79">
        <v>133.22</v>
      </c>
      <c r="Q1984" s="136"/>
      <c r="R1984" s="79">
        <v>77.39</v>
      </c>
      <c r="S1984" s="79">
        <v>55.83</v>
      </c>
      <c r="T1984" s="79">
        <v>133.22</v>
      </c>
      <c r="U1984" s="79">
        <v>0</v>
      </c>
      <c r="V1984" s="189">
        <v>133.22</v>
      </c>
      <c r="X1984" s="79">
        <v>77.39</v>
      </c>
      <c r="Y1984" s="79">
        <v>55.83</v>
      </c>
      <c r="Z1984" s="79">
        <v>133.22</v>
      </c>
      <c r="AA1984" s="255">
        <v>0</v>
      </c>
      <c r="AC1984" s="254"/>
    </row>
    <row r="1985" spans="1:29" ht="12">
      <c r="A1985" s="67" t="s">
        <v>14328</v>
      </c>
      <c r="B1985" s="65" t="s">
        <v>14329</v>
      </c>
      <c r="C1985" s="71" t="s">
        <v>103</v>
      </c>
      <c r="D1985" s="78">
        <v>1</v>
      </c>
      <c r="E1985" s="79">
        <v>291.17</v>
      </c>
      <c r="F1985" s="70">
        <v>291.17</v>
      </c>
      <c r="G1985" s="320"/>
      <c r="H1985" s="79">
        <v>235.34</v>
      </c>
      <c r="I1985" s="79">
        <v>55.83</v>
      </c>
      <c r="J1985" s="79">
        <v>291.17</v>
      </c>
      <c r="K1985" s="79">
        <v>0</v>
      </c>
      <c r="L1985" s="70">
        <v>291.17</v>
      </c>
      <c r="M1985" s="132"/>
      <c r="N1985" s="79">
        <v>235.34</v>
      </c>
      <c r="O1985" s="79">
        <v>55.83</v>
      </c>
      <c r="P1985" s="79">
        <v>291.17</v>
      </c>
      <c r="Q1985" s="136"/>
      <c r="R1985" s="79">
        <v>235.34</v>
      </c>
      <c r="S1985" s="79">
        <v>55.83</v>
      </c>
      <c r="T1985" s="79">
        <v>291.17</v>
      </c>
      <c r="U1985" s="79">
        <v>0</v>
      </c>
      <c r="V1985" s="189">
        <v>291.17</v>
      </c>
      <c r="X1985" s="79">
        <v>235.34</v>
      </c>
      <c r="Y1985" s="79">
        <v>55.83</v>
      </c>
      <c r="Z1985" s="79">
        <v>291.17</v>
      </c>
      <c r="AA1985" s="255">
        <v>0</v>
      </c>
      <c r="AC1985" s="254"/>
    </row>
    <row r="1986" spans="1:29" ht="12">
      <c r="A1986" s="67" t="s">
        <v>14330</v>
      </c>
      <c r="B1986" s="65" t="s">
        <v>14331</v>
      </c>
      <c r="C1986" s="71" t="s">
        <v>103</v>
      </c>
      <c r="D1986" s="78">
        <v>1</v>
      </c>
      <c r="E1986" s="79">
        <v>391.78</v>
      </c>
      <c r="F1986" s="70">
        <v>391.78</v>
      </c>
      <c r="G1986" s="320"/>
      <c r="H1986" s="79">
        <v>335.95</v>
      </c>
      <c r="I1986" s="79">
        <v>55.83</v>
      </c>
      <c r="J1986" s="79">
        <v>391.78</v>
      </c>
      <c r="K1986" s="79">
        <v>0</v>
      </c>
      <c r="L1986" s="70">
        <v>391.78</v>
      </c>
      <c r="M1986" s="132"/>
      <c r="N1986" s="79">
        <v>335.95</v>
      </c>
      <c r="O1986" s="79">
        <v>55.83</v>
      </c>
      <c r="P1986" s="79">
        <v>391.78</v>
      </c>
      <c r="Q1986" s="136"/>
      <c r="R1986" s="79">
        <v>335.95</v>
      </c>
      <c r="S1986" s="79">
        <v>55.83</v>
      </c>
      <c r="T1986" s="79">
        <v>391.78</v>
      </c>
      <c r="U1986" s="79">
        <v>0</v>
      </c>
      <c r="V1986" s="189">
        <v>391.78</v>
      </c>
      <c r="X1986" s="79">
        <v>335.95</v>
      </c>
      <c r="Y1986" s="79">
        <v>55.83</v>
      </c>
      <c r="Z1986" s="79">
        <v>391.78</v>
      </c>
      <c r="AA1986" s="255">
        <v>0</v>
      </c>
      <c r="AC1986" s="254"/>
    </row>
    <row r="1987" spans="1:29" ht="12">
      <c r="A1987" s="67" t="s">
        <v>14332</v>
      </c>
      <c r="B1987" s="65" t="s">
        <v>14333</v>
      </c>
      <c r="C1987" s="71" t="s">
        <v>103</v>
      </c>
      <c r="D1987" s="78">
        <v>1</v>
      </c>
      <c r="E1987" s="79">
        <v>1506.61</v>
      </c>
      <c r="F1987" s="70">
        <v>1506.61</v>
      </c>
      <c r="G1987" s="320"/>
      <c r="H1987" s="79">
        <v>1439.62</v>
      </c>
      <c r="I1987" s="79">
        <v>66.990000000000009</v>
      </c>
      <c r="J1987" s="79">
        <v>1506.61</v>
      </c>
      <c r="K1987" s="79">
        <v>0</v>
      </c>
      <c r="L1987" s="70">
        <v>1506.61</v>
      </c>
      <c r="M1987" s="132"/>
      <c r="N1987" s="79">
        <v>1439.62</v>
      </c>
      <c r="O1987" s="79">
        <v>66.990000000000009</v>
      </c>
      <c r="P1987" s="79">
        <v>1506.61</v>
      </c>
      <c r="Q1987" s="136"/>
      <c r="R1987" s="79">
        <v>1439.62</v>
      </c>
      <c r="S1987" s="79">
        <v>66.989999999999995</v>
      </c>
      <c r="T1987" s="79">
        <v>1506.61</v>
      </c>
      <c r="U1987" s="79">
        <v>0</v>
      </c>
      <c r="V1987" s="189">
        <v>1506.61</v>
      </c>
      <c r="X1987" s="79">
        <v>1439.62</v>
      </c>
      <c r="Y1987" s="79">
        <v>66.989999999999995</v>
      </c>
      <c r="Z1987" s="79">
        <v>1506.61</v>
      </c>
      <c r="AA1987" s="255">
        <v>0</v>
      </c>
      <c r="AC1987" s="254"/>
    </row>
    <row r="1988" spans="1:29" ht="12">
      <c r="A1988" s="67" t="s">
        <v>14334</v>
      </c>
      <c r="B1988" s="65" t="s">
        <v>14335</v>
      </c>
      <c r="C1988" s="71" t="s">
        <v>103</v>
      </c>
      <c r="D1988" s="78">
        <v>1</v>
      </c>
      <c r="E1988" s="79">
        <v>553.97</v>
      </c>
      <c r="F1988" s="70">
        <v>553.97</v>
      </c>
      <c r="G1988" s="320"/>
      <c r="H1988" s="79">
        <v>486.98</v>
      </c>
      <c r="I1988" s="79">
        <v>66.990000000000009</v>
      </c>
      <c r="J1988" s="79">
        <v>553.97</v>
      </c>
      <c r="K1988" s="79">
        <v>0</v>
      </c>
      <c r="L1988" s="70">
        <v>553.97</v>
      </c>
      <c r="M1988" s="132"/>
      <c r="N1988" s="79">
        <v>486.98</v>
      </c>
      <c r="O1988" s="79">
        <v>66.990000000000009</v>
      </c>
      <c r="P1988" s="79">
        <v>553.97</v>
      </c>
      <c r="Q1988" s="136"/>
      <c r="R1988" s="79">
        <v>486.98</v>
      </c>
      <c r="S1988" s="79">
        <v>66.989999999999995</v>
      </c>
      <c r="T1988" s="79">
        <v>553.97</v>
      </c>
      <c r="U1988" s="79">
        <v>0</v>
      </c>
      <c r="V1988" s="189">
        <v>553.97</v>
      </c>
      <c r="X1988" s="79">
        <v>486.98</v>
      </c>
      <c r="Y1988" s="79">
        <v>66.989999999999995</v>
      </c>
      <c r="Z1988" s="79">
        <v>553.97</v>
      </c>
      <c r="AA1988" s="255">
        <v>0</v>
      </c>
      <c r="AC1988" s="254"/>
    </row>
    <row r="1989" spans="1:29" ht="12">
      <c r="A1989" s="489" t="s">
        <v>14336</v>
      </c>
      <c r="B1989" s="490" t="s">
        <v>14337</v>
      </c>
      <c r="C1989" s="491"/>
      <c r="D1989" s="492"/>
      <c r="E1989" s="79"/>
      <c r="F1989" s="63"/>
      <c r="G1989" s="320"/>
      <c r="H1989" s="79"/>
      <c r="I1989" s="79"/>
      <c r="J1989" s="79"/>
      <c r="K1989" s="79"/>
      <c r="L1989" s="70"/>
      <c r="M1989" s="132"/>
      <c r="N1989" s="79"/>
      <c r="O1989" s="79"/>
      <c r="P1989" s="79"/>
      <c r="Q1989" s="136"/>
      <c r="R1989" s="79"/>
      <c r="S1989" s="79"/>
      <c r="T1989" s="79"/>
      <c r="U1989" s="79"/>
      <c r="V1989" s="189"/>
      <c r="X1989" s="79"/>
      <c r="Y1989" s="79"/>
      <c r="Z1989" s="79"/>
      <c r="AA1989" s="255"/>
      <c r="AC1989" s="254"/>
    </row>
    <row r="1990" spans="1:29" ht="12">
      <c r="A1990" s="67" t="s">
        <v>14338</v>
      </c>
      <c r="B1990" s="65" t="s">
        <v>14339</v>
      </c>
      <c r="C1990" s="71" t="s">
        <v>103</v>
      </c>
      <c r="D1990" s="78">
        <v>1</v>
      </c>
      <c r="E1990" s="79">
        <v>46.129999999999995</v>
      </c>
      <c r="F1990" s="70">
        <v>46.13</v>
      </c>
      <c r="G1990" s="320"/>
      <c r="H1990" s="79">
        <v>34.97</v>
      </c>
      <c r="I1990" s="79">
        <v>11.16</v>
      </c>
      <c r="J1990" s="79">
        <v>46.129999999999995</v>
      </c>
      <c r="K1990" s="79">
        <v>0</v>
      </c>
      <c r="L1990" s="70">
        <v>46.129999999999995</v>
      </c>
      <c r="M1990" s="132"/>
      <c r="N1990" s="79">
        <v>34.97</v>
      </c>
      <c r="O1990" s="79">
        <v>11.16</v>
      </c>
      <c r="P1990" s="79">
        <v>46.129999999999995</v>
      </c>
      <c r="Q1990" s="136"/>
      <c r="R1990" s="79">
        <v>34.97</v>
      </c>
      <c r="S1990" s="79">
        <v>11.16</v>
      </c>
      <c r="T1990" s="79">
        <v>46.129999999999995</v>
      </c>
      <c r="U1990" s="79">
        <v>0</v>
      </c>
      <c r="V1990" s="189">
        <v>46.129999999999995</v>
      </c>
      <c r="X1990" s="79">
        <v>34.97</v>
      </c>
      <c r="Y1990" s="79">
        <v>11.16</v>
      </c>
      <c r="Z1990" s="79">
        <v>46.13</v>
      </c>
      <c r="AA1990" s="255">
        <v>0</v>
      </c>
      <c r="AC1990" s="254"/>
    </row>
    <row r="1991" spans="1:29" ht="12">
      <c r="A1991" s="67" t="s">
        <v>14340</v>
      </c>
      <c r="B1991" s="65" t="s">
        <v>14341</v>
      </c>
      <c r="C1991" s="71" t="s">
        <v>103</v>
      </c>
      <c r="D1991" s="78">
        <v>1</v>
      </c>
      <c r="E1991" s="79">
        <v>88.06</v>
      </c>
      <c r="F1991" s="70">
        <v>88.06</v>
      </c>
      <c r="G1991" s="320"/>
      <c r="H1991" s="79">
        <v>76.900000000000006</v>
      </c>
      <c r="I1991" s="79">
        <v>11.16</v>
      </c>
      <c r="J1991" s="79">
        <v>88.06</v>
      </c>
      <c r="K1991" s="79">
        <v>0</v>
      </c>
      <c r="L1991" s="70">
        <v>88.06</v>
      </c>
      <c r="M1991" s="132"/>
      <c r="N1991" s="79">
        <v>76.900000000000006</v>
      </c>
      <c r="O1991" s="79">
        <v>11.16</v>
      </c>
      <c r="P1991" s="79">
        <v>88.06</v>
      </c>
      <c r="Q1991" s="136"/>
      <c r="R1991" s="79">
        <v>76.900000000000006</v>
      </c>
      <c r="S1991" s="79">
        <v>11.16</v>
      </c>
      <c r="T1991" s="79">
        <v>88.06</v>
      </c>
      <c r="U1991" s="79">
        <v>0</v>
      </c>
      <c r="V1991" s="189">
        <v>88.06</v>
      </c>
      <c r="X1991" s="79">
        <v>76.900000000000006</v>
      </c>
      <c r="Y1991" s="79">
        <v>11.16</v>
      </c>
      <c r="Z1991" s="79">
        <v>88.06</v>
      </c>
      <c r="AA1991" s="255">
        <v>0</v>
      </c>
      <c r="AC1991" s="254"/>
    </row>
    <row r="1992" spans="1:29" ht="12">
      <c r="A1992" s="67" t="s">
        <v>14342</v>
      </c>
      <c r="B1992" s="65" t="s">
        <v>14343</v>
      </c>
      <c r="C1992" s="71" t="s">
        <v>103</v>
      </c>
      <c r="D1992" s="78">
        <v>1</v>
      </c>
      <c r="E1992" s="79">
        <v>127.67</v>
      </c>
      <c r="F1992" s="70">
        <v>127.67</v>
      </c>
      <c r="G1992" s="320"/>
      <c r="H1992" s="79">
        <v>116.51</v>
      </c>
      <c r="I1992" s="79">
        <v>11.16</v>
      </c>
      <c r="J1992" s="79">
        <v>127.67</v>
      </c>
      <c r="K1992" s="79">
        <v>0</v>
      </c>
      <c r="L1992" s="70">
        <v>127.67</v>
      </c>
      <c r="M1992" s="132"/>
      <c r="N1992" s="79">
        <v>116.51</v>
      </c>
      <c r="O1992" s="79">
        <v>11.16</v>
      </c>
      <c r="P1992" s="79">
        <v>127.67</v>
      </c>
      <c r="Q1992" s="136"/>
      <c r="R1992" s="79">
        <v>116.51</v>
      </c>
      <c r="S1992" s="79">
        <v>11.16</v>
      </c>
      <c r="T1992" s="79">
        <v>127.67</v>
      </c>
      <c r="U1992" s="79">
        <v>0</v>
      </c>
      <c r="V1992" s="189">
        <v>127.67</v>
      </c>
      <c r="X1992" s="79">
        <v>116.51</v>
      </c>
      <c r="Y1992" s="79">
        <v>11.16</v>
      </c>
      <c r="Z1992" s="79">
        <v>127.67</v>
      </c>
      <c r="AA1992" s="255">
        <v>0</v>
      </c>
      <c r="AC1992" s="254"/>
    </row>
    <row r="1993" spans="1:29" ht="12">
      <c r="A1993" s="67" t="s">
        <v>14344</v>
      </c>
      <c r="B1993" s="65" t="s">
        <v>14345</v>
      </c>
      <c r="C1993" s="71" t="s">
        <v>103</v>
      </c>
      <c r="D1993" s="78">
        <v>1</v>
      </c>
      <c r="E1993" s="79">
        <v>190.25</v>
      </c>
      <c r="F1993" s="70">
        <v>190.25</v>
      </c>
      <c r="G1993" s="320"/>
      <c r="H1993" s="79">
        <v>179.09</v>
      </c>
      <c r="I1993" s="79">
        <v>11.16</v>
      </c>
      <c r="J1993" s="79">
        <v>190.25</v>
      </c>
      <c r="K1993" s="79">
        <v>0</v>
      </c>
      <c r="L1993" s="70">
        <v>190.25</v>
      </c>
      <c r="M1993" s="132"/>
      <c r="N1993" s="79">
        <v>179.09</v>
      </c>
      <c r="O1993" s="79">
        <v>11.16</v>
      </c>
      <c r="P1993" s="79">
        <v>190.25</v>
      </c>
      <c r="Q1993" s="136"/>
      <c r="R1993" s="79">
        <v>179.09</v>
      </c>
      <c r="S1993" s="79">
        <v>11.16</v>
      </c>
      <c r="T1993" s="79">
        <v>190.25</v>
      </c>
      <c r="U1993" s="79">
        <v>0</v>
      </c>
      <c r="V1993" s="189">
        <v>190.25</v>
      </c>
      <c r="X1993" s="79">
        <v>179.09</v>
      </c>
      <c r="Y1993" s="79">
        <v>11.16</v>
      </c>
      <c r="Z1993" s="79">
        <v>190.25</v>
      </c>
      <c r="AA1993" s="255">
        <v>0</v>
      </c>
      <c r="AC1993" s="254"/>
    </row>
    <row r="1994" spans="1:29" ht="12">
      <c r="A1994" s="67" t="s">
        <v>14346</v>
      </c>
      <c r="B1994" s="65" t="s">
        <v>14347</v>
      </c>
      <c r="C1994" s="71" t="s">
        <v>103</v>
      </c>
      <c r="D1994" s="78">
        <v>1</v>
      </c>
      <c r="E1994" s="79">
        <v>210.53</v>
      </c>
      <c r="F1994" s="70">
        <v>210.53</v>
      </c>
      <c r="G1994" s="320"/>
      <c r="H1994" s="79">
        <v>199.37</v>
      </c>
      <c r="I1994" s="79">
        <v>11.16</v>
      </c>
      <c r="J1994" s="79">
        <v>210.53</v>
      </c>
      <c r="K1994" s="79">
        <v>0</v>
      </c>
      <c r="L1994" s="70">
        <v>210.53</v>
      </c>
      <c r="M1994" s="132"/>
      <c r="N1994" s="79">
        <v>199.37</v>
      </c>
      <c r="O1994" s="79">
        <v>11.16</v>
      </c>
      <c r="P1994" s="79">
        <v>210.53</v>
      </c>
      <c r="Q1994" s="136"/>
      <c r="R1994" s="79">
        <v>199.37</v>
      </c>
      <c r="S1994" s="79">
        <v>11.16</v>
      </c>
      <c r="T1994" s="79">
        <v>210.53</v>
      </c>
      <c r="U1994" s="79">
        <v>0</v>
      </c>
      <c r="V1994" s="189">
        <v>210.53</v>
      </c>
      <c r="X1994" s="79">
        <v>199.37</v>
      </c>
      <c r="Y1994" s="79">
        <v>11.16</v>
      </c>
      <c r="Z1994" s="79">
        <v>210.53</v>
      </c>
      <c r="AA1994" s="255">
        <v>0</v>
      </c>
      <c r="AC1994" s="254"/>
    </row>
    <row r="1995" spans="1:29" ht="12">
      <c r="A1995" s="67" t="s">
        <v>14348</v>
      </c>
      <c r="B1995" s="65" t="s">
        <v>14349</v>
      </c>
      <c r="C1995" s="71" t="s">
        <v>103</v>
      </c>
      <c r="D1995" s="78">
        <v>1</v>
      </c>
      <c r="E1995" s="79">
        <v>291.58000000000004</v>
      </c>
      <c r="F1995" s="70">
        <v>291.58</v>
      </c>
      <c r="G1995" s="320"/>
      <c r="H1995" s="79">
        <v>280.42</v>
      </c>
      <c r="I1995" s="79">
        <v>11.16</v>
      </c>
      <c r="J1995" s="79">
        <v>291.58000000000004</v>
      </c>
      <c r="K1995" s="79">
        <v>0</v>
      </c>
      <c r="L1995" s="70">
        <v>291.58000000000004</v>
      </c>
      <c r="M1995" s="132"/>
      <c r="N1995" s="79">
        <v>280.42</v>
      </c>
      <c r="O1995" s="79">
        <v>11.16</v>
      </c>
      <c r="P1995" s="79">
        <v>291.58000000000004</v>
      </c>
      <c r="Q1995" s="136"/>
      <c r="R1995" s="79">
        <v>280.42</v>
      </c>
      <c r="S1995" s="79">
        <v>11.16</v>
      </c>
      <c r="T1995" s="79">
        <v>291.58000000000004</v>
      </c>
      <c r="U1995" s="79">
        <v>0</v>
      </c>
      <c r="V1995" s="189">
        <v>291.58000000000004</v>
      </c>
      <c r="X1995" s="79">
        <v>280.42</v>
      </c>
      <c r="Y1995" s="79">
        <v>11.16</v>
      </c>
      <c r="Z1995" s="79">
        <v>291.58</v>
      </c>
      <c r="AA1995" s="255">
        <v>0</v>
      </c>
      <c r="AC1995" s="254"/>
    </row>
    <row r="1996" spans="1:29" ht="12">
      <c r="A1996" s="67" t="s">
        <v>14350</v>
      </c>
      <c r="B1996" s="65" t="s">
        <v>14351</v>
      </c>
      <c r="C1996" s="71" t="s">
        <v>103</v>
      </c>
      <c r="D1996" s="78">
        <v>1</v>
      </c>
      <c r="E1996" s="79">
        <v>15.600000000000001</v>
      </c>
      <c r="F1996" s="70">
        <v>15.6</v>
      </c>
      <c r="G1996" s="320"/>
      <c r="H1996" s="79">
        <v>4.4400000000000004</v>
      </c>
      <c r="I1996" s="79">
        <v>11.16</v>
      </c>
      <c r="J1996" s="79">
        <v>15.600000000000001</v>
      </c>
      <c r="K1996" s="79">
        <v>0</v>
      </c>
      <c r="L1996" s="70">
        <v>15.600000000000001</v>
      </c>
      <c r="M1996" s="132"/>
      <c r="N1996" s="79">
        <v>4.4400000000000004</v>
      </c>
      <c r="O1996" s="79">
        <v>11.16</v>
      </c>
      <c r="P1996" s="79">
        <v>15.600000000000001</v>
      </c>
      <c r="Q1996" s="136"/>
      <c r="R1996" s="79">
        <v>4.4400000000000004</v>
      </c>
      <c r="S1996" s="79">
        <v>11.16</v>
      </c>
      <c r="T1996" s="79">
        <v>15.600000000000001</v>
      </c>
      <c r="U1996" s="79">
        <v>0</v>
      </c>
      <c r="V1996" s="189">
        <v>15.600000000000001</v>
      </c>
      <c r="X1996" s="79">
        <v>4.4400000000000004</v>
      </c>
      <c r="Y1996" s="79">
        <v>11.16</v>
      </c>
      <c r="Z1996" s="79">
        <v>15.6</v>
      </c>
      <c r="AA1996" s="255">
        <v>0</v>
      </c>
      <c r="AC1996" s="254"/>
    </row>
    <row r="1997" spans="1:29" ht="12">
      <c r="A1997" s="67" t="s">
        <v>14352</v>
      </c>
      <c r="B1997" s="65" t="s">
        <v>14353</v>
      </c>
      <c r="C1997" s="71" t="s">
        <v>103</v>
      </c>
      <c r="D1997" s="78">
        <v>1</v>
      </c>
      <c r="E1997" s="79">
        <v>16.88</v>
      </c>
      <c r="F1997" s="70">
        <v>16.88</v>
      </c>
      <c r="G1997" s="320"/>
      <c r="H1997" s="79">
        <v>5.72</v>
      </c>
      <c r="I1997" s="79">
        <v>11.16</v>
      </c>
      <c r="J1997" s="79">
        <v>16.88</v>
      </c>
      <c r="K1997" s="79">
        <v>0</v>
      </c>
      <c r="L1997" s="70">
        <v>16.88</v>
      </c>
      <c r="M1997" s="132"/>
      <c r="N1997" s="79">
        <v>5.72</v>
      </c>
      <c r="O1997" s="79">
        <v>11.16</v>
      </c>
      <c r="P1997" s="79">
        <v>16.88</v>
      </c>
      <c r="Q1997" s="136"/>
      <c r="R1997" s="79">
        <v>5.72</v>
      </c>
      <c r="S1997" s="79">
        <v>11.16</v>
      </c>
      <c r="T1997" s="79">
        <v>16.88</v>
      </c>
      <c r="U1997" s="79">
        <v>0</v>
      </c>
      <c r="V1997" s="189">
        <v>16.88</v>
      </c>
      <c r="X1997" s="79">
        <v>5.72</v>
      </c>
      <c r="Y1997" s="79">
        <v>11.16</v>
      </c>
      <c r="Z1997" s="79">
        <v>16.88</v>
      </c>
      <c r="AA1997" s="255">
        <v>0</v>
      </c>
      <c r="AC1997" s="254"/>
    </row>
    <row r="1998" spans="1:29" ht="12">
      <c r="A1998" s="67" t="s">
        <v>14354</v>
      </c>
      <c r="B1998" s="65" t="s">
        <v>14355</v>
      </c>
      <c r="C1998" s="71" t="s">
        <v>103</v>
      </c>
      <c r="D1998" s="78">
        <v>1</v>
      </c>
      <c r="E1998" s="79">
        <v>38.950000000000003</v>
      </c>
      <c r="F1998" s="70">
        <v>38.950000000000003</v>
      </c>
      <c r="G1998" s="320"/>
      <c r="H1998" s="79">
        <v>36.14</v>
      </c>
      <c r="I1998" s="79">
        <v>2.81</v>
      </c>
      <c r="J1998" s="79">
        <v>38.950000000000003</v>
      </c>
      <c r="K1998" s="79">
        <v>0</v>
      </c>
      <c r="L1998" s="70">
        <v>38.950000000000003</v>
      </c>
      <c r="M1998" s="132"/>
      <c r="N1998" s="79">
        <v>36.14</v>
      </c>
      <c r="O1998" s="79">
        <v>2.81</v>
      </c>
      <c r="P1998" s="79">
        <v>38.950000000000003</v>
      </c>
      <c r="Q1998" s="136"/>
      <c r="R1998" s="79">
        <v>36.14</v>
      </c>
      <c r="S1998" s="79">
        <v>2.8</v>
      </c>
      <c r="T1998" s="79">
        <v>38.94</v>
      </c>
      <c r="U1998" s="79">
        <v>0</v>
      </c>
      <c r="V1998" s="189">
        <v>38.94</v>
      </c>
      <c r="X1998" s="79">
        <v>36.14</v>
      </c>
      <c r="Y1998" s="79">
        <v>2.8</v>
      </c>
      <c r="Z1998" s="79">
        <v>38.94</v>
      </c>
      <c r="AA1998" s="255">
        <v>1.0000000000005116E-2</v>
      </c>
      <c r="AC1998" s="254"/>
    </row>
    <row r="1999" spans="1:29" ht="12">
      <c r="A1999" s="489" t="s">
        <v>14356</v>
      </c>
      <c r="B1999" s="490" t="s">
        <v>14357</v>
      </c>
      <c r="C1999" s="491"/>
      <c r="D1999" s="492"/>
      <c r="E1999" s="79"/>
      <c r="F1999" s="63"/>
      <c r="G1999" s="320"/>
      <c r="H1999" s="79"/>
      <c r="I1999" s="79"/>
      <c r="J1999" s="79"/>
      <c r="K1999" s="79"/>
      <c r="L1999" s="70"/>
      <c r="M1999" s="132"/>
      <c r="N1999" s="79"/>
      <c r="O1999" s="79"/>
      <c r="P1999" s="79"/>
      <c r="Q1999" s="136"/>
      <c r="R1999" s="79"/>
      <c r="S1999" s="79"/>
      <c r="T1999" s="79"/>
      <c r="U1999" s="79"/>
      <c r="V1999" s="189"/>
      <c r="X1999" s="79"/>
      <c r="Y1999" s="79"/>
      <c r="Z1999" s="79"/>
      <c r="AA1999" s="255"/>
      <c r="AC1999" s="254"/>
    </row>
    <row r="2000" spans="1:29" ht="12">
      <c r="A2000" s="67" t="s">
        <v>14358</v>
      </c>
      <c r="B2000" s="65" t="s">
        <v>14359</v>
      </c>
      <c r="C2000" s="71" t="s">
        <v>103</v>
      </c>
      <c r="D2000" s="78">
        <v>1</v>
      </c>
      <c r="E2000" s="79">
        <v>27630.84</v>
      </c>
      <c r="F2000" s="70">
        <v>27630.84</v>
      </c>
      <c r="G2000" s="320"/>
      <c r="H2000" s="79">
        <v>27316.7</v>
      </c>
      <c r="I2000" s="79">
        <v>314.14</v>
      </c>
      <c r="J2000" s="79">
        <v>27630.84</v>
      </c>
      <c r="K2000" s="79">
        <v>0</v>
      </c>
      <c r="L2000" s="70">
        <v>27630.84</v>
      </c>
      <c r="M2000" s="132"/>
      <c r="N2000" s="79">
        <v>27316.7</v>
      </c>
      <c r="O2000" s="79">
        <v>314.14</v>
      </c>
      <c r="P2000" s="79">
        <v>27630.84</v>
      </c>
      <c r="Q2000" s="136"/>
      <c r="R2000" s="79">
        <v>27316.7</v>
      </c>
      <c r="S2000" s="79">
        <v>314.16000000000003</v>
      </c>
      <c r="T2000" s="79">
        <v>27630.86</v>
      </c>
      <c r="U2000" s="79">
        <v>0</v>
      </c>
      <c r="V2000" s="189">
        <v>27630.86</v>
      </c>
      <c r="X2000" s="79">
        <v>27316.7</v>
      </c>
      <c r="Y2000" s="79">
        <v>314.16000000000003</v>
      </c>
      <c r="Z2000" s="79">
        <v>27630.86</v>
      </c>
      <c r="AA2000" s="255">
        <v>-2.0000000000436557E-2</v>
      </c>
      <c r="AC2000" s="254"/>
    </row>
    <row r="2001" spans="1:29" ht="12">
      <c r="A2001" s="67" t="s">
        <v>14360</v>
      </c>
      <c r="B2001" s="65" t="s">
        <v>14361</v>
      </c>
      <c r="C2001" s="71" t="s">
        <v>103</v>
      </c>
      <c r="D2001" s="78">
        <v>1</v>
      </c>
      <c r="E2001" s="79">
        <v>82590.78</v>
      </c>
      <c r="F2001" s="70">
        <v>82590.78</v>
      </c>
      <c r="G2001" s="320"/>
      <c r="H2001" s="79">
        <v>82534.95</v>
      </c>
      <c r="I2001" s="79">
        <v>55.83</v>
      </c>
      <c r="J2001" s="79">
        <v>82590.78</v>
      </c>
      <c r="K2001" s="79">
        <v>0</v>
      </c>
      <c r="L2001" s="70">
        <v>82590.78</v>
      </c>
      <c r="M2001" s="132"/>
      <c r="N2001" s="79">
        <v>82534.95</v>
      </c>
      <c r="O2001" s="79">
        <v>55.83</v>
      </c>
      <c r="P2001" s="79">
        <v>82590.78</v>
      </c>
      <c r="Q2001" s="136"/>
      <c r="R2001" s="79">
        <v>82534.95</v>
      </c>
      <c r="S2001" s="79">
        <v>55.83</v>
      </c>
      <c r="T2001" s="79">
        <v>82590.78</v>
      </c>
      <c r="U2001" s="79">
        <v>0</v>
      </c>
      <c r="V2001" s="189">
        <v>82590.78</v>
      </c>
      <c r="X2001" s="79">
        <v>82534.95</v>
      </c>
      <c r="Y2001" s="79">
        <v>55.83</v>
      </c>
      <c r="Z2001" s="79">
        <v>82590.78</v>
      </c>
      <c r="AA2001" s="255">
        <v>0</v>
      </c>
      <c r="AC2001" s="254"/>
    </row>
    <row r="2002" spans="1:29" ht="12">
      <c r="A2002" s="67" t="s">
        <v>14362</v>
      </c>
      <c r="B2002" s="65" t="s">
        <v>14363</v>
      </c>
      <c r="C2002" s="71" t="s">
        <v>103</v>
      </c>
      <c r="D2002" s="78">
        <v>1</v>
      </c>
      <c r="E2002" s="79">
        <v>140265.12999999998</v>
      </c>
      <c r="F2002" s="70">
        <v>140265.13</v>
      </c>
      <c r="G2002" s="320"/>
      <c r="H2002" s="79">
        <v>140209.29999999999</v>
      </c>
      <c r="I2002" s="79">
        <v>55.83</v>
      </c>
      <c r="J2002" s="79">
        <v>140265.12999999998</v>
      </c>
      <c r="K2002" s="79">
        <v>0</v>
      </c>
      <c r="L2002" s="70">
        <v>140265.12999999998</v>
      </c>
      <c r="M2002" s="132"/>
      <c r="N2002" s="79">
        <v>140209.29999999999</v>
      </c>
      <c r="O2002" s="79">
        <v>55.83</v>
      </c>
      <c r="P2002" s="79">
        <v>140265.12999999998</v>
      </c>
      <c r="Q2002" s="136"/>
      <c r="R2002" s="79">
        <v>140209.29999999999</v>
      </c>
      <c r="S2002" s="79">
        <v>55.83</v>
      </c>
      <c r="T2002" s="79">
        <v>140265.12999999998</v>
      </c>
      <c r="U2002" s="79">
        <v>0</v>
      </c>
      <c r="V2002" s="189">
        <v>140265.12999999998</v>
      </c>
      <c r="X2002" s="79">
        <v>140209.29999999999</v>
      </c>
      <c r="Y2002" s="79">
        <v>55.83</v>
      </c>
      <c r="Z2002" s="79">
        <v>140265.13</v>
      </c>
      <c r="AA2002" s="255">
        <v>0</v>
      </c>
      <c r="AC2002" s="254"/>
    </row>
    <row r="2003" spans="1:29" ht="12">
      <c r="A2003" s="67" t="s">
        <v>14364</v>
      </c>
      <c r="B2003" s="65" t="s">
        <v>14365</v>
      </c>
      <c r="C2003" s="71" t="s">
        <v>103</v>
      </c>
      <c r="D2003" s="78">
        <v>1</v>
      </c>
      <c r="E2003" s="79">
        <v>28.310000000000002</v>
      </c>
      <c r="F2003" s="70">
        <v>28.31</v>
      </c>
      <c r="G2003" s="320"/>
      <c r="H2003" s="79">
        <v>11.56</v>
      </c>
      <c r="I2003" s="79">
        <v>16.75</v>
      </c>
      <c r="J2003" s="79">
        <v>28.310000000000002</v>
      </c>
      <c r="K2003" s="79">
        <v>0</v>
      </c>
      <c r="L2003" s="70">
        <v>28.310000000000002</v>
      </c>
      <c r="M2003" s="132"/>
      <c r="N2003" s="79">
        <v>11.56</v>
      </c>
      <c r="O2003" s="79">
        <v>16.75</v>
      </c>
      <c r="P2003" s="79">
        <v>28.310000000000002</v>
      </c>
      <c r="Q2003" s="136"/>
      <c r="R2003" s="79">
        <v>11.56</v>
      </c>
      <c r="S2003" s="79">
        <v>16.75</v>
      </c>
      <c r="T2003" s="79">
        <v>28.310000000000002</v>
      </c>
      <c r="U2003" s="79">
        <v>0</v>
      </c>
      <c r="V2003" s="189">
        <v>28.310000000000002</v>
      </c>
      <c r="X2003" s="79">
        <v>11.56</v>
      </c>
      <c r="Y2003" s="79">
        <v>16.75</v>
      </c>
      <c r="Z2003" s="79">
        <v>28.31</v>
      </c>
      <c r="AA2003" s="255">
        <v>0</v>
      </c>
      <c r="AC2003" s="254"/>
    </row>
    <row r="2004" spans="1:29" ht="12">
      <c r="A2004" s="67" t="s">
        <v>14366</v>
      </c>
      <c r="B2004" s="65" t="s">
        <v>14367</v>
      </c>
      <c r="C2004" s="71" t="s">
        <v>103</v>
      </c>
      <c r="D2004" s="78">
        <v>1</v>
      </c>
      <c r="E2004" s="79">
        <v>58.94</v>
      </c>
      <c r="F2004" s="70">
        <v>58.94</v>
      </c>
      <c r="G2004" s="320"/>
      <c r="H2004" s="79">
        <v>42.19</v>
      </c>
      <c r="I2004" s="79">
        <v>16.75</v>
      </c>
      <c r="J2004" s="79">
        <v>58.94</v>
      </c>
      <c r="K2004" s="79">
        <v>0</v>
      </c>
      <c r="L2004" s="70">
        <v>58.94</v>
      </c>
      <c r="M2004" s="132"/>
      <c r="N2004" s="79">
        <v>42.19</v>
      </c>
      <c r="O2004" s="79">
        <v>16.75</v>
      </c>
      <c r="P2004" s="79">
        <v>58.94</v>
      </c>
      <c r="Q2004" s="136"/>
      <c r="R2004" s="79">
        <v>42.19</v>
      </c>
      <c r="S2004" s="79">
        <v>16.75</v>
      </c>
      <c r="T2004" s="79">
        <v>58.94</v>
      </c>
      <c r="U2004" s="79">
        <v>0</v>
      </c>
      <c r="V2004" s="189">
        <v>58.94</v>
      </c>
      <c r="X2004" s="79">
        <v>42.19</v>
      </c>
      <c r="Y2004" s="79">
        <v>16.75</v>
      </c>
      <c r="Z2004" s="79">
        <v>58.94</v>
      </c>
      <c r="AA2004" s="255">
        <v>0</v>
      </c>
      <c r="AC2004" s="254"/>
    </row>
    <row r="2005" spans="1:29" ht="12">
      <c r="A2005" s="67" t="s">
        <v>14368</v>
      </c>
      <c r="B2005" s="65" t="s">
        <v>14369</v>
      </c>
      <c r="C2005" s="71" t="s">
        <v>103</v>
      </c>
      <c r="D2005" s="78">
        <v>1</v>
      </c>
      <c r="E2005" s="79">
        <v>172.9</v>
      </c>
      <c r="F2005" s="70">
        <v>172.9</v>
      </c>
      <c r="G2005" s="320"/>
      <c r="H2005" s="79">
        <v>139.4</v>
      </c>
      <c r="I2005" s="79">
        <v>33.5</v>
      </c>
      <c r="J2005" s="79">
        <v>172.9</v>
      </c>
      <c r="K2005" s="79">
        <v>0</v>
      </c>
      <c r="L2005" s="70">
        <v>172.9</v>
      </c>
      <c r="M2005" s="132"/>
      <c r="N2005" s="79">
        <v>139.4</v>
      </c>
      <c r="O2005" s="79">
        <v>33.5</v>
      </c>
      <c r="P2005" s="79">
        <v>172.9</v>
      </c>
      <c r="Q2005" s="136"/>
      <c r="R2005" s="79">
        <v>139.4</v>
      </c>
      <c r="S2005" s="79">
        <v>33.5</v>
      </c>
      <c r="T2005" s="79">
        <v>172.9</v>
      </c>
      <c r="U2005" s="79">
        <v>0</v>
      </c>
      <c r="V2005" s="189">
        <v>172.9</v>
      </c>
      <c r="X2005" s="79">
        <v>139.4</v>
      </c>
      <c r="Y2005" s="79">
        <v>33.5</v>
      </c>
      <c r="Z2005" s="79">
        <v>172.9</v>
      </c>
      <c r="AA2005" s="255">
        <v>0</v>
      </c>
      <c r="AC2005" s="254"/>
    </row>
    <row r="2006" spans="1:29" ht="12">
      <c r="A2006" s="67" t="s">
        <v>14370</v>
      </c>
      <c r="B2006" s="65" t="s">
        <v>14371</v>
      </c>
      <c r="C2006" s="71" t="s">
        <v>103</v>
      </c>
      <c r="D2006" s="78">
        <v>1</v>
      </c>
      <c r="E2006" s="79">
        <v>215.58</v>
      </c>
      <c r="F2006" s="70">
        <v>215.58</v>
      </c>
      <c r="G2006" s="320"/>
      <c r="H2006" s="79">
        <v>182.08</v>
      </c>
      <c r="I2006" s="79">
        <v>33.5</v>
      </c>
      <c r="J2006" s="79">
        <v>215.58</v>
      </c>
      <c r="K2006" s="79">
        <v>0</v>
      </c>
      <c r="L2006" s="70">
        <v>215.58</v>
      </c>
      <c r="M2006" s="132"/>
      <c r="N2006" s="79">
        <v>182.08</v>
      </c>
      <c r="O2006" s="79">
        <v>33.5</v>
      </c>
      <c r="P2006" s="79">
        <v>215.58</v>
      </c>
      <c r="Q2006" s="136"/>
      <c r="R2006" s="79">
        <v>182.08</v>
      </c>
      <c r="S2006" s="79">
        <v>33.5</v>
      </c>
      <c r="T2006" s="79">
        <v>215.58</v>
      </c>
      <c r="U2006" s="79">
        <v>0</v>
      </c>
      <c r="V2006" s="189">
        <v>215.58</v>
      </c>
      <c r="X2006" s="79">
        <v>182.08</v>
      </c>
      <c r="Y2006" s="79">
        <v>33.5</v>
      </c>
      <c r="Z2006" s="79">
        <v>215.58</v>
      </c>
      <c r="AA2006" s="255">
        <v>0</v>
      </c>
      <c r="AC2006" s="254"/>
    </row>
    <row r="2007" spans="1:29" ht="12">
      <c r="A2007" s="67" t="s">
        <v>14372</v>
      </c>
      <c r="B2007" s="65" t="s">
        <v>14373</v>
      </c>
      <c r="C2007" s="71" t="s">
        <v>103</v>
      </c>
      <c r="D2007" s="78">
        <v>1</v>
      </c>
      <c r="E2007" s="79">
        <v>166.04000000000002</v>
      </c>
      <c r="F2007" s="70">
        <v>166.04</v>
      </c>
      <c r="G2007" s="320"/>
      <c r="H2007" s="79">
        <v>115.78</v>
      </c>
      <c r="I2007" s="79">
        <v>50.260000000000005</v>
      </c>
      <c r="J2007" s="79">
        <v>166.04000000000002</v>
      </c>
      <c r="K2007" s="79">
        <v>0</v>
      </c>
      <c r="L2007" s="70">
        <v>166.04000000000002</v>
      </c>
      <c r="M2007" s="132"/>
      <c r="N2007" s="79">
        <v>115.78</v>
      </c>
      <c r="O2007" s="79">
        <v>50.260000000000005</v>
      </c>
      <c r="P2007" s="79">
        <v>166.04000000000002</v>
      </c>
      <c r="Q2007" s="136"/>
      <c r="R2007" s="79">
        <v>115.78</v>
      </c>
      <c r="S2007" s="79">
        <v>50.25</v>
      </c>
      <c r="T2007" s="79">
        <v>166.03</v>
      </c>
      <c r="U2007" s="79">
        <v>0</v>
      </c>
      <c r="V2007" s="189">
        <v>166.03</v>
      </c>
      <c r="X2007" s="79">
        <v>115.78</v>
      </c>
      <c r="Y2007" s="79">
        <v>50.25</v>
      </c>
      <c r="Z2007" s="79">
        <v>166.03</v>
      </c>
      <c r="AA2007" s="255">
        <v>9.9999999999909051E-3</v>
      </c>
      <c r="AC2007" s="254"/>
    </row>
    <row r="2008" spans="1:29" ht="12">
      <c r="A2008" s="67" t="s">
        <v>14374</v>
      </c>
      <c r="B2008" s="65" t="s">
        <v>14375</v>
      </c>
      <c r="C2008" s="71" t="s">
        <v>103</v>
      </c>
      <c r="D2008" s="78">
        <v>1</v>
      </c>
      <c r="E2008" s="79">
        <v>266.02</v>
      </c>
      <c r="F2008" s="70">
        <v>266.02</v>
      </c>
      <c r="G2008" s="320"/>
      <c r="H2008" s="79">
        <v>215.76</v>
      </c>
      <c r="I2008" s="79">
        <v>50.260000000000005</v>
      </c>
      <c r="J2008" s="79">
        <v>266.02</v>
      </c>
      <c r="K2008" s="79">
        <v>0</v>
      </c>
      <c r="L2008" s="70">
        <v>266.02</v>
      </c>
      <c r="M2008" s="132"/>
      <c r="N2008" s="79">
        <v>215.76</v>
      </c>
      <c r="O2008" s="79">
        <v>50.260000000000005</v>
      </c>
      <c r="P2008" s="79">
        <v>266.02</v>
      </c>
      <c r="Q2008" s="136"/>
      <c r="R2008" s="79">
        <v>215.76</v>
      </c>
      <c r="S2008" s="79">
        <v>50.25</v>
      </c>
      <c r="T2008" s="79">
        <v>266.01</v>
      </c>
      <c r="U2008" s="79">
        <v>0</v>
      </c>
      <c r="V2008" s="189">
        <v>266.01</v>
      </c>
      <c r="X2008" s="79">
        <v>215.76</v>
      </c>
      <c r="Y2008" s="79">
        <v>50.25</v>
      </c>
      <c r="Z2008" s="79">
        <v>266.01</v>
      </c>
      <c r="AA2008" s="255">
        <v>9.9999999999909051E-3</v>
      </c>
      <c r="AC2008" s="254"/>
    </row>
    <row r="2009" spans="1:29" ht="24">
      <c r="A2009" s="67" t="s">
        <v>14376</v>
      </c>
      <c r="B2009" s="65" t="s">
        <v>14377</v>
      </c>
      <c r="C2009" s="71" t="s">
        <v>103</v>
      </c>
      <c r="D2009" s="78">
        <v>1</v>
      </c>
      <c r="E2009" s="79">
        <v>485.45</v>
      </c>
      <c r="F2009" s="70">
        <v>485.45</v>
      </c>
      <c r="G2009" s="320"/>
      <c r="H2009" s="79">
        <v>429.62</v>
      </c>
      <c r="I2009" s="79">
        <v>55.83</v>
      </c>
      <c r="J2009" s="79">
        <v>485.45</v>
      </c>
      <c r="K2009" s="79">
        <v>0</v>
      </c>
      <c r="L2009" s="70">
        <v>485.45</v>
      </c>
      <c r="M2009" s="132"/>
      <c r="N2009" s="79">
        <v>429.62</v>
      </c>
      <c r="O2009" s="79">
        <v>55.83</v>
      </c>
      <c r="P2009" s="79">
        <v>485.45</v>
      </c>
      <c r="Q2009" s="136"/>
      <c r="R2009" s="79">
        <v>429.62</v>
      </c>
      <c r="S2009" s="79">
        <v>55.83</v>
      </c>
      <c r="T2009" s="79">
        <v>485.45</v>
      </c>
      <c r="U2009" s="79">
        <v>0</v>
      </c>
      <c r="V2009" s="189">
        <v>485.45</v>
      </c>
      <c r="X2009" s="79">
        <v>429.62</v>
      </c>
      <c r="Y2009" s="79">
        <v>55.83</v>
      </c>
      <c r="Z2009" s="79">
        <v>485.45</v>
      </c>
      <c r="AA2009" s="255">
        <v>0</v>
      </c>
      <c r="AC2009" s="254"/>
    </row>
    <row r="2010" spans="1:29" ht="24">
      <c r="A2010" s="67" t="s">
        <v>14378</v>
      </c>
      <c r="B2010" s="65" t="s">
        <v>14379</v>
      </c>
      <c r="C2010" s="71" t="s">
        <v>103</v>
      </c>
      <c r="D2010" s="78">
        <v>1</v>
      </c>
      <c r="E2010" s="79">
        <v>863.15000000000009</v>
      </c>
      <c r="F2010" s="70">
        <v>863.15</v>
      </c>
      <c r="G2010" s="320"/>
      <c r="H2010" s="79">
        <v>807.32</v>
      </c>
      <c r="I2010" s="79">
        <v>55.83</v>
      </c>
      <c r="J2010" s="79">
        <v>863.15000000000009</v>
      </c>
      <c r="K2010" s="79">
        <v>0</v>
      </c>
      <c r="L2010" s="70">
        <v>863.15000000000009</v>
      </c>
      <c r="M2010" s="132"/>
      <c r="N2010" s="79">
        <v>807.32</v>
      </c>
      <c r="O2010" s="79">
        <v>55.83</v>
      </c>
      <c r="P2010" s="79">
        <v>863.15000000000009</v>
      </c>
      <c r="Q2010" s="136"/>
      <c r="R2010" s="79">
        <v>807.32</v>
      </c>
      <c r="S2010" s="79">
        <v>55.83</v>
      </c>
      <c r="T2010" s="79">
        <v>863.15000000000009</v>
      </c>
      <c r="U2010" s="79">
        <v>0</v>
      </c>
      <c r="V2010" s="189">
        <v>863.15000000000009</v>
      </c>
      <c r="X2010" s="79">
        <v>807.32</v>
      </c>
      <c r="Y2010" s="79">
        <v>55.83</v>
      </c>
      <c r="Z2010" s="79">
        <v>863.15</v>
      </c>
      <c r="AA2010" s="255">
        <v>0</v>
      </c>
      <c r="AC2010" s="254"/>
    </row>
    <row r="2011" spans="1:29" ht="24">
      <c r="A2011" s="67" t="s">
        <v>14380</v>
      </c>
      <c r="B2011" s="65" t="s">
        <v>14381</v>
      </c>
      <c r="C2011" s="71" t="s">
        <v>103</v>
      </c>
      <c r="D2011" s="78">
        <v>1</v>
      </c>
      <c r="E2011" s="79">
        <v>1985.44</v>
      </c>
      <c r="F2011" s="70">
        <v>1985.44</v>
      </c>
      <c r="G2011" s="320"/>
      <c r="H2011" s="79">
        <v>1873.79</v>
      </c>
      <c r="I2011" s="79">
        <v>111.65</v>
      </c>
      <c r="J2011" s="79">
        <v>1985.44</v>
      </c>
      <c r="K2011" s="79">
        <v>0</v>
      </c>
      <c r="L2011" s="70">
        <v>1985.44</v>
      </c>
      <c r="M2011" s="132"/>
      <c r="N2011" s="79">
        <v>1873.79</v>
      </c>
      <c r="O2011" s="79">
        <v>111.65</v>
      </c>
      <c r="P2011" s="79">
        <v>1985.44</v>
      </c>
      <c r="Q2011" s="136"/>
      <c r="R2011" s="79">
        <v>1873.79</v>
      </c>
      <c r="S2011" s="79">
        <v>111.66</v>
      </c>
      <c r="T2011" s="79">
        <v>1985.45</v>
      </c>
      <c r="U2011" s="79">
        <v>0</v>
      </c>
      <c r="V2011" s="189">
        <v>1985.45</v>
      </c>
      <c r="X2011" s="79">
        <v>1873.79</v>
      </c>
      <c r="Y2011" s="79">
        <v>111.66</v>
      </c>
      <c r="Z2011" s="79">
        <v>1985.45</v>
      </c>
      <c r="AA2011" s="255">
        <v>-9.9999999999909051E-3</v>
      </c>
      <c r="AC2011" s="254"/>
    </row>
    <row r="2012" spans="1:29" ht="24">
      <c r="A2012" s="67" t="s">
        <v>14382</v>
      </c>
      <c r="B2012" s="65" t="s">
        <v>14383</v>
      </c>
      <c r="C2012" s="71" t="s">
        <v>103</v>
      </c>
      <c r="D2012" s="78">
        <v>1</v>
      </c>
      <c r="E2012" s="79">
        <v>1402.43</v>
      </c>
      <c r="F2012" s="70">
        <v>1402.43</v>
      </c>
      <c r="G2012" s="320"/>
      <c r="H2012" s="79">
        <v>1290.78</v>
      </c>
      <c r="I2012" s="79">
        <v>111.65</v>
      </c>
      <c r="J2012" s="79">
        <v>1402.43</v>
      </c>
      <c r="K2012" s="79">
        <v>0</v>
      </c>
      <c r="L2012" s="70">
        <v>1402.43</v>
      </c>
      <c r="M2012" s="132"/>
      <c r="N2012" s="79">
        <v>1290.78</v>
      </c>
      <c r="O2012" s="79">
        <v>111.65</v>
      </c>
      <c r="P2012" s="79">
        <v>1402.43</v>
      </c>
      <c r="Q2012" s="136"/>
      <c r="R2012" s="79">
        <v>1290.78</v>
      </c>
      <c r="S2012" s="79">
        <v>111.66</v>
      </c>
      <c r="T2012" s="79">
        <v>1402.44</v>
      </c>
      <c r="U2012" s="79">
        <v>0</v>
      </c>
      <c r="V2012" s="189">
        <v>1402.44</v>
      </c>
      <c r="X2012" s="79">
        <v>1290.78</v>
      </c>
      <c r="Y2012" s="79">
        <v>111.66</v>
      </c>
      <c r="Z2012" s="79">
        <v>1402.44</v>
      </c>
      <c r="AA2012" s="255">
        <v>-9.9999999999909051E-3</v>
      </c>
      <c r="AC2012" s="254"/>
    </row>
    <row r="2013" spans="1:29" ht="24">
      <c r="A2013" s="67" t="s">
        <v>14384</v>
      </c>
      <c r="B2013" s="65" t="s">
        <v>14385</v>
      </c>
      <c r="C2013" s="71" t="s">
        <v>103</v>
      </c>
      <c r="D2013" s="78">
        <v>1</v>
      </c>
      <c r="E2013" s="79">
        <v>3747.51</v>
      </c>
      <c r="F2013" s="70">
        <v>3747.51</v>
      </c>
      <c r="G2013" s="320"/>
      <c r="H2013" s="79">
        <v>3635.86</v>
      </c>
      <c r="I2013" s="79">
        <v>111.65</v>
      </c>
      <c r="J2013" s="79">
        <v>3747.51</v>
      </c>
      <c r="K2013" s="79">
        <v>0</v>
      </c>
      <c r="L2013" s="70">
        <v>3747.51</v>
      </c>
      <c r="M2013" s="132"/>
      <c r="N2013" s="79">
        <v>3635.86</v>
      </c>
      <c r="O2013" s="79">
        <v>111.65</v>
      </c>
      <c r="P2013" s="79">
        <v>3747.51</v>
      </c>
      <c r="Q2013" s="136"/>
      <c r="R2013" s="79">
        <v>3635.86</v>
      </c>
      <c r="S2013" s="79">
        <v>111.66</v>
      </c>
      <c r="T2013" s="79">
        <v>3747.52</v>
      </c>
      <c r="U2013" s="79">
        <v>0</v>
      </c>
      <c r="V2013" s="189">
        <v>3747.52</v>
      </c>
      <c r="X2013" s="79">
        <v>3635.86</v>
      </c>
      <c r="Y2013" s="79">
        <v>111.66</v>
      </c>
      <c r="Z2013" s="79">
        <v>3747.52</v>
      </c>
      <c r="AA2013" s="255">
        <v>-9.9999999997635314E-3</v>
      </c>
      <c r="AC2013" s="254"/>
    </row>
    <row r="2014" spans="1:29" ht="24">
      <c r="A2014" s="67" t="s">
        <v>14386</v>
      </c>
      <c r="B2014" s="65" t="s">
        <v>14387</v>
      </c>
      <c r="C2014" s="71" t="s">
        <v>103</v>
      </c>
      <c r="D2014" s="78">
        <v>1</v>
      </c>
      <c r="E2014" s="79">
        <v>9730.1</v>
      </c>
      <c r="F2014" s="70">
        <v>9730.1</v>
      </c>
      <c r="G2014" s="320"/>
      <c r="H2014" s="79">
        <v>9618.4500000000007</v>
      </c>
      <c r="I2014" s="79">
        <v>111.65</v>
      </c>
      <c r="J2014" s="79">
        <v>9730.1</v>
      </c>
      <c r="K2014" s="79">
        <v>0</v>
      </c>
      <c r="L2014" s="70">
        <v>9730.1</v>
      </c>
      <c r="M2014" s="132"/>
      <c r="N2014" s="79">
        <v>9618.4500000000007</v>
      </c>
      <c r="O2014" s="79">
        <v>111.65</v>
      </c>
      <c r="P2014" s="79">
        <v>9730.1</v>
      </c>
      <c r="Q2014" s="136"/>
      <c r="R2014" s="79">
        <v>9618.4500000000007</v>
      </c>
      <c r="S2014" s="79">
        <v>111.66</v>
      </c>
      <c r="T2014" s="79">
        <v>9730.11</v>
      </c>
      <c r="U2014" s="79">
        <v>0</v>
      </c>
      <c r="V2014" s="189">
        <v>9730.11</v>
      </c>
      <c r="X2014" s="79">
        <v>9618.4500000000007</v>
      </c>
      <c r="Y2014" s="79">
        <v>111.66</v>
      </c>
      <c r="Z2014" s="79">
        <v>9730.11</v>
      </c>
      <c r="AA2014" s="255">
        <v>-1.0000000000218279E-2</v>
      </c>
      <c r="AC2014" s="254"/>
    </row>
    <row r="2015" spans="1:29" ht="24">
      <c r="A2015" s="67" t="s">
        <v>14388</v>
      </c>
      <c r="B2015" s="65" t="s">
        <v>14389</v>
      </c>
      <c r="C2015" s="71" t="s">
        <v>103</v>
      </c>
      <c r="D2015" s="78">
        <v>1</v>
      </c>
      <c r="E2015" s="79">
        <v>16110.1</v>
      </c>
      <c r="F2015" s="70">
        <v>16110.1</v>
      </c>
      <c r="G2015" s="320"/>
      <c r="H2015" s="79">
        <v>15998.45</v>
      </c>
      <c r="I2015" s="79">
        <v>111.65</v>
      </c>
      <c r="J2015" s="79">
        <v>16110.1</v>
      </c>
      <c r="K2015" s="79">
        <v>0</v>
      </c>
      <c r="L2015" s="70">
        <v>16110.1</v>
      </c>
      <c r="M2015" s="132"/>
      <c r="N2015" s="79">
        <v>15998.45</v>
      </c>
      <c r="O2015" s="79">
        <v>111.65</v>
      </c>
      <c r="P2015" s="79">
        <v>16110.1</v>
      </c>
      <c r="Q2015" s="136"/>
      <c r="R2015" s="79">
        <v>15998.45</v>
      </c>
      <c r="S2015" s="79">
        <v>111.66</v>
      </c>
      <c r="T2015" s="79">
        <v>16110.11</v>
      </c>
      <c r="U2015" s="79">
        <v>0</v>
      </c>
      <c r="V2015" s="189">
        <v>16110.11</v>
      </c>
      <c r="X2015" s="79">
        <v>15998.45</v>
      </c>
      <c r="Y2015" s="79">
        <v>111.66</v>
      </c>
      <c r="Z2015" s="79">
        <v>16110.11</v>
      </c>
      <c r="AA2015" s="255">
        <v>-1.0000000000218279E-2</v>
      </c>
      <c r="AC2015" s="254"/>
    </row>
    <row r="2016" spans="1:29" ht="24">
      <c r="A2016" s="67" t="s">
        <v>14390</v>
      </c>
      <c r="B2016" s="65" t="s">
        <v>14391</v>
      </c>
      <c r="C2016" s="71" t="s">
        <v>103</v>
      </c>
      <c r="D2016" s="78">
        <v>1</v>
      </c>
      <c r="E2016" s="79">
        <v>22232.45</v>
      </c>
      <c r="F2016" s="70">
        <v>22232.45</v>
      </c>
      <c r="G2016" s="320"/>
      <c r="H2016" s="79">
        <v>22120.799999999999</v>
      </c>
      <c r="I2016" s="79">
        <v>111.65</v>
      </c>
      <c r="J2016" s="79">
        <v>22232.45</v>
      </c>
      <c r="K2016" s="79">
        <v>0</v>
      </c>
      <c r="L2016" s="70">
        <v>22232.45</v>
      </c>
      <c r="M2016" s="132"/>
      <c r="N2016" s="79">
        <v>22120.799999999999</v>
      </c>
      <c r="O2016" s="79">
        <v>111.65</v>
      </c>
      <c r="P2016" s="79">
        <v>22232.45</v>
      </c>
      <c r="Q2016" s="136"/>
      <c r="R2016" s="79">
        <v>22120.799999999999</v>
      </c>
      <c r="S2016" s="79">
        <v>111.66</v>
      </c>
      <c r="T2016" s="79">
        <v>22232.46</v>
      </c>
      <c r="U2016" s="79">
        <v>0</v>
      </c>
      <c r="V2016" s="189">
        <v>22232.46</v>
      </c>
      <c r="X2016" s="79">
        <v>22120.799999999999</v>
      </c>
      <c r="Y2016" s="79">
        <v>111.66</v>
      </c>
      <c r="Z2016" s="79">
        <v>22232.46</v>
      </c>
      <c r="AA2016" s="255">
        <v>-9.9999999983992893E-3</v>
      </c>
      <c r="AC2016" s="254"/>
    </row>
    <row r="2017" spans="1:31" ht="12">
      <c r="A2017" s="67" t="s">
        <v>14392</v>
      </c>
      <c r="B2017" s="65" t="s">
        <v>14393</v>
      </c>
      <c r="C2017" s="71" t="s">
        <v>103</v>
      </c>
      <c r="D2017" s="78">
        <v>1</v>
      </c>
      <c r="E2017" s="79">
        <v>22.72</v>
      </c>
      <c r="F2017" s="70">
        <v>22.72</v>
      </c>
      <c r="G2017" s="320"/>
      <c r="H2017" s="79">
        <v>11.56</v>
      </c>
      <c r="I2017" s="79">
        <v>11.16</v>
      </c>
      <c r="J2017" s="79">
        <v>22.72</v>
      </c>
      <c r="K2017" s="79">
        <v>0</v>
      </c>
      <c r="L2017" s="70">
        <v>22.72</v>
      </c>
      <c r="M2017" s="132"/>
      <c r="N2017" s="79">
        <v>11.56</v>
      </c>
      <c r="O2017" s="79">
        <v>11.16</v>
      </c>
      <c r="P2017" s="79">
        <v>22.72</v>
      </c>
      <c r="Q2017" s="136"/>
      <c r="R2017" s="79">
        <v>11.56</v>
      </c>
      <c r="S2017" s="79">
        <v>11.16</v>
      </c>
      <c r="T2017" s="79">
        <v>22.72</v>
      </c>
      <c r="U2017" s="79">
        <v>0</v>
      </c>
      <c r="V2017" s="189">
        <v>22.72</v>
      </c>
      <c r="X2017" s="79">
        <v>11.56</v>
      </c>
      <c r="Y2017" s="79">
        <v>11.16</v>
      </c>
      <c r="Z2017" s="79">
        <v>22.72</v>
      </c>
      <c r="AA2017" s="255">
        <v>0</v>
      </c>
      <c r="AC2017" s="254"/>
      <c r="AD2017" s="61"/>
      <c r="AE2017" s="61"/>
    </row>
    <row r="2018" spans="1:31" ht="12">
      <c r="A2018" s="67" t="s">
        <v>14394</v>
      </c>
      <c r="B2018" s="65" t="s">
        <v>14395</v>
      </c>
      <c r="C2018" s="71" t="s">
        <v>103</v>
      </c>
      <c r="D2018" s="78">
        <v>1</v>
      </c>
      <c r="E2018" s="79">
        <v>23.92</v>
      </c>
      <c r="F2018" s="70">
        <v>23.92</v>
      </c>
      <c r="G2018" s="320"/>
      <c r="H2018" s="79">
        <v>12.76</v>
      </c>
      <c r="I2018" s="79">
        <v>11.16</v>
      </c>
      <c r="J2018" s="79">
        <v>23.92</v>
      </c>
      <c r="K2018" s="79">
        <v>0</v>
      </c>
      <c r="L2018" s="70">
        <v>23.92</v>
      </c>
      <c r="M2018" s="132"/>
      <c r="N2018" s="79">
        <v>12.76</v>
      </c>
      <c r="O2018" s="79">
        <v>11.16</v>
      </c>
      <c r="P2018" s="79">
        <v>23.92</v>
      </c>
      <c r="Q2018" s="136"/>
      <c r="R2018" s="79">
        <v>12.76</v>
      </c>
      <c r="S2018" s="79">
        <v>11.16</v>
      </c>
      <c r="T2018" s="79">
        <v>23.92</v>
      </c>
      <c r="U2018" s="79">
        <v>0</v>
      </c>
      <c r="V2018" s="189">
        <v>23.92</v>
      </c>
      <c r="X2018" s="79">
        <v>12.76</v>
      </c>
      <c r="Y2018" s="79">
        <v>11.16</v>
      </c>
      <c r="Z2018" s="79">
        <v>23.92</v>
      </c>
      <c r="AA2018" s="255">
        <v>0</v>
      </c>
      <c r="AC2018" s="254"/>
    </row>
    <row r="2019" spans="1:31" s="61" customFormat="1" ht="12">
      <c r="A2019" s="67" t="s">
        <v>14396</v>
      </c>
      <c r="B2019" s="65" t="s">
        <v>14397</v>
      </c>
      <c r="C2019" s="71" t="s">
        <v>103</v>
      </c>
      <c r="D2019" s="78">
        <v>1</v>
      </c>
      <c r="E2019" s="79">
        <v>54.28</v>
      </c>
      <c r="F2019" s="70">
        <v>54.28</v>
      </c>
      <c r="G2019" s="320"/>
      <c r="H2019" s="79">
        <v>43.12</v>
      </c>
      <c r="I2019" s="79">
        <v>11.16</v>
      </c>
      <c r="J2019" s="79">
        <v>54.28</v>
      </c>
      <c r="K2019" s="79">
        <v>0</v>
      </c>
      <c r="L2019" s="70">
        <v>54.28</v>
      </c>
      <c r="M2019" s="132"/>
      <c r="N2019" s="79">
        <v>43.12</v>
      </c>
      <c r="O2019" s="79">
        <v>11.16</v>
      </c>
      <c r="P2019" s="79">
        <v>54.28</v>
      </c>
      <c r="Q2019" s="136"/>
      <c r="R2019" s="79">
        <v>43.12</v>
      </c>
      <c r="S2019" s="79">
        <v>11.16</v>
      </c>
      <c r="T2019" s="79">
        <v>54.28</v>
      </c>
      <c r="U2019" s="79">
        <v>0</v>
      </c>
      <c r="V2019" s="189">
        <v>54.28</v>
      </c>
      <c r="X2019" s="79">
        <v>43.12</v>
      </c>
      <c r="Y2019" s="79">
        <v>11.16</v>
      </c>
      <c r="Z2019" s="79">
        <v>54.28</v>
      </c>
      <c r="AA2019" s="255">
        <v>0</v>
      </c>
      <c r="AC2019" s="254"/>
    </row>
    <row r="2020" spans="1:31" ht="12">
      <c r="A2020" s="67" t="s">
        <v>14398</v>
      </c>
      <c r="B2020" s="65" t="s">
        <v>14399</v>
      </c>
      <c r="C2020" s="71" t="s">
        <v>103</v>
      </c>
      <c r="D2020" s="78">
        <v>1</v>
      </c>
      <c r="E2020" s="79">
        <v>54.11</v>
      </c>
      <c r="F2020" s="70">
        <v>54.11</v>
      </c>
      <c r="G2020" s="320"/>
      <c r="H2020" s="79">
        <v>42.95</v>
      </c>
      <c r="I2020" s="79">
        <v>11.16</v>
      </c>
      <c r="J2020" s="79">
        <v>54.11</v>
      </c>
      <c r="K2020" s="79">
        <v>0</v>
      </c>
      <c r="L2020" s="70">
        <v>54.11</v>
      </c>
      <c r="M2020" s="132"/>
      <c r="N2020" s="79">
        <v>42.95</v>
      </c>
      <c r="O2020" s="79">
        <v>11.16</v>
      </c>
      <c r="P2020" s="79">
        <v>54.11</v>
      </c>
      <c r="Q2020" s="136"/>
      <c r="R2020" s="79">
        <v>42.95</v>
      </c>
      <c r="S2020" s="79">
        <v>11.16</v>
      </c>
      <c r="T2020" s="79">
        <v>54.11</v>
      </c>
      <c r="U2020" s="79">
        <v>0</v>
      </c>
      <c r="V2020" s="189">
        <v>54.11</v>
      </c>
      <c r="X2020" s="79">
        <v>42.95</v>
      </c>
      <c r="Y2020" s="79">
        <v>11.16</v>
      </c>
      <c r="Z2020" s="79">
        <v>54.11</v>
      </c>
      <c r="AA2020" s="255">
        <v>0</v>
      </c>
      <c r="AC2020" s="254"/>
    </row>
    <row r="2021" spans="1:31" s="61" customFormat="1" ht="12">
      <c r="A2021" s="67" t="s">
        <v>14400</v>
      </c>
      <c r="B2021" s="65" t="s">
        <v>14401</v>
      </c>
      <c r="C2021" s="71" t="s">
        <v>103</v>
      </c>
      <c r="D2021" s="78">
        <v>1</v>
      </c>
      <c r="E2021" s="79">
        <v>63.69</v>
      </c>
      <c r="F2021" s="70">
        <v>63.69</v>
      </c>
      <c r="G2021" s="320"/>
      <c r="H2021" s="79">
        <v>52.53</v>
      </c>
      <c r="I2021" s="79">
        <v>11.16</v>
      </c>
      <c r="J2021" s="79">
        <v>63.69</v>
      </c>
      <c r="K2021" s="79">
        <v>0</v>
      </c>
      <c r="L2021" s="70">
        <v>63.69</v>
      </c>
      <c r="M2021" s="132"/>
      <c r="N2021" s="79">
        <v>52.53</v>
      </c>
      <c r="O2021" s="79">
        <v>11.16</v>
      </c>
      <c r="P2021" s="79">
        <v>63.69</v>
      </c>
      <c r="Q2021" s="136"/>
      <c r="R2021" s="79">
        <v>52.53</v>
      </c>
      <c r="S2021" s="79">
        <v>11.16</v>
      </c>
      <c r="T2021" s="79">
        <v>63.69</v>
      </c>
      <c r="U2021" s="79">
        <v>0</v>
      </c>
      <c r="V2021" s="189">
        <v>63.69</v>
      </c>
      <c r="X2021" s="79">
        <v>52.53</v>
      </c>
      <c r="Y2021" s="79">
        <v>11.16</v>
      </c>
      <c r="Z2021" s="79">
        <v>63.69</v>
      </c>
      <c r="AA2021" s="255">
        <v>0</v>
      </c>
      <c r="AC2021" s="254"/>
      <c r="AD2021" s="236"/>
      <c r="AE2021" s="236"/>
    </row>
    <row r="2022" spans="1:31" ht="12">
      <c r="A2022" s="67" t="s">
        <v>14402</v>
      </c>
      <c r="B2022" s="65" t="s">
        <v>14403</v>
      </c>
      <c r="C2022" s="71" t="s">
        <v>103</v>
      </c>
      <c r="D2022" s="78">
        <v>1</v>
      </c>
      <c r="E2022" s="79">
        <v>148.35999999999999</v>
      </c>
      <c r="F2022" s="70">
        <v>148.36000000000001</v>
      </c>
      <c r="G2022" s="320"/>
      <c r="H2022" s="79">
        <v>137.19999999999999</v>
      </c>
      <c r="I2022" s="79">
        <v>11.16</v>
      </c>
      <c r="J2022" s="79">
        <v>148.35999999999999</v>
      </c>
      <c r="K2022" s="79">
        <v>0</v>
      </c>
      <c r="L2022" s="70">
        <v>148.35999999999999</v>
      </c>
      <c r="M2022" s="132"/>
      <c r="N2022" s="79">
        <v>137.19999999999999</v>
      </c>
      <c r="O2022" s="79">
        <v>11.16</v>
      </c>
      <c r="P2022" s="79">
        <v>148.35999999999999</v>
      </c>
      <c r="Q2022" s="136"/>
      <c r="R2022" s="79">
        <v>137.19999999999999</v>
      </c>
      <c r="S2022" s="79">
        <v>11.16</v>
      </c>
      <c r="T2022" s="79">
        <v>148.35999999999999</v>
      </c>
      <c r="U2022" s="79">
        <v>0</v>
      </c>
      <c r="V2022" s="189">
        <v>148.35999999999999</v>
      </c>
      <c r="X2022" s="79">
        <v>137.19999999999999</v>
      </c>
      <c r="Y2022" s="79">
        <v>11.16</v>
      </c>
      <c r="Z2022" s="79">
        <v>148.36000000000001</v>
      </c>
      <c r="AA2022" s="255">
        <v>0</v>
      </c>
      <c r="AC2022" s="254"/>
    </row>
    <row r="2023" spans="1:31" ht="12">
      <c r="A2023" s="67" t="s">
        <v>14404</v>
      </c>
      <c r="B2023" s="65" t="s">
        <v>14405</v>
      </c>
      <c r="C2023" s="71" t="s">
        <v>103</v>
      </c>
      <c r="D2023" s="78">
        <v>1</v>
      </c>
      <c r="E2023" s="79">
        <v>69.61</v>
      </c>
      <c r="F2023" s="70">
        <v>69.61</v>
      </c>
      <c r="G2023" s="320"/>
      <c r="H2023" s="79">
        <v>58.45</v>
      </c>
      <c r="I2023" s="79">
        <v>11.16</v>
      </c>
      <c r="J2023" s="79">
        <v>69.61</v>
      </c>
      <c r="K2023" s="79">
        <v>0</v>
      </c>
      <c r="L2023" s="70">
        <v>69.61</v>
      </c>
      <c r="M2023" s="132"/>
      <c r="N2023" s="79">
        <v>58.45</v>
      </c>
      <c r="O2023" s="79">
        <v>11.16</v>
      </c>
      <c r="P2023" s="79">
        <v>69.61</v>
      </c>
      <c r="Q2023" s="136"/>
      <c r="R2023" s="79">
        <v>58.45</v>
      </c>
      <c r="S2023" s="79">
        <v>11.16</v>
      </c>
      <c r="T2023" s="79">
        <v>69.61</v>
      </c>
      <c r="U2023" s="79">
        <v>0</v>
      </c>
      <c r="V2023" s="189">
        <v>69.61</v>
      </c>
      <c r="X2023" s="79">
        <v>58.45</v>
      </c>
      <c r="Y2023" s="79">
        <v>11.16</v>
      </c>
      <c r="Z2023" s="79">
        <v>69.61</v>
      </c>
      <c r="AA2023" s="255">
        <v>0</v>
      </c>
      <c r="AC2023" s="254"/>
    </row>
    <row r="2024" spans="1:31" ht="12">
      <c r="A2024" s="67" t="s">
        <v>14406</v>
      </c>
      <c r="B2024" s="65" t="s">
        <v>14407</v>
      </c>
      <c r="C2024" s="71" t="s">
        <v>103</v>
      </c>
      <c r="D2024" s="78">
        <v>1</v>
      </c>
      <c r="E2024" s="79">
        <v>74.989999999999995</v>
      </c>
      <c r="F2024" s="70">
        <v>74.989999999999995</v>
      </c>
      <c r="G2024" s="320"/>
      <c r="H2024" s="79">
        <v>63.83</v>
      </c>
      <c r="I2024" s="79">
        <v>11.16</v>
      </c>
      <c r="J2024" s="79">
        <v>74.989999999999995</v>
      </c>
      <c r="K2024" s="79">
        <v>0</v>
      </c>
      <c r="L2024" s="70">
        <v>74.989999999999995</v>
      </c>
      <c r="M2024" s="132"/>
      <c r="N2024" s="79">
        <v>63.83</v>
      </c>
      <c r="O2024" s="79">
        <v>11.16</v>
      </c>
      <c r="P2024" s="79">
        <v>74.989999999999995</v>
      </c>
      <c r="Q2024" s="136"/>
      <c r="R2024" s="79">
        <v>63.83</v>
      </c>
      <c r="S2024" s="79">
        <v>11.16</v>
      </c>
      <c r="T2024" s="79">
        <v>74.989999999999995</v>
      </c>
      <c r="U2024" s="79">
        <v>0</v>
      </c>
      <c r="V2024" s="189">
        <v>74.989999999999995</v>
      </c>
      <c r="X2024" s="79">
        <v>63.83</v>
      </c>
      <c r="Y2024" s="79">
        <v>11.16</v>
      </c>
      <c r="Z2024" s="79">
        <v>74.989999999999995</v>
      </c>
      <c r="AA2024" s="255">
        <v>0</v>
      </c>
      <c r="AC2024" s="254"/>
    </row>
    <row r="2025" spans="1:31" ht="12">
      <c r="A2025" s="67" t="s">
        <v>14408</v>
      </c>
      <c r="B2025" s="65" t="s">
        <v>14409</v>
      </c>
      <c r="C2025" s="71" t="s">
        <v>103</v>
      </c>
      <c r="D2025" s="78">
        <v>1</v>
      </c>
      <c r="E2025" s="79">
        <v>79.53</v>
      </c>
      <c r="F2025" s="70">
        <v>79.53</v>
      </c>
      <c r="G2025" s="320"/>
      <c r="H2025" s="79">
        <v>68.37</v>
      </c>
      <c r="I2025" s="79">
        <v>11.16</v>
      </c>
      <c r="J2025" s="79">
        <v>79.53</v>
      </c>
      <c r="K2025" s="79">
        <v>0</v>
      </c>
      <c r="L2025" s="70">
        <v>79.53</v>
      </c>
      <c r="M2025" s="132"/>
      <c r="N2025" s="79">
        <v>68.37</v>
      </c>
      <c r="O2025" s="79">
        <v>11.16</v>
      </c>
      <c r="P2025" s="79">
        <v>79.53</v>
      </c>
      <c r="Q2025" s="136"/>
      <c r="R2025" s="79">
        <v>68.37</v>
      </c>
      <c r="S2025" s="79">
        <v>11.16</v>
      </c>
      <c r="T2025" s="79">
        <v>79.53</v>
      </c>
      <c r="U2025" s="79">
        <v>0</v>
      </c>
      <c r="V2025" s="189">
        <v>79.53</v>
      </c>
      <c r="X2025" s="79">
        <v>68.37</v>
      </c>
      <c r="Y2025" s="79">
        <v>11.16</v>
      </c>
      <c r="Z2025" s="79">
        <v>79.53</v>
      </c>
      <c r="AA2025" s="255">
        <v>0</v>
      </c>
      <c r="AC2025" s="254"/>
    </row>
    <row r="2026" spans="1:31" ht="12">
      <c r="A2026" s="67" t="s">
        <v>14410</v>
      </c>
      <c r="B2026" s="65" t="s">
        <v>14411</v>
      </c>
      <c r="C2026" s="71" t="s">
        <v>103</v>
      </c>
      <c r="D2026" s="78">
        <v>1</v>
      </c>
      <c r="E2026" s="79">
        <v>924.06</v>
      </c>
      <c r="F2026" s="70">
        <v>924.06</v>
      </c>
      <c r="G2026" s="320"/>
      <c r="H2026" s="79">
        <v>912.9</v>
      </c>
      <c r="I2026" s="79">
        <v>11.16</v>
      </c>
      <c r="J2026" s="79">
        <v>924.06</v>
      </c>
      <c r="K2026" s="79">
        <v>0</v>
      </c>
      <c r="L2026" s="70">
        <v>924.06</v>
      </c>
      <c r="M2026" s="132"/>
      <c r="N2026" s="79">
        <v>912.9</v>
      </c>
      <c r="O2026" s="79">
        <v>11.16</v>
      </c>
      <c r="P2026" s="79">
        <v>924.06</v>
      </c>
      <c r="Q2026" s="136"/>
      <c r="R2026" s="79">
        <v>912.9</v>
      </c>
      <c r="S2026" s="79">
        <v>11.16</v>
      </c>
      <c r="T2026" s="79">
        <v>924.06</v>
      </c>
      <c r="U2026" s="79">
        <v>0</v>
      </c>
      <c r="V2026" s="189">
        <v>924.06</v>
      </c>
      <c r="X2026" s="79">
        <v>912.9</v>
      </c>
      <c r="Y2026" s="79">
        <v>11.16</v>
      </c>
      <c r="Z2026" s="79">
        <v>924.06</v>
      </c>
      <c r="AA2026" s="255">
        <v>0</v>
      </c>
      <c r="AC2026" s="254"/>
    </row>
    <row r="2027" spans="1:31" ht="24">
      <c r="A2027" s="67" t="s">
        <v>14412</v>
      </c>
      <c r="B2027" s="65" t="s">
        <v>14413</v>
      </c>
      <c r="C2027" s="71" t="s">
        <v>103</v>
      </c>
      <c r="D2027" s="78">
        <v>1</v>
      </c>
      <c r="E2027" s="79">
        <v>35018.82</v>
      </c>
      <c r="F2027" s="70">
        <v>35018.82</v>
      </c>
      <c r="G2027" s="320"/>
      <c r="H2027" s="79">
        <v>34907.17</v>
      </c>
      <c r="I2027" s="79">
        <v>111.65</v>
      </c>
      <c r="J2027" s="79">
        <v>35018.82</v>
      </c>
      <c r="K2027" s="79">
        <v>0</v>
      </c>
      <c r="L2027" s="70">
        <v>35018.82</v>
      </c>
      <c r="M2027" s="132"/>
      <c r="N2027" s="79">
        <v>34907.17</v>
      </c>
      <c r="O2027" s="79">
        <v>111.65</v>
      </c>
      <c r="P2027" s="79">
        <v>35018.82</v>
      </c>
      <c r="Q2027" s="136"/>
      <c r="R2027" s="79">
        <v>34907.17</v>
      </c>
      <c r="S2027" s="79">
        <v>111.66</v>
      </c>
      <c r="T2027" s="79">
        <v>35018.83</v>
      </c>
      <c r="U2027" s="79">
        <v>0</v>
      </c>
      <c r="V2027" s="189">
        <v>35018.83</v>
      </c>
      <c r="X2027" s="79">
        <v>34907.17</v>
      </c>
      <c r="Y2027" s="79">
        <v>111.66</v>
      </c>
      <c r="Z2027" s="79">
        <v>35018.83</v>
      </c>
      <c r="AA2027" s="255">
        <v>-1.0000000002037268E-2</v>
      </c>
      <c r="AC2027" s="254"/>
    </row>
    <row r="2028" spans="1:31" ht="24">
      <c r="A2028" s="67" t="s">
        <v>14414</v>
      </c>
      <c r="B2028" s="65" t="s">
        <v>14415</v>
      </c>
      <c r="C2028" s="71" t="s">
        <v>103</v>
      </c>
      <c r="D2028" s="78">
        <v>1</v>
      </c>
      <c r="E2028" s="79">
        <v>62513.880000000005</v>
      </c>
      <c r="F2028" s="70">
        <v>62513.88</v>
      </c>
      <c r="G2028" s="320"/>
      <c r="H2028" s="79">
        <v>62402.23</v>
      </c>
      <c r="I2028" s="79">
        <v>111.65</v>
      </c>
      <c r="J2028" s="79">
        <v>62513.880000000005</v>
      </c>
      <c r="K2028" s="79">
        <v>0</v>
      </c>
      <c r="L2028" s="70">
        <v>62513.880000000005</v>
      </c>
      <c r="M2028" s="132"/>
      <c r="N2028" s="79">
        <v>62402.23</v>
      </c>
      <c r="O2028" s="79">
        <v>111.65</v>
      </c>
      <c r="P2028" s="79">
        <v>62513.880000000005</v>
      </c>
      <c r="Q2028" s="136"/>
      <c r="R2028" s="79">
        <v>62402.23</v>
      </c>
      <c r="S2028" s="79">
        <v>111.66</v>
      </c>
      <c r="T2028" s="79">
        <v>62513.890000000007</v>
      </c>
      <c r="U2028" s="79">
        <v>0</v>
      </c>
      <c r="V2028" s="189">
        <v>62513.890000000007</v>
      </c>
      <c r="X2028" s="79">
        <v>62402.23</v>
      </c>
      <c r="Y2028" s="79">
        <v>111.66</v>
      </c>
      <c r="Z2028" s="79">
        <v>62513.89</v>
      </c>
      <c r="AA2028" s="255">
        <v>-1.0000000002037268E-2</v>
      </c>
      <c r="AC2028" s="254"/>
    </row>
    <row r="2029" spans="1:31" ht="12">
      <c r="A2029" s="67" t="s">
        <v>14416</v>
      </c>
      <c r="B2029" s="65" t="s">
        <v>14417</v>
      </c>
      <c r="C2029" s="71" t="s">
        <v>103</v>
      </c>
      <c r="D2029" s="78">
        <v>1</v>
      </c>
      <c r="E2029" s="79">
        <v>366681.71</v>
      </c>
      <c r="F2029" s="70">
        <v>366681.71</v>
      </c>
      <c r="G2029" s="320"/>
      <c r="H2029" s="79">
        <v>366625.88</v>
      </c>
      <c r="I2029" s="79">
        <v>55.83</v>
      </c>
      <c r="J2029" s="79">
        <v>366681.71</v>
      </c>
      <c r="K2029" s="79">
        <v>0</v>
      </c>
      <c r="L2029" s="70">
        <v>366681.71</v>
      </c>
      <c r="M2029" s="132"/>
      <c r="N2029" s="79">
        <v>366625.88</v>
      </c>
      <c r="O2029" s="79">
        <v>55.83</v>
      </c>
      <c r="P2029" s="79">
        <v>366681.71</v>
      </c>
      <c r="Q2029" s="136"/>
      <c r="R2029" s="79">
        <v>366625.88</v>
      </c>
      <c r="S2029" s="79">
        <v>55.83</v>
      </c>
      <c r="T2029" s="79">
        <v>366681.71</v>
      </c>
      <c r="U2029" s="79">
        <v>0</v>
      </c>
      <c r="V2029" s="189">
        <v>366681.71</v>
      </c>
      <c r="X2029" s="79">
        <v>366625.88</v>
      </c>
      <c r="Y2029" s="79">
        <v>55.83</v>
      </c>
      <c r="Z2029" s="79">
        <v>366681.71</v>
      </c>
      <c r="AA2029" s="255">
        <v>0</v>
      </c>
      <c r="AC2029" s="254"/>
    </row>
    <row r="2030" spans="1:31" ht="12">
      <c r="A2030" s="489" t="s">
        <v>14418</v>
      </c>
      <c r="B2030" s="490" t="s">
        <v>14419</v>
      </c>
      <c r="C2030" s="491"/>
      <c r="D2030" s="492"/>
      <c r="E2030" s="79"/>
      <c r="F2030" s="63"/>
      <c r="G2030" s="320"/>
      <c r="H2030" s="79"/>
      <c r="I2030" s="79"/>
      <c r="J2030" s="79"/>
      <c r="K2030" s="79"/>
      <c r="L2030" s="70"/>
      <c r="M2030" s="132"/>
      <c r="N2030" s="79"/>
      <c r="O2030" s="79"/>
      <c r="P2030" s="79"/>
      <c r="Q2030" s="136"/>
      <c r="R2030" s="79"/>
      <c r="S2030" s="79"/>
      <c r="T2030" s="79"/>
      <c r="U2030" s="79"/>
      <c r="V2030" s="189"/>
      <c r="X2030" s="79"/>
      <c r="Y2030" s="79"/>
      <c r="Z2030" s="79"/>
      <c r="AA2030" s="255"/>
      <c r="AC2030" s="254"/>
    </row>
    <row r="2031" spans="1:31" ht="12">
      <c r="A2031" s="67" t="s">
        <v>14420</v>
      </c>
      <c r="B2031" s="65" t="s">
        <v>14421</v>
      </c>
      <c r="C2031" s="71" t="s">
        <v>103</v>
      </c>
      <c r="D2031" s="78">
        <v>1</v>
      </c>
      <c r="E2031" s="79">
        <v>2528.4499999999998</v>
      </c>
      <c r="F2031" s="70">
        <v>2528.4499999999998</v>
      </c>
      <c r="G2031" s="320"/>
      <c r="H2031" s="79">
        <v>2472.62</v>
      </c>
      <c r="I2031" s="79">
        <v>55.83</v>
      </c>
      <c r="J2031" s="79">
        <v>2528.4499999999998</v>
      </c>
      <c r="K2031" s="79">
        <v>0</v>
      </c>
      <c r="L2031" s="70">
        <v>2528.4499999999998</v>
      </c>
      <c r="M2031" s="132"/>
      <c r="N2031" s="79">
        <v>2472.62</v>
      </c>
      <c r="O2031" s="79">
        <v>55.83</v>
      </c>
      <c r="P2031" s="79">
        <v>2528.4499999999998</v>
      </c>
      <c r="Q2031" s="136"/>
      <c r="R2031" s="79">
        <v>2472.62</v>
      </c>
      <c r="S2031" s="79">
        <v>55.83</v>
      </c>
      <c r="T2031" s="79">
        <v>2528.4499999999998</v>
      </c>
      <c r="U2031" s="79">
        <v>0</v>
      </c>
      <c r="V2031" s="189">
        <v>2528.4499999999998</v>
      </c>
      <c r="X2031" s="79">
        <v>2472.62</v>
      </c>
      <c r="Y2031" s="79">
        <v>55.83</v>
      </c>
      <c r="Z2031" s="79">
        <v>2528.4499999999998</v>
      </c>
      <c r="AA2031" s="255">
        <v>0</v>
      </c>
      <c r="AC2031" s="254"/>
    </row>
    <row r="2032" spans="1:31" ht="24">
      <c r="A2032" s="67" t="s">
        <v>14422</v>
      </c>
      <c r="B2032" s="65" t="s">
        <v>14423</v>
      </c>
      <c r="C2032" s="71" t="s">
        <v>103</v>
      </c>
      <c r="D2032" s="78">
        <v>1</v>
      </c>
      <c r="E2032" s="79">
        <v>2063.86</v>
      </c>
      <c r="F2032" s="70">
        <v>2063.86</v>
      </c>
      <c r="G2032" s="320"/>
      <c r="H2032" s="79">
        <v>2019.2</v>
      </c>
      <c r="I2032" s="79">
        <v>44.66</v>
      </c>
      <c r="J2032" s="79">
        <v>2063.86</v>
      </c>
      <c r="K2032" s="79">
        <v>0</v>
      </c>
      <c r="L2032" s="70">
        <v>2063.86</v>
      </c>
      <c r="M2032" s="132"/>
      <c r="N2032" s="79">
        <v>2019.2</v>
      </c>
      <c r="O2032" s="79">
        <v>44.66</v>
      </c>
      <c r="P2032" s="79">
        <v>2063.86</v>
      </c>
      <c r="Q2032" s="136"/>
      <c r="R2032" s="79">
        <v>2019.2</v>
      </c>
      <c r="S2032" s="79">
        <v>44.67</v>
      </c>
      <c r="T2032" s="79">
        <v>2063.87</v>
      </c>
      <c r="U2032" s="79">
        <v>0</v>
      </c>
      <c r="V2032" s="189">
        <v>2063.87</v>
      </c>
      <c r="X2032" s="79">
        <v>2019.2</v>
      </c>
      <c r="Y2032" s="79">
        <v>44.67</v>
      </c>
      <c r="Z2032" s="79">
        <v>2063.87</v>
      </c>
      <c r="AA2032" s="255">
        <v>-9.9999999997635314E-3</v>
      </c>
      <c r="AC2032" s="254"/>
    </row>
    <row r="2033" spans="1:29" ht="24">
      <c r="A2033" s="67" t="s">
        <v>14424</v>
      </c>
      <c r="B2033" s="65" t="s">
        <v>14425</v>
      </c>
      <c r="C2033" s="71" t="s">
        <v>103</v>
      </c>
      <c r="D2033" s="78">
        <v>1</v>
      </c>
      <c r="E2033" s="79">
        <v>1401.3700000000001</v>
      </c>
      <c r="F2033" s="70">
        <v>1401.37</v>
      </c>
      <c r="G2033" s="320"/>
      <c r="H2033" s="79">
        <v>1356.71</v>
      </c>
      <c r="I2033" s="79">
        <v>44.66</v>
      </c>
      <c r="J2033" s="79">
        <v>1401.3700000000001</v>
      </c>
      <c r="K2033" s="79">
        <v>0</v>
      </c>
      <c r="L2033" s="70">
        <v>1401.3700000000001</v>
      </c>
      <c r="M2033" s="132"/>
      <c r="N2033" s="79">
        <v>1356.71</v>
      </c>
      <c r="O2033" s="79">
        <v>44.66</v>
      </c>
      <c r="P2033" s="79">
        <v>1401.3700000000001</v>
      </c>
      <c r="Q2033" s="136"/>
      <c r="R2033" s="79">
        <v>1356.71</v>
      </c>
      <c r="S2033" s="79">
        <v>44.67</v>
      </c>
      <c r="T2033" s="79">
        <v>1401.38</v>
      </c>
      <c r="U2033" s="79">
        <v>0</v>
      </c>
      <c r="V2033" s="189">
        <v>1401.38</v>
      </c>
      <c r="X2033" s="79">
        <v>1356.71</v>
      </c>
      <c r="Y2033" s="79">
        <v>44.67</v>
      </c>
      <c r="Z2033" s="79">
        <v>1401.38</v>
      </c>
      <c r="AA2033" s="255">
        <v>-1.0000000000218279E-2</v>
      </c>
      <c r="AC2033" s="254"/>
    </row>
    <row r="2034" spans="1:29" ht="24">
      <c r="A2034" s="67" t="s">
        <v>14426</v>
      </c>
      <c r="B2034" s="65" t="s">
        <v>14427</v>
      </c>
      <c r="C2034" s="71" t="s">
        <v>103</v>
      </c>
      <c r="D2034" s="78">
        <v>1</v>
      </c>
      <c r="E2034" s="79">
        <v>2233.6999999999998</v>
      </c>
      <c r="F2034" s="70">
        <v>2233.6999999999998</v>
      </c>
      <c r="G2034" s="320"/>
      <c r="H2034" s="79">
        <v>2177.87</v>
      </c>
      <c r="I2034" s="79">
        <v>55.83</v>
      </c>
      <c r="J2034" s="79">
        <v>2233.6999999999998</v>
      </c>
      <c r="K2034" s="79">
        <v>0</v>
      </c>
      <c r="L2034" s="70">
        <v>2233.6999999999998</v>
      </c>
      <c r="M2034" s="132"/>
      <c r="N2034" s="79">
        <v>2177.87</v>
      </c>
      <c r="O2034" s="79">
        <v>55.83</v>
      </c>
      <c r="P2034" s="79">
        <v>2233.6999999999998</v>
      </c>
      <c r="Q2034" s="136"/>
      <c r="R2034" s="79">
        <v>2177.87</v>
      </c>
      <c r="S2034" s="79">
        <v>55.83</v>
      </c>
      <c r="T2034" s="79">
        <v>2233.6999999999998</v>
      </c>
      <c r="U2034" s="79">
        <v>0</v>
      </c>
      <c r="V2034" s="189">
        <v>2233.6999999999998</v>
      </c>
      <c r="X2034" s="79">
        <v>2177.87</v>
      </c>
      <c r="Y2034" s="79">
        <v>55.83</v>
      </c>
      <c r="Z2034" s="79">
        <v>2233.6999999999998</v>
      </c>
      <c r="AA2034" s="255">
        <v>0</v>
      </c>
      <c r="AC2034" s="254"/>
    </row>
    <row r="2035" spans="1:29" ht="24">
      <c r="A2035" s="67" t="s">
        <v>14428</v>
      </c>
      <c r="B2035" s="65" t="s">
        <v>14429</v>
      </c>
      <c r="C2035" s="71" t="s">
        <v>103</v>
      </c>
      <c r="D2035" s="78">
        <v>1</v>
      </c>
      <c r="E2035" s="79">
        <v>2879.75</v>
      </c>
      <c r="F2035" s="70">
        <v>2879.75</v>
      </c>
      <c r="G2035" s="320"/>
      <c r="H2035" s="79">
        <v>2812.76</v>
      </c>
      <c r="I2035" s="79">
        <v>66.990000000000009</v>
      </c>
      <c r="J2035" s="79">
        <v>2879.75</v>
      </c>
      <c r="K2035" s="79">
        <v>0</v>
      </c>
      <c r="L2035" s="70">
        <v>2879.75</v>
      </c>
      <c r="M2035" s="132"/>
      <c r="N2035" s="79">
        <v>2812.76</v>
      </c>
      <c r="O2035" s="79">
        <v>66.990000000000009</v>
      </c>
      <c r="P2035" s="79">
        <v>2879.75</v>
      </c>
      <c r="Q2035" s="136"/>
      <c r="R2035" s="79">
        <v>2812.76</v>
      </c>
      <c r="S2035" s="79">
        <v>66.989999999999995</v>
      </c>
      <c r="T2035" s="79">
        <v>2879.75</v>
      </c>
      <c r="U2035" s="79">
        <v>0</v>
      </c>
      <c r="V2035" s="189">
        <v>2879.75</v>
      </c>
      <c r="X2035" s="79">
        <v>2812.76</v>
      </c>
      <c r="Y2035" s="79">
        <v>66.989999999999995</v>
      </c>
      <c r="Z2035" s="79">
        <v>2879.75</v>
      </c>
      <c r="AA2035" s="255">
        <v>0</v>
      </c>
      <c r="AC2035" s="254"/>
    </row>
    <row r="2036" spans="1:29" ht="24">
      <c r="A2036" s="67" t="s">
        <v>14430</v>
      </c>
      <c r="B2036" s="65" t="s">
        <v>14431</v>
      </c>
      <c r="C2036" s="71" t="s">
        <v>103</v>
      </c>
      <c r="D2036" s="78">
        <v>1</v>
      </c>
      <c r="E2036" s="79">
        <v>5088.1900000000005</v>
      </c>
      <c r="F2036" s="70">
        <v>5088.1899999999996</v>
      </c>
      <c r="G2036" s="320"/>
      <c r="H2036" s="79">
        <v>5004.43</v>
      </c>
      <c r="I2036" s="79">
        <v>83.76</v>
      </c>
      <c r="J2036" s="79">
        <v>5088.1900000000005</v>
      </c>
      <c r="K2036" s="79">
        <v>0</v>
      </c>
      <c r="L2036" s="70">
        <v>5088.1900000000005</v>
      </c>
      <c r="M2036" s="132"/>
      <c r="N2036" s="79">
        <v>5004.43</v>
      </c>
      <c r="O2036" s="79">
        <v>83.76</v>
      </c>
      <c r="P2036" s="79">
        <v>5088.1900000000005</v>
      </c>
      <c r="Q2036" s="136"/>
      <c r="R2036" s="79">
        <v>5004.43</v>
      </c>
      <c r="S2036" s="79">
        <v>83.75</v>
      </c>
      <c r="T2036" s="79">
        <v>5088.18</v>
      </c>
      <c r="U2036" s="79">
        <v>0</v>
      </c>
      <c r="V2036" s="189">
        <v>5088.18</v>
      </c>
      <c r="X2036" s="79">
        <v>5004.43</v>
      </c>
      <c r="Y2036" s="79">
        <v>83.75</v>
      </c>
      <c r="Z2036" s="79">
        <v>5088.18</v>
      </c>
      <c r="AA2036" s="255">
        <v>9.999999999308784E-3</v>
      </c>
      <c r="AC2036" s="254"/>
    </row>
    <row r="2037" spans="1:29" ht="24">
      <c r="A2037" s="67" t="s">
        <v>14432</v>
      </c>
      <c r="B2037" s="65" t="s">
        <v>14433</v>
      </c>
      <c r="C2037" s="71" t="s">
        <v>103</v>
      </c>
      <c r="D2037" s="78">
        <v>1</v>
      </c>
      <c r="E2037" s="79">
        <v>10446.65</v>
      </c>
      <c r="F2037" s="70">
        <v>10446.65</v>
      </c>
      <c r="G2037" s="320"/>
      <c r="H2037" s="79">
        <v>10362.89</v>
      </c>
      <c r="I2037" s="79">
        <v>83.76</v>
      </c>
      <c r="J2037" s="79">
        <v>10446.65</v>
      </c>
      <c r="K2037" s="79">
        <v>0</v>
      </c>
      <c r="L2037" s="70">
        <v>10446.65</v>
      </c>
      <c r="M2037" s="132"/>
      <c r="N2037" s="79">
        <v>10362.89</v>
      </c>
      <c r="O2037" s="79">
        <v>83.76</v>
      </c>
      <c r="P2037" s="79">
        <v>10446.65</v>
      </c>
      <c r="Q2037" s="136"/>
      <c r="R2037" s="79">
        <v>10362.89</v>
      </c>
      <c r="S2037" s="79">
        <v>83.75</v>
      </c>
      <c r="T2037" s="79">
        <v>10446.64</v>
      </c>
      <c r="U2037" s="79">
        <v>0</v>
      </c>
      <c r="V2037" s="189">
        <v>10446.64</v>
      </c>
      <c r="X2037" s="79">
        <v>10362.89</v>
      </c>
      <c r="Y2037" s="79">
        <v>83.75</v>
      </c>
      <c r="Z2037" s="79">
        <v>10446.64</v>
      </c>
      <c r="AA2037" s="255">
        <v>1.0000000000218279E-2</v>
      </c>
      <c r="AC2037" s="254"/>
    </row>
    <row r="2038" spans="1:29" ht="24">
      <c r="A2038" s="67" t="s">
        <v>14434</v>
      </c>
      <c r="B2038" s="65" t="s">
        <v>14435</v>
      </c>
      <c r="C2038" s="71" t="s">
        <v>103</v>
      </c>
      <c r="D2038" s="78">
        <v>1</v>
      </c>
      <c r="E2038" s="79">
        <v>1482.3600000000001</v>
      </c>
      <c r="F2038" s="70">
        <v>1482.36</v>
      </c>
      <c r="G2038" s="320"/>
      <c r="H2038" s="79">
        <v>1437.7</v>
      </c>
      <c r="I2038" s="79">
        <v>44.66</v>
      </c>
      <c r="J2038" s="79">
        <v>1482.3600000000001</v>
      </c>
      <c r="K2038" s="79">
        <v>0</v>
      </c>
      <c r="L2038" s="70">
        <v>1482.3600000000001</v>
      </c>
      <c r="M2038" s="132"/>
      <c r="N2038" s="79">
        <v>1437.7</v>
      </c>
      <c r="O2038" s="79">
        <v>44.66</v>
      </c>
      <c r="P2038" s="79">
        <v>1482.3600000000001</v>
      </c>
      <c r="Q2038" s="136"/>
      <c r="R2038" s="79">
        <v>1437.7</v>
      </c>
      <c r="S2038" s="79">
        <v>44.67</v>
      </c>
      <c r="T2038" s="79">
        <v>1482.3700000000001</v>
      </c>
      <c r="U2038" s="79">
        <v>0</v>
      </c>
      <c r="V2038" s="189">
        <v>1482.3700000000001</v>
      </c>
      <c r="X2038" s="79">
        <v>1437.7</v>
      </c>
      <c r="Y2038" s="79">
        <v>44.67</v>
      </c>
      <c r="Z2038" s="79">
        <v>1482.37</v>
      </c>
      <c r="AA2038" s="255">
        <v>-9.9999999999909051E-3</v>
      </c>
      <c r="AC2038" s="254"/>
    </row>
    <row r="2039" spans="1:29" ht="24">
      <c r="A2039" s="67" t="s">
        <v>14436</v>
      </c>
      <c r="B2039" s="65" t="s">
        <v>14437</v>
      </c>
      <c r="C2039" s="71" t="s">
        <v>103</v>
      </c>
      <c r="D2039" s="78">
        <v>1</v>
      </c>
      <c r="E2039" s="79">
        <v>1946.74</v>
      </c>
      <c r="F2039" s="70">
        <v>1946.74</v>
      </c>
      <c r="G2039" s="320"/>
      <c r="H2039" s="79">
        <v>1902.08</v>
      </c>
      <c r="I2039" s="79">
        <v>44.66</v>
      </c>
      <c r="J2039" s="79">
        <v>1946.74</v>
      </c>
      <c r="K2039" s="79">
        <v>0</v>
      </c>
      <c r="L2039" s="70">
        <v>1946.74</v>
      </c>
      <c r="M2039" s="132"/>
      <c r="N2039" s="79">
        <v>1902.08</v>
      </c>
      <c r="O2039" s="79">
        <v>44.66</v>
      </c>
      <c r="P2039" s="79">
        <v>1946.74</v>
      </c>
      <c r="Q2039" s="136"/>
      <c r="R2039" s="79">
        <v>1902.08</v>
      </c>
      <c r="S2039" s="79">
        <v>44.67</v>
      </c>
      <c r="T2039" s="79">
        <v>1946.75</v>
      </c>
      <c r="U2039" s="79">
        <v>0</v>
      </c>
      <c r="V2039" s="189">
        <v>1946.75</v>
      </c>
      <c r="X2039" s="79">
        <v>1902.08</v>
      </c>
      <c r="Y2039" s="79">
        <v>44.67</v>
      </c>
      <c r="Z2039" s="79">
        <v>1946.75</v>
      </c>
      <c r="AA2039" s="255">
        <v>-9.9999999999909051E-3</v>
      </c>
      <c r="AC2039" s="254"/>
    </row>
    <row r="2040" spans="1:29" ht="24">
      <c r="A2040" s="67" t="s">
        <v>14438</v>
      </c>
      <c r="B2040" s="65" t="s">
        <v>14439</v>
      </c>
      <c r="C2040" s="71" t="s">
        <v>103</v>
      </c>
      <c r="D2040" s="78">
        <v>1</v>
      </c>
      <c r="E2040" s="79">
        <v>4348.5999999999995</v>
      </c>
      <c r="F2040" s="70">
        <v>4348.6000000000004</v>
      </c>
      <c r="G2040" s="320"/>
      <c r="H2040" s="79">
        <v>4303.9399999999996</v>
      </c>
      <c r="I2040" s="79">
        <v>44.66</v>
      </c>
      <c r="J2040" s="79">
        <v>4348.5999999999995</v>
      </c>
      <c r="K2040" s="79">
        <v>0</v>
      </c>
      <c r="L2040" s="70">
        <v>4348.5999999999995</v>
      </c>
      <c r="M2040" s="132"/>
      <c r="N2040" s="79">
        <v>4303.9399999999996</v>
      </c>
      <c r="O2040" s="79">
        <v>44.66</v>
      </c>
      <c r="P2040" s="79">
        <v>4348.5999999999995</v>
      </c>
      <c r="Q2040" s="136"/>
      <c r="R2040" s="79">
        <v>4303.9399999999996</v>
      </c>
      <c r="S2040" s="79">
        <v>44.67</v>
      </c>
      <c r="T2040" s="79">
        <v>4348.6099999999997</v>
      </c>
      <c r="U2040" s="79">
        <v>0</v>
      </c>
      <c r="V2040" s="189">
        <v>4348.6099999999997</v>
      </c>
      <c r="X2040" s="79">
        <v>4303.9399999999996</v>
      </c>
      <c r="Y2040" s="79">
        <v>44.67</v>
      </c>
      <c r="Z2040" s="79">
        <v>4348.6099999999997</v>
      </c>
      <c r="AA2040" s="255">
        <v>-9.999999999308784E-3</v>
      </c>
      <c r="AC2040" s="254"/>
    </row>
    <row r="2041" spans="1:29" ht="24">
      <c r="A2041" s="67" t="s">
        <v>14440</v>
      </c>
      <c r="B2041" s="65" t="s">
        <v>14441</v>
      </c>
      <c r="C2041" s="71" t="s">
        <v>103</v>
      </c>
      <c r="D2041" s="78">
        <v>1</v>
      </c>
      <c r="E2041" s="79">
        <v>4772.66</v>
      </c>
      <c r="F2041" s="70">
        <v>4772.66</v>
      </c>
      <c r="G2041" s="320"/>
      <c r="H2041" s="79">
        <v>4716.83</v>
      </c>
      <c r="I2041" s="79">
        <v>55.83</v>
      </c>
      <c r="J2041" s="79">
        <v>4772.66</v>
      </c>
      <c r="K2041" s="79">
        <v>0</v>
      </c>
      <c r="L2041" s="70">
        <v>4772.66</v>
      </c>
      <c r="M2041" s="132"/>
      <c r="N2041" s="79">
        <v>4716.83</v>
      </c>
      <c r="O2041" s="79">
        <v>55.83</v>
      </c>
      <c r="P2041" s="79">
        <v>4772.66</v>
      </c>
      <c r="Q2041" s="136"/>
      <c r="R2041" s="79">
        <v>4716.83</v>
      </c>
      <c r="S2041" s="79">
        <v>55.83</v>
      </c>
      <c r="T2041" s="79">
        <v>4772.66</v>
      </c>
      <c r="U2041" s="79">
        <v>0</v>
      </c>
      <c r="V2041" s="189">
        <v>4772.66</v>
      </c>
      <c r="X2041" s="79">
        <v>4716.83</v>
      </c>
      <c r="Y2041" s="79">
        <v>55.83</v>
      </c>
      <c r="Z2041" s="79">
        <v>4772.66</v>
      </c>
      <c r="AA2041" s="255">
        <v>0</v>
      </c>
      <c r="AC2041" s="254"/>
    </row>
    <row r="2042" spans="1:29" ht="24">
      <c r="A2042" s="67" t="s">
        <v>14442</v>
      </c>
      <c r="B2042" s="65" t="s">
        <v>14443</v>
      </c>
      <c r="C2042" s="71" t="s">
        <v>103</v>
      </c>
      <c r="D2042" s="78">
        <v>1</v>
      </c>
      <c r="E2042" s="79">
        <v>9955.7899999999991</v>
      </c>
      <c r="F2042" s="70">
        <v>9955.7900000000009</v>
      </c>
      <c r="G2042" s="320"/>
      <c r="H2042" s="79">
        <v>9888.7999999999993</v>
      </c>
      <c r="I2042" s="79">
        <v>66.990000000000009</v>
      </c>
      <c r="J2042" s="79">
        <v>9955.7899999999991</v>
      </c>
      <c r="K2042" s="79">
        <v>0</v>
      </c>
      <c r="L2042" s="70">
        <v>9955.7899999999991</v>
      </c>
      <c r="M2042" s="132"/>
      <c r="N2042" s="79">
        <v>9888.7999999999993</v>
      </c>
      <c r="O2042" s="79">
        <v>66.990000000000009</v>
      </c>
      <c r="P2042" s="79">
        <v>9955.7899999999991</v>
      </c>
      <c r="Q2042" s="136"/>
      <c r="R2042" s="79">
        <v>9888.7999999999993</v>
      </c>
      <c r="S2042" s="79">
        <v>66.989999999999995</v>
      </c>
      <c r="T2042" s="79">
        <v>9955.7899999999991</v>
      </c>
      <c r="U2042" s="79">
        <v>0</v>
      </c>
      <c r="V2042" s="189">
        <v>9955.7899999999991</v>
      </c>
      <c r="X2042" s="79">
        <v>9888.7999999999993</v>
      </c>
      <c r="Y2042" s="79">
        <v>66.989999999999995</v>
      </c>
      <c r="Z2042" s="79">
        <v>9955.7900000000009</v>
      </c>
      <c r="AA2042" s="255">
        <v>0</v>
      </c>
      <c r="AC2042" s="254"/>
    </row>
    <row r="2043" spans="1:29" ht="24">
      <c r="A2043" s="67" t="s">
        <v>14444</v>
      </c>
      <c r="B2043" s="65" t="s">
        <v>14445</v>
      </c>
      <c r="C2043" s="71" t="s">
        <v>103</v>
      </c>
      <c r="D2043" s="78">
        <v>1</v>
      </c>
      <c r="E2043" s="79">
        <v>408.29999999999995</v>
      </c>
      <c r="F2043" s="70">
        <v>408.3</v>
      </c>
      <c r="G2043" s="320"/>
      <c r="H2043" s="79">
        <v>363.64</v>
      </c>
      <c r="I2043" s="79">
        <v>44.66</v>
      </c>
      <c r="J2043" s="79">
        <v>408.29999999999995</v>
      </c>
      <c r="K2043" s="79">
        <v>0</v>
      </c>
      <c r="L2043" s="70">
        <v>408.29999999999995</v>
      </c>
      <c r="M2043" s="132"/>
      <c r="N2043" s="79">
        <v>363.64</v>
      </c>
      <c r="O2043" s="79">
        <v>44.66</v>
      </c>
      <c r="P2043" s="79">
        <v>408.29999999999995</v>
      </c>
      <c r="Q2043" s="136"/>
      <c r="R2043" s="79">
        <v>363.64</v>
      </c>
      <c r="S2043" s="79">
        <v>44.67</v>
      </c>
      <c r="T2043" s="79">
        <v>408.31</v>
      </c>
      <c r="U2043" s="79">
        <v>0</v>
      </c>
      <c r="V2043" s="189">
        <v>408.31</v>
      </c>
      <c r="X2043" s="79">
        <v>363.64</v>
      </c>
      <c r="Y2043" s="79">
        <v>44.67</v>
      </c>
      <c r="Z2043" s="79">
        <v>408.31</v>
      </c>
      <c r="AA2043" s="255">
        <v>-9.9999999999909051E-3</v>
      </c>
      <c r="AC2043" s="254"/>
    </row>
    <row r="2044" spans="1:29" ht="24">
      <c r="A2044" s="67" t="s">
        <v>14446</v>
      </c>
      <c r="B2044" s="65" t="s">
        <v>14447</v>
      </c>
      <c r="C2044" s="71" t="s">
        <v>103</v>
      </c>
      <c r="D2044" s="78">
        <v>1</v>
      </c>
      <c r="E2044" s="79">
        <v>842.9</v>
      </c>
      <c r="F2044" s="70">
        <v>842.9</v>
      </c>
      <c r="G2044" s="320"/>
      <c r="H2044" s="79">
        <v>798.24</v>
      </c>
      <c r="I2044" s="79">
        <v>44.66</v>
      </c>
      <c r="J2044" s="79">
        <v>842.9</v>
      </c>
      <c r="K2044" s="79">
        <v>0</v>
      </c>
      <c r="L2044" s="70">
        <v>842.9</v>
      </c>
      <c r="M2044" s="132"/>
      <c r="N2044" s="79">
        <v>798.24</v>
      </c>
      <c r="O2044" s="79">
        <v>44.66</v>
      </c>
      <c r="P2044" s="79">
        <v>842.9</v>
      </c>
      <c r="Q2044" s="136"/>
      <c r="R2044" s="79">
        <v>798.24</v>
      </c>
      <c r="S2044" s="79">
        <v>44.67</v>
      </c>
      <c r="T2044" s="79">
        <v>842.91</v>
      </c>
      <c r="U2044" s="79">
        <v>0</v>
      </c>
      <c r="V2044" s="189">
        <v>842.91</v>
      </c>
      <c r="X2044" s="79">
        <v>798.24</v>
      </c>
      <c r="Y2044" s="79">
        <v>44.67</v>
      </c>
      <c r="Z2044" s="79">
        <v>842.91</v>
      </c>
      <c r="AA2044" s="255">
        <v>-9.9999999999909051E-3</v>
      </c>
      <c r="AC2044" s="254"/>
    </row>
    <row r="2045" spans="1:29" ht="24">
      <c r="A2045" s="67" t="s">
        <v>14448</v>
      </c>
      <c r="B2045" s="65" t="s">
        <v>14449</v>
      </c>
      <c r="C2045" s="71" t="s">
        <v>103</v>
      </c>
      <c r="D2045" s="78">
        <v>1</v>
      </c>
      <c r="E2045" s="79">
        <v>1289.49</v>
      </c>
      <c r="F2045" s="70">
        <v>1289.49</v>
      </c>
      <c r="G2045" s="320"/>
      <c r="H2045" s="79">
        <v>1233.6600000000001</v>
      </c>
      <c r="I2045" s="79">
        <v>55.83</v>
      </c>
      <c r="J2045" s="79">
        <v>1289.49</v>
      </c>
      <c r="K2045" s="79">
        <v>0</v>
      </c>
      <c r="L2045" s="70">
        <v>1289.49</v>
      </c>
      <c r="M2045" s="132"/>
      <c r="N2045" s="79">
        <v>1233.6600000000001</v>
      </c>
      <c r="O2045" s="79">
        <v>55.83</v>
      </c>
      <c r="P2045" s="79">
        <v>1289.49</v>
      </c>
      <c r="Q2045" s="136"/>
      <c r="R2045" s="79">
        <v>1233.6600000000001</v>
      </c>
      <c r="S2045" s="79">
        <v>55.83</v>
      </c>
      <c r="T2045" s="79">
        <v>1289.49</v>
      </c>
      <c r="U2045" s="79">
        <v>0</v>
      </c>
      <c r="V2045" s="189">
        <v>1289.49</v>
      </c>
      <c r="X2045" s="79">
        <v>1233.6600000000001</v>
      </c>
      <c r="Y2045" s="79">
        <v>55.83</v>
      </c>
      <c r="Z2045" s="79">
        <v>1289.49</v>
      </c>
      <c r="AA2045" s="255">
        <v>0</v>
      </c>
      <c r="AC2045" s="254"/>
    </row>
    <row r="2046" spans="1:29" ht="24">
      <c r="A2046" s="67" t="s">
        <v>14450</v>
      </c>
      <c r="B2046" s="65" t="s">
        <v>14451</v>
      </c>
      <c r="C2046" s="71" t="s">
        <v>103</v>
      </c>
      <c r="D2046" s="78">
        <v>1</v>
      </c>
      <c r="E2046" s="79">
        <v>1779.68</v>
      </c>
      <c r="F2046" s="70">
        <v>1779.68</v>
      </c>
      <c r="G2046" s="320"/>
      <c r="H2046" s="79">
        <v>1712.69</v>
      </c>
      <c r="I2046" s="79">
        <v>66.990000000000009</v>
      </c>
      <c r="J2046" s="79">
        <v>1779.68</v>
      </c>
      <c r="K2046" s="79">
        <v>0</v>
      </c>
      <c r="L2046" s="70">
        <v>1779.68</v>
      </c>
      <c r="M2046" s="132"/>
      <c r="N2046" s="79">
        <v>1712.69</v>
      </c>
      <c r="O2046" s="79">
        <v>66.990000000000009</v>
      </c>
      <c r="P2046" s="79">
        <v>1779.68</v>
      </c>
      <c r="Q2046" s="136"/>
      <c r="R2046" s="79">
        <v>1712.69</v>
      </c>
      <c r="S2046" s="79">
        <v>66.989999999999995</v>
      </c>
      <c r="T2046" s="79">
        <v>1779.68</v>
      </c>
      <c r="U2046" s="79">
        <v>0</v>
      </c>
      <c r="V2046" s="189">
        <v>1779.68</v>
      </c>
      <c r="X2046" s="79">
        <v>1712.69</v>
      </c>
      <c r="Y2046" s="79">
        <v>66.989999999999995</v>
      </c>
      <c r="Z2046" s="79">
        <v>1779.68</v>
      </c>
      <c r="AA2046" s="255">
        <v>0</v>
      </c>
      <c r="AC2046" s="254"/>
    </row>
    <row r="2047" spans="1:29" ht="12">
      <c r="A2047" s="67" t="s">
        <v>14452</v>
      </c>
      <c r="B2047" s="65" t="s">
        <v>14453</v>
      </c>
      <c r="C2047" s="71" t="s">
        <v>103</v>
      </c>
      <c r="D2047" s="78">
        <v>1</v>
      </c>
      <c r="E2047" s="79">
        <v>5342.8</v>
      </c>
      <c r="F2047" s="70">
        <v>5342.8</v>
      </c>
      <c r="G2047" s="320"/>
      <c r="H2047" s="79">
        <v>5275.81</v>
      </c>
      <c r="I2047" s="79">
        <v>66.990000000000009</v>
      </c>
      <c r="J2047" s="79">
        <v>5342.8</v>
      </c>
      <c r="K2047" s="79">
        <v>0</v>
      </c>
      <c r="L2047" s="70">
        <v>5342.8</v>
      </c>
      <c r="M2047" s="132"/>
      <c r="N2047" s="79">
        <v>5275.81</v>
      </c>
      <c r="O2047" s="79">
        <v>66.990000000000009</v>
      </c>
      <c r="P2047" s="79">
        <v>5342.8</v>
      </c>
      <c r="Q2047" s="136"/>
      <c r="R2047" s="79">
        <v>5275.81</v>
      </c>
      <c r="S2047" s="79">
        <v>66.989999999999995</v>
      </c>
      <c r="T2047" s="79">
        <v>5342.8</v>
      </c>
      <c r="U2047" s="79">
        <v>0</v>
      </c>
      <c r="V2047" s="189">
        <v>5342.8</v>
      </c>
      <c r="X2047" s="79">
        <v>5275.81</v>
      </c>
      <c r="Y2047" s="79">
        <v>66.989999999999995</v>
      </c>
      <c r="Z2047" s="79">
        <v>5342.8</v>
      </c>
      <c r="AA2047" s="255">
        <v>0</v>
      </c>
      <c r="AC2047" s="254"/>
    </row>
    <row r="2048" spans="1:29" ht="12">
      <c r="A2048" s="67" t="s">
        <v>14454</v>
      </c>
      <c r="B2048" s="65" t="s">
        <v>14455</v>
      </c>
      <c r="C2048" s="71" t="s">
        <v>103</v>
      </c>
      <c r="D2048" s="78">
        <v>1</v>
      </c>
      <c r="E2048" s="79">
        <v>7435.76</v>
      </c>
      <c r="F2048" s="70">
        <v>7435.76</v>
      </c>
      <c r="G2048" s="320"/>
      <c r="H2048" s="79">
        <v>7352</v>
      </c>
      <c r="I2048" s="79">
        <v>83.76</v>
      </c>
      <c r="J2048" s="79">
        <v>7435.76</v>
      </c>
      <c r="K2048" s="79">
        <v>0</v>
      </c>
      <c r="L2048" s="70">
        <v>7435.76</v>
      </c>
      <c r="M2048" s="132"/>
      <c r="N2048" s="79">
        <v>7352</v>
      </c>
      <c r="O2048" s="79">
        <v>83.76</v>
      </c>
      <c r="P2048" s="79">
        <v>7435.76</v>
      </c>
      <c r="Q2048" s="136"/>
      <c r="R2048" s="79">
        <v>7352</v>
      </c>
      <c r="S2048" s="79">
        <v>83.75</v>
      </c>
      <c r="T2048" s="79">
        <v>7435.75</v>
      </c>
      <c r="U2048" s="79">
        <v>0</v>
      </c>
      <c r="V2048" s="189">
        <v>7435.75</v>
      </c>
      <c r="X2048" s="79">
        <v>7352</v>
      </c>
      <c r="Y2048" s="79">
        <v>83.75</v>
      </c>
      <c r="Z2048" s="79">
        <v>7435.75</v>
      </c>
      <c r="AA2048" s="255">
        <v>1.0000000000218279E-2</v>
      </c>
      <c r="AC2048" s="254"/>
    </row>
    <row r="2049" spans="1:31" ht="12">
      <c r="A2049" s="67" t="s">
        <v>14456</v>
      </c>
      <c r="B2049" s="65" t="s">
        <v>14457</v>
      </c>
      <c r="C2049" s="71" t="s">
        <v>103</v>
      </c>
      <c r="D2049" s="78">
        <v>1</v>
      </c>
      <c r="E2049" s="79">
        <v>11497.08</v>
      </c>
      <c r="F2049" s="70">
        <v>11497.08</v>
      </c>
      <c r="G2049" s="320"/>
      <c r="H2049" s="79">
        <v>11396.59</v>
      </c>
      <c r="I2049" s="79">
        <v>100.49000000000001</v>
      </c>
      <c r="J2049" s="79">
        <v>11497.08</v>
      </c>
      <c r="K2049" s="79">
        <v>0</v>
      </c>
      <c r="L2049" s="70">
        <v>11497.08</v>
      </c>
      <c r="M2049" s="132"/>
      <c r="N2049" s="79">
        <v>11396.59</v>
      </c>
      <c r="O2049" s="79">
        <v>100.49000000000001</v>
      </c>
      <c r="P2049" s="79">
        <v>11497.08</v>
      </c>
      <c r="Q2049" s="136"/>
      <c r="R2049" s="79">
        <v>11396.59</v>
      </c>
      <c r="S2049" s="79">
        <v>100.5</v>
      </c>
      <c r="T2049" s="79">
        <v>11497.09</v>
      </c>
      <c r="U2049" s="79">
        <v>0</v>
      </c>
      <c r="V2049" s="189">
        <v>11497.09</v>
      </c>
      <c r="X2049" s="79">
        <v>11396.59</v>
      </c>
      <c r="Y2049" s="79">
        <v>100.5</v>
      </c>
      <c r="Z2049" s="79">
        <v>11497.09</v>
      </c>
      <c r="AA2049" s="255">
        <v>-1.0000000000218279E-2</v>
      </c>
      <c r="AC2049" s="254"/>
    </row>
    <row r="2050" spans="1:31" ht="12">
      <c r="A2050" s="67" t="s">
        <v>14458</v>
      </c>
      <c r="B2050" s="65" t="s">
        <v>14459</v>
      </c>
      <c r="C2050" s="71" t="s">
        <v>103</v>
      </c>
      <c r="D2050" s="78">
        <v>1</v>
      </c>
      <c r="E2050" s="79">
        <v>11971.91</v>
      </c>
      <c r="F2050" s="70">
        <v>11971.91</v>
      </c>
      <c r="G2050" s="320"/>
      <c r="H2050" s="79">
        <v>11843.83</v>
      </c>
      <c r="I2050" s="79">
        <v>128.07999999999998</v>
      </c>
      <c r="J2050" s="79">
        <v>11971.91</v>
      </c>
      <c r="K2050" s="79">
        <v>0</v>
      </c>
      <c r="L2050" s="70">
        <v>11971.91</v>
      </c>
      <c r="M2050" s="132"/>
      <c r="N2050" s="79">
        <v>11843.83</v>
      </c>
      <c r="O2050" s="79">
        <v>128.07999999999998</v>
      </c>
      <c r="P2050" s="79">
        <v>11971.91</v>
      </c>
      <c r="Q2050" s="136"/>
      <c r="R2050" s="79">
        <v>11843.83</v>
      </c>
      <c r="S2050" s="79">
        <v>128.09</v>
      </c>
      <c r="T2050" s="79">
        <v>11971.92</v>
      </c>
      <c r="U2050" s="79">
        <v>0</v>
      </c>
      <c r="V2050" s="189">
        <v>11971.92</v>
      </c>
      <c r="X2050" s="79">
        <v>11843.83</v>
      </c>
      <c r="Y2050" s="79">
        <v>128.09</v>
      </c>
      <c r="Z2050" s="79">
        <v>11971.92</v>
      </c>
      <c r="AA2050" s="255">
        <v>-1.0000000000218279E-2</v>
      </c>
      <c r="AC2050" s="254"/>
    </row>
    <row r="2051" spans="1:31" ht="12">
      <c r="A2051" s="67" t="s">
        <v>14460</v>
      </c>
      <c r="B2051" s="65" t="s">
        <v>14461</v>
      </c>
      <c r="C2051" s="71" t="s">
        <v>103</v>
      </c>
      <c r="D2051" s="78">
        <v>1</v>
      </c>
      <c r="E2051" s="79">
        <v>99.52</v>
      </c>
      <c r="F2051" s="70">
        <v>99.52</v>
      </c>
      <c r="G2051" s="320"/>
      <c r="H2051" s="79">
        <v>88.36</v>
      </c>
      <c r="I2051" s="79">
        <v>11.16</v>
      </c>
      <c r="J2051" s="79">
        <v>99.52</v>
      </c>
      <c r="K2051" s="79">
        <v>0</v>
      </c>
      <c r="L2051" s="70">
        <v>99.52</v>
      </c>
      <c r="M2051" s="132"/>
      <c r="N2051" s="79">
        <v>88.36</v>
      </c>
      <c r="O2051" s="79">
        <v>11.16</v>
      </c>
      <c r="P2051" s="79">
        <v>99.52</v>
      </c>
      <c r="Q2051" s="136"/>
      <c r="R2051" s="79">
        <v>88.36</v>
      </c>
      <c r="S2051" s="79">
        <v>11.16</v>
      </c>
      <c r="T2051" s="79">
        <v>99.52</v>
      </c>
      <c r="U2051" s="79">
        <v>0</v>
      </c>
      <c r="V2051" s="189">
        <v>99.52</v>
      </c>
      <c r="X2051" s="79">
        <v>88.36</v>
      </c>
      <c r="Y2051" s="79">
        <v>11.16</v>
      </c>
      <c r="Z2051" s="79">
        <v>99.52</v>
      </c>
      <c r="AA2051" s="255">
        <v>0</v>
      </c>
      <c r="AC2051" s="254"/>
    </row>
    <row r="2052" spans="1:31" ht="12">
      <c r="A2052" s="67" t="s">
        <v>14462</v>
      </c>
      <c r="B2052" s="65" t="s">
        <v>14463</v>
      </c>
      <c r="C2052" s="71" t="s">
        <v>103</v>
      </c>
      <c r="D2052" s="78">
        <v>1</v>
      </c>
      <c r="E2052" s="79">
        <v>955.85</v>
      </c>
      <c r="F2052" s="70">
        <v>955.85</v>
      </c>
      <c r="G2052" s="320"/>
      <c r="H2052" s="79">
        <v>911.19</v>
      </c>
      <c r="I2052" s="79">
        <v>44.66</v>
      </c>
      <c r="J2052" s="79">
        <v>955.85</v>
      </c>
      <c r="K2052" s="79">
        <v>0</v>
      </c>
      <c r="L2052" s="70">
        <v>955.85</v>
      </c>
      <c r="M2052" s="132"/>
      <c r="N2052" s="79">
        <v>911.19</v>
      </c>
      <c r="O2052" s="79">
        <v>44.66</v>
      </c>
      <c r="P2052" s="79">
        <v>955.85</v>
      </c>
      <c r="Q2052" s="136"/>
      <c r="R2052" s="79">
        <v>911.19</v>
      </c>
      <c r="S2052" s="79">
        <v>44.67</v>
      </c>
      <c r="T2052" s="79">
        <v>955.86</v>
      </c>
      <c r="U2052" s="79">
        <v>0</v>
      </c>
      <c r="V2052" s="189">
        <v>955.86</v>
      </c>
      <c r="X2052" s="79">
        <v>911.19</v>
      </c>
      <c r="Y2052" s="79">
        <v>44.67</v>
      </c>
      <c r="Z2052" s="79">
        <v>955.86</v>
      </c>
      <c r="AA2052" s="255">
        <v>-9.9999999999909051E-3</v>
      </c>
      <c r="AC2052" s="254"/>
    </row>
    <row r="2053" spans="1:31" ht="12">
      <c r="A2053" s="489" t="s">
        <v>14464</v>
      </c>
      <c r="B2053" s="490" t="s">
        <v>14465</v>
      </c>
      <c r="C2053" s="491"/>
      <c r="D2053" s="492"/>
      <c r="E2053" s="79"/>
      <c r="F2053" s="63"/>
      <c r="G2053" s="320"/>
      <c r="H2053" s="79"/>
      <c r="I2053" s="79"/>
      <c r="J2053" s="79"/>
      <c r="K2053" s="79"/>
      <c r="L2053" s="70"/>
      <c r="M2053" s="132"/>
      <c r="N2053" s="79"/>
      <c r="O2053" s="79"/>
      <c r="P2053" s="79"/>
      <c r="Q2053" s="136"/>
      <c r="R2053" s="79"/>
      <c r="S2053" s="79"/>
      <c r="T2053" s="79"/>
      <c r="U2053" s="79"/>
      <c r="V2053" s="189"/>
      <c r="X2053" s="79"/>
      <c r="Y2053" s="79"/>
      <c r="Z2053" s="79"/>
      <c r="AA2053" s="255"/>
      <c r="AC2053" s="254"/>
    </row>
    <row r="2054" spans="1:31" ht="12">
      <c r="A2054" s="67" t="s">
        <v>14466</v>
      </c>
      <c r="B2054" s="65" t="s">
        <v>14467</v>
      </c>
      <c r="C2054" s="71" t="s">
        <v>103</v>
      </c>
      <c r="D2054" s="78">
        <v>1</v>
      </c>
      <c r="E2054" s="79">
        <v>2953.47</v>
      </c>
      <c r="F2054" s="70">
        <v>2953.47</v>
      </c>
      <c r="G2054" s="320"/>
      <c r="H2054" s="79">
        <v>2681.74</v>
      </c>
      <c r="I2054" s="79">
        <v>271.73</v>
      </c>
      <c r="J2054" s="79">
        <v>2953.47</v>
      </c>
      <c r="K2054" s="79">
        <v>0</v>
      </c>
      <c r="L2054" s="70">
        <v>2953.47</v>
      </c>
      <c r="M2054" s="132"/>
      <c r="N2054" s="79">
        <v>2681.74</v>
      </c>
      <c r="O2054" s="79">
        <v>271.73</v>
      </c>
      <c r="P2054" s="79">
        <v>2953.47</v>
      </c>
      <c r="Q2054" s="136"/>
      <c r="R2054" s="79">
        <v>2681.74</v>
      </c>
      <c r="S2054" s="79">
        <v>271.75</v>
      </c>
      <c r="T2054" s="79">
        <v>2953.49</v>
      </c>
      <c r="U2054" s="79">
        <v>0</v>
      </c>
      <c r="V2054" s="189">
        <v>2953.49</v>
      </c>
      <c r="X2054" s="79">
        <v>2681.74</v>
      </c>
      <c r="Y2054" s="79">
        <v>271.75</v>
      </c>
      <c r="Z2054" s="79">
        <v>2953.49</v>
      </c>
      <c r="AA2054" s="255">
        <v>-1.999999999998181E-2</v>
      </c>
      <c r="AC2054" s="254"/>
    </row>
    <row r="2055" spans="1:31" ht="12">
      <c r="A2055" s="67" t="s">
        <v>14468</v>
      </c>
      <c r="B2055" s="65" t="s">
        <v>14469</v>
      </c>
      <c r="C2055" s="71" t="s">
        <v>103</v>
      </c>
      <c r="D2055" s="78">
        <v>1</v>
      </c>
      <c r="E2055" s="79">
        <v>2592.35</v>
      </c>
      <c r="F2055" s="70">
        <v>2592.35</v>
      </c>
      <c r="G2055" s="320"/>
      <c r="H2055" s="79">
        <v>2320.62</v>
      </c>
      <c r="I2055" s="79">
        <v>271.73</v>
      </c>
      <c r="J2055" s="79">
        <v>2592.35</v>
      </c>
      <c r="K2055" s="79">
        <v>0</v>
      </c>
      <c r="L2055" s="70">
        <v>2592.35</v>
      </c>
      <c r="M2055" s="132"/>
      <c r="N2055" s="79">
        <v>2320.62</v>
      </c>
      <c r="O2055" s="79">
        <v>271.73</v>
      </c>
      <c r="P2055" s="79">
        <v>2592.35</v>
      </c>
      <c r="Q2055" s="136"/>
      <c r="R2055" s="79">
        <v>2320.62</v>
      </c>
      <c r="S2055" s="79">
        <v>271.75</v>
      </c>
      <c r="T2055" s="79">
        <v>2592.37</v>
      </c>
      <c r="U2055" s="79">
        <v>0</v>
      </c>
      <c r="V2055" s="189">
        <v>2592.37</v>
      </c>
      <c r="X2055" s="79">
        <v>2320.62</v>
      </c>
      <c r="Y2055" s="79">
        <v>271.75</v>
      </c>
      <c r="Z2055" s="79">
        <v>2592.37</v>
      </c>
      <c r="AA2055" s="255">
        <v>-1.999999999998181E-2</v>
      </c>
      <c r="AC2055" s="254"/>
    </row>
    <row r="2056" spans="1:31" ht="12">
      <c r="A2056" s="67" t="s">
        <v>14470</v>
      </c>
      <c r="B2056" s="65" t="s">
        <v>14471</v>
      </c>
      <c r="C2056" s="71" t="s">
        <v>103</v>
      </c>
      <c r="D2056" s="78">
        <v>1</v>
      </c>
      <c r="E2056" s="79">
        <v>615.05000000000007</v>
      </c>
      <c r="F2056" s="70">
        <v>615.04999999999995</v>
      </c>
      <c r="G2056" s="320"/>
      <c r="H2056" s="79">
        <v>514.83000000000004</v>
      </c>
      <c r="I2056" s="79">
        <v>100.22</v>
      </c>
      <c r="J2056" s="79">
        <v>615.05000000000007</v>
      </c>
      <c r="K2056" s="79">
        <v>0</v>
      </c>
      <c r="L2056" s="70">
        <v>615.05000000000007</v>
      </c>
      <c r="M2056" s="132"/>
      <c r="N2056" s="79">
        <v>514.83000000000004</v>
      </c>
      <c r="O2056" s="79">
        <v>100.22</v>
      </c>
      <c r="P2056" s="79">
        <v>615.05000000000007</v>
      </c>
      <c r="Q2056" s="136"/>
      <c r="R2056" s="79">
        <v>514.83000000000004</v>
      </c>
      <c r="S2056" s="79">
        <v>100.22</v>
      </c>
      <c r="T2056" s="79">
        <v>615.05000000000007</v>
      </c>
      <c r="U2056" s="79">
        <v>0</v>
      </c>
      <c r="V2056" s="189">
        <v>615.05000000000007</v>
      </c>
      <c r="X2056" s="79">
        <v>514.83000000000004</v>
      </c>
      <c r="Y2056" s="79">
        <v>100.22</v>
      </c>
      <c r="Z2056" s="79">
        <v>615.04999999999995</v>
      </c>
      <c r="AA2056" s="255">
        <v>0</v>
      </c>
      <c r="AC2056" s="254"/>
    </row>
    <row r="2057" spans="1:31" ht="12">
      <c r="A2057" s="67" t="s">
        <v>14472</v>
      </c>
      <c r="B2057" s="65" t="s">
        <v>14473</v>
      </c>
      <c r="C2057" s="71" t="s">
        <v>103</v>
      </c>
      <c r="D2057" s="78">
        <v>1</v>
      </c>
      <c r="E2057" s="79">
        <v>689.4</v>
      </c>
      <c r="F2057" s="70">
        <v>689.4</v>
      </c>
      <c r="G2057" s="320"/>
      <c r="H2057" s="79">
        <v>589.17999999999995</v>
      </c>
      <c r="I2057" s="79">
        <v>100.22</v>
      </c>
      <c r="J2057" s="79">
        <v>689.4</v>
      </c>
      <c r="K2057" s="79">
        <v>0</v>
      </c>
      <c r="L2057" s="70">
        <v>689.4</v>
      </c>
      <c r="M2057" s="132"/>
      <c r="N2057" s="79">
        <v>589.17999999999995</v>
      </c>
      <c r="O2057" s="79">
        <v>100.22</v>
      </c>
      <c r="P2057" s="79">
        <v>689.4</v>
      </c>
      <c r="Q2057" s="136"/>
      <c r="R2057" s="79">
        <v>589.17999999999995</v>
      </c>
      <c r="S2057" s="79">
        <v>100.22</v>
      </c>
      <c r="T2057" s="79">
        <v>689.4</v>
      </c>
      <c r="U2057" s="79">
        <v>0</v>
      </c>
      <c r="V2057" s="189">
        <v>689.4</v>
      </c>
      <c r="X2057" s="79">
        <v>589.17999999999995</v>
      </c>
      <c r="Y2057" s="79">
        <v>100.22</v>
      </c>
      <c r="Z2057" s="79">
        <v>689.4</v>
      </c>
      <c r="AA2057" s="255">
        <v>0</v>
      </c>
      <c r="AC2057" s="254"/>
    </row>
    <row r="2058" spans="1:31" ht="12">
      <c r="A2058" s="67" t="s">
        <v>14474</v>
      </c>
      <c r="B2058" s="65" t="s">
        <v>14475</v>
      </c>
      <c r="C2058" s="71" t="s">
        <v>103</v>
      </c>
      <c r="D2058" s="78">
        <v>1</v>
      </c>
      <c r="E2058" s="79">
        <v>645.96</v>
      </c>
      <c r="F2058" s="70">
        <v>645.96</v>
      </c>
      <c r="G2058" s="320"/>
      <c r="H2058" s="79">
        <v>545.74</v>
      </c>
      <c r="I2058" s="79">
        <v>100.22</v>
      </c>
      <c r="J2058" s="79">
        <v>645.96</v>
      </c>
      <c r="K2058" s="79">
        <v>0</v>
      </c>
      <c r="L2058" s="70">
        <v>645.96</v>
      </c>
      <c r="M2058" s="132"/>
      <c r="N2058" s="79">
        <v>545.74</v>
      </c>
      <c r="O2058" s="79">
        <v>100.22</v>
      </c>
      <c r="P2058" s="79">
        <v>645.96</v>
      </c>
      <c r="Q2058" s="136"/>
      <c r="R2058" s="79">
        <v>545.74</v>
      </c>
      <c r="S2058" s="79">
        <v>100.22</v>
      </c>
      <c r="T2058" s="79">
        <v>645.96</v>
      </c>
      <c r="U2058" s="79">
        <v>0</v>
      </c>
      <c r="V2058" s="189">
        <v>645.96</v>
      </c>
      <c r="X2058" s="79">
        <v>545.74</v>
      </c>
      <c r="Y2058" s="79">
        <v>100.22</v>
      </c>
      <c r="Z2058" s="79">
        <v>645.96</v>
      </c>
      <c r="AA2058" s="255">
        <v>0</v>
      </c>
      <c r="AC2058" s="254"/>
    </row>
    <row r="2059" spans="1:31" ht="12">
      <c r="A2059" s="67" t="s">
        <v>14476</v>
      </c>
      <c r="B2059" s="65" t="s">
        <v>14477</v>
      </c>
      <c r="C2059" s="71" t="s">
        <v>103</v>
      </c>
      <c r="D2059" s="78">
        <v>1</v>
      </c>
      <c r="E2059" s="79">
        <v>2227.71</v>
      </c>
      <c r="F2059" s="70">
        <v>2227.71</v>
      </c>
      <c r="G2059" s="320"/>
      <c r="H2059" s="79">
        <v>1955.98</v>
      </c>
      <c r="I2059" s="79">
        <v>271.73</v>
      </c>
      <c r="J2059" s="79">
        <v>2227.71</v>
      </c>
      <c r="K2059" s="79">
        <v>0</v>
      </c>
      <c r="L2059" s="70">
        <v>2227.71</v>
      </c>
      <c r="M2059" s="132"/>
      <c r="N2059" s="79">
        <v>1955.98</v>
      </c>
      <c r="O2059" s="79">
        <v>271.73</v>
      </c>
      <c r="P2059" s="79">
        <v>2227.71</v>
      </c>
      <c r="Q2059" s="136"/>
      <c r="R2059" s="79">
        <v>1955.98</v>
      </c>
      <c r="S2059" s="79">
        <v>271.75</v>
      </c>
      <c r="T2059" s="79">
        <v>2227.73</v>
      </c>
      <c r="U2059" s="79">
        <v>0</v>
      </c>
      <c r="V2059" s="189">
        <v>2227.73</v>
      </c>
      <c r="X2059" s="79">
        <v>1955.98</v>
      </c>
      <c r="Y2059" s="79">
        <v>271.75</v>
      </c>
      <c r="Z2059" s="79">
        <v>2227.73</v>
      </c>
      <c r="AA2059" s="255">
        <v>-1.999999999998181E-2</v>
      </c>
      <c r="AC2059" s="254"/>
    </row>
    <row r="2060" spans="1:31" ht="12">
      <c r="A2060" s="67" t="s">
        <v>14478</v>
      </c>
      <c r="B2060" s="65" t="s">
        <v>14479</v>
      </c>
      <c r="C2060" s="71" t="s">
        <v>103</v>
      </c>
      <c r="D2060" s="78">
        <v>1</v>
      </c>
      <c r="E2060" s="79">
        <v>2707.67</v>
      </c>
      <c r="F2060" s="70">
        <v>2707.67</v>
      </c>
      <c r="G2060" s="320"/>
      <c r="H2060" s="79">
        <v>2435.94</v>
      </c>
      <c r="I2060" s="79">
        <v>271.73</v>
      </c>
      <c r="J2060" s="79">
        <v>2707.67</v>
      </c>
      <c r="K2060" s="79">
        <v>0</v>
      </c>
      <c r="L2060" s="70">
        <v>2707.67</v>
      </c>
      <c r="M2060" s="132"/>
      <c r="N2060" s="79">
        <v>2435.94</v>
      </c>
      <c r="O2060" s="79">
        <v>271.73</v>
      </c>
      <c r="P2060" s="79">
        <v>2707.67</v>
      </c>
      <c r="Q2060" s="136"/>
      <c r="R2060" s="79">
        <v>2435.94</v>
      </c>
      <c r="S2060" s="79">
        <v>271.75</v>
      </c>
      <c r="T2060" s="79">
        <v>2707.69</v>
      </c>
      <c r="U2060" s="79">
        <v>0</v>
      </c>
      <c r="V2060" s="189">
        <v>2707.69</v>
      </c>
      <c r="X2060" s="79">
        <v>2435.94</v>
      </c>
      <c r="Y2060" s="79">
        <v>271.75</v>
      </c>
      <c r="Z2060" s="79">
        <v>2707.69</v>
      </c>
      <c r="AA2060" s="255">
        <v>-1.999999999998181E-2</v>
      </c>
      <c r="AC2060" s="254"/>
    </row>
    <row r="2061" spans="1:31" ht="12">
      <c r="A2061" s="489" t="s">
        <v>14480</v>
      </c>
      <c r="B2061" s="490" t="s">
        <v>14481</v>
      </c>
      <c r="C2061" s="491"/>
      <c r="D2061" s="78"/>
      <c r="E2061" s="79"/>
      <c r="F2061" s="70"/>
      <c r="G2061" s="320"/>
      <c r="H2061" s="79"/>
      <c r="I2061" s="79"/>
      <c r="J2061" s="79"/>
      <c r="K2061" s="79"/>
      <c r="L2061" s="70"/>
      <c r="M2061" s="132"/>
      <c r="N2061" s="79"/>
      <c r="O2061" s="79"/>
      <c r="P2061" s="79"/>
      <c r="Q2061" s="136"/>
      <c r="R2061" s="79"/>
      <c r="S2061" s="79"/>
      <c r="T2061" s="79"/>
      <c r="U2061" s="79"/>
      <c r="V2061" s="189"/>
      <c r="X2061" s="79"/>
      <c r="Y2061" s="79"/>
      <c r="Z2061" s="79"/>
      <c r="AA2061" s="255"/>
      <c r="AC2061" s="254"/>
    </row>
    <row r="2062" spans="1:31" ht="12">
      <c r="A2062" s="67" t="s">
        <v>14482</v>
      </c>
      <c r="B2062" s="65" t="s">
        <v>14483</v>
      </c>
      <c r="C2062" s="71" t="s">
        <v>5087</v>
      </c>
      <c r="D2062" s="78">
        <v>1</v>
      </c>
      <c r="E2062" s="79">
        <v>604.44999999999993</v>
      </c>
      <c r="F2062" s="70">
        <v>604.45000000000005</v>
      </c>
      <c r="G2062" s="320"/>
      <c r="H2062" s="79">
        <v>603.77</v>
      </c>
      <c r="I2062" s="79">
        <v>0.68</v>
      </c>
      <c r="J2062" s="79">
        <v>604.44999999999993</v>
      </c>
      <c r="K2062" s="509">
        <v>0</v>
      </c>
      <c r="L2062" s="70">
        <v>604.44999999999993</v>
      </c>
      <c r="M2062" s="132"/>
      <c r="N2062" s="79">
        <v>603.77</v>
      </c>
      <c r="O2062" s="79">
        <v>0.68</v>
      </c>
      <c r="P2062" s="79">
        <v>604.44999999999993</v>
      </c>
      <c r="Q2062" s="136"/>
      <c r="R2062" s="79">
        <v>603.77</v>
      </c>
      <c r="S2062" s="79">
        <v>0.69</v>
      </c>
      <c r="T2062" s="79">
        <v>604.46</v>
      </c>
      <c r="U2062" s="79">
        <v>0</v>
      </c>
      <c r="V2062" s="189">
        <v>604.46</v>
      </c>
      <c r="X2062" s="79">
        <v>603.77</v>
      </c>
      <c r="Y2062" s="79">
        <v>0.69</v>
      </c>
      <c r="Z2062" s="79">
        <v>604.46</v>
      </c>
      <c r="AA2062" s="255">
        <v>-9.9999999999909051E-3</v>
      </c>
      <c r="AC2062" s="254"/>
      <c r="AD2062" s="61"/>
      <c r="AE2062" s="61"/>
    </row>
    <row r="2063" spans="1:31" ht="12">
      <c r="A2063" s="67" t="s">
        <v>14484</v>
      </c>
      <c r="B2063" s="65" t="s">
        <v>14485</v>
      </c>
      <c r="C2063" s="71" t="s">
        <v>5087</v>
      </c>
      <c r="D2063" s="78">
        <v>1</v>
      </c>
      <c r="E2063" s="79">
        <v>189.13</v>
      </c>
      <c r="F2063" s="70">
        <v>189.13</v>
      </c>
      <c r="G2063" s="320"/>
      <c r="H2063" s="79">
        <v>188.45</v>
      </c>
      <c r="I2063" s="79">
        <v>0.68</v>
      </c>
      <c r="J2063" s="79">
        <v>189.13</v>
      </c>
      <c r="K2063" s="509">
        <v>0</v>
      </c>
      <c r="L2063" s="70">
        <v>189.13</v>
      </c>
      <c r="M2063" s="132"/>
      <c r="N2063" s="79">
        <v>188.45</v>
      </c>
      <c r="O2063" s="79">
        <v>0.68</v>
      </c>
      <c r="P2063" s="79">
        <v>189.13</v>
      </c>
      <c r="Q2063" s="136"/>
      <c r="R2063" s="79">
        <v>188.45</v>
      </c>
      <c r="S2063" s="79">
        <v>0.69</v>
      </c>
      <c r="T2063" s="79">
        <v>189.14</v>
      </c>
      <c r="U2063" s="79">
        <v>0</v>
      </c>
      <c r="V2063" s="189">
        <v>189.14</v>
      </c>
      <c r="X2063" s="79">
        <v>188.45</v>
      </c>
      <c r="Y2063" s="79">
        <v>0.69</v>
      </c>
      <c r="Z2063" s="79">
        <v>189.14</v>
      </c>
      <c r="AA2063" s="255">
        <v>-9.9999999999909051E-3</v>
      </c>
      <c r="AC2063" s="254"/>
      <c r="AD2063" s="61"/>
      <c r="AE2063" s="61"/>
    </row>
    <row r="2064" spans="1:31" ht="12">
      <c r="A2064" s="489" t="s">
        <v>14486</v>
      </c>
      <c r="B2064" s="490" t="s">
        <v>14487</v>
      </c>
      <c r="C2064" s="491"/>
      <c r="D2064" s="492"/>
      <c r="E2064" s="79"/>
      <c r="F2064" s="63"/>
      <c r="G2064" s="320"/>
      <c r="H2064" s="79"/>
      <c r="I2064" s="79"/>
      <c r="J2064" s="79"/>
      <c r="K2064" s="79"/>
      <c r="L2064" s="70"/>
      <c r="M2064" s="132"/>
      <c r="N2064" s="79"/>
      <c r="O2064" s="79"/>
      <c r="P2064" s="79"/>
      <c r="Q2064" s="136"/>
      <c r="R2064" s="79"/>
      <c r="S2064" s="79"/>
      <c r="T2064" s="79"/>
      <c r="U2064" s="79"/>
      <c r="V2064" s="189"/>
      <c r="X2064" s="79"/>
      <c r="Y2064" s="79"/>
      <c r="Z2064" s="79"/>
      <c r="AA2064" s="255"/>
      <c r="AC2064" s="254"/>
    </row>
    <row r="2065" spans="1:31" s="61" customFormat="1" ht="12">
      <c r="A2065" s="67" t="s">
        <v>14488</v>
      </c>
      <c r="B2065" s="65" t="s">
        <v>14489</v>
      </c>
      <c r="C2065" s="71" t="s">
        <v>103</v>
      </c>
      <c r="D2065" s="78">
        <v>1</v>
      </c>
      <c r="E2065" s="79">
        <v>152.46</v>
      </c>
      <c r="F2065" s="70">
        <v>152.46</v>
      </c>
      <c r="G2065" s="320"/>
      <c r="H2065" s="79">
        <v>138.49</v>
      </c>
      <c r="I2065" s="79">
        <v>13.969999999999999</v>
      </c>
      <c r="J2065" s="79">
        <v>152.46</v>
      </c>
      <c r="K2065" s="79">
        <v>0</v>
      </c>
      <c r="L2065" s="70">
        <v>152.46</v>
      </c>
      <c r="M2065" s="132"/>
      <c r="N2065" s="79">
        <v>138.49</v>
      </c>
      <c r="O2065" s="79">
        <v>13.969999999999999</v>
      </c>
      <c r="P2065" s="79">
        <v>152.46</v>
      </c>
      <c r="Q2065" s="136"/>
      <c r="R2065" s="79">
        <v>138.49</v>
      </c>
      <c r="S2065" s="79">
        <v>13.96</v>
      </c>
      <c r="T2065" s="79">
        <v>152.45000000000002</v>
      </c>
      <c r="U2065" s="79">
        <v>0</v>
      </c>
      <c r="V2065" s="189">
        <v>152.45000000000002</v>
      </c>
      <c r="X2065" s="79">
        <v>138.49</v>
      </c>
      <c r="Y2065" s="79">
        <v>13.96</v>
      </c>
      <c r="Z2065" s="79">
        <v>152.44999999999999</v>
      </c>
      <c r="AA2065" s="255">
        <v>1.0000000000019327E-2</v>
      </c>
      <c r="AC2065" s="254"/>
      <c r="AD2065" s="236"/>
      <c r="AE2065" s="236"/>
    </row>
    <row r="2066" spans="1:31" ht="12">
      <c r="A2066" s="67" t="s">
        <v>14490</v>
      </c>
      <c r="B2066" s="65" t="s">
        <v>14491</v>
      </c>
      <c r="C2066" s="71" t="s">
        <v>103</v>
      </c>
      <c r="D2066" s="78">
        <v>1</v>
      </c>
      <c r="E2066" s="79">
        <v>239.07</v>
      </c>
      <c r="F2066" s="70">
        <v>239.07</v>
      </c>
      <c r="G2066" s="320"/>
      <c r="H2066" s="79">
        <v>225.1</v>
      </c>
      <c r="I2066" s="79">
        <v>13.969999999999999</v>
      </c>
      <c r="J2066" s="79">
        <v>239.07</v>
      </c>
      <c r="K2066" s="79">
        <v>0</v>
      </c>
      <c r="L2066" s="70">
        <v>239.07</v>
      </c>
      <c r="M2066" s="132"/>
      <c r="N2066" s="79">
        <v>225.1</v>
      </c>
      <c r="O2066" s="79">
        <v>13.969999999999999</v>
      </c>
      <c r="P2066" s="79">
        <v>239.07</v>
      </c>
      <c r="Q2066" s="136"/>
      <c r="R2066" s="79">
        <v>225.1</v>
      </c>
      <c r="S2066" s="79">
        <v>13.96</v>
      </c>
      <c r="T2066" s="79">
        <v>239.06</v>
      </c>
      <c r="U2066" s="79">
        <v>0</v>
      </c>
      <c r="V2066" s="189">
        <v>239.06</v>
      </c>
      <c r="X2066" s="79">
        <v>225.1</v>
      </c>
      <c r="Y2066" s="79">
        <v>13.96</v>
      </c>
      <c r="Z2066" s="79">
        <v>239.06</v>
      </c>
      <c r="AA2066" s="255">
        <v>9.9999999999909051E-3</v>
      </c>
      <c r="AC2066" s="254"/>
      <c r="AD2066" s="61"/>
      <c r="AE2066" s="61"/>
    </row>
    <row r="2067" spans="1:31" ht="12">
      <c r="A2067" s="67" t="s">
        <v>14492</v>
      </c>
      <c r="B2067" s="65" t="s">
        <v>14493</v>
      </c>
      <c r="C2067" s="71" t="s">
        <v>103</v>
      </c>
      <c r="D2067" s="78">
        <v>1</v>
      </c>
      <c r="E2067" s="79">
        <v>293.47000000000003</v>
      </c>
      <c r="F2067" s="70">
        <v>293.47000000000003</v>
      </c>
      <c r="G2067" s="320"/>
      <c r="H2067" s="79">
        <v>279.5</v>
      </c>
      <c r="I2067" s="79">
        <v>13.969999999999999</v>
      </c>
      <c r="J2067" s="79">
        <v>293.47000000000003</v>
      </c>
      <c r="K2067" s="79">
        <v>0</v>
      </c>
      <c r="L2067" s="70">
        <v>293.47000000000003</v>
      </c>
      <c r="M2067" s="132"/>
      <c r="N2067" s="79">
        <v>279.5</v>
      </c>
      <c r="O2067" s="79">
        <v>13.969999999999999</v>
      </c>
      <c r="P2067" s="79">
        <v>293.47000000000003</v>
      </c>
      <c r="Q2067" s="136"/>
      <c r="R2067" s="79">
        <v>279.5</v>
      </c>
      <c r="S2067" s="79">
        <v>13.96</v>
      </c>
      <c r="T2067" s="79">
        <v>293.45999999999998</v>
      </c>
      <c r="U2067" s="79">
        <v>0</v>
      </c>
      <c r="V2067" s="189">
        <v>293.45999999999998</v>
      </c>
      <c r="X2067" s="79">
        <v>279.5</v>
      </c>
      <c r="Y2067" s="79">
        <v>13.96</v>
      </c>
      <c r="Z2067" s="79">
        <v>293.45999999999998</v>
      </c>
      <c r="AA2067" s="255">
        <v>1.0000000000047748E-2</v>
      </c>
      <c r="AC2067" s="254"/>
    </row>
    <row r="2068" spans="1:31" s="61" customFormat="1" ht="12">
      <c r="A2068" s="67" t="s">
        <v>14494</v>
      </c>
      <c r="B2068" s="65" t="s">
        <v>14495</v>
      </c>
      <c r="C2068" s="71" t="s">
        <v>103</v>
      </c>
      <c r="D2068" s="78">
        <v>1</v>
      </c>
      <c r="E2068" s="79">
        <v>297.15999999999997</v>
      </c>
      <c r="F2068" s="70">
        <v>297.16000000000003</v>
      </c>
      <c r="G2068" s="320"/>
      <c r="H2068" s="79">
        <v>283.19</v>
      </c>
      <c r="I2068" s="79">
        <v>13.969999999999999</v>
      </c>
      <c r="J2068" s="79">
        <v>297.15999999999997</v>
      </c>
      <c r="K2068" s="79">
        <v>0</v>
      </c>
      <c r="L2068" s="70">
        <v>297.15999999999997</v>
      </c>
      <c r="M2068" s="132"/>
      <c r="N2068" s="79">
        <v>283.19</v>
      </c>
      <c r="O2068" s="79">
        <v>13.969999999999999</v>
      </c>
      <c r="P2068" s="79">
        <v>297.15999999999997</v>
      </c>
      <c r="Q2068" s="136"/>
      <c r="R2068" s="79">
        <v>283.19</v>
      </c>
      <c r="S2068" s="79">
        <v>13.96</v>
      </c>
      <c r="T2068" s="79">
        <v>297.14999999999998</v>
      </c>
      <c r="U2068" s="79">
        <v>0</v>
      </c>
      <c r="V2068" s="189">
        <v>297.14999999999998</v>
      </c>
      <c r="X2068" s="79">
        <v>283.19</v>
      </c>
      <c r="Y2068" s="79">
        <v>13.96</v>
      </c>
      <c r="Z2068" s="79">
        <v>297.14999999999998</v>
      </c>
      <c r="AA2068" s="255">
        <v>1.0000000000047748E-2</v>
      </c>
      <c r="AC2068" s="254"/>
      <c r="AD2068" s="236"/>
      <c r="AE2068" s="236"/>
    </row>
    <row r="2069" spans="1:31" ht="12">
      <c r="A2069" s="67" t="s">
        <v>14496</v>
      </c>
      <c r="B2069" s="65" t="s">
        <v>14497</v>
      </c>
      <c r="C2069" s="71" t="s">
        <v>103</v>
      </c>
      <c r="D2069" s="78">
        <v>1</v>
      </c>
      <c r="E2069" s="79">
        <v>386.5</v>
      </c>
      <c r="F2069" s="70">
        <v>386.5</v>
      </c>
      <c r="G2069" s="320"/>
      <c r="H2069" s="79">
        <v>372.53</v>
      </c>
      <c r="I2069" s="79">
        <v>13.969999999999999</v>
      </c>
      <c r="J2069" s="79">
        <v>386.5</v>
      </c>
      <c r="K2069" s="79">
        <v>0</v>
      </c>
      <c r="L2069" s="70">
        <v>386.5</v>
      </c>
      <c r="M2069" s="132"/>
      <c r="N2069" s="79">
        <v>372.53</v>
      </c>
      <c r="O2069" s="79">
        <v>13.969999999999999</v>
      </c>
      <c r="P2069" s="79">
        <v>386.5</v>
      </c>
      <c r="Q2069" s="136"/>
      <c r="R2069" s="79">
        <v>372.53</v>
      </c>
      <c r="S2069" s="79">
        <v>13.96</v>
      </c>
      <c r="T2069" s="79">
        <v>386.48999999999995</v>
      </c>
      <c r="U2069" s="79">
        <v>0</v>
      </c>
      <c r="V2069" s="189">
        <v>386.48999999999995</v>
      </c>
      <c r="X2069" s="79">
        <v>372.53</v>
      </c>
      <c r="Y2069" s="79">
        <v>13.96</v>
      </c>
      <c r="Z2069" s="79">
        <v>386.49</v>
      </c>
      <c r="AA2069" s="255">
        <v>9.9999999999909051E-3</v>
      </c>
      <c r="AC2069" s="254"/>
    </row>
    <row r="2070" spans="1:31" ht="12">
      <c r="A2070" s="67" t="s">
        <v>14498</v>
      </c>
      <c r="B2070" s="65" t="s">
        <v>14499</v>
      </c>
      <c r="C2070" s="71" t="s">
        <v>103</v>
      </c>
      <c r="D2070" s="78">
        <v>1</v>
      </c>
      <c r="E2070" s="79">
        <v>492.40999999999997</v>
      </c>
      <c r="F2070" s="70">
        <v>492.41</v>
      </c>
      <c r="G2070" s="320"/>
      <c r="H2070" s="79">
        <v>478.44</v>
      </c>
      <c r="I2070" s="79">
        <v>13.969999999999999</v>
      </c>
      <c r="J2070" s="79">
        <v>492.40999999999997</v>
      </c>
      <c r="K2070" s="79">
        <v>0</v>
      </c>
      <c r="L2070" s="70">
        <v>492.40999999999997</v>
      </c>
      <c r="M2070" s="132"/>
      <c r="N2070" s="79">
        <v>478.44</v>
      </c>
      <c r="O2070" s="79">
        <v>13.969999999999999</v>
      </c>
      <c r="P2070" s="79">
        <v>492.40999999999997</v>
      </c>
      <c r="Q2070" s="136"/>
      <c r="R2070" s="79">
        <v>478.44</v>
      </c>
      <c r="S2070" s="79">
        <v>13.96</v>
      </c>
      <c r="T2070" s="79">
        <v>492.4</v>
      </c>
      <c r="U2070" s="79">
        <v>0</v>
      </c>
      <c r="V2070" s="189">
        <v>492.4</v>
      </c>
      <c r="X2070" s="79">
        <v>478.44</v>
      </c>
      <c r="Y2070" s="79">
        <v>13.96</v>
      </c>
      <c r="Z2070" s="79">
        <v>492.4</v>
      </c>
      <c r="AA2070" s="255">
        <v>1.0000000000047748E-2</v>
      </c>
      <c r="AC2070" s="254"/>
      <c r="AD2070" s="69"/>
      <c r="AE2070" s="69"/>
    </row>
    <row r="2071" spans="1:31" ht="12">
      <c r="A2071" s="67" t="s">
        <v>14500</v>
      </c>
      <c r="B2071" s="65" t="s">
        <v>14501</v>
      </c>
      <c r="C2071" s="71" t="s">
        <v>103</v>
      </c>
      <c r="D2071" s="78">
        <v>1</v>
      </c>
      <c r="E2071" s="79">
        <v>347.38</v>
      </c>
      <c r="F2071" s="70">
        <v>347.38</v>
      </c>
      <c r="G2071" s="320"/>
      <c r="H2071" s="79">
        <v>333.41</v>
      </c>
      <c r="I2071" s="79">
        <v>13.969999999999999</v>
      </c>
      <c r="J2071" s="79">
        <v>347.38</v>
      </c>
      <c r="K2071" s="79">
        <v>0</v>
      </c>
      <c r="L2071" s="70">
        <v>347.38</v>
      </c>
      <c r="M2071" s="132"/>
      <c r="N2071" s="79">
        <v>333.41</v>
      </c>
      <c r="O2071" s="79">
        <v>13.969999999999999</v>
      </c>
      <c r="P2071" s="79">
        <v>347.38</v>
      </c>
      <c r="Q2071" s="136"/>
      <c r="R2071" s="79">
        <v>333.41</v>
      </c>
      <c r="S2071" s="79">
        <v>13.96</v>
      </c>
      <c r="T2071" s="79">
        <v>347.37</v>
      </c>
      <c r="U2071" s="79">
        <v>0</v>
      </c>
      <c r="V2071" s="189">
        <v>347.37</v>
      </c>
      <c r="X2071" s="79">
        <v>333.41</v>
      </c>
      <c r="Y2071" s="79">
        <v>13.96</v>
      </c>
      <c r="Z2071" s="79">
        <v>347.37</v>
      </c>
      <c r="AA2071" s="255">
        <v>9.9999999999909051E-3</v>
      </c>
      <c r="AC2071" s="254"/>
    </row>
    <row r="2072" spans="1:31" s="69" customFormat="1" ht="12">
      <c r="A2072" s="67" t="s">
        <v>14502</v>
      </c>
      <c r="B2072" s="65" t="s">
        <v>14503</v>
      </c>
      <c r="C2072" s="71" t="s">
        <v>103</v>
      </c>
      <c r="D2072" s="78">
        <v>1</v>
      </c>
      <c r="E2072" s="79">
        <v>1839.9</v>
      </c>
      <c r="F2072" s="70">
        <v>1839.9</v>
      </c>
      <c r="G2072" s="320"/>
      <c r="H2072" s="79">
        <v>1825.93</v>
      </c>
      <c r="I2072" s="79">
        <v>13.969999999999999</v>
      </c>
      <c r="J2072" s="79">
        <v>1839.9</v>
      </c>
      <c r="K2072" s="79">
        <v>0</v>
      </c>
      <c r="L2072" s="70">
        <v>1839.9</v>
      </c>
      <c r="M2072" s="132"/>
      <c r="N2072" s="79">
        <v>1825.93</v>
      </c>
      <c r="O2072" s="79">
        <v>13.969999999999999</v>
      </c>
      <c r="P2072" s="79">
        <v>1839.9</v>
      </c>
      <c r="Q2072" s="136"/>
      <c r="R2072" s="79">
        <v>1825.93</v>
      </c>
      <c r="S2072" s="79">
        <v>13.96</v>
      </c>
      <c r="T2072" s="79">
        <v>1839.89</v>
      </c>
      <c r="U2072" s="79">
        <v>0</v>
      </c>
      <c r="V2072" s="189">
        <v>1839.89</v>
      </c>
      <c r="W2072" s="61"/>
      <c r="X2072" s="79">
        <v>1825.93</v>
      </c>
      <c r="Y2072" s="79">
        <v>13.96</v>
      </c>
      <c r="Z2072" s="79">
        <v>1839.89</v>
      </c>
      <c r="AA2072" s="255">
        <v>9.9999999999909051E-3</v>
      </c>
      <c r="AB2072" s="61"/>
      <c r="AC2072" s="254"/>
      <c r="AD2072" s="236"/>
      <c r="AE2072" s="236"/>
    </row>
    <row r="2073" spans="1:31" ht="12">
      <c r="A2073" s="67" t="s">
        <v>14504</v>
      </c>
      <c r="B2073" s="65" t="s">
        <v>14505</v>
      </c>
      <c r="C2073" s="71" t="s">
        <v>103</v>
      </c>
      <c r="D2073" s="78">
        <v>1</v>
      </c>
      <c r="E2073" s="79">
        <v>210.34</v>
      </c>
      <c r="F2073" s="70">
        <v>210.34</v>
      </c>
      <c r="G2073" s="320"/>
      <c r="H2073" s="79">
        <v>196.37</v>
      </c>
      <c r="I2073" s="79">
        <v>13.969999999999999</v>
      </c>
      <c r="J2073" s="79">
        <v>210.34</v>
      </c>
      <c r="K2073" s="79">
        <v>0</v>
      </c>
      <c r="L2073" s="70">
        <v>210.34</v>
      </c>
      <c r="M2073" s="132"/>
      <c r="N2073" s="79">
        <v>196.37</v>
      </c>
      <c r="O2073" s="79">
        <v>13.969999999999999</v>
      </c>
      <c r="P2073" s="79">
        <v>210.34</v>
      </c>
      <c r="Q2073" s="136"/>
      <c r="R2073" s="79">
        <v>196.37</v>
      </c>
      <c r="S2073" s="79">
        <v>13.96</v>
      </c>
      <c r="T2073" s="79">
        <v>210.33</v>
      </c>
      <c r="U2073" s="79">
        <v>0</v>
      </c>
      <c r="V2073" s="189">
        <v>210.33</v>
      </c>
      <c r="X2073" s="79">
        <v>196.37</v>
      </c>
      <c r="Y2073" s="79">
        <v>13.96</v>
      </c>
      <c r="Z2073" s="79">
        <v>210.33</v>
      </c>
      <c r="AA2073" s="255">
        <v>9.9999999999909051E-3</v>
      </c>
      <c r="AC2073" s="254"/>
    </row>
    <row r="2074" spans="1:31" ht="12">
      <c r="A2074" s="489" t="s">
        <v>14506</v>
      </c>
      <c r="B2074" s="490" t="s">
        <v>14507</v>
      </c>
      <c r="C2074" s="491"/>
      <c r="D2074" s="492"/>
      <c r="E2074" s="79"/>
      <c r="F2074" s="63"/>
      <c r="G2074" s="320"/>
      <c r="H2074" s="79"/>
      <c r="I2074" s="79"/>
      <c r="J2074" s="79"/>
      <c r="K2074" s="79"/>
      <c r="L2074" s="70"/>
      <c r="M2074" s="132"/>
      <c r="N2074" s="79"/>
      <c r="O2074" s="79"/>
      <c r="P2074" s="79"/>
      <c r="Q2074" s="136"/>
      <c r="R2074" s="79"/>
      <c r="S2074" s="79"/>
      <c r="T2074" s="79"/>
      <c r="U2074" s="79"/>
      <c r="V2074" s="189"/>
      <c r="X2074" s="79"/>
      <c r="Y2074" s="79"/>
      <c r="Z2074" s="79"/>
      <c r="AA2074" s="255"/>
      <c r="AC2074" s="254"/>
    </row>
    <row r="2075" spans="1:31" ht="12">
      <c r="A2075" s="67" t="s">
        <v>14508</v>
      </c>
      <c r="B2075" s="65" t="s">
        <v>14509</v>
      </c>
      <c r="C2075" s="71" t="s">
        <v>103</v>
      </c>
      <c r="D2075" s="78">
        <v>1</v>
      </c>
      <c r="E2075" s="79">
        <v>3793.3900000000003</v>
      </c>
      <c r="F2075" s="70">
        <v>3793.39</v>
      </c>
      <c r="G2075" s="320"/>
      <c r="H2075" s="79">
        <v>3708.88</v>
      </c>
      <c r="I2075" s="79">
        <v>84.509999999999991</v>
      </c>
      <c r="J2075" s="79">
        <v>3793.3900000000003</v>
      </c>
      <c r="K2075" s="79">
        <v>0</v>
      </c>
      <c r="L2075" s="70">
        <v>3793.3900000000003</v>
      </c>
      <c r="M2075" s="132"/>
      <c r="N2075" s="79">
        <v>3708.88</v>
      </c>
      <c r="O2075" s="79">
        <v>84.509999999999991</v>
      </c>
      <c r="P2075" s="79">
        <v>3793.3900000000003</v>
      </c>
      <c r="Q2075" s="136"/>
      <c r="R2075" s="79">
        <v>3708.88</v>
      </c>
      <c r="S2075" s="79">
        <v>84.52</v>
      </c>
      <c r="T2075" s="79">
        <v>3793.4</v>
      </c>
      <c r="U2075" s="79">
        <v>0</v>
      </c>
      <c r="V2075" s="189">
        <v>3793.4</v>
      </c>
      <c r="X2075" s="79">
        <v>3708.88</v>
      </c>
      <c r="Y2075" s="79">
        <v>84.52</v>
      </c>
      <c r="Z2075" s="79">
        <v>3793.4</v>
      </c>
      <c r="AA2075" s="255">
        <v>-1.0000000000218279E-2</v>
      </c>
      <c r="AC2075" s="254"/>
      <c r="AD2075" s="69"/>
      <c r="AE2075" s="69"/>
    </row>
    <row r="2076" spans="1:31" ht="12">
      <c r="A2076" s="67" t="s">
        <v>14510</v>
      </c>
      <c r="B2076" s="65" t="s">
        <v>14511</v>
      </c>
      <c r="C2076" s="71" t="s">
        <v>103</v>
      </c>
      <c r="D2076" s="78">
        <v>1</v>
      </c>
      <c r="E2076" s="79">
        <v>5872.35</v>
      </c>
      <c r="F2076" s="70">
        <v>5872.35</v>
      </c>
      <c r="G2076" s="320"/>
      <c r="H2076" s="79">
        <v>5787.84</v>
      </c>
      <c r="I2076" s="79">
        <v>84.509999999999991</v>
      </c>
      <c r="J2076" s="79">
        <v>5872.35</v>
      </c>
      <c r="K2076" s="79">
        <v>0</v>
      </c>
      <c r="L2076" s="70">
        <v>5872.35</v>
      </c>
      <c r="M2076" s="132"/>
      <c r="N2076" s="79">
        <v>5787.84</v>
      </c>
      <c r="O2076" s="79">
        <v>84.509999999999991</v>
      </c>
      <c r="P2076" s="79">
        <v>5872.35</v>
      </c>
      <c r="Q2076" s="136"/>
      <c r="R2076" s="79">
        <v>5787.84</v>
      </c>
      <c r="S2076" s="79">
        <v>84.52</v>
      </c>
      <c r="T2076" s="79">
        <v>5872.3600000000006</v>
      </c>
      <c r="U2076" s="79">
        <v>0</v>
      </c>
      <c r="V2076" s="189">
        <v>5872.3600000000006</v>
      </c>
      <c r="X2076" s="79">
        <v>5787.84</v>
      </c>
      <c r="Y2076" s="79">
        <v>84.52</v>
      </c>
      <c r="Z2076" s="79">
        <v>5872.36</v>
      </c>
      <c r="AA2076" s="255">
        <v>-9.999999999308784E-3</v>
      </c>
      <c r="AC2076" s="254"/>
    </row>
    <row r="2077" spans="1:31" s="69" customFormat="1" ht="12">
      <c r="A2077" s="67" t="s">
        <v>14512</v>
      </c>
      <c r="B2077" s="65" t="s">
        <v>14513</v>
      </c>
      <c r="C2077" s="71" t="s">
        <v>103</v>
      </c>
      <c r="D2077" s="78">
        <v>1</v>
      </c>
      <c r="E2077" s="79">
        <v>3052.8900000000003</v>
      </c>
      <c r="F2077" s="70">
        <v>3052.89</v>
      </c>
      <c r="G2077" s="320"/>
      <c r="H2077" s="79">
        <v>2968.38</v>
      </c>
      <c r="I2077" s="79">
        <v>84.509999999999991</v>
      </c>
      <c r="J2077" s="79">
        <v>3052.8900000000003</v>
      </c>
      <c r="K2077" s="79">
        <v>0</v>
      </c>
      <c r="L2077" s="70">
        <v>3052.8900000000003</v>
      </c>
      <c r="M2077" s="132"/>
      <c r="N2077" s="79">
        <v>2968.38</v>
      </c>
      <c r="O2077" s="79">
        <v>84.509999999999991</v>
      </c>
      <c r="P2077" s="79">
        <v>3052.8900000000003</v>
      </c>
      <c r="Q2077" s="136"/>
      <c r="R2077" s="79">
        <v>2968.38</v>
      </c>
      <c r="S2077" s="79">
        <v>84.52</v>
      </c>
      <c r="T2077" s="79">
        <v>3052.9</v>
      </c>
      <c r="U2077" s="79">
        <v>0</v>
      </c>
      <c r="V2077" s="189">
        <v>3052.9</v>
      </c>
      <c r="W2077" s="61"/>
      <c r="X2077" s="79">
        <v>2968.38</v>
      </c>
      <c r="Y2077" s="79">
        <v>84.52</v>
      </c>
      <c r="Z2077" s="79">
        <v>3052.9</v>
      </c>
      <c r="AA2077" s="255">
        <v>-1.0000000000218279E-2</v>
      </c>
      <c r="AB2077" s="61"/>
      <c r="AC2077" s="254"/>
      <c r="AD2077" s="236"/>
      <c r="AE2077" s="236"/>
    </row>
    <row r="2078" spans="1:31" ht="12">
      <c r="A2078" s="489" t="s">
        <v>14514</v>
      </c>
      <c r="B2078" s="490" t="s">
        <v>14515</v>
      </c>
      <c r="C2078" s="491"/>
      <c r="D2078" s="492"/>
      <c r="E2078" s="79"/>
      <c r="F2078" s="63"/>
      <c r="G2078" s="320"/>
      <c r="H2078" s="79"/>
      <c r="I2078" s="79"/>
      <c r="J2078" s="79"/>
      <c r="K2078" s="79"/>
      <c r="L2078" s="70"/>
      <c r="M2078" s="132"/>
      <c r="N2078" s="79"/>
      <c r="O2078" s="79"/>
      <c r="P2078" s="79"/>
      <c r="Q2078" s="136"/>
      <c r="R2078" s="79"/>
      <c r="S2078" s="79"/>
      <c r="T2078" s="79"/>
      <c r="U2078" s="79"/>
      <c r="V2078" s="189"/>
      <c r="X2078" s="79"/>
      <c r="Y2078" s="79"/>
      <c r="Z2078" s="79"/>
      <c r="AA2078" s="255"/>
      <c r="AC2078" s="254"/>
    </row>
    <row r="2079" spans="1:31" ht="12">
      <c r="A2079" s="67" t="s">
        <v>14516</v>
      </c>
      <c r="B2079" s="65" t="s">
        <v>14517</v>
      </c>
      <c r="C2079" s="71" t="s">
        <v>103</v>
      </c>
      <c r="D2079" s="78">
        <v>1</v>
      </c>
      <c r="E2079" s="79">
        <v>365.12</v>
      </c>
      <c r="F2079" s="70">
        <v>365.12</v>
      </c>
      <c r="G2079" s="320"/>
      <c r="H2079" s="79">
        <v>280.61</v>
      </c>
      <c r="I2079" s="79">
        <v>84.509999999999991</v>
      </c>
      <c r="J2079" s="79">
        <v>365.12</v>
      </c>
      <c r="K2079" s="79">
        <v>0</v>
      </c>
      <c r="L2079" s="70">
        <v>365.12</v>
      </c>
      <c r="M2079" s="132"/>
      <c r="N2079" s="79">
        <v>280.61</v>
      </c>
      <c r="O2079" s="79">
        <v>84.509999999999991</v>
      </c>
      <c r="P2079" s="79">
        <v>365.12</v>
      </c>
      <c r="Q2079" s="136"/>
      <c r="R2079" s="79">
        <v>280.61</v>
      </c>
      <c r="S2079" s="79">
        <v>84.52</v>
      </c>
      <c r="T2079" s="79">
        <v>365.13</v>
      </c>
      <c r="U2079" s="79">
        <v>0</v>
      </c>
      <c r="V2079" s="189">
        <v>365.13</v>
      </c>
      <c r="X2079" s="79">
        <v>280.61</v>
      </c>
      <c r="Y2079" s="79">
        <v>84.52</v>
      </c>
      <c r="Z2079" s="79">
        <v>365.13</v>
      </c>
      <c r="AA2079" s="255">
        <v>-9.9999999999909051E-3</v>
      </c>
      <c r="AC2079" s="254"/>
    </row>
    <row r="2080" spans="1:31" ht="12">
      <c r="A2080" s="67" t="s">
        <v>14518</v>
      </c>
      <c r="B2080" s="65" t="s">
        <v>14519</v>
      </c>
      <c r="C2080" s="71" t="s">
        <v>103</v>
      </c>
      <c r="D2080" s="78">
        <v>1</v>
      </c>
      <c r="E2080" s="79">
        <v>326.54999999999995</v>
      </c>
      <c r="F2080" s="70">
        <v>326.55</v>
      </c>
      <c r="G2080" s="320"/>
      <c r="H2080" s="79">
        <v>242.04</v>
      </c>
      <c r="I2080" s="79">
        <v>84.509999999999991</v>
      </c>
      <c r="J2080" s="79">
        <v>326.54999999999995</v>
      </c>
      <c r="K2080" s="79">
        <v>0</v>
      </c>
      <c r="L2080" s="70">
        <v>326.54999999999995</v>
      </c>
      <c r="M2080" s="132"/>
      <c r="N2080" s="79">
        <v>242.04</v>
      </c>
      <c r="O2080" s="79">
        <v>84.509999999999991</v>
      </c>
      <c r="P2080" s="79">
        <v>326.54999999999995</v>
      </c>
      <c r="Q2080" s="136"/>
      <c r="R2080" s="79">
        <v>242.04</v>
      </c>
      <c r="S2080" s="79">
        <v>84.52</v>
      </c>
      <c r="T2080" s="79">
        <v>326.56</v>
      </c>
      <c r="U2080" s="79">
        <v>0</v>
      </c>
      <c r="V2080" s="189">
        <v>326.56</v>
      </c>
      <c r="X2080" s="79">
        <v>242.04</v>
      </c>
      <c r="Y2080" s="79">
        <v>84.52</v>
      </c>
      <c r="Z2080" s="79">
        <v>326.56</v>
      </c>
      <c r="AA2080" s="255">
        <v>-9.9999999999909051E-3</v>
      </c>
      <c r="AC2080" s="254"/>
    </row>
    <row r="2081" spans="1:31" ht="12">
      <c r="A2081" s="67" t="s">
        <v>14520</v>
      </c>
      <c r="B2081" s="65" t="s">
        <v>14521</v>
      </c>
      <c r="C2081" s="71" t="s">
        <v>103</v>
      </c>
      <c r="D2081" s="78">
        <v>1</v>
      </c>
      <c r="E2081" s="79">
        <v>472.94</v>
      </c>
      <c r="F2081" s="70">
        <v>472.94</v>
      </c>
      <c r="G2081" s="320"/>
      <c r="H2081" s="79">
        <v>388.43</v>
      </c>
      <c r="I2081" s="79">
        <v>84.509999999999991</v>
      </c>
      <c r="J2081" s="79">
        <v>472.94</v>
      </c>
      <c r="K2081" s="79">
        <v>0</v>
      </c>
      <c r="L2081" s="70">
        <v>472.94</v>
      </c>
      <c r="M2081" s="132"/>
      <c r="N2081" s="79">
        <v>388.43</v>
      </c>
      <c r="O2081" s="79">
        <v>84.509999999999991</v>
      </c>
      <c r="P2081" s="79">
        <v>472.94</v>
      </c>
      <c r="Q2081" s="136"/>
      <c r="R2081" s="79">
        <v>388.43</v>
      </c>
      <c r="S2081" s="79">
        <v>84.52</v>
      </c>
      <c r="T2081" s="79">
        <v>472.95</v>
      </c>
      <c r="U2081" s="79">
        <v>0</v>
      </c>
      <c r="V2081" s="189">
        <v>472.95</v>
      </c>
      <c r="X2081" s="79">
        <v>388.43</v>
      </c>
      <c r="Y2081" s="79">
        <v>84.52</v>
      </c>
      <c r="Z2081" s="79">
        <v>472.95</v>
      </c>
      <c r="AA2081" s="255">
        <v>-9.9999999999909051E-3</v>
      </c>
      <c r="AC2081" s="254"/>
    </row>
    <row r="2082" spans="1:31" ht="12">
      <c r="A2082" s="67" t="s">
        <v>14522</v>
      </c>
      <c r="B2082" s="65" t="s">
        <v>14523</v>
      </c>
      <c r="C2082" s="71" t="s">
        <v>103</v>
      </c>
      <c r="D2082" s="78">
        <v>1</v>
      </c>
      <c r="E2082" s="79">
        <v>245.04999999999998</v>
      </c>
      <c r="F2082" s="70">
        <v>245.05</v>
      </c>
      <c r="G2082" s="320"/>
      <c r="H2082" s="79">
        <v>160.54</v>
      </c>
      <c r="I2082" s="79">
        <v>84.509999999999991</v>
      </c>
      <c r="J2082" s="79">
        <v>245.04999999999998</v>
      </c>
      <c r="K2082" s="79">
        <v>0</v>
      </c>
      <c r="L2082" s="70">
        <v>245.04999999999998</v>
      </c>
      <c r="M2082" s="132"/>
      <c r="N2082" s="79">
        <v>160.54</v>
      </c>
      <c r="O2082" s="79">
        <v>84.509999999999991</v>
      </c>
      <c r="P2082" s="79">
        <v>245.04999999999998</v>
      </c>
      <c r="Q2082" s="136"/>
      <c r="R2082" s="79">
        <v>160.54</v>
      </c>
      <c r="S2082" s="79">
        <v>84.52</v>
      </c>
      <c r="T2082" s="79">
        <v>245.06</v>
      </c>
      <c r="U2082" s="79">
        <v>0</v>
      </c>
      <c r="V2082" s="189">
        <v>245.06</v>
      </c>
      <c r="X2082" s="79">
        <v>160.54</v>
      </c>
      <c r="Y2082" s="79">
        <v>84.52</v>
      </c>
      <c r="Z2082" s="79">
        <v>245.06</v>
      </c>
      <c r="AA2082" s="255">
        <v>-9.9999999999909051E-3</v>
      </c>
      <c r="AC2082" s="254"/>
    </row>
    <row r="2083" spans="1:31" ht="12">
      <c r="A2083" s="489" t="s">
        <v>14524</v>
      </c>
      <c r="B2083" s="490" t="s">
        <v>14525</v>
      </c>
      <c r="C2083" s="491"/>
      <c r="D2083" s="492"/>
      <c r="E2083" s="79"/>
      <c r="F2083" s="63"/>
      <c r="G2083" s="320"/>
      <c r="H2083" s="79"/>
      <c r="I2083" s="79"/>
      <c r="J2083" s="79"/>
      <c r="K2083" s="79"/>
      <c r="L2083" s="70"/>
      <c r="M2083" s="132"/>
      <c r="N2083" s="79"/>
      <c r="O2083" s="79"/>
      <c r="P2083" s="79"/>
      <c r="Q2083" s="136"/>
      <c r="R2083" s="79"/>
      <c r="S2083" s="79"/>
      <c r="T2083" s="79"/>
      <c r="U2083" s="79"/>
      <c r="V2083" s="189"/>
      <c r="X2083" s="79"/>
      <c r="Y2083" s="79"/>
      <c r="Z2083" s="79"/>
      <c r="AA2083" s="255"/>
      <c r="AC2083" s="254"/>
    </row>
    <row r="2084" spans="1:31" ht="12">
      <c r="A2084" s="67" t="s">
        <v>14526</v>
      </c>
      <c r="B2084" s="65" t="s">
        <v>14527</v>
      </c>
      <c r="C2084" s="71" t="s">
        <v>103</v>
      </c>
      <c r="D2084" s="78">
        <v>1</v>
      </c>
      <c r="E2084" s="79">
        <v>46.79</v>
      </c>
      <c r="F2084" s="70">
        <v>46.79</v>
      </c>
      <c r="G2084" s="320"/>
      <c r="H2084" s="79">
        <v>38.409999999999997</v>
      </c>
      <c r="I2084" s="79">
        <v>8.379999999999999</v>
      </c>
      <c r="J2084" s="79">
        <v>46.789999999999992</v>
      </c>
      <c r="K2084" s="79">
        <v>0</v>
      </c>
      <c r="L2084" s="70">
        <v>46.789999999999992</v>
      </c>
      <c r="M2084" s="132"/>
      <c r="N2084" s="79">
        <v>38.409999999999997</v>
      </c>
      <c r="O2084" s="79">
        <v>8.379999999999999</v>
      </c>
      <c r="P2084" s="79">
        <v>46.789999999999992</v>
      </c>
      <c r="Q2084" s="136"/>
      <c r="R2084" s="79">
        <v>38.409999999999997</v>
      </c>
      <c r="S2084" s="79">
        <v>8.3800000000000008</v>
      </c>
      <c r="T2084" s="79">
        <v>46.79</v>
      </c>
      <c r="U2084" s="79">
        <v>0</v>
      </c>
      <c r="V2084" s="189">
        <v>46.79</v>
      </c>
      <c r="X2084" s="79">
        <v>38.409999999999997</v>
      </c>
      <c r="Y2084" s="79">
        <v>8.3800000000000008</v>
      </c>
      <c r="Z2084" s="79">
        <v>46.79</v>
      </c>
      <c r="AA2084" s="255">
        <v>0</v>
      </c>
      <c r="AC2084" s="254"/>
    </row>
    <row r="2085" spans="1:31" ht="12">
      <c r="A2085" s="67" t="s">
        <v>14528</v>
      </c>
      <c r="B2085" s="65" t="s">
        <v>14529</v>
      </c>
      <c r="C2085" s="71" t="s">
        <v>103</v>
      </c>
      <c r="D2085" s="78">
        <v>1</v>
      </c>
      <c r="E2085" s="79">
        <v>34.86</v>
      </c>
      <c r="F2085" s="70">
        <v>34.86</v>
      </c>
      <c r="G2085" s="320"/>
      <c r="H2085" s="79">
        <v>32.049999999999997</v>
      </c>
      <c r="I2085" s="79">
        <v>2.81</v>
      </c>
      <c r="J2085" s="79">
        <v>34.86</v>
      </c>
      <c r="K2085" s="79">
        <v>0</v>
      </c>
      <c r="L2085" s="70">
        <v>34.86</v>
      </c>
      <c r="M2085" s="132"/>
      <c r="N2085" s="79">
        <v>32.049999999999997</v>
      </c>
      <c r="O2085" s="79">
        <v>2.81</v>
      </c>
      <c r="P2085" s="79">
        <v>34.86</v>
      </c>
      <c r="Q2085" s="136"/>
      <c r="R2085" s="79">
        <v>32.049999999999997</v>
      </c>
      <c r="S2085" s="79">
        <v>2.8</v>
      </c>
      <c r="T2085" s="79">
        <v>34.849999999999994</v>
      </c>
      <c r="U2085" s="79">
        <v>0</v>
      </c>
      <c r="V2085" s="189">
        <v>34.849999999999994</v>
      </c>
      <c r="X2085" s="79">
        <v>32.049999999999997</v>
      </c>
      <c r="Y2085" s="79">
        <v>2.8</v>
      </c>
      <c r="Z2085" s="79">
        <v>34.85</v>
      </c>
      <c r="AA2085" s="255">
        <v>9.9999999999980105E-3</v>
      </c>
      <c r="AC2085" s="254"/>
    </row>
    <row r="2086" spans="1:31" ht="12">
      <c r="A2086" s="67" t="s">
        <v>14530</v>
      </c>
      <c r="B2086" s="65" t="s">
        <v>14531</v>
      </c>
      <c r="C2086" s="71" t="s">
        <v>103</v>
      </c>
      <c r="D2086" s="78">
        <v>1</v>
      </c>
      <c r="E2086" s="79">
        <v>38.849999999999994</v>
      </c>
      <c r="F2086" s="70">
        <v>38.85</v>
      </c>
      <c r="G2086" s="320"/>
      <c r="H2086" s="79">
        <v>30.47</v>
      </c>
      <c r="I2086" s="79">
        <v>8.379999999999999</v>
      </c>
      <c r="J2086" s="79">
        <v>38.849999999999994</v>
      </c>
      <c r="K2086" s="79">
        <v>0</v>
      </c>
      <c r="L2086" s="70">
        <v>38.849999999999994</v>
      </c>
      <c r="M2086" s="132"/>
      <c r="N2086" s="79">
        <v>30.47</v>
      </c>
      <c r="O2086" s="79">
        <v>8.379999999999999</v>
      </c>
      <c r="P2086" s="79">
        <v>38.849999999999994</v>
      </c>
      <c r="Q2086" s="136"/>
      <c r="R2086" s="79">
        <v>30.47</v>
      </c>
      <c r="S2086" s="79">
        <v>8.3800000000000008</v>
      </c>
      <c r="T2086" s="79">
        <v>38.85</v>
      </c>
      <c r="U2086" s="79">
        <v>0</v>
      </c>
      <c r="V2086" s="189">
        <v>38.85</v>
      </c>
      <c r="X2086" s="79">
        <v>30.47</v>
      </c>
      <c r="Y2086" s="79">
        <v>8.3800000000000008</v>
      </c>
      <c r="Z2086" s="79">
        <v>38.85</v>
      </c>
      <c r="AA2086" s="255">
        <v>0</v>
      </c>
      <c r="AC2086" s="254"/>
    </row>
    <row r="2087" spans="1:31" ht="12">
      <c r="A2087" s="67" t="s">
        <v>14532</v>
      </c>
      <c r="B2087" s="65" t="s">
        <v>14533</v>
      </c>
      <c r="C2087" s="71" t="s">
        <v>103</v>
      </c>
      <c r="D2087" s="78">
        <v>1</v>
      </c>
      <c r="E2087" s="79">
        <v>27.939999999999998</v>
      </c>
      <c r="F2087" s="70">
        <v>27.94</v>
      </c>
      <c r="G2087" s="320"/>
      <c r="H2087" s="79">
        <v>0</v>
      </c>
      <c r="I2087" s="79">
        <v>27.939999999999998</v>
      </c>
      <c r="J2087" s="79">
        <v>27.939999999999998</v>
      </c>
      <c r="K2087" s="79">
        <v>0</v>
      </c>
      <c r="L2087" s="70">
        <v>27.939999999999998</v>
      </c>
      <c r="M2087" s="132"/>
      <c r="N2087" s="79"/>
      <c r="O2087" s="79">
        <v>27.939999999999998</v>
      </c>
      <c r="P2087" s="79">
        <v>27.939999999999998</v>
      </c>
      <c r="Q2087" s="136"/>
      <c r="R2087" s="79"/>
      <c r="S2087" s="79">
        <v>27.92</v>
      </c>
      <c r="T2087" s="79">
        <v>27.92</v>
      </c>
      <c r="U2087" s="79">
        <v>0</v>
      </c>
      <c r="V2087" s="189">
        <v>27.92</v>
      </c>
      <c r="X2087" s="79"/>
      <c r="Y2087" s="79">
        <v>27.92</v>
      </c>
      <c r="Z2087" s="79">
        <v>27.92</v>
      </c>
      <c r="AA2087" s="255">
        <v>1.9999999999999574E-2</v>
      </c>
      <c r="AC2087" s="254"/>
    </row>
    <row r="2088" spans="1:31" ht="12">
      <c r="A2088" s="67" t="s">
        <v>14534</v>
      </c>
      <c r="B2088" s="65" t="s">
        <v>14535</v>
      </c>
      <c r="C2088" s="71" t="s">
        <v>509</v>
      </c>
      <c r="D2088" s="78">
        <v>1</v>
      </c>
      <c r="E2088" s="79">
        <v>39.28</v>
      </c>
      <c r="F2088" s="70">
        <v>39.28</v>
      </c>
      <c r="G2088" s="320"/>
      <c r="H2088" s="79">
        <v>0</v>
      </c>
      <c r="I2088" s="79">
        <v>39.28</v>
      </c>
      <c r="J2088" s="79">
        <v>39.28</v>
      </c>
      <c r="K2088" s="79">
        <v>0</v>
      </c>
      <c r="L2088" s="70">
        <v>39.28</v>
      </c>
      <c r="M2088" s="132"/>
      <c r="N2088" s="79"/>
      <c r="O2088" s="79">
        <v>39.28</v>
      </c>
      <c r="P2088" s="79">
        <v>39.28</v>
      </c>
      <c r="Q2088" s="136"/>
      <c r="R2088" s="79"/>
      <c r="S2088" s="79">
        <v>39.270000000000003</v>
      </c>
      <c r="T2088" s="79">
        <v>39.270000000000003</v>
      </c>
      <c r="U2088" s="79">
        <v>0</v>
      </c>
      <c r="V2088" s="189">
        <v>39.270000000000003</v>
      </c>
      <c r="X2088" s="79"/>
      <c r="Y2088" s="79">
        <v>39.270000000000003</v>
      </c>
      <c r="Z2088" s="79">
        <v>39.270000000000003</v>
      </c>
      <c r="AA2088" s="255">
        <v>9.9999999999980105E-3</v>
      </c>
      <c r="AC2088" s="254"/>
    </row>
    <row r="2089" spans="1:31" ht="12">
      <c r="A2089" s="67" t="s">
        <v>14536</v>
      </c>
      <c r="B2089" s="65" t="s">
        <v>14537</v>
      </c>
      <c r="C2089" s="71" t="s">
        <v>509</v>
      </c>
      <c r="D2089" s="78">
        <v>1</v>
      </c>
      <c r="E2089" s="79">
        <v>78.53</v>
      </c>
      <c r="F2089" s="70">
        <v>78.53</v>
      </c>
      <c r="G2089" s="320"/>
      <c r="H2089" s="79">
        <v>0</v>
      </c>
      <c r="I2089" s="79">
        <v>78.53</v>
      </c>
      <c r="J2089" s="79">
        <v>78.53</v>
      </c>
      <c r="K2089" s="79">
        <v>0</v>
      </c>
      <c r="L2089" s="70">
        <v>78.53</v>
      </c>
      <c r="M2089" s="132"/>
      <c r="N2089" s="79"/>
      <c r="O2089" s="79">
        <v>78.53</v>
      </c>
      <c r="P2089" s="79">
        <v>78.53</v>
      </c>
      <c r="Q2089" s="136"/>
      <c r="R2089" s="79"/>
      <c r="S2089" s="79">
        <v>78.540000000000006</v>
      </c>
      <c r="T2089" s="79">
        <v>78.540000000000006</v>
      </c>
      <c r="U2089" s="79">
        <v>0</v>
      </c>
      <c r="V2089" s="189">
        <v>78.540000000000006</v>
      </c>
      <c r="X2089" s="79"/>
      <c r="Y2089" s="79">
        <v>78.540000000000006</v>
      </c>
      <c r="Z2089" s="79">
        <v>78.540000000000006</v>
      </c>
      <c r="AA2089" s="255">
        <v>-1.0000000000005116E-2</v>
      </c>
      <c r="AC2089" s="254"/>
    </row>
    <row r="2090" spans="1:31" ht="12">
      <c r="A2090" s="67" t="s">
        <v>14538</v>
      </c>
      <c r="B2090" s="65" t="s">
        <v>14539</v>
      </c>
      <c r="C2090" s="71" t="s">
        <v>103</v>
      </c>
      <c r="D2090" s="78">
        <v>1</v>
      </c>
      <c r="E2090" s="79">
        <v>1599.3999999999999</v>
      </c>
      <c r="F2090" s="70">
        <v>1599.4</v>
      </c>
      <c r="G2090" s="320"/>
      <c r="H2090" s="79">
        <v>1597.12</v>
      </c>
      <c r="I2090" s="79">
        <v>2.2800000000000002</v>
      </c>
      <c r="J2090" s="79">
        <v>1599.3999999999999</v>
      </c>
      <c r="K2090" s="79">
        <v>0</v>
      </c>
      <c r="L2090" s="70">
        <v>1599.3999999999999</v>
      </c>
      <c r="M2090" s="132"/>
      <c r="N2090" s="79">
        <v>1597.12</v>
      </c>
      <c r="O2090" s="79">
        <v>2.2800000000000002</v>
      </c>
      <c r="P2090" s="79">
        <v>1599.3999999999999</v>
      </c>
      <c r="Q2090" s="136"/>
      <c r="R2090" s="79">
        <v>1597.12</v>
      </c>
      <c r="S2090" s="79">
        <v>2.27</v>
      </c>
      <c r="T2090" s="79">
        <v>1599.3899999999999</v>
      </c>
      <c r="U2090" s="79">
        <v>0</v>
      </c>
      <c r="V2090" s="189">
        <v>1599.3899999999999</v>
      </c>
      <c r="X2090" s="79">
        <v>1597.12</v>
      </c>
      <c r="Y2090" s="79">
        <v>2.27</v>
      </c>
      <c r="Z2090" s="79">
        <v>1599.39</v>
      </c>
      <c r="AA2090" s="255">
        <v>9.9999999999909051E-3</v>
      </c>
      <c r="AC2090" s="254"/>
      <c r="AD2090" s="61"/>
      <c r="AE2090" s="61"/>
    </row>
    <row r="2091" spans="1:31" ht="12">
      <c r="A2091" s="67" t="s">
        <v>14540</v>
      </c>
      <c r="B2091" s="65" t="s">
        <v>14541</v>
      </c>
      <c r="C2091" s="71" t="s">
        <v>103</v>
      </c>
      <c r="D2091" s="78">
        <v>1</v>
      </c>
      <c r="E2091" s="79">
        <v>133.06</v>
      </c>
      <c r="F2091" s="70">
        <v>133.06</v>
      </c>
      <c r="G2091" s="320"/>
      <c r="H2091" s="79">
        <v>127.38</v>
      </c>
      <c r="I2091" s="79">
        <v>5.68</v>
      </c>
      <c r="J2091" s="79">
        <v>133.06</v>
      </c>
      <c r="K2091" s="79">
        <v>0</v>
      </c>
      <c r="L2091" s="70">
        <v>133.06</v>
      </c>
      <c r="M2091" s="132"/>
      <c r="N2091" s="79">
        <v>127.38</v>
      </c>
      <c r="O2091" s="79">
        <v>5.68</v>
      </c>
      <c r="P2091" s="79">
        <v>133.06</v>
      </c>
      <c r="Q2091" s="136"/>
      <c r="R2091" s="79">
        <v>127.38</v>
      </c>
      <c r="S2091" s="79">
        <v>5.68</v>
      </c>
      <c r="T2091" s="79">
        <v>133.06</v>
      </c>
      <c r="U2091" s="79">
        <v>0</v>
      </c>
      <c r="V2091" s="189">
        <v>133.06</v>
      </c>
      <c r="X2091" s="79">
        <v>127.38</v>
      </c>
      <c r="Y2091" s="79">
        <v>5.68</v>
      </c>
      <c r="Z2091" s="79">
        <v>133.06</v>
      </c>
      <c r="AA2091" s="255">
        <v>0</v>
      </c>
      <c r="AC2091" s="254"/>
      <c r="AD2091" s="61"/>
      <c r="AE2091" s="61"/>
    </row>
    <row r="2092" spans="1:31" s="61" customFormat="1" ht="12">
      <c r="A2092" s="67" t="s">
        <v>14542</v>
      </c>
      <c r="B2092" s="65" t="s">
        <v>14543</v>
      </c>
      <c r="C2092" s="71" t="s">
        <v>509</v>
      </c>
      <c r="D2092" s="78">
        <v>1</v>
      </c>
      <c r="E2092" s="79">
        <v>448.59000000000003</v>
      </c>
      <c r="F2092" s="70">
        <v>448.59</v>
      </c>
      <c r="G2092" s="320"/>
      <c r="H2092" s="79">
        <v>409.31</v>
      </c>
      <c r="I2092" s="79">
        <v>39.28</v>
      </c>
      <c r="J2092" s="79">
        <v>448.59000000000003</v>
      </c>
      <c r="K2092" s="79">
        <v>0</v>
      </c>
      <c r="L2092" s="70">
        <v>448.59000000000003</v>
      </c>
      <c r="M2092" s="132"/>
      <c r="N2092" s="79">
        <v>409.31</v>
      </c>
      <c r="O2092" s="79">
        <v>39.28</v>
      </c>
      <c r="P2092" s="79">
        <v>448.59000000000003</v>
      </c>
      <c r="Q2092" s="136"/>
      <c r="R2092" s="79">
        <v>409.31</v>
      </c>
      <c r="S2092" s="79">
        <v>39.270000000000003</v>
      </c>
      <c r="T2092" s="79">
        <v>448.58</v>
      </c>
      <c r="U2092" s="79">
        <v>0</v>
      </c>
      <c r="V2092" s="189">
        <v>448.58</v>
      </c>
      <c r="X2092" s="79">
        <v>409.31</v>
      </c>
      <c r="Y2092" s="79">
        <v>39.270000000000003</v>
      </c>
      <c r="Z2092" s="79">
        <v>448.58</v>
      </c>
      <c r="AA2092" s="255">
        <v>9.9999999999909051E-3</v>
      </c>
      <c r="AC2092" s="254"/>
      <c r="AD2092" s="236"/>
      <c r="AE2092" s="236"/>
    </row>
    <row r="2093" spans="1:31" s="61" customFormat="1" ht="12">
      <c r="A2093" s="67" t="s">
        <v>14544</v>
      </c>
      <c r="B2093" s="65" t="s">
        <v>14545</v>
      </c>
      <c r="C2093" s="71" t="s">
        <v>103</v>
      </c>
      <c r="D2093" s="78">
        <v>1</v>
      </c>
      <c r="E2093" s="79">
        <v>9149.83</v>
      </c>
      <c r="F2093" s="70">
        <v>9149.83</v>
      </c>
      <c r="G2093" s="320"/>
      <c r="H2093" s="79">
        <v>9087</v>
      </c>
      <c r="I2093" s="79">
        <v>62.83</v>
      </c>
      <c r="J2093" s="79">
        <v>9149.83</v>
      </c>
      <c r="K2093" s="79">
        <v>0</v>
      </c>
      <c r="L2093" s="70">
        <v>9149.83</v>
      </c>
      <c r="M2093" s="132"/>
      <c r="N2093" s="79">
        <v>9087</v>
      </c>
      <c r="O2093" s="79">
        <v>62.83</v>
      </c>
      <c r="P2093" s="79">
        <v>9149.83</v>
      </c>
      <c r="Q2093" s="136"/>
      <c r="R2093" s="79">
        <v>9087</v>
      </c>
      <c r="S2093" s="79">
        <v>62.84</v>
      </c>
      <c r="T2093" s="79">
        <v>9149.84</v>
      </c>
      <c r="U2093" s="79">
        <v>0</v>
      </c>
      <c r="V2093" s="189">
        <v>9149.84</v>
      </c>
      <c r="X2093" s="79">
        <v>9087</v>
      </c>
      <c r="Y2093" s="79">
        <v>62.84</v>
      </c>
      <c r="Z2093" s="79">
        <v>9149.84</v>
      </c>
      <c r="AA2093" s="255">
        <v>-1.0000000000218279E-2</v>
      </c>
      <c r="AC2093" s="254"/>
    </row>
    <row r="2094" spans="1:31" s="61" customFormat="1" ht="12">
      <c r="A2094" s="67" t="s">
        <v>14546</v>
      </c>
      <c r="B2094" s="65" t="s">
        <v>14547</v>
      </c>
      <c r="C2094" s="71" t="s">
        <v>103</v>
      </c>
      <c r="D2094" s="78">
        <v>1</v>
      </c>
      <c r="E2094" s="79">
        <v>40753.870000000003</v>
      </c>
      <c r="F2094" s="70">
        <v>40753.870000000003</v>
      </c>
      <c r="G2094" s="320"/>
      <c r="H2094" s="79">
        <v>40691.040000000001</v>
      </c>
      <c r="I2094" s="79">
        <v>62.83</v>
      </c>
      <c r="J2094" s="79">
        <v>40753.870000000003</v>
      </c>
      <c r="K2094" s="79">
        <v>0</v>
      </c>
      <c r="L2094" s="70">
        <v>40753.870000000003</v>
      </c>
      <c r="M2094" s="132"/>
      <c r="N2094" s="79">
        <v>40691.040000000001</v>
      </c>
      <c r="O2094" s="79">
        <v>62.83</v>
      </c>
      <c r="P2094" s="79">
        <v>40753.870000000003</v>
      </c>
      <c r="Q2094" s="136"/>
      <c r="R2094" s="79">
        <v>40691.040000000001</v>
      </c>
      <c r="S2094" s="79">
        <v>62.84</v>
      </c>
      <c r="T2094" s="79">
        <v>40753.879999999997</v>
      </c>
      <c r="U2094" s="79">
        <v>0</v>
      </c>
      <c r="V2094" s="189">
        <v>40753.879999999997</v>
      </c>
      <c r="X2094" s="79">
        <v>40691.040000000001</v>
      </c>
      <c r="Y2094" s="79">
        <v>62.84</v>
      </c>
      <c r="Z2094" s="79">
        <v>40753.879999999997</v>
      </c>
      <c r="AA2094" s="255">
        <v>-9.9999999947613105E-3</v>
      </c>
      <c r="AC2094" s="254"/>
    </row>
    <row r="2095" spans="1:31" ht="12">
      <c r="A2095" s="67" t="s">
        <v>14548</v>
      </c>
      <c r="B2095" s="65" t="s">
        <v>14549</v>
      </c>
      <c r="C2095" s="71" t="s">
        <v>103</v>
      </c>
      <c r="D2095" s="78">
        <v>1</v>
      </c>
      <c r="E2095" s="79">
        <v>709.97</v>
      </c>
      <c r="F2095" s="70">
        <v>709.97</v>
      </c>
      <c r="G2095" s="320"/>
      <c r="H2095" s="79">
        <v>682.03</v>
      </c>
      <c r="I2095" s="79">
        <v>27.939999999999998</v>
      </c>
      <c r="J2095" s="79">
        <v>709.97</v>
      </c>
      <c r="K2095" s="79">
        <v>0</v>
      </c>
      <c r="L2095" s="70">
        <v>709.97</v>
      </c>
      <c r="M2095" s="132"/>
      <c r="N2095" s="79">
        <v>682.03</v>
      </c>
      <c r="O2095" s="79">
        <v>27.939999999999998</v>
      </c>
      <c r="P2095" s="79">
        <v>709.97</v>
      </c>
      <c r="Q2095" s="136"/>
      <c r="R2095" s="79">
        <v>682.03</v>
      </c>
      <c r="S2095" s="79">
        <v>27.92</v>
      </c>
      <c r="T2095" s="79">
        <v>709.94999999999993</v>
      </c>
      <c r="U2095" s="79">
        <v>0</v>
      </c>
      <c r="V2095" s="189">
        <v>709.94999999999993</v>
      </c>
      <c r="X2095" s="79">
        <v>682.03</v>
      </c>
      <c r="Y2095" s="79">
        <v>27.92</v>
      </c>
      <c r="Z2095" s="79">
        <v>709.95</v>
      </c>
      <c r="AA2095" s="255">
        <v>1.999999999998181E-2</v>
      </c>
      <c r="AC2095" s="254"/>
    </row>
    <row r="2096" spans="1:31" s="61" customFormat="1" ht="12">
      <c r="A2096" s="489" t="s">
        <v>14550</v>
      </c>
      <c r="B2096" s="490" t="s">
        <v>14551</v>
      </c>
      <c r="C2096" s="491"/>
      <c r="D2096" s="492"/>
      <c r="E2096" s="79"/>
      <c r="F2096" s="63"/>
      <c r="G2096" s="320"/>
      <c r="H2096" s="79"/>
      <c r="I2096" s="79"/>
      <c r="J2096" s="79"/>
      <c r="K2096" s="79"/>
      <c r="L2096" s="70"/>
      <c r="M2096" s="132"/>
      <c r="N2096" s="79"/>
      <c r="O2096" s="79"/>
      <c r="P2096" s="79"/>
      <c r="Q2096" s="136"/>
      <c r="R2096" s="79"/>
      <c r="S2096" s="79"/>
      <c r="T2096" s="79"/>
      <c r="U2096" s="79"/>
      <c r="V2096" s="189"/>
      <c r="X2096" s="79"/>
      <c r="Y2096" s="79"/>
      <c r="Z2096" s="79"/>
      <c r="AA2096" s="255"/>
      <c r="AC2096" s="254"/>
      <c r="AD2096" s="236"/>
      <c r="AE2096" s="236"/>
    </row>
    <row r="2097" spans="1:31" ht="12">
      <c r="A2097" s="67" t="s">
        <v>14552</v>
      </c>
      <c r="B2097" s="65" t="s">
        <v>14553</v>
      </c>
      <c r="C2097" s="71" t="s">
        <v>103</v>
      </c>
      <c r="D2097" s="78">
        <v>1</v>
      </c>
      <c r="E2097" s="79">
        <v>1119.1600000000001</v>
      </c>
      <c r="F2097" s="70">
        <v>1119.1600000000001</v>
      </c>
      <c r="G2097" s="320"/>
      <c r="H2097" s="79">
        <v>1091.22</v>
      </c>
      <c r="I2097" s="79">
        <v>27.939999999999998</v>
      </c>
      <c r="J2097" s="79">
        <v>1119.1600000000001</v>
      </c>
      <c r="K2097" s="79">
        <v>0</v>
      </c>
      <c r="L2097" s="70">
        <v>1119.1600000000001</v>
      </c>
      <c r="M2097" s="132"/>
      <c r="N2097" s="79">
        <v>1091.22</v>
      </c>
      <c r="O2097" s="79">
        <v>27.939999999999998</v>
      </c>
      <c r="P2097" s="79">
        <v>1119.1600000000001</v>
      </c>
      <c r="Q2097" s="136"/>
      <c r="R2097" s="79">
        <v>1091.22</v>
      </c>
      <c r="S2097" s="79">
        <v>27.92</v>
      </c>
      <c r="T2097" s="79">
        <v>1119.1400000000001</v>
      </c>
      <c r="U2097" s="79">
        <v>0</v>
      </c>
      <c r="V2097" s="189">
        <v>1119.1400000000001</v>
      </c>
      <c r="X2097" s="79">
        <v>1091.22</v>
      </c>
      <c r="Y2097" s="79">
        <v>27.92</v>
      </c>
      <c r="Z2097" s="79">
        <v>1119.1400000000001</v>
      </c>
      <c r="AA2097" s="255">
        <v>1.999999999998181E-2</v>
      </c>
      <c r="AC2097" s="254"/>
    </row>
    <row r="2098" spans="1:31" ht="12">
      <c r="A2098" s="489" t="s">
        <v>14554</v>
      </c>
      <c r="B2098" s="490" t="s">
        <v>14555</v>
      </c>
      <c r="C2098" s="491"/>
      <c r="D2098" s="492"/>
      <c r="E2098" s="79"/>
      <c r="F2098" s="63"/>
      <c r="G2098" s="320"/>
      <c r="H2098" s="79"/>
      <c r="I2098" s="79"/>
      <c r="J2098" s="79"/>
      <c r="K2098" s="79"/>
      <c r="L2098" s="70"/>
      <c r="M2098" s="132"/>
      <c r="N2098" s="79"/>
      <c r="O2098" s="79"/>
      <c r="P2098" s="79"/>
      <c r="Q2098" s="136"/>
      <c r="R2098" s="79"/>
      <c r="S2098" s="79"/>
      <c r="T2098" s="79"/>
      <c r="U2098" s="79"/>
      <c r="V2098" s="189"/>
      <c r="X2098" s="79"/>
      <c r="Y2098" s="79"/>
      <c r="Z2098" s="79"/>
      <c r="AA2098" s="255"/>
      <c r="AC2098" s="254"/>
    </row>
    <row r="2099" spans="1:31" ht="12">
      <c r="A2099" s="67" t="s">
        <v>14556</v>
      </c>
      <c r="B2099" s="65" t="s">
        <v>14557</v>
      </c>
      <c r="C2099" s="71" t="s">
        <v>103</v>
      </c>
      <c r="D2099" s="78">
        <v>1</v>
      </c>
      <c r="E2099" s="79">
        <v>826.65</v>
      </c>
      <c r="F2099" s="70">
        <v>826.65</v>
      </c>
      <c r="G2099" s="320"/>
      <c r="H2099" s="79">
        <v>742.14</v>
      </c>
      <c r="I2099" s="79">
        <v>84.509999999999991</v>
      </c>
      <c r="J2099" s="79">
        <v>826.65</v>
      </c>
      <c r="K2099" s="79">
        <v>0</v>
      </c>
      <c r="L2099" s="70">
        <v>826.65</v>
      </c>
      <c r="M2099" s="132"/>
      <c r="N2099" s="79">
        <v>742.14</v>
      </c>
      <c r="O2099" s="79">
        <v>84.509999999999991</v>
      </c>
      <c r="P2099" s="79">
        <v>826.65</v>
      </c>
      <c r="Q2099" s="136"/>
      <c r="R2099" s="79">
        <v>742.14</v>
      </c>
      <c r="S2099" s="79">
        <v>84.52</v>
      </c>
      <c r="T2099" s="79">
        <v>826.66</v>
      </c>
      <c r="U2099" s="79">
        <v>0</v>
      </c>
      <c r="V2099" s="189">
        <v>826.66</v>
      </c>
      <c r="X2099" s="79">
        <v>742.14</v>
      </c>
      <c r="Y2099" s="79">
        <v>84.52</v>
      </c>
      <c r="Z2099" s="79">
        <v>826.66</v>
      </c>
      <c r="AA2099" s="255">
        <v>-9.9999999999909051E-3</v>
      </c>
      <c r="AC2099" s="254"/>
    </row>
    <row r="2100" spans="1:31" ht="12">
      <c r="A2100" s="489" t="s">
        <v>14558</v>
      </c>
      <c r="B2100" s="490" t="s">
        <v>14559</v>
      </c>
      <c r="C2100" s="491"/>
      <c r="D2100" s="492"/>
      <c r="E2100" s="79"/>
      <c r="F2100" s="63"/>
      <c r="G2100" s="320"/>
      <c r="H2100" s="79"/>
      <c r="I2100" s="79"/>
      <c r="J2100" s="79"/>
      <c r="K2100" s="79"/>
      <c r="L2100" s="70"/>
      <c r="M2100" s="132"/>
      <c r="N2100" s="79"/>
      <c r="O2100" s="79"/>
      <c r="P2100" s="79"/>
      <c r="Q2100" s="136"/>
      <c r="R2100" s="79"/>
      <c r="S2100" s="79"/>
      <c r="T2100" s="79"/>
      <c r="U2100" s="79"/>
      <c r="V2100" s="189"/>
      <c r="X2100" s="79"/>
      <c r="Y2100" s="79"/>
      <c r="Z2100" s="79"/>
      <c r="AA2100" s="255"/>
      <c r="AC2100" s="254"/>
    </row>
    <row r="2101" spans="1:31" ht="12">
      <c r="A2101" s="67" t="s">
        <v>14560</v>
      </c>
      <c r="B2101" s="65" t="s">
        <v>14561</v>
      </c>
      <c r="C2101" s="499" t="s">
        <v>103</v>
      </c>
      <c r="D2101" s="78">
        <v>1</v>
      </c>
      <c r="E2101" s="79">
        <v>78.86</v>
      </c>
      <c r="F2101" s="70">
        <v>78.86</v>
      </c>
      <c r="G2101" s="320"/>
      <c r="H2101" s="79">
        <v>47.2</v>
      </c>
      <c r="I2101" s="79">
        <v>31.66</v>
      </c>
      <c r="J2101" s="79">
        <v>78.86</v>
      </c>
      <c r="K2101" s="79">
        <v>0</v>
      </c>
      <c r="L2101" s="70">
        <v>78.86</v>
      </c>
      <c r="M2101" s="132"/>
      <c r="N2101" s="79">
        <v>47.2</v>
      </c>
      <c r="O2101" s="79">
        <v>31.66</v>
      </c>
      <c r="P2101" s="79">
        <v>78.86</v>
      </c>
      <c r="Q2101" s="136"/>
      <c r="R2101" s="79">
        <v>47.2</v>
      </c>
      <c r="S2101" s="79">
        <v>31.65</v>
      </c>
      <c r="T2101" s="79">
        <v>78.849999999999994</v>
      </c>
      <c r="U2101" s="79">
        <v>0</v>
      </c>
      <c r="V2101" s="189">
        <v>78.849999999999994</v>
      </c>
      <c r="X2101" s="79">
        <v>47.2</v>
      </c>
      <c r="Y2101" s="79">
        <v>31.65</v>
      </c>
      <c r="Z2101" s="79">
        <v>78.849999999999994</v>
      </c>
      <c r="AA2101" s="255">
        <v>1.0000000000005116E-2</v>
      </c>
      <c r="AC2101" s="254"/>
    </row>
    <row r="2102" spans="1:31" ht="12">
      <c r="A2102" s="67" t="s">
        <v>14562</v>
      </c>
      <c r="B2102" s="65" t="s">
        <v>14563</v>
      </c>
      <c r="C2102" s="499" t="s">
        <v>103</v>
      </c>
      <c r="D2102" s="78">
        <v>1</v>
      </c>
      <c r="E2102" s="79">
        <v>157.15</v>
      </c>
      <c r="F2102" s="70">
        <v>157.15</v>
      </c>
      <c r="G2102" s="320"/>
      <c r="H2102" s="79">
        <v>125.49</v>
      </c>
      <c r="I2102" s="79">
        <v>31.66</v>
      </c>
      <c r="J2102" s="79">
        <v>157.15</v>
      </c>
      <c r="K2102" s="79">
        <v>0</v>
      </c>
      <c r="L2102" s="70">
        <v>157.15</v>
      </c>
      <c r="M2102" s="132"/>
      <c r="N2102" s="79">
        <v>125.49</v>
      </c>
      <c r="O2102" s="79">
        <v>31.66</v>
      </c>
      <c r="P2102" s="79">
        <v>157.15</v>
      </c>
      <c r="Q2102" s="136"/>
      <c r="R2102" s="79">
        <v>125.49</v>
      </c>
      <c r="S2102" s="79">
        <v>31.65</v>
      </c>
      <c r="T2102" s="79">
        <v>157.13999999999999</v>
      </c>
      <c r="U2102" s="79">
        <v>0</v>
      </c>
      <c r="V2102" s="189">
        <v>157.13999999999999</v>
      </c>
      <c r="X2102" s="79">
        <v>125.49</v>
      </c>
      <c r="Y2102" s="79">
        <v>31.65</v>
      </c>
      <c r="Z2102" s="79">
        <v>157.13999999999999</v>
      </c>
      <c r="AA2102" s="255">
        <v>1.0000000000019327E-2</v>
      </c>
      <c r="AC2102" s="254"/>
    </row>
    <row r="2103" spans="1:31" ht="24">
      <c r="A2103" s="67" t="s">
        <v>14564</v>
      </c>
      <c r="B2103" s="65" t="s">
        <v>14565</v>
      </c>
      <c r="C2103" s="71" t="s">
        <v>103</v>
      </c>
      <c r="D2103" s="78">
        <v>1</v>
      </c>
      <c r="E2103" s="79">
        <v>567.91</v>
      </c>
      <c r="F2103" s="70">
        <v>567.91</v>
      </c>
      <c r="G2103" s="320"/>
      <c r="H2103" s="79">
        <v>532.79</v>
      </c>
      <c r="I2103" s="79">
        <v>35.120000000000005</v>
      </c>
      <c r="J2103" s="79">
        <v>567.91</v>
      </c>
      <c r="K2103" s="79">
        <v>0</v>
      </c>
      <c r="L2103" s="70">
        <v>567.91</v>
      </c>
      <c r="M2103" s="132"/>
      <c r="N2103" s="79">
        <v>532.79</v>
      </c>
      <c r="O2103" s="79">
        <v>35.120000000000005</v>
      </c>
      <c r="P2103" s="79">
        <v>567.91</v>
      </c>
      <c r="Q2103" s="136"/>
      <c r="R2103" s="79">
        <v>532.79</v>
      </c>
      <c r="S2103" s="79">
        <v>35.119999999999997</v>
      </c>
      <c r="T2103" s="79"/>
      <c r="U2103" s="79">
        <v>0</v>
      </c>
      <c r="V2103" s="189"/>
      <c r="X2103" s="79">
        <v>532.79</v>
      </c>
      <c r="Y2103" s="79">
        <v>35.119999999999997</v>
      </c>
      <c r="Z2103" s="79">
        <v>567.91</v>
      </c>
      <c r="AA2103" s="255">
        <v>0</v>
      </c>
      <c r="AC2103" s="254"/>
      <c r="AD2103" s="69"/>
      <c r="AE2103" s="69"/>
    </row>
    <row r="2104" spans="1:31" ht="24">
      <c r="A2104" s="67" t="s">
        <v>14566</v>
      </c>
      <c r="B2104" s="65" t="s">
        <v>14567</v>
      </c>
      <c r="C2104" s="71" t="s">
        <v>103</v>
      </c>
      <c r="D2104" s="78">
        <v>1</v>
      </c>
      <c r="E2104" s="79">
        <v>7629.88</v>
      </c>
      <c r="F2104" s="70">
        <v>7629.88</v>
      </c>
      <c r="G2104" s="320"/>
      <c r="H2104" s="79">
        <v>7594.76</v>
      </c>
      <c r="I2104" s="79">
        <v>35.120000000000005</v>
      </c>
      <c r="J2104" s="79">
        <v>7629.88</v>
      </c>
      <c r="K2104" s="79">
        <v>0</v>
      </c>
      <c r="L2104" s="70">
        <v>7629.88</v>
      </c>
      <c r="M2104" s="132"/>
      <c r="N2104" s="79">
        <v>7594.76</v>
      </c>
      <c r="O2104" s="79">
        <v>35.120000000000005</v>
      </c>
      <c r="P2104" s="79">
        <v>7629.88</v>
      </c>
      <c r="Q2104" s="136"/>
      <c r="R2104" s="79">
        <v>7594.76</v>
      </c>
      <c r="S2104" s="79">
        <v>35.119999999999997</v>
      </c>
      <c r="T2104" s="79"/>
      <c r="U2104" s="79">
        <v>0</v>
      </c>
      <c r="V2104" s="189"/>
      <c r="X2104" s="79">
        <v>7594.76</v>
      </c>
      <c r="Y2104" s="79">
        <v>35.119999999999997</v>
      </c>
      <c r="Z2104" s="79">
        <v>7629.88</v>
      </c>
      <c r="AA2104" s="255">
        <v>0</v>
      </c>
      <c r="AC2104" s="254"/>
      <c r="AD2104" s="69"/>
      <c r="AE2104" s="69"/>
    </row>
    <row r="2105" spans="1:31" s="69" customFormat="1" ht="24">
      <c r="A2105" s="67" t="s">
        <v>14568</v>
      </c>
      <c r="B2105" s="65" t="s">
        <v>14569</v>
      </c>
      <c r="C2105" s="71" t="s">
        <v>103</v>
      </c>
      <c r="D2105" s="78">
        <v>1</v>
      </c>
      <c r="E2105" s="79">
        <v>2711.27</v>
      </c>
      <c r="F2105" s="70">
        <v>2711.27</v>
      </c>
      <c r="G2105" s="320"/>
      <c r="H2105" s="79">
        <v>2676.15</v>
      </c>
      <c r="I2105" s="79">
        <v>35.120000000000005</v>
      </c>
      <c r="J2105" s="79">
        <v>2711.27</v>
      </c>
      <c r="K2105" s="79">
        <v>0</v>
      </c>
      <c r="L2105" s="70">
        <v>2711.27</v>
      </c>
      <c r="M2105" s="132"/>
      <c r="N2105" s="79">
        <v>2676.15</v>
      </c>
      <c r="O2105" s="79">
        <v>35.120000000000005</v>
      </c>
      <c r="P2105" s="79">
        <v>2711.27</v>
      </c>
      <c r="Q2105" s="136"/>
      <c r="R2105" s="79">
        <v>2676.15</v>
      </c>
      <c r="S2105" s="79">
        <v>35.119999999999997</v>
      </c>
      <c r="T2105" s="79"/>
      <c r="U2105" s="79">
        <v>0</v>
      </c>
      <c r="V2105" s="189"/>
      <c r="W2105" s="61"/>
      <c r="X2105" s="79">
        <v>2676.15</v>
      </c>
      <c r="Y2105" s="79">
        <v>35.119999999999997</v>
      </c>
      <c r="Z2105" s="79">
        <v>2711.27</v>
      </c>
      <c r="AA2105" s="255">
        <v>0</v>
      </c>
      <c r="AB2105" s="61"/>
      <c r="AC2105" s="254"/>
      <c r="AD2105" s="236"/>
      <c r="AE2105" s="236"/>
    </row>
    <row r="2106" spans="1:31" s="69" customFormat="1" ht="24">
      <c r="A2106" s="67" t="s">
        <v>14570</v>
      </c>
      <c r="B2106" s="65" t="s">
        <v>14571</v>
      </c>
      <c r="C2106" s="71" t="s">
        <v>103</v>
      </c>
      <c r="D2106" s="78">
        <v>1</v>
      </c>
      <c r="E2106" s="79">
        <v>906.73</v>
      </c>
      <c r="F2106" s="70">
        <v>906.73</v>
      </c>
      <c r="G2106" s="320"/>
      <c r="H2106" s="79">
        <v>871.61</v>
      </c>
      <c r="I2106" s="79">
        <v>35.120000000000005</v>
      </c>
      <c r="J2106" s="79">
        <v>906.73</v>
      </c>
      <c r="K2106" s="79">
        <v>0</v>
      </c>
      <c r="L2106" s="70">
        <v>906.73</v>
      </c>
      <c r="M2106" s="132"/>
      <c r="N2106" s="79">
        <v>871.61</v>
      </c>
      <c r="O2106" s="79">
        <v>35.120000000000005</v>
      </c>
      <c r="P2106" s="79">
        <v>906.73</v>
      </c>
      <c r="Q2106" s="136"/>
      <c r="R2106" s="79">
        <v>871.61</v>
      </c>
      <c r="S2106" s="79">
        <v>35.119999999999997</v>
      </c>
      <c r="T2106" s="79"/>
      <c r="U2106" s="79">
        <v>0</v>
      </c>
      <c r="V2106" s="189"/>
      <c r="W2106" s="61"/>
      <c r="X2106" s="79">
        <v>871.61</v>
      </c>
      <c r="Y2106" s="79">
        <v>35.119999999999997</v>
      </c>
      <c r="Z2106" s="79">
        <v>906.73</v>
      </c>
      <c r="AA2106" s="255">
        <v>0</v>
      </c>
      <c r="AB2106" s="61"/>
      <c r="AC2106" s="254"/>
      <c r="AD2106" s="236"/>
      <c r="AE2106" s="236"/>
    </row>
    <row r="2107" spans="1:31" ht="12">
      <c r="A2107" s="489" t="s">
        <v>14572</v>
      </c>
      <c r="B2107" s="490" t="s">
        <v>14573</v>
      </c>
      <c r="C2107" s="491"/>
      <c r="D2107" s="492"/>
      <c r="E2107" s="79"/>
      <c r="F2107" s="63"/>
      <c r="G2107" s="320"/>
      <c r="H2107" s="79"/>
      <c r="I2107" s="79"/>
      <c r="J2107" s="79"/>
      <c r="K2107" s="79"/>
      <c r="L2107" s="70"/>
      <c r="M2107" s="132"/>
      <c r="N2107" s="79"/>
      <c r="O2107" s="79"/>
      <c r="P2107" s="79"/>
      <c r="Q2107" s="136"/>
      <c r="R2107" s="79"/>
      <c r="S2107" s="79"/>
      <c r="T2107" s="79"/>
      <c r="U2107" s="79"/>
      <c r="V2107" s="189"/>
      <c r="X2107" s="79"/>
      <c r="Y2107" s="79"/>
      <c r="Z2107" s="79"/>
      <c r="AA2107" s="255"/>
      <c r="AC2107" s="254"/>
    </row>
    <row r="2108" spans="1:31" ht="24">
      <c r="A2108" s="67" t="s">
        <v>14574</v>
      </c>
      <c r="B2108" s="65" t="s">
        <v>14575</v>
      </c>
      <c r="C2108" s="71" t="s">
        <v>103</v>
      </c>
      <c r="D2108" s="78">
        <v>1</v>
      </c>
      <c r="E2108" s="79">
        <v>695.73</v>
      </c>
      <c r="F2108" s="70">
        <v>695.73</v>
      </c>
      <c r="G2108" s="320"/>
      <c r="H2108" s="79">
        <v>603.78</v>
      </c>
      <c r="I2108" s="79">
        <v>91.949999999999989</v>
      </c>
      <c r="J2108" s="79">
        <v>695.73</v>
      </c>
      <c r="K2108" s="79">
        <v>0</v>
      </c>
      <c r="L2108" s="70">
        <v>695.73</v>
      </c>
      <c r="M2108" s="132"/>
      <c r="N2108" s="79">
        <v>603.78</v>
      </c>
      <c r="O2108" s="79">
        <v>91.949999999999989</v>
      </c>
      <c r="P2108" s="79">
        <v>695.73</v>
      </c>
      <c r="Q2108" s="136"/>
      <c r="R2108" s="79">
        <v>603.78</v>
      </c>
      <c r="S2108" s="79">
        <v>91.96</v>
      </c>
      <c r="T2108" s="79">
        <v>695.74</v>
      </c>
      <c r="U2108" s="79">
        <v>0</v>
      </c>
      <c r="V2108" s="189">
        <v>695.74</v>
      </c>
      <c r="X2108" s="79">
        <v>603.78</v>
      </c>
      <c r="Y2108" s="79">
        <v>91.96</v>
      </c>
      <c r="Z2108" s="79">
        <v>695.74</v>
      </c>
      <c r="AA2108" s="255">
        <v>-9.9999999999909051E-3</v>
      </c>
      <c r="AC2108" s="254"/>
    </row>
    <row r="2109" spans="1:31" ht="24">
      <c r="A2109" s="67" t="s">
        <v>14576</v>
      </c>
      <c r="B2109" s="65" t="s">
        <v>14577</v>
      </c>
      <c r="C2109" s="71" t="s">
        <v>103</v>
      </c>
      <c r="D2109" s="78">
        <v>1</v>
      </c>
      <c r="E2109" s="79">
        <v>551.5</v>
      </c>
      <c r="F2109" s="70">
        <v>551.5</v>
      </c>
      <c r="G2109" s="320"/>
      <c r="H2109" s="79">
        <v>459.55</v>
      </c>
      <c r="I2109" s="79">
        <v>91.949999999999989</v>
      </c>
      <c r="J2109" s="79">
        <v>551.5</v>
      </c>
      <c r="K2109" s="79">
        <v>0</v>
      </c>
      <c r="L2109" s="70">
        <v>551.5</v>
      </c>
      <c r="M2109" s="132"/>
      <c r="N2109" s="79">
        <v>459.55</v>
      </c>
      <c r="O2109" s="79">
        <v>91.949999999999989</v>
      </c>
      <c r="P2109" s="79">
        <v>551.5</v>
      </c>
      <c r="Q2109" s="136"/>
      <c r="R2109" s="79">
        <v>459.55</v>
      </c>
      <c r="S2109" s="79">
        <v>91.96</v>
      </c>
      <c r="T2109" s="79">
        <v>551.51</v>
      </c>
      <c r="U2109" s="79">
        <v>0</v>
      </c>
      <c r="V2109" s="189">
        <v>551.51</v>
      </c>
      <c r="X2109" s="79">
        <v>459.55</v>
      </c>
      <c r="Y2109" s="79">
        <v>91.96</v>
      </c>
      <c r="Z2109" s="79">
        <v>551.51</v>
      </c>
      <c r="AA2109" s="255">
        <v>-9.9999999999909051E-3</v>
      </c>
      <c r="AC2109" s="254"/>
    </row>
    <row r="2110" spans="1:31" ht="24">
      <c r="A2110" s="67" t="s">
        <v>14578</v>
      </c>
      <c r="B2110" s="65" t="s">
        <v>14579</v>
      </c>
      <c r="C2110" s="71" t="s">
        <v>103</v>
      </c>
      <c r="D2110" s="78">
        <v>1</v>
      </c>
      <c r="E2110" s="79">
        <v>514.39</v>
      </c>
      <c r="F2110" s="70">
        <v>514.39</v>
      </c>
      <c r="G2110" s="320"/>
      <c r="H2110" s="79">
        <v>422.44</v>
      </c>
      <c r="I2110" s="79">
        <v>91.949999999999989</v>
      </c>
      <c r="J2110" s="79">
        <v>514.39</v>
      </c>
      <c r="K2110" s="79">
        <v>0</v>
      </c>
      <c r="L2110" s="70">
        <v>514.39</v>
      </c>
      <c r="M2110" s="132"/>
      <c r="N2110" s="79">
        <v>422.44</v>
      </c>
      <c r="O2110" s="79">
        <v>91.949999999999989</v>
      </c>
      <c r="P2110" s="79">
        <v>514.39</v>
      </c>
      <c r="Q2110" s="136"/>
      <c r="R2110" s="79">
        <v>422.44</v>
      </c>
      <c r="S2110" s="79">
        <v>91.96</v>
      </c>
      <c r="T2110" s="79">
        <v>514.4</v>
      </c>
      <c r="U2110" s="79">
        <v>0</v>
      </c>
      <c r="V2110" s="189">
        <v>514.4</v>
      </c>
      <c r="X2110" s="79">
        <v>422.44</v>
      </c>
      <c r="Y2110" s="79">
        <v>91.96</v>
      </c>
      <c r="Z2110" s="79">
        <v>514.4</v>
      </c>
      <c r="AA2110" s="255">
        <v>-9.9999999999909051E-3</v>
      </c>
      <c r="AC2110" s="254"/>
    </row>
    <row r="2111" spans="1:31" ht="24">
      <c r="A2111" s="67" t="s">
        <v>14580</v>
      </c>
      <c r="B2111" s="65" t="s">
        <v>14581</v>
      </c>
      <c r="C2111" s="71" t="s">
        <v>103</v>
      </c>
      <c r="D2111" s="78">
        <v>1</v>
      </c>
      <c r="E2111" s="79">
        <v>486.84999999999997</v>
      </c>
      <c r="F2111" s="70">
        <v>486.85</v>
      </c>
      <c r="G2111" s="320"/>
      <c r="H2111" s="79">
        <v>394.9</v>
      </c>
      <c r="I2111" s="79">
        <v>91.949999999999989</v>
      </c>
      <c r="J2111" s="79">
        <v>486.84999999999997</v>
      </c>
      <c r="K2111" s="79">
        <v>0</v>
      </c>
      <c r="L2111" s="70">
        <v>486.84999999999997</v>
      </c>
      <c r="M2111" s="132"/>
      <c r="N2111" s="79">
        <v>394.9</v>
      </c>
      <c r="O2111" s="79">
        <v>91.949999999999989</v>
      </c>
      <c r="P2111" s="79">
        <v>486.84999999999997</v>
      </c>
      <c r="Q2111" s="136"/>
      <c r="R2111" s="79">
        <v>394.9</v>
      </c>
      <c r="S2111" s="79">
        <v>91.96</v>
      </c>
      <c r="T2111" s="79">
        <v>486.85999999999996</v>
      </c>
      <c r="U2111" s="79">
        <v>0</v>
      </c>
      <c r="V2111" s="189">
        <v>486.85999999999996</v>
      </c>
      <c r="X2111" s="79">
        <v>394.9</v>
      </c>
      <c r="Y2111" s="79">
        <v>91.96</v>
      </c>
      <c r="Z2111" s="79">
        <v>486.86</v>
      </c>
      <c r="AA2111" s="255">
        <v>-9.9999999999909051E-3</v>
      </c>
      <c r="AC2111" s="254"/>
    </row>
    <row r="2112" spans="1:31" ht="24">
      <c r="A2112" s="67" t="s">
        <v>14582</v>
      </c>
      <c r="B2112" s="65" t="s">
        <v>14583</v>
      </c>
      <c r="C2112" s="71" t="s">
        <v>103</v>
      </c>
      <c r="D2112" s="78">
        <v>1</v>
      </c>
      <c r="E2112" s="79">
        <v>969.40000000000009</v>
      </c>
      <c r="F2112" s="70">
        <v>969.4</v>
      </c>
      <c r="G2112" s="320"/>
      <c r="H2112" s="79">
        <v>877.45</v>
      </c>
      <c r="I2112" s="79">
        <v>91.949999999999989</v>
      </c>
      <c r="J2112" s="79">
        <v>969.40000000000009</v>
      </c>
      <c r="K2112" s="79">
        <v>0</v>
      </c>
      <c r="L2112" s="70">
        <v>969.40000000000009</v>
      </c>
      <c r="M2112" s="132"/>
      <c r="N2112" s="79">
        <v>877.45</v>
      </c>
      <c r="O2112" s="79">
        <v>91.949999999999989</v>
      </c>
      <c r="P2112" s="79">
        <v>969.40000000000009</v>
      </c>
      <c r="Q2112" s="136"/>
      <c r="R2112" s="79">
        <v>877.45</v>
      </c>
      <c r="S2112" s="79">
        <v>91.96</v>
      </c>
      <c r="T2112" s="79">
        <v>969.41000000000008</v>
      </c>
      <c r="U2112" s="79">
        <v>0</v>
      </c>
      <c r="V2112" s="189">
        <v>969.41000000000008</v>
      </c>
      <c r="X2112" s="79">
        <v>877.45</v>
      </c>
      <c r="Y2112" s="79">
        <v>91.96</v>
      </c>
      <c r="Z2112" s="79">
        <v>969.41</v>
      </c>
      <c r="AA2112" s="255">
        <v>-9.9999999999909051E-3</v>
      </c>
      <c r="AC2112" s="254"/>
    </row>
    <row r="2113" spans="1:29" ht="24">
      <c r="A2113" s="67" t="s">
        <v>14584</v>
      </c>
      <c r="B2113" s="65" t="s">
        <v>14585</v>
      </c>
      <c r="C2113" s="71" t="s">
        <v>396</v>
      </c>
      <c r="D2113" s="78">
        <v>1</v>
      </c>
      <c r="E2113" s="79">
        <v>59023.16</v>
      </c>
      <c r="F2113" s="70">
        <v>59023.16</v>
      </c>
      <c r="G2113" s="320"/>
      <c r="H2113" s="79">
        <v>58895.08</v>
      </c>
      <c r="I2113" s="79">
        <v>128.07999999999998</v>
      </c>
      <c r="J2113" s="79">
        <v>59023.16</v>
      </c>
      <c r="K2113" s="79">
        <v>0</v>
      </c>
      <c r="L2113" s="70">
        <v>59023.16</v>
      </c>
      <c r="M2113" s="132"/>
      <c r="N2113" s="79">
        <v>58895.08</v>
      </c>
      <c r="O2113" s="79">
        <v>128.07999999999998</v>
      </c>
      <c r="P2113" s="79">
        <v>59023.16</v>
      </c>
      <c r="Q2113" s="136"/>
      <c r="R2113" s="79">
        <v>58895.08</v>
      </c>
      <c r="S2113" s="79">
        <v>128.09</v>
      </c>
      <c r="T2113" s="79">
        <v>59023.17</v>
      </c>
      <c r="U2113" s="79">
        <v>0</v>
      </c>
      <c r="V2113" s="189">
        <v>59023.17</v>
      </c>
      <c r="X2113" s="79">
        <v>58895.08</v>
      </c>
      <c r="Y2113" s="79">
        <v>128.09</v>
      </c>
      <c r="Z2113" s="79">
        <v>59023.17</v>
      </c>
      <c r="AA2113" s="255">
        <v>-9.9999999947613105E-3</v>
      </c>
      <c r="AC2113" s="254"/>
    </row>
    <row r="2114" spans="1:29" ht="12">
      <c r="A2114" s="489" t="s">
        <v>14586</v>
      </c>
      <c r="B2114" s="490" t="s">
        <v>14587</v>
      </c>
      <c r="C2114" s="491"/>
      <c r="D2114" s="492"/>
      <c r="E2114" s="79"/>
      <c r="F2114" s="63"/>
      <c r="G2114" s="320"/>
      <c r="H2114" s="79"/>
      <c r="I2114" s="79"/>
      <c r="J2114" s="79"/>
      <c r="K2114" s="79"/>
      <c r="L2114" s="70"/>
      <c r="M2114" s="132"/>
      <c r="N2114" s="79"/>
      <c r="O2114" s="79"/>
      <c r="P2114" s="79"/>
      <c r="Q2114" s="136"/>
      <c r="R2114" s="79"/>
      <c r="S2114" s="79"/>
      <c r="T2114" s="79"/>
      <c r="U2114" s="79"/>
      <c r="V2114" s="189"/>
      <c r="X2114" s="79"/>
      <c r="Y2114" s="79"/>
      <c r="Z2114" s="79"/>
      <c r="AA2114" s="255"/>
      <c r="AC2114" s="254"/>
    </row>
    <row r="2115" spans="1:29" ht="12">
      <c r="A2115" s="489" t="s">
        <v>14588</v>
      </c>
      <c r="B2115" s="490" t="s">
        <v>14589</v>
      </c>
      <c r="C2115" s="491"/>
      <c r="D2115" s="492"/>
      <c r="E2115" s="79"/>
      <c r="F2115" s="63"/>
      <c r="G2115" s="320"/>
      <c r="H2115" s="79"/>
      <c r="I2115" s="79"/>
      <c r="J2115" s="79"/>
      <c r="K2115" s="79"/>
      <c r="L2115" s="70"/>
      <c r="M2115" s="132"/>
      <c r="N2115" s="79"/>
      <c r="O2115" s="79"/>
      <c r="P2115" s="79"/>
      <c r="Q2115" s="136"/>
      <c r="R2115" s="79"/>
      <c r="S2115" s="79"/>
      <c r="T2115" s="79"/>
      <c r="U2115" s="79"/>
      <c r="V2115" s="189"/>
      <c r="X2115" s="79"/>
      <c r="Y2115" s="79"/>
      <c r="Z2115" s="79"/>
      <c r="AA2115" s="255"/>
      <c r="AC2115" s="254"/>
    </row>
    <row r="2116" spans="1:29" ht="12">
      <c r="A2116" s="67" t="s">
        <v>14590</v>
      </c>
      <c r="B2116" s="65" t="s">
        <v>14591</v>
      </c>
      <c r="C2116" s="71" t="s">
        <v>165</v>
      </c>
      <c r="D2116" s="78">
        <v>1</v>
      </c>
      <c r="E2116" s="79">
        <v>36.089999999999996</v>
      </c>
      <c r="F2116" s="70">
        <v>36.090000000000003</v>
      </c>
      <c r="G2116" s="320"/>
      <c r="H2116" s="79">
        <v>8.15</v>
      </c>
      <c r="I2116" s="79">
        <v>27.939999999999998</v>
      </c>
      <c r="J2116" s="79">
        <v>36.089999999999996</v>
      </c>
      <c r="K2116" s="79">
        <v>0</v>
      </c>
      <c r="L2116" s="70">
        <v>36.089999999999996</v>
      </c>
      <c r="M2116" s="132"/>
      <c r="N2116" s="79">
        <v>8.15</v>
      </c>
      <c r="O2116" s="79">
        <v>27.939999999999998</v>
      </c>
      <c r="P2116" s="79">
        <v>36.089999999999996</v>
      </c>
      <c r="Q2116" s="136"/>
      <c r="R2116" s="79">
        <v>8.15</v>
      </c>
      <c r="S2116" s="79">
        <v>27.92</v>
      </c>
      <c r="T2116" s="79">
        <v>36.07</v>
      </c>
      <c r="U2116" s="79">
        <v>0</v>
      </c>
      <c r="V2116" s="189">
        <v>36.07</v>
      </c>
      <c r="X2116" s="79">
        <v>8.15</v>
      </c>
      <c r="Y2116" s="79">
        <v>27.92</v>
      </c>
      <c r="Z2116" s="79">
        <v>36.07</v>
      </c>
      <c r="AA2116" s="255">
        <v>2.0000000000003126E-2</v>
      </c>
      <c r="AC2116" s="254"/>
    </row>
    <row r="2117" spans="1:29" ht="12">
      <c r="A2117" s="67" t="s">
        <v>14592</v>
      </c>
      <c r="B2117" s="65" t="s">
        <v>14593</v>
      </c>
      <c r="C2117" s="71" t="s">
        <v>165</v>
      </c>
      <c r="D2117" s="78">
        <v>1</v>
      </c>
      <c r="E2117" s="79">
        <v>45.11</v>
      </c>
      <c r="F2117" s="70">
        <v>45.11</v>
      </c>
      <c r="G2117" s="320"/>
      <c r="H2117" s="79">
        <v>11.61</v>
      </c>
      <c r="I2117" s="79">
        <v>33.5</v>
      </c>
      <c r="J2117" s="79">
        <v>45.11</v>
      </c>
      <c r="K2117" s="79">
        <v>0</v>
      </c>
      <c r="L2117" s="70">
        <v>45.11</v>
      </c>
      <c r="M2117" s="132"/>
      <c r="N2117" s="79">
        <v>11.61</v>
      </c>
      <c r="O2117" s="79">
        <v>33.5</v>
      </c>
      <c r="P2117" s="79">
        <v>45.11</v>
      </c>
      <c r="Q2117" s="136"/>
      <c r="R2117" s="79">
        <v>11.61</v>
      </c>
      <c r="S2117" s="79">
        <v>33.5</v>
      </c>
      <c r="T2117" s="79">
        <v>45.11</v>
      </c>
      <c r="U2117" s="79">
        <v>0</v>
      </c>
      <c r="V2117" s="189">
        <v>45.11</v>
      </c>
      <c r="X2117" s="79">
        <v>11.61</v>
      </c>
      <c r="Y2117" s="79">
        <v>33.5</v>
      </c>
      <c r="Z2117" s="79">
        <v>45.11</v>
      </c>
      <c r="AA2117" s="255">
        <v>0</v>
      </c>
      <c r="AC2117" s="254"/>
    </row>
    <row r="2118" spans="1:29" ht="12">
      <c r="A2118" s="67" t="s">
        <v>14594</v>
      </c>
      <c r="B2118" s="65" t="s">
        <v>14595</v>
      </c>
      <c r="C2118" s="71" t="s">
        <v>165</v>
      </c>
      <c r="D2118" s="78">
        <v>1</v>
      </c>
      <c r="E2118" s="79">
        <v>57.58</v>
      </c>
      <c r="F2118" s="70">
        <v>57.58</v>
      </c>
      <c r="G2118" s="320"/>
      <c r="H2118" s="79">
        <v>18.48</v>
      </c>
      <c r="I2118" s="79">
        <v>39.099999999999994</v>
      </c>
      <c r="J2118" s="79">
        <v>57.58</v>
      </c>
      <c r="K2118" s="79">
        <v>0</v>
      </c>
      <c r="L2118" s="70">
        <v>57.58</v>
      </c>
      <c r="M2118" s="132"/>
      <c r="N2118" s="79">
        <v>18.48</v>
      </c>
      <c r="O2118" s="79">
        <v>39.099999999999994</v>
      </c>
      <c r="P2118" s="79">
        <v>57.58</v>
      </c>
      <c r="Q2118" s="136"/>
      <c r="R2118" s="79">
        <v>18.48</v>
      </c>
      <c r="S2118" s="79">
        <v>39.08</v>
      </c>
      <c r="T2118" s="79">
        <v>57.56</v>
      </c>
      <c r="U2118" s="79">
        <v>0</v>
      </c>
      <c r="V2118" s="189">
        <v>57.56</v>
      </c>
      <c r="X2118" s="79">
        <v>18.48</v>
      </c>
      <c r="Y2118" s="79">
        <v>39.08</v>
      </c>
      <c r="Z2118" s="79">
        <v>57.56</v>
      </c>
      <c r="AA2118" s="255">
        <v>1.9999999999996021E-2</v>
      </c>
      <c r="AC2118" s="254"/>
    </row>
    <row r="2119" spans="1:29" ht="12">
      <c r="A2119" s="67" t="s">
        <v>14596</v>
      </c>
      <c r="B2119" s="65" t="s">
        <v>14597</v>
      </c>
      <c r="C2119" s="71" t="s">
        <v>165</v>
      </c>
      <c r="D2119" s="78">
        <v>1</v>
      </c>
      <c r="E2119" s="79">
        <v>64.31</v>
      </c>
      <c r="F2119" s="70">
        <v>64.31</v>
      </c>
      <c r="G2119" s="320"/>
      <c r="H2119" s="79">
        <v>19.649999999999999</v>
      </c>
      <c r="I2119" s="79">
        <v>44.66</v>
      </c>
      <c r="J2119" s="79">
        <v>64.31</v>
      </c>
      <c r="K2119" s="79">
        <v>0</v>
      </c>
      <c r="L2119" s="70">
        <v>64.31</v>
      </c>
      <c r="M2119" s="132"/>
      <c r="N2119" s="79">
        <v>19.649999999999999</v>
      </c>
      <c r="O2119" s="79">
        <v>44.66</v>
      </c>
      <c r="P2119" s="79">
        <v>64.31</v>
      </c>
      <c r="Q2119" s="136"/>
      <c r="R2119" s="79">
        <v>19.649999999999999</v>
      </c>
      <c r="S2119" s="79">
        <v>44.67</v>
      </c>
      <c r="T2119" s="79">
        <v>64.319999999999993</v>
      </c>
      <c r="U2119" s="79">
        <v>0</v>
      </c>
      <c r="V2119" s="189">
        <v>64.319999999999993</v>
      </c>
      <c r="X2119" s="79">
        <v>19.649999999999999</v>
      </c>
      <c r="Y2119" s="79">
        <v>44.67</v>
      </c>
      <c r="Z2119" s="79">
        <v>64.319999999999993</v>
      </c>
      <c r="AA2119" s="255">
        <v>-9.9999999999909051E-3</v>
      </c>
      <c r="AC2119" s="254"/>
    </row>
    <row r="2120" spans="1:29" ht="12">
      <c r="A2120" s="67" t="s">
        <v>14598</v>
      </c>
      <c r="B2120" s="65" t="s">
        <v>14599</v>
      </c>
      <c r="C2120" s="71" t="s">
        <v>165</v>
      </c>
      <c r="D2120" s="78">
        <v>1</v>
      </c>
      <c r="E2120" s="79">
        <v>74.580000000000013</v>
      </c>
      <c r="F2120" s="70">
        <v>74.58</v>
      </c>
      <c r="G2120" s="320"/>
      <c r="H2120" s="79">
        <v>24.32</v>
      </c>
      <c r="I2120" s="79">
        <v>50.260000000000005</v>
      </c>
      <c r="J2120" s="79">
        <v>74.580000000000013</v>
      </c>
      <c r="K2120" s="79">
        <v>0</v>
      </c>
      <c r="L2120" s="70">
        <v>74.580000000000013</v>
      </c>
      <c r="M2120" s="132"/>
      <c r="N2120" s="79">
        <v>24.32</v>
      </c>
      <c r="O2120" s="79">
        <v>50.260000000000005</v>
      </c>
      <c r="P2120" s="79">
        <v>74.580000000000013</v>
      </c>
      <c r="Q2120" s="136"/>
      <c r="R2120" s="79">
        <v>24.32</v>
      </c>
      <c r="S2120" s="79">
        <v>50.25</v>
      </c>
      <c r="T2120" s="79">
        <v>74.569999999999993</v>
      </c>
      <c r="U2120" s="79">
        <v>0</v>
      </c>
      <c r="V2120" s="189">
        <v>74.569999999999993</v>
      </c>
      <c r="X2120" s="79">
        <v>24.32</v>
      </c>
      <c r="Y2120" s="79">
        <v>50.25</v>
      </c>
      <c r="Z2120" s="79">
        <v>74.569999999999993</v>
      </c>
      <c r="AA2120" s="255">
        <v>1.0000000000005116E-2</v>
      </c>
      <c r="AC2120" s="254"/>
    </row>
    <row r="2121" spans="1:29" ht="12">
      <c r="A2121" s="67" t="s">
        <v>14600</v>
      </c>
      <c r="B2121" s="65" t="s">
        <v>14601</v>
      </c>
      <c r="C2121" s="71" t="s">
        <v>165</v>
      </c>
      <c r="D2121" s="78">
        <v>1</v>
      </c>
      <c r="E2121" s="79">
        <v>104.88</v>
      </c>
      <c r="F2121" s="70">
        <v>104.88</v>
      </c>
      <c r="G2121" s="320"/>
      <c r="H2121" s="79">
        <v>49.05</v>
      </c>
      <c r="I2121" s="79">
        <v>55.83</v>
      </c>
      <c r="J2121" s="79">
        <v>104.88</v>
      </c>
      <c r="K2121" s="79">
        <v>0</v>
      </c>
      <c r="L2121" s="70">
        <v>104.88</v>
      </c>
      <c r="M2121" s="132"/>
      <c r="N2121" s="79">
        <v>49.05</v>
      </c>
      <c r="O2121" s="79">
        <v>55.83</v>
      </c>
      <c r="P2121" s="79">
        <v>104.88</v>
      </c>
      <c r="Q2121" s="136"/>
      <c r="R2121" s="79">
        <v>49.05</v>
      </c>
      <c r="S2121" s="79">
        <v>55.83</v>
      </c>
      <c r="T2121" s="79">
        <v>104.88</v>
      </c>
      <c r="U2121" s="79">
        <v>0</v>
      </c>
      <c r="V2121" s="189">
        <v>104.88</v>
      </c>
      <c r="X2121" s="79">
        <v>49.05</v>
      </c>
      <c r="Y2121" s="79">
        <v>55.83</v>
      </c>
      <c r="Z2121" s="79">
        <v>104.88</v>
      </c>
      <c r="AA2121" s="255">
        <v>0</v>
      </c>
      <c r="AC2121" s="254"/>
    </row>
    <row r="2122" spans="1:29" ht="12">
      <c r="A2122" s="67" t="s">
        <v>14602</v>
      </c>
      <c r="B2122" s="65" t="s">
        <v>14603</v>
      </c>
      <c r="C2122" s="71" t="s">
        <v>165</v>
      </c>
      <c r="D2122" s="78">
        <v>1</v>
      </c>
      <c r="E2122" s="79">
        <v>119.82</v>
      </c>
      <c r="F2122" s="70">
        <v>119.82</v>
      </c>
      <c r="G2122" s="320"/>
      <c r="H2122" s="79">
        <v>58.4</v>
      </c>
      <c r="I2122" s="79">
        <v>61.42</v>
      </c>
      <c r="J2122" s="79">
        <v>119.82</v>
      </c>
      <c r="K2122" s="79">
        <v>0</v>
      </c>
      <c r="L2122" s="70">
        <v>119.82</v>
      </c>
      <c r="M2122" s="132"/>
      <c r="N2122" s="79">
        <v>58.4</v>
      </c>
      <c r="O2122" s="79">
        <v>61.42</v>
      </c>
      <c r="P2122" s="79">
        <v>119.82</v>
      </c>
      <c r="Q2122" s="136"/>
      <c r="R2122" s="79">
        <v>58.4</v>
      </c>
      <c r="S2122" s="79">
        <v>61.41</v>
      </c>
      <c r="T2122" s="79">
        <v>119.81</v>
      </c>
      <c r="U2122" s="79">
        <v>0</v>
      </c>
      <c r="V2122" s="189">
        <v>119.81</v>
      </c>
      <c r="X2122" s="79">
        <v>58.4</v>
      </c>
      <c r="Y2122" s="79">
        <v>61.41</v>
      </c>
      <c r="Z2122" s="79">
        <v>119.81</v>
      </c>
      <c r="AA2122" s="255">
        <v>9.9999999999909051E-3</v>
      </c>
      <c r="AC2122" s="254"/>
    </row>
    <row r="2123" spans="1:29" ht="12">
      <c r="A2123" s="67" t="s">
        <v>14604</v>
      </c>
      <c r="B2123" s="65" t="s">
        <v>14605</v>
      </c>
      <c r="C2123" s="71" t="s">
        <v>165</v>
      </c>
      <c r="D2123" s="78">
        <v>1</v>
      </c>
      <c r="E2123" s="79">
        <v>158.47</v>
      </c>
      <c r="F2123" s="70">
        <v>158.47</v>
      </c>
      <c r="G2123" s="320"/>
      <c r="H2123" s="79">
        <v>85.89</v>
      </c>
      <c r="I2123" s="79">
        <v>72.58</v>
      </c>
      <c r="J2123" s="79">
        <v>158.47</v>
      </c>
      <c r="K2123" s="79">
        <v>0</v>
      </c>
      <c r="L2123" s="70">
        <v>158.47</v>
      </c>
      <c r="M2123" s="132"/>
      <c r="N2123" s="79">
        <v>85.89</v>
      </c>
      <c r="O2123" s="79">
        <v>72.58</v>
      </c>
      <c r="P2123" s="79">
        <v>158.47</v>
      </c>
      <c r="Q2123" s="136"/>
      <c r="R2123" s="79">
        <v>85.89</v>
      </c>
      <c r="S2123" s="79">
        <v>72.58</v>
      </c>
      <c r="T2123" s="79">
        <v>158.47</v>
      </c>
      <c r="U2123" s="79">
        <v>0</v>
      </c>
      <c r="V2123" s="189">
        <v>158.47</v>
      </c>
      <c r="X2123" s="79">
        <v>85.89</v>
      </c>
      <c r="Y2123" s="79">
        <v>72.58</v>
      </c>
      <c r="Z2123" s="79">
        <v>158.47</v>
      </c>
      <c r="AA2123" s="255">
        <v>0</v>
      </c>
      <c r="AC2123" s="254"/>
    </row>
    <row r="2124" spans="1:29" ht="12">
      <c r="A2124" s="489" t="s">
        <v>14606</v>
      </c>
      <c r="B2124" s="490" t="s">
        <v>14607</v>
      </c>
      <c r="C2124" s="491"/>
      <c r="D2124" s="492"/>
      <c r="E2124" s="79"/>
      <c r="F2124" s="63"/>
      <c r="G2124" s="320"/>
      <c r="H2124" s="79"/>
      <c r="I2124" s="79"/>
      <c r="J2124" s="79"/>
      <c r="K2124" s="79"/>
      <c r="L2124" s="70"/>
      <c r="M2124" s="132"/>
      <c r="N2124" s="79"/>
      <c r="O2124" s="79"/>
      <c r="P2124" s="79"/>
      <c r="Q2124" s="136"/>
      <c r="R2124" s="79"/>
      <c r="S2124" s="79"/>
      <c r="T2124" s="79"/>
      <c r="U2124" s="79"/>
      <c r="V2124" s="189"/>
      <c r="X2124" s="79"/>
      <c r="Y2124" s="79"/>
      <c r="Z2124" s="79"/>
      <c r="AA2124" s="255"/>
      <c r="AC2124" s="254"/>
    </row>
    <row r="2125" spans="1:29" ht="12">
      <c r="A2125" s="67" t="s">
        <v>14608</v>
      </c>
      <c r="B2125" s="65" t="s">
        <v>14609</v>
      </c>
      <c r="C2125" s="71" t="s">
        <v>165</v>
      </c>
      <c r="D2125" s="78">
        <v>1</v>
      </c>
      <c r="E2125" s="79">
        <v>47.54</v>
      </c>
      <c r="F2125" s="70">
        <v>47.54</v>
      </c>
      <c r="G2125" s="320"/>
      <c r="H2125" s="79">
        <v>14.04</v>
      </c>
      <c r="I2125" s="79">
        <v>33.5</v>
      </c>
      <c r="J2125" s="79">
        <v>47.54</v>
      </c>
      <c r="K2125" s="79">
        <v>0</v>
      </c>
      <c r="L2125" s="70">
        <v>47.54</v>
      </c>
      <c r="M2125" s="132"/>
      <c r="N2125" s="79">
        <v>14.04</v>
      </c>
      <c r="O2125" s="79">
        <v>33.5</v>
      </c>
      <c r="P2125" s="79">
        <v>47.54</v>
      </c>
      <c r="Q2125" s="136"/>
      <c r="R2125" s="79">
        <v>14.04</v>
      </c>
      <c r="S2125" s="79">
        <v>33.5</v>
      </c>
      <c r="T2125" s="79">
        <v>47.54</v>
      </c>
      <c r="U2125" s="79">
        <v>0</v>
      </c>
      <c r="V2125" s="189">
        <v>47.54</v>
      </c>
      <c r="X2125" s="79">
        <v>14.04</v>
      </c>
      <c r="Y2125" s="79">
        <v>33.5</v>
      </c>
      <c r="Z2125" s="79">
        <v>47.54</v>
      </c>
      <c r="AA2125" s="255">
        <v>0</v>
      </c>
      <c r="AC2125" s="254"/>
    </row>
    <row r="2126" spans="1:29" ht="12">
      <c r="A2126" s="67" t="s">
        <v>14610</v>
      </c>
      <c r="B2126" s="65" t="s">
        <v>14611</v>
      </c>
      <c r="C2126" s="71" t="s">
        <v>165</v>
      </c>
      <c r="D2126" s="78">
        <v>1</v>
      </c>
      <c r="E2126" s="79">
        <v>57.36</v>
      </c>
      <c r="F2126" s="70">
        <v>57.36</v>
      </c>
      <c r="G2126" s="320"/>
      <c r="H2126" s="79">
        <v>18.260000000000002</v>
      </c>
      <c r="I2126" s="79">
        <v>39.099999999999994</v>
      </c>
      <c r="J2126" s="79">
        <v>57.36</v>
      </c>
      <c r="K2126" s="79">
        <v>0</v>
      </c>
      <c r="L2126" s="70">
        <v>57.36</v>
      </c>
      <c r="M2126" s="132"/>
      <c r="N2126" s="79">
        <v>18.260000000000002</v>
      </c>
      <c r="O2126" s="79">
        <v>39.099999999999994</v>
      </c>
      <c r="P2126" s="79">
        <v>57.36</v>
      </c>
      <c r="Q2126" s="136"/>
      <c r="R2126" s="79">
        <v>18.260000000000002</v>
      </c>
      <c r="S2126" s="79">
        <v>39.08</v>
      </c>
      <c r="T2126" s="79">
        <v>57.34</v>
      </c>
      <c r="U2126" s="79">
        <v>0</v>
      </c>
      <c r="V2126" s="189">
        <v>57.34</v>
      </c>
      <c r="X2126" s="79">
        <v>18.260000000000002</v>
      </c>
      <c r="Y2126" s="79">
        <v>39.08</v>
      </c>
      <c r="Z2126" s="79">
        <v>57.34</v>
      </c>
      <c r="AA2126" s="255">
        <v>1.9999999999996021E-2</v>
      </c>
      <c r="AC2126" s="254"/>
    </row>
    <row r="2127" spans="1:29" ht="12">
      <c r="A2127" s="67" t="s">
        <v>14612</v>
      </c>
      <c r="B2127" s="65" t="s">
        <v>14613</v>
      </c>
      <c r="C2127" s="71" t="s">
        <v>165</v>
      </c>
      <c r="D2127" s="78">
        <v>1</v>
      </c>
      <c r="E2127" s="79">
        <v>74.94</v>
      </c>
      <c r="F2127" s="70">
        <v>74.94</v>
      </c>
      <c r="G2127" s="320"/>
      <c r="H2127" s="79">
        <v>30.28</v>
      </c>
      <c r="I2127" s="79">
        <v>44.66</v>
      </c>
      <c r="J2127" s="79">
        <v>74.94</v>
      </c>
      <c r="K2127" s="79">
        <v>0</v>
      </c>
      <c r="L2127" s="70">
        <v>74.94</v>
      </c>
      <c r="M2127" s="132"/>
      <c r="N2127" s="79">
        <v>30.28</v>
      </c>
      <c r="O2127" s="79">
        <v>44.66</v>
      </c>
      <c r="P2127" s="79">
        <v>74.94</v>
      </c>
      <c r="Q2127" s="136"/>
      <c r="R2127" s="79">
        <v>30.28</v>
      </c>
      <c r="S2127" s="79">
        <v>44.67</v>
      </c>
      <c r="T2127" s="79">
        <v>74.95</v>
      </c>
      <c r="U2127" s="79">
        <v>0</v>
      </c>
      <c r="V2127" s="189">
        <v>74.95</v>
      </c>
      <c r="X2127" s="79">
        <v>30.28</v>
      </c>
      <c r="Y2127" s="79">
        <v>44.67</v>
      </c>
      <c r="Z2127" s="79">
        <v>74.95</v>
      </c>
      <c r="AA2127" s="255">
        <v>-1.0000000000005116E-2</v>
      </c>
      <c r="AC2127" s="254"/>
    </row>
    <row r="2128" spans="1:29" ht="12">
      <c r="A2128" s="67" t="s">
        <v>14614</v>
      </c>
      <c r="B2128" s="65" t="s">
        <v>3701</v>
      </c>
      <c r="C2128" s="71" t="s">
        <v>165</v>
      </c>
      <c r="D2128" s="78">
        <v>1</v>
      </c>
      <c r="E2128" s="79">
        <v>84.890000000000015</v>
      </c>
      <c r="F2128" s="70">
        <v>84.89</v>
      </c>
      <c r="G2128" s="320"/>
      <c r="H2128" s="79">
        <v>34.630000000000003</v>
      </c>
      <c r="I2128" s="79">
        <v>50.260000000000005</v>
      </c>
      <c r="J2128" s="79">
        <v>84.890000000000015</v>
      </c>
      <c r="K2128" s="79">
        <v>0</v>
      </c>
      <c r="L2128" s="70">
        <v>84.890000000000015</v>
      </c>
      <c r="M2128" s="132"/>
      <c r="N2128" s="79">
        <v>34.630000000000003</v>
      </c>
      <c r="O2128" s="79">
        <v>50.260000000000005</v>
      </c>
      <c r="P2128" s="79">
        <v>84.890000000000015</v>
      </c>
      <c r="Q2128" s="136"/>
      <c r="R2128" s="79">
        <v>34.630000000000003</v>
      </c>
      <c r="S2128" s="79">
        <v>50.25</v>
      </c>
      <c r="T2128" s="79">
        <v>84.88</v>
      </c>
      <c r="U2128" s="79">
        <v>0</v>
      </c>
      <c r="V2128" s="189">
        <v>84.88</v>
      </c>
      <c r="X2128" s="79">
        <v>34.630000000000003</v>
      </c>
      <c r="Y2128" s="79">
        <v>50.25</v>
      </c>
      <c r="Z2128" s="79">
        <v>84.88</v>
      </c>
      <c r="AA2128" s="255">
        <v>1.0000000000005116E-2</v>
      </c>
      <c r="AC2128" s="254"/>
    </row>
    <row r="2129" spans="1:31" ht="12">
      <c r="A2129" s="67" t="s">
        <v>14615</v>
      </c>
      <c r="B2129" s="65" t="s">
        <v>14616</v>
      </c>
      <c r="C2129" s="71" t="s">
        <v>165</v>
      </c>
      <c r="D2129" s="78">
        <v>1</v>
      </c>
      <c r="E2129" s="79">
        <v>99.47999999999999</v>
      </c>
      <c r="F2129" s="70">
        <v>99.48</v>
      </c>
      <c r="G2129" s="320"/>
      <c r="H2129" s="79">
        <v>43.65</v>
      </c>
      <c r="I2129" s="79">
        <v>55.83</v>
      </c>
      <c r="J2129" s="79">
        <v>99.47999999999999</v>
      </c>
      <c r="K2129" s="79">
        <v>0</v>
      </c>
      <c r="L2129" s="70">
        <v>99.47999999999999</v>
      </c>
      <c r="M2129" s="132"/>
      <c r="N2129" s="79">
        <v>43.65</v>
      </c>
      <c r="O2129" s="79">
        <v>55.83</v>
      </c>
      <c r="P2129" s="79">
        <v>99.47999999999999</v>
      </c>
      <c r="Q2129" s="136"/>
      <c r="R2129" s="79">
        <v>43.65</v>
      </c>
      <c r="S2129" s="79">
        <v>55.83</v>
      </c>
      <c r="T2129" s="79">
        <v>99.47999999999999</v>
      </c>
      <c r="U2129" s="79">
        <v>0</v>
      </c>
      <c r="V2129" s="189">
        <v>99.47999999999999</v>
      </c>
      <c r="X2129" s="79">
        <v>43.65</v>
      </c>
      <c r="Y2129" s="79">
        <v>55.83</v>
      </c>
      <c r="Z2129" s="79">
        <v>99.48</v>
      </c>
      <c r="AA2129" s="255">
        <v>0</v>
      </c>
      <c r="AC2129" s="254"/>
    </row>
    <row r="2130" spans="1:31" ht="12">
      <c r="A2130" s="67" t="s">
        <v>14617</v>
      </c>
      <c r="B2130" s="65" t="s">
        <v>14618</v>
      </c>
      <c r="C2130" s="71" t="s">
        <v>165</v>
      </c>
      <c r="D2130" s="78">
        <v>1</v>
      </c>
      <c r="E2130" s="79">
        <v>128.99</v>
      </c>
      <c r="F2130" s="70">
        <v>128.99</v>
      </c>
      <c r="G2130" s="320"/>
      <c r="H2130" s="79">
        <v>62</v>
      </c>
      <c r="I2130" s="79">
        <v>66.990000000000009</v>
      </c>
      <c r="J2130" s="79">
        <v>128.99</v>
      </c>
      <c r="K2130" s="79">
        <v>0</v>
      </c>
      <c r="L2130" s="70">
        <v>128.99</v>
      </c>
      <c r="M2130" s="132"/>
      <c r="N2130" s="79">
        <v>62</v>
      </c>
      <c r="O2130" s="79">
        <v>66.990000000000009</v>
      </c>
      <c r="P2130" s="79">
        <v>128.99</v>
      </c>
      <c r="Q2130" s="136"/>
      <c r="R2130" s="79">
        <v>62</v>
      </c>
      <c r="S2130" s="79">
        <v>66.989999999999995</v>
      </c>
      <c r="T2130" s="79">
        <v>128.99</v>
      </c>
      <c r="U2130" s="79">
        <v>0</v>
      </c>
      <c r="V2130" s="189">
        <v>128.99</v>
      </c>
      <c r="X2130" s="79">
        <v>62</v>
      </c>
      <c r="Y2130" s="79">
        <v>66.989999999999995</v>
      </c>
      <c r="Z2130" s="79">
        <v>128.99</v>
      </c>
      <c r="AA2130" s="255">
        <v>0</v>
      </c>
      <c r="AC2130" s="254"/>
    </row>
    <row r="2131" spans="1:31" ht="12">
      <c r="A2131" s="67" t="s">
        <v>14619</v>
      </c>
      <c r="B2131" s="65" t="s">
        <v>14620</v>
      </c>
      <c r="C2131" s="71" t="s">
        <v>165</v>
      </c>
      <c r="D2131" s="78">
        <v>1</v>
      </c>
      <c r="E2131" s="79">
        <v>154.97</v>
      </c>
      <c r="F2131" s="70">
        <v>154.97</v>
      </c>
      <c r="G2131" s="320"/>
      <c r="H2131" s="79">
        <v>71.209999999999994</v>
      </c>
      <c r="I2131" s="79">
        <v>83.76</v>
      </c>
      <c r="J2131" s="79">
        <v>154.97</v>
      </c>
      <c r="K2131" s="79">
        <v>0</v>
      </c>
      <c r="L2131" s="70">
        <v>154.97</v>
      </c>
      <c r="M2131" s="132"/>
      <c r="N2131" s="79">
        <v>71.209999999999994</v>
      </c>
      <c r="O2131" s="79">
        <v>83.76</v>
      </c>
      <c r="P2131" s="79">
        <v>154.97</v>
      </c>
      <c r="Q2131" s="136"/>
      <c r="R2131" s="79">
        <v>71.209999999999994</v>
      </c>
      <c r="S2131" s="79">
        <v>83.75</v>
      </c>
      <c r="T2131" s="79">
        <v>154.95999999999998</v>
      </c>
      <c r="U2131" s="79">
        <v>0</v>
      </c>
      <c r="V2131" s="189">
        <v>154.95999999999998</v>
      </c>
      <c r="X2131" s="79">
        <v>71.209999999999994</v>
      </c>
      <c r="Y2131" s="79">
        <v>83.75</v>
      </c>
      <c r="Z2131" s="79">
        <v>154.96</v>
      </c>
      <c r="AA2131" s="255">
        <v>9.9999999999909051E-3</v>
      </c>
      <c r="AC2131" s="254"/>
    </row>
    <row r="2132" spans="1:31" ht="12">
      <c r="A2132" s="67" t="s">
        <v>14621</v>
      </c>
      <c r="B2132" s="65" t="s">
        <v>14622</v>
      </c>
      <c r="C2132" s="71" t="s">
        <v>165</v>
      </c>
      <c r="D2132" s="78">
        <v>1</v>
      </c>
      <c r="E2132" s="79">
        <v>187.5</v>
      </c>
      <c r="F2132" s="70">
        <v>187.5</v>
      </c>
      <c r="G2132" s="320"/>
      <c r="H2132" s="79">
        <v>87.01</v>
      </c>
      <c r="I2132" s="79">
        <v>100.49000000000001</v>
      </c>
      <c r="J2132" s="79">
        <v>187.5</v>
      </c>
      <c r="K2132" s="79">
        <v>0</v>
      </c>
      <c r="L2132" s="70">
        <v>187.5</v>
      </c>
      <c r="M2132" s="132"/>
      <c r="N2132" s="79">
        <v>87.01</v>
      </c>
      <c r="O2132" s="79">
        <v>100.49000000000001</v>
      </c>
      <c r="P2132" s="79">
        <v>187.5</v>
      </c>
      <c r="Q2132" s="136"/>
      <c r="R2132" s="79">
        <v>87.01</v>
      </c>
      <c r="S2132" s="79">
        <v>100.5</v>
      </c>
      <c r="T2132" s="79">
        <v>187.51</v>
      </c>
      <c r="U2132" s="79">
        <v>0</v>
      </c>
      <c r="V2132" s="189">
        <v>187.51</v>
      </c>
      <c r="X2132" s="79">
        <v>87.01</v>
      </c>
      <c r="Y2132" s="79">
        <v>100.5</v>
      </c>
      <c r="Z2132" s="79">
        <v>187.51</v>
      </c>
      <c r="AA2132" s="255">
        <v>-9.9999999999909051E-3</v>
      </c>
      <c r="AC2132" s="254"/>
    </row>
    <row r="2133" spans="1:31" ht="12">
      <c r="A2133" s="489" t="s">
        <v>14623</v>
      </c>
      <c r="B2133" s="490" t="s">
        <v>14624</v>
      </c>
      <c r="C2133" s="491"/>
      <c r="D2133" s="492"/>
      <c r="E2133" s="79"/>
      <c r="F2133" s="63"/>
      <c r="G2133" s="320"/>
      <c r="H2133" s="79"/>
      <c r="I2133" s="79"/>
      <c r="J2133" s="79"/>
      <c r="K2133" s="79"/>
      <c r="L2133" s="70"/>
      <c r="M2133" s="132"/>
      <c r="N2133" s="79"/>
      <c r="O2133" s="79"/>
      <c r="P2133" s="79"/>
      <c r="Q2133" s="136"/>
      <c r="R2133" s="79"/>
      <c r="S2133" s="79"/>
      <c r="T2133" s="79"/>
      <c r="U2133" s="79"/>
      <c r="V2133" s="189"/>
      <c r="X2133" s="79"/>
      <c r="Y2133" s="79"/>
      <c r="Z2133" s="79"/>
      <c r="AA2133" s="255"/>
      <c r="AC2133" s="254"/>
    </row>
    <row r="2134" spans="1:31" ht="12">
      <c r="A2134" s="67" t="s">
        <v>14625</v>
      </c>
      <c r="B2134" s="65" t="s">
        <v>14626</v>
      </c>
      <c r="C2134" s="71" t="s">
        <v>165</v>
      </c>
      <c r="D2134" s="78">
        <v>1</v>
      </c>
      <c r="E2134" s="79">
        <v>50.480000000000004</v>
      </c>
      <c r="F2134" s="70">
        <v>50.48</v>
      </c>
      <c r="G2134" s="320"/>
      <c r="H2134" s="79">
        <v>16.98</v>
      </c>
      <c r="I2134" s="79">
        <v>33.5</v>
      </c>
      <c r="J2134" s="79">
        <v>50.480000000000004</v>
      </c>
      <c r="K2134" s="79">
        <v>0</v>
      </c>
      <c r="L2134" s="70">
        <v>50.480000000000004</v>
      </c>
      <c r="M2134" s="132"/>
      <c r="N2134" s="79">
        <v>16.98</v>
      </c>
      <c r="O2134" s="79">
        <v>33.5</v>
      </c>
      <c r="P2134" s="79">
        <v>50.480000000000004</v>
      </c>
      <c r="Q2134" s="136"/>
      <c r="R2134" s="79">
        <v>16.98</v>
      </c>
      <c r="S2134" s="79">
        <v>33.5</v>
      </c>
      <c r="T2134" s="79">
        <v>50.480000000000004</v>
      </c>
      <c r="U2134" s="79">
        <v>0</v>
      </c>
      <c r="V2134" s="189">
        <v>50.480000000000004</v>
      </c>
      <c r="X2134" s="79">
        <v>16.98</v>
      </c>
      <c r="Y2134" s="79">
        <v>33.5</v>
      </c>
      <c r="Z2134" s="79">
        <v>50.48</v>
      </c>
      <c r="AA2134" s="255">
        <v>0</v>
      </c>
      <c r="AC2134" s="254"/>
    </row>
    <row r="2135" spans="1:31" ht="12">
      <c r="A2135" s="67" t="s">
        <v>14627</v>
      </c>
      <c r="B2135" s="65" t="s">
        <v>14628</v>
      </c>
      <c r="C2135" s="71" t="s">
        <v>165</v>
      </c>
      <c r="D2135" s="78">
        <v>1</v>
      </c>
      <c r="E2135" s="79">
        <v>60.519999999999996</v>
      </c>
      <c r="F2135" s="70">
        <v>60.52</v>
      </c>
      <c r="G2135" s="320"/>
      <c r="H2135" s="79">
        <v>21.42</v>
      </c>
      <c r="I2135" s="79">
        <v>39.099999999999994</v>
      </c>
      <c r="J2135" s="79">
        <v>60.519999999999996</v>
      </c>
      <c r="K2135" s="79">
        <v>0</v>
      </c>
      <c r="L2135" s="70">
        <v>60.519999999999996</v>
      </c>
      <c r="M2135" s="132"/>
      <c r="N2135" s="79">
        <v>21.42</v>
      </c>
      <c r="O2135" s="79">
        <v>39.099999999999994</v>
      </c>
      <c r="P2135" s="79">
        <v>60.519999999999996</v>
      </c>
      <c r="Q2135" s="136"/>
      <c r="R2135" s="79">
        <v>21.42</v>
      </c>
      <c r="S2135" s="79">
        <v>39.08</v>
      </c>
      <c r="T2135" s="79">
        <v>60.5</v>
      </c>
      <c r="U2135" s="79">
        <v>0</v>
      </c>
      <c r="V2135" s="189">
        <v>60.5</v>
      </c>
      <c r="X2135" s="79">
        <v>21.42</v>
      </c>
      <c r="Y2135" s="79">
        <v>39.08</v>
      </c>
      <c r="Z2135" s="79">
        <v>60.5</v>
      </c>
      <c r="AA2135" s="255">
        <v>2.0000000000003126E-2</v>
      </c>
      <c r="AC2135" s="254"/>
    </row>
    <row r="2136" spans="1:31" ht="12">
      <c r="A2136" s="67" t="s">
        <v>14629</v>
      </c>
      <c r="B2136" s="65" t="s">
        <v>14630</v>
      </c>
      <c r="C2136" s="71" t="s">
        <v>165</v>
      </c>
      <c r="D2136" s="78">
        <v>1</v>
      </c>
      <c r="E2136" s="79">
        <v>80.02</v>
      </c>
      <c r="F2136" s="70">
        <v>80.02</v>
      </c>
      <c r="G2136" s="320"/>
      <c r="H2136" s="79">
        <v>35.36</v>
      </c>
      <c r="I2136" s="79">
        <v>44.66</v>
      </c>
      <c r="J2136" s="79">
        <v>80.02</v>
      </c>
      <c r="K2136" s="79">
        <v>0</v>
      </c>
      <c r="L2136" s="70">
        <v>80.02</v>
      </c>
      <c r="M2136" s="132"/>
      <c r="N2136" s="79">
        <v>35.36</v>
      </c>
      <c r="O2136" s="79">
        <v>44.66</v>
      </c>
      <c r="P2136" s="79">
        <v>80.02</v>
      </c>
      <c r="Q2136" s="136"/>
      <c r="R2136" s="79">
        <v>35.36</v>
      </c>
      <c r="S2136" s="79">
        <v>44.67</v>
      </c>
      <c r="T2136" s="79">
        <v>80.03</v>
      </c>
      <c r="U2136" s="79">
        <v>0</v>
      </c>
      <c r="V2136" s="189">
        <v>80.03</v>
      </c>
      <c r="X2136" s="79">
        <v>35.36</v>
      </c>
      <c r="Y2136" s="79">
        <v>44.67</v>
      </c>
      <c r="Z2136" s="79">
        <v>80.03</v>
      </c>
      <c r="AA2136" s="255">
        <v>-1.0000000000005116E-2</v>
      </c>
      <c r="AC2136" s="254"/>
    </row>
    <row r="2137" spans="1:31" ht="12">
      <c r="A2137" s="67" t="s">
        <v>14631</v>
      </c>
      <c r="B2137" s="65" t="s">
        <v>14632</v>
      </c>
      <c r="C2137" s="71" t="s">
        <v>165</v>
      </c>
      <c r="D2137" s="78">
        <v>1</v>
      </c>
      <c r="E2137" s="79">
        <v>91.42</v>
      </c>
      <c r="F2137" s="70">
        <v>91.42</v>
      </c>
      <c r="G2137" s="320"/>
      <c r="H2137" s="79">
        <v>41.16</v>
      </c>
      <c r="I2137" s="79">
        <v>50.260000000000005</v>
      </c>
      <c r="J2137" s="79">
        <v>91.42</v>
      </c>
      <c r="K2137" s="79">
        <v>0</v>
      </c>
      <c r="L2137" s="70">
        <v>91.42</v>
      </c>
      <c r="M2137" s="132"/>
      <c r="N2137" s="79">
        <v>41.16</v>
      </c>
      <c r="O2137" s="79">
        <v>50.260000000000005</v>
      </c>
      <c r="P2137" s="79">
        <v>91.42</v>
      </c>
      <c r="Q2137" s="136"/>
      <c r="R2137" s="79">
        <v>41.16</v>
      </c>
      <c r="S2137" s="79">
        <v>50.25</v>
      </c>
      <c r="T2137" s="79">
        <v>91.41</v>
      </c>
      <c r="U2137" s="79">
        <v>0</v>
      </c>
      <c r="V2137" s="189">
        <v>91.41</v>
      </c>
      <c r="X2137" s="79">
        <v>41.16</v>
      </c>
      <c r="Y2137" s="79">
        <v>50.25</v>
      </c>
      <c r="Z2137" s="79">
        <v>91.41</v>
      </c>
      <c r="AA2137" s="255">
        <v>1.0000000000005116E-2</v>
      </c>
      <c r="AC2137" s="254"/>
    </row>
    <row r="2138" spans="1:31" ht="12">
      <c r="A2138" s="67" t="s">
        <v>14633</v>
      </c>
      <c r="B2138" s="65" t="s">
        <v>14634</v>
      </c>
      <c r="C2138" s="71" t="s">
        <v>165</v>
      </c>
      <c r="D2138" s="78">
        <v>1</v>
      </c>
      <c r="E2138" s="79">
        <v>108.72999999999999</v>
      </c>
      <c r="F2138" s="70">
        <v>108.73</v>
      </c>
      <c r="G2138" s="320"/>
      <c r="H2138" s="79">
        <v>52.9</v>
      </c>
      <c r="I2138" s="79">
        <v>55.83</v>
      </c>
      <c r="J2138" s="79">
        <v>108.72999999999999</v>
      </c>
      <c r="K2138" s="79">
        <v>0</v>
      </c>
      <c r="L2138" s="70">
        <v>108.72999999999999</v>
      </c>
      <c r="M2138" s="132"/>
      <c r="N2138" s="79">
        <v>52.9</v>
      </c>
      <c r="O2138" s="79">
        <v>55.83</v>
      </c>
      <c r="P2138" s="79">
        <v>108.72999999999999</v>
      </c>
      <c r="Q2138" s="136"/>
      <c r="R2138" s="79">
        <v>52.9</v>
      </c>
      <c r="S2138" s="79">
        <v>55.83</v>
      </c>
      <c r="T2138" s="79">
        <v>108.72999999999999</v>
      </c>
      <c r="U2138" s="79">
        <v>0</v>
      </c>
      <c r="V2138" s="189">
        <v>108.72999999999999</v>
      </c>
      <c r="X2138" s="79">
        <v>52.9</v>
      </c>
      <c r="Y2138" s="79">
        <v>55.83</v>
      </c>
      <c r="Z2138" s="79">
        <v>108.73</v>
      </c>
      <c r="AA2138" s="255">
        <v>0</v>
      </c>
      <c r="AC2138" s="254"/>
    </row>
    <row r="2139" spans="1:31" ht="12">
      <c r="A2139" s="67" t="s">
        <v>14635</v>
      </c>
      <c r="B2139" s="65" t="s">
        <v>14636</v>
      </c>
      <c r="C2139" s="71" t="s">
        <v>165</v>
      </c>
      <c r="D2139" s="78">
        <v>1</v>
      </c>
      <c r="E2139" s="79">
        <v>148.06</v>
      </c>
      <c r="F2139" s="70">
        <v>148.06</v>
      </c>
      <c r="G2139" s="320"/>
      <c r="H2139" s="79">
        <v>81.069999999999993</v>
      </c>
      <c r="I2139" s="79">
        <v>66.990000000000009</v>
      </c>
      <c r="J2139" s="79">
        <v>148.06</v>
      </c>
      <c r="K2139" s="79">
        <v>0</v>
      </c>
      <c r="L2139" s="70">
        <v>148.06</v>
      </c>
      <c r="M2139" s="132"/>
      <c r="N2139" s="79">
        <v>81.069999999999993</v>
      </c>
      <c r="O2139" s="79">
        <v>66.990000000000009</v>
      </c>
      <c r="P2139" s="79">
        <v>148.06</v>
      </c>
      <c r="Q2139" s="136"/>
      <c r="R2139" s="79">
        <v>81.069999999999993</v>
      </c>
      <c r="S2139" s="79">
        <v>66.989999999999995</v>
      </c>
      <c r="T2139" s="79">
        <v>148.06</v>
      </c>
      <c r="U2139" s="79">
        <v>0</v>
      </c>
      <c r="V2139" s="189">
        <v>148.06</v>
      </c>
      <c r="X2139" s="79">
        <v>81.069999999999993</v>
      </c>
      <c r="Y2139" s="79">
        <v>66.989999999999995</v>
      </c>
      <c r="Z2139" s="79">
        <v>148.06</v>
      </c>
      <c r="AA2139" s="255">
        <v>0</v>
      </c>
      <c r="AC2139" s="254"/>
    </row>
    <row r="2140" spans="1:31" ht="12">
      <c r="A2140" s="67" t="s">
        <v>14637</v>
      </c>
      <c r="B2140" s="65" t="s">
        <v>14638</v>
      </c>
      <c r="C2140" s="71" t="s">
        <v>165</v>
      </c>
      <c r="D2140" s="78">
        <v>1</v>
      </c>
      <c r="E2140" s="79">
        <v>176.93</v>
      </c>
      <c r="F2140" s="70">
        <v>176.93</v>
      </c>
      <c r="G2140" s="320"/>
      <c r="H2140" s="79">
        <v>93.17</v>
      </c>
      <c r="I2140" s="79">
        <v>83.76</v>
      </c>
      <c r="J2140" s="79">
        <v>176.93</v>
      </c>
      <c r="K2140" s="79">
        <v>0</v>
      </c>
      <c r="L2140" s="70">
        <v>176.93</v>
      </c>
      <c r="M2140" s="132"/>
      <c r="N2140" s="79">
        <v>93.17</v>
      </c>
      <c r="O2140" s="79">
        <v>83.76</v>
      </c>
      <c r="P2140" s="79">
        <v>176.93</v>
      </c>
      <c r="Q2140" s="136"/>
      <c r="R2140" s="79">
        <v>93.17</v>
      </c>
      <c r="S2140" s="79">
        <v>83.75</v>
      </c>
      <c r="T2140" s="79">
        <v>176.92000000000002</v>
      </c>
      <c r="U2140" s="79">
        <v>0</v>
      </c>
      <c r="V2140" s="189">
        <v>176.92000000000002</v>
      </c>
      <c r="X2140" s="79">
        <v>93.17</v>
      </c>
      <c r="Y2140" s="79">
        <v>83.75</v>
      </c>
      <c r="Z2140" s="79">
        <v>176.92</v>
      </c>
      <c r="AA2140" s="255">
        <v>1.0000000000019327E-2</v>
      </c>
      <c r="AC2140" s="254"/>
    </row>
    <row r="2141" spans="1:31" ht="12">
      <c r="A2141" s="67" t="s">
        <v>14639</v>
      </c>
      <c r="B2141" s="65" t="s">
        <v>14640</v>
      </c>
      <c r="C2141" s="71" t="s">
        <v>165</v>
      </c>
      <c r="D2141" s="78">
        <v>1</v>
      </c>
      <c r="E2141" s="79">
        <v>221.09</v>
      </c>
      <c r="F2141" s="70">
        <v>221.09</v>
      </c>
      <c r="G2141" s="320"/>
      <c r="H2141" s="79">
        <v>120.6</v>
      </c>
      <c r="I2141" s="79">
        <v>100.49000000000001</v>
      </c>
      <c r="J2141" s="79">
        <v>221.09</v>
      </c>
      <c r="K2141" s="79">
        <v>0</v>
      </c>
      <c r="L2141" s="70">
        <v>221.09</v>
      </c>
      <c r="M2141" s="132"/>
      <c r="N2141" s="79">
        <v>120.6</v>
      </c>
      <c r="O2141" s="79">
        <v>100.49000000000001</v>
      </c>
      <c r="P2141" s="79">
        <v>221.09</v>
      </c>
      <c r="Q2141" s="136"/>
      <c r="R2141" s="79">
        <v>120.6</v>
      </c>
      <c r="S2141" s="79">
        <v>100.5</v>
      </c>
      <c r="T2141" s="79">
        <v>221.1</v>
      </c>
      <c r="U2141" s="79">
        <v>0</v>
      </c>
      <c r="V2141" s="189">
        <v>221.1</v>
      </c>
      <c r="X2141" s="79">
        <v>120.6</v>
      </c>
      <c r="Y2141" s="79">
        <v>100.5</v>
      </c>
      <c r="Z2141" s="79">
        <v>221.1</v>
      </c>
      <c r="AA2141" s="255">
        <v>-9.9999999999909051E-3</v>
      </c>
      <c r="AC2141" s="254"/>
    </row>
    <row r="2142" spans="1:31" ht="24">
      <c r="A2142" s="489" t="s">
        <v>14641</v>
      </c>
      <c r="B2142" s="490" t="s">
        <v>14642</v>
      </c>
      <c r="C2142" s="491"/>
      <c r="D2142" s="492"/>
      <c r="E2142" s="79"/>
      <c r="F2142" s="63"/>
      <c r="G2142" s="320"/>
      <c r="H2142" s="79"/>
      <c r="I2142" s="79"/>
      <c r="J2142" s="79"/>
      <c r="K2142" s="79"/>
      <c r="L2142" s="70"/>
      <c r="M2142" s="132"/>
      <c r="N2142" s="79"/>
      <c r="O2142" s="79"/>
      <c r="P2142" s="79"/>
      <c r="Q2142" s="136"/>
      <c r="R2142" s="79"/>
      <c r="S2142" s="79"/>
      <c r="T2142" s="79"/>
      <c r="U2142" s="79"/>
      <c r="V2142" s="189"/>
      <c r="X2142" s="79"/>
      <c r="Y2142" s="79"/>
      <c r="Z2142" s="79"/>
      <c r="AA2142" s="255"/>
      <c r="AC2142" s="254"/>
    </row>
    <row r="2143" spans="1:31" ht="12">
      <c r="A2143" s="67" t="s">
        <v>14643</v>
      </c>
      <c r="B2143" s="65" t="s">
        <v>14644</v>
      </c>
      <c r="C2143" s="71" t="s">
        <v>165</v>
      </c>
      <c r="D2143" s="78">
        <v>1</v>
      </c>
      <c r="E2143" s="79">
        <v>44.86</v>
      </c>
      <c r="F2143" s="70">
        <v>44.86</v>
      </c>
      <c r="G2143" s="320"/>
      <c r="H2143" s="79">
        <v>16.920000000000002</v>
      </c>
      <c r="I2143" s="79">
        <v>27.939999999999998</v>
      </c>
      <c r="J2143" s="79">
        <v>44.86</v>
      </c>
      <c r="K2143" s="79">
        <v>0</v>
      </c>
      <c r="L2143" s="70">
        <v>44.86</v>
      </c>
      <c r="M2143" s="132"/>
      <c r="N2143" s="79">
        <v>16.920000000000002</v>
      </c>
      <c r="O2143" s="79">
        <v>27.939999999999998</v>
      </c>
      <c r="P2143" s="79">
        <v>44.86</v>
      </c>
      <c r="Q2143" s="136"/>
      <c r="R2143" s="79">
        <v>16.920000000000002</v>
      </c>
      <c r="S2143" s="79">
        <v>27.92</v>
      </c>
      <c r="T2143" s="79">
        <v>44.84</v>
      </c>
      <c r="U2143" s="79">
        <v>0</v>
      </c>
      <c r="V2143" s="189">
        <v>44.84</v>
      </c>
      <c r="X2143" s="79">
        <v>16.920000000000002</v>
      </c>
      <c r="Y2143" s="79">
        <v>27.92</v>
      </c>
      <c r="Z2143" s="79">
        <v>44.84</v>
      </c>
      <c r="AA2143" s="255">
        <v>1.9999999999996021E-2</v>
      </c>
      <c r="AC2143" s="254"/>
    </row>
    <row r="2144" spans="1:31" ht="12">
      <c r="A2144" s="67" t="s">
        <v>14645</v>
      </c>
      <c r="B2144" s="65" t="s">
        <v>14646</v>
      </c>
      <c r="C2144" s="71" t="s">
        <v>165</v>
      </c>
      <c r="D2144" s="78">
        <v>1</v>
      </c>
      <c r="E2144" s="79">
        <v>55.6</v>
      </c>
      <c r="F2144" s="70">
        <v>55.6</v>
      </c>
      <c r="G2144" s="320"/>
      <c r="H2144" s="79">
        <v>22.1</v>
      </c>
      <c r="I2144" s="79">
        <v>33.5</v>
      </c>
      <c r="J2144" s="79">
        <v>55.6</v>
      </c>
      <c r="K2144" s="79">
        <v>0</v>
      </c>
      <c r="L2144" s="70">
        <v>55.6</v>
      </c>
      <c r="M2144" s="132"/>
      <c r="N2144" s="79">
        <v>22.1</v>
      </c>
      <c r="O2144" s="79">
        <v>33.5</v>
      </c>
      <c r="P2144" s="79">
        <v>55.6</v>
      </c>
      <c r="Q2144" s="136"/>
      <c r="R2144" s="79">
        <v>22.1</v>
      </c>
      <c r="S2144" s="79">
        <v>33.5</v>
      </c>
      <c r="T2144" s="79">
        <v>55.6</v>
      </c>
      <c r="U2144" s="79">
        <v>0</v>
      </c>
      <c r="V2144" s="189">
        <v>55.6</v>
      </c>
      <c r="X2144" s="79">
        <v>22.1</v>
      </c>
      <c r="Y2144" s="79">
        <v>33.5</v>
      </c>
      <c r="Z2144" s="79">
        <v>55.6</v>
      </c>
      <c r="AA2144" s="255">
        <v>0</v>
      </c>
      <c r="AC2144" s="254"/>
      <c r="AD2144" s="61"/>
      <c r="AE2144" s="61"/>
    </row>
    <row r="2145" spans="1:31" ht="12">
      <c r="A2145" s="67" t="s">
        <v>14647</v>
      </c>
      <c r="B2145" s="65" t="s">
        <v>14648</v>
      </c>
      <c r="C2145" s="71" t="s">
        <v>165</v>
      </c>
      <c r="D2145" s="78">
        <v>1</v>
      </c>
      <c r="E2145" s="79">
        <v>68.27</v>
      </c>
      <c r="F2145" s="70">
        <v>68.27</v>
      </c>
      <c r="G2145" s="320"/>
      <c r="H2145" s="79">
        <v>29.17</v>
      </c>
      <c r="I2145" s="79">
        <v>39.099999999999994</v>
      </c>
      <c r="J2145" s="79">
        <v>68.27</v>
      </c>
      <c r="K2145" s="79">
        <v>0</v>
      </c>
      <c r="L2145" s="70">
        <v>68.27</v>
      </c>
      <c r="M2145" s="132"/>
      <c r="N2145" s="79">
        <v>29.17</v>
      </c>
      <c r="O2145" s="79">
        <v>39.099999999999994</v>
      </c>
      <c r="P2145" s="79">
        <v>68.27</v>
      </c>
      <c r="Q2145" s="136"/>
      <c r="R2145" s="79">
        <v>29.17</v>
      </c>
      <c r="S2145" s="79">
        <v>39.08</v>
      </c>
      <c r="T2145" s="79">
        <v>68.25</v>
      </c>
      <c r="U2145" s="79">
        <v>0</v>
      </c>
      <c r="V2145" s="189">
        <v>68.25</v>
      </c>
      <c r="X2145" s="79">
        <v>29.17</v>
      </c>
      <c r="Y2145" s="79">
        <v>39.08</v>
      </c>
      <c r="Z2145" s="79">
        <v>68.25</v>
      </c>
      <c r="AA2145" s="255">
        <v>1.9999999999996021E-2</v>
      </c>
      <c r="AC2145" s="254"/>
    </row>
    <row r="2146" spans="1:31" s="61" customFormat="1" ht="12">
      <c r="A2146" s="67" t="s">
        <v>14649</v>
      </c>
      <c r="B2146" s="65" t="s">
        <v>14650</v>
      </c>
      <c r="C2146" s="71" t="s">
        <v>165</v>
      </c>
      <c r="D2146" s="78">
        <v>1</v>
      </c>
      <c r="E2146" s="79">
        <v>84.669999999999987</v>
      </c>
      <c r="F2146" s="70">
        <v>84.67</v>
      </c>
      <c r="G2146" s="320"/>
      <c r="H2146" s="79">
        <v>40.01</v>
      </c>
      <c r="I2146" s="79">
        <v>44.66</v>
      </c>
      <c r="J2146" s="79">
        <v>84.669999999999987</v>
      </c>
      <c r="K2146" s="79">
        <v>0</v>
      </c>
      <c r="L2146" s="70">
        <v>84.669999999999987</v>
      </c>
      <c r="M2146" s="132"/>
      <c r="N2146" s="79">
        <v>40.01</v>
      </c>
      <c r="O2146" s="79">
        <v>44.66</v>
      </c>
      <c r="P2146" s="79">
        <v>84.669999999999987</v>
      </c>
      <c r="Q2146" s="136"/>
      <c r="R2146" s="79">
        <v>40.01</v>
      </c>
      <c r="S2146" s="79">
        <v>44.67</v>
      </c>
      <c r="T2146" s="79">
        <v>84.68</v>
      </c>
      <c r="U2146" s="79">
        <v>0</v>
      </c>
      <c r="V2146" s="189">
        <v>84.68</v>
      </c>
      <c r="X2146" s="79">
        <v>40.01</v>
      </c>
      <c r="Y2146" s="79">
        <v>44.67</v>
      </c>
      <c r="Z2146" s="79">
        <v>84.68</v>
      </c>
      <c r="AA2146" s="255">
        <v>-1.0000000000005116E-2</v>
      </c>
      <c r="AC2146" s="254"/>
    </row>
    <row r="2147" spans="1:31" ht="12">
      <c r="A2147" s="67" t="s">
        <v>14651</v>
      </c>
      <c r="B2147" s="65" t="s">
        <v>14652</v>
      </c>
      <c r="C2147" s="71" t="s">
        <v>165</v>
      </c>
      <c r="D2147" s="78">
        <v>1</v>
      </c>
      <c r="E2147" s="79">
        <v>99.050000000000011</v>
      </c>
      <c r="F2147" s="70">
        <v>99.05</v>
      </c>
      <c r="G2147" s="320"/>
      <c r="H2147" s="79">
        <v>48.79</v>
      </c>
      <c r="I2147" s="79">
        <v>50.260000000000005</v>
      </c>
      <c r="J2147" s="79">
        <v>99.050000000000011</v>
      </c>
      <c r="K2147" s="79">
        <v>0</v>
      </c>
      <c r="L2147" s="70">
        <v>99.050000000000011</v>
      </c>
      <c r="M2147" s="132"/>
      <c r="N2147" s="79">
        <v>48.79</v>
      </c>
      <c r="O2147" s="79">
        <v>50.260000000000005</v>
      </c>
      <c r="P2147" s="79">
        <v>99.050000000000011</v>
      </c>
      <c r="Q2147" s="136"/>
      <c r="R2147" s="79">
        <v>48.79</v>
      </c>
      <c r="S2147" s="79">
        <v>50.25</v>
      </c>
      <c r="T2147" s="79">
        <v>99.039999999999992</v>
      </c>
      <c r="U2147" s="79">
        <v>0</v>
      </c>
      <c r="V2147" s="189">
        <v>99.039999999999992</v>
      </c>
      <c r="X2147" s="79">
        <v>48.79</v>
      </c>
      <c r="Y2147" s="79">
        <v>50.25</v>
      </c>
      <c r="Z2147" s="79">
        <v>99.04</v>
      </c>
      <c r="AA2147" s="255">
        <v>9.9999999999909051E-3</v>
      </c>
      <c r="AC2147" s="254"/>
    </row>
    <row r="2148" spans="1:31" s="61" customFormat="1" ht="12">
      <c r="A2148" s="67" t="s">
        <v>14653</v>
      </c>
      <c r="B2148" s="65" t="s">
        <v>14654</v>
      </c>
      <c r="C2148" s="71" t="s">
        <v>165</v>
      </c>
      <c r="D2148" s="78">
        <v>1</v>
      </c>
      <c r="E2148" s="79">
        <v>117.22999999999999</v>
      </c>
      <c r="F2148" s="70">
        <v>117.23</v>
      </c>
      <c r="G2148" s="320"/>
      <c r="H2148" s="79">
        <v>61.4</v>
      </c>
      <c r="I2148" s="79">
        <v>55.83</v>
      </c>
      <c r="J2148" s="79">
        <v>117.22999999999999</v>
      </c>
      <c r="K2148" s="79">
        <v>0</v>
      </c>
      <c r="L2148" s="70">
        <v>117.22999999999999</v>
      </c>
      <c r="M2148" s="132"/>
      <c r="N2148" s="79">
        <v>61.4</v>
      </c>
      <c r="O2148" s="79">
        <v>55.83</v>
      </c>
      <c r="P2148" s="79">
        <v>117.22999999999999</v>
      </c>
      <c r="Q2148" s="136"/>
      <c r="R2148" s="79">
        <v>61.4</v>
      </c>
      <c r="S2148" s="79">
        <v>55.83</v>
      </c>
      <c r="T2148" s="79">
        <v>117.22999999999999</v>
      </c>
      <c r="U2148" s="79">
        <v>0</v>
      </c>
      <c r="V2148" s="189">
        <v>117.22999999999999</v>
      </c>
      <c r="X2148" s="79">
        <v>61.4</v>
      </c>
      <c r="Y2148" s="79">
        <v>55.83</v>
      </c>
      <c r="Z2148" s="79">
        <v>117.23</v>
      </c>
      <c r="AA2148" s="255">
        <v>0</v>
      </c>
      <c r="AC2148" s="254"/>
      <c r="AD2148" s="236"/>
      <c r="AE2148" s="236"/>
    </row>
    <row r="2149" spans="1:31" ht="12">
      <c r="A2149" s="67" t="s">
        <v>14655</v>
      </c>
      <c r="B2149" s="65" t="s">
        <v>14656</v>
      </c>
      <c r="C2149" s="71" t="s">
        <v>165</v>
      </c>
      <c r="D2149" s="78">
        <v>1</v>
      </c>
      <c r="E2149" s="79">
        <v>160.48000000000002</v>
      </c>
      <c r="F2149" s="70">
        <v>160.47999999999999</v>
      </c>
      <c r="G2149" s="320"/>
      <c r="H2149" s="79">
        <v>93.49</v>
      </c>
      <c r="I2149" s="79">
        <v>66.990000000000009</v>
      </c>
      <c r="J2149" s="79">
        <v>160.48000000000002</v>
      </c>
      <c r="K2149" s="79">
        <v>0</v>
      </c>
      <c r="L2149" s="70">
        <v>160.48000000000002</v>
      </c>
      <c r="M2149" s="132"/>
      <c r="N2149" s="79">
        <v>93.49</v>
      </c>
      <c r="O2149" s="79">
        <v>66.990000000000009</v>
      </c>
      <c r="P2149" s="79">
        <v>160.48000000000002</v>
      </c>
      <c r="Q2149" s="136"/>
      <c r="R2149" s="79">
        <v>93.49</v>
      </c>
      <c r="S2149" s="79">
        <v>66.989999999999995</v>
      </c>
      <c r="T2149" s="79">
        <v>160.47999999999999</v>
      </c>
      <c r="U2149" s="79">
        <v>0</v>
      </c>
      <c r="V2149" s="189">
        <v>160.47999999999999</v>
      </c>
      <c r="X2149" s="79">
        <v>93.49</v>
      </c>
      <c r="Y2149" s="79">
        <v>66.989999999999995</v>
      </c>
      <c r="Z2149" s="79">
        <v>160.47999999999999</v>
      </c>
      <c r="AA2149" s="255">
        <v>0</v>
      </c>
      <c r="AC2149" s="254"/>
      <c r="AD2149" s="61"/>
      <c r="AE2149" s="61"/>
    </row>
    <row r="2150" spans="1:31" ht="12">
      <c r="A2150" s="67" t="s">
        <v>14657</v>
      </c>
      <c r="B2150" s="65" t="s">
        <v>14658</v>
      </c>
      <c r="C2150" s="71" t="s">
        <v>165</v>
      </c>
      <c r="D2150" s="78">
        <v>1</v>
      </c>
      <c r="E2150" s="79">
        <v>196.95</v>
      </c>
      <c r="F2150" s="70">
        <v>196.95</v>
      </c>
      <c r="G2150" s="320"/>
      <c r="H2150" s="79">
        <v>113.19</v>
      </c>
      <c r="I2150" s="79">
        <v>83.76</v>
      </c>
      <c r="J2150" s="79">
        <v>196.95</v>
      </c>
      <c r="K2150" s="79">
        <v>0</v>
      </c>
      <c r="L2150" s="70">
        <v>196.95</v>
      </c>
      <c r="M2150" s="132"/>
      <c r="N2150" s="79">
        <v>113.19</v>
      </c>
      <c r="O2150" s="79">
        <v>83.76</v>
      </c>
      <c r="P2150" s="79">
        <v>196.95</v>
      </c>
      <c r="Q2150" s="136"/>
      <c r="R2150" s="79">
        <v>113.19</v>
      </c>
      <c r="S2150" s="79">
        <v>83.75</v>
      </c>
      <c r="T2150" s="79">
        <v>196.94</v>
      </c>
      <c r="U2150" s="79">
        <v>0</v>
      </c>
      <c r="V2150" s="189">
        <v>196.94</v>
      </c>
      <c r="X2150" s="79">
        <v>113.19</v>
      </c>
      <c r="Y2150" s="79">
        <v>83.75</v>
      </c>
      <c r="Z2150" s="79">
        <v>196.94</v>
      </c>
      <c r="AA2150" s="255">
        <v>9.9999999999909051E-3</v>
      </c>
      <c r="AC2150" s="254"/>
      <c r="AD2150" s="61"/>
      <c r="AE2150" s="61"/>
    </row>
    <row r="2151" spans="1:31" s="61" customFormat="1" ht="12">
      <c r="A2151" s="67" t="s">
        <v>14659</v>
      </c>
      <c r="B2151" s="65" t="s">
        <v>14660</v>
      </c>
      <c r="C2151" s="71" t="s">
        <v>165</v>
      </c>
      <c r="D2151" s="78">
        <v>1</v>
      </c>
      <c r="E2151" s="79">
        <v>263.49</v>
      </c>
      <c r="F2151" s="70">
        <v>263.49</v>
      </c>
      <c r="G2151" s="320"/>
      <c r="H2151" s="79">
        <v>163</v>
      </c>
      <c r="I2151" s="79">
        <v>100.49000000000001</v>
      </c>
      <c r="J2151" s="79">
        <v>263.49</v>
      </c>
      <c r="K2151" s="79">
        <v>0</v>
      </c>
      <c r="L2151" s="70">
        <v>263.49</v>
      </c>
      <c r="M2151" s="132"/>
      <c r="N2151" s="79">
        <v>163</v>
      </c>
      <c r="O2151" s="79">
        <v>100.49000000000001</v>
      </c>
      <c r="P2151" s="79">
        <v>263.49</v>
      </c>
      <c r="Q2151" s="136"/>
      <c r="R2151" s="79">
        <v>163</v>
      </c>
      <c r="S2151" s="79">
        <v>100.5</v>
      </c>
      <c r="T2151" s="79">
        <v>263.5</v>
      </c>
      <c r="U2151" s="79">
        <v>0</v>
      </c>
      <c r="V2151" s="189">
        <v>263.5</v>
      </c>
      <c r="X2151" s="79">
        <v>163</v>
      </c>
      <c r="Y2151" s="79">
        <v>100.5</v>
      </c>
      <c r="Z2151" s="79">
        <v>263.5</v>
      </c>
      <c r="AA2151" s="255">
        <v>-9.9999999999909051E-3</v>
      </c>
      <c r="AC2151" s="254"/>
      <c r="AD2151" s="236"/>
      <c r="AE2151" s="236"/>
    </row>
    <row r="2152" spans="1:31" s="61" customFormat="1" ht="12">
      <c r="A2152" s="489" t="s">
        <v>14661</v>
      </c>
      <c r="B2152" s="490" t="s">
        <v>14662</v>
      </c>
      <c r="C2152" s="491"/>
      <c r="D2152" s="492"/>
      <c r="E2152" s="79"/>
      <c r="F2152" s="63"/>
      <c r="G2152" s="320"/>
      <c r="H2152" s="79"/>
      <c r="I2152" s="79"/>
      <c r="J2152" s="79"/>
      <c r="K2152" s="79"/>
      <c r="L2152" s="70"/>
      <c r="M2152" s="132"/>
      <c r="N2152" s="79"/>
      <c r="O2152" s="79"/>
      <c r="P2152" s="79"/>
      <c r="Q2152" s="136"/>
      <c r="R2152" s="79"/>
      <c r="S2152" s="79"/>
      <c r="T2152" s="79"/>
      <c r="U2152" s="79"/>
      <c r="V2152" s="189"/>
      <c r="X2152" s="79"/>
      <c r="Y2152" s="79"/>
      <c r="Z2152" s="79"/>
      <c r="AA2152" s="255"/>
      <c r="AC2152" s="254"/>
      <c r="AD2152" s="236"/>
      <c r="AE2152" s="236"/>
    </row>
    <row r="2153" spans="1:31" ht="12">
      <c r="A2153" s="67" t="s">
        <v>14663</v>
      </c>
      <c r="B2153" s="65" t="s">
        <v>14664</v>
      </c>
      <c r="C2153" s="71" t="s">
        <v>396</v>
      </c>
      <c r="D2153" s="78">
        <v>1</v>
      </c>
      <c r="E2153" s="79">
        <v>20.71</v>
      </c>
      <c r="F2153" s="70">
        <v>20.71</v>
      </c>
      <c r="G2153" s="320"/>
      <c r="H2153" s="79">
        <v>6.74</v>
      </c>
      <c r="I2153" s="79">
        <v>13.969999999999999</v>
      </c>
      <c r="J2153" s="79">
        <v>20.71</v>
      </c>
      <c r="K2153" s="79">
        <v>0</v>
      </c>
      <c r="L2153" s="70">
        <v>20.71</v>
      </c>
      <c r="M2153" s="132"/>
      <c r="N2153" s="79">
        <v>6.74</v>
      </c>
      <c r="O2153" s="79">
        <v>13.969999999999999</v>
      </c>
      <c r="P2153" s="79">
        <v>20.71</v>
      </c>
      <c r="Q2153" s="136"/>
      <c r="R2153" s="79">
        <v>6.74</v>
      </c>
      <c r="S2153" s="79">
        <v>13.96</v>
      </c>
      <c r="T2153" s="79">
        <v>20.700000000000003</v>
      </c>
      <c r="U2153" s="79">
        <v>0</v>
      </c>
      <c r="V2153" s="189">
        <v>20.700000000000003</v>
      </c>
      <c r="X2153" s="79">
        <v>6.74</v>
      </c>
      <c r="Y2153" s="79">
        <v>13.96</v>
      </c>
      <c r="Z2153" s="79">
        <v>20.7</v>
      </c>
      <c r="AA2153" s="255">
        <v>1.0000000000001563E-2</v>
      </c>
      <c r="AC2153" s="254"/>
    </row>
    <row r="2154" spans="1:31" ht="12">
      <c r="A2154" s="67" t="s">
        <v>14665</v>
      </c>
      <c r="B2154" s="65" t="s">
        <v>14666</v>
      </c>
      <c r="C2154" s="71" t="s">
        <v>165</v>
      </c>
      <c r="D2154" s="78">
        <v>1</v>
      </c>
      <c r="E2154" s="79">
        <v>10.199999999999999</v>
      </c>
      <c r="F2154" s="70">
        <v>10.199999999999999</v>
      </c>
      <c r="G2154" s="320"/>
      <c r="H2154" s="79">
        <v>7.39</v>
      </c>
      <c r="I2154" s="79">
        <v>2.81</v>
      </c>
      <c r="J2154" s="79">
        <v>10.199999999999999</v>
      </c>
      <c r="K2154" s="79">
        <v>0</v>
      </c>
      <c r="L2154" s="70">
        <v>10.199999999999999</v>
      </c>
      <c r="M2154" s="132"/>
      <c r="N2154" s="78">
        <v>7.39</v>
      </c>
      <c r="O2154" s="78">
        <v>2.81</v>
      </c>
      <c r="P2154" s="79">
        <v>10.199999999999999</v>
      </c>
      <c r="Q2154" s="136"/>
      <c r="R2154" s="79">
        <v>7.39</v>
      </c>
      <c r="S2154" s="79">
        <v>2.8</v>
      </c>
      <c r="T2154" s="79">
        <v>10.19</v>
      </c>
      <c r="U2154" s="79">
        <v>0</v>
      </c>
      <c r="V2154" s="189">
        <v>10.19</v>
      </c>
      <c r="X2154" s="78">
        <v>7.39</v>
      </c>
      <c r="Y2154" s="78">
        <v>2.8</v>
      </c>
      <c r="Z2154" s="79">
        <v>10.19</v>
      </c>
      <c r="AA2154" s="255">
        <v>9.9999999999997868E-3</v>
      </c>
      <c r="AC2154" s="254"/>
    </row>
    <row r="2155" spans="1:31" ht="12">
      <c r="A2155" s="67" t="s">
        <v>14667</v>
      </c>
      <c r="B2155" s="65" t="s">
        <v>14668</v>
      </c>
      <c r="C2155" s="71" t="s">
        <v>103</v>
      </c>
      <c r="D2155" s="78">
        <v>1</v>
      </c>
      <c r="E2155" s="79">
        <v>9.0399999999999991</v>
      </c>
      <c r="F2155" s="70">
        <v>9.0399999999999991</v>
      </c>
      <c r="G2155" s="320"/>
      <c r="H2155" s="79">
        <v>0.66</v>
      </c>
      <c r="I2155" s="79">
        <v>8.379999999999999</v>
      </c>
      <c r="J2155" s="79">
        <v>9.0399999999999991</v>
      </c>
      <c r="K2155" s="79">
        <v>0</v>
      </c>
      <c r="L2155" s="70">
        <v>9.0399999999999991</v>
      </c>
      <c r="M2155" s="132"/>
      <c r="N2155" s="79">
        <v>0.66</v>
      </c>
      <c r="O2155" s="79">
        <v>8.379999999999999</v>
      </c>
      <c r="P2155" s="79">
        <v>9.0399999999999991</v>
      </c>
      <c r="Q2155" s="136"/>
      <c r="R2155" s="79">
        <v>0.66</v>
      </c>
      <c r="S2155" s="79">
        <v>8.3800000000000008</v>
      </c>
      <c r="T2155" s="79">
        <v>9.0400000000000009</v>
      </c>
      <c r="U2155" s="79">
        <v>0</v>
      </c>
      <c r="V2155" s="189">
        <v>9.0400000000000009</v>
      </c>
      <c r="X2155" s="79">
        <v>0.66</v>
      </c>
      <c r="Y2155" s="79">
        <v>8.3800000000000008</v>
      </c>
      <c r="Z2155" s="79">
        <v>9.0399999999999991</v>
      </c>
      <c r="AA2155" s="255">
        <v>0</v>
      </c>
      <c r="AC2155" s="254"/>
    </row>
    <row r="2156" spans="1:31" ht="12">
      <c r="A2156" s="67" t="s">
        <v>14669</v>
      </c>
      <c r="B2156" s="65" t="s">
        <v>14670</v>
      </c>
      <c r="C2156" s="71" t="s">
        <v>103</v>
      </c>
      <c r="D2156" s="78">
        <v>1</v>
      </c>
      <c r="E2156" s="79">
        <v>11.84</v>
      </c>
      <c r="F2156" s="70">
        <v>11.84</v>
      </c>
      <c r="G2156" s="320"/>
      <c r="H2156" s="79">
        <v>1.82</v>
      </c>
      <c r="I2156" s="79">
        <v>10.02</v>
      </c>
      <c r="J2156" s="79">
        <v>11.84</v>
      </c>
      <c r="K2156" s="79">
        <v>0</v>
      </c>
      <c r="L2156" s="70">
        <v>11.84</v>
      </c>
      <c r="M2156" s="132"/>
      <c r="N2156" s="79">
        <v>1.82</v>
      </c>
      <c r="O2156" s="79">
        <v>10.02</v>
      </c>
      <c r="P2156" s="79">
        <v>11.84</v>
      </c>
      <c r="Q2156" s="136"/>
      <c r="R2156" s="79">
        <v>1.82</v>
      </c>
      <c r="S2156" s="79">
        <v>10.029999999999999</v>
      </c>
      <c r="T2156" s="79">
        <v>11.85</v>
      </c>
      <c r="U2156" s="79">
        <v>0</v>
      </c>
      <c r="V2156" s="189">
        <v>11.85</v>
      </c>
      <c r="X2156" s="79">
        <v>1.82</v>
      </c>
      <c r="Y2156" s="79">
        <v>10.029999999999999</v>
      </c>
      <c r="Z2156" s="79">
        <v>11.85</v>
      </c>
      <c r="AA2156" s="255">
        <v>-9.9999999999997868E-3</v>
      </c>
      <c r="AC2156" s="254"/>
    </row>
    <row r="2157" spans="1:31" ht="12">
      <c r="A2157" s="67" t="s">
        <v>14671</v>
      </c>
      <c r="B2157" s="65" t="s">
        <v>14672</v>
      </c>
      <c r="C2157" s="71" t="s">
        <v>103</v>
      </c>
      <c r="D2157" s="78">
        <v>1</v>
      </c>
      <c r="E2157" s="79">
        <v>11.86</v>
      </c>
      <c r="F2157" s="70">
        <v>11.86</v>
      </c>
      <c r="G2157" s="320"/>
      <c r="H2157" s="79">
        <v>1.84</v>
      </c>
      <c r="I2157" s="79">
        <v>10.02</v>
      </c>
      <c r="J2157" s="79">
        <v>11.86</v>
      </c>
      <c r="K2157" s="79">
        <v>0</v>
      </c>
      <c r="L2157" s="70">
        <v>11.86</v>
      </c>
      <c r="M2157" s="132"/>
      <c r="N2157" s="79">
        <v>1.84</v>
      </c>
      <c r="O2157" s="79">
        <v>10.02</v>
      </c>
      <c r="P2157" s="79">
        <v>11.86</v>
      </c>
      <c r="Q2157" s="136"/>
      <c r="R2157" s="79">
        <v>1.84</v>
      </c>
      <c r="S2157" s="79">
        <v>10.029999999999999</v>
      </c>
      <c r="T2157" s="79">
        <v>11.87</v>
      </c>
      <c r="U2157" s="79">
        <v>0</v>
      </c>
      <c r="V2157" s="189">
        <v>11.87</v>
      </c>
      <c r="X2157" s="79">
        <v>1.84</v>
      </c>
      <c r="Y2157" s="79">
        <v>10.029999999999999</v>
      </c>
      <c r="Z2157" s="79">
        <v>11.87</v>
      </c>
      <c r="AA2157" s="255">
        <v>-9.9999999999997868E-3</v>
      </c>
      <c r="AC2157" s="254"/>
    </row>
    <row r="2158" spans="1:31" ht="12">
      <c r="A2158" s="67" t="s">
        <v>14673</v>
      </c>
      <c r="B2158" s="65" t="s">
        <v>14674</v>
      </c>
      <c r="C2158" s="71" t="s">
        <v>103</v>
      </c>
      <c r="D2158" s="78">
        <v>1</v>
      </c>
      <c r="E2158" s="79">
        <v>10.489999999999998</v>
      </c>
      <c r="F2158" s="70">
        <v>10.49</v>
      </c>
      <c r="G2158" s="320"/>
      <c r="H2158" s="79">
        <v>2.11</v>
      </c>
      <c r="I2158" s="79">
        <v>8.379999999999999</v>
      </c>
      <c r="J2158" s="79">
        <v>10.489999999999998</v>
      </c>
      <c r="K2158" s="79">
        <v>0</v>
      </c>
      <c r="L2158" s="70">
        <v>10.489999999999998</v>
      </c>
      <c r="M2158" s="132"/>
      <c r="N2158" s="79">
        <v>2.11</v>
      </c>
      <c r="O2158" s="79">
        <v>8.379999999999999</v>
      </c>
      <c r="P2158" s="79">
        <v>10.489999999999998</v>
      </c>
      <c r="Q2158" s="136"/>
      <c r="R2158" s="79">
        <v>2.11</v>
      </c>
      <c r="S2158" s="79">
        <v>8.3800000000000008</v>
      </c>
      <c r="T2158" s="79">
        <v>10.49</v>
      </c>
      <c r="U2158" s="79">
        <v>0</v>
      </c>
      <c r="V2158" s="189">
        <v>10.49</v>
      </c>
      <c r="X2158" s="79">
        <v>2.11</v>
      </c>
      <c r="Y2158" s="79">
        <v>8.3800000000000008</v>
      </c>
      <c r="Z2158" s="79">
        <v>10.49</v>
      </c>
      <c r="AA2158" s="255">
        <v>0</v>
      </c>
      <c r="AC2158" s="254"/>
    </row>
    <row r="2159" spans="1:31" ht="12">
      <c r="A2159" s="67" t="s">
        <v>14675</v>
      </c>
      <c r="B2159" s="65" t="s">
        <v>14676</v>
      </c>
      <c r="C2159" s="71" t="s">
        <v>165</v>
      </c>
      <c r="D2159" s="78">
        <v>1</v>
      </c>
      <c r="E2159" s="79">
        <v>25.64</v>
      </c>
      <c r="F2159" s="70">
        <v>25.64</v>
      </c>
      <c r="G2159" s="320"/>
      <c r="H2159" s="79">
        <v>8.89</v>
      </c>
      <c r="I2159" s="79">
        <v>16.75</v>
      </c>
      <c r="J2159" s="79">
        <v>25.64</v>
      </c>
      <c r="K2159" s="79">
        <v>0</v>
      </c>
      <c r="L2159" s="70">
        <v>25.64</v>
      </c>
      <c r="M2159" s="132"/>
      <c r="N2159" s="79">
        <v>8.89</v>
      </c>
      <c r="O2159" s="79">
        <v>16.75</v>
      </c>
      <c r="P2159" s="79">
        <v>25.64</v>
      </c>
      <c r="Q2159" s="136"/>
      <c r="R2159" s="79">
        <v>8.89</v>
      </c>
      <c r="S2159" s="79">
        <v>16.75</v>
      </c>
      <c r="T2159" s="79">
        <v>25.64</v>
      </c>
      <c r="U2159" s="79">
        <v>0</v>
      </c>
      <c r="V2159" s="189">
        <v>25.64</v>
      </c>
      <c r="X2159" s="79">
        <v>8.89</v>
      </c>
      <c r="Y2159" s="79">
        <v>16.75</v>
      </c>
      <c r="Z2159" s="79">
        <v>25.64</v>
      </c>
      <c r="AA2159" s="255">
        <v>0</v>
      </c>
      <c r="AC2159" s="254"/>
    </row>
    <row r="2160" spans="1:31" ht="12">
      <c r="A2160" s="67" t="s">
        <v>14677</v>
      </c>
      <c r="B2160" s="65" t="s">
        <v>14678</v>
      </c>
      <c r="C2160" s="71" t="s">
        <v>165</v>
      </c>
      <c r="D2160" s="78">
        <v>1</v>
      </c>
      <c r="E2160" s="79">
        <v>16.72</v>
      </c>
      <c r="F2160" s="70">
        <v>16.72</v>
      </c>
      <c r="G2160" s="320"/>
      <c r="H2160" s="79">
        <v>8.8699999999999992</v>
      </c>
      <c r="I2160" s="79">
        <v>7.85</v>
      </c>
      <c r="J2160" s="79">
        <v>16.72</v>
      </c>
      <c r="K2160" s="79">
        <v>0</v>
      </c>
      <c r="L2160" s="70">
        <v>16.72</v>
      </c>
      <c r="M2160" s="132"/>
      <c r="N2160" s="79">
        <v>8.8699999999999992</v>
      </c>
      <c r="O2160" s="79">
        <v>7.85</v>
      </c>
      <c r="P2160" s="79">
        <v>16.72</v>
      </c>
      <c r="Q2160" s="136"/>
      <c r="R2160" s="79">
        <v>8.8699999999999992</v>
      </c>
      <c r="S2160" s="79">
        <v>7.85</v>
      </c>
      <c r="T2160" s="79">
        <v>16.72</v>
      </c>
      <c r="U2160" s="79">
        <v>0</v>
      </c>
      <c r="V2160" s="189">
        <v>16.72</v>
      </c>
      <c r="X2160" s="79">
        <v>8.8699999999999992</v>
      </c>
      <c r="Y2160" s="79">
        <v>7.85</v>
      </c>
      <c r="Z2160" s="79">
        <v>16.72</v>
      </c>
      <c r="AA2160" s="255">
        <v>0</v>
      </c>
      <c r="AC2160" s="254"/>
    </row>
    <row r="2161" spans="1:31" ht="12">
      <c r="A2161" s="67" t="s">
        <v>14679</v>
      </c>
      <c r="B2161" s="65" t="s">
        <v>14680</v>
      </c>
      <c r="C2161" s="71" t="s">
        <v>165</v>
      </c>
      <c r="D2161" s="78">
        <v>1</v>
      </c>
      <c r="E2161" s="79">
        <v>11.79</v>
      </c>
      <c r="F2161" s="70">
        <v>11.79</v>
      </c>
      <c r="G2161" s="320"/>
      <c r="H2161" s="79">
        <v>3.94</v>
      </c>
      <c r="I2161" s="79">
        <v>7.85</v>
      </c>
      <c r="J2161" s="79">
        <v>11.79</v>
      </c>
      <c r="K2161" s="79">
        <v>0</v>
      </c>
      <c r="L2161" s="70">
        <v>11.79</v>
      </c>
      <c r="M2161" s="132"/>
      <c r="N2161" s="79">
        <v>3.94</v>
      </c>
      <c r="O2161" s="79">
        <v>7.85</v>
      </c>
      <c r="P2161" s="79">
        <v>11.79</v>
      </c>
      <c r="Q2161" s="136"/>
      <c r="R2161" s="79">
        <v>3.94</v>
      </c>
      <c r="S2161" s="79">
        <v>7.85</v>
      </c>
      <c r="T2161" s="79">
        <v>11.79</v>
      </c>
      <c r="U2161" s="79">
        <v>0</v>
      </c>
      <c r="V2161" s="189">
        <v>11.79</v>
      </c>
      <c r="X2161" s="79">
        <v>3.94</v>
      </c>
      <c r="Y2161" s="79">
        <v>7.85</v>
      </c>
      <c r="Z2161" s="79">
        <v>11.79</v>
      </c>
      <c r="AA2161" s="255">
        <v>0</v>
      </c>
      <c r="AC2161" s="254"/>
      <c r="AD2161" s="69"/>
      <c r="AE2161" s="69"/>
    </row>
    <row r="2162" spans="1:31" ht="12">
      <c r="A2162" s="67" t="s">
        <v>14681</v>
      </c>
      <c r="B2162" s="65" t="s">
        <v>14682</v>
      </c>
      <c r="C2162" s="71" t="s">
        <v>165</v>
      </c>
      <c r="D2162" s="78">
        <v>1</v>
      </c>
      <c r="E2162" s="79">
        <v>15.73</v>
      </c>
      <c r="F2162" s="70">
        <v>15.73</v>
      </c>
      <c r="G2162" s="320"/>
      <c r="H2162" s="79">
        <v>7.88</v>
      </c>
      <c r="I2162" s="79">
        <v>7.85</v>
      </c>
      <c r="J2162" s="79">
        <v>15.73</v>
      </c>
      <c r="K2162" s="79">
        <v>0</v>
      </c>
      <c r="L2162" s="70">
        <v>15.73</v>
      </c>
      <c r="M2162" s="132"/>
      <c r="N2162" s="79">
        <v>7.88</v>
      </c>
      <c r="O2162" s="79">
        <v>7.85</v>
      </c>
      <c r="P2162" s="79">
        <v>15.73</v>
      </c>
      <c r="Q2162" s="136"/>
      <c r="R2162" s="79">
        <v>7.88</v>
      </c>
      <c r="S2162" s="79">
        <v>7.85</v>
      </c>
      <c r="T2162" s="79">
        <v>15.73</v>
      </c>
      <c r="U2162" s="79">
        <v>0</v>
      </c>
      <c r="V2162" s="189">
        <v>15.73</v>
      </c>
      <c r="X2162" s="79">
        <v>7.88</v>
      </c>
      <c r="Y2162" s="79">
        <v>7.85</v>
      </c>
      <c r="Z2162" s="79">
        <v>15.73</v>
      </c>
      <c r="AA2162" s="255">
        <v>0</v>
      </c>
      <c r="AC2162" s="254"/>
    </row>
    <row r="2163" spans="1:31" s="69" customFormat="1" ht="12">
      <c r="A2163" s="67" t="s">
        <v>14683</v>
      </c>
      <c r="B2163" s="65" t="s">
        <v>14684</v>
      </c>
      <c r="C2163" s="71" t="s">
        <v>165</v>
      </c>
      <c r="D2163" s="78">
        <v>1</v>
      </c>
      <c r="E2163" s="79">
        <v>46.06</v>
      </c>
      <c r="F2163" s="70">
        <v>46.06</v>
      </c>
      <c r="G2163" s="320"/>
      <c r="H2163" s="79">
        <v>32.090000000000003</v>
      </c>
      <c r="I2163" s="79">
        <v>13.969999999999999</v>
      </c>
      <c r="J2163" s="79">
        <v>46.06</v>
      </c>
      <c r="K2163" s="79">
        <v>0</v>
      </c>
      <c r="L2163" s="70">
        <v>46.06</v>
      </c>
      <c r="M2163" s="132"/>
      <c r="N2163" s="78">
        <v>32.090000000000003</v>
      </c>
      <c r="O2163" s="78">
        <v>13.969999999999999</v>
      </c>
      <c r="P2163" s="79">
        <v>46.06</v>
      </c>
      <c r="Q2163" s="136"/>
      <c r="R2163" s="79">
        <v>32.090000000000003</v>
      </c>
      <c r="S2163" s="79">
        <v>13.96</v>
      </c>
      <c r="T2163" s="79">
        <v>46.050000000000004</v>
      </c>
      <c r="U2163" s="79">
        <v>0</v>
      </c>
      <c r="V2163" s="189">
        <v>46.050000000000004</v>
      </c>
      <c r="W2163" s="61"/>
      <c r="X2163" s="78">
        <v>32.090000000000003</v>
      </c>
      <c r="Y2163" s="78">
        <v>13.96</v>
      </c>
      <c r="Z2163" s="79">
        <v>46.05</v>
      </c>
      <c r="AA2163" s="255">
        <v>1.0000000000005116E-2</v>
      </c>
      <c r="AB2163" s="61"/>
      <c r="AC2163" s="254"/>
      <c r="AD2163" s="236"/>
      <c r="AE2163" s="236"/>
    </row>
    <row r="2164" spans="1:31" ht="12">
      <c r="A2164" s="67" t="s">
        <v>14685</v>
      </c>
      <c r="B2164" s="65" t="s">
        <v>14686</v>
      </c>
      <c r="C2164" s="71" t="s">
        <v>165</v>
      </c>
      <c r="D2164" s="78">
        <v>1</v>
      </c>
      <c r="E2164" s="79">
        <v>79.179999999999993</v>
      </c>
      <c r="F2164" s="70">
        <v>79.180000000000007</v>
      </c>
      <c r="G2164" s="320"/>
      <c r="H2164" s="79">
        <v>65.209999999999994</v>
      </c>
      <c r="I2164" s="79">
        <v>13.969999999999999</v>
      </c>
      <c r="J2164" s="79">
        <v>79.179999999999993</v>
      </c>
      <c r="K2164" s="79">
        <v>0</v>
      </c>
      <c r="L2164" s="70">
        <v>79.179999999999993</v>
      </c>
      <c r="M2164" s="132"/>
      <c r="N2164" s="79">
        <v>65.209999999999994</v>
      </c>
      <c r="O2164" s="79">
        <v>13.969999999999999</v>
      </c>
      <c r="P2164" s="79">
        <v>79.179999999999993</v>
      </c>
      <c r="Q2164" s="136"/>
      <c r="R2164" s="79">
        <v>65.209999999999994</v>
      </c>
      <c r="S2164" s="79">
        <v>13.96</v>
      </c>
      <c r="T2164" s="79">
        <v>79.169999999999987</v>
      </c>
      <c r="U2164" s="79">
        <v>0</v>
      </c>
      <c r="V2164" s="189">
        <v>79.169999999999987</v>
      </c>
      <c r="X2164" s="79">
        <v>65.209999999999994</v>
      </c>
      <c r="Y2164" s="79">
        <v>13.96</v>
      </c>
      <c r="Z2164" s="79">
        <v>79.17</v>
      </c>
      <c r="AA2164" s="255">
        <v>1.0000000000005116E-2</v>
      </c>
      <c r="AC2164" s="254"/>
    </row>
    <row r="2165" spans="1:31" ht="12">
      <c r="A2165" s="67" t="s">
        <v>14687</v>
      </c>
      <c r="B2165" s="65" t="s">
        <v>14688</v>
      </c>
      <c r="C2165" s="71" t="s">
        <v>165</v>
      </c>
      <c r="D2165" s="78">
        <v>1</v>
      </c>
      <c r="E2165" s="79">
        <v>49.199999999999996</v>
      </c>
      <c r="F2165" s="70">
        <v>49.2</v>
      </c>
      <c r="G2165" s="320"/>
      <c r="H2165" s="79">
        <v>35.229999999999997</v>
      </c>
      <c r="I2165" s="79">
        <v>13.969999999999999</v>
      </c>
      <c r="J2165" s="79">
        <v>49.199999999999996</v>
      </c>
      <c r="K2165" s="79">
        <v>0</v>
      </c>
      <c r="L2165" s="70">
        <v>49.199999999999996</v>
      </c>
      <c r="M2165" s="132"/>
      <c r="N2165" s="78">
        <v>35.229999999999997</v>
      </c>
      <c r="O2165" s="78">
        <v>13.969999999999999</v>
      </c>
      <c r="P2165" s="79">
        <v>49.199999999999996</v>
      </c>
      <c r="Q2165" s="136"/>
      <c r="R2165" s="79">
        <v>35.229999999999997</v>
      </c>
      <c r="S2165" s="79">
        <v>13.96</v>
      </c>
      <c r="T2165" s="79">
        <v>49.19</v>
      </c>
      <c r="U2165" s="79">
        <v>0</v>
      </c>
      <c r="V2165" s="189">
        <v>49.19</v>
      </c>
      <c r="X2165" s="78">
        <v>35.229999999999997</v>
      </c>
      <c r="Y2165" s="78">
        <v>13.96</v>
      </c>
      <c r="Z2165" s="79">
        <v>49.19</v>
      </c>
      <c r="AA2165" s="255">
        <v>1.0000000000005116E-2</v>
      </c>
      <c r="AC2165" s="254"/>
    </row>
    <row r="2166" spans="1:31" ht="12">
      <c r="A2166" s="67" t="s">
        <v>14689</v>
      </c>
      <c r="B2166" s="65" t="s">
        <v>14690</v>
      </c>
      <c r="C2166" s="71" t="s">
        <v>165</v>
      </c>
      <c r="D2166" s="78">
        <v>1</v>
      </c>
      <c r="E2166" s="79">
        <v>75.039999999999992</v>
      </c>
      <c r="F2166" s="70">
        <v>75.040000000000006</v>
      </c>
      <c r="G2166" s="320"/>
      <c r="H2166" s="79">
        <v>58.29</v>
      </c>
      <c r="I2166" s="79">
        <v>16.75</v>
      </c>
      <c r="J2166" s="79">
        <v>75.039999999999992</v>
      </c>
      <c r="K2166" s="79">
        <v>0</v>
      </c>
      <c r="L2166" s="70">
        <v>75.039999999999992</v>
      </c>
      <c r="M2166" s="132"/>
      <c r="N2166" s="78">
        <v>58.29</v>
      </c>
      <c r="O2166" s="78">
        <v>16.75</v>
      </c>
      <c r="P2166" s="79">
        <v>75.039999999999992</v>
      </c>
      <c r="Q2166" s="136"/>
      <c r="R2166" s="79">
        <v>58.29</v>
      </c>
      <c r="S2166" s="79">
        <v>16.75</v>
      </c>
      <c r="T2166" s="79">
        <v>75.039999999999992</v>
      </c>
      <c r="U2166" s="79">
        <v>0</v>
      </c>
      <c r="V2166" s="189">
        <v>75.039999999999992</v>
      </c>
      <c r="X2166" s="78">
        <v>58.29</v>
      </c>
      <c r="Y2166" s="78">
        <v>16.75</v>
      </c>
      <c r="Z2166" s="79">
        <v>75.040000000000006</v>
      </c>
      <c r="AA2166" s="255">
        <v>0</v>
      </c>
      <c r="AC2166" s="254"/>
    </row>
    <row r="2167" spans="1:31" ht="24">
      <c r="A2167" s="67" t="s">
        <v>14691</v>
      </c>
      <c r="B2167" s="65" t="s">
        <v>14692</v>
      </c>
      <c r="C2167" s="71" t="s">
        <v>165</v>
      </c>
      <c r="D2167" s="78">
        <v>1</v>
      </c>
      <c r="E2167" s="79">
        <v>112.49000000000001</v>
      </c>
      <c r="F2167" s="70">
        <v>112.49</v>
      </c>
      <c r="G2167" s="320"/>
      <c r="H2167" s="79">
        <v>92.95</v>
      </c>
      <c r="I2167" s="79">
        <v>19.54</v>
      </c>
      <c r="J2167" s="79">
        <v>112.49000000000001</v>
      </c>
      <c r="K2167" s="79">
        <v>0</v>
      </c>
      <c r="L2167" s="70">
        <v>112.49000000000001</v>
      </c>
      <c r="M2167" s="132"/>
      <c r="N2167" s="78">
        <v>92.95</v>
      </c>
      <c r="O2167" s="78">
        <v>19.54</v>
      </c>
      <c r="P2167" s="79">
        <v>112.49000000000001</v>
      </c>
      <c r="Q2167" s="136"/>
      <c r="R2167" s="79">
        <v>92.95</v>
      </c>
      <c r="S2167" s="79">
        <v>19.54</v>
      </c>
      <c r="T2167" s="79">
        <v>112.49000000000001</v>
      </c>
      <c r="U2167" s="79">
        <v>0</v>
      </c>
      <c r="V2167" s="189">
        <v>112.49000000000001</v>
      </c>
      <c r="X2167" s="78">
        <v>92.95</v>
      </c>
      <c r="Y2167" s="78">
        <v>19.54</v>
      </c>
      <c r="Z2167" s="79">
        <v>112.49</v>
      </c>
      <c r="AA2167" s="255">
        <v>0</v>
      </c>
      <c r="AC2167" s="254"/>
    </row>
    <row r="2168" spans="1:31" ht="24">
      <c r="A2168" s="67" t="s">
        <v>14693</v>
      </c>
      <c r="B2168" s="65" t="s">
        <v>14694</v>
      </c>
      <c r="C2168" s="71" t="s">
        <v>165</v>
      </c>
      <c r="D2168" s="78">
        <v>1</v>
      </c>
      <c r="E2168" s="79">
        <v>139.78</v>
      </c>
      <c r="F2168" s="70">
        <v>139.78</v>
      </c>
      <c r="G2168" s="320"/>
      <c r="H2168" s="79">
        <v>117.46</v>
      </c>
      <c r="I2168" s="79">
        <v>22.32</v>
      </c>
      <c r="J2168" s="79">
        <v>139.78</v>
      </c>
      <c r="K2168" s="79">
        <v>0</v>
      </c>
      <c r="L2168" s="70">
        <v>139.78</v>
      </c>
      <c r="M2168" s="132"/>
      <c r="N2168" s="78">
        <v>117.46</v>
      </c>
      <c r="O2168" s="78">
        <v>22.32</v>
      </c>
      <c r="P2168" s="79">
        <v>139.78</v>
      </c>
      <c r="Q2168" s="136"/>
      <c r="R2168" s="79">
        <v>117.46</v>
      </c>
      <c r="S2168" s="79">
        <v>22.33</v>
      </c>
      <c r="T2168" s="79">
        <v>139.79</v>
      </c>
      <c r="U2168" s="79">
        <v>0</v>
      </c>
      <c r="V2168" s="189">
        <v>139.79</v>
      </c>
      <c r="X2168" s="78">
        <v>117.46</v>
      </c>
      <c r="Y2168" s="78">
        <v>22.33</v>
      </c>
      <c r="Z2168" s="79">
        <v>139.79</v>
      </c>
      <c r="AA2168" s="255">
        <v>-9.9999999999909051E-3</v>
      </c>
      <c r="AC2168" s="254"/>
    </row>
    <row r="2169" spans="1:31" ht="12">
      <c r="A2169" s="67" t="s">
        <v>14695</v>
      </c>
      <c r="B2169" s="65" t="s">
        <v>14696</v>
      </c>
      <c r="C2169" s="71" t="s">
        <v>103</v>
      </c>
      <c r="D2169" s="78">
        <v>1</v>
      </c>
      <c r="E2169" s="79">
        <v>11.04</v>
      </c>
      <c r="F2169" s="70">
        <v>11.04</v>
      </c>
      <c r="G2169" s="320"/>
      <c r="H2169" s="79">
        <v>8.76</v>
      </c>
      <c r="I2169" s="79">
        <v>2.2800000000000002</v>
      </c>
      <c r="J2169" s="79">
        <v>11.04</v>
      </c>
      <c r="K2169" s="79">
        <v>0</v>
      </c>
      <c r="L2169" s="70">
        <v>11.04</v>
      </c>
      <c r="M2169" s="132"/>
      <c r="N2169" s="78">
        <v>8.76</v>
      </c>
      <c r="O2169" s="78">
        <v>2.2800000000000002</v>
      </c>
      <c r="P2169" s="79">
        <v>11.04</v>
      </c>
      <c r="Q2169" s="136"/>
      <c r="R2169" s="79">
        <v>8.76</v>
      </c>
      <c r="S2169" s="79">
        <v>2.27</v>
      </c>
      <c r="T2169" s="79">
        <v>11.03</v>
      </c>
      <c r="U2169" s="79">
        <v>0</v>
      </c>
      <c r="V2169" s="189">
        <v>11.03</v>
      </c>
      <c r="X2169" s="78">
        <v>8.76</v>
      </c>
      <c r="Y2169" s="78">
        <v>2.27</v>
      </c>
      <c r="Z2169" s="79">
        <v>11.03</v>
      </c>
      <c r="AA2169" s="255">
        <v>9.9999999999997868E-3</v>
      </c>
      <c r="AC2169" s="254"/>
    </row>
    <row r="2170" spans="1:31" ht="12">
      <c r="A2170" s="67" t="s">
        <v>14697</v>
      </c>
      <c r="B2170" s="65" t="s">
        <v>14698</v>
      </c>
      <c r="C2170" s="71" t="s">
        <v>103</v>
      </c>
      <c r="D2170" s="78">
        <v>1</v>
      </c>
      <c r="E2170" s="79">
        <v>13.23</v>
      </c>
      <c r="F2170" s="70">
        <v>13.23</v>
      </c>
      <c r="G2170" s="320"/>
      <c r="H2170" s="79">
        <v>10.95</v>
      </c>
      <c r="I2170" s="79">
        <v>2.2800000000000002</v>
      </c>
      <c r="J2170" s="79">
        <v>13.23</v>
      </c>
      <c r="K2170" s="79">
        <v>0</v>
      </c>
      <c r="L2170" s="70">
        <v>13.23</v>
      </c>
      <c r="M2170" s="132"/>
      <c r="N2170" s="78">
        <v>10.95</v>
      </c>
      <c r="O2170" s="78">
        <v>2.2800000000000002</v>
      </c>
      <c r="P2170" s="79">
        <v>13.23</v>
      </c>
      <c r="Q2170" s="136"/>
      <c r="R2170" s="79">
        <v>10.95</v>
      </c>
      <c r="S2170" s="79">
        <v>2.27</v>
      </c>
      <c r="T2170" s="79">
        <v>13.219999999999999</v>
      </c>
      <c r="U2170" s="79">
        <v>0</v>
      </c>
      <c r="V2170" s="189">
        <v>13.219999999999999</v>
      </c>
      <c r="X2170" s="78">
        <v>10.95</v>
      </c>
      <c r="Y2170" s="78">
        <v>2.27</v>
      </c>
      <c r="Z2170" s="79">
        <v>13.22</v>
      </c>
      <c r="AA2170" s="255">
        <v>9.9999999999997868E-3</v>
      </c>
      <c r="AC2170" s="254"/>
    </row>
    <row r="2171" spans="1:31" ht="12">
      <c r="A2171" s="67" t="s">
        <v>14699</v>
      </c>
      <c r="B2171" s="65" t="s">
        <v>14700</v>
      </c>
      <c r="C2171" s="71" t="s">
        <v>103</v>
      </c>
      <c r="D2171" s="78">
        <v>1</v>
      </c>
      <c r="E2171" s="79">
        <v>12.34</v>
      </c>
      <c r="F2171" s="70">
        <v>12.34</v>
      </c>
      <c r="G2171" s="320"/>
      <c r="H2171" s="79">
        <v>10.06</v>
      </c>
      <c r="I2171" s="79">
        <v>2.2800000000000002</v>
      </c>
      <c r="J2171" s="79">
        <v>12.34</v>
      </c>
      <c r="K2171" s="79">
        <v>0</v>
      </c>
      <c r="L2171" s="70">
        <v>12.34</v>
      </c>
      <c r="M2171" s="132"/>
      <c r="N2171" s="78">
        <v>10.06</v>
      </c>
      <c r="O2171" s="78">
        <v>2.2800000000000002</v>
      </c>
      <c r="P2171" s="79">
        <v>12.34</v>
      </c>
      <c r="Q2171" s="136"/>
      <c r="R2171" s="79">
        <v>10.06</v>
      </c>
      <c r="S2171" s="79">
        <v>2.27</v>
      </c>
      <c r="T2171" s="79">
        <v>12.33</v>
      </c>
      <c r="U2171" s="79">
        <v>0</v>
      </c>
      <c r="V2171" s="189">
        <v>12.33</v>
      </c>
      <c r="X2171" s="78">
        <v>10.06</v>
      </c>
      <c r="Y2171" s="78">
        <v>2.27</v>
      </c>
      <c r="Z2171" s="79">
        <v>12.33</v>
      </c>
      <c r="AA2171" s="255">
        <v>9.9999999999997868E-3</v>
      </c>
      <c r="AC2171" s="254"/>
    </row>
    <row r="2172" spans="1:31" ht="12">
      <c r="A2172" s="67" t="s">
        <v>14701</v>
      </c>
      <c r="B2172" s="65" t="s">
        <v>14702</v>
      </c>
      <c r="C2172" s="71" t="s">
        <v>103</v>
      </c>
      <c r="D2172" s="78">
        <v>1</v>
      </c>
      <c r="E2172" s="79">
        <v>8.58</v>
      </c>
      <c r="F2172" s="70">
        <v>8.58</v>
      </c>
      <c r="G2172" s="320"/>
      <c r="H2172" s="79">
        <v>2.99</v>
      </c>
      <c r="I2172" s="79">
        <v>5.59</v>
      </c>
      <c r="J2172" s="79">
        <v>8.58</v>
      </c>
      <c r="K2172" s="79">
        <v>0</v>
      </c>
      <c r="L2172" s="70">
        <v>8.58</v>
      </c>
      <c r="M2172" s="132"/>
      <c r="N2172" s="79">
        <v>2.99</v>
      </c>
      <c r="O2172" s="79">
        <v>5.59</v>
      </c>
      <c r="P2172" s="79">
        <v>8.58</v>
      </c>
      <c r="Q2172" s="136"/>
      <c r="R2172" s="79">
        <v>2.99</v>
      </c>
      <c r="S2172" s="79">
        <v>5.58</v>
      </c>
      <c r="T2172" s="79">
        <v>8.57</v>
      </c>
      <c r="U2172" s="79">
        <v>0</v>
      </c>
      <c r="V2172" s="189">
        <v>8.57</v>
      </c>
      <c r="X2172" s="78">
        <v>2.99</v>
      </c>
      <c r="Y2172" s="78">
        <v>5.58</v>
      </c>
      <c r="Z2172" s="79">
        <v>8.57</v>
      </c>
      <c r="AA2172" s="255">
        <v>9.9999999999997868E-3</v>
      </c>
      <c r="AC2172" s="254"/>
    </row>
    <row r="2173" spans="1:31" ht="12">
      <c r="A2173" s="67" t="s">
        <v>14703</v>
      </c>
      <c r="B2173" s="65" t="s">
        <v>14704</v>
      </c>
      <c r="C2173" s="71" t="s">
        <v>103</v>
      </c>
      <c r="D2173" s="78">
        <v>1</v>
      </c>
      <c r="E2173" s="79">
        <v>13.8</v>
      </c>
      <c r="F2173" s="70">
        <v>13.8</v>
      </c>
      <c r="G2173" s="320"/>
      <c r="H2173" s="79">
        <v>8.2100000000000009</v>
      </c>
      <c r="I2173" s="79">
        <v>5.59</v>
      </c>
      <c r="J2173" s="79">
        <v>13.8</v>
      </c>
      <c r="K2173" s="79">
        <v>0</v>
      </c>
      <c r="L2173" s="70">
        <v>13.8</v>
      </c>
      <c r="M2173" s="132"/>
      <c r="N2173" s="79">
        <v>8.2100000000000009</v>
      </c>
      <c r="O2173" s="79">
        <v>5.59</v>
      </c>
      <c r="P2173" s="79">
        <v>13.8</v>
      </c>
      <c r="Q2173" s="136"/>
      <c r="R2173" s="79">
        <v>8.2100000000000009</v>
      </c>
      <c r="S2173" s="79">
        <v>5.58</v>
      </c>
      <c r="T2173" s="79">
        <v>13.790000000000001</v>
      </c>
      <c r="U2173" s="79">
        <v>0</v>
      </c>
      <c r="V2173" s="189">
        <v>13.790000000000001</v>
      </c>
      <c r="X2173" s="78">
        <v>8.2100000000000009</v>
      </c>
      <c r="Y2173" s="78">
        <v>5.58</v>
      </c>
      <c r="Z2173" s="79">
        <v>13.79</v>
      </c>
      <c r="AA2173" s="255">
        <v>1.0000000000001563E-2</v>
      </c>
      <c r="AC2173" s="254"/>
    </row>
    <row r="2174" spans="1:31" ht="12">
      <c r="A2174" s="489" t="s">
        <v>14705</v>
      </c>
      <c r="B2174" s="490" t="s">
        <v>14706</v>
      </c>
      <c r="C2174" s="491"/>
      <c r="D2174" s="492"/>
      <c r="E2174" s="79"/>
      <c r="F2174" s="63"/>
      <c r="G2174" s="320"/>
      <c r="H2174" s="79"/>
      <c r="I2174" s="79"/>
      <c r="J2174" s="79"/>
      <c r="K2174" s="79"/>
      <c r="L2174" s="70"/>
      <c r="M2174" s="132"/>
      <c r="N2174" s="79"/>
      <c r="O2174" s="79"/>
      <c r="P2174" s="79"/>
      <c r="Q2174" s="136"/>
      <c r="R2174" s="79"/>
      <c r="S2174" s="79"/>
      <c r="T2174" s="79"/>
      <c r="U2174" s="79"/>
      <c r="V2174" s="189"/>
      <c r="X2174" s="79"/>
      <c r="Y2174" s="79"/>
      <c r="Z2174" s="79"/>
      <c r="AA2174" s="255"/>
      <c r="AC2174" s="254"/>
    </row>
    <row r="2175" spans="1:31" ht="12">
      <c r="A2175" s="67" t="s">
        <v>14707</v>
      </c>
      <c r="B2175" s="65" t="s">
        <v>14708</v>
      </c>
      <c r="C2175" s="71" t="s">
        <v>165</v>
      </c>
      <c r="D2175" s="78">
        <v>1</v>
      </c>
      <c r="E2175" s="79">
        <v>76.599999999999994</v>
      </c>
      <c r="F2175" s="70">
        <v>76.599999999999994</v>
      </c>
      <c r="G2175" s="320"/>
      <c r="H2175" s="79">
        <v>59.85</v>
      </c>
      <c r="I2175" s="79">
        <v>16.75</v>
      </c>
      <c r="J2175" s="79">
        <v>76.599999999999994</v>
      </c>
      <c r="K2175" s="79">
        <v>0</v>
      </c>
      <c r="L2175" s="70">
        <v>76.599999999999994</v>
      </c>
      <c r="M2175" s="132"/>
      <c r="N2175" s="79">
        <v>59.85</v>
      </c>
      <c r="O2175" s="79">
        <v>16.75</v>
      </c>
      <c r="P2175" s="79">
        <v>76.599999999999994</v>
      </c>
      <c r="Q2175" s="136"/>
      <c r="R2175" s="79">
        <v>59.85</v>
      </c>
      <c r="S2175" s="79">
        <v>16.75</v>
      </c>
      <c r="T2175" s="79">
        <v>76.599999999999994</v>
      </c>
      <c r="U2175" s="79">
        <v>0</v>
      </c>
      <c r="V2175" s="189">
        <v>76.599999999999994</v>
      </c>
      <c r="X2175" s="79">
        <v>59.85</v>
      </c>
      <c r="Y2175" s="79">
        <v>16.75</v>
      </c>
      <c r="Z2175" s="79">
        <v>76.599999999999994</v>
      </c>
      <c r="AA2175" s="255">
        <v>0</v>
      </c>
      <c r="AC2175" s="254"/>
    </row>
    <row r="2176" spans="1:31" ht="12">
      <c r="A2176" s="67" t="s">
        <v>14709</v>
      </c>
      <c r="B2176" s="65" t="s">
        <v>14710</v>
      </c>
      <c r="C2176" s="71" t="s">
        <v>165</v>
      </c>
      <c r="D2176" s="78">
        <v>1</v>
      </c>
      <c r="E2176" s="79">
        <v>93.16</v>
      </c>
      <c r="F2176" s="70">
        <v>93.16</v>
      </c>
      <c r="G2176" s="320"/>
      <c r="H2176" s="79">
        <v>76.41</v>
      </c>
      <c r="I2176" s="79">
        <v>16.75</v>
      </c>
      <c r="J2176" s="79">
        <v>93.16</v>
      </c>
      <c r="K2176" s="79">
        <v>0</v>
      </c>
      <c r="L2176" s="70">
        <v>93.16</v>
      </c>
      <c r="M2176" s="132"/>
      <c r="N2176" s="79">
        <v>76.41</v>
      </c>
      <c r="O2176" s="79">
        <v>16.75</v>
      </c>
      <c r="P2176" s="79">
        <v>93.16</v>
      </c>
      <c r="Q2176" s="136"/>
      <c r="R2176" s="79">
        <v>76.41</v>
      </c>
      <c r="S2176" s="79">
        <v>16.75</v>
      </c>
      <c r="T2176" s="79">
        <v>93.16</v>
      </c>
      <c r="U2176" s="79">
        <v>0</v>
      </c>
      <c r="V2176" s="189">
        <v>93.16</v>
      </c>
      <c r="X2176" s="79">
        <v>76.41</v>
      </c>
      <c r="Y2176" s="79">
        <v>16.75</v>
      </c>
      <c r="Z2176" s="79">
        <v>93.16</v>
      </c>
      <c r="AA2176" s="255">
        <v>0</v>
      </c>
      <c r="AC2176" s="254"/>
    </row>
    <row r="2177" spans="1:31" ht="24">
      <c r="A2177" s="67" t="s">
        <v>14711</v>
      </c>
      <c r="B2177" s="65" t="s">
        <v>14712</v>
      </c>
      <c r="C2177" s="71" t="s">
        <v>103</v>
      </c>
      <c r="D2177" s="78">
        <v>1</v>
      </c>
      <c r="E2177" s="79">
        <v>66.89</v>
      </c>
      <c r="F2177" s="70">
        <v>66.89</v>
      </c>
      <c r="G2177" s="320"/>
      <c r="H2177" s="79">
        <v>49.59</v>
      </c>
      <c r="I2177" s="79">
        <v>17.3</v>
      </c>
      <c r="J2177" s="79">
        <v>66.89</v>
      </c>
      <c r="K2177" s="79">
        <v>0</v>
      </c>
      <c r="L2177" s="70">
        <v>66.89</v>
      </c>
      <c r="M2177" s="132"/>
      <c r="N2177" s="79">
        <v>49.59</v>
      </c>
      <c r="O2177" s="79">
        <v>17.3</v>
      </c>
      <c r="P2177" s="79">
        <v>66.89</v>
      </c>
      <c r="Q2177" s="136"/>
      <c r="R2177" s="79">
        <v>49.59</v>
      </c>
      <c r="S2177" s="79">
        <v>17.309999999999999</v>
      </c>
      <c r="T2177" s="79">
        <v>66.900000000000006</v>
      </c>
      <c r="U2177" s="79">
        <v>0</v>
      </c>
      <c r="V2177" s="189">
        <v>66.900000000000006</v>
      </c>
      <c r="X2177" s="79">
        <v>49.59</v>
      </c>
      <c r="Y2177" s="79">
        <v>17.309999999999999</v>
      </c>
      <c r="Z2177" s="79">
        <v>66.900000000000006</v>
      </c>
      <c r="AA2177" s="255">
        <v>-1.0000000000005116E-2</v>
      </c>
      <c r="AC2177" s="254"/>
    </row>
    <row r="2178" spans="1:31" ht="24">
      <c r="A2178" s="67" t="s">
        <v>14713</v>
      </c>
      <c r="B2178" s="65" t="s">
        <v>14714</v>
      </c>
      <c r="C2178" s="71" t="s">
        <v>103</v>
      </c>
      <c r="D2178" s="78">
        <v>1</v>
      </c>
      <c r="E2178" s="79">
        <v>174.6</v>
      </c>
      <c r="F2178" s="70">
        <v>174.6</v>
      </c>
      <c r="G2178" s="320"/>
      <c r="H2178" s="79">
        <v>141.1</v>
      </c>
      <c r="I2178" s="79">
        <v>33.5</v>
      </c>
      <c r="J2178" s="79">
        <v>174.6</v>
      </c>
      <c r="K2178" s="79">
        <v>0</v>
      </c>
      <c r="L2178" s="70">
        <v>174.6</v>
      </c>
      <c r="M2178" s="132"/>
      <c r="N2178" s="79">
        <v>141.1</v>
      </c>
      <c r="O2178" s="79">
        <v>33.5</v>
      </c>
      <c r="P2178" s="79">
        <v>174.6</v>
      </c>
      <c r="Q2178" s="136"/>
      <c r="R2178" s="79">
        <v>141.1</v>
      </c>
      <c r="S2178" s="79">
        <v>33.5</v>
      </c>
      <c r="T2178" s="79">
        <v>174.6</v>
      </c>
      <c r="U2178" s="79">
        <v>0</v>
      </c>
      <c r="V2178" s="189">
        <v>174.6</v>
      </c>
      <c r="X2178" s="79">
        <v>141.1</v>
      </c>
      <c r="Y2178" s="79">
        <v>33.5</v>
      </c>
      <c r="Z2178" s="79">
        <v>174.6</v>
      </c>
      <c r="AA2178" s="255">
        <v>0</v>
      </c>
      <c r="AC2178" s="254"/>
    </row>
    <row r="2179" spans="1:31" ht="24">
      <c r="A2179" s="67" t="s">
        <v>14715</v>
      </c>
      <c r="B2179" s="65" t="s">
        <v>14716</v>
      </c>
      <c r="C2179" s="71" t="s">
        <v>103</v>
      </c>
      <c r="D2179" s="78">
        <v>1</v>
      </c>
      <c r="E2179" s="79">
        <v>240.86</v>
      </c>
      <c r="F2179" s="70">
        <v>240.86</v>
      </c>
      <c r="G2179" s="320"/>
      <c r="H2179" s="79">
        <v>207.36</v>
      </c>
      <c r="I2179" s="79">
        <v>33.5</v>
      </c>
      <c r="J2179" s="79">
        <v>240.86</v>
      </c>
      <c r="K2179" s="79">
        <v>0</v>
      </c>
      <c r="L2179" s="70">
        <v>240.86</v>
      </c>
      <c r="M2179" s="132"/>
      <c r="N2179" s="79">
        <v>207.36</v>
      </c>
      <c r="O2179" s="79">
        <v>33.5</v>
      </c>
      <c r="P2179" s="79">
        <v>240.86</v>
      </c>
      <c r="Q2179" s="136"/>
      <c r="R2179" s="79">
        <v>207.36</v>
      </c>
      <c r="S2179" s="79">
        <v>33.5</v>
      </c>
      <c r="T2179" s="79">
        <v>240.86</v>
      </c>
      <c r="U2179" s="79">
        <v>0</v>
      </c>
      <c r="V2179" s="189">
        <v>240.86</v>
      </c>
      <c r="X2179" s="79">
        <v>207.36</v>
      </c>
      <c r="Y2179" s="79">
        <v>33.5</v>
      </c>
      <c r="Z2179" s="79">
        <v>240.86</v>
      </c>
      <c r="AA2179" s="255">
        <v>0</v>
      </c>
      <c r="AC2179" s="254"/>
    </row>
    <row r="2180" spans="1:31" ht="12">
      <c r="A2180" s="67" t="s">
        <v>14717</v>
      </c>
      <c r="B2180" s="65" t="s">
        <v>14718</v>
      </c>
      <c r="C2180" s="71" t="s">
        <v>103</v>
      </c>
      <c r="D2180" s="78">
        <v>1</v>
      </c>
      <c r="E2180" s="79">
        <v>234.14</v>
      </c>
      <c r="F2180" s="70">
        <v>234.14</v>
      </c>
      <c r="G2180" s="320"/>
      <c r="H2180" s="79">
        <v>223.48</v>
      </c>
      <c r="I2180" s="79">
        <v>10.66</v>
      </c>
      <c r="J2180" s="79">
        <v>234.14</v>
      </c>
      <c r="K2180" s="79">
        <v>0</v>
      </c>
      <c r="L2180" s="70">
        <v>234.14</v>
      </c>
      <c r="M2180" s="132"/>
      <c r="N2180" s="79">
        <v>223.48</v>
      </c>
      <c r="O2180" s="79">
        <v>10.66</v>
      </c>
      <c r="P2180" s="79">
        <v>234.14</v>
      </c>
      <c r="Q2180" s="136"/>
      <c r="R2180" s="79">
        <v>223.48</v>
      </c>
      <c r="S2180" s="79">
        <v>10.65</v>
      </c>
      <c r="T2180" s="79">
        <v>234.13</v>
      </c>
      <c r="U2180" s="79">
        <v>0</v>
      </c>
      <c r="V2180" s="189">
        <v>234.13</v>
      </c>
      <c r="X2180" s="79">
        <v>223.48</v>
      </c>
      <c r="Y2180" s="79">
        <v>10.65</v>
      </c>
      <c r="Z2180" s="79">
        <v>234.13</v>
      </c>
      <c r="AA2180" s="255">
        <v>9.9999999999909051E-3</v>
      </c>
      <c r="AC2180" s="254"/>
      <c r="AD2180" s="61"/>
      <c r="AE2180" s="61"/>
    </row>
    <row r="2181" spans="1:31" ht="12">
      <c r="A2181" s="67" t="s">
        <v>14719</v>
      </c>
      <c r="B2181" s="65" t="s">
        <v>14720</v>
      </c>
      <c r="C2181" s="71" t="s">
        <v>103</v>
      </c>
      <c r="D2181" s="78">
        <v>1</v>
      </c>
      <c r="E2181" s="79">
        <v>278.81</v>
      </c>
      <c r="F2181" s="70">
        <v>278.81</v>
      </c>
      <c r="G2181" s="320"/>
      <c r="H2181" s="79">
        <v>268.14999999999998</v>
      </c>
      <c r="I2181" s="79">
        <v>10.66</v>
      </c>
      <c r="J2181" s="79">
        <v>278.81</v>
      </c>
      <c r="K2181" s="79">
        <v>0</v>
      </c>
      <c r="L2181" s="70">
        <v>278.81</v>
      </c>
      <c r="M2181" s="132"/>
      <c r="N2181" s="79">
        <v>268.14999999999998</v>
      </c>
      <c r="O2181" s="79">
        <v>10.66</v>
      </c>
      <c r="P2181" s="79">
        <v>278.81</v>
      </c>
      <c r="Q2181" s="136"/>
      <c r="R2181" s="79">
        <v>268.14999999999998</v>
      </c>
      <c r="S2181" s="79">
        <v>10.65</v>
      </c>
      <c r="T2181" s="79">
        <v>278.79999999999995</v>
      </c>
      <c r="U2181" s="79">
        <v>0</v>
      </c>
      <c r="V2181" s="189">
        <v>278.79999999999995</v>
      </c>
      <c r="X2181" s="79">
        <v>268.14999999999998</v>
      </c>
      <c r="Y2181" s="79">
        <v>10.65</v>
      </c>
      <c r="Z2181" s="79">
        <v>278.8</v>
      </c>
      <c r="AA2181" s="255">
        <v>9.9999999999909051E-3</v>
      </c>
      <c r="AC2181" s="254"/>
      <c r="AD2181" s="69"/>
      <c r="AE2181" s="69"/>
    </row>
    <row r="2182" spans="1:31" s="61" customFormat="1" ht="12">
      <c r="A2182" s="67" t="s">
        <v>14721</v>
      </c>
      <c r="B2182" s="65" t="s">
        <v>14722</v>
      </c>
      <c r="C2182" s="71" t="s">
        <v>103</v>
      </c>
      <c r="D2182" s="78">
        <v>1</v>
      </c>
      <c r="E2182" s="79">
        <v>437.16</v>
      </c>
      <c r="F2182" s="70">
        <v>437.16</v>
      </c>
      <c r="G2182" s="320"/>
      <c r="H2182" s="79">
        <v>426.5</v>
      </c>
      <c r="I2182" s="79">
        <v>10.66</v>
      </c>
      <c r="J2182" s="79">
        <v>437.16</v>
      </c>
      <c r="K2182" s="79">
        <v>0</v>
      </c>
      <c r="L2182" s="70">
        <v>437.16</v>
      </c>
      <c r="M2182" s="132"/>
      <c r="N2182" s="79">
        <v>426.5</v>
      </c>
      <c r="O2182" s="79">
        <v>10.66</v>
      </c>
      <c r="P2182" s="79">
        <v>437.16</v>
      </c>
      <c r="Q2182" s="136"/>
      <c r="R2182" s="79">
        <v>426.5</v>
      </c>
      <c r="S2182" s="79">
        <v>10.65</v>
      </c>
      <c r="T2182" s="79">
        <v>437.15</v>
      </c>
      <c r="U2182" s="79">
        <v>0</v>
      </c>
      <c r="V2182" s="189">
        <v>437.15</v>
      </c>
      <c r="X2182" s="79">
        <v>426.5</v>
      </c>
      <c r="Y2182" s="79">
        <v>10.65</v>
      </c>
      <c r="Z2182" s="79">
        <v>437.15</v>
      </c>
      <c r="AA2182" s="255">
        <v>1.0000000000047748E-2</v>
      </c>
      <c r="AC2182" s="254"/>
      <c r="AD2182" s="69"/>
      <c r="AE2182" s="69"/>
    </row>
    <row r="2183" spans="1:31" s="69" customFormat="1" ht="12">
      <c r="A2183" s="489" t="s">
        <v>14723</v>
      </c>
      <c r="B2183" s="490" t="s">
        <v>14724</v>
      </c>
      <c r="C2183" s="491"/>
      <c r="D2183" s="492"/>
      <c r="E2183" s="79"/>
      <c r="F2183" s="63"/>
      <c r="G2183" s="320"/>
      <c r="H2183" s="79"/>
      <c r="I2183" s="79"/>
      <c r="J2183" s="79"/>
      <c r="K2183" s="79"/>
      <c r="L2183" s="70"/>
      <c r="M2183" s="132"/>
      <c r="N2183" s="79"/>
      <c r="O2183" s="79"/>
      <c r="P2183" s="79"/>
      <c r="Q2183" s="136"/>
      <c r="R2183" s="79"/>
      <c r="S2183" s="79"/>
      <c r="T2183" s="79"/>
      <c r="U2183" s="79"/>
      <c r="V2183" s="189"/>
      <c r="W2183" s="61"/>
      <c r="X2183" s="79"/>
      <c r="Y2183" s="79"/>
      <c r="Z2183" s="79"/>
      <c r="AA2183" s="255"/>
      <c r="AB2183" s="61"/>
      <c r="AC2183" s="254"/>
    </row>
    <row r="2184" spans="1:31" ht="12">
      <c r="A2184" s="67" t="s">
        <v>14725</v>
      </c>
      <c r="B2184" s="65" t="s">
        <v>14726</v>
      </c>
      <c r="C2184" s="499" t="s">
        <v>165</v>
      </c>
      <c r="D2184" s="78">
        <v>1</v>
      </c>
      <c r="E2184" s="79">
        <v>237.54</v>
      </c>
      <c r="F2184" s="70">
        <v>237.54</v>
      </c>
      <c r="G2184" s="320"/>
      <c r="H2184" s="79">
        <v>220.79</v>
      </c>
      <c r="I2184" s="79">
        <v>16.75</v>
      </c>
      <c r="J2184" s="79">
        <v>237.54</v>
      </c>
      <c r="K2184" s="79">
        <v>0</v>
      </c>
      <c r="L2184" s="70">
        <v>237.54</v>
      </c>
      <c r="M2184" s="132"/>
      <c r="N2184" s="79">
        <v>220.79</v>
      </c>
      <c r="O2184" s="79">
        <v>16.75</v>
      </c>
      <c r="P2184" s="79">
        <v>237.54</v>
      </c>
      <c r="Q2184" s="136"/>
      <c r="R2184" s="79">
        <v>220.79</v>
      </c>
      <c r="S2184" s="79">
        <v>16.75</v>
      </c>
      <c r="T2184" s="79">
        <v>237.54</v>
      </c>
      <c r="U2184" s="79">
        <v>0</v>
      </c>
      <c r="V2184" s="189">
        <v>237.54</v>
      </c>
      <c r="X2184" s="79">
        <v>220.79</v>
      </c>
      <c r="Y2184" s="79">
        <v>16.75</v>
      </c>
      <c r="Z2184" s="79">
        <v>237.54</v>
      </c>
      <c r="AA2184" s="255">
        <v>0</v>
      </c>
      <c r="AC2184" s="254"/>
      <c r="AD2184" s="69"/>
      <c r="AE2184" s="69"/>
    </row>
    <row r="2185" spans="1:31" s="69" customFormat="1" ht="12">
      <c r="A2185" s="67" t="s">
        <v>14727</v>
      </c>
      <c r="B2185" s="65" t="s">
        <v>14728</v>
      </c>
      <c r="C2185" s="71" t="s">
        <v>165</v>
      </c>
      <c r="D2185" s="78">
        <v>1</v>
      </c>
      <c r="E2185" s="79">
        <v>295.56</v>
      </c>
      <c r="F2185" s="70">
        <v>295.56</v>
      </c>
      <c r="G2185" s="320"/>
      <c r="H2185" s="79">
        <v>278.81</v>
      </c>
      <c r="I2185" s="79">
        <v>16.75</v>
      </c>
      <c r="J2185" s="79">
        <v>295.56</v>
      </c>
      <c r="K2185" s="79">
        <v>0</v>
      </c>
      <c r="L2185" s="70">
        <v>295.56</v>
      </c>
      <c r="M2185" s="132"/>
      <c r="N2185" s="79">
        <v>278.81</v>
      </c>
      <c r="O2185" s="79">
        <v>16.75</v>
      </c>
      <c r="P2185" s="79">
        <v>295.56</v>
      </c>
      <c r="Q2185" s="136"/>
      <c r="R2185" s="79">
        <v>278.81</v>
      </c>
      <c r="S2185" s="79">
        <v>16.75</v>
      </c>
      <c r="T2185" s="79">
        <v>295.56</v>
      </c>
      <c r="U2185" s="79">
        <v>0</v>
      </c>
      <c r="V2185" s="189">
        <v>295.56</v>
      </c>
      <c r="W2185" s="61"/>
      <c r="X2185" s="79">
        <v>278.81</v>
      </c>
      <c r="Y2185" s="79">
        <v>16.75</v>
      </c>
      <c r="Z2185" s="79">
        <v>295.56</v>
      </c>
      <c r="AA2185" s="255">
        <v>0</v>
      </c>
      <c r="AB2185" s="61"/>
      <c r="AC2185" s="254"/>
      <c r="AD2185" s="61"/>
      <c r="AE2185" s="61"/>
    </row>
    <row r="2186" spans="1:31" s="69" customFormat="1" ht="12">
      <c r="A2186" s="67" t="s">
        <v>14729</v>
      </c>
      <c r="B2186" s="65" t="s">
        <v>14730</v>
      </c>
      <c r="C2186" s="71" t="s">
        <v>165</v>
      </c>
      <c r="D2186" s="78">
        <v>1</v>
      </c>
      <c r="E2186" s="79">
        <v>345.08</v>
      </c>
      <c r="F2186" s="70">
        <v>345.08</v>
      </c>
      <c r="G2186" s="320"/>
      <c r="H2186" s="79">
        <v>328.33</v>
      </c>
      <c r="I2186" s="79">
        <v>16.75</v>
      </c>
      <c r="J2186" s="79">
        <v>345.08</v>
      </c>
      <c r="K2186" s="79">
        <v>0</v>
      </c>
      <c r="L2186" s="70">
        <v>345.08</v>
      </c>
      <c r="M2186" s="132"/>
      <c r="N2186" s="79">
        <v>328.33</v>
      </c>
      <c r="O2186" s="79">
        <v>16.75</v>
      </c>
      <c r="P2186" s="79">
        <v>345.08</v>
      </c>
      <c r="Q2186" s="136"/>
      <c r="R2186" s="79">
        <v>328.33</v>
      </c>
      <c r="S2186" s="79">
        <v>16.75</v>
      </c>
      <c r="T2186" s="79">
        <v>345.08</v>
      </c>
      <c r="U2186" s="79">
        <v>0</v>
      </c>
      <c r="V2186" s="189">
        <v>345.08</v>
      </c>
      <c r="W2186" s="61"/>
      <c r="X2186" s="79">
        <v>328.33</v>
      </c>
      <c r="Y2186" s="79">
        <v>16.75</v>
      </c>
      <c r="Z2186" s="79">
        <v>345.08</v>
      </c>
      <c r="AA2186" s="255">
        <v>0</v>
      </c>
      <c r="AB2186" s="61"/>
      <c r="AC2186" s="254"/>
      <c r="AD2186" s="236"/>
      <c r="AE2186" s="236"/>
    </row>
    <row r="2187" spans="1:31" s="61" customFormat="1" ht="12">
      <c r="A2187" s="67" t="s">
        <v>14731</v>
      </c>
      <c r="B2187" s="65" t="s">
        <v>14732</v>
      </c>
      <c r="C2187" s="71" t="s">
        <v>165</v>
      </c>
      <c r="D2187" s="78">
        <v>1</v>
      </c>
      <c r="E2187" s="79">
        <v>314.74</v>
      </c>
      <c r="F2187" s="70">
        <v>314.74</v>
      </c>
      <c r="G2187" s="320"/>
      <c r="H2187" s="79">
        <v>297.99</v>
      </c>
      <c r="I2187" s="79">
        <v>16.75</v>
      </c>
      <c r="J2187" s="79">
        <v>314.74</v>
      </c>
      <c r="K2187" s="79">
        <v>0</v>
      </c>
      <c r="L2187" s="70">
        <v>314.74</v>
      </c>
      <c r="M2187" s="132"/>
      <c r="N2187" s="79">
        <v>297.99</v>
      </c>
      <c r="O2187" s="79">
        <v>16.75</v>
      </c>
      <c r="P2187" s="79">
        <v>314.74</v>
      </c>
      <c r="Q2187" s="136"/>
      <c r="R2187" s="79">
        <v>297.99</v>
      </c>
      <c r="S2187" s="79">
        <v>16.75</v>
      </c>
      <c r="T2187" s="79">
        <v>314.74</v>
      </c>
      <c r="U2187" s="79">
        <v>0</v>
      </c>
      <c r="V2187" s="189">
        <v>314.74</v>
      </c>
      <c r="X2187" s="79">
        <v>297.99</v>
      </c>
      <c r="Y2187" s="79">
        <v>16.75</v>
      </c>
      <c r="Z2187" s="79">
        <v>314.74</v>
      </c>
      <c r="AA2187" s="255">
        <v>0</v>
      </c>
      <c r="AC2187" s="254"/>
      <c r="AD2187" s="236"/>
      <c r="AE2187" s="236"/>
    </row>
    <row r="2188" spans="1:31" ht="12">
      <c r="A2188" s="67" t="s">
        <v>14733</v>
      </c>
      <c r="B2188" s="65" t="s">
        <v>14734</v>
      </c>
      <c r="C2188" s="71" t="s">
        <v>165</v>
      </c>
      <c r="D2188" s="78">
        <v>1</v>
      </c>
      <c r="E2188" s="79">
        <v>397.28</v>
      </c>
      <c r="F2188" s="70">
        <v>397.28</v>
      </c>
      <c r="G2188" s="320"/>
      <c r="H2188" s="79">
        <v>380.53</v>
      </c>
      <c r="I2188" s="79">
        <v>16.75</v>
      </c>
      <c r="J2188" s="79">
        <v>397.28</v>
      </c>
      <c r="K2188" s="79">
        <v>0</v>
      </c>
      <c r="L2188" s="70">
        <v>397.28</v>
      </c>
      <c r="M2188" s="132"/>
      <c r="N2188" s="79">
        <v>380.53</v>
      </c>
      <c r="O2188" s="79">
        <v>16.75</v>
      </c>
      <c r="P2188" s="79">
        <v>397.28</v>
      </c>
      <c r="Q2188" s="136"/>
      <c r="R2188" s="79">
        <v>380.53</v>
      </c>
      <c r="S2188" s="79">
        <v>16.75</v>
      </c>
      <c r="T2188" s="79">
        <v>397.28</v>
      </c>
      <c r="U2188" s="79">
        <v>0</v>
      </c>
      <c r="V2188" s="189">
        <v>397.28</v>
      </c>
      <c r="X2188" s="79">
        <v>380.53</v>
      </c>
      <c r="Y2188" s="79">
        <v>16.75</v>
      </c>
      <c r="Z2188" s="79">
        <v>397.28</v>
      </c>
      <c r="AA2188" s="255">
        <v>0</v>
      </c>
      <c r="AC2188" s="254"/>
      <c r="AD2188" s="61"/>
      <c r="AE2188" s="61"/>
    </row>
    <row r="2189" spans="1:31" ht="12">
      <c r="A2189" s="489" t="s">
        <v>14735</v>
      </c>
      <c r="B2189" s="490" t="s">
        <v>14736</v>
      </c>
      <c r="C2189" s="491"/>
      <c r="D2189" s="492"/>
      <c r="E2189" s="79"/>
      <c r="F2189" s="63"/>
      <c r="G2189" s="320"/>
      <c r="H2189" s="79"/>
      <c r="I2189" s="79"/>
      <c r="J2189" s="79"/>
      <c r="K2189" s="79"/>
      <c r="L2189" s="70"/>
      <c r="M2189" s="132"/>
      <c r="N2189" s="79"/>
      <c r="O2189" s="79"/>
      <c r="P2189" s="79"/>
      <c r="Q2189" s="136"/>
      <c r="R2189" s="79"/>
      <c r="S2189" s="79"/>
      <c r="T2189" s="79"/>
      <c r="U2189" s="79"/>
      <c r="V2189" s="189"/>
      <c r="X2189" s="79"/>
      <c r="Y2189" s="79"/>
      <c r="Z2189" s="79"/>
      <c r="AA2189" s="255"/>
      <c r="AC2189" s="254"/>
    </row>
    <row r="2190" spans="1:31" s="61" customFormat="1" ht="12">
      <c r="A2190" s="67" t="s">
        <v>14737</v>
      </c>
      <c r="B2190" s="65" t="s">
        <v>14738</v>
      </c>
      <c r="C2190" s="71" t="s">
        <v>165</v>
      </c>
      <c r="D2190" s="78">
        <v>1</v>
      </c>
      <c r="E2190" s="79">
        <v>7.29</v>
      </c>
      <c r="F2190" s="70">
        <v>7.29</v>
      </c>
      <c r="G2190" s="320"/>
      <c r="H2190" s="79">
        <v>5.05</v>
      </c>
      <c r="I2190" s="79">
        <v>2.2400000000000002</v>
      </c>
      <c r="J2190" s="79">
        <v>7.29</v>
      </c>
      <c r="K2190" s="79">
        <v>0</v>
      </c>
      <c r="L2190" s="70">
        <v>7.29</v>
      </c>
      <c r="M2190" s="132"/>
      <c r="N2190" s="79">
        <v>5.05</v>
      </c>
      <c r="O2190" s="79">
        <v>2.2400000000000002</v>
      </c>
      <c r="P2190" s="79">
        <v>7.29</v>
      </c>
      <c r="Q2190" s="136"/>
      <c r="R2190" s="79">
        <v>5.05</v>
      </c>
      <c r="S2190" s="79">
        <v>2.23</v>
      </c>
      <c r="T2190" s="79">
        <v>7.2799999999999994</v>
      </c>
      <c r="U2190" s="79">
        <v>0</v>
      </c>
      <c r="V2190" s="189">
        <v>7.2799999999999994</v>
      </c>
      <c r="X2190" s="79">
        <v>5.05</v>
      </c>
      <c r="Y2190" s="79">
        <v>2.23</v>
      </c>
      <c r="Z2190" s="79">
        <v>7.28</v>
      </c>
      <c r="AA2190" s="255">
        <v>9.9999999999997868E-3</v>
      </c>
      <c r="AC2190" s="254"/>
      <c r="AD2190" s="236"/>
      <c r="AE2190" s="236"/>
    </row>
    <row r="2191" spans="1:31" ht="12">
      <c r="A2191" s="67" t="s">
        <v>14739</v>
      </c>
      <c r="B2191" s="65" t="s">
        <v>14740</v>
      </c>
      <c r="C2191" s="71" t="s">
        <v>165</v>
      </c>
      <c r="D2191" s="78">
        <v>1</v>
      </c>
      <c r="E2191" s="79">
        <v>8.379999999999999</v>
      </c>
      <c r="F2191" s="70">
        <v>8.3800000000000008</v>
      </c>
      <c r="G2191" s="320"/>
      <c r="H2191" s="79">
        <v>6.14</v>
      </c>
      <c r="I2191" s="79">
        <v>2.2400000000000002</v>
      </c>
      <c r="J2191" s="79">
        <v>8.379999999999999</v>
      </c>
      <c r="K2191" s="79">
        <v>0</v>
      </c>
      <c r="L2191" s="70">
        <v>8.379999999999999</v>
      </c>
      <c r="M2191" s="132"/>
      <c r="N2191" s="79">
        <v>6.14</v>
      </c>
      <c r="O2191" s="79">
        <v>2.2400000000000002</v>
      </c>
      <c r="P2191" s="79">
        <v>8.379999999999999</v>
      </c>
      <c r="Q2191" s="136"/>
      <c r="R2191" s="79">
        <v>6.14</v>
      </c>
      <c r="S2191" s="79">
        <v>2.23</v>
      </c>
      <c r="T2191" s="79">
        <v>8.3699999999999992</v>
      </c>
      <c r="U2191" s="79">
        <v>0</v>
      </c>
      <c r="V2191" s="189">
        <v>8.3699999999999992</v>
      </c>
      <c r="X2191" s="79">
        <v>6.14</v>
      </c>
      <c r="Y2191" s="79">
        <v>2.23</v>
      </c>
      <c r="Z2191" s="79">
        <v>8.3699999999999992</v>
      </c>
      <c r="AA2191" s="255">
        <v>1.0000000000001563E-2</v>
      </c>
      <c r="AC2191" s="254"/>
    </row>
    <row r="2192" spans="1:31" ht="12">
      <c r="A2192" s="67" t="s">
        <v>14741</v>
      </c>
      <c r="B2192" s="65" t="s">
        <v>14742</v>
      </c>
      <c r="C2192" s="71" t="s">
        <v>165</v>
      </c>
      <c r="D2192" s="78">
        <v>1</v>
      </c>
      <c r="E2192" s="79">
        <v>9.68</v>
      </c>
      <c r="F2192" s="70">
        <v>9.68</v>
      </c>
      <c r="G2192" s="320"/>
      <c r="H2192" s="79">
        <v>7.44</v>
      </c>
      <c r="I2192" s="79">
        <v>2.2400000000000002</v>
      </c>
      <c r="J2192" s="79">
        <v>9.68</v>
      </c>
      <c r="K2192" s="79">
        <v>0</v>
      </c>
      <c r="L2192" s="70">
        <v>9.68</v>
      </c>
      <c r="M2192" s="132"/>
      <c r="N2192" s="79">
        <v>7.44</v>
      </c>
      <c r="O2192" s="79">
        <v>2.2400000000000002</v>
      </c>
      <c r="P2192" s="79">
        <v>9.68</v>
      </c>
      <c r="Q2192" s="136"/>
      <c r="R2192" s="79">
        <v>7.44</v>
      </c>
      <c r="S2192" s="79">
        <v>2.23</v>
      </c>
      <c r="T2192" s="79">
        <v>9.67</v>
      </c>
      <c r="U2192" s="79">
        <v>0</v>
      </c>
      <c r="V2192" s="189">
        <v>9.67</v>
      </c>
      <c r="X2192" s="79">
        <v>7.44</v>
      </c>
      <c r="Y2192" s="79">
        <v>2.23</v>
      </c>
      <c r="Z2192" s="79">
        <v>9.67</v>
      </c>
      <c r="AA2192" s="255">
        <v>9.9999999999997868E-3</v>
      </c>
      <c r="AC2192" s="254"/>
    </row>
    <row r="2193" spans="1:31" ht="12">
      <c r="A2193" s="67" t="s">
        <v>14743</v>
      </c>
      <c r="B2193" s="65" t="s">
        <v>14744</v>
      </c>
      <c r="C2193" s="71" t="s">
        <v>165</v>
      </c>
      <c r="D2193" s="78">
        <v>1</v>
      </c>
      <c r="E2193" s="79">
        <v>16.91</v>
      </c>
      <c r="F2193" s="70">
        <v>16.91</v>
      </c>
      <c r="G2193" s="320"/>
      <c r="H2193" s="79">
        <v>14.67</v>
      </c>
      <c r="I2193" s="79">
        <v>2.2400000000000002</v>
      </c>
      <c r="J2193" s="79">
        <v>16.91</v>
      </c>
      <c r="K2193" s="79">
        <v>0</v>
      </c>
      <c r="L2193" s="70">
        <v>16.91</v>
      </c>
      <c r="M2193" s="132"/>
      <c r="N2193" s="79">
        <v>14.67</v>
      </c>
      <c r="O2193" s="79">
        <v>2.2400000000000002</v>
      </c>
      <c r="P2193" s="79">
        <v>16.91</v>
      </c>
      <c r="Q2193" s="136"/>
      <c r="R2193" s="79">
        <v>14.67</v>
      </c>
      <c r="S2193" s="79">
        <v>2.23</v>
      </c>
      <c r="T2193" s="79">
        <v>16.899999999999999</v>
      </c>
      <c r="U2193" s="79">
        <v>0</v>
      </c>
      <c r="V2193" s="189">
        <v>16.899999999999999</v>
      </c>
      <c r="X2193" s="79">
        <v>14.67</v>
      </c>
      <c r="Y2193" s="79">
        <v>2.23</v>
      </c>
      <c r="Z2193" s="79">
        <v>16.899999999999999</v>
      </c>
      <c r="AA2193" s="255">
        <v>1.0000000000001563E-2</v>
      </c>
      <c r="AC2193" s="254"/>
    </row>
    <row r="2194" spans="1:31" ht="12">
      <c r="A2194" s="67" t="s">
        <v>14745</v>
      </c>
      <c r="B2194" s="65" t="s">
        <v>14746</v>
      </c>
      <c r="C2194" s="71" t="s">
        <v>165</v>
      </c>
      <c r="D2194" s="78">
        <v>1</v>
      </c>
      <c r="E2194" s="79">
        <v>18.96</v>
      </c>
      <c r="F2194" s="70">
        <v>18.96</v>
      </c>
      <c r="G2194" s="320"/>
      <c r="H2194" s="79">
        <v>16.72</v>
      </c>
      <c r="I2194" s="79">
        <v>2.2400000000000002</v>
      </c>
      <c r="J2194" s="79">
        <v>18.96</v>
      </c>
      <c r="K2194" s="79">
        <v>0</v>
      </c>
      <c r="L2194" s="70">
        <v>18.96</v>
      </c>
      <c r="M2194" s="132"/>
      <c r="N2194" s="79">
        <v>16.72</v>
      </c>
      <c r="O2194" s="79">
        <v>2.2400000000000002</v>
      </c>
      <c r="P2194" s="79">
        <v>18.96</v>
      </c>
      <c r="Q2194" s="136"/>
      <c r="R2194" s="79">
        <v>16.72</v>
      </c>
      <c r="S2194" s="79">
        <v>2.23</v>
      </c>
      <c r="T2194" s="79">
        <v>18.95</v>
      </c>
      <c r="U2194" s="79">
        <v>0</v>
      </c>
      <c r="V2194" s="189">
        <v>18.95</v>
      </c>
      <c r="X2194" s="79">
        <v>16.72</v>
      </c>
      <c r="Y2194" s="79">
        <v>2.23</v>
      </c>
      <c r="Z2194" s="79">
        <v>18.95</v>
      </c>
      <c r="AA2194" s="255">
        <v>1.0000000000001563E-2</v>
      </c>
      <c r="AC2194" s="254"/>
    </row>
    <row r="2195" spans="1:31" ht="12">
      <c r="A2195" s="67" t="s">
        <v>14747</v>
      </c>
      <c r="B2195" s="65" t="s">
        <v>14748</v>
      </c>
      <c r="C2195" s="71" t="s">
        <v>165</v>
      </c>
      <c r="D2195" s="78">
        <v>1</v>
      </c>
      <c r="E2195" s="79">
        <v>25.9</v>
      </c>
      <c r="F2195" s="70">
        <v>25.9</v>
      </c>
      <c r="G2195" s="320"/>
      <c r="H2195" s="79">
        <v>23.66</v>
      </c>
      <c r="I2195" s="79">
        <v>2.2400000000000002</v>
      </c>
      <c r="J2195" s="79">
        <v>25.9</v>
      </c>
      <c r="K2195" s="79">
        <v>0</v>
      </c>
      <c r="L2195" s="70">
        <v>25.9</v>
      </c>
      <c r="M2195" s="132"/>
      <c r="N2195" s="79">
        <v>23.66</v>
      </c>
      <c r="O2195" s="79">
        <v>2.2400000000000002</v>
      </c>
      <c r="P2195" s="79">
        <v>25.9</v>
      </c>
      <c r="Q2195" s="136"/>
      <c r="R2195" s="79">
        <v>23.66</v>
      </c>
      <c r="S2195" s="79">
        <v>2.23</v>
      </c>
      <c r="T2195" s="79">
        <v>25.89</v>
      </c>
      <c r="U2195" s="79">
        <v>0</v>
      </c>
      <c r="V2195" s="189">
        <v>25.89</v>
      </c>
      <c r="X2195" s="79">
        <v>23.66</v>
      </c>
      <c r="Y2195" s="79">
        <v>2.23</v>
      </c>
      <c r="Z2195" s="79">
        <v>25.89</v>
      </c>
      <c r="AA2195" s="255">
        <v>9.9999999999980105E-3</v>
      </c>
      <c r="AC2195" s="254"/>
    </row>
    <row r="2196" spans="1:31" ht="12">
      <c r="A2196" s="67" t="s">
        <v>14749</v>
      </c>
      <c r="B2196" s="65" t="s">
        <v>14750</v>
      </c>
      <c r="C2196" s="71" t="s">
        <v>165</v>
      </c>
      <c r="D2196" s="78">
        <v>1</v>
      </c>
      <c r="E2196" s="79">
        <v>37.370000000000005</v>
      </c>
      <c r="F2196" s="70">
        <v>37.369999999999997</v>
      </c>
      <c r="G2196" s="320"/>
      <c r="H2196" s="79">
        <v>35.130000000000003</v>
      </c>
      <c r="I2196" s="79">
        <v>2.2400000000000002</v>
      </c>
      <c r="J2196" s="79">
        <v>37.370000000000005</v>
      </c>
      <c r="K2196" s="79">
        <v>0</v>
      </c>
      <c r="L2196" s="70">
        <v>37.370000000000005</v>
      </c>
      <c r="M2196" s="132"/>
      <c r="N2196" s="79">
        <v>35.130000000000003</v>
      </c>
      <c r="O2196" s="79">
        <v>2.2400000000000002</v>
      </c>
      <c r="P2196" s="79">
        <v>37.370000000000005</v>
      </c>
      <c r="Q2196" s="136"/>
      <c r="R2196" s="79">
        <v>35.130000000000003</v>
      </c>
      <c r="S2196" s="79">
        <v>2.23</v>
      </c>
      <c r="T2196" s="79">
        <v>37.36</v>
      </c>
      <c r="U2196" s="79">
        <v>0</v>
      </c>
      <c r="V2196" s="189">
        <v>37.36</v>
      </c>
      <c r="X2196" s="79">
        <v>35.130000000000003</v>
      </c>
      <c r="Y2196" s="79">
        <v>2.23</v>
      </c>
      <c r="Z2196" s="79">
        <v>37.36</v>
      </c>
      <c r="AA2196" s="255">
        <v>9.9999999999980105E-3</v>
      </c>
      <c r="AC2196" s="254"/>
    </row>
    <row r="2197" spans="1:31" ht="12">
      <c r="A2197" s="489" t="s">
        <v>14751</v>
      </c>
      <c r="B2197" s="490" t="s">
        <v>14752</v>
      </c>
      <c r="C2197" s="491"/>
      <c r="D2197" s="492"/>
      <c r="E2197" s="79"/>
      <c r="F2197" s="63"/>
      <c r="G2197" s="320"/>
      <c r="H2197" s="79"/>
      <c r="I2197" s="79"/>
      <c r="J2197" s="79"/>
      <c r="K2197" s="79"/>
      <c r="L2197" s="70"/>
      <c r="M2197" s="132"/>
      <c r="N2197" s="79"/>
      <c r="O2197" s="79"/>
      <c r="P2197" s="79"/>
      <c r="Q2197" s="136"/>
      <c r="R2197" s="79"/>
      <c r="S2197" s="79"/>
      <c r="T2197" s="79"/>
      <c r="U2197" s="79"/>
      <c r="V2197" s="189"/>
      <c r="X2197" s="79"/>
      <c r="Y2197" s="79"/>
      <c r="Z2197" s="79"/>
      <c r="AA2197" s="255"/>
      <c r="AC2197" s="254"/>
    </row>
    <row r="2198" spans="1:31" ht="12">
      <c r="A2198" s="67" t="s">
        <v>14753</v>
      </c>
      <c r="B2198" s="65" t="s">
        <v>14754</v>
      </c>
      <c r="C2198" s="71" t="s">
        <v>165</v>
      </c>
      <c r="D2198" s="78">
        <v>1</v>
      </c>
      <c r="E2198" s="79">
        <v>28.7</v>
      </c>
      <c r="F2198" s="70">
        <v>28.7</v>
      </c>
      <c r="G2198" s="320"/>
      <c r="H2198" s="79">
        <v>9.0500000000000007</v>
      </c>
      <c r="I2198" s="79">
        <v>19.649999999999999</v>
      </c>
      <c r="J2198" s="79">
        <v>28.7</v>
      </c>
      <c r="K2198" s="79">
        <v>0</v>
      </c>
      <c r="L2198" s="70">
        <v>28.7</v>
      </c>
      <c r="M2198" s="132"/>
      <c r="N2198" s="79">
        <v>9.0500000000000007</v>
      </c>
      <c r="O2198" s="79">
        <v>19.649999999999999</v>
      </c>
      <c r="P2198" s="79">
        <v>28.7</v>
      </c>
      <c r="Q2198" s="136"/>
      <c r="R2198" s="79">
        <v>9.0500000000000007</v>
      </c>
      <c r="S2198" s="79">
        <v>19.64</v>
      </c>
      <c r="T2198" s="79">
        <v>28.69</v>
      </c>
      <c r="U2198" s="79">
        <v>0</v>
      </c>
      <c r="V2198" s="189">
        <v>28.69</v>
      </c>
      <c r="X2198" s="79">
        <v>9.0500000000000007</v>
      </c>
      <c r="Y2198" s="79">
        <v>19.64</v>
      </c>
      <c r="Z2198" s="79">
        <v>28.69</v>
      </c>
      <c r="AA2198" s="255">
        <v>9.9999999999980105E-3</v>
      </c>
      <c r="AC2198" s="254"/>
    </row>
    <row r="2199" spans="1:31" ht="12">
      <c r="A2199" s="67" t="s">
        <v>14755</v>
      </c>
      <c r="B2199" s="65" t="s">
        <v>14756</v>
      </c>
      <c r="C2199" s="71" t="s">
        <v>165</v>
      </c>
      <c r="D2199" s="78">
        <v>1</v>
      </c>
      <c r="E2199" s="79">
        <v>31.599999999999998</v>
      </c>
      <c r="F2199" s="70">
        <v>31.6</v>
      </c>
      <c r="G2199" s="320"/>
      <c r="H2199" s="79">
        <v>11.95</v>
      </c>
      <c r="I2199" s="79">
        <v>19.649999999999999</v>
      </c>
      <c r="J2199" s="79">
        <v>31.599999999999998</v>
      </c>
      <c r="K2199" s="79">
        <v>0</v>
      </c>
      <c r="L2199" s="70">
        <v>31.599999999999998</v>
      </c>
      <c r="M2199" s="132"/>
      <c r="N2199" s="79">
        <v>11.95</v>
      </c>
      <c r="O2199" s="79">
        <v>19.649999999999999</v>
      </c>
      <c r="P2199" s="79">
        <v>31.599999999999998</v>
      </c>
      <c r="Q2199" s="136"/>
      <c r="R2199" s="79">
        <v>11.95</v>
      </c>
      <c r="S2199" s="79">
        <v>19.64</v>
      </c>
      <c r="T2199" s="79">
        <v>31.59</v>
      </c>
      <c r="U2199" s="79">
        <v>0</v>
      </c>
      <c r="V2199" s="189">
        <v>31.59</v>
      </c>
      <c r="X2199" s="79">
        <v>11.95</v>
      </c>
      <c r="Y2199" s="79">
        <v>19.64</v>
      </c>
      <c r="Z2199" s="79">
        <v>31.59</v>
      </c>
      <c r="AA2199" s="255">
        <v>1.0000000000001563E-2</v>
      </c>
      <c r="AC2199" s="254"/>
    </row>
    <row r="2200" spans="1:31" ht="12">
      <c r="A2200" s="67" t="s">
        <v>14757</v>
      </c>
      <c r="B2200" s="65" t="s">
        <v>14758</v>
      </c>
      <c r="C2200" s="71" t="s">
        <v>165</v>
      </c>
      <c r="D2200" s="78">
        <v>1</v>
      </c>
      <c r="E2200" s="79">
        <v>48.98</v>
      </c>
      <c r="F2200" s="70">
        <v>48.98</v>
      </c>
      <c r="G2200" s="320"/>
      <c r="H2200" s="79">
        <v>29.33</v>
      </c>
      <c r="I2200" s="79">
        <v>19.649999999999999</v>
      </c>
      <c r="J2200" s="79">
        <v>48.98</v>
      </c>
      <c r="K2200" s="79">
        <v>0</v>
      </c>
      <c r="L2200" s="70">
        <v>48.98</v>
      </c>
      <c r="M2200" s="132"/>
      <c r="N2200" s="79">
        <v>29.33</v>
      </c>
      <c r="O2200" s="79">
        <v>19.649999999999999</v>
      </c>
      <c r="P2200" s="79">
        <v>48.98</v>
      </c>
      <c r="Q2200" s="136"/>
      <c r="R2200" s="79">
        <v>29.33</v>
      </c>
      <c r="S2200" s="79">
        <v>19.64</v>
      </c>
      <c r="T2200" s="79">
        <v>48.97</v>
      </c>
      <c r="U2200" s="79">
        <v>0</v>
      </c>
      <c r="V2200" s="189">
        <v>48.97</v>
      </c>
      <c r="X2200" s="79">
        <v>29.33</v>
      </c>
      <c r="Y2200" s="79">
        <v>19.64</v>
      </c>
      <c r="Z2200" s="79">
        <v>48.97</v>
      </c>
      <c r="AA2200" s="255">
        <v>9.9999999999980105E-3</v>
      </c>
      <c r="AC2200" s="254"/>
    </row>
    <row r="2201" spans="1:31" ht="12">
      <c r="A2201" s="67" t="s">
        <v>14759</v>
      </c>
      <c r="B2201" s="65" t="s">
        <v>14760</v>
      </c>
      <c r="C2201" s="71" t="s">
        <v>103</v>
      </c>
      <c r="D2201" s="78">
        <v>1</v>
      </c>
      <c r="E2201" s="79">
        <v>21.41</v>
      </c>
      <c r="F2201" s="70">
        <v>21.41</v>
      </c>
      <c r="G2201" s="320"/>
      <c r="H2201" s="79">
        <v>17.62</v>
      </c>
      <c r="I2201" s="79">
        <v>3.79</v>
      </c>
      <c r="J2201" s="79">
        <v>21.41</v>
      </c>
      <c r="K2201" s="79">
        <v>0</v>
      </c>
      <c r="L2201" s="70">
        <v>21.41</v>
      </c>
      <c r="M2201" s="132"/>
      <c r="N2201" s="79">
        <v>17.62</v>
      </c>
      <c r="O2201" s="79">
        <v>3.79</v>
      </c>
      <c r="P2201" s="79">
        <v>21.41</v>
      </c>
      <c r="Q2201" s="136"/>
      <c r="R2201" s="79">
        <v>17.62</v>
      </c>
      <c r="S2201" s="79">
        <v>3.79</v>
      </c>
      <c r="T2201" s="79">
        <v>21.41</v>
      </c>
      <c r="U2201" s="79">
        <v>0</v>
      </c>
      <c r="V2201" s="189">
        <v>21.41</v>
      </c>
      <c r="X2201" s="79">
        <v>17.62</v>
      </c>
      <c r="Y2201" s="79">
        <v>3.79</v>
      </c>
      <c r="Z2201" s="79">
        <v>21.41</v>
      </c>
      <c r="AA2201" s="255">
        <v>0</v>
      </c>
      <c r="AC2201" s="254"/>
    </row>
    <row r="2202" spans="1:31" ht="12">
      <c r="A2202" s="67" t="s">
        <v>14761</v>
      </c>
      <c r="B2202" s="65" t="s">
        <v>14762</v>
      </c>
      <c r="C2202" s="71" t="s">
        <v>103</v>
      </c>
      <c r="D2202" s="78">
        <v>1</v>
      </c>
      <c r="E2202" s="79">
        <v>26.14</v>
      </c>
      <c r="F2202" s="70">
        <v>26.14</v>
      </c>
      <c r="G2202" s="320"/>
      <c r="H2202" s="79">
        <v>22.35</v>
      </c>
      <c r="I2202" s="79">
        <v>3.79</v>
      </c>
      <c r="J2202" s="79">
        <v>26.14</v>
      </c>
      <c r="K2202" s="79">
        <v>0</v>
      </c>
      <c r="L2202" s="70">
        <v>26.14</v>
      </c>
      <c r="M2202" s="132"/>
      <c r="N2202" s="79">
        <v>22.35</v>
      </c>
      <c r="O2202" s="79">
        <v>3.79</v>
      </c>
      <c r="P2202" s="79">
        <v>26.14</v>
      </c>
      <c r="Q2202" s="136"/>
      <c r="R2202" s="79">
        <v>22.35</v>
      </c>
      <c r="S2202" s="79">
        <v>3.79</v>
      </c>
      <c r="T2202" s="79">
        <v>26.14</v>
      </c>
      <c r="U2202" s="79">
        <v>0</v>
      </c>
      <c r="V2202" s="189">
        <v>26.14</v>
      </c>
      <c r="X2202" s="79">
        <v>22.35</v>
      </c>
      <c r="Y2202" s="79">
        <v>3.79</v>
      </c>
      <c r="Z2202" s="79">
        <v>26.14</v>
      </c>
      <c r="AA2202" s="255">
        <v>0</v>
      </c>
      <c r="AC2202" s="254"/>
    </row>
    <row r="2203" spans="1:31" ht="12">
      <c r="A2203" s="67" t="s">
        <v>14763</v>
      </c>
      <c r="B2203" s="65" t="s">
        <v>14764</v>
      </c>
      <c r="C2203" s="71" t="s">
        <v>103</v>
      </c>
      <c r="D2203" s="78">
        <v>1</v>
      </c>
      <c r="E2203" s="79">
        <v>72.990000000000009</v>
      </c>
      <c r="F2203" s="70">
        <v>72.989999999999995</v>
      </c>
      <c r="G2203" s="320"/>
      <c r="H2203" s="79">
        <v>69.2</v>
      </c>
      <c r="I2203" s="79">
        <v>3.79</v>
      </c>
      <c r="J2203" s="79">
        <v>72.990000000000009</v>
      </c>
      <c r="K2203" s="79">
        <v>0</v>
      </c>
      <c r="L2203" s="70">
        <v>72.990000000000009</v>
      </c>
      <c r="M2203" s="132"/>
      <c r="N2203" s="79">
        <v>69.2</v>
      </c>
      <c r="O2203" s="79">
        <v>3.79</v>
      </c>
      <c r="P2203" s="79">
        <v>72.990000000000009</v>
      </c>
      <c r="Q2203" s="136"/>
      <c r="R2203" s="79">
        <v>69.2</v>
      </c>
      <c r="S2203" s="79">
        <v>3.79</v>
      </c>
      <c r="T2203" s="79">
        <v>72.990000000000009</v>
      </c>
      <c r="U2203" s="79">
        <v>0</v>
      </c>
      <c r="V2203" s="189">
        <v>72.990000000000009</v>
      </c>
      <c r="X2203" s="79">
        <v>69.2</v>
      </c>
      <c r="Y2203" s="79">
        <v>3.79</v>
      </c>
      <c r="Z2203" s="79">
        <v>72.989999999999995</v>
      </c>
      <c r="AA2203" s="255">
        <v>0</v>
      </c>
      <c r="AC2203" s="254"/>
    </row>
    <row r="2204" spans="1:31" ht="12">
      <c r="A2204" s="67" t="s">
        <v>14765</v>
      </c>
      <c r="B2204" s="65" t="s">
        <v>14766</v>
      </c>
      <c r="C2204" s="71" t="s">
        <v>103</v>
      </c>
      <c r="D2204" s="78">
        <v>1</v>
      </c>
      <c r="E2204" s="79">
        <v>26.849999999999998</v>
      </c>
      <c r="F2204" s="70">
        <v>26.85</v>
      </c>
      <c r="G2204" s="320"/>
      <c r="H2204" s="79">
        <v>23.06</v>
      </c>
      <c r="I2204" s="79">
        <v>3.79</v>
      </c>
      <c r="J2204" s="79">
        <v>26.849999999999998</v>
      </c>
      <c r="K2204" s="79">
        <v>0</v>
      </c>
      <c r="L2204" s="70">
        <v>26.849999999999998</v>
      </c>
      <c r="M2204" s="132"/>
      <c r="N2204" s="79">
        <v>23.06</v>
      </c>
      <c r="O2204" s="79">
        <v>3.79</v>
      </c>
      <c r="P2204" s="79">
        <v>26.849999999999998</v>
      </c>
      <c r="Q2204" s="136"/>
      <c r="R2204" s="79">
        <v>23.06</v>
      </c>
      <c r="S2204" s="79">
        <v>3.79</v>
      </c>
      <c r="T2204" s="79">
        <v>26.849999999999998</v>
      </c>
      <c r="U2204" s="79">
        <v>0</v>
      </c>
      <c r="V2204" s="189">
        <v>26.849999999999998</v>
      </c>
      <c r="X2204" s="79">
        <v>23.06</v>
      </c>
      <c r="Y2204" s="79">
        <v>3.79</v>
      </c>
      <c r="Z2204" s="79">
        <v>26.85</v>
      </c>
      <c r="AA2204" s="255">
        <v>0</v>
      </c>
      <c r="AC2204" s="254"/>
      <c r="AD2204" s="61"/>
      <c r="AE2204" s="61"/>
    </row>
    <row r="2205" spans="1:31" ht="12">
      <c r="A2205" s="67" t="s">
        <v>14767</v>
      </c>
      <c r="B2205" s="65" t="s">
        <v>14768</v>
      </c>
      <c r="C2205" s="71" t="s">
        <v>103</v>
      </c>
      <c r="D2205" s="78">
        <v>1</v>
      </c>
      <c r="E2205" s="79">
        <v>39.9</v>
      </c>
      <c r="F2205" s="70">
        <v>39.9</v>
      </c>
      <c r="G2205" s="320"/>
      <c r="H2205" s="79">
        <v>36.11</v>
      </c>
      <c r="I2205" s="79">
        <v>3.79</v>
      </c>
      <c r="J2205" s="79">
        <v>39.9</v>
      </c>
      <c r="K2205" s="79">
        <v>0</v>
      </c>
      <c r="L2205" s="70">
        <v>39.9</v>
      </c>
      <c r="M2205" s="132"/>
      <c r="N2205" s="79">
        <v>36.11</v>
      </c>
      <c r="O2205" s="79">
        <v>3.79</v>
      </c>
      <c r="P2205" s="79">
        <v>39.9</v>
      </c>
      <c r="Q2205" s="136"/>
      <c r="R2205" s="79">
        <v>36.11</v>
      </c>
      <c r="S2205" s="79">
        <v>3.79</v>
      </c>
      <c r="T2205" s="79">
        <v>39.9</v>
      </c>
      <c r="U2205" s="79">
        <v>0</v>
      </c>
      <c r="V2205" s="189">
        <v>39.9</v>
      </c>
      <c r="X2205" s="79">
        <v>36.11</v>
      </c>
      <c r="Y2205" s="79">
        <v>3.79</v>
      </c>
      <c r="Z2205" s="79">
        <v>39.9</v>
      </c>
      <c r="AA2205" s="255">
        <v>0</v>
      </c>
      <c r="AC2205" s="254"/>
    </row>
    <row r="2206" spans="1:31" s="61" customFormat="1" ht="12">
      <c r="A2206" s="67" t="s">
        <v>14769</v>
      </c>
      <c r="B2206" s="65" t="s">
        <v>14770</v>
      </c>
      <c r="C2206" s="71" t="s">
        <v>103</v>
      </c>
      <c r="D2206" s="78">
        <v>1</v>
      </c>
      <c r="E2206" s="79">
        <v>93.45</v>
      </c>
      <c r="F2206" s="70">
        <v>93.45</v>
      </c>
      <c r="G2206" s="320"/>
      <c r="H2206" s="79">
        <v>89.66</v>
      </c>
      <c r="I2206" s="79">
        <v>3.79</v>
      </c>
      <c r="J2206" s="79">
        <v>93.45</v>
      </c>
      <c r="K2206" s="79">
        <v>0</v>
      </c>
      <c r="L2206" s="70">
        <v>93.45</v>
      </c>
      <c r="M2206" s="132"/>
      <c r="N2206" s="79">
        <v>89.66</v>
      </c>
      <c r="O2206" s="79">
        <v>3.79</v>
      </c>
      <c r="P2206" s="79">
        <v>93.45</v>
      </c>
      <c r="Q2206" s="136"/>
      <c r="R2206" s="79">
        <v>89.66</v>
      </c>
      <c r="S2206" s="79">
        <v>3.79</v>
      </c>
      <c r="T2206" s="79">
        <v>93.45</v>
      </c>
      <c r="U2206" s="79">
        <v>0</v>
      </c>
      <c r="V2206" s="189">
        <v>93.45</v>
      </c>
      <c r="X2206" s="79">
        <v>89.66</v>
      </c>
      <c r="Y2206" s="79">
        <v>3.79</v>
      </c>
      <c r="Z2206" s="79">
        <v>93.45</v>
      </c>
      <c r="AA2206" s="255">
        <v>0</v>
      </c>
      <c r="AC2206" s="254"/>
      <c r="AD2206" s="236"/>
      <c r="AE2206" s="236"/>
    </row>
    <row r="2207" spans="1:31" ht="12">
      <c r="A2207" s="489" t="s">
        <v>14771</v>
      </c>
      <c r="B2207" s="490" t="s">
        <v>14772</v>
      </c>
      <c r="C2207" s="491"/>
      <c r="D2207" s="492"/>
      <c r="E2207" s="79"/>
      <c r="F2207" s="63"/>
      <c r="G2207" s="320"/>
      <c r="H2207" s="79"/>
      <c r="I2207" s="79"/>
      <c r="J2207" s="79"/>
      <c r="K2207" s="79"/>
      <c r="L2207" s="70"/>
      <c r="M2207" s="132"/>
      <c r="N2207" s="79"/>
      <c r="O2207" s="79"/>
      <c r="P2207" s="79"/>
      <c r="Q2207" s="136"/>
      <c r="R2207" s="79"/>
      <c r="S2207" s="79"/>
      <c r="T2207" s="79"/>
      <c r="U2207" s="79"/>
      <c r="V2207" s="189"/>
      <c r="X2207" s="79"/>
      <c r="Y2207" s="79"/>
      <c r="Z2207" s="79"/>
      <c r="AA2207" s="255"/>
      <c r="AC2207" s="254"/>
    </row>
    <row r="2208" spans="1:31" ht="12">
      <c r="A2208" s="67" t="s">
        <v>14773</v>
      </c>
      <c r="B2208" s="65" t="s">
        <v>14774</v>
      </c>
      <c r="C2208" s="71" t="s">
        <v>165</v>
      </c>
      <c r="D2208" s="78">
        <v>1</v>
      </c>
      <c r="E2208" s="79">
        <v>107.35</v>
      </c>
      <c r="F2208" s="70">
        <v>107.35</v>
      </c>
      <c r="G2208" s="320"/>
      <c r="H2208" s="79">
        <v>90.6</v>
      </c>
      <c r="I2208" s="79">
        <v>16.75</v>
      </c>
      <c r="J2208" s="79">
        <v>107.35</v>
      </c>
      <c r="K2208" s="79">
        <v>0</v>
      </c>
      <c r="L2208" s="70">
        <v>107.35</v>
      </c>
      <c r="M2208" s="132"/>
      <c r="N2208" s="79">
        <v>90.6</v>
      </c>
      <c r="O2208" s="79">
        <v>16.75</v>
      </c>
      <c r="P2208" s="79">
        <v>107.35</v>
      </c>
      <c r="Q2208" s="136"/>
      <c r="R2208" s="79">
        <v>90.6</v>
      </c>
      <c r="S2208" s="79">
        <v>16.75</v>
      </c>
      <c r="T2208" s="79">
        <v>107.35</v>
      </c>
      <c r="U2208" s="79">
        <v>0</v>
      </c>
      <c r="V2208" s="189">
        <v>107.35</v>
      </c>
      <c r="X2208" s="79">
        <v>90.6</v>
      </c>
      <c r="Y2208" s="79">
        <v>16.75</v>
      </c>
      <c r="Z2208" s="79">
        <v>107.35</v>
      </c>
      <c r="AA2208" s="255">
        <v>0</v>
      </c>
      <c r="AC2208" s="254"/>
    </row>
    <row r="2209" spans="1:29" ht="12">
      <c r="A2209" s="67" t="s">
        <v>14775</v>
      </c>
      <c r="B2209" s="65" t="s">
        <v>14776</v>
      </c>
      <c r="C2209" s="71" t="s">
        <v>103</v>
      </c>
      <c r="D2209" s="78">
        <v>1</v>
      </c>
      <c r="E2209" s="79">
        <v>119.71</v>
      </c>
      <c r="F2209" s="70">
        <v>119.71</v>
      </c>
      <c r="G2209" s="320"/>
      <c r="H2209" s="79">
        <v>91.77</v>
      </c>
      <c r="I2209" s="79">
        <v>27.939999999999998</v>
      </c>
      <c r="J2209" s="79">
        <v>119.71</v>
      </c>
      <c r="K2209" s="79">
        <v>0</v>
      </c>
      <c r="L2209" s="70">
        <v>119.71</v>
      </c>
      <c r="M2209" s="132"/>
      <c r="N2209" s="79">
        <v>91.77</v>
      </c>
      <c r="O2209" s="79">
        <v>27.939999999999998</v>
      </c>
      <c r="P2209" s="79">
        <v>119.71</v>
      </c>
      <c r="Q2209" s="136"/>
      <c r="R2209" s="79">
        <v>91.77</v>
      </c>
      <c r="S2209" s="79">
        <v>27.92</v>
      </c>
      <c r="T2209" s="79">
        <v>119.69</v>
      </c>
      <c r="U2209" s="79">
        <v>0</v>
      </c>
      <c r="V2209" s="189">
        <v>119.69</v>
      </c>
      <c r="X2209" s="79">
        <v>91.77</v>
      </c>
      <c r="Y2209" s="79">
        <v>27.92</v>
      </c>
      <c r="Z2209" s="79">
        <v>119.69</v>
      </c>
      <c r="AA2209" s="255">
        <v>1.9999999999996021E-2</v>
      </c>
      <c r="AC2209" s="254"/>
    </row>
    <row r="2210" spans="1:29" ht="12">
      <c r="A2210" s="67" t="s">
        <v>14777</v>
      </c>
      <c r="B2210" s="65" t="s">
        <v>14778</v>
      </c>
      <c r="C2210" s="71" t="s">
        <v>103</v>
      </c>
      <c r="D2210" s="78">
        <v>1</v>
      </c>
      <c r="E2210" s="79">
        <v>155.57999999999998</v>
      </c>
      <c r="F2210" s="70">
        <v>155.58000000000001</v>
      </c>
      <c r="G2210" s="320"/>
      <c r="H2210" s="79">
        <v>127.64</v>
      </c>
      <c r="I2210" s="79">
        <v>27.939999999999998</v>
      </c>
      <c r="J2210" s="79">
        <v>155.57999999999998</v>
      </c>
      <c r="K2210" s="79">
        <v>0</v>
      </c>
      <c r="L2210" s="70">
        <v>155.57999999999998</v>
      </c>
      <c r="M2210" s="132"/>
      <c r="N2210" s="79">
        <v>127.64</v>
      </c>
      <c r="O2210" s="79">
        <v>27.939999999999998</v>
      </c>
      <c r="P2210" s="79">
        <v>155.57999999999998</v>
      </c>
      <c r="Q2210" s="136"/>
      <c r="R2210" s="79">
        <v>127.64</v>
      </c>
      <c r="S2210" s="79">
        <v>27.92</v>
      </c>
      <c r="T2210" s="79">
        <v>155.56</v>
      </c>
      <c r="U2210" s="79">
        <v>0</v>
      </c>
      <c r="V2210" s="189">
        <v>155.56</v>
      </c>
      <c r="X2210" s="79">
        <v>127.64</v>
      </c>
      <c r="Y2210" s="79">
        <v>27.92</v>
      </c>
      <c r="Z2210" s="79">
        <v>155.56</v>
      </c>
      <c r="AA2210" s="255">
        <v>2.0000000000010232E-2</v>
      </c>
      <c r="AC2210" s="254"/>
    </row>
    <row r="2211" spans="1:29" ht="24">
      <c r="A2211" s="67" t="s">
        <v>14779</v>
      </c>
      <c r="B2211" s="65" t="s">
        <v>14780</v>
      </c>
      <c r="C2211" s="71" t="s">
        <v>103</v>
      </c>
      <c r="D2211" s="78">
        <v>1</v>
      </c>
      <c r="E2211" s="79">
        <v>41.34</v>
      </c>
      <c r="F2211" s="70">
        <v>41.34</v>
      </c>
      <c r="G2211" s="320"/>
      <c r="H2211" s="79">
        <v>30.68</v>
      </c>
      <c r="I2211" s="79">
        <v>10.66</v>
      </c>
      <c r="J2211" s="79">
        <v>41.34</v>
      </c>
      <c r="K2211" s="79">
        <v>0</v>
      </c>
      <c r="L2211" s="70">
        <v>41.34</v>
      </c>
      <c r="M2211" s="132"/>
      <c r="N2211" s="79">
        <v>30.68</v>
      </c>
      <c r="O2211" s="79">
        <v>10.66</v>
      </c>
      <c r="P2211" s="79">
        <v>41.34</v>
      </c>
      <c r="Q2211" s="136"/>
      <c r="R2211" s="79">
        <v>30.68</v>
      </c>
      <c r="S2211" s="79">
        <v>10.65</v>
      </c>
      <c r="T2211" s="79">
        <v>41.33</v>
      </c>
      <c r="U2211" s="79">
        <v>0</v>
      </c>
      <c r="V2211" s="189">
        <v>41.33</v>
      </c>
      <c r="X2211" s="79">
        <v>30.68</v>
      </c>
      <c r="Y2211" s="79">
        <v>10.65</v>
      </c>
      <c r="Z2211" s="79">
        <v>41.33</v>
      </c>
      <c r="AA2211" s="255">
        <v>1.0000000000005116E-2</v>
      </c>
      <c r="AC2211" s="254"/>
    </row>
    <row r="2212" spans="1:29" ht="24">
      <c r="A2212" s="67" t="s">
        <v>14781</v>
      </c>
      <c r="B2212" s="65" t="s">
        <v>14782</v>
      </c>
      <c r="C2212" s="71" t="s">
        <v>103</v>
      </c>
      <c r="D2212" s="78">
        <v>1</v>
      </c>
      <c r="E2212" s="79">
        <v>32.71</v>
      </c>
      <c r="F2212" s="70">
        <v>32.71</v>
      </c>
      <c r="G2212" s="320"/>
      <c r="H2212" s="79">
        <v>22.05</v>
      </c>
      <c r="I2212" s="79">
        <v>10.66</v>
      </c>
      <c r="J2212" s="79">
        <v>32.71</v>
      </c>
      <c r="K2212" s="79">
        <v>0</v>
      </c>
      <c r="L2212" s="70">
        <v>32.71</v>
      </c>
      <c r="M2212" s="132"/>
      <c r="N2212" s="79">
        <v>22.05</v>
      </c>
      <c r="O2212" s="79">
        <v>10.66</v>
      </c>
      <c r="P2212" s="79">
        <v>32.71</v>
      </c>
      <c r="Q2212" s="136"/>
      <c r="R2212" s="79">
        <v>22.05</v>
      </c>
      <c r="S2212" s="79">
        <v>10.65</v>
      </c>
      <c r="T2212" s="79">
        <v>32.700000000000003</v>
      </c>
      <c r="U2212" s="79">
        <v>0</v>
      </c>
      <c r="V2212" s="189">
        <v>32.700000000000003</v>
      </c>
      <c r="X2212" s="79">
        <v>22.05</v>
      </c>
      <c r="Y2212" s="79">
        <v>10.65</v>
      </c>
      <c r="Z2212" s="79">
        <v>32.700000000000003</v>
      </c>
      <c r="AA2212" s="255">
        <v>9.9999999999980105E-3</v>
      </c>
      <c r="AC2212" s="254"/>
    </row>
    <row r="2213" spans="1:29" ht="12">
      <c r="A2213" s="67" t="s">
        <v>14783</v>
      </c>
      <c r="B2213" s="65" t="s">
        <v>14784</v>
      </c>
      <c r="C2213" s="71" t="s">
        <v>103</v>
      </c>
      <c r="D2213" s="78">
        <v>1</v>
      </c>
      <c r="E2213" s="79">
        <v>23.78</v>
      </c>
      <c r="F2213" s="70">
        <v>23.78</v>
      </c>
      <c r="G2213" s="320"/>
      <c r="H2213" s="79">
        <v>15.4</v>
      </c>
      <c r="I2213" s="79">
        <v>8.379999999999999</v>
      </c>
      <c r="J2213" s="79">
        <v>23.78</v>
      </c>
      <c r="K2213" s="79">
        <v>0</v>
      </c>
      <c r="L2213" s="70">
        <v>23.78</v>
      </c>
      <c r="M2213" s="132"/>
      <c r="N2213" s="79">
        <v>15.4</v>
      </c>
      <c r="O2213" s="79">
        <v>8.379999999999999</v>
      </c>
      <c r="P2213" s="79">
        <v>23.78</v>
      </c>
      <c r="Q2213" s="136"/>
      <c r="R2213" s="79">
        <v>15.4</v>
      </c>
      <c r="S2213" s="79">
        <v>8.3800000000000008</v>
      </c>
      <c r="T2213" s="79">
        <v>23.78</v>
      </c>
      <c r="U2213" s="79">
        <v>0</v>
      </c>
      <c r="V2213" s="189">
        <v>23.78</v>
      </c>
      <c r="X2213" s="79">
        <v>15.4</v>
      </c>
      <c r="Y2213" s="79">
        <v>8.3800000000000008</v>
      </c>
      <c r="Z2213" s="79">
        <v>23.78</v>
      </c>
      <c r="AA2213" s="255">
        <v>0</v>
      </c>
      <c r="AC2213" s="254"/>
    </row>
    <row r="2214" spans="1:29" ht="12">
      <c r="A2214" s="67" t="s">
        <v>14785</v>
      </c>
      <c r="B2214" s="65" t="s">
        <v>14786</v>
      </c>
      <c r="C2214" s="71" t="s">
        <v>165</v>
      </c>
      <c r="D2214" s="78">
        <v>1</v>
      </c>
      <c r="E2214" s="79">
        <v>81.37</v>
      </c>
      <c r="F2214" s="70">
        <v>81.37</v>
      </c>
      <c r="G2214" s="320"/>
      <c r="H2214" s="79">
        <v>64.62</v>
      </c>
      <c r="I2214" s="79">
        <v>16.75</v>
      </c>
      <c r="J2214" s="79">
        <v>81.37</v>
      </c>
      <c r="K2214" s="79">
        <v>0</v>
      </c>
      <c r="L2214" s="70">
        <v>81.37</v>
      </c>
      <c r="M2214" s="132"/>
      <c r="N2214" s="79">
        <v>64.62</v>
      </c>
      <c r="O2214" s="79">
        <v>16.75</v>
      </c>
      <c r="P2214" s="79">
        <v>81.37</v>
      </c>
      <c r="Q2214" s="136"/>
      <c r="R2214" s="79">
        <v>64.62</v>
      </c>
      <c r="S2214" s="79">
        <v>16.75</v>
      </c>
      <c r="T2214" s="79">
        <v>81.37</v>
      </c>
      <c r="U2214" s="79">
        <v>0</v>
      </c>
      <c r="V2214" s="189">
        <v>81.37</v>
      </c>
      <c r="X2214" s="79">
        <v>64.62</v>
      </c>
      <c r="Y2214" s="79">
        <v>16.75</v>
      </c>
      <c r="Z2214" s="79">
        <v>81.37</v>
      </c>
      <c r="AA2214" s="255">
        <v>0</v>
      </c>
      <c r="AC2214" s="254"/>
    </row>
    <row r="2215" spans="1:29" ht="12">
      <c r="A2215" s="67" t="s">
        <v>14787</v>
      </c>
      <c r="B2215" s="65" t="s">
        <v>14788</v>
      </c>
      <c r="C2215" s="71" t="s">
        <v>103</v>
      </c>
      <c r="D2215" s="78">
        <v>1</v>
      </c>
      <c r="E2215" s="79">
        <v>104.07</v>
      </c>
      <c r="F2215" s="70">
        <v>104.07</v>
      </c>
      <c r="G2215" s="320"/>
      <c r="H2215" s="79">
        <v>76.13</v>
      </c>
      <c r="I2215" s="79">
        <v>27.939999999999998</v>
      </c>
      <c r="J2215" s="79">
        <v>104.07</v>
      </c>
      <c r="K2215" s="79">
        <v>0</v>
      </c>
      <c r="L2215" s="70">
        <v>104.07</v>
      </c>
      <c r="M2215" s="132"/>
      <c r="N2215" s="79">
        <v>76.13</v>
      </c>
      <c r="O2215" s="79">
        <v>27.939999999999998</v>
      </c>
      <c r="P2215" s="79">
        <v>104.07</v>
      </c>
      <c r="Q2215" s="136"/>
      <c r="R2215" s="79">
        <v>76.13</v>
      </c>
      <c r="S2215" s="79">
        <v>27.92</v>
      </c>
      <c r="T2215" s="79">
        <v>104.05</v>
      </c>
      <c r="U2215" s="79">
        <v>0</v>
      </c>
      <c r="V2215" s="189">
        <v>104.05</v>
      </c>
      <c r="X2215" s="79">
        <v>76.13</v>
      </c>
      <c r="Y2215" s="79">
        <v>27.92</v>
      </c>
      <c r="Z2215" s="79">
        <v>104.05</v>
      </c>
      <c r="AA2215" s="255">
        <v>1.9999999999996021E-2</v>
      </c>
      <c r="AC2215" s="254"/>
    </row>
    <row r="2216" spans="1:29" ht="12">
      <c r="A2216" s="67" t="s">
        <v>14789</v>
      </c>
      <c r="B2216" s="65" t="s">
        <v>14790</v>
      </c>
      <c r="C2216" s="71" t="s">
        <v>103</v>
      </c>
      <c r="D2216" s="78">
        <v>1</v>
      </c>
      <c r="E2216" s="79">
        <v>21.46</v>
      </c>
      <c r="F2216" s="70">
        <v>21.46</v>
      </c>
      <c r="G2216" s="320"/>
      <c r="H2216" s="79">
        <v>13.08</v>
      </c>
      <c r="I2216" s="79">
        <v>8.379999999999999</v>
      </c>
      <c r="J2216" s="79">
        <v>21.46</v>
      </c>
      <c r="K2216" s="79">
        <v>0</v>
      </c>
      <c r="L2216" s="70">
        <v>21.46</v>
      </c>
      <c r="M2216" s="132"/>
      <c r="N2216" s="79">
        <v>13.08</v>
      </c>
      <c r="O2216" s="79">
        <v>8.379999999999999</v>
      </c>
      <c r="P2216" s="79">
        <v>21.46</v>
      </c>
      <c r="Q2216" s="136"/>
      <c r="R2216" s="79">
        <v>13.08</v>
      </c>
      <c r="S2216" s="79">
        <v>8.3800000000000008</v>
      </c>
      <c r="T2216" s="79">
        <v>21.46</v>
      </c>
      <c r="U2216" s="79">
        <v>0</v>
      </c>
      <c r="V2216" s="189">
        <v>21.46</v>
      </c>
      <c r="X2216" s="79">
        <v>13.08</v>
      </c>
      <c r="Y2216" s="79">
        <v>8.3800000000000008</v>
      </c>
      <c r="Z2216" s="79">
        <v>21.46</v>
      </c>
      <c r="AA2216" s="255">
        <v>0</v>
      </c>
      <c r="AC2216" s="254"/>
    </row>
    <row r="2217" spans="1:29" ht="12">
      <c r="A2217" s="67" t="s">
        <v>14791</v>
      </c>
      <c r="B2217" s="65" t="s">
        <v>14792</v>
      </c>
      <c r="C2217" s="71" t="s">
        <v>103</v>
      </c>
      <c r="D2217" s="78">
        <v>1</v>
      </c>
      <c r="E2217" s="79">
        <v>95.6</v>
      </c>
      <c r="F2217" s="70">
        <v>95.6</v>
      </c>
      <c r="G2217" s="320"/>
      <c r="H2217" s="79">
        <v>67.66</v>
      </c>
      <c r="I2217" s="79">
        <v>27.939999999999998</v>
      </c>
      <c r="J2217" s="79">
        <v>95.6</v>
      </c>
      <c r="K2217" s="79">
        <v>0</v>
      </c>
      <c r="L2217" s="70">
        <v>95.6</v>
      </c>
      <c r="M2217" s="132"/>
      <c r="N2217" s="79">
        <v>67.66</v>
      </c>
      <c r="O2217" s="79">
        <v>27.939999999999998</v>
      </c>
      <c r="P2217" s="79">
        <v>95.6</v>
      </c>
      <c r="Q2217" s="136"/>
      <c r="R2217" s="79">
        <v>67.66</v>
      </c>
      <c r="S2217" s="79">
        <v>27.92</v>
      </c>
      <c r="T2217" s="79">
        <v>95.58</v>
      </c>
      <c r="U2217" s="79">
        <v>0</v>
      </c>
      <c r="V2217" s="189">
        <v>95.58</v>
      </c>
      <c r="X2217" s="79">
        <v>67.66</v>
      </c>
      <c r="Y2217" s="79">
        <v>27.92</v>
      </c>
      <c r="Z2217" s="79">
        <v>95.58</v>
      </c>
      <c r="AA2217" s="255">
        <v>1.9999999999996021E-2</v>
      </c>
      <c r="AC2217" s="254"/>
    </row>
    <row r="2218" spans="1:29" ht="12">
      <c r="A2218" s="67" t="s">
        <v>14793</v>
      </c>
      <c r="B2218" s="65" t="s">
        <v>14794</v>
      </c>
      <c r="C2218" s="71" t="s">
        <v>103</v>
      </c>
      <c r="D2218" s="78">
        <v>1</v>
      </c>
      <c r="E2218" s="79">
        <v>120.19</v>
      </c>
      <c r="F2218" s="70">
        <v>120.19</v>
      </c>
      <c r="G2218" s="320"/>
      <c r="H2218" s="79">
        <v>92.25</v>
      </c>
      <c r="I2218" s="79">
        <v>27.939999999999998</v>
      </c>
      <c r="J2218" s="79">
        <v>120.19</v>
      </c>
      <c r="K2218" s="79">
        <v>0</v>
      </c>
      <c r="L2218" s="70">
        <v>120.19</v>
      </c>
      <c r="M2218" s="132"/>
      <c r="N2218" s="79">
        <v>92.25</v>
      </c>
      <c r="O2218" s="79">
        <v>27.939999999999998</v>
      </c>
      <c r="P2218" s="79">
        <v>120.19</v>
      </c>
      <c r="Q2218" s="136"/>
      <c r="R2218" s="79">
        <v>92.25</v>
      </c>
      <c r="S2218" s="79">
        <v>27.92</v>
      </c>
      <c r="T2218" s="79">
        <v>120.17</v>
      </c>
      <c r="U2218" s="79">
        <v>0</v>
      </c>
      <c r="V2218" s="189">
        <v>120.17</v>
      </c>
      <c r="X2218" s="79">
        <v>92.25</v>
      </c>
      <c r="Y2218" s="79">
        <v>27.92</v>
      </c>
      <c r="Z2218" s="79">
        <v>120.17</v>
      </c>
      <c r="AA2218" s="255">
        <v>1.9999999999996021E-2</v>
      </c>
      <c r="AC2218" s="254"/>
    </row>
    <row r="2219" spans="1:29" ht="24">
      <c r="A2219" s="67" t="s">
        <v>14795</v>
      </c>
      <c r="B2219" s="65" t="s">
        <v>14796</v>
      </c>
      <c r="C2219" s="71" t="s">
        <v>103</v>
      </c>
      <c r="D2219" s="78">
        <v>1</v>
      </c>
      <c r="E2219" s="79">
        <v>425.83000000000004</v>
      </c>
      <c r="F2219" s="70">
        <v>425.83</v>
      </c>
      <c r="G2219" s="320"/>
      <c r="H2219" s="79">
        <v>388.22</v>
      </c>
      <c r="I2219" s="79">
        <v>37.61</v>
      </c>
      <c r="J2219" s="79">
        <v>425.83000000000004</v>
      </c>
      <c r="K2219" s="79">
        <v>0</v>
      </c>
      <c r="L2219" s="70">
        <v>425.83000000000004</v>
      </c>
      <c r="M2219" s="132"/>
      <c r="N2219" s="79">
        <v>388.22</v>
      </c>
      <c r="O2219" s="79">
        <v>37.61</v>
      </c>
      <c r="P2219" s="79">
        <v>425.83000000000004</v>
      </c>
      <c r="Q2219" s="136"/>
      <c r="R2219" s="79">
        <v>388.22</v>
      </c>
      <c r="S2219" s="79">
        <v>37.61</v>
      </c>
      <c r="T2219" s="79">
        <v>425.83000000000004</v>
      </c>
      <c r="U2219" s="79">
        <v>0</v>
      </c>
      <c r="V2219" s="189">
        <v>425.83000000000004</v>
      </c>
      <c r="X2219" s="79">
        <v>388.22</v>
      </c>
      <c r="Y2219" s="79">
        <v>37.61</v>
      </c>
      <c r="Z2219" s="79">
        <v>425.83</v>
      </c>
      <c r="AA2219" s="255">
        <v>0</v>
      </c>
      <c r="AC2219" s="254"/>
    </row>
    <row r="2220" spans="1:29" ht="12">
      <c r="A2220" s="67" t="s">
        <v>14797</v>
      </c>
      <c r="B2220" s="65" t="s">
        <v>14798</v>
      </c>
      <c r="C2220" s="71" t="s">
        <v>103</v>
      </c>
      <c r="D2220" s="78">
        <v>1</v>
      </c>
      <c r="E2220" s="79">
        <v>75.41</v>
      </c>
      <c r="F2220" s="70">
        <v>75.41</v>
      </c>
      <c r="G2220" s="320"/>
      <c r="H2220" s="79">
        <v>47.47</v>
      </c>
      <c r="I2220" s="79">
        <v>27.939999999999998</v>
      </c>
      <c r="J2220" s="79">
        <v>75.41</v>
      </c>
      <c r="K2220" s="79">
        <v>0</v>
      </c>
      <c r="L2220" s="70">
        <v>75.41</v>
      </c>
      <c r="M2220" s="132"/>
      <c r="N2220" s="79">
        <v>47.47</v>
      </c>
      <c r="O2220" s="79">
        <v>27.939999999999998</v>
      </c>
      <c r="P2220" s="79">
        <v>75.41</v>
      </c>
      <c r="Q2220" s="136"/>
      <c r="R2220" s="79">
        <v>47.47</v>
      </c>
      <c r="S2220" s="79">
        <v>27.92</v>
      </c>
      <c r="T2220" s="79">
        <v>75.39</v>
      </c>
      <c r="U2220" s="79">
        <v>0</v>
      </c>
      <c r="V2220" s="189">
        <v>75.39</v>
      </c>
      <c r="X2220" s="79">
        <v>47.47</v>
      </c>
      <c r="Y2220" s="79">
        <v>27.92</v>
      </c>
      <c r="Z2220" s="79">
        <v>75.39</v>
      </c>
      <c r="AA2220" s="255">
        <v>1.9999999999996021E-2</v>
      </c>
      <c r="AC2220" s="254"/>
    </row>
    <row r="2221" spans="1:29" ht="12">
      <c r="A2221" s="489" t="s">
        <v>14799</v>
      </c>
      <c r="B2221" s="490" t="s">
        <v>14800</v>
      </c>
      <c r="C2221" s="491"/>
      <c r="D2221" s="492"/>
      <c r="E2221" s="79"/>
      <c r="F2221" s="63"/>
      <c r="G2221" s="320"/>
      <c r="H2221" s="79"/>
      <c r="I2221" s="79"/>
      <c r="J2221" s="79"/>
      <c r="K2221" s="79"/>
      <c r="L2221" s="70"/>
      <c r="M2221" s="132"/>
      <c r="N2221" s="79"/>
      <c r="O2221" s="79"/>
      <c r="P2221" s="79"/>
      <c r="Q2221" s="136"/>
      <c r="R2221" s="79"/>
      <c r="S2221" s="79"/>
      <c r="T2221" s="79"/>
      <c r="U2221" s="79"/>
      <c r="V2221" s="189"/>
      <c r="X2221" s="79"/>
      <c r="Y2221" s="79"/>
      <c r="Z2221" s="79"/>
      <c r="AA2221" s="255"/>
      <c r="AC2221" s="254"/>
    </row>
    <row r="2222" spans="1:29" ht="12">
      <c r="A2222" s="67" t="s">
        <v>14801</v>
      </c>
      <c r="B2222" s="65" t="s">
        <v>14802</v>
      </c>
      <c r="C2222" s="71" t="s">
        <v>165</v>
      </c>
      <c r="D2222" s="78">
        <v>1</v>
      </c>
      <c r="E2222" s="79">
        <v>19.59</v>
      </c>
      <c r="F2222" s="70">
        <v>19.59</v>
      </c>
      <c r="G2222" s="320"/>
      <c r="H2222" s="79">
        <v>2.84</v>
      </c>
      <c r="I2222" s="79">
        <v>16.75</v>
      </c>
      <c r="J2222" s="79">
        <v>19.59</v>
      </c>
      <c r="K2222" s="79">
        <v>0</v>
      </c>
      <c r="L2222" s="70">
        <v>19.59</v>
      </c>
      <c r="M2222" s="132"/>
      <c r="N2222" s="79">
        <v>2.84</v>
      </c>
      <c r="O2222" s="79">
        <v>16.75</v>
      </c>
      <c r="P2222" s="79">
        <v>19.59</v>
      </c>
      <c r="Q2222" s="136"/>
      <c r="R2222" s="79">
        <v>2.84</v>
      </c>
      <c r="S2222" s="79">
        <v>16.75</v>
      </c>
      <c r="T2222" s="79">
        <v>19.59</v>
      </c>
      <c r="U2222" s="79">
        <v>0</v>
      </c>
      <c r="V2222" s="189">
        <v>19.59</v>
      </c>
      <c r="X2222" s="79">
        <v>2.84</v>
      </c>
      <c r="Y2222" s="79">
        <v>16.75</v>
      </c>
      <c r="Z2222" s="79">
        <v>19.59</v>
      </c>
      <c r="AA2222" s="255">
        <v>0</v>
      </c>
      <c r="AC2222" s="254"/>
    </row>
    <row r="2223" spans="1:29" ht="12">
      <c r="A2223" s="67" t="s">
        <v>14803</v>
      </c>
      <c r="B2223" s="65" t="s">
        <v>14804</v>
      </c>
      <c r="C2223" s="71" t="s">
        <v>165</v>
      </c>
      <c r="D2223" s="78">
        <v>1</v>
      </c>
      <c r="E2223" s="79">
        <v>19</v>
      </c>
      <c r="F2223" s="70">
        <v>19</v>
      </c>
      <c r="G2223" s="320"/>
      <c r="H2223" s="79">
        <v>2.25</v>
      </c>
      <c r="I2223" s="79">
        <v>16.75</v>
      </c>
      <c r="J2223" s="79">
        <v>19</v>
      </c>
      <c r="K2223" s="79">
        <v>0</v>
      </c>
      <c r="L2223" s="70">
        <v>19</v>
      </c>
      <c r="M2223" s="132"/>
      <c r="N2223" s="79">
        <v>2.25</v>
      </c>
      <c r="O2223" s="79">
        <v>16.75</v>
      </c>
      <c r="P2223" s="79">
        <v>19</v>
      </c>
      <c r="Q2223" s="136"/>
      <c r="R2223" s="79">
        <v>2.25</v>
      </c>
      <c r="S2223" s="79">
        <v>16.75</v>
      </c>
      <c r="T2223" s="79">
        <v>19</v>
      </c>
      <c r="U2223" s="79">
        <v>0</v>
      </c>
      <c r="V2223" s="189">
        <v>19</v>
      </c>
      <c r="X2223" s="79">
        <v>2.25</v>
      </c>
      <c r="Y2223" s="79">
        <v>16.75</v>
      </c>
      <c r="Z2223" s="79">
        <v>19</v>
      </c>
      <c r="AA2223" s="255">
        <v>0</v>
      </c>
      <c r="AC2223" s="254"/>
    </row>
    <row r="2224" spans="1:29" ht="12">
      <c r="A2224" s="67" t="s">
        <v>14805</v>
      </c>
      <c r="B2224" s="65" t="s">
        <v>14806</v>
      </c>
      <c r="C2224" s="71" t="s">
        <v>165</v>
      </c>
      <c r="D2224" s="78">
        <v>1</v>
      </c>
      <c r="E2224" s="79">
        <v>21.93</v>
      </c>
      <c r="F2224" s="70">
        <v>21.93</v>
      </c>
      <c r="G2224" s="320"/>
      <c r="H2224" s="79">
        <v>5.18</v>
      </c>
      <c r="I2224" s="79">
        <v>16.75</v>
      </c>
      <c r="J2224" s="79">
        <v>21.93</v>
      </c>
      <c r="K2224" s="79">
        <v>0</v>
      </c>
      <c r="L2224" s="70">
        <v>21.93</v>
      </c>
      <c r="M2224" s="132"/>
      <c r="N2224" s="79">
        <v>5.18</v>
      </c>
      <c r="O2224" s="79">
        <v>16.75</v>
      </c>
      <c r="P2224" s="79">
        <v>21.93</v>
      </c>
      <c r="Q2224" s="136"/>
      <c r="R2224" s="79">
        <v>5.18</v>
      </c>
      <c r="S2224" s="79">
        <v>16.75</v>
      </c>
      <c r="T2224" s="79">
        <v>21.93</v>
      </c>
      <c r="U2224" s="79">
        <v>0</v>
      </c>
      <c r="V2224" s="189">
        <v>21.93</v>
      </c>
      <c r="X2224" s="79">
        <v>5.18</v>
      </c>
      <c r="Y2224" s="79">
        <v>16.75</v>
      </c>
      <c r="Z2224" s="79">
        <v>21.93</v>
      </c>
      <c r="AA2224" s="255">
        <v>0</v>
      </c>
      <c r="AC2224" s="254"/>
    </row>
    <row r="2225" spans="1:31" ht="12">
      <c r="A2225" s="67" t="s">
        <v>14807</v>
      </c>
      <c r="B2225" s="65" t="s">
        <v>14808</v>
      </c>
      <c r="C2225" s="71" t="s">
        <v>165</v>
      </c>
      <c r="D2225" s="78">
        <v>1</v>
      </c>
      <c r="E2225" s="79">
        <v>20.079999999999998</v>
      </c>
      <c r="F2225" s="70">
        <v>20.079999999999998</v>
      </c>
      <c r="G2225" s="320"/>
      <c r="H2225" s="79">
        <v>3.33</v>
      </c>
      <c r="I2225" s="79">
        <v>16.75</v>
      </c>
      <c r="J2225" s="79">
        <v>20.079999999999998</v>
      </c>
      <c r="K2225" s="79">
        <v>0</v>
      </c>
      <c r="L2225" s="70">
        <v>20.079999999999998</v>
      </c>
      <c r="M2225" s="132"/>
      <c r="N2225" s="79">
        <v>3.33</v>
      </c>
      <c r="O2225" s="79">
        <v>16.75</v>
      </c>
      <c r="P2225" s="79">
        <v>20.079999999999998</v>
      </c>
      <c r="Q2225" s="136"/>
      <c r="R2225" s="79">
        <v>3.33</v>
      </c>
      <c r="S2225" s="79">
        <v>16.75</v>
      </c>
      <c r="T2225" s="79">
        <v>20.079999999999998</v>
      </c>
      <c r="U2225" s="79">
        <v>0</v>
      </c>
      <c r="V2225" s="189">
        <v>20.079999999999998</v>
      </c>
      <c r="X2225" s="79">
        <v>3.33</v>
      </c>
      <c r="Y2225" s="79">
        <v>16.75</v>
      </c>
      <c r="Z2225" s="79">
        <v>20.079999999999998</v>
      </c>
      <c r="AA2225" s="255">
        <v>0</v>
      </c>
      <c r="AC2225" s="254"/>
    </row>
    <row r="2226" spans="1:31" ht="12">
      <c r="A2226" s="67" t="s">
        <v>14809</v>
      </c>
      <c r="B2226" s="65" t="s">
        <v>14810</v>
      </c>
      <c r="C2226" s="71" t="s">
        <v>165</v>
      </c>
      <c r="D2226" s="78">
        <v>1</v>
      </c>
      <c r="E2226" s="79">
        <v>22.8</v>
      </c>
      <c r="F2226" s="70">
        <v>22.8</v>
      </c>
      <c r="G2226" s="320"/>
      <c r="H2226" s="79">
        <v>6.05</v>
      </c>
      <c r="I2226" s="79">
        <v>16.75</v>
      </c>
      <c r="J2226" s="79">
        <v>22.8</v>
      </c>
      <c r="K2226" s="79">
        <v>0</v>
      </c>
      <c r="L2226" s="70">
        <v>22.8</v>
      </c>
      <c r="M2226" s="132"/>
      <c r="N2226" s="79">
        <v>6.05</v>
      </c>
      <c r="O2226" s="79">
        <v>16.75</v>
      </c>
      <c r="P2226" s="79">
        <v>22.8</v>
      </c>
      <c r="Q2226" s="136"/>
      <c r="R2226" s="79">
        <v>6.05</v>
      </c>
      <c r="S2226" s="79">
        <v>16.75</v>
      </c>
      <c r="T2226" s="79">
        <v>22.8</v>
      </c>
      <c r="U2226" s="79">
        <v>0</v>
      </c>
      <c r="V2226" s="189">
        <v>22.8</v>
      </c>
      <c r="X2226" s="79">
        <v>6.05</v>
      </c>
      <c r="Y2226" s="79">
        <v>16.75</v>
      </c>
      <c r="Z2226" s="79">
        <v>22.8</v>
      </c>
      <c r="AA2226" s="255">
        <v>0</v>
      </c>
      <c r="AC2226" s="254"/>
    </row>
    <row r="2227" spans="1:31" ht="12">
      <c r="A2227" s="489" t="s">
        <v>14811</v>
      </c>
      <c r="B2227" s="490" t="s">
        <v>14812</v>
      </c>
      <c r="C2227" s="71"/>
      <c r="D2227" s="256"/>
      <c r="E2227" s="256"/>
      <c r="F2227" s="256"/>
      <c r="G2227" s="320"/>
      <c r="H2227" s="63"/>
      <c r="I2227" s="63"/>
      <c r="J2227" s="63"/>
      <c r="K2227" s="63"/>
      <c r="L2227" s="70"/>
      <c r="M2227" s="132"/>
      <c r="N2227" s="63"/>
      <c r="O2227" s="63"/>
      <c r="P2227" s="63"/>
      <c r="Q2227" s="136"/>
      <c r="R2227" s="256"/>
      <c r="S2227" s="256"/>
      <c r="T2227" s="256"/>
      <c r="U2227" s="79"/>
      <c r="V2227" s="256"/>
      <c r="W2227" s="236"/>
      <c r="X2227" s="256"/>
      <c r="Y2227" s="256"/>
      <c r="Z2227" s="256"/>
      <c r="AA2227" s="255"/>
      <c r="AB2227" s="236"/>
      <c r="AC2227" s="254"/>
    </row>
    <row r="2228" spans="1:31" ht="12">
      <c r="A2228" s="63" t="s">
        <v>14813</v>
      </c>
      <c r="B2228" s="64" t="s">
        <v>14814</v>
      </c>
      <c r="C2228" s="71" t="s">
        <v>165</v>
      </c>
      <c r="D2228" s="78">
        <v>1</v>
      </c>
      <c r="E2228" s="79">
        <v>13.969999999999999</v>
      </c>
      <c r="F2228" s="70">
        <v>13.97</v>
      </c>
      <c r="G2228" s="320"/>
      <c r="H2228" s="79">
        <v>0</v>
      </c>
      <c r="I2228" s="79">
        <v>13.969999999999999</v>
      </c>
      <c r="J2228" s="79">
        <v>13.969999999999999</v>
      </c>
      <c r="K2228" s="79">
        <v>0</v>
      </c>
      <c r="L2228" s="70">
        <v>13.969999999999999</v>
      </c>
      <c r="M2228" s="132"/>
      <c r="N2228" s="79"/>
      <c r="O2228" s="79">
        <v>13.969999999999999</v>
      </c>
      <c r="P2228" s="79">
        <v>13.969999999999999</v>
      </c>
      <c r="Q2228" s="136"/>
      <c r="R2228" s="79"/>
      <c r="S2228" s="79">
        <v>13.96</v>
      </c>
      <c r="T2228" s="79">
        <v>13.96</v>
      </c>
      <c r="U2228" s="79">
        <v>0</v>
      </c>
      <c r="V2228" s="189">
        <v>13.96</v>
      </c>
      <c r="X2228" s="71"/>
      <c r="Y2228" s="63">
        <v>13.96</v>
      </c>
      <c r="Z2228" s="63">
        <v>13.96</v>
      </c>
      <c r="AA2228" s="255">
        <v>9.9999999999997868E-3</v>
      </c>
      <c r="AC2228" s="254"/>
    </row>
    <row r="2229" spans="1:31" ht="12">
      <c r="A2229" s="63" t="s">
        <v>14815</v>
      </c>
      <c r="B2229" s="64" t="s">
        <v>14816</v>
      </c>
      <c r="C2229" s="71" t="s">
        <v>165</v>
      </c>
      <c r="D2229" s="78">
        <v>1</v>
      </c>
      <c r="E2229" s="79">
        <v>22.32</v>
      </c>
      <c r="F2229" s="70">
        <v>22.32</v>
      </c>
      <c r="G2229" s="320"/>
      <c r="H2229" s="79">
        <v>0</v>
      </c>
      <c r="I2229" s="79">
        <v>22.32</v>
      </c>
      <c r="J2229" s="79">
        <v>22.32</v>
      </c>
      <c r="K2229" s="79">
        <v>0</v>
      </c>
      <c r="L2229" s="70">
        <v>22.32</v>
      </c>
      <c r="M2229" s="132"/>
      <c r="N2229" s="79"/>
      <c r="O2229" s="79">
        <v>22.32</v>
      </c>
      <c r="P2229" s="79">
        <v>22.32</v>
      </c>
      <c r="Q2229" s="136"/>
      <c r="R2229" s="79"/>
      <c r="S2229" s="79">
        <v>22.33</v>
      </c>
      <c r="T2229" s="79">
        <v>22.33</v>
      </c>
      <c r="U2229" s="79">
        <v>0</v>
      </c>
      <c r="V2229" s="189">
        <v>22.33</v>
      </c>
      <c r="X2229" s="71"/>
      <c r="Y2229" s="63">
        <v>22.33</v>
      </c>
      <c r="Z2229" s="63">
        <v>22.33</v>
      </c>
      <c r="AA2229" s="255">
        <v>-9.9999999999980105E-3</v>
      </c>
      <c r="AC2229" s="254"/>
    </row>
    <row r="2230" spans="1:31" ht="12">
      <c r="A2230" s="63" t="s">
        <v>14817</v>
      </c>
      <c r="B2230" s="64" t="s">
        <v>14818</v>
      </c>
      <c r="C2230" s="71" t="s">
        <v>103</v>
      </c>
      <c r="D2230" s="78">
        <v>1</v>
      </c>
      <c r="E2230" s="79">
        <v>16.75</v>
      </c>
      <c r="F2230" s="70">
        <v>16.75</v>
      </c>
      <c r="G2230" s="320"/>
      <c r="H2230" s="79">
        <v>0</v>
      </c>
      <c r="I2230" s="79">
        <v>16.75</v>
      </c>
      <c r="J2230" s="79">
        <v>16.75</v>
      </c>
      <c r="K2230" s="79">
        <v>0</v>
      </c>
      <c r="L2230" s="70">
        <v>16.75</v>
      </c>
      <c r="M2230" s="132"/>
      <c r="N2230" s="79"/>
      <c r="O2230" s="79">
        <v>16.75</v>
      </c>
      <c r="P2230" s="79">
        <v>16.75</v>
      </c>
      <c r="Q2230" s="136"/>
      <c r="R2230" s="79"/>
      <c r="S2230" s="79">
        <v>16.75</v>
      </c>
      <c r="T2230" s="79">
        <v>16.75</v>
      </c>
      <c r="U2230" s="79">
        <v>0</v>
      </c>
      <c r="V2230" s="189">
        <v>16.75</v>
      </c>
      <c r="X2230" s="71"/>
      <c r="Y2230" s="63">
        <v>16.75</v>
      </c>
      <c r="Z2230" s="63">
        <v>16.75</v>
      </c>
      <c r="AA2230" s="255">
        <v>0</v>
      </c>
      <c r="AC2230" s="254"/>
    </row>
    <row r="2231" spans="1:31" ht="12">
      <c r="A2231" s="63" t="s">
        <v>14819</v>
      </c>
      <c r="B2231" s="64" t="s">
        <v>14820</v>
      </c>
      <c r="C2231" s="71" t="s">
        <v>165</v>
      </c>
      <c r="D2231" s="78">
        <v>1</v>
      </c>
      <c r="E2231" s="79">
        <v>55.83</v>
      </c>
      <c r="F2231" s="70">
        <v>55.83</v>
      </c>
      <c r="G2231" s="320"/>
      <c r="H2231" s="79">
        <v>0</v>
      </c>
      <c r="I2231" s="79">
        <v>55.83</v>
      </c>
      <c r="J2231" s="79">
        <v>55.83</v>
      </c>
      <c r="K2231" s="79">
        <v>0</v>
      </c>
      <c r="L2231" s="70">
        <v>55.83</v>
      </c>
      <c r="M2231" s="132"/>
      <c r="N2231" s="79"/>
      <c r="O2231" s="79">
        <v>55.83</v>
      </c>
      <c r="P2231" s="79">
        <v>55.83</v>
      </c>
      <c r="Q2231" s="136"/>
      <c r="R2231" s="79"/>
      <c r="S2231" s="79">
        <v>55.83</v>
      </c>
      <c r="T2231" s="79">
        <v>55.83</v>
      </c>
      <c r="U2231" s="79">
        <v>0</v>
      </c>
      <c r="V2231" s="189">
        <v>55.83</v>
      </c>
      <c r="X2231" s="71"/>
      <c r="Y2231" s="63">
        <v>55.83</v>
      </c>
      <c r="Z2231" s="63">
        <v>55.83</v>
      </c>
      <c r="AA2231" s="255">
        <v>0</v>
      </c>
      <c r="AC2231" s="254"/>
    </row>
    <row r="2232" spans="1:31" ht="12">
      <c r="A2232" s="489" t="s">
        <v>14821</v>
      </c>
      <c r="B2232" s="490" t="s">
        <v>14822</v>
      </c>
      <c r="C2232" s="491"/>
      <c r="D2232" s="492"/>
      <c r="E2232" s="79"/>
      <c r="F2232" s="63"/>
      <c r="G2232" s="320"/>
      <c r="H2232" s="79"/>
      <c r="I2232" s="79"/>
      <c r="J2232" s="79"/>
      <c r="K2232" s="79"/>
      <c r="L2232" s="70"/>
      <c r="M2232" s="132"/>
      <c r="N2232" s="79"/>
      <c r="O2232" s="79"/>
      <c r="P2232" s="79"/>
      <c r="Q2232" s="136"/>
      <c r="R2232" s="79"/>
      <c r="S2232" s="79"/>
      <c r="T2232" s="79"/>
      <c r="U2232" s="79"/>
      <c r="V2232" s="189"/>
      <c r="X2232" s="79"/>
      <c r="Y2232" s="79"/>
      <c r="Z2232" s="79"/>
      <c r="AA2232" s="255"/>
      <c r="AC2232" s="254"/>
    </row>
    <row r="2233" spans="1:31" ht="12">
      <c r="A2233" s="67" t="s">
        <v>14823</v>
      </c>
      <c r="B2233" s="65" t="s">
        <v>14824</v>
      </c>
      <c r="C2233" s="71" t="s">
        <v>165</v>
      </c>
      <c r="D2233" s="78">
        <v>1</v>
      </c>
      <c r="E2233" s="79">
        <v>80.88</v>
      </c>
      <c r="F2233" s="70">
        <v>80.88</v>
      </c>
      <c r="G2233" s="320"/>
      <c r="H2233" s="79">
        <v>52.94</v>
      </c>
      <c r="I2233" s="79">
        <v>27.939999999999998</v>
      </c>
      <c r="J2233" s="79">
        <v>80.88</v>
      </c>
      <c r="K2233" s="79">
        <v>0</v>
      </c>
      <c r="L2233" s="70">
        <v>80.88</v>
      </c>
      <c r="M2233" s="132"/>
      <c r="N2233" s="79">
        <v>52.94</v>
      </c>
      <c r="O2233" s="79">
        <v>27.939999999999998</v>
      </c>
      <c r="P2233" s="79">
        <v>80.88</v>
      </c>
      <c r="Q2233" s="136"/>
      <c r="R2233" s="79">
        <v>52.94</v>
      </c>
      <c r="S2233" s="79">
        <v>27.92</v>
      </c>
      <c r="T2233" s="79">
        <v>80.86</v>
      </c>
      <c r="U2233" s="79">
        <v>0</v>
      </c>
      <c r="V2233" s="189">
        <v>80.86</v>
      </c>
      <c r="X2233" s="79">
        <v>52.94</v>
      </c>
      <c r="Y2233" s="79">
        <v>27.92</v>
      </c>
      <c r="Z2233" s="79">
        <v>80.86</v>
      </c>
      <c r="AA2233" s="255">
        <v>1.9999999999996021E-2</v>
      </c>
      <c r="AC2233" s="254"/>
    </row>
    <row r="2234" spans="1:31" ht="12">
      <c r="A2234" s="67" t="s">
        <v>14825</v>
      </c>
      <c r="B2234" s="65" t="s">
        <v>14826</v>
      </c>
      <c r="C2234" s="71" t="s">
        <v>165</v>
      </c>
      <c r="D2234" s="78">
        <v>1</v>
      </c>
      <c r="E2234" s="79">
        <v>98.179999999999993</v>
      </c>
      <c r="F2234" s="70">
        <v>98.18</v>
      </c>
      <c r="G2234" s="320"/>
      <c r="H2234" s="79">
        <v>70.239999999999995</v>
      </c>
      <c r="I2234" s="79">
        <v>27.939999999999998</v>
      </c>
      <c r="J2234" s="79">
        <v>98.179999999999993</v>
      </c>
      <c r="K2234" s="79">
        <v>0</v>
      </c>
      <c r="L2234" s="70">
        <v>98.179999999999993</v>
      </c>
      <c r="M2234" s="132"/>
      <c r="N2234" s="79">
        <v>70.239999999999995</v>
      </c>
      <c r="O2234" s="79">
        <v>27.939999999999998</v>
      </c>
      <c r="P2234" s="79">
        <v>98.179999999999993</v>
      </c>
      <c r="Q2234" s="136"/>
      <c r="R2234" s="79">
        <v>70.239999999999995</v>
      </c>
      <c r="S2234" s="79">
        <v>27.92</v>
      </c>
      <c r="T2234" s="79">
        <v>98.16</v>
      </c>
      <c r="U2234" s="79">
        <v>0</v>
      </c>
      <c r="V2234" s="189">
        <v>98.16</v>
      </c>
      <c r="X2234" s="79">
        <v>70.239999999999995</v>
      </c>
      <c r="Y2234" s="79">
        <v>27.92</v>
      </c>
      <c r="Z2234" s="79">
        <v>98.16</v>
      </c>
      <c r="AA2234" s="255">
        <v>2.0000000000010232E-2</v>
      </c>
      <c r="AC2234" s="254"/>
      <c r="AD2234" s="61"/>
      <c r="AE2234" s="61"/>
    </row>
    <row r="2235" spans="1:31" ht="12">
      <c r="A2235" s="67" t="s">
        <v>14827</v>
      </c>
      <c r="B2235" s="65" t="s">
        <v>14828</v>
      </c>
      <c r="C2235" s="71" t="s">
        <v>165</v>
      </c>
      <c r="D2235" s="78">
        <v>1</v>
      </c>
      <c r="E2235" s="79">
        <v>114.64</v>
      </c>
      <c r="F2235" s="70">
        <v>114.64</v>
      </c>
      <c r="G2235" s="320"/>
      <c r="H2235" s="79">
        <v>86.7</v>
      </c>
      <c r="I2235" s="79">
        <v>27.939999999999998</v>
      </c>
      <c r="J2235" s="79">
        <v>114.64</v>
      </c>
      <c r="K2235" s="79">
        <v>0</v>
      </c>
      <c r="L2235" s="70">
        <v>114.64</v>
      </c>
      <c r="M2235" s="132"/>
      <c r="N2235" s="79">
        <v>86.7</v>
      </c>
      <c r="O2235" s="79">
        <v>27.939999999999998</v>
      </c>
      <c r="P2235" s="79">
        <v>114.64</v>
      </c>
      <c r="Q2235" s="136"/>
      <c r="R2235" s="79">
        <v>86.7</v>
      </c>
      <c r="S2235" s="79">
        <v>27.92</v>
      </c>
      <c r="T2235" s="79">
        <v>114.62</v>
      </c>
      <c r="U2235" s="79">
        <v>0</v>
      </c>
      <c r="V2235" s="189">
        <v>114.62</v>
      </c>
      <c r="X2235" s="79">
        <v>86.7</v>
      </c>
      <c r="Y2235" s="79">
        <v>27.92</v>
      </c>
      <c r="Z2235" s="79">
        <v>114.62</v>
      </c>
      <c r="AA2235" s="255">
        <v>1.9999999999996021E-2</v>
      </c>
      <c r="AC2235" s="254"/>
      <c r="AD2235" s="61"/>
      <c r="AE2235" s="61"/>
    </row>
    <row r="2236" spans="1:31" s="61" customFormat="1" ht="12">
      <c r="A2236" s="67" t="s">
        <v>14829</v>
      </c>
      <c r="B2236" s="65" t="s">
        <v>14830</v>
      </c>
      <c r="C2236" s="71" t="s">
        <v>165</v>
      </c>
      <c r="D2236" s="78">
        <v>1</v>
      </c>
      <c r="E2236" s="79">
        <v>131.43</v>
      </c>
      <c r="F2236" s="70">
        <v>131.43</v>
      </c>
      <c r="G2236" s="320"/>
      <c r="H2236" s="79">
        <v>103.49</v>
      </c>
      <c r="I2236" s="79">
        <v>27.939999999999998</v>
      </c>
      <c r="J2236" s="79">
        <v>131.43</v>
      </c>
      <c r="K2236" s="79">
        <v>0</v>
      </c>
      <c r="L2236" s="70">
        <v>131.43</v>
      </c>
      <c r="M2236" s="132"/>
      <c r="N2236" s="79">
        <v>103.49</v>
      </c>
      <c r="O2236" s="79">
        <v>27.939999999999998</v>
      </c>
      <c r="P2236" s="79">
        <v>131.43</v>
      </c>
      <c r="Q2236" s="136"/>
      <c r="R2236" s="79">
        <v>103.49</v>
      </c>
      <c r="S2236" s="79">
        <v>27.92</v>
      </c>
      <c r="T2236" s="79">
        <v>131.41</v>
      </c>
      <c r="U2236" s="79">
        <v>0</v>
      </c>
      <c r="V2236" s="189">
        <v>131.41</v>
      </c>
      <c r="X2236" s="79">
        <v>103.49</v>
      </c>
      <c r="Y2236" s="79">
        <v>27.92</v>
      </c>
      <c r="Z2236" s="79">
        <v>131.41</v>
      </c>
      <c r="AA2236" s="255">
        <v>2.0000000000010232E-2</v>
      </c>
      <c r="AC2236" s="254"/>
    </row>
    <row r="2237" spans="1:31" s="61" customFormat="1" ht="12">
      <c r="A2237" s="67" t="s">
        <v>14831</v>
      </c>
      <c r="B2237" s="65" t="s">
        <v>14832</v>
      </c>
      <c r="C2237" s="71" t="s">
        <v>165</v>
      </c>
      <c r="D2237" s="78">
        <v>1</v>
      </c>
      <c r="E2237" s="79">
        <v>149.72</v>
      </c>
      <c r="F2237" s="70">
        <v>149.72</v>
      </c>
      <c r="G2237" s="320"/>
      <c r="H2237" s="79">
        <v>121.78</v>
      </c>
      <c r="I2237" s="79">
        <v>27.939999999999998</v>
      </c>
      <c r="J2237" s="79">
        <v>149.72</v>
      </c>
      <c r="K2237" s="79">
        <v>0</v>
      </c>
      <c r="L2237" s="70">
        <v>149.72</v>
      </c>
      <c r="M2237" s="132"/>
      <c r="N2237" s="79">
        <v>121.78</v>
      </c>
      <c r="O2237" s="79">
        <v>27.939999999999998</v>
      </c>
      <c r="P2237" s="79">
        <v>149.72</v>
      </c>
      <c r="Q2237" s="136"/>
      <c r="R2237" s="79">
        <v>121.78</v>
      </c>
      <c r="S2237" s="79">
        <v>27.92</v>
      </c>
      <c r="T2237" s="79">
        <v>149.69999999999999</v>
      </c>
      <c r="U2237" s="79">
        <v>0</v>
      </c>
      <c r="V2237" s="189">
        <v>149.69999999999999</v>
      </c>
      <c r="X2237" s="79">
        <v>121.78</v>
      </c>
      <c r="Y2237" s="79">
        <v>27.92</v>
      </c>
      <c r="Z2237" s="79">
        <v>149.69999999999999</v>
      </c>
      <c r="AA2237" s="255">
        <v>2.0000000000010232E-2</v>
      </c>
      <c r="AC2237" s="254"/>
    </row>
    <row r="2238" spans="1:31" s="61" customFormat="1" ht="12">
      <c r="A2238" s="67" t="s">
        <v>14833</v>
      </c>
      <c r="B2238" s="65" t="s">
        <v>14834</v>
      </c>
      <c r="C2238" s="71" t="s">
        <v>165</v>
      </c>
      <c r="D2238" s="78">
        <v>1</v>
      </c>
      <c r="E2238" s="79">
        <v>148.66</v>
      </c>
      <c r="F2238" s="70">
        <v>148.66</v>
      </c>
      <c r="G2238" s="320"/>
      <c r="H2238" s="79">
        <v>106.8</v>
      </c>
      <c r="I2238" s="79">
        <v>41.86</v>
      </c>
      <c r="J2238" s="79">
        <v>148.66</v>
      </c>
      <c r="K2238" s="79">
        <v>0</v>
      </c>
      <c r="L2238" s="70">
        <v>148.66</v>
      </c>
      <c r="M2238" s="132"/>
      <c r="N2238" s="79">
        <v>106.8</v>
      </c>
      <c r="O2238" s="79">
        <v>41.86</v>
      </c>
      <c r="P2238" s="79">
        <v>148.66</v>
      </c>
      <c r="Q2238" s="136"/>
      <c r="R2238" s="79">
        <v>106.8</v>
      </c>
      <c r="S2238" s="79">
        <v>41.87</v>
      </c>
      <c r="T2238" s="79">
        <v>148.66999999999999</v>
      </c>
      <c r="U2238" s="79">
        <v>0</v>
      </c>
      <c r="V2238" s="189">
        <v>148.66999999999999</v>
      </c>
      <c r="X2238" s="79">
        <v>106.8</v>
      </c>
      <c r="Y2238" s="79">
        <v>41.87</v>
      </c>
      <c r="Z2238" s="79">
        <v>148.66999999999999</v>
      </c>
      <c r="AA2238" s="255">
        <v>-9.9999999999909051E-3</v>
      </c>
      <c r="AC2238" s="254"/>
      <c r="AD2238" s="236"/>
      <c r="AE2238" s="236"/>
    </row>
    <row r="2239" spans="1:31" s="61" customFormat="1" ht="12">
      <c r="A2239" s="67" t="s">
        <v>14835</v>
      </c>
      <c r="B2239" s="65" t="s">
        <v>14836</v>
      </c>
      <c r="C2239" s="71" t="s">
        <v>165</v>
      </c>
      <c r="D2239" s="78">
        <v>1</v>
      </c>
      <c r="E2239" s="79">
        <v>160.94999999999999</v>
      </c>
      <c r="F2239" s="70">
        <v>160.94999999999999</v>
      </c>
      <c r="G2239" s="320"/>
      <c r="H2239" s="79">
        <v>119.09</v>
      </c>
      <c r="I2239" s="79">
        <v>41.86</v>
      </c>
      <c r="J2239" s="79">
        <v>160.94999999999999</v>
      </c>
      <c r="K2239" s="79">
        <v>0</v>
      </c>
      <c r="L2239" s="70">
        <v>160.94999999999999</v>
      </c>
      <c r="M2239" s="132"/>
      <c r="N2239" s="79">
        <v>119.09</v>
      </c>
      <c r="O2239" s="79">
        <v>41.86</v>
      </c>
      <c r="P2239" s="79">
        <v>160.94999999999999</v>
      </c>
      <c r="Q2239" s="136"/>
      <c r="R2239" s="79">
        <v>119.09</v>
      </c>
      <c r="S2239" s="79">
        <v>41.87</v>
      </c>
      <c r="T2239" s="79">
        <v>160.96</v>
      </c>
      <c r="U2239" s="79">
        <v>0</v>
      </c>
      <c r="V2239" s="189">
        <v>160.96</v>
      </c>
      <c r="X2239" s="79">
        <v>119.09</v>
      </c>
      <c r="Y2239" s="79">
        <v>41.87</v>
      </c>
      <c r="Z2239" s="79">
        <v>160.96</v>
      </c>
      <c r="AA2239" s="255">
        <v>-1.0000000000019327E-2</v>
      </c>
      <c r="AC2239" s="254"/>
      <c r="AD2239" s="236"/>
      <c r="AE2239" s="236"/>
    </row>
    <row r="2240" spans="1:31" ht="12">
      <c r="A2240" s="67" t="s">
        <v>14837</v>
      </c>
      <c r="B2240" s="65" t="s">
        <v>14838</v>
      </c>
      <c r="C2240" s="71" t="s">
        <v>165</v>
      </c>
      <c r="D2240" s="78">
        <v>1</v>
      </c>
      <c r="E2240" s="79">
        <v>182.75</v>
      </c>
      <c r="F2240" s="70">
        <v>182.75</v>
      </c>
      <c r="G2240" s="320"/>
      <c r="H2240" s="79">
        <v>140.88999999999999</v>
      </c>
      <c r="I2240" s="79">
        <v>41.86</v>
      </c>
      <c r="J2240" s="79">
        <v>182.75</v>
      </c>
      <c r="K2240" s="79">
        <v>0</v>
      </c>
      <c r="L2240" s="70">
        <v>182.75</v>
      </c>
      <c r="M2240" s="132"/>
      <c r="N2240" s="79">
        <v>140.88999999999999</v>
      </c>
      <c r="O2240" s="79">
        <v>41.86</v>
      </c>
      <c r="P2240" s="79">
        <v>182.75</v>
      </c>
      <c r="Q2240" s="136"/>
      <c r="R2240" s="79">
        <v>140.88999999999999</v>
      </c>
      <c r="S2240" s="79">
        <v>41.87</v>
      </c>
      <c r="T2240" s="79">
        <v>182.76</v>
      </c>
      <c r="U2240" s="79">
        <v>0</v>
      </c>
      <c r="V2240" s="189">
        <v>182.76</v>
      </c>
      <c r="X2240" s="79">
        <v>140.88999999999999</v>
      </c>
      <c r="Y2240" s="79">
        <v>41.87</v>
      </c>
      <c r="Z2240" s="79">
        <v>182.76</v>
      </c>
      <c r="AA2240" s="255">
        <v>-9.9999999999909051E-3</v>
      </c>
      <c r="AC2240" s="254"/>
    </row>
    <row r="2241" spans="1:31" ht="12">
      <c r="A2241" s="67" t="s">
        <v>14839</v>
      </c>
      <c r="B2241" s="65" t="s">
        <v>14840</v>
      </c>
      <c r="C2241" s="71" t="s">
        <v>165</v>
      </c>
      <c r="D2241" s="78">
        <v>1</v>
      </c>
      <c r="E2241" s="79">
        <v>198.5</v>
      </c>
      <c r="F2241" s="70">
        <v>198.5</v>
      </c>
      <c r="G2241" s="320"/>
      <c r="H2241" s="79">
        <v>156.63999999999999</v>
      </c>
      <c r="I2241" s="79">
        <v>41.86</v>
      </c>
      <c r="J2241" s="79">
        <v>198.5</v>
      </c>
      <c r="K2241" s="79">
        <v>0</v>
      </c>
      <c r="L2241" s="70">
        <v>198.5</v>
      </c>
      <c r="M2241" s="132"/>
      <c r="N2241" s="79">
        <v>156.63999999999999</v>
      </c>
      <c r="O2241" s="79">
        <v>41.86</v>
      </c>
      <c r="P2241" s="79">
        <v>198.5</v>
      </c>
      <c r="Q2241" s="136"/>
      <c r="R2241" s="79">
        <v>156.63999999999999</v>
      </c>
      <c r="S2241" s="79">
        <v>41.87</v>
      </c>
      <c r="T2241" s="79">
        <v>198.51</v>
      </c>
      <c r="U2241" s="79">
        <v>0</v>
      </c>
      <c r="V2241" s="189">
        <v>198.51</v>
      </c>
      <c r="X2241" s="79">
        <v>156.63999999999999</v>
      </c>
      <c r="Y2241" s="79">
        <v>41.87</v>
      </c>
      <c r="Z2241" s="79">
        <v>198.51</v>
      </c>
      <c r="AA2241" s="255">
        <v>-9.9999999999909051E-3</v>
      </c>
      <c r="AC2241" s="254"/>
    </row>
    <row r="2242" spans="1:31" ht="12">
      <c r="A2242" s="67" t="s">
        <v>14841</v>
      </c>
      <c r="B2242" s="65" t="s">
        <v>14842</v>
      </c>
      <c r="C2242" s="71" t="s">
        <v>165</v>
      </c>
      <c r="D2242" s="78">
        <v>1</v>
      </c>
      <c r="E2242" s="79">
        <v>225.46999999999997</v>
      </c>
      <c r="F2242" s="70">
        <v>225.47</v>
      </c>
      <c r="G2242" s="320"/>
      <c r="H2242" s="79">
        <v>169.64</v>
      </c>
      <c r="I2242" s="79">
        <v>55.83</v>
      </c>
      <c r="J2242" s="79">
        <v>225.46999999999997</v>
      </c>
      <c r="K2242" s="79">
        <v>0</v>
      </c>
      <c r="L2242" s="70">
        <v>225.46999999999997</v>
      </c>
      <c r="M2242" s="132"/>
      <c r="N2242" s="79">
        <v>169.64</v>
      </c>
      <c r="O2242" s="79">
        <v>55.83</v>
      </c>
      <c r="P2242" s="79">
        <v>225.46999999999997</v>
      </c>
      <c r="Q2242" s="136"/>
      <c r="R2242" s="79">
        <v>169.64</v>
      </c>
      <c r="S2242" s="79">
        <v>55.83</v>
      </c>
      <c r="T2242" s="79">
        <v>225.46999999999997</v>
      </c>
      <c r="U2242" s="79">
        <v>0</v>
      </c>
      <c r="V2242" s="189">
        <v>225.46999999999997</v>
      </c>
      <c r="X2242" s="79">
        <v>169.64</v>
      </c>
      <c r="Y2242" s="79">
        <v>55.83</v>
      </c>
      <c r="Z2242" s="79">
        <v>225.47</v>
      </c>
      <c r="AA2242" s="255">
        <v>0</v>
      </c>
      <c r="AC2242" s="254"/>
    </row>
    <row r="2243" spans="1:31" ht="12">
      <c r="A2243" s="67" t="s">
        <v>14843</v>
      </c>
      <c r="B2243" s="65" t="s">
        <v>14844</v>
      </c>
      <c r="C2243" s="71" t="s">
        <v>165</v>
      </c>
      <c r="D2243" s="78">
        <v>1</v>
      </c>
      <c r="E2243" s="79">
        <v>265.21999999999997</v>
      </c>
      <c r="F2243" s="70">
        <v>265.22000000000003</v>
      </c>
      <c r="G2243" s="320"/>
      <c r="H2243" s="79">
        <v>209.39</v>
      </c>
      <c r="I2243" s="79">
        <v>55.83</v>
      </c>
      <c r="J2243" s="79">
        <v>265.21999999999997</v>
      </c>
      <c r="K2243" s="79">
        <v>0</v>
      </c>
      <c r="L2243" s="70">
        <v>265.21999999999997</v>
      </c>
      <c r="M2243" s="132"/>
      <c r="N2243" s="79">
        <v>209.39</v>
      </c>
      <c r="O2243" s="79">
        <v>55.83</v>
      </c>
      <c r="P2243" s="79">
        <v>265.21999999999997</v>
      </c>
      <c r="Q2243" s="136"/>
      <c r="R2243" s="79">
        <v>209.39</v>
      </c>
      <c r="S2243" s="79">
        <v>55.83</v>
      </c>
      <c r="T2243" s="79">
        <v>265.21999999999997</v>
      </c>
      <c r="U2243" s="79">
        <v>0</v>
      </c>
      <c r="V2243" s="189">
        <v>265.21999999999997</v>
      </c>
      <c r="X2243" s="79">
        <v>209.39</v>
      </c>
      <c r="Y2243" s="79">
        <v>55.83</v>
      </c>
      <c r="Z2243" s="79">
        <v>265.22000000000003</v>
      </c>
      <c r="AA2243" s="255">
        <v>0</v>
      </c>
      <c r="AC2243" s="254"/>
    </row>
    <row r="2244" spans="1:31" ht="12">
      <c r="A2244" s="67" t="s">
        <v>14845</v>
      </c>
      <c r="B2244" s="65" t="s">
        <v>14846</v>
      </c>
      <c r="C2244" s="71" t="s">
        <v>165</v>
      </c>
      <c r="D2244" s="78">
        <v>1</v>
      </c>
      <c r="E2244" s="79">
        <v>89.460000000000008</v>
      </c>
      <c r="F2244" s="70">
        <v>89.46</v>
      </c>
      <c r="G2244" s="320"/>
      <c r="H2244" s="79">
        <v>61.52</v>
      </c>
      <c r="I2244" s="79">
        <v>27.939999999999998</v>
      </c>
      <c r="J2244" s="79">
        <v>89.460000000000008</v>
      </c>
      <c r="K2244" s="79">
        <v>0</v>
      </c>
      <c r="L2244" s="70">
        <v>89.460000000000008</v>
      </c>
      <c r="M2244" s="132"/>
      <c r="N2244" s="79">
        <v>61.52</v>
      </c>
      <c r="O2244" s="79">
        <v>27.939999999999998</v>
      </c>
      <c r="P2244" s="79">
        <v>89.460000000000008</v>
      </c>
      <c r="Q2244" s="136"/>
      <c r="R2244" s="79">
        <v>61.52</v>
      </c>
      <c r="S2244" s="79">
        <v>27.92</v>
      </c>
      <c r="T2244" s="79">
        <v>89.44</v>
      </c>
      <c r="U2244" s="79">
        <v>0</v>
      </c>
      <c r="V2244" s="189">
        <v>89.44</v>
      </c>
      <c r="X2244" s="79">
        <v>61.52</v>
      </c>
      <c r="Y2244" s="79">
        <v>27.92</v>
      </c>
      <c r="Z2244" s="79">
        <v>89.44</v>
      </c>
      <c r="AA2244" s="255">
        <v>1.9999999999996021E-2</v>
      </c>
      <c r="AC2244" s="254"/>
    </row>
    <row r="2245" spans="1:31" ht="12">
      <c r="A2245" s="67" t="s">
        <v>14847</v>
      </c>
      <c r="B2245" s="65" t="s">
        <v>14848</v>
      </c>
      <c r="C2245" s="71" t="s">
        <v>165</v>
      </c>
      <c r="D2245" s="78">
        <v>1</v>
      </c>
      <c r="E2245" s="79">
        <v>103.92999999999999</v>
      </c>
      <c r="F2245" s="70">
        <v>103.93</v>
      </c>
      <c r="G2245" s="320"/>
      <c r="H2245" s="79">
        <v>75.989999999999995</v>
      </c>
      <c r="I2245" s="79">
        <v>27.939999999999998</v>
      </c>
      <c r="J2245" s="79">
        <v>103.92999999999999</v>
      </c>
      <c r="K2245" s="79">
        <v>0</v>
      </c>
      <c r="L2245" s="70">
        <v>103.92999999999999</v>
      </c>
      <c r="M2245" s="132"/>
      <c r="N2245" s="79">
        <v>75.989999999999995</v>
      </c>
      <c r="O2245" s="79">
        <v>27.939999999999998</v>
      </c>
      <c r="P2245" s="79">
        <v>103.92999999999999</v>
      </c>
      <c r="Q2245" s="136"/>
      <c r="R2245" s="79">
        <v>75.989999999999995</v>
      </c>
      <c r="S2245" s="79">
        <v>27.92</v>
      </c>
      <c r="T2245" s="79">
        <v>103.91</v>
      </c>
      <c r="U2245" s="79">
        <v>0</v>
      </c>
      <c r="V2245" s="189">
        <v>103.91</v>
      </c>
      <c r="X2245" s="79">
        <v>75.989999999999995</v>
      </c>
      <c r="Y2245" s="79">
        <v>27.92</v>
      </c>
      <c r="Z2245" s="79">
        <v>103.91</v>
      </c>
      <c r="AA2245" s="255">
        <v>2.0000000000010232E-2</v>
      </c>
      <c r="AC2245" s="254"/>
    </row>
    <row r="2246" spans="1:31" ht="12">
      <c r="A2246" s="67" t="s">
        <v>14849</v>
      </c>
      <c r="B2246" s="65" t="s">
        <v>14850</v>
      </c>
      <c r="C2246" s="71" t="s">
        <v>165</v>
      </c>
      <c r="D2246" s="78">
        <v>1</v>
      </c>
      <c r="E2246" s="79">
        <v>120.97</v>
      </c>
      <c r="F2246" s="70">
        <v>120.97</v>
      </c>
      <c r="G2246" s="320"/>
      <c r="H2246" s="79">
        <v>93.03</v>
      </c>
      <c r="I2246" s="79">
        <v>27.939999999999998</v>
      </c>
      <c r="J2246" s="79">
        <v>120.97</v>
      </c>
      <c r="K2246" s="79">
        <v>0</v>
      </c>
      <c r="L2246" s="70">
        <v>120.97</v>
      </c>
      <c r="M2246" s="132"/>
      <c r="N2246" s="79">
        <v>93.03</v>
      </c>
      <c r="O2246" s="79">
        <v>27.939999999999998</v>
      </c>
      <c r="P2246" s="79">
        <v>120.97</v>
      </c>
      <c r="Q2246" s="136"/>
      <c r="R2246" s="79">
        <v>93.03</v>
      </c>
      <c r="S2246" s="79">
        <v>27.92</v>
      </c>
      <c r="T2246" s="79">
        <v>120.95</v>
      </c>
      <c r="U2246" s="79">
        <v>0</v>
      </c>
      <c r="V2246" s="189">
        <v>120.95</v>
      </c>
      <c r="X2246" s="79">
        <v>93.03</v>
      </c>
      <c r="Y2246" s="79">
        <v>27.92</v>
      </c>
      <c r="Z2246" s="79">
        <v>120.95</v>
      </c>
      <c r="AA2246" s="255">
        <v>1.9999999999996021E-2</v>
      </c>
      <c r="AC2246" s="254"/>
    </row>
    <row r="2247" spans="1:31" ht="12">
      <c r="A2247" s="67" t="s">
        <v>14851</v>
      </c>
      <c r="B2247" s="65" t="s">
        <v>14852</v>
      </c>
      <c r="C2247" s="71" t="s">
        <v>165</v>
      </c>
      <c r="D2247" s="78">
        <v>1</v>
      </c>
      <c r="E2247" s="79">
        <v>133.63</v>
      </c>
      <c r="F2247" s="70">
        <v>133.63</v>
      </c>
      <c r="G2247" s="320"/>
      <c r="H2247" s="79">
        <v>105.69</v>
      </c>
      <c r="I2247" s="79">
        <v>27.939999999999998</v>
      </c>
      <c r="J2247" s="79">
        <v>133.63</v>
      </c>
      <c r="K2247" s="79">
        <v>0</v>
      </c>
      <c r="L2247" s="70">
        <v>133.63</v>
      </c>
      <c r="M2247" s="132"/>
      <c r="N2247" s="79">
        <v>105.69</v>
      </c>
      <c r="O2247" s="79">
        <v>27.939999999999998</v>
      </c>
      <c r="P2247" s="79">
        <v>133.63</v>
      </c>
      <c r="Q2247" s="136"/>
      <c r="R2247" s="79">
        <v>105.69</v>
      </c>
      <c r="S2247" s="79">
        <v>27.92</v>
      </c>
      <c r="T2247" s="79">
        <v>133.61000000000001</v>
      </c>
      <c r="U2247" s="79">
        <v>0</v>
      </c>
      <c r="V2247" s="189">
        <v>133.61000000000001</v>
      </c>
      <c r="X2247" s="79">
        <v>105.69</v>
      </c>
      <c r="Y2247" s="79">
        <v>27.92</v>
      </c>
      <c r="Z2247" s="79">
        <v>133.61000000000001</v>
      </c>
      <c r="AA2247" s="255">
        <v>1.999999999998181E-2</v>
      </c>
      <c r="AC2247" s="254"/>
    </row>
    <row r="2248" spans="1:31" ht="12">
      <c r="A2248" s="489" t="s">
        <v>14853</v>
      </c>
      <c r="B2248" s="490" t="s">
        <v>14854</v>
      </c>
      <c r="C2248" s="491"/>
      <c r="D2248" s="492"/>
      <c r="E2248" s="79"/>
      <c r="F2248" s="63"/>
      <c r="G2248" s="320"/>
      <c r="H2248" s="79"/>
      <c r="I2248" s="79"/>
      <c r="J2248" s="79"/>
      <c r="K2248" s="79"/>
      <c r="L2248" s="70"/>
      <c r="M2248" s="132"/>
      <c r="N2248" s="79"/>
      <c r="O2248" s="79"/>
      <c r="P2248" s="79"/>
      <c r="Q2248" s="136"/>
      <c r="R2248" s="79"/>
      <c r="S2248" s="79"/>
      <c r="T2248" s="79"/>
      <c r="U2248" s="79"/>
      <c r="V2248" s="189"/>
      <c r="X2248" s="79"/>
      <c r="Y2248" s="79"/>
      <c r="Z2248" s="79"/>
      <c r="AA2248" s="255"/>
      <c r="AC2248" s="254"/>
    </row>
    <row r="2249" spans="1:31" ht="12">
      <c r="A2249" s="67" t="s">
        <v>14855</v>
      </c>
      <c r="B2249" s="65" t="s">
        <v>14856</v>
      </c>
      <c r="C2249" s="71" t="s">
        <v>165</v>
      </c>
      <c r="D2249" s="78">
        <v>1</v>
      </c>
      <c r="E2249" s="79">
        <v>144.35</v>
      </c>
      <c r="F2249" s="70">
        <v>144.35</v>
      </c>
      <c r="G2249" s="320"/>
      <c r="H2249" s="79">
        <v>102.49</v>
      </c>
      <c r="I2249" s="79">
        <v>41.86</v>
      </c>
      <c r="J2249" s="79">
        <v>144.35</v>
      </c>
      <c r="K2249" s="79">
        <v>0</v>
      </c>
      <c r="L2249" s="70">
        <v>144.35</v>
      </c>
      <c r="M2249" s="132"/>
      <c r="N2249" s="79">
        <v>102.49</v>
      </c>
      <c r="O2249" s="79">
        <v>41.86</v>
      </c>
      <c r="P2249" s="79">
        <v>144.35</v>
      </c>
      <c r="Q2249" s="136"/>
      <c r="R2249" s="79">
        <v>102.49</v>
      </c>
      <c r="S2249" s="79">
        <v>41.87</v>
      </c>
      <c r="T2249" s="79">
        <v>144.35999999999999</v>
      </c>
      <c r="U2249" s="79">
        <v>0</v>
      </c>
      <c r="V2249" s="189">
        <v>144.35999999999999</v>
      </c>
      <c r="X2249" s="79">
        <v>102.49</v>
      </c>
      <c r="Y2249" s="79">
        <v>41.87</v>
      </c>
      <c r="Z2249" s="79">
        <v>144.36000000000001</v>
      </c>
      <c r="AA2249" s="255">
        <v>-1.0000000000019327E-2</v>
      </c>
      <c r="AC2249" s="254"/>
    </row>
    <row r="2250" spans="1:31" ht="12">
      <c r="A2250" s="67" t="s">
        <v>14857</v>
      </c>
      <c r="B2250" s="65" t="s">
        <v>14858</v>
      </c>
      <c r="C2250" s="71" t="s">
        <v>165</v>
      </c>
      <c r="D2250" s="78">
        <v>1</v>
      </c>
      <c r="E2250" s="79">
        <v>164.92000000000002</v>
      </c>
      <c r="F2250" s="70">
        <v>164.92</v>
      </c>
      <c r="G2250" s="320"/>
      <c r="H2250" s="79">
        <v>123.06</v>
      </c>
      <c r="I2250" s="79">
        <v>41.86</v>
      </c>
      <c r="J2250" s="79">
        <v>164.92000000000002</v>
      </c>
      <c r="K2250" s="79">
        <v>0</v>
      </c>
      <c r="L2250" s="70">
        <v>164.92000000000002</v>
      </c>
      <c r="M2250" s="132"/>
      <c r="N2250" s="79">
        <v>123.06</v>
      </c>
      <c r="O2250" s="79">
        <v>41.86</v>
      </c>
      <c r="P2250" s="79">
        <v>164.92000000000002</v>
      </c>
      <c r="Q2250" s="136"/>
      <c r="R2250" s="79">
        <v>123.06</v>
      </c>
      <c r="S2250" s="79">
        <v>41.87</v>
      </c>
      <c r="T2250" s="79">
        <v>164.93</v>
      </c>
      <c r="U2250" s="79">
        <v>0</v>
      </c>
      <c r="V2250" s="189">
        <v>164.93</v>
      </c>
      <c r="X2250" s="79">
        <v>123.06</v>
      </c>
      <c r="Y2250" s="79">
        <v>41.87</v>
      </c>
      <c r="Z2250" s="79">
        <v>164.93</v>
      </c>
      <c r="AA2250" s="255">
        <v>-1.0000000000019327E-2</v>
      </c>
      <c r="AC2250" s="254"/>
    </row>
    <row r="2251" spans="1:31" ht="12">
      <c r="A2251" s="67" t="s">
        <v>14859</v>
      </c>
      <c r="B2251" s="65" t="s">
        <v>14860</v>
      </c>
      <c r="C2251" s="71" t="s">
        <v>165</v>
      </c>
      <c r="D2251" s="78">
        <v>1</v>
      </c>
      <c r="E2251" s="79">
        <v>182.20999999999998</v>
      </c>
      <c r="F2251" s="70">
        <v>182.21</v>
      </c>
      <c r="G2251" s="320"/>
      <c r="H2251" s="79">
        <v>140.35</v>
      </c>
      <c r="I2251" s="79">
        <v>41.86</v>
      </c>
      <c r="J2251" s="79">
        <v>182.20999999999998</v>
      </c>
      <c r="K2251" s="79">
        <v>0</v>
      </c>
      <c r="L2251" s="70">
        <v>182.20999999999998</v>
      </c>
      <c r="M2251" s="132"/>
      <c r="N2251" s="79">
        <v>140.35</v>
      </c>
      <c r="O2251" s="79">
        <v>41.86</v>
      </c>
      <c r="P2251" s="79">
        <v>182.20999999999998</v>
      </c>
      <c r="Q2251" s="136"/>
      <c r="R2251" s="79">
        <v>140.35</v>
      </c>
      <c r="S2251" s="79">
        <v>41.87</v>
      </c>
      <c r="T2251" s="79">
        <v>182.22</v>
      </c>
      <c r="U2251" s="79">
        <v>0</v>
      </c>
      <c r="V2251" s="189">
        <v>182.22</v>
      </c>
      <c r="X2251" s="79">
        <v>140.35</v>
      </c>
      <c r="Y2251" s="79">
        <v>41.87</v>
      </c>
      <c r="Z2251" s="79">
        <v>182.22</v>
      </c>
      <c r="AA2251" s="255">
        <v>-9.9999999999909051E-3</v>
      </c>
      <c r="AC2251" s="254"/>
      <c r="AD2251" s="61"/>
      <c r="AE2251" s="61"/>
    </row>
    <row r="2252" spans="1:31" ht="12">
      <c r="A2252" s="67" t="s">
        <v>14861</v>
      </c>
      <c r="B2252" s="65" t="s">
        <v>14862</v>
      </c>
      <c r="C2252" s="71" t="s">
        <v>165</v>
      </c>
      <c r="D2252" s="78">
        <v>1</v>
      </c>
      <c r="E2252" s="79">
        <v>206.83999999999997</v>
      </c>
      <c r="F2252" s="70">
        <v>206.84</v>
      </c>
      <c r="G2252" s="320"/>
      <c r="H2252" s="79">
        <v>151.01</v>
      </c>
      <c r="I2252" s="79">
        <v>55.83</v>
      </c>
      <c r="J2252" s="79">
        <v>206.83999999999997</v>
      </c>
      <c r="K2252" s="79">
        <v>0</v>
      </c>
      <c r="L2252" s="70">
        <v>206.83999999999997</v>
      </c>
      <c r="M2252" s="132"/>
      <c r="N2252" s="79">
        <v>151.01</v>
      </c>
      <c r="O2252" s="79">
        <v>55.83</v>
      </c>
      <c r="P2252" s="79">
        <v>206.83999999999997</v>
      </c>
      <c r="Q2252" s="136"/>
      <c r="R2252" s="79">
        <v>151.01</v>
      </c>
      <c r="S2252" s="79">
        <v>55.83</v>
      </c>
      <c r="T2252" s="79">
        <v>206.83999999999997</v>
      </c>
      <c r="U2252" s="79">
        <v>0</v>
      </c>
      <c r="V2252" s="189">
        <v>206.83999999999997</v>
      </c>
      <c r="X2252" s="79">
        <v>151.01</v>
      </c>
      <c r="Y2252" s="79">
        <v>55.83</v>
      </c>
      <c r="Z2252" s="79">
        <v>206.84</v>
      </c>
      <c r="AA2252" s="255">
        <v>0</v>
      </c>
      <c r="AC2252" s="254"/>
    </row>
    <row r="2253" spans="1:31" s="61" customFormat="1" ht="12">
      <c r="A2253" s="67" t="s">
        <v>14863</v>
      </c>
      <c r="B2253" s="65" t="s">
        <v>14864</v>
      </c>
      <c r="C2253" s="71" t="s">
        <v>165</v>
      </c>
      <c r="D2253" s="78">
        <v>1</v>
      </c>
      <c r="E2253" s="79">
        <v>272.51</v>
      </c>
      <c r="F2253" s="70">
        <v>272.51</v>
      </c>
      <c r="G2253" s="320"/>
      <c r="H2253" s="79">
        <v>216.68</v>
      </c>
      <c r="I2253" s="79">
        <v>55.83</v>
      </c>
      <c r="J2253" s="79">
        <v>272.51</v>
      </c>
      <c r="K2253" s="79">
        <v>0</v>
      </c>
      <c r="L2253" s="70">
        <v>272.51</v>
      </c>
      <c r="M2253" s="132"/>
      <c r="N2253" s="79">
        <v>216.68</v>
      </c>
      <c r="O2253" s="79">
        <v>55.83</v>
      </c>
      <c r="P2253" s="79">
        <v>272.51</v>
      </c>
      <c r="Q2253" s="136"/>
      <c r="R2253" s="79">
        <v>216.68</v>
      </c>
      <c r="S2253" s="79">
        <v>55.83</v>
      </c>
      <c r="T2253" s="79">
        <v>272.51</v>
      </c>
      <c r="U2253" s="79">
        <v>0</v>
      </c>
      <c r="V2253" s="189">
        <v>272.51</v>
      </c>
      <c r="X2253" s="79">
        <v>216.68</v>
      </c>
      <c r="Y2253" s="79">
        <v>55.83</v>
      </c>
      <c r="Z2253" s="79">
        <v>272.51</v>
      </c>
      <c r="AA2253" s="255">
        <v>0</v>
      </c>
      <c r="AC2253" s="254"/>
      <c r="AD2253" s="236"/>
      <c r="AE2253" s="236"/>
    </row>
    <row r="2254" spans="1:31" ht="12">
      <c r="A2254" s="67" t="s">
        <v>14865</v>
      </c>
      <c r="B2254" s="65" t="s">
        <v>14866</v>
      </c>
      <c r="C2254" s="71" t="s">
        <v>165</v>
      </c>
      <c r="D2254" s="78">
        <v>1</v>
      </c>
      <c r="E2254" s="79">
        <v>30.29</v>
      </c>
      <c r="F2254" s="70">
        <v>30.29</v>
      </c>
      <c r="G2254" s="320"/>
      <c r="H2254" s="79">
        <v>27.48</v>
      </c>
      <c r="I2254" s="79">
        <v>2.81</v>
      </c>
      <c r="J2254" s="79">
        <v>30.29</v>
      </c>
      <c r="K2254" s="79">
        <v>0</v>
      </c>
      <c r="L2254" s="70">
        <v>30.29</v>
      </c>
      <c r="M2254" s="132"/>
      <c r="N2254" s="79">
        <v>27.48</v>
      </c>
      <c r="O2254" s="79">
        <v>2.81</v>
      </c>
      <c r="P2254" s="79">
        <v>30.29</v>
      </c>
      <c r="Q2254" s="136"/>
      <c r="R2254" s="79">
        <v>27.48</v>
      </c>
      <c r="S2254" s="79">
        <v>2.8</v>
      </c>
      <c r="T2254" s="79">
        <v>30.28</v>
      </c>
      <c r="U2254" s="79">
        <v>0</v>
      </c>
      <c r="V2254" s="189">
        <v>30.28</v>
      </c>
      <c r="X2254" s="79">
        <v>27.48</v>
      </c>
      <c r="Y2254" s="79">
        <v>2.8</v>
      </c>
      <c r="Z2254" s="79">
        <v>30.28</v>
      </c>
      <c r="AA2254" s="255">
        <v>9.9999999999980105E-3</v>
      </c>
      <c r="AC2254" s="254"/>
    </row>
    <row r="2255" spans="1:31" ht="12">
      <c r="A2255" s="67" t="s">
        <v>14867</v>
      </c>
      <c r="B2255" s="65" t="s">
        <v>14868</v>
      </c>
      <c r="C2255" s="71" t="s">
        <v>165</v>
      </c>
      <c r="D2255" s="78">
        <v>1</v>
      </c>
      <c r="E2255" s="79">
        <v>50.81</v>
      </c>
      <c r="F2255" s="70">
        <v>50.81</v>
      </c>
      <c r="G2255" s="320"/>
      <c r="H2255" s="79">
        <v>48</v>
      </c>
      <c r="I2255" s="79">
        <v>2.81</v>
      </c>
      <c r="J2255" s="79">
        <v>50.81</v>
      </c>
      <c r="K2255" s="79">
        <v>0</v>
      </c>
      <c r="L2255" s="70">
        <v>50.81</v>
      </c>
      <c r="M2255" s="132"/>
      <c r="N2255" s="79">
        <v>48</v>
      </c>
      <c r="O2255" s="79">
        <v>2.81</v>
      </c>
      <c r="P2255" s="79">
        <v>50.81</v>
      </c>
      <c r="Q2255" s="136"/>
      <c r="R2255" s="79">
        <v>48</v>
      </c>
      <c r="S2255" s="79">
        <v>2.8</v>
      </c>
      <c r="T2255" s="79">
        <v>50.8</v>
      </c>
      <c r="U2255" s="79">
        <v>0</v>
      </c>
      <c r="V2255" s="189">
        <v>50.8</v>
      </c>
      <c r="X2255" s="79">
        <v>48</v>
      </c>
      <c r="Y2255" s="79">
        <v>2.8</v>
      </c>
      <c r="Z2255" s="79">
        <v>50.8</v>
      </c>
      <c r="AA2255" s="255">
        <v>1.0000000000005116E-2</v>
      </c>
      <c r="AC2255" s="254"/>
    </row>
    <row r="2256" spans="1:31" ht="12">
      <c r="A2256" s="67" t="s">
        <v>14869</v>
      </c>
      <c r="B2256" s="65" t="s">
        <v>14870</v>
      </c>
      <c r="C2256" s="71" t="s">
        <v>165</v>
      </c>
      <c r="D2256" s="78">
        <v>1</v>
      </c>
      <c r="E2256" s="79">
        <v>69.66</v>
      </c>
      <c r="F2256" s="70">
        <v>69.66</v>
      </c>
      <c r="G2256" s="320"/>
      <c r="H2256" s="79">
        <v>66.849999999999994</v>
      </c>
      <c r="I2256" s="79">
        <v>2.81</v>
      </c>
      <c r="J2256" s="79">
        <v>69.66</v>
      </c>
      <c r="K2256" s="79">
        <v>0</v>
      </c>
      <c r="L2256" s="70">
        <v>69.66</v>
      </c>
      <c r="M2256" s="132"/>
      <c r="N2256" s="79">
        <v>66.849999999999994</v>
      </c>
      <c r="O2256" s="79">
        <v>2.81</v>
      </c>
      <c r="P2256" s="79">
        <v>69.66</v>
      </c>
      <c r="Q2256" s="136"/>
      <c r="R2256" s="79">
        <v>66.849999999999994</v>
      </c>
      <c r="S2256" s="79">
        <v>2.8</v>
      </c>
      <c r="T2256" s="79">
        <v>69.649999999999991</v>
      </c>
      <c r="U2256" s="79">
        <v>0</v>
      </c>
      <c r="V2256" s="189">
        <v>69.649999999999991</v>
      </c>
      <c r="X2256" s="79">
        <v>66.849999999999994</v>
      </c>
      <c r="Y2256" s="79">
        <v>2.8</v>
      </c>
      <c r="Z2256" s="79">
        <v>69.650000000000006</v>
      </c>
      <c r="AA2256" s="255">
        <v>9.9999999999909051E-3</v>
      </c>
      <c r="AC2256" s="254"/>
    </row>
    <row r="2257" spans="1:29" ht="12">
      <c r="A2257" s="67" t="s">
        <v>14871</v>
      </c>
      <c r="B2257" s="65" t="s">
        <v>14872</v>
      </c>
      <c r="C2257" s="71" t="s">
        <v>165</v>
      </c>
      <c r="D2257" s="78">
        <v>1</v>
      </c>
      <c r="E2257" s="79">
        <v>87.210000000000008</v>
      </c>
      <c r="F2257" s="70">
        <v>87.21</v>
      </c>
      <c r="G2257" s="320"/>
      <c r="H2257" s="79">
        <v>84.4</v>
      </c>
      <c r="I2257" s="79">
        <v>2.81</v>
      </c>
      <c r="J2257" s="79">
        <v>87.210000000000008</v>
      </c>
      <c r="K2257" s="79">
        <v>0</v>
      </c>
      <c r="L2257" s="70">
        <v>87.210000000000008</v>
      </c>
      <c r="M2257" s="132"/>
      <c r="N2257" s="79">
        <v>84.4</v>
      </c>
      <c r="O2257" s="79">
        <v>2.81</v>
      </c>
      <c r="P2257" s="79">
        <v>87.210000000000008</v>
      </c>
      <c r="Q2257" s="136"/>
      <c r="R2257" s="79">
        <v>84.4</v>
      </c>
      <c r="S2257" s="79">
        <v>2.8</v>
      </c>
      <c r="T2257" s="79">
        <v>87.2</v>
      </c>
      <c r="U2257" s="79">
        <v>0</v>
      </c>
      <c r="V2257" s="189">
        <v>87.2</v>
      </c>
      <c r="X2257" s="79">
        <v>84.4</v>
      </c>
      <c r="Y2257" s="79">
        <v>2.8</v>
      </c>
      <c r="Z2257" s="79">
        <v>87.2</v>
      </c>
      <c r="AA2257" s="255">
        <v>9.9999999999909051E-3</v>
      </c>
      <c r="AC2257" s="254"/>
    </row>
    <row r="2258" spans="1:29" ht="12">
      <c r="A2258" s="67" t="s">
        <v>14873</v>
      </c>
      <c r="B2258" s="65" t="s">
        <v>14874</v>
      </c>
      <c r="C2258" s="71" t="s">
        <v>165</v>
      </c>
      <c r="D2258" s="78">
        <v>1</v>
      </c>
      <c r="E2258" s="79">
        <v>116.92</v>
      </c>
      <c r="F2258" s="70">
        <v>116.92</v>
      </c>
      <c r="G2258" s="320"/>
      <c r="H2258" s="79">
        <v>114.11</v>
      </c>
      <c r="I2258" s="79">
        <v>2.81</v>
      </c>
      <c r="J2258" s="79">
        <v>116.92</v>
      </c>
      <c r="K2258" s="79">
        <v>0</v>
      </c>
      <c r="L2258" s="70">
        <v>116.92</v>
      </c>
      <c r="M2258" s="132"/>
      <c r="N2258" s="79">
        <v>114.11</v>
      </c>
      <c r="O2258" s="79">
        <v>2.81</v>
      </c>
      <c r="P2258" s="79">
        <v>116.92</v>
      </c>
      <c r="Q2258" s="136"/>
      <c r="R2258" s="79">
        <v>114.11</v>
      </c>
      <c r="S2258" s="79">
        <v>2.8</v>
      </c>
      <c r="T2258" s="79">
        <v>116.91</v>
      </c>
      <c r="U2258" s="79">
        <v>0</v>
      </c>
      <c r="V2258" s="189">
        <v>116.91</v>
      </c>
      <c r="X2258" s="79">
        <v>114.11</v>
      </c>
      <c r="Y2258" s="79">
        <v>2.8</v>
      </c>
      <c r="Z2258" s="79">
        <v>116.91</v>
      </c>
      <c r="AA2258" s="255">
        <v>1.0000000000005116E-2</v>
      </c>
      <c r="AC2258" s="254"/>
    </row>
    <row r="2259" spans="1:29" ht="12">
      <c r="A2259" s="67" t="s">
        <v>14875</v>
      </c>
      <c r="B2259" s="65" t="s">
        <v>14876</v>
      </c>
      <c r="C2259" s="71" t="s">
        <v>165</v>
      </c>
      <c r="D2259" s="78">
        <v>1</v>
      </c>
      <c r="E2259" s="79">
        <v>124.45</v>
      </c>
      <c r="F2259" s="70">
        <v>124.45</v>
      </c>
      <c r="G2259" s="320"/>
      <c r="H2259" s="79">
        <v>121.64</v>
      </c>
      <c r="I2259" s="79">
        <v>2.81</v>
      </c>
      <c r="J2259" s="79">
        <v>124.45</v>
      </c>
      <c r="K2259" s="79">
        <v>0</v>
      </c>
      <c r="L2259" s="70">
        <v>124.45</v>
      </c>
      <c r="M2259" s="132"/>
      <c r="N2259" s="79">
        <v>121.64</v>
      </c>
      <c r="O2259" s="79">
        <v>2.81</v>
      </c>
      <c r="P2259" s="79">
        <v>124.45</v>
      </c>
      <c r="Q2259" s="136"/>
      <c r="R2259" s="79">
        <v>121.64</v>
      </c>
      <c r="S2259" s="79">
        <v>2.8</v>
      </c>
      <c r="T2259" s="79">
        <v>124.44</v>
      </c>
      <c r="U2259" s="79">
        <v>0</v>
      </c>
      <c r="V2259" s="189">
        <v>124.44</v>
      </c>
      <c r="X2259" s="79">
        <v>121.64</v>
      </c>
      <c r="Y2259" s="79">
        <v>2.8</v>
      </c>
      <c r="Z2259" s="79">
        <v>124.44</v>
      </c>
      <c r="AA2259" s="255">
        <v>1.0000000000005116E-2</v>
      </c>
      <c r="AC2259" s="254"/>
    </row>
    <row r="2260" spans="1:29" ht="12">
      <c r="A2260" s="67" t="s">
        <v>14877</v>
      </c>
      <c r="B2260" s="65" t="s">
        <v>14878</v>
      </c>
      <c r="C2260" s="71" t="s">
        <v>165</v>
      </c>
      <c r="D2260" s="78">
        <v>1</v>
      </c>
      <c r="E2260" s="79">
        <v>165.08</v>
      </c>
      <c r="F2260" s="70">
        <v>165.08</v>
      </c>
      <c r="G2260" s="320"/>
      <c r="H2260" s="79">
        <v>162.27000000000001</v>
      </c>
      <c r="I2260" s="79">
        <v>2.81</v>
      </c>
      <c r="J2260" s="79">
        <v>165.08</v>
      </c>
      <c r="K2260" s="79">
        <v>0</v>
      </c>
      <c r="L2260" s="70">
        <v>165.08</v>
      </c>
      <c r="M2260" s="132"/>
      <c r="N2260" s="79">
        <v>162.27000000000001</v>
      </c>
      <c r="O2260" s="79">
        <v>2.81</v>
      </c>
      <c r="P2260" s="79">
        <v>165.08</v>
      </c>
      <c r="Q2260" s="136"/>
      <c r="R2260" s="79">
        <v>162.27000000000001</v>
      </c>
      <c r="S2260" s="79">
        <v>2.8</v>
      </c>
      <c r="T2260" s="79">
        <v>165.07000000000002</v>
      </c>
      <c r="U2260" s="79">
        <v>0</v>
      </c>
      <c r="V2260" s="189">
        <v>165.07000000000002</v>
      </c>
      <c r="X2260" s="79">
        <v>162.27000000000001</v>
      </c>
      <c r="Y2260" s="79">
        <v>2.8</v>
      </c>
      <c r="Z2260" s="79">
        <v>165.07</v>
      </c>
      <c r="AA2260" s="255">
        <v>1.0000000000019327E-2</v>
      </c>
      <c r="AC2260" s="254"/>
    </row>
    <row r="2261" spans="1:29" ht="12">
      <c r="A2261" s="489" t="s">
        <v>14879</v>
      </c>
      <c r="B2261" s="490" t="s">
        <v>14880</v>
      </c>
      <c r="C2261" s="491"/>
      <c r="D2261" s="492"/>
      <c r="E2261" s="79"/>
      <c r="F2261" s="63"/>
      <c r="G2261" s="320"/>
      <c r="H2261" s="79"/>
      <c r="I2261" s="79"/>
      <c r="J2261" s="79"/>
      <c r="K2261" s="79"/>
      <c r="L2261" s="70"/>
      <c r="M2261" s="132"/>
      <c r="N2261" s="79"/>
      <c r="O2261" s="79"/>
      <c r="P2261" s="79"/>
      <c r="Q2261" s="136"/>
      <c r="R2261" s="79"/>
      <c r="S2261" s="79"/>
      <c r="T2261" s="79"/>
      <c r="U2261" s="79"/>
      <c r="V2261" s="189"/>
      <c r="X2261" s="79"/>
      <c r="Y2261" s="79"/>
      <c r="Z2261" s="79"/>
      <c r="AA2261" s="255"/>
      <c r="AC2261" s="254"/>
    </row>
    <row r="2262" spans="1:29" ht="12">
      <c r="A2262" s="67" t="s">
        <v>14881</v>
      </c>
      <c r="B2262" s="65" t="s">
        <v>14882</v>
      </c>
      <c r="C2262" s="71" t="s">
        <v>103</v>
      </c>
      <c r="D2262" s="78">
        <v>1</v>
      </c>
      <c r="E2262" s="79">
        <v>19.63</v>
      </c>
      <c r="F2262" s="70">
        <v>19.63</v>
      </c>
      <c r="G2262" s="320"/>
      <c r="H2262" s="79">
        <v>5.66</v>
      </c>
      <c r="I2262" s="79">
        <v>13.969999999999999</v>
      </c>
      <c r="J2262" s="79">
        <v>19.63</v>
      </c>
      <c r="K2262" s="79">
        <v>0</v>
      </c>
      <c r="L2262" s="70">
        <v>19.63</v>
      </c>
      <c r="M2262" s="132"/>
      <c r="N2262" s="79">
        <v>5.66</v>
      </c>
      <c r="O2262" s="79">
        <v>13.969999999999999</v>
      </c>
      <c r="P2262" s="79">
        <v>19.63</v>
      </c>
      <c r="Q2262" s="136"/>
      <c r="R2262" s="79">
        <v>5.66</v>
      </c>
      <c r="S2262" s="79">
        <v>13.96</v>
      </c>
      <c r="T2262" s="79">
        <v>19.62</v>
      </c>
      <c r="U2262" s="79">
        <v>0</v>
      </c>
      <c r="V2262" s="189">
        <v>19.62</v>
      </c>
      <c r="X2262" s="79">
        <v>5.66</v>
      </c>
      <c r="Y2262" s="79">
        <v>13.96</v>
      </c>
      <c r="Z2262" s="79">
        <v>19.62</v>
      </c>
      <c r="AA2262" s="255">
        <v>9.9999999999980105E-3</v>
      </c>
      <c r="AC2262" s="254"/>
    </row>
    <row r="2263" spans="1:29" ht="12">
      <c r="A2263" s="67" t="s">
        <v>14883</v>
      </c>
      <c r="B2263" s="65" t="s">
        <v>14884</v>
      </c>
      <c r="C2263" s="71" t="s">
        <v>103</v>
      </c>
      <c r="D2263" s="78">
        <v>1</v>
      </c>
      <c r="E2263" s="79">
        <v>24.589999999999996</v>
      </c>
      <c r="F2263" s="70">
        <v>24.59</v>
      </c>
      <c r="G2263" s="320"/>
      <c r="H2263" s="79">
        <v>10.62</v>
      </c>
      <c r="I2263" s="79">
        <v>13.969999999999999</v>
      </c>
      <c r="J2263" s="79">
        <v>24.589999999999996</v>
      </c>
      <c r="K2263" s="79">
        <v>0</v>
      </c>
      <c r="L2263" s="70">
        <v>24.589999999999996</v>
      </c>
      <c r="M2263" s="132"/>
      <c r="N2263" s="79">
        <v>10.62</v>
      </c>
      <c r="O2263" s="79">
        <v>13.969999999999999</v>
      </c>
      <c r="P2263" s="79">
        <v>24.589999999999996</v>
      </c>
      <c r="Q2263" s="136"/>
      <c r="R2263" s="79">
        <v>10.62</v>
      </c>
      <c r="S2263" s="79">
        <v>13.96</v>
      </c>
      <c r="T2263" s="79">
        <v>24.58</v>
      </c>
      <c r="U2263" s="79">
        <v>0</v>
      </c>
      <c r="V2263" s="189">
        <v>24.58</v>
      </c>
      <c r="X2263" s="79">
        <v>10.62</v>
      </c>
      <c r="Y2263" s="79">
        <v>13.96</v>
      </c>
      <c r="Z2263" s="79">
        <v>24.58</v>
      </c>
      <c r="AA2263" s="255">
        <v>1.0000000000001563E-2</v>
      </c>
      <c r="AC2263" s="254"/>
    </row>
    <row r="2264" spans="1:29" ht="12">
      <c r="A2264" s="67" t="s">
        <v>14885</v>
      </c>
      <c r="B2264" s="65" t="s">
        <v>14886</v>
      </c>
      <c r="C2264" s="71" t="s">
        <v>103</v>
      </c>
      <c r="D2264" s="78">
        <v>1</v>
      </c>
      <c r="E2264" s="79">
        <v>27.47</v>
      </c>
      <c r="F2264" s="70">
        <v>27.47</v>
      </c>
      <c r="G2264" s="320"/>
      <c r="H2264" s="79">
        <v>13.5</v>
      </c>
      <c r="I2264" s="79">
        <v>13.969999999999999</v>
      </c>
      <c r="J2264" s="79">
        <v>27.47</v>
      </c>
      <c r="K2264" s="79">
        <v>0</v>
      </c>
      <c r="L2264" s="70">
        <v>27.47</v>
      </c>
      <c r="M2264" s="132"/>
      <c r="N2264" s="79">
        <v>13.5</v>
      </c>
      <c r="O2264" s="79">
        <v>13.969999999999999</v>
      </c>
      <c r="P2264" s="79">
        <v>27.47</v>
      </c>
      <c r="Q2264" s="136"/>
      <c r="R2264" s="79">
        <v>13.5</v>
      </c>
      <c r="S2264" s="79">
        <v>13.96</v>
      </c>
      <c r="T2264" s="79">
        <v>27.46</v>
      </c>
      <c r="U2264" s="79">
        <v>0</v>
      </c>
      <c r="V2264" s="189">
        <v>27.46</v>
      </c>
      <c r="X2264" s="79">
        <v>13.5</v>
      </c>
      <c r="Y2264" s="79">
        <v>13.96</v>
      </c>
      <c r="Z2264" s="79">
        <v>27.46</v>
      </c>
      <c r="AA2264" s="255">
        <v>9.9999999999980105E-3</v>
      </c>
      <c r="AC2264" s="254"/>
    </row>
    <row r="2265" spans="1:29" ht="12">
      <c r="A2265" s="67" t="s">
        <v>14887</v>
      </c>
      <c r="B2265" s="65" t="s">
        <v>14888</v>
      </c>
      <c r="C2265" s="71" t="s">
        <v>103</v>
      </c>
      <c r="D2265" s="78">
        <v>1</v>
      </c>
      <c r="E2265" s="79">
        <v>30.25</v>
      </c>
      <c r="F2265" s="70">
        <v>30.25</v>
      </c>
      <c r="G2265" s="320"/>
      <c r="H2265" s="79">
        <v>16.28</v>
      </c>
      <c r="I2265" s="79">
        <v>13.969999999999999</v>
      </c>
      <c r="J2265" s="79">
        <v>30.25</v>
      </c>
      <c r="K2265" s="79">
        <v>0</v>
      </c>
      <c r="L2265" s="70">
        <v>30.25</v>
      </c>
      <c r="M2265" s="132"/>
      <c r="N2265" s="79">
        <v>16.28</v>
      </c>
      <c r="O2265" s="79">
        <v>13.969999999999999</v>
      </c>
      <c r="P2265" s="79">
        <v>30.25</v>
      </c>
      <c r="Q2265" s="136"/>
      <c r="R2265" s="79">
        <v>16.28</v>
      </c>
      <c r="S2265" s="79">
        <v>13.96</v>
      </c>
      <c r="T2265" s="79">
        <v>30.240000000000002</v>
      </c>
      <c r="U2265" s="79">
        <v>0</v>
      </c>
      <c r="V2265" s="189">
        <v>30.240000000000002</v>
      </c>
      <c r="X2265" s="79">
        <v>16.28</v>
      </c>
      <c r="Y2265" s="79">
        <v>13.96</v>
      </c>
      <c r="Z2265" s="79">
        <v>30.24</v>
      </c>
      <c r="AA2265" s="255">
        <v>1.0000000000001563E-2</v>
      </c>
      <c r="AC2265" s="254"/>
    </row>
    <row r="2266" spans="1:29" ht="12">
      <c r="A2266" s="67" t="s">
        <v>14889</v>
      </c>
      <c r="B2266" s="65" t="s">
        <v>14890</v>
      </c>
      <c r="C2266" s="71" t="s">
        <v>103</v>
      </c>
      <c r="D2266" s="78">
        <v>1</v>
      </c>
      <c r="E2266" s="79">
        <v>32.47</v>
      </c>
      <c r="F2266" s="70">
        <v>32.47</v>
      </c>
      <c r="G2266" s="320"/>
      <c r="H2266" s="79">
        <v>18.5</v>
      </c>
      <c r="I2266" s="79">
        <v>13.969999999999999</v>
      </c>
      <c r="J2266" s="79">
        <v>32.47</v>
      </c>
      <c r="K2266" s="79">
        <v>0</v>
      </c>
      <c r="L2266" s="70">
        <v>32.47</v>
      </c>
      <c r="M2266" s="132"/>
      <c r="N2266" s="79">
        <v>18.5</v>
      </c>
      <c r="O2266" s="79">
        <v>13.969999999999999</v>
      </c>
      <c r="P2266" s="79">
        <v>32.47</v>
      </c>
      <c r="Q2266" s="136"/>
      <c r="R2266" s="79">
        <v>18.5</v>
      </c>
      <c r="S2266" s="79">
        <v>13.96</v>
      </c>
      <c r="T2266" s="79">
        <v>32.46</v>
      </c>
      <c r="U2266" s="79">
        <v>0</v>
      </c>
      <c r="V2266" s="189">
        <v>32.46</v>
      </c>
      <c r="X2266" s="79">
        <v>18.5</v>
      </c>
      <c r="Y2266" s="79">
        <v>13.96</v>
      </c>
      <c r="Z2266" s="79">
        <v>32.46</v>
      </c>
      <c r="AA2266" s="255">
        <v>9.9999999999980105E-3</v>
      </c>
      <c r="AC2266" s="254"/>
    </row>
    <row r="2267" spans="1:29" ht="12">
      <c r="A2267" s="67" t="s">
        <v>14891</v>
      </c>
      <c r="B2267" s="65" t="s">
        <v>14892</v>
      </c>
      <c r="C2267" s="71" t="s">
        <v>103</v>
      </c>
      <c r="D2267" s="78">
        <v>1</v>
      </c>
      <c r="E2267" s="79">
        <v>35.97</v>
      </c>
      <c r="F2267" s="70">
        <v>35.97</v>
      </c>
      <c r="G2267" s="320"/>
      <c r="H2267" s="79">
        <v>22</v>
      </c>
      <c r="I2267" s="79">
        <v>13.969999999999999</v>
      </c>
      <c r="J2267" s="79">
        <v>35.97</v>
      </c>
      <c r="K2267" s="79">
        <v>0</v>
      </c>
      <c r="L2267" s="70">
        <v>35.97</v>
      </c>
      <c r="M2267" s="132"/>
      <c r="N2267" s="79">
        <v>22</v>
      </c>
      <c r="O2267" s="79">
        <v>13.969999999999999</v>
      </c>
      <c r="P2267" s="79">
        <v>35.97</v>
      </c>
      <c r="Q2267" s="136"/>
      <c r="R2267" s="79">
        <v>22</v>
      </c>
      <c r="S2267" s="79">
        <v>13.96</v>
      </c>
      <c r="T2267" s="79">
        <v>35.96</v>
      </c>
      <c r="U2267" s="79">
        <v>0</v>
      </c>
      <c r="V2267" s="189">
        <v>35.96</v>
      </c>
      <c r="X2267" s="79">
        <v>22</v>
      </c>
      <c r="Y2267" s="79">
        <v>13.96</v>
      </c>
      <c r="Z2267" s="79">
        <v>35.96</v>
      </c>
      <c r="AA2267" s="255">
        <v>9.9999999999980105E-3</v>
      </c>
      <c r="AC2267" s="254"/>
    </row>
    <row r="2268" spans="1:29" ht="12">
      <c r="A2268" s="67" t="s">
        <v>14893</v>
      </c>
      <c r="B2268" s="65" t="s">
        <v>14894</v>
      </c>
      <c r="C2268" s="71" t="s">
        <v>103</v>
      </c>
      <c r="D2268" s="78">
        <v>1</v>
      </c>
      <c r="E2268" s="79">
        <v>28.97</v>
      </c>
      <c r="F2268" s="70">
        <v>28.97</v>
      </c>
      <c r="G2268" s="320"/>
      <c r="H2268" s="79">
        <v>15</v>
      </c>
      <c r="I2268" s="79">
        <v>13.969999999999999</v>
      </c>
      <c r="J2268" s="79">
        <v>28.97</v>
      </c>
      <c r="K2268" s="79">
        <v>0</v>
      </c>
      <c r="L2268" s="70">
        <v>28.97</v>
      </c>
      <c r="M2268" s="132"/>
      <c r="N2268" s="79">
        <v>15</v>
      </c>
      <c r="O2268" s="79">
        <v>13.969999999999999</v>
      </c>
      <c r="P2268" s="79">
        <v>28.97</v>
      </c>
      <c r="Q2268" s="136"/>
      <c r="R2268" s="79">
        <v>15</v>
      </c>
      <c r="S2268" s="79">
        <v>13.96</v>
      </c>
      <c r="T2268" s="79">
        <v>28.96</v>
      </c>
      <c r="U2268" s="79">
        <v>0</v>
      </c>
      <c r="V2268" s="189">
        <v>28.96</v>
      </c>
      <c r="X2268" s="79">
        <v>15</v>
      </c>
      <c r="Y2268" s="79">
        <v>13.96</v>
      </c>
      <c r="Z2268" s="79">
        <v>28.96</v>
      </c>
      <c r="AA2268" s="255">
        <v>9.9999999999980105E-3</v>
      </c>
      <c r="AC2268" s="254"/>
    </row>
    <row r="2269" spans="1:29" ht="12">
      <c r="A2269" s="67" t="s">
        <v>14895</v>
      </c>
      <c r="B2269" s="65" t="s">
        <v>14896</v>
      </c>
      <c r="C2269" s="71" t="s">
        <v>103</v>
      </c>
      <c r="D2269" s="78">
        <v>1</v>
      </c>
      <c r="E2269" s="79">
        <v>31.06</v>
      </c>
      <c r="F2269" s="70">
        <v>31.06</v>
      </c>
      <c r="G2269" s="320"/>
      <c r="H2269" s="79">
        <v>17.09</v>
      </c>
      <c r="I2269" s="79">
        <v>13.969999999999999</v>
      </c>
      <c r="J2269" s="79">
        <v>31.06</v>
      </c>
      <c r="K2269" s="79">
        <v>0</v>
      </c>
      <c r="L2269" s="70">
        <v>31.06</v>
      </c>
      <c r="M2269" s="132"/>
      <c r="N2269" s="79">
        <v>17.09</v>
      </c>
      <c r="O2269" s="79">
        <v>13.969999999999999</v>
      </c>
      <c r="P2269" s="79">
        <v>31.06</v>
      </c>
      <c r="Q2269" s="136"/>
      <c r="R2269" s="79">
        <v>17.09</v>
      </c>
      <c r="S2269" s="79">
        <v>13.96</v>
      </c>
      <c r="T2269" s="79">
        <v>31.05</v>
      </c>
      <c r="U2269" s="79">
        <v>0</v>
      </c>
      <c r="V2269" s="189">
        <v>31.05</v>
      </c>
      <c r="X2269" s="79">
        <v>17.09</v>
      </c>
      <c r="Y2269" s="79">
        <v>13.96</v>
      </c>
      <c r="Z2269" s="79">
        <v>31.05</v>
      </c>
      <c r="AA2269" s="255">
        <v>9.9999999999980105E-3</v>
      </c>
      <c r="AC2269" s="254"/>
    </row>
    <row r="2270" spans="1:29" ht="12">
      <c r="A2270" s="67" t="s">
        <v>14897</v>
      </c>
      <c r="B2270" s="65" t="s">
        <v>14898</v>
      </c>
      <c r="C2270" s="71" t="s">
        <v>103</v>
      </c>
      <c r="D2270" s="78">
        <v>1</v>
      </c>
      <c r="E2270" s="79">
        <v>34.93</v>
      </c>
      <c r="F2270" s="70">
        <v>34.93</v>
      </c>
      <c r="G2270" s="320"/>
      <c r="H2270" s="79">
        <v>20.96</v>
      </c>
      <c r="I2270" s="79">
        <v>13.969999999999999</v>
      </c>
      <c r="J2270" s="79">
        <v>34.93</v>
      </c>
      <c r="K2270" s="79">
        <v>0</v>
      </c>
      <c r="L2270" s="70">
        <v>34.93</v>
      </c>
      <c r="M2270" s="132"/>
      <c r="N2270" s="79">
        <v>20.96</v>
      </c>
      <c r="O2270" s="79">
        <v>13.969999999999999</v>
      </c>
      <c r="P2270" s="79">
        <v>34.93</v>
      </c>
      <c r="Q2270" s="136"/>
      <c r="R2270" s="79">
        <v>20.96</v>
      </c>
      <c r="S2270" s="79">
        <v>13.96</v>
      </c>
      <c r="T2270" s="79">
        <v>34.92</v>
      </c>
      <c r="U2270" s="79">
        <v>0</v>
      </c>
      <c r="V2270" s="189">
        <v>34.92</v>
      </c>
      <c r="X2270" s="79">
        <v>20.96</v>
      </c>
      <c r="Y2270" s="79">
        <v>13.96</v>
      </c>
      <c r="Z2270" s="79">
        <v>34.92</v>
      </c>
      <c r="AA2270" s="255">
        <v>9.9999999999980105E-3</v>
      </c>
      <c r="AC2270" s="254"/>
    </row>
    <row r="2271" spans="1:29" ht="12">
      <c r="A2271" s="67" t="s">
        <v>14899</v>
      </c>
      <c r="B2271" s="65" t="s">
        <v>14900</v>
      </c>
      <c r="C2271" s="71" t="s">
        <v>103</v>
      </c>
      <c r="D2271" s="78">
        <v>1</v>
      </c>
      <c r="E2271" s="79">
        <v>35.68</v>
      </c>
      <c r="F2271" s="70">
        <v>35.68</v>
      </c>
      <c r="G2271" s="320"/>
      <c r="H2271" s="79">
        <v>21.71</v>
      </c>
      <c r="I2271" s="79">
        <v>13.969999999999999</v>
      </c>
      <c r="J2271" s="79">
        <v>35.68</v>
      </c>
      <c r="K2271" s="79">
        <v>0</v>
      </c>
      <c r="L2271" s="70">
        <v>35.68</v>
      </c>
      <c r="M2271" s="132"/>
      <c r="N2271" s="79">
        <v>21.71</v>
      </c>
      <c r="O2271" s="79">
        <v>13.969999999999999</v>
      </c>
      <c r="P2271" s="79">
        <v>35.68</v>
      </c>
      <c r="Q2271" s="136"/>
      <c r="R2271" s="79">
        <v>21.71</v>
      </c>
      <c r="S2271" s="79">
        <v>13.96</v>
      </c>
      <c r="T2271" s="79">
        <v>35.67</v>
      </c>
      <c r="U2271" s="79">
        <v>0</v>
      </c>
      <c r="V2271" s="189">
        <v>35.67</v>
      </c>
      <c r="X2271" s="79">
        <v>21.71</v>
      </c>
      <c r="Y2271" s="79">
        <v>13.96</v>
      </c>
      <c r="Z2271" s="79">
        <v>35.67</v>
      </c>
      <c r="AA2271" s="255">
        <v>9.9999999999980105E-3</v>
      </c>
      <c r="AC2271" s="254"/>
    </row>
    <row r="2272" spans="1:29" ht="12">
      <c r="A2272" s="67" t="s">
        <v>14901</v>
      </c>
      <c r="B2272" s="65" t="s">
        <v>14902</v>
      </c>
      <c r="C2272" s="71" t="s">
        <v>103</v>
      </c>
      <c r="D2272" s="78">
        <v>1</v>
      </c>
      <c r="E2272" s="79">
        <v>39.69</v>
      </c>
      <c r="F2272" s="70">
        <v>39.69</v>
      </c>
      <c r="G2272" s="320"/>
      <c r="H2272" s="79">
        <v>25.72</v>
      </c>
      <c r="I2272" s="79">
        <v>13.969999999999999</v>
      </c>
      <c r="J2272" s="79">
        <v>39.69</v>
      </c>
      <c r="K2272" s="79">
        <v>0</v>
      </c>
      <c r="L2272" s="70">
        <v>39.69</v>
      </c>
      <c r="M2272" s="132"/>
      <c r="N2272" s="79">
        <v>25.72</v>
      </c>
      <c r="O2272" s="79">
        <v>13.969999999999999</v>
      </c>
      <c r="P2272" s="79">
        <v>39.69</v>
      </c>
      <c r="Q2272" s="136"/>
      <c r="R2272" s="79">
        <v>25.72</v>
      </c>
      <c r="S2272" s="79">
        <v>13.96</v>
      </c>
      <c r="T2272" s="79">
        <v>39.68</v>
      </c>
      <c r="U2272" s="79">
        <v>0</v>
      </c>
      <c r="V2272" s="189">
        <v>39.68</v>
      </c>
      <c r="X2272" s="79">
        <v>25.72</v>
      </c>
      <c r="Y2272" s="79">
        <v>13.96</v>
      </c>
      <c r="Z2272" s="79">
        <v>39.68</v>
      </c>
      <c r="AA2272" s="255">
        <v>9.9999999999980105E-3</v>
      </c>
      <c r="AC2272" s="254"/>
    </row>
    <row r="2273" spans="1:31" ht="12">
      <c r="A2273" s="67" t="s">
        <v>14903</v>
      </c>
      <c r="B2273" s="65" t="s">
        <v>14904</v>
      </c>
      <c r="C2273" s="71" t="s">
        <v>103</v>
      </c>
      <c r="D2273" s="78">
        <v>1</v>
      </c>
      <c r="E2273" s="79">
        <v>44.17</v>
      </c>
      <c r="F2273" s="70">
        <v>44.17</v>
      </c>
      <c r="G2273" s="320"/>
      <c r="H2273" s="79">
        <v>30.2</v>
      </c>
      <c r="I2273" s="79">
        <v>13.969999999999999</v>
      </c>
      <c r="J2273" s="79">
        <v>44.17</v>
      </c>
      <c r="K2273" s="79">
        <v>0</v>
      </c>
      <c r="L2273" s="70">
        <v>44.17</v>
      </c>
      <c r="M2273" s="132"/>
      <c r="N2273" s="79">
        <v>30.2</v>
      </c>
      <c r="O2273" s="79">
        <v>13.969999999999999</v>
      </c>
      <c r="P2273" s="79">
        <v>44.17</v>
      </c>
      <c r="Q2273" s="136"/>
      <c r="R2273" s="79">
        <v>30.2</v>
      </c>
      <c r="S2273" s="79">
        <v>13.96</v>
      </c>
      <c r="T2273" s="79">
        <v>44.16</v>
      </c>
      <c r="U2273" s="79">
        <v>0</v>
      </c>
      <c r="V2273" s="189">
        <v>44.16</v>
      </c>
      <c r="X2273" s="79">
        <v>30.2</v>
      </c>
      <c r="Y2273" s="79">
        <v>13.96</v>
      </c>
      <c r="Z2273" s="79">
        <v>44.16</v>
      </c>
      <c r="AA2273" s="255">
        <v>1.0000000000005116E-2</v>
      </c>
      <c r="AC2273" s="254"/>
    </row>
    <row r="2274" spans="1:31" ht="12">
      <c r="A2274" s="67" t="s">
        <v>14905</v>
      </c>
      <c r="B2274" s="65" t="s">
        <v>14906</v>
      </c>
      <c r="C2274" s="71" t="s">
        <v>103</v>
      </c>
      <c r="D2274" s="78">
        <v>1</v>
      </c>
      <c r="E2274" s="79">
        <v>29.229999999999997</v>
      </c>
      <c r="F2274" s="70">
        <v>29.23</v>
      </c>
      <c r="G2274" s="320"/>
      <c r="H2274" s="79">
        <v>15.26</v>
      </c>
      <c r="I2274" s="79">
        <v>13.969999999999999</v>
      </c>
      <c r="J2274" s="79">
        <v>29.229999999999997</v>
      </c>
      <c r="K2274" s="79">
        <v>0</v>
      </c>
      <c r="L2274" s="70">
        <v>29.229999999999997</v>
      </c>
      <c r="M2274" s="132"/>
      <c r="N2274" s="79">
        <v>15.26</v>
      </c>
      <c r="O2274" s="79">
        <v>13.969999999999999</v>
      </c>
      <c r="P2274" s="79">
        <v>29.229999999999997</v>
      </c>
      <c r="Q2274" s="136"/>
      <c r="R2274" s="79">
        <v>15.26</v>
      </c>
      <c r="S2274" s="79">
        <v>13.96</v>
      </c>
      <c r="T2274" s="79">
        <v>29.22</v>
      </c>
      <c r="U2274" s="79">
        <v>0</v>
      </c>
      <c r="V2274" s="189">
        <v>29.22</v>
      </c>
      <c r="X2274" s="79">
        <v>15.26</v>
      </c>
      <c r="Y2274" s="79">
        <v>13.96</v>
      </c>
      <c r="Z2274" s="79">
        <v>29.22</v>
      </c>
      <c r="AA2274" s="255">
        <v>1.0000000000001563E-2</v>
      </c>
      <c r="AC2274" s="254"/>
    </row>
    <row r="2275" spans="1:31" ht="12">
      <c r="A2275" s="67" t="s">
        <v>14907</v>
      </c>
      <c r="B2275" s="65" t="s">
        <v>14908</v>
      </c>
      <c r="C2275" s="71" t="s">
        <v>103</v>
      </c>
      <c r="D2275" s="78">
        <v>1</v>
      </c>
      <c r="E2275" s="79">
        <v>31.25</v>
      </c>
      <c r="F2275" s="70">
        <v>31.25</v>
      </c>
      <c r="G2275" s="320"/>
      <c r="H2275" s="79">
        <v>17.28</v>
      </c>
      <c r="I2275" s="79">
        <v>13.969999999999999</v>
      </c>
      <c r="J2275" s="79">
        <v>31.25</v>
      </c>
      <c r="K2275" s="79">
        <v>0</v>
      </c>
      <c r="L2275" s="70">
        <v>31.25</v>
      </c>
      <c r="M2275" s="132"/>
      <c r="N2275" s="79">
        <v>17.28</v>
      </c>
      <c r="O2275" s="79">
        <v>13.969999999999999</v>
      </c>
      <c r="P2275" s="79">
        <v>31.25</v>
      </c>
      <c r="Q2275" s="136"/>
      <c r="R2275" s="79">
        <v>17.28</v>
      </c>
      <c r="S2275" s="79">
        <v>13.96</v>
      </c>
      <c r="T2275" s="79">
        <v>31.240000000000002</v>
      </c>
      <c r="U2275" s="79">
        <v>0</v>
      </c>
      <c r="V2275" s="189">
        <v>31.240000000000002</v>
      </c>
      <c r="X2275" s="79">
        <v>17.28</v>
      </c>
      <c r="Y2275" s="79">
        <v>13.96</v>
      </c>
      <c r="Z2275" s="79">
        <v>31.24</v>
      </c>
      <c r="AA2275" s="255">
        <v>1.0000000000001563E-2</v>
      </c>
      <c r="AC2275" s="254"/>
    </row>
    <row r="2276" spans="1:31" ht="12">
      <c r="A2276" s="67" t="s">
        <v>14909</v>
      </c>
      <c r="B2276" s="65" t="s">
        <v>14910</v>
      </c>
      <c r="C2276" s="71" t="s">
        <v>103</v>
      </c>
      <c r="D2276" s="78">
        <v>1</v>
      </c>
      <c r="E2276" s="79">
        <v>35.769999999999996</v>
      </c>
      <c r="F2276" s="70">
        <v>35.770000000000003</v>
      </c>
      <c r="G2276" s="320"/>
      <c r="H2276" s="79">
        <v>21.8</v>
      </c>
      <c r="I2276" s="79">
        <v>13.969999999999999</v>
      </c>
      <c r="J2276" s="79">
        <v>35.769999999999996</v>
      </c>
      <c r="K2276" s="79">
        <v>0</v>
      </c>
      <c r="L2276" s="70">
        <v>35.769999999999996</v>
      </c>
      <c r="M2276" s="132"/>
      <c r="N2276" s="79">
        <v>21.8</v>
      </c>
      <c r="O2276" s="79">
        <v>13.969999999999999</v>
      </c>
      <c r="P2276" s="79">
        <v>35.769999999999996</v>
      </c>
      <c r="Q2276" s="136"/>
      <c r="R2276" s="79">
        <v>21.8</v>
      </c>
      <c r="S2276" s="79">
        <v>13.96</v>
      </c>
      <c r="T2276" s="79">
        <v>35.760000000000005</v>
      </c>
      <c r="U2276" s="79">
        <v>0</v>
      </c>
      <c r="V2276" s="189">
        <v>35.760000000000005</v>
      </c>
      <c r="X2276" s="79">
        <v>21.8</v>
      </c>
      <c r="Y2276" s="79">
        <v>13.96</v>
      </c>
      <c r="Z2276" s="79">
        <v>35.76</v>
      </c>
      <c r="AA2276" s="255">
        <v>1.0000000000005116E-2</v>
      </c>
      <c r="AC2276" s="254"/>
    </row>
    <row r="2277" spans="1:31" ht="12">
      <c r="A2277" s="67" t="s">
        <v>14911</v>
      </c>
      <c r="B2277" s="65" t="s">
        <v>14912</v>
      </c>
      <c r="C2277" s="71" t="s">
        <v>103</v>
      </c>
      <c r="D2277" s="78">
        <v>1</v>
      </c>
      <c r="E2277" s="79">
        <v>41</v>
      </c>
      <c r="F2277" s="70">
        <v>41</v>
      </c>
      <c r="G2277" s="320"/>
      <c r="H2277" s="79">
        <v>27.03</v>
      </c>
      <c r="I2277" s="79">
        <v>13.969999999999999</v>
      </c>
      <c r="J2277" s="79">
        <v>41</v>
      </c>
      <c r="K2277" s="79">
        <v>0</v>
      </c>
      <c r="L2277" s="70">
        <v>41</v>
      </c>
      <c r="M2277" s="132"/>
      <c r="N2277" s="79">
        <v>27.03</v>
      </c>
      <c r="O2277" s="79">
        <v>13.969999999999999</v>
      </c>
      <c r="P2277" s="79">
        <v>41</v>
      </c>
      <c r="Q2277" s="136"/>
      <c r="R2277" s="79">
        <v>27.03</v>
      </c>
      <c r="S2277" s="79">
        <v>13.96</v>
      </c>
      <c r="T2277" s="79">
        <v>40.99</v>
      </c>
      <c r="U2277" s="79">
        <v>0</v>
      </c>
      <c r="V2277" s="189">
        <v>40.99</v>
      </c>
      <c r="X2277" s="79">
        <v>27.03</v>
      </c>
      <c r="Y2277" s="79">
        <v>13.96</v>
      </c>
      <c r="Z2277" s="79">
        <v>40.99</v>
      </c>
      <c r="AA2277" s="255">
        <v>9.9999999999980105E-3</v>
      </c>
      <c r="AC2277" s="254"/>
    </row>
    <row r="2278" spans="1:31" ht="12">
      <c r="A2278" s="67" t="s">
        <v>14913</v>
      </c>
      <c r="B2278" s="65" t="s">
        <v>14914</v>
      </c>
      <c r="C2278" s="71" t="s">
        <v>103</v>
      </c>
      <c r="D2278" s="78">
        <v>1</v>
      </c>
      <c r="E2278" s="79">
        <v>45.22</v>
      </c>
      <c r="F2278" s="70">
        <v>45.22</v>
      </c>
      <c r="G2278" s="320"/>
      <c r="H2278" s="79">
        <v>25.68</v>
      </c>
      <c r="I2278" s="79">
        <v>19.54</v>
      </c>
      <c r="J2278" s="79">
        <v>45.22</v>
      </c>
      <c r="K2278" s="79">
        <v>0</v>
      </c>
      <c r="L2278" s="70">
        <v>45.22</v>
      </c>
      <c r="M2278" s="132"/>
      <c r="N2278" s="79">
        <v>25.68</v>
      </c>
      <c r="O2278" s="79">
        <v>19.54</v>
      </c>
      <c r="P2278" s="79">
        <v>45.22</v>
      </c>
      <c r="Q2278" s="136"/>
      <c r="R2278" s="79">
        <v>25.68</v>
      </c>
      <c r="S2278" s="79">
        <v>19.54</v>
      </c>
      <c r="T2278" s="79">
        <v>45.22</v>
      </c>
      <c r="U2278" s="79">
        <v>0</v>
      </c>
      <c r="V2278" s="189">
        <v>45.22</v>
      </c>
      <c r="X2278" s="79">
        <v>25.68</v>
      </c>
      <c r="Y2278" s="79">
        <v>19.54</v>
      </c>
      <c r="Z2278" s="79">
        <v>45.22</v>
      </c>
      <c r="AA2278" s="255">
        <v>0</v>
      </c>
      <c r="AC2278" s="254"/>
    </row>
    <row r="2279" spans="1:31" ht="12">
      <c r="A2279" s="67" t="s">
        <v>14915</v>
      </c>
      <c r="B2279" s="65" t="s">
        <v>14916</v>
      </c>
      <c r="C2279" s="71" t="s">
        <v>103</v>
      </c>
      <c r="D2279" s="78">
        <v>1</v>
      </c>
      <c r="E2279" s="79">
        <v>53.949999999999996</v>
      </c>
      <c r="F2279" s="70">
        <v>53.95</v>
      </c>
      <c r="G2279" s="320"/>
      <c r="H2279" s="79">
        <v>34.409999999999997</v>
      </c>
      <c r="I2279" s="79">
        <v>19.54</v>
      </c>
      <c r="J2279" s="79">
        <v>53.949999999999996</v>
      </c>
      <c r="K2279" s="79">
        <v>0</v>
      </c>
      <c r="L2279" s="70">
        <v>53.949999999999996</v>
      </c>
      <c r="M2279" s="132"/>
      <c r="N2279" s="79">
        <v>34.409999999999997</v>
      </c>
      <c r="O2279" s="79">
        <v>19.54</v>
      </c>
      <c r="P2279" s="79">
        <v>53.949999999999996</v>
      </c>
      <c r="Q2279" s="136"/>
      <c r="R2279" s="79">
        <v>34.409999999999997</v>
      </c>
      <c r="S2279" s="79">
        <v>19.54</v>
      </c>
      <c r="T2279" s="79">
        <v>53.949999999999996</v>
      </c>
      <c r="U2279" s="79">
        <v>0</v>
      </c>
      <c r="V2279" s="189">
        <v>53.949999999999996</v>
      </c>
      <c r="X2279" s="79">
        <v>34.409999999999997</v>
      </c>
      <c r="Y2279" s="79">
        <v>19.54</v>
      </c>
      <c r="Z2279" s="79">
        <v>53.95</v>
      </c>
      <c r="AA2279" s="255">
        <v>0</v>
      </c>
      <c r="AC2279" s="254"/>
    </row>
    <row r="2280" spans="1:31" ht="12">
      <c r="A2280" s="67" t="s">
        <v>14917</v>
      </c>
      <c r="B2280" s="65" t="s">
        <v>14918</v>
      </c>
      <c r="C2280" s="71" t="s">
        <v>103</v>
      </c>
      <c r="D2280" s="78">
        <v>1</v>
      </c>
      <c r="E2280" s="79">
        <v>66.86</v>
      </c>
      <c r="F2280" s="70">
        <v>66.86</v>
      </c>
      <c r="G2280" s="320"/>
      <c r="H2280" s="79">
        <v>47.32</v>
      </c>
      <c r="I2280" s="79">
        <v>19.54</v>
      </c>
      <c r="J2280" s="79">
        <v>66.86</v>
      </c>
      <c r="K2280" s="79">
        <v>0</v>
      </c>
      <c r="L2280" s="70">
        <v>66.86</v>
      </c>
      <c r="M2280" s="132"/>
      <c r="N2280" s="79">
        <v>47.32</v>
      </c>
      <c r="O2280" s="79">
        <v>19.54</v>
      </c>
      <c r="P2280" s="79">
        <v>66.86</v>
      </c>
      <c r="Q2280" s="136"/>
      <c r="R2280" s="79">
        <v>47.32</v>
      </c>
      <c r="S2280" s="79">
        <v>19.54</v>
      </c>
      <c r="T2280" s="79">
        <v>66.86</v>
      </c>
      <c r="U2280" s="79">
        <v>0</v>
      </c>
      <c r="V2280" s="189">
        <v>66.86</v>
      </c>
      <c r="X2280" s="79">
        <v>47.32</v>
      </c>
      <c r="Y2280" s="79">
        <v>19.54</v>
      </c>
      <c r="Z2280" s="79">
        <v>66.86</v>
      </c>
      <c r="AA2280" s="255">
        <v>0</v>
      </c>
      <c r="AC2280" s="254"/>
      <c r="AD2280" s="61"/>
      <c r="AE2280" s="61"/>
    </row>
    <row r="2281" spans="1:31" ht="12">
      <c r="A2281" s="467" t="s">
        <v>14919</v>
      </c>
      <c r="B2281" s="490" t="s">
        <v>14920</v>
      </c>
      <c r="C2281" s="491"/>
      <c r="D2281" s="492"/>
      <c r="E2281" s="79"/>
      <c r="F2281" s="63"/>
      <c r="G2281" s="320"/>
      <c r="H2281" s="79"/>
      <c r="I2281" s="79"/>
      <c r="J2281" s="79"/>
      <c r="K2281" s="79"/>
      <c r="L2281" s="70"/>
      <c r="M2281" s="132"/>
      <c r="N2281" s="79"/>
      <c r="O2281" s="79"/>
      <c r="P2281" s="79"/>
      <c r="Q2281" s="136"/>
      <c r="R2281" s="79"/>
      <c r="S2281" s="79"/>
      <c r="T2281" s="79"/>
      <c r="U2281" s="79"/>
      <c r="V2281" s="189"/>
      <c r="X2281" s="79"/>
      <c r="Y2281" s="79"/>
      <c r="Z2281" s="79"/>
      <c r="AA2281" s="255"/>
      <c r="AC2281" s="254"/>
      <c r="AD2281" s="61"/>
      <c r="AE2281" s="61"/>
    </row>
    <row r="2282" spans="1:31" s="61" customFormat="1" ht="12">
      <c r="A2282" s="467" t="s">
        <v>14921</v>
      </c>
      <c r="B2282" s="490" t="s">
        <v>14922</v>
      </c>
      <c r="C2282" s="491"/>
      <c r="D2282" s="492"/>
      <c r="E2282" s="79"/>
      <c r="F2282" s="63"/>
      <c r="G2282" s="320"/>
      <c r="H2282" s="79"/>
      <c r="I2282" s="79"/>
      <c r="J2282" s="79"/>
      <c r="K2282" s="79"/>
      <c r="L2282" s="70"/>
      <c r="M2282" s="132"/>
      <c r="N2282" s="79"/>
      <c r="O2282" s="79"/>
      <c r="P2282" s="79"/>
      <c r="Q2282" s="136"/>
      <c r="R2282" s="79"/>
      <c r="S2282" s="79"/>
      <c r="T2282" s="79"/>
      <c r="U2282" s="79"/>
      <c r="V2282" s="189"/>
      <c r="X2282" s="79"/>
      <c r="Y2282" s="79"/>
      <c r="Z2282" s="79"/>
      <c r="AA2282" s="255"/>
      <c r="AC2282" s="254"/>
    </row>
    <row r="2283" spans="1:31" s="61" customFormat="1" ht="12">
      <c r="A2283" s="79" t="s">
        <v>14923</v>
      </c>
      <c r="B2283" s="65" t="s">
        <v>14924</v>
      </c>
      <c r="C2283" s="108" t="s">
        <v>165</v>
      </c>
      <c r="D2283" s="78">
        <v>1</v>
      </c>
      <c r="E2283" s="79">
        <v>3.97</v>
      </c>
      <c r="F2283" s="70">
        <v>3.97</v>
      </c>
      <c r="G2283" s="320"/>
      <c r="H2283" s="79">
        <v>1.73</v>
      </c>
      <c r="I2283" s="79">
        <v>2.2400000000000002</v>
      </c>
      <c r="J2283" s="79">
        <v>3.97</v>
      </c>
      <c r="K2283" s="79">
        <v>0</v>
      </c>
      <c r="L2283" s="70">
        <v>3.97</v>
      </c>
      <c r="M2283" s="132"/>
      <c r="N2283" s="79">
        <v>1.73</v>
      </c>
      <c r="O2283" s="79">
        <v>2.2400000000000002</v>
      </c>
      <c r="P2283" s="79">
        <v>3.97</v>
      </c>
      <c r="Q2283" s="136"/>
      <c r="R2283" s="79">
        <v>1.73</v>
      </c>
      <c r="S2283" s="79">
        <v>2.23</v>
      </c>
      <c r="T2283" s="79">
        <v>3.96</v>
      </c>
      <c r="U2283" s="79">
        <v>0</v>
      </c>
      <c r="V2283" s="189">
        <v>3.96</v>
      </c>
      <c r="X2283" s="79">
        <v>1.73</v>
      </c>
      <c r="Y2283" s="79">
        <v>2.23</v>
      </c>
      <c r="Z2283" s="79">
        <v>3.96</v>
      </c>
      <c r="AA2283" s="255">
        <v>1.0000000000000231E-2</v>
      </c>
      <c r="AC2283" s="254"/>
    </row>
    <row r="2284" spans="1:31" s="61" customFormat="1" ht="12">
      <c r="A2284" s="67" t="s">
        <v>14925</v>
      </c>
      <c r="B2284" s="65" t="s">
        <v>14926</v>
      </c>
      <c r="C2284" s="108" t="s">
        <v>165</v>
      </c>
      <c r="D2284" s="78">
        <v>1</v>
      </c>
      <c r="E2284" s="79">
        <v>4.87</v>
      </c>
      <c r="F2284" s="70">
        <v>4.87</v>
      </c>
      <c r="G2284" s="320"/>
      <c r="H2284" s="79">
        <v>2.63</v>
      </c>
      <c r="I2284" s="79">
        <v>2.2400000000000002</v>
      </c>
      <c r="J2284" s="79">
        <v>4.87</v>
      </c>
      <c r="K2284" s="79">
        <v>0</v>
      </c>
      <c r="L2284" s="70">
        <v>4.87</v>
      </c>
      <c r="M2284" s="132"/>
      <c r="N2284" s="79">
        <v>2.63</v>
      </c>
      <c r="O2284" s="79">
        <v>2.2400000000000002</v>
      </c>
      <c r="P2284" s="79">
        <v>4.87</v>
      </c>
      <c r="Q2284" s="136"/>
      <c r="R2284" s="79">
        <v>2.63</v>
      </c>
      <c r="S2284" s="79">
        <v>2.23</v>
      </c>
      <c r="T2284" s="79">
        <v>4.8599999999999994</v>
      </c>
      <c r="U2284" s="79">
        <v>0</v>
      </c>
      <c r="V2284" s="189">
        <v>4.8599999999999994</v>
      </c>
      <c r="X2284" s="79">
        <v>2.63</v>
      </c>
      <c r="Y2284" s="79">
        <v>2.23</v>
      </c>
      <c r="Z2284" s="79">
        <v>4.8600000000000003</v>
      </c>
      <c r="AA2284" s="255">
        <v>9.9999999999997868E-3</v>
      </c>
      <c r="AC2284" s="254"/>
      <c r="AD2284" s="236"/>
      <c r="AE2284" s="236"/>
    </row>
    <row r="2285" spans="1:31" s="61" customFormat="1" ht="12">
      <c r="A2285" s="67" t="s">
        <v>14927</v>
      </c>
      <c r="B2285" s="65" t="s">
        <v>14928</v>
      </c>
      <c r="C2285" s="108" t="s">
        <v>165</v>
      </c>
      <c r="D2285" s="78">
        <v>1</v>
      </c>
      <c r="E2285" s="79">
        <v>7.58</v>
      </c>
      <c r="F2285" s="70">
        <v>7.58</v>
      </c>
      <c r="G2285" s="320"/>
      <c r="H2285" s="79">
        <v>4.2300000000000004</v>
      </c>
      <c r="I2285" s="79">
        <v>3.3499999999999996</v>
      </c>
      <c r="J2285" s="79">
        <v>7.58</v>
      </c>
      <c r="K2285" s="79">
        <v>0</v>
      </c>
      <c r="L2285" s="70">
        <v>7.58</v>
      </c>
      <c r="M2285" s="132"/>
      <c r="N2285" s="79">
        <v>4.2300000000000004</v>
      </c>
      <c r="O2285" s="79">
        <v>3.3499999999999996</v>
      </c>
      <c r="P2285" s="79">
        <v>7.58</v>
      </c>
      <c r="Q2285" s="136"/>
      <c r="R2285" s="79">
        <v>4.2300000000000004</v>
      </c>
      <c r="S2285" s="79">
        <v>3.35</v>
      </c>
      <c r="T2285" s="79">
        <v>7.58</v>
      </c>
      <c r="U2285" s="79">
        <v>0</v>
      </c>
      <c r="V2285" s="189">
        <v>7.58</v>
      </c>
      <c r="X2285" s="79">
        <v>4.2300000000000004</v>
      </c>
      <c r="Y2285" s="79">
        <v>3.35</v>
      </c>
      <c r="Z2285" s="79">
        <v>7.58</v>
      </c>
      <c r="AA2285" s="255">
        <v>0</v>
      </c>
      <c r="AC2285" s="254"/>
      <c r="AD2285" s="236"/>
      <c r="AE2285" s="236"/>
    </row>
    <row r="2286" spans="1:31" ht="12">
      <c r="A2286" s="67" t="s">
        <v>14929</v>
      </c>
      <c r="B2286" s="65" t="s">
        <v>14930</v>
      </c>
      <c r="C2286" s="108" t="s">
        <v>165</v>
      </c>
      <c r="D2286" s="78">
        <v>1</v>
      </c>
      <c r="E2286" s="79">
        <v>10.25</v>
      </c>
      <c r="F2286" s="70">
        <v>10.25</v>
      </c>
      <c r="G2286" s="320"/>
      <c r="H2286" s="79">
        <v>6.32</v>
      </c>
      <c r="I2286" s="79">
        <v>3.9299999999999997</v>
      </c>
      <c r="J2286" s="79">
        <v>10.25</v>
      </c>
      <c r="K2286" s="79">
        <v>0</v>
      </c>
      <c r="L2286" s="70">
        <v>10.25</v>
      </c>
      <c r="M2286" s="132"/>
      <c r="N2286" s="79">
        <v>6.32</v>
      </c>
      <c r="O2286" s="79">
        <v>3.9299999999999997</v>
      </c>
      <c r="P2286" s="79">
        <v>10.25</v>
      </c>
      <c r="Q2286" s="136"/>
      <c r="R2286" s="79">
        <v>6.32</v>
      </c>
      <c r="S2286" s="79">
        <v>3.91</v>
      </c>
      <c r="T2286" s="79">
        <v>10.23</v>
      </c>
      <c r="U2286" s="79">
        <v>0</v>
      </c>
      <c r="V2286" s="189">
        <v>10.23</v>
      </c>
      <c r="X2286" s="79">
        <v>6.32</v>
      </c>
      <c r="Y2286" s="79">
        <v>3.91</v>
      </c>
      <c r="Z2286" s="79">
        <v>10.23</v>
      </c>
      <c r="AA2286" s="255">
        <v>1.9999999999999574E-2</v>
      </c>
      <c r="AC2286" s="254"/>
    </row>
    <row r="2287" spans="1:31" ht="12">
      <c r="A2287" s="67" t="s">
        <v>14931</v>
      </c>
      <c r="B2287" s="65" t="s">
        <v>14932</v>
      </c>
      <c r="C2287" s="108" t="s">
        <v>165</v>
      </c>
      <c r="D2287" s="78">
        <v>1</v>
      </c>
      <c r="E2287" s="79">
        <v>15.059999999999999</v>
      </c>
      <c r="F2287" s="70">
        <v>15.06</v>
      </c>
      <c r="G2287" s="320"/>
      <c r="H2287" s="79">
        <v>10.59</v>
      </c>
      <c r="I2287" s="79">
        <v>4.47</v>
      </c>
      <c r="J2287" s="79">
        <v>15.059999999999999</v>
      </c>
      <c r="K2287" s="79">
        <v>0</v>
      </c>
      <c r="L2287" s="70">
        <v>15.059999999999999</v>
      </c>
      <c r="M2287" s="132"/>
      <c r="N2287" s="79">
        <v>10.59</v>
      </c>
      <c r="O2287" s="79">
        <v>4.47</v>
      </c>
      <c r="P2287" s="79">
        <v>15.059999999999999</v>
      </c>
      <c r="Q2287" s="136"/>
      <c r="R2287" s="79">
        <v>10.59</v>
      </c>
      <c r="S2287" s="79">
        <v>4.47</v>
      </c>
      <c r="T2287" s="79">
        <v>15.059999999999999</v>
      </c>
      <c r="U2287" s="79">
        <v>0</v>
      </c>
      <c r="V2287" s="189">
        <v>15.059999999999999</v>
      </c>
      <c r="X2287" s="79">
        <v>10.59</v>
      </c>
      <c r="Y2287" s="79">
        <v>4.47</v>
      </c>
      <c r="Z2287" s="79">
        <v>15.06</v>
      </c>
      <c r="AA2287" s="255">
        <v>0</v>
      </c>
      <c r="AC2287" s="254"/>
      <c r="AD2287" s="61"/>
      <c r="AE2287" s="61"/>
    </row>
    <row r="2288" spans="1:31" ht="12">
      <c r="A2288" s="489" t="s">
        <v>14933</v>
      </c>
      <c r="B2288" s="490" t="s">
        <v>14934</v>
      </c>
      <c r="C2288" s="491"/>
      <c r="D2288" s="492"/>
      <c r="E2288" s="79"/>
      <c r="F2288" s="63"/>
      <c r="G2288" s="320"/>
      <c r="H2288" s="79"/>
      <c r="I2288" s="79"/>
      <c r="J2288" s="79"/>
      <c r="K2288" s="79"/>
      <c r="L2288" s="70"/>
      <c r="M2288" s="132"/>
      <c r="N2288" s="79"/>
      <c r="O2288" s="79"/>
      <c r="P2288" s="79"/>
      <c r="Q2288" s="136"/>
      <c r="R2288" s="79"/>
      <c r="S2288" s="79"/>
      <c r="T2288" s="79"/>
      <c r="U2288" s="79"/>
      <c r="V2288" s="189"/>
      <c r="X2288" s="79"/>
      <c r="Y2288" s="79"/>
      <c r="Z2288" s="79"/>
      <c r="AA2288" s="255"/>
      <c r="AC2288" s="254"/>
    </row>
    <row r="2289" spans="1:31" s="61" customFormat="1" ht="12">
      <c r="A2289" s="67" t="s">
        <v>14935</v>
      </c>
      <c r="B2289" s="65" t="s">
        <v>14936</v>
      </c>
      <c r="C2289" s="71" t="s">
        <v>165</v>
      </c>
      <c r="D2289" s="78">
        <v>1</v>
      </c>
      <c r="E2289" s="79">
        <v>3.54</v>
      </c>
      <c r="F2289" s="70">
        <v>3.54</v>
      </c>
      <c r="G2289" s="320"/>
      <c r="H2289" s="79">
        <v>1.3</v>
      </c>
      <c r="I2289" s="79">
        <v>2.2400000000000002</v>
      </c>
      <c r="J2289" s="79">
        <v>3.54</v>
      </c>
      <c r="K2289" s="79">
        <v>0</v>
      </c>
      <c r="L2289" s="70">
        <v>3.54</v>
      </c>
      <c r="M2289" s="132"/>
      <c r="N2289" s="79">
        <v>1.3</v>
      </c>
      <c r="O2289" s="79">
        <v>2.2400000000000002</v>
      </c>
      <c r="P2289" s="79">
        <v>3.54</v>
      </c>
      <c r="Q2289" s="136"/>
      <c r="R2289" s="79">
        <v>1.3</v>
      </c>
      <c r="S2289" s="79">
        <v>2.23</v>
      </c>
      <c r="T2289" s="79">
        <v>3.5300000000000002</v>
      </c>
      <c r="U2289" s="79">
        <v>0</v>
      </c>
      <c r="V2289" s="189">
        <v>3.5300000000000002</v>
      </c>
      <c r="X2289" s="79">
        <v>1.3</v>
      </c>
      <c r="Y2289" s="79">
        <v>2.23</v>
      </c>
      <c r="Z2289" s="79">
        <v>3.53</v>
      </c>
      <c r="AA2289" s="255">
        <v>1.0000000000000231E-2</v>
      </c>
      <c r="AC2289" s="254"/>
      <c r="AD2289" s="236"/>
      <c r="AE2289" s="236"/>
    </row>
    <row r="2290" spans="1:31" ht="12">
      <c r="A2290" s="67" t="s">
        <v>14937</v>
      </c>
      <c r="B2290" s="65" t="s">
        <v>14938</v>
      </c>
      <c r="C2290" s="71" t="s">
        <v>165</v>
      </c>
      <c r="D2290" s="78">
        <v>1</v>
      </c>
      <c r="E2290" s="79">
        <v>4.8</v>
      </c>
      <c r="F2290" s="70">
        <v>4.8</v>
      </c>
      <c r="G2290" s="320"/>
      <c r="H2290" s="79">
        <v>1.99</v>
      </c>
      <c r="I2290" s="79">
        <v>2.81</v>
      </c>
      <c r="J2290" s="79">
        <v>4.8</v>
      </c>
      <c r="K2290" s="79">
        <v>0</v>
      </c>
      <c r="L2290" s="70">
        <v>4.8</v>
      </c>
      <c r="M2290" s="132"/>
      <c r="N2290" s="79">
        <v>1.99</v>
      </c>
      <c r="O2290" s="79">
        <v>2.81</v>
      </c>
      <c r="P2290" s="79">
        <v>4.8</v>
      </c>
      <c r="Q2290" s="136"/>
      <c r="R2290" s="79">
        <v>1.99</v>
      </c>
      <c r="S2290" s="79">
        <v>2.8</v>
      </c>
      <c r="T2290" s="79">
        <v>4.79</v>
      </c>
      <c r="U2290" s="79">
        <v>0</v>
      </c>
      <c r="V2290" s="189">
        <v>4.79</v>
      </c>
      <c r="X2290" s="79">
        <v>1.99</v>
      </c>
      <c r="Y2290" s="79">
        <v>2.8</v>
      </c>
      <c r="Z2290" s="79">
        <v>4.79</v>
      </c>
      <c r="AA2290" s="255">
        <v>9.9999999999997868E-3</v>
      </c>
      <c r="AC2290" s="254"/>
    </row>
    <row r="2291" spans="1:31" ht="12">
      <c r="A2291" s="67" t="s">
        <v>14939</v>
      </c>
      <c r="B2291" s="65" t="s">
        <v>14940</v>
      </c>
      <c r="C2291" s="71" t="s">
        <v>165</v>
      </c>
      <c r="D2291" s="78">
        <v>1</v>
      </c>
      <c r="E2291" s="79">
        <v>6.3999999999999995</v>
      </c>
      <c r="F2291" s="70">
        <v>6.4</v>
      </c>
      <c r="G2291" s="320"/>
      <c r="H2291" s="79">
        <v>3.05</v>
      </c>
      <c r="I2291" s="79">
        <v>3.3499999999999996</v>
      </c>
      <c r="J2291" s="79">
        <v>6.3999999999999995</v>
      </c>
      <c r="K2291" s="79">
        <v>0</v>
      </c>
      <c r="L2291" s="70">
        <v>6.3999999999999995</v>
      </c>
      <c r="M2291" s="132"/>
      <c r="N2291" s="79">
        <v>3.05</v>
      </c>
      <c r="O2291" s="79">
        <v>3.3499999999999996</v>
      </c>
      <c r="P2291" s="79">
        <v>6.3999999999999995</v>
      </c>
      <c r="Q2291" s="136"/>
      <c r="R2291" s="79">
        <v>3.05</v>
      </c>
      <c r="S2291" s="79">
        <v>3.35</v>
      </c>
      <c r="T2291" s="79">
        <v>6.4</v>
      </c>
      <c r="U2291" s="79">
        <v>0</v>
      </c>
      <c r="V2291" s="189">
        <v>6.4</v>
      </c>
      <c r="X2291" s="79">
        <v>3.05</v>
      </c>
      <c r="Y2291" s="79">
        <v>3.35</v>
      </c>
      <c r="Z2291" s="79">
        <v>6.4</v>
      </c>
      <c r="AA2291" s="255">
        <v>0</v>
      </c>
      <c r="AC2291" s="254"/>
    </row>
    <row r="2292" spans="1:31" ht="12">
      <c r="A2292" s="67" t="s">
        <v>14941</v>
      </c>
      <c r="B2292" s="65" t="s">
        <v>14942</v>
      </c>
      <c r="C2292" s="71" t="s">
        <v>165</v>
      </c>
      <c r="D2292" s="78">
        <v>1</v>
      </c>
      <c r="E2292" s="79">
        <v>8.34</v>
      </c>
      <c r="F2292" s="70">
        <v>8.34</v>
      </c>
      <c r="G2292" s="320"/>
      <c r="H2292" s="79">
        <v>4.41</v>
      </c>
      <c r="I2292" s="79">
        <v>3.9299999999999997</v>
      </c>
      <c r="J2292" s="79">
        <v>8.34</v>
      </c>
      <c r="K2292" s="79">
        <v>0</v>
      </c>
      <c r="L2292" s="70">
        <v>8.34</v>
      </c>
      <c r="M2292" s="132"/>
      <c r="N2292" s="79">
        <v>4.41</v>
      </c>
      <c r="O2292" s="79">
        <v>3.9299999999999997</v>
      </c>
      <c r="P2292" s="79">
        <v>8.34</v>
      </c>
      <c r="Q2292" s="136"/>
      <c r="R2292" s="79">
        <v>4.41</v>
      </c>
      <c r="S2292" s="79">
        <v>3.91</v>
      </c>
      <c r="T2292" s="79">
        <v>8.32</v>
      </c>
      <c r="U2292" s="79">
        <v>0</v>
      </c>
      <c r="V2292" s="189">
        <v>8.32</v>
      </c>
      <c r="X2292" s="79">
        <v>4.41</v>
      </c>
      <c r="Y2292" s="79">
        <v>3.91</v>
      </c>
      <c r="Z2292" s="79">
        <v>8.32</v>
      </c>
      <c r="AA2292" s="255">
        <v>1.9999999999999574E-2</v>
      </c>
      <c r="AC2292" s="254"/>
    </row>
    <row r="2293" spans="1:31" ht="12">
      <c r="A2293" s="67" t="s">
        <v>14943</v>
      </c>
      <c r="B2293" s="65" t="s">
        <v>14944</v>
      </c>
      <c r="C2293" s="71" t="s">
        <v>165</v>
      </c>
      <c r="D2293" s="78">
        <v>1</v>
      </c>
      <c r="E2293" s="79">
        <v>12.52</v>
      </c>
      <c r="F2293" s="70">
        <v>12.52</v>
      </c>
      <c r="G2293" s="320"/>
      <c r="H2293" s="79">
        <v>8.0500000000000007</v>
      </c>
      <c r="I2293" s="79">
        <v>4.47</v>
      </c>
      <c r="J2293" s="79">
        <v>12.52</v>
      </c>
      <c r="K2293" s="79">
        <v>0</v>
      </c>
      <c r="L2293" s="70">
        <v>12.52</v>
      </c>
      <c r="M2293" s="132"/>
      <c r="N2293" s="79">
        <v>8.0500000000000007</v>
      </c>
      <c r="O2293" s="79">
        <v>4.47</v>
      </c>
      <c r="P2293" s="79">
        <v>12.52</v>
      </c>
      <c r="Q2293" s="136"/>
      <c r="R2293" s="79">
        <v>8.0500000000000007</v>
      </c>
      <c r="S2293" s="79">
        <v>4.47</v>
      </c>
      <c r="T2293" s="79">
        <v>12.52</v>
      </c>
      <c r="U2293" s="79">
        <v>0</v>
      </c>
      <c r="V2293" s="189">
        <v>12.52</v>
      </c>
      <c r="X2293" s="79">
        <v>8.0500000000000007</v>
      </c>
      <c r="Y2293" s="79">
        <v>4.47</v>
      </c>
      <c r="Z2293" s="79">
        <v>12.52</v>
      </c>
      <c r="AA2293" s="255">
        <v>0</v>
      </c>
      <c r="AC2293" s="254"/>
    </row>
    <row r="2294" spans="1:31" ht="12">
      <c r="A2294" s="489" t="s">
        <v>14945</v>
      </c>
      <c r="B2294" s="490" t="s">
        <v>14946</v>
      </c>
      <c r="C2294" s="491"/>
      <c r="D2294" s="492"/>
      <c r="E2294" s="79"/>
      <c r="F2294" s="63"/>
      <c r="G2294" s="320"/>
      <c r="H2294" s="79"/>
      <c r="I2294" s="79"/>
      <c r="J2294" s="79"/>
      <c r="K2294" s="79"/>
      <c r="L2294" s="70"/>
      <c r="M2294" s="132"/>
      <c r="N2294" s="79"/>
      <c r="O2294" s="79"/>
      <c r="P2294" s="79"/>
      <c r="Q2294" s="136"/>
      <c r="R2294" s="79"/>
      <c r="S2294" s="79"/>
      <c r="T2294" s="79"/>
      <c r="U2294" s="79"/>
      <c r="V2294" s="189"/>
      <c r="X2294" s="79"/>
      <c r="Y2294" s="79"/>
      <c r="Z2294" s="79"/>
      <c r="AA2294" s="255"/>
      <c r="AC2294" s="254"/>
    </row>
    <row r="2295" spans="1:31" ht="12">
      <c r="A2295" s="67" t="s">
        <v>14947</v>
      </c>
      <c r="B2295" s="65" t="s">
        <v>14948</v>
      </c>
      <c r="C2295" s="491" t="s">
        <v>165</v>
      </c>
      <c r="D2295" s="78">
        <v>1</v>
      </c>
      <c r="E2295" s="79">
        <v>15.290000000000001</v>
      </c>
      <c r="F2295" s="70">
        <v>15.29</v>
      </c>
      <c r="G2295" s="320"/>
      <c r="H2295" s="79">
        <v>12.48</v>
      </c>
      <c r="I2295" s="79">
        <v>2.81</v>
      </c>
      <c r="J2295" s="79">
        <v>15.290000000000001</v>
      </c>
      <c r="K2295" s="79">
        <v>0</v>
      </c>
      <c r="L2295" s="70">
        <v>15.290000000000001</v>
      </c>
      <c r="M2295" s="132"/>
      <c r="N2295" s="79">
        <v>12.48</v>
      </c>
      <c r="O2295" s="79">
        <v>2.81</v>
      </c>
      <c r="P2295" s="79">
        <v>15.290000000000001</v>
      </c>
      <c r="Q2295" s="136"/>
      <c r="R2295" s="79">
        <v>12.48</v>
      </c>
      <c r="S2295" s="79">
        <v>2.8</v>
      </c>
      <c r="T2295" s="79">
        <v>15.280000000000001</v>
      </c>
      <c r="U2295" s="79">
        <v>0</v>
      </c>
      <c r="V2295" s="189">
        <v>15.280000000000001</v>
      </c>
      <c r="X2295" s="79">
        <v>12.48</v>
      </c>
      <c r="Y2295" s="79">
        <v>2.8</v>
      </c>
      <c r="Z2295" s="79">
        <v>15.28</v>
      </c>
      <c r="AA2295" s="255">
        <v>9.9999999999997868E-3</v>
      </c>
      <c r="AC2295" s="254"/>
    </row>
    <row r="2296" spans="1:31" ht="12">
      <c r="A2296" s="67" t="s">
        <v>14949</v>
      </c>
      <c r="B2296" s="65" t="s">
        <v>14950</v>
      </c>
      <c r="C2296" s="71" t="s">
        <v>165</v>
      </c>
      <c r="D2296" s="78">
        <v>1</v>
      </c>
      <c r="E2296" s="79">
        <v>19.579999999999998</v>
      </c>
      <c r="F2296" s="70">
        <v>19.579999999999998</v>
      </c>
      <c r="G2296" s="320"/>
      <c r="H2296" s="79">
        <v>16.77</v>
      </c>
      <c r="I2296" s="79">
        <v>2.81</v>
      </c>
      <c r="J2296" s="79">
        <v>19.579999999999998</v>
      </c>
      <c r="K2296" s="79">
        <v>0</v>
      </c>
      <c r="L2296" s="70">
        <v>19.579999999999998</v>
      </c>
      <c r="M2296" s="132"/>
      <c r="N2296" s="79">
        <v>16.77</v>
      </c>
      <c r="O2296" s="79">
        <v>2.81</v>
      </c>
      <c r="P2296" s="79">
        <v>19.579999999999998</v>
      </c>
      <c r="Q2296" s="136"/>
      <c r="R2296" s="79">
        <v>16.77</v>
      </c>
      <c r="S2296" s="79">
        <v>2.8</v>
      </c>
      <c r="T2296" s="79">
        <v>19.57</v>
      </c>
      <c r="U2296" s="79">
        <v>0</v>
      </c>
      <c r="V2296" s="189">
        <v>19.57</v>
      </c>
      <c r="X2296" s="79">
        <v>16.77</v>
      </c>
      <c r="Y2296" s="79">
        <v>2.8</v>
      </c>
      <c r="Z2296" s="79">
        <v>19.57</v>
      </c>
      <c r="AA2296" s="255">
        <v>9.9999999999980105E-3</v>
      </c>
      <c r="AC2296" s="254"/>
    </row>
    <row r="2297" spans="1:31" ht="12">
      <c r="A2297" s="67" t="s">
        <v>14951</v>
      </c>
      <c r="B2297" s="65" t="s">
        <v>14952</v>
      </c>
      <c r="C2297" s="71" t="s">
        <v>165</v>
      </c>
      <c r="D2297" s="78">
        <v>1</v>
      </c>
      <c r="E2297" s="79">
        <v>31.26</v>
      </c>
      <c r="F2297" s="70">
        <v>31.26</v>
      </c>
      <c r="G2297" s="320"/>
      <c r="H2297" s="79">
        <v>25.67</v>
      </c>
      <c r="I2297" s="79">
        <v>5.59</v>
      </c>
      <c r="J2297" s="79">
        <v>31.26</v>
      </c>
      <c r="K2297" s="79">
        <v>0</v>
      </c>
      <c r="L2297" s="70">
        <v>31.26</v>
      </c>
      <c r="M2297" s="132"/>
      <c r="N2297" s="79">
        <v>25.67</v>
      </c>
      <c r="O2297" s="79">
        <v>5.59</v>
      </c>
      <c r="P2297" s="79">
        <v>31.26</v>
      </c>
      <c r="Q2297" s="136"/>
      <c r="R2297" s="79">
        <v>25.67</v>
      </c>
      <c r="S2297" s="79">
        <v>5.58</v>
      </c>
      <c r="T2297" s="79">
        <v>31.25</v>
      </c>
      <c r="U2297" s="79">
        <v>0</v>
      </c>
      <c r="V2297" s="189">
        <v>31.25</v>
      </c>
      <c r="X2297" s="79">
        <v>25.67</v>
      </c>
      <c r="Y2297" s="79">
        <v>5.58</v>
      </c>
      <c r="Z2297" s="79">
        <v>31.25</v>
      </c>
      <c r="AA2297" s="255">
        <v>1.0000000000001563E-2</v>
      </c>
      <c r="AC2297" s="254"/>
    </row>
    <row r="2298" spans="1:31" ht="12">
      <c r="A2298" s="67" t="s">
        <v>14953</v>
      </c>
      <c r="B2298" s="65" t="s">
        <v>14954</v>
      </c>
      <c r="C2298" s="71" t="s">
        <v>165</v>
      </c>
      <c r="D2298" s="78">
        <v>1</v>
      </c>
      <c r="E2298" s="79">
        <v>45.33</v>
      </c>
      <c r="F2298" s="70">
        <v>45.33</v>
      </c>
      <c r="G2298" s="320"/>
      <c r="H2298" s="79">
        <v>36.950000000000003</v>
      </c>
      <c r="I2298" s="79">
        <v>8.379999999999999</v>
      </c>
      <c r="J2298" s="79">
        <v>45.33</v>
      </c>
      <c r="K2298" s="79">
        <v>0</v>
      </c>
      <c r="L2298" s="70">
        <v>45.33</v>
      </c>
      <c r="M2298" s="132"/>
      <c r="N2298" s="79">
        <v>36.950000000000003</v>
      </c>
      <c r="O2298" s="79">
        <v>8.379999999999999</v>
      </c>
      <c r="P2298" s="79">
        <v>45.33</v>
      </c>
      <c r="Q2298" s="136"/>
      <c r="R2298" s="79">
        <v>36.950000000000003</v>
      </c>
      <c r="S2298" s="79">
        <v>8.3800000000000008</v>
      </c>
      <c r="T2298" s="79">
        <v>45.330000000000005</v>
      </c>
      <c r="U2298" s="79">
        <v>0</v>
      </c>
      <c r="V2298" s="189">
        <v>45.330000000000005</v>
      </c>
      <c r="X2298" s="79">
        <v>36.950000000000003</v>
      </c>
      <c r="Y2298" s="79">
        <v>8.3800000000000008</v>
      </c>
      <c r="Z2298" s="79">
        <v>45.33</v>
      </c>
      <c r="AA2298" s="255">
        <v>0</v>
      </c>
      <c r="AC2298" s="254"/>
    </row>
    <row r="2299" spans="1:31" ht="12">
      <c r="A2299" s="67" t="s">
        <v>14955</v>
      </c>
      <c r="B2299" s="65" t="s">
        <v>14956</v>
      </c>
      <c r="C2299" s="71" t="s">
        <v>165</v>
      </c>
      <c r="D2299" s="78">
        <v>1</v>
      </c>
      <c r="E2299" s="79">
        <v>62.7</v>
      </c>
      <c r="F2299" s="70">
        <v>62.7</v>
      </c>
      <c r="G2299" s="320"/>
      <c r="H2299" s="79">
        <v>51.54</v>
      </c>
      <c r="I2299" s="79">
        <v>11.16</v>
      </c>
      <c r="J2299" s="79">
        <v>62.7</v>
      </c>
      <c r="K2299" s="79">
        <v>0</v>
      </c>
      <c r="L2299" s="70">
        <v>62.7</v>
      </c>
      <c r="M2299" s="132"/>
      <c r="N2299" s="79">
        <v>51.54</v>
      </c>
      <c r="O2299" s="79">
        <v>11.16</v>
      </c>
      <c r="P2299" s="79">
        <v>62.7</v>
      </c>
      <c r="Q2299" s="136"/>
      <c r="R2299" s="79">
        <v>51.54</v>
      </c>
      <c r="S2299" s="79">
        <v>11.16</v>
      </c>
      <c r="T2299" s="79">
        <v>62.7</v>
      </c>
      <c r="U2299" s="79">
        <v>0</v>
      </c>
      <c r="V2299" s="189">
        <v>62.7</v>
      </c>
      <c r="X2299" s="79">
        <v>51.54</v>
      </c>
      <c r="Y2299" s="79">
        <v>11.16</v>
      </c>
      <c r="Z2299" s="79">
        <v>62.7</v>
      </c>
      <c r="AA2299" s="255">
        <v>0</v>
      </c>
      <c r="AC2299" s="254"/>
    </row>
    <row r="2300" spans="1:31" ht="12">
      <c r="A2300" s="67" t="s">
        <v>14957</v>
      </c>
      <c r="B2300" s="65" t="s">
        <v>14958</v>
      </c>
      <c r="C2300" s="71" t="s">
        <v>165</v>
      </c>
      <c r="D2300" s="78">
        <v>1</v>
      </c>
      <c r="E2300" s="79">
        <v>85.929999999999993</v>
      </c>
      <c r="F2300" s="70">
        <v>85.93</v>
      </c>
      <c r="G2300" s="320"/>
      <c r="H2300" s="79">
        <v>71.959999999999994</v>
      </c>
      <c r="I2300" s="79">
        <v>13.969999999999999</v>
      </c>
      <c r="J2300" s="79">
        <v>85.929999999999993</v>
      </c>
      <c r="K2300" s="79">
        <v>0</v>
      </c>
      <c r="L2300" s="70">
        <v>85.929999999999993</v>
      </c>
      <c r="M2300" s="132"/>
      <c r="N2300" s="79">
        <v>71.959999999999994</v>
      </c>
      <c r="O2300" s="79">
        <v>13.969999999999999</v>
      </c>
      <c r="P2300" s="79">
        <v>85.929999999999993</v>
      </c>
      <c r="Q2300" s="136"/>
      <c r="R2300" s="79">
        <v>71.959999999999994</v>
      </c>
      <c r="S2300" s="79">
        <v>13.96</v>
      </c>
      <c r="T2300" s="79">
        <v>85.919999999999987</v>
      </c>
      <c r="U2300" s="79">
        <v>0</v>
      </c>
      <c r="V2300" s="189">
        <v>85.919999999999987</v>
      </c>
      <c r="X2300" s="79">
        <v>71.959999999999994</v>
      </c>
      <c r="Y2300" s="79">
        <v>13.96</v>
      </c>
      <c r="Z2300" s="79">
        <v>85.92</v>
      </c>
      <c r="AA2300" s="255">
        <v>1.0000000000005116E-2</v>
      </c>
      <c r="AC2300" s="254"/>
    </row>
    <row r="2301" spans="1:31" ht="12">
      <c r="A2301" s="67" t="s">
        <v>14959</v>
      </c>
      <c r="B2301" s="65" t="s">
        <v>14960</v>
      </c>
      <c r="C2301" s="71" t="s">
        <v>165</v>
      </c>
      <c r="D2301" s="78">
        <v>1</v>
      </c>
      <c r="E2301" s="79">
        <v>119.08</v>
      </c>
      <c r="F2301" s="70">
        <v>119.08</v>
      </c>
      <c r="G2301" s="320"/>
      <c r="H2301" s="79">
        <v>102.33</v>
      </c>
      <c r="I2301" s="79">
        <v>16.75</v>
      </c>
      <c r="J2301" s="79">
        <v>119.08</v>
      </c>
      <c r="K2301" s="79">
        <v>0</v>
      </c>
      <c r="L2301" s="70">
        <v>119.08</v>
      </c>
      <c r="M2301" s="132"/>
      <c r="N2301" s="79">
        <v>102.33</v>
      </c>
      <c r="O2301" s="79">
        <v>16.75</v>
      </c>
      <c r="P2301" s="79">
        <v>119.08</v>
      </c>
      <c r="Q2301" s="136"/>
      <c r="R2301" s="79">
        <v>102.33</v>
      </c>
      <c r="S2301" s="79">
        <v>16.75</v>
      </c>
      <c r="T2301" s="79">
        <v>119.08</v>
      </c>
      <c r="U2301" s="79">
        <v>0</v>
      </c>
      <c r="V2301" s="189">
        <v>119.08</v>
      </c>
      <c r="X2301" s="79">
        <v>102.33</v>
      </c>
      <c r="Y2301" s="79">
        <v>16.75</v>
      </c>
      <c r="Z2301" s="79">
        <v>119.08</v>
      </c>
      <c r="AA2301" s="255">
        <v>0</v>
      </c>
      <c r="AC2301" s="254"/>
    </row>
    <row r="2302" spans="1:31" ht="12">
      <c r="A2302" s="67" t="s">
        <v>14961</v>
      </c>
      <c r="B2302" s="65" t="s">
        <v>14962</v>
      </c>
      <c r="C2302" s="71" t="s">
        <v>165</v>
      </c>
      <c r="D2302" s="78">
        <v>1</v>
      </c>
      <c r="E2302" s="79">
        <v>242.25</v>
      </c>
      <c r="F2302" s="70">
        <v>242.25</v>
      </c>
      <c r="G2302" s="320"/>
      <c r="H2302" s="79">
        <v>217.12</v>
      </c>
      <c r="I2302" s="79">
        <v>25.130000000000003</v>
      </c>
      <c r="J2302" s="79">
        <v>242.25</v>
      </c>
      <c r="K2302" s="79">
        <v>0</v>
      </c>
      <c r="L2302" s="70">
        <v>242.25</v>
      </c>
      <c r="M2302" s="132"/>
      <c r="N2302" s="79">
        <v>217.12</v>
      </c>
      <c r="O2302" s="79">
        <v>25.130000000000003</v>
      </c>
      <c r="P2302" s="79">
        <v>242.25</v>
      </c>
      <c r="Q2302" s="136"/>
      <c r="R2302" s="79">
        <v>217.12</v>
      </c>
      <c r="S2302" s="79">
        <v>25.12</v>
      </c>
      <c r="T2302" s="79">
        <v>242.24</v>
      </c>
      <c r="U2302" s="79">
        <v>0</v>
      </c>
      <c r="V2302" s="189">
        <v>242.24</v>
      </c>
      <c r="X2302" s="79">
        <v>217.12</v>
      </c>
      <c r="Y2302" s="79">
        <v>25.12</v>
      </c>
      <c r="Z2302" s="79">
        <v>242.24</v>
      </c>
      <c r="AA2302" s="255">
        <v>9.9999999999909051E-3</v>
      </c>
      <c r="AC2302" s="254"/>
      <c r="AD2302" s="69"/>
      <c r="AE2302" s="69"/>
    </row>
    <row r="2303" spans="1:31" ht="12">
      <c r="A2303" s="489" t="s">
        <v>14963</v>
      </c>
      <c r="B2303" s="490" t="s">
        <v>14964</v>
      </c>
      <c r="C2303" s="491"/>
      <c r="D2303" s="492"/>
      <c r="E2303" s="79"/>
      <c r="F2303" s="63"/>
      <c r="G2303" s="320"/>
      <c r="H2303" s="79"/>
      <c r="I2303" s="79"/>
      <c r="J2303" s="79"/>
      <c r="K2303" s="79"/>
      <c r="L2303" s="70"/>
      <c r="M2303" s="132"/>
      <c r="N2303" s="79"/>
      <c r="O2303" s="79"/>
      <c r="P2303" s="79"/>
      <c r="Q2303" s="136"/>
      <c r="R2303" s="79"/>
      <c r="S2303" s="79"/>
      <c r="T2303" s="79"/>
      <c r="U2303" s="79"/>
      <c r="V2303" s="189"/>
      <c r="X2303" s="79"/>
      <c r="Y2303" s="79"/>
      <c r="Z2303" s="79"/>
      <c r="AA2303" s="255"/>
      <c r="AC2303" s="254"/>
      <c r="AD2303" s="69"/>
      <c r="AE2303" s="69"/>
    </row>
    <row r="2304" spans="1:31" s="69" customFormat="1" ht="12">
      <c r="A2304" s="67" t="s">
        <v>14965</v>
      </c>
      <c r="B2304" s="65" t="s">
        <v>14966</v>
      </c>
      <c r="C2304" s="71" t="s">
        <v>165</v>
      </c>
      <c r="D2304" s="78">
        <v>1</v>
      </c>
      <c r="E2304" s="79">
        <v>265.31</v>
      </c>
      <c r="F2304" s="70">
        <v>265.31</v>
      </c>
      <c r="G2304" s="320"/>
      <c r="H2304" s="79">
        <v>214.67</v>
      </c>
      <c r="I2304" s="79">
        <v>50.64</v>
      </c>
      <c r="J2304" s="79">
        <v>265.31</v>
      </c>
      <c r="K2304" s="79">
        <v>0</v>
      </c>
      <c r="L2304" s="70">
        <v>265.31</v>
      </c>
      <c r="M2304" s="132"/>
      <c r="N2304" s="79">
        <v>214.67</v>
      </c>
      <c r="O2304" s="79">
        <v>50.64</v>
      </c>
      <c r="P2304" s="79">
        <v>265.31</v>
      </c>
      <c r="Q2304" s="136"/>
      <c r="R2304" s="79">
        <v>214.67</v>
      </c>
      <c r="S2304" s="79">
        <v>50.63</v>
      </c>
      <c r="T2304" s="79">
        <v>265.3</v>
      </c>
      <c r="U2304" s="79">
        <v>0</v>
      </c>
      <c r="V2304" s="189">
        <v>265.3</v>
      </c>
      <c r="W2304" s="61"/>
      <c r="X2304" s="79">
        <v>214.67</v>
      </c>
      <c r="Y2304" s="79">
        <v>50.63</v>
      </c>
      <c r="Z2304" s="79">
        <v>265.3</v>
      </c>
      <c r="AA2304" s="255">
        <v>9.9999999999909051E-3</v>
      </c>
      <c r="AB2304" s="61"/>
      <c r="AC2304" s="254"/>
      <c r="AD2304" s="236"/>
      <c r="AE2304" s="236"/>
    </row>
    <row r="2305" spans="1:31" s="69" customFormat="1" ht="12">
      <c r="A2305" s="489" t="s">
        <v>14967</v>
      </c>
      <c r="B2305" s="490" t="s">
        <v>14968</v>
      </c>
      <c r="C2305" s="491"/>
      <c r="D2305" s="492"/>
      <c r="E2305" s="79"/>
      <c r="F2305" s="63"/>
      <c r="G2305" s="320"/>
      <c r="H2305" s="79"/>
      <c r="I2305" s="79"/>
      <c r="J2305" s="79"/>
      <c r="K2305" s="79"/>
      <c r="L2305" s="70"/>
      <c r="M2305" s="132"/>
      <c r="N2305" s="79"/>
      <c r="O2305" s="79"/>
      <c r="P2305" s="79"/>
      <c r="Q2305" s="136"/>
      <c r="R2305" s="79"/>
      <c r="S2305" s="79"/>
      <c r="T2305" s="79"/>
      <c r="U2305" s="79"/>
      <c r="V2305" s="189"/>
      <c r="W2305" s="61"/>
      <c r="X2305" s="79"/>
      <c r="Y2305" s="79"/>
      <c r="Z2305" s="79"/>
      <c r="AA2305" s="255"/>
      <c r="AB2305" s="61"/>
      <c r="AC2305" s="254"/>
    </row>
    <row r="2306" spans="1:31" ht="12">
      <c r="A2306" s="67" t="s">
        <v>14969</v>
      </c>
      <c r="B2306" s="65" t="s">
        <v>14970</v>
      </c>
      <c r="C2306" s="71" t="s">
        <v>165</v>
      </c>
      <c r="D2306" s="78">
        <v>1</v>
      </c>
      <c r="E2306" s="79">
        <v>91.990000000000009</v>
      </c>
      <c r="F2306" s="70">
        <v>91.99</v>
      </c>
      <c r="G2306" s="320"/>
      <c r="H2306" s="79">
        <v>61.61</v>
      </c>
      <c r="I2306" s="79">
        <v>30.380000000000003</v>
      </c>
      <c r="J2306" s="79">
        <v>91.990000000000009</v>
      </c>
      <c r="K2306" s="79">
        <v>0</v>
      </c>
      <c r="L2306" s="70">
        <v>91.990000000000009</v>
      </c>
      <c r="M2306" s="132"/>
      <c r="N2306" s="79">
        <v>61.61</v>
      </c>
      <c r="O2306" s="79">
        <v>30.380000000000003</v>
      </c>
      <c r="P2306" s="79">
        <v>91.990000000000009</v>
      </c>
      <c r="Q2306" s="136"/>
      <c r="R2306" s="79">
        <v>61.61</v>
      </c>
      <c r="S2306" s="79">
        <v>30.38</v>
      </c>
      <c r="T2306" s="79">
        <v>91.99</v>
      </c>
      <c r="U2306" s="79">
        <v>0</v>
      </c>
      <c r="V2306" s="189">
        <v>91.99</v>
      </c>
      <c r="X2306" s="79">
        <v>61.61</v>
      </c>
      <c r="Y2306" s="79">
        <v>30.38</v>
      </c>
      <c r="Z2306" s="79">
        <v>91.99</v>
      </c>
      <c r="AA2306" s="255">
        <v>0</v>
      </c>
      <c r="AC2306" s="254"/>
    </row>
    <row r="2307" spans="1:31" s="69" customFormat="1" ht="12">
      <c r="A2307" s="67" t="s">
        <v>14971</v>
      </c>
      <c r="B2307" s="65" t="s">
        <v>14972</v>
      </c>
      <c r="C2307" s="71" t="s">
        <v>165</v>
      </c>
      <c r="D2307" s="78">
        <v>1</v>
      </c>
      <c r="E2307" s="79">
        <v>114.97</v>
      </c>
      <c r="F2307" s="70">
        <v>114.97</v>
      </c>
      <c r="G2307" s="320"/>
      <c r="H2307" s="79">
        <v>78.38</v>
      </c>
      <c r="I2307" s="79">
        <v>36.590000000000003</v>
      </c>
      <c r="J2307" s="79">
        <v>114.97</v>
      </c>
      <c r="K2307" s="79">
        <v>0</v>
      </c>
      <c r="L2307" s="70">
        <v>114.97</v>
      </c>
      <c r="M2307" s="132"/>
      <c r="N2307" s="79">
        <v>78.38</v>
      </c>
      <c r="O2307" s="79">
        <v>36.590000000000003</v>
      </c>
      <c r="P2307" s="79">
        <v>114.97</v>
      </c>
      <c r="Q2307" s="136"/>
      <c r="R2307" s="79">
        <v>78.38</v>
      </c>
      <c r="S2307" s="79">
        <v>36.57</v>
      </c>
      <c r="T2307" s="79">
        <v>114.94999999999999</v>
      </c>
      <c r="U2307" s="79">
        <v>0</v>
      </c>
      <c r="V2307" s="189">
        <v>114.94999999999999</v>
      </c>
      <c r="W2307" s="61"/>
      <c r="X2307" s="79">
        <v>78.38</v>
      </c>
      <c r="Y2307" s="79">
        <v>36.57</v>
      </c>
      <c r="Z2307" s="79">
        <v>114.95</v>
      </c>
      <c r="AA2307" s="255">
        <v>1.9999999999996021E-2</v>
      </c>
      <c r="AB2307" s="61"/>
      <c r="AC2307" s="254"/>
      <c r="AD2307" s="236"/>
      <c r="AE2307" s="236"/>
    </row>
    <row r="2308" spans="1:31" ht="12">
      <c r="A2308" s="67" t="s">
        <v>14973</v>
      </c>
      <c r="B2308" s="65" t="s">
        <v>14974</v>
      </c>
      <c r="C2308" s="71" t="s">
        <v>165</v>
      </c>
      <c r="D2308" s="78">
        <v>1</v>
      </c>
      <c r="E2308" s="79">
        <v>142.84</v>
      </c>
      <c r="F2308" s="70">
        <v>142.84</v>
      </c>
      <c r="G2308" s="320"/>
      <c r="H2308" s="79">
        <v>92.2</v>
      </c>
      <c r="I2308" s="79">
        <v>50.64</v>
      </c>
      <c r="J2308" s="79">
        <v>142.84</v>
      </c>
      <c r="K2308" s="79">
        <v>0</v>
      </c>
      <c r="L2308" s="70">
        <v>142.84</v>
      </c>
      <c r="M2308" s="132"/>
      <c r="N2308" s="79">
        <v>92.2</v>
      </c>
      <c r="O2308" s="79">
        <v>50.64</v>
      </c>
      <c r="P2308" s="79">
        <v>142.84</v>
      </c>
      <c r="Q2308" s="136"/>
      <c r="R2308" s="79">
        <v>92.2</v>
      </c>
      <c r="S2308" s="79">
        <v>50.63</v>
      </c>
      <c r="T2308" s="79">
        <v>142.83000000000001</v>
      </c>
      <c r="U2308" s="79">
        <v>0</v>
      </c>
      <c r="V2308" s="189">
        <v>142.83000000000001</v>
      </c>
      <c r="X2308" s="79">
        <v>92.2</v>
      </c>
      <c r="Y2308" s="79">
        <v>50.63</v>
      </c>
      <c r="Z2308" s="79">
        <v>142.83000000000001</v>
      </c>
      <c r="AA2308" s="255">
        <v>9.9999999999909051E-3</v>
      </c>
      <c r="AC2308" s="254"/>
    </row>
    <row r="2309" spans="1:31" ht="12">
      <c r="A2309" s="67" t="s">
        <v>14975</v>
      </c>
      <c r="B2309" s="65" t="s">
        <v>14976</v>
      </c>
      <c r="C2309" s="71" t="s">
        <v>165</v>
      </c>
      <c r="D2309" s="78">
        <v>1</v>
      </c>
      <c r="E2309" s="79">
        <v>241.18</v>
      </c>
      <c r="F2309" s="70">
        <v>241.18</v>
      </c>
      <c r="G2309" s="320"/>
      <c r="H2309" s="79">
        <v>180.43</v>
      </c>
      <c r="I2309" s="79">
        <v>60.75</v>
      </c>
      <c r="J2309" s="79">
        <v>241.18</v>
      </c>
      <c r="K2309" s="79">
        <v>0</v>
      </c>
      <c r="L2309" s="70">
        <v>241.18</v>
      </c>
      <c r="M2309" s="132"/>
      <c r="N2309" s="79">
        <v>180.43</v>
      </c>
      <c r="O2309" s="79">
        <v>60.75</v>
      </c>
      <c r="P2309" s="79">
        <v>241.18</v>
      </c>
      <c r="Q2309" s="136"/>
      <c r="R2309" s="79">
        <v>180.43</v>
      </c>
      <c r="S2309" s="79">
        <v>60.75</v>
      </c>
      <c r="T2309" s="79">
        <v>241.18</v>
      </c>
      <c r="U2309" s="79">
        <v>0</v>
      </c>
      <c r="V2309" s="189">
        <v>241.18</v>
      </c>
      <c r="X2309" s="79">
        <v>180.43</v>
      </c>
      <c r="Y2309" s="79">
        <v>60.75</v>
      </c>
      <c r="Z2309" s="79">
        <v>241.18</v>
      </c>
      <c r="AA2309" s="255">
        <v>0</v>
      </c>
      <c r="AC2309" s="254"/>
    </row>
    <row r="2310" spans="1:31" ht="12">
      <c r="A2310" s="489" t="s">
        <v>14977</v>
      </c>
      <c r="B2310" s="490" t="s">
        <v>14978</v>
      </c>
      <c r="C2310" s="491"/>
      <c r="D2310" s="492"/>
      <c r="E2310" s="79"/>
      <c r="F2310" s="63"/>
      <c r="G2310" s="320"/>
      <c r="H2310" s="79"/>
      <c r="I2310" s="79"/>
      <c r="J2310" s="79"/>
      <c r="K2310" s="79"/>
      <c r="L2310" s="70"/>
      <c r="M2310" s="132"/>
      <c r="N2310" s="79"/>
      <c r="O2310" s="79"/>
      <c r="P2310" s="79"/>
      <c r="Q2310" s="136"/>
      <c r="R2310" s="79"/>
      <c r="S2310" s="79"/>
      <c r="T2310" s="79"/>
      <c r="U2310" s="79"/>
      <c r="V2310" s="189"/>
      <c r="X2310" s="79"/>
      <c r="Y2310" s="79"/>
      <c r="Z2310" s="79"/>
      <c r="AA2310" s="255"/>
      <c r="AC2310" s="254"/>
    </row>
    <row r="2311" spans="1:31" ht="12">
      <c r="A2311" s="67" t="s">
        <v>14979</v>
      </c>
      <c r="B2311" s="65" t="s">
        <v>14980</v>
      </c>
      <c r="C2311" s="71" t="s">
        <v>103</v>
      </c>
      <c r="D2311" s="78">
        <v>1</v>
      </c>
      <c r="E2311" s="79">
        <v>18.52</v>
      </c>
      <c r="F2311" s="70">
        <v>18.52</v>
      </c>
      <c r="G2311" s="320"/>
      <c r="H2311" s="79">
        <v>12.93</v>
      </c>
      <c r="I2311" s="79">
        <v>5.59</v>
      </c>
      <c r="J2311" s="79">
        <v>18.52</v>
      </c>
      <c r="K2311" s="79">
        <v>0</v>
      </c>
      <c r="L2311" s="70">
        <v>18.52</v>
      </c>
      <c r="M2311" s="132"/>
      <c r="N2311" s="79">
        <v>12.93</v>
      </c>
      <c r="O2311" s="79">
        <v>5.59</v>
      </c>
      <c r="P2311" s="79">
        <v>18.52</v>
      </c>
      <c r="Q2311" s="136"/>
      <c r="R2311" s="79">
        <v>12.93</v>
      </c>
      <c r="S2311" s="79">
        <v>5.58</v>
      </c>
      <c r="T2311" s="79">
        <v>18.509999999999998</v>
      </c>
      <c r="U2311" s="79">
        <v>0</v>
      </c>
      <c r="V2311" s="189">
        <v>18.509999999999998</v>
      </c>
      <c r="X2311" s="79">
        <v>12.93</v>
      </c>
      <c r="Y2311" s="79">
        <v>5.58</v>
      </c>
      <c r="Z2311" s="79">
        <v>18.510000000000002</v>
      </c>
      <c r="AA2311" s="255">
        <v>9.9999999999980105E-3</v>
      </c>
      <c r="AC2311" s="254"/>
    </row>
    <row r="2312" spans="1:31" ht="12">
      <c r="A2312" s="67" t="s">
        <v>14981</v>
      </c>
      <c r="B2312" s="65" t="s">
        <v>5436</v>
      </c>
      <c r="C2312" s="71" t="s">
        <v>103</v>
      </c>
      <c r="D2312" s="78">
        <v>1</v>
      </c>
      <c r="E2312" s="79">
        <v>12.33</v>
      </c>
      <c r="F2312" s="70">
        <v>12.33</v>
      </c>
      <c r="G2312" s="320"/>
      <c r="H2312" s="79">
        <v>6.74</v>
      </c>
      <c r="I2312" s="79">
        <v>5.59</v>
      </c>
      <c r="J2312" s="79">
        <v>12.33</v>
      </c>
      <c r="K2312" s="79">
        <v>0</v>
      </c>
      <c r="L2312" s="70">
        <v>12.33</v>
      </c>
      <c r="M2312" s="132"/>
      <c r="N2312" s="79">
        <v>6.74</v>
      </c>
      <c r="O2312" s="79">
        <v>5.59</v>
      </c>
      <c r="P2312" s="79">
        <v>12.33</v>
      </c>
      <c r="Q2312" s="136"/>
      <c r="R2312" s="79">
        <v>6.74</v>
      </c>
      <c r="S2312" s="79">
        <v>5.58</v>
      </c>
      <c r="T2312" s="79">
        <v>12.32</v>
      </c>
      <c r="U2312" s="79">
        <v>0</v>
      </c>
      <c r="V2312" s="189">
        <v>12.32</v>
      </c>
      <c r="X2312" s="79">
        <v>6.74</v>
      </c>
      <c r="Y2312" s="79">
        <v>5.58</v>
      </c>
      <c r="Z2312" s="79">
        <v>12.32</v>
      </c>
      <c r="AA2312" s="255">
        <v>9.9999999999997868E-3</v>
      </c>
      <c r="AC2312" s="254"/>
    </row>
    <row r="2313" spans="1:31" ht="12">
      <c r="A2313" s="67" t="s">
        <v>14982</v>
      </c>
      <c r="B2313" s="65" t="s">
        <v>14983</v>
      </c>
      <c r="C2313" s="71" t="s">
        <v>103</v>
      </c>
      <c r="D2313" s="78">
        <v>1</v>
      </c>
      <c r="E2313" s="79">
        <v>14.73</v>
      </c>
      <c r="F2313" s="70">
        <v>14.73</v>
      </c>
      <c r="G2313" s="320"/>
      <c r="H2313" s="79">
        <v>9.14</v>
      </c>
      <c r="I2313" s="79">
        <v>5.59</v>
      </c>
      <c r="J2313" s="79">
        <v>14.73</v>
      </c>
      <c r="K2313" s="79">
        <v>0</v>
      </c>
      <c r="L2313" s="70">
        <v>14.73</v>
      </c>
      <c r="M2313" s="132"/>
      <c r="N2313" s="79">
        <v>9.14</v>
      </c>
      <c r="O2313" s="79">
        <v>5.59</v>
      </c>
      <c r="P2313" s="79">
        <v>14.73</v>
      </c>
      <c r="Q2313" s="136"/>
      <c r="R2313" s="79">
        <v>9.14</v>
      </c>
      <c r="S2313" s="79">
        <v>5.58</v>
      </c>
      <c r="T2313" s="79">
        <v>14.72</v>
      </c>
      <c r="U2313" s="79">
        <v>0</v>
      </c>
      <c r="V2313" s="189">
        <v>14.72</v>
      </c>
      <c r="X2313" s="79">
        <v>9.14</v>
      </c>
      <c r="Y2313" s="79">
        <v>5.58</v>
      </c>
      <c r="Z2313" s="79">
        <v>14.72</v>
      </c>
      <c r="AA2313" s="255">
        <v>9.9999999999997868E-3</v>
      </c>
      <c r="AC2313" s="254"/>
    </row>
    <row r="2314" spans="1:31" ht="12">
      <c r="A2314" s="67" t="s">
        <v>14984</v>
      </c>
      <c r="B2314" s="65" t="s">
        <v>14985</v>
      </c>
      <c r="C2314" s="71" t="s">
        <v>103</v>
      </c>
      <c r="D2314" s="78">
        <v>1</v>
      </c>
      <c r="E2314" s="79">
        <v>17.119999999999997</v>
      </c>
      <c r="F2314" s="70">
        <v>17.12</v>
      </c>
      <c r="G2314" s="320"/>
      <c r="H2314" s="79">
        <v>11.53</v>
      </c>
      <c r="I2314" s="79">
        <v>5.59</v>
      </c>
      <c r="J2314" s="79">
        <v>17.119999999999997</v>
      </c>
      <c r="K2314" s="79">
        <v>0</v>
      </c>
      <c r="L2314" s="70">
        <v>17.119999999999997</v>
      </c>
      <c r="M2314" s="132"/>
      <c r="N2314" s="79">
        <v>11.53</v>
      </c>
      <c r="O2314" s="79">
        <v>5.59</v>
      </c>
      <c r="P2314" s="79">
        <v>17.119999999999997</v>
      </c>
      <c r="Q2314" s="136"/>
      <c r="R2314" s="79">
        <v>11.53</v>
      </c>
      <c r="S2314" s="79">
        <v>5.58</v>
      </c>
      <c r="T2314" s="79">
        <v>17.11</v>
      </c>
      <c r="U2314" s="79">
        <v>0</v>
      </c>
      <c r="V2314" s="189">
        <v>17.11</v>
      </c>
      <c r="X2314" s="79">
        <v>11.53</v>
      </c>
      <c r="Y2314" s="79">
        <v>5.58</v>
      </c>
      <c r="Z2314" s="79">
        <v>17.11</v>
      </c>
      <c r="AA2314" s="255">
        <v>1.0000000000001563E-2</v>
      </c>
      <c r="AC2314" s="254"/>
    </row>
    <row r="2315" spans="1:31" ht="12">
      <c r="A2315" s="67" t="s">
        <v>14986</v>
      </c>
      <c r="B2315" s="65" t="s">
        <v>14987</v>
      </c>
      <c r="C2315" s="71" t="s">
        <v>103</v>
      </c>
      <c r="D2315" s="78">
        <v>1</v>
      </c>
      <c r="E2315" s="79">
        <v>18.75</v>
      </c>
      <c r="F2315" s="70">
        <v>18.75</v>
      </c>
      <c r="G2315" s="320"/>
      <c r="H2315" s="79">
        <v>13.16</v>
      </c>
      <c r="I2315" s="79">
        <v>5.59</v>
      </c>
      <c r="J2315" s="79">
        <v>18.75</v>
      </c>
      <c r="K2315" s="79">
        <v>0</v>
      </c>
      <c r="L2315" s="70">
        <v>18.75</v>
      </c>
      <c r="M2315" s="132"/>
      <c r="N2315" s="79">
        <v>13.16</v>
      </c>
      <c r="O2315" s="79">
        <v>5.59</v>
      </c>
      <c r="P2315" s="79">
        <v>18.75</v>
      </c>
      <c r="Q2315" s="136"/>
      <c r="R2315" s="79">
        <v>13.16</v>
      </c>
      <c r="S2315" s="79">
        <v>5.58</v>
      </c>
      <c r="T2315" s="79">
        <v>18.740000000000002</v>
      </c>
      <c r="U2315" s="79">
        <v>0</v>
      </c>
      <c r="V2315" s="189">
        <v>18.740000000000002</v>
      </c>
      <c r="X2315" s="79">
        <v>13.16</v>
      </c>
      <c r="Y2315" s="79">
        <v>5.58</v>
      </c>
      <c r="Z2315" s="79">
        <v>18.739999999999998</v>
      </c>
      <c r="AA2315" s="255">
        <v>1.0000000000001563E-2</v>
      </c>
      <c r="AC2315" s="254"/>
    </row>
    <row r="2316" spans="1:31" ht="12">
      <c r="A2316" s="67" t="s">
        <v>14988</v>
      </c>
      <c r="B2316" s="65" t="s">
        <v>14989</v>
      </c>
      <c r="C2316" s="71" t="s">
        <v>103</v>
      </c>
      <c r="D2316" s="78">
        <v>1</v>
      </c>
      <c r="E2316" s="79">
        <v>18.95</v>
      </c>
      <c r="F2316" s="70">
        <v>18.95</v>
      </c>
      <c r="G2316" s="320"/>
      <c r="H2316" s="79">
        <v>13.36</v>
      </c>
      <c r="I2316" s="79">
        <v>5.59</v>
      </c>
      <c r="J2316" s="79">
        <v>18.95</v>
      </c>
      <c r="K2316" s="79">
        <v>0</v>
      </c>
      <c r="L2316" s="70">
        <v>18.95</v>
      </c>
      <c r="M2316" s="132"/>
      <c r="N2316" s="79">
        <v>13.36</v>
      </c>
      <c r="O2316" s="79">
        <v>5.59</v>
      </c>
      <c r="P2316" s="79">
        <v>18.95</v>
      </c>
      <c r="Q2316" s="136"/>
      <c r="R2316" s="79">
        <v>13.36</v>
      </c>
      <c r="S2316" s="79">
        <v>5.58</v>
      </c>
      <c r="T2316" s="79">
        <v>18.939999999999998</v>
      </c>
      <c r="U2316" s="79">
        <v>0</v>
      </c>
      <c r="V2316" s="189">
        <v>18.939999999999998</v>
      </c>
      <c r="X2316" s="79">
        <v>13.36</v>
      </c>
      <c r="Y2316" s="79">
        <v>5.58</v>
      </c>
      <c r="Z2316" s="79">
        <v>18.940000000000001</v>
      </c>
      <c r="AA2316" s="255">
        <v>9.9999999999980105E-3</v>
      </c>
      <c r="AC2316" s="254"/>
    </row>
    <row r="2317" spans="1:31" ht="12">
      <c r="A2317" s="67" t="s">
        <v>14990</v>
      </c>
      <c r="B2317" s="65" t="s">
        <v>14991</v>
      </c>
      <c r="C2317" s="71" t="s">
        <v>103</v>
      </c>
      <c r="D2317" s="78">
        <v>1</v>
      </c>
      <c r="E2317" s="79">
        <v>21.310000000000002</v>
      </c>
      <c r="F2317" s="70">
        <v>21.31</v>
      </c>
      <c r="G2317" s="320"/>
      <c r="H2317" s="79">
        <v>15.72</v>
      </c>
      <c r="I2317" s="79">
        <v>5.59</v>
      </c>
      <c r="J2317" s="79">
        <v>21.310000000000002</v>
      </c>
      <c r="K2317" s="79">
        <v>0</v>
      </c>
      <c r="L2317" s="70">
        <v>21.310000000000002</v>
      </c>
      <c r="M2317" s="132"/>
      <c r="N2317" s="79">
        <v>15.72</v>
      </c>
      <c r="O2317" s="79">
        <v>5.59</v>
      </c>
      <c r="P2317" s="79">
        <v>21.310000000000002</v>
      </c>
      <c r="Q2317" s="136"/>
      <c r="R2317" s="79">
        <v>15.72</v>
      </c>
      <c r="S2317" s="79">
        <v>5.58</v>
      </c>
      <c r="T2317" s="79">
        <v>21.3</v>
      </c>
      <c r="U2317" s="79">
        <v>0</v>
      </c>
      <c r="V2317" s="189">
        <v>21.3</v>
      </c>
      <c r="X2317" s="79">
        <v>15.72</v>
      </c>
      <c r="Y2317" s="79">
        <v>5.58</v>
      </c>
      <c r="Z2317" s="79">
        <v>21.3</v>
      </c>
      <c r="AA2317" s="255">
        <v>9.9999999999980105E-3</v>
      </c>
      <c r="AC2317" s="254"/>
    </row>
    <row r="2318" spans="1:31" ht="12">
      <c r="A2318" s="67" t="s">
        <v>14992</v>
      </c>
      <c r="B2318" s="65" t="s">
        <v>14993</v>
      </c>
      <c r="C2318" s="71" t="s">
        <v>103</v>
      </c>
      <c r="D2318" s="78">
        <v>1</v>
      </c>
      <c r="E2318" s="79">
        <v>23.33</v>
      </c>
      <c r="F2318" s="70">
        <v>23.33</v>
      </c>
      <c r="G2318" s="320"/>
      <c r="H2318" s="79">
        <v>17.739999999999998</v>
      </c>
      <c r="I2318" s="79">
        <v>5.59</v>
      </c>
      <c r="J2318" s="79">
        <v>23.33</v>
      </c>
      <c r="K2318" s="79">
        <v>0</v>
      </c>
      <c r="L2318" s="70">
        <v>23.33</v>
      </c>
      <c r="M2318" s="132"/>
      <c r="N2318" s="79">
        <v>17.739999999999998</v>
      </c>
      <c r="O2318" s="79">
        <v>5.59</v>
      </c>
      <c r="P2318" s="79">
        <v>23.33</v>
      </c>
      <c r="Q2318" s="136"/>
      <c r="R2318" s="79">
        <v>17.739999999999998</v>
      </c>
      <c r="S2318" s="79">
        <v>5.58</v>
      </c>
      <c r="T2318" s="79">
        <v>23.32</v>
      </c>
      <c r="U2318" s="79">
        <v>0</v>
      </c>
      <c r="V2318" s="189">
        <v>23.32</v>
      </c>
      <c r="X2318" s="79">
        <v>17.739999999999998</v>
      </c>
      <c r="Y2318" s="79">
        <v>5.58</v>
      </c>
      <c r="Z2318" s="79">
        <v>23.32</v>
      </c>
      <c r="AA2318" s="255">
        <v>9.9999999999980105E-3</v>
      </c>
      <c r="AC2318" s="254"/>
    </row>
    <row r="2319" spans="1:31" ht="12">
      <c r="A2319" s="489" t="s">
        <v>14994</v>
      </c>
      <c r="B2319" s="490" t="s">
        <v>14995</v>
      </c>
      <c r="C2319" s="491"/>
      <c r="D2319" s="492"/>
      <c r="E2319" s="79"/>
      <c r="F2319" s="63"/>
      <c r="G2319" s="320"/>
      <c r="H2319" s="79"/>
      <c r="I2319" s="79"/>
      <c r="J2319" s="79"/>
      <c r="K2319" s="79"/>
      <c r="L2319" s="70"/>
      <c r="M2319" s="132"/>
      <c r="N2319" s="79"/>
      <c r="O2319" s="79"/>
      <c r="P2319" s="79"/>
      <c r="Q2319" s="136"/>
      <c r="R2319" s="79"/>
      <c r="S2319" s="79"/>
      <c r="T2319" s="79"/>
      <c r="U2319" s="79"/>
      <c r="V2319" s="189"/>
      <c r="X2319" s="79"/>
      <c r="Y2319" s="79"/>
      <c r="Z2319" s="79"/>
      <c r="AA2319" s="255"/>
      <c r="AC2319" s="254"/>
    </row>
    <row r="2320" spans="1:31" ht="12">
      <c r="A2320" s="67" t="s">
        <v>14996</v>
      </c>
      <c r="B2320" s="65" t="s">
        <v>14997</v>
      </c>
      <c r="C2320" s="71" t="s">
        <v>103</v>
      </c>
      <c r="D2320" s="78">
        <v>1</v>
      </c>
      <c r="E2320" s="79">
        <v>5.43</v>
      </c>
      <c r="F2320" s="70">
        <v>5.43</v>
      </c>
      <c r="G2320" s="320"/>
      <c r="H2320" s="79">
        <v>0.96</v>
      </c>
      <c r="I2320" s="79">
        <v>4.47</v>
      </c>
      <c r="J2320" s="79">
        <v>5.43</v>
      </c>
      <c r="K2320" s="79">
        <v>0</v>
      </c>
      <c r="L2320" s="70">
        <v>5.43</v>
      </c>
      <c r="M2320" s="132"/>
      <c r="N2320" s="79">
        <v>0.96</v>
      </c>
      <c r="O2320" s="79">
        <v>4.47</v>
      </c>
      <c r="P2320" s="79">
        <v>5.43</v>
      </c>
      <c r="Q2320" s="136"/>
      <c r="R2320" s="79">
        <v>0.96</v>
      </c>
      <c r="S2320" s="79">
        <v>4.47</v>
      </c>
      <c r="T2320" s="79">
        <v>5.43</v>
      </c>
      <c r="U2320" s="79">
        <v>0</v>
      </c>
      <c r="V2320" s="189">
        <v>5.43</v>
      </c>
      <c r="X2320" s="79">
        <v>0.96</v>
      </c>
      <c r="Y2320" s="79">
        <v>4.47</v>
      </c>
      <c r="Z2320" s="79">
        <v>5.43</v>
      </c>
      <c r="AA2320" s="255">
        <v>0</v>
      </c>
      <c r="AC2320" s="254"/>
    </row>
    <row r="2321" spans="1:31" ht="12">
      <c r="A2321" s="67" t="s">
        <v>14998</v>
      </c>
      <c r="B2321" s="65" t="s">
        <v>14999</v>
      </c>
      <c r="C2321" s="71" t="s">
        <v>103</v>
      </c>
      <c r="D2321" s="78">
        <v>1</v>
      </c>
      <c r="E2321" s="79">
        <v>16.009999999999998</v>
      </c>
      <c r="F2321" s="70">
        <v>16.010000000000002</v>
      </c>
      <c r="G2321" s="320"/>
      <c r="H2321" s="79">
        <v>7.63</v>
      </c>
      <c r="I2321" s="79">
        <v>8.379999999999999</v>
      </c>
      <c r="J2321" s="79">
        <v>16.009999999999998</v>
      </c>
      <c r="K2321" s="79">
        <v>0</v>
      </c>
      <c r="L2321" s="70">
        <v>16.009999999999998</v>
      </c>
      <c r="M2321" s="132"/>
      <c r="N2321" s="79">
        <v>7.63</v>
      </c>
      <c r="O2321" s="79">
        <v>8.379999999999999</v>
      </c>
      <c r="P2321" s="79">
        <v>16.009999999999998</v>
      </c>
      <c r="Q2321" s="136"/>
      <c r="R2321" s="79">
        <v>7.63</v>
      </c>
      <c r="S2321" s="79">
        <v>8.3800000000000008</v>
      </c>
      <c r="T2321" s="79">
        <v>16.010000000000002</v>
      </c>
      <c r="U2321" s="79">
        <v>0</v>
      </c>
      <c r="V2321" s="189">
        <v>16.010000000000002</v>
      </c>
      <c r="X2321" s="79">
        <v>7.63</v>
      </c>
      <c r="Y2321" s="79">
        <v>8.3800000000000008</v>
      </c>
      <c r="Z2321" s="79">
        <v>16.010000000000002</v>
      </c>
      <c r="AA2321" s="255">
        <v>0</v>
      </c>
      <c r="AC2321" s="254"/>
    </row>
    <row r="2322" spans="1:31" ht="12">
      <c r="A2322" s="67" t="s">
        <v>15000</v>
      </c>
      <c r="B2322" s="65" t="s">
        <v>15001</v>
      </c>
      <c r="C2322" s="71" t="s">
        <v>103</v>
      </c>
      <c r="D2322" s="78">
        <v>1</v>
      </c>
      <c r="E2322" s="79">
        <v>16.89</v>
      </c>
      <c r="F2322" s="70">
        <v>16.89</v>
      </c>
      <c r="G2322" s="320"/>
      <c r="H2322" s="79">
        <v>8.51</v>
      </c>
      <c r="I2322" s="79">
        <v>8.379999999999999</v>
      </c>
      <c r="J2322" s="79">
        <v>16.89</v>
      </c>
      <c r="K2322" s="79">
        <v>0</v>
      </c>
      <c r="L2322" s="70">
        <v>16.89</v>
      </c>
      <c r="M2322" s="132"/>
      <c r="N2322" s="79">
        <v>8.51</v>
      </c>
      <c r="O2322" s="79">
        <v>8.379999999999999</v>
      </c>
      <c r="P2322" s="79">
        <v>16.89</v>
      </c>
      <c r="Q2322" s="136"/>
      <c r="R2322" s="79">
        <v>8.51</v>
      </c>
      <c r="S2322" s="79">
        <v>8.3800000000000008</v>
      </c>
      <c r="T2322" s="79">
        <v>16.89</v>
      </c>
      <c r="U2322" s="79">
        <v>0</v>
      </c>
      <c r="V2322" s="189">
        <v>16.89</v>
      </c>
      <c r="X2322" s="79">
        <v>8.51</v>
      </c>
      <c r="Y2322" s="79">
        <v>8.3800000000000008</v>
      </c>
      <c r="Z2322" s="79">
        <v>16.89</v>
      </c>
      <c r="AA2322" s="255">
        <v>0</v>
      </c>
      <c r="AC2322" s="254"/>
      <c r="AD2322" s="69"/>
      <c r="AE2322" s="69"/>
    </row>
    <row r="2323" spans="1:31" ht="12">
      <c r="A2323" s="67" t="s">
        <v>15002</v>
      </c>
      <c r="B2323" s="65" t="s">
        <v>15003</v>
      </c>
      <c r="C2323" s="71" t="s">
        <v>103</v>
      </c>
      <c r="D2323" s="78">
        <v>1</v>
      </c>
      <c r="E2323" s="79">
        <v>17.579999999999998</v>
      </c>
      <c r="F2323" s="70">
        <v>17.579999999999998</v>
      </c>
      <c r="G2323" s="320"/>
      <c r="H2323" s="79">
        <v>9.1999999999999993</v>
      </c>
      <c r="I2323" s="79">
        <v>8.379999999999999</v>
      </c>
      <c r="J2323" s="79">
        <v>17.579999999999998</v>
      </c>
      <c r="K2323" s="79">
        <v>0</v>
      </c>
      <c r="L2323" s="70">
        <v>17.579999999999998</v>
      </c>
      <c r="M2323" s="132"/>
      <c r="N2323" s="79">
        <v>9.1999999999999993</v>
      </c>
      <c r="O2323" s="79">
        <v>8.379999999999999</v>
      </c>
      <c r="P2323" s="79">
        <v>17.579999999999998</v>
      </c>
      <c r="Q2323" s="136"/>
      <c r="R2323" s="79">
        <v>9.1999999999999993</v>
      </c>
      <c r="S2323" s="79">
        <v>8.3800000000000008</v>
      </c>
      <c r="T2323" s="79">
        <v>17.579999999999998</v>
      </c>
      <c r="U2323" s="79">
        <v>0</v>
      </c>
      <c r="V2323" s="189">
        <v>17.579999999999998</v>
      </c>
      <c r="X2323" s="79">
        <v>9.1999999999999993</v>
      </c>
      <c r="Y2323" s="79">
        <v>8.3800000000000008</v>
      </c>
      <c r="Z2323" s="79">
        <v>17.579999999999998</v>
      </c>
      <c r="AA2323" s="255">
        <v>0</v>
      </c>
      <c r="AC2323" s="254"/>
    </row>
    <row r="2324" spans="1:31" s="69" customFormat="1" ht="12">
      <c r="A2324" s="67" t="s">
        <v>15004</v>
      </c>
      <c r="B2324" s="65" t="s">
        <v>15005</v>
      </c>
      <c r="C2324" s="71" t="s">
        <v>103</v>
      </c>
      <c r="D2324" s="78">
        <v>1</v>
      </c>
      <c r="E2324" s="79">
        <v>17.96</v>
      </c>
      <c r="F2324" s="70">
        <v>17.96</v>
      </c>
      <c r="G2324" s="320"/>
      <c r="H2324" s="79">
        <v>9.58</v>
      </c>
      <c r="I2324" s="79">
        <v>8.379999999999999</v>
      </c>
      <c r="J2324" s="79">
        <v>17.96</v>
      </c>
      <c r="K2324" s="79">
        <v>0</v>
      </c>
      <c r="L2324" s="70">
        <v>17.96</v>
      </c>
      <c r="M2324" s="132"/>
      <c r="N2324" s="79">
        <v>9.58</v>
      </c>
      <c r="O2324" s="79">
        <v>8.379999999999999</v>
      </c>
      <c r="P2324" s="79">
        <v>17.96</v>
      </c>
      <c r="Q2324" s="136"/>
      <c r="R2324" s="79">
        <v>9.58</v>
      </c>
      <c r="S2324" s="79">
        <v>8.3800000000000008</v>
      </c>
      <c r="T2324" s="79">
        <v>17.96</v>
      </c>
      <c r="U2324" s="79">
        <v>0</v>
      </c>
      <c r="V2324" s="189">
        <v>17.96</v>
      </c>
      <c r="W2324" s="61"/>
      <c r="X2324" s="79">
        <v>9.58</v>
      </c>
      <c r="Y2324" s="79">
        <v>8.3800000000000008</v>
      </c>
      <c r="Z2324" s="79">
        <v>17.96</v>
      </c>
      <c r="AA2324" s="255">
        <v>0</v>
      </c>
      <c r="AB2324" s="61"/>
      <c r="AC2324" s="254"/>
      <c r="AD2324" s="236"/>
      <c r="AE2324" s="236"/>
    </row>
    <row r="2325" spans="1:31" ht="12">
      <c r="A2325" s="67" t="s">
        <v>15006</v>
      </c>
      <c r="B2325" s="65" t="s">
        <v>15007</v>
      </c>
      <c r="C2325" s="71" t="s">
        <v>103</v>
      </c>
      <c r="D2325" s="78">
        <v>1</v>
      </c>
      <c r="E2325" s="79">
        <v>24.849999999999998</v>
      </c>
      <c r="F2325" s="70">
        <v>24.85</v>
      </c>
      <c r="G2325" s="320"/>
      <c r="H2325" s="79">
        <v>16.47</v>
      </c>
      <c r="I2325" s="79">
        <v>8.379999999999999</v>
      </c>
      <c r="J2325" s="79">
        <v>24.849999999999998</v>
      </c>
      <c r="K2325" s="79">
        <v>0</v>
      </c>
      <c r="L2325" s="70">
        <v>24.849999999999998</v>
      </c>
      <c r="M2325" s="132"/>
      <c r="N2325" s="79">
        <v>16.47</v>
      </c>
      <c r="O2325" s="79">
        <v>8.379999999999999</v>
      </c>
      <c r="P2325" s="79">
        <v>24.849999999999998</v>
      </c>
      <c r="Q2325" s="136"/>
      <c r="R2325" s="79">
        <v>16.47</v>
      </c>
      <c r="S2325" s="79">
        <v>8.3800000000000008</v>
      </c>
      <c r="T2325" s="79">
        <v>24.85</v>
      </c>
      <c r="U2325" s="79">
        <v>0</v>
      </c>
      <c r="V2325" s="189">
        <v>24.85</v>
      </c>
      <c r="X2325" s="79">
        <v>16.47</v>
      </c>
      <c r="Y2325" s="79">
        <v>8.3800000000000008</v>
      </c>
      <c r="Z2325" s="79">
        <v>24.85</v>
      </c>
      <c r="AA2325" s="255">
        <v>0</v>
      </c>
      <c r="AC2325" s="254"/>
    </row>
    <row r="2326" spans="1:31" ht="12">
      <c r="A2326" s="67" t="s">
        <v>15008</v>
      </c>
      <c r="B2326" s="65" t="s">
        <v>15009</v>
      </c>
      <c r="C2326" s="71" t="s">
        <v>103</v>
      </c>
      <c r="D2326" s="78">
        <v>1</v>
      </c>
      <c r="E2326" s="79">
        <v>24.08</v>
      </c>
      <c r="F2326" s="70">
        <v>24.08</v>
      </c>
      <c r="G2326" s="320"/>
      <c r="H2326" s="79">
        <v>15.7</v>
      </c>
      <c r="I2326" s="79">
        <v>8.379999999999999</v>
      </c>
      <c r="J2326" s="79">
        <v>24.08</v>
      </c>
      <c r="K2326" s="79">
        <v>0</v>
      </c>
      <c r="L2326" s="70">
        <v>24.08</v>
      </c>
      <c r="M2326" s="132"/>
      <c r="N2326" s="79">
        <v>15.7</v>
      </c>
      <c r="O2326" s="79">
        <v>8.379999999999999</v>
      </c>
      <c r="P2326" s="79">
        <v>24.08</v>
      </c>
      <c r="Q2326" s="136"/>
      <c r="R2326" s="79">
        <v>15.7</v>
      </c>
      <c r="S2326" s="79">
        <v>8.3800000000000008</v>
      </c>
      <c r="T2326" s="79">
        <v>24.08</v>
      </c>
      <c r="U2326" s="79">
        <v>0</v>
      </c>
      <c r="V2326" s="189">
        <v>24.08</v>
      </c>
      <c r="X2326" s="79">
        <v>15.7</v>
      </c>
      <c r="Y2326" s="79">
        <v>8.3800000000000008</v>
      </c>
      <c r="Z2326" s="79">
        <v>24.08</v>
      </c>
      <c r="AA2326" s="255">
        <v>0</v>
      </c>
      <c r="AC2326" s="254"/>
    </row>
    <row r="2327" spans="1:31" ht="12">
      <c r="A2327" s="67" t="s">
        <v>15010</v>
      </c>
      <c r="B2327" s="65" t="s">
        <v>15011</v>
      </c>
      <c r="C2327" s="71" t="s">
        <v>103</v>
      </c>
      <c r="D2327" s="78">
        <v>1</v>
      </c>
      <c r="E2327" s="79">
        <v>31.72</v>
      </c>
      <c r="F2327" s="70">
        <v>31.72</v>
      </c>
      <c r="G2327" s="320"/>
      <c r="H2327" s="79">
        <v>23.34</v>
      </c>
      <c r="I2327" s="79">
        <v>8.379999999999999</v>
      </c>
      <c r="J2327" s="79">
        <v>31.72</v>
      </c>
      <c r="K2327" s="79">
        <v>0</v>
      </c>
      <c r="L2327" s="70">
        <v>31.72</v>
      </c>
      <c r="M2327" s="132"/>
      <c r="N2327" s="79">
        <v>23.34</v>
      </c>
      <c r="O2327" s="79">
        <v>8.379999999999999</v>
      </c>
      <c r="P2327" s="79">
        <v>31.72</v>
      </c>
      <c r="Q2327" s="136"/>
      <c r="R2327" s="79">
        <v>23.34</v>
      </c>
      <c r="S2327" s="79">
        <v>8.3800000000000008</v>
      </c>
      <c r="T2327" s="79">
        <v>31.72</v>
      </c>
      <c r="U2327" s="79">
        <v>0</v>
      </c>
      <c r="V2327" s="189">
        <v>31.72</v>
      </c>
      <c r="X2327" s="79">
        <v>23.34</v>
      </c>
      <c r="Y2327" s="79">
        <v>8.3800000000000008</v>
      </c>
      <c r="Z2327" s="79">
        <v>31.72</v>
      </c>
      <c r="AA2327" s="255">
        <v>0</v>
      </c>
      <c r="AC2327" s="254"/>
    </row>
    <row r="2328" spans="1:31" ht="12">
      <c r="A2328" s="67" t="s">
        <v>15012</v>
      </c>
      <c r="B2328" s="65" t="s">
        <v>15013</v>
      </c>
      <c r="C2328" s="71" t="s">
        <v>103</v>
      </c>
      <c r="D2328" s="78">
        <v>1</v>
      </c>
      <c r="E2328" s="79">
        <v>44.25</v>
      </c>
      <c r="F2328" s="70">
        <v>44.25</v>
      </c>
      <c r="G2328" s="320"/>
      <c r="H2328" s="79">
        <v>33.090000000000003</v>
      </c>
      <c r="I2328" s="79">
        <v>11.16</v>
      </c>
      <c r="J2328" s="79">
        <v>44.25</v>
      </c>
      <c r="K2328" s="79">
        <v>0</v>
      </c>
      <c r="L2328" s="70">
        <v>44.25</v>
      </c>
      <c r="M2328" s="132"/>
      <c r="N2328" s="79">
        <v>33.090000000000003</v>
      </c>
      <c r="O2328" s="79">
        <v>11.16</v>
      </c>
      <c r="P2328" s="79">
        <v>44.25</v>
      </c>
      <c r="Q2328" s="136"/>
      <c r="R2328" s="79">
        <v>33.090000000000003</v>
      </c>
      <c r="S2328" s="79">
        <v>11.16</v>
      </c>
      <c r="T2328" s="79">
        <v>44.25</v>
      </c>
      <c r="U2328" s="79">
        <v>0</v>
      </c>
      <c r="V2328" s="189">
        <v>44.25</v>
      </c>
      <c r="X2328" s="79">
        <v>33.090000000000003</v>
      </c>
      <c r="Y2328" s="79">
        <v>11.16</v>
      </c>
      <c r="Z2328" s="79">
        <v>44.25</v>
      </c>
      <c r="AA2328" s="255">
        <v>0</v>
      </c>
      <c r="AC2328" s="254"/>
    </row>
    <row r="2329" spans="1:31" ht="12">
      <c r="A2329" s="67" t="s">
        <v>15014</v>
      </c>
      <c r="B2329" s="65" t="s">
        <v>15015</v>
      </c>
      <c r="C2329" s="71" t="s">
        <v>103</v>
      </c>
      <c r="D2329" s="78">
        <v>1</v>
      </c>
      <c r="E2329" s="79">
        <v>44.44</v>
      </c>
      <c r="F2329" s="70">
        <v>44.44</v>
      </c>
      <c r="G2329" s="320"/>
      <c r="H2329" s="79">
        <v>33.28</v>
      </c>
      <c r="I2329" s="79">
        <v>11.16</v>
      </c>
      <c r="J2329" s="79">
        <v>44.44</v>
      </c>
      <c r="K2329" s="79">
        <v>0</v>
      </c>
      <c r="L2329" s="70">
        <v>44.44</v>
      </c>
      <c r="M2329" s="132"/>
      <c r="N2329" s="79">
        <v>33.28</v>
      </c>
      <c r="O2329" s="79">
        <v>11.16</v>
      </c>
      <c r="P2329" s="79">
        <v>44.44</v>
      </c>
      <c r="Q2329" s="136"/>
      <c r="R2329" s="79">
        <v>33.28</v>
      </c>
      <c r="S2329" s="79">
        <v>11.16</v>
      </c>
      <c r="T2329" s="79">
        <v>44.44</v>
      </c>
      <c r="U2329" s="79">
        <v>0</v>
      </c>
      <c r="V2329" s="189">
        <v>44.44</v>
      </c>
      <c r="X2329" s="79">
        <v>33.28</v>
      </c>
      <c r="Y2329" s="79">
        <v>11.16</v>
      </c>
      <c r="Z2329" s="79">
        <v>44.44</v>
      </c>
      <c r="AA2329" s="255">
        <v>0</v>
      </c>
      <c r="AC2329" s="254"/>
    </row>
    <row r="2330" spans="1:31" ht="12">
      <c r="A2330" s="67" t="s">
        <v>15016</v>
      </c>
      <c r="B2330" s="65" t="s">
        <v>15017</v>
      </c>
      <c r="C2330" s="71" t="s">
        <v>103</v>
      </c>
      <c r="D2330" s="78">
        <v>1</v>
      </c>
      <c r="E2330" s="79">
        <v>53.06</v>
      </c>
      <c r="F2330" s="70">
        <v>53.06</v>
      </c>
      <c r="G2330" s="320"/>
      <c r="H2330" s="79">
        <v>41.9</v>
      </c>
      <c r="I2330" s="79">
        <v>11.16</v>
      </c>
      <c r="J2330" s="79">
        <v>53.06</v>
      </c>
      <c r="K2330" s="79">
        <v>0</v>
      </c>
      <c r="L2330" s="70">
        <v>53.06</v>
      </c>
      <c r="M2330" s="132"/>
      <c r="N2330" s="79">
        <v>41.9</v>
      </c>
      <c r="O2330" s="79">
        <v>11.16</v>
      </c>
      <c r="P2330" s="79">
        <v>53.06</v>
      </c>
      <c r="Q2330" s="136"/>
      <c r="R2330" s="79">
        <v>41.9</v>
      </c>
      <c r="S2330" s="79">
        <v>11.16</v>
      </c>
      <c r="T2330" s="79">
        <v>53.06</v>
      </c>
      <c r="U2330" s="79">
        <v>0</v>
      </c>
      <c r="V2330" s="189">
        <v>53.06</v>
      </c>
      <c r="X2330" s="79">
        <v>41.9</v>
      </c>
      <c r="Y2330" s="79">
        <v>11.16</v>
      </c>
      <c r="Z2330" s="79">
        <v>53.06</v>
      </c>
      <c r="AA2330" s="255">
        <v>0</v>
      </c>
      <c r="AC2330" s="254"/>
    </row>
    <row r="2331" spans="1:31" ht="12">
      <c r="A2331" s="67" t="s">
        <v>15018</v>
      </c>
      <c r="B2331" s="65" t="s">
        <v>15019</v>
      </c>
      <c r="C2331" s="71" t="s">
        <v>103</v>
      </c>
      <c r="D2331" s="78">
        <v>1</v>
      </c>
      <c r="E2331" s="79">
        <v>58.14</v>
      </c>
      <c r="F2331" s="70">
        <v>58.14</v>
      </c>
      <c r="G2331" s="320"/>
      <c r="H2331" s="79">
        <v>46.98</v>
      </c>
      <c r="I2331" s="79">
        <v>11.16</v>
      </c>
      <c r="J2331" s="79">
        <v>58.14</v>
      </c>
      <c r="K2331" s="79">
        <v>0</v>
      </c>
      <c r="L2331" s="70">
        <v>58.14</v>
      </c>
      <c r="M2331" s="132"/>
      <c r="N2331" s="79">
        <v>46.98</v>
      </c>
      <c r="O2331" s="79">
        <v>11.16</v>
      </c>
      <c r="P2331" s="79">
        <v>58.14</v>
      </c>
      <c r="Q2331" s="136"/>
      <c r="R2331" s="79">
        <v>46.98</v>
      </c>
      <c r="S2331" s="79">
        <v>11.16</v>
      </c>
      <c r="T2331" s="79">
        <v>58.14</v>
      </c>
      <c r="U2331" s="79">
        <v>0</v>
      </c>
      <c r="V2331" s="189">
        <v>58.14</v>
      </c>
      <c r="X2331" s="79">
        <v>46.98</v>
      </c>
      <c r="Y2331" s="79">
        <v>11.16</v>
      </c>
      <c r="Z2331" s="79">
        <v>58.14</v>
      </c>
      <c r="AA2331" s="255">
        <v>0</v>
      </c>
      <c r="AC2331" s="254"/>
    </row>
    <row r="2332" spans="1:31" ht="12">
      <c r="A2332" s="489" t="s">
        <v>15020</v>
      </c>
      <c r="B2332" s="490" t="s">
        <v>15021</v>
      </c>
      <c r="C2332" s="491"/>
      <c r="D2332" s="492"/>
      <c r="E2332" s="79"/>
      <c r="F2332" s="63"/>
      <c r="G2332" s="320"/>
      <c r="H2332" s="79"/>
      <c r="I2332" s="79"/>
      <c r="J2332" s="79"/>
      <c r="K2332" s="79"/>
      <c r="L2332" s="70"/>
      <c r="M2332" s="132"/>
      <c r="N2332" s="79"/>
      <c r="O2332" s="79"/>
      <c r="P2332" s="79"/>
      <c r="Q2332" s="136"/>
      <c r="R2332" s="79"/>
      <c r="S2332" s="79"/>
      <c r="T2332" s="79"/>
      <c r="U2332" s="79"/>
      <c r="V2332" s="189"/>
      <c r="X2332" s="79"/>
      <c r="Y2332" s="79"/>
      <c r="Z2332" s="79"/>
      <c r="AA2332" s="255"/>
      <c r="AC2332" s="254"/>
    </row>
    <row r="2333" spans="1:31" ht="24">
      <c r="A2333" s="67" t="s">
        <v>15022</v>
      </c>
      <c r="B2333" s="65" t="s">
        <v>15023</v>
      </c>
      <c r="C2333" s="71" t="s">
        <v>165</v>
      </c>
      <c r="D2333" s="78">
        <v>1</v>
      </c>
      <c r="E2333" s="79">
        <v>16.34</v>
      </c>
      <c r="F2333" s="70">
        <v>16.34</v>
      </c>
      <c r="G2333" s="320"/>
      <c r="H2333" s="79">
        <v>7.96</v>
      </c>
      <c r="I2333" s="79">
        <v>8.379999999999999</v>
      </c>
      <c r="J2333" s="79">
        <v>16.34</v>
      </c>
      <c r="K2333" s="79">
        <v>0</v>
      </c>
      <c r="L2333" s="70">
        <v>16.34</v>
      </c>
      <c r="M2333" s="132"/>
      <c r="N2333" s="79">
        <v>7.96</v>
      </c>
      <c r="O2333" s="79">
        <v>8.379999999999999</v>
      </c>
      <c r="P2333" s="79">
        <v>16.34</v>
      </c>
      <c r="Q2333" s="136"/>
      <c r="R2333" s="79">
        <v>7.96</v>
      </c>
      <c r="S2333" s="79">
        <v>8.3800000000000008</v>
      </c>
      <c r="T2333" s="79">
        <v>16.34</v>
      </c>
      <c r="U2333" s="79">
        <v>0</v>
      </c>
      <c r="V2333" s="189">
        <v>16.34</v>
      </c>
      <c r="X2333" s="79">
        <v>7.96</v>
      </c>
      <c r="Y2333" s="79">
        <v>8.3800000000000008</v>
      </c>
      <c r="Z2333" s="79">
        <v>16.34</v>
      </c>
      <c r="AA2333" s="255">
        <v>0</v>
      </c>
      <c r="AC2333" s="254"/>
    </row>
    <row r="2334" spans="1:31" ht="24">
      <c r="A2334" s="67" t="s">
        <v>15024</v>
      </c>
      <c r="B2334" s="65" t="s">
        <v>15025</v>
      </c>
      <c r="C2334" s="71" t="s">
        <v>165</v>
      </c>
      <c r="D2334" s="78">
        <v>1</v>
      </c>
      <c r="E2334" s="79">
        <v>22.619999999999997</v>
      </c>
      <c r="F2334" s="70">
        <v>22.62</v>
      </c>
      <c r="G2334" s="320"/>
      <c r="H2334" s="79">
        <v>14.24</v>
      </c>
      <c r="I2334" s="79">
        <v>8.379999999999999</v>
      </c>
      <c r="J2334" s="79">
        <v>22.619999999999997</v>
      </c>
      <c r="K2334" s="79">
        <v>0</v>
      </c>
      <c r="L2334" s="70">
        <v>22.619999999999997</v>
      </c>
      <c r="M2334" s="132"/>
      <c r="N2334" s="79">
        <v>14.24</v>
      </c>
      <c r="O2334" s="79">
        <v>8.379999999999999</v>
      </c>
      <c r="P2334" s="79">
        <v>22.619999999999997</v>
      </c>
      <c r="Q2334" s="136"/>
      <c r="R2334" s="79">
        <v>14.24</v>
      </c>
      <c r="S2334" s="79">
        <v>8.3800000000000008</v>
      </c>
      <c r="T2334" s="79">
        <v>22.62</v>
      </c>
      <c r="U2334" s="79">
        <v>0</v>
      </c>
      <c r="V2334" s="189">
        <v>22.62</v>
      </c>
      <c r="X2334" s="79">
        <v>14.24</v>
      </c>
      <c r="Y2334" s="79">
        <v>8.3800000000000008</v>
      </c>
      <c r="Z2334" s="79">
        <v>22.62</v>
      </c>
      <c r="AA2334" s="255">
        <v>0</v>
      </c>
      <c r="AC2334" s="254"/>
    </row>
    <row r="2335" spans="1:31" ht="24">
      <c r="A2335" s="67" t="s">
        <v>15026</v>
      </c>
      <c r="B2335" s="65" t="s">
        <v>15027</v>
      </c>
      <c r="C2335" s="71" t="s">
        <v>165</v>
      </c>
      <c r="D2335" s="78">
        <v>1</v>
      </c>
      <c r="E2335" s="79">
        <v>45.47</v>
      </c>
      <c r="F2335" s="70">
        <v>45.47</v>
      </c>
      <c r="G2335" s="320"/>
      <c r="H2335" s="79">
        <v>37.090000000000003</v>
      </c>
      <c r="I2335" s="79">
        <v>8.379999999999999</v>
      </c>
      <c r="J2335" s="79">
        <v>45.47</v>
      </c>
      <c r="K2335" s="79">
        <v>0</v>
      </c>
      <c r="L2335" s="70">
        <v>45.47</v>
      </c>
      <c r="M2335" s="132"/>
      <c r="N2335" s="79">
        <v>37.090000000000003</v>
      </c>
      <c r="O2335" s="79">
        <v>8.379999999999999</v>
      </c>
      <c r="P2335" s="79">
        <v>45.47</v>
      </c>
      <c r="Q2335" s="136"/>
      <c r="R2335" s="79">
        <v>37.090000000000003</v>
      </c>
      <c r="S2335" s="79">
        <v>8.3800000000000008</v>
      </c>
      <c r="T2335" s="79">
        <v>45.470000000000006</v>
      </c>
      <c r="U2335" s="79">
        <v>0</v>
      </c>
      <c r="V2335" s="189">
        <v>45.470000000000006</v>
      </c>
      <c r="X2335" s="79">
        <v>37.090000000000003</v>
      </c>
      <c r="Y2335" s="79">
        <v>8.3800000000000008</v>
      </c>
      <c r="Z2335" s="79">
        <v>45.47</v>
      </c>
      <c r="AA2335" s="255">
        <v>0</v>
      </c>
      <c r="AC2335" s="254"/>
    </row>
    <row r="2336" spans="1:31" ht="12">
      <c r="A2336" s="67" t="s">
        <v>40964</v>
      </c>
      <c r="B2336" s="65" t="s">
        <v>40965</v>
      </c>
      <c r="C2336" s="71" t="s">
        <v>165</v>
      </c>
      <c r="D2336" s="78">
        <v>1</v>
      </c>
      <c r="E2336" s="79">
        <v>5.2799999999999994</v>
      </c>
      <c r="F2336" s="70">
        <v>5.28</v>
      </c>
      <c r="G2336" s="320"/>
      <c r="H2336" s="79">
        <v>0.81</v>
      </c>
      <c r="I2336" s="79">
        <v>4.47</v>
      </c>
      <c r="J2336" s="79">
        <v>5.2799999999999994</v>
      </c>
      <c r="K2336" s="79">
        <v>0</v>
      </c>
      <c r="L2336" s="70">
        <v>5.2799999999999994</v>
      </c>
      <c r="M2336" s="132"/>
      <c r="N2336" s="79">
        <v>0.81</v>
      </c>
      <c r="O2336" s="79">
        <v>4.47</v>
      </c>
      <c r="P2336" s="79">
        <v>5.2799999999999994</v>
      </c>
      <c r="Q2336" s="136"/>
      <c r="R2336" s="79">
        <v>0.83</v>
      </c>
      <c r="S2336" s="79">
        <v>4.47</v>
      </c>
      <c r="T2336" s="79">
        <v>5.3</v>
      </c>
      <c r="U2336" s="79">
        <v>0</v>
      </c>
      <c r="V2336" s="189">
        <v>5.3</v>
      </c>
      <c r="X2336" s="79">
        <v>0.83</v>
      </c>
      <c r="Y2336" s="79">
        <v>4.47</v>
      </c>
      <c r="Z2336" s="79">
        <v>5.3</v>
      </c>
      <c r="AA2336" s="255">
        <v>-1.9999999999999574E-2</v>
      </c>
      <c r="AC2336" s="254"/>
      <c r="AD2336" s="61"/>
      <c r="AE2336" s="61"/>
    </row>
    <row r="2337" spans="1:31" ht="12">
      <c r="A2337" s="67" t="s">
        <v>15028</v>
      </c>
      <c r="B2337" s="65" t="s">
        <v>15029</v>
      </c>
      <c r="C2337" s="71" t="s">
        <v>165</v>
      </c>
      <c r="D2337" s="78">
        <v>1</v>
      </c>
      <c r="E2337" s="79">
        <v>18.66</v>
      </c>
      <c r="F2337" s="70">
        <v>18.66</v>
      </c>
      <c r="G2337" s="320"/>
      <c r="H2337" s="79">
        <v>1.91</v>
      </c>
      <c r="I2337" s="79">
        <v>16.75</v>
      </c>
      <c r="J2337" s="79">
        <v>18.66</v>
      </c>
      <c r="K2337" s="79">
        <v>0</v>
      </c>
      <c r="L2337" s="70">
        <v>18.66</v>
      </c>
      <c r="M2337" s="132"/>
      <c r="N2337" s="79">
        <v>1.91</v>
      </c>
      <c r="O2337" s="79">
        <v>16.75</v>
      </c>
      <c r="P2337" s="79">
        <v>18.66</v>
      </c>
      <c r="Q2337" s="136"/>
      <c r="R2337" s="79">
        <v>1.91</v>
      </c>
      <c r="S2337" s="79">
        <v>16.75</v>
      </c>
      <c r="T2337" s="79">
        <v>18.66</v>
      </c>
      <c r="U2337" s="79">
        <v>0</v>
      </c>
      <c r="V2337" s="189">
        <v>18.66</v>
      </c>
      <c r="X2337" s="79">
        <v>1.91</v>
      </c>
      <c r="Y2337" s="79">
        <v>16.75</v>
      </c>
      <c r="Z2337" s="79">
        <v>18.66</v>
      </c>
      <c r="AA2337" s="255">
        <v>0</v>
      </c>
      <c r="AC2337" s="254"/>
      <c r="AD2337" s="61"/>
      <c r="AE2337" s="61"/>
    </row>
    <row r="2338" spans="1:31" s="61" customFormat="1" ht="24">
      <c r="A2338" s="67" t="s">
        <v>15030</v>
      </c>
      <c r="B2338" s="65" t="s">
        <v>15031</v>
      </c>
      <c r="C2338" s="71" t="s">
        <v>165</v>
      </c>
      <c r="D2338" s="78">
        <v>1</v>
      </c>
      <c r="E2338" s="79">
        <v>14.969999999999999</v>
      </c>
      <c r="F2338" s="70">
        <v>14.97</v>
      </c>
      <c r="G2338" s="320"/>
      <c r="H2338" s="79">
        <v>8.2799999999999994</v>
      </c>
      <c r="I2338" s="79">
        <v>6.6899999999999995</v>
      </c>
      <c r="J2338" s="79">
        <v>14.969999999999999</v>
      </c>
      <c r="K2338" s="79">
        <v>0</v>
      </c>
      <c r="L2338" s="70">
        <v>14.969999999999999</v>
      </c>
      <c r="M2338" s="132"/>
      <c r="N2338" s="79">
        <v>8.2799999999999994</v>
      </c>
      <c r="O2338" s="79">
        <v>6.6899999999999995</v>
      </c>
      <c r="P2338" s="79">
        <v>14.969999999999999</v>
      </c>
      <c r="Q2338" s="136"/>
      <c r="R2338" s="79">
        <v>8.2799999999999994</v>
      </c>
      <c r="S2338" s="79">
        <v>6.7</v>
      </c>
      <c r="T2338" s="79">
        <v>14.98</v>
      </c>
      <c r="U2338" s="79">
        <v>0</v>
      </c>
      <c r="V2338" s="189">
        <v>14.98</v>
      </c>
      <c r="X2338" s="79">
        <v>8.2799999999999994</v>
      </c>
      <c r="Y2338" s="79">
        <v>6.7</v>
      </c>
      <c r="Z2338" s="79">
        <v>14.98</v>
      </c>
      <c r="AA2338" s="255">
        <v>-9.9999999999997868E-3</v>
      </c>
      <c r="AC2338" s="254"/>
    </row>
    <row r="2339" spans="1:31" s="61" customFormat="1" ht="12">
      <c r="A2339" s="67" t="s">
        <v>15032</v>
      </c>
      <c r="B2339" s="65" t="s">
        <v>15033</v>
      </c>
      <c r="C2339" s="71" t="s">
        <v>165</v>
      </c>
      <c r="D2339" s="78">
        <v>1</v>
      </c>
      <c r="E2339" s="79">
        <v>10.35</v>
      </c>
      <c r="F2339" s="70">
        <v>10.35</v>
      </c>
      <c r="G2339" s="320"/>
      <c r="H2339" s="79">
        <v>4.76</v>
      </c>
      <c r="I2339" s="79">
        <v>5.59</v>
      </c>
      <c r="J2339" s="79">
        <v>10.35</v>
      </c>
      <c r="K2339" s="79">
        <v>0</v>
      </c>
      <c r="L2339" s="70">
        <v>10.35</v>
      </c>
      <c r="M2339" s="132"/>
      <c r="N2339" s="79">
        <v>4.76</v>
      </c>
      <c r="O2339" s="79">
        <v>5.59</v>
      </c>
      <c r="P2339" s="79">
        <v>10.35</v>
      </c>
      <c r="Q2339" s="136"/>
      <c r="R2339" s="79">
        <v>4.76</v>
      </c>
      <c r="S2339" s="79">
        <v>5.58</v>
      </c>
      <c r="T2339" s="79">
        <v>10.34</v>
      </c>
      <c r="U2339" s="79">
        <v>0</v>
      </c>
      <c r="V2339" s="189">
        <v>10.34</v>
      </c>
      <c r="X2339" s="79">
        <v>4.76</v>
      </c>
      <c r="Y2339" s="79">
        <v>5.58</v>
      </c>
      <c r="Z2339" s="79">
        <v>10.34</v>
      </c>
      <c r="AA2339" s="255">
        <v>9.9999999999997868E-3</v>
      </c>
      <c r="AC2339" s="254"/>
      <c r="AD2339" s="236"/>
      <c r="AE2339" s="236"/>
    </row>
    <row r="2340" spans="1:31" s="61" customFormat="1" ht="24">
      <c r="A2340" s="67" t="s">
        <v>15034</v>
      </c>
      <c r="B2340" s="65" t="s">
        <v>15035</v>
      </c>
      <c r="C2340" s="71" t="s">
        <v>165</v>
      </c>
      <c r="D2340" s="78">
        <v>1</v>
      </c>
      <c r="E2340" s="79">
        <v>24.46</v>
      </c>
      <c r="F2340" s="70">
        <v>24.46</v>
      </c>
      <c r="G2340" s="320"/>
      <c r="H2340" s="79">
        <v>17.2</v>
      </c>
      <c r="I2340" s="79">
        <v>7.26</v>
      </c>
      <c r="J2340" s="79">
        <v>24.46</v>
      </c>
      <c r="K2340" s="79">
        <v>0</v>
      </c>
      <c r="L2340" s="70">
        <v>24.46</v>
      </c>
      <c r="M2340" s="132"/>
      <c r="N2340" s="79">
        <v>17.2</v>
      </c>
      <c r="O2340" s="79">
        <v>7.26</v>
      </c>
      <c r="P2340" s="79">
        <v>24.46</v>
      </c>
      <c r="Q2340" s="136"/>
      <c r="R2340" s="79">
        <v>17.2</v>
      </c>
      <c r="S2340" s="79">
        <v>7.26</v>
      </c>
      <c r="T2340" s="79">
        <v>24.46</v>
      </c>
      <c r="U2340" s="79">
        <v>0</v>
      </c>
      <c r="V2340" s="189">
        <v>24.46</v>
      </c>
      <c r="X2340" s="79">
        <v>17.2</v>
      </c>
      <c r="Y2340" s="79">
        <v>7.26</v>
      </c>
      <c r="Z2340" s="79">
        <v>24.46</v>
      </c>
      <c r="AA2340" s="255">
        <v>0</v>
      </c>
      <c r="AC2340" s="254"/>
      <c r="AD2340" s="236"/>
      <c r="AE2340" s="236"/>
    </row>
    <row r="2341" spans="1:31" ht="24">
      <c r="A2341" s="67" t="s">
        <v>15036</v>
      </c>
      <c r="B2341" s="65" t="s">
        <v>15037</v>
      </c>
      <c r="C2341" s="71" t="s">
        <v>165</v>
      </c>
      <c r="D2341" s="78">
        <v>1</v>
      </c>
      <c r="E2341" s="79">
        <v>49.800000000000004</v>
      </c>
      <c r="F2341" s="70">
        <v>49.8</v>
      </c>
      <c r="G2341" s="320"/>
      <c r="H2341" s="79">
        <v>40.880000000000003</v>
      </c>
      <c r="I2341" s="79">
        <v>8.92</v>
      </c>
      <c r="J2341" s="79">
        <v>49.800000000000004</v>
      </c>
      <c r="K2341" s="79">
        <v>0</v>
      </c>
      <c r="L2341" s="70">
        <v>49.800000000000004</v>
      </c>
      <c r="M2341" s="132"/>
      <c r="N2341" s="79">
        <v>40.880000000000003</v>
      </c>
      <c r="O2341" s="79">
        <v>8.92</v>
      </c>
      <c r="P2341" s="79">
        <v>49.800000000000004</v>
      </c>
      <c r="Q2341" s="136"/>
      <c r="R2341" s="79">
        <v>40.880000000000003</v>
      </c>
      <c r="S2341" s="79">
        <v>8.93</v>
      </c>
      <c r="T2341" s="79">
        <v>49.81</v>
      </c>
      <c r="U2341" s="79">
        <v>0</v>
      </c>
      <c r="V2341" s="189">
        <v>49.81</v>
      </c>
      <c r="X2341" s="79">
        <v>40.880000000000003</v>
      </c>
      <c r="Y2341" s="79">
        <v>8.93</v>
      </c>
      <c r="Z2341" s="79">
        <v>49.81</v>
      </c>
      <c r="AA2341" s="255">
        <v>-1.0000000000005116E-2</v>
      </c>
      <c r="AC2341" s="254"/>
    </row>
    <row r="2342" spans="1:31" ht="24">
      <c r="A2342" s="67" t="s">
        <v>15038</v>
      </c>
      <c r="B2342" s="65" t="s">
        <v>15039</v>
      </c>
      <c r="C2342" s="71" t="s">
        <v>165</v>
      </c>
      <c r="D2342" s="78">
        <v>1</v>
      </c>
      <c r="E2342" s="79">
        <v>87.660000000000011</v>
      </c>
      <c r="F2342" s="70">
        <v>87.66</v>
      </c>
      <c r="G2342" s="320"/>
      <c r="H2342" s="79">
        <v>75.930000000000007</v>
      </c>
      <c r="I2342" s="79">
        <v>11.73</v>
      </c>
      <c r="J2342" s="79">
        <v>87.660000000000011</v>
      </c>
      <c r="K2342" s="79">
        <v>0</v>
      </c>
      <c r="L2342" s="70">
        <v>87.660000000000011</v>
      </c>
      <c r="M2342" s="132"/>
      <c r="N2342" s="79">
        <v>75.930000000000007</v>
      </c>
      <c r="O2342" s="79">
        <v>11.73</v>
      </c>
      <c r="P2342" s="79">
        <v>87.660000000000011</v>
      </c>
      <c r="Q2342" s="136"/>
      <c r="R2342" s="79">
        <v>75.930000000000007</v>
      </c>
      <c r="S2342" s="79">
        <v>11.73</v>
      </c>
      <c r="T2342" s="79">
        <v>87.660000000000011</v>
      </c>
      <c r="U2342" s="79">
        <v>0</v>
      </c>
      <c r="V2342" s="189">
        <v>87.660000000000011</v>
      </c>
      <c r="X2342" s="79">
        <v>75.930000000000007</v>
      </c>
      <c r="Y2342" s="79">
        <v>11.73</v>
      </c>
      <c r="Z2342" s="79">
        <v>87.66</v>
      </c>
      <c r="AA2342" s="255">
        <v>0</v>
      </c>
      <c r="AC2342" s="254"/>
    </row>
    <row r="2343" spans="1:31" ht="24">
      <c r="A2343" s="67" t="s">
        <v>15040</v>
      </c>
      <c r="B2343" s="65" t="s">
        <v>15041</v>
      </c>
      <c r="C2343" s="71" t="s">
        <v>165</v>
      </c>
      <c r="D2343" s="78">
        <v>1</v>
      </c>
      <c r="E2343" s="79">
        <v>20.68</v>
      </c>
      <c r="F2343" s="70">
        <v>20.68</v>
      </c>
      <c r="G2343" s="320"/>
      <c r="H2343" s="79">
        <v>13.99</v>
      </c>
      <c r="I2343" s="79">
        <v>6.6899999999999995</v>
      </c>
      <c r="J2343" s="79">
        <v>20.68</v>
      </c>
      <c r="K2343" s="79">
        <v>0</v>
      </c>
      <c r="L2343" s="70">
        <v>20.68</v>
      </c>
      <c r="M2343" s="132"/>
      <c r="N2343" s="79">
        <v>13.99</v>
      </c>
      <c r="O2343" s="79">
        <v>6.6899999999999995</v>
      </c>
      <c r="P2343" s="79">
        <v>20.68</v>
      </c>
      <c r="Q2343" s="136"/>
      <c r="R2343" s="79">
        <v>13.99</v>
      </c>
      <c r="S2343" s="79">
        <v>6.7</v>
      </c>
      <c r="T2343" s="79">
        <v>20.69</v>
      </c>
      <c r="U2343" s="79">
        <v>0</v>
      </c>
      <c r="V2343" s="189">
        <v>20.69</v>
      </c>
      <c r="X2343" s="79">
        <v>13.99</v>
      </c>
      <c r="Y2343" s="79">
        <v>6.7</v>
      </c>
      <c r="Z2343" s="79">
        <v>20.69</v>
      </c>
      <c r="AA2343" s="255">
        <v>-1.0000000000001563E-2</v>
      </c>
      <c r="AC2343" s="254"/>
    </row>
    <row r="2344" spans="1:31" ht="24">
      <c r="A2344" s="67" t="s">
        <v>15042</v>
      </c>
      <c r="B2344" s="65" t="s">
        <v>15043</v>
      </c>
      <c r="C2344" s="71" t="s">
        <v>165</v>
      </c>
      <c r="D2344" s="78">
        <v>1</v>
      </c>
      <c r="E2344" s="79">
        <v>28.380000000000003</v>
      </c>
      <c r="F2344" s="70">
        <v>28.38</v>
      </c>
      <c r="G2344" s="320"/>
      <c r="H2344" s="79">
        <v>21.12</v>
      </c>
      <c r="I2344" s="79">
        <v>7.26</v>
      </c>
      <c r="J2344" s="79">
        <v>28.380000000000003</v>
      </c>
      <c r="K2344" s="79">
        <v>0</v>
      </c>
      <c r="L2344" s="70">
        <v>28.380000000000003</v>
      </c>
      <c r="M2344" s="132"/>
      <c r="N2344" s="79">
        <v>21.12</v>
      </c>
      <c r="O2344" s="79">
        <v>7.26</v>
      </c>
      <c r="P2344" s="79">
        <v>28.380000000000003</v>
      </c>
      <c r="Q2344" s="136"/>
      <c r="R2344" s="79">
        <v>21.12</v>
      </c>
      <c r="S2344" s="79">
        <v>7.26</v>
      </c>
      <c r="T2344" s="79">
        <v>28.380000000000003</v>
      </c>
      <c r="U2344" s="79">
        <v>0</v>
      </c>
      <c r="V2344" s="189">
        <v>28.380000000000003</v>
      </c>
      <c r="X2344" s="79">
        <v>21.12</v>
      </c>
      <c r="Y2344" s="79">
        <v>7.26</v>
      </c>
      <c r="Z2344" s="79">
        <v>28.38</v>
      </c>
      <c r="AA2344" s="255">
        <v>0</v>
      </c>
      <c r="AC2344" s="254"/>
    </row>
    <row r="2345" spans="1:31" ht="24">
      <c r="A2345" s="67" t="s">
        <v>15044</v>
      </c>
      <c r="B2345" s="65" t="s">
        <v>15045</v>
      </c>
      <c r="C2345" s="71" t="s">
        <v>165</v>
      </c>
      <c r="D2345" s="78">
        <v>1</v>
      </c>
      <c r="E2345" s="79">
        <v>53.160000000000004</v>
      </c>
      <c r="F2345" s="70">
        <v>53.16</v>
      </c>
      <c r="G2345" s="320"/>
      <c r="H2345" s="79">
        <v>44.24</v>
      </c>
      <c r="I2345" s="79">
        <v>8.92</v>
      </c>
      <c r="J2345" s="79">
        <v>53.160000000000004</v>
      </c>
      <c r="K2345" s="79">
        <v>0</v>
      </c>
      <c r="L2345" s="70">
        <v>53.160000000000004</v>
      </c>
      <c r="M2345" s="132"/>
      <c r="N2345" s="79">
        <v>44.24</v>
      </c>
      <c r="O2345" s="79">
        <v>8.92</v>
      </c>
      <c r="P2345" s="79">
        <v>53.160000000000004</v>
      </c>
      <c r="Q2345" s="136"/>
      <c r="R2345" s="79">
        <v>44.24</v>
      </c>
      <c r="S2345" s="79">
        <v>8.93</v>
      </c>
      <c r="T2345" s="79">
        <v>53.17</v>
      </c>
      <c r="U2345" s="79">
        <v>0</v>
      </c>
      <c r="V2345" s="189">
        <v>53.17</v>
      </c>
      <c r="X2345" s="79">
        <v>44.24</v>
      </c>
      <c r="Y2345" s="79">
        <v>8.93</v>
      </c>
      <c r="Z2345" s="79">
        <v>53.17</v>
      </c>
      <c r="AA2345" s="255">
        <v>-1.0000000000005116E-2</v>
      </c>
      <c r="AC2345" s="254"/>
    </row>
    <row r="2346" spans="1:31" ht="24">
      <c r="A2346" s="67" t="s">
        <v>15046</v>
      </c>
      <c r="B2346" s="65" t="s">
        <v>15047</v>
      </c>
      <c r="C2346" s="71" t="s">
        <v>165</v>
      </c>
      <c r="D2346" s="78">
        <v>1</v>
      </c>
      <c r="E2346" s="79">
        <v>21.61</v>
      </c>
      <c r="F2346" s="70">
        <v>21.61</v>
      </c>
      <c r="G2346" s="320"/>
      <c r="H2346" s="79">
        <v>14.92</v>
      </c>
      <c r="I2346" s="79">
        <v>6.6899999999999995</v>
      </c>
      <c r="J2346" s="79">
        <v>21.61</v>
      </c>
      <c r="K2346" s="79">
        <v>0</v>
      </c>
      <c r="L2346" s="70">
        <v>21.61</v>
      </c>
      <c r="M2346" s="132"/>
      <c r="N2346" s="79">
        <v>14.92</v>
      </c>
      <c r="O2346" s="79">
        <v>6.6899999999999995</v>
      </c>
      <c r="P2346" s="79">
        <v>21.61</v>
      </c>
      <c r="Q2346" s="136"/>
      <c r="R2346" s="79">
        <v>14.92</v>
      </c>
      <c r="S2346" s="79">
        <v>6.7</v>
      </c>
      <c r="T2346" s="79">
        <v>21.62</v>
      </c>
      <c r="U2346" s="79">
        <v>0</v>
      </c>
      <c r="V2346" s="189">
        <v>21.62</v>
      </c>
      <c r="X2346" s="79">
        <v>14.92</v>
      </c>
      <c r="Y2346" s="79">
        <v>6.7</v>
      </c>
      <c r="Z2346" s="79">
        <v>21.62</v>
      </c>
      <c r="AA2346" s="255">
        <v>-1.0000000000001563E-2</v>
      </c>
      <c r="AC2346" s="254"/>
    </row>
    <row r="2347" spans="1:31" ht="24">
      <c r="A2347" s="67" t="s">
        <v>15048</v>
      </c>
      <c r="B2347" s="65" t="s">
        <v>15049</v>
      </c>
      <c r="C2347" s="71" t="s">
        <v>165</v>
      </c>
      <c r="D2347" s="78">
        <v>1</v>
      </c>
      <c r="E2347" s="79">
        <v>29.64</v>
      </c>
      <c r="F2347" s="70">
        <v>29.64</v>
      </c>
      <c r="G2347" s="320"/>
      <c r="H2347" s="79">
        <v>22.38</v>
      </c>
      <c r="I2347" s="79">
        <v>7.26</v>
      </c>
      <c r="J2347" s="79">
        <v>29.64</v>
      </c>
      <c r="K2347" s="79">
        <v>0</v>
      </c>
      <c r="L2347" s="70">
        <v>29.64</v>
      </c>
      <c r="M2347" s="132"/>
      <c r="N2347" s="79">
        <v>22.38</v>
      </c>
      <c r="O2347" s="79">
        <v>7.26</v>
      </c>
      <c r="P2347" s="79">
        <v>29.64</v>
      </c>
      <c r="Q2347" s="136"/>
      <c r="R2347" s="79">
        <v>22.38</v>
      </c>
      <c r="S2347" s="79">
        <v>7.26</v>
      </c>
      <c r="T2347" s="79">
        <v>29.64</v>
      </c>
      <c r="U2347" s="79">
        <v>0</v>
      </c>
      <c r="V2347" s="189">
        <v>29.64</v>
      </c>
      <c r="X2347" s="79">
        <v>22.38</v>
      </c>
      <c r="Y2347" s="79">
        <v>7.26</v>
      </c>
      <c r="Z2347" s="79">
        <v>29.64</v>
      </c>
      <c r="AA2347" s="255">
        <v>0</v>
      </c>
      <c r="AC2347" s="254"/>
    </row>
    <row r="2348" spans="1:31" ht="24">
      <c r="A2348" s="67" t="s">
        <v>15050</v>
      </c>
      <c r="B2348" s="65" t="s">
        <v>15051</v>
      </c>
      <c r="C2348" s="71" t="s">
        <v>165</v>
      </c>
      <c r="D2348" s="78">
        <v>1</v>
      </c>
      <c r="E2348" s="79">
        <v>62.730000000000004</v>
      </c>
      <c r="F2348" s="70">
        <v>62.73</v>
      </c>
      <c r="G2348" s="320"/>
      <c r="H2348" s="79">
        <v>53.81</v>
      </c>
      <c r="I2348" s="79">
        <v>8.92</v>
      </c>
      <c r="J2348" s="79">
        <v>62.730000000000004</v>
      </c>
      <c r="K2348" s="79">
        <v>0</v>
      </c>
      <c r="L2348" s="70">
        <v>62.730000000000004</v>
      </c>
      <c r="M2348" s="132"/>
      <c r="N2348" s="79">
        <v>53.81</v>
      </c>
      <c r="O2348" s="79">
        <v>8.92</v>
      </c>
      <c r="P2348" s="79">
        <v>62.730000000000004</v>
      </c>
      <c r="Q2348" s="136"/>
      <c r="R2348" s="79">
        <v>53.81</v>
      </c>
      <c r="S2348" s="79">
        <v>8.93</v>
      </c>
      <c r="T2348" s="79">
        <v>62.74</v>
      </c>
      <c r="U2348" s="79">
        <v>0</v>
      </c>
      <c r="V2348" s="189">
        <v>62.74</v>
      </c>
      <c r="X2348" s="79">
        <v>53.81</v>
      </c>
      <c r="Y2348" s="79">
        <v>8.93</v>
      </c>
      <c r="Z2348" s="79">
        <v>62.74</v>
      </c>
      <c r="AA2348" s="255">
        <v>-1.0000000000005116E-2</v>
      </c>
      <c r="AC2348" s="254"/>
    </row>
    <row r="2349" spans="1:31" ht="12">
      <c r="A2349" s="489" t="s">
        <v>15052</v>
      </c>
      <c r="B2349" s="490" t="s">
        <v>15053</v>
      </c>
      <c r="C2349" s="491"/>
      <c r="D2349" s="492"/>
      <c r="E2349" s="79"/>
      <c r="F2349" s="63"/>
      <c r="G2349" s="320"/>
      <c r="H2349" s="79"/>
      <c r="I2349" s="79"/>
      <c r="J2349" s="79"/>
      <c r="K2349" s="79"/>
      <c r="L2349" s="70"/>
      <c r="M2349" s="132"/>
      <c r="N2349" s="79"/>
      <c r="O2349" s="79"/>
      <c r="P2349" s="79"/>
      <c r="Q2349" s="136"/>
      <c r="R2349" s="79"/>
      <c r="S2349" s="79"/>
      <c r="T2349" s="79"/>
      <c r="U2349" s="79"/>
      <c r="V2349" s="189"/>
      <c r="X2349" s="79"/>
      <c r="Y2349" s="79"/>
      <c r="Z2349" s="79"/>
      <c r="AA2349" s="255"/>
      <c r="AC2349" s="254"/>
    </row>
    <row r="2350" spans="1:31" ht="24">
      <c r="A2350" s="67" t="s">
        <v>15054</v>
      </c>
      <c r="B2350" s="65" t="s">
        <v>15055</v>
      </c>
      <c r="C2350" s="71" t="s">
        <v>165</v>
      </c>
      <c r="D2350" s="78">
        <v>1</v>
      </c>
      <c r="E2350" s="79">
        <v>11.49</v>
      </c>
      <c r="F2350" s="70">
        <v>11.49</v>
      </c>
      <c r="G2350" s="320"/>
      <c r="H2350" s="79">
        <v>5.9</v>
      </c>
      <c r="I2350" s="79">
        <v>5.59</v>
      </c>
      <c r="J2350" s="79">
        <v>11.49</v>
      </c>
      <c r="K2350" s="79">
        <v>0</v>
      </c>
      <c r="L2350" s="70">
        <v>11.49</v>
      </c>
      <c r="M2350" s="132"/>
      <c r="N2350" s="79">
        <v>5.9</v>
      </c>
      <c r="O2350" s="79">
        <v>5.59</v>
      </c>
      <c r="P2350" s="79">
        <v>11.49</v>
      </c>
      <c r="Q2350" s="136"/>
      <c r="R2350" s="79">
        <v>5.9</v>
      </c>
      <c r="S2350" s="79">
        <v>5.58</v>
      </c>
      <c r="T2350" s="79">
        <v>11.48</v>
      </c>
      <c r="U2350" s="79">
        <v>0</v>
      </c>
      <c r="V2350" s="189">
        <v>11.48</v>
      </c>
      <c r="X2350" s="79">
        <v>5.9</v>
      </c>
      <c r="Y2350" s="79">
        <v>5.58</v>
      </c>
      <c r="Z2350" s="79">
        <v>11.48</v>
      </c>
      <c r="AA2350" s="255">
        <v>9.9999999999997868E-3</v>
      </c>
      <c r="AC2350" s="254"/>
    </row>
    <row r="2351" spans="1:31" ht="24">
      <c r="A2351" s="67" t="s">
        <v>15056</v>
      </c>
      <c r="B2351" s="65" t="s">
        <v>15057</v>
      </c>
      <c r="C2351" s="71" t="s">
        <v>165</v>
      </c>
      <c r="D2351" s="78">
        <v>1</v>
      </c>
      <c r="E2351" s="79">
        <v>13.629999999999999</v>
      </c>
      <c r="F2351" s="70">
        <v>13.63</v>
      </c>
      <c r="G2351" s="320"/>
      <c r="H2351" s="79">
        <v>8.0399999999999991</v>
      </c>
      <c r="I2351" s="79">
        <v>5.59</v>
      </c>
      <c r="J2351" s="79">
        <v>13.629999999999999</v>
      </c>
      <c r="K2351" s="79">
        <v>0</v>
      </c>
      <c r="L2351" s="70">
        <v>13.629999999999999</v>
      </c>
      <c r="M2351" s="132"/>
      <c r="N2351" s="79">
        <v>8.0399999999999991</v>
      </c>
      <c r="O2351" s="79">
        <v>5.59</v>
      </c>
      <c r="P2351" s="79">
        <v>13.629999999999999</v>
      </c>
      <c r="Q2351" s="136"/>
      <c r="R2351" s="79">
        <v>8.0399999999999991</v>
      </c>
      <c r="S2351" s="79">
        <v>5.58</v>
      </c>
      <c r="T2351" s="79">
        <v>13.62</v>
      </c>
      <c r="U2351" s="79">
        <v>0</v>
      </c>
      <c r="V2351" s="189">
        <v>13.62</v>
      </c>
      <c r="X2351" s="79">
        <v>8.0399999999999991</v>
      </c>
      <c r="Y2351" s="79">
        <v>5.58</v>
      </c>
      <c r="Z2351" s="79">
        <v>13.62</v>
      </c>
      <c r="AA2351" s="255">
        <v>1.0000000000001563E-2</v>
      </c>
      <c r="AC2351" s="254"/>
    </row>
    <row r="2352" spans="1:31" ht="24">
      <c r="A2352" s="67" t="s">
        <v>15058</v>
      </c>
      <c r="B2352" s="65" t="s">
        <v>15059</v>
      </c>
      <c r="C2352" s="71" t="s">
        <v>165</v>
      </c>
      <c r="D2352" s="78">
        <v>1</v>
      </c>
      <c r="E2352" s="79">
        <v>14.129999999999999</v>
      </c>
      <c r="F2352" s="70">
        <v>14.13</v>
      </c>
      <c r="G2352" s="320"/>
      <c r="H2352" s="79">
        <v>8.5399999999999991</v>
      </c>
      <c r="I2352" s="79">
        <v>5.59</v>
      </c>
      <c r="J2352" s="79">
        <v>14.129999999999999</v>
      </c>
      <c r="K2352" s="79">
        <v>0</v>
      </c>
      <c r="L2352" s="70">
        <v>14.129999999999999</v>
      </c>
      <c r="M2352" s="132"/>
      <c r="N2352" s="78">
        <v>8.5399999999999991</v>
      </c>
      <c r="O2352" s="78">
        <v>5.59</v>
      </c>
      <c r="P2352" s="79">
        <v>14.129999999999999</v>
      </c>
      <c r="Q2352" s="136"/>
      <c r="R2352" s="79">
        <v>8.5399999999999991</v>
      </c>
      <c r="S2352" s="79">
        <v>5.58</v>
      </c>
      <c r="T2352" s="79">
        <v>14.12</v>
      </c>
      <c r="U2352" s="79">
        <v>0</v>
      </c>
      <c r="V2352" s="189">
        <v>14.12</v>
      </c>
      <c r="X2352" s="78">
        <v>8.5399999999999991</v>
      </c>
      <c r="Y2352" s="78">
        <v>5.58</v>
      </c>
      <c r="Z2352" s="79">
        <v>14.12</v>
      </c>
      <c r="AA2352" s="255">
        <v>1.0000000000001563E-2</v>
      </c>
      <c r="AC2352" s="254"/>
    </row>
    <row r="2353" spans="1:31" ht="12">
      <c r="A2353" s="489" t="s">
        <v>15060</v>
      </c>
      <c r="B2353" s="490" t="s">
        <v>15061</v>
      </c>
      <c r="C2353" s="491"/>
      <c r="D2353" s="492"/>
      <c r="E2353" s="79"/>
      <c r="F2353" s="63"/>
      <c r="G2353" s="320"/>
      <c r="H2353" s="79"/>
      <c r="I2353" s="79"/>
      <c r="J2353" s="79"/>
      <c r="K2353" s="79"/>
      <c r="L2353" s="70"/>
      <c r="M2353" s="132"/>
      <c r="N2353" s="79"/>
      <c r="O2353" s="79"/>
      <c r="P2353" s="79"/>
      <c r="Q2353" s="136"/>
      <c r="R2353" s="79"/>
      <c r="S2353" s="79"/>
      <c r="T2353" s="79"/>
      <c r="U2353" s="79"/>
      <c r="V2353" s="189"/>
      <c r="X2353" s="79"/>
      <c r="Y2353" s="79"/>
      <c r="Z2353" s="79"/>
      <c r="AA2353" s="255"/>
      <c r="AC2353" s="254"/>
    </row>
    <row r="2354" spans="1:31" ht="12">
      <c r="A2354" s="67" t="s">
        <v>15062</v>
      </c>
      <c r="B2354" s="65" t="s">
        <v>15063</v>
      </c>
      <c r="C2354" s="71" t="s">
        <v>165</v>
      </c>
      <c r="D2354" s="78">
        <v>1</v>
      </c>
      <c r="E2354" s="79">
        <v>15.4</v>
      </c>
      <c r="F2354" s="70">
        <v>15.4</v>
      </c>
      <c r="G2354" s="320"/>
      <c r="H2354" s="79">
        <v>7.43</v>
      </c>
      <c r="I2354" s="79">
        <v>7.9700000000000006</v>
      </c>
      <c r="J2354" s="79">
        <v>15.4</v>
      </c>
      <c r="K2354" s="79">
        <v>0</v>
      </c>
      <c r="L2354" s="70">
        <v>15.4</v>
      </c>
      <c r="M2354" s="132"/>
      <c r="N2354" s="79">
        <v>7.43</v>
      </c>
      <c r="O2354" s="79">
        <v>7.9700000000000006</v>
      </c>
      <c r="P2354" s="79">
        <v>15.4</v>
      </c>
      <c r="Q2354" s="136"/>
      <c r="R2354" s="79">
        <v>7.43</v>
      </c>
      <c r="S2354" s="79">
        <v>7.96</v>
      </c>
      <c r="T2354" s="79">
        <v>15.39</v>
      </c>
      <c r="U2354" s="79">
        <v>0</v>
      </c>
      <c r="V2354" s="189">
        <v>15.39</v>
      </c>
      <c r="X2354" s="79">
        <v>7.43</v>
      </c>
      <c r="Y2354" s="79">
        <v>7.96</v>
      </c>
      <c r="Z2354" s="79">
        <v>15.39</v>
      </c>
      <c r="AA2354" s="255">
        <v>9.9999999999997868E-3</v>
      </c>
      <c r="AC2354" s="254"/>
      <c r="AD2354" s="69"/>
      <c r="AE2354" s="69"/>
    </row>
    <row r="2355" spans="1:31" ht="12">
      <c r="A2355" s="67" t="s">
        <v>15064</v>
      </c>
      <c r="B2355" s="65" t="s">
        <v>15065</v>
      </c>
      <c r="C2355" s="71" t="s">
        <v>165</v>
      </c>
      <c r="D2355" s="78">
        <v>1</v>
      </c>
      <c r="E2355" s="79">
        <v>10.9</v>
      </c>
      <c r="F2355" s="70">
        <v>10.9</v>
      </c>
      <c r="G2355" s="320"/>
      <c r="H2355" s="79">
        <v>2.93</v>
      </c>
      <c r="I2355" s="79">
        <v>7.9700000000000006</v>
      </c>
      <c r="J2355" s="79">
        <v>10.9</v>
      </c>
      <c r="K2355" s="79">
        <v>0</v>
      </c>
      <c r="L2355" s="70">
        <v>10.9</v>
      </c>
      <c r="M2355" s="132"/>
      <c r="N2355" s="79">
        <v>2.93</v>
      </c>
      <c r="O2355" s="79">
        <v>7.9700000000000006</v>
      </c>
      <c r="P2355" s="79">
        <v>10.9</v>
      </c>
      <c r="Q2355" s="136"/>
      <c r="R2355" s="79">
        <v>2.93</v>
      </c>
      <c r="S2355" s="79">
        <v>7.96</v>
      </c>
      <c r="T2355" s="79">
        <v>10.89</v>
      </c>
      <c r="U2355" s="79">
        <v>0</v>
      </c>
      <c r="V2355" s="189">
        <v>10.89</v>
      </c>
      <c r="X2355" s="79">
        <v>2.93</v>
      </c>
      <c r="Y2355" s="79">
        <v>7.96</v>
      </c>
      <c r="Z2355" s="79">
        <v>10.89</v>
      </c>
      <c r="AA2355" s="255">
        <v>9.9999999999997868E-3</v>
      </c>
      <c r="AC2355" s="254"/>
      <c r="AD2355" s="69"/>
      <c r="AE2355" s="69"/>
    </row>
    <row r="2356" spans="1:31" s="69" customFormat="1" ht="12">
      <c r="A2356" s="489" t="s">
        <v>15066</v>
      </c>
      <c r="B2356" s="490" t="s">
        <v>15067</v>
      </c>
      <c r="C2356" s="491"/>
      <c r="D2356" s="492"/>
      <c r="E2356" s="79"/>
      <c r="F2356" s="63"/>
      <c r="G2356" s="320"/>
      <c r="H2356" s="79"/>
      <c r="I2356" s="79"/>
      <c r="J2356" s="79"/>
      <c r="K2356" s="79"/>
      <c r="L2356" s="70"/>
      <c r="M2356" s="132"/>
      <c r="N2356" s="79"/>
      <c r="O2356" s="79"/>
      <c r="P2356" s="79"/>
      <c r="Q2356" s="136"/>
      <c r="R2356" s="79"/>
      <c r="S2356" s="79"/>
      <c r="T2356" s="79"/>
      <c r="U2356" s="79"/>
      <c r="V2356" s="189"/>
      <c r="W2356" s="61"/>
      <c r="X2356" s="79"/>
      <c r="Y2356" s="79"/>
      <c r="Z2356" s="79"/>
      <c r="AA2356" s="255"/>
      <c r="AB2356" s="61"/>
      <c r="AC2356" s="254"/>
      <c r="AD2356" s="236"/>
      <c r="AE2356" s="236"/>
    </row>
    <row r="2357" spans="1:31" s="69" customFormat="1" ht="12">
      <c r="A2357" s="67" t="s">
        <v>15068</v>
      </c>
      <c r="B2357" s="65" t="s">
        <v>15069</v>
      </c>
      <c r="C2357" s="71" t="s">
        <v>165</v>
      </c>
      <c r="D2357" s="78">
        <v>1</v>
      </c>
      <c r="E2357" s="79">
        <v>11.07</v>
      </c>
      <c r="F2357" s="70">
        <v>11.07</v>
      </c>
      <c r="G2357" s="320"/>
      <c r="H2357" s="79">
        <v>3.1</v>
      </c>
      <c r="I2357" s="79">
        <v>7.9700000000000006</v>
      </c>
      <c r="J2357" s="79">
        <v>11.07</v>
      </c>
      <c r="K2357" s="79">
        <v>0</v>
      </c>
      <c r="L2357" s="70">
        <v>11.07</v>
      </c>
      <c r="M2357" s="132"/>
      <c r="N2357" s="79">
        <v>3.1</v>
      </c>
      <c r="O2357" s="79">
        <v>7.9700000000000006</v>
      </c>
      <c r="P2357" s="79">
        <v>11.07</v>
      </c>
      <c r="Q2357" s="136"/>
      <c r="R2357" s="79">
        <v>3.1</v>
      </c>
      <c r="S2357" s="79">
        <v>7.96</v>
      </c>
      <c r="T2357" s="79">
        <v>11.06</v>
      </c>
      <c r="U2357" s="79">
        <v>0</v>
      </c>
      <c r="V2357" s="189">
        <v>11.06</v>
      </c>
      <c r="W2357" s="61"/>
      <c r="X2357" s="79">
        <v>3.1</v>
      </c>
      <c r="Y2357" s="79">
        <v>7.96</v>
      </c>
      <c r="Z2357" s="79">
        <v>11.06</v>
      </c>
      <c r="AA2357" s="255">
        <v>9.9999999999997868E-3</v>
      </c>
      <c r="AB2357" s="61"/>
      <c r="AC2357" s="254"/>
    </row>
    <row r="2358" spans="1:31" ht="12">
      <c r="A2358" s="67" t="s">
        <v>15070</v>
      </c>
      <c r="B2358" s="65" t="s">
        <v>15071</v>
      </c>
      <c r="C2358" s="71" t="s">
        <v>165</v>
      </c>
      <c r="D2358" s="78">
        <v>1</v>
      </c>
      <c r="E2358" s="79">
        <v>14.18</v>
      </c>
      <c r="F2358" s="70">
        <v>14.18</v>
      </c>
      <c r="G2358" s="320"/>
      <c r="H2358" s="79">
        <v>6.21</v>
      </c>
      <c r="I2358" s="79">
        <v>7.9700000000000006</v>
      </c>
      <c r="J2358" s="79">
        <v>14.18</v>
      </c>
      <c r="K2358" s="79">
        <v>0</v>
      </c>
      <c r="L2358" s="70">
        <v>14.18</v>
      </c>
      <c r="M2358" s="132"/>
      <c r="N2358" s="79">
        <v>6.21</v>
      </c>
      <c r="O2358" s="79">
        <v>7.9700000000000006</v>
      </c>
      <c r="P2358" s="79">
        <v>14.18</v>
      </c>
      <c r="Q2358" s="136"/>
      <c r="R2358" s="79">
        <v>6.21</v>
      </c>
      <c r="S2358" s="79">
        <v>7.96</v>
      </c>
      <c r="T2358" s="79">
        <v>14.17</v>
      </c>
      <c r="U2358" s="79">
        <v>0</v>
      </c>
      <c r="V2358" s="189">
        <v>14.17</v>
      </c>
      <c r="X2358" s="79">
        <v>6.21</v>
      </c>
      <c r="Y2358" s="79">
        <v>7.96</v>
      </c>
      <c r="Z2358" s="79">
        <v>14.17</v>
      </c>
      <c r="AA2358" s="255">
        <v>9.9999999999997868E-3</v>
      </c>
      <c r="AC2358" s="254"/>
    </row>
    <row r="2359" spans="1:31" s="69" customFormat="1" ht="12">
      <c r="A2359" s="489" t="s">
        <v>15072</v>
      </c>
      <c r="B2359" s="490" t="s">
        <v>15073</v>
      </c>
      <c r="C2359" s="491"/>
      <c r="D2359" s="492"/>
      <c r="E2359" s="79"/>
      <c r="F2359" s="63"/>
      <c r="G2359" s="320"/>
      <c r="H2359" s="79"/>
      <c r="I2359" s="79"/>
      <c r="J2359" s="79"/>
      <c r="K2359" s="79"/>
      <c r="L2359" s="70"/>
      <c r="M2359" s="132"/>
      <c r="N2359" s="79"/>
      <c r="O2359" s="79"/>
      <c r="P2359" s="79"/>
      <c r="Q2359" s="136"/>
      <c r="R2359" s="79"/>
      <c r="S2359" s="79"/>
      <c r="T2359" s="79"/>
      <c r="U2359" s="79"/>
      <c r="V2359" s="189"/>
      <c r="W2359" s="61"/>
      <c r="X2359" s="79"/>
      <c r="Y2359" s="79"/>
      <c r="Z2359" s="79"/>
      <c r="AA2359" s="255"/>
      <c r="AB2359" s="61"/>
      <c r="AC2359" s="254"/>
    </row>
    <row r="2360" spans="1:31" ht="12">
      <c r="A2360" s="67" t="s">
        <v>15074</v>
      </c>
      <c r="B2360" s="65" t="s">
        <v>15075</v>
      </c>
      <c r="C2360" s="71" t="s">
        <v>165</v>
      </c>
      <c r="D2360" s="78">
        <v>1</v>
      </c>
      <c r="E2360" s="79">
        <v>8.2200000000000006</v>
      </c>
      <c r="F2360" s="70">
        <v>8.2200000000000006</v>
      </c>
      <c r="G2360" s="320"/>
      <c r="H2360" s="79">
        <v>2.08</v>
      </c>
      <c r="I2360" s="79">
        <v>6.1400000000000006</v>
      </c>
      <c r="J2360" s="79">
        <v>8.2200000000000006</v>
      </c>
      <c r="K2360" s="79">
        <v>0</v>
      </c>
      <c r="L2360" s="70">
        <v>8.2200000000000006</v>
      </c>
      <c r="M2360" s="132"/>
      <c r="N2360" s="79">
        <v>2.08</v>
      </c>
      <c r="O2360" s="79">
        <v>6.1400000000000006</v>
      </c>
      <c r="P2360" s="79">
        <v>8.2200000000000006</v>
      </c>
      <c r="Q2360" s="136"/>
      <c r="R2360" s="79">
        <v>2.08</v>
      </c>
      <c r="S2360" s="79">
        <v>6.14</v>
      </c>
      <c r="T2360" s="79">
        <v>8.2199999999999989</v>
      </c>
      <c r="U2360" s="79">
        <v>0</v>
      </c>
      <c r="V2360" s="189">
        <v>8.2199999999999989</v>
      </c>
      <c r="X2360" s="79">
        <v>2.08</v>
      </c>
      <c r="Y2360" s="79">
        <v>6.14</v>
      </c>
      <c r="Z2360" s="79">
        <v>8.2200000000000006</v>
      </c>
      <c r="AA2360" s="255">
        <v>0</v>
      </c>
      <c r="AC2360" s="254"/>
    </row>
    <row r="2361" spans="1:31" s="69" customFormat="1" ht="12">
      <c r="A2361" s="67" t="s">
        <v>15076</v>
      </c>
      <c r="B2361" s="65" t="s">
        <v>15077</v>
      </c>
      <c r="C2361" s="71" t="s">
        <v>165</v>
      </c>
      <c r="D2361" s="78">
        <v>1</v>
      </c>
      <c r="E2361" s="79">
        <v>28.240000000000002</v>
      </c>
      <c r="F2361" s="70">
        <v>28.24</v>
      </c>
      <c r="G2361" s="320"/>
      <c r="H2361" s="79">
        <v>22.1</v>
      </c>
      <c r="I2361" s="79">
        <v>6.1400000000000006</v>
      </c>
      <c r="J2361" s="79">
        <v>28.240000000000002</v>
      </c>
      <c r="K2361" s="79">
        <v>0</v>
      </c>
      <c r="L2361" s="70">
        <v>28.240000000000002</v>
      </c>
      <c r="M2361" s="132"/>
      <c r="N2361" s="79">
        <v>22.1</v>
      </c>
      <c r="O2361" s="79">
        <v>6.1400000000000006</v>
      </c>
      <c r="P2361" s="79">
        <v>28.240000000000002</v>
      </c>
      <c r="Q2361" s="136"/>
      <c r="R2361" s="79">
        <v>22.1</v>
      </c>
      <c r="S2361" s="79">
        <v>6.14</v>
      </c>
      <c r="T2361" s="79">
        <v>28.240000000000002</v>
      </c>
      <c r="U2361" s="79">
        <v>0</v>
      </c>
      <c r="V2361" s="189">
        <v>28.240000000000002</v>
      </c>
      <c r="W2361" s="61"/>
      <c r="X2361" s="79">
        <v>22.1</v>
      </c>
      <c r="Y2361" s="79">
        <v>6.14</v>
      </c>
      <c r="Z2361" s="79">
        <v>28.24</v>
      </c>
      <c r="AA2361" s="255">
        <v>0</v>
      </c>
      <c r="AB2361" s="61"/>
      <c r="AC2361" s="254"/>
      <c r="AD2361" s="236"/>
      <c r="AE2361" s="236"/>
    </row>
    <row r="2362" spans="1:31" ht="12">
      <c r="A2362" s="67" t="s">
        <v>15078</v>
      </c>
      <c r="B2362" s="65" t="s">
        <v>15079</v>
      </c>
      <c r="C2362" s="71" t="s">
        <v>165</v>
      </c>
      <c r="D2362" s="78">
        <v>1</v>
      </c>
      <c r="E2362" s="79">
        <v>13.89</v>
      </c>
      <c r="F2362" s="70">
        <v>13.89</v>
      </c>
      <c r="G2362" s="320"/>
      <c r="H2362" s="79">
        <v>9.14</v>
      </c>
      <c r="I2362" s="79">
        <v>4.75</v>
      </c>
      <c r="J2362" s="79">
        <v>13.89</v>
      </c>
      <c r="K2362" s="79">
        <v>0</v>
      </c>
      <c r="L2362" s="70">
        <v>13.89</v>
      </c>
      <c r="M2362" s="132"/>
      <c r="N2362" s="79">
        <v>9.14</v>
      </c>
      <c r="O2362" s="79">
        <v>4.75</v>
      </c>
      <c r="P2362" s="79">
        <v>13.89</v>
      </c>
      <c r="Q2362" s="136"/>
      <c r="R2362" s="79">
        <v>9.14</v>
      </c>
      <c r="S2362" s="79">
        <v>4.75</v>
      </c>
      <c r="T2362" s="79">
        <v>13.89</v>
      </c>
      <c r="U2362" s="79">
        <v>0</v>
      </c>
      <c r="V2362" s="189">
        <v>13.89</v>
      </c>
      <c r="X2362" s="79">
        <v>9.14</v>
      </c>
      <c r="Y2362" s="79">
        <v>4.75</v>
      </c>
      <c r="Z2362" s="79">
        <v>13.89</v>
      </c>
      <c r="AA2362" s="255">
        <v>0</v>
      </c>
      <c r="AC2362" s="254"/>
    </row>
    <row r="2363" spans="1:31" ht="12">
      <c r="A2363" s="67" t="s">
        <v>15080</v>
      </c>
      <c r="B2363" s="65" t="s">
        <v>15081</v>
      </c>
      <c r="C2363" s="71" t="s">
        <v>165</v>
      </c>
      <c r="D2363" s="78">
        <v>1</v>
      </c>
      <c r="E2363" s="79">
        <v>9.75</v>
      </c>
      <c r="F2363" s="70">
        <v>9.75</v>
      </c>
      <c r="G2363" s="320"/>
      <c r="H2363" s="79">
        <v>3.61</v>
      </c>
      <c r="I2363" s="79">
        <v>6.1400000000000006</v>
      </c>
      <c r="J2363" s="79">
        <v>9.75</v>
      </c>
      <c r="K2363" s="79">
        <v>0</v>
      </c>
      <c r="L2363" s="70">
        <v>9.75</v>
      </c>
      <c r="M2363" s="132"/>
      <c r="N2363" s="79">
        <v>3.61</v>
      </c>
      <c r="O2363" s="79">
        <v>6.1400000000000006</v>
      </c>
      <c r="P2363" s="79">
        <v>9.75</v>
      </c>
      <c r="Q2363" s="136"/>
      <c r="R2363" s="79">
        <v>3.61</v>
      </c>
      <c r="S2363" s="79">
        <v>6.14</v>
      </c>
      <c r="T2363" s="79">
        <v>9.75</v>
      </c>
      <c r="U2363" s="79">
        <v>0</v>
      </c>
      <c r="V2363" s="189">
        <v>9.75</v>
      </c>
      <c r="X2363" s="79">
        <v>3.61</v>
      </c>
      <c r="Y2363" s="79">
        <v>6.14</v>
      </c>
      <c r="Z2363" s="79">
        <v>9.75</v>
      </c>
      <c r="AA2363" s="255">
        <v>0</v>
      </c>
      <c r="AC2363" s="254"/>
    </row>
    <row r="2364" spans="1:31" ht="12">
      <c r="A2364" s="67" t="s">
        <v>15082</v>
      </c>
      <c r="B2364" s="65" t="s">
        <v>15083</v>
      </c>
      <c r="C2364" s="71" t="s">
        <v>165</v>
      </c>
      <c r="D2364" s="78">
        <v>1</v>
      </c>
      <c r="E2364" s="79">
        <v>9.49</v>
      </c>
      <c r="F2364" s="70">
        <v>9.49</v>
      </c>
      <c r="G2364" s="320"/>
      <c r="H2364" s="79">
        <v>4.74</v>
      </c>
      <c r="I2364" s="79">
        <v>4.75</v>
      </c>
      <c r="J2364" s="79">
        <v>9.49</v>
      </c>
      <c r="K2364" s="79">
        <v>0</v>
      </c>
      <c r="L2364" s="70">
        <v>9.49</v>
      </c>
      <c r="M2364" s="132"/>
      <c r="N2364" s="79">
        <v>4.74</v>
      </c>
      <c r="O2364" s="79">
        <v>4.75</v>
      </c>
      <c r="P2364" s="79">
        <v>9.49</v>
      </c>
      <c r="Q2364" s="136"/>
      <c r="R2364" s="79">
        <v>4.74</v>
      </c>
      <c r="S2364" s="79">
        <v>4.75</v>
      </c>
      <c r="T2364" s="79">
        <v>9.49</v>
      </c>
      <c r="U2364" s="79">
        <v>0</v>
      </c>
      <c r="V2364" s="189">
        <v>9.49</v>
      </c>
      <c r="X2364" s="79">
        <v>4.74</v>
      </c>
      <c r="Y2364" s="79">
        <v>4.75</v>
      </c>
      <c r="Z2364" s="79">
        <v>9.49</v>
      </c>
      <c r="AA2364" s="255">
        <v>0</v>
      </c>
      <c r="AC2364" s="254"/>
    </row>
    <row r="2365" spans="1:31" ht="12">
      <c r="A2365" s="67" t="s">
        <v>15084</v>
      </c>
      <c r="B2365" s="65" t="s">
        <v>15085</v>
      </c>
      <c r="C2365" s="71" t="s">
        <v>165</v>
      </c>
      <c r="D2365" s="78">
        <v>1</v>
      </c>
      <c r="E2365" s="79">
        <v>27.39</v>
      </c>
      <c r="F2365" s="70">
        <v>27.39</v>
      </c>
      <c r="G2365" s="320"/>
      <c r="H2365" s="79">
        <v>18.850000000000001</v>
      </c>
      <c r="I2365" s="79">
        <v>8.5399999999999991</v>
      </c>
      <c r="J2365" s="79">
        <v>27.39</v>
      </c>
      <c r="K2365" s="79">
        <v>0</v>
      </c>
      <c r="L2365" s="70">
        <v>27.39</v>
      </c>
      <c r="M2365" s="132"/>
      <c r="N2365" s="79">
        <v>18.850000000000001</v>
      </c>
      <c r="O2365" s="79">
        <v>8.5399999999999991</v>
      </c>
      <c r="P2365" s="79">
        <v>27.39</v>
      </c>
      <c r="Q2365" s="136"/>
      <c r="R2365" s="79">
        <v>18.850000000000001</v>
      </c>
      <c r="S2365" s="79">
        <v>8.5500000000000007</v>
      </c>
      <c r="T2365" s="79">
        <v>27.400000000000002</v>
      </c>
      <c r="U2365" s="79">
        <v>0</v>
      </c>
      <c r="V2365" s="189">
        <v>27.400000000000002</v>
      </c>
      <c r="X2365" s="79">
        <v>18.850000000000001</v>
      </c>
      <c r="Y2365" s="79">
        <v>8.5500000000000007</v>
      </c>
      <c r="Z2365" s="79">
        <v>27.4</v>
      </c>
      <c r="AA2365" s="255">
        <v>-9.9999999999980105E-3</v>
      </c>
      <c r="AC2365" s="254"/>
      <c r="AD2365" s="61"/>
      <c r="AE2365" s="61"/>
    </row>
    <row r="2366" spans="1:31" ht="12">
      <c r="A2366" s="67" t="s">
        <v>15086</v>
      </c>
      <c r="B2366" s="65" t="s">
        <v>15087</v>
      </c>
      <c r="C2366" s="71" t="s">
        <v>165</v>
      </c>
      <c r="D2366" s="78">
        <v>1</v>
      </c>
      <c r="E2366" s="79">
        <v>13.829999999999998</v>
      </c>
      <c r="F2366" s="70">
        <v>13.83</v>
      </c>
      <c r="G2366" s="320"/>
      <c r="H2366" s="79">
        <v>5.29</v>
      </c>
      <c r="I2366" s="79">
        <v>8.5399999999999991</v>
      </c>
      <c r="J2366" s="79">
        <v>13.829999999999998</v>
      </c>
      <c r="K2366" s="79">
        <v>0</v>
      </c>
      <c r="L2366" s="70">
        <v>13.829999999999998</v>
      </c>
      <c r="M2366" s="132"/>
      <c r="N2366" s="79">
        <v>5.29</v>
      </c>
      <c r="O2366" s="79">
        <v>8.5399999999999991</v>
      </c>
      <c r="P2366" s="79">
        <v>13.829999999999998</v>
      </c>
      <c r="Q2366" s="136"/>
      <c r="R2366" s="79">
        <v>5.29</v>
      </c>
      <c r="S2366" s="79">
        <v>8.5500000000000007</v>
      </c>
      <c r="T2366" s="79">
        <v>13.84</v>
      </c>
      <c r="U2366" s="79">
        <v>0</v>
      </c>
      <c r="V2366" s="189">
        <v>13.84</v>
      </c>
      <c r="X2366" s="79">
        <v>5.29</v>
      </c>
      <c r="Y2366" s="79">
        <v>8.5500000000000007</v>
      </c>
      <c r="Z2366" s="79">
        <v>13.84</v>
      </c>
      <c r="AA2366" s="255">
        <v>-9.9999999999997868E-3</v>
      </c>
      <c r="AC2366" s="254"/>
      <c r="AD2366" s="61"/>
      <c r="AE2366" s="61"/>
    </row>
    <row r="2367" spans="1:31" s="61" customFormat="1" ht="12">
      <c r="A2367" s="489" t="s">
        <v>15088</v>
      </c>
      <c r="B2367" s="490" t="s">
        <v>15089</v>
      </c>
      <c r="C2367" s="491"/>
      <c r="D2367" s="492"/>
      <c r="E2367" s="79"/>
      <c r="F2367" s="63"/>
      <c r="G2367" s="320"/>
      <c r="H2367" s="79"/>
      <c r="I2367" s="79"/>
      <c r="J2367" s="79"/>
      <c r="K2367" s="79"/>
      <c r="L2367" s="70"/>
      <c r="M2367" s="132"/>
      <c r="N2367" s="79"/>
      <c r="O2367" s="79"/>
      <c r="P2367" s="79"/>
      <c r="Q2367" s="136"/>
      <c r="R2367" s="79"/>
      <c r="S2367" s="79"/>
      <c r="T2367" s="79"/>
      <c r="U2367" s="79"/>
      <c r="V2367" s="189"/>
      <c r="X2367" s="79"/>
      <c r="Y2367" s="79"/>
      <c r="Z2367" s="79"/>
      <c r="AA2367" s="255"/>
      <c r="AC2367" s="254"/>
    </row>
    <row r="2368" spans="1:31" s="61" customFormat="1" ht="12">
      <c r="A2368" s="67" t="s">
        <v>15090</v>
      </c>
      <c r="B2368" s="65" t="s">
        <v>15091</v>
      </c>
      <c r="C2368" s="71" t="s">
        <v>103</v>
      </c>
      <c r="D2368" s="78">
        <v>1</v>
      </c>
      <c r="E2368" s="79">
        <v>20.46</v>
      </c>
      <c r="F2368" s="70">
        <v>20.46</v>
      </c>
      <c r="G2368" s="320"/>
      <c r="H2368" s="79">
        <v>11.15</v>
      </c>
      <c r="I2368" s="79">
        <v>9.31</v>
      </c>
      <c r="J2368" s="79">
        <v>20.46</v>
      </c>
      <c r="K2368" s="79">
        <v>0</v>
      </c>
      <c r="L2368" s="70">
        <v>20.46</v>
      </c>
      <c r="M2368" s="132"/>
      <c r="N2368" s="79">
        <v>11.15</v>
      </c>
      <c r="O2368" s="79">
        <v>9.31</v>
      </c>
      <c r="P2368" s="79">
        <v>20.46</v>
      </c>
      <c r="Q2368" s="136"/>
      <c r="R2368" s="79">
        <v>11.15</v>
      </c>
      <c r="S2368" s="79">
        <v>9.31</v>
      </c>
      <c r="T2368" s="79">
        <v>20.46</v>
      </c>
      <c r="U2368" s="79">
        <v>0</v>
      </c>
      <c r="V2368" s="189">
        <v>20.46</v>
      </c>
      <c r="X2368" s="79">
        <v>11.15</v>
      </c>
      <c r="Y2368" s="79">
        <v>9.31</v>
      </c>
      <c r="Z2368" s="79">
        <v>20.46</v>
      </c>
      <c r="AA2368" s="255">
        <v>0</v>
      </c>
      <c r="AC2368" s="254"/>
    </row>
    <row r="2369" spans="1:31" s="61" customFormat="1" ht="12">
      <c r="A2369" s="67" t="s">
        <v>15092</v>
      </c>
      <c r="B2369" s="65" t="s">
        <v>15093</v>
      </c>
      <c r="C2369" s="71" t="s">
        <v>165</v>
      </c>
      <c r="D2369" s="78">
        <v>1</v>
      </c>
      <c r="E2369" s="79">
        <v>7.9700000000000006</v>
      </c>
      <c r="F2369" s="70">
        <v>7.97</v>
      </c>
      <c r="G2369" s="320"/>
      <c r="H2369" s="79">
        <v>0</v>
      </c>
      <c r="I2369" s="79">
        <v>7.9700000000000006</v>
      </c>
      <c r="J2369" s="79">
        <v>7.9700000000000006</v>
      </c>
      <c r="K2369" s="79">
        <v>0</v>
      </c>
      <c r="L2369" s="70">
        <v>7.9700000000000006</v>
      </c>
      <c r="M2369" s="132"/>
      <c r="N2369" s="79"/>
      <c r="O2369" s="79">
        <v>7.9700000000000006</v>
      </c>
      <c r="P2369" s="79">
        <v>7.9700000000000006</v>
      </c>
      <c r="Q2369" s="136"/>
      <c r="R2369" s="79"/>
      <c r="S2369" s="79">
        <v>7.96</v>
      </c>
      <c r="T2369" s="79">
        <v>7.96</v>
      </c>
      <c r="U2369" s="79">
        <v>0</v>
      </c>
      <c r="V2369" s="189">
        <v>7.96</v>
      </c>
      <c r="X2369" s="79"/>
      <c r="Y2369" s="79">
        <v>7.96</v>
      </c>
      <c r="Z2369" s="79">
        <v>7.96</v>
      </c>
      <c r="AA2369" s="255">
        <v>9.9999999999997868E-3</v>
      </c>
      <c r="AC2369" s="254"/>
    </row>
    <row r="2370" spans="1:31" s="61" customFormat="1" ht="12">
      <c r="A2370" s="67" t="s">
        <v>15094</v>
      </c>
      <c r="B2370" s="65" t="s">
        <v>15095</v>
      </c>
      <c r="C2370" s="71" t="s">
        <v>165</v>
      </c>
      <c r="D2370" s="78">
        <v>1</v>
      </c>
      <c r="E2370" s="79">
        <v>15.93</v>
      </c>
      <c r="F2370" s="70">
        <v>15.93</v>
      </c>
      <c r="G2370" s="320"/>
      <c r="H2370" s="79">
        <v>0</v>
      </c>
      <c r="I2370" s="79">
        <v>15.93</v>
      </c>
      <c r="J2370" s="79">
        <v>15.93</v>
      </c>
      <c r="K2370" s="79">
        <v>0</v>
      </c>
      <c r="L2370" s="70">
        <v>15.93</v>
      </c>
      <c r="M2370" s="132"/>
      <c r="N2370" s="79"/>
      <c r="O2370" s="79">
        <v>15.93</v>
      </c>
      <c r="P2370" s="79">
        <v>15.93</v>
      </c>
      <c r="Q2370" s="136"/>
      <c r="R2370" s="79"/>
      <c r="S2370" s="79">
        <v>15.92</v>
      </c>
      <c r="T2370" s="79">
        <v>15.92</v>
      </c>
      <c r="U2370" s="79">
        <v>0</v>
      </c>
      <c r="V2370" s="189">
        <v>15.92</v>
      </c>
      <c r="X2370" s="79"/>
      <c r="Y2370" s="79">
        <v>15.92</v>
      </c>
      <c r="Z2370" s="79">
        <v>15.92</v>
      </c>
      <c r="AA2370" s="255">
        <v>9.9999999999997868E-3</v>
      </c>
      <c r="AC2370" s="254"/>
    </row>
    <row r="2371" spans="1:31" s="61" customFormat="1" ht="12">
      <c r="A2371" s="489" t="s">
        <v>15096</v>
      </c>
      <c r="B2371" s="490" t="s">
        <v>15097</v>
      </c>
      <c r="C2371" s="71"/>
      <c r="D2371" s="78"/>
      <c r="E2371" s="79"/>
      <c r="F2371" s="70"/>
      <c r="G2371" s="320"/>
      <c r="H2371" s="79"/>
      <c r="I2371" s="79"/>
      <c r="J2371" s="79"/>
      <c r="K2371" s="79"/>
      <c r="L2371" s="70"/>
      <c r="M2371" s="132"/>
      <c r="N2371" s="79"/>
      <c r="O2371" s="79"/>
      <c r="P2371" s="79"/>
      <c r="Q2371" s="136"/>
      <c r="R2371" s="79"/>
      <c r="S2371" s="79"/>
      <c r="T2371" s="79"/>
      <c r="U2371" s="79"/>
      <c r="V2371" s="189"/>
      <c r="X2371" s="79"/>
      <c r="Y2371" s="79"/>
      <c r="Z2371" s="79"/>
      <c r="AA2371" s="255"/>
      <c r="AC2371" s="254"/>
    </row>
    <row r="2372" spans="1:31" s="61" customFormat="1" ht="12">
      <c r="A2372" s="67" t="s">
        <v>15098</v>
      </c>
      <c r="B2372" s="65" t="s">
        <v>4067</v>
      </c>
      <c r="C2372" s="71" t="s">
        <v>165</v>
      </c>
      <c r="D2372" s="78">
        <v>1</v>
      </c>
      <c r="E2372" s="79">
        <v>2.9800000000000004</v>
      </c>
      <c r="F2372" s="70">
        <v>2.98</v>
      </c>
      <c r="G2372" s="320"/>
      <c r="H2372" s="79">
        <v>1.86</v>
      </c>
      <c r="I2372" s="79">
        <v>1.1200000000000001</v>
      </c>
      <c r="J2372" s="79">
        <v>2.9800000000000004</v>
      </c>
      <c r="K2372" s="79">
        <v>0</v>
      </c>
      <c r="L2372" s="70">
        <v>2.9800000000000004</v>
      </c>
      <c r="M2372" s="132"/>
      <c r="N2372" s="79">
        <v>1.86</v>
      </c>
      <c r="O2372" s="79">
        <v>1.1200000000000001</v>
      </c>
      <c r="P2372" s="79">
        <v>2.9800000000000004</v>
      </c>
      <c r="Q2372" s="136"/>
      <c r="R2372" s="79">
        <v>1.86</v>
      </c>
      <c r="S2372" s="79">
        <v>1.1100000000000001</v>
      </c>
      <c r="T2372" s="79">
        <v>2.97</v>
      </c>
      <c r="U2372" s="79">
        <v>0</v>
      </c>
      <c r="V2372" s="189">
        <v>2.97</v>
      </c>
      <c r="X2372" s="79">
        <v>1.86</v>
      </c>
      <c r="Y2372" s="79">
        <v>1.1100000000000001</v>
      </c>
      <c r="Z2372" s="79">
        <v>2.97</v>
      </c>
      <c r="AA2372" s="255">
        <v>9.9999999999997868E-3</v>
      </c>
      <c r="AC2372" s="254"/>
    </row>
    <row r="2373" spans="1:31" s="61" customFormat="1" ht="12">
      <c r="A2373" s="67" t="s">
        <v>15099</v>
      </c>
      <c r="B2373" s="65" t="s">
        <v>4069</v>
      </c>
      <c r="C2373" s="71" t="s">
        <v>165</v>
      </c>
      <c r="D2373" s="78">
        <v>1</v>
      </c>
      <c r="E2373" s="79">
        <v>3.77</v>
      </c>
      <c r="F2373" s="70">
        <v>3.77</v>
      </c>
      <c r="G2373" s="320"/>
      <c r="H2373" s="79">
        <v>2.65</v>
      </c>
      <c r="I2373" s="79">
        <v>1.1200000000000001</v>
      </c>
      <c r="J2373" s="79">
        <v>3.77</v>
      </c>
      <c r="K2373" s="79">
        <v>0</v>
      </c>
      <c r="L2373" s="70">
        <v>3.77</v>
      </c>
      <c r="M2373" s="132"/>
      <c r="N2373" s="79">
        <v>2.65</v>
      </c>
      <c r="O2373" s="79">
        <v>1.1200000000000001</v>
      </c>
      <c r="P2373" s="79">
        <v>3.77</v>
      </c>
      <c r="Q2373" s="136"/>
      <c r="R2373" s="79">
        <v>2.65</v>
      </c>
      <c r="S2373" s="79">
        <v>1.1100000000000001</v>
      </c>
      <c r="T2373" s="79">
        <v>3.76</v>
      </c>
      <c r="U2373" s="79">
        <v>0</v>
      </c>
      <c r="V2373" s="189">
        <v>3.76</v>
      </c>
      <c r="X2373" s="79">
        <v>2.65</v>
      </c>
      <c r="Y2373" s="79">
        <v>1.1100000000000001</v>
      </c>
      <c r="Z2373" s="79">
        <v>3.76</v>
      </c>
      <c r="AA2373" s="255">
        <v>1.0000000000000231E-2</v>
      </c>
      <c r="AC2373" s="254"/>
    </row>
    <row r="2374" spans="1:31" s="61" customFormat="1" ht="12">
      <c r="A2374" s="67" t="s">
        <v>15100</v>
      </c>
      <c r="B2374" s="65" t="s">
        <v>4071</v>
      </c>
      <c r="C2374" s="71" t="s">
        <v>165</v>
      </c>
      <c r="D2374" s="78">
        <v>1</v>
      </c>
      <c r="E2374" s="79">
        <v>5.13</v>
      </c>
      <c r="F2374" s="70">
        <v>5.13</v>
      </c>
      <c r="G2374" s="320"/>
      <c r="H2374" s="79">
        <v>4.01</v>
      </c>
      <c r="I2374" s="79">
        <v>1.1200000000000001</v>
      </c>
      <c r="J2374" s="79">
        <v>5.13</v>
      </c>
      <c r="K2374" s="79">
        <v>0</v>
      </c>
      <c r="L2374" s="70">
        <v>5.13</v>
      </c>
      <c r="M2374" s="132"/>
      <c r="N2374" s="79">
        <v>4.01</v>
      </c>
      <c r="O2374" s="79">
        <v>1.1200000000000001</v>
      </c>
      <c r="P2374" s="79">
        <v>5.13</v>
      </c>
      <c r="Q2374" s="136"/>
      <c r="R2374" s="79">
        <v>4.01</v>
      </c>
      <c r="S2374" s="79">
        <v>1.1100000000000001</v>
      </c>
      <c r="T2374" s="79">
        <v>5.12</v>
      </c>
      <c r="U2374" s="79">
        <v>0</v>
      </c>
      <c r="V2374" s="189">
        <v>5.12</v>
      </c>
      <c r="X2374" s="79">
        <v>4.01</v>
      </c>
      <c r="Y2374" s="79">
        <v>1.1100000000000001</v>
      </c>
      <c r="Z2374" s="79">
        <v>5.12</v>
      </c>
      <c r="AA2374" s="255">
        <v>9.9999999999997868E-3</v>
      </c>
      <c r="AC2374" s="254"/>
    </row>
    <row r="2375" spans="1:31" s="61" customFormat="1" ht="12">
      <c r="A2375" s="67" t="s">
        <v>15101</v>
      </c>
      <c r="B2375" s="65" t="s">
        <v>4073</v>
      </c>
      <c r="C2375" s="71" t="s">
        <v>165</v>
      </c>
      <c r="D2375" s="78">
        <v>1</v>
      </c>
      <c r="E2375" s="79">
        <v>6.99</v>
      </c>
      <c r="F2375" s="70">
        <v>6.99</v>
      </c>
      <c r="G2375" s="320"/>
      <c r="H2375" s="79">
        <v>5.87</v>
      </c>
      <c r="I2375" s="79">
        <v>1.1200000000000001</v>
      </c>
      <c r="J2375" s="79">
        <v>6.99</v>
      </c>
      <c r="K2375" s="79">
        <v>0</v>
      </c>
      <c r="L2375" s="70">
        <v>6.99</v>
      </c>
      <c r="M2375" s="132"/>
      <c r="N2375" s="79">
        <v>5.87</v>
      </c>
      <c r="O2375" s="79">
        <v>1.1200000000000001</v>
      </c>
      <c r="P2375" s="79">
        <v>6.99</v>
      </c>
      <c r="Q2375" s="136"/>
      <c r="R2375" s="79">
        <v>5.87</v>
      </c>
      <c r="S2375" s="79">
        <v>1.1100000000000001</v>
      </c>
      <c r="T2375" s="79">
        <v>6.98</v>
      </c>
      <c r="U2375" s="79">
        <v>0</v>
      </c>
      <c r="V2375" s="189">
        <v>6.98</v>
      </c>
      <c r="X2375" s="79">
        <v>5.87</v>
      </c>
      <c r="Y2375" s="79">
        <v>1.1100000000000001</v>
      </c>
      <c r="Z2375" s="79">
        <v>6.98</v>
      </c>
      <c r="AA2375" s="255">
        <v>9.9999999999997868E-3</v>
      </c>
      <c r="AC2375" s="254"/>
    </row>
    <row r="2376" spans="1:31" s="61" customFormat="1" ht="12">
      <c r="A2376" s="67" t="s">
        <v>15102</v>
      </c>
      <c r="B2376" s="65" t="s">
        <v>4075</v>
      </c>
      <c r="C2376" s="71" t="s">
        <v>165</v>
      </c>
      <c r="D2376" s="78">
        <v>1</v>
      </c>
      <c r="E2376" s="79">
        <v>13.739999999999998</v>
      </c>
      <c r="F2376" s="70">
        <v>13.74</v>
      </c>
      <c r="G2376" s="320"/>
      <c r="H2376" s="79">
        <v>9.27</v>
      </c>
      <c r="I2376" s="79">
        <v>4.47</v>
      </c>
      <c r="J2376" s="79">
        <v>13.739999999999998</v>
      </c>
      <c r="K2376" s="79">
        <v>0</v>
      </c>
      <c r="L2376" s="70">
        <v>13.739999999999998</v>
      </c>
      <c r="M2376" s="132"/>
      <c r="N2376" s="79">
        <v>9.27</v>
      </c>
      <c r="O2376" s="79">
        <v>4.47</v>
      </c>
      <c r="P2376" s="79">
        <v>13.739999999999998</v>
      </c>
      <c r="Q2376" s="136"/>
      <c r="R2376" s="79">
        <v>9.27</v>
      </c>
      <c r="S2376" s="79">
        <v>4.47</v>
      </c>
      <c r="T2376" s="79">
        <v>13.739999999999998</v>
      </c>
      <c r="U2376" s="79">
        <v>0</v>
      </c>
      <c r="V2376" s="189">
        <v>13.739999999999998</v>
      </c>
      <c r="X2376" s="79">
        <v>9.27</v>
      </c>
      <c r="Y2376" s="79">
        <v>4.47</v>
      </c>
      <c r="Z2376" s="79">
        <v>13.74</v>
      </c>
      <c r="AA2376" s="255">
        <v>0</v>
      </c>
      <c r="AC2376" s="254"/>
    </row>
    <row r="2377" spans="1:31" s="61" customFormat="1" ht="12">
      <c r="A2377" s="67" t="s">
        <v>15103</v>
      </c>
      <c r="B2377" s="65" t="s">
        <v>4077</v>
      </c>
      <c r="C2377" s="71" t="s">
        <v>165</v>
      </c>
      <c r="D2377" s="78">
        <v>1</v>
      </c>
      <c r="E2377" s="79">
        <v>19.25</v>
      </c>
      <c r="F2377" s="70">
        <v>19.25</v>
      </c>
      <c r="G2377" s="320"/>
      <c r="H2377" s="79">
        <v>14.21</v>
      </c>
      <c r="I2377" s="79">
        <v>5.04</v>
      </c>
      <c r="J2377" s="79">
        <v>19.25</v>
      </c>
      <c r="K2377" s="79">
        <v>0</v>
      </c>
      <c r="L2377" s="70">
        <v>19.25</v>
      </c>
      <c r="M2377" s="132"/>
      <c r="N2377" s="79">
        <v>14.21</v>
      </c>
      <c r="O2377" s="79">
        <v>5.04</v>
      </c>
      <c r="P2377" s="79">
        <v>19.25</v>
      </c>
      <c r="Q2377" s="136"/>
      <c r="R2377" s="79">
        <v>14.21</v>
      </c>
      <c r="S2377" s="79">
        <v>5.0199999999999996</v>
      </c>
      <c r="T2377" s="79">
        <v>19.23</v>
      </c>
      <c r="U2377" s="79">
        <v>0</v>
      </c>
      <c r="V2377" s="189">
        <v>19.23</v>
      </c>
      <c r="X2377" s="79">
        <v>14.21</v>
      </c>
      <c r="Y2377" s="79">
        <v>5.0199999999999996</v>
      </c>
      <c r="Z2377" s="79">
        <v>19.23</v>
      </c>
      <c r="AA2377" s="255">
        <v>1.9999999999999574E-2</v>
      </c>
      <c r="AC2377" s="254"/>
    </row>
    <row r="2378" spans="1:31" s="61" customFormat="1" ht="12">
      <c r="A2378" s="67" t="s">
        <v>15104</v>
      </c>
      <c r="B2378" s="65" t="s">
        <v>4079</v>
      </c>
      <c r="C2378" s="71" t="s">
        <v>165</v>
      </c>
      <c r="D2378" s="78">
        <v>1</v>
      </c>
      <c r="E2378" s="79">
        <v>27.41</v>
      </c>
      <c r="F2378" s="70">
        <v>27.41</v>
      </c>
      <c r="G2378" s="320"/>
      <c r="H2378" s="79">
        <v>21.82</v>
      </c>
      <c r="I2378" s="79">
        <v>5.59</v>
      </c>
      <c r="J2378" s="79">
        <v>27.41</v>
      </c>
      <c r="K2378" s="79">
        <v>0</v>
      </c>
      <c r="L2378" s="70">
        <v>27.41</v>
      </c>
      <c r="M2378" s="132"/>
      <c r="N2378" s="79">
        <v>21.82</v>
      </c>
      <c r="O2378" s="79">
        <v>5.59</v>
      </c>
      <c r="P2378" s="79">
        <v>27.41</v>
      </c>
      <c r="Q2378" s="136"/>
      <c r="R2378" s="79">
        <v>21.82</v>
      </c>
      <c r="S2378" s="79">
        <v>5.58</v>
      </c>
      <c r="T2378" s="79">
        <v>27.4</v>
      </c>
      <c r="U2378" s="79">
        <v>0</v>
      </c>
      <c r="V2378" s="189">
        <v>27.4</v>
      </c>
      <c r="X2378" s="79">
        <v>21.82</v>
      </c>
      <c r="Y2378" s="79">
        <v>5.58</v>
      </c>
      <c r="Z2378" s="79">
        <v>27.4</v>
      </c>
      <c r="AA2378" s="255">
        <v>1.0000000000001563E-2</v>
      </c>
      <c r="AC2378" s="254"/>
    </row>
    <row r="2379" spans="1:31" s="61" customFormat="1" ht="12">
      <c r="A2379" s="67" t="s">
        <v>15105</v>
      </c>
      <c r="B2379" s="65" t="s">
        <v>4081</v>
      </c>
      <c r="C2379" s="71" t="s">
        <v>165</v>
      </c>
      <c r="D2379" s="78">
        <v>1</v>
      </c>
      <c r="E2379" s="79">
        <v>38.730000000000004</v>
      </c>
      <c r="F2379" s="70">
        <v>38.729999999999997</v>
      </c>
      <c r="G2379" s="320"/>
      <c r="H2379" s="79">
        <v>30.35</v>
      </c>
      <c r="I2379" s="79">
        <v>8.379999999999999</v>
      </c>
      <c r="J2379" s="79">
        <v>38.730000000000004</v>
      </c>
      <c r="K2379" s="79">
        <v>0</v>
      </c>
      <c r="L2379" s="70">
        <v>38.730000000000004</v>
      </c>
      <c r="M2379" s="132"/>
      <c r="N2379" s="79">
        <v>30.35</v>
      </c>
      <c r="O2379" s="79">
        <v>8.379999999999999</v>
      </c>
      <c r="P2379" s="79">
        <v>38.730000000000004</v>
      </c>
      <c r="Q2379" s="136"/>
      <c r="R2379" s="79">
        <v>30.35</v>
      </c>
      <c r="S2379" s="79">
        <v>8.3800000000000008</v>
      </c>
      <c r="T2379" s="79">
        <v>38.730000000000004</v>
      </c>
      <c r="U2379" s="79">
        <v>0</v>
      </c>
      <c r="V2379" s="189">
        <v>38.730000000000004</v>
      </c>
      <c r="X2379" s="79">
        <v>30.35</v>
      </c>
      <c r="Y2379" s="79">
        <v>8.3800000000000008</v>
      </c>
      <c r="Z2379" s="79">
        <v>38.729999999999997</v>
      </c>
      <c r="AA2379" s="255">
        <v>0</v>
      </c>
      <c r="AC2379" s="254"/>
    </row>
    <row r="2380" spans="1:31" s="61" customFormat="1" ht="12">
      <c r="A2380" s="67" t="s">
        <v>15106</v>
      </c>
      <c r="B2380" s="65" t="s">
        <v>4083</v>
      </c>
      <c r="C2380" s="71" t="s">
        <v>165</v>
      </c>
      <c r="D2380" s="78">
        <v>1</v>
      </c>
      <c r="E2380" s="79">
        <v>54.64</v>
      </c>
      <c r="F2380" s="70">
        <v>54.64</v>
      </c>
      <c r="G2380" s="320"/>
      <c r="H2380" s="79">
        <v>43.48</v>
      </c>
      <c r="I2380" s="79">
        <v>11.16</v>
      </c>
      <c r="J2380" s="79">
        <v>54.64</v>
      </c>
      <c r="K2380" s="79">
        <v>0</v>
      </c>
      <c r="L2380" s="70">
        <v>54.64</v>
      </c>
      <c r="M2380" s="132"/>
      <c r="N2380" s="79">
        <v>43.48</v>
      </c>
      <c r="O2380" s="79">
        <v>11.16</v>
      </c>
      <c r="P2380" s="79">
        <v>54.64</v>
      </c>
      <c r="Q2380" s="136"/>
      <c r="R2380" s="79">
        <v>43.48</v>
      </c>
      <c r="S2380" s="79">
        <v>11.16</v>
      </c>
      <c r="T2380" s="79">
        <v>54.64</v>
      </c>
      <c r="U2380" s="79">
        <v>0</v>
      </c>
      <c r="V2380" s="189">
        <v>54.64</v>
      </c>
      <c r="X2380" s="79">
        <v>43.48</v>
      </c>
      <c r="Y2380" s="79">
        <v>11.16</v>
      </c>
      <c r="Z2380" s="79">
        <v>54.64</v>
      </c>
      <c r="AA2380" s="255">
        <v>0</v>
      </c>
      <c r="AC2380" s="254"/>
    </row>
    <row r="2381" spans="1:31" s="61" customFormat="1" ht="12">
      <c r="A2381" s="67" t="s">
        <v>15107</v>
      </c>
      <c r="B2381" s="65" t="s">
        <v>4085</v>
      </c>
      <c r="C2381" s="71" t="s">
        <v>165</v>
      </c>
      <c r="D2381" s="78">
        <v>1</v>
      </c>
      <c r="E2381" s="79">
        <v>74.38</v>
      </c>
      <c r="F2381" s="70">
        <v>74.38</v>
      </c>
      <c r="G2381" s="320"/>
      <c r="H2381" s="79">
        <v>60.41</v>
      </c>
      <c r="I2381" s="79">
        <v>13.969999999999999</v>
      </c>
      <c r="J2381" s="79">
        <v>74.38</v>
      </c>
      <c r="K2381" s="79">
        <v>0</v>
      </c>
      <c r="L2381" s="70">
        <v>74.38</v>
      </c>
      <c r="M2381" s="132"/>
      <c r="N2381" s="79">
        <v>60.41</v>
      </c>
      <c r="O2381" s="79">
        <v>13.969999999999999</v>
      </c>
      <c r="P2381" s="79">
        <v>74.38</v>
      </c>
      <c r="Q2381" s="136"/>
      <c r="R2381" s="79">
        <v>60.41</v>
      </c>
      <c r="S2381" s="79">
        <v>13.96</v>
      </c>
      <c r="T2381" s="79">
        <v>74.37</v>
      </c>
      <c r="U2381" s="79">
        <v>0</v>
      </c>
      <c r="V2381" s="189">
        <v>74.37</v>
      </c>
      <c r="X2381" s="79">
        <v>60.41</v>
      </c>
      <c r="Y2381" s="79">
        <v>13.96</v>
      </c>
      <c r="Z2381" s="79">
        <v>74.37</v>
      </c>
      <c r="AA2381" s="255">
        <v>9.9999999999909051E-3</v>
      </c>
      <c r="AC2381" s="254"/>
      <c r="AD2381" s="73"/>
      <c r="AE2381" s="73"/>
    </row>
    <row r="2382" spans="1:31" s="61" customFormat="1" ht="12">
      <c r="A2382" s="67" t="s">
        <v>15108</v>
      </c>
      <c r="B2382" s="65" t="s">
        <v>4087</v>
      </c>
      <c r="C2382" s="71" t="s">
        <v>165</v>
      </c>
      <c r="D2382" s="78">
        <v>1</v>
      </c>
      <c r="E2382" s="79">
        <v>97.77</v>
      </c>
      <c r="F2382" s="70">
        <v>97.77</v>
      </c>
      <c r="G2382" s="320"/>
      <c r="H2382" s="79">
        <v>81.02</v>
      </c>
      <c r="I2382" s="79">
        <v>16.75</v>
      </c>
      <c r="J2382" s="79">
        <v>97.77</v>
      </c>
      <c r="K2382" s="79">
        <v>0</v>
      </c>
      <c r="L2382" s="70">
        <v>97.77</v>
      </c>
      <c r="M2382" s="132"/>
      <c r="N2382" s="79">
        <v>81.02</v>
      </c>
      <c r="O2382" s="79">
        <v>16.75</v>
      </c>
      <c r="P2382" s="79">
        <v>97.77</v>
      </c>
      <c r="Q2382" s="136"/>
      <c r="R2382" s="79">
        <v>81.02</v>
      </c>
      <c r="S2382" s="79">
        <v>16.75</v>
      </c>
      <c r="T2382" s="79">
        <v>97.77</v>
      </c>
      <c r="U2382" s="79">
        <v>0</v>
      </c>
      <c r="V2382" s="189">
        <v>97.77</v>
      </c>
      <c r="X2382" s="79">
        <v>81.02</v>
      </c>
      <c r="Y2382" s="79">
        <v>16.75</v>
      </c>
      <c r="Z2382" s="79">
        <v>97.77</v>
      </c>
      <c r="AA2382" s="255">
        <v>0</v>
      </c>
      <c r="AC2382" s="254"/>
      <c r="AD2382" s="73"/>
      <c r="AE2382" s="73"/>
    </row>
    <row r="2383" spans="1:31" s="73" customFormat="1" ht="12">
      <c r="A2383" s="67" t="s">
        <v>15109</v>
      </c>
      <c r="B2383" s="65" t="s">
        <v>4089</v>
      </c>
      <c r="C2383" s="71" t="s">
        <v>165</v>
      </c>
      <c r="D2383" s="78">
        <v>1</v>
      </c>
      <c r="E2383" s="79">
        <v>119.63999999999999</v>
      </c>
      <c r="F2383" s="70">
        <v>119.64</v>
      </c>
      <c r="G2383" s="320"/>
      <c r="H2383" s="79">
        <v>100.1</v>
      </c>
      <c r="I2383" s="79">
        <v>19.54</v>
      </c>
      <c r="J2383" s="79">
        <v>119.63999999999999</v>
      </c>
      <c r="K2383" s="79">
        <v>0</v>
      </c>
      <c r="L2383" s="70">
        <v>119.63999999999999</v>
      </c>
      <c r="M2383" s="132"/>
      <c r="N2383" s="79">
        <v>100.1</v>
      </c>
      <c r="O2383" s="79">
        <v>19.54</v>
      </c>
      <c r="P2383" s="79">
        <v>119.63999999999999</v>
      </c>
      <c r="Q2383" s="136"/>
      <c r="R2383" s="79">
        <v>100.1</v>
      </c>
      <c r="S2383" s="79">
        <v>19.54</v>
      </c>
      <c r="T2383" s="79">
        <v>119.63999999999999</v>
      </c>
      <c r="U2383" s="79">
        <v>0</v>
      </c>
      <c r="V2383" s="189">
        <v>119.63999999999999</v>
      </c>
      <c r="W2383" s="61"/>
      <c r="X2383" s="79">
        <v>100.1</v>
      </c>
      <c r="Y2383" s="79">
        <v>19.54</v>
      </c>
      <c r="Z2383" s="79">
        <v>119.64</v>
      </c>
      <c r="AA2383" s="255">
        <v>0</v>
      </c>
      <c r="AB2383" s="61"/>
      <c r="AC2383" s="254"/>
      <c r="AD2383" s="61"/>
      <c r="AE2383" s="61"/>
    </row>
    <row r="2384" spans="1:31" s="73" customFormat="1" ht="12">
      <c r="A2384" s="67" t="s">
        <v>15110</v>
      </c>
      <c r="B2384" s="65" t="s">
        <v>15111</v>
      </c>
      <c r="C2384" s="71" t="s">
        <v>165</v>
      </c>
      <c r="D2384" s="78">
        <v>1</v>
      </c>
      <c r="E2384" s="79">
        <v>144.09</v>
      </c>
      <c r="F2384" s="70">
        <v>144.09</v>
      </c>
      <c r="G2384" s="320"/>
      <c r="H2384" s="79">
        <v>124.55</v>
      </c>
      <c r="I2384" s="79">
        <v>19.54</v>
      </c>
      <c r="J2384" s="79">
        <v>144.09</v>
      </c>
      <c r="K2384" s="79">
        <v>0</v>
      </c>
      <c r="L2384" s="70">
        <v>144.09</v>
      </c>
      <c r="M2384" s="132"/>
      <c r="N2384" s="79">
        <v>124.55</v>
      </c>
      <c r="O2384" s="79">
        <v>19.54</v>
      </c>
      <c r="P2384" s="79">
        <v>144.09</v>
      </c>
      <c r="Q2384" s="136"/>
      <c r="R2384" s="79">
        <v>124.55</v>
      </c>
      <c r="S2384" s="79">
        <v>19.54</v>
      </c>
      <c r="T2384" s="79">
        <v>144.09</v>
      </c>
      <c r="U2384" s="79">
        <v>0</v>
      </c>
      <c r="V2384" s="189">
        <v>144.09</v>
      </c>
      <c r="W2384" s="61"/>
      <c r="X2384" s="79">
        <v>124.55</v>
      </c>
      <c r="Y2384" s="79">
        <v>19.54</v>
      </c>
      <c r="Z2384" s="79">
        <v>144.09</v>
      </c>
      <c r="AA2384" s="255">
        <v>0</v>
      </c>
      <c r="AB2384" s="61"/>
      <c r="AC2384" s="254"/>
      <c r="AD2384" s="61"/>
      <c r="AE2384" s="61"/>
    </row>
    <row r="2385" spans="1:31" s="61" customFormat="1" ht="12">
      <c r="A2385" s="67" t="s">
        <v>15112</v>
      </c>
      <c r="B2385" s="65" t="s">
        <v>4091</v>
      </c>
      <c r="C2385" s="71" t="s">
        <v>165</v>
      </c>
      <c r="D2385" s="78">
        <v>1</v>
      </c>
      <c r="E2385" s="79">
        <v>173.76999999999998</v>
      </c>
      <c r="F2385" s="70">
        <v>173.77</v>
      </c>
      <c r="G2385" s="320"/>
      <c r="H2385" s="79">
        <v>151.44999999999999</v>
      </c>
      <c r="I2385" s="79">
        <v>22.32</v>
      </c>
      <c r="J2385" s="79">
        <v>173.76999999999998</v>
      </c>
      <c r="K2385" s="79">
        <v>0</v>
      </c>
      <c r="L2385" s="70">
        <v>173.76999999999998</v>
      </c>
      <c r="M2385" s="132"/>
      <c r="N2385" s="79">
        <v>151.44999999999999</v>
      </c>
      <c r="O2385" s="79">
        <v>22.32</v>
      </c>
      <c r="P2385" s="79">
        <v>173.76999999999998</v>
      </c>
      <c r="Q2385" s="136"/>
      <c r="R2385" s="79">
        <v>151.44999999999999</v>
      </c>
      <c r="S2385" s="79">
        <v>22.33</v>
      </c>
      <c r="T2385" s="79">
        <v>173.77999999999997</v>
      </c>
      <c r="U2385" s="79">
        <v>0</v>
      </c>
      <c r="V2385" s="189">
        <v>173.77999999999997</v>
      </c>
      <c r="X2385" s="79">
        <v>151.44999999999999</v>
      </c>
      <c r="Y2385" s="79">
        <v>22.33</v>
      </c>
      <c r="Z2385" s="79">
        <v>173.78</v>
      </c>
      <c r="AA2385" s="255">
        <v>-9.9999999999909051E-3</v>
      </c>
      <c r="AC2385" s="254"/>
      <c r="AD2385" s="73"/>
      <c r="AE2385" s="73"/>
    </row>
    <row r="2386" spans="1:31" s="61" customFormat="1" ht="12">
      <c r="A2386" s="67" t="s">
        <v>15113</v>
      </c>
      <c r="B2386" s="65" t="s">
        <v>4093</v>
      </c>
      <c r="C2386" s="71" t="s">
        <v>165</v>
      </c>
      <c r="D2386" s="78">
        <v>1</v>
      </c>
      <c r="E2386" s="79">
        <v>228.91</v>
      </c>
      <c r="F2386" s="70">
        <v>228.91</v>
      </c>
      <c r="G2386" s="320"/>
      <c r="H2386" s="79">
        <v>203.78</v>
      </c>
      <c r="I2386" s="79">
        <v>25.130000000000003</v>
      </c>
      <c r="J2386" s="79">
        <v>228.91</v>
      </c>
      <c r="K2386" s="79">
        <v>0</v>
      </c>
      <c r="L2386" s="70">
        <v>228.91</v>
      </c>
      <c r="M2386" s="132"/>
      <c r="N2386" s="79">
        <v>203.78</v>
      </c>
      <c r="O2386" s="79">
        <v>25.130000000000003</v>
      </c>
      <c r="P2386" s="79">
        <v>228.91</v>
      </c>
      <c r="Q2386" s="136"/>
      <c r="R2386" s="79">
        <v>203.78</v>
      </c>
      <c r="S2386" s="79">
        <v>25.12</v>
      </c>
      <c r="T2386" s="79">
        <v>228.9</v>
      </c>
      <c r="U2386" s="79">
        <v>0</v>
      </c>
      <c r="V2386" s="189">
        <v>228.9</v>
      </c>
      <c r="X2386" s="79">
        <v>203.78</v>
      </c>
      <c r="Y2386" s="79">
        <v>25.12</v>
      </c>
      <c r="Z2386" s="79">
        <v>228.9</v>
      </c>
      <c r="AA2386" s="255">
        <v>9.9999999999909051E-3</v>
      </c>
      <c r="AC2386" s="254"/>
      <c r="AD2386" s="73"/>
      <c r="AE2386" s="73"/>
    </row>
    <row r="2387" spans="1:31" s="73" customFormat="1" ht="12">
      <c r="A2387" s="67" t="s">
        <v>15114</v>
      </c>
      <c r="B2387" s="65" t="s">
        <v>15115</v>
      </c>
      <c r="C2387" s="71" t="s">
        <v>165</v>
      </c>
      <c r="D2387" s="78">
        <v>1</v>
      </c>
      <c r="E2387" s="79">
        <v>7.9700000000000006</v>
      </c>
      <c r="F2387" s="70">
        <v>7.97</v>
      </c>
      <c r="G2387" s="320"/>
      <c r="H2387" s="79">
        <v>5.73</v>
      </c>
      <c r="I2387" s="79">
        <v>2.2400000000000002</v>
      </c>
      <c r="J2387" s="79">
        <v>7.9700000000000006</v>
      </c>
      <c r="K2387" s="79">
        <v>0</v>
      </c>
      <c r="L2387" s="70">
        <v>7.9700000000000006</v>
      </c>
      <c r="M2387" s="132"/>
      <c r="N2387" s="79">
        <v>5.73</v>
      </c>
      <c r="O2387" s="79">
        <v>2.2400000000000002</v>
      </c>
      <c r="P2387" s="79">
        <v>7.9700000000000006</v>
      </c>
      <c r="Q2387" s="136"/>
      <c r="R2387" s="79">
        <v>5.73</v>
      </c>
      <c r="S2387" s="79">
        <v>2.23</v>
      </c>
      <c r="T2387" s="79">
        <v>7.9600000000000009</v>
      </c>
      <c r="U2387" s="79">
        <v>0</v>
      </c>
      <c r="V2387" s="189">
        <v>7.9600000000000009</v>
      </c>
      <c r="W2387" s="61"/>
      <c r="X2387" s="79">
        <v>5.73</v>
      </c>
      <c r="Y2387" s="79">
        <v>2.23</v>
      </c>
      <c r="Z2387" s="79">
        <v>7.96</v>
      </c>
      <c r="AA2387" s="255">
        <v>9.9999999999997868E-3</v>
      </c>
      <c r="AB2387" s="61"/>
      <c r="AC2387" s="254"/>
      <c r="AD2387" s="61"/>
      <c r="AE2387" s="61"/>
    </row>
    <row r="2388" spans="1:31" s="73" customFormat="1" ht="12">
      <c r="A2388" s="67" t="s">
        <v>15116</v>
      </c>
      <c r="B2388" s="65" t="s">
        <v>15117</v>
      </c>
      <c r="C2388" s="71" t="s">
        <v>165</v>
      </c>
      <c r="D2388" s="78">
        <v>1</v>
      </c>
      <c r="E2388" s="79">
        <v>6.8100000000000005</v>
      </c>
      <c r="F2388" s="70">
        <v>6.81</v>
      </c>
      <c r="G2388" s="320"/>
      <c r="H2388" s="79">
        <v>5.69</v>
      </c>
      <c r="I2388" s="79">
        <v>1.1200000000000001</v>
      </c>
      <c r="J2388" s="79">
        <v>6.8100000000000005</v>
      </c>
      <c r="K2388" s="79">
        <v>0</v>
      </c>
      <c r="L2388" s="70">
        <v>6.8100000000000005</v>
      </c>
      <c r="M2388" s="132"/>
      <c r="N2388" s="79">
        <v>5.69</v>
      </c>
      <c r="O2388" s="79">
        <v>1.1200000000000001</v>
      </c>
      <c r="P2388" s="79">
        <v>6.8100000000000005</v>
      </c>
      <c r="Q2388" s="136"/>
      <c r="R2388" s="79">
        <v>5.69</v>
      </c>
      <c r="S2388" s="79">
        <v>1.1100000000000001</v>
      </c>
      <c r="T2388" s="79">
        <v>6.8000000000000007</v>
      </c>
      <c r="U2388" s="79">
        <v>0</v>
      </c>
      <c r="V2388" s="189">
        <v>6.8000000000000007</v>
      </c>
      <c r="W2388" s="61"/>
      <c r="X2388" s="79">
        <v>5.69</v>
      </c>
      <c r="Y2388" s="79">
        <v>1.1100000000000001</v>
      </c>
      <c r="Z2388" s="79">
        <v>6.8</v>
      </c>
      <c r="AA2388" s="255">
        <v>9.9999999999997868E-3</v>
      </c>
      <c r="AB2388" s="61"/>
      <c r="AC2388" s="254"/>
      <c r="AD2388" s="61"/>
      <c r="AE2388" s="61"/>
    </row>
    <row r="2389" spans="1:31" s="61" customFormat="1" ht="12">
      <c r="A2389" s="67" t="s">
        <v>15118</v>
      </c>
      <c r="B2389" s="65" t="s">
        <v>15119</v>
      </c>
      <c r="C2389" s="71" t="s">
        <v>165</v>
      </c>
      <c r="D2389" s="78">
        <v>1</v>
      </c>
      <c r="E2389" s="79">
        <v>11.46</v>
      </c>
      <c r="F2389" s="70">
        <v>11.46</v>
      </c>
      <c r="G2389" s="320"/>
      <c r="H2389" s="79">
        <v>8.65</v>
      </c>
      <c r="I2389" s="79">
        <v>2.81</v>
      </c>
      <c r="J2389" s="79">
        <v>11.46</v>
      </c>
      <c r="K2389" s="79">
        <v>0</v>
      </c>
      <c r="L2389" s="70">
        <v>11.46</v>
      </c>
      <c r="M2389" s="132"/>
      <c r="N2389" s="79">
        <v>8.65</v>
      </c>
      <c r="O2389" s="79">
        <v>2.81</v>
      </c>
      <c r="P2389" s="79">
        <v>11.46</v>
      </c>
      <c r="Q2389" s="136"/>
      <c r="R2389" s="79">
        <v>8.65</v>
      </c>
      <c r="S2389" s="79">
        <v>2.8</v>
      </c>
      <c r="T2389" s="79">
        <v>11.45</v>
      </c>
      <c r="U2389" s="79">
        <v>0</v>
      </c>
      <c r="V2389" s="189">
        <v>11.45</v>
      </c>
      <c r="X2389" s="79">
        <v>8.65</v>
      </c>
      <c r="Y2389" s="79">
        <v>2.8</v>
      </c>
      <c r="Z2389" s="79">
        <v>11.45</v>
      </c>
      <c r="AA2389" s="255">
        <v>1.0000000000001563E-2</v>
      </c>
      <c r="AC2389" s="254"/>
    </row>
    <row r="2390" spans="1:31" s="61" customFormat="1" ht="12">
      <c r="A2390" s="67" t="s">
        <v>15120</v>
      </c>
      <c r="B2390" s="65" t="s">
        <v>15121</v>
      </c>
      <c r="C2390" s="71" t="s">
        <v>165</v>
      </c>
      <c r="D2390" s="78">
        <v>1</v>
      </c>
      <c r="E2390" s="79">
        <v>36.96</v>
      </c>
      <c r="F2390" s="70">
        <v>36.96</v>
      </c>
      <c r="G2390" s="320"/>
      <c r="H2390" s="79">
        <v>31.37</v>
      </c>
      <c r="I2390" s="79">
        <v>5.59</v>
      </c>
      <c r="J2390" s="79">
        <v>36.96</v>
      </c>
      <c r="K2390" s="79">
        <v>0</v>
      </c>
      <c r="L2390" s="70">
        <v>36.96</v>
      </c>
      <c r="M2390" s="132"/>
      <c r="N2390" s="79">
        <v>31.37</v>
      </c>
      <c r="O2390" s="79">
        <v>5.59</v>
      </c>
      <c r="P2390" s="79">
        <v>36.96</v>
      </c>
      <c r="Q2390" s="136"/>
      <c r="R2390" s="79">
        <v>31.37</v>
      </c>
      <c r="S2390" s="79">
        <v>5.58</v>
      </c>
      <c r="T2390" s="79">
        <v>36.950000000000003</v>
      </c>
      <c r="U2390" s="79">
        <v>0</v>
      </c>
      <c r="V2390" s="189">
        <v>36.950000000000003</v>
      </c>
      <c r="X2390" s="79">
        <v>31.37</v>
      </c>
      <c r="Y2390" s="79">
        <v>5.58</v>
      </c>
      <c r="Z2390" s="79">
        <v>36.950000000000003</v>
      </c>
      <c r="AA2390" s="255">
        <v>9.9999999999980105E-3</v>
      </c>
      <c r="AC2390" s="254"/>
    </row>
    <row r="2391" spans="1:31" s="61" customFormat="1" ht="12">
      <c r="A2391" s="67" t="s">
        <v>15122</v>
      </c>
      <c r="B2391" s="65" t="s">
        <v>15123</v>
      </c>
      <c r="C2391" s="71" t="s">
        <v>165</v>
      </c>
      <c r="D2391" s="78">
        <v>1</v>
      </c>
      <c r="E2391" s="79">
        <v>95.81</v>
      </c>
      <c r="F2391" s="70">
        <v>95.81</v>
      </c>
      <c r="G2391" s="320"/>
      <c r="H2391" s="79">
        <v>79.06</v>
      </c>
      <c r="I2391" s="79">
        <v>16.75</v>
      </c>
      <c r="J2391" s="79">
        <v>95.81</v>
      </c>
      <c r="K2391" s="79">
        <v>0</v>
      </c>
      <c r="L2391" s="70">
        <v>95.81</v>
      </c>
      <c r="M2391" s="132"/>
      <c r="N2391" s="79">
        <v>79.06</v>
      </c>
      <c r="O2391" s="79">
        <v>16.75</v>
      </c>
      <c r="P2391" s="79">
        <v>95.81</v>
      </c>
      <c r="Q2391" s="136"/>
      <c r="R2391" s="79">
        <v>79.06</v>
      </c>
      <c r="S2391" s="79">
        <v>16.75</v>
      </c>
      <c r="T2391" s="79">
        <v>95.81</v>
      </c>
      <c r="U2391" s="79">
        <v>0</v>
      </c>
      <c r="V2391" s="189">
        <v>95.81</v>
      </c>
      <c r="X2391" s="79">
        <v>79.06</v>
      </c>
      <c r="Y2391" s="79">
        <v>16.75</v>
      </c>
      <c r="Z2391" s="79">
        <v>95.81</v>
      </c>
      <c r="AA2391" s="255">
        <v>0</v>
      </c>
      <c r="AC2391" s="254"/>
    </row>
    <row r="2392" spans="1:31" s="61" customFormat="1" ht="12">
      <c r="A2392" s="67" t="s">
        <v>15124</v>
      </c>
      <c r="B2392" s="65" t="s">
        <v>15125</v>
      </c>
      <c r="C2392" s="71" t="s">
        <v>165</v>
      </c>
      <c r="D2392" s="78">
        <v>1</v>
      </c>
      <c r="E2392" s="79">
        <v>135.6</v>
      </c>
      <c r="F2392" s="70">
        <v>135.6</v>
      </c>
      <c r="G2392" s="320"/>
      <c r="H2392" s="79">
        <v>113.28</v>
      </c>
      <c r="I2392" s="79">
        <v>22.32</v>
      </c>
      <c r="J2392" s="79">
        <v>135.6</v>
      </c>
      <c r="K2392" s="79">
        <v>0</v>
      </c>
      <c r="L2392" s="70">
        <v>135.6</v>
      </c>
      <c r="M2392" s="132"/>
      <c r="N2392" s="79">
        <v>113.28</v>
      </c>
      <c r="O2392" s="79">
        <v>22.32</v>
      </c>
      <c r="P2392" s="79">
        <v>135.6</v>
      </c>
      <c r="Q2392" s="136"/>
      <c r="R2392" s="79">
        <v>113.28</v>
      </c>
      <c r="S2392" s="79">
        <v>22.33</v>
      </c>
      <c r="T2392" s="79">
        <v>135.61000000000001</v>
      </c>
      <c r="U2392" s="79">
        <v>0</v>
      </c>
      <c r="V2392" s="189">
        <v>135.61000000000001</v>
      </c>
      <c r="X2392" s="79">
        <v>113.28</v>
      </c>
      <c r="Y2392" s="79">
        <v>22.33</v>
      </c>
      <c r="Z2392" s="79">
        <v>135.61000000000001</v>
      </c>
      <c r="AA2392" s="255">
        <v>-1.0000000000019327E-2</v>
      </c>
      <c r="AC2392" s="254"/>
    </row>
    <row r="2393" spans="1:31" s="61" customFormat="1" ht="12">
      <c r="A2393" s="67" t="s">
        <v>15126</v>
      </c>
      <c r="B2393" s="65" t="s">
        <v>15127</v>
      </c>
      <c r="C2393" s="71" t="s">
        <v>165</v>
      </c>
      <c r="D2393" s="78">
        <v>1</v>
      </c>
      <c r="E2393" s="79">
        <v>52.72</v>
      </c>
      <c r="F2393" s="70">
        <v>52.72</v>
      </c>
      <c r="G2393" s="320"/>
      <c r="H2393" s="79">
        <v>45.46</v>
      </c>
      <c r="I2393" s="79">
        <v>7.26</v>
      </c>
      <c r="J2393" s="79">
        <v>52.72</v>
      </c>
      <c r="K2393" s="79">
        <v>0</v>
      </c>
      <c r="L2393" s="70">
        <v>52.72</v>
      </c>
      <c r="M2393" s="132"/>
      <c r="N2393" s="79">
        <v>45.46</v>
      </c>
      <c r="O2393" s="79">
        <v>7.26</v>
      </c>
      <c r="P2393" s="79">
        <v>52.72</v>
      </c>
      <c r="Q2393" s="136"/>
      <c r="R2393" s="79">
        <v>45.46</v>
      </c>
      <c r="S2393" s="79">
        <v>7.26</v>
      </c>
      <c r="T2393" s="79">
        <v>52.72</v>
      </c>
      <c r="U2393" s="79">
        <v>0</v>
      </c>
      <c r="V2393" s="189">
        <v>52.72</v>
      </c>
      <c r="X2393" s="79">
        <v>45.46</v>
      </c>
      <c r="Y2393" s="79">
        <v>7.26</v>
      </c>
      <c r="Z2393" s="79">
        <v>52.72</v>
      </c>
      <c r="AA2393" s="255">
        <v>0</v>
      </c>
      <c r="AC2393" s="254"/>
    </row>
    <row r="2394" spans="1:31" s="61" customFormat="1" ht="12">
      <c r="A2394" s="489" t="s">
        <v>15128</v>
      </c>
      <c r="B2394" s="490" t="s">
        <v>15129</v>
      </c>
      <c r="C2394" s="71"/>
      <c r="D2394" s="78"/>
      <c r="E2394" s="79"/>
      <c r="F2394" s="70"/>
      <c r="G2394" s="320"/>
      <c r="H2394" s="79"/>
      <c r="I2394" s="79"/>
      <c r="J2394" s="79"/>
      <c r="K2394" s="79"/>
      <c r="L2394" s="70"/>
      <c r="M2394" s="132"/>
      <c r="N2394" s="79"/>
      <c r="O2394" s="79"/>
      <c r="P2394" s="79"/>
      <c r="Q2394" s="136"/>
      <c r="R2394" s="79"/>
      <c r="S2394" s="79"/>
      <c r="T2394" s="79"/>
      <c r="U2394" s="79"/>
      <c r="V2394" s="189"/>
      <c r="X2394" s="79"/>
      <c r="Y2394" s="79"/>
      <c r="Z2394" s="79"/>
      <c r="AA2394" s="255"/>
      <c r="AC2394" s="254"/>
    </row>
    <row r="2395" spans="1:31" s="61" customFormat="1" ht="12">
      <c r="A2395" s="67" t="s">
        <v>15130</v>
      </c>
      <c r="B2395" s="65" t="s">
        <v>15131</v>
      </c>
      <c r="C2395" s="71" t="s">
        <v>165</v>
      </c>
      <c r="D2395" s="78">
        <v>1</v>
      </c>
      <c r="E2395" s="79">
        <v>13.25</v>
      </c>
      <c r="F2395" s="70">
        <v>13.25</v>
      </c>
      <c r="G2395" s="320"/>
      <c r="H2395" s="79">
        <v>6.56</v>
      </c>
      <c r="I2395" s="79">
        <v>6.6899999999999995</v>
      </c>
      <c r="J2395" s="79">
        <v>13.25</v>
      </c>
      <c r="K2395" s="79">
        <v>0</v>
      </c>
      <c r="L2395" s="70">
        <v>13.25</v>
      </c>
      <c r="M2395" s="132"/>
      <c r="N2395" s="79">
        <v>6.56</v>
      </c>
      <c r="O2395" s="79">
        <v>6.6899999999999995</v>
      </c>
      <c r="P2395" s="79">
        <v>13.25</v>
      </c>
      <c r="Q2395" s="136"/>
      <c r="R2395" s="79">
        <v>6.56</v>
      </c>
      <c r="S2395" s="79">
        <v>6.7</v>
      </c>
      <c r="T2395" s="79">
        <v>13.26</v>
      </c>
      <c r="U2395" s="79">
        <v>0</v>
      </c>
      <c r="V2395" s="189">
        <v>13.26</v>
      </c>
      <c r="X2395" s="79">
        <v>6.56</v>
      </c>
      <c r="Y2395" s="79">
        <v>6.7</v>
      </c>
      <c r="Z2395" s="79">
        <v>13.26</v>
      </c>
      <c r="AA2395" s="255">
        <v>-9.9999999999997868E-3</v>
      </c>
      <c r="AC2395" s="254"/>
    </row>
    <row r="2396" spans="1:31" s="61" customFormat="1" ht="12">
      <c r="A2396" s="67" t="s">
        <v>15132</v>
      </c>
      <c r="B2396" s="65" t="s">
        <v>15133</v>
      </c>
      <c r="C2396" s="71" t="s">
        <v>165</v>
      </c>
      <c r="D2396" s="78">
        <v>1</v>
      </c>
      <c r="E2396" s="79">
        <v>19.419999999999998</v>
      </c>
      <c r="F2396" s="70">
        <v>19.420000000000002</v>
      </c>
      <c r="G2396" s="320"/>
      <c r="H2396" s="79">
        <v>11.04</v>
      </c>
      <c r="I2396" s="79">
        <v>8.379999999999999</v>
      </c>
      <c r="J2396" s="79">
        <v>19.419999999999998</v>
      </c>
      <c r="K2396" s="79">
        <v>0</v>
      </c>
      <c r="L2396" s="70">
        <v>19.419999999999998</v>
      </c>
      <c r="M2396" s="132"/>
      <c r="N2396" s="79">
        <v>11.04</v>
      </c>
      <c r="O2396" s="79">
        <v>8.379999999999999</v>
      </c>
      <c r="P2396" s="79">
        <v>19.419999999999998</v>
      </c>
      <c r="Q2396" s="136"/>
      <c r="R2396" s="79">
        <v>11.04</v>
      </c>
      <c r="S2396" s="79">
        <v>8.3800000000000008</v>
      </c>
      <c r="T2396" s="79">
        <v>19.420000000000002</v>
      </c>
      <c r="U2396" s="79">
        <v>0</v>
      </c>
      <c r="V2396" s="189">
        <v>19.420000000000002</v>
      </c>
      <c r="X2396" s="79">
        <v>11.04</v>
      </c>
      <c r="Y2396" s="79">
        <v>8.3800000000000008</v>
      </c>
      <c r="Z2396" s="79">
        <v>19.420000000000002</v>
      </c>
      <c r="AA2396" s="255">
        <v>0</v>
      </c>
      <c r="AC2396" s="254"/>
    </row>
    <row r="2397" spans="1:31" s="61" customFormat="1" ht="12">
      <c r="A2397" s="67" t="s">
        <v>15134</v>
      </c>
      <c r="B2397" s="65" t="s">
        <v>15135</v>
      </c>
      <c r="C2397" s="71" t="s">
        <v>165</v>
      </c>
      <c r="D2397" s="78">
        <v>1</v>
      </c>
      <c r="E2397" s="79">
        <v>27.16</v>
      </c>
      <c r="F2397" s="70">
        <v>27.16</v>
      </c>
      <c r="G2397" s="320"/>
      <c r="H2397" s="79">
        <v>17.12</v>
      </c>
      <c r="I2397" s="79">
        <v>10.039999999999999</v>
      </c>
      <c r="J2397" s="79">
        <v>27.16</v>
      </c>
      <c r="K2397" s="79">
        <v>0</v>
      </c>
      <c r="L2397" s="70">
        <v>27.16</v>
      </c>
      <c r="M2397" s="132"/>
      <c r="N2397" s="79">
        <v>17.12</v>
      </c>
      <c r="O2397" s="79">
        <v>10.039999999999999</v>
      </c>
      <c r="P2397" s="79">
        <v>27.16</v>
      </c>
      <c r="Q2397" s="136"/>
      <c r="R2397" s="79">
        <v>17.12</v>
      </c>
      <c r="S2397" s="79">
        <v>10.050000000000001</v>
      </c>
      <c r="T2397" s="79">
        <v>27.17</v>
      </c>
      <c r="U2397" s="79">
        <v>0</v>
      </c>
      <c r="V2397" s="189">
        <v>27.17</v>
      </c>
      <c r="X2397" s="79">
        <v>17.12</v>
      </c>
      <c r="Y2397" s="79">
        <v>10.050000000000001</v>
      </c>
      <c r="Z2397" s="79">
        <v>27.17</v>
      </c>
      <c r="AA2397" s="255">
        <v>-1.0000000000001563E-2</v>
      </c>
      <c r="AC2397" s="254"/>
    </row>
    <row r="2398" spans="1:31" s="61" customFormat="1" ht="12">
      <c r="A2398" s="67" t="s">
        <v>15136</v>
      </c>
      <c r="B2398" s="65" t="s">
        <v>15137</v>
      </c>
      <c r="C2398" s="71" t="s">
        <v>165</v>
      </c>
      <c r="D2398" s="78">
        <v>1</v>
      </c>
      <c r="E2398" s="79">
        <v>36.340000000000003</v>
      </c>
      <c r="F2398" s="70">
        <v>36.340000000000003</v>
      </c>
      <c r="G2398" s="320"/>
      <c r="H2398" s="79">
        <v>24.61</v>
      </c>
      <c r="I2398" s="79">
        <v>11.73</v>
      </c>
      <c r="J2398" s="79">
        <v>36.340000000000003</v>
      </c>
      <c r="K2398" s="79">
        <v>0</v>
      </c>
      <c r="L2398" s="70">
        <v>36.340000000000003</v>
      </c>
      <c r="M2398" s="132"/>
      <c r="N2398" s="79">
        <v>24.61</v>
      </c>
      <c r="O2398" s="79">
        <v>11.73</v>
      </c>
      <c r="P2398" s="79">
        <v>36.340000000000003</v>
      </c>
      <c r="Q2398" s="136"/>
      <c r="R2398" s="79">
        <v>24.61</v>
      </c>
      <c r="S2398" s="79">
        <v>11.73</v>
      </c>
      <c r="T2398" s="79">
        <v>36.340000000000003</v>
      </c>
      <c r="U2398" s="79">
        <v>0</v>
      </c>
      <c r="V2398" s="189">
        <v>36.340000000000003</v>
      </c>
      <c r="X2398" s="79">
        <v>24.61</v>
      </c>
      <c r="Y2398" s="79">
        <v>11.73</v>
      </c>
      <c r="Z2398" s="79">
        <v>36.340000000000003</v>
      </c>
      <c r="AA2398" s="255">
        <v>0</v>
      </c>
      <c r="AC2398" s="254"/>
      <c r="AD2398" s="236"/>
      <c r="AE2398" s="236"/>
    </row>
    <row r="2399" spans="1:31" s="61" customFormat="1" ht="12">
      <c r="A2399" s="67" t="s">
        <v>15138</v>
      </c>
      <c r="B2399" s="65" t="s">
        <v>15139</v>
      </c>
      <c r="C2399" s="71" t="s">
        <v>165</v>
      </c>
      <c r="D2399" s="78">
        <v>1</v>
      </c>
      <c r="E2399" s="79">
        <v>28.549999999999997</v>
      </c>
      <c r="F2399" s="70">
        <v>28.55</v>
      </c>
      <c r="G2399" s="320"/>
      <c r="H2399" s="79">
        <v>21.86</v>
      </c>
      <c r="I2399" s="79">
        <v>6.6899999999999995</v>
      </c>
      <c r="J2399" s="79">
        <v>28.549999999999997</v>
      </c>
      <c r="K2399" s="79">
        <v>0</v>
      </c>
      <c r="L2399" s="70">
        <v>28.549999999999997</v>
      </c>
      <c r="M2399" s="132"/>
      <c r="N2399" s="79">
        <v>21.86</v>
      </c>
      <c r="O2399" s="79">
        <v>6.6899999999999995</v>
      </c>
      <c r="P2399" s="79">
        <v>28.549999999999997</v>
      </c>
      <c r="Q2399" s="136"/>
      <c r="R2399" s="79">
        <v>21.86</v>
      </c>
      <c r="S2399" s="79">
        <v>6.7</v>
      </c>
      <c r="T2399" s="79">
        <v>28.56</v>
      </c>
      <c r="U2399" s="79">
        <v>0</v>
      </c>
      <c r="V2399" s="189">
        <v>28.56</v>
      </c>
      <c r="X2399" s="79">
        <v>21.86</v>
      </c>
      <c r="Y2399" s="79">
        <v>6.7</v>
      </c>
      <c r="Z2399" s="79">
        <v>28.56</v>
      </c>
      <c r="AA2399" s="255">
        <v>-9.9999999999980105E-3</v>
      </c>
      <c r="AC2399" s="254"/>
      <c r="AD2399" s="236"/>
      <c r="AE2399" s="236"/>
    </row>
    <row r="2400" spans="1:31" ht="12">
      <c r="A2400" s="67" t="s">
        <v>15140</v>
      </c>
      <c r="B2400" s="65" t="s">
        <v>15141</v>
      </c>
      <c r="C2400" s="71" t="s">
        <v>165</v>
      </c>
      <c r="D2400" s="78">
        <v>1</v>
      </c>
      <c r="E2400" s="79">
        <v>50.28</v>
      </c>
      <c r="F2400" s="70">
        <v>50.28</v>
      </c>
      <c r="G2400" s="320"/>
      <c r="H2400" s="79">
        <v>34.65</v>
      </c>
      <c r="I2400" s="79">
        <v>15.629999999999999</v>
      </c>
      <c r="J2400" s="79">
        <v>50.28</v>
      </c>
      <c r="K2400" s="79">
        <v>0</v>
      </c>
      <c r="L2400" s="70">
        <v>50.28</v>
      </c>
      <c r="M2400" s="132"/>
      <c r="N2400" s="79">
        <v>34.65</v>
      </c>
      <c r="O2400" s="79">
        <v>15.629999999999999</v>
      </c>
      <c r="P2400" s="79">
        <v>50.28</v>
      </c>
      <c r="Q2400" s="136"/>
      <c r="R2400" s="79">
        <v>34.65</v>
      </c>
      <c r="S2400" s="79">
        <v>15.63</v>
      </c>
      <c r="T2400" s="79">
        <v>50.28</v>
      </c>
      <c r="U2400" s="79">
        <v>0</v>
      </c>
      <c r="V2400" s="189">
        <v>50.28</v>
      </c>
      <c r="X2400" s="79">
        <v>34.65</v>
      </c>
      <c r="Y2400" s="79">
        <v>15.63</v>
      </c>
      <c r="Z2400" s="79">
        <v>50.28</v>
      </c>
      <c r="AA2400" s="255">
        <v>0</v>
      </c>
      <c r="AC2400" s="254"/>
    </row>
    <row r="2401" spans="1:29" ht="12">
      <c r="A2401" s="489" t="s">
        <v>15142</v>
      </c>
      <c r="B2401" s="490" t="s">
        <v>15143</v>
      </c>
      <c r="C2401" s="491"/>
      <c r="D2401" s="492"/>
      <c r="E2401" s="79"/>
      <c r="F2401" s="63"/>
      <c r="G2401" s="320"/>
      <c r="H2401" s="79"/>
      <c r="I2401" s="79"/>
      <c r="J2401" s="79"/>
      <c r="K2401" s="79"/>
      <c r="L2401" s="70"/>
      <c r="M2401" s="132"/>
      <c r="N2401" s="79"/>
      <c r="O2401" s="79"/>
      <c r="P2401" s="79"/>
      <c r="Q2401" s="136"/>
      <c r="R2401" s="79"/>
      <c r="S2401" s="79"/>
      <c r="T2401" s="79"/>
      <c r="U2401" s="79"/>
      <c r="V2401" s="189"/>
      <c r="X2401" s="79"/>
      <c r="Y2401" s="79"/>
      <c r="Z2401" s="79"/>
      <c r="AA2401" s="255"/>
      <c r="AC2401" s="254"/>
    </row>
    <row r="2402" spans="1:29" ht="12">
      <c r="A2402" s="67" t="s">
        <v>15144</v>
      </c>
      <c r="B2402" s="65" t="s">
        <v>15145</v>
      </c>
      <c r="C2402" s="71" t="s">
        <v>165</v>
      </c>
      <c r="D2402" s="78">
        <v>1</v>
      </c>
      <c r="E2402" s="79">
        <v>114.02</v>
      </c>
      <c r="F2402" s="70">
        <v>114.02</v>
      </c>
      <c r="G2402" s="320"/>
      <c r="H2402" s="79">
        <v>112.33</v>
      </c>
      <c r="I2402" s="79">
        <v>1.69</v>
      </c>
      <c r="J2402" s="79">
        <v>114.02</v>
      </c>
      <c r="K2402" s="79">
        <v>0</v>
      </c>
      <c r="L2402" s="70">
        <v>114.02</v>
      </c>
      <c r="M2402" s="132"/>
      <c r="N2402" s="79">
        <v>112.33</v>
      </c>
      <c r="O2402" s="79">
        <v>1.69</v>
      </c>
      <c r="P2402" s="79">
        <v>114.02</v>
      </c>
      <c r="Q2402" s="136"/>
      <c r="R2402" s="79">
        <v>112.33</v>
      </c>
      <c r="S2402" s="79">
        <v>1.67</v>
      </c>
      <c r="T2402" s="79">
        <v>114</v>
      </c>
      <c r="U2402" s="79">
        <v>0</v>
      </c>
      <c r="V2402" s="189">
        <v>114</v>
      </c>
      <c r="X2402" s="79">
        <v>112.33</v>
      </c>
      <c r="Y2402" s="79">
        <v>1.67</v>
      </c>
      <c r="Z2402" s="79">
        <v>114</v>
      </c>
      <c r="AA2402" s="255">
        <v>1.9999999999996021E-2</v>
      </c>
      <c r="AC2402" s="254"/>
    </row>
    <row r="2403" spans="1:29" ht="12">
      <c r="A2403" s="67" t="s">
        <v>15146</v>
      </c>
      <c r="B2403" s="65" t="s">
        <v>15147</v>
      </c>
      <c r="C2403" s="71" t="s">
        <v>165</v>
      </c>
      <c r="D2403" s="78">
        <v>1</v>
      </c>
      <c r="E2403" s="79">
        <v>130.76</v>
      </c>
      <c r="F2403" s="70">
        <v>130.76</v>
      </c>
      <c r="G2403" s="320"/>
      <c r="H2403" s="79">
        <v>129.07</v>
      </c>
      <c r="I2403" s="79">
        <v>1.69</v>
      </c>
      <c r="J2403" s="79">
        <v>130.76</v>
      </c>
      <c r="K2403" s="79">
        <v>0</v>
      </c>
      <c r="L2403" s="70">
        <v>130.76</v>
      </c>
      <c r="M2403" s="132"/>
      <c r="N2403" s="79">
        <v>129.07</v>
      </c>
      <c r="O2403" s="79">
        <v>1.69</v>
      </c>
      <c r="P2403" s="79">
        <v>130.76</v>
      </c>
      <c r="Q2403" s="136"/>
      <c r="R2403" s="79">
        <v>129.07</v>
      </c>
      <c r="S2403" s="79">
        <v>1.67</v>
      </c>
      <c r="T2403" s="79">
        <v>130.73999999999998</v>
      </c>
      <c r="U2403" s="79">
        <v>0</v>
      </c>
      <c r="V2403" s="189">
        <v>130.73999999999998</v>
      </c>
      <c r="X2403" s="79">
        <v>129.07</v>
      </c>
      <c r="Y2403" s="79">
        <v>1.67</v>
      </c>
      <c r="Z2403" s="79">
        <v>130.74</v>
      </c>
      <c r="AA2403" s="255">
        <v>1.999999999998181E-2</v>
      </c>
      <c r="AC2403" s="254"/>
    </row>
    <row r="2404" spans="1:29" ht="24">
      <c r="A2404" s="489" t="s">
        <v>15148</v>
      </c>
      <c r="B2404" s="490" t="s">
        <v>15149</v>
      </c>
      <c r="C2404" s="491"/>
      <c r="D2404" s="492"/>
      <c r="E2404" s="79"/>
      <c r="F2404" s="63"/>
      <c r="G2404" s="320"/>
      <c r="H2404" s="79"/>
      <c r="I2404" s="79"/>
      <c r="J2404" s="79"/>
      <c r="K2404" s="79"/>
      <c r="L2404" s="70"/>
      <c r="M2404" s="132"/>
      <c r="N2404" s="79"/>
      <c r="O2404" s="79"/>
      <c r="P2404" s="79"/>
      <c r="Q2404" s="136"/>
      <c r="R2404" s="79"/>
      <c r="S2404" s="79"/>
      <c r="T2404" s="79"/>
      <c r="U2404" s="79"/>
      <c r="V2404" s="189"/>
      <c r="X2404" s="79"/>
      <c r="Y2404" s="79"/>
      <c r="Z2404" s="79"/>
      <c r="AA2404" s="255"/>
      <c r="AC2404" s="254"/>
    </row>
    <row r="2405" spans="1:29" ht="24">
      <c r="A2405" s="67" t="s">
        <v>15150</v>
      </c>
      <c r="B2405" s="65" t="s">
        <v>15151</v>
      </c>
      <c r="C2405" s="71" t="s">
        <v>165</v>
      </c>
      <c r="D2405" s="78">
        <v>1</v>
      </c>
      <c r="E2405" s="79">
        <v>4.5999999999999996</v>
      </c>
      <c r="F2405" s="70">
        <v>4.5999999999999996</v>
      </c>
      <c r="G2405" s="320"/>
      <c r="H2405" s="79">
        <v>2.36</v>
      </c>
      <c r="I2405" s="79">
        <v>2.2400000000000002</v>
      </c>
      <c r="J2405" s="79">
        <v>4.5999999999999996</v>
      </c>
      <c r="K2405" s="79">
        <v>0</v>
      </c>
      <c r="L2405" s="70">
        <v>4.5999999999999996</v>
      </c>
      <c r="M2405" s="132"/>
      <c r="N2405" s="79">
        <v>2.36</v>
      </c>
      <c r="O2405" s="79">
        <v>2.2400000000000002</v>
      </c>
      <c r="P2405" s="79">
        <v>4.5999999999999996</v>
      </c>
      <c r="Q2405" s="136"/>
      <c r="R2405" s="79">
        <v>2.36</v>
      </c>
      <c r="S2405" s="79">
        <v>2.23</v>
      </c>
      <c r="T2405" s="79">
        <v>4.59</v>
      </c>
      <c r="U2405" s="79">
        <v>0</v>
      </c>
      <c r="V2405" s="189">
        <v>4.59</v>
      </c>
      <c r="X2405" s="79">
        <v>2.36</v>
      </c>
      <c r="Y2405" s="79">
        <v>2.23</v>
      </c>
      <c r="Z2405" s="79">
        <v>4.59</v>
      </c>
      <c r="AA2405" s="255">
        <v>9.9999999999997868E-3</v>
      </c>
      <c r="AC2405" s="254"/>
    </row>
    <row r="2406" spans="1:29" ht="24">
      <c r="A2406" s="67" t="s">
        <v>15152</v>
      </c>
      <c r="B2406" s="65" t="s">
        <v>15153</v>
      </c>
      <c r="C2406" s="71" t="s">
        <v>165</v>
      </c>
      <c r="D2406" s="78">
        <v>1</v>
      </c>
      <c r="E2406" s="79">
        <v>6.45</v>
      </c>
      <c r="F2406" s="70">
        <v>6.45</v>
      </c>
      <c r="G2406" s="320"/>
      <c r="H2406" s="79">
        <v>3.64</v>
      </c>
      <c r="I2406" s="79">
        <v>2.81</v>
      </c>
      <c r="J2406" s="79">
        <v>6.45</v>
      </c>
      <c r="K2406" s="79">
        <v>0</v>
      </c>
      <c r="L2406" s="70">
        <v>6.45</v>
      </c>
      <c r="M2406" s="132"/>
      <c r="N2406" s="79">
        <v>3.64</v>
      </c>
      <c r="O2406" s="79">
        <v>2.81</v>
      </c>
      <c r="P2406" s="79">
        <v>6.45</v>
      </c>
      <c r="Q2406" s="136"/>
      <c r="R2406" s="79">
        <v>3.64</v>
      </c>
      <c r="S2406" s="79">
        <v>2.8</v>
      </c>
      <c r="T2406" s="79">
        <v>6.4399999999999995</v>
      </c>
      <c r="U2406" s="79">
        <v>0</v>
      </c>
      <c r="V2406" s="189">
        <v>6.4399999999999995</v>
      </c>
      <c r="X2406" s="79">
        <v>3.64</v>
      </c>
      <c r="Y2406" s="79">
        <v>2.8</v>
      </c>
      <c r="Z2406" s="79">
        <v>6.44</v>
      </c>
      <c r="AA2406" s="255">
        <v>9.9999999999997868E-3</v>
      </c>
      <c r="AC2406" s="254"/>
    </row>
    <row r="2407" spans="1:29" ht="24">
      <c r="A2407" s="67" t="s">
        <v>15154</v>
      </c>
      <c r="B2407" s="65" t="s">
        <v>15155</v>
      </c>
      <c r="C2407" s="71" t="s">
        <v>165</v>
      </c>
      <c r="D2407" s="78">
        <v>1</v>
      </c>
      <c r="E2407" s="79">
        <v>8.61</v>
      </c>
      <c r="F2407" s="70">
        <v>8.61</v>
      </c>
      <c r="G2407" s="320"/>
      <c r="H2407" s="79">
        <v>5.26</v>
      </c>
      <c r="I2407" s="79">
        <v>3.3499999999999996</v>
      </c>
      <c r="J2407" s="79">
        <v>8.61</v>
      </c>
      <c r="K2407" s="79">
        <v>0</v>
      </c>
      <c r="L2407" s="70">
        <v>8.61</v>
      </c>
      <c r="M2407" s="132"/>
      <c r="N2407" s="79">
        <v>5.26</v>
      </c>
      <c r="O2407" s="79">
        <v>3.3499999999999996</v>
      </c>
      <c r="P2407" s="79">
        <v>8.61</v>
      </c>
      <c r="Q2407" s="136"/>
      <c r="R2407" s="79">
        <v>5.26</v>
      </c>
      <c r="S2407" s="79">
        <v>3.35</v>
      </c>
      <c r="T2407" s="79">
        <v>8.61</v>
      </c>
      <c r="U2407" s="79">
        <v>0</v>
      </c>
      <c r="V2407" s="189">
        <v>8.61</v>
      </c>
      <c r="X2407" s="79">
        <v>5.26</v>
      </c>
      <c r="Y2407" s="79">
        <v>3.35</v>
      </c>
      <c r="Z2407" s="79">
        <v>8.61</v>
      </c>
      <c r="AA2407" s="255">
        <v>0</v>
      </c>
      <c r="AC2407" s="254"/>
    </row>
    <row r="2408" spans="1:29" ht="24">
      <c r="A2408" s="67" t="s">
        <v>15156</v>
      </c>
      <c r="B2408" s="65" t="s">
        <v>15157</v>
      </c>
      <c r="C2408" s="71" t="s">
        <v>165</v>
      </c>
      <c r="D2408" s="78">
        <v>1</v>
      </c>
      <c r="E2408" s="79">
        <v>11.45</v>
      </c>
      <c r="F2408" s="70">
        <v>11.45</v>
      </c>
      <c r="G2408" s="320"/>
      <c r="H2408" s="79">
        <v>7.52</v>
      </c>
      <c r="I2408" s="79">
        <v>3.9299999999999997</v>
      </c>
      <c r="J2408" s="79">
        <v>11.45</v>
      </c>
      <c r="K2408" s="79">
        <v>0</v>
      </c>
      <c r="L2408" s="70">
        <v>11.45</v>
      </c>
      <c r="M2408" s="132"/>
      <c r="N2408" s="79">
        <v>7.52</v>
      </c>
      <c r="O2408" s="79">
        <v>3.9299999999999997</v>
      </c>
      <c r="P2408" s="79">
        <v>11.45</v>
      </c>
      <c r="Q2408" s="136"/>
      <c r="R2408" s="79">
        <v>7.52</v>
      </c>
      <c r="S2408" s="79">
        <v>3.91</v>
      </c>
      <c r="T2408" s="79">
        <v>11.43</v>
      </c>
      <c r="U2408" s="79">
        <v>0</v>
      </c>
      <c r="V2408" s="189">
        <v>11.43</v>
      </c>
      <c r="X2408" s="79">
        <v>7.52</v>
      </c>
      <c r="Y2408" s="79">
        <v>3.91</v>
      </c>
      <c r="Z2408" s="79">
        <v>11.43</v>
      </c>
      <c r="AA2408" s="255">
        <v>1.9999999999999574E-2</v>
      </c>
      <c r="AC2408" s="254"/>
    </row>
    <row r="2409" spans="1:29" ht="24">
      <c r="A2409" s="67" t="s">
        <v>15158</v>
      </c>
      <c r="B2409" s="65" t="s">
        <v>15159</v>
      </c>
      <c r="C2409" s="71" t="s">
        <v>165</v>
      </c>
      <c r="D2409" s="78">
        <v>1</v>
      </c>
      <c r="E2409" s="79">
        <v>16.419999999999998</v>
      </c>
      <c r="F2409" s="70">
        <v>16.420000000000002</v>
      </c>
      <c r="G2409" s="320"/>
      <c r="H2409" s="79">
        <v>11.95</v>
      </c>
      <c r="I2409" s="79">
        <v>4.47</v>
      </c>
      <c r="J2409" s="79">
        <v>16.419999999999998</v>
      </c>
      <c r="K2409" s="79">
        <v>0</v>
      </c>
      <c r="L2409" s="70">
        <v>16.419999999999998</v>
      </c>
      <c r="M2409" s="132"/>
      <c r="N2409" s="79">
        <v>11.95</v>
      </c>
      <c r="O2409" s="79">
        <v>4.47</v>
      </c>
      <c r="P2409" s="79">
        <v>16.419999999999998</v>
      </c>
      <c r="Q2409" s="136"/>
      <c r="R2409" s="79">
        <v>11.95</v>
      </c>
      <c r="S2409" s="79">
        <v>4.47</v>
      </c>
      <c r="T2409" s="79">
        <v>16.419999999999998</v>
      </c>
      <c r="U2409" s="79">
        <v>0</v>
      </c>
      <c r="V2409" s="189">
        <v>16.419999999999998</v>
      </c>
      <c r="X2409" s="79">
        <v>11.95</v>
      </c>
      <c r="Y2409" s="79">
        <v>4.47</v>
      </c>
      <c r="Z2409" s="79">
        <v>16.420000000000002</v>
      </c>
      <c r="AA2409" s="255">
        <v>0</v>
      </c>
      <c r="AC2409" s="254"/>
    </row>
    <row r="2410" spans="1:29" ht="24">
      <c r="A2410" s="67" t="s">
        <v>15160</v>
      </c>
      <c r="B2410" s="65" t="s">
        <v>15161</v>
      </c>
      <c r="C2410" s="71" t="s">
        <v>165</v>
      </c>
      <c r="D2410" s="78">
        <v>1</v>
      </c>
      <c r="E2410" s="79">
        <v>23.33</v>
      </c>
      <c r="F2410" s="70">
        <v>23.33</v>
      </c>
      <c r="G2410" s="320"/>
      <c r="H2410" s="79">
        <v>18.29</v>
      </c>
      <c r="I2410" s="79">
        <v>5.04</v>
      </c>
      <c r="J2410" s="79">
        <v>23.33</v>
      </c>
      <c r="K2410" s="79">
        <v>0</v>
      </c>
      <c r="L2410" s="70">
        <v>23.33</v>
      </c>
      <c r="M2410" s="132"/>
      <c r="N2410" s="79">
        <v>18.29</v>
      </c>
      <c r="O2410" s="79">
        <v>5.04</v>
      </c>
      <c r="P2410" s="79">
        <v>23.33</v>
      </c>
      <c r="Q2410" s="136"/>
      <c r="R2410" s="79">
        <v>18.29</v>
      </c>
      <c r="S2410" s="79">
        <v>5.0199999999999996</v>
      </c>
      <c r="T2410" s="79">
        <v>23.31</v>
      </c>
      <c r="U2410" s="79">
        <v>0</v>
      </c>
      <c r="V2410" s="189">
        <v>23.31</v>
      </c>
      <c r="X2410" s="79">
        <v>18.29</v>
      </c>
      <c r="Y2410" s="79">
        <v>5.0199999999999996</v>
      </c>
      <c r="Z2410" s="79">
        <v>23.31</v>
      </c>
      <c r="AA2410" s="255">
        <v>1.9999999999999574E-2</v>
      </c>
      <c r="AC2410" s="254"/>
    </row>
    <row r="2411" spans="1:29" ht="24">
      <c r="A2411" s="67" t="s">
        <v>15162</v>
      </c>
      <c r="B2411" s="65" t="s">
        <v>15163</v>
      </c>
      <c r="C2411" s="71" t="s">
        <v>165</v>
      </c>
      <c r="D2411" s="78">
        <v>1</v>
      </c>
      <c r="E2411" s="79">
        <v>33.870000000000005</v>
      </c>
      <c r="F2411" s="70">
        <v>33.869999999999997</v>
      </c>
      <c r="G2411" s="320"/>
      <c r="H2411" s="79">
        <v>28.28</v>
      </c>
      <c r="I2411" s="79">
        <v>5.59</v>
      </c>
      <c r="J2411" s="79">
        <v>33.870000000000005</v>
      </c>
      <c r="K2411" s="79">
        <v>0</v>
      </c>
      <c r="L2411" s="70">
        <v>33.870000000000005</v>
      </c>
      <c r="M2411" s="132"/>
      <c r="N2411" s="79">
        <v>28.28</v>
      </c>
      <c r="O2411" s="79">
        <v>5.59</v>
      </c>
      <c r="P2411" s="79">
        <v>33.870000000000005</v>
      </c>
      <c r="Q2411" s="136"/>
      <c r="R2411" s="79">
        <v>28.28</v>
      </c>
      <c r="S2411" s="79">
        <v>5.58</v>
      </c>
      <c r="T2411" s="79">
        <v>33.86</v>
      </c>
      <c r="U2411" s="79">
        <v>0</v>
      </c>
      <c r="V2411" s="189">
        <v>33.86</v>
      </c>
      <c r="X2411" s="79">
        <v>28.28</v>
      </c>
      <c r="Y2411" s="79">
        <v>5.58</v>
      </c>
      <c r="Z2411" s="79">
        <v>33.86</v>
      </c>
      <c r="AA2411" s="255">
        <v>9.9999999999980105E-3</v>
      </c>
      <c r="AC2411" s="254"/>
    </row>
    <row r="2412" spans="1:29" ht="24">
      <c r="A2412" s="67" t="s">
        <v>15164</v>
      </c>
      <c r="B2412" s="65" t="s">
        <v>15165</v>
      </c>
      <c r="C2412" s="71" t="s">
        <v>165</v>
      </c>
      <c r="D2412" s="78">
        <v>1</v>
      </c>
      <c r="E2412" s="79">
        <v>46.959999999999994</v>
      </c>
      <c r="F2412" s="70">
        <v>46.96</v>
      </c>
      <c r="G2412" s="320"/>
      <c r="H2412" s="79">
        <v>38.58</v>
      </c>
      <c r="I2412" s="79">
        <v>8.379999999999999</v>
      </c>
      <c r="J2412" s="79">
        <v>46.959999999999994</v>
      </c>
      <c r="K2412" s="79">
        <v>0</v>
      </c>
      <c r="L2412" s="70">
        <v>46.959999999999994</v>
      </c>
      <c r="M2412" s="132"/>
      <c r="N2412" s="79">
        <v>38.58</v>
      </c>
      <c r="O2412" s="79">
        <v>8.379999999999999</v>
      </c>
      <c r="P2412" s="79">
        <v>46.959999999999994</v>
      </c>
      <c r="Q2412" s="136"/>
      <c r="R2412" s="79">
        <v>38.58</v>
      </c>
      <c r="S2412" s="79">
        <v>8.3800000000000008</v>
      </c>
      <c r="T2412" s="79">
        <v>46.96</v>
      </c>
      <c r="U2412" s="79">
        <v>0</v>
      </c>
      <c r="V2412" s="189">
        <v>46.96</v>
      </c>
      <c r="X2412" s="79">
        <v>38.58</v>
      </c>
      <c r="Y2412" s="79">
        <v>8.3800000000000008</v>
      </c>
      <c r="Z2412" s="79">
        <v>46.96</v>
      </c>
      <c r="AA2412" s="255">
        <v>0</v>
      </c>
      <c r="AC2412" s="254"/>
    </row>
    <row r="2413" spans="1:29" ht="24">
      <c r="A2413" s="67" t="s">
        <v>15166</v>
      </c>
      <c r="B2413" s="65" t="s">
        <v>15167</v>
      </c>
      <c r="C2413" s="71" t="s">
        <v>165</v>
      </c>
      <c r="D2413" s="78">
        <v>1</v>
      </c>
      <c r="E2413" s="79">
        <v>66.180000000000007</v>
      </c>
      <c r="F2413" s="70">
        <v>66.180000000000007</v>
      </c>
      <c r="G2413" s="320"/>
      <c r="H2413" s="79">
        <v>55.02</v>
      </c>
      <c r="I2413" s="79">
        <v>11.16</v>
      </c>
      <c r="J2413" s="79">
        <v>66.180000000000007</v>
      </c>
      <c r="K2413" s="79">
        <v>0</v>
      </c>
      <c r="L2413" s="70">
        <v>66.180000000000007</v>
      </c>
      <c r="M2413" s="132"/>
      <c r="N2413" s="79">
        <v>55.02</v>
      </c>
      <c r="O2413" s="79">
        <v>11.16</v>
      </c>
      <c r="P2413" s="79">
        <v>66.180000000000007</v>
      </c>
      <c r="Q2413" s="136"/>
      <c r="R2413" s="79">
        <v>55.02</v>
      </c>
      <c r="S2413" s="79">
        <v>11.16</v>
      </c>
      <c r="T2413" s="79">
        <v>66.180000000000007</v>
      </c>
      <c r="U2413" s="79">
        <v>0</v>
      </c>
      <c r="V2413" s="189">
        <v>66.180000000000007</v>
      </c>
      <c r="X2413" s="79">
        <v>55.02</v>
      </c>
      <c r="Y2413" s="79">
        <v>11.16</v>
      </c>
      <c r="Z2413" s="79">
        <v>66.180000000000007</v>
      </c>
      <c r="AA2413" s="255">
        <v>0</v>
      </c>
      <c r="AC2413" s="254"/>
    </row>
    <row r="2414" spans="1:29" ht="24">
      <c r="A2414" s="67" t="s">
        <v>15168</v>
      </c>
      <c r="B2414" s="65" t="s">
        <v>15169</v>
      </c>
      <c r="C2414" s="71" t="s">
        <v>165</v>
      </c>
      <c r="D2414" s="78">
        <v>1</v>
      </c>
      <c r="E2414" s="79">
        <v>90.6</v>
      </c>
      <c r="F2414" s="70">
        <v>90.6</v>
      </c>
      <c r="G2414" s="320"/>
      <c r="H2414" s="79">
        <v>76.63</v>
      </c>
      <c r="I2414" s="79">
        <v>13.969999999999999</v>
      </c>
      <c r="J2414" s="79">
        <v>90.6</v>
      </c>
      <c r="K2414" s="79">
        <v>0</v>
      </c>
      <c r="L2414" s="70">
        <v>90.6</v>
      </c>
      <c r="M2414" s="132"/>
      <c r="N2414" s="79">
        <v>76.63</v>
      </c>
      <c r="O2414" s="79">
        <v>13.969999999999999</v>
      </c>
      <c r="P2414" s="79">
        <v>90.6</v>
      </c>
      <c r="Q2414" s="136"/>
      <c r="R2414" s="79">
        <v>76.63</v>
      </c>
      <c r="S2414" s="79">
        <v>13.96</v>
      </c>
      <c r="T2414" s="79">
        <v>90.59</v>
      </c>
      <c r="U2414" s="79">
        <v>0</v>
      </c>
      <c r="V2414" s="189">
        <v>90.59</v>
      </c>
      <c r="X2414" s="79">
        <v>76.63</v>
      </c>
      <c r="Y2414" s="79">
        <v>13.96</v>
      </c>
      <c r="Z2414" s="79">
        <v>90.59</v>
      </c>
      <c r="AA2414" s="255">
        <v>9.9999999999909051E-3</v>
      </c>
      <c r="AC2414" s="254"/>
    </row>
    <row r="2415" spans="1:29" ht="24">
      <c r="A2415" s="67" t="s">
        <v>15170</v>
      </c>
      <c r="B2415" s="65" t="s">
        <v>15171</v>
      </c>
      <c r="C2415" s="71" t="s">
        <v>165</v>
      </c>
      <c r="D2415" s="78">
        <v>1</v>
      </c>
      <c r="E2415" s="79">
        <v>119.11</v>
      </c>
      <c r="F2415" s="70">
        <v>119.11</v>
      </c>
      <c r="G2415" s="320"/>
      <c r="H2415" s="79">
        <v>102.36</v>
      </c>
      <c r="I2415" s="79">
        <v>16.75</v>
      </c>
      <c r="J2415" s="79">
        <v>119.11</v>
      </c>
      <c r="K2415" s="79">
        <v>0</v>
      </c>
      <c r="L2415" s="70">
        <v>119.11</v>
      </c>
      <c r="M2415" s="132"/>
      <c r="N2415" s="79">
        <v>102.36</v>
      </c>
      <c r="O2415" s="79">
        <v>16.75</v>
      </c>
      <c r="P2415" s="79">
        <v>119.11</v>
      </c>
      <c r="Q2415" s="136"/>
      <c r="R2415" s="79">
        <v>102.36</v>
      </c>
      <c r="S2415" s="79">
        <v>16.75</v>
      </c>
      <c r="T2415" s="79">
        <v>119.11</v>
      </c>
      <c r="U2415" s="79">
        <v>0</v>
      </c>
      <c r="V2415" s="189">
        <v>119.11</v>
      </c>
      <c r="X2415" s="79">
        <v>102.36</v>
      </c>
      <c r="Y2415" s="79">
        <v>16.75</v>
      </c>
      <c r="Z2415" s="79">
        <v>119.11</v>
      </c>
      <c r="AA2415" s="255">
        <v>0</v>
      </c>
      <c r="AC2415" s="254"/>
    </row>
    <row r="2416" spans="1:29" ht="24">
      <c r="A2416" s="67" t="s">
        <v>15172</v>
      </c>
      <c r="B2416" s="65" t="s">
        <v>15173</v>
      </c>
      <c r="C2416" s="71" t="s">
        <v>165</v>
      </c>
      <c r="D2416" s="78">
        <v>1</v>
      </c>
      <c r="E2416" s="79">
        <v>149.97999999999999</v>
      </c>
      <c r="F2416" s="70">
        <v>149.97999999999999</v>
      </c>
      <c r="G2416" s="320"/>
      <c r="H2416" s="79">
        <v>130.44</v>
      </c>
      <c r="I2416" s="79">
        <v>19.54</v>
      </c>
      <c r="J2416" s="79">
        <v>149.97999999999999</v>
      </c>
      <c r="K2416" s="79">
        <v>0</v>
      </c>
      <c r="L2416" s="70">
        <v>149.97999999999999</v>
      </c>
      <c r="M2416" s="132"/>
      <c r="N2416" s="79">
        <v>130.44</v>
      </c>
      <c r="O2416" s="79">
        <v>19.54</v>
      </c>
      <c r="P2416" s="79">
        <v>149.97999999999999</v>
      </c>
      <c r="Q2416" s="136"/>
      <c r="R2416" s="79">
        <v>130.44</v>
      </c>
      <c r="S2416" s="79">
        <v>19.54</v>
      </c>
      <c r="T2416" s="79">
        <v>149.97999999999999</v>
      </c>
      <c r="U2416" s="79">
        <v>0</v>
      </c>
      <c r="V2416" s="189">
        <v>149.97999999999999</v>
      </c>
      <c r="X2416" s="79">
        <v>130.44</v>
      </c>
      <c r="Y2416" s="79">
        <v>19.54</v>
      </c>
      <c r="Z2416" s="79">
        <v>149.97999999999999</v>
      </c>
      <c r="AA2416" s="255">
        <v>0</v>
      </c>
      <c r="AC2416" s="254"/>
    </row>
    <row r="2417" spans="1:31" ht="24">
      <c r="A2417" s="67" t="s">
        <v>15174</v>
      </c>
      <c r="B2417" s="65" t="s">
        <v>15175</v>
      </c>
      <c r="C2417" s="71" t="s">
        <v>165</v>
      </c>
      <c r="D2417" s="78">
        <v>1</v>
      </c>
      <c r="E2417" s="79">
        <v>184.19</v>
      </c>
      <c r="F2417" s="70">
        <v>184.19</v>
      </c>
      <c r="G2417" s="320"/>
      <c r="H2417" s="79">
        <v>161.87</v>
      </c>
      <c r="I2417" s="79">
        <v>22.32</v>
      </c>
      <c r="J2417" s="79">
        <v>184.19</v>
      </c>
      <c r="K2417" s="79">
        <v>0</v>
      </c>
      <c r="L2417" s="70">
        <v>184.19</v>
      </c>
      <c r="M2417" s="132"/>
      <c r="N2417" s="79">
        <v>161.87</v>
      </c>
      <c r="O2417" s="79">
        <v>22.32</v>
      </c>
      <c r="P2417" s="79">
        <v>184.19</v>
      </c>
      <c r="Q2417" s="136"/>
      <c r="R2417" s="79">
        <v>161.87</v>
      </c>
      <c r="S2417" s="79">
        <v>22.33</v>
      </c>
      <c r="T2417" s="79">
        <v>184.2</v>
      </c>
      <c r="U2417" s="79">
        <v>0</v>
      </c>
      <c r="V2417" s="189">
        <v>184.2</v>
      </c>
      <c r="X2417" s="79">
        <v>161.87</v>
      </c>
      <c r="Y2417" s="79">
        <v>22.33</v>
      </c>
      <c r="Z2417" s="79">
        <v>184.2</v>
      </c>
      <c r="AA2417" s="255">
        <v>-9.9999999999909051E-3</v>
      </c>
      <c r="AC2417" s="254"/>
    </row>
    <row r="2418" spans="1:31" ht="24">
      <c r="A2418" s="67" t="s">
        <v>15176</v>
      </c>
      <c r="B2418" s="65" t="s">
        <v>15177</v>
      </c>
      <c r="C2418" s="71" t="s">
        <v>165</v>
      </c>
      <c r="D2418" s="78">
        <v>1</v>
      </c>
      <c r="E2418" s="79">
        <v>221.01</v>
      </c>
      <c r="F2418" s="70">
        <v>221.01</v>
      </c>
      <c r="G2418" s="320"/>
      <c r="H2418" s="79">
        <v>195.88</v>
      </c>
      <c r="I2418" s="79">
        <v>25.130000000000003</v>
      </c>
      <c r="J2418" s="79">
        <v>221.01</v>
      </c>
      <c r="K2418" s="79">
        <v>0</v>
      </c>
      <c r="L2418" s="70">
        <v>221.01</v>
      </c>
      <c r="M2418" s="132"/>
      <c r="N2418" s="79">
        <v>195.88</v>
      </c>
      <c r="O2418" s="79">
        <v>25.130000000000003</v>
      </c>
      <c r="P2418" s="79">
        <v>221.01</v>
      </c>
      <c r="Q2418" s="136"/>
      <c r="R2418" s="79">
        <v>195.88</v>
      </c>
      <c r="S2418" s="79">
        <v>25.12</v>
      </c>
      <c r="T2418" s="79">
        <v>221</v>
      </c>
      <c r="U2418" s="79">
        <v>0</v>
      </c>
      <c r="V2418" s="189">
        <v>221</v>
      </c>
      <c r="X2418" s="79">
        <v>195.88</v>
      </c>
      <c r="Y2418" s="79">
        <v>25.12</v>
      </c>
      <c r="Z2418" s="79">
        <v>221</v>
      </c>
      <c r="AA2418" s="255">
        <v>9.9999999999909051E-3</v>
      </c>
      <c r="AC2418" s="254"/>
    </row>
    <row r="2419" spans="1:31" ht="24">
      <c r="A2419" s="67" t="s">
        <v>15178</v>
      </c>
      <c r="B2419" s="65" t="s">
        <v>15179</v>
      </c>
      <c r="C2419" s="71" t="s">
        <v>165</v>
      </c>
      <c r="D2419" s="78">
        <v>1</v>
      </c>
      <c r="E2419" s="79">
        <v>285.33</v>
      </c>
      <c r="F2419" s="70">
        <v>285.33</v>
      </c>
      <c r="G2419" s="320"/>
      <c r="H2419" s="79">
        <v>257.39</v>
      </c>
      <c r="I2419" s="79">
        <v>27.939999999999998</v>
      </c>
      <c r="J2419" s="79">
        <v>285.33</v>
      </c>
      <c r="K2419" s="79">
        <v>0</v>
      </c>
      <c r="L2419" s="70">
        <v>285.33</v>
      </c>
      <c r="M2419" s="132"/>
      <c r="N2419" s="79">
        <v>257.39</v>
      </c>
      <c r="O2419" s="79">
        <v>27.939999999999998</v>
      </c>
      <c r="P2419" s="79">
        <v>285.33</v>
      </c>
      <c r="Q2419" s="136"/>
      <c r="R2419" s="79">
        <v>257.39</v>
      </c>
      <c r="S2419" s="79">
        <v>27.92</v>
      </c>
      <c r="T2419" s="79">
        <v>285.31</v>
      </c>
      <c r="U2419" s="79">
        <v>0</v>
      </c>
      <c r="V2419" s="189">
        <v>285.31</v>
      </c>
      <c r="X2419" s="79">
        <v>257.39</v>
      </c>
      <c r="Y2419" s="79">
        <v>27.92</v>
      </c>
      <c r="Z2419" s="79">
        <v>285.31</v>
      </c>
      <c r="AA2419" s="255">
        <v>1.999999999998181E-2</v>
      </c>
      <c r="AC2419" s="254"/>
    </row>
    <row r="2420" spans="1:31" ht="12">
      <c r="A2420" s="489" t="s">
        <v>15180</v>
      </c>
      <c r="B2420" s="490" t="s">
        <v>15181</v>
      </c>
      <c r="C2420" s="491"/>
      <c r="D2420" s="492"/>
      <c r="E2420" s="79"/>
      <c r="F2420" s="63"/>
      <c r="G2420" s="320"/>
      <c r="H2420" s="79"/>
      <c r="I2420" s="79"/>
      <c r="J2420" s="79"/>
      <c r="K2420" s="79"/>
      <c r="L2420" s="70"/>
      <c r="M2420" s="132"/>
      <c r="N2420" s="79"/>
      <c r="O2420" s="79"/>
      <c r="P2420" s="79"/>
      <c r="Q2420" s="136"/>
      <c r="R2420" s="79"/>
      <c r="S2420" s="79"/>
      <c r="T2420" s="79"/>
      <c r="U2420" s="79"/>
      <c r="V2420" s="189"/>
      <c r="X2420" s="79"/>
      <c r="Y2420" s="79"/>
      <c r="Z2420" s="79"/>
      <c r="AA2420" s="255"/>
      <c r="AC2420" s="254"/>
    </row>
    <row r="2421" spans="1:31" ht="12">
      <c r="A2421" s="67" t="s">
        <v>15182</v>
      </c>
      <c r="B2421" s="65" t="s">
        <v>15183</v>
      </c>
      <c r="C2421" s="71" t="s">
        <v>165</v>
      </c>
      <c r="D2421" s="78">
        <v>1</v>
      </c>
      <c r="E2421" s="79">
        <v>13.370000000000001</v>
      </c>
      <c r="F2421" s="70">
        <v>13.37</v>
      </c>
      <c r="G2421" s="320"/>
      <c r="H2421" s="79">
        <v>10.56</v>
      </c>
      <c r="I2421" s="79">
        <v>2.81</v>
      </c>
      <c r="J2421" s="79">
        <v>13.370000000000001</v>
      </c>
      <c r="K2421" s="79">
        <v>0</v>
      </c>
      <c r="L2421" s="70">
        <v>13.370000000000001</v>
      </c>
      <c r="M2421" s="132"/>
      <c r="N2421" s="79">
        <v>10.56</v>
      </c>
      <c r="O2421" s="79">
        <v>2.81</v>
      </c>
      <c r="P2421" s="79">
        <v>13.370000000000001</v>
      </c>
      <c r="Q2421" s="136"/>
      <c r="R2421" s="79">
        <v>10.56</v>
      </c>
      <c r="S2421" s="79">
        <v>2.8</v>
      </c>
      <c r="T2421" s="79">
        <v>13.36</v>
      </c>
      <c r="U2421" s="79">
        <v>0</v>
      </c>
      <c r="V2421" s="189">
        <v>13.36</v>
      </c>
      <c r="X2421" s="79">
        <v>10.56</v>
      </c>
      <c r="Y2421" s="79">
        <v>2.8</v>
      </c>
      <c r="Z2421" s="79">
        <v>13.36</v>
      </c>
      <c r="AA2421" s="255">
        <v>9.9999999999997868E-3</v>
      </c>
      <c r="AC2421" s="254"/>
    </row>
    <row r="2422" spans="1:31" ht="12">
      <c r="A2422" s="67" t="s">
        <v>15184</v>
      </c>
      <c r="B2422" s="65" t="s">
        <v>15185</v>
      </c>
      <c r="C2422" s="71" t="s">
        <v>165</v>
      </c>
      <c r="D2422" s="78">
        <v>1</v>
      </c>
      <c r="E2422" s="79">
        <v>21.43</v>
      </c>
      <c r="F2422" s="70">
        <v>21.43</v>
      </c>
      <c r="G2422" s="320"/>
      <c r="H2422" s="79">
        <v>15.84</v>
      </c>
      <c r="I2422" s="79">
        <v>5.59</v>
      </c>
      <c r="J2422" s="79">
        <v>21.43</v>
      </c>
      <c r="K2422" s="79">
        <v>0</v>
      </c>
      <c r="L2422" s="70">
        <v>21.43</v>
      </c>
      <c r="M2422" s="132"/>
      <c r="N2422" s="79">
        <v>15.84</v>
      </c>
      <c r="O2422" s="79">
        <v>5.59</v>
      </c>
      <c r="P2422" s="79">
        <v>21.43</v>
      </c>
      <c r="Q2422" s="136"/>
      <c r="R2422" s="79">
        <v>15.84</v>
      </c>
      <c r="S2422" s="79">
        <v>5.58</v>
      </c>
      <c r="T2422" s="79">
        <v>21.42</v>
      </c>
      <c r="U2422" s="79">
        <v>0</v>
      </c>
      <c r="V2422" s="189">
        <v>21.42</v>
      </c>
      <c r="X2422" s="79">
        <v>15.84</v>
      </c>
      <c r="Y2422" s="79">
        <v>5.58</v>
      </c>
      <c r="Z2422" s="79">
        <v>21.42</v>
      </c>
      <c r="AA2422" s="255">
        <v>9.9999999999980105E-3</v>
      </c>
      <c r="AC2422" s="254"/>
    </row>
    <row r="2423" spans="1:31" ht="12">
      <c r="A2423" s="67" t="s">
        <v>15186</v>
      </c>
      <c r="B2423" s="65" t="s">
        <v>15187</v>
      </c>
      <c r="C2423" s="71" t="s">
        <v>165</v>
      </c>
      <c r="D2423" s="78">
        <v>1</v>
      </c>
      <c r="E2423" s="79">
        <v>26.19</v>
      </c>
      <c r="F2423" s="70">
        <v>26.19</v>
      </c>
      <c r="G2423" s="320"/>
      <c r="H2423" s="79">
        <v>20.6</v>
      </c>
      <c r="I2423" s="79">
        <v>5.59</v>
      </c>
      <c r="J2423" s="79">
        <v>26.19</v>
      </c>
      <c r="K2423" s="79">
        <v>0</v>
      </c>
      <c r="L2423" s="70">
        <v>26.19</v>
      </c>
      <c r="M2423" s="132"/>
      <c r="N2423" s="79">
        <v>20.6</v>
      </c>
      <c r="O2423" s="79">
        <v>5.59</v>
      </c>
      <c r="P2423" s="79">
        <v>26.19</v>
      </c>
      <c r="Q2423" s="136"/>
      <c r="R2423" s="79">
        <v>20.6</v>
      </c>
      <c r="S2423" s="79">
        <v>5.58</v>
      </c>
      <c r="T2423" s="79">
        <v>26.18</v>
      </c>
      <c r="U2423" s="79">
        <v>0</v>
      </c>
      <c r="V2423" s="189">
        <v>26.18</v>
      </c>
      <c r="X2423" s="79">
        <v>20.6</v>
      </c>
      <c r="Y2423" s="79">
        <v>5.58</v>
      </c>
      <c r="Z2423" s="79">
        <v>26.18</v>
      </c>
      <c r="AA2423" s="255">
        <v>1.0000000000001563E-2</v>
      </c>
      <c r="AC2423" s="254"/>
    </row>
    <row r="2424" spans="1:31" ht="12">
      <c r="A2424" s="489" t="s">
        <v>15188</v>
      </c>
      <c r="B2424" s="490" t="s">
        <v>15189</v>
      </c>
      <c r="C2424" s="491"/>
      <c r="D2424" s="492"/>
      <c r="E2424" s="79"/>
      <c r="F2424" s="63"/>
      <c r="G2424" s="320"/>
      <c r="H2424" s="79"/>
      <c r="I2424" s="79"/>
      <c r="J2424" s="79"/>
      <c r="K2424" s="79"/>
      <c r="L2424" s="70"/>
      <c r="M2424" s="132"/>
      <c r="N2424" s="79"/>
      <c r="O2424" s="79"/>
      <c r="P2424" s="79"/>
      <c r="Q2424" s="136"/>
      <c r="R2424" s="79"/>
      <c r="S2424" s="79"/>
      <c r="T2424" s="79"/>
      <c r="U2424" s="79"/>
      <c r="V2424" s="189"/>
      <c r="X2424" s="79"/>
      <c r="Y2424" s="79"/>
      <c r="Z2424" s="79"/>
      <c r="AA2424" s="255"/>
      <c r="AC2424" s="254"/>
    </row>
    <row r="2425" spans="1:31" ht="12">
      <c r="A2425" s="67" t="s">
        <v>15190</v>
      </c>
      <c r="B2425" s="65" t="s">
        <v>15191</v>
      </c>
      <c r="C2425" s="71" t="s">
        <v>165</v>
      </c>
      <c r="D2425" s="78">
        <v>1</v>
      </c>
      <c r="E2425" s="79">
        <v>19.63</v>
      </c>
      <c r="F2425" s="70">
        <v>19.63</v>
      </c>
      <c r="G2425" s="320"/>
      <c r="H2425" s="79">
        <v>5.66</v>
      </c>
      <c r="I2425" s="79">
        <v>13.969999999999999</v>
      </c>
      <c r="J2425" s="79">
        <v>19.63</v>
      </c>
      <c r="K2425" s="79">
        <v>0</v>
      </c>
      <c r="L2425" s="70">
        <v>19.63</v>
      </c>
      <c r="M2425" s="132"/>
      <c r="N2425" s="79">
        <v>5.66</v>
      </c>
      <c r="O2425" s="79">
        <v>13.969999999999999</v>
      </c>
      <c r="P2425" s="79">
        <v>19.63</v>
      </c>
      <c r="Q2425" s="136"/>
      <c r="R2425" s="79">
        <v>5.66</v>
      </c>
      <c r="S2425" s="79">
        <v>13.96</v>
      </c>
      <c r="T2425" s="79">
        <v>19.62</v>
      </c>
      <c r="U2425" s="79">
        <v>0</v>
      </c>
      <c r="V2425" s="189">
        <v>19.62</v>
      </c>
      <c r="X2425" s="79">
        <v>5.66</v>
      </c>
      <c r="Y2425" s="79">
        <v>13.96</v>
      </c>
      <c r="Z2425" s="79">
        <v>19.62</v>
      </c>
      <c r="AA2425" s="255">
        <v>9.9999999999980105E-3</v>
      </c>
      <c r="AC2425" s="254"/>
    </row>
    <row r="2426" spans="1:31" ht="12">
      <c r="A2426" s="489" t="s">
        <v>15192</v>
      </c>
      <c r="B2426" s="490" t="s">
        <v>15193</v>
      </c>
      <c r="C2426" s="491"/>
      <c r="D2426" s="492"/>
      <c r="E2426" s="79"/>
      <c r="F2426" s="63"/>
      <c r="G2426" s="320"/>
      <c r="H2426" s="79"/>
      <c r="I2426" s="79"/>
      <c r="J2426" s="79"/>
      <c r="K2426" s="79"/>
      <c r="L2426" s="70"/>
      <c r="M2426" s="132"/>
      <c r="N2426" s="79"/>
      <c r="O2426" s="79"/>
      <c r="P2426" s="79"/>
      <c r="Q2426" s="136"/>
      <c r="R2426" s="79"/>
      <c r="S2426" s="79"/>
      <c r="T2426" s="79"/>
      <c r="U2426" s="79"/>
      <c r="V2426" s="189"/>
      <c r="X2426" s="79"/>
      <c r="Y2426" s="79"/>
      <c r="Z2426" s="79"/>
      <c r="AA2426" s="255"/>
      <c r="AC2426" s="254"/>
    </row>
    <row r="2427" spans="1:31" ht="12">
      <c r="A2427" s="489" t="s">
        <v>15194</v>
      </c>
      <c r="B2427" s="490" t="s">
        <v>15195</v>
      </c>
      <c r="C2427" s="491"/>
      <c r="D2427" s="492"/>
      <c r="E2427" s="79"/>
      <c r="F2427" s="63"/>
      <c r="G2427" s="320"/>
      <c r="H2427" s="79"/>
      <c r="I2427" s="79"/>
      <c r="J2427" s="79"/>
      <c r="K2427" s="79"/>
      <c r="L2427" s="70"/>
      <c r="M2427" s="132"/>
      <c r="N2427" s="79"/>
      <c r="O2427" s="79"/>
      <c r="P2427" s="79"/>
      <c r="Q2427" s="136"/>
      <c r="R2427" s="79"/>
      <c r="S2427" s="79"/>
      <c r="T2427" s="79"/>
      <c r="U2427" s="79"/>
      <c r="V2427" s="189"/>
      <c r="X2427" s="79"/>
      <c r="Y2427" s="79"/>
      <c r="Z2427" s="79"/>
      <c r="AA2427" s="255"/>
      <c r="AC2427" s="254"/>
    </row>
    <row r="2428" spans="1:31" ht="12">
      <c r="A2428" s="67" t="s">
        <v>15196</v>
      </c>
      <c r="B2428" s="65" t="s">
        <v>15197</v>
      </c>
      <c r="C2428" s="71" t="s">
        <v>103</v>
      </c>
      <c r="D2428" s="78">
        <v>1</v>
      </c>
      <c r="E2428" s="79">
        <v>15.919999999999998</v>
      </c>
      <c r="F2428" s="70">
        <v>15.92</v>
      </c>
      <c r="G2428" s="320"/>
      <c r="H2428" s="79">
        <v>1.95</v>
      </c>
      <c r="I2428" s="79">
        <v>13.969999999999999</v>
      </c>
      <c r="J2428" s="79">
        <v>15.919999999999998</v>
      </c>
      <c r="K2428" s="79">
        <v>0</v>
      </c>
      <c r="L2428" s="70">
        <v>15.919999999999998</v>
      </c>
      <c r="M2428" s="132"/>
      <c r="N2428" s="79">
        <v>1.95</v>
      </c>
      <c r="O2428" s="79">
        <v>13.969999999999999</v>
      </c>
      <c r="P2428" s="79">
        <v>15.919999999999998</v>
      </c>
      <c r="Q2428" s="136"/>
      <c r="R2428" s="79">
        <v>1.95</v>
      </c>
      <c r="S2428" s="79">
        <v>13.96</v>
      </c>
      <c r="T2428" s="79">
        <v>15.91</v>
      </c>
      <c r="U2428" s="79">
        <v>0</v>
      </c>
      <c r="V2428" s="189">
        <v>15.91</v>
      </c>
      <c r="X2428" s="79">
        <v>1.95</v>
      </c>
      <c r="Y2428" s="79">
        <v>13.96</v>
      </c>
      <c r="Z2428" s="79">
        <v>15.91</v>
      </c>
      <c r="AA2428" s="255">
        <v>9.9999999999997868E-3</v>
      </c>
      <c r="AC2428" s="254"/>
    </row>
    <row r="2429" spans="1:31" ht="12">
      <c r="A2429" s="67" t="s">
        <v>15198</v>
      </c>
      <c r="B2429" s="65" t="s">
        <v>15199</v>
      </c>
      <c r="C2429" s="71" t="s">
        <v>103</v>
      </c>
      <c r="D2429" s="78">
        <v>1</v>
      </c>
      <c r="E2429" s="79">
        <v>17.479999999999997</v>
      </c>
      <c r="F2429" s="70">
        <v>17.48</v>
      </c>
      <c r="G2429" s="320"/>
      <c r="H2429" s="79">
        <v>3.51</v>
      </c>
      <c r="I2429" s="79">
        <v>13.969999999999999</v>
      </c>
      <c r="J2429" s="79">
        <v>17.479999999999997</v>
      </c>
      <c r="K2429" s="79">
        <v>0</v>
      </c>
      <c r="L2429" s="70">
        <v>17.479999999999997</v>
      </c>
      <c r="M2429" s="132"/>
      <c r="N2429" s="79">
        <v>3.51</v>
      </c>
      <c r="O2429" s="79">
        <v>13.969999999999999</v>
      </c>
      <c r="P2429" s="79">
        <v>17.479999999999997</v>
      </c>
      <c r="Q2429" s="136"/>
      <c r="R2429" s="79">
        <v>3.51</v>
      </c>
      <c r="S2429" s="79">
        <v>13.96</v>
      </c>
      <c r="T2429" s="79">
        <v>17.47</v>
      </c>
      <c r="U2429" s="79">
        <v>0</v>
      </c>
      <c r="V2429" s="189">
        <v>17.47</v>
      </c>
      <c r="X2429" s="79">
        <v>3.51</v>
      </c>
      <c r="Y2429" s="79">
        <v>13.96</v>
      </c>
      <c r="Z2429" s="79">
        <v>17.47</v>
      </c>
      <c r="AA2429" s="255">
        <v>1.0000000000001563E-2</v>
      </c>
      <c r="AC2429" s="254"/>
    </row>
    <row r="2430" spans="1:31" ht="12">
      <c r="A2430" s="67" t="s">
        <v>15200</v>
      </c>
      <c r="B2430" s="65" t="s">
        <v>28066</v>
      </c>
      <c r="C2430" s="71" t="s">
        <v>103</v>
      </c>
      <c r="D2430" s="78">
        <v>1</v>
      </c>
      <c r="E2430" s="79">
        <v>19.579999999999998</v>
      </c>
      <c r="F2430" s="70">
        <v>19.579999999999998</v>
      </c>
      <c r="G2430" s="320"/>
      <c r="H2430" s="79">
        <v>2.83</v>
      </c>
      <c r="I2430" s="79">
        <v>16.75</v>
      </c>
      <c r="J2430" s="79">
        <v>19.579999999999998</v>
      </c>
      <c r="K2430" s="79">
        <v>0</v>
      </c>
      <c r="L2430" s="70">
        <v>19.579999999999998</v>
      </c>
      <c r="M2430" s="132"/>
      <c r="N2430" s="79">
        <v>2.83</v>
      </c>
      <c r="O2430" s="79">
        <v>16.75</v>
      </c>
      <c r="P2430" s="79">
        <v>19.579999999999998</v>
      </c>
      <c r="Q2430" s="136"/>
      <c r="R2430" s="79">
        <v>2.83</v>
      </c>
      <c r="S2430" s="79">
        <v>16.75</v>
      </c>
      <c r="T2430" s="79">
        <v>19.579999999999998</v>
      </c>
      <c r="U2430" s="79">
        <v>0</v>
      </c>
      <c r="V2430" s="189">
        <v>19.579999999999998</v>
      </c>
      <c r="X2430" s="79">
        <v>2.83</v>
      </c>
      <c r="Y2430" s="79">
        <v>16.75</v>
      </c>
      <c r="Z2430" s="79">
        <v>19.579999999999998</v>
      </c>
      <c r="AA2430" s="255">
        <v>0</v>
      </c>
      <c r="AC2430" s="254"/>
    </row>
    <row r="2431" spans="1:31" ht="12">
      <c r="A2431" s="67" t="s">
        <v>15201</v>
      </c>
      <c r="B2431" s="65" t="s">
        <v>15202</v>
      </c>
      <c r="C2431" s="71" t="s">
        <v>103</v>
      </c>
      <c r="D2431" s="78">
        <v>1</v>
      </c>
      <c r="E2431" s="79">
        <v>16.149999999999999</v>
      </c>
      <c r="F2431" s="70">
        <v>16.149999999999999</v>
      </c>
      <c r="G2431" s="320"/>
      <c r="H2431" s="79">
        <v>2.1800000000000002</v>
      </c>
      <c r="I2431" s="79">
        <v>13.969999999999999</v>
      </c>
      <c r="J2431" s="79">
        <v>16.149999999999999</v>
      </c>
      <c r="K2431" s="79">
        <v>0</v>
      </c>
      <c r="L2431" s="70">
        <v>16.149999999999999</v>
      </c>
      <c r="M2431" s="132"/>
      <c r="N2431" s="79">
        <v>2.1800000000000002</v>
      </c>
      <c r="O2431" s="79">
        <v>13.969999999999999</v>
      </c>
      <c r="P2431" s="79">
        <v>16.149999999999999</v>
      </c>
      <c r="Q2431" s="136"/>
      <c r="R2431" s="79">
        <v>2.1800000000000002</v>
      </c>
      <c r="S2431" s="79">
        <v>13.96</v>
      </c>
      <c r="T2431" s="79">
        <v>16.14</v>
      </c>
      <c r="U2431" s="79">
        <v>0</v>
      </c>
      <c r="V2431" s="189">
        <v>16.14</v>
      </c>
      <c r="X2431" s="79">
        <v>2.1800000000000002</v>
      </c>
      <c r="Y2431" s="79">
        <v>13.96</v>
      </c>
      <c r="Z2431" s="79">
        <v>16.14</v>
      </c>
      <c r="AA2431" s="255">
        <v>9.9999999999980105E-3</v>
      </c>
      <c r="AC2431" s="254"/>
    </row>
    <row r="2432" spans="1:31" ht="12">
      <c r="A2432" s="489" t="s">
        <v>15203</v>
      </c>
      <c r="B2432" s="490" t="s">
        <v>15204</v>
      </c>
      <c r="C2432" s="491"/>
      <c r="D2432" s="492"/>
      <c r="E2432" s="79"/>
      <c r="F2432" s="63"/>
      <c r="G2432" s="320"/>
      <c r="H2432" s="79"/>
      <c r="I2432" s="79"/>
      <c r="J2432" s="79"/>
      <c r="K2432" s="79"/>
      <c r="L2432" s="70"/>
      <c r="M2432" s="132"/>
      <c r="N2432" s="79"/>
      <c r="O2432" s="79"/>
      <c r="P2432" s="79"/>
      <c r="Q2432" s="136"/>
      <c r="R2432" s="79"/>
      <c r="S2432" s="79"/>
      <c r="T2432" s="79"/>
      <c r="U2432" s="79"/>
      <c r="V2432" s="189"/>
      <c r="X2432" s="79"/>
      <c r="Y2432" s="79"/>
      <c r="Z2432" s="79"/>
      <c r="AA2432" s="255"/>
      <c r="AC2432" s="254"/>
      <c r="AD2432" s="61"/>
      <c r="AE2432" s="61"/>
    </row>
    <row r="2433" spans="1:31" ht="12">
      <c r="A2433" s="67" t="s">
        <v>15205</v>
      </c>
      <c r="B2433" s="65" t="s">
        <v>15206</v>
      </c>
      <c r="C2433" s="71" t="s">
        <v>103</v>
      </c>
      <c r="D2433" s="78">
        <v>1</v>
      </c>
      <c r="E2433" s="79">
        <v>87.43</v>
      </c>
      <c r="F2433" s="70">
        <v>87.43</v>
      </c>
      <c r="G2433" s="320"/>
      <c r="H2433" s="79">
        <v>42.769999999999996</v>
      </c>
      <c r="I2433" s="79">
        <v>44.66</v>
      </c>
      <c r="J2433" s="79">
        <v>87.429999999999993</v>
      </c>
      <c r="K2433" s="79">
        <v>0</v>
      </c>
      <c r="L2433" s="70">
        <v>87.429999999999993</v>
      </c>
      <c r="M2433" s="132"/>
      <c r="N2433" s="79">
        <v>42.769999999999996</v>
      </c>
      <c r="O2433" s="79">
        <v>44.66</v>
      </c>
      <c r="P2433" s="79">
        <v>87.429999999999993</v>
      </c>
      <c r="Q2433" s="136"/>
      <c r="R2433" s="79">
        <v>42.77</v>
      </c>
      <c r="S2433" s="79">
        <v>44.67</v>
      </c>
      <c r="T2433" s="79">
        <v>87.44</v>
      </c>
      <c r="U2433" s="79">
        <v>0</v>
      </c>
      <c r="V2433" s="189">
        <v>87.44</v>
      </c>
      <c r="X2433" s="79">
        <v>42.77</v>
      </c>
      <c r="Y2433" s="79">
        <v>44.67</v>
      </c>
      <c r="Z2433" s="79">
        <v>87.44</v>
      </c>
      <c r="AA2433" s="255">
        <v>-9.9999999999909051E-3</v>
      </c>
      <c r="AC2433" s="254"/>
    </row>
    <row r="2434" spans="1:31" s="61" customFormat="1" ht="12">
      <c r="A2434" s="67" t="s">
        <v>15207</v>
      </c>
      <c r="B2434" s="65" t="s">
        <v>15208</v>
      </c>
      <c r="C2434" s="71" t="s">
        <v>103</v>
      </c>
      <c r="D2434" s="78">
        <v>1</v>
      </c>
      <c r="E2434" s="79">
        <v>32.89</v>
      </c>
      <c r="F2434" s="70">
        <v>32.89</v>
      </c>
      <c r="G2434" s="320"/>
      <c r="H2434" s="79">
        <v>16.14</v>
      </c>
      <c r="I2434" s="79">
        <v>16.75</v>
      </c>
      <c r="J2434" s="79">
        <v>32.89</v>
      </c>
      <c r="K2434" s="79">
        <v>0</v>
      </c>
      <c r="L2434" s="70">
        <v>32.89</v>
      </c>
      <c r="M2434" s="132"/>
      <c r="N2434" s="79">
        <v>16.14</v>
      </c>
      <c r="O2434" s="79">
        <v>16.75</v>
      </c>
      <c r="P2434" s="79">
        <v>32.89</v>
      </c>
      <c r="Q2434" s="136"/>
      <c r="R2434" s="79">
        <v>16.14</v>
      </c>
      <c r="S2434" s="79">
        <v>16.75</v>
      </c>
      <c r="T2434" s="79">
        <v>32.89</v>
      </c>
      <c r="U2434" s="79">
        <v>0</v>
      </c>
      <c r="V2434" s="189">
        <v>32.89</v>
      </c>
      <c r="X2434" s="79">
        <v>16.14</v>
      </c>
      <c r="Y2434" s="79">
        <v>16.75</v>
      </c>
      <c r="Z2434" s="79">
        <v>32.89</v>
      </c>
      <c r="AA2434" s="255">
        <v>0</v>
      </c>
      <c r="AC2434" s="254"/>
      <c r="AD2434" s="236"/>
      <c r="AE2434" s="236"/>
    </row>
    <row r="2435" spans="1:31" ht="12">
      <c r="A2435" s="67" t="s">
        <v>15209</v>
      </c>
      <c r="B2435" s="65" t="s">
        <v>15210</v>
      </c>
      <c r="C2435" s="71" t="s">
        <v>103</v>
      </c>
      <c r="D2435" s="78">
        <v>1</v>
      </c>
      <c r="E2435" s="79">
        <v>36.04</v>
      </c>
      <c r="F2435" s="70">
        <v>36.04</v>
      </c>
      <c r="G2435" s="320"/>
      <c r="H2435" s="79">
        <v>19.29</v>
      </c>
      <c r="I2435" s="79">
        <v>16.75</v>
      </c>
      <c r="J2435" s="79">
        <v>36.04</v>
      </c>
      <c r="K2435" s="79">
        <v>0</v>
      </c>
      <c r="L2435" s="70">
        <v>36.04</v>
      </c>
      <c r="M2435" s="132"/>
      <c r="N2435" s="79">
        <v>19.29</v>
      </c>
      <c r="O2435" s="79">
        <v>16.75</v>
      </c>
      <c r="P2435" s="79">
        <v>36.04</v>
      </c>
      <c r="Q2435" s="136"/>
      <c r="R2435" s="79">
        <v>19.29</v>
      </c>
      <c r="S2435" s="79">
        <v>16.75</v>
      </c>
      <c r="T2435" s="79">
        <v>36.04</v>
      </c>
      <c r="U2435" s="79">
        <v>0</v>
      </c>
      <c r="V2435" s="189">
        <v>36.04</v>
      </c>
      <c r="X2435" s="79">
        <v>19.29</v>
      </c>
      <c r="Y2435" s="79">
        <v>16.75</v>
      </c>
      <c r="Z2435" s="79">
        <v>36.04</v>
      </c>
      <c r="AA2435" s="255">
        <v>0</v>
      </c>
      <c r="AC2435" s="254"/>
    </row>
    <row r="2436" spans="1:31" ht="12">
      <c r="A2436" s="67" t="s">
        <v>15211</v>
      </c>
      <c r="B2436" s="65" t="s">
        <v>15212</v>
      </c>
      <c r="C2436" s="71" t="s">
        <v>103</v>
      </c>
      <c r="D2436" s="78">
        <v>1</v>
      </c>
      <c r="E2436" s="79">
        <v>46.91</v>
      </c>
      <c r="F2436" s="70">
        <v>46.91</v>
      </c>
      <c r="G2436" s="320"/>
      <c r="H2436" s="79">
        <v>30.16</v>
      </c>
      <c r="I2436" s="79">
        <v>16.75</v>
      </c>
      <c r="J2436" s="79">
        <v>46.91</v>
      </c>
      <c r="K2436" s="79">
        <v>0</v>
      </c>
      <c r="L2436" s="70">
        <v>46.91</v>
      </c>
      <c r="M2436" s="132"/>
      <c r="N2436" s="79">
        <v>30.16</v>
      </c>
      <c r="O2436" s="79">
        <v>16.75</v>
      </c>
      <c r="P2436" s="79">
        <v>46.91</v>
      </c>
      <c r="Q2436" s="136"/>
      <c r="R2436" s="79">
        <v>30.16</v>
      </c>
      <c r="S2436" s="79">
        <v>16.75</v>
      </c>
      <c r="T2436" s="79">
        <v>46.91</v>
      </c>
      <c r="U2436" s="79">
        <v>0</v>
      </c>
      <c r="V2436" s="189">
        <v>46.91</v>
      </c>
      <c r="X2436" s="79">
        <v>30.16</v>
      </c>
      <c r="Y2436" s="79">
        <v>16.75</v>
      </c>
      <c r="Z2436" s="79">
        <v>46.91</v>
      </c>
      <c r="AA2436" s="255">
        <v>0</v>
      </c>
      <c r="AC2436" s="254"/>
    </row>
    <row r="2437" spans="1:31" ht="12">
      <c r="A2437" s="67" t="s">
        <v>15213</v>
      </c>
      <c r="B2437" s="65" t="s">
        <v>15214</v>
      </c>
      <c r="C2437" s="71" t="s">
        <v>103</v>
      </c>
      <c r="D2437" s="78">
        <v>1</v>
      </c>
      <c r="E2437" s="79">
        <v>79.92</v>
      </c>
      <c r="F2437" s="70">
        <v>79.92</v>
      </c>
      <c r="G2437" s="320"/>
      <c r="H2437" s="79">
        <v>57.6</v>
      </c>
      <c r="I2437" s="79">
        <v>22.32</v>
      </c>
      <c r="J2437" s="79">
        <v>79.92</v>
      </c>
      <c r="K2437" s="79">
        <v>0</v>
      </c>
      <c r="L2437" s="70">
        <v>79.92</v>
      </c>
      <c r="M2437" s="132"/>
      <c r="N2437" s="79">
        <v>57.6</v>
      </c>
      <c r="O2437" s="79">
        <v>22.32</v>
      </c>
      <c r="P2437" s="79">
        <v>79.92</v>
      </c>
      <c r="Q2437" s="136"/>
      <c r="R2437" s="79">
        <v>57.6</v>
      </c>
      <c r="S2437" s="79">
        <v>22.33</v>
      </c>
      <c r="T2437" s="79">
        <v>79.930000000000007</v>
      </c>
      <c r="U2437" s="79">
        <v>0</v>
      </c>
      <c r="V2437" s="189">
        <v>79.930000000000007</v>
      </c>
      <c r="X2437" s="79">
        <v>57.6</v>
      </c>
      <c r="Y2437" s="79">
        <v>22.33</v>
      </c>
      <c r="Z2437" s="79">
        <v>79.930000000000007</v>
      </c>
      <c r="AA2437" s="255">
        <v>-1.0000000000005116E-2</v>
      </c>
      <c r="AC2437" s="254"/>
    </row>
    <row r="2438" spans="1:31" ht="12">
      <c r="A2438" s="67" t="s">
        <v>15215</v>
      </c>
      <c r="B2438" s="65" t="s">
        <v>15216</v>
      </c>
      <c r="C2438" s="71" t="s">
        <v>103</v>
      </c>
      <c r="D2438" s="78">
        <v>1</v>
      </c>
      <c r="E2438" s="79">
        <v>171.26999999999998</v>
      </c>
      <c r="F2438" s="70">
        <v>171.27</v>
      </c>
      <c r="G2438" s="320"/>
      <c r="H2438" s="79">
        <v>148.94999999999999</v>
      </c>
      <c r="I2438" s="79">
        <v>22.32</v>
      </c>
      <c r="J2438" s="79">
        <v>171.26999999999998</v>
      </c>
      <c r="K2438" s="79">
        <v>0</v>
      </c>
      <c r="L2438" s="70">
        <v>171.26999999999998</v>
      </c>
      <c r="M2438" s="132"/>
      <c r="N2438" s="79">
        <v>148.94999999999999</v>
      </c>
      <c r="O2438" s="79">
        <v>22.32</v>
      </c>
      <c r="P2438" s="79">
        <v>171.26999999999998</v>
      </c>
      <c r="Q2438" s="136"/>
      <c r="R2438" s="79">
        <v>148.94999999999999</v>
      </c>
      <c r="S2438" s="79">
        <v>22.33</v>
      </c>
      <c r="T2438" s="79">
        <v>171.27999999999997</v>
      </c>
      <c r="U2438" s="79">
        <v>0</v>
      </c>
      <c r="V2438" s="189">
        <v>171.27999999999997</v>
      </c>
      <c r="X2438" s="79">
        <v>148.94999999999999</v>
      </c>
      <c r="Y2438" s="79">
        <v>22.33</v>
      </c>
      <c r="Z2438" s="79">
        <v>171.28</v>
      </c>
      <c r="AA2438" s="255">
        <v>-9.9999999999909051E-3</v>
      </c>
      <c r="AC2438" s="254"/>
    </row>
    <row r="2439" spans="1:31" ht="12">
      <c r="A2439" s="67" t="s">
        <v>15217</v>
      </c>
      <c r="B2439" s="65" t="s">
        <v>15218</v>
      </c>
      <c r="C2439" s="71" t="s">
        <v>103</v>
      </c>
      <c r="D2439" s="78">
        <v>1</v>
      </c>
      <c r="E2439" s="79">
        <v>211.09</v>
      </c>
      <c r="F2439" s="70">
        <v>211.09</v>
      </c>
      <c r="G2439" s="320"/>
      <c r="H2439" s="79">
        <v>183.15</v>
      </c>
      <c r="I2439" s="79">
        <v>27.939999999999998</v>
      </c>
      <c r="J2439" s="79">
        <v>211.09</v>
      </c>
      <c r="K2439" s="79">
        <v>0</v>
      </c>
      <c r="L2439" s="70">
        <v>211.09</v>
      </c>
      <c r="M2439" s="132"/>
      <c r="N2439" s="79">
        <v>183.15</v>
      </c>
      <c r="O2439" s="79">
        <v>27.939999999999998</v>
      </c>
      <c r="P2439" s="79">
        <v>211.09</v>
      </c>
      <c r="Q2439" s="136"/>
      <c r="R2439" s="79">
        <v>183.15</v>
      </c>
      <c r="S2439" s="79">
        <v>27.92</v>
      </c>
      <c r="T2439" s="79">
        <v>211.07</v>
      </c>
      <c r="U2439" s="79">
        <v>0</v>
      </c>
      <c r="V2439" s="189">
        <v>211.07</v>
      </c>
      <c r="X2439" s="79">
        <v>183.15</v>
      </c>
      <c r="Y2439" s="79">
        <v>27.92</v>
      </c>
      <c r="Z2439" s="79">
        <v>211.07</v>
      </c>
      <c r="AA2439" s="255">
        <v>2.0000000000010232E-2</v>
      </c>
      <c r="AC2439" s="254"/>
    </row>
    <row r="2440" spans="1:31" ht="24">
      <c r="A2440" s="67" t="s">
        <v>15219</v>
      </c>
      <c r="B2440" s="65" t="s">
        <v>15220</v>
      </c>
      <c r="C2440" s="71" t="s">
        <v>103</v>
      </c>
      <c r="D2440" s="78">
        <v>1</v>
      </c>
      <c r="E2440" s="79">
        <v>185.08</v>
      </c>
      <c r="F2440" s="70">
        <v>185.08</v>
      </c>
      <c r="G2440" s="320"/>
      <c r="H2440" s="79">
        <v>168.33</v>
      </c>
      <c r="I2440" s="79">
        <v>16.75</v>
      </c>
      <c r="J2440" s="79">
        <v>185.08</v>
      </c>
      <c r="K2440" s="79">
        <v>0</v>
      </c>
      <c r="L2440" s="70">
        <v>185.08</v>
      </c>
      <c r="M2440" s="132"/>
      <c r="N2440" s="79">
        <v>168.33</v>
      </c>
      <c r="O2440" s="79">
        <v>16.75</v>
      </c>
      <c r="P2440" s="79">
        <v>185.08</v>
      </c>
      <c r="Q2440" s="136"/>
      <c r="R2440" s="79">
        <v>168.33</v>
      </c>
      <c r="S2440" s="79">
        <v>16.75</v>
      </c>
      <c r="T2440" s="79">
        <v>185.08</v>
      </c>
      <c r="U2440" s="79">
        <v>0</v>
      </c>
      <c r="V2440" s="189">
        <v>185.08</v>
      </c>
      <c r="X2440" s="79">
        <v>168.33</v>
      </c>
      <c r="Y2440" s="79">
        <v>16.75</v>
      </c>
      <c r="Z2440" s="79">
        <v>185.08</v>
      </c>
      <c r="AA2440" s="255">
        <v>0</v>
      </c>
      <c r="AC2440" s="254"/>
    </row>
    <row r="2441" spans="1:31" ht="24">
      <c r="A2441" s="67" t="s">
        <v>15221</v>
      </c>
      <c r="B2441" s="65" t="s">
        <v>15222</v>
      </c>
      <c r="C2441" s="71" t="s">
        <v>103</v>
      </c>
      <c r="D2441" s="78">
        <v>1</v>
      </c>
      <c r="E2441" s="79">
        <v>501.98</v>
      </c>
      <c r="F2441" s="70">
        <v>501.98</v>
      </c>
      <c r="G2441" s="320"/>
      <c r="H2441" s="79">
        <v>485.23</v>
      </c>
      <c r="I2441" s="79">
        <v>16.75</v>
      </c>
      <c r="J2441" s="79">
        <v>501.98</v>
      </c>
      <c r="K2441" s="79">
        <v>0</v>
      </c>
      <c r="L2441" s="70">
        <v>501.98</v>
      </c>
      <c r="M2441" s="132"/>
      <c r="N2441" s="79">
        <v>485.23</v>
      </c>
      <c r="O2441" s="79">
        <v>16.75</v>
      </c>
      <c r="P2441" s="79">
        <v>501.98</v>
      </c>
      <c r="Q2441" s="136"/>
      <c r="R2441" s="79">
        <v>485.23</v>
      </c>
      <c r="S2441" s="79">
        <v>16.75</v>
      </c>
      <c r="T2441" s="79">
        <v>501.98</v>
      </c>
      <c r="U2441" s="79">
        <v>0</v>
      </c>
      <c r="V2441" s="189">
        <v>501.98</v>
      </c>
      <c r="X2441" s="79">
        <v>485.23</v>
      </c>
      <c r="Y2441" s="79">
        <v>16.75</v>
      </c>
      <c r="Z2441" s="79">
        <v>501.98</v>
      </c>
      <c r="AA2441" s="255">
        <v>0</v>
      </c>
      <c r="AC2441" s="254"/>
    </row>
    <row r="2442" spans="1:31" ht="24">
      <c r="A2442" s="67" t="s">
        <v>15223</v>
      </c>
      <c r="B2442" s="65" t="s">
        <v>15224</v>
      </c>
      <c r="C2442" s="71" t="s">
        <v>103</v>
      </c>
      <c r="D2442" s="78">
        <v>1</v>
      </c>
      <c r="E2442" s="79">
        <v>850.03</v>
      </c>
      <c r="F2442" s="70">
        <v>850.03</v>
      </c>
      <c r="G2442" s="320"/>
      <c r="H2442" s="79">
        <v>833.28</v>
      </c>
      <c r="I2442" s="79">
        <v>16.75</v>
      </c>
      <c r="J2442" s="79">
        <v>850.03</v>
      </c>
      <c r="K2442" s="79">
        <v>0</v>
      </c>
      <c r="L2442" s="70">
        <v>850.03</v>
      </c>
      <c r="M2442" s="132"/>
      <c r="N2442" s="79">
        <v>833.28</v>
      </c>
      <c r="O2442" s="79">
        <v>16.75</v>
      </c>
      <c r="P2442" s="79">
        <v>850.03</v>
      </c>
      <c r="Q2442" s="136"/>
      <c r="R2442" s="79">
        <v>833.28</v>
      </c>
      <c r="S2442" s="79">
        <v>16.75</v>
      </c>
      <c r="T2442" s="79">
        <v>850.03</v>
      </c>
      <c r="U2442" s="79">
        <v>0</v>
      </c>
      <c r="V2442" s="189">
        <v>850.03</v>
      </c>
      <c r="X2442" s="79">
        <v>833.28</v>
      </c>
      <c r="Y2442" s="79">
        <v>16.75</v>
      </c>
      <c r="Z2442" s="79">
        <v>850.03</v>
      </c>
      <c r="AA2442" s="255">
        <v>0</v>
      </c>
      <c r="AC2442" s="254"/>
    </row>
    <row r="2443" spans="1:31" ht="24">
      <c r="A2443" s="67" t="s">
        <v>15225</v>
      </c>
      <c r="B2443" s="65" t="s">
        <v>15226</v>
      </c>
      <c r="C2443" s="71" t="s">
        <v>103</v>
      </c>
      <c r="D2443" s="78">
        <v>1</v>
      </c>
      <c r="E2443" s="79">
        <v>1814.77</v>
      </c>
      <c r="F2443" s="70">
        <v>1814.77</v>
      </c>
      <c r="G2443" s="320"/>
      <c r="H2443" s="79">
        <v>1792.45</v>
      </c>
      <c r="I2443" s="79">
        <v>22.32</v>
      </c>
      <c r="J2443" s="79">
        <v>1814.77</v>
      </c>
      <c r="K2443" s="79">
        <v>0</v>
      </c>
      <c r="L2443" s="70">
        <v>1814.77</v>
      </c>
      <c r="M2443" s="132"/>
      <c r="N2443" s="79">
        <v>1792.45</v>
      </c>
      <c r="O2443" s="79">
        <v>22.32</v>
      </c>
      <c r="P2443" s="79">
        <v>1814.77</v>
      </c>
      <c r="Q2443" s="136"/>
      <c r="R2443" s="79">
        <v>1792.45</v>
      </c>
      <c r="S2443" s="79">
        <v>22.33</v>
      </c>
      <c r="T2443" s="79">
        <v>1814.78</v>
      </c>
      <c r="U2443" s="79">
        <v>0</v>
      </c>
      <c r="V2443" s="189">
        <v>1814.78</v>
      </c>
      <c r="X2443" s="79">
        <v>1792.45</v>
      </c>
      <c r="Y2443" s="79">
        <v>22.33</v>
      </c>
      <c r="Z2443" s="79">
        <v>1814.78</v>
      </c>
      <c r="AA2443" s="255">
        <v>-9.9999999999909051E-3</v>
      </c>
      <c r="AC2443" s="254"/>
    </row>
    <row r="2444" spans="1:31" ht="12">
      <c r="A2444" s="67" t="s">
        <v>15227</v>
      </c>
      <c r="B2444" s="65" t="s">
        <v>15228</v>
      </c>
      <c r="C2444" s="71" t="s">
        <v>103</v>
      </c>
      <c r="D2444" s="78">
        <v>1</v>
      </c>
      <c r="E2444" s="79">
        <v>41.54</v>
      </c>
      <c r="F2444" s="70">
        <v>41.54</v>
      </c>
      <c r="G2444" s="320"/>
      <c r="H2444" s="79">
        <v>24.79</v>
      </c>
      <c r="I2444" s="79">
        <v>16.75</v>
      </c>
      <c r="J2444" s="79">
        <v>41.54</v>
      </c>
      <c r="K2444" s="79">
        <v>0</v>
      </c>
      <c r="L2444" s="70">
        <v>41.54</v>
      </c>
      <c r="M2444" s="132"/>
      <c r="N2444" s="79">
        <v>24.79</v>
      </c>
      <c r="O2444" s="79">
        <v>16.75</v>
      </c>
      <c r="P2444" s="79">
        <v>41.54</v>
      </c>
      <c r="Q2444" s="136"/>
      <c r="R2444" s="79">
        <v>24.79</v>
      </c>
      <c r="S2444" s="79">
        <v>16.75</v>
      </c>
      <c r="T2444" s="79">
        <v>41.54</v>
      </c>
      <c r="U2444" s="79">
        <v>0</v>
      </c>
      <c r="V2444" s="189">
        <v>41.54</v>
      </c>
      <c r="X2444" s="79">
        <v>24.79</v>
      </c>
      <c r="Y2444" s="79">
        <v>16.75</v>
      </c>
      <c r="Z2444" s="79">
        <v>41.54</v>
      </c>
      <c r="AA2444" s="255">
        <v>0</v>
      </c>
      <c r="AC2444" s="254"/>
    </row>
    <row r="2445" spans="1:31" ht="12">
      <c r="A2445" s="67" t="s">
        <v>15229</v>
      </c>
      <c r="B2445" s="65" t="s">
        <v>15230</v>
      </c>
      <c r="C2445" s="71" t="s">
        <v>103</v>
      </c>
      <c r="D2445" s="78">
        <v>1</v>
      </c>
      <c r="E2445" s="79">
        <v>97.65</v>
      </c>
      <c r="F2445" s="70">
        <v>97.65</v>
      </c>
      <c r="G2445" s="320"/>
      <c r="H2445" s="79">
        <v>80.900000000000006</v>
      </c>
      <c r="I2445" s="79">
        <v>16.75</v>
      </c>
      <c r="J2445" s="79">
        <v>97.65</v>
      </c>
      <c r="K2445" s="79">
        <v>0</v>
      </c>
      <c r="L2445" s="70">
        <v>97.65</v>
      </c>
      <c r="M2445" s="132"/>
      <c r="N2445" s="79">
        <v>80.900000000000006</v>
      </c>
      <c r="O2445" s="79">
        <v>16.75</v>
      </c>
      <c r="P2445" s="79">
        <v>97.65</v>
      </c>
      <c r="Q2445" s="136"/>
      <c r="R2445" s="79">
        <v>80.900000000000006</v>
      </c>
      <c r="S2445" s="79">
        <v>16.75</v>
      </c>
      <c r="T2445" s="79">
        <v>97.65</v>
      </c>
      <c r="U2445" s="79">
        <v>0</v>
      </c>
      <c r="V2445" s="189">
        <v>97.65</v>
      </c>
      <c r="X2445" s="79">
        <v>80.900000000000006</v>
      </c>
      <c r="Y2445" s="79">
        <v>16.75</v>
      </c>
      <c r="Z2445" s="79">
        <v>97.65</v>
      </c>
      <c r="AA2445" s="255">
        <v>0</v>
      </c>
      <c r="AC2445" s="254"/>
    </row>
    <row r="2446" spans="1:31" ht="12">
      <c r="A2446" s="67" t="s">
        <v>15231</v>
      </c>
      <c r="B2446" s="65" t="s">
        <v>15232</v>
      </c>
      <c r="C2446" s="71" t="s">
        <v>103</v>
      </c>
      <c r="D2446" s="78">
        <v>1</v>
      </c>
      <c r="E2446" s="79">
        <v>231.97</v>
      </c>
      <c r="F2446" s="70">
        <v>231.97</v>
      </c>
      <c r="G2446" s="320"/>
      <c r="H2446" s="79">
        <v>209.65</v>
      </c>
      <c r="I2446" s="79">
        <v>22.32</v>
      </c>
      <c r="J2446" s="79">
        <v>231.97</v>
      </c>
      <c r="K2446" s="79">
        <v>0</v>
      </c>
      <c r="L2446" s="70">
        <v>231.97</v>
      </c>
      <c r="M2446" s="132"/>
      <c r="N2446" s="79">
        <v>209.65</v>
      </c>
      <c r="O2446" s="79">
        <v>22.32</v>
      </c>
      <c r="P2446" s="79">
        <v>231.97</v>
      </c>
      <c r="Q2446" s="136"/>
      <c r="R2446" s="79">
        <v>209.65</v>
      </c>
      <c r="S2446" s="79">
        <v>22.33</v>
      </c>
      <c r="T2446" s="79">
        <v>231.98000000000002</v>
      </c>
      <c r="U2446" s="79">
        <v>0</v>
      </c>
      <c r="V2446" s="189">
        <v>231.98000000000002</v>
      </c>
      <c r="X2446" s="79">
        <v>209.65</v>
      </c>
      <c r="Y2446" s="79">
        <v>22.33</v>
      </c>
      <c r="Z2446" s="79">
        <v>231.98</v>
      </c>
      <c r="AA2446" s="255">
        <v>-9.9999999999909051E-3</v>
      </c>
      <c r="AC2446" s="254"/>
    </row>
    <row r="2447" spans="1:31" ht="12">
      <c r="A2447" s="489" t="s">
        <v>15233</v>
      </c>
      <c r="B2447" s="490" t="s">
        <v>15234</v>
      </c>
      <c r="C2447" s="491"/>
      <c r="D2447" s="492"/>
      <c r="E2447" s="79"/>
      <c r="F2447" s="63"/>
      <c r="G2447" s="320"/>
      <c r="H2447" s="79"/>
      <c r="I2447" s="79"/>
      <c r="J2447" s="79"/>
      <c r="K2447" s="79"/>
      <c r="L2447" s="70"/>
      <c r="M2447" s="132"/>
      <c r="N2447" s="79"/>
      <c r="O2447" s="79"/>
      <c r="P2447" s="79"/>
      <c r="Q2447" s="136"/>
      <c r="R2447" s="79"/>
      <c r="S2447" s="79"/>
      <c r="T2447" s="79"/>
      <c r="U2447" s="79"/>
      <c r="V2447" s="189"/>
      <c r="X2447" s="79"/>
      <c r="Y2447" s="79"/>
      <c r="Z2447" s="79"/>
      <c r="AA2447" s="255"/>
      <c r="AC2447" s="254"/>
      <c r="AD2447" s="69"/>
      <c r="AE2447" s="69"/>
    </row>
    <row r="2448" spans="1:31" ht="12">
      <c r="A2448" s="67" t="s">
        <v>15235</v>
      </c>
      <c r="B2448" s="65" t="s">
        <v>15236</v>
      </c>
      <c r="C2448" s="71" t="s">
        <v>396</v>
      </c>
      <c r="D2448" s="78">
        <v>1</v>
      </c>
      <c r="E2448" s="79">
        <v>43.870000000000005</v>
      </c>
      <c r="F2448" s="70">
        <v>43.87</v>
      </c>
      <c r="G2448" s="320"/>
      <c r="H2448" s="79">
        <v>27.12</v>
      </c>
      <c r="I2448" s="79">
        <v>16.75</v>
      </c>
      <c r="J2448" s="79">
        <v>43.870000000000005</v>
      </c>
      <c r="K2448" s="79">
        <v>0</v>
      </c>
      <c r="L2448" s="70">
        <v>43.870000000000005</v>
      </c>
      <c r="M2448" s="132"/>
      <c r="N2448" s="79">
        <v>27.12</v>
      </c>
      <c r="O2448" s="79">
        <v>16.75</v>
      </c>
      <c r="P2448" s="79">
        <v>43.870000000000005</v>
      </c>
      <c r="Q2448" s="136"/>
      <c r="R2448" s="79">
        <v>27.12</v>
      </c>
      <c r="S2448" s="79">
        <v>16.75</v>
      </c>
      <c r="T2448" s="79">
        <v>43.870000000000005</v>
      </c>
      <c r="U2448" s="79">
        <v>0</v>
      </c>
      <c r="V2448" s="189">
        <v>43.870000000000005</v>
      </c>
      <c r="X2448" s="79">
        <v>27.12</v>
      </c>
      <c r="Y2448" s="79">
        <v>16.75</v>
      </c>
      <c r="Z2448" s="79">
        <v>43.87</v>
      </c>
      <c r="AA2448" s="255">
        <v>0</v>
      </c>
      <c r="AC2448" s="254"/>
    </row>
    <row r="2449" spans="1:31" s="69" customFormat="1" ht="12">
      <c r="A2449" s="67" t="s">
        <v>15237</v>
      </c>
      <c r="B2449" s="65" t="s">
        <v>15238</v>
      </c>
      <c r="C2449" s="71" t="s">
        <v>103</v>
      </c>
      <c r="D2449" s="78">
        <v>1</v>
      </c>
      <c r="E2449" s="79">
        <v>46.45</v>
      </c>
      <c r="F2449" s="70">
        <v>46.45</v>
      </c>
      <c r="G2449" s="320"/>
      <c r="H2449" s="79">
        <v>29.7</v>
      </c>
      <c r="I2449" s="79">
        <v>16.75</v>
      </c>
      <c r="J2449" s="79">
        <v>46.45</v>
      </c>
      <c r="K2449" s="79">
        <v>0</v>
      </c>
      <c r="L2449" s="70">
        <v>46.45</v>
      </c>
      <c r="M2449" s="132"/>
      <c r="N2449" s="79">
        <v>29.7</v>
      </c>
      <c r="O2449" s="79">
        <v>16.75</v>
      </c>
      <c r="P2449" s="79">
        <v>46.45</v>
      </c>
      <c r="Q2449" s="136"/>
      <c r="R2449" s="79">
        <v>29.7</v>
      </c>
      <c r="S2449" s="79">
        <v>16.75</v>
      </c>
      <c r="T2449" s="79">
        <v>46.45</v>
      </c>
      <c r="U2449" s="79">
        <v>0</v>
      </c>
      <c r="V2449" s="189">
        <v>46.45</v>
      </c>
      <c r="W2449" s="61"/>
      <c r="X2449" s="79">
        <v>29.7</v>
      </c>
      <c r="Y2449" s="79">
        <v>16.75</v>
      </c>
      <c r="Z2449" s="79">
        <v>46.45</v>
      </c>
      <c r="AA2449" s="255">
        <v>0</v>
      </c>
      <c r="AB2449" s="61"/>
      <c r="AC2449" s="254"/>
      <c r="AD2449" s="236"/>
      <c r="AE2449" s="236"/>
    </row>
    <row r="2450" spans="1:31" ht="12">
      <c r="A2450" s="67" t="s">
        <v>15239</v>
      </c>
      <c r="B2450" s="65" t="s">
        <v>15240</v>
      </c>
      <c r="C2450" s="71" t="s">
        <v>103</v>
      </c>
      <c r="D2450" s="78">
        <v>1</v>
      </c>
      <c r="E2450" s="79">
        <v>90.13</v>
      </c>
      <c r="F2450" s="70">
        <v>90.13</v>
      </c>
      <c r="G2450" s="320"/>
      <c r="H2450" s="79">
        <v>73.38</v>
      </c>
      <c r="I2450" s="79">
        <v>16.75</v>
      </c>
      <c r="J2450" s="79">
        <v>90.13</v>
      </c>
      <c r="K2450" s="79">
        <v>0</v>
      </c>
      <c r="L2450" s="70">
        <v>90.13</v>
      </c>
      <c r="M2450" s="132"/>
      <c r="N2450" s="79">
        <v>73.38</v>
      </c>
      <c r="O2450" s="79">
        <v>16.75</v>
      </c>
      <c r="P2450" s="79">
        <v>90.13</v>
      </c>
      <c r="Q2450" s="136"/>
      <c r="R2450" s="79">
        <v>73.38</v>
      </c>
      <c r="S2450" s="79">
        <v>16.75</v>
      </c>
      <c r="T2450" s="79">
        <v>90.13</v>
      </c>
      <c r="U2450" s="79">
        <v>0</v>
      </c>
      <c r="V2450" s="189">
        <v>90.13</v>
      </c>
      <c r="X2450" s="79">
        <v>73.38</v>
      </c>
      <c r="Y2450" s="79">
        <v>16.75</v>
      </c>
      <c r="Z2450" s="79">
        <v>90.13</v>
      </c>
      <c r="AA2450" s="255">
        <v>0</v>
      </c>
      <c r="AC2450" s="254"/>
    </row>
    <row r="2451" spans="1:31" ht="12">
      <c r="A2451" s="67" t="s">
        <v>15241</v>
      </c>
      <c r="B2451" s="65" t="s">
        <v>15242</v>
      </c>
      <c r="C2451" s="71" t="s">
        <v>396</v>
      </c>
      <c r="D2451" s="78">
        <v>1</v>
      </c>
      <c r="E2451" s="79">
        <v>286.77999999999997</v>
      </c>
      <c r="F2451" s="70">
        <v>286.77999999999997</v>
      </c>
      <c r="G2451" s="320"/>
      <c r="H2451" s="79">
        <v>270.02999999999997</v>
      </c>
      <c r="I2451" s="79">
        <v>16.75</v>
      </c>
      <c r="J2451" s="79">
        <v>286.77999999999997</v>
      </c>
      <c r="K2451" s="79">
        <v>0</v>
      </c>
      <c r="L2451" s="70">
        <v>286.77999999999997</v>
      </c>
      <c r="M2451" s="132"/>
      <c r="N2451" s="79">
        <v>270.02999999999997</v>
      </c>
      <c r="O2451" s="79">
        <v>16.75</v>
      </c>
      <c r="P2451" s="79">
        <v>286.77999999999997</v>
      </c>
      <c r="Q2451" s="136"/>
      <c r="R2451" s="79">
        <v>270.02999999999997</v>
      </c>
      <c r="S2451" s="79">
        <v>16.75</v>
      </c>
      <c r="T2451" s="79">
        <v>286.77999999999997</v>
      </c>
      <c r="U2451" s="79">
        <v>0</v>
      </c>
      <c r="V2451" s="189">
        <v>286.77999999999997</v>
      </c>
      <c r="X2451" s="79">
        <v>270.02999999999997</v>
      </c>
      <c r="Y2451" s="79">
        <v>16.75</v>
      </c>
      <c r="Z2451" s="79">
        <v>286.77999999999997</v>
      </c>
      <c r="AA2451" s="255">
        <v>0</v>
      </c>
      <c r="AC2451" s="254"/>
    </row>
    <row r="2452" spans="1:31" ht="12">
      <c r="A2452" s="67" t="s">
        <v>15243</v>
      </c>
      <c r="B2452" s="65" t="s">
        <v>15244</v>
      </c>
      <c r="C2452" s="71" t="s">
        <v>396</v>
      </c>
      <c r="D2452" s="78">
        <v>1</v>
      </c>
      <c r="E2452" s="79">
        <v>298.37</v>
      </c>
      <c r="F2452" s="70">
        <v>298.37</v>
      </c>
      <c r="G2452" s="320"/>
      <c r="H2452" s="79">
        <v>281.62</v>
      </c>
      <c r="I2452" s="79">
        <v>16.75</v>
      </c>
      <c r="J2452" s="79">
        <v>298.37</v>
      </c>
      <c r="K2452" s="79">
        <v>0</v>
      </c>
      <c r="L2452" s="70">
        <v>298.37</v>
      </c>
      <c r="M2452" s="132"/>
      <c r="N2452" s="79">
        <v>281.62</v>
      </c>
      <c r="O2452" s="79">
        <v>16.75</v>
      </c>
      <c r="P2452" s="79">
        <v>298.37</v>
      </c>
      <c r="Q2452" s="136"/>
      <c r="R2452" s="79">
        <v>281.62</v>
      </c>
      <c r="S2452" s="79">
        <v>16.75</v>
      </c>
      <c r="T2452" s="79">
        <v>298.37</v>
      </c>
      <c r="U2452" s="79">
        <v>0</v>
      </c>
      <c r="V2452" s="189">
        <v>298.37</v>
      </c>
      <c r="X2452" s="79">
        <v>281.62</v>
      </c>
      <c r="Y2452" s="79">
        <v>16.75</v>
      </c>
      <c r="Z2452" s="79">
        <v>298.37</v>
      </c>
      <c r="AA2452" s="255">
        <v>0</v>
      </c>
      <c r="AC2452" s="254"/>
    </row>
    <row r="2453" spans="1:31" ht="12">
      <c r="A2453" s="67" t="s">
        <v>15245</v>
      </c>
      <c r="B2453" s="65" t="s">
        <v>15246</v>
      </c>
      <c r="C2453" s="71" t="s">
        <v>396</v>
      </c>
      <c r="D2453" s="78">
        <v>1</v>
      </c>
      <c r="E2453" s="79">
        <v>36.21</v>
      </c>
      <c r="F2453" s="70">
        <v>36.21</v>
      </c>
      <c r="G2453" s="320"/>
      <c r="H2453" s="79">
        <v>19.46</v>
      </c>
      <c r="I2453" s="79">
        <v>16.75</v>
      </c>
      <c r="J2453" s="79">
        <v>36.21</v>
      </c>
      <c r="K2453" s="79">
        <v>0</v>
      </c>
      <c r="L2453" s="70">
        <v>36.21</v>
      </c>
      <c r="M2453" s="132"/>
      <c r="N2453" s="79">
        <v>19.46</v>
      </c>
      <c r="O2453" s="79">
        <v>16.75</v>
      </c>
      <c r="P2453" s="79">
        <v>36.21</v>
      </c>
      <c r="Q2453" s="136"/>
      <c r="R2453" s="79">
        <v>19.46</v>
      </c>
      <c r="S2453" s="79">
        <v>16.75</v>
      </c>
      <c r="T2453" s="79">
        <v>36.21</v>
      </c>
      <c r="U2453" s="79">
        <v>0</v>
      </c>
      <c r="V2453" s="189">
        <v>36.21</v>
      </c>
      <c r="X2453" s="79">
        <v>19.46</v>
      </c>
      <c r="Y2453" s="79">
        <v>16.75</v>
      </c>
      <c r="Z2453" s="79">
        <v>36.21</v>
      </c>
      <c r="AA2453" s="255">
        <v>0</v>
      </c>
      <c r="AC2453" s="254"/>
    </row>
    <row r="2454" spans="1:31" ht="12">
      <c r="A2454" s="67" t="s">
        <v>15247</v>
      </c>
      <c r="B2454" s="65" t="s">
        <v>15248</v>
      </c>
      <c r="C2454" s="71" t="s">
        <v>396</v>
      </c>
      <c r="D2454" s="78">
        <v>1</v>
      </c>
      <c r="E2454" s="79">
        <v>346.36</v>
      </c>
      <c r="F2454" s="70">
        <v>346.36</v>
      </c>
      <c r="G2454" s="320"/>
      <c r="H2454" s="79">
        <v>329.61</v>
      </c>
      <c r="I2454" s="79">
        <v>16.75</v>
      </c>
      <c r="J2454" s="79">
        <v>346.36</v>
      </c>
      <c r="K2454" s="79">
        <v>0</v>
      </c>
      <c r="L2454" s="70">
        <v>346.36</v>
      </c>
      <c r="M2454" s="132"/>
      <c r="N2454" s="79">
        <v>329.61</v>
      </c>
      <c r="O2454" s="79">
        <v>16.75</v>
      </c>
      <c r="P2454" s="79">
        <v>346.36</v>
      </c>
      <c r="Q2454" s="136"/>
      <c r="R2454" s="79">
        <v>329.61</v>
      </c>
      <c r="S2454" s="79">
        <v>16.75</v>
      </c>
      <c r="T2454" s="79">
        <v>346.36</v>
      </c>
      <c r="U2454" s="79">
        <v>0</v>
      </c>
      <c r="V2454" s="189">
        <v>346.36</v>
      </c>
      <c r="X2454" s="79">
        <v>329.61</v>
      </c>
      <c r="Y2454" s="79">
        <v>16.75</v>
      </c>
      <c r="Z2454" s="79">
        <v>346.36</v>
      </c>
      <c r="AA2454" s="255">
        <v>0</v>
      </c>
      <c r="AC2454" s="254"/>
    </row>
    <row r="2455" spans="1:31" ht="24">
      <c r="A2455" s="67" t="s">
        <v>15249</v>
      </c>
      <c r="B2455" s="65" t="s">
        <v>15250</v>
      </c>
      <c r="C2455" s="71" t="s">
        <v>103</v>
      </c>
      <c r="D2455" s="78">
        <v>1</v>
      </c>
      <c r="E2455" s="79">
        <v>37.4</v>
      </c>
      <c r="F2455" s="70">
        <v>37.4</v>
      </c>
      <c r="G2455" s="320"/>
      <c r="H2455" s="79">
        <v>20.65</v>
      </c>
      <c r="I2455" s="79">
        <v>16.75</v>
      </c>
      <c r="J2455" s="79">
        <v>37.4</v>
      </c>
      <c r="K2455" s="79">
        <v>0</v>
      </c>
      <c r="L2455" s="70">
        <v>37.4</v>
      </c>
      <c r="M2455" s="132"/>
      <c r="N2455" s="79">
        <v>20.65</v>
      </c>
      <c r="O2455" s="79">
        <v>16.75</v>
      </c>
      <c r="P2455" s="79">
        <v>37.4</v>
      </c>
      <c r="Q2455" s="136"/>
      <c r="R2455" s="79">
        <v>20.65</v>
      </c>
      <c r="S2455" s="79">
        <v>16.75</v>
      </c>
      <c r="T2455" s="79">
        <v>37.4</v>
      </c>
      <c r="U2455" s="79">
        <v>0</v>
      </c>
      <c r="V2455" s="189">
        <v>37.4</v>
      </c>
      <c r="X2455" s="79">
        <v>20.65</v>
      </c>
      <c r="Y2455" s="79">
        <v>16.75</v>
      </c>
      <c r="Z2455" s="79">
        <v>37.4</v>
      </c>
      <c r="AA2455" s="255">
        <v>0</v>
      </c>
      <c r="AC2455" s="254"/>
    </row>
    <row r="2456" spans="1:31" ht="12">
      <c r="A2456" s="67" t="s">
        <v>15251</v>
      </c>
      <c r="B2456" s="65" t="s">
        <v>15252</v>
      </c>
      <c r="C2456" s="71" t="s">
        <v>396</v>
      </c>
      <c r="D2456" s="78">
        <v>1</v>
      </c>
      <c r="E2456" s="79">
        <v>29.55</v>
      </c>
      <c r="F2456" s="70">
        <v>29.55</v>
      </c>
      <c r="G2456" s="320"/>
      <c r="H2456" s="79">
        <v>12.8</v>
      </c>
      <c r="I2456" s="79">
        <v>16.75</v>
      </c>
      <c r="J2456" s="79">
        <v>29.55</v>
      </c>
      <c r="K2456" s="79">
        <v>0</v>
      </c>
      <c r="L2456" s="70">
        <v>29.55</v>
      </c>
      <c r="M2456" s="132"/>
      <c r="N2456" s="79">
        <v>12.8</v>
      </c>
      <c r="O2456" s="79">
        <v>16.75</v>
      </c>
      <c r="P2456" s="79">
        <v>29.55</v>
      </c>
      <c r="Q2456" s="136"/>
      <c r="R2456" s="79">
        <v>12.8</v>
      </c>
      <c r="S2456" s="79">
        <v>16.75</v>
      </c>
      <c r="T2456" s="79">
        <v>29.55</v>
      </c>
      <c r="U2456" s="79">
        <v>0</v>
      </c>
      <c r="V2456" s="189">
        <v>29.55</v>
      </c>
      <c r="X2456" s="79">
        <v>12.8</v>
      </c>
      <c r="Y2456" s="79">
        <v>16.75</v>
      </c>
      <c r="Z2456" s="79">
        <v>29.55</v>
      </c>
      <c r="AA2456" s="255">
        <v>0</v>
      </c>
      <c r="AC2456" s="254"/>
    </row>
    <row r="2457" spans="1:31" ht="12">
      <c r="A2457" s="67" t="s">
        <v>15253</v>
      </c>
      <c r="B2457" s="65" t="s">
        <v>15254</v>
      </c>
      <c r="C2457" s="71" t="s">
        <v>396</v>
      </c>
      <c r="D2457" s="78">
        <v>1</v>
      </c>
      <c r="E2457" s="79">
        <v>31.130000000000003</v>
      </c>
      <c r="F2457" s="70">
        <v>31.13</v>
      </c>
      <c r="G2457" s="320"/>
      <c r="H2457" s="79">
        <v>14.38</v>
      </c>
      <c r="I2457" s="79">
        <v>16.75</v>
      </c>
      <c r="J2457" s="79">
        <v>31.130000000000003</v>
      </c>
      <c r="K2457" s="79">
        <v>0</v>
      </c>
      <c r="L2457" s="70">
        <v>31.130000000000003</v>
      </c>
      <c r="M2457" s="132"/>
      <c r="N2457" s="79">
        <v>14.38</v>
      </c>
      <c r="O2457" s="79">
        <v>16.75</v>
      </c>
      <c r="P2457" s="79">
        <v>31.130000000000003</v>
      </c>
      <c r="Q2457" s="136"/>
      <c r="R2457" s="79">
        <v>14.38</v>
      </c>
      <c r="S2457" s="79">
        <v>16.75</v>
      </c>
      <c r="T2457" s="79">
        <v>31.130000000000003</v>
      </c>
      <c r="U2457" s="79">
        <v>0</v>
      </c>
      <c r="V2457" s="189">
        <v>31.130000000000003</v>
      </c>
      <c r="X2457" s="79">
        <v>14.38</v>
      </c>
      <c r="Y2457" s="79">
        <v>16.75</v>
      </c>
      <c r="Z2457" s="79">
        <v>31.13</v>
      </c>
      <c r="AA2457" s="255">
        <v>0</v>
      </c>
      <c r="AC2457" s="254"/>
    </row>
    <row r="2458" spans="1:31" ht="12">
      <c r="A2458" s="67" t="s">
        <v>15255</v>
      </c>
      <c r="B2458" s="65" t="s">
        <v>15256</v>
      </c>
      <c r="C2458" s="71" t="s">
        <v>396</v>
      </c>
      <c r="D2458" s="78">
        <v>1</v>
      </c>
      <c r="E2458" s="79">
        <v>49.28</v>
      </c>
      <c r="F2458" s="70">
        <v>49.28</v>
      </c>
      <c r="G2458" s="320"/>
      <c r="H2458" s="79">
        <v>32.53</v>
      </c>
      <c r="I2458" s="79">
        <v>16.75</v>
      </c>
      <c r="J2458" s="79">
        <v>49.28</v>
      </c>
      <c r="K2458" s="79">
        <v>0</v>
      </c>
      <c r="L2458" s="70">
        <v>49.28</v>
      </c>
      <c r="M2458" s="132"/>
      <c r="N2458" s="79">
        <v>32.53</v>
      </c>
      <c r="O2458" s="79">
        <v>16.75</v>
      </c>
      <c r="P2458" s="79">
        <v>49.28</v>
      </c>
      <c r="Q2458" s="136"/>
      <c r="R2458" s="79">
        <v>32.53</v>
      </c>
      <c r="S2458" s="79">
        <v>16.75</v>
      </c>
      <c r="T2458" s="79">
        <v>49.28</v>
      </c>
      <c r="U2458" s="79">
        <v>0</v>
      </c>
      <c r="V2458" s="189">
        <v>49.28</v>
      </c>
      <c r="X2458" s="79">
        <v>32.53</v>
      </c>
      <c r="Y2458" s="79">
        <v>16.75</v>
      </c>
      <c r="Z2458" s="79">
        <v>49.28</v>
      </c>
      <c r="AA2458" s="255">
        <v>0</v>
      </c>
      <c r="AC2458" s="254"/>
    </row>
    <row r="2459" spans="1:31" ht="12">
      <c r="A2459" s="67" t="s">
        <v>15257</v>
      </c>
      <c r="B2459" s="65" t="s">
        <v>15258</v>
      </c>
      <c r="C2459" s="71" t="s">
        <v>396</v>
      </c>
      <c r="D2459" s="78">
        <v>1</v>
      </c>
      <c r="E2459" s="79">
        <v>43.44</v>
      </c>
      <c r="F2459" s="70">
        <v>43.44</v>
      </c>
      <c r="G2459" s="320"/>
      <c r="H2459" s="79">
        <v>26.69</v>
      </c>
      <c r="I2459" s="79">
        <v>16.75</v>
      </c>
      <c r="J2459" s="79">
        <v>43.44</v>
      </c>
      <c r="K2459" s="79">
        <v>0</v>
      </c>
      <c r="L2459" s="70">
        <v>43.44</v>
      </c>
      <c r="M2459" s="132"/>
      <c r="N2459" s="79">
        <v>26.69</v>
      </c>
      <c r="O2459" s="79">
        <v>16.75</v>
      </c>
      <c r="P2459" s="79">
        <v>43.44</v>
      </c>
      <c r="Q2459" s="136"/>
      <c r="R2459" s="79">
        <v>26.69</v>
      </c>
      <c r="S2459" s="79">
        <v>16.75</v>
      </c>
      <c r="T2459" s="79">
        <v>43.44</v>
      </c>
      <c r="U2459" s="79">
        <v>0</v>
      </c>
      <c r="V2459" s="189">
        <v>43.44</v>
      </c>
      <c r="X2459" s="79">
        <v>26.69</v>
      </c>
      <c r="Y2459" s="79">
        <v>16.75</v>
      </c>
      <c r="Z2459" s="79">
        <v>43.44</v>
      </c>
      <c r="AA2459" s="255">
        <v>0</v>
      </c>
      <c r="AC2459" s="254"/>
    </row>
    <row r="2460" spans="1:31" ht="12">
      <c r="A2460" s="67" t="s">
        <v>15259</v>
      </c>
      <c r="B2460" s="65" t="s">
        <v>15260</v>
      </c>
      <c r="C2460" s="71" t="s">
        <v>396</v>
      </c>
      <c r="D2460" s="78">
        <v>1</v>
      </c>
      <c r="E2460" s="79">
        <v>44.75</v>
      </c>
      <c r="F2460" s="70">
        <v>44.75</v>
      </c>
      <c r="G2460" s="320"/>
      <c r="H2460" s="79">
        <v>28</v>
      </c>
      <c r="I2460" s="79">
        <v>16.75</v>
      </c>
      <c r="J2460" s="79">
        <v>44.75</v>
      </c>
      <c r="K2460" s="79">
        <v>0</v>
      </c>
      <c r="L2460" s="70">
        <v>44.75</v>
      </c>
      <c r="M2460" s="132"/>
      <c r="N2460" s="79">
        <v>28</v>
      </c>
      <c r="O2460" s="79">
        <v>16.75</v>
      </c>
      <c r="P2460" s="79">
        <v>44.75</v>
      </c>
      <c r="Q2460" s="136"/>
      <c r="R2460" s="79">
        <v>28</v>
      </c>
      <c r="S2460" s="79">
        <v>16.75</v>
      </c>
      <c r="T2460" s="79">
        <v>44.75</v>
      </c>
      <c r="U2460" s="79">
        <v>0</v>
      </c>
      <c r="V2460" s="189">
        <v>44.75</v>
      </c>
      <c r="X2460" s="79">
        <v>28</v>
      </c>
      <c r="Y2460" s="79">
        <v>16.75</v>
      </c>
      <c r="Z2460" s="79">
        <v>44.75</v>
      </c>
      <c r="AA2460" s="255">
        <v>0</v>
      </c>
      <c r="AC2460" s="254"/>
    </row>
    <row r="2461" spans="1:31" ht="12">
      <c r="A2461" s="67" t="s">
        <v>15261</v>
      </c>
      <c r="B2461" s="65" t="s">
        <v>15262</v>
      </c>
      <c r="C2461" s="71" t="s">
        <v>396</v>
      </c>
      <c r="D2461" s="78">
        <v>1</v>
      </c>
      <c r="E2461" s="79">
        <v>57.04</v>
      </c>
      <c r="F2461" s="70">
        <v>57.04</v>
      </c>
      <c r="G2461" s="320"/>
      <c r="H2461" s="79">
        <v>36.39</v>
      </c>
      <c r="I2461" s="79">
        <v>20.65</v>
      </c>
      <c r="J2461" s="79">
        <v>57.04</v>
      </c>
      <c r="K2461" s="79">
        <v>0</v>
      </c>
      <c r="L2461" s="70">
        <v>57.04</v>
      </c>
      <c r="M2461" s="132"/>
      <c r="N2461" s="79">
        <v>36.39</v>
      </c>
      <c r="O2461" s="79">
        <v>20.65</v>
      </c>
      <c r="P2461" s="79">
        <v>57.04</v>
      </c>
      <c r="Q2461" s="136"/>
      <c r="R2461" s="79">
        <v>36.39</v>
      </c>
      <c r="S2461" s="79">
        <v>20.65</v>
      </c>
      <c r="T2461" s="79">
        <v>57.04</v>
      </c>
      <c r="U2461" s="79">
        <v>0</v>
      </c>
      <c r="V2461" s="189">
        <v>57.04</v>
      </c>
      <c r="X2461" s="79">
        <v>36.39</v>
      </c>
      <c r="Y2461" s="79">
        <v>20.65</v>
      </c>
      <c r="Z2461" s="79">
        <v>57.04</v>
      </c>
      <c r="AA2461" s="255">
        <v>0</v>
      </c>
      <c r="AC2461" s="254"/>
    </row>
    <row r="2462" spans="1:31" ht="12">
      <c r="A2462" s="489" t="s">
        <v>15263</v>
      </c>
      <c r="B2462" s="490" t="s">
        <v>15264</v>
      </c>
      <c r="C2462" s="491"/>
      <c r="D2462" s="492"/>
      <c r="E2462" s="79"/>
      <c r="F2462" s="63"/>
      <c r="G2462" s="320"/>
      <c r="H2462" s="79"/>
      <c r="I2462" s="79"/>
      <c r="J2462" s="79"/>
      <c r="K2462" s="79"/>
      <c r="L2462" s="70"/>
      <c r="M2462" s="132"/>
      <c r="N2462" s="79"/>
      <c r="O2462" s="79"/>
      <c r="P2462" s="79"/>
      <c r="Q2462" s="136"/>
      <c r="R2462" s="79"/>
      <c r="S2462" s="79"/>
      <c r="T2462" s="79"/>
      <c r="U2462" s="79"/>
      <c r="V2462" s="189"/>
      <c r="X2462" s="79"/>
      <c r="Y2462" s="79"/>
      <c r="Z2462" s="79"/>
      <c r="AA2462" s="255"/>
      <c r="AC2462" s="254"/>
    </row>
    <row r="2463" spans="1:31" ht="12">
      <c r="A2463" s="67" t="s">
        <v>15265</v>
      </c>
      <c r="B2463" s="65" t="s">
        <v>15266</v>
      </c>
      <c r="C2463" s="71" t="s">
        <v>396</v>
      </c>
      <c r="D2463" s="78">
        <v>1</v>
      </c>
      <c r="E2463" s="79">
        <v>33.47</v>
      </c>
      <c r="F2463" s="70">
        <v>33.47</v>
      </c>
      <c r="G2463" s="320"/>
      <c r="H2463" s="79">
        <v>14.5</v>
      </c>
      <c r="I2463" s="79">
        <v>18.97</v>
      </c>
      <c r="J2463" s="79">
        <v>33.47</v>
      </c>
      <c r="K2463" s="79">
        <v>0</v>
      </c>
      <c r="L2463" s="70">
        <v>33.47</v>
      </c>
      <c r="M2463" s="132"/>
      <c r="N2463" s="79">
        <v>14.5</v>
      </c>
      <c r="O2463" s="79">
        <v>18.97</v>
      </c>
      <c r="P2463" s="79">
        <v>33.47</v>
      </c>
      <c r="Q2463" s="136"/>
      <c r="R2463" s="79">
        <v>14.5</v>
      </c>
      <c r="S2463" s="79">
        <v>18.98</v>
      </c>
      <c r="T2463" s="79">
        <v>33.480000000000004</v>
      </c>
      <c r="U2463" s="79">
        <v>0</v>
      </c>
      <c r="V2463" s="189">
        <v>33.480000000000004</v>
      </c>
      <c r="X2463" s="79">
        <v>14.5</v>
      </c>
      <c r="Y2463" s="79">
        <v>18.98</v>
      </c>
      <c r="Z2463" s="79">
        <v>33.479999999999997</v>
      </c>
      <c r="AA2463" s="255">
        <v>-9.9999999999980105E-3</v>
      </c>
      <c r="AC2463" s="254"/>
    </row>
    <row r="2464" spans="1:31" ht="12">
      <c r="A2464" s="67" t="s">
        <v>15267</v>
      </c>
      <c r="B2464" s="65" t="s">
        <v>15268</v>
      </c>
      <c r="C2464" s="71" t="s">
        <v>396</v>
      </c>
      <c r="D2464" s="78">
        <v>1</v>
      </c>
      <c r="E2464" s="79">
        <v>43.83</v>
      </c>
      <c r="F2464" s="70">
        <v>43.83</v>
      </c>
      <c r="G2464" s="320"/>
      <c r="H2464" s="79">
        <v>24.29</v>
      </c>
      <c r="I2464" s="79">
        <v>19.54</v>
      </c>
      <c r="J2464" s="79">
        <v>43.83</v>
      </c>
      <c r="K2464" s="79">
        <v>0</v>
      </c>
      <c r="L2464" s="70">
        <v>43.83</v>
      </c>
      <c r="M2464" s="132"/>
      <c r="N2464" s="79">
        <v>24.29</v>
      </c>
      <c r="O2464" s="79">
        <v>19.54</v>
      </c>
      <c r="P2464" s="79">
        <v>43.83</v>
      </c>
      <c r="Q2464" s="136"/>
      <c r="R2464" s="79">
        <v>24.29</v>
      </c>
      <c r="S2464" s="79">
        <v>19.54</v>
      </c>
      <c r="T2464" s="79">
        <v>43.83</v>
      </c>
      <c r="U2464" s="79">
        <v>0</v>
      </c>
      <c r="V2464" s="189">
        <v>43.83</v>
      </c>
      <c r="X2464" s="79">
        <v>24.29</v>
      </c>
      <c r="Y2464" s="79">
        <v>19.54</v>
      </c>
      <c r="Z2464" s="79">
        <v>43.83</v>
      </c>
      <c r="AA2464" s="255">
        <v>0</v>
      </c>
      <c r="AC2464" s="254"/>
    </row>
    <row r="2465" spans="1:29" ht="12">
      <c r="A2465" s="67" t="s">
        <v>15269</v>
      </c>
      <c r="B2465" s="65" t="s">
        <v>15270</v>
      </c>
      <c r="C2465" s="71" t="s">
        <v>396</v>
      </c>
      <c r="D2465" s="78">
        <v>1</v>
      </c>
      <c r="E2465" s="79">
        <v>54.8</v>
      </c>
      <c r="F2465" s="70">
        <v>54.8</v>
      </c>
      <c r="G2465" s="320"/>
      <c r="H2465" s="79">
        <v>26.86</v>
      </c>
      <c r="I2465" s="79">
        <v>27.939999999999998</v>
      </c>
      <c r="J2465" s="79">
        <v>54.8</v>
      </c>
      <c r="K2465" s="79">
        <v>0</v>
      </c>
      <c r="L2465" s="70">
        <v>54.8</v>
      </c>
      <c r="M2465" s="132"/>
      <c r="N2465" s="79">
        <v>26.86</v>
      </c>
      <c r="O2465" s="79">
        <v>27.939999999999998</v>
      </c>
      <c r="P2465" s="79">
        <v>54.8</v>
      </c>
      <c r="Q2465" s="136"/>
      <c r="R2465" s="79">
        <v>26.86</v>
      </c>
      <c r="S2465" s="79">
        <v>27.92</v>
      </c>
      <c r="T2465" s="79">
        <v>54.78</v>
      </c>
      <c r="U2465" s="79">
        <v>0</v>
      </c>
      <c r="V2465" s="189">
        <v>54.78</v>
      </c>
      <c r="X2465" s="79">
        <v>26.86</v>
      </c>
      <c r="Y2465" s="79">
        <v>27.92</v>
      </c>
      <c r="Z2465" s="79">
        <v>54.78</v>
      </c>
      <c r="AA2465" s="255">
        <v>1.9999999999996021E-2</v>
      </c>
      <c r="AC2465" s="254"/>
    </row>
    <row r="2466" spans="1:29" ht="12">
      <c r="A2466" s="67" t="s">
        <v>15271</v>
      </c>
      <c r="B2466" s="65" t="s">
        <v>15272</v>
      </c>
      <c r="C2466" s="71" t="s">
        <v>396</v>
      </c>
      <c r="D2466" s="78">
        <v>1</v>
      </c>
      <c r="E2466" s="79">
        <v>33.85</v>
      </c>
      <c r="F2466" s="70">
        <v>33.85</v>
      </c>
      <c r="G2466" s="320"/>
      <c r="H2466" s="79">
        <v>18.760000000000002</v>
      </c>
      <c r="I2466" s="79">
        <v>15.09</v>
      </c>
      <c r="J2466" s="79">
        <v>33.85</v>
      </c>
      <c r="K2466" s="79">
        <v>0</v>
      </c>
      <c r="L2466" s="70">
        <v>33.85</v>
      </c>
      <c r="M2466" s="132"/>
      <c r="N2466" s="79">
        <v>18.760000000000002</v>
      </c>
      <c r="O2466" s="79">
        <v>15.09</v>
      </c>
      <c r="P2466" s="79">
        <v>33.85</v>
      </c>
      <c r="Q2466" s="136"/>
      <c r="R2466" s="79">
        <v>18.760000000000002</v>
      </c>
      <c r="S2466" s="79">
        <v>15.07</v>
      </c>
      <c r="T2466" s="79">
        <v>33.83</v>
      </c>
      <c r="U2466" s="79">
        <v>0</v>
      </c>
      <c r="V2466" s="189">
        <v>33.83</v>
      </c>
      <c r="X2466" s="79">
        <v>18.760000000000002</v>
      </c>
      <c r="Y2466" s="79">
        <v>15.07</v>
      </c>
      <c r="Z2466" s="79">
        <v>33.83</v>
      </c>
      <c r="AA2466" s="255">
        <v>2.0000000000003126E-2</v>
      </c>
      <c r="AC2466" s="254"/>
    </row>
    <row r="2467" spans="1:29" ht="12">
      <c r="A2467" s="67" t="s">
        <v>15273</v>
      </c>
      <c r="B2467" s="65" t="s">
        <v>15274</v>
      </c>
      <c r="C2467" s="71" t="s">
        <v>396</v>
      </c>
      <c r="D2467" s="78">
        <v>1</v>
      </c>
      <c r="E2467" s="79">
        <v>38.090000000000003</v>
      </c>
      <c r="F2467" s="70">
        <v>38.090000000000003</v>
      </c>
      <c r="G2467" s="320"/>
      <c r="H2467" s="79">
        <v>12.96</v>
      </c>
      <c r="I2467" s="79">
        <v>25.130000000000003</v>
      </c>
      <c r="J2467" s="79">
        <v>38.090000000000003</v>
      </c>
      <c r="K2467" s="79">
        <v>0</v>
      </c>
      <c r="L2467" s="70">
        <v>38.090000000000003</v>
      </c>
      <c r="M2467" s="132"/>
      <c r="N2467" s="79">
        <v>12.96</v>
      </c>
      <c r="O2467" s="79">
        <v>25.130000000000003</v>
      </c>
      <c r="P2467" s="79">
        <v>38.090000000000003</v>
      </c>
      <c r="Q2467" s="136"/>
      <c r="R2467" s="79">
        <v>12.96</v>
      </c>
      <c r="S2467" s="79">
        <v>25.12</v>
      </c>
      <c r="T2467" s="79">
        <v>38.08</v>
      </c>
      <c r="U2467" s="79">
        <v>0</v>
      </c>
      <c r="V2467" s="189">
        <v>38.08</v>
      </c>
      <c r="X2467" s="79">
        <v>12.96</v>
      </c>
      <c r="Y2467" s="79">
        <v>25.12</v>
      </c>
      <c r="Z2467" s="79">
        <v>38.08</v>
      </c>
      <c r="AA2467" s="255">
        <v>1.0000000000005116E-2</v>
      </c>
      <c r="AC2467" s="254"/>
    </row>
    <row r="2468" spans="1:29" ht="12">
      <c r="A2468" s="67" t="s">
        <v>15275</v>
      </c>
      <c r="B2468" s="65" t="s">
        <v>15276</v>
      </c>
      <c r="C2468" s="71" t="s">
        <v>396</v>
      </c>
      <c r="D2468" s="78">
        <v>1</v>
      </c>
      <c r="E2468" s="79">
        <v>45.58</v>
      </c>
      <c r="F2468" s="70">
        <v>45.58</v>
      </c>
      <c r="G2468" s="320"/>
      <c r="H2468" s="79">
        <v>24.38</v>
      </c>
      <c r="I2468" s="79">
        <v>21.2</v>
      </c>
      <c r="J2468" s="79">
        <v>45.58</v>
      </c>
      <c r="K2468" s="79">
        <v>0</v>
      </c>
      <c r="L2468" s="70">
        <v>45.58</v>
      </c>
      <c r="M2468" s="132"/>
      <c r="N2468" s="79">
        <v>24.38</v>
      </c>
      <c r="O2468" s="79">
        <v>21.2</v>
      </c>
      <c r="P2468" s="79">
        <v>45.58</v>
      </c>
      <c r="Q2468" s="136"/>
      <c r="R2468" s="79">
        <v>24.38</v>
      </c>
      <c r="S2468" s="79">
        <v>21.22</v>
      </c>
      <c r="T2468" s="79">
        <v>45.599999999999994</v>
      </c>
      <c r="U2468" s="79">
        <v>0</v>
      </c>
      <c r="V2468" s="189">
        <v>45.599999999999994</v>
      </c>
      <c r="X2468" s="79">
        <v>24.38</v>
      </c>
      <c r="Y2468" s="79">
        <v>21.22</v>
      </c>
      <c r="Z2468" s="79">
        <v>45.6</v>
      </c>
      <c r="AA2468" s="255">
        <v>-2.0000000000003126E-2</v>
      </c>
      <c r="AC2468" s="254"/>
    </row>
    <row r="2469" spans="1:29" ht="12">
      <c r="A2469" s="67" t="s">
        <v>15277</v>
      </c>
      <c r="B2469" s="65" t="s">
        <v>15278</v>
      </c>
      <c r="C2469" s="71" t="s">
        <v>396</v>
      </c>
      <c r="D2469" s="78">
        <v>1</v>
      </c>
      <c r="E2469" s="79">
        <v>38.410000000000004</v>
      </c>
      <c r="F2469" s="70">
        <v>38.409999999999997</v>
      </c>
      <c r="G2469" s="320"/>
      <c r="H2469" s="79">
        <v>13.28</v>
      </c>
      <c r="I2469" s="79">
        <v>25.130000000000003</v>
      </c>
      <c r="J2469" s="79">
        <v>38.410000000000004</v>
      </c>
      <c r="K2469" s="79">
        <v>0</v>
      </c>
      <c r="L2469" s="70">
        <v>38.410000000000004</v>
      </c>
      <c r="M2469" s="132"/>
      <c r="N2469" s="79">
        <v>13.28</v>
      </c>
      <c r="O2469" s="79">
        <v>25.130000000000003</v>
      </c>
      <c r="P2469" s="79">
        <v>38.410000000000004</v>
      </c>
      <c r="Q2469" s="136"/>
      <c r="R2469" s="79">
        <v>13.28</v>
      </c>
      <c r="S2469" s="79">
        <v>25.12</v>
      </c>
      <c r="T2469" s="79">
        <v>38.4</v>
      </c>
      <c r="U2469" s="79">
        <v>0</v>
      </c>
      <c r="V2469" s="189">
        <v>38.4</v>
      </c>
      <c r="X2469" s="79">
        <v>13.28</v>
      </c>
      <c r="Y2469" s="79">
        <v>25.12</v>
      </c>
      <c r="Z2469" s="79">
        <v>38.4</v>
      </c>
      <c r="AA2469" s="255">
        <v>9.9999999999980105E-3</v>
      </c>
      <c r="AC2469" s="254"/>
    </row>
    <row r="2470" spans="1:29" ht="12">
      <c r="A2470" s="67" t="s">
        <v>15279</v>
      </c>
      <c r="B2470" s="65" t="s">
        <v>15280</v>
      </c>
      <c r="C2470" s="71" t="s">
        <v>396</v>
      </c>
      <c r="D2470" s="78">
        <v>1</v>
      </c>
      <c r="E2470" s="79">
        <v>47.41</v>
      </c>
      <c r="F2470" s="70">
        <v>47.41</v>
      </c>
      <c r="G2470" s="320"/>
      <c r="H2470" s="79">
        <v>19.47</v>
      </c>
      <c r="I2470" s="79">
        <v>27.939999999999998</v>
      </c>
      <c r="J2470" s="79">
        <v>47.41</v>
      </c>
      <c r="K2470" s="79">
        <v>0</v>
      </c>
      <c r="L2470" s="70">
        <v>47.41</v>
      </c>
      <c r="M2470" s="132"/>
      <c r="N2470" s="79">
        <v>19.47</v>
      </c>
      <c r="O2470" s="79">
        <v>27.939999999999998</v>
      </c>
      <c r="P2470" s="79">
        <v>47.41</v>
      </c>
      <c r="Q2470" s="136"/>
      <c r="R2470" s="79">
        <v>19.47</v>
      </c>
      <c r="S2470" s="79">
        <v>27.92</v>
      </c>
      <c r="T2470" s="79">
        <v>47.39</v>
      </c>
      <c r="U2470" s="79">
        <v>0</v>
      </c>
      <c r="V2470" s="189">
        <v>47.39</v>
      </c>
      <c r="X2470" s="79">
        <v>19.47</v>
      </c>
      <c r="Y2470" s="79">
        <v>27.92</v>
      </c>
      <c r="Z2470" s="79">
        <v>47.39</v>
      </c>
      <c r="AA2470" s="255">
        <v>1.9999999999996021E-2</v>
      </c>
      <c r="AC2470" s="254"/>
    </row>
    <row r="2471" spans="1:29" ht="12">
      <c r="A2471" s="67" t="s">
        <v>15281</v>
      </c>
      <c r="B2471" s="65" t="s">
        <v>15282</v>
      </c>
      <c r="C2471" s="71" t="s">
        <v>396</v>
      </c>
      <c r="D2471" s="78">
        <v>1</v>
      </c>
      <c r="E2471" s="79">
        <v>72.259999999999991</v>
      </c>
      <c r="F2471" s="70">
        <v>72.260000000000005</v>
      </c>
      <c r="G2471" s="320"/>
      <c r="H2471" s="79">
        <v>52.72</v>
      </c>
      <c r="I2471" s="79">
        <v>19.54</v>
      </c>
      <c r="J2471" s="79">
        <v>72.259999999999991</v>
      </c>
      <c r="K2471" s="79">
        <v>0</v>
      </c>
      <c r="L2471" s="70">
        <v>72.259999999999991</v>
      </c>
      <c r="M2471" s="132"/>
      <c r="N2471" s="79">
        <v>52.72</v>
      </c>
      <c r="O2471" s="79">
        <v>19.54</v>
      </c>
      <c r="P2471" s="79">
        <v>72.259999999999991</v>
      </c>
      <c r="Q2471" s="136"/>
      <c r="R2471" s="79">
        <v>52.72</v>
      </c>
      <c r="S2471" s="79">
        <v>19.54</v>
      </c>
      <c r="T2471" s="79">
        <v>72.259999999999991</v>
      </c>
      <c r="U2471" s="79">
        <v>0</v>
      </c>
      <c r="V2471" s="189">
        <v>72.259999999999991</v>
      </c>
      <c r="X2471" s="79">
        <v>52.72</v>
      </c>
      <c r="Y2471" s="79">
        <v>19.54</v>
      </c>
      <c r="Z2471" s="79">
        <v>72.260000000000005</v>
      </c>
      <c r="AA2471" s="255">
        <v>0</v>
      </c>
      <c r="AC2471" s="254"/>
    </row>
    <row r="2472" spans="1:29" ht="12">
      <c r="A2472" s="67" t="s">
        <v>15283</v>
      </c>
      <c r="B2472" s="65" t="s">
        <v>15284</v>
      </c>
      <c r="C2472" s="71" t="s">
        <v>396</v>
      </c>
      <c r="D2472" s="78">
        <v>1</v>
      </c>
      <c r="E2472" s="79">
        <v>67.009999999999991</v>
      </c>
      <c r="F2472" s="70">
        <v>67.010000000000005</v>
      </c>
      <c r="G2472" s="320"/>
      <c r="H2472" s="79">
        <v>47.47</v>
      </c>
      <c r="I2472" s="79">
        <v>19.54</v>
      </c>
      <c r="J2472" s="79">
        <v>67.009999999999991</v>
      </c>
      <c r="K2472" s="79">
        <v>0</v>
      </c>
      <c r="L2472" s="70">
        <v>67.009999999999991</v>
      </c>
      <c r="M2472" s="132"/>
      <c r="N2472" s="79">
        <v>47.47</v>
      </c>
      <c r="O2472" s="79">
        <v>19.54</v>
      </c>
      <c r="P2472" s="79">
        <v>67.009999999999991</v>
      </c>
      <c r="Q2472" s="136"/>
      <c r="R2472" s="79">
        <v>47.47</v>
      </c>
      <c r="S2472" s="79">
        <v>19.54</v>
      </c>
      <c r="T2472" s="79">
        <v>67.009999999999991</v>
      </c>
      <c r="U2472" s="79">
        <v>0</v>
      </c>
      <c r="V2472" s="189">
        <v>67.009999999999991</v>
      </c>
      <c r="X2472" s="79">
        <v>47.47</v>
      </c>
      <c r="Y2472" s="79">
        <v>19.54</v>
      </c>
      <c r="Z2472" s="79">
        <v>67.010000000000005</v>
      </c>
      <c r="AA2472" s="255">
        <v>0</v>
      </c>
      <c r="AC2472" s="254"/>
    </row>
    <row r="2473" spans="1:29" ht="12">
      <c r="A2473" s="67" t="s">
        <v>15285</v>
      </c>
      <c r="B2473" s="65" t="s">
        <v>15286</v>
      </c>
      <c r="C2473" s="71" t="s">
        <v>396</v>
      </c>
      <c r="D2473" s="78">
        <v>1</v>
      </c>
      <c r="E2473" s="79">
        <v>33.53</v>
      </c>
      <c r="F2473" s="70">
        <v>33.53</v>
      </c>
      <c r="G2473" s="320"/>
      <c r="H2473" s="79">
        <v>19.559999999999999</v>
      </c>
      <c r="I2473" s="79">
        <v>13.969999999999999</v>
      </c>
      <c r="J2473" s="79">
        <v>33.53</v>
      </c>
      <c r="K2473" s="79">
        <v>0</v>
      </c>
      <c r="L2473" s="70">
        <v>33.53</v>
      </c>
      <c r="M2473" s="132"/>
      <c r="N2473" s="79">
        <v>19.559999999999999</v>
      </c>
      <c r="O2473" s="79">
        <v>13.969999999999999</v>
      </c>
      <c r="P2473" s="79">
        <v>33.53</v>
      </c>
      <c r="Q2473" s="136"/>
      <c r="R2473" s="79">
        <v>19.559999999999999</v>
      </c>
      <c r="S2473" s="79">
        <v>13.96</v>
      </c>
      <c r="T2473" s="79">
        <v>33.519999999999996</v>
      </c>
      <c r="U2473" s="79">
        <v>0</v>
      </c>
      <c r="V2473" s="189">
        <v>33.519999999999996</v>
      </c>
      <c r="X2473" s="79">
        <v>19.559999999999999</v>
      </c>
      <c r="Y2473" s="79">
        <v>13.96</v>
      </c>
      <c r="Z2473" s="79">
        <v>33.520000000000003</v>
      </c>
      <c r="AA2473" s="255">
        <v>9.9999999999980105E-3</v>
      </c>
      <c r="AC2473" s="254"/>
    </row>
    <row r="2474" spans="1:29" ht="12">
      <c r="A2474" s="67" t="s">
        <v>15287</v>
      </c>
      <c r="B2474" s="65" t="s">
        <v>15288</v>
      </c>
      <c r="C2474" s="71" t="s">
        <v>396</v>
      </c>
      <c r="D2474" s="78">
        <v>1</v>
      </c>
      <c r="E2474" s="79">
        <v>75.849999999999994</v>
      </c>
      <c r="F2474" s="70">
        <v>75.849999999999994</v>
      </c>
      <c r="G2474" s="320"/>
      <c r="H2474" s="79">
        <v>54.65</v>
      </c>
      <c r="I2474" s="79">
        <v>21.2</v>
      </c>
      <c r="J2474" s="79">
        <v>75.849999999999994</v>
      </c>
      <c r="K2474" s="79">
        <v>0</v>
      </c>
      <c r="L2474" s="70">
        <v>75.849999999999994</v>
      </c>
      <c r="M2474" s="132"/>
      <c r="N2474" s="79">
        <v>54.65</v>
      </c>
      <c r="O2474" s="79">
        <v>21.2</v>
      </c>
      <c r="P2474" s="79">
        <v>75.849999999999994</v>
      </c>
      <c r="Q2474" s="136"/>
      <c r="R2474" s="79">
        <v>54.65</v>
      </c>
      <c r="S2474" s="79">
        <v>21.22</v>
      </c>
      <c r="T2474" s="79">
        <v>75.87</v>
      </c>
      <c r="U2474" s="79">
        <v>0</v>
      </c>
      <c r="V2474" s="189">
        <v>75.87</v>
      </c>
      <c r="X2474" s="79">
        <v>54.65</v>
      </c>
      <c r="Y2474" s="79">
        <v>21.22</v>
      </c>
      <c r="Z2474" s="79">
        <v>75.87</v>
      </c>
      <c r="AA2474" s="255">
        <v>-2.0000000000010232E-2</v>
      </c>
      <c r="AC2474" s="254"/>
    </row>
    <row r="2475" spans="1:29" ht="12">
      <c r="A2475" s="67" t="s">
        <v>15289</v>
      </c>
      <c r="B2475" s="65" t="s">
        <v>15290</v>
      </c>
      <c r="C2475" s="71" t="s">
        <v>103</v>
      </c>
      <c r="D2475" s="78">
        <v>1</v>
      </c>
      <c r="E2475" s="79">
        <v>51.79</v>
      </c>
      <c r="F2475" s="70">
        <v>51.79</v>
      </c>
      <c r="G2475" s="320"/>
      <c r="H2475" s="79">
        <v>35.04</v>
      </c>
      <c r="I2475" s="79">
        <v>16.75</v>
      </c>
      <c r="J2475" s="79">
        <v>51.79</v>
      </c>
      <c r="K2475" s="79">
        <v>0</v>
      </c>
      <c r="L2475" s="70">
        <v>51.79</v>
      </c>
      <c r="M2475" s="132"/>
      <c r="N2475" s="79">
        <v>35.04</v>
      </c>
      <c r="O2475" s="79">
        <v>16.75</v>
      </c>
      <c r="P2475" s="79">
        <v>51.79</v>
      </c>
      <c r="Q2475" s="136"/>
      <c r="R2475" s="79">
        <v>35.04</v>
      </c>
      <c r="S2475" s="79">
        <v>16.75</v>
      </c>
      <c r="T2475" s="79">
        <v>51.79</v>
      </c>
      <c r="U2475" s="79">
        <v>0</v>
      </c>
      <c r="V2475" s="189">
        <v>51.79</v>
      </c>
      <c r="X2475" s="79">
        <v>35.04</v>
      </c>
      <c r="Y2475" s="79">
        <v>16.75</v>
      </c>
      <c r="Z2475" s="79">
        <v>51.79</v>
      </c>
      <c r="AA2475" s="255">
        <v>0</v>
      </c>
      <c r="AC2475" s="254"/>
    </row>
    <row r="2476" spans="1:29" ht="12">
      <c r="A2476" s="67" t="s">
        <v>15291</v>
      </c>
      <c r="B2476" s="65" t="s">
        <v>15292</v>
      </c>
      <c r="C2476" s="71" t="s">
        <v>103</v>
      </c>
      <c r="D2476" s="78">
        <v>1</v>
      </c>
      <c r="E2476" s="79">
        <v>126.16</v>
      </c>
      <c r="F2476" s="70">
        <v>126.16</v>
      </c>
      <c r="G2476" s="320"/>
      <c r="H2476" s="79">
        <v>98.22</v>
      </c>
      <c r="I2476" s="79">
        <v>27.939999999999998</v>
      </c>
      <c r="J2476" s="79">
        <v>126.16</v>
      </c>
      <c r="K2476" s="79">
        <v>0</v>
      </c>
      <c r="L2476" s="70">
        <v>126.16</v>
      </c>
      <c r="M2476" s="132"/>
      <c r="N2476" s="79">
        <v>98.22</v>
      </c>
      <c r="O2476" s="79">
        <v>27.939999999999998</v>
      </c>
      <c r="P2476" s="79">
        <v>126.16</v>
      </c>
      <c r="Q2476" s="136"/>
      <c r="R2476" s="79">
        <v>98.22</v>
      </c>
      <c r="S2476" s="79">
        <v>27.92</v>
      </c>
      <c r="T2476" s="79">
        <v>126.14</v>
      </c>
      <c r="U2476" s="79">
        <v>0</v>
      </c>
      <c r="V2476" s="189">
        <v>126.14</v>
      </c>
      <c r="X2476" s="79">
        <v>98.22</v>
      </c>
      <c r="Y2476" s="79">
        <v>27.92</v>
      </c>
      <c r="Z2476" s="79">
        <v>126.14</v>
      </c>
      <c r="AA2476" s="255">
        <v>1.9999999999996021E-2</v>
      </c>
      <c r="AC2476" s="254"/>
    </row>
    <row r="2477" spans="1:29" ht="12">
      <c r="A2477" s="489" t="s">
        <v>15293</v>
      </c>
      <c r="B2477" s="490" t="s">
        <v>15294</v>
      </c>
      <c r="C2477" s="491"/>
      <c r="D2477" s="492"/>
      <c r="E2477" s="79"/>
      <c r="F2477" s="63"/>
      <c r="G2477" s="320"/>
      <c r="H2477" s="79"/>
      <c r="I2477" s="79"/>
      <c r="J2477" s="79"/>
      <c r="K2477" s="79"/>
      <c r="L2477" s="70"/>
      <c r="M2477" s="132"/>
      <c r="N2477" s="79"/>
      <c r="O2477" s="79"/>
      <c r="P2477" s="79"/>
      <c r="Q2477" s="136"/>
      <c r="R2477" s="79"/>
      <c r="S2477" s="79"/>
      <c r="T2477" s="79"/>
      <c r="U2477" s="79"/>
      <c r="V2477" s="189"/>
      <c r="X2477" s="79"/>
      <c r="Y2477" s="79"/>
      <c r="Z2477" s="79"/>
      <c r="AA2477" s="255"/>
      <c r="AC2477" s="254"/>
    </row>
    <row r="2478" spans="1:29" ht="12">
      <c r="A2478" s="67" t="s">
        <v>15295</v>
      </c>
      <c r="B2478" s="65" t="s">
        <v>15296</v>
      </c>
      <c r="C2478" s="71" t="s">
        <v>396</v>
      </c>
      <c r="D2478" s="78">
        <v>1</v>
      </c>
      <c r="E2478" s="79">
        <v>43.66</v>
      </c>
      <c r="F2478" s="70">
        <v>43.66</v>
      </c>
      <c r="G2478" s="320"/>
      <c r="H2478" s="79">
        <v>15.72</v>
      </c>
      <c r="I2478" s="79">
        <v>27.939999999999998</v>
      </c>
      <c r="J2478" s="79">
        <v>43.66</v>
      </c>
      <c r="K2478" s="79">
        <v>0</v>
      </c>
      <c r="L2478" s="70">
        <v>43.66</v>
      </c>
      <c r="M2478" s="132"/>
      <c r="N2478" s="79">
        <v>15.72</v>
      </c>
      <c r="O2478" s="79">
        <v>27.939999999999998</v>
      </c>
      <c r="P2478" s="79">
        <v>43.66</v>
      </c>
      <c r="Q2478" s="136"/>
      <c r="R2478" s="79">
        <v>15.72</v>
      </c>
      <c r="S2478" s="79">
        <v>27.92</v>
      </c>
      <c r="T2478" s="79">
        <v>43.64</v>
      </c>
      <c r="U2478" s="79">
        <v>0</v>
      </c>
      <c r="V2478" s="189">
        <v>43.64</v>
      </c>
      <c r="X2478" s="79">
        <v>15.72</v>
      </c>
      <c r="Y2478" s="79">
        <v>27.92</v>
      </c>
      <c r="Z2478" s="79">
        <v>43.64</v>
      </c>
      <c r="AA2478" s="255">
        <v>1.9999999999996021E-2</v>
      </c>
      <c r="AC2478" s="254"/>
    </row>
    <row r="2479" spans="1:29" ht="12">
      <c r="A2479" s="67" t="s">
        <v>15297</v>
      </c>
      <c r="B2479" s="65" t="s">
        <v>15298</v>
      </c>
      <c r="C2479" s="71" t="s">
        <v>396</v>
      </c>
      <c r="D2479" s="78">
        <v>1</v>
      </c>
      <c r="E2479" s="79">
        <v>53.489999999999995</v>
      </c>
      <c r="F2479" s="70">
        <v>53.49</v>
      </c>
      <c r="G2479" s="320"/>
      <c r="H2479" s="79">
        <v>25.55</v>
      </c>
      <c r="I2479" s="79">
        <v>27.939999999999998</v>
      </c>
      <c r="J2479" s="79">
        <v>53.489999999999995</v>
      </c>
      <c r="K2479" s="79">
        <v>0</v>
      </c>
      <c r="L2479" s="70">
        <v>53.489999999999995</v>
      </c>
      <c r="M2479" s="132"/>
      <c r="N2479" s="79">
        <v>25.55</v>
      </c>
      <c r="O2479" s="79">
        <v>27.939999999999998</v>
      </c>
      <c r="P2479" s="79">
        <v>53.489999999999995</v>
      </c>
      <c r="Q2479" s="136"/>
      <c r="R2479" s="79">
        <v>25.55</v>
      </c>
      <c r="S2479" s="79">
        <v>27.92</v>
      </c>
      <c r="T2479" s="79">
        <v>53.47</v>
      </c>
      <c r="U2479" s="79">
        <v>0</v>
      </c>
      <c r="V2479" s="189">
        <v>53.47</v>
      </c>
      <c r="X2479" s="79">
        <v>25.55</v>
      </c>
      <c r="Y2479" s="79">
        <v>27.92</v>
      </c>
      <c r="Z2479" s="79">
        <v>53.47</v>
      </c>
      <c r="AA2479" s="255">
        <v>2.0000000000003126E-2</v>
      </c>
      <c r="AC2479" s="254"/>
    </row>
    <row r="2480" spans="1:29" ht="12">
      <c r="A2480" s="67" t="s">
        <v>15299</v>
      </c>
      <c r="B2480" s="65" t="s">
        <v>15300</v>
      </c>
      <c r="C2480" s="71" t="s">
        <v>396</v>
      </c>
      <c r="D2480" s="78">
        <v>1</v>
      </c>
      <c r="E2480" s="79">
        <v>75.930000000000007</v>
      </c>
      <c r="F2480" s="70">
        <v>75.930000000000007</v>
      </c>
      <c r="G2480" s="320"/>
      <c r="H2480" s="79">
        <v>47.99</v>
      </c>
      <c r="I2480" s="79">
        <v>27.939999999999998</v>
      </c>
      <c r="J2480" s="79">
        <v>75.930000000000007</v>
      </c>
      <c r="K2480" s="79">
        <v>0</v>
      </c>
      <c r="L2480" s="70">
        <v>75.930000000000007</v>
      </c>
      <c r="M2480" s="132"/>
      <c r="N2480" s="79">
        <v>47.99</v>
      </c>
      <c r="O2480" s="79">
        <v>27.939999999999998</v>
      </c>
      <c r="P2480" s="79">
        <v>75.930000000000007</v>
      </c>
      <c r="Q2480" s="136"/>
      <c r="R2480" s="79">
        <v>47.99</v>
      </c>
      <c r="S2480" s="79">
        <v>27.92</v>
      </c>
      <c r="T2480" s="79">
        <v>75.91</v>
      </c>
      <c r="U2480" s="79">
        <v>0</v>
      </c>
      <c r="V2480" s="189">
        <v>75.91</v>
      </c>
      <c r="X2480" s="79">
        <v>47.99</v>
      </c>
      <c r="Y2480" s="79">
        <v>27.92</v>
      </c>
      <c r="Z2480" s="79">
        <v>75.91</v>
      </c>
      <c r="AA2480" s="255">
        <v>2.0000000000010232E-2</v>
      </c>
      <c r="AC2480" s="254"/>
    </row>
    <row r="2481" spans="1:31" ht="12">
      <c r="A2481" s="67" t="s">
        <v>15301</v>
      </c>
      <c r="B2481" s="65" t="s">
        <v>15302</v>
      </c>
      <c r="C2481" s="71" t="s">
        <v>396</v>
      </c>
      <c r="D2481" s="78">
        <v>1</v>
      </c>
      <c r="E2481" s="79">
        <v>89.68</v>
      </c>
      <c r="F2481" s="70">
        <v>89.68</v>
      </c>
      <c r="G2481" s="320"/>
      <c r="H2481" s="79">
        <v>61.74</v>
      </c>
      <c r="I2481" s="79">
        <v>27.939999999999998</v>
      </c>
      <c r="J2481" s="79">
        <v>89.68</v>
      </c>
      <c r="K2481" s="79">
        <v>0</v>
      </c>
      <c r="L2481" s="70">
        <v>89.68</v>
      </c>
      <c r="M2481" s="132"/>
      <c r="N2481" s="79">
        <v>61.74</v>
      </c>
      <c r="O2481" s="79">
        <v>27.939999999999998</v>
      </c>
      <c r="P2481" s="79">
        <v>89.68</v>
      </c>
      <c r="Q2481" s="136"/>
      <c r="R2481" s="79">
        <v>61.74</v>
      </c>
      <c r="S2481" s="79">
        <v>27.92</v>
      </c>
      <c r="T2481" s="79">
        <v>89.66</v>
      </c>
      <c r="U2481" s="79">
        <v>0</v>
      </c>
      <c r="V2481" s="189">
        <v>89.66</v>
      </c>
      <c r="X2481" s="79">
        <v>61.74</v>
      </c>
      <c r="Y2481" s="79">
        <v>27.92</v>
      </c>
      <c r="Z2481" s="79">
        <v>89.66</v>
      </c>
      <c r="AA2481" s="255">
        <v>2.0000000000010232E-2</v>
      </c>
      <c r="AC2481" s="254"/>
    </row>
    <row r="2482" spans="1:31" ht="12">
      <c r="A2482" s="67" t="s">
        <v>15303</v>
      </c>
      <c r="B2482" s="65" t="s">
        <v>15304</v>
      </c>
      <c r="C2482" s="71" t="s">
        <v>396</v>
      </c>
      <c r="D2482" s="78">
        <v>1</v>
      </c>
      <c r="E2482" s="79">
        <v>108.99</v>
      </c>
      <c r="F2482" s="70">
        <v>108.99</v>
      </c>
      <c r="G2482" s="320"/>
      <c r="H2482" s="79">
        <v>81.05</v>
      </c>
      <c r="I2482" s="79">
        <v>27.939999999999998</v>
      </c>
      <c r="J2482" s="79">
        <v>108.99</v>
      </c>
      <c r="K2482" s="79">
        <v>0</v>
      </c>
      <c r="L2482" s="70">
        <v>108.99</v>
      </c>
      <c r="M2482" s="132"/>
      <c r="N2482" s="79">
        <v>81.05</v>
      </c>
      <c r="O2482" s="79">
        <v>27.939999999999998</v>
      </c>
      <c r="P2482" s="79">
        <v>108.99</v>
      </c>
      <c r="Q2482" s="136"/>
      <c r="R2482" s="79">
        <v>81.05</v>
      </c>
      <c r="S2482" s="79">
        <v>27.92</v>
      </c>
      <c r="T2482" s="79">
        <v>108.97</v>
      </c>
      <c r="U2482" s="79">
        <v>0</v>
      </c>
      <c r="V2482" s="189">
        <v>108.97</v>
      </c>
      <c r="X2482" s="79">
        <v>81.05</v>
      </c>
      <c r="Y2482" s="79">
        <v>27.92</v>
      </c>
      <c r="Z2482" s="79">
        <v>108.97</v>
      </c>
      <c r="AA2482" s="255">
        <v>1.9999999999996021E-2</v>
      </c>
      <c r="AC2482" s="254"/>
    </row>
    <row r="2483" spans="1:31" ht="12">
      <c r="A2483" s="67" t="s">
        <v>15305</v>
      </c>
      <c r="B2483" s="65" t="s">
        <v>15306</v>
      </c>
      <c r="C2483" s="71" t="s">
        <v>396</v>
      </c>
      <c r="D2483" s="78">
        <v>1</v>
      </c>
      <c r="E2483" s="79">
        <v>268.63</v>
      </c>
      <c r="F2483" s="70">
        <v>268.63</v>
      </c>
      <c r="G2483" s="320"/>
      <c r="H2483" s="79">
        <v>240.69</v>
      </c>
      <c r="I2483" s="79">
        <v>27.939999999999998</v>
      </c>
      <c r="J2483" s="79">
        <v>268.63</v>
      </c>
      <c r="K2483" s="79">
        <v>0</v>
      </c>
      <c r="L2483" s="70">
        <v>268.63</v>
      </c>
      <c r="M2483" s="132"/>
      <c r="N2483" s="79">
        <v>240.69</v>
      </c>
      <c r="O2483" s="79">
        <v>27.939999999999998</v>
      </c>
      <c r="P2483" s="79">
        <v>268.63</v>
      </c>
      <c r="Q2483" s="136"/>
      <c r="R2483" s="79">
        <v>240.69</v>
      </c>
      <c r="S2483" s="79">
        <v>27.92</v>
      </c>
      <c r="T2483" s="79">
        <v>268.61</v>
      </c>
      <c r="U2483" s="79">
        <v>0</v>
      </c>
      <c r="V2483" s="189">
        <v>268.61</v>
      </c>
      <c r="X2483" s="79">
        <v>240.69</v>
      </c>
      <c r="Y2483" s="79">
        <v>27.92</v>
      </c>
      <c r="Z2483" s="79">
        <v>268.61</v>
      </c>
      <c r="AA2483" s="255">
        <v>1.999999999998181E-2</v>
      </c>
      <c r="AC2483" s="254"/>
    </row>
    <row r="2484" spans="1:31" ht="12">
      <c r="A2484" s="67" t="s">
        <v>15307</v>
      </c>
      <c r="B2484" s="65" t="s">
        <v>15308</v>
      </c>
      <c r="C2484" s="71" t="s">
        <v>396</v>
      </c>
      <c r="D2484" s="78">
        <v>1</v>
      </c>
      <c r="E2484" s="79">
        <v>332.12</v>
      </c>
      <c r="F2484" s="70">
        <v>332.12</v>
      </c>
      <c r="G2484" s="320"/>
      <c r="H2484" s="79">
        <v>304.18</v>
      </c>
      <c r="I2484" s="79">
        <v>27.939999999999998</v>
      </c>
      <c r="J2484" s="79">
        <v>332.12</v>
      </c>
      <c r="K2484" s="79">
        <v>0</v>
      </c>
      <c r="L2484" s="70">
        <v>332.12</v>
      </c>
      <c r="M2484" s="132"/>
      <c r="N2484" s="79">
        <v>304.18</v>
      </c>
      <c r="O2484" s="79">
        <v>27.939999999999998</v>
      </c>
      <c r="P2484" s="79">
        <v>332.12</v>
      </c>
      <c r="Q2484" s="136"/>
      <c r="R2484" s="79">
        <v>304.18</v>
      </c>
      <c r="S2484" s="79">
        <v>27.92</v>
      </c>
      <c r="T2484" s="79">
        <v>332.1</v>
      </c>
      <c r="U2484" s="79">
        <v>0</v>
      </c>
      <c r="V2484" s="189">
        <v>332.1</v>
      </c>
      <c r="X2484" s="79">
        <v>304.18</v>
      </c>
      <c r="Y2484" s="79">
        <v>27.92</v>
      </c>
      <c r="Z2484" s="79">
        <v>332.1</v>
      </c>
      <c r="AA2484" s="255">
        <v>1.999999999998181E-2</v>
      </c>
      <c r="AC2484" s="254"/>
    </row>
    <row r="2485" spans="1:31" ht="12">
      <c r="A2485" s="67" t="s">
        <v>15309</v>
      </c>
      <c r="B2485" s="65" t="s">
        <v>15310</v>
      </c>
      <c r="C2485" s="71" t="s">
        <v>396</v>
      </c>
      <c r="D2485" s="78">
        <v>1</v>
      </c>
      <c r="E2485" s="79">
        <v>465.04</v>
      </c>
      <c r="F2485" s="70">
        <v>465.04</v>
      </c>
      <c r="G2485" s="320"/>
      <c r="H2485" s="79">
        <v>437.1</v>
      </c>
      <c r="I2485" s="79">
        <v>27.939999999999998</v>
      </c>
      <c r="J2485" s="79">
        <v>465.04</v>
      </c>
      <c r="K2485" s="79">
        <v>0</v>
      </c>
      <c r="L2485" s="70">
        <v>465.04</v>
      </c>
      <c r="M2485" s="132"/>
      <c r="N2485" s="79">
        <v>437.1</v>
      </c>
      <c r="O2485" s="79">
        <v>27.939999999999998</v>
      </c>
      <c r="P2485" s="79">
        <v>465.04</v>
      </c>
      <c r="Q2485" s="136"/>
      <c r="R2485" s="79">
        <v>437.1</v>
      </c>
      <c r="S2485" s="79">
        <v>27.92</v>
      </c>
      <c r="T2485" s="79">
        <v>465.02000000000004</v>
      </c>
      <c r="U2485" s="79">
        <v>0</v>
      </c>
      <c r="V2485" s="189">
        <v>465.02000000000004</v>
      </c>
      <c r="X2485" s="79">
        <v>437.1</v>
      </c>
      <c r="Y2485" s="79">
        <v>27.92</v>
      </c>
      <c r="Z2485" s="79">
        <v>465.02</v>
      </c>
      <c r="AA2485" s="255">
        <v>2.0000000000038654E-2</v>
      </c>
      <c r="AC2485" s="254"/>
    </row>
    <row r="2486" spans="1:31" ht="12">
      <c r="A2486" s="67" t="s">
        <v>15311</v>
      </c>
      <c r="B2486" s="65" t="s">
        <v>15312</v>
      </c>
      <c r="C2486" s="71" t="s">
        <v>396</v>
      </c>
      <c r="D2486" s="78">
        <v>1</v>
      </c>
      <c r="E2486" s="79">
        <v>47.75</v>
      </c>
      <c r="F2486" s="70">
        <v>47.75</v>
      </c>
      <c r="G2486" s="320"/>
      <c r="H2486" s="79">
        <v>19.810000000000002</v>
      </c>
      <c r="I2486" s="79">
        <v>27.939999999999998</v>
      </c>
      <c r="J2486" s="79">
        <v>47.75</v>
      </c>
      <c r="K2486" s="79">
        <v>0</v>
      </c>
      <c r="L2486" s="70">
        <v>47.75</v>
      </c>
      <c r="M2486" s="132"/>
      <c r="N2486" s="79">
        <v>19.810000000000002</v>
      </c>
      <c r="O2486" s="79">
        <v>27.939999999999998</v>
      </c>
      <c r="P2486" s="79">
        <v>47.75</v>
      </c>
      <c r="Q2486" s="136"/>
      <c r="R2486" s="79">
        <v>19.809999999999999</v>
      </c>
      <c r="S2486" s="79">
        <v>27.92</v>
      </c>
      <c r="T2486" s="79">
        <v>47.730000000000004</v>
      </c>
      <c r="U2486" s="79">
        <v>0</v>
      </c>
      <c r="V2486" s="189">
        <v>47.730000000000004</v>
      </c>
      <c r="X2486" s="79">
        <v>19.809999999999999</v>
      </c>
      <c r="Y2486" s="79">
        <v>27.92</v>
      </c>
      <c r="Z2486" s="79">
        <v>47.73</v>
      </c>
      <c r="AA2486" s="255">
        <v>2.0000000000003126E-2</v>
      </c>
      <c r="AC2486" s="254"/>
    </row>
    <row r="2487" spans="1:31" ht="12">
      <c r="A2487" s="489" t="s">
        <v>15313</v>
      </c>
      <c r="B2487" s="490" t="s">
        <v>15314</v>
      </c>
      <c r="C2487" s="491"/>
      <c r="D2487" s="492"/>
      <c r="E2487" s="79"/>
      <c r="F2487" s="63"/>
      <c r="G2487" s="320"/>
      <c r="H2487" s="79"/>
      <c r="I2487" s="79"/>
      <c r="J2487" s="79"/>
      <c r="K2487" s="79"/>
      <c r="L2487" s="70"/>
      <c r="M2487" s="132"/>
      <c r="N2487" s="79"/>
      <c r="O2487" s="79"/>
      <c r="P2487" s="79"/>
      <c r="Q2487" s="136"/>
      <c r="R2487" s="79"/>
      <c r="S2487" s="79"/>
      <c r="T2487" s="79"/>
      <c r="U2487" s="79"/>
      <c r="V2487" s="189"/>
      <c r="X2487" s="79"/>
      <c r="Y2487" s="79"/>
      <c r="Z2487" s="79"/>
      <c r="AA2487" s="255"/>
      <c r="AC2487" s="254"/>
    </row>
    <row r="2488" spans="1:31" ht="12">
      <c r="A2488" s="67" t="s">
        <v>15315</v>
      </c>
      <c r="B2488" s="65" t="s">
        <v>4404</v>
      </c>
      <c r="C2488" s="71" t="s">
        <v>103</v>
      </c>
      <c r="D2488" s="78">
        <v>1</v>
      </c>
      <c r="E2488" s="79">
        <v>17.579999999999998</v>
      </c>
      <c r="F2488" s="70">
        <v>17.579999999999998</v>
      </c>
      <c r="G2488" s="320"/>
      <c r="H2488" s="79">
        <v>3.61</v>
      </c>
      <c r="I2488" s="79">
        <v>13.969999999999999</v>
      </c>
      <c r="J2488" s="79">
        <v>17.579999999999998</v>
      </c>
      <c r="K2488" s="79">
        <v>0</v>
      </c>
      <c r="L2488" s="70">
        <v>17.579999999999998</v>
      </c>
      <c r="M2488" s="132"/>
      <c r="N2488" s="79">
        <v>3.61</v>
      </c>
      <c r="O2488" s="79">
        <v>13.969999999999999</v>
      </c>
      <c r="P2488" s="79">
        <v>17.579999999999998</v>
      </c>
      <c r="Q2488" s="136"/>
      <c r="R2488" s="79">
        <v>3.61</v>
      </c>
      <c r="S2488" s="79">
        <v>13.96</v>
      </c>
      <c r="T2488" s="79">
        <v>17.57</v>
      </c>
      <c r="U2488" s="79">
        <v>0</v>
      </c>
      <c r="V2488" s="189">
        <v>17.57</v>
      </c>
      <c r="X2488" s="79">
        <v>3.61</v>
      </c>
      <c r="Y2488" s="79">
        <v>13.96</v>
      </c>
      <c r="Z2488" s="79">
        <v>17.57</v>
      </c>
      <c r="AA2488" s="255">
        <v>9.9999999999980105E-3</v>
      </c>
      <c r="AC2488" s="254"/>
    </row>
    <row r="2489" spans="1:31" ht="12">
      <c r="A2489" s="67" t="s">
        <v>15316</v>
      </c>
      <c r="B2489" s="65" t="s">
        <v>4408</v>
      </c>
      <c r="C2489" s="71" t="s">
        <v>103</v>
      </c>
      <c r="D2489" s="78">
        <v>1</v>
      </c>
      <c r="E2489" s="79">
        <v>21.2</v>
      </c>
      <c r="F2489" s="70">
        <v>21.2</v>
      </c>
      <c r="G2489" s="320"/>
      <c r="H2489" s="79">
        <v>7.23</v>
      </c>
      <c r="I2489" s="79">
        <v>13.969999999999999</v>
      </c>
      <c r="J2489" s="79">
        <v>21.2</v>
      </c>
      <c r="K2489" s="79">
        <v>0</v>
      </c>
      <c r="L2489" s="70">
        <v>21.2</v>
      </c>
      <c r="M2489" s="132"/>
      <c r="N2489" s="79">
        <v>7.23</v>
      </c>
      <c r="O2489" s="79">
        <v>13.969999999999999</v>
      </c>
      <c r="P2489" s="79">
        <v>21.2</v>
      </c>
      <c r="Q2489" s="136"/>
      <c r="R2489" s="79">
        <v>7.23</v>
      </c>
      <c r="S2489" s="79">
        <v>13.96</v>
      </c>
      <c r="T2489" s="79">
        <v>21.19</v>
      </c>
      <c r="U2489" s="79">
        <v>0</v>
      </c>
      <c r="V2489" s="189">
        <v>21.19</v>
      </c>
      <c r="X2489" s="79">
        <v>7.23</v>
      </c>
      <c r="Y2489" s="79">
        <v>13.96</v>
      </c>
      <c r="Z2489" s="79">
        <v>21.19</v>
      </c>
      <c r="AA2489" s="255">
        <v>9.9999999999980105E-3</v>
      </c>
      <c r="AC2489" s="254"/>
      <c r="AD2489" s="69"/>
      <c r="AE2489" s="69"/>
    </row>
    <row r="2490" spans="1:31" ht="12">
      <c r="A2490" s="67" t="s">
        <v>15317</v>
      </c>
      <c r="B2490" s="65" t="s">
        <v>15318</v>
      </c>
      <c r="C2490" s="71" t="s">
        <v>103</v>
      </c>
      <c r="D2490" s="78">
        <v>1</v>
      </c>
      <c r="E2490" s="79">
        <v>22.52</v>
      </c>
      <c r="F2490" s="70">
        <v>22.52</v>
      </c>
      <c r="G2490" s="320"/>
      <c r="H2490" s="79">
        <v>8.5500000000000007</v>
      </c>
      <c r="I2490" s="79">
        <v>13.969999999999999</v>
      </c>
      <c r="J2490" s="79">
        <v>22.52</v>
      </c>
      <c r="K2490" s="79">
        <v>0</v>
      </c>
      <c r="L2490" s="70">
        <v>22.52</v>
      </c>
      <c r="M2490" s="132"/>
      <c r="N2490" s="79">
        <v>8.5500000000000007</v>
      </c>
      <c r="O2490" s="79">
        <v>13.969999999999999</v>
      </c>
      <c r="P2490" s="79">
        <v>22.52</v>
      </c>
      <c r="Q2490" s="136"/>
      <c r="R2490" s="79">
        <v>8.5500000000000007</v>
      </c>
      <c r="S2490" s="79">
        <v>13.96</v>
      </c>
      <c r="T2490" s="79">
        <v>22.51</v>
      </c>
      <c r="U2490" s="79">
        <v>0</v>
      </c>
      <c r="V2490" s="189">
        <v>22.51</v>
      </c>
      <c r="X2490" s="79">
        <v>8.5500000000000007</v>
      </c>
      <c r="Y2490" s="79">
        <v>13.96</v>
      </c>
      <c r="Z2490" s="79">
        <v>22.51</v>
      </c>
      <c r="AA2490" s="255">
        <v>9.9999999999980105E-3</v>
      </c>
      <c r="AC2490" s="254"/>
      <c r="AD2490" s="61"/>
      <c r="AE2490" s="61"/>
    </row>
    <row r="2491" spans="1:31" s="69" customFormat="1" ht="12">
      <c r="A2491" s="489" t="s">
        <v>15319</v>
      </c>
      <c r="B2491" s="490" t="s">
        <v>15320</v>
      </c>
      <c r="C2491" s="491"/>
      <c r="D2491" s="492"/>
      <c r="E2491" s="79"/>
      <c r="F2491" s="63"/>
      <c r="G2491" s="320"/>
      <c r="H2491" s="79"/>
      <c r="I2491" s="79"/>
      <c r="J2491" s="79"/>
      <c r="K2491" s="79"/>
      <c r="L2491" s="70"/>
      <c r="M2491" s="132"/>
      <c r="N2491" s="79"/>
      <c r="O2491" s="79"/>
      <c r="P2491" s="79"/>
      <c r="Q2491" s="136"/>
      <c r="R2491" s="79"/>
      <c r="S2491" s="79"/>
      <c r="T2491" s="79"/>
      <c r="U2491" s="79"/>
      <c r="V2491" s="189"/>
      <c r="W2491" s="61"/>
      <c r="X2491" s="79"/>
      <c r="Y2491" s="79"/>
      <c r="Z2491" s="79"/>
      <c r="AA2491" s="255"/>
      <c r="AB2491" s="61"/>
      <c r="AC2491" s="254"/>
      <c r="AD2491" s="61"/>
      <c r="AE2491" s="61"/>
    </row>
    <row r="2492" spans="1:31" s="61" customFormat="1" ht="12">
      <c r="A2492" s="67" t="s">
        <v>15321</v>
      </c>
      <c r="B2492" s="65" t="s">
        <v>15322</v>
      </c>
      <c r="C2492" s="499" t="s">
        <v>103</v>
      </c>
      <c r="D2492" s="78">
        <v>1</v>
      </c>
      <c r="E2492" s="79">
        <v>317</v>
      </c>
      <c r="F2492" s="70">
        <v>317</v>
      </c>
      <c r="G2492" s="320"/>
      <c r="H2492" s="79">
        <v>289.06</v>
      </c>
      <c r="I2492" s="79">
        <v>27.939999999999998</v>
      </c>
      <c r="J2492" s="79">
        <v>317</v>
      </c>
      <c r="K2492" s="79">
        <v>0</v>
      </c>
      <c r="L2492" s="70">
        <v>317</v>
      </c>
      <c r="M2492" s="132"/>
      <c r="N2492" s="79">
        <v>289.06</v>
      </c>
      <c r="O2492" s="79">
        <v>27.939999999999998</v>
      </c>
      <c r="P2492" s="79">
        <v>317</v>
      </c>
      <c r="Q2492" s="136"/>
      <c r="R2492" s="79">
        <v>289.06</v>
      </c>
      <c r="S2492" s="79">
        <v>27.92</v>
      </c>
      <c r="T2492" s="79">
        <v>316.98</v>
      </c>
      <c r="U2492" s="79">
        <v>0</v>
      </c>
      <c r="V2492" s="189">
        <v>316.98</v>
      </c>
      <c r="X2492" s="79">
        <v>289.06</v>
      </c>
      <c r="Y2492" s="79">
        <v>27.92</v>
      </c>
      <c r="Z2492" s="79">
        <v>316.98</v>
      </c>
      <c r="AA2492" s="255">
        <v>1.999999999998181E-2</v>
      </c>
      <c r="AC2492" s="254"/>
    </row>
    <row r="2493" spans="1:31" s="61" customFormat="1" ht="12">
      <c r="A2493" s="67" t="s">
        <v>15323</v>
      </c>
      <c r="B2493" s="65" t="s">
        <v>15324</v>
      </c>
      <c r="C2493" s="71" t="s">
        <v>103</v>
      </c>
      <c r="D2493" s="78">
        <v>1</v>
      </c>
      <c r="E2493" s="79">
        <v>351.71999999999997</v>
      </c>
      <c r="F2493" s="70">
        <v>351.72</v>
      </c>
      <c r="G2493" s="320"/>
      <c r="H2493" s="79">
        <v>323.77999999999997</v>
      </c>
      <c r="I2493" s="79">
        <v>27.939999999999998</v>
      </c>
      <c r="J2493" s="79">
        <v>351.71999999999997</v>
      </c>
      <c r="K2493" s="79">
        <v>0</v>
      </c>
      <c r="L2493" s="70">
        <v>351.71999999999997</v>
      </c>
      <c r="M2493" s="132"/>
      <c r="N2493" s="79">
        <v>323.77999999999997</v>
      </c>
      <c r="O2493" s="79">
        <v>27.939999999999998</v>
      </c>
      <c r="P2493" s="79">
        <v>351.71999999999997</v>
      </c>
      <c r="Q2493" s="136"/>
      <c r="R2493" s="79">
        <v>323.77999999999997</v>
      </c>
      <c r="S2493" s="79">
        <v>27.92</v>
      </c>
      <c r="T2493" s="79">
        <v>351.7</v>
      </c>
      <c r="U2493" s="79">
        <v>0</v>
      </c>
      <c r="V2493" s="189">
        <v>351.7</v>
      </c>
      <c r="X2493" s="79">
        <v>323.77999999999997</v>
      </c>
      <c r="Y2493" s="79">
        <v>27.92</v>
      </c>
      <c r="Z2493" s="79">
        <v>351.7</v>
      </c>
      <c r="AA2493" s="255">
        <v>2.0000000000038654E-2</v>
      </c>
      <c r="AC2493" s="254"/>
    </row>
    <row r="2494" spans="1:31" s="61" customFormat="1" ht="12">
      <c r="A2494" s="67" t="s">
        <v>15325</v>
      </c>
      <c r="B2494" s="65" t="s">
        <v>15326</v>
      </c>
      <c r="C2494" s="71" t="s">
        <v>103</v>
      </c>
      <c r="D2494" s="78">
        <v>1</v>
      </c>
      <c r="E2494" s="79">
        <v>333.11</v>
      </c>
      <c r="F2494" s="70">
        <v>333.11</v>
      </c>
      <c r="G2494" s="320"/>
      <c r="H2494" s="79">
        <v>305.17</v>
      </c>
      <c r="I2494" s="79">
        <v>27.939999999999998</v>
      </c>
      <c r="J2494" s="79">
        <v>333.11</v>
      </c>
      <c r="K2494" s="79">
        <v>0</v>
      </c>
      <c r="L2494" s="70">
        <v>333.11</v>
      </c>
      <c r="M2494" s="132"/>
      <c r="N2494" s="79">
        <v>305.17</v>
      </c>
      <c r="O2494" s="79">
        <v>27.939999999999998</v>
      </c>
      <c r="P2494" s="79">
        <v>333.11</v>
      </c>
      <c r="Q2494" s="136"/>
      <c r="R2494" s="79">
        <v>305.17</v>
      </c>
      <c r="S2494" s="79">
        <v>27.92</v>
      </c>
      <c r="T2494" s="79">
        <v>333.09000000000003</v>
      </c>
      <c r="U2494" s="79">
        <v>0</v>
      </c>
      <c r="V2494" s="189">
        <v>333.09000000000003</v>
      </c>
      <c r="X2494" s="79">
        <v>305.17</v>
      </c>
      <c r="Y2494" s="79">
        <v>27.92</v>
      </c>
      <c r="Z2494" s="79">
        <v>333.09</v>
      </c>
      <c r="AA2494" s="255">
        <v>2.0000000000038654E-2</v>
      </c>
      <c r="AC2494" s="254"/>
    </row>
    <row r="2495" spans="1:31" s="61" customFormat="1" ht="12">
      <c r="A2495" s="67" t="s">
        <v>15327</v>
      </c>
      <c r="B2495" s="65" t="s">
        <v>15328</v>
      </c>
      <c r="C2495" s="71" t="s">
        <v>103</v>
      </c>
      <c r="D2495" s="78">
        <v>1</v>
      </c>
      <c r="E2495" s="79">
        <v>224.72</v>
      </c>
      <c r="F2495" s="70">
        <v>224.72</v>
      </c>
      <c r="G2495" s="320"/>
      <c r="H2495" s="79">
        <v>196.78</v>
      </c>
      <c r="I2495" s="79">
        <v>27.939999999999998</v>
      </c>
      <c r="J2495" s="79">
        <v>224.72</v>
      </c>
      <c r="K2495" s="79">
        <v>0</v>
      </c>
      <c r="L2495" s="70">
        <v>224.72</v>
      </c>
      <c r="M2495" s="132"/>
      <c r="N2495" s="79">
        <v>196.78</v>
      </c>
      <c r="O2495" s="79">
        <v>27.939999999999998</v>
      </c>
      <c r="P2495" s="79">
        <v>224.72</v>
      </c>
      <c r="Q2495" s="136"/>
      <c r="R2495" s="79">
        <v>196.78</v>
      </c>
      <c r="S2495" s="79">
        <v>27.92</v>
      </c>
      <c r="T2495" s="79">
        <v>224.7</v>
      </c>
      <c r="U2495" s="79">
        <v>0</v>
      </c>
      <c r="V2495" s="189">
        <v>224.7</v>
      </c>
      <c r="X2495" s="79">
        <v>196.78</v>
      </c>
      <c r="Y2495" s="79">
        <v>27.92</v>
      </c>
      <c r="Z2495" s="79">
        <v>224.7</v>
      </c>
      <c r="AA2495" s="255">
        <v>2.0000000000010232E-2</v>
      </c>
      <c r="AC2495" s="254"/>
    </row>
    <row r="2496" spans="1:31" s="61" customFormat="1" ht="12">
      <c r="A2496" s="67" t="s">
        <v>15329</v>
      </c>
      <c r="B2496" s="65" t="s">
        <v>15330</v>
      </c>
      <c r="C2496" s="71" t="s">
        <v>103</v>
      </c>
      <c r="D2496" s="78">
        <v>1</v>
      </c>
      <c r="E2496" s="79">
        <v>374.38</v>
      </c>
      <c r="F2496" s="70">
        <v>374.38</v>
      </c>
      <c r="G2496" s="320"/>
      <c r="H2496" s="79">
        <v>346.44</v>
      </c>
      <c r="I2496" s="79">
        <v>27.939999999999998</v>
      </c>
      <c r="J2496" s="79">
        <v>374.38</v>
      </c>
      <c r="K2496" s="79">
        <v>0</v>
      </c>
      <c r="L2496" s="70">
        <v>374.38</v>
      </c>
      <c r="M2496" s="132"/>
      <c r="N2496" s="79">
        <v>346.44</v>
      </c>
      <c r="O2496" s="79">
        <v>27.939999999999998</v>
      </c>
      <c r="P2496" s="79">
        <v>374.38</v>
      </c>
      <c r="Q2496" s="136"/>
      <c r="R2496" s="79">
        <v>346.44</v>
      </c>
      <c r="S2496" s="79">
        <v>27.92</v>
      </c>
      <c r="T2496" s="79">
        <v>374.36</v>
      </c>
      <c r="U2496" s="79">
        <v>0</v>
      </c>
      <c r="V2496" s="189">
        <v>374.36</v>
      </c>
      <c r="X2496" s="79">
        <v>346.44</v>
      </c>
      <c r="Y2496" s="79">
        <v>27.92</v>
      </c>
      <c r="Z2496" s="79">
        <v>374.36</v>
      </c>
      <c r="AA2496" s="255">
        <v>1.999999999998181E-2</v>
      </c>
      <c r="AC2496" s="254"/>
    </row>
    <row r="2497" spans="1:31" s="61" customFormat="1" ht="12">
      <c r="A2497" s="67" t="s">
        <v>15331</v>
      </c>
      <c r="B2497" s="65" t="s">
        <v>15332</v>
      </c>
      <c r="C2497" s="71" t="s">
        <v>103</v>
      </c>
      <c r="D2497" s="78">
        <v>1</v>
      </c>
      <c r="E2497" s="79">
        <v>565.81999999999994</v>
      </c>
      <c r="F2497" s="70">
        <v>565.82000000000005</v>
      </c>
      <c r="G2497" s="320"/>
      <c r="H2497" s="79">
        <v>537.88</v>
      </c>
      <c r="I2497" s="79">
        <v>27.939999999999998</v>
      </c>
      <c r="J2497" s="79">
        <v>565.81999999999994</v>
      </c>
      <c r="K2497" s="79">
        <v>0</v>
      </c>
      <c r="L2497" s="70">
        <v>565.81999999999994</v>
      </c>
      <c r="M2497" s="132"/>
      <c r="N2497" s="79">
        <v>537.88</v>
      </c>
      <c r="O2497" s="79">
        <v>27.939999999999998</v>
      </c>
      <c r="P2497" s="79">
        <v>565.81999999999994</v>
      </c>
      <c r="Q2497" s="136"/>
      <c r="R2497" s="79">
        <v>537.88</v>
      </c>
      <c r="S2497" s="79">
        <v>27.92</v>
      </c>
      <c r="T2497" s="79">
        <v>565.79999999999995</v>
      </c>
      <c r="U2497" s="79">
        <v>0</v>
      </c>
      <c r="V2497" s="189">
        <v>565.79999999999995</v>
      </c>
      <c r="X2497" s="79">
        <v>537.88</v>
      </c>
      <c r="Y2497" s="79">
        <v>27.92</v>
      </c>
      <c r="Z2497" s="79">
        <v>565.79999999999995</v>
      </c>
      <c r="AA2497" s="255">
        <v>2.0000000000095497E-2</v>
      </c>
      <c r="AC2497" s="254"/>
    </row>
    <row r="2498" spans="1:31" s="61" customFormat="1" ht="12">
      <c r="A2498" s="67" t="s">
        <v>15333</v>
      </c>
      <c r="B2498" s="65" t="s">
        <v>15334</v>
      </c>
      <c r="C2498" s="71" t="s">
        <v>103</v>
      </c>
      <c r="D2498" s="78">
        <v>1</v>
      </c>
      <c r="E2498" s="79">
        <v>730.49</v>
      </c>
      <c r="F2498" s="70">
        <v>730.49</v>
      </c>
      <c r="G2498" s="320"/>
      <c r="H2498" s="79">
        <v>702.55</v>
      </c>
      <c r="I2498" s="79">
        <v>27.939999999999998</v>
      </c>
      <c r="J2498" s="79">
        <v>730.49</v>
      </c>
      <c r="K2498" s="79">
        <v>0</v>
      </c>
      <c r="L2498" s="70">
        <v>730.49</v>
      </c>
      <c r="M2498" s="132"/>
      <c r="N2498" s="79">
        <v>702.55</v>
      </c>
      <c r="O2498" s="79">
        <v>27.939999999999998</v>
      </c>
      <c r="P2498" s="79">
        <v>730.49</v>
      </c>
      <c r="Q2498" s="136"/>
      <c r="R2498" s="79">
        <v>702.55</v>
      </c>
      <c r="S2498" s="79">
        <v>27.92</v>
      </c>
      <c r="T2498" s="79">
        <v>730.46999999999991</v>
      </c>
      <c r="U2498" s="79">
        <v>0</v>
      </c>
      <c r="V2498" s="189">
        <v>730.46999999999991</v>
      </c>
      <c r="X2498" s="79">
        <v>702.55</v>
      </c>
      <c r="Y2498" s="79">
        <v>27.92</v>
      </c>
      <c r="Z2498" s="79">
        <v>730.47</v>
      </c>
      <c r="AA2498" s="255">
        <v>1.999999999998181E-2</v>
      </c>
      <c r="AC2498" s="254"/>
    </row>
    <row r="2499" spans="1:31" s="61" customFormat="1" ht="12">
      <c r="A2499" s="67" t="s">
        <v>15335</v>
      </c>
      <c r="B2499" s="65" t="s">
        <v>15336</v>
      </c>
      <c r="C2499" s="71" t="s">
        <v>103</v>
      </c>
      <c r="D2499" s="78">
        <v>1</v>
      </c>
      <c r="E2499" s="79">
        <v>1041.8399999999999</v>
      </c>
      <c r="F2499" s="70">
        <v>1041.8399999999999</v>
      </c>
      <c r="G2499" s="320"/>
      <c r="H2499" s="79">
        <v>1013.9</v>
      </c>
      <c r="I2499" s="79">
        <v>27.939999999999998</v>
      </c>
      <c r="J2499" s="79">
        <v>1041.8399999999999</v>
      </c>
      <c r="K2499" s="79">
        <v>0</v>
      </c>
      <c r="L2499" s="70">
        <v>1041.8399999999999</v>
      </c>
      <c r="M2499" s="132"/>
      <c r="N2499" s="79">
        <v>1013.9</v>
      </c>
      <c r="O2499" s="79">
        <v>27.939999999999998</v>
      </c>
      <c r="P2499" s="79">
        <v>1041.8399999999999</v>
      </c>
      <c r="Q2499" s="136"/>
      <c r="R2499" s="79">
        <v>1013.9</v>
      </c>
      <c r="S2499" s="79">
        <v>27.92</v>
      </c>
      <c r="T2499" s="79">
        <v>1041.82</v>
      </c>
      <c r="U2499" s="79">
        <v>0</v>
      </c>
      <c r="V2499" s="189">
        <v>1041.82</v>
      </c>
      <c r="X2499" s="79">
        <v>1013.9</v>
      </c>
      <c r="Y2499" s="79">
        <v>27.92</v>
      </c>
      <c r="Z2499" s="79">
        <v>1041.82</v>
      </c>
      <c r="AA2499" s="255">
        <v>1.999999999998181E-2</v>
      </c>
      <c r="AC2499" s="254"/>
    </row>
    <row r="2500" spans="1:31" s="61" customFormat="1" ht="12">
      <c r="A2500" s="67" t="s">
        <v>15337</v>
      </c>
      <c r="B2500" s="65" t="s">
        <v>15338</v>
      </c>
      <c r="C2500" s="71" t="s">
        <v>103</v>
      </c>
      <c r="D2500" s="78">
        <v>1</v>
      </c>
      <c r="E2500" s="79">
        <v>1641.38</v>
      </c>
      <c r="F2500" s="70">
        <v>1641.38</v>
      </c>
      <c r="G2500" s="320"/>
      <c r="H2500" s="79">
        <v>1613.44</v>
      </c>
      <c r="I2500" s="79">
        <v>27.939999999999998</v>
      </c>
      <c r="J2500" s="79">
        <v>1641.38</v>
      </c>
      <c r="K2500" s="79">
        <v>0</v>
      </c>
      <c r="L2500" s="70">
        <v>1641.38</v>
      </c>
      <c r="M2500" s="132"/>
      <c r="N2500" s="79">
        <v>1613.44</v>
      </c>
      <c r="O2500" s="79">
        <v>27.939999999999998</v>
      </c>
      <c r="P2500" s="79">
        <v>1641.38</v>
      </c>
      <c r="Q2500" s="136"/>
      <c r="R2500" s="79">
        <v>1613.44</v>
      </c>
      <c r="S2500" s="79">
        <v>27.92</v>
      </c>
      <c r="T2500" s="79">
        <v>1641.3600000000001</v>
      </c>
      <c r="U2500" s="79">
        <v>0</v>
      </c>
      <c r="V2500" s="189">
        <v>1641.3600000000001</v>
      </c>
      <c r="X2500" s="79">
        <v>1613.44</v>
      </c>
      <c r="Y2500" s="79">
        <v>27.92</v>
      </c>
      <c r="Z2500" s="79">
        <v>1641.36</v>
      </c>
      <c r="AA2500" s="255">
        <v>2.0000000000209184E-2</v>
      </c>
      <c r="AC2500" s="254"/>
      <c r="AD2500" s="236"/>
      <c r="AE2500" s="236"/>
    </row>
    <row r="2501" spans="1:31" s="61" customFormat="1" ht="12">
      <c r="A2501" s="67" t="s">
        <v>15339</v>
      </c>
      <c r="B2501" s="65" t="s">
        <v>15340</v>
      </c>
      <c r="C2501" s="71" t="s">
        <v>103</v>
      </c>
      <c r="D2501" s="78">
        <v>1</v>
      </c>
      <c r="E2501" s="79">
        <v>3354.06</v>
      </c>
      <c r="F2501" s="70">
        <v>3354.06</v>
      </c>
      <c r="G2501" s="320"/>
      <c r="H2501" s="79">
        <v>3326.12</v>
      </c>
      <c r="I2501" s="79">
        <v>27.939999999999998</v>
      </c>
      <c r="J2501" s="79">
        <v>3354.06</v>
      </c>
      <c r="K2501" s="79">
        <v>0</v>
      </c>
      <c r="L2501" s="70">
        <v>3354.06</v>
      </c>
      <c r="M2501" s="132"/>
      <c r="N2501" s="79">
        <v>3326.12</v>
      </c>
      <c r="O2501" s="79">
        <v>27.939999999999998</v>
      </c>
      <c r="P2501" s="79">
        <v>3354.06</v>
      </c>
      <c r="Q2501" s="136"/>
      <c r="R2501" s="79">
        <v>3326.12</v>
      </c>
      <c r="S2501" s="79">
        <v>27.92</v>
      </c>
      <c r="T2501" s="79">
        <v>3354.04</v>
      </c>
      <c r="U2501" s="79">
        <v>0</v>
      </c>
      <c r="V2501" s="189">
        <v>3354.04</v>
      </c>
      <c r="X2501" s="79">
        <v>3326.12</v>
      </c>
      <c r="Y2501" s="79">
        <v>27.92</v>
      </c>
      <c r="Z2501" s="79">
        <v>3354.04</v>
      </c>
      <c r="AA2501" s="255">
        <v>1.999999999998181E-2</v>
      </c>
      <c r="AC2501" s="254"/>
      <c r="AD2501" s="236"/>
      <c r="AE2501" s="236"/>
    </row>
    <row r="2502" spans="1:31" ht="12">
      <c r="A2502" s="67" t="s">
        <v>15341</v>
      </c>
      <c r="B2502" s="65" t="s">
        <v>15342</v>
      </c>
      <c r="C2502" s="71" t="s">
        <v>103</v>
      </c>
      <c r="D2502" s="78">
        <v>1</v>
      </c>
      <c r="E2502" s="79">
        <v>2186.0500000000002</v>
      </c>
      <c r="F2502" s="70">
        <v>2186.0500000000002</v>
      </c>
      <c r="G2502" s="320"/>
      <c r="H2502" s="79">
        <v>2158.11</v>
      </c>
      <c r="I2502" s="79">
        <v>27.939999999999998</v>
      </c>
      <c r="J2502" s="79">
        <v>2186.0500000000002</v>
      </c>
      <c r="K2502" s="79">
        <v>0</v>
      </c>
      <c r="L2502" s="70">
        <v>2186.0500000000002</v>
      </c>
      <c r="M2502" s="132"/>
      <c r="N2502" s="79">
        <v>2158.11</v>
      </c>
      <c r="O2502" s="79">
        <v>27.939999999999998</v>
      </c>
      <c r="P2502" s="79">
        <v>2186.0500000000002</v>
      </c>
      <c r="Q2502" s="136"/>
      <c r="R2502" s="79">
        <v>2158.11</v>
      </c>
      <c r="S2502" s="79">
        <v>27.92</v>
      </c>
      <c r="T2502" s="79">
        <v>2186.0300000000002</v>
      </c>
      <c r="U2502" s="79">
        <v>0</v>
      </c>
      <c r="V2502" s="189">
        <v>2186.0300000000002</v>
      </c>
      <c r="X2502" s="79">
        <v>2158.11</v>
      </c>
      <c r="Y2502" s="79">
        <v>27.92</v>
      </c>
      <c r="Z2502" s="79">
        <v>2186.0300000000002</v>
      </c>
      <c r="AA2502" s="255">
        <v>1.999999999998181E-2</v>
      </c>
      <c r="AC2502" s="254"/>
    </row>
    <row r="2503" spans="1:31" ht="12">
      <c r="A2503" s="67" t="s">
        <v>15343</v>
      </c>
      <c r="B2503" s="65" t="s">
        <v>15344</v>
      </c>
      <c r="C2503" s="71" t="s">
        <v>103</v>
      </c>
      <c r="D2503" s="78">
        <v>1</v>
      </c>
      <c r="E2503" s="79">
        <v>5859.0499999999993</v>
      </c>
      <c r="F2503" s="70">
        <v>5859.05</v>
      </c>
      <c r="G2503" s="320"/>
      <c r="H2503" s="79">
        <v>5831.11</v>
      </c>
      <c r="I2503" s="79">
        <v>27.939999999999998</v>
      </c>
      <c r="J2503" s="79">
        <v>5859.0499999999993</v>
      </c>
      <c r="K2503" s="79">
        <v>0</v>
      </c>
      <c r="L2503" s="70">
        <v>5859.0499999999993</v>
      </c>
      <c r="M2503" s="132"/>
      <c r="N2503" s="79">
        <v>5831.11</v>
      </c>
      <c r="O2503" s="79">
        <v>27.939999999999998</v>
      </c>
      <c r="P2503" s="79">
        <v>5859.0499999999993</v>
      </c>
      <c r="Q2503" s="136"/>
      <c r="R2503" s="79">
        <v>5831.11</v>
      </c>
      <c r="S2503" s="79">
        <v>27.92</v>
      </c>
      <c r="T2503" s="79">
        <v>5859.03</v>
      </c>
      <c r="U2503" s="79">
        <v>0</v>
      </c>
      <c r="V2503" s="189">
        <v>5859.03</v>
      </c>
      <c r="X2503" s="79">
        <v>5831.11</v>
      </c>
      <c r="Y2503" s="79">
        <v>27.92</v>
      </c>
      <c r="Z2503" s="79">
        <v>5859.03</v>
      </c>
      <c r="AA2503" s="255">
        <v>2.0000000000436557E-2</v>
      </c>
      <c r="AC2503" s="254"/>
    </row>
    <row r="2504" spans="1:31" ht="12">
      <c r="A2504" s="67" t="s">
        <v>15345</v>
      </c>
      <c r="B2504" s="65" t="s">
        <v>15346</v>
      </c>
      <c r="C2504" s="71" t="s">
        <v>103</v>
      </c>
      <c r="D2504" s="78">
        <v>1</v>
      </c>
      <c r="E2504" s="79">
        <v>124.36</v>
      </c>
      <c r="F2504" s="70">
        <v>124.36</v>
      </c>
      <c r="G2504" s="320"/>
      <c r="H2504" s="79">
        <v>96.42</v>
      </c>
      <c r="I2504" s="79">
        <v>27.939999999999998</v>
      </c>
      <c r="J2504" s="79">
        <v>124.36</v>
      </c>
      <c r="K2504" s="79">
        <v>0</v>
      </c>
      <c r="L2504" s="70">
        <v>124.36</v>
      </c>
      <c r="M2504" s="132"/>
      <c r="N2504" s="79">
        <v>96.42</v>
      </c>
      <c r="O2504" s="79">
        <v>27.939999999999998</v>
      </c>
      <c r="P2504" s="79">
        <v>124.36</v>
      </c>
      <c r="Q2504" s="136"/>
      <c r="R2504" s="79">
        <v>96.42</v>
      </c>
      <c r="S2504" s="79">
        <v>27.92</v>
      </c>
      <c r="T2504" s="79">
        <v>124.34</v>
      </c>
      <c r="U2504" s="79">
        <v>0</v>
      </c>
      <c r="V2504" s="189">
        <v>124.34</v>
      </c>
      <c r="X2504" s="79">
        <v>96.42</v>
      </c>
      <c r="Y2504" s="79">
        <v>27.92</v>
      </c>
      <c r="Z2504" s="79">
        <v>124.34</v>
      </c>
      <c r="AA2504" s="255">
        <v>1.9999999999996021E-2</v>
      </c>
      <c r="AC2504" s="254"/>
    </row>
    <row r="2505" spans="1:31" ht="12">
      <c r="A2505" s="67" t="s">
        <v>15347</v>
      </c>
      <c r="B2505" s="65" t="s">
        <v>15348</v>
      </c>
      <c r="C2505" s="71" t="s">
        <v>103</v>
      </c>
      <c r="D2505" s="78">
        <v>1</v>
      </c>
      <c r="E2505" s="79">
        <v>144.82</v>
      </c>
      <c r="F2505" s="70">
        <v>144.82</v>
      </c>
      <c r="G2505" s="320"/>
      <c r="H2505" s="79">
        <v>116.88</v>
      </c>
      <c r="I2505" s="79">
        <v>27.939999999999998</v>
      </c>
      <c r="J2505" s="79">
        <v>144.82</v>
      </c>
      <c r="K2505" s="79">
        <v>0</v>
      </c>
      <c r="L2505" s="70">
        <v>144.82</v>
      </c>
      <c r="M2505" s="132"/>
      <c r="N2505" s="79">
        <v>116.88</v>
      </c>
      <c r="O2505" s="79">
        <v>27.939999999999998</v>
      </c>
      <c r="P2505" s="79">
        <v>144.82</v>
      </c>
      <c r="Q2505" s="136"/>
      <c r="R2505" s="79">
        <v>116.88</v>
      </c>
      <c r="S2505" s="79">
        <v>27.92</v>
      </c>
      <c r="T2505" s="79">
        <v>144.80000000000001</v>
      </c>
      <c r="U2505" s="79">
        <v>0</v>
      </c>
      <c r="V2505" s="189">
        <v>144.80000000000001</v>
      </c>
      <c r="X2505" s="79">
        <v>116.88</v>
      </c>
      <c r="Y2505" s="79">
        <v>27.92</v>
      </c>
      <c r="Z2505" s="79">
        <v>144.80000000000001</v>
      </c>
      <c r="AA2505" s="255">
        <v>1.999999999998181E-2</v>
      </c>
      <c r="AC2505" s="254"/>
    </row>
    <row r="2506" spans="1:31" ht="12">
      <c r="A2506" s="67" t="s">
        <v>15349</v>
      </c>
      <c r="B2506" s="65" t="s">
        <v>15350</v>
      </c>
      <c r="C2506" s="71" t="s">
        <v>103</v>
      </c>
      <c r="D2506" s="78">
        <v>1</v>
      </c>
      <c r="E2506" s="79">
        <v>172.89</v>
      </c>
      <c r="F2506" s="70">
        <v>172.89</v>
      </c>
      <c r="G2506" s="320"/>
      <c r="H2506" s="79">
        <v>144.94999999999999</v>
      </c>
      <c r="I2506" s="79">
        <v>27.939999999999998</v>
      </c>
      <c r="J2506" s="79">
        <v>172.89</v>
      </c>
      <c r="K2506" s="79">
        <v>0</v>
      </c>
      <c r="L2506" s="70">
        <v>172.89</v>
      </c>
      <c r="M2506" s="132"/>
      <c r="N2506" s="79">
        <v>144.94999999999999</v>
      </c>
      <c r="O2506" s="79">
        <v>27.939999999999998</v>
      </c>
      <c r="P2506" s="79">
        <v>172.89</v>
      </c>
      <c r="Q2506" s="136"/>
      <c r="R2506" s="79">
        <v>144.94999999999999</v>
      </c>
      <c r="S2506" s="79">
        <v>27.92</v>
      </c>
      <c r="T2506" s="79">
        <v>172.87</v>
      </c>
      <c r="U2506" s="79">
        <v>0</v>
      </c>
      <c r="V2506" s="189">
        <v>172.87</v>
      </c>
      <c r="X2506" s="79">
        <v>144.94999999999999</v>
      </c>
      <c r="Y2506" s="79">
        <v>27.92</v>
      </c>
      <c r="Z2506" s="79">
        <v>172.87</v>
      </c>
      <c r="AA2506" s="255">
        <v>1.999999999998181E-2</v>
      </c>
      <c r="AC2506" s="254"/>
    </row>
    <row r="2507" spans="1:31" ht="12">
      <c r="A2507" s="489" t="s">
        <v>15351</v>
      </c>
      <c r="B2507" s="490" t="s">
        <v>15352</v>
      </c>
      <c r="C2507" s="491"/>
      <c r="D2507" s="492"/>
      <c r="E2507" s="79"/>
      <c r="F2507" s="63"/>
      <c r="G2507" s="320"/>
      <c r="H2507" s="79"/>
      <c r="I2507" s="79"/>
      <c r="J2507" s="79"/>
      <c r="K2507" s="79"/>
      <c r="L2507" s="70"/>
      <c r="M2507" s="132"/>
      <c r="N2507" s="79"/>
      <c r="O2507" s="79"/>
      <c r="P2507" s="79"/>
      <c r="Q2507" s="136"/>
      <c r="R2507" s="79"/>
      <c r="S2507" s="79"/>
      <c r="T2507" s="79"/>
      <c r="U2507" s="79"/>
      <c r="V2507" s="189"/>
      <c r="X2507" s="79"/>
      <c r="Y2507" s="79"/>
      <c r="Z2507" s="79"/>
      <c r="AA2507" s="255"/>
      <c r="AC2507" s="254"/>
    </row>
    <row r="2508" spans="1:31" ht="12">
      <c r="A2508" s="67" t="s">
        <v>15353</v>
      </c>
      <c r="B2508" s="65" t="s">
        <v>15354</v>
      </c>
      <c r="C2508" s="71" t="s">
        <v>103</v>
      </c>
      <c r="D2508" s="78">
        <v>1</v>
      </c>
      <c r="E2508" s="79">
        <v>110.91</v>
      </c>
      <c r="F2508" s="70">
        <v>110.91</v>
      </c>
      <c r="G2508" s="320"/>
      <c r="H2508" s="79">
        <v>85.78</v>
      </c>
      <c r="I2508" s="79">
        <v>25.130000000000003</v>
      </c>
      <c r="J2508" s="79">
        <v>110.91</v>
      </c>
      <c r="K2508" s="79">
        <v>0</v>
      </c>
      <c r="L2508" s="70">
        <v>110.91</v>
      </c>
      <c r="M2508" s="132"/>
      <c r="N2508" s="79">
        <v>85.78</v>
      </c>
      <c r="O2508" s="79">
        <v>25.130000000000003</v>
      </c>
      <c r="P2508" s="79">
        <v>110.91</v>
      </c>
      <c r="Q2508" s="136"/>
      <c r="R2508" s="79">
        <v>85.78</v>
      </c>
      <c r="S2508" s="79">
        <v>25.12</v>
      </c>
      <c r="T2508" s="79">
        <v>110.9</v>
      </c>
      <c r="U2508" s="79">
        <v>0</v>
      </c>
      <c r="V2508" s="189">
        <v>110.9</v>
      </c>
      <c r="X2508" s="79">
        <v>85.78</v>
      </c>
      <c r="Y2508" s="79">
        <v>25.12</v>
      </c>
      <c r="Z2508" s="79">
        <v>110.9</v>
      </c>
      <c r="AA2508" s="255">
        <v>9.9999999999909051E-3</v>
      </c>
      <c r="AC2508" s="254"/>
    </row>
    <row r="2509" spans="1:31" ht="12">
      <c r="A2509" s="67" t="s">
        <v>15355</v>
      </c>
      <c r="B2509" s="65" t="s">
        <v>15356</v>
      </c>
      <c r="C2509" s="71" t="s">
        <v>103</v>
      </c>
      <c r="D2509" s="78">
        <v>1</v>
      </c>
      <c r="E2509" s="79">
        <v>296.48</v>
      </c>
      <c r="F2509" s="70">
        <v>296.48</v>
      </c>
      <c r="G2509" s="320"/>
      <c r="H2509" s="79">
        <v>268.54000000000002</v>
      </c>
      <c r="I2509" s="79">
        <v>27.939999999999998</v>
      </c>
      <c r="J2509" s="79">
        <v>296.48</v>
      </c>
      <c r="K2509" s="79">
        <v>0</v>
      </c>
      <c r="L2509" s="70">
        <v>296.48</v>
      </c>
      <c r="M2509" s="132"/>
      <c r="N2509" s="79">
        <v>268.54000000000002</v>
      </c>
      <c r="O2509" s="79">
        <v>27.939999999999998</v>
      </c>
      <c r="P2509" s="79">
        <v>296.48</v>
      </c>
      <c r="Q2509" s="136"/>
      <c r="R2509" s="79">
        <v>268.54000000000002</v>
      </c>
      <c r="S2509" s="79">
        <v>27.92</v>
      </c>
      <c r="T2509" s="79">
        <v>296.46000000000004</v>
      </c>
      <c r="U2509" s="79">
        <v>0</v>
      </c>
      <c r="V2509" s="189">
        <v>296.46000000000004</v>
      </c>
      <c r="X2509" s="79">
        <v>268.54000000000002</v>
      </c>
      <c r="Y2509" s="79">
        <v>27.92</v>
      </c>
      <c r="Z2509" s="79">
        <v>296.45999999999998</v>
      </c>
      <c r="AA2509" s="255">
        <v>2.0000000000038654E-2</v>
      </c>
      <c r="AC2509" s="254"/>
    </row>
    <row r="2510" spans="1:31" ht="24">
      <c r="A2510" s="67" t="s">
        <v>15357</v>
      </c>
      <c r="B2510" s="65" t="s">
        <v>15358</v>
      </c>
      <c r="C2510" s="71" t="s">
        <v>103</v>
      </c>
      <c r="D2510" s="78">
        <v>1</v>
      </c>
      <c r="E2510" s="79">
        <v>506.66</v>
      </c>
      <c r="F2510" s="70">
        <v>506.66</v>
      </c>
      <c r="G2510" s="320"/>
      <c r="H2510" s="79">
        <v>478.72</v>
      </c>
      <c r="I2510" s="79">
        <v>27.939999999999998</v>
      </c>
      <c r="J2510" s="79">
        <v>506.66</v>
      </c>
      <c r="K2510" s="79">
        <v>0</v>
      </c>
      <c r="L2510" s="70">
        <v>506.66</v>
      </c>
      <c r="M2510" s="132"/>
      <c r="N2510" s="79">
        <v>478.72</v>
      </c>
      <c r="O2510" s="79">
        <v>27.939999999999998</v>
      </c>
      <c r="P2510" s="79">
        <v>506.66</v>
      </c>
      <c r="Q2510" s="136"/>
      <c r="R2510" s="79">
        <v>478.72</v>
      </c>
      <c r="S2510" s="79">
        <v>27.92</v>
      </c>
      <c r="T2510" s="79">
        <v>506.64000000000004</v>
      </c>
      <c r="U2510" s="79">
        <v>0</v>
      </c>
      <c r="V2510" s="189">
        <v>506.64000000000004</v>
      </c>
      <c r="X2510" s="79">
        <v>478.72</v>
      </c>
      <c r="Y2510" s="79">
        <v>27.92</v>
      </c>
      <c r="Z2510" s="79">
        <v>506.64</v>
      </c>
      <c r="AA2510" s="255">
        <v>2.0000000000038654E-2</v>
      </c>
      <c r="AC2510" s="254"/>
    </row>
    <row r="2511" spans="1:31" ht="24">
      <c r="A2511" s="67" t="s">
        <v>15359</v>
      </c>
      <c r="B2511" s="65" t="s">
        <v>15360</v>
      </c>
      <c r="C2511" s="71" t="s">
        <v>103</v>
      </c>
      <c r="D2511" s="78">
        <v>1</v>
      </c>
      <c r="E2511" s="79">
        <v>342.27</v>
      </c>
      <c r="F2511" s="70">
        <v>342.27</v>
      </c>
      <c r="G2511" s="320"/>
      <c r="H2511" s="79">
        <v>314.33</v>
      </c>
      <c r="I2511" s="79">
        <v>27.939999999999998</v>
      </c>
      <c r="J2511" s="79">
        <v>342.27</v>
      </c>
      <c r="K2511" s="79">
        <v>0</v>
      </c>
      <c r="L2511" s="70">
        <v>342.27</v>
      </c>
      <c r="M2511" s="132"/>
      <c r="N2511" s="79">
        <v>314.33</v>
      </c>
      <c r="O2511" s="79">
        <v>27.939999999999998</v>
      </c>
      <c r="P2511" s="79">
        <v>342.27</v>
      </c>
      <c r="Q2511" s="136"/>
      <c r="R2511" s="79">
        <v>314.33</v>
      </c>
      <c r="S2511" s="79">
        <v>27.92</v>
      </c>
      <c r="T2511" s="79">
        <v>342.25</v>
      </c>
      <c r="U2511" s="79">
        <v>0</v>
      </c>
      <c r="V2511" s="189">
        <v>342.25</v>
      </c>
      <c r="X2511" s="79">
        <v>314.33</v>
      </c>
      <c r="Y2511" s="79">
        <v>27.92</v>
      </c>
      <c r="Z2511" s="79">
        <v>342.25</v>
      </c>
      <c r="AA2511" s="255">
        <v>1.999999999998181E-2</v>
      </c>
      <c r="AC2511" s="254"/>
    </row>
    <row r="2512" spans="1:31" ht="12">
      <c r="A2512" s="67" t="s">
        <v>15361</v>
      </c>
      <c r="B2512" s="65" t="s">
        <v>15362</v>
      </c>
      <c r="C2512" s="71" t="s">
        <v>103</v>
      </c>
      <c r="D2512" s="78">
        <v>1</v>
      </c>
      <c r="E2512" s="79">
        <v>153.69999999999999</v>
      </c>
      <c r="F2512" s="70">
        <v>153.69999999999999</v>
      </c>
      <c r="G2512" s="320"/>
      <c r="H2512" s="79">
        <v>97.87</v>
      </c>
      <c r="I2512" s="79">
        <v>55.83</v>
      </c>
      <c r="J2512" s="79">
        <v>153.69999999999999</v>
      </c>
      <c r="K2512" s="79">
        <v>0</v>
      </c>
      <c r="L2512" s="70">
        <v>153.69999999999999</v>
      </c>
      <c r="M2512" s="132"/>
      <c r="N2512" s="79">
        <v>97.87</v>
      </c>
      <c r="O2512" s="79">
        <v>55.83</v>
      </c>
      <c r="P2512" s="79">
        <v>153.69999999999999</v>
      </c>
      <c r="Q2512" s="136"/>
      <c r="R2512" s="79">
        <v>97.87</v>
      </c>
      <c r="S2512" s="79">
        <v>55.83</v>
      </c>
      <c r="T2512" s="79">
        <v>153.69999999999999</v>
      </c>
      <c r="U2512" s="79">
        <v>0</v>
      </c>
      <c r="V2512" s="189">
        <v>153.69999999999999</v>
      </c>
      <c r="X2512" s="79">
        <v>97.87</v>
      </c>
      <c r="Y2512" s="79">
        <v>55.83</v>
      </c>
      <c r="Z2512" s="79">
        <v>153.69999999999999</v>
      </c>
      <c r="AA2512" s="255">
        <v>0</v>
      </c>
      <c r="AC2512" s="254"/>
    </row>
    <row r="2513" spans="1:31" ht="12">
      <c r="A2513" s="67" t="s">
        <v>15363</v>
      </c>
      <c r="B2513" s="65" t="s">
        <v>15364</v>
      </c>
      <c r="C2513" s="71" t="s">
        <v>103</v>
      </c>
      <c r="D2513" s="78">
        <v>1</v>
      </c>
      <c r="E2513" s="79">
        <v>4799.07</v>
      </c>
      <c r="F2513" s="70">
        <v>4799.07</v>
      </c>
      <c r="G2513" s="320"/>
      <c r="H2513" s="79">
        <v>4743.24</v>
      </c>
      <c r="I2513" s="79">
        <v>55.83</v>
      </c>
      <c r="J2513" s="79">
        <v>4799.07</v>
      </c>
      <c r="K2513" s="79">
        <v>0</v>
      </c>
      <c r="L2513" s="70">
        <v>4799.07</v>
      </c>
      <c r="M2513" s="132"/>
      <c r="N2513" s="79">
        <v>4743.24</v>
      </c>
      <c r="O2513" s="79">
        <v>55.83</v>
      </c>
      <c r="P2513" s="79">
        <v>4799.07</v>
      </c>
      <c r="Q2513" s="136"/>
      <c r="R2513" s="79">
        <v>4743.24</v>
      </c>
      <c r="S2513" s="79">
        <v>55.83</v>
      </c>
      <c r="T2513" s="79">
        <v>4799.07</v>
      </c>
      <c r="U2513" s="79">
        <v>0</v>
      </c>
      <c r="V2513" s="189">
        <v>4799.07</v>
      </c>
      <c r="X2513" s="79">
        <v>4743.24</v>
      </c>
      <c r="Y2513" s="79">
        <v>55.83</v>
      </c>
      <c r="Z2513" s="79">
        <v>4799.07</v>
      </c>
      <c r="AA2513" s="255">
        <v>0</v>
      </c>
      <c r="AC2513" s="254"/>
      <c r="AD2513" s="69"/>
      <c r="AE2513" s="69"/>
    </row>
    <row r="2514" spans="1:31" ht="12">
      <c r="A2514" s="67" t="s">
        <v>15365</v>
      </c>
      <c r="B2514" s="65" t="s">
        <v>15366</v>
      </c>
      <c r="C2514" s="71" t="s">
        <v>103</v>
      </c>
      <c r="D2514" s="78">
        <v>1</v>
      </c>
      <c r="E2514" s="79">
        <v>167.76</v>
      </c>
      <c r="F2514" s="70">
        <v>167.76</v>
      </c>
      <c r="G2514" s="320"/>
      <c r="H2514" s="79">
        <v>111.93</v>
      </c>
      <c r="I2514" s="79">
        <v>55.83</v>
      </c>
      <c r="J2514" s="79">
        <v>167.76</v>
      </c>
      <c r="K2514" s="79">
        <v>0</v>
      </c>
      <c r="L2514" s="70">
        <v>167.76</v>
      </c>
      <c r="M2514" s="132"/>
      <c r="N2514" s="79">
        <v>111.93</v>
      </c>
      <c r="O2514" s="79">
        <v>55.83</v>
      </c>
      <c r="P2514" s="79">
        <v>167.76</v>
      </c>
      <c r="Q2514" s="136"/>
      <c r="R2514" s="79">
        <v>111.93</v>
      </c>
      <c r="S2514" s="79">
        <v>55.83</v>
      </c>
      <c r="T2514" s="79">
        <v>167.76</v>
      </c>
      <c r="U2514" s="79">
        <v>0</v>
      </c>
      <c r="V2514" s="189">
        <v>167.76</v>
      </c>
      <c r="X2514" s="79">
        <v>111.93</v>
      </c>
      <c r="Y2514" s="79">
        <v>55.83</v>
      </c>
      <c r="Z2514" s="79">
        <v>167.76</v>
      </c>
      <c r="AA2514" s="255">
        <v>0</v>
      </c>
      <c r="AC2514" s="254"/>
      <c r="AD2514" s="61"/>
      <c r="AE2514" s="61"/>
    </row>
    <row r="2515" spans="1:31" s="61" customFormat="1" ht="12">
      <c r="A2515" s="67" t="s">
        <v>15367</v>
      </c>
      <c r="B2515" s="65" t="s">
        <v>15368</v>
      </c>
      <c r="C2515" s="71" t="s">
        <v>103</v>
      </c>
      <c r="D2515" s="78">
        <v>1</v>
      </c>
      <c r="E2515" s="79">
        <v>2888.62</v>
      </c>
      <c r="F2515" s="70">
        <v>2888.62</v>
      </c>
      <c r="G2515" s="320"/>
      <c r="H2515" s="79">
        <v>2860.68</v>
      </c>
      <c r="I2515" s="79">
        <v>27.939999999999998</v>
      </c>
      <c r="J2515" s="79">
        <v>2888.62</v>
      </c>
      <c r="K2515" s="79">
        <v>0</v>
      </c>
      <c r="L2515" s="70">
        <v>2888.62</v>
      </c>
      <c r="M2515" s="132"/>
      <c r="N2515" s="79">
        <v>2860.68</v>
      </c>
      <c r="O2515" s="79">
        <v>27.939999999999998</v>
      </c>
      <c r="P2515" s="79">
        <v>2888.62</v>
      </c>
      <c r="Q2515" s="136"/>
      <c r="R2515" s="79">
        <v>2860.68</v>
      </c>
      <c r="S2515" s="79">
        <v>27.92</v>
      </c>
      <c r="T2515" s="79">
        <v>2888.6</v>
      </c>
      <c r="U2515" s="79">
        <v>0</v>
      </c>
      <c r="V2515" s="189">
        <v>2888.6</v>
      </c>
      <c r="X2515" s="79">
        <v>2860.68</v>
      </c>
      <c r="Y2515" s="79">
        <v>27.92</v>
      </c>
      <c r="Z2515" s="79">
        <v>2888.6</v>
      </c>
      <c r="AA2515" s="255">
        <v>1.999999999998181E-2</v>
      </c>
      <c r="AC2515" s="254"/>
    </row>
    <row r="2516" spans="1:31" s="61" customFormat="1" ht="12">
      <c r="A2516" s="67" t="s">
        <v>15369</v>
      </c>
      <c r="B2516" s="65" t="s">
        <v>15370</v>
      </c>
      <c r="C2516" s="71" t="s">
        <v>103</v>
      </c>
      <c r="D2516" s="78">
        <v>1</v>
      </c>
      <c r="E2516" s="79">
        <v>180.45999999999998</v>
      </c>
      <c r="F2516" s="70">
        <v>180.46</v>
      </c>
      <c r="G2516" s="320"/>
      <c r="H2516" s="79">
        <v>124.63</v>
      </c>
      <c r="I2516" s="79">
        <v>55.83</v>
      </c>
      <c r="J2516" s="79">
        <v>180.45999999999998</v>
      </c>
      <c r="K2516" s="79">
        <v>0</v>
      </c>
      <c r="L2516" s="70">
        <v>180.45999999999998</v>
      </c>
      <c r="M2516" s="132"/>
      <c r="N2516" s="79">
        <v>124.63</v>
      </c>
      <c r="O2516" s="79">
        <v>55.83</v>
      </c>
      <c r="P2516" s="79">
        <v>180.45999999999998</v>
      </c>
      <c r="Q2516" s="136"/>
      <c r="R2516" s="79">
        <v>124.63</v>
      </c>
      <c r="S2516" s="79">
        <v>55.83</v>
      </c>
      <c r="T2516" s="79">
        <v>180.45999999999998</v>
      </c>
      <c r="U2516" s="79">
        <v>0</v>
      </c>
      <c r="V2516" s="189">
        <v>180.45999999999998</v>
      </c>
      <c r="X2516" s="79">
        <v>124.63</v>
      </c>
      <c r="Y2516" s="79">
        <v>55.83</v>
      </c>
      <c r="Z2516" s="79">
        <v>180.46</v>
      </c>
      <c r="AA2516" s="255">
        <v>0</v>
      </c>
      <c r="AC2516" s="254"/>
    </row>
    <row r="2517" spans="1:31" s="61" customFormat="1" ht="12">
      <c r="A2517" s="67" t="s">
        <v>15371</v>
      </c>
      <c r="B2517" s="65" t="s">
        <v>15372</v>
      </c>
      <c r="C2517" s="71" t="s">
        <v>103</v>
      </c>
      <c r="D2517" s="78">
        <v>1</v>
      </c>
      <c r="E2517" s="79">
        <v>314.63</v>
      </c>
      <c r="F2517" s="70">
        <v>314.63</v>
      </c>
      <c r="G2517" s="320"/>
      <c r="H2517" s="79">
        <v>281.13</v>
      </c>
      <c r="I2517" s="79">
        <v>33.5</v>
      </c>
      <c r="J2517" s="79">
        <v>314.63</v>
      </c>
      <c r="K2517" s="79">
        <v>0</v>
      </c>
      <c r="L2517" s="70">
        <v>314.63</v>
      </c>
      <c r="M2517" s="132"/>
      <c r="N2517" s="79">
        <v>281.13</v>
      </c>
      <c r="O2517" s="79">
        <v>33.5</v>
      </c>
      <c r="P2517" s="79">
        <v>314.63</v>
      </c>
      <c r="Q2517" s="136"/>
      <c r="R2517" s="79">
        <v>281.13</v>
      </c>
      <c r="S2517" s="79">
        <v>33.5</v>
      </c>
      <c r="T2517" s="79">
        <v>314.63</v>
      </c>
      <c r="U2517" s="79">
        <v>0</v>
      </c>
      <c r="V2517" s="189">
        <v>314.63</v>
      </c>
      <c r="X2517" s="79">
        <v>281.13</v>
      </c>
      <c r="Y2517" s="79">
        <v>33.5</v>
      </c>
      <c r="Z2517" s="79">
        <v>314.63</v>
      </c>
      <c r="AA2517" s="255">
        <v>0</v>
      </c>
      <c r="AC2517" s="254"/>
    </row>
    <row r="2518" spans="1:31" s="61" customFormat="1" ht="12">
      <c r="A2518" s="489" t="s">
        <v>15373</v>
      </c>
      <c r="B2518" s="490" t="s">
        <v>15374</v>
      </c>
      <c r="C2518" s="491"/>
      <c r="D2518" s="492"/>
      <c r="E2518" s="79"/>
      <c r="F2518" s="63"/>
      <c r="G2518" s="320"/>
      <c r="H2518" s="79"/>
      <c r="I2518" s="79"/>
      <c r="J2518" s="79"/>
      <c r="K2518" s="79"/>
      <c r="L2518" s="70"/>
      <c r="M2518" s="132"/>
      <c r="N2518" s="79"/>
      <c r="O2518" s="79"/>
      <c r="P2518" s="79"/>
      <c r="Q2518" s="136"/>
      <c r="R2518" s="79"/>
      <c r="S2518" s="79"/>
      <c r="T2518" s="79"/>
      <c r="U2518" s="79"/>
      <c r="V2518" s="189"/>
      <c r="X2518" s="79"/>
      <c r="Y2518" s="79"/>
      <c r="Z2518" s="79"/>
      <c r="AA2518" s="255"/>
      <c r="AC2518" s="254"/>
    </row>
    <row r="2519" spans="1:31" s="61" customFormat="1" ht="12">
      <c r="A2519" s="67" t="s">
        <v>15375</v>
      </c>
      <c r="B2519" s="65" t="s">
        <v>15376</v>
      </c>
      <c r="C2519" s="71" t="s">
        <v>103</v>
      </c>
      <c r="D2519" s="78">
        <v>1</v>
      </c>
      <c r="E2519" s="79">
        <v>671.62</v>
      </c>
      <c r="F2519" s="70">
        <v>671.62</v>
      </c>
      <c r="G2519" s="320"/>
      <c r="H2519" s="79">
        <v>649.29999999999995</v>
      </c>
      <c r="I2519" s="79">
        <v>22.32</v>
      </c>
      <c r="J2519" s="79">
        <v>671.62</v>
      </c>
      <c r="K2519" s="79">
        <v>0</v>
      </c>
      <c r="L2519" s="70">
        <v>671.62</v>
      </c>
      <c r="M2519" s="132"/>
      <c r="N2519" s="79">
        <v>649.29999999999995</v>
      </c>
      <c r="O2519" s="79">
        <v>22.32</v>
      </c>
      <c r="P2519" s="79">
        <v>671.62</v>
      </c>
      <c r="Q2519" s="136"/>
      <c r="R2519" s="79">
        <v>649.29999999999995</v>
      </c>
      <c r="S2519" s="79">
        <v>22.33</v>
      </c>
      <c r="T2519" s="79">
        <v>671.63</v>
      </c>
      <c r="U2519" s="79">
        <v>0</v>
      </c>
      <c r="V2519" s="189">
        <v>671.63</v>
      </c>
      <c r="X2519" s="79">
        <v>649.29999999999995</v>
      </c>
      <c r="Y2519" s="79">
        <v>22.33</v>
      </c>
      <c r="Z2519" s="79">
        <v>671.63</v>
      </c>
      <c r="AA2519" s="255">
        <v>-9.9999999999909051E-3</v>
      </c>
      <c r="AC2519" s="254"/>
    </row>
    <row r="2520" spans="1:31" s="61" customFormat="1" ht="12">
      <c r="A2520" s="67" t="s">
        <v>15377</v>
      </c>
      <c r="B2520" s="65" t="s">
        <v>15378</v>
      </c>
      <c r="C2520" s="71" t="s">
        <v>103</v>
      </c>
      <c r="D2520" s="78">
        <v>1</v>
      </c>
      <c r="E2520" s="79">
        <v>351.5</v>
      </c>
      <c r="F2520" s="70">
        <v>351.5</v>
      </c>
      <c r="G2520" s="320"/>
      <c r="H2520" s="79">
        <v>329.18</v>
      </c>
      <c r="I2520" s="79">
        <v>22.32</v>
      </c>
      <c r="J2520" s="79">
        <v>351.5</v>
      </c>
      <c r="K2520" s="79">
        <v>0</v>
      </c>
      <c r="L2520" s="70">
        <v>351.5</v>
      </c>
      <c r="M2520" s="132"/>
      <c r="N2520" s="79">
        <v>329.18</v>
      </c>
      <c r="O2520" s="79">
        <v>22.32</v>
      </c>
      <c r="P2520" s="79">
        <v>351.5</v>
      </c>
      <c r="Q2520" s="136"/>
      <c r="R2520" s="79">
        <v>329.18</v>
      </c>
      <c r="S2520" s="79">
        <v>22.33</v>
      </c>
      <c r="T2520" s="79">
        <v>351.51</v>
      </c>
      <c r="U2520" s="79">
        <v>0</v>
      </c>
      <c r="V2520" s="189">
        <v>351.51</v>
      </c>
      <c r="X2520" s="79">
        <v>329.18</v>
      </c>
      <c r="Y2520" s="79">
        <v>22.33</v>
      </c>
      <c r="Z2520" s="79">
        <v>351.51</v>
      </c>
      <c r="AA2520" s="255">
        <v>-9.9999999999909051E-3</v>
      </c>
      <c r="AC2520" s="254"/>
    </row>
    <row r="2521" spans="1:31" s="61" customFormat="1" ht="12">
      <c r="A2521" s="67" t="s">
        <v>15379</v>
      </c>
      <c r="B2521" s="65" t="s">
        <v>15380</v>
      </c>
      <c r="C2521" s="71" t="s">
        <v>103</v>
      </c>
      <c r="D2521" s="78">
        <v>1</v>
      </c>
      <c r="E2521" s="79">
        <v>205.79999999999998</v>
      </c>
      <c r="F2521" s="70">
        <v>205.8</v>
      </c>
      <c r="G2521" s="320"/>
      <c r="H2521" s="79">
        <v>183.48</v>
      </c>
      <c r="I2521" s="79">
        <v>22.32</v>
      </c>
      <c r="J2521" s="79">
        <v>205.79999999999998</v>
      </c>
      <c r="K2521" s="79">
        <v>0</v>
      </c>
      <c r="L2521" s="70">
        <v>205.79999999999998</v>
      </c>
      <c r="M2521" s="132"/>
      <c r="N2521" s="79">
        <v>183.48</v>
      </c>
      <c r="O2521" s="79">
        <v>22.32</v>
      </c>
      <c r="P2521" s="79">
        <v>205.79999999999998</v>
      </c>
      <c r="Q2521" s="136"/>
      <c r="R2521" s="79">
        <v>183.48</v>
      </c>
      <c r="S2521" s="79">
        <v>22.33</v>
      </c>
      <c r="T2521" s="79">
        <v>205.81</v>
      </c>
      <c r="U2521" s="79">
        <v>0</v>
      </c>
      <c r="V2521" s="189">
        <v>205.81</v>
      </c>
      <c r="X2521" s="79">
        <v>183.48</v>
      </c>
      <c r="Y2521" s="79">
        <v>22.33</v>
      </c>
      <c r="Z2521" s="79">
        <v>205.81</v>
      </c>
      <c r="AA2521" s="255">
        <v>-9.9999999999909051E-3</v>
      </c>
      <c r="AC2521" s="254"/>
    </row>
    <row r="2522" spans="1:31" s="61" customFormat="1" ht="12">
      <c r="A2522" s="67" t="s">
        <v>15381</v>
      </c>
      <c r="B2522" s="65" t="s">
        <v>15382</v>
      </c>
      <c r="C2522" s="71" t="s">
        <v>103</v>
      </c>
      <c r="D2522" s="78">
        <v>1</v>
      </c>
      <c r="E2522" s="79">
        <v>489.52</v>
      </c>
      <c r="F2522" s="70">
        <v>489.52</v>
      </c>
      <c r="G2522" s="320"/>
      <c r="H2522" s="79">
        <v>467.2</v>
      </c>
      <c r="I2522" s="79">
        <v>22.32</v>
      </c>
      <c r="J2522" s="79">
        <v>489.52</v>
      </c>
      <c r="K2522" s="79">
        <v>0</v>
      </c>
      <c r="L2522" s="70">
        <v>489.52</v>
      </c>
      <c r="M2522" s="132"/>
      <c r="N2522" s="79">
        <v>467.2</v>
      </c>
      <c r="O2522" s="79">
        <v>22.32</v>
      </c>
      <c r="P2522" s="79">
        <v>489.52</v>
      </c>
      <c r="Q2522" s="136"/>
      <c r="R2522" s="79">
        <v>467.2</v>
      </c>
      <c r="S2522" s="79">
        <v>22.33</v>
      </c>
      <c r="T2522" s="79">
        <v>489.53</v>
      </c>
      <c r="U2522" s="79">
        <v>0</v>
      </c>
      <c r="V2522" s="189">
        <v>489.53</v>
      </c>
      <c r="X2522" s="79">
        <v>467.2</v>
      </c>
      <c r="Y2522" s="79">
        <v>22.33</v>
      </c>
      <c r="Z2522" s="79">
        <v>489.53</v>
      </c>
      <c r="AA2522" s="255">
        <v>-9.9999999999909051E-3</v>
      </c>
      <c r="AC2522" s="254"/>
    </row>
    <row r="2523" spans="1:31" s="61" customFormat="1" ht="12">
      <c r="A2523" s="489" t="s">
        <v>15383</v>
      </c>
      <c r="B2523" s="490" t="s">
        <v>15384</v>
      </c>
      <c r="C2523" s="491"/>
      <c r="D2523" s="492"/>
      <c r="E2523" s="79"/>
      <c r="F2523" s="63"/>
      <c r="G2523" s="320"/>
      <c r="H2523" s="79"/>
      <c r="I2523" s="79"/>
      <c r="J2523" s="79"/>
      <c r="K2523" s="79"/>
      <c r="L2523" s="70"/>
      <c r="M2523" s="132"/>
      <c r="N2523" s="79"/>
      <c r="O2523" s="79"/>
      <c r="P2523" s="79"/>
      <c r="Q2523" s="136"/>
      <c r="R2523" s="79"/>
      <c r="S2523" s="79"/>
      <c r="T2523" s="79"/>
      <c r="U2523" s="79"/>
      <c r="V2523" s="189"/>
      <c r="X2523" s="79"/>
      <c r="Y2523" s="79"/>
      <c r="Z2523" s="79"/>
      <c r="AA2523" s="255"/>
      <c r="AC2523" s="254"/>
    </row>
    <row r="2524" spans="1:31" s="61" customFormat="1" ht="12">
      <c r="A2524" s="67" t="s">
        <v>15385</v>
      </c>
      <c r="B2524" s="65" t="s">
        <v>15386</v>
      </c>
      <c r="C2524" s="71" t="s">
        <v>103</v>
      </c>
      <c r="D2524" s="78">
        <v>1</v>
      </c>
      <c r="E2524" s="79">
        <v>205.35</v>
      </c>
      <c r="F2524" s="70">
        <v>205.35</v>
      </c>
      <c r="G2524" s="320"/>
      <c r="H2524" s="79">
        <v>183.03</v>
      </c>
      <c r="I2524" s="79">
        <v>22.32</v>
      </c>
      <c r="J2524" s="79">
        <v>205.35</v>
      </c>
      <c r="K2524" s="79">
        <v>0</v>
      </c>
      <c r="L2524" s="70">
        <v>205.35</v>
      </c>
      <c r="M2524" s="132"/>
      <c r="N2524" s="79">
        <v>183.03</v>
      </c>
      <c r="O2524" s="79">
        <v>22.32</v>
      </c>
      <c r="P2524" s="79">
        <v>205.35</v>
      </c>
      <c r="Q2524" s="136"/>
      <c r="R2524" s="79">
        <v>183.03</v>
      </c>
      <c r="S2524" s="79">
        <v>22.33</v>
      </c>
      <c r="T2524" s="79">
        <v>205.36</v>
      </c>
      <c r="U2524" s="79">
        <v>0</v>
      </c>
      <c r="V2524" s="189">
        <v>205.36</v>
      </c>
      <c r="X2524" s="79">
        <v>183.03</v>
      </c>
      <c r="Y2524" s="79">
        <v>22.33</v>
      </c>
      <c r="Z2524" s="79">
        <v>205.36</v>
      </c>
      <c r="AA2524" s="255">
        <v>-1.0000000000019327E-2</v>
      </c>
      <c r="AC2524" s="254"/>
    </row>
    <row r="2525" spans="1:31" s="61" customFormat="1" ht="24">
      <c r="A2525" s="67" t="s">
        <v>15387</v>
      </c>
      <c r="B2525" s="65" t="s">
        <v>15388</v>
      </c>
      <c r="C2525" s="71" t="s">
        <v>103</v>
      </c>
      <c r="D2525" s="78">
        <v>1</v>
      </c>
      <c r="E2525" s="79">
        <v>444.25</v>
      </c>
      <c r="F2525" s="70">
        <v>444.25</v>
      </c>
      <c r="G2525" s="320"/>
      <c r="H2525" s="79">
        <v>430.28</v>
      </c>
      <c r="I2525" s="79">
        <v>13.969999999999999</v>
      </c>
      <c r="J2525" s="79">
        <v>444.25</v>
      </c>
      <c r="K2525" s="79">
        <v>0</v>
      </c>
      <c r="L2525" s="70">
        <v>444.25</v>
      </c>
      <c r="M2525" s="132"/>
      <c r="N2525" s="79">
        <v>430.28</v>
      </c>
      <c r="O2525" s="79">
        <v>13.969999999999999</v>
      </c>
      <c r="P2525" s="79">
        <v>444.25</v>
      </c>
      <c r="Q2525" s="136"/>
      <c r="R2525" s="79">
        <v>430.28</v>
      </c>
      <c r="S2525" s="79">
        <v>13.96</v>
      </c>
      <c r="T2525" s="79">
        <v>444.23999999999995</v>
      </c>
      <c r="U2525" s="79">
        <v>0</v>
      </c>
      <c r="V2525" s="189">
        <v>444.23999999999995</v>
      </c>
      <c r="X2525" s="79">
        <v>430.28</v>
      </c>
      <c r="Y2525" s="79">
        <v>13.96</v>
      </c>
      <c r="Z2525" s="79">
        <v>444.24</v>
      </c>
      <c r="AA2525" s="255">
        <v>9.9999999999909051E-3</v>
      </c>
      <c r="AC2525" s="254"/>
      <c r="AD2525" s="236"/>
      <c r="AE2525" s="236"/>
    </row>
    <row r="2526" spans="1:31" s="61" customFormat="1" ht="12">
      <c r="A2526" s="489" t="s">
        <v>15389</v>
      </c>
      <c r="B2526" s="490" t="s">
        <v>15390</v>
      </c>
      <c r="C2526" s="491"/>
      <c r="D2526" s="492"/>
      <c r="E2526" s="79"/>
      <c r="F2526" s="63"/>
      <c r="G2526" s="320"/>
      <c r="H2526" s="79"/>
      <c r="I2526" s="79"/>
      <c r="J2526" s="79"/>
      <c r="K2526" s="79"/>
      <c r="L2526" s="70"/>
      <c r="M2526" s="132"/>
      <c r="N2526" s="79"/>
      <c r="O2526" s="79"/>
      <c r="P2526" s="79"/>
      <c r="Q2526" s="136"/>
      <c r="R2526" s="79"/>
      <c r="S2526" s="79"/>
      <c r="T2526" s="79"/>
      <c r="U2526" s="79"/>
      <c r="V2526" s="189"/>
      <c r="X2526" s="79"/>
      <c r="Y2526" s="79"/>
      <c r="Z2526" s="79"/>
      <c r="AA2526" s="255"/>
      <c r="AC2526" s="254"/>
      <c r="AD2526" s="236"/>
      <c r="AE2526" s="236"/>
    </row>
    <row r="2527" spans="1:31" ht="12">
      <c r="A2527" s="67" t="s">
        <v>15391</v>
      </c>
      <c r="B2527" s="65" t="s">
        <v>15392</v>
      </c>
      <c r="C2527" s="71" t="s">
        <v>103</v>
      </c>
      <c r="D2527" s="78">
        <v>1</v>
      </c>
      <c r="E2527" s="79">
        <v>164.54</v>
      </c>
      <c r="F2527" s="70">
        <v>164.54</v>
      </c>
      <c r="G2527" s="320"/>
      <c r="H2527" s="79">
        <v>142.22</v>
      </c>
      <c r="I2527" s="79">
        <v>22.32</v>
      </c>
      <c r="J2527" s="79">
        <v>164.54</v>
      </c>
      <c r="K2527" s="79">
        <v>0</v>
      </c>
      <c r="L2527" s="70">
        <v>164.54</v>
      </c>
      <c r="M2527" s="132"/>
      <c r="N2527" s="79">
        <v>142.22</v>
      </c>
      <c r="O2527" s="79">
        <v>22.32</v>
      </c>
      <c r="P2527" s="79">
        <v>164.54</v>
      </c>
      <c r="Q2527" s="136"/>
      <c r="R2527" s="79">
        <v>142.22</v>
      </c>
      <c r="S2527" s="79">
        <v>22.33</v>
      </c>
      <c r="T2527" s="79">
        <v>164.55</v>
      </c>
      <c r="U2527" s="79">
        <v>0</v>
      </c>
      <c r="V2527" s="189">
        <v>164.55</v>
      </c>
      <c r="X2527" s="79">
        <v>142.22</v>
      </c>
      <c r="Y2527" s="79">
        <v>22.33</v>
      </c>
      <c r="Z2527" s="79">
        <v>164.55</v>
      </c>
      <c r="AA2527" s="255">
        <v>-1.0000000000019327E-2</v>
      </c>
      <c r="AC2527" s="254"/>
    </row>
    <row r="2528" spans="1:31" ht="24">
      <c r="A2528" s="67" t="s">
        <v>15393</v>
      </c>
      <c r="B2528" s="65" t="s">
        <v>15394</v>
      </c>
      <c r="C2528" s="71" t="s">
        <v>103</v>
      </c>
      <c r="D2528" s="78">
        <v>1</v>
      </c>
      <c r="E2528" s="79">
        <v>168.54</v>
      </c>
      <c r="F2528" s="70">
        <v>168.54</v>
      </c>
      <c r="G2528" s="320"/>
      <c r="H2528" s="79">
        <v>140.6</v>
      </c>
      <c r="I2528" s="79">
        <v>27.939999999999998</v>
      </c>
      <c r="J2528" s="79">
        <v>168.54</v>
      </c>
      <c r="K2528" s="79">
        <v>0</v>
      </c>
      <c r="L2528" s="70">
        <v>168.54</v>
      </c>
      <c r="M2528" s="132"/>
      <c r="N2528" s="79">
        <v>140.6</v>
      </c>
      <c r="O2528" s="79">
        <v>27.939999999999998</v>
      </c>
      <c r="P2528" s="79">
        <v>168.54</v>
      </c>
      <c r="Q2528" s="136"/>
      <c r="R2528" s="79">
        <v>140.6</v>
      </c>
      <c r="S2528" s="79">
        <v>27.92</v>
      </c>
      <c r="T2528" s="79">
        <v>168.51999999999998</v>
      </c>
      <c r="U2528" s="79">
        <v>0</v>
      </c>
      <c r="V2528" s="189">
        <v>168.51999999999998</v>
      </c>
      <c r="X2528" s="79">
        <v>140.6</v>
      </c>
      <c r="Y2528" s="79">
        <v>27.92</v>
      </c>
      <c r="Z2528" s="79">
        <v>168.52</v>
      </c>
      <c r="AA2528" s="255">
        <v>1.999999999998181E-2</v>
      </c>
      <c r="AC2528" s="254"/>
    </row>
    <row r="2529" spans="1:31" ht="12">
      <c r="A2529" s="489" t="s">
        <v>15395</v>
      </c>
      <c r="B2529" s="490" t="s">
        <v>15396</v>
      </c>
      <c r="C2529" s="491"/>
      <c r="D2529" s="492"/>
      <c r="E2529" s="79"/>
      <c r="F2529" s="63"/>
      <c r="G2529" s="320"/>
      <c r="H2529" s="79"/>
      <c r="I2529" s="79"/>
      <c r="J2529" s="79"/>
      <c r="K2529" s="79"/>
      <c r="L2529" s="70"/>
      <c r="M2529" s="132"/>
      <c r="N2529" s="79"/>
      <c r="O2529" s="79"/>
      <c r="P2529" s="79"/>
      <c r="Q2529" s="136"/>
      <c r="R2529" s="79"/>
      <c r="S2529" s="79"/>
      <c r="T2529" s="79"/>
      <c r="U2529" s="79"/>
      <c r="V2529" s="189"/>
      <c r="X2529" s="79"/>
      <c r="Y2529" s="79"/>
      <c r="Z2529" s="79"/>
      <c r="AA2529" s="255"/>
      <c r="AC2529" s="254"/>
    </row>
    <row r="2530" spans="1:31" ht="12">
      <c r="A2530" s="67" t="s">
        <v>15397</v>
      </c>
      <c r="B2530" s="65" t="s">
        <v>15398</v>
      </c>
      <c r="C2530" s="71" t="s">
        <v>103</v>
      </c>
      <c r="D2530" s="78">
        <v>1</v>
      </c>
      <c r="E2530" s="79">
        <v>110.28999999999999</v>
      </c>
      <c r="F2530" s="70">
        <v>110.29</v>
      </c>
      <c r="G2530" s="320"/>
      <c r="H2530" s="79">
        <v>65.63</v>
      </c>
      <c r="I2530" s="79">
        <v>44.66</v>
      </c>
      <c r="J2530" s="79">
        <v>110.28999999999999</v>
      </c>
      <c r="K2530" s="79">
        <v>0</v>
      </c>
      <c r="L2530" s="70">
        <v>110.28999999999999</v>
      </c>
      <c r="M2530" s="132"/>
      <c r="N2530" s="79">
        <v>65.63</v>
      </c>
      <c r="O2530" s="79">
        <v>44.66</v>
      </c>
      <c r="P2530" s="79">
        <v>110.28999999999999</v>
      </c>
      <c r="Q2530" s="136"/>
      <c r="R2530" s="79">
        <v>65.63</v>
      </c>
      <c r="S2530" s="79">
        <v>44.67</v>
      </c>
      <c r="T2530" s="79">
        <v>110.3</v>
      </c>
      <c r="U2530" s="79">
        <v>0</v>
      </c>
      <c r="V2530" s="189">
        <v>110.3</v>
      </c>
      <c r="X2530" s="79">
        <v>65.63</v>
      </c>
      <c r="Y2530" s="79">
        <v>44.67</v>
      </c>
      <c r="Z2530" s="79">
        <v>110.3</v>
      </c>
      <c r="AA2530" s="255">
        <v>-9.9999999999909051E-3</v>
      </c>
      <c r="AC2530" s="254"/>
      <c r="AD2530" s="61"/>
      <c r="AE2530" s="61"/>
    </row>
    <row r="2531" spans="1:31" ht="12">
      <c r="A2531" s="67" t="s">
        <v>15399</v>
      </c>
      <c r="B2531" s="65" t="s">
        <v>15400</v>
      </c>
      <c r="C2531" s="71" t="s">
        <v>103</v>
      </c>
      <c r="D2531" s="78">
        <v>1</v>
      </c>
      <c r="E2531" s="79">
        <v>96.44</v>
      </c>
      <c r="F2531" s="70">
        <v>96.44</v>
      </c>
      <c r="G2531" s="320"/>
      <c r="H2531" s="79">
        <v>51.78</v>
      </c>
      <c r="I2531" s="79">
        <v>44.66</v>
      </c>
      <c r="J2531" s="79">
        <v>96.44</v>
      </c>
      <c r="K2531" s="79">
        <v>0</v>
      </c>
      <c r="L2531" s="70">
        <v>96.44</v>
      </c>
      <c r="M2531" s="132"/>
      <c r="N2531" s="79">
        <v>51.78</v>
      </c>
      <c r="O2531" s="79">
        <v>44.66</v>
      </c>
      <c r="P2531" s="79">
        <v>96.44</v>
      </c>
      <c r="Q2531" s="136"/>
      <c r="R2531" s="79">
        <v>51.78</v>
      </c>
      <c r="S2531" s="79">
        <v>44.67</v>
      </c>
      <c r="T2531" s="79">
        <v>96.45</v>
      </c>
      <c r="U2531" s="79">
        <v>0</v>
      </c>
      <c r="V2531" s="189">
        <v>96.45</v>
      </c>
      <c r="X2531" s="79">
        <v>51.78</v>
      </c>
      <c r="Y2531" s="79">
        <v>44.67</v>
      </c>
      <c r="Z2531" s="79">
        <v>96.45</v>
      </c>
      <c r="AA2531" s="255">
        <v>-1.0000000000005116E-2</v>
      </c>
      <c r="AC2531" s="254"/>
      <c r="AD2531" s="61"/>
      <c r="AE2531" s="61"/>
    </row>
    <row r="2532" spans="1:31" s="61" customFormat="1" ht="12">
      <c r="A2532" s="67" t="s">
        <v>15401</v>
      </c>
      <c r="B2532" s="65" t="s">
        <v>15402</v>
      </c>
      <c r="C2532" s="71" t="s">
        <v>103</v>
      </c>
      <c r="D2532" s="78">
        <v>1</v>
      </c>
      <c r="E2532" s="79">
        <v>53.64</v>
      </c>
      <c r="F2532" s="70">
        <v>53.64</v>
      </c>
      <c r="G2532" s="320"/>
      <c r="H2532" s="79">
        <v>36.89</v>
      </c>
      <c r="I2532" s="79">
        <v>16.75</v>
      </c>
      <c r="J2532" s="79">
        <v>53.64</v>
      </c>
      <c r="K2532" s="79">
        <v>0</v>
      </c>
      <c r="L2532" s="70">
        <v>53.64</v>
      </c>
      <c r="M2532" s="132"/>
      <c r="N2532" s="79">
        <v>36.89</v>
      </c>
      <c r="O2532" s="79">
        <v>16.75</v>
      </c>
      <c r="P2532" s="79">
        <v>53.64</v>
      </c>
      <c r="Q2532" s="136"/>
      <c r="R2532" s="79">
        <v>36.89</v>
      </c>
      <c r="S2532" s="79">
        <v>16.75</v>
      </c>
      <c r="T2532" s="79">
        <v>53.64</v>
      </c>
      <c r="U2532" s="79">
        <v>0</v>
      </c>
      <c r="V2532" s="189">
        <v>53.64</v>
      </c>
      <c r="X2532" s="79">
        <v>36.89</v>
      </c>
      <c r="Y2532" s="79">
        <v>16.75</v>
      </c>
      <c r="Z2532" s="79">
        <v>53.64</v>
      </c>
      <c r="AA2532" s="255">
        <v>0</v>
      </c>
      <c r="AC2532" s="254"/>
    </row>
    <row r="2533" spans="1:31" s="61" customFormat="1" ht="12">
      <c r="A2533" s="67" t="s">
        <v>15403</v>
      </c>
      <c r="B2533" s="65" t="s">
        <v>15404</v>
      </c>
      <c r="C2533" s="71" t="s">
        <v>103</v>
      </c>
      <c r="D2533" s="78">
        <v>1</v>
      </c>
      <c r="E2533" s="79">
        <v>140.32</v>
      </c>
      <c r="F2533" s="70">
        <v>140.32</v>
      </c>
      <c r="G2533" s="320"/>
      <c r="H2533" s="79">
        <v>123.57</v>
      </c>
      <c r="I2533" s="79">
        <v>16.75</v>
      </c>
      <c r="J2533" s="79">
        <v>140.32</v>
      </c>
      <c r="K2533" s="79">
        <v>0</v>
      </c>
      <c r="L2533" s="70">
        <v>140.32</v>
      </c>
      <c r="M2533" s="132"/>
      <c r="N2533" s="79">
        <v>123.57</v>
      </c>
      <c r="O2533" s="79">
        <v>16.75</v>
      </c>
      <c r="P2533" s="79">
        <v>140.32</v>
      </c>
      <c r="Q2533" s="136"/>
      <c r="R2533" s="79">
        <v>123.57</v>
      </c>
      <c r="S2533" s="79">
        <v>16.75</v>
      </c>
      <c r="T2533" s="79">
        <v>140.32</v>
      </c>
      <c r="U2533" s="79">
        <v>0</v>
      </c>
      <c r="V2533" s="189">
        <v>140.32</v>
      </c>
      <c r="X2533" s="79">
        <v>123.57</v>
      </c>
      <c r="Y2533" s="79">
        <v>16.75</v>
      </c>
      <c r="Z2533" s="79">
        <v>140.32</v>
      </c>
      <c r="AA2533" s="255">
        <v>0</v>
      </c>
      <c r="AC2533" s="254"/>
    </row>
    <row r="2534" spans="1:31" s="61" customFormat="1" ht="12">
      <c r="A2534" s="67" t="s">
        <v>15405</v>
      </c>
      <c r="B2534" s="65" t="s">
        <v>15406</v>
      </c>
      <c r="C2534" s="71" t="s">
        <v>103</v>
      </c>
      <c r="D2534" s="78">
        <v>1</v>
      </c>
      <c r="E2534" s="79">
        <v>474.03</v>
      </c>
      <c r="F2534" s="70">
        <v>474.03</v>
      </c>
      <c r="G2534" s="320"/>
      <c r="H2534" s="79">
        <v>457.28</v>
      </c>
      <c r="I2534" s="79">
        <v>16.75</v>
      </c>
      <c r="J2534" s="79">
        <v>474.03</v>
      </c>
      <c r="K2534" s="79">
        <v>0</v>
      </c>
      <c r="L2534" s="70">
        <v>474.03</v>
      </c>
      <c r="M2534" s="132"/>
      <c r="N2534" s="79">
        <v>457.28</v>
      </c>
      <c r="O2534" s="79">
        <v>16.75</v>
      </c>
      <c r="P2534" s="79">
        <v>474.03</v>
      </c>
      <c r="Q2534" s="136"/>
      <c r="R2534" s="79">
        <v>457.28</v>
      </c>
      <c r="S2534" s="79">
        <v>16.75</v>
      </c>
      <c r="T2534" s="79">
        <v>474.03</v>
      </c>
      <c r="U2534" s="79">
        <v>0</v>
      </c>
      <c r="V2534" s="189">
        <v>474.03</v>
      </c>
      <c r="X2534" s="79">
        <v>457.28</v>
      </c>
      <c r="Y2534" s="79">
        <v>16.75</v>
      </c>
      <c r="Z2534" s="79">
        <v>474.03</v>
      </c>
      <c r="AA2534" s="255">
        <v>0</v>
      </c>
      <c r="AC2534" s="254"/>
      <c r="AD2534" s="236"/>
      <c r="AE2534" s="236"/>
    </row>
    <row r="2535" spans="1:31" s="61" customFormat="1" ht="12">
      <c r="A2535" s="67" t="s">
        <v>15407</v>
      </c>
      <c r="B2535" s="65" t="s">
        <v>15408</v>
      </c>
      <c r="C2535" s="71" t="s">
        <v>103</v>
      </c>
      <c r="D2535" s="78">
        <v>1</v>
      </c>
      <c r="E2535" s="79">
        <v>6.01</v>
      </c>
      <c r="F2535" s="70">
        <v>6.01</v>
      </c>
      <c r="G2535" s="320"/>
      <c r="H2535" s="79">
        <v>4.18</v>
      </c>
      <c r="I2535" s="79">
        <v>1.83</v>
      </c>
      <c r="J2535" s="79">
        <v>6.01</v>
      </c>
      <c r="K2535" s="79">
        <v>0</v>
      </c>
      <c r="L2535" s="70">
        <v>6.01</v>
      </c>
      <c r="M2535" s="132"/>
      <c r="N2535" s="79">
        <v>4.18</v>
      </c>
      <c r="O2535" s="79">
        <v>1.83</v>
      </c>
      <c r="P2535" s="79">
        <v>6.01</v>
      </c>
      <c r="Q2535" s="136"/>
      <c r="R2535" s="79">
        <v>4.18</v>
      </c>
      <c r="S2535" s="79">
        <v>1.82</v>
      </c>
      <c r="T2535" s="79">
        <v>6</v>
      </c>
      <c r="U2535" s="79">
        <v>0</v>
      </c>
      <c r="V2535" s="189">
        <v>6</v>
      </c>
      <c r="X2535" s="79">
        <v>4.18</v>
      </c>
      <c r="Y2535" s="79">
        <v>1.82</v>
      </c>
      <c r="Z2535" s="79">
        <v>6</v>
      </c>
      <c r="AA2535" s="255">
        <v>9.9999999999997868E-3</v>
      </c>
      <c r="AC2535" s="254"/>
      <c r="AD2535" s="236"/>
      <c r="AE2535" s="236"/>
    </row>
    <row r="2536" spans="1:31" ht="12">
      <c r="A2536" s="67" t="s">
        <v>15409</v>
      </c>
      <c r="B2536" s="65" t="s">
        <v>15410</v>
      </c>
      <c r="C2536" s="71" t="s">
        <v>103</v>
      </c>
      <c r="D2536" s="78">
        <v>1</v>
      </c>
      <c r="E2536" s="79">
        <v>11.51</v>
      </c>
      <c r="F2536" s="70">
        <v>11.51</v>
      </c>
      <c r="G2536" s="320"/>
      <c r="H2536" s="79">
        <v>9.68</v>
      </c>
      <c r="I2536" s="79">
        <v>1.83</v>
      </c>
      <c r="J2536" s="79">
        <v>11.51</v>
      </c>
      <c r="K2536" s="79">
        <v>0</v>
      </c>
      <c r="L2536" s="70">
        <v>11.51</v>
      </c>
      <c r="M2536" s="132"/>
      <c r="N2536" s="79">
        <v>9.68</v>
      </c>
      <c r="O2536" s="79">
        <v>1.83</v>
      </c>
      <c r="P2536" s="79">
        <v>11.51</v>
      </c>
      <c r="Q2536" s="136"/>
      <c r="R2536" s="79">
        <v>9.68</v>
      </c>
      <c r="S2536" s="79">
        <v>1.82</v>
      </c>
      <c r="T2536" s="79">
        <v>11.5</v>
      </c>
      <c r="U2536" s="79">
        <v>0</v>
      </c>
      <c r="V2536" s="189">
        <v>11.5</v>
      </c>
      <c r="X2536" s="79">
        <v>9.68</v>
      </c>
      <c r="Y2536" s="79">
        <v>1.82</v>
      </c>
      <c r="Z2536" s="79">
        <v>11.5</v>
      </c>
      <c r="AA2536" s="255">
        <v>9.9999999999997868E-3</v>
      </c>
      <c r="AC2536" s="254"/>
    </row>
    <row r="2537" spans="1:31" ht="12">
      <c r="A2537" s="67" t="s">
        <v>15411</v>
      </c>
      <c r="B2537" s="65" t="s">
        <v>15412</v>
      </c>
      <c r="C2537" s="71" t="s">
        <v>103</v>
      </c>
      <c r="D2537" s="78">
        <v>1</v>
      </c>
      <c r="E2537" s="79">
        <v>67.08</v>
      </c>
      <c r="F2537" s="70">
        <v>67.08</v>
      </c>
      <c r="G2537" s="320"/>
      <c r="H2537" s="79">
        <v>44.76</v>
      </c>
      <c r="I2537" s="79">
        <v>22.32</v>
      </c>
      <c r="J2537" s="79">
        <v>67.08</v>
      </c>
      <c r="K2537" s="79">
        <v>0</v>
      </c>
      <c r="L2537" s="70">
        <v>67.08</v>
      </c>
      <c r="M2537" s="132"/>
      <c r="N2537" s="79">
        <v>44.76</v>
      </c>
      <c r="O2537" s="79">
        <v>22.32</v>
      </c>
      <c r="P2537" s="79">
        <v>67.08</v>
      </c>
      <c r="Q2537" s="136"/>
      <c r="R2537" s="79">
        <v>44.76</v>
      </c>
      <c r="S2537" s="79">
        <v>22.33</v>
      </c>
      <c r="T2537" s="79">
        <v>67.09</v>
      </c>
      <c r="U2537" s="79">
        <v>0</v>
      </c>
      <c r="V2537" s="189">
        <v>67.09</v>
      </c>
      <c r="X2537" s="79">
        <v>44.76</v>
      </c>
      <c r="Y2537" s="79">
        <v>22.33</v>
      </c>
      <c r="Z2537" s="79">
        <v>67.09</v>
      </c>
      <c r="AA2537" s="255">
        <v>-1.0000000000005116E-2</v>
      </c>
      <c r="AC2537" s="254"/>
    </row>
    <row r="2538" spans="1:31" ht="12">
      <c r="A2538" s="67" t="s">
        <v>15413</v>
      </c>
      <c r="B2538" s="65" t="s">
        <v>15414</v>
      </c>
      <c r="C2538" s="71" t="s">
        <v>103</v>
      </c>
      <c r="D2538" s="78">
        <v>1</v>
      </c>
      <c r="E2538" s="79">
        <v>20.67</v>
      </c>
      <c r="F2538" s="70">
        <v>20.67</v>
      </c>
      <c r="G2538" s="320"/>
      <c r="H2538" s="79">
        <v>9.51</v>
      </c>
      <c r="I2538" s="79">
        <v>11.16</v>
      </c>
      <c r="J2538" s="79">
        <v>20.67</v>
      </c>
      <c r="K2538" s="79">
        <v>0</v>
      </c>
      <c r="L2538" s="70">
        <v>20.67</v>
      </c>
      <c r="M2538" s="132"/>
      <c r="N2538" s="79">
        <v>9.51</v>
      </c>
      <c r="O2538" s="79">
        <v>11.16</v>
      </c>
      <c r="P2538" s="79">
        <v>20.67</v>
      </c>
      <c r="Q2538" s="136"/>
      <c r="R2538" s="79">
        <v>9.51</v>
      </c>
      <c r="S2538" s="79">
        <v>11.16</v>
      </c>
      <c r="T2538" s="79">
        <v>20.67</v>
      </c>
      <c r="U2538" s="79">
        <v>0</v>
      </c>
      <c r="V2538" s="189">
        <v>20.67</v>
      </c>
      <c r="X2538" s="79">
        <v>9.51</v>
      </c>
      <c r="Y2538" s="79">
        <v>11.16</v>
      </c>
      <c r="Z2538" s="79">
        <v>20.67</v>
      </c>
      <c r="AA2538" s="255">
        <v>0</v>
      </c>
      <c r="AC2538" s="254"/>
    </row>
    <row r="2539" spans="1:31" ht="12">
      <c r="A2539" s="67" t="s">
        <v>15415</v>
      </c>
      <c r="B2539" s="65" t="s">
        <v>15416</v>
      </c>
      <c r="C2539" s="71" t="s">
        <v>103</v>
      </c>
      <c r="D2539" s="78">
        <v>1</v>
      </c>
      <c r="E2539" s="79">
        <v>22.09</v>
      </c>
      <c r="F2539" s="70">
        <v>22.09</v>
      </c>
      <c r="G2539" s="320"/>
      <c r="H2539" s="79">
        <v>10.93</v>
      </c>
      <c r="I2539" s="79">
        <v>11.16</v>
      </c>
      <c r="J2539" s="79">
        <v>22.09</v>
      </c>
      <c r="K2539" s="79">
        <v>0</v>
      </c>
      <c r="L2539" s="70">
        <v>22.09</v>
      </c>
      <c r="M2539" s="132"/>
      <c r="N2539" s="79">
        <v>10.93</v>
      </c>
      <c r="O2539" s="79">
        <v>11.16</v>
      </c>
      <c r="P2539" s="79">
        <v>22.09</v>
      </c>
      <c r="Q2539" s="136"/>
      <c r="R2539" s="79">
        <v>10.93</v>
      </c>
      <c r="S2539" s="79">
        <v>11.16</v>
      </c>
      <c r="T2539" s="79">
        <v>22.09</v>
      </c>
      <c r="U2539" s="79">
        <v>0</v>
      </c>
      <c r="V2539" s="189">
        <v>22.09</v>
      </c>
      <c r="X2539" s="79">
        <v>10.93</v>
      </c>
      <c r="Y2539" s="79">
        <v>11.16</v>
      </c>
      <c r="Z2539" s="79">
        <v>22.09</v>
      </c>
      <c r="AA2539" s="255">
        <v>0</v>
      </c>
      <c r="AC2539" s="254"/>
    </row>
    <row r="2540" spans="1:31" ht="12">
      <c r="A2540" s="67" t="s">
        <v>15417</v>
      </c>
      <c r="B2540" s="65" t="s">
        <v>15418</v>
      </c>
      <c r="C2540" s="71" t="s">
        <v>103</v>
      </c>
      <c r="D2540" s="78">
        <v>1</v>
      </c>
      <c r="E2540" s="79">
        <v>514.07000000000005</v>
      </c>
      <c r="F2540" s="70">
        <v>514.07000000000005</v>
      </c>
      <c r="G2540" s="320"/>
      <c r="H2540" s="79">
        <v>458.24</v>
      </c>
      <c r="I2540" s="79">
        <v>55.83</v>
      </c>
      <c r="J2540" s="79">
        <v>514.07000000000005</v>
      </c>
      <c r="K2540" s="79">
        <v>0</v>
      </c>
      <c r="L2540" s="70">
        <v>514.07000000000005</v>
      </c>
      <c r="M2540" s="132"/>
      <c r="N2540" s="79">
        <v>458.24</v>
      </c>
      <c r="O2540" s="79">
        <v>55.83</v>
      </c>
      <c r="P2540" s="79">
        <v>514.07000000000005</v>
      </c>
      <c r="Q2540" s="136"/>
      <c r="R2540" s="79">
        <v>458.24</v>
      </c>
      <c r="S2540" s="79">
        <v>55.83</v>
      </c>
      <c r="T2540" s="79">
        <v>514.07000000000005</v>
      </c>
      <c r="U2540" s="79">
        <v>0</v>
      </c>
      <c r="V2540" s="189">
        <v>514.07000000000005</v>
      </c>
      <c r="X2540" s="79">
        <v>458.24</v>
      </c>
      <c r="Y2540" s="79">
        <v>55.83</v>
      </c>
      <c r="Z2540" s="79">
        <v>514.07000000000005</v>
      </c>
      <c r="AA2540" s="255">
        <v>0</v>
      </c>
      <c r="AC2540" s="254"/>
    </row>
    <row r="2541" spans="1:31" ht="12">
      <c r="A2541" s="67" t="s">
        <v>15419</v>
      </c>
      <c r="B2541" s="65" t="s">
        <v>15420</v>
      </c>
      <c r="C2541" s="71" t="s">
        <v>103</v>
      </c>
      <c r="D2541" s="78">
        <v>1</v>
      </c>
      <c r="E2541" s="79">
        <v>121.3</v>
      </c>
      <c r="F2541" s="70">
        <v>121.3</v>
      </c>
      <c r="G2541" s="320"/>
      <c r="H2541" s="79">
        <v>104.55</v>
      </c>
      <c r="I2541" s="79">
        <v>16.75</v>
      </c>
      <c r="J2541" s="79">
        <v>121.3</v>
      </c>
      <c r="K2541" s="79">
        <v>0</v>
      </c>
      <c r="L2541" s="70">
        <v>121.3</v>
      </c>
      <c r="M2541" s="132"/>
      <c r="N2541" s="79">
        <v>104.55</v>
      </c>
      <c r="O2541" s="79">
        <v>16.75</v>
      </c>
      <c r="P2541" s="79">
        <v>121.3</v>
      </c>
      <c r="Q2541" s="136"/>
      <c r="R2541" s="79">
        <v>104.55</v>
      </c>
      <c r="S2541" s="79">
        <v>16.75</v>
      </c>
      <c r="T2541" s="79">
        <v>121.3</v>
      </c>
      <c r="U2541" s="79">
        <v>0</v>
      </c>
      <c r="V2541" s="189">
        <v>121.3</v>
      </c>
      <c r="X2541" s="79">
        <v>104.55</v>
      </c>
      <c r="Y2541" s="79">
        <v>16.75</v>
      </c>
      <c r="Z2541" s="79">
        <v>121.3</v>
      </c>
      <c r="AA2541" s="255">
        <v>0</v>
      </c>
      <c r="AC2541" s="254"/>
    </row>
    <row r="2542" spans="1:31" ht="12">
      <c r="A2542" s="67" t="s">
        <v>15421</v>
      </c>
      <c r="B2542" s="65" t="s">
        <v>15422</v>
      </c>
      <c r="C2542" s="71" t="s">
        <v>103</v>
      </c>
      <c r="D2542" s="78">
        <v>1</v>
      </c>
      <c r="E2542" s="79">
        <v>79.740000000000009</v>
      </c>
      <c r="F2542" s="70">
        <v>79.739999999999995</v>
      </c>
      <c r="G2542" s="320"/>
      <c r="H2542" s="79">
        <v>54.38</v>
      </c>
      <c r="I2542" s="79">
        <v>25.36</v>
      </c>
      <c r="J2542" s="79">
        <v>79.740000000000009</v>
      </c>
      <c r="K2542" s="79">
        <v>0</v>
      </c>
      <c r="L2542" s="70">
        <v>79.740000000000009</v>
      </c>
      <c r="M2542" s="132"/>
      <c r="N2542" s="79">
        <v>54.38</v>
      </c>
      <c r="O2542" s="79">
        <v>25.36</v>
      </c>
      <c r="P2542" s="79">
        <v>79.740000000000009</v>
      </c>
      <c r="Q2542" s="136"/>
      <c r="R2542" s="79">
        <v>54.38</v>
      </c>
      <c r="S2542" s="79">
        <v>25.36</v>
      </c>
      <c r="T2542" s="79">
        <v>79.740000000000009</v>
      </c>
      <c r="U2542" s="79">
        <v>0</v>
      </c>
      <c r="V2542" s="189">
        <v>79.740000000000009</v>
      </c>
      <c r="X2542" s="79">
        <v>54.38</v>
      </c>
      <c r="Y2542" s="79">
        <v>25.36</v>
      </c>
      <c r="Z2542" s="79">
        <v>79.739999999999995</v>
      </c>
      <c r="AA2542" s="255">
        <v>0</v>
      </c>
      <c r="AC2542" s="254"/>
    </row>
    <row r="2543" spans="1:31" ht="12">
      <c r="A2543" s="67" t="s">
        <v>15423</v>
      </c>
      <c r="B2543" s="65" t="s">
        <v>15424</v>
      </c>
      <c r="C2543" s="71" t="s">
        <v>103</v>
      </c>
      <c r="D2543" s="78">
        <v>1</v>
      </c>
      <c r="E2543" s="79">
        <v>71.92</v>
      </c>
      <c r="F2543" s="70">
        <v>71.92</v>
      </c>
      <c r="G2543" s="320"/>
      <c r="H2543" s="79">
        <v>46.56</v>
      </c>
      <c r="I2543" s="79">
        <v>25.36</v>
      </c>
      <c r="J2543" s="79">
        <v>71.92</v>
      </c>
      <c r="K2543" s="79">
        <v>0</v>
      </c>
      <c r="L2543" s="70">
        <v>71.92</v>
      </c>
      <c r="M2543" s="132"/>
      <c r="N2543" s="79">
        <v>46.56</v>
      </c>
      <c r="O2543" s="79">
        <v>25.36</v>
      </c>
      <c r="P2543" s="79">
        <v>71.92</v>
      </c>
      <c r="Q2543" s="136"/>
      <c r="R2543" s="79">
        <v>46.56</v>
      </c>
      <c r="S2543" s="79">
        <v>25.36</v>
      </c>
      <c r="T2543" s="79">
        <v>71.92</v>
      </c>
      <c r="U2543" s="79">
        <v>0</v>
      </c>
      <c r="V2543" s="189">
        <v>71.92</v>
      </c>
      <c r="X2543" s="79">
        <v>46.56</v>
      </c>
      <c r="Y2543" s="79">
        <v>25.36</v>
      </c>
      <c r="Z2543" s="79">
        <v>71.92</v>
      </c>
      <c r="AA2543" s="255">
        <v>0</v>
      </c>
      <c r="AC2543" s="254"/>
    </row>
    <row r="2544" spans="1:31" ht="12">
      <c r="A2544" s="489" t="s">
        <v>15425</v>
      </c>
      <c r="B2544" s="490" t="s">
        <v>15426</v>
      </c>
      <c r="C2544" s="491"/>
      <c r="D2544" s="492"/>
      <c r="E2544" s="79"/>
      <c r="F2544" s="63"/>
      <c r="G2544" s="320"/>
      <c r="H2544" s="79"/>
      <c r="I2544" s="79"/>
      <c r="J2544" s="79"/>
      <c r="K2544" s="79"/>
      <c r="L2544" s="70"/>
      <c r="M2544" s="132"/>
      <c r="N2544" s="79"/>
      <c r="O2544" s="79"/>
      <c r="P2544" s="79"/>
      <c r="Q2544" s="136"/>
      <c r="R2544" s="79"/>
      <c r="S2544" s="79"/>
      <c r="T2544" s="79"/>
      <c r="U2544" s="79"/>
      <c r="V2544" s="189"/>
      <c r="X2544" s="79"/>
      <c r="Y2544" s="79"/>
      <c r="Z2544" s="79"/>
      <c r="AA2544" s="255"/>
      <c r="AC2544" s="254"/>
    </row>
    <row r="2545" spans="1:31" ht="12">
      <c r="A2545" s="489" t="s">
        <v>15427</v>
      </c>
      <c r="B2545" s="490" t="s">
        <v>15428</v>
      </c>
      <c r="C2545" s="491"/>
      <c r="D2545" s="492"/>
      <c r="E2545" s="79"/>
      <c r="F2545" s="63"/>
      <c r="G2545" s="320"/>
      <c r="H2545" s="79"/>
      <c r="I2545" s="79"/>
      <c r="J2545" s="79"/>
      <c r="K2545" s="79"/>
      <c r="L2545" s="70"/>
      <c r="M2545" s="132"/>
      <c r="N2545" s="79"/>
      <c r="O2545" s="79"/>
      <c r="P2545" s="79"/>
      <c r="Q2545" s="136"/>
      <c r="R2545" s="79"/>
      <c r="S2545" s="79"/>
      <c r="T2545" s="79"/>
      <c r="U2545" s="79"/>
      <c r="V2545" s="189"/>
      <c r="X2545" s="79"/>
      <c r="Y2545" s="79"/>
      <c r="Z2545" s="79"/>
      <c r="AA2545" s="255"/>
      <c r="AC2545" s="254"/>
    </row>
    <row r="2546" spans="1:31" ht="12">
      <c r="A2546" s="67" t="s">
        <v>15429</v>
      </c>
      <c r="B2546" s="65" t="s">
        <v>15430</v>
      </c>
      <c r="C2546" s="71" t="s">
        <v>103</v>
      </c>
      <c r="D2546" s="78">
        <v>1</v>
      </c>
      <c r="E2546" s="79">
        <v>20.64</v>
      </c>
      <c r="F2546" s="70">
        <v>20.64</v>
      </c>
      <c r="G2546" s="320"/>
      <c r="H2546" s="79">
        <v>16.100000000000001</v>
      </c>
      <c r="I2546" s="79">
        <v>4.54</v>
      </c>
      <c r="J2546" s="79">
        <v>20.64</v>
      </c>
      <c r="K2546" s="79">
        <v>0</v>
      </c>
      <c r="L2546" s="70">
        <v>20.64</v>
      </c>
      <c r="M2546" s="132"/>
      <c r="N2546" s="79">
        <v>16.100000000000001</v>
      </c>
      <c r="O2546" s="79">
        <v>4.54</v>
      </c>
      <c r="P2546" s="79">
        <v>20.64</v>
      </c>
      <c r="Q2546" s="136"/>
      <c r="R2546" s="79">
        <v>16.100000000000001</v>
      </c>
      <c r="S2546" s="79">
        <v>4.54</v>
      </c>
      <c r="T2546" s="79">
        <v>20.64</v>
      </c>
      <c r="U2546" s="79">
        <v>0</v>
      </c>
      <c r="V2546" s="189">
        <v>20.64</v>
      </c>
      <c r="X2546" s="79">
        <v>16.100000000000001</v>
      </c>
      <c r="Y2546" s="79">
        <v>4.54</v>
      </c>
      <c r="Z2546" s="79">
        <v>20.64</v>
      </c>
      <c r="AA2546" s="255">
        <v>0</v>
      </c>
      <c r="AC2546" s="254"/>
    </row>
    <row r="2547" spans="1:31" ht="12">
      <c r="A2547" s="67" t="s">
        <v>15431</v>
      </c>
      <c r="B2547" s="65" t="s">
        <v>15432</v>
      </c>
      <c r="C2547" s="71" t="s">
        <v>103</v>
      </c>
      <c r="D2547" s="78">
        <v>1</v>
      </c>
      <c r="E2547" s="79">
        <v>22.21</v>
      </c>
      <c r="F2547" s="70">
        <v>22.21</v>
      </c>
      <c r="G2547" s="320"/>
      <c r="H2547" s="79">
        <v>17.670000000000002</v>
      </c>
      <c r="I2547" s="79">
        <v>4.54</v>
      </c>
      <c r="J2547" s="79">
        <v>22.21</v>
      </c>
      <c r="K2547" s="79">
        <v>0</v>
      </c>
      <c r="L2547" s="70">
        <v>22.21</v>
      </c>
      <c r="M2547" s="132"/>
      <c r="N2547" s="79">
        <v>17.670000000000002</v>
      </c>
      <c r="O2547" s="79">
        <v>4.54</v>
      </c>
      <c r="P2547" s="79">
        <v>22.21</v>
      </c>
      <c r="Q2547" s="136"/>
      <c r="R2547" s="79">
        <v>17.670000000000002</v>
      </c>
      <c r="S2547" s="79">
        <v>4.54</v>
      </c>
      <c r="T2547" s="79">
        <v>22.21</v>
      </c>
      <c r="U2547" s="79">
        <v>0</v>
      </c>
      <c r="V2547" s="189">
        <v>22.21</v>
      </c>
      <c r="X2547" s="79">
        <v>17.670000000000002</v>
      </c>
      <c r="Y2547" s="79">
        <v>4.54</v>
      </c>
      <c r="Z2547" s="79">
        <v>22.21</v>
      </c>
      <c r="AA2547" s="255">
        <v>0</v>
      </c>
      <c r="AC2547" s="254"/>
    </row>
    <row r="2548" spans="1:31" ht="12">
      <c r="A2548" s="67" t="s">
        <v>15433</v>
      </c>
      <c r="B2548" s="65" t="s">
        <v>15434</v>
      </c>
      <c r="C2548" s="71" t="s">
        <v>103</v>
      </c>
      <c r="D2548" s="78">
        <v>1</v>
      </c>
      <c r="E2548" s="79">
        <v>56.81</v>
      </c>
      <c r="F2548" s="70">
        <v>56.81</v>
      </c>
      <c r="G2548" s="320"/>
      <c r="H2548" s="79">
        <v>52.27</v>
      </c>
      <c r="I2548" s="79">
        <v>4.54</v>
      </c>
      <c r="J2548" s="79">
        <v>56.81</v>
      </c>
      <c r="K2548" s="79">
        <v>0</v>
      </c>
      <c r="L2548" s="70">
        <v>56.81</v>
      </c>
      <c r="M2548" s="132"/>
      <c r="N2548" s="79">
        <v>52.27</v>
      </c>
      <c r="O2548" s="79">
        <v>4.54</v>
      </c>
      <c r="P2548" s="79">
        <v>56.81</v>
      </c>
      <c r="Q2548" s="136"/>
      <c r="R2548" s="79">
        <v>52.27</v>
      </c>
      <c r="S2548" s="79">
        <v>4.54</v>
      </c>
      <c r="T2548" s="79">
        <v>56.81</v>
      </c>
      <c r="U2548" s="79">
        <v>0</v>
      </c>
      <c r="V2548" s="189">
        <v>56.81</v>
      </c>
      <c r="X2548" s="79">
        <v>52.27</v>
      </c>
      <c r="Y2548" s="79">
        <v>4.54</v>
      </c>
      <c r="Z2548" s="79">
        <v>56.81</v>
      </c>
      <c r="AA2548" s="255">
        <v>0</v>
      </c>
      <c r="AC2548" s="254"/>
    </row>
    <row r="2549" spans="1:31" ht="12">
      <c r="A2549" s="67" t="s">
        <v>15435</v>
      </c>
      <c r="B2549" s="65" t="s">
        <v>15436</v>
      </c>
      <c r="C2549" s="71" t="s">
        <v>103</v>
      </c>
      <c r="D2549" s="78">
        <v>1</v>
      </c>
      <c r="E2549" s="79">
        <v>19.47</v>
      </c>
      <c r="F2549" s="70">
        <v>19.47</v>
      </c>
      <c r="G2549" s="320"/>
      <c r="H2549" s="79">
        <v>14.93</v>
      </c>
      <c r="I2549" s="79">
        <v>4.54</v>
      </c>
      <c r="J2549" s="79">
        <v>19.47</v>
      </c>
      <c r="K2549" s="79">
        <v>0</v>
      </c>
      <c r="L2549" s="70">
        <v>19.47</v>
      </c>
      <c r="M2549" s="132"/>
      <c r="N2549" s="79">
        <v>14.93</v>
      </c>
      <c r="O2549" s="79">
        <v>4.54</v>
      </c>
      <c r="P2549" s="79">
        <v>19.47</v>
      </c>
      <c r="Q2549" s="136"/>
      <c r="R2549" s="79">
        <v>14.93</v>
      </c>
      <c r="S2549" s="79">
        <v>4.54</v>
      </c>
      <c r="T2549" s="79">
        <v>19.47</v>
      </c>
      <c r="U2549" s="79">
        <v>0</v>
      </c>
      <c r="V2549" s="189">
        <v>19.47</v>
      </c>
      <c r="X2549" s="79">
        <v>14.93</v>
      </c>
      <c r="Y2549" s="79">
        <v>4.54</v>
      </c>
      <c r="Z2549" s="79">
        <v>19.47</v>
      </c>
      <c r="AA2549" s="255">
        <v>0</v>
      </c>
      <c r="AC2549" s="254"/>
    </row>
    <row r="2550" spans="1:31" ht="12">
      <c r="A2550" s="489" t="s">
        <v>15437</v>
      </c>
      <c r="B2550" s="490" t="s">
        <v>15438</v>
      </c>
      <c r="C2550" s="491"/>
      <c r="D2550" s="492"/>
      <c r="E2550" s="79"/>
      <c r="F2550" s="63"/>
      <c r="G2550" s="320"/>
      <c r="H2550" s="79"/>
      <c r="I2550" s="79"/>
      <c r="J2550" s="79"/>
      <c r="K2550" s="79"/>
      <c r="L2550" s="70"/>
      <c r="M2550" s="132"/>
      <c r="N2550" s="79"/>
      <c r="O2550" s="79"/>
      <c r="P2550" s="79"/>
      <c r="Q2550" s="136"/>
      <c r="R2550" s="79"/>
      <c r="S2550" s="79"/>
      <c r="T2550" s="79"/>
      <c r="U2550" s="79"/>
      <c r="V2550" s="189"/>
      <c r="X2550" s="79"/>
      <c r="Y2550" s="79"/>
      <c r="Z2550" s="79"/>
      <c r="AA2550" s="255"/>
      <c r="AC2550" s="254"/>
    </row>
    <row r="2551" spans="1:31" ht="12">
      <c r="A2551" s="67" t="s">
        <v>15439</v>
      </c>
      <c r="B2551" s="65" t="s">
        <v>15440</v>
      </c>
      <c r="C2551" s="71" t="s">
        <v>103</v>
      </c>
      <c r="D2551" s="78">
        <v>1</v>
      </c>
      <c r="E2551" s="79">
        <v>12.46</v>
      </c>
      <c r="F2551" s="70">
        <v>12.46</v>
      </c>
      <c r="G2551" s="320"/>
      <c r="H2551" s="79">
        <v>8.01</v>
      </c>
      <c r="I2551" s="79">
        <v>4.45</v>
      </c>
      <c r="J2551" s="79">
        <v>12.46</v>
      </c>
      <c r="K2551" s="79">
        <v>0</v>
      </c>
      <c r="L2551" s="70">
        <v>12.46</v>
      </c>
      <c r="M2551" s="132"/>
      <c r="N2551" s="79">
        <v>8.01</v>
      </c>
      <c r="O2551" s="79">
        <v>4.45</v>
      </c>
      <c r="P2551" s="79">
        <v>12.46</v>
      </c>
      <c r="Q2551" s="136"/>
      <c r="R2551" s="79">
        <v>8.01</v>
      </c>
      <c r="S2551" s="79">
        <v>4.45</v>
      </c>
      <c r="T2551" s="79">
        <v>12.46</v>
      </c>
      <c r="U2551" s="79">
        <v>0</v>
      </c>
      <c r="V2551" s="189">
        <v>12.46</v>
      </c>
      <c r="X2551" s="79">
        <v>8.01</v>
      </c>
      <c r="Y2551" s="79">
        <v>4.45</v>
      </c>
      <c r="Z2551" s="79">
        <v>12.46</v>
      </c>
      <c r="AA2551" s="255">
        <v>0</v>
      </c>
      <c r="AC2551" s="254"/>
    </row>
    <row r="2552" spans="1:31" ht="24">
      <c r="A2552" s="67" t="s">
        <v>15441</v>
      </c>
      <c r="B2552" s="65" t="s">
        <v>15442</v>
      </c>
      <c r="C2552" s="71" t="s">
        <v>165</v>
      </c>
      <c r="D2552" s="78">
        <v>1</v>
      </c>
      <c r="E2552" s="79">
        <v>107.57999999999998</v>
      </c>
      <c r="F2552" s="70">
        <v>107.58</v>
      </c>
      <c r="G2552" s="320"/>
      <c r="H2552" s="79">
        <v>85.259999999999991</v>
      </c>
      <c r="I2552" s="79">
        <v>22.32</v>
      </c>
      <c r="J2552" s="79">
        <v>107.57999999999998</v>
      </c>
      <c r="K2552" s="79">
        <v>0</v>
      </c>
      <c r="L2552" s="70">
        <v>107.57999999999998</v>
      </c>
      <c r="M2552" s="132"/>
      <c r="N2552" s="79">
        <v>85.259999999999991</v>
      </c>
      <c r="O2552" s="79">
        <v>22.32</v>
      </c>
      <c r="P2552" s="79">
        <v>107.57999999999998</v>
      </c>
      <c r="Q2552" s="136"/>
      <c r="R2552" s="79">
        <v>85.26</v>
      </c>
      <c r="S2552" s="79">
        <v>22.33</v>
      </c>
      <c r="T2552" s="79">
        <v>107.59</v>
      </c>
      <c r="U2552" s="79">
        <v>0</v>
      </c>
      <c r="V2552" s="189">
        <v>107.59</v>
      </c>
      <c r="X2552" s="79">
        <v>85.26</v>
      </c>
      <c r="Y2552" s="79">
        <v>22.33</v>
      </c>
      <c r="Z2552" s="79">
        <v>107.59</v>
      </c>
      <c r="AA2552" s="255">
        <v>-1.0000000000005116E-2</v>
      </c>
      <c r="AC2552" s="254"/>
    </row>
    <row r="2553" spans="1:31" ht="12">
      <c r="A2553" s="489" t="s">
        <v>15443</v>
      </c>
      <c r="B2553" s="490" t="s">
        <v>15444</v>
      </c>
      <c r="C2553" s="491"/>
      <c r="D2553" s="492"/>
      <c r="E2553" s="79"/>
      <c r="F2553" s="63"/>
      <c r="G2553" s="320"/>
      <c r="H2553" s="79"/>
      <c r="I2553" s="79"/>
      <c r="J2553" s="79"/>
      <c r="K2553" s="79"/>
      <c r="L2553" s="70"/>
      <c r="M2553" s="132"/>
      <c r="N2553" s="79"/>
      <c r="O2553" s="79"/>
      <c r="P2553" s="79"/>
      <c r="Q2553" s="136"/>
      <c r="R2553" s="79"/>
      <c r="S2553" s="79"/>
      <c r="T2553" s="79"/>
      <c r="U2553" s="79"/>
      <c r="V2553" s="189"/>
      <c r="X2553" s="79"/>
      <c r="Y2553" s="79"/>
      <c r="Z2553" s="79"/>
      <c r="AA2553" s="255"/>
      <c r="AC2553" s="254"/>
    </row>
    <row r="2554" spans="1:31" ht="12">
      <c r="A2554" s="67" t="s">
        <v>15445</v>
      </c>
      <c r="B2554" s="65" t="s">
        <v>15446</v>
      </c>
      <c r="C2554" s="71" t="s">
        <v>103</v>
      </c>
      <c r="D2554" s="78">
        <v>1</v>
      </c>
      <c r="E2554" s="79">
        <v>26.29</v>
      </c>
      <c r="F2554" s="70">
        <v>26.29</v>
      </c>
      <c r="G2554" s="320"/>
      <c r="H2554" s="79">
        <v>21.75</v>
      </c>
      <c r="I2554" s="79">
        <v>4.54</v>
      </c>
      <c r="J2554" s="79">
        <v>26.29</v>
      </c>
      <c r="K2554" s="79">
        <v>0</v>
      </c>
      <c r="L2554" s="70">
        <v>26.29</v>
      </c>
      <c r="M2554" s="132"/>
      <c r="N2554" s="79">
        <v>21.75</v>
      </c>
      <c r="O2554" s="79">
        <v>4.54</v>
      </c>
      <c r="P2554" s="79">
        <v>26.29</v>
      </c>
      <c r="Q2554" s="136"/>
      <c r="R2554" s="79">
        <v>21.75</v>
      </c>
      <c r="S2554" s="79">
        <v>4.54</v>
      </c>
      <c r="T2554" s="79">
        <v>26.29</v>
      </c>
      <c r="U2554" s="79">
        <v>0</v>
      </c>
      <c r="V2554" s="189">
        <v>26.29</v>
      </c>
      <c r="X2554" s="79">
        <v>21.75</v>
      </c>
      <c r="Y2554" s="79">
        <v>4.54</v>
      </c>
      <c r="Z2554" s="79">
        <v>26.29</v>
      </c>
      <c r="AA2554" s="255">
        <v>0</v>
      </c>
      <c r="AC2554" s="254"/>
    </row>
    <row r="2555" spans="1:31" ht="12">
      <c r="A2555" s="67" t="s">
        <v>15447</v>
      </c>
      <c r="B2555" s="65" t="s">
        <v>15448</v>
      </c>
      <c r="C2555" s="71" t="s">
        <v>103</v>
      </c>
      <c r="D2555" s="78">
        <v>1</v>
      </c>
      <c r="E2555" s="79">
        <v>12.39</v>
      </c>
      <c r="F2555" s="70">
        <v>12.39</v>
      </c>
      <c r="G2555" s="320"/>
      <c r="H2555" s="79">
        <v>7.85</v>
      </c>
      <c r="I2555" s="79">
        <v>4.54</v>
      </c>
      <c r="J2555" s="79">
        <v>12.39</v>
      </c>
      <c r="K2555" s="79">
        <v>0</v>
      </c>
      <c r="L2555" s="70">
        <v>12.39</v>
      </c>
      <c r="M2555" s="132"/>
      <c r="N2555" s="79">
        <v>7.85</v>
      </c>
      <c r="O2555" s="79">
        <v>4.54</v>
      </c>
      <c r="P2555" s="79">
        <v>12.39</v>
      </c>
      <c r="Q2555" s="136"/>
      <c r="R2555" s="79">
        <v>7.85</v>
      </c>
      <c r="S2555" s="79">
        <v>4.54</v>
      </c>
      <c r="T2555" s="79">
        <v>12.39</v>
      </c>
      <c r="U2555" s="79">
        <v>0</v>
      </c>
      <c r="V2555" s="189">
        <v>12.39</v>
      </c>
      <c r="X2555" s="79">
        <v>7.85</v>
      </c>
      <c r="Y2555" s="79">
        <v>4.54</v>
      </c>
      <c r="Z2555" s="79">
        <v>12.39</v>
      </c>
      <c r="AA2555" s="255">
        <v>0</v>
      </c>
      <c r="AC2555" s="254"/>
    </row>
    <row r="2556" spans="1:31" ht="12">
      <c r="A2556" s="67" t="s">
        <v>15449</v>
      </c>
      <c r="B2556" s="65" t="s">
        <v>15450</v>
      </c>
      <c r="C2556" s="71" t="s">
        <v>103</v>
      </c>
      <c r="D2556" s="78">
        <v>1</v>
      </c>
      <c r="E2556" s="79">
        <v>15.41</v>
      </c>
      <c r="F2556" s="70">
        <v>15.41</v>
      </c>
      <c r="G2556" s="320"/>
      <c r="H2556" s="79">
        <v>10.87</v>
      </c>
      <c r="I2556" s="79">
        <v>4.54</v>
      </c>
      <c r="J2556" s="79">
        <v>15.41</v>
      </c>
      <c r="K2556" s="79">
        <v>0</v>
      </c>
      <c r="L2556" s="70">
        <v>15.41</v>
      </c>
      <c r="M2556" s="132"/>
      <c r="N2556" s="79">
        <v>10.87</v>
      </c>
      <c r="O2556" s="79">
        <v>4.54</v>
      </c>
      <c r="P2556" s="79">
        <v>15.41</v>
      </c>
      <c r="Q2556" s="136"/>
      <c r="R2556" s="79">
        <v>10.87</v>
      </c>
      <c r="S2556" s="79">
        <v>4.54</v>
      </c>
      <c r="T2556" s="79">
        <v>15.41</v>
      </c>
      <c r="U2556" s="79">
        <v>0</v>
      </c>
      <c r="V2556" s="189">
        <v>15.41</v>
      </c>
      <c r="X2556" s="79">
        <v>10.87</v>
      </c>
      <c r="Y2556" s="79">
        <v>4.54</v>
      </c>
      <c r="Z2556" s="79">
        <v>15.41</v>
      </c>
      <c r="AA2556" s="255">
        <v>0</v>
      </c>
      <c r="AC2556" s="254"/>
    </row>
    <row r="2557" spans="1:31" ht="12">
      <c r="A2557" s="489" t="s">
        <v>15451</v>
      </c>
      <c r="B2557" s="490" t="s">
        <v>15452</v>
      </c>
      <c r="C2557" s="491"/>
      <c r="D2557" s="492"/>
      <c r="E2557" s="79"/>
      <c r="F2557" s="63"/>
      <c r="G2557" s="320"/>
      <c r="H2557" s="79"/>
      <c r="I2557" s="79"/>
      <c r="J2557" s="79"/>
      <c r="K2557" s="79"/>
      <c r="L2557" s="70"/>
      <c r="M2557" s="132"/>
      <c r="N2557" s="79"/>
      <c r="O2557" s="79"/>
      <c r="P2557" s="79"/>
      <c r="Q2557" s="136"/>
      <c r="R2557" s="79"/>
      <c r="S2557" s="79"/>
      <c r="T2557" s="79"/>
      <c r="U2557" s="79"/>
      <c r="V2557" s="189"/>
      <c r="X2557" s="79"/>
      <c r="Y2557" s="79"/>
      <c r="Z2557" s="79"/>
      <c r="AA2557" s="255"/>
      <c r="AC2557" s="254"/>
    </row>
    <row r="2558" spans="1:31" ht="12">
      <c r="A2558" s="67" t="s">
        <v>15453</v>
      </c>
      <c r="B2558" s="65" t="s">
        <v>15454</v>
      </c>
      <c r="C2558" s="71" t="s">
        <v>103</v>
      </c>
      <c r="D2558" s="78">
        <v>1</v>
      </c>
      <c r="E2558" s="79">
        <v>22.61</v>
      </c>
      <c r="F2558" s="70">
        <v>22.61</v>
      </c>
      <c r="G2558" s="320"/>
      <c r="H2558" s="79">
        <v>18.07</v>
      </c>
      <c r="I2558" s="79">
        <v>4.54</v>
      </c>
      <c r="J2558" s="79">
        <v>22.61</v>
      </c>
      <c r="K2558" s="79">
        <v>0</v>
      </c>
      <c r="L2558" s="70">
        <v>22.61</v>
      </c>
      <c r="M2558" s="132"/>
      <c r="N2558" s="79">
        <v>18.07</v>
      </c>
      <c r="O2558" s="79">
        <v>4.54</v>
      </c>
      <c r="P2558" s="79">
        <v>22.61</v>
      </c>
      <c r="Q2558" s="136"/>
      <c r="R2558" s="79">
        <v>18.07</v>
      </c>
      <c r="S2558" s="79">
        <v>4.54</v>
      </c>
      <c r="T2558" s="79">
        <v>22.61</v>
      </c>
      <c r="U2558" s="79">
        <v>0</v>
      </c>
      <c r="V2558" s="189">
        <v>22.61</v>
      </c>
      <c r="X2558" s="79">
        <v>18.07</v>
      </c>
      <c r="Y2558" s="79">
        <v>4.54</v>
      </c>
      <c r="Z2558" s="79">
        <v>22.61</v>
      </c>
      <c r="AA2558" s="255">
        <v>0</v>
      </c>
      <c r="AC2558" s="254"/>
      <c r="AD2558" s="69"/>
      <c r="AE2558" s="69"/>
    </row>
    <row r="2559" spans="1:31" ht="12">
      <c r="A2559" s="67" t="s">
        <v>15455</v>
      </c>
      <c r="B2559" s="65" t="s">
        <v>15456</v>
      </c>
      <c r="C2559" s="71" t="s">
        <v>103</v>
      </c>
      <c r="D2559" s="78">
        <v>1</v>
      </c>
      <c r="E2559" s="79">
        <v>15.670000000000002</v>
      </c>
      <c r="F2559" s="70">
        <v>15.67</v>
      </c>
      <c r="G2559" s="320"/>
      <c r="H2559" s="79">
        <v>11.13</v>
      </c>
      <c r="I2559" s="79">
        <v>4.54</v>
      </c>
      <c r="J2559" s="79">
        <v>15.670000000000002</v>
      </c>
      <c r="K2559" s="79">
        <v>0</v>
      </c>
      <c r="L2559" s="70">
        <v>15.670000000000002</v>
      </c>
      <c r="M2559" s="132"/>
      <c r="N2559" s="79">
        <v>11.13</v>
      </c>
      <c r="O2559" s="79">
        <v>4.54</v>
      </c>
      <c r="P2559" s="79">
        <v>15.670000000000002</v>
      </c>
      <c r="Q2559" s="136"/>
      <c r="R2559" s="79">
        <v>11.13</v>
      </c>
      <c r="S2559" s="79">
        <v>4.54</v>
      </c>
      <c r="T2559" s="79">
        <v>15.670000000000002</v>
      </c>
      <c r="U2559" s="79">
        <v>0</v>
      </c>
      <c r="V2559" s="189">
        <v>15.670000000000002</v>
      </c>
      <c r="X2559" s="79">
        <v>11.13</v>
      </c>
      <c r="Y2559" s="79">
        <v>4.54</v>
      </c>
      <c r="Z2559" s="79">
        <v>15.67</v>
      </c>
      <c r="AA2559" s="255">
        <v>0</v>
      </c>
      <c r="AC2559" s="254"/>
    </row>
    <row r="2560" spans="1:31" s="69" customFormat="1" ht="12">
      <c r="A2560" s="67" t="s">
        <v>15457</v>
      </c>
      <c r="B2560" s="65" t="s">
        <v>15458</v>
      </c>
      <c r="C2560" s="71" t="s">
        <v>103</v>
      </c>
      <c r="D2560" s="78">
        <v>1</v>
      </c>
      <c r="E2560" s="79">
        <v>23.259999999999998</v>
      </c>
      <c r="F2560" s="70">
        <v>23.26</v>
      </c>
      <c r="G2560" s="320"/>
      <c r="H2560" s="79">
        <v>18.72</v>
      </c>
      <c r="I2560" s="79">
        <v>4.54</v>
      </c>
      <c r="J2560" s="79">
        <v>23.259999999999998</v>
      </c>
      <c r="K2560" s="79">
        <v>0</v>
      </c>
      <c r="L2560" s="70">
        <v>23.259999999999998</v>
      </c>
      <c r="M2560" s="132"/>
      <c r="N2560" s="79">
        <v>18.72</v>
      </c>
      <c r="O2560" s="79">
        <v>4.54</v>
      </c>
      <c r="P2560" s="79">
        <v>23.259999999999998</v>
      </c>
      <c r="Q2560" s="136"/>
      <c r="R2560" s="79">
        <v>18.72</v>
      </c>
      <c r="S2560" s="79">
        <v>4.54</v>
      </c>
      <c r="T2560" s="79">
        <v>23.259999999999998</v>
      </c>
      <c r="U2560" s="79">
        <v>0</v>
      </c>
      <c r="V2560" s="189">
        <v>23.259999999999998</v>
      </c>
      <c r="W2560" s="61"/>
      <c r="X2560" s="79">
        <v>18.72</v>
      </c>
      <c r="Y2560" s="79">
        <v>4.54</v>
      </c>
      <c r="Z2560" s="79">
        <v>23.26</v>
      </c>
      <c r="AA2560" s="255">
        <v>0</v>
      </c>
      <c r="AB2560" s="61"/>
      <c r="AC2560" s="254"/>
      <c r="AD2560" s="236"/>
      <c r="AE2560" s="236"/>
    </row>
    <row r="2561" spans="1:31" ht="12">
      <c r="A2561" s="67" t="s">
        <v>15459</v>
      </c>
      <c r="B2561" s="65" t="s">
        <v>15460</v>
      </c>
      <c r="C2561" s="71" t="s">
        <v>103</v>
      </c>
      <c r="D2561" s="78">
        <v>1</v>
      </c>
      <c r="E2561" s="79">
        <v>22.57</v>
      </c>
      <c r="F2561" s="70">
        <v>22.57</v>
      </c>
      <c r="G2561" s="320"/>
      <c r="H2561" s="79">
        <v>18.03</v>
      </c>
      <c r="I2561" s="79">
        <v>4.54</v>
      </c>
      <c r="J2561" s="79">
        <v>22.57</v>
      </c>
      <c r="K2561" s="79">
        <v>0</v>
      </c>
      <c r="L2561" s="70">
        <v>22.57</v>
      </c>
      <c r="M2561" s="132"/>
      <c r="N2561" s="79">
        <v>18.03</v>
      </c>
      <c r="O2561" s="79">
        <v>4.54</v>
      </c>
      <c r="P2561" s="79">
        <v>22.57</v>
      </c>
      <c r="Q2561" s="136"/>
      <c r="R2561" s="79">
        <v>18.03</v>
      </c>
      <c r="S2561" s="79">
        <v>4.54</v>
      </c>
      <c r="T2561" s="79">
        <v>22.57</v>
      </c>
      <c r="U2561" s="79">
        <v>0</v>
      </c>
      <c r="V2561" s="189">
        <v>22.57</v>
      </c>
      <c r="X2561" s="79">
        <v>18.03</v>
      </c>
      <c r="Y2561" s="79">
        <v>4.54</v>
      </c>
      <c r="Z2561" s="79">
        <v>22.57</v>
      </c>
      <c r="AA2561" s="255">
        <v>0</v>
      </c>
      <c r="AC2561" s="254"/>
    </row>
    <row r="2562" spans="1:31" ht="12">
      <c r="A2562" s="67" t="s">
        <v>15461</v>
      </c>
      <c r="B2562" s="65" t="s">
        <v>15462</v>
      </c>
      <c r="C2562" s="71" t="s">
        <v>103</v>
      </c>
      <c r="D2562" s="78">
        <v>1</v>
      </c>
      <c r="E2562" s="79">
        <v>28.099999999999998</v>
      </c>
      <c r="F2562" s="70">
        <v>28.1</v>
      </c>
      <c r="G2562" s="320"/>
      <c r="H2562" s="79">
        <v>23.56</v>
      </c>
      <c r="I2562" s="79">
        <v>4.54</v>
      </c>
      <c r="J2562" s="79">
        <v>28.099999999999998</v>
      </c>
      <c r="K2562" s="79">
        <v>0</v>
      </c>
      <c r="L2562" s="70">
        <v>28.099999999999998</v>
      </c>
      <c r="M2562" s="132"/>
      <c r="N2562" s="79">
        <v>23.56</v>
      </c>
      <c r="O2562" s="79">
        <v>4.54</v>
      </c>
      <c r="P2562" s="79">
        <v>28.099999999999998</v>
      </c>
      <c r="Q2562" s="136"/>
      <c r="R2562" s="79">
        <v>23.56</v>
      </c>
      <c r="S2562" s="79">
        <v>4.54</v>
      </c>
      <c r="T2562" s="79">
        <v>28.099999999999998</v>
      </c>
      <c r="U2562" s="79">
        <v>0</v>
      </c>
      <c r="V2562" s="189">
        <v>28.099999999999998</v>
      </c>
      <c r="X2562" s="79">
        <v>23.56</v>
      </c>
      <c r="Y2562" s="79">
        <v>4.54</v>
      </c>
      <c r="Z2562" s="79">
        <v>28.1</v>
      </c>
      <c r="AA2562" s="255">
        <v>0</v>
      </c>
      <c r="AC2562" s="254"/>
    </row>
    <row r="2563" spans="1:31" ht="12">
      <c r="A2563" s="67" t="s">
        <v>15463</v>
      </c>
      <c r="B2563" s="65" t="s">
        <v>15464</v>
      </c>
      <c r="C2563" s="71" t="s">
        <v>103</v>
      </c>
      <c r="D2563" s="78">
        <v>1</v>
      </c>
      <c r="E2563" s="79">
        <v>23.24</v>
      </c>
      <c r="F2563" s="70">
        <v>23.24</v>
      </c>
      <c r="G2563" s="320"/>
      <c r="H2563" s="79">
        <v>18.7</v>
      </c>
      <c r="I2563" s="79">
        <v>4.54</v>
      </c>
      <c r="J2563" s="79">
        <v>23.24</v>
      </c>
      <c r="K2563" s="79">
        <v>0</v>
      </c>
      <c r="L2563" s="70">
        <v>23.24</v>
      </c>
      <c r="M2563" s="132"/>
      <c r="N2563" s="79">
        <v>18.7</v>
      </c>
      <c r="O2563" s="79">
        <v>4.54</v>
      </c>
      <c r="P2563" s="79">
        <v>23.24</v>
      </c>
      <c r="Q2563" s="136"/>
      <c r="R2563" s="79">
        <v>18.7</v>
      </c>
      <c r="S2563" s="79">
        <v>4.54</v>
      </c>
      <c r="T2563" s="79">
        <v>23.24</v>
      </c>
      <c r="U2563" s="79">
        <v>0</v>
      </c>
      <c r="V2563" s="189">
        <v>23.24</v>
      </c>
      <c r="X2563" s="79">
        <v>18.7</v>
      </c>
      <c r="Y2563" s="79">
        <v>4.54</v>
      </c>
      <c r="Z2563" s="79">
        <v>23.24</v>
      </c>
      <c r="AA2563" s="255">
        <v>0</v>
      </c>
      <c r="AC2563" s="254"/>
    </row>
    <row r="2564" spans="1:31" ht="12">
      <c r="A2564" s="67" t="s">
        <v>15465</v>
      </c>
      <c r="B2564" s="65" t="s">
        <v>15466</v>
      </c>
      <c r="C2564" s="71" t="s">
        <v>103</v>
      </c>
      <c r="D2564" s="78">
        <v>1</v>
      </c>
      <c r="E2564" s="79">
        <v>18.829999999999998</v>
      </c>
      <c r="F2564" s="70">
        <v>18.829999999999998</v>
      </c>
      <c r="G2564" s="320"/>
      <c r="H2564" s="79">
        <v>14.29</v>
      </c>
      <c r="I2564" s="79">
        <v>4.54</v>
      </c>
      <c r="J2564" s="79">
        <v>18.829999999999998</v>
      </c>
      <c r="K2564" s="79">
        <v>0</v>
      </c>
      <c r="L2564" s="70">
        <v>18.829999999999998</v>
      </c>
      <c r="M2564" s="132"/>
      <c r="N2564" s="79">
        <v>14.29</v>
      </c>
      <c r="O2564" s="79">
        <v>4.54</v>
      </c>
      <c r="P2564" s="79">
        <v>18.829999999999998</v>
      </c>
      <c r="Q2564" s="136"/>
      <c r="R2564" s="79">
        <v>14.29</v>
      </c>
      <c r="S2564" s="79">
        <v>4.54</v>
      </c>
      <c r="T2564" s="79">
        <v>18.829999999999998</v>
      </c>
      <c r="U2564" s="79">
        <v>0</v>
      </c>
      <c r="V2564" s="189">
        <v>18.829999999999998</v>
      </c>
      <c r="X2564" s="79">
        <v>14.29</v>
      </c>
      <c r="Y2564" s="79">
        <v>4.54</v>
      </c>
      <c r="Z2564" s="79">
        <v>18.829999999999998</v>
      </c>
      <c r="AA2564" s="255">
        <v>0</v>
      </c>
      <c r="AC2564" s="254"/>
    </row>
    <row r="2565" spans="1:31" ht="12">
      <c r="A2565" s="67" t="s">
        <v>15467</v>
      </c>
      <c r="B2565" s="65" t="s">
        <v>15468</v>
      </c>
      <c r="C2565" s="71" t="s">
        <v>103</v>
      </c>
      <c r="D2565" s="78">
        <v>1</v>
      </c>
      <c r="E2565" s="79">
        <v>22.439999999999998</v>
      </c>
      <c r="F2565" s="70">
        <v>22.44</v>
      </c>
      <c r="G2565" s="320"/>
      <c r="H2565" s="79">
        <v>17.899999999999999</v>
      </c>
      <c r="I2565" s="79">
        <v>4.54</v>
      </c>
      <c r="J2565" s="79">
        <v>22.439999999999998</v>
      </c>
      <c r="K2565" s="79">
        <v>0</v>
      </c>
      <c r="L2565" s="70">
        <v>22.439999999999998</v>
      </c>
      <c r="M2565" s="132"/>
      <c r="N2565" s="79">
        <v>17.899999999999999</v>
      </c>
      <c r="O2565" s="79">
        <v>4.54</v>
      </c>
      <c r="P2565" s="79">
        <v>22.439999999999998</v>
      </c>
      <c r="Q2565" s="136"/>
      <c r="R2565" s="79">
        <v>17.899999999999999</v>
      </c>
      <c r="S2565" s="79">
        <v>4.54</v>
      </c>
      <c r="T2565" s="79">
        <v>22.439999999999998</v>
      </c>
      <c r="U2565" s="79">
        <v>0</v>
      </c>
      <c r="V2565" s="189">
        <v>22.439999999999998</v>
      </c>
      <c r="X2565" s="79">
        <v>17.899999999999999</v>
      </c>
      <c r="Y2565" s="79">
        <v>4.54</v>
      </c>
      <c r="Z2565" s="79">
        <v>22.44</v>
      </c>
      <c r="AA2565" s="255">
        <v>0</v>
      </c>
      <c r="AC2565" s="254"/>
    </row>
    <row r="2566" spans="1:31" ht="12">
      <c r="A2566" s="67" t="s">
        <v>15469</v>
      </c>
      <c r="B2566" s="65" t="s">
        <v>15470</v>
      </c>
      <c r="C2566" s="71" t="s">
        <v>103</v>
      </c>
      <c r="D2566" s="78">
        <v>1</v>
      </c>
      <c r="E2566" s="79">
        <v>19.690000000000001</v>
      </c>
      <c r="F2566" s="70">
        <v>19.690000000000001</v>
      </c>
      <c r="G2566" s="320"/>
      <c r="H2566" s="79">
        <v>15.15</v>
      </c>
      <c r="I2566" s="79">
        <v>4.54</v>
      </c>
      <c r="J2566" s="79">
        <v>19.690000000000001</v>
      </c>
      <c r="K2566" s="79">
        <v>0</v>
      </c>
      <c r="L2566" s="70">
        <v>19.690000000000001</v>
      </c>
      <c r="M2566" s="132"/>
      <c r="N2566" s="79">
        <v>15.15</v>
      </c>
      <c r="O2566" s="79">
        <v>4.54</v>
      </c>
      <c r="P2566" s="79">
        <v>19.690000000000001</v>
      </c>
      <c r="Q2566" s="136"/>
      <c r="R2566" s="79">
        <v>15.15</v>
      </c>
      <c r="S2566" s="79">
        <v>4.54</v>
      </c>
      <c r="T2566" s="79">
        <v>19.690000000000001</v>
      </c>
      <c r="U2566" s="79">
        <v>0</v>
      </c>
      <c r="V2566" s="189">
        <v>19.690000000000001</v>
      </c>
      <c r="X2566" s="79">
        <v>15.15</v>
      </c>
      <c r="Y2566" s="79">
        <v>4.54</v>
      </c>
      <c r="Z2566" s="79">
        <v>19.690000000000001</v>
      </c>
      <c r="AA2566" s="255">
        <v>0</v>
      </c>
      <c r="AC2566" s="254"/>
    </row>
    <row r="2567" spans="1:31" ht="12">
      <c r="A2567" s="67" t="s">
        <v>15471</v>
      </c>
      <c r="B2567" s="65" t="s">
        <v>15472</v>
      </c>
      <c r="C2567" s="71" t="s">
        <v>103</v>
      </c>
      <c r="D2567" s="78">
        <v>1</v>
      </c>
      <c r="E2567" s="79">
        <v>21.59</v>
      </c>
      <c r="F2567" s="70">
        <v>21.59</v>
      </c>
      <c r="G2567" s="320"/>
      <c r="H2567" s="79">
        <v>17.05</v>
      </c>
      <c r="I2567" s="79">
        <v>4.54</v>
      </c>
      <c r="J2567" s="79">
        <v>21.59</v>
      </c>
      <c r="K2567" s="79">
        <v>0</v>
      </c>
      <c r="L2567" s="70">
        <v>21.59</v>
      </c>
      <c r="M2567" s="132"/>
      <c r="N2567" s="79">
        <v>17.05</v>
      </c>
      <c r="O2567" s="79">
        <v>4.54</v>
      </c>
      <c r="P2567" s="79">
        <v>21.59</v>
      </c>
      <c r="Q2567" s="136"/>
      <c r="R2567" s="79">
        <v>17.05</v>
      </c>
      <c r="S2567" s="79">
        <v>4.54</v>
      </c>
      <c r="T2567" s="79">
        <v>21.59</v>
      </c>
      <c r="U2567" s="79">
        <v>0</v>
      </c>
      <c r="V2567" s="189">
        <v>21.59</v>
      </c>
      <c r="X2567" s="79">
        <v>17.05</v>
      </c>
      <c r="Y2567" s="79">
        <v>4.54</v>
      </c>
      <c r="Z2567" s="79">
        <v>21.59</v>
      </c>
      <c r="AA2567" s="255">
        <v>0</v>
      </c>
      <c r="AC2567" s="254"/>
    </row>
    <row r="2568" spans="1:31" ht="12">
      <c r="A2568" s="67" t="s">
        <v>15473</v>
      </c>
      <c r="B2568" s="65" t="s">
        <v>15474</v>
      </c>
      <c r="C2568" s="71" t="s">
        <v>103</v>
      </c>
      <c r="D2568" s="78">
        <v>1</v>
      </c>
      <c r="E2568" s="79">
        <v>20.07</v>
      </c>
      <c r="F2568" s="70">
        <v>20.07</v>
      </c>
      <c r="G2568" s="320"/>
      <c r="H2568" s="79">
        <v>15.53</v>
      </c>
      <c r="I2568" s="79">
        <v>4.54</v>
      </c>
      <c r="J2568" s="79">
        <v>20.07</v>
      </c>
      <c r="K2568" s="79">
        <v>0</v>
      </c>
      <c r="L2568" s="70">
        <v>20.07</v>
      </c>
      <c r="M2568" s="132"/>
      <c r="N2568" s="79">
        <v>15.53</v>
      </c>
      <c r="O2568" s="79">
        <v>4.54</v>
      </c>
      <c r="P2568" s="79">
        <v>20.07</v>
      </c>
      <c r="Q2568" s="136"/>
      <c r="R2568" s="79">
        <v>15.53</v>
      </c>
      <c r="S2568" s="79">
        <v>4.54</v>
      </c>
      <c r="T2568" s="79">
        <v>20.07</v>
      </c>
      <c r="U2568" s="79">
        <v>0</v>
      </c>
      <c r="V2568" s="189">
        <v>20.07</v>
      </c>
      <c r="X2568" s="79">
        <v>15.53</v>
      </c>
      <c r="Y2568" s="79">
        <v>4.54</v>
      </c>
      <c r="Z2568" s="79">
        <v>20.07</v>
      </c>
      <c r="AA2568" s="255">
        <v>0</v>
      </c>
      <c r="AC2568" s="254"/>
    </row>
    <row r="2569" spans="1:31" ht="12">
      <c r="A2569" s="489" t="s">
        <v>15475</v>
      </c>
      <c r="B2569" s="490" t="s">
        <v>15476</v>
      </c>
      <c r="C2569" s="491"/>
      <c r="D2569" s="492"/>
      <c r="E2569" s="79"/>
      <c r="F2569" s="63"/>
      <c r="G2569" s="320"/>
      <c r="H2569" s="79"/>
      <c r="I2569" s="79"/>
      <c r="J2569" s="79"/>
      <c r="K2569" s="79"/>
      <c r="L2569" s="70"/>
      <c r="M2569" s="132"/>
      <c r="N2569" s="79"/>
      <c r="O2569" s="79"/>
      <c r="P2569" s="79"/>
      <c r="Q2569" s="136"/>
      <c r="R2569" s="79"/>
      <c r="S2569" s="79"/>
      <c r="T2569" s="79"/>
      <c r="U2569" s="79"/>
      <c r="V2569" s="189"/>
      <c r="X2569" s="79"/>
      <c r="Y2569" s="79"/>
      <c r="Z2569" s="79"/>
      <c r="AA2569" s="255"/>
      <c r="AC2569" s="254"/>
    </row>
    <row r="2570" spans="1:31" ht="12">
      <c r="A2570" s="67" t="s">
        <v>15477</v>
      </c>
      <c r="B2570" s="65" t="s">
        <v>15478</v>
      </c>
      <c r="C2570" s="71" t="s">
        <v>103</v>
      </c>
      <c r="D2570" s="78">
        <v>1</v>
      </c>
      <c r="E2570" s="79">
        <v>47.59</v>
      </c>
      <c r="F2570" s="70">
        <v>47.59</v>
      </c>
      <c r="G2570" s="320"/>
      <c r="H2570" s="79">
        <v>36.43</v>
      </c>
      <c r="I2570" s="79">
        <v>11.16</v>
      </c>
      <c r="J2570" s="79">
        <v>47.59</v>
      </c>
      <c r="K2570" s="79">
        <v>0</v>
      </c>
      <c r="L2570" s="70">
        <v>47.59</v>
      </c>
      <c r="M2570" s="132"/>
      <c r="N2570" s="79">
        <v>36.43</v>
      </c>
      <c r="O2570" s="79">
        <v>11.16</v>
      </c>
      <c r="P2570" s="79">
        <v>47.59</v>
      </c>
      <c r="Q2570" s="136"/>
      <c r="R2570" s="79">
        <v>36.43</v>
      </c>
      <c r="S2570" s="79">
        <v>11.16</v>
      </c>
      <c r="T2570" s="79">
        <v>47.59</v>
      </c>
      <c r="U2570" s="79">
        <v>0</v>
      </c>
      <c r="V2570" s="189">
        <v>47.59</v>
      </c>
      <c r="X2570" s="79">
        <v>36.43</v>
      </c>
      <c r="Y2570" s="79">
        <v>11.16</v>
      </c>
      <c r="Z2570" s="79">
        <v>47.59</v>
      </c>
      <c r="AA2570" s="255">
        <v>0</v>
      </c>
      <c r="AC2570" s="254"/>
      <c r="AD2570" s="61"/>
      <c r="AE2570" s="61"/>
    </row>
    <row r="2571" spans="1:31" ht="12">
      <c r="A2571" s="489" t="s">
        <v>15479</v>
      </c>
      <c r="B2571" s="490" t="s">
        <v>15480</v>
      </c>
      <c r="C2571" s="491"/>
      <c r="D2571" s="492"/>
      <c r="E2571" s="79"/>
      <c r="F2571" s="63"/>
      <c r="G2571" s="320"/>
      <c r="H2571" s="79"/>
      <c r="I2571" s="79"/>
      <c r="J2571" s="79"/>
      <c r="K2571" s="79"/>
      <c r="L2571" s="70"/>
      <c r="M2571" s="132"/>
      <c r="N2571" s="79"/>
      <c r="O2571" s="79"/>
      <c r="P2571" s="79"/>
      <c r="Q2571" s="136"/>
      <c r="R2571" s="79"/>
      <c r="S2571" s="79"/>
      <c r="T2571" s="79"/>
      <c r="U2571" s="79"/>
      <c r="V2571" s="189"/>
      <c r="X2571" s="79"/>
      <c r="Y2571" s="79"/>
      <c r="Z2571" s="79"/>
      <c r="AA2571" s="255"/>
      <c r="AC2571" s="254"/>
    </row>
    <row r="2572" spans="1:31" ht="24">
      <c r="A2572" s="67" t="s">
        <v>15481</v>
      </c>
      <c r="B2572" s="65" t="s">
        <v>15482</v>
      </c>
      <c r="C2572" s="71" t="s">
        <v>103</v>
      </c>
      <c r="D2572" s="78">
        <v>1</v>
      </c>
      <c r="E2572" s="79">
        <v>79.930000000000007</v>
      </c>
      <c r="F2572" s="70">
        <v>79.930000000000007</v>
      </c>
      <c r="G2572" s="320"/>
      <c r="H2572" s="79">
        <v>57.61</v>
      </c>
      <c r="I2572" s="79">
        <v>22.32</v>
      </c>
      <c r="J2572" s="79">
        <v>79.930000000000007</v>
      </c>
      <c r="K2572" s="79">
        <v>0</v>
      </c>
      <c r="L2572" s="70">
        <v>79.930000000000007</v>
      </c>
      <c r="M2572" s="132"/>
      <c r="N2572" s="79">
        <v>57.61</v>
      </c>
      <c r="O2572" s="79">
        <v>22.32</v>
      </c>
      <c r="P2572" s="79">
        <v>79.930000000000007</v>
      </c>
      <c r="Q2572" s="136"/>
      <c r="R2572" s="79">
        <v>57.61</v>
      </c>
      <c r="S2572" s="79">
        <v>22.33</v>
      </c>
      <c r="T2572" s="79">
        <v>79.94</v>
      </c>
      <c r="U2572" s="79">
        <v>0</v>
      </c>
      <c r="V2572" s="189">
        <v>79.94</v>
      </c>
      <c r="X2572" s="79">
        <v>57.61</v>
      </c>
      <c r="Y2572" s="79">
        <v>22.33</v>
      </c>
      <c r="Z2572" s="79">
        <v>79.94</v>
      </c>
      <c r="AA2572" s="255">
        <v>-9.9999999999909051E-3</v>
      </c>
      <c r="AC2572" s="254"/>
    </row>
    <row r="2573" spans="1:31" ht="24">
      <c r="A2573" s="67" t="s">
        <v>15483</v>
      </c>
      <c r="B2573" s="65" t="s">
        <v>15484</v>
      </c>
      <c r="C2573" s="71" t="s">
        <v>103</v>
      </c>
      <c r="D2573" s="78">
        <v>1</v>
      </c>
      <c r="E2573" s="79">
        <v>113.42</v>
      </c>
      <c r="F2573" s="70">
        <v>113.42</v>
      </c>
      <c r="G2573" s="320"/>
      <c r="H2573" s="79">
        <v>102.26</v>
      </c>
      <c r="I2573" s="79">
        <v>11.16</v>
      </c>
      <c r="J2573" s="79">
        <v>113.42</v>
      </c>
      <c r="K2573" s="79">
        <v>0</v>
      </c>
      <c r="L2573" s="70">
        <v>113.42</v>
      </c>
      <c r="M2573" s="132"/>
      <c r="N2573" s="79">
        <v>102.26</v>
      </c>
      <c r="O2573" s="79">
        <v>11.16</v>
      </c>
      <c r="P2573" s="79">
        <v>113.42</v>
      </c>
      <c r="Q2573" s="136"/>
      <c r="R2573" s="79">
        <v>102.26</v>
      </c>
      <c r="S2573" s="79">
        <v>11.16</v>
      </c>
      <c r="T2573" s="79">
        <v>113.42</v>
      </c>
      <c r="U2573" s="79">
        <v>0</v>
      </c>
      <c r="V2573" s="189">
        <v>113.42</v>
      </c>
      <c r="X2573" s="79">
        <v>102.26</v>
      </c>
      <c r="Y2573" s="79">
        <v>11.16</v>
      </c>
      <c r="Z2573" s="79">
        <v>113.42</v>
      </c>
      <c r="AA2573" s="255">
        <v>0</v>
      </c>
      <c r="AC2573" s="254"/>
    </row>
    <row r="2574" spans="1:31" ht="24">
      <c r="A2574" s="67" t="s">
        <v>15485</v>
      </c>
      <c r="B2574" s="65" t="s">
        <v>15486</v>
      </c>
      <c r="C2574" s="71" t="s">
        <v>103</v>
      </c>
      <c r="D2574" s="78">
        <v>1</v>
      </c>
      <c r="E2574" s="79">
        <v>68.58</v>
      </c>
      <c r="F2574" s="70">
        <v>68.58</v>
      </c>
      <c r="G2574" s="320"/>
      <c r="H2574" s="79">
        <v>46.26</v>
      </c>
      <c r="I2574" s="79">
        <v>22.32</v>
      </c>
      <c r="J2574" s="79">
        <v>68.58</v>
      </c>
      <c r="K2574" s="79">
        <v>0</v>
      </c>
      <c r="L2574" s="70">
        <v>68.58</v>
      </c>
      <c r="M2574" s="132"/>
      <c r="N2574" s="79">
        <v>46.26</v>
      </c>
      <c r="O2574" s="79">
        <v>22.32</v>
      </c>
      <c r="P2574" s="79">
        <v>68.58</v>
      </c>
      <c r="Q2574" s="136"/>
      <c r="R2574" s="79">
        <v>46.26</v>
      </c>
      <c r="S2574" s="79">
        <v>22.33</v>
      </c>
      <c r="T2574" s="79">
        <v>68.59</v>
      </c>
      <c r="U2574" s="79">
        <v>0</v>
      </c>
      <c r="V2574" s="189">
        <v>68.59</v>
      </c>
      <c r="X2574" s="79">
        <v>46.26</v>
      </c>
      <c r="Y2574" s="79">
        <v>22.33</v>
      </c>
      <c r="Z2574" s="79">
        <v>68.59</v>
      </c>
      <c r="AA2574" s="255">
        <v>-1.0000000000005116E-2</v>
      </c>
      <c r="AC2574" s="254"/>
    </row>
    <row r="2575" spans="1:31" ht="24">
      <c r="A2575" s="67" t="s">
        <v>15487</v>
      </c>
      <c r="B2575" s="65" t="s">
        <v>15488</v>
      </c>
      <c r="C2575" s="71" t="s">
        <v>103</v>
      </c>
      <c r="D2575" s="78">
        <v>1</v>
      </c>
      <c r="E2575" s="79">
        <v>108.77000000000001</v>
      </c>
      <c r="F2575" s="70">
        <v>108.77</v>
      </c>
      <c r="G2575" s="320"/>
      <c r="H2575" s="79">
        <v>86.45</v>
      </c>
      <c r="I2575" s="79">
        <v>22.32</v>
      </c>
      <c r="J2575" s="79">
        <v>108.77000000000001</v>
      </c>
      <c r="K2575" s="79">
        <v>0</v>
      </c>
      <c r="L2575" s="70">
        <v>108.77000000000001</v>
      </c>
      <c r="M2575" s="132"/>
      <c r="N2575" s="79">
        <v>86.45</v>
      </c>
      <c r="O2575" s="79">
        <v>22.32</v>
      </c>
      <c r="P2575" s="79">
        <v>108.77000000000001</v>
      </c>
      <c r="Q2575" s="136"/>
      <c r="R2575" s="79">
        <v>86.45</v>
      </c>
      <c r="S2575" s="79">
        <v>22.33</v>
      </c>
      <c r="T2575" s="79">
        <v>108.78</v>
      </c>
      <c r="U2575" s="79">
        <v>0</v>
      </c>
      <c r="V2575" s="189">
        <v>108.78</v>
      </c>
      <c r="X2575" s="79">
        <v>86.45</v>
      </c>
      <c r="Y2575" s="79">
        <v>22.33</v>
      </c>
      <c r="Z2575" s="79">
        <v>108.78</v>
      </c>
      <c r="AA2575" s="255">
        <v>-1.0000000000005116E-2</v>
      </c>
      <c r="AC2575" s="254"/>
    </row>
    <row r="2576" spans="1:31" ht="24">
      <c r="A2576" s="67" t="s">
        <v>15489</v>
      </c>
      <c r="B2576" s="65" t="s">
        <v>15490</v>
      </c>
      <c r="C2576" s="71" t="s">
        <v>103</v>
      </c>
      <c r="D2576" s="78">
        <v>1</v>
      </c>
      <c r="E2576" s="79">
        <v>68.13</v>
      </c>
      <c r="F2576" s="70">
        <v>68.13</v>
      </c>
      <c r="G2576" s="320"/>
      <c r="H2576" s="79">
        <v>56.97</v>
      </c>
      <c r="I2576" s="79">
        <v>11.16</v>
      </c>
      <c r="J2576" s="79">
        <v>68.13</v>
      </c>
      <c r="K2576" s="79">
        <v>0</v>
      </c>
      <c r="L2576" s="70">
        <v>68.13</v>
      </c>
      <c r="M2576" s="132"/>
      <c r="N2576" s="79">
        <v>56.97</v>
      </c>
      <c r="O2576" s="79">
        <v>11.16</v>
      </c>
      <c r="P2576" s="79">
        <v>68.13</v>
      </c>
      <c r="Q2576" s="136"/>
      <c r="R2576" s="79">
        <v>56.97</v>
      </c>
      <c r="S2576" s="79">
        <v>11.16</v>
      </c>
      <c r="T2576" s="79">
        <v>68.13</v>
      </c>
      <c r="U2576" s="79">
        <v>0</v>
      </c>
      <c r="V2576" s="189">
        <v>68.13</v>
      </c>
      <c r="X2576" s="79">
        <v>56.97</v>
      </c>
      <c r="Y2576" s="79">
        <v>11.16</v>
      </c>
      <c r="Z2576" s="79">
        <v>68.13</v>
      </c>
      <c r="AA2576" s="255">
        <v>0</v>
      </c>
      <c r="AC2576" s="254"/>
    </row>
    <row r="2577" spans="1:31" ht="24">
      <c r="A2577" s="67" t="s">
        <v>15491</v>
      </c>
      <c r="B2577" s="65" t="s">
        <v>15492</v>
      </c>
      <c r="C2577" s="71" t="s">
        <v>103</v>
      </c>
      <c r="D2577" s="78">
        <v>1</v>
      </c>
      <c r="E2577" s="79">
        <v>85.92</v>
      </c>
      <c r="F2577" s="70">
        <v>85.92</v>
      </c>
      <c r="G2577" s="320"/>
      <c r="H2577" s="79">
        <v>63.6</v>
      </c>
      <c r="I2577" s="79">
        <v>22.32</v>
      </c>
      <c r="J2577" s="79">
        <v>85.92</v>
      </c>
      <c r="K2577" s="79">
        <v>0</v>
      </c>
      <c r="L2577" s="70">
        <v>85.92</v>
      </c>
      <c r="M2577" s="132"/>
      <c r="N2577" s="79">
        <v>63.6</v>
      </c>
      <c r="O2577" s="79">
        <v>22.32</v>
      </c>
      <c r="P2577" s="79">
        <v>85.92</v>
      </c>
      <c r="Q2577" s="136"/>
      <c r="R2577" s="79">
        <v>63.6</v>
      </c>
      <c r="S2577" s="79">
        <v>22.33</v>
      </c>
      <c r="T2577" s="79">
        <v>85.93</v>
      </c>
      <c r="U2577" s="79">
        <v>0</v>
      </c>
      <c r="V2577" s="189">
        <v>85.93</v>
      </c>
      <c r="X2577" s="79">
        <v>63.6</v>
      </c>
      <c r="Y2577" s="79">
        <v>22.33</v>
      </c>
      <c r="Z2577" s="79">
        <v>85.93</v>
      </c>
      <c r="AA2577" s="255">
        <v>-1.0000000000005116E-2</v>
      </c>
      <c r="AC2577" s="254"/>
      <c r="AD2577" s="61"/>
      <c r="AE2577" s="61"/>
    </row>
    <row r="2578" spans="1:31" ht="12">
      <c r="A2578" s="489" t="s">
        <v>15493</v>
      </c>
      <c r="B2578" s="490" t="s">
        <v>15494</v>
      </c>
      <c r="C2578" s="491"/>
      <c r="D2578" s="492"/>
      <c r="E2578" s="79"/>
      <c r="F2578" s="63"/>
      <c r="G2578" s="320"/>
      <c r="H2578" s="79"/>
      <c r="I2578" s="79"/>
      <c r="J2578" s="79"/>
      <c r="K2578" s="79"/>
      <c r="L2578" s="70"/>
      <c r="M2578" s="132"/>
      <c r="N2578" s="79"/>
      <c r="O2578" s="79"/>
      <c r="P2578" s="79"/>
      <c r="Q2578" s="136"/>
      <c r="R2578" s="79"/>
      <c r="S2578" s="79"/>
      <c r="T2578" s="79"/>
      <c r="U2578" s="79"/>
      <c r="V2578" s="189"/>
      <c r="X2578" s="79"/>
      <c r="Y2578" s="79"/>
      <c r="Z2578" s="79"/>
      <c r="AA2578" s="255"/>
      <c r="AC2578" s="254"/>
      <c r="AD2578" s="61"/>
      <c r="AE2578" s="61"/>
    </row>
    <row r="2579" spans="1:31" s="61" customFormat="1" ht="12">
      <c r="A2579" s="67" t="s">
        <v>15495</v>
      </c>
      <c r="B2579" s="65" t="s">
        <v>15496</v>
      </c>
      <c r="C2579" s="71" t="s">
        <v>103</v>
      </c>
      <c r="D2579" s="78">
        <v>1</v>
      </c>
      <c r="E2579" s="79">
        <v>123.41</v>
      </c>
      <c r="F2579" s="70">
        <v>123.41</v>
      </c>
      <c r="G2579" s="320"/>
      <c r="H2579" s="79">
        <v>44.88</v>
      </c>
      <c r="I2579" s="79">
        <v>78.53</v>
      </c>
      <c r="J2579" s="79">
        <v>123.41</v>
      </c>
      <c r="K2579" s="79">
        <v>0</v>
      </c>
      <c r="L2579" s="70">
        <v>123.41</v>
      </c>
      <c r="M2579" s="132"/>
      <c r="N2579" s="79">
        <v>44.88</v>
      </c>
      <c r="O2579" s="79">
        <v>78.53</v>
      </c>
      <c r="P2579" s="79">
        <v>123.41</v>
      </c>
      <c r="Q2579" s="136"/>
      <c r="R2579" s="79">
        <v>44.88</v>
      </c>
      <c r="S2579" s="79">
        <v>78.540000000000006</v>
      </c>
      <c r="T2579" s="79">
        <v>123.42000000000002</v>
      </c>
      <c r="U2579" s="79">
        <v>0</v>
      </c>
      <c r="V2579" s="189">
        <v>123.42000000000002</v>
      </c>
      <c r="X2579" s="79">
        <v>44.88</v>
      </c>
      <c r="Y2579" s="79">
        <v>78.540000000000006</v>
      </c>
      <c r="Z2579" s="79">
        <v>123.42</v>
      </c>
      <c r="AA2579" s="255">
        <v>-1.0000000000005116E-2</v>
      </c>
      <c r="AC2579" s="254"/>
    </row>
    <row r="2580" spans="1:31" s="61" customFormat="1" ht="12">
      <c r="A2580" s="67" t="s">
        <v>15497</v>
      </c>
      <c r="B2580" s="65" t="s">
        <v>15498</v>
      </c>
      <c r="C2580" s="71" t="s">
        <v>103</v>
      </c>
      <c r="D2580" s="78">
        <v>1</v>
      </c>
      <c r="E2580" s="79">
        <v>735.56</v>
      </c>
      <c r="F2580" s="70">
        <v>735.56</v>
      </c>
      <c r="G2580" s="320"/>
      <c r="H2580" s="79">
        <v>657.03</v>
      </c>
      <c r="I2580" s="79">
        <v>78.53</v>
      </c>
      <c r="J2580" s="79">
        <v>735.56</v>
      </c>
      <c r="K2580" s="79">
        <v>0</v>
      </c>
      <c r="L2580" s="70">
        <v>735.56</v>
      </c>
      <c r="M2580" s="132"/>
      <c r="N2580" s="79">
        <v>657.03</v>
      </c>
      <c r="O2580" s="79">
        <v>78.53</v>
      </c>
      <c r="P2580" s="79">
        <v>735.56</v>
      </c>
      <c r="Q2580" s="136"/>
      <c r="R2580" s="79">
        <v>657.03</v>
      </c>
      <c r="S2580" s="79">
        <v>78.540000000000006</v>
      </c>
      <c r="T2580" s="79">
        <v>735.56999999999994</v>
      </c>
      <c r="U2580" s="79">
        <v>0</v>
      </c>
      <c r="V2580" s="189">
        <v>735.56999999999994</v>
      </c>
      <c r="X2580" s="79">
        <v>657.03</v>
      </c>
      <c r="Y2580" s="79">
        <v>78.540000000000006</v>
      </c>
      <c r="Z2580" s="79">
        <v>735.57</v>
      </c>
      <c r="AA2580" s="255">
        <v>-1.0000000000104592E-2</v>
      </c>
      <c r="AC2580" s="254"/>
      <c r="AD2580" s="236"/>
      <c r="AE2580" s="236"/>
    </row>
    <row r="2581" spans="1:31" s="61" customFormat="1" ht="12">
      <c r="A2581" s="67" t="s">
        <v>15499</v>
      </c>
      <c r="B2581" s="65" t="s">
        <v>15500</v>
      </c>
      <c r="C2581" s="71" t="s">
        <v>103</v>
      </c>
      <c r="D2581" s="78">
        <v>1</v>
      </c>
      <c r="E2581" s="79">
        <v>431.6</v>
      </c>
      <c r="F2581" s="70">
        <v>431.6</v>
      </c>
      <c r="G2581" s="320"/>
      <c r="H2581" s="79">
        <v>353.07</v>
      </c>
      <c r="I2581" s="79">
        <v>78.53</v>
      </c>
      <c r="J2581" s="79">
        <v>431.6</v>
      </c>
      <c r="K2581" s="79">
        <v>0</v>
      </c>
      <c r="L2581" s="70">
        <v>431.6</v>
      </c>
      <c r="M2581" s="132"/>
      <c r="N2581" s="79">
        <v>353.07</v>
      </c>
      <c r="O2581" s="79">
        <v>78.53</v>
      </c>
      <c r="P2581" s="79">
        <v>431.6</v>
      </c>
      <c r="Q2581" s="136"/>
      <c r="R2581" s="79">
        <v>353.07</v>
      </c>
      <c r="S2581" s="79">
        <v>78.540000000000006</v>
      </c>
      <c r="T2581" s="79">
        <v>431.61</v>
      </c>
      <c r="U2581" s="79">
        <v>0</v>
      </c>
      <c r="V2581" s="189">
        <v>431.61</v>
      </c>
      <c r="X2581" s="79">
        <v>353.07</v>
      </c>
      <c r="Y2581" s="79">
        <v>78.540000000000006</v>
      </c>
      <c r="Z2581" s="79">
        <v>431.61</v>
      </c>
      <c r="AA2581" s="255">
        <v>-9.9999999999909051E-3</v>
      </c>
      <c r="AC2581" s="254"/>
      <c r="AD2581" s="236"/>
      <c r="AE2581" s="236"/>
    </row>
    <row r="2582" spans="1:31" ht="12">
      <c r="A2582" s="67" t="s">
        <v>15501</v>
      </c>
      <c r="B2582" s="65" t="s">
        <v>15502</v>
      </c>
      <c r="C2582" s="71" t="s">
        <v>103</v>
      </c>
      <c r="D2582" s="78">
        <v>1</v>
      </c>
      <c r="E2582" s="79">
        <v>2466.9200000000005</v>
      </c>
      <c r="F2582" s="70">
        <v>2466.92</v>
      </c>
      <c r="G2582" s="320"/>
      <c r="H2582" s="79">
        <v>2125.94</v>
      </c>
      <c r="I2582" s="79">
        <v>340.98</v>
      </c>
      <c r="J2582" s="79">
        <v>2466.92</v>
      </c>
      <c r="K2582" s="79">
        <v>0</v>
      </c>
      <c r="L2582" s="70">
        <v>2466.92</v>
      </c>
      <c r="M2582" s="132"/>
      <c r="N2582" s="79">
        <v>2125.94</v>
      </c>
      <c r="O2582" s="79">
        <v>340.98</v>
      </c>
      <c r="P2582" s="79">
        <v>2466.92</v>
      </c>
      <c r="Q2582" s="136"/>
      <c r="R2582" s="79">
        <v>2125.94</v>
      </c>
      <c r="S2582" s="79">
        <v>340.98</v>
      </c>
      <c r="T2582" s="79">
        <v>2466.92</v>
      </c>
      <c r="U2582" s="79">
        <v>0</v>
      </c>
      <c r="V2582" s="189">
        <v>2466.92</v>
      </c>
      <c r="X2582" s="79">
        <v>2125.94</v>
      </c>
      <c r="Y2582" s="79">
        <v>340.98</v>
      </c>
      <c r="Z2582" s="79">
        <v>2466.92</v>
      </c>
      <c r="AA2582" s="255">
        <v>0</v>
      </c>
      <c r="AC2582" s="254"/>
    </row>
    <row r="2583" spans="1:31" ht="12">
      <c r="A2583" s="67" t="s">
        <v>15503</v>
      </c>
      <c r="B2583" s="65" t="s">
        <v>15504</v>
      </c>
      <c r="C2583" s="71" t="s">
        <v>103</v>
      </c>
      <c r="D2583" s="78">
        <v>1</v>
      </c>
      <c r="E2583" s="79">
        <v>2589.7800000000002</v>
      </c>
      <c r="F2583" s="70">
        <v>2589.7800000000002</v>
      </c>
      <c r="G2583" s="320"/>
      <c r="H2583" s="79">
        <v>2463.61</v>
      </c>
      <c r="I2583" s="79">
        <v>126.17</v>
      </c>
      <c r="J2583" s="79">
        <v>2589.7800000000002</v>
      </c>
      <c r="K2583" s="79">
        <v>0</v>
      </c>
      <c r="L2583" s="70">
        <v>2589.7800000000002</v>
      </c>
      <c r="M2583" s="132"/>
      <c r="N2583" s="79">
        <v>2463.61</v>
      </c>
      <c r="O2583" s="79">
        <v>126.17</v>
      </c>
      <c r="P2583" s="79">
        <v>2589.7800000000002</v>
      </c>
      <c r="Q2583" s="136"/>
      <c r="R2583" s="79">
        <v>2463.61</v>
      </c>
      <c r="S2583" s="79">
        <v>126.15</v>
      </c>
      <c r="T2583" s="79">
        <v>2589.7600000000002</v>
      </c>
      <c r="U2583" s="79">
        <v>0</v>
      </c>
      <c r="V2583" s="189">
        <v>2589.7600000000002</v>
      </c>
      <c r="X2583" s="79">
        <v>2463.61</v>
      </c>
      <c r="Y2583" s="79">
        <v>126.15</v>
      </c>
      <c r="Z2583" s="79">
        <v>2589.7600000000002</v>
      </c>
      <c r="AA2583" s="255">
        <v>1.999999999998181E-2</v>
      </c>
      <c r="AC2583" s="254"/>
    </row>
    <row r="2584" spans="1:31" ht="12">
      <c r="A2584" s="67" t="s">
        <v>15505</v>
      </c>
      <c r="B2584" s="65" t="s">
        <v>15506</v>
      </c>
      <c r="C2584" s="71" t="s">
        <v>103</v>
      </c>
      <c r="D2584" s="78">
        <v>1</v>
      </c>
      <c r="E2584" s="79">
        <v>2215.17</v>
      </c>
      <c r="F2584" s="70">
        <v>2215.17</v>
      </c>
      <c r="G2584" s="320"/>
      <c r="H2584" s="79">
        <v>2089</v>
      </c>
      <c r="I2584" s="79">
        <v>126.17</v>
      </c>
      <c r="J2584" s="79">
        <v>2215.17</v>
      </c>
      <c r="K2584" s="79">
        <v>0</v>
      </c>
      <c r="L2584" s="70">
        <v>2215.17</v>
      </c>
      <c r="M2584" s="132"/>
      <c r="N2584" s="79">
        <v>2089</v>
      </c>
      <c r="O2584" s="79">
        <v>126.17</v>
      </c>
      <c r="P2584" s="79">
        <v>2215.17</v>
      </c>
      <c r="Q2584" s="136"/>
      <c r="R2584" s="79">
        <v>2089</v>
      </c>
      <c r="S2584" s="79">
        <v>126.15</v>
      </c>
      <c r="T2584" s="79">
        <v>2215.15</v>
      </c>
      <c r="U2584" s="79">
        <v>0</v>
      </c>
      <c r="V2584" s="189">
        <v>2215.15</v>
      </c>
      <c r="X2584" s="79">
        <v>2089</v>
      </c>
      <c r="Y2584" s="79">
        <v>126.15</v>
      </c>
      <c r="Z2584" s="79">
        <v>2215.15</v>
      </c>
      <c r="AA2584" s="255">
        <v>1.999999999998181E-2</v>
      </c>
      <c r="AC2584" s="254"/>
    </row>
    <row r="2585" spans="1:31" ht="24">
      <c r="A2585" s="67" t="s">
        <v>15507</v>
      </c>
      <c r="B2585" s="65" t="s">
        <v>15508</v>
      </c>
      <c r="C2585" s="71" t="s">
        <v>103</v>
      </c>
      <c r="D2585" s="78">
        <v>1</v>
      </c>
      <c r="E2585" s="79">
        <v>721.12</v>
      </c>
      <c r="F2585" s="70">
        <v>721.12</v>
      </c>
      <c r="G2585" s="320"/>
      <c r="H2585" s="79">
        <v>639.78</v>
      </c>
      <c r="I2585" s="79">
        <v>81.34</v>
      </c>
      <c r="J2585" s="79">
        <v>721.12</v>
      </c>
      <c r="K2585" s="79">
        <v>0</v>
      </c>
      <c r="L2585" s="70">
        <v>721.12</v>
      </c>
      <c r="M2585" s="132"/>
      <c r="N2585" s="79">
        <v>639.78</v>
      </c>
      <c r="O2585" s="79">
        <v>81.34</v>
      </c>
      <c r="P2585" s="79">
        <v>721.12</v>
      </c>
      <c r="Q2585" s="136"/>
      <c r="R2585" s="79">
        <v>639.78</v>
      </c>
      <c r="S2585" s="79">
        <v>81.34</v>
      </c>
      <c r="T2585" s="79">
        <v>721.12</v>
      </c>
      <c r="U2585" s="79">
        <v>0</v>
      </c>
      <c r="V2585" s="189">
        <v>721.12</v>
      </c>
      <c r="X2585" s="79">
        <v>639.78</v>
      </c>
      <c r="Y2585" s="79">
        <v>81.34</v>
      </c>
      <c r="Z2585" s="79">
        <v>721.12</v>
      </c>
      <c r="AA2585" s="255">
        <v>0</v>
      </c>
      <c r="AC2585" s="254"/>
    </row>
    <row r="2586" spans="1:31" ht="24">
      <c r="A2586" s="67" t="s">
        <v>15509</v>
      </c>
      <c r="B2586" s="65" t="s">
        <v>15510</v>
      </c>
      <c r="C2586" s="71" t="s">
        <v>103</v>
      </c>
      <c r="D2586" s="78">
        <v>1</v>
      </c>
      <c r="E2586" s="79">
        <v>754.5200000000001</v>
      </c>
      <c r="F2586" s="70">
        <v>754.52</v>
      </c>
      <c r="G2586" s="320"/>
      <c r="H2586" s="79">
        <v>673.18000000000006</v>
      </c>
      <c r="I2586" s="79">
        <v>81.34</v>
      </c>
      <c r="J2586" s="79">
        <v>754.5200000000001</v>
      </c>
      <c r="K2586" s="79">
        <v>0</v>
      </c>
      <c r="L2586" s="70">
        <v>754.5200000000001</v>
      </c>
      <c r="M2586" s="132"/>
      <c r="N2586" s="79">
        <v>673.18000000000006</v>
      </c>
      <c r="O2586" s="79">
        <v>81.34</v>
      </c>
      <c r="P2586" s="79">
        <v>754.5200000000001</v>
      </c>
      <c r="Q2586" s="136"/>
      <c r="R2586" s="79">
        <v>673.18</v>
      </c>
      <c r="S2586" s="79">
        <v>81.34</v>
      </c>
      <c r="T2586" s="79">
        <v>754.52</v>
      </c>
      <c r="U2586" s="79">
        <v>0</v>
      </c>
      <c r="V2586" s="189">
        <v>754.52</v>
      </c>
      <c r="X2586" s="79">
        <v>673.18</v>
      </c>
      <c r="Y2586" s="79">
        <v>81.34</v>
      </c>
      <c r="Z2586" s="79">
        <v>754.52</v>
      </c>
      <c r="AA2586" s="255">
        <v>0</v>
      </c>
      <c r="AC2586" s="254"/>
    </row>
    <row r="2587" spans="1:31" ht="12">
      <c r="A2587" s="67" t="s">
        <v>15511</v>
      </c>
      <c r="B2587" s="65" t="s">
        <v>15512</v>
      </c>
      <c r="C2587" s="71" t="s">
        <v>103</v>
      </c>
      <c r="D2587" s="78">
        <v>1</v>
      </c>
      <c r="E2587" s="79">
        <v>1721.0500000000002</v>
      </c>
      <c r="F2587" s="70">
        <v>1721.05</v>
      </c>
      <c r="G2587" s="320"/>
      <c r="H2587" s="79">
        <v>1594.88</v>
      </c>
      <c r="I2587" s="79">
        <v>126.17</v>
      </c>
      <c r="J2587" s="79">
        <v>1721.0500000000002</v>
      </c>
      <c r="K2587" s="79">
        <v>0</v>
      </c>
      <c r="L2587" s="70">
        <v>1721.0500000000002</v>
      </c>
      <c r="M2587" s="132"/>
      <c r="N2587" s="79">
        <v>1594.88</v>
      </c>
      <c r="O2587" s="79">
        <v>126.17</v>
      </c>
      <c r="P2587" s="79">
        <v>1721.0500000000002</v>
      </c>
      <c r="Q2587" s="136"/>
      <c r="R2587" s="79">
        <v>1594.88</v>
      </c>
      <c r="S2587" s="79">
        <v>126.15</v>
      </c>
      <c r="T2587" s="79">
        <v>1721.0300000000002</v>
      </c>
      <c r="U2587" s="79">
        <v>0</v>
      </c>
      <c r="V2587" s="189">
        <v>1721.0300000000002</v>
      </c>
      <c r="X2587" s="79">
        <v>1594.88</v>
      </c>
      <c r="Y2587" s="79">
        <v>126.15</v>
      </c>
      <c r="Z2587" s="79">
        <v>1721.03</v>
      </c>
      <c r="AA2587" s="255">
        <v>1.999999999998181E-2</v>
      </c>
      <c r="AC2587" s="254"/>
    </row>
    <row r="2588" spans="1:31" ht="12">
      <c r="A2588" s="67" t="s">
        <v>15513</v>
      </c>
      <c r="B2588" s="65" t="s">
        <v>15514</v>
      </c>
      <c r="C2588" s="71" t="s">
        <v>103</v>
      </c>
      <c r="D2588" s="78">
        <v>1</v>
      </c>
      <c r="E2588" s="79">
        <v>2000.3999999999999</v>
      </c>
      <c r="F2588" s="70">
        <v>2000.4</v>
      </c>
      <c r="G2588" s="320"/>
      <c r="H2588" s="79">
        <v>1435.8700000000001</v>
      </c>
      <c r="I2588" s="79">
        <v>564.53</v>
      </c>
      <c r="J2588" s="79">
        <v>2000.4</v>
      </c>
      <c r="K2588" s="79">
        <v>0</v>
      </c>
      <c r="L2588" s="70">
        <v>2000.4</v>
      </c>
      <c r="M2588" s="132"/>
      <c r="N2588" s="79">
        <v>1435.8700000000001</v>
      </c>
      <c r="O2588" s="79">
        <v>564.53</v>
      </c>
      <c r="P2588" s="79">
        <v>2000.4</v>
      </c>
      <c r="Q2588" s="136"/>
      <c r="R2588" s="79">
        <v>1435.87</v>
      </c>
      <c r="S2588" s="79">
        <v>564.57000000000005</v>
      </c>
      <c r="T2588" s="79">
        <v>2000.44</v>
      </c>
      <c r="U2588" s="79">
        <v>0</v>
      </c>
      <c r="V2588" s="189">
        <v>2000.44</v>
      </c>
      <c r="X2588" s="79">
        <v>1435.87</v>
      </c>
      <c r="Y2588" s="79">
        <v>564.57000000000005</v>
      </c>
      <c r="Z2588" s="79">
        <v>2000.44</v>
      </c>
      <c r="AA2588" s="255">
        <v>-3.999999999996362E-2</v>
      </c>
      <c r="AC2588" s="254"/>
    </row>
    <row r="2589" spans="1:31" ht="12">
      <c r="A2589" s="67" t="s">
        <v>15515</v>
      </c>
      <c r="B2589" s="65" t="s">
        <v>15516</v>
      </c>
      <c r="C2589" s="71" t="s">
        <v>103</v>
      </c>
      <c r="D2589" s="78">
        <v>1</v>
      </c>
      <c r="E2589" s="79">
        <v>1206.98</v>
      </c>
      <c r="F2589" s="70">
        <v>1206.98</v>
      </c>
      <c r="G2589" s="320"/>
      <c r="H2589" s="79">
        <v>1080.81</v>
      </c>
      <c r="I2589" s="79">
        <v>126.17</v>
      </c>
      <c r="J2589" s="79">
        <v>1206.98</v>
      </c>
      <c r="K2589" s="79">
        <v>0</v>
      </c>
      <c r="L2589" s="70">
        <v>1206.98</v>
      </c>
      <c r="M2589" s="132"/>
      <c r="N2589" s="79">
        <v>1080.81</v>
      </c>
      <c r="O2589" s="79">
        <v>126.17</v>
      </c>
      <c r="P2589" s="79">
        <v>1206.98</v>
      </c>
      <c r="Q2589" s="136"/>
      <c r="R2589" s="79">
        <v>1080.81</v>
      </c>
      <c r="S2589" s="79">
        <v>126.15</v>
      </c>
      <c r="T2589" s="79">
        <v>1206.96</v>
      </c>
      <c r="U2589" s="79">
        <v>0</v>
      </c>
      <c r="V2589" s="189">
        <v>1206.96</v>
      </c>
      <c r="X2589" s="79">
        <v>1080.81</v>
      </c>
      <c r="Y2589" s="79">
        <v>126.15</v>
      </c>
      <c r="Z2589" s="79">
        <v>1206.96</v>
      </c>
      <c r="AA2589" s="255">
        <v>1.999999999998181E-2</v>
      </c>
      <c r="AC2589" s="254"/>
    </row>
    <row r="2590" spans="1:31" ht="12">
      <c r="A2590" s="489" t="s">
        <v>15517</v>
      </c>
      <c r="B2590" s="490" t="s">
        <v>15518</v>
      </c>
      <c r="C2590" s="491"/>
      <c r="D2590" s="492"/>
      <c r="E2590" s="79"/>
      <c r="F2590" s="63"/>
      <c r="G2590" s="320"/>
      <c r="H2590" s="79"/>
      <c r="I2590" s="79"/>
      <c r="J2590" s="79"/>
      <c r="K2590" s="79"/>
      <c r="L2590" s="70"/>
      <c r="M2590" s="132"/>
      <c r="N2590" s="79"/>
      <c r="O2590" s="79"/>
      <c r="P2590" s="79"/>
      <c r="Q2590" s="136"/>
      <c r="R2590" s="79"/>
      <c r="S2590" s="79"/>
      <c r="T2590" s="79"/>
      <c r="U2590" s="79"/>
      <c r="V2590" s="189"/>
      <c r="X2590" s="79"/>
      <c r="Y2590" s="79"/>
      <c r="Z2590" s="79"/>
      <c r="AA2590" s="255"/>
      <c r="AC2590" s="254"/>
    </row>
    <row r="2591" spans="1:31" ht="12">
      <c r="A2591" s="67" t="s">
        <v>15519</v>
      </c>
      <c r="B2591" s="65" t="s">
        <v>15520</v>
      </c>
      <c r="C2591" s="71" t="s">
        <v>103</v>
      </c>
      <c r="D2591" s="78">
        <v>1</v>
      </c>
      <c r="E2591" s="79">
        <v>531.05999999999995</v>
      </c>
      <c r="F2591" s="70">
        <v>531.05999999999995</v>
      </c>
      <c r="G2591" s="320"/>
      <c r="H2591" s="79">
        <v>491.78</v>
      </c>
      <c r="I2591" s="79">
        <v>39.28</v>
      </c>
      <c r="J2591" s="79">
        <v>531.05999999999995</v>
      </c>
      <c r="K2591" s="79">
        <v>0</v>
      </c>
      <c r="L2591" s="70">
        <v>531.05999999999995</v>
      </c>
      <c r="M2591" s="132"/>
      <c r="N2591" s="79">
        <v>491.78</v>
      </c>
      <c r="O2591" s="79">
        <v>39.28</v>
      </c>
      <c r="P2591" s="79">
        <v>531.05999999999995</v>
      </c>
      <c r="Q2591" s="136"/>
      <c r="R2591" s="79">
        <v>491.78</v>
      </c>
      <c r="S2591" s="79">
        <v>39.270000000000003</v>
      </c>
      <c r="T2591" s="79">
        <v>531.04999999999995</v>
      </c>
      <c r="U2591" s="79">
        <v>0</v>
      </c>
      <c r="V2591" s="189">
        <v>531.04999999999995</v>
      </c>
      <c r="X2591" s="79">
        <v>491.78</v>
      </c>
      <c r="Y2591" s="79">
        <v>39.270000000000003</v>
      </c>
      <c r="Z2591" s="79">
        <v>531.04999999999995</v>
      </c>
      <c r="AA2591" s="255">
        <v>9.9999999999909051E-3</v>
      </c>
      <c r="AC2591" s="254"/>
      <c r="AD2591" s="61"/>
      <c r="AE2591" s="61"/>
    </row>
    <row r="2592" spans="1:31" ht="12">
      <c r="A2592" s="67" t="s">
        <v>15521</v>
      </c>
      <c r="B2592" s="65" t="s">
        <v>15522</v>
      </c>
      <c r="C2592" s="71" t="s">
        <v>103</v>
      </c>
      <c r="D2592" s="78">
        <v>1</v>
      </c>
      <c r="E2592" s="79">
        <v>148.04999999999998</v>
      </c>
      <c r="F2592" s="70">
        <v>148.05000000000001</v>
      </c>
      <c r="G2592" s="320"/>
      <c r="H2592" s="79">
        <v>131.29999999999998</v>
      </c>
      <c r="I2592" s="79">
        <v>16.75</v>
      </c>
      <c r="J2592" s="79">
        <v>148.04999999999998</v>
      </c>
      <c r="K2592" s="79">
        <v>0</v>
      </c>
      <c r="L2592" s="70">
        <v>148.04999999999998</v>
      </c>
      <c r="M2592" s="132"/>
      <c r="N2592" s="79">
        <v>131.29999999999998</v>
      </c>
      <c r="O2592" s="79">
        <v>16.75</v>
      </c>
      <c r="P2592" s="79">
        <v>148.04999999999998</v>
      </c>
      <c r="Q2592" s="136"/>
      <c r="R2592" s="79">
        <v>131.30000000000001</v>
      </c>
      <c r="S2592" s="79">
        <v>16.75</v>
      </c>
      <c r="T2592" s="79">
        <v>148.05000000000001</v>
      </c>
      <c r="U2592" s="79">
        <v>0</v>
      </c>
      <c r="V2592" s="189">
        <v>148.05000000000001</v>
      </c>
      <c r="X2592" s="79">
        <v>131.30000000000001</v>
      </c>
      <c r="Y2592" s="79">
        <v>16.75</v>
      </c>
      <c r="Z2592" s="79">
        <v>148.05000000000001</v>
      </c>
      <c r="AA2592" s="255">
        <v>0</v>
      </c>
      <c r="AC2592" s="254"/>
      <c r="AD2592" s="61"/>
      <c r="AE2592" s="61"/>
    </row>
    <row r="2593" spans="1:31" ht="12">
      <c r="A2593" s="67" t="s">
        <v>15523</v>
      </c>
      <c r="B2593" s="65" t="s">
        <v>15524</v>
      </c>
      <c r="C2593" s="71" t="s">
        <v>103</v>
      </c>
      <c r="D2593" s="78">
        <v>1</v>
      </c>
      <c r="E2593" s="79">
        <v>52.24</v>
      </c>
      <c r="F2593" s="70">
        <v>52.24</v>
      </c>
      <c r="G2593" s="320"/>
      <c r="H2593" s="79">
        <v>35.49</v>
      </c>
      <c r="I2593" s="79">
        <v>16.75</v>
      </c>
      <c r="J2593" s="79">
        <v>52.24</v>
      </c>
      <c r="K2593" s="79">
        <v>0</v>
      </c>
      <c r="L2593" s="70">
        <v>52.24</v>
      </c>
      <c r="M2593" s="132"/>
      <c r="N2593" s="79">
        <v>35.49</v>
      </c>
      <c r="O2593" s="79">
        <v>16.75</v>
      </c>
      <c r="P2593" s="79">
        <v>52.24</v>
      </c>
      <c r="Q2593" s="136"/>
      <c r="R2593" s="79">
        <v>35.49</v>
      </c>
      <c r="S2593" s="79">
        <v>16.75</v>
      </c>
      <c r="T2593" s="79">
        <v>52.24</v>
      </c>
      <c r="U2593" s="79">
        <v>0</v>
      </c>
      <c r="V2593" s="189">
        <v>52.24</v>
      </c>
      <c r="X2593" s="79">
        <v>35.49</v>
      </c>
      <c r="Y2593" s="79">
        <v>16.75</v>
      </c>
      <c r="Z2593" s="79">
        <v>52.24</v>
      </c>
      <c r="AA2593" s="255">
        <v>0</v>
      </c>
      <c r="AC2593" s="254"/>
      <c r="AD2593" s="61"/>
      <c r="AE2593" s="61"/>
    </row>
    <row r="2594" spans="1:31" s="61" customFormat="1" ht="12">
      <c r="A2594" s="67" t="s">
        <v>15525</v>
      </c>
      <c r="B2594" s="65" t="s">
        <v>15526</v>
      </c>
      <c r="C2594" s="71" t="s">
        <v>103</v>
      </c>
      <c r="D2594" s="78">
        <v>1</v>
      </c>
      <c r="E2594" s="79">
        <v>425.78000000000003</v>
      </c>
      <c r="F2594" s="70">
        <v>425.78</v>
      </c>
      <c r="G2594" s="320"/>
      <c r="H2594" s="79">
        <v>386.5</v>
      </c>
      <c r="I2594" s="79">
        <v>39.28</v>
      </c>
      <c r="J2594" s="79">
        <v>425.78</v>
      </c>
      <c r="K2594" s="79">
        <v>0</v>
      </c>
      <c r="L2594" s="70">
        <v>425.78</v>
      </c>
      <c r="M2594" s="132"/>
      <c r="N2594" s="79">
        <v>386.5</v>
      </c>
      <c r="O2594" s="79">
        <v>39.28</v>
      </c>
      <c r="P2594" s="79">
        <v>425.78</v>
      </c>
      <c r="Q2594" s="136"/>
      <c r="R2594" s="79">
        <v>386.5</v>
      </c>
      <c r="S2594" s="79">
        <v>39.270000000000003</v>
      </c>
      <c r="T2594" s="79">
        <v>425.77</v>
      </c>
      <c r="U2594" s="79">
        <v>0</v>
      </c>
      <c r="V2594" s="189">
        <v>425.77</v>
      </c>
      <c r="X2594" s="79">
        <v>386.5</v>
      </c>
      <c r="Y2594" s="79">
        <v>39.270000000000003</v>
      </c>
      <c r="Z2594" s="79">
        <v>425.77</v>
      </c>
      <c r="AA2594" s="255">
        <v>9.9999999999909051E-3</v>
      </c>
      <c r="AC2594" s="254"/>
      <c r="AD2594" s="236"/>
      <c r="AE2594" s="236"/>
    </row>
    <row r="2595" spans="1:31" s="61" customFormat="1" ht="12">
      <c r="A2595" s="67" t="s">
        <v>15527</v>
      </c>
      <c r="B2595" s="65" t="s">
        <v>15528</v>
      </c>
      <c r="C2595" s="71" t="s">
        <v>103</v>
      </c>
      <c r="D2595" s="78">
        <v>1</v>
      </c>
      <c r="E2595" s="79">
        <v>432.96</v>
      </c>
      <c r="F2595" s="70">
        <v>432.96</v>
      </c>
      <c r="G2595" s="320"/>
      <c r="H2595" s="79">
        <v>393.68</v>
      </c>
      <c r="I2595" s="79">
        <v>39.28</v>
      </c>
      <c r="J2595" s="79">
        <v>432.96000000000004</v>
      </c>
      <c r="K2595" s="79">
        <v>0</v>
      </c>
      <c r="L2595" s="70">
        <v>432.96000000000004</v>
      </c>
      <c r="M2595" s="132"/>
      <c r="N2595" s="79">
        <v>393.68</v>
      </c>
      <c r="O2595" s="79">
        <v>39.28</v>
      </c>
      <c r="P2595" s="79">
        <v>432.96000000000004</v>
      </c>
      <c r="Q2595" s="136"/>
      <c r="R2595" s="79">
        <v>393.68</v>
      </c>
      <c r="S2595" s="79">
        <v>39.270000000000003</v>
      </c>
      <c r="T2595" s="79">
        <v>432.95</v>
      </c>
      <c r="U2595" s="79">
        <v>0</v>
      </c>
      <c r="V2595" s="189">
        <v>432.95</v>
      </c>
      <c r="X2595" s="79">
        <v>393.68</v>
      </c>
      <c r="Y2595" s="79">
        <v>39.270000000000003</v>
      </c>
      <c r="Z2595" s="79">
        <v>432.95</v>
      </c>
      <c r="AA2595" s="255">
        <v>9.9999999999909051E-3</v>
      </c>
      <c r="AC2595" s="254"/>
      <c r="AD2595" s="236"/>
      <c r="AE2595" s="236"/>
    </row>
    <row r="2596" spans="1:31" s="61" customFormat="1" ht="24">
      <c r="A2596" s="67" t="s">
        <v>15529</v>
      </c>
      <c r="B2596" s="65" t="s">
        <v>15530</v>
      </c>
      <c r="C2596" s="71" t="s">
        <v>103</v>
      </c>
      <c r="D2596" s="78">
        <v>1</v>
      </c>
      <c r="E2596" s="79">
        <v>147.68</v>
      </c>
      <c r="F2596" s="70">
        <v>147.68</v>
      </c>
      <c r="G2596" s="320"/>
      <c r="H2596" s="79">
        <v>119.74</v>
      </c>
      <c r="I2596" s="79">
        <v>27.939999999999998</v>
      </c>
      <c r="J2596" s="79">
        <v>147.68</v>
      </c>
      <c r="K2596" s="79">
        <v>0</v>
      </c>
      <c r="L2596" s="70">
        <v>147.68</v>
      </c>
      <c r="M2596" s="132"/>
      <c r="N2596" s="79">
        <v>119.74</v>
      </c>
      <c r="O2596" s="79">
        <v>27.939999999999998</v>
      </c>
      <c r="P2596" s="79">
        <v>147.68</v>
      </c>
      <c r="Q2596" s="136"/>
      <c r="R2596" s="79">
        <v>119.74</v>
      </c>
      <c r="S2596" s="79">
        <v>27.92</v>
      </c>
      <c r="T2596" s="79">
        <v>147.66</v>
      </c>
      <c r="U2596" s="79">
        <v>0</v>
      </c>
      <c r="V2596" s="189">
        <v>147.66</v>
      </c>
      <c r="X2596" s="79">
        <v>119.74</v>
      </c>
      <c r="Y2596" s="79">
        <v>27.92</v>
      </c>
      <c r="Z2596" s="79">
        <v>147.66</v>
      </c>
      <c r="AA2596" s="498">
        <v>2.0000000000010232E-2</v>
      </c>
      <c r="AC2596" s="254"/>
      <c r="AD2596" s="236"/>
      <c r="AE2596" s="236"/>
    </row>
    <row r="2597" spans="1:31" s="61" customFormat="1" ht="12">
      <c r="A2597" s="67" t="s">
        <v>15531</v>
      </c>
      <c r="B2597" s="65" t="s">
        <v>15532</v>
      </c>
      <c r="C2597" s="71" t="s">
        <v>103</v>
      </c>
      <c r="D2597" s="78">
        <v>1</v>
      </c>
      <c r="E2597" s="79">
        <v>284.44</v>
      </c>
      <c r="F2597" s="70">
        <v>284.44</v>
      </c>
      <c r="G2597" s="320"/>
      <c r="H2597" s="79">
        <v>245.16</v>
      </c>
      <c r="I2597" s="79">
        <v>39.28</v>
      </c>
      <c r="J2597" s="79">
        <v>284.44</v>
      </c>
      <c r="K2597" s="79">
        <v>0</v>
      </c>
      <c r="L2597" s="70">
        <v>284.44</v>
      </c>
      <c r="M2597" s="132"/>
      <c r="N2597" s="79">
        <v>245.16</v>
      </c>
      <c r="O2597" s="79">
        <v>39.28</v>
      </c>
      <c r="P2597" s="79">
        <v>284.44</v>
      </c>
      <c r="Q2597" s="136"/>
      <c r="R2597" s="79">
        <v>245.16</v>
      </c>
      <c r="S2597" s="79">
        <v>39.270000000000003</v>
      </c>
      <c r="T2597" s="79">
        <v>284.43</v>
      </c>
      <c r="U2597" s="79">
        <v>0</v>
      </c>
      <c r="V2597" s="189">
        <v>284.43</v>
      </c>
      <c r="X2597" s="79">
        <v>245.16</v>
      </c>
      <c r="Y2597" s="79">
        <v>39.270000000000003</v>
      </c>
      <c r="Z2597" s="79">
        <v>284.43</v>
      </c>
      <c r="AA2597" s="498">
        <v>9.9999999999909051E-3</v>
      </c>
      <c r="AC2597" s="254"/>
      <c r="AD2597" s="236"/>
      <c r="AE2597" s="236"/>
    </row>
    <row r="2598" spans="1:31" ht="12">
      <c r="A2598" s="67" t="s">
        <v>15533</v>
      </c>
      <c r="B2598" s="65" t="s">
        <v>15534</v>
      </c>
      <c r="C2598" s="71" t="s">
        <v>103</v>
      </c>
      <c r="D2598" s="78">
        <v>1</v>
      </c>
      <c r="E2598" s="79">
        <v>83.8</v>
      </c>
      <c r="F2598" s="70">
        <v>83.8</v>
      </c>
      <c r="G2598" s="320"/>
      <c r="H2598" s="79">
        <v>67.05</v>
      </c>
      <c r="I2598" s="79">
        <v>16.75</v>
      </c>
      <c r="J2598" s="79">
        <v>83.8</v>
      </c>
      <c r="K2598" s="79">
        <v>0</v>
      </c>
      <c r="L2598" s="70">
        <v>83.8</v>
      </c>
      <c r="M2598" s="132"/>
      <c r="N2598" s="79">
        <v>67.05</v>
      </c>
      <c r="O2598" s="79">
        <v>16.75</v>
      </c>
      <c r="P2598" s="79">
        <v>83.8</v>
      </c>
      <c r="Q2598" s="136"/>
      <c r="R2598" s="79">
        <v>67.05</v>
      </c>
      <c r="S2598" s="79">
        <v>16.75</v>
      </c>
      <c r="T2598" s="79">
        <v>83.8</v>
      </c>
      <c r="U2598" s="79">
        <v>0</v>
      </c>
      <c r="V2598" s="189">
        <v>83.8</v>
      </c>
      <c r="X2598" s="79">
        <v>67.05</v>
      </c>
      <c r="Y2598" s="79">
        <v>16.75</v>
      </c>
      <c r="Z2598" s="79">
        <v>83.8</v>
      </c>
      <c r="AA2598" s="498">
        <v>0</v>
      </c>
      <c r="AC2598" s="254"/>
    </row>
    <row r="2599" spans="1:31" ht="12">
      <c r="A2599" s="67" t="s">
        <v>15535</v>
      </c>
      <c r="B2599" s="65" t="s">
        <v>15536</v>
      </c>
      <c r="C2599" s="71" t="s">
        <v>103</v>
      </c>
      <c r="D2599" s="78">
        <v>1</v>
      </c>
      <c r="E2599" s="79">
        <v>110.63</v>
      </c>
      <c r="F2599" s="70">
        <v>110.63</v>
      </c>
      <c r="G2599" s="320"/>
      <c r="H2599" s="79">
        <v>93.88</v>
      </c>
      <c r="I2599" s="79">
        <v>16.75</v>
      </c>
      <c r="J2599" s="79">
        <v>110.63</v>
      </c>
      <c r="K2599" s="79">
        <v>0</v>
      </c>
      <c r="L2599" s="70">
        <v>110.63</v>
      </c>
      <c r="M2599" s="132"/>
      <c r="N2599" s="79">
        <v>93.88</v>
      </c>
      <c r="O2599" s="79">
        <v>16.75</v>
      </c>
      <c r="P2599" s="79">
        <v>110.63</v>
      </c>
      <c r="Q2599" s="136"/>
      <c r="R2599" s="79">
        <v>93.88</v>
      </c>
      <c r="S2599" s="79">
        <v>16.75</v>
      </c>
      <c r="T2599" s="79">
        <v>110.63</v>
      </c>
      <c r="U2599" s="79">
        <v>0</v>
      </c>
      <c r="V2599" s="189">
        <v>110.63</v>
      </c>
      <c r="X2599" s="79">
        <v>93.88</v>
      </c>
      <c r="Y2599" s="79">
        <v>16.75</v>
      </c>
      <c r="Z2599" s="79">
        <v>110.63</v>
      </c>
      <c r="AA2599" s="498">
        <v>0</v>
      </c>
      <c r="AC2599" s="254"/>
    </row>
    <row r="2600" spans="1:31" ht="24">
      <c r="A2600" s="67" t="s">
        <v>15537</v>
      </c>
      <c r="B2600" s="65" t="s">
        <v>15538</v>
      </c>
      <c r="C2600" s="71" t="s">
        <v>103</v>
      </c>
      <c r="D2600" s="78">
        <v>1</v>
      </c>
      <c r="E2600" s="79">
        <v>7772.420000000001</v>
      </c>
      <c r="F2600" s="70">
        <v>7772.42</v>
      </c>
      <c r="G2600" s="320"/>
      <c r="H2600" s="79">
        <v>7733.14</v>
      </c>
      <c r="I2600" s="79">
        <v>39.28</v>
      </c>
      <c r="J2600" s="79">
        <v>7772.42</v>
      </c>
      <c r="K2600" s="79">
        <v>0</v>
      </c>
      <c r="L2600" s="70">
        <v>7772.42</v>
      </c>
      <c r="M2600" s="132"/>
      <c r="N2600" s="79">
        <v>7733.14</v>
      </c>
      <c r="O2600" s="79">
        <v>39.28</v>
      </c>
      <c r="P2600" s="79">
        <v>7772.42</v>
      </c>
      <c r="Q2600" s="136"/>
      <c r="R2600" s="79">
        <v>7733.14</v>
      </c>
      <c r="S2600" s="79">
        <v>39.270000000000003</v>
      </c>
      <c r="T2600" s="79">
        <v>7772.4100000000008</v>
      </c>
      <c r="U2600" s="79">
        <v>0</v>
      </c>
      <c r="V2600" s="189">
        <v>7772.4100000000008</v>
      </c>
      <c r="X2600" s="79">
        <v>7733.14</v>
      </c>
      <c r="Y2600" s="79">
        <v>39.270000000000003</v>
      </c>
      <c r="Z2600" s="79">
        <v>7772.41</v>
      </c>
      <c r="AA2600" s="498">
        <v>1.0000000000218279E-2</v>
      </c>
      <c r="AC2600" s="254"/>
    </row>
    <row r="2601" spans="1:31" ht="24">
      <c r="A2601" s="67" t="s">
        <v>15539</v>
      </c>
      <c r="B2601" s="65" t="s">
        <v>40966</v>
      </c>
      <c r="C2601" s="71" t="s">
        <v>103</v>
      </c>
      <c r="D2601" s="78">
        <v>1</v>
      </c>
      <c r="E2601" s="79">
        <v>714.19</v>
      </c>
      <c r="F2601" s="70">
        <v>714.19</v>
      </c>
      <c r="G2601" s="320"/>
      <c r="H2601" s="79">
        <v>674.91000000000008</v>
      </c>
      <c r="I2601" s="79">
        <v>39.28</v>
      </c>
      <c r="J2601" s="79">
        <v>714.19</v>
      </c>
      <c r="K2601" s="79">
        <v>0</v>
      </c>
      <c r="L2601" s="70">
        <v>714.19</v>
      </c>
      <c r="M2601" s="132"/>
      <c r="N2601" s="79">
        <v>674.91000000000008</v>
      </c>
      <c r="O2601" s="79">
        <v>39.28</v>
      </c>
      <c r="P2601" s="79">
        <v>714.19</v>
      </c>
      <c r="Q2601" s="136"/>
      <c r="R2601" s="79">
        <v>674.91</v>
      </c>
      <c r="S2601" s="79">
        <v>39.270000000000003</v>
      </c>
      <c r="T2601" s="79">
        <v>714.18</v>
      </c>
      <c r="U2601" s="79">
        <v>0</v>
      </c>
      <c r="V2601" s="189">
        <v>714.18</v>
      </c>
      <c r="X2601" s="79">
        <v>674.91</v>
      </c>
      <c r="Y2601" s="79">
        <v>39.270000000000003</v>
      </c>
      <c r="Z2601" s="79">
        <v>714.18</v>
      </c>
      <c r="AA2601" s="255">
        <v>1.0000000000104592E-2</v>
      </c>
      <c r="AC2601" s="254"/>
      <c r="AD2601" s="61"/>
      <c r="AE2601" s="61"/>
    </row>
    <row r="2602" spans="1:31" ht="24">
      <c r="A2602" s="67" t="s">
        <v>15540</v>
      </c>
      <c r="B2602" s="65" t="s">
        <v>15541</v>
      </c>
      <c r="C2602" s="71" t="s">
        <v>103</v>
      </c>
      <c r="D2602" s="78">
        <v>1</v>
      </c>
      <c r="E2602" s="79">
        <v>681.09</v>
      </c>
      <c r="F2602" s="70">
        <v>681.09</v>
      </c>
      <c r="G2602" s="320"/>
      <c r="H2602" s="79">
        <v>641.81000000000006</v>
      </c>
      <c r="I2602" s="79">
        <v>39.28</v>
      </c>
      <c r="J2602" s="79">
        <v>681.09</v>
      </c>
      <c r="K2602" s="79">
        <v>0</v>
      </c>
      <c r="L2602" s="70">
        <v>681.09</v>
      </c>
      <c r="M2602" s="132"/>
      <c r="N2602" s="79">
        <v>641.81000000000006</v>
      </c>
      <c r="O2602" s="79">
        <v>39.28</v>
      </c>
      <c r="P2602" s="79">
        <v>681.09</v>
      </c>
      <c r="Q2602" s="136"/>
      <c r="R2602" s="79">
        <v>641.80999999999995</v>
      </c>
      <c r="S2602" s="79">
        <v>39.270000000000003</v>
      </c>
      <c r="T2602" s="79">
        <v>681.07999999999993</v>
      </c>
      <c r="U2602" s="79">
        <v>0</v>
      </c>
      <c r="V2602" s="189">
        <v>681.07999999999993</v>
      </c>
      <c r="X2602" s="79">
        <v>641.80999999999995</v>
      </c>
      <c r="Y2602" s="79">
        <v>39.270000000000003</v>
      </c>
      <c r="Z2602" s="79">
        <v>681.08</v>
      </c>
      <c r="AA2602" s="255">
        <v>9.9999999999909051E-3</v>
      </c>
      <c r="AC2602" s="254"/>
      <c r="AD2602" s="61"/>
      <c r="AE2602" s="61"/>
    </row>
    <row r="2603" spans="1:31" ht="24">
      <c r="A2603" s="67" t="s">
        <v>15542</v>
      </c>
      <c r="B2603" s="65" t="s">
        <v>15543</v>
      </c>
      <c r="C2603" s="71" t="s">
        <v>103</v>
      </c>
      <c r="D2603" s="78">
        <v>1</v>
      </c>
      <c r="E2603" s="79">
        <v>1072.25</v>
      </c>
      <c r="F2603" s="70">
        <v>1072.25</v>
      </c>
      <c r="G2603" s="320"/>
      <c r="H2603" s="79">
        <v>1032.97</v>
      </c>
      <c r="I2603" s="79">
        <v>39.28</v>
      </c>
      <c r="J2603" s="79">
        <v>1072.25</v>
      </c>
      <c r="K2603" s="79">
        <v>0</v>
      </c>
      <c r="L2603" s="70">
        <v>1072.25</v>
      </c>
      <c r="M2603" s="132"/>
      <c r="N2603" s="79">
        <v>1032.97</v>
      </c>
      <c r="O2603" s="79">
        <v>39.28</v>
      </c>
      <c r="P2603" s="79">
        <v>1072.25</v>
      </c>
      <c r="Q2603" s="136"/>
      <c r="R2603" s="79">
        <v>1032.97</v>
      </c>
      <c r="S2603" s="79">
        <v>39.270000000000003</v>
      </c>
      <c r="T2603" s="79">
        <v>1072.24</v>
      </c>
      <c r="U2603" s="79">
        <v>0</v>
      </c>
      <c r="V2603" s="189">
        <v>1072.24</v>
      </c>
      <c r="X2603" s="79">
        <v>1032.97</v>
      </c>
      <c r="Y2603" s="79">
        <v>39.270000000000003</v>
      </c>
      <c r="Z2603" s="79">
        <v>1072.24</v>
      </c>
      <c r="AA2603" s="255">
        <v>9.9999999999909051E-3</v>
      </c>
      <c r="AC2603" s="254"/>
      <c r="AD2603" s="61"/>
      <c r="AE2603" s="61"/>
    </row>
    <row r="2604" spans="1:31" ht="24">
      <c r="A2604" s="67" t="s">
        <v>15544</v>
      </c>
      <c r="B2604" s="65" t="s">
        <v>15545</v>
      </c>
      <c r="C2604" s="71" t="s">
        <v>103</v>
      </c>
      <c r="D2604" s="78">
        <v>1</v>
      </c>
      <c r="E2604" s="79">
        <v>364.09</v>
      </c>
      <c r="F2604" s="70">
        <v>364.09</v>
      </c>
      <c r="G2604" s="320"/>
      <c r="H2604" s="79">
        <v>324.81</v>
      </c>
      <c r="I2604" s="79">
        <v>39.28</v>
      </c>
      <c r="J2604" s="79">
        <v>364.09000000000003</v>
      </c>
      <c r="K2604" s="79">
        <v>0</v>
      </c>
      <c r="L2604" s="70">
        <v>364.09000000000003</v>
      </c>
      <c r="M2604" s="132"/>
      <c r="N2604" s="79">
        <v>324.81</v>
      </c>
      <c r="O2604" s="79">
        <v>39.28</v>
      </c>
      <c r="P2604" s="79">
        <v>364.09000000000003</v>
      </c>
      <c r="Q2604" s="136"/>
      <c r="R2604" s="79">
        <v>324.81</v>
      </c>
      <c r="S2604" s="79">
        <v>39.270000000000003</v>
      </c>
      <c r="T2604" s="79">
        <v>364.08</v>
      </c>
      <c r="U2604" s="79">
        <v>0</v>
      </c>
      <c r="V2604" s="189">
        <v>364.08</v>
      </c>
      <c r="X2604" s="79">
        <v>324.81</v>
      </c>
      <c r="Y2604" s="79">
        <v>39.270000000000003</v>
      </c>
      <c r="Z2604" s="79">
        <v>364.08</v>
      </c>
      <c r="AA2604" s="255">
        <v>9.9999999999909051E-3</v>
      </c>
      <c r="AC2604" s="254"/>
      <c r="AD2604" s="61"/>
      <c r="AE2604" s="61"/>
    </row>
    <row r="2605" spans="1:31" s="61" customFormat="1" ht="24">
      <c r="A2605" s="63" t="s">
        <v>15546</v>
      </c>
      <c r="B2605" s="64" t="s">
        <v>15547</v>
      </c>
      <c r="C2605" s="71" t="s">
        <v>103</v>
      </c>
      <c r="D2605" s="78">
        <v>1</v>
      </c>
      <c r="E2605" s="79">
        <v>101.60999999999999</v>
      </c>
      <c r="F2605" s="70">
        <v>101.61</v>
      </c>
      <c r="G2605" s="320"/>
      <c r="H2605" s="79">
        <v>62.33</v>
      </c>
      <c r="I2605" s="79">
        <v>39.28</v>
      </c>
      <c r="J2605" s="79">
        <v>101.61</v>
      </c>
      <c r="K2605" s="79">
        <v>0</v>
      </c>
      <c r="L2605" s="70">
        <v>101.61</v>
      </c>
      <c r="M2605" s="132"/>
      <c r="N2605" s="63">
        <v>62.33</v>
      </c>
      <c r="O2605" s="63">
        <v>39.28</v>
      </c>
      <c r="P2605" s="79">
        <v>101.61</v>
      </c>
      <c r="Q2605" s="136"/>
      <c r="R2605" s="63">
        <v>62.33</v>
      </c>
      <c r="S2605" s="63">
        <v>39.270000000000003</v>
      </c>
      <c r="T2605" s="63"/>
      <c r="U2605" s="63"/>
      <c r="V2605" s="63"/>
      <c r="X2605" s="63">
        <v>62.33</v>
      </c>
      <c r="Y2605" s="63">
        <v>39.270000000000003</v>
      </c>
      <c r="Z2605" s="63">
        <v>101.6</v>
      </c>
      <c r="AA2605" s="255">
        <v>1.0000000000005116E-2</v>
      </c>
      <c r="AC2605" s="254"/>
    </row>
    <row r="2606" spans="1:31" s="61" customFormat="1" ht="24">
      <c r="A2606" s="67" t="s">
        <v>15548</v>
      </c>
      <c r="B2606" s="65" t="s">
        <v>40967</v>
      </c>
      <c r="C2606" s="71" t="s">
        <v>103</v>
      </c>
      <c r="D2606" s="78">
        <v>1</v>
      </c>
      <c r="E2606" s="79">
        <v>457.18</v>
      </c>
      <c r="F2606" s="70">
        <v>457.18</v>
      </c>
      <c r="G2606" s="320"/>
      <c r="H2606" s="79">
        <v>417.9</v>
      </c>
      <c r="I2606" s="79">
        <v>39.28</v>
      </c>
      <c r="J2606" s="79">
        <v>457.17999999999995</v>
      </c>
      <c r="K2606" s="79">
        <v>0</v>
      </c>
      <c r="L2606" s="70">
        <v>457.17999999999995</v>
      </c>
      <c r="M2606" s="132"/>
      <c r="N2606" s="79">
        <v>417.9</v>
      </c>
      <c r="O2606" s="79">
        <v>39.28</v>
      </c>
      <c r="P2606" s="79">
        <v>457.17999999999995</v>
      </c>
      <c r="Q2606" s="136"/>
      <c r="R2606" s="79">
        <v>417.9</v>
      </c>
      <c r="S2606" s="79">
        <v>39.270000000000003</v>
      </c>
      <c r="T2606" s="79">
        <v>457.16999999999996</v>
      </c>
      <c r="U2606" s="79">
        <v>0</v>
      </c>
      <c r="V2606" s="189">
        <v>457.16999999999996</v>
      </c>
      <c r="X2606" s="79">
        <v>417.9</v>
      </c>
      <c r="Y2606" s="79">
        <v>39.270000000000003</v>
      </c>
      <c r="Z2606" s="79">
        <v>457.17</v>
      </c>
      <c r="AA2606" s="255">
        <v>9.9999999999909051E-3</v>
      </c>
      <c r="AC2606" s="254"/>
      <c r="AD2606" s="236"/>
      <c r="AE2606" s="236"/>
    </row>
    <row r="2607" spans="1:31" s="61" customFormat="1" ht="12">
      <c r="A2607" s="489" t="s">
        <v>15549</v>
      </c>
      <c r="B2607" s="490" t="s">
        <v>15550</v>
      </c>
      <c r="C2607" s="491"/>
      <c r="D2607" s="492"/>
      <c r="E2607" s="79"/>
      <c r="F2607" s="63"/>
      <c r="G2607" s="320"/>
      <c r="H2607" s="79"/>
      <c r="I2607" s="79"/>
      <c r="J2607" s="79"/>
      <c r="K2607" s="79"/>
      <c r="L2607" s="70"/>
      <c r="M2607" s="132"/>
      <c r="N2607" s="79"/>
      <c r="O2607" s="79"/>
      <c r="P2607" s="79"/>
      <c r="Q2607" s="136"/>
      <c r="R2607" s="79"/>
      <c r="S2607" s="79"/>
      <c r="T2607" s="79"/>
      <c r="U2607" s="79"/>
      <c r="V2607" s="189"/>
      <c r="X2607" s="79"/>
      <c r="Y2607" s="79"/>
      <c r="Z2607" s="79"/>
      <c r="AA2607" s="255"/>
      <c r="AC2607" s="254"/>
    </row>
    <row r="2608" spans="1:31" ht="24">
      <c r="A2608" s="67" t="s">
        <v>15551</v>
      </c>
      <c r="B2608" s="65" t="s">
        <v>15552</v>
      </c>
      <c r="C2608" s="71" t="s">
        <v>103</v>
      </c>
      <c r="D2608" s="78">
        <v>1</v>
      </c>
      <c r="E2608" s="79">
        <v>997.65</v>
      </c>
      <c r="F2608" s="70">
        <v>997.65</v>
      </c>
      <c r="G2608" s="320"/>
      <c r="H2608" s="79">
        <v>969.71</v>
      </c>
      <c r="I2608" s="79">
        <v>27.939999999999998</v>
      </c>
      <c r="J2608" s="79">
        <v>997.65000000000009</v>
      </c>
      <c r="K2608" s="79">
        <v>0</v>
      </c>
      <c r="L2608" s="70">
        <v>997.65000000000009</v>
      </c>
      <c r="M2608" s="132"/>
      <c r="N2608" s="79">
        <v>969.71</v>
      </c>
      <c r="O2608" s="79">
        <v>27.939999999999998</v>
      </c>
      <c r="P2608" s="79">
        <v>997.65000000000009</v>
      </c>
      <c r="Q2608" s="136"/>
      <c r="R2608" s="79">
        <v>969.71</v>
      </c>
      <c r="S2608" s="79">
        <v>27.92</v>
      </c>
      <c r="T2608" s="79">
        <v>997.63</v>
      </c>
      <c r="U2608" s="79">
        <v>0</v>
      </c>
      <c r="V2608" s="189">
        <v>997.63</v>
      </c>
      <c r="X2608" s="79">
        <v>969.71</v>
      </c>
      <c r="Y2608" s="79">
        <v>27.92</v>
      </c>
      <c r="Z2608" s="79">
        <v>997.63</v>
      </c>
      <c r="AA2608" s="498">
        <v>1.999999999998181E-2</v>
      </c>
      <c r="AC2608" s="254"/>
    </row>
    <row r="2609" spans="1:31" ht="12">
      <c r="A2609" s="489" t="s">
        <v>15553</v>
      </c>
      <c r="B2609" s="490" t="s">
        <v>15554</v>
      </c>
      <c r="C2609" s="491"/>
      <c r="D2609" s="492"/>
      <c r="E2609" s="79"/>
      <c r="F2609" s="63"/>
      <c r="G2609" s="320"/>
      <c r="H2609" s="79"/>
      <c r="I2609" s="79"/>
      <c r="J2609" s="79"/>
      <c r="K2609" s="79"/>
      <c r="L2609" s="70"/>
      <c r="M2609" s="132"/>
      <c r="N2609" s="79"/>
      <c r="O2609" s="79"/>
      <c r="P2609" s="79"/>
      <c r="Q2609" s="136"/>
      <c r="R2609" s="79"/>
      <c r="S2609" s="79"/>
      <c r="T2609" s="79"/>
      <c r="U2609" s="79"/>
      <c r="V2609" s="189"/>
      <c r="X2609" s="79"/>
      <c r="Y2609" s="79"/>
      <c r="Z2609" s="79"/>
      <c r="AA2609" s="255"/>
      <c r="AC2609" s="254"/>
    </row>
    <row r="2610" spans="1:31" ht="24">
      <c r="A2610" s="67" t="s">
        <v>15555</v>
      </c>
      <c r="B2610" s="65" t="s">
        <v>15556</v>
      </c>
      <c r="C2610" s="71" t="s">
        <v>103</v>
      </c>
      <c r="D2610" s="78">
        <v>1</v>
      </c>
      <c r="E2610" s="79">
        <v>260.66000000000003</v>
      </c>
      <c r="F2610" s="70">
        <v>260.66000000000003</v>
      </c>
      <c r="G2610" s="320"/>
      <c r="H2610" s="79">
        <v>238.34</v>
      </c>
      <c r="I2610" s="79">
        <v>22.32</v>
      </c>
      <c r="J2610" s="79">
        <v>260.66000000000003</v>
      </c>
      <c r="K2610" s="79">
        <v>0</v>
      </c>
      <c r="L2610" s="70">
        <v>260.66000000000003</v>
      </c>
      <c r="M2610" s="132"/>
      <c r="N2610" s="79">
        <v>238.34</v>
      </c>
      <c r="O2610" s="79">
        <v>22.32</v>
      </c>
      <c r="P2610" s="79">
        <v>260.66000000000003</v>
      </c>
      <c r="Q2610" s="136"/>
      <c r="R2610" s="79">
        <v>238.34</v>
      </c>
      <c r="S2610" s="79">
        <v>22.33</v>
      </c>
      <c r="T2610" s="79">
        <v>260.67</v>
      </c>
      <c r="U2610" s="79">
        <v>0</v>
      </c>
      <c r="V2610" s="189">
        <v>260.67</v>
      </c>
      <c r="X2610" s="79">
        <v>238.34</v>
      </c>
      <c r="Y2610" s="79">
        <v>22.33</v>
      </c>
      <c r="Z2610" s="79">
        <v>260.67</v>
      </c>
      <c r="AA2610" s="255">
        <v>-9.9999999999909051E-3</v>
      </c>
      <c r="AC2610" s="254"/>
    </row>
    <row r="2611" spans="1:31" ht="12">
      <c r="A2611" s="63" t="s">
        <v>15557</v>
      </c>
      <c r="B2611" s="64" t="s">
        <v>15558</v>
      </c>
      <c r="C2611" s="71" t="s">
        <v>103</v>
      </c>
      <c r="D2611" s="78">
        <v>1</v>
      </c>
      <c r="E2611" s="79">
        <v>298.14</v>
      </c>
      <c r="F2611" s="70">
        <v>298.14</v>
      </c>
      <c r="G2611" s="320"/>
      <c r="H2611" s="79">
        <v>275.82</v>
      </c>
      <c r="I2611" s="79">
        <v>22.32</v>
      </c>
      <c r="J2611" s="79">
        <v>298.14</v>
      </c>
      <c r="K2611" s="79">
        <v>0</v>
      </c>
      <c r="L2611" s="70">
        <v>298.14</v>
      </c>
      <c r="M2611" s="132"/>
      <c r="N2611" s="63">
        <v>275.82</v>
      </c>
      <c r="O2611" s="63">
        <v>22.32</v>
      </c>
      <c r="P2611" s="79">
        <v>298.14</v>
      </c>
      <c r="Q2611" s="136"/>
      <c r="R2611" s="79">
        <v>275.82</v>
      </c>
      <c r="S2611" s="79">
        <v>22.33</v>
      </c>
      <c r="T2611" s="79">
        <v>298.14999999999998</v>
      </c>
      <c r="U2611" s="79">
        <v>0</v>
      </c>
      <c r="V2611" s="189">
        <v>298.14999999999998</v>
      </c>
      <c r="X2611" s="63">
        <v>275.82</v>
      </c>
      <c r="Y2611" s="63">
        <v>22.33</v>
      </c>
      <c r="Z2611" s="63">
        <v>298.14999999999998</v>
      </c>
      <c r="AA2611" s="255">
        <v>-9.9999999999909051E-3</v>
      </c>
      <c r="AC2611" s="254"/>
    </row>
    <row r="2612" spans="1:31" ht="12">
      <c r="A2612" s="67" t="s">
        <v>15559</v>
      </c>
      <c r="B2612" s="65" t="s">
        <v>15560</v>
      </c>
      <c r="C2612" s="71" t="s">
        <v>103</v>
      </c>
      <c r="D2612" s="78">
        <v>1</v>
      </c>
      <c r="E2612" s="79">
        <v>177.64999999999998</v>
      </c>
      <c r="F2612" s="70">
        <v>177.65</v>
      </c>
      <c r="G2612" s="320"/>
      <c r="H2612" s="79">
        <v>155.32999999999998</v>
      </c>
      <c r="I2612" s="79">
        <v>22.32</v>
      </c>
      <c r="J2612" s="79">
        <v>177.64999999999998</v>
      </c>
      <c r="K2612" s="79">
        <v>0</v>
      </c>
      <c r="L2612" s="70">
        <v>177.64999999999998</v>
      </c>
      <c r="M2612" s="132"/>
      <c r="N2612" s="78">
        <v>155.32999999999998</v>
      </c>
      <c r="O2612" s="78">
        <v>22.32</v>
      </c>
      <c r="P2612" s="79">
        <v>177.64999999999998</v>
      </c>
      <c r="Q2612" s="136"/>
      <c r="R2612" s="79">
        <v>155.33000000000001</v>
      </c>
      <c r="S2612" s="79">
        <v>22.33</v>
      </c>
      <c r="T2612" s="79">
        <v>177.66000000000003</v>
      </c>
      <c r="U2612" s="79">
        <v>0</v>
      </c>
      <c r="V2612" s="189">
        <v>177.66000000000003</v>
      </c>
      <c r="X2612" s="78">
        <v>155.33000000000001</v>
      </c>
      <c r="Y2612" s="78">
        <v>22.33</v>
      </c>
      <c r="Z2612" s="79">
        <v>177.66</v>
      </c>
      <c r="AA2612" s="255">
        <v>-9.9999999999909051E-3</v>
      </c>
      <c r="AC2612" s="254"/>
      <c r="AD2612" s="61"/>
      <c r="AE2612" s="61"/>
    </row>
    <row r="2613" spans="1:31" ht="12">
      <c r="A2613" s="489" t="s">
        <v>15561</v>
      </c>
      <c r="B2613" s="490" t="s">
        <v>15562</v>
      </c>
      <c r="C2613" s="491"/>
      <c r="D2613" s="492"/>
      <c r="E2613" s="79"/>
      <c r="F2613" s="63"/>
      <c r="G2613" s="320"/>
      <c r="H2613" s="79"/>
      <c r="I2613" s="79"/>
      <c r="J2613" s="79"/>
      <c r="K2613" s="79"/>
      <c r="L2613" s="70"/>
      <c r="M2613" s="132"/>
      <c r="N2613" s="79"/>
      <c r="O2613" s="79"/>
      <c r="P2613" s="79"/>
      <c r="Q2613" s="136"/>
      <c r="R2613" s="79"/>
      <c r="S2613" s="79"/>
      <c r="T2613" s="79"/>
      <c r="U2613" s="79"/>
      <c r="V2613" s="189"/>
      <c r="X2613" s="79"/>
      <c r="Y2613" s="79"/>
      <c r="Z2613" s="79"/>
      <c r="AA2613" s="255"/>
      <c r="AC2613" s="254"/>
    </row>
    <row r="2614" spans="1:31" s="61" customFormat="1" ht="24">
      <c r="A2614" s="67" t="s">
        <v>15563</v>
      </c>
      <c r="B2614" s="65" t="s">
        <v>15564</v>
      </c>
      <c r="C2614" s="71" t="s">
        <v>103</v>
      </c>
      <c r="D2614" s="78">
        <v>1</v>
      </c>
      <c r="E2614" s="79">
        <v>173.17000000000002</v>
      </c>
      <c r="F2614" s="70">
        <v>173.17</v>
      </c>
      <c r="G2614" s="320"/>
      <c r="H2614" s="79">
        <v>150.85</v>
      </c>
      <c r="I2614" s="79">
        <v>22.32</v>
      </c>
      <c r="J2614" s="79">
        <v>173.17</v>
      </c>
      <c r="K2614" s="79">
        <v>0</v>
      </c>
      <c r="L2614" s="70">
        <v>173.17</v>
      </c>
      <c r="M2614" s="132"/>
      <c r="N2614" s="79">
        <v>150.85</v>
      </c>
      <c r="O2614" s="79">
        <v>22.32</v>
      </c>
      <c r="P2614" s="79">
        <v>173.17</v>
      </c>
      <c r="Q2614" s="136"/>
      <c r="R2614" s="79">
        <v>150.85</v>
      </c>
      <c r="S2614" s="79">
        <v>22.33</v>
      </c>
      <c r="T2614" s="79">
        <v>173.18</v>
      </c>
      <c r="U2614" s="79">
        <v>0</v>
      </c>
      <c r="V2614" s="189">
        <v>173.18</v>
      </c>
      <c r="X2614" s="79">
        <v>150.85</v>
      </c>
      <c r="Y2614" s="79">
        <v>22.33</v>
      </c>
      <c r="Z2614" s="79">
        <v>173.18</v>
      </c>
      <c r="AA2614" s="255">
        <v>-1.0000000000019327E-2</v>
      </c>
      <c r="AC2614" s="254"/>
      <c r="AD2614" s="236"/>
      <c r="AE2614" s="236"/>
    </row>
    <row r="2615" spans="1:31" ht="24">
      <c r="A2615" s="67" t="s">
        <v>15565</v>
      </c>
      <c r="B2615" s="65" t="s">
        <v>15566</v>
      </c>
      <c r="C2615" s="71" t="s">
        <v>103</v>
      </c>
      <c r="D2615" s="78">
        <v>1</v>
      </c>
      <c r="E2615" s="79">
        <v>73.199999999999989</v>
      </c>
      <c r="F2615" s="70">
        <v>73.2</v>
      </c>
      <c r="G2615" s="320"/>
      <c r="H2615" s="79">
        <v>50.88</v>
      </c>
      <c r="I2615" s="79">
        <v>22.32</v>
      </c>
      <c r="J2615" s="79">
        <v>73.2</v>
      </c>
      <c r="K2615" s="79">
        <v>0</v>
      </c>
      <c r="L2615" s="70">
        <v>73.2</v>
      </c>
      <c r="M2615" s="132"/>
      <c r="N2615" s="79">
        <v>50.88</v>
      </c>
      <c r="O2615" s="79">
        <v>22.32</v>
      </c>
      <c r="P2615" s="79">
        <v>73.2</v>
      </c>
      <c r="Q2615" s="136"/>
      <c r="R2615" s="79">
        <v>50.88</v>
      </c>
      <c r="S2615" s="79">
        <v>22.33</v>
      </c>
      <c r="T2615" s="79">
        <v>73.210000000000008</v>
      </c>
      <c r="U2615" s="79">
        <v>0</v>
      </c>
      <c r="V2615" s="189">
        <v>73.210000000000008</v>
      </c>
      <c r="X2615" s="79">
        <v>50.88</v>
      </c>
      <c r="Y2615" s="79">
        <v>22.33</v>
      </c>
      <c r="Z2615" s="79">
        <v>73.209999999999994</v>
      </c>
      <c r="AA2615" s="255">
        <v>-9.9999999999909051E-3</v>
      </c>
      <c r="AC2615" s="254"/>
    </row>
    <row r="2616" spans="1:31" ht="24">
      <c r="A2616" s="67" t="s">
        <v>15567</v>
      </c>
      <c r="B2616" s="65" t="s">
        <v>15568</v>
      </c>
      <c r="C2616" s="71" t="s">
        <v>103</v>
      </c>
      <c r="D2616" s="78">
        <v>1</v>
      </c>
      <c r="E2616" s="79">
        <v>153.01999999999998</v>
      </c>
      <c r="F2616" s="70">
        <v>153.02000000000001</v>
      </c>
      <c r="G2616" s="320"/>
      <c r="H2616" s="79">
        <v>130.69999999999999</v>
      </c>
      <c r="I2616" s="79">
        <v>22.32</v>
      </c>
      <c r="J2616" s="79">
        <v>153.01999999999998</v>
      </c>
      <c r="K2616" s="79">
        <v>0</v>
      </c>
      <c r="L2616" s="70">
        <v>153.01999999999998</v>
      </c>
      <c r="M2616" s="132"/>
      <c r="N2616" s="79">
        <v>130.69999999999999</v>
      </c>
      <c r="O2616" s="79">
        <v>22.32</v>
      </c>
      <c r="P2616" s="79">
        <v>153.01999999999998</v>
      </c>
      <c r="Q2616" s="136"/>
      <c r="R2616" s="79">
        <v>130.69999999999999</v>
      </c>
      <c r="S2616" s="79">
        <v>22.33</v>
      </c>
      <c r="T2616" s="79">
        <v>153.02999999999997</v>
      </c>
      <c r="U2616" s="79">
        <v>0</v>
      </c>
      <c r="V2616" s="189">
        <v>153.02999999999997</v>
      </c>
      <c r="X2616" s="79">
        <v>130.69999999999999</v>
      </c>
      <c r="Y2616" s="79">
        <v>22.33</v>
      </c>
      <c r="Z2616" s="79">
        <v>153.03</v>
      </c>
      <c r="AA2616" s="255">
        <v>-9.9999999999909051E-3</v>
      </c>
      <c r="AC2616" s="254"/>
    </row>
    <row r="2617" spans="1:31" ht="24">
      <c r="A2617" s="67" t="s">
        <v>15569</v>
      </c>
      <c r="B2617" s="65" t="s">
        <v>15570</v>
      </c>
      <c r="C2617" s="71" t="s">
        <v>103</v>
      </c>
      <c r="D2617" s="78">
        <v>1</v>
      </c>
      <c r="E2617" s="79">
        <v>117.33999999999999</v>
      </c>
      <c r="F2617" s="70">
        <v>117.34</v>
      </c>
      <c r="G2617" s="320"/>
      <c r="H2617" s="79">
        <v>89.399999999999991</v>
      </c>
      <c r="I2617" s="79">
        <v>27.939999999999998</v>
      </c>
      <c r="J2617" s="79">
        <v>117.33999999999999</v>
      </c>
      <c r="K2617" s="79">
        <v>0</v>
      </c>
      <c r="L2617" s="70">
        <v>117.33999999999999</v>
      </c>
      <c r="M2617" s="132"/>
      <c r="N2617" s="79">
        <v>89.399999999999991</v>
      </c>
      <c r="O2617" s="79">
        <v>27.939999999999998</v>
      </c>
      <c r="P2617" s="79">
        <v>117.33999999999999</v>
      </c>
      <c r="Q2617" s="136"/>
      <c r="R2617" s="79">
        <v>89.4</v>
      </c>
      <c r="S2617" s="79">
        <v>27.92</v>
      </c>
      <c r="T2617" s="79">
        <v>117.32000000000001</v>
      </c>
      <c r="U2617" s="79">
        <v>0</v>
      </c>
      <c r="V2617" s="189">
        <v>117.32000000000001</v>
      </c>
      <c r="X2617" s="79">
        <v>89.4</v>
      </c>
      <c r="Y2617" s="79">
        <v>27.92</v>
      </c>
      <c r="Z2617" s="79">
        <v>117.32</v>
      </c>
      <c r="AA2617" s="255">
        <v>2.0000000000010232E-2</v>
      </c>
      <c r="AC2617" s="254"/>
    </row>
    <row r="2618" spans="1:31" ht="24">
      <c r="A2618" s="67" t="s">
        <v>15571</v>
      </c>
      <c r="B2618" s="65" t="s">
        <v>15572</v>
      </c>
      <c r="C2618" s="71" t="s">
        <v>103</v>
      </c>
      <c r="D2618" s="78">
        <v>1</v>
      </c>
      <c r="E2618" s="79">
        <v>147.10999999999999</v>
      </c>
      <c r="F2618" s="70">
        <v>147.11000000000001</v>
      </c>
      <c r="G2618" s="320"/>
      <c r="H2618" s="79">
        <v>124.78999999999999</v>
      </c>
      <c r="I2618" s="79">
        <v>22.32</v>
      </c>
      <c r="J2618" s="79">
        <v>147.10999999999999</v>
      </c>
      <c r="K2618" s="79">
        <v>0</v>
      </c>
      <c r="L2618" s="70">
        <v>147.10999999999999</v>
      </c>
      <c r="M2618" s="132"/>
      <c r="N2618" s="79">
        <v>124.78999999999999</v>
      </c>
      <c r="O2618" s="79">
        <v>22.32</v>
      </c>
      <c r="P2618" s="79">
        <v>147.10999999999999</v>
      </c>
      <c r="Q2618" s="136"/>
      <c r="R2618" s="79">
        <v>124.79</v>
      </c>
      <c r="S2618" s="79">
        <v>22.33</v>
      </c>
      <c r="T2618" s="79">
        <v>147.12</v>
      </c>
      <c r="U2618" s="79">
        <v>0</v>
      </c>
      <c r="V2618" s="189">
        <v>147.12</v>
      </c>
      <c r="X2618" s="79">
        <v>124.79</v>
      </c>
      <c r="Y2618" s="79">
        <v>22.33</v>
      </c>
      <c r="Z2618" s="79">
        <v>147.12</v>
      </c>
      <c r="AA2618" s="255">
        <v>-9.9999999999909051E-3</v>
      </c>
      <c r="AC2618" s="254"/>
    </row>
    <row r="2619" spans="1:31" ht="24">
      <c r="A2619" s="67" t="s">
        <v>15573</v>
      </c>
      <c r="B2619" s="65" t="s">
        <v>15574</v>
      </c>
      <c r="C2619" s="71" t="s">
        <v>103</v>
      </c>
      <c r="D2619" s="78">
        <v>1</v>
      </c>
      <c r="E2619" s="79">
        <v>198.32</v>
      </c>
      <c r="F2619" s="70">
        <v>198.32</v>
      </c>
      <c r="G2619" s="320"/>
      <c r="H2619" s="79">
        <v>176</v>
      </c>
      <c r="I2619" s="79">
        <v>22.32</v>
      </c>
      <c r="J2619" s="79">
        <v>198.32</v>
      </c>
      <c r="K2619" s="79">
        <v>0</v>
      </c>
      <c r="L2619" s="70">
        <v>198.32</v>
      </c>
      <c r="M2619" s="132"/>
      <c r="N2619" s="79">
        <v>176</v>
      </c>
      <c r="O2619" s="79">
        <v>22.32</v>
      </c>
      <c r="P2619" s="79">
        <v>198.32</v>
      </c>
      <c r="Q2619" s="136"/>
      <c r="R2619" s="79">
        <v>176</v>
      </c>
      <c r="S2619" s="79">
        <v>22.33</v>
      </c>
      <c r="T2619" s="79">
        <v>198.32999999999998</v>
      </c>
      <c r="U2619" s="79">
        <v>0</v>
      </c>
      <c r="V2619" s="189">
        <v>198.32999999999998</v>
      </c>
      <c r="X2619" s="79">
        <v>176</v>
      </c>
      <c r="Y2619" s="79">
        <v>22.33</v>
      </c>
      <c r="Z2619" s="79">
        <v>198.33</v>
      </c>
      <c r="AA2619" s="255">
        <v>-1.0000000000019327E-2</v>
      </c>
      <c r="AC2619" s="254"/>
    </row>
    <row r="2620" spans="1:31" ht="24">
      <c r="A2620" s="67" t="s">
        <v>15575</v>
      </c>
      <c r="B2620" s="65" t="s">
        <v>15576</v>
      </c>
      <c r="C2620" s="71" t="s">
        <v>103</v>
      </c>
      <c r="D2620" s="78">
        <v>1</v>
      </c>
      <c r="E2620" s="79">
        <v>137.49</v>
      </c>
      <c r="F2620" s="70">
        <v>137.49</v>
      </c>
      <c r="G2620" s="320"/>
      <c r="H2620" s="79">
        <v>120.74</v>
      </c>
      <c r="I2620" s="79">
        <v>16.75</v>
      </c>
      <c r="J2620" s="79">
        <v>137.49</v>
      </c>
      <c r="K2620" s="79">
        <v>0</v>
      </c>
      <c r="L2620" s="70">
        <v>137.49</v>
      </c>
      <c r="M2620" s="132"/>
      <c r="N2620" s="79">
        <v>120.74</v>
      </c>
      <c r="O2620" s="79">
        <v>16.75</v>
      </c>
      <c r="P2620" s="79">
        <v>137.49</v>
      </c>
      <c r="Q2620" s="136"/>
      <c r="R2620" s="79">
        <v>120.74</v>
      </c>
      <c r="S2620" s="79">
        <v>16.75</v>
      </c>
      <c r="T2620" s="79">
        <v>137.49</v>
      </c>
      <c r="U2620" s="79">
        <v>0</v>
      </c>
      <c r="V2620" s="189">
        <v>137.49</v>
      </c>
      <c r="X2620" s="79">
        <v>120.74</v>
      </c>
      <c r="Y2620" s="79">
        <v>16.75</v>
      </c>
      <c r="Z2620" s="79">
        <v>137.49</v>
      </c>
      <c r="AA2620" s="255">
        <v>0</v>
      </c>
      <c r="AC2620" s="254"/>
    </row>
    <row r="2621" spans="1:31" ht="24">
      <c r="A2621" s="67" t="s">
        <v>15577</v>
      </c>
      <c r="B2621" s="65" t="s">
        <v>15578</v>
      </c>
      <c r="C2621" s="71" t="s">
        <v>103</v>
      </c>
      <c r="D2621" s="78">
        <v>1</v>
      </c>
      <c r="E2621" s="79">
        <v>171</v>
      </c>
      <c r="F2621" s="70">
        <v>171</v>
      </c>
      <c r="G2621" s="320"/>
      <c r="H2621" s="79">
        <v>148.68</v>
      </c>
      <c r="I2621" s="79">
        <v>22.32</v>
      </c>
      <c r="J2621" s="79">
        <v>171</v>
      </c>
      <c r="K2621" s="79">
        <v>0</v>
      </c>
      <c r="L2621" s="70">
        <v>171</v>
      </c>
      <c r="M2621" s="132"/>
      <c r="N2621" s="79">
        <v>148.68</v>
      </c>
      <c r="O2621" s="79">
        <v>22.32</v>
      </c>
      <c r="P2621" s="79">
        <v>171</v>
      </c>
      <c r="Q2621" s="136"/>
      <c r="R2621" s="79">
        <v>148.68</v>
      </c>
      <c r="S2621" s="79">
        <v>22.33</v>
      </c>
      <c r="T2621" s="79">
        <v>171.01</v>
      </c>
      <c r="U2621" s="79">
        <v>0</v>
      </c>
      <c r="V2621" s="189">
        <v>171.01</v>
      </c>
      <c r="X2621" s="79">
        <v>148.68</v>
      </c>
      <c r="Y2621" s="79">
        <v>22.33</v>
      </c>
      <c r="Z2621" s="79">
        <v>171.01</v>
      </c>
      <c r="AA2621" s="255">
        <v>-9.9999999999909051E-3</v>
      </c>
      <c r="AC2621" s="254"/>
    </row>
    <row r="2622" spans="1:31" ht="24">
      <c r="A2622" s="67" t="s">
        <v>15579</v>
      </c>
      <c r="B2622" s="65" t="s">
        <v>15580</v>
      </c>
      <c r="C2622" s="71" t="s">
        <v>103</v>
      </c>
      <c r="D2622" s="78">
        <v>1</v>
      </c>
      <c r="E2622" s="79">
        <v>110.13</v>
      </c>
      <c r="F2622" s="70">
        <v>110.13</v>
      </c>
      <c r="G2622" s="320"/>
      <c r="H2622" s="79">
        <v>82.19</v>
      </c>
      <c r="I2622" s="79">
        <v>27.939999999999998</v>
      </c>
      <c r="J2622" s="79">
        <v>110.13</v>
      </c>
      <c r="K2622" s="79">
        <v>0</v>
      </c>
      <c r="L2622" s="70">
        <v>110.13</v>
      </c>
      <c r="M2622" s="132"/>
      <c r="N2622" s="79">
        <v>82.19</v>
      </c>
      <c r="O2622" s="79">
        <v>27.939999999999998</v>
      </c>
      <c r="P2622" s="79">
        <v>110.13</v>
      </c>
      <c r="Q2622" s="136"/>
      <c r="R2622" s="79">
        <v>82.19</v>
      </c>
      <c r="S2622" s="79">
        <v>27.92</v>
      </c>
      <c r="T2622" s="79">
        <v>110.11</v>
      </c>
      <c r="U2622" s="79">
        <v>0</v>
      </c>
      <c r="V2622" s="189">
        <v>110.11</v>
      </c>
      <c r="X2622" s="79">
        <v>82.19</v>
      </c>
      <c r="Y2622" s="79">
        <v>27.92</v>
      </c>
      <c r="Z2622" s="79">
        <v>110.11</v>
      </c>
      <c r="AA2622" s="255">
        <v>1.9999999999996021E-2</v>
      </c>
      <c r="AC2622" s="254"/>
    </row>
    <row r="2623" spans="1:31" ht="24">
      <c r="A2623" s="67" t="s">
        <v>15581</v>
      </c>
      <c r="B2623" s="65" t="s">
        <v>15582</v>
      </c>
      <c r="C2623" s="71" t="s">
        <v>103</v>
      </c>
      <c r="D2623" s="78">
        <v>1</v>
      </c>
      <c r="E2623" s="79">
        <v>146.91999999999999</v>
      </c>
      <c r="F2623" s="70">
        <v>146.91999999999999</v>
      </c>
      <c r="G2623" s="320"/>
      <c r="H2623" s="79">
        <v>118.97999999999999</v>
      </c>
      <c r="I2623" s="79">
        <v>27.939999999999998</v>
      </c>
      <c r="J2623" s="79">
        <v>146.91999999999999</v>
      </c>
      <c r="K2623" s="79">
        <v>0</v>
      </c>
      <c r="L2623" s="70">
        <v>146.91999999999999</v>
      </c>
      <c r="M2623" s="132"/>
      <c r="N2623" s="79">
        <v>118.97999999999999</v>
      </c>
      <c r="O2623" s="79">
        <v>27.939999999999998</v>
      </c>
      <c r="P2623" s="79">
        <v>146.91999999999999</v>
      </c>
      <c r="Q2623" s="136"/>
      <c r="R2623" s="79">
        <v>118.98</v>
      </c>
      <c r="S2623" s="79">
        <v>27.92</v>
      </c>
      <c r="T2623" s="79">
        <v>146.9</v>
      </c>
      <c r="U2623" s="79">
        <v>0</v>
      </c>
      <c r="V2623" s="189">
        <v>146.9</v>
      </c>
      <c r="X2623" s="79">
        <v>118.98</v>
      </c>
      <c r="Y2623" s="79">
        <v>27.92</v>
      </c>
      <c r="Z2623" s="79">
        <v>146.9</v>
      </c>
      <c r="AA2623" s="255">
        <v>1.999999999998181E-2</v>
      </c>
      <c r="AC2623" s="254"/>
    </row>
    <row r="2624" spans="1:31" ht="24">
      <c r="A2624" s="67" t="s">
        <v>15583</v>
      </c>
      <c r="B2624" s="65" t="s">
        <v>15584</v>
      </c>
      <c r="C2624" s="71" t="s">
        <v>103</v>
      </c>
      <c r="D2624" s="78">
        <v>1</v>
      </c>
      <c r="E2624" s="79">
        <v>202.73999999999998</v>
      </c>
      <c r="F2624" s="70">
        <v>202.74</v>
      </c>
      <c r="G2624" s="320"/>
      <c r="H2624" s="79">
        <v>174.79999999999998</v>
      </c>
      <c r="I2624" s="79">
        <v>27.939999999999998</v>
      </c>
      <c r="J2624" s="79">
        <v>202.73999999999998</v>
      </c>
      <c r="K2624" s="79">
        <v>0</v>
      </c>
      <c r="L2624" s="70">
        <v>202.73999999999998</v>
      </c>
      <c r="M2624" s="132"/>
      <c r="N2624" s="79">
        <v>174.79999999999998</v>
      </c>
      <c r="O2624" s="79">
        <v>27.939999999999998</v>
      </c>
      <c r="P2624" s="79">
        <v>202.73999999999998</v>
      </c>
      <c r="Q2624" s="136"/>
      <c r="R2624" s="79">
        <v>174.8</v>
      </c>
      <c r="S2624" s="79">
        <v>27.92</v>
      </c>
      <c r="T2624" s="79">
        <v>202.72000000000003</v>
      </c>
      <c r="U2624" s="79">
        <v>0</v>
      </c>
      <c r="V2624" s="189">
        <v>202.72000000000003</v>
      </c>
      <c r="X2624" s="79">
        <v>174.8</v>
      </c>
      <c r="Y2624" s="79">
        <v>27.92</v>
      </c>
      <c r="Z2624" s="79">
        <v>202.72</v>
      </c>
      <c r="AA2624" s="255">
        <v>2.0000000000010232E-2</v>
      </c>
      <c r="AC2624" s="254"/>
    </row>
    <row r="2625" spans="1:31" ht="24">
      <c r="A2625" s="67" t="s">
        <v>15585</v>
      </c>
      <c r="B2625" s="65" t="s">
        <v>15586</v>
      </c>
      <c r="C2625" s="71" t="s">
        <v>103</v>
      </c>
      <c r="D2625" s="78">
        <v>1</v>
      </c>
      <c r="E2625" s="79">
        <v>172.45</v>
      </c>
      <c r="F2625" s="70">
        <v>172.45</v>
      </c>
      <c r="G2625" s="320"/>
      <c r="H2625" s="79">
        <v>144.51</v>
      </c>
      <c r="I2625" s="79">
        <v>27.939999999999998</v>
      </c>
      <c r="J2625" s="79">
        <v>172.45</v>
      </c>
      <c r="K2625" s="79">
        <v>0</v>
      </c>
      <c r="L2625" s="70">
        <v>172.45</v>
      </c>
      <c r="M2625" s="132"/>
      <c r="N2625" s="79">
        <v>144.51</v>
      </c>
      <c r="O2625" s="79">
        <v>27.939999999999998</v>
      </c>
      <c r="P2625" s="79">
        <v>172.45</v>
      </c>
      <c r="Q2625" s="136"/>
      <c r="R2625" s="79">
        <v>144.51</v>
      </c>
      <c r="S2625" s="79">
        <v>27.92</v>
      </c>
      <c r="T2625" s="79">
        <v>172.43</v>
      </c>
      <c r="U2625" s="79">
        <v>0</v>
      </c>
      <c r="V2625" s="189">
        <v>172.43</v>
      </c>
      <c r="X2625" s="79">
        <v>144.51</v>
      </c>
      <c r="Y2625" s="79">
        <v>27.92</v>
      </c>
      <c r="Z2625" s="79">
        <v>172.43</v>
      </c>
      <c r="AA2625" s="255">
        <v>1.999999999998181E-2</v>
      </c>
      <c r="AC2625" s="254"/>
    </row>
    <row r="2626" spans="1:31" ht="24">
      <c r="A2626" s="67" t="s">
        <v>15587</v>
      </c>
      <c r="B2626" s="65" t="s">
        <v>15588</v>
      </c>
      <c r="C2626" s="71" t="s">
        <v>103</v>
      </c>
      <c r="D2626" s="78">
        <v>1</v>
      </c>
      <c r="E2626" s="79">
        <v>100.24999999999999</v>
      </c>
      <c r="F2626" s="70">
        <v>100.25</v>
      </c>
      <c r="G2626" s="320"/>
      <c r="H2626" s="79">
        <v>72.309999999999988</v>
      </c>
      <c r="I2626" s="79">
        <v>27.939999999999998</v>
      </c>
      <c r="J2626" s="79">
        <v>100.24999999999999</v>
      </c>
      <c r="K2626" s="79">
        <v>0</v>
      </c>
      <c r="L2626" s="70">
        <v>100.24999999999999</v>
      </c>
      <c r="M2626" s="132"/>
      <c r="N2626" s="79">
        <v>72.309999999999988</v>
      </c>
      <c r="O2626" s="79">
        <v>27.939999999999998</v>
      </c>
      <c r="P2626" s="79">
        <v>100.24999999999999</v>
      </c>
      <c r="Q2626" s="136"/>
      <c r="R2626" s="79">
        <v>72.31</v>
      </c>
      <c r="S2626" s="79">
        <v>27.92</v>
      </c>
      <c r="T2626" s="79">
        <v>100.23</v>
      </c>
      <c r="U2626" s="79">
        <v>0</v>
      </c>
      <c r="V2626" s="189">
        <v>100.23</v>
      </c>
      <c r="X2626" s="79">
        <v>72.31</v>
      </c>
      <c r="Y2626" s="79">
        <v>27.92</v>
      </c>
      <c r="Z2626" s="79">
        <v>100.23</v>
      </c>
      <c r="AA2626" s="255">
        <v>1.9999999999996021E-2</v>
      </c>
      <c r="AC2626" s="254"/>
    </row>
    <row r="2627" spans="1:31" ht="24">
      <c r="A2627" s="67" t="s">
        <v>15589</v>
      </c>
      <c r="B2627" s="65" t="s">
        <v>15590</v>
      </c>
      <c r="C2627" s="71" t="s">
        <v>103</v>
      </c>
      <c r="D2627" s="78">
        <v>1</v>
      </c>
      <c r="E2627" s="79">
        <v>83.539999999999992</v>
      </c>
      <c r="F2627" s="70">
        <v>83.54</v>
      </c>
      <c r="G2627" s="320"/>
      <c r="H2627" s="79">
        <v>61.22</v>
      </c>
      <c r="I2627" s="79">
        <v>22.32</v>
      </c>
      <c r="J2627" s="79">
        <v>83.539999999999992</v>
      </c>
      <c r="K2627" s="79">
        <v>0</v>
      </c>
      <c r="L2627" s="70">
        <v>83.539999999999992</v>
      </c>
      <c r="M2627" s="132"/>
      <c r="N2627" s="79">
        <v>61.22</v>
      </c>
      <c r="O2627" s="79">
        <v>22.32</v>
      </c>
      <c r="P2627" s="79">
        <v>83.539999999999992</v>
      </c>
      <c r="Q2627" s="136"/>
      <c r="R2627" s="79">
        <v>61.22</v>
      </c>
      <c r="S2627" s="79">
        <v>22.33</v>
      </c>
      <c r="T2627" s="79">
        <v>83.55</v>
      </c>
      <c r="U2627" s="79">
        <v>0</v>
      </c>
      <c r="V2627" s="189">
        <v>83.55</v>
      </c>
      <c r="X2627" s="79">
        <v>61.22</v>
      </c>
      <c r="Y2627" s="79">
        <v>22.33</v>
      </c>
      <c r="Z2627" s="79">
        <v>83.55</v>
      </c>
      <c r="AA2627" s="255">
        <v>-9.9999999999909051E-3</v>
      </c>
      <c r="AC2627" s="254"/>
    </row>
    <row r="2628" spans="1:31" ht="12">
      <c r="A2628" s="67" t="s">
        <v>15591</v>
      </c>
      <c r="B2628" s="65" t="s">
        <v>15592</v>
      </c>
      <c r="C2628" s="71" t="s">
        <v>103</v>
      </c>
      <c r="D2628" s="78">
        <v>1</v>
      </c>
      <c r="E2628" s="79">
        <v>118.94</v>
      </c>
      <c r="F2628" s="70">
        <v>118.94</v>
      </c>
      <c r="G2628" s="320"/>
      <c r="H2628" s="79">
        <v>96.61999999999999</v>
      </c>
      <c r="I2628" s="79">
        <v>22.32</v>
      </c>
      <c r="J2628" s="79">
        <v>118.94</v>
      </c>
      <c r="K2628" s="79">
        <v>0</v>
      </c>
      <c r="L2628" s="70">
        <v>118.94</v>
      </c>
      <c r="M2628" s="132"/>
      <c r="N2628" s="79">
        <v>96.61999999999999</v>
      </c>
      <c r="O2628" s="79">
        <v>22.32</v>
      </c>
      <c r="P2628" s="79">
        <v>118.94</v>
      </c>
      <c r="Q2628" s="136"/>
      <c r="R2628" s="79">
        <v>96.62</v>
      </c>
      <c r="S2628" s="79">
        <v>22.33</v>
      </c>
      <c r="T2628" s="79">
        <v>118.95</v>
      </c>
      <c r="U2628" s="79">
        <v>0</v>
      </c>
      <c r="V2628" s="189">
        <v>118.95</v>
      </c>
      <c r="X2628" s="79">
        <v>96.62</v>
      </c>
      <c r="Y2628" s="79">
        <v>22.33</v>
      </c>
      <c r="Z2628" s="79">
        <v>118.95</v>
      </c>
      <c r="AA2628" s="255">
        <v>-1.0000000000005116E-2</v>
      </c>
      <c r="AC2628" s="254"/>
    </row>
    <row r="2629" spans="1:31" ht="24">
      <c r="A2629" s="67" t="s">
        <v>15593</v>
      </c>
      <c r="B2629" s="65" t="s">
        <v>40968</v>
      </c>
      <c r="C2629" s="71" t="s">
        <v>103</v>
      </c>
      <c r="D2629" s="78">
        <v>1</v>
      </c>
      <c r="E2629" s="79">
        <v>107.13</v>
      </c>
      <c r="F2629" s="70">
        <v>107.13</v>
      </c>
      <c r="G2629" s="320"/>
      <c r="H2629" s="79">
        <v>84.809999999999988</v>
      </c>
      <c r="I2629" s="79">
        <v>22.32</v>
      </c>
      <c r="J2629" s="79">
        <v>107.13</v>
      </c>
      <c r="K2629" s="79">
        <v>0</v>
      </c>
      <c r="L2629" s="70">
        <v>107.13</v>
      </c>
      <c r="M2629" s="132"/>
      <c r="N2629" s="79">
        <v>84.809999999999988</v>
      </c>
      <c r="O2629" s="79">
        <v>22.32</v>
      </c>
      <c r="P2629" s="79">
        <v>107.13</v>
      </c>
      <c r="Q2629" s="136"/>
      <c r="R2629" s="79">
        <v>84.81</v>
      </c>
      <c r="S2629" s="79">
        <v>22.33</v>
      </c>
      <c r="T2629" s="79">
        <v>107.14</v>
      </c>
      <c r="U2629" s="79">
        <v>0</v>
      </c>
      <c r="V2629" s="189">
        <v>107.14</v>
      </c>
      <c r="X2629" s="79">
        <v>84.81</v>
      </c>
      <c r="Y2629" s="79">
        <v>22.33</v>
      </c>
      <c r="Z2629" s="79">
        <v>107.14</v>
      </c>
      <c r="AA2629" s="255">
        <v>-1.0000000000005116E-2</v>
      </c>
      <c r="AC2629" s="254"/>
    </row>
    <row r="2630" spans="1:31" ht="24">
      <c r="A2630" s="67" t="s">
        <v>15594</v>
      </c>
      <c r="B2630" s="65" t="s">
        <v>15595</v>
      </c>
      <c r="C2630" s="71" t="s">
        <v>103</v>
      </c>
      <c r="D2630" s="78">
        <v>1</v>
      </c>
      <c r="E2630" s="79">
        <v>138.34</v>
      </c>
      <c r="F2630" s="70">
        <v>138.34</v>
      </c>
      <c r="G2630" s="320"/>
      <c r="H2630" s="79">
        <v>116.02</v>
      </c>
      <c r="I2630" s="79">
        <v>22.32</v>
      </c>
      <c r="J2630" s="79">
        <v>138.34</v>
      </c>
      <c r="K2630" s="79">
        <v>0</v>
      </c>
      <c r="L2630" s="70">
        <v>138.34</v>
      </c>
      <c r="M2630" s="132"/>
      <c r="N2630" s="79">
        <v>116.02</v>
      </c>
      <c r="O2630" s="79">
        <v>22.32</v>
      </c>
      <c r="P2630" s="79">
        <v>138.34</v>
      </c>
      <c r="Q2630" s="136"/>
      <c r="R2630" s="79">
        <v>116.02</v>
      </c>
      <c r="S2630" s="79">
        <v>22.33</v>
      </c>
      <c r="T2630" s="79">
        <v>138.35</v>
      </c>
      <c r="U2630" s="79">
        <v>0</v>
      </c>
      <c r="V2630" s="189">
        <v>138.35</v>
      </c>
      <c r="X2630" s="79">
        <v>116.02</v>
      </c>
      <c r="Y2630" s="79">
        <v>22.33</v>
      </c>
      <c r="Z2630" s="79">
        <v>138.35</v>
      </c>
      <c r="AA2630" s="255">
        <v>-9.9999999999909051E-3</v>
      </c>
      <c r="AC2630" s="254"/>
    </row>
    <row r="2631" spans="1:31" ht="12">
      <c r="A2631" s="489" t="s">
        <v>15596</v>
      </c>
      <c r="B2631" s="490" t="s">
        <v>15597</v>
      </c>
      <c r="C2631" s="491"/>
      <c r="D2631" s="492"/>
      <c r="E2631" s="79"/>
      <c r="F2631" s="63"/>
      <c r="G2631" s="320"/>
      <c r="H2631" s="79"/>
      <c r="I2631" s="79"/>
      <c r="J2631" s="79"/>
      <c r="K2631" s="79"/>
      <c r="L2631" s="70"/>
      <c r="M2631" s="132"/>
      <c r="N2631" s="79"/>
      <c r="O2631" s="79"/>
      <c r="P2631" s="79"/>
      <c r="Q2631" s="136"/>
      <c r="R2631" s="79"/>
      <c r="S2631" s="79"/>
      <c r="T2631" s="79"/>
      <c r="U2631" s="79"/>
      <c r="V2631" s="189"/>
      <c r="X2631" s="79"/>
      <c r="Y2631" s="79"/>
      <c r="Z2631" s="79"/>
      <c r="AA2631" s="255"/>
      <c r="AC2631" s="254"/>
    </row>
    <row r="2632" spans="1:31" ht="24">
      <c r="A2632" s="67" t="s">
        <v>15598</v>
      </c>
      <c r="B2632" s="65" t="s">
        <v>15599</v>
      </c>
      <c r="C2632" s="71" t="s">
        <v>103</v>
      </c>
      <c r="D2632" s="78">
        <v>1</v>
      </c>
      <c r="E2632" s="79">
        <v>63.27</v>
      </c>
      <c r="F2632" s="70">
        <v>63.27</v>
      </c>
      <c r="G2632" s="320"/>
      <c r="H2632" s="79">
        <v>46.52</v>
      </c>
      <c r="I2632" s="79">
        <v>16.75</v>
      </c>
      <c r="J2632" s="79">
        <v>63.27</v>
      </c>
      <c r="K2632" s="79">
        <v>0</v>
      </c>
      <c r="L2632" s="70">
        <v>63.27</v>
      </c>
      <c r="M2632" s="132"/>
      <c r="N2632" s="79">
        <v>46.52</v>
      </c>
      <c r="O2632" s="79">
        <v>16.75</v>
      </c>
      <c r="P2632" s="79">
        <v>63.27</v>
      </c>
      <c r="Q2632" s="136"/>
      <c r="R2632" s="79">
        <v>46.52</v>
      </c>
      <c r="S2632" s="79">
        <v>16.75</v>
      </c>
      <c r="T2632" s="79">
        <v>63.27</v>
      </c>
      <c r="U2632" s="79">
        <v>0</v>
      </c>
      <c r="V2632" s="189">
        <v>63.27</v>
      </c>
      <c r="X2632" s="79">
        <v>46.52</v>
      </c>
      <c r="Y2632" s="79">
        <v>16.75</v>
      </c>
      <c r="Z2632" s="79">
        <v>63.27</v>
      </c>
      <c r="AA2632" s="255">
        <v>0</v>
      </c>
      <c r="AC2632" s="254"/>
      <c r="AD2632" s="61"/>
      <c r="AE2632" s="61"/>
    </row>
    <row r="2633" spans="1:31" ht="12">
      <c r="A2633" s="489" t="s">
        <v>15600</v>
      </c>
      <c r="B2633" s="490" t="s">
        <v>15601</v>
      </c>
      <c r="C2633" s="491"/>
      <c r="D2633" s="492"/>
      <c r="E2633" s="79"/>
      <c r="F2633" s="63"/>
      <c r="G2633" s="320"/>
      <c r="H2633" s="79"/>
      <c r="I2633" s="79"/>
      <c r="J2633" s="79"/>
      <c r="K2633" s="79"/>
      <c r="L2633" s="70"/>
      <c r="M2633" s="132"/>
      <c r="N2633" s="79"/>
      <c r="O2633" s="79"/>
      <c r="P2633" s="79"/>
      <c r="Q2633" s="136"/>
      <c r="R2633" s="79"/>
      <c r="S2633" s="79"/>
      <c r="T2633" s="79"/>
      <c r="U2633" s="79"/>
      <c r="V2633" s="189"/>
      <c r="X2633" s="79"/>
      <c r="Y2633" s="79"/>
      <c r="Z2633" s="79"/>
      <c r="AA2633" s="255"/>
      <c r="AC2633" s="254"/>
    </row>
    <row r="2634" spans="1:31" s="61" customFormat="1" ht="12">
      <c r="A2634" s="67" t="s">
        <v>15602</v>
      </c>
      <c r="B2634" s="65" t="s">
        <v>15603</v>
      </c>
      <c r="C2634" s="71" t="s">
        <v>103</v>
      </c>
      <c r="D2634" s="78">
        <v>1</v>
      </c>
      <c r="E2634" s="79">
        <v>22.8</v>
      </c>
      <c r="F2634" s="70">
        <v>22.8</v>
      </c>
      <c r="G2634" s="320"/>
      <c r="H2634" s="79">
        <v>0.48</v>
      </c>
      <c r="I2634" s="79">
        <v>22.32</v>
      </c>
      <c r="J2634" s="79">
        <v>22.8</v>
      </c>
      <c r="K2634" s="79">
        <v>0</v>
      </c>
      <c r="L2634" s="70">
        <v>22.8</v>
      </c>
      <c r="M2634" s="132"/>
      <c r="N2634" s="79">
        <v>0.48</v>
      </c>
      <c r="O2634" s="79">
        <v>22.32</v>
      </c>
      <c r="P2634" s="79">
        <v>22.8</v>
      </c>
      <c r="Q2634" s="136"/>
      <c r="R2634" s="79">
        <v>0.48</v>
      </c>
      <c r="S2634" s="79">
        <v>22.33</v>
      </c>
      <c r="T2634" s="79">
        <v>22.81</v>
      </c>
      <c r="U2634" s="79">
        <v>0</v>
      </c>
      <c r="V2634" s="189">
        <v>22.81</v>
      </c>
      <c r="X2634" s="79">
        <v>0.48</v>
      </c>
      <c r="Y2634" s="79">
        <v>22.33</v>
      </c>
      <c r="Z2634" s="79">
        <v>22.81</v>
      </c>
      <c r="AA2634" s="255">
        <v>-9.9999999999980105E-3</v>
      </c>
      <c r="AC2634" s="254"/>
      <c r="AD2634" s="236"/>
      <c r="AE2634" s="236"/>
    </row>
    <row r="2635" spans="1:31" ht="24">
      <c r="A2635" s="67" t="s">
        <v>15604</v>
      </c>
      <c r="B2635" s="65" t="s">
        <v>15605</v>
      </c>
      <c r="C2635" s="71" t="s">
        <v>103</v>
      </c>
      <c r="D2635" s="78">
        <v>1</v>
      </c>
      <c r="E2635" s="79">
        <v>11.55</v>
      </c>
      <c r="F2635" s="70">
        <v>11.55</v>
      </c>
      <c r="G2635" s="320"/>
      <c r="H2635" s="79">
        <v>7.01</v>
      </c>
      <c r="I2635" s="79">
        <v>4.54</v>
      </c>
      <c r="J2635" s="79">
        <v>11.55</v>
      </c>
      <c r="K2635" s="79">
        <v>0</v>
      </c>
      <c r="L2635" s="70">
        <v>11.55</v>
      </c>
      <c r="M2635" s="132"/>
      <c r="N2635" s="79">
        <v>7.01</v>
      </c>
      <c r="O2635" s="79">
        <v>4.54</v>
      </c>
      <c r="P2635" s="79">
        <v>11.55</v>
      </c>
      <c r="Q2635" s="136"/>
      <c r="R2635" s="79">
        <v>7.01</v>
      </c>
      <c r="S2635" s="79">
        <v>4.54</v>
      </c>
      <c r="T2635" s="79">
        <v>11.55</v>
      </c>
      <c r="U2635" s="79">
        <v>0</v>
      </c>
      <c r="V2635" s="189">
        <v>11.55</v>
      </c>
      <c r="X2635" s="79">
        <v>7.01</v>
      </c>
      <c r="Y2635" s="79">
        <v>4.54</v>
      </c>
      <c r="Z2635" s="79">
        <v>11.55</v>
      </c>
      <c r="AA2635" s="255">
        <v>0</v>
      </c>
      <c r="AC2635" s="254"/>
    </row>
    <row r="2636" spans="1:31" ht="12">
      <c r="A2636" s="63" t="s">
        <v>15606</v>
      </c>
      <c r="B2636" s="65" t="s">
        <v>15607</v>
      </c>
      <c r="C2636" s="108" t="s">
        <v>103</v>
      </c>
      <c r="D2636" s="78">
        <v>1</v>
      </c>
      <c r="E2636" s="79">
        <v>22.32</v>
      </c>
      <c r="F2636" s="70">
        <v>22.32</v>
      </c>
      <c r="G2636" s="320"/>
      <c r="H2636" s="79">
        <v>0</v>
      </c>
      <c r="I2636" s="79">
        <v>22.32</v>
      </c>
      <c r="J2636" s="63">
        <v>22.32</v>
      </c>
      <c r="K2636" s="79">
        <v>0</v>
      </c>
      <c r="L2636" s="70">
        <v>22.32</v>
      </c>
      <c r="M2636" s="132"/>
      <c r="N2636" s="79"/>
      <c r="O2636" s="63">
        <v>22.32</v>
      </c>
      <c r="P2636" s="79">
        <v>22.32</v>
      </c>
      <c r="Q2636" s="136"/>
      <c r="R2636" s="79"/>
      <c r="S2636" s="79">
        <v>22.33</v>
      </c>
      <c r="T2636" s="79">
        <v>22.33</v>
      </c>
      <c r="U2636" s="79">
        <v>0</v>
      </c>
      <c r="V2636" s="189">
        <v>22.33</v>
      </c>
      <c r="X2636" s="506"/>
      <c r="Y2636" s="506">
        <v>22.33</v>
      </c>
      <c r="Z2636" s="506">
        <v>22.33</v>
      </c>
      <c r="AA2636" s="255">
        <v>-9.9999999999980105E-3</v>
      </c>
      <c r="AC2636" s="254"/>
    </row>
    <row r="2637" spans="1:31" ht="12">
      <c r="A2637" s="63" t="s">
        <v>15608</v>
      </c>
      <c r="B2637" s="65" t="s">
        <v>15609</v>
      </c>
      <c r="C2637" s="108" t="s">
        <v>103</v>
      </c>
      <c r="D2637" s="78">
        <v>1</v>
      </c>
      <c r="E2637" s="79">
        <v>4.54</v>
      </c>
      <c r="F2637" s="70">
        <v>4.54</v>
      </c>
      <c r="G2637" s="320"/>
      <c r="H2637" s="79">
        <v>0</v>
      </c>
      <c r="I2637" s="79">
        <v>4.54</v>
      </c>
      <c r="J2637" s="63">
        <v>4.54</v>
      </c>
      <c r="K2637" s="79">
        <v>0</v>
      </c>
      <c r="L2637" s="70">
        <v>4.54</v>
      </c>
      <c r="M2637" s="132"/>
      <c r="N2637" s="79"/>
      <c r="O2637" s="63">
        <v>4.54</v>
      </c>
      <c r="P2637" s="79">
        <v>4.54</v>
      </c>
      <c r="Q2637" s="136"/>
      <c r="R2637" s="79"/>
      <c r="S2637" s="79">
        <v>4.54</v>
      </c>
      <c r="T2637" s="79">
        <v>4.54</v>
      </c>
      <c r="U2637" s="79">
        <v>0</v>
      </c>
      <c r="V2637" s="189">
        <v>4.54</v>
      </c>
      <c r="X2637" s="506"/>
      <c r="Y2637" s="506">
        <v>4.54</v>
      </c>
      <c r="Z2637" s="506">
        <v>4.54</v>
      </c>
      <c r="AA2637" s="255">
        <v>0</v>
      </c>
      <c r="AC2637" s="254"/>
    </row>
    <row r="2638" spans="1:31" ht="12">
      <c r="A2638" s="489" t="s">
        <v>15610</v>
      </c>
      <c r="B2638" s="490" t="s">
        <v>15611</v>
      </c>
      <c r="C2638" s="491"/>
      <c r="D2638" s="78"/>
      <c r="E2638" s="79"/>
      <c r="F2638" s="70"/>
      <c r="G2638" s="320"/>
      <c r="H2638" s="79"/>
      <c r="I2638" s="79"/>
      <c r="J2638" s="79"/>
      <c r="K2638" s="79"/>
      <c r="L2638" s="70"/>
      <c r="M2638" s="132"/>
      <c r="N2638" s="79"/>
      <c r="O2638" s="79"/>
      <c r="P2638" s="79"/>
      <c r="Q2638" s="136"/>
      <c r="R2638" s="79"/>
      <c r="S2638" s="79"/>
      <c r="T2638" s="79"/>
      <c r="U2638" s="79"/>
      <c r="V2638" s="189"/>
      <c r="X2638" s="79"/>
      <c r="Y2638" s="79"/>
      <c r="Z2638" s="79"/>
      <c r="AA2638" s="255"/>
      <c r="AC2638" s="254"/>
    </row>
    <row r="2639" spans="1:31" ht="24">
      <c r="A2639" s="67" t="s">
        <v>15612</v>
      </c>
      <c r="B2639" s="65" t="s">
        <v>15613</v>
      </c>
      <c r="C2639" s="71" t="s">
        <v>103</v>
      </c>
      <c r="D2639" s="78">
        <v>1</v>
      </c>
      <c r="E2639" s="79">
        <v>355.96999999999997</v>
      </c>
      <c r="F2639" s="70">
        <v>355.97</v>
      </c>
      <c r="G2639" s="320"/>
      <c r="H2639" s="79">
        <v>333.65</v>
      </c>
      <c r="I2639" s="79">
        <v>22.32</v>
      </c>
      <c r="J2639" s="79">
        <v>355.96999999999997</v>
      </c>
      <c r="K2639" s="79">
        <v>0</v>
      </c>
      <c r="L2639" s="70">
        <v>355.96999999999997</v>
      </c>
      <c r="M2639" s="132"/>
      <c r="N2639" s="79">
        <v>333.65</v>
      </c>
      <c r="O2639" s="79">
        <v>22.32</v>
      </c>
      <c r="P2639" s="79">
        <v>355.96999999999997</v>
      </c>
      <c r="Q2639" s="136"/>
      <c r="R2639" s="79">
        <v>333.65</v>
      </c>
      <c r="S2639" s="79">
        <v>22.33</v>
      </c>
      <c r="T2639" s="79">
        <v>355.97999999999996</v>
      </c>
      <c r="U2639" s="79">
        <v>0</v>
      </c>
      <c r="V2639" s="189">
        <v>355.97999999999996</v>
      </c>
      <c r="X2639" s="79">
        <v>333.65</v>
      </c>
      <c r="Y2639" s="79">
        <v>22.33</v>
      </c>
      <c r="Z2639" s="79">
        <v>355.98</v>
      </c>
      <c r="AA2639" s="255">
        <v>-9.9999999999909051E-3</v>
      </c>
      <c r="AC2639" s="254"/>
      <c r="AD2639" s="61"/>
      <c r="AE2639" s="61"/>
    </row>
    <row r="2640" spans="1:31" ht="24">
      <c r="A2640" s="67" t="s">
        <v>15614</v>
      </c>
      <c r="B2640" s="65" t="s">
        <v>15615</v>
      </c>
      <c r="C2640" s="71" t="s">
        <v>103</v>
      </c>
      <c r="D2640" s="78">
        <v>1</v>
      </c>
      <c r="E2640" s="79">
        <v>228.68</v>
      </c>
      <c r="F2640" s="70">
        <v>228.68</v>
      </c>
      <c r="G2640" s="320"/>
      <c r="H2640" s="79">
        <v>211.93</v>
      </c>
      <c r="I2640" s="79">
        <v>16.75</v>
      </c>
      <c r="J2640" s="79">
        <v>228.68</v>
      </c>
      <c r="K2640" s="79">
        <v>0</v>
      </c>
      <c r="L2640" s="70">
        <v>228.68</v>
      </c>
      <c r="M2640" s="132"/>
      <c r="N2640" s="79">
        <v>211.93</v>
      </c>
      <c r="O2640" s="79">
        <v>16.75</v>
      </c>
      <c r="P2640" s="79">
        <v>228.68</v>
      </c>
      <c r="Q2640" s="136"/>
      <c r="R2640" s="79">
        <v>211.93</v>
      </c>
      <c r="S2640" s="79">
        <v>16.75</v>
      </c>
      <c r="T2640" s="79">
        <v>228.68</v>
      </c>
      <c r="U2640" s="79">
        <v>0</v>
      </c>
      <c r="V2640" s="189">
        <v>228.68</v>
      </c>
      <c r="X2640" s="79">
        <v>211.93</v>
      </c>
      <c r="Y2640" s="79">
        <v>16.75</v>
      </c>
      <c r="Z2640" s="79">
        <v>228.68</v>
      </c>
      <c r="AA2640" s="255">
        <v>0</v>
      </c>
      <c r="AC2640" s="254"/>
    </row>
    <row r="2641" spans="1:31" s="61" customFormat="1" ht="24">
      <c r="A2641" s="67" t="s">
        <v>15616</v>
      </c>
      <c r="B2641" s="65" t="s">
        <v>15617</v>
      </c>
      <c r="C2641" s="71" t="s">
        <v>103</v>
      </c>
      <c r="D2641" s="78">
        <v>1</v>
      </c>
      <c r="E2641" s="79">
        <v>175.26999999999998</v>
      </c>
      <c r="F2641" s="70">
        <v>175.27</v>
      </c>
      <c r="G2641" s="320"/>
      <c r="H2641" s="79">
        <v>152.94999999999999</v>
      </c>
      <c r="I2641" s="79">
        <v>22.32</v>
      </c>
      <c r="J2641" s="79">
        <v>175.26999999999998</v>
      </c>
      <c r="K2641" s="79">
        <v>0</v>
      </c>
      <c r="L2641" s="70">
        <v>175.26999999999998</v>
      </c>
      <c r="M2641" s="132"/>
      <c r="N2641" s="79">
        <v>152.94999999999999</v>
      </c>
      <c r="O2641" s="79">
        <v>22.32</v>
      </c>
      <c r="P2641" s="79">
        <v>175.26999999999998</v>
      </c>
      <c r="Q2641" s="136"/>
      <c r="R2641" s="79">
        <v>152.94999999999999</v>
      </c>
      <c r="S2641" s="79">
        <v>22.33</v>
      </c>
      <c r="T2641" s="79">
        <v>175.27999999999997</v>
      </c>
      <c r="U2641" s="79">
        <v>0</v>
      </c>
      <c r="V2641" s="189">
        <v>175.27999999999997</v>
      </c>
      <c r="X2641" s="79">
        <v>152.94999999999999</v>
      </c>
      <c r="Y2641" s="79">
        <v>22.33</v>
      </c>
      <c r="Z2641" s="79">
        <v>175.28</v>
      </c>
      <c r="AA2641" s="255">
        <v>-9.9999999999909051E-3</v>
      </c>
      <c r="AC2641" s="254"/>
      <c r="AD2641" s="236"/>
      <c r="AE2641" s="236"/>
    </row>
    <row r="2642" spans="1:31" ht="24">
      <c r="A2642" s="67" t="s">
        <v>15618</v>
      </c>
      <c r="B2642" s="65" t="s">
        <v>15619</v>
      </c>
      <c r="C2642" s="71" t="s">
        <v>103</v>
      </c>
      <c r="D2642" s="78">
        <v>1</v>
      </c>
      <c r="E2642" s="79">
        <v>280.76</v>
      </c>
      <c r="F2642" s="70">
        <v>280.76</v>
      </c>
      <c r="G2642" s="320"/>
      <c r="H2642" s="79">
        <v>264.01</v>
      </c>
      <c r="I2642" s="79">
        <v>16.75</v>
      </c>
      <c r="J2642" s="79">
        <v>280.76</v>
      </c>
      <c r="K2642" s="79">
        <v>0</v>
      </c>
      <c r="L2642" s="70">
        <v>280.76</v>
      </c>
      <c r="M2642" s="132"/>
      <c r="N2642" s="79">
        <v>264.01</v>
      </c>
      <c r="O2642" s="79">
        <v>16.75</v>
      </c>
      <c r="P2642" s="79">
        <v>280.76</v>
      </c>
      <c r="Q2642" s="136"/>
      <c r="R2642" s="79">
        <v>264.01</v>
      </c>
      <c r="S2642" s="79">
        <v>16.75</v>
      </c>
      <c r="T2642" s="79">
        <v>280.76</v>
      </c>
      <c r="U2642" s="79">
        <v>0</v>
      </c>
      <c r="V2642" s="189">
        <v>280.76</v>
      </c>
      <c r="X2642" s="79">
        <v>264.01</v>
      </c>
      <c r="Y2642" s="79">
        <v>16.75</v>
      </c>
      <c r="Z2642" s="79">
        <v>280.76</v>
      </c>
      <c r="AA2642" s="255">
        <v>0</v>
      </c>
      <c r="AC2642" s="254"/>
      <c r="AD2642" s="61"/>
      <c r="AE2642" s="61"/>
    </row>
    <row r="2643" spans="1:31" ht="24">
      <c r="A2643" s="63" t="s">
        <v>15620</v>
      </c>
      <c r="B2643" s="64" t="s">
        <v>15621</v>
      </c>
      <c r="C2643" s="63" t="s">
        <v>103</v>
      </c>
      <c r="D2643" s="78">
        <v>1</v>
      </c>
      <c r="E2643" s="79">
        <v>107.02</v>
      </c>
      <c r="F2643" s="70">
        <v>107.02</v>
      </c>
      <c r="G2643" s="320"/>
      <c r="H2643" s="79">
        <v>79.08</v>
      </c>
      <c r="I2643" s="79">
        <v>27.939999999999998</v>
      </c>
      <c r="J2643" s="79">
        <v>107.02</v>
      </c>
      <c r="K2643" s="79">
        <v>0</v>
      </c>
      <c r="L2643" s="70">
        <v>107.02</v>
      </c>
      <c r="M2643" s="132"/>
      <c r="N2643" s="79">
        <v>79.08</v>
      </c>
      <c r="O2643" s="79">
        <v>27.939999999999998</v>
      </c>
      <c r="P2643" s="79">
        <v>107.02</v>
      </c>
      <c r="Q2643" s="136"/>
      <c r="R2643" s="79">
        <v>79.08</v>
      </c>
      <c r="S2643" s="79">
        <v>27.92</v>
      </c>
      <c r="T2643" s="79">
        <v>107</v>
      </c>
      <c r="U2643" s="79">
        <v>0</v>
      </c>
      <c r="V2643" s="189">
        <v>107</v>
      </c>
      <c r="X2643" s="63">
        <v>79.08</v>
      </c>
      <c r="Y2643" s="63">
        <v>27.92</v>
      </c>
      <c r="Z2643" s="63">
        <v>107</v>
      </c>
      <c r="AA2643" s="255">
        <v>1.9999999999996021E-2</v>
      </c>
      <c r="AC2643" s="254"/>
      <c r="AD2643" s="61"/>
      <c r="AE2643" s="61"/>
    </row>
    <row r="2644" spans="1:31" s="61" customFormat="1" ht="12">
      <c r="A2644" s="489" t="s">
        <v>15622</v>
      </c>
      <c r="B2644" s="490" t="s">
        <v>15623</v>
      </c>
      <c r="C2644" s="491"/>
      <c r="D2644" s="492"/>
      <c r="E2644" s="79"/>
      <c r="F2644" s="63"/>
      <c r="G2644" s="320"/>
      <c r="H2644" s="79"/>
      <c r="I2644" s="79"/>
      <c r="J2644" s="79"/>
      <c r="K2644" s="79"/>
      <c r="L2644" s="70"/>
      <c r="M2644" s="132"/>
      <c r="N2644" s="79"/>
      <c r="O2644" s="79"/>
      <c r="P2644" s="79"/>
      <c r="Q2644" s="136"/>
      <c r="R2644" s="79"/>
      <c r="S2644" s="79"/>
      <c r="T2644" s="79"/>
      <c r="U2644" s="79"/>
      <c r="V2644" s="189"/>
      <c r="X2644" s="79"/>
      <c r="Y2644" s="79"/>
      <c r="Z2644" s="79"/>
      <c r="AA2644" s="255"/>
      <c r="AC2644" s="254"/>
    </row>
    <row r="2645" spans="1:31" s="61" customFormat="1" ht="12">
      <c r="A2645" s="489" t="s">
        <v>15624</v>
      </c>
      <c r="B2645" s="490" t="s">
        <v>15625</v>
      </c>
      <c r="C2645" s="491"/>
      <c r="D2645" s="492"/>
      <c r="E2645" s="79"/>
      <c r="F2645" s="63"/>
      <c r="G2645" s="320"/>
      <c r="H2645" s="79"/>
      <c r="I2645" s="79"/>
      <c r="J2645" s="79"/>
      <c r="K2645" s="79"/>
      <c r="L2645" s="70"/>
      <c r="M2645" s="132"/>
      <c r="N2645" s="79"/>
      <c r="O2645" s="79"/>
      <c r="P2645" s="79"/>
      <c r="Q2645" s="136"/>
      <c r="R2645" s="79"/>
      <c r="S2645" s="79"/>
      <c r="T2645" s="79"/>
      <c r="U2645" s="79"/>
      <c r="V2645" s="189"/>
      <c r="X2645" s="79"/>
      <c r="Y2645" s="79"/>
      <c r="Z2645" s="79"/>
      <c r="AA2645" s="255"/>
      <c r="AC2645" s="254"/>
    </row>
    <row r="2646" spans="1:31" s="61" customFormat="1" ht="12">
      <c r="A2646" s="67" t="s">
        <v>15626</v>
      </c>
      <c r="B2646" s="65" t="s">
        <v>15627</v>
      </c>
      <c r="C2646" s="71" t="s">
        <v>103</v>
      </c>
      <c r="D2646" s="78">
        <v>1</v>
      </c>
      <c r="E2646" s="79">
        <v>98.4</v>
      </c>
      <c r="F2646" s="70">
        <v>98.4</v>
      </c>
      <c r="G2646" s="320"/>
      <c r="H2646" s="79">
        <v>84.43</v>
      </c>
      <c r="I2646" s="79">
        <v>13.969999999999999</v>
      </c>
      <c r="J2646" s="79">
        <v>98.4</v>
      </c>
      <c r="K2646" s="79">
        <v>0</v>
      </c>
      <c r="L2646" s="70">
        <v>98.4</v>
      </c>
      <c r="M2646" s="132"/>
      <c r="N2646" s="79">
        <v>84.43</v>
      </c>
      <c r="O2646" s="79">
        <v>13.969999999999999</v>
      </c>
      <c r="P2646" s="79">
        <v>98.4</v>
      </c>
      <c r="Q2646" s="136"/>
      <c r="R2646" s="79">
        <v>84.43</v>
      </c>
      <c r="S2646" s="79">
        <v>13.96</v>
      </c>
      <c r="T2646" s="79">
        <v>98.390000000000015</v>
      </c>
      <c r="U2646" s="79">
        <v>0</v>
      </c>
      <c r="V2646" s="189">
        <v>98.390000000000015</v>
      </c>
      <c r="X2646" s="79">
        <v>84.43</v>
      </c>
      <c r="Y2646" s="79">
        <v>13.96</v>
      </c>
      <c r="Z2646" s="79">
        <v>98.39</v>
      </c>
      <c r="AA2646" s="255">
        <v>1.0000000000005116E-2</v>
      </c>
      <c r="AC2646" s="254"/>
    </row>
    <row r="2647" spans="1:31" s="61" customFormat="1" ht="12">
      <c r="A2647" s="67" t="s">
        <v>15628</v>
      </c>
      <c r="B2647" s="65" t="s">
        <v>15629</v>
      </c>
      <c r="C2647" s="71" t="s">
        <v>103</v>
      </c>
      <c r="D2647" s="78">
        <v>1</v>
      </c>
      <c r="E2647" s="79">
        <v>105.09</v>
      </c>
      <c r="F2647" s="70">
        <v>105.09</v>
      </c>
      <c r="G2647" s="320"/>
      <c r="H2647" s="79">
        <v>91.12</v>
      </c>
      <c r="I2647" s="79">
        <v>13.969999999999999</v>
      </c>
      <c r="J2647" s="79">
        <v>105.09</v>
      </c>
      <c r="K2647" s="79">
        <v>0</v>
      </c>
      <c r="L2647" s="70">
        <v>105.09</v>
      </c>
      <c r="M2647" s="132"/>
      <c r="N2647" s="79">
        <v>91.12</v>
      </c>
      <c r="O2647" s="79">
        <v>13.969999999999999</v>
      </c>
      <c r="P2647" s="79">
        <v>105.09</v>
      </c>
      <c r="Q2647" s="136"/>
      <c r="R2647" s="79">
        <v>91.12</v>
      </c>
      <c r="S2647" s="79">
        <v>13.96</v>
      </c>
      <c r="T2647" s="79">
        <v>105.08000000000001</v>
      </c>
      <c r="U2647" s="79">
        <v>0</v>
      </c>
      <c r="V2647" s="189">
        <v>105.08000000000001</v>
      </c>
      <c r="X2647" s="79">
        <v>91.12</v>
      </c>
      <c r="Y2647" s="79">
        <v>13.96</v>
      </c>
      <c r="Z2647" s="79">
        <v>105.08</v>
      </c>
      <c r="AA2647" s="255">
        <v>1.0000000000005116E-2</v>
      </c>
      <c r="AC2647" s="254"/>
      <c r="AD2647" s="236"/>
      <c r="AE2647" s="236"/>
    </row>
    <row r="2648" spans="1:31" s="61" customFormat="1" ht="12">
      <c r="A2648" s="67" t="s">
        <v>15630</v>
      </c>
      <c r="B2648" s="65" t="s">
        <v>15631</v>
      </c>
      <c r="C2648" s="71" t="s">
        <v>103</v>
      </c>
      <c r="D2648" s="78">
        <v>1</v>
      </c>
      <c r="E2648" s="79">
        <v>84.89</v>
      </c>
      <c r="F2648" s="70">
        <v>84.89</v>
      </c>
      <c r="G2648" s="320"/>
      <c r="H2648" s="79">
        <v>70.92</v>
      </c>
      <c r="I2648" s="79">
        <v>13.969999999999999</v>
      </c>
      <c r="J2648" s="79">
        <v>84.89</v>
      </c>
      <c r="K2648" s="79">
        <v>0</v>
      </c>
      <c r="L2648" s="70">
        <v>84.89</v>
      </c>
      <c r="M2648" s="132"/>
      <c r="N2648" s="79">
        <v>70.92</v>
      </c>
      <c r="O2648" s="79">
        <v>13.969999999999999</v>
      </c>
      <c r="P2648" s="79">
        <v>84.89</v>
      </c>
      <c r="Q2648" s="136"/>
      <c r="R2648" s="79">
        <v>70.92</v>
      </c>
      <c r="S2648" s="79">
        <v>13.96</v>
      </c>
      <c r="T2648" s="79">
        <v>84.88</v>
      </c>
      <c r="U2648" s="79">
        <v>0</v>
      </c>
      <c r="V2648" s="189">
        <v>84.88</v>
      </c>
      <c r="X2648" s="79">
        <v>70.92</v>
      </c>
      <c r="Y2648" s="79">
        <v>13.96</v>
      </c>
      <c r="Z2648" s="79">
        <v>84.88</v>
      </c>
      <c r="AA2648" s="255">
        <v>1.0000000000005116E-2</v>
      </c>
      <c r="AC2648" s="254"/>
      <c r="AD2648" s="236"/>
      <c r="AE2648" s="236"/>
    </row>
    <row r="2649" spans="1:31" ht="12">
      <c r="A2649" s="67" t="s">
        <v>15632</v>
      </c>
      <c r="B2649" s="65" t="s">
        <v>3753</v>
      </c>
      <c r="C2649" s="71" t="s">
        <v>103</v>
      </c>
      <c r="D2649" s="78">
        <v>1</v>
      </c>
      <c r="E2649" s="79">
        <v>61.73</v>
      </c>
      <c r="F2649" s="70">
        <v>61.73</v>
      </c>
      <c r="G2649" s="320"/>
      <c r="H2649" s="79">
        <v>47.76</v>
      </c>
      <c r="I2649" s="79">
        <v>13.969999999999999</v>
      </c>
      <c r="J2649" s="79">
        <v>61.73</v>
      </c>
      <c r="K2649" s="79">
        <v>0</v>
      </c>
      <c r="L2649" s="70">
        <v>61.73</v>
      </c>
      <c r="M2649" s="132"/>
      <c r="N2649" s="79">
        <v>47.76</v>
      </c>
      <c r="O2649" s="79">
        <v>13.969999999999999</v>
      </c>
      <c r="P2649" s="79">
        <v>61.73</v>
      </c>
      <c r="Q2649" s="136"/>
      <c r="R2649" s="79">
        <v>47.76</v>
      </c>
      <c r="S2649" s="79">
        <v>13.96</v>
      </c>
      <c r="T2649" s="79">
        <v>61.72</v>
      </c>
      <c r="U2649" s="79">
        <v>0</v>
      </c>
      <c r="V2649" s="189">
        <v>61.72</v>
      </c>
      <c r="X2649" s="79">
        <v>47.76</v>
      </c>
      <c r="Y2649" s="79">
        <v>13.96</v>
      </c>
      <c r="Z2649" s="79">
        <v>61.72</v>
      </c>
      <c r="AA2649" s="255">
        <v>9.9999999999980105E-3</v>
      </c>
      <c r="AC2649" s="254"/>
      <c r="AD2649" s="69"/>
      <c r="AE2649" s="69"/>
    </row>
    <row r="2650" spans="1:31" ht="12">
      <c r="A2650" s="67" t="s">
        <v>15633</v>
      </c>
      <c r="B2650" s="65" t="s">
        <v>15634</v>
      </c>
      <c r="C2650" s="71" t="s">
        <v>103</v>
      </c>
      <c r="D2650" s="78">
        <v>1</v>
      </c>
      <c r="E2650" s="79">
        <v>18.25</v>
      </c>
      <c r="F2650" s="70">
        <v>18.25</v>
      </c>
      <c r="G2650" s="320"/>
      <c r="H2650" s="79">
        <v>4.28</v>
      </c>
      <c r="I2650" s="79">
        <v>13.969999999999999</v>
      </c>
      <c r="J2650" s="79">
        <v>18.25</v>
      </c>
      <c r="K2650" s="79">
        <v>0</v>
      </c>
      <c r="L2650" s="70">
        <v>18.25</v>
      </c>
      <c r="M2650" s="132"/>
      <c r="N2650" s="79">
        <v>4.28</v>
      </c>
      <c r="O2650" s="79">
        <v>13.969999999999999</v>
      </c>
      <c r="P2650" s="79">
        <v>18.25</v>
      </c>
      <c r="Q2650" s="136"/>
      <c r="R2650" s="79">
        <v>4.28</v>
      </c>
      <c r="S2650" s="79">
        <v>13.96</v>
      </c>
      <c r="T2650" s="79">
        <v>18.240000000000002</v>
      </c>
      <c r="U2650" s="79">
        <v>0</v>
      </c>
      <c r="V2650" s="189">
        <v>18.240000000000002</v>
      </c>
      <c r="X2650" s="79">
        <v>4.28</v>
      </c>
      <c r="Y2650" s="79">
        <v>13.96</v>
      </c>
      <c r="Z2650" s="79">
        <v>18.239999999999998</v>
      </c>
      <c r="AA2650" s="255">
        <v>1.0000000000001563E-2</v>
      </c>
      <c r="AC2650" s="254"/>
    </row>
    <row r="2651" spans="1:31" s="69" customFormat="1" ht="12">
      <c r="A2651" s="67" t="s">
        <v>15635</v>
      </c>
      <c r="B2651" s="65" t="s">
        <v>15636</v>
      </c>
      <c r="C2651" s="71" t="s">
        <v>103</v>
      </c>
      <c r="D2651" s="78">
        <v>1</v>
      </c>
      <c r="E2651" s="79">
        <v>43.519999999999996</v>
      </c>
      <c r="F2651" s="70">
        <v>43.52</v>
      </c>
      <c r="G2651" s="320"/>
      <c r="H2651" s="79">
        <v>29.55</v>
      </c>
      <c r="I2651" s="79">
        <v>13.969999999999999</v>
      </c>
      <c r="J2651" s="79">
        <v>43.519999999999996</v>
      </c>
      <c r="K2651" s="79">
        <v>0</v>
      </c>
      <c r="L2651" s="70">
        <v>43.519999999999996</v>
      </c>
      <c r="M2651" s="132"/>
      <c r="N2651" s="79">
        <v>29.55</v>
      </c>
      <c r="O2651" s="79">
        <v>13.969999999999999</v>
      </c>
      <c r="P2651" s="79">
        <v>43.519999999999996</v>
      </c>
      <c r="Q2651" s="136"/>
      <c r="R2651" s="79">
        <v>29.55</v>
      </c>
      <c r="S2651" s="79">
        <v>13.96</v>
      </c>
      <c r="T2651" s="79">
        <v>43.510000000000005</v>
      </c>
      <c r="U2651" s="79">
        <v>0</v>
      </c>
      <c r="V2651" s="189">
        <v>43.510000000000005</v>
      </c>
      <c r="W2651" s="61"/>
      <c r="X2651" s="79">
        <v>29.55</v>
      </c>
      <c r="Y2651" s="79">
        <v>13.96</v>
      </c>
      <c r="Z2651" s="79">
        <v>43.51</v>
      </c>
      <c r="AA2651" s="255">
        <v>1.0000000000005116E-2</v>
      </c>
      <c r="AB2651" s="61"/>
      <c r="AC2651" s="254"/>
      <c r="AD2651" s="236"/>
      <c r="AE2651" s="236"/>
    </row>
    <row r="2652" spans="1:31" ht="12">
      <c r="A2652" s="67" t="s">
        <v>15637</v>
      </c>
      <c r="B2652" s="65" t="s">
        <v>15638</v>
      </c>
      <c r="C2652" s="71" t="s">
        <v>103</v>
      </c>
      <c r="D2652" s="78">
        <v>1</v>
      </c>
      <c r="E2652" s="79">
        <v>23.409999999999997</v>
      </c>
      <c r="F2652" s="70">
        <v>23.41</v>
      </c>
      <c r="G2652" s="320"/>
      <c r="H2652" s="79">
        <v>9.44</v>
      </c>
      <c r="I2652" s="79">
        <v>13.969999999999999</v>
      </c>
      <c r="J2652" s="79">
        <v>23.409999999999997</v>
      </c>
      <c r="K2652" s="79">
        <v>0</v>
      </c>
      <c r="L2652" s="70">
        <v>23.409999999999997</v>
      </c>
      <c r="M2652" s="132"/>
      <c r="N2652" s="79">
        <v>9.44</v>
      </c>
      <c r="O2652" s="79">
        <v>13.969999999999999</v>
      </c>
      <c r="P2652" s="79">
        <v>23.409999999999997</v>
      </c>
      <c r="Q2652" s="136"/>
      <c r="R2652" s="79">
        <v>9.44</v>
      </c>
      <c r="S2652" s="79">
        <v>13.96</v>
      </c>
      <c r="T2652" s="79">
        <v>23.4</v>
      </c>
      <c r="U2652" s="79">
        <v>0</v>
      </c>
      <c r="V2652" s="189">
        <v>23.4</v>
      </c>
      <c r="X2652" s="79">
        <v>9.44</v>
      </c>
      <c r="Y2652" s="79">
        <v>13.96</v>
      </c>
      <c r="Z2652" s="79">
        <v>23.4</v>
      </c>
      <c r="AA2652" s="255">
        <v>1.0000000000001563E-2</v>
      </c>
      <c r="AC2652" s="254"/>
    </row>
    <row r="2653" spans="1:31" ht="12">
      <c r="A2653" s="67" t="s">
        <v>15639</v>
      </c>
      <c r="B2653" s="65" t="s">
        <v>15640</v>
      </c>
      <c r="C2653" s="71" t="s">
        <v>103</v>
      </c>
      <c r="D2653" s="78">
        <v>1</v>
      </c>
      <c r="E2653" s="79">
        <v>27.49</v>
      </c>
      <c r="F2653" s="70">
        <v>27.49</v>
      </c>
      <c r="G2653" s="320"/>
      <c r="H2653" s="79">
        <v>13.52</v>
      </c>
      <c r="I2653" s="79">
        <v>13.969999999999999</v>
      </c>
      <c r="J2653" s="79">
        <v>27.49</v>
      </c>
      <c r="K2653" s="79">
        <v>0</v>
      </c>
      <c r="L2653" s="70">
        <v>27.49</v>
      </c>
      <c r="M2653" s="132"/>
      <c r="N2653" s="79">
        <v>13.52</v>
      </c>
      <c r="O2653" s="79">
        <v>13.969999999999999</v>
      </c>
      <c r="P2653" s="79">
        <v>27.49</v>
      </c>
      <c r="Q2653" s="136"/>
      <c r="R2653" s="79">
        <v>13.52</v>
      </c>
      <c r="S2653" s="79">
        <v>13.96</v>
      </c>
      <c r="T2653" s="79">
        <v>27.48</v>
      </c>
      <c r="U2653" s="79">
        <v>0</v>
      </c>
      <c r="V2653" s="189">
        <v>27.48</v>
      </c>
      <c r="X2653" s="79">
        <v>13.52</v>
      </c>
      <c r="Y2653" s="79">
        <v>13.96</v>
      </c>
      <c r="Z2653" s="79">
        <v>27.48</v>
      </c>
      <c r="AA2653" s="255">
        <v>9.9999999999980105E-3</v>
      </c>
      <c r="AC2653" s="254"/>
    </row>
    <row r="2654" spans="1:31" ht="12">
      <c r="A2654" s="489" t="s">
        <v>15641</v>
      </c>
      <c r="B2654" s="490" t="s">
        <v>15642</v>
      </c>
      <c r="C2654" s="491"/>
      <c r="D2654" s="492"/>
      <c r="E2654" s="79"/>
      <c r="F2654" s="63"/>
      <c r="G2654" s="320"/>
      <c r="H2654" s="79"/>
      <c r="I2654" s="79"/>
      <c r="J2654" s="79"/>
      <c r="K2654" s="79"/>
      <c r="L2654" s="70"/>
      <c r="M2654" s="132"/>
      <c r="N2654" s="79"/>
      <c r="O2654" s="79"/>
      <c r="P2654" s="79"/>
      <c r="Q2654" s="136"/>
      <c r="R2654" s="79"/>
      <c r="S2654" s="79"/>
      <c r="T2654" s="79"/>
      <c r="U2654" s="79"/>
      <c r="V2654" s="189"/>
      <c r="X2654" s="79"/>
      <c r="Y2654" s="79"/>
      <c r="Z2654" s="79"/>
      <c r="AA2654" s="255"/>
      <c r="AC2654" s="254"/>
    </row>
    <row r="2655" spans="1:31" ht="12">
      <c r="A2655" s="67" t="s">
        <v>15643</v>
      </c>
      <c r="B2655" s="65" t="s">
        <v>15644</v>
      </c>
      <c r="C2655" s="71" t="s">
        <v>103</v>
      </c>
      <c r="D2655" s="78">
        <v>1</v>
      </c>
      <c r="E2655" s="79">
        <v>20.13</v>
      </c>
      <c r="F2655" s="70">
        <v>20.13</v>
      </c>
      <c r="G2655" s="320"/>
      <c r="H2655" s="79">
        <v>6.16</v>
      </c>
      <c r="I2655" s="79">
        <v>13.969999999999999</v>
      </c>
      <c r="J2655" s="79">
        <v>20.13</v>
      </c>
      <c r="K2655" s="79">
        <v>0</v>
      </c>
      <c r="L2655" s="70">
        <v>20.13</v>
      </c>
      <c r="M2655" s="132"/>
      <c r="N2655" s="79">
        <v>6.16</v>
      </c>
      <c r="O2655" s="79">
        <v>13.969999999999999</v>
      </c>
      <c r="P2655" s="79">
        <v>20.13</v>
      </c>
      <c r="Q2655" s="136"/>
      <c r="R2655" s="79">
        <v>6.16</v>
      </c>
      <c r="S2655" s="79">
        <v>13.96</v>
      </c>
      <c r="T2655" s="79">
        <v>20.12</v>
      </c>
      <c r="U2655" s="79">
        <v>0</v>
      </c>
      <c r="V2655" s="189">
        <v>20.12</v>
      </c>
      <c r="X2655" s="79">
        <v>6.16</v>
      </c>
      <c r="Y2655" s="79">
        <v>13.96</v>
      </c>
      <c r="Z2655" s="79">
        <v>20.12</v>
      </c>
      <c r="AA2655" s="255">
        <v>9.9999999999980105E-3</v>
      </c>
      <c r="AC2655" s="254"/>
    </row>
    <row r="2656" spans="1:31" ht="12">
      <c r="A2656" s="67" t="s">
        <v>15645</v>
      </c>
      <c r="B2656" s="65" t="s">
        <v>15646</v>
      </c>
      <c r="C2656" s="71" t="s">
        <v>103</v>
      </c>
      <c r="D2656" s="78">
        <v>1</v>
      </c>
      <c r="E2656" s="79">
        <v>31.22</v>
      </c>
      <c r="F2656" s="70">
        <v>31.22</v>
      </c>
      <c r="G2656" s="320"/>
      <c r="H2656" s="79">
        <v>17.25</v>
      </c>
      <c r="I2656" s="79">
        <v>13.969999999999999</v>
      </c>
      <c r="J2656" s="79">
        <v>31.22</v>
      </c>
      <c r="K2656" s="79">
        <v>0</v>
      </c>
      <c r="L2656" s="70">
        <v>31.22</v>
      </c>
      <c r="M2656" s="132"/>
      <c r="N2656" s="79">
        <v>17.25</v>
      </c>
      <c r="O2656" s="79">
        <v>13.969999999999999</v>
      </c>
      <c r="P2656" s="79">
        <v>31.22</v>
      </c>
      <c r="Q2656" s="136"/>
      <c r="R2656" s="79">
        <v>17.25</v>
      </c>
      <c r="S2656" s="79">
        <v>13.96</v>
      </c>
      <c r="T2656" s="79">
        <v>31.21</v>
      </c>
      <c r="U2656" s="79">
        <v>0</v>
      </c>
      <c r="V2656" s="189">
        <v>31.21</v>
      </c>
      <c r="X2656" s="79">
        <v>17.25</v>
      </c>
      <c r="Y2656" s="79">
        <v>13.96</v>
      </c>
      <c r="Z2656" s="79">
        <v>31.21</v>
      </c>
      <c r="AA2656" s="255">
        <v>9.9999999999980105E-3</v>
      </c>
      <c r="AC2656" s="254"/>
    </row>
    <row r="2657" spans="1:31" ht="12">
      <c r="A2657" s="67" t="s">
        <v>15647</v>
      </c>
      <c r="B2657" s="65" t="s">
        <v>15648</v>
      </c>
      <c r="C2657" s="71" t="s">
        <v>103</v>
      </c>
      <c r="D2657" s="78">
        <v>1</v>
      </c>
      <c r="E2657" s="79">
        <v>19.82</v>
      </c>
      <c r="F2657" s="70">
        <v>19.82</v>
      </c>
      <c r="G2657" s="320"/>
      <c r="H2657" s="79">
        <v>5.85</v>
      </c>
      <c r="I2657" s="79">
        <v>13.969999999999999</v>
      </c>
      <c r="J2657" s="79">
        <v>19.82</v>
      </c>
      <c r="K2657" s="79">
        <v>0</v>
      </c>
      <c r="L2657" s="70">
        <v>19.82</v>
      </c>
      <c r="M2657" s="132"/>
      <c r="N2657" s="79">
        <v>5.85</v>
      </c>
      <c r="O2657" s="79">
        <v>13.969999999999999</v>
      </c>
      <c r="P2657" s="79">
        <v>19.82</v>
      </c>
      <c r="Q2657" s="136"/>
      <c r="R2657" s="79">
        <v>5.85</v>
      </c>
      <c r="S2657" s="79">
        <v>13.96</v>
      </c>
      <c r="T2657" s="79">
        <v>19.810000000000002</v>
      </c>
      <c r="U2657" s="79">
        <v>0</v>
      </c>
      <c r="V2657" s="189">
        <v>19.810000000000002</v>
      </c>
      <c r="X2657" s="79">
        <v>5.85</v>
      </c>
      <c r="Y2657" s="79">
        <v>13.96</v>
      </c>
      <c r="Z2657" s="79">
        <v>19.809999999999999</v>
      </c>
      <c r="AA2657" s="255">
        <v>1.0000000000001563E-2</v>
      </c>
      <c r="AC2657" s="254"/>
    </row>
    <row r="2658" spans="1:31" ht="12">
      <c r="A2658" s="67" t="s">
        <v>15649</v>
      </c>
      <c r="B2658" s="65" t="s">
        <v>15650</v>
      </c>
      <c r="C2658" s="71" t="s">
        <v>103</v>
      </c>
      <c r="D2658" s="78">
        <v>1</v>
      </c>
      <c r="E2658" s="79">
        <v>22.96</v>
      </c>
      <c r="F2658" s="70">
        <v>22.96</v>
      </c>
      <c r="G2658" s="320"/>
      <c r="H2658" s="79">
        <v>8.99</v>
      </c>
      <c r="I2658" s="79">
        <v>13.969999999999999</v>
      </c>
      <c r="J2658" s="79">
        <v>22.96</v>
      </c>
      <c r="K2658" s="79">
        <v>0</v>
      </c>
      <c r="L2658" s="70">
        <v>22.96</v>
      </c>
      <c r="M2658" s="132"/>
      <c r="N2658" s="79">
        <v>8.99</v>
      </c>
      <c r="O2658" s="79">
        <v>13.969999999999999</v>
      </c>
      <c r="P2658" s="79">
        <v>22.96</v>
      </c>
      <c r="Q2658" s="136"/>
      <c r="R2658" s="79">
        <v>8.99</v>
      </c>
      <c r="S2658" s="79">
        <v>13.96</v>
      </c>
      <c r="T2658" s="79">
        <v>22.950000000000003</v>
      </c>
      <c r="U2658" s="79">
        <v>0</v>
      </c>
      <c r="V2658" s="189">
        <v>22.950000000000003</v>
      </c>
      <c r="X2658" s="79">
        <v>8.99</v>
      </c>
      <c r="Y2658" s="79">
        <v>13.96</v>
      </c>
      <c r="Z2658" s="79">
        <v>22.95</v>
      </c>
      <c r="AA2658" s="255">
        <v>1.0000000000001563E-2</v>
      </c>
      <c r="AC2658" s="254"/>
    </row>
    <row r="2659" spans="1:31" ht="12">
      <c r="A2659" s="67" t="s">
        <v>15651</v>
      </c>
      <c r="B2659" s="65" t="s">
        <v>15652</v>
      </c>
      <c r="C2659" s="71" t="s">
        <v>103</v>
      </c>
      <c r="D2659" s="78">
        <v>1</v>
      </c>
      <c r="E2659" s="79">
        <v>28.669999999999998</v>
      </c>
      <c r="F2659" s="70">
        <v>28.67</v>
      </c>
      <c r="G2659" s="320"/>
      <c r="H2659" s="79">
        <v>14.7</v>
      </c>
      <c r="I2659" s="79">
        <v>13.969999999999999</v>
      </c>
      <c r="J2659" s="79">
        <v>28.669999999999998</v>
      </c>
      <c r="K2659" s="79">
        <v>0</v>
      </c>
      <c r="L2659" s="70">
        <v>28.669999999999998</v>
      </c>
      <c r="M2659" s="132"/>
      <c r="N2659" s="79">
        <v>14.7</v>
      </c>
      <c r="O2659" s="79">
        <v>13.969999999999999</v>
      </c>
      <c r="P2659" s="79">
        <v>28.669999999999998</v>
      </c>
      <c r="Q2659" s="136"/>
      <c r="R2659" s="79">
        <v>14.7</v>
      </c>
      <c r="S2659" s="79">
        <v>13.96</v>
      </c>
      <c r="T2659" s="79">
        <v>28.66</v>
      </c>
      <c r="U2659" s="79">
        <v>0</v>
      </c>
      <c r="V2659" s="189">
        <v>28.66</v>
      </c>
      <c r="X2659" s="79">
        <v>14.7</v>
      </c>
      <c r="Y2659" s="79">
        <v>13.96</v>
      </c>
      <c r="Z2659" s="79">
        <v>28.66</v>
      </c>
      <c r="AA2659" s="255">
        <v>1.0000000000001563E-2</v>
      </c>
      <c r="AC2659" s="254"/>
    </row>
    <row r="2660" spans="1:31" ht="12">
      <c r="A2660" s="67" t="s">
        <v>15653</v>
      </c>
      <c r="B2660" s="65" t="s">
        <v>15654</v>
      </c>
      <c r="C2660" s="71" t="s">
        <v>103</v>
      </c>
      <c r="D2660" s="78">
        <v>1</v>
      </c>
      <c r="E2660" s="79">
        <v>32.730000000000004</v>
      </c>
      <c r="F2660" s="70">
        <v>32.729999999999997</v>
      </c>
      <c r="G2660" s="320"/>
      <c r="H2660" s="79">
        <v>18.760000000000002</v>
      </c>
      <c r="I2660" s="79">
        <v>13.969999999999999</v>
      </c>
      <c r="J2660" s="79">
        <v>32.730000000000004</v>
      </c>
      <c r="K2660" s="79">
        <v>0</v>
      </c>
      <c r="L2660" s="70">
        <v>32.730000000000004</v>
      </c>
      <c r="M2660" s="132"/>
      <c r="N2660" s="79">
        <v>18.760000000000002</v>
      </c>
      <c r="O2660" s="79">
        <v>13.969999999999999</v>
      </c>
      <c r="P2660" s="79">
        <v>32.730000000000004</v>
      </c>
      <c r="Q2660" s="136"/>
      <c r="R2660" s="79">
        <v>18.760000000000002</v>
      </c>
      <c r="S2660" s="79">
        <v>13.96</v>
      </c>
      <c r="T2660" s="79">
        <v>32.72</v>
      </c>
      <c r="U2660" s="79">
        <v>0</v>
      </c>
      <c r="V2660" s="189">
        <v>32.72</v>
      </c>
      <c r="X2660" s="79">
        <v>18.760000000000002</v>
      </c>
      <c r="Y2660" s="79">
        <v>13.96</v>
      </c>
      <c r="Z2660" s="79">
        <v>32.72</v>
      </c>
      <c r="AA2660" s="255">
        <v>9.9999999999980105E-3</v>
      </c>
      <c r="AC2660" s="254"/>
    </row>
    <row r="2661" spans="1:31" ht="12">
      <c r="A2661" s="489" t="s">
        <v>15655</v>
      </c>
      <c r="B2661" s="490" t="s">
        <v>15656</v>
      </c>
      <c r="C2661" s="491"/>
      <c r="D2661" s="492"/>
      <c r="E2661" s="79"/>
      <c r="F2661" s="63"/>
      <c r="G2661" s="320"/>
      <c r="H2661" s="79"/>
      <c r="I2661" s="79"/>
      <c r="J2661" s="79"/>
      <c r="K2661" s="79"/>
      <c r="L2661" s="70"/>
      <c r="M2661" s="132"/>
      <c r="N2661" s="79"/>
      <c r="O2661" s="79"/>
      <c r="P2661" s="79"/>
      <c r="Q2661" s="136"/>
      <c r="R2661" s="79"/>
      <c r="S2661" s="79"/>
      <c r="T2661" s="79"/>
      <c r="U2661" s="79"/>
      <c r="V2661" s="189"/>
      <c r="X2661" s="79"/>
      <c r="Y2661" s="79"/>
      <c r="Z2661" s="79"/>
      <c r="AA2661" s="255"/>
      <c r="AC2661" s="254"/>
    </row>
    <row r="2662" spans="1:31" ht="12">
      <c r="A2662" s="67" t="s">
        <v>15657</v>
      </c>
      <c r="B2662" s="65" t="s">
        <v>15658</v>
      </c>
      <c r="C2662" s="71" t="s">
        <v>103</v>
      </c>
      <c r="D2662" s="78">
        <v>1</v>
      </c>
      <c r="E2662" s="79">
        <v>25.24</v>
      </c>
      <c r="F2662" s="70">
        <v>25.24</v>
      </c>
      <c r="G2662" s="320"/>
      <c r="H2662" s="79">
        <v>11.27</v>
      </c>
      <c r="I2662" s="79">
        <v>13.969999999999999</v>
      </c>
      <c r="J2662" s="79">
        <v>25.24</v>
      </c>
      <c r="K2662" s="79">
        <v>0</v>
      </c>
      <c r="L2662" s="70">
        <v>25.24</v>
      </c>
      <c r="M2662" s="132"/>
      <c r="N2662" s="79">
        <v>11.27</v>
      </c>
      <c r="O2662" s="79">
        <v>13.969999999999999</v>
      </c>
      <c r="P2662" s="79">
        <v>25.24</v>
      </c>
      <c r="Q2662" s="136"/>
      <c r="R2662" s="79">
        <v>11.27</v>
      </c>
      <c r="S2662" s="79">
        <v>13.96</v>
      </c>
      <c r="T2662" s="79">
        <v>25.23</v>
      </c>
      <c r="U2662" s="79">
        <v>0</v>
      </c>
      <c r="V2662" s="189">
        <v>25.23</v>
      </c>
      <c r="X2662" s="79">
        <v>11.27</v>
      </c>
      <c r="Y2662" s="79">
        <v>13.96</v>
      </c>
      <c r="Z2662" s="79">
        <v>25.23</v>
      </c>
      <c r="AA2662" s="255">
        <v>9.9999999999980105E-3</v>
      </c>
      <c r="AC2662" s="254"/>
    </row>
    <row r="2663" spans="1:31" ht="12">
      <c r="A2663" s="67" t="s">
        <v>15659</v>
      </c>
      <c r="B2663" s="65" t="s">
        <v>15660</v>
      </c>
      <c r="C2663" s="71" t="s">
        <v>103</v>
      </c>
      <c r="D2663" s="78">
        <v>1</v>
      </c>
      <c r="E2663" s="79">
        <v>31.099999999999998</v>
      </c>
      <c r="F2663" s="70">
        <v>31.1</v>
      </c>
      <c r="G2663" s="320"/>
      <c r="H2663" s="79">
        <v>17.13</v>
      </c>
      <c r="I2663" s="79">
        <v>13.969999999999999</v>
      </c>
      <c r="J2663" s="79">
        <v>31.099999999999998</v>
      </c>
      <c r="K2663" s="79">
        <v>0</v>
      </c>
      <c r="L2663" s="70">
        <v>31.099999999999998</v>
      </c>
      <c r="M2663" s="132"/>
      <c r="N2663" s="79">
        <v>17.13</v>
      </c>
      <c r="O2663" s="79">
        <v>13.969999999999999</v>
      </c>
      <c r="P2663" s="79">
        <v>31.099999999999998</v>
      </c>
      <c r="Q2663" s="136"/>
      <c r="R2663" s="79">
        <v>17.13</v>
      </c>
      <c r="S2663" s="79">
        <v>13.96</v>
      </c>
      <c r="T2663" s="79">
        <v>31.09</v>
      </c>
      <c r="U2663" s="79">
        <v>0</v>
      </c>
      <c r="V2663" s="189">
        <v>31.09</v>
      </c>
      <c r="X2663" s="79">
        <v>17.13</v>
      </c>
      <c r="Y2663" s="79">
        <v>13.96</v>
      </c>
      <c r="Z2663" s="79">
        <v>31.09</v>
      </c>
      <c r="AA2663" s="255">
        <v>1.0000000000001563E-2</v>
      </c>
      <c r="AC2663" s="254"/>
    </row>
    <row r="2664" spans="1:31" ht="12">
      <c r="A2664" s="67" t="s">
        <v>15661</v>
      </c>
      <c r="B2664" s="65" t="s">
        <v>15662</v>
      </c>
      <c r="C2664" s="71" t="s">
        <v>103</v>
      </c>
      <c r="D2664" s="78">
        <v>1</v>
      </c>
      <c r="E2664" s="79">
        <v>29.25</v>
      </c>
      <c r="F2664" s="70">
        <v>29.25</v>
      </c>
      <c r="G2664" s="320"/>
      <c r="H2664" s="79">
        <v>15.28</v>
      </c>
      <c r="I2664" s="79">
        <v>13.969999999999999</v>
      </c>
      <c r="J2664" s="79">
        <v>29.25</v>
      </c>
      <c r="K2664" s="79">
        <v>0</v>
      </c>
      <c r="L2664" s="70">
        <v>29.25</v>
      </c>
      <c r="M2664" s="132"/>
      <c r="N2664" s="79">
        <v>15.28</v>
      </c>
      <c r="O2664" s="79">
        <v>13.969999999999999</v>
      </c>
      <c r="P2664" s="79">
        <v>29.25</v>
      </c>
      <c r="Q2664" s="136"/>
      <c r="R2664" s="79">
        <v>15.28</v>
      </c>
      <c r="S2664" s="79">
        <v>13.96</v>
      </c>
      <c r="T2664" s="79">
        <v>29.240000000000002</v>
      </c>
      <c r="U2664" s="79">
        <v>0</v>
      </c>
      <c r="V2664" s="189">
        <v>29.240000000000002</v>
      </c>
      <c r="X2664" s="79">
        <v>15.28</v>
      </c>
      <c r="Y2664" s="79">
        <v>13.96</v>
      </c>
      <c r="Z2664" s="79">
        <v>29.24</v>
      </c>
      <c r="AA2664" s="255">
        <v>1.0000000000001563E-2</v>
      </c>
      <c r="AC2664" s="254"/>
    </row>
    <row r="2665" spans="1:31" ht="12">
      <c r="A2665" s="67" t="s">
        <v>15663</v>
      </c>
      <c r="B2665" s="65" t="s">
        <v>15664</v>
      </c>
      <c r="C2665" s="71" t="s">
        <v>103</v>
      </c>
      <c r="D2665" s="78">
        <v>1</v>
      </c>
      <c r="E2665" s="79">
        <v>33.53</v>
      </c>
      <c r="F2665" s="70">
        <v>33.53</v>
      </c>
      <c r="G2665" s="320"/>
      <c r="H2665" s="79">
        <v>19.559999999999999</v>
      </c>
      <c r="I2665" s="79">
        <v>13.969999999999999</v>
      </c>
      <c r="J2665" s="79">
        <v>33.53</v>
      </c>
      <c r="K2665" s="79">
        <v>0</v>
      </c>
      <c r="L2665" s="70">
        <v>33.53</v>
      </c>
      <c r="M2665" s="132"/>
      <c r="N2665" s="79">
        <v>19.559999999999999</v>
      </c>
      <c r="O2665" s="79">
        <v>13.969999999999999</v>
      </c>
      <c r="P2665" s="79">
        <v>33.53</v>
      </c>
      <c r="Q2665" s="136"/>
      <c r="R2665" s="79">
        <v>19.559999999999999</v>
      </c>
      <c r="S2665" s="79">
        <v>13.96</v>
      </c>
      <c r="T2665" s="79">
        <v>33.519999999999996</v>
      </c>
      <c r="U2665" s="79">
        <v>0</v>
      </c>
      <c r="V2665" s="189">
        <v>33.519999999999996</v>
      </c>
      <c r="X2665" s="79">
        <v>19.559999999999999</v>
      </c>
      <c r="Y2665" s="79">
        <v>13.96</v>
      </c>
      <c r="Z2665" s="79">
        <v>33.520000000000003</v>
      </c>
      <c r="AA2665" s="255">
        <v>9.9999999999980105E-3</v>
      </c>
      <c r="AC2665" s="254"/>
    </row>
    <row r="2666" spans="1:31" ht="12">
      <c r="A2666" s="489" t="s">
        <v>15665</v>
      </c>
      <c r="B2666" s="490" t="s">
        <v>15666</v>
      </c>
      <c r="C2666" s="491"/>
      <c r="D2666" s="492"/>
      <c r="E2666" s="79"/>
      <c r="F2666" s="63"/>
      <c r="G2666" s="320"/>
      <c r="H2666" s="79"/>
      <c r="I2666" s="79"/>
      <c r="J2666" s="79"/>
      <c r="K2666" s="79"/>
      <c r="L2666" s="70"/>
      <c r="M2666" s="132"/>
      <c r="N2666" s="79"/>
      <c r="O2666" s="79"/>
      <c r="P2666" s="79"/>
      <c r="Q2666" s="136"/>
      <c r="R2666" s="79"/>
      <c r="S2666" s="79"/>
      <c r="T2666" s="79"/>
      <c r="U2666" s="79"/>
      <c r="V2666" s="189"/>
      <c r="X2666" s="79"/>
      <c r="Y2666" s="79"/>
      <c r="Z2666" s="79"/>
      <c r="AA2666" s="255"/>
      <c r="AC2666" s="254"/>
      <c r="AD2666" s="61"/>
      <c r="AE2666" s="61"/>
    </row>
    <row r="2667" spans="1:31" ht="12">
      <c r="A2667" s="67" t="s">
        <v>15667</v>
      </c>
      <c r="B2667" s="65" t="s">
        <v>15668</v>
      </c>
      <c r="C2667" s="71" t="s">
        <v>103</v>
      </c>
      <c r="D2667" s="78">
        <v>1</v>
      </c>
      <c r="E2667" s="79">
        <v>26.9</v>
      </c>
      <c r="F2667" s="70">
        <v>26.9</v>
      </c>
      <c r="G2667" s="320"/>
      <c r="H2667" s="79">
        <v>12.93</v>
      </c>
      <c r="I2667" s="79">
        <v>13.969999999999999</v>
      </c>
      <c r="J2667" s="79">
        <v>26.9</v>
      </c>
      <c r="K2667" s="79">
        <v>0</v>
      </c>
      <c r="L2667" s="70">
        <v>26.9</v>
      </c>
      <c r="M2667" s="132"/>
      <c r="N2667" s="79">
        <v>12.93</v>
      </c>
      <c r="O2667" s="79">
        <v>13.969999999999999</v>
      </c>
      <c r="P2667" s="79">
        <v>26.9</v>
      </c>
      <c r="Q2667" s="136"/>
      <c r="R2667" s="79">
        <v>12.93</v>
      </c>
      <c r="S2667" s="79">
        <v>13.96</v>
      </c>
      <c r="T2667" s="79">
        <v>26.89</v>
      </c>
      <c r="U2667" s="79">
        <v>0</v>
      </c>
      <c r="V2667" s="189">
        <v>26.89</v>
      </c>
      <c r="X2667" s="79">
        <v>12.93</v>
      </c>
      <c r="Y2667" s="79">
        <v>13.96</v>
      </c>
      <c r="Z2667" s="79">
        <v>26.89</v>
      </c>
      <c r="AA2667" s="255">
        <v>9.9999999999980105E-3</v>
      </c>
      <c r="AC2667" s="254"/>
    </row>
    <row r="2668" spans="1:31" s="61" customFormat="1" ht="12">
      <c r="A2668" s="67" t="s">
        <v>15669</v>
      </c>
      <c r="B2668" s="65" t="s">
        <v>15670</v>
      </c>
      <c r="C2668" s="71" t="s">
        <v>103</v>
      </c>
      <c r="D2668" s="78">
        <v>1</v>
      </c>
      <c r="E2668" s="79">
        <v>25.63</v>
      </c>
      <c r="F2668" s="70">
        <v>25.63</v>
      </c>
      <c r="G2668" s="320"/>
      <c r="H2668" s="79">
        <v>11.66</v>
      </c>
      <c r="I2668" s="79">
        <v>13.969999999999999</v>
      </c>
      <c r="J2668" s="79">
        <v>25.63</v>
      </c>
      <c r="K2668" s="79">
        <v>0</v>
      </c>
      <c r="L2668" s="70">
        <v>25.63</v>
      </c>
      <c r="M2668" s="132"/>
      <c r="N2668" s="79">
        <v>11.66</v>
      </c>
      <c r="O2668" s="79">
        <v>13.969999999999999</v>
      </c>
      <c r="P2668" s="79">
        <v>25.63</v>
      </c>
      <c r="Q2668" s="136"/>
      <c r="R2668" s="79">
        <v>11.66</v>
      </c>
      <c r="S2668" s="79">
        <v>13.96</v>
      </c>
      <c r="T2668" s="79">
        <v>25.62</v>
      </c>
      <c r="U2668" s="79">
        <v>0</v>
      </c>
      <c r="V2668" s="189">
        <v>25.62</v>
      </c>
      <c r="X2668" s="79">
        <v>11.66</v>
      </c>
      <c r="Y2668" s="79">
        <v>13.96</v>
      </c>
      <c r="Z2668" s="79">
        <v>25.62</v>
      </c>
      <c r="AA2668" s="255">
        <v>9.9999999999980105E-3</v>
      </c>
      <c r="AC2668" s="254"/>
      <c r="AD2668" s="236"/>
      <c r="AE2668" s="236"/>
    </row>
    <row r="2669" spans="1:31" ht="12">
      <c r="A2669" s="67" t="s">
        <v>15671</v>
      </c>
      <c r="B2669" s="65" t="s">
        <v>15672</v>
      </c>
      <c r="C2669" s="71" t="s">
        <v>103</v>
      </c>
      <c r="D2669" s="78">
        <v>1</v>
      </c>
      <c r="E2669" s="79">
        <v>67.53</v>
      </c>
      <c r="F2669" s="70">
        <v>67.53</v>
      </c>
      <c r="G2669" s="320"/>
      <c r="H2669" s="79">
        <v>53.56</v>
      </c>
      <c r="I2669" s="79">
        <v>13.969999999999999</v>
      </c>
      <c r="J2669" s="79">
        <v>67.53</v>
      </c>
      <c r="K2669" s="79">
        <v>0</v>
      </c>
      <c r="L2669" s="70">
        <v>67.53</v>
      </c>
      <c r="M2669" s="132"/>
      <c r="N2669" s="79">
        <v>53.56</v>
      </c>
      <c r="O2669" s="79">
        <v>13.969999999999999</v>
      </c>
      <c r="P2669" s="79">
        <v>67.53</v>
      </c>
      <c r="Q2669" s="136"/>
      <c r="R2669" s="79">
        <v>53.56</v>
      </c>
      <c r="S2669" s="79">
        <v>13.96</v>
      </c>
      <c r="T2669" s="79">
        <v>67.52000000000001</v>
      </c>
      <c r="U2669" s="79">
        <v>0</v>
      </c>
      <c r="V2669" s="189">
        <v>67.52000000000001</v>
      </c>
      <c r="X2669" s="79">
        <v>53.56</v>
      </c>
      <c r="Y2669" s="79">
        <v>13.96</v>
      </c>
      <c r="Z2669" s="79">
        <v>67.52</v>
      </c>
      <c r="AA2669" s="255">
        <v>1.0000000000005116E-2</v>
      </c>
      <c r="AC2669" s="254"/>
    </row>
    <row r="2670" spans="1:31" ht="12">
      <c r="A2670" s="67" t="s">
        <v>15673</v>
      </c>
      <c r="B2670" s="65" t="s">
        <v>15674</v>
      </c>
      <c r="C2670" s="71" t="s">
        <v>103</v>
      </c>
      <c r="D2670" s="78">
        <v>1</v>
      </c>
      <c r="E2670" s="79">
        <v>162.56</v>
      </c>
      <c r="F2670" s="70">
        <v>162.56</v>
      </c>
      <c r="G2670" s="320"/>
      <c r="H2670" s="79">
        <v>145.81</v>
      </c>
      <c r="I2670" s="79">
        <v>16.75</v>
      </c>
      <c r="J2670" s="79">
        <v>162.56</v>
      </c>
      <c r="K2670" s="79">
        <v>0</v>
      </c>
      <c r="L2670" s="70">
        <v>162.56</v>
      </c>
      <c r="M2670" s="132"/>
      <c r="N2670" s="79">
        <v>145.81</v>
      </c>
      <c r="O2670" s="79">
        <v>16.75</v>
      </c>
      <c r="P2670" s="79">
        <v>162.56</v>
      </c>
      <c r="Q2670" s="136"/>
      <c r="R2670" s="79">
        <v>145.81</v>
      </c>
      <c r="S2670" s="79">
        <v>16.75</v>
      </c>
      <c r="T2670" s="79">
        <v>162.56</v>
      </c>
      <c r="U2670" s="79">
        <v>0</v>
      </c>
      <c r="V2670" s="189">
        <v>162.56</v>
      </c>
      <c r="X2670" s="79">
        <v>145.81</v>
      </c>
      <c r="Y2670" s="79">
        <v>16.75</v>
      </c>
      <c r="Z2670" s="79">
        <v>162.56</v>
      </c>
      <c r="AA2670" s="255">
        <v>0</v>
      </c>
      <c r="AC2670" s="254"/>
    </row>
    <row r="2671" spans="1:31" ht="12">
      <c r="A2671" s="67" t="s">
        <v>15675</v>
      </c>
      <c r="B2671" s="65" t="s">
        <v>15676</v>
      </c>
      <c r="C2671" s="71" t="s">
        <v>165</v>
      </c>
      <c r="D2671" s="78">
        <v>1</v>
      </c>
      <c r="E2671" s="79">
        <v>87.03</v>
      </c>
      <c r="F2671" s="70">
        <v>87.03</v>
      </c>
      <c r="G2671" s="320"/>
      <c r="H2671" s="79">
        <v>70.28</v>
      </c>
      <c r="I2671" s="79">
        <v>16.75</v>
      </c>
      <c r="J2671" s="79">
        <v>87.03</v>
      </c>
      <c r="K2671" s="79">
        <v>0</v>
      </c>
      <c r="L2671" s="70">
        <v>87.03</v>
      </c>
      <c r="M2671" s="132"/>
      <c r="N2671" s="79">
        <v>70.28</v>
      </c>
      <c r="O2671" s="79">
        <v>16.75</v>
      </c>
      <c r="P2671" s="79">
        <v>87.03</v>
      </c>
      <c r="Q2671" s="136"/>
      <c r="R2671" s="79">
        <v>70.28</v>
      </c>
      <c r="S2671" s="79">
        <v>16.75</v>
      </c>
      <c r="T2671" s="79">
        <v>87.03</v>
      </c>
      <c r="U2671" s="79">
        <v>0</v>
      </c>
      <c r="V2671" s="189">
        <v>87.03</v>
      </c>
      <c r="X2671" s="79">
        <v>70.28</v>
      </c>
      <c r="Y2671" s="79">
        <v>16.75</v>
      </c>
      <c r="Z2671" s="79">
        <v>87.03</v>
      </c>
      <c r="AA2671" s="255">
        <v>0</v>
      </c>
      <c r="AC2671" s="254"/>
    </row>
    <row r="2672" spans="1:31" ht="12">
      <c r="A2672" s="67" t="s">
        <v>15677</v>
      </c>
      <c r="B2672" s="65" t="s">
        <v>15678</v>
      </c>
      <c r="C2672" s="71" t="s">
        <v>103</v>
      </c>
      <c r="D2672" s="78">
        <v>1</v>
      </c>
      <c r="E2672" s="79">
        <v>31.84</v>
      </c>
      <c r="F2672" s="70">
        <v>31.84</v>
      </c>
      <c r="G2672" s="320"/>
      <c r="H2672" s="79">
        <v>17.87</v>
      </c>
      <c r="I2672" s="79">
        <v>13.969999999999999</v>
      </c>
      <c r="J2672" s="79">
        <v>31.84</v>
      </c>
      <c r="K2672" s="79">
        <v>0</v>
      </c>
      <c r="L2672" s="70">
        <v>31.84</v>
      </c>
      <c r="M2672" s="132"/>
      <c r="N2672" s="79">
        <v>17.87</v>
      </c>
      <c r="O2672" s="79">
        <v>13.969999999999999</v>
      </c>
      <c r="P2672" s="79">
        <v>31.84</v>
      </c>
      <c r="Q2672" s="136"/>
      <c r="R2672" s="79">
        <v>17.87</v>
      </c>
      <c r="S2672" s="79">
        <v>13.96</v>
      </c>
      <c r="T2672" s="79">
        <v>31.830000000000002</v>
      </c>
      <c r="U2672" s="79">
        <v>0</v>
      </c>
      <c r="V2672" s="189">
        <v>31.830000000000002</v>
      </c>
      <c r="X2672" s="79">
        <v>17.87</v>
      </c>
      <c r="Y2672" s="79">
        <v>13.96</v>
      </c>
      <c r="Z2672" s="79">
        <v>31.83</v>
      </c>
      <c r="AA2672" s="255">
        <v>1.0000000000001563E-2</v>
      </c>
      <c r="AC2672" s="254"/>
    </row>
    <row r="2673" spans="1:29" ht="12">
      <c r="A2673" s="67" t="s">
        <v>15679</v>
      </c>
      <c r="B2673" s="65" t="s">
        <v>15680</v>
      </c>
      <c r="C2673" s="71" t="s">
        <v>103</v>
      </c>
      <c r="D2673" s="78">
        <v>1</v>
      </c>
      <c r="E2673" s="79">
        <v>42.84</v>
      </c>
      <c r="F2673" s="70">
        <v>42.84</v>
      </c>
      <c r="G2673" s="320"/>
      <c r="H2673" s="79">
        <v>28.87</v>
      </c>
      <c r="I2673" s="79">
        <v>13.969999999999999</v>
      </c>
      <c r="J2673" s="79">
        <v>42.84</v>
      </c>
      <c r="K2673" s="79">
        <v>0</v>
      </c>
      <c r="L2673" s="70">
        <v>42.84</v>
      </c>
      <c r="M2673" s="132"/>
      <c r="N2673" s="79">
        <v>28.87</v>
      </c>
      <c r="O2673" s="79">
        <v>13.969999999999999</v>
      </c>
      <c r="P2673" s="79">
        <v>42.84</v>
      </c>
      <c r="Q2673" s="136"/>
      <c r="R2673" s="79">
        <v>28.87</v>
      </c>
      <c r="S2673" s="79">
        <v>13.96</v>
      </c>
      <c r="T2673" s="79">
        <v>42.83</v>
      </c>
      <c r="U2673" s="79">
        <v>0</v>
      </c>
      <c r="V2673" s="189">
        <v>42.83</v>
      </c>
      <c r="X2673" s="79">
        <v>28.87</v>
      </c>
      <c r="Y2673" s="79">
        <v>13.96</v>
      </c>
      <c r="Z2673" s="79">
        <v>42.83</v>
      </c>
      <c r="AA2673" s="255">
        <v>1.0000000000005116E-2</v>
      </c>
      <c r="AC2673" s="254"/>
    </row>
    <row r="2674" spans="1:29" ht="12">
      <c r="A2674" s="489" t="s">
        <v>15681</v>
      </c>
      <c r="B2674" s="490" t="s">
        <v>15682</v>
      </c>
      <c r="C2674" s="491"/>
      <c r="D2674" s="492"/>
      <c r="E2674" s="79"/>
      <c r="F2674" s="63"/>
      <c r="G2674" s="320"/>
      <c r="H2674" s="79"/>
      <c r="I2674" s="79"/>
      <c r="J2674" s="79"/>
      <c r="K2674" s="79"/>
      <c r="L2674" s="70"/>
      <c r="M2674" s="132"/>
      <c r="N2674" s="79"/>
      <c r="O2674" s="79"/>
      <c r="P2674" s="79"/>
      <c r="Q2674" s="136"/>
      <c r="R2674" s="79"/>
      <c r="S2674" s="79"/>
      <c r="T2674" s="79"/>
      <c r="U2674" s="79"/>
      <c r="V2674" s="189"/>
      <c r="X2674" s="79"/>
      <c r="Y2674" s="79"/>
      <c r="Z2674" s="79"/>
      <c r="AA2674" s="255"/>
      <c r="AC2674" s="254"/>
    </row>
    <row r="2675" spans="1:29" ht="12">
      <c r="A2675" s="67" t="s">
        <v>15683</v>
      </c>
      <c r="B2675" s="65" t="s">
        <v>15684</v>
      </c>
      <c r="C2675" s="71" t="s">
        <v>103</v>
      </c>
      <c r="D2675" s="78">
        <v>1</v>
      </c>
      <c r="E2675" s="79">
        <v>50.32</v>
      </c>
      <c r="F2675" s="70">
        <v>50.32</v>
      </c>
      <c r="G2675" s="320"/>
      <c r="H2675" s="79">
        <v>36.35</v>
      </c>
      <c r="I2675" s="79">
        <v>13.969999999999999</v>
      </c>
      <c r="J2675" s="79">
        <v>50.32</v>
      </c>
      <c r="K2675" s="79">
        <v>0</v>
      </c>
      <c r="L2675" s="70">
        <v>50.32</v>
      </c>
      <c r="M2675" s="132"/>
      <c r="N2675" s="79">
        <v>36.35</v>
      </c>
      <c r="O2675" s="79">
        <v>13.969999999999999</v>
      </c>
      <c r="P2675" s="79">
        <v>50.32</v>
      </c>
      <c r="Q2675" s="136"/>
      <c r="R2675" s="79">
        <v>36.35</v>
      </c>
      <c r="S2675" s="79">
        <v>13.96</v>
      </c>
      <c r="T2675" s="79">
        <v>50.31</v>
      </c>
      <c r="U2675" s="79">
        <v>0</v>
      </c>
      <c r="V2675" s="189">
        <v>50.31</v>
      </c>
      <c r="X2675" s="79">
        <v>36.35</v>
      </c>
      <c r="Y2675" s="79">
        <v>13.96</v>
      </c>
      <c r="Z2675" s="79">
        <v>50.31</v>
      </c>
      <c r="AA2675" s="255">
        <v>9.9999999999980105E-3</v>
      </c>
      <c r="AC2675" s="254"/>
    </row>
    <row r="2676" spans="1:29" ht="12">
      <c r="A2676" s="67" t="s">
        <v>15685</v>
      </c>
      <c r="B2676" s="65" t="s">
        <v>15686</v>
      </c>
      <c r="C2676" s="71" t="s">
        <v>103</v>
      </c>
      <c r="D2676" s="78">
        <v>1</v>
      </c>
      <c r="E2676" s="79">
        <v>28.659999999999997</v>
      </c>
      <c r="F2676" s="70">
        <v>28.66</v>
      </c>
      <c r="G2676" s="320"/>
      <c r="H2676" s="79">
        <v>14.69</v>
      </c>
      <c r="I2676" s="79">
        <v>13.969999999999999</v>
      </c>
      <c r="J2676" s="79">
        <v>28.659999999999997</v>
      </c>
      <c r="K2676" s="79">
        <v>0</v>
      </c>
      <c r="L2676" s="70">
        <v>28.659999999999997</v>
      </c>
      <c r="M2676" s="132"/>
      <c r="N2676" s="79">
        <v>14.69</v>
      </c>
      <c r="O2676" s="79">
        <v>13.969999999999999</v>
      </c>
      <c r="P2676" s="79">
        <v>28.659999999999997</v>
      </c>
      <c r="Q2676" s="136"/>
      <c r="R2676" s="79">
        <v>14.69</v>
      </c>
      <c r="S2676" s="79">
        <v>13.96</v>
      </c>
      <c r="T2676" s="79">
        <v>28.65</v>
      </c>
      <c r="U2676" s="79">
        <v>0</v>
      </c>
      <c r="V2676" s="189">
        <v>28.65</v>
      </c>
      <c r="X2676" s="79">
        <v>14.69</v>
      </c>
      <c r="Y2676" s="79">
        <v>13.96</v>
      </c>
      <c r="Z2676" s="79">
        <v>28.65</v>
      </c>
      <c r="AA2676" s="255">
        <v>1.0000000000001563E-2</v>
      </c>
      <c r="AC2676" s="254"/>
    </row>
    <row r="2677" spans="1:29" ht="12">
      <c r="A2677" s="67" t="s">
        <v>15687</v>
      </c>
      <c r="B2677" s="65" t="s">
        <v>15688</v>
      </c>
      <c r="C2677" s="71" t="s">
        <v>103</v>
      </c>
      <c r="D2677" s="78">
        <v>1</v>
      </c>
      <c r="E2677" s="79">
        <v>96.5</v>
      </c>
      <c r="F2677" s="70">
        <v>96.5</v>
      </c>
      <c r="G2677" s="320"/>
      <c r="H2677" s="79">
        <v>82.529999999999987</v>
      </c>
      <c r="I2677" s="79">
        <v>13.969999999999999</v>
      </c>
      <c r="J2677" s="79">
        <v>96.499999999999986</v>
      </c>
      <c r="K2677" s="79">
        <v>0</v>
      </c>
      <c r="L2677" s="70">
        <v>96.499999999999986</v>
      </c>
      <c r="M2677" s="132"/>
      <c r="N2677" s="79">
        <v>82.529999999999987</v>
      </c>
      <c r="O2677" s="79">
        <v>13.969999999999999</v>
      </c>
      <c r="P2677" s="79">
        <v>96.499999999999986</v>
      </c>
      <c r="Q2677" s="136"/>
      <c r="R2677" s="79">
        <v>82.53</v>
      </c>
      <c r="S2677" s="79">
        <v>13.96</v>
      </c>
      <c r="T2677" s="79">
        <v>96.490000000000009</v>
      </c>
      <c r="U2677" s="79">
        <v>0</v>
      </c>
      <c r="V2677" s="189">
        <v>96.490000000000009</v>
      </c>
      <c r="X2677" s="79">
        <v>82.53</v>
      </c>
      <c r="Y2677" s="79">
        <v>13.96</v>
      </c>
      <c r="Z2677" s="79">
        <v>96.49</v>
      </c>
      <c r="AA2677" s="255">
        <v>1.0000000000005116E-2</v>
      </c>
      <c r="AC2677" s="254"/>
    </row>
    <row r="2678" spans="1:29" ht="12">
      <c r="A2678" s="67" t="s">
        <v>15689</v>
      </c>
      <c r="B2678" s="65" t="s">
        <v>15690</v>
      </c>
      <c r="C2678" s="71" t="s">
        <v>103</v>
      </c>
      <c r="D2678" s="78">
        <v>1</v>
      </c>
      <c r="E2678" s="79">
        <v>81.419999999999987</v>
      </c>
      <c r="F2678" s="70">
        <v>81.42</v>
      </c>
      <c r="G2678" s="320"/>
      <c r="H2678" s="79">
        <v>67.449999999999989</v>
      </c>
      <c r="I2678" s="79">
        <v>13.969999999999999</v>
      </c>
      <c r="J2678" s="79">
        <v>81.419999999999987</v>
      </c>
      <c r="K2678" s="79">
        <v>0</v>
      </c>
      <c r="L2678" s="70">
        <v>81.419999999999987</v>
      </c>
      <c r="M2678" s="132"/>
      <c r="N2678" s="79">
        <v>67.449999999999989</v>
      </c>
      <c r="O2678" s="79">
        <v>13.969999999999999</v>
      </c>
      <c r="P2678" s="79">
        <v>81.419999999999987</v>
      </c>
      <c r="Q2678" s="136"/>
      <c r="R2678" s="79">
        <v>67.45</v>
      </c>
      <c r="S2678" s="79">
        <v>13.96</v>
      </c>
      <c r="T2678" s="79">
        <v>81.41</v>
      </c>
      <c r="U2678" s="79">
        <v>0</v>
      </c>
      <c r="V2678" s="189">
        <v>81.41</v>
      </c>
      <c r="X2678" s="79">
        <v>67.45</v>
      </c>
      <c r="Y2678" s="79">
        <v>13.96</v>
      </c>
      <c r="Z2678" s="79">
        <v>81.41</v>
      </c>
      <c r="AA2678" s="255">
        <v>1.0000000000005116E-2</v>
      </c>
      <c r="AC2678" s="254"/>
    </row>
    <row r="2679" spans="1:29" ht="12">
      <c r="A2679" s="67" t="s">
        <v>15691</v>
      </c>
      <c r="B2679" s="65" t="s">
        <v>15692</v>
      </c>
      <c r="C2679" s="71" t="s">
        <v>103</v>
      </c>
      <c r="D2679" s="78">
        <v>1</v>
      </c>
      <c r="E2679" s="79">
        <v>157.94999999999999</v>
      </c>
      <c r="F2679" s="70">
        <v>157.94999999999999</v>
      </c>
      <c r="G2679" s="320"/>
      <c r="H2679" s="79">
        <v>143.97999999999999</v>
      </c>
      <c r="I2679" s="79">
        <v>13.969999999999999</v>
      </c>
      <c r="J2679" s="79">
        <v>157.94999999999999</v>
      </c>
      <c r="K2679" s="79">
        <v>0</v>
      </c>
      <c r="L2679" s="70">
        <v>157.94999999999999</v>
      </c>
      <c r="M2679" s="132"/>
      <c r="N2679" s="79">
        <v>143.97999999999999</v>
      </c>
      <c r="O2679" s="79">
        <v>13.969999999999999</v>
      </c>
      <c r="P2679" s="79">
        <v>157.94999999999999</v>
      </c>
      <c r="Q2679" s="136"/>
      <c r="R2679" s="79">
        <v>143.97999999999999</v>
      </c>
      <c r="S2679" s="79">
        <v>13.96</v>
      </c>
      <c r="T2679" s="79">
        <v>157.94</v>
      </c>
      <c r="U2679" s="79">
        <v>0</v>
      </c>
      <c r="V2679" s="189">
        <v>157.94</v>
      </c>
      <c r="X2679" s="79">
        <v>143.97999999999999</v>
      </c>
      <c r="Y2679" s="79">
        <v>13.96</v>
      </c>
      <c r="Z2679" s="79">
        <v>157.94</v>
      </c>
      <c r="AA2679" s="255">
        <v>9.9999999999909051E-3</v>
      </c>
      <c r="AC2679" s="254"/>
    </row>
    <row r="2680" spans="1:29" ht="12">
      <c r="A2680" s="67" t="s">
        <v>15693</v>
      </c>
      <c r="B2680" s="65" t="s">
        <v>3959</v>
      </c>
      <c r="C2680" s="71" t="s">
        <v>103</v>
      </c>
      <c r="D2680" s="78">
        <v>1</v>
      </c>
      <c r="E2680" s="79">
        <v>75.650000000000006</v>
      </c>
      <c r="F2680" s="70">
        <v>75.650000000000006</v>
      </c>
      <c r="G2680" s="320"/>
      <c r="H2680" s="79">
        <v>19.82</v>
      </c>
      <c r="I2680" s="79">
        <v>55.83</v>
      </c>
      <c r="J2680" s="79">
        <v>75.650000000000006</v>
      </c>
      <c r="K2680" s="79">
        <v>0</v>
      </c>
      <c r="L2680" s="70">
        <v>75.650000000000006</v>
      </c>
      <c r="M2680" s="132"/>
      <c r="N2680" s="79">
        <v>19.82</v>
      </c>
      <c r="O2680" s="79">
        <v>55.83</v>
      </c>
      <c r="P2680" s="79">
        <v>75.650000000000006</v>
      </c>
      <c r="Q2680" s="136"/>
      <c r="R2680" s="79">
        <v>19.82</v>
      </c>
      <c r="S2680" s="79">
        <v>55.83</v>
      </c>
      <c r="T2680" s="79">
        <v>75.650000000000006</v>
      </c>
      <c r="U2680" s="79">
        <v>0</v>
      </c>
      <c r="V2680" s="189">
        <v>75.650000000000006</v>
      </c>
      <c r="X2680" s="79">
        <v>19.82</v>
      </c>
      <c r="Y2680" s="79">
        <v>55.83</v>
      </c>
      <c r="Z2680" s="79">
        <v>75.650000000000006</v>
      </c>
      <c r="AA2680" s="255">
        <v>0</v>
      </c>
      <c r="AC2680" s="254"/>
    </row>
    <row r="2681" spans="1:29" ht="12">
      <c r="A2681" s="67" t="s">
        <v>15694</v>
      </c>
      <c r="B2681" s="65" t="s">
        <v>15695</v>
      </c>
      <c r="C2681" s="71" t="s">
        <v>103</v>
      </c>
      <c r="D2681" s="78">
        <v>1</v>
      </c>
      <c r="E2681" s="79">
        <v>25.96</v>
      </c>
      <c r="F2681" s="70">
        <v>25.96</v>
      </c>
      <c r="G2681" s="320"/>
      <c r="H2681" s="79">
        <v>20.37</v>
      </c>
      <c r="I2681" s="79">
        <v>5.59</v>
      </c>
      <c r="J2681" s="79">
        <v>25.96</v>
      </c>
      <c r="K2681" s="79">
        <v>0</v>
      </c>
      <c r="L2681" s="70">
        <v>25.96</v>
      </c>
      <c r="M2681" s="132"/>
      <c r="N2681" s="79">
        <v>20.37</v>
      </c>
      <c r="O2681" s="79">
        <v>5.59</v>
      </c>
      <c r="P2681" s="79">
        <v>25.96</v>
      </c>
      <c r="Q2681" s="136"/>
      <c r="R2681" s="79">
        <v>20.37</v>
      </c>
      <c r="S2681" s="79">
        <v>5.58</v>
      </c>
      <c r="T2681" s="79">
        <v>25.950000000000003</v>
      </c>
      <c r="U2681" s="79">
        <v>0</v>
      </c>
      <c r="V2681" s="189">
        <v>25.950000000000003</v>
      </c>
      <c r="X2681" s="79">
        <v>20.37</v>
      </c>
      <c r="Y2681" s="79">
        <v>5.58</v>
      </c>
      <c r="Z2681" s="79">
        <v>25.95</v>
      </c>
      <c r="AA2681" s="255">
        <v>1.0000000000001563E-2</v>
      </c>
      <c r="AC2681" s="254"/>
    </row>
    <row r="2682" spans="1:29" ht="12">
      <c r="A2682" s="67" t="s">
        <v>15696</v>
      </c>
      <c r="B2682" s="65" t="s">
        <v>15697</v>
      </c>
      <c r="C2682" s="71" t="s">
        <v>103</v>
      </c>
      <c r="D2682" s="78">
        <v>1</v>
      </c>
      <c r="E2682" s="79">
        <v>31.63</v>
      </c>
      <c r="F2682" s="70">
        <v>31.63</v>
      </c>
      <c r="G2682" s="320"/>
      <c r="H2682" s="79">
        <v>26.04</v>
      </c>
      <c r="I2682" s="79">
        <v>5.59</v>
      </c>
      <c r="J2682" s="79">
        <v>31.63</v>
      </c>
      <c r="K2682" s="79">
        <v>0</v>
      </c>
      <c r="L2682" s="70">
        <v>31.63</v>
      </c>
      <c r="M2682" s="132"/>
      <c r="N2682" s="79">
        <v>26.04</v>
      </c>
      <c r="O2682" s="79">
        <v>5.59</v>
      </c>
      <c r="P2682" s="79">
        <v>31.63</v>
      </c>
      <c r="Q2682" s="136"/>
      <c r="R2682" s="79">
        <v>26.04</v>
      </c>
      <c r="S2682" s="79">
        <v>5.58</v>
      </c>
      <c r="T2682" s="79">
        <v>31.619999999999997</v>
      </c>
      <c r="U2682" s="79">
        <v>0</v>
      </c>
      <c r="V2682" s="189">
        <v>31.619999999999997</v>
      </c>
      <c r="X2682" s="79">
        <v>26.04</v>
      </c>
      <c r="Y2682" s="79">
        <v>5.58</v>
      </c>
      <c r="Z2682" s="79">
        <v>31.62</v>
      </c>
      <c r="AA2682" s="255">
        <v>9.9999999999980105E-3</v>
      </c>
      <c r="AC2682" s="254"/>
    </row>
    <row r="2683" spans="1:29" ht="12">
      <c r="A2683" s="67" t="s">
        <v>15698</v>
      </c>
      <c r="B2683" s="65" t="s">
        <v>15699</v>
      </c>
      <c r="C2683" s="71" t="s">
        <v>103</v>
      </c>
      <c r="D2683" s="78">
        <v>1</v>
      </c>
      <c r="E2683" s="79">
        <v>22.97</v>
      </c>
      <c r="F2683" s="70">
        <v>22.97</v>
      </c>
      <c r="G2683" s="320"/>
      <c r="H2683" s="79">
        <v>17.38</v>
      </c>
      <c r="I2683" s="79">
        <v>5.59</v>
      </c>
      <c r="J2683" s="79">
        <v>22.97</v>
      </c>
      <c r="K2683" s="79">
        <v>0</v>
      </c>
      <c r="L2683" s="70">
        <v>22.97</v>
      </c>
      <c r="M2683" s="132"/>
      <c r="N2683" s="79">
        <v>17.38</v>
      </c>
      <c r="O2683" s="79">
        <v>5.59</v>
      </c>
      <c r="P2683" s="79">
        <v>22.97</v>
      </c>
      <c r="Q2683" s="136"/>
      <c r="R2683" s="79">
        <v>17.38</v>
      </c>
      <c r="S2683" s="79">
        <v>5.58</v>
      </c>
      <c r="T2683" s="79">
        <v>22.96</v>
      </c>
      <c r="U2683" s="79">
        <v>0</v>
      </c>
      <c r="V2683" s="189">
        <v>22.96</v>
      </c>
      <c r="X2683" s="79">
        <v>17.38</v>
      </c>
      <c r="Y2683" s="79">
        <v>5.58</v>
      </c>
      <c r="Z2683" s="79">
        <v>22.96</v>
      </c>
      <c r="AA2683" s="255">
        <v>9.9999999999980105E-3</v>
      </c>
      <c r="AC2683" s="254"/>
    </row>
    <row r="2684" spans="1:29" ht="12">
      <c r="A2684" s="67" t="s">
        <v>15700</v>
      </c>
      <c r="B2684" s="65" t="s">
        <v>15701</v>
      </c>
      <c r="C2684" s="71" t="s">
        <v>103</v>
      </c>
      <c r="D2684" s="78">
        <v>1</v>
      </c>
      <c r="E2684" s="79">
        <v>9.41</v>
      </c>
      <c r="F2684" s="70">
        <v>9.41</v>
      </c>
      <c r="G2684" s="320"/>
      <c r="H2684" s="79">
        <v>3.82</v>
      </c>
      <c r="I2684" s="79">
        <v>5.59</v>
      </c>
      <c r="J2684" s="79">
        <v>9.41</v>
      </c>
      <c r="K2684" s="79">
        <v>0</v>
      </c>
      <c r="L2684" s="70">
        <v>9.41</v>
      </c>
      <c r="M2684" s="132"/>
      <c r="N2684" s="79">
        <v>3.82</v>
      </c>
      <c r="O2684" s="79">
        <v>5.59</v>
      </c>
      <c r="P2684" s="79">
        <v>9.41</v>
      </c>
      <c r="Q2684" s="136"/>
      <c r="R2684" s="79">
        <v>3.82</v>
      </c>
      <c r="S2684" s="79">
        <v>5.58</v>
      </c>
      <c r="T2684" s="79">
        <v>9.4</v>
      </c>
      <c r="U2684" s="79">
        <v>0</v>
      </c>
      <c r="V2684" s="189">
        <v>9.4</v>
      </c>
      <c r="X2684" s="79">
        <v>3.82</v>
      </c>
      <c r="Y2684" s="79">
        <v>5.58</v>
      </c>
      <c r="Z2684" s="79">
        <v>9.4</v>
      </c>
      <c r="AA2684" s="255">
        <v>9.9999999999997868E-3</v>
      </c>
      <c r="AC2684" s="254"/>
    </row>
    <row r="2685" spans="1:29" ht="12">
      <c r="A2685" s="67" t="s">
        <v>15702</v>
      </c>
      <c r="B2685" s="65" t="s">
        <v>15703</v>
      </c>
      <c r="C2685" s="71" t="s">
        <v>165</v>
      </c>
      <c r="D2685" s="78">
        <v>1</v>
      </c>
      <c r="E2685" s="79">
        <v>35.519999999999996</v>
      </c>
      <c r="F2685" s="70">
        <v>35.520000000000003</v>
      </c>
      <c r="G2685" s="320"/>
      <c r="H2685" s="79">
        <v>13.2</v>
      </c>
      <c r="I2685" s="79">
        <v>22.32</v>
      </c>
      <c r="J2685" s="79">
        <v>35.519999999999996</v>
      </c>
      <c r="K2685" s="79">
        <v>0</v>
      </c>
      <c r="L2685" s="70">
        <v>35.519999999999996</v>
      </c>
      <c r="M2685" s="132"/>
      <c r="N2685" s="79">
        <v>13.2</v>
      </c>
      <c r="O2685" s="79">
        <v>22.32</v>
      </c>
      <c r="P2685" s="79">
        <v>35.519999999999996</v>
      </c>
      <c r="Q2685" s="136"/>
      <c r="R2685" s="79">
        <v>13.2</v>
      </c>
      <c r="S2685" s="79">
        <v>22.33</v>
      </c>
      <c r="T2685" s="79">
        <v>35.53</v>
      </c>
      <c r="U2685" s="79">
        <v>0</v>
      </c>
      <c r="V2685" s="189">
        <v>35.53</v>
      </c>
      <c r="X2685" s="79">
        <v>13.2</v>
      </c>
      <c r="Y2685" s="79">
        <v>22.33</v>
      </c>
      <c r="Z2685" s="79">
        <v>35.53</v>
      </c>
      <c r="AA2685" s="255">
        <v>-9.9999999999980105E-3</v>
      </c>
      <c r="AC2685" s="254"/>
    </row>
    <row r="2686" spans="1:29" ht="12">
      <c r="A2686" s="67" t="s">
        <v>15704</v>
      </c>
      <c r="B2686" s="65" t="s">
        <v>15705</v>
      </c>
      <c r="C2686" s="71" t="s">
        <v>103</v>
      </c>
      <c r="D2686" s="78">
        <v>1</v>
      </c>
      <c r="E2686" s="79">
        <v>34.549999999999997</v>
      </c>
      <c r="F2686" s="70">
        <v>34.549999999999997</v>
      </c>
      <c r="G2686" s="320"/>
      <c r="H2686" s="79">
        <v>20.58</v>
      </c>
      <c r="I2686" s="79">
        <v>13.969999999999999</v>
      </c>
      <c r="J2686" s="79">
        <v>34.549999999999997</v>
      </c>
      <c r="K2686" s="79">
        <v>0</v>
      </c>
      <c r="L2686" s="70">
        <v>34.549999999999997</v>
      </c>
      <c r="M2686" s="132"/>
      <c r="N2686" s="79">
        <v>20.58</v>
      </c>
      <c r="O2686" s="79">
        <v>13.969999999999999</v>
      </c>
      <c r="P2686" s="79">
        <v>34.549999999999997</v>
      </c>
      <c r="Q2686" s="136"/>
      <c r="R2686" s="79">
        <v>20.58</v>
      </c>
      <c r="S2686" s="79">
        <v>13.96</v>
      </c>
      <c r="T2686" s="79">
        <v>34.54</v>
      </c>
      <c r="U2686" s="79">
        <v>0</v>
      </c>
      <c r="V2686" s="189">
        <v>34.54</v>
      </c>
      <c r="X2686" s="79">
        <v>20.58</v>
      </c>
      <c r="Y2686" s="79">
        <v>13.96</v>
      </c>
      <c r="Z2686" s="79">
        <v>34.54</v>
      </c>
      <c r="AA2686" s="255">
        <v>9.9999999999980105E-3</v>
      </c>
      <c r="AC2686" s="254"/>
    </row>
    <row r="2687" spans="1:29" ht="12">
      <c r="A2687" s="67" t="s">
        <v>15706</v>
      </c>
      <c r="B2687" s="65" t="s">
        <v>15707</v>
      </c>
      <c r="C2687" s="71" t="s">
        <v>103</v>
      </c>
      <c r="D2687" s="78">
        <v>1</v>
      </c>
      <c r="E2687" s="79">
        <v>313.57</v>
      </c>
      <c r="F2687" s="70">
        <v>313.57</v>
      </c>
      <c r="G2687" s="320"/>
      <c r="H2687" s="79">
        <v>285.63</v>
      </c>
      <c r="I2687" s="79">
        <v>27.939999999999998</v>
      </c>
      <c r="J2687" s="79">
        <v>313.57</v>
      </c>
      <c r="K2687" s="79">
        <v>0</v>
      </c>
      <c r="L2687" s="70">
        <v>313.57</v>
      </c>
      <c r="M2687" s="132"/>
      <c r="N2687" s="79">
        <v>285.63</v>
      </c>
      <c r="O2687" s="79">
        <v>27.939999999999998</v>
      </c>
      <c r="P2687" s="79">
        <v>313.57</v>
      </c>
      <c r="Q2687" s="136"/>
      <c r="R2687" s="79">
        <v>285.63</v>
      </c>
      <c r="S2687" s="79">
        <v>27.92</v>
      </c>
      <c r="T2687" s="79">
        <v>313.55</v>
      </c>
      <c r="U2687" s="79">
        <v>0</v>
      </c>
      <c r="V2687" s="189">
        <v>313.55</v>
      </c>
      <c r="X2687" s="79">
        <v>285.63</v>
      </c>
      <c r="Y2687" s="79">
        <v>27.92</v>
      </c>
      <c r="Z2687" s="79">
        <v>313.55</v>
      </c>
      <c r="AA2687" s="255">
        <v>1.999999999998181E-2</v>
      </c>
      <c r="AC2687" s="254"/>
    </row>
    <row r="2688" spans="1:29" ht="12">
      <c r="A2688" s="67" t="s">
        <v>15708</v>
      </c>
      <c r="B2688" s="65" t="s">
        <v>15709</v>
      </c>
      <c r="C2688" s="71" t="s">
        <v>103</v>
      </c>
      <c r="D2688" s="78">
        <v>1</v>
      </c>
      <c r="E2688" s="79">
        <v>210.12</v>
      </c>
      <c r="F2688" s="70">
        <v>210.12</v>
      </c>
      <c r="G2688" s="320"/>
      <c r="H2688" s="79">
        <v>182.18</v>
      </c>
      <c r="I2688" s="79">
        <v>27.939999999999998</v>
      </c>
      <c r="J2688" s="79">
        <v>210.12</v>
      </c>
      <c r="K2688" s="79">
        <v>0</v>
      </c>
      <c r="L2688" s="70">
        <v>210.12</v>
      </c>
      <c r="M2688" s="132"/>
      <c r="N2688" s="79">
        <v>182.18</v>
      </c>
      <c r="O2688" s="79">
        <v>27.939999999999998</v>
      </c>
      <c r="P2688" s="79">
        <v>210.12</v>
      </c>
      <c r="Q2688" s="136"/>
      <c r="R2688" s="79">
        <v>182.18</v>
      </c>
      <c r="S2688" s="79">
        <v>27.92</v>
      </c>
      <c r="T2688" s="79">
        <v>210.10000000000002</v>
      </c>
      <c r="U2688" s="79">
        <v>0</v>
      </c>
      <c r="V2688" s="189">
        <v>210.10000000000002</v>
      </c>
      <c r="X2688" s="79">
        <v>182.18</v>
      </c>
      <c r="Y2688" s="79">
        <v>27.92</v>
      </c>
      <c r="Z2688" s="79">
        <v>210.1</v>
      </c>
      <c r="AA2688" s="255">
        <v>2.0000000000010232E-2</v>
      </c>
      <c r="AC2688" s="254"/>
    </row>
    <row r="2689" spans="1:29" ht="12">
      <c r="A2689" s="67" t="s">
        <v>15710</v>
      </c>
      <c r="B2689" s="65" t="s">
        <v>15711</v>
      </c>
      <c r="C2689" s="71" t="s">
        <v>103</v>
      </c>
      <c r="D2689" s="78">
        <v>1</v>
      </c>
      <c r="E2689" s="79">
        <v>202.04</v>
      </c>
      <c r="F2689" s="70">
        <v>202.04</v>
      </c>
      <c r="G2689" s="320"/>
      <c r="H2689" s="79">
        <v>174.1</v>
      </c>
      <c r="I2689" s="79">
        <v>27.939999999999998</v>
      </c>
      <c r="J2689" s="79">
        <v>202.04</v>
      </c>
      <c r="K2689" s="79">
        <v>0</v>
      </c>
      <c r="L2689" s="70">
        <v>202.04</v>
      </c>
      <c r="M2689" s="132"/>
      <c r="N2689" s="79">
        <v>174.1</v>
      </c>
      <c r="O2689" s="79">
        <v>27.939999999999998</v>
      </c>
      <c r="P2689" s="79">
        <v>202.04</v>
      </c>
      <c r="Q2689" s="136"/>
      <c r="R2689" s="79">
        <v>174.1</v>
      </c>
      <c r="S2689" s="79">
        <v>27.92</v>
      </c>
      <c r="T2689" s="79">
        <v>202.01999999999998</v>
      </c>
      <c r="U2689" s="79">
        <v>0</v>
      </c>
      <c r="V2689" s="189">
        <v>202.01999999999998</v>
      </c>
      <c r="X2689" s="79">
        <v>174.1</v>
      </c>
      <c r="Y2689" s="79">
        <v>27.92</v>
      </c>
      <c r="Z2689" s="79">
        <v>202.02</v>
      </c>
      <c r="AA2689" s="255">
        <v>1.999999999998181E-2</v>
      </c>
      <c r="AC2689" s="254"/>
    </row>
    <row r="2690" spans="1:29" ht="12">
      <c r="A2690" s="67" t="s">
        <v>15712</v>
      </c>
      <c r="B2690" s="65" t="s">
        <v>15713</v>
      </c>
      <c r="C2690" s="71" t="s">
        <v>103</v>
      </c>
      <c r="D2690" s="78">
        <v>1</v>
      </c>
      <c r="E2690" s="79">
        <v>64.069999999999993</v>
      </c>
      <c r="F2690" s="70">
        <v>64.069999999999993</v>
      </c>
      <c r="G2690" s="320"/>
      <c r="H2690" s="79">
        <v>50.1</v>
      </c>
      <c r="I2690" s="79">
        <v>13.969999999999999</v>
      </c>
      <c r="J2690" s="79">
        <v>64.069999999999993</v>
      </c>
      <c r="K2690" s="79">
        <v>0</v>
      </c>
      <c r="L2690" s="70">
        <v>64.069999999999993</v>
      </c>
      <c r="M2690" s="132"/>
      <c r="N2690" s="79">
        <v>50.1</v>
      </c>
      <c r="O2690" s="79">
        <v>13.969999999999999</v>
      </c>
      <c r="P2690" s="79">
        <v>64.069999999999993</v>
      </c>
      <c r="Q2690" s="136"/>
      <c r="R2690" s="79">
        <v>50.1</v>
      </c>
      <c r="S2690" s="79">
        <v>13.96</v>
      </c>
      <c r="T2690" s="79">
        <v>64.06</v>
      </c>
      <c r="U2690" s="79">
        <v>0</v>
      </c>
      <c r="V2690" s="189">
        <v>64.06</v>
      </c>
      <c r="X2690" s="79">
        <v>50.1</v>
      </c>
      <c r="Y2690" s="79">
        <v>13.96</v>
      </c>
      <c r="Z2690" s="79">
        <v>64.06</v>
      </c>
      <c r="AA2690" s="255">
        <v>9.9999999999909051E-3</v>
      </c>
      <c r="AC2690" s="254"/>
    </row>
    <row r="2691" spans="1:29" ht="12">
      <c r="A2691" s="67" t="s">
        <v>15714</v>
      </c>
      <c r="B2691" s="65" t="s">
        <v>15715</v>
      </c>
      <c r="C2691" s="71" t="s">
        <v>103</v>
      </c>
      <c r="D2691" s="78">
        <v>1</v>
      </c>
      <c r="E2691" s="79">
        <v>13.870000000000001</v>
      </c>
      <c r="F2691" s="70">
        <v>13.87</v>
      </c>
      <c r="G2691" s="320"/>
      <c r="H2691" s="79">
        <v>2.71</v>
      </c>
      <c r="I2691" s="79">
        <v>11.16</v>
      </c>
      <c r="J2691" s="79">
        <v>13.870000000000001</v>
      </c>
      <c r="K2691" s="79">
        <v>0</v>
      </c>
      <c r="L2691" s="70">
        <v>13.870000000000001</v>
      </c>
      <c r="M2691" s="132"/>
      <c r="N2691" s="79">
        <v>2.71</v>
      </c>
      <c r="O2691" s="79">
        <v>11.16</v>
      </c>
      <c r="P2691" s="79">
        <v>13.870000000000001</v>
      </c>
      <c r="Q2691" s="136"/>
      <c r="R2691" s="79">
        <v>2.71</v>
      </c>
      <c r="S2691" s="79">
        <v>11.16</v>
      </c>
      <c r="T2691" s="79">
        <v>13.870000000000001</v>
      </c>
      <c r="U2691" s="79">
        <v>0</v>
      </c>
      <c r="V2691" s="189">
        <v>13.870000000000001</v>
      </c>
      <c r="X2691" s="79">
        <v>2.71</v>
      </c>
      <c r="Y2691" s="79">
        <v>11.16</v>
      </c>
      <c r="Z2691" s="79">
        <v>13.87</v>
      </c>
      <c r="AA2691" s="255">
        <v>0</v>
      </c>
      <c r="AC2691" s="254"/>
    </row>
    <row r="2692" spans="1:29" ht="12">
      <c r="A2692" s="67" t="s">
        <v>15716</v>
      </c>
      <c r="B2692" s="65" t="s">
        <v>15717</v>
      </c>
      <c r="C2692" s="71" t="s">
        <v>103</v>
      </c>
      <c r="D2692" s="78">
        <v>1</v>
      </c>
      <c r="E2692" s="79">
        <v>24.78</v>
      </c>
      <c r="F2692" s="70">
        <v>24.78</v>
      </c>
      <c r="G2692" s="320"/>
      <c r="H2692" s="79">
        <v>10.81</v>
      </c>
      <c r="I2692" s="79">
        <v>13.969999999999999</v>
      </c>
      <c r="J2692" s="79">
        <v>24.78</v>
      </c>
      <c r="K2692" s="79">
        <v>0</v>
      </c>
      <c r="L2692" s="70">
        <v>24.78</v>
      </c>
      <c r="M2692" s="132"/>
      <c r="N2692" s="79">
        <v>10.81</v>
      </c>
      <c r="O2692" s="79">
        <v>13.969999999999999</v>
      </c>
      <c r="P2692" s="79">
        <v>24.78</v>
      </c>
      <c r="Q2692" s="136"/>
      <c r="R2692" s="79">
        <v>10.81</v>
      </c>
      <c r="S2692" s="79">
        <v>13.96</v>
      </c>
      <c r="T2692" s="79">
        <v>24.770000000000003</v>
      </c>
      <c r="U2692" s="79">
        <v>0</v>
      </c>
      <c r="V2692" s="189">
        <v>24.770000000000003</v>
      </c>
      <c r="X2692" s="79">
        <v>10.81</v>
      </c>
      <c r="Y2692" s="79">
        <v>13.96</v>
      </c>
      <c r="Z2692" s="79">
        <v>24.77</v>
      </c>
      <c r="AA2692" s="255">
        <v>1.0000000000001563E-2</v>
      </c>
      <c r="AC2692" s="254"/>
    </row>
    <row r="2693" spans="1:29" ht="12">
      <c r="A2693" s="67" t="s">
        <v>15718</v>
      </c>
      <c r="B2693" s="65" t="s">
        <v>15719</v>
      </c>
      <c r="C2693" s="71" t="s">
        <v>165</v>
      </c>
      <c r="D2693" s="78">
        <v>1</v>
      </c>
      <c r="E2693" s="79">
        <v>47.819999999999993</v>
      </c>
      <c r="F2693" s="70">
        <v>47.82</v>
      </c>
      <c r="G2693" s="320"/>
      <c r="H2693" s="79">
        <v>19.88</v>
      </c>
      <c r="I2693" s="79">
        <v>27.939999999999998</v>
      </c>
      <c r="J2693" s="79">
        <v>47.819999999999993</v>
      </c>
      <c r="K2693" s="79">
        <v>0</v>
      </c>
      <c r="L2693" s="70">
        <v>47.819999999999993</v>
      </c>
      <c r="M2693" s="132"/>
      <c r="N2693" s="79">
        <v>19.88</v>
      </c>
      <c r="O2693" s="79">
        <v>27.939999999999998</v>
      </c>
      <c r="P2693" s="79">
        <v>47.819999999999993</v>
      </c>
      <c r="Q2693" s="136"/>
      <c r="R2693" s="79">
        <v>19.88</v>
      </c>
      <c r="S2693" s="79">
        <v>27.92</v>
      </c>
      <c r="T2693" s="79">
        <v>47.8</v>
      </c>
      <c r="U2693" s="79">
        <v>0</v>
      </c>
      <c r="V2693" s="189">
        <v>47.8</v>
      </c>
      <c r="X2693" s="79">
        <v>19.88</v>
      </c>
      <c r="Y2693" s="79">
        <v>27.92</v>
      </c>
      <c r="Z2693" s="79">
        <v>47.8</v>
      </c>
      <c r="AA2693" s="255">
        <v>2.0000000000003126E-2</v>
      </c>
      <c r="AC2693" s="254"/>
    </row>
    <row r="2694" spans="1:29" ht="12">
      <c r="A2694" s="67" t="s">
        <v>15720</v>
      </c>
      <c r="B2694" s="65" t="s">
        <v>15721</v>
      </c>
      <c r="C2694" s="71" t="s">
        <v>103</v>
      </c>
      <c r="D2694" s="78">
        <v>1</v>
      </c>
      <c r="E2694" s="79">
        <v>24.11</v>
      </c>
      <c r="F2694" s="70">
        <v>24.11</v>
      </c>
      <c r="G2694" s="320"/>
      <c r="H2694" s="79">
        <v>10.14</v>
      </c>
      <c r="I2694" s="79">
        <v>13.969999999999999</v>
      </c>
      <c r="J2694" s="79">
        <v>24.11</v>
      </c>
      <c r="K2694" s="79">
        <v>0</v>
      </c>
      <c r="L2694" s="70">
        <v>24.11</v>
      </c>
      <c r="M2694" s="132"/>
      <c r="N2694" s="79">
        <v>10.14</v>
      </c>
      <c r="O2694" s="79">
        <v>13.969999999999999</v>
      </c>
      <c r="P2694" s="79">
        <v>24.11</v>
      </c>
      <c r="Q2694" s="136"/>
      <c r="R2694" s="79">
        <v>10.14</v>
      </c>
      <c r="S2694" s="79">
        <v>13.96</v>
      </c>
      <c r="T2694" s="79">
        <v>24.1</v>
      </c>
      <c r="U2694" s="79">
        <v>0</v>
      </c>
      <c r="V2694" s="189">
        <v>24.1</v>
      </c>
      <c r="X2694" s="79">
        <v>10.14</v>
      </c>
      <c r="Y2694" s="79">
        <v>13.96</v>
      </c>
      <c r="Z2694" s="79">
        <v>24.1</v>
      </c>
      <c r="AA2694" s="255">
        <v>9.9999999999980105E-3</v>
      </c>
      <c r="AC2694" s="254"/>
    </row>
    <row r="2695" spans="1:29" ht="12">
      <c r="A2695" s="67" t="s">
        <v>15722</v>
      </c>
      <c r="B2695" s="65" t="s">
        <v>15723</v>
      </c>
      <c r="C2695" s="71" t="s">
        <v>103</v>
      </c>
      <c r="D2695" s="78">
        <v>1</v>
      </c>
      <c r="E2695" s="79">
        <v>62.319999999999993</v>
      </c>
      <c r="F2695" s="70">
        <v>62.32</v>
      </c>
      <c r="G2695" s="320"/>
      <c r="H2695" s="79">
        <v>51.16</v>
      </c>
      <c r="I2695" s="79">
        <v>11.16</v>
      </c>
      <c r="J2695" s="79">
        <v>62.319999999999993</v>
      </c>
      <c r="K2695" s="79">
        <v>0</v>
      </c>
      <c r="L2695" s="70">
        <v>62.319999999999993</v>
      </c>
      <c r="M2695" s="132"/>
      <c r="N2695" s="79">
        <v>51.16</v>
      </c>
      <c r="O2695" s="79">
        <v>11.16</v>
      </c>
      <c r="P2695" s="79">
        <v>62.319999999999993</v>
      </c>
      <c r="Q2695" s="136"/>
      <c r="R2695" s="79">
        <v>51.16</v>
      </c>
      <c r="S2695" s="79">
        <v>11.16</v>
      </c>
      <c r="T2695" s="79">
        <v>62.319999999999993</v>
      </c>
      <c r="U2695" s="79">
        <v>0</v>
      </c>
      <c r="V2695" s="189">
        <v>62.319999999999993</v>
      </c>
      <c r="X2695" s="79">
        <v>51.16</v>
      </c>
      <c r="Y2695" s="79">
        <v>11.16</v>
      </c>
      <c r="Z2695" s="79">
        <v>62.32</v>
      </c>
      <c r="AA2695" s="255">
        <v>0</v>
      </c>
      <c r="AC2695" s="254"/>
    </row>
    <row r="2696" spans="1:29" ht="12">
      <c r="A2696" s="67" t="s">
        <v>15724</v>
      </c>
      <c r="B2696" s="65" t="s">
        <v>15725</v>
      </c>
      <c r="C2696" s="71" t="s">
        <v>103</v>
      </c>
      <c r="D2696" s="78">
        <v>1</v>
      </c>
      <c r="E2696" s="79">
        <v>19.349999999999998</v>
      </c>
      <c r="F2696" s="70">
        <v>19.350000000000001</v>
      </c>
      <c r="G2696" s="320"/>
      <c r="H2696" s="79">
        <v>5.38</v>
      </c>
      <c r="I2696" s="79">
        <v>13.969999999999999</v>
      </c>
      <c r="J2696" s="79">
        <v>19.349999999999998</v>
      </c>
      <c r="K2696" s="79">
        <v>0</v>
      </c>
      <c r="L2696" s="70">
        <v>19.349999999999998</v>
      </c>
      <c r="M2696" s="132"/>
      <c r="N2696" s="79">
        <v>5.38</v>
      </c>
      <c r="O2696" s="79">
        <v>13.969999999999999</v>
      </c>
      <c r="P2696" s="79">
        <v>19.349999999999998</v>
      </c>
      <c r="Q2696" s="136"/>
      <c r="R2696" s="79">
        <v>5.38</v>
      </c>
      <c r="S2696" s="79">
        <v>13.96</v>
      </c>
      <c r="T2696" s="79">
        <v>19.34</v>
      </c>
      <c r="U2696" s="79">
        <v>0</v>
      </c>
      <c r="V2696" s="189">
        <v>19.34</v>
      </c>
      <c r="X2696" s="79">
        <v>5.38</v>
      </c>
      <c r="Y2696" s="79">
        <v>13.96</v>
      </c>
      <c r="Z2696" s="79">
        <v>19.34</v>
      </c>
      <c r="AA2696" s="255">
        <v>1.0000000000001563E-2</v>
      </c>
      <c r="AC2696" s="254"/>
    </row>
    <row r="2697" spans="1:29" ht="12">
      <c r="A2697" s="67" t="s">
        <v>15726</v>
      </c>
      <c r="B2697" s="65" t="s">
        <v>15727</v>
      </c>
      <c r="C2697" s="71" t="s">
        <v>103</v>
      </c>
      <c r="D2697" s="78">
        <v>1</v>
      </c>
      <c r="E2697" s="79">
        <v>50.980000000000004</v>
      </c>
      <c r="F2697" s="70">
        <v>50.98</v>
      </c>
      <c r="G2697" s="320"/>
      <c r="H2697" s="79">
        <v>48.17</v>
      </c>
      <c r="I2697" s="79">
        <v>2.81</v>
      </c>
      <c r="J2697" s="79">
        <v>50.980000000000004</v>
      </c>
      <c r="K2697" s="79">
        <v>0</v>
      </c>
      <c r="L2697" s="70">
        <v>50.980000000000004</v>
      </c>
      <c r="M2697" s="132"/>
      <c r="N2697" s="79">
        <v>48.17</v>
      </c>
      <c r="O2697" s="79">
        <v>2.81</v>
      </c>
      <c r="P2697" s="79">
        <v>50.980000000000004</v>
      </c>
      <c r="Q2697" s="136"/>
      <c r="R2697" s="79">
        <v>48.17</v>
      </c>
      <c r="S2697" s="79">
        <v>2.8</v>
      </c>
      <c r="T2697" s="79">
        <v>50.97</v>
      </c>
      <c r="U2697" s="79">
        <v>0</v>
      </c>
      <c r="V2697" s="189">
        <v>50.97</v>
      </c>
      <c r="X2697" s="79">
        <v>48.17</v>
      </c>
      <c r="Y2697" s="79">
        <v>2.8</v>
      </c>
      <c r="Z2697" s="79">
        <v>50.97</v>
      </c>
      <c r="AA2697" s="255">
        <v>9.9999999999980105E-3</v>
      </c>
      <c r="AC2697" s="254"/>
    </row>
    <row r="2698" spans="1:29" ht="12">
      <c r="A2698" s="67" t="s">
        <v>15728</v>
      </c>
      <c r="B2698" s="65" t="s">
        <v>15729</v>
      </c>
      <c r="C2698" s="71" t="s">
        <v>103</v>
      </c>
      <c r="D2698" s="78">
        <v>1</v>
      </c>
      <c r="E2698" s="79">
        <v>31.86</v>
      </c>
      <c r="F2698" s="70">
        <v>31.86</v>
      </c>
      <c r="G2698" s="320"/>
      <c r="H2698" s="79">
        <v>17.89</v>
      </c>
      <c r="I2698" s="79">
        <v>13.969999999999999</v>
      </c>
      <c r="J2698" s="79">
        <v>31.86</v>
      </c>
      <c r="K2698" s="79">
        <v>0</v>
      </c>
      <c r="L2698" s="70">
        <v>31.86</v>
      </c>
      <c r="M2698" s="132"/>
      <c r="N2698" s="79">
        <v>17.89</v>
      </c>
      <c r="O2698" s="79">
        <v>13.969999999999999</v>
      </c>
      <c r="P2698" s="79">
        <v>31.86</v>
      </c>
      <c r="Q2698" s="136"/>
      <c r="R2698" s="79">
        <v>17.89</v>
      </c>
      <c r="S2698" s="79">
        <v>13.96</v>
      </c>
      <c r="T2698" s="79">
        <v>31.85</v>
      </c>
      <c r="U2698" s="79">
        <v>0</v>
      </c>
      <c r="V2698" s="189">
        <v>31.85</v>
      </c>
      <c r="X2698" s="79">
        <v>17.89</v>
      </c>
      <c r="Y2698" s="79">
        <v>13.96</v>
      </c>
      <c r="Z2698" s="79">
        <v>31.85</v>
      </c>
      <c r="AA2698" s="255">
        <v>9.9999999999980105E-3</v>
      </c>
      <c r="AC2698" s="254"/>
    </row>
    <row r="2699" spans="1:29" ht="12">
      <c r="A2699" s="67" t="s">
        <v>15730</v>
      </c>
      <c r="B2699" s="65" t="s">
        <v>15731</v>
      </c>
      <c r="C2699" s="71" t="s">
        <v>103</v>
      </c>
      <c r="D2699" s="78">
        <v>1</v>
      </c>
      <c r="E2699" s="79">
        <v>45.019999999999996</v>
      </c>
      <c r="F2699" s="70">
        <v>45.02</v>
      </c>
      <c r="G2699" s="320"/>
      <c r="H2699" s="79">
        <v>31.05</v>
      </c>
      <c r="I2699" s="79">
        <v>13.969999999999999</v>
      </c>
      <c r="J2699" s="79">
        <v>45.019999999999996</v>
      </c>
      <c r="K2699" s="79">
        <v>0</v>
      </c>
      <c r="L2699" s="70">
        <v>45.019999999999996</v>
      </c>
      <c r="M2699" s="132"/>
      <c r="N2699" s="79">
        <v>31.05</v>
      </c>
      <c r="O2699" s="79">
        <v>13.969999999999999</v>
      </c>
      <c r="P2699" s="79">
        <v>45.019999999999996</v>
      </c>
      <c r="Q2699" s="136"/>
      <c r="R2699" s="79">
        <v>31.05</v>
      </c>
      <c r="S2699" s="79">
        <v>13.96</v>
      </c>
      <c r="T2699" s="79">
        <v>45.010000000000005</v>
      </c>
      <c r="U2699" s="79">
        <v>0</v>
      </c>
      <c r="V2699" s="189">
        <v>45.010000000000005</v>
      </c>
      <c r="X2699" s="79">
        <v>31.05</v>
      </c>
      <c r="Y2699" s="79">
        <v>13.96</v>
      </c>
      <c r="Z2699" s="79">
        <v>45.01</v>
      </c>
      <c r="AA2699" s="255">
        <v>1.0000000000005116E-2</v>
      </c>
      <c r="AC2699" s="254"/>
    </row>
    <row r="2700" spans="1:29" ht="12">
      <c r="A2700" s="67" t="s">
        <v>15732</v>
      </c>
      <c r="B2700" s="65" t="s">
        <v>15733</v>
      </c>
      <c r="C2700" s="71" t="s">
        <v>103</v>
      </c>
      <c r="D2700" s="78">
        <v>1</v>
      </c>
      <c r="E2700" s="79">
        <v>68.27</v>
      </c>
      <c r="F2700" s="70">
        <v>68.27</v>
      </c>
      <c r="G2700" s="320"/>
      <c r="H2700" s="79">
        <v>54.3</v>
      </c>
      <c r="I2700" s="79">
        <v>13.969999999999999</v>
      </c>
      <c r="J2700" s="79">
        <v>68.27</v>
      </c>
      <c r="K2700" s="79">
        <v>0</v>
      </c>
      <c r="L2700" s="70">
        <v>68.27</v>
      </c>
      <c r="M2700" s="132"/>
      <c r="N2700" s="79">
        <v>54.3</v>
      </c>
      <c r="O2700" s="79">
        <v>13.969999999999999</v>
      </c>
      <c r="P2700" s="79">
        <v>68.27</v>
      </c>
      <c r="Q2700" s="136"/>
      <c r="R2700" s="79">
        <v>54.3</v>
      </c>
      <c r="S2700" s="79">
        <v>13.96</v>
      </c>
      <c r="T2700" s="79">
        <v>68.259999999999991</v>
      </c>
      <c r="U2700" s="79">
        <v>0</v>
      </c>
      <c r="V2700" s="189">
        <v>68.259999999999991</v>
      </c>
      <c r="X2700" s="79">
        <v>54.3</v>
      </c>
      <c r="Y2700" s="79">
        <v>13.96</v>
      </c>
      <c r="Z2700" s="79">
        <v>68.260000000000005</v>
      </c>
      <c r="AA2700" s="255">
        <v>9.9999999999909051E-3</v>
      </c>
      <c r="AC2700" s="254"/>
    </row>
    <row r="2701" spans="1:29" ht="12">
      <c r="A2701" s="67" t="s">
        <v>15734</v>
      </c>
      <c r="B2701" s="65" t="s">
        <v>15735</v>
      </c>
      <c r="C2701" s="71" t="s">
        <v>165</v>
      </c>
      <c r="D2701" s="78">
        <v>1</v>
      </c>
      <c r="E2701" s="79">
        <v>228.97</v>
      </c>
      <c r="F2701" s="70">
        <v>228.97</v>
      </c>
      <c r="G2701" s="320"/>
      <c r="H2701" s="79">
        <v>201.03</v>
      </c>
      <c r="I2701" s="79">
        <v>27.939999999999998</v>
      </c>
      <c r="J2701" s="79">
        <v>228.97</v>
      </c>
      <c r="K2701" s="79">
        <v>0</v>
      </c>
      <c r="L2701" s="70">
        <v>228.97</v>
      </c>
      <c r="M2701" s="132"/>
      <c r="N2701" s="79">
        <v>201.03</v>
      </c>
      <c r="O2701" s="79">
        <v>27.939999999999998</v>
      </c>
      <c r="P2701" s="79">
        <v>228.97</v>
      </c>
      <c r="Q2701" s="136"/>
      <c r="R2701" s="79">
        <v>201.03</v>
      </c>
      <c r="S2701" s="79">
        <v>27.92</v>
      </c>
      <c r="T2701" s="79">
        <v>228.95</v>
      </c>
      <c r="U2701" s="79">
        <v>0</v>
      </c>
      <c r="V2701" s="189">
        <v>228.95</v>
      </c>
      <c r="X2701" s="79">
        <v>201.03</v>
      </c>
      <c r="Y2701" s="79">
        <v>27.92</v>
      </c>
      <c r="Z2701" s="79">
        <v>228.95</v>
      </c>
      <c r="AA2701" s="255">
        <v>2.0000000000010232E-2</v>
      </c>
      <c r="AC2701" s="254"/>
    </row>
    <row r="2702" spans="1:29" ht="12">
      <c r="A2702" s="67" t="s">
        <v>15736</v>
      </c>
      <c r="B2702" s="65" t="s">
        <v>15737</v>
      </c>
      <c r="C2702" s="71" t="s">
        <v>103</v>
      </c>
      <c r="D2702" s="78">
        <v>1</v>
      </c>
      <c r="E2702" s="79">
        <v>483.52</v>
      </c>
      <c r="F2702" s="70">
        <v>483.52</v>
      </c>
      <c r="G2702" s="320"/>
      <c r="H2702" s="79">
        <v>427.69</v>
      </c>
      <c r="I2702" s="79">
        <v>55.83</v>
      </c>
      <c r="J2702" s="79">
        <v>483.52</v>
      </c>
      <c r="K2702" s="79">
        <v>0</v>
      </c>
      <c r="L2702" s="70">
        <v>483.52</v>
      </c>
      <c r="M2702" s="132"/>
      <c r="N2702" s="79">
        <v>427.69</v>
      </c>
      <c r="O2702" s="79">
        <v>55.83</v>
      </c>
      <c r="P2702" s="79">
        <v>483.52</v>
      </c>
      <c r="Q2702" s="136"/>
      <c r="R2702" s="79">
        <v>427.69</v>
      </c>
      <c r="S2702" s="79">
        <v>55.83</v>
      </c>
      <c r="T2702" s="79">
        <v>483.52</v>
      </c>
      <c r="U2702" s="79">
        <v>0</v>
      </c>
      <c r="V2702" s="189">
        <v>483.52</v>
      </c>
      <c r="X2702" s="79">
        <v>427.69</v>
      </c>
      <c r="Y2702" s="79">
        <v>55.83</v>
      </c>
      <c r="Z2702" s="79">
        <v>483.52</v>
      </c>
      <c r="AA2702" s="255">
        <v>0</v>
      </c>
      <c r="AC2702" s="254"/>
    </row>
    <row r="2703" spans="1:29" ht="12">
      <c r="A2703" s="67" t="s">
        <v>15738</v>
      </c>
      <c r="B2703" s="65" t="s">
        <v>15739</v>
      </c>
      <c r="C2703" s="71" t="s">
        <v>103</v>
      </c>
      <c r="D2703" s="78">
        <v>1</v>
      </c>
      <c r="E2703" s="79">
        <v>346.14</v>
      </c>
      <c r="F2703" s="70">
        <v>346.14</v>
      </c>
      <c r="G2703" s="320"/>
      <c r="H2703" s="79">
        <v>290.31</v>
      </c>
      <c r="I2703" s="79">
        <v>55.83</v>
      </c>
      <c r="J2703" s="79">
        <v>346.14</v>
      </c>
      <c r="K2703" s="79">
        <v>0</v>
      </c>
      <c r="L2703" s="70">
        <v>346.14</v>
      </c>
      <c r="M2703" s="132"/>
      <c r="N2703" s="79">
        <v>290.31</v>
      </c>
      <c r="O2703" s="79">
        <v>55.83</v>
      </c>
      <c r="P2703" s="79">
        <v>346.14</v>
      </c>
      <c r="Q2703" s="136"/>
      <c r="R2703" s="79">
        <v>290.31</v>
      </c>
      <c r="S2703" s="79">
        <v>55.83</v>
      </c>
      <c r="T2703" s="79">
        <v>346.14</v>
      </c>
      <c r="U2703" s="79">
        <v>0</v>
      </c>
      <c r="V2703" s="189">
        <v>346.14</v>
      </c>
      <c r="X2703" s="79">
        <v>290.31</v>
      </c>
      <c r="Y2703" s="79">
        <v>55.83</v>
      </c>
      <c r="Z2703" s="79">
        <v>346.14</v>
      </c>
      <c r="AA2703" s="255">
        <v>0</v>
      </c>
      <c r="AC2703" s="254"/>
    </row>
    <row r="2704" spans="1:29" ht="12">
      <c r="A2704" s="67" t="s">
        <v>15740</v>
      </c>
      <c r="B2704" s="65" t="s">
        <v>15741</v>
      </c>
      <c r="C2704" s="71" t="s">
        <v>103</v>
      </c>
      <c r="D2704" s="78">
        <v>1</v>
      </c>
      <c r="E2704" s="79">
        <v>3.3600000000000003</v>
      </c>
      <c r="F2704" s="70">
        <v>3.36</v>
      </c>
      <c r="G2704" s="320"/>
      <c r="H2704" s="79">
        <v>1.08</v>
      </c>
      <c r="I2704" s="79">
        <v>2.2800000000000002</v>
      </c>
      <c r="J2704" s="79">
        <v>3.3600000000000003</v>
      </c>
      <c r="K2704" s="79">
        <v>0</v>
      </c>
      <c r="L2704" s="70">
        <v>3.3600000000000003</v>
      </c>
      <c r="M2704" s="132"/>
      <c r="N2704" s="79">
        <v>1.08</v>
      </c>
      <c r="O2704" s="79">
        <v>2.2800000000000002</v>
      </c>
      <c r="P2704" s="79">
        <v>3.3600000000000003</v>
      </c>
      <c r="Q2704" s="136"/>
      <c r="R2704" s="79">
        <v>1.08</v>
      </c>
      <c r="S2704" s="79">
        <v>2.27</v>
      </c>
      <c r="T2704" s="79">
        <v>3.35</v>
      </c>
      <c r="U2704" s="79">
        <v>0</v>
      </c>
      <c r="V2704" s="189">
        <v>3.35</v>
      </c>
      <c r="X2704" s="79">
        <v>1.08</v>
      </c>
      <c r="Y2704" s="79">
        <v>2.27</v>
      </c>
      <c r="Z2704" s="79">
        <v>3.35</v>
      </c>
      <c r="AA2704" s="255">
        <v>9.9999999999997868E-3</v>
      </c>
      <c r="AC2704" s="254"/>
    </row>
    <row r="2705" spans="1:31" ht="12">
      <c r="A2705" s="67" t="s">
        <v>15742</v>
      </c>
      <c r="B2705" s="65" t="s">
        <v>15743</v>
      </c>
      <c r="C2705" s="71" t="s">
        <v>103</v>
      </c>
      <c r="D2705" s="78">
        <v>1</v>
      </c>
      <c r="E2705" s="79">
        <v>21.78</v>
      </c>
      <c r="F2705" s="70">
        <v>21.78</v>
      </c>
      <c r="G2705" s="320"/>
      <c r="H2705" s="79">
        <v>7.8100000000000005</v>
      </c>
      <c r="I2705" s="79">
        <v>13.969999999999999</v>
      </c>
      <c r="J2705" s="79">
        <v>21.78</v>
      </c>
      <c r="K2705" s="79">
        <v>0</v>
      </c>
      <c r="L2705" s="70">
        <v>21.78</v>
      </c>
      <c r="M2705" s="132"/>
      <c r="N2705" s="79">
        <v>7.8100000000000005</v>
      </c>
      <c r="O2705" s="79">
        <v>13.969999999999999</v>
      </c>
      <c r="P2705" s="79">
        <v>21.78</v>
      </c>
      <c r="Q2705" s="136"/>
      <c r="R2705" s="79">
        <v>7.81</v>
      </c>
      <c r="S2705" s="79">
        <v>13.96</v>
      </c>
      <c r="T2705" s="79">
        <v>21.77</v>
      </c>
      <c r="U2705" s="79">
        <v>0</v>
      </c>
      <c r="V2705" s="189">
        <v>21.77</v>
      </c>
      <c r="X2705" s="79">
        <v>7.81</v>
      </c>
      <c r="Y2705" s="79">
        <v>13.96</v>
      </c>
      <c r="Z2705" s="79">
        <v>21.77</v>
      </c>
      <c r="AA2705" s="255">
        <v>1.0000000000001563E-2</v>
      </c>
      <c r="AC2705" s="254"/>
    </row>
    <row r="2706" spans="1:31" ht="12">
      <c r="A2706" s="67" t="s">
        <v>15744</v>
      </c>
      <c r="B2706" s="65" t="s">
        <v>15745</v>
      </c>
      <c r="C2706" s="71" t="s">
        <v>165</v>
      </c>
      <c r="D2706" s="78">
        <v>1</v>
      </c>
      <c r="E2706" s="79">
        <v>37.299999999999997</v>
      </c>
      <c r="F2706" s="70">
        <v>37.299999999999997</v>
      </c>
      <c r="G2706" s="320"/>
      <c r="H2706" s="79">
        <v>9.36</v>
      </c>
      <c r="I2706" s="79">
        <v>27.939999999999998</v>
      </c>
      <c r="J2706" s="79">
        <v>37.299999999999997</v>
      </c>
      <c r="K2706" s="79">
        <v>0</v>
      </c>
      <c r="L2706" s="70">
        <v>37.299999999999997</v>
      </c>
      <c r="M2706" s="132"/>
      <c r="N2706" s="79">
        <v>9.36</v>
      </c>
      <c r="O2706" s="79">
        <v>27.939999999999998</v>
      </c>
      <c r="P2706" s="79">
        <v>37.299999999999997</v>
      </c>
      <c r="Q2706" s="136"/>
      <c r="R2706" s="79">
        <v>9.36</v>
      </c>
      <c r="S2706" s="79">
        <v>27.92</v>
      </c>
      <c r="T2706" s="79">
        <v>37.28</v>
      </c>
      <c r="U2706" s="79">
        <v>0</v>
      </c>
      <c r="V2706" s="189">
        <v>37.28</v>
      </c>
      <c r="X2706" s="79">
        <v>9.36</v>
      </c>
      <c r="Y2706" s="79">
        <v>27.92</v>
      </c>
      <c r="Z2706" s="79">
        <v>37.28</v>
      </c>
      <c r="AA2706" s="255">
        <v>1.9999999999996021E-2</v>
      </c>
      <c r="AC2706" s="254"/>
      <c r="AD2706" s="69"/>
      <c r="AE2706" s="69"/>
    </row>
    <row r="2707" spans="1:31" ht="12">
      <c r="A2707" s="67" t="s">
        <v>15746</v>
      </c>
      <c r="B2707" s="65" t="s">
        <v>15747</v>
      </c>
      <c r="C2707" s="71" t="s">
        <v>103</v>
      </c>
      <c r="D2707" s="78">
        <v>1</v>
      </c>
      <c r="E2707" s="79">
        <v>21.98</v>
      </c>
      <c r="F2707" s="70">
        <v>21.98</v>
      </c>
      <c r="G2707" s="320"/>
      <c r="H2707" s="79">
        <v>16.39</v>
      </c>
      <c r="I2707" s="79">
        <v>5.59</v>
      </c>
      <c r="J2707" s="79">
        <v>21.98</v>
      </c>
      <c r="K2707" s="79">
        <v>0</v>
      </c>
      <c r="L2707" s="70">
        <v>21.98</v>
      </c>
      <c r="M2707" s="132"/>
      <c r="N2707" s="79">
        <v>16.39</v>
      </c>
      <c r="O2707" s="79">
        <v>5.59</v>
      </c>
      <c r="P2707" s="79">
        <v>21.98</v>
      </c>
      <c r="Q2707" s="136"/>
      <c r="R2707" s="79">
        <v>16.39</v>
      </c>
      <c r="S2707" s="79">
        <v>5.58</v>
      </c>
      <c r="T2707" s="79">
        <v>21.97</v>
      </c>
      <c r="U2707" s="79">
        <v>0</v>
      </c>
      <c r="V2707" s="189">
        <v>21.97</v>
      </c>
      <c r="X2707" s="79">
        <v>16.39</v>
      </c>
      <c r="Y2707" s="79">
        <v>5.58</v>
      </c>
      <c r="Z2707" s="79">
        <v>21.97</v>
      </c>
      <c r="AA2707" s="255">
        <v>1.0000000000001563E-2</v>
      </c>
      <c r="AC2707" s="254"/>
    </row>
    <row r="2708" spans="1:31" s="69" customFormat="1" ht="12">
      <c r="A2708" s="67" t="s">
        <v>15748</v>
      </c>
      <c r="B2708" s="65" t="s">
        <v>15749</v>
      </c>
      <c r="C2708" s="71" t="s">
        <v>103</v>
      </c>
      <c r="D2708" s="78">
        <v>1</v>
      </c>
      <c r="E2708" s="79">
        <v>21.63</v>
      </c>
      <c r="F2708" s="70">
        <v>21.63</v>
      </c>
      <c r="G2708" s="320"/>
      <c r="H2708" s="79">
        <v>7.66</v>
      </c>
      <c r="I2708" s="79">
        <v>13.969999999999999</v>
      </c>
      <c r="J2708" s="79">
        <v>21.63</v>
      </c>
      <c r="K2708" s="79">
        <v>0</v>
      </c>
      <c r="L2708" s="70">
        <v>21.63</v>
      </c>
      <c r="M2708" s="132"/>
      <c r="N2708" s="79">
        <v>7.66</v>
      </c>
      <c r="O2708" s="79">
        <v>13.969999999999999</v>
      </c>
      <c r="P2708" s="79">
        <v>21.63</v>
      </c>
      <c r="Q2708" s="136"/>
      <c r="R2708" s="79">
        <v>7.66</v>
      </c>
      <c r="S2708" s="79">
        <v>13.96</v>
      </c>
      <c r="T2708" s="79">
        <v>21.62</v>
      </c>
      <c r="U2708" s="79">
        <v>0</v>
      </c>
      <c r="V2708" s="189">
        <v>21.62</v>
      </c>
      <c r="W2708" s="61"/>
      <c r="X2708" s="79">
        <v>7.66</v>
      </c>
      <c r="Y2708" s="79">
        <v>13.96</v>
      </c>
      <c r="Z2708" s="79">
        <v>21.62</v>
      </c>
      <c r="AA2708" s="255">
        <v>9.9999999999980105E-3</v>
      </c>
      <c r="AB2708" s="61"/>
      <c r="AC2708" s="254"/>
      <c r="AD2708" s="236"/>
      <c r="AE2708" s="236"/>
    </row>
    <row r="2709" spans="1:31" ht="12">
      <c r="A2709" s="67" t="s">
        <v>15750</v>
      </c>
      <c r="B2709" s="65" t="s">
        <v>15751</v>
      </c>
      <c r="C2709" s="71" t="s">
        <v>103</v>
      </c>
      <c r="D2709" s="78">
        <v>1</v>
      </c>
      <c r="E2709" s="79">
        <v>20.74</v>
      </c>
      <c r="F2709" s="70">
        <v>20.74</v>
      </c>
      <c r="G2709" s="320"/>
      <c r="H2709" s="79">
        <v>6.77</v>
      </c>
      <c r="I2709" s="79">
        <v>13.969999999999999</v>
      </c>
      <c r="J2709" s="79">
        <v>20.74</v>
      </c>
      <c r="K2709" s="79">
        <v>0</v>
      </c>
      <c r="L2709" s="70">
        <v>20.74</v>
      </c>
      <c r="M2709" s="132"/>
      <c r="N2709" s="79">
        <v>6.77</v>
      </c>
      <c r="O2709" s="79">
        <v>13.969999999999999</v>
      </c>
      <c r="P2709" s="79">
        <v>20.74</v>
      </c>
      <c r="Q2709" s="136"/>
      <c r="R2709" s="79">
        <v>6.77</v>
      </c>
      <c r="S2709" s="79">
        <v>13.96</v>
      </c>
      <c r="T2709" s="79">
        <v>20.73</v>
      </c>
      <c r="U2709" s="79">
        <v>0</v>
      </c>
      <c r="V2709" s="189">
        <v>20.73</v>
      </c>
      <c r="X2709" s="79">
        <v>6.77</v>
      </c>
      <c r="Y2709" s="79">
        <v>13.96</v>
      </c>
      <c r="Z2709" s="79">
        <v>20.73</v>
      </c>
      <c r="AA2709" s="255">
        <v>9.9999999999980105E-3</v>
      </c>
      <c r="AC2709" s="254"/>
    </row>
    <row r="2710" spans="1:31" ht="12">
      <c r="A2710" s="67" t="s">
        <v>15752</v>
      </c>
      <c r="B2710" s="65" t="s">
        <v>15753</v>
      </c>
      <c r="C2710" s="71" t="s">
        <v>165</v>
      </c>
      <c r="D2710" s="78">
        <v>1</v>
      </c>
      <c r="E2710" s="79">
        <v>75.39</v>
      </c>
      <c r="F2710" s="70">
        <v>75.39</v>
      </c>
      <c r="G2710" s="320"/>
      <c r="H2710" s="79">
        <v>61.42</v>
      </c>
      <c r="I2710" s="79">
        <v>13.969999999999999</v>
      </c>
      <c r="J2710" s="79">
        <v>75.39</v>
      </c>
      <c r="K2710" s="79">
        <v>0</v>
      </c>
      <c r="L2710" s="70">
        <v>75.39</v>
      </c>
      <c r="M2710" s="132"/>
      <c r="N2710" s="79">
        <v>61.42</v>
      </c>
      <c r="O2710" s="79">
        <v>13.969999999999999</v>
      </c>
      <c r="P2710" s="79">
        <v>75.39</v>
      </c>
      <c r="Q2710" s="136"/>
      <c r="R2710" s="79">
        <v>61.42</v>
      </c>
      <c r="S2710" s="79">
        <v>13.96</v>
      </c>
      <c r="T2710" s="79">
        <v>75.38</v>
      </c>
      <c r="U2710" s="79">
        <v>0</v>
      </c>
      <c r="V2710" s="189">
        <v>75.38</v>
      </c>
      <c r="X2710" s="79">
        <v>61.42</v>
      </c>
      <c r="Y2710" s="79">
        <v>13.96</v>
      </c>
      <c r="Z2710" s="79">
        <v>75.38</v>
      </c>
      <c r="AA2710" s="255">
        <v>1.0000000000005116E-2</v>
      </c>
      <c r="AC2710" s="254"/>
    </row>
    <row r="2711" spans="1:31" ht="12">
      <c r="A2711" s="67" t="s">
        <v>15754</v>
      </c>
      <c r="B2711" s="65" t="s">
        <v>15755</v>
      </c>
      <c r="C2711" s="71" t="s">
        <v>103</v>
      </c>
      <c r="D2711" s="78">
        <v>1</v>
      </c>
      <c r="E2711" s="79">
        <v>60.74</v>
      </c>
      <c r="F2711" s="70">
        <v>60.74</v>
      </c>
      <c r="G2711" s="320"/>
      <c r="H2711" s="79">
        <v>46.77</v>
      </c>
      <c r="I2711" s="79">
        <v>13.969999999999999</v>
      </c>
      <c r="J2711" s="79">
        <v>60.74</v>
      </c>
      <c r="K2711" s="79">
        <v>0</v>
      </c>
      <c r="L2711" s="70">
        <v>60.74</v>
      </c>
      <c r="M2711" s="132"/>
      <c r="N2711" s="79">
        <v>46.77</v>
      </c>
      <c r="O2711" s="79">
        <v>13.969999999999999</v>
      </c>
      <c r="P2711" s="79">
        <v>60.74</v>
      </c>
      <c r="Q2711" s="136"/>
      <c r="R2711" s="79">
        <v>46.77</v>
      </c>
      <c r="S2711" s="79">
        <v>13.96</v>
      </c>
      <c r="T2711" s="79">
        <v>60.730000000000004</v>
      </c>
      <c r="U2711" s="79">
        <v>0</v>
      </c>
      <c r="V2711" s="189">
        <v>60.730000000000004</v>
      </c>
      <c r="X2711" s="79">
        <v>46.77</v>
      </c>
      <c r="Y2711" s="79">
        <v>13.96</v>
      </c>
      <c r="Z2711" s="79">
        <v>60.73</v>
      </c>
      <c r="AA2711" s="498">
        <v>1.0000000000005116E-2</v>
      </c>
      <c r="AC2711" s="254"/>
    </row>
    <row r="2712" spans="1:31" ht="12">
      <c r="A2712" s="67" t="s">
        <v>15756</v>
      </c>
      <c r="B2712" s="65" t="s">
        <v>15757</v>
      </c>
      <c r="C2712" s="71" t="s">
        <v>103</v>
      </c>
      <c r="D2712" s="78">
        <v>1</v>
      </c>
      <c r="E2712" s="79">
        <v>74.92</v>
      </c>
      <c r="F2712" s="70">
        <v>74.92</v>
      </c>
      <c r="G2712" s="320"/>
      <c r="H2712" s="79">
        <v>60.95</v>
      </c>
      <c r="I2712" s="79">
        <v>13.969999999999999</v>
      </c>
      <c r="J2712" s="79">
        <v>74.92</v>
      </c>
      <c r="K2712" s="79">
        <v>0</v>
      </c>
      <c r="L2712" s="70">
        <v>74.92</v>
      </c>
      <c r="M2712" s="132"/>
      <c r="N2712" s="79">
        <v>60.95</v>
      </c>
      <c r="O2712" s="79">
        <v>13.969999999999999</v>
      </c>
      <c r="P2712" s="79">
        <v>74.92</v>
      </c>
      <c r="Q2712" s="136"/>
      <c r="R2712" s="79">
        <v>60.95</v>
      </c>
      <c r="S2712" s="79">
        <v>13.96</v>
      </c>
      <c r="T2712" s="79">
        <v>74.91</v>
      </c>
      <c r="U2712" s="79">
        <v>0</v>
      </c>
      <c r="V2712" s="189">
        <v>74.91</v>
      </c>
      <c r="X2712" s="79">
        <v>60.95</v>
      </c>
      <c r="Y2712" s="79">
        <v>13.96</v>
      </c>
      <c r="Z2712" s="79">
        <v>74.91</v>
      </c>
      <c r="AA2712" s="498">
        <v>1.0000000000005116E-2</v>
      </c>
      <c r="AC2712" s="254"/>
    </row>
    <row r="2713" spans="1:31" ht="12">
      <c r="A2713" s="67" t="s">
        <v>15758</v>
      </c>
      <c r="B2713" s="65" t="s">
        <v>15759</v>
      </c>
      <c r="C2713" s="71" t="s">
        <v>103</v>
      </c>
      <c r="D2713" s="78">
        <v>1</v>
      </c>
      <c r="E2713" s="79">
        <v>18.200000000000003</v>
      </c>
      <c r="F2713" s="70">
        <v>18.2</v>
      </c>
      <c r="G2713" s="320"/>
      <c r="H2713" s="79">
        <v>4.2299999999999995</v>
      </c>
      <c r="I2713" s="79">
        <v>13.969999999999999</v>
      </c>
      <c r="J2713" s="79">
        <v>18.2</v>
      </c>
      <c r="K2713" s="79">
        <v>0</v>
      </c>
      <c r="L2713" s="70">
        <v>18.2</v>
      </c>
      <c r="M2713" s="132"/>
      <c r="N2713" s="79">
        <v>4.2299999999999995</v>
      </c>
      <c r="O2713" s="79">
        <v>13.969999999999999</v>
      </c>
      <c r="P2713" s="79">
        <v>18.2</v>
      </c>
      <c r="Q2713" s="136"/>
      <c r="R2713" s="79">
        <v>4.2300000000000004</v>
      </c>
      <c r="S2713" s="79">
        <v>13.96</v>
      </c>
      <c r="T2713" s="79">
        <v>18.190000000000001</v>
      </c>
      <c r="U2713" s="79">
        <v>0</v>
      </c>
      <c r="V2713" s="189">
        <v>18.190000000000001</v>
      </c>
      <c r="X2713" s="79">
        <v>4.2300000000000004</v>
      </c>
      <c r="Y2713" s="79">
        <v>13.96</v>
      </c>
      <c r="Z2713" s="79">
        <v>18.190000000000001</v>
      </c>
      <c r="AA2713" s="498">
        <v>9.9999999999980105E-3</v>
      </c>
      <c r="AC2713" s="254"/>
    </row>
    <row r="2714" spans="1:31" ht="12">
      <c r="A2714" s="67" t="s">
        <v>15760</v>
      </c>
      <c r="B2714" s="65" t="s">
        <v>15761</v>
      </c>
      <c r="C2714" s="71" t="s">
        <v>103</v>
      </c>
      <c r="D2714" s="78">
        <v>1</v>
      </c>
      <c r="E2714" s="79">
        <v>20.23</v>
      </c>
      <c r="F2714" s="70">
        <v>20.23</v>
      </c>
      <c r="G2714" s="320"/>
      <c r="H2714" s="79">
        <v>6.26</v>
      </c>
      <c r="I2714" s="79">
        <v>13.969999999999999</v>
      </c>
      <c r="J2714" s="79">
        <v>20.229999999999997</v>
      </c>
      <c r="K2714" s="79">
        <v>0</v>
      </c>
      <c r="L2714" s="70">
        <v>20.229999999999997</v>
      </c>
      <c r="M2714" s="132"/>
      <c r="N2714" s="79">
        <v>6.26</v>
      </c>
      <c r="O2714" s="79">
        <v>13.969999999999999</v>
      </c>
      <c r="P2714" s="79">
        <v>20.229999999999997</v>
      </c>
      <c r="Q2714" s="136"/>
      <c r="R2714" s="79">
        <v>6.26</v>
      </c>
      <c r="S2714" s="79">
        <v>13.96</v>
      </c>
      <c r="T2714" s="79">
        <v>20.22</v>
      </c>
      <c r="U2714" s="79">
        <v>0</v>
      </c>
      <c r="V2714" s="189">
        <v>20.22</v>
      </c>
      <c r="X2714" s="79">
        <v>6.26</v>
      </c>
      <c r="Y2714" s="79">
        <v>13.96</v>
      </c>
      <c r="Z2714" s="79">
        <v>20.22</v>
      </c>
      <c r="AA2714" s="498">
        <v>1.0000000000001563E-2</v>
      </c>
      <c r="AC2714" s="254"/>
    </row>
    <row r="2715" spans="1:31" ht="12">
      <c r="A2715" s="67" t="s">
        <v>15762</v>
      </c>
      <c r="B2715" s="65" t="s">
        <v>15763</v>
      </c>
      <c r="C2715" s="71" t="s">
        <v>103</v>
      </c>
      <c r="D2715" s="78">
        <v>1</v>
      </c>
      <c r="E2715" s="79">
        <v>23.040000000000003</v>
      </c>
      <c r="F2715" s="70">
        <v>23.04</v>
      </c>
      <c r="G2715" s="320"/>
      <c r="H2715" s="79">
        <v>9.07</v>
      </c>
      <c r="I2715" s="79">
        <v>13.969999999999999</v>
      </c>
      <c r="J2715" s="79">
        <v>23.04</v>
      </c>
      <c r="K2715" s="79">
        <v>0</v>
      </c>
      <c r="L2715" s="70">
        <v>23.04</v>
      </c>
      <c r="M2715" s="132"/>
      <c r="N2715" s="79">
        <v>9.07</v>
      </c>
      <c r="O2715" s="79">
        <v>13.969999999999999</v>
      </c>
      <c r="P2715" s="79">
        <v>23.04</v>
      </c>
      <c r="Q2715" s="136"/>
      <c r="R2715" s="79">
        <v>9.07</v>
      </c>
      <c r="S2715" s="79">
        <v>13.96</v>
      </c>
      <c r="T2715" s="79">
        <v>23.03</v>
      </c>
      <c r="U2715" s="79">
        <v>0</v>
      </c>
      <c r="V2715" s="189">
        <v>23.03</v>
      </c>
      <c r="X2715" s="79">
        <v>9.07</v>
      </c>
      <c r="Y2715" s="79">
        <v>13.96</v>
      </c>
      <c r="Z2715" s="79">
        <v>23.03</v>
      </c>
      <c r="AA2715" s="498">
        <v>9.9999999999980105E-3</v>
      </c>
      <c r="AC2715" s="254"/>
    </row>
    <row r="2716" spans="1:31" ht="12">
      <c r="A2716" s="67" t="s">
        <v>15764</v>
      </c>
      <c r="B2716" s="65" t="s">
        <v>15765</v>
      </c>
      <c r="C2716" s="71" t="s">
        <v>103</v>
      </c>
      <c r="D2716" s="78">
        <v>1</v>
      </c>
      <c r="E2716" s="79">
        <v>23.150000000000002</v>
      </c>
      <c r="F2716" s="70">
        <v>23.15</v>
      </c>
      <c r="G2716" s="320"/>
      <c r="H2716" s="79">
        <v>9.18</v>
      </c>
      <c r="I2716" s="79">
        <v>13.969999999999999</v>
      </c>
      <c r="J2716" s="79">
        <v>23.15</v>
      </c>
      <c r="K2716" s="79">
        <v>0</v>
      </c>
      <c r="L2716" s="70">
        <v>23.15</v>
      </c>
      <c r="M2716" s="132"/>
      <c r="N2716" s="79">
        <v>9.18</v>
      </c>
      <c r="O2716" s="79">
        <v>13.969999999999999</v>
      </c>
      <c r="P2716" s="79">
        <v>23.15</v>
      </c>
      <c r="Q2716" s="136"/>
      <c r="R2716" s="79">
        <v>9.18</v>
      </c>
      <c r="S2716" s="79">
        <v>13.96</v>
      </c>
      <c r="T2716" s="79">
        <v>23.14</v>
      </c>
      <c r="U2716" s="79">
        <v>0</v>
      </c>
      <c r="V2716" s="189">
        <v>23.14</v>
      </c>
      <c r="X2716" s="79">
        <v>9.18</v>
      </c>
      <c r="Y2716" s="79">
        <v>13.96</v>
      </c>
      <c r="Z2716" s="79">
        <v>23.14</v>
      </c>
      <c r="AA2716" s="498">
        <v>9.9999999999980105E-3</v>
      </c>
      <c r="AC2716" s="254"/>
    </row>
    <row r="2717" spans="1:31" ht="24">
      <c r="A2717" s="67" t="s">
        <v>15766</v>
      </c>
      <c r="B2717" s="65" t="s">
        <v>15767</v>
      </c>
      <c r="C2717" s="71" t="s">
        <v>103</v>
      </c>
      <c r="D2717" s="78">
        <v>1</v>
      </c>
      <c r="E2717" s="79">
        <v>113.16</v>
      </c>
      <c r="F2717" s="70">
        <v>113.16</v>
      </c>
      <c r="G2717" s="320"/>
      <c r="H2717" s="79">
        <v>99.19</v>
      </c>
      <c r="I2717" s="79">
        <v>13.969999999999999</v>
      </c>
      <c r="J2717" s="79">
        <v>113.16</v>
      </c>
      <c r="K2717" s="79">
        <v>0</v>
      </c>
      <c r="L2717" s="70">
        <v>113.16</v>
      </c>
      <c r="M2717" s="132"/>
      <c r="N2717" s="79">
        <v>99.19</v>
      </c>
      <c r="O2717" s="79">
        <v>13.969999999999999</v>
      </c>
      <c r="P2717" s="79">
        <v>113.16</v>
      </c>
      <c r="Q2717" s="136"/>
      <c r="R2717" s="79">
        <v>99.19</v>
      </c>
      <c r="S2717" s="79">
        <v>13.96</v>
      </c>
      <c r="T2717" s="79">
        <v>113.15</v>
      </c>
      <c r="U2717" s="79">
        <v>0</v>
      </c>
      <c r="V2717" s="189">
        <v>113.15</v>
      </c>
      <c r="X2717" s="79">
        <v>99.19</v>
      </c>
      <c r="Y2717" s="79">
        <v>13.96</v>
      </c>
      <c r="Z2717" s="79">
        <v>113.15</v>
      </c>
      <c r="AA2717" s="255">
        <v>9.9999999999909051E-3</v>
      </c>
      <c r="AC2717" s="254"/>
    </row>
    <row r="2718" spans="1:31" ht="12">
      <c r="A2718" s="67" t="s">
        <v>15768</v>
      </c>
      <c r="B2718" s="65" t="s">
        <v>15769</v>
      </c>
      <c r="C2718" s="71" t="s">
        <v>509</v>
      </c>
      <c r="D2718" s="78">
        <v>1</v>
      </c>
      <c r="E2718" s="79">
        <v>281.68</v>
      </c>
      <c r="F2718" s="70">
        <v>281.68</v>
      </c>
      <c r="G2718" s="320"/>
      <c r="H2718" s="79">
        <v>276</v>
      </c>
      <c r="I2718" s="79">
        <v>5.68</v>
      </c>
      <c r="J2718" s="79">
        <v>281.68</v>
      </c>
      <c r="K2718" s="79">
        <v>0</v>
      </c>
      <c r="L2718" s="70">
        <v>281.68</v>
      </c>
      <c r="M2718" s="132"/>
      <c r="N2718" s="79">
        <v>276</v>
      </c>
      <c r="O2718" s="79">
        <v>5.68</v>
      </c>
      <c r="P2718" s="79">
        <v>281.68</v>
      </c>
      <c r="Q2718" s="136"/>
      <c r="R2718" s="79">
        <v>276</v>
      </c>
      <c r="S2718" s="79">
        <v>5.68</v>
      </c>
      <c r="T2718" s="79">
        <v>281.68</v>
      </c>
      <c r="U2718" s="79">
        <v>0</v>
      </c>
      <c r="V2718" s="189">
        <v>281.68</v>
      </c>
      <c r="X2718" s="79">
        <v>276</v>
      </c>
      <c r="Y2718" s="79">
        <v>5.68</v>
      </c>
      <c r="Z2718" s="79">
        <v>281.68</v>
      </c>
      <c r="AA2718" s="255">
        <v>0</v>
      </c>
      <c r="AC2718" s="254"/>
    </row>
    <row r="2719" spans="1:31" ht="12">
      <c r="A2719" s="489" t="s">
        <v>15770</v>
      </c>
      <c r="B2719" s="490" t="s">
        <v>15771</v>
      </c>
      <c r="C2719" s="491"/>
      <c r="D2719" s="492"/>
      <c r="E2719" s="79"/>
      <c r="F2719" s="63"/>
      <c r="G2719" s="320"/>
      <c r="H2719" s="79"/>
      <c r="I2719" s="79"/>
      <c r="J2719" s="79"/>
      <c r="K2719" s="79"/>
      <c r="L2719" s="70"/>
      <c r="M2719" s="132"/>
      <c r="N2719" s="79"/>
      <c r="O2719" s="79"/>
      <c r="P2719" s="79"/>
      <c r="Q2719" s="136"/>
      <c r="R2719" s="79"/>
      <c r="S2719" s="79"/>
      <c r="T2719" s="79"/>
      <c r="U2719" s="79"/>
      <c r="V2719" s="189"/>
      <c r="X2719" s="79"/>
      <c r="Y2719" s="79"/>
      <c r="Z2719" s="79"/>
      <c r="AA2719" s="255"/>
      <c r="AC2719" s="254"/>
    </row>
    <row r="2720" spans="1:31" ht="24">
      <c r="A2720" s="67" t="s">
        <v>15772</v>
      </c>
      <c r="B2720" s="65" t="s">
        <v>15773</v>
      </c>
      <c r="C2720" s="71" t="s">
        <v>103</v>
      </c>
      <c r="D2720" s="78">
        <v>1</v>
      </c>
      <c r="E2720" s="79">
        <v>39.65</v>
      </c>
      <c r="F2720" s="70">
        <v>39.65</v>
      </c>
      <c r="G2720" s="320"/>
      <c r="H2720" s="79">
        <v>11.709999999999999</v>
      </c>
      <c r="I2720" s="79">
        <v>27.939999999999998</v>
      </c>
      <c r="J2720" s="79">
        <v>39.65</v>
      </c>
      <c r="K2720" s="79">
        <v>0</v>
      </c>
      <c r="L2720" s="70">
        <v>39.65</v>
      </c>
      <c r="M2720" s="132"/>
      <c r="N2720" s="79">
        <v>11.709999999999999</v>
      </c>
      <c r="O2720" s="79">
        <v>27.939999999999998</v>
      </c>
      <c r="P2720" s="79">
        <v>39.65</v>
      </c>
      <c r="Q2720" s="136"/>
      <c r="R2720" s="79">
        <v>11.71</v>
      </c>
      <c r="S2720" s="79">
        <v>27.92</v>
      </c>
      <c r="T2720" s="79">
        <v>39.630000000000003</v>
      </c>
      <c r="U2720" s="79">
        <v>0</v>
      </c>
      <c r="V2720" s="189">
        <v>39.630000000000003</v>
      </c>
      <c r="X2720" s="79">
        <v>11.71</v>
      </c>
      <c r="Y2720" s="79">
        <v>27.92</v>
      </c>
      <c r="Z2720" s="79">
        <v>39.630000000000003</v>
      </c>
      <c r="AA2720" s="255">
        <v>1.9999999999996021E-2</v>
      </c>
      <c r="AC2720" s="254"/>
    </row>
    <row r="2721" spans="1:29" ht="24">
      <c r="A2721" s="67" t="s">
        <v>15774</v>
      </c>
      <c r="B2721" s="65" t="s">
        <v>15775</v>
      </c>
      <c r="C2721" s="71" t="s">
        <v>103</v>
      </c>
      <c r="D2721" s="78">
        <v>1</v>
      </c>
      <c r="E2721" s="79">
        <v>49.65</v>
      </c>
      <c r="F2721" s="70">
        <v>49.65</v>
      </c>
      <c r="G2721" s="320"/>
      <c r="H2721" s="79">
        <v>21.709999999999997</v>
      </c>
      <c r="I2721" s="79">
        <v>27.939999999999998</v>
      </c>
      <c r="J2721" s="79">
        <v>49.649999999999991</v>
      </c>
      <c r="K2721" s="79">
        <v>0</v>
      </c>
      <c r="L2721" s="70">
        <v>49.649999999999991</v>
      </c>
      <c r="M2721" s="132"/>
      <c r="N2721" s="79">
        <v>21.709999999999997</v>
      </c>
      <c r="O2721" s="79">
        <v>27.939999999999998</v>
      </c>
      <c r="P2721" s="79">
        <v>49.649999999999991</v>
      </c>
      <c r="Q2721" s="136"/>
      <c r="R2721" s="79">
        <v>21.71</v>
      </c>
      <c r="S2721" s="79">
        <v>27.92</v>
      </c>
      <c r="T2721" s="79">
        <v>49.63</v>
      </c>
      <c r="U2721" s="79">
        <v>0</v>
      </c>
      <c r="V2721" s="189">
        <v>49.63</v>
      </c>
      <c r="X2721" s="79">
        <v>21.71</v>
      </c>
      <c r="Y2721" s="79">
        <v>27.92</v>
      </c>
      <c r="Z2721" s="79">
        <v>49.63</v>
      </c>
      <c r="AA2721" s="255">
        <v>1.9999999999996021E-2</v>
      </c>
      <c r="AC2721" s="254"/>
    </row>
    <row r="2722" spans="1:29" ht="24">
      <c r="A2722" s="67" t="s">
        <v>15776</v>
      </c>
      <c r="B2722" s="65" t="s">
        <v>15777</v>
      </c>
      <c r="C2722" s="71" t="s">
        <v>103</v>
      </c>
      <c r="D2722" s="78">
        <v>1</v>
      </c>
      <c r="E2722" s="79">
        <v>49.98</v>
      </c>
      <c r="F2722" s="70">
        <v>49.98</v>
      </c>
      <c r="G2722" s="320"/>
      <c r="H2722" s="79">
        <v>22.04</v>
      </c>
      <c r="I2722" s="79">
        <v>27.939999999999998</v>
      </c>
      <c r="J2722" s="79">
        <v>49.98</v>
      </c>
      <c r="K2722" s="79">
        <v>0</v>
      </c>
      <c r="L2722" s="70">
        <v>49.98</v>
      </c>
      <c r="M2722" s="132"/>
      <c r="N2722" s="79">
        <v>22.04</v>
      </c>
      <c r="O2722" s="79">
        <v>27.939999999999998</v>
      </c>
      <c r="P2722" s="79">
        <v>49.98</v>
      </c>
      <c r="Q2722" s="136"/>
      <c r="R2722" s="79">
        <v>22.04</v>
      </c>
      <c r="S2722" s="79">
        <v>27.92</v>
      </c>
      <c r="T2722" s="79">
        <v>49.96</v>
      </c>
      <c r="U2722" s="79">
        <v>0</v>
      </c>
      <c r="V2722" s="189">
        <v>49.96</v>
      </c>
      <c r="X2722" s="79">
        <v>22.04</v>
      </c>
      <c r="Y2722" s="79">
        <v>27.92</v>
      </c>
      <c r="Z2722" s="79">
        <v>49.96</v>
      </c>
      <c r="AA2722" s="255">
        <v>1.9999999999996021E-2</v>
      </c>
      <c r="AC2722" s="254"/>
    </row>
    <row r="2723" spans="1:29" ht="24">
      <c r="A2723" s="67" t="s">
        <v>15778</v>
      </c>
      <c r="B2723" s="65" t="s">
        <v>15779</v>
      </c>
      <c r="C2723" s="71" t="s">
        <v>103</v>
      </c>
      <c r="D2723" s="78">
        <v>1</v>
      </c>
      <c r="E2723" s="79">
        <v>71.739999999999995</v>
      </c>
      <c r="F2723" s="70">
        <v>71.739999999999995</v>
      </c>
      <c r="G2723" s="320"/>
      <c r="H2723" s="79">
        <v>43.8</v>
      </c>
      <c r="I2723" s="79">
        <v>27.939999999999998</v>
      </c>
      <c r="J2723" s="79">
        <v>71.739999999999995</v>
      </c>
      <c r="K2723" s="79">
        <v>0</v>
      </c>
      <c r="L2723" s="70">
        <v>71.739999999999995</v>
      </c>
      <c r="M2723" s="132"/>
      <c r="N2723" s="79">
        <v>43.8</v>
      </c>
      <c r="O2723" s="79">
        <v>27.939999999999998</v>
      </c>
      <c r="P2723" s="79">
        <v>71.739999999999995</v>
      </c>
      <c r="Q2723" s="136"/>
      <c r="R2723" s="79">
        <v>43.8</v>
      </c>
      <c r="S2723" s="79">
        <v>27.92</v>
      </c>
      <c r="T2723" s="79">
        <v>71.72</v>
      </c>
      <c r="U2723" s="79">
        <v>0</v>
      </c>
      <c r="V2723" s="189">
        <v>71.72</v>
      </c>
      <c r="X2723" s="79">
        <v>43.8</v>
      </c>
      <c r="Y2723" s="79">
        <v>27.92</v>
      </c>
      <c r="Z2723" s="79">
        <v>71.72</v>
      </c>
      <c r="AA2723" s="255">
        <v>1.9999999999996021E-2</v>
      </c>
      <c r="AC2723" s="254"/>
    </row>
    <row r="2724" spans="1:29" ht="24">
      <c r="A2724" s="67" t="s">
        <v>15780</v>
      </c>
      <c r="B2724" s="65" t="s">
        <v>15781</v>
      </c>
      <c r="C2724" s="71" t="s">
        <v>103</v>
      </c>
      <c r="D2724" s="78">
        <v>1</v>
      </c>
      <c r="E2724" s="79">
        <v>39.519999999999996</v>
      </c>
      <c r="F2724" s="70">
        <v>39.520000000000003</v>
      </c>
      <c r="G2724" s="320"/>
      <c r="H2724" s="79">
        <v>11.58</v>
      </c>
      <c r="I2724" s="79">
        <v>27.939999999999998</v>
      </c>
      <c r="J2724" s="79">
        <v>39.519999999999996</v>
      </c>
      <c r="K2724" s="79">
        <v>0</v>
      </c>
      <c r="L2724" s="70">
        <v>39.519999999999996</v>
      </c>
      <c r="M2724" s="132"/>
      <c r="N2724" s="79">
        <v>11.58</v>
      </c>
      <c r="O2724" s="79">
        <v>27.939999999999998</v>
      </c>
      <c r="P2724" s="79">
        <v>39.519999999999996</v>
      </c>
      <c r="Q2724" s="136"/>
      <c r="R2724" s="79">
        <v>11.58</v>
      </c>
      <c r="S2724" s="79">
        <v>27.92</v>
      </c>
      <c r="T2724" s="79">
        <v>39.5</v>
      </c>
      <c r="U2724" s="79">
        <v>0</v>
      </c>
      <c r="V2724" s="189">
        <v>39.5</v>
      </c>
      <c r="X2724" s="79">
        <v>11.58</v>
      </c>
      <c r="Y2724" s="79">
        <v>27.92</v>
      </c>
      <c r="Z2724" s="79">
        <v>39.5</v>
      </c>
      <c r="AA2724" s="255">
        <v>2.0000000000003126E-2</v>
      </c>
      <c r="AC2724" s="254"/>
    </row>
    <row r="2725" spans="1:29" ht="24">
      <c r="A2725" s="67" t="s">
        <v>15782</v>
      </c>
      <c r="B2725" s="65" t="s">
        <v>15783</v>
      </c>
      <c r="C2725" s="71" t="s">
        <v>103</v>
      </c>
      <c r="D2725" s="78">
        <v>1</v>
      </c>
      <c r="E2725" s="79">
        <v>49.15</v>
      </c>
      <c r="F2725" s="70">
        <v>49.15</v>
      </c>
      <c r="G2725" s="320"/>
      <c r="H2725" s="79">
        <v>21.209999999999997</v>
      </c>
      <c r="I2725" s="79">
        <v>27.939999999999998</v>
      </c>
      <c r="J2725" s="79">
        <v>49.149999999999991</v>
      </c>
      <c r="K2725" s="79">
        <v>0</v>
      </c>
      <c r="L2725" s="70">
        <v>49.149999999999991</v>
      </c>
      <c r="M2725" s="132"/>
      <c r="N2725" s="79">
        <v>21.209999999999997</v>
      </c>
      <c r="O2725" s="79">
        <v>27.939999999999998</v>
      </c>
      <c r="P2725" s="79">
        <v>49.149999999999991</v>
      </c>
      <c r="Q2725" s="136"/>
      <c r="R2725" s="79">
        <v>21.21</v>
      </c>
      <c r="S2725" s="79">
        <v>27.92</v>
      </c>
      <c r="T2725" s="79">
        <v>49.13</v>
      </c>
      <c r="U2725" s="79">
        <v>0</v>
      </c>
      <c r="V2725" s="189">
        <v>49.13</v>
      </c>
      <c r="X2725" s="79">
        <v>21.21</v>
      </c>
      <c r="Y2725" s="79">
        <v>27.92</v>
      </c>
      <c r="Z2725" s="79">
        <v>49.13</v>
      </c>
      <c r="AA2725" s="255">
        <v>1.9999999999996021E-2</v>
      </c>
      <c r="AC2725" s="254"/>
    </row>
    <row r="2726" spans="1:29" ht="12">
      <c r="A2726" s="67" t="s">
        <v>15784</v>
      </c>
      <c r="B2726" s="65" t="s">
        <v>15785</v>
      </c>
      <c r="C2726" s="71" t="s">
        <v>103</v>
      </c>
      <c r="D2726" s="78">
        <v>1</v>
      </c>
      <c r="E2726" s="79">
        <v>39.659999999999997</v>
      </c>
      <c r="F2726" s="70">
        <v>39.659999999999997</v>
      </c>
      <c r="G2726" s="320"/>
      <c r="H2726" s="79">
        <v>11.719999999999999</v>
      </c>
      <c r="I2726" s="79">
        <v>27.939999999999998</v>
      </c>
      <c r="J2726" s="79">
        <v>39.659999999999997</v>
      </c>
      <c r="K2726" s="79">
        <v>0</v>
      </c>
      <c r="L2726" s="70">
        <v>39.659999999999997</v>
      </c>
      <c r="M2726" s="132"/>
      <c r="N2726" s="79">
        <v>11.719999999999999</v>
      </c>
      <c r="O2726" s="79">
        <v>27.939999999999998</v>
      </c>
      <c r="P2726" s="79">
        <v>39.659999999999997</v>
      </c>
      <c r="Q2726" s="136"/>
      <c r="R2726" s="79">
        <v>11.72</v>
      </c>
      <c r="S2726" s="79">
        <v>27.92</v>
      </c>
      <c r="T2726" s="79">
        <v>39.64</v>
      </c>
      <c r="U2726" s="79">
        <v>0</v>
      </c>
      <c r="V2726" s="189">
        <v>39.64</v>
      </c>
      <c r="X2726" s="79">
        <v>11.72</v>
      </c>
      <c r="Y2726" s="79">
        <v>27.92</v>
      </c>
      <c r="Z2726" s="79">
        <v>39.64</v>
      </c>
      <c r="AA2726" s="255">
        <v>1.9999999999996021E-2</v>
      </c>
      <c r="AC2726" s="254"/>
    </row>
    <row r="2727" spans="1:29" ht="24">
      <c r="A2727" s="67" t="s">
        <v>15786</v>
      </c>
      <c r="B2727" s="65" t="s">
        <v>15787</v>
      </c>
      <c r="C2727" s="71" t="s">
        <v>103</v>
      </c>
      <c r="D2727" s="78">
        <v>1</v>
      </c>
      <c r="E2727" s="79">
        <v>72.099999999999994</v>
      </c>
      <c r="F2727" s="70">
        <v>72.099999999999994</v>
      </c>
      <c r="G2727" s="320"/>
      <c r="H2727" s="79">
        <v>44.16</v>
      </c>
      <c r="I2727" s="79">
        <v>27.939999999999998</v>
      </c>
      <c r="J2727" s="79">
        <v>72.099999999999994</v>
      </c>
      <c r="K2727" s="79">
        <v>0</v>
      </c>
      <c r="L2727" s="70">
        <v>72.099999999999994</v>
      </c>
      <c r="M2727" s="132"/>
      <c r="N2727" s="79">
        <v>44.16</v>
      </c>
      <c r="O2727" s="79">
        <v>27.939999999999998</v>
      </c>
      <c r="P2727" s="79">
        <v>72.099999999999994</v>
      </c>
      <c r="Q2727" s="136"/>
      <c r="R2727" s="79">
        <v>44.16</v>
      </c>
      <c r="S2727" s="79">
        <v>27.92</v>
      </c>
      <c r="T2727" s="79">
        <v>72.08</v>
      </c>
      <c r="U2727" s="79">
        <v>0</v>
      </c>
      <c r="V2727" s="189">
        <v>72.08</v>
      </c>
      <c r="X2727" s="79">
        <v>44.16</v>
      </c>
      <c r="Y2727" s="79">
        <v>27.92</v>
      </c>
      <c r="Z2727" s="79">
        <v>72.08</v>
      </c>
      <c r="AA2727" s="255">
        <v>1.9999999999996021E-2</v>
      </c>
      <c r="AC2727" s="254"/>
    </row>
    <row r="2728" spans="1:29" ht="24">
      <c r="A2728" s="67" t="s">
        <v>15788</v>
      </c>
      <c r="B2728" s="65" t="s">
        <v>15789</v>
      </c>
      <c r="C2728" s="71" t="s">
        <v>103</v>
      </c>
      <c r="D2728" s="78">
        <v>1</v>
      </c>
      <c r="E2728" s="79">
        <v>50.38</v>
      </c>
      <c r="F2728" s="70">
        <v>50.38</v>
      </c>
      <c r="G2728" s="320"/>
      <c r="H2728" s="79">
        <v>22.439999999999998</v>
      </c>
      <c r="I2728" s="79">
        <v>27.939999999999998</v>
      </c>
      <c r="J2728" s="79">
        <v>50.379999999999995</v>
      </c>
      <c r="K2728" s="79">
        <v>0</v>
      </c>
      <c r="L2728" s="70">
        <v>50.379999999999995</v>
      </c>
      <c r="M2728" s="132"/>
      <c r="N2728" s="79">
        <v>22.439999999999998</v>
      </c>
      <c r="O2728" s="79">
        <v>27.939999999999998</v>
      </c>
      <c r="P2728" s="79">
        <v>50.379999999999995</v>
      </c>
      <c r="Q2728" s="136"/>
      <c r="R2728" s="79">
        <v>22.44</v>
      </c>
      <c r="S2728" s="79">
        <v>27.92</v>
      </c>
      <c r="T2728" s="79">
        <v>50.36</v>
      </c>
      <c r="U2728" s="79">
        <v>0</v>
      </c>
      <c r="V2728" s="189">
        <v>50.36</v>
      </c>
      <c r="X2728" s="79">
        <v>22.44</v>
      </c>
      <c r="Y2728" s="79">
        <v>27.92</v>
      </c>
      <c r="Z2728" s="79">
        <v>50.36</v>
      </c>
      <c r="AA2728" s="255">
        <v>2.0000000000003126E-2</v>
      </c>
      <c r="AC2728" s="254"/>
    </row>
    <row r="2729" spans="1:29" ht="24">
      <c r="A2729" s="67" t="s">
        <v>15790</v>
      </c>
      <c r="B2729" s="65" t="s">
        <v>15791</v>
      </c>
      <c r="C2729" s="71" t="s">
        <v>103</v>
      </c>
      <c r="D2729" s="78">
        <v>1</v>
      </c>
      <c r="E2729" s="79">
        <v>72.149999999999991</v>
      </c>
      <c r="F2729" s="70">
        <v>72.150000000000006</v>
      </c>
      <c r="G2729" s="320"/>
      <c r="H2729" s="79">
        <v>44.21</v>
      </c>
      <c r="I2729" s="79">
        <v>27.939999999999998</v>
      </c>
      <c r="J2729" s="79">
        <v>72.150000000000006</v>
      </c>
      <c r="K2729" s="79">
        <v>0</v>
      </c>
      <c r="L2729" s="70">
        <v>72.150000000000006</v>
      </c>
      <c r="M2729" s="132"/>
      <c r="N2729" s="79">
        <v>44.21</v>
      </c>
      <c r="O2729" s="79">
        <v>27.939999999999998</v>
      </c>
      <c r="P2729" s="79">
        <v>72.150000000000006</v>
      </c>
      <c r="Q2729" s="136"/>
      <c r="R2729" s="79">
        <v>44.21</v>
      </c>
      <c r="S2729" s="79">
        <v>27.92</v>
      </c>
      <c r="T2729" s="79">
        <v>72.13</v>
      </c>
      <c r="U2729" s="79">
        <v>0</v>
      </c>
      <c r="V2729" s="189">
        <v>72.13</v>
      </c>
      <c r="X2729" s="79">
        <v>44.21</v>
      </c>
      <c r="Y2729" s="79">
        <v>27.92</v>
      </c>
      <c r="Z2729" s="79">
        <v>72.13</v>
      </c>
      <c r="AA2729" s="255">
        <v>2.0000000000010232E-2</v>
      </c>
      <c r="AC2729" s="254"/>
    </row>
    <row r="2730" spans="1:29" ht="24">
      <c r="A2730" s="67" t="s">
        <v>15792</v>
      </c>
      <c r="B2730" s="65" t="s">
        <v>15793</v>
      </c>
      <c r="C2730" s="71" t="s">
        <v>103</v>
      </c>
      <c r="D2730" s="78">
        <v>1</v>
      </c>
      <c r="E2730" s="79">
        <v>50.56</v>
      </c>
      <c r="F2730" s="70">
        <v>50.56</v>
      </c>
      <c r="G2730" s="320"/>
      <c r="H2730" s="79">
        <v>22.619999999999997</v>
      </c>
      <c r="I2730" s="79">
        <v>27.939999999999998</v>
      </c>
      <c r="J2730" s="79">
        <v>50.559999999999995</v>
      </c>
      <c r="K2730" s="79">
        <v>0</v>
      </c>
      <c r="L2730" s="70">
        <v>50.559999999999995</v>
      </c>
      <c r="M2730" s="132"/>
      <c r="N2730" s="79">
        <v>22.619999999999997</v>
      </c>
      <c r="O2730" s="79">
        <v>27.939999999999998</v>
      </c>
      <c r="P2730" s="79">
        <v>50.559999999999995</v>
      </c>
      <c r="Q2730" s="136"/>
      <c r="R2730" s="79">
        <v>22.62</v>
      </c>
      <c r="S2730" s="79">
        <v>27.92</v>
      </c>
      <c r="T2730" s="79">
        <v>50.540000000000006</v>
      </c>
      <c r="U2730" s="79">
        <v>0</v>
      </c>
      <c r="V2730" s="189">
        <v>50.540000000000006</v>
      </c>
      <c r="X2730" s="79">
        <v>22.62</v>
      </c>
      <c r="Y2730" s="79">
        <v>27.92</v>
      </c>
      <c r="Z2730" s="79">
        <v>50.54</v>
      </c>
      <c r="AA2730" s="255">
        <v>2.0000000000003126E-2</v>
      </c>
      <c r="AC2730" s="254"/>
    </row>
    <row r="2731" spans="1:29" ht="24">
      <c r="A2731" s="67" t="s">
        <v>15794</v>
      </c>
      <c r="B2731" s="65" t="s">
        <v>15795</v>
      </c>
      <c r="C2731" s="71" t="s">
        <v>103</v>
      </c>
      <c r="D2731" s="78">
        <v>1</v>
      </c>
      <c r="E2731" s="79">
        <v>49.419999999999995</v>
      </c>
      <c r="F2731" s="70">
        <v>49.42</v>
      </c>
      <c r="G2731" s="320"/>
      <c r="H2731" s="79">
        <v>21.48</v>
      </c>
      <c r="I2731" s="79">
        <v>27.939999999999998</v>
      </c>
      <c r="J2731" s="79">
        <v>49.42</v>
      </c>
      <c r="K2731" s="79">
        <v>0</v>
      </c>
      <c r="L2731" s="70">
        <v>49.42</v>
      </c>
      <c r="M2731" s="132"/>
      <c r="N2731" s="79">
        <v>21.48</v>
      </c>
      <c r="O2731" s="79">
        <v>27.939999999999998</v>
      </c>
      <c r="P2731" s="79">
        <v>49.42</v>
      </c>
      <c r="Q2731" s="136"/>
      <c r="R2731" s="79">
        <v>21.48</v>
      </c>
      <c r="S2731" s="79">
        <v>27.92</v>
      </c>
      <c r="T2731" s="79">
        <v>49.400000000000006</v>
      </c>
      <c r="U2731" s="79">
        <v>0</v>
      </c>
      <c r="V2731" s="189">
        <v>49.400000000000006</v>
      </c>
      <c r="X2731" s="79">
        <v>21.48</v>
      </c>
      <c r="Y2731" s="79">
        <v>27.92</v>
      </c>
      <c r="Z2731" s="79">
        <v>49.4</v>
      </c>
      <c r="AA2731" s="255">
        <v>2.0000000000003126E-2</v>
      </c>
      <c r="AC2731" s="254"/>
    </row>
    <row r="2732" spans="1:29" ht="24">
      <c r="A2732" s="67" t="s">
        <v>15796</v>
      </c>
      <c r="B2732" s="65" t="s">
        <v>15797</v>
      </c>
      <c r="C2732" s="71" t="s">
        <v>103</v>
      </c>
      <c r="D2732" s="78">
        <v>1</v>
      </c>
      <c r="E2732" s="79">
        <v>49.18</v>
      </c>
      <c r="F2732" s="70">
        <v>49.18</v>
      </c>
      <c r="G2732" s="320"/>
      <c r="H2732" s="79">
        <v>21.24</v>
      </c>
      <c r="I2732" s="79">
        <v>27.939999999999998</v>
      </c>
      <c r="J2732" s="79">
        <v>49.179999999999993</v>
      </c>
      <c r="K2732" s="79">
        <v>0</v>
      </c>
      <c r="L2732" s="70">
        <v>49.179999999999993</v>
      </c>
      <c r="M2732" s="132"/>
      <c r="N2732" s="79">
        <v>21.24</v>
      </c>
      <c r="O2732" s="79">
        <v>27.939999999999998</v>
      </c>
      <c r="P2732" s="79">
        <v>49.179999999999993</v>
      </c>
      <c r="Q2732" s="136"/>
      <c r="R2732" s="79">
        <v>21.24</v>
      </c>
      <c r="S2732" s="79">
        <v>27.92</v>
      </c>
      <c r="T2732" s="79">
        <v>49.16</v>
      </c>
      <c r="U2732" s="79">
        <v>0</v>
      </c>
      <c r="V2732" s="189">
        <v>49.16</v>
      </c>
      <c r="X2732" s="79">
        <v>21.24</v>
      </c>
      <c r="Y2732" s="79">
        <v>27.92</v>
      </c>
      <c r="Z2732" s="79">
        <v>49.16</v>
      </c>
      <c r="AA2732" s="255">
        <v>2.0000000000003126E-2</v>
      </c>
      <c r="AC2732" s="254"/>
    </row>
    <row r="2733" spans="1:29" ht="24">
      <c r="A2733" s="67" t="s">
        <v>15798</v>
      </c>
      <c r="B2733" s="65" t="s">
        <v>15799</v>
      </c>
      <c r="C2733" s="71" t="s">
        <v>103</v>
      </c>
      <c r="D2733" s="78">
        <v>1</v>
      </c>
      <c r="E2733" s="79">
        <v>39.290000000000006</v>
      </c>
      <c r="F2733" s="70">
        <v>39.29</v>
      </c>
      <c r="G2733" s="320"/>
      <c r="H2733" s="79">
        <v>11.35</v>
      </c>
      <c r="I2733" s="79">
        <v>27.939999999999998</v>
      </c>
      <c r="J2733" s="79">
        <v>39.29</v>
      </c>
      <c r="K2733" s="79">
        <v>0</v>
      </c>
      <c r="L2733" s="70">
        <v>39.29</v>
      </c>
      <c r="M2733" s="132"/>
      <c r="N2733" s="79">
        <v>11.35</v>
      </c>
      <c r="O2733" s="79">
        <v>27.939999999999998</v>
      </c>
      <c r="P2733" s="79">
        <v>39.29</v>
      </c>
      <c r="Q2733" s="136"/>
      <c r="R2733" s="79">
        <v>11.35</v>
      </c>
      <c r="S2733" s="79">
        <v>27.92</v>
      </c>
      <c r="T2733" s="79">
        <v>39.270000000000003</v>
      </c>
      <c r="U2733" s="79">
        <v>0</v>
      </c>
      <c r="V2733" s="189">
        <v>39.270000000000003</v>
      </c>
      <c r="X2733" s="79">
        <v>11.35</v>
      </c>
      <c r="Y2733" s="79">
        <v>27.92</v>
      </c>
      <c r="Z2733" s="79">
        <v>39.270000000000003</v>
      </c>
      <c r="AA2733" s="255">
        <v>1.9999999999996021E-2</v>
      </c>
      <c r="AC2733" s="254"/>
    </row>
    <row r="2734" spans="1:29" ht="24">
      <c r="A2734" s="67" t="s">
        <v>15800</v>
      </c>
      <c r="B2734" s="65" t="s">
        <v>15801</v>
      </c>
      <c r="C2734" s="71" t="s">
        <v>103</v>
      </c>
      <c r="D2734" s="78">
        <v>1</v>
      </c>
      <c r="E2734" s="79">
        <v>51.94</v>
      </c>
      <c r="F2734" s="70">
        <v>51.94</v>
      </c>
      <c r="G2734" s="320"/>
      <c r="H2734" s="79">
        <v>24</v>
      </c>
      <c r="I2734" s="79">
        <v>27.939999999999998</v>
      </c>
      <c r="J2734" s="79">
        <v>51.94</v>
      </c>
      <c r="K2734" s="79">
        <v>0</v>
      </c>
      <c r="L2734" s="70">
        <v>51.94</v>
      </c>
      <c r="M2734" s="132"/>
      <c r="N2734" s="79">
        <v>24</v>
      </c>
      <c r="O2734" s="79">
        <v>27.939999999999998</v>
      </c>
      <c r="P2734" s="79">
        <v>51.94</v>
      </c>
      <c r="Q2734" s="136"/>
      <c r="R2734" s="79">
        <v>24</v>
      </c>
      <c r="S2734" s="79">
        <v>27.92</v>
      </c>
      <c r="T2734" s="79">
        <v>51.92</v>
      </c>
      <c r="U2734" s="79">
        <v>0</v>
      </c>
      <c r="V2734" s="189">
        <v>51.92</v>
      </c>
      <c r="X2734" s="79">
        <v>24</v>
      </c>
      <c r="Y2734" s="79">
        <v>27.92</v>
      </c>
      <c r="Z2734" s="79">
        <v>51.92</v>
      </c>
      <c r="AA2734" s="255">
        <v>1.9999999999996021E-2</v>
      </c>
      <c r="AC2734" s="254"/>
    </row>
    <row r="2735" spans="1:29" ht="24">
      <c r="A2735" s="67" t="s">
        <v>15802</v>
      </c>
      <c r="B2735" s="65" t="s">
        <v>15803</v>
      </c>
      <c r="C2735" s="71" t="s">
        <v>103</v>
      </c>
      <c r="D2735" s="78">
        <v>1</v>
      </c>
      <c r="E2735" s="79">
        <v>49.98</v>
      </c>
      <c r="F2735" s="70">
        <v>49.98</v>
      </c>
      <c r="G2735" s="320"/>
      <c r="H2735" s="79">
        <v>22.04</v>
      </c>
      <c r="I2735" s="79">
        <v>27.939999999999998</v>
      </c>
      <c r="J2735" s="79">
        <v>49.98</v>
      </c>
      <c r="K2735" s="79">
        <v>0</v>
      </c>
      <c r="L2735" s="70">
        <v>49.98</v>
      </c>
      <c r="M2735" s="132"/>
      <c r="N2735" s="79">
        <v>22.04</v>
      </c>
      <c r="O2735" s="79">
        <v>27.939999999999998</v>
      </c>
      <c r="P2735" s="79">
        <v>49.98</v>
      </c>
      <c r="Q2735" s="136"/>
      <c r="R2735" s="79">
        <v>22.04</v>
      </c>
      <c r="S2735" s="79">
        <v>27.92</v>
      </c>
      <c r="T2735" s="79">
        <v>49.96</v>
      </c>
      <c r="U2735" s="79">
        <v>0</v>
      </c>
      <c r="V2735" s="189">
        <v>49.96</v>
      </c>
      <c r="X2735" s="79">
        <v>22.04</v>
      </c>
      <c r="Y2735" s="79">
        <v>27.92</v>
      </c>
      <c r="Z2735" s="79">
        <v>49.96</v>
      </c>
      <c r="AA2735" s="255">
        <v>1.9999999999996021E-2</v>
      </c>
      <c r="AC2735" s="254"/>
    </row>
    <row r="2736" spans="1:29" ht="24">
      <c r="A2736" s="67" t="s">
        <v>15804</v>
      </c>
      <c r="B2736" s="65" t="s">
        <v>15805</v>
      </c>
      <c r="C2736" s="71" t="s">
        <v>103</v>
      </c>
      <c r="D2736" s="78">
        <v>1</v>
      </c>
      <c r="E2736" s="79">
        <v>49.95</v>
      </c>
      <c r="F2736" s="70">
        <v>49.95</v>
      </c>
      <c r="G2736" s="320"/>
      <c r="H2736" s="79">
        <v>22.009999999999998</v>
      </c>
      <c r="I2736" s="79">
        <v>27.939999999999998</v>
      </c>
      <c r="J2736" s="79">
        <v>49.949999999999996</v>
      </c>
      <c r="K2736" s="79">
        <v>0</v>
      </c>
      <c r="L2736" s="70">
        <v>49.949999999999996</v>
      </c>
      <c r="M2736" s="132"/>
      <c r="N2736" s="79">
        <v>22.009999999999998</v>
      </c>
      <c r="O2736" s="79">
        <v>27.939999999999998</v>
      </c>
      <c r="P2736" s="79">
        <v>49.949999999999996</v>
      </c>
      <c r="Q2736" s="136"/>
      <c r="R2736" s="79">
        <v>22.01</v>
      </c>
      <c r="S2736" s="79">
        <v>27.92</v>
      </c>
      <c r="T2736" s="79">
        <v>49.930000000000007</v>
      </c>
      <c r="U2736" s="79">
        <v>0</v>
      </c>
      <c r="V2736" s="189">
        <v>49.930000000000007</v>
      </c>
      <c r="X2736" s="79">
        <v>22.01</v>
      </c>
      <c r="Y2736" s="79">
        <v>27.92</v>
      </c>
      <c r="Z2736" s="79">
        <v>49.93</v>
      </c>
      <c r="AA2736" s="255">
        <v>2.0000000000003126E-2</v>
      </c>
      <c r="AC2736" s="254"/>
    </row>
    <row r="2737" spans="1:31" ht="24">
      <c r="A2737" s="67" t="s">
        <v>15806</v>
      </c>
      <c r="B2737" s="65" t="s">
        <v>15807</v>
      </c>
      <c r="C2737" s="71" t="s">
        <v>103</v>
      </c>
      <c r="D2737" s="78">
        <v>1</v>
      </c>
      <c r="E2737" s="79">
        <v>39.64</v>
      </c>
      <c r="F2737" s="70">
        <v>39.64</v>
      </c>
      <c r="G2737" s="320"/>
      <c r="H2737" s="79">
        <v>11.7</v>
      </c>
      <c r="I2737" s="79">
        <v>27.939999999999998</v>
      </c>
      <c r="J2737" s="79">
        <v>39.64</v>
      </c>
      <c r="K2737" s="79">
        <v>0</v>
      </c>
      <c r="L2737" s="70">
        <v>39.64</v>
      </c>
      <c r="M2737" s="132"/>
      <c r="N2737" s="79">
        <v>11.7</v>
      </c>
      <c r="O2737" s="79">
        <v>27.939999999999998</v>
      </c>
      <c r="P2737" s="79">
        <v>39.64</v>
      </c>
      <c r="Q2737" s="136"/>
      <c r="R2737" s="79">
        <v>11.7</v>
      </c>
      <c r="S2737" s="79">
        <v>27.92</v>
      </c>
      <c r="T2737" s="79">
        <v>39.620000000000005</v>
      </c>
      <c r="U2737" s="79">
        <v>0</v>
      </c>
      <c r="V2737" s="189">
        <v>39.620000000000005</v>
      </c>
      <c r="X2737" s="79">
        <v>11.7</v>
      </c>
      <c r="Y2737" s="79">
        <v>27.92</v>
      </c>
      <c r="Z2737" s="79">
        <v>39.619999999999997</v>
      </c>
      <c r="AA2737" s="255">
        <v>2.0000000000003126E-2</v>
      </c>
      <c r="AC2737" s="254"/>
    </row>
    <row r="2738" spans="1:31" ht="12">
      <c r="A2738" s="67" t="s">
        <v>15808</v>
      </c>
      <c r="B2738" s="65" t="s">
        <v>15809</v>
      </c>
      <c r="C2738" s="71" t="s">
        <v>103</v>
      </c>
      <c r="D2738" s="78">
        <v>1</v>
      </c>
      <c r="E2738" s="79">
        <v>39.160000000000004</v>
      </c>
      <c r="F2738" s="70">
        <v>39.159999999999997</v>
      </c>
      <c r="G2738" s="320"/>
      <c r="H2738" s="79">
        <v>11.219999999999999</v>
      </c>
      <c r="I2738" s="79">
        <v>27.939999999999998</v>
      </c>
      <c r="J2738" s="79">
        <v>39.159999999999997</v>
      </c>
      <c r="K2738" s="79">
        <v>0</v>
      </c>
      <c r="L2738" s="70">
        <v>39.159999999999997</v>
      </c>
      <c r="M2738" s="132"/>
      <c r="N2738" s="79">
        <v>11.219999999999999</v>
      </c>
      <c r="O2738" s="79">
        <v>27.939999999999998</v>
      </c>
      <c r="P2738" s="79">
        <v>39.159999999999997</v>
      </c>
      <c r="Q2738" s="136"/>
      <c r="R2738" s="79">
        <v>11.22</v>
      </c>
      <c r="S2738" s="79">
        <v>27.92</v>
      </c>
      <c r="T2738" s="79">
        <v>39.14</v>
      </c>
      <c r="U2738" s="79">
        <v>0</v>
      </c>
      <c r="V2738" s="189">
        <v>39.14</v>
      </c>
      <c r="X2738" s="79">
        <v>11.22</v>
      </c>
      <c r="Y2738" s="79">
        <v>27.92</v>
      </c>
      <c r="Z2738" s="79">
        <v>39.14</v>
      </c>
      <c r="AA2738" s="255">
        <v>1.9999999999996021E-2</v>
      </c>
      <c r="AC2738" s="254"/>
    </row>
    <row r="2739" spans="1:31" ht="12">
      <c r="A2739" s="67" t="s">
        <v>15810</v>
      </c>
      <c r="B2739" s="65" t="s">
        <v>15811</v>
      </c>
      <c r="C2739" s="71" t="s">
        <v>103</v>
      </c>
      <c r="D2739" s="78">
        <v>1</v>
      </c>
      <c r="E2739" s="79">
        <v>49.21</v>
      </c>
      <c r="F2739" s="70">
        <v>49.21</v>
      </c>
      <c r="G2739" s="320"/>
      <c r="H2739" s="79">
        <v>21.27</v>
      </c>
      <c r="I2739" s="79">
        <v>27.939999999999998</v>
      </c>
      <c r="J2739" s="79">
        <v>49.209999999999994</v>
      </c>
      <c r="K2739" s="79">
        <v>0</v>
      </c>
      <c r="L2739" s="70">
        <v>49.209999999999994</v>
      </c>
      <c r="M2739" s="132"/>
      <c r="N2739" s="79">
        <v>21.27</v>
      </c>
      <c r="O2739" s="79">
        <v>27.939999999999998</v>
      </c>
      <c r="P2739" s="79">
        <v>49.209999999999994</v>
      </c>
      <c r="Q2739" s="136"/>
      <c r="R2739" s="79">
        <v>21.27</v>
      </c>
      <c r="S2739" s="79">
        <v>27.92</v>
      </c>
      <c r="T2739" s="79">
        <v>49.19</v>
      </c>
      <c r="U2739" s="79">
        <v>0</v>
      </c>
      <c r="V2739" s="189">
        <v>49.19</v>
      </c>
      <c r="X2739" s="79">
        <v>21.27</v>
      </c>
      <c r="Y2739" s="79">
        <v>27.92</v>
      </c>
      <c r="Z2739" s="79">
        <v>49.19</v>
      </c>
      <c r="AA2739" s="255">
        <v>2.0000000000003126E-2</v>
      </c>
      <c r="AC2739" s="254"/>
    </row>
    <row r="2740" spans="1:31" ht="12">
      <c r="A2740" s="489" t="s">
        <v>15812</v>
      </c>
      <c r="B2740" s="490" t="s">
        <v>15813</v>
      </c>
      <c r="C2740" s="491"/>
      <c r="D2740" s="492"/>
      <c r="E2740" s="79"/>
      <c r="F2740" s="63"/>
      <c r="G2740" s="320"/>
      <c r="H2740" s="79"/>
      <c r="I2740" s="79"/>
      <c r="J2740" s="79"/>
      <c r="K2740" s="79"/>
      <c r="L2740" s="70"/>
      <c r="M2740" s="132"/>
      <c r="N2740" s="79"/>
      <c r="O2740" s="79"/>
      <c r="P2740" s="79"/>
      <c r="Q2740" s="136"/>
      <c r="R2740" s="79"/>
      <c r="S2740" s="79"/>
      <c r="T2740" s="79"/>
      <c r="U2740" s="79"/>
      <c r="V2740" s="189"/>
      <c r="X2740" s="79"/>
      <c r="Y2740" s="79"/>
      <c r="Z2740" s="79"/>
      <c r="AA2740" s="255"/>
      <c r="AC2740" s="254"/>
      <c r="AD2740" s="61"/>
      <c r="AE2740" s="61"/>
    </row>
    <row r="2741" spans="1:31" ht="12">
      <c r="A2741" s="489" t="s">
        <v>15814</v>
      </c>
      <c r="B2741" s="490" t="s">
        <v>15815</v>
      </c>
      <c r="C2741" s="491"/>
      <c r="D2741" s="492"/>
      <c r="E2741" s="79"/>
      <c r="F2741" s="63"/>
      <c r="G2741" s="320"/>
      <c r="H2741" s="79"/>
      <c r="I2741" s="79"/>
      <c r="J2741" s="79"/>
      <c r="K2741" s="79"/>
      <c r="L2741" s="70"/>
      <c r="M2741" s="132"/>
      <c r="N2741" s="79"/>
      <c r="O2741" s="79"/>
      <c r="P2741" s="79"/>
      <c r="Q2741" s="136"/>
      <c r="R2741" s="79"/>
      <c r="S2741" s="79"/>
      <c r="T2741" s="79"/>
      <c r="U2741" s="79"/>
      <c r="V2741" s="189"/>
      <c r="X2741" s="79"/>
      <c r="Y2741" s="79"/>
      <c r="Z2741" s="79"/>
      <c r="AA2741" s="255"/>
      <c r="AC2741" s="254"/>
    </row>
    <row r="2742" spans="1:31" s="61" customFormat="1" ht="24">
      <c r="A2742" s="67" t="s">
        <v>15816</v>
      </c>
      <c r="B2742" s="65" t="s">
        <v>15817</v>
      </c>
      <c r="C2742" s="71" t="s">
        <v>103</v>
      </c>
      <c r="D2742" s="78">
        <v>1</v>
      </c>
      <c r="E2742" s="79">
        <v>1496.69</v>
      </c>
      <c r="F2742" s="70">
        <v>1496.69</v>
      </c>
      <c r="G2742" s="320"/>
      <c r="H2742" s="79">
        <v>1418.1599999999999</v>
      </c>
      <c r="I2742" s="79">
        <v>78.53</v>
      </c>
      <c r="J2742" s="79">
        <v>1496.6899999999998</v>
      </c>
      <c r="K2742" s="79">
        <v>0</v>
      </c>
      <c r="L2742" s="70">
        <v>1496.6899999999998</v>
      </c>
      <c r="M2742" s="132"/>
      <c r="N2742" s="79">
        <v>1418.1599999999999</v>
      </c>
      <c r="O2742" s="79">
        <v>78.53</v>
      </c>
      <c r="P2742" s="79">
        <v>1496.6899999999998</v>
      </c>
      <c r="Q2742" s="136"/>
      <c r="R2742" s="79">
        <v>1418.16</v>
      </c>
      <c r="S2742" s="79">
        <v>78.540000000000006</v>
      </c>
      <c r="T2742" s="79">
        <v>1496.7</v>
      </c>
      <c r="U2742" s="79">
        <v>0</v>
      </c>
      <c r="V2742" s="189">
        <v>1496.7</v>
      </c>
      <c r="X2742" s="79">
        <v>1418.16</v>
      </c>
      <c r="Y2742" s="79">
        <v>78.540000000000006</v>
      </c>
      <c r="Z2742" s="79">
        <v>1496.7</v>
      </c>
      <c r="AA2742" s="498">
        <v>-9.9999999999909051E-3</v>
      </c>
      <c r="AC2742" s="254"/>
      <c r="AD2742" s="236"/>
      <c r="AE2742" s="236"/>
    </row>
    <row r="2743" spans="1:31" ht="24">
      <c r="A2743" s="67" t="s">
        <v>15818</v>
      </c>
      <c r="B2743" s="65" t="s">
        <v>15819</v>
      </c>
      <c r="C2743" s="71" t="s">
        <v>103</v>
      </c>
      <c r="D2743" s="78">
        <v>1</v>
      </c>
      <c r="E2743" s="79">
        <v>1757.3100000000002</v>
      </c>
      <c r="F2743" s="70">
        <v>1757.31</v>
      </c>
      <c r="G2743" s="320"/>
      <c r="H2743" s="79">
        <v>1678.78</v>
      </c>
      <c r="I2743" s="79">
        <v>78.53</v>
      </c>
      <c r="J2743" s="79">
        <v>1757.31</v>
      </c>
      <c r="K2743" s="79">
        <v>0</v>
      </c>
      <c r="L2743" s="70">
        <v>1757.31</v>
      </c>
      <c r="M2743" s="132"/>
      <c r="N2743" s="79">
        <v>1678.78</v>
      </c>
      <c r="O2743" s="79">
        <v>78.53</v>
      </c>
      <c r="P2743" s="79">
        <v>1757.31</v>
      </c>
      <c r="Q2743" s="136"/>
      <c r="R2743" s="79">
        <v>1678.78</v>
      </c>
      <c r="S2743" s="79">
        <v>78.540000000000006</v>
      </c>
      <c r="T2743" s="79">
        <v>1757.32</v>
      </c>
      <c r="U2743" s="79">
        <v>0</v>
      </c>
      <c r="V2743" s="189">
        <v>1757.32</v>
      </c>
      <c r="X2743" s="79">
        <v>1678.78</v>
      </c>
      <c r="Y2743" s="79">
        <v>78.540000000000006</v>
      </c>
      <c r="Z2743" s="79">
        <v>1757.32</v>
      </c>
      <c r="AA2743" s="498">
        <v>-9.9999999999909051E-3</v>
      </c>
      <c r="AC2743" s="254"/>
      <c r="AD2743" s="61"/>
      <c r="AE2743" s="61"/>
    </row>
    <row r="2744" spans="1:31" ht="12">
      <c r="A2744" s="489" t="s">
        <v>15820</v>
      </c>
      <c r="B2744" s="490" t="s">
        <v>15821</v>
      </c>
      <c r="C2744" s="491"/>
      <c r="D2744" s="492"/>
      <c r="E2744" s="79"/>
      <c r="F2744" s="63"/>
      <c r="G2744" s="320"/>
      <c r="H2744" s="79"/>
      <c r="I2744" s="79"/>
      <c r="J2744" s="79"/>
      <c r="K2744" s="79"/>
      <c r="L2744" s="70"/>
      <c r="M2744" s="132"/>
      <c r="N2744" s="79"/>
      <c r="O2744" s="79"/>
      <c r="P2744" s="79"/>
      <c r="Q2744" s="136"/>
      <c r="R2744" s="79"/>
      <c r="S2744" s="79"/>
      <c r="T2744" s="79"/>
      <c r="U2744" s="79"/>
      <c r="V2744" s="189"/>
      <c r="X2744" s="79"/>
      <c r="Y2744" s="79"/>
      <c r="Z2744" s="79"/>
      <c r="AA2744" s="255"/>
      <c r="AC2744" s="254"/>
    </row>
    <row r="2745" spans="1:31" s="61" customFormat="1" ht="12">
      <c r="A2745" s="67" t="s">
        <v>15822</v>
      </c>
      <c r="B2745" s="65" t="s">
        <v>15823</v>
      </c>
      <c r="C2745" s="71" t="s">
        <v>103</v>
      </c>
      <c r="D2745" s="78">
        <v>1</v>
      </c>
      <c r="E2745" s="79">
        <v>53.870000000000005</v>
      </c>
      <c r="F2745" s="70">
        <v>53.87</v>
      </c>
      <c r="G2745" s="320"/>
      <c r="H2745" s="79">
        <v>25.93</v>
      </c>
      <c r="I2745" s="79">
        <v>27.939999999999998</v>
      </c>
      <c r="J2745" s="79">
        <v>53.87</v>
      </c>
      <c r="K2745" s="79">
        <v>0</v>
      </c>
      <c r="L2745" s="70">
        <v>53.87</v>
      </c>
      <c r="M2745" s="132"/>
      <c r="N2745" s="79">
        <v>25.93</v>
      </c>
      <c r="O2745" s="79">
        <v>27.939999999999998</v>
      </c>
      <c r="P2745" s="79">
        <v>53.87</v>
      </c>
      <c r="Q2745" s="136"/>
      <c r="R2745" s="79">
        <v>25.93</v>
      </c>
      <c r="S2745" s="79">
        <v>27.92</v>
      </c>
      <c r="T2745" s="79">
        <v>53.85</v>
      </c>
      <c r="U2745" s="79">
        <v>0</v>
      </c>
      <c r="V2745" s="189">
        <v>53.85</v>
      </c>
      <c r="X2745" s="79">
        <v>25.93</v>
      </c>
      <c r="Y2745" s="79">
        <v>27.92</v>
      </c>
      <c r="Z2745" s="79">
        <v>53.85</v>
      </c>
      <c r="AA2745" s="255">
        <v>1.9999999999996021E-2</v>
      </c>
      <c r="AC2745" s="254"/>
      <c r="AD2745" s="236"/>
      <c r="AE2745" s="236"/>
    </row>
    <row r="2746" spans="1:31" ht="12">
      <c r="A2746" s="67" t="s">
        <v>15824</v>
      </c>
      <c r="B2746" s="65" t="s">
        <v>15825</v>
      </c>
      <c r="C2746" s="71" t="s">
        <v>103</v>
      </c>
      <c r="D2746" s="78">
        <v>1</v>
      </c>
      <c r="E2746" s="79">
        <v>1307.23</v>
      </c>
      <c r="F2746" s="70">
        <v>1307.23</v>
      </c>
      <c r="G2746" s="320"/>
      <c r="H2746" s="79">
        <v>1254.21</v>
      </c>
      <c r="I2746" s="79">
        <v>53.019999999999996</v>
      </c>
      <c r="J2746" s="79">
        <v>1307.23</v>
      </c>
      <c r="K2746" s="79">
        <v>0</v>
      </c>
      <c r="L2746" s="70">
        <v>1307.23</v>
      </c>
      <c r="M2746" s="132"/>
      <c r="N2746" s="79">
        <v>1254.21</v>
      </c>
      <c r="O2746" s="79">
        <v>53.019999999999996</v>
      </c>
      <c r="P2746" s="79">
        <v>1307.23</v>
      </c>
      <c r="Q2746" s="136"/>
      <c r="R2746" s="79">
        <v>1254.21</v>
      </c>
      <c r="S2746" s="79">
        <v>53.03</v>
      </c>
      <c r="T2746" s="79">
        <v>1307.24</v>
      </c>
      <c r="U2746" s="79">
        <v>0</v>
      </c>
      <c r="V2746" s="189">
        <v>1307.24</v>
      </c>
      <c r="X2746" s="79">
        <v>1254.21</v>
      </c>
      <c r="Y2746" s="79">
        <v>53.03</v>
      </c>
      <c r="Z2746" s="79">
        <v>1307.24</v>
      </c>
      <c r="AA2746" s="255">
        <v>-9.9999999999909051E-3</v>
      </c>
      <c r="AC2746" s="254"/>
    </row>
    <row r="2747" spans="1:31" ht="12">
      <c r="A2747" s="67" t="s">
        <v>15826</v>
      </c>
      <c r="B2747" s="65" t="s">
        <v>15827</v>
      </c>
      <c r="C2747" s="71" t="s">
        <v>103</v>
      </c>
      <c r="D2747" s="78">
        <v>1</v>
      </c>
      <c r="E2747" s="79">
        <v>367.25</v>
      </c>
      <c r="F2747" s="70">
        <v>367.25</v>
      </c>
      <c r="G2747" s="320"/>
      <c r="H2747" s="79">
        <v>322.75</v>
      </c>
      <c r="I2747" s="79">
        <v>44.5</v>
      </c>
      <c r="J2747" s="79">
        <v>367.25</v>
      </c>
      <c r="K2747" s="79">
        <v>0</v>
      </c>
      <c r="L2747" s="70">
        <v>367.25</v>
      </c>
      <c r="M2747" s="132"/>
      <c r="N2747" s="79">
        <v>322.75</v>
      </c>
      <c r="O2747" s="79">
        <v>44.5</v>
      </c>
      <c r="P2747" s="79">
        <v>367.25</v>
      </c>
      <c r="Q2747" s="136"/>
      <c r="R2747" s="79">
        <v>322.75</v>
      </c>
      <c r="S2747" s="79">
        <v>44.48</v>
      </c>
      <c r="T2747" s="79">
        <v>367.23</v>
      </c>
      <c r="U2747" s="79">
        <v>0</v>
      </c>
      <c r="V2747" s="189">
        <v>367.23</v>
      </c>
      <c r="X2747" s="79">
        <v>322.75</v>
      </c>
      <c r="Y2747" s="79">
        <v>44.48</v>
      </c>
      <c r="Z2747" s="79">
        <v>367.23</v>
      </c>
      <c r="AA2747" s="255">
        <v>1.999999999998181E-2</v>
      </c>
      <c r="AC2747" s="254"/>
    </row>
    <row r="2748" spans="1:31" ht="12">
      <c r="A2748" s="67" t="s">
        <v>15828</v>
      </c>
      <c r="B2748" s="65" t="s">
        <v>15829</v>
      </c>
      <c r="C2748" s="71" t="s">
        <v>103</v>
      </c>
      <c r="D2748" s="78">
        <v>1</v>
      </c>
      <c r="E2748" s="79">
        <v>196.87</v>
      </c>
      <c r="F2748" s="70">
        <v>196.87</v>
      </c>
      <c r="G2748" s="320"/>
      <c r="H2748" s="79">
        <v>168.93</v>
      </c>
      <c r="I2748" s="79">
        <v>27.939999999999998</v>
      </c>
      <c r="J2748" s="79">
        <v>196.87</v>
      </c>
      <c r="K2748" s="79">
        <v>0</v>
      </c>
      <c r="L2748" s="70">
        <v>196.87</v>
      </c>
      <c r="M2748" s="132"/>
      <c r="N2748" s="78">
        <v>168.93</v>
      </c>
      <c r="O2748" s="78">
        <v>27.939999999999998</v>
      </c>
      <c r="P2748" s="79">
        <v>196.87</v>
      </c>
      <c r="Q2748" s="136"/>
      <c r="R2748" s="79">
        <v>168.93</v>
      </c>
      <c r="S2748" s="79">
        <v>27.92</v>
      </c>
      <c r="T2748" s="79">
        <v>196.85000000000002</v>
      </c>
      <c r="U2748" s="79">
        <v>0</v>
      </c>
      <c r="V2748" s="189">
        <v>196.85000000000002</v>
      </c>
      <c r="X2748" s="78">
        <v>168.93</v>
      </c>
      <c r="Y2748" s="78">
        <v>27.92</v>
      </c>
      <c r="Z2748" s="79">
        <v>196.85</v>
      </c>
      <c r="AA2748" s="255">
        <v>2.0000000000010232E-2</v>
      </c>
      <c r="AC2748" s="254"/>
      <c r="AD2748" s="61"/>
      <c r="AE2748" s="61"/>
    </row>
    <row r="2749" spans="1:31" ht="12">
      <c r="A2749" s="67" t="s">
        <v>15830</v>
      </c>
      <c r="B2749" s="65" t="s">
        <v>15831</v>
      </c>
      <c r="C2749" s="71" t="s">
        <v>103</v>
      </c>
      <c r="D2749" s="78">
        <v>1</v>
      </c>
      <c r="E2749" s="79">
        <v>49.66</v>
      </c>
      <c r="F2749" s="70">
        <v>49.66</v>
      </c>
      <c r="G2749" s="320"/>
      <c r="H2749" s="79">
        <v>16.059999999999999</v>
      </c>
      <c r="I2749" s="79">
        <v>33.599999999999994</v>
      </c>
      <c r="J2749" s="79">
        <v>49.66</v>
      </c>
      <c r="K2749" s="79">
        <v>0</v>
      </c>
      <c r="L2749" s="70">
        <v>49.66</v>
      </c>
      <c r="M2749" s="132"/>
      <c r="N2749" s="79">
        <v>16.059999999999999</v>
      </c>
      <c r="O2749" s="79">
        <v>33.599999999999994</v>
      </c>
      <c r="P2749" s="79">
        <v>49.66</v>
      </c>
      <c r="Q2749" s="136"/>
      <c r="R2749" s="79">
        <v>16.059999999999999</v>
      </c>
      <c r="S2749" s="79">
        <v>33.590000000000003</v>
      </c>
      <c r="T2749" s="79">
        <v>49.650000000000006</v>
      </c>
      <c r="U2749" s="79">
        <v>0</v>
      </c>
      <c r="V2749" s="189">
        <v>49.650000000000006</v>
      </c>
      <c r="X2749" s="79">
        <v>16.059999999999999</v>
      </c>
      <c r="Y2749" s="79">
        <v>33.590000000000003</v>
      </c>
      <c r="Z2749" s="79">
        <v>49.65</v>
      </c>
      <c r="AA2749" s="255">
        <v>9.9999999999980105E-3</v>
      </c>
      <c r="AC2749" s="254"/>
      <c r="AD2749" s="61"/>
      <c r="AE2749" s="61"/>
    </row>
    <row r="2750" spans="1:31" s="61" customFormat="1" ht="12">
      <c r="A2750" s="67" t="s">
        <v>15832</v>
      </c>
      <c r="B2750" s="65" t="s">
        <v>15833</v>
      </c>
      <c r="C2750" s="71" t="s">
        <v>103</v>
      </c>
      <c r="D2750" s="78">
        <v>1</v>
      </c>
      <c r="E2750" s="79">
        <v>140.76</v>
      </c>
      <c r="F2750" s="70">
        <v>140.76</v>
      </c>
      <c r="G2750" s="320"/>
      <c r="H2750" s="79">
        <v>96.26</v>
      </c>
      <c r="I2750" s="79">
        <v>44.5</v>
      </c>
      <c r="J2750" s="79">
        <v>140.76</v>
      </c>
      <c r="K2750" s="79">
        <v>0</v>
      </c>
      <c r="L2750" s="70">
        <v>140.76</v>
      </c>
      <c r="M2750" s="132"/>
      <c r="N2750" s="79">
        <v>96.26</v>
      </c>
      <c r="O2750" s="79">
        <v>44.5</v>
      </c>
      <c r="P2750" s="79">
        <v>140.76</v>
      </c>
      <c r="Q2750" s="136"/>
      <c r="R2750" s="79">
        <v>96.26</v>
      </c>
      <c r="S2750" s="79">
        <v>44.48</v>
      </c>
      <c r="T2750" s="79">
        <v>140.74</v>
      </c>
      <c r="U2750" s="79">
        <v>0</v>
      </c>
      <c r="V2750" s="189">
        <v>140.74</v>
      </c>
      <c r="X2750" s="79">
        <v>96.26</v>
      </c>
      <c r="Y2750" s="79">
        <v>44.48</v>
      </c>
      <c r="Z2750" s="79">
        <v>140.74</v>
      </c>
      <c r="AA2750" s="255">
        <v>1.999999999998181E-2</v>
      </c>
      <c r="AC2750" s="254"/>
    </row>
    <row r="2751" spans="1:31" s="61" customFormat="1" ht="24">
      <c r="A2751" s="67" t="s">
        <v>15834</v>
      </c>
      <c r="B2751" s="65" t="s">
        <v>15835</v>
      </c>
      <c r="C2751" s="71" t="s">
        <v>103</v>
      </c>
      <c r="D2751" s="78">
        <v>1</v>
      </c>
      <c r="E2751" s="79">
        <v>2225.6</v>
      </c>
      <c r="F2751" s="70">
        <v>2225.6</v>
      </c>
      <c r="G2751" s="320"/>
      <c r="H2751" s="79">
        <v>2113.9499999999998</v>
      </c>
      <c r="I2751" s="79">
        <v>111.65</v>
      </c>
      <c r="J2751" s="79">
        <v>2225.6</v>
      </c>
      <c r="K2751" s="79">
        <v>0</v>
      </c>
      <c r="L2751" s="70">
        <v>2225.6</v>
      </c>
      <c r="M2751" s="132"/>
      <c r="N2751" s="79">
        <v>2113.9499999999998</v>
      </c>
      <c r="O2751" s="79">
        <v>111.65</v>
      </c>
      <c r="P2751" s="79">
        <v>2225.6</v>
      </c>
      <c r="Q2751" s="136"/>
      <c r="R2751" s="79">
        <v>2113.9499999999998</v>
      </c>
      <c r="S2751" s="79">
        <v>111.66</v>
      </c>
      <c r="T2751" s="79">
        <v>2225.6099999999997</v>
      </c>
      <c r="U2751" s="79">
        <v>0</v>
      </c>
      <c r="V2751" s="189">
        <v>2225.6099999999997</v>
      </c>
      <c r="X2751" s="79">
        <v>2113.9499999999998</v>
      </c>
      <c r="Y2751" s="79">
        <v>111.66</v>
      </c>
      <c r="Z2751" s="79">
        <v>2225.61</v>
      </c>
      <c r="AA2751" s="255">
        <v>-1.0000000000218279E-2</v>
      </c>
      <c r="AC2751" s="254"/>
      <c r="AD2751" s="236"/>
      <c r="AE2751" s="236"/>
    </row>
    <row r="2752" spans="1:31" ht="12">
      <c r="A2752" s="67" t="s">
        <v>15836</v>
      </c>
      <c r="B2752" s="65" t="s">
        <v>15837</v>
      </c>
      <c r="C2752" s="71" t="s">
        <v>103</v>
      </c>
      <c r="D2752" s="78">
        <v>1</v>
      </c>
      <c r="E2752" s="79">
        <v>217.48999999999998</v>
      </c>
      <c r="F2752" s="70">
        <v>217.49</v>
      </c>
      <c r="G2752" s="320"/>
      <c r="H2752" s="79">
        <v>172.98999999999998</v>
      </c>
      <c r="I2752" s="79">
        <v>44.5</v>
      </c>
      <c r="J2752" s="79">
        <v>217.48999999999998</v>
      </c>
      <c r="K2752" s="79">
        <v>0</v>
      </c>
      <c r="L2752" s="70">
        <v>217.48999999999998</v>
      </c>
      <c r="M2752" s="132"/>
      <c r="N2752" s="79">
        <v>172.98999999999998</v>
      </c>
      <c r="O2752" s="79">
        <v>44.5</v>
      </c>
      <c r="P2752" s="79">
        <v>217.48999999999998</v>
      </c>
      <c r="Q2752" s="136"/>
      <c r="R2752" s="79">
        <v>172.99</v>
      </c>
      <c r="S2752" s="79">
        <v>44.48</v>
      </c>
      <c r="T2752" s="79">
        <v>217.47</v>
      </c>
      <c r="U2752" s="79">
        <v>0</v>
      </c>
      <c r="V2752" s="189">
        <v>217.47</v>
      </c>
      <c r="X2752" s="79">
        <v>172.99</v>
      </c>
      <c r="Y2752" s="79">
        <v>44.48</v>
      </c>
      <c r="Z2752" s="79">
        <v>217.47</v>
      </c>
      <c r="AA2752" s="255">
        <v>2.0000000000010232E-2</v>
      </c>
      <c r="AC2752" s="254"/>
    </row>
    <row r="2753" spans="1:31" ht="12">
      <c r="A2753" s="489" t="s">
        <v>15838</v>
      </c>
      <c r="B2753" s="490" t="s">
        <v>15839</v>
      </c>
      <c r="C2753" s="491"/>
      <c r="D2753" s="492"/>
      <c r="E2753" s="79"/>
      <c r="F2753" s="63"/>
      <c r="G2753" s="320"/>
      <c r="H2753" s="79"/>
      <c r="I2753" s="79"/>
      <c r="J2753" s="79"/>
      <c r="K2753" s="79"/>
      <c r="L2753" s="70"/>
      <c r="M2753" s="132"/>
      <c r="N2753" s="79"/>
      <c r="O2753" s="79"/>
      <c r="P2753" s="79"/>
      <c r="Q2753" s="136"/>
      <c r="R2753" s="79"/>
      <c r="S2753" s="79"/>
      <c r="T2753" s="79"/>
      <c r="U2753" s="79"/>
      <c r="V2753" s="189"/>
      <c r="X2753" s="79"/>
      <c r="Y2753" s="79"/>
      <c r="Z2753" s="79"/>
      <c r="AA2753" s="255"/>
      <c r="AC2753" s="254"/>
    </row>
    <row r="2754" spans="1:31" ht="12">
      <c r="A2754" s="67" t="s">
        <v>15840</v>
      </c>
      <c r="B2754" s="65" t="s">
        <v>15841</v>
      </c>
      <c r="C2754" s="71" t="s">
        <v>103</v>
      </c>
      <c r="D2754" s="78">
        <v>1</v>
      </c>
      <c r="E2754" s="79">
        <v>40789.990000000005</v>
      </c>
      <c r="F2754" s="70">
        <v>40789.99</v>
      </c>
      <c r="G2754" s="320"/>
      <c r="H2754" s="79">
        <v>40566.69</v>
      </c>
      <c r="I2754" s="79">
        <v>223.3</v>
      </c>
      <c r="J2754" s="79">
        <v>40789.990000000005</v>
      </c>
      <c r="K2754" s="79">
        <v>0</v>
      </c>
      <c r="L2754" s="70">
        <v>40789.990000000005</v>
      </c>
      <c r="M2754" s="132"/>
      <c r="N2754" s="79">
        <v>40566.69</v>
      </c>
      <c r="O2754" s="79">
        <v>223.3</v>
      </c>
      <c r="P2754" s="79">
        <v>40789.990000000005</v>
      </c>
      <c r="Q2754" s="136"/>
      <c r="R2754" s="79">
        <v>40566.69</v>
      </c>
      <c r="S2754" s="79">
        <v>223.32</v>
      </c>
      <c r="T2754" s="79">
        <v>40790.01</v>
      </c>
      <c r="U2754" s="79">
        <v>0</v>
      </c>
      <c r="V2754" s="189">
        <v>40790.01</v>
      </c>
      <c r="X2754" s="79">
        <v>40566.69</v>
      </c>
      <c r="Y2754" s="79">
        <v>223.32</v>
      </c>
      <c r="Z2754" s="79">
        <v>40790.01</v>
      </c>
      <c r="AA2754" s="255">
        <v>-2.0000000004074536E-2</v>
      </c>
      <c r="AC2754" s="254"/>
    </row>
    <row r="2755" spans="1:31" ht="12">
      <c r="A2755" s="67" t="s">
        <v>15842</v>
      </c>
      <c r="B2755" s="65" t="s">
        <v>15843</v>
      </c>
      <c r="C2755" s="71" t="s">
        <v>103</v>
      </c>
      <c r="D2755" s="78">
        <v>1</v>
      </c>
      <c r="E2755" s="79">
        <v>48989.84</v>
      </c>
      <c r="F2755" s="70">
        <v>48989.84</v>
      </c>
      <c r="G2755" s="320"/>
      <c r="H2755" s="79">
        <v>48738.6</v>
      </c>
      <c r="I2755" s="79">
        <v>251.24</v>
      </c>
      <c r="J2755" s="79">
        <v>48989.84</v>
      </c>
      <c r="K2755" s="79">
        <v>0</v>
      </c>
      <c r="L2755" s="70">
        <v>48989.84</v>
      </c>
      <c r="M2755" s="132"/>
      <c r="N2755" s="79">
        <v>48738.6</v>
      </c>
      <c r="O2755" s="79">
        <v>251.24</v>
      </c>
      <c r="P2755" s="79">
        <v>48989.84</v>
      </c>
      <c r="Q2755" s="136"/>
      <c r="R2755" s="79">
        <v>48738.6</v>
      </c>
      <c r="S2755" s="79">
        <v>251.24</v>
      </c>
      <c r="T2755" s="79">
        <v>48989.84</v>
      </c>
      <c r="U2755" s="79">
        <v>0</v>
      </c>
      <c r="V2755" s="189">
        <v>48989.84</v>
      </c>
      <c r="X2755" s="79">
        <v>48738.6</v>
      </c>
      <c r="Y2755" s="79">
        <v>251.24</v>
      </c>
      <c r="Z2755" s="79">
        <v>48989.84</v>
      </c>
      <c r="AA2755" s="255">
        <v>0</v>
      </c>
      <c r="AC2755" s="254"/>
    </row>
    <row r="2756" spans="1:31" ht="12">
      <c r="A2756" s="65" t="s">
        <v>15844</v>
      </c>
      <c r="B2756" s="65" t="s">
        <v>15845</v>
      </c>
      <c r="C2756" s="108" t="s">
        <v>103</v>
      </c>
      <c r="D2756" s="78">
        <v>1</v>
      </c>
      <c r="E2756" s="79">
        <v>870.58</v>
      </c>
      <c r="F2756" s="70">
        <v>870.58</v>
      </c>
      <c r="G2756" s="320"/>
      <c r="H2756" s="79">
        <v>591.45000000000005</v>
      </c>
      <c r="I2756" s="79">
        <v>279.13</v>
      </c>
      <c r="J2756" s="79">
        <v>870.58</v>
      </c>
      <c r="K2756" s="79">
        <v>0</v>
      </c>
      <c r="L2756" s="70">
        <v>870.58</v>
      </c>
      <c r="M2756" s="132"/>
      <c r="N2756" s="79">
        <v>591.45000000000005</v>
      </c>
      <c r="O2756" s="79">
        <v>279.13</v>
      </c>
      <c r="P2756" s="79">
        <v>870.58</v>
      </c>
      <c r="Q2756" s="136"/>
      <c r="R2756" s="79">
        <v>591.45000000000005</v>
      </c>
      <c r="S2756" s="79">
        <v>279.14999999999998</v>
      </c>
      <c r="T2756" s="79">
        <v>870.6</v>
      </c>
      <c r="U2756" s="79">
        <v>0</v>
      </c>
      <c r="V2756" s="189">
        <v>870.6</v>
      </c>
      <c r="X2756" s="506">
        <v>591.45000000000005</v>
      </c>
      <c r="Y2756" s="506">
        <v>279.14999999999998</v>
      </c>
      <c r="Z2756" s="506">
        <v>870.6</v>
      </c>
      <c r="AA2756" s="255">
        <v>-1.999999999998181E-2</v>
      </c>
      <c r="AC2756" s="254"/>
    </row>
    <row r="2757" spans="1:31" ht="24">
      <c r="A2757" s="67" t="s">
        <v>15846</v>
      </c>
      <c r="B2757" s="65" t="s">
        <v>15847</v>
      </c>
      <c r="C2757" s="71" t="s">
        <v>396</v>
      </c>
      <c r="D2757" s="78">
        <v>1</v>
      </c>
      <c r="E2757" s="79">
        <v>26352.979999999996</v>
      </c>
      <c r="F2757" s="70">
        <v>26352.98</v>
      </c>
      <c r="G2757" s="320"/>
      <c r="H2757" s="79">
        <v>20433.609999999997</v>
      </c>
      <c r="I2757" s="79">
        <v>5919.37</v>
      </c>
      <c r="J2757" s="79">
        <v>26352.979999999996</v>
      </c>
      <c r="K2757" s="79">
        <v>0</v>
      </c>
      <c r="L2757" s="70">
        <v>26352.979999999996</v>
      </c>
      <c r="M2757" s="132"/>
      <c r="N2757" s="79">
        <v>20433.609999999997</v>
      </c>
      <c r="O2757" s="79">
        <v>5919.37</v>
      </c>
      <c r="P2757" s="79">
        <v>26352.979999999996</v>
      </c>
      <c r="Q2757" s="136"/>
      <c r="R2757" s="79">
        <v>20433.61</v>
      </c>
      <c r="S2757" s="79">
        <v>5919.84</v>
      </c>
      <c r="T2757" s="79">
        <v>26353.45</v>
      </c>
      <c r="U2757" s="79">
        <v>0</v>
      </c>
      <c r="V2757" s="189">
        <v>26353.45</v>
      </c>
      <c r="X2757" s="79">
        <v>20433.61</v>
      </c>
      <c r="Y2757" s="79">
        <v>5919.84</v>
      </c>
      <c r="Z2757" s="79">
        <v>26353.45</v>
      </c>
      <c r="AA2757" s="255">
        <v>-0.47000000000116415</v>
      </c>
      <c r="AC2757" s="254"/>
    </row>
    <row r="2758" spans="1:31" ht="24">
      <c r="A2758" s="67" t="s">
        <v>41615</v>
      </c>
      <c r="B2758" s="65" t="s">
        <v>41616</v>
      </c>
      <c r="C2758" s="71" t="s">
        <v>396</v>
      </c>
      <c r="D2758" s="78">
        <v>1</v>
      </c>
      <c r="E2758" s="79">
        <v>6509.69</v>
      </c>
      <c r="F2758" s="70">
        <v>6509.69</v>
      </c>
      <c r="G2758" s="320"/>
      <c r="H2758" s="79">
        <v>6509.69</v>
      </c>
      <c r="I2758" s="79">
        <v>0</v>
      </c>
      <c r="J2758" s="79">
        <v>6509.69</v>
      </c>
      <c r="K2758" s="79">
        <v>0</v>
      </c>
      <c r="L2758" s="70">
        <v>6509.69</v>
      </c>
      <c r="M2758" s="132"/>
      <c r="N2758" s="79">
        <v>6509.69</v>
      </c>
      <c r="O2758" s="79">
        <v>0</v>
      </c>
      <c r="P2758" s="79">
        <v>6509.69</v>
      </c>
      <c r="Q2758" s="136"/>
      <c r="R2758" s="79">
        <v>12482.98</v>
      </c>
      <c r="S2758" s="79">
        <v>5262.05</v>
      </c>
      <c r="T2758" s="79">
        <v>17745.03</v>
      </c>
      <c r="U2758" s="79">
        <v>0</v>
      </c>
      <c r="V2758" s="189">
        <v>17745.03</v>
      </c>
      <c r="X2758" s="79">
        <v>12482.98</v>
      </c>
      <c r="Y2758" s="79">
        <v>5262.05</v>
      </c>
      <c r="Z2758" s="79">
        <v>17745.03</v>
      </c>
      <c r="AA2758" s="255"/>
      <c r="AC2758" s="254"/>
    </row>
    <row r="2759" spans="1:31" ht="12">
      <c r="A2759" s="67" t="s">
        <v>15848</v>
      </c>
      <c r="B2759" s="65" t="s">
        <v>15849</v>
      </c>
      <c r="C2759" s="71" t="s">
        <v>103</v>
      </c>
      <c r="D2759" s="78">
        <v>1</v>
      </c>
      <c r="E2759" s="79">
        <v>1341.21</v>
      </c>
      <c r="F2759" s="70">
        <v>1341.21</v>
      </c>
      <c r="G2759" s="320"/>
      <c r="H2759" s="79">
        <v>1283.31</v>
      </c>
      <c r="I2759" s="79">
        <v>57.900000000000006</v>
      </c>
      <c r="J2759" s="79">
        <v>1341.21</v>
      </c>
      <c r="K2759" s="79">
        <v>0</v>
      </c>
      <c r="L2759" s="70">
        <v>1341.21</v>
      </c>
      <c r="M2759" s="132"/>
      <c r="N2759" s="79">
        <v>1283.31</v>
      </c>
      <c r="O2759" s="79">
        <v>57.900000000000006</v>
      </c>
      <c r="P2759" s="79">
        <v>1341.21</v>
      </c>
      <c r="Q2759" s="136"/>
      <c r="R2759" s="79">
        <v>1283.31</v>
      </c>
      <c r="S2759" s="79">
        <v>57.92</v>
      </c>
      <c r="T2759" s="79">
        <v>1341.23</v>
      </c>
      <c r="U2759" s="79">
        <v>0</v>
      </c>
      <c r="V2759" s="189">
        <v>1341.23</v>
      </c>
      <c r="X2759" s="79">
        <v>1283.31</v>
      </c>
      <c r="Y2759" s="79">
        <v>57.92</v>
      </c>
      <c r="Z2759" s="79">
        <v>1341.23</v>
      </c>
      <c r="AA2759" s="255">
        <v>-1.999999999998181E-2</v>
      </c>
      <c r="AC2759" s="254"/>
    </row>
    <row r="2760" spans="1:31" ht="12">
      <c r="A2760" s="67" t="s">
        <v>15850</v>
      </c>
      <c r="B2760" s="65" t="s">
        <v>15851</v>
      </c>
      <c r="C2760" s="71" t="s">
        <v>103</v>
      </c>
      <c r="D2760" s="78">
        <v>1</v>
      </c>
      <c r="E2760" s="79">
        <v>1943.5500000000002</v>
      </c>
      <c r="F2760" s="70">
        <v>1943.55</v>
      </c>
      <c r="G2760" s="320"/>
      <c r="H2760" s="79">
        <v>1871.16</v>
      </c>
      <c r="I2760" s="79">
        <v>72.39</v>
      </c>
      <c r="J2760" s="79">
        <v>1943.5500000000002</v>
      </c>
      <c r="K2760" s="79">
        <v>0</v>
      </c>
      <c r="L2760" s="70">
        <v>1943.5500000000002</v>
      </c>
      <c r="M2760" s="132"/>
      <c r="N2760" s="79">
        <v>1871.16</v>
      </c>
      <c r="O2760" s="79">
        <v>72.39</v>
      </c>
      <c r="P2760" s="79">
        <v>1943.5500000000002</v>
      </c>
      <c r="Q2760" s="136"/>
      <c r="R2760" s="79">
        <v>1871.16</v>
      </c>
      <c r="S2760" s="79">
        <v>72.39</v>
      </c>
      <c r="T2760" s="79">
        <v>1943.5500000000002</v>
      </c>
      <c r="U2760" s="79">
        <v>0</v>
      </c>
      <c r="V2760" s="189">
        <v>1943.5500000000002</v>
      </c>
      <c r="X2760" s="79">
        <v>1871.16</v>
      </c>
      <c r="Y2760" s="79">
        <v>72.39</v>
      </c>
      <c r="Z2760" s="79">
        <v>1943.55</v>
      </c>
      <c r="AA2760" s="255">
        <v>0</v>
      </c>
      <c r="AC2760" s="254"/>
    </row>
    <row r="2761" spans="1:31" ht="12">
      <c r="A2761" s="67" t="s">
        <v>15852</v>
      </c>
      <c r="B2761" s="65" t="s">
        <v>15853</v>
      </c>
      <c r="C2761" s="71" t="s">
        <v>103</v>
      </c>
      <c r="D2761" s="78">
        <v>1</v>
      </c>
      <c r="E2761" s="79">
        <v>3438.4900000000002</v>
      </c>
      <c r="F2761" s="70">
        <v>3438.49</v>
      </c>
      <c r="G2761" s="320"/>
      <c r="H2761" s="79">
        <v>3359.96</v>
      </c>
      <c r="I2761" s="79">
        <v>78.53</v>
      </c>
      <c r="J2761" s="79">
        <v>3438.4900000000002</v>
      </c>
      <c r="K2761" s="79">
        <v>0</v>
      </c>
      <c r="L2761" s="70">
        <v>3438.4900000000002</v>
      </c>
      <c r="M2761" s="132"/>
      <c r="N2761" s="79">
        <v>3359.96</v>
      </c>
      <c r="O2761" s="79">
        <v>78.53</v>
      </c>
      <c r="P2761" s="79">
        <v>3438.4900000000002</v>
      </c>
      <c r="Q2761" s="136"/>
      <c r="R2761" s="79">
        <v>3359.96</v>
      </c>
      <c r="S2761" s="79">
        <v>78.540000000000006</v>
      </c>
      <c r="T2761" s="79">
        <v>3438.5</v>
      </c>
      <c r="U2761" s="79">
        <v>0</v>
      </c>
      <c r="V2761" s="189">
        <v>3438.5</v>
      </c>
      <c r="X2761" s="79">
        <v>3359.96</v>
      </c>
      <c r="Y2761" s="79">
        <v>78.540000000000006</v>
      </c>
      <c r="Z2761" s="79">
        <v>3438.5</v>
      </c>
      <c r="AA2761" s="255">
        <v>-1.0000000000218279E-2</v>
      </c>
      <c r="AC2761" s="254"/>
      <c r="AD2761" s="61"/>
      <c r="AE2761" s="61"/>
    </row>
    <row r="2762" spans="1:31" ht="12">
      <c r="A2762" s="489" t="s">
        <v>15854</v>
      </c>
      <c r="B2762" s="490" t="s">
        <v>15855</v>
      </c>
      <c r="C2762" s="491"/>
      <c r="D2762" s="492"/>
      <c r="E2762" s="79"/>
      <c r="F2762" s="63"/>
      <c r="G2762" s="320"/>
      <c r="H2762" s="79"/>
      <c r="I2762" s="79"/>
      <c r="J2762" s="79"/>
      <c r="K2762" s="79"/>
      <c r="L2762" s="70"/>
      <c r="M2762" s="132"/>
      <c r="N2762" s="79"/>
      <c r="O2762" s="79"/>
      <c r="P2762" s="79"/>
      <c r="Q2762" s="136"/>
      <c r="R2762" s="79"/>
      <c r="S2762" s="79"/>
      <c r="T2762" s="79"/>
      <c r="U2762" s="79"/>
      <c r="V2762" s="189"/>
      <c r="X2762" s="79"/>
      <c r="Y2762" s="79"/>
      <c r="Z2762" s="79"/>
      <c r="AA2762" s="255"/>
      <c r="AC2762" s="254"/>
    </row>
    <row r="2763" spans="1:31" s="61" customFormat="1" ht="12">
      <c r="A2763" s="67" t="s">
        <v>15856</v>
      </c>
      <c r="B2763" s="65" t="s">
        <v>15857</v>
      </c>
      <c r="C2763" s="71" t="s">
        <v>103</v>
      </c>
      <c r="D2763" s="78">
        <v>1</v>
      </c>
      <c r="E2763" s="79">
        <v>264.81</v>
      </c>
      <c r="F2763" s="70">
        <v>264.81</v>
      </c>
      <c r="G2763" s="320"/>
      <c r="H2763" s="79">
        <v>220.31</v>
      </c>
      <c r="I2763" s="79">
        <v>44.5</v>
      </c>
      <c r="J2763" s="79">
        <v>264.81</v>
      </c>
      <c r="K2763" s="79">
        <v>0</v>
      </c>
      <c r="L2763" s="70">
        <v>264.81</v>
      </c>
      <c r="M2763" s="132"/>
      <c r="N2763" s="79">
        <v>220.31</v>
      </c>
      <c r="O2763" s="79">
        <v>44.5</v>
      </c>
      <c r="P2763" s="79">
        <v>264.81</v>
      </c>
      <c r="Q2763" s="136"/>
      <c r="R2763" s="79">
        <v>220.31</v>
      </c>
      <c r="S2763" s="79">
        <v>44.48</v>
      </c>
      <c r="T2763" s="79">
        <v>264.79000000000002</v>
      </c>
      <c r="U2763" s="79">
        <v>0</v>
      </c>
      <c r="V2763" s="189">
        <v>264.79000000000002</v>
      </c>
      <c r="X2763" s="79">
        <v>220.31</v>
      </c>
      <c r="Y2763" s="79">
        <v>44.48</v>
      </c>
      <c r="Z2763" s="79">
        <v>264.79000000000002</v>
      </c>
      <c r="AA2763" s="255">
        <v>1.999999999998181E-2</v>
      </c>
      <c r="AC2763" s="254"/>
      <c r="AD2763" s="236"/>
      <c r="AE2763" s="236"/>
    </row>
    <row r="2764" spans="1:31" ht="12">
      <c r="A2764" s="489" t="s">
        <v>15858</v>
      </c>
      <c r="B2764" s="490" t="s">
        <v>15859</v>
      </c>
      <c r="C2764" s="491"/>
      <c r="D2764" s="492"/>
      <c r="E2764" s="79"/>
      <c r="F2764" s="63"/>
      <c r="G2764" s="320"/>
      <c r="H2764" s="79"/>
      <c r="I2764" s="79"/>
      <c r="J2764" s="79"/>
      <c r="K2764" s="79"/>
      <c r="L2764" s="70"/>
      <c r="M2764" s="132"/>
      <c r="N2764" s="79"/>
      <c r="O2764" s="79"/>
      <c r="P2764" s="79"/>
      <c r="Q2764" s="136"/>
      <c r="R2764" s="79"/>
      <c r="S2764" s="79"/>
      <c r="T2764" s="79"/>
      <c r="U2764" s="79"/>
      <c r="V2764" s="189"/>
      <c r="X2764" s="79"/>
      <c r="Y2764" s="79"/>
      <c r="Z2764" s="79"/>
      <c r="AA2764" s="255"/>
      <c r="AC2764" s="254"/>
      <c r="AD2764" s="69"/>
      <c r="AE2764" s="69"/>
    </row>
    <row r="2765" spans="1:31" ht="12">
      <c r="A2765" s="67" t="s">
        <v>15860</v>
      </c>
      <c r="B2765" s="65" t="s">
        <v>15861</v>
      </c>
      <c r="C2765" s="71" t="s">
        <v>103</v>
      </c>
      <c r="D2765" s="78">
        <v>1</v>
      </c>
      <c r="E2765" s="79">
        <v>464.2</v>
      </c>
      <c r="F2765" s="70">
        <v>464.2</v>
      </c>
      <c r="G2765" s="320"/>
      <c r="H2765" s="79">
        <v>408.37</v>
      </c>
      <c r="I2765" s="79">
        <v>55.83</v>
      </c>
      <c r="J2765" s="79">
        <v>464.2</v>
      </c>
      <c r="K2765" s="79">
        <v>0</v>
      </c>
      <c r="L2765" s="70">
        <v>464.2</v>
      </c>
      <c r="M2765" s="132"/>
      <c r="N2765" s="79">
        <v>408.37</v>
      </c>
      <c r="O2765" s="79">
        <v>55.83</v>
      </c>
      <c r="P2765" s="79">
        <v>464.2</v>
      </c>
      <c r="Q2765" s="136"/>
      <c r="R2765" s="79">
        <v>408.37</v>
      </c>
      <c r="S2765" s="79">
        <v>55.83</v>
      </c>
      <c r="T2765" s="79">
        <v>464.2</v>
      </c>
      <c r="U2765" s="79">
        <v>0</v>
      </c>
      <c r="V2765" s="189">
        <v>464.2</v>
      </c>
      <c r="X2765" s="79">
        <v>408.37</v>
      </c>
      <c r="Y2765" s="79">
        <v>55.83</v>
      </c>
      <c r="Z2765" s="79">
        <v>464.2</v>
      </c>
      <c r="AA2765" s="255">
        <v>0</v>
      </c>
      <c r="AC2765" s="254"/>
      <c r="AD2765" s="69"/>
      <c r="AE2765" s="69"/>
    </row>
    <row r="2766" spans="1:31" s="69" customFormat="1" ht="12">
      <c r="A2766" s="67" t="s">
        <v>15862</v>
      </c>
      <c r="B2766" s="65" t="s">
        <v>15863</v>
      </c>
      <c r="C2766" s="71" t="s">
        <v>103</v>
      </c>
      <c r="D2766" s="78">
        <v>1</v>
      </c>
      <c r="E2766" s="79">
        <v>350.72999999999996</v>
      </c>
      <c r="F2766" s="70">
        <v>350.73</v>
      </c>
      <c r="G2766" s="320"/>
      <c r="H2766" s="79">
        <v>294.89999999999998</v>
      </c>
      <c r="I2766" s="79">
        <v>55.83</v>
      </c>
      <c r="J2766" s="79">
        <v>350.72999999999996</v>
      </c>
      <c r="K2766" s="79">
        <v>0</v>
      </c>
      <c r="L2766" s="70">
        <v>350.72999999999996</v>
      </c>
      <c r="M2766" s="132"/>
      <c r="N2766" s="79">
        <v>294.89999999999998</v>
      </c>
      <c r="O2766" s="79">
        <v>55.83</v>
      </c>
      <c r="P2766" s="79">
        <v>350.72999999999996</v>
      </c>
      <c r="Q2766" s="136"/>
      <c r="R2766" s="79">
        <v>294.89999999999998</v>
      </c>
      <c r="S2766" s="79">
        <v>55.83</v>
      </c>
      <c r="T2766" s="79">
        <v>350.72999999999996</v>
      </c>
      <c r="U2766" s="79">
        <v>0</v>
      </c>
      <c r="V2766" s="189">
        <v>350.72999999999996</v>
      </c>
      <c r="X2766" s="79">
        <v>294.89999999999998</v>
      </c>
      <c r="Y2766" s="79">
        <v>55.83</v>
      </c>
      <c r="Z2766" s="79">
        <v>350.73</v>
      </c>
      <c r="AA2766" s="255">
        <v>0</v>
      </c>
      <c r="AC2766" s="254"/>
    </row>
    <row r="2767" spans="1:31" s="69" customFormat="1" ht="12">
      <c r="A2767" s="489" t="s">
        <v>15864</v>
      </c>
      <c r="B2767" s="490" t="s">
        <v>15865</v>
      </c>
      <c r="C2767" s="491"/>
      <c r="D2767" s="492"/>
      <c r="E2767" s="79"/>
      <c r="F2767" s="63"/>
      <c r="G2767" s="320"/>
      <c r="H2767" s="79"/>
      <c r="I2767" s="79"/>
      <c r="J2767" s="79"/>
      <c r="K2767" s="79"/>
      <c r="L2767" s="70"/>
      <c r="M2767" s="132"/>
      <c r="N2767" s="79"/>
      <c r="O2767" s="79"/>
      <c r="P2767" s="79"/>
      <c r="Q2767" s="136"/>
      <c r="R2767" s="79"/>
      <c r="S2767" s="79"/>
      <c r="T2767" s="79"/>
      <c r="U2767" s="79"/>
      <c r="V2767" s="189"/>
      <c r="W2767" s="61"/>
      <c r="X2767" s="79"/>
      <c r="Y2767" s="79"/>
      <c r="Z2767" s="79"/>
      <c r="AA2767" s="255"/>
      <c r="AB2767" s="61"/>
      <c r="AC2767" s="254"/>
    </row>
    <row r="2768" spans="1:31" s="69" customFormat="1" ht="12">
      <c r="A2768" s="67" t="s">
        <v>15866</v>
      </c>
      <c r="B2768" s="65" t="s">
        <v>15867</v>
      </c>
      <c r="C2768" s="71" t="s">
        <v>103</v>
      </c>
      <c r="D2768" s="78">
        <v>1</v>
      </c>
      <c r="E2768" s="79">
        <v>67.83</v>
      </c>
      <c r="F2768" s="70">
        <v>67.83</v>
      </c>
      <c r="G2768" s="320"/>
      <c r="H2768" s="79">
        <v>39.89</v>
      </c>
      <c r="I2768" s="79">
        <v>27.939999999999998</v>
      </c>
      <c r="J2768" s="79">
        <v>67.83</v>
      </c>
      <c r="K2768" s="79">
        <v>0</v>
      </c>
      <c r="L2768" s="70">
        <v>67.83</v>
      </c>
      <c r="M2768" s="132"/>
      <c r="N2768" s="79">
        <v>39.89</v>
      </c>
      <c r="O2768" s="79">
        <v>27.939999999999998</v>
      </c>
      <c r="P2768" s="79">
        <v>67.83</v>
      </c>
      <c r="Q2768" s="136"/>
      <c r="R2768" s="79">
        <v>39.89</v>
      </c>
      <c r="S2768" s="79">
        <v>27.92</v>
      </c>
      <c r="T2768" s="79">
        <v>67.81</v>
      </c>
      <c r="U2768" s="79">
        <v>0</v>
      </c>
      <c r="V2768" s="189">
        <v>67.81</v>
      </c>
      <c r="W2768" s="61"/>
      <c r="X2768" s="79">
        <v>39.89</v>
      </c>
      <c r="Y2768" s="79">
        <v>27.92</v>
      </c>
      <c r="Z2768" s="79">
        <v>67.81</v>
      </c>
      <c r="AA2768" s="255">
        <v>1.9999999999996021E-2</v>
      </c>
      <c r="AB2768" s="61"/>
      <c r="AC2768" s="254"/>
    </row>
    <row r="2769" spans="1:31" s="69" customFormat="1" ht="12">
      <c r="A2769" s="489" t="s">
        <v>15868</v>
      </c>
      <c r="B2769" s="490" t="s">
        <v>15869</v>
      </c>
      <c r="C2769" s="491"/>
      <c r="D2769" s="492"/>
      <c r="E2769" s="79"/>
      <c r="F2769" s="63"/>
      <c r="G2769" s="320"/>
      <c r="H2769" s="79"/>
      <c r="I2769" s="79"/>
      <c r="J2769" s="79"/>
      <c r="K2769" s="79"/>
      <c r="L2769" s="70"/>
      <c r="M2769" s="132"/>
      <c r="N2769" s="79"/>
      <c r="O2769" s="79"/>
      <c r="P2769" s="79"/>
      <c r="Q2769" s="136"/>
      <c r="R2769" s="79"/>
      <c r="S2769" s="79"/>
      <c r="T2769" s="79"/>
      <c r="U2769" s="79"/>
      <c r="V2769" s="189"/>
      <c r="W2769" s="61"/>
      <c r="X2769" s="79"/>
      <c r="Y2769" s="79"/>
      <c r="Z2769" s="79"/>
      <c r="AA2769" s="255"/>
      <c r="AB2769" s="61"/>
      <c r="AC2769" s="254"/>
    </row>
    <row r="2770" spans="1:31" s="69" customFormat="1" ht="12">
      <c r="A2770" s="67" t="s">
        <v>15870</v>
      </c>
      <c r="B2770" s="65" t="s">
        <v>15871</v>
      </c>
      <c r="C2770" s="71" t="s">
        <v>396</v>
      </c>
      <c r="D2770" s="78">
        <v>1</v>
      </c>
      <c r="E2770" s="79">
        <v>13562.17</v>
      </c>
      <c r="F2770" s="70">
        <v>13562.17</v>
      </c>
      <c r="G2770" s="320"/>
      <c r="H2770" s="79">
        <v>13109.09</v>
      </c>
      <c r="I2770" s="79">
        <v>453.08</v>
      </c>
      <c r="J2770" s="79">
        <v>13562.17</v>
      </c>
      <c r="K2770" s="79">
        <v>0</v>
      </c>
      <c r="L2770" s="70">
        <v>13562.17</v>
      </c>
      <c r="M2770" s="132"/>
      <c r="N2770" s="79">
        <v>13109.09</v>
      </c>
      <c r="O2770" s="79">
        <v>453.08</v>
      </c>
      <c r="P2770" s="79">
        <v>13562.17</v>
      </c>
      <c r="Q2770" s="136"/>
      <c r="R2770" s="79">
        <v>13109.09</v>
      </c>
      <c r="S2770" s="79">
        <v>453.1</v>
      </c>
      <c r="T2770" s="79">
        <v>13562.19</v>
      </c>
      <c r="U2770" s="79">
        <v>0</v>
      </c>
      <c r="V2770" s="189">
        <v>13562.19</v>
      </c>
      <c r="W2770" s="61"/>
      <c r="X2770" s="79">
        <v>13109.09</v>
      </c>
      <c r="Y2770" s="79">
        <v>453.1</v>
      </c>
      <c r="Z2770" s="79">
        <v>13562.19</v>
      </c>
      <c r="AA2770" s="255">
        <v>-2.0000000000436557E-2</v>
      </c>
      <c r="AB2770" s="61"/>
      <c r="AC2770" s="254"/>
    </row>
    <row r="2771" spans="1:31" s="69" customFormat="1" ht="12">
      <c r="A2771" s="67" t="s">
        <v>15872</v>
      </c>
      <c r="B2771" s="65" t="s">
        <v>15873</v>
      </c>
      <c r="C2771" s="71" t="s">
        <v>396</v>
      </c>
      <c r="D2771" s="78">
        <v>1</v>
      </c>
      <c r="E2771" s="79">
        <v>9154.100000000004</v>
      </c>
      <c r="F2771" s="70">
        <v>9154.1</v>
      </c>
      <c r="G2771" s="320"/>
      <c r="H2771" s="79">
        <v>8715.2600000000039</v>
      </c>
      <c r="I2771" s="79">
        <v>438.84000000000003</v>
      </c>
      <c r="J2771" s="79">
        <v>9154.100000000004</v>
      </c>
      <c r="K2771" s="79">
        <v>0</v>
      </c>
      <c r="L2771" s="70">
        <v>9154.100000000004</v>
      </c>
      <c r="M2771" s="132"/>
      <c r="N2771" s="79">
        <v>8715.2600000000039</v>
      </c>
      <c r="O2771" s="79">
        <v>438.84000000000003</v>
      </c>
      <c r="P2771" s="79">
        <v>9154.100000000004</v>
      </c>
      <c r="Q2771" s="136"/>
      <c r="R2771" s="79">
        <v>8715.26</v>
      </c>
      <c r="S2771" s="79">
        <v>438.86</v>
      </c>
      <c r="T2771" s="79">
        <v>9154.1200000000008</v>
      </c>
      <c r="U2771" s="79">
        <v>0</v>
      </c>
      <c r="V2771" s="189">
        <v>9154.1200000000008</v>
      </c>
      <c r="W2771" s="61"/>
      <c r="X2771" s="79">
        <v>8715.26</v>
      </c>
      <c r="Y2771" s="79">
        <v>438.86</v>
      </c>
      <c r="Z2771" s="79">
        <v>9154.1200000000008</v>
      </c>
      <c r="AA2771" s="255">
        <v>-2.0000000000436557E-2</v>
      </c>
      <c r="AB2771" s="61"/>
      <c r="AC2771" s="254"/>
    </row>
    <row r="2772" spans="1:31" s="69" customFormat="1" ht="12">
      <c r="A2772" s="67" t="s">
        <v>15874</v>
      </c>
      <c r="B2772" s="65" t="s">
        <v>15875</v>
      </c>
      <c r="C2772" s="71" t="s">
        <v>396</v>
      </c>
      <c r="D2772" s="78">
        <v>1</v>
      </c>
      <c r="E2772" s="79">
        <v>11109.380000000001</v>
      </c>
      <c r="F2772" s="70">
        <v>11109.38</v>
      </c>
      <c r="G2772" s="320"/>
      <c r="H2772" s="79">
        <v>10656.300000000001</v>
      </c>
      <c r="I2772" s="79">
        <v>453.08</v>
      </c>
      <c r="J2772" s="79">
        <v>11109.380000000001</v>
      </c>
      <c r="K2772" s="79">
        <v>0</v>
      </c>
      <c r="L2772" s="70">
        <v>11109.380000000001</v>
      </c>
      <c r="M2772" s="132"/>
      <c r="N2772" s="79">
        <v>10656.300000000001</v>
      </c>
      <c r="O2772" s="79">
        <v>453.08</v>
      </c>
      <c r="P2772" s="79">
        <v>11109.380000000001</v>
      </c>
      <c r="Q2772" s="136"/>
      <c r="R2772" s="79">
        <v>10656.3</v>
      </c>
      <c r="S2772" s="79">
        <v>453.1</v>
      </c>
      <c r="T2772" s="79">
        <v>11109.4</v>
      </c>
      <c r="U2772" s="79">
        <v>0</v>
      </c>
      <c r="V2772" s="189">
        <v>11109.4</v>
      </c>
      <c r="W2772" s="61"/>
      <c r="X2772" s="79">
        <v>10656.3</v>
      </c>
      <c r="Y2772" s="79">
        <v>453.1</v>
      </c>
      <c r="Z2772" s="79">
        <v>11109.4</v>
      </c>
      <c r="AA2772" s="255">
        <v>-2.0000000000436557E-2</v>
      </c>
      <c r="AB2772" s="61"/>
      <c r="AC2772" s="254"/>
    </row>
    <row r="2773" spans="1:31" s="69" customFormat="1" ht="12">
      <c r="A2773" s="67" t="s">
        <v>15876</v>
      </c>
      <c r="B2773" s="65" t="s">
        <v>15877</v>
      </c>
      <c r="C2773" s="71" t="s">
        <v>396</v>
      </c>
      <c r="D2773" s="78">
        <v>1</v>
      </c>
      <c r="E2773" s="79">
        <v>15051.660000000002</v>
      </c>
      <c r="F2773" s="70">
        <v>15051.66</v>
      </c>
      <c r="G2773" s="320"/>
      <c r="H2773" s="79">
        <v>14598.580000000002</v>
      </c>
      <c r="I2773" s="79">
        <v>453.08</v>
      </c>
      <c r="J2773" s="79">
        <v>15051.660000000002</v>
      </c>
      <c r="K2773" s="79">
        <v>0</v>
      </c>
      <c r="L2773" s="70">
        <v>15051.660000000002</v>
      </c>
      <c r="M2773" s="132"/>
      <c r="N2773" s="79">
        <v>14598.580000000002</v>
      </c>
      <c r="O2773" s="79">
        <v>453.08</v>
      </c>
      <c r="P2773" s="79">
        <v>15051.660000000002</v>
      </c>
      <c r="Q2773" s="136"/>
      <c r="R2773" s="79">
        <v>14598.58</v>
      </c>
      <c r="S2773" s="79">
        <v>453.1</v>
      </c>
      <c r="T2773" s="79">
        <v>15051.68</v>
      </c>
      <c r="U2773" s="79">
        <v>0</v>
      </c>
      <c r="V2773" s="189">
        <v>15051.68</v>
      </c>
      <c r="W2773" s="61"/>
      <c r="X2773" s="79">
        <v>14598.58</v>
      </c>
      <c r="Y2773" s="79">
        <v>453.1</v>
      </c>
      <c r="Z2773" s="79">
        <v>15051.68</v>
      </c>
      <c r="AA2773" s="255">
        <v>-2.0000000000436557E-2</v>
      </c>
      <c r="AB2773" s="61"/>
      <c r="AC2773" s="254"/>
    </row>
    <row r="2774" spans="1:31" s="69" customFormat="1" ht="12">
      <c r="A2774" s="67" t="s">
        <v>15878</v>
      </c>
      <c r="B2774" s="65" t="s">
        <v>15879</v>
      </c>
      <c r="C2774" s="71" t="s">
        <v>396</v>
      </c>
      <c r="D2774" s="78">
        <v>1</v>
      </c>
      <c r="E2774" s="79">
        <v>4165.66</v>
      </c>
      <c r="F2774" s="70">
        <v>4165.66</v>
      </c>
      <c r="G2774" s="320"/>
      <c r="H2774" s="79">
        <v>3726.8199999999997</v>
      </c>
      <c r="I2774" s="79">
        <v>438.84000000000003</v>
      </c>
      <c r="J2774" s="79">
        <v>4165.66</v>
      </c>
      <c r="K2774" s="79">
        <v>0</v>
      </c>
      <c r="L2774" s="70">
        <v>4165.66</v>
      </c>
      <c r="M2774" s="132"/>
      <c r="N2774" s="79">
        <v>3726.8199999999997</v>
      </c>
      <c r="O2774" s="79">
        <v>438.84000000000003</v>
      </c>
      <c r="P2774" s="79">
        <v>4165.66</v>
      </c>
      <c r="Q2774" s="136"/>
      <c r="R2774" s="79">
        <v>3726.82</v>
      </c>
      <c r="S2774" s="79">
        <v>438.86</v>
      </c>
      <c r="T2774" s="79">
        <v>4165.68</v>
      </c>
      <c r="U2774" s="79">
        <v>0</v>
      </c>
      <c r="V2774" s="189">
        <v>4165.68</v>
      </c>
      <c r="W2774" s="61"/>
      <c r="X2774" s="79">
        <v>3726.82</v>
      </c>
      <c r="Y2774" s="79">
        <v>438.86</v>
      </c>
      <c r="Z2774" s="79">
        <v>4165.68</v>
      </c>
      <c r="AA2774" s="255">
        <v>-2.0000000000436557E-2</v>
      </c>
      <c r="AB2774" s="61"/>
      <c r="AC2774" s="254"/>
      <c r="AD2774" s="236"/>
      <c r="AE2774" s="236"/>
    </row>
    <row r="2775" spans="1:31" s="69" customFormat="1" ht="12">
      <c r="A2775" s="67" t="s">
        <v>15880</v>
      </c>
      <c r="B2775" s="65" t="s">
        <v>15881</v>
      </c>
      <c r="C2775" s="71" t="s">
        <v>396</v>
      </c>
      <c r="D2775" s="78">
        <v>1</v>
      </c>
      <c r="E2775" s="79">
        <v>5235.05</v>
      </c>
      <c r="F2775" s="70">
        <v>5235.05</v>
      </c>
      <c r="G2775" s="320"/>
      <c r="H2775" s="79">
        <v>4796.21</v>
      </c>
      <c r="I2775" s="79">
        <v>438.84000000000003</v>
      </c>
      <c r="J2775" s="79">
        <v>5235.05</v>
      </c>
      <c r="K2775" s="79">
        <v>0</v>
      </c>
      <c r="L2775" s="70">
        <v>5235.05</v>
      </c>
      <c r="M2775" s="132"/>
      <c r="N2775" s="79">
        <v>4796.21</v>
      </c>
      <c r="O2775" s="79">
        <v>438.84000000000003</v>
      </c>
      <c r="P2775" s="79">
        <v>5235.05</v>
      </c>
      <c r="Q2775" s="136"/>
      <c r="R2775" s="79">
        <v>4796.21</v>
      </c>
      <c r="S2775" s="79">
        <v>438.86</v>
      </c>
      <c r="T2775" s="79">
        <v>5235.07</v>
      </c>
      <c r="U2775" s="79">
        <v>0</v>
      </c>
      <c r="V2775" s="189">
        <v>5235.07</v>
      </c>
      <c r="W2775" s="61"/>
      <c r="X2775" s="79">
        <v>4796.21</v>
      </c>
      <c r="Y2775" s="79">
        <v>438.86</v>
      </c>
      <c r="Z2775" s="79">
        <v>5235.07</v>
      </c>
      <c r="AA2775" s="255">
        <v>-1.9999999999527063E-2</v>
      </c>
      <c r="AB2775" s="61"/>
      <c r="AC2775" s="254"/>
      <c r="AD2775" s="236"/>
      <c r="AE2775" s="236"/>
    </row>
    <row r="2776" spans="1:31" ht="12">
      <c r="A2776" s="67" t="s">
        <v>15882</v>
      </c>
      <c r="B2776" s="65" t="s">
        <v>15883</v>
      </c>
      <c r="C2776" s="71" t="s">
        <v>396</v>
      </c>
      <c r="D2776" s="78">
        <v>1</v>
      </c>
      <c r="E2776" s="79">
        <v>8142.9500000000016</v>
      </c>
      <c r="F2776" s="70">
        <v>8142.95</v>
      </c>
      <c r="G2776" s="320"/>
      <c r="H2776" s="79">
        <v>7689.8700000000017</v>
      </c>
      <c r="I2776" s="79">
        <v>453.08</v>
      </c>
      <c r="J2776" s="79">
        <v>8142.9500000000016</v>
      </c>
      <c r="K2776" s="79">
        <v>0</v>
      </c>
      <c r="L2776" s="70">
        <v>8142.9500000000016</v>
      </c>
      <c r="M2776" s="132"/>
      <c r="N2776" s="79">
        <v>7689.8700000000017</v>
      </c>
      <c r="O2776" s="79">
        <v>453.08</v>
      </c>
      <c r="P2776" s="79">
        <v>8142.9500000000016</v>
      </c>
      <c r="Q2776" s="136"/>
      <c r="R2776" s="79">
        <v>7689.87</v>
      </c>
      <c r="S2776" s="79">
        <v>453.1</v>
      </c>
      <c r="T2776" s="79">
        <v>8142.97</v>
      </c>
      <c r="U2776" s="79">
        <v>0</v>
      </c>
      <c r="V2776" s="189">
        <v>8142.97</v>
      </c>
      <c r="X2776" s="79">
        <v>7689.87</v>
      </c>
      <c r="Y2776" s="79">
        <v>453.1</v>
      </c>
      <c r="Z2776" s="79">
        <v>8142.97</v>
      </c>
      <c r="AA2776" s="255">
        <v>-2.0000000000436557E-2</v>
      </c>
      <c r="AC2776" s="254"/>
      <c r="AD2776" s="61"/>
      <c r="AE2776" s="61"/>
    </row>
    <row r="2777" spans="1:31" ht="12">
      <c r="A2777" s="67" t="s">
        <v>15884</v>
      </c>
      <c r="B2777" s="65" t="s">
        <v>15885</v>
      </c>
      <c r="C2777" s="71" t="s">
        <v>396</v>
      </c>
      <c r="D2777" s="78">
        <v>1</v>
      </c>
      <c r="E2777" s="79">
        <v>9105.4100000000017</v>
      </c>
      <c r="F2777" s="70">
        <v>9105.41</v>
      </c>
      <c r="G2777" s="320"/>
      <c r="H2777" s="79">
        <v>8652.3300000000017</v>
      </c>
      <c r="I2777" s="79">
        <v>453.08</v>
      </c>
      <c r="J2777" s="79">
        <v>9105.4100000000017</v>
      </c>
      <c r="K2777" s="79">
        <v>0</v>
      </c>
      <c r="L2777" s="70">
        <v>9105.4100000000017</v>
      </c>
      <c r="M2777" s="132"/>
      <c r="N2777" s="79">
        <v>8652.3300000000017</v>
      </c>
      <c r="O2777" s="79">
        <v>453.08</v>
      </c>
      <c r="P2777" s="79">
        <v>9105.4100000000017</v>
      </c>
      <c r="Q2777" s="136"/>
      <c r="R2777" s="79">
        <v>8652.33</v>
      </c>
      <c r="S2777" s="79">
        <v>453.1</v>
      </c>
      <c r="T2777" s="79">
        <v>9105.43</v>
      </c>
      <c r="U2777" s="79">
        <v>0</v>
      </c>
      <c r="V2777" s="189">
        <v>9105.43</v>
      </c>
      <c r="X2777" s="79">
        <v>8652.33</v>
      </c>
      <c r="Y2777" s="79">
        <v>453.1</v>
      </c>
      <c r="Z2777" s="79">
        <v>9105.43</v>
      </c>
      <c r="AA2777" s="255">
        <v>-2.0000000000436557E-2</v>
      </c>
      <c r="AC2777" s="254"/>
      <c r="AD2777" s="61"/>
      <c r="AE2777" s="61"/>
    </row>
    <row r="2778" spans="1:31" s="61" customFormat="1" ht="12">
      <c r="A2778" s="67" t="s">
        <v>15886</v>
      </c>
      <c r="B2778" s="65" t="s">
        <v>15887</v>
      </c>
      <c r="C2778" s="71" t="s">
        <v>396</v>
      </c>
      <c r="D2778" s="78">
        <v>1</v>
      </c>
      <c r="E2778" s="79">
        <v>8369.7200000000012</v>
      </c>
      <c r="F2778" s="70">
        <v>8369.7199999999993</v>
      </c>
      <c r="G2778" s="320"/>
      <c r="H2778" s="79">
        <v>7916.6400000000021</v>
      </c>
      <c r="I2778" s="79">
        <v>453.08</v>
      </c>
      <c r="J2778" s="79">
        <v>8369.720000000003</v>
      </c>
      <c r="K2778" s="79">
        <v>0</v>
      </c>
      <c r="L2778" s="70">
        <v>8369.720000000003</v>
      </c>
      <c r="M2778" s="132"/>
      <c r="N2778" s="79">
        <v>7916.6400000000021</v>
      </c>
      <c r="O2778" s="79">
        <v>453.08</v>
      </c>
      <c r="P2778" s="79">
        <v>8369.720000000003</v>
      </c>
      <c r="Q2778" s="136"/>
      <c r="R2778" s="79">
        <v>7916.64</v>
      </c>
      <c r="S2778" s="79">
        <v>453.1</v>
      </c>
      <c r="T2778" s="79">
        <v>8369.74</v>
      </c>
      <c r="U2778" s="79">
        <v>0</v>
      </c>
      <c r="V2778" s="189">
        <v>8369.74</v>
      </c>
      <c r="X2778" s="79">
        <v>7916.64</v>
      </c>
      <c r="Y2778" s="79">
        <v>453.1</v>
      </c>
      <c r="Z2778" s="79">
        <v>8369.74</v>
      </c>
      <c r="AA2778" s="255">
        <v>-2.0000000000436557E-2</v>
      </c>
      <c r="AC2778" s="254"/>
    </row>
    <row r="2779" spans="1:31" s="61" customFormat="1" ht="12">
      <c r="A2779" s="67" t="s">
        <v>15888</v>
      </c>
      <c r="B2779" s="65" t="s">
        <v>15889</v>
      </c>
      <c r="C2779" s="71" t="s">
        <v>396</v>
      </c>
      <c r="D2779" s="78">
        <v>1</v>
      </c>
      <c r="E2779" s="79">
        <v>12314.630000000001</v>
      </c>
      <c r="F2779" s="70">
        <v>12314.63</v>
      </c>
      <c r="G2779" s="320"/>
      <c r="H2779" s="79">
        <v>11861.550000000001</v>
      </c>
      <c r="I2779" s="79">
        <v>453.08</v>
      </c>
      <c r="J2779" s="79">
        <v>12314.630000000001</v>
      </c>
      <c r="K2779" s="79">
        <v>0</v>
      </c>
      <c r="L2779" s="70">
        <v>12314.630000000001</v>
      </c>
      <c r="M2779" s="132"/>
      <c r="N2779" s="79">
        <v>11861.550000000001</v>
      </c>
      <c r="O2779" s="79">
        <v>453.08</v>
      </c>
      <c r="P2779" s="79">
        <v>12314.630000000001</v>
      </c>
      <c r="Q2779" s="136"/>
      <c r="R2779" s="79">
        <v>11861.55</v>
      </c>
      <c r="S2779" s="79">
        <v>453.1</v>
      </c>
      <c r="T2779" s="79">
        <v>12314.65</v>
      </c>
      <c r="U2779" s="79">
        <v>0</v>
      </c>
      <c r="V2779" s="189">
        <v>12314.65</v>
      </c>
      <c r="X2779" s="79">
        <v>11861.55</v>
      </c>
      <c r="Y2779" s="79">
        <v>453.1</v>
      </c>
      <c r="Z2779" s="79">
        <v>12314.65</v>
      </c>
      <c r="AA2779" s="255">
        <v>-2.0000000000436557E-2</v>
      </c>
      <c r="AC2779" s="254"/>
    </row>
    <row r="2780" spans="1:31" s="61" customFormat="1" ht="12">
      <c r="A2780" s="489" t="s">
        <v>15890</v>
      </c>
      <c r="B2780" s="490" t="s">
        <v>15891</v>
      </c>
      <c r="C2780" s="71"/>
      <c r="D2780" s="78"/>
      <c r="E2780" s="79"/>
      <c r="F2780" s="70"/>
      <c r="G2780" s="320"/>
      <c r="H2780" s="79"/>
      <c r="I2780" s="79"/>
      <c r="J2780" s="79"/>
      <c r="K2780" s="79"/>
      <c r="L2780" s="70"/>
      <c r="M2780" s="132"/>
      <c r="N2780" s="79"/>
      <c r="O2780" s="79"/>
      <c r="P2780" s="79"/>
      <c r="Q2780" s="136"/>
      <c r="R2780" s="79"/>
      <c r="S2780" s="79"/>
      <c r="T2780" s="79"/>
      <c r="U2780" s="79"/>
      <c r="V2780" s="189"/>
      <c r="X2780" s="79"/>
      <c r="Y2780" s="79"/>
      <c r="Z2780" s="79"/>
      <c r="AA2780" s="255"/>
      <c r="AC2780" s="254"/>
    </row>
    <row r="2781" spans="1:31" s="61" customFormat="1" ht="12">
      <c r="A2781" s="67" t="s">
        <v>15892</v>
      </c>
      <c r="B2781" s="65" t="s">
        <v>15893</v>
      </c>
      <c r="C2781" s="71" t="s">
        <v>103</v>
      </c>
      <c r="D2781" s="78">
        <v>1</v>
      </c>
      <c r="E2781" s="79">
        <v>46678.380000000005</v>
      </c>
      <c r="F2781" s="70">
        <v>46678.38</v>
      </c>
      <c r="G2781" s="320"/>
      <c r="H2781" s="79">
        <v>45653.72</v>
      </c>
      <c r="I2781" s="79">
        <v>1024.6600000000001</v>
      </c>
      <c r="J2781" s="79">
        <v>46678.380000000005</v>
      </c>
      <c r="K2781" s="79">
        <v>0</v>
      </c>
      <c r="L2781" s="70">
        <v>46678.380000000005</v>
      </c>
      <c r="M2781" s="132"/>
      <c r="N2781" s="79">
        <v>45653.72</v>
      </c>
      <c r="O2781" s="79">
        <v>1024.6600000000001</v>
      </c>
      <c r="P2781" s="79">
        <v>46678.380000000005</v>
      </c>
      <c r="Q2781" s="136"/>
      <c r="R2781" s="79">
        <v>45653.72</v>
      </c>
      <c r="S2781" s="79">
        <v>1024.72</v>
      </c>
      <c r="T2781" s="79">
        <v>46678.44</v>
      </c>
      <c r="U2781" s="79">
        <v>0</v>
      </c>
      <c r="V2781" s="189">
        <v>46678.44</v>
      </c>
      <c r="X2781" s="79">
        <v>45653.72</v>
      </c>
      <c r="Y2781" s="79">
        <v>1024.72</v>
      </c>
      <c r="Z2781" s="79">
        <v>46678.44</v>
      </c>
      <c r="AA2781" s="255">
        <v>-6.0000000004947651E-2</v>
      </c>
      <c r="AC2781" s="254"/>
    </row>
    <row r="2782" spans="1:31" s="61" customFormat="1" ht="12">
      <c r="A2782" s="67" t="s">
        <v>15894</v>
      </c>
      <c r="B2782" s="65" t="s">
        <v>15895</v>
      </c>
      <c r="C2782" s="71" t="s">
        <v>103</v>
      </c>
      <c r="D2782" s="78">
        <v>1</v>
      </c>
      <c r="E2782" s="79">
        <v>53798.33</v>
      </c>
      <c r="F2782" s="70">
        <v>53798.33</v>
      </c>
      <c r="G2782" s="320"/>
      <c r="H2782" s="79">
        <v>52773.67</v>
      </c>
      <c r="I2782" s="79">
        <v>1024.6600000000001</v>
      </c>
      <c r="J2782" s="79">
        <v>53798.33</v>
      </c>
      <c r="K2782" s="79">
        <v>0</v>
      </c>
      <c r="L2782" s="70">
        <v>53798.33</v>
      </c>
      <c r="M2782" s="132"/>
      <c r="N2782" s="79">
        <v>52773.67</v>
      </c>
      <c r="O2782" s="79">
        <v>1024.6600000000001</v>
      </c>
      <c r="P2782" s="79">
        <v>53798.33</v>
      </c>
      <c r="Q2782" s="136"/>
      <c r="R2782" s="79">
        <v>52773.67</v>
      </c>
      <c r="S2782" s="79">
        <v>1024.72</v>
      </c>
      <c r="T2782" s="79">
        <v>53798.39</v>
      </c>
      <c r="U2782" s="79">
        <v>0</v>
      </c>
      <c r="V2782" s="189">
        <v>53798.39</v>
      </c>
      <c r="X2782" s="79">
        <v>52773.67</v>
      </c>
      <c r="Y2782" s="79">
        <v>1024.72</v>
      </c>
      <c r="Z2782" s="79">
        <v>53798.39</v>
      </c>
      <c r="AA2782" s="255">
        <v>-5.9999999997671694E-2</v>
      </c>
      <c r="AC2782" s="254"/>
    </row>
    <row r="2783" spans="1:31" s="61" customFormat="1" ht="12">
      <c r="A2783" s="67" t="s">
        <v>15896</v>
      </c>
      <c r="B2783" s="65" t="s">
        <v>15897</v>
      </c>
      <c r="C2783" s="71" t="s">
        <v>103</v>
      </c>
      <c r="D2783" s="78">
        <v>1</v>
      </c>
      <c r="E2783" s="79">
        <v>62000.75</v>
      </c>
      <c r="F2783" s="70">
        <v>62000.75</v>
      </c>
      <c r="G2783" s="320"/>
      <c r="H2783" s="79">
        <v>60976.09</v>
      </c>
      <c r="I2783" s="79">
        <v>1024.6600000000001</v>
      </c>
      <c r="J2783" s="79">
        <v>62000.75</v>
      </c>
      <c r="K2783" s="79">
        <v>0</v>
      </c>
      <c r="L2783" s="70">
        <v>62000.75</v>
      </c>
      <c r="M2783" s="132"/>
      <c r="N2783" s="79">
        <v>60976.09</v>
      </c>
      <c r="O2783" s="79">
        <v>1024.6600000000001</v>
      </c>
      <c r="P2783" s="79">
        <v>62000.75</v>
      </c>
      <c r="Q2783" s="136"/>
      <c r="R2783" s="79">
        <v>60976.09</v>
      </c>
      <c r="S2783" s="79">
        <v>1024.72</v>
      </c>
      <c r="T2783" s="79">
        <v>62000.81</v>
      </c>
      <c r="U2783" s="79">
        <v>0</v>
      </c>
      <c r="V2783" s="189">
        <v>62000.81</v>
      </c>
      <c r="X2783" s="79">
        <v>60976.09</v>
      </c>
      <c r="Y2783" s="79">
        <v>1024.72</v>
      </c>
      <c r="Z2783" s="79">
        <v>62000.81</v>
      </c>
      <c r="AA2783" s="255">
        <v>-5.9999999997671694E-2</v>
      </c>
      <c r="AC2783" s="254"/>
    </row>
    <row r="2784" spans="1:31" s="61" customFormat="1" ht="12">
      <c r="A2784" s="67" t="s">
        <v>15898</v>
      </c>
      <c r="B2784" s="65" t="s">
        <v>15899</v>
      </c>
      <c r="C2784" s="71" t="s">
        <v>103</v>
      </c>
      <c r="D2784" s="78">
        <v>1</v>
      </c>
      <c r="E2784" s="79">
        <v>68975.62000000001</v>
      </c>
      <c r="F2784" s="70">
        <v>68975.62</v>
      </c>
      <c r="G2784" s="320"/>
      <c r="H2784" s="79">
        <v>67950.960000000006</v>
      </c>
      <c r="I2784" s="79">
        <v>1024.6600000000001</v>
      </c>
      <c r="J2784" s="79">
        <v>68975.62000000001</v>
      </c>
      <c r="K2784" s="79">
        <v>0</v>
      </c>
      <c r="L2784" s="70">
        <v>68975.62000000001</v>
      </c>
      <c r="M2784" s="132"/>
      <c r="N2784" s="79">
        <v>67950.960000000006</v>
      </c>
      <c r="O2784" s="79">
        <v>1024.6600000000001</v>
      </c>
      <c r="P2784" s="79">
        <v>68975.62000000001</v>
      </c>
      <c r="Q2784" s="136"/>
      <c r="R2784" s="79">
        <v>67950.960000000006</v>
      </c>
      <c r="S2784" s="79">
        <v>1024.72</v>
      </c>
      <c r="T2784" s="79">
        <v>68975.680000000008</v>
      </c>
      <c r="U2784" s="79">
        <v>0</v>
      </c>
      <c r="V2784" s="189">
        <v>68975.680000000008</v>
      </c>
      <c r="X2784" s="79">
        <v>67950.960000000006</v>
      </c>
      <c r="Y2784" s="79">
        <v>1024.72</v>
      </c>
      <c r="Z2784" s="79">
        <v>68975.679999999993</v>
      </c>
      <c r="AA2784" s="255">
        <v>-5.9999999997671694E-2</v>
      </c>
      <c r="AC2784" s="254"/>
    </row>
    <row r="2785" spans="1:31" s="61" customFormat="1" ht="12">
      <c r="A2785" s="67" t="s">
        <v>15900</v>
      </c>
      <c r="B2785" s="65" t="s">
        <v>15901</v>
      </c>
      <c r="C2785" s="71" t="s">
        <v>103</v>
      </c>
      <c r="D2785" s="78">
        <v>1</v>
      </c>
      <c r="E2785" s="79">
        <v>5286.2</v>
      </c>
      <c r="F2785" s="70">
        <v>5286.2</v>
      </c>
      <c r="G2785" s="320"/>
      <c r="H2785" s="79">
        <v>4389.62</v>
      </c>
      <c r="I2785" s="79">
        <v>896.58</v>
      </c>
      <c r="J2785" s="79">
        <v>5286.2</v>
      </c>
      <c r="K2785" s="79">
        <v>0</v>
      </c>
      <c r="L2785" s="70">
        <v>5286.2</v>
      </c>
      <c r="M2785" s="132"/>
      <c r="N2785" s="79">
        <v>4389.62</v>
      </c>
      <c r="O2785" s="79">
        <v>896.58</v>
      </c>
      <c r="P2785" s="79">
        <v>5286.2</v>
      </c>
      <c r="Q2785" s="136"/>
      <c r="R2785" s="79">
        <v>4389.62</v>
      </c>
      <c r="S2785" s="79">
        <v>896.63</v>
      </c>
      <c r="T2785" s="79">
        <v>5286.25</v>
      </c>
      <c r="U2785" s="79">
        <v>0</v>
      </c>
      <c r="V2785" s="189">
        <v>5286.25</v>
      </c>
      <c r="X2785" s="79">
        <v>4389.62</v>
      </c>
      <c r="Y2785" s="79">
        <v>896.63</v>
      </c>
      <c r="Z2785" s="79">
        <v>5286.25</v>
      </c>
      <c r="AA2785" s="255">
        <v>-5.0000000000181899E-2</v>
      </c>
      <c r="AC2785" s="254"/>
    </row>
    <row r="2786" spans="1:31" s="61" customFormat="1" ht="12">
      <c r="A2786" s="67" t="s">
        <v>15902</v>
      </c>
      <c r="B2786" s="65" t="s">
        <v>15903</v>
      </c>
      <c r="C2786" s="71" t="s">
        <v>103</v>
      </c>
      <c r="D2786" s="78">
        <v>1</v>
      </c>
      <c r="E2786" s="79">
        <v>6571.6</v>
      </c>
      <c r="F2786" s="70">
        <v>6571.6</v>
      </c>
      <c r="G2786" s="320"/>
      <c r="H2786" s="79">
        <v>5675.02</v>
      </c>
      <c r="I2786" s="79">
        <v>896.58</v>
      </c>
      <c r="J2786" s="79">
        <v>6571.6</v>
      </c>
      <c r="K2786" s="79">
        <v>0</v>
      </c>
      <c r="L2786" s="70">
        <v>6571.6</v>
      </c>
      <c r="M2786" s="132"/>
      <c r="N2786" s="79">
        <v>5675.02</v>
      </c>
      <c r="O2786" s="79">
        <v>896.58</v>
      </c>
      <c r="P2786" s="79">
        <v>6571.6</v>
      </c>
      <c r="Q2786" s="136"/>
      <c r="R2786" s="79">
        <v>5675.02</v>
      </c>
      <c r="S2786" s="79">
        <v>896.63</v>
      </c>
      <c r="T2786" s="79">
        <v>6571.6500000000005</v>
      </c>
      <c r="U2786" s="79">
        <v>0</v>
      </c>
      <c r="V2786" s="189">
        <v>6571.6500000000005</v>
      </c>
      <c r="X2786" s="79">
        <v>5675.02</v>
      </c>
      <c r="Y2786" s="79">
        <v>896.63</v>
      </c>
      <c r="Z2786" s="79">
        <v>6571.65</v>
      </c>
      <c r="AA2786" s="255">
        <v>-4.9999999999272404E-2</v>
      </c>
      <c r="AC2786" s="254"/>
    </row>
    <row r="2787" spans="1:31" s="61" customFormat="1" ht="12">
      <c r="A2787" s="67" t="s">
        <v>15904</v>
      </c>
      <c r="B2787" s="65" t="s">
        <v>15905</v>
      </c>
      <c r="C2787" s="71" t="s">
        <v>103</v>
      </c>
      <c r="D2787" s="78">
        <v>1</v>
      </c>
      <c r="E2787" s="79">
        <v>8527.23</v>
      </c>
      <c r="F2787" s="70">
        <v>8527.23</v>
      </c>
      <c r="G2787" s="320"/>
      <c r="H2787" s="79">
        <v>7630.65</v>
      </c>
      <c r="I2787" s="79">
        <v>896.58</v>
      </c>
      <c r="J2787" s="79">
        <v>8527.23</v>
      </c>
      <c r="K2787" s="79">
        <v>0</v>
      </c>
      <c r="L2787" s="70">
        <v>8527.23</v>
      </c>
      <c r="M2787" s="132"/>
      <c r="N2787" s="79">
        <v>7630.65</v>
      </c>
      <c r="O2787" s="79">
        <v>896.58</v>
      </c>
      <c r="P2787" s="79">
        <v>8527.23</v>
      </c>
      <c r="Q2787" s="136"/>
      <c r="R2787" s="79">
        <v>7630.65</v>
      </c>
      <c r="S2787" s="79">
        <v>896.63</v>
      </c>
      <c r="T2787" s="79">
        <v>8527.2799999999988</v>
      </c>
      <c r="U2787" s="79">
        <v>0</v>
      </c>
      <c r="V2787" s="189">
        <v>8527.2799999999988</v>
      </c>
      <c r="X2787" s="79">
        <v>7630.65</v>
      </c>
      <c r="Y2787" s="79">
        <v>896.63</v>
      </c>
      <c r="Z2787" s="79">
        <v>8527.2800000000007</v>
      </c>
      <c r="AA2787" s="255">
        <v>-5.0000000001091394E-2</v>
      </c>
      <c r="AC2787" s="254"/>
    </row>
    <row r="2788" spans="1:31" s="61" customFormat="1" ht="12">
      <c r="A2788" s="67" t="s">
        <v>15906</v>
      </c>
      <c r="B2788" s="65" t="s">
        <v>15907</v>
      </c>
      <c r="C2788" s="71" t="s">
        <v>103</v>
      </c>
      <c r="D2788" s="78">
        <v>1</v>
      </c>
      <c r="E2788" s="79">
        <v>5783.24</v>
      </c>
      <c r="F2788" s="70">
        <v>5783.24</v>
      </c>
      <c r="G2788" s="320"/>
      <c r="H2788" s="79">
        <v>4886.66</v>
      </c>
      <c r="I2788" s="79">
        <v>896.58</v>
      </c>
      <c r="J2788" s="79">
        <v>5783.24</v>
      </c>
      <c r="K2788" s="79">
        <v>0</v>
      </c>
      <c r="L2788" s="70">
        <v>5783.24</v>
      </c>
      <c r="M2788" s="132"/>
      <c r="N2788" s="79">
        <v>4886.66</v>
      </c>
      <c r="O2788" s="79">
        <v>896.58</v>
      </c>
      <c r="P2788" s="79">
        <v>5783.24</v>
      </c>
      <c r="Q2788" s="136"/>
      <c r="R2788" s="79">
        <v>4886.66</v>
      </c>
      <c r="S2788" s="79">
        <v>896.63</v>
      </c>
      <c r="T2788" s="79">
        <v>5783.29</v>
      </c>
      <c r="U2788" s="79">
        <v>0</v>
      </c>
      <c r="V2788" s="189">
        <v>5783.29</v>
      </c>
      <c r="X2788" s="79">
        <v>4886.66</v>
      </c>
      <c r="Y2788" s="79">
        <v>896.63</v>
      </c>
      <c r="Z2788" s="79">
        <v>5783.29</v>
      </c>
      <c r="AA2788" s="255">
        <v>-5.0000000000181899E-2</v>
      </c>
      <c r="AC2788" s="254"/>
    </row>
    <row r="2789" spans="1:31" s="61" customFormat="1" ht="12">
      <c r="A2789" s="67" t="s">
        <v>15908</v>
      </c>
      <c r="B2789" s="65" t="s">
        <v>15909</v>
      </c>
      <c r="C2789" s="71" t="s">
        <v>103</v>
      </c>
      <c r="D2789" s="78">
        <v>1</v>
      </c>
      <c r="E2789" s="79">
        <v>6523.39</v>
      </c>
      <c r="F2789" s="70">
        <v>6523.39</v>
      </c>
      <c r="G2789" s="320"/>
      <c r="H2789" s="79">
        <v>5626.81</v>
      </c>
      <c r="I2789" s="79">
        <v>896.58</v>
      </c>
      <c r="J2789" s="79">
        <v>6523.39</v>
      </c>
      <c r="K2789" s="79">
        <v>0</v>
      </c>
      <c r="L2789" s="70">
        <v>6523.39</v>
      </c>
      <c r="M2789" s="132"/>
      <c r="N2789" s="79">
        <v>5626.81</v>
      </c>
      <c r="O2789" s="79">
        <v>896.58</v>
      </c>
      <c r="P2789" s="79">
        <v>6523.39</v>
      </c>
      <c r="Q2789" s="136"/>
      <c r="R2789" s="79">
        <v>5626.81</v>
      </c>
      <c r="S2789" s="79">
        <v>896.63</v>
      </c>
      <c r="T2789" s="79">
        <v>6523.4400000000005</v>
      </c>
      <c r="U2789" s="79">
        <v>0</v>
      </c>
      <c r="V2789" s="189">
        <v>6523.4400000000005</v>
      </c>
      <c r="X2789" s="79">
        <v>5626.81</v>
      </c>
      <c r="Y2789" s="79">
        <v>896.63</v>
      </c>
      <c r="Z2789" s="79">
        <v>6523.44</v>
      </c>
      <c r="AA2789" s="255">
        <v>-4.9999999999272404E-2</v>
      </c>
      <c r="AC2789" s="254"/>
    </row>
    <row r="2790" spans="1:31" s="61" customFormat="1" ht="12">
      <c r="A2790" s="67" t="s">
        <v>15910</v>
      </c>
      <c r="B2790" s="65" t="s">
        <v>15911</v>
      </c>
      <c r="C2790" s="71" t="s">
        <v>103</v>
      </c>
      <c r="D2790" s="78">
        <v>1</v>
      </c>
      <c r="E2790" s="79">
        <v>7577</v>
      </c>
      <c r="F2790" s="70">
        <v>7577</v>
      </c>
      <c r="G2790" s="320"/>
      <c r="H2790" s="79">
        <v>6680.42</v>
      </c>
      <c r="I2790" s="79">
        <v>896.58</v>
      </c>
      <c r="J2790" s="79">
        <v>7577</v>
      </c>
      <c r="K2790" s="79">
        <v>0</v>
      </c>
      <c r="L2790" s="70">
        <v>7577</v>
      </c>
      <c r="M2790" s="132"/>
      <c r="N2790" s="79">
        <v>6680.42</v>
      </c>
      <c r="O2790" s="79">
        <v>896.58</v>
      </c>
      <c r="P2790" s="79">
        <v>7577</v>
      </c>
      <c r="Q2790" s="136"/>
      <c r="R2790" s="79">
        <v>6680.42</v>
      </c>
      <c r="S2790" s="79">
        <v>896.63</v>
      </c>
      <c r="T2790" s="79">
        <v>7577.05</v>
      </c>
      <c r="U2790" s="79">
        <v>0</v>
      </c>
      <c r="V2790" s="189">
        <v>7577.05</v>
      </c>
      <c r="X2790" s="79">
        <v>6680.42</v>
      </c>
      <c r="Y2790" s="79">
        <v>896.63</v>
      </c>
      <c r="Z2790" s="79">
        <v>7577.05</v>
      </c>
      <c r="AA2790" s="255">
        <v>-5.0000000000181899E-2</v>
      </c>
      <c r="AC2790" s="254"/>
      <c r="AD2790" s="236"/>
      <c r="AE2790" s="236"/>
    </row>
    <row r="2791" spans="1:31" s="61" customFormat="1" ht="12">
      <c r="A2791" s="67" t="s">
        <v>15912</v>
      </c>
      <c r="B2791" s="65" t="s">
        <v>15913</v>
      </c>
      <c r="C2791" s="71" t="s">
        <v>103</v>
      </c>
      <c r="D2791" s="78">
        <v>1</v>
      </c>
      <c r="E2791" s="79">
        <v>8633.99</v>
      </c>
      <c r="F2791" s="70">
        <v>8633.99</v>
      </c>
      <c r="G2791" s="320"/>
      <c r="H2791" s="79">
        <v>7737.41</v>
      </c>
      <c r="I2791" s="79">
        <v>896.58</v>
      </c>
      <c r="J2791" s="79">
        <v>8633.99</v>
      </c>
      <c r="K2791" s="79">
        <v>0</v>
      </c>
      <c r="L2791" s="70">
        <v>8633.99</v>
      </c>
      <c r="M2791" s="132"/>
      <c r="N2791" s="79">
        <v>7737.41</v>
      </c>
      <c r="O2791" s="79">
        <v>896.58</v>
      </c>
      <c r="P2791" s="79">
        <v>8633.99</v>
      </c>
      <c r="Q2791" s="136"/>
      <c r="R2791" s="79">
        <v>7737.41</v>
      </c>
      <c r="S2791" s="79">
        <v>896.63</v>
      </c>
      <c r="T2791" s="79">
        <v>8634.0399999999991</v>
      </c>
      <c r="U2791" s="79">
        <v>0</v>
      </c>
      <c r="V2791" s="189">
        <v>8634.0399999999991</v>
      </c>
      <c r="X2791" s="79">
        <v>7737.41</v>
      </c>
      <c r="Y2791" s="79">
        <v>896.63</v>
      </c>
      <c r="Z2791" s="79">
        <v>8634.0400000000009</v>
      </c>
      <c r="AA2791" s="255">
        <v>-5.0000000001091394E-2</v>
      </c>
      <c r="AC2791" s="254"/>
      <c r="AD2791" s="69"/>
      <c r="AE2791" s="69"/>
    </row>
    <row r="2792" spans="1:31" ht="12">
      <c r="A2792" s="67" t="s">
        <v>15914</v>
      </c>
      <c r="B2792" s="65" t="s">
        <v>15915</v>
      </c>
      <c r="C2792" s="71" t="s">
        <v>103</v>
      </c>
      <c r="D2792" s="78">
        <v>1</v>
      </c>
      <c r="E2792" s="79">
        <v>5406.5199999999995</v>
      </c>
      <c r="F2792" s="70">
        <v>5406.52</v>
      </c>
      <c r="G2792" s="320"/>
      <c r="H2792" s="79">
        <v>4509.9399999999996</v>
      </c>
      <c r="I2792" s="79">
        <v>896.58</v>
      </c>
      <c r="J2792" s="79">
        <v>5406.5199999999995</v>
      </c>
      <c r="K2792" s="79">
        <v>0</v>
      </c>
      <c r="L2792" s="70">
        <v>5406.5199999999995</v>
      </c>
      <c r="M2792" s="132"/>
      <c r="N2792" s="79">
        <v>4509.9399999999996</v>
      </c>
      <c r="O2792" s="79">
        <v>896.58</v>
      </c>
      <c r="P2792" s="79">
        <v>5406.5199999999995</v>
      </c>
      <c r="Q2792" s="136"/>
      <c r="R2792" s="79">
        <v>4509.9399999999996</v>
      </c>
      <c r="S2792" s="79">
        <v>896.63</v>
      </c>
      <c r="T2792" s="79">
        <v>5406.57</v>
      </c>
      <c r="U2792" s="79">
        <v>0</v>
      </c>
      <c r="V2792" s="189">
        <v>5406.57</v>
      </c>
      <c r="X2792" s="79">
        <v>4509.9399999999996</v>
      </c>
      <c r="Y2792" s="79">
        <v>896.63</v>
      </c>
      <c r="Z2792" s="79">
        <v>5406.57</v>
      </c>
      <c r="AA2792" s="255">
        <v>-4.9999999999272404E-2</v>
      </c>
      <c r="AC2792" s="254"/>
      <c r="AD2792" s="61"/>
      <c r="AE2792" s="61"/>
    </row>
    <row r="2793" spans="1:31" s="69" customFormat="1" ht="12">
      <c r="A2793" s="67" t="s">
        <v>15916</v>
      </c>
      <c r="B2793" s="65" t="s">
        <v>15917</v>
      </c>
      <c r="C2793" s="71" t="s">
        <v>103</v>
      </c>
      <c r="D2793" s="78">
        <v>1</v>
      </c>
      <c r="E2793" s="79">
        <v>6020.46</v>
      </c>
      <c r="F2793" s="70">
        <v>6020.46</v>
      </c>
      <c r="G2793" s="320"/>
      <c r="H2793" s="79">
        <v>5123.88</v>
      </c>
      <c r="I2793" s="79">
        <v>896.58</v>
      </c>
      <c r="J2793" s="79">
        <v>6020.46</v>
      </c>
      <c r="K2793" s="79">
        <v>0</v>
      </c>
      <c r="L2793" s="70">
        <v>6020.46</v>
      </c>
      <c r="M2793" s="132"/>
      <c r="N2793" s="79">
        <v>5123.88</v>
      </c>
      <c r="O2793" s="79">
        <v>896.58</v>
      </c>
      <c r="P2793" s="79">
        <v>6020.46</v>
      </c>
      <c r="Q2793" s="136"/>
      <c r="R2793" s="79">
        <v>5123.88</v>
      </c>
      <c r="S2793" s="79">
        <v>896.63</v>
      </c>
      <c r="T2793" s="79">
        <v>6020.51</v>
      </c>
      <c r="U2793" s="79">
        <v>0</v>
      </c>
      <c r="V2793" s="189">
        <v>6020.51</v>
      </c>
      <c r="W2793" s="61"/>
      <c r="X2793" s="79">
        <v>5123.88</v>
      </c>
      <c r="Y2793" s="79">
        <v>896.63</v>
      </c>
      <c r="Z2793" s="79">
        <v>6020.51</v>
      </c>
      <c r="AA2793" s="255">
        <v>-5.0000000000181899E-2</v>
      </c>
      <c r="AB2793" s="61"/>
      <c r="AC2793" s="254"/>
      <c r="AD2793" s="61"/>
      <c r="AE2793" s="61"/>
    </row>
    <row r="2794" spans="1:31" s="61" customFormat="1" ht="12">
      <c r="A2794" s="67" t="s">
        <v>15918</v>
      </c>
      <c r="B2794" s="65" t="s">
        <v>15919</v>
      </c>
      <c r="C2794" s="71" t="s">
        <v>103</v>
      </c>
      <c r="D2794" s="78">
        <v>1</v>
      </c>
      <c r="E2794" s="79">
        <v>6457.99</v>
      </c>
      <c r="F2794" s="70">
        <v>6457.99</v>
      </c>
      <c r="G2794" s="320"/>
      <c r="H2794" s="79">
        <v>5561.41</v>
      </c>
      <c r="I2794" s="79">
        <v>896.58</v>
      </c>
      <c r="J2794" s="79">
        <v>6457.99</v>
      </c>
      <c r="K2794" s="79">
        <v>0</v>
      </c>
      <c r="L2794" s="70">
        <v>6457.99</v>
      </c>
      <c r="M2794" s="132"/>
      <c r="N2794" s="79">
        <v>5561.41</v>
      </c>
      <c r="O2794" s="79">
        <v>896.58</v>
      </c>
      <c r="P2794" s="79">
        <v>6457.99</v>
      </c>
      <c r="Q2794" s="136"/>
      <c r="R2794" s="79">
        <v>5561.41</v>
      </c>
      <c r="S2794" s="79">
        <v>896.63</v>
      </c>
      <c r="T2794" s="79">
        <v>6458.04</v>
      </c>
      <c r="U2794" s="79">
        <v>0</v>
      </c>
      <c r="V2794" s="189">
        <v>6458.04</v>
      </c>
      <c r="X2794" s="79">
        <v>5561.41</v>
      </c>
      <c r="Y2794" s="79">
        <v>896.63</v>
      </c>
      <c r="Z2794" s="79">
        <v>6458.04</v>
      </c>
      <c r="AA2794" s="255">
        <v>-5.0000000000181899E-2</v>
      </c>
      <c r="AC2794" s="254"/>
    </row>
    <row r="2795" spans="1:31" s="61" customFormat="1" ht="12">
      <c r="A2795" s="67" t="s">
        <v>15920</v>
      </c>
      <c r="B2795" s="65" t="s">
        <v>15921</v>
      </c>
      <c r="C2795" s="71" t="s">
        <v>103</v>
      </c>
      <c r="D2795" s="78">
        <v>1</v>
      </c>
      <c r="E2795" s="79">
        <v>6640.4</v>
      </c>
      <c r="F2795" s="70">
        <v>6640.4</v>
      </c>
      <c r="G2795" s="320"/>
      <c r="H2795" s="79">
        <v>5743.82</v>
      </c>
      <c r="I2795" s="79">
        <v>896.58</v>
      </c>
      <c r="J2795" s="79">
        <v>6640.4</v>
      </c>
      <c r="K2795" s="79">
        <v>0</v>
      </c>
      <c r="L2795" s="70">
        <v>6640.4</v>
      </c>
      <c r="M2795" s="132"/>
      <c r="N2795" s="79">
        <v>5743.82</v>
      </c>
      <c r="O2795" s="79">
        <v>896.58</v>
      </c>
      <c r="P2795" s="79">
        <v>6640.4</v>
      </c>
      <c r="Q2795" s="136"/>
      <c r="R2795" s="79">
        <v>5743.82</v>
      </c>
      <c r="S2795" s="79">
        <v>896.63</v>
      </c>
      <c r="T2795" s="79">
        <v>6640.45</v>
      </c>
      <c r="U2795" s="79">
        <v>0</v>
      </c>
      <c r="V2795" s="189">
        <v>6640.45</v>
      </c>
      <c r="X2795" s="79">
        <v>5743.82</v>
      </c>
      <c r="Y2795" s="79">
        <v>896.63</v>
      </c>
      <c r="Z2795" s="79">
        <v>6640.45</v>
      </c>
      <c r="AA2795" s="255">
        <v>-5.0000000000181899E-2</v>
      </c>
      <c r="AC2795" s="254"/>
    </row>
    <row r="2796" spans="1:31" s="61" customFormat="1" ht="12">
      <c r="A2796" s="489" t="s">
        <v>15922</v>
      </c>
      <c r="B2796" s="490" t="s">
        <v>15923</v>
      </c>
      <c r="C2796" s="491"/>
      <c r="D2796" s="492"/>
      <c r="E2796" s="79"/>
      <c r="F2796" s="63"/>
      <c r="G2796" s="320"/>
      <c r="H2796" s="79"/>
      <c r="I2796" s="79"/>
      <c r="J2796" s="79"/>
      <c r="K2796" s="79"/>
      <c r="L2796" s="70"/>
      <c r="M2796" s="132"/>
      <c r="N2796" s="79"/>
      <c r="O2796" s="79"/>
      <c r="P2796" s="79"/>
      <c r="Q2796" s="136"/>
      <c r="R2796" s="79"/>
      <c r="S2796" s="79"/>
      <c r="T2796" s="79"/>
      <c r="U2796" s="79"/>
      <c r="V2796" s="189"/>
      <c r="X2796" s="79"/>
      <c r="Y2796" s="79"/>
      <c r="Z2796" s="79"/>
      <c r="AA2796" s="255"/>
      <c r="AC2796" s="254"/>
    </row>
    <row r="2797" spans="1:31" s="61" customFormat="1" ht="24">
      <c r="A2797" s="67" t="s">
        <v>15924</v>
      </c>
      <c r="B2797" s="65" t="s">
        <v>15925</v>
      </c>
      <c r="C2797" s="71" t="s">
        <v>103</v>
      </c>
      <c r="D2797" s="78">
        <v>1</v>
      </c>
      <c r="E2797" s="79">
        <v>11703.66</v>
      </c>
      <c r="F2797" s="70">
        <v>11703.66</v>
      </c>
      <c r="G2797" s="320"/>
      <c r="H2797" s="79">
        <v>11389.52</v>
      </c>
      <c r="I2797" s="79">
        <v>314.14</v>
      </c>
      <c r="J2797" s="79">
        <v>11703.66</v>
      </c>
      <c r="K2797" s="79">
        <v>0</v>
      </c>
      <c r="L2797" s="70">
        <v>11703.66</v>
      </c>
      <c r="M2797" s="132"/>
      <c r="N2797" s="79">
        <v>11389.52</v>
      </c>
      <c r="O2797" s="79">
        <v>314.14</v>
      </c>
      <c r="P2797" s="79">
        <v>11703.66</v>
      </c>
      <c r="Q2797" s="136"/>
      <c r="R2797" s="79">
        <v>11389.52</v>
      </c>
      <c r="S2797" s="79">
        <v>314.16000000000003</v>
      </c>
      <c r="T2797" s="79">
        <v>11703.68</v>
      </c>
      <c r="U2797" s="79">
        <v>0</v>
      </c>
      <c r="V2797" s="189">
        <v>11703.68</v>
      </c>
      <c r="X2797" s="79">
        <v>11389.52</v>
      </c>
      <c r="Y2797" s="79">
        <v>314.16000000000003</v>
      </c>
      <c r="Z2797" s="79">
        <v>11703.68</v>
      </c>
      <c r="AA2797" s="255">
        <v>-2.0000000000436557E-2</v>
      </c>
      <c r="AC2797" s="254"/>
    </row>
    <row r="2798" spans="1:31" s="61" customFormat="1" ht="24">
      <c r="A2798" s="67" t="s">
        <v>15926</v>
      </c>
      <c r="B2798" s="65" t="s">
        <v>15927</v>
      </c>
      <c r="C2798" s="71" t="s">
        <v>103</v>
      </c>
      <c r="D2798" s="78">
        <v>1</v>
      </c>
      <c r="E2798" s="79">
        <v>20216</v>
      </c>
      <c r="F2798" s="70">
        <v>20216</v>
      </c>
      <c r="G2798" s="320"/>
      <c r="H2798" s="79">
        <v>19901.86</v>
      </c>
      <c r="I2798" s="79">
        <v>314.14</v>
      </c>
      <c r="J2798" s="79">
        <v>20216</v>
      </c>
      <c r="K2798" s="79">
        <v>0</v>
      </c>
      <c r="L2798" s="70">
        <v>20216</v>
      </c>
      <c r="M2798" s="132"/>
      <c r="N2798" s="79">
        <v>19901.86</v>
      </c>
      <c r="O2798" s="79">
        <v>314.14</v>
      </c>
      <c r="P2798" s="79">
        <v>20216</v>
      </c>
      <c r="Q2798" s="136"/>
      <c r="R2798" s="79">
        <v>19901.86</v>
      </c>
      <c r="S2798" s="79">
        <v>314.16000000000003</v>
      </c>
      <c r="T2798" s="79">
        <v>20216.02</v>
      </c>
      <c r="U2798" s="79">
        <v>0</v>
      </c>
      <c r="V2798" s="189">
        <v>20216.02</v>
      </c>
      <c r="X2798" s="79">
        <v>19901.86</v>
      </c>
      <c r="Y2798" s="79">
        <v>314.16000000000003</v>
      </c>
      <c r="Z2798" s="79">
        <v>20216.02</v>
      </c>
      <c r="AA2798" s="255">
        <v>-2.0000000000436557E-2</v>
      </c>
      <c r="AC2798" s="254"/>
      <c r="AD2798" s="69"/>
      <c r="AE2798" s="69"/>
    </row>
    <row r="2799" spans="1:31" s="61" customFormat="1" ht="24">
      <c r="A2799" s="67" t="s">
        <v>15928</v>
      </c>
      <c r="B2799" s="65" t="s">
        <v>15929</v>
      </c>
      <c r="C2799" s="71" t="s">
        <v>103</v>
      </c>
      <c r="D2799" s="78">
        <v>1</v>
      </c>
      <c r="E2799" s="79">
        <v>5886.5999999999995</v>
      </c>
      <c r="F2799" s="70">
        <v>5886.6</v>
      </c>
      <c r="G2799" s="320"/>
      <c r="H2799" s="79">
        <v>5572.46</v>
      </c>
      <c r="I2799" s="79">
        <v>314.14</v>
      </c>
      <c r="J2799" s="79">
        <v>5886.6</v>
      </c>
      <c r="K2799" s="79">
        <v>0</v>
      </c>
      <c r="L2799" s="70">
        <v>5886.6</v>
      </c>
      <c r="M2799" s="132"/>
      <c r="N2799" s="79">
        <v>5572.46</v>
      </c>
      <c r="O2799" s="79">
        <v>314.14</v>
      </c>
      <c r="P2799" s="79">
        <v>5886.6</v>
      </c>
      <c r="Q2799" s="136"/>
      <c r="R2799" s="79">
        <v>5572.46</v>
      </c>
      <c r="S2799" s="79">
        <v>314.16000000000003</v>
      </c>
      <c r="T2799" s="79">
        <v>5886.62</v>
      </c>
      <c r="U2799" s="79">
        <v>0</v>
      </c>
      <c r="V2799" s="189">
        <v>5886.62</v>
      </c>
      <c r="X2799" s="79">
        <v>5572.46</v>
      </c>
      <c r="Y2799" s="79">
        <v>314.16000000000003</v>
      </c>
      <c r="Z2799" s="79">
        <v>5886.62</v>
      </c>
      <c r="AA2799" s="255">
        <v>-1.9999999999527063E-2</v>
      </c>
      <c r="AC2799" s="254"/>
      <c r="AD2799" s="69"/>
      <c r="AE2799" s="69"/>
    </row>
    <row r="2800" spans="1:31" s="69" customFormat="1" ht="24">
      <c r="A2800" s="67" t="s">
        <v>15930</v>
      </c>
      <c r="B2800" s="65" t="s">
        <v>15931</v>
      </c>
      <c r="C2800" s="71" t="s">
        <v>103</v>
      </c>
      <c r="D2800" s="78">
        <v>1</v>
      </c>
      <c r="E2800" s="79">
        <v>2968.0299999999997</v>
      </c>
      <c r="F2800" s="70">
        <v>2968.03</v>
      </c>
      <c r="G2800" s="320"/>
      <c r="H2800" s="79">
        <v>2653.89</v>
      </c>
      <c r="I2800" s="79">
        <v>314.14</v>
      </c>
      <c r="J2800" s="79">
        <v>2968.0299999999997</v>
      </c>
      <c r="K2800" s="79">
        <v>0</v>
      </c>
      <c r="L2800" s="70">
        <v>2968.0299999999997</v>
      </c>
      <c r="M2800" s="132"/>
      <c r="N2800" s="79">
        <v>2653.89</v>
      </c>
      <c r="O2800" s="79">
        <v>314.14</v>
      </c>
      <c r="P2800" s="79">
        <v>2968.0299999999997</v>
      </c>
      <c r="Q2800" s="136"/>
      <c r="R2800" s="79">
        <v>2653.89</v>
      </c>
      <c r="S2800" s="79">
        <v>314.16000000000003</v>
      </c>
      <c r="T2800" s="79">
        <v>2968.0499999999997</v>
      </c>
      <c r="U2800" s="79">
        <v>0</v>
      </c>
      <c r="V2800" s="189">
        <v>2968.0499999999997</v>
      </c>
      <c r="W2800" s="61"/>
      <c r="X2800" s="79">
        <v>2653.89</v>
      </c>
      <c r="Y2800" s="79">
        <v>314.16000000000003</v>
      </c>
      <c r="Z2800" s="79">
        <v>2968.05</v>
      </c>
      <c r="AA2800" s="255">
        <v>-1.999999999998181E-2</v>
      </c>
      <c r="AB2800" s="61"/>
      <c r="AC2800" s="254"/>
    </row>
    <row r="2801" spans="1:31" s="69" customFormat="1" ht="24">
      <c r="A2801" s="67" t="s">
        <v>15932</v>
      </c>
      <c r="B2801" s="65" t="s">
        <v>15933</v>
      </c>
      <c r="C2801" s="71" t="s">
        <v>103</v>
      </c>
      <c r="D2801" s="78">
        <v>1</v>
      </c>
      <c r="E2801" s="79">
        <v>53048.950000000004</v>
      </c>
      <c r="F2801" s="70">
        <v>53048.95</v>
      </c>
      <c r="G2801" s="320"/>
      <c r="H2801" s="79">
        <v>52734.810000000005</v>
      </c>
      <c r="I2801" s="79">
        <v>314.14</v>
      </c>
      <c r="J2801" s="79">
        <v>53048.950000000004</v>
      </c>
      <c r="K2801" s="79">
        <v>0</v>
      </c>
      <c r="L2801" s="70">
        <v>53048.950000000004</v>
      </c>
      <c r="M2801" s="132"/>
      <c r="N2801" s="79">
        <v>52734.810000000005</v>
      </c>
      <c r="O2801" s="79">
        <v>314.14</v>
      </c>
      <c r="P2801" s="79">
        <v>53048.950000000004</v>
      </c>
      <c r="Q2801" s="136"/>
      <c r="R2801" s="79">
        <v>52734.81</v>
      </c>
      <c r="S2801" s="79">
        <v>314.16000000000003</v>
      </c>
      <c r="T2801" s="79">
        <v>53048.97</v>
      </c>
      <c r="U2801" s="79">
        <v>0</v>
      </c>
      <c r="V2801" s="189">
        <v>53048.97</v>
      </c>
      <c r="W2801" s="61"/>
      <c r="X2801" s="79">
        <v>52734.81</v>
      </c>
      <c r="Y2801" s="79">
        <v>314.16000000000003</v>
      </c>
      <c r="Z2801" s="79">
        <v>53048.97</v>
      </c>
      <c r="AA2801" s="255">
        <v>-2.0000000004074536E-2</v>
      </c>
      <c r="AB2801" s="61"/>
      <c r="AC2801" s="254"/>
    </row>
    <row r="2802" spans="1:31" s="69" customFormat="1" ht="12">
      <c r="A2802" s="67" t="s">
        <v>15934</v>
      </c>
      <c r="B2802" s="65" t="s">
        <v>15935</v>
      </c>
      <c r="C2802" s="71" t="s">
        <v>103</v>
      </c>
      <c r="D2802" s="78">
        <v>1</v>
      </c>
      <c r="E2802" s="79">
        <v>4187.88</v>
      </c>
      <c r="F2802" s="70">
        <v>4187.88</v>
      </c>
      <c r="G2802" s="320"/>
      <c r="H2802" s="79">
        <v>3873.7400000000002</v>
      </c>
      <c r="I2802" s="79">
        <v>314.14</v>
      </c>
      <c r="J2802" s="79">
        <v>4187.88</v>
      </c>
      <c r="K2802" s="79">
        <v>0</v>
      </c>
      <c r="L2802" s="70">
        <v>4187.88</v>
      </c>
      <c r="M2802" s="132"/>
      <c r="N2802" s="79">
        <v>3873.7400000000002</v>
      </c>
      <c r="O2802" s="79">
        <v>314.14</v>
      </c>
      <c r="P2802" s="79">
        <v>4187.88</v>
      </c>
      <c r="Q2802" s="136"/>
      <c r="R2802" s="79">
        <v>3873.74</v>
      </c>
      <c r="S2802" s="79">
        <v>314.16000000000003</v>
      </c>
      <c r="T2802" s="79">
        <v>4187.8999999999996</v>
      </c>
      <c r="U2802" s="79">
        <v>0</v>
      </c>
      <c r="V2802" s="189">
        <v>4187.8999999999996</v>
      </c>
      <c r="W2802" s="61"/>
      <c r="X2802" s="79">
        <v>3873.74</v>
      </c>
      <c r="Y2802" s="79">
        <v>314.16000000000003</v>
      </c>
      <c r="Z2802" s="79">
        <v>4187.8999999999996</v>
      </c>
      <c r="AA2802" s="255">
        <v>-1.9999999999527063E-2</v>
      </c>
      <c r="AB2802" s="61"/>
      <c r="AC2802" s="254"/>
      <c r="AD2802" s="61"/>
      <c r="AE2802" s="61"/>
    </row>
    <row r="2803" spans="1:31" s="69" customFormat="1" ht="24">
      <c r="A2803" s="67" t="s">
        <v>15936</v>
      </c>
      <c r="B2803" s="65" t="s">
        <v>15937</v>
      </c>
      <c r="C2803" s="71" t="s">
        <v>103</v>
      </c>
      <c r="D2803" s="78">
        <v>1</v>
      </c>
      <c r="E2803" s="79">
        <v>12328.419999999998</v>
      </c>
      <c r="F2803" s="70">
        <v>12328.42</v>
      </c>
      <c r="G2803" s="320"/>
      <c r="H2803" s="79">
        <v>12014.279999999999</v>
      </c>
      <c r="I2803" s="79">
        <v>314.14</v>
      </c>
      <c r="J2803" s="79">
        <v>12328.419999999998</v>
      </c>
      <c r="K2803" s="79">
        <v>0</v>
      </c>
      <c r="L2803" s="70">
        <v>12328.419999999998</v>
      </c>
      <c r="M2803" s="132"/>
      <c r="N2803" s="79">
        <v>12014.279999999999</v>
      </c>
      <c r="O2803" s="79">
        <v>314.14</v>
      </c>
      <c r="P2803" s="79">
        <v>12328.419999999998</v>
      </c>
      <c r="Q2803" s="136"/>
      <c r="R2803" s="79">
        <v>12014.28</v>
      </c>
      <c r="S2803" s="79">
        <v>314.16000000000003</v>
      </c>
      <c r="T2803" s="79">
        <v>12328.44</v>
      </c>
      <c r="U2803" s="79">
        <v>0</v>
      </c>
      <c r="V2803" s="189">
        <v>12328.44</v>
      </c>
      <c r="W2803" s="61"/>
      <c r="X2803" s="79">
        <v>12014.28</v>
      </c>
      <c r="Y2803" s="79">
        <v>314.16000000000003</v>
      </c>
      <c r="Z2803" s="79">
        <v>12328.44</v>
      </c>
      <c r="AA2803" s="255">
        <v>-2.0000000000436557E-2</v>
      </c>
      <c r="AB2803" s="61"/>
      <c r="AC2803" s="254"/>
      <c r="AD2803" s="61"/>
      <c r="AE2803" s="61"/>
    </row>
    <row r="2804" spans="1:31" s="61" customFormat="1" ht="24">
      <c r="A2804" s="67" t="s">
        <v>15938</v>
      </c>
      <c r="B2804" s="65" t="s">
        <v>15939</v>
      </c>
      <c r="C2804" s="71" t="s">
        <v>103</v>
      </c>
      <c r="D2804" s="78">
        <v>1</v>
      </c>
      <c r="E2804" s="79">
        <v>5674.81</v>
      </c>
      <c r="F2804" s="70">
        <v>5674.81</v>
      </c>
      <c r="G2804" s="320"/>
      <c r="H2804" s="79">
        <v>5360.67</v>
      </c>
      <c r="I2804" s="79">
        <v>314.14</v>
      </c>
      <c r="J2804" s="79">
        <v>5674.81</v>
      </c>
      <c r="K2804" s="79">
        <v>0</v>
      </c>
      <c r="L2804" s="70">
        <v>5674.81</v>
      </c>
      <c r="M2804" s="132"/>
      <c r="N2804" s="79">
        <v>5360.67</v>
      </c>
      <c r="O2804" s="79">
        <v>314.14</v>
      </c>
      <c r="P2804" s="79">
        <v>5674.81</v>
      </c>
      <c r="Q2804" s="136"/>
      <c r="R2804" s="79">
        <v>5360.67</v>
      </c>
      <c r="S2804" s="79">
        <v>314.16000000000003</v>
      </c>
      <c r="T2804" s="79">
        <v>5674.83</v>
      </c>
      <c r="U2804" s="79">
        <v>0</v>
      </c>
      <c r="V2804" s="189">
        <v>5674.83</v>
      </c>
      <c r="X2804" s="79">
        <v>5360.67</v>
      </c>
      <c r="Y2804" s="79">
        <v>314.16000000000003</v>
      </c>
      <c r="Z2804" s="79">
        <v>5674.83</v>
      </c>
      <c r="AA2804" s="255">
        <v>-1.9999999999527063E-2</v>
      </c>
      <c r="AC2804" s="254"/>
      <c r="AD2804" s="236"/>
      <c r="AE2804" s="236"/>
    </row>
    <row r="2805" spans="1:31" s="61" customFormat="1" ht="24">
      <c r="A2805" s="67" t="s">
        <v>15940</v>
      </c>
      <c r="B2805" s="65" t="s">
        <v>15941</v>
      </c>
      <c r="C2805" s="71" t="s">
        <v>103</v>
      </c>
      <c r="D2805" s="78">
        <v>1</v>
      </c>
      <c r="E2805" s="79">
        <v>19090.560000000001</v>
      </c>
      <c r="F2805" s="70">
        <v>19090.560000000001</v>
      </c>
      <c r="G2805" s="320"/>
      <c r="H2805" s="79">
        <v>18776.419999999998</v>
      </c>
      <c r="I2805" s="79">
        <v>314.14</v>
      </c>
      <c r="J2805" s="79">
        <v>19090.559999999998</v>
      </c>
      <c r="K2805" s="79">
        <v>0</v>
      </c>
      <c r="L2805" s="70">
        <v>19090.559999999998</v>
      </c>
      <c r="M2805" s="132"/>
      <c r="N2805" s="79">
        <v>18776.419999999998</v>
      </c>
      <c r="O2805" s="79">
        <v>314.14</v>
      </c>
      <c r="P2805" s="79">
        <v>19090.559999999998</v>
      </c>
      <c r="Q2805" s="136"/>
      <c r="R2805" s="79">
        <v>18776.419999999998</v>
      </c>
      <c r="S2805" s="79">
        <v>314.16000000000003</v>
      </c>
      <c r="T2805" s="79">
        <v>19090.579999999998</v>
      </c>
      <c r="U2805" s="79">
        <v>0</v>
      </c>
      <c r="V2805" s="189">
        <v>19090.579999999998</v>
      </c>
      <c r="X2805" s="79">
        <v>18776.419999999998</v>
      </c>
      <c r="Y2805" s="79">
        <v>314.16000000000003</v>
      </c>
      <c r="Z2805" s="79">
        <v>19090.580000000002</v>
      </c>
      <c r="AA2805" s="255">
        <v>-2.0000000000436557E-2</v>
      </c>
      <c r="AC2805" s="254"/>
      <c r="AD2805" s="236"/>
      <c r="AE2805" s="236"/>
    </row>
    <row r="2806" spans="1:31" ht="24">
      <c r="A2806" s="67" t="s">
        <v>15942</v>
      </c>
      <c r="B2806" s="65" t="s">
        <v>15943</v>
      </c>
      <c r="C2806" s="71" t="s">
        <v>103</v>
      </c>
      <c r="D2806" s="78">
        <v>1</v>
      </c>
      <c r="E2806" s="79">
        <v>4215.82</v>
      </c>
      <c r="F2806" s="70">
        <v>4215.82</v>
      </c>
      <c r="G2806" s="320"/>
      <c r="H2806" s="79">
        <v>3901.6800000000003</v>
      </c>
      <c r="I2806" s="79">
        <v>314.14</v>
      </c>
      <c r="J2806" s="79">
        <v>4215.8200000000006</v>
      </c>
      <c r="K2806" s="79">
        <v>0</v>
      </c>
      <c r="L2806" s="70">
        <v>4215.8200000000006</v>
      </c>
      <c r="M2806" s="132"/>
      <c r="N2806" s="79">
        <v>3901.6800000000003</v>
      </c>
      <c r="O2806" s="79">
        <v>314.14</v>
      </c>
      <c r="P2806" s="79">
        <v>4215.8200000000006</v>
      </c>
      <c r="Q2806" s="136"/>
      <c r="R2806" s="79">
        <v>3901.68</v>
      </c>
      <c r="S2806" s="79">
        <v>314.16000000000003</v>
      </c>
      <c r="T2806" s="79">
        <v>4215.84</v>
      </c>
      <c r="U2806" s="79">
        <v>0</v>
      </c>
      <c r="V2806" s="189">
        <v>4215.84</v>
      </c>
      <c r="X2806" s="79">
        <v>3901.68</v>
      </c>
      <c r="Y2806" s="79">
        <v>314.16000000000003</v>
      </c>
      <c r="Z2806" s="79">
        <v>4215.84</v>
      </c>
      <c r="AA2806" s="255">
        <v>-2.0000000000436557E-2</v>
      </c>
      <c r="AC2806" s="254"/>
    </row>
    <row r="2807" spans="1:31" ht="24">
      <c r="A2807" s="67" t="s">
        <v>15944</v>
      </c>
      <c r="B2807" s="65" t="s">
        <v>15945</v>
      </c>
      <c r="C2807" s="71" t="s">
        <v>103</v>
      </c>
      <c r="D2807" s="78">
        <v>1</v>
      </c>
      <c r="E2807" s="79">
        <v>6383.63</v>
      </c>
      <c r="F2807" s="70">
        <v>6383.63</v>
      </c>
      <c r="G2807" s="320"/>
      <c r="H2807" s="79">
        <v>6069.49</v>
      </c>
      <c r="I2807" s="79">
        <v>314.14</v>
      </c>
      <c r="J2807" s="79">
        <v>6383.63</v>
      </c>
      <c r="K2807" s="79">
        <v>0</v>
      </c>
      <c r="L2807" s="70">
        <v>6383.63</v>
      </c>
      <c r="M2807" s="132"/>
      <c r="N2807" s="79">
        <v>6069.49</v>
      </c>
      <c r="O2807" s="79">
        <v>314.14</v>
      </c>
      <c r="P2807" s="79">
        <v>6383.63</v>
      </c>
      <c r="Q2807" s="136"/>
      <c r="R2807" s="79">
        <v>6069.49</v>
      </c>
      <c r="S2807" s="79">
        <v>314.16000000000003</v>
      </c>
      <c r="T2807" s="79">
        <v>6383.65</v>
      </c>
      <c r="U2807" s="79">
        <v>0</v>
      </c>
      <c r="V2807" s="189">
        <v>6383.65</v>
      </c>
      <c r="X2807" s="79">
        <v>6069.49</v>
      </c>
      <c r="Y2807" s="79">
        <v>314.16000000000003</v>
      </c>
      <c r="Z2807" s="79">
        <v>6383.65</v>
      </c>
      <c r="AA2807" s="255">
        <v>-1.9999999999527063E-2</v>
      </c>
      <c r="AC2807" s="254"/>
    </row>
    <row r="2808" spans="1:31" ht="24">
      <c r="A2808" s="67" t="s">
        <v>15946</v>
      </c>
      <c r="B2808" s="65" t="s">
        <v>15947</v>
      </c>
      <c r="C2808" s="71" t="s">
        <v>103</v>
      </c>
      <c r="D2808" s="78">
        <v>1</v>
      </c>
      <c r="E2808" s="79">
        <v>6407.39</v>
      </c>
      <c r="F2808" s="70">
        <v>6407.39</v>
      </c>
      <c r="G2808" s="320"/>
      <c r="H2808" s="79">
        <v>6093.25</v>
      </c>
      <c r="I2808" s="79">
        <v>314.14</v>
      </c>
      <c r="J2808" s="79">
        <v>6407.39</v>
      </c>
      <c r="K2808" s="79">
        <v>0</v>
      </c>
      <c r="L2808" s="70">
        <v>6407.39</v>
      </c>
      <c r="M2808" s="132"/>
      <c r="N2808" s="79">
        <v>6093.25</v>
      </c>
      <c r="O2808" s="79">
        <v>314.14</v>
      </c>
      <c r="P2808" s="79">
        <v>6407.39</v>
      </c>
      <c r="Q2808" s="136"/>
      <c r="R2808" s="79">
        <v>6093.25</v>
      </c>
      <c r="S2808" s="79">
        <v>314.16000000000003</v>
      </c>
      <c r="T2808" s="79">
        <v>6407.41</v>
      </c>
      <c r="U2808" s="79">
        <v>0</v>
      </c>
      <c r="V2808" s="189">
        <v>6407.41</v>
      </c>
      <c r="X2808" s="79">
        <v>6093.25</v>
      </c>
      <c r="Y2808" s="79">
        <v>314.16000000000003</v>
      </c>
      <c r="Z2808" s="79">
        <v>6407.41</v>
      </c>
      <c r="AA2808" s="255">
        <v>-1.9999999999527063E-2</v>
      </c>
      <c r="AC2808" s="254"/>
    </row>
    <row r="2809" spans="1:31" ht="24">
      <c r="A2809" s="67" t="s">
        <v>15948</v>
      </c>
      <c r="B2809" s="65" t="s">
        <v>15949</v>
      </c>
      <c r="C2809" s="71" t="s">
        <v>103</v>
      </c>
      <c r="D2809" s="78">
        <v>1</v>
      </c>
      <c r="E2809" s="79">
        <v>9778.82</v>
      </c>
      <c r="F2809" s="70">
        <v>9778.82</v>
      </c>
      <c r="G2809" s="320"/>
      <c r="H2809" s="79">
        <v>9464.68</v>
      </c>
      <c r="I2809" s="79">
        <v>314.14</v>
      </c>
      <c r="J2809" s="79">
        <v>9778.82</v>
      </c>
      <c r="K2809" s="79">
        <v>0</v>
      </c>
      <c r="L2809" s="70">
        <v>9778.82</v>
      </c>
      <c r="M2809" s="132"/>
      <c r="N2809" s="79">
        <v>9464.68</v>
      </c>
      <c r="O2809" s="79">
        <v>314.14</v>
      </c>
      <c r="P2809" s="79">
        <v>9778.82</v>
      </c>
      <c r="Q2809" s="136"/>
      <c r="R2809" s="79">
        <v>9464.68</v>
      </c>
      <c r="S2809" s="79">
        <v>314.16000000000003</v>
      </c>
      <c r="T2809" s="79">
        <v>9778.84</v>
      </c>
      <c r="U2809" s="79">
        <v>0</v>
      </c>
      <c r="V2809" s="189">
        <v>9778.84</v>
      </c>
      <c r="X2809" s="79">
        <v>9464.68</v>
      </c>
      <c r="Y2809" s="79">
        <v>314.16000000000003</v>
      </c>
      <c r="Z2809" s="79">
        <v>9778.84</v>
      </c>
      <c r="AA2809" s="255">
        <v>-2.0000000000436557E-2</v>
      </c>
      <c r="AC2809" s="254"/>
    </row>
    <row r="2810" spans="1:31" ht="24">
      <c r="A2810" s="67" t="s">
        <v>15950</v>
      </c>
      <c r="B2810" s="65" t="s">
        <v>15951</v>
      </c>
      <c r="C2810" s="71" t="s">
        <v>103</v>
      </c>
      <c r="D2810" s="78">
        <v>1</v>
      </c>
      <c r="E2810" s="79">
        <v>6892.71</v>
      </c>
      <c r="F2810" s="70">
        <v>6892.71</v>
      </c>
      <c r="G2810" s="320"/>
      <c r="H2810" s="79">
        <v>6578.57</v>
      </c>
      <c r="I2810" s="79">
        <v>314.14</v>
      </c>
      <c r="J2810" s="79">
        <v>6892.71</v>
      </c>
      <c r="K2810" s="79">
        <v>0</v>
      </c>
      <c r="L2810" s="70">
        <v>6892.71</v>
      </c>
      <c r="M2810" s="132"/>
      <c r="N2810" s="79">
        <v>6578.57</v>
      </c>
      <c r="O2810" s="79">
        <v>314.14</v>
      </c>
      <c r="P2810" s="79">
        <v>6892.71</v>
      </c>
      <c r="Q2810" s="136"/>
      <c r="R2810" s="79">
        <v>6578.57</v>
      </c>
      <c r="S2810" s="79">
        <v>314.16000000000003</v>
      </c>
      <c r="T2810" s="79">
        <v>6892.73</v>
      </c>
      <c r="U2810" s="79">
        <v>0</v>
      </c>
      <c r="V2810" s="189">
        <v>6892.73</v>
      </c>
      <c r="X2810" s="79">
        <v>6578.57</v>
      </c>
      <c r="Y2810" s="79">
        <v>314.16000000000003</v>
      </c>
      <c r="Z2810" s="79">
        <v>6892.73</v>
      </c>
      <c r="AA2810" s="255">
        <v>-1.9999999999527063E-2</v>
      </c>
      <c r="AC2810" s="254"/>
      <c r="AD2810" s="69"/>
      <c r="AE2810" s="69"/>
    </row>
    <row r="2811" spans="1:31" ht="24">
      <c r="A2811" s="67" t="s">
        <v>15952</v>
      </c>
      <c r="B2811" s="65" t="s">
        <v>15953</v>
      </c>
      <c r="C2811" s="71" t="s">
        <v>103</v>
      </c>
      <c r="D2811" s="78">
        <v>1</v>
      </c>
      <c r="E2811" s="79">
        <v>2485.29</v>
      </c>
      <c r="F2811" s="70">
        <v>2485.29</v>
      </c>
      <c r="G2811" s="320"/>
      <c r="H2811" s="79">
        <v>2171.15</v>
      </c>
      <c r="I2811" s="79">
        <v>314.14</v>
      </c>
      <c r="J2811" s="79">
        <v>2485.29</v>
      </c>
      <c r="K2811" s="79">
        <v>0</v>
      </c>
      <c r="L2811" s="70">
        <v>2485.29</v>
      </c>
      <c r="M2811" s="132"/>
      <c r="N2811" s="79">
        <v>2171.15</v>
      </c>
      <c r="O2811" s="79">
        <v>314.14</v>
      </c>
      <c r="P2811" s="79">
        <v>2485.29</v>
      </c>
      <c r="Q2811" s="136"/>
      <c r="R2811" s="79">
        <v>2171.15</v>
      </c>
      <c r="S2811" s="79">
        <v>314.16000000000003</v>
      </c>
      <c r="T2811" s="79">
        <v>2485.31</v>
      </c>
      <c r="U2811" s="79">
        <v>0</v>
      </c>
      <c r="V2811" s="189">
        <v>2485.31</v>
      </c>
      <c r="X2811" s="79">
        <v>2171.15</v>
      </c>
      <c r="Y2811" s="79">
        <v>314.16000000000003</v>
      </c>
      <c r="Z2811" s="79">
        <v>2485.31</v>
      </c>
      <c r="AA2811" s="255">
        <v>-1.999999999998181E-2</v>
      </c>
      <c r="AC2811" s="254"/>
      <c r="AD2811" s="69"/>
      <c r="AE2811" s="69"/>
    </row>
    <row r="2812" spans="1:31" s="69" customFormat="1" ht="24">
      <c r="A2812" s="67" t="s">
        <v>15954</v>
      </c>
      <c r="B2812" s="65" t="s">
        <v>15955</v>
      </c>
      <c r="C2812" s="71" t="s">
        <v>103</v>
      </c>
      <c r="D2812" s="78">
        <v>1</v>
      </c>
      <c r="E2812" s="79">
        <v>2179.1800000000003</v>
      </c>
      <c r="F2812" s="70">
        <v>2179.1799999999998</v>
      </c>
      <c r="G2812" s="320"/>
      <c r="H2812" s="79">
        <v>1865.0400000000002</v>
      </c>
      <c r="I2812" s="79">
        <v>314.14</v>
      </c>
      <c r="J2812" s="79">
        <v>2179.1800000000003</v>
      </c>
      <c r="K2812" s="79">
        <v>0</v>
      </c>
      <c r="L2812" s="70">
        <v>2179.1800000000003</v>
      </c>
      <c r="M2812" s="132"/>
      <c r="N2812" s="79">
        <v>1865.0400000000002</v>
      </c>
      <c r="O2812" s="79">
        <v>314.14</v>
      </c>
      <c r="P2812" s="79">
        <v>2179.1800000000003</v>
      </c>
      <c r="Q2812" s="136"/>
      <c r="R2812" s="79">
        <v>1865.04</v>
      </c>
      <c r="S2812" s="79">
        <v>314.16000000000003</v>
      </c>
      <c r="T2812" s="79">
        <v>2179.1999999999998</v>
      </c>
      <c r="U2812" s="79">
        <v>0</v>
      </c>
      <c r="V2812" s="189">
        <v>2179.1999999999998</v>
      </c>
      <c r="W2812" s="61"/>
      <c r="X2812" s="79">
        <v>1865.04</v>
      </c>
      <c r="Y2812" s="79">
        <v>314.16000000000003</v>
      </c>
      <c r="Z2812" s="79">
        <v>2179.1999999999998</v>
      </c>
      <c r="AA2812" s="255">
        <v>-1.999999999998181E-2</v>
      </c>
      <c r="AB2812" s="61"/>
      <c r="AC2812" s="254"/>
    </row>
    <row r="2813" spans="1:31" s="69" customFormat="1" ht="24">
      <c r="A2813" s="67" t="s">
        <v>15956</v>
      </c>
      <c r="B2813" s="65" t="s">
        <v>15957</v>
      </c>
      <c r="C2813" s="71" t="s">
        <v>103</v>
      </c>
      <c r="D2813" s="78">
        <v>1</v>
      </c>
      <c r="E2813" s="79">
        <v>22459.38</v>
      </c>
      <c r="F2813" s="70">
        <v>22459.38</v>
      </c>
      <c r="G2813" s="320"/>
      <c r="H2813" s="79">
        <v>22145.24</v>
      </c>
      <c r="I2813" s="79">
        <v>314.14</v>
      </c>
      <c r="J2813" s="79">
        <v>22459.38</v>
      </c>
      <c r="K2813" s="79">
        <v>0</v>
      </c>
      <c r="L2813" s="70">
        <v>22459.38</v>
      </c>
      <c r="M2813" s="132"/>
      <c r="N2813" s="79">
        <v>22145.24</v>
      </c>
      <c r="O2813" s="79">
        <v>314.14</v>
      </c>
      <c r="P2813" s="79">
        <v>22459.38</v>
      </c>
      <c r="Q2813" s="136"/>
      <c r="R2813" s="79">
        <v>22145.24</v>
      </c>
      <c r="S2813" s="79">
        <v>314.16000000000003</v>
      </c>
      <c r="T2813" s="79">
        <v>22459.4</v>
      </c>
      <c r="U2813" s="79">
        <v>0</v>
      </c>
      <c r="V2813" s="189">
        <v>22459.4</v>
      </c>
      <c r="W2813" s="61"/>
      <c r="X2813" s="79">
        <v>22145.24</v>
      </c>
      <c r="Y2813" s="79">
        <v>314.16000000000003</v>
      </c>
      <c r="Z2813" s="79">
        <v>22459.4</v>
      </c>
      <c r="AA2813" s="255">
        <v>-2.0000000000436557E-2</v>
      </c>
      <c r="AB2813" s="61"/>
      <c r="AC2813" s="254"/>
      <c r="AD2813" s="236"/>
      <c r="AE2813" s="236"/>
    </row>
    <row r="2814" spans="1:31" s="69" customFormat="1" ht="24">
      <c r="A2814" s="67" t="s">
        <v>15958</v>
      </c>
      <c r="B2814" s="65" t="s">
        <v>15959</v>
      </c>
      <c r="C2814" s="71" t="s">
        <v>103</v>
      </c>
      <c r="D2814" s="78">
        <v>1</v>
      </c>
      <c r="E2814" s="79">
        <v>16509.18</v>
      </c>
      <c r="F2814" s="70">
        <v>16509.18</v>
      </c>
      <c r="G2814" s="320"/>
      <c r="H2814" s="79">
        <v>16195.039999999999</v>
      </c>
      <c r="I2814" s="79">
        <v>314.14</v>
      </c>
      <c r="J2814" s="79">
        <v>16509.18</v>
      </c>
      <c r="K2814" s="79">
        <v>0</v>
      </c>
      <c r="L2814" s="70">
        <v>16509.18</v>
      </c>
      <c r="M2814" s="132"/>
      <c r="N2814" s="79">
        <v>16195.039999999999</v>
      </c>
      <c r="O2814" s="79">
        <v>314.14</v>
      </c>
      <c r="P2814" s="79">
        <v>16509.18</v>
      </c>
      <c r="Q2814" s="136"/>
      <c r="R2814" s="79">
        <v>16195.04</v>
      </c>
      <c r="S2814" s="79">
        <v>314.16000000000003</v>
      </c>
      <c r="T2814" s="79">
        <v>16509.2</v>
      </c>
      <c r="U2814" s="79">
        <v>0</v>
      </c>
      <c r="V2814" s="189">
        <v>16509.2</v>
      </c>
      <c r="W2814" s="61"/>
      <c r="X2814" s="79">
        <v>16195.04</v>
      </c>
      <c r="Y2814" s="79">
        <v>314.16000000000003</v>
      </c>
      <c r="Z2814" s="79">
        <v>16509.2</v>
      </c>
      <c r="AA2814" s="255">
        <v>-2.0000000000436557E-2</v>
      </c>
      <c r="AB2814" s="61"/>
      <c r="AC2814" s="254"/>
      <c r="AD2814" s="236"/>
      <c r="AE2814" s="236"/>
    </row>
    <row r="2815" spans="1:31" ht="24">
      <c r="A2815" s="67" t="s">
        <v>15960</v>
      </c>
      <c r="B2815" s="65" t="s">
        <v>15961</v>
      </c>
      <c r="C2815" s="71" t="s">
        <v>103</v>
      </c>
      <c r="D2815" s="78">
        <v>1</v>
      </c>
      <c r="E2815" s="79">
        <v>3057.25</v>
      </c>
      <c r="F2815" s="70">
        <v>3057.25</v>
      </c>
      <c r="G2815" s="320"/>
      <c r="H2815" s="79">
        <v>2743.11</v>
      </c>
      <c r="I2815" s="79">
        <v>314.14</v>
      </c>
      <c r="J2815" s="79">
        <v>3057.25</v>
      </c>
      <c r="K2815" s="79">
        <v>0</v>
      </c>
      <c r="L2815" s="70">
        <v>3057.25</v>
      </c>
      <c r="M2815" s="132"/>
      <c r="N2815" s="79">
        <v>2743.11</v>
      </c>
      <c r="O2815" s="79">
        <v>314.14</v>
      </c>
      <c r="P2815" s="79">
        <v>3057.25</v>
      </c>
      <c r="Q2815" s="136"/>
      <c r="R2815" s="79">
        <v>2743.11</v>
      </c>
      <c r="S2815" s="79">
        <v>314.16000000000003</v>
      </c>
      <c r="T2815" s="79">
        <v>3057.27</v>
      </c>
      <c r="U2815" s="79">
        <v>0</v>
      </c>
      <c r="V2815" s="189">
        <v>3057.27</v>
      </c>
      <c r="X2815" s="79">
        <v>2743.11</v>
      </c>
      <c r="Y2815" s="79">
        <v>314.16000000000003</v>
      </c>
      <c r="Z2815" s="79">
        <v>3057.27</v>
      </c>
      <c r="AA2815" s="255">
        <v>-1.999999999998181E-2</v>
      </c>
      <c r="AC2815" s="254"/>
    </row>
    <row r="2816" spans="1:31" ht="24">
      <c r="A2816" s="67" t="s">
        <v>15962</v>
      </c>
      <c r="B2816" s="65" t="s">
        <v>15963</v>
      </c>
      <c r="C2816" s="71" t="s">
        <v>103</v>
      </c>
      <c r="D2816" s="78">
        <v>1</v>
      </c>
      <c r="E2816" s="79">
        <v>26832.84</v>
      </c>
      <c r="F2816" s="70">
        <v>26832.84</v>
      </c>
      <c r="G2816" s="320"/>
      <c r="H2816" s="79">
        <v>26518.7</v>
      </c>
      <c r="I2816" s="79">
        <v>314.14</v>
      </c>
      <c r="J2816" s="79">
        <v>26832.84</v>
      </c>
      <c r="K2816" s="79">
        <v>0</v>
      </c>
      <c r="L2816" s="70">
        <v>26832.84</v>
      </c>
      <c r="M2816" s="132"/>
      <c r="N2816" s="79">
        <v>26518.7</v>
      </c>
      <c r="O2816" s="79">
        <v>314.14</v>
      </c>
      <c r="P2816" s="79">
        <v>26832.84</v>
      </c>
      <c r="Q2816" s="136"/>
      <c r="R2816" s="79">
        <v>26518.7</v>
      </c>
      <c r="S2816" s="79">
        <v>314.16000000000003</v>
      </c>
      <c r="T2816" s="79">
        <v>26832.86</v>
      </c>
      <c r="U2816" s="79">
        <v>0</v>
      </c>
      <c r="V2816" s="189">
        <v>26832.86</v>
      </c>
      <c r="X2816" s="79">
        <v>26518.7</v>
      </c>
      <c r="Y2816" s="79">
        <v>314.16000000000003</v>
      </c>
      <c r="Z2816" s="79">
        <v>26832.86</v>
      </c>
      <c r="AA2816" s="255">
        <v>-2.0000000000436557E-2</v>
      </c>
      <c r="AC2816" s="254"/>
    </row>
    <row r="2817" spans="1:31" ht="24">
      <c r="A2817" s="67" t="s">
        <v>15964</v>
      </c>
      <c r="B2817" s="65" t="s">
        <v>15965</v>
      </c>
      <c r="C2817" s="71" t="s">
        <v>103</v>
      </c>
      <c r="D2817" s="78">
        <v>1</v>
      </c>
      <c r="E2817" s="79">
        <v>31343.31</v>
      </c>
      <c r="F2817" s="70">
        <v>31343.31</v>
      </c>
      <c r="G2817" s="320"/>
      <c r="H2817" s="79">
        <v>31029.170000000002</v>
      </c>
      <c r="I2817" s="79">
        <v>314.14</v>
      </c>
      <c r="J2817" s="79">
        <v>31343.31</v>
      </c>
      <c r="K2817" s="79">
        <v>0</v>
      </c>
      <c r="L2817" s="70">
        <v>31343.31</v>
      </c>
      <c r="M2817" s="132"/>
      <c r="N2817" s="79">
        <v>31029.170000000002</v>
      </c>
      <c r="O2817" s="79">
        <v>314.14</v>
      </c>
      <c r="P2817" s="79">
        <v>31343.31</v>
      </c>
      <c r="Q2817" s="136"/>
      <c r="R2817" s="79">
        <v>31029.17</v>
      </c>
      <c r="S2817" s="79">
        <v>314.16000000000003</v>
      </c>
      <c r="T2817" s="79">
        <v>31343.329999999998</v>
      </c>
      <c r="U2817" s="79">
        <v>0</v>
      </c>
      <c r="V2817" s="189">
        <v>31343.329999999998</v>
      </c>
      <c r="X2817" s="79">
        <v>31029.17</v>
      </c>
      <c r="Y2817" s="79">
        <v>314.16000000000003</v>
      </c>
      <c r="Z2817" s="79">
        <v>31343.33</v>
      </c>
      <c r="AA2817" s="255">
        <v>-2.0000000000436557E-2</v>
      </c>
      <c r="AC2817" s="254"/>
    </row>
    <row r="2818" spans="1:31" ht="24">
      <c r="A2818" s="67" t="s">
        <v>15966</v>
      </c>
      <c r="B2818" s="65" t="s">
        <v>15967</v>
      </c>
      <c r="C2818" s="71" t="s">
        <v>103</v>
      </c>
      <c r="D2818" s="78">
        <v>1</v>
      </c>
      <c r="E2818" s="79">
        <v>2588.9699999999998</v>
      </c>
      <c r="F2818" s="70">
        <v>2588.9699999999998</v>
      </c>
      <c r="G2818" s="320"/>
      <c r="H2818" s="79">
        <v>2274.83</v>
      </c>
      <c r="I2818" s="79">
        <v>314.14</v>
      </c>
      <c r="J2818" s="79">
        <v>2588.9699999999998</v>
      </c>
      <c r="K2818" s="79">
        <v>0</v>
      </c>
      <c r="L2818" s="70">
        <v>2588.9699999999998</v>
      </c>
      <c r="M2818" s="132"/>
      <c r="N2818" s="79">
        <v>2274.83</v>
      </c>
      <c r="O2818" s="79">
        <v>314.14</v>
      </c>
      <c r="P2818" s="79">
        <v>2588.9699999999998</v>
      </c>
      <c r="Q2818" s="136"/>
      <c r="R2818" s="79">
        <v>2274.83</v>
      </c>
      <c r="S2818" s="79">
        <v>314.16000000000003</v>
      </c>
      <c r="T2818" s="79">
        <v>2588.9899999999998</v>
      </c>
      <c r="U2818" s="79">
        <v>0</v>
      </c>
      <c r="V2818" s="189">
        <v>2588.9899999999998</v>
      </c>
      <c r="X2818" s="79">
        <v>2274.83</v>
      </c>
      <c r="Y2818" s="79">
        <v>314.16000000000003</v>
      </c>
      <c r="Z2818" s="79">
        <v>2588.9899999999998</v>
      </c>
      <c r="AA2818" s="255">
        <v>-1.999999999998181E-2</v>
      </c>
      <c r="AC2818" s="254"/>
    </row>
    <row r="2819" spans="1:31" ht="24">
      <c r="A2819" s="67" t="s">
        <v>15968</v>
      </c>
      <c r="B2819" s="65" t="s">
        <v>15969</v>
      </c>
      <c r="C2819" s="71" t="s">
        <v>103</v>
      </c>
      <c r="D2819" s="78">
        <v>1</v>
      </c>
      <c r="E2819" s="79">
        <v>4934.17</v>
      </c>
      <c r="F2819" s="70">
        <v>4934.17</v>
      </c>
      <c r="G2819" s="320"/>
      <c r="H2819" s="79">
        <v>4620.03</v>
      </c>
      <c r="I2819" s="79">
        <v>314.14</v>
      </c>
      <c r="J2819" s="79">
        <v>4934.17</v>
      </c>
      <c r="K2819" s="79">
        <v>0</v>
      </c>
      <c r="L2819" s="70">
        <v>4934.17</v>
      </c>
      <c r="M2819" s="132"/>
      <c r="N2819" s="79">
        <v>4620.03</v>
      </c>
      <c r="O2819" s="79">
        <v>314.14</v>
      </c>
      <c r="P2819" s="79">
        <v>4934.17</v>
      </c>
      <c r="Q2819" s="136"/>
      <c r="R2819" s="79">
        <v>4620.03</v>
      </c>
      <c r="S2819" s="79">
        <v>314.16000000000003</v>
      </c>
      <c r="T2819" s="79">
        <v>4934.1899999999996</v>
      </c>
      <c r="U2819" s="79">
        <v>0</v>
      </c>
      <c r="V2819" s="189">
        <v>4934.1899999999996</v>
      </c>
      <c r="X2819" s="79">
        <v>4620.03</v>
      </c>
      <c r="Y2819" s="79">
        <v>314.16000000000003</v>
      </c>
      <c r="Z2819" s="79">
        <v>4934.1899999999996</v>
      </c>
      <c r="AA2819" s="255">
        <v>-1.9999999999527063E-2</v>
      </c>
      <c r="AC2819" s="254"/>
    </row>
    <row r="2820" spans="1:31" ht="12">
      <c r="A2820" s="489" t="s">
        <v>15970</v>
      </c>
      <c r="B2820" s="490" t="s">
        <v>15971</v>
      </c>
      <c r="C2820" s="491"/>
      <c r="D2820" s="492"/>
      <c r="E2820" s="79"/>
      <c r="F2820" s="63"/>
      <c r="G2820" s="320"/>
      <c r="H2820" s="79"/>
      <c r="I2820" s="79"/>
      <c r="J2820" s="79"/>
      <c r="K2820" s="79"/>
      <c r="L2820" s="70"/>
      <c r="M2820" s="132"/>
      <c r="N2820" s="79"/>
      <c r="O2820" s="79"/>
      <c r="P2820" s="79"/>
      <c r="Q2820" s="136"/>
      <c r="R2820" s="79"/>
      <c r="S2820" s="79"/>
      <c r="T2820" s="79"/>
      <c r="U2820" s="79"/>
      <c r="V2820" s="189"/>
      <c r="X2820" s="79"/>
      <c r="Y2820" s="79"/>
      <c r="Z2820" s="79"/>
      <c r="AA2820" s="255"/>
      <c r="AC2820" s="254"/>
      <c r="AD2820" s="61"/>
      <c r="AE2820" s="61"/>
    </row>
    <row r="2821" spans="1:31" ht="24">
      <c r="A2821" s="67" t="s">
        <v>15972</v>
      </c>
      <c r="B2821" s="65" t="s">
        <v>15973</v>
      </c>
      <c r="C2821" s="71" t="s">
        <v>103</v>
      </c>
      <c r="D2821" s="78">
        <v>1</v>
      </c>
      <c r="E2821" s="79">
        <v>11463.75</v>
      </c>
      <c r="F2821" s="70">
        <v>11463.75</v>
      </c>
      <c r="G2821" s="320"/>
      <c r="H2821" s="79">
        <v>10793.85</v>
      </c>
      <c r="I2821" s="79">
        <v>669.9</v>
      </c>
      <c r="J2821" s="79">
        <v>11463.75</v>
      </c>
      <c r="K2821" s="79">
        <v>0</v>
      </c>
      <c r="L2821" s="70">
        <v>11463.75</v>
      </c>
      <c r="M2821" s="132"/>
      <c r="N2821" s="79">
        <v>10793.85</v>
      </c>
      <c r="O2821" s="79">
        <v>669.9</v>
      </c>
      <c r="P2821" s="79">
        <v>11463.75</v>
      </c>
      <c r="Q2821" s="136"/>
      <c r="R2821" s="79">
        <v>10793.85</v>
      </c>
      <c r="S2821" s="79">
        <v>669.96</v>
      </c>
      <c r="T2821" s="79">
        <v>11463.810000000001</v>
      </c>
      <c r="U2821" s="79">
        <v>0</v>
      </c>
      <c r="V2821" s="189">
        <v>11463.810000000001</v>
      </c>
      <c r="X2821" s="79">
        <v>10793.85</v>
      </c>
      <c r="Y2821" s="79">
        <v>669.96</v>
      </c>
      <c r="Z2821" s="79">
        <v>11463.81</v>
      </c>
      <c r="AA2821" s="255">
        <v>-5.9999999999490683E-2</v>
      </c>
      <c r="AC2821" s="254"/>
    </row>
    <row r="2822" spans="1:31" s="61" customFormat="1" ht="24">
      <c r="A2822" s="67" t="s">
        <v>15974</v>
      </c>
      <c r="B2822" s="65" t="s">
        <v>15975</v>
      </c>
      <c r="C2822" s="71" t="s">
        <v>103</v>
      </c>
      <c r="D2822" s="78">
        <v>1</v>
      </c>
      <c r="E2822" s="79">
        <v>10670.34</v>
      </c>
      <c r="F2822" s="70">
        <v>10670.34</v>
      </c>
      <c r="G2822" s="320"/>
      <c r="H2822" s="79">
        <v>10000.44</v>
      </c>
      <c r="I2822" s="79">
        <v>669.9</v>
      </c>
      <c r="J2822" s="79">
        <v>10670.34</v>
      </c>
      <c r="K2822" s="79">
        <v>0</v>
      </c>
      <c r="L2822" s="70">
        <v>10670.34</v>
      </c>
      <c r="M2822" s="132"/>
      <c r="N2822" s="79">
        <v>10000.44</v>
      </c>
      <c r="O2822" s="79">
        <v>669.9</v>
      </c>
      <c r="P2822" s="79">
        <v>10670.34</v>
      </c>
      <c r="Q2822" s="136"/>
      <c r="R2822" s="79">
        <v>10000.44</v>
      </c>
      <c r="S2822" s="79">
        <v>669.96</v>
      </c>
      <c r="T2822" s="79">
        <v>10670.400000000001</v>
      </c>
      <c r="U2822" s="79">
        <v>0</v>
      </c>
      <c r="V2822" s="189">
        <v>10670.400000000001</v>
      </c>
      <c r="X2822" s="79">
        <v>10000.44</v>
      </c>
      <c r="Y2822" s="79">
        <v>669.96</v>
      </c>
      <c r="Z2822" s="79">
        <v>10670.4</v>
      </c>
      <c r="AA2822" s="255">
        <v>-5.9999999999490683E-2</v>
      </c>
      <c r="AC2822" s="254"/>
      <c r="AD2822" s="236"/>
      <c r="AE2822" s="236"/>
    </row>
    <row r="2823" spans="1:31" ht="24">
      <c r="A2823" s="67" t="s">
        <v>15976</v>
      </c>
      <c r="B2823" s="65" t="s">
        <v>15977</v>
      </c>
      <c r="C2823" s="71" t="s">
        <v>103</v>
      </c>
      <c r="D2823" s="78">
        <v>1</v>
      </c>
      <c r="E2823" s="79">
        <v>20413.150000000001</v>
      </c>
      <c r="F2823" s="70">
        <v>20413.150000000001</v>
      </c>
      <c r="G2823" s="320"/>
      <c r="H2823" s="79">
        <v>19743.25</v>
      </c>
      <c r="I2823" s="79">
        <v>669.9</v>
      </c>
      <c r="J2823" s="79">
        <v>20413.150000000001</v>
      </c>
      <c r="K2823" s="79">
        <v>0</v>
      </c>
      <c r="L2823" s="70">
        <v>20413.150000000001</v>
      </c>
      <c r="M2823" s="132"/>
      <c r="N2823" s="79">
        <v>19743.25</v>
      </c>
      <c r="O2823" s="79">
        <v>669.9</v>
      </c>
      <c r="P2823" s="79">
        <v>20413.150000000001</v>
      </c>
      <c r="Q2823" s="136"/>
      <c r="R2823" s="79">
        <v>19743.25</v>
      </c>
      <c r="S2823" s="79">
        <v>669.96</v>
      </c>
      <c r="T2823" s="79">
        <v>20413.21</v>
      </c>
      <c r="U2823" s="79">
        <v>0</v>
      </c>
      <c r="V2823" s="189">
        <v>20413.21</v>
      </c>
      <c r="X2823" s="79">
        <v>19743.25</v>
      </c>
      <c r="Y2823" s="79">
        <v>669.96</v>
      </c>
      <c r="Z2823" s="79">
        <v>20413.21</v>
      </c>
      <c r="AA2823" s="255">
        <v>-5.9999999997671694E-2</v>
      </c>
      <c r="AC2823" s="254"/>
    </row>
    <row r="2824" spans="1:31" ht="24">
      <c r="A2824" s="67" t="s">
        <v>15978</v>
      </c>
      <c r="B2824" s="65" t="s">
        <v>15979</v>
      </c>
      <c r="C2824" s="71" t="s">
        <v>103</v>
      </c>
      <c r="D2824" s="78">
        <v>1</v>
      </c>
      <c r="E2824" s="79">
        <v>11734.98</v>
      </c>
      <c r="F2824" s="70">
        <v>11734.98</v>
      </c>
      <c r="G2824" s="320"/>
      <c r="H2824" s="79">
        <v>11065.08</v>
      </c>
      <c r="I2824" s="79">
        <v>669.9</v>
      </c>
      <c r="J2824" s="79">
        <v>11734.98</v>
      </c>
      <c r="K2824" s="79">
        <v>0</v>
      </c>
      <c r="L2824" s="70">
        <v>11734.98</v>
      </c>
      <c r="M2824" s="132"/>
      <c r="N2824" s="79">
        <v>11065.08</v>
      </c>
      <c r="O2824" s="79">
        <v>669.9</v>
      </c>
      <c r="P2824" s="79">
        <v>11734.98</v>
      </c>
      <c r="Q2824" s="136"/>
      <c r="R2824" s="79">
        <v>11065.08</v>
      </c>
      <c r="S2824" s="79">
        <v>669.96</v>
      </c>
      <c r="T2824" s="79">
        <v>11735.04</v>
      </c>
      <c r="U2824" s="79">
        <v>0</v>
      </c>
      <c r="V2824" s="189">
        <v>11735.04</v>
      </c>
      <c r="X2824" s="79">
        <v>11065.08</v>
      </c>
      <c r="Y2824" s="79">
        <v>669.96</v>
      </c>
      <c r="Z2824" s="79">
        <v>11735.04</v>
      </c>
      <c r="AA2824" s="255">
        <v>-6.0000000001309672E-2</v>
      </c>
      <c r="AC2824" s="254"/>
    </row>
    <row r="2825" spans="1:31" ht="24">
      <c r="A2825" s="67" t="s">
        <v>15980</v>
      </c>
      <c r="B2825" s="65" t="s">
        <v>15981</v>
      </c>
      <c r="C2825" s="71" t="s">
        <v>103</v>
      </c>
      <c r="D2825" s="78">
        <v>1</v>
      </c>
      <c r="E2825" s="79">
        <v>13377.05</v>
      </c>
      <c r="F2825" s="70">
        <v>13377.05</v>
      </c>
      <c r="G2825" s="320"/>
      <c r="H2825" s="79">
        <v>12707.15</v>
      </c>
      <c r="I2825" s="79">
        <v>669.9</v>
      </c>
      <c r="J2825" s="79">
        <v>13377.05</v>
      </c>
      <c r="K2825" s="79">
        <v>0</v>
      </c>
      <c r="L2825" s="70">
        <v>13377.05</v>
      </c>
      <c r="M2825" s="132"/>
      <c r="N2825" s="79">
        <v>12707.15</v>
      </c>
      <c r="O2825" s="79">
        <v>669.9</v>
      </c>
      <c r="P2825" s="79">
        <v>13377.05</v>
      </c>
      <c r="Q2825" s="136"/>
      <c r="R2825" s="79">
        <v>12707.15</v>
      </c>
      <c r="S2825" s="79">
        <v>669.96</v>
      </c>
      <c r="T2825" s="79">
        <v>13377.11</v>
      </c>
      <c r="U2825" s="79">
        <v>0</v>
      </c>
      <c r="V2825" s="189">
        <v>13377.11</v>
      </c>
      <c r="X2825" s="79">
        <v>12707.15</v>
      </c>
      <c r="Y2825" s="79">
        <v>669.96</v>
      </c>
      <c r="Z2825" s="79">
        <v>13377.11</v>
      </c>
      <c r="AA2825" s="255">
        <v>-6.0000000001309672E-2</v>
      </c>
      <c r="AC2825" s="254"/>
    </row>
    <row r="2826" spans="1:31" ht="24">
      <c r="A2826" s="67" t="s">
        <v>15982</v>
      </c>
      <c r="B2826" s="65" t="s">
        <v>15983</v>
      </c>
      <c r="C2826" s="71" t="s">
        <v>103</v>
      </c>
      <c r="D2826" s="78">
        <v>1</v>
      </c>
      <c r="E2826" s="79">
        <v>18475.47</v>
      </c>
      <c r="F2826" s="70">
        <v>18475.47</v>
      </c>
      <c r="G2826" s="320"/>
      <c r="H2826" s="79">
        <v>17805.57</v>
      </c>
      <c r="I2826" s="79">
        <v>669.9</v>
      </c>
      <c r="J2826" s="79">
        <v>18475.47</v>
      </c>
      <c r="K2826" s="79">
        <v>0</v>
      </c>
      <c r="L2826" s="70">
        <v>18475.47</v>
      </c>
      <c r="M2826" s="132"/>
      <c r="N2826" s="79">
        <v>17805.57</v>
      </c>
      <c r="O2826" s="79">
        <v>669.9</v>
      </c>
      <c r="P2826" s="79">
        <v>18475.47</v>
      </c>
      <c r="Q2826" s="136"/>
      <c r="R2826" s="79">
        <v>17805.57</v>
      </c>
      <c r="S2826" s="79">
        <v>669.96</v>
      </c>
      <c r="T2826" s="79">
        <v>18475.53</v>
      </c>
      <c r="U2826" s="79">
        <v>0</v>
      </c>
      <c r="V2826" s="189">
        <v>18475.53</v>
      </c>
      <c r="X2826" s="79">
        <v>17805.57</v>
      </c>
      <c r="Y2826" s="79">
        <v>669.96</v>
      </c>
      <c r="Z2826" s="79">
        <v>18475.53</v>
      </c>
      <c r="AA2826" s="255">
        <v>-5.9999999997671694E-2</v>
      </c>
      <c r="AC2826" s="254"/>
    </row>
    <row r="2827" spans="1:31" ht="24">
      <c r="A2827" s="67" t="s">
        <v>15984</v>
      </c>
      <c r="B2827" s="65" t="s">
        <v>15985</v>
      </c>
      <c r="C2827" s="71" t="s">
        <v>103</v>
      </c>
      <c r="D2827" s="78">
        <v>1</v>
      </c>
      <c r="E2827" s="79">
        <v>9162.9</v>
      </c>
      <c r="F2827" s="70">
        <v>9162.9</v>
      </c>
      <c r="G2827" s="320"/>
      <c r="H2827" s="79">
        <v>8716.2999999999993</v>
      </c>
      <c r="I2827" s="79">
        <v>446.6</v>
      </c>
      <c r="J2827" s="79">
        <v>9162.9</v>
      </c>
      <c r="K2827" s="79">
        <v>0</v>
      </c>
      <c r="L2827" s="70">
        <v>9162.9</v>
      </c>
      <c r="M2827" s="132"/>
      <c r="N2827" s="79">
        <v>8716.2999999999993</v>
      </c>
      <c r="O2827" s="79">
        <v>446.6</v>
      </c>
      <c r="P2827" s="79">
        <v>9162.9</v>
      </c>
      <c r="Q2827" s="136"/>
      <c r="R2827" s="79">
        <v>8716.2999999999993</v>
      </c>
      <c r="S2827" s="79">
        <v>446.64</v>
      </c>
      <c r="T2827" s="79">
        <v>9162.9399999999987</v>
      </c>
      <c r="U2827" s="79">
        <v>0</v>
      </c>
      <c r="V2827" s="189">
        <v>9162.9399999999987</v>
      </c>
      <c r="X2827" s="79">
        <v>8716.2999999999993</v>
      </c>
      <c r="Y2827" s="79">
        <v>446.64</v>
      </c>
      <c r="Z2827" s="79">
        <v>9162.94</v>
      </c>
      <c r="AA2827" s="255">
        <v>-4.0000000000873115E-2</v>
      </c>
      <c r="AC2827" s="254"/>
      <c r="AD2827" s="61"/>
      <c r="AE2827" s="61"/>
    </row>
    <row r="2828" spans="1:31" ht="24">
      <c r="A2828" s="67" t="s">
        <v>15986</v>
      </c>
      <c r="B2828" s="65" t="s">
        <v>15987</v>
      </c>
      <c r="C2828" s="71" t="s">
        <v>103</v>
      </c>
      <c r="D2828" s="78">
        <v>1</v>
      </c>
      <c r="E2828" s="79">
        <v>12588.17</v>
      </c>
      <c r="F2828" s="70">
        <v>12588.17</v>
      </c>
      <c r="G2828" s="320"/>
      <c r="H2828" s="79">
        <v>12141.57</v>
      </c>
      <c r="I2828" s="79">
        <v>446.6</v>
      </c>
      <c r="J2828" s="79">
        <v>12588.17</v>
      </c>
      <c r="K2828" s="79">
        <v>0</v>
      </c>
      <c r="L2828" s="70">
        <v>12588.17</v>
      </c>
      <c r="M2828" s="132"/>
      <c r="N2828" s="79">
        <v>12141.57</v>
      </c>
      <c r="O2828" s="79">
        <v>446.6</v>
      </c>
      <c r="P2828" s="79">
        <v>12588.17</v>
      </c>
      <c r="Q2828" s="136"/>
      <c r="R2828" s="79">
        <v>12141.57</v>
      </c>
      <c r="S2828" s="79">
        <v>446.64</v>
      </c>
      <c r="T2828" s="79">
        <v>12588.21</v>
      </c>
      <c r="U2828" s="79">
        <v>0</v>
      </c>
      <c r="V2828" s="189">
        <v>12588.21</v>
      </c>
      <c r="X2828" s="79">
        <v>12141.57</v>
      </c>
      <c r="Y2828" s="79">
        <v>446.64</v>
      </c>
      <c r="Z2828" s="79">
        <v>12588.21</v>
      </c>
      <c r="AA2828" s="255">
        <v>-3.9999999999054126E-2</v>
      </c>
      <c r="AC2828" s="254"/>
      <c r="AD2828" s="61"/>
      <c r="AE2828" s="61"/>
    </row>
    <row r="2829" spans="1:31" s="61" customFormat="1" ht="24">
      <c r="A2829" s="67" t="s">
        <v>15988</v>
      </c>
      <c r="B2829" s="65" t="s">
        <v>15989</v>
      </c>
      <c r="C2829" s="71" t="s">
        <v>103</v>
      </c>
      <c r="D2829" s="78">
        <v>1</v>
      </c>
      <c r="E2829" s="79">
        <v>3483.56</v>
      </c>
      <c r="F2829" s="70">
        <v>3483.56</v>
      </c>
      <c r="G2829" s="320"/>
      <c r="H2829" s="79">
        <v>3036.96</v>
      </c>
      <c r="I2829" s="79">
        <v>446.6</v>
      </c>
      <c r="J2829" s="79">
        <v>3483.56</v>
      </c>
      <c r="K2829" s="79">
        <v>0</v>
      </c>
      <c r="L2829" s="70">
        <v>3483.56</v>
      </c>
      <c r="M2829" s="132"/>
      <c r="N2829" s="79">
        <v>3036.96</v>
      </c>
      <c r="O2829" s="79">
        <v>446.6</v>
      </c>
      <c r="P2829" s="79">
        <v>3483.56</v>
      </c>
      <c r="Q2829" s="136"/>
      <c r="R2829" s="79">
        <v>3036.96</v>
      </c>
      <c r="S2829" s="79">
        <v>446.64</v>
      </c>
      <c r="T2829" s="79">
        <v>3483.6</v>
      </c>
      <c r="U2829" s="79">
        <v>0</v>
      </c>
      <c r="V2829" s="189">
        <v>3483.6</v>
      </c>
      <c r="X2829" s="79">
        <v>3036.96</v>
      </c>
      <c r="Y2829" s="79">
        <v>446.64</v>
      </c>
      <c r="Z2829" s="79">
        <v>3483.6</v>
      </c>
      <c r="AA2829" s="255">
        <v>-3.999999999996362E-2</v>
      </c>
      <c r="AC2829" s="254"/>
    </row>
    <row r="2830" spans="1:31" s="61" customFormat="1" ht="24">
      <c r="A2830" s="67" t="s">
        <v>15990</v>
      </c>
      <c r="B2830" s="65" t="s">
        <v>15991</v>
      </c>
      <c r="C2830" s="71" t="s">
        <v>103</v>
      </c>
      <c r="D2830" s="78">
        <v>1</v>
      </c>
      <c r="E2830" s="79">
        <v>4224.6400000000003</v>
      </c>
      <c r="F2830" s="70">
        <v>4224.6400000000003</v>
      </c>
      <c r="G2830" s="320"/>
      <c r="H2830" s="79">
        <v>3778.04</v>
      </c>
      <c r="I2830" s="79">
        <v>446.6</v>
      </c>
      <c r="J2830" s="79">
        <v>4224.6400000000003</v>
      </c>
      <c r="K2830" s="79">
        <v>0</v>
      </c>
      <c r="L2830" s="70">
        <v>4224.6400000000003</v>
      </c>
      <c r="M2830" s="132"/>
      <c r="N2830" s="79">
        <v>3778.04</v>
      </c>
      <c r="O2830" s="79">
        <v>446.6</v>
      </c>
      <c r="P2830" s="79">
        <v>4224.6400000000003</v>
      </c>
      <c r="Q2830" s="136"/>
      <c r="R2830" s="79">
        <v>3778.04</v>
      </c>
      <c r="S2830" s="79">
        <v>446.64</v>
      </c>
      <c r="T2830" s="79">
        <v>4224.68</v>
      </c>
      <c r="U2830" s="79">
        <v>0</v>
      </c>
      <c r="V2830" s="189">
        <v>4224.68</v>
      </c>
      <c r="X2830" s="79">
        <v>3778.04</v>
      </c>
      <c r="Y2830" s="79">
        <v>446.64</v>
      </c>
      <c r="Z2830" s="79">
        <v>4224.68</v>
      </c>
      <c r="AA2830" s="255">
        <v>-3.999999999996362E-2</v>
      </c>
      <c r="AC2830" s="254"/>
    </row>
    <row r="2831" spans="1:31" s="61" customFormat="1" ht="24">
      <c r="A2831" s="67" t="s">
        <v>15992</v>
      </c>
      <c r="B2831" s="65" t="s">
        <v>15993</v>
      </c>
      <c r="C2831" s="71" t="s">
        <v>103</v>
      </c>
      <c r="D2831" s="78">
        <v>1</v>
      </c>
      <c r="E2831" s="79">
        <v>8002.39</v>
      </c>
      <c r="F2831" s="70">
        <v>8002.39</v>
      </c>
      <c r="G2831" s="320"/>
      <c r="H2831" s="79">
        <v>7555.79</v>
      </c>
      <c r="I2831" s="79">
        <v>446.6</v>
      </c>
      <c r="J2831" s="79">
        <v>8002.39</v>
      </c>
      <c r="K2831" s="79">
        <v>0</v>
      </c>
      <c r="L2831" s="70">
        <v>8002.39</v>
      </c>
      <c r="M2831" s="132"/>
      <c r="N2831" s="79">
        <v>7555.79</v>
      </c>
      <c r="O2831" s="79">
        <v>446.6</v>
      </c>
      <c r="P2831" s="79">
        <v>8002.39</v>
      </c>
      <c r="Q2831" s="136"/>
      <c r="R2831" s="79">
        <v>7555.79</v>
      </c>
      <c r="S2831" s="79">
        <v>446.64</v>
      </c>
      <c r="T2831" s="79">
        <v>8002.43</v>
      </c>
      <c r="U2831" s="79">
        <v>0</v>
      </c>
      <c r="V2831" s="189">
        <v>8002.43</v>
      </c>
      <c r="X2831" s="79">
        <v>7555.79</v>
      </c>
      <c r="Y2831" s="79">
        <v>446.64</v>
      </c>
      <c r="Z2831" s="79">
        <v>8002.43</v>
      </c>
      <c r="AA2831" s="255">
        <v>-3.999999999996362E-2</v>
      </c>
      <c r="AC2831" s="254"/>
    </row>
    <row r="2832" spans="1:31" s="61" customFormat="1" ht="24">
      <c r="A2832" s="67" t="s">
        <v>15994</v>
      </c>
      <c r="B2832" s="65" t="s">
        <v>15995</v>
      </c>
      <c r="C2832" s="71" t="s">
        <v>103</v>
      </c>
      <c r="D2832" s="78">
        <v>1</v>
      </c>
      <c r="E2832" s="79">
        <v>4827.0300000000007</v>
      </c>
      <c r="F2832" s="70">
        <v>4827.03</v>
      </c>
      <c r="G2832" s="320"/>
      <c r="H2832" s="79">
        <v>4380.43</v>
      </c>
      <c r="I2832" s="79">
        <v>446.6</v>
      </c>
      <c r="J2832" s="79">
        <v>4827.0300000000007</v>
      </c>
      <c r="K2832" s="79">
        <v>0</v>
      </c>
      <c r="L2832" s="70">
        <v>4827.0300000000007</v>
      </c>
      <c r="M2832" s="132"/>
      <c r="N2832" s="79">
        <v>4380.43</v>
      </c>
      <c r="O2832" s="79">
        <v>446.6</v>
      </c>
      <c r="P2832" s="79">
        <v>4827.0300000000007</v>
      </c>
      <c r="Q2832" s="136"/>
      <c r="R2832" s="79">
        <v>4380.43</v>
      </c>
      <c r="S2832" s="79">
        <v>446.64</v>
      </c>
      <c r="T2832" s="79">
        <v>4827.0700000000006</v>
      </c>
      <c r="U2832" s="79">
        <v>0</v>
      </c>
      <c r="V2832" s="189">
        <v>4827.0700000000006</v>
      </c>
      <c r="X2832" s="79">
        <v>4380.43</v>
      </c>
      <c r="Y2832" s="79">
        <v>446.64</v>
      </c>
      <c r="Z2832" s="79">
        <v>4827.07</v>
      </c>
      <c r="AA2832" s="255">
        <v>-3.999999999996362E-2</v>
      </c>
      <c r="AC2832" s="254"/>
    </row>
    <row r="2833" spans="1:31" s="61" customFormat="1" ht="24">
      <c r="A2833" s="67" t="s">
        <v>15996</v>
      </c>
      <c r="B2833" s="65" t="s">
        <v>15997</v>
      </c>
      <c r="C2833" s="71" t="s">
        <v>103</v>
      </c>
      <c r="D2833" s="78">
        <v>1</v>
      </c>
      <c r="E2833" s="79">
        <v>14916.58</v>
      </c>
      <c r="F2833" s="70">
        <v>14916.58</v>
      </c>
      <c r="G2833" s="320"/>
      <c r="H2833" s="79">
        <v>14469.98</v>
      </c>
      <c r="I2833" s="79">
        <v>446.6</v>
      </c>
      <c r="J2833" s="79">
        <v>14916.58</v>
      </c>
      <c r="K2833" s="79">
        <v>0</v>
      </c>
      <c r="L2833" s="70">
        <v>14916.58</v>
      </c>
      <c r="M2833" s="132"/>
      <c r="N2833" s="79">
        <v>14469.98</v>
      </c>
      <c r="O2833" s="79">
        <v>446.6</v>
      </c>
      <c r="P2833" s="79">
        <v>14916.58</v>
      </c>
      <c r="Q2833" s="136"/>
      <c r="R2833" s="79">
        <v>14469.98</v>
      </c>
      <c r="S2833" s="79">
        <v>446.64</v>
      </c>
      <c r="T2833" s="79">
        <v>14916.619999999999</v>
      </c>
      <c r="U2833" s="79">
        <v>0</v>
      </c>
      <c r="V2833" s="189">
        <v>14916.619999999999</v>
      </c>
      <c r="X2833" s="79">
        <v>14469.98</v>
      </c>
      <c r="Y2833" s="79">
        <v>446.64</v>
      </c>
      <c r="Z2833" s="79">
        <v>14916.62</v>
      </c>
      <c r="AA2833" s="255">
        <v>-4.0000000000873115E-2</v>
      </c>
      <c r="AC2833" s="254"/>
    </row>
    <row r="2834" spans="1:31" s="61" customFormat="1" ht="24">
      <c r="A2834" s="67" t="s">
        <v>15998</v>
      </c>
      <c r="B2834" s="65" t="s">
        <v>15999</v>
      </c>
      <c r="C2834" s="71" t="s">
        <v>103</v>
      </c>
      <c r="D2834" s="78">
        <v>1</v>
      </c>
      <c r="E2834" s="79">
        <v>30729.16</v>
      </c>
      <c r="F2834" s="70">
        <v>30729.16</v>
      </c>
      <c r="G2834" s="320"/>
      <c r="H2834" s="79">
        <v>30282.560000000001</v>
      </c>
      <c r="I2834" s="79">
        <v>446.6</v>
      </c>
      <c r="J2834" s="79">
        <v>30729.16</v>
      </c>
      <c r="K2834" s="79">
        <v>0</v>
      </c>
      <c r="L2834" s="70">
        <v>30729.16</v>
      </c>
      <c r="M2834" s="132"/>
      <c r="N2834" s="79">
        <v>30282.560000000001</v>
      </c>
      <c r="O2834" s="79">
        <v>446.6</v>
      </c>
      <c r="P2834" s="79">
        <v>30729.16</v>
      </c>
      <c r="Q2834" s="136"/>
      <c r="R2834" s="79">
        <v>30282.560000000001</v>
      </c>
      <c r="S2834" s="79">
        <v>446.64</v>
      </c>
      <c r="T2834" s="79">
        <v>30729.200000000001</v>
      </c>
      <c r="U2834" s="79">
        <v>0</v>
      </c>
      <c r="V2834" s="189">
        <v>30729.200000000001</v>
      </c>
      <c r="X2834" s="79">
        <v>30282.560000000001</v>
      </c>
      <c r="Y2834" s="79">
        <v>446.64</v>
      </c>
      <c r="Z2834" s="79">
        <v>30729.200000000001</v>
      </c>
      <c r="AA2834" s="255">
        <v>-4.0000000000873115E-2</v>
      </c>
      <c r="AC2834" s="254"/>
      <c r="AD2834" s="236"/>
      <c r="AE2834" s="236"/>
    </row>
    <row r="2835" spans="1:31" s="61" customFormat="1" ht="24">
      <c r="A2835" s="67" t="s">
        <v>16000</v>
      </c>
      <c r="B2835" s="65" t="s">
        <v>16001</v>
      </c>
      <c r="C2835" s="71" t="s">
        <v>103</v>
      </c>
      <c r="D2835" s="78">
        <v>1</v>
      </c>
      <c r="E2835" s="79">
        <v>8927.81</v>
      </c>
      <c r="F2835" s="70">
        <v>8927.81</v>
      </c>
      <c r="G2835" s="320"/>
      <c r="H2835" s="79">
        <v>8481.2099999999991</v>
      </c>
      <c r="I2835" s="79">
        <v>446.6</v>
      </c>
      <c r="J2835" s="79">
        <v>8927.81</v>
      </c>
      <c r="K2835" s="79">
        <v>0</v>
      </c>
      <c r="L2835" s="70">
        <v>8927.81</v>
      </c>
      <c r="M2835" s="132"/>
      <c r="N2835" s="79">
        <v>8481.2099999999991</v>
      </c>
      <c r="O2835" s="79">
        <v>446.6</v>
      </c>
      <c r="P2835" s="79">
        <v>8927.81</v>
      </c>
      <c r="Q2835" s="136"/>
      <c r="R2835" s="79">
        <v>8481.2099999999991</v>
      </c>
      <c r="S2835" s="79">
        <v>446.64</v>
      </c>
      <c r="T2835" s="79">
        <v>8927.8499999999985</v>
      </c>
      <c r="U2835" s="79">
        <v>0</v>
      </c>
      <c r="V2835" s="189">
        <v>8927.8499999999985</v>
      </c>
      <c r="X2835" s="79">
        <v>8481.2099999999991</v>
      </c>
      <c r="Y2835" s="79">
        <v>446.64</v>
      </c>
      <c r="Z2835" s="79">
        <v>8927.85</v>
      </c>
      <c r="AA2835" s="255">
        <v>-4.0000000000873115E-2</v>
      </c>
      <c r="AC2835" s="254"/>
      <c r="AD2835" s="236"/>
      <c r="AE2835" s="236"/>
    </row>
    <row r="2836" spans="1:31" ht="24">
      <c r="A2836" s="67" t="s">
        <v>16002</v>
      </c>
      <c r="B2836" s="65" t="s">
        <v>16003</v>
      </c>
      <c r="C2836" s="71" t="s">
        <v>103</v>
      </c>
      <c r="D2836" s="78">
        <v>1</v>
      </c>
      <c r="E2836" s="79">
        <v>34476.39</v>
      </c>
      <c r="F2836" s="70">
        <v>34476.39</v>
      </c>
      <c r="G2836" s="320"/>
      <c r="H2836" s="79">
        <v>34029.79</v>
      </c>
      <c r="I2836" s="79">
        <v>446.6</v>
      </c>
      <c r="J2836" s="79">
        <v>34476.39</v>
      </c>
      <c r="K2836" s="79">
        <v>0</v>
      </c>
      <c r="L2836" s="70">
        <v>34476.39</v>
      </c>
      <c r="M2836" s="132"/>
      <c r="N2836" s="79">
        <v>34029.79</v>
      </c>
      <c r="O2836" s="79">
        <v>446.6</v>
      </c>
      <c r="P2836" s="79">
        <v>34476.39</v>
      </c>
      <c r="Q2836" s="136"/>
      <c r="R2836" s="79">
        <v>34029.79</v>
      </c>
      <c r="S2836" s="79">
        <v>446.64</v>
      </c>
      <c r="T2836" s="79">
        <v>34476.43</v>
      </c>
      <c r="U2836" s="79">
        <v>0</v>
      </c>
      <c r="V2836" s="189">
        <v>34476.43</v>
      </c>
      <c r="X2836" s="79">
        <v>34029.79</v>
      </c>
      <c r="Y2836" s="79">
        <v>446.64</v>
      </c>
      <c r="Z2836" s="79">
        <v>34476.43</v>
      </c>
      <c r="AA2836" s="255">
        <v>-4.0000000000873115E-2</v>
      </c>
      <c r="AC2836" s="254"/>
    </row>
    <row r="2837" spans="1:31" ht="12">
      <c r="A2837" s="489" t="s">
        <v>16004</v>
      </c>
      <c r="B2837" s="490" t="s">
        <v>16005</v>
      </c>
      <c r="C2837" s="71"/>
      <c r="D2837" s="78"/>
      <c r="E2837" s="79"/>
      <c r="F2837" s="70"/>
      <c r="G2837" s="320"/>
      <c r="H2837" s="79"/>
      <c r="I2837" s="79"/>
      <c r="J2837" s="79"/>
      <c r="K2837" s="79"/>
      <c r="L2837" s="70"/>
      <c r="M2837" s="132"/>
      <c r="N2837" s="79"/>
      <c r="O2837" s="79"/>
      <c r="P2837" s="79"/>
      <c r="Q2837" s="136"/>
      <c r="R2837" s="79"/>
      <c r="S2837" s="79"/>
      <c r="T2837" s="79"/>
      <c r="U2837" s="79"/>
      <c r="V2837" s="189"/>
      <c r="X2837" s="79"/>
      <c r="Y2837" s="79"/>
      <c r="Z2837" s="79"/>
      <c r="AA2837" s="255"/>
      <c r="AC2837" s="254"/>
    </row>
    <row r="2838" spans="1:31" ht="12">
      <c r="A2838" s="67" t="s">
        <v>16006</v>
      </c>
      <c r="B2838" s="65" t="s">
        <v>16007</v>
      </c>
      <c r="C2838" s="71" t="s">
        <v>103</v>
      </c>
      <c r="D2838" s="78">
        <v>1</v>
      </c>
      <c r="E2838" s="79">
        <v>3981.63</v>
      </c>
      <c r="F2838" s="70">
        <v>3981.63</v>
      </c>
      <c r="G2838" s="320"/>
      <c r="H2838" s="79">
        <v>3824.56</v>
      </c>
      <c r="I2838" s="79">
        <v>157.07</v>
      </c>
      <c r="J2838" s="79">
        <v>3981.63</v>
      </c>
      <c r="K2838" s="79">
        <v>0</v>
      </c>
      <c r="L2838" s="70">
        <v>3981.63</v>
      </c>
      <c r="M2838" s="132"/>
      <c r="N2838" s="79">
        <v>3824.56</v>
      </c>
      <c r="O2838" s="79">
        <v>157.07</v>
      </c>
      <c r="P2838" s="79">
        <v>3981.63</v>
      </c>
      <c r="Q2838" s="136"/>
      <c r="R2838" s="79">
        <v>3824.56</v>
      </c>
      <c r="S2838" s="79">
        <v>157.08000000000001</v>
      </c>
      <c r="T2838" s="79">
        <v>3981.64</v>
      </c>
      <c r="U2838" s="79">
        <v>0</v>
      </c>
      <c r="V2838" s="189">
        <v>3981.64</v>
      </c>
      <c r="X2838" s="79">
        <v>3824.56</v>
      </c>
      <c r="Y2838" s="79">
        <v>157.08000000000001</v>
      </c>
      <c r="Z2838" s="79">
        <v>3981.64</v>
      </c>
      <c r="AA2838" s="255">
        <v>-9.9999999997635314E-3</v>
      </c>
      <c r="AC2838" s="254"/>
    </row>
    <row r="2839" spans="1:31" ht="12">
      <c r="A2839" s="489" t="s">
        <v>16008</v>
      </c>
      <c r="B2839" s="490" t="s">
        <v>16009</v>
      </c>
      <c r="C2839" s="491"/>
      <c r="D2839" s="492"/>
      <c r="E2839" s="79"/>
      <c r="F2839" s="63"/>
      <c r="G2839" s="320"/>
      <c r="H2839" s="79"/>
      <c r="I2839" s="79"/>
      <c r="J2839" s="79"/>
      <c r="K2839" s="79"/>
      <c r="L2839" s="70"/>
      <c r="M2839" s="132"/>
      <c r="N2839" s="79"/>
      <c r="O2839" s="79"/>
      <c r="P2839" s="79"/>
      <c r="Q2839" s="136"/>
      <c r="R2839" s="79"/>
      <c r="S2839" s="79"/>
      <c r="T2839" s="79"/>
      <c r="U2839" s="79"/>
      <c r="V2839" s="189"/>
      <c r="X2839" s="79"/>
      <c r="Y2839" s="79"/>
      <c r="Z2839" s="79"/>
      <c r="AA2839" s="255"/>
      <c r="AC2839" s="254"/>
    </row>
    <row r="2840" spans="1:31" ht="24">
      <c r="A2840" s="67" t="s">
        <v>16010</v>
      </c>
      <c r="B2840" s="65" t="s">
        <v>16011</v>
      </c>
      <c r="C2840" s="71" t="s">
        <v>103</v>
      </c>
      <c r="D2840" s="78">
        <v>1</v>
      </c>
      <c r="E2840" s="79">
        <v>44.519999999999996</v>
      </c>
      <c r="F2840" s="70">
        <v>44.52</v>
      </c>
      <c r="G2840" s="320"/>
      <c r="H2840" s="79">
        <v>29.41</v>
      </c>
      <c r="I2840" s="79">
        <v>15.11</v>
      </c>
      <c r="J2840" s="79">
        <v>44.519999999999996</v>
      </c>
      <c r="K2840" s="79">
        <v>0</v>
      </c>
      <c r="L2840" s="70">
        <v>44.519999999999996</v>
      </c>
      <c r="M2840" s="132"/>
      <c r="N2840" s="79">
        <v>29.41</v>
      </c>
      <c r="O2840" s="79">
        <v>15.11</v>
      </c>
      <c r="P2840" s="79">
        <v>44.519999999999996</v>
      </c>
      <c r="Q2840" s="136"/>
      <c r="R2840" s="79">
        <v>29.41</v>
      </c>
      <c r="S2840" s="79">
        <v>15.1</v>
      </c>
      <c r="T2840" s="79">
        <v>44.51</v>
      </c>
      <c r="U2840" s="79">
        <v>0</v>
      </c>
      <c r="V2840" s="189">
        <v>44.51</v>
      </c>
      <c r="X2840" s="79">
        <v>29.41</v>
      </c>
      <c r="Y2840" s="79">
        <v>15.1</v>
      </c>
      <c r="Z2840" s="79">
        <v>44.51</v>
      </c>
      <c r="AA2840" s="255">
        <v>1.0000000000005116E-2</v>
      </c>
      <c r="AC2840" s="254"/>
    </row>
    <row r="2841" spans="1:31" ht="12">
      <c r="A2841" s="67" t="s">
        <v>16012</v>
      </c>
      <c r="B2841" s="65" t="s">
        <v>16013</v>
      </c>
      <c r="C2841" s="71" t="s">
        <v>103</v>
      </c>
      <c r="D2841" s="78">
        <v>1</v>
      </c>
      <c r="E2841" s="79">
        <v>656.28000000000009</v>
      </c>
      <c r="F2841" s="70">
        <v>656.28</v>
      </c>
      <c r="G2841" s="320"/>
      <c r="H2841" s="79">
        <v>600.45000000000005</v>
      </c>
      <c r="I2841" s="79">
        <v>55.83</v>
      </c>
      <c r="J2841" s="79">
        <v>656.28000000000009</v>
      </c>
      <c r="K2841" s="79">
        <v>0</v>
      </c>
      <c r="L2841" s="70">
        <v>656.28000000000009</v>
      </c>
      <c r="M2841" s="132"/>
      <c r="N2841" s="79">
        <v>600.45000000000005</v>
      </c>
      <c r="O2841" s="79">
        <v>55.83</v>
      </c>
      <c r="P2841" s="79">
        <v>656.28000000000009</v>
      </c>
      <c r="Q2841" s="136"/>
      <c r="R2841" s="79">
        <v>600.45000000000005</v>
      </c>
      <c r="S2841" s="79">
        <v>55.83</v>
      </c>
      <c r="T2841" s="79">
        <v>656.28000000000009</v>
      </c>
      <c r="U2841" s="79">
        <v>0</v>
      </c>
      <c r="V2841" s="189">
        <v>656.28000000000009</v>
      </c>
      <c r="X2841" s="79">
        <v>600.45000000000005</v>
      </c>
      <c r="Y2841" s="79">
        <v>55.83</v>
      </c>
      <c r="Z2841" s="79">
        <v>656.28</v>
      </c>
      <c r="AA2841" s="255">
        <v>0</v>
      </c>
      <c r="AC2841" s="254"/>
    </row>
    <row r="2842" spans="1:31" ht="12">
      <c r="A2842" s="67" t="s">
        <v>16014</v>
      </c>
      <c r="B2842" s="65" t="s">
        <v>16015</v>
      </c>
      <c r="C2842" s="71" t="s">
        <v>103</v>
      </c>
      <c r="D2842" s="78">
        <v>1</v>
      </c>
      <c r="E2842" s="79">
        <v>234.73</v>
      </c>
      <c r="F2842" s="70">
        <v>234.73</v>
      </c>
      <c r="G2842" s="320"/>
      <c r="H2842" s="79">
        <v>206.79</v>
      </c>
      <c r="I2842" s="79">
        <v>27.939999999999998</v>
      </c>
      <c r="J2842" s="79">
        <v>234.73</v>
      </c>
      <c r="K2842" s="79">
        <v>0</v>
      </c>
      <c r="L2842" s="70">
        <v>234.73</v>
      </c>
      <c r="M2842" s="132"/>
      <c r="N2842" s="78">
        <v>206.79</v>
      </c>
      <c r="O2842" s="78">
        <v>27.939999999999998</v>
      </c>
      <c r="P2842" s="79">
        <v>234.73</v>
      </c>
      <c r="Q2842" s="136"/>
      <c r="R2842" s="79">
        <v>206.79</v>
      </c>
      <c r="S2842" s="79">
        <v>27.92</v>
      </c>
      <c r="T2842" s="79">
        <v>234.70999999999998</v>
      </c>
      <c r="U2842" s="79">
        <v>0</v>
      </c>
      <c r="V2842" s="189">
        <v>234.70999999999998</v>
      </c>
      <c r="X2842" s="78">
        <v>206.79</v>
      </c>
      <c r="Y2842" s="78">
        <v>27.92</v>
      </c>
      <c r="Z2842" s="79">
        <v>234.71</v>
      </c>
      <c r="AA2842" s="255">
        <v>1.999999999998181E-2</v>
      </c>
      <c r="AC2842" s="254"/>
      <c r="AD2842" s="61"/>
      <c r="AE2842" s="61"/>
    </row>
    <row r="2843" spans="1:31" ht="12">
      <c r="A2843" s="67" t="s">
        <v>16016</v>
      </c>
      <c r="B2843" s="65" t="s">
        <v>16017</v>
      </c>
      <c r="C2843" s="71" t="s">
        <v>103</v>
      </c>
      <c r="D2843" s="78">
        <v>1</v>
      </c>
      <c r="E2843" s="79">
        <v>666.19</v>
      </c>
      <c r="F2843" s="70">
        <v>666.19</v>
      </c>
      <c r="G2843" s="320"/>
      <c r="H2843" s="79">
        <v>638.25</v>
      </c>
      <c r="I2843" s="79">
        <v>27.939999999999998</v>
      </c>
      <c r="J2843" s="79">
        <v>666.19</v>
      </c>
      <c r="K2843" s="79">
        <v>0</v>
      </c>
      <c r="L2843" s="70">
        <v>666.19</v>
      </c>
      <c r="M2843" s="132"/>
      <c r="N2843" s="78">
        <v>638.25</v>
      </c>
      <c r="O2843" s="78">
        <v>27.939999999999998</v>
      </c>
      <c r="P2843" s="79">
        <v>666.19</v>
      </c>
      <c r="Q2843" s="136"/>
      <c r="R2843" s="79">
        <v>638.25</v>
      </c>
      <c r="S2843" s="79">
        <v>27.92</v>
      </c>
      <c r="T2843" s="79">
        <v>666.17</v>
      </c>
      <c r="U2843" s="79">
        <v>0</v>
      </c>
      <c r="V2843" s="189">
        <v>666.17</v>
      </c>
      <c r="X2843" s="78">
        <v>638.25</v>
      </c>
      <c r="Y2843" s="78">
        <v>27.92</v>
      </c>
      <c r="Z2843" s="79">
        <v>666.17</v>
      </c>
      <c r="AA2843" s="255">
        <v>2.0000000000095497E-2</v>
      </c>
      <c r="AC2843" s="254"/>
      <c r="AD2843" s="61"/>
      <c r="AE2843" s="61"/>
    </row>
    <row r="2844" spans="1:31" s="61" customFormat="1" ht="12">
      <c r="A2844" s="63" t="s">
        <v>16018</v>
      </c>
      <c r="B2844" s="64" t="s">
        <v>16019</v>
      </c>
      <c r="C2844" s="71" t="s">
        <v>103</v>
      </c>
      <c r="D2844" s="78">
        <v>1</v>
      </c>
      <c r="E2844" s="79">
        <v>96.44</v>
      </c>
      <c r="F2844" s="70">
        <v>96.44</v>
      </c>
      <c r="G2844" s="320"/>
      <c r="H2844" s="79">
        <v>85.28</v>
      </c>
      <c r="I2844" s="79">
        <v>11.16</v>
      </c>
      <c r="J2844" s="79">
        <v>96.44</v>
      </c>
      <c r="K2844" s="79">
        <v>0</v>
      </c>
      <c r="L2844" s="70">
        <v>96.44</v>
      </c>
      <c r="M2844" s="132"/>
      <c r="N2844" s="78">
        <v>85.28</v>
      </c>
      <c r="O2844" s="78">
        <v>11.16</v>
      </c>
      <c r="P2844" s="79">
        <v>96.44</v>
      </c>
      <c r="Q2844" s="136"/>
      <c r="R2844" s="79">
        <v>85.28</v>
      </c>
      <c r="S2844" s="79">
        <v>11.16</v>
      </c>
      <c r="T2844" s="79">
        <v>96.44</v>
      </c>
      <c r="U2844" s="79">
        <v>0</v>
      </c>
      <c r="V2844" s="189">
        <v>96.44</v>
      </c>
      <c r="X2844" s="78">
        <v>85.28</v>
      </c>
      <c r="Y2844" s="78">
        <v>11.16</v>
      </c>
      <c r="Z2844" s="79">
        <v>96.44</v>
      </c>
      <c r="AA2844" s="255">
        <v>0</v>
      </c>
      <c r="AC2844" s="254"/>
    </row>
    <row r="2845" spans="1:31" s="61" customFormat="1" ht="12">
      <c r="A2845" s="63" t="s">
        <v>16020</v>
      </c>
      <c r="B2845" s="64" t="s">
        <v>16021</v>
      </c>
      <c r="C2845" s="71" t="s">
        <v>103</v>
      </c>
      <c r="D2845" s="78">
        <v>1</v>
      </c>
      <c r="E2845" s="79">
        <v>467.84</v>
      </c>
      <c r="F2845" s="70">
        <v>467.84</v>
      </c>
      <c r="G2845" s="320"/>
      <c r="H2845" s="79">
        <v>439.9</v>
      </c>
      <c r="I2845" s="79">
        <v>27.939999999999998</v>
      </c>
      <c r="J2845" s="79">
        <v>467.84</v>
      </c>
      <c r="K2845" s="79">
        <v>0</v>
      </c>
      <c r="L2845" s="70">
        <v>467.84</v>
      </c>
      <c r="M2845" s="132"/>
      <c r="N2845" s="78">
        <v>439.9</v>
      </c>
      <c r="O2845" s="78">
        <v>27.939999999999998</v>
      </c>
      <c r="P2845" s="79">
        <v>467.84</v>
      </c>
      <c r="Q2845" s="136"/>
      <c r="R2845" s="78">
        <v>439.9</v>
      </c>
      <c r="S2845" s="78">
        <v>27.92</v>
      </c>
      <c r="T2845" s="79">
        <v>467.82</v>
      </c>
      <c r="U2845" s="79">
        <v>0</v>
      </c>
      <c r="V2845" s="189">
        <v>467.82</v>
      </c>
      <c r="X2845" s="78">
        <v>439.9</v>
      </c>
      <c r="Y2845" s="78">
        <v>27.92</v>
      </c>
      <c r="Z2845" s="79">
        <v>467.82</v>
      </c>
      <c r="AA2845" s="255">
        <v>1.999999999998181E-2</v>
      </c>
      <c r="AC2845" s="254"/>
    </row>
    <row r="2846" spans="1:31" s="61" customFormat="1" ht="12">
      <c r="A2846" s="489" t="s">
        <v>16022</v>
      </c>
      <c r="B2846" s="490" t="s">
        <v>16023</v>
      </c>
      <c r="C2846" s="491"/>
      <c r="D2846" s="492"/>
      <c r="E2846" s="79"/>
      <c r="F2846" s="63"/>
      <c r="G2846" s="320"/>
      <c r="H2846" s="79"/>
      <c r="I2846" s="79"/>
      <c r="J2846" s="79"/>
      <c r="K2846" s="79"/>
      <c r="L2846" s="70"/>
      <c r="M2846" s="132"/>
      <c r="N2846" s="79"/>
      <c r="O2846" s="79"/>
      <c r="P2846" s="79"/>
      <c r="Q2846" s="136"/>
      <c r="R2846" s="79"/>
      <c r="S2846" s="79"/>
      <c r="T2846" s="79"/>
      <c r="U2846" s="79"/>
      <c r="V2846" s="189"/>
      <c r="X2846" s="79"/>
      <c r="Y2846" s="79"/>
      <c r="Z2846" s="79"/>
      <c r="AA2846" s="255"/>
      <c r="AC2846" s="254"/>
    </row>
    <row r="2847" spans="1:31" s="61" customFormat="1" ht="12">
      <c r="A2847" s="489" t="s">
        <v>16024</v>
      </c>
      <c r="B2847" s="490" t="s">
        <v>16025</v>
      </c>
      <c r="C2847" s="491"/>
      <c r="D2847" s="492"/>
      <c r="E2847" s="79"/>
      <c r="F2847" s="63"/>
      <c r="G2847" s="320"/>
      <c r="H2847" s="79"/>
      <c r="I2847" s="79"/>
      <c r="J2847" s="79"/>
      <c r="K2847" s="79"/>
      <c r="L2847" s="70"/>
      <c r="M2847" s="132"/>
      <c r="N2847" s="79"/>
      <c r="O2847" s="79"/>
      <c r="P2847" s="79"/>
      <c r="Q2847" s="136"/>
      <c r="R2847" s="79"/>
      <c r="S2847" s="79"/>
      <c r="T2847" s="79"/>
      <c r="U2847" s="79"/>
      <c r="V2847" s="189"/>
      <c r="X2847" s="79"/>
      <c r="Y2847" s="79"/>
      <c r="Z2847" s="79"/>
      <c r="AA2847" s="255"/>
      <c r="AC2847" s="254"/>
    </row>
    <row r="2848" spans="1:31" s="61" customFormat="1" ht="12">
      <c r="A2848" s="67" t="s">
        <v>16026</v>
      </c>
      <c r="B2848" s="65" t="s">
        <v>16027</v>
      </c>
      <c r="C2848" s="71" t="s">
        <v>103</v>
      </c>
      <c r="D2848" s="78">
        <v>1</v>
      </c>
      <c r="E2848" s="79">
        <v>900.85</v>
      </c>
      <c r="F2848" s="70">
        <v>900.85</v>
      </c>
      <c r="G2848" s="320"/>
      <c r="H2848" s="79">
        <v>833.66</v>
      </c>
      <c r="I2848" s="79">
        <v>67.19</v>
      </c>
      <c r="J2848" s="79">
        <v>900.84999999999991</v>
      </c>
      <c r="K2848" s="79">
        <v>0</v>
      </c>
      <c r="L2848" s="70">
        <v>900.84999999999991</v>
      </c>
      <c r="M2848" s="132"/>
      <c r="N2848" s="79">
        <v>833.66</v>
      </c>
      <c r="O2848" s="79">
        <v>67.19</v>
      </c>
      <c r="P2848" s="79">
        <v>900.84999999999991</v>
      </c>
      <c r="Q2848" s="136"/>
      <c r="R2848" s="79">
        <v>862.52</v>
      </c>
      <c r="S2848" s="79">
        <v>67.19</v>
      </c>
      <c r="T2848" s="79">
        <v>929.71</v>
      </c>
      <c r="U2848" s="79">
        <v>0</v>
      </c>
      <c r="V2848" s="189">
        <v>929.71</v>
      </c>
      <c r="X2848" s="79">
        <v>862.52</v>
      </c>
      <c r="Y2848" s="79">
        <v>67.19</v>
      </c>
      <c r="Z2848" s="79">
        <v>929.71</v>
      </c>
      <c r="AA2848" s="255">
        <v>-28.860000000000014</v>
      </c>
      <c r="AC2848" s="254"/>
    </row>
    <row r="2849" spans="1:31" s="61" customFormat="1" ht="12">
      <c r="A2849" s="67" t="s">
        <v>16028</v>
      </c>
      <c r="B2849" s="65" t="s">
        <v>16029</v>
      </c>
      <c r="C2849" s="71" t="s">
        <v>103</v>
      </c>
      <c r="D2849" s="78">
        <v>1</v>
      </c>
      <c r="E2849" s="79">
        <v>1142.8000000000002</v>
      </c>
      <c r="F2849" s="70">
        <v>1142.8</v>
      </c>
      <c r="G2849" s="320"/>
      <c r="H2849" s="79">
        <v>1064.27</v>
      </c>
      <c r="I2849" s="79">
        <v>78.53</v>
      </c>
      <c r="J2849" s="79">
        <v>1142.8</v>
      </c>
      <c r="K2849" s="79">
        <v>0</v>
      </c>
      <c r="L2849" s="70">
        <v>1142.8</v>
      </c>
      <c r="M2849" s="132"/>
      <c r="N2849" s="79">
        <v>1064.27</v>
      </c>
      <c r="O2849" s="79">
        <v>78.53</v>
      </c>
      <c r="P2849" s="79">
        <v>1142.8</v>
      </c>
      <c r="Q2849" s="136"/>
      <c r="R2849" s="79">
        <v>1064.27</v>
      </c>
      <c r="S2849" s="79">
        <v>78.540000000000006</v>
      </c>
      <c r="T2849" s="79">
        <v>1142.81</v>
      </c>
      <c r="U2849" s="79">
        <v>0</v>
      </c>
      <c r="V2849" s="189">
        <v>1142.81</v>
      </c>
      <c r="X2849" s="79">
        <v>1064.27</v>
      </c>
      <c r="Y2849" s="79">
        <v>78.540000000000006</v>
      </c>
      <c r="Z2849" s="79">
        <v>1142.81</v>
      </c>
      <c r="AA2849" s="255">
        <v>-9.9999999999909051E-3</v>
      </c>
      <c r="AC2849" s="254"/>
      <c r="AD2849" s="236"/>
      <c r="AE2849" s="236"/>
    </row>
    <row r="2850" spans="1:31" s="61" customFormat="1" ht="12">
      <c r="A2850" s="67" t="s">
        <v>16030</v>
      </c>
      <c r="B2850" s="65" t="s">
        <v>16031</v>
      </c>
      <c r="C2850" s="71" t="s">
        <v>103</v>
      </c>
      <c r="D2850" s="78">
        <v>1</v>
      </c>
      <c r="E2850" s="79">
        <v>313.41999999999996</v>
      </c>
      <c r="F2850" s="70">
        <v>313.42</v>
      </c>
      <c r="G2850" s="320"/>
      <c r="H2850" s="79">
        <v>246.23</v>
      </c>
      <c r="I2850" s="79">
        <v>67.19</v>
      </c>
      <c r="J2850" s="79">
        <v>313.41999999999996</v>
      </c>
      <c r="K2850" s="79">
        <v>0</v>
      </c>
      <c r="L2850" s="70">
        <v>313.41999999999996</v>
      </c>
      <c r="M2850" s="132"/>
      <c r="N2850" s="79">
        <v>246.23</v>
      </c>
      <c r="O2850" s="79">
        <v>67.19</v>
      </c>
      <c r="P2850" s="79">
        <v>313.41999999999996</v>
      </c>
      <c r="Q2850" s="136"/>
      <c r="R2850" s="79">
        <v>246.23</v>
      </c>
      <c r="S2850" s="79">
        <v>67.19</v>
      </c>
      <c r="T2850" s="79">
        <v>313.41999999999996</v>
      </c>
      <c r="U2850" s="79">
        <v>0</v>
      </c>
      <c r="V2850" s="189">
        <v>313.41999999999996</v>
      </c>
      <c r="X2850" s="79">
        <v>246.23</v>
      </c>
      <c r="Y2850" s="79">
        <v>67.19</v>
      </c>
      <c r="Z2850" s="79">
        <v>313.42</v>
      </c>
      <c r="AA2850" s="255">
        <v>0</v>
      </c>
      <c r="AC2850" s="254"/>
      <c r="AD2850" s="236"/>
      <c r="AE2850" s="236"/>
    </row>
    <row r="2851" spans="1:31" ht="13">
      <c r="A2851" s="83" t="s">
        <v>40969</v>
      </c>
      <c r="B2851" s="64" t="s">
        <v>40970</v>
      </c>
      <c r="C2851" s="71" t="s">
        <v>103</v>
      </c>
      <c r="D2851" s="78">
        <v>1</v>
      </c>
      <c r="E2851" s="79">
        <v>354.61</v>
      </c>
      <c r="F2851" s="70">
        <v>354.61</v>
      </c>
      <c r="G2851" s="320"/>
      <c r="H2851" s="79">
        <v>284.02</v>
      </c>
      <c r="I2851" s="79">
        <v>70.59</v>
      </c>
      <c r="J2851" s="79">
        <v>354.61</v>
      </c>
      <c r="K2851" s="79">
        <v>0</v>
      </c>
      <c r="L2851" s="70">
        <v>354.61</v>
      </c>
      <c r="M2851" s="132"/>
      <c r="N2851" s="79">
        <v>284.02</v>
      </c>
      <c r="O2851" s="79">
        <v>70.59</v>
      </c>
      <c r="P2851" s="79">
        <v>354.61</v>
      </c>
      <c r="R2851" s="79">
        <v>284.02</v>
      </c>
      <c r="S2851" s="79">
        <v>70.59</v>
      </c>
      <c r="T2851" s="79">
        <v>354.61</v>
      </c>
      <c r="U2851" s="79">
        <v>0</v>
      </c>
      <c r="V2851" s="189">
        <v>354.61</v>
      </c>
      <c r="X2851" s="79">
        <v>284.02</v>
      </c>
      <c r="Y2851" s="79">
        <v>70.59</v>
      </c>
      <c r="Z2851" s="79">
        <v>354.61</v>
      </c>
      <c r="AA2851" s="255">
        <v>0</v>
      </c>
      <c r="AC2851" s="510"/>
    </row>
    <row r="2852" spans="1:31" ht="12">
      <c r="A2852" s="67" t="s">
        <v>16032</v>
      </c>
      <c r="B2852" s="65" t="s">
        <v>16033</v>
      </c>
      <c r="C2852" s="71" t="s">
        <v>103</v>
      </c>
      <c r="D2852" s="78">
        <v>1</v>
      </c>
      <c r="E2852" s="79">
        <v>510.30000000000007</v>
      </c>
      <c r="F2852" s="70">
        <v>510.3</v>
      </c>
      <c r="G2852" s="320"/>
      <c r="H2852" s="79">
        <v>443.11</v>
      </c>
      <c r="I2852" s="79">
        <v>67.19</v>
      </c>
      <c r="J2852" s="79">
        <v>510.3</v>
      </c>
      <c r="K2852" s="79">
        <v>0</v>
      </c>
      <c r="L2852" s="70">
        <v>510.3</v>
      </c>
      <c r="M2852" s="132"/>
      <c r="N2852" s="79">
        <v>443.11</v>
      </c>
      <c r="O2852" s="79">
        <v>67.19</v>
      </c>
      <c r="P2852" s="79">
        <v>510.3</v>
      </c>
      <c r="Q2852" s="136"/>
      <c r="R2852" s="79">
        <v>443.11</v>
      </c>
      <c r="S2852" s="79">
        <v>67.19</v>
      </c>
      <c r="T2852" s="79">
        <v>510.3</v>
      </c>
      <c r="U2852" s="79">
        <v>0</v>
      </c>
      <c r="V2852" s="189">
        <v>510.3</v>
      </c>
      <c r="X2852" s="79">
        <v>443.11</v>
      </c>
      <c r="Y2852" s="79">
        <v>67.19</v>
      </c>
      <c r="Z2852" s="79">
        <v>510.3</v>
      </c>
      <c r="AA2852" s="255">
        <v>0</v>
      </c>
      <c r="AC2852" s="254"/>
    </row>
    <row r="2853" spans="1:31" ht="13">
      <c r="A2853" s="83" t="s">
        <v>40971</v>
      </c>
      <c r="B2853" s="64" t="s">
        <v>40972</v>
      </c>
      <c r="C2853" s="71" t="s">
        <v>103</v>
      </c>
      <c r="D2853" s="78">
        <v>1</v>
      </c>
      <c r="E2853" s="79">
        <v>551.49</v>
      </c>
      <c r="F2853" s="70">
        <v>551.49</v>
      </c>
      <c r="G2853" s="320"/>
      <c r="H2853" s="79">
        <v>480.90000000000009</v>
      </c>
      <c r="I2853" s="79">
        <v>70.59</v>
      </c>
      <c r="J2853" s="79">
        <v>551.49000000000012</v>
      </c>
      <c r="K2853" s="79">
        <v>0</v>
      </c>
      <c r="L2853" s="70">
        <v>551.49000000000012</v>
      </c>
      <c r="M2853" s="132"/>
      <c r="N2853" s="79">
        <v>480.90000000000009</v>
      </c>
      <c r="O2853" s="79">
        <v>70.59</v>
      </c>
      <c r="P2853" s="79">
        <v>551.49000000000012</v>
      </c>
      <c r="R2853" s="79">
        <v>480.9</v>
      </c>
      <c r="S2853" s="79">
        <v>70.59</v>
      </c>
      <c r="T2853" s="79">
        <v>551.49</v>
      </c>
      <c r="U2853" s="79">
        <v>0</v>
      </c>
      <c r="V2853" s="189">
        <v>551.49</v>
      </c>
      <c r="X2853" s="79">
        <v>480.9</v>
      </c>
      <c r="Y2853" s="79">
        <v>70.59</v>
      </c>
      <c r="Z2853" s="79">
        <v>551.49</v>
      </c>
      <c r="AA2853" s="255">
        <v>0</v>
      </c>
      <c r="AC2853" s="510"/>
    </row>
    <row r="2854" spans="1:31" ht="12">
      <c r="A2854" s="67" t="s">
        <v>16034</v>
      </c>
      <c r="B2854" s="65" t="s">
        <v>16035</v>
      </c>
      <c r="C2854" s="71" t="s">
        <v>103</v>
      </c>
      <c r="D2854" s="78">
        <v>1</v>
      </c>
      <c r="E2854" s="79">
        <v>175.88</v>
      </c>
      <c r="F2854" s="70">
        <v>175.88</v>
      </c>
      <c r="G2854" s="320"/>
      <c r="H2854" s="79">
        <v>97.35</v>
      </c>
      <c r="I2854" s="79">
        <v>78.53</v>
      </c>
      <c r="J2854" s="79">
        <v>175.88</v>
      </c>
      <c r="K2854" s="79">
        <v>0</v>
      </c>
      <c r="L2854" s="70">
        <v>175.88</v>
      </c>
      <c r="M2854" s="132"/>
      <c r="N2854" s="79">
        <v>97.35</v>
      </c>
      <c r="O2854" s="79">
        <v>78.53</v>
      </c>
      <c r="P2854" s="79">
        <v>175.88</v>
      </c>
      <c r="Q2854" s="136"/>
      <c r="R2854" s="79">
        <v>97.35</v>
      </c>
      <c r="S2854" s="79">
        <v>78.540000000000006</v>
      </c>
      <c r="T2854" s="79">
        <v>175.89</v>
      </c>
      <c r="U2854" s="79">
        <v>0</v>
      </c>
      <c r="V2854" s="189">
        <v>175.89</v>
      </c>
      <c r="X2854" s="79">
        <v>97.35</v>
      </c>
      <c r="Y2854" s="79">
        <v>78.540000000000006</v>
      </c>
      <c r="Z2854" s="79">
        <v>175.89</v>
      </c>
      <c r="AA2854" s="255">
        <v>-9.9999999999909051E-3</v>
      </c>
      <c r="AC2854" s="254"/>
    </row>
    <row r="2855" spans="1:31" ht="12">
      <c r="A2855" s="67" t="s">
        <v>16036</v>
      </c>
      <c r="B2855" s="65" t="s">
        <v>16037</v>
      </c>
      <c r="C2855" s="71" t="s">
        <v>103</v>
      </c>
      <c r="D2855" s="78">
        <v>1</v>
      </c>
      <c r="E2855" s="79">
        <v>572.96</v>
      </c>
      <c r="F2855" s="70">
        <v>572.96</v>
      </c>
      <c r="G2855" s="320"/>
      <c r="H2855" s="79">
        <v>494.42999999999995</v>
      </c>
      <c r="I2855" s="79">
        <v>78.53</v>
      </c>
      <c r="J2855" s="79">
        <v>572.95999999999992</v>
      </c>
      <c r="K2855" s="79">
        <v>0</v>
      </c>
      <c r="L2855" s="70">
        <v>572.95999999999992</v>
      </c>
      <c r="M2855" s="132"/>
      <c r="N2855" s="79">
        <v>494.42999999999995</v>
      </c>
      <c r="O2855" s="79">
        <v>78.53</v>
      </c>
      <c r="P2855" s="79">
        <v>572.95999999999992</v>
      </c>
      <c r="Q2855" s="136"/>
      <c r="R2855" s="79">
        <v>494.43</v>
      </c>
      <c r="S2855" s="79">
        <v>78.540000000000006</v>
      </c>
      <c r="T2855" s="79">
        <v>572.97</v>
      </c>
      <c r="U2855" s="79">
        <v>0</v>
      </c>
      <c r="V2855" s="189">
        <v>572.97</v>
      </c>
      <c r="X2855" s="79">
        <v>494.43</v>
      </c>
      <c r="Y2855" s="79">
        <v>78.540000000000006</v>
      </c>
      <c r="Z2855" s="79">
        <v>572.97</v>
      </c>
      <c r="AA2855" s="255">
        <v>-9.9999999999909051E-3</v>
      </c>
      <c r="AC2855" s="254"/>
    </row>
    <row r="2856" spans="1:31" ht="12">
      <c r="A2856" s="67" t="s">
        <v>16038</v>
      </c>
      <c r="B2856" s="65" t="s">
        <v>16039</v>
      </c>
      <c r="C2856" s="71" t="s">
        <v>103</v>
      </c>
      <c r="D2856" s="78">
        <v>1</v>
      </c>
      <c r="E2856" s="79">
        <v>1011.52</v>
      </c>
      <c r="F2856" s="70">
        <v>1011.52</v>
      </c>
      <c r="G2856" s="320"/>
      <c r="H2856" s="79">
        <v>932.99</v>
      </c>
      <c r="I2856" s="79">
        <v>78.53</v>
      </c>
      <c r="J2856" s="79">
        <v>1011.52</v>
      </c>
      <c r="K2856" s="79">
        <v>0</v>
      </c>
      <c r="L2856" s="70">
        <v>1011.52</v>
      </c>
      <c r="M2856" s="132"/>
      <c r="N2856" s="79">
        <v>932.99</v>
      </c>
      <c r="O2856" s="79">
        <v>78.53</v>
      </c>
      <c r="P2856" s="79">
        <v>1011.52</v>
      </c>
      <c r="Q2856" s="136"/>
      <c r="R2856" s="79">
        <v>932.99</v>
      </c>
      <c r="S2856" s="79">
        <v>78.540000000000006</v>
      </c>
      <c r="T2856" s="79">
        <v>1011.53</v>
      </c>
      <c r="U2856" s="79">
        <v>0</v>
      </c>
      <c r="V2856" s="189">
        <v>1011.53</v>
      </c>
      <c r="X2856" s="79">
        <v>932.99</v>
      </c>
      <c r="Y2856" s="79">
        <v>78.540000000000006</v>
      </c>
      <c r="Z2856" s="79">
        <v>1011.53</v>
      </c>
      <c r="AA2856" s="255">
        <v>-9.9999999999909051E-3</v>
      </c>
      <c r="AC2856" s="254"/>
    </row>
    <row r="2857" spans="1:31" ht="12">
      <c r="A2857" s="67" t="s">
        <v>16040</v>
      </c>
      <c r="B2857" s="65" t="s">
        <v>16041</v>
      </c>
      <c r="C2857" s="71" t="s">
        <v>103</v>
      </c>
      <c r="D2857" s="78">
        <v>1</v>
      </c>
      <c r="E2857" s="79">
        <v>77</v>
      </c>
      <c r="F2857" s="70">
        <v>77</v>
      </c>
      <c r="G2857" s="320"/>
      <c r="H2857" s="79">
        <v>49.06</v>
      </c>
      <c r="I2857" s="79">
        <v>27.939999999999998</v>
      </c>
      <c r="J2857" s="79">
        <v>77</v>
      </c>
      <c r="K2857" s="79">
        <v>0</v>
      </c>
      <c r="L2857" s="70">
        <v>77</v>
      </c>
      <c r="M2857" s="132"/>
      <c r="N2857" s="79">
        <v>49.06</v>
      </c>
      <c r="O2857" s="79">
        <v>27.939999999999998</v>
      </c>
      <c r="P2857" s="79">
        <v>77</v>
      </c>
      <c r="Q2857" s="136"/>
      <c r="R2857" s="79">
        <v>49.06</v>
      </c>
      <c r="S2857" s="79">
        <v>27.92</v>
      </c>
      <c r="T2857" s="79">
        <v>76.98</v>
      </c>
      <c r="U2857" s="79">
        <v>0</v>
      </c>
      <c r="V2857" s="189">
        <v>76.98</v>
      </c>
      <c r="X2857" s="79">
        <v>49.06</v>
      </c>
      <c r="Y2857" s="79">
        <v>27.92</v>
      </c>
      <c r="Z2857" s="79">
        <v>76.98</v>
      </c>
      <c r="AA2857" s="255">
        <v>1.9999999999996021E-2</v>
      </c>
      <c r="AC2857" s="254"/>
    </row>
    <row r="2858" spans="1:31" ht="12">
      <c r="A2858" s="67" t="s">
        <v>16042</v>
      </c>
      <c r="B2858" s="65" t="s">
        <v>16043</v>
      </c>
      <c r="C2858" s="71" t="s">
        <v>103</v>
      </c>
      <c r="D2858" s="78">
        <v>1</v>
      </c>
      <c r="E2858" s="79">
        <v>569.29</v>
      </c>
      <c r="F2858" s="70">
        <v>569.29</v>
      </c>
      <c r="G2858" s="320"/>
      <c r="H2858" s="79">
        <v>490.76</v>
      </c>
      <c r="I2858" s="79">
        <v>78.53</v>
      </c>
      <c r="J2858" s="79">
        <v>569.29</v>
      </c>
      <c r="K2858" s="79">
        <v>0</v>
      </c>
      <c r="L2858" s="70">
        <v>569.29</v>
      </c>
      <c r="M2858" s="132"/>
      <c r="N2858" s="79">
        <v>490.76</v>
      </c>
      <c r="O2858" s="79">
        <v>78.53</v>
      </c>
      <c r="P2858" s="79">
        <v>569.29</v>
      </c>
      <c r="Q2858" s="136"/>
      <c r="R2858" s="79">
        <v>490.76</v>
      </c>
      <c r="S2858" s="79">
        <v>78.540000000000006</v>
      </c>
      <c r="T2858" s="79">
        <v>569.29999999999995</v>
      </c>
      <c r="U2858" s="79">
        <v>0</v>
      </c>
      <c r="V2858" s="189">
        <v>569.29999999999995</v>
      </c>
      <c r="X2858" s="79">
        <v>490.76</v>
      </c>
      <c r="Y2858" s="79">
        <v>78.540000000000006</v>
      </c>
      <c r="Z2858" s="79">
        <v>569.29999999999995</v>
      </c>
      <c r="AA2858" s="255">
        <v>-9.9999999999909051E-3</v>
      </c>
      <c r="AC2858" s="254"/>
    </row>
    <row r="2859" spans="1:31" ht="12">
      <c r="A2859" s="67" t="s">
        <v>16044</v>
      </c>
      <c r="B2859" s="65" t="s">
        <v>16045</v>
      </c>
      <c r="C2859" s="71" t="s">
        <v>103</v>
      </c>
      <c r="D2859" s="78">
        <v>1</v>
      </c>
      <c r="E2859" s="79">
        <v>626.12</v>
      </c>
      <c r="F2859" s="70">
        <v>626.12</v>
      </c>
      <c r="G2859" s="320"/>
      <c r="H2859" s="79">
        <v>547.59</v>
      </c>
      <c r="I2859" s="79">
        <v>78.53</v>
      </c>
      <c r="J2859" s="79">
        <v>626.12</v>
      </c>
      <c r="K2859" s="79">
        <v>0</v>
      </c>
      <c r="L2859" s="70">
        <v>626.12</v>
      </c>
      <c r="M2859" s="132"/>
      <c r="N2859" s="79">
        <v>547.59</v>
      </c>
      <c r="O2859" s="79">
        <v>78.53</v>
      </c>
      <c r="P2859" s="79">
        <v>626.12</v>
      </c>
      <c r="Q2859" s="136"/>
      <c r="R2859" s="79">
        <v>547.59</v>
      </c>
      <c r="S2859" s="79">
        <v>78.540000000000006</v>
      </c>
      <c r="T2859" s="79">
        <v>626.13</v>
      </c>
      <c r="U2859" s="79">
        <v>0</v>
      </c>
      <c r="V2859" s="189">
        <v>626.13</v>
      </c>
      <c r="X2859" s="79">
        <v>547.59</v>
      </c>
      <c r="Y2859" s="79">
        <v>78.540000000000006</v>
      </c>
      <c r="Z2859" s="79">
        <v>626.13</v>
      </c>
      <c r="AA2859" s="255">
        <v>-9.9999999999909051E-3</v>
      </c>
      <c r="AC2859" s="254"/>
    </row>
    <row r="2860" spans="1:31" ht="12">
      <c r="A2860" s="67" t="s">
        <v>16046</v>
      </c>
      <c r="B2860" s="65" t="s">
        <v>16047</v>
      </c>
      <c r="C2860" s="71" t="s">
        <v>103</v>
      </c>
      <c r="D2860" s="78">
        <v>1</v>
      </c>
      <c r="E2860" s="79">
        <v>140.66999999999999</v>
      </c>
      <c r="F2860" s="70">
        <v>140.66999999999999</v>
      </c>
      <c r="G2860" s="320"/>
      <c r="H2860" s="79">
        <v>112.72999999999999</v>
      </c>
      <c r="I2860" s="79">
        <v>27.939999999999998</v>
      </c>
      <c r="J2860" s="79">
        <v>140.66999999999999</v>
      </c>
      <c r="K2860" s="79">
        <v>0</v>
      </c>
      <c r="L2860" s="70">
        <v>140.66999999999999</v>
      </c>
      <c r="M2860" s="132"/>
      <c r="N2860" s="79">
        <v>112.72999999999999</v>
      </c>
      <c r="O2860" s="79">
        <v>27.939999999999998</v>
      </c>
      <c r="P2860" s="79">
        <v>140.66999999999999</v>
      </c>
      <c r="Q2860" s="136"/>
      <c r="R2860" s="79">
        <v>112.73</v>
      </c>
      <c r="S2860" s="79">
        <v>27.92</v>
      </c>
      <c r="T2860" s="79">
        <v>140.65</v>
      </c>
      <c r="U2860" s="79">
        <v>0</v>
      </c>
      <c r="V2860" s="189">
        <v>140.65</v>
      </c>
      <c r="X2860" s="79">
        <v>112.73</v>
      </c>
      <c r="Y2860" s="79">
        <v>27.92</v>
      </c>
      <c r="Z2860" s="79">
        <v>140.65</v>
      </c>
      <c r="AA2860" s="255">
        <v>1.999999999998181E-2</v>
      </c>
      <c r="AC2860" s="254"/>
    </row>
    <row r="2861" spans="1:31" ht="12">
      <c r="A2861" s="67" t="s">
        <v>16048</v>
      </c>
      <c r="B2861" s="65" t="s">
        <v>16049</v>
      </c>
      <c r="C2861" s="71" t="s">
        <v>103</v>
      </c>
      <c r="D2861" s="78">
        <v>1</v>
      </c>
      <c r="E2861" s="79">
        <v>1004.25</v>
      </c>
      <c r="F2861" s="70">
        <v>1004.25</v>
      </c>
      <c r="G2861" s="320"/>
      <c r="H2861" s="79">
        <v>836.77</v>
      </c>
      <c r="I2861" s="79">
        <v>167.48</v>
      </c>
      <c r="J2861" s="79">
        <v>1004.25</v>
      </c>
      <c r="K2861" s="79">
        <v>0</v>
      </c>
      <c r="L2861" s="70">
        <v>1004.25</v>
      </c>
      <c r="M2861" s="132"/>
      <c r="N2861" s="79">
        <v>836.77</v>
      </c>
      <c r="O2861" s="79">
        <v>167.48</v>
      </c>
      <c r="P2861" s="79">
        <v>1004.25</v>
      </c>
      <c r="Q2861" s="136"/>
      <c r="R2861" s="79">
        <v>836.77</v>
      </c>
      <c r="S2861" s="79">
        <v>167.49</v>
      </c>
      <c r="T2861" s="79">
        <v>1004.26</v>
      </c>
      <c r="U2861" s="79">
        <v>0</v>
      </c>
      <c r="V2861" s="189">
        <v>1004.26</v>
      </c>
      <c r="X2861" s="79">
        <v>836.77</v>
      </c>
      <c r="Y2861" s="79">
        <v>167.49</v>
      </c>
      <c r="Z2861" s="79">
        <v>1004.26</v>
      </c>
      <c r="AA2861" s="255">
        <v>-9.9999999999909051E-3</v>
      </c>
      <c r="AC2861" s="254"/>
    </row>
    <row r="2862" spans="1:31" ht="12">
      <c r="A2862" s="67" t="s">
        <v>16050</v>
      </c>
      <c r="B2862" s="65" t="s">
        <v>16051</v>
      </c>
      <c r="C2862" s="71" t="s">
        <v>103</v>
      </c>
      <c r="D2862" s="78">
        <v>1</v>
      </c>
      <c r="E2862" s="79">
        <v>752.85</v>
      </c>
      <c r="F2862" s="70">
        <v>752.85</v>
      </c>
      <c r="G2862" s="320"/>
      <c r="H2862" s="79">
        <v>585.37</v>
      </c>
      <c r="I2862" s="79">
        <v>167.48</v>
      </c>
      <c r="J2862" s="79">
        <v>752.85</v>
      </c>
      <c r="K2862" s="79">
        <v>0</v>
      </c>
      <c r="L2862" s="70">
        <v>752.85</v>
      </c>
      <c r="M2862" s="132"/>
      <c r="N2862" s="78">
        <v>585.37</v>
      </c>
      <c r="O2862" s="78">
        <v>167.48</v>
      </c>
      <c r="P2862" s="79">
        <v>752.85</v>
      </c>
      <c r="Q2862" s="136"/>
      <c r="R2862" s="79">
        <v>585.37</v>
      </c>
      <c r="S2862" s="79">
        <v>167.49</v>
      </c>
      <c r="T2862" s="79">
        <v>752.86</v>
      </c>
      <c r="U2862" s="79">
        <v>0</v>
      </c>
      <c r="V2862" s="189">
        <v>752.86</v>
      </c>
      <c r="X2862" s="78">
        <v>585.37</v>
      </c>
      <c r="Y2862" s="78">
        <v>167.49</v>
      </c>
      <c r="Z2862" s="79">
        <v>752.86</v>
      </c>
      <c r="AA2862" s="255">
        <v>-9.9999999999909051E-3</v>
      </c>
      <c r="AC2862" s="254"/>
    </row>
    <row r="2863" spans="1:31" ht="12">
      <c r="A2863" s="67" t="s">
        <v>16052</v>
      </c>
      <c r="B2863" s="65" t="s">
        <v>16053</v>
      </c>
      <c r="C2863" s="71" t="s">
        <v>103</v>
      </c>
      <c r="D2863" s="78">
        <v>1</v>
      </c>
      <c r="E2863" s="79">
        <v>266.36999999999995</v>
      </c>
      <c r="F2863" s="70">
        <v>266.37</v>
      </c>
      <c r="G2863" s="320"/>
      <c r="H2863" s="79">
        <v>210.54</v>
      </c>
      <c r="I2863" s="79">
        <v>55.83</v>
      </c>
      <c r="J2863" s="79">
        <v>266.37</v>
      </c>
      <c r="K2863" s="79">
        <v>0</v>
      </c>
      <c r="L2863" s="70">
        <v>266.37</v>
      </c>
      <c r="M2863" s="132"/>
      <c r="N2863" s="79">
        <v>210.54</v>
      </c>
      <c r="O2863" s="79">
        <v>55.83</v>
      </c>
      <c r="P2863" s="79">
        <v>266.37</v>
      </c>
      <c r="Q2863" s="136"/>
      <c r="R2863" s="79">
        <v>210.54</v>
      </c>
      <c r="S2863" s="79">
        <v>55.83</v>
      </c>
      <c r="T2863" s="79">
        <v>266.37</v>
      </c>
      <c r="U2863" s="79">
        <v>0</v>
      </c>
      <c r="V2863" s="189">
        <v>266.37</v>
      </c>
      <c r="X2863" s="79">
        <v>210.54</v>
      </c>
      <c r="Y2863" s="79">
        <v>55.83</v>
      </c>
      <c r="Z2863" s="79">
        <v>266.37</v>
      </c>
      <c r="AA2863" s="255">
        <v>0</v>
      </c>
      <c r="AC2863" s="254"/>
    </row>
    <row r="2864" spans="1:31" ht="12">
      <c r="A2864" s="67" t="s">
        <v>16054</v>
      </c>
      <c r="B2864" s="65" t="s">
        <v>16055</v>
      </c>
      <c r="C2864" s="71" t="s">
        <v>103</v>
      </c>
      <c r="D2864" s="78">
        <v>1</v>
      </c>
      <c r="E2864" s="79">
        <v>276.99</v>
      </c>
      <c r="F2864" s="70">
        <v>276.99</v>
      </c>
      <c r="G2864" s="320"/>
      <c r="H2864" s="79">
        <v>249.05</v>
      </c>
      <c r="I2864" s="79">
        <v>27.939999999999998</v>
      </c>
      <c r="J2864" s="79">
        <v>276.99</v>
      </c>
      <c r="K2864" s="79">
        <v>0</v>
      </c>
      <c r="L2864" s="70">
        <v>276.99</v>
      </c>
      <c r="M2864" s="132"/>
      <c r="N2864" s="79">
        <v>249.05</v>
      </c>
      <c r="O2864" s="79">
        <v>27.939999999999998</v>
      </c>
      <c r="P2864" s="79">
        <v>276.99</v>
      </c>
      <c r="Q2864" s="136"/>
      <c r="R2864" s="79">
        <v>249.05</v>
      </c>
      <c r="S2864" s="79">
        <v>27.92</v>
      </c>
      <c r="T2864" s="79">
        <v>276.97000000000003</v>
      </c>
      <c r="U2864" s="79">
        <v>0</v>
      </c>
      <c r="V2864" s="189">
        <v>276.97000000000003</v>
      </c>
      <c r="X2864" s="79">
        <v>249.05</v>
      </c>
      <c r="Y2864" s="79">
        <v>27.92</v>
      </c>
      <c r="Z2864" s="79">
        <v>276.97000000000003</v>
      </c>
      <c r="AA2864" s="255">
        <v>1.999999999998181E-2</v>
      </c>
      <c r="AC2864" s="254"/>
    </row>
    <row r="2865" spans="1:29" ht="12">
      <c r="A2865" s="67" t="s">
        <v>16056</v>
      </c>
      <c r="B2865" s="65" t="s">
        <v>16057</v>
      </c>
      <c r="C2865" s="71" t="s">
        <v>103</v>
      </c>
      <c r="D2865" s="78">
        <v>1</v>
      </c>
      <c r="E2865" s="79">
        <v>100.11</v>
      </c>
      <c r="F2865" s="70">
        <v>100.11</v>
      </c>
      <c r="G2865" s="320"/>
      <c r="H2865" s="79">
        <v>81.69</v>
      </c>
      <c r="I2865" s="79">
        <v>18.420000000000002</v>
      </c>
      <c r="J2865" s="79">
        <v>100.11</v>
      </c>
      <c r="K2865" s="79">
        <v>0</v>
      </c>
      <c r="L2865" s="70">
        <v>100.11</v>
      </c>
      <c r="M2865" s="132"/>
      <c r="N2865" s="79">
        <v>81.69</v>
      </c>
      <c r="O2865" s="79">
        <v>18.420000000000002</v>
      </c>
      <c r="P2865" s="79">
        <v>100.11</v>
      </c>
      <c r="Q2865" s="136"/>
      <c r="R2865" s="79">
        <v>81.69</v>
      </c>
      <c r="S2865" s="79">
        <v>18.420000000000002</v>
      </c>
      <c r="T2865" s="79">
        <v>100.11</v>
      </c>
      <c r="U2865" s="79">
        <v>0</v>
      </c>
      <c r="V2865" s="189">
        <v>100.11</v>
      </c>
      <c r="X2865" s="79">
        <v>81.69</v>
      </c>
      <c r="Y2865" s="79">
        <v>18.420000000000002</v>
      </c>
      <c r="Z2865" s="79">
        <v>100.11</v>
      </c>
      <c r="AA2865" s="255">
        <v>0</v>
      </c>
      <c r="AC2865" s="254"/>
    </row>
    <row r="2866" spans="1:29" ht="12">
      <c r="A2866" s="67" t="s">
        <v>16058</v>
      </c>
      <c r="B2866" s="65" t="s">
        <v>16059</v>
      </c>
      <c r="C2866" s="71" t="s">
        <v>103</v>
      </c>
      <c r="D2866" s="78">
        <v>1</v>
      </c>
      <c r="E2866" s="79">
        <v>852.82</v>
      </c>
      <c r="F2866" s="70">
        <v>852.82</v>
      </c>
      <c r="G2866" s="320"/>
      <c r="H2866" s="79">
        <v>685.34</v>
      </c>
      <c r="I2866" s="79">
        <v>167.48</v>
      </c>
      <c r="J2866" s="79">
        <v>852.82</v>
      </c>
      <c r="K2866" s="79">
        <v>0</v>
      </c>
      <c r="L2866" s="70">
        <v>852.82</v>
      </c>
      <c r="M2866" s="132"/>
      <c r="N2866" s="79">
        <v>685.34</v>
      </c>
      <c r="O2866" s="79">
        <v>167.48</v>
      </c>
      <c r="P2866" s="79">
        <v>852.82</v>
      </c>
      <c r="Q2866" s="136"/>
      <c r="R2866" s="79">
        <v>685.34</v>
      </c>
      <c r="S2866" s="79">
        <v>167.49</v>
      </c>
      <c r="T2866" s="79">
        <v>852.83</v>
      </c>
      <c r="U2866" s="79">
        <v>0</v>
      </c>
      <c r="V2866" s="189">
        <v>852.83</v>
      </c>
      <c r="X2866" s="79">
        <v>685.34</v>
      </c>
      <c r="Y2866" s="79">
        <v>167.49</v>
      </c>
      <c r="Z2866" s="79">
        <v>852.83</v>
      </c>
      <c r="AA2866" s="255">
        <v>-9.9999999999909051E-3</v>
      </c>
      <c r="AC2866" s="254"/>
    </row>
    <row r="2867" spans="1:29" ht="12">
      <c r="A2867" s="67" t="s">
        <v>16060</v>
      </c>
      <c r="B2867" s="65" t="s">
        <v>16061</v>
      </c>
      <c r="C2867" s="71" t="s">
        <v>396</v>
      </c>
      <c r="D2867" s="78">
        <v>1</v>
      </c>
      <c r="E2867" s="79">
        <v>1112.7900000000002</v>
      </c>
      <c r="F2867" s="70">
        <v>1112.79</v>
      </c>
      <c r="G2867" s="320"/>
      <c r="H2867" s="79">
        <v>1045.6000000000001</v>
      </c>
      <c r="I2867" s="79">
        <v>67.19</v>
      </c>
      <c r="J2867" s="79">
        <v>1112.7900000000002</v>
      </c>
      <c r="K2867" s="79">
        <v>0</v>
      </c>
      <c r="L2867" s="70">
        <v>1112.7900000000002</v>
      </c>
      <c r="M2867" s="132"/>
      <c r="N2867" s="79">
        <v>1045.6000000000001</v>
      </c>
      <c r="O2867" s="79">
        <v>67.19</v>
      </c>
      <c r="P2867" s="79">
        <v>1112.7900000000002</v>
      </c>
      <c r="Q2867" s="136"/>
      <c r="R2867" s="79">
        <v>1045.5999999999999</v>
      </c>
      <c r="S2867" s="79">
        <v>67.19</v>
      </c>
      <c r="T2867" s="79">
        <v>1112.79</v>
      </c>
      <c r="U2867" s="79">
        <v>0</v>
      </c>
      <c r="V2867" s="189">
        <v>1112.79</v>
      </c>
      <c r="X2867" s="79">
        <v>1045.5999999999999</v>
      </c>
      <c r="Y2867" s="79">
        <v>67.19</v>
      </c>
      <c r="Z2867" s="79">
        <v>1112.79</v>
      </c>
      <c r="AA2867" s="255">
        <v>0</v>
      </c>
      <c r="AC2867" s="254"/>
    </row>
    <row r="2868" spans="1:29" ht="13">
      <c r="A2868" s="83" t="s">
        <v>40973</v>
      </c>
      <c r="B2868" s="64" t="s">
        <v>40974</v>
      </c>
      <c r="C2868" s="71" t="s">
        <v>103</v>
      </c>
      <c r="D2868" s="78">
        <v>1</v>
      </c>
      <c r="E2868" s="79">
        <v>1153.9800000000002</v>
      </c>
      <c r="F2868" s="70">
        <v>1153.98</v>
      </c>
      <c r="G2868" s="320"/>
      <c r="H2868" s="79">
        <v>1083.3900000000001</v>
      </c>
      <c r="I2868" s="79">
        <v>70.59</v>
      </c>
      <c r="J2868" s="79">
        <v>1153.98</v>
      </c>
      <c r="K2868" s="79">
        <v>0</v>
      </c>
      <c r="L2868" s="70">
        <v>1153.98</v>
      </c>
      <c r="M2868" s="132"/>
      <c r="N2868" s="79">
        <v>1083.3900000000001</v>
      </c>
      <c r="O2868" s="79">
        <v>70.59</v>
      </c>
      <c r="P2868" s="79">
        <v>1153.98</v>
      </c>
      <c r="R2868" s="79">
        <v>1083.3900000000001</v>
      </c>
      <c r="S2868" s="79">
        <v>70.59</v>
      </c>
      <c r="T2868" s="79">
        <v>1153.98</v>
      </c>
      <c r="U2868" s="79">
        <v>0</v>
      </c>
      <c r="V2868" s="189">
        <v>1153.98</v>
      </c>
      <c r="X2868" s="79">
        <v>1083.3900000000001</v>
      </c>
      <c r="Y2868" s="79">
        <v>70.59</v>
      </c>
      <c r="Z2868" s="79">
        <v>1153.98</v>
      </c>
      <c r="AA2868" s="255">
        <v>0</v>
      </c>
      <c r="AC2868" s="510"/>
    </row>
    <row r="2869" spans="1:29" ht="12">
      <c r="A2869" s="67" t="s">
        <v>16062</v>
      </c>
      <c r="B2869" s="65" t="s">
        <v>16063</v>
      </c>
      <c r="C2869" s="71" t="s">
        <v>103</v>
      </c>
      <c r="D2869" s="78">
        <v>1</v>
      </c>
      <c r="E2869" s="79">
        <v>134.97</v>
      </c>
      <c r="F2869" s="70">
        <v>134.97</v>
      </c>
      <c r="G2869" s="320"/>
      <c r="H2869" s="79">
        <v>107.03</v>
      </c>
      <c r="I2869" s="79">
        <v>27.939999999999998</v>
      </c>
      <c r="J2869" s="79">
        <v>134.97</v>
      </c>
      <c r="K2869" s="79">
        <v>0</v>
      </c>
      <c r="L2869" s="70">
        <v>134.97</v>
      </c>
      <c r="M2869" s="132"/>
      <c r="N2869" s="79">
        <v>107.03</v>
      </c>
      <c r="O2869" s="79">
        <v>27.939999999999998</v>
      </c>
      <c r="P2869" s="79">
        <v>134.97</v>
      </c>
      <c r="Q2869" s="136"/>
      <c r="R2869" s="79">
        <v>107.03</v>
      </c>
      <c r="S2869" s="79">
        <v>27.92</v>
      </c>
      <c r="T2869" s="79">
        <v>134.94999999999999</v>
      </c>
      <c r="U2869" s="79">
        <v>0</v>
      </c>
      <c r="V2869" s="189">
        <v>134.94999999999999</v>
      </c>
      <c r="X2869" s="79">
        <v>107.03</v>
      </c>
      <c r="Y2869" s="79">
        <v>27.92</v>
      </c>
      <c r="Z2869" s="79">
        <v>134.94999999999999</v>
      </c>
      <c r="AA2869" s="255">
        <v>2.0000000000010232E-2</v>
      </c>
      <c r="AC2869" s="254"/>
    </row>
    <row r="2870" spans="1:29" ht="12">
      <c r="A2870" s="489" t="s">
        <v>16064</v>
      </c>
      <c r="B2870" s="490" t="s">
        <v>16065</v>
      </c>
      <c r="C2870" s="491"/>
      <c r="D2870" s="492"/>
      <c r="E2870" s="79"/>
      <c r="F2870" s="63"/>
      <c r="G2870" s="320"/>
      <c r="H2870" s="79"/>
      <c r="I2870" s="79"/>
      <c r="J2870" s="79"/>
      <c r="K2870" s="79"/>
      <c r="L2870" s="70"/>
      <c r="M2870" s="132"/>
      <c r="N2870" s="79"/>
      <c r="O2870" s="79"/>
      <c r="P2870" s="79"/>
      <c r="Q2870" s="136"/>
      <c r="R2870" s="79"/>
      <c r="S2870" s="79"/>
      <c r="T2870" s="79"/>
      <c r="U2870" s="79"/>
      <c r="V2870" s="189"/>
      <c r="X2870" s="79"/>
      <c r="Y2870" s="79"/>
      <c r="Z2870" s="79"/>
      <c r="AA2870" s="255"/>
      <c r="AC2870" s="254"/>
    </row>
    <row r="2871" spans="1:29" ht="12">
      <c r="A2871" s="67" t="s">
        <v>16066</v>
      </c>
      <c r="B2871" s="65" t="s">
        <v>16067</v>
      </c>
      <c r="C2871" s="499" t="s">
        <v>509</v>
      </c>
      <c r="D2871" s="78">
        <v>1</v>
      </c>
      <c r="E2871" s="79">
        <v>1021.24</v>
      </c>
      <c r="F2871" s="70">
        <v>1021.24</v>
      </c>
      <c r="G2871" s="320"/>
      <c r="H2871" s="79">
        <v>928.96999999999991</v>
      </c>
      <c r="I2871" s="79">
        <v>92.27000000000001</v>
      </c>
      <c r="J2871" s="79">
        <v>1021.2399999999999</v>
      </c>
      <c r="K2871" s="79">
        <v>0</v>
      </c>
      <c r="L2871" s="70">
        <v>1021.2399999999999</v>
      </c>
      <c r="M2871" s="132"/>
      <c r="N2871" s="79">
        <v>928.96999999999991</v>
      </c>
      <c r="O2871" s="79">
        <v>92.27000000000001</v>
      </c>
      <c r="P2871" s="79">
        <v>1021.2399999999999</v>
      </c>
      <c r="Q2871" s="136"/>
      <c r="R2871" s="79">
        <v>928.97</v>
      </c>
      <c r="S2871" s="79">
        <v>92.27</v>
      </c>
      <c r="T2871" s="79"/>
      <c r="U2871" s="79">
        <v>0</v>
      </c>
      <c r="V2871" s="189"/>
      <c r="X2871" s="79">
        <v>928.97</v>
      </c>
      <c r="Y2871" s="79">
        <v>92.27</v>
      </c>
      <c r="Z2871" s="79">
        <v>1021.24</v>
      </c>
      <c r="AA2871" s="255">
        <v>0</v>
      </c>
      <c r="AC2871" s="254"/>
    </row>
    <row r="2872" spans="1:29" ht="12">
      <c r="A2872" s="67" t="s">
        <v>16068</v>
      </c>
      <c r="B2872" s="65" t="s">
        <v>16069</v>
      </c>
      <c r="C2872" s="71" t="s">
        <v>509</v>
      </c>
      <c r="D2872" s="78">
        <v>1</v>
      </c>
      <c r="E2872" s="79">
        <v>1874.88</v>
      </c>
      <c r="F2872" s="70">
        <v>1874.88</v>
      </c>
      <c r="G2872" s="320"/>
      <c r="H2872" s="79">
        <v>1874.88</v>
      </c>
      <c r="I2872" s="79">
        <v>0</v>
      </c>
      <c r="J2872" s="79">
        <v>1874.88</v>
      </c>
      <c r="K2872" s="79">
        <v>0</v>
      </c>
      <c r="L2872" s="70">
        <v>1874.88</v>
      </c>
      <c r="M2872" s="132"/>
      <c r="N2872" s="79">
        <v>1874.88</v>
      </c>
      <c r="O2872" s="79">
        <v>0</v>
      </c>
      <c r="P2872" s="79">
        <v>1874.88</v>
      </c>
      <c r="Q2872" s="136"/>
      <c r="R2872" s="79">
        <v>1874.88</v>
      </c>
      <c r="S2872" s="79"/>
      <c r="T2872" s="79">
        <v>1874.88</v>
      </c>
      <c r="U2872" s="79">
        <v>0</v>
      </c>
      <c r="V2872" s="189">
        <v>1874.88</v>
      </c>
      <c r="X2872" s="79">
        <v>1874.88</v>
      </c>
      <c r="Y2872" s="79"/>
      <c r="Z2872" s="79">
        <v>1874.88</v>
      </c>
      <c r="AA2872" s="255">
        <v>0</v>
      </c>
      <c r="AC2872" s="254"/>
    </row>
    <row r="2873" spans="1:29" ht="12">
      <c r="A2873" s="67" t="s">
        <v>16070</v>
      </c>
      <c r="B2873" s="65" t="s">
        <v>16071</v>
      </c>
      <c r="C2873" s="71" t="s">
        <v>509</v>
      </c>
      <c r="D2873" s="78">
        <v>1</v>
      </c>
      <c r="E2873" s="79">
        <v>1749.69</v>
      </c>
      <c r="F2873" s="70">
        <v>1749.69</v>
      </c>
      <c r="G2873" s="320"/>
      <c r="H2873" s="79">
        <v>1545.7</v>
      </c>
      <c r="I2873" s="79">
        <v>203.99</v>
      </c>
      <c r="J2873" s="79">
        <v>1749.69</v>
      </c>
      <c r="K2873" s="79">
        <v>0</v>
      </c>
      <c r="L2873" s="70">
        <v>1749.69</v>
      </c>
      <c r="M2873" s="132"/>
      <c r="N2873" s="79">
        <v>1545.7</v>
      </c>
      <c r="O2873" s="79">
        <v>203.99</v>
      </c>
      <c r="P2873" s="79">
        <v>1749.69</v>
      </c>
      <c r="Q2873" s="136"/>
      <c r="R2873" s="79">
        <v>1545.7</v>
      </c>
      <c r="S2873" s="79">
        <v>203.97</v>
      </c>
      <c r="T2873" s="79">
        <v>1749.67</v>
      </c>
      <c r="U2873" s="79">
        <v>0</v>
      </c>
      <c r="V2873" s="189">
        <v>1749.67</v>
      </c>
      <c r="X2873" s="79">
        <v>1545.7</v>
      </c>
      <c r="Y2873" s="79">
        <v>203.97</v>
      </c>
      <c r="Z2873" s="79">
        <v>1749.67</v>
      </c>
      <c r="AA2873" s="255">
        <v>1.999999999998181E-2</v>
      </c>
      <c r="AC2873" s="254"/>
    </row>
    <row r="2874" spans="1:29" ht="12">
      <c r="A2874" s="67" t="s">
        <v>16072</v>
      </c>
      <c r="B2874" s="65" t="s">
        <v>16073</v>
      </c>
      <c r="C2874" s="71" t="s">
        <v>509</v>
      </c>
      <c r="D2874" s="78">
        <v>1</v>
      </c>
      <c r="E2874" s="79">
        <v>2918.42</v>
      </c>
      <c r="F2874" s="70">
        <v>2918.42</v>
      </c>
      <c r="G2874" s="320"/>
      <c r="H2874" s="79">
        <v>2918.42</v>
      </c>
      <c r="I2874" s="79">
        <v>0</v>
      </c>
      <c r="J2874" s="79">
        <v>2918.42</v>
      </c>
      <c r="K2874" s="79">
        <v>0</v>
      </c>
      <c r="L2874" s="70">
        <v>2918.42</v>
      </c>
      <c r="M2874" s="132"/>
      <c r="N2874" s="79">
        <v>2918.42</v>
      </c>
      <c r="O2874" s="79"/>
      <c r="P2874" s="79">
        <v>2918.42</v>
      </c>
      <c r="Q2874" s="136"/>
      <c r="R2874" s="79">
        <v>2918.42</v>
      </c>
      <c r="S2874" s="79"/>
      <c r="T2874" s="79">
        <v>2918.42</v>
      </c>
      <c r="U2874" s="79">
        <v>0</v>
      </c>
      <c r="V2874" s="189">
        <v>2918.42</v>
      </c>
      <c r="X2874" s="79">
        <v>2918.42</v>
      </c>
      <c r="Y2874" s="79"/>
      <c r="Z2874" s="79">
        <v>2918.42</v>
      </c>
      <c r="AA2874" s="255">
        <v>0</v>
      </c>
      <c r="AC2874" s="254"/>
    </row>
    <row r="2875" spans="1:29" ht="12">
      <c r="A2875" s="489" t="s">
        <v>16074</v>
      </c>
      <c r="B2875" s="490" t="s">
        <v>16075</v>
      </c>
      <c r="C2875" s="491"/>
      <c r="D2875" s="492"/>
      <c r="E2875" s="79"/>
      <c r="F2875" s="63"/>
      <c r="G2875" s="320"/>
      <c r="H2875" s="79"/>
      <c r="I2875" s="79"/>
      <c r="J2875" s="79"/>
      <c r="K2875" s="79"/>
      <c r="L2875" s="70"/>
      <c r="M2875" s="132"/>
      <c r="N2875" s="79"/>
      <c r="O2875" s="79"/>
      <c r="P2875" s="79"/>
      <c r="Q2875" s="136"/>
      <c r="R2875" s="79"/>
      <c r="S2875" s="79"/>
      <c r="T2875" s="79"/>
      <c r="U2875" s="79"/>
      <c r="V2875" s="189"/>
      <c r="X2875" s="79"/>
      <c r="Y2875" s="79"/>
      <c r="Z2875" s="79"/>
      <c r="AA2875" s="255"/>
      <c r="AC2875" s="254"/>
    </row>
    <row r="2876" spans="1:29" ht="12">
      <c r="A2876" s="67" t="s">
        <v>16076</v>
      </c>
      <c r="B2876" s="65" t="s">
        <v>16077</v>
      </c>
      <c r="C2876" s="71" t="s">
        <v>103</v>
      </c>
      <c r="D2876" s="78">
        <v>1</v>
      </c>
      <c r="E2876" s="79">
        <v>257.93</v>
      </c>
      <c r="F2876" s="70">
        <v>257.93</v>
      </c>
      <c r="G2876" s="320"/>
      <c r="H2876" s="79">
        <v>251.01</v>
      </c>
      <c r="I2876" s="79">
        <v>6.92</v>
      </c>
      <c r="J2876" s="79">
        <v>257.93</v>
      </c>
      <c r="K2876" s="79">
        <v>0</v>
      </c>
      <c r="L2876" s="70">
        <v>257.93</v>
      </c>
      <c r="M2876" s="132"/>
      <c r="N2876" s="79">
        <v>251.01</v>
      </c>
      <c r="O2876" s="79">
        <v>6.92</v>
      </c>
      <c r="P2876" s="79">
        <v>257.93</v>
      </c>
      <c r="Q2876" s="136"/>
      <c r="R2876" s="79">
        <v>251.01</v>
      </c>
      <c r="S2876" s="79">
        <v>6.91</v>
      </c>
      <c r="T2876" s="79">
        <v>257.92</v>
      </c>
      <c r="U2876" s="79">
        <v>0</v>
      </c>
      <c r="V2876" s="189">
        <v>257.92</v>
      </c>
      <c r="X2876" s="79">
        <v>251.01</v>
      </c>
      <c r="Y2876" s="79">
        <v>6.91</v>
      </c>
      <c r="Z2876" s="79">
        <v>257.92</v>
      </c>
      <c r="AA2876" s="255">
        <v>9.9999999999909051E-3</v>
      </c>
      <c r="AC2876" s="254"/>
    </row>
    <row r="2877" spans="1:29" ht="12">
      <c r="A2877" s="67" t="s">
        <v>16078</v>
      </c>
      <c r="B2877" s="65" t="s">
        <v>16079</v>
      </c>
      <c r="C2877" s="71" t="s">
        <v>103</v>
      </c>
      <c r="D2877" s="78">
        <v>1</v>
      </c>
      <c r="E2877" s="79">
        <v>47.93</v>
      </c>
      <c r="F2877" s="70">
        <v>47.93</v>
      </c>
      <c r="G2877" s="320"/>
      <c r="H2877" s="79">
        <v>31.31</v>
      </c>
      <c r="I2877" s="79">
        <v>16.619999999999997</v>
      </c>
      <c r="J2877" s="79">
        <v>47.929999999999993</v>
      </c>
      <c r="K2877" s="79">
        <v>0</v>
      </c>
      <c r="L2877" s="70">
        <v>47.929999999999993</v>
      </c>
      <c r="M2877" s="132"/>
      <c r="N2877" s="79">
        <v>31.31</v>
      </c>
      <c r="O2877" s="79">
        <v>16.619999999999997</v>
      </c>
      <c r="P2877" s="79">
        <v>47.929999999999993</v>
      </c>
      <c r="Q2877" s="136"/>
      <c r="R2877" s="79">
        <v>31.31</v>
      </c>
      <c r="S2877" s="79">
        <v>16.61</v>
      </c>
      <c r="T2877" s="79">
        <v>47.92</v>
      </c>
      <c r="U2877" s="79">
        <v>0</v>
      </c>
      <c r="V2877" s="189">
        <v>47.92</v>
      </c>
      <c r="X2877" s="79">
        <v>31.31</v>
      </c>
      <c r="Y2877" s="79">
        <v>16.61</v>
      </c>
      <c r="Z2877" s="79">
        <v>47.92</v>
      </c>
      <c r="AA2877" s="255">
        <v>9.9999999999980105E-3</v>
      </c>
      <c r="AC2877" s="254"/>
    </row>
    <row r="2878" spans="1:29" ht="12">
      <c r="A2878" s="67" t="s">
        <v>16080</v>
      </c>
      <c r="B2878" s="65" t="s">
        <v>16081</v>
      </c>
      <c r="C2878" s="71" t="s">
        <v>103</v>
      </c>
      <c r="D2878" s="78">
        <v>1</v>
      </c>
      <c r="E2878" s="79">
        <v>106.73</v>
      </c>
      <c r="F2878" s="70">
        <v>106.73</v>
      </c>
      <c r="G2878" s="320"/>
      <c r="H2878" s="79">
        <v>99.81</v>
      </c>
      <c r="I2878" s="79">
        <v>6.92</v>
      </c>
      <c r="J2878" s="79">
        <v>106.73</v>
      </c>
      <c r="K2878" s="79">
        <v>0</v>
      </c>
      <c r="L2878" s="70">
        <v>106.73</v>
      </c>
      <c r="M2878" s="132"/>
      <c r="N2878" s="79">
        <v>99.81</v>
      </c>
      <c r="O2878" s="79">
        <v>6.92</v>
      </c>
      <c r="P2878" s="79">
        <v>106.73</v>
      </c>
      <c r="Q2878" s="136"/>
      <c r="R2878" s="79">
        <v>99.81</v>
      </c>
      <c r="S2878" s="79">
        <v>6.91</v>
      </c>
      <c r="T2878" s="79">
        <v>106.72</v>
      </c>
      <c r="U2878" s="79">
        <v>0</v>
      </c>
      <c r="V2878" s="189">
        <v>106.72</v>
      </c>
      <c r="X2878" s="79">
        <v>99.81</v>
      </c>
      <c r="Y2878" s="79">
        <v>6.91</v>
      </c>
      <c r="Z2878" s="79">
        <v>106.72</v>
      </c>
      <c r="AA2878" s="255">
        <v>1.0000000000005116E-2</v>
      </c>
      <c r="AC2878" s="254"/>
    </row>
    <row r="2879" spans="1:29" ht="12">
      <c r="A2879" s="67" t="s">
        <v>16082</v>
      </c>
      <c r="B2879" s="65" t="s">
        <v>16083</v>
      </c>
      <c r="C2879" s="71" t="s">
        <v>103</v>
      </c>
      <c r="D2879" s="78">
        <v>1</v>
      </c>
      <c r="E2879" s="79">
        <v>63.28</v>
      </c>
      <c r="F2879" s="70">
        <v>63.28</v>
      </c>
      <c r="G2879" s="320"/>
      <c r="H2879" s="79">
        <v>46.660000000000004</v>
      </c>
      <c r="I2879" s="79">
        <v>16.619999999999997</v>
      </c>
      <c r="J2879" s="79">
        <v>63.28</v>
      </c>
      <c r="K2879" s="79">
        <v>0</v>
      </c>
      <c r="L2879" s="70">
        <v>63.28</v>
      </c>
      <c r="M2879" s="132"/>
      <c r="N2879" s="79">
        <v>46.660000000000004</v>
      </c>
      <c r="O2879" s="79">
        <v>16.619999999999997</v>
      </c>
      <c r="P2879" s="79">
        <v>63.28</v>
      </c>
      <c r="Q2879" s="136"/>
      <c r="R2879" s="79">
        <v>46.66</v>
      </c>
      <c r="S2879" s="79">
        <v>16.61</v>
      </c>
      <c r="T2879" s="79">
        <v>63.269999999999996</v>
      </c>
      <c r="U2879" s="79">
        <v>0</v>
      </c>
      <c r="V2879" s="189">
        <v>63.269999999999996</v>
      </c>
      <c r="X2879" s="79">
        <v>46.66</v>
      </c>
      <c r="Y2879" s="79">
        <v>16.61</v>
      </c>
      <c r="Z2879" s="79">
        <v>63.27</v>
      </c>
      <c r="AA2879" s="255">
        <v>9.9999999999980105E-3</v>
      </c>
      <c r="AC2879" s="254"/>
    </row>
    <row r="2880" spans="1:29" ht="12">
      <c r="A2880" s="67" t="s">
        <v>16084</v>
      </c>
      <c r="B2880" s="65" t="s">
        <v>16085</v>
      </c>
      <c r="C2880" s="71" t="s">
        <v>103</v>
      </c>
      <c r="D2880" s="78">
        <v>1</v>
      </c>
      <c r="E2880" s="79">
        <v>77.47</v>
      </c>
      <c r="F2880" s="70">
        <v>77.47</v>
      </c>
      <c r="G2880" s="320"/>
      <c r="H2880" s="79">
        <v>70.55</v>
      </c>
      <c r="I2880" s="79">
        <v>6.92</v>
      </c>
      <c r="J2880" s="79">
        <v>77.47</v>
      </c>
      <c r="K2880" s="79">
        <v>0</v>
      </c>
      <c r="L2880" s="70">
        <v>77.47</v>
      </c>
      <c r="M2880" s="132"/>
      <c r="N2880" s="79">
        <v>70.55</v>
      </c>
      <c r="O2880" s="79">
        <v>6.92</v>
      </c>
      <c r="P2880" s="79">
        <v>77.47</v>
      </c>
      <c r="Q2880" s="136"/>
      <c r="R2880" s="79">
        <v>70.55</v>
      </c>
      <c r="S2880" s="79">
        <v>6.91</v>
      </c>
      <c r="T2880" s="79">
        <v>77.459999999999994</v>
      </c>
      <c r="U2880" s="79">
        <v>0</v>
      </c>
      <c r="V2880" s="189">
        <v>77.459999999999994</v>
      </c>
      <c r="X2880" s="79">
        <v>70.55</v>
      </c>
      <c r="Y2880" s="79">
        <v>6.91</v>
      </c>
      <c r="Z2880" s="79">
        <v>77.459999999999994</v>
      </c>
      <c r="AA2880" s="255">
        <v>1.0000000000005116E-2</v>
      </c>
      <c r="AC2880" s="254"/>
    </row>
    <row r="2881" spans="1:31" ht="12">
      <c r="A2881" s="67" t="s">
        <v>16086</v>
      </c>
      <c r="B2881" s="65" t="s">
        <v>16087</v>
      </c>
      <c r="C2881" s="71" t="s">
        <v>103</v>
      </c>
      <c r="D2881" s="78">
        <v>1</v>
      </c>
      <c r="E2881" s="79">
        <v>83.89</v>
      </c>
      <c r="F2881" s="70">
        <v>83.89</v>
      </c>
      <c r="G2881" s="320"/>
      <c r="H2881" s="79">
        <v>67.27</v>
      </c>
      <c r="I2881" s="79">
        <v>16.619999999999997</v>
      </c>
      <c r="J2881" s="79">
        <v>83.889999999999986</v>
      </c>
      <c r="K2881" s="79">
        <v>0</v>
      </c>
      <c r="L2881" s="70">
        <v>83.889999999999986</v>
      </c>
      <c r="M2881" s="132"/>
      <c r="N2881" s="79">
        <v>67.27</v>
      </c>
      <c r="O2881" s="79">
        <v>16.619999999999997</v>
      </c>
      <c r="P2881" s="79">
        <v>83.889999999999986</v>
      </c>
      <c r="Q2881" s="136"/>
      <c r="R2881" s="79">
        <v>67.27</v>
      </c>
      <c r="S2881" s="79">
        <v>16.61</v>
      </c>
      <c r="T2881" s="79">
        <v>83.88</v>
      </c>
      <c r="U2881" s="79">
        <v>0</v>
      </c>
      <c r="V2881" s="189">
        <v>83.88</v>
      </c>
      <c r="X2881" s="79">
        <v>67.27</v>
      </c>
      <c r="Y2881" s="79">
        <v>16.61</v>
      </c>
      <c r="Z2881" s="79">
        <v>83.88</v>
      </c>
      <c r="AA2881" s="255">
        <v>1.0000000000005116E-2</v>
      </c>
      <c r="AC2881" s="254"/>
    </row>
    <row r="2882" spans="1:31" ht="12">
      <c r="A2882" s="67" t="s">
        <v>16088</v>
      </c>
      <c r="B2882" s="65" t="s">
        <v>16089</v>
      </c>
      <c r="C2882" s="71" t="s">
        <v>103</v>
      </c>
      <c r="D2882" s="78">
        <v>1</v>
      </c>
      <c r="E2882" s="79">
        <v>33.01</v>
      </c>
      <c r="F2882" s="70">
        <v>33.01</v>
      </c>
      <c r="G2882" s="320"/>
      <c r="H2882" s="79">
        <v>26.09</v>
      </c>
      <c r="I2882" s="79">
        <v>6.92</v>
      </c>
      <c r="J2882" s="79">
        <v>33.01</v>
      </c>
      <c r="K2882" s="79">
        <v>0</v>
      </c>
      <c r="L2882" s="70">
        <v>33.01</v>
      </c>
      <c r="M2882" s="132"/>
      <c r="N2882" s="79">
        <v>26.09</v>
      </c>
      <c r="O2882" s="79">
        <v>6.92</v>
      </c>
      <c r="P2882" s="79">
        <v>33.01</v>
      </c>
      <c r="Q2882" s="136"/>
      <c r="R2882" s="79">
        <v>26.09</v>
      </c>
      <c r="S2882" s="79">
        <v>6.91</v>
      </c>
      <c r="T2882" s="79">
        <v>33</v>
      </c>
      <c r="U2882" s="79">
        <v>0</v>
      </c>
      <c r="V2882" s="189">
        <v>33</v>
      </c>
      <c r="X2882" s="79">
        <v>26.09</v>
      </c>
      <c r="Y2882" s="79">
        <v>6.91</v>
      </c>
      <c r="Z2882" s="79">
        <v>33</v>
      </c>
      <c r="AA2882" s="255">
        <v>9.9999999999980105E-3</v>
      </c>
      <c r="AC2882" s="254"/>
    </row>
    <row r="2883" spans="1:31" ht="12">
      <c r="A2883" s="67" t="s">
        <v>16090</v>
      </c>
      <c r="B2883" s="65" t="s">
        <v>16091</v>
      </c>
      <c r="C2883" s="71" t="s">
        <v>103</v>
      </c>
      <c r="D2883" s="78">
        <v>1</v>
      </c>
      <c r="E2883" s="79">
        <v>69.289999999999992</v>
      </c>
      <c r="F2883" s="70">
        <v>69.290000000000006</v>
      </c>
      <c r="G2883" s="320"/>
      <c r="H2883" s="79">
        <v>62.37</v>
      </c>
      <c r="I2883" s="79">
        <v>6.92</v>
      </c>
      <c r="J2883" s="79">
        <v>69.289999999999992</v>
      </c>
      <c r="K2883" s="79">
        <v>0</v>
      </c>
      <c r="L2883" s="70">
        <v>69.289999999999992</v>
      </c>
      <c r="M2883" s="132"/>
      <c r="N2883" s="79">
        <v>62.37</v>
      </c>
      <c r="O2883" s="79">
        <v>6.92</v>
      </c>
      <c r="P2883" s="79">
        <v>69.289999999999992</v>
      </c>
      <c r="Q2883" s="136"/>
      <c r="R2883" s="79">
        <v>62.37</v>
      </c>
      <c r="S2883" s="79">
        <v>6.91</v>
      </c>
      <c r="T2883" s="79">
        <v>69.28</v>
      </c>
      <c r="U2883" s="79">
        <v>0</v>
      </c>
      <c r="V2883" s="189">
        <v>69.28</v>
      </c>
      <c r="X2883" s="79">
        <v>62.37</v>
      </c>
      <c r="Y2883" s="79">
        <v>6.91</v>
      </c>
      <c r="Z2883" s="79">
        <v>69.28</v>
      </c>
      <c r="AA2883" s="255">
        <v>1.0000000000005116E-2</v>
      </c>
      <c r="AC2883" s="254"/>
    </row>
    <row r="2884" spans="1:31" ht="12">
      <c r="A2884" s="67" t="s">
        <v>16092</v>
      </c>
      <c r="B2884" s="65" t="s">
        <v>16093</v>
      </c>
      <c r="C2884" s="71" t="s">
        <v>103</v>
      </c>
      <c r="D2884" s="78">
        <v>1</v>
      </c>
      <c r="E2884" s="79">
        <v>67.58</v>
      </c>
      <c r="F2884" s="70">
        <v>67.58</v>
      </c>
      <c r="G2884" s="320"/>
      <c r="H2884" s="79">
        <v>60.66</v>
      </c>
      <c r="I2884" s="79">
        <v>6.92</v>
      </c>
      <c r="J2884" s="79">
        <v>67.58</v>
      </c>
      <c r="K2884" s="79">
        <v>0</v>
      </c>
      <c r="L2884" s="70">
        <v>67.58</v>
      </c>
      <c r="M2884" s="132"/>
      <c r="N2884" s="79">
        <v>60.66</v>
      </c>
      <c r="O2884" s="79">
        <v>6.92</v>
      </c>
      <c r="P2884" s="79">
        <v>67.58</v>
      </c>
      <c r="Q2884" s="136"/>
      <c r="R2884" s="79">
        <v>60.66</v>
      </c>
      <c r="S2884" s="79">
        <v>6.91</v>
      </c>
      <c r="T2884" s="79">
        <v>67.569999999999993</v>
      </c>
      <c r="U2884" s="79">
        <v>0</v>
      </c>
      <c r="V2884" s="189">
        <v>67.569999999999993</v>
      </c>
      <c r="X2884" s="79">
        <v>60.66</v>
      </c>
      <c r="Y2884" s="79">
        <v>6.91</v>
      </c>
      <c r="Z2884" s="79">
        <v>67.569999999999993</v>
      </c>
      <c r="AA2884" s="255">
        <v>1.0000000000005116E-2</v>
      </c>
      <c r="AC2884" s="254"/>
    </row>
    <row r="2885" spans="1:31" ht="12">
      <c r="A2885" s="67" t="s">
        <v>16094</v>
      </c>
      <c r="B2885" s="65" t="s">
        <v>16095</v>
      </c>
      <c r="C2885" s="71" t="s">
        <v>103</v>
      </c>
      <c r="D2885" s="78">
        <v>1</v>
      </c>
      <c r="E2885" s="79">
        <v>96.64</v>
      </c>
      <c r="F2885" s="70">
        <v>96.64</v>
      </c>
      <c r="G2885" s="320"/>
      <c r="H2885" s="79">
        <v>68.7</v>
      </c>
      <c r="I2885" s="79">
        <v>27.939999999999998</v>
      </c>
      <c r="J2885" s="79">
        <v>96.64</v>
      </c>
      <c r="K2885" s="79">
        <v>0</v>
      </c>
      <c r="L2885" s="70">
        <v>96.64</v>
      </c>
      <c r="M2885" s="132"/>
      <c r="N2885" s="79">
        <v>68.7</v>
      </c>
      <c r="O2885" s="79">
        <v>27.939999999999998</v>
      </c>
      <c r="P2885" s="79">
        <v>96.64</v>
      </c>
      <c r="Q2885" s="136"/>
      <c r="R2885" s="79">
        <v>68.7</v>
      </c>
      <c r="S2885" s="79">
        <v>27.92</v>
      </c>
      <c r="T2885" s="79">
        <v>96.62</v>
      </c>
      <c r="U2885" s="79">
        <v>0</v>
      </c>
      <c r="V2885" s="189">
        <v>96.62</v>
      </c>
      <c r="X2885" s="79">
        <v>68.7</v>
      </c>
      <c r="Y2885" s="79">
        <v>27.92</v>
      </c>
      <c r="Z2885" s="79">
        <v>96.62</v>
      </c>
      <c r="AA2885" s="255">
        <v>1.9999999999996021E-2</v>
      </c>
      <c r="AC2885" s="254"/>
    </row>
    <row r="2886" spans="1:31" ht="12">
      <c r="A2886" s="67" t="s">
        <v>16096</v>
      </c>
      <c r="B2886" s="65" t="s">
        <v>16097</v>
      </c>
      <c r="C2886" s="71" t="s">
        <v>103</v>
      </c>
      <c r="D2886" s="78">
        <v>1</v>
      </c>
      <c r="E2886" s="79">
        <v>158.23999999999998</v>
      </c>
      <c r="F2886" s="70">
        <v>158.24</v>
      </c>
      <c r="G2886" s="320"/>
      <c r="H2886" s="79">
        <v>107.88999999999999</v>
      </c>
      <c r="I2886" s="79">
        <v>50.349999999999994</v>
      </c>
      <c r="J2886" s="79">
        <v>158.23999999999998</v>
      </c>
      <c r="K2886" s="79">
        <v>0</v>
      </c>
      <c r="L2886" s="70">
        <v>158.23999999999998</v>
      </c>
      <c r="M2886" s="132"/>
      <c r="N2886" s="79">
        <v>107.88999999999999</v>
      </c>
      <c r="O2886" s="79">
        <v>50.349999999999994</v>
      </c>
      <c r="P2886" s="79">
        <v>158.23999999999998</v>
      </c>
      <c r="Q2886" s="136"/>
      <c r="R2886" s="79">
        <v>107.89</v>
      </c>
      <c r="S2886" s="79">
        <v>50.35</v>
      </c>
      <c r="T2886" s="79">
        <v>158.24</v>
      </c>
      <c r="U2886" s="79">
        <v>0</v>
      </c>
      <c r="V2886" s="189">
        <v>158.24</v>
      </c>
      <c r="X2886" s="79">
        <v>107.89</v>
      </c>
      <c r="Y2886" s="79">
        <v>50.35</v>
      </c>
      <c r="Z2886" s="79">
        <v>158.24</v>
      </c>
      <c r="AA2886" s="255">
        <v>0</v>
      </c>
      <c r="AC2886" s="254"/>
    </row>
    <row r="2887" spans="1:31" ht="12">
      <c r="A2887" s="67" t="s">
        <v>16098</v>
      </c>
      <c r="B2887" s="65" t="s">
        <v>16099</v>
      </c>
      <c r="C2887" s="71" t="s">
        <v>103</v>
      </c>
      <c r="D2887" s="78">
        <v>1</v>
      </c>
      <c r="E2887" s="79">
        <v>377.93</v>
      </c>
      <c r="F2887" s="70">
        <v>377.93</v>
      </c>
      <c r="G2887" s="320"/>
      <c r="H2887" s="79">
        <v>356.64</v>
      </c>
      <c r="I2887" s="79">
        <v>21.29</v>
      </c>
      <c r="J2887" s="79">
        <v>377.93</v>
      </c>
      <c r="K2887" s="79">
        <v>0</v>
      </c>
      <c r="L2887" s="70">
        <v>377.93</v>
      </c>
      <c r="M2887" s="132"/>
      <c r="N2887" s="79">
        <v>356.64</v>
      </c>
      <c r="O2887" s="79">
        <v>21.29</v>
      </c>
      <c r="P2887" s="79">
        <v>377.93</v>
      </c>
      <c r="Q2887" s="136"/>
      <c r="R2887" s="79">
        <v>356.64</v>
      </c>
      <c r="S2887" s="79">
        <v>21.3</v>
      </c>
      <c r="T2887" s="79">
        <v>377.94</v>
      </c>
      <c r="U2887" s="79">
        <v>0</v>
      </c>
      <c r="V2887" s="189">
        <v>377.94</v>
      </c>
      <c r="X2887" s="79">
        <v>356.64</v>
      </c>
      <c r="Y2887" s="79">
        <v>21.3</v>
      </c>
      <c r="Z2887" s="79">
        <v>377.94</v>
      </c>
      <c r="AA2887" s="255">
        <v>-9.9999999999909051E-3</v>
      </c>
      <c r="AC2887" s="254"/>
    </row>
    <row r="2888" spans="1:31" ht="12">
      <c r="A2888" s="67" t="s">
        <v>16100</v>
      </c>
      <c r="B2888" s="65" t="s">
        <v>16101</v>
      </c>
      <c r="C2888" s="71" t="s">
        <v>103</v>
      </c>
      <c r="D2888" s="78">
        <v>1</v>
      </c>
      <c r="E2888" s="79">
        <v>107.38</v>
      </c>
      <c r="F2888" s="70">
        <v>107.38</v>
      </c>
      <c r="G2888" s="320"/>
      <c r="H2888" s="79">
        <v>86.09</v>
      </c>
      <c r="I2888" s="79">
        <v>21.29</v>
      </c>
      <c r="J2888" s="79">
        <v>107.38</v>
      </c>
      <c r="K2888" s="79">
        <v>0</v>
      </c>
      <c r="L2888" s="70">
        <v>107.38</v>
      </c>
      <c r="M2888" s="132"/>
      <c r="N2888" s="79">
        <v>86.09</v>
      </c>
      <c r="O2888" s="79">
        <v>21.29</v>
      </c>
      <c r="P2888" s="79">
        <v>107.38</v>
      </c>
      <c r="Q2888" s="136"/>
      <c r="R2888" s="79">
        <v>86.09</v>
      </c>
      <c r="S2888" s="79">
        <v>21.3</v>
      </c>
      <c r="T2888" s="79">
        <v>107.39</v>
      </c>
      <c r="U2888" s="79">
        <v>0</v>
      </c>
      <c r="V2888" s="189">
        <v>107.39</v>
      </c>
      <c r="X2888" s="79">
        <v>86.09</v>
      </c>
      <c r="Y2888" s="79">
        <v>21.3</v>
      </c>
      <c r="Z2888" s="79">
        <v>107.39</v>
      </c>
      <c r="AA2888" s="255">
        <v>-1.0000000000005116E-2</v>
      </c>
      <c r="AC2888" s="254"/>
    </row>
    <row r="2889" spans="1:31" ht="12">
      <c r="A2889" s="83" t="s">
        <v>16102</v>
      </c>
      <c r="B2889" s="64" t="s">
        <v>16103</v>
      </c>
      <c r="C2889" s="71" t="s">
        <v>103</v>
      </c>
      <c r="D2889" s="78">
        <v>1</v>
      </c>
      <c r="E2889" s="79">
        <v>392.16999999999996</v>
      </c>
      <c r="F2889" s="70">
        <v>392.17</v>
      </c>
      <c r="G2889" s="320"/>
      <c r="H2889" s="79">
        <v>314.02</v>
      </c>
      <c r="I2889" s="79">
        <v>78.149999999999991</v>
      </c>
      <c r="J2889" s="79">
        <v>392.16999999999996</v>
      </c>
      <c r="K2889" s="79">
        <v>0</v>
      </c>
      <c r="L2889" s="70">
        <v>392.16999999999996</v>
      </c>
      <c r="M2889" s="132"/>
      <c r="N2889" s="79">
        <v>314.02</v>
      </c>
      <c r="O2889" s="79">
        <v>78.149999999999991</v>
      </c>
      <c r="P2889" s="79">
        <v>392.16999999999996</v>
      </c>
      <c r="Q2889" s="136"/>
      <c r="R2889" s="79">
        <v>314.02</v>
      </c>
      <c r="S2889" s="79">
        <v>78.16</v>
      </c>
      <c r="T2889" s="79"/>
      <c r="U2889" s="79"/>
      <c r="V2889" s="63"/>
      <c r="X2889" s="79">
        <v>314.02</v>
      </c>
      <c r="Y2889" s="79">
        <v>78.16</v>
      </c>
      <c r="Z2889" s="79">
        <v>392.18</v>
      </c>
      <c r="AA2889" s="255">
        <v>-9.9999999999909051E-3</v>
      </c>
      <c r="AC2889" s="254"/>
    </row>
    <row r="2890" spans="1:31" ht="12">
      <c r="A2890" s="67" t="s">
        <v>16104</v>
      </c>
      <c r="B2890" s="65" t="s">
        <v>16105</v>
      </c>
      <c r="C2890" s="71" t="s">
        <v>103</v>
      </c>
      <c r="D2890" s="78">
        <v>1</v>
      </c>
      <c r="E2890" s="79">
        <v>502.52</v>
      </c>
      <c r="F2890" s="70">
        <v>502.52</v>
      </c>
      <c r="G2890" s="320"/>
      <c r="H2890" s="79">
        <v>474.58</v>
      </c>
      <c r="I2890" s="79">
        <v>27.939999999999998</v>
      </c>
      <c r="J2890" s="79">
        <v>502.52</v>
      </c>
      <c r="K2890" s="79">
        <v>0</v>
      </c>
      <c r="L2890" s="70">
        <v>502.52</v>
      </c>
      <c r="M2890" s="132"/>
      <c r="N2890" s="79">
        <v>474.58</v>
      </c>
      <c r="O2890" s="79">
        <v>27.939999999999998</v>
      </c>
      <c r="P2890" s="79">
        <v>502.52</v>
      </c>
      <c r="Q2890" s="136"/>
      <c r="R2890" s="79">
        <v>474.58</v>
      </c>
      <c r="S2890" s="79">
        <v>27.92</v>
      </c>
      <c r="T2890" s="79">
        <v>502.5</v>
      </c>
      <c r="U2890" s="79">
        <v>0</v>
      </c>
      <c r="V2890" s="189">
        <v>502.5</v>
      </c>
      <c r="X2890" s="79">
        <v>474.58</v>
      </c>
      <c r="Y2890" s="79">
        <v>27.92</v>
      </c>
      <c r="Z2890" s="79">
        <v>502.5</v>
      </c>
      <c r="AA2890" s="255">
        <v>1.999999999998181E-2</v>
      </c>
      <c r="AC2890" s="254"/>
      <c r="AD2890" s="61"/>
      <c r="AE2890" s="61"/>
    </row>
    <row r="2891" spans="1:31" ht="12">
      <c r="A2891" s="67" t="s">
        <v>16106</v>
      </c>
      <c r="B2891" s="65" t="s">
        <v>16107</v>
      </c>
      <c r="C2891" s="71" t="s">
        <v>103</v>
      </c>
      <c r="D2891" s="78">
        <v>1</v>
      </c>
      <c r="E2891" s="79">
        <v>64.14</v>
      </c>
      <c r="F2891" s="70">
        <v>64.14</v>
      </c>
      <c r="G2891" s="320"/>
      <c r="H2891" s="79">
        <v>44.49</v>
      </c>
      <c r="I2891" s="79">
        <v>19.649999999999999</v>
      </c>
      <c r="J2891" s="79">
        <v>64.14</v>
      </c>
      <c r="K2891" s="79">
        <v>0</v>
      </c>
      <c r="L2891" s="70">
        <v>64.14</v>
      </c>
      <c r="M2891" s="132"/>
      <c r="N2891" s="79">
        <v>44.49</v>
      </c>
      <c r="O2891" s="79">
        <v>19.649999999999999</v>
      </c>
      <c r="P2891" s="79">
        <v>64.14</v>
      </c>
      <c r="Q2891" s="136"/>
      <c r="R2891" s="79">
        <v>44.49</v>
      </c>
      <c r="S2891" s="79">
        <v>19.64</v>
      </c>
      <c r="T2891" s="79">
        <v>64.13</v>
      </c>
      <c r="U2891" s="79">
        <v>0</v>
      </c>
      <c r="V2891" s="189">
        <v>64.13</v>
      </c>
      <c r="X2891" s="79">
        <v>44.49</v>
      </c>
      <c r="Y2891" s="79">
        <v>19.64</v>
      </c>
      <c r="Z2891" s="79">
        <v>64.13</v>
      </c>
      <c r="AA2891" s="255">
        <v>1.0000000000005116E-2</v>
      </c>
      <c r="AC2891" s="254"/>
    </row>
    <row r="2892" spans="1:31" s="61" customFormat="1" ht="12">
      <c r="A2892" s="67" t="s">
        <v>16108</v>
      </c>
      <c r="B2892" s="65" t="s">
        <v>16109</v>
      </c>
      <c r="C2892" s="71" t="s">
        <v>103</v>
      </c>
      <c r="D2892" s="78">
        <v>1</v>
      </c>
      <c r="E2892" s="79">
        <v>67.77000000000001</v>
      </c>
      <c r="F2892" s="70">
        <v>67.77</v>
      </c>
      <c r="G2892" s="320"/>
      <c r="H2892" s="79">
        <v>48.120000000000005</v>
      </c>
      <c r="I2892" s="79">
        <v>19.649999999999999</v>
      </c>
      <c r="J2892" s="79">
        <v>67.77000000000001</v>
      </c>
      <c r="K2892" s="79">
        <v>0</v>
      </c>
      <c r="L2892" s="70">
        <v>67.77000000000001</v>
      </c>
      <c r="M2892" s="132"/>
      <c r="N2892" s="79">
        <v>48.120000000000005</v>
      </c>
      <c r="O2892" s="79">
        <v>19.649999999999999</v>
      </c>
      <c r="P2892" s="79">
        <v>67.77000000000001</v>
      </c>
      <c r="Q2892" s="136"/>
      <c r="R2892" s="79">
        <v>48.12</v>
      </c>
      <c r="S2892" s="79">
        <v>19.64</v>
      </c>
      <c r="T2892" s="79">
        <v>67.759999999999991</v>
      </c>
      <c r="U2892" s="79">
        <v>0</v>
      </c>
      <c r="V2892" s="189">
        <v>67.759999999999991</v>
      </c>
      <c r="X2892" s="79">
        <v>48.12</v>
      </c>
      <c r="Y2892" s="79">
        <v>19.64</v>
      </c>
      <c r="Z2892" s="79">
        <v>67.760000000000005</v>
      </c>
      <c r="AA2892" s="255">
        <v>9.9999999999909051E-3</v>
      </c>
      <c r="AC2892" s="254"/>
      <c r="AD2892" s="236"/>
      <c r="AE2892" s="236"/>
    </row>
    <row r="2893" spans="1:31" ht="12">
      <c r="A2893" s="67" t="s">
        <v>16110</v>
      </c>
      <c r="B2893" s="65" t="s">
        <v>16111</v>
      </c>
      <c r="C2893" s="71" t="s">
        <v>103</v>
      </c>
      <c r="D2893" s="78">
        <v>1</v>
      </c>
      <c r="E2893" s="79">
        <v>59.79</v>
      </c>
      <c r="F2893" s="70">
        <v>59.79</v>
      </c>
      <c r="G2893" s="320"/>
      <c r="H2893" s="79">
        <v>40.14</v>
      </c>
      <c r="I2893" s="79">
        <v>19.649999999999999</v>
      </c>
      <c r="J2893" s="79">
        <v>59.79</v>
      </c>
      <c r="K2893" s="79">
        <v>0</v>
      </c>
      <c r="L2893" s="70">
        <v>59.79</v>
      </c>
      <c r="M2893" s="132"/>
      <c r="N2893" s="79">
        <v>40.14</v>
      </c>
      <c r="O2893" s="79">
        <v>19.649999999999999</v>
      </c>
      <c r="P2893" s="79">
        <v>59.79</v>
      </c>
      <c r="Q2893" s="136"/>
      <c r="R2893" s="79">
        <v>40.14</v>
      </c>
      <c r="S2893" s="79">
        <v>19.64</v>
      </c>
      <c r="T2893" s="79">
        <v>59.78</v>
      </c>
      <c r="U2893" s="79">
        <v>0</v>
      </c>
      <c r="V2893" s="189">
        <v>59.78</v>
      </c>
      <c r="X2893" s="79">
        <v>40.14</v>
      </c>
      <c r="Y2893" s="79">
        <v>19.64</v>
      </c>
      <c r="Z2893" s="79">
        <v>59.78</v>
      </c>
      <c r="AA2893" s="255">
        <v>9.9999999999980105E-3</v>
      </c>
      <c r="AC2893" s="254"/>
    </row>
    <row r="2894" spans="1:31" ht="12">
      <c r="A2894" s="67" t="s">
        <v>16112</v>
      </c>
      <c r="B2894" s="65" t="s">
        <v>16113</v>
      </c>
      <c r="C2894" s="71" t="s">
        <v>103</v>
      </c>
      <c r="D2894" s="78">
        <v>1</v>
      </c>
      <c r="E2894" s="79">
        <v>53.83</v>
      </c>
      <c r="F2894" s="70">
        <v>53.83</v>
      </c>
      <c r="G2894" s="320"/>
      <c r="H2894" s="79">
        <v>34.18</v>
      </c>
      <c r="I2894" s="79">
        <v>19.649999999999999</v>
      </c>
      <c r="J2894" s="79">
        <v>53.83</v>
      </c>
      <c r="K2894" s="79">
        <v>0</v>
      </c>
      <c r="L2894" s="70">
        <v>53.83</v>
      </c>
      <c r="M2894" s="132"/>
      <c r="N2894" s="79">
        <v>34.18</v>
      </c>
      <c r="O2894" s="79">
        <v>19.649999999999999</v>
      </c>
      <c r="P2894" s="79">
        <v>53.83</v>
      </c>
      <c r="Q2894" s="136"/>
      <c r="R2894" s="79">
        <v>34.18</v>
      </c>
      <c r="S2894" s="79">
        <v>19.64</v>
      </c>
      <c r="T2894" s="79">
        <v>53.82</v>
      </c>
      <c r="U2894" s="79">
        <v>0</v>
      </c>
      <c r="V2894" s="189">
        <v>53.82</v>
      </c>
      <c r="X2894" s="79">
        <v>34.18</v>
      </c>
      <c r="Y2894" s="79">
        <v>19.64</v>
      </c>
      <c r="Z2894" s="79">
        <v>53.82</v>
      </c>
      <c r="AA2894" s="255">
        <v>9.9999999999980105E-3</v>
      </c>
      <c r="AC2894" s="254"/>
    </row>
    <row r="2895" spans="1:31" ht="12">
      <c r="A2895" s="67" t="s">
        <v>16114</v>
      </c>
      <c r="B2895" s="65" t="s">
        <v>16115</v>
      </c>
      <c r="C2895" s="71" t="s">
        <v>103</v>
      </c>
      <c r="D2895" s="78">
        <v>1</v>
      </c>
      <c r="E2895" s="79">
        <v>50.88</v>
      </c>
      <c r="F2895" s="70">
        <v>50.88</v>
      </c>
      <c r="G2895" s="320"/>
      <c r="H2895" s="79">
        <v>31.23</v>
      </c>
      <c r="I2895" s="79">
        <v>19.649999999999999</v>
      </c>
      <c r="J2895" s="79">
        <v>50.879999999999995</v>
      </c>
      <c r="K2895" s="79">
        <v>0</v>
      </c>
      <c r="L2895" s="70">
        <v>50.879999999999995</v>
      </c>
      <c r="M2895" s="132"/>
      <c r="N2895" s="79">
        <v>31.23</v>
      </c>
      <c r="O2895" s="79">
        <v>19.649999999999999</v>
      </c>
      <c r="P2895" s="79">
        <v>50.879999999999995</v>
      </c>
      <c r="Q2895" s="136"/>
      <c r="R2895" s="79">
        <v>31.23</v>
      </c>
      <c r="S2895" s="79">
        <v>19.64</v>
      </c>
      <c r="T2895" s="79">
        <v>50.870000000000005</v>
      </c>
      <c r="U2895" s="79">
        <v>0</v>
      </c>
      <c r="V2895" s="189">
        <v>50.870000000000005</v>
      </c>
      <c r="X2895" s="79">
        <v>31.23</v>
      </c>
      <c r="Y2895" s="79">
        <v>19.64</v>
      </c>
      <c r="Z2895" s="79">
        <v>50.87</v>
      </c>
      <c r="AA2895" s="255">
        <v>1.0000000000005116E-2</v>
      </c>
      <c r="AC2895" s="254"/>
    </row>
    <row r="2896" spans="1:31" ht="12">
      <c r="A2896" s="67" t="s">
        <v>16116</v>
      </c>
      <c r="B2896" s="65" t="s">
        <v>16117</v>
      </c>
      <c r="C2896" s="71" t="s">
        <v>103</v>
      </c>
      <c r="D2896" s="78">
        <v>1</v>
      </c>
      <c r="E2896" s="79">
        <v>55.21</v>
      </c>
      <c r="F2896" s="70">
        <v>55.21</v>
      </c>
      <c r="G2896" s="320"/>
      <c r="H2896" s="79">
        <v>35.56</v>
      </c>
      <c r="I2896" s="79">
        <v>19.649999999999999</v>
      </c>
      <c r="J2896" s="79">
        <v>55.21</v>
      </c>
      <c r="K2896" s="79">
        <v>0</v>
      </c>
      <c r="L2896" s="70">
        <v>55.21</v>
      </c>
      <c r="M2896" s="132"/>
      <c r="N2896" s="79">
        <v>35.56</v>
      </c>
      <c r="O2896" s="79">
        <v>19.649999999999999</v>
      </c>
      <c r="P2896" s="79">
        <v>55.21</v>
      </c>
      <c r="Q2896" s="136"/>
      <c r="R2896" s="79">
        <v>35.56</v>
      </c>
      <c r="S2896" s="79">
        <v>19.64</v>
      </c>
      <c r="T2896" s="79">
        <v>55.2</v>
      </c>
      <c r="U2896" s="79">
        <v>0</v>
      </c>
      <c r="V2896" s="189">
        <v>55.2</v>
      </c>
      <c r="X2896" s="79">
        <v>35.56</v>
      </c>
      <c r="Y2896" s="79">
        <v>19.64</v>
      </c>
      <c r="Z2896" s="79">
        <v>55.2</v>
      </c>
      <c r="AA2896" s="255">
        <v>9.9999999999980105E-3</v>
      </c>
      <c r="AC2896" s="254"/>
    </row>
    <row r="2897" spans="1:31" ht="12">
      <c r="A2897" s="67" t="s">
        <v>16118</v>
      </c>
      <c r="B2897" s="65" t="s">
        <v>16119</v>
      </c>
      <c r="C2897" s="71" t="s">
        <v>103</v>
      </c>
      <c r="D2897" s="78">
        <v>1</v>
      </c>
      <c r="E2897" s="79">
        <v>82</v>
      </c>
      <c r="F2897" s="70">
        <v>82</v>
      </c>
      <c r="G2897" s="320"/>
      <c r="H2897" s="79">
        <v>62.35</v>
      </c>
      <c r="I2897" s="79">
        <v>19.649999999999999</v>
      </c>
      <c r="J2897" s="79">
        <v>82</v>
      </c>
      <c r="K2897" s="79">
        <v>0</v>
      </c>
      <c r="L2897" s="70">
        <v>82</v>
      </c>
      <c r="M2897" s="132"/>
      <c r="N2897" s="79">
        <v>62.35</v>
      </c>
      <c r="O2897" s="79">
        <v>19.649999999999999</v>
      </c>
      <c r="P2897" s="79">
        <v>82</v>
      </c>
      <c r="Q2897" s="136"/>
      <c r="R2897" s="79">
        <v>62.35</v>
      </c>
      <c r="S2897" s="79">
        <v>19.64</v>
      </c>
      <c r="T2897" s="79">
        <v>81.990000000000009</v>
      </c>
      <c r="U2897" s="79">
        <v>0</v>
      </c>
      <c r="V2897" s="189">
        <v>81.990000000000009</v>
      </c>
      <c r="X2897" s="79">
        <v>62.35</v>
      </c>
      <c r="Y2897" s="79">
        <v>19.64</v>
      </c>
      <c r="Z2897" s="79">
        <v>81.99</v>
      </c>
      <c r="AA2897" s="255">
        <v>1.0000000000005116E-2</v>
      </c>
      <c r="AC2897" s="254"/>
    </row>
    <row r="2898" spans="1:31" ht="12">
      <c r="A2898" s="67" t="s">
        <v>16120</v>
      </c>
      <c r="B2898" s="65" t="s">
        <v>16121</v>
      </c>
      <c r="C2898" s="71" t="s">
        <v>103</v>
      </c>
      <c r="D2898" s="78">
        <v>1</v>
      </c>
      <c r="E2898" s="79">
        <v>85.69</v>
      </c>
      <c r="F2898" s="70">
        <v>85.69</v>
      </c>
      <c r="G2898" s="320"/>
      <c r="H2898" s="79">
        <v>66.040000000000006</v>
      </c>
      <c r="I2898" s="79">
        <v>19.649999999999999</v>
      </c>
      <c r="J2898" s="79">
        <v>85.69</v>
      </c>
      <c r="K2898" s="79">
        <v>0</v>
      </c>
      <c r="L2898" s="70">
        <v>85.69</v>
      </c>
      <c r="M2898" s="132"/>
      <c r="N2898" s="79">
        <v>66.040000000000006</v>
      </c>
      <c r="O2898" s="79">
        <v>19.649999999999999</v>
      </c>
      <c r="P2898" s="79">
        <v>85.69</v>
      </c>
      <c r="Q2898" s="136"/>
      <c r="R2898" s="79">
        <v>66.040000000000006</v>
      </c>
      <c r="S2898" s="79">
        <v>19.64</v>
      </c>
      <c r="T2898" s="79">
        <v>85.68</v>
      </c>
      <c r="U2898" s="79">
        <v>0</v>
      </c>
      <c r="V2898" s="189">
        <v>85.68</v>
      </c>
      <c r="X2898" s="79">
        <v>66.040000000000006</v>
      </c>
      <c r="Y2898" s="79">
        <v>19.64</v>
      </c>
      <c r="Z2898" s="79">
        <v>85.68</v>
      </c>
      <c r="AA2898" s="255">
        <v>9.9999999999909051E-3</v>
      </c>
      <c r="AC2898" s="254"/>
    </row>
    <row r="2899" spans="1:31" ht="12">
      <c r="A2899" s="67" t="s">
        <v>16122</v>
      </c>
      <c r="B2899" s="65" t="s">
        <v>16123</v>
      </c>
      <c r="C2899" s="71" t="s">
        <v>103</v>
      </c>
      <c r="D2899" s="78">
        <v>1</v>
      </c>
      <c r="E2899" s="79">
        <v>525.7700000000001</v>
      </c>
      <c r="F2899" s="70">
        <v>525.77</v>
      </c>
      <c r="G2899" s="320"/>
      <c r="H2899" s="79">
        <v>447.62</v>
      </c>
      <c r="I2899" s="79">
        <v>78.149999999999991</v>
      </c>
      <c r="J2899" s="79">
        <v>525.77</v>
      </c>
      <c r="K2899" s="79">
        <v>0</v>
      </c>
      <c r="L2899" s="70">
        <v>525.77</v>
      </c>
      <c r="M2899" s="132"/>
      <c r="N2899" s="79">
        <v>447.62</v>
      </c>
      <c r="O2899" s="79">
        <v>78.149999999999991</v>
      </c>
      <c r="P2899" s="79">
        <v>525.77</v>
      </c>
      <c r="Q2899" s="136"/>
      <c r="R2899" s="79">
        <v>447.62</v>
      </c>
      <c r="S2899" s="79">
        <v>78.16</v>
      </c>
      <c r="T2899" s="79">
        <v>525.78</v>
      </c>
      <c r="U2899" s="79">
        <v>0</v>
      </c>
      <c r="V2899" s="189">
        <v>525.78</v>
      </c>
      <c r="X2899" s="79">
        <v>447.62</v>
      </c>
      <c r="Y2899" s="79">
        <v>78.16</v>
      </c>
      <c r="Z2899" s="79">
        <v>525.78</v>
      </c>
      <c r="AA2899" s="255">
        <v>-9.9999999999909051E-3</v>
      </c>
      <c r="AC2899" s="254"/>
    </row>
    <row r="2900" spans="1:31" ht="12">
      <c r="A2900" s="67" t="s">
        <v>16124</v>
      </c>
      <c r="B2900" s="65" t="s">
        <v>16125</v>
      </c>
      <c r="C2900" s="71" t="s">
        <v>103</v>
      </c>
      <c r="D2900" s="78">
        <v>1</v>
      </c>
      <c r="E2900" s="79">
        <v>752.1</v>
      </c>
      <c r="F2900" s="70">
        <v>752.1</v>
      </c>
      <c r="G2900" s="320"/>
      <c r="H2900" s="79">
        <v>707.34</v>
      </c>
      <c r="I2900" s="79">
        <v>44.76</v>
      </c>
      <c r="J2900" s="79">
        <v>752.1</v>
      </c>
      <c r="K2900" s="79">
        <v>0</v>
      </c>
      <c r="L2900" s="70">
        <v>752.1</v>
      </c>
      <c r="M2900" s="132"/>
      <c r="N2900" s="79">
        <v>707.34</v>
      </c>
      <c r="O2900" s="79">
        <v>44.76</v>
      </c>
      <c r="P2900" s="79">
        <v>752.1</v>
      </c>
      <c r="Q2900" s="136"/>
      <c r="R2900" s="79">
        <v>707.34</v>
      </c>
      <c r="S2900" s="79">
        <v>44.75</v>
      </c>
      <c r="T2900" s="79">
        <v>752.09</v>
      </c>
      <c r="U2900" s="79">
        <v>0</v>
      </c>
      <c r="V2900" s="189">
        <v>752.09</v>
      </c>
      <c r="X2900" s="79">
        <v>707.34</v>
      </c>
      <c r="Y2900" s="79">
        <v>44.75</v>
      </c>
      <c r="Z2900" s="79">
        <v>752.09</v>
      </c>
      <c r="AA2900" s="255">
        <v>9.9999999999909051E-3</v>
      </c>
      <c r="AC2900" s="254"/>
      <c r="AD2900" s="61"/>
      <c r="AE2900" s="61"/>
    </row>
    <row r="2901" spans="1:31" ht="12">
      <c r="A2901" s="67" t="s">
        <v>16126</v>
      </c>
      <c r="B2901" s="65" t="s">
        <v>16127</v>
      </c>
      <c r="C2901" s="71" t="s">
        <v>103</v>
      </c>
      <c r="D2901" s="78">
        <v>1</v>
      </c>
      <c r="E2901" s="79">
        <v>208</v>
      </c>
      <c r="F2901" s="70">
        <v>208</v>
      </c>
      <c r="G2901" s="320"/>
      <c r="H2901" s="79">
        <v>186.71</v>
      </c>
      <c r="I2901" s="79">
        <v>21.29</v>
      </c>
      <c r="J2901" s="79">
        <v>208</v>
      </c>
      <c r="K2901" s="79">
        <v>0</v>
      </c>
      <c r="L2901" s="70">
        <v>208</v>
      </c>
      <c r="M2901" s="132"/>
      <c r="N2901" s="79">
        <v>186.71</v>
      </c>
      <c r="O2901" s="79">
        <v>21.29</v>
      </c>
      <c r="P2901" s="79">
        <v>208</v>
      </c>
      <c r="Q2901" s="136"/>
      <c r="R2901" s="79">
        <v>186.71</v>
      </c>
      <c r="S2901" s="79">
        <v>21.3</v>
      </c>
      <c r="T2901" s="79">
        <v>208.01000000000002</v>
      </c>
      <c r="U2901" s="79">
        <v>0</v>
      </c>
      <c r="V2901" s="189">
        <v>208.01000000000002</v>
      </c>
      <c r="X2901" s="79">
        <v>186.71</v>
      </c>
      <c r="Y2901" s="79">
        <v>21.3</v>
      </c>
      <c r="Z2901" s="79">
        <v>208.01</v>
      </c>
      <c r="AA2901" s="255">
        <v>-9.9999999999909051E-3</v>
      </c>
      <c r="AC2901" s="254"/>
      <c r="AD2901" s="61"/>
      <c r="AE2901" s="61"/>
    </row>
    <row r="2902" spans="1:31" ht="12">
      <c r="A2902" s="67" t="s">
        <v>16128</v>
      </c>
      <c r="B2902" s="65" t="s">
        <v>16129</v>
      </c>
      <c r="C2902" s="71" t="s">
        <v>103</v>
      </c>
      <c r="D2902" s="78">
        <v>1</v>
      </c>
      <c r="E2902" s="79">
        <v>110.37</v>
      </c>
      <c r="F2902" s="70">
        <v>110.37</v>
      </c>
      <c r="G2902" s="320"/>
      <c r="H2902" s="79">
        <v>90.72</v>
      </c>
      <c r="I2902" s="79">
        <v>19.649999999999999</v>
      </c>
      <c r="J2902" s="79">
        <v>110.37</v>
      </c>
      <c r="K2902" s="79">
        <v>0</v>
      </c>
      <c r="L2902" s="70">
        <v>110.37</v>
      </c>
      <c r="M2902" s="132"/>
      <c r="N2902" s="79">
        <v>90.72</v>
      </c>
      <c r="O2902" s="79">
        <v>19.649999999999999</v>
      </c>
      <c r="P2902" s="79">
        <v>110.37</v>
      </c>
      <c r="Q2902" s="136"/>
      <c r="R2902" s="79">
        <v>90.72</v>
      </c>
      <c r="S2902" s="79">
        <v>19.64</v>
      </c>
      <c r="T2902" s="79">
        <v>110.36</v>
      </c>
      <c r="U2902" s="79">
        <v>0</v>
      </c>
      <c r="V2902" s="189">
        <v>110.36</v>
      </c>
      <c r="X2902" s="79">
        <v>90.72</v>
      </c>
      <c r="Y2902" s="79">
        <v>19.64</v>
      </c>
      <c r="Z2902" s="79">
        <v>110.36</v>
      </c>
      <c r="AA2902" s="255">
        <v>1.0000000000005116E-2</v>
      </c>
      <c r="AC2902" s="254"/>
    </row>
    <row r="2903" spans="1:31" s="61" customFormat="1" ht="12">
      <c r="A2903" s="67" t="s">
        <v>16130</v>
      </c>
      <c r="B2903" s="65" t="s">
        <v>16131</v>
      </c>
      <c r="C2903" s="71" t="s">
        <v>103</v>
      </c>
      <c r="D2903" s="78">
        <v>1</v>
      </c>
      <c r="E2903" s="79">
        <v>643.37999999999988</v>
      </c>
      <c r="F2903" s="70">
        <v>643.38</v>
      </c>
      <c r="G2903" s="320"/>
      <c r="H2903" s="79">
        <v>623.7299999999999</v>
      </c>
      <c r="I2903" s="79">
        <v>19.649999999999999</v>
      </c>
      <c r="J2903" s="79">
        <v>643.37999999999988</v>
      </c>
      <c r="K2903" s="79">
        <v>0</v>
      </c>
      <c r="L2903" s="70">
        <v>643.37999999999988</v>
      </c>
      <c r="M2903" s="132"/>
      <c r="N2903" s="79">
        <v>623.7299999999999</v>
      </c>
      <c r="O2903" s="79">
        <v>19.649999999999999</v>
      </c>
      <c r="P2903" s="79">
        <v>643.37999999999988</v>
      </c>
      <c r="Q2903" s="136"/>
      <c r="R2903" s="79">
        <v>623.73</v>
      </c>
      <c r="S2903" s="79">
        <v>19.64</v>
      </c>
      <c r="T2903" s="79">
        <v>643.37</v>
      </c>
      <c r="U2903" s="79">
        <v>0</v>
      </c>
      <c r="V2903" s="189">
        <v>643.37</v>
      </c>
      <c r="X2903" s="79">
        <v>623.73</v>
      </c>
      <c r="Y2903" s="79">
        <v>19.64</v>
      </c>
      <c r="Z2903" s="79">
        <v>643.37</v>
      </c>
      <c r="AA2903" s="255">
        <v>9.9999999999909051E-3</v>
      </c>
      <c r="AC2903" s="254"/>
      <c r="AD2903" s="69"/>
      <c r="AE2903" s="69"/>
    </row>
    <row r="2904" spans="1:31" ht="24">
      <c r="A2904" s="67" t="s">
        <v>16132</v>
      </c>
      <c r="B2904" s="65" t="s">
        <v>16133</v>
      </c>
      <c r="C2904" s="71" t="s">
        <v>103</v>
      </c>
      <c r="D2904" s="78">
        <v>1</v>
      </c>
      <c r="E2904" s="79">
        <v>158.76999999999998</v>
      </c>
      <c r="F2904" s="70">
        <v>158.77000000000001</v>
      </c>
      <c r="G2904" s="320"/>
      <c r="H2904" s="79">
        <v>137.47999999999999</v>
      </c>
      <c r="I2904" s="79">
        <v>21.29</v>
      </c>
      <c r="J2904" s="79">
        <v>158.76999999999998</v>
      </c>
      <c r="K2904" s="79">
        <v>0</v>
      </c>
      <c r="L2904" s="70">
        <v>158.76999999999998</v>
      </c>
      <c r="M2904" s="132"/>
      <c r="N2904" s="79">
        <v>137.47999999999999</v>
      </c>
      <c r="O2904" s="79">
        <v>21.29</v>
      </c>
      <c r="P2904" s="79">
        <v>158.76999999999998</v>
      </c>
      <c r="Q2904" s="136"/>
      <c r="R2904" s="79">
        <v>137.47999999999999</v>
      </c>
      <c r="S2904" s="79">
        <v>21.3</v>
      </c>
      <c r="T2904" s="79">
        <v>158.78</v>
      </c>
      <c r="U2904" s="79">
        <v>0</v>
      </c>
      <c r="V2904" s="189">
        <v>158.78</v>
      </c>
      <c r="X2904" s="79">
        <v>137.47999999999999</v>
      </c>
      <c r="Y2904" s="79">
        <v>21.3</v>
      </c>
      <c r="Z2904" s="79">
        <v>158.78</v>
      </c>
      <c r="AA2904" s="255">
        <v>-9.9999999999909051E-3</v>
      </c>
      <c r="AC2904" s="254"/>
    </row>
    <row r="2905" spans="1:31" s="69" customFormat="1" ht="12">
      <c r="A2905" s="67" t="s">
        <v>16134</v>
      </c>
      <c r="B2905" s="65" t="s">
        <v>16135</v>
      </c>
      <c r="C2905" s="71" t="s">
        <v>396</v>
      </c>
      <c r="D2905" s="78">
        <v>1</v>
      </c>
      <c r="E2905" s="79">
        <v>2258.88</v>
      </c>
      <c r="F2905" s="70">
        <v>2258.88</v>
      </c>
      <c r="G2905" s="320"/>
      <c r="H2905" s="79">
        <v>2180.6</v>
      </c>
      <c r="I2905" s="79">
        <v>78.28</v>
      </c>
      <c r="J2905" s="79">
        <v>2258.88</v>
      </c>
      <c r="K2905" s="79">
        <v>0</v>
      </c>
      <c r="L2905" s="70">
        <v>2258.88</v>
      </c>
      <c r="M2905" s="132"/>
      <c r="N2905" s="79">
        <v>2180.6</v>
      </c>
      <c r="O2905" s="79">
        <v>78.28</v>
      </c>
      <c r="P2905" s="79">
        <v>2258.88</v>
      </c>
      <c r="Q2905" s="136"/>
      <c r="R2905" s="79">
        <v>2180.6</v>
      </c>
      <c r="S2905" s="79">
        <v>78.27</v>
      </c>
      <c r="T2905" s="79">
        <v>2258.87</v>
      </c>
      <c r="U2905" s="79">
        <v>0</v>
      </c>
      <c r="V2905" s="189">
        <v>2258.87</v>
      </c>
      <c r="W2905" s="61"/>
      <c r="X2905" s="79">
        <v>2180.6</v>
      </c>
      <c r="Y2905" s="79">
        <v>78.27</v>
      </c>
      <c r="Z2905" s="79">
        <v>2258.87</v>
      </c>
      <c r="AA2905" s="255">
        <v>1.0000000000218279E-2</v>
      </c>
      <c r="AB2905" s="61"/>
      <c r="AC2905" s="254"/>
      <c r="AD2905" s="236"/>
      <c r="AE2905" s="236"/>
    </row>
    <row r="2906" spans="1:31" ht="12">
      <c r="A2906" s="67" t="s">
        <v>16136</v>
      </c>
      <c r="B2906" s="65" t="s">
        <v>16137</v>
      </c>
      <c r="C2906" s="71" t="s">
        <v>103</v>
      </c>
      <c r="D2906" s="78">
        <v>1</v>
      </c>
      <c r="E2906" s="79">
        <v>22.179999999999996</v>
      </c>
      <c r="F2906" s="70">
        <v>22.18</v>
      </c>
      <c r="G2906" s="320"/>
      <c r="H2906" s="79">
        <v>2.5300000000000002</v>
      </c>
      <c r="I2906" s="79">
        <v>19.649999999999999</v>
      </c>
      <c r="J2906" s="79">
        <v>22.18</v>
      </c>
      <c r="K2906" s="79">
        <v>0</v>
      </c>
      <c r="L2906" s="70">
        <v>22.18</v>
      </c>
      <c r="M2906" s="132"/>
      <c r="N2906" s="79">
        <v>2.5300000000000002</v>
      </c>
      <c r="O2906" s="79">
        <v>19.649999999999999</v>
      </c>
      <c r="P2906" s="79">
        <v>22.18</v>
      </c>
      <c r="Q2906" s="136"/>
      <c r="R2906" s="79">
        <v>2.5299999999999998</v>
      </c>
      <c r="S2906" s="79">
        <v>19.64</v>
      </c>
      <c r="T2906" s="79">
        <v>22.17</v>
      </c>
      <c r="U2906" s="79">
        <v>0</v>
      </c>
      <c r="V2906" s="189">
        <v>22.17</v>
      </c>
      <c r="X2906" s="79">
        <v>2.5299999999999998</v>
      </c>
      <c r="Y2906" s="79">
        <v>19.64</v>
      </c>
      <c r="Z2906" s="79">
        <v>22.17</v>
      </c>
      <c r="AA2906" s="255">
        <v>9.9999999999980105E-3</v>
      </c>
      <c r="AC2906" s="254"/>
    </row>
    <row r="2907" spans="1:31" ht="12">
      <c r="A2907" s="67" t="s">
        <v>16138</v>
      </c>
      <c r="B2907" s="65" t="s">
        <v>16139</v>
      </c>
      <c r="C2907" s="71" t="s">
        <v>103</v>
      </c>
      <c r="D2907" s="78">
        <v>1</v>
      </c>
      <c r="E2907" s="79">
        <v>23.719999999999995</v>
      </c>
      <c r="F2907" s="70">
        <v>23.72</v>
      </c>
      <c r="G2907" s="320"/>
      <c r="H2907" s="79">
        <v>4.0699999999999994</v>
      </c>
      <c r="I2907" s="79">
        <v>19.649999999999999</v>
      </c>
      <c r="J2907" s="79">
        <v>23.72</v>
      </c>
      <c r="K2907" s="79">
        <v>0</v>
      </c>
      <c r="L2907" s="70">
        <v>23.72</v>
      </c>
      <c r="M2907" s="132"/>
      <c r="N2907" s="79">
        <v>4.0699999999999994</v>
      </c>
      <c r="O2907" s="79">
        <v>19.649999999999999</v>
      </c>
      <c r="P2907" s="79">
        <v>23.72</v>
      </c>
      <c r="Q2907" s="136"/>
      <c r="R2907" s="79">
        <v>4.07</v>
      </c>
      <c r="S2907" s="79">
        <v>19.64</v>
      </c>
      <c r="T2907" s="79">
        <v>23.71</v>
      </c>
      <c r="U2907" s="79">
        <v>0</v>
      </c>
      <c r="V2907" s="189">
        <v>23.71</v>
      </c>
      <c r="X2907" s="79">
        <v>4.07</v>
      </c>
      <c r="Y2907" s="79">
        <v>19.64</v>
      </c>
      <c r="Z2907" s="79">
        <v>23.71</v>
      </c>
      <c r="AA2907" s="255">
        <v>9.9999999999980105E-3</v>
      </c>
      <c r="AC2907" s="254"/>
    </row>
    <row r="2908" spans="1:31" ht="24">
      <c r="A2908" s="67" t="s">
        <v>16140</v>
      </c>
      <c r="B2908" s="65" t="s">
        <v>16141</v>
      </c>
      <c r="C2908" s="71" t="s">
        <v>103</v>
      </c>
      <c r="D2908" s="78">
        <v>1</v>
      </c>
      <c r="E2908" s="79">
        <v>861.32999999999993</v>
      </c>
      <c r="F2908" s="70">
        <v>861.33</v>
      </c>
      <c r="G2908" s="320"/>
      <c r="H2908" s="79">
        <v>840.04</v>
      </c>
      <c r="I2908" s="79">
        <v>21.29</v>
      </c>
      <c r="J2908" s="79">
        <v>861.32999999999993</v>
      </c>
      <c r="K2908" s="79">
        <v>0</v>
      </c>
      <c r="L2908" s="70">
        <v>861.32999999999993</v>
      </c>
      <c r="M2908" s="132"/>
      <c r="N2908" s="79">
        <v>840.04</v>
      </c>
      <c r="O2908" s="79">
        <v>21.29</v>
      </c>
      <c r="P2908" s="79">
        <v>861.32999999999993</v>
      </c>
      <c r="Q2908" s="136"/>
      <c r="R2908" s="79">
        <v>840.04</v>
      </c>
      <c r="S2908" s="79">
        <v>21.3</v>
      </c>
      <c r="T2908" s="79">
        <v>861.33999999999992</v>
      </c>
      <c r="U2908" s="79">
        <v>0</v>
      </c>
      <c r="V2908" s="189">
        <v>861.33999999999992</v>
      </c>
      <c r="X2908" s="79">
        <v>840.04</v>
      </c>
      <c r="Y2908" s="79">
        <v>21.3</v>
      </c>
      <c r="Z2908" s="79">
        <v>861.34</v>
      </c>
      <c r="AA2908" s="255">
        <v>-9.9999999999909051E-3</v>
      </c>
      <c r="AC2908" s="254"/>
    </row>
    <row r="2909" spans="1:31" ht="12">
      <c r="A2909" s="83" t="s">
        <v>16142</v>
      </c>
      <c r="B2909" s="64" t="s">
        <v>16143</v>
      </c>
      <c r="C2909" s="71" t="s">
        <v>103</v>
      </c>
      <c r="D2909" s="78">
        <v>1</v>
      </c>
      <c r="E2909" s="79">
        <v>1074.8300000000002</v>
      </c>
      <c r="F2909" s="70">
        <v>1074.8300000000002</v>
      </c>
      <c r="G2909" s="320"/>
      <c r="H2909" s="79">
        <v>996.68000000000006</v>
      </c>
      <c r="I2909" s="79">
        <v>78.149999999999991</v>
      </c>
      <c r="J2909" s="79">
        <v>1074.8300000000002</v>
      </c>
      <c r="K2909" s="79">
        <v>0</v>
      </c>
      <c r="L2909" s="70">
        <v>1074.8300000000002</v>
      </c>
      <c r="M2909" s="132"/>
      <c r="N2909" s="79">
        <v>996.68000000000006</v>
      </c>
      <c r="O2909" s="79">
        <v>78.149999999999991</v>
      </c>
      <c r="P2909" s="79">
        <v>1074.8300000000002</v>
      </c>
      <c r="R2909" s="79">
        <v>996.68</v>
      </c>
      <c r="S2909" s="79">
        <v>78.16</v>
      </c>
      <c r="T2909" s="79">
        <v>1074.8399999999999</v>
      </c>
      <c r="U2909" s="79">
        <v>0</v>
      </c>
      <c r="V2909" s="189">
        <v>1074.8399999999999</v>
      </c>
      <c r="X2909" s="79">
        <v>996.68</v>
      </c>
      <c r="Y2909" s="79">
        <v>78.16</v>
      </c>
      <c r="Z2909" s="79">
        <v>1074.8399999999999</v>
      </c>
      <c r="AA2909" s="255">
        <v>-9.9999999997635314E-3</v>
      </c>
      <c r="AC2909" s="254"/>
    </row>
    <row r="2910" spans="1:31" ht="12">
      <c r="A2910" s="67" t="s">
        <v>16144</v>
      </c>
      <c r="B2910" s="65" t="s">
        <v>16145</v>
      </c>
      <c r="C2910" s="71" t="s">
        <v>103</v>
      </c>
      <c r="D2910" s="78">
        <v>1</v>
      </c>
      <c r="E2910" s="79">
        <v>3533.6600000000003</v>
      </c>
      <c r="F2910" s="70">
        <v>3533.66</v>
      </c>
      <c r="G2910" s="320"/>
      <c r="H2910" s="79">
        <v>3455.51</v>
      </c>
      <c r="I2910" s="79">
        <v>78.149999999999991</v>
      </c>
      <c r="J2910" s="79">
        <v>3533.6600000000003</v>
      </c>
      <c r="K2910" s="79">
        <v>0</v>
      </c>
      <c r="L2910" s="70">
        <v>3533.6600000000003</v>
      </c>
      <c r="M2910" s="132"/>
      <c r="N2910" s="79">
        <v>3455.51</v>
      </c>
      <c r="O2910" s="79">
        <v>78.149999999999991</v>
      </c>
      <c r="P2910" s="79">
        <v>3533.6600000000003</v>
      </c>
      <c r="Q2910" s="136"/>
      <c r="R2910" s="79">
        <v>3455.51</v>
      </c>
      <c r="S2910" s="79">
        <v>78.16</v>
      </c>
      <c r="T2910" s="79">
        <v>3533.67</v>
      </c>
      <c r="U2910" s="79">
        <v>0</v>
      </c>
      <c r="V2910" s="189">
        <v>3533.67</v>
      </c>
      <c r="X2910" s="79">
        <v>3455.51</v>
      </c>
      <c r="Y2910" s="79">
        <v>78.16</v>
      </c>
      <c r="Z2910" s="79">
        <v>3533.67</v>
      </c>
      <c r="AA2910" s="255">
        <v>-1.0000000000218279E-2</v>
      </c>
      <c r="AC2910" s="254"/>
    </row>
    <row r="2911" spans="1:31" ht="12">
      <c r="A2911" s="67" t="s">
        <v>16146</v>
      </c>
      <c r="B2911" s="65" t="s">
        <v>16147</v>
      </c>
      <c r="C2911" s="71" t="s">
        <v>103</v>
      </c>
      <c r="D2911" s="78">
        <v>1</v>
      </c>
      <c r="E2911" s="79">
        <v>1379.5700000000002</v>
      </c>
      <c r="F2911" s="70">
        <v>1379.57</v>
      </c>
      <c r="G2911" s="320"/>
      <c r="H2911" s="79">
        <v>1372.65</v>
      </c>
      <c r="I2911" s="79">
        <v>6.92</v>
      </c>
      <c r="J2911" s="79">
        <v>1379.5700000000002</v>
      </c>
      <c r="K2911" s="79">
        <v>0</v>
      </c>
      <c r="L2911" s="70">
        <v>1379.5700000000002</v>
      </c>
      <c r="M2911" s="132"/>
      <c r="N2911" s="79">
        <v>1372.65</v>
      </c>
      <c r="O2911" s="79">
        <v>6.92</v>
      </c>
      <c r="P2911" s="79">
        <v>1379.5700000000002</v>
      </c>
      <c r="Q2911" s="136"/>
      <c r="R2911" s="79">
        <v>1372.65</v>
      </c>
      <c r="S2911" s="79">
        <v>6.91</v>
      </c>
      <c r="T2911" s="79">
        <v>1379.5600000000002</v>
      </c>
      <c r="U2911" s="79">
        <v>0</v>
      </c>
      <c r="V2911" s="189">
        <v>1379.5600000000002</v>
      </c>
      <c r="X2911" s="79">
        <v>1372.65</v>
      </c>
      <c r="Y2911" s="79">
        <v>6.91</v>
      </c>
      <c r="Z2911" s="79">
        <v>1379.56</v>
      </c>
      <c r="AA2911" s="255">
        <v>9.9999999999909051E-3</v>
      </c>
      <c r="AC2911" s="254"/>
    </row>
    <row r="2912" spans="1:31" ht="12">
      <c r="A2912" s="67" t="s">
        <v>16148</v>
      </c>
      <c r="B2912" s="65" t="s">
        <v>16149</v>
      </c>
      <c r="C2912" s="71" t="s">
        <v>103</v>
      </c>
      <c r="D2912" s="78">
        <v>1</v>
      </c>
      <c r="E2912" s="79">
        <v>233.98</v>
      </c>
      <c r="F2912" s="70">
        <v>233.98</v>
      </c>
      <c r="G2912" s="320"/>
      <c r="H2912" s="79">
        <v>206.04</v>
      </c>
      <c r="I2912" s="79">
        <v>27.939999999999998</v>
      </c>
      <c r="J2912" s="79">
        <v>233.98</v>
      </c>
      <c r="K2912" s="79">
        <v>0</v>
      </c>
      <c r="L2912" s="70">
        <v>233.98</v>
      </c>
      <c r="M2912" s="132"/>
      <c r="N2912" s="79">
        <v>206.04</v>
      </c>
      <c r="O2912" s="79">
        <v>27.939999999999998</v>
      </c>
      <c r="P2912" s="79">
        <v>233.98</v>
      </c>
      <c r="Q2912" s="136"/>
      <c r="R2912" s="79">
        <v>206.04</v>
      </c>
      <c r="S2912" s="79">
        <v>27.92</v>
      </c>
      <c r="T2912" s="79">
        <v>233.95999999999998</v>
      </c>
      <c r="U2912" s="79">
        <v>0</v>
      </c>
      <c r="V2912" s="189">
        <v>233.95999999999998</v>
      </c>
      <c r="X2912" s="79">
        <v>206.04</v>
      </c>
      <c r="Y2912" s="79">
        <v>27.92</v>
      </c>
      <c r="Z2912" s="79">
        <v>233.96</v>
      </c>
      <c r="AA2912" s="255">
        <v>1.999999999998181E-2</v>
      </c>
      <c r="AC2912" s="254"/>
    </row>
    <row r="2913" spans="1:29" ht="12">
      <c r="A2913" s="67" t="s">
        <v>16150</v>
      </c>
      <c r="B2913" s="65" t="s">
        <v>16151</v>
      </c>
      <c r="C2913" s="71" t="s">
        <v>103</v>
      </c>
      <c r="D2913" s="78">
        <v>1</v>
      </c>
      <c r="E2913" s="79">
        <v>81.52</v>
      </c>
      <c r="F2913" s="70">
        <v>81.52</v>
      </c>
      <c r="G2913" s="320"/>
      <c r="H2913" s="79">
        <v>48.4</v>
      </c>
      <c r="I2913" s="79">
        <v>33.119999999999997</v>
      </c>
      <c r="J2913" s="79">
        <v>81.52</v>
      </c>
      <c r="K2913" s="79">
        <v>0</v>
      </c>
      <c r="L2913" s="70">
        <v>81.52</v>
      </c>
      <c r="M2913" s="132"/>
      <c r="N2913" s="79">
        <v>48.4</v>
      </c>
      <c r="O2913" s="79">
        <v>33.119999999999997</v>
      </c>
      <c r="P2913" s="79">
        <v>81.52</v>
      </c>
      <c r="Q2913" s="136"/>
      <c r="R2913" s="79">
        <v>48.4</v>
      </c>
      <c r="S2913" s="79">
        <v>33.119999999999997</v>
      </c>
      <c r="T2913" s="79">
        <v>81.52</v>
      </c>
      <c r="U2913" s="79">
        <v>0</v>
      </c>
      <c r="V2913" s="189">
        <v>81.52</v>
      </c>
      <c r="X2913" s="79">
        <v>48.4</v>
      </c>
      <c r="Y2913" s="79">
        <v>33.119999999999997</v>
      </c>
      <c r="Z2913" s="79">
        <v>81.52</v>
      </c>
      <c r="AA2913" s="255">
        <v>0</v>
      </c>
      <c r="AC2913" s="254"/>
    </row>
    <row r="2914" spans="1:29" ht="24">
      <c r="A2914" s="67" t="s">
        <v>16152</v>
      </c>
      <c r="B2914" s="65" t="s">
        <v>16153</v>
      </c>
      <c r="C2914" s="71" t="s">
        <v>103</v>
      </c>
      <c r="D2914" s="78">
        <v>1</v>
      </c>
      <c r="E2914" s="79">
        <v>338.63</v>
      </c>
      <c r="F2914" s="70">
        <v>338.63</v>
      </c>
      <c r="G2914" s="320"/>
      <c r="H2914" s="79">
        <v>310.69</v>
      </c>
      <c r="I2914" s="79">
        <v>27.939999999999998</v>
      </c>
      <c r="J2914" s="79">
        <v>338.63</v>
      </c>
      <c r="K2914" s="79">
        <v>0</v>
      </c>
      <c r="L2914" s="70">
        <v>338.63</v>
      </c>
      <c r="M2914" s="132"/>
      <c r="N2914" s="79">
        <v>310.69</v>
      </c>
      <c r="O2914" s="79">
        <v>27.939999999999998</v>
      </c>
      <c r="P2914" s="79">
        <v>338.63</v>
      </c>
      <c r="Q2914" s="136"/>
      <c r="R2914" s="79">
        <v>310.69</v>
      </c>
      <c r="S2914" s="79">
        <v>27.92</v>
      </c>
      <c r="T2914" s="79">
        <v>338.61</v>
      </c>
      <c r="U2914" s="79">
        <v>0</v>
      </c>
      <c r="V2914" s="189">
        <v>338.61</v>
      </c>
      <c r="X2914" s="79">
        <v>310.69</v>
      </c>
      <c r="Y2914" s="79">
        <v>27.92</v>
      </c>
      <c r="Z2914" s="79">
        <v>338.61</v>
      </c>
      <c r="AA2914" s="255">
        <v>1.999999999998181E-2</v>
      </c>
      <c r="AC2914" s="254"/>
    </row>
    <row r="2915" spans="1:29" ht="12">
      <c r="A2915" s="67" t="s">
        <v>16154</v>
      </c>
      <c r="B2915" s="65" t="s">
        <v>16155</v>
      </c>
      <c r="C2915" s="71" t="s">
        <v>103</v>
      </c>
      <c r="D2915" s="78">
        <v>1</v>
      </c>
      <c r="E2915" s="79">
        <v>527.42999999999995</v>
      </c>
      <c r="F2915" s="70">
        <v>527.42999999999995</v>
      </c>
      <c r="G2915" s="320"/>
      <c r="H2915" s="79">
        <v>499.49</v>
      </c>
      <c r="I2915" s="79">
        <v>27.939999999999998</v>
      </c>
      <c r="J2915" s="79">
        <v>527.43000000000006</v>
      </c>
      <c r="K2915" s="79">
        <v>0</v>
      </c>
      <c r="L2915" s="70">
        <v>527.43000000000006</v>
      </c>
      <c r="M2915" s="132"/>
      <c r="N2915" s="79">
        <v>499.49</v>
      </c>
      <c r="O2915" s="79">
        <v>27.939999999999998</v>
      </c>
      <c r="P2915" s="79">
        <v>527.43000000000006</v>
      </c>
      <c r="Q2915" s="136"/>
      <c r="R2915" s="79">
        <v>499.49</v>
      </c>
      <c r="S2915" s="79">
        <v>27.92</v>
      </c>
      <c r="T2915" s="79">
        <v>527.41</v>
      </c>
      <c r="U2915" s="79">
        <v>0</v>
      </c>
      <c r="V2915" s="189">
        <v>527.41</v>
      </c>
      <c r="X2915" s="79">
        <v>499.49</v>
      </c>
      <c r="Y2915" s="79">
        <v>27.92</v>
      </c>
      <c r="Z2915" s="79">
        <v>527.41</v>
      </c>
      <c r="AA2915" s="255">
        <v>1.999999999998181E-2</v>
      </c>
      <c r="AC2915" s="254"/>
    </row>
    <row r="2916" spans="1:29" ht="12">
      <c r="A2916" s="489" t="s">
        <v>16156</v>
      </c>
      <c r="B2916" s="490" t="s">
        <v>16157</v>
      </c>
      <c r="C2916" s="491"/>
      <c r="D2916" s="492"/>
      <c r="E2916" s="79"/>
      <c r="F2916" s="63"/>
      <c r="G2916" s="320"/>
      <c r="H2916" s="79"/>
      <c r="I2916" s="79"/>
      <c r="J2916" s="79"/>
      <c r="K2916" s="79"/>
      <c r="L2916" s="70"/>
      <c r="M2916" s="132"/>
      <c r="N2916" s="79"/>
      <c r="O2916" s="79"/>
      <c r="P2916" s="79"/>
      <c r="Q2916" s="136"/>
      <c r="R2916" s="79"/>
      <c r="S2916" s="79"/>
      <c r="T2916" s="79"/>
      <c r="U2916" s="79"/>
      <c r="V2916" s="189"/>
      <c r="X2916" s="79"/>
      <c r="Y2916" s="79"/>
      <c r="Z2916" s="79"/>
      <c r="AA2916" s="255"/>
      <c r="AC2916" s="254"/>
    </row>
    <row r="2917" spans="1:29" ht="12">
      <c r="A2917" s="67" t="s">
        <v>16158</v>
      </c>
      <c r="B2917" s="65" t="s">
        <v>16159</v>
      </c>
      <c r="C2917" s="71" t="s">
        <v>509</v>
      </c>
      <c r="D2917" s="78">
        <v>1</v>
      </c>
      <c r="E2917" s="79">
        <v>618.14</v>
      </c>
      <c r="F2917" s="70">
        <v>618.14</v>
      </c>
      <c r="G2917" s="320"/>
      <c r="H2917" s="79">
        <v>585.41</v>
      </c>
      <c r="I2917" s="79">
        <v>32.730000000000004</v>
      </c>
      <c r="J2917" s="79">
        <v>618.14</v>
      </c>
      <c r="K2917" s="79">
        <v>0</v>
      </c>
      <c r="L2917" s="70">
        <v>618.14</v>
      </c>
      <c r="M2917" s="132"/>
      <c r="N2917" s="79">
        <v>585.41</v>
      </c>
      <c r="O2917" s="79">
        <v>32.730000000000004</v>
      </c>
      <c r="P2917" s="79">
        <v>618.14</v>
      </c>
      <c r="Q2917" s="136"/>
      <c r="R2917" s="79">
        <v>585.41</v>
      </c>
      <c r="S2917" s="79">
        <v>32.729999999999997</v>
      </c>
      <c r="T2917" s="79">
        <v>618.14</v>
      </c>
      <c r="U2917" s="79">
        <v>0</v>
      </c>
      <c r="V2917" s="189">
        <v>618.14</v>
      </c>
      <c r="X2917" s="79">
        <v>585.41</v>
      </c>
      <c r="Y2917" s="79">
        <v>32.729999999999997</v>
      </c>
      <c r="Z2917" s="79">
        <v>618.14</v>
      </c>
      <c r="AA2917" s="255">
        <v>0</v>
      </c>
      <c r="AC2917" s="254"/>
    </row>
    <row r="2918" spans="1:29" ht="12">
      <c r="A2918" s="67" t="s">
        <v>16160</v>
      </c>
      <c r="B2918" s="65" t="s">
        <v>16161</v>
      </c>
      <c r="C2918" s="71" t="s">
        <v>509</v>
      </c>
      <c r="D2918" s="78">
        <v>1</v>
      </c>
      <c r="E2918" s="79">
        <v>390.45</v>
      </c>
      <c r="F2918" s="70">
        <v>390.45</v>
      </c>
      <c r="G2918" s="320"/>
      <c r="H2918" s="79">
        <v>289.75</v>
      </c>
      <c r="I2918" s="79">
        <v>100.69999999999999</v>
      </c>
      <c r="J2918" s="79">
        <v>390.45</v>
      </c>
      <c r="K2918" s="79">
        <v>0</v>
      </c>
      <c r="L2918" s="70">
        <v>390.45</v>
      </c>
      <c r="M2918" s="132"/>
      <c r="N2918" s="79">
        <v>289.75</v>
      </c>
      <c r="O2918" s="79">
        <v>100.69999999999999</v>
      </c>
      <c r="P2918" s="79">
        <v>390.45</v>
      </c>
      <c r="Q2918" s="136"/>
      <c r="R2918" s="79">
        <v>289.75</v>
      </c>
      <c r="S2918" s="79">
        <v>100.7</v>
      </c>
      <c r="T2918" s="79">
        <v>390.45</v>
      </c>
      <c r="U2918" s="79">
        <v>0</v>
      </c>
      <c r="V2918" s="189">
        <v>390.45</v>
      </c>
      <c r="X2918" s="79">
        <v>289.75</v>
      </c>
      <c r="Y2918" s="79">
        <v>100.7</v>
      </c>
      <c r="Z2918" s="79">
        <v>390.45</v>
      </c>
      <c r="AA2918" s="255">
        <v>0</v>
      </c>
      <c r="AC2918" s="254"/>
    </row>
    <row r="2919" spans="1:29" ht="12">
      <c r="A2919" s="67" t="s">
        <v>16162</v>
      </c>
      <c r="B2919" s="65" t="s">
        <v>16163</v>
      </c>
      <c r="C2919" s="71" t="s">
        <v>509</v>
      </c>
      <c r="D2919" s="78">
        <v>1</v>
      </c>
      <c r="E2919" s="79">
        <v>925.89</v>
      </c>
      <c r="F2919" s="70">
        <v>925.89</v>
      </c>
      <c r="G2919" s="320"/>
      <c r="H2919" s="79">
        <v>893.16</v>
      </c>
      <c r="I2919" s="79">
        <v>32.730000000000004</v>
      </c>
      <c r="J2919" s="79">
        <v>925.89</v>
      </c>
      <c r="K2919" s="79">
        <v>0</v>
      </c>
      <c r="L2919" s="70">
        <v>925.89</v>
      </c>
      <c r="M2919" s="132"/>
      <c r="N2919" s="79">
        <v>893.16</v>
      </c>
      <c r="O2919" s="79">
        <v>32.730000000000004</v>
      </c>
      <c r="P2919" s="79">
        <v>925.89</v>
      </c>
      <c r="Q2919" s="136"/>
      <c r="R2919" s="79">
        <v>893.16</v>
      </c>
      <c r="S2919" s="79">
        <v>32.729999999999997</v>
      </c>
      <c r="T2919" s="79">
        <v>925.89</v>
      </c>
      <c r="U2919" s="79">
        <v>0</v>
      </c>
      <c r="V2919" s="189">
        <v>925.89</v>
      </c>
      <c r="X2919" s="79">
        <v>893.16</v>
      </c>
      <c r="Y2919" s="79">
        <v>32.729999999999997</v>
      </c>
      <c r="Z2919" s="79">
        <v>925.89</v>
      </c>
      <c r="AA2919" s="255">
        <v>0</v>
      </c>
      <c r="AC2919" s="254"/>
    </row>
    <row r="2920" spans="1:29" ht="12">
      <c r="A2920" s="489" t="s">
        <v>16164</v>
      </c>
      <c r="B2920" s="490" t="s">
        <v>16165</v>
      </c>
      <c r="C2920" s="491"/>
      <c r="D2920" s="492"/>
      <c r="E2920" s="79"/>
      <c r="F2920" s="63"/>
      <c r="G2920" s="320"/>
      <c r="H2920" s="79"/>
      <c r="I2920" s="79"/>
      <c r="J2920" s="79"/>
      <c r="K2920" s="79"/>
      <c r="L2920" s="70"/>
      <c r="M2920" s="132"/>
      <c r="N2920" s="79"/>
      <c r="O2920" s="79"/>
      <c r="P2920" s="79"/>
      <c r="Q2920" s="136"/>
      <c r="R2920" s="79"/>
      <c r="S2920" s="79"/>
      <c r="T2920" s="79"/>
      <c r="U2920" s="79"/>
      <c r="V2920" s="189"/>
      <c r="X2920" s="79"/>
      <c r="Y2920" s="79"/>
      <c r="Z2920" s="79"/>
      <c r="AA2920" s="255"/>
      <c r="AC2920" s="254"/>
    </row>
    <row r="2921" spans="1:29" ht="12">
      <c r="A2921" s="67" t="s">
        <v>16166</v>
      </c>
      <c r="B2921" s="65" t="s">
        <v>16167</v>
      </c>
      <c r="C2921" s="71" t="s">
        <v>165</v>
      </c>
      <c r="D2921" s="78">
        <v>1</v>
      </c>
      <c r="E2921" s="79">
        <v>2353.14</v>
      </c>
      <c r="F2921" s="70">
        <v>2353.14</v>
      </c>
      <c r="G2921" s="320"/>
      <c r="H2921" s="79">
        <v>2274.61</v>
      </c>
      <c r="I2921" s="79">
        <v>78.53</v>
      </c>
      <c r="J2921" s="79">
        <v>2353.1400000000003</v>
      </c>
      <c r="K2921" s="79">
        <v>0</v>
      </c>
      <c r="L2921" s="70">
        <v>2353.1400000000003</v>
      </c>
      <c r="M2921" s="132"/>
      <c r="N2921" s="79">
        <v>2274.61</v>
      </c>
      <c r="O2921" s="79">
        <v>78.53</v>
      </c>
      <c r="P2921" s="79">
        <v>2353.1400000000003</v>
      </c>
      <c r="Q2921" s="136"/>
      <c r="R2921" s="79">
        <v>2274.61</v>
      </c>
      <c r="S2921" s="79">
        <v>78.540000000000006</v>
      </c>
      <c r="T2921" s="79">
        <v>2353.15</v>
      </c>
      <c r="U2921" s="79">
        <v>0</v>
      </c>
      <c r="V2921" s="189">
        <v>2353.15</v>
      </c>
      <c r="X2921" s="79">
        <v>2274.61</v>
      </c>
      <c r="Y2921" s="79">
        <v>78.540000000000006</v>
      </c>
      <c r="Z2921" s="79">
        <v>2353.15</v>
      </c>
      <c r="AA2921" s="255">
        <v>-1.0000000000218279E-2</v>
      </c>
      <c r="AC2921" s="254"/>
    </row>
    <row r="2922" spans="1:29" ht="12">
      <c r="A2922" s="67" t="s">
        <v>16168</v>
      </c>
      <c r="B2922" s="65" t="s">
        <v>16169</v>
      </c>
      <c r="C2922" s="71" t="s">
        <v>165</v>
      </c>
      <c r="D2922" s="78">
        <v>1</v>
      </c>
      <c r="E2922" s="79">
        <v>892.91</v>
      </c>
      <c r="F2922" s="70">
        <v>892.91</v>
      </c>
      <c r="G2922" s="320"/>
      <c r="H2922" s="79">
        <v>814.38</v>
      </c>
      <c r="I2922" s="79">
        <v>78.53</v>
      </c>
      <c r="J2922" s="79">
        <v>892.91</v>
      </c>
      <c r="K2922" s="79">
        <v>0</v>
      </c>
      <c r="L2922" s="70">
        <v>892.91</v>
      </c>
      <c r="M2922" s="132"/>
      <c r="N2922" s="79">
        <v>814.38</v>
      </c>
      <c r="O2922" s="79">
        <v>78.53</v>
      </c>
      <c r="P2922" s="79">
        <v>892.91</v>
      </c>
      <c r="Q2922" s="136"/>
      <c r="R2922" s="79">
        <v>814.38</v>
      </c>
      <c r="S2922" s="79">
        <v>78.540000000000006</v>
      </c>
      <c r="T2922" s="79">
        <v>892.92</v>
      </c>
      <c r="U2922" s="79">
        <v>0</v>
      </c>
      <c r="V2922" s="189">
        <v>892.92</v>
      </c>
      <c r="X2922" s="79">
        <v>814.38</v>
      </c>
      <c r="Y2922" s="79">
        <v>78.540000000000006</v>
      </c>
      <c r="Z2922" s="79">
        <v>892.92</v>
      </c>
      <c r="AA2922" s="255">
        <v>-9.9999999999909051E-3</v>
      </c>
      <c r="AC2922" s="254"/>
    </row>
    <row r="2923" spans="1:29" ht="12">
      <c r="A2923" s="67" t="s">
        <v>16170</v>
      </c>
      <c r="B2923" s="65" t="s">
        <v>16171</v>
      </c>
      <c r="C2923" s="71" t="s">
        <v>103</v>
      </c>
      <c r="D2923" s="78">
        <v>1</v>
      </c>
      <c r="E2923" s="79">
        <v>1378.88</v>
      </c>
      <c r="F2923" s="70">
        <v>1378.88</v>
      </c>
      <c r="G2923" s="320"/>
      <c r="H2923" s="79">
        <v>1211.4000000000001</v>
      </c>
      <c r="I2923" s="79">
        <v>167.48</v>
      </c>
      <c r="J2923" s="79">
        <v>1378.88</v>
      </c>
      <c r="K2923" s="79">
        <v>0</v>
      </c>
      <c r="L2923" s="70">
        <v>1378.88</v>
      </c>
      <c r="M2923" s="132"/>
      <c r="N2923" s="79">
        <v>1211.4000000000001</v>
      </c>
      <c r="O2923" s="79">
        <v>167.48</v>
      </c>
      <c r="P2923" s="79">
        <v>1378.88</v>
      </c>
      <c r="Q2923" s="136"/>
      <c r="R2923" s="79">
        <v>1211.4000000000001</v>
      </c>
      <c r="S2923" s="79">
        <v>167.49</v>
      </c>
      <c r="T2923" s="79">
        <v>1378.89</v>
      </c>
      <c r="U2923" s="79">
        <v>0</v>
      </c>
      <c r="V2923" s="189">
        <v>1378.89</v>
      </c>
      <c r="X2923" s="79">
        <v>1211.4000000000001</v>
      </c>
      <c r="Y2923" s="79">
        <v>167.49</v>
      </c>
      <c r="Z2923" s="79">
        <v>1378.89</v>
      </c>
      <c r="AA2923" s="255">
        <v>-9.9999999999909051E-3</v>
      </c>
      <c r="AC2923" s="254"/>
    </row>
    <row r="2924" spans="1:29" ht="12">
      <c r="A2924" s="67" t="s">
        <v>16172</v>
      </c>
      <c r="B2924" s="65" t="s">
        <v>16173</v>
      </c>
      <c r="C2924" s="71" t="s">
        <v>103</v>
      </c>
      <c r="D2924" s="78">
        <v>1</v>
      </c>
      <c r="E2924" s="79">
        <v>240.35</v>
      </c>
      <c r="F2924" s="70">
        <v>240.35</v>
      </c>
      <c r="G2924" s="320"/>
      <c r="H2924" s="79">
        <v>212.41</v>
      </c>
      <c r="I2924" s="79">
        <v>27.939999999999998</v>
      </c>
      <c r="J2924" s="79">
        <v>240.35</v>
      </c>
      <c r="K2924" s="79">
        <v>0</v>
      </c>
      <c r="L2924" s="70">
        <v>240.35</v>
      </c>
      <c r="M2924" s="132"/>
      <c r="N2924" s="79">
        <v>212.41</v>
      </c>
      <c r="O2924" s="79">
        <v>27.939999999999998</v>
      </c>
      <c r="P2924" s="79">
        <v>240.35</v>
      </c>
      <c r="Q2924" s="136"/>
      <c r="R2924" s="79">
        <v>212.41</v>
      </c>
      <c r="S2924" s="79">
        <v>27.92</v>
      </c>
      <c r="T2924" s="79">
        <v>240.32999999999998</v>
      </c>
      <c r="U2924" s="79">
        <v>0</v>
      </c>
      <c r="V2924" s="189">
        <v>240.32999999999998</v>
      </c>
      <c r="X2924" s="79">
        <v>212.41</v>
      </c>
      <c r="Y2924" s="79">
        <v>27.92</v>
      </c>
      <c r="Z2924" s="79">
        <v>240.33</v>
      </c>
      <c r="AA2924" s="255">
        <v>1.999999999998181E-2</v>
      </c>
      <c r="AC2924" s="254"/>
    </row>
    <row r="2925" spans="1:29" ht="12">
      <c r="A2925" s="67" t="s">
        <v>16174</v>
      </c>
      <c r="B2925" s="65" t="s">
        <v>16175</v>
      </c>
      <c r="C2925" s="71" t="s">
        <v>103</v>
      </c>
      <c r="D2925" s="78">
        <v>1</v>
      </c>
      <c r="E2925" s="79">
        <v>291.05</v>
      </c>
      <c r="F2925" s="70">
        <v>291.05</v>
      </c>
      <c r="G2925" s="320"/>
      <c r="H2925" s="79">
        <v>263.11</v>
      </c>
      <c r="I2925" s="79">
        <v>27.939999999999998</v>
      </c>
      <c r="J2925" s="79">
        <v>291.05</v>
      </c>
      <c r="K2925" s="79">
        <v>0</v>
      </c>
      <c r="L2925" s="70">
        <v>291.05</v>
      </c>
      <c r="M2925" s="132"/>
      <c r="N2925" s="79">
        <v>263.11</v>
      </c>
      <c r="O2925" s="79">
        <v>27.939999999999998</v>
      </c>
      <c r="P2925" s="79">
        <v>291.05</v>
      </c>
      <c r="Q2925" s="136"/>
      <c r="R2925" s="79">
        <v>263.11</v>
      </c>
      <c r="S2925" s="79">
        <v>27.92</v>
      </c>
      <c r="T2925" s="79">
        <v>291.03000000000003</v>
      </c>
      <c r="U2925" s="79">
        <v>0</v>
      </c>
      <c r="V2925" s="189">
        <v>291.03000000000003</v>
      </c>
      <c r="X2925" s="79">
        <v>263.11</v>
      </c>
      <c r="Y2925" s="79">
        <v>27.92</v>
      </c>
      <c r="Z2925" s="79">
        <v>291.02999999999997</v>
      </c>
      <c r="AA2925" s="255">
        <v>2.0000000000038654E-2</v>
      </c>
      <c r="AC2925" s="254"/>
    </row>
    <row r="2926" spans="1:29" ht="12">
      <c r="A2926" s="67" t="s">
        <v>16176</v>
      </c>
      <c r="B2926" s="65" t="s">
        <v>16177</v>
      </c>
      <c r="C2926" s="71" t="s">
        <v>103</v>
      </c>
      <c r="D2926" s="78">
        <v>1</v>
      </c>
      <c r="E2926" s="79">
        <v>307.15999999999997</v>
      </c>
      <c r="F2926" s="70">
        <v>307.16000000000003</v>
      </c>
      <c r="G2926" s="320"/>
      <c r="H2926" s="79">
        <v>279.21999999999997</v>
      </c>
      <c r="I2926" s="79">
        <v>27.939999999999998</v>
      </c>
      <c r="J2926" s="79">
        <v>307.15999999999997</v>
      </c>
      <c r="K2926" s="79">
        <v>0</v>
      </c>
      <c r="L2926" s="70">
        <v>307.15999999999997</v>
      </c>
      <c r="M2926" s="132"/>
      <c r="N2926" s="79">
        <v>279.21999999999997</v>
      </c>
      <c r="O2926" s="79">
        <v>27.939999999999998</v>
      </c>
      <c r="P2926" s="79">
        <v>307.15999999999997</v>
      </c>
      <c r="Q2926" s="136"/>
      <c r="R2926" s="79">
        <v>279.22000000000003</v>
      </c>
      <c r="S2926" s="79">
        <v>27.92</v>
      </c>
      <c r="T2926" s="79">
        <v>307.14000000000004</v>
      </c>
      <c r="U2926" s="79">
        <v>0</v>
      </c>
      <c r="V2926" s="189">
        <v>307.14000000000004</v>
      </c>
      <c r="X2926" s="79">
        <v>279.22000000000003</v>
      </c>
      <c r="Y2926" s="79">
        <v>27.92</v>
      </c>
      <c r="Z2926" s="79">
        <v>307.14</v>
      </c>
      <c r="AA2926" s="255">
        <v>2.0000000000038654E-2</v>
      </c>
      <c r="AC2926" s="254"/>
    </row>
    <row r="2927" spans="1:29" ht="12">
      <c r="A2927" s="67" t="s">
        <v>16178</v>
      </c>
      <c r="B2927" s="65" t="s">
        <v>16179</v>
      </c>
      <c r="C2927" s="71" t="s">
        <v>103</v>
      </c>
      <c r="D2927" s="78">
        <v>1</v>
      </c>
      <c r="E2927" s="79">
        <v>465.34999999999997</v>
      </c>
      <c r="F2927" s="70">
        <v>465.35</v>
      </c>
      <c r="G2927" s="320"/>
      <c r="H2927" s="79">
        <v>437.40999999999997</v>
      </c>
      <c r="I2927" s="79">
        <v>27.939999999999998</v>
      </c>
      <c r="J2927" s="79">
        <v>465.34999999999997</v>
      </c>
      <c r="K2927" s="79">
        <v>0</v>
      </c>
      <c r="L2927" s="70">
        <v>465.34999999999997</v>
      </c>
      <c r="M2927" s="132"/>
      <c r="N2927" s="79">
        <v>437.40999999999997</v>
      </c>
      <c r="O2927" s="79">
        <v>27.939999999999998</v>
      </c>
      <c r="P2927" s="79">
        <v>465.34999999999997</v>
      </c>
      <c r="Q2927" s="136"/>
      <c r="R2927" s="79">
        <v>437.41</v>
      </c>
      <c r="S2927" s="79">
        <v>27.92</v>
      </c>
      <c r="T2927" s="79">
        <v>465.33000000000004</v>
      </c>
      <c r="U2927" s="79">
        <v>0</v>
      </c>
      <c r="V2927" s="189">
        <v>465.33000000000004</v>
      </c>
      <c r="X2927" s="79">
        <v>437.41</v>
      </c>
      <c r="Y2927" s="79">
        <v>27.92</v>
      </c>
      <c r="Z2927" s="79">
        <v>465.33</v>
      </c>
      <c r="AA2927" s="255">
        <v>2.0000000000038654E-2</v>
      </c>
      <c r="AC2927" s="254"/>
    </row>
    <row r="2928" spans="1:29" ht="12">
      <c r="A2928" s="67" t="s">
        <v>16180</v>
      </c>
      <c r="B2928" s="65" t="s">
        <v>16181</v>
      </c>
      <c r="C2928" s="71" t="s">
        <v>103</v>
      </c>
      <c r="D2928" s="78">
        <v>1</v>
      </c>
      <c r="E2928" s="79">
        <v>1136.9499999999998</v>
      </c>
      <c r="F2928" s="70">
        <v>1136.95</v>
      </c>
      <c r="G2928" s="320"/>
      <c r="H2928" s="79">
        <v>1109.01</v>
      </c>
      <c r="I2928" s="79">
        <v>27.939999999999998</v>
      </c>
      <c r="J2928" s="79">
        <v>1136.95</v>
      </c>
      <c r="K2928" s="79">
        <v>0</v>
      </c>
      <c r="L2928" s="70">
        <v>1136.95</v>
      </c>
      <c r="M2928" s="132"/>
      <c r="N2928" s="79">
        <v>1109.01</v>
      </c>
      <c r="O2928" s="79">
        <v>27.939999999999998</v>
      </c>
      <c r="P2928" s="79">
        <v>1136.95</v>
      </c>
      <c r="Q2928" s="136"/>
      <c r="R2928" s="79">
        <v>1109.01</v>
      </c>
      <c r="S2928" s="79">
        <v>27.92</v>
      </c>
      <c r="T2928" s="79">
        <v>1136.93</v>
      </c>
      <c r="U2928" s="79">
        <v>0</v>
      </c>
      <c r="V2928" s="189">
        <v>1136.93</v>
      </c>
      <c r="X2928" s="79">
        <v>1109.01</v>
      </c>
      <c r="Y2928" s="79">
        <v>27.92</v>
      </c>
      <c r="Z2928" s="79">
        <v>1136.93</v>
      </c>
      <c r="AA2928" s="255">
        <v>1.999999999998181E-2</v>
      </c>
      <c r="AC2928" s="254"/>
    </row>
    <row r="2929" spans="1:31" ht="12">
      <c r="A2929" s="67" t="s">
        <v>16182</v>
      </c>
      <c r="B2929" s="65" t="s">
        <v>16183</v>
      </c>
      <c r="C2929" s="71" t="s">
        <v>103</v>
      </c>
      <c r="D2929" s="78">
        <v>1</v>
      </c>
      <c r="E2929" s="79">
        <v>386.53999999999996</v>
      </c>
      <c r="F2929" s="70">
        <v>386.54</v>
      </c>
      <c r="G2929" s="320"/>
      <c r="H2929" s="79">
        <v>358.59999999999997</v>
      </c>
      <c r="I2929" s="79">
        <v>27.939999999999998</v>
      </c>
      <c r="J2929" s="79">
        <v>386.53999999999996</v>
      </c>
      <c r="K2929" s="79">
        <v>0</v>
      </c>
      <c r="L2929" s="70">
        <v>386.53999999999996</v>
      </c>
      <c r="M2929" s="132"/>
      <c r="N2929" s="79">
        <v>358.59999999999997</v>
      </c>
      <c r="O2929" s="79">
        <v>27.939999999999998</v>
      </c>
      <c r="P2929" s="79">
        <v>386.53999999999996</v>
      </c>
      <c r="Q2929" s="136"/>
      <c r="R2929" s="79">
        <v>358.6</v>
      </c>
      <c r="S2929" s="79">
        <v>27.92</v>
      </c>
      <c r="T2929" s="79">
        <v>386.52000000000004</v>
      </c>
      <c r="U2929" s="79">
        <v>0</v>
      </c>
      <c r="V2929" s="189">
        <v>386.52000000000004</v>
      </c>
      <c r="X2929" s="79">
        <v>358.6</v>
      </c>
      <c r="Y2929" s="79">
        <v>27.92</v>
      </c>
      <c r="Z2929" s="79">
        <v>386.52</v>
      </c>
      <c r="AA2929" s="255">
        <v>2.0000000000038654E-2</v>
      </c>
      <c r="AC2929" s="254"/>
    </row>
    <row r="2930" spans="1:31" ht="12">
      <c r="A2930" s="67" t="s">
        <v>16184</v>
      </c>
      <c r="B2930" s="65" t="s">
        <v>16185</v>
      </c>
      <c r="C2930" s="71" t="s">
        <v>103</v>
      </c>
      <c r="D2930" s="78">
        <v>1</v>
      </c>
      <c r="E2930" s="79">
        <v>457.35999999999996</v>
      </c>
      <c r="F2930" s="70">
        <v>457.36</v>
      </c>
      <c r="G2930" s="320"/>
      <c r="H2930" s="79">
        <v>429.41999999999996</v>
      </c>
      <c r="I2930" s="79">
        <v>27.939999999999998</v>
      </c>
      <c r="J2930" s="79">
        <v>457.35999999999996</v>
      </c>
      <c r="K2930" s="79">
        <v>0</v>
      </c>
      <c r="L2930" s="70">
        <v>457.35999999999996</v>
      </c>
      <c r="M2930" s="132"/>
      <c r="N2930" s="79">
        <v>429.41999999999996</v>
      </c>
      <c r="O2930" s="79">
        <v>27.939999999999998</v>
      </c>
      <c r="P2930" s="79">
        <v>457.35999999999996</v>
      </c>
      <c r="Q2930" s="136"/>
      <c r="R2930" s="79">
        <v>429.42</v>
      </c>
      <c r="S2930" s="79">
        <v>27.92</v>
      </c>
      <c r="T2930" s="79">
        <v>457.34000000000003</v>
      </c>
      <c r="U2930" s="79">
        <v>0</v>
      </c>
      <c r="V2930" s="189">
        <v>457.34000000000003</v>
      </c>
      <c r="X2930" s="79">
        <v>429.42</v>
      </c>
      <c r="Y2930" s="79">
        <v>27.92</v>
      </c>
      <c r="Z2930" s="79">
        <v>457.34</v>
      </c>
      <c r="AA2930" s="255">
        <v>2.0000000000038654E-2</v>
      </c>
      <c r="AC2930" s="254"/>
    </row>
    <row r="2931" spans="1:31" ht="12">
      <c r="A2931" s="67" t="s">
        <v>16186</v>
      </c>
      <c r="B2931" s="65" t="s">
        <v>16187</v>
      </c>
      <c r="C2931" s="71" t="s">
        <v>103</v>
      </c>
      <c r="D2931" s="78">
        <v>1</v>
      </c>
      <c r="E2931" s="79">
        <v>710.83</v>
      </c>
      <c r="F2931" s="70">
        <v>710.83</v>
      </c>
      <c r="G2931" s="320"/>
      <c r="H2931" s="79">
        <v>682.89</v>
      </c>
      <c r="I2931" s="79">
        <v>27.939999999999998</v>
      </c>
      <c r="J2931" s="79">
        <v>710.82999999999993</v>
      </c>
      <c r="K2931" s="79">
        <v>0</v>
      </c>
      <c r="L2931" s="70">
        <v>710.82999999999993</v>
      </c>
      <c r="M2931" s="132"/>
      <c r="N2931" s="79">
        <v>682.89</v>
      </c>
      <c r="O2931" s="79">
        <v>27.939999999999998</v>
      </c>
      <c r="P2931" s="79">
        <v>710.82999999999993</v>
      </c>
      <c r="Q2931" s="136"/>
      <c r="R2931" s="79">
        <v>682.89</v>
      </c>
      <c r="S2931" s="79">
        <v>27.92</v>
      </c>
      <c r="T2931" s="79">
        <v>710.81</v>
      </c>
      <c r="U2931" s="79">
        <v>0</v>
      </c>
      <c r="V2931" s="189">
        <v>710.81</v>
      </c>
      <c r="X2931" s="79">
        <v>682.89</v>
      </c>
      <c r="Y2931" s="79">
        <v>27.92</v>
      </c>
      <c r="Z2931" s="79">
        <v>710.81</v>
      </c>
      <c r="AA2931" s="255">
        <v>2.0000000000095497E-2</v>
      </c>
      <c r="AC2931" s="254"/>
    </row>
    <row r="2932" spans="1:31" ht="12">
      <c r="A2932" s="67" t="s">
        <v>16188</v>
      </c>
      <c r="B2932" s="65" t="s">
        <v>16189</v>
      </c>
      <c r="C2932" s="71" t="s">
        <v>103</v>
      </c>
      <c r="D2932" s="78">
        <v>1</v>
      </c>
      <c r="E2932" s="79">
        <v>799.80000000000007</v>
      </c>
      <c r="F2932" s="70">
        <v>799.8</v>
      </c>
      <c r="G2932" s="320"/>
      <c r="H2932" s="79">
        <v>771.86</v>
      </c>
      <c r="I2932" s="79">
        <v>27.939999999999998</v>
      </c>
      <c r="J2932" s="79">
        <v>799.8</v>
      </c>
      <c r="K2932" s="79">
        <v>0</v>
      </c>
      <c r="L2932" s="70">
        <v>799.8</v>
      </c>
      <c r="M2932" s="132"/>
      <c r="N2932" s="79">
        <v>771.86</v>
      </c>
      <c r="O2932" s="79">
        <v>27.939999999999998</v>
      </c>
      <c r="P2932" s="79">
        <v>799.8</v>
      </c>
      <c r="Q2932" s="136"/>
      <c r="R2932" s="79">
        <v>771.86</v>
      </c>
      <c r="S2932" s="79">
        <v>27.92</v>
      </c>
      <c r="T2932" s="79">
        <v>799.78</v>
      </c>
      <c r="U2932" s="79">
        <v>0</v>
      </c>
      <c r="V2932" s="189">
        <v>799.78</v>
      </c>
      <c r="X2932" s="79">
        <v>771.86</v>
      </c>
      <c r="Y2932" s="79">
        <v>27.92</v>
      </c>
      <c r="Z2932" s="79">
        <v>799.78</v>
      </c>
      <c r="AA2932" s="255">
        <v>1.999999999998181E-2</v>
      </c>
      <c r="AC2932" s="254"/>
    </row>
    <row r="2933" spans="1:31" ht="12">
      <c r="A2933" s="67" t="s">
        <v>16190</v>
      </c>
      <c r="B2933" s="65" t="s">
        <v>16191</v>
      </c>
      <c r="C2933" s="71" t="s">
        <v>103</v>
      </c>
      <c r="D2933" s="78">
        <v>1</v>
      </c>
      <c r="E2933" s="79">
        <v>1392.1699999999998</v>
      </c>
      <c r="F2933" s="70">
        <v>1392.17</v>
      </c>
      <c r="G2933" s="320"/>
      <c r="H2933" s="79">
        <v>1364.23</v>
      </c>
      <c r="I2933" s="79">
        <v>27.939999999999998</v>
      </c>
      <c r="J2933" s="79">
        <v>1392.17</v>
      </c>
      <c r="K2933" s="79">
        <v>0</v>
      </c>
      <c r="L2933" s="70">
        <v>1392.17</v>
      </c>
      <c r="M2933" s="132"/>
      <c r="N2933" s="79">
        <v>1364.23</v>
      </c>
      <c r="O2933" s="79">
        <v>27.939999999999998</v>
      </c>
      <c r="P2933" s="79">
        <v>1392.17</v>
      </c>
      <c r="Q2933" s="136"/>
      <c r="R2933" s="79">
        <v>1364.23</v>
      </c>
      <c r="S2933" s="79">
        <v>27.92</v>
      </c>
      <c r="T2933" s="79">
        <v>1392.15</v>
      </c>
      <c r="U2933" s="79">
        <v>0</v>
      </c>
      <c r="V2933" s="189">
        <v>1392.15</v>
      </c>
      <c r="X2933" s="79">
        <v>1364.23</v>
      </c>
      <c r="Y2933" s="79">
        <v>27.92</v>
      </c>
      <c r="Z2933" s="79">
        <v>1392.15</v>
      </c>
      <c r="AA2933" s="255">
        <v>1.999999999998181E-2</v>
      </c>
      <c r="AC2933" s="254"/>
    </row>
    <row r="2934" spans="1:31" ht="12">
      <c r="A2934" s="67" t="s">
        <v>16192</v>
      </c>
      <c r="B2934" s="65" t="s">
        <v>16193</v>
      </c>
      <c r="C2934" s="71" t="s">
        <v>103</v>
      </c>
      <c r="D2934" s="78">
        <v>1</v>
      </c>
      <c r="E2934" s="79">
        <v>1523.8899999999999</v>
      </c>
      <c r="F2934" s="70">
        <v>1523.89</v>
      </c>
      <c r="G2934" s="320"/>
      <c r="H2934" s="79">
        <v>1495.95</v>
      </c>
      <c r="I2934" s="79">
        <v>27.939999999999998</v>
      </c>
      <c r="J2934" s="79">
        <v>1523.89</v>
      </c>
      <c r="K2934" s="79">
        <v>0</v>
      </c>
      <c r="L2934" s="70">
        <v>1523.89</v>
      </c>
      <c r="M2934" s="132"/>
      <c r="N2934" s="79">
        <v>1495.95</v>
      </c>
      <c r="O2934" s="79">
        <v>27.939999999999998</v>
      </c>
      <c r="P2934" s="79">
        <v>1523.89</v>
      </c>
      <c r="Q2934" s="136"/>
      <c r="R2934" s="79">
        <v>1495.95</v>
      </c>
      <c r="S2934" s="79">
        <v>27.92</v>
      </c>
      <c r="T2934" s="79">
        <v>1523.8700000000001</v>
      </c>
      <c r="U2934" s="79">
        <v>0</v>
      </c>
      <c r="V2934" s="189">
        <v>1523.8700000000001</v>
      </c>
      <c r="X2934" s="79">
        <v>1495.95</v>
      </c>
      <c r="Y2934" s="79">
        <v>27.92</v>
      </c>
      <c r="Z2934" s="79">
        <v>1523.87</v>
      </c>
      <c r="AA2934" s="255">
        <v>2.0000000000209184E-2</v>
      </c>
      <c r="AC2934" s="254"/>
    </row>
    <row r="2935" spans="1:31" ht="12">
      <c r="A2935" s="67" t="s">
        <v>16194</v>
      </c>
      <c r="B2935" s="65" t="s">
        <v>16195</v>
      </c>
      <c r="C2935" s="71" t="s">
        <v>103</v>
      </c>
      <c r="D2935" s="78">
        <v>1</v>
      </c>
      <c r="E2935" s="79">
        <v>1659.4299999999998</v>
      </c>
      <c r="F2935" s="70">
        <v>1659.43</v>
      </c>
      <c r="G2935" s="320"/>
      <c r="H2935" s="79">
        <v>1631.49</v>
      </c>
      <c r="I2935" s="79">
        <v>27.939999999999998</v>
      </c>
      <c r="J2935" s="79">
        <v>1659.43</v>
      </c>
      <c r="K2935" s="79">
        <v>0</v>
      </c>
      <c r="L2935" s="70">
        <v>1659.43</v>
      </c>
      <c r="M2935" s="132"/>
      <c r="N2935" s="79">
        <v>1631.49</v>
      </c>
      <c r="O2935" s="79">
        <v>27.939999999999998</v>
      </c>
      <c r="P2935" s="79">
        <v>1659.43</v>
      </c>
      <c r="Q2935" s="136"/>
      <c r="R2935" s="79">
        <v>1631.49</v>
      </c>
      <c r="S2935" s="79">
        <v>27.92</v>
      </c>
      <c r="T2935" s="79">
        <v>1659.41</v>
      </c>
      <c r="U2935" s="79">
        <v>0</v>
      </c>
      <c r="V2935" s="189">
        <v>1659.41</v>
      </c>
      <c r="X2935" s="79">
        <v>1631.49</v>
      </c>
      <c r="Y2935" s="79">
        <v>27.92</v>
      </c>
      <c r="Z2935" s="79">
        <v>1659.41</v>
      </c>
      <c r="AA2935" s="255">
        <v>1.999999999998181E-2</v>
      </c>
      <c r="AC2935" s="254"/>
    </row>
    <row r="2936" spans="1:31" ht="12">
      <c r="A2936" s="67" t="s">
        <v>16196</v>
      </c>
      <c r="B2936" s="65" t="s">
        <v>16197</v>
      </c>
      <c r="C2936" s="71" t="s">
        <v>103</v>
      </c>
      <c r="D2936" s="78">
        <v>1</v>
      </c>
      <c r="E2936" s="79">
        <v>4847.0099999999993</v>
      </c>
      <c r="F2936" s="70">
        <v>4847.01</v>
      </c>
      <c r="G2936" s="320"/>
      <c r="H2936" s="79">
        <v>4819.07</v>
      </c>
      <c r="I2936" s="79">
        <v>27.939999999999998</v>
      </c>
      <c r="J2936" s="79">
        <v>4847.0099999999993</v>
      </c>
      <c r="K2936" s="79">
        <v>0</v>
      </c>
      <c r="L2936" s="70">
        <v>4847.0099999999993</v>
      </c>
      <c r="M2936" s="132"/>
      <c r="N2936" s="79">
        <v>4819.07</v>
      </c>
      <c r="O2936" s="79">
        <v>27.939999999999998</v>
      </c>
      <c r="P2936" s="79">
        <v>4847.0099999999993</v>
      </c>
      <c r="Q2936" s="136"/>
      <c r="R2936" s="79">
        <v>4819.07</v>
      </c>
      <c r="S2936" s="79">
        <v>27.92</v>
      </c>
      <c r="T2936" s="79">
        <v>4846.99</v>
      </c>
      <c r="U2936" s="79">
        <v>0</v>
      </c>
      <c r="V2936" s="189">
        <v>4846.99</v>
      </c>
      <c r="X2936" s="79">
        <v>4819.07</v>
      </c>
      <c r="Y2936" s="79">
        <v>27.92</v>
      </c>
      <c r="Z2936" s="79">
        <v>4846.99</v>
      </c>
      <c r="AA2936" s="255">
        <v>2.0000000000436557E-2</v>
      </c>
      <c r="AC2936" s="254"/>
    </row>
    <row r="2937" spans="1:31" ht="12">
      <c r="A2937" s="67" t="s">
        <v>16198</v>
      </c>
      <c r="B2937" s="65" t="s">
        <v>16199</v>
      </c>
      <c r="C2937" s="71" t="s">
        <v>103</v>
      </c>
      <c r="D2937" s="78">
        <v>1</v>
      </c>
      <c r="E2937" s="79">
        <v>2292.87</v>
      </c>
      <c r="F2937" s="70">
        <v>2292.87</v>
      </c>
      <c r="G2937" s="320"/>
      <c r="H2937" s="79">
        <v>2264.9299999999998</v>
      </c>
      <c r="I2937" s="79">
        <v>27.939999999999998</v>
      </c>
      <c r="J2937" s="79">
        <v>2292.87</v>
      </c>
      <c r="K2937" s="79">
        <v>0</v>
      </c>
      <c r="L2937" s="70">
        <v>2292.87</v>
      </c>
      <c r="M2937" s="132"/>
      <c r="N2937" s="78">
        <v>2264.9299999999998</v>
      </c>
      <c r="O2937" s="78">
        <v>27.939999999999998</v>
      </c>
      <c r="P2937" s="79">
        <v>2292.87</v>
      </c>
      <c r="Q2937" s="136"/>
      <c r="R2937" s="79">
        <v>2264.9299999999998</v>
      </c>
      <c r="S2937" s="79">
        <v>27.92</v>
      </c>
      <c r="T2937" s="79">
        <v>2292.85</v>
      </c>
      <c r="U2937" s="79">
        <v>0</v>
      </c>
      <c r="V2937" s="189">
        <v>2292.85</v>
      </c>
      <c r="X2937" s="78">
        <v>2264.9299999999998</v>
      </c>
      <c r="Y2937" s="78">
        <v>27.92</v>
      </c>
      <c r="Z2937" s="79">
        <v>2292.85</v>
      </c>
      <c r="AA2937" s="255">
        <v>1.999999999998181E-2</v>
      </c>
      <c r="AC2937" s="254"/>
    </row>
    <row r="2938" spans="1:31" ht="12">
      <c r="A2938" s="67" t="s">
        <v>16200</v>
      </c>
      <c r="B2938" s="65" t="s">
        <v>39483</v>
      </c>
      <c r="C2938" s="71" t="s">
        <v>103</v>
      </c>
      <c r="D2938" s="78">
        <v>1</v>
      </c>
      <c r="E2938" s="79">
        <v>797.71999999999991</v>
      </c>
      <c r="F2938" s="70">
        <v>797.72</v>
      </c>
      <c r="G2938" s="320"/>
      <c r="H2938" s="79">
        <v>769.78</v>
      </c>
      <c r="I2938" s="79">
        <v>27.939999999999998</v>
      </c>
      <c r="J2938" s="79">
        <v>797.72</v>
      </c>
      <c r="K2938" s="79">
        <v>0</v>
      </c>
      <c r="L2938" s="70">
        <v>797.72</v>
      </c>
      <c r="M2938" s="132"/>
      <c r="N2938" s="79">
        <v>769.78</v>
      </c>
      <c r="O2938" s="79">
        <v>27.939999999999998</v>
      </c>
      <c r="P2938" s="79">
        <v>797.72</v>
      </c>
      <c r="Q2938" s="136"/>
      <c r="R2938" s="79">
        <v>769.78</v>
      </c>
      <c r="S2938" s="79">
        <v>27.92</v>
      </c>
      <c r="T2938" s="79">
        <v>797.69999999999993</v>
      </c>
      <c r="U2938" s="79">
        <v>0</v>
      </c>
      <c r="V2938" s="189">
        <v>797.69999999999993</v>
      </c>
      <c r="X2938" s="79">
        <v>769.78</v>
      </c>
      <c r="Y2938" s="79">
        <v>27.92</v>
      </c>
      <c r="Z2938" s="79">
        <v>797.7</v>
      </c>
      <c r="AA2938" s="255">
        <v>1.999999999998181E-2</v>
      </c>
      <c r="AC2938" s="254"/>
    </row>
    <row r="2939" spans="1:31" ht="12">
      <c r="A2939" s="67" t="s">
        <v>16201</v>
      </c>
      <c r="B2939" s="65" t="s">
        <v>16202</v>
      </c>
      <c r="C2939" s="71" t="s">
        <v>103</v>
      </c>
      <c r="D2939" s="78">
        <v>1</v>
      </c>
      <c r="E2939" s="79">
        <v>800.58999999999992</v>
      </c>
      <c r="F2939" s="70">
        <v>800.59</v>
      </c>
      <c r="G2939" s="320"/>
      <c r="H2939" s="79">
        <v>772.65</v>
      </c>
      <c r="I2939" s="79">
        <v>27.939999999999998</v>
      </c>
      <c r="J2939" s="79">
        <v>800.58999999999992</v>
      </c>
      <c r="K2939" s="79">
        <v>0</v>
      </c>
      <c r="L2939" s="70">
        <v>800.58999999999992</v>
      </c>
      <c r="M2939" s="132"/>
      <c r="N2939" s="79">
        <v>772.65</v>
      </c>
      <c r="O2939" s="79">
        <v>27.939999999999998</v>
      </c>
      <c r="P2939" s="79">
        <v>800.58999999999992</v>
      </c>
      <c r="Q2939" s="136"/>
      <c r="R2939" s="79">
        <v>772.65</v>
      </c>
      <c r="S2939" s="79">
        <v>27.92</v>
      </c>
      <c r="T2939" s="79">
        <v>800.56999999999994</v>
      </c>
      <c r="U2939" s="79">
        <v>0</v>
      </c>
      <c r="V2939" s="189">
        <v>800.56999999999994</v>
      </c>
      <c r="W2939" s="66"/>
      <c r="X2939" s="79">
        <v>772.65</v>
      </c>
      <c r="Y2939" s="79">
        <v>27.92</v>
      </c>
      <c r="Z2939" s="79">
        <v>800.57</v>
      </c>
      <c r="AA2939" s="255">
        <v>1.999999999998181E-2</v>
      </c>
      <c r="AB2939" s="66"/>
      <c r="AC2939" s="254"/>
      <c r="AD2939" s="69"/>
      <c r="AE2939" s="69"/>
    </row>
    <row r="2940" spans="1:31" ht="12">
      <c r="A2940" s="67" t="s">
        <v>16203</v>
      </c>
      <c r="B2940" s="65" t="s">
        <v>16204</v>
      </c>
      <c r="C2940" s="71" t="s">
        <v>103</v>
      </c>
      <c r="D2940" s="78">
        <v>1</v>
      </c>
      <c r="E2940" s="79">
        <v>993.92000000000007</v>
      </c>
      <c r="F2940" s="70">
        <v>993.92</v>
      </c>
      <c r="G2940" s="320"/>
      <c r="H2940" s="79">
        <v>965.98</v>
      </c>
      <c r="I2940" s="79">
        <v>27.939999999999998</v>
      </c>
      <c r="J2940" s="79">
        <v>993.92000000000007</v>
      </c>
      <c r="K2940" s="79">
        <v>0</v>
      </c>
      <c r="L2940" s="70">
        <v>993.92000000000007</v>
      </c>
      <c r="M2940" s="132"/>
      <c r="N2940" s="79">
        <v>965.98</v>
      </c>
      <c r="O2940" s="79">
        <v>27.939999999999998</v>
      </c>
      <c r="P2940" s="79">
        <v>993.92000000000007</v>
      </c>
      <c r="Q2940" s="136"/>
      <c r="R2940" s="79">
        <v>965.98</v>
      </c>
      <c r="S2940" s="79">
        <v>27.92</v>
      </c>
      <c r="T2940" s="79">
        <v>993.9</v>
      </c>
      <c r="U2940" s="79">
        <v>0</v>
      </c>
      <c r="V2940" s="189">
        <v>993.9</v>
      </c>
      <c r="X2940" s="79">
        <v>965.98</v>
      </c>
      <c r="Y2940" s="79">
        <v>27.92</v>
      </c>
      <c r="Z2940" s="79">
        <v>993.9</v>
      </c>
      <c r="AA2940" s="255">
        <v>1.999999999998181E-2</v>
      </c>
      <c r="AC2940" s="254"/>
    </row>
    <row r="2941" spans="1:31" s="69" customFormat="1" ht="12">
      <c r="A2941" s="489" t="s">
        <v>16205</v>
      </c>
      <c r="B2941" s="490" t="s">
        <v>16206</v>
      </c>
      <c r="C2941" s="491"/>
      <c r="D2941" s="492"/>
      <c r="E2941" s="79"/>
      <c r="F2941" s="63"/>
      <c r="G2941" s="320"/>
      <c r="H2941" s="79"/>
      <c r="I2941" s="79"/>
      <c r="J2941" s="79"/>
      <c r="K2941" s="79"/>
      <c r="L2941" s="70"/>
      <c r="M2941" s="132"/>
      <c r="N2941" s="79"/>
      <c r="O2941" s="79"/>
      <c r="P2941" s="79"/>
      <c r="Q2941" s="136"/>
      <c r="R2941" s="79"/>
      <c r="S2941" s="79"/>
      <c r="T2941" s="79"/>
      <c r="U2941" s="79"/>
      <c r="V2941" s="189"/>
      <c r="W2941" s="61"/>
      <c r="X2941" s="79"/>
      <c r="Y2941" s="79"/>
      <c r="Z2941" s="79"/>
      <c r="AA2941" s="255"/>
      <c r="AB2941" s="61"/>
      <c r="AC2941" s="254"/>
      <c r="AD2941" s="236"/>
      <c r="AE2941" s="236"/>
    </row>
    <row r="2942" spans="1:31" ht="12">
      <c r="A2942" s="67" t="s">
        <v>16207</v>
      </c>
      <c r="B2942" s="65" t="s">
        <v>16208</v>
      </c>
      <c r="C2942" s="71" t="s">
        <v>103</v>
      </c>
      <c r="D2942" s="78">
        <v>1</v>
      </c>
      <c r="E2942" s="79">
        <v>32.590000000000003</v>
      </c>
      <c r="F2942" s="70">
        <v>32.590000000000003</v>
      </c>
      <c r="G2942" s="320"/>
      <c r="H2942" s="79">
        <v>10.27</v>
      </c>
      <c r="I2942" s="79">
        <v>22.32</v>
      </c>
      <c r="J2942" s="79">
        <v>32.590000000000003</v>
      </c>
      <c r="K2942" s="79">
        <v>0</v>
      </c>
      <c r="L2942" s="70">
        <v>32.590000000000003</v>
      </c>
      <c r="M2942" s="132"/>
      <c r="N2942" s="79">
        <v>10.27</v>
      </c>
      <c r="O2942" s="79">
        <v>22.32</v>
      </c>
      <c r="P2942" s="79">
        <v>32.590000000000003</v>
      </c>
      <c r="Q2942" s="136"/>
      <c r="R2942" s="79">
        <v>10.27</v>
      </c>
      <c r="S2942" s="79">
        <v>22.33</v>
      </c>
      <c r="T2942" s="79">
        <v>32.599999999999994</v>
      </c>
      <c r="U2942" s="79">
        <v>0</v>
      </c>
      <c r="V2942" s="189">
        <v>32.599999999999994</v>
      </c>
      <c r="X2942" s="79">
        <v>10.27</v>
      </c>
      <c r="Y2942" s="79">
        <v>22.33</v>
      </c>
      <c r="Z2942" s="79">
        <v>32.6</v>
      </c>
      <c r="AA2942" s="255">
        <v>-9.9999999999980105E-3</v>
      </c>
      <c r="AC2942" s="254"/>
    </row>
    <row r="2943" spans="1:31" ht="12">
      <c r="A2943" s="67" t="s">
        <v>16209</v>
      </c>
      <c r="B2943" s="65" t="s">
        <v>16210</v>
      </c>
      <c r="C2943" s="71" t="s">
        <v>103</v>
      </c>
      <c r="D2943" s="78">
        <v>1</v>
      </c>
      <c r="E2943" s="79">
        <v>27.999999999999996</v>
      </c>
      <c r="F2943" s="70">
        <v>28</v>
      </c>
      <c r="G2943" s="320"/>
      <c r="H2943" s="79">
        <v>0.06</v>
      </c>
      <c r="I2943" s="79">
        <v>27.939999999999998</v>
      </c>
      <c r="J2943" s="79">
        <v>27.999999999999996</v>
      </c>
      <c r="K2943" s="79">
        <v>0</v>
      </c>
      <c r="L2943" s="70">
        <v>27.999999999999996</v>
      </c>
      <c r="M2943" s="132"/>
      <c r="N2943" s="79">
        <v>0.06</v>
      </c>
      <c r="O2943" s="79">
        <v>27.939999999999998</v>
      </c>
      <c r="P2943" s="79">
        <v>27.999999999999996</v>
      </c>
      <c r="Q2943" s="136"/>
      <c r="R2943" s="79">
        <v>0.06</v>
      </c>
      <c r="S2943" s="79">
        <v>27.92</v>
      </c>
      <c r="T2943" s="79">
        <v>27.98</v>
      </c>
      <c r="U2943" s="79">
        <v>0</v>
      </c>
      <c r="V2943" s="189">
        <v>27.98</v>
      </c>
      <c r="X2943" s="79">
        <v>0.06</v>
      </c>
      <c r="Y2943" s="79">
        <v>27.92</v>
      </c>
      <c r="Z2943" s="79">
        <v>27.98</v>
      </c>
      <c r="AA2943" s="255">
        <v>1.9999999999999574E-2</v>
      </c>
      <c r="AC2943" s="254"/>
    </row>
    <row r="2944" spans="1:31" ht="12">
      <c r="A2944" s="67" t="s">
        <v>16211</v>
      </c>
      <c r="B2944" s="65" t="s">
        <v>16212</v>
      </c>
      <c r="C2944" s="71" t="s">
        <v>103</v>
      </c>
      <c r="D2944" s="78">
        <v>1</v>
      </c>
      <c r="E2944" s="79">
        <v>27.999999999999996</v>
      </c>
      <c r="F2944" s="70">
        <v>28</v>
      </c>
      <c r="G2944" s="320"/>
      <c r="H2944" s="79">
        <v>0.06</v>
      </c>
      <c r="I2944" s="79">
        <v>27.939999999999998</v>
      </c>
      <c r="J2944" s="79">
        <v>27.999999999999996</v>
      </c>
      <c r="K2944" s="79">
        <v>0</v>
      </c>
      <c r="L2944" s="70">
        <v>27.999999999999996</v>
      </c>
      <c r="M2944" s="132"/>
      <c r="N2944" s="79">
        <v>0.06</v>
      </c>
      <c r="O2944" s="79">
        <v>27.939999999999998</v>
      </c>
      <c r="P2944" s="79">
        <v>27.999999999999996</v>
      </c>
      <c r="Q2944" s="136"/>
      <c r="R2944" s="79">
        <v>0.06</v>
      </c>
      <c r="S2944" s="79">
        <v>27.92</v>
      </c>
      <c r="T2944" s="79">
        <v>27.98</v>
      </c>
      <c r="U2944" s="79">
        <v>0</v>
      </c>
      <c r="V2944" s="189">
        <v>27.98</v>
      </c>
      <c r="X2944" s="79">
        <v>0.06</v>
      </c>
      <c r="Y2944" s="79">
        <v>27.92</v>
      </c>
      <c r="Z2944" s="79">
        <v>27.98</v>
      </c>
      <c r="AA2944" s="255">
        <v>1.9999999999999574E-2</v>
      </c>
      <c r="AC2944" s="254"/>
    </row>
    <row r="2945" spans="1:29" ht="12">
      <c r="A2945" s="67" t="s">
        <v>16213</v>
      </c>
      <c r="B2945" s="65" t="s">
        <v>16214</v>
      </c>
      <c r="C2945" s="71" t="s">
        <v>103</v>
      </c>
      <c r="D2945" s="78">
        <v>1</v>
      </c>
      <c r="E2945" s="79">
        <v>80.41</v>
      </c>
      <c r="F2945" s="70">
        <v>80.41</v>
      </c>
      <c r="G2945" s="320"/>
      <c r="H2945" s="79">
        <v>1.88</v>
      </c>
      <c r="I2945" s="79">
        <v>78.53</v>
      </c>
      <c r="J2945" s="79">
        <v>80.41</v>
      </c>
      <c r="K2945" s="79">
        <v>0</v>
      </c>
      <c r="L2945" s="70">
        <v>80.41</v>
      </c>
      <c r="M2945" s="132"/>
      <c r="N2945" s="79">
        <v>1.88</v>
      </c>
      <c r="O2945" s="79">
        <v>78.53</v>
      </c>
      <c r="P2945" s="79">
        <v>80.41</v>
      </c>
      <c r="Q2945" s="136"/>
      <c r="R2945" s="79">
        <v>1.88</v>
      </c>
      <c r="S2945" s="79">
        <v>78.540000000000006</v>
      </c>
      <c r="T2945" s="79">
        <v>80.42</v>
      </c>
      <c r="U2945" s="79">
        <v>0</v>
      </c>
      <c r="V2945" s="189">
        <v>80.42</v>
      </c>
      <c r="X2945" s="79">
        <v>1.88</v>
      </c>
      <c r="Y2945" s="79">
        <v>78.540000000000006</v>
      </c>
      <c r="Z2945" s="79">
        <v>80.42</v>
      </c>
      <c r="AA2945" s="255">
        <v>-1.0000000000005116E-2</v>
      </c>
      <c r="AC2945" s="254"/>
    </row>
    <row r="2946" spans="1:29" ht="12">
      <c r="A2946" s="67" t="s">
        <v>16215</v>
      </c>
      <c r="B2946" s="65" t="s">
        <v>16216</v>
      </c>
      <c r="C2946" s="71" t="s">
        <v>103</v>
      </c>
      <c r="D2946" s="78">
        <v>1</v>
      </c>
      <c r="E2946" s="79">
        <v>139.59</v>
      </c>
      <c r="F2946" s="70">
        <v>139.59</v>
      </c>
      <c r="G2946" s="320"/>
      <c r="H2946" s="79">
        <v>0</v>
      </c>
      <c r="I2946" s="79">
        <v>139.59</v>
      </c>
      <c r="J2946" s="79">
        <v>139.59</v>
      </c>
      <c r="K2946" s="79">
        <v>0</v>
      </c>
      <c r="L2946" s="70">
        <v>139.59</v>
      </c>
      <c r="M2946" s="132"/>
      <c r="N2946" s="79"/>
      <c r="O2946" s="79">
        <v>139.59</v>
      </c>
      <c r="P2946" s="79">
        <v>139.59</v>
      </c>
      <c r="Q2946" s="136"/>
      <c r="R2946" s="79"/>
      <c r="S2946" s="79">
        <v>139.58000000000001</v>
      </c>
      <c r="T2946" s="79">
        <v>139.58000000000001</v>
      </c>
      <c r="U2946" s="79">
        <v>0</v>
      </c>
      <c r="V2946" s="189">
        <v>139.58000000000001</v>
      </c>
      <c r="X2946" s="79"/>
      <c r="Y2946" s="79">
        <v>139.58000000000001</v>
      </c>
      <c r="Z2946" s="79">
        <v>139.58000000000001</v>
      </c>
      <c r="AA2946" s="255">
        <v>9.9999999999909051E-3</v>
      </c>
      <c r="AC2946" s="254"/>
    </row>
    <row r="2947" spans="1:29" ht="12">
      <c r="A2947" s="67" t="s">
        <v>16217</v>
      </c>
      <c r="B2947" s="65" t="s">
        <v>16218</v>
      </c>
      <c r="C2947" s="71" t="s">
        <v>103</v>
      </c>
      <c r="D2947" s="78">
        <v>1</v>
      </c>
      <c r="E2947" s="79">
        <v>33.03</v>
      </c>
      <c r="F2947" s="70">
        <v>33.03</v>
      </c>
      <c r="G2947" s="320"/>
      <c r="H2947" s="79">
        <v>26.21</v>
      </c>
      <c r="I2947" s="79">
        <v>6.82</v>
      </c>
      <c r="J2947" s="79">
        <v>33.03</v>
      </c>
      <c r="K2947" s="79">
        <v>0</v>
      </c>
      <c r="L2947" s="70">
        <v>33.03</v>
      </c>
      <c r="M2947" s="132"/>
      <c r="N2947" s="79">
        <v>26.21</v>
      </c>
      <c r="O2947" s="79">
        <v>6.82</v>
      </c>
      <c r="P2947" s="79">
        <v>33.03</v>
      </c>
      <c r="Q2947" s="136"/>
      <c r="R2947" s="79">
        <v>26.21</v>
      </c>
      <c r="S2947" s="79">
        <v>6.81</v>
      </c>
      <c r="T2947" s="79">
        <v>33.020000000000003</v>
      </c>
      <c r="U2947" s="79">
        <v>0</v>
      </c>
      <c r="V2947" s="189">
        <v>33.020000000000003</v>
      </c>
      <c r="X2947" s="79">
        <v>26.21</v>
      </c>
      <c r="Y2947" s="79">
        <v>6.81</v>
      </c>
      <c r="Z2947" s="79">
        <v>33.020000000000003</v>
      </c>
      <c r="AA2947" s="255">
        <v>9.9999999999980105E-3</v>
      </c>
      <c r="AC2947" s="254"/>
    </row>
    <row r="2948" spans="1:29" ht="12">
      <c r="A2948" s="67" t="s">
        <v>16219</v>
      </c>
      <c r="B2948" s="65" t="s">
        <v>16220</v>
      </c>
      <c r="C2948" s="71" t="s">
        <v>103</v>
      </c>
      <c r="D2948" s="78">
        <v>1</v>
      </c>
      <c r="E2948" s="79">
        <v>13.94</v>
      </c>
      <c r="F2948" s="70">
        <v>13.94</v>
      </c>
      <c r="G2948" s="320"/>
      <c r="H2948" s="79">
        <v>7.12</v>
      </c>
      <c r="I2948" s="79">
        <v>6.82</v>
      </c>
      <c r="J2948" s="79">
        <v>13.940000000000001</v>
      </c>
      <c r="K2948" s="79">
        <v>0</v>
      </c>
      <c r="L2948" s="70">
        <v>13.940000000000001</v>
      </c>
      <c r="M2948" s="132"/>
      <c r="N2948" s="79">
        <v>7.12</v>
      </c>
      <c r="O2948" s="79">
        <v>6.82</v>
      </c>
      <c r="P2948" s="79">
        <v>13.940000000000001</v>
      </c>
      <c r="Q2948" s="136"/>
      <c r="R2948" s="79">
        <v>7.12</v>
      </c>
      <c r="S2948" s="79">
        <v>6.81</v>
      </c>
      <c r="T2948" s="79">
        <v>13.93</v>
      </c>
      <c r="U2948" s="79">
        <v>0</v>
      </c>
      <c r="V2948" s="189">
        <v>13.93</v>
      </c>
      <c r="X2948" s="79">
        <v>7.12</v>
      </c>
      <c r="Y2948" s="79">
        <v>6.81</v>
      </c>
      <c r="Z2948" s="79">
        <v>13.93</v>
      </c>
      <c r="AA2948" s="255">
        <v>9.9999999999997868E-3</v>
      </c>
      <c r="AC2948" s="254"/>
    </row>
    <row r="2949" spans="1:29" ht="12">
      <c r="A2949" s="67" t="s">
        <v>16221</v>
      </c>
      <c r="B2949" s="65" t="s">
        <v>16222</v>
      </c>
      <c r="C2949" s="71" t="s">
        <v>103</v>
      </c>
      <c r="D2949" s="78">
        <v>1</v>
      </c>
      <c r="E2949" s="79">
        <v>136.95000000000002</v>
      </c>
      <c r="F2949" s="70">
        <v>136.94999999999999</v>
      </c>
      <c r="G2949" s="320"/>
      <c r="H2949" s="79">
        <v>133.09</v>
      </c>
      <c r="I2949" s="79">
        <v>3.86</v>
      </c>
      <c r="J2949" s="79">
        <v>136.95000000000002</v>
      </c>
      <c r="K2949" s="79">
        <v>0</v>
      </c>
      <c r="L2949" s="70">
        <v>136.95000000000002</v>
      </c>
      <c r="M2949" s="132"/>
      <c r="N2949" s="79">
        <v>133.09</v>
      </c>
      <c r="O2949" s="79">
        <v>3.86</v>
      </c>
      <c r="P2949" s="79">
        <v>136.95000000000002</v>
      </c>
      <c r="Q2949" s="136"/>
      <c r="R2949" s="79">
        <v>133.09</v>
      </c>
      <c r="S2949" s="79">
        <v>3.86</v>
      </c>
      <c r="T2949" s="79">
        <v>136.95000000000002</v>
      </c>
      <c r="U2949" s="79">
        <v>0</v>
      </c>
      <c r="V2949" s="189">
        <v>136.95000000000002</v>
      </c>
      <c r="X2949" s="79">
        <v>133.09</v>
      </c>
      <c r="Y2949" s="79">
        <v>3.86</v>
      </c>
      <c r="Z2949" s="79">
        <v>136.94999999999999</v>
      </c>
      <c r="AA2949" s="255">
        <v>0</v>
      </c>
      <c r="AC2949" s="254"/>
    </row>
    <row r="2950" spans="1:29" ht="12">
      <c r="A2950" s="67" t="s">
        <v>16223</v>
      </c>
      <c r="B2950" s="65" t="s">
        <v>16224</v>
      </c>
      <c r="C2950" s="71" t="s">
        <v>103</v>
      </c>
      <c r="D2950" s="78">
        <v>1</v>
      </c>
      <c r="E2950" s="79">
        <v>52.13</v>
      </c>
      <c r="F2950" s="70">
        <v>52.13</v>
      </c>
      <c r="G2950" s="320"/>
      <c r="H2950" s="79">
        <v>49.85</v>
      </c>
      <c r="I2950" s="79">
        <v>2.2800000000000002</v>
      </c>
      <c r="J2950" s="79">
        <v>52.13</v>
      </c>
      <c r="K2950" s="79">
        <v>0</v>
      </c>
      <c r="L2950" s="70">
        <v>52.13</v>
      </c>
      <c r="M2950" s="132"/>
      <c r="N2950" s="79">
        <v>49.85</v>
      </c>
      <c r="O2950" s="79">
        <v>2.2800000000000002</v>
      </c>
      <c r="P2950" s="79">
        <v>52.13</v>
      </c>
      <c r="Q2950" s="136"/>
      <c r="R2950" s="79">
        <v>49.85</v>
      </c>
      <c r="S2950" s="79">
        <v>2.27</v>
      </c>
      <c r="T2950" s="79">
        <v>52.120000000000005</v>
      </c>
      <c r="U2950" s="79">
        <v>0</v>
      </c>
      <c r="V2950" s="189">
        <v>52.120000000000005</v>
      </c>
      <c r="X2950" s="79">
        <v>49.85</v>
      </c>
      <c r="Y2950" s="79">
        <v>2.27</v>
      </c>
      <c r="Z2950" s="79">
        <v>52.12</v>
      </c>
      <c r="AA2950" s="255">
        <v>1.0000000000005116E-2</v>
      </c>
      <c r="AC2950" s="254"/>
    </row>
    <row r="2951" spans="1:29" ht="12">
      <c r="A2951" s="67" t="s">
        <v>16225</v>
      </c>
      <c r="B2951" s="65" t="s">
        <v>16226</v>
      </c>
      <c r="C2951" s="71" t="s">
        <v>103</v>
      </c>
      <c r="D2951" s="78">
        <v>1</v>
      </c>
      <c r="E2951" s="79">
        <v>87.67</v>
      </c>
      <c r="F2951" s="70">
        <v>87.67</v>
      </c>
      <c r="G2951" s="320"/>
      <c r="H2951" s="79">
        <v>80.849999999999994</v>
      </c>
      <c r="I2951" s="79">
        <v>6.82</v>
      </c>
      <c r="J2951" s="79">
        <v>87.669999999999987</v>
      </c>
      <c r="K2951" s="79">
        <v>0</v>
      </c>
      <c r="L2951" s="70">
        <v>87.669999999999987</v>
      </c>
      <c r="M2951" s="132"/>
      <c r="N2951" s="79">
        <v>80.849999999999994</v>
      </c>
      <c r="O2951" s="79">
        <v>6.82</v>
      </c>
      <c r="P2951" s="79">
        <v>87.669999999999987</v>
      </c>
      <c r="Q2951" s="136"/>
      <c r="R2951" s="79">
        <v>80.849999999999994</v>
      </c>
      <c r="S2951" s="79">
        <v>6.81</v>
      </c>
      <c r="T2951" s="79">
        <v>87.66</v>
      </c>
      <c r="U2951" s="79">
        <v>0</v>
      </c>
      <c r="V2951" s="189">
        <v>87.66</v>
      </c>
      <c r="X2951" s="79">
        <v>80.849999999999994</v>
      </c>
      <c r="Y2951" s="79">
        <v>6.81</v>
      </c>
      <c r="Z2951" s="79">
        <v>87.66</v>
      </c>
      <c r="AA2951" s="255">
        <v>1.0000000000005116E-2</v>
      </c>
      <c r="AC2951" s="254"/>
    </row>
    <row r="2952" spans="1:29" ht="12">
      <c r="A2952" s="67" t="s">
        <v>16227</v>
      </c>
      <c r="B2952" s="65" t="s">
        <v>16228</v>
      </c>
      <c r="C2952" s="71" t="s">
        <v>103</v>
      </c>
      <c r="D2952" s="78">
        <v>1</v>
      </c>
      <c r="E2952" s="79">
        <v>59.48</v>
      </c>
      <c r="F2952" s="70">
        <v>59.48</v>
      </c>
      <c r="G2952" s="320"/>
      <c r="H2952" s="79">
        <v>55.62</v>
      </c>
      <c r="I2952" s="79">
        <v>3.86</v>
      </c>
      <c r="J2952" s="79">
        <v>59.48</v>
      </c>
      <c r="K2952" s="79">
        <v>0</v>
      </c>
      <c r="L2952" s="70">
        <v>59.48</v>
      </c>
      <c r="M2952" s="132"/>
      <c r="N2952" s="79">
        <v>55.62</v>
      </c>
      <c r="O2952" s="79">
        <v>3.86</v>
      </c>
      <c r="P2952" s="79">
        <v>59.48</v>
      </c>
      <c r="Q2952" s="136"/>
      <c r="R2952" s="79">
        <v>55.62</v>
      </c>
      <c r="S2952" s="79">
        <v>3.86</v>
      </c>
      <c r="T2952" s="79">
        <v>59.48</v>
      </c>
      <c r="U2952" s="79">
        <v>0</v>
      </c>
      <c r="V2952" s="189">
        <v>59.48</v>
      </c>
      <c r="X2952" s="79">
        <v>55.62</v>
      </c>
      <c r="Y2952" s="79">
        <v>3.86</v>
      </c>
      <c r="Z2952" s="79">
        <v>59.48</v>
      </c>
      <c r="AA2952" s="255">
        <v>0</v>
      </c>
      <c r="AC2952" s="254"/>
    </row>
    <row r="2953" spans="1:29" ht="12">
      <c r="A2953" s="67" t="s">
        <v>16229</v>
      </c>
      <c r="B2953" s="65" t="s">
        <v>16230</v>
      </c>
      <c r="C2953" s="71" t="s">
        <v>103</v>
      </c>
      <c r="D2953" s="78">
        <v>1</v>
      </c>
      <c r="E2953" s="79">
        <v>53.22</v>
      </c>
      <c r="F2953" s="70">
        <v>53.22</v>
      </c>
      <c r="G2953" s="320"/>
      <c r="H2953" s="79">
        <v>49.36</v>
      </c>
      <c r="I2953" s="79">
        <v>3.86</v>
      </c>
      <c r="J2953" s="79">
        <v>53.22</v>
      </c>
      <c r="K2953" s="79">
        <v>0</v>
      </c>
      <c r="L2953" s="70">
        <v>53.22</v>
      </c>
      <c r="M2953" s="132"/>
      <c r="N2953" s="79">
        <v>49.36</v>
      </c>
      <c r="O2953" s="79">
        <v>3.86</v>
      </c>
      <c r="P2953" s="79">
        <v>53.22</v>
      </c>
      <c r="Q2953" s="136"/>
      <c r="R2953" s="79">
        <v>49.36</v>
      </c>
      <c r="S2953" s="79">
        <v>3.86</v>
      </c>
      <c r="T2953" s="79">
        <v>53.22</v>
      </c>
      <c r="U2953" s="79">
        <v>0</v>
      </c>
      <c r="V2953" s="189">
        <v>53.22</v>
      </c>
      <c r="X2953" s="79">
        <v>49.36</v>
      </c>
      <c r="Y2953" s="79">
        <v>3.86</v>
      </c>
      <c r="Z2953" s="79">
        <v>53.22</v>
      </c>
      <c r="AA2953" s="255">
        <v>0</v>
      </c>
      <c r="AC2953" s="254"/>
    </row>
    <row r="2954" spans="1:29" ht="12">
      <c r="A2954" s="67" t="s">
        <v>16231</v>
      </c>
      <c r="B2954" s="65" t="s">
        <v>16232</v>
      </c>
      <c r="C2954" s="71" t="s">
        <v>103</v>
      </c>
      <c r="D2954" s="78">
        <v>1</v>
      </c>
      <c r="E2954" s="79">
        <v>127.54</v>
      </c>
      <c r="F2954" s="70">
        <v>127.54</v>
      </c>
      <c r="G2954" s="320"/>
      <c r="H2954" s="79">
        <v>77.28</v>
      </c>
      <c r="I2954" s="79">
        <v>50.260000000000005</v>
      </c>
      <c r="J2954" s="79">
        <v>127.54</v>
      </c>
      <c r="K2954" s="79">
        <v>0</v>
      </c>
      <c r="L2954" s="70">
        <v>127.54</v>
      </c>
      <c r="M2954" s="132"/>
      <c r="N2954" s="79">
        <v>77.28</v>
      </c>
      <c r="O2954" s="79">
        <v>50.260000000000005</v>
      </c>
      <c r="P2954" s="79">
        <v>127.54</v>
      </c>
      <c r="Q2954" s="136"/>
      <c r="R2954" s="79">
        <v>77.28</v>
      </c>
      <c r="S2954" s="79">
        <v>50.25</v>
      </c>
      <c r="T2954" s="79">
        <v>127.53</v>
      </c>
      <c r="U2954" s="79">
        <v>0</v>
      </c>
      <c r="V2954" s="189">
        <v>127.53</v>
      </c>
      <c r="X2954" s="79">
        <v>77.28</v>
      </c>
      <c r="Y2954" s="79">
        <v>50.25</v>
      </c>
      <c r="Z2954" s="79">
        <v>127.53</v>
      </c>
      <c r="AA2954" s="255">
        <v>1.0000000000005116E-2</v>
      </c>
      <c r="AC2954" s="254"/>
    </row>
    <row r="2955" spans="1:29" ht="12">
      <c r="A2955" s="67" t="s">
        <v>16233</v>
      </c>
      <c r="B2955" s="65" t="s">
        <v>16234</v>
      </c>
      <c r="C2955" s="71" t="s">
        <v>103</v>
      </c>
      <c r="D2955" s="78">
        <v>1</v>
      </c>
      <c r="E2955" s="79">
        <v>152.49999999999997</v>
      </c>
      <c r="F2955" s="70">
        <v>152.5</v>
      </c>
      <c r="G2955" s="320"/>
      <c r="H2955" s="79">
        <v>124.55999999999999</v>
      </c>
      <c r="I2955" s="79">
        <v>27.939999999999998</v>
      </c>
      <c r="J2955" s="79">
        <v>152.5</v>
      </c>
      <c r="K2955" s="79">
        <v>0</v>
      </c>
      <c r="L2955" s="70">
        <v>152.5</v>
      </c>
      <c r="M2955" s="132"/>
      <c r="N2955" s="79">
        <v>124.55999999999999</v>
      </c>
      <c r="O2955" s="79">
        <v>27.939999999999998</v>
      </c>
      <c r="P2955" s="79">
        <v>152.5</v>
      </c>
      <c r="Q2955" s="136"/>
      <c r="R2955" s="79">
        <v>124.56</v>
      </c>
      <c r="S2955" s="79">
        <v>27.92</v>
      </c>
      <c r="T2955" s="79">
        <v>152.48000000000002</v>
      </c>
      <c r="U2955" s="79">
        <v>0</v>
      </c>
      <c r="V2955" s="189">
        <v>152.48000000000002</v>
      </c>
      <c r="X2955" s="79">
        <v>124.56</v>
      </c>
      <c r="Y2955" s="79">
        <v>27.92</v>
      </c>
      <c r="Z2955" s="79">
        <v>152.47999999999999</v>
      </c>
      <c r="AA2955" s="255">
        <v>2.0000000000010232E-2</v>
      </c>
      <c r="AC2955" s="254"/>
    </row>
    <row r="2956" spans="1:29" ht="12">
      <c r="A2956" s="67" t="s">
        <v>16235</v>
      </c>
      <c r="B2956" s="65" t="s">
        <v>16236</v>
      </c>
      <c r="C2956" s="71" t="s">
        <v>103</v>
      </c>
      <c r="D2956" s="78">
        <v>1</v>
      </c>
      <c r="E2956" s="79">
        <v>195.22</v>
      </c>
      <c r="F2956" s="70">
        <v>195.22</v>
      </c>
      <c r="G2956" s="320"/>
      <c r="H2956" s="79">
        <v>167.28</v>
      </c>
      <c r="I2956" s="79">
        <v>27.939999999999998</v>
      </c>
      <c r="J2956" s="79">
        <v>195.22</v>
      </c>
      <c r="K2956" s="79">
        <v>0</v>
      </c>
      <c r="L2956" s="70">
        <v>195.22</v>
      </c>
      <c r="M2956" s="132"/>
      <c r="N2956" s="79">
        <v>167.28</v>
      </c>
      <c r="O2956" s="79">
        <v>27.939999999999998</v>
      </c>
      <c r="P2956" s="79">
        <v>195.22</v>
      </c>
      <c r="Q2956" s="136"/>
      <c r="R2956" s="79">
        <v>167.28</v>
      </c>
      <c r="S2956" s="79">
        <v>27.92</v>
      </c>
      <c r="T2956" s="79">
        <v>195.2</v>
      </c>
      <c r="U2956" s="79">
        <v>0</v>
      </c>
      <c r="V2956" s="189">
        <v>195.2</v>
      </c>
      <c r="X2956" s="79">
        <v>167.28</v>
      </c>
      <c r="Y2956" s="79">
        <v>27.92</v>
      </c>
      <c r="Z2956" s="79">
        <v>195.2</v>
      </c>
      <c r="AA2956" s="255">
        <v>2.0000000000010232E-2</v>
      </c>
      <c r="AC2956" s="254"/>
    </row>
    <row r="2957" spans="1:29" ht="12">
      <c r="A2957" s="67" t="s">
        <v>16237</v>
      </c>
      <c r="B2957" s="65" t="s">
        <v>16238</v>
      </c>
      <c r="C2957" s="71" t="s">
        <v>103</v>
      </c>
      <c r="D2957" s="78">
        <v>1</v>
      </c>
      <c r="E2957" s="79">
        <v>39.81</v>
      </c>
      <c r="F2957" s="70">
        <v>39.81</v>
      </c>
      <c r="G2957" s="320"/>
      <c r="H2957" s="79">
        <v>32.99</v>
      </c>
      <c r="I2957" s="79">
        <v>6.82</v>
      </c>
      <c r="J2957" s="79">
        <v>39.81</v>
      </c>
      <c r="K2957" s="79">
        <v>0</v>
      </c>
      <c r="L2957" s="70">
        <v>39.81</v>
      </c>
      <c r="M2957" s="132"/>
      <c r="N2957" s="79">
        <v>32.99</v>
      </c>
      <c r="O2957" s="79">
        <v>6.82</v>
      </c>
      <c r="P2957" s="79">
        <v>39.81</v>
      </c>
      <c r="Q2957" s="136"/>
      <c r="R2957" s="79">
        <v>32.99</v>
      </c>
      <c r="S2957" s="79">
        <v>6.81</v>
      </c>
      <c r="T2957" s="79">
        <v>39.800000000000004</v>
      </c>
      <c r="U2957" s="79">
        <v>0</v>
      </c>
      <c r="V2957" s="189">
        <v>39.800000000000004</v>
      </c>
      <c r="X2957" s="79">
        <v>32.99</v>
      </c>
      <c r="Y2957" s="79">
        <v>6.81</v>
      </c>
      <c r="Z2957" s="79">
        <v>39.799999999999997</v>
      </c>
      <c r="AA2957" s="255">
        <v>1.0000000000005116E-2</v>
      </c>
      <c r="AC2957" s="254"/>
    </row>
    <row r="2958" spans="1:29" ht="12">
      <c r="A2958" s="67" t="s">
        <v>16239</v>
      </c>
      <c r="B2958" s="65" t="s">
        <v>16240</v>
      </c>
      <c r="C2958" s="71" t="s">
        <v>103</v>
      </c>
      <c r="D2958" s="78">
        <v>1</v>
      </c>
      <c r="E2958" s="79">
        <v>44.63</v>
      </c>
      <c r="F2958" s="70">
        <v>44.63</v>
      </c>
      <c r="G2958" s="320"/>
      <c r="H2958" s="79">
        <v>22.310000000000002</v>
      </c>
      <c r="I2958" s="79">
        <v>22.32</v>
      </c>
      <c r="J2958" s="79">
        <v>44.63</v>
      </c>
      <c r="K2958" s="79">
        <v>0</v>
      </c>
      <c r="L2958" s="70">
        <v>44.63</v>
      </c>
      <c r="M2958" s="132"/>
      <c r="N2958" s="79">
        <v>22.310000000000002</v>
      </c>
      <c r="O2958" s="79">
        <v>22.32</v>
      </c>
      <c r="P2958" s="79">
        <v>44.63</v>
      </c>
      <c r="Q2958" s="136"/>
      <c r="R2958" s="79">
        <v>22.31</v>
      </c>
      <c r="S2958" s="79">
        <v>22.33</v>
      </c>
      <c r="T2958" s="79">
        <v>44.64</v>
      </c>
      <c r="U2958" s="79">
        <v>0</v>
      </c>
      <c r="V2958" s="189">
        <v>44.64</v>
      </c>
      <c r="X2958" s="79">
        <v>22.31</v>
      </c>
      <c r="Y2958" s="79">
        <v>22.33</v>
      </c>
      <c r="Z2958" s="79">
        <v>44.64</v>
      </c>
      <c r="AA2958" s="255">
        <v>-9.9999999999980105E-3</v>
      </c>
      <c r="AC2958" s="254"/>
    </row>
    <row r="2959" spans="1:29" ht="12">
      <c r="A2959" s="67" t="s">
        <v>16241</v>
      </c>
      <c r="B2959" s="65" t="s">
        <v>16242</v>
      </c>
      <c r="C2959" s="71" t="s">
        <v>103</v>
      </c>
      <c r="D2959" s="78">
        <v>1</v>
      </c>
      <c r="E2959" s="79">
        <v>36.78</v>
      </c>
      <c r="F2959" s="70">
        <v>36.78</v>
      </c>
      <c r="G2959" s="320"/>
      <c r="H2959" s="79">
        <v>14.459999999999999</v>
      </c>
      <c r="I2959" s="79">
        <v>22.32</v>
      </c>
      <c r="J2959" s="79">
        <v>36.78</v>
      </c>
      <c r="K2959" s="79">
        <v>0</v>
      </c>
      <c r="L2959" s="70">
        <v>36.78</v>
      </c>
      <c r="M2959" s="132"/>
      <c r="N2959" s="79">
        <v>14.459999999999999</v>
      </c>
      <c r="O2959" s="79">
        <v>22.32</v>
      </c>
      <c r="P2959" s="79">
        <v>36.78</v>
      </c>
      <c r="Q2959" s="136"/>
      <c r="R2959" s="79">
        <v>14.46</v>
      </c>
      <c r="S2959" s="79">
        <v>22.33</v>
      </c>
      <c r="T2959" s="79">
        <v>36.79</v>
      </c>
      <c r="U2959" s="79">
        <v>0</v>
      </c>
      <c r="V2959" s="189">
        <v>36.79</v>
      </c>
      <c r="X2959" s="79">
        <v>14.46</v>
      </c>
      <c r="Y2959" s="79">
        <v>22.33</v>
      </c>
      <c r="Z2959" s="79">
        <v>36.79</v>
      </c>
      <c r="AA2959" s="255">
        <v>-9.9999999999980105E-3</v>
      </c>
      <c r="AC2959" s="254"/>
    </row>
    <row r="2960" spans="1:29" ht="12">
      <c r="A2960" s="67" t="s">
        <v>16243</v>
      </c>
      <c r="B2960" s="65" t="s">
        <v>16244</v>
      </c>
      <c r="C2960" s="71" t="s">
        <v>103</v>
      </c>
      <c r="D2960" s="78">
        <v>1</v>
      </c>
      <c r="E2960" s="79">
        <v>41.19</v>
      </c>
      <c r="F2960" s="70">
        <v>41.19</v>
      </c>
      <c r="G2960" s="320"/>
      <c r="H2960" s="79">
        <v>37.79</v>
      </c>
      <c r="I2960" s="79">
        <v>3.4</v>
      </c>
      <c r="J2960" s="79">
        <v>41.19</v>
      </c>
      <c r="K2960" s="79">
        <v>0</v>
      </c>
      <c r="L2960" s="70">
        <v>41.19</v>
      </c>
      <c r="M2960" s="132"/>
      <c r="N2960" s="79">
        <v>37.79</v>
      </c>
      <c r="O2960" s="79">
        <v>3.4</v>
      </c>
      <c r="P2960" s="79">
        <v>41.19</v>
      </c>
      <c r="Q2960" s="136"/>
      <c r="R2960" s="79">
        <v>37.79</v>
      </c>
      <c r="S2960" s="79">
        <v>3.41</v>
      </c>
      <c r="T2960" s="79">
        <v>41.2</v>
      </c>
      <c r="U2960" s="79">
        <v>0</v>
      </c>
      <c r="V2960" s="189">
        <v>41.2</v>
      </c>
      <c r="X2960" s="79">
        <v>37.79</v>
      </c>
      <c r="Y2960" s="79">
        <v>3.41</v>
      </c>
      <c r="Z2960" s="79">
        <v>41.2</v>
      </c>
      <c r="AA2960" s="255">
        <v>-1.0000000000005116E-2</v>
      </c>
      <c r="AC2960" s="254"/>
    </row>
    <row r="2961" spans="1:31" ht="12">
      <c r="A2961" s="67" t="s">
        <v>16245</v>
      </c>
      <c r="B2961" s="65" t="s">
        <v>16246</v>
      </c>
      <c r="C2961" s="71" t="s">
        <v>103</v>
      </c>
      <c r="D2961" s="78">
        <v>1</v>
      </c>
      <c r="E2961" s="79">
        <v>18.759999999999998</v>
      </c>
      <c r="F2961" s="70">
        <v>18.760000000000002</v>
      </c>
      <c r="G2961" s="320"/>
      <c r="H2961" s="79">
        <v>9.27</v>
      </c>
      <c r="I2961" s="79">
        <v>9.49</v>
      </c>
      <c r="J2961" s="79">
        <v>18.759999999999998</v>
      </c>
      <c r="K2961" s="79">
        <v>0</v>
      </c>
      <c r="L2961" s="70">
        <v>18.759999999999998</v>
      </c>
      <c r="M2961" s="132"/>
      <c r="N2961" s="79">
        <v>9.27</v>
      </c>
      <c r="O2961" s="79">
        <v>9.49</v>
      </c>
      <c r="P2961" s="79">
        <v>18.759999999999998</v>
      </c>
      <c r="Q2961" s="136"/>
      <c r="R2961" s="79">
        <v>9.27</v>
      </c>
      <c r="S2961" s="79">
        <v>9.49</v>
      </c>
      <c r="T2961" s="79">
        <v>18.759999999999998</v>
      </c>
      <c r="U2961" s="79">
        <v>0</v>
      </c>
      <c r="V2961" s="189">
        <v>18.759999999999998</v>
      </c>
      <c r="X2961" s="79">
        <v>9.27</v>
      </c>
      <c r="Y2961" s="79">
        <v>9.49</v>
      </c>
      <c r="Z2961" s="79">
        <v>18.760000000000002</v>
      </c>
      <c r="AA2961" s="255">
        <v>0</v>
      </c>
      <c r="AC2961" s="254"/>
    </row>
    <row r="2962" spans="1:31" ht="12">
      <c r="A2962" s="67" t="s">
        <v>16247</v>
      </c>
      <c r="B2962" s="65" t="s">
        <v>16248</v>
      </c>
      <c r="C2962" s="71" t="s">
        <v>103</v>
      </c>
      <c r="D2962" s="78">
        <v>1</v>
      </c>
      <c r="E2962" s="79">
        <v>423.16999999999996</v>
      </c>
      <c r="F2962" s="70">
        <v>423.17</v>
      </c>
      <c r="G2962" s="320"/>
      <c r="H2962" s="79">
        <v>383.89</v>
      </c>
      <c r="I2962" s="79">
        <v>39.28</v>
      </c>
      <c r="J2962" s="79">
        <v>423.16999999999996</v>
      </c>
      <c r="K2962" s="79">
        <v>0</v>
      </c>
      <c r="L2962" s="70">
        <v>423.16999999999996</v>
      </c>
      <c r="M2962" s="132"/>
      <c r="N2962" s="79">
        <v>383.89</v>
      </c>
      <c r="O2962" s="79">
        <v>39.28</v>
      </c>
      <c r="P2962" s="79">
        <v>423.16999999999996</v>
      </c>
      <c r="Q2962" s="136"/>
      <c r="R2962" s="79">
        <v>383.89</v>
      </c>
      <c r="S2962" s="79">
        <v>39.270000000000003</v>
      </c>
      <c r="T2962" s="79">
        <v>423.15999999999997</v>
      </c>
      <c r="U2962" s="79">
        <v>0</v>
      </c>
      <c r="V2962" s="189">
        <v>423.15999999999997</v>
      </c>
      <c r="X2962" s="79">
        <v>383.89</v>
      </c>
      <c r="Y2962" s="79">
        <v>39.270000000000003</v>
      </c>
      <c r="Z2962" s="79">
        <v>423.16</v>
      </c>
      <c r="AA2962" s="255">
        <v>9.9999999999909051E-3</v>
      </c>
      <c r="AC2962" s="254"/>
    </row>
    <row r="2963" spans="1:31" ht="12">
      <c r="A2963" s="67" t="s">
        <v>16249</v>
      </c>
      <c r="B2963" s="65" t="s">
        <v>16250</v>
      </c>
      <c r="C2963" s="71" t="s">
        <v>103</v>
      </c>
      <c r="D2963" s="78">
        <v>1</v>
      </c>
      <c r="E2963" s="79">
        <v>10.02</v>
      </c>
      <c r="F2963" s="70">
        <v>10.02</v>
      </c>
      <c r="G2963" s="320"/>
      <c r="H2963" s="79">
        <v>7.74</v>
      </c>
      <c r="I2963" s="79">
        <v>2.2800000000000002</v>
      </c>
      <c r="J2963" s="79">
        <v>10.02</v>
      </c>
      <c r="K2963" s="79">
        <v>0</v>
      </c>
      <c r="L2963" s="70">
        <v>10.02</v>
      </c>
      <c r="M2963" s="132"/>
      <c r="N2963" s="79">
        <v>7.74</v>
      </c>
      <c r="O2963" s="79">
        <v>2.2800000000000002</v>
      </c>
      <c r="P2963" s="79">
        <v>10.02</v>
      </c>
      <c r="Q2963" s="136"/>
      <c r="R2963" s="79">
        <v>7.74</v>
      </c>
      <c r="S2963" s="79">
        <v>2.27</v>
      </c>
      <c r="T2963" s="79">
        <v>10.01</v>
      </c>
      <c r="U2963" s="79">
        <v>0</v>
      </c>
      <c r="V2963" s="189">
        <v>10.01</v>
      </c>
      <c r="X2963" s="79">
        <v>7.74</v>
      </c>
      <c r="Y2963" s="79">
        <v>2.27</v>
      </c>
      <c r="Z2963" s="79">
        <v>10.01</v>
      </c>
      <c r="AA2963" s="255">
        <v>9.9999999999997868E-3</v>
      </c>
      <c r="AC2963" s="254"/>
    </row>
    <row r="2964" spans="1:31" ht="12">
      <c r="A2964" s="67" t="s">
        <v>16251</v>
      </c>
      <c r="B2964" s="65" t="s">
        <v>16252</v>
      </c>
      <c r="C2964" s="71" t="s">
        <v>103</v>
      </c>
      <c r="D2964" s="78">
        <v>1</v>
      </c>
      <c r="E2964" s="79">
        <v>74.34</v>
      </c>
      <c r="F2964" s="70">
        <v>74.34</v>
      </c>
      <c r="G2964" s="320"/>
      <c r="H2964" s="79">
        <v>72.06</v>
      </c>
      <c r="I2964" s="79">
        <v>2.2800000000000002</v>
      </c>
      <c r="J2964" s="79">
        <v>74.34</v>
      </c>
      <c r="K2964" s="79">
        <v>0</v>
      </c>
      <c r="L2964" s="70">
        <v>74.34</v>
      </c>
      <c r="M2964" s="132"/>
      <c r="N2964" s="79">
        <v>72.06</v>
      </c>
      <c r="O2964" s="79">
        <v>2.2800000000000002</v>
      </c>
      <c r="P2964" s="79">
        <v>74.34</v>
      </c>
      <c r="Q2964" s="136"/>
      <c r="R2964" s="79">
        <v>72.06</v>
      </c>
      <c r="S2964" s="79">
        <v>2.27</v>
      </c>
      <c r="T2964" s="79">
        <v>74.33</v>
      </c>
      <c r="U2964" s="79">
        <v>0</v>
      </c>
      <c r="V2964" s="189">
        <v>74.33</v>
      </c>
      <c r="X2964" s="79">
        <v>72.06</v>
      </c>
      <c r="Y2964" s="79">
        <v>2.27</v>
      </c>
      <c r="Z2964" s="79">
        <v>74.33</v>
      </c>
      <c r="AA2964" s="255">
        <v>1.0000000000005116E-2</v>
      </c>
      <c r="AC2964" s="254"/>
    </row>
    <row r="2965" spans="1:31" ht="12">
      <c r="A2965" s="67" t="s">
        <v>16253</v>
      </c>
      <c r="B2965" s="65" t="s">
        <v>16254</v>
      </c>
      <c r="C2965" s="71" t="s">
        <v>103</v>
      </c>
      <c r="D2965" s="78">
        <v>1</v>
      </c>
      <c r="E2965" s="79">
        <v>100.3</v>
      </c>
      <c r="F2965" s="70">
        <v>100.3</v>
      </c>
      <c r="G2965" s="320"/>
      <c r="H2965" s="79">
        <v>89.14</v>
      </c>
      <c r="I2965" s="79">
        <v>11.16</v>
      </c>
      <c r="J2965" s="79">
        <v>100.3</v>
      </c>
      <c r="K2965" s="79">
        <v>0</v>
      </c>
      <c r="L2965" s="70">
        <v>100.3</v>
      </c>
      <c r="M2965" s="132"/>
      <c r="N2965" s="79">
        <v>89.14</v>
      </c>
      <c r="O2965" s="79">
        <v>11.16</v>
      </c>
      <c r="P2965" s="79">
        <v>100.3</v>
      </c>
      <c r="Q2965" s="136"/>
      <c r="R2965" s="79">
        <v>89.14</v>
      </c>
      <c r="S2965" s="79">
        <v>11.16</v>
      </c>
      <c r="T2965" s="79">
        <v>100.3</v>
      </c>
      <c r="U2965" s="79">
        <v>0</v>
      </c>
      <c r="V2965" s="189">
        <v>100.3</v>
      </c>
      <c r="X2965" s="79">
        <v>89.14</v>
      </c>
      <c r="Y2965" s="79">
        <v>11.16</v>
      </c>
      <c r="Z2965" s="79">
        <v>100.3</v>
      </c>
      <c r="AA2965" s="255">
        <v>0</v>
      </c>
      <c r="AC2965" s="254"/>
    </row>
    <row r="2966" spans="1:31" ht="12">
      <c r="A2966" s="67" t="s">
        <v>16255</v>
      </c>
      <c r="B2966" s="65" t="s">
        <v>16256</v>
      </c>
      <c r="C2966" s="71" t="s">
        <v>103</v>
      </c>
      <c r="D2966" s="78">
        <v>1</v>
      </c>
      <c r="E2966" s="79">
        <v>47.45</v>
      </c>
      <c r="F2966" s="70">
        <v>47.45</v>
      </c>
      <c r="G2966" s="320"/>
      <c r="H2966" s="79">
        <v>36.29</v>
      </c>
      <c r="I2966" s="79">
        <v>11.16</v>
      </c>
      <c r="J2966" s="79">
        <v>47.45</v>
      </c>
      <c r="K2966" s="79">
        <v>0</v>
      </c>
      <c r="L2966" s="70">
        <v>47.45</v>
      </c>
      <c r="M2966" s="132"/>
      <c r="N2966" s="79">
        <v>36.29</v>
      </c>
      <c r="O2966" s="79">
        <v>11.16</v>
      </c>
      <c r="P2966" s="79">
        <v>47.45</v>
      </c>
      <c r="Q2966" s="136"/>
      <c r="R2966" s="79">
        <v>36.29</v>
      </c>
      <c r="S2966" s="79">
        <v>11.16</v>
      </c>
      <c r="T2966" s="79">
        <v>47.45</v>
      </c>
      <c r="U2966" s="79">
        <v>0</v>
      </c>
      <c r="V2966" s="189">
        <v>47.45</v>
      </c>
      <c r="X2966" s="79">
        <v>36.29</v>
      </c>
      <c r="Y2966" s="79">
        <v>11.16</v>
      </c>
      <c r="Z2966" s="79">
        <v>47.45</v>
      </c>
      <c r="AA2966" s="255">
        <v>0</v>
      </c>
      <c r="AC2966" s="254"/>
    </row>
    <row r="2967" spans="1:31" ht="12">
      <c r="A2967" s="489" t="s">
        <v>16257</v>
      </c>
      <c r="B2967" s="490" t="s">
        <v>16258</v>
      </c>
      <c r="C2967" s="491"/>
      <c r="D2967" s="492"/>
      <c r="E2967" s="79"/>
      <c r="F2967" s="63"/>
      <c r="G2967" s="320"/>
      <c r="H2967" s="79"/>
      <c r="I2967" s="79"/>
      <c r="J2967" s="79"/>
      <c r="K2967" s="79"/>
      <c r="L2967" s="70"/>
      <c r="M2967" s="132"/>
      <c r="N2967" s="79"/>
      <c r="O2967" s="79"/>
      <c r="P2967" s="79"/>
      <c r="Q2967" s="136"/>
      <c r="R2967" s="79"/>
      <c r="S2967" s="79"/>
      <c r="T2967" s="79"/>
      <c r="U2967" s="79"/>
      <c r="V2967" s="189"/>
      <c r="X2967" s="79"/>
      <c r="Y2967" s="79"/>
      <c r="Z2967" s="79"/>
      <c r="AA2967" s="255"/>
      <c r="AC2967" s="254"/>
    </row>
    <row r="2968" spans="1:31" ht="12">
      <c r="A2968" s="489" t="s">
        <v>16259</v>
      </c>
      <c r="B2968" s="490" t="s">
        <v>16260</v>
      </c>
      <c r="C2968" s="491"/>
      <c r="D2968" s="492"/>
      <c r="E2968" s="79"/>
      <c r="F2968" s="63"/>
      <c r="G2968" s="320"/>
      <c r="H2968" s="79"/>
      <c r="I2968" s="79"/>
      <c r="J2968" s="79"/>
      <c r="K2968" s="79"/>
      <c r="L2968" s="70"/>
      <c r="M2968" s="132"/>
      <c r="N2968" s="79"/>
      <c r="O2968" s="79"/>
      <c r="P2968" s="79"/>
      <c r="Q2968" s="136"/>
      <c r="R2968" s="79"/>
      <c r="S2968" s="79"/>
      <c r="T2968" s="79"/>
      <c r="U2968" s="79"/>
      <c r="V2968" s="189"/>
      <c r="X2968" s="79"/>
      <c r="Y2968" s="79"/>
      <c r="Z2968" s="79"/>
      <c r="AA2968" s="255"/>
      <c r="AC2968" s="254"/>
    </row>
    <row r="2969" spans="1:31" ht="12">
      <c r="A2969" s="67" t="s">
        <v>16261</v>
      </c>
      <c r="B2969" s="65" t="s">
        <v>16262</v>
      </c>
      <c r="C2969" s="71" t="s">
        <v>103</v>
      </c>
      <c r="D2969" s="78">
        <v>1</v>
      </c>
      <c r="E2969" s="79">
        <v>1556.5400000000002</v>
      </c>
      <c r="F2969" s="70">
        <v>1556.54</v>
      </c>
      <c r="G2969" s="320"/>
      <c r="H2969" s="79">
        <v>869.58999999999992</v>
      </c>
      <c r="I2969" s="79">
        <v>686.95</v>
      </c>
      <c r="J2969" s="79">
        <v>1556.54</v>
      </c>
      <c r="K2969" s="79">
        <v>0</v>
      </c>
      <c r="L2969" s="70">
        <v>1556.54</v>
      </c>
      <c r="M2969" s="132"/>
      <c r="N2969" s="79">
        <v>869.58999999999992</v>
      </c>
      <c r="O2969" s="79">
        <v>686.95</v>
      </c>
      <c r="P2969" s="79">
        <v>1556.54</v>
      </c>
      <c r="Q2969" s="136"/>
      <c r="R2969" s="79">
        <v>869.59</v>
      </c>
      <c r="S2969" s="79">
        <v>686.98</v>
      </c>
      <c r="T2969" s="79">
        <v>1556.5700000000002</v>
      </c>
      <c r="U2969" s="79">
        <v>0</v>
      </c>
      <c r="V2969" s="189">
        <v>1556.5700000000002</v>
      </c>
      <c r="X2969" s="79">
        <v>869.59</v>
      </c>
      <c r="Y2969" s="79">
        <v>686.98</v>
      </c>
      <c r="Z2969" s="79">
        <v>1556.57</v>
      </c>
      <c r="AA2969" s="255">
        <v>-2.9999999999972715E-2</v>
      </c>
      <c r="AC2969" s="254"/>
    </row>
    <row r="2970" spans="1:31" ht="12">
      <c r="A2970" s="67" t="s">
        <v>16263</v>
      </c>
      <c r="B2970" s="65" t="s">
        <v>16264</v>
      </c>
      <c r="C2970" s="71" t="s">
        <v>103</v>
      </c>
      <c r="D2970" s="78">
        <v>1</v>
      </c>
      <c r="E2970" s="79">
        <v>1593.3000000000002</v>
      </c>
      <c r="F2970" s="70">
        <v>1593.3</v>
      </c>
      <c r="G2970" s="320"/>
      <c r="H2970" s="79">
        <v>906.35</v>
      </c>
      <c r="I2970" s="79">
        <v>686.95</v>
      </c>
      <c r="J2970" s="79">
        <v>1593.3000000000002</v>
      </c>
      <c r="K2970" s="79">
        <v>0</v>
      </c>
      <c r="L2970" s="70">
        <v>1593.3000000000002</v>
      </c>
      <c r="M2970" s="132"/>
      <c r="N2970" s="79">
        <v>906.35</v>
      </c>
      <c r="O2970" s="79">
        <v>686.95</v>
      </c>
      <c r="P2970" s="79">
        <v>1593.3000000000002</v>
      </c>
      <c r="Q2970" s="136"/>
      <c r="R2970" s="79">
        <v>906.35</v>
      </c>
      <c r="S2970" s="79">
        <v>686.98</v>
      </c>
      <c r="T2970" s="79">
        <v>1593.33</v>
      </c>
      <c r="U2970" s="79">
        <v>0</v>
      </c>
      <c r="V2970" s="189">
        <v>1593.33</v>
      </c>
      <c r="X2970" s="79">
        <v>906.35</v>
      </c>
      <c r="Y2970" s="79">
        <v>686.98</v>
      </c>
      <c r="Z2970" s="79">
        <v>1593.33</v>
      </c>
      <c r="AA2970" s="255">
        <v>-2.9999999999972715E-2</v>
      </c>
      <c r="AC2970" s="254"/>
      <c r="AD2970" s="69"/>
      <c r="AE2970" s="69"/>
    </row>
    <row r="2971" spans="1:31" ht="12">
      <c r="A2971" s="67" t="s">
        <v>16265</v>
      </c>
      <c r="B2971" s="65" t="s">
        <v>16266</v>
      </c>
      <c r="C2971" s="71" t="s">
        <v>103</v>
      </c>
      <c r="D2971" s="78">
        <v>1</v>
      </c>
      <c r="E2971" s="79">
        <v>3793.76</v>
      </c>
      <c r="F2971" s="70">
        <v>3793.76</v>
      </c>
      <c r="G2971" s="320"/>
      <c r="H2971" s="79">
        <v>2582.3800000000006</v>
      </c>
      <c r="I2971" s="79">
        <v>1211.3800000000001</v>
      </c>
      <c r="J2971" s="79">
        <v>3793.7600000000007</v>
      </c>
      <c r="K2971" s="79">
        <v>0</v>
      </c>
      <c r="L2971" s="70">
        <v>3793.7600000000007</v>
      </c>
      <c r="M2971" s="132"/>
      <c r="N2971" s="79">
        <v>2582.3800000000006</v>
      </c>
      <c r="O2971" s="79">
        <v>1211.3800000000001</v>
      </c>
      <c r="P2971" s="79">
        <v>3793.7600000000007</v>
      </c>
      <c r="Q2971" s="136"/>
      <c r="R2971" s="79">
        <v>2582.38</v>
      </c>
      <c r="S2971" s="79">
        <v>1211.45</v>
      </c>
      <c r="T2971" s="79">
        <v>3793.83</v>
      </c>
      <c r="U2971" s="79">
        <v>0</v>
      </c>
      <c r="V2971" s="189">
        <v>3793.83</v>
      </c>
      <c r="X2971" s="79">
        <v>2582.38</v>
      </c>
      <c r="Y2971" s="79">
        <v>1211.45</v>
      </c>
      <c r="Z2971" s="79">
        <v>3793.83</v>
      </c>
      <c r="AA2971" s="255">
        <v>-6.9999999999708962E-2</v>
      </c>
      <c r="AC2971" s="254"/>
    </row>
    <row r="2972" spans="1:31" s="69" customFormat="1" ht="12">
      <c r="A2972" s="67" t="s">
        <v>16267</v>
      </c>
      <c r="B2972" s="65" t="s">
        <v>16268</v>
      </c>
      <c r="C2972" s="71" t="s">
        <v>103</v>
      </c>
      <c r="D2972" s="78">
        <v>1</v>
      </c>
      <c r="E2972" s="79">
        <v>3939.7999999999997</v>
      </c>
      <c r="F2972" s="70">
        <v>3939.8</v>
      </c>
      <c r="G2972" s="320"/>
      <c r="H2972" s="79">
        <v>2728.42</v>
      </c>
      <c r="I2972" s="79">
        <v>1211.3800000000001</v>
      </c>
      <c r="J2972" s="79">
        <v>3939.8</v>
      </c>
      <c r="K2972" s="79">
        <v>0</v>
      </c>
      <c r="L2972" s="70">
        <v>3939.8</v>
      </c>
      <c r="M2972" s="132"/>
      <c r="N2972" s="79">
        <v>2728.42</v>
      </c>
      <c r="O2972" s="79">
        <v>1211.3800000000001</v>
      </c>
      <c r="P2972" s="79">
        <v>3939.8</v>
      </c>
      <c r="Q2972" s="136"/>
      <c r="R2972" s="79">
        <v>2728.42</v>
      </c>
      <c r="S2972" s="79">
        <v>1211.45</v>
      </c>
      <c r="T2972" s="79">
        <v>3939.87</v>
      </c>
      <c r="U2972" s="79">
        <v>0</v>
      </c>
      <c r="V2972" s="189">
        <v>3939.87</v>
      </c>
      <c r="W2972" s="61"/>
      <c r="X2972" s="79">
        <v>2728.42</v>
      </c>
      <c r="Y2972" s="79">
        <v>1211.45</v>
      </c>
      <c r="Z2972" s="79">
        <v>3939.87</v>
      </c>
      <c r="AA2972" s="255">
        <v>-6.9999999999708962E-2</v>
      </c>
      <c r="AB2972" s="61"/>
      <c r="AC2972" s="254"/>
      <c r="AD2972" s="236"/>
      <c r="AE2972" s="236"/>
    </row>
    <row r="2973" spans="1:31" ht="12">
      <c r="A2973" s="67" t="s">
        <v>16269</v>
      </c>
      <c r="B2973" s="65" t="s">
        <v>16270</v>
      </c>
      <c r="C2973" s="71" t="s">
        <v>103</v>
      </c>
      <c r="D2973" s="78">
        <v>1</v>
      </c>
      <c r="E2973" s="79">
        <v>4243.05</v>
      </c>
      <c r="F2973" s="70">
        <v>4243.05</v>
      </c>
      <c r="G2973" s="320"/>
      <c r="H2973" s="79">
        <v>3031.67</v>
      </c>
      <c r="I2973" s="79">
        <v>1211.3800000000001</v>
      </c>
      <c r="J2973" s="79">
        <v>4243.05</v>
      </c>
      <c r="K2973" s="79">
        <v>0</v>
      </c>
      <c r="L2973" s="70">
        <v>4243.05</v>
      </c>
      <c r="M2973" s="132"/>
      <c r="N2973" s="79">
        <v>3031.67</v>
      </c>
      <c r="O2973" s="79">
        <v>1211.3800000000001</v>
      </c>
      <c r="P2973" s="79">
        <v>4243.05</v>
      </c>
      <c r="Q2973" s="136"/>
      <c r="R2973" s="79">
        <v>3031.67</v>
      </c>
      <c r="S2973" s="79">
        <v>1211.45</v>
      </c>
      <c r="T2973" s="79">
        <v>4243.12</v>
      </c>
      <c r="U2973" s="79">
        <v>0</v>
      </c>
      <c r="V2973" s="189">
        <v>4243.12</v>
      </c>
      <c r="X2973" s="79">
        <v>3031.67</v>
      </c>
      <c r="Y2973" s="79">
        <v>1211.45</v>
      </c>
      <c r="Z2973" s="79">
        <v>4243.12</v>
      </c>
      <c r="AA2973" s="255">
        <v>-6.9999999999708962E-2</v>
      </c>
      <c r="AC2973" s="254"/>
    </row>
    <row r="2974" spans="1:31" ht="12">
      <c r="A2974" s="67" t="s">
        <v>16271</v>
      </c>
      <c r="B2974" s="65" t="s">
        <v>16272</v>
      </c>
      <c r="C2974" s="71" t="s">
        <v>103</v>
      </c>
      <c r="D2974" s="78">
        <v>1</v>
      </c>
      <c r="E2974" s="79">
        <v>4587.1100000000006</v>
      </c>
      <c r="F2974" s="70">
        <v>4587.1099999999997</v>
      </c>
      <c r="G2974" s="320"/>
      <c r="H2974" s="79">
        <v>3375.7300000000005</v>
      </c>
      <c r="I2974" s="79">
        <v>1211.3800000000001</v>
      </c>
      <c r="J2974" s="79">
        <v>4587.1100000000006</v>
      </c>
      <c r="K2974" s="79">
        <v>0</v>
      </c>
      <c r="L2974" s="70">
        <v>4587.1100000000006</v>
      </c>
      <c r="M2974" s="132"/>
      <c r="N2974" s="79">
        <v>3375.7300000000005</v>
      </c>
      <c r="O2974" s="79">
        <v>1211.3800000000001</v>
      </c>
      <c r="P2974" s="79">
        <v>4587.1100000000006</v>
      </c>
      <c r="Q2974" s="136"/>
      <c r="R2974" s="79">
        <v>3375.73</v>
      </c>
      <c r="S2974" s="79">
        <v>1211.45</v>
      </c>
      <c r="T2974" s="79">
        <v>4587.18</v>
      </c>
      <c r="U2974" s="79">
        <v>0</v>
      </c>
      <c r="V2974" s="189">
        <v>4587.18</v>
      </c>
      <c r="X2974" s="79">
        <v>3375.73</v>
      </c>
      <c r="Y2974" s="79">
        <v>1211.45</v>
      </c>
      <c r="Z2974" s="79">
        <v>4587.18</v>
      </c>
      <c r="AA2974" s="255">
        <v>-7.0000000000618456E-2</v>
      </c>
      <c r="AC2974" s="254"/>
    </row>
    <row r="2975" spans="1:31" ht="12">
      <c r="A2975" s="489" t="s">
        <v>16273</v>
      </c>
      <c r="B2975" s="490" t="s">
        <v>16274</v>
      </c>
      <c r="C2975" s="491"/>
      <c r="D2975" s="492"/>
      <c r="E2975" s="79"/>
      <c r="F2975" s="63"/>
      <c r="G2975" s="320"/>
      <c r="H2975" s="79"/>
      <c r="I2975" s="79"/>
      <c r="J2975" s="79"/>
      <c r="K2975" s="79"/>
      <c r="L2975" s="70"/>
      <c r="M2975" s="132"/>
      <c r="N2975" s="79"/>
      <c r="O2975" s="79"/>
      <c r="P2975" s="79"/>
      <c r="Q2975" s="136"/>
      <c r="R2975" s="79"/>
      <c r="S2975" s="79"/>
      <c r="T2975" s="79"/>
      <c r="U2975" s="79"/>
      <c r="V2975" s="189"/>
      <c r="X2975" s="79"/>
      <c r="Y2975" s="79"/>
      <c r="Z2975" s="79"/>
      <c r="AA2975" s="255"/>
      <c r="AC2975" s="254"/>
      <c r="AD2975" s="61"/>
      <c r="AE2975" s="61"/>
    </row>
    <row r="2976" spans="1:31" ht="12">
      <c r="A2976" s="67" t="s">
        <v>16275</v>
      </c>
      <c r="B2976" s="65" t="s">
        <v>16276</v>
      </c>
      <c r="C2976" s="71" t="s">
        <v>103</v>
      </c>
      <c r="D2976" s="78">
        <v>1</v>
      </c>
      <c r="E2976" s="79">
        <v>3365.75</v>
      </c>
      <c r="F2976" s="70">
        <v>3365.75</v>
      </c>
      <c r="G2976" s="320"/>
      <c r="H2976" s="79">
        <v>2490.0300000000007</v>
      </c>
      <c r="I2976" s="79">
        <v>875.72</v>
      </c>
      <c r="J2976" s="79">
        <v>3365.7500000000009</v>
      </c>
      <c r="K2976" s="79">
        <v>0</v>
      </c>
      <c r="L2976" s="70">
        <v>3365.7500000000009</v>
      </c>
      <c r="M2976" s="132"/>
      <c r="N2976" s="79">
        <v>2490.0300000000007</v>
      </c>
      <c r="O2976" s="79">
        <v>875.72</v>
      </c>
      <c r="P2976" s="79">
        <v>3365.7500000000009</v>
      </c>
      <c r="Q2976" s="136"/>
      <c r="R2976" s="79">
        <v>2490.0300000000002</v>
      </c>
      <c r="S2976" s="79">
        <v>875.72</v>
      </c>
      <c r="T2976" s="79">
        <v>3365.75</v>
      </c>
      <c r="U2976" s="79">
        <v>0</v>
      </c>
      <c r="V2976" s="189">
        <v>3365.75</v>
      </c>
      <c r="X2976" s="79">
        <v>2490.0300000000002</v>
      </c>
      <c r="Y2976" s="79">
        <v>875.72</v>
      </c>
      <c r="Z2976" s="79">
        <v>3365.75</v>
      </c>
      <c r="AA2976" s="255">
        <v>0</v>
      </c>
      <c r="AC2976" s="254"/>
    </row>
    <row r="2977" spans="1:31" s="61" customFormat="1" ht="12">
      <c r="A2977" s="67" t="s">
        <v>16277</v>
      </c>
      <c r="B2977" s="65" t="s">
        <v>16278</v>
      </c>
      <c r="C2977" s="71" t="s">
        <v>103</v>
      </c>
      <c r="D2977" s="78">
        <v>1</v>
      </c>
      <c r="E2977" s="79">
        <v>7686.83</v>
      </c>
      <c r="F2977" s="70">
        <v>7686.83</v>
      </c>
      <c r="G2977" s="320"/>
      <c r="H2977" s="79">
        <v>5816.2800000000007</v>
      </c>
      <c r="I2977" s="79">
        <v>1870.55</v>
      </c>
      <c r="J2977" s="79">
        <v>7686.8300000000008</v>
      </c>
      <c r="K2977" s="79">
        <v>0</v>
      </c>
      <c r="L2977" s="70">
        <v>7686.8300000000008</v>
      </c>
      <c r="M2977" s="132"/>
      <c r="N2977" s="79">
        <v>5816.2800000000007</v>
      </c>
      <c r="O2977" s="79">
        <v>1870.55</v>
      </c>
      <c r="P2977" s="79">
        <v>7686.8300000000008</v>
      </c>
      <c r="Q2977" s="136"/>
      <c r="R2977" s="79">
        <v>5816.28</v>
      </c>
      <c r="S2977" s="79">
        <v>1870.68</v>
      </c>
      <c r="T2977" s="79">
        <v>7686.96</v>
      </c>
      <c r="U2977" s="79">
        <v>0</v>
      </c>
      <c r="V2977" s="189">
        <v>7686.96</v>
      </c>
      <c r="X2977" s="79">
        <v>5816.28</v>
      </c>
      <c r="Y2977" s="79">
        <v>1870.68</v>
      </c>
      <c r="Z2977" s="79">
        <v>7686.96</v>
      </c>
      <c r="AA2977" s="255">
        <v>-0.13000000000010914</v>
      </c>
      <c r="AC2977" s="254"/>
      <c r="AD2977" s="236"/>
      <c r="AE2977" s="236"/>
    </row>
    <row r="2978" spans="1:31" ht="12">
      <c r="A2978" s="67" t="s">
        <v>16279</v>
      </c>
      <c r="B2978" s="65" t="s">
        <v>16280</v>
      </c>
      <c r="C2978" s="71" t="s">
        <v>103</v>
      </c>
      <c r="D2978" s="78">
        <v>1</v>
      </c>
      <c r="E2978" s="79">
        <v>12101.890000000001</v>
      </c>
      <c r="F2978" s="70">
        <v>12101.89</v>
      </c>
      <c r="G2978" s="320"/>
      <c r="H2978" s="79">
        <v>9636.2100000000009</v>
      </c>
      <c r="I2978" s="79">
        <v>2465.6799999999998</v>
      </c>
      <c r="J2978" s="79">
        <v>12101.890000000001</v>
      </c>
      <c r="K2978" s="79">
        <v>0</v>
      </c>
      <c r="L2978" s="70">
        <v>12101.890000000001</v>
      </c>
      <c r="M2978" s="132"/>
      <c r="N2978" s="79">
        <v>9636.2100000000009</v>
      </c>
      <c r="O2978" s="79">
        <v>2465.6799999999998</v>
      </c>
      <c r="P2978" s="79">
        <v>12101.890000000001</v>
      </c>
      <c r="Q2978" s="136"/>
      <c r="R2978" s="79">
        <v>9636.2099999999991</v>
      </c>
      <c r="S2978" s="79">
        <v>2465.84</v>
      </c>
      <c r="T2978" s="79">
        <v>12102.05</v>
      </c>
      <c r="U2978" s="79">
        <v>0</v>
      </c>
      <c r="V2978" s="189">
        <v>12102.05</v>
      </c>
      <c r="X2978" s="79">
        <v>9636.2099999999991</v>
      </c>
      <c r="Y2978" s="79">
        <v>2465.84</v>
      </c>
      <c r="Z2978" s="79">
        <v>12102.05</v>
      </c>
      <c r="AA2978" s="255">
        <v>-0.15999999999985448</v>
      </c>
      <c r="AC2978" s="254"/>
    </row>
    <row r="2979" spans="1:31" ht="12">
      <c r="A2979" s="67" t="s">
        <v>16281</v>
      </c>
      <c r="B2979" s="65" t="s">
        <v>16282</v>
      </c>
      <c r="C2979" s="71" t="s">
        <v>103</v>
      </c>
      <c r="D2979" s="78">
        <v>1</v>
      </c>
      <c r="E2979" s="79">
        <v>16426.649999999998</v>
      </c>
      <c r="F2979" s="70">
        <v>16426.650000000001</v>
      </c>
      <c r="G2979" s="320"/>
      <c r="H2979" s="79">
        <v>13437.22</v>
      </c>
      <c r="I2979" s="79">
        <v>2989.43</v>
      </c>
      <c r="J2979" s="79">
        <v>16426.649999999998</v>
      </c>
      <c r="K2979" s="79">
        <v>0</v>
      </c>
      <c r="L2979" s="70">
        <v>16426.649999999998</v>
      </c>
      <c r="M2979" s="132"/>
      <c r="N2979" s="79">
        <v>13437.22</v>
      </c>
      <c r="O2979" s="79">
        <v>2989.43</v>
      </c>
      <c r="P2979" s="79">
        <v>16426.649999999998</v>
      </c>
      <c r="Q2979" s="136"/>
      <c r="R2979" s="79">
        <v>13437.22</v>
      </c>
      <c r="S2979" s="79">
        <v>2989.58</v>
      </c>
      <c r="T2979" s="79">
        <v>16426.8</v>
      </c>
      <c r="U2979" s="79">
        <v>0</v>
      </c>
      <c r="V2979" s="189">
        <v>16426.8</v>
      </c>
      <c r="X2979" s="79">
        <v>13437.22</v>
      </c>
      <c r="Y2979" s="79">
        <v>2989.58</v>
      </c>
      <c r="Z2979" s="79">
        <v>16426.8</v>
      </c>
      <c r="AA2979" s="255">
        <v>-0.14999999999781721</v>
      </c>
      <c r="AC2979" s="254"/>
    </row>
    <row r="2980" spans="1:31" ht="12">
      <c r="A2980" s="67" t="s">
        <v>16283</v>
      </c>
      <c r="B2980" s="65" t="s">
        <v>16284</v>
      </c>
      <c r="C2980" s="71" t="s">
        <v>103</v>
      </c>
      <c r="D2980" s="78">
        <v>1</v>
      </c>
      <c r="E2980" s="79">
        <v>1198.4400000000003</v>
      </c>
      <c r="F2980" s="70">
        <v>1198.44</v>
      </c>
      <c r="G2980" s="320"/>
      <c r="H2980" s="79">
        <v>603.46999999999991</v>
      </c>
      <c r="I2980" s="79">
        <v>594.97</v>
      </c>
      <c r="J2980" s="79">
        <v>1198.44</v>
      </c>
      <c r="K2980" s="79">
        <v>0</v>
      </c>
      <c r="L2980" s="70">
        <v>1198.44</v>
      </c>
      <c r="M2980" s="132"/>
      <c r="N2980" s="79">
        <v>603.46999999999991</v>
      </c>
      <c r="O2980" s="79">
        <v>594.97</v>
      </c>
      <c r="P2980" s="79">
        <v>1198.44</v>
      </c>
      <c r="Q2980" s="136"/>
      <c r="R2980" s="79">
        <v>603.47</v>
      </c>
      <c r="S2980" s="79">
        <v>595.04999999999995</v>
      </c>
      <c r="T2980" s="79">
        <v>1198.52</v>
      </c>
      <c r="U2980" s="79">
        <v>0</v>
      </c>
      <c r="V2980" s="189">
        <v>1198.52</v>
      </c>
      <c r="X2980" s="79">
        <v>603.47</v>
      </c>
      <c r="Y2980" s="79">
        <v>595.04999999999995</v>
      </c>
      <c r="Z2980" s="79">
        <v>1198.52</v>
      </c>
      <c r="AA2980" s="255">
        <v>-7.999999999992724E-2</v>
      </c>
      <c r="AC2980" s="254"/>
    </row>
    <row r="2981" spans="1:31" ht="12">
      <c r="A2981" s="489" t="s">
        <v>16285</v>
      </c>
      <c r="B2981" s="490" t="s">
        <v>16286</v>
      </c>
      <c r="C2981" s="491"/>
      <c r="D2981" s="492"/>
      <c r="E2981" s="79"/>
      <c r="F2981" s="63"/>
      <c r="G2981" s="320"/>
      <c r="H2981" s="79"/>
      <c r="I2981" s="79"/>
      <c r="J2981" s="79"/>
      <c r="K2981" s="79"/>
      <c r="L2981" s="70"/>
      <c r="M2981" s="132"/>
      <c r="N2981" s="79"/>
      <c r="O2981" s="79"/>
      <c r="P2981" s="79"/>
      <c r="Q2981" s="136"/>
      <c r="R2981" s="79"/>
      <c r="S2981" s="79"/>
      <c r="T2981" s="79"/>
      <c r="U2981" s="79"/>
      <c r="V2981" s="189"/>
      <c r="X2981" s="79"/>
      <c r="Y2981" s="79"/>
      <c r="Z2981" s="79"/>
      <c r="AA2981" s="255"/>
      <c r="AC2981" s="254"/>
    </row>
    <row r="2982" spans="1:31" ht="12">
      <c r="A2982" s="67" t="s">
        <v>16287</v>
      </c>
      <c r="B2982" s="65" t="s">
        <v>16288</v>
      </c>
      <c r="C2982" s="71" t="s">
        <v>103</v>
      </c>
      <c r="D2982" s="78">
        <v>1</v>
      </c>
      <c r="E2982" s="79">
        <v>1905.81</v>
      </c>
      <c r="F2982" s="70">
        <v>1905.81</v>
      </c>
      <c r="G2982" s="320"/>
      <c r="H2982" s="79">
        <v>1863.95</v>
      </c>
      <c r="I2982" s="79">
        <v>41.86</v>
      </c>
      <c r="J2982" s="79">
        <v>1905.81</v>
      </c>
      <c r="K2982" s="79">
        <v>0</v>
      </c>
      <c r="L2982" s="70">
        <v>1905.81</v>
      </c>
      <c r="M2982" s="132"/>
      <c r="N2982" s="79">
        <v>1863.95</v>
      </c>
      <c r="O2982" s="79">
        <v>41.86</v>
      </c>
      <c r="P2982" s="79">
        <v>1905.81</v>
      </c>
      <c r="Q2982" s="136"/>
      <c r="R2982" s="79">
        <v>1863.95</v>
      </c>
      <c r="S2982" s="79">
        <v>41.87</v>
      </c>
      <c r="T2982" s="79">
        <v>1905.82</v>
      </c>
      <c r="U2982" s="79">
        <v>0</v>
      </c>
      <c r="V2982" s="189">
        <v>1905.82</v>
      </c>
      <c r="X2982" s="79">
        <v>1863.95</v>
      </c>
      <c r="Y2982" s="79">
        <v>41.87</v>
      </c>
      <c r="Z2982" s="79">
        <v>1905.82</v>
      </c>
      <c r="AA2982" s="255">
        <v>-9.9999999999909051E-3</v>
      </c>
      <c r="AC2982" s="254"/>
    </row>
    <row r="2983" spans="1:31" ht="12">
      <c r="A2983" s="67" t="s">
        <v>16289</v>
      </c>
      <c r="B2983" s="65" t="s">
        <v>16290</v>
      </c>
      <c r="C2983" s="71" t="s">
        <v>103</v>
      </c>
      <c r="D2983" s="78">
        <v>1</v>
      </c>
      <c r="E2983" s="79">
        <v>3321.6600000000003</v>
      </c>
      <c r="F2983" s="70">
        <v>3321.66</v>
      </c>
      <c r="G2983" s="320"/>
      <c r="H2983" s="79">
        <v>3279.8</v>
      </c>
      <c r="I2983" s="79">
        <v>41.86</v>
      </c>
      <c r="J2983" s="79">
        <v>3321.6600000000003</v>
      </c>
      <c r="K2983" s="79">
        <v>0</v>
      </c>
      <c r="L2983" s="70">
        <v>3321.6600000000003</v>
      </c>
      <c r="M2983" s="132"/>
      <c r="N2983" s="79">
        <v>3279.8</v>
      </c>
      <c r="O2983" s="79">
        <v>41.86</v>
      </c>
      <c r="P2983" s="79">
        <v>3321.6600000000003</v>
      </c>
      <c r="Q2983" s="136"/>
      <c r="R2983" s="79">
        <v>3279.8</v>
      </c>
      <c r="S2983" s="79">
        <v>41.87</v>
      </c>
      <c r="T2983" s="79">
        <v>3321.67</v>
      </c>
      <c r="U2983" s="79">
        <v>0</v>
      </c>
      <c r="V2983" s="189">
        <v>3321.67</v>
      </c>
      <c r="X2983" s="79">
        <v>3279.8</v>
      </c>
      <c r="Y2983" s="79">
        <v>41.87</v>
      </c>
      <c r="Z2983" s="79">
        <v>3321.67</v>
      </c>
      <c r="AA2983" s="255">
        <v>-1.0000000000218279E-2</v>
      </c>
      <c r="AC2983" s="254"/>
    </row>
    <row r="2984" spans="1:31" ht="12">
      <c r="A2984" s="67" t="s">
        <v>16291</v>
      </c>
      <c r="B2984" s="65" t="s">
        <v>16292</v>
      </c>
      <c r="C2984" s="71" t="s">
        <v>103</v>
      </c>
      <c r="D2984" s="78">
        <v>1</v>
      </c>
      <c r="E2984" s="79">
        <v>675.8</v>
      </c>
      <c r="F2984" s="70">
        <v>675.8</v>
      </c>
      <c r="G2984" s="320"/>
      <c r="H2984" s="79">
        <v>608.80999999999995</v>
      </c>
      <c r="I2984" s="79">
        <v>66.990000000000009</v>
      </c>
      <c r="J2984" s="79">
        <v>675.8</v>
      </c>
      <c r="K2984" s="79">
        <v>0</v>
      </c>
      <c r="L2984" s="70">
        <v>675.8</v>
      </c>
      <c r="M2984" s="132"/>
      <c r="N2984" s="79">
        <v>608.80999999999995</v>
      </c>
      <c r="O2984" s="79">
        <v>66.990000000000009</v>
      </c>
      <c r="P2984" s="79">
        <v>675.8</v>
      </c>
      <c r="Q2984" s="136"/>
      <c r="R2984" s="79">
        <v>608.80999999999995</v>
      </c>
      <c r="S2984" s="79">
        <v>66.989999999999995</v>
      </c>
      <c r="T2984" s="79">
        <v>675.8</v>
      </c>
      <c r="U2984" s="79">
        <v>0</v>
      </c>
      <c r="V2984" s="189">
        <v>675.8</v>
      </c>
      <c r="X2984" s="79">
        <v>608.80999999999995</v>
      </c>
      <c r="Y2984" s="79">
        <v>66.989999999999995</v>
      </c>
      <c r="Z2984" s="79">
        <v>675.8</v>
      </c>
      <c r="AA2984" s="255">
        <v>0</v>
      </c>
      <c r="AC2984" s="254"/>
    </row>
    <row r="2985" spans="1:31" ht="12">
      <c r="A2985" s="67" t="s">
        <v>16293</v>
      </c>
      <c r="B2985" s="65" t="s">
        <v>16294</v>
      </c>
      <c r="C2985" s="71" t="s">
        <v>103</v>
      </c>
      <c r="D2985" s="78">
        <v>1</v>
      </c>
      <c r="E2985" s="79">
        <v>1089.76</v>
      </c>
      <c r="F2985" s="70">
        <v>1089.76</v>
      </c>
      <c r="G2985" s="320"/>
      <c r="H2985" s="79">
        <v>1022.77</v>
      </c>
      <c r="I2985" s="79">
        <v>66.990000000000009</v>
      </c>
      <c r="J2985" s="79">
        <v>1089.76</v>
      </c>
      <c r="K2985" s="79">
        <v>0</v>
      </c>
      <c r="L2985" s="70">
        <v>1089.76</v>
      </c>
      <c r="M2985" s="132"/>
      <c r="N2985" s="79">
        <v>1022.77</v>
      </c>
      <c r="O2985" s="79">
        <v>66.990000000000009</v>
      </c>
      <c r="P2985" s="79">
        <v>1089.76</v>
      </c>
      <c r="Q2985" s="136"/>
      <c r="R2985" s="79">
        <v>1022.77</v>
      </c>
      <c r="S2985" s="79">
        <v>66.989999999999995</v>
      </c>
      <c r="T2985" s="79">
        <v>1089.76</v>
      </c>
      <c r="U2985" s="79">
        <v>0</v>
      </c>
      <c r="V2985" s="189">
        <v>1089.76</v>
      </c>
      <c r="X2985" s="79">
        <v>1022.77</v>
      </c>
      <c r="Y2985" s="79">
        <v>66.989999999999995</v>
      </c>
      <c r="Z2985" s="79">
        <v>1089.76</v>
      </c>
      <c r="AA2985" s="255">
        <v>0</v>
      </c>
      <c r="AC2985" s="254"/>
    </row>
    <row r="2986" spans="1:31" ht="12">
      <c r="A2986" s="67" t="s">
        <v>16295</v>
      </c>
      <c r="B2986" s="65" t="s">
        <v>16296</v>
      </c>
      <c r="C2986" s="71" t="s">
        <v>103</v>
      </c>
      <c r="D2986" s="78">
        <v>1</v>
      </c>
      <c r="E2986" s="79">
        <v>2479.4100000000003</v>
      </c>
      <c r="F2986" s="70">
        <v>2479.41</v>
      </c>
      <c r="G2986" s="320"/>
      <c r="H2986" s="79">
        <v>2437.5500000000002</v>
      </c>
      <c r="I2986" s="79">
        <v>41.86</v>
      </c>
      <c r="J2986" s="79">
        <v>2479.4100000000003</v>
      </c>
      <c r="K2986" s="79">
        <v>0</v>
      </c>
      <c r="L2986" s="70">
        <v>2479.4100000000003</v>
      </c>
      <c r="M2986" s="132"/>
      <c r="N2986" s="79">
        <v>2437.5500000000002</v>
      </c>
      <c r="O2986" s="79">
        <v>41.86</v>
      </c>
      <c r="P2986" s="79">
        <v>2479.4100000000003</v>
      </c>
      <c r="Q2986" s="136"/>
      <c r="R2986" s="79">
        <v>2437.5500000000002</v>
      </c>
      <c r="S2986" s="79">
        <v>41.87</v>
      </c>
      <c r="T2986" s="79">
        <v>2479.42</v>
      </c>
      <c r="U2986" s="79">
        <v>0</v>
      </c>
      <c r="V2986" s="189">
        <v>2479.42</v>
      </c>
      <c r="X2986" s="79">
        <v>2437.5500000000002</v>
      </c>
      <c r="Y2986" s="79">
        <v>41.87</v>
      </c>
      <c r="Z2986" s="79">
        <v>2479.42</v>
      </c>
      <c r="AA2986" s="255">
        <v>-1.0000000000218279E-2</v>
      </c>
      <c r="AC2986" s="254"/>
    </row>
    <row r="2987" spans="1:31" ht="12">
      <c r="A2987" s="489" t="s">
        <v>16297</v>
      </c>
      <c r="B2987" s="490" t="s">
        <v>16298</v>
      </c>
      <c r="C2987" s="491"/>
      <c r="D2987" s="492"/>
      <c r="E2987" s="79"/>
      <c r="F2987" s="63"/>
      <c r="G2987" s="320"/>
      <c r="H2987" s="79"/>
      <c r="I2987" s="79"/>
      <c r="J2987" s="79"/>
      <c r="K2987" s="79"/>
      <c r="L2987" s="70"/>
      <c r="M2987" s="132"/>
      <c r="N2987" s="79"/>
      <c r="O2987" s="79"/>
      <c r="P2987" s="79"/>
      <c r="Q2987" s="136"/>
      <c r="R2987" s="79"/>
      <c r="S2987" s="79"/>
      <c r="T2987" s="79"/>
      <c r="U2987" s="79"/>
      <c r="V2987" s="189"/>
      <c r="X2987" s="79"/>
      <c r="Y2987" s="79"/>
      <c r="Z2987" s="79"/>
      <c r="AA2987" s="255"/>
      <c r="AC2987" s="254"/>
    </row>
    <row r="2988" spans="1:31" ht="12">
      <c r="A2988" s="67" t="s">
        <v>16299</v>
      </c>
      <c r="B2988" s="65" t="s">
        <v>16300</v>
      </c>
      <c r="C2988" s="71" t="s">
        <v>103</v>
      </c>
      <c r="D2988" s="78">
        <v>1</v>
      </c>
      <c r="E2988" s="79">
        <v>1058.8800000000001</v>
      </c>
      <c r="F2988" s="70">
        <v>1058.8800000000001</v>
      </c>
      <c r="G2988" s="320"/>
      <c r="H2988" s="79">
        <v>1058.8800000000001</v>
      </c>
      <c r="I2988" s="79">
        <v>0</v>
      </c>
      <c r="J2988" s="79">
        <v>1058.8800000000001</v>
      </c>
      <c r="K2988" s="79">
        <v>0</v>
      </c>
      <c r="L2988" s="70">
        <v>1058.8800000000001</v>
      </c>
      <c r="M2988" s="132"/>
      <c r="N2988" s="79">
        <v>1058.8800000000001</v>
      </c>
      <c r="O2988" s="79"/>
      <c r="P2988" s="79">
        <v>1058.8800000000001</v>
      </c>
      <c r="Q2988" s="136"/>
      <c r="R2988" s="79">
        <v>1058.8800000000001</v>
      </c>
      <c r="S2988" s="79"/>
      <c r="T2988" s="79">
        <v>1058.8800000000001</v>
      </c>
      <c r="U2988" s="79">
        <v>0</v>
      </c>
      <c r="V2988" s="189">
        <v>1058.8800000000001</v>
      </c>
      <c r="X2988" s="79">
        <v>1058.8800000000001</v>
      </c>
      <c r="Y2988" s="79"/>
      <c r="Z2988" s="79">
        <v>1058.8800000000001</v>
      </c>
      <c r="AA2988" s="255">
        <v>0</v>
      </c>
      <c r="AC2988" s="254"/>
    </row>
    <row r="2989" spans="1:31" ht="12">
      <c r="A2989" s="489" t="s">
        <v>16301</v>
      </c>
      <c r="B2989" s="490" t="s">
        <v>16302</v>
      </c>
      <c r="C2989" s="491"/>
      <c r="D2989" s="492"/>
      <c r="E2989" s="79"/>
      <c r="F2989" s="63"/>
      <c r="G2989" s="320"/>
      <c r="H2989" s="79"/>
      <c r="I2989" s="79"/>
      <c r="J2989" s="79"/>
      <c r="K2989" s="79"/>
      <c r="L2989" s="70"/>
      <c r="M2989" s="132"/>
      <c r="N2989" s="79"/>
      <c r="O2989" s="79"/>
      <c r="P2989" s="79"/>
      <c r="Q2989" s="136"/>
      <c r="R2989" s="79"/>
      <c r="S2989" s="79"/>
      <c r="T2989" s="79"/>
      <c r="U2989" s="79"/>
      <c r="V2989" s="189"/>
      <c r="X2989" s="79"/>
      <c r="Y2989" s="79"/>
      <c r="Z2989" s="79"/>
      <c r="AA2989" s="255"/>
      <c r="AC2989" s="254"/>
    </row>
    <row r="2990" spans="1:31" ht="12">
      <c r="A2990" s="489" t="s">
        <v>16303</v>
      </c>
      <c r="B2990" s="490" t="s">
        <v>16304</v>
      </c>
      <c r="C2990" s="491"/>
      <c r="D2990" s="492"/>
      <c r="E2990" s="79"/>
      <c r="F2990" s="63"/>
      <c r="G2990" s="320"/>
      <c r="H2990" s="79"/>
      <c r="I2990" s="79"/>
      <c r="J2990" s="79"/>
      <c r="K2990" s="79"/>
      <c r="L2990" s="70"/>
      <c r="M2990" s="132"/>
      <c r="N2990" s="79"/>
      <c r="O2990" s="79"/>
      <c r="P2990" s="79"/>
      <c r="Q2990" s="136"/>
      <c r="R2990" s="79"/>
      <c r="S2990" s="79"/>
      <c r="T2990" s="79"/>
      <c r="U2990" s="79"/>
      <c r="V2990" s="189"/>
      <c r="X2990" s="79"/>
      <c r="Y2990" s="79"/>
      <c r="Z2990" s="79"/>
      <c r="AA2990" s="255"/>
      <c r="AC2990" s="254"/>
    </row>
    <row r="2991" spans="1:31" ht="12">
      <c r="A2991" s="67" t="s">
        <v>16305</v>
      </c>
      <c r="B2991" s="65" t="s">
        <v>16306</v>
      </c>
      <c r="C2991" s="71" t="s">
        <v>165</v>
      </c>
      <c r="D2991" s="78">
        <v>1</v>
      </c>
      <c r="E2991" s="79">
        <v>33.959999999999994</v>
      </c>
      <c r="F2991" s="70">
        <v>33.96</v>
      </c>
      <c r="G2991" s="320"/>
      <c r="H2991" s="79">
        <v>6.0200000000000005</v>
      </c>
      <c r="I2991" s="79">
        <v>27.939999999999998</v>
      </c>
      <c r="J2991" s="79">
        <v>33.96</v>
      </c>
      <c r="K2991" s="79">
        <v>0</v>
      </c>
      <c r="L2991" s="70">
        <v>33.96</v>
      </c>
      <c r="M2991" s="132"/>
      <c r="N2991" s="79">
        <v>6.0200000000000005</v>
      </c>
      <c r="O2991" s="79">
        <v>27.939999999999998</v>
      </c>
      <c r="P2991" s="79">
        <v>33.96</v>
      </c>
      <c r="Q2991" s="136"/>
      <c r="R2991" s="79">
        <v>6.02</v>
      </c>
      <c r="S2991" s="79">
        <v>27.92</v>
      </c>
      <c r="T2991" s="79">
        <v>33.94</v>
      </c>
      <c r="U2991" s="79">
        <v>0</v>
      </c>
      <c r="V2991" s="189">
        <v>33.94</v>
      </c>
      <c r="X2991" s="79">
        <v>6.02</v>
      </c>
      <c r="Y2991" s="79">
        <v>27.92</v>
      </c>
      <c r="Z2991" s="79">
        <v>33.94</v>
      </c>
      <c r="AA2991" s="255">
        <v>2.0000000000003126E-2</v>
      </c>
      <c r="AC2991" s="254"/>
    </row>
    <row r="2992" spans="1:31" ht="12">
      <c r="A2992" s="67" t="s">
        <v>16307</v>
      </c>
      <c r="B2992" s="65" t="s">
        <v>16308</v>
      </c>
      <c r="C2992" s="71" t="s">
        <v>165</v>
      </c>
      <c r="D2992" s="78">
        <v>1</v>
      </c>
      <c r="E2992" s="79">
        <v>34.21</v>
      </c>
      <c r="F2992" s="70">
        <v>34.21</v>
      </c>
      <c r="G2992" s="320"/>
      <c r="H2992" s="79">
        <v>6.2700000000000005</v>
      </c>
      <c r="I2992" s="79">
        <v>27.939999999999998</v>
      </c>
      <c r="J2992" s="79">
        <v>34.21</v>
      </c>
      <c r="K2992" s="79">
        <v>0</v>
      </c>
      <c r="L2992" s="70">
        <v>34.21</v>
      </c>
      <c r="M2992" s="132"/>
      <c r="N2992" s="79">
        <v>6.2700000000000005</v>
      </c>
      <c r="O2992" s="79">
        <v>27.939999999999998</v>
      </c>
      <c r="P2992" s="79">
        <v>34.21</v>
      </c>
      <c r="Q2992" s="136"/>
      <c r="R2992" s="79">
        <v>6.27</v>
      </c>
      <c r="S2992" s="79">
        <v>27.92</v>
      </c>
      <c r="T2992" s="79">
        <v>34.19</v>
      </c>
      <c r="U2992" s="79">
        <v>0</v>
      </c>
      <c r="V2992" s="189">
        <v>34.19</v>
      </c>
      <c r="X2992" s="79">
        <v>6.27</v>
      </c>
      <c r="Y2992" s="79">
        <v>27.92</v>
      </c>
      <c r="Z2992" s="79">
        <v>34.19</v>
      </c>
      <c r="AA2992" s="255">
        <v>2.0000000000003126E-2</v>
      </c>
      <c r="AC2992" s="254"/>
    </row>
    <row r="2993" spans="1:29" ht="12">
      <c r="A2993" s="67" t="s">
        <v>16309</v>
      </c>
      <c r="B2993" s="65" t="s">
        <v>16310</v>
      </c>
      <c r="C2993" s="71" t="s">
        <v>165</v>
      </c>
      <c r="D2993" s="78">
        <v>1</v>
      </c>
      <c r="E2993" s="79">
        <v>41.059999999999995</v>
      </c>
      <c r="F2993" s="70">
        <v>41.06</v>
      </c>
      <c r="G2993" s="320"/>
      <c r="H2993" s="79">
        <v>13.12</v>
      </c>
      <c r="I2993" s="79">
        <v>27.939999999999998</v>
      </c>
      <c r="J2993" s="79">
        <v>41.059999999999995</v>
      </c>
      <c r="K2993" s="79">
        <v>0</v>
      </c>
      <c r="L2993" s="70">
        <v>41.059999999999995</v>
      </c>
      <c r="M2993" s="132"/>
      <c r="N2993" s="79">
        <v>13.12</v>
      </c>
      <c r="O2993" s="79">
        <v>27.939999999999998</v>
      </c>
      <c r="P2993" s="79">
        <v>41.059999999999995</v>
      </c>
      <c r="Q2993" s="136"/>
      <c r="R2993" s="79">
        <v>13.12</v>
      </c>
      <c r="S2993" s="79">
        <v>27.92</v>
      </c>
      <c r="T2993" s="79">
        <v>41.04</v>
      </c>
      <c r="U2993" s="79">
        <v>0</v>
      </c>
      <c r="V2993" s="189">
        <v>41.04</v>
      </c>
      <c r="X2993" s="79">
        <v>13.12</v>
      </c>
      <c r="Y2993" s="79">
        <v>27.92</v>
      </c>
      <c r="Z2993" s="79">
        <v>41.04</v>
      </c>
      <c r="AA2993" s="255">
        <v>2.0000000000003126E-2</v>
      </c>
      <c r="AC2993" s="254"/>
    </row>
    <row r="2994" spans="1:29" ht="12">
      <c r="A2994" s="67" t="s">
        <v>16311</v>
      </c>
      <c r="B2994" s="65" t="s">
        <v>16312</v>
      </c>
      <c r="C2994" s="71" t="s">
        <v>165</v>
      </c>
      <c r="D2994" s="78">
        <v>1</v>
      </c>
      <c r="E2994" s="79">
        <v>52.029999999999994</v>
      </c>
      <c r="F2994" s="70">
        <v>52.03</v>
      </c>
      <c r="G2994" s="320"/>
      <c r="H2994" s="79">
        <v>24.09</v>
      </c>
      <c r="I2994" s="79">
        <v>27.939999999999998</v>
      </c>
      <c r="J2994" s="79">
        <v>52.03</v>
      </c>
      <c r="K2994" s="79">
        <v>0</v>
      </c>
      <c r="L2994" s="70">
        <v>52.03</v>
      </c>
      <c r="M2994" s="132"/>
      <c r="N2994" s="79">
        <v>24.09</v>
      </c>
      <c r="O2994" s="79">
        <v>27.939999999999998</v>
      </c>
      <c r="P2994" s="79">
        <v>52.03</v>
      </c>
      <c r="Q2994" s="136"/>
      <c r="R2994" s="79">
        <v>24.09</v>
      </c>
      <c r="S2994" s="79">
        <v>27.92</v>
      </c>
      <c r="T2994" s="79">
        <v>52.010000000000005</v>
      </c>
      <c r="U2994" s="79">
        <v>0</v>
      </c>
      <c r="V2994" s="189">
        <v>52.010000000000005</v>
      </c>
      <c r="X2994" s="79">
        <v>24.09</v>
      </c>
      <c r="Y2994" s="79">
        <v>27.92</v>
      </c>
      <c r="Z2994" s="79">
        <v>52.01</v>
      </c>
      <c r="AA2994" s="255">
        <v>2.0000000000003126E-2</v>
      </c>
      <c r="AC2994" s="254"/>
    </row>
    <row r="2995" spans="1:29" ht="12">
      <c r="A2995" s="67" t="s">
        <v>16313</v>
      </c>
      <c r="B2995" s="65" t="s">
        <v>16314</v>
      </c>
      <c r="C2995" s="71" t="s">
        <v>165</v>
      </c>
      <c r="D2995" s="78">
        <v>1</v>
      </c>
      <c r="E2995" s="79">
        <v>54.56</v>
      </c>
      <c r="F2995" s="70">
        <v>54.56</v>
      </c>
      <c r="G2995" s="320"/>
      <c r="H2995" s="79">
        <v>21.060000000000002</v>
      </c>
      <c r="I2995" s="79">
        <v>33.5</v>
      </c>
      <c r="J2995" s="79">
        <v>54.56</v>
      </c>
      <c r="K2995" s="79">
        <v>0</v>
      </c>
      <c r="L2995" s="70">
        <v>54.56</v>
      </c>
      <c r="M2995" s="132"/>
      <c r="N2995" s="79">
        <v>21.060000000000002</v>
      </c>
      <c r="O2995" s="79">
        <v>33.5</v>
      </c>
      <c r="P2995" s="79">
        <v>54.56</v>
      </c>
      <c r="Q2995" s="136"/>
      <c r="R2995" s="79">
        <v>21.06</v>
      </c>
      <c r="S2995" s="79">
        <v>33.5</v>
      </c>
      <c r="T2995" s="79">
        <v>54.56</v>
      </c>
      <c r="U2995" s="79">
        <v>0</v>
      </c>
      <c r="V2995" s="189">
        <v>54.56</v>
      </c>
      <c r="X2995" s="79">
        <v>21.06</v>
      </c>
      <c r="Y2995" s="79">
        <v>33.5</v>
      </c>
      <c r="Z2995" s="79">
        <v>54.56</v>
      </c>
      <c r="AA2995" s="255">
        <v>0</v>
      </c>
      <c r="AC2995" s="254"/>
    </row>
    <row r="2996" spans="1:29" ht="12">
      <c r="A2996" s="67" t="s">
        <v>16315</v>
      </c>
      <c r="B2996" s="65" t="s">
        <v>16316</v>
      </c>
      <c r="C2996" s="71" t="s">
        <v>165</v>
      </c>
      <c r="D2996" s="78">
        <v>1</v>
      </c>
      <c r="E2996" s="79">
        <v>85.22999999999999</v>
      </c>
      <c r="F2996" s="70">
        <v>85.23</v>
      </c>
      <c r="G2996" s="320"/>
      <c r="H2996" s="79">
        <v>46.129999999999995</v>
      </c>
      <c r="I2996" s="79">
        <v>39.099999999999994</v>
      </c>
      <c r="J2996" s="79">
        <v>85.22999999999999</v>
      </c>
      <c r="K2996" s="79">
        <v>0</v>
      </c>
      <c r="L2996" s="70">
        <v>85.22999999999999</v>
      </c>
      <c r="M2996" s="132"/>
      <c r="N2996" s="79">
        <v>46.129999999999995</v>
      </c>
      <c r="O2996" s="79">
        <v>39.099999999999994</v>
      </c>
      <c r="P2996" s="79">
        <v>85.22999999999999</v>
      </c>
      <c r="Q2996" s="136"/>
      <c r="R2996" s="79">
        <v>46.13</v>
      </c>
      <c r="S2996" s="79">
        <v>39.08</v>
      </c>
      <c r="T2996" s="79">
        <v>85.210000000000008</v>
      </c>
      <c r="U2996" s="79">
        <v>0</v>
      </c>
      <c r="V2996" s="189">
        <v>85.210000000000008</v>
      </c>
      <c r="X2996" s="79">
        <v>46.13</v>
      </c>
      <c r="Y2996" s="79">
        <v>39.08</v>
      </c>
      <c r="Z2996" s="79">
        <v>85.21</v>
      </c>
      <c r="AA2996" s="255">
        <v>2.0000000000010232E-2</v>
      </c>
      <c r="AC2996" s="254"/>
    </row>
    <row r="2997" spans="1:29" ht="12">
      <c r="A2997" s="67" t="s">
        <v>16317</v>
      </c>
      <c r="B2997" s="65" t="s">
        <v>16318</v>
      </c>
      <c r="C2997" s="71" t="s">
        <v>165</v>
      </c>
      <c r="D2997" s="78">
        <v>1</v>
      </c>
      <c r="E2997" s="79">
        <v>114.78</v>
      </c>
      <c r="F2997" s="70">
        <v>114.78</v>
      </c>
      <c r="G2997" s="320"/>
      <c r="H2997" s="79">
        <v>64.52000000000001</v>
      </c>
      <c r="I2997" s="79">
        <v>50.260000000000005</v>
      </c>
      <c r="J2997" s="79">
        <v>114.78000000000002</v>
      </c>
      <c r="K2997" s="79">
        <v>0</v>
      </c>
      <c r="L2997" s="70">
        <v>114.78000000000002</v>
      </c>
      <c r="M2997" s="132"/>
      <c r="N2997" s="79">
        <v>64.52000000000001</v>
      </c>
      <c r="O2997" s="79">
        <v>50.260000000000005</v>
      </c>
      <c r="P2997" s="79">
        <v>114.78000000000002</v>
      </c>
      <c r="Q2997" s="136"/>
      <c r="R2997" s="79">
        <v>64.52</v>
      </c>
      <c r="S2997" s="79">
        <v>50.25</v>
      </c>
      <c r="T2997" s="79">
        <v>114.77</v>
      </c>
      <c r="U2997" s="79">
        <v>0</v>
      </c>
      <c r="V2997" s="189">
        <v>114.77</v>
      </c>
      <c r="X2997" s="79">
        <v>64.52</v>
      </c>
      <c r="Y2997" s="79">
        <v>50.25</v>
      </c>
      <c r="Z2997" s="79">
        <v>114.77</v>
      </c>
      <c r="AA2997" s="255">
        <v>1.0000000000005116E-2</v>
      </c>
      <c r="AC2997" s="254"/>
    </row>
    <row r="2998" spans="1:29" ht="12">
      <c r="A2998" s="67" t="s">
        <v>16319</v>
      </c>
      <c r="B2998" s="65" t="s">
        <v>16320</v>
      </c>
      <c r="C2998" s="71" t="s">
        <v>165</v>
      </c>
      <c r="D2998" s="78">
        <v>1</v>
      </c>
      <c r="E2998" s="79">
        <v>130.99</v>
      </c>
      <c r="F2998" s="70">
        <v>130.99</v>
      </c>
      <c r="G2998" s="320"/>
      <c r="H2998" s="79">
        <v>75.160000000000011</v>
      </c>
      <c r="I2998" s="79">
        <v>55.83</v>
      </c>
      <c r="J2998" s="79">
        <v>130.99</v>
      </c>
      <c r="K2998" s="79">
        <v>0</v>
      </c>
      <c r="L2998" s="70">
        <v>130.99</v>
      </c>
      <c r="M2998" s="132"/>
      <c r="N2998" s="79">
        <v>75.160000000000011</v>
      </c>
      <c r="O2998" s="79">
        <v>55.83</v>
      </c>
      <c r="P2998" s="79">
        <v>130.99</v>
      </c>
      <c r="Q2998" s="136"/>
      <c r="R2998" s="79">
        <v>75.16</v>
      </c>
      <c r="S2998" s="79">
        <v>55.83</v>
      </c>
      <c r="T2998" s="79">
        <v>130.99</v>
      </c>
      <c r="U2998" s="79">
        <v>0</v>
      </c>
      <c r="V2998" s="189">
        <v>130.99</v>
      </c>
      <c r="X2998" s="79">
        <v>75.16</v>
      </c>
      <c r="Y2998" s="79">
        <v>55.83</v>
      </c>
      <c r="Z2998" s="79">
        <v>130.99</v>
      </c>
      <c r="AA2998" s="255">
        <v>0</v>
      </c>
      <c r="AC2998" s="254"/>
    </row>
    <row r="2999" spans="1:29" ht="12">
      <c r="A2999" s="67" t="s">
        <v>16321</v>
      </c>
      <c r="B2999" s="65" t="s">
        <v>16322</v>
      </c>
      <c r="C2999" s="71" t="s">
        <v>165</v>
      </c>
      <c r="D2999" s="78">
        <v>1</v>
      </c>
      <c r="E2999" s="79">
        <v>210.94000000000003</v>
      </c>
      <c r="F2999" s="70">
        <v>210.94</v>
      </c>
      <c r="G2999" s="320"/>
      <c r="H2999" s="79">
        <v>149.52000000000001</v>
      </c>
      <c r="I2999" s="79">
        <v>61.42</v>
      </c>
      <c r="J2999" s="79">
        <v>210.94</v>
      </c>
      <c r="K2999" s="79">
        <v>0</v>
      </c>
      <c r="L2999" s="70">
        <v>210.94</v>
      </c>
      <c r="M2999" s="132"/>
      <c r="N2999" s="79">
        <v>149.52000000000001</v>
      </c>
      <c r="O2999" s="79">
        <v>61.42</v>
      </c>
      <c r="P2999" s="79">
        <v>210.94</v>
      </c>
      <c r="Q2999" s="136"/>
      <c r="R2999" s="79">
        <v>149.52000000000001</v>
      </c>
      <c r="S2999" s="79">
        <v>61.41</v>
      </c>
      <c r="T2999" s="79">
        <v>210.93</v>
      </c>
      <c r="U2999" s="79">
        <v>0</v>
      </c>
      <c r="V2999" s="189">
        <v>210.93</v>
      </c>
      <c r="X2999" s="79">
        <v>149.52000000000001</v>
      </c>
      <c r="Y2999" s="79">
        <v>61.41</v>
      </c>
      <c r="Z2999" s="79">
        <v>210.93</v>
      </c>
      <c r="AA2999" s="255">
        <v>9.9999999999909051E-3</v>
      </c>
      <c r="AC2999" s="254"/>
    </row>
    <row r="3000" spans="1:29" ht="12">
      <c r="A3000" s="489" t="s">
        <v>16323</v>
      </c>
      <c r="B3000" s="490" t="s">
        <v>16324</v>
      </c>
      <c r="C3000" s="491"/>
      <c r="D3000" s="492"/>
      <c r="E3000" s="79"/>
      <c r="F3000" s="63"/>
      <c r="G3000" s="320"/>
      <c r="H3000" s="79"/>
      <c r="I3000" s="79"/>
      <c r="J3000" s="79"/>
      <c r="K3000" s="79"/>
      <c r="L3000" s="70"/>
      <c r="M3000" s="132"/>
      <c r="N3000" s="79"/>
      <c r="O3000" s="79"/>
      <c r="P3000" s="79"/>
      <c r="Q3000" s="136"/>
      <c r="R3000" s="79"/>
      <c r="S3000" s="79"/>
      <c r="T3000" s="79"/>
      <c r="U3000" s="79"/>
      <c r="V3000" s="189"/>
      <c r="X3000" s="79"/>
      <c r="Y3000" s="79"/>
      <c r="Z3000" s="79"/>
      <c r="AA3000" s="255"/>
      <c r="AC3000" s="254"/>
    </row>
    <row r="3001" spans="1:29" ht="24">
      <c r="A3001" s="67" t="s">
        <v>16325</v>
      </c>
      <c r="B3001" s="65" t="s">
        <v>16326</v>
      </c>
      <c r="C3001" s="71" t="s">
        <v>165</v>
      </c>
      <c r="D3001" s="78">
        <v>1</v>
      </c>
      <c r="E3001" s="79">
        <v>40.309999999999995</v>
      </c>
      <c r="F3001" s="70">
        <v>40.31</v>
      </c>
      <c r="G3001" s="320"/>
      <c r="H3001" s="79">
        <v>12.37</v>
      </c>
      <c r="I3001" s="79">
        <v>27.939999999999998</v>
      </c>
      <c r="J3001" s="79">
        <v>40.309999999999995</v>
      </c>
      <c r="K3001" s="79">
        <v>0</v>
      </c>
      <c r="L3001" s="70">
        <v>40.309999999999995</v>
      </c>
      <c r="M3001" s="132"/>
      <c r="N3001" s="79">
        <v>12.37</v>
      </c>
      <c r="O3001" s="79">
        <v>27.939999999999998</v>
      </c>
      <c r="P3001" s="79">
        <v>40.309999999999995</v>
      </c>
      <c r="Q3001" s="136"/>
      <c r="R3001" s="79">
        <v>12.37</v>
      </c>
      <c r="S3001" s="79">
        <v>27.92</v>
      </c>
      <c r="T3001" s="79">
        <v>40.29</v>
      </c>
      <c r="U3001" s="79">
        <v>0</v>
      </c>
      <c r="V3001" s="189">
        <v>40.29</v>
      </c>
      <c r="X3001" s="79">
        <v>12.37</v>
      </c>
      <c r="Y3001" s="79">
        <v>27.92</v>
      </c>
      <c r="Z3001" s="79">
        <v>40.29</v>
      </c>
      <c r="AA3001" s="255">
        <v>2.0000000000003126E-2</v>
      </c>
      <c r="AC3001" s="254"/>
    </row>
    <row r="3002" spans="1:29" ht="24">
      <c r="A3002" s="67" t="s">
        <v>16327</v>
      </c>
      <c r="B3002" s="65" t="s">
        <v>16328</v>
      </c>
      <c r="C3002" s="71" t="s">
        <v>165</v>
      </c>
      <c r="D3002" s="78">
        <v>1</v>
      </c>
      <c r="E3002" s="79">
        <v>49.71</v>
      </c>
      <c r="F3002" s="70">
        <v>49.71</v>
      </c>
      <c r="G3002" s="320"/>
      <c r="H3002" s="79">
        <v>16.209999999999997</v>
      </c>
      <c r="I3002" s="79">
        <v>33.5</v>
      </c>
      <c r="J3002" s="79">
        <v>49.709999999999994</v>
      </c>
      <c r="K3002" s="79">
        <v>0</v>
      </c>
      <c r="L3002" s="70">
        <v>49.709999999999994</v>
      </c>
      <c r="M3002" s="132"/>
      <c r="N3002" s="79">
        <v>16.209999999999997</v>
      </c>
      <c r="O3002" s="79">
        <v>33.5</v>
      </c>
      <c r="P3002" s="79">
        <v>49.709999999999994</v>
      </c>
      <c r="Q3002" s="136"/>
      <c r="R3002" s="79">
        <v>16.21</v>
      </c>
      <c r="S3002" s="79">
        <v>33.5</v>
      </c>
      <c r="T3002" s="79">
        <v>49.71</v>
      </c>
      <c r="U3002" s="79">
        <v>0</v>
      </c>
      <c r="V3002" s="189">
        <v>49.71</v>
      </c>
      <c r="X3002" s="79">
        <v>16.21</v>
      </c>
      <c r="Y3002" s="79">
        <v>33.5</v>
      </c>
      <c r="Z3002" s="79">
        <v>49.71</v>
      </c>
      <c r="AA3002" s="255">
        <v>0</v>
      </c>
      <c r="AC3002" s="254"/>
    </row>
    <row r="3003" spans="1:29" ht="24">
      <c r="A3003" s="67" t="s">
        <v>16329</v>
      </c>
      <c r="B3003" s="65" t="s">
        <v>16330</v>
      </c>
      <c r="C3003" s="71" t="s">
        <v>165</v>
      </c>
      <c r="D3003" s="78">
        <v>1</v>
      </c>
      <c r="E3003" s="79">
        <v>78.53</v>
      </c>
      <c r="F3003" s="70">
        <v>78.53</v>
      </c>
      <c r="G3003" s="320"/>
      <c r="H3003" s="79">
        <v>28.270000000000003</v>
      </c>
      <c r="I3003" s="79">
        <v>50.260000000000005</v>
      </c>
      <c r="J3003" s="79">
        <v>78.53</v>
      </c>
      <c r="K3003" s="79">
        <v>0</v>
      </c>
      <c r="L3003" s="70">
        <v>78.53</v>
      </c>
      <c r="M3003" s="132"/>
      <c r="N3003" s="79">
        <v>28.270000000000003</v>
      </c>
      <c r="O3003" s="79">
        <v>50.260000000000005</v>
      </c>
      <c r="P3003" s="79">
        <v>78.53</v>
      </c>
      <c r="Q3003" s="136"/>
      <c r="R3003" s="79">
        <v>28.27</v>
      </c>
      <c r="S3003" s="79">
        <v>50.25</v>
      </c>
      <c r="T3003" s="79">
        <v>78.52</v>
      </c>
      <c r="U3003" s="79">
        <v>0</v>
      </c>
      <c r="V3003" s="189">
        <v>78.52</v>
      </c>
      <c r="X3003" s="79">
        <v>28.27</v>
      </c>
      <c r="Y3003" s="79">
        <v>50.25</v>
      </c>
      <c r="Z3003" s="79">
        <v>78.52</v>
      </c>
      <c r="AA3003" s="255">
        <v>1.0000000000005116E-2</v>
      </c>
      <c r="AC3003" s="254"/>
    </row>
    <row r="3004" spans="1:29" ht="24">
      <c r="A3004" s="67" t="s">
        <v>16331</v>
      </c>
      <c r="B3004" s="65" t="s">
        <v>16332</v>
      </c>
      <c r="C3004" s="71" t="s">
        <v>165</v>
      </c>
      <c r="D3004" s="78">
        <v>1</v>
      </c>
      <c r="E3004" s="79">
        <v>85.850000000000009</v>
      </c>
      <c r="F3004" s="70">
        <v>85.85</v>
      </c>
      <c r="G3004" s="320"/>
      <c r="H3004" s="79">
        <v>24.43</v>
      </c>
      <c r="I3004" s="79">
        <v>61.42</v>
      </c>
      <c r="J3004" s="79">
        <v>85.85</v>
      </c>
      <c r="K3004" s="79">
        <v>0</v>
      </c>
      <c r="L3004" s="70">
        <v>85.85</v>
      </c>
      <c r="M3004" s="132"/>
      <c r="N3004" s="79">
        <v>24.43</v>
      </c>
      <c r="O3004" s="79">
        <v>61.42</v>
      </c>
      <c r="P3004" s="79">
        <v>85.85</v>
      </c>
      <c r="Q3004" s="136"/>
      <c r="R3004" s="79">
        <v>24.43</v>
      </c>
      <c r="S3004" s="79">
        <v>61.41</v>
      </c>
      <c r="T3004" s="79">
        <v>85.84</v>
      </c>
      <c r="U3004" s="79">
        <v>0</v>
      </c>
      <c r="V3004" s="189">
        <v>85.84</v>
      </c>
      <c r="X3004" s="79">
        <v>24.43</v>
      </c>
      <c r="Y3004" s="79">
        <v>61.41</v>
      </c>
      <c r="Z3004" s="79">
        <v>85.84</v>
      </c>
      <c r="AA3004" s="255">
        <v>9.9999999999909051E-3</v>
      </c>
      <c r="AC3004" s="254"/>
    </row>
    <row r="3005" spans="1:29" ht="12">
      <c r="A3005" s="489" t="s">
        <v>16333</v>
      </c>
      <c r="B3005" s="490" t="s">
        <v>16334</v>
      </c>
      <c r="C3005" s="491"/>
      <c r="D3005" s="492"/>
      <c r="E3005" s="79"/>
      <c r="F3005" s="63"/>
      <c r="G3005" s="320"/>
      <c r="H3005" s="79"/>
      <c r="I3005" s="79"/>
      <c r="J3005" s="79"/>
      <c r="K3005" s="79"/>
      <c r="L3005" s="70"/>
      <c r="M3005" s="132"/>
      <c r="N3005" s="79"/>
      <c r="O3005" s="79"/>
      <c r="P3005" s="79"/>
      <c r="Q3005" s="136"/>
      <c r="R3005" s="79"/>
      <c r="S3005" s="79"/>
      <c r="T3005" s="79"/>
      <c r="U3005" s="79"/>
      <c r="V3005" s="189"/>
      <c r="X3005" s="79"/>
      <c r="Y3005" s="79"/>
      <c r="Z3005" s="79"/>
      <c r="AA3005" s="255"/>
      <c r="AC3005" s="254"/>
    </row>
    <row r="3006" spans="1:29" ht="24">
      <c r="A3006" s="67" t="s">
        <v>16335</v>
      </c>
      <c r="B3006" s="65" t="s">
        <v>16336</v>
      </c>
      <c r="C3006" s="499" t="s">
        <v>165</v>
      </c>
      <c r="D3006" s="78">
        <v>1</v>
      </c>
      <c r="E3006" s="79">
        <v>58.68</v>
      </c>
      <c r="F3006" s="70">
        <v>58.68</v>
      </c>
      <c r="G3006" s="320"/>
      <c r="H3006" s="79">
        <v>25.18</v>
      </c>
      <c r="I3006" s="79">
        <v>33.5</v>
      </c>
      <c r="J3006" s="79">
        <v>58.68</v>
      </c>
      <c r="K3006" s="79">
        <v>0</v>
      </c>
      <c r="L3006" s="70">
        <v>58.68</v>
      </c>
      <c r="M3006" s="132"/>
      <c r="N3006" s="79">
        <v>25.18</v>
      </c>
      <c r="O3006" s="79">
        <v>33.5</v>
      </c>
      <c r="P3006" s="79">
        <v>58.68</v>
      </c>
      <c r="Q3006" s="136"/>
      <c r="R3006" s="79">
        <v>25.18</v>
      </c>
      <c r="S3006" s="79">
        <v>33.5</v>
      </c>
      <c r="T3006" s="79">
        <v>58.68</v>
      </c>
      <c r="U3006" s="79">
        <v>0</v>
      </c>
      <c r="V3006" s="189">
        <v>58.68</v>
      </c>
      <c r="X3006" s="79">
        <v>25.18</v>
      </c>
      <c r="Y3006" s="79">
        <v>33.5</v>
      </c>
      <c r="Z3006" s="79">
        <v>58.68</v>
      </c>
      <c r="AA3006" s="255">
        <v>0</v>
      </c>
      <c r="AC3006" s="254"/>
    </row>
    <row r="3007" spans="1:29" ht="24">
      <c r="A3007" s="67" t="s">
        <v>16337</v>
      </c>
      <c r="B3007" s="65" t="s">
        <v>16338</v>
      </c>
      <c r="C3007" s="71" t="s">
        <v>165</v>
      </c>
      <c r="D3007" s="78">
        <v>1</v>
      </c>
      <c r="E3007" s="79">
        <v>95.87</v>
      </c>
      <c r="F3007" s="70">
        <v>95.87</v>
      </c>
      <c r="G3007" s="320"/>
      <c r="H3007" s="79">
        <v>45.61</v>
      </c>
      <c r="I3007" s="79">
        <v>50.260000000000005</v>
      </c>
      <c r="J3007" s="79">
        <v>95.87</v>
      </c>
      <c r="K3007" s="79">
        <v>0</v>
      </c>
      <c r="L3007" s="70">
        <v>95.87</v>
      </c>
      <c r="M3007" s="132"/>
      <c r="N3007" s="79">
        <v>45.61</v>
      </c>
      <c r="O3007" s="79">
        <v>50.260000000000005</v>
      </c>
      <c r="P3007" s="79">
        <v>95.87</v>
      </c>
      <c r="Q3007" s="136"/>
      <c r="R3007" s="79">
        <v>45.61</v>
      </c>
      <c r="S3007" s="79">
        <v>50.25</v>
      </c>
      <c r="T3007" s="79">
        <v>95.86</v>
      </c>
      <c r="U3007" s="79">
        <v>0</v>
      </c>
      <c r="V3007" s="189">
        <v>95.86</v>
      </c>
      <c r="X3007" s="79">
        <v>45.61</v>
      </c>
      <c r="Y3007" s="79">
        <v>50.25</v>
      </c>
      <c r="Z3007" s="79">
        <v>95.86</v>
      </c>
      <c r="AA3007" s="255">
        <v>1.0000000000005116E-2</v>
      </c>
      <c r="AC3007" s="254"/>
    </row>
    <row r="3008" spans="1:29" ht="24">
      <c r="A3008" s="67" t="s">
        <v>16339</v>
      </c>
      <c r="B3008" s="65" t="s">
        <v>16340</v>
      </c>
      <c r="C3008" s="71" t="s">
        <v>165</v>
      </c>
      <c r="D3008" s="78">
        <v>1</v>
      </c>
      <c r="E3008" s="79">
        <v>120.2</v>
      </c>
      <c r="F3008" s="70">
        <v>120.2</v>
      </c>
      <c r="G3008" s="320"/>
      <c r="H3008" s="79">
        <v>58.779999999999994</v>
      </c>
      <c r="I3008" s="79">
        <v>61.42</v>
      </c>
      <c r="J3008" s="79">
        <v>120.19999999999999</v>
      </c>
      <c r="K3008" s="79">
        <v>0</v>
      </c>
      <c r="L3008" s="70">
        <v>120.19999999999999</v>
      </c>
      <c r="M3008" s="132"/>
      <c r="N3008" s="79">
        <v>58.779999999999994</v>
      </c>
      <c r="O3008" s="79">
        <v>61.42</v>
      </c>
      <c r="P3008" s="79">
        <v>120.19999999999999</v>
      </c>
      <c r="Q3008" s="136"/>
      <c r="R3008" s="79">
        <v>58.78</v>
      </c>
      <c r="S3008" s="79">
        <v>61.41</v>
      </c>
      <c r="T3008" s="79">
        <v>120.19</v>
      </c>
      <c r="U3008" s="79">
        <v>0</v>
      </c>
      <c r="V3008" s="189">
        <v>120.19</v>
      </c>
      <c r="X3008" s="79">
        <v>58.78</v>
      </c>
      <c r="Y3008" s="79">
        <v>61.41</v>
      </c>
      <c r="Z3008" s="79">
        <v>120.19</v>
      </c>
      <c r="AA3008" s="255">
        <v>1.0000000000005116E-2</v>
      </c>
      <c r="AC3008" s="254"/>
    </row>
    <row r="3009" spans="1:31" ht="24">
      <c r="A3009" s="67" t="s">
        <v>16341</v>
      </c>
      <c r="B3009" s="65" t="s">
        <v>16342</v>
      </c>
      <c r="C3009" s="71" t="s">
        <v>165</v>
      </c>
      <c r="D3009" s="78">
        <v>1</v>
      </c>
      <c r="E3009" s="79">
        <v>172.74</v>
      </c>
      <c r="F3009" s="70">
        <v>172.74</v>
      </c>
      <c r="G3009" s="320"/>
      <c r="H3009" s="79">
        <v>111.32</v>
      </c>
      <c r="I3009" s="79">
        <v>61.42</v>
      </c>
      <c r="J3009" s="79">
        <v>172.74</v>
      </c>
      <c r="K3009" s="79">
        <v>0</v>
      </c>
      <c r="L3009" s="70">
        <v>172.74</v>
      </c>
      <c r="M3009" s="132"/>
      <c r="N3009" s="79">
        <v>111.32</v>
      </c>
      <c r="O3009" s="79">
        <v>61.42</v>
      </c>
      <c r="P3009" s="79">
        <v>172.74</v>
      </c>
      <c r="Q3009" s="136"/>
      <c r="R3009" s="79">
        <v>111.32</v>
      </c>
      <c r="S3009" s="79">
        <v>61.41</v>
      </c>
      <c r="T3009" s="79">
        <v>172.73</v>
      </c>
      <c r="U3009" s="79">
        <v>0</v>
      </c>
      <c r="V3009" s="189">
        <v>172.73</v>
      </c>
      <c r="X3009" s="79">
        <v>111.32</v>
      </c>
      <c r="Y3009" s="79">
        <v>61.41</v>
      </c>
      <c r="Z3009" s="79">
        <v>172.73</v>
      </c>
      <c r="AA3009" s="255">
        <v>1.0000000000019327E-2</v>
      </c>
      <c r="AC3009" s="254"/>
    </row>
    <row r="3010" spans="1:31" ht="24">
      <c r="A3010" s="67" t="s">
        <v>16343</v>
      </c>
      <c r="B3010" s="65" t="s">
        <v>16344</v>
      </c>
      <c r="C3010" s="71" t="s">
        <v>165</v>
      </c>
      <c r="D3010" s="78">
        <v>1</v>
      </c>
      <c r="E3010" s="79">
        <v>49.73</v>
      </c>
      <c r="F3010" s="70">
        <v>49.73</v>
      </c>
      <c r="G3010" s="320"/>
      <c r="H3010" s="79">
        <v>21.79</v>
      </c>
      <c r="I3010" s="79">
        <v>27.939999999999998</v>
      </c>
      <c r="J3010" s="79">
        <v>49.73</v>
      </c>
      <c r="K3010" s="79">
        <v>0</v>
      </c>
      <c r="L3010" s="70">
        <v>49.73</v>
      </c>
      <c r="M3010" s="132"/>
      <c r="N3010" s="79">
        <v>21.79</v>
      </c>
      <c r="O3010" s="79">
        <v>27.939999999999998</v>
      </c>
      <c r="P3010" s="79">
        <v>49.73</v>
      </c>
      <c r="Q3010" s="136"/>
      <c r="R3010" s="79">
        <v>21.79</v>
      </c>
      <c r="S3010" s="79">
        <v>27.92</v>
      </c>
      <c r="T3010" s="79">
        <v>49.71</v>
      </c>
      <c r="U3010" s="79">
        <v>0</v>
      </c>
      <c r="V3010" s="189">
        <v>49.71</v>
      </c>
      <c r="X3010" s="79">
        <v>21.79</v>
      </c>
      <c r="Y3010" s="79">
        <v>27.92</v>
      </c>
      <c r="Z3010" s="79">
        <v>49.71</v>
      </c>
      <c r="AA3010" s="255">
        <v>1.9999999999996021E-2</v>
      </c>
      <c r="AC3010" s="254"/>
    </row>
    <row r="3011" spans="1:31" ht="12">
      <c r="A3011" s="489" t="s">
        <v>16345</v>
      </c>
      <c r="B3011" s="490" t="s">
        <v>16346</v>
      </c>
      <c r="C3011" s="491"/>
      <c r="D3011" s="492"/>
      <c r="E3011" s="79"/>
      <c r="F3011" s="63"/>
      <c r="G3011" s="320"/>
      <c r="H3011" s="79"/>
      <c r="I3011" s="79"/>
      <c r="J3011" s="79"/>
      <c r="K3011" s="79"/>
      <c r="L3011" s="70"/>
      <c r="M3011" s="132"/>
      <c r="N3011" s="79"/>
      <c r="O3011" s="79"/>
      <c r="P3011" s="79"/>
      <c r="Q3011" s="136"/>
      <c r="R3011" s="79"/>
      <c r="S3011" s="79"/>
      <c r="T3011" s="79"/>
      <c r="U3011" s="79"/>
      <c r="V3011" s="189"/>
      <c r="X3011" s="79"/>
      <c r="Y3011" s="79"/>
      <c r="Z3011" s="79"/>
      <c r="AA3011" s="255"/>
      <c r="AC3011" s="254"/>
    </row>
    <row r="3012" spans="1:31" ht="12">
      <c r="A3012" s="67" t="s">
        <v>16347</v>
      </c>
      <c r="B3012" s="65" t="s">
        <v>16348</v>
      </c>
      <c r="C3012" s="71" t="s">
        <v>165</v>
      </c>
      <c r="D3012" s="78">
        <v>1</v>
      </c>
      <c r="E3012" s="79">
        <v>47.5</v>
      </c>
      <c r="F3012" s="70">
        <v>47.5</v>
      </c>
      <c r="G3012" s="320"/>
      <c r="H3012" s="79">
        <v>27.85</v>
      </c>
      <c r="I3012" s="79">
        <v>19.649999999999999</v>
      </c>
      <c r="J3012" s="79">
        <v>47.5</v>
      </c>
      <c r="K3012" s="79">
        <v>0</v>
      </c>
      <c r="L3012" s="70">
        <v>47.5</v>
      </c>
      <c r="M3012" s="132"/>
      <c r="N3012" s="79">
        <v>27.85</v>
      </c>
      <c r="O3012" s="79">
        <v>19.649999999999999</v>
      </c>
      <c r="P3012" s="79">
        <v>47.5</v>
      </c>
      <c r="Q3012" s="136"/>
      <c r="R3012" s="79">
        <v>27.85</v>
      </c>
      <c r="S3012" s="79">
        <v>19.64</v>
      </c>
      <c r="T3012" s="79">
        <v>47.49</v>
      </c>
      <c r="U3012" s="79">
        <v>0</v>
      </c>
      <c r="V3012" s="189">
        <v>47.49</v>
      </c>
      <c r="X3012" s="79">
        <v>27.85</v>
      </c>
      <c r="Y3012" s="79">
        <v>19.64</v>
      </c>
      <c r="Z3012" s="79">
        <v>47.49</v>
      </c>
      <c r="AA3012" s="255">
        <v>9.9999999999980105E-3</v>
      </c>
      <c r="AC3012" s="254"/>
    </row>
    <row r="3013" spans="1:31" ht="12">
      <c r="A3013" s="67" t="s">
        <v>16349</v>
      </c>
      <c r="B3013" s="65" t="s">
        <v>16350</v>
      </c>
      <c r="C3013" s="71" t="s">
        <v>165</v>
      </c>
      <c r="D3013" s="78">
        <v>1</v>
      </c>
      <c r="E3013" s="79">
        <v>72.91</v>
      </c>
      <c r="F3013" s="70">
        <v>72.91</v>
      </c>
      <c r="G3013" s="320"/>
      <c r="H3013" s="79">
        <v>53.26</v>
      </c>
      <c r="I3013" s="79">
        <v>19.649999999999999</v>
      </c>
      <c r="J3013" s="79">
        <v>72.91</v>
      </c>
      <c r="K3013" s="79">
        <v>0</v>
      </c>
      <c r="L3013" s="70">
        <v>72.91</v>
      </c>
      <c r="M3013" s="132"/>
      <c r="N3013" s="79">
        <v>53.26</v>
      </c>
      <c r="O3013" s="79">
        <v>19.649999999999999</v>
      </c>
      <c r="P3013" s="79">
        <v>72.91</v>
      </c>
      <c r="Q3013" s="136"/>
      <c r="R3013" s="79">
        <v>53.26</v>
      </c>
      <c r="S3013" s="79">
        <v>19.64</v>
      </c>
      <c r="T3013" s="79">
        <v>72.900000000000006</v>
      </c>
      <c r="U3013" s="79">
        <v>0</v>
      </c>
      <c r="V3013" s="189">
        <v>72.900000000000006</v>
      </c>
      <c r="X3013" s="79">
        <v>53.26</v>
      </c>
      <c r="Y3013" s="79">
        <v>19.64</v>
      </c>
      <c r="Z3013" s="79">
        <v>72.900000000000006</v>
      </c>
      <c r="AA3013" s="255">
        <v>9.9999999999909051E-3</v>
      </c>
      <c r="AC3013" s="254"/>
      <c r="AD3013" s="61"/>
      <c r="AE3013" s="61"/>
    </row>
    <row r="3014" spans="1:31" ht="12">
      <c r="A3014" s="67" t="s">
        <v>16351</v>
      </c>
      <c r="B3014" s="65" t="s">
        <v>16352</v>
      </c>
      <c r="C3014" s="71" t="s">
        <v>165</v>
      </c>
      <c r="D3014" s="78">
        <v>1</v>
      </c>
      <c r="E3014" s="79">
        <v>120.96000000000001</v>
      </c>
      <c r="F3014" s="70">
        <v>120.96</v>
      </c>
      <c r="G3014" s="320"/>
      <c r="H3014" s="79">
        <v>101.31</v>
      </c>
      <c r="I3014" s="79">
        <v>19.649999999999999</v>
      </c>
      <c r="J3014" s="79">
        <v>120.96000000000001</v>
      </c>
      <c r="K3014" s="79">
        <v>0</v>
      </c>
      <c r="L3014" s="70">
        <v>120.96000000000001</v>
      </c>
      <c r="M3014" s="132"/>
      <c r="N3014" s="79">
        <v>101.31</v>
      </c>
      <c r="O3014" s="79">
        <v>19.649999999999999</v>
      </c>
      <c r="P3014" s="79">
        <v>120.96000000000001</v>
      </c>
      <c r="Q3014" s="136"/>
      <c r="R3014" s="79">
        <v>101.31</v>
      </c>
      <c r="S3014" s="79">
        <v>19.64</v>
      </c>
      <c r="T3014" s="79">
        <v>120.95</v>
      </c>
      <c r="U3014" s="79">
        <v>0</v>
      </c>
      <c r="V3014" s="189">
        <v>120.95</v>
      </c>
      <c r="X3014" s="79">
        <v>101.31</v>
      </c>
      <c r="Y3014" s="79">
        <v>19.64</v>
      </c>
      <c r="Z3014" s="79">
        <v>120.95</v>
      </c>
      <c r="AA3014" s="255">
        <v>9.9999999999909051E-3</v>
      </c>
      <c r="AC3014" s="254"/>
    </row>
    <row r="3015" spans="1:31" s="61" customFormat="1" ht="12">
      <c r="A3015" s="67" t="s">
        <v>16353</v>
      </c>
      <c r="B3015" s="65" t="s">
        <v>16354</v>
      </c>
      <c r="C3015" s="71" t="s">
        <v>165</v>
      </c>
      <c r="D3015" s="78">
        <v>1</v>
      </c>
      <c r="E3015" s="79">
        <v>102.19</v>
      </c>
      <c r="F3015" s="70">
        <v>102.19</v>
      </c>
      <c r="G3015" s="320"/>
      <c r="H3015" s="79">
        <v>82.54</v>
      </c>
      <c r="I3015" s="79">
        <v>19.649999999999999</v>
      </c>
      <c r="J3015" s="79">
        <v>102.19</v>
      </c>
      <c r="K3015" s="79">
        <v>0</v>
      </c>
      <c r="L3015" s="70">
        <v>102.19</v>
      </c>
      <c r="M3015" s="132"/>
      <c r="N3015" s="79">
        <v>82.54</v>
      </c>
      <c r="O3015" s="79">
        <v>19.649999999999999</v>
      </c>
      <c r="P3015" s="79">
        <v>102.19</v>
      </c>
      <c r="Q3015" s="136"/>
      <c r="R3015" s="79">
        <v>82.54</v>
      </c>
      <c r="S3015" s="79">
        <v>19.64</v>
      </c>
      <c r="T3015" s="79">
        <v>102.18</v>
      </c>
      <c r="U3015" s="79">
        <v>0</v>
      </c>
      <c r="V3015" s="189">
        <v>102.18</v>
      </c>
      <c r="X3015" s="79">
        <v>82.54</v>
      </c>
      <c r="Y3015" s="79">
        <v>19.64</v>
      </c>
      <c r="Z3015" s="79">
        <v>102.18</v>
      </c>
      <c r="AA3015" s="255">
        <v>9.9999999999909051E-3</v>
      </c>
      <c r="AC3015" s="254"/>
      <c r="AD3015" s="236"/>
      <c r="AE3015" s="236"/>
    </row>
    <row r="3016" spans="1:31" ht="12">
      <c r="A3016" s="67" t="s">
        <v>16355</v>
      </c>
      <c r="B3016" s="65" t="s">
        <v>16356</v>
      </c>
      <c r="C3016" s="71" t="s">
        <v>165</v>
      </c>
      <c r="D3016" s="78">
        <v>1</v>
      </c>
      <c r="E3016" s="79">
        <v>179.18</v>
      </c>
      <c r="F3016" s="70">
        <v>179.18</v>
      </c>
      <c r="G3016" s="320"/>
      <c r="H3016" s="79">
        <v>159.53</v>
      </c>
      <c r="I3016" s="79">
        <v>19.649999999999999</v>
      </c>
      <c r="J3016" s="79">
        <v>179.18</v>
      </c>
      <c r="K3016" s="79">
        <v>0</v>
      </c>
      <c r="L3016" s="70">
        <v>179.18</v>
      </c>
      <c r="M3016" s="132"/>
      <c r="N3016" s="79">
        <v>159.53</v>
      </c>
      <c r="O3016" s="79">
        <v>19.649999999999999</v>
      </c>
      <c r="P3016" s="79">
        <v>179.18</v>
      </c>
      <c r="Q3016" s="136"/>
      <c r="R3016" s="79">
        <v>159.53</v>
      </c>
      <c r="S3016" s="79">
        <v>19.64</v>
      </c>
      <c r="T3016" s="79">
        <v>179.17000000000002</v>
      </c>
      <c r="U3016" s="79">
        <v>0</v>
      </c>
      <c r="V3016" s="189">
        <v>179.17000000000002</v>
      </c>
      <c r="X3016" s="79">
        <v>159.53</v>
      </c>
      <c r="Y3016" s="79">
        <v>19.64</v>
      </c>
      <c r="Z3016" s="79">
        <v>179.17</v>
      </c>
      <c r="AA3016" s="255">
        <v>1.0000000000019327E-2</v>
      </c>
      <c r="AC3016" s="254"/>
      <c r="AD3016" s="61"/>
      <c r="AE3016" s="61"/>
    </row>
    <row r="3017" spans="1:31" ht="12">
      <c r="A3017" s="67" t="s">
        <v>16357</v>
      </c>
      <c r="B3017" s="65" t="s">
        <v>16358</v>
      </c>
      <c r="C3017" s="71" t="s">
        <v>165</v>
      </c>
      <c r="D3017" s="78">
        <v>1</v>
      </c>
      <c r="E3017" s="79">
        <v>288.49</v>
      </c>
      <c r="F3017" s="70">
        <v>288.49</v>
      </c>
      <c r="G3017" s="320"/>
      <c r="H3017" s="79">
        <v>249.21</v>
      </c>
      <c r="I3017" s="79">
        <v>39.28</v>
      </c>
      <c r="J3017" s="79">
        <v>288.49</v>
      </c>
      <c r="K3017" s="79">
        <v>0</v>
      </c>
      <c r="L3017" s="70">
        <v>288.49</v>
      </c>
      <c r="M3017" s="132"/>
      <c r="N3017" s="79">
        <v>249.21</v>
      </c>
      <c r="O3017" s="79">
        <v>39.28</v>
      </c>
      <c r="P3017" s="79">
        <v>288.49</v>
      </c>
      <c r="Q3017" s="136"/>
      <c r="R3017" s="79">
        <v>249.21</v>
      </c>
      <c r="S3017" s="79">
        <v>39.270000000000003</v>
      </c>
      <c r="T3017" s="79">
        <v>288.48</v>
      </c>
      <c r="U3017" s="79">
        <v>0</v>
      </c>
      <c r="V3017" s="189">
        <v>288.48</v>
      </c>
      <c r="X3017" s="79">
        <v>249.21</v>
      </c>
      <c r="Y3017" s="79">
        <v>39.270000000000003</v>
      </c>
      <c r="Z3017" s="79">
        <v>288.48</v>
      </c>
      <c r="AA3017" s="255">
        <v>9.9999999999909051E-3</v>
      </c>
      <c r="AC3017" s="254"/>
    </row>
    <row r="3018" spans="1:31" s="61" customFormat="1" ht="12">
      <c r="A3018" s="67" t="s">
        <v>16359</v>
      </c>
      <c r="B3018" s="65" t="s">
        <v>16360</v>
      </c>
      <c r="C3018" s="71" t="s">
        <v>165</v>
      </c>
      <c r="D3018" s="78">
        <v>1</v>
      </c>
      <c r="E3018" s="79">
        <v>446.77</v>
      </c>
      <c r="F3018" s="70">
        <v>446.77</v>
      </c>
      <c r="G3018" s="320"/>
      <c r="H3018" s="79">
        <v>407.49</v>
      </c>
      <c r="I3018" s="79">
        <v>39.28</v>
      </c>
      <c r="J3018" s="79">
        <v>446.77</v>
      </c>
      <c r="K3018" s="79">
        <v>0</v>
      </c>
      <c r="L3018" s="70">
        <v>446.77</v>
      </c>
      <c r="M3018" s="132"/>
      <c r="N3018" s="79">
        <v>407.49</v>
      </c>
      <c r="O3018" s="79">
        <v>39.28</v>
      </c>
      <c r="P3018" s="79">
        <v>446.77</v>
      </c>
      <c r="Q3018" s="136"/>
      <c r="R3018" s="79">
        <v>407.49</v>
      </c>
      <c r="S3018" s="79">
        <v>39.270000000000003</v>
      </c>
      <c r="T3018" s="79">
        <v>446.76</v>
      </c>
      <c r="U3018" s="79">
        <v>0</v>
      </c>
      <c r="V3018" s="189">
        <v>446.76</v>
      </c>
      <c r="X3018" s="79">
        <v>407.49</v>
      </c>
      <c r="Y3018" s="79">
        <v>39.270000000000003</v>
      </c>
      <c r="Z3018" s="79">
        <v>446.76</v>
      </c>
      <c r="AA3018" s="255">
        <v>9.9999999999909051E-3</v>
      </c>
      <c r="AC3018" s="254"/>
      <c r="AD3018" s="236"/>
      <c r="AE3018" s="236"/>
    </row>
    <row r="3019" spans="1:31" ht="12">
      <c r="A3019" s="67" t="s">
        <v>16361</v>
      </c>
      <c r="B3019" s="65" t="s">
        <v>16362</v>
      </c>
      <c r="C3019" s="71" t="s">
        <v>165</v>
      </c>
      <c r="D3019" s="78">
        <v>1</v>
      </c>
      <c r="E3019" s="79">
        <v>594.51</v>
      </c>
      <c r="F3019" s="70">
        <v>594.51</v>
      </c>
      <c r="G3019" s="320"/>
      <c r="H3019" s="79">
        <v>555.23</v>
      </c>
      <c r="I3019" s="79">
        <v>39.28</v>
      </c>
      <c r="J3019" s="79">
        <v>594.51</v>
      </c>
      <c r="K3019" s="79">
        <v>0</v>
      </c>
      <c r="L3019" s="70">
        <v>594.51</v>
      </c>
      <c r="M3019" s="132"/>
      <c r="N3019" s="79">
        <v>555.23</v>
      </c>
      <c r="O3019" s="79">
        <v>39.28</v>
      </c>
      <c r="P3019" s="79">
        <v>594.51</v>
      </c>
      <c r="Q3019" s="136"/>
      <c r="R3019" s="79">
        <v>555.23</v>
      </c>
      <c r="S3019" s="79">
        <v>39.270000000000003</v>
      </c>
      <c r="T3019" s="79">
        <v>594.5</v>
      </c>
      <c r="U3019" s="79">
        <v>0</v>
      </c>
      <c r="V3019" s="189">
        <v>594.5</v>
      </c>
      <c r="X3019" s="79">
        <v>555.23</v>
      </c>
      <c r="Y3019" s="79">
        <v>39.270000000000003</v>
      </c>
      <c r="Z3019" s="79">
        <v>594.5</v>
      </c>
      <c r="AA3019" s="255">
        <v>9.9999999999909051E-3</v>
      </c>
      <c r="AC3019" s="254"/>
    </row>
    <row r="3020" spans="1:31" ht="12">
      <c r="A3020" s="489" t="s">
        <v>16363</v>
      </c>
      <c r="B3020" s="490" t="s">
        <v>16364</v>
      </c>
      <c r="C3020" s="491"/>
      <c r="D3020" s="492"/>
      <c r="E3020" s="79"/>
      <c r="F3020" s="63"/>
      <c r="G3020" s="320"/>
      <c r="H3020" s="79"/>
      <c r="I3020" s="79"/>
      <c r="J3020" s="79"/>
      <c r="K3020" s="79"/>
      <c r="L3020" s="70"/>
      <c r="M3020" s="132"/>
      <c r="N3020" s="79"/>
      <c r="O3020" s="79"/>
      <c r="P3020" s="79"/>
      <c r="Q3020" s="136"/>
      <c r="R3020" s="79"/>
      <c r="S3020" s="79"/>
      <c r="T3020" s="79"/>
      <c r="U3020" s="79"/>
      <c r="V3020" s="189"/>
      <c r="X3020" s="79"/>
      <c r="Y3020" s="79"/>
      <c r="Z3020" s="79"/>
      <c r="AA3020" s="255"/>
      <c r="AC3020" s="254"/>
    </row>
    <row r="3021" spans="1:31" ht="12">
      <c r="A3021" s="67" t="s">
        <v>16365</v>
      </c>
      <c r="B3021" s="65" t="s">
        <v>16366</v>
      </c>
      <c r="C3021" s="71" t="s">
        <v>165</v>
      </c>
      <c r="D3021" s="78">
        <v>1</v>
      </c>
      <c r="E3021" s="79">
        <v>48.51</v>
      </c>
      <c r="F3021" s="70">
        <v>48.51</v>
      </c>
      <c r="G3021" s="320"/>
      <c r="H3021" s="79">
        <v>28.86</v>
      </c>
      <c r="I3021" s="79">
        <v>19.649999999999999</v>
      </c>
      <c r="J3021" s="79">
        <v>48.51</v>
      </c>
      <c r="K3021" s="79">
        <v>0</v>
      </c>
      <c r="L3021" s="70">
        <v>48.51</v>
      </c>
      <c r="M3021" s="132"/>
      <c r="N3021" s="79">
        <v>28.86</v>
      </c>
      <c r="O3021" s="79">
        <v>19.649999999999999</v>
      </c>
      <c r="P3021" s="79">
        <v>48.51</v>
      </c>
      <c r="Q3021" s="136"/>
      <c r="R3021" s="79">
        <v>28.86</v>
      </c>
      <c r="S3021" s="79">
        <v>19.64</v>
      </c>
      <c r="T3021" s="79">
        <v>48.5</v>
      </c>
      <c r="U3021" s="79">
        <v>0</v>
      </c>
      <c r="V3021" s="189">
        <v>48.5</v>
      </c>
      <c r="X3021" s="79">
        <v>28.86</v>
      </c>
      <c r="Y3021" s="79">
        <v>19.64</v>
      </c>
      <c r="Z3021" s="79">
        <v>48.5</v>
      </c>
      <c r="AA3021" s="255">
        <v>9.9999999999980105E-3</v>
      </c>
      <c r="AC3021" s="254"/>
    </row>
    <row r="3022" spans="1:31" ht="12">
      <c r="A3022" s="67" t="s">
        <v>16367</v>
      </c>
      <c r="B3022" s="65" t="s">
        <v>16368</v>
      </c>
      <c r="C3022" s="71" t="s">
        <v>165</v>
      </c>
      <c r="D3022" s="78">
        <v>1</v>
      </c>
      <c r="E3022" s="79">
        <v>76.83</v>
      </c>
      <c r="F3022" s="70">
        <v>76.83</v>
      </c>
      <c r="G3022" s="320"/>
      <c r="H3022" s="79">
        <v>57.18</v>
      </c>
      <c r="I3022" s="79">
        <v>19.649999999999999</v>
      </c>
      <c r="J3022" s="79">
        <v>76.83</v>
      </c>
      <c r="K3022" s="79">
        <v>0</v>
      </c>
      <c r="L3022" s="70">
        <v>76.83</v>
      </c>
      <c r="M3022" s="132"/>
      <c r="N3022" s="79">
        <v>57.18</v>
      </c>
      <c r="O3022" s="79">
        <v>19.649999999999999</v>
      </c>
      <c r="P3022" s="79">
        <v>76.83</v>
      </c>
      <c r="Q3022" s="136"/>
      <c r="R3022" s="79">
        <v>57.18</v>
      </c>
      <c r="S3022" s="79">
        <v>19.64</v>
      </c>
      <c r="T3022" s="79">
        <v>76.819999999999993</v>
      </c>
      <c r="U3022" s="79">
        <v>0</v>
      </c>
      <c r="V3022" s="189">
        <v>76.819999999999993</v>
      </c>
      <c r="X3022" s="79">
        <v>57.18</v>
      </c>
      <c r="Y3022" s="79">
        <v>19.64</v>
      </c>
      <c r="Z3022" s="79">
        <v>76.819999999999993</v>
      </c>
      <c r="AA3022" s="255">
        <v>1.0000000000005116E-2</v>
      </c>
      <c r="AC3022" s="254"/>
    </row>
    <row r="3023" spans="1:31" ht="12">
      <c r="A3023" s="67" t="s">
        <v>16369</v>
      </c>
      <c r="B3023" s="65" t="s">
        <v>16370</v>
      </c>
      <c r="C3023" s="71" t="s">
        <v>165</v>
      </c>
      <c r="D3023" s="78">
        <v>1</v>
      </c>
      <c r="E3023" s="79">
        <v>131.81</v>
      </c>
      <c r="F3023" s="70">
        <v>131.81</v>
      </c>
      <c r="G3023" s="320"/>
      <c r="H3023" s="79">
        <v>92.53</v>
      </c>
      <c r="I3023" s="79">
        <v>39.28</v>
      </c>
      <c r="J3023" s="79">
        <v>131.81</v>
      </c>
      <c r="K3023" s="79">
        <v>0</v>
      </c>
      <c r="L3023" s="70">
        <v>131.81</v>
      </c>
      <c r="M3023" s="132"/>
      <c r="N3023" s="79">
        <v>92.53</v>
      </c>
      <c r="O3023" s="79">
        <v>39.28</v>
      </c>
      <c r="P3023" s="79">
        <v>131.81</v>
      </c>
      <c r="Q3023" s="136"/>
      <c r="R3023" s="79">
        <v>92.53</v>
      </c>
      <c r="S3023" s="79">
        <v>39.270000000000003</v>
      </c>
      <c r="T3023" s="79">
        <v>131.80000000000001</v>
      </c>
      <c r="U3023" s="79">
        <v>0</v>
      </c>
      <c r="V3023" s="189">
        <v>131.80000000000001</v>
      </c>
      <c r="X3023" s="79">
        <v>92.53</v>
      </c>
      <c r="Y3023" s="79">
        <v>39.270000000000003</v>
      </c>
      <c r="Z3023" s="79">
        <v>131.80000000000001</v>
      </c>
      <c r="AA3023" s="255">
        <v>9.9999999999909051E-3</v>
      </c>
      <c r="AC3023" s="254"/>
    </row>
    <row r="3024" spans="1:31" ht="12">
      <c r="A3024" s="67" t="s">
        <v>16371</v>
      </c>
      <c r="B3024" s="65" t="s">
        <v>16372</v>
      </c>
      <c r="C3024" s="71" t="s">
        <v>165</v>
      </c>
      <c r="D3024" s="78">
        <v>1</v>
      </c>
      <c r="E3024" s="79">
        <v>204.73</v>
      </c>
      <c r="F3024" s="70">
        <v>204.73</v>
      </c>
      <c r="G3024" s="320"/>
      <c r="H3024" s="79">
        <v>165.45</v>
      </c>
      <c r="I3024" s="79">
        <v>39.28</v>
      </c>
      <c r="J3024" s="79">
        <v>204.73</v>
      </c>
      <c r="K3024" s="79">
        <v>0</v>
      </c>
      <c r="L3024" s="70">
        <v>204.73</v>
      </c>
      <c r="M3024" s="132"/>
      <c r="N3024" s="79">
        <v>165.45</v>
      </c>
      <c r="O3024" s="79">
        <v>39.28</v>
      </c>
      <c r="P3024" s="79">
        <v>204.73</v>
      </c>
      <c r="Q3024" s="136"/>
      <c r="R3024" s="79">
        <v>165.45</v>
      </c>
      <c r="S3024" s="79">
        <v>39.270000000000003</v>
      </c>
      <c r="T3024" s="79">
        <v>204.72</v>
      </c>
      <c r="U3024" s="79">
        <v>0</v>
      </c>
      <c r="V3024" s="189">
        <v>204.72</v>
      </c>
      <c r="X3024" s="79">
        <v>165.45</v>
      </c>
      <c r="Y3024" s="79">
        <v>39.270000000000003</v>
      </c>
      <c r="Z3024" s="79">
        <v>204.72</v>
      </c>
      <c r="AA3024" s="255">
        <v>9.9999999999909051E-3</v>
      </c>
      <c r="AC3024" s="254"/>
    </row>
    <row r="3025" spans="1:29" ht="12">
      <c r="A3025" s="67" t="s">
        <v>16373</v>
      </c>
      <c r="B3025" s="65" t="s">
        <v>16374</v>
      </c>
      <c r="C3025" s="71" t="s">
        <v>165</v>
      </c>
      <c r="D3025" s="78">
        <v>1</v>
      </c>
      <c r="E3025" s="79">
        <v>294.77</v>
      </c>
      <c r="F3025" s="70">
        <v>294.77</v>
      </c>
      <c r="G3025" s="320"/>
      <c r="H3025" s="79">
        <v>255.49</v>
      </c>
      <c r="I3025" s="79">
        <v>39.28</v>
      </c>
      <c r="J3025" s="79">
        <v>294.77</v>
      </c>
      <c r="K3025" s="79">
        <v>0</v>
      </c>
      <c r="L3025" s="70">
        <v>294.77</v>
      </c>
      <c r="M3025" s="132"/>
      <c r="N3025" s="79">
        <v>255.49</v>
      </c>
      <c r="O3025" s="79">
        <v>39.28</v>
      </c>
      <c r="P3025" s="79">
        <v>294.77</v>
      </c>
      <c r="Q3025" s="136"/>
      <c r="R3025" s="79">
        <v>255.49</v>
      </c>
      <c r="S3025" s="79">
        <v>39.270000000000003</v>
      </c>
      <c r="T3025" s="79">
        <v>294.76</v>
      </c>
      <c r="U3025" s="79">
        <v>0</v>
      </c>
      <c r="V3025" s="189">
        <v>294.76</v>
      </c>
      <c r="X3025" s="79">
        <v>255.49</v>
      </c>
      <c r="Y3025" s="79">
        <v>39.270000000000003</v>
      </c>
      <c r="Z3025" s="79">
        <v>294.76</v>
      </c>
      <c r="AA3025" s="255">
        <v>9.9999999999909051E-3</v>
      </c>
      <c r="AC3025" s="254"/>
    </row>
    <row r="3026" spans="1:29" ht="12">
      <c r="A3026" s="67" t="s">
        <v>16375</v>
      </c>
      <c r="B3026" s="65" t="s">
        <v>16376</v>
      </c>
      <c r="C3026" s="71" t="s">
        <v>165</v>
      </c>
      <c r="D3026" s="78">
        <v>1</v>
      </c>
      <c r="E3026" s="79">
        <v>465.09000000000003</v>
      </c>
      <c r="F3026" s="70">
        <v>465.09</v>
      </c>
      <c r="G3026" s="320"/>
      <c r="H3026" s="79">
        <v>425.81</v>
      </c>
      <c r="I3026" s="79">
        <v>39.28</v>
      </c>
      <c r="J3026" s="79">
        <v>465.09000000000003</v>
      </c>
      <c r="K3026" s="79">
        <v>0</v>
      </c>
      <c r="L3026" s="70">
        <v>465.09000000000003</v>
      </c>
      <c r="M3026" s="132"/>
      <c r="N3026" s="79">
        <v>425.81</v>
      </c>
      <c r="O3026" s="79">
        <v>39.28</v>
      </c>
      <c r="P3026" s="79">
        <v>465.09000000000003</v>
      </c>
      <c r="Q3026" s="136"/>
      <c r="R3026" s="79">
        <v>425.81</v>
      </c>
      <c r="S3026" s="79">
        <v>39.270000000000003</v>
      </c>
      <c r="T3026" s="79">
        <v>465.08</v>
      </c>
      <c r="U3026" s="79">
        <v>0</v>
      </c>
      <c r="V3026" s="189">
        <v>465.08</v>
      </c>
      <c r="X3026" s="79">
        <v>425.81</v>
      </c>
      <c r="Y3026" s="79">
        <v>39.270000000000003</v>
      </c>
      <c r="Z3026" s="79">
        <v>465.08</v>
      </c>
      <c r="AA3026" s="255">
        <v>9.9999999999909051E-3</v>
      </c>
      <c r="AC3026" s="254"/>
    </row>
    <row r="3027" spans="1:29" ht="12">
      <c r="A3027" s="489" t="s">
        <v>16377</v>
      </c>
      <c r="B3027" s="490" t="s">
        <v>16378</v>
      </c>
      <c r="C3027" s="491"/>
      <c r="D3027" s="492"/>
      <c r="E3027" s="79"/>
      <c r="F3027" s="63"/>
      <c r="G3027" s="320"/>
      <c r="H3027" s="79"/>
      <c r="I3027" s="79"/>
      <c r="J3027" s="79"/>
      <c r="K3027" s="79"/>
      <c r="L3027" s="70"/>
      <c r="M3027" s="132"/>
      <c r="N3027" s="79"/>
      <c r="O3027" s="79"/>
      <c r="P3027" s="79"/>
      <c r="Q3027" s="136"/>
      <c r="R3027" s="79"/>
      <c r="S3027" s="79"/>
      <c r="T3027" s="79"/>
      <c r="U3027" s="79"/>
      <c r="V3027" s="189"/>
      <c r="X3027" s="79"/>
      <c r="Y3027" s="79"/>
      <c r="Z3027" s="79"/>
      <c r="AA3027" s="255"/>
      <c r="AC3027" s="254"/>
    </row>
    <row r="3028" spans="1:29" ht="12">
      <c r="A3028" s="67" t="s">
        <v>16379</v>
      </c>
      <c r="B3028" s="65" t="s">
        <v>16380</v>
      </c>
      <c r="C3028" s="71" t="s">
        <v>165</v>
      </c>
      <c r="D3028" s="78">
        <v>1</v>
      </c>
      <c r="E3028" s="79">
        <v>89.49</v>
      </c>
      <c r="F3028" s="70">
        <v>89.49</v>
      </c>
      <c r="G3028" s="320"/>
      <c r="H3028" s="79">
        <v>33.659999999999997</v>
      </c>
      <c r="I3028" s="79">
        <v>55.83</v>
      </c>
      <c r="J3028" s="79">
        <v>89.49</v>
      </c>
      <c r="K3028" s="79">
        <v>0</v>
      </c>
      <c r="L3028" s="70">
        <v>89.49</v>
      </c>
      <c r="M3028" s="132"/>
      <c r="N3028" s="79">
        <v>33.659999999999997</v>
      </c>
      <c r="O3028" s="79">
        <v>55.83</v>
      </c>
      <c r="P3028" s="79">
        <v>89.49</v>
      </c>
      <c r="Q3028" s="136"/>
      <c r="R3028" s="79">
        <v>33.659999999999997</v>
      </c>
      <c r="S3028" s="79">
        <v>55.83</v>
      </c>
      <c r="T3028" s="79">
        <v>89.49</v>
      </c>
      <c r="U3028" s="79">
        <v>0</v>
      </c>
      <c r="V3028" s="189">
        <v>89.49</v>
      </c>
      <c r="X3028" s="79">
        <v>33.659999999999997</v>
      </c>
      <c r="Y3028" s="79">
        <v>55.83</v>
      </c>
      <c r="Z3028" s="79">
        <v>89.49</v>
      </c>
      <c r="AA3028" s="255">
        <v>0</v>
      </c>
      <c r="AC3028" s="254"/>
    </row>
    <row r="3029" spans="1:29" ht="12">
      <c r="A3029" s="67" t="s">
        <v>16381</v>
      </c>
      <c r="B3029" s="65" t="s">
        <v>16382</v>
      </c>
      <c r="C3029" s="71" t="s">
        <v>165</v>
      </c>
      <c r="D3029" s="78">
        <v>1</v>
      </c>
      <c r="E3029" s="79">
        <v>100.87</v>
      </c>
      <c r="F3029" s="70">
        <v>100.87</v>
      </c>
      <c r="G3029" s="320"/>
      <c r="H3029" s="79">
        <v>39.449999999999996</v>
      </c>
      <c r="I3029" s="79">
        <v>61.42</v>
      </c>
      <c r="J3029" s="79">
        <v>100.87</v>
      </c>
      <c r="K3029" s="79">
        <v>0</v>
      </c>
      <c r="L3029" s="70">
        <v>100.87</v>
      </c>
      <c r="M3029" s="132"/>
      <c r="N3029" s="79">
        <v>39.449999999999996</v>
      </c>
      <c r="O3029" s="79">
        <v>61.42</v>
      </c>
      <c r="P3029" s="79">
        <v>100.87</v>
      </c>
      <c r="Q3029" s="136"/>
      <c r="R3029" s="79">
        <v>39.450000000000003</v>
      </c>
      <c r="S3029" s="79">
        <v>61.41</v>
      </c>
      <c r="T3029" s="79">
        <v>100.86</v>
      </c>
      <c r="U3029" s="79">
        <v>0</v>
      </c>
      <c r="V3029" s="189">
        <v>100.86</v>
      </c>
      <c r="X3029" s="79">
        <v>39.450000000000003</v>
      </c>
      <c r="Y3029" s="79">
        <v>61.41</v>
      </c>
      <c r="Z3029" s="79">
        <v>100.86</v>
      </c>
      <c r="AA3029" s="255">
        <v>1.0000000000005116E-2</v>
      </c>
      <c r="AC3029" s="254"/>
    </row>
    <row r="3030" spans="1:29" ht="12">
      <c r="A3030" s="67" t="s">
        <v>16383</v>
      </c>
      <c r="B3030" s="65" t="s">
        <v>16384</v>
      </c>
      <c r="C3030" s="71" t="s">
        <v>165</v>
      </c>
      <c r="D3030" s="78">
        <v>1</v>
      </c>
      <c r="E3030" s="79">
        <v>126.16</v>
      </c>
      <c r="F3030" s="70">
        <v>126.16</v>
      </c>
      <c r="G3030" s="320"/>
      <c r="H3030" s="79">
        <v>53.58</v>
      </c>
      <c r="I3030" s="79">
        <v>72.58</v>
      </c>
      <c r="J3030" s="79">
        <v>126.16</v>
      </c>
      <c r="K3030" s="79">
        <v>0</v>
      </c>
      <c r="L3030" s="70">
        <v>126.16</v>
      </c>
      <c r="M3030" s="132"/>
      <c r="N3030" s="79">
        <v>53.58</v>
      </c>
      <c r="O3030" s="79">
        <v>72.58</v>
      </c>
      <c r="P3030" s="79">
        <v>126.16</v>
      </c>
      <c r="Q3030" s="136"/>
      <c r="R3030" s="79">
        <v>53.58</v>
      </c>
      <c r="S3030" s="79">
        <v>72.58</v>
      </c>
      <c r="T3030" s="79">
        <v>126.16</v>
      </c>
      <c r="U3030" s="79">
        <v>0</v>
      </c>
      <c r="V3030" s="189">
        <v>126.16</v>
      </c>
      <c r="X3030" s="79">
        <v>53.58</v>
      </c>
      <c r="Y3030" s="79">
        <v>72.58</v>
      </c>
      <c r="Z3030" s="79">
        <v>126.16</v>
      </c>
      <c r="AA3030" s="255">
        <v>0</v>
      </c>
      <c r="AC3030" s="254"/>
    </row>
    <row r="3031" spans="1:29" ht="12">
      <c r="A3031" s="67" t="s">
        <v>16385</v>
      </c>
      <c r="B3031" s="65" t="s">
        <v>16386</v>
      </c>
      <c r="C3031" s="71" t="s">
        <v>165</v>
      </c>
      <c r="D3031" s="78">
        <v>1</v>
      </c>
      <c r="E3031" s="79">
        <v>147.45999999999998</v>
      </c>
      <c r="F3031" s="70">
        <v>147.46</v>
      </c>
      <c r="G3031" s="320"/>
      <c r="H3031" s="79">
        <v>69.31</v>
      </c>
      <c r="I3031" s="79">
        <v>78.149999999999991</v>
      </c>
      <c r="J3031" s="79">
        <v>147.45999999999998</v>
      </c>
      <c r="K3031" s="79">
        <v>0</v>
      </c>
      <c r="L3031" s="70">
        <v>147.45999999999998</v>
      </c>
      <c r="M3031" s="132"/>
      <c r="N3031" s="79">
        <v>69.31</v>
      </c>
      <c r="O3031" s="79">
        <v>78.149999999999991</v>
      </c>
      <c r="P3031" s="79">
        <v>147.45999999999998</v>
      </c>
      <c r="Q3031" s="136"/>
      <c r="R3031" s="79">
        <v>69.31</v>
      </c>
      <c r="S3031" s="79">
        <v>78.16</v>
      </c>
      <c r="T3031" s="79">
        <v>147.47</v>
      </c>
      <c r="U3031" s="79">
        <v>0</v>
      </c>
      <c r="V3031" s="189">
        <v>147.47</v>
      </c>
      <c r="X3031" s="79">
        <v>69.31</v>
      </c>
      <c r="Y3031" s="79">
        <v>78.16</v>
      </c>
      <c r="Z3031" s="79">
        <v>147.47</v>
      </c>
      <c r="AA3031" s="255">
        <v>-9.9999999999909051E-3</v>
      </c>
      <c r="AC3031" s="254"/>
    </row>
    <row r="3032" spans="1:29" ht="12">
      <c r="A3032" s="67" t="s">
        <v>16387</v>
      </c>
      <c r="B3032" s="65" t="s">
        <v>16388</v>
      </c>
      <c r="C3032" s="71" t="s">
        <v>165</v>
      </c>
      <c r="D3032" s="78">
        <v>1</v>
      </c>
      <c r="E3032" s="79">
        <v>167.4</v>
      </c>
      <c r="F3032" s="70">
        <v>167.4</v>
      </c>
      <c r="G3032" s="320"/>
      <c r="H3032" s="79">
        <v>78.069999999999993</v>
      </c>
      <c r="I3032" s="79">
        <v>89.33</v>
      </c>
      <c r="J3032" s="79">
        <v>167.39999999999998</v>
      </c>
      <c r="K3032" s="79">
        <v>0</v>
      </c>
      <c r="L3032" s="70">
        <v>167.39999999999998</v>
      </c>
      <c r="M3032" s="132"/>
      <c r="N3032" s="79">
        <v>78.069999999999993</v>
      </c>
      <c r="O3032" s="79">
        <v>89.33</v>
      </c>
      <c r="P3032" s="79">
        <v>167.39999999999998</v>
      </c>
      <c r="Q3032" s="136"/>
      <c r="R3032" s="79">
        <v>78.069999999999993</v>
      </c>
      <c r="S3032" s="79">
        <v>89.33</v>
      </c>
      <c r="T3032" s="79">
        <v>167.39999999999998</v>
      </c>
      <c r="U3032" s="79">
        <v>0</v>
      </c>
      <c r="V3032" s="189">
        <v>167.39999999999998</v>
      </c>
      <c r="X3032" s="79">
        <v>78.069999999999993</v>
      </c>
      <c r="Y3032" s="79">
        <v>89.33</v>
      </c>
      <c r="Z3032" s="79">
        <v>167.4</v>
      </c>
      <c r="AA3032" s="255">
        <v>0</v>
      </c>
      <c r="AC3032" s="254"/>
    </row>
    <row r="3033" spans="1:29" ht="12">
      <c r="A3033" s="67" t="s">
        <v>16389</v>
      </c>
      <c r="B3033" s="65" t="s">
        <v>16390</v>
      </c>
      <c r="C3033" s="71" t="s">
        <v>165</v>
      </c>
      <c r="D3033" s="78">
        <v>1</v>
      </c>
      <c r="E3033" s="79">
        <v>204.82999999999998</v>
      </c>
      <c r="F3033" s="70">
        <v>204.83</v>
      </c>
      <c r="G3033" s="320"/>
      <c r="H3033" s="79">
        <v>104.33999999999999</v>
      </c>
      <c r="I3033" s="79">
        <v>100.49000000000001</v>
      </c>
      <c r="J3033" s="79">
        <v>204.82999999999998</v>
      </c>
      <c r="K3033" s="79">
        <v>0</v>
      </c>
      <c r="L3033" s="70">
        <v>204.82999999999998</v>
      </c>
      <c r="M3033" s="132"/>
      <c r="N3033" s="79">
        <v>104.33999999999999</v>
      </c>
      <c r="O3033" s="79">
        <v>100.49000000000001</v>
      </c>
      <c r="P3033" s="79">
        <v>204.82999999999998</v>
      </c>
      <c r="Q3033" s="136"/>
      <c r="R3033" s="79">
        <v>104.34</v>
      </c>
      <c r="S3033" s="79">
        <v>100.5</v>
      </c>
      <c r="T3033" s="79">
        <v>204.84</v>
      </c>
      <c r="U3033" s="79">
        <v>0</v>
      </c>
      <c r="V3033" s="189">
        <v>204.84</v>
      </c>
      <c r="X3033" s="79">
        <v>104.34</v>
      </c>
      <c r="Y3033" s="79">
        <v>100.5</v>
      </c>
      <c r="Z3033" s="79">
        <v>204.84</v>
      </c>
      <c r="AA3033" s="255">
        <v>-9.9999999999909051E-3</v>
      </c>
      <c r="AC3033" s="254"/>
    </row>
    <row r="3034" spans="1:29" ht="12">
      <c r="A3034" s="67" t="s">
        <v>16391</v>
      </c>
      <c r="B3034" s="65" t="s">
        <v>16392</v>
      </c>
      <c r="C3034" s="71" t="s">
        <v>165</v>
      </c>
      <c r="D3034" s="78">
        <v>1</v>
      </c>
      <c r="E3034" s="79">
        <v>245.05</v>
      </c>
      <c r="F3034" s="70">
        <v>245.05</v>
      </c>
      <c r="G3034" s="320"/>
      <c r="H3034" s="79">
        <v>133.4</v>
      </c>
      <c r="I3034" s="79">
        <v>111.65</v>
      </c>
      <c r="J3034" s="79">
        <v>245.05</v>
      </c>
      <c r="K3034" s="79">
        <v>0</v>
      </c>
      <c r="L3034" s="70">
        <v>245.05</v>
      </c>
      <c r="M3034" s="132"/>
      <c r="N3034" s="79">
        <v>133.4</v>
      </c>
      <c r="O3034" s="79">
        <v>111.65</v>
      </c>
      <c r="P3034" s="79">
        <v>245.05</v>
      </c>
      <c r="Q3034" s="136"/>
      <c r="R3034" s="79">
        <v>133.4</v>
      </c>
      <c r="S3034" s="79">
        <v>111.66</v>
      </c>
      <c r="T3034" s="79">
        <v>245.06</v>
      </c>
      <c r="U3034" s="79">
        <v>0</v>
      </c>
      <c r="V3034" s="189">
        <v>245.06</v>
      </c>
      <c r="X3034" s="79">
        <v>133.4</v>
      </c>
      <c r="Y3034" s="79">
        <v>111.66</v>
      </c>
      <c r="Z3034" s="79">
        <v>245.06</v>
      </c>
      <c r="AA3034" s="255">
        <v>-9.9999999999909051E-3</v>
      </c>
      <c r="AC3034" s="254"/>
    </row>
    <row r="3035" spans="1:29" ht="12">
      <c r="A3035" s="67" t="s">
        <v>16393</v>
      </c>
      <c r="B3035" s="65" t="s">
        <v>16394</v>
      </c>
      <c r="C3035" s="71" t="s">
        <v>165</v>
      </c>
      <c r="D3035" s="78">
        <v>1</v>
      </c>
      <c r="E3035" s="79">
        <v>275.07000000000005</v>
      </c>
      <c r="F3035" s="70">
        <v>275.07</v>
      </c>
      <c r="G3035" s="320"/>
      <c r="H3035" s="79">
        <v>149.44999999999999</v>
      </c>
      <c r="I3035" s="79">
        <v>125.62</v>
      </c>
      <c r="J3035" s="79">
        <v>275.07</v>
      </c>
      <c r="K3035" s="79">
        <v>0</v>
      </c>
      <c r="L3035" s="70">
        <v>275.07</v>
      </c>
      <c r="M3035" s="132"/>
      <c r="N3035" s="79">
        <v>149.44999999999999</v>
      </c>
      <c r="O3035" s="79">
        <v>125.62</v>
      </c>
      <c r="P3035" s="79">
        <v>275.07</v>
      </c>
      <c r="Q3035" s="136"/>
      <c r="R3035" s="79">
        <v>149.44999999999999</v>
      </c>
      <c r="S3035" s="79">
        <v>125.62</v>
      </c>
      <c r="T3035" s="79">
        <v>275.07</v>
      </c>
      <c r="U3035" s="79">
        <v>0</v>
      </c>
      <c r="V3035" s="189">
        <v>275.07</v>
      </c>
      <c r="X3035" s="79">
        <v>149.44999999999999</v>
      </c>
      <c r="Y3035" s="79">
        <v>125.62</v>
      </c>
      <c r="Z3035" s="79">
        <v>275.07</v>
      </c>
      <c r="AA3035" s="255">
        <v>0</v>
      </c>
      <c r="AC3035" s="254"/>
    </row>
    <row r="3036" spans="1:29" ht="12">
      <c r="A3036" s="67" t="s">
        <v>16395</v>
      </c>
      <c r="B3036" s="65" t="s">
        <v>16396</v>
      </c>
      <c r="C3036" s="71" t="s">
        <v>165</v>
      </c>
      <c r="D3036" s="78">
        <v>1</v>
      </c>
      <c r="E3036" s="79">
        <v>360.89</v>
      </c>
      <c r="F3036" s="70">
        <v>360.89</v>
      </c>
      <c r="G3036" s="320"/>
      <c r="H3036" s="79">
        <v>221.29999999999998</v>
      </c>
      <c r="I3036" s="79">
        <v>139.59</v>
      </c>
      <c r="J3036" s="79">
        <v>360.89</v>
      </c>
      <c r="K3036" s="79">
        <v>0</v>
      </c>
      <c r="L3036" s="70">
        <v>360.89</v>
      </c>
      <c r="M3036" s="132"/>
      <c r="N3036" s="79">
        <v>221.29999999999998</v>
      </c>
      <c r="O3036" s="79">
        <v>139.59</v>
      </c>
      <c r="P3036" s="79">
        <v>360.89</v>
      </c>
      <c r="Q3036" s="136"/>
      <c r="R3036" s="79">
        <v>221.3</v>
      </c>
      <c r="S3036" s="79">
        <v>139.58000000000001</v>
      </c>
      <c r="T3036" s="79">
        <v>360.88</v>
      </c>
      <c r="U3036" s="79">
        <v>0</v>
      </c>
      <c r="V3036" s="189">
        <v>360.88</v>
      </c>
      <c r="X3036" s="79">
        <v>221.3</v>
      </c>
      <c r="Y3036" s="79">
        <v>139.58000000000001</v>
      </c>
      <c r="Z3036" s="79">
        <v>360.88</v>
      </c>
      <c r="AA3036" s="255">
        <v>9.9999999999909051E-3</v>
      </c>
      <c r="AC3036" s="254"/>
    </row>
    <row r="3037" spans="1:29" ht="12">
      <c r="A3037" s="67" t="s">
        <v>16397</v>
      </c>
      <c r="B3037" s="65" t="s">
        <v>16398</v>
      </c>
      <c r="C3037" s="71" t="s">
        <v>165</v>
      </c>
      <c r="D3037" s="78">
        <v>1</v>
      </c>
      <c r="E3037" s="79">
        <v>531.45000000000005</v>
      </c>
      <c r="F3037" s="70">
        <v>531.45000000000005</v>
      </c>
      <c r="G3037" s="320"/>
      <c r="H3037" s="79">
        <v>377.94</v>
      </c>
      <c r="I3037" s="79">
        <v>153.51</v>
      </c>
      <c r="J3037" s="79">
        <v>531.45000000000005</v>
      </c>
      <c r="K3037" s="79">
        <v>0</v>
      </c>
      <c r="L3037" s="70">
        <v>531.45000000000005</v>
      </c>
      <c r="M3037" s="132"/>
      <c r="N3037" s="79">
        <v>377.94</v>
      </c>
      <c r="O3037" s="79">
        <v>153.51</v>
      </c>
      <c r="P3037" s="79">
        <v>531.45000000000005</v>
      </c>
      <c r="Q3037" s="136"/>
      <c r="R3037" s="79">
        <v>377.94</v>
      </c>
      <c r="S3037" s="79">
        <v>153.53</v>
      </c>
      <c r="T3037" s="79">
        <v>531.47</v>
      </c>
      <c r="U3037" s="79">
        <v>0</v>
      </c>
      <c r="V3037" s="189">
        <v>531.47</v>
      </c>
      <c r="X3037" s="79">
        <v>377.94</v>
      </c>
      <c r="Y3037" s="79">
        <v>153.53</v>
      </c>
      <c r="Z3037" s="79">
        <v>531.47</v>
      </c>
      <c r="AA3037" s="255">
        <v>-1.999999999998181E-2</v>
      </c>
      <c r="AC3037" s="254"/>
    </row>
    <row r="3038" spans="1:29" ht="12">
      <c r="A3038" s="489" t="s">
        <v>16399</v>
      </c>
      <c r="B3038" s="490" t="s">
        <v>16400</v>
      </c>
      <c r="C3038" s="491"/>
      <c r="D3038" s="492"/>
      <c r="E3038" s="79"/>
      <c r="F3038" s="63"/>
      <c r="G3038" s="320"/>
      <c r="H3038" s="79"/>
      <c r="I3038" s="79"/>
      <c r="J3038" s="79"/>
      <c r="K3038" s="79"/>
      <c r="L3038" s="70"/>
      <c r="M3038" s="132"/>
      <c r="N3038" s="79"/>
      <c r="O3038" s="79"/>
      <c r="P3038" s="79"/>
      <c r="Q3038" s="136"/>
      <c r="R3038" s="79"/>
      <c r="S3038" s="79"/>
      <c r="T3038" s="79"/>
      <c r="U3038" s="79"/>
      <c r="V3038" s="189"/>
      <c r="X3038" s="79"/>
      <c r="Y3038" s="79"/>
      <c r="Z3038" s="79"/>
      <c r="AA3038" s="255"/>
      <c r="AC3038" s="254"/>
    </row>
    <row r="3039" spans="1:29" ht="12">
      <c r="A3039" s="67" t="s">
        <v>16401</v>
      </c>
      <c r="B3039" s="65" t="s">
        <v>16402</v>
      </c>
      <c r="C3039" s="499" t="s">
        <v>165</v>
      </c>
      <c r="D3039" s="78">
        <v>1</v>
      </c>
      <c r="E3039" s="79">
        <v>123.13</v>
      </c>
      <c r="F3039" s="70">
        <v>123.13</v>
      </c>
      <c r="G3039" s="320"/>
      <c r="H3039" s="79">
        <v>67.3</v>
      </c>
      <c r="I3039" s="79">
        <v>55.83</v>
      </c>
      <c r="J3039" s="79">
        <v>123.13</v>
      </c>
      <c r="K3039" s="79">
        <v>0</v>
      </c>
      <c r="L3039" s="70">
        <v>123.13</v>
      </c>
      <c r="M3039" s="132"/>
      <c r="N3039" s="79">
        <v>67.3</v>
      </c>
      <c r="O3039" s="79">
        <v>55.83</v>
      </c>
      <c r="P3039" s="79">
        <v>123.13</v>
      </c>
      <c r="Q3039" s="136"/>
      <c r="R3039" s="79">
        <v>67.3</v>
      </c>
      <c r="S3039" s="79">
        <v>55.83</v>
      </c>
      <c r="T3039" s="79">
        <v>123.13</v>
      </c>
      <c r="U3039" s="79">
        <v>0</v>
      </c>
      <c r="V3039" s="189">
        <v>123.13</v>
      </c>
      <c r="X3039" s="79">
        <v>67.3</v>
      </c>
      <c r="Y3039" s="79">
        <v>55.83</v>
      </c>
      <c r="Z3039" s="79">
        <v>123.13</v>
      </c>
      <c r="AA3039" s="255">
        <v>0</v>
      </c>
      <c r="AC3039" s="254"/>
    </row>
    <row r="3040" spans="1:29" ht="12">
      <c r="A3040" s="67" t="s">
        <v>16403</v>
      </c>
      <c r="B3040" s="65" t="s">
        <v>16404</v>
      </c>
      <c r="C3040" s="71" t="s">
        <v>165</v>
      </c>
      <c r="D3040" s="78">
        <v>1</v>
      </c>
      <c r="E3040" s="79">
        <v>152.16000000000003</v>
      </c>
      <c r="F3040" s="70">
        <v>152.16</v>
      </c>
      <c r="G3040" s="320"/>
      <c r="H3040" s="79">
        <v>90.740000000000009</v>
      </c>
      <c r="I3040" s="79">
        <v>61.42</v>
      </c>
      <c r="J3040" s="79">
        <v>152.16000000000003</v>
      </c>
      <c r="K3040" s="79">
        <v>0</v>
      </c>
      <c r="L3040" s="70">
        <v>152.16000000000003</v>
      </c>
      <c r="M3040" s="132"/>
      <c r="N3040" s="79">
        <v>90.740000000000009</v>
      </c>
      <c r="O3040" s="79">
        <v>61.42</v>
      </c>
      <c r="P3040" s="79">
        <v>152.16000000000003</v>
      </c>
      <c r="Q3040" s="136"/>
      <c r="R3040" s="79">
        <v>90.74</v>
      </c>
      <c r="S3040" s="79">
        <v>61.41</v>
      </c>
      <c r="T3040" s="79">
        <v>152.14999999999998</v>
      </c>
      <c r="U3040" s="79">
        <v>0</v>
      </c>
      <c r="V3040" s="189">
        <v>152.14999999999998</v>
      </c>
      <c r="X3040" s="79">
        <v>90.74</v>
      </c>
      <c r="Y3040" s="79">
        <v>61.41</v>
      </c>
      <c r="Z3040" s="79">
        <v>152.15</v>
      </c>
      <c r="AA3040" s="255">
        <v>9.9999999999909051E-3</v>
      </c>
      <c r="AC3040" s="254"/>
    </row>
    <row r="3041" spans="1:31" ht="12">
      <c r="A3041" s="67" t="s">
        <v>16405</v>
      </c>
      <c r="B3041" s="65" t="s">
        <v>16406</v>
      </c>
      <c r="C3041" s="71" t="s">
        <v>165</v>
      </c>
      <c r="D3041" s="78">
        <v>1</v>
      </c>
      <c r="E3041" s="79">
        <v>167.73999999999998</v>
      </c>
      <c r="F3041" s="70">
        <v>167.74</v>
      </c>
      <c r="G3041" s="320"/>
      <c r="H3041" s="79">
        <v>95.16</v>
      </c>
      <c r="I3041" s="79">
        <v>72.58</v>
      </c>
      <c r="J3041" s="79">
        <v>167.74</v>
      </c>
      <c r="K3041" s="79">
        <v>0</v>
      </c>
      <c r="L3041" s="70">
        <v>167.74</v>
      </c>
      <c r="M3041" s="132"/>
      <c r="N3041" s="79">
        <v>95.16</v>
      </c>
      <c r="O3041" s="79">
        <v>72.58</v>
      </c>
      <c r="P3041" s="79">
        <v>167.74</v>
      </c>
      <c r="Q3041" s="136"/>
      <c r="R3041" s="79">
        <v>95.16</v>
      </c>
      <c r="S3041" s="79">
        <v>72.58</v>
      </c>
      <c r="T3041" s="79">
        <v>167.74</v>
      </c>
      <c r="U3041" s="79">
        <v>0</v>
      </c>
      <c r="V3041" s="189">
        <v>167.74</v>
      </c>
      <c r="X3041" s="79">
        <v>95.16</v>
      </c>
      <c r="Y3041" s="79">
        <v>72.58</v>
      </c>
      <c r="Z3041" s="79">
        <v>167.74</v>
      </c>
      <c r="AA3041" s="255">
        <v>0</v>
      </c>
      <c r="AC3041" s="254"/>
    </row>
    <row r="3042" spans="1:31" ht="12">
      <c r="A3042" s="67" t="s">
        <v>16407</v>
      </c>
      <c r="B3042" s="65" t="s">
        <v>16408</v>
      </c>
      <c r="C3042" s="71" t="s">
        <v>165</v>
      </c>
      <c r="D3042" s="78">
        <v>1</v>
      </c>
      <c r="E3042" s="79">
        <v>205.32999999999998</v>
      </c>
      <c r="F3042" s="70">
        <v>205.33</v>
      </c>
      <c r="G3042" s="320"/>
      <c r="H3042" s="79">
        <v>127.18</v>
      </c>
      <c r="I3042" s="79">
        <v>78.149999999999991</v>
      </c>
      <c r="J3042" s="79">
        <v>205.32999999999998</v>
      </c>
      <c r="K3042" s="79">
        <v>0</v>
      </c>
      <c r="L3042" s="70">
        <v>205.32999999999998</v>
      </c>
      <c r="M3042" s="132"/>
      <c r="N3042" s="79">
        <v>127.18</v>
      </c>
      <c r="O3042" s="79">
        <v>78.149999999999991</v>
      </c>
      <c r="P3042" s="79">
        <v>205.32999999999998</v>
      </c>
      <c r="Q3042" s="136"/>
      <c r="R3042" s="79">
        <v>127.18</v>
      </c>
      <c r="S3042" s="79">
        <v>78.16</v>
      </c>
      <c r="T3042" s="79">
        <v>205.34</v>
      </c>
      <c r="U3042" s="79">
        <v>0</v>
      </c>
      <c r="V3042" s="189">
        <v>205.34</v>
      </c>
      <c r="X3042" s="79">
        <v>127.18</v>
      </c>
      <c r="Y3042" s="79">
        <v>78.16</v>
      </c>
      <c r="Z3042" s="79">
        <v>205.34</v>
      </c>
      <c r="AA3042" s="255">
        <v>-9.9999999999909051E-3</v>
      </c>
      <c r="AC3042" s="254"/>
    </row>
    <row r="3043" spans="1:31" ht="12">
      <c r="A3043" s="67" t="s">
        <v>16409</v>
      </c>
      <c r="B3043" s="65" t="s">
        <v>16410</v>
      </c>
      <c r="C3043" s="71" t="s">
        <v>165</v>
      </c>
      <c r="D3043" s="78">
        <v>1</v>
      </c>
      <c r="E3043" s="79">
        <v>218.23000000000002</v>
      </c>
      <c r="F3043" s="70">
        <v>218.23</v>
      </c>
      <c r="G3043" s="320"/>
      <c r="H3043" s="79">
        <v>128.9</v>
      </c>
      <c r="I3043" s="79">
        <v>89.33</v>
      </c>
      <c r="J3043" s="79">
        <v>218.23000000000002</v>
      </c>
      <c r="K3043" s="79">
        <v>0</v>
      </c>
      <c r="L3043" s="70">
        <v>218.23000000000002</v>
      </c>
      <c r="M3043" s="132"/>
      <c r="N3043" s="79">
        <v>128.9</v>
      </c>
      <c r="O3043" s="79">
        <v>89.33</v>
      </c>
      <c r="P3043" s="79">
        <v>218.23000000000002</v>
      </c>
      <c r="Q3043" s="136"/>
      <c r="R3043" s="79">
        <v>128.9</v>
      </c>
      <c r="S3043" s="79">
        <v>89.33</v>
      </c>
      <c r="T3043" s="79">
        <v>218.23000000000002</v>
      </c>
      <c r="U3043" s="79">
        <v>0</v>
      </c>
      <c r="V3043" s="189">
        <v>218.23000000000002</v>
      </c>
      <c r="X3043" s="79">
        <v>128.9</v>
      </c>
      <c r="Y3043" s="79">
        <v>89.33</v>
      </c>
      <c r="Z3043" s="79">
        <v>218.23</v>
      </c>
      <c r="AA3043" s="255">
        <v>0</v>
      </c>
      <c r="AC3043" s="254"/>
    </row>
    <row r="3044" spans="1:31" ht="12">
      <c r="A3044" s="67" t="s">
        <v>16411</v>
      </c>
      <c r="B3044" s="65" t="s">
        <v>16412</v>
      </c>
      <c r="C3044" s="71" t="s">
        <v>165</v>
      </c>
      <c r="D3044" s="78">
        <v>1</v>
      </c>
      <c r="E3044" s="79">
        <v>255.54</v>
      </c>
      <c r="F3044" s="70">
        <v>255.54</v>
      </c>
      <c r="G3044" s="320"/>
      <c r="H3044" s="79">
        <v>155.04999999999998</v>
      </c>
      <c r="I3044" s="79">
        <v>100.49000000000001</v>
      </c>
      <c r="J3044" s="79">
        <v>255.54</v>
      </c>
      <c r="K3044" s="79">
        <v>0</v>
      </c>
      <c r="L3044" s="70">
        <v>255.54</v>
      </c>
      <c r="M3044" s="132"/>
      <c r="N3044" s="79">
        <v>155.04999999999998</v>
      </c>
      <c r="O3044" s="79">
        <v>100.49000000000001</v>
      </c>
      <c r="P3044" s="79">
        <v>255.54</v>
      </c>
      <c r="Q3044" s="136"/>
      <c r="R3044" s="79">
        <v>155.05000000000001</v>
      </c>
      <c r="S3044" s="79">
        <v>100.5</v>
      </c>
      <c r="T3044" s="79">
        <v>255.55</v>
      </c>
      <c r="U3044" s="79">
        <v>0</v>
      </c>
      <c r="V3044" s="189">
        <v>255.55</v>
      </c>
      <c r="X3044" s="79">
        <v>155.05000000000001</v>
      </c>
      <c r="Y3044" s="79">
        <v>100.5</v>
      </c>
      <c r="Z3044" s="79">
        <v>255.55</v>
      </c>
      <c r="AA3044" s="255">
        <v>-1.0000000000019327E-2</v>
      </c>
      <c r="AC3044" s="254"/>
      <c r="AD3044" s="61"/>
      <c r="AE3044" s="61"/>
    </row>
    <row r="3045" spans="1:31" ht="12">
      <c r="A3045" s="67" t="s">
        <v>16413</v>
      </c>
      <c r="B3045" s="65" t="s">
        <v>16414</v>
      </c>
      <c r="C3045" s="71" t="s">
        <v>165</v>
      </c>
      <c r="D3045" s="78">
        <v>1</v>
      </c>
      <c r="E3045" s="79">
        <v>354.85</v>
      </c>
      <c r="F3045" s="70">
        <v>354.85</v>
      </c>
      <c r="G3045" s="320"/>
      <c r="H3045" s="79">
        <v>243.20000000000002</v>
      </c>
      <c r="I3045" s="79">
        <v>111.65</v>
      </c>
      <c r="J3045" s="79">
        <v>354.85</v>
      </c>
      <c r="K3045" s="79">
        <v>0</v>
      </c>
      <c r="L3045" s="70">
        <v>354.85</v>
      </c>
      <c r="M3045" s="132"/>
      <c r="N3045" s="79">
        <v>243.20000000000002</v>
      </c>
      <c r="O3045" s="79">
        <v>111.65</v>
      </c>
      <c r="P3045" s="79">
        <v>354.85</v>
      </c>
      <c r="Q3045" s="136"/>
      <c r="R3045" s="79">
        <v>243.2</v>
      </c>
      <c r="S3045" s="79">
        <v>111.66</v>
      </c>
      <c r="T3045" s="79">
        <v>354.86</v>
      </c>
      <c r="U3045" s="79">
        <v>0</v>
      </c>
      <c r="V3045" s="189">
        <v>354.86</v>
      </c>
      <c r="X3045" s="79">
        <v>243.2</v>
      </c>
      <c r="Y3045" s="79">
        <v>111.66</v>
      </c>
      <c r="Z3045" s="79">
        <v>354.86</v>
      </c>
      <c r="AA3045" s="255">
        <v>-9.9999999999909051E-3</v>
      </c>
      <c r="AC3045" s="254"/>
      <c r="AD3045" s="61"/>
      <c r="AE3045" s="61"/>
    </row>
    <row r="3046" spans="1:31" s="61" customFormat="1" ht="12">
      <c r="A3046" s="67" t="s">
        <v>16415</v>
      </c>
      <c r="B3046" s="65" t="s">
        <v>16416</v>
      </c>
      <c r="C3046" s="71" t="s">
        <v>165</v>
      </c>
      <c r="D3046" s="78">
        <v>1</v>
      </c>
      <c r="E3046" s="79">
        <v>408.86</v>
      </c>
      <c r="F3046" s="70">
        <v>408.86</v>
      </c>
      <c r="G3046" s="320"/>
      <c r="H3046" s="79">
        <v>283.24</v>
      </c>
      <c r="I3046" s="79">
        <v>125.62</v>
      </c>
      <c r="J3046" s="79">
        <v>408.86</v>
      </c>
      <c r="K3046" s="79">
        <v>0</v>
      </c>
      <c r="L3046" s="70">
        <v>408.86</v>
      </c>
      <c r="M3046" s="132"/>
      <c r="N3046" s="79">
        <v>283.24</v>
      </c>
      <c r="O3046" s="79">
        <v>125.62</v>
      </c>
      <c r="P3046" s="79">
        <v>408.86</v>
      </c>
      <c r="Q3046" s="136"/>
      <c r="R3046" s="79">
        <v>283.24</v>
      </c>
      <c r="S3046" s="79">
        <v>125.62</v>
      </c>
      <c r="T3046" s="79">
        <v>408.86</v>
      </c>
      <c r="U3046" s="79">
        <v>0</v>
      </c>
      <c r="V3046" s="189">
        <v>408.86</v>
      </c>
      <c r="X3046" s="79">
        <v>283.24</v>
      </c>
      <c r="Y3046" s="79">
        <v>125.62</v>
      </c>
      <c r="Z3046" s="79">
        <v>408.86</v>
      </c>
      <c r="AA3046" s="255">
        <v>0</v>
      </c>
      <c r="AC3046" s="254"/>
    </row>
    <row r="3047" spans="1:31" s="61" customFormat="1" ht="12">
      <c r="A3047" s="67" t="s">
        <v>16417</v>
      </c>
      <c r="B3047" s="65" t="s">
        <v>16418</v>
      </c>
      <c r="C3047" s="71" t="s">
        <v>165</v>
      </c>
      <c r="D3047" s="78">
        <v>1</v>
      </c>
      <c r="E3047" s="79">
        <v>539.73</v>
      </c>
      <c r="F3047" s="70">
        <v>539.73</v>
      </c>
      <c r="G3047" s="320"/>
      <c r="H3047" s="79">
        <v>400.14</v>
      </c>
      <c r="I3047" s="79">
        <v>139.59</v>
      </c>
      <c r="J3047" s="79">
        <v>539.73</v>
      </c>
      <c r="K3047" s="79">
        <v>0</v>
      </c>
      <c r="L3047" s="70">
        <v>539.73</v>
      </c>
      <c r="M3047" s="132"/>
      <c r="N3047" s="79">
        <v>400.14</v>
      </c>
      <c r="O3047" s="79">
        <v>139.59</v>
      </c>
      <c r="P3047" s="79">
        <v>539.73</v>
      </c>
      <c r="Q3047" s="136"/>
      <c r="R3047" s="79">
        <v>400.14</v>
      </c>
      <c r="S3047" s="79">
        <v>139.58000000000001</v>
      </c>
      <c r="T3047" s="79">
        <v>539.72</v>
      </c>
      <c r="U3047" s="79">
        <v>0</v>
      </c>
      <c r="V3047" s="189">
        <v>539.72</v>
      </c>
      <c r="X3047" s="79">
        <v>400.14</v>
      </c>
      <c r="Y3047" s="79">
        <v>139.58000000000001</v>
      </c>
      <c r="Z3047" s="79">
        <v>539.72</v>
      </c>
      <c r="AA3047" s="255">
        <v>9.9999999999909051E-3</v>
      </c>
      <c r="AC3047" s="254"/>
    </row>
    <row r="3048" spans="1:31" s="61" customFormat="1" ht="12">
      <c r="A3048" s="67" t="s">
        <v>16419</v>
      </c>
      <c r="B3048" s="65" t="s">
        <v>16420</v>
      </c>
      <c r="C3048" s="71" t="s">
        <v>165</v>
      </c>
      <c r="D3048" s="78">
        <v>1</v>
      </c>
      <c r="E3048" s="79">
        <v>826.95</v>
      </c>
      <c r="F3048" s="70">
        <v>826.95</v>
      </c>
      <c r="G3048" s="320"/>
      <c r="H3048" s="79">
        <v>673.44</v>
      </c>
      <c r="I3048" s="79">
        <v>153.51</v>
      </c>
      <c r="J3048" s="79">
        <v>826.95</v>
      </c>
      <c r="K3048" s="79">
        <v>0</v>
      </c>
      <c r="L3048" s="70">
        <v>826.95</v>
      </c>
      <c r="M3048" s="132"/>
      <c r="N3048" s="79">
        <v>673.44</v>
      </c>
      <c r="O3048" s="79">
        <v>153.51</v>
      </c>
      <c r="P3048" s="79">
        <v>826.95</v>
      </c>
      <c r="Q3048" s="136"/>
      <c r="R3048" s="79">
        <v>673.44</v>
      </c>
      <c r="S3048" s="79">
        <v>153.53</v>
      </c>
      <c r="T3048" s="79">
        <v>826.97</v>
      </c>
      <c r="U3048" s="79">
        <v>0</v>
      </c>
      <c r="V3048" s="189">
        <v>826.97</v>
      </c>
      <c r="X3048" s="79">
        <v>673.44</v>
      </c>
      <c r="Y3048" s="79">
        <v>153.53</v>
      </c>
      <c r="Z3048" s="79">
        <v>826.97</v>
      </c>
      <c r="AA3048" s="255">
        <v>-1.999999999998181E-2</v>
      </c>
      <c r="AC3048" s="254"/>
    </row>
    <row r="3049" spans="1:31" s="61" customFormat="1" ht="12">
      <c r="A3049" s="489" t="s">
        <v>16421</v>
      </c>
      <c r="B3049" s="490" t="s">
        <v>16422</v>
      </c>
      <c r="C3049" s="491"/>
      <c r="D3049" s="492"/>
      <c r="E3049" s="79"/>
      <c r="F3049" s="63"/>
      <c r="G3049" s="320"/>
      <c r="H3049" s="79"/>
      <c r="I3049" s="79"/>
      <c r="J3049" s="79"/>
      <c r="K3049" s="79"/>
      <c r="L3049" s="70"/>
      <c r="M3049" s="132"/>
      <c r="N3049" s="79"/>
      <c r="O3049" s="79"/>
      <c r="P3049" s="79"/>
      <c r="Q3049" s="136"/>
      <c r="R3049" s="79"/>
      <c r="S3049" s="79"/>
      <c r="T3049" s="79"/>
      <c r="U3049" s="79"/>
      <c r="V3049" s="189"/>
      <c r="X3049" s="79"/>
      <c r="Y3049" s="79"/>
      <c r="Z3049" s="79"/>
      <c r="AA3049" s="255"/>
      <c r="AC3049" s="254"/>
    </row>
    <row r="3050" spans="1:31" s="61" customFormat="1" ht="12">
      <c r="A3050" s="67" t="s">
        <v>16423</v>
      </c>
      <c r="B3050" s="65" t="s">
        <v>16424</v>
      </c>
      <c r="C3050" s="71" t="s">
        <v>103</v>
      </c>
      <c r="D3050" s="78">
        <v>1</v>
      </c>
      <c r="E3050" s="79">
        <v>108.2</v>
      </c>
      <c r="F3050" s="70">
        <v>108.2</v>
      </c>
      <c r="G3050" s="320"/>
      <c r="H3050" s="79">
        <v>91.45</v>
      </c>
      <c r="I3050" s="79">
        <v>16.75</v>
      </c>
      <c r="J3050" s="79">
        <v>108.2</v>
      </c>
      <c r="K3050" s="79">
        <v>0</v>
      </c>
      <c r="L3050" s="70">
        <v>108.2</v>
      </c>
      <c r="M3050" s="132"/>
      <c r="N3050" s="79">
        <v>91.45</v>
      </c>
      <c r="O3050" s="79">
        <v>16.75</v>
      </c>
      <c r="P3050" s="79">
        <v>108.2</v>
      </c>
      <c r="Q3050" s="136"/>
      <c r="R3050" s="79">
        <v>91.45</v>
      </c>
      <c r="S3050" s="79">
        <v>16.75</v>
      </c>
      <c r="T3050" s="79">
        <v>108.2</v>
      </c>
      <c r="U3050" s="79">
        <v>0</v>
      </c>
      <c r="V3050" s="189">
        <v>108.2</v>
      </c>
      <c r="X3050" s="79">
        <v>91.45</v>
      </c>
      <c r="Y3050" s="79">
        <v>16.75</v>
      </c>
      <c r="Z3050" s="79">
        <v>108.2</v>
      </c>
      <c r="AA3050" s="255">
        <v>0</v>
      </c>
      <c r="AC3050" s="254"/>
    </row>
    <row r="3051" spans="1:31" s="61" customFormat="1" ht="12">
      <c r="A3051" s="67" t="s">
        <v>16425</v>
      </c>
      <c r="B3051" s="65" t="s">
        <v>16426</v>
      </c>
      <c r="C3051" s="71" t="s">
        <v>103</v>
      </c>
      <c r="D3051" s="78">
        <v>1</v>
      </c>
      <c r="E3051" s="79">
        <v>148.94000000000003</v>
      </c>
      <c r="F3051" s="70">
        <v>148.94</v>
      </c>
      <c r="G3051" s="320"/>
      <c r="H3051" s="79">
        <v>132.19000000000003</v>
      </c>
      <c r="I3051" s="79">
        <v>16.75</v>
      </c>
      <c r="J3051" s="79">
        <v>148.94000000000003</v>
      </c>
      <c r="K3051" s="79">
        <v>0</v>
      </c>
      <c r="L3051" s="70">
        <v>148.94000000000003</v>
      </c>
      <c r="M3051" s="132"/>
      <c r="N3051" s="79">
        <v>132.19000000000003</v>
      </c>
      <c r="O3051" s="79">
        <v>16.75</v>
      </c>
      <c r="P3051" s="79">
        <v>148.94000000000003</v>
      </c>
      <c r="Q3051" s="136"/>
      <c r="R3051" s="79">
        <v>132.19</v>
      </c>
      <c r="S3051" s="79">
        <v>16.75</v>
      </c>
      <c r="T3051" s="79">
        <v>148.94</v>
      </c>
      <c r="U3051" s="79">
        <v>0</v>
      </c>
      <c r="V3051" s="189">
        <v>148.94</v>
      </c>
      <c r="X3051" s="79">
        <v>132.19</v>
      </c>
      <c r="Y3051" s="79">
        <v>16.75</v>
      </c>
      <c r="Z3051" s="79">
        <v>148.94</v>
      </c>
      <c r="AA3051" s="255">
        <v>0</v>
      </c>
      <c r="AC3051" s="254"/>
    </row>
    <row r="3052" spans="1:31" s="61" customFormat="1" ht="12">
      <c r="A3052" s="67" t="s">
        <v>16427</v>
      </c>
      <c r="B3052" s="65" t="s">
        <v>16428</v>
      </c>
      <c r="C3052" s="71" t="s">
        <v>103</v>
      </c>
      <c r="D3052" s="78">
        <v>1</v>
      </c>
      <c r="E3052" s="79">
        <v>166.21</v>
      </c>
      <c r="F3052" s="70">
        <v>166.21</v>
      </c>
      <c r="G3052" s="320"/>
      <c r="H3052" s="79">
        <v>143.89000000000001</v>
      </c>
      <c r="I3052" s="79">
        <v>22.32</v>
      </c>
      <c r="J3052" s="79">
        <v>166.21</v>
      </c>
      <c r="K3052" s="79">
        <v>0</v>
      </c>
      <c r="L3052" s="70">
        <v>166.21</v>
      </c>
      <c r="M3052" s="132"/>
      <c r="N3052" s="79">
        <v>143.89000000000001</v>
      </c>
      <c r="O3052" s="79">
        <v>22.32</v>
      </c>
      <c r="P3052" s="79">
        <v>166.21</v>
      </c>
      <c r="Q3052" s="136"/>
      <c r="R3052" s="79">
        <v>143.88999999999999</v>
      </c>
      <c r="S3052" s="79">
        <v>22.33</v>
      </c>
      <c r="T3052" s="79">
        <v>166.21999999999997</v>
      </c>
      <c r="U3052" s="79">
        <v>0</v>
      </c>
      <c r="V3052" s="189">
        <v>166.21999999999997</v>
      </c>
      <c r="X3052" s="79">
        <v>143.88999999999999</v>
      </c>
      <c r="Y3052" s="79">
        <v>22.33</v>
      </c>
      <c r="Z3052" s="79">
        <v>166.22</v>
      </c>
      <c r="AA3052" s="255">
        <v>-9.9999999999909051E-3</v>
      </c>
      <c r="AC3052" s="254"/>
    </row>
    <row r="3053" spans="1:31" s="61" customFormat="1" ht="12">
      <c r="A3053" s="67" t="s">
        <v>16429</v>
      </c>
      <c r="B3053" s="65" t="s">
        <v>16430</v>
      </c>
      <c r="C3053" s="71" t="s">
        <v>103</v>
      </c>
      <c r="D3053" s="78">
        <v>1</v>
      </c>
      <c r="E3053" s="79">
        <v>275.17</v>
      </c>
      <c r="F3053" s="70">
        <v>275.17</v>
      </c>
      <c r="G3053" s="320"/>
      <c r="H3053" s="79">
        <v>252.85000000000002</v>
      </c>
      <c r="I3053" s="79">
        <v>22.32</v>
      </c>
      <c r="J3053" s="79">
        <v>275.17</v>
      </c>
      <c r="K3053" s="79">
        <v>0</v>
      </c>
      <c r="L3053" s="70">
        <v>275.17</v>
      </c>
      <c r="M3053" s="132"/>
      <c r="N3053" s="79">
        <v>252.85000000000002</v>
      </c>
      <c r="O3053" s="79">
        <v>22.32</v>
      </c>
      <c r="P3053" s="79">
        <v>275.17</v>
      </c>
      <c r="Q3053" s="136"/>
      <c r="R3053" s="79">
        <v>252.85</v>
      </c>
      <c r="S3053" s="79">
        <v>22.33</v>
      </c>
      <c r="T3053" s="79">
        <v>275.18</v>
      </c>
      <c r="U3053" s="79">
        <v>0</v>
      </c>
      <c r="V3053" s="189">
        <v>275.18</v>
      </c>
      <c r="X3053" s="79">
        <v>252.85</v>
      </c>
      <c r="Y3053" s="79">
        <v>22.33</v>
      </c>
      <c r="Z3053" s="79">
        <v>275.18</v>
      </c>
      <c r="AA3053" s="255">
        <v>-9.9999999999909051E-3</v>
      </c>
      <c r="AC3053" s="254"/>
    </row>
    <row r="3054" spans="1:31" s="61" customFormat="1" ht="12">
      <c r="A3054" s="67" t="s">
        <v>16431</v>
      </c>
      <c r="B3054" s="65" t="s">
        <v>16432</v>
      </c>
      <c r="C3054" s="71" t="s">
        <v>103</v>
      </c>
      <c r="D3054" s="78">
        <v>1</v>
      </c>
      <c r="E3054" s="79">
        <v>137</v>
      </c>
      <c r="F3054" s="70">
        <v>137</v>
      </c>
      <c r="G3054" s="320"/>
      <c r="H3054" s="79">
        <v>120.25</v>
      </c>
      <c r="I3054" s="79">
        <v>16.75</v>
      </c>
      <c r="J3054" s="79">
        <v>137</v>
      </c>
      <c r="K3054" s="79">
        <v>0</v>
      </c>
      <c r="L3054" s="70">
        <v>137</v>
      </c>
      <c r="M3054" s="132"/>
      <c r="N3054" s="79">
        <v>120.25</v>
      </c>
      <c r="O3054" s="79">
        <v>16.75</v>
      </c>
      <c r="P3054" s="79">
        <v>137</v>
      </c>
      <c r="Q3054" s="136"/>
      <c r="R3054" s="79">
        <v>120.25</v>
      </c>
      <c r="S3054" s="79">
        <v>16.75</v>
      </c>
      <c r="T3054" s="79">
        <v>137</v>
      </c>
      <c r="U3054" s="79">
        <v>0</v>
      </c>
      <c r="V3054" s="189">
        <v>137</v>
      </c>
      <c r="X3054" s="79">
        <v>120.25</v>
      </c>
      <c r="Y3054" s="79">
        <v>16.75</v>
      </c>
      <c r="Z3054" s="79">
        <v>137</v>
      </c>
      <c r="AA3054" s="255">
        <v>0</v>
      </c>
      <c r="AC3054" s="254"/>
      <c r="AD3054" s="236"/>
      <c r="AE3054" s="236"/>
    </row>
    <row r="3055" spans="1:31" s="61" customFormat="1" ht="12">
      <c r="A3055" s="67" t="s">
        <v>16433</v>
      </c>
      <c r="B3055" s="65" t="s">
        <v>16434</v>
      </c>
      <c r="C3055" s="71" t="s">
        <v>103</v>
      </c>
      <c r="D3055" s="78">
        <v>1</v>
      </c>
      <c r="E3055" s="79">
        <v>193.36</v>
      </c>
      <c r="F3055" s="70">
        <v>193.36</v>
      </c>
      <c r="G3055" s="320"/>
      <c r="H3055" s="79">
        <v>176.61</v>
      </c>
      <c r="I3055" s="79">
        <v>16.75</v>
      </c>
      <c r="J3055" s="79">
        <v>193.36</v>
      </c>
      <c r="K3055" s="79">
        <v>0</v>
      </c>
      <c r="L3055" s="70">
        <v>193.36</v>
      </c>
      <c r="M3055" s="132"/>
      <c r="N3055" s="79">
        <v>176.61</v>
      </c>
      <c r="O3055" s="79">
        <v>16.75</v>
      </c>
      <c r="P3055" s="79">
        <v>193.36</v>
      </c>
      <c r="Q3055" s="136"/>
      <c r="R3055" s="79">
        <v>176.61</v>
      </c>
      <c r="S3055" s="79">
        <v>16.75</v>
      </c>
      <c r="T3055" s="79">
        <v>193.36</v>
      </c>
      <c r="U3055" s="79">
        <v>0</v>
      </c>
      <c r="V3055" s="189">
        <v>193.36</v>
      </c>
      <c r="X3055" s="79">
        <v>176.61</v>
      </c>
      <c r="Y3055" s="79">
        <v>16.75</v>
      </c>
      <c r="Z3055" s="79">
        <v>193.36</v>
      </c>
      <c r="AA3055" s="255">
        <v>0</v>
      </c>
      <c r="AC3055" s="254"/>
      <c r="AD3055" s="236"/>
      <c r="AE3055" s="236"/>
    </row>
    <row r="3056" spans="1:31" ht="12">
      <c r="A3056" s="67" t="s">
        <v>16435</v>
      </c>
      <c r="B3056" s="65" t="s">
        <v>16436</v>
      </c>
      <c r="C3056" s="71" t="s">
        <v>103</v>
      </c>
      <c r="D3056" s="78">
        <v>1</v>
      </c>
      <c r="E3056" s="79">
        <v>255.66</v>
      </c>
      <c r="F3056" s="70">
        <v>255.66</v>
      </c>
      <c r="G3056" s="320"/>
      <c r="H3056" s="79">
        <v>233.34</v>
      </c>
      <c r="I3056" s="79">
        <v>22.32</v>
      </c>
      <c r="J3056" s="79">
        <v>255.66</v>
      </c>
      <c r="K3056" s="79">
        <v>0</v>
      </c>
      <c r="L3056" s="70">
        <v>255.66</v>
      </c>
      <c r="M3056" s="132"/>
      <c r="N3056" s="79">
        <v>233.34</v>
      </c>
      <c r="O3056" s="79">
        <v>22.32</v>
      </c>
      <c r="P3056" s="79">
        <v>255.66</v>
      </c>
      <c r="Q3056" s="136"/>
      <c r="R3056" s="79">
        <v>233.34</v>
      </c>
      <c r="S3056" s="79">
        <v>22.33</v>
      </c>
      <c r="T3056" s="79">
        <v>255.67000000000002</v>
      </c>
      <c r="U3056" s="79">
        <v>0</v>
      </c>
      <c r="V3056" s="189">
        <v>255.67000000000002</v>
      </c>
      <c r="X3056" s="79">
        <v>233.34</v>
      </c>
      <c r="Y3056" s="79">
        <v>22.33</v>
      </c>
      <c r="Z3056" s="79">
        <v>255.67</v>
      </c>
      <c r="AA3056" s="255">
        <v>-9.9999999999909051E-3</v>
      </c>
      <c r="AC3056" s="254"/>
    </row>
    <row r="3057" spans="1:31" ht="12">
      <c r="A3057" s="67" t="s">
        <v>16437</v>
      </c>
      <c r="B3057" s="65" t="s">
        <v>16438</v>
      </c>
      <c r="C3057" s="71" t="s">
        <v>103</v>
      </c>
      <c r="D3057" s="78">
        <v>1</v>
      </c>
      <c r="E3057" s="79">
        <v>411.21</v>
      </c>
      <c r="F3057" s="70">
        <v>411.21</v>
      </c>
      <c r="G3057" s="320"/>
      <c r="H3057" s="79">
        <v>388.89</v>
      </c>
      <c r="I3057" s="79">
        <v>22.32</v>
      </c>
      <c r="J3057" s="79">
        <v>411.21</v>
      </c>
      <c r="K3057" s="79">
        <v>0</v>
      </c>
      <c r="L3057" s="70">
        <v>411.21</v>
      </c>
      <c r="M3057" s="132"/>
      <c r="N3057" s="79">
        <v>388.89</v>
      </c>
      <c r="O3057" s="79">
        <v>22.32</v>
      </c>
      <c r="P3057" s="79">
        <v>411.21</v>
      </c>
      <c r="Q3057" s="136"/>
      <c r="R3057" s="79">
        <v>388.89</v>
      </c>
      <c r="S3057" s="79">
        <v>22.33</v>
      </c>
      <c r="T3057" s="79">
        <v>411.21999999999997</v>
      </c>
      <c r="U3057" s="79">
        <v>0</v>
      </c>
      <c r="V3057" s="189">
        <v>411.21999999999997</v>
      </c>
      <c r="X3057" s="79">
        <v>388.89</v>
      </c>
      <c r="Y3057" s="79">
        <v>22.33</v>
      </c>
      <c r="Z3057" s="79">
        <v>411.22</v>
      </c>
      <c r="AA3057" s="255">
        <v>-1.0000000000047748E-2</v>
      </c>
      <c r="AC3057" s="254"/>
    </row>
    <row r="3058" spans="1:31" ht="12">
      <c r="A3058" s="67" t="s">
        <v>16439</v>
      </c>
      <c r="B3058" s="65" t="s">
        <v>16440</v>
      </c>
      <c r="C3058" s="71" t="s">
        <v>103</v>
      </c>
      <c r="D3058" s="78">
        <v>1</v>
      </c>
      <c r="E3058" s="79">
        <v>99.76</v>
      </c>
      <c r="F3058" s="70">
        <v>99.76</v>
      </c>
      <c r="G3058" s="320"/>
      <c r="H3058" s="79">
        <v>83.01</v>
      </c>
      <c r="I3058" s="79">
        <v>16.75</v>
      </c>
      <c r="J3058" s="79">
        <v>99.76</v>
      </c>
      <c r="K3058" s="79">
        <v>0</v>
      </c>
      <c r="L3058" s="70">
        <v>99.76</v>
      </c>
      <c r="M3058" s="132"/>
      <c r="N3058" s="79">
        <v>83.01</v>
      </c>
      <c r="O3058" s="79">
        <v>16.75</v>
      </c>
      <c r="P3058" s="79">
        <v>99.76</v>
      </c>
      <c r="Q3058" s="136"/>
      <c r="R3058" s="79">
        <v>83.01</v>
      </c>
      <c r="S3058" s="79">
        <v>16.75</v>
      </c>
      <c r="T3058" s="79">
        <v>99.76</v>
      </c>
      <c r="U3058" s="79">
        <v>0</v>
      </c>
      <c r="V3058" s="189">
        <v>99.76</v>
      </c>
      <c r="X3058" s="79">
        <v>83.01</v>
      </c>
      <c r="Y3058" s="79">
        <v>16.75</v>
      </c>
      <c r="Z3058" s="79">
        <v>99.76</v>
      </c>
      <c r="AA3058" s="255">
        <v>0</v>
      </c>
      <c r="AC3058" s="254"/>
    </row>
    <row r="3059" spans="1:31" ht="12">
      <c r="A3059" s="67" t="s">
        <v>16441</v>
      </c>
      <c r="B3059" s="65" t="s">
        <v>16442</v>
      </c>
      <c r="C3059" s="71" t="s">
        <v>103</v>
      </c>
      <c r="D3059" s="78">
        <v>1</v>
      </c>
      <c r="E3059" s="79">
        <v>110.6</v>
      </c>
      <c r="F3059" s="70">
        <v>110.6</v>
      </c>
      <c r="G3059" s="320"/>
      <c r="H3059" s="79">
        <v>93.85</v>
      </c>
      <c r="I3059" s="79">
        <v>16.75</v>
      </c>
      <c r="J3059" s="79">
        <v>110.6</v>
      </c>
      <c r="K3059" s="79">
        <v>0</v>
      </c>
      <c r="L3059" s="70">
        <v>110.6</v>
      </c>
      <c r="M3059" s="132"/>
      <c r="N3059" s="79">
        <v>93.85</v>
      </c>
      <c r="O3059" s="79">
        <v>16.75</v>
      </c>
      <c r="P3059" s="79">
        <v>110.6</v>
      </c>
      <c r="Q3059" s="136"/>
      <c r="R3059" s="79">
        <v>93.85</v>
      </c>
      <c r="S3059" s="79">
        <v>16.75</v>
      </c>
      <c r="T3059" s="79">
        <v>110.6</v>
      </c>
      <c r="U3059" s="79">
        <v>0</v>
      </c>
      <c r="V3059" s="189">
        <v>110.6</v>
      </c>
      <c r="X3059" s="79">
        <v>93.85</v>
      </c>
      <c r="Y3059" s="79">
        <v>16.75</v>
      </c>
      <c r="Z3059" s="79">
        <v>110.6</v>
      </c>
      <c r="AA3059" s="255">
        <v>0</v>
      </c>
      <c r="AC3059" s="254"/>
      <c r="AD3059" s="69"/>
      <c r="AE3059" s="69"/>
    </row>
    <row r="3060" spans="1:31" ht="12">
      <c r="A3060" s="67" t="s">
        <v>16443</v>
      </c>
      <c r="B3060" s="65" t="s">
        <v>16444</v>
      </c>
      <c r="C3060" s="71" t="s">
        <v>103</v>
      </c>
      <c r="D3060" s="78">
        <v>1</v>
      </c>
      <c r="E3060" s="79">
        <v>143.68</v>
      </c>
      <c r="F3060" s="70">
        <v>143.68</v>
      </c>
      <c r="G3060" s="320"/>
      <c r="H3060" s="79">
        <v>121.36</v>
      </c>
      <c r="I3060" s="79">
        <v>22.32</v>
      </c>
      <c r="J3060" s="79">
        <v>143.68</v>
      </c>
      <c r="K3060" s="79">
        <v>0</v>
      </c>
      <c r="L3060" s="70">
        <v>143.68</v>
      </c>
      <c r="M3060" s="132"/>
      <c r="N3060" s="79">
        <v>121.36</v>
      </c>
      <c r="O3060" s="79">
        <v>22.32</v>
      </c>
      <c r="P3060" s="79">
        <v>143.68</v>
      </c>
      <c r="Q3060" s="136"/>
      <c r="R3060" s="79">
        <v>121.36</v>
      </c>
      <c r="S3060" s="79">
        <v>22.33</v>
      </c>
      <c r="T3060" s="79">
        <v>143.69</v>
      </c>
      <c r="U3060" s="79">
        <v>0</v>
      </c>
      <c r="V3060" s="189">
        <v>143.69</v>
      </c>
      <c r="X3060" s="79">
        <v>121.36</v>
      </c>
      <c r="Y3060" s="79">
        <v>22.33</v>
      </c>
      <c r="Z3060" s="79">
        <v>143.69</v>
      </c>
      <c r="AA3060" s="255">
        <v>-9.9999999999909051E-3</v>
      </c>
      <c r="AC3060" s="254"/>
    </row>
    <row r="3061" spans="1:31" s="69" customFormat="1" ht="12">
      <c r="A3061" s="67" t="s">
        <v>16445</v>
      </c>
      <c r="B3061" s="65" t="s">
        <v>16446</v>
      </c>
      <c r="C3061" s="71" t="s">
        <v>103</v>
      </c>
      <c r="D3061" s="78">
        <v>1</v>
      </c>
      <c r="E3061" s="79">
        <v>189.73000000000002</v>
      </c>
      <c r="F3061" s="70">
        <v>189.73</v>
      </c>
      <c r="G3061" s="320"/>
      <c r="H3061" s="79">
        <v>167.41000000000003</v>
      </c>
      <c r="I3061" s="79">
        <v>22.32</v>
      </c>
      <c r="J3061" s="79">
        <v>189.73000000000002</v>
      </c>
      <c r="K3061" s="79">
        <v>0</v>
      </c>
      <c r="L3061" s="70">
        <v>189.73000000000002</v>
      </c>
      <c r="M3061" s="132"/>
      <c r="N3061" s="79">
        <v>167.41000000000003</v>
      </c>
      <c r="O3061" s="79">
        <v>22.32</v>
      </c>
      <c r="P3061" s="79">
        <v>189.73000000000002</v>
      </c>
      <c r="Q3061" s="136"/>
      <c r="R3061" s="79">
        <v>167.41</v>
      </c>
      <c r="S3061" s="79">
        <v>22.33</v>
      </c>
      <c r="T3061" s="79">
        <v>189.74</v>
      </c>
      <c r="U3061" s="79">
        <v>0</v>
      </c>
      <c r="V3061" s="189">
        <v>189.74</v>
      </c>
      <c r="W3061" s="61"/>
      <c r="X3061" s="79">
        <v>167.41</v>
      </c>
      <c r="Y3061" s="79">
        <v>22.33</v>
      </c>
      <c r="Z3061" s="79">
        <v>189.74</v>
      </c>
      <c r="AA3061" s="255">
        <v>-1.0000000000019327E-2</v>
      </c>
      <c r="AB3061" s="61"/>
      <c r="AC3061" s="254"/>
      <c r="AD3061" s="236"/>
      <c r="AE3061" s="236"/>
    </row>
    <row r="3062" spans="1:31" ht="12">
      <c r="A3062" s="67" t="s">
        <v>16447</v>
      </c>
      <c r="B3062" s="65" t="s">
        <v>16448</v>
      </c>
      <c r="C3062" s="71" t="s">
        <v>103</v>
      </c>
      <c r="D3062" s="78">
        <v>1</v>
      </c>
      <c r="E3062" s="79">
        <v>80.5</v>
      </c>
      <c r="F3062" s="70">
        <v>80.5</v>
      </c>
      <c r="G3062" s="320"/>
      <c r="H3062" s="79">
        <v>63.75</v>
      </c>
      <c r="I3062" s="79">
        <v>16.75</v>
      </c>
      <c r="J3062" s="79">
        <v>80.5</v>
      </c>
      <c r="K3062" s="79">
        <v>0</v>
      </c>
      <c r="L3062" s="70">
        <v>80.5</v>
      </c>
      <c r="M3062" s="132"/>
      <c r="N3062" s="79">
        <v>63.75</v>
      </c>
      <c r="O3062" s="79">
        <v>16.75</v>
      </c>
      <c r="P3062" s="79">
        <v>80.5</v>
      </c>
      <c r="Q3062" s="136"/>
      <c r="R3062" s="79">
        <v>63.75</v>
      </c>
      <c r="S3062" s="79">
        <v>16.75</v>
      </c>
      <c r="T3062" s="79">
        <v>80.5</v>
      </c>
      <c r="U3062" s="79">
        <v>0</v>
      </c>
      <c r="V3062" s="189">
        <v>80.5</v>
      </c>
      <c r="X3062" s="79">
        <v>63.75</v>
      </c>
      <c r="Y3062" s="79">
        <v>16.75</v>
      </c>
      <c r="Z3062" s="79">
        <v>80.5</v>
      </c>
      <c r="AA3062" s="255">
        <v>0</v>
      </c>
      <c r="AC3062" s="254"/>
      <c r="AD3062" s="69"/>
      <c r="AE3062" s="69"/>
    </row>
    <row r="3063" spans="1:31" ht="12">
      <c r="A3063" s="67" t="s">
        <v>16449</v>
      </c>
      <c r="B3063" s="65" t="s">
        <v>16450</v>
      </c>
      <c r="C3063" s="71" t="s">
        <v>103</v>
      </c>
      <c r="D3063" s="78">
        <v>1</v>
      </c>
      <c r="E3063" s="79">
        <v>110.33</v>
      </c>
      <c r="F3063" s="70">
        <v>110.33</v>
      </c>
      <c r="G3063" s="320"/>
      <c r="H3063" s="79">
        <v>88.01</v>
      </c>
      <c r="I3063" s="79">
        <v>22.32</v>
      </c>
      <c r="J3063" s="79">
        <v>110.33000000000001</v>
      </c>
      <c r="K3063" s="79">
        <v>0</v>
      </c>
      <c r="L3063" s="70">
        <v>110.33000000000001</v>
      </c>
      <c r="M3063" s="132"/>
      <c r="N3063" s="79">
        <v>88.01</v>
      </c>
      <c r="O3063" s="79">
        <v>22.32</v>
      </c>
      <c r="P3063" s="79">
        <v>110.33000000000001</v>
      </c>
      <c r="Q3063" s="136"/>
      <c r="R3063" s="79">
        <v>88.01</v>
      </c>
      <c r="S3063" s="79">
        <v>22.33</v>
      </c>
      <c r="T3063" s="79">
        <v>110.34</v>
      </c>
      <c r="U3063" s="79">
        <v>0</v>
      </c>
      <c r="V3063" s="189">
        <v>110.34</v>
      </c>
      <c r="X3063" s="79">
        <v>88.01</v>
      </c>
      <c r="Y3063" s="79">
        <v>22.33</v>
      </c>
      <c r="Z3063" s="79">
        <v>110.34</v>
      </c>
      <c r="AA3063" s="255">
        <v>-1.0000000000005116E-2</v>
      </c>
      <c r="AC3063" s="254"/>
    </row>
    <row r="3064" spans="1:31" s="69" customFormat="1" ht="12">
      <c r="A3064" s="67" t="s">
        <v>16451</v>
      </c>
      <c r="B3064" s="65" t="s">
        <v>16452</v>
      </c>
      <c r="C3064" s="71" t="s">
        <v>103</v>
      </c>
      <c r="D3064" s="78">
        <v>1</v>
      </c>
      <c r="E3064" s="79">
        <v>179.9</v>
      </c>
      <c r="F3064" s="70">
        <v>179.9</v>
      </c>
      <c r="G3064" s="320"/>
      <c r="H3064" s="79">
        <v>163.15</v>
      </c>
      <c r="I3064" s="79">
        <v>16.75</v>
      </c>
      <c r="J3064" s="79">
        <v>179.9</v>
      </c>
      <c r="K3064" s="79">
        <v>0</v>
      </c>
      <c r="L3064" s="70">
        <v>179.9</v>
      </c>
      <c r="M3064" s="132"/>
      <c r="N3064" s="79">
        <v>163.15</v>
      </c>
      <c r="O3064" s="79">
        <v>16.75</v>
      </c>
      <c r="P3064" s="79">
        <v>179.9</v>
      </c>
      <c r="Q3064" s="136"/>
      <c r="R3064" s="79">
        <v>163.15</v>
      </c>
      <c r="S3064" s="79">
        <v>16.75</v>
      </c>
      <c r="T3064" s="79">
        <v>179.9</v>
      </c>
      <c r="U3064" s="79">
        <v>0</v>
      </c>
      <c r="V3064" s="189">
        <v>179.9</v>
      </c>
      <c r="W3064" s="61"/>
      <c r="X3064" s="79">
        <v>163.15</v>
      </c>
      <c r="Y3064" s="79">
        <v>16.75</v>
      </c>
      <c r="Z3064" s="79">
        <v>179.9</v>
      </c>
      <c r="AA3064" s="255">
        <v>0</v>
      </c>
      <c r="AB3064" s="61"/>
      <c r="AC3064" s="254"/>
      <c r="AD3064" s="236"/>
      <c r="AE3064" s="236"/>
    </row>
    <row r="3065" spans="1:31" ht="12">
      <c r="A3065" s="67" t="s">
        <v>16453</v>
      </c>
      <c r="B3065" s="65" t="s">
        <v>16454</v>
      </c>
      <c r="C3065" s="71" t="s">
        <v>103</v>
      </c>
      <c r="D3065" s="78">
        <v>1</v>
      </c>
      <c r="E3065" s="79">
        <v>231.23000000000002</v>
      </c>
      <c r="F3065" s="70">
        <v>231.23</v>
      </c>
      <c r="G3065" s="320"/>
      <c r="H3065" s="79">
        <v>208.91000000000003</v>
      </c>
      <c r="I3065" s="79">
        <v>22.32</v>
      </c>
      <c r="J3065" s="79">
        <v>231.23000000000002</v>
      </c>
      <c r="K3065" s="79">
        <v>0</v>
      </c>
      <c r="L3065" s="70">
        <v>231.23000000000002</v>
      </c>
      <c r="M3065" s="132"/>
      <c r="N3065" s="79">
        <v>208.91000000000003</v>
      </c>
      <c r="O3065" s="79">
        <v>22.32</v>
      </c>
      <c r="P3065" s="79">
        <v>231.23000000000002</v>
      </c>
      <c r="Q3065" s="136"/>
      <c r="R3065" s="79">
        <v>208.91</v>
      </c>
      <c r="S3065" s="79">
        <v>22.33</v>
      </c>
      <c r="T3065" s="79">
        <v>231.24</v>
      </c>
      <c r="U3065" s="79">
        <v>0</v>
      </c>
      <c r="V3065" s="189">
        <v>231.24</v>
      </c>
      <c r="X3065" s="79">
        <v>208.91</v>
      </c>
      <c r="Y3065" s="79">
        <v>22.33</v>
      </c>
      <c r="Z3065" s="79">
        <v>231.24</v>
      </c>
      <c r="AA3065" s="255">
        <v>-1.0000000000019327E-2</v>
      </c>
      <c r="AC3065" s="254"/>
    </row>
    <row r="3066" spans="1:31" ht="12">
      <c r="A3066" s="67" t="s">
        <v>16455</v>
      </c>
      <c r="B3066" s="65" t="s">
        <v>16456</v>
      </c>
      <c r="C3066" s="71" t="s">
        <v>103</v>
      </c>
      <c r="D3066" s="78">
        <v>1</v>
      </c>
      <c r="E3066" s="79">
        <v>249.82</v>
      </c>
      <c r="F3066" s="70">
        <v>249.82</v>
      </c>
      <c r="G3066" s="320"/>
      <c r="H3066" s="79">
        <v>227.5</v>
      </c>
      <c r="I3066" s="79">
        <v>22.32</v>
      </c>
      <c r="J3066" s="79">
        <v>249.82</v>
      </c>
      <c r="K3066" s="79">
        <v>0</v>
      </c>
      <c r="L3066" s="70">
        <v>249.82</v>
      </c>
      <c r="M3066" s="132"/>
      <c r="N3066" s="79">
        <v>227.5</v>
      </c>
      <c r="O3066" s="79">
        <v>22.32</v>
      </c>
      <c r="P3066" s="79">
        <v>249.82</v>
      </c>
      <c r="Q3066" s="136"/>
      <c r="R3066" s="79">
        <v>227.5</v>
      </c>
      <c r="S3066" s="79">
        <v>22.33</v>
      </c>
      <c r="T3066" s="79">
        <v>249.82999999999998</v>
      </c>
      <c r="U3066" s="79">
        <v>0</v>
      </c>
      <c r="V3066" s="189">
        <v>249.82999999999998</v>
      </c>
      <c r="X3066" s="79">
        <v>227.5</v>
      </c>
      <c r="Y3066" s="79">
        <v>22.33</v>
      </c>
      <c r="Z3066" s="79">
        <v>249.83</v>
      </c>
      <c r="AA3066" s="255">
        <v>-1.0000000000019327E-2</v>
      </c>
      <c r="AC3066" s="254"/>
    </row>
    <row r="3067" spans="1:31" ht="12">
      <c r="A3067" s="67" t="s">
        <v>16457</v>
      </c>
      <c r="B3067" s="65" t="s">
        <v>16458</v>
      </c>
      <c r="C3067" s="71" t="s">
        <v>103</v>
      </c>
      <c r="D3067" s="78">
        <v>1</v>
      </c>
      <c r="E3067" s="79">
        <v>262.5</v>
      </c>
      <c r="F3067" s="70">
        <v>262.5</v>
      </c>
      <c r="G3067" s="320"/>
      <c r="H3067" s="79">
        <v>240.18</v>
      </c>
      <c r="I3067" s="79">
        <v>22.32</v>
      </c>
      <c r="J3067" s="79">
        <v>262.5</v>
      </c>
      <c r="K3067" s="79">
        <v>0</v>
      </c>
      <c r="L3067" s="70">
        <v>262.5</v>
      </c>
      <c r="M3067" s="132"/>
      <c r="N3067" s="79">
        <v>240.18</v>
      </c>
      <c r="O3067" s="79">
        <v>22.32</v>
      </c>
      <c r="P3067" s="79">
        <v>262.5</v>
      </c>
      <c r="Q3067" s="136"/>
      <c r="R3067" s="79">
        <v>240.18</v>
      </c>
      <c r="S3067" s="79">
        <v>22.33</v>
      </c>
      <c r="T3067" s="79">
        <v>262.51</v>
      </c>
      <c r="U3067" s="79">
        <v>0</v>
      </c>
      <c r="V3067" s="189">
        <v>262.51</v>
      </c>
      <c r="X3067" s="79">
        <v>240.18</v>
      </c>
      <c r="Y3067" s="79">
        <v>22.33</v>
      </c>
      <c r="Z3067" s="79">
        <v>262.51</v>
      </c>
      <c r="AA3067" s="255">
        <v>-9.9999999999909051E-3</v>
      </c>
      <c r="AC3067" s="254"/>
    </row>
    <row r="3068" spans="1:31" ht="12">
      <c r="A3068" s="67" t="s">
        <v>16459</v>
      </c>
      <c r="B3068" s="65" t="s">
        <v>16460</v>
      </c>
      <c r="C3068" s="71" t="s">
        <v>103</v>
      </c>
      <c r="D3068" s="78">
        <v>1</v>
      </c>
      <c r="E3068" s="79">
        <v>295.7</v>
      </c>
      <c r="F3068" s="70">
        <v>295.7</v>
      </c>
      <c r="G3068" s="320"/>
      <c r="H3068" s="79">
        <v>273.38</v>
      </c>
      <c r="I3068" s="79">
        <v>22.32</v>
      </c>
      <c r="J3068" s="79">
        <v>295.7</v>
      </c>
      <c r="K3068" s="79">
        <v>0</v>
      </c>
      <c r="L3068" s="70">
        <v>295.7</v>
      </c>
      <c r="M3068" s="132"/>
      <c r="N3068" s="79">
        <v>273.38</v>
      </c>
      <c r="O3068" s="79">
        <v>22.32</v>
      </c>
      <c r="P3068" s="79">
        <v>295.7</v>
      </c>
      <c r="Q3068" s="136"/>
      <c r="R3068" s="79">
        <v>273.38</v>
      </c>
      <c r="S3068" s="79">
        <v>22.33</v>
      </c>
      <c r="T3068" s="79">
        <v>295.70999999999998</v>
      </c>
      <c r="U3068" s="79">
        <v>0</v>
      </c>
      <c r="V3068" s="189">
        <v>295.70999999999998</v>
      </c>
      <c r="X3068" s="79">
        <v>273.38</v>
      </c>
      <c r="Y3068" s="79">
        <v>22.33</v>
      </c>
      <c r="Z3068" s="79">
        <v>295.70999999999998</v>
      </c>
      <c r="AA3068" s="255">
        <v>-9.9999999999909051E-3</v>
      </c>
      <c r="AC3068" s="254"/>
      <c r="AD3068" s="61"/>
      <c r="AE3068" s="61"/>
    </row>
    <row r="3069" spans="1:31" ht="12">
      <c r="A3069" s="67" t="s">
        <v>16461</v>
      </c>
      <c r="B3069" s="65" t="s">
        <v>16462</v>
      </c>
      <c r="C3069" s="71" t="s">
        <v>103</v>
      </c>
      <c r="D3069" s="78">
        <v>1</v>
      </c>
      <c r="E3069" s="79">
        <v>305.07</v>
      </c>
      <c r="F3069" s="70">
        <v>305.07</v>
      </c>
      <c r="G3069" s="320"/>
      <c r="H3069" s="79">
        <v>282.75</v>
      </c>
      <c r="I3069" s="79">
        <v>22.32</v>
      </c>
      <c r="J3069" s="79">
        <v>305.07</v>
      </c>
      <c r="K3069" s="79">
        <v>0</v>
      </c>
      <c r="L3069" s="70">
        <v>305.07</v>
      </c>
      <c r="M3069" s="132"/>
      <c r="N3069" s="79">
        <v>282.75</v>
      </c>
      <c r="O3069" s="79">
        <v>22.32</v>
      </c>
      <c r="P3069" s="79">
        <v>305.07</v>
      </c>
      <c r="Q3069" s="136"/>
      <c r="R3069" s="79">
        <v>282.75</v>
      </c>
      <c r="S3069" s="79">
        <v>22.33</v>
      </c>
      <c r="T3069" s="79">
        <v>305.08</v>
      </c>
      <c r="U3069" s="79">
        <v>0</v>
      </c>
      <c r="V3069" s="189">
        <v>305.08</v>
      </c>
      <c r="X3069" s="79">
        <v>282.75</v>
      </c>
      <c r="Y3069" s="79">
        <v>22.33</v>
      </c>
      <c r="Z3069" s="79">
        <v>305.08</v>
      </c>
      <c r="AA3069" s="255">
        <v>-9.9999999999909051E-3</v>
      </c>
      <c r="AC3069" s="254"/>
      <c r="AD3069" s="61"/>
      <c r="AE3069" s="61"/>
    </row>
    <row r="3070" spans="1:31" s="61" customFormat="1" ht="12">
      <c r="A3070" s="67" t="s">
        <v>16463</v>
      </c>
      <c r="B3070" s="65" t="s">
        <v>16464</v>
      </c>
      <c r="C3070" s="71" t="s">
        <v>103</v>
      </c>
      <c r="D3070" s="78">
        <v>1</v>
      </c>
      <c r="E3070" s="79">
        <v>412.16</v>
      </c>
      <c r="F3070" s="70">
        <v>412.16</v>
      </c>
      <c r="G3070" s="320"/>
      <c r="H3070" s="79">
        <v>384.22</v>
      </c>
      <c r="I3070" s="79">
        <v>27.939999999999998</v>
      </c>
      <c r="J3070" s="79">
        <v>412.16</v>
      </c>
      <c r="K3070" s="79">
        <v>0</v>
      </c>
      <c r="L3070" s="70">
        <v>412.16</v>
      </c>
      <c r="M3070" s="132"/>
      <c r="N3070" s="79">
        <v>384.22</v>
      </c>
      <c r="O3070" s="79">
        <v>27.939999999999998</v>
      </c>
      <c r="P3070" s="79">
        <v>412.16</v>
      </c>
      <c r="Q3070" s="136"/>
      <c r="R3070" s="79">
        <v>384.22</v>
      </c>
      <c r="S3070" s="79">
        <v>27.92</v>
      </c>
      <c r="T3070" s="79">
        <v>412.14000000000004</v>
      </c>
      <c r="U3070" s="79">
        <v>0</v>
      </c>
      <c r="V3070" s="189">
        <v>412.14000000000004</v>
      </c>
      <c r="X3070" s="79">
        <v>384.22</v>
      </c>
      <c r="Y3070" s="79">
        <v>27.92</v>
      </c>
      <c r="Z3070" s="79">
        <v>412.14</v>
      </c>
      <c r="AA3070" s="255">
        <v>2.0000000000038654E-2</v>
      </c>
      <c r="AC3070" s="254"/>
    </row>
    <row r="3071" spans="1:31" s="61" customFormat="1" ht="12">
      <c r="A3071" s="67" t="s">
        <v>16465</v>
      </c>
      <c r="B3071" s="65" t="s">
        <v>16466</v>
      </c>
      <c r="C3071" s="71" t="s">
        <v>103</v>
      </c>
      <c r="D3071" s="78">
        <v>1</v>
      </c>
      <c r="E3071" s="79">
        <v>326.88</v>
      </c>
      <c r="F3071" s="70">
        <v>326.88</v>
      </c>
      <c r="G3071" s="320"/>
      <c r="H3071" s="79">
        <v>304.56</v>
      </c>
      <c r="I3071" s="79">
        <v>22.32</v>
      </c>
      <c r="J3071" s="79">
        <v>326.88</v>
      </c>
      <c r="K3071" s="79">
        <v>0</v>
      </c>
      <c r="L3071" s="70">
        <v>326.88</v>
      </c>
      <c r="M3071" s="132"/>
      <c r="N3071" s="79">
        <v>304.56</v>
      </c>
      <c r="O3071" s="79">
        <v>22.32</v>
      </c>
      <c r="P3071" s="79">
        <v>326.88</v>
      </c>
      <c r="Q3071" s="136"/>
      <c r="R3071" s="79">
        <v>304.56</v>
      </c>
      <c r="S3071" s="79">
        <v>22.33</v>
      </c>
      <c r="T3071" s="79">
        <v>326.89</v>
      </c>
      <c r="U3071" s="79">
        <v>0</v>
      </c>
      <c r="V3071" s="189">
        <v>326.89</v>
      </c>
      <c r="X3071" s="79">
        <v>304.56</v>
      </c>
      <c r="Y3071" s="79">
        <v>22.33</v>
      </c>
      <c r="Z3071" s="79">
        <v>326.89</v>
      </c>
      <c r="AA3071" s="255">
        <v>-9.9999999999909051E-3</v>
      </c>
      <c r="AC3071" s="254"/>
    </row>
    <row r="3072" spans="1:31" s="61" customFormat="1" ht="12">
      <c r="A3072" s="67" t="s">
        <v>16467</v>
      </c>
      <c r="B3072" s="65" t="s">
        <v>16468</v>
      </c>
      <c r="C3072" s="71" t="s">
        <v>103</v>
      </c>
      <c r="D3072" s="78">
        <v>1</v>
      </c>
      <c r="E3072" s="79">
        <v>163.42000000000002</v>
      </c>
      <c r="F3072" s="70">
        <v>163.41999999999999</v>
      </c>
      <c r="G3072" s="320"/>
      <c r="H3072" s="79">
        <v>146.67000000000002</v>
      </c>
      <c r="I3072" s="79">
        <v>16.75</v>
      </c>
      <c r="J3072" s="79">
        <v>163.42000000000002</v>
      </c>
      <c r="K3072" s="79">
        <v>0</v>
      </c>
      <c r="L3072" s="70">
        <v>163.42000000000002</v>
      </c>
      <c r="M3072" s="132"/>
      <c r="N3072" s="79">
        <v>146.67000000000002</v>
      </c>
      <c r="O3072" s="79">
        <v>16.75</v>
      </c>
      <c r="P3072" s="79">
        <v>163.42000000000002</v>
      </c>
      <c r="Q3072" s="136"/>
      <c r="R3072" s="79">
        <v>146.66999999999999</v>
      </c>
      <c r="S3072" s="79">
        <v>16.75</v>
      </c>
      <c r="T3072" s="79">
        <v>163.41999999999999</v>
      </c>
      <c r="U3072" s="79">
        <v>0</v>
      </c>
      <c r="V3072" s="189">
        <v>163.41999999999999</v>
      </c>
      <c r="X3072" s="79">
        <v>146.66999999999999</v>
      </c>
      <c r="Y3072" s="79">
        <v>16.75</v>
      </c>
      <c r="Z3072" s="79">
        <v>163.41999999999999</v>
      </c>
      <c r="AA3072" s="255">
        <v>0</v>
      </c>
      <c r="AC3072" s="254"/>
    </row>
    <row r="3073" spans="1:31" s="61" customFormat="1" ht="12">
      <c r="A3073" s="67" t="s">
        <v>16469</v>
      </c>
      <c r="B3073" s="65" t="s">
        <v>16470</v>
      </c>
      <c r="C3073" s="71" t="s">
        <v>103</v>
      </c>
      <c r="D3073" s="78">
        <v>1</v>
      </c>
      <c r="E3073" s="79">
        <v>208.06</v>
      </c>
      <c r="F3073" s="70">
        <v>208.06</v>
      </c>
      <c r="G3073" s="320"/>
      <c r="H3073" s="79">
        <v>185.74</v>
      </c>
      <c r="I3073" s="79">
        <v>22.32</v>
      </c>
      <c r="J3073" s="79">
        <v>208.06</v>
      </c>
      <c r="K3073" s="79">
        <v>0</v>
      </c>
      <c r="L3073" s="70">
        <v>208.06</v>
      </c>
      <c r="M3073" s="132"/>
      <c r="N3073" s="79">
        <v>185.74</v>
      </c>
      <c r="O3073" s="79">
        <v>22.32</v>
      </c>
      <c r="P3073" s="79">
        <v>208.06</v>
      </c>
      <c r="Q3073" s="136"/>
      <c r="R3073" s="79">
        <v>185.74</v>
      </c>
      <c r="S3073" s="79">
        <v>22.33</v>
      </c>
      <c r="T3073" s="79">
        <v>208.07</v>
      </c>
      <c r="U3073" s="79">
        <v>0</v>
      </c>
      <c r="V3073" s="189">
        <v>208.07</v>
      </c>
      <c r="X3073" s="79">
        <v>185.74</v>
      </c>
      <c r="Y3073" s="79">
        <v>22.33</v>
      </c>
      <c r="Z3073" s="79">
        <v>208.07</v>
      </c>
      <c r="AA3073" s="255">
        <v>-9.9999999999909051E-3</v>
      </c>
      <c r="AC3073" s="254"/>
    </row>
    <row r="3074" spans="1:31" s="61" customFormat="1" ht="12">
      <c r="A3074" s="67" t="s">
        <v>16471</v>
      </c>
      <c r="B3074" s="65" t="s">
        <v>16472</v>
      </c>
      <c r="C3074" s="71" t="s">
        <v>103</v>
      </c>
      <c r="D3074" s="78">
        <v>1</v>
      </c>
      <c r="E3074" s="79">
        <v>245.1</v>
      </c>
      <c r="F3074" s="70">
        <v>245.1</v>
      </c>
      <c r="G3074" s="320"/>
      <c r="H3074" s="79">
        <v>222.78</v>
      </c>
      <c r="I3074" s="79">
        <v>22.32</v>
      </c>
      <c r="J3074" s="79">
        <v>245.1</v>
      </c>
      <c r="K3074" s="79">
        <v>0</v>
      </c>
      <c r="L3074" s="70">
        <v>245.1</v>
      </c>
      <c r="M3074" s="132"/>
      <c r="N3074" s="79">
        <v>222.78</v>
      </c>
      <c r="O3074" s="79">
        <v>22.32</v>
      </c>
      <c r="P3074" s="79">
        <v>245.1</v>
      </c>
      <c r="Q3074" s="136"/>
      <c r="R3074" s="79">
        <v>222.78</v>
      </c>
      <c r="S3074" s="79">
        <v>22.33</v>
      </c>
      <c r="T3074" s="79">
        <v>245.11</v>
      </c>
      <c r="U3074" s="79">
        <v>0</v>
      </c>
      <c r="V3074" s="189">
        <v>245.11</v>
      </c>
      <c r="X3074" s="79">
        <v>222.78</v>
      </c>
      <c r="Y3074" s="79">
        <v>22.33</v>
      </c>
      <c r="Z3074" s="79">
        <v>245.11</v>
      </c>
      <c r="AA3074" s="255">
        <v>-1.0000000000019327E-2</v>
      </c>
      <c r="AC3074" s="254"/>
    </row>
    <row r="3075" spans="1:31" s="61" customFormat="1" ht="12">
      <c r="A3075" s="67" t="s">
        <v>16473</v>
      </c>
      <c r="B3075" s="65" t="s">
        <v>16474</v>
      </c>
      <c r="C3075" s="71" t="s">
        <v>103</v>
      </c>
      <c r="D3075" s="78">
        <v>1</v>
      </c>
      <c r="E3075" s="79">
        <v>251.36</v>
      </c>
      <c r="F3075" s="70">
        <v>251.36</v>
      </c>
      <c r="G3075" s="320"/>
      <c r="H3075" s="79">
        <v>229.04000000000002</v>
      </c>
      <c r="I3075" s="79">
        <v>22.32</v>
      </c>
      <c r="J3075" s="79">
        <v>251.36</v>
      </c>
      <c r="K3075" s="79">
        <v>0</v>
      </c>
      <c r="L3075" s="70">
        <v>251.36</v>
      </c>
      <c r="M3075" s="132"/>
      <c r="N3075" s="79">
        <v>229.04000000000002</v>
      </c>
      <c r="O3075" s="79">
        <v>22.32</v>
      </c>
      <c r="P3075" s="79">
        <v>251.36</v>
      </c>
      <c r="Q3075" s="136"/>
      <c r="R3075" s="79">
        <v>229.04</v>
      </c>
      <c r="S3075" s="79">
        <v>22.33</v>
      </c>
      <c r="T3075" s="79">
        <v>251.37</v>
      </c>
      <c r="U3075" s="79">
        <v>0</v>
      </c>
      <c r="V3075" s="189">
        <v>251.37</v>
      </c>
      <c r="X3075" s="79">
        <v>229.04</v>
      </c>
      <c r="Y3075" s="79">
        <v>22.33</v>
      </c>
      <c r="Z3075" s="79">
        <v>251.37</v>
      </c>
      <c r="AA3075" s="255">
        <v>-9.9999999999909051E-3</v>
      </c>
      <c r="AC3075" s="254"/>
      <c r="AD3075" s="236"/>
      <c r="AE3075" s="236"/>
    </row>
    <row r="3076" spans="1:31" s="61" customFormat="1" ht="12">
      <c r="A3076" s="67" t="s">
        <v>16475</v>
      </c>
      <c r="B3076" s="65" t="s">
        <v>16476</v>
      </c>
      <c r="C3076" s="71" t="s">
        <v>103</v>
      </c>
      <c r="D3076" s="78">
        <v>1</v>
      </c>
      <c r="E3076" s="79">
        <v>263.27000000000004</v>
      </c>
      <c r="F3076" s="70">
        <v>263.27</v>
      </c>
      <c r="G3076" s="320"/>
      <c r="H3076" s="79">
        <v>240.95000000000002</v>
      </c>
      <c r="I3076" s="79">
        <v>22.32</v>
      </c>
      <c r="J3076" s="79">
        <v>263.27000000000004</v>
      </c>
      <c r="K3076" s="79">
        <v>0</v>
      </c>
      <c r="L3076" s="70">
        <v>263.27000000000004</v>
      </c>
      <c r="M3076" s="132"/>
      <c r="N3076" s="79">
        <v>240.95000000000002</v>
      </c>
      <c r="O3076" s="79">
        <v>22.32</v>
      </c>
      <c r="P3076" s="79">
        <v>263.27000000000004</v>
      </c>
      <c r="Q3076" s="136"/>
      <c r="R3076" s="79">
        <v>240.95</v>
      </c>
      <c r="S3076" s="79">
        <v>22.33</v>
      </c>
      <c r="T3076" s="79">
        <v>263.27999999999997</v>
      </c>
      <c r="U3076" s="79">
        <v>0</v>
      </c>
      <c r="V3076" s="189">
        <v>263.27999999999997</v>
      </c>
      <c r="X3076" s="79">
        <v>240.95</v>
      </c>
      <c r="Y3076" s="79">
        <v>22.33</v>
      </c>
      <c r="Z3076" s="79">
        <v>263.27999999999997</v>
      </c>
      <c r="AA3076" s="255">
        <v>-9.9999999999909051E-3</v>
      </c>
      <c r="AC3076" s="254"/>
      <c r="AD3076" s="236"/>
      <c r="AE3076" s="236"/>
    </row>
    <row r="3077" spans="1:31" ht="12">
      <c r="A3077" s="67" t="s">
        <v>16477</v>
      </c>
      <c r="B3077" s="65" t="s">
        <v>16478</v>
      </c>
      <c r="C3077" s="71" t="s">
        <v>103</v>
      </c>
      <c r="D3077" s="78">
        <v>1</v>
      </c>
      <c r="E3077" s="79">
        <v>309.32</v>
      </c>
      <c r="F3077" s="70">
        <v>309.32</v>
      </c>
      <c r="G3077" s="320"/>
      <c r="H3077" s="79">
        <v>287</v>
      </c>
      <c r="I3077" s="79">
        <v>22.32</v>
      </c>
      <c r="J3077" s="79">
        <v>309.32</v>
      </c>
      <c r="K3077" s="79">
        <v>0</v>
      </c>
      <c r="L3077" s="70">
        <v>309.32</v>
      </c>
      <c r="M3077" s="132"/>
      <c r="N3077" s="79">
        <v>287</v>
      </c>
      <c r="O3077" s="79">
        <v>22.32</v>
      </c>
      <c r="P3077" s="79">
        <v>309.32</v>
      </c>
      <c r="Q3077" s="136"/>
      <c r="R3077" s="79">
        <v>287</v>
      </c>
      <c r="S3077" s="79">
        <v>22.33</v>
      </c>
      <c r="T3077" s="79">
        <v>309.33</v>
      </c>
      <c r="U3077" s="79">
        <v>0</v>
      </c>
      <c r="V3077" s="189">
        <v>309.33</v>
      </c>
      <c r="X3077" s="79">
        <v>287</v>
      </c>
      <c r="Y3077" s="79">
        <v>22.33</v>
      </c>
      <c r="Z3077" s="79">
        <v>309.33</v>
      </c>
      <c r="AA3077" s="255">
        <v>-9.9999999999909051E-3</v>
      </c>
      <c r="AC3077" s="254"/>
    </row>
    <row r="3078" spans="1:31" ht="12">
      <c r="A3078" s="67" t="s">
        <v>16479</v>
      </c>
      <c r="B3078" s="65" t="s">
        <v>16480</v>
      </c>
      <c r="C3078" s="71" t="s">
        <v>103</v>
      </c>
      <c r="D3078" s="78">
        <v>1</v>
      </c>
      <c r="E3078" s="79">
        <v>78.61</v>
      </c>
      <c r="F3078" s="70">
        <v>78.61</v>
      </c>
      <c r="G3078" s="320"/>
      <c r="H3078" s="79">
        <v>56.29</v>
      </c>
      <c r="I3078" s="79">
        <v>22.32</v>
      </c>
      <c r="J3078" s="79">
        <v>78.61</v>
      </c>
      <c r="K3078" s="79">
        <v>0</v>
      </c>
      <c r="L3078" s="70">
        <v>78.61</v>
      </c>
      <c r="M3078" s="132"/>
      <c r="N3078" s="79">
        <v>56.29</v>
      </c>
      <c r="O3078" s="79">
        <v>22.32</v>
      </c>
      <c r="P3078" s="79">
        <v>78.61</v>
      </c>
      <c r="Q3078" s="136"/>
      <c r="R3078" s="79">
        <v>56.29</v>
      </c>
      <c r="S3078" s="79">
        <v>22.33</v>
      </c>
      <c r="T3078" s="79">
        <v>78.62</v>
      </c>
      <c r="U3078" s="79">
        <v>0</v>
      </c>
      <c r="V3078" s="189">
        <v>78.62</v>
      </c>
      <c r="X3078" s="79">
        <v>56.29</v>
      </c>
      <c r="Y3078" s="79">
        <v>22.33</v>
      </c>
      <c r="Z3078" s="79">
        <v>78.62</v>
      </c>
      <c r="AA3078" s="255">
        <v>-1.0000000000005116E-2</v>
      </c>
      <c r="AC3078" s="254"/>
      <c r="AD3078" s="61"/>
      <c r="AE3078" s="61"/>
    </row>
    <row r="3079" spans="1:31" ht="12">
      <c r="A3079" s="67" t="s">
        <v>16481</v>
      </c>
      <c r="B3079" s="65" t="s">
        <v>16482</v>
      </c>
      <c r="C3079" s="71" t="s">
        <v>103</v>
      </c>
      <c r="D3079" s="78">
        <v>1</v>
      </c>
      <c r="E3079" s="79">
        <v>89.42</v>
      </c>
      <c r="F3079" s="70">
        <v>89.42</v>
      </c>
      <c r="G3079" s="320"/>
      <c r="H3079" s="79">
        <v>67.099999999999994</v>
      </c>
      <c r="I3079" s="79">
        <v>22.32</v>
      </c>
      <c r="J3079" s="79">
        <v>89.419999999999987</v>
      </c>
      <c r="K3079" s="79">
        <v>0</v>
      </c>
      <c r="L3079" s="70">
        <v>89.419999999999987</v>
      </c>
      <c r="M3079" s="132"/>
      <c r="N3079" s="79">
        <v>67.099999999999994</v>
      </c>
      <c r="O3079" s="79">
        <v>22.32</v>
      </c>
      <c r="P3079" s="79">
        <v>89.419999999999987</v>
      </c>
      <c r="Q3079" s="136"/>
      <c r="R3079" s="79">
        <v>67.099999999999994</v>
      </c>
      <c r="S3079" s="79">
        <v>22.33</v>
      </c>
      <c r="T3079" s="79">
        <v>89.429999999999993</v>
      </c>
      <c r="U3079" s="79">
        <v>0</v>
      </c>
      <c r="V3079" s="189">
        <v>89.429999999999993</v>
      </c>
      <c r="X3079" s="79">
        <v>67.099999999999994</v>
      </c>
      <c r="Y3079" s="79">
        <v>22.33</v>
      </c>
      <c r="Z3079" s="79">
        <v>89.43</v>
      </c>
      <c r="AA3079" s="255">
        <v>-1.0000000000005116E-2</v>
      </c>
      <c r="AC3079" s="254"/>
      <c r="AD3079" s="61"/>
      <c r="AE3079" s="61"/>
    </row>
    <row r="3080" spans="1:31" s="61" customFormat="1" ht="12">
      <c r="A3080" s="67" t="s">
        <v>16483</v>
      </c>
      <c r="B3080" s="65" t="s">
        <v>16484</v>
      </c>
      <c r="C3080" s="71" t="s">
        <v>103</v>
      </c>
      <c r="D3080" s="78">
        <v>1</v>
      </c>
      <c r="E3080" s="79">
        <v>189.49</v>
      </c>
      <c r="F3080" s="70">
        <v>189.49</v>
      </c>
      <c r="G3080" s="320"/>
      <c r="H3080" s="79">
        <v>161.55000000000001</v>
      </c>
      <c r="I3080" s="79">
        <v>27.939999999999998</v>
      </c>
      <c r="J3080" s="79">
        <v>189.49</v>
      </c>
      <c r="K3080" s="79">
        <v>0</v>
      </c>
      <c r="L3080" s="70">
        <v>189.49</v>
      </c>
      <c r="M3080" s="132"/>
      <c r="N3080" s="79">
        <v>161.55000000000001</v>
      </c>
      <c r="O3080" s="79">
        <v>27.939999999999998</v>
      </c>
      <c r="P3080" s="79">
        <v>189.49</v>
      </c>
      <c r="Q3080" s="136"/>
      <c r="R3080" s="79">
        <v>161.55000000000001</v>
      </c>
      <c r="S3080" s="79">
        <v>27.92</v>
      </c>
      <c r="T3080" s="79">
        <v>189.47000000000003</v>
      </c>
      <c r="U3080" s="79">
        <v>0</v>
      </c>
      <c r="V3080" s="189">
        <v>189.47000000000003</v>
      </c>
      <c r="X3080" s="79">
        <v>161.55000000000001</v>
      </c>
      <c r="Y3080" s="79">
        <v>27.92</v>
      </c>
      <c r="Z3080" s="79">
        <v>189.47</v>
      </c>
      <c r="AA3080" s="255">
        <v>2.0000000000010232E-2</v>
      </c>
      <c r="AC3080" s="254"/>
    </row>
    <row r="3081" spans="1:31" s="61" customFormat="1" ht="12">
      <c r="A3081" s="489" t="s">
        <v>16485</v>
      </c>
      <c r="B3081" s="490" t="s">
        <v>16486</v>
      </c>
      <c r="C3081" s="491"/>
      <c r="D3081" s="492"/>
      <c r="E3081" s="79"/>
      <c r="F3081" s="63"/>
      <c r="G3081" s="320"/>
      <c r="H3081" s="79"/>
      <c r="I3081" s="79"/>
      <c r="J3081" s="79"/>
      <c r="K3081" s="79"/>
      <c r="L3081" s="70"/>
      <c r="M3081" s="132"/>
      <c r="N3081" s="79"/>
      <c r="O3081" s="79"/>
      <c r="P3081" s="79"/>
      <c r="Q3081" s="136"/>
      <c r="R3081" s="79"/>
      <c r="S3081" s="79"/>
      <c r="T3081" s="79"/>
      <c r="U3081" s="79"/>
      <c r="V3081" s="189"/>
      <c r="X3081" s="79"/>
      <c r="Y3081" s="79"/>
      <c r="Z3081" s="79"/>
      <c r="AA3081" s="255"/>
      <c r="AC3081" s="254"/>
      <c r="AD3081" s="236"/>
      <c r="AE3081" s="236"/>
    </row>
    <row r="3082" spans="1:31" s="61" customFormat="1" ht="12">
      <c r="A3082" s="67" t="s">
        <v>16487</v>
      </c>
      <c r="B3082" s="65" t="s">
        <v>16488</v>
      </c>
      <c r="C3082" s="71" t="s">
        <v>165</v>
      </c>
      <c r="D3082" s="78">
        <v>1</v>
      </c>
      <c r="E3082" s="79">
        <v>103.8</v>
      </c>
      <c r="F3082" s="70">
        <v>103.8</v>
      </c>
      <c r="G3082" s="320"/>
      <c r="H3082" s="79">
        <v>85.38</v>
      </c>
      <c r="I3082" s="79">
        <v>18.420000000000002</v>
      </c>
      <c r="J3082" s="79">
        <v>103.8</v>
      </c>
      <c r="K3082" s="79">
        <v>0</v>
      </c>
      <c r="L3082" s="70">
        <v>103.8</v>
      </c>
      <c r="M3082" s="132"/>
      <c r="N3082" s="79">
        <v>85.38</v>
      </c>
      <c r="O3082" s="79">
        <v>18.420000000000002</v>
      </c>
      <c r="P3082" s="79">
        <v>103.8</v>
      </c>
      <c r="Q3082" s="136"/>
      <c r="R3082" s="79">
        <v>85.38</v>
      </c>
      <c r="S3082" s="79">
        <v>18.420000000000002</v>
      </c>
      <c r="T3082" s="79">
        <v>103.8</v>
      </c>
      <c r="U3082" s="79">
        <v>0</v>
      </c>
      <c r="V3082" s="189">
        <v>103.8</v>
      </c>
      <c r="X3082" s="79">
        <v>85.38</v>
      </c>
      <c r="Y3082" s="79">
        <v>18.420000000000002</v>
      </c>
      <c r="Z3082" s="79">
        <v>103.8</v>
      </c>
      <c r="AA3082" s="255">
        <v>0</v>
      </c>
      <c r="AC3082" s="254"/>
      <c r="AD3082" s="236"/>
      <c r="AE3082" s="236"/>
    </row>
    <row r="3083" spans="1:31" ht="12">
      <c r="A3083" s="67" t="s">
        <v>16489</v>
      </c>
      <c r="B3083" s="65" t="s">
        <v>16490</v>
      </c>
      <c r="C3083" s="71" t="s">
        <v>165</v>
      </c>
      <c r="D3083" s="78">
        <v>1</v>
      </c>
      <c r="E3083" s="79">
        <v>147.22</v>
      </c>
      <c r="F3083" s="70">
        <v>147.22</v>
      </c>
      <c r="G3083" s="320"/>
      <c r="H3083" s="79">
        <v>127.14000000000001</v>
      </c>
      <c r="I3083" s="79">
        <v>20.079999999999998</v>
      </c>
      <c r="J3083" s="79">
        <v>147.22000000000003</v>
      </c>
      <c r="K3083" s="79">
        <v>0</v>
      </c>
      <c r="L3083" s="70">
        <v>147.22000000000003</v>
      </c>
      <c r="M3083" s="132"/>
      <c r="N3083" s="79">
        <v>127.14000000000001</v>
      </c>
      <c r="O3083" s="79">
        <v>20.079999999999998</v>
      </c>
      <c r="P3083" s="79">
        <v>147.22000000000003</v>
      </c>
      <c r="Q3083" s="136"/>
      <c r="R3083" s="79">
        <v>127.14</v>
      </c>
      <c r="S3083" s="79">
        <v>20.100000000000001</v>
      </c>
      <c r="T3083" s="79">
        <v>147.24</v>
      </c>
      <c r="U3083" s="79">
        <v>0</v>
      </c>
      <c r="V3083" s="189">
        <v>147.24</v>
      </c>
      <c r="X3083" s="79">
        <v>127.14</v>
      </c>
      <c r="Y3083" s="79">
        <v>20.100000000000001</v>
      </c>
      <c r="Z3083" s="79">
        <v>147.24</v>
      </c>
      <c r="AA3083" s="255">
        <v>-2.0000000000010232E-2</v>
      </c>
      <c r="AC3083" s="254"/>
    </row>
    <row r="3084" spans="1:31" ht="12">
      <c r="A3084" s="67" t="s">
        <v>16491</v>
      </c>
      <c r="B3084" s="65" t="s">
        <v>16492</v>
      </c>
      <c r="C3084" s="71" t="s">
        <v>165</v>
      </c>
      <c r="D3084" s="78">
        <v>1</v>
      </c>
      <c r="E3084" s="79">
        <v>179.64000000000001</v>
      </c>
      <c r="F3084" s="70">
        <v>179.64</v>
      </c>
      <c r="G3084" s="320"/>
      <c r="H3084" s="79">
        <v>154.51000000000002</v>
      </c>
      <c r="I3084" s="79">
        <v>25.130000000000003</v>
      </c>
      <c r="J3084" s="79">
        <v>179.64000000000001</v>
      </c>
      <c r="K3084" s="79">
        <v>0</v>
      </c>
      <c r="L3084" s="70">
        <v>179.64000000000001</v>
      </c>
      <c r="M3084" s="132"/>
      <c r="N3084" s="79">
        <v>154.51000000000002</v>
      </c>
      <c r="O3084" s="79">
        <v>25.130000000000003</v>
      </c>
      <c r="P3084" s="79">
        <v>179.64000000000001</v>
      </c>
      <c r="Q3084" s="136"/>
      <c r="R3084" s="79">
        <v>154.51</v>
      </c>
      <c r="S3084" s="79">
        <v>25.12</v>
      </c>
      <c r="T3084" s="79">
        <v>179.63</v>
      </c>
      <c r="U3084" s="79">
        <v>0</v>
      </c>
      <c r="V3084" s="189">
        <v>179.63</v>
      </c>
      <c r="X3084" s="79">
        <v>154.51</v>
      </c>
      <c r="Y3084" s="79">
        <v>25.12</v>
      </c>
      <c r="Z3084" s="79">
        <v>179.63</v>
      </c>
      <c r="AA3084" s="255">
        <v>9.9999999999909051E-3</v>
      </c>
      <c r="AC3084" s="254"/>
    </row>
    <row r="3085" spans="1:31" ht="12">
      <c r="A3085" s="67" t="s">
        <v>16493</v>
      </c>
      <c r="B3085" s="65" t="s">
        <v>16494</v>
      </c>
      <c r="C3085" s="71" t="s">
        <v>165</v>
      </c>
      <c r="D3085" s="78">
        <v>1</v>
      </c>
      <c r="E3085" s="79">
        <v>288.99999999999994</v>
      </c>
      <c r="F3085" s="70">
        <v>289</v>
      </c>
      <c r="G3085" s="320"/>
      <c r="H3085" s="79">
        <v>260.53999999999996</v>
      </c>
      <c r="I3085" s="79">
        <v>28.46</v>
      </c>
      <c r="J3085" s="79">
        <v>288.99999999999994</v>
      </c>
      <c r="K3085" s="79">
        <v>0</v>
      </c>
      <c r="L3085" s="70">
        <v>288.99999999999994</v>
      </c>
      <c r="M3085" s="132"/>
      <c r="N3085" s="79">
        <v>260.53999999999996</v>
      </c>
      <c r="O3085" s="79">
        <v>28.46</v>
      </c>
      <c r="P3085" s="79">
        <v>288.99999999999994</v>
      </c>
      <c r="Q3085" s="136"/>
      <c r="R3085" s="79">
        <v>260.54000000000002</v>
      </c>
      <c r="S3085" s="79">
        <v>28.47</v>
      </c>
      <c r="T3085" s="79">
        <v>289.01</v>
      </c>
      <c r="U3085" s="79">
        <v>0</v>
      </c>
      <c r="V3085" s="189">
        <v>289.01</v>
      </c>
      <c r="X3085" s="79">
        <v>260.54000000000002</v>
      </c>
      <c r="Y3085" s="79">
        <v>28.47</v>
      </c>
      <c r="Z3085" s="79">
        <v>289.01</v>
      </c>
      <c r="AA3085" s="255">
        <v>-9.9999999999909051E-3</v>
      </c>
      <c r="AC3085" s="254"/>
    </row>
    <row r="3086" spans="1:31" ht="12">
      <c r="A3086" s="67" t="s">
        <v>16495</v>
      </c>
      <c r="B3086" s="65" t="s">
        <v>16496</v>
      </c>
      <c r="C3086" s="71" t="s">
        <v>165</v>
      </c>
      <c r="D3086" s="78">
        <v>1</v>
      </c>
      <c r="E3086" s="79">
        <v>328.48</v>
      </c>
      <c r="F3086" s="70">
        <v>328.48</v>
      </c>
      <c r="G3086" s="320"/>
      <c r="H3086" s="79">
        <v>300.02000000000004</v>
      </c>
      <c r="I3086" s="79">
        <v>28.46</v>
      </c>
      <c r="J3086" s="79">
        <v>328.48</v>
      </c>
      <c r="K3086" s="79">
        <v>0</v>
      </c>
      <c r="L3086" s="70">
        <v>328.48</v>
      </c>
      <c r="M3086" s="132"/>
      <c r="N3086" s="79">
        <v>300.02000000000004</v>
      </c>
      <c r="O3086" s="79">
        <v>28.46</v>
      </c>
      <c r="P3086" s="79">
        <v>328.48</v>
      </c>
      <c r="Q3086" s="136"/>
      <c r="R3086" s="79">
        <v>300.02</v>
      </c>
      <c r="S3086" s="79">
        <v>28.47</v>
      </c>
      <c r="T3086" s="79">
        <v>328.49</v>
      </c>
      <c r="U3086" s="79">
        <v>0</v>
      </c>
      <c r="V3086" s="189">
        <v>328.49</v>
      </c>
      <c r="X3086" s="79">
        <v>300.02</v>
      </c>
      <c r="Y3086" s="79">
        <v>28.47</v>
      </c>
      <c r="Z3086" s="79">
        <v>328.49</v>
      </c>
      <c r="AA3086" s="255">
        <v>-9.9999999999909051E-3</v>
      </c>
      <c r="AC3086" s="254"/>
    </row>
    <row r="3087" spans="1:31" ht="12">
      <c r="A3087" s="67" t="s">
        <v>16497</v>
      </c>
      <c r="B3087" s="65" t="s">
        <v>16498</v>
      </c>
      <c r="C3087" s="71" t="s">
        <v>165</v>
      </c>
      <c r="D3087" s="78">
        <v>1</v>
      </c>
      <c r="E3087" s="79">
        <v>437.86</v>
      </c>
      <c r="F3087" s="70">
        <v>437.86</v>
      </c>
      <c r="G3087" s="320"/>
      <c r="H3087" s="79">
        <v>399.33000000000004</v>
      </c>
      <c r="I3087" s="79">
        <v>38.53</v>
      </c>
      <c r="J3087" s="79">
        <v>437.86</v>
      </c>
      <c r="K3087" s="79">
        <v>0</v>
      </c>
      <c r="L3087" s="70">
        <v>437.86</v>
      </c>
      <c r="M3087" s="132"/>
      <c r="N3087" s="79">
        <v>399.33000000000004</v>
      </c>
      <c r="O3087" s="79">
        <v>38.53</v>
      </c>
      <c r="P3087" s="79">
        <v>437.86</v>
      </c>
      <c r="Q3087" s="136"/>
      <c r="R3087" s="79">
        <v>399.33</v>
      </c>
      <c r="S3087" s="79">
        <v>38.520000000000003</v>
      </c>
      <c r="T3087" s="79">
        <v>437.84999999999997</v>
      </c>
      <c r="U3087" s="79">
        <v>0</v>
      </c>
      <c r="V3087" s="189">
        <v>437.84999999999997</v>
      </c>
      <c r="X3087" s="79">
        <v>399.33</v>
      </c>
      <c r="Y3087" s="79">
        <v>38.520000000000003</v>
      </c>
      <c r="Z3087" s="79">
        <v>437.85</v>
      </c>
      <c r="AA3087" s="255">
        <v>9.9999999999909051E-3</v>
      </c>
      <c r="AC3087" s="254"/>
    </row>
    <row r="3088" spans="1:31" ht="12">
      <c r="A3088" s="67" t="s">
        <v>16499</v>
      </c>
      <c r="B3088" s="65" t="s">
        <v>16500</v>
      </c>
      <c r="C3088" s="71" t="s">
        <v>165</v>
      </c>
      <c r="D3088" s="78">
        <v>1</v>
      </c>
      <c r="E3088" s="79">
        <v>573.36</v>
      </c>
      <c r="F3088" s="70">
        <v>573.36</v>
      </c>
      <c r="G3088" s="320"/>
      <c r="H3088" s="79">
        <v>528.15</v>
      </c>
      <c r="I3088" s="79">
        <v>45.21</v>
      </c>
      <c r="J3088" s="79">
        <v>573.36</v>
      </c>
      <c r="K3088" s="79">
        <v>0</v>
      </c>
      <c r="L3088" s="70">
        <v>573.36</v>
      </c>
      <c r="M3088" s="132"/>
      <c r="N3088" s="79">
        <v>528.15</v>
      </c>
      <c r="O3088" s="79">
        <v>45.21</v>
      </c>
      <c r="P3088" s="79">
        <v>573.36</v>
      </c>
      <c r="Q3088" s="136"/>
      <c r="R3088" s="79">
        <v>528.15</v>
      </c>
      <c r="S3088" s="79">
        <v>45.23</v>
      </c>
      <c r="T3088" s="79">
        <v>573.38</v>
      </c>
      <c r="U3088" s="79">
        <v>0</v>
      </c>
      <c r="V3088" s="189">
        <v>573.38</v>
      </c>
      <c r="X3088" s="79">
        <v>528.15</v>
      </c>
      <c r="Y3088" s="79">
        <v>45.23</v>
      </c>
      <c r="Z3088" s="79">
        <v>573.38</v>
      </c>
      <c r="AA3088" s="255">
        <v>-1.999999999998181E-2</v>
      </c>
      <c r="AC3088" s="254"/>
    </row>
    <row r="3089" spans="1:31" ht="12">
      <c r="A3089" s="67" t="s">
        <v>16501</v>
      </c>
      <c r="B3089" s="65" t="s">
        <v>16502</v>
      </c>
      <c r="C3089" s="71" t="s">
        <v>165</v>
      </c>
      <c r="D3089" s="78">
        <v>1</v>
      </c>
      <c r="E3089" s="79">
        <v>758.15000000000009</v>
      </c>
      <c r="F3089" s="70">
        <v>758.15</v>
      </c>
      <c r="G3089" s="320"/>
      <c r="H3089" s="79">
        <v>709.58</v>
      </c>
      <c r="I3089" s="79">
        <v>48.57</v>
      </c>
      <c r="J3089" s="79">
        <v>758.15000000000009</v>
      </c>
      <c r="K3089" s="79">
        <v>0</v>
      </c>
      <c r="L3089" s="70">
        <v>758.15000000000009</v>
      </c>
      <c r="M3089" s="132"/>
      <c r="N3089" s="79">
        <v>709.58</v>
      </c>
      <c r="O3089" s="79">
        <v>48.57</v>
      </c>
      <c r="P3089" s="79">
        <v>758.15000000000009</v>
      </c>
      <c r="Q3089" s="136"/>
      <c r="R3089" s="79">
        <v>709.58</v>
      </c>
      <c r="S3089" s="79">
        <v>48.57</v>
      </c>
      <c r="T3089" s="79">
        <v>758.15000000000009</v>
      </c>
      <c r="U3089" s="79">
        <v>0</v>
      </c>
      <c r="V3089" s="189">
        <v>758.15000000000009</v>
      </c>
      <c r="X3089" s="79">
        <v>709.58</v>
      </c>
      <c r="Y3089" s="79">
        <v>48.57</v>
      </c>
      <c r="Z3089" s="79">
        <v>758.15</v>
      </c>
      <c r="AA3089" s="255">
        <v>0</v>
      </c>
      <c r="AC3089" s="254"/>
      <c r="AD3089" s="61"/>
      <c r="AE3089" s="61"/>
    </row>
    <row r="3090" spans="1:31" ht="12">
      <c r="A3090" s="67" t="s">
        <v>16503</v>
      </c>
      <c r="B3090" s="65" t="s">
        <v>16504</v>
      </c>
      <c r="C3090" s="71" t="s">
        <v>165</v>
      </c>
      <c r="D3090" s="78">
        <v>1</v>
      </c>
      <c r="E3090" s="79">
        <v>953.1</v>
      </c>
      <c r="F3090" s="70">
        <v>953.1</v>
      </c>
      <c r="G3090" s="320"/>
      <c r="H3090" s="79">
        <v>897.85</v>
      </c>
      <c r="I3090" s="79">
        <v>55.25</v>
      </c>
      <c r="J3090" s="79">
        <v>953.1</v>
      </c>
      <c r="K3090" s="79">
        <v>0</v>
      </c>
      <c r="L3090" s="70">
        <v>953.1</v>
      </c>
      <c r="M3090" s="132"/>
      <c r="N3090" s="79">
        <v>897.85</v>
      </c>
      <c r="O3090" s="79">
        <v>55.25</v>
      </c>
      <c r="P3090" s="79">
        <v>953.1</v>
      </c>
      <c r="Q3090" s="136"/>
      <c r="R3090" s="79">
        <v>897.85</v>
      </c>
      <c r="S3090" s="79">
        <v>55.27</v>
      </c>
      <c r="T3090" s="79">
        <v>953.12</v>
      </c>
      <c r="U3090" s="79">
        <v>0</v>
      </c>
      <c r="V3090" s="189">
        <v>953.12</v>
      </c>
      <c r="X3090" s="79">
        <v>897.85</v>
      </c>
      <c r="Y3090" s="79">
        <v>55.27</v>
      </c>
      <c r="Z3090" s="79">
        <v>953.12</v>
      </c>
      <c r="AA3090" s="255">
        <v>-1.999999999998181E-2</v>
      </c>
      <c r="AC3090" s="254"/>
    </row>
    <row r="3091" spans="1:31" s="61" customFormat="1" ht="12">
      <c r="A3091" s="67" t="s">
        <v>16505</v>
      </c>
      <c r="B3091" s="65" t="s">
        <v>16506</v>
      </c>
      <c r="C3091" s="71" t="s">
        <v>165</v>
      </c>
      <c r="D3091" s="78">
        <v>1</v>
      </c>
      <c r="E3091" s="79">
        <v>111.81</v>
      </c>
      <c r="F3091" s="70">
        <v>111.81</v>
      </c>
      <c r="G3091" s="320"/>
      <c r="H3091" s="79">
        <v>91.73</v>
      </c>
      <c r="I3091" s="79">
        <v>20.079999999999998</v>
      </c>
      <c r="J3091" s="79">
        <v>111.81</v>
      </c>
      <c r="K3091" s="79">
        <v>0</v>
      </c>
      <c r="L3091" s="70">
        <v>111.81</v>
      </c>
      <c r="M3091" s="132"/>
      <c r="N3091" s="79">
        <v>91.73</v>
      </c>
      <c r="O3091" s="79">
        <v>20.079999999999998</v>
      </c>
      <c r="P3091" s="79">
        <v>111.81</v>
      </c>
      <c r="Q3091" s="136"/>
      <c r="R3091" s="79">
        <v>91.73</v>
      </c>
      <c r="S3091" s="79">
        <v>20.100000000000001</v>
      </c>
      <c r="T3091" s="79">
        <v>111.83000000000001</v>
      </c>
      <c r="U3091" s="79">
        <v>0</v>
      </c>
      <c r="V3091" s="189">
        <v>111.83000000000001</v>
      </c>
      <c r="X3091" s="79">
        <v>91.73</v>
      </c>
      <c r="Y3091" s="79">
        <v>20.100000000000001</v>
      </c>
      <c r="Z3091" s="79">
        <v>111.83</v>
      </c>
      <c r="AA3091" s="255">
        <v>-1.9999999999996021E-2</v>
      </c>
      <c r="AC3091" s="254"/>
      <c r="AD3091" s="236"/>
      <c r="AE3091" s="236"/>
    </row>
    <row r="3092" spans="1:31" ht="12">
      <c r="A3092" s="67" t="s">
        <v>16507</v>
      </c>
      <c r="B3092" s="65" t="s">
        <v>16508</v>
      </c>
      <c r="C3092" s="71" t="s">
        <v>165</v>
      </c>
      <c r="D3092" s="78">
        <v>1</v>
      </c>
      <c r="E3092" s="79">
        <v>133.21000000000004</v>
      </c>
      <c r="F3092" s="70">
        <v>133.21</v>
      </c>
      <c r="G3092" s="320"/>
      <c r="H3092" s="79">
        <v>108.08</v>
      </c>
      <c r="I3092" s="79">
        <v>25.130000000000003</v>
      </c>
      <c r="J3092" s="79">
        <v>133.21</v>
      </c>
      <c r="K3092" s="79">
        <v>0</v>
      </c>
      <c r="L3092" s="70">
        <v>133.21</v>
      </c>
      <c r="M3092" s="132"/>
      <c r="N3092" s="79">
        <v>108.08</v>
      </c>
      <c r="O3092" s="79">
        <v>25.130000000000003</v>
      </c>
      <c r="P3092" s="79">
        <v>133.21</v>
      </c>
      <c r="Q3092" s="136"/>
      <c r="R3092" s="79">
        <v>108.08</v>
      </c>
      <c r="S3092" s="79">
        <v>25.12</v>
      </c>
      <c r="T3092" s="79">
        <v>133.19999999999999</v>
      </c>
      <c r="U3092" s="79">
        <v>0</v>
      </c>
      <c r="V3092" s="189">
        <v>133.19999999999999</v>
      </c>
      <c r="X3092" s="79">
        <v>108.08</v>
      </c>
      <c r="Y3092" s="79">
        <v>25.12</v>
      </c>
      <c r="Z3092" s="79">
        <v>133.19999999999999</v>
      </c>
      <c r="AA3092" s="255">
        <v>1.0000000000019327E-2</v>
      </c>
      <c r="AC3092" s="254"/>
    </row>
    <row r="3093" spans="1:31" ht="12">
      <c r="A3093" s="67" t="s">
        <v>16509</v>
      </c>
      <c r="B3093" s="65" t="s">
        <v>16510</v>
      </c>
      <c r="C3093" s="71" t="s">
        <v>165</v>
      </c>
      <c r="D3093" s="78">
        <v>1</v>
      </c>
      <c r="E3093" s="79">
        <v>230.84</v>
      </c>
      <c r="F3093" s="70">
        <v>230.84</v>
      </c>
      <c r="G3093" s="320"/>
      <c r="H3093" s="79">
        <v>202.38</v>
      </c>
      <c r="I3093" s="79">
        <v>28.46</v>
      </c>
      <c r="J3093" s="79">
        <v>230.84</v>
      </c>
      <c r="K3093" s="79">
        <v>0</v>
      </c>
      <c r="L3093" s="70">
        <v>230.84</v>
      </c>
      <c r="M3093" s="132"/>
      <c r="N3093" s="79">
        <v>202.38</v>
      </c>
      <c r="O3093" s="79">
        <v>28.46</v>
      </c>
      <c r="P3093" s="79">
        <v>230.84</v>
      </c>
      <c r="Q3093" s="136"/>
      <c r="R3093" s="79">
        <v>202.38</v>
      </c>
      <c r="S3093" s="79">
        <v>28.47</v>
      </c>
      <c r="T3093" s="79">
        <v>230.85</v>
      </c>
      <c r="U3093" s="79">
        <v>0</v>
      </c>
      <c r="V3093" s="189">
        <v>230.85</v>
      </c>
      <c r="X3093" s="79">
        <v>202.38</v>
      </c>
      <c r="Y3093" s="79">
        <v>28.47</v>
      </c>
      <c r="Z3093" s="79">
        <v>230.85</v>
      </c>
      <c r="AA3093" s="255">
        <v>-9.9999999999909051E-3</v>
      </c>
      <c r="AC3093" s="254"/>
    </row>
    <row r="3094" spans="1:31" ht="12">
      <c r="A3094" s="67" t="s">
        <v>16511</v>
      </c>
      <c r="B3094" s="65" t="s">
        <v>16512</v>
      </c>
      <c r="C3094" s="71" t="s">
        <v>165</v>
      </c>
      <c r="D3094" s="78">
        <v>1</v>
      </c>
      <c r="E3094" s="79">
        <v>286.32</v>
      </c>
      <c r="F3094" s="70">
        <v>286.32</v>
      </c>
      <c r="G3094" s="320"/>
      <c r="H3094" s="79">
        <v>257.86</v>
      </c>
      <c r="I3094" s="79">
        <v>28.46</v>
      </c>
      <c r="J3094" s="79">
        <v>286.32</v>
      </c>
      <c r="K3094" s="79">
        <v>0</v>
      </c>
      <c r="L3094" s="70">
        <v>286.32</v>
      </c>
      <c r="M3094" s="132"/>
      <c r="N3094" s="79">
        <v>257.86</v>
      </c>
      <c r="O3094" s="79">
        <v>28.46</v>
      </c>
      <c r="P3094" s="79">
        <v>286.32</v>
      </c>
      <c r="Q3094" s="136"/>
      <c r="R3094" s="79">
        <v>257.86</v>
      </c>
      <c r="S3094" s="79">
        <v>28.47</v>
      </c>
      <c r="T3094" s="79">
        <v>286.33000000000004</v>
      </c>
      <c r="U3094" s="79">
        <v>0</v>
      </c>
      <c r="V3094" s="189">
        <v>286.33000000000004</v>
      </c>
      <c r="X3094" s="79">
        <v>257.86</v>
      </c>
      <c r="Y3094" s="79">
        <v>28.47</v>
      </c>
      <c r="Z3094" s="79">
        <v>286.33</v>
      </c>
      <c r="AA3094" s="255">
        <v>-9.9999999999909051E-3</v>
      </c>
      <c r="AC3094" s="254"/>
    </row>
    <row r="3095" spans="1:31" ht="12">
      <c r="A3095" s="67" t="s">
        <v>16513</v>
      </c>
      <c r="B3095" s="65" t="s">
        <v>16514</v>
      </c>
      <c r="C3095" s="71" t="s">
        <v>165</v>
      </c>
      <c r="D3095" s="78">
        <v>1</v>
      </c>
      <c r="E3095" s="79">
        <v>313.06000000000006</v>
      </c>
      <c r="F3095" s="70">
        <v>313.06</v>
      </c>
      <c r="G3095" s="320"/>
      <c r="H3095" s="79">
        <v>274.53000000000003</v>
      </c>
      <c r="I3095" s="79">
        <v>38.53</v>
      </c>
      <c r="J3095" s="79">
        <v>313.06000000000006</v>
      </c>
      <c r="K3095" s="79">
        <v>0</v>
      </c>
      <c r="L3095" s="70">
        <v>313.06000000000006</v>
      </c>
      <c r="M3095" s="132"/>
      <c r="N3095" s="79">
        <v>274.53000000000003</v>
      </c>
      <c r="O3095" s="79">
        <v>38.53</v>
      </c>
      <c r="P3095" s="79">
        <v>313.06000000000006</v>
      </c>
      <c r="Q3095" s="136"/>
      <c r="R3095" s="79">
        <v>274.52999999999997</v>
      </c>
      <c r="S3095" s="79">
        <v>38.520000000000003</v>
      </c>
      <c r="T3095" s="79">
        <v>313.04999999999995</v>
      </c>
      <c r="U3095" s="79">
        <v>0</v>
      </c>
      <c r="V3095" s="189">
        <v>313.04999999999995</v>
      </c>
      <c r="X3095" s="79">
        <v>274.52999999999997</v>
      </c>
      <c r="Y3095" s="79">
        <v>38.520000000000003</v>
      </c>
      <c r="Z3095" s="79">
        <v>313.05</v>
      </c>
      <c r="AA3095" s="255">
        <v>9.9999999999909051E-3</v>
      </c>
      <c r="AC3095" s="254"/>
    </row>
    <row r="3096" spans="1:31" ht="12">
      <c r="A3096" s="67" t="s">
        <v>16515</v>
      </c>
      <c r="B3096" s="65" t="s">
        <v>16516</v>
      </c>
      <c r="C3096" s="71" t="s">
        <v>165</v>
      </c>
      <c r="D3096" s="78">
        <v>1</v>
      </c>
      <c r="E3096" s="79">
        <v>501.78</v>
      </c>
      <c r="F3096" s="70">
        <v>501.78</v>
      </c>
      <c r="G3096" s="320"/>
      <c r="H3096" s="79">
        <v>456.57</v>
      </c>
      <c r="I3096" s="79">
        <v>45.21</v>
      </c>
      <c r="J3096" s="79">
        <v>501.78</v>
      </c>
      <c r="K3096" s="79">
        <v>0</v>
      </c>
      <c r="L3096" s="70">
        <v>501.78</v>
      </c>
      <c r="M3096" s="132"/>
      <c r="N3096" s="79">
        <v>456.57</v>
      </c>
      <c r="O3096" s="79">
        <v>45.21</v>
      </c>
      <c r="P3096" s="79">
        <v>501.78</v>
      </c>
      <c r="Q3096" s="136"/>
      <c r="R3096" s="79">
        <v>456.57</v>
      </c>
      <c r="S3096" s="79">
        <v>45.23</v>
      </c>
      <c r="T3096" s="79">
        <v>501.8</v>
      </c>
      <c r="U3096" s="79">
        <v>0</v>
      </c>
      <c r="V3096" s="189">
        <v>501.8</v>
      </c>
      <c r="X3096" s="79">
        <v>456.57</v>
      </c>
      <c r="Y3096" s="79">
        <v>45.23</v>
      </c>
      <c r="Z3096" s="79">
        <v>501.8</v>
      </c>
      <c r="AA3096" s="255">
        <v>-2.0000000000038654E-2</v>
      </c>
      <c r="AC3096" s="254"/>
      <c r="AD3096" s="61"/>
      <c r="AE3096" s="61"/>
    </row>
    <row r="3097" spans="1:31" ht="12">
      <c r="A3097" s="489" t="s">
        <v>16517</v>
      </c>
      <c r="B3097" s="490" t="s">
        <v>16518</v>
      </c>
      <c r="C3097" s="491"/>
      <c r="D3097" s="492"/>
      <c r="E3097" s="79"/>
      <c r="F3097" s="63"/>
      <c r="G3097" s="320"/>
      <c r="H3097" s="79"/>
      <c r="I3097" s="79"/>
      <c r="J3097" s="79"/>
      <c r="K3097" s="79"/>
      <c r="L3097" s="70"/>
      <c r="M3097" s="132"/>
      <c r="N3097" s="79"/>
      <c r="O3097" s="79"/>
      <c r="P3097" s="79"/>
      <c r="Q3097" s="136"/>
      <c r="R3097" s="79"/>
      <c r="S3097" s="79"/>
      <c r="T3097" s="79"/>
      <c r="U3097" s="79"/>
      <c r="V3097" s="189"/>
      <c r="X3097" s="79"/>
      <c r="Y3097" s="79"/>
      <c r="Z3097" s="79"/>
      <c r="AA3097" s="255"/>
      <c r="AC3097" s="254"/>
    </row>
    <row r="3098" spans="1:31" s="61" customFormat="1" ht="12">
      <c r="A3098" s="67" t="s">
        <v>16519</v>
      </c>
      <c r="B3098" s="65" t="s">
        <v>16520</v>
      </c>
      <c r="C3098" s="71" t="s">
        <v>165</v>
      </c>
      <c r="D3098" s="78">
        <v>1</v>
      </c>
      <c r="E3098" s="79">
        <v>109.69</v>
      </c>
      <c r="F3098" s="70">
        <v>109.69</v>
      </c>
      <c r="G3098" s="320"/>
      <c r="H3098" s="79">
        <v>72.759999999999991</v>
      </c>
      <c r="I3098" s="79">
        <v>36.93</v>
      </c>
      <c r="J3098" s="79">
        <v>109.69</v>
      </c>
      <c r="K3098" s="79">
        <v>0</v>
      </c>
      <c r="L3098" s="70">
        <v>109.69</v>
      </c>
      <c r="M3098" s="132"/>
      <c r="N3098" s="79">
        <v>72.759999999999991</v>
      </c>
      <c r="O3098" s="79">
        <v>36.93</v>
      </c>
      <c r="P3098" s="79">
        <v>109.69</v>
      </c>
      <c r="Q3098" s="136"/>
      <c r="R3098" s="79">
        <v>72.760000000000005</v>
      </c>
      <c r="S3098" s="79">
        <v>36.92</v>
      </c>
      <c r="T3098" s="79">
        <v>109.68</v>
      </c>
      <c r="U3098" s="79">
        <v>0</v>
      </c>
      <c r="V3098" s="189">
        <v>109.68</v>
      </c>
      <c r="X3098" s="79">
        <v>72.760000000000005</v>
      </c>
      <c r="Y3098" s="79">
        <v>36.92</v>
      </c>
      <c r="Z3098" s="79">
        <v>109.68</v>
      </c>
      <c r="AA3098" s="255">
        <v>9.9999999999909051E-3</v>
      </c>
      <c r="AC3098" s="254"/>
      <c r="AD3098" s="236"/>
      <c r="AE3098" s="236"/>
    </row>
    <row r="3099" spans="1:31" ht="12">
      <c r="A3099" s="67" t="s">
        <v>16521</v>
      </c>
      <c r="B3099" s="65" t="s">
        <v>16522</v>
      </c>
      <c r="C3099" s="71" t="s">
        <v>165</v>
      </c>
      <c r="D3099" s="78">
        <v>1</v>
      </c>
      <c r="E3099" s="79">
        <v>135.21</v>
      </c>
      <c r="F3099" s="70">
        <v>135.21</v>
      </c>
      <c r="G3099" s="320"/>
      <c r="H3099" s="79">
        <v>92.37</v>
      </c>
      <c r="I3099" s="79">
        <v>42.84</v>
      </c>
      <c r="J3099" s="79">
        <v>135.21</v>
      </c>
      <c r="K3099" s="79">
        <v>0</v>
      </c>
      <c r="L3099" s="70">
        <v>135.21</v>
      </c>
      <c r="M3099" s="132"/>
      <c r="N3099" s="79">
        <v>92.37</v>
      </c>
      <c r="O3099" s="79">
        <v>42.84</v>
      </c>
      <c r="P3099" s="79">
        <v>135.21</v>
      </c>
      <c r="Q3099" s="136"/>
      <c r="R3099" s="79">
        <v>92.37</v>
      </c>
      <c r="S3099" s="79">
        <v>42.85</v>
      </c>
      <c r="T3099" s="79">
        <v>135.22</v>
      </c>
      <c r="U3099" s="79">
        <v>0</v>
      </c>
      <c r="V3099" s="189">
        <v>135.22</v>
      </c>
      <c r="X3099" s="79">
        <v>92.37</v>
      </c>
      <c r="Y3099" s="79">
        <v>42.85</v>
      </c>
      <c r="Z3099" s="79">
        <v>135.22</v>
      </c>
      <c r="AA3099" s="255">
        <v>-9.9999999999909051E-3</v>
      </c>
      <c r="AC3099" s="254"/>
    </row>
    <row r="3100" spans="1:31" ht="12">
      <c r="A3100" s="67" t="s">
        <v>16523</v>
      </c>
      <c r="B3100" s="65" t="s">
        <v>16524</v>
      </c>
      <c r="C3100" s="71" t="s">
        <v>165</v>
      </c>
      <c r="D3100" s="78">
        <v>1</v>
      </c>
      <c r="E3100" s="79">
        <v>113.7</v>
      </c>
      <c r="F3100" s="70">
        <v>113.7</v>
      </c>
      <c r="G3100" s="320"/>
      <c r="H3100" s="79">
        <v>76.77</v>
      </c>
      <c r="I3100" s="79">
        <v>36.93</v>
      </c>
      <c r="J3100" s="79">
        <v>113.69999999999999</v>
      </c>
      <c r="K3100" s="79">
        <v>0</v>
      </c>
      <c r="L3100" s="70">
        <v>113.69999999999999</v>
      </c>
      <c r="M3100" s="132"/>
      <c r="N3100" s="79">
        <v>76.77</v>
      </c>
      <c r="O3100" s="79">
        <v>36.93</v>
      </c>
      <c r="P3100" s="79">
        <v>113.69999999999999</v>
      </c>
      <c r="Q3100" s="136"/>
      <c r="R3100" s="79">
        <v>76.77</v>
      </c>
      <c r="S3100" s="79">
        <v>36.92</v>
      </c>
      <c r="T3100" s="79">
        <v>113.69</v>
      </c>
      <c r="U3100" s="79">
        <v>0</v>
      </c>
      <c r="V3100" s="189">
        <v>113.69</v>
      </c>
      <c r="X3100" s="79">
        <v>76.77</v>
      </c>
      <c r="Y3100" s="79">
        <v>36.92</v>
      </c>
      <c r="Z3100" s="79">
        <v>113.69</v>
      </c>
      <c r="AA3100" s="255">
        <v>1.0000000000005116E-2</v>
      </c>
      <c r="AC3100" s="254"/>
    </row>
    <row r="3101" spans="1:31" ht="12">
      <c r="A3101" s="67" t="s">
        <v>16525</v>
      </c>
      <c r="B3101" s="65" t="s">
        <v>16526</v>
      </c>
      <c r="C3101" s="71" t="s">
        <v>165</v>
      </c>
      <c r="D3101" s="78">
        <v>1</v>
      </c>
      <c r="E3101" s="79">
        <v>137.6</v>
      </c>
      <c r="F3101" s="70">
        <v>137.6</v>
      </c>
      <c r="G3101" s="320"/>
      <c r="H3101" s="79">
        <v>94.76</v>
      </c>
      <c r="I3101" s="79">
        <v>42.84</v>
      </c>
      <c r="J3101" s="79">
        <v>137.60000000000002</v>
      </c>
      <c r="K3101" s="79">
        <v>0</v>
      </c>
      <c r="L3101" s="70">
        <v>137.60000000000002</v>
      </c>
      <c r="M3101" s="132"/>
      <c r="N3101" s="79">
        <v>94.76</v>
      </c>
      <c r="O3101" s="79">
        <v>42.84</v>
      </c>
      <c r="P3101" s="79">
        <v>137.60000000000002</v>
      </c>
      <c r="Q3101" s="136"/>
      <c r="R3101" s="79">
        <v>94.76</v>
      </c>
      <c r="S3101" s="79">
        <v>42.85</v>
      </c>
      <c r="T3101" s="79">
        <v>137.61000000000001</v>
      </c>
      <c r="U3101" s="79">
        <v>0</v>
      </c>
      <c r="V3101" s="189">
        <v>137.61000000000001</v>
      </c>
      <c r="X3101" s="79">
        <v>94.76</v>
      </c>
      <c r="Y3101" s="79">
        <v>42.85</v>
      </c>
      <c r="Z3101" s="79">
        <v>137.61000000000001</v>
      </c>
      <c r="AA3101" s="255">
        <v>-1.0000000000019327E-2</v>
      </c>
      <c r="AC3101" s="254"/>
    </row>
    <row r="3102" spans="1:31" ht="12">
      <c r="A3102" s="67" t="s">
        <v>16527</v>
      </c>
      <c r="B3102" s="65" t="s">
        <v>16528</v>
      </c>
      <c r="C3102" s="71" t="s">
        <v>165</v>
      </c>
      <c r="D3102" s="78">
        <v>1</v>
      </c>
      <c r="E3102" s="79">
        <v>185</v>
      </c>
      <c r="F3102" s="70">
        <v>185</v>
      </c>
      <c r="G3102" s="320"/>
      <c r="H3102" s="79">
        <v>132.07</v>
      </c>
      <c r="I3102" s="79">
        <v>52.929999999999993</v>
      </c>
      <c r="J3102" s="79">
        <v>185</v>
      </c>
      <c r="K3102" s="79">
        <v>0</v>
      </c>
      <c r="L3102" s="70">
        <v>185</v>
      </c>
      <c r="M3102" s="132"/>
      <c r="N3102" s="79">
        <v>132.07</v>
      </c>
      <c r="O3102" s="79">
        <v>52.929999999999993</v>
      </c>
      <c r="P3102" s="79">
        <v>185</v>
      </c>
      <c r="Q3102" s="136"/>
      <c r="R3102" s="79">
        <v>132.07</v>
      </c>
      <c r="S3102" s="79">
        <v>52.92</v>
      </c>
      <c r="T3102" s="79">
        <v>184.99</v>
      </c>
      <c r="U3102" s="79">
        <v>0</v>
      </c>
      <c r="V3102" s="189">
        <v>184.99</v>
      </c>
      <c r="X3102" s="79">
        <v>132.07</v>
      </c>
      <c r="Y3102" s="79">
        <v>52.92</v>
      </c>
      <c r="Z3102" s="79">
        <v>184.99</v>
      </c>
      <c r="AA3102" s="255">
        <v>9.9999999999909051E-3</v>
      </c>
      <c r="AC3102" s="254"/>
    </row>
    <row r="3103" spans="1:31" ht="12">
      <c r="A3103" s="67" t="s">
        <v>16529</v>
      </c>
      <c r="B3103" s="65" t="s">
        <v>16530</v>
      </c>
      <c r="C3103" s="71" t="s">
        <v>165</v>
      </c>
      <c r="D3103" s="78">
        <v>1</v>
      </c>
      <c r="E3103" s="79">
        <v>319.95000000000005</v>
      </c>
      <c r="F3103" s="70">
        <v>319.95</v>
      </c>
      <c r="G3103" s="320"/>
      <c r="H3103" s="79">
        <v>259.72000000000003</v>
      </c>
      <c r="I3103" s="79">
        <v>60.230000000000004</v>
      </c>
      <c r="J3103" s="79">
        <v>319.95000000000005</v>
      </c>
      <c r="K3103" s="79">
        <v>0</v>
      </c>
      <c r="L3103" s="70">
        <v>319.95000000000005</v>
      </c>
      <c r="M3103" s="132"/>
      <c r="N3103" s="79">
        <v>259.72000000000003</v>
      </c>
      <c r="O3103" s="79">
        <v>60.230000000000004</v>
      </c>
      <c r="P3103" s="79">
        <v>319.95000000000005</v>
      </c>
      <c r="Q3103" s="136"/>
      <c r="R3103" s="79">
        <v>259.72000000000003</v>
      </c>
      <c r="S3103" s="79">
        <v>60.23</v>
      </c>
      <c r="T3103" s="79">
        <v>319.95000000000005</v>
      </c>
      <c r="U3103" s="79">
        <v>0</v>
      </c>
      <c r="V3103" s="189">
        <v>319.95000000000005</v>
      </c>
      <c r="X3103" s="79">
        <v>259.72000000000003</v>
      </c>
      <c r="Y3103" s="79">
        <v>60.23</v>
      </c>
      <c r="Z3103" s="79">
        <v>319.95</v>
      </c>
      <c r="AA3103" s="255">
        <v>0</v>
      </c>
      <c r="AC3103" s="254"/>
    </row>
    <row r="3104" spans="1:31" ht="12">
      <c r="A3104" s="67" t="s">
        <v>16531</v>
      </c>
      <c r="B3104" s="65" t="s">
        <v>16532</v>
      </c>
      <c r="C3104" s="71" t="s">
        <v>165</v>
      </c>
      <c r="D3104" s="78">
        <v>1</v>
      </c>
      <c r="E3104" s="79">
        <v>478.63</v>
      </c>
      <c r="F3104" s="70">
        <v>478.63</v>
      </c>
      <c r="G3104" s="320"/>
      <c r="H3104" s="79">
        <v>401.03</v>
      </c>
      <c r="I3104" s="79">
        <v>77.599999999999994</v>
      </c>
      <c r="J3104" s="79">
        <v>478.63</v>
      </c>
      <c r="K3104" s="79">
        <v>0</v>
      </c>
      <c r="L3104" s="70">
        <v>478.63</v>
      </c>
      <c r="M3104" s="132"/>
      <c r="N3104" s="79">
        <v>401.03</v>
      </c>
      <c r="O3104" s="79">
        <v>77.599999999999994</v>
      </c>
      <c r="P3104" s="79">
        <v>478.63</v>
      </c>
      <c r="Q3104" s="136"/>
      <c r="R3104" s="79">
        <v>401.03</v>
      </c>
      <c r="S3104" s="79">
        <v>77.599999999999994</v>
      </c>
      <c r="T3104" s="79">
        <v>478.63</v>
      </c>
      <c r="U3104" s="79">
        <v>0</v>
      </c>
      <c r="V3104" s="189">
        <v>478.63</v>
      </c>
      <c r="X3104" s="79">
        <v>401.03</v>
      </c>
      <c r="Y3104" s="79">
        <v>77.599999999999994</v>
      </c>
      <c r="Z3104" s="79">
        <v>478.63</v>
      </c>
      <c r="AA3104" s="255">
        <v>0</v>
      </c>
      <c r="AC3104" s="254"/>
    </row>
    <row r="3105" spans="1:31" ht="12">
      <c r="A3105" s="67" t="s">
        <v>16533</v>
      </c>
      <c r="B3105" s="65" t="s">
        <v>16534</v>
      </c>
      <c r="C3105" s="71" t="s">
        <v>165</v>
      </c>
      <c r="D3105" s="78">
        <v>1</v>
      </c>
      <c r="E3105" s="79">
        <v>649.13</v>
      </c>
      <c r="F3105" s="70">
        <v>649.13</v>
      </c>
      <c r="G3105" s="320"/>
      <c r="H3105" s="79">
        <v>551.4</v>
      </c>
      <c r="I3105" s="79">
        <v>97.72999999999999</v>
      </c>
      <c r="J3105" s="79">
        <v>649.13</v>
      </c>
      <c r="K3105" s="79">
        <v>0</v>
      </c>
      <c r="L3105" s="70">
        <v>649.13</v>
      </c>
      <c r="M3105" s="132"/>
      <c r="N3105" s="79">
        <v>551.4</v>
      </c>
      <c r="O3105" s="79">
        <v>97.72999999999999</v>
      </c>
      <c r="P3105" s="79">
        <v>649.13</v>
      </c>
      <c r="Q3105" s="136"/>
      <c r="R3105" s="79">
        <v>551.4</v>
      </c>
      <c r="S3105" s="79">
        <v>97.75</v>
      </c>
      <c r="T3105" s="79">
        <v>649.15</v>
      </c>
      <c r="U3105" s="79">
        <v>0</v>
      </c>
      <c r="V3105" s="189">
        <v>649.15</v>
      </c>
      <c r="X3105" s="79">
        <v>551.4</v>
      </c>
      <c r="Y3105" s="79">
        <v>97.75</v>
      </c>
      <c r="Z3105" s="79">
        <v>649.15</v>
      </c>
      <c r="AA3105" s="255">
        <v>-1.999999999998181E-2</v>
      </c>
      <c r="AC3105" s="254"/>
    </row>
    <row r="3106" spans="1:31" ht="12">
      <c r="A3106" s="67" t="s">
        <v>16535</v>
      </c>
      <c r="B3106" s="65" t="s">
        <v>16536</v>
      </c>
      <c r="C3106" s="71" t="s">
        <v>165</v>
      </c>
      <c r="D3106" s="78">
        <v>1</v>
      </c>
      <c r="E3106" s="79">
        <v>977.2600000000001</v>
      </c>
      <c r="F3106" s="70">
        <v>977.26</v>
      </c>
      <c r="G3106" s="320"/>
      <c r="H3106" s="79">
        <v>831.15000000000009</v>
      </c>
      <c r="I3106" s="79">
        <v>146.11000000000001</v>
      </c>
      <c r="J3106" s="79">
        <v>977.2600000000001</v>
      </c>
      <c r="K3106" s="79">
        <v>0</v>
      </c>
      <c r="L3106" s="70">
        <v>977.2600000000001</v>
      </c>
      <c r="M3106" s="132"/>
      <c r="N3106" s="79">
        <v>831.15000000000009</v>
      </c>
      <c r="O3106" s="79">
        <v>146.11000000000001</v>
      </c>
      <c r="P3106" s="79">
        <v>977.2600000000001</v>
      </c>
      <c r="Q3106" s="136"/>
      <c r="R3106" s="79">
        <v>831.15</v>
      </c>
      <c r="S3106" s="79">
        <v>146.12</v>
      </c>
      <c r="T3106" s="79">
        <v>977.27</v>
      </c>
      <c r="U3106" s="79">
        <v>0</v>
      </c>
      <c r="V3106" s="189">
        <v>977.27</v>
      </c>
      <c r="X3106" s="79">
        <v>831.15</v>
      </c>
      <c r="Y3106" s="79">
        <v>146.12</v>
      </c>
      <c r="Z3106" s="79">
        <v>977.27</v>
      </c>
      <c r="AA3106" s="255">
        <v>-9.9999999999909051E-3</v>
      </c>
      <c r="AC3106" s="254"/>
    </row>
    <row r="3107" spans="1:31" ht="12">
      <c r="A3107" s="67" t="s">
        <v>16537</v>
      </c>
      <c r="B3107" s="65" t="s">
        <v>16538</v>
      </c>
      <c r="C3107" s="71" t="s">
        <v>165</v>
      </c>
      <c r="D3107" s="78">
        <v>1</v>
      </c>
      <c r="E3107" s="79">
        <v>257.02999999999997</v>
      </c>
      <c r="F3107" s="70">
        <v>257.02999999999997</v>
      </c>
      <c r="G3107" s="320"/>
      <c r="H3107" s="79">
        <v>196.8</v>
      </c>
      <c r="I3107" s="79">
        <v>60.230000000000004</v>
      </c>
      <c r="J3107" s="79">
        <v>257.03000000000003</v>
      </c>
      <c r="K3107" s="79">
        <v>0</v>
      </c>
      <c r="L3107" s="70">
        <v>257.03000000000003</v>
      </c>
      <c r="M3107" s="132"/>
      <c r="N3107" s="79">
        <v>196.8</v>
      </c>
      <c r="O3107" s="79">
        <v>60.230000000000004</v>
      </c>
      <c r="P3107" s="79">
        <v>257.03000000000003</v>
      </c>
      <c r="Q3107" s="136"/>
      <c r="R3107" s="79">
        <v>196.8</v>
      </c>
      <c r="S3107" s="79">
        <v>60.23</v>
      </c>
      <c r="T3107" s="79">
        <v>257.03000000000003</v>
      </c>
      <c r="U3107" s="79">
        <v>0</v>
      </c>
      <c r="V3107" s="189">
        <v>257.03000000000003</v>
      </c>
      <c r="X3107" s="79">
        <v>196.8</v>
      </c>
      <c r="Y3107" s="79">
        <v>60.23</v>
      </c>
      <c r="Z3107" s="79">
        <v>257.02999999999997</v>
      </c>
      <c r="AA3107" s="255">
        <v>0</v>
      </c>
      <c r="AC3107" s="254"/>
    </row>
    <row r="3108" spans="1:31" ht="12">
      <c r="A3108" s="67" t="s">
        <v>16539</v>
      </c>
      <c r="B3108" s="65" t="s">
        <v>16540</v>
      </c>
      <c r="C3108" s="71" t="s">
        <v>165</v>
      </c>
      <c r="D3108" s="78">
        <v>1</v>
      </c>
      <c r="E3108" s="79">
        <v>477.43</v>
      </c>
      <c r="F3108" s="70">
        <v>477.43</v>
      </c>
      <c r="G3108" s="320"/>
      <c r="H3108" s="79">
        <v>399.83</v>
      </c>
      <c r="I3108" s="79">
        <v>77.599999999999994</v>
      </c>
      <c r="J3108" s="79">
        <v>477.42999999999995</v>
      </c>
      <c r="K3108" s="79">
        <v>0</v>
      </c>
      <c r="L3108" s="70">
        <v>477.42999999999995</v>
      </c>
      <c r="M3108" s="132"/>
      <c r="N3108" s="79">
        <v>399.83</v>
      </c>
      <c r="O3108" s="79">
        <v>77.599999999999994</v>
      </c>
      <c r="P3108" s="79">
        <v>477.42999999999995</v>
      </c>
      <c r="Q3108" s="136"/>
      <c r="R3108" s="79">
        <v>399.83</v>
      </c>
      <c r="S3108" s="79">
        <v>77.599999999999994</v>
      </c>
      <c r="T3108" s="79">
        <v>477.42999999999995</v>
      </c>
      <c r="U3108" s="79">
        <v>0</v>
      </c>
      <c r="V3108" s="189">
        <v>477.42999999999995</v>
      </c>
      <c r="X3108" s="79">
        <v>399.83</v>
      </c>
      <c r="Y3108" s="79">
        <v>77.599999999999994</v>
      </c>
      <c r="Z3108" s="79">
        <v>477.43</v>
      </c>
      <c r="AA3108" s="255">
        <v>0</v>
      </c>
      <c r="AC3108" s="254"/>
    </row>
    <row r="3109" spans="1:31" ht="12">
      <c r="A3109" s="67" t="s">
        <v>16541</v>
      </c>
      <c r="B3109" s="65" t="s">
        <v>16542</v>
      </c>
      <c r="C3109" s="71" t="s">
        <v>165</v>
      </c>
      <c r="D3109" s="78">
        <v>1</v>
      </c>
      <c r="E3109" s="79">
        <v>655.62</v>
      </c>
      <c r="F3109" s="70">
        <v>655.62</v>
      </c>
      <c r="G3109" s="320"/>
      <c r="H3109" s="79">
        <v>557.89</v>
      </c>
      <c r="I3109" s="79">
        <v>97.72999999999999</v>
      </c>
      <c r="J3109" s="79">
        <v>655.62</v>
      </c>
      <c r="K3109" s="79">
        <v>0</v>
      </c>
      <c r="L3109" s="70">
        <v>655.62</v>
      </c>
      <c r="M3109" s="132"/>
      <c r="N3109" s="79">
        <v>557.89</v>
      </c>
      <c r="O3109" s="79">
        <v>97.72999999999999</v>
      </c>
      <c r="P3109" s="79">
        <v>655.62</v>
      </c>
      <c r="Q3109" s="136"/>
      <c r="R3109" s="79">
        <v>557.89</v>
      </c>
      <c r="S3109" s="79">
        <v>97.75</v>
      </c>
      <c r="T3109" s="79">
        <v>655.64</v>
      </c>
      <c r="U3109" s="79">
        <v>0</v>
      </c>
      <c r="V3109" s="189">
        <v>655.64</v>
      </c>
      <c r="X3109" s="79">
        <v>557.89</v>
      </c>
      <c r="Y3109" s="79">
        <v>97.75</v>
      </c>
      <c r="Z3109" s="79">
        <v>655.64</v>
      </c>
      <c r="AA3109" s="255">
        <v>-1.999999999998181E-2</v>
      </c>
      <c r="AC3109" s="254"/>
      <c r="AD3109" s="69"/>
      <c r="AE3109" s="69"/>
    </row>
    <row r="3110" spans="1:31" ht="12">
      <c r="A3110" s="67" t="s">
        <v>16543</v>
      </c>
      <c r="B3110" s="65" t="s">
        <v>16544</v>
      </c>
      <c r="C3110" s="71" t="s">
        <v>165</v>
      </c>
      <c r="D3110" s="78">
        <v>1</v>
      </c>
      <c r="E3110" s="79">
        <v>367.20000000000005</v>
      </c>
      <c r="F3110" s="70">
        <v>367.2</v>
      </c>
      <c r="G3110" s="320"/>
      <c r="H3110" s="79">
        <v>306.97000000000003</v>
      </c>
      <c r="I3110" s="79">
        <v>60.230000000000004</v>
      </c>
      <c r="J3110" s="79">
        <v>367.20000000000005</v>
      </c>
      <c r="K3110" s="79">
        <v>0</v>
      </c>
      <c r="L3110" s="70">
        <v>367.20000000000005</v>
      </c>
      <c r="M3110" s="132"/>
      <c r="N3110" s="79">
        <v>306.97000000000003</v>
      </c>
      <c r="O3110" s="79">
        <v>60.230000000000004</v>
      </c>
      <c r="P3110" s="79">
        <v>367.20000000000005</v>
      </c>
      <c r="Q3110" s="136"/>
      <c r="R3110" s="79">
        <v>306.97000000000003</v>
      </c>
      <c r="S3110" s="79">
        <v>60.23</v>
      </c>
      <c r="T3110" s="79">
        <v>367.20000000000005</v>
      </c>
      <c r="U3110" s="79">
        <v>0</v>
      </c>
      <c r="V3110" s="189">
        <v>367.20000000000005</v>
      </c>
      <c r="X3110" s="79">
        <v>306.97000000000003</v>
      </c>
      <c r="Y3110" s="79">
        <v>60.23</v>
      </c>
      <c r="Z3110" s="79">
        <v>367.2</v>
      </c>
      <c r="AA3110" s="255">
        <v>0</v>
      </c>
      <c r="AC3110" s="254"/>
    </row>
    <row r="3111" spans="1:31" s="69" customFormat="1" ht="12">
      <c r="A3111" s="67" t="s">
        <v>16545</v>
      </c>
      <c r="B3111" s="65" t="s">
        <v>16546</v>
      </c>
      <c r="C3111" s="71" t="s">
        <v>165</v>
      </c>
      <c r="D3111" s="78">
        <v>1</v>
      </c>
      <c r="E3111" s="79">
        <v>567.44000000000005</v>
      </c>
      <c r="F3111" s="70">
        <v>567.44000000000005</v>
      </c>
      <c r="G3111" s="320"/>
      <c r="H3111" s="79">
        <v>489.84</v>
      </c>
      <c r="I3111" s="79">
        <v>77.599999999999994</v>
      </c>
      <c r="J3111" s="79">
        <v>567.43999999999994</v>
      </c>
      <c r="K3111" s="79">
        <v>0</v>
      </c>
      <c r="L3111" s="70">
        <v>567.43999999999994</v>
      </c>
      <c r="M3111" s="132"/>
      <c r="N3111" s="79">
        <v>489.84</v>
      </c>
      <c r="O3111" s="79">
        <v>77.599999999999994</v>
      </c>
      <c r="P3111" s="79">
        <v>567.43999999999994</v>
      </c>
      <c r="Q3111" s="136"/>
      <c r="R3111" s="79">
        <v>489.84</v>
      </c>
      <c r="S3111" s="79">
        <v>77.599999999999994</v>
      </c>
      <c r="T3111" s="79">
        <v>567.43999999999994</v>
      </c>
      <c r="U3111" s="79">
        <v>0</v>
      </c>
      <c r="V3111" s="189">
        <v>567.43999999999994</v>
      </c>
      <c r="W3111" s="61"/>
      <c r="X3111" s="79">
        <v>489.84</v>
      </c>
      <c r="Y3111" s="79">
        <v>77.599999999999994</v>
      </c>
      <c r="Z3111" s="79">
        <v>567.44000000000005</v>
      </c>
      <c r="AA3111" s="255">
        <v>0</v>
      </c>
      <c r="AB3111" s="61"/>
      <c r="AC3111" s="254"/>
      <c r="AD3111" s="236"/>
      <c r="AE3111" s="236"/>
    </row>
    <row r="3112" spans="1:31" ht="12">
      <c r="A3112" s="67" t="s">
        <v>16547</v>
      </c>
      <c r="B3112" s="65" t="s">
        <v>16548</v>
      </c>
      <c r="C3112" s="71" t="s">
        <v>165</v>
      </c>
      <c r="D3112" s="78">
        <v>1</v>
      </c>
      <c r="E3112" s="79">
        <v>813.31</v>
      </c>
      <c r="F3112" s="70">
        <v>813.31</v>
      </c>
      <c r="G3112" s="320"/>
      <c r="H3112" s="79">
        <v>715.57999999999993</v>
      </c>
      <c r="I3112" s="79">
        <v>97.72999999999999</v>
      </c>
      <c r="J3112" s="79">
        <v>813.31</v>
      </c>
      <c r="K3112" s="79">
        <v>0</v>
      </c>
      <c r="L3112" s="70">
        <v>813.31</v>
      </c>
      <c r="M3112" s="132"/>
      <c r="N3112" s="79">
        <v>715.57999999999993</v>
      </c>
      <c r="O3112" s="79">
        <v>97.72999999999999</v>
      </c>
      <c r="P3112" s="79">
        <v>813.31</v>
      </c>
      <c r="Q3112" s="136"/>
      <c r="R3112" s="79">
        <v>715.58</v>
      </c>
      <c r="S3112" s="79">
        <v>97.75</v>
      </c>
      <c r="T3112" s="79">
        <v>813.33</v>
      </c>
      <c r="U3112" s="79">
        <v>0</v>
      </c>
      <c r="V3112" s="189">
        <v>813.33</v>
      </c>
      <c r="X3112" s="79">
        <v>715.58</v>
      </c>
      <c r="Y3112" s="79">
        <v>97.75</v>
      </c>
      <c r="Z3112" s="79">
        <v>813.33</v>
      </c>
      <c r="AA3112" s="255">
        <v>-2.0000000000095497E-2</v>
      </c>
      <c r="AC3112" s="254"/>
    </row>
    <row r="3113" spans="1:31" ht="12">
      <c r="A3113" s="67" t="s">
        <v>16549</v>
      </c>
      <c r="B3113" s="65" t="s">
        <v>16550</v>
      </c>
      <c r="C3113" s="71" t="s">
        <v>165</v>
      </c>
      <c r="D3113" s="78">
        <v>1</v>
      </c>
      <c r="E3113" s="79">
        <v>72.39</v>
      </c>
      <c r="F3113" s="70">
        <v>72.39</v>
      </c>
      <c r="G3113" s="320"/>
      <c r="H3113" s="79">
        <v>36.630000000000003</v>
      </c>
      <c r="I3113" s="79">
        <v>35.76</v>
      </c>
      <c r="J3113" s="79">
        <v>72.39</v>
      </c>
      <c r="K3113" s="79">
        <v>0</v>
      </c>
      <c r="L3113" s="70">
        <v>72.39</v>
      </c>
      <c r="M3113" s="132"/>
      <c r="N3113" s="79">
        <v>36.630000000000003</v>
      </c>
      <c r="O3113" s="79">
        <v>35.76</v>
      </c>
      <c r="P3113" s="79">
        <v>72.39</v>
      </c>
      <c r="Q3113" s="136"/>
      <c r="R3113" s="79">
        <v>36.630000000000003</v>
      </c>
      <c r="S3113" s="79">
        <v>35.770000000000003</v>
      </c>
      <c r="T3113" s="79">
        <v>72.400000000000006</v>
      </c>
      <c r="U3113" s="79">
        <v>0</v>
      </c>
      <c r="V3113" s="189">
        <v>72.400000000000006</v>
      </c>
      <c r="X3113" s="79">
        <v>36.630000000000003</v>
      </c>
      <c r="Y3113" s="79">
        <v>35.770000000000003</v>
      </c>
      <c r="Z3113" s="79">
        <v>72.400000000000006</v>
      </c>
      <c r="AA3113" s="255">
        <v>-1.0000000000005116E-2</v>
      </c>
      <c r="AC3113" s="254"/>
    </row>
    <row r="3114" spans="1:31" ht="12">
      <c r="A3114" s="67" t="s">
        <v>16551</v>
      </c>
      <c r="B3114" s="65" t="s">
        <v>16552</v>
      </c>
      <c r="C3114" s="71" t="s">
        <v>165</v>
      </c>
      <c r="D3114" s="78">
        <v>1</v>
      </c>
      <c r="E3114" s="79">
        <v>93.59</v>
      </c>
      <c r="F3114" s="70">
        <v>93.59</v>
      </c>
      <c r="G3114" s="320"/>
      <c r="H3114" s="79">
        <v>48.04</v>
      </c>
      <c r="I3114" s="79">
        <v>45.55</v>
      </c>
      <c r="J3114" s="79">
        <v>93.59</v>
      </c>
      <c r="K3114" s="79">
        <v>0</v>
      </c>
      <c r="L3114" s="70">
        <v>93.59</v>
      </c>
      <c r="M3114" s="132"/>
      <c r="N3114" s="79">
        <v>48.04</v>
      </c>
      <c r="O3114" s="79">
        <v>45.55</v>
      </c>
      <c r="P3114" s="79">
        <v>93.59</v>
      </c>
      <c r="Q3114" s="136"/>
      <c r="R3114" s="79">
        <v>48.04</v>
      </c>
      <c r="S3114" s="79">
        <v>45.58</v>
      </c>
      <c r="T3114" s="79">
        <v>93.62</v>
      </c>
      <c r="U3114" s="79">
        <v>0</v>
      </c>
      <c r="V3114" s="189">
        <v>93.62</v>
      </c>
      <c r="X3114" s="79">
        <v>48.04</v>
      </c>
      <c r="Y3114" s="79">
        <v>45.58</v>
      </c>
      <c r="Z3114" s="79">
        <v>93.62</v>
      </c>
      <c r="AA3114" s="255">
        <v>-3.0000000000001137E-2</v>
      </c>
      <c r="AC3114" s="254"/>
    </row>
    <row r="3115" spans="1:31" ht="12">
      <c r="A3115" s="67" t="s">
        <v>16553</v>
      </c>
      <c r="B3115" s="65" t="s">
        <v>16554</v>
      </c>
      <c r="C3115" s="71" t="s">
        <v>165</v>
      </c>
      <c r="D3115" s="78">
        <v>1</v>
      </c>
      <c r="E3115" s="79">
        <v>162.60000000000002</v>
      </c>
      <c r="F3115" s="70">
        <v>162.6</v>
      </c>
      <c r="G3115" s="320"/>
      <c r="H3115" s="79">
        <v>85.57</v>
      </c>
      <c r="I3115" s="79">
        <v>77.03</v>
      </c>
      <c r="J3115" s="79">
        <v>162.6</v>
      </c>
      <c r="K3115" s="79">
        <v>0</v>
      </c>
      <c r="L3115" s="70">
        <v>162.6</v>
      </c>
      <c r="M3115" s="132"/>
      <c r="N3115" s="79">
        <v>85.57</v>
      </c>
      <c r="O3115" s="79">
        <v>77.03</v>
      </c>
      <c r="P3115" s="79">
        <v>162.6</v>
      </c>
      <c r="Q3115" s="136"/>
      <c r="R3115" s="79">
        <v>85.57</v>
      </c>
      <c r="S3115" s="79">
        <v>77.03</v>
      </c>
      <c r="T3115" s="79">
        <v>162.6</v>
      </c>
      <c r="U3115" s="79">
        <v>0</v>
      </c>
      <c r="V3115" s="189">
        <v>162.6</v>
      </c>
      <c r="X3115" s="79">
        <v>85.57</v>
      </c>
      <c r="Y3115" s="79">
        <v>77.03</v>
      </c>
      <c r="Z3115" s="79">
        <v>162.6</v>
      </c>
      <c r="AA3115" s="255">
        <v>0</v>
      </c>
      <c r="AC3115" s="254"/>
    </row>
    <row r="3116" spans="1:31" ht="12">
      <c r="A3116" s="67" t="s">
        <v>16555</v>
      </c>
      <c r="B3116" s="65" t="s">
        <v>16556</v>
      </c>
      <c r="C3116" s="71" t="s">
        <v>165</v>
      </c>
      <c r="D3116" s="78">
        <v>1</v>
      </c>
      <c r="E3116" s="79">
        <v>1409.21</v>
      </c>
      <c r="F3116" s="70">
        <v>1409.21</v>
      </c>
      <c r="G3116" s="320"/>
      <c r="H3116" s="79">
        <v>1190.0400000000002</v>
      </c>
      <c r="I3116" s="79">
        <v>219.17000000000002</v>
      </c>
      <c r="J3116" s="79">
        <v>1409.2100000000003</v>
      </c>
      <c r="K3116" s="79">
        <v>0</v>
      </c>
      <c r="L3116" s="70">
        <v>1409.2100000000003</v>
      </c>
      <c r="M3116" s="132"/>
      <c r="N3116" s="79">
        <v>1190.0400000000002</v>
      </c>
      <c r="O3116" s="79">
        <v>219.17000000000002</v>
      </c>
      <c r="P3116" s="79">
        <v>1409.2100000000003</v>
      </c>
      <c r="Q3116" s="136"/>
      <c r="R3116" s="79">
        <v>1190.04</v>
      </c>
      <c r="S3116" s="79">
        <v>219.18</v>
      </c>
      <c r="T3116" s="79">
        <v>1409.22</v>
      </c>
      <c r="U3116" s="79">
        <v>0</v>
      </c>
      <c r="V3116" s="189">
        <v>1409.22</v>
      </c>
      <c r="X3116" s="79">
        <v>1190.04</v>
      </c>
      <c r="Y3116" s="79">
        <v>219.18</v>
      </c>
      <c r="Z3116" s="79">
        <v>1409.22</v>
      </c>
      <c r="AA3116" s="255">
        <v>-9.9999999999909051E-3</v>
      </c>
      <c r="AC3116" s="254"/>
    </row>
    <row r="3117" spans="1:31" ht="12">
      <c r="A3117" s="67" t="s">
        <v>16557</v>
      </c>
      <c r="B3117" s="65" t="s">
        <v>16558</v>
      </c>
      <c r="C3117" s="71" t="s">
        <v>165</v>
      </c>
      <c r="D3117" s="78">
        <v>1</v>
      </c>
      <c r="E3117" s="79">
        <v>186.85999999999999</v>
      </c>
      <c r="F3117" s="70">
        <v>186.86</v>
      </c>
      <c r="G3117" s="320"/>
      <c r="H3117" s="79">
        <v>144.01999999999998</v>
      </c>
      <c r="I3117" s="79">
        <v>42.84</v>
      </c>
      <c r="J3117" s="79">
        <v>186.85999999999999</v>
      </c>
      <c r="K3117" s="79">
        <v>0</v>
      </c>
      <c r="L3117" s="70">
        <v>186.85999999999999</v>
      </c>
      <c r="M3117" s="132"/>
      <c r="N3117" s="79">
        <v>144.01999999999998</v>
      </c>
      <c r="O3117" s="79">
        <v>42.84</v>
      </c>
      <c r="P3117" s="79">
        <v>186.85999999999999</v>
      </c>
      <c r="Q3117" s="136"/>
      <c r="R3117" s="79">
        <v>144.02000000000001</v>
      </c>
      <c r="S3117" s="79">
        <v>42.85</v>
      </c>
      <c r="T3117" s="79">
        <v>186.87</v>
      </c>
      <c r="U3117" s="79">
        <v>0</v>
      </c>
      <c r="V3117" s="189">
        <v>186.87</v>
      </c>
      <c r="X3117" s="79">
        <v>144.02000000000001</v>
      </c>
      <c r="Y3117" s="79">
        <v>42.85</v>
      </c>
      <c r="Z3117" s="79">
        <v>186.87</v>
      </c>
      <c r="AA3117" s="255">
        <v>-9.9999999999909051E-3</v>
      </c>
      <c r="AC3117" s="254"/>
    </row>
    <row r="3118" spans="1:31" ht="12">
      <c r="A3118" s="67" t="s">
        <v>16559</v>
      </c>
      <c r="B3118" s="65" t="s">
        <v>16560</v>
      </c>
      <c r="C3118" s="71" t="s">
        <v>165</v>
      </c>
      <c r="D3118" s="78">
        <v>1</v>
      </c>
      <c r="E3118" s="79">
        <v>155.81</v>
      </c>
      <c r="F3118" s="70">
        <v>155.81</v>
      </c>
      <c r="G3118" s="320"/>
      <c r="H3118" s="79">
        <v>112.97000000000001</v>
      </c>
      <c r="I3118" s="79">
        <v>42.84</v>
      </c>
      <c r="J3118" s="79">
        <v>155.81</v>
      </c>
      <c r="K3118" s="79">
        <v>0</v>
      </c>
      <c r="L3118" s="70">
        <v>155.81</v>
      </c>
      <c r="M3118" s="132"/>
      <c r="N3118" s="79">
        <v>112.97000000000001</v>
      </c>
      <c r="O3118" s="79">
        <v>42.84</v>
      </c>
      <c r="P3118" s="79">
        <v>155.81</v>
      </c>
      <c r="Q3118" s="136"/>
      <c r="R3118" s="79">
        <v>112.97</v>
      </c>
      <c r="S3118" s="79">
        <v>42.85</v>
      </c>
      <c r="T3118" s="79">
        <v>155.82</v>
      </c>
      <c r="U3118" s="79">
        <v>0</v>
      </c>
      <c r="V3118" s="189">
        <v>155.82</v>
      </c>
      <c r="X3118" s="79">
        <v>112.97</v>
      </c>
      <c r="Y3118" s="79">
        <v>42.85</v>
      </c>
      <c r="Z3118" s="79">
        <v>155.82</v>
      </c>
      <c r="AA3118" s="255">
        <v>-9.9999999999909051E-3</v>
      </c>
      <c r="AC3118" s="254"/>
      <c r="AD3118" s="69"/>
      <c r="AE3118" s="69"/>
    </row>
    <row r="3119" spans="1:31" ht="12">
      <c r="A3119" s="67" t="s">
        <v>16561</v>
      </c>
      <c r="B3119" s="65" t="s">
        <v>16562</v>
      </c>
      <c r="C3119" s="71" t="s">
        <v>165</v>
      </c>
      <c r="D3119" s="78">
        <v>1</v>
      </c>
      <c r="E3119" s="79">
        <v>197.71</v>
      </c>
      <c r="F3119" s="70">
        <v>197.71</v>
      </c>
      <c r="G3119" s="320"/>
      <c r="H3119" s="79">
        <v>154.87</v>
      </c>
      <c r="I3119" s="79">
        <v>42.84</v>
      </c>
      <c r="J3119" s="79">
        <v>197.71</v>
      </c>
      <c r="K3119" s="79">
        <v>0</v>
      </c>
      <c r="L3119" s="70">
        <v>197.71</v>
      </c>
      <c r="M3119" s="132"/>
      <c r="N3119" s="79">
        <v>154.87</v>
      </c>
      <c r="O3119" s="79">
        <v>42.84</v>
      </c>
      <c r="P3119" s="79">
        <v>197.71</v>
      </c>
      <c r="Q3119" s="136"/>
      <c r="R3119" s="79">
        <v>154.87</v>
      </c>
      <c r="S3119" s="79">
        <v>42.85</v>
      </c>
      <c r="T3119" s="79">
        <v>197.72</v>
      </c>
      <c r="U3119" s="79">
        <v>0</v>
      </c>
      <c r="V3119" s="189">
        <v>197.72</v>
      </c>
      <c r="X3119" s="79">
        <v>154.87</v>
      </c>
      <c r="Y3119" s="79">
        <v>42.85</v>
      </c>
      <c r="Z3119" s="79">
        <v>197.72</v>
      </c>
      <c r="AA3119" s="255">
        <v>-9.9999999999909051E-3</v>
      </c>
      <c r="AC3119" s="254"/>
      <c r="AD3119" s="69"/>
      <c r="AE3119" s="69"/>
    </row>
    <row r="3120" spans="1:31" s="69" customFormat="1" ht="12">
      <c r="A3120" s="67" t="s">
        <v>16563</v>
      </c>
      <c r="B3120" s="65" t="s">
        <v>16564</v>
      </c>
      <c r="C3120" s="71" t="s">
        <v>165</v>
      </c>
      <c r="D3120" s="78">
        <v>1</v>
      </c>
      <c r="E3120" s="79">
        <v>327.94</v>
      </c>
      <c r="F3120" s="70">
        <v>327.94</v>
      </c>
      <c r="G3120" s="320"/>
      <c r="H3120" s="79">
        <v>260.40999999999997</v>
      </c>
      <c r="I3120" s="79">
        <v>67.53</v>
      </c>
      <c r="J3120" s="79">
        <v>327.93999999999994</v>
      </c>
      <c r="K3120" s="79">
        <v>0</v>
      </c>
      <c r="L3120" s="70">
        <v>327.93999999999994</v>
      </c>
      <c r="M3120" s="132"/>
      <c r="N3120" s="79">
        <v>260.40999999999997</v>
      </c>
      <c r="O3120" s="79">
        <v>67.53</v>
      </c>
      <c r="P3120" s="79">
        <v>327.93999999999994</v>
      </c>
      <c r="Q3120" s="136"/>
      <c r="R3120" s="79">
        <v>260.41000000000003</v>
      </c>
      <c r="S3120" s="79">
        <v>67.53</v>
      </c>
      <c r="T3120" s="79">
        <v>327.94000000000005</v>
      </c>
      <c r="U3120" s="79">
        <v>0</v>
      </c>
      <c r="V3120" s="189">
        <v>327.94000000000005</v>
      </c>
      <c r="W3120" s="61"/>
      <c r="X3120" s="79">
        <v>260.41000000000003</v>
      </c>
      <c r="Y3120" s="79">
        <v>67.53</v>
      </c>
      <c r="Z3120" s="79">
        <v>327.94</v>
      </c>
      <c r="AA3120" s="255">
        <v>0</v>
      </c>
      <c r="AB3120" s="61"/>
      <c r="AC3120" s="254"/>
      <c r="AD3120" s="236"/>
      <c r="AE3120" s="236"/>
    </row>
    <row r="3121" spans="1:31" s="69" customFormat="1" ht="12">
      <c r="A3121" s="67" t="s">
        <v>16565</v>
      </c>
      <c r="B3121" s="65" t="s">
        <v>16566</v>
      </c>
      <c r="C3121" s="71" t="s">
        <v>165</v>
      </c>
      <c r="D3121" s="78">
        <v>1</v>
      </c>
      <c r="E3121" s="79">
        <v>207.13</v>
      </c>
      <c r="F3121" s="70">
        <v>207.13</v>
      </c>
      <c r="G3121" s="320"/>
      <c r="H3121" s="79">
        <v>154.20000000000002</v>
      </c>
      <c r="I3121" s="79">
        <v>52.929999999999993</v>
      </c>
      <c r="J3121" s="79">
        <v>207.13</v>
      </c>
      <c r="K3121" s="79">
        <v>0</v>
      </c>
      <c r="L3121" s="70">
        <v>207.13</v>
      </c>
      <c r="M3121" s="132"/>
      <c r="N3121" s="79">
        <v>154.20000000000002</v>
      </c>
      <c r="O3121" s="79">
        <v>52.929999999999993</v>
      </c>
      <c r="P3121" s="79">
        <v>207.13</v>
      </c>
      <c r="Q3121" s="136"/>
      <c r="R3121" s="79">
        <v>154.19999999999999</v>
      </c>
      <c r="S3121" s="79">
        <v>52.92</v>
      </c>
      <c r="T3121" s="79">
        <v>207.12</v>
      </c>
      <c r="U3121" s="79">
        <v>0</v>
      </c>
      <c r="V3121" s="189">
        <v>207.12</v>
      </c>
      <c r="W3121" s="61"/>
      <c r="X3121" s="79">
        <v>154.19999999999999</v>
      </c>
      <c r="Y3121" s="79">
        <v>52.92</v>
      </c>
      <c r="Z3121" s="79">
        <v>207.12</v>
      </c>
      <c r="AA3121" s="255">
        <v>9.9999999999909051E-3</v>
      </c>
      <c r="AB3121" s="61"/>
      <c r="AC3121" s="254"/>
    </row>
    <row r="3122" spans="1:31" ht="12">
      <c r="A3122" s="67" t="s">
        <v>16567</v>
      </c>
      <c r="B3122" s="65" t="s">
        <v>16568</v>
      </c>
      <c r="C3122" s="71" t="s">
        <v>165</v>
      </c>
      <c r="D3122" s="78">
        <v>1</v>
      </c>
      <c r="E3122" s="79">
        <v>561.05999999999995</v>
      </c>
      <c r="F3122" s="70">
        <v>561.05999999999995</v>
      </c>
      <c r="G3122" s="320"/>
      <c r="H3122" s="79">
        <v>473.4</v>
      </c>
      <c r="I3122" s="79">
        <v>87.66</v>
      </c>
      <c r="J3122" s="79">
        <v>561.05999999999995</v>
      </c>
      <c r="K3122" s="79">
        <v>0</v>
      </c>
      <c r="L3122" s="70">
        <v>561.05999999999995</v>
      </c>
      <c r="M3122" s="132"/>
      <c r="N3122" s="79">
        <v>473.4</v>
      </c>
      <c r="O3122" s="79">
        <v>87.66</v>
      </c>
      <c r="P3122" s="79">
        <v>561.05999999999995</v>
      </c>
      <c r="Q3122" s="136"/>
      <c r="R3122" s="79">
        <v>473.4</v>
      </c>
      <c r="S3122" s="79">
        <v>87.67</v>
      </c>
      <c r="T3122" s="79">
        <v>561.06999999999994</v>
      </c>
      <c r="U3122" s="79">
        <v>0</v>
      </c>
      <c r="V3122" s="189">
        <v>561.06999999999994</v>
      </c>
      <c r="X3122" s="79">
        <v>473.4</v>
      </c>
      <c r="Y3122" s="79">
        <v>87.67</v>
      </c>
      <c r="Z3122" s="79">
        <v>561.07000000000005</v>
      </c>
      <c r="AA3122" s="255">
        <v>-1.0000000000104592E-2</v>
      </c>
      <c r="AC3122" s="254"/>
      <c r="AD3122" s="69"/>
      <c r="AE3122" s="69"/>
    </row>
    <row r="3123" spans="1:31" s="69" customFormat="1" ht="12">
      <c r="A3123" s="67" t="s">
        <v>16569</v>
      </c>
      <c r="B3123" s="65" t="s">
        <v>16570</v>
      </c>
      <c r="C3123" s="71" t="s">
        <v>165</v>
      </c>
      <c r="D3123" s="78">
        <v>1</v>
      </c>
      <c r="E3123" s="79">
        <v>152.34</v>
      </c>
      <c r="F3123" s="70">
        <v>152.34</v>
      </c>
      <c r="G3123" s="320"/>
      <c r="H3123" s="79">
        <v>115.41</v>
      </c>
      <c r="I3123" s="79">
        <v>36.93</v>
      </c>
      <c r="J3123" s="79">
        <v>152.34</v>
      </c>
      <c r="K3123" s="79">
        <v>0</v>
      </c>
      <c r="L3123" s="70">
        <v>152.34</v>
      </c>
      <c r="M3123" s="132"/>
      <c r="N3123" s="79">
        <v>115.41</v>
      </c>
      <c r="O3123" s="79">
        <v>36.93</v>
      </c>
      <c r="P3123" s="79">
        <v>152.34</v>
      </c>
      <c r="Q3123" s="136"/>
      <c r="R3123" s="79">
        <v>115.41</v>
      </c>
      <c r="S3123" s="79">
        <v>36.92</v>
      </c>
      <c r="T3123" s="79">
        <v>152.32999999999998</v>
      </c>
      <c r="U3123" s="79">
        <v>0</v>
      </c>
      <c r="V3123" s="189">
        <v>152.32999999999998</v>
      </c>
      <c r="W3123" s="61"/>
      <c r="X3123" s="79">
        <v>115.41</v>
      </c>
      <c r="Y3123" s="79">
        <v>36.92</v>
      </c>
      <c r="Z3123" s="79">
        <v>152.33000000000001</v>
      </c>
      <c r="AA3123" s="255">
        <v>9.9999999999909051E-3</v>
      </c>
      <c r="AB3123" s="61"/>
      <c r="AC3123" s="254"/>
      <c r="AD3123" s="236"/>
      <c r="AE3123" s="236"/>
    </row>
    <row r="3124" spans="1:31" s="69" customFormat="1" ht="12">
      <c r="A3124" s="67" t="s">
        <v>16571</v>
      </c>
      <c r="B3124" s="65" t="s">
        <v>16572</v>
      </c>
      <c r="C3124" s="71" t="s">
        <v>165</v>
      </c>
      <c r="D3124" s="78">
        <v>1</v>
      </c>
      <c r="E3124" s="79">
        <v>142.31</v>
      </c>
      <c r="F3124" s="70">
        <v>142.31</v>
      </c>
      <c r="G3124" s="320"/>
      <c r="H3124" s="79">
        <v>105.38</v>
      </c>
      <c r="I3124" s="79">
        <v>36.93</v>
      </c>
      <c r="J3124" s="79">
        <v>142.31</v>
      </c>
      <c r="K3124" s="79">
        <v>0</v>
      </c>
      <c r="L3124" s="70">
        <v>142.31</v>
      </c>
      <c r="M3124" s="132"/>
      <c r="N3124" s="79">
        <v>105.38</v>
      </c>
      <c r="O3124" s="79">
        <v>36.93</v>
      </c>
      <c r="P3124" s="79">
        <v>142.31</v>
      </c>
      <c r="Q3124" s="136"/>
      <c r="R3124" s="79">
        <v>105.38</v>
      </c>
      <c r="S3124" s="79">
        <v>36.92</v>
      </c>
      <c r="T3124" s="79">
        <v>142.30000000000001</v>
      </c>
      <c r="U3124" s="79">
        <v>0</v>
      </c>
      <c r="V3124" s="189">
        <v>142.30000000000001</v>
      </c>
      <c r="W3124" s="61"/>
      <c r="X3124" s="79">
        <v>105.38</v>
      </c>
      <c r="Y3124" s="79">
        <v>36.92</v>
      </c>
      <c r="Z3124" s="79">
        <v>142.30000000000001</v>
      </c>
      <c r="AA3124" s="255">
        <v>9.9999999999909051E-3</v>
      </c>
      <c r="AB3124" s="61"/>
      <c r="AC3124" s="254"/>
    </row>
    <row r="3125" spans="1:31" ht="12">
      <c r="A3125" s="67" t="s">
        <v>16573</v>
      </c>
      <c r="B3125" s="65" t="s">
        <v>16574</v>
      </c>
      <c r="C3125" s="71" t="s">
        <v>165</v>
      </c>
      <c r="D3125" s="78">
        <v>1</v>
      </c>
      <c r="E3125" s="79">
        <v>38.56</v>
      </c>
      <c r="F3125" s="70">
        <v>38.56</v>
      </c>
      <c r="G3125" s="320"/>
      <c r="H3125" s="79">
        <v>25.53</v>
      </c>
      <c r="I3125" s="79">
        <v>13.030000000000001</v>
      </c>
      <c r="J3125" s="79">
        <v>38.56</v>
      </c>
      <c r="K3125" s="79">
        <v>0</v>
      </c>
      <c r="L3125" s="70">
        <v>38.56</v>
      </c>
      <c r="M3125" s="132"/>
      <c r="N3125" s="79">
        <v>25.53</v>
      </c>
      <c r="O3125" s="79">
        <v>13.030000000000001</v>
      </c>
      <c r="P3125" s="79">
        <v>38.56</v>
      </c>
      <c r="Q3125" s="136"/>
      <c r="R3125" s="79">
        <v>25.53</v>
      </c>
      <c r="S3125" s="79">
        <v>13.02</v>
      </c>
      <c r="T3125" s="79">
        <v>38.549999999999997</v>
      </c>
      <c r="U3125" s="79">
        <v>0</v>
      </c>
      <c r="V3125" s="189">
        <v>38.549999999999997</v>
      </c>
      <c r="X3125" s="79">
        <v>25.53</v>
      </c>
      <c r="Y3125" s="79">
        <v>13.02</v>
      </c>
      <c r="Z3125" s="79">
        <v>38.549999999999997</v>
      </c>
      <c r="AA3125" s="255">
        <v>1.0000000000005116E-2</v>
      </c>
      <c r="AC3125" s="254"/>
    </row>
    <row r="3126" spans="1:31" s="69" customFormat="1" ht="12">
      <c r="A3126" s="489" t="s">
        <v>16575</v>
      </c>
      <c r="B3126" s="490" t="s">
        <v>16576</v>
      </c>
      <c r="C3126" s="491"/>
      <c r="D3126" s="492"/>
      <c r="E3126" s="79"/>
      <c r="F3126" s="63"/>
      <c r="G3126" s="320"/>
      <c r="H3126" s="79"/>
      <c r="I3126" s="79"/>
      <c r="J3126" s="79"/>
      <c r="K3126" s="79"/>
      <c r="L3126" s="70"/>
      <c r="M3126" s="132"/>
      <c r="N3126" s="79"/>
      <c r="O3126" s="79"/>
      <c r="P3126" s="79"/>
      <c r="Q3126" s="136"/>
      <c r="R3126" s="79"/>
      <c r="S3126" s="79"/>
      <c r="T3126" s="79"/>
      <c r="U3126" s="79"/>
      <c r="V3126" s="189"/>
      <c r="W3126" s="61"/>
      <c r="X3126" s="79"/>
      <c r="Y3126" s="79"/>
      <c r="Z3126" s="79"/>
      <c r="AA3126" s="255"/>
      <c r="AB3126" s="61"/>
      <c r="AC3126" s="254"/>
      <c r="AD3126" s="236"/>
      <c r="AE3126" s="236"/>
    </row>
    <row r="3127" spans="1:31" ht="12">
      <c r="A3127" s="67" t="s">
        <v>16577</v>
      </c>
      <c r="B3127" s="65" t="s">
        <v>16578</v>
      </c>
      <c r="C3127" s="499" t="s">
        <v>165</v>
      </c>
      <c r="D3127" s="78">
        <v>1</v>
      </c>
      <c r="E3127" s="79">
        <v>9.48</v>
      </c>
      <c r="F3127" s="70">
        <v>9.48</v>
      </c>
      <c r="G3127" s="320"/>
      <c r="H3127" s="79">
        <v>7.63</v>
      </c>
      <c r="I3127" s="79">
        <v>1.85</v>
      </c>
      <c r="J3127" s="79">
        <v>9.48</v>
      </c>
      <c r="K3127" s="79">
        <v>0</v>
      </c>
      <c r="L3127" s="70">
        <v>9.48</v>
      </c>
      <c r="M3127" s="132"/>
      <c r="N3127" s="79">
        <v>7.63</v>
      </c>
      <c r="O3127" s="79">
        <v>1.85</v>
      </c>
      <c r="P3127" s="79">
        <v>9.48</v>
      </c>
      <c r="Q3127" s="136"/>
      <c r="R3127" s="79">
        <v>7.63</v>
      </c>
      <c r="S3127" s="79">
        <v>1.87</v>
      </c>
      <c r="T3127" s="79">
        <v>9.5</v>
      </c>
      <c r="U3127" s="79">
        <v>0</v>
      </c>
      <c r="V3127" s="189">
        <v>9.5</v>
      </c>
      <c r="X3127" s="79">
        <v>7.63</v>
      </c>
      <c r="Y3127" s="79">
        <v>1.87</v>
      </c>
      <c r="Z3127" s="79">
        <v>9.5</v>
      </c>
      <c r="AA3127" s="255">
        <v>-1.9999999999999574E-2</v>
      </c>
      <c r="AC3127" s="254"/>
    </row>
    <row r="3128" spans="1:31" ht="12">
      <c r="A3128" s="67" t="s">
        <v>16579</v>
      </c>
      <c r="B3128" s="65" t="s">
        <v>16580</v>
      </c>
      <c r="C3128" s="71" t="s">
        <v>165</v>
      </c>
      <c r="D3128" s="78">
        <v>1</v>
      </c>
      <c r="E3128" s="79">
        <v>10.57</v>
      </c>
      <c r="F3128" s="70">
        <v>10.57</v>
      </c>
      <c r="G3128" s="320"/>
      <c r="H3128" s="79">
        <v>8.7200000000000006</v>
      </c>
      <c r="I3128" s="79">
        <v>1.85</v>
      </c>
      <c r="J3128" s="79">
        <v>10.57</v>
      </c>
      <c r="K3128" s="79">
        <v>0</v>
      </c>
      <c r="L3128" s="70">
        <v>10.57</v>
      </c>
      <c r="M3128" s="132"/>
      <c r="N3128" s="79">
        <v>8.7200000000000006</v>
      </c>
      <c r="O3128" s="79">
        <v>1.85</v>
      </c>
      <c r="P3128" s="79">
        <v>10.57</v>
      </c>
      <c r="Q3128" s="136"/>
      <c r="R3128" s="79">
        <v>8.7200000000000006</v>
      </c>
      <c r="S3128" s="79">
        <v>1.87</v>
      </c>
      <c r="T3128" s="79">
        <v>10.59</v>
      </c>
      <c r="U3128" s="79">
        <v>0</v>
      </c>
      <c r="V3128" s="189">
        <v>10.59</v>
      </c>
      <c r="X3128" s="79">
        <v>8.7200000000000006</v>
      </c>
      <c r="Y3128" s="79">
        <v>1.87</v>
      </c>
      <c r="Z3128" s="79">
        <v>10.59</v>
      </c>
      <c r="AA3128" s="255">
        <v>-1.9999999999999574E-2</v>
      </c>
      <c r="AC3128" s="254"/>
    </row>
    <row r="3129" spans="1:31" ht="12">
      <c r="A3129" s="67" t="s">
        <v>16581</v>
      </c>
      <c r="B3129" s="65" t="s">
        <v>16582</v>
      </c>
      <c r="C3129" s="71" t="s">
        <v>165</v>
      </c>
      <c r="D3129" s="78">
        <v>1</v>
      </c>
      <c r="E3129" s="79">
        <v>12.75</v>
      </c>
      <c r="F3129" s="70">
        <v>12.75</v>
      </c>
      <c r="G3129" s="320"/>
      <c r="H3129" s="79">
        <v>10.9</v>
      </c>
      <c r="I3129" s="79">
        <v>1.85</v>
      </c>
      <c r="J3129" s="79">
        <v>12.75</v>
      </c>
      <c r="K3129" s="79">
        <v>0</v>
      </c>
      <c r="L3129" s="70">
        <v>12.75</v>
      </c>
      <c r="M3129" s="132"/>
      <c r="N3129" s="79">
        <v>10.9</v>
      </c>
      <c r="O3129" s="79">
        <v>1.85</v>
      </c>
      <c r="P3129" s="79">
        <v>12.75</v>
      </c>
      <c r="Q3129" s="136"/>
      <c r="R3129" s="79">
        <v>10.9</v>
      </c>
      <c r="S3129" s="79">
        <v>1.87</v>
      </c>
      <c r="T3129" s="79">
        <v>12.77</v>
      </c>
      <c r="U3129" s="79">
        <v>0</v>
      </c>
      <c r="V3129" s="189">
        <v>12.77</v>
      </c>
      <c r="X3129" s="79">
        <v>10.9</v>
      </c>
      <c r="Y3129" s="79">
        <v>1.87</v>
      </c>
      <c r="Z3129" s="79">
        <v>12.77</v>
      </c>
      <c r="AA3129" s="255">
        <v>-1.9999999999999574E-2</v>
      </c>
      <c r="AC3129" s="254"/>
      <c r="AD3129" s="69"/>
      <c r="AE3129" s="69"/>
    </row>
    <row r="3130" spans="1:31" ht="12">
      <c r="A3130" s="67" t="s">
        <v>16583</v>
      </c>
      <c r="B3130" s="65" t="s">
        <v>16584</v>
      </c>
      <c r="C3130" s="71" t="s">
        <v>165</v>
      </c>
      <c r="D3130" s="78">
        <v>1</v>
      </c>
      <c r="E3130" s="79">
        <v>24.16</v>
      </c>
      <c r="F3130" s="70">
        <v>24.16</v>
      </c>
      <c r="G3130" s="320"/>
      <c r="H3130" s="79">
        <v>22.31</v>
      </c>
      <c r="I3130" s="79">
        <v>1.85</v>
      </c>
      <c r="J3130" s="79">
        <v>24.16</v>
      </c>
      <c r="K3130" s="79">
        <v>0</v>
      </c>
      <c r="L3130" s="70">
        <v>24.16</v>
      </c>
      <c r="M3130" s="132"/>
      <c r="N3130" s="79">
        <v>22.31</v>
      </c>
      <c r="O3130" s="79">
        <v>1.85</v>
      </c>
      <c r="P3130" s="79">
        <v>24.16</v>
      </c>
      <c r="Q3130" s="136"/>
      <c r="R3130" s="79">
        <v>22.31</v>
      </c>
      <c r="S3130" s="79">
        <v>1.87</v>
      </c>
      <c r="T3130" s="79">
        <v>24.18</v>
      </c>
      <c r="U3130" s="79">
        <v>0</v>
      </c>
      <c r="V3130" s="189">
        <v>24.18</v>
      </c>
      <c r="X3130" s="79">
        <v>22.31</v>
      </c>
      <c r="Y3130" s="79">
        <v>1.87</v>
      </c>
      <c r="Z3130" s="79">
        <v>24.18</v>
      </c>
      <c r="AA3130" s="255">
        <v>-1.9999999999999574E-2</v>
      </c>
      <c r="AC3130" s="254"/>
      <c r="AD3130" s="69"/>
      <c r="AE3130" s="69"/>
    </row>
    <row r="3131" spans="1:31" s="69" customFormat="1" ht="12">
      <c r="A3131" s="67" t="s">
        <v>16585</v>
      </c>
      <c r="B3131" s="65" t="s">
        <v>16586</v>
      </c>
      <c r="C3131" s="71" t="s">
        <v>165</v>
      </c>
      <c r="D3131" s="78">
        <v>1</v>
      </c>
      <c r="E3131" s="79">
        <v>37.54</v>
      </c>
      <c r="F3131" s="70">
        <v>37.54</v>
      </c>
      <c r="G3131" s="320"/>
      <c r="H3131" s="79">
        <v>35.69</v>
      </c>
      <c r="I3131" s="79">
        <v>1.85</v>
      </c>
      <c r="J3131" s="79">
        <v>37.54</v>
      </c>
      <c r="K3131" s="79">
        <v>0</v>
      </c>
      <c r="L3131" s="70">
        <v>37.54</v>
      </c>
      <c r="M3131" s="132"/>
      <c r="N3131" s="79">
        <v>35.69</v>
      </c>
      <c r="O3131" s="79">
        <v>1.85</v>
      </c>
      <c r="P3131" s="79">
        <v>37.54</v>
      </c>
      <c r="Q3131" s="136"/>
      <c r="R3131" s="79">
        <v>35.69</v>
      </c>
      <c r="S3131" s="79">
        <v>1.87</v>
      </c>
      <c r="T3131" s="79">
        <v>37.559999999999995</v>
      </c>
      <c r="U3131" s="79">
        <v>0</v>
      </c>
      <c r="V3131" s="189">
        <v>37.559999999999995</v>
      </c>
      <c r="W3131" s="61"/>
      <c r="X3131" s="79">
        <v>35.69</v>
      </c>
      <c r="Y3131" s="79">
        <v>1.87</v>
      </c>
      <c r="Z3131" s="79">
        <v>37.56</v>
      </c>
      <c r="AA3131" s="255">
        <v>-2.0000000000003126E-2</v>
      </c>
      <c r="AB3131" s="61"/>
      <c r="AC3131" s="254"/>
      <c r="AD3131" s="61"/>
      <c r="AE3131" s="61"/>
    </row>
    <row r="3132" spans="1:31" s="69" customFormat="1" ht="12">
      <c r="A3132" s="63" t="s">
        <v>16587</v>
      </c>
      <c r="B3132" s="64" t="s">
        <v>16588</v>
      </c>
      <c r="C3132" s="63" t="s">
        <v>165</v>
      </c>
      <c r="D3132" s="78">
        <v>1</v>
      </c>
      <c r="E3132" s="79">
        <v>88.460000000000008</v>
      </c>
      <c r="F3132" s="70">
        <v>88.46</v>
      </c>
      <c r="G3132" s="320"/>
      <c r="H3132" s="79">
        <v>85.65</v>
      </c>
      <c r="I3132" s="79">
        <v>2.81</v>
      </c>
      <c r="J3132" s="79">
        <v>88.460000000000008</v>
      </c>
      <c r="K3132" s="79">
        <v>0</v>
      </c>
      <c r="L3132" s="70">
        <v>88.460000000000008</v>
      </c>
      <c r="M3132" s="132"/>
      <c r="N3132" s="79">
        <v>85.65</v>
      </c>
      <c r="O3132" s="79">
        <v>2.81</v>
      </c>
      <c r="P3132" s="79">
        <v>88.460000000000008</v>
      </c>
      <c r="Q3132" s="136"/>
      <c r="R3132" s="79">
        <v>85.65</v>
      </c>
      <c r="S3132" s="79">
        <v>2.8</v>
      </c>
      <c r="T3132" s="79">
        <v>88.45</v>
      </c>
      <c r="U3132" s="79">
        <v>0</v>
      </c>
      <c r="V3132" s="189">
        <v>88.45</v>
      </c>
      <c r="W3132" s="61"/>
      <c r="X3132" s="63">
        <v>85.65</v>
      </c>
      <c r="Y3132" s="63">
        <v>2.8</v>
      </c>
      <c r="Z3132" s="63">
        <v>88.45</v>
      </c>
      <c r="AA3132" s="255">
        <v>9.9999999999909051E-3</v>
      </c>
      <c r="AB3132" s="61"/>
      <c r="AC3132" s="254"/>
      <c r="AD3132" s="61"/>
      <c r="AE3132" s="61"/>
    </row>
    <row r="3133" spans="1:31" s="61" customFormat="1" ht="12">
      <c r="A3133" s="63" t="s">
        <v>16589</v>
      </c>
      <c r="B3133" s="64" t="s">
        <v>16590</v>
      </c>
      <c r="C3133" s="63" t="s">
        <v>165</v>
      </c>
      <c r="D3133" s="78">
        <v>1</v>
      </c>
      <c r="E3133" s="79">
        <v>117.96000000000001</v>
      </c>
      <c r="F3133" s="70">
        <v>117.96</v>
      </c>
      <c r="G3133" s="320"/>
      <c r="H3133" s="79">
        <v>115.15</v>
      </c>
      <c r="I3133" s="79">
        <v>2.81</v>
      </c>
      <c r="J3133" s="79">
        <v>117.96000000000001</v>
      </c>
      <c r="K3133" s="79">
        <v>0</v>
      </c>
      <c r="L3133" s="70">
        <v>117.96000000000001</v>
      </c>
      <c r="M3133" s="132"/>
      <c r="N3133" s="79">
        <v>115.15</v>
      </c>
      <c r="O3133" s="79">
        <v>2.81</v>
      </c>
      <c r="P3133" s="79">
        <v>117.96000000000001</v>
      </c>
      <c r="Q3133" s="136"/>
      <c r="R3133" s="79">
        <v>115.15</v>
      </c>
      <c r="S3133" s="79">
        <v>2.8</v>
      </c>
      <c r="T3133" s="79">
        <v>117.95</v>
      </c>
      <c r="U3133" s="79">
        <v>0</v>
      </c>
      <c r="V3133" s="189">
        <v>117.95</v>
      </c>
      <c r="X3133" s="63">
        <v>115.15</v>
      </c>
      <c r="Y3133" s="63">
        <v>2.8</v>
      </c>
      <c r="Z3133" s="63">
        <v>117.95</v>
      </c>
      <c r="AA3133" s="255">
        <v>9.9999999999909051E-3</v>
      </c>
      <c r="AC3133" s="254"/>
    </row>
    <row r="3134" spans="1:31" s="61" customFormat="1" ht="12">
      <c r="A3134" s="63" t="s">
        <v>16591</v>
      </c>
      <c r="B3134" s="64" t="s">
        <v>16592</v>
      </c>
      <c r="C3134" s="63" t="s">
        <v>165</v>
      </c>
      <c r="D3134" s="78">
        <v>1</v>
      </c>
      <c r="E3134" s="79">
        <v>199.4</v>
      </c>
      <c r="F3134" s="70">
        <v>199.4</v>
      </c>
      <c r="G3134" s="320"/>
      <c r="H3134" s="79">
        <v>196.59</v>
      </c>
      <c r="I3134" s="79">
        <v>2.81</v>
      </c>
      <c r="J3134" s="79">
        <v>199.4</v>
      </c>
      <c r="K3134" s="79">
        <v>0</v>
      </c>
      <c r="L3134" s="70">
        <v>199.4</v>
      </c>
      <c r="M3134" s="132"/>
      <c r="N3134" s="79">
        <v>196.59</v>
      </c>
      <c r="O3134" s="79">
        <v>2.81</v>
      </c>
      <c r="P3134" s="79">
        <v>199.4</v>
      </c>
      <c r="Q3134" s="136"/>
      <c r="R3134" s="79">
        <v>196.59</v>
      </c>
      <c r="S3134" s="79">
        <v>2.8</v>
      </c>
      <c r="T3134" s="79">
        <v>199.39000000000001</v>
      </c>
      <c r="U3134" s="79">
        <v>0</v>
      </c>
      <c r="V3134" s="189">
        <v>199.39000000000001</v>
      </c>
      <c r="X3134" s="63">
        <v>196.59</v>
      </c>
      <c r="Y3134" s="63">
        <v>2.8</v>
      </c>
      <c r="Z3134" s="63">
        <v>199.39</v>
      </c>
      <c r="AA3134" s="255">
        <v>1.0000000000019327E-2</v>
      </c>
      <c r="AC3134" s="254"/>
    </row>
    <row r="3135" spans="1:31" s="61" customFormat="1" ht="12">
      <c r="A3135" s="63" t="s">
        <v>16593</v>
      </c>
      <c r="B3135" s="64" t="s">
        <v>16594</v>
      </c>
      <c r="C3135" s="63" t="s">
        <v>165</v>
      </c>
      <c r="D3135" s="78">
        <v>1</v>
      </c>
      <c r="E3135" s="79">
        <v>327.48</v>
      </c>
      <c r="F3135" s="70">
        <v>327.48</v>
      </c>
      <c r="G3135" s="320"/>
      <c r="H3135" s="79">
        <v>324.67</v>
      </c>
      <c r="I3135" s="79">
        <v>2.81</v>
      </c>
      <c r="J3135" s="79">
        <v>327.48</v>
      </c>
      <c r="K3135" s="79">
        <v>0</v>
      </c>
      <c r="L3135" s="70">
        <v>327.48</v>
      </c>
      <c r="M3135" s="132"/>
      <c r="N3135" s="79">
        <v>324.67</v>
      </c>
      <c r="O3135" s="79">
        <v>2.81</v>
      </c>
      <c r="P3135" s="79">
        <v>327.48</v>
      </c>
      <c r="Q3135" s="136"/>
      <c r="R3135" s="79">
        <v>324.67</v>
      </c>
      <c r="S3135" s="79">
        <v>2.8</v>
      </c>
      <c r="T3135" s="79">
        <v>327.47000000000003</v>
      </c>
      <c r="U3135" s="79">
        <v>0</v>
      </c>
      <c r="V3135" s="189">
        <v>327.47000000000003</v>
      </c>
      <c r="X3135" s="63">
        <v>324.67</v>
      </c>
      <c r="Y3135" s="63">
        <v>2.8</v>
      </c>
      <c r="Z3135" s="63">
        <v>327.47000000000003</v>
      </c>
      <c r="AA3135" s="255">
        <v>9.9999999999909051E-3</v>
      </c>
      <c r="AC3135" s="254"/>
    </row>
    <row r="3136" spans="1:31" s="61" customFormat="1" ht="12">
      <c r="A3136" s="63" t="s">
        <v>16595</v>
      </c>
      <c r="B3136" s="64" t="s">
        <v>16596</v>
      </c>
      <c r="C3136" s="63" t="s">
        <v>165</v>
      </c>
      <c r="D3136" s="78">
        <v>1</v>
      </c>
      <c r="E3136" s="79">
        <v>438.44</v>
      </c>
      <c r="F3136" s="70">
        <v>438.44</v>
      </c>
      <c r="G3136" s="320"/>
      <c r="H3136" s="79">
        <v>435.63</v>
      </c>
      <c r="I3136" s="79">
        <v>2.81</v>
      </c>
      <c r="J3136" s="79">
        <v>438.44</v>
      </c>
      <c r="K3136" s="79">
        <v>0</v>
      </c>
      <c r="L3136" s="70">
        <v>438.44</v>
      </c>
      <c r="M3136" s="132"/>
      <c r="N3136" s="79">
        <v>435.63</v>
      </c>
      <c r="O3136" s="79">
        <v>2.81</v>
      </c>
      <c r="P3136" s="79">
        <v>438.44</v>
      </c>
      <c r="Q3136" s="136"/>
      <c r="R3136" s="79">
        <v>435.63</v>
      </c>
      <c r="S3136" s="79">
        <v>2.8</v>
      </c>
      <c r="T3136" s="79">
        <v>438.43</v>
      </c>
      <c r="U3136" s="79">
        <v>0</v>
      </c>
      <c r="V3136" s="189">
        <v>438.43</v>
      </c>
      <c r="X3136" s="63">
        <v>435.63</v>
      </c>
      <c r="Y3136" s="63">
        <v>2.8</v>
      </c>
      <c r="Z3136" s="63">
        <v>438.43</v>
      </c>
      <c r="AA3136" s="255">
        <v>9.9999999999909051E-3</v>
      </c>
      <c r="AC3136" s="254"/>
    </row>
    <row r="3137" spans="1:31" s="61" customFormat="1" ht="12">
      <c r="A3137" s="63" t="s">
        <v>16597</v>
      </c>
      <c r="B3137" s="64" t="s">
        <v>16598</v>
      </c>
      <c r="C3137" s="63" t="s">
        <v>165</v>
      </c>
      <c r="D3137" s="78">
        <v>1</v>
      </c>
      <c r="E3137" s="79">
        <v>698.9899999999999</v>
      </c>
      <c r="F3137" s="70">
        <v>698.99</v>
      </c>
      <c r="G3137" s="320"/>
      <c r="H3137" s="79">
        <v>696.18</v>
      </c>
      <c r="I3137" s="79">
        <v>2.81</v>
      </c>
      <c r="J3137" s="79">
        <v>698.9899999999999</v>
      </c>
      <c r="K3137" s="79">
        <v>0</v>
      </c>
      <c r="L3137" s="70">
        <v>698.9899999999999</v>
      </c>
      <c r="M3137" s="132"/>
      <c r="N3137" s="79">
        <v>696.18</v>
      </c>
      <c r="O3137" s="79">
        <v>2.81</v>
      </c>
      <c r="P3137" s="79">
        <v>698.9899999999999</v>
      </c>
      <c r="Q3137" s="136"/>
      <c r="R3137" s="79">
        <v>696.18</v>
      </c>
      <c r="S3137" s="79">
        <v>2.8</v>
      </c>
      <c r="T3137" s="79">
        <v>698.9799999999999</v>
      </c>
      <c r="U3137" s="79">
        <v>0</v>
      </c>
      <c r="V3137" s="189">
        <v>698.9799999999999</v>
      </c>
      <c r="X3137" s="63">
        <v>696.18</v>
      </c>
      <c r="Y3137" s="63">
        <v>2.8</v>
      </c>
      <c r="Z3137" s="63">
        <v>698.98</v>
      </c>
      <c r="AA3137" s="255">
        <v>9.9999999999909051E-3</v>
      </c>
      <c r="AC3137" s="254"/>
    </row>
    <row r="3138" spans="1:31" s="61" customFormat="1" ht="12">
      <c r="A3138" s="63" t="s">
        <v>16599</v>
      </c>
      <c r="B3138" s="64" t="s">
        <v>16600</v>
      </c>
      <c r="C3138" s="63" t="s">
        <v>165</v>
      </c>
      <c r="D3138" s="78">
        <v>1</v>
      </c>
      <c r="E3138" s="79">
        <v>1011.89</v>
      </c>
      <c r="F3138" s="70">
        <v>1011.89</v>
      </c>
      <c r="G3138" s="320"/>
      <c r="H3138" s="79">
        <v>1009.08</v>
      </c>
      <c r="I3138" s="79">
        <v>2.81</v>
      </c>
      <c r="J3138" s="79">
        <v>1011.89</v>
      </c>
      <c r="K3138" s="79">
        <v>0</v>
      </c>
      <c r="L3138" s="70">
        <v>1011.89</v>
      </c>
      <c r="M3138" s="132"/>
      <c r="N3138" s="79">
        <v>1009.08</v>
      </c>
      <c r="O3138" s="79">
        <v>2.81</v>
      </c>
      <c r="P3138" s="79">
        <v>1011.89</v>
      </c>
      <c r="Q3138" s="136"/>
      <c r="R3138" s="79">
        <v>1009.08</v>
      </c>
      <c r="S3138" s="79">
        <v>2.8</v>
      </c>
      <c r="T3138" s="79">
        <v>1011.88</v>
      </c>
      <c r="U3138" s="79">
        <v>0</v>
      </c>
      <c r="V3138" s="189">
        <v>1011.88</v>
      </c>
      <c r="X3138" s="63">
        <v>1009.08</v>
      </c>
      <c r="Y3138" s="63">
        <v>2.8</v>
      </c>
      <c r="Z3138" s="63">
        <v>1011.88</v>
      </c>
      <c r="AA3138" s="255">
        <v>9.9999999999909051E-3</v>
      </c>
      <c r="AC3138" s="254"/>
    </row>
    <row r="3139" spans="1:31" s="61" customFormat="1" ht="12">
      <c r="A3139" s="63" t="s">
        <v>16601</v>
      </c>
      <c r="B3139" s="64" t="s">
        <v>16602</v>
      </c>
      <c r="C3139" s="63" t="s">
        <v>165</v>
      </c>
      <c r="D3139" s="78">
        <v>1</v>
      </c>
      <c r="E3139" s="79">
        <v>1379.01</v>
      </c>
      <c r="F3139" s="70">
        <v>1379.01</v>
      </c>
      <c r="G3139" s="320"/>
      <c r="H3139" s="79">
        <v>1376.2</v>
      </c>
      <c r="I3139" s="79">
        <v>2.81</v>
      </c>
      <c r="J3139" s="79">
        <v>1379.01</v>
      </c>
      <c r="K3139" s="79">
        <v>0</v>
      </c>
      <c r="L3139" s="70">
        <v>1379.01</v>
      </c>
      <c r="M3139" s="132"/>
      <c r="N3139" s="79">
        <v>1376.2</v>
      </c>
      <c r="O3139" s="79">
        <v>2.81</v>
      </c>
      <c r="P3139" s="79">
        <v>1379.01</v>
      </c>
      <c r="Q3139" s="136"/>
      <c r="R3139" s="79">
        <v>1376.2</v>
      </c>
      <c r="S3139" s="79">
        <v>2.8</v>
      </c>
      <c r="T3139" s="79">
        <v>1379</v>
      </c>
      <c r="U3139" s="79">
        <v>0</v>
      </c>
      <c r="V3139" s="189">
        <v>1379</v>
      </c>
      <c r="X3139" s="63">
        <v>1376.2</v>
      </c>
      <c r="Y3139" s="63">
        <v>2.8</v>
      </c>
      <c r="Z3139" s="63">
        <v>1379</v>
      </c>
      <c r="AA3139" s="255">
        <v>9.9999999999909051E-3</v>
      </c>
      <c r="AC3139" s="254"/>
      <c r="AD3139" s="236"/>
      <c r="AE3139" s="236"/>
    </row>
    <row r="3140" spans="1:31" s="61" customFormat="1" ht="12">
      <c r="A3140" s="489" t="s">
        <v>16603</v>
      </c>
      <c r="B3140" s="490" t="s">
        <v>16604</v>
      </c>
      <c r="C3140" s="491"/>
      <c r="D3140" s="492"/>
      <c r="E3140" s="79"/>
      <c r="F3140" s="63"/>
      <c r="G3140" s="320"/>
      <c r="H3140" s="79"/>
      <c r="I3140" s="79"/>
      <c r="J3140" s="79"/>
      <c r="K3140" s="79"/>
      <c r="L3140" s="70"/>
      <c r="M3140" s="132"/>
      <c r="N3140" s="79"/>
      <c r="O3140" s="79"/>
      <c r="P3140" s="79"/>
      <c r="Q3140" s="136"/>
      <c r="R3140" s="79"/>
      <c r="S3140" s="79"/>
      <c r="T3140" s="79"/>
      <c r="U3140" s="79"/>
      <c r="V3140" s="189"/>
      <c r="X3140" s="79"/>
      <c r="Y3140" s="79"/>
      <c r="Z3140" s="79"/>
      <c r="AA3140" s="255"/>
      <c r="AC3140" s="254"/>
      <c r="AD3140" s="236"/>
      <c r="AE3140" s="236"/>
    </row>
    <row r="3141" spans="1:31" ht="12">
      <c r="A3141" s="67" t="s">
        <v>16605</v>
      </c>
      <c r="B3141" s="65" t="s">
        <v>16606</v>
      </c>
      <c r="C3141" s="71" t="s">
        <v>165</v>
      </c>
      <c r="D3141" s="78">
        <v>1</v>
      </c>
      <c r="E3141" s="79">
        <v>621.81999999999994</v>
      </c>
      <c r="F3141" s="70">
        <v>621.82000000000005</v>
      </c>
      <c r="G3141" s="320"/>
      <c r="H3141" s="79">
        <v>582.54</v>
      </c>
      <c r="I3141" s="79">
        <v>39.28</v>
      </c>
      <c r="J3141" s="79">
        <v>621.81999999999994</v>
      </c>
      <c r="K3141" s="79">
        <v>0</v>
      </c>
      <c r="L3141" s="70">
        <v>621.81999999999994</v>
      </c>
      <c r="M3141" s="132"/>
      <c r="N3141" s="79">
        <v>582.54</v>
      </c>
      <c r="O3141" s="79">
        <v>39.28</v>
      </c>
      <c r="P3141" s="79">
        <v>621.81999999999994</v>
      </c>
      <c r="Q3141" s="136"/>
      <c r="R3141" s="79">
        <v>582.54</v>
      </c>
      <c r="S3141" s="79">
        <v>39.270000000000003</v>
      </c>
      <c r="T3141" s="79">
        <v>621.80999999999995</v>
      </c>
      <c r="U3141" s="79">
        <v>0</v>
      </c>
      <c r="V3141" s="189">
        <v>621.80999999999995</v>
      </c>
      <c r="X3141" s="79">
        <v>582.54</v>
      </c>
      <c r="Y3141" s="79">
        <v>39.270000000000003</v>
      </c>
      <c r="Z3141" s="79">
        <v>621.80999999999995</v>
      </c>
      <c r="AA3141" s="255">
        <v>1.0000000000104592E-2</v>
      </c>
      <c r="AC3141" s="254"/>
    </row>
    <row r="3142" spans="1:31" ht="12">
      <c r="A3142" s="67" t="s">
        <v>16607</v>
      </c>
      <c r="B3142" s="65" t="s">
        <v>16608</v>
      </c>
      <c r="C3142" s="71" t="s">
        <v>165</v>
      </c>
      <c r="D3142" s="78">
        <v>1</v>
      </c>
      <c r="E3142" s="79">
        <v>717.76999999999987</v>
      </c>
      <c r="F3142" s="70">
        <v>717.77</v>
      </c>
      <c r="G3142" s="320"/>
      <c r="H3142" s="79">
        <v>678.4899999999999</v>
      </c>
      <c r="I3142" s="79">
        <v>39.28</v>
      </c>
      <c r="J3142" s="79">
        <v>717.76999999999987</v>
      </c>
      <c r="K3142" s="79">
        <v>0</v>
      </c>
      <c r="L3142" s="70">
        <v>717.76999999999987</v>
      </c>
      <c r="M3142" s="132"/>
      <c r="N3142" s="79">
        <v>678.4899999999999</v>
      </c>
      <c r="O3142" s="79">
        <v>39.28</v>
      </c>
      <c r="P3142" s="79">
        <v>717.76999999999987</v>
      </c>
      <c r="Q3142" s="136"/>
      <c r="R3142" s="79">
        <v>678.49</v>
      </c>
      <c r="S3142" s="79">
        <v>39.270000000000003</v>
      </c>
      <c r="T3142" s="79">
        <v>717.76</v>
      </c>
      <c r="U3142" s="79">
        <v>0</v>
      </c>
      <c r="V3142" s="189">
        <v>717.76</v>
      </c>
      <c r="X3142" s="79">
        <v>678.49</v>
      </c>
      <c r="Y3142" s="79">
        <v>39.270000000000003</v>
      </c>
      <c r="Z3142" s="79">
        <v>717.76</v>
      </c>
      <c r="AA3142" s="255">
        <v>9.9999999999909051E-3</v>
      </c>
      <c r="AC3142" s="254"/>
    </row>
    <row r="3143" spans="1:31" ht="12">
      <c r="A3143" s="67" t="s">
        <v>16609</v>
      </c>
      <c r="B3143" s="65" t="s">
        <v>16610</v>
      </c>
      <c r="C3143" s="71" t="s">
        <v>165</v>
      </c>
      <c r="D3143" s="78">
        <v>1</v>
      </c>
      <c r="E3143" s="79">
        <v>902.21999999999991</v>
      </c>
      <c r="F3143" s="70">
        <v>902.22</v>
      </c>
      <c r="G3143" s="320"/>
      <c r="H3143" s="79">
        <v>862.93999999999994</v>
      </c>
      <c r="I3143" s="79">
        <v>39.28</v>
      </c>
      <c r="J3143" s="79">
        <v>902.21999999999991</v>
      </c>
      <c r="K3143" s="79">
        <v>0</v>
      </c>
      <c r="L3143" s="70">
        <v>902.21999999999991</v>
      </c>
      <c r="M3143" s="132"/>
      <c r="N3143" s="79">
        <v>862.93999999999994</v>
      </c>
      <c r="O3143" s="79">
        <v>39.28</v>
      </c>
      <c r="P3143" s="79">
        <v>902.21999999999991</v>
      </c>
      <c r="Q3143" s="136"/>
      <c r="R3143" s="79">
        <v>862.94</v>
      </c>
      <c r="S3143" s="79">
        <v>39.270000000000003</v>
      </c>
      <c r="T3143" s="79">
        <v>902.21</v>
      </c>
      <c r="U3143" s="79">
        <v>0</v>
      </c>
      <c r="V3143" s="189">
        <v>902.21</v>
      </c>
      <c r="X3143" s="79">
        <v>862.94</v>
      </c>
      <c r="Y3143" s="79">
        <v>39.270000000000003</v>
      </c>
      <c r="Z3143" s="79">
        <v>902.21</v>
      </c>
      <c r="AA3143" s="255">
        <v>9.9999999999909051E-3</v>
      </c>
      <c r="AC3143" s="254"/>
    </row>
    <row r="3144" spans="1:31" ht="12">
      <c r="A3144" s="67" t="s">
        <v>16611</v>
      </c>
      <c r="B3144" s="65" t="s">
        <v>16612</v>
      </c>
      <c r="C3144" s="71" t="s">
        <v>165</v>
      </c>
      <c r="D3144" s="78">
        <v>1</v>
      </c>
      <c r="E3144" s="79">
        <v>1322.94</v>
      </c>
      <c r="F3144" s="70">
        <v>1322.94</v>
      </c>
      <c r="G3144" s="320"/>
      <c r="H3144" s="79">
        <v>1283.6600000000001</v>
      </c>
      <c r="I3144" s="79">
        <v>39.28</v>
      </c>
      <c r="J3144" s="79">
        <v>1322.94</v>
      </c>
      <c r="K3144" s="79">
        <v>0</v>
      </c>
      <c r="L3144" s="70">
        <v>1322.94</v>
      </c>
      <c r="M3144" s="132"/>
      <c r="N3144" s="79">
        <v>1283.6600000000001</v>
      </c>
      <c r="O3144" s="79">
        <v>39.28</v>
      </c>
      <c r="P3144" s="79">
        <v>1322.94</v>
      </c>
      <c r="Q3144" s="136"/>
      <c r="R3144" s="79">
        <v>1283.6600000000001</v>
      </c>
      <c r="S3144" s="79">
        <v>39.270000000000003</v>
      </c>
      <c r="T3144" s="79">
        <v>1322.93</v>
      </c>
      <c r="U3144" s="79">
        <v>0</v>
      </c>
      <c r="V3144" s="189">
        <v>1322.93</v>
      </c>
      <c r="X3144" s="79">
        <v>1283.6600000000001</v>
      </c>
      <c r="Y3144" s="79">
        <v>39.270000000000003</v>
      </c>
      <c r="Z3144" s="79">
        <v>1322.93</v>
      </c>
      <c r="AA3144" s="255">
        <v>9.9999999999909051E-3</v>
      </c>
      <c r="AC3144" s="254"/>
    </row>
    <row r="3145" spans="1:31" ht="12">
      <c r="A3145" s="67" t="s">
        <v>16613</v>
      </c>
      <c r="B3145" s="65" t="s">
        <v>16614</v>
      </c>
      <c r="C3145" s="71" t="s">
        <v>165</v>
      </c>
      <c r="D3145" s="78">
        <v>1</v>
      </c>
      <c r="E3145" s="79">
        <v>1074.8300000000002</v>
      </c>
      <c r="F3145" s="70">
        <v>1074.83</v>
      </c>
      <c r="G3145" s="320"/>
      <c r="H3145" s="79">
        <v>1035.55</v>
      </c>
      <c r="I3145" s="79">
        <v>39.28</v>
      </c>
      <c r="J3145" s="79">
        <v>1074.83</v>
      </c>
      <c r="K3145" s="79">
        <v>0</v>
      </c>
      <c r="L3145" s="70">
        <v>1074.83</v>
      </c>
      <c r="M3145" s="132"/>
      <c r="N3145" s="79">
        <v>1035.55</v>
      </c>
      <c r="O3145" s="79">
        <v>39.28</v>
      </c>
      <c r="P3145" s="79">
        <v>1074.83</v>
      </c>
      <c r="Q3145" s="136"/>
      <c r="R3145" s="79">
        <v>1035.55</v>
      </c>
      <c r="S3145" s="79">
        <v>39.270000000000003</v>
      </c>
      <c r="T3145" s="79">
        <v>1074.82</v>
      </c>
      <c r="U3145" s="79">
        <v>0</v>
      </c>
      <c r="V3145" s="189">
        <v>1074.82</v>
      </c>
      <c r="X3145" s="79">
        <v>1035.55</v>
      </c>
      <c r="Y3145" s="79">
        <v>39.270000000000003</v>
      </c>
      <c r="Z3145" s="79">
        <v>1074.82</v>
      </c>
      <c r="AA3145" s="255">
        <v>9.9999999999909051E-3</v>
      </c>
      <c r="AC3145" s="254"/>
    </row>
    <row r="3146" spans="1:31" ht="12">
      <c r="A3146" s="67" t="s">
        <v>16615</v>
      </c>
      <c r="B3146" s="65" t="s">
        <v>16616</v>
      </c>
      <c r="C3146" s="71" t="s">
        <v>165</v>
      </c>
      <c r="D3146" s="78">
        <v>1</v>
      </c>
      <c r="E3146" s="79">
        <v>563.63</v>
      </c>
      <c r="F3146" s="70">
        <v>563.63</v>
      </c>
      <c r="G3146" s="320"/>
      <c r="H3146" s="79">
        <v>524.35</v>
      </c>
      <c r="I3146" s="79">
        <v>39.28</v>
      </c>
      <c r="J3146" s="79">
        <v>563.63</v>
      </c>
      <c r="K3146" s="79">
        <v>0</v>
      </c>
      <c r="L3146" s="70">
        <v>563.63</v>
      </c>
      <c r="M3146" s="132"/>
      <c r="N3146" s="79">
        <v>524.35</v>
      </c>
      <c r="O3146" s="79">
        <v>39.28</v>
      </c>
      <c r="P3146" s="79">
        <v>563.63</v>
      </c>
      <c r="Q3146" s="136"/>
      <c r="R3146" s="79">
        <v>524.35</v>
      </c>
      <c r="S3146" s="79">
        <v>39.270000000000003</v>
      </c>
      <c r="T3146" s="79">
        <v>563.62</v>
      </c>
      <c r="U3146" s="79">
        <v>0</v>
      </c>
      <c r="V3146" s="189">
        <v>563.62</v>
      </c>
      <c r="X3146" s="79">
        <v>524.35</v>
      </c>
      <c r="Y3146" s="79">
        <v>39.270000000000003</v>
      </c>
      <c r="Z3146" s="79">
        <v>563.62</v>
      </c>
      <c r="AA3146" s="255">
        <v>9.9999999999909051E-3</v>
      </c>
      <c r="AC3146" s="254"/>
    </row>
    <row r="3147" spans="1:31" ht="12">
      <c r="A3147" s="67" t="s">
        <v>16617</v>
      </c>
      <c r="B3147" s="65" t="s">
        <v>16618</v>
      </c>
      <c r="C3147" s="71" t="s">
        <v>165</v>
      </c>
      <c r="D3147" s="78">
        <v>1</v>
      </c>
      <c r="E3147" s="79">
        <v>576.80999999999995</v>
      </c>
      <c r="F3147" s="70">
        <v>576.80999999999995</v>
      </c>
      <c r="G3147" s="320"/>
      <c r="H3147" s="79">
        <v>537.53</v>
      </c>
      <c r="I3147" s="79">
        <v>39.28</v>
      </c>
      <c r="J3147" s="79">
        <v>576.80999999999995</v>
      </c>
      <c r="K3147" s="79">
        <v>0</v>
      </c>
      <c r="L3147" s="70">
        <v>576.80999999999995</v>
      </c>
      <c r="M3147" s="132"/>
      <c r="N3147" s="79">
        <v>537.53</v>
      </c>
      <c r="O3147" s="79">
        <v>39.28</v>
      </c>
      <c r="P3147" s="79">
        <v>576.80999999999995</v>
      </c>
      <c r="Q3147" s="136"/>
      <c r="R3147" s="79">
        <v>537.53</v>
      </c>
      <c r="S3147" s="79">
        <v>39.270000000000003</v>
      </c>
      <c r="T3147" s="79">
        <v>576.79999999999995</v>
      </c>
      <c r="U3147" s="79">
        <v>0</v>
      </c>
      <c r="V3147" s="189">
        <v>576.79999999999995</v>
      </c>
      <c r="X3147" s="79">
        <v>537.53</v>
      </c>
      <c r="Y3147" s="79">
        <v>39.270000000000003</v>
      </c>
      <c r="Z3147" s="79">
        <v>576.79999999999995</v>
      </c>
      <c r="AA3147" s="255">
        <v>9.9999999999909051E-3</v>
      </c>
      <c r="AC3147" s="254"/>
    </row>
    <row r="3148" spans="1:31" ht="12">
      <c r="A3148" s="67" t="s">
        <v>16619</v>
      </c>
      <c r="B3148" s="65" t="s">
        <v>16620</v>
      </c>
      <c r="C3148" s="71" t="s">
        <v>165</v>
      </c>
      <c r="D3148" s="78">
        <v>1</v>
      </c>
      <c r="E3148" s="79">
        <v>670.34999999999991</v>
      </c>
      <c r="F3148" s="70">
        <v>670.35</v>
      </c>
      <c r="G3148" s="320"/>
      <c r="H3148" s="79">
        <v>631.06999999999994</v>
      </c>
      <c r="I3148" s="79">
        <v>39.28</v>
      </c>
      <c r="J3148" s="79">
        <v>670.34999999999991</v>
      </c>
      <c r="K3148" s="79">
        <v>0</v>
      </c>
      <c r="L3148" s="70">
        <v>670.34999999999991</v>
      </c>
      <c r="M3148" s="132"/>
      <c r="N3148" s="79">
        <v>631.06999999999994</v>
      </c>
      <c r="O3148" s="79">
        <v>39.28</v>
      </c>
      <c r="P3148" s="79">
        <v>670.34999999999991</v>
      </c>
      <c r="Q3148" s="136"/>
      <c r="R3148" s="79">
        <v>631.07000000000005</v>
      </c>
      <c r="S3148" s="79">
        <v>39.270000000000003</v>
      </c>
      <c r="T3148" s="79">
        <v>670.34</v>
      </c>
      <c r="U3148" s="79">
        <v>0</v>
      </c>
      <c r="V3148" s="189">
        <v>670.34</v>
      </c>
      <c r="X3148" s="79">
        <v>631.07000000000005</v>
      </c>
      <c r="Y3148" s="79">
        <v>39.270000000000003</v>
      </c>
      <c r="Z3148" s="79">
        <v>670.34</v>
      </c>
      <c r="AA3148" s="255">
        <v>9.9999999999909051E-3</v>
      </c>
      <c r="AC3148" s="254"/>
    </row>
    <row r="3149" spans="1:31" ht="12">
      <c r="A3149" s="67" t="s">
        <v>16621</v>
      </c>
      <c r="B3149" s="65" t="s">
        <v>16622</v>
      </c>
      <c r="C3149" s="71" t="s">
        <v>165</v>
      </c>
      <c r="D3149" s="78">
        <v>1</v>
      </c>
      <c r="E3149" s="79">
        <v>803.17</v>
      </c>
      <c r="F3149" s="70">
        <v>803.17</v>
      </c>
      <c r="G3149" s="320"/>
      <c r="H3149" s="79">
        <v>763.89</v>
      </c>
      <c r="I3149" s="79">
        <v>39.28</v>
      </c>
      <c r="J3149" s="79">
        <v>803.17</v>
      </c>
      <c r="K3149" s="79">
        <v>0</v>
      </c>
      <c r="L3149" s="70">
        <v>803.17</v>
      </c>
      <c r="M3149" s="132"/>
      <c r="N3149" s="79">
        <v>763.89</v>
      </c>
      <c r="O3149" s="79">
        <v>39.28</v>
      </c>
      <c r="P3149" s="79">
        <v>803.17</v>
      </c>
      <c r="Q3149" s="136"/>
      <c r="R3149" s="79">
        <v>763.89</v>
      </c>
      <c r="S3149" s="79">
        <v>39.270000000000003</v>
      </c>
      <c r="T3149" s="79">
        <v>803.16</v>
      </c>
      <c r="U3149" s="79">
        <v>0</v>
      </c>
      <c r="V3149" s="189">
        <v>803.16</v>
      </c>
      <c r="X3149" s="79">
        <v>763.89</v>
      </c>
      <c r="Y3149" s="79">
        <v>39.270000000000003</v>
      </c>
      <c r="Z3149" s="79">
        <v>803.16</v>
      </c>
      <c r="AA3149" s="255">
        <v>9.9999999999909051E-3</v>
      </c>
      <c r="AC3149" s="254"/>
    </row>
    <row r="3150" spans="1:31" ht="12">
      <c r="A3150" s="67" t="s">
        <v>16623</v>
      </c>
      <c r="B3150" s="65" t="s">
        <v>16624</v>
      </c>
      <c r="C3150" s="71" t="s">
        <v>165</v>
      </c>
      <c r="D3150" s="78">
        <v>1</v>
      </c>
      <c r="E3150" s="79">
        <v>995.62999999999988</v>
      </c>
      <c r="F3150" s="70">
        <v>995.63</v>
      </c>
      <c r="G3150" s="320"/>
      <c r="H3150" s="79">
        <v>956.34999999999991</v>
      </c>
      <c r="I3150" s="79">
        <v>39.28</v>
      </c>
      <c r="J3150" s="79">
        <v>995.62999999999988</v>
      </c>
      <c r="K3150" s="79">
        <v>0</v>
      </c>
      <c r="L3150" s="70">
        <v>995.62999999999988</v>
      </c>
      <c r="M3150" s="132"/>
      <c r="N3150" s="79">
        <v>956.34999999999991</v>
      </c>
      <c r="O3150" s="79">
        <v>39.28</v>
      </c>
      <c r="P3150" s="79">
        <v>995.62999999999988</v>
      </c>
      <c r="Q3150" s="136"/>
      <c r="R3150" s="79">
        <v>956.35</v>
      </c>
      <c r="S3150" s="79">
        <v>39.270000000000003</v>
      </c>
      <c r="T3150" s="79">
        <v>995.62</v>
      </c>
      <c r="U3150" s="79">
        <v>0</v>
      </c>
      <c r="V3150" s="189">
        <v>995.62</v>
      </c>
      <c r="X3150" s="79">
        <v>956.35</v>
      </c>
      <c r="Y3150" s="79">
        <v>39.270000000000003</v>
      </c>
      <c r="Z3150" s="79">
        <v>995.62</v>
      </c>
      <c r="AA3150" s="255">
        <v>9.9999999999909051E-3</v>
      </c>
      <c r="AC3150" s="254"/>
    </row>
    <row r="3151" spans="1:31" ht="12">
      <c r="A3151" s="67" t="s">
        <v>16625</v>
      </c>
      <c r="B3151" s="65" t="s">
        <v>16626</v>
      </c>
      <c r="C3151" s="71" t="s">
        <v>165</v>
      </c>
      <c r="D3151" s="78">
        <v>1</v>
      </c>
      <c r="E3151" s="79">
        <v>1184.33</v>
      </c>
      <c r="F3151" s="70">
        <v>1184.33</v>
      </c>
      <c r="G3151" s="320"/>
      <c r="H3151" s="79">
        <v>1145.05</v>
      </c>
      <c r="I3151" s="79">
        <v>39.28</v>
      </c>
      <c r="J3151" s="79">
        <v>1184.33</v>
      </c>
      <c r="K3151" s="79">
        <v>0</v>
      </c>
      <c r="L3151" s="70">
        <v>1184.33</v>
      </c>
      <c r="M3151" s="132"/>
      <c r="N3151" s="79">
        <v>1145.05</v>
      </c>
      <c r="O3151" s="79">
        <v>39.28</v>
      </c>
      <c r="P3151" s="79">
        <v>1184.33</v>
      </c>
      <c r="Q3151" s="136"/>
      <c r="R3151" s="79">
        <v>1145.05</v>
      </c>
      <c r="S3151" s="79">
        <v>39.270000000000003</v>
      </c>
      <c r="T3151" s="79">
        <v>1184.32</v>
      </c>
      <c r="U3151" s="79">
        <v>0</v>
      </c>
      <c r="V3151" s="189">
        <v>1184.32</v>
      </c>
      <c r="X3151" s="79">
        <v>1145.05</v>
      </c>
      <c r="Y3151" s="79">
        <v>39.270000000000003</v>
      </c>
      <c r="Z3151" s="79">
        <v>1184.32</v>
      </c>
      <c r="AA3151" s="255">
        <v>9.9999999999909051E-3</v>
      </c>
      <c r="AC3151" s="254"/>
    </row>
    <row r="3152" spans="1:31" ht="12">
      <c r="A3152" s="67" t="s">
        <v>16627</v>
      </c>
      <c r="B3152" s="65" t="s">
        <v>16628</v>
      </c>
      <c r="C3152" s="71" t="s">
        <v>165</v>
      </c>
      <c r="D3152" s="78">
        <v>1</v>
      </c>
      <c r="E3152" s="79">
        <v>1520.78</v>
      </c>
      <c r="F3152" s="70">
        <v>1520.78</v>
      </c>
      <c r="G3152" s="320"/>
      <c r="H3152" s="79">
        <v>1481.5</v>
      </c>
      <c r="I3152" s="79">
        <v>39.28</v>
      </c>
      <c r="J3152" s="79">
        <v>1520.78</v>
      </c>
      <c r="K3152" s="79">
        <v>0</v>
      </c>
      <c r="L3152" s="70">
        <v>1520.78</v>
      </c>
      <c r="M3152" s="132"/>
      <c r="N3152" s="79">
        <v>1481.5</v>
      </c>
      <c r="O3152" s="79">
        <v>39.28</v>
      </c>
      <c r="P3152" s="79">
        <v>1520.78</v>
      </c>
      <c r="Q3152" s="136"/>
      <c r="R3152" s="79">
        <v>1481.5</v>
      </c>
      <c r="S3152" s="79">
        <v>39.270000000000003</v>
      </c>
      <c r="T3152" s="79">
        <v>1520.77</v>
      </c>
      <c r="U3152" s="79">
        <v>0</v>
      </c>
      <c r="V3152" s="189">
        <v>1520.77</v>
      </c>
      <c r="X3152" s="79">
        <v>1481.5</v>
      </c>
      <c r="Y3152" s="79">
        <v>39.270000000000003</v>
      </c>
      <c r="Z3152" s="79">
        <v>1520.77</v>
      </c>
      <c r="AA3152" s="255">
        <v>9.9999999999909051E-3</v>
      </c>
      <c r="AC3152" s="254"/>
    </row>
    <row r="3153" spans="1:31" ht="12">
      <c r="A3153" s="489" t="s">
        <v>16629</v>
      </c>
      <c r="B3153" s="490" t="s">
        <v>16630</v>
      </c>
      <c r="C3153" s="71"/>
      <c r="D3153" s="78"/>
      <c r="E3153" s="79"/>
      <c r="F3153" s="70"/>
      <c r="G3153" s="320"/>
      <c r="H3153" s="79"/>
      <c r="I3153" s="79"/>
      <c r="J3153" s="79"/>
      <c r="K3153" s="79"/>
      <c r="L3153" s="70"/>
      <c r="M3153" s="132"/>
      <c r="N3153" s="79"/>
      <c r="O3153" s="79"/>
      <c r="P3153" s="79"/>
      <c r="Q3153" s="136"/>
      <c r="R3153" s="79"/>
      <c r="S3153" s="79"/>
      <c r="T3153" s="79"/>
      <c r="U3153" s="79"/>
      <c r="V3153" s="189"/>
      <c r="X3153" s="79"/>
      <c r="Y3153" s="79"/>
      <c r="Z3153" s="79"/>
      <c r="AA3153" s="255"/>
      <c r="AC3153" s="254"/>
    </row>
    <row r="3154" spans="1:31" ht="12">
      <c r="A3154" s="67" t="s">
        <v>16631</v>
      </c>
      <c r="B3154" s="65" t="s">
        <v>16632</v>
      </c>
      <c r="C3154" s="71" t="s">
        <v>165</v>
      </c>
      <c r="D3154" s="78">
        <v>1</v>
      </c>
      <c r="E3154" s="79">
        <v>156.91999999999999</v>
      </c>
      <c r="F3154" s="70">
        <v>156.91999999999999</v>
      </c>
      <c r="G3154" s="320"/>
      <c r="H3154" s="79">
        <v>133.37</v>
      </c>
      <c r="I3154" s="79">
        <v>23.55</v>
      </c>
      <c r="J3154" s="79">
        <v>156.92000000000002</v>
      </c>
      <c r="K3154" s="79">
        <v>0</v>
      </c>
      <c r="L3154" s="70">
        <v>156.92000000000002</v>
      </c>
      <c r="M3154" s="132"/>
      <c r="N3154" s="79">
        <v>133.37</v>
      </c>
      <c r="O3154" s="79">
        <v>23.55</v>
      </c>
      <c r="P3154" s="79">
        <v>156.92000000000002</v>
      </c>
      <c r="Q3154" s="136"/>
      <c r="R3154" s="79">
        <v>133.37</v>
      </c>
      <c r="S3154" s="79">
        <v>23.57</v>
      </c>
      <c r="T3154" s="79">
        <v>156.94</v>
      </c>
      <c r="U3154" s="79">
        <v>0</v>
      </c>
      <c r="V3154" s="189">
        <v>156.94</v>
      </c>
      <c r="X3154" s="79">
        <v>133.37</v>
      </c>
      <c r="Y3154" s="79">
        <v>23.57</v>
      </c>
      <c r="Z3154" s="79">
        <v>156.94</v>
      </c>
      <c r="AA3154" s="255">
        <v>-2.0000000000010232E-2</v>
      </c>
      <c r="AC3154" s="254"/>
    </row>
    <row r="3155" spans="1:31" ht="12">
      <c r="A3155" s="67" t="s">
        <v>16633</v>
      </c>
      <c r="B3155" s="65" t="s">
        <v>16634</v>
      </c>
      <c r="C3155" s="71" t="s">
        <v>165</v>
      </c>
      <c r="D3155" s="78">
        <v>1</v>
      </c>
      <c r="E3155" s="79">
        <v>216.5</v>
      </c>
      <c r="F3155" s="70">
        <v>216.5</v>
      </c>
      <c r="G3155" s="320"/>
      <c r="H3155" s="79">
        <v>185.1</v>
      </c>
      <c r="I3155" s="79">
        <v>31.4</v>
      </c>
      <c r="J3155" s="79">
        <v>216.5</v>
      </c>
      <c r="K3155" s="79">
        <v>0</v>
      </c>
      <c r="L3155" s="70">
        <v>216.5</v>
      </c>
      <c r="M3155" s="132"/>
      <c r="N3155" s="79">
        <v>185.1</v>
      </c>
      <c r="O3155" s="79">
        <v>31.4</v>
      </c>
      <c r="P3155" s="79">
        <v>216.5</v>
      </c>
      <c r="Q3155" s="136"/>
      <c r="R3155" s="79">
        <v>185.1</v>
      </c>
      <c r="S3155" s="79">
        <v>31.42</v>
      </c>
      <c r="T3155" s="79">
        <v>216.51999999999998</v>
      </c>
      <c r="U3155" s="79">
        <v>0</v>
      </c>
      <c r="V3155" s="189">
        <v>216.51999999999998</v>
      </c>
      <c r="X3155" s="79">
        <v>185.1</v>
      </c>
      <c r="Y3155" s="79">
        <v>31.42</v>
      </c>
      <c r="Z3155" s="79">
        <v>216.52</v>
      </c>
      <c r="AA3155" s="255">
        <v>-2.0000000000010232E-2</v>
      </c>
      <c r="AC3155" s="254"/>
    </row>
    <row r="3156" spans="1:31" ht="12">
      <c r="A3156" s="67" t="s">
        <v>16635</v>
      </c>
      <c r="B3156" s="65" t="s">
        <v>16636</v>
      </c>
      <c r="C3156" s="71" t="s">
        <v>165</v>
      </c>
      <c r="D3156" s="78">
        <v>1</v>
      </c>
      <c r="E3156" s="79">
        <v>253.49</v>
      </c>
      <c r="F3156" s="70">
        <v>253.49</v>
      </c>
      <c r="G3156" s="320"/>
      <c r="H3156" s="79">
        <v>222.09</v>
      </c>
      <c r="I3156" s="79">
        <v>31.4</v>
      </c>
      <c r="J3156" s="79">
        <v>253.49</v>
      </c>
      <c r="K3156" s="79">
        <v>0</v>
      </c>
      <c r="L3156" s="70">
        <v>253.49</v>
      </c>
      <c r="M3156" s="132"/>
      <c r="N3156" s="79">
        <v>222.09</v>
      </c>
      <c r="O3156" s="79">
        <v>31.4</v>
      </c>
      <c r="P3156" s="79">
        <v>253.49</v>
      </c>
      <c r="Q3156" s="136"/>
      <c r="R3156" s="79">
        <v>222.09</v>
      </c>
      <c r="S3156" s="79">
        <v>31.42</v>
      </c>
      <c r="T3156" s="79">
        <v>253.51</v>
      </c>
      <c r="U3156" s="79">
        <v>0</v>
      </c>
      <c r="V3156" s="189">
        <v>253.51</v>
      </c>
      <c r="X3156" s="79">
        <v>222.09</v>
      </c>
      <c r="Y3156" s="79">
        <v>31.42</v>
      </c>
      <c r="Z3156" s="79">
        <v>253.51</v>
      </c>
      <c r="AA3156" s="255">
        <v>-1.999999999998181E-2</v>
      </c>
      <c r="AC3156" s="254"/>
    </row>
    <row r="3157" spans="1:31" ht="12">
      <c r="A3157" s="489" t="s">
        <v>16637</v>
      </c>
      <c r="B3157" s="490" t="s">
        <v>16638</v>
      </c>
      <c r="C3157" s="491"/>
      <c r="D3157" s="492"/>
      <c r="E3157" s="79"/>
      <c r="F3157" s="63"/>
      <c r="G3157" s="320"/>
      <c r="H3157" s="79"/>
      <c r="I3157" s="79"/>
      <c r="J3157" s="79"/>
      <c r="K3157" s="79"/>
      <c r="L3157" s="70"/>
      <c r="M3157" s="132"/>
      <c r="N3157" s="79"/>
      <c r="O3157" s="79"/>
      <c r="P3157" s="79"/>
      <c r="Q3157" s="136"/>
      <c r="R3157" s="79"/>
      <c r="S3157" s="79"/>
      <c r="T3157" s="79"/>
      <c r="U3157" s="79"/>
      <c r="V3157" s="189"/>
      <c r="X3157" s="79"/>
      <c r="Y3157" s="79"/>
      <c r="Z3157" s="79"/>
      <c r="AA3157" s="255"/>
      <c r="AC3157" s="254"/>
    </row>
    <row r="3158" spans="1:31" ht="12">
      <c r="A3158" s="67" t="s">
        <v>16639</v>
      </c>
      <c r="B3158" s="65" t="s">
        <v>16640</v>
      </c>
      <c r="C3158" s="71" t="s">
        <v>165</v>
      </c>
      <c r="D3158" s="78">
        <v>1</v>
      </c>
      <c r="E3158" s="79">
        <v>815.03</v>
      </c>
      <c r="F3158" s="70">
        <v>815.03</v>
      </c>
      <c r="G3158" s="320"/>
      <c r="H3158" s="79">
        <v>770.16</v>
      </c>
      <c r="I3158" s="79">
        <v>44.870000000000005</v>
      </c>
      <c r="J3158" s="79">
        <v>815.03</v>
      </c>
      <c r="K3158" s="79">
        <v>0</v>
      </c>
      <c r="L3158" s="70">
        <v>815.03</v>
      </c>
      <c r="M3158" s="132"/>
      <c r="N3158" s="79">
        <v>770.16</v>
      </c>
      <c r="O3158" s="79">
        <v>44.870000000000005</v>
      </c>
      <c r="P3158" s="79">
        <v>815.03</v>
      </c>
      <c r="Q3158" s="136"/>
      <c r="R3158" s="79">
        <v>770.16</v>
      </c>
      <c r="S3158" s="79">
        <v>44.85</v>
      </c>
      <c r="T3158" s="79">
        <v>815.01</v>
      </c>
      <c r="U3158" s="79">
        <v>0</v>
      </c>
      <c r="V3158" s="189">
        <v>815.01</v>
      </c>
      <c r="X3158" s="79">
        <v>770.16</v>
      </c>
      <c r="Y3158" s="79">
        <v>44.85</v>
      </c>
      <c r="Z3158" s="79">
        <v>815.01</v>
      </c>
      <c r="AA3158" s="255">
        <v>1.999999999998181E-2</v>
      </c>
      <c r="AC3158" s="254"/>
    </row>
    <row r="3159" spans="1:31" ht="12">
      <c r="A3159" s="67" t="s">
        <v>16641</v>
      </c>
      <c r="B3159" s="65" t="s">
        <v>16642</v>
      </c>
      <c r="C3159" s="71" t="s">
        <v>165</v>
      </c>
      <c r="D3159" s="78">
        <v>1</v>
      </c>
      <c r="E3159" s="79">
        <v>865.28</v>
      </c>
      <c r="F3159" s="70">
        <v>865.28</v>
      </c>
      <c r="G3159" s="320"/>
      <c r="H3159" s="79">
        <v>820.41</v>
      </c>
      <c r="I3159" s="79">
        <v>44.870000000000005</v>
      </c>
      <c r="J3159" s="79">
        <v>865.28</v>
      </c>
      <c r="K3159" s="79">
        <v>0</v>
      </c>
      <c r="L3159" s="70">
        <v>865.28</v>
      </c>
      <c r="M3159" s="132"/>
      <c r="N3159" s="79">
        <v>820.41</v>
      </c>
      <c r="O3159" s="79">
        <v>44.870000000000005</v>
      </c>
      <c r="P3159" s="79">
        <v>865.28</v>
      </c>
      <c r="Q3159" s="136"/>
      <c r="R3159" s="79">
        <v>820.41</v>
      </c>
      <c r="S3159" s="79">
        <v>44.85</v>
      </c>
      <c r="T3159" s="79">
        <v>865.26</v>
      </c>
      <c r="U3159" s="79">
        <v>0</v>
      </c>
      <c r="V3159" s="189">
        <v>865.26</v>
      </c>
      <c r="X3159" s="79">
        <v>820.41</v>
      </c>
      <c r="Y3159" s="79">
        <v>44.85</v>
      </c>
      <c r="Z3159" s="79">
        <v>865.26</v>
      </c>
      <c r="AA3159" s="255">
        <v>1.999999999998181E-2</v>
      </c>
      <c r="AC3159" s="254"/>
      <c r="AD3159" s="69"/>
      <c r="AE3159" s="69"/>
    </row>
    <row r="3160" spans="1:31" ht="12">
      <c r="A3160" s="67" t="s">
        <v>16643</v>
      </c>
      <c r="B3160" s="65" t="s">
        <v>16644</v>
      </c>
      <c r="C3160" s="71" t="s">
        <v>165</v>
      </c>
      <c r="D3160" s="78">
        <v>1</v>
      </c>
      <c r="E3160" s="79">
        <v>836.82999999999993</v>
      </c>
      <c r="F3160" s="70">
        <v>836.83</v>
      </c>
      <c r="G3160" s="320"/>
      <c r="H3160" s="79">
        <v>791.95999999999992</v>
      </c>
      <c r="I3160" s="79">
        <v>44.870000000000005</v>
      </c>
      <c r="J3160" s="79">
        <v>836.82999999999993</v>
      </c>
      <c r="K3160" s="79">
        <v>0</v>
      </c>
      <c r="L3160" s="70">
        <v>836.82999999999993</v>
      </c>
      <c r="M3160" s="132"/>
      <c r="N3160" s="79">
        <v>791.95999999999992</v>
      </c>
      <c r="O3160" s="79">
        <v>44.870000000000005</v>
      </c>
      <c r="P3160" s="79">
        <v>836.82999999999993</v>
      </c>
      <c r="Q3160" s="136"/>
      <c r="R3160" s="79">
        <v>791.96</v>
      </c>
      <c r="S3160" s="79">
        <v>44.85</v>
      </c>
      <c r="T3160" s="79">
        <v>836.81000000000006</v>
      </c>
      <c r="U3160" s="79">
        <v>0</v>
      </c>
      <c r="V3160" s="189">
        <v>836.81000000000006</v>
      </c>
      <c r="X3160" s="79">
        <v>791.96</v>
      </c>
      <c r="Y3160" s="79">
        <v>44.85</v>
      </c>
      <c r="Z3160" s="79">
        <v>836.81</v>
      </c>
      <c r="AA3160" s="255">
        <v>2.0000000000095497E-2</v>
      </c>
      <c r="AC3160" s="254"/>
    </row>
    <row r="3161" spans="1:31" s="69" customFormat="1" ht="12">
      <c r="A3161" s="67" t="s">
        <v>16645</v>
      </c>
      <c r="B3161" s="65" t="s">
        <v>16646</v>
      </c>
      <c r="C3161" s="71" t="s">
        <v>165</v>
      </c>
      <c r="D3161" s="78">
        <v>1</v>
      </c>
      <c r="E3161" s="79">
        <v>987.64</v>
      </c>
      <c r="F3161" s="70">
        <v>987.64</v>
      </c>
      <c r="G3161" s="320"/>
      <c r="H3161" s="79">
        <v>942.77</v>
      </c>
      <c r="I3161" s="79">
        <v>44.870000000000005</v>
      </c>
      <c r="J3161" s="79">
        <v>987.64</v>
      </c>
      <c r="K3161" s="79">
        <v>0</v>
      </c>
      <c r="L3161" s="70">
        <v>987.64</v>
      </c>
      <c r="M3161" s="132"/>
      <c r="N3161" s="79">
        <v>942.77</v>
      </c>
      <c r="O3161" s="79">
        <v>44.870000000000005</v>
      </c>
      <c r="P3161" s="79">
        <v>987.64</v>
      </c>
      <c r="Q3161" s="136"/>
      <c r="R3161" s="79">
        <v>942.77</v>
      </c>
      <c r="S3161" s="79">
        <v>44.85</v>
      </c>
      <c r="T3161" s="79">
        <v>987.62</v>
      </c>
      <c r="U3161" s="79">
        <v>0</v>
      </c>
      <c r="V3161" s="189">
        <v>987.62</v>
      </c>
      <c r="W3161" s="61"/>
      <c r="X3161" s="79">
        <v>942.77</v>
      </c>
      <c r="Y3161" s="79">
        <v>44.85</v>
      </c>
      <c r="Z3161" s="79">
        <v>987.62</v>
      </c>
      <c r="AA3161" s="255">
        <v>1.999999999998181E-2</v>
      </c>
      <c r="AB3161" s="61"/>
      <c r="AC3161" s="254"/>
      <c r="AD3161" s="236"/>
      <c r="AE3161" s="236"/>
    </row>
    <row r="3162" spans="1:31" ht="12">
      <c r="A3162" s="67" t="s">
        <v>16647</v>
      </c>
      <c r="B3162" s="65" t="s">
        <v>16648</v>
      </c>
      <c r="C3162" s="71" t="s">
        <v>165</v>
      </c>
      <c r="D3162" s="78">
        <v>1</v>
      </c>
      <c r="E3162" s="79">
        <v>1346.5800000000002</v>
      </c>
      <c r="F3162" s="70">
        <v>1346.58</v>
      </c>
      <c r="G3162" s="320"/>
      <c r="H3162" s="79">
        <v>1298.3800000000001</v>
      </c>
      <c r="I3162" s="79">
        <v>48.199999999999996</v>
      </c>
      <c r="J3162" s="79">
        <v>1346.5800000000002</v>
      </c>
      <c r="K3162" s="79">
        <v>0</v>
      </c>
      <c r="L3162" s="70">
        <v>1346.5800000000002</v>
      </c>
      <c r="M3162" s="132"/>
      <c r="N3162" s="79">
        <v>1298.3800000000001</v>
      </c>
      <c r="O3162" s="79">
        <v>48.199999999999996</v>
      </c>
      <c r="P3162" s="79">
        <v>1346.5800000000002</v>
      </c>
      <c r="Q3162" s="136"/>
      <c r="R3162" s="79">
        <v>1298.3800000000001</v>
      </c>
      <c r="S3162" s="79">
        <v>48.2</v>
      </c>
      <c r="T3162" s="79">
        <v>1346.5800000000002</v>
      </c>
      <c r="U3162" s="79">
        <v>0</v>
      </c>
      <c r="V3162" s="189">
        <v>1346.5800000000002</v>
      </c>
      <c r="X3162" s="79">
        <v>1298.3800000000001</v>
      </c>
      <c r="Y3162" s="79">
        <v>48.2</v>
      </c>
      <c r="Z3162" s="79">
        <v>1346.58</v>
      </c>
      <c r="AA3162" s="255">
        <v>0</v>
      </c>
      <c r="AC3162" s="254"/>
      <c r="AD3162" s="61"/>
      <c r="AE3162" s="61"/>
    </row>
    <row r="3163" spans="1:31" ht="12">
      <c r="A3163" s="67" t="s">
        <v>16649</v>
      </c>
      <c r="B3163" s="65" t="s">
        <v>16650</v>
      </c>
      <c r="C3163" s="71" t="s">
        <v>165</v>
      </c>
      <c r="D3163" s="78">
        <v>1</v>
      </c>
      <c r="E3163" s="79">
        <v>1499.3000000000002</v>
      </c>
      <c r="F3163" s="70">
        <v>1499.3</v>
      </c>
      <c r="G3163" s="320"/>
      <c r="H3163" s="79">
        <v>1451.1000000000001</v>
      </c>
      <c r="I3163" s="79">
        <v>48.199999999999996</v>
      </c>
      <c r="J3163" s="79">
        <v>1499.3000000000002</v>
      </c>
      <c r="K3163" s="79">
        <v>0</v>
      </c>
      <c r="L3163" s="70">
        <v>1499.3000000000002</v>
      </c>
      <c r="M3163" s="132"/>
      <c r="N3163" s="79">
        <v>1451.1000000000001</v>
      </c>
      <c r="O3163" s="79">
        <v>48.199999999999996</v>
      </c>
      <c r="P3163" s="79">
        <v>1499.3000000000002</v>
      </c>
      <c r="Q3163" s="136"/>
      <c r="R3163" s="79">
        <v>1451.1</v>
      </c>
      <c r="S3163" s="79">
        <v>48.2</v>
      </c>
      <c r="T3163" s="79">
        <v>1499.3</v>
      </c>
      <c r="U3163" s="79">
        <v>0</v>
      </c>
      <c r="V3163" s="189">
        <v>1499.3</v>
      </c>
      <c r="X3163" s="79">
        <v>1451.1</v>
      </c>
      <c r="Y3163" s="79">
        <v>48.2</v>
      </c>
      <c r="Z3163" s="79">
        <v>1499.3</v>
      </c>
      <c r="AA3163" s="255">
        <v>0</v>
      </c>
      <c r="AC3163" s="254"/>
      <c r="AD3163" s="61"/>
      <c r="AE3163" s="61"/>
    </row>
    <row r="3164" spans="1:31" s="61" customFormat="1" ht="12">
      <c r="A3164" s="67" t="s">
        <v>16651</v>
      </c>
      <c r="B3164" s="65" t="s">
        <v>16652</v>
      </c>
      <c r="C3164" s="71" t="s">
        <v>103</v>
      </c>
      <c r="D3164" s="78">
        <v>1</v>
      </c>
      <c r="E3164" s="79">
        <v>172.67999999999998</v>
      </c>
      <c r="F3164" s="70">
        <v>172.68</v>
      </c>
      <c r="G3164" s="320"/>
      <c r="H3164" s="79">
        <v>148.12</v>
      </c>
      <c r="I3164" s="79">
        <v>24.560000000000002</v>
      </c>
      <c r="J3164" s="79">
        <v>172.68</v>
      </c>
      <c r="K3164" s="79">
        <v>0</v>
      </c>
      <c r="L3164" s="70">
        <v>172.68</v>
      </c>
      <c r="M3164" s="132"/>
      <c r="N3164" s="79">
        <v>148.12</v>
      </c>
      <c r="O3164" s="79">
        <v>24.560000000000002</v>
      </c>
      <c r="P3164" s="79">
        <v>172.68</v>
      </c>
      <c r="Q3164" s="136"/>
      <c r="R3164" s="79">
        <v>148.12</v>
      </c>
      <c r="S3164" s="79">
        <v>24.56</v>
      </c>
      <c r="T3164" s="79">
        <v>172.68</v>
      </c>
      <c r="U3164" s="79">
        <v>0</v>
      </c>
      <c r="V3164" s="189">
        <v>172.68</v>
      </c>
      <c r="X3164" s="79">
        <v>148.12</v>
      </c>
      <c r="Y3164" s="79">
        <v>24.56</v>
      </c>
      <c r="Z3164" s="79">
        <v>172.68</v>
      </c>
      <c r="AA3164" s="255">
        <v>0</v>
      </c>
      <c r="AC3164" s="254"/>
      <c r="AD3164" s="236"/>
      <c r="AE3164" s="236"/>
    </row>
    <row r="3165" spans="1:31" s="61" customFormat="1" ht="12">
      <c r="A3165" s="67" t="s">
        <v>16653</v>
      </c>
      <c r="B3165" s="65" t="s">
        <v>16654</v>
      </c>
      <c r="C3165" s="71" t="s">
        <v>103</v>
      </c>
      <c r="D3165" s="78">
        <v>1</v>
      </c>
      <c r="E3165" s="79">
        <v>206.28</v>
      </c>
      <c r="F3165" s="70">
        <v>206.28</v>
      </c>
      <c r="G3165" s="320"/>
      <c r="H3165" s="79">
        <v>181.72</v>
      </c>
      <c r="I3165" s="79">
        <v>24.560000000000002</v>
      </c>
      <c r="J3165" s="79">
        <v>206.28</v>
      </c>
      <c r="K3165" s="79">
        <v>0</v>
      </c>
      <c r="L3165" s="70">
        <v>206.28</v>
      </c>
      <c r="M3165" s="132"/>
      <c r="N3165" s="79">
        <v>181.72</v>
      </c>
      <c r="O3165" s="79">
        <v>24.560000000000002</v>
      </c>
      <c r="P3165" s="79">
        <v>206.28</v>
      </c>
      <c r="Q3165" s="136"/>
      <c r="R3165" s="79">
        <v>181.72</v>
      </c>
      <c r="S3165" s="79">
        <v>24.56</v>
      </c>
      <c r="T3165" s="79">
        <v>206.28</v>
      </c>
      <c r="U3165" s="79">
        <v>0</v>
      </c>
      <c r="V3165" s="189">
        <v>206.28</v>
      </c>
      <c r="X3165" s="79">
        <v>181.72</v>
      </c>
      <c r="Y3165" s="79">
        <v>24.56</v>
      </c>
      <c r="Z3165" s="79">
        <v>206.28</v>
      </c>
      <c r="AA3165" s="255">
        <v>0</v>
      </c>
      <c r="AC3165" s="254"/>
      <c r="AD3165" s="236"/>
      <c r="AE3165" s="236"/>
    </row>
    <row r="3166" spans="1:31" ht="12">
      <c r="A3166" s="67" t="s">
        <v>16655</v>
      </c>
      <c r="B3166" s="65" t="s">
        <v>16656</v>
      </c>
      <c r="C3166" s="71" t="s">
        <v>103</v>
      </c>
      <c r="D3166" s="78">
        <v>1</v>
      </c>
      <c r="E3166" s="79">
        <v>251.42</v>
      </c>
      <c r="F3166" s="70">
        <v>251.42</v>
      </c>
      <c r="G3166" s="320"/>
      <c r="H3166" s="79">
        <v>224.63</v>
      </c>
      <c r="I3166" s="79">
        <v>26.79</v>
      </c>
      <c r="J3166" s="79">
        <v>251.42</v>
      </c>
      <c r="K3166" s="79">
        <v>0</v>
      </c>
      <c r="L3166" s="70">
        <v>251.42</v>
      </c>
      <c r="M3166" s="132"/>
      <c r="N3166" s="79">
        <v>224.63</v>
      </c>
      <c r="O3166" s="79">
        <v>26.79</v>
      </c>
      <c r="P3166" s="79">
        <v>251.42</v>
      </c>
      <c r="Q3166" s="136"/>
      <c r="R3166" s="79">
        <v>224.63</v>
      </c>
      <c r="S3166" s="79">
        <v>26.8</v>
      </c>
      <c r="T3166" s="79">
        <v>251.43</v>
      </c>
      <c r="U3166" s="79">
        <v>0</v>
      </c>
      <c r="V3166" s="189">
        <v>251.43</v>
      </c>
      <c r="X3166" s="79">
        <v>224.63</v>
      </c>
      <c r="Y3166" s="79">
        <v>26.8</v>
      </c>
      <c r="Z3166" s="79">
        <v>251.43</v>
      </c>
      <c r="AA3166" s="255">
        <v>-1.0000000000019327E-2</v>
      </c>
      <c r="AC3166" s="254"/>
    </row>
    <row r="3167" spans="1:31" ht="12">
      <c r="A3167" s="67" t="s">
        <v>16657</v>
      </c>
      <c r="B3167" s="65" t="s">
        <v>16658</v>
      </c>
      <c r="C3167" s="71" t="s">
        <v>103</v>
      </c>
      <c r="D3167" s="78">
        <v>1</v>
      </c>
      <c r="E3167" s="79">
        <v>361.82999999999993</v>
      </c>
      <c r="F3167" s="70">
        <v>361.83</v>
      </c>
      <c r="G3167" s="320"/>
      <c r="H3167" s="79">
        <v>332.79999999999995</v>
      </c>
      <c r="I3167" s="79">
        <v>29.029999999999998</v>
      </c>
      <c r="J3167" s="79">
        <v>361.82999999999993</v>
      </c>
      <c r="K3167" s="79">
        <v>0</v>
      </c>
      <c r="L3167" s="70">
        <v>361.82999999999993</v>
      </c>
      <c r="M3167" s="132"/>
      <c r="N3167" s="79">
        <v>332.79999999999995</v>
      </c>
      <c r="O3167" s="79">
        <v>29.029999999999998</v>
      </c>
      <c r="P3167" s="79">
        <v>361.82999999999993</v>
      </c>
      <c r="Q3167" s="136"/>
      <c r="R3167" s="79">
        <v>332.8</v>
      </c>
      <c r="S3167" s="79">
        <v>29.03</v>
      </c>
      <c r="T3167" s="79">
        <v>361.83000000000004</v>
      </c>
      <c r="U3167" s="79">
        <v>0</v>
      </c>
      <c r="V3167" s="189">
        <v>361.83000000000004</v>
      </c>
      <c r="X3167" s="79">
        <v>332.8</v>
      </c>
      <c r="Y3167" s="79">
        <v>29.03</v>
      </c>
      <c r="Z3167" s="79">
        <v>361.83</v>
      </c>
      <c r="AA3167" s="255">
        <v>0</v>
      </c>
      <c r="AC3167" s="254"/>
      <c r="AD3167" s="69"/>
      <c r="AE3167" s="69"/>
    </row>
    <row r="3168" spans="1:31" ht="12">
      <c r="A3168" s="67" t="s">
        <v>16659</v>
      </c>
      <c r="B3168" s="65" t="s">
        <v>16660</v>
      </c>
      <c r="C3168" s="71" t="s">
        <v>103</v>
      </c>
      <c r="D3168" s="78">
        <v>1</v>
      </c>
      <c r="E3168" s="79">
        <v>448.59</v>
      </c>
      <c r="F3168" s="70">
        <v>448.59</v>
      </c>
      <c r="G3168" s="320"/>
      <c r="H3168" s="79">
        <v>417.32</v>
      </c>
      <c r="I3168" s="79">
        <v>31.270000000000003</v>
      </c>
      <c r="J3168" s="79">
        <v>448.59</v>
      </c>
      <c r="K3168" s="79">
        <v>0</v>
      </c>
      <c r="L3168" s="70">
        <v>448.59</v>
      </c>
      <c r="M3168" s="132"/>
      <c r="N3168" s="79">
        <v>417.32</v>
      </c>
      <c r="O3168" s="79">
        <v>31.270000000000003</v>
      </c>
      <c r="P3168" s="79">
        <v>448.59</v>
      </c>
      <c r="Q3168" s="136"/>
      <c r="R3168" s="79">
        <v>417.32</v>
      </c>
      <c r="S3168" s="79">
        <v>31.27</v>
      </c>
      <c r="T3168" s="79">
        <v>448.59</v>
      </c>
      <c r="U3168" s="79">
        <v>0</v>
      </c>
      <c r="V3168" s="189">
        <v>448.59</v>
      </c>
      <c r="X3168" s="79">
        <v>417.32</v>
      </c>
      <c r="Y3168" s="79">
        <v>31.27</v>
      </c>
      <c r="Z3168" s="79">
        <v>448.59</v>
      </c>
      <c r="AA3168" s="255">
        <v>0</v>
      </c>
      <c r="AC3168" s="254"/>
    </row>
    <row r="3169" spans="1:31" s="69" customFormat="1" ht="12">
      <c r="A3169" s="67" t="s">
        <v>16661</v>
      </c>
      <c r="B3169" s="65" t="s">
        <v>16662</v>
      </c>
      <c r="C3169" s="71" t="s">
        <v>103</v>
      </c>
      <c r="D3169" s="78">
        <v>1</v>
      </c>
      <c r="E3169" s="79">
        <v>628.31999999999994</v>
      </c>
      <c r="F3169" s="70">
        <v>628.32000000000005</v>
      </c>
      <c r="G3169" s="320"/>
      <c r="H3169" s="79">
        <v>594.81999999999994</v>
      </c>
      <c r="I3169" s="79">
        <v>33.5</v>
      </c>
      <c r="J3169" s="79">
        <v>628.31999999999994</v>
      </c>
      <c r="K3169" s="79">
        <v>0</v>
      </c>
      <c r="L3169" s="70">
        <v>628.31999999999994</v>
      </c>
      <c r="M3169" s="132"/>
      <c r="N3169" s="79">
        <v>594.81999999999994</v>
      </c>
      <c r="O3169" s="79">
        <v>33.5</v>
      </c>
      <c r="P3169" s="79">
        <v>628.31999999999994</v>
      </c>
      <c r="Q3169" s="136"/>
      <c r="R3169" s="79">
        <v>594.82000000000005</v>
      </c>
      <c r="S3169" s="79">
        <v>33.5</v>
      </c>
      <c r="T3169" s="79">
        <v>628.32000000000005</v>
      </c>
      <c r="U3169" s="79">
        <v>0</v>
      </c>
      <c r="V3169" s="189">
        <v>628.32000000000005</v>
      </c>
      <c r="W3169" s="61"/>
      <c r="X3169" s="79">
        <v>594.82000000000005</v>
      </c>
      <c r="Y3169" s="79">
        <v>33.5</v>
      </c>
      <c r="Z3169" s="79">
        <v>628.32000000000005</v>
      </c>
      <c r="AA3169" s="255">
        <v>0</v>
      </c>
      <c r="AB3169" s="61"/>
      <c r="AC3169" s="254"/>
      <c r="AD3169" s="61"/>
      <c r="AE3169" s="61"/>
    </row>
    <row r="3170" spans="1:31" ht="12">
      <c r="A3170" s="67" t="s">
        <v>16663</v>
      </c>
      <c r="B3170" s="65" t="s">
        <v>16664</v>
      </c>
      <c r="C3170" s="71" t="s">
        <v>103</v>
      </c>
      <c r="D3170" s="78">
        <v>1</v>
      </c>
      <c r="E3170" s="79">
        <v>807.32999999999993</v>
      </c>
      <c r="F3170" s="70">
        <v>807.33</v>
      </c>
      <c r="G3170" s="320"/>
      <c r="H3170" s="79">
        <v>771.58999999999992</v>
      </c>
      <c r="I3170" s="79">
        <v>35.739999999999995</v>
      </c>
      <c r="J3170" s="79">
        <v>807.32999999999993</v>
      </c>
      <c r="K3170" s="79">
        <v>0</v>
      </c>
      <c r="L3170" s="70">
        <v>807.32999999999993</v>
      </c>
      <c r="M3170" s="132"/>
      <c r="N3170" s="79">
        <v>771.58999999999992</v>
      </c>
      <c r="O3170" s="79">
        <v>35.739999999999995</v>
      </c>
      <c r="P3170" s="79">
        <v>807.32999999999993</v>
      </c>
      <c r="Q3170" s="136"/>
      <c r="R3170" s="79">
        <v>771.59</v>
      </c>
      <c r="S3170" s="79">
        <v>35.729999999999997</v>
      </c>
      <c r="T3170" s="79">
        <v>807.32</v>
      </c>
      <c r="U3170" s="79">
        <v>0</v>
      </c>
      <c r="V3170" s="189">
        <v>807.32</v>
      </c>
      <c r="X3170" s="79">
        <v>771.59</v>
      </c>
      <c r="Y3170" s="79">
        <v>35.729999999999997</v>
      </c>
      <c r="Z3170" s="79">
        <v>807.32</v>
      </c>
      <c r="AA3170" s="255">
        <v>9.9999999999909051E-3</v>
      </c>
      <c r="AC3170" s="254"/>
    </row>
    <row r="3171" spans="1:31" s="61" customFormat="1" ht="12">
      <c r="A3171" s="67" t="s">
        <v>16665</v>
      </c>
      <c r="B3171" s="65" t="s">
        <v>16666</v>
      </c>
      <c r="C3171" s="71" t="s">
        <v>103</v>
      </c>
      <c r="D3171" s="78">
        <v>1</v>
      </c>
      <c r="E3171" s="79">
        <v>322.33</v>
      </c>
      <c r="F3171" s="70">
        <v>322.33</v>
      </c>
      <c r="G3171" s="320"/>
      <c r="H3171" s="79">
        <v>291.06</v>
      </c>
      <c r="I3171" s="79">
        <v>31.270000000000003</v>
      </c>
      <c r="J3171" s="79">
        <v>322.33</v>
      </c>
      <c r="K3171" s="79">
        <v>0</v>
      </c>
      <c r="L3171" s="70">
        <v>322.33</v>
      </c>
      <c r="M3171" s="132"/>
      <c r="N3171" s="79">
        <v>291.06</v>
      </c>
      <c r="O3171" s="79">
        <v>31.270000000000003</v>
      </c>
      <c r="P3171" s="79">
        <v>322.33</v>
      </c>
      <c r="Q3171" s="136"/>
      <c r="R3171" s="79">
        <v>291.06</v>
      </c>
      <c r="S3171" s="79">
        <v>31.27</v>
      </c>
      <c r="T3171" s="79">
        <v>322.33</v>
      </c>
      <c r="U3171" s="79">
        <v>0</v>
      </c>
      <c r="V3171" s="189">
        <v>322.33</v>
      </c>
      <c r="X3171" s="79">
        <v>291.06</v>
      </c>
      <c r="Y3171" s="79">
        <v>31.27</v>
      </c>
      <c r="Z3171" s="79">
        <v>322.33</v>
      </c>
      <c r="AA3171" s="255">
        <v>0</v>
      </c>
      <c r="AC3171" s="254"/>
      <c r="AD3171" s="236"/>
      <c r="AE3171" s="236"/>
    </row>
    <row r="3172" spans="1:31" ht="12">
      <c r="A3172" s="67" t="s">
        <v>16667</v>
      </c>
      <c r="B3172" s="65" t="s">
        <v>16668</v>
      </c>
      <c r="C3172" s="71" t="s">
        <v>103</v>
      </c>
      <c r="D3172" s="78">
        <v>1</v>
      </c>
      <c r="E3172" s="79">
        <v>346.3</v>
      </c>
      <c r="F3172" s="70">
        <v>346.3</v>
      </c>
      <c r="G3172" s="320"/>
      <c r="H3172" s="79">
        <v>321.74</v>
      </c>
      <c r="I3172" s="79">
        <v>24.560000000000002</v>
      </c>
      <c r="J3172" s="79">
        <v>346.3</v>
      </c>
      <c r="K3172" s="79">
        <v>0</v>
      </c>
      <c r="L3172" s="70">
        <v>346.3</v>
      </c>
      <c r="M3172" s="132"/>
      <c r="N3172" s="79">
        <v>321.74</v>
      </c>
      <c r="O3172" s="79">
        <v>24.560000000000002</v>
      </c>
      <c r="P3172" s="79">
        <v>346.3</v>
      </c>
      <c r="Q3172" s="136"/>
      <c r="R3172" s="79">
        <v>321.74</v>
      </c>
      <c r="S3172" s="79">
        <v>24.56</v>
      </c>
      <c r="T3172" s="79">
        <v>346.3</v>
      </c>
      <c r="U3172" s="79">
        <v>0</v>
      </c>
      <c r="V3172" s="189">
        <v>346.3</v>
      </c>
      <c r="X3172" s="79">
        <v>321.74</v>
      </c>
      <c r="Y3172" s="79">
        <v>24.56</v>
      </c>
      <c r="Z3172" s="79">
        <v>346.3</v>
      </c>
      <c r="AA3172" s="255">
        <v>0</v>
      </c>
      <c r="AC3172" s="254"/>
    </row>
    <row r="3173" spans="1:31" ht="12">
      <c r="A3173" s="67" t="s">
        <v>16669</v>
      </c>
      <c r="B3173" s="65" t="s">
        <v>16670</v>
      </c>
      <c r="C3173" s="71" t="s">
        <v>103</v>
      </c>
      <c r="D3173" s="78">
        <v>1</v>
      </c>
      <c r="E3173" s="79">
        <v>452.96999999999997</v>
      </c>
      <c r="F3173" s="70">
        <v>452.97</v>
      </c>
      <c r="G3173" s="320"/>
      <c r="H3173" s="79">
        <v>421.7</v>
      </c>
      <c r="I3173" s="79">
        <v>31.270000000000003</v>
      </c>
      <c r="J3173" s="79">
        <v>452.96999999999997</v>
      </c>
      <c r="K3173" s="79">
        <v>0</v>
      </c>
      <c r="L3173" s="70">
        <v>452.96999999999997</v>
      </c>
      <c r="M3173" s="132"/>
      <c r="N3173" s="79">
        <v>421.7</v>
      </c>
      <c r="O3173" s="79">
        <v>31.270000000000003</v>
      </c>
      <c r="P3173" s="79">
        <v>452.96999999999997</v>
      </c>
      <c r="Q3173" s="136"/>
      <c r="R3173" s="79">
        <v>421.7</v>
      </c>
      <c r="S3173" s="79">
        <v>31.27</v>
      </c>
      <c r="T3173" s="79">
        <v>452.96999999999997</v>
      </c>
      <c r="U3173" s="79">
        <v>0</v>
      </c>
      <c r="V3173" s="189">
        <v>452.96999999999997</v>
      </c>
      <c r="X3173" s="79">
        <v>421.7</v>
      </c>
      <c r="Y3173" s="79">
        <v>31.27</v>
      </c>
      <c r="Z3173" s="79">
        <v>452.97</v>
      </c>
      <c r="AA3173" s="255">
        <v>0</v>
      </c>
      <c r="AC3173" s="254"/>
    </row>
    <row r="3174" spans="1:31" ht="12">
      <c r="A3174" s="67" t="s">
        <v>16671</v>
      </c>
      <c r="B3174" s="65" t="s">
        <v>16672</v>
      </c>
      <c r="C3174" s="71" t="s">
        <v>103</v>
      </c>
      <c r="D3174" s="78">
        <v>1</v>
      </c>
      <c r="E3174" s="79">
        <v>776.18</v>
      </c>
      <c r="F3174" s="70">
        <v>776.18</v>
      </c>
      <c r="G3174" s="320"/>
      <c r="H3174" s="79">
        <v>740.43999999999994</v>
      </c>
      <c r="I3174" s="79">
        <v>35.739999999999995</v>
      </c>
      <c r="J3174" s="79">
        <v>776.18</v>
      </c>
      <c r="K3174" s="79">
        <v>0</v>
      </c>
      <c r="L3174" s="70">
        <v>776.18</v>
      </c>
      <c r="M3174" s="132"/>
      <c r="N3174" s="79">
        <v>740.43999999999994</v>
      </c>
      <c r="O3174" s="79">
        <v>35.739999999999995</v>
      </c>
      <c r="P3174" s="79">
        <v>776.18</v>
      </c>
      <c r="Q3174" s="136"/>
      <c r="R3174" s="79">
        <v>740.44</v>
      </c>
      <c r="S3174" s="79">
        <v>35.729999999999997</v>
      </c>
      <c r="T3174" s="79">
        <v>776.17000000000007</v>
      </c>
      <c r="U3174" s="79">
        <v>0</v>
      </c>
      <c r="V3174" s="189">
        <v>776.17000000000007</v>
      </c>
      <c r="X3174" s="79">
        <v>740.44</v>
      </c>
      <c r="Y3174" s="79">
        <v>35.729999999999997</v>
      </c>
      <c r="Z3174" s="79">
        <v>776.17</v>
      </c>
      <c r="AA3174" s="255">
        <v>9.9999999999909051E-3</v>
      </c>
      <c r="AC3174" s="254"/>
    </row>
    <row r="3175" spans="1:31" ht="12">
      <c r="A3175" s="67" t="s">
        <v>16673</v>
      </c>
      <c r="B3175" s="65" t="s">
        <v>16674</v>
      </c>
      <c r="C3175" s="71" t="s">
        <v>103</v>
      </c>
      <c r="D3175" s="78">
        <v>1</v>
      </c>
      <c r="E3175" s="79">
        <v>594.82000000000005</v>
      </c>
      <c r="F3175" s="70">
        <v>594.82000000000005</v>
      </c>
      <c r="G3175" s="320"/>
      <c r="H3175" s="79">
        <v>568.03</v>
      </c>
      <c r="I3175" s="79">
        <v>26.79</v>
      </c>
      <c r="J3175" s="79">
        <v>594.81999999999994</v>
      </c>
      <c r="K3175" s="79">
        <v>0</v>
      </c>
      <c r="L3175" s="70">
        <v>594.81999999999994</v>
      </c>
      <c r="M3175" s="132"/>
      <c r="N3175" s="79">
        <v>568.03</v>
      </c>
      <c r="O3175" s="79">
        <v>26.79</v>
      </c>
      <c r="P3175" s="79">
        <v>594.81999999999994</v>
      </c>
      <c r="Q3175" s="136"/>
      <c r="R3175" s="79">
        <v>568.03</v>
      </c>
      <c r="S3175" s="79">
        <v>26.8</v>
      </c>
      <c r="T3175" s="79">
        <v>594.82999999999993</v>
      </c>
      <c r="U3175" s="79">
        <v>0</v>
      </c>
      <c r="V3175" s="189">
        <v>594.82999999999993</v>
      </c>
      <c r="X3175" s="79">
        <v>568.03</v>
      </c>
      <c r="Y3175" s="79">
        <v>26.8</v>
      </c>
      <c r="Z3175" s="79">
        <v>594.83000000000004</v>
      </c>
      <c r="AA3175" s="255">
        <v>-9.9999999999909051E-3</v>
      </c>
      <c r="AC3175" s="254"/>
    </row>
    <row r="3176" spans="1:31" ht="24">
      <c r="A3176" s="67" t="s">
        <v>16675</v>
      </c>
      <c r="B3176" s="65" t="s">
        <v>16676</v>
      </c>
      <c r="C3176" s="71" t="s">
        <v>103</v>
      </c>
      <c r="D3176" s="78">
        <v>1</v>
      </c>
      <c r="E3176" s="79">
        <v>725.49</v>
      </c>
      <c r="F3176" s="70">
        <v>725.49</v>
      </c>
      <c r="G3176" s="320"/>
      <c r="H3176" s="79">
        <v>694.22</v>
      </c>
      <c r="I3176" s="79">
        <v>31.270000000000003</v>
      </c>
      <c r="J3176" s="79">
        <v>725.49</v>
      </c>
      <c r="K3176" s="79">
        <v>0</v>
      </c>
      <c r="L3176" s="70">
        <v>725.49</v>
      </c>
      <c r="M3176" s="132"/>
      <c r="N3176" s="79">
        <v>694.22</v>
      </c>
      <c r="O3176" s="79">
        <v>31.270000000000003</v>
      </c>
      <c r="P3176" s="79">
        <v>725.49</v>
      </c>
      <c r="Q3176" s="136"/>
      <c r="R3176" s="79">
        <v>694.22</v>
      </c>
      <c r="S3176" s="79">
        <v>31.27</v>
      </c>
      <c r="T3176" s="79">
        <v>725.49</v>
      </c>
      <c r="U3176" s="79">
        <v>0</v>
      </c>
      <c r="V3176" s="189">
        <v>725.49</v>
      </c>
      <c r="X3176" s="79">
        <v>694.22</v>
      </c>
      <c r="Y3176" s="79">
        <v>31.27</v>
      </c>
      <c r="Z3176" s="79">
        <v>725.49</v>
      </c>
      <c r="AA3176" s="255">
        <v>0</v>
      </c>
      <c r="AC3176" s="254"/>
      <c r="AD3176" s="69"/>
      <c r="AE3176" s="69"/>
    </row>
    <row r="3177" spans="1:31" ht="24">
      <c r="A3177" s="67" t="s">
        <v>16677</v>
      </c>
      <c r="B3177" s="65" t="s">
        <v>16678</v>
      </c>
      <c r="C3177" s="71" t="s">
        <v>103</v>
      </c>
      <c r="D3177" s="78">
        <v>1</v>
      </c>
      <c r="E3177" s="79">
        <v>1148.9000000000001</v>
      </c>
      <c r="F3177" s="70">
        <v>1148.9000000000001</v>
      </c>
      <c r="G3177" s="320"/>
      <c r="H3177" s="79">
        <v>1113.1599999999999</v>
      </c>
      <c r="I3177" s="79">
        <v>35.739999999999995</v>
      </c>
      <c r="J3177" s="79">
        <v>1148.8999999999999</v>
      </c>
      <c r="K3177" s="79">
        <v>0</v>
      </c>
      <c r="L3177" s="70">
        <v>1148.8999999999999</v>
      </c>
      <c r="M3177" s="132"/>
      <c r="N3177" s="79">
        <v>1113.1599999999999</v>
      </c>
      <c r="O3177" s="79">
        <v>35.739999999999995</v>
      </c>
      <c r="P3177" s="79">
        <v>1148.8999999999999</v>
      </c>
      <c r="Q3177" s="136"/>
      <c r="R3177" s="79">
        <v>1113.1600000000001</v>
      </c>
      <c r="S3177" s="79">
        <v>35.729999999999997</v>
      </c>
      <c r="T3177" s="79">
        <v>1148.8900000000001</v>
      </c>
      <c r="U3177" s="79">
        <v>0</v>
      </c>
      <c r="V3177" s="189">
        <v>1148.8900000000001</v>
      </c>
      <c r="X3177" s="79">
        <v>1113.1600000000001</v>
      </c>
      <c r="Y3177" s="79">
        <v>35.729999999999997</v>
      </c>
      <c r="Z3177" s="79">
        <v>1148.8900000000001</v>
      </c>
      <c r="AA3177" s="255">
        <v>9.9999999999909051E-3</v>
      </c>
      <c r="AC3177" s="254"/>
    </row>
    <row r="3178" spans="1:31" s="69" customFormat="1" ht="12">
      <c r="A3178" s="67" t="s">
        <v>16679</v>
      </c>
      <c r="B3178" s="65" t="s">
        <v>16680</v>
      </c>
      <c r="C3178" s="71" t="s">
        <v>103</v>
      </c>
      <c r="D3178" s="78">
        <v>1</v>
      </c>
      <c r="E3178" s="79">
        <v>400.36</v>
      </c>
      <c r="F3178" s="70">
        <v>400.36</v>
      </c>
      <c r="G3178" s="320"/>
      <c r="H3178" s="79">
        <v>375.8</v>
      </c>
      <c r="I3178" s="79">
        <v>24.560000000000002</v>
      </c>
      <c r="J3178" s="79">
        <v>400.36</v>
      </c>
      <c r="K3178" s="79">
        <v>0</v>
      </c>
      <c r="L3178" s="70">
        <v>400.36</v>
      </c>
      <c r="M3178" s="132"/>
      <c r="N3178" s="79">
        <v>375.8</v>
      </c>
      <c r="O3178" s="79">
        <v>24.560000000000002</v>
      </c>
      <c r="P3178" s="79">
        <v>400.36</v>
      </c>
      <c r="Q3178" s="136"/>
      <c r="R3178" s="79">
        <v>375.8</v>
      </c>
      <c r="S3178" s="79">
        <v>24.56</v>
      </c>
      <c r="T3178" s="79">
        <v>400.36</v>
      </c>
      <c r="U3178" s="79">
        <v>0</v>
      </c>
      <c r="V3178" s="189">
        <v>400.36</v>
      </c>
      <c r="W3178" s="61"/>
      <c r="X3178" s="79">
        <v>375.8</v>
      </c>
      <c r="Y3178" s="79">
        <v>24.56</v>
      </c>
      <c r="Z3178" s="79">
        <v>400.36</v>
      </c>
      <c r="AA3178" s="255">
        <v>0</v>
      </c>
      <c r="AB3178" s="61"/>
      <c r="AC3178" s="254"/>
      <c r="AD3178" s="236"/>
      <c r="AE3178" s="236"/>
    </row>
    <row r="3179" spans="1:31" ht="12">
      <c r="A3179" s="67" t="s">
        <v>16681</v>
      </c>
      <c r="B3179" s="65" t="s">
        <v>16682</v>
      </c>
      <c r="C3179" s="71" t="s">
        <v>103</v>
      </c>
      <c r="D3179" s="78">
        <v>1</v>
      </c>
      <c r="E3179" s="79">
        <v>454.79</v>
      </c>
      <c r="F3179" s="70">
        <v>454.79</v>
      </c>
      <c r="G3179" s="320"/>
      <c r="H3179" s="79">
        <v>428</v>
      </c>
      <c r="I3179" s="79">
        <v>26.79</v>
      </c>
      <c r="J3179" s="79">
        <v>454.79</v>
      </c>
      <c r="K3179" s="79">
        <v>0</v>
      </c>
      <c r="L3179" s="70">
        <v>454.79</v>
      </c>
      <c r="M3179" s="132"/>
      <c r="N3179" s="79">
        <v>428</v>
      </c>
      <c r="O3179" s="79">
        <v>26.79</v>
      </c>
      <c r="P3179" s="79">
        <v>454.79</v>
      </c>
      <c r="Q3179" s="136"/>
      <c r="R3179" s="79">
        <v>428</v>
      </c>
      <c r="S3179" s="79">
        <v>26.8</v>
      </c>
      <c r="T3179" s="79">
        <v>454.8</v>
      </c>
      <c r="U3179" s="79">
        <v>0</v>
      </c>
      <c r="V3179" s="189">
        <v>454.8</v>
      </c>
      <c r="X3179" s="79">
        <v>428</v>
      </c>
      <c r="Y3179" s="79">
        <v>26.8</v>
      </c>
      <c r="Z3179" s="79">
        <v>454.8</v>
      </c>
      <c r="AA3179" s="255">
        <v>-9.9999999999909051E-3</v>
      </c>
      <c r="AC3179" s="254"/>
    </row>
    <row r="3180" spans="1:31" ht="12">
      <c r="A3180" s="489" t="s">
        <v>16683</v>
      </c>
      <c r="B3180" s="490" t="s">
        <v>16684</v>
      </c>
      <c r="C3180" s="491"/>
      <c r="D3180" s="492"/>
      <c r="E3180" s="79"/>
      <c r="F3180" s="63"/>
      <c r="G3180" s="320"/>
      <c r="H3180" s="79"/>
      <c r="I3180" s="79"/>
      <c r="J3180" s="79"/>
      <c r="K3180" s="79"/>
      <c r="L3180" s="70"/>
      <c r="M3180" s="132"/>
      <c r="N3180" s="79"/>
      <c r="O3180" s="79"/>
      <c r="P3180" s="79"/>
      <c r="Q3180" s="136"/>
      <c r="R3180" s="79"/>
      <c r="S3180" s="79"/>
      <c r="T3180" s="79"/>
      <c r="U3180" s="79"/>
      <c r="V3180" s="189"/>
      <c r="X3180" s="79"/>
      <c r="Y3180" s="79"/>
      <c r="Z3180" s="79"/>
      <c r="AA3180" s="255"/>
      <c r="AC3180" s="254"/>
    </row>
    <row r="3181" spans="1:31" ht="12">
      <c r="A3181" s="67" t="s">
        <v>16685</v>
      </c>
      <c r="B3181" s="65" t="s">
        <v>16686</v>
      </c>
      <c r="C3181" s="71" t="s">
        <v>103</v>
      </c>
      <c r="D3181" s="78">
        <v>1</v>
      </c>
      <c r="E3181" s="79">
        <v>471.71999999999997</v>
      </c>
      <c r="F3181" s="70">
        <v>471.72</v>
      </c>
      <c r="G3181" s="320"/>
      <c r="H3181" s="79">
        <v>440.45</v>
      </c>
      <c r="I3181" s="79">
        <v>31.270000000000003</v>
      </c>
      <c r="J3181" s="79">
        <v>471.71999999999997</v>
      </c>
      <c r="K3181" s="79">
        <v>0</v>
      </c>
      <c r="L3181" s="70">
        <v>471.71999999999997</v>
      </c>
      <c r="M3181" s="132"/>
      <c r="N3181" s="79">
        <v>440.45</v>
      </c>
      <c r="O3181" s="79">
        <v>31.270000000000003</v>
      </c>
      <c r="P3181" s="79">
        <v>471.71999999999997</v>
      </c>
      <c r="Q3181" s="136"/>
      <c r="R3181" s="79">
        <v>440.45</v>
      </c>
      <c r="S3181" s="79">
        <v>31.27</v>
      </c>
      <c r="T3181" s="79">
        <v>471.71999999999997</v>
      </c>
      <c r="U3181" s="79">
        <v>0</v>
      </c>
      <c r="V3181" s="189">
        <v>471.71999999999997</v>
      </c>
      <c r="X3181" s="79">
        <v>440.45</v>
      </c>
      <c r="Y3181" s="79">
        <v>31.27</v>
      </c>
      <c r="Z3181" s="79">
        <v>471.72</v>
      </c>
      <c r="AA3181" s="255">
        <v>0</v>
      </c>
      <c r="AC3181" s="254"/>
      <c r="AD3181" s="61"/>
      <c r="AE3181" s="61"/>
    </row>
    <row r="3182" spans="1:31" ht="12">
      <c r="A3182" s="67" t="s">
        <v>16687</v>
      </c>
      <c r="B3182" s="65" t="s">
        <v>16688</v>
      </c>
      <c r="C3182" s="71" t="s">
        <v>103</v>
      </c>
      <c r="D3182" s="78">
        <v>1</v>
      </c>
      <c r="E3182" s="79">
        <v>678.39</v>
      </c>
      <c r="F3182" s="70">
        <v>678.39</v>
      </c>
      <c r="G3182" s="320"/>
      <c r="H3182" s="79">
        <v>642.65</v>
      </c>
      <c r="I3182" s="79">
        <v>35.739999999999995</v>
      </c>
      <c r="J3182" s="79">
        <v>678.39</v>
      </c>
      <c r="K3182" s="79">
        <v>0</v>
      </c>
      <c r="L3182" s="70">
        <v>678.39</v>
      </c>
      <c r="M3182" s="132"/>
      <c r="N3182" s="79">
        <v>642.65</v>
      </c>
      <c r="O3182" s="79">
        <v>35.739999999999995</v>
      </c>
      <c r="P3182" s="79">
        <v>678.39</v>
      </c>
      <c r="Q3182" s="136"/>
      <c r="R3182" s="79">
        <v>642.65</v>
      </c>
      <c r="S3182" s="79">
        <v>35.729999999999997</v>
      </c>
      <c r="T3182" s="79">
        <v>678.38</v>
      </c>
      <c r="U3182" s="79">
        <v>0</v>
      </c>
      <c r="V3182" s="189">
        <v>678.38</v>
      </c>
      <c r="X3182" s="79">
        <v>642.65</v>
      </c>
      <c r="Y3182" s="79">
        <v>35.729999999999997</v>
      </c>
      <c r="Z3182" s="79">
        <v>678.38</v>
      </c>
      <c r="AA3182" s="255">
        <v>9.9999999999909051E-3</v>
      </c>
      <c r="AC3182" s="254"/>
      <c r="AD3182" s="61"/>
      <c r="AE3182" s="61"/>
    </row>
    <row r="3183" spans="1:31" s="61" customFormat="1" ht="24">
      <c r="A3183" s="67" t="s">
        <v>16689</v>
      </c>
      <c r="B3183" s="65" t="s">
        <v>16690</v>
      </c>
      <c r="C3183" s="71" t="s">
        <v>103</v>
      </c>
      <c r="D3183" s="78">
        <v>1</v>
      </c>
      <c r="E3183" s="79">
        <v>991.34</v>
      </c>
      <c r="F3183" s="70">
        <v>991.34</v>
      </c>
      <c r="G3183" s="320"/>
      <c r="H3183" s="79">
        <v>951.15</v>
      </c>
      <c r="I3183" s="79">
        <v>40.19</v>
      </c>
      <c r="J3183" s="79">
        <v>991.33999999999992</v>
      </c>
      <c r="K3183" s="79">
        <v>0</v>
      </c>
      <c r="L3183" s="70">
        <v>991.33999999999992</v>
      </c>
      <c r="M3183" s="132"/>
      <c r="N3183" s="79">
        <v>951.15</v>
      </c>
      <c r="O3183" s="79">
        <v>40.19</v>
      </c>
      <c r="P3183" s="79">
        <v>991.33999999999992</v>
      </c>
      <c r="Q3183" s="136"/>
      <c r="R3183" s="79">
        <v>951.15</v>
      </c>
      <c r="S3183" s="79">
        <v>40.200000000000003</v>
      </c>
      <c r="T3183" s="79">
        <v>991.35</v>
      </c>
      <c r="U3183" s="79">
        <v>0</v>
      </c>
      <c r="V3183" s="189">
        <v>991.35</v>
      </c>
      <c r="X3183" s="79">
        <v>951.15</v>
      </c>
      <c r="Y3183" s="79">
        <v>40.200000000000003</v>
      </c>
      <c r="Z3183" s="79">
        <v>991.35</v>
      </c>
      <c r="AA3183" s="255">
        <v>-9.9999999999909051E-3</v>
      </c>
      <c r="AC3183" s="254"/>
      <c r="AD3183" s="236"/>
      <c r="AE3183" s="236"/>
    </row>
    <row r="3184" spans="1:31" s="61" customFormat="1" ht="24">
      <c r="A3184" s="67" t="s">
        <v>16691</v>
      </c>
      <c r="B3184" s="65" t="s">
        <v>16692</v>
      </c>
      <c r="C3184" s="71" t="s">
        <v>103</v>
      </c>
      <c r="D3184" s="78">
        <v>1</v>
      </c>
      <c r="E3184" s="79">
        <v>1542.3700000000001</v>
      </c>
      <c r="F3184" s="70">
        <v>1542.37</v>
      </c>
      <c r="G3184" s="320"/>
      <c r="H3184" s="79">
        <v>1497.71</v>
      </c>
      <c r="I3184" s="79">
        <v>44.66</v>
      </c>
      <c r="J3184" s="79">
        <v>1542.3700000000001</v>
      </c>
      <c r="K3184" s="79">
        <v>0</v>
      </c>
      <c r="L3184" s="70">
        <v>1542.3700000000001</v>
      </c>
      <c r="M3184" s="132"/>
      <c r="N3184" s="79">
        <v>1497.71</v>
      </c>
      <c r="O3184" s="79">
        <v>44.66</v>
      </c>
      <c r="P3184" s="79">
        <v>1542.3700000000001</v>
      </c>
      <c r="Q3184" s="136"/>
      <c r="R3184" s="79">
        <v>1497.71</v>
      </c>
      <c r="S3184" s="79">
        <v>44.67</v>
      </c>
      <c r="T3184" s="79">
        <v>1542.38</v>
      </c>
      <c r="U3184" s="79">
        <v>0</v>
      </c>
      <c r="V3184" s="189">
        <v>1542.38</v>
      </c>
      <c r="X3184" s="79">
        <v>1497.71</v>
      </c>
      <c r="Y3184" s="79">
        <v>44.67</v>
      </c>
      <c r="Z3184" s="79">
        <v>1542.38</v>
      </c>
      <c r="AA3184" s="255">
        <v>-1.0000000000218279E-2</v>
      </c>
      <c r="AC3184" s="254"/>
      <c r="AD3184" s="236"/>
      <c r="AE3184" s="236"/>
    </row>
    <row r="3185" spans="1:31" ht="12">
      <c r="A3185" s="67" t="s">
        <v>16693</v>
      </c>
      <c r="B3185" s="65" t="s">
        <v>16694</v>
      </c>
      <c r="C3185" s="71" t="s">
        <v>103</v>
      </c>
      <c r="D3185" s="78">
        <v>1</v>
      </c>
      <c r="E3185" s="79">
        <v>376.53999999999996</v>
      </c>
      <c r="F3185" s="70">
        <v>376.54</v>
      </c>
      <c r="G3185" s="320"/>
      <c r="H3185" s="79">
        <v>345.27</v>
      </c>
      <c r="I3185" s="79">
        <v>31.270000000000003</v>
      </c>
      <c r="J3185" s="79">
        <v>376.53999999999996</v>
      </c>
      <c r="K3185" s="79">
        <v>0</v>
      </c>
      <c r="L3185" s="70">
        <v>376.53999999999996</v>
      </c>
      <c r="M3185" s="132"/>
      <c r="N3185" s="79">
        <v>345.27</v>
      </c>
      <c r="O3185" s="79">
        <v>31.270000000000003</v>
      </c>
      <c r="P3185" s="79">
        <v>376.53999999999996</v>
      </c>
      <c r="Q3185" s="136"/>
      <c r="R3185" s="79">
        <v>345.27</v>
      </c>
      <c r="S3185" s="79">
        <v>31.27</v>
      </c>
      <c r="T3185" s="79">
        <v>376.53999999999996</v>
      </c>
      <c r="U3185" s="79">
        <v>0</v>
      </c>
      <c r="V3185" s="189">
        <v>376.53999999999996</v>
      </c>
      <c r="X3185" s="79">
        <v>345.27</v>
      </c>
      <c r="Y3185" s="79">
        <v>31.27</v>
      </c>
      <c r="Z3185" s="79">
        <v>376.54</v>
      </c>
      <c r="AA3185" s="255">
        <v>0</v>
      </c>
      <c r="AC3185" s="254"/>
      <c r="AD3185" s="69"/>
      <c r="AE3185" s="69"/>
    </row>
    <row r="3186" spans="1:31" ht="12">
      <c r="A3186" s="67" t="s">
        <v>16695</v>
      </c>
      <c r="B3186" s="65" t="s">
        <v>16696</v>
      </c>
      <c r="C3186" s="71" t="s">
        <v>103</v>
      </c>
      <c r="D3186" s="78">
        <v>1</v>
      </c>
      <c r="E3186" s="79">
        <v>433.12999999999994</v>
      </c>
      <c r="F3186" s="70">
        <v>433.13</v>
      </c>
      <c r="G3186" s="320"/>
      <c r="H3186" s="79">
        <v>401.85999999999996</v>
      </c>
      <c r="I3186" s="79">
        <v>31.270000000000003</v>
      </c>
      <c r="J3186" s="79">
        <v>433.12999999999994</v>
      </c>
      <c r="K3186" s="79">
        <v>0</v>
      </c>
      <c r="L3186" s="70">
        <v>433.12999999999994</v>
      </c>
      <c r="M3186" s="132"/>
      <c r="N3186" s="79">
        <v>401.85999999999996</v>
      </c>
      <c r="O3186" s="79">
        <v>31.270000000000003</v>
      </c>
      <c r="P3186" s="79">
        <v>433.12999999999994</v>
      </c>
      <c r="Q3186" s="136"/>
      <c r="R3186" s="79">
        <v>401.86</v>
      </c>
      <c r="S3186" s="79">
        <v>31.27</v>
      </c>
      <c r="T3186" s="79">
        <v>433.13</v>
      </c>
      <c r="U3186" s="79">
        <v>0</v>
      </c>
      <c r="V3186" s="189">
        <v>433.13</v>
      </c>
      <c r="X3186" s="79">
        <v>401.86</v>
      </c>
      <c r="Y3186" s="79">
        <v>31.27</v>
      </c>
      <c r="Z3186" s="79">
        <v>433.13</v>
      </c>
      <c r="AA3186" s="255">
        <v>0</v>
      </c>
      <c r="AC3186" s="254"/>
      <c r="AD3186" s="61"/>
      <c r="AE3186" s="61"/>
    </row>
    <row r="3187" spans="1:31" s="69" customFormat="1" ht="24">
      <c r="A3187" s="67" t="s">
        <v>16697</v>
      </c>
      <c r="B3187" s="65" t="s">
        <v>16698</v>
      </c>
      <c r="C3187" s="71" t="s">
        <v>103</v>
      </c>
      <c r="D3187" s="78">
        <v>1</v>
      </c>
      <c r="E3187" s="79">
        <v>785.3</v>
      </c>
      <c r="F3187" s="70">
        <v>785.3</v>
      </c>
      <c r="G3187" s="320"/>
      <c r="H3187" s="79">
        <v>749.56</v>
      </c>
      <c r="I3187" s="79">
        <v>35.739999999999995</v>
      </c>
      <c r="J3187" s="79">
        <v>785.3</v>
      </c>
      <c r="K3187" s="79">
        <v>0</v>
      </c>
      <c r="L3187" s="70">
        <v>785.3</v>
      </c>
      <c r="M3187" s="132"/>
      <c r="N3187" s="79">
        <v>749.56</v>
      </c>
      <c r="O3187" s="79">
        <v>35.739999999999995</v>
      </c>
      <c r="P3187" s="79">
        <v>785.3</v>
      </c>
      <c r="Q3187" s="136"/>
      <c r="R3187" s="79">
        <v>749.56</v>
      </c>
      <c r="S3187" s="79">
        <v>35.729999999999997</v>
      </c>
      <c r="T3187" s="79">
        <v>785.29</v>
      </c>
      <c r="U3187" s="79">
        <v>0</v>
      </c>
      <c r="V3187" s="189">
        <v>785.29</v>
      </c>
      <c r="W3187" s="61"/>
      <c r="X3187" s="79">
        <v>749.56</v>
      </c>
      <c r="Y3187" s="79">
        <v>35.729999999999997</v>
      </c>
      <c r="Z3187" s="79">
        <v>785.29</v>
      </c>
      <c r="AA3187" s="255">
        <v>9.9999999999909051E-3</v>
      </c>
      <c r="AB3187" s="61"/>
      <c r="AC3187" s="254"/>
      <c r="AD3187" s="61"/>
      <c r="AE3187" s="61"/>
    </row>
    <row r="3188" spans="1:31" s="61" customFormat="1" ht="24">
      <c r="A3188" s="67" t="s">
        <v>16699</v>
      </c>
      <c r="B3188" s="65" t="s">
        <v>16700</v>
      </c>
      <c r="C3188" s="71" t="s">
        <v>103</v>
      </c>
      <c r="D3188" s="78">
        <v>1</v>
      </c>
      <c r="E3188" s="79">
        <v>895.43</v>
      </c>
      <c r="F3188" s="70">
        <v>895.43</v>
      </c>
      <c r="G3188" s="320"/>
      <c r="H3188" s="79">
        <v>855.2399999999999</v>
      </c>
      <c r="I3188" s="79">
        <v>40.19</v>
      </c>
      <c r="J3188" s="79">
        <v>895.42999999999984</v>
      </c>
      <c r="K3188" s="79">
        <v>0</v>
      </c>
      <c r="L3188" s="70">
        <v>895.42999999999984</v>
      </c>
      <c r="M3188" s="132"/>
      <c r="N3188" s="79">
        <v>855.2399999999999</v>
      </c>
      <c r="O3188" s="79">
        <v>40.19</v>
      </c>
      <c r="P3188" s="79">
        <v>895.42999999999984</v>
      </c>
      <c r="Q3188" s="136"/>
      <c r="R3188" s="79">
        <v>855.24</v>
      </c>
      <c r="S3188" s="79">
        <v>40.200000000000003</v>
      </c>
      <c r="T3188" s="79">
        <v>895.44</v>
      </c>
      <c r="U3188" s="79">
        <v>0</v>
      </c>
      <c r="V3188" s="189">
        <v>895.44</v>
      </c>
      <c r="X3188" s="79">
        <v>855.24</v>
      </c>
      <c r="Y3188" s="79">
        <v>40.200000000000003</v>
      </c>
      <c r="Z3188" s="79">
        <v>895.44</v>
      </c>
      <c r="AA3188" s="255">
        <v>-1.0000000000104592E-2</v>
      </c>
      <c r="AC3188" s="254"/>
    </row>
    <row r="3189" spans="1:31" s="61" customFormat="1" ht="24">
      <c r="A3189" s="67" t="s">
        <v>16701</v>
      </c>
      <c r="B3189" s="65" t="s">
        <v>16702</v>
      </c>
      <c r="C3189" s="71" t="s">
        <v>103</v>
      </c>
      <c r="D3189" s="78">
        <v>1</v>
      </c>
      <c r="E3189" s="79">
        <v>1389.4</v>
      </c>
      <c r="F3189" s="70">
        <v>1389.4</v>
      </c>
      <c r="G3189" s="320"/>
      <c r="H3189" s="79">
        <v>1344.74</v>
      </c>
      <c r="I3189" s="79">
        <v>44.66</v>
      </c>
      <c r="J3189" s="79">
        <v>1389.4</v>
      </c>
      <c r="K3189" s="79">
        <v>0</v>
      </c>
      <c r="L3189" s="70">
        <v>1389.4</v>
      </c>
      <c r="M3189" s="132"/>
      <c r="N3189" s="79">
        <v>1344.74</v>
      </c>
      <c r="O3189" s="79">
        <v>44.66</v>
      </c>
      <c r="P3189" s="79">
        <v>1389.4</v>
      </c>
      <c r="Q3189" s="136"/>
      <c r="R3189" s="79">
        <v>1344.74</v>
      </c>
      <c r="S3189" s="79">
        <v>44.67</v>
      </c>
      <c r="T3189" s="79">
        <v>1389.41</v>
      </c>
      <c r="U3189" s="79">
        <v>0</v>
      </c>
      <c r="V3189" s="189">
        <v>1389.41</v>
      </c>
      <c r="X3189" s="79">
        <v>1344.74</v>
      </c>
      <c r="Y3189" s="79">
        <v>44.67</v>
      </c>
      <c r="Z3189" s="79">
        <v>1389.41</v>
      </c>
      <c r="AA3189" s="255">
        <v>-9.9999999999909051E-3</v>
      </c>
      <c r="AC3189" s="254"/>
    </row>
    <row r="3190" spans="1:31" s="61" customFormat="1" ht="12">
      <c r="A3190" s="489" t="s">
        <v>16703</v>
      </c>
      <c r="B3190" s="490" t="s">
        <v>16704</v>
      </c>
      <c r="C3190" s="491"/>
      <c r="D3190" s="492"/>
      <c r="E3190" s="79"/>
      <c r="F3190" s="63"/>
      <c r="G3190" s="320"/>
      <c r="H3190" s="79"/>
      <c r="I3190" s="79"/>
      <c r="J3190" s="79"/>
      <c r="K3190" s="79"/>
      <c r="L3190" s="70"/>
      <c r="M3190" s="132"/>
      <c r="N3190" s="79"/>
      <c r="O3190" s="79"/>
      <c r="P3190" s="79"/>
      <c r="Q3190" s="136"/>
      <c r="R3190" s="79"/>
      <c r="S3190" s="79"/>
      <c r="T3190" s="79"/>
      <c r="U3190" s="79"/>
      <c r="V3190" s="189"/>
      <c r="X3190" s="79"/>
      <c r="Y3190" s="79"/>
      <c r="Z3190" s="79"/>
      <c r="AA3190" s="255"/>
      <c r="AC3190" s="254"/>
    </row>
    <row r="3191" spans="1:31" s="61" customFormat="1" ht="12">
      <c r="A3191" s="67" t="s">
        <v>16705</v>
      </c>
      <c r="B3191" s="65" t="s">
        <v>16706</v>
      </c>
      <c r="C3191" s="71" t="s">
        <v>165</v>
      </c>
      <c r="D3191" s="78">
        <v>1</v>
      </c>
      <c r="E3191" s="79">
        <v>78.959999999999994</v>
      </c>
      <c r="F3191" s="70">
        <v>78.959999999999994</v>
      </c>
      <c r="G3191" s="320"/>
      <c r="H3191" s="79">
        <v>1.93</v>
      </c>
      <c r="I3191" s="79">
        <v>77.03</v>
      </c>
      <c r="J3191" s="79">
        <v>78.960000000000008</v>
      </c>
      <c r="K3191" s="79">
        <v>0</v>
      </c>
      <c r="L3191" s="70">
        <v>78.960000000000008</v>
      </c>
      <c r="M3191" s="132"/>
      <c r="N3191" s="79">
        <v>1.93</v>
      </c>
      <c r="O3191" s="79">
        <v>77.03</v>
      </c>
      <c r="P3191" s="79">
        <v>78.960000000000008</v>
      </c>
      <c r="Q3191" s="136"/>
      <c r="R3191" s="79">
        <v>1.93</v>
      </c>
      <c r="S3191" s="79">
        <v>77.03</v>
      </c>
      <c r="T3191" s="79">
        <v>78.960000000000008</v>
      </c>
      <c r="U3191" s="79">
        <v>0</v>
      </c>
      <c r="V3191" s="189">
        <v>78.960000000000008</v>
      </c>
      <c r="X3191" s="79">
        <v>1.93</v>
      </c>
      <c r="Y3191" s="79">
        <v>77.03</v>
      </c>
      <c r="Z3191" s="79">
        <v>78.959999999999994</v>
      </c>
      <c r="AA3191" s="255">
        <v>0</v>
      </c>
      <c r="AC3191" s="254"/>
    </row>
    <row r="3192" spans="1:31" s="61" customFormat="1" ht="12">
      <c r="A3192" s="67" t="s">
        <v>16707</v>
      </c>
      <c r="B3192" s="65" t="s">
        <v>16708</v>
      </c>
      <c r="C3192" s="71" t="s">
        <v>165</v>
      </c>
      <c r="D3192" s="78">
        <v>1</v>
      </c>
      <c r="E3192" s="79">
        <v>116.4</v>
      </c>
      <c r="F3192" s="70">
        <v>116.4</v>
      </c>
      <c r="G3192" s="320"/>
      <c r="H3192" s="79">
        <v>71.58</v>
      </c>
      <c r="I3192" s="79">
        <v>44.82</v>
      </c>
      <c r="J3192" s="79">
        <v>116.4</v>
      </c>
      <c r="K3192" s="79">
        <v>0</v>
      </c>
      <c r="L3192" s="70">
        <v>116.4</v>
      </c>
      <c r="M3192" s="132"/>
      <c r="N3192" s="79">
        <v>71.58</v>
      </c>
      <c r="O3192" s="79">
        <v>44.82</v>
      </c>
      <c r="P3192" s="79">
        <v>116.4</v>
      </c>
      <c r="Q3192" s="136"/>
      <c r="R3192" s="79">
        <v>71.58</v>
      </c>
      <c r="S3192" s="79">
        <v>44.82</v>
      </c>
      <c r="T3192" s="79">
        <v>116.4</v>
      </c>
      <c r="U3192" s="79">
        <v>0</v>
      </c>
      <c r="V3192" s="189">
        <v>116.4</v>
      </c>
      <c r="X3192" s="79">
        <v>71.58</v>
      </c>
      <c r="Y3192" s="79">
        <v>44.82</v>
      </c>
      <c r="Z3192" s="79">
        <v>116.4</v>
      </c>
      <c r="AA3192" s="255">
        <v>0</v>
      </c>
      <c r="AC3192" s="254"/>
      <c r="AD3192" s="236"/>
      <c r="AE3192" s="236"/>
    </row>
    <row r="3193" spans="1:31" s="61" customFormat="1" ht="12">
      <c r="A3193" s="489" t="s">
        <v>16709</v>
      </c>
      <c r="B3193" s="490" t="s">
        <v>16710</v>
      </c>
      <c r="C3193" s="491"/>
      <c r="D3193" s="492"/>
      <c r="E3193" s="79"/>
      <c r="F3193" s="63"/>
      <c r="G3193" s="320"/>
      <c r="H3193" s="79"/>
      <c r="I3193" s="79"/>
      <c r="J3193" s="79"/>
      <c r="K3193" s="79"/>
      <c r="L3193" s="70"/>
      <c r="M3193" s="132"/>
      <c r="N3193" s="79"/>
      <c r="O3193" s="79"/>
      <c r="P3193" s="79"/>
      <c r="Q3193" s="136"/>
      <c r="R3193" s="79"/>
      <c r="S3193" s="79"/>
      <c r="T3193" s="79"/>
      <c r="U3193" s="79"/>
      <c r="V3193" s="189"/>
      <c r="X3193" s="79"/>
      <c r="Y3193" s="79"/>
      <c r="Z3193" s="79"/>
      <c r="AA3193" s="255"/>
      <c r="AC3193" s="254"/>
      <c r="AD3193" s="236"/>
      <c r="AE3193" s="236"/>
    </row>
    <row r="3194" spans="1:31" ht="12">
      <c r="A3194" s="67" t="s">
        <v>16711</v>
      </c>
      <c r="B3194" s="65" t="s">
        <v>16712</v>
      </c>
      <c r="C3194" s="499" t="s">
        <v>165</v>
      </c>
      <c r="D3194" s="78">
        <v>1</v>
      </c>
      <c r="E3194" s="79">
        <v>159.22</v>
      </c>
      <c r="F3194" s="70">
        <v>159.22</v>
      </c>
      <c r="G3194" s="320"/>
      <c r="H3194" s="79">
        <v>81.069999999999993</v>
      </c>
      <c r="I3194" s="79">
        <v>78.149999999999991</v>
      </c>
      <c r="J3194" s="79">
        <v>159.21999999999997</v>
      </c>
      <c r="K3194" s="79">
        <v>0</v>
      </c>
      <c r="L3194" s="70">
        <v>159.21999999999997</v>
      </c>
      <c r="M3194" s="132"/>
      <c r="N3194" s="79">
        <v>81.069999999999993</v>
      </c>
      <c r="O3194" s="79">
        <v>78.149999999999991</v>
      </c>
      <c r="P3194" s="79">
        <v>159.21999999999997</v>
      </c>
      <c r="Q3194" s="136"/>
      <c r="R3194" s="79">
        <v>81.069999999999993</v>
      </c>
      <c r="S3194" s="79">
        <v>78.16</v>
      </c>
      <c r="T3194" s="79">
        <v>159.22999999999999</v>
      </c>
      <c r="U3194" s="79">
        <v>0</v>
      </c>
      <c r="V3194" s="189">
        <v>159.22999999999999</v>
      </c>
      <c r="X3194" s="79">
        <v>81.069999999999993</v>
      </c>
      <c r="Y3194" s="79">
        <v>78.16</v>
      </c>
      <c r="Z3194" s="79">
        <v>159.22999999999999</v>
      </c>
      <c r="AA3194" s="255">
        <v>-9.9999999999909051E-3</v>
      </c>
      <c r="AC3194" s="254"/>
    </row>
    <row r="3195" spans="1:31" ht="12">
      <c r="A3195" s="67" t="s">
        <v>16713</v>
      </c>
      <c r="B3195" s="65" t="s">
        <v>16714</v>
      </c>
      <c r="C3195" s="71" t="s">
        <v>165</v>
      </c>
      <c r="D3195" s="78">
        <v>1</v>
      </c>
      <c r="E3195" s="79">
        <v>187.10999999999999</v>
      </c>
      <c r="F3195" s="70">
        <v>187.11</v>
      </c>
      <c r="G3195" s="320"/>
      <c r="H3195" s="79">
        <v>97.78</v>
      </c>
      <c r="I3195" s="79">
        <v>89.33</v>
      </c>
      <c r="J3195" s="79">
        <v>187.11</v>
      </c>
      <c r="K3195" s="79">
        <v>0</v>
      </c>
      <c r="L3195" s="70">
        <v>187.11</v>
      </c>
      <c r="M3195" s="132"/>
      <c r="N3195" s="79">
        <v>97.78</v>
      </c>
      <c r="O3195" s="79">
        <v>89.33</v>
      </c>
      <c r="P3195" s="79">
        <v>187.11</v>
      </c>
      <c r="Q3195" s="136"/>
      <c r="R3195" s="79">
        <v>97.78</v>
      </c>
      <c r="S3195" s="79">
        <v>89.33</v>
      </c>
      <c r="T3195" s="79">
        <v>187.11</v>
      </c>
      <c r="U3195" s="79">
        <v>0</v>
      </c>
      <c r="V3195" s="189">
        <v>187.11</v>
      </c>
      <c r="X3195" s="79">
        <v>97.78</v>
      </c>
      <c r="Y3195" s="79">
        <v>89.33</v>
      </c>
      <c r="Z3195" s="79">
        <v>187.11</v>
      </c>
      <c r="AA3195" s="255">
        <v>0</v>
      </c>
      <c r="AC3195" s="254"/>
      <c r="AD3195" s="61"/>
      <c r="AE3195" s="61"/>
    </row>
    <row r="3196" spans="1:31" ht="12">
      <c r="A3196" s="67" t="s">
        <v>16715</v>
      </c>
      <c r="B3196" s="65" t="s">
        <v>16716</v>
      </c>
      <c r="C3196" s="71" t="s">
        <v>165</v>
      </c>
      <c r="D3196" s="78">
        <v>1</v>
      </c>
      <c r="E3196" s="79">
        <v>191.77</v>
      </c>
      <c r="F3196" s="70">
        <v>191.77</v>
      </c>
      <c r="G3196" s="320"/>
      <c r="H3196" s="79">
        <v>102.44</v>
      </c>
      <c r="I3196" s="79">
        <v>89.33</v>
      </c>
      <c r="J3196" s="79">
        <v>191.76999999999998</v>
      </c>
      <c r="K3196" s="79">
        <v>0</v>
      </c>
      <c r="L3196" s="70">
        <v>191.76999999999998</v>
      </c>
      <c r="M3196" s="132"/>
      <c r="N3196" s="79">
        <v>102.44</v>
      </c>
      <c r="O3196" s="79">
        <v>89.33</v>
      </c>
      <c r="P3196" s="79">
        <v>191.76999999999998</v>
      </c>
      <c r="Q3196" s="136"/>
      <c r="R3196" s="79">
        <v>102.44</v>
      </c>
      <c r="S3196" s="79">
        <v>89.33</v>
      </c>
      <c r="T3196" s="79">
        <v>191.76999999999998</v>
      </c>
      <c r="U3196" s="79">
        <v>0</v>
      </c>
      <c r="V3196" s="189">
        <v>191.76999999999998</v>
      </c>
      <c r="X3196" s="79">
        <v>102.44</v>
      </c>
      <c r="Y3196" s="79">
        <v>89.33</v>
      </c>
      <c r="Z3196" s="79">
        <v>191.77</v>
      </c>
      <c r="AA3196" s="255">
        <v>0</v>
      </c>
      <c r="AC3196" s="254"/>
      <c r="AD3196" s="61"/>
      <c r="AE3196" s="61"/>
    </row>
    <row r="3197" spans="1:31" s="61" customFormat="1" ht="12">
      <c r="A3197" s="67" t="s">
        <v>16717</v>
      </c>
      <c r="B3197" s="65" t="s">
        <v>16718</v>
      </c>
      <c r="C3197" s="71" t="s">
        <v>165</v>
      </c>
      <c r="D3197" s="78">
        <v>1</v>
      </c>
      <c r="E3197" s="79">
        <v>229.54</v>
      </c>
      <c r="F3197" s="70">
        <v>229.54</v>
      </c>
      <c r="G3197" s="320"/>
      <c r="H3197" s="79">
        <v>129.04999999999998</v>
      </c>
      <c r="I3197" s="79">
        <v>100.49000000000001</v>
      </c>
      <c r="J3197" s="79">
        <v>229.54</v>
      </c>
      <c r="K3197" s="79">
        <v>0</v>
      </c>
      <c r="L3197" s="70">
        <v>229.54</v>
      </c>
      <c r="M3197" s="132"/>
      <c r="N3197" s="79">
        <v>129.04999999999998</v>
      </c>
      <c r="O3197" s="79">
        <v>100.49000000000001</v>
      </c>
      <c r="P3197" s="79">
        <v>229.54</v>
      </c>
      <c r="Q3197" s="136"/>
      <c r="R3197" s="79">
        <v>129.05000000000001</v>
      </c>
      <c r="S3197" s="79">
        <v>100.5</v>
      </c>
      <c r="T3197" s="79">
        <v>229.55</v>
      </c>
      <c r="U3197" s="79">
        <v>0</v>
      </c>
      <c r="V3197" s="189">
        <v>229.55</v>
      </c>
      <c r="X3197" s="79">
        <v>129.05000000000001</v>
      </c>
      <c r="Y3197" s="79">
        <v>100.5</v>
      </c>
      <c r="Z3197" s="79">
        <v>229.55</v>
      </c>
      <c r="AA3197" s="255">
        <v>-1.0000000000019327E-2</v>
      </c>
      <c r="AC3197" s="254"/>
    </row>
    <row r="3198" spans="1:31" s="61" customFormat="1" ht="12">
      <c r="A3198" s="67" t="s">
        <v>16719</v>
      </c>
      <c r="B3198" s="65" t="s">
        <v>16720</v>
      </c>
      <c r="C3198" s="71" t="s">
        <v>165</v>
      </c>
      <c r="D3198" s="78">
        <v>1</v>
      </c>
      <c r="E3198" s="79">
        <v>314.70999999999998</v>
      </c>
      <c r="F3198" s="70">
        <v>314.70999999999998</v>
      </c>
      <c r="G3198" s="320"/>
      <c r="H3198" s="79">
        <v>203.06</v>
      </c>
      <c r="I3198" s="79">
        <v>111.65</v>
      </c>
      <c r="J3198" s="79">
        <v>314.71000000000004</v>
      </c>
      <c r="K3198" s="79">
        <v>0</v>
      </c>
      <c r="L3198" s="70">
        <v>314.71000000000004</v>
      </c>
      <c r="M3198" s="132"/>
      <c r="N3198" s="79">
        <v>203.06</v>
      </c>
      <c r="O3198" s="79">
        <v>111.65</v>
      </c>
      <c r="P3198" s="79">
        <v>314.71000000000004</v>
      </c>
      <c r="Q3198" s="136"/>
      <c r="R3198" s="79">
        <v>203.06</v>
      </c>
      <c r="S3198" s="79">
        <v>111.66</v>
      </c>
      <c r="T3198" s="79">
        <v>314.72000000000003</v>
      </c>
      <c r="U3198" s="79">
        <v>0</v>
      </c>
      <c r="V3198" s="189">
        <v>314.72000000000003</v>
      </c>
      <c r="X3198" s="79">
        <v>203.06</v>
      </c>
      <c r="Y3198" s="79">
        <v>111.66</v>
      </c>
      <c r="Z3198" s="79">
        <v>314.72000000000003</v>
      </c>
      <c r="AA3198" s="255">
        <v>-1.0000000000047748E-2</v>
      </c>
      <c r="AC3198" s="254"/>
    </row>
    <row r="3199" spans="1:31" s="61" customFormat="1" ht="12">
      <c r="A3199" s="67" t="s">
        <v>16721</v>
      </c>
      <c r="B3199" s="65" t="s">
        <v>16722</v>
      </c>
      <c r="C3199" s="71" t="s">
        <v>165</v>
      </c>
      <c r="D3199" s="78">
        <v>1</v>
      </c>
      <c r="E3199" s="79">
        <v>357.12</v>
      </c>
      <c r="F3199" s="70">
        <v>357.12</v>
      </c>
      <c r="G3199" s="320"/>
      <c r="H3199" s="79">
        <v>231.5</v>
      </c>
      <c r="I3199" s="79">
        <v>125.62</v>
      </c>
      <c r="J3199" s="79">
        <v>357.12</v>
      </c>
      <c r="K3199" s="79">
        <v>0</v>
      </c>
      <c r="L3199" s="70">
        <v>357.12</v>
      </c>
      <c r="M3199" s="132"/>
      <c r="N3199" s="79">
        <v>231.5</v>
      </c>
      <c r="O3199" s="79">
        <v>125.62</v>
      </c>
      <c r="P3199" s="79">
        <v>357.12</v>
      </c>
      <c r="Q3199" s="136"/>
      <c r="R3199" s="79">
        <v>231.5</v>
      </c>
      <c r="S3199" s="79">
        <v>125.62</v>
      </c>
      <c r="T3199" s="79">
        <v>357.12</v>
      </c>
      <c r="U3199" s="79">
        <v>0</v>
      </c>
      <c r="V3199" s="189">
        <v>357.12</v>
      </c>
      <c r="X3199" s="79">
        <v>231.5</v>
      </c>
      <c r="Y3199" s="79">
        <v>125.62</v>
      </c>
      <c r="Z3199" s="79">
        <v>357.12</v>
      </c>
      <c r="AA3199" s="255">
        <v>0</v>
      </c>
      <c r="AC3199" s="254"/>
      <c r="AD3199" s="236"/>
      <c r="AE3199" s="236"/>
    </row>
    <row r="3200" spans="1:31" s="61" customFormat="1" ht="12">
      <c r="A3200" s="67" t="s">
        <v>16723</v>
      </c>
      <c r="B3200" s="65" t="s">
        <v>16724</v>
      </c>
      <c r="C3200" s="71" t="s">
        <v>165</v>
      </c>
      <c r="D3200" s="78">
        <v>1</v>
      </c>
      <c r="E3200" s="79">
        <v>420.04</v>
      </c>
      <c r="F3200" s="70">
        <v>420.04</v>
      </c>
      <c r="G3200" s="320"/>
      <c r="H3200" s="79">
        <v>286.07</v>
      </c>
      <c r="I3200" s="79">
        <v>133.97</v>
      </c>
      <c r="J3200" s="79">
        <v>420.03999999999996</v>
      </c>
      <c r="K3200" s="79">
        <v>0</v>
      </c>
      <c r="L3200" s="70">
        <v>420.03999999999996</v>
      </c>
      <c r="M3200" s="132"/>
      <c r="N3200" s="79">
        <v>286.07</v>
      </c>
      <c r="O3200" s="79">
        <v>133.97</v>
      </c>
      <c r="P3200" s="79">
        <v>420.03999999999996</v>
      </c>
      <c r="Q3200" s="136"/>
      <c r="R3200" s="79">
        <v>286.07</v>
      </c>
      <c r="S3200" s="79">
        <v>133.99</v>
      </c>
      <c r="T3200" s="79">
        <v>420.06</v>
      </c>
      <c r="U3200" s="79">
        <v>0</v>
      </c>
      <c r="V3200" s="189">
        <v>420.06</v>
      </c>
      <c r="X3200" s="79">
        <v>286.07</v>
      </c>
      <c r="Y3200" s="79">
        <v>133.99</v>
      </c>
      <c r="Z3200" s="79">
        <v>420.06</v>
      </c>
      <c r="AA3200" s="255">
        <v>-1.999999999998181E-2</v>
      </c>
      <c r="AC3200" s="254"/>
      <c r="AD3200" s="236"/>
      <c r="AE3200" s="236"/>
    </row>
    <row r="3201" spans="1:29" ht="12">
      <c r="A3201" s="67" t="s">
        <v>16725</v>
      </c>
      <c r="B3201" s="65" t="s">
        <v>16726</v>
      </c>
      <c r="C3201" s="71" t="s">
        <v>165</v>
      </c>
      <c r="D3201" s="78">
        <v>1</v>
      </c>
      <c r="E3201" s="79">
        <v>462.28</v>
      </c>
      <c r="F3201" s="70">
        <v>462.28</v>
      </c>
      <c r="G3201" s="320"/>
      <c r="H3201" s="79">
        <v>322.69</v>
      </c>
      <c r="I3201" s="79">
        <v>139.59</v>
      </c>
      <c r="J3201" s="79">
        <v>462.28</v>
      </c>
      <c r="K3201" s="79">
        <v>0</v>
      </c>
      <c r="L3201" s="70">
        <v>462.28</v>
      </c>
      <c r="M3201" s="132"/>
      <c r="N3201" s="79">
        <v>322.69</v>
      </c>
      <c r="O3201" s="79">
        <v>139.59</v>
      </c>
      <c r="P3201" s="79">
        <v>462.28</v>
      </c>
      <c r="Q3201" s="136"/>
      <c r="R3201" s="79">
        <v>322.69</v>
      </c>
      <c r="S3201" s="79">
        <v>139.58000000000001</v>
      </c>
      <c r="T3201" s="79">
        <v>462.27</v>
      </c>
      <c r="U3201" s="79">
        <v>0</v>
      </c>
      <c r="V3201" s="189">
        <v>462.27</v>
      </c>
      <c r="X3201" s="79">
        <v>322.69</v>
      </c>
      <c r="Y3201" s="79">
        <v>139.58000000000001</v>
      </c>
      <c r="Z3201" s="79">
        <v>462.27</v>
      </c>
      <c r="AA3201" s="255">
        <v>9.9999999999909051E-3</v>
      </c>
      <c r="AC3201" s="254"/>
    </row>
    <row r="3202" spans="1:29" ht="12">
      <c r="A3202" s="67" t="s">
        <v>16727</v>
      </c>
      <c r="B3202" s="65" t="s">
        <v>16728</v>
      </c>
      <c r="C3202" s="71" t="s">
        <v>165</v>
      </c>
      <c r="D3202" s="78">
        <v>1</v>
      </c>
      <c r="E3202" s="79">
        <v>584.20999999999992</v>
      </c>
      <c r="F3202" s="70">
        <v>584.21</v>
      </c>
      <c r="G3202" s="320"/>
      <c r="H3202" s="79">
        <v>436.27</v>
      </c>
      <c r="I3202" s="79">
        <v>147.94</v>
      </c>
      <c r="J3202" s="79">
        <v>584.21</v>
      </c>
      <c r="K3202" s="79">
        <v>0</v>
      </c>
      <c r="L3202" s="70">
        <v>584.21</v>
      </c>
      <c r="M3202" s="132"/>
      <c r="N3202" s="79">
        <v>436.27</v>
      </c>
      <c r="O3202" s="79">
        <v>147.94</v>
      </c>
      <c r="P3202" s="79">
        <v>584.21</v>
      </c>
      <c r="Q3202" s="136"/>
      <c r="R3202" s="79">
        <v>436.27</v>
      </c>
      <c r="S3202" s="79">
        <v>147.94999999999999</v>
      </c>
      <c r="T3202" s="79">
        <v>584.22</v>
      </c>
      <c r="U3202" s="79">
        <v>0</v>
      </c>
      <c r="V3202" s="189">
        <v>584.22</v>
      </c>
      <c r="X3202" s="79">
        <v>436.27</v>
      </c>
      <c r="Y3202" s="79">
        <v>147.94999999999999</v>
      </c>
      <c r="Z3202" s="79">
        <v>584.22</v>
      </c>
      <c r="AA3202" s="255">
        <v>-9.9999999999909051E-3</v>
      </c>
      <c r="AC3202" s="254"/>
    </row>
    <row r="3203" spans="1:29" ht="12">
      <c r="A3203" s="67" t="s">
        <v>16729</v>
      </c>
      <c r="B3203" s="65" t="s">
        <v>16730</v>
      </c>
      <c r="C3203" s="71" t="s">
        <v>165</v>
      </c>
      <c r="D3203" s="78">
        <v>1</v>
      </c>
      <c r="E3203" s="79">
        <v>696.24</v>
      </c>
      <c r="F3203" s="70">
        <v>696.24</v>
      </c>
      <c r="G3203" s="320"/>
      <c r="H3203" s="79">
        <v>542.73</v>
      </c>
      <c r="I3203" s="79">
        <v>153.51</v>
      </c>
      <c r="J3203" s="79">
        <v>696.24</v>
      </c>
      <c r="K3203" s="79">
        <v>0</v>
      </c>
      <c r="L3203" s="70">
        <v>696.24</v>
      </c>
      <c r="M3203" s="132"/>
      <c r="N3203" s="79">
        <v>542.73</v>
      </c>
      <c r="O3203" s="79">
        <v>153.51</v>
      </c>
      <c r="P3203" s="79">
        <v>696.24</v>
      </c>
      <c r="Q3203" s="136"/>
      <c r="R3203" s="79">
        <v>542.73</v>
      </c>
      <c r="S3203" s="79">
        <v>153.53</v>
      </c>
      <c r="T3203" s="79">
        <v>696.26</v>
      </c>
      <c r="U3203" s="79">
        <v>0</v>
      </c>
      <c r="V3203" s="189">
        <v>696.26</v>
      </c>
      <c r="X3203" s="79">
        <v>542.73</v>
      </c>
      <c r="Y3203" s="79">
        <v>153.53</v>
      </c>
      <c r="Z3203" s="79">
        <v>696.26</v>
      </c>
      <c r="AA3203" s="255">
        <v>-1.999999999998181E-2</v>
      </c>
      <c r="AC3203" s="254"/>
    </row>
    <row r="3204" spans="1:29" ht="12">
      <c r="A3204" s="67" t="s">
        <v>16731</v>
      </c>
      <c r="B3204" s="65" t="s">
        <v>16732</v>
      </c>
      <c r="C3204" s="71" t="s">
        <v>165</v>
      </c>
      <c r="D3204" s="78">
        <v>1</v>
      </c>
      <c r="E3204" s="79">
        <v>977.81999999999994</v>
      </c>
      <c r="F3204" s="70">
        <v>977.82</v>
      </c>
      <c r="G3204" s="320"/>
      <c r="H3204" s="79">
        <v>810.33999999999992</v>
      </c>
      <c r="I3204" s="79">
        <v>167.48</v>
      </c>
      <c r="J3204" s="79">
        <v>977.81999999999994</v>
      </c>
      <c r="K3204" s="79">
        <v>0</v>
      </c>
      <c r="L3204" s="70">
        <v>977.81999999999994</v>
      </c>
      <c r="M3204" s="132"/>
      <c r="N3204" s="79">
        <v>810.33999999999992</v>
      </c>
      <c r="O3204" s="79">
        <v>167.48</v>
      </c>
      <c r="P3204" s="79">
        <v>977.81999999999994</v>
      </c>
      <c r="Q3204" s="136"/>
      <c r="R3204" s="79">
        <v>810.34</v>
      </c>
      <c r="S3204" s="79">
        <v>167.49</v>
      </c>
      <c r="T3204" s="79">
        <v>977.83</v>
      </c>
      <c r="U3204" s="79">
        <v>0</v>
      </c>
      <c r="V3204" s="189">
        <v>977.83</v>
      </c>
      <c r="X3204" s="79">
        <v>810.34</v>
      </c>
      <c r="Y3204" s="79">
        <v>167.49</v>
      </c>
      <c r="Z3204" s="79">
        <v>977.83</v>
      </c>
      <c r="AA3204" s="255">
        <v>-9.9999999999909051E-3</v>
      </c>
      <c r="AC3204" s="254"/>
    </row>
    <row r="3205" spans="1:29" ht="12">
      <c r="A3205" s="67" t="s">
        <v>16733</v>
      </c>
      <c r="B3205" s="65" t="s">
        <v>16734</v>
      </c>
      <c r="C3205" s="71" t="s">
        <v>165</v>
      </c>
      <c r="D3205" s="78">
        <v>1</v>
      </c>
      <c r="E3205" s="79">
        <v>876.35</v>
      </c>
      <c r="F3205" s="70">
        <v>876.35</v>
      </c>
      <c r="G3205" s="320"/>
      <c r="H3205" s="79">
        <v>692.12</v>
      </c>
      <c r="I3205" s="79">
        <v>184.23000000000002</v>
      </c>
      <c r="J3205" s="79">
        <v>876.35</v>
      </c>
      <c r="K3205" s="79">
        <v>0</v>
      </c>
      <c r="L3205" s="70">
        <v>876.35</v>
      </c>
      <c r="M3205" s="132"/>
      <c r="N3205" s="79">
        <v>692.12</v>
      </c>
      <c r="O3205" s="79">
        <v>184.23000000000002</v>
      </c>
      <c r="P3205" s="79">
        <v>876.35</v>
      </c>
      <c r="Q3205" s="136"/>
      <c r="R3205" s="79">
        <v>692.12</v>
      </c>
      <c r="S3205" s="79">
        <v>184.24</v>
      </c>
      <c r="T3205" s="79">
        <v>876.36</v>
      </c>
      <c r="U3205" s="79">
        <v>0</v>
      </c>
      <c r="V3205" s="189">
        <v>876.36</v>
      </c>
      <c r="X3205" s="79">
        <v>692.12</v>
      </c>
      <c r="Y3205" s="79">
        <v>184.24</v>
      </c>
      <c r="Z3205" s="79">
        <v>876.36</v>
      </c>
      <c r="AA3205" s="255">
        <v>-9.9999999999909051E-3</v>
      </c>
      <c r="AC3205" s="254"/>
    </row>
    <row r="3206" spans="1:29" ht="12">
      <c r="A3206" s="67" t="s">
        <v>16735</v>
      </c>
      <c r="B3206" s="65" t="s">
        <v>16736</v>
      </c>
      <c r="C3206" s="71" t="s">
        <v>165</v>
      </c>
      <c r="D3206" s="78">
        <v>1</v>
      </c>
      <c r="E3206" s="79">
        <v>1125.17</v>
      </c>
      <c r="F3206" s="70">
        <v>1125.17</v>
      </c>
      <c r="G3206" s="320"/>
      <c r="H3206" s="79">
        <v>929.76</v>
      </c>
      <c r="I3206" s="79">
        <v>195.41000000000003</v>
      </c>
      <c r="J3206" s="79">
        <v>1125.17</v>
      </c>
      <c r="K3206" s="79">
        <v>0</v>
      </c>
      <c r="L3206" s="70">
        <v>1125.17</v>
      </c>
      <c r="M3206" s="132"/>
      <c r="N3206" s="79">
        <v>929.76</v>
      </c>
      <c r="O3206" s="79">
        <v>195.41000000000003</v>
      </c>
      <c r="P3206" s="79">
        <v>1125.17</v>
      </c>
      <c r="Q3206" s="136"/>
      <c r="R3206" s="79">
        <v>929.76</v>
      </c>
      <c r="S3206" s="79">
        <v>195.41</v>
      </c>
      <c r="T3206" s="79">
        <v>1125.17</v>
      </c>
      <c r="U3206" s="79">
        <v>0</v>
      </c>
      <c r="V3206" s="189">
        <v>1125.17</v>
      </c>
      <c r="X3206" s="79">
        <v>929.76</v>
      </c>
      <c r="Y3206" s="79">
        <v>195.41</v>
      </c>
      <c r="Z3206" s="79">
        <v>1125.17</v>
      </c>
      <c r="AA3206" s="255">
        <v>0</v>
      </c>
      <c r="AC3206" s="254"/>
    </row>
    <row r="3207" spans="1:29" ht="12">
      <c r="A3207" s="489" t="s">
        <v>16737</v>
      </c>
      <c r="B3207" s="490" t="s">
        <v>16738</v>
      </c>
      <c r="C3207" s="491"/>
      <c r="D3207" s="492"/>
      <c r="E3207" s="79"/>
      <c r="F3207" s="63"/>
      <c r="G3207" s="320"/>
      <c r="H3207" s="79"/>
      <c r="I3207" s="79"/>
      <c r="J3207" s="79"/>
      <c r="K3207" s="79"/>
      <c r="L3207" s="70"/>
      <c r="M3207" s="132"/>
      <c r="N3207" s="79"/>
      <c r="O3207" s="79"/>
      <c r="P3207" s="79"/>
      <c r="Q3207" s="136"/>
      <c r="R3207" s="79"/>
      <c r="S3207" s="79"/>
      <c r="T3207" s="79"/>
      <c r="U3207" s="79"/>
      <c r="V3207" s="189"/>
      <c r="X3207" s="79"/>
      <c r="Y3207" s="79"/>
      <c r="Z3207" s="79"/>
      <c r="AA3207" s="255"/>
      <c r="AC3207" s="254"/>
    </row>
    <row r="3208" spans="1:29" ht="12">
      <c r="A3208" s="67" t="s">
        <v>16739</v>
      </c>
      <c r="B3208" s="65" t="s">
        <v>16740</v>
      </c>
      <c r="C3208" s="71" t="s">
        <v>165</v>
      </c>
      <c r="D3208" s="78">
        <v>1</v>
      </c>
      <c r="E3208" s="79">
        <v>168.08</v>
      </c>
      <c r="F3208" s="70">
        <v>168.08</v>
      </c>
      <c r="G3208" s="320"/>
      <c r="H3208" s="79">
        <v>149.91</v>
      </c>
      <c r="I3208" s="79">
        <v>18.170000000000002</v>
      </c>
      <c r="J3208" s="79">
        <v>168.07999999999998</v>
      </c>
      <c r="K3208" s="79">
        <v>0</v>
      </c>
      <c r="L3208" s="70">
        <v>168.07999999999998</v>
      </c>
      <c r="M3208" s="132"/>
      <c r="N3208" s="79">
        <v>149.91</v>
      </c>
      <c r="O3208" s="79">
        <v>18.170000000000002</v>
      </c>
      <c r="P3208" s="79">
        <v>168.07999999999998</v>
      </c>
      <c r="Q3208" s="136"/>
      <c r="R3208" s="79">
        <v>149.91</v>
      </c>
      <c r="S3208" s="79">
        <v>18.170000000000002</v>
      </c>
      <c r="T3208" s="79">
        <v>168.07999999999998</v>
      </c>
      <c r="U3208" s="79">
        <v>0</v>
      </c>
      <c r="V3208" s="189">
        <v>168.07999999999998</v>
      </c>
      <c r="X3208" s="79">
        <v>149.91</v>
      </c>
      <c r="Y3208" s="79">
        <v>18.170000000000002</v>
      </c>
      <c r="Z3208" s="79">
        <v>168.08</v>
      </c>
      <c r="AA3208" s="255">
        <v>0</v>
      </c>
      <c r="AC3208" s="254"/>
    </row>
    <row r="3209" spans="1:29" ht="12">
      <c r="A3209" s="67" t="s">
        <v>16741</v>
      </c>
      <c r="B3209" s="65" t="s">
        <v>16742</v>
      </c>
      <c r="C3209" s="71" t="s">
        <v>165</v>
      </c>
      <c r="D3209" s="78">
        <v>1</v>
      </c>
      <c r="E3209" s="79">
        <v>234.19000000000003</v>
      </c>
      <c r="F3209" s="70">
        <v>234.19</v>
      </c>
      <c r="G3209" s="320"/>
      <c r="H3209" s="79">
        <v>206.94000000000003</v>
      </c>
      <c r="I3209" s="79">
        <v>27.25</v>
      </c>
      <c r="J3209" s="79">
        <v>234.19000000000003</v>
      </c>
      <c r="K3209" s="79">
        <v>0</v>
      </c>
      <c r="L3209" s="70">
        <v>234.19000000000003</v>
      </c>
      <c r="M3209" s="132"/>
      <c r="N3209" s="79">
        <v>206.94000000000003</v>
      </c>
      <c r="O3209" s="79">
        <v>27.25</v>
      </c>
      <c r="P3209" s="79">
        <v>234.19000000000003</v>
      </c>
      <c r="Q3209" s="136"/>
      <c r="R3209" s="79">
        <v>206.94</v>
      </c>
      <c r="S3209" s="79">
        <v>27.25</v>
      </c>
      <c r="T3209" s="79">
        <v>234.19</v>
      </c>
      <c r="U3209" s="79">
        <v>0</v>
      </c>
      <c r="V3209" s="189">
        <v>234.19</v>
      </c>
      <c r="X3209" s="79">
        <v>206.94</v>
      </c>
      <c r="Y3209" s="79">
        <v>27.25</v>
      </c>
      <c r="Z3209" s="79">
        <v>234.19</v>
      </c>
      <c r="AA3209" s="255">
        <v>0</v>
      </c>
      <c r="AC3209" s="254"/>
    </row>
    <row r="3210" spans="1:29" ht="12">
      <c r="A3210" s="67" t="s">
        <v>16743</v>
      </c>
      <c r="B3210" s="65" t="s">
        <v>16744</v>
      </c>
      <c r="C3210" s="71" t="s">
        <v>165</v>
      </c>
      <c r="D3210" s="78">
        <v>1</v>
      </c>
      <c r="E3210" s="79">
        <v>358.29</v>
      </c>
      <c r="F3210" s="70">
        <v>358.29</v>
      </c>
      <c r="G3210" s="320"/>
      <c r="H3210" s="79">
        <v>326.5</v>
      </c>
      <c r="I3210" s="79">
        <v>31.79</v>
      </c>
      <c r="J3210" s="79">
        <v>358.29</v>
      </c>
      <c r="K3210" s="79">
        <v>0</v>
      </c>
      <c r="L3210" s="70">
        <v>358.29</v>
      </c>
      <c r="M3210" s="132"/>
      <c r="N3210" s="79">
        <v>326.5</v>
      </c>
      <c r="O3210" s="79">
        <v>31.79</v>
      </c>
      <c r="P3210" s="79">
        <v>358.29</v>
      </c>
      <c r="Q3210" s="136"/>
      <c r="R3210" s="79">
        <v>326.5</v>
      </c>
      <c r="S3210" s="79">
        <v>31.79</v>
      </c>
      <c r="T3210" s="79">
        <v>358.29</v>
      </c>
      <c r="U3210" s="79">
        <v>0</v>
      </c>
      <c r="V3210" s="189">
        <v>358.29</v>
      </c>
      <c r="X3210" s="79">
        <v>326.5</v>
      </c>
      <c r="Y3210" s="79">
        <v>31.79</v>
      </c>
      <c r="Z3210" s="79">
        <v>358.29</v>
      </c>
      <c r="AA3210" s="255">
        <v>0</v>
      </c>
      <c r="AC3210" s="254"/>
    </row>
    <row r="3211" spans="1:29" ht="12">
      <c r="A3211" s="67" t="s">
        <v>16745</v>
      </c>
      <c r="B3211" s="65" t="s">
        <v>16746</v>
      </c>
      <c r="C3211" s="71" t="s">
        <v>165</v>
      </c>
      <c r="D3211" s="78">
        <v>1</v>
      </c>
      <c r="E3211" s="79">
        <v>482.35999999999996</v>
      </c>
      <c r="F3211" s="70">
        <v>482.36</v>
      </c>
      <c r="G3211" s="320"/>
      <c r="H3211" s="79">
        <v>446.03</v>
      </c>
      <c r="I3211" s="79">
        <v>36.33</v>
      </c>
      <c r="J3211" s="79">
        <v>482.35999999999996</v>
      </c>
      <c r="K3211" s="79">
        <v>0</v>
      </c>
      <c r="L3211" s="70">
        <v>482.35999999999996</v>
      </c>
      <c r="M3211" s="132"/>
      <c r="N3211" s="79">
        <v>446.03</v>
      </c>
      <c r="O3211" s="79">
        <v>36.33</v>
      </c>
      <c r="P3211" s="79">
        <v>482.35999999999996</v>
      </c>
      <c r="Q3211" s="136"/>
      <c r="R3211" s="79">
        <v>446.03</v>
      </c>
      <c r="S3211" s="79">
        <v>36.340000000000003</v>
      </c>
      <c r="T3211" s="79">
        <v>482.37</v>
      </c>
      <c r="U3211" s="79">
        <v>0</v>
      </c>
      <c r="V3211" s="189">
        <v>482.37</v>
      </c>
      <c r="X3211" s="79">
        <v>446.03</v>
      </c>
      <c r="Y3211" s="79">
        <v>36.340000000000003</v>
      </c>
      <c r="Z3211" s="79">
        <v>482.37</v>
      </c>
      <c r="AA3211" s="255">
        <v>-9.9999999999909051E-3</v>
      </c>
      <c r="AC3211" s="254"/>
    </row>
    <row r="3212" spans="1:29" ht="12">
      <c r="A3212" s="67" t="s">
        <v>16747</v>
      </c>
      <c r="B3212" s="65" t="s">
        <v>16748</v>
      </c>
      <c r="C3212" s="71" t="s">
        <v>165</v>
      </c>
      <c r="D3212" s="78">
        <v>1</v>
      </c>
      <c r="E3212" s="79">
        <v>588.52</v>
      </c>
      <c r="F3212" s="70">
        <v>588.52</v>
      </c>
      <c r="G3212" s="320"/>
      <c r="H3212" s="79">
        <v>543.1</v>
      </c>
      <c r="I3212" s="79">
        <v>45.42</v>
      </c>
      <c r="J3212" s="79">
        <v>588.52</v>
      </c>
      <c r="K3212" s="79">
        <v>0</v>
      </c>
      <c r="L3212" s="70">
        <v>588.52</v>
      </c>
      <c r="M3212" s="132"/>
      <c r="N3212" s="79">
        <v>543.1</v>
      </c>
      <c r="O3212" s="79">
        <v>45.42</v>
      </c>
      <c r="P3212" s="79">
        <v>588.52</v>
      </c>
      <c r="Q3212" s="136"/>
      <c r="R3212" s="79">
        <v>543.1</v>
      </c>
      <c r="S3212" s="79">
        <v>45.42</v>
      </c>
      <c r="T3212" s="79">
        <v>588.52</v>
      </c>
      <c r="U3212" s="79">
        <v>0</v>
      </c>
      <c r="V3212" s="189">
        <v>588.52</v>
      </c>
      <c r="X3212" s="79">
        <v>543.1</v>
      </c>
      <c r="Y3212" s="79">
        <v>45.42</v>
      </c>
      <c r="Z3212" s="79">
        <v>588.52</v>
      </c>
      <c r="AA3212" s="255">
        <v>0</v>
      </c>
      <c r="AC3212" s="254"/>
    </row>
    <row r="3213" spans="1:29" ht="12">
      <c r="A3213" s="67" t="s">
        <v>16749</v>
      </c>
      <c r="B3213" s="65" t="s">
        <v>16750</v>
      </c>
      <c r="C3213" s="71" t="s">
        <v>165</v>
      </c>
      <c r="D3213" s="78">
        <v>1</v>
      </c>
      <c r="E3213" s="79">
        <v>898.66</v>
      </c>
      <c r="F3213" s="70">
        <v>898.66</v>
      </c>
      <c r="G3213" s="320"/>
      <c r="H3213" s="79">
        <v>844.16</v>
      </c>
      <c r="I3213" s="79">
        <v>54.5</v>
      </c>
      <c r="J3213" s="79">
        <v>898.66</v>
      </c>
      <c r="K3213" s="79">
        <v>0</v>
      </c>
      <c r="L3213" s="70">
        <v>898.66</v>
      </c>
      <c r="M3213" s="132"/>
      <c r="N3213" s="79">
        <v>844.16</v>
      </c>
      <c r="O3213" s="79">
        <v>54.5</v>
      </c>
      <c r="P3213" s="79">
        <v>898.66</v>
      </c>
      <c r="Q3213" s="136"/>
      <c r="R3213" s="79">
        <v>844.16</v>
      </c>
      <c r="S3213" s="79">
        <v>54.5</v>
      </c>
      <c r="T3213" s="79">
        <v>898.66</v>
      </c>
      <c r="U3213" s="79">
        <v>0</v>
      </c>
      <c r="V3213" s="189">
        <v>898.66</v>
      </c>
      <c r="X3213" s="79">
        <v>844.16</v>
      </c>
      <c r="Y3213" s="79">
        <v>54.5</v>
      </c>
      <c r="Z3213" s="79">
        <v>898.66</v>
      </c>
      <c r="AA3213" s="255">
        <v>0</v>
      </c>
      <c r="AC3213" s="254"/>
    </row>
    <row r="3214" spans="1:29" ht="12">
      <c r="A3214" s="67" t="s">
        <v>16751</v>
      </c>
      <c r="B3214" s="65" t="s">
        <v>16752</v>
      </c>
      <c r="C3214" s="71" t="s">
        <v>165</v>
      </c>
      <c r="D3214" s="78">
        <v>1</v>
      </c>
      <c r="E3214" s="79">
        <v>880.89</v>
      </c>
      <c r="F3214" s="70">
        <v>880.89</v>
      </c>
      <c r="G3214" s="320"/>
      <c r="H3214" s="79">
        <v>812.76</v>
      </c>
      <c r="I3214" s="79">
        <v>68.13</v>
      </c>
      <c r="J3214" s="79">
        <v>880.89</v>
      </c>
      <c r="K3214" s="79">
        <v>0</v>
      </c>
      <c r="L3214" s="70">
        <v>880.89</v>
      </c>
      <c r="M3214" s="132"/>
      <c r="N3214" s="79">
        <v>812.76</v>
      </c>
      <c r="O3214" s="79">
        <v>68.13</v>
      </c>
      <c r="P3214" s="79">
        <v>880.89</v>
      </c>
      <c r="Q3214" s="136"/>
      <c r="R3214" s="79">
        <v>812.76</v>
      </c>
      <c r="S3214" s="79">
        <v>68.13</v>
      </c>
      <c r="T3214" s="79">
        <v>880.89</v>
      </c>
      <c r="U3214" s="79">
        <v>0</v>
      </c>
      <c r="V3214" s="189">
        <v>880.89</v>
      </c>
      <c r="X3214" s="79">
        <v>812.76</v>
      </c>
      <c r="Y3214" s="79">
        <v>68.13</v>
      </c>
      <c r="Z3214" s="79">
        <v>880.89</v>
      </c>
      <c r="AA3214" s="255">
        <v>0</v>
      </c>
      <c r="AC3214" s="254"/>
    </row>
    <row r="3215" spans="1:29" ht="12">
      <c r="A3215" s="67" t="s">
        <v>16753</v>
      </c>
      <c r="B3215" s="65" t="s">
        <v>16754</v>
      </c>
      <c r="C3215" s="71" t="s">
        <v>165</v>
      </c>
      <c r="D3215" s="78">
        <v>1</v>
      </c>
      <c r="E3215" s="79">
        <v>1347.3799999999999</v>
      </c>
      <c r="F3215" s="70">
        <v>1347.38</v>
      </c>
      <c r="G3215" s="320"/>
      <c r="H3215" s="79">
        <v>1211.1299999999999</v>
      </c>
      <c r="I3215" s="79">
        <v>136.25</v>
      </c>
      <c r="J3215" s="79">
        <v>1347.3799999999999</v>
      </c>
      <c r="K3215" s="79">
        <v>0</v>
      </c>
      <c r="L3215" s="70">
        <v>1347.3799999999999</v>
      </c>
      <c r="M3215" s="132"/>
      <c r="N3215" s="79">
        <v>1211.1299999999999</v>
      </c>
      <c r="O3215" s="79">
        <v>136.25</v>
      </c>
      <c r="P3215" s="79">
        <v>1347.3799999999999</v>
      </c>
      <c r="Q3215" s="136"/>
      <c r="R3215" s="79">
        <v>1211.1300000000001</v>
      </c>
      <c r="S3215" s="79">
        <v>136.26</v>
      </c>
      <c r="T3215" s="79">
        <v>1347.39</v>
      </c>
      <c r="U3215" s="79">
        <v>0</v>
      </c>
      <c r="V3215" s="189">
        <v>1347.39</v>
      </c>
      <c r="X3215" s="79">
        <v>1211.1300000000001</v>
      </c>
      <c r="Y3215" s="79">
        <v>136.26</v>
      </c>
      <c r="Z3215" s="79">
        <v>1347.39</v>
      </c>
      <c r="AA3215" s="255">
        <v>-9.9999999999909051E-3</v>
      </c>
      <c r="AC3215" s="254"/>
    </row>
    <row r="3216" spans="1:29" ht="12">
      <c r="A3216" s="489" t="s">
        <v>16755</v>
      </c>
      <c r="B3216" s="490" t="s">
        <v>16756</v>
      </c>
      <c r="C3216" s="71"/>
      <c r="D3216" s="78"/>
      <c r="E3216" s="79"/>
      <c r="F3216" s="70"/>
      <c r="G3216" s="320"/>
      <c r="H3216" s="79"/>
      <c r="I3216" s="79"/>
      <c r="J3216" s="79"/>
      <c r="K3216" s="79"/>
      <c r="L3216" s="70"/>
      <c r="M3216" s="132"/>
      <c r="N3216" s="79"/>
      <c r="O3216" s="79"/>
      <c r="P3216" s="79"/>
      <c r="Q3216" s="136"/>
      <c r="R3216" s="79"/>
      <c r="S3216" s="79"/>
      <c r="T3216" s="79"/>
      <c r="U3216" s="79"/>
      <c r="V3216" s="189"/>
      <c r="X3216" s="79"/>
      <c r="Y3216" s="79"/>
      <c r="Z3216" s="79"/>
      <c r="AA3216" s="255"/>
      <c r="AC3216" s="254"/>
    </row>
    <row r="3217" spans="1:29" ht="12">
      <c r="A3217" s="67" t="s">
        <v>16757</v>
      </c>
      <c r="B3217" s="65" t="s">
        <v>16758</v>
      </c>
      <c r="C3217" s="71" t="s">
        <v>165</v>
      </c>
      <c r="D3217" s="78">
        <v>1</v>
      </c>
      <c r="E3217" s="79">
        <v>119.45</v>
      </c>
      <c r="F3217" s="70">
        <v>119.45</v>
      </c>
      <c r="G3217" s="320"/>
      <c r="H3217" s="79">
        <v>73.12</v>
      </c>
      <c r="I3217" s="79">
        <v>46.33</v>
      </c>
      <c r="J3217" s="79">
        <v>119.45</v>
      </c>
      <c r="K3217" s="79">
        <v>0</v>
      </c>
      <c r="L3217" s="70">
        <v>119.45</v>
      </c>
      <c r="M3217" s="132"/>
      <c r="N3217" s="79">
        <v>73.12</v>
      </c>
      <c r="O3217" s="79">
        <v>46.33</v>
      </c>
      <c r="P3217" s="79">
        <v>119.45</v>
      </c>
      <c r="Q3217" s="136"/>
      <c r="R3217" s="79">
        <v>73.12</v>
      </c>
      <c r="S3217" s="79">
        <v>46.34</v>
      </c>
      <c r="T3217" s="79">
        <v>119.46000000000001</v>
      </c>
      <c r="U3217" s="79">
        <v>0</v>
      </c>
      <c r="V3217" s="189">
        <v>119.46000000000001</v>
      </c>
      <c r="X3217" s="79">
        <v>73.12</v>
      </c>
      <c r="Y3217" s="79">
        <v>46.34</v>
      </c>
      <c r="Z3217" s="79">
        <v>119.46</v>
      </c>
      <c r="AA3217" s="255">
        <v>-9.9999999999909051E-3</v>
      </c>
      <c r="AC3217" s="254"/>
    </row>
    <row r="3218" spans="1:29" ht="12">
      <c r="A3218" s="489" t="s">
        <v>16759</v>
      </c>
      <c r="B3218" s="490" t="s">
        <v>16760</v>
      </c>
      <c r="C3218" s="491"/>
      <c r="D3218" s="492"/>
      <c r="E3218" s="79"/>
      <c r="F3218" s="63"/>
      <c r="G3218" s="320"/>
      <c r="H3218" s="79"/>
      <c r="I3218" s="79"/>
      <c r="J3218" s="79"/>
      <c r="K3218" s="79"/>
      <c r="L3218" s="70"/>
      <c r="M3218" s="132"/>
      <c r="N3218" s="79"/>
      <c r="O3218" s="79"/>
      <c r="P3218" s="79"/>
      <c r="Q3218" s="136"/>
      <c r="R3218" s="79"/>
      <c r="S3218" s="79"/>
      <c r="T3218" s="79"/>
      <c r="U3218" s="79"/>
      <c r="V3218" s="189"/>
      <c r="X3218" s="79"/>
      <c r="Y3218" s="79"/>
      <c r="Z3218" s="79"/>
      <c r="AA3218" s="255"/>
      <c r="AC3218" s="254"/>
    </row>
    <row r="3219" spans="1:29" ht="12">
      <c r="A3219" s="67" t="s">
        <v>16761</v>
      </c>
      <c r="B3219" s="65" t="s">
        <v>16762</v>
      </c>
      <c r="C3219" s="71" t="s">
        <v>165</v>
      </c>
      <c r="D3219" s="78">
        <v>1</v>
      </c>
      <c r="E3219" s="79">
        <v>197.68</v>
      </c>
      <c r="F3219" s="70">
        <v>197.68</v>
      </c>
      <c r="G3219" s="320"/>
      <c r="H3219" s="79">
        <v>169.74</v>
      </c>
      <c r="I3219" s="79">
        <v>27.939999999999998</v>
      </c>
      <c r="J3219" s="79">
        <v>197.68</v>
      </c>
      <c r="K3219" s="79">
        <v>0</v>
      </c>
      <c r="L3219" s="70">
        <v>197.68</v>
      </c>
      <c r="M3219" s="132"/>
      <c r="N3219" s="79">
        <v>169.74</v>
      </c>
      <c r="O3219" s="79">
        <v>27.939999999999998</v>
      </c>
      <c r="P3219" s="79">
        <v>197.68</v>
      </c>
      <c r="Q3219" s="136"/>
      <c r="R3219" s="79">
        <v>169.74</v>
      </c>
      <c r="S3219" s="79">
        <v>27.92</v>
      </c>
      <c r="T3219" s="79">
        <v>197.66000000000003</v>
      </c>
      <c r="U3219" s="79">
        <v>0</v>
      </c>
      <c r="V3219" s="189">
        <v>197.66000000000003</v>
      </c>
      <c r="X3219" s="79">
        <v>169.74</v>
      </c>
      <c r="Y3219" s="79">
        <v>27.92</v>
      </c>
      <c r="Z3219" s="79">
        <v>197.66</v>
      </c>
      <c r="AA3219" s="255">
        <v>2.0000000000010232E-2</v>
      </c>
      <c r="AC3219" s="254"/>
    </row>
    <row r="3220" spans="1:29" ht="12">
      <c r="A3220" s="67" t="s">
        <v>16763</v>
      </c>
      <c r="B3220" s="65" t="s">
        <v>16764</v>
      </c>
      <c r="C3220" s="71" t="s">
        <v>165</v>
      </c>
      <c r="D3220" s="78">
        <v>1</v>
      </c>
      <c r="E3220" s="79">
        <v>282.5</v>
      </c>
      <c r="F3220" s="70">
        <v>282.5</v>
      </c>
      <c r="G3220" s="320"/>
      <c r="H3220" s="79">
        <v>254.56</v>
      </c>
      <c r="I3220" s="79">
        <v>27.939999999999998</v>
      </c>
      <c r="J3220" s="79">
        <v>282.5</v>
      </c>
      <c r="K3220" s="79">
        <v>0</v>
      </c>
      <c r="L3220" s="70">
        <v>282.5</v>
      </c>
      <c r="M3220" s="132"/>
      <c r="N3220" s="79">
        <v>254.56</v>
      </c>
      <c r="O3220" s="79">
        <v>27.939999999999998</v>
      </c>
      <c r="P3220" s="79">
        <v>282.5</v>
      </c>
      <c r="Q3220" s="136"/>
      <c r="R3220" s="79">
        <v>254.56</v>
      </c>
      <c r="S3220" s="79">
        <v>27.92</v>
      </c>
      <c r="T3220" s="79">
        <v>282.48</v>
      </c>
      <c r="U3220" s="79">
        <v>0</v>
      </c>
      <c r="V3220" s="189">
        <v>282.48</v>
      </c>
      <c r="X3220" s="79">
        <v>254.56</v>
      </c>
      <c r="Y3220" s="79">
        <v>27.92</v>
      </c>
      <c r="Z3220" s="79">
        <v>282.48</v>
      </c>
      <c r="AA3220" s="255">
        <v>1.999999999998181E-2</v>
      </c>
      <c r="AC3220" s="254"/>
    </row>
    <row r="3221" spans="1:29" ht="12">
      <c r="A3221" s="67" t="s">
        <v>16765</v>
      </c>
      <c r="B3221" s="65" t="s">
        <v>16766</v>
      </c>
      <c r="C3221" s="71" t="s">
        <v>165</v>
      </c>
      <c r="D3221" s="78">
        <v>1</v>
      </c>
      <c r="E3221" s="79">
        <v>308.16999999999996</v>
      </c>
      <c r="F3221" s="70">
        <v>308.17</v>
      </c>
      <c r="G3221" s="320"/>
      <c r="H3221" s="79">
        <v>268.89</v>
      </c>
      <c r="I3221" s="79">
        <v>39.28</v>
      </c>
      <c r="J3221" s="79">
        <v>308.16999999999996</v>
      </c>
      <c r="K3221" s="79">
        <v>0</v>
      </c>
      <c r="L3221" s="70">
        <v>308.16999999999996</v>
      </c>
      <c r="M3221" s="132"/>
      <c r="N3221" s="79">
        <v>268.89</v>
      </c>
      <c r="O3221" s="79">
        <v>39.28</v>
      </c>
      <c r="P3221" s="79">
        <v>308.16999999999996</v>
      </c>
      <c r="Q3221" s="136"/>
      <c r="R3221" s="79">
        <v>268.89</v>
      </c>
      <c r="S3221" s="79">
        <v>39.270000000000003</v>
      </c>
      <c r="T3221" s="79">
        <v>308.15999999999997</v>
      </c>
      <c r="U3221" s="79">
        <v>0</v>
      </c>
      <c r="V3221" s="189">
        <v>308.15999999999997</v>
      </c>
      <c r="X3221" s="79">
        <v>268.89</v>
      </c>
      <c r="Y3221" s="79">
        <v>39.270000000000003</v>
      </c>
      <c r="Z3221" s="79">
        <v>308.16000000000003</v>
      </c>
      <c r="AA3221" s="255">
        <v>9.9999999999909051E-3</v>
      </c>
      <c r="AC3221" s="254"/>
    </row>
    <row r="3222" spans="1:29" ht="12">
      <c r="A3222" s="67" t="s">
        <v>16767</v>
      </c>
      <c r="B3222" s="65" t="s">
        <v>16768</v>
      </c>
      <c r="C3222" s="71" t="s">
        <v>165</v>
      </c>
      <c r="D3222" s="78">
        <v>1</v>
      </c>
      <c r="E3222" s="79">
        <v>399.71000000000004</v>
      </c>
      <c r="F3222" s="70">
        <v>399.71</v>
      </c>
      <c r="G3222" s="320"/>
      <c r="H3222" s="79">
        <v>360.43</v>
      </c>
      <c r="I3222" s="79">
        <v>39.28</v>
      </c>
      <c r="J3222" s="79">
        <v>399.71000000000004</v>
      </c>
      <c r="K3222" s="79">
        <v>0</v>
      </c>
      <c r="L3222" s="70">
        <v>399.71000000000004</v>
      </c>
      <c r="M3222" s="132"/>
      <c r="N3222" s="79">
        <v>360.43</v>
      </c>
      <c r="O3222" s="79">
        <v>39.28</v>
      </c>
      <c r="P3222" s="79">
        <v>399.71000000000004</v>
      </c>
      <c r="Q3222" s="136"/>
      <c r="R3222" s="79">
        <v>360.43</v>
      </c>
      <c r="S3222" s="79">
        <v>39.270000000000003</v>
      </c>
      <c r="T3222" s="79">
        <v>399.7</v>
      </c>
      <c r="U3222" s="79">
        <v>0</v>
      </c>
      <c r="V3222" s="189">
        <v>399.7</v>
      </c>
      <c r="X3222" s="79">
        <v>360.43</v>
      </c>
      <c r="Y3222" s="79">
        <v>39.270000000000003</v>
      </c>
      <c r="Z3222" s="79">
        <v>399.7</v>
      </c>
      <c r="AA3222" s="255">
        <v>9.9999999999909051E-3</v>
      </c>
      <c r="AC3222" s="254"/>
    </row>
    <row r="3223" spans="1:29" ht="12">
      <c r="A3223" s="67" t="s">
        <v>16769</v>
      </c>
      <c r="B3223" s="65" t="s">
        <v>16770</v>
      </c>
      <c r="C3223" s="71" t="s">
        <v>165</v>
      </c>
      <c r="D3223" s="78">
        <v>1</v>
      </c>
      <c r="E3223" s="79">
        <v>673.86</v>
      </c>
      <c r="F3223" s="70">
        <v>673.86</v>
      </c>
      <c r="G3223" s="320"/>
      <c r="H3223" s="79">
        <v>634.58000000000004</v>
      </c>
      <c r="I3223" s="79">
        <v>39.28</v>
      </c>
      <c r="J3223" s="79">
        <v>673.86</v>
      </c>
      <c r="K3223" s="79">
        <v>0</v>
      </c>
      <c r="L3223" s="70">
        <v>673.86</v>
      </c>
      <c r="M3223" s="132"/>
      <c r="N3223" s="79">
        <v>634.58000000000004</v>
      </c>
      <c r="O3223" s="79">
        <v>39.28</v>
      </c>
      <c r="P3223" s="79">
        <v>673.86</v>
      </c>
      <c r="Q3223" s="136"/>
      <c r="R3223" s="79">
        <v>634.58000000000004</v>
      </c>
      <c r="S3223" s="79">
        <v>39.270000000000003</v>
      </c>
      <c r="T3223" s="79">
        <v>673.85</v>
      </c>
      <c r="U3223" s="79">
        <v>0</v>
      </c>
      <c r="V3223" s="189">
        <v>673.85</v>
      </c>
      <c r="X3223" s="79">
        <v>634.58000000000004</v>
      </c>
      <c r="Y3223" s="79">
        <v>39.270000000000003</v>
      </c>
      <c r="Z3223" s="79">
        <v>673.85</v>
      </c>
      <c r="AA3223" s="255">
        <v>9.9999999999909051E-3</v>
      </c>
      <c r="AC3223" s="254"/>
    </row>
    <row r="3224" spans="1:29" ht="12">
      <c r="A3224" s="67" t="s">
        <v>16771</v>
      </c>
      <c r="B3224" s="65" t="s">
        <v>16772</v>
      </c>
      <c r="C3224" s="71" t="s">
        <v>103</v>
      </c>
      <c r="D3224" s="78">
        <v>1</v>
      </c>
      <c r="E3224" s="79">
        <v>81.75</v>
      </c>
      <c r="F3224" s="70">
        <v>81.75</v>
      </c>
      <c r="G3224" s="320"/>
      <c r="H3224" s="79">
        <v>59.43</v>
      </c>
      <c r="I3224" s="79">
        <v>22.32</v>
      </c>
      <c r="J3224" s="79">
        <v>81.75</v>
      </c>
      <c r="K3224" s="79">
        <v>0</v>
      </c>
      <c r="L3224" s="70">
        <v>81.75</v>
      </c>
      <c r="M3224" s="132"/>
      <c r="N3224" s="79">
        <v>59.43</v>
      </c>
      <c r="O3224" s="79">
        <v>22.32</v>
      </c>
      <c r="P3224" s="79">
        <v>81.75</v>
      </c>
      <c r="Q3224" s="136"/>
      <c r="R3224" s="79">
        <v>59.43</v>
      </c>
      <c r="S3224" s="79">
        <v>22.33</v>
      </c>
      <c r="T3224" s="79">
        <v>81.759999999999991</v>
      </c>
      <c r="U3224" s="79">
        <v>0</v>
      </c>
      <c r="V3224" s="189">
        <v>81.759999999999991</v>
      </c>
      <c r="X3224" s="79">
        <v>59.43</v>
      </c>
      <c r="Y3224" s="79">
        <v>22.33</v>
      </c>
      <c r="Z3224" s="79">
        <v>81.760000000000005</v>
      </c>
      <c r="AA3224" s="255">
        <v>-1.0000000000005116E-2</v>
      </c>
      <c r="AC3224" s="254"/>
    </row>
    <row r="3225" spans="1:29" ht="12">
      <c r="A3225" s="67" t="s">
        <v>16773</v>
      </c>
      <c r="B3225" s="65" t="s">
        <v>16774</v>
      </c>
      <c r="C3225" s="71" t="s">
        <v>103</v>
      </c>
      <c r="D3225" s="78">
        <v>1</v>
      </c>
      <c r="E3225" s="79">
        <v>89.830000000000013</v>
      </c>
      <c r="F3225" s="70">
        <v>89.83</v>
      </c>
      <c r="G3225" s="320"/>
      <c r="H3225" s="79">
        <v>67.510000000000005</v>
      </c>
      <c r="I3225" s="79">
        <v>22.32</v>
      </c>
      <c r="J3225" s="79">
        <v>89.830000000000013</v>
      </c>
      <c r="K3225" s="79">
        <v>0</v>
      </c>
      <c r="L3225" s="70">
        <v>89.830000000000013</v>
      </c>
      <c r="M3225" s="132"/>
      <c r="N3225" s="79">
        <v>67.510000000000005</v>
      </c>
      <c r="O3225" s="79">
        <v>22.32</v>
      </c>
      <c r="P3225" s="79">
        <v>89.830000000000013</v>
      </c>
      <c r="Q3225" s="136"/>
      <c r="R3225" s="79">
        <v>67.510000000000005</v>
      </c>
      <c r="S3225" s="79">
        <v>22.33</v>
      </c>
      <c r="T3225" s="79">
        <v>89.84</v>
      </c>
      <c r="U3225" s="79">
        <v>0</v>
      </c>
      <c r="V3225" s="189">
        <v>89.84</v>
      </c>
      <c r="X3225" s="79">
        <v>67.510000000000005</v>
      </c>
      <c r="Y3225" s="79">
        <v>22.33</v>
      </c>
      <c r="Z3225" s="79">
        <v>89.84</v>
      </c>
      <c r="AA3225" s="255">
        <v>-1.0000000000005116E-2</v>
      </c>
      <c r="AC3225" s="254"/>
    </row>
    <row r="3226" spans="1:29" ht="12">
      <c r="A3226" s="67" t="s">
        <v>16775</v>
      </c>
      <c r="B3226" s="65" t="s">
        <v>16776</v>
      </c>
      <c r="C3226" s="71" t="s">
        <v>103</v>
      </c>
      <c r="D3226" s="78">
        <v>1</v>
      </c>
      <c r="E3226" s="79">
        <v>114.75999999999999</v>
      </c>
      <c r="F3226" s="70">
        <v>114.76</v>
      </c>
      <c r="G3226" s="320"/>
      <c r="H3226" s="79">
        <v>86.82</v>
      </c>
      <c r="I3226" s="79">
        <v>27.939999999999998</v>
      </c>
      <c r="J3226" s="79">
        <v>114.75999999999999</v>
      </c>
      <c r="K3226" s="79">
        <v>0</v>
      </c>
      <c r="L3226" s="70">
        <v>114.75999999999999</v>
      </c>
      <c r="M3226" s="132"/>
      <c r="N3226" s="79">
        <v>86.82</v>
      </c>
      <c r="O3226" s="79">
        <v>27.939999999999998</v>
      </c>
      <c r="P3226" s="79">
        <v>114.75999999999999</v>
      </c>
      <c r="Q3226" s="136"/>
      <c r="R3226" s="79">
        <v>86.82</v>
      </c>
      <c r="S3226" s="79">
        <v>27.92</v>
      </c>
      <c r="T3226" s="79">
        <v>114.74</v>
      </c>
      <c r="U3226" s="79">
        <v>0</v>
      </c>
      <c r="V3226" s="189">
        <v>114.74</v>
      </c>
      <c r="X3226" s="79">
        <v>86.82</v>
      </c>
      <c r="Y3226" s="79">
        <v>27.92</v>
      </c>
      <c r="Z3226" s="79">
        <v>114.74</v>
      </c>
      <c r="AA3226" s="255">
        <v>2.0000000000010232E-2</v>
      </c>
      <c r="AC3226" s="254"/>
    </row>
    <row r="3227" spans="1:29" ht="12">
      <c r="A3227" s="67" t="s">
        <v>16777</v>
      </c>
      <c r="B3227" s="65" t="s">
        <v>16778</v>
      </c>
      <c r="C3227" s="71" t="s">
        <v>103</v>
      </c>
      <c r="D3227" s="78">
        <v>1</v>
      </c>
      <c r="E3227" s="79">
        <v>166.59</v>
      </c>
      <c r="F3227" s="70">
        <v>166.59</v>
      </c>
      <c r="G3227" s="320"/>
      <c r="H3227" s="79">
        <v>138.65</v>
      </c>
      <c r="I3227" s="79">
        <v>27.939999999999998</v>
      </c>
      <c r="J3227" s="79">
        <v>166.59</v>
      </c>
      <c r="K3227" s="79">
        <v>0</v>
      </c>
      <c r="L3227" s="70">
        <v>166.59</v>
      </c>
      <c r="M3227" s="132"/>
      <c r="N3227" s="79">
        <v>138.65</v>
      </c>
      <c r="O3227" s="79">
        <v>27.939999999999998</v>
      </c>
      <c r="P3227" s="79">
        <v>166.59</v>
      </c>
      <c r="Q3227" s="136"/>
      <c r="R3227" s="79">
        <v>138.65</v>
      </c>
      <c r="S3227" s="79">
        <v>27.92</v>
      </c>
      <c r="T3227" s="79">
        <v>166.57</v>
      </c>
      <c r="U3227" s="79">
        <v>0</v>
      </c>
      <c r="V3227" s="189">
        <v>166.57</v>
      </c>
      <c r="X3227" s="79">
        <v>138.65</v>
      </c>
      <c r="Y3227" s="79">
        <v>27.92</v>
      </c>
      <c r="Z3227" s="79">
        <v>166.57</v>
      </c>
      <c r="AA3227" s="255">
        <v>2.0000000000010232E-2</v>
      </c>
      <c r="AC3227" s="254"/>
    </row>
    <row r="3228" spans="1:29" ht="12">
      <c r="A3228" s="67" t="s">
        <v>16779</v>
      </c>
      <c r="B3228" s="65" t="s">
        <v>16780</v>
      </c>
      <c r="C3228" s="71" t="s">
        <v>103</v>
      </c>
      <c r="D3228" s="78">
        <v>1</v>
      </c>
      <c r="E3228" s="79">
        <v>223.44</v>
      </c>
      <c r="F3228" s="70">
        <v>223.44</v>
      </c>
      <c r="G3228" s="320"/>
      <c r="H3228" s="79">
        <v>195.5</v>
      </c>
      <c r="I3228" s="79">
        <v>27.939999999999998</v>
      </c>
      <c r="J3228" s="79">
        <v>223.44</v>
      </c>
      <c r="K3228" s="79">
        <v>0</v>
      </c>
      <c r="L3228" s="70">
        <v>223.44</v>
      </c>
      <c r="M3228" s="132"/>
      <c r="N3228" s="79">
        <v>195.5</v>
      </c>
      <c r="O3228" s="79">
        <v>27.939999999999998</v>
      </c>
      <c r="P3228" s="79">
        <v>223.44</v>
      </c>
      <c r="Q3228" s="136"/>
      <c r="R3228" s="79">
        <v>195.5</v>
      </c>
      <c r="S3228" s="79">
        <v>27.92</v>
      </c>
      <c r="T3228" s="79">
        <v>223.42000000000002</v>
      </c>
      <c r="U3228" s="79">
        <v>0</v>
      </c>
      <c r="V3228" s="189">
        <v>223.42000000000002</v>
      </c>
      <c r="X3228" s="79">
        <v>195.5</v>
      </c>
      <c r="Y3228" s="79">
        <v>27.92</v>
      </c>
      <c r="Z3228" s="79">
        <v>223.42</v>
      </c>
      <c r="AA3228" s="255">
        <v>2.0000000000010232E-2</v>
      </c>
      <c r="AC3228" s="254"/>
    </row>
    <row r="3229" spans="1:29" ht="12">
      <c r="A3229" s="67" t="s">
        <v>16781</v>
      </c>
      <c r="B3229" s="65" t="s">
        <v>16782</v>
      </c>
      <c r="C3229" s="71" t="s">
        <v>396</v>
      </c>
      <c r="D3229" s="78">
        <v>1</v>
      </c>
      <c r="E3229" s="79">
        <v>958.91000000000008</v>
      </c>
      <c r="F3229" s="70">
        <v>958.91</v>
      </c>
      <c r="G3229" s="320"/>
      <c r="H3229" s="79">
        <v>936.59</v>
      </c>
      <c r="I3229" s="79">
        <v>22.32</v>
      </c>
      <c r="J3229" s="79">
        <v>958.91000000000008</v>
      </c>
      <c r="K3229" s="79">
        <v>0</v>
      </c>
      <c r="L3229" s="70">
        <v>958.91000000000008</v>
      </c>
      <c r="M3229" s="132"/>
      <c r="N3229" s="79">
        <v>936.59</v>
      </c>
      <c r="O3229" s="79">
        <v>22.32</v>
      </c>
      <c r="P3229" s="79">
        <v>958.91000000000008</v>
      </c>
      <c r="Q3229" s="136"/>
      <c r="R3229" s="79">
        <v>936.59</v>
      </c>
      <c r="S3229" s="79">
        <v>22.33</v>
      </c>
      <c r="T3229" s="79">
        <v>958.92000000000007</v>
      </c>
      <c r="U3229" s="79">
        <v>0</v>
      </c>
      <c r="V3229" s="189">
        <v>958.92000000000007</v>
      </c>
      <c r="X3229" s="79">
        <v>936.59</v>
      </c>
      <c r="Y3229" s="79">
        <v>22.33</v>
      </c>
      <c r="Z3229" s="79">
        <v>958.92</v>
      </c>
      <c r="AA3229" s="255">
        <v>-9.9999999999909051E-3</v>
      </c>
      <c r="AC3229" s="254"/>
    </row>
    <row r="3230" spans="1:29" ht="12">
      <c r="A3230" s="67" t="s">
        <v>16783</v>
      </c>
      <c r="B3230" s="65" t="s">
        <v>16784</v>
      </c>
      <c r="C3230" s="71" t="s">
        <v>396</v>
      </c>
      <c r="D3230" s="78">
        <v>1</v>
      </c>
      <c r="E3230" s="79">
        <v>1002.4100000000001</v>
      </c>
      <c r="F3230" s="70">
        <v>1002.41</v>
      </c>
      <c r="G3230" s="320"/>
      <c r="H3230" s="79">
        <v>980.09</v>
      </c>
      <c r="I3230" s="79">
        <v>22.32</v>
      </c>
      <c r="J3230" s="79">
        <v>1002.4100000000001</v>
      </c>
      <c r="K3230" s="79">
        <v>0</v>
      </c>
      <c r="L3230" s="70">
        <v>1002.4100000000001</v>
      </c>
      <c r="M3230" s="132"/>
      <c r="N3230" s="79">
        <v>980.09</v>
      </c>
      <c r="O3230" s="79">
        <v>22.32</v>
      </c>
      <c r="P3230" s="79">
        <v>1002.4100000000001</v>
      </c>
      <c r="Q3230" s="136"/>
      <c r="R3230" s="79">
        <v>980.09</v>
      </c>
      <c r="S3230" s="79">
        <v>22.33</v>
      </c>
      <c r="T3230" s="79">
        <v>1002.4200000000001</v>
      </c>
      <c r="U3230" s="79">
        <v>0</v>
      </c>
      <c r="V3230" s="189">
        <v>1002.4200000000001</v>
      </c>
      <c r="X3230" s="79">
        <v>980.09</v>
      </c>
      <c r="Y3230" s="79">
        <v>22.33</v>
      </c>
      <c r="Z3230" s="79">
        <v>1002.42</v>
      </c>
      <c r="AA3230" s="255">
        <v>-9.9999999999909051E-3</v>
      </c>
      <c r="AC3230" s="254"/>
    </row>
    <row r="3231" spans="1:29" ht="12">
      <c r="A3231" s="67" t="s">
        <v>16785</v>
      </c>
      <c r="B3231" s="65" t="s">
        <v>16786</v>
      </c>
      <c r="C3231" s="71" t="s">
        <v>396</v>
      </c>
      <c r="D3231" s="78">
        <v>1</v>
      </c>
      <c r="E3231" s="79">
        <v>963.41000000000008</v>
      </c>
      <c r="F3231" s="70">
        <v>963.41</v>
      </c>
      <c r="G3231" s="320"/>
      <c r="H3231" s="79">
        <v>935.47</v>
      </c>
      <c r="I3231" s="79">
        <v>27.939999999999998</v>
      </c>
      <c r="J3231" s="79">
        <v>963.41000000000008</v>
      </c>
      <c r="K3231" s="79">
        <v>0</v>
      </c>
      <c r="L3231" s="70">
        <v>963.41000000000008</v>
      </c>
      <c r="M3231" s="132"/>
      <c r="N3231" s="79">
        <v>935.47</v>
      </c>
      <c r="O3231" s="79">
        <v>27.939999999999998</v>
      </c>
      <c r="P3231" s="79">
        <v>963.41000000000008</v>
      </c>
      <c r="Q3231" s="136"/>
      <c r="R3231" s="79">
        <v>935.47</v>
      </c>
      <c r="S3231" s="79">
        <v>27.92</v>
      </c>
      <c r="T3231" s="79">
        <v>963.39</v>
      </c>
      <c r="U3231" s="79">
        <v>0</v>
      </c>
      <c r="V3231" s="189">
        <v>963.39</v>
      </c>
      <c r="X3231" s="79">
        <v>935.47</v>
      </c>
      <c r="Y3231" s="79">
        <v>27.92</v>
      </c>
      <c r="Z3231" s="79">
        <v>963.39</v>
      </c>
      <c r="AA3231" s="255">
        <v>1.999999999998181E-2</v>
      </c>
      <c r="AC3231" s="254"/>
    </row>
    <row r="3232" spans="1:29" ht="12">
      <c r="A3232" s="67" t="s">
        <v>16787</v>
      </c>
      <c r="B3232" s="65" t="s">
        <v>16788</v>
      </c>
      <c r="C3232" s="71" t="s">
        <v>396</v>
      </c>
      <c r="D3232" s="78">
        <v>1</v>
      </c>
      <c r="E3232" s="79">
        <v>1001.1300000000001</v>
      </c>
      <c r="F3232" s="70">
        <v>1001.13</v>
      </c>
      <c r="G3232" s="320"/>
      <c r="H3232" s="79">
        <v>973.19</v>
      </c>
      <c r="I3232" s="79">
        <v>27.939999999999998</v>
      </c>
      <c r="J3232" s="79">
        <v>1001.1300000000001</v>
      </c>
      <c r="K3232" s="79">
        <v>0</v>
      </c>
      <c r="L3232" s="70">
        <v>1001.1300000000001</v>
      </c>
      <c r="M3232" s="132"/>
      <c r="N3232" s="79">
        <v>973.19</v>
      </c>
      <c r="O3232" s="79">
        <v>27.939999999999998</v>
      </c>
      <c r="P3232" s="79">
        <v>1001.1300000000001</v>
      </c>
      <c r="Q3232" s="136"/>
      <c r="R3232" s="79">
        <v>973.19</v>
      </c>
      <c r="S3232" s="79">
        <v>27.92</v>
      </c>
      <c r="T3232" s="79">
        <v>1001.11</v>
      </c>
      <c r="U3232" s="79">
        <v>0</v>
      </c>
      <c r="V3232" s="189">
        <v>1001.11</v>
      </c>
      <c r="X3232" s="79">
        <v>973.19</v>
      </c>
      <c r="Y3232" s="79">
        <v>27.92</v>
      </c>
      <c r="Z3232" s="79">
        <v>1001.11</v>
      </c>
      <c r="AA3232" s="255">
        <v>1.999999999998181E-2</v>
      </c>
      <c r="AC3232" s="254"/>
    </row>
    <row r="3233" spans="1:29" ht="12">
      <c r="A3233" s="67" t="s">
        <v>16789</v>
      </c>
      <c r="B3233" s="65" t="s">
        <v>16790</v>
      </c>
      <c r="C3233" s="71" t="s">
        <v>396</v>
      </c>
      <c r="D3233" s="78">
        <v>1</v>
      </c>
      <c r="E3233" s="79">
        <v>1190.3800000000001</v>
      </c>
      <c r="F3233" s="70">
        <v>1190.3800000000001</v>
      </c>
      <c r="G3233" s="320"/>
      <c r="H3233" s="79">
        <v>1162.44</v>
      </c>
      <c r="I3233" s="79">
        <v>27.939999999999998</v>
      </c>
      <c r="J3233" s="79">
        <v>1190.3800000000001</v>
      </c>
      <c r="K3233" s="79">
        <v>0</v>
      </c>
      <c r="L3233" s="70">
        <v>1190.3800000000001</v>
      </c>
      <c r="M3233" s="132"/>
      <c r="N3233" s="79">
        <v>1162.44</v>
      </c>
      <c r="O3233" s="79">
        <v>27.939999999999998</v>
      </c>
      <c r="P3233" s="79">
        <v>1190.3800000000001</v>
      </c>
      <c r="Q3233" s="136"/>
      <c r="R3233" s="79">
        <v>1162.44</v>
      </c>
      <c r="S3233" s="79">
        <v>27.92</v>
      </c>
      <c r="T3233" s="79">
        <v>1190.3600000000001</v>
      </c>
      <c r="U3233" s="79">
        <v>0</v>
      </c>
      <c r="V3233" s="189">
        <v>1190.3600000000001</v>
      </c>
      <c r="X3233" s="79">
        <v>1162.44</v>
      </c>
      <c r="Y3233" s="79">
        <v>27.92</v>
      </c>
      <c r="Z3233" s="79">
        <v>1190.3599999999999</v>
      </c>
      <c r="AA3233" s="255">
        <v>2.0000000000209184E-2</v>
      </c>
      <c r="AC3233" s="254"/>
    </row>
    <row r="3234" spans="1:29" ht="12">
      <c r="A3234" s="67" t="s">
        <v>16791</v>
      </c>
      <c r="B3234" s="65" t="s">
        <v>16792</v>
      </c>
      <c r="C3234" s="71" t="s">
        <v>396</v>
      </c>
      <c r="D3234" s="78">
        <v>1</v>
      </c>
      <c r="E3234" s="79">
        <v>1914.39</v>
      </c>
      <c r="F3234" s="70">
        <v>1914.39</v>
      </c>
      <c r="G3234" s="320"/>
      <c r="H3234" s="79">
        <v>1886.45</v>
      </c>
      <c r="I3234" s="79">
        <v>27.939999999999998</v>
      </c>
      <c r="J3234" s="79">
        <v>1914.39</v>
      </c>
      <c r="K3234" s="79">
        <v>0</v>
      </c>
      <c r="L3234" s="70">
        <v>1914.39</v>
      </c>
      <c r="M3234" s="132"/>
      <c r="N3234" s="79">
        <v>1886.45</v>
      </c>
      <c r="O3234" s="79">
        <v>27.939999999999998</v>
      </c>
      <c r="P3234" s="79">
        <v>1914.39</v>
      </c>
      <c r="Q3234" s="136"/>
      <c r="R3234" s="79">
        <v>1886.45</v>
      </c>
      <c r="S3234" s="79">
        <v>27.92</v>
      </c>
      <c r="T3234" s="79">
        <v>1914.3700000000001</v>
      </c>
      <c r="U3234" s="79">
        <v>0</v>
      </c>
      <c r="V3234" s="189">
        <v>1914.3700000000001</v>
      </c>
      <c r="X3234" s="79">
        <v>1886.45</v>
      </c>
      <c r="Y3234" s="79">
        <v>27.92</v>
      </c>
      <c r="Z3234" s="79">
        <v>1914.37</v>
      </c>
      <c r="AA3234" s="255">
        <v>2.0000000000209184E-2</v>
      </c>
      <c r="AC3234" s="254"/>
    </row>
    <row r="3235" spans="1:29" ht="12">
      <c r="A3235" s="67" t="s">
        <v>16793</v>
      </c>
      <c r="B3235" s="65" t="s">
        <v>16794</v>
      </c>
      <c r="C3235" s="71" t="s">
        <v>165</v>
      </c>
      <c r="D3235" s="78">
        <v>1</v>
      </c>
      <c r="E3235" s="79">
        <v>412.28999999999996</v>
      </c>
      <c r="F3235" s="70">
        <v>412.29</v>
      </c>
      <c r="G3235" s="320"/>
      <c r="H3235" s="79">
        <v>373.01</v>
      </c>
      <c r="I3235" s="79">
        <v>39.28</v>
      </c>
      <c r="J3235" s="79">
        <v>412.28999999999996</v>
      </c>
      <c r="K3235" s="79">
        <v>0</v>
      </c>
      <c r="L3235" s="70">
        <v>412.28999999999996</v>
      </c>
      <c r="M3235" s="132"/>
      <c r="N3235" s="79">
        <v>373.01</v>
      </c>
      <c r="O3235" s="79">
        <v>39.28</v>
      </c>
      <c r="P3235" s="79">
        <v>412.28999999999996</v>
      </c>
      <c r="Q3235" s="136"/>
      <c r="R3235" s="79">
        <v>373.01</v>
      </c>
      <c r="S3235" s="79">
        <v>39.270000000000003</v>
      </c>
      <c r="T3235" s="79">
        <v>412.28</v>
      </c>
      <c r="U3235" s="79">
        <v>0</v>
      </c>
      <c r="V3235" s="189">
        <v>412.28</v>
      </c>
      <c r="X3235" s="79">
        <v>373.01</v>
      </c>
      <c r="Y3235" s="79">
        <v>39.270000000000003</v>
      </c>
      <c r="Z3235" s="79">
        <v>412.28</v>
      </c>
      <c r="AA3235" s="255">
        <v>1.0000000000047748E-2</v>
      </c>
      <c r="AC3235" s="254"/>
    </row>
    <row r="3236" spans="1:29" ht="12">
      <c r="A3236" s="67" t="s">
        <v>16795</v>
      </c>
      <c r="B3236" s="65" t="s">
        <v>16796</v>
      </c>
      <c r="C3236" s="71" t="s">
        <v>165</v>
      </c>
      <c r="D3236" s="78">
        <v>1</v>
      </c>
      <c r="E3236" s="79">
        <v>1075.1499999999999</v>
      </c>
      <c r="F3236" s="70">
        <v>1075.1500000000001</v>
      </c>
      <c r="G3236" s="320"/>
      <c r="H3236" s="79">
        <v>1035.8699999999999</v>
      </c>
      <c r="I3236" s="79">
        <v>39.28</v>
      </c>
      <c r="J3236" s="79">
        <v>1075.1499999999999</v>
      </c>
      <c r="K3236" s="79">
        <v>0</v>
      </c>
      <c r="L3236" s="70">
        <v>1075.1499999999999</v>
      </c>
      <c r="M3236" s="132"/>
      <c r="N3236" s="79">
        <v>1035.8699999999999</v>
      </c>
      <c r="O3236" s="79">
        <v>39.28</v>
      </c>
      <c r="P3236" s="79">
        <v>1075.1499999999999</v>
      </c>
      <c r="Q3236" s="136"/>
      <c r="R3236" s="79">
        <v>1035.8699999999999</v>
      </c>
      <c r="S3236" s="79">
        <v>39.270000000000003</v>
      </c>
      <c r="T3236" s="79">
        <v>1075.1399999999999</v>
      </c>
      <c r="U3236" s="79">
        <v>0</v>
      </c>
      <c r="V3236" s="189">
        <v>1075.1399999999999</v>
      </c>
      <c r="X3236" s="79">
        <v>1035.8699999999999</v>
      </c>
      <c r="Y3236" s="79">
        <v>39.270000000000003</v>
      </c>
      <c r="Z3236" s="79">
        <v>1075.1400000000001</v>
      </c>
      <c r="AA3236" s="255">
        <v>9.9999999999909051E-3</v>
      </c>
      <c r="AC3236" s="254"/>
    </row>
    <row r="3237" spans="1:29" ht="12">
      <c r="A3237" s="67" t="s">
        <v>16797</v>
      </c>
      <c r="B3237" s="65" t="s">
        <v>16798</v>
      </c>
      <c r="C3237" s="71" t="s">
        <v>103</v>
      </c>
      <c r="D3237" s="78">
        <v>1</v>
      </c>
      <c r="E3237" s="79">
        <v>128.11000000000001</v>
      </c>
      <c r="F3237" s="70">
        <v>128.11000000000001</v>
      </c>
      <c r="G3237" s="320"/>
      <c r="H3237" s="79">
        <v>105.79</v>
      </c>
      <c r="I3237" s="79">
        <v>22.32</v>
      </c>
      <c r="J3237" s="79">
        <v>128.11000000000001</v>
      </c>
      <c r="K3237" s="79">
        <v>0</v>
      </c>
      <c r="L3237" s="70">
        <v>128.11000000000001</v>
      </c>
      <c r="M3237" s="132"/>
      <c r="N3237" s="79">
        <v>105.79</v>
      </c>
      <c r="O3237" s="79">
        <v>22.32</v>
      </c>
      <c r="P3237" s="79">
        <v>128.11000000000001</v>
      </c>
      <c r="Q3237" s="136"/>
      <c r="R3237" s="79">
        <v>105.79</v>
      </c>
      <c r="S3237" s="79">
        <v>22.33</v>
      </c>
      <c r="T3237" s="79">
        <v>128.12</v>
      </c>
      <c r="U3237" s="79">
        <v>0</v>
      </c>
      <c r="V3237" s="189">
        <v>128.12</v>
      </c>
      <c r="X3237" s="79">
        <v>105.79</v>
      </c>
      <c r="Y3237" s="79">
        <v>22.33</v>
      </c>
      <c r="Z3237" s="79">
        <v>128.12</v>
      </c>
      <c r="AA3237" s="255">
        <v>-9.9999999999909051E-3</v>
      </c>
      <c r="AC3237" s="254"/>
    </row>
    <row r="3238" spans="1:29" ht="12">
      <c r="A3238" s="67" t="s">
        <v>16799</v>
      </c>
      <c r="B3238" s="65" t="s">
        <v>16800</v>
      </c>
      <c r="C3238" s="71" t="s">
        <v>103</v>
      </c>
      <c r="D3238" s="78">
        <v>1</v>
      </c>
      <c r="E3238" s="79">
        <v>164.41</v>
      </c>
      <c r="F3238" s="70">
        <v>164.41</v>
      </c>
      <c r="G3238" s="320"/>
      <c r="H3238" s="79">
        <v>142.09</v>
      </c>
      <c r="I3238" s="79">
        <v>22.32</v>
      </c>
      <c r="J3238" s="79">
        <v>164.41</v>
      </c>
      <c r="K3238" s="79">
        <v>0</v>
      </c>
      <c r="L3238" s="70">
        <v>164.41</v>
      </c>
      <c r="M3238" s="132"/>
      <c r="N3238" s="79">
        <v>142.09</v>
      </c>
      <c r="O3238" s="79">
        <v>22.32</v>
      </c>
      <c r="P3238" s="79">
        <v>164.41</v>
      </c>
      <c r="Q3238" s="136"/>
      <c r="R3238" s="79">
        <v>142.09</v>
      </c>
      <c r="S3238" s="79">
        <v>22.33</v>
      </c>
      <c r="T3238" s="79">
        <v>164.42000000000002</v>
      </c>
      <c r="U3238" s="79">
        <v>0</v>
      </c>
      <c r="V3238" s="189">
        <v>164.42000000000002</v>
      </c>
      <c r="X3238" s="79">
        <v>142.09</v>
      </c>
      <c r="Y3238" s="79">
        <v>22.33</v>
      </c>
      <c r="Z3238" s="79">
        <v>164.42</v>
      </c>
      <c r="AA3238" s="255">
        <v>-9.9999999999909051E-3</v>
      </c>
      <c r="AC3238" s="254"/>
    </row>
    <row r="3239" spans="1:29" ht="12">
      <c r="A3239" s="67" t="s">
        <v>16801</v>
      </c>
      <c r="B3239" s="65" t="s">
        <v>16802</v>
      </c>
      <c r="C3239" s="71" t="s">
        <v>103</v>
      </c>
      <c r="D3239" s="78">
        <v>1</v>
      </c>
      <c r="E3239" s="79">
        <v>186.01</v>
      </c>
      <c r="F3239" s="70">
        <v>186.01</v>
      </c>
      <c r="G3239" s="320"/>
      <c r="H3239" s="79">
        <v>158.07</v>
      </c>
      <c r="I3239" s="79">
        <v>27.939999999999998</v>
      </c>
      <c r="J3239" s="79">
        <v>186.01</v>
      </c>
      <c r="K3239" s="79">
        <v>0</v>
      </c>
      <c r="L3239" s="70">
        <v>186.01</v>
      </c>
      <c r="M3239" s="132"/>
      <c r="N3239" s="79">
        <v>158.07</v>
      </c>
      <c r="O3239" s="79">
        <v>27.939999999999998</v>
      </c>
      <c r="P3239" s="79">
        <v>186.01</v>
      </c>
      <c r="Q3239" s="136"/>
      <c r="R3239" s="79">
        <v>158.07</v>
      </c>
      <c r="S3239" s="79">
        <v>27.92</v>
      </c>
      <c r="T3239" s="79">
        <v>185.99</v>
      </c>
      <c r="U3239" s="79">
        <v>0</v>
      </c>
      <c r="V3239" s="189">
        <v>185.99</v>
      </c>
      <c r="X3239" s="79">
        <v>158.07</v>
      </c>
      <c r="Y3239" s="79">
        <v>27.92</v>
      </c>
      <c r="Z3239" s="79">
        <v>185.99</v>
      </c>
      <c r="AA3239" s="255">
        <v>1.999999999998181E-2</v>
      </c>
      <c r="AC3239" s="254"/>
    </row>
    <row r="3240" spans="1:29" ht="12">
      <c r="A3240" s="67" t="s">
        <v>16803</v>
      </c>
      <c r="B3240" s="65" t="s">
        <v>16804</v>
      </c>
      <c r="C3240" s="71" t="s">
        <v>103</v>
      </c>
      <c r="D3240" s="78">
        <v>1</v>
      </c>
      <c r="E3240" s="79">
        <v>286.66000000000003</v>
      </c>
      <c r="F3240" s="70">
        <v>286.66000000000003</v>
      </c>
      <c r="G3240" s="320"/>
      <c r="H3240" s="79">
        <v>258.72000000000003</v>
      </c>
      <c r="I3240" s="79">
        <v>27.939999999999998</v>
      </c>
      <c r="J3240" s="79">
        <v>286.66000000000003</v>
      </c>
      <c r="K3240" s="79">
        <v>0</v>
      </c>
      <c r="L3240" s="70">
        <v>286.66000000000003</v>
      </c>
      <c r="M3240" s="132"/>
      <c r="N3240" s="79">
        <v>258.72000000000003</v>
      </c>
      <c r="O3240" s="79">
        <v>27.939999999999998</v>
      </c>
      <c r="P3240" s="79">
        <v>286.66000000000003</v>
      </c>
      <c r="Q3240" s="136"/>
      <c r="R3240" s="79">
        <v>258.72000000000003</v>
      </c>
      <c r="S3240" s="79">
        <v>27.92</v>
      </c>
      <c r="T3240" s="79">
        <v>286.64000000000004</v>
      </c>
      <c r="U3240" s="79">
        <v>0</v>
      </c>
      <c r="V3240" s="189">
        <v>286.64000000000004</v>
      </c>
      <c r="X3240" s="79">
        <v>258.72000000000003</v>
      </c>
      <c r="Y3240" s="79">
        <v>27.92</v>
      </c>
      <c r="Z3240" s="79">
        <v>286.64</v>
      </c>
      <c r="AA3240" s="255">
        <v>2.0000000000038654E-2</v>
      </c>
      <c r="AC3240" s="254"/>
    </row>
    <row r="3241" spans="1:29" ht="12">
      <c r="A3241" s="67" t="s">
        <v>16805</v>
      </c>
      <c r="B3241" s="65" t="s">
        <v>16806</v>
      </c>
      <c r="C3241" s="71" t="s">
        <v>103</v>
      </c>
      <c r="D3241" s="78">
        <v>1</v>
      </c>
      <c r="E3241" s="79">
        <v>311.77999999999997</v>
      </c>
      <c r="F3241" s="70">
        <v>311.77999999999997</v>
      </c>
      <c r="G3241" s="320"/>
      <c r="H3241" s="79">
        <v>283.83999999999997</v>
      </c>
      <c r="I3241" s="79">
        <v>27.939999999999998</v>
      </c>
      <c r="J3241" s="79">
        <v>311.77999999999997</v>
      </c>
      <c r="K3241" s="79">
        <v>0</v>
      </c>
      <c r="L3241" s="70">
        <v>311.77999999999997</v>
      </c>
      <c r="M3241" s="132"/>
      <c r="N3241" s="79">
        <v>283.83999999999997</v>
      </c>
      <c r="O3241" s="79">
        <v>27.939999999999998</v>
      </c>
      <c r="P3241" s="79">
        <v>311.77999999999997</v>
      </c>
      <c r="Q3241" s="136"/>
      <c r="R3241" s="79">
        <v>283.83999999999997</v>
      </c>
      <c r="S3241" s="79">
        <v>27.92</v>
      </c>
      <c r="T3241" s="79">
        <v>311.76</v>
      </c>
      <c r="U3241" s="79">
        <v>0</v>
      </c>
      <c r="V3241" s="189">
        <v>311.76</v>
      </c>
      <c r="X3241" s="79">
        <v>283.83999999999997</v>
      </c>
      <c r="Y3241" s="79">
        <v>27.92</v>
      </c>
      <c r="Z3241" s="79">
        <v>311.76</v>
      </c>
      <c r="AA3241" s="255">
        <v>1.999999999998181E-2</v>
      </c>
      <c r="AC3241" s="254"/>
    </row>
    <row r="3242" spans="1:29" ht="12">
      <c r="A3242" s="67" t="s">
        <v>16807</v>
      </c>
      <c r="B3242" s="65" t="s">
        <v>16808</v>
      </c>
      <c r="C3242" s="71" t="s">
        <v>103</v>
      </c>
      <c r="D3242" s="78">
        <v>1</v>
      </c>
      <c r="E3242" s="79">
        <v>633.92000000000007</v>
      </c>
      <c r="F3242" s="70">
        <v>633.91999999999996</v>
      </c>
      <c r="G3242" s="320"/>
      <c r="H3242" s="79">
        <v>605.98</v>
      </c>
      <c r="I3242" s="79">
        <v>27.939999999999998</v>
      </c>
      <c r="J3242" s="79">
        <v>633.92000000000007</v>
      </c>
      <c r="K3242" s="79">
        <v>0</v>
      </c>
      <c r="L3242" s="70">
        <v>633.92000000000007</v>
      </c>
      <c r="M3242" s="132"/>
      <c r="N3242" s="79">
        <v>605.98</v>
      </c>
      <c r="O3242" s="79">
        <v>27.939999999999998</v>
      </c>
      <c r="P3242" s="79">
        <v>633.92000000000007</v>
      </c>
      <c r="Q3242" s="136"/>
      <c r="R3242" s="79">
        <v>605.98</v>
      </c>
      <c r="S3242" s="79">
        <v>27.92</v>
      </c>
      <c r="T3242" s="79">
        <v>633.9</v>
      </c>
      <c r="U3242" s="79">
        <v>0</v>
      </c>
      <c r="V3242" s="189">
        <v>633.9</v>
      </c>
      <c r="X3242" s="79">
        <v>605.98</v>
      </c>
      <c r="Y3242" s="79">
        <v>27.92</v>
      </c>
      <c r="Z3242" s="79">
        <v>633.9</v>
      </c>
      <c r="AA3242" s="255">
        <v>1.999999999998181E-2</v>
      </c>
      <c r="AC3242" s="254"/>
    </row>
    <row r="3243" spans="1:29" ht="12">
      <c r="A3243" s="67" t="s">
        <v>16809</v>
      </c>
      <c r="B3243" s="65" t="s">
        <v>16810</v>
      </c>
      <c r="C3243" s="71" t="s">
        <v>103</v>
      </c>
      <c r="D3243" s="78">
        <v>1</v>
      </c>
      <c r="E3243" s="79">
        <v>200.79999999999998</v>
      </c>
      <c r="F3243" s="70">
        <v>200.8</v>
      </c>
      <c r="G3243" s="320"/>
      <c r="H3243" s="79">
        <v>178.48</v>
      </c>
      <c r="I3243" s="79">
        <v>22.32</v>
      </c>
      <c r="J3243" s="79">
        <v>200.79999999999998</v>
      </c>
      <c r="K3243" s="79">
        <v>0</v>
      </c>
      <c r="L3243" s="70">
        <v>200.79999999999998</v>
      </c>
      <c r="M3243" s="132"/>
      <c r="N3243" s="79">
        <v>178.48</v>
      </c>
      <c r="O3243" s="79">
        <v>22.32</v>
      </c>
      <c r="P3243" s="79">
        <v>200.79999999999998</v>
      </c>
      <c r="Q3243" s="136"/>
      <c r="R3243" s="79">
        <v>178.48</v>
      </c>
      <c r="S3243" s="79">
        <v>22.33</v>
      </c>
      <c r="T3243" s="79">
        <v>200.81</v>
      </c>
      <c r="U3243" s="79">
        <v>0</v>
      </c>
      <c r="V3243" s="189">
        <v>200.81</v>
      </c>
      <c r="X3243" s="79">
        <v>178.48</v>
      </c>
      <c r="Y3243" s="79">
        <v>22.33</v>
      </c>
      <c r="Z3243" s="79">
        <v>200.81</v>
      </c>
      <c r="AA3243" s="255">
        <v>-9.9999999999909051E-3</v>
      </c>
      <c r="AC3243" s="254"/>
    </row>
    <row r="3244" spans="1:29" ht="12">
      <c r="A3244" s="67" t="s">
        <v>16811</v>
      </c>
      <c r="B3244" s="65" t="s">
        <v>16812</v>
      </c>
      <c r="C3244" s="71" t="s">
        <v>103</v>
      </c>
      <c r="D3244" s="78">
        <v>1</v>
      </c>
      <c r="E3244" s="79">
        <v>202.42</v>
      </c>
      <c r="F3244" s="70">
        <v>202.42</v>
      </c>
      <c r="G3244" s="320"/>
      <c r="H3244" s="79">
        <v>180.1</v>
      </c>
      <c r="I3244" s="79">
        <v>22.32</v>
      </c>
      <c r="J3244" s="79">
        <v>202.42</v>
      </c>
      <c r="K3244" s="79">
        <v>0</v>
      </c>
      <c r="L3244" s="70">
        <v>202.42</v>
      </c>
      <c r="M3244" s="132"/>
      <c r="N3244" s="79">
        <v>180.1</v>
      </c>
      <c r="O3244" s="79">
        <v>22.32</v>
      </c>
      <c r="P3244" s="79">
        <v>202.42</v>
      </c>
      <c r="Q3244" s="136"/>
      <c r="R3244" s="79">
        <v>180.1</v>
      </c>
      <c r="S3244" s="79">
        <v>22.33</v>
      </c>
      <c r="T3244" s="79">
        <v>202.43</v>
      </c>
      <c r="U3244" s="79">
        <v>0</v>
      </c>
      <c r="V3244" s="189">
        <v>202.43</v>
      </c>
      <c r="X3244" s="79">
        <v>180.1</v>
      </c>
      <c r="Y3244" s="79">
        <v>22.33</v>
      </c>
      <c r="Z3244" s="79">
        <v>202.43</v>
      </c>
      <c r="AA3244" s="255">
        <v>-1.0000000000019327E-2</v>
      </c>
      <c r="AC3244" s="254"/>
    </row>
    <row r="3245" spans="1:29" ht="12">
      <c r="A3245" s="67" t="s">
        <v>16813</v>
      </c>
      <c r="B3245" s="65" t="s">
        <v>16814</v>
      </c>
      <c r="C3245" s="71" t="s">
        <v>103</v>
      </c>
      <c r="D3245" s="78">
        <v>1</v>
      </c>
      <c r="E3245" s="79">
        <v>214.32</v>
      </c>
      <c r="F3245" s="70">
        <v>214.32</v>
      </c>
      <c r="G3245" s="320"/>
      <c r="H3245" s="79">
        <v>186.38</v>
      </c>
      <c r="I3245" s="79">
        <v>27.939999999999998</v>
      </c>
      <c r="J3245" s="79">
        <v>214.32</v>
      </c>
      <c r="K3245" s="79">
        <v>0</v>
      </c>
      <c r="L3245" s="70">
        <v>214.32</v>
      </c>
      <c r="M3245" s="132"/>
      <c r="N3245" s="79">
        <v>186.38</v>
      </c>
      <c r="O3245" s="79">
        <v>27.939999999999998</v>
      </c>
      <c r="P3245" s="79">
        <v>214.32</v>
      </c>
      <c r="Q3245" s="136"/>
      <c r="R3245" s="79">
        <v>186.38</v>
      </c>
      <c r="S3245" s="79">
        <v>27.92</v>
      </c>
      <c r="T3245" s="79">
        <v>214.3</v>
      </c>
      <c r="U3245" s="79">
        <v>0</v>
      </c>
      <c r="V3245" s="189">
        <v>214.3</v>
      </c>
      <c r="X3245" s="79">
        <v>186.38</v>
      </c>
      <c r="Y3245" s="79">
        <v>27.92</v>
      </c>
      <c r="Z3245" s="79">
        <v>214.3</v>
      </c>
      <c r="AA3245" s="255">
        <v>1.999999999998181E-2</v>
      </c>
      <c r="AC3245" s="254"/>
    </row>
    <row r="3246" spans="1:29" ht="12">
      <c r="A3246" s="67" t="s">
        <v>16815</v>
      </c>
      <c r="B3246" s="65" t="s">
        <v>16816</v>
      </c>
      <c r="C3246" s="71" t="s">
        <v>103</v>
      </c>
      <c r="D3246" s="78">
        <v>1</v>
      </c>
      <c r="E3246" s="79">
        <v>272.32</v>
      </c>
      <c r="F3246" s="70">
        <v>272.32</v>
      </c>
      <c r="G3246" s="320"/>
      <c r="H3246" s="79">
        <v>244.38</v>
      </c>
      <c r="I3246" s="79">
        <v>27.939999999999998</v>
      </c>
      <c r="J3246" s="79">
        <v>272.32</v>
      </c>
      <c r="K3246" s="79">
        <v>0</v>
      </c>
      <c r="L3246" s="70">
        <v>272.32</v>
      </c>
      <c r="M3246" s="132"/>
      <c r="N3246" s="79">
        <v>244.38</v>
      </c>
      <c r="O3246" s="79">
        <v>27.939999999999998</v>
      </c>
      <c r="P3246" s="79">
        <v>272.32</v>
      </c>
      <c r="Q3246" s="136"/>
      <c r="R3246" s="79">
        <v>244.38</v>
      </c>
      <c r="S3246" s="79">
        <v>27.92</v>
      </c>
      <c r="T3246" s="79">
        <v>272.3</v>
      </c>
      <c r="U3246" s="79">
        <v>0</v>
      </c>
      <c r="V3246" s="189">
        <v>272.3</v>
      </c>
      <c r="X3246" s="79">
        <v>244.38</v>
      </c>
      <c r="Y3246" s="79">
        <v>27.92</v>
      </c>
      <c r="Z3246" s="79">
        <v>272.3</v>
      </c>
      <c r="AA3246" s="255">
        <v>1.999999999998181E-2</v>
      </c>
      <c r="AC3246" s="254"/>
    </row>
    <row r="3247" spans="1:29" ht="12">
      <c r="A3247" s="67" t="s">
        <v>16817</v>
      </c>
      <c r="B3247" s="65" t="s">
        <v>16818</v>
      </c>
      <c r="C3247" s="71" t="s">
        <v>103</v>
      </c>
      <c r="D3247" s="78">
        <v>1</v>
      </c>
      <c r="E3247" s="79">
        <v>424.03</v>
      </c>
      <c r="F3247" s="70">
        <v>424.03</v>
      </c>
      <c r="G3247" s="320"/>
      <c r="H3247" s="79">
        <v>396.09</v>
      </c>
      <c r="I3247" s="79">
        <v>27.939999999999998</v>
      </c>
      <c r="J3247" s="79">
        <v>424.03</v>
      </c>
      <c r="K3247" s="79">
        <v>0</v>
      </c>
      <c r="L3247" s="70">
        <v>424.03</v>
      </c>
      <c r="M3247" s="132"/>
      <c r="N3247" s="79">
        <v>396.09</v>
      </c>
      <c r="O3247" s="79">
        <v>27.939999999999998</v>
      </c>
      <c r="P3247" s="79">
        <v>424.03</v>
      </c>
      <c r="Q3247" s="136"/>
      <c r="R3247" s="79">
        <v>396.09</v>
      </c>
      <c r="S3247" s="79">
        <v>27.92</v>
      </c>
      <c r="T3247" s="79">
        <v>424.01</v>
      </c>
      <c r="U3247" s="79">
        <v>0</v>
      </c>
      <c r="V3247" s="189">
        <v>424.01</v>
      </c>
      <c r="X3247" s="79">
        <v>396.09</v>
      </c>
      <c r="Y3247" s="79">
        <v>27.92</v>
      </c>
      <c r="Z3247" s="79">
        <v>424.01</v>
      </c>
      <c r="AA3247" s="255">
        <v>1.999999999998181E-2</v>
      </c>
      <c r="AC3247" s="254"/>
    </row>
    <row r="3248" spans="1:29" ht="12">
      <c r="A3248" s="67" t="s">
        <v>16819</v>
      </c>
      <c r="B3248" s="65" t="s">
        <v>16820</v>
      </c>
      <c r="C3248" s="71" t="s">
        <v>103</v>
      </c>
      <c r="D3248" s="78">
        <v>1</v>
      </c>
      <c r="E3248" s="79">
        <v>151.03</v>
      </c>
      <c r="F3248" s="70">
        <v>151.03</v>
      </c>
      <c r="G3248" s="320"/>
      <c r="H3248" s="79">
        <v>128.71</v>
      </c>
      <c r="I3248" s="79">
        <v>22.32</v>
      </c>
      <c r="J3248" s="79">
        <v>151.03</v>
      </c>
      <c r="K3248" s="79">
        <v>0</v>
      </c>
      <c r="L3248" s="70">
        <v>151.03</v>
      </c>
      <c r="M3248" s="132"/>
      <c r="N3248" s="79">
        <v>128.71</v>
      </c>
      <c r="O3248" s="79">
        <v>22.32</v>
      </c>
      <c r="P3248" s="79">
        <v>151.03</v>
      </c>
      <c r="Q3248" s="136"/>
      <c r="R3248" s="79">
        <v>128.71</v>
      </c>
      <c r="S3248" s="79">
        <v>22.33</v>
      </c>
      <c r="T3248" s="79">
        <v>151.04000000000002</v>
      </c>
      <c r="U3248" s="79">
        <v>0</v>
      </c>
      <c r="V3248" s="189">
        <v>151.04000000000002</v>
      </c>
      <c r="X3248" s="79">
        <v>128.71</v>
      </c>
      <c r="Y3248" s="79">
        <v>22.33</v>
      </c>
      <c r="Z3248" s="79">
        <v>151.04</v>
      </c>
      <c r="AA3248" s="255">
        <v>-9.9999999999909051E-3</v>
      </c>
      <c r="AC3248" s="254"/>
    </row>
    <row r="3249" spans="1:29" ht="12">
      <c r="A3249" s="67" t="s">
        <v>16821</v>
      </c>
      <c r="B3249" s="65" t="s">
        <v>16822</v>
      </c>
      <c r="C3249" s="71" t="s">
        <v>103</v>
      </c>
      <c r="D3249" s="78">
        <v>1</v>
      </c>
      <c r="E3249" s="79">
        <v>221.37</v>
      </c>
      <c r="F3249" s="70">
        <v>221.37</v>
      </c>
      <c r="G3249" s="320"/>
      <c r="H3249" s="79">
        <v>199.05</v>
      </c>
      <c r="I3249" s="79">
        <v>22.32</v>
      </c>
      <c r="J3249" s="79">
        <v>221.37</v>
      </c>
      <c r="K3249" s="79">
        <v>0</v>
      </c>
      <c r="L3249" s="70">
        <v>221.37</v>
      </c>
      <c r="M3249" s="132"/>
      <c r="N3249" s="79">
        <v>199.05</v>
      </c>
      <c r="O3249" s="79">
        <v>22.32</v>
      </c>
      <c r="P3249" s="79">
        <v>221.37</v>
      </c>
      <c r="Q3249" s="136"/>
      <c r="R3249" s="79">
        <v>199.05</v>
      </c>
      <c r="S3249" s="79">
        <v>22.33</v>
      </c>
      <c r="T3249" s="79">
        <v>221.38</v>
      </c>
      <c r="U3249" s="79">
        <v>0</v>
      </c>
      <c r="V3249" s="189">
        <v>221.38</v>
      </c>
      <c r="X3249" s="79">
        <v>199.05</v>
      </c>
      <c r="Y3249" s="79">
        <v>22.33</v>
      </c>
      <c r="Z3249" s="79">
        <v>221.38</v>
      </c>
      <c r="AA3249" s="255">
        <v>-9.9999999999909051E-3</v>
      </c>
      <c r="AC3249" s="254"/>
    </row>
    <row r="3250" spans="1:29" ht="12">
      <c r="A3250" s="67" t="s">
        <v>16823</v>
      </c>
      <c r="B3250" s="65" t="s">
        <v>16824</v>
      </c>
      <c r="C3250" s="71" t="s">
        <v>103</v>
      </c>
      <c r="D3250" s="78">
        <v>1</v>
      </c>
      <c r="E3250" s="79">
        <v>262.27</v>
      </c>
      <c r="F3250" s="70">
        <v>262.27</v>
      </c>
      <c r="G3250" s="320"/>
      <c r="H3250" s="79">
        <v>239.95</v>
      </c>
      <c r="I3250" s="79">
        <v>22.32</v>
      </c>
      <c r="J3250" s="79">
        <v>262.27</v>
      </c>
      <c r="K3250" s="79">
        <v>0</v>
      </c>
      <c r="L3250" s="70">
        <v>262.27</v>
      </c>
      <c r="M3250" s="132"/>
      <c r="N3250" s="79">
        <v>239.95</v>
      </c>
      <c r="O3250" s="79">
        <v>22.32</v>
      </c>
      <c r="P3250" s="79">
        <v>262.27</v>
      </c>
      <c r="Q3250" s="136"/>
      <c r="R3250" s="79">
        <v>239.95</v>
      </c>
      <c r="S3250" s="79">
        <v>22.33</v>
      </c>
      <c r="T3250" s="79">
        <v>262.27999999999997</v>
      </c>
      <c r="U3250" s="79">
        <v>0</v>
      </c>
      <c r="V3250" s="189">
        <v>262.27999999999997</v>
      </c>
      <c r="X3250" s="79">
        <v>239.95</v>
      </c>
      <c r="Y3250" s="79">
        <v>22.33</v>
      </c>
      <c r="Z3250" s="79">
        <v>262.27999999999997</v>
      </c>
      <c r="AA3250" s="255">
        <v>-9.9999999999909051E-3</v>
      </c>
      <c r="AC3250" s="254"/>
    </row>
    <row r="3251" spans="1:29" ht="12">
      <c r="A3251" s="67" t="s">
        <v>16825</v>
      </c>
      <c r="B3251" s="65" t="s">
        <v>16826</v>
      </c>
      <c r="C3251" s="71" t="s">
        <v>103</v>
      </c>
      <c r="D3251" s="78">
        <v>1</v>
      </c>
      <c r="E3251" s="79">
        <v>319.21999999999997</v>
      </c>
      <c r="F3251" s="70">
        <v>319.22000000000003</v>
      </c>
      <c r="G3251" s="320"/>
      <c r="H3251" s="79">
        <v>291.27999999999997</v>
      </c>
      <c r="I3251" s="79">
        <v>27.939999999999998</v>
      </c>
      <c r="J3251" s="79">
        <v>319.21999999999997</v>
      </c>
      <c r="K3251" s="79">
        <v>0</v>
      </c>
      <c r="L3251" s="70">
        <v>319.21999999999997</v>
      </c>
      <c r="M3251" s="132"/>
      <c r="N3251" s="79">
        <v>291.27999999999997</v>
      </c>
      <c r="O3251" s="79">
        <v>27.939999999999998</v>
      </c>
      <c r="P3251" s="79">
        <v>319.21999999999997</v>
      </c>
      <c r="Q3251" s="136"/>
      <c r="R3251" s="79">
        <v>291.27999999999997</v>
      </c>
      <c r="S3251" s="79">
        <v>27.92</v>
      </c>
      <c r="T3251" s="79">
        <v>319.2</v>
      </c>
      <c r="U3251" s="79">
        <v>0</v>
      </c>
      <c r="V3251" s="189">
        <v>319.2</v>
      </c>
      <c r="X3251" s="79">
        <v>291.27999999999997</v>
      </c>
      <c r="Y3251" s="79">
        <v>27.92</v>
      </c>
      <c r="Z3251" s="79">
        <v>319.2</v>
      </c>
      <c r="AA3251" s="255">
        <v>2.0000000000038654E-2</v>
      </c>
      <c r="AC3251" s="254"/>
    </row>
    <row r="3252" spans="1:29" ht="12">
      <c r="A3252" s="67" t="s">
        <v>16827</v>
      </c>
      <c r="B3252" s="65" t="s">
        <v>16828</v>
      </c>
      <c r="C3252" s="71" t="s">
        <v>103</v>
      </c>
      <c r="D3252" s="78">
        <v>1</v>
      </c>
      <c r="E3252" s="79">
        <v>375.11</v>
      </c>
      <c r="F3252" s="70">
        <v>375.11</v>
      </c>
      <c r="G3252" s="320"/>
      <c r="H3252" s="79">
        <v>347.17</v>
      </c>
      <c r="I3252" s="79">
        <v>27.939999999999998</v>
      </c>
      <c r="J3252" s="79">
        <v>375.11</v>
      </c>
      <c r="K3252" s="79">
        <v>0</v>
      </c>
      <c r="L3252" s="70">
        <v>375.11</v>
      </c>
      <c r="M3252" s="132"/>
      <c r="N3252" s="79">
        <v>347.17</v>
      </c>
      <c r="O3252" s="79">
        <v>27.939999999999998</v>
      </c>
      <c r="P3252" s="79">
        <v>375.11</v>
      </c>
      <c r="Q3252" s="136"/>
      <c r="R3252" s="79">
        <v>347.17</v>
      </c>
      <c r="S3252" s="79">
        <v>27.92</v>
      </c>
      <c r="T3252" s="79">
        <v>375.09000000000003</v>
      </c>
      <c r="U3252" s="79">
        <v>0</v>
      </c>
      <c r="V3252" s="189">
        <v>375.09000000000003</v>
      </c>
      <c r="X3252" s="79">
        <v>347.17</v>
      </c>
      <c r="Y3252" s="79">
        <v>27.92</v>
      </c>
      <c r="Z3252" s="79">
        <v>375.09</v>
      </c>
      <c r="AA3252" s="255">
        <v>2.0000000000038654E-2</v>
      </c>
      <c r="AC3252" s="254"/>
    </row>
    <row r="3253" spans="1:29" ht="12">
      <c r="A3253" s="67" t="s">
        <v>16829</v>
      </c>
      <c r="B3253" s="65" t="s">
        <v>16830</v>
      </c>
      <c r="C3253" s="71" t="s">
        <v>103</v>
      </c>
      <c r="D3253" s="78">
        <v>1</v>
      </c>
      <c r="E3253" s="79">
        <v>990.13000000000011</v>
      </c>
      <c r="F3253" s="70">
        <v>990.13</v>
      </c>
      <c r="G3253" s="320"/>
      <c r="H3253" s="79">
        <v>962.19</v>
      </c>
      <c r="I3253" s="79">
        <v>27.939999999999998</v>
      </c>
      <c r="J3253" s="79">
        <v>990.13000000000011</v>
      </c>
      <c r="K3253" s="79">
        <v>0</v>
      </c>
      <c r="L3253" s="70">
        <v>990.13000000000011</v>
      </c>
      <c r="M3253" s="132"/>
      <c r="N3253" s="79">
        <v>962.19</v>
      </c>
      <c r="O3253" s="79">
        <v>27.939999999999998</v>
      </c>
      <c r="P3253" s="79">
        <v>990.13000000000011</v>
      </c>
      <c r="Q3253" s="136"/>
      <c r="R3253" s="79">
        <v>962.19</v>
      </c>
      <c r="S3253" s="79">
        <v>27.92</v>
      </c>
      <c r="T3253" s="79">
        <v>990.11</v>
      </c>
      <c r="U3253" s="79">
        <v>0</v>
      </c>
      <c r="V3253" s="189">
        <v>990.11</v>
      </c>
      <c r="X3253" s="79">
        <v>962.19</v>
      </c>
      <c r="Y3253" s="79">
        <v>27.92</v>
      </c>
      <c r="Z3253" s="79">
        <v>990.11</v>
      </c>
      <c r="AA3253" s="255">
        <v>1.999999999998181E-2</v>
      </c>
      <c r="AC3253" s="254"/>
    </row>
    <row r="3254" spans="1:29" ht="12">
      <c r="A3254" s="67" t="s">
        <v>16831</v>
      </c>
      <c r="B3254" s="65" t="s">
        <v>16832</v>
      </c>
      <c r="C3254" s="71" t="s">
        <v>103</v>
      </c>
      <c r="D3254" s="78">
        <v>1</v>
      </c>
      <c r="E3254" s="79">
        <v>139.14999999999998</v>
      </c>
      <c r="F3254" s="70">
        <v>139.15</v>
      </c>
      <c r="G3254" s="320"/>
      <c r="H3254" s="79">
        <v>111.21</v>
      </c>
      <c r="I3254" s="79">
        <v>27.939999999999998</v>
      </c>
      <c r="J3254" s="79">
        <v>139.14999999999998</v>
      </c>
      <c r="K3254" s="79">
        <v>0</v>
      </c>
      <c r="L3254" s="70">
        <v>139.14999999999998</v>
      </c>
      <c r="M3254" s="132"/>
      <c r="N3254" s="79">
        <v>111.21</v>
      </c>
      <c r="O3254" s="79">
        <v>27.939999999999998</v>
      </c>
      <c r="P3254" s="79">
        <v>139.14999999999998</v>
      </c>
      <c r="Q3254" s="136"/>
      <c r="R3254" s="79">
        <v>111.21</v>
      </c>
      <c r="S3254" s="79">
        <v>27.92</v>
      </c>
      <c r="T3254" s="79">
        <v>139.13</v>
      </c>
      <c r="U3254" s="79">
        <v>0</v>
      </c>
      <c r="V3254" s="189">
        <v>139.13</v>
      </c>
      <c r="X3254" s="79">
        <v>111.21</v>
      </c>
      <c r="Y3254" s="79">
        <v>27.92</v>
      </c>
      <c r="Z3254" s="79">
        <v>139.13</v>
      </c>
      <c r="AA3254" s="255">
        <v>2.0000000000010232E-2</v>
      </c>
      <c r="AC3254" s="254"/>
    </row>
    <row r="3255" spans="1:29" ht="12">
      <c r="A3255" s="67" t="s">
        <v>16833</v>
      </c>
      <c r="B3255" s="65" t="s">
        <v>16834</v>
      </c>
      <c r="C3255" s="71" t="s">
        <v>103</v>
      </c>
      <c r="D3255" s="78">
        <v>1</v>
      </c>
      <c r="E3255" s="79">
        <v>607.72</v>
      </c>
      <c r="F3255" s="70">
        <v>607.72</v>
      </c>
      <c r="G3255" s="320"/>
      <c r="H3255" s="79">
        <v>579.78</v>
      </c>
      <c r="I3255" s="79">
        <v>27.939999999999998</v>
      </c>
      <c r="J3255" s="79">
        <v>607.72</v>
      </c>
      <c r="K3255" s="79">
        <v>0</v>
      </c>
      <c r="L3255" s="70">
        <v>607.72</v>
      </c>
      <c r="M3255" s="132"/>
      <c r="N3255" s="79">
        <v>579.78</v>
      </c>
      <c r="O3255" s="79">
        <v>27.939999999999998</v>
      </c>
      <c r="P3255" s="79">
        <v>607.72</v>
      </c>
      <c r="Q3255" s="136"/>
      <c r="R3255" s="79">
        <v>579.78</v>
      </c>
      <c r="S3255" s="79">
        <v>27.92</v>
      </c>
      <c r="T3255" s="79">
        <v>607.69999999999993</v>
      </c>
      <c r="U3255" s="79">
        <v>0</v>
      </c>
      <c r="V3255" s="189">
        <v>607.69999999999993</v>
      </c>
      <c r="X3255" s="79">
        <v>579.78</v>
      </c>
      <c r="Y3255" s="79">
        <v>27.92</v>
      </c>
      <c r="Z3255" s="79">
        <v>607.70000000000005</v>
      </c>
      <c r="AA3255" s="255">
        <v>1.999999999998181E-2</v>
      </c>
      <c r="AC3255" s="254"/>
    </row>
    <row r="3256" spans="1:29" ht="12">
      <c r="A3256" s="67" t="s">
        <v>16835</v>
      </c>
      <c r="B3256" s="65" t="s">
        <v>16836</v>
      </c>
      <c r="C3256" s="71" t="s">
        <v>103</v>
      </c>
      <c r="D3256" s="78">
        <v>1</v>
      </c>
      <c r="E3256" s="79">
        <v>159.54</v>
      </c>
      <c r="F3256" s="70">
        <v>159.54</v>
      </c>
      <c r="G3256" s="320"/>
      <c r="H3256" s="79">
        <v>137.22</v>
      </c>
      <c r="I3256" s="79">
        <v>22.32</v>
      </c>
      <c r="J3256" s="79">
        <v>159.54</v>
      </c>
      <c r="K3256" s="79">
        <v>0</v>
      </c>
      <c r="L3256" s="70">
        <v>159.54</v>
      </c>
      <c r="M3256" s="132"/>
      <c r="N3256" s="79">
        <v>137.22</v>
      </c>
      <c r="O3256" s="79">
        <v>22.32</v>
      </c>
      <c r="P3256" s="79">
        <v>159.54</v>
      </c>
      <c r="Q3256" s="136"/>
      <c r="R3256" s="79">
        <v>137.22</v>
      </c>
      <c r="S3256" s="79">
        <v>22.33</v>
      </c>
      <c r="T3256" s="79">
        <v>159.55000000000001</v>
      </c>
      <c r="U3256" s="79">
        <v>0</v>
      </c>
      <c r="V3256" s="189">
        <v>159.55000000000001</v>
      </c>
      <c r="X3256" s="79">
        <v>137.22</v>
      </c>
      <c r="Y3256" s="79">
        <v>22.33</v>
      </c>
      <c r="Z3256" s="79">
        <v>159.55000000000001</v>
      </c>
      <c r="AA3256" s="255">
        <v>-1.0000000000019327E-2</v>
      </c>
      <c r="AC3256" s="254"/>
    </row>
    <row r="3257" spans="1:29" ht="12">
      <c r="A3257" s="67" t="s">
        <v>16837</v>
      </c>
      <c r="B3257" s="65" t="s">
        <v>16838</v>
      </c>
      <c r="C3257" s="71" t="s">
        <v>103</v>
      </c>
      <c r="D3257" s="78">
        <v>1</v>
      </c>
      <c r="E3257" s="79">
        <v>231.42</v>
      </c>
      <c r="F3257" s="70">
        <v>231.42</v>
      </c>
      <c r="G3257" s="320"/>
      <c r="H3257" s="79">
        <v>203.48</v>
      </c>
      <c r="I3257" s="79">
        <v>27.939999999999998</v>
      </c>
      <c r="J3257" s="79">
        <v>231.42</v>
      </c>
      <c r="K3257" s="79">
        <v>0</v>
      </c>
      <c r="L3257" s="70">
        <v>231.42</v>
      </c>
      <c r="M3257" s="132"/>
      <c r="N3257" s="79">
        <v>203.48</v>
      </c>
      <c r="O3257" s="79">
        <v>27.939999999999998</v>
      </c>
      <c r="P3257" s="79">
        <v>231.42</v>
      </c>
      <c r="Q3257" s="136"/>
      <c r="R3257" s="79">
        <v>203.48</v>
      </c>
      <c r="S3257" s="79">
        <v>27.92</v>
      </c>
      <c r="T3257" s="79">
        <v>231.39999999999998</v>
      </c>
      <c r="U3257" s="79">
        <v>0</v>
      </c>
      <c r="V3257" s="189">
        <v>231.39999999999998</v>
      </c>
      <c r="X3257" s="79">
        <v>203.48</v>
      </c>
      <c r="Y3257" s="79">
        <v>27.92</v>
      </c>
      <c r="Z3257" s="79">
        <v>231.4</v>
      </c>
      <c r="AA3257" s="255">
        <v>1.999999999998181E-2</v>
      </c>
      <c r="AC3257" s="254"/>
    </row>
    <row r="3258" spans="1:29" ht="12">
      <c r="A3258" s="67" t="s">
        <v>16839</v>
      </c>
      <c r="B3258" s="65" t="s">
        <v>16840</v>
      </c>
      <c r="C3258" s="71" t="s">
        <v>103</v>
      </c>
      <c r="D3258" s="78">
        <v>1</v>
      </c>
      <c r="E3258" s="79">
        <v>257.99</v>
      </c>
      <c r="F3258" s="70">
        <v>257.99</v>
      </c>
      <c r="G3258" s="320"/>
      <c r="H3258" s="79">
        <v>230.05</v>
      </c>
      <c r="I3258" s="79">
        <v>27.939999999999998</v>
      </c>
      <c r="J3258" s="79">
        <v>257.99</v>
      </c>
      <c r="K3258" s="79">
        <v>0</v>
      </c>
      <c r="L3258" s="70">
        <v>257.99</v>
      </c>
      <c r="M3258" s="132"/>
      <c r="N3258" s="79">
        <v>230.05</v>
      </c>
      <c r="O3258" s="79">
        <v>27.939999999999998</v>
      </c>
      <c r="P3258" s="79">
        <v>257.99</v>
      </c>
      <c r="Q3258" s="136"/>
      <c r="R3258" s="79">
        <v>230.05</v>
      </c>
      <c r="S3258" s="79">
        <v>27.92</v>
      </c>
      <c r="T3258" s="79">
        <v>257.97000000000003</v>
      </c>
      <c r="U3258" s="79">
        <v>0</v>
      </c>
      <c r="V3258" s="189">
        <v>257.97000000000003</v>
      </c>
      <c r="X3258" s="79">
        <v>230.05</v>
      </c>
      <c r="Y3258" s="79">
        <v>27.92</v>
      </c>
      <c r="Z3258" s="79">
        <v>257.97000000000003</v>
      </c>
      <c r="AA3258" s="255">
        <v>1.999999999998181E-2</v>
      </c>
      <c r="AC3258" s="254"/>
    </row>
    <row r="3259" spans="1:29" ht="12">
      <c r="A3259" s="67" t="s">
        <v>16841</v>
      </c>
      <c r="B3259" s="65" t="s">
        <v>16842</v>
      </c>
      <c r="C3259" s="71" t="s">
        <v>103</v>
      </c>
      <c r="D3259" s="78">
        <v>1</v>
      </c>
      <c r="E3259" s="79">
        <v>269.06</v>
      </c>
      <c r="F3259" s="70">
        <v>269.06</v>
      </c>
      <c r="G3259" s="320"/>
      <c r="H3259" s="79">
        <v>241.12</v>
      </c>
      <c r="I3259" s="79">
        <v>27.939999999999998</v>
      </c>
      <c r="J3259" s="79">
        <v>269.06</v>
      </c>
      <c r="K3259" s="79">
        <v>0</v>
      </c>
      <c r="L3259" s="70">
        <v>269.06</v>
      </c>
      <c r="M3259" s="132"/>
      <c r="N3259" s="79">
        <v>241.12</v>
      </c>
      <c r="O3259" s="79">
        <v>27.939999999999998</v>
      </c>
      <c r="P3259" s="79">
        <v>269.06</v>
      </c>
      <c r="Q3259" s="136"/>
      <c r="R3259" s="79">
        <v>241.12</v>
      </c>
      <c r="S3259" s="79">
        <v>27.92</v>
      </c>
      <c r="T3259" s="79">
        <v>269.04000000000002</v>
      </c>
      <c r="U3259" s="79">
        <v>0</v>
      </c>
      <c r="V3259" s="189">
        <v>269.04000000000002</v>
      </c>
      <c r="X3259" s="79">
        <v>241.12</v>
      </c>
      <c r="Y3259" s="79">
        <v>27.92</v>
      </c>
      <c r="Z3259" s="79">
        <v>269.04000000000002</v>
      </c>
      <c r="AA3259" s="255">
        <v>1.999999999998181E-2</v>
      </c>
      <c r="AC3259" s="254"/>
    </row>
    <row r="3260" spans="1:29" ht="12">
      <c r="A3260" s="67" t="s">
        <v>16843</v>
      </c>
      <c r="B3260" s="65" t="s">
        <v>16844</v>
      </c>
      <c r="C3260" s="71" t="s">
        <v>103</v>
      </c>
      <c r="D3260" s="78">
        <v>1</v>
      </c>
      <c r="E3260" s="79">
        <v>522.36</v>
      </c>
      <c r="F3260" s="70">
        <v>522.36</v>
      </c>
      <c r="G3260" s="320"/>
      <c r="H3260" s="79">
        <v>494.42</v>
      </c>
      <c r="I3260" s="79">
        <v>27.939999999999998</v>
      </c>
      <c r="J3260" s="79">
        <v>522.36</v>
      </c>
      <c r="K3260" s="79">
        <v>0</v>
      </c>
      <c r="L3260" s="70">
        <v>522.36</v>
      </c>
      <c r="M3260" s="132"/>
      <c r="N3260" s="79">
        <v>494.42</v>
      </c>
      <c r="O3260" s="79">
        <v>27.939999999999998</v>
      </c>
      <c r="P3260" s="79">
        <v>522.36</v>
      </c>
      <c r="Q3260" s="136"/>
      <c r="R3260" s="79">
        <v>494.42</v>
      </c>
      <c r="S3260" s="79">
        <v>27.92</v>
      </c>
      <c r="T3260" s="79">
        <v>522.34</v>
      </c>
      <c r="U3260" s="79">
        <v>0</v>
      </c>
      <c r="V3260" s="189">
        <v>522.34</v>
      </c>
      <c r="X3260" s="79">
        <v>494.42</v>
      </c>
      <c r="Y3260" s="79">
        <v>27.92</v>
      </c>
      <c r="Z3260" s="79">
        <v>522.34</v>
      </c>
      <c r="AA3260" s="255">
        <v>1.999999999998181E-2</v>
      </c>
      <c r="AC3260" s="254"/>
    </row>
    <row r="3261" spans="1:29" ht="12">
      <c r="A3261" s="67" t="s">
        <v>16845</v>
      </c>
      <c r="B3261" s="65" t="s">
        <v>16846</v>
      </c>
      <c r="C3261" s="71" t="s">
        <v>103</v>
      </c>
      <c r="D3261" s="78">
        <v>1</v>
      </c>
      <c r="E3261" s="79">
        <v>549.45000000000005</v>
      </c>
      <c r="F3261" s="70">
        <v>549.45000000000005</v>
      </c>
      <c r="G3261" s="320"/>
      <c r="H3261" s="79">
        <v>521.51</v>
      </c>
      <c r="I3261" s="79">
        <v>27.939999999999998</v>
      </c>
      <c r="J3261" s="79">
        <v>549.45000000000005</v>
      </c>
      <c r="K3261" s="79">
        <v>0</v>
      </c>
      <c r="L3261" s="70">
        <v>549.45000000000005</v>
      </c>
      <c r="M3261" s="132"/>
      <c r="N3261" s="79">
        <v>521.51</v>
      </c>
      <c r="O3261" s="79">
        <v>27.939999999999998</v>
      </c>
      <c r="P3261" s="79">
        <v>549.45000000000005</v>
      </c>
      <c r="Q3261" s="136"/>
      <c r="R3261" s="79">
        <v>521.51</v>
      </c>
      <c r="S3261" s="79">
        <v>27.92</v>
      </c>
      <c r="T3261" s="79">
        <v>549.42999999999995</v>
      </c>
      <c r="U3261" s="79">
        <v>0</v>
      </c>
      <c r="V3261" s="189">
        <v>549.42999999999995</v>
      </c>
      <c r="X3261" s="79">
        <v>521.51</v>
      </c>
      <c r="Y3261" s="79">
        <v>27.92</v>
      </c>
      <c r="Z3261" s="79">
        <v>549.42999999999995</v>
      </c>
      <c r="AA3261" s="255">
        <v>2.0000000000095497E-2</v>
      </c>
      <c r="AC3261" s="254"/>
    </row>
    <row r="3262" spans="1:29" ht="12">
      <c r="A3262" s="67" t="s">
        <v>16847</v>
      </c>
      <c r="B3262" s="65" t="s">
        <v>16848</v>
      </c>
      <c r="C3262" s="71" t="s">
        <v>103</v>
      </c>
      <c r="D3262" s="78">
        <v>1</v>
      </c>
      <c r="E3262" s="79">
        <v>566.44000000000005</v>
      </c>
      <c r="F3262" s="70">
        <v>566.44000000000005</v>
      </c>
      <c r="G3262" s="320"/>
      <c r="H3262" s="79">
        <v>538.5</v>
      </c>
      <c r="I3262" s="79">
        <v>27.939999999999998</v>
      </c>
      <c r="J3262" s="79">
        <v>566.44000000000005</v>
      </c>
      <c r="K3262" s="79">
        <v>0</v>
      </c>
      <c r="L3262" s="70">
        <v>566.44000000000005</v>
      </c>
      <c r="M3262" s="132"/>
      <c r="N3262" s="79">
        <v>538.5</v>
      </c>
      <c r="O3262" s="79">
        <v>27.939999999999998</v>
      </c>
      <c r="P3262" s="79">
        <v>566.44000000000005</v>
      </c>
      <c r="Q3262" s="136"/>
      <c r="R3262" s="79">
        <v>538.5</v>
      </c>
      <c r="S3262" s="79">
        <v>27.92</v>
      </c>
      <c r="T3262" s="79">
        <v>566.41999999999996</v>
      </c>
      <c r="U3262" s="79">
        <v>0</v>
      </c>
      <c r="V3262" s="189">
        <v>566.41999999999996</v>
      </c>
      <c r="X3262" s="79">
        <v>538.5</v>
      </c>
      <c r="Y3262" s="79">
        <v>27.92</v>
      </c>
      <c r="Z3262" s="79">
        <v>566.41999999999996</v>
      </c>
      <c r="AA3262" s="255">
        <v>2.0000000000095497E-2</v>
      </c>
      <c r="AC3262" s="254"/>
    </row>
    <row r="3263" spans="1:29" ht="12">
      <c r="A3263" s="67" t="s">
        <v>16849</v>
      </c>
      <c r="B3263" s="65" t="s">
        <v>16850</v>
      </c>
      <c r="C3263" s="71" t="s">
        <v>103</v>
      </c>
      <c r="D3263" s="78">
        <v>1</v>
      </c>
      <c r="E3263" s="79">
        <v>619.99</v>
      </c>
      <c r="F3263" s="70">
        <v>619.99</v>
      </c>
      <c r="G3263" s="320"/>
      <c r="H3263" s="79">
        <v>592.04999999999995</v>
      </c>
      <c r="I3263" s="79">
        <v>27.939999999999998</v>
      </c>
      <c r="J3263" s="79">
        <v>619.99</v>
      </c>
      <c r="K3263" s="79">
        <v>0</v>
      </c>
      <c r="L3263" s="70">
        <v>619.99</v>
      </c>
      <c r="M3263" s="132"/>
      <c r="N3263" s="79">
        <v>592.04999999999995</v>
      </c>
      <c r="O3263" s="79">
        <v>27.939999999999998</v>
      </c>
      <c r="P3263" s="79">
        <v>619.99</v>
      </c>
      <c r="Q3263" s="136"/>
      <c r="R3263" s="79">
        <v>592.04999999999995</v>
      </c>
      <c r="S3263" s="79">
        <v>27.92</v>
      </c>
      <c r="T3263" s="79">
        <v>619.96999999999991</v>
      </c>
      <c r="U3263" s="79">
        <v>0</v>
      </c>
      <c r="V3263" s="189">
        <v>619.96999999999991</v>
      </c>
      <c r="X3263" s="79">
        <v>592.04999999999995</v>
      </c>
      <c r="Y3263" s="79">
        <v>27.92</v>
      </c>
      <c r="Z3263" s="79">
        <v>619.97</v>
      </c>
      <c r="AA3263" s="255">
        <v>1.999999999998181E-2</v>
      </c>
      <c r="AC3263" s="254"/>
    </row>
    <row r="3264" spans="1:29" ht="12">
      <c r="A3264" s="67" t="s">
        <v>16851</v>
      </c>
      <c r="B3264" s="65" t="s">
        <v>16852</v>
      </c>
      <c r="C3264" s="71" t="s">
        <v>103</v>
      </c>
      <c r="D3264" s="78">
        <v>1</v>
      </c>
      <c r="E3264" s="79">
        <v>659.6400000000001</v>
      </c>
      <c r="F3264" s="70">
        <v>659.64</v>
      </c>
      <c r="G3264" s="320"/>
      <c r="H3264" s="79">
        <v>631.70000000000005</v>
      </c>
      <c r="I3264" s="79">
        <v>27.939999999999998</v>
      </c>
      <c r="J3264" s="79">
        <v>659.6400000000001</v>
      </c>
      <c r="K3264" s="79">
        <v>0</v>
      </c>
      <c r="L3264" s="70">
        <v>659.6400000000001</v>
      </c>
      <c r="M3264" s="132"/>
      <c r="N3264" s="79">
        <v>631.70000000000005</v>
      </c>
      <c r="O3264" s="79">
        <v>27.939999999999998</v>
      </c>
      <c r="P3264" s="79">
        <v>659.6400000000001</v>
      </c>
      <c r="Q3264" s="136"/>
      <c r="R3264" s="79">
        <v>631.70000000000005</v>
      </c>
      <c r="S3264" s="79">
        <v>27.92</v>
      </c>
      <c r="T3264" s="79">
        <v>659.62</v>
      </c>
      <c r="U3264" s="79">
        <v>0</v>
      </c>
      <c r="V3264" s="189">
        <v>659.62</v>
      </c>
      <c r="X3264" s="79">
        <v>631.70000000000005</v>
      </c>
      <c r="Y3264" s="79">
        <v>27.92</v>
      </c>
      <c r="Z3264" s="79">
        <v>659.62</v>
      </c>
      <c r="AA3264" s="255">
        <v>1.999999999998181E-2</v>
      </c>
      <c r="AC3264" s="254"/>
    </row>
    <row r="3265" spans="1:31" ht="12">
      <c r="A3265" s="67" t="s">
        <v>16853</v>
      </c>
      <c r="B3265" s="65" t="s">
        <v>16854</v>
      </c>
      <c r="C3265" s="71" t="s">
        <v>103</v>
      </c>
      <c r="D3265" s="78">
        <v>1</v>
      </c>
      <c r="E3265" s="79">
        <v>1427.52</v>
      </c>
      <c r="F3265" s="70">
        <v>1427.52</v>
      </c>
      <c r="G3265" s="320"/>
      <c r="H3265" s="79">
        <v>1399.58</v>
      </c>
      <c r="I3265" s="79">
        <v>27.939999999999998</v>
      </c>
      <c r="J3265" s="79">
        <v>1427.52</v>
      </c>
      <c r="K3265" s="79">
        <v>0</v>
      </c>
      <c r="L3265" s="70">
        <v>1427.52</v>
      </c>
      <c r="M3265" s="132"/>
      <c r="N3265" s="79">
        <v>1399.58</v>
      </c>
      <c r="O3265" s="79">
        <v>27.939999999999998</v>
      </c>
      <c r="P3265" s="79">
        <v>1427.52</v>
      </c>
      <c r="Q3265" s="136"/>
      <c r="R3265" s="79">
        <v>1399.58</v>
      </c>
      <c r="S3265" s="79">
        <v>27.92</v>
      </c>
      <c r="T3265" s="79">
        <v>1427.5</v>
      </c>
      <c r="U3265" s="79">
        <v>0</v>
      </c>
      <c r="V3265" s="189">
        <v>1427.5</v>
      </c>
      <c r="X3265" s="79">
        <v>1399.58</v>
      </c>
      <c r="Y3265" s="79">
        <v>27.92</v>
      </c>
      <c r="Z3265" s="79">
        <v>1427.5</v>
      </c>
      <c r="AA3265" s="255">
        <v>1.999999999998181E-2</v>
      </c>
      <c r="AC3265" s="254"/>
    </row>
    <row r="3266" spans="1:31" ht="12">
      <c r="A3266" s="67" t="s">
        <v>16855</v>
      </c>
      <c r="B3266" s="65" t="s">
        <v>16856</v>
      </c>
      <c r="C3266" s="71" t="s">
        <v>103</v>
      </c>
      <c r="D3266" s="78">
        <v>1</v>
      </c>
      <c r="E3266" s="79">
        <v>501.46999999999997</v>
      </c>
      <c r="F3266" s="70">
        <v>501.47</v>
      </c>
      <c r="G3266" s="320"/>
      <c r="H3266" s="79">
        <v>479.15</v>
      </c>
      <c r="I3266" s="79">
        <v>22.32</v>
      </c>
      <c r="J3266" s="79">
        <v>501.46999999999997</v>
      </c>
      <c r="K3266" s="79">
        <v>0</v>
      </c>
      <c r="L3266" s="70">
        <v>501.46999999999997</v>
      </c>
      <c r="M3266" s="132"/>
      <c r="N3266" s="79">
        <v>479.15</v>
      </c>
      <c r="O3266" s="79">
        <v>22.32</v>
      </c>
      <c r="P3266" s="79">
        <v>501.46999999999997</v>
      </c>
      <c r="Q3266" s="136"/>
      <c r="R3266" s="79">
        <v>479.15</v>
      </c>
      <c r="S3266" s="79">
        <v>22.33</v>
      </c>
      <c r="T3266" s="79">
        <v>501.47999999999996</v>
      </c>
      <c r="U3266" s="79">
        <v>0</v>
      </c>
      <c r="V3266" s="189">
        <v>501.47999999999996</v>
      </c>
      <c r="X3266" s="79">
        <v>479.15</v>
      </c>
      <c r="Y3266" s="79">
        <v>22.33</v>
      </c>
      <c r="Z3266" s="79">
        <v>501.48</v>
      </c>
      <c r="AA3266" s="255">
        <v>-9.9999999999909051E-3</v>
      </c>
      <c r="AC3266" s="254"/>
    </row>
    <row r="3267" spans="1:31" ht="12">
      <c r="A3267" s="67" t="s">
        <v>16857</v>
      </c>
      <c r="B3267" s="65" t="s">
        <v>16858</v>
      </c>
      <c r="C3267" s="71" t="s">
        <v>103</v>
      </c>
      <c r="D3267" s="78">
        <v>1</v>
      </c>
      <c r="E3267" s="79">
        <v>926.8599999999999</v>
      </c>
      <c r="F3267" s="70">
        <v>926.86</v>
      </c>
      <c r="G3267" s="320"/>
      <c r="H3267" s="79">
        <v>898.92</v>
      </c>
      <c r="I3267" s="79">
        <v>27.939999999999998</v>
      </c>
      <c r="J3267" s="79">
        <v>926.8599999999999</v>
      </c>
      <c r="K3267" s="79">
        <v>0</v>
      </c>
      <c r="L3267" s="70">
        <v>926.8599999999999</v>
      </c>
      <c r="M3267" s="132"/>
      <c r="N3267" s="79">
        <v>898.92</v>
      </c>
      <c r="O3267" s="79">
        <v>27.939999999999998</v>
      </c>
      <c r="P3267" s="79">
        <v>926.8599999999999</v>
      </c>
      <c r="Q3267" s="136"/>
      <c r="R3267" s="79">
        <v>898.92</v>
      </c>
      <c r="S3267" s="79">
        <v>27.92</v>
      </c>
      <c r="T3267" s="79">
        <v>926.83999999999992</v>
      </c>
      <c r="U3267" s="79">
        <v>0</v>
      </c>
      <c r="V3267" s="189">
        <v>926.83999999999992</v>
      </c>
      <c r="X3267" s="79">
        <v>898.92</v>
      </c>
      <c r="Y3267" s="79">
        <v>27.92</v>
      </c>
      <c r="Z3267" s="79">
        <v>926.84</v>
      </c>
      <c r="AA3267" s="255">
        <v>1.999999999998181E-2</v>
      </c>
      <c r="AC3267" s="254"/>
    </row>
    <row r="3268" spans="1:31" ht="12">
      <c r="A3268" s="67" t="s">
        <v>16859</v>
      </c>
      <c r="B3268" s="65" t="s">
        <v>16860</v>
      </c>
      <c r="C3268" s="71" t="s">
        <v>103</v>
      </c>
      <c r="D3268" s="78">
        <v>1</v>
      </c>
      <c r="E3268" s="79">
        <v>1215.04</v>
      </c>
      <c r="F3268" s="70">
        <v>1215.04</v>
      </c>
      <c r="G3268" s="320"/>
      <c r="H3268" s="79">
        <v>1187.0999999999999</v>
      </c>
      <c r="I3268" s="79">
        <v>27.939999999999998</v>
      </c>
      <c r="J3268" s="79">
        <v>1215.04</v>
      </c>
      <c r="K3268" s="79">
        <v>0</v>
      </c>
      <c r="L3268" s="70">
        <v>1215.04</v>
      </c>
      <c r="M3268" s="132"/>
      <c r="N3268" s="79">
        <v>1187.0999999999999</v>
      </c>
      <c r="O3268" s="79">
        <v>27.939999999999998</v>
      </c>
      <c r="P3268" s="79">
        <v>1215.04</v>
      </c>
      <c r="Q3268" s="136"/>
      <c r="R3268" s="79">
        <v>1187.0999999999999</v>
      </c>
      <c r="S3268" s="79">
        <v>27.92</v>
      </c>
      <c r="T3268" s="79">
        <v>1215.02</v>
      </c>
      <c r="U3268" s="79">
        <v>0</v>
      </c>
      <c r="V3268" s="189">
        <v>1215.02</v>
      </c>
      <c r="X3268" s="79">
        <v>1187.0999999999999</v>
      </c>
      <c r="Y3268" s="79">
        <v>27.92</v>
      </c>
      <c r="Z3268" s="79">
        <v>1215.02</v>
      </c>
      <c r="AA3268" s="255">
        <v>1.999999999998181E-2</v>
      </c>
      <c r="AC3268" s="254"/>
    </row>
    <row r="3269" spans="1:31" ht="12">
      <c r="A3269" s="67" t="s">
        <v>16861</v>
      </c>
      <c r="B3269" s="65" t="s">
        <v>16862</v>
      </c>
      <c r="C3269" s="71" t="s">
        <v>103</v>
      </c>
      <c r="D3269" s="78">
        <v>1</v>
      </c>
      <c r="E3269" s="79">
        <v>1486.05</v>
      </c>
      <c r="F3269" s="70">
        <v>1486.05</v>
      </c>
      <c r="G3269" s="320"/>
      <c r="H3269" s="79">
        <v>1458.11</v>
      </c>
      <c r="I3269" s="79">
        <v>27.939999999999998</v>
      </c>
      <c r="J3269" s="79">
        <v>1486.05</v>
      </c>
      <c r="K3269" s="79">
        <v>0</v>
      </c>
      <c r="L3269" s="70">
        <v>1486.05</v>
      </c>
      <c r="M3269" s="132"/>
      <c r="N3269" s="79">
        <v>1458.11</v>
      </c>
      <c r="O3269" s="79">
        <v>27.939999999999998</v>
      </c>
      <c r="P3269" s="79">
        <v>1486.05</v>
      </c>
      <c r="Q3269" s="136"/>
      <c r="R3269" s="79">
        <v>1458.11</v>
      </c>
      <c r="S3269" s="79">
        <v>27.92</v>
      </c>
      <c r="T3269" s="79">
        <v>1486.03</v>
      </c>
      <c r="U3269" s="79">
        <v>0</v>
      </c>
      <c r="V3269" s="189">
        <v>1486.03</v>
      </c>
      <c r="X3269" s="79">
        <v>1458.11</v>
      </c>
      <c r="Y3269" s="79">
        <v>27.92</v>
      </c>
      <c r="Z3269" s="79">
        <v>1486.03</v>
      </c>
      <c r="AA3269" s="255">
        <v>1.999999999998181E-2</v>
      </c>
      <c r="AC3269" s="254"/>
    </row>
    <row r="3270" spans="1:31" ht="12">
      <c r="A3270" s="67" t="s">
        <v>16863</v>
      </c>
      <c r="B3270" s="65" t="s">
        <v>16864</v>
      </c>
      <c r="C3270" s="71" t="s">
        <v>103</v>
      </c>
      <c r="D3270" s="78">
        <v>1</v>
      </c>
      <c r="E3270" s="79">
        <v>3177.11</v>
      </c>
      <c r="F3270" s="70">
        <v>3177.11</v>
      </c>
      <c r="G3270" s="320"/>
      <c r="H3270" s="79">
        <v>3149.17</v>
      </c>
      <c r="I3270" s="79">
        <v>27.939999999999998</v>
      </c>
      <c r="J3270" s="79">
        <v>3177.11</v>
      </c>
      <c r="K3270" s="79">
        <v>0</v>
      </c>
      <c r="L3270" s="70">
        <v>3177.11</v>
      </c>
      <c r="M3270" s="132"/>
      <c r="N3270" s="79">
        <v>3149.17</v>
      </c>
      <c r="O3270" s="79">
        <v>27.939999999999998</v>
      </c>
      <c r="P3270" s="79">
        <v>3177.11</v>
      </c>
      <c r="Q3270" s="136"/>
      <c r="R3270" s="79">
        <v>3149.17</v>
      </c>
      <c r="S3270" s="79">
        <v>27.92</v>
      </c>
      <c r="T3270" s="79">
        <v>3177.09</v>
      </c>
      <c r="U3270" s="79">
        <v>0</v>
      </c>
      <c r="V3270" s="189">
        <v>3177.09</v>
      </c>
      <c r="X3270" s="79">
        <v>3149.17</v>
      </c>
      <c r="Y3270" s="79">
        <v>27.92</v>
      </c>
      <c r="Z3270" s="79">
        <v>3177.09</v>
      </c>
      <c r="AA3270" s="255">
        <v>1.999999999998181E-2</v>
      </c>
      <c r="AC3270" s="254"/>
    </row>
    <row r="3271" spans="1:31" ht="24">
      <c r="A3271" s="67" t="s">
        <v>16865</v>
      </c>
      <c r="B3271" s="65" t="s">
        <v>16866</v>
      </c>
      <c r="C3271" s="71" t="s">
        <v>103</v>
      </c>
      <c r="D3271" s="78">
        <v>1</v>
      </c>
      <c r="E3271" s="79">
        <v>229.03</v>
      </c>
      <c r="F3271" s="70">
        <v>229.03</v>
      </c>
      <c r="G3271" s="320"/>
      <c r="H3271" s="79">
        <v>206.71</v>
      </c>
      <c r="I3271" s="79">
        <v>22.32</v>
      </c>
      <c r="J3271" s="79">
        <v>229.03</v>
      </c>
      <c r="K3271" s="79">
        <v>0</v>
      </c>
      <c r="L3271" s="70">
        <v>229.03</v>
      </c>
      <c r="M3271" s="132"/>
      <c r="N3271" s="79">
        <v>206.71</v>
      </c>
      <c r="O3271" s="79">
        <v>22.32</v>
      </c>
      <c r="P3271" s="79">
        <v>229.03</v>
      </c>
      <c r="Q3271" s="136"/>
      <c r="R3271" s="79">
        <v>206.71</v>
      </c>
      <c r="S3271" s="79">
        <v>22.33</v>
      </c>
      <c r="T3271" s="79">
        <v>229.04000000000002</v>
      </c>
      <c r="U3271" s="79">
        <v>0</v>
      </c>
      <c r="V3271" s="189">
        <v>229.04000000000002</v>
      </c>
      <c r="X3271" s="79">
        <v>206.71</v>
      </c>
      <c r="Y3271" s="79">
        <v>22.33</v>
      </c>
      <c r="Z3271" s="79">
        <v>229.04</v>
      </c>
      <c r="AA3271" s="255">
        <v>-9.9999999999909051E-3</v>
      </c>
      <c r="AC3271" s="254"/>
    </row>
    <row r="3272" spans="1:31" ht="24">
      <c r="A3272" s="67" t="s">
        <v>16867</v>
      </c>
      <c r="B3272" s="65" t="s">
        <v>16868</v>
      </c>
      <c r="C3272" s="71" t="s">
        <v>103</v>
      </c>
      <c r="D3272" s="78">
        <v>1</v>
      </c>
      <c r="E3272" s="79">
        <v>242.59</v>
      </c>
      <c r="F3272" s="70">
        <v>242.59</v>
      </c>
      <c r="G3272" s="320"/>
      <c r="H3272" s="79">
        <v>220.27</v>
      </c>
      <c r="I3272" s="79">
        <v>22.32</v>
      </c>
      <c r="J3272" s="79">
        <v>242.59</v>
      </c>
      <c r="K3272" s="79">
        <v>0</v>
      </c>
      <c r="L3272" s="70">
        <v>242.59</v>
      </c>
      <c r="M3272" s="132"/>
      <c r="N3272" s="79">
        <v>220.27</v>
      </c>
      <c r="O3272" s="79">
        <v>22.32</v>
      </c>
      <c r="P3272" s="79">
        <v>242.59</v>
      </c>
      <c r="Q3272" s="136"/>
      <c r="R3272" s="79">
        <v>220.27</v>
      </c>
      <c r="S3272" s="79">
        <v>22.33</v>
      </c>
      <c r="T3272" s="79">
        <v>242.60000000000002</v>
      </c>
      <c r="U3272" s="79">
        <v>0</v>
      </c>
      <c r="V3272" s="189">
        <v>242.60000000000002</v>
      </c>
      <c r="X3272" s="79">
        <v>220.27</v>
      </c>
      <c r="Y3272" s="79">
        <v>22.33</v>
      </c>
      <c r="Z3272" s="79">
        <v>242.6</v>
      </c>
      <c r="AA3272" s="255">
        <v>-9.9999999999909051E-3</v>
      </c>
      <c r="AC3272" s="254"/>
      <c r="AD3272" s="61"/>
      <c r="AE3272" s="61"/>
    </row>
    <row r="3273" spans="1:31" ht="24">
      <c r="A3273" s="67" t="s">
        <v>16869</v>
      </c>
      <c r="B3273" s="65" t="s">
        <v>16870</v>
      </c>
      <c r="C3273" s="71" t="s">
        <v>103</v>
      </c>
      <c r="D3273" s="78">
        <v>1</v>
      </c>
      <c r="E3273" s="79">
        <v>519.21</v>
      </c>
      <c r="F3273" s="70">
        <v>519.21</v>
      </c>
      <c r="G3273" s="320"/>
      <c r="H3273" s="79">
        <v>491.27</v>
      </c>
      <c r="I3273" s="79">
        <v>27.939999999999998</v>
      </c>
      <c r="J3273" s="79">
        <v>519.21</v>
      </c>
      <c r="K3273" s="79">
        <v>0</v>
      </c>
      <c r="L3273" s="70">
        <v>519.21</v>
      </c>
      <c r="M3273" s="132"/>
      <c r="N3273" s="79">
        <v>491.27</v>
      </c>
      <c r="O3273" s="79">
        <v>27.939999999999998</v>
      </c>
      <c r="P3273" s="79">
        <v>519.21</v>
      </c>
      <c r="Q3273" s="136"/>
      <c r="R3273" s="79">
        <v>491.27</v>
      </c>
      <c r="S3273" s="79">
        <v>27.92</v>
      </c>
      <c r="T3273" s="79">
        <v>519.18999999999994</v>
      </c>
      <c r="U3273" s="79">
        <v>0</v>
      </c>
      <c r="V3273" s="189">
        <v>519.18999999999994</v>
      </c>
      <c r="X3273" s="79">
        <v>491.27</v>
      </c>
      <c r="Y3273" s="79">
        <v>27.92</v>
      </c>
      <c r="Z3273" s="79">
        <v>519.19000000000005</v>
      </c>
      <c r="AA3273" s="255">
        <v>1.999999999998181E-2</v>
      </c>
      <c r="AC3273" s="254"/>
      <c r="AD3273" s="61"/>
      <c r="AE3273" s="61"/>
    </row>
    <row r="3274" spans="1:31" s="61" customFormat="1" ht="24">
      <c r="A3274" s="67" t="s">
        <v>16871</v>
      </c>
      <c r="B3274" s="65" t="s">
        <v>16872</v>
      </c>
      <c r="C3274" s="71" t="s">
        <v>103</v>
      </c>
      <c r="D3274" s="78">
        <v>1</v>
      </c>
      <c r="E3274" s="79">
        <v>623.06999999999994</v>
      </c>
      <c r="F3274" s="70">
        <v>623.07000000000005</v>
      </c>
      <c r="G3274" s="320"/>
      <c r="H3274" s="79">
        <v>595.13</v>
      </c>
      <c r="I3274" s="79">
        <v>27.939999999999998</v>
      </c>
      <c r="J3274" s="79">
        <v>623.06999999999994</v>
      </c>
      <c r="K3274" s="79">
        <v>0</v>
      </c>
      <c r="L3274" s="70">
        <v>623.06999999999994</v>
      </c>
      <c r="M3274" s="132"/>
      <c r="N3274" s="79">
        <v>595.13</v>
      </c>
      <c r="O3274" s="79">
        <v>27.939999999999998</v>
      </c>
      <c r="P3274" s="79">
        <v>623.06999999999994</v>
      </c>
      <c r="Q3274" s="136"/>
      <c r="R3274" s="79">
        <v>595.13</v>
      </c>
      <c r="S3274" s="79">
        <v>27.92</v>
      </c>
      <c r="T3274" s="79">
        <v>623.04999999999995</v>
      </c>
      <c r="U3274" s="79">
        <v>0</v>
      </c>
      <c r="V3274" s="189">
        <v>623.04999999999995</v>
      </c>
      <c r="X3274" s="79">
        <v>595.13</v>
      </c>
      <c r="Y3274" s="79">
        <v>27.92</v>
      </c>
      <c r="Z3274" s="79">
        <v>623.04999999999995</v>
      </c>
      <c r="AA3274" s="255">
        <v>2.0000000000095497E-2</v>
      </c>
      <c r="AC3274" s="254"/>
    </row>
    <row r="3275" spans="1:31" s="61" customFormat="1" ht="24">
      <c r="A3275" s="67" t="s">
        <v>16873</v>
      </c>
      <c r="B3275" s="65" t="s">
        <v>16874</v>
      </c>
      <c r="C3275" s="71" t="s">
        <v>103</v>
      </c>
      <c r="D3275" s="78">
        <v>1</v>
      </c>
      <c r="E3275" s="79">
        <v>898.46</v>
      </c>
      <c r="F3275" s="70">
        <v>898.46</v>
      </c>
      <c r="G3275" s="320"/>
      <c r="H3275" s="79">
        <v>870.52</v>
      </c>
      <c r="I3275" s="79">
        <v>27.939999999999998</v>
      </c>
      <c r="J3275" s="79">
        <v>898.46</v>
      </c>
      <c r="K3275" s="79">
        <v>0</v>
      </c>
      <c r="L3275" s="70">
        <v>898.46</v>
      </c>
      <c r="M3275" s="132"/>
      <c r="N3275" s="79">
        <v>870.52</v>
      </c>
      <c r="O3275" s="79">
        <v>27.939999999999998</v>
      </c>
      <c r="P3275" s="79">
        <v>898.46</v>
      </c>
      <c r="Q3275" s="136"/>
      <c r="R3275" s="79">
        <v>870.52</v>
      </c>
      <c r="S3275" s="79">
        <v>27.92</v>
      </c>
      <c r="T3275" s="79">
        <v>898.43999999999994</v>
      </c>
      <c r="U3275" s="79">
        <v>0</v>
      </c>
      <c r="V3275" s="189">
        <v>898.43999999999994</v>
      </c>
      <c r="X3275" s="79">
        <v>870.52</v>
      </c>
      <c r="Y3275" s="79">
        <v>27.92</v>
      </c>
      <c r="Z3275" s="79">
        <v>898.44</v>
      </c>
      <c r="AA3275" s="255">
        <v>1.999999999998181E-2</v>
      </c>
      <c r="AC3275" s="254"/>
    </row>
    <row r="3276" spans="1:31" s="61" customFormat="1" ht="12">
      <c r="A3276" s="67" t="s">
        <v>16875</v>
      </c>
      <c r="B3276" s="65" t="s">
        <v>16876</v>
      </c>
      <c r="C3276" s="71" t="s">
        <v>103</v>
      </c>
      <c r="D3276" s="78">
        <v>1</v>
      </c>
      <c r="E3276" s="79">
        <v>205.07999999999998</v>
      </c>
      <c r="F3276" s="70">
        <v>205.08</v>
      </c>
      <c r="G3276" s="320"/>
      <c r="H3276" s="79">
        <v>177.14</v>
      </c>
      <c r="I3276" s="79">
        <v>27.939999999999998</v>
      </c>
      <c r="J3276" s="79">
        <v>205.07999999999998</v>
      </c>
      <c r="K3276" s="79">
        <v>0</v>
      </c>
      <c r="L3276" s="70">
        <v>205.07999999999998</v>
      </c>
      <c r="M3276" s="132"/>
      <c r="N3276" s="79">
        <v>177.14</v>
      </c>
      <c r="O3276" s="79">
        <v>27.939999999999998</v>
      </c>
      <c r="P3276" s="79">
        <v>205.07999999999998</v>
      </c>
      <c r="Q3276" s="136"/>
      <c r="R3276" s="79">
        <v>177.14</v>
      </c>
      <c r="S3276" s="79">
        <v>27.92</v>
      </c>
      <c r="T3276" s="79">
        <v>205.06</v>
      </c>
      <c r="U3276" s="79">
        <v>0</v>
      </c>
      <c r="V3276" s="189">
        <v>205.06</v>
      </c>
      <c r="X3276" s="79">
        <v>177.14</v>
      </c>
      <c r="Y3276" s="79">
        <v>27.92</v>
      </c>
      <c r="Z3276" s="79">
        <v>205.06</v>
      </c>
      <c r="AA3276" s="255">
        <v>2.0000000000010232E-2</v>
      </c>
      <c r="AC3276" s="254"/>
    </row>
    <row r="3277" spans="1:31" s="61" customFormat="1" ht="12">
      <c r="A3277" s="67" t="s">
        <v>16877</v>
      </c>
      <c r="B3277" s="65" t="s">
        <v>16878</v>
      </c>
      <c r="C3277" s="71" t="s">
        <v>103</v>
      </c>
      <c r="D3277" s="78">
        <v>1</v>
      </c>
      <c r="E3277" s="79">
        <v>551.95000000000005</v>
      </c>
      <c r="F3277" s="70">
        <v>551.95000000000005</v>
      </c>
      <c r="G3277" s="320"/>
      <c r="H3277" s="79">
        <v>524.01</v>
      </c>
      <c r="I3277" s="79">
        <v>27.939999999999998</v>
      </c>
      <c r="J3277" s="79">
        <v>551.95000000000005</v>
      </c>
      <c r="K3277" s="79">
        <v>0</v>
      </c>
      <c r="L3277" s="70">
        <v>551.95000000000005</v>
      </c>
      <c r="M3277" s="132"/>
      <c r="N3277" s="79">
        <v>524.01</v>
      </c>
      <c r="O3277" s="79">
        <v>27.939999999999998</v>
      </c>
      <c r="P3277" s="79">
        <v>551.95000000000005</v>
      </c>
      <c r="Q3277" s="136"/>
      <c r="R3277" s="79">
        <v>524.01</v>
      </c>
      <c r="S3277" s="79">
        <v>27.92</v>
      </c>
      <c r="T3277" s="79">
        <v>551.92999999999995</v>
      </c>
      <c r="U3277" s="79">
        <v>0</v>
      </c>
      <c r="V3277" s="189">
        <v>551.92999999999995</v>
      </c>
      <c r="X3277" s="79">
        <v>524.01</v>
      </c>
      <c r="Y3277" s="79">
        <v>27.92</v>
      </c>
      <c r="Z3277" s="79">
        <v>551.92999999999995</v>
      </c>
      <c r="AA3277" s="498">
        <v>2.0000000000095497E-2</v>
      </c>
      <c r="AC3277" s="254"/>
    </row>
    <row r="3278" spans="1:31" s="61" customFormat="1" ht="12">
      <c r="A3278" s="67" t="s">
        <v>16879</v>
      </c>
      <c r="B3278" s="65" t="s">
        <v>16880</v>
      </c>
      <c r="C3278" s="71" t="s">
        <v>103</v>
      </c>
      <c r="D3278" s="78">
        <v>1</v>
      </c>
      <c r="E3278" s="79">
        <v>560.65000000000009</v>
      </c>
      <c r="F3278" s="70">
        <v>560.65</v>
      </c>
      <c r="G3278" s="320"/>
      <c r="H3278" s="79">
        <v>532.71</v>
      </c>
      <c r="I3278" s="79">
        <v>27.939999999999998</v>
      </c>
      <c r="J3278" s="79">
        <v>560.65000000000009</v>
      </c>
      <c r="K3278" s="79">
        <v>0</v>
      </c>
      <c r="L3278" s="70">
        <v>560.65000000000009</v>
      </c>
      <c r="M3278" s="132"/>
      <c r="N3278" s="79">
        <v>532.71</v>
      </c>
      <c r="O3278" s="79">
        <v>27.939999999999998</v>
      </c>
      <c r="P3278" s="79">
        <v>560.65000000000009</v>
      </c>
      <c r="Q3278" s="136"/>
      <c r="R3278" s="79">
        <v>532.71</v>
      </c>
      <c r="S3278" s="79">
        <v>27.92</v>
      </c>
      <c r="T3278" s="79">
        <v>560.63</v>
      </c>
      <c r="U3278" s="79">
        <v>0</v>
      </c>
      <c r="V3278" s="189">
        <v>560.63</v>
      </c>
      <c r="X3278" s="79">
        <v>532.71</v>
      </c>
      <c r="Y3278" s="79">
        <v>27.92</v>
      </c>
      <c r="Z3278" s="79">
        <v>560.63</v>
      </c>
      <c r="AA3278" s="255">
        <v>1.999999999998181E-2</v>
      </c>
      <c r="AC3278" s="254"/>
    </row>
    <row r="3279" spans="1:31" s="61" customFormat="1" ht="12">
      <c r="A3279" s="67" t="s">
        <v>16881</v>
      </c>
      <c r="B3279" s="65" t="s">
        <v>16882</v>
      </c>
      <c r="C3279" s="71" t="s">
        <v>103</v>
      </c>
      <c r="D3279" s="78">
        <v>1</v>
      </c>
      <c r="E3279" s="79">
        <v>789.32999999999993</v>
      </c>
      <c r="F3279" s="70">
        <v>789.33</v>
      </c>
      <c r="G3279" s="320"/>
      <c r="H3279" s="79">
        <v>761.39</v>
      </c>
      <c r="I3279" s="79">
        <v>27.939999999999998</v>
      </c>
      <c r="J3279" s="79">
        <v>789.32999999999993</v>
      </c>
      <c r="K3279" s="79">
        <v>0</v>
      </c>
      <c r="L3279" s="70">
        <v>789.32999999999993</v>
      </c>
      <c r="M3279" s="132"/>
      <c r="N3279" s="79">
        <v>761.39</v>
      </c>
      <c r="O3279" s="79">
        <v>27.939999999999998</v>
      </c>
      <c r="P3279" s="79">
        <v>789.32999999999993</v>
      </c>
      <c r="Q3279" s="136"/>
      <c r="R3279" s="79">
        <v>761.39</v>
      </c>
      <c r="S3279" s="79">
        <v>27.92</v>
      </c>
      <c r="T3279" s="79">
        <v>789.31</v>
      </c>
      <c r="U3279" s="79">
        <v>0</v>
      </c>
      <c r="V3279" s="189">
        <v>789.31</v>
      </c>
      <c r="X3279" s="79">
        <v>761.39</v>
      </c>
      <c r="Y3279" s="79">
        <v>27.92</v>
      </c>
      <c r="Z3279" s="79">
        <v>789.31</v>
      </c>
      <c r="AA3279" s="255">
        <v>2.0000000000095497E-2</v>
      </c>
      <c r="AC3279" s="254"/>
    </row>
    <row r="3280" spans="1:31" s="61" customFormat="1" ht="12">
      <c r="A3280" s="67" t="s">
        <v>16883</v>
      </c>
      <c r="B3280" s="65" t="s">
        <v>16884</v>
      </c>
      <c r="C3280" s="71" t="s">
        <v>103</v>
      </c>
      <c r="D3280" s="78">
        <v>1</v>
      </c>
      <c r="E3280" s="79">
        <v>1052.5</v>
      </c>
      <c r="F3280" s="70">
        <v>1052.5</v>
      </c>
      <c r="G3280" s="320"/>
      <c r="H3280" s="79">
        <v>1024.56</v>
      </c>
      <c r="I3280" s="79">
        <v>27.939999999999998</v>
      </c>
      <c r="J3280" s="79">
        <v>1052.5</v>
      </c>
      <c r="K3280" s="79">
        <v>0</v>
      </c>
      <c r="L3280" s="70">
        <v>1052.5</v>
      </c>
      <c r="M3280" s="132"/>
      <c r="N3280" s="79">
        <v>1024.56</v>
      </c>
      <c r="O3280" s="79">
        <v>27.939999999999998</v>
      </c>
      <c r="P3280" s="79">
        <v>1052.5</v>
      </c>
      <c r="Q3280" s="136"/>
      <c r="R3280" s="79">
        <v>1024.56</v>
      </c>
      <c r="S3280" s="79">
        <v>27.92</v>
      </c>
      <c r="T3280" s="79">
        <v>1052.48</v>
      </c>
      <c r="U3280" s="79">
        <v>0</v>
      </c>
      <c r="V3280" s="189">
        <v>1052.48</v>
      </c>
      <c r="X3280" s="79">
        <v>1024.56</v>
      </c>
      <c r="Y3280" s="79">
        <v>27.92</v>
      </c>
      <c r="Z3280" s="79">
        <v>1052.48</v>
      </c>
      <c r="AA3280" s="255">
        <v>1.999999999998181E-2</v>
      </c>
      <c r="AC3280" s="254"/>
    </row>
    <row r="3281" spans="1:29" s="61" customFormat="1" ht="12">
      <c r="A3281" s="67" t="s">
        <v>16885</v>
      </c>
      <c r="B3281" s="65" t="s">
        <v>16886</v>
      </c>
      <c r="C3281" s="71" t="s">
        <v>103</v>
      </c>
      <c r="D3281" s="78">
        <v>1</v>
      </c>
      <c r="E3281" s="79">
        <v>3348.23</v>
      </c>
      <c r="F3281" s="70">
        <v>3348.23</v>
      </c>
      <c r="G3281" s="320"/>
      <c r="H3281" s="79">
        <v>3320.29</v>
      </c>
      <c r="I3281" s="79">
        <v>27.939999999999998</v>
      </c>
      <c r="J3281" s="79">
        <v>3348.23</v>
      </c>
      <c r="K3281" s="79">
        <v>0</v>
      </c>
      <c r="L3281" s="70">
        <v>3348.23</v>
      </c>
      <c r="M3281" s="132"/>
      <c r="N3281" s="79">
        <v>3320.29</v>
      </c>
      <c r="O3281" s="79">
        <v>27.939999999999998</v>
      </c>
      <c r="P3281" s="79">
        <v>3348.23</v>
      </c>
      <c r="Q3281" s="136"/>
      <c r="R3281" s="79">
        <v>3320.29</v>
      </c>
      <c r="S3281" s="79">
        <v>27.92</v>
      </c>
      <c r="T3281" s="79">
        <v>3348.21</v>
      </c>
      <c r="U3281" s="79">
        <v>0</v>
      </c>
      <c r="V3281" s="189">
        <v>3348.21</v>
      </c>
      <c r="X3281" s="79">
        <v>3320.29</v>
      </c>
      <c r="Y3281" s="79">
        <v>27.92</v>
      </c>
      <c r="Z3281" s="79">
        <v>3348.21</v>
      </c>
      <c r="AA3281" s="255">
        <v>1.999999999998181E-2</v>
      </c>
      <c r="AC3281" s="254"/>
    </row>
    <row r="3282" spans="1:29" s="61" customFormat="1" ht="12">
      <c r="A3282" s="489" t="s">
        <v>16887</v>
      </c>
      <c r="B3282" s="490" t="s">
        <v>16888</v>
      </c>
      <c r="C3282" s="491"/>
      <c r="D3282" s="492"/>
      <c r="E3282" s="79"/>
      <c r="F3282" s="63"/>
      <c r="G3282" s="320"/>
      <c r="H3282" s="79"/>
      <c r="I3282" s="79"/>
      <c r="J3282" s="79"/>
      <c r="K3282" s="79"/>
      <c r="L3282" s="70"/>
      <c r="M3282" s="132"/>
      <c r="N3282" s="79"/>
      <c r="O3282" s="79"/>
      <c r="P3282" s="79"/>
      <c r="Q3282" s="136"/>
      <c r="R3282" s="79"/>
      <c r="S3282" s="79"/>
      <c r="T3282" s="79"/>
      <c r="U3282" s="79"/>
      <c r="V3282" s="189"/>
      <c r="X3282" s="79"/>
      <c r="Y3282" s="79"/>
      <c r="Z3282" s="79"/>
      <c r="AA3282" s="255"/>
      <c r="AC3282" s="254"/>
    </row>
    <row r="3283" spans="1:29" s="61" customFormat="1" ht="12">
      <c r="A3283" s="67" t="s">
        <v>16889</v>
      </c>
      <c r="B3283" s="65" t="s">
        <v>16890</v>
      </c>
      <c r="C3283" s="71" t="s">
        <v>165</v>
      </c>
      <c r="D3283" s="78">
        <v>1</v>
      </c>
      <c r="E3283" s="79">
        <v>19.159999999999997</v>
      </c>
      <c r="F3283" s="70">
        <v>19.16</v>
      </c>
      <c r="G3283" s="320"/>
      <c r="H3283" s="79">
        <v>9.9599999999999991</v>
      </c>
      <c r="I3283" s="79">
        <v>9.1999999999999993</v>
      </c>
      <c r="J3283" s="79">
        <v>19.159999999999997</v>
      </c>
      <c r="K3283" s="79">
        <v>0</v>
      </c>
      <c r="L3283" s="70">
        <v>19.159999999999997</v>
      </c>
      <c r="M3283" s="132"/>
      <c r="N3283" s="79">
        <v>9.9599999999999991</v>
      </c>
      <c r="O3283" s="79">
        <v>9.1999999999999993</v>
      </c>
      <c r="P3283" s="79">
        <v>19.159999999999997</v>
      </c>
      <c r="Q3283" s="136"/>
      <c r="R3283" s="79">
        <v>9.9600000000000009</v>
      </c>
      <c r="S3283" s="79">
        <v>9.2100000000000009</v>
      </c>
      <c r="T3283" s="79">
        <v>19.170000000000002</v>
      </c>
      <c r="U3283" s="79">
        <v>0</v>
      </c>
      <c r="V3283" s="189">
        <v>19.170000000000002</v>
      </c>
      <c r="X3283" s="79">
        <v>9.9600000000000009</v>
      </c>
      <c r="Y3283" s="79">
        <v>9.2100000000000009</v>
      </c>
      <c r="Z3283" s="79">
        <v>19.170000000000002</v>
      </c>
      <c r="AA3283" s="255">
        <v>-1.0000000000001563E-2</v>
      </c>
      <c r="AC3283" s="254"/>
    </row>
    <row r="3284" spans="1:29" s="61" customFormat="1" ht="12">
      <c r="A3284" s="67" t="s">
        <v>16891</v>
      </c>
      <c r="B3284" s="65" t="s">
        <v>16892</v>
      </c>
      <c r="C3284" s="71" t="s">
        <v>165</v>
      </c>
      <c r="D3284" s="78">
        <v>1</v>
      </c>
      <c r="E3284" s="79">
        <v>24</v>
      </c>
      <c r="F3284" s="70">
        <v>24</v>
      </c>
      <c r="G3284" s="320"/>
      <c r="H3284" s="79">
        <v>14.799999999999999</v>
      </c>
      <c r="I3284" s="79">
        <v>9.1999999999999993</v>
      </c>
      <c r="J3284" s="79">
        <v>24</v>
      </c>
      <c r="K3284" s="79">
        <v>0</v>
      </c>
      <c r="L3284" s="70">
        <v>24</v>
      </c>
      <c r="M3284" s="132"/>
      <c r="N3284" s="79">
        <v>14.799999999999999</v>
      </c>
      <c r="O3284" s="79">
        <v>9.1999999999999993</v>
      </c>
      <c r="P3284" s="79">
        <v>24</v>
      </c>
      <c r="Q3284" s="136"/>
      <c r="R3284" s="79">
        <v>14.8</v>
      </c>
      <c r="S3284" s="79">
        <v>9.2100000000000009</v>
      </c>
      <c r="T3284" s="79">
        <v>24.01</v>
      </c>
      <c r="U3284" s="79">
        <v>0</v>
      </c>
      <c r="V3284" s="189">
        <v>24.01</v>
      </c>
      <c r="X3284" s="79">
        <v>14.8</v>
      </c>
      <c r="Y3284" s="79">
        <v>9.2100000000000009</v>
      </c>
      <c r="Z3284" s="79">
        <v>24.01</v>
      </c>
      <c r="AA3284" s="255">
        <v>-1.0000000000001563E-2</v>
      </c>
      <c r="AC3284" s="254"/>
    </row>
    <row r="3285" spans="1:29" s="61" customFormat="1" ht="12">
      <c r="A3285" s="67" t="s">
        <v>16893</v>
      </c>
      <c r="B3285" s="65" t="s">
        <v>16894</v>
      </c>
      <c r="C3285" s="71" t="s">
        <v>165</v>
      </c>
      <c r="D3285" s="78">
        <v>1</v>
      </c>
      <c r="E3285" s="79">
        <v>27.869999999999997</v>
      </c>
      <c r="F3285" s="70">
        <v>27.87</v>
      </c>
      <c r="G3285" s="320"/>
      <c r="H3285" s="79">
        <v>18.669999999999998</v>
      </c>
      <c r="I3285" s="79">
        <v>9.1999999999999993</v>
      </c>
      <c r="J3285" s="79">
        <v>27.869999999999997</v>
      </c>
      <c r="K3285" s="79">
        <v>0</v>
      </c>
      <c r="L3285" s="70">
        <v>27.869999999999997</v>
      </c>
      <c r="M3285" s="132"/>
      <c r="N3285" s="79">
        <v>18.669999999999998</v>
      </c>
      <c r="O3285" s="79">
        <v>9.1999999999999993</v>
      </c>
      <c r="P3285" s="79">
        <v>27.869999999999997</v>
      </c>
      <c r="Q3285" s="136"/>
      <c r="R3285" s="79">
        <v>18.670000000000002</v>
      </c>
      <c r="S3285" s="79">
        <v>9.2100000000000009</v>
      </c>
      <c r="T3285" s="79">
        <v>27.880000000000003</v>
      </c>
      <c r="U3285" s="79">
        <v>0</v>
      </c>
      <c r="V3285" s="189">
        <v>27.880000000000003</v>
      </c>
      <c r="X3285" s="79">
        <v>18.670000000000002</v>
      </c>
      <c r="Y3285" s="79">
        <v>9.2100000000000009</v>
      </c>
      <c r="Z3285" s="79">
        <v>27.88</v>
      </c>
      <c r="AA3285" s="255">
        <v>-9.9999999999980105E-3</v>
      </c>
      <c r="AC3285" s="254"/>
    </row>
    <row r="3286" spans="1:29" s="61" customFormat="1" ht="12">
      <c r="A3286" s="67" t="s">
        <v>16895</v>
      </c>
      <c r="B3286" s="65" t="s">
        <v>16896</v>
      </c>
      <c r="C3286" s="71" t="s">
        <v>165</v>
      </c>
      <c r="D3286" s="78">
        <v>1</v>
      </c>
      <c r="E3286" s="79">
        <v>37.18</v>
      </c>
      <c r="F3286" s="70">
        <v>37.18</v>
      </c>
      <c r="G3286" s="320"/>
      <c r="H3286" s="79">
        <v>23.21</v>
      </c>
      <c r="I3286" s="79">
        <v>13.969999999999999</v>
      </c>
      <c r="J3286" s="79">
        <v>37.18</v>
      </c>
      <c r="K3286" s="79">
        <v>0</v>
      </c>
      <c r="L3286" s="70">
        <v>37.18</v>
      </c>
      <c r="M3286" s="132"/>
      <c r="N3286" s="79">
        <v>23.21</v>
      </c>
      <c r="O3286" s="79">
        <v>13.969999999999999</v>
      </c>
      <c r="P3286" s="79">
        <v>37.18</v>
      </c>
      <c r="Q3286" s="136"/>
      <c r="R3286" s="79">
        <v>23.21</v>
      </c>
      <c r="S3286" s="79">
        <v>13.96</v>
      </c>
      <c r="T3286" s="79">
        <v>37.17</v>
      </c>
      <c r="U3286" s="79">
        <v>0</v>
      </c>
      <c r="V3286" s="189">
        <v>37.17</v>
      </c>
      <c r="X3286" s="79">
        <v>23.21</v>
      </c>
      <c r="Y3286" s="79">
        <v>13.96</v>
      </c>
      <c r="Z3286" s="79">
        <v>37.17</v>
      </c>
      <c r="AA3286" s="255">
        <v>9.9999999999980105E-3</v>
      </c>
      <c r="AC3286" s="254"/>
    </row>
    <row r="3287" spans="1:29" s="61" customFormat="1" ht="12">
      <c r="A3287" s="67" t="s">
        <v>16897</v>
      </c>
      <c r="B3287" s="65" t="s">
        <v>16898</v>
      </c>
      <c r="C3287" s="71" t="s">
        <v>165</v>
      </c>
      <c r="D3287" s="78">
        <v>1</v>
      </c>
      <c r="E3287" s="79">
        <v>44.800000000000004</v>
      </c>
      <c r="F3287" s="70">
        <v>44.8</v>
      </c>
      <c r="G3287" s="320"/>
      <c r="H3287" s="79">
        <v>30.830000000000002</v>
      </c>
      <c r="I3287" s="79">
        <v>13.969999999999999</v>
      </c>
      <c r="J3287" s="79">
        <v>44.8</v>
      </c>
      <c r="K3287" s="79">
        <v>0</v>
      </c>
      <c r="L3287" s="70">
        <v>44.8</v>
      </c>
      <c r="M3287" s="132"/>
      <c r="N3287" s="79">
        <v>30.830000000000002</v>
      </c>
      <c r="O3287" s="79">
        <v>13.969999999999999</v>
      </c>
      <c r="P3287" s="79">
        <v>44.8</v>
      </c>
      <c r="Q3287" s="136"/>
      <c r="R3287" s="79">
        <v>30.83</v>
      </c>
      <c r="S3287" s="79">
        <v>13.96</v>
      </c>
      <c r="T3287" s="79">
        <v>44.79</v>
      </c>
      <c r="U3287" s="79">
        <v>0</v>
      </c>
      <c r="V3287" s="189">
        <v>44.79</v>
      </c>
      <c r="X3287" s="79">
        <v>30.83</v>
      </c>
      <c r="Y3287" s="79">
        <v>13.96</v>
      </c>
      <c r="Z3287" s="79">
        <v>44.79</v>
      </c>
      <c r="AA3287" s="255">
        <v>9.9999999999980105E-3</v>
      </c>
      <c r="AC3287" s="254"/>
    </row>
    <row r="3288" spans="1:29" s="61" customFormat="1" ht="12">
      <c r="A3288" s="67" t="s">
        <v>16899</v>
      </c>
      <c r="B3288" s="65" t="s">
        <v>16900</v>
      </c>
      <c r="C3288" s="71" t="s">
        <v>165</v>
      </c>
      <c r="D3288" s="78">
        <v>1</v>
      </c>
      <c r="E3288" s="79">
        <v>53.63</v>
      </c>
      <c r="F3288" s="70">
        <v>53.63</v>
      </c>
      <c r="G3288" s="320"/>
      <c r="H3288" s="79">
        <v>39.660000000000004</v>
      </c>
      <c r="I3288" s="79">
        <v>13.969999999999999</v>
      </c>
      <c r="J3288" s="79">
        <v>53.63</v>
      </c>
      <c r="K3288" s="79">
        <v>0</v>
      </c>
      <c r="L3288" s="70">
        <v>53.63</v>
      </c>
      <c r="M3288" s="132"/>
      <c r="N3288" s="79">
        <v>39.660000000000004</v>
      </c>
      <c r="O3288" s="79">
        <v>13.969999999999999</v>
      </c>
      <c r="P3288" s="79">
        <v>53.63</v>
      </c>
      <c r="Q3288" s="136"/>
      <c r="R3288" s="79">
        <v>39.659999999999997</v>
      </c>
      <c r="S3288" s="79">
        <v>13.96</v>
      </c>
      <c r="T3288" s="79">
        <v>53.62</v>
      </c>
      <c r="U3288" s="79">
        <v>0</v>
      </c>
      <c r="V3288" s="189">
        <v>53.62</v>
      </c>
      <c r="X3288" s="79">
        <v>39.659999999999997</v>
      </c>
      <c r="Y3288" s="79">
        <v>13.96</v>
      </c>
      <c r="Z3288" s="79">
        <v>53.62</v>
      </c>
      <c r="AA3288" s="255">
        <v>1.0000000000005116E-2</v>
      </c>
      <c r="AC3288" s="254"/>
    </row>
    <row r="3289" spans="1:29" s="61" customFormat="1" ht="12">
      <c r="A3289" s="67" t="s">
        <v>16901</v>
      </c>
      <c r="B3289" s="65" t="s">
        <v>16902</v>
      </c>
      <c r="C3289" s="71" t="s">
        <v>165</v>
      </c>
      <c r="D3289" s="78">
        <v>1</v>
      </c>
      <c r="E3289" s="79">
        <v>62.91</v>
      </c>
      <c r="F3289" s="70">
        <v>62.91</v>
      </c>
      <c r="G3289" s="320"/>
      <c r="H3289" s="79">
        <v>48.94</v>
      </c>
      <c r="I3289" s="79">
        <v>13.969999999999999</v>
      </c>
      <c r="J3289" s="79">
        <v>62.91</v>
      </c>
      <c r="K3289" s="79">
        <v>0</v>
      </c>
      <c r="L3289" s="70">
        <v>62.91</v>
      </c>
      <c r="M3289" s="132"/>
      <c r="N3289" s="79">
        <v>48.94</v>
      </c>
      <c r="O3289" s="79">
        <v>13.969999999999999</v>
      </c>
      <c r="P3289" s="79">
        <v>62.91</v>
      </c>
      <c r="Q3289" s="136"/>
      <c r="R3289" s="79">
        <v>48.94</v>
      </c>
      <c r="S3289" s="79">
        <v>13.96</v>
      </c>
      <c r="T3289" s="79">
        <v>62.9</v>
      </c>
      <c r="U3289" s="79">
        <v>0</v>
      </c>
      <c r="V3289" s="189">
        <v>62.9</v>
      </c>
      <c r="X3289" s="79">
        <v>48.94</v>
      </c>
      <c r="Y3289" s="79">
        <v>13.96</v>
      </c>
      <c r="Z3289" s="79">
        <v>62.9</v>
      </c>
      <c r="AA3289" s="255">
        <v>9.9999999999980105E-3</v>
      </c>
      <c r="AC3289" s="254"/>
    </row>
    <row r="3290" spans="1:29" s="61" customFormat="1" ht="12">
      <c r="A3290" s="489" t="s">
        <v>16903</v>
      </c>
      <c r="B3290" s="490" t="s">
        <v>16904</v>
      </c>
      <c r="C3290" s="71"/>
      <c r="D3290" s="78"/>
      <c r="E3290" s="79"/>
      <c r="F3290" s="70"/>
      <c r="G3290" s="320"/>
      <c r="H3290" s="79"/>
      <c r="I3290" s="79"/>
      <c r="J3290" s="79"/>
      <c r="K3290" s="79"/>
      <c r="L3290" s="70"/>
      <c r="M3290" s="132"/>
      <c r="N3290" s="78"/>
      <c r="O3290" s="78"/>
      <c r="P3290" s="79"/>
      <c r="Q3290" s="136"/>
      <c r="R3290" s="79"/>
      <c r="S3290" s="79"/>
      <c r="T3290" s="79"/>
      <c r="U3290" s="79"/>
      <c r="V3290" s="189"/>
      <c r="X3290" s="78"/>
      <c r="Y3290" s="78"/>
      <c r="Z3290" s="79"/>
      <c r="AA3290" s="255"/>
      <c r="AC3290" s="254"/>
    </row>
    <row r="3291" spans="1:29" s="61" customFormat="1" ht="12">
      <c r="A3291" s="67" t="s">
        <v>16905</v>
      </c>
      <c r="B3291" s="65" t="s">
        <v>16906</v>
      </c>
      <c r="C3291" s="71" t="s">
        <v>165</v>
      </c>
      <c r="D3291" s="78">
        <v>1</v>
      </c>
      <c r="E3291" s="79">
        <v>78.560000000000016</v>
      </c>
      <c r="F3291" s="70">
        <v>78.56</v>
      </c>
      <c r="G3291" s="320"/>
      <c r="H3291" s="79">
        <v>58.480000000000004</v>
      </c>
      <c r="I3291" s="79">
        <v>20.079999999999998</v>
      </c>
      <c r="J3291" s="79">
        <v>78.56</v>
      </c>
      <c r="K3291" s="79">
        <v>0</v>
      </c>
      <c r="L3291" s="70">
        <v>78.56</v>
      </c>
      <c r="M3291" s="132"/>
      <c r="N3291" s="78">
        <v>58.480000000000004</v>
      </c>
      <c r="O3291" s="78">
        <v>20.079999999999998</v>
      </c>
      <c r="P3291" s="79">
        <v>78.56</v>
      </c>
      <c r="Q3291" s="136"/>
      <c r="R3291" s="79">
        <v>58.48</v>
      </c>
      <c r="S3291" s="79">
        <v>20.100000000000001</v>
      </c>
      <c r="T3291" s="79">
        <v>78.58</v>
      </c>
      <c r="U3291" s="79">
        <v>0</v>
      </c>
      <c r="V3291" s="189">
        <v>78.58</v>
      </c>
      <c r="X3291" s="78">
        <v>58.48</v>
      </c>
      <c r="Y3291" s="78">
        <v>20.100000000000001</v>
      </c>
      <c r="Z3291" s="79">
        <v>78.58</v>
      </c>
      <c r="AA3291" s="255">
        <v>-1.9999999999996021E-2</v>
      </c>
      <c r="AC3291" s="254"/>
    </row>
    <row r="3292" spans="1:29" s="61" customFormat="1" ht="12">
      <c r="A3292" s="67" t="s">
        <v>16907</v>
      </c>
      <c r="B3292" s="65" t="s">
        <v>16908</v>
      </c>
      <c r="C3292" s="71" t="s">
        <v>165</v>
      </c>
      <c r="D3292" s="78">
        <v>1</v>
      </c>
      <c r="E3292" s="79">
        <v>102.99000000000001</v>
      </c>
      <c r="F3292" s="70">
        <v>102.99</v>
      </c>
      <c r="G3292" s="320"/>
      <c r="H3292" s="79">
        <v>82.910000000000011</v>
      </c>
      <c r="I3292" s="79">
        <v>20.079999999999998</v>
      </c>
      <c r="J3292" s="79">
        <v>102.99000000000001</v>
      </c>
      <c r="K3292" s="79">
        <v>0</v>
      </c>
      <c r="L3292" s="70">
        <v>102.99000000000001</v>
      </c>
      <c r="M3292" s="132"/>
      <c r="N3292" s="78">
        <v>82.910000000000011</v>
      </c>
      <c r="O3292" s="78">
        <v>20.079999999999998</v>
      </c>
      <c r="P3292" s="79">
        <v>102.99000000000001</v>
      </c>
      <c r="Q3292" s="136"/>
      <c r="R3292" s="79">
        <v>82.91</v>
      </c>
      <c r="S3292" s="79">
        <v>20.100000000000001</v>
      </c>
      <c r="T3292" s="79">
        <v>103.00999999999999</v>
      </c>
      <c r="U3292" s="79">
        <v>0</v>
      </c>
      <c r="V3292" s="189">
        <v>103.00999999999999</v>
      </c>
      <c r="X3292" s="78">
        <v>82.91</v>
      </c>
      <c r="Y3292" s="78">
        <v>20.100000000000001</v>
      </c>
      <c r="Z3292" s="79">
        <v>103.01</v>
      </c>
      <c r="AA3292" s="255">
        <v>-2.0000000000010232E-2</v>
      </c>
      <c r="AC3292" s="254"/>
    </row>
    <row r="3293" spans="1:29" s="61" customFormat="1" ht="12">
      <c r="A3293" s="67" t="s">
        <v>16909</v>
      </c>
      <c r="B3293" s="65" t="s">
        <v>16910</v>
      </c>
      <c r="C3293" s="71" t="s">
        <v>165</v>
      </c>
      <c r="D3293" s="78">
        <v>1</v>
      </c>
      <c r="E3293" s="79">
        <v>123.03</v>
      </c>
      <c r="F3293" s="70">
        <v>123.03</v>
      </c>
      <c r="G3293" s="320"/>
      <c r="H3293" s="79">
        <v>102.95</v>
      </c>
      <c r="I3293" s="79">
        <v>20.079999999999998</v>
      </c>
      <c r="J3293" s="79">
        <v>123.03</v>
      </c>
      <c r="K3293" s="79">
        <v>0</v>
      </c>
      <c r="L3293" s="70">
        <v>123.03</v>
      </c>
      <c r="M3293" s="132"/>
      <c r="N3293" s="78">
        <v>102.95</v>
      </c>
      <c r="O3293" s="78">
        <v>20.079999999999998</v>
      </c>
      <c r="P3293" s="79">
        <v>123.03</v>
      </c>
      <c r="Q3293" s="136"/>
      <c r="R3293" s="79">
        <v>102.95</v>
      </c>
      <c r="S3293" s="79">
        <v>20.100000000000001</v>
      </c>
      <c r="T3293" s="79">
        <v>123.05000000000001</v>
      </c>
      <c r="U3293" s="79">
        <v>0</v>
      </c>
      <c r="V3293" s="189">
        <v>123.05000000000001</v>
      </c>
      <c r="X3293" s="78">
        <v>102.95</v>
      </c>
      <c r="Y3293" s="78">
        <v>20.100000000000001</v>
      </c>
      <c r="Z3293" s="79">
        <v>123.05</v>
      </c>
      <c r="AA3293" s="255">
        <v>-1.9999999999996021E-2</v>
      </c>
      <c r="AC3293" s="254"/>
    </row>
    <row r="3294" spans="1:29" s="61" customFormat="1" ht="12">
      <c r="A3294" s="67" t="s">
        <v>16911</v>
      </c>
      <c r="B3294" s="65" t="s">
        <v>16912</v>
      </c>
      <c r="C3294" s="71" t="s">
        <v>165</v>
      </c>
      <c r="D3294" s="78">
        <v>1</v>
      </c>
      <c r="E3294" s="79">
        <v>143.12</v>
      </c>
      <c r="F3294" s="70">
        <v>143.12</v>
      </c>
      <c r="G3294" s="320"/>
      <c r="H3294" s="79">
        <v>123.04</v>
      </c>
      <c r="I3294" s="79">
        <v>20.079999999999998</v>
      </c>
      <c r="J3294" s="79">
        <v>143.12</v>
      </c>
      <c r="K3294" s="79">
        <v>0</v>
      </c>
      <c r="L3294" s="70">
        <v>143.12</v>
      </c>
      <c r="M3294" s="132"/>
      <c r="N3294" s="78">
        <v>123.04</v>
      </c>
      <c r="O3294" s="78">
        <v>20.079999999999998</v>
      </c>
      <c r="P3294" s="79">
        <v>143.12</v>
      </c>
      <c r="Q3294" s="136"/>
      <c r="R3294" s="79">
        <v>123.04</v>
      </c>
      <c r="S3294" s="79">
        <v>20.100000000000001</v>
      </c>
      <c r="T3294" s="79">
        <v>143.14000000000001</v>
      </c>
      <c r="U3294" s="79">
        <v>0</v>
      </c>
      <c r="V3294" s="189">
        <v>143.14000000000001</v>
      </c>
      <c r="X3294" s="78">
        <v>123.04</v>
      </c>
      <c r="Y3294" s="78">
        <v>20.100000000000001</v>
      </c>
      <c r="Z3294" s="79">
        <v>143.13999999999999</v>
      </c>
      <c r="AA3294" s="255">
        <v>-1.999999999998181E-2</v>
      </c>
      <c r="AC3294" s="254"/>
    </row>
    <row r="3295" spans="1:29" s="61" customFormat="1" ht="12">
      <c r="A3295" s="67" t="s">
        <v>16913</v>
      </c>
      <c r="B3295" s="65" t="s">
        <v>16914</v>
      </c>
      <c r="C3295" s="71" t="s">
        <v>165</v>
      </c>
      <c r="D3295" s="78">
        <v>1</v>
      </c>
      <c r="E3295" s="79">
        <v>170.27999999999997</v>
      </c>
      <c r="F3295" s="70">
        <v>170.28</v>
      </c>
      <c r="G3295" s="320"/>
      <c r="H3295" s="79">
        <v>150.19999999999999</v>
      </c>
      <c r="I3295" s="79">
        <v>20.079999999999998</v>
      </c>
      <c r="J3295" s="79">
        <v>170.27999999999997</v>
      </c>
      <c r="K3295" s="79">
        <v>0</v>
      </c>
      <c r="L3295" s="70">
        <v>170.27999999999997</v>
      </c>
      <c r="M3295" s="132"/>
      <c r="N3295" s="78">
        <v>150.19999999999999</v>
      </c>
      <c r="O3295" s="78">
        <v>20.079999999999998</v>
      </c>
      <c r="P3295" s="79">
        <v>170.27999999999997</v>
      </c>
      <c r="Q3295" s="136"/>
      <c r="R3295" s="79">
        <v>150.19999999999999</v>
      </c>
      <c r="S3295" s="79">
        <v>20.100000000000001</v>
      </c>
      <c r="T3295" s="79">
        <v>170.29999999999998</v>
      </c>
      <c r="U3295" s="79">
        <v>0</v>
      </c>
      <c r="V3295" s="189">
        <v>170.29999999999998</v>
      </c>
      <c r="X3295" s="78">
        <v>150.19999999999999</v>
      </c>
      <c r="Y3295" s="78">
        <v>20.100000000000001</v>
      </c>
      <c r="Z3295" s="79">
        <v>170.3</v>
      </c>
      <c r="AA3295" s="255">
        <v>-2.0000000000010232E-2</v>
      </c>
      <c r="AC3295" s="254"/>
    </row>
    <row r="3296" spans="1:29" s="61" customFormat="1" ht="12">
      <c r="A3296" s="67" t="s">
        <v>16915</v>
      </c>
      <c r="B3296" s="65" t="s">
        <v>16916</v>
      </c>
      <c r="C3296" s="71" t="s">
        <v>165</v>
      </c>
      <c r="D3296" s="78">
        <v>1</v>
      </c>
      <c r="E3296" s="79">
        <v>188.59999999999997</v>
      </c>
      <c r="F3296" s="70">
        <v>188.6</v>
      </c>
      <c r="G3296" s="320"/>
      <c r="H3296" s="79">
        <v>168.51999999999998</v>
      </c>
      <c r="I3296" s="79">
        <v>20.079999999999998</v>
      </c>
      <c r="J3296" s="79">
        <v>188.59999999999997</v>
      </c>
      <c r="K3296" s="79">
        <v>0</v>
      </c>
      <c r="L3296" s="70">
        <v>188.59999999999997</v>
      </c>
      <c r="M3296" s="132"/>
      <c r="N3296" s="78">
        <v>168.51999999999998</v>
      </c>
      <c r="O3296" s="78">
        <v>20.079999999999998</v>
      </c>
      <c r="P3296" s="79">
        <v>188.59999999999997</v>
      </c>
      <c r="Q3296" s="136"/>
      <c r="R3296" s="79">
        <v>168.52</v>
      </c>
      <c r="S3296" s="79">
        <v>20.100000000000001</v>
      </c>
      <c r="T3296" s="79">
        <v>188.62</v>
      </c>
      <c r="U3296" s="79">
        <v>0</v>
      </c>
      <c r="V3296" s="189">
        <v>188.62</v>
      </c>
      <c r="X3296" s="78">
        <v>168.52</v>
      </c>
      <c r="Y3296" s="78">
        <v>20.100000000000001</v>
      </c>
      <c r="Z3296" s="79">
        <v>188.62</v>
      </c>
      <c r="AA3296" s="255">
        <v>-2.0000000000010232E-2</v>
      </c>
      <c r="AC3296" s="254"/>
    </row>
    <row r="3297" spans="1:29" s="61" customFormat="1" ht="12">
      <c r="A3297" s="67" t="s">
        <v>16917</v>
      </c>
      <c r="B3297" s="65" t="s">
        <v>16918</v>
      </c>
      <c r="C3297" s="71" t="s">
        <v>165</v>
      </c>
      <c r="D3297" s="78">
        <v>1</v>
      </c>
      <c r="E3297" s="79">
        <v>222.64999999999998</v>
      </c>
      <c r="F3297" s="70">
        <v>222.65</v>
      </c>
      <c r="G3297" s="320"/>
      <c r="H3297" s="79">
        <v>202.57</v>
      </c>
      <c r="I3297" s="79">
        <v>20.079999999999998</v>
      </c>
      <c r="J3297" s="79">
        <v>222.64999999999998</v>
      </c>
      <c r="K3297" s="79">
        <v>0</v>
      </c>
      <c r="L3297" s="70">
        <v>222.64999999999998</v>
      </c>
      <c r="M3297" s="132"/>
      <c r="N3297" s="78">
        <v>202.57</v>
      </c>
      <c r="O3297" s="78">
        <v>20.079999999999998</v>
      </c>
      <c r="P3297" s="79">
        <v>222.64999999999998</v>
      </c>
      <c r="Q3297" s="136"/>
      <c r="R3297" s="79">
        <v>202.57</v>
      </c>
      <c r="S3297" s="79">
        <v>20.100000000000001</v>
      </c>
      <c r="T3297" s="79">
        <v>222.67</v>
      </c>
      <c r="U3297" s="79">
        <v>0</v>
      </c>
      <c r="V3297" s="189">
        <v>222.67</v>
      </c>
      <c r="X3297" s="78">
        <v>202.57</v>
      </c>
      <c r="Y3297" s="78">
        <v>20.100000000000001</v>
      </c>
      <c r="Z3297" s="79">
        <v>222.67</v>
      </c>
      <c r="AA3297" s="255">
        <v>-1.999999999998181E-2</v>
      </c>
      <c r="AC3297" s="254"/>
    </row>
    <row r="3298" spans="1:29" s="61" customFormat="1" ht="12">
      <c r="A3298" s="67" t="s">
        <v>16919</v>
      </c>
      <c r="B3298" s="65" t="s">
        <v>16920</v>
      </c>
      <c r="C3298" s="71" t="s">
        <v>165</v>
      </c>
      <c r="D3298" s="78">
        <v>1</v>
      </c>
      <c r="E3298" s="79">
        <v>246.90999999999997</v>
      </c>
      <c r="F3298" s="70">
        <v>246.91</v>
      </c>
      <c r="G3298" s="320"/>
      <c r="H3298" s="79">
        <v>226.82999999999998</v>
      </c>
      <c r="I3298" s="79">
        <v>20.079999999999998</v>
      </c>
      <c r="J3298" s="79">
        <v>246.90999999999997</v>
      </c>
      <c r="K3298" s="79">
        <v>0</v>
      </c>
      <c r="L3298" s="70">
        <v>246.90999999999997</v>
      </c>
      <c r="M3298" s="132"/>
      <c r="N3298" s="78">
        <v>226.82999999999998</v>
      </c>
      <c r="O3298" s="78">
        <v>20.079999999999998</v>
      </c>
      <c r="P3298" s="79">
        <v>246.90999999999997</v>
      </c>
      <c r="Q3298" s="136"/>
      <c r="R3298" s="79">
        <v>226.83</v>
      </c>
      <c r="S3298" s="79">
        <v>20.100000000000001</v>
      </c>
      <c r="T3298" s="79">
        <v>246.93</v>
      </c>
      <c r="U3298" s="79">
        <v>0</v>
      </c>
      <c r="V3298" s="189">
        <v>246.93</v>
      </c>
      <c r="X3298" s="78">
        <v>226.83</v>
      </c>
      <c r="Y3298" s="78">
        <v>20.100000000000001</v>
      </c>
      <c r="Z3298" s="79">
        <v>246.93</v>
      </c>
      <c r="AA3298" s="255">
        <v>-2.0000000000010232E-2</v>
      </c>
      <c r="AC3298" s="254"/>
    </row>
    <row r="3299" spans="1:29" s="61" customFormat="1" ht="12">
      <c r="A3299" s="67" t="s">
        <v>16921</v>
      </c>
      <c r="B3299" s="65" t="s">
        <v>16922</v>
      </c>
      <c r="C3299" s="71" t="s">
        <v>165</v>
      </c>
      <c r="D3299" s="78">
        <v>1</v>
      </c>
      <c r="E3299" s="79">
        <v>261.77999999999997</v>
      </c>
      <c r="F3299" s="70">
        <v>261.77999999999997</v>
      </c>
      <c r="G3299" s="320"/>
      <c r="H3299" s="79">
        <v>241.7</v>
      </c>
      <c r="I3299" s="79">
        <v>20.079999999999998</v>
      </c>
      <c r="J3299" s="79">
        <v>261.77999999999997</v>
      </c>
      <c r="K3299" s="79">
        <v>0</v>
      </c>
      <c r="L3299" s="70">
        <v>261.77999999999997</v>
      </c>
      <c r="M3299" s="132"/>
      <c r="N3299" s="78">
        <v>241.7</v>
      </c>
      <c r="O3299" s="78">
        <v>20.079999999999998</v>
      </c>
      <c r="P3299" s="79">
        <v>261.77999999999997</v>
      </c>
      <c r="Q3299" s="136"/>
      <c r="R3299" s="79">
        <v>241.7</v>
      </c>
      <c r="S3299" s="79">
        <v>20.100000000000001</v>
      </c>
      <c r="T3299" s="79">
        <v>261.8</v>
      </c>
      <c r="U3299" s="79">
        <v>0</v>
      </c>
      <c r="V3299" s="189">
        <v>261.8</v>
      </c>
      <c r="X3299" s="78">
        <v>241.7</v>
      </c>
      <c r="Y3299" s="78">
        <v>20.100000000000001</v>
      </c>
      <c r="Z3299" s="79">
        <v>261.8</v>
      </c>
      <c r="AA3299" s="255">
        <v>-2.0000000000038654E-2</v>
      </c>
      <c r="AC3299" s="254"/>
    </row>
    <row r="3300" spans="1:29" s="61" customFormat="1" ht="12">
      <c r="A3300" s="67" t="s">
        <v>16923</v>
      </c>
      <c r="B3300" s="65" t="s">
        <v>16924</v>
      </c>
      <c r="C3300" s="71" t="s">
        <v>165</v>
      </c>
      <c r="D3300" s="78">
        <v>1</v>
      </c>
      <c r="E3300" s="79">
        <v>297.33999999999997</v>
      </c>
      <c r="F3300" s="70">
        <v>297.33999999999997</v>
      </c>
      <c r="G3300" s="320"/>
      <c r="H3300" s="79">
        <v>277.26</v>
      </c>
      <c r="I3300" s="79">
        <v>20.079999999999998</v>
      </c>
      <c r="J3300" s="79">
        <v>297.33999999999997</v>
      </c>
      <c r="K3300" s="79">
        <v>0</v>
      </c>
      <c r="L3300" s="70">
        <v>297.33999999999997</v>
      </c>
      <c r="M3300" s="132"/>
      <c r="N3300" s="78">
        <v>277.26</v>
      </c>
      <c r="O3300" s="78">
        <v>20.079999999999998</v>
      </c>
      <c r="P3300" s="79">
        <v>297.33999999999997</v>
      </c>
      <c r="Q3300" s="136"/>
      <c r="R3300" s="79">
        <v>277.26</v>
      </c>
      <c r="S3300" s="79">
        <v>20.100000000000001</v>
      </c>
      <c r="T3300" s="79">
        <v>297.36</v>
      </c>
      <c r="U3300" s="79">
        <v>0</v>
      </c>
      <c r="V3300" s="189">
        <v>297.36</v>
      </c>
      <c r="X3300" s="78">
        <v>277.26</v>
      </c>
      <c r="Y3300" s="78">
        <v>20.100000000000001</v>
      </c>
      <c r="Z3300" s="79">
        <v>297.36</v>
      </c>
      <c r="AA3300" s="255">
        <v>-2.0000000000038654E-2</v>
      </c>
      <c r="AC3300" s="254"/>
    </row>
    <row r="3301" spans="1:29" s="61" customFormat="1" ht="12">
      <c r="A3301" s="67" t="s">
        <v>16925</v>
      </c>
      <c r="B3301" s="65" t="s">
        <v>16926</v>
      </c>
      <c r="C3301" s="71" t="s">
        <v>165</v>
      </c>
      <c r="D3301" s="78">
        <v>1</v>
      </c>
      <c r="E3301" s="79">
        <v>315.12</v>
      </c>
      <c r="F3301" s="70">
        <v>315.12</v>
      </c>
      <c r="G3301" s="320"/>
      <c r="H3301" s="79">
        <v>295.04000000000002</v>
      </c>
      <c r="I3301" s="79">
        <v>20.079999999999998</v>
      </c>
      <c r="J3301" s="79">
        <v>315.12</v>
      </c>
      <c r="K3301" s="79">
        <v>0</v>
      </c>
      <c r="L3301" s="70">
        <v>315.12</v>
      </c>
      <c r="M3301" s="132"/>
      <c r="N3301" s="78">
        <v>295.04000000000002</v>
      </c>
      <c r="O3301" s="78">
        <v>20.079999999999998</v>
      </c>
      <c r="P3301" s="79">
        <v>315.12</v>
      </c>
      <c r="Q3301" s="136"/>
      <c r="R3301" s="79">
        <v>295.04000000000002</v>
      </c>
      <c r="S3301" s="79">
        <v>20.100000000000001</v>
      </c>
      <c r="T3301" s="79">
        <v>315.14000000000004</v>
      </c>
      <c r="U3301" s="79">
        <v>0</v>
      </c>
      <c r="V3301" s="189">
        <v>315.14000000000004</v>
      </c>
      <c r="X3301" s="78">
        <v>295.04000000000002</v>
      </c>
      <c r="Y3301" s="78">
        <v>20.100000000000001</v>
      </c>
      <c r="Z3301" s="79">
        <v>315.14</v>
      </c>
      <c r="AA3301" s="255">
        <v>-1.999999999998181E-2</v>
      </c>
      <c r="AC3301" s="254"/>
    </row>
    <row r="3302" spans="1:29" s="61" customFormat="1" ht="12">
      <c r="A3302" s="489" t="s">
        <v>16927</v>
      </c>
      <c r="B3302" s="511" t="s">
        <v>16928</v>
      </c>
      <c r="C3302" s="71"/>
      <c r="D3302" s="78"/>
      <c r="E3302" s="79"/>
      <c r="F3302" s="70"/>
      <c r="G3302" s="320"/>
      <c r="H3302" s="79"/>
      <c r="I3302" s="79"/>
      <c r="J3302" s="79"/>
      <c r="K3302" s="79"/>
      <c r="L3302" s="70"/>
      <c r="M3302" s="132"/>
      <c r="N3302" s="78"/>
      <c r="O3302" s="78"/>
      <c r="P3302" s="79"/>
      <c r="Q3302" s="136"/>
      <c r="R3302" s="79"/>
      <c r="S3302" s="79"/>
      <c r="T3302" s="79"/>
      <c r="U3302" s="79"/>
      <c r="V3302" s="189"/>
      <c r="X3302" s="78"/>
      <c r="Y3302" s="78"/>
      <c r="Z3302" s="79"/>
      <c r="AA3302" s="255"/>
      <c r="AC3302" s="254"/>
    </row>
    <row r="3303" spans="1:29" s="61" customFormat="1" ht="24">
      <c r="A3303" s="67" t="s">
        <v>16929</v>
      </c>
      <c r="B3303" s="65" t="s">
        <v>16930</v>
      </c>
      <c r="C3303" s="71" t="s">
        <v>165</v>
      </c>
      <c r="D3303" s="78">
        <v>1</v>
      </c>
      <c r="E3303" s="79">
        <v>58.25</v>
      </c>
      <c r="F3303" s="70">
        <v>58.25</v>
      </c>
      <c r="G3303" s="320"/>
      <c r="H3303" s="79">
        <v>38.6</v>
      </c>
      <c r="I3303" s="79">
        <v>19.649999999999999</v>
      </c>
      <c r="J3303" s="79">
        <v>58.25</v>
      </c>
      <c r="K3303" s="79">
        <v>0</v>
      </c>
      <c r="L3303" s="70">
        <v>58.25</v>
      </c>
      <c r="M3303" s="132"/>
      <c r="N3303" s="78">
        <v>38.6</v>
      </c>
      <c r="O3303" s="78">
        <v>19.649999999999999</v>
      </c>
      <c r="P3303" s="79">
        <v>58.25</v>
      </c>
      <c r="Q3303" s="136"/>
      <c r="R3303" s="79">
        <v>38.6</v>
      </c>
      <c r="S3303" s="79">
        <v>19.64</v>
      </c>
      <c r="T3303" s="79">
        <v>58.24</v>
      </c>
      <c r="U3303" s="79">
        <v>0</v>
      </c>
      <c r="V3303" s="189">
        <v>58.24</v>
      </c>
      <c r="X3303" s="78">
        <v>38.6</v>
      </c>
      <c r="Y3303" s="78">
        <v>19.64</v>
      </c>
      <c r="Z3303" s="79">
        <v>58.24</v>
      </c>
      <c r="AA3303" s="255">
        <v>9.9999999999980105E-3</v>
      </c>
      <c r="AC3303" s="254"/>
    </row>
    <row r="3304" spans="1:29" s="61" customFormat="1" ht="24">
      <c r="A3304" s="67" t="s">
        <v>16931</v>
      </c>
      <c r="B3304" s="65" t="s">
        <v>16932</v>
      </c>
      <c r="C3304" s="71" t="s">
        <v>165</v>
      </c>
      <c r="D3304" s="78">
        <v>1</v>
      </c>
      <c r="E3304" s="79">
        <v>65.58</v>
      </c>
      <c r="F3304" s="70">
        <v>65.58</v>
      </c>
      <c r="G3304" s="320"/>
      <c r="H3304" s="79">
        <v>45.93</v>
      </c>
      <c r="I3304" s="79">
        <v>19.649999999999999</v>
      </c>
      <c r="J3304" s="79">
        <v>65.58</v>
      </c>
      <c r="K3304" s="79">
        <v>0</v>
      </c>
      <c r="L3304" s="70">
        <v>65.58</v>
      </c>
      <c r="M3304" s="132"/>
      <c r="N3304" s="78">
        <v>45.93</v>
      </c>
      <c r="O3304" s="78">
        <v>19.649999999999999</v>
      </c>
      <c r="P3304" s="79">
        <v>65.58</v>
      </c>
      <c r="Q3304" s="136"/>
      <c r="R3304" s="79">
        <v>45.93</v>
      </c>
      <c r="S3304" s="79">
        <v>19.64</v>
      </c>
      <c r="T3304" s="79">
        <v>65.569999999999993</v>
      </c>
      <c r="U3304" s="79">
        <v>0</v>
      </c>
      <c r="V3304" s="189">
        <v>65.569999999999993</v>
      </c>
      <c r="X3304" s="78">
        <v>45.93</v>
      </c>
      <c r="Y3304" s="78">
        <v>19.64</v>
      </c>
      <c r="Z3304" s="79">
        <v>65.569999999999993</v>
      </c>
      <c r="AA3304" s="255">
        <v>1.0000000000005116E-2</v>
      </c>
      <c r="AC3304" s="254"/>
    </row>
    <row r="3305" spans="1:29" s="61" customFormat="1" ht="24">
      <c r="A3305" s="67" t="s">
        <v>16933</v>
      </c>
      <c r="B3305" s="65" t="s">
        <v>16934</v>
      </c>
      <c r="C3305" s="71" t="s">
        <v>165</v>
      </c>
      <c r="D3305" s="78">
        <v>1</v>
      </c>
      <c r="E3305" s="79">
        <v>72.319999999999993</v>
      </c>
      <c r="F3305" s="70">
        <v>72.319999999999993</v>
      </c>
      <c r="G3305" s="320"/>
      <c r="H3305" s="79">
        <v>52.67</v>
      </c>
      <c r="I3305" s="79">
        <v>19.649999999999999</v>
      </c>
      <c r="J3305" s="79">
        <v>72.319999999999993</v>
      </c>
      <c r="K3305" s="79">
        <v>0</v>
      </c>
      <c r="L3305" s="70">
        <v>72.319999999999993</v>
      </c>
      <c r="M3305" s="132"/>
      <c r="N3305" s="78">
        <v>52.67</v>
      </c>
      <c r="O3305" s="78">
        <v>19.649999999999999</v>
      </c>
      <c r="P3305" s="79">
        <v>72.319999999999993</v>
      </c>
      <c r="Q3305" s="136"/>
      <c r="R3305" s="79">
        <v>52.67</v>
      </c>
      <c r="S3305" s="79">
        <v>19.64</v>
      </c>
      <c r="T3305" s="79">
        <v>72.31</v>
      </c>
      <c r="U3305" s="79">
        <v>0</v>
      </c>
      <c r="V3305" s="189">
        <v>72.31</v>
      </c>
      <c r="X3305" s="78">
        <v>52.67</v>
      </c>
      <c r="Y3305" s="78">
        <v>19.64</v>
      </c>
      <c r="Z3305" s="79">
        <v>72.31</v>
      </c>
      <c r="AA3305" s="255">
        <v>9.9999999999909051E-3</v>
      </c>
      <c r="AC3305" s="254"/>
    </row>
    <row r="3306" spans="1:29" s="61" customFormat="1" ht="24">
      <c r="A3306" s="67" t="s">
        <v>16935</v>
      </c>
      <c r="B3306" s="65" t="s">
        <v>16936</v>
      </c>
      <c r="C3306" s="71" t="s">
        <v>165</v>
      </c>
      <c r="D3306" s="78">
        <v>1</v>
      </c>
      <c r="E3306" s="79">
        <v>155.34</v>
      </c>
      <c r="F3306" s="70">
        <v>155.34</v>
      </c>
      <c r="G3306" s="320"/>
      <c r="H3306" s="79">
        <v>125.9</v>
      </c>
      <c r="I3306" s="79">
        <v>29.439999999999998</v>
      </c>
      <c r="J3306" s="79">
        <v>155.34</v>
      </c>
      <c r="K3306" s="79">
        <v>0</v>
      </c>
      <c r="L3306" s="70">
        <v>155.34</v>
      </c>
      <c r="M3306" s="132"/>
      <c r="N3306" s="78">
        <v>125.9</v>
      </c>
      <c r="O3306" s="78">
        <v>29.439999999999998</v>
      </c>
      <c r="P3306" s="79">
        <v>155.34</v>
      </c>
      <c r="Q3306" s="136"/>
      <c r="R3306" s="79">
        <v>125.9</v>
      </c>
      <c r="S3306" s="79">
        <v>29.45</v>
      </c>
      <c r="T3306" s="79">
        <v>155.35</v>
      </c>
      <c r="U3306" s="79">
        <v>0</v>
      </c>
      <c r="V3306" s="189">
        <v>155.35</v>
      </c>
      <c r="X3306" s="78">
        <v>125.9</v>
      </c>
      <c r="Y3306" s="78">
        <v>29.45</v>
      </c>
      <c r="Z3306" s="79">
        <v>155.35</v>
      </c>
      <c r="AA3306" s="255">
        <v>-9.9999999999909051E-3</v>
      </c>
      <c r="AC3306" s="254"/>
    </row>
    <row r="3307" spans="1:29" s="61" customFormat="1" ht="12">
      <c r="A3307" s="67" t="s">
        <v>16937</v>
      </c>
      <c r="B3307" s="65" t="s">
        <v>16938</v>
      </c>
      <c r="C3307" s="71" t="s">
        <v>103</v>
      </c>
      <c r="D3307" s="78">
        <v>1</v>
      </c>
      <c r="E3307" s="79">
        <v>25.93</v>
      </c>
      <c r="F3307" s="70">
        <v>25.93</v>
      </c>
      <c r="G3307" s="320"/>
      <c r="H3307" s="79">
        <v>13.08</v>
      </c>
      <c r="I3307" s="79">
        <v>12.85</v>
      </c>
      <c r="J3307" s="79">
        <v>25.93</v>
      </c>
      <c r="K3307" s="79">
        <v>0</v>
      </c>
      <c r="L3307" s="70">
        <v>25.93</v>
      </c>
      <c r="M3307" s="132"/>
      <c r="N3307" s="78">
        <v>13.08</v>
      </c>
      <c r="O3307" s="78">
        <v>12.85</v>
      </c>
      <c r="P3307" s="79">
        <v>25.93</v>
      </c>
      <c r="Q3307" s="136"/>
      <c r="R3307" s="79">
        <v>13.08</v>
      </c>
      <c r="S3307" s="79">
        <v>12.84</v>
      </c>
      <c r="T3307" s="79">
        <v>25.92</v>
      </c>
      <c r="U3307" s="79">
        <v>0</v>
      </c>
      <c r="V3307" s="189">
        <v>25.92</v>
      </c>
      <c r="X3307" s="78">
        <v>13.08</v>
      </c>
      <c r="Y3307" s="78">
        <v>12.84</v>
      </c>
      <c r="Z3307" s="79">
        <v>25.92</v>
      </c>
      <c r="AA3307" s="255">
        <v>9.9999999999980105E-3</v>
      </c>
      <c r="AC3307" s="254"/>
    </row>
    <row r="3308" spans="1:29" s="61" customFormat="1" ht="12">
      <c r="A3308" s="67" t="s">
        <v>16939</v>
      </c>
      <c r="B3308" s="65" t="s">
        <v>16940</v>
      </c>
      <c r="C3308" s="71" t="s">
        <v>103</v>
      </c>
      <c r="D3308" s="78">
        <v>1</v>
      </c>
      <c r="E3308" s="79">
        <v>32.6</v>
      </c>
      <c r="F3308" s="70">
        <v>32.6</v>
      </c>
      <c r="G3308" s="320"/>
      <c r="H3308" s="79">
        <v>19.75</v>
      </c>
      <c r="I3308" s="79">
        <v>12.85</v>
      </c>
      <c r="J3308" s="79">
        <v>32.6</v>
      </c>
      <c r="K3308" s="79">
        <v>0</v>
      </c>
      <c r="L3308" s="70">
        <v>32.6</v>
      </c>
      <c r="M3308" s="132"/>
      <c r="N3308" s="78">
        <v>19.75</v>
      </c>
      <c r="O3308" s="78">
        <v>12.85</v>
      </c>
      <c r="P3308" s="79">
        <v>32.6</v>
      </c>
      <c r="Q3308" s="136"/>
      <c r="R3308" s="79">
        <v>19.75</v>
      </c>
      <c r="S3308" s="79">
        <v>12.84</v>
      </c>
      <c r="T3308" s="79">
        <v>32.590000000000003</v>
      </c>
      <c r="U3308" s="79">
        <v>0</v>
      </c>
      <c r="V3308" s="189">
        <v>32.590000000000003</v>
      </c>
      <c r="X3308" s="78">
        <v>19.75</v>
      </c>
      <c r="Y3308" s="78">
        <v>12.84</v>
      </c>
      <c r="Z3308" s="79">
        <v>32.590000000000003</v>
      </c>
      <c r="AA3308" s="255">
        <v>9.9999999999980105E-3</v>
      </c>
      <c r="AC3308" s="254"/>
    </row>
    <row r="3309" spans="1:29" s="61" customFormat="1" ht="12">
      <c r="A3309" s="67" t="s">
        <v>16941</v>
      </c>
      <c r="B3309" s="65" t="s">
        <v>16942</v>
      </c>
      <c r="C3309" s="71" t="s">
        <v>103</v>
      </c>
      <c r="D3309" s="78">
        <v>1</v>
      </c>
      <c r="E3309" s="79">
        <v>40.019999999999996</v>
      </c>
      <c r="F3309" s="70">
        <v>40.020000000000003</v>
      </c>
      <c r="G3309" s="320"/>
      <c r="H3309" s="79">
        <v>20.48</v>
      </c>
      <c r="I3309" s="79">
        <v>19.54</v>
      </c>
      <c r="J3309" s="79">
        <v>40.019999999999996</v>
      </c>
      <c r="K3309" s="79">
        <v>0</v>
      </c>
      <c r="L3309" s="70">
        <v>40.019999999999996</v>
      </c>
      <c r="M3309" s="132"/>
      <c r="N3309" s="78">
        <v>20.48</v>
      </c>
      <c r="O3309" s="78">
        <v>19.54</v>
      </c>
      <c r="P3309" s="79">
        <v>40.019999999999996</v>
      </c>
      <c r="Q3309" s="136"/>
      <c r="R3309" s="79">
        <v>20.48</v>
      </c>
      <c r="S3309" s="79">
        <v>19.54</v>
      </c>
      <c r="T3309" s="79">
        <v>40.019999999999996</v>
      </c>
      <c r="U3309" s="79">
        <v>0</v>
      </c>
      <c r="V3309" s="189">
        <v>40.019999999999996</v>
      </c>
      <c r="X3309" s="78">
        <v>20.48</v>
      </c>
      <c r="Y3309" s="78">
        <v>19.54</v>
      </c>
      <c r="Z3309" s="79">
        <v>40.020000000000003</v>
      </c>
      <c r="AA3309" s="255">
        <v>0</v>
      </c>
      <c r="AC3309" s="254"/>
    </row>
    <row r="3310" spans="1:29" s="61" customFormat="1" ht="12">
      <c r="A3310" s="67" t="s">
        <v>16943</v>
      </c>
      <c r="B3310" s="65" t="s">
        <v>16944</v>
      </c>
      <c r="C3310" s="71" t="s">
        <v>103</v>
      </c>
      <c r="D3310" s="78">
        <v>1</v>
      </c>
      <c r="E3310" s="79">
        <v>52.86</v>
      </c>
      <c r="F3310" s="70">
        <v>52.86</v>
      </c>
      <c r="G3310" s="320"/>
      <c r="H3310" s="79">
        <v>30.54</v>
      </c>
      <c r="I3310" s="79">
        <v>22.32</v>
      </c>
      <c r="J3310" s="79">
        <v>52.86</v>
      </c>
      <c r="K3310" s="79">
        <v>0</v>
      </c>
      <c r="L3310" s="70">
        <v>52.86</v>
      </c>
      <c r="M3310" s="132"/>
      <c r="N3310" s="78">
        <v>30.54</v>
      </c>
      <c r="O3310" s="78">
        <v>22.32</v>
      </c>
      <c r="P3310" s="79">
        <v>52.86</v>
      </c>
      <c r="Q3310" s="136"/>
      <c r="R3310" s="79">
        <v>30.54</v>
      </c>
      <c r="S3310" s="79">
        <v>22.33</v>
      </c>
      <c r="T3310" s="79">
        <v>52.87</v>
      </c>
      <c r="U3310" s="79">
        <v>0</v>
      </c>
      <c r="V3310" s="189">
        <v>52.87</v>
      </c>
      <c r="X3310" s="78">
        <v>30.54</v>
      </c>
      <c r="Y3310" s="78">
        <v>22.33</v>
      </c>
      <c r="Z3310" s="79">
        <v>52.87</v>
      </c>
      <c r="AA3310" s="255">
        <v>-9.9999999999980105E-3</v>
      </c>
      <c r="AC3310" s="254"/>
    </row>
    <row r="3311" spans="1:29" s="61" customFormat="1" ht="12">
      <c r="A3311" s="67" t="s">
        <v>16945</v>
      </c>
      <c r="B3311" s="65" t="s">
        <v>16946</v>
      </c>
      <c r="C3311" s="71" t="s">
        <v>103</v>
      </c>
      <c r="D3311" s="78">
        <v>1</v>
      </c>
      <c r="E3311" s="79">
        <v>25.91</v>
      </c>
      <c r="F3311" s="70">
        <v>25.91</v>
      </c>
      <c r="G3311" s="320"/>
      <c r="H3311" s="79">
        <v>13.06</v>
      </c>
      <c r="I3311" s="79">
        <v>12.85</v>
      </c>
      <c r="J3311" s="79">
        <v>25.91</v>
      </c>
      <c r="K3311" s="79">
        <v>0</v>
      </c>
      <c r="L3311" s="70">
        <v>25.91</v>
      </c>
      <c r="M3311" s="132"/>
      <c r="N3311" s="78">
        <v>13.06</v>
      </c>
      <c r="O3311" s="78">
        <v>12.85</v>
      </c>
      <c r="P3311" s="79">
        <v>25.91</v>
      </c>
      <c r="Q3311" s="136"/>
      <c r="R3311" s="79">
        <v>13.06</v>
      </c>
      <c r="S3311" s="79">
        <v>12.84</v>
      </c>
      <c r="T3311" s="79">
        <v>25.9</v>
      </c>
      <c r="U3311" s="79">
        <v>0</v>
      </c>
      <c r="V3311" s="189">
        <v>25.9</v>
      </c>
      <c r="X3311" s="78">
        <v>13.06</v>
      </c>
      <c r="Y3311" s="78">
        <v>12.84</v>
      </c>
      <c r="Z3311" s="79">
        <v>25.9</v>
      </c>
      <c r="AA3311" s="255">
        <v>1.0000000000001563E-2</v>
      </c>
      <c r="AC3311" s="254"/>
    </row>
    <row r="3312" spans="1:29" s="61" customFormat="1" ht="12">
      <c r="A3312" s="67" t="s">
        <v>16947</v>
      </c>
      <c r="B3312" s="65" t="s">
        <v>16948</v>
      </c>
      <c r="C3312" s="71" t="s">
        <v>103</v>
      </c>
      <c r="D3312" s="78">
        <v>1</v>
      </c>
      <c r="E3312" s="79">
        <v>31.189999999999998</v>
      </c>
      <c r="F3312" s="70">
        <v>31.19</v>
      </c>
      <c r="G3312" s="320"/>
      <c r="H3312" s="79">
        <v>18.34</v>
      </c>
      <c r="I3312" s="79">
        <v>12.85</v>
      </c>
      <c r="J3312" s="79">
        <v>31.189999999999998</v>
      </c>
      <c r="K3312" s="79">
        <v>0</v>
      </c>
      <c r="L3312" s="70">
        <v>31.189999999999998</v>
      </c>
      <c r="M3312" s="132"/>
      <c r="N3312" s="78">
        <v>18.34</v>
      </c>
      <c r="O3312" s="78">
        <v>12.85</v>
      </c>
      <c r="P3312" s="79">
        <v>31.189999999999998</v>
      </c>
      <c r="Q3312" s="136"/>
      <c r="R3312" s="79">
        <v>18.34</v>
      </c>
      <c r="S3312" s="79">
        <v>12.84</v>
      </c>
      <c r="T3312" s="79">
        <v>31.18</v>
      </c>
      <c r="U3312" s="79">
        <v>0</v>
      </c>
      <c r="V3312" s="189">
        <v>31.18</v>
      </c>
      <c r="X3312" s="78">
        <v>18.34</v>
      </c>
      <c r="Y3312" s="78">
        <v>12.84</v>
      </c>
      <c r="Z3312" s="79">
        <v>31.18</v>
      </c>
      <c r="AA3312" s="255">
        <v>1.0000000000001563E-2</v>
      </c>
      <c r="AC3312" s="254"/>
    </row>
    <row r="3313" spans="1:31" s="61" customFormat="1" ht="12">
      <c r="A3313" s="67" t="s">
        <v>16949</v>
      </c>
      <c r="B3313" s="65" t="s">
        <v>16950</v>
      </c>
      <c r="C3313" s="71" t="s">
        <v>103</v>
      </c>
      <c r="D3313" s="78">
        <v>1</v>
      </c>
      <c r="E3313" s="79">
        <v>44.51</v>
      </c>
      <c r="F3313" s="70">
        <v>44.51</v>
      </c>
      <c r="G3313" s="320"/>
      <c r="H3313" s="79">
        <v>24.97</v>
      </c>
      <c r="I3313" s="79">
        <v>19.54</v>
      </c>
      <c r="J3313" s="79">
        <v>44.51</v>
      </c>
      <c r="K3313" s="79">
        <v>0</v>
      </c>
      <c r="L3313" s="70">
        <v>44.51</v>
      </c>
      <c r="M3313" s="132"/>
      <c r="N3313" s="78">
        <v>24.97</v>
      </c>
      <c r="O3313" s="78">
        <v>19.54</v>
      </c>
      <c r="P3313" s="79">
        <v>44.51</v>
      </c>
      <c r="Q3313" s="136"/>
      <c r="R3313" s="79">
        <v>24.97</v>
      </c>
      <c r="S3313" s="79">
        <v>19.54</v>
      </c>
      <c r="T3313" s="79">
        <v>44.51</v>
      </c>
      <c r="U3313" s="79">
        <v>0</v>
      </c>
      <c r="V3313" s="189">
        <v>44.51</v>
      </c>
      <c r="X3313" s="78">
        <v>24.97</v>
      </c>
      <c r="Y3313" s="78">
        <v>19.54</v>
      </c>
      <c r="Z3313" s="79">
        <v>44.51</v>
      </c>
      <c r="AA3313" s="255">
        <v>0</v>
      </c>
      <c r="AC3313" s="254"/>
    </row>
    <row r="3314" spans="1:31" s="61" customFormat="1" ht="24">
      <c r="A3314" s="67" t="s">
        <v>16951</v>
      </c>
      <c r="B3314" s="65" t="s">
        <v>16952</v>
      </c>
      <c r="C3314" s="71" t="s">
        <v>103</v>
      </c>
      <c r="D3314" s="78">
        <v>1</v>
      </c>
      <c r="E3314" s="79">
        <v>64.14</v>
      </c>
      <c r="F3314" s="70">
        <v>64.14</v>
      </c>
      <c r="G3314" s="320"/>
      <c r="H3314" s="79">
        <v>41.82</v>
      </c>
      <c r="I3314" s="79">
        <v>22.32</v>
      </c>
      <c r="J3314" s="79">
        <v>64.14</v>
      </c>
      <c r="K3314" s="79">
        <v>0</v>
      </c>
      <c r="L3314" s="70">
        <v>64.14</v>
      </c>
      <c r="M3314" s="132"/>
      <c r="N3314" s="78">
        <v>41.82</v>
      </c>
      <c r="O3314" s="78">
        <v>22.32</v>
      </c>
      <c r="P3314" s="79">
        <v>64.14</v>
      </c>
      <c r="Q3314" s="136"/>
      <c r="R3314" s="79">
        <v>41.82</v>
      </c>
      <c r="S3314" s="79">
        <v>22.33</v>
      </c>
      <c r="T3314" s="79">
        <v>64.150000000000006</v>
      </c>
      <c r="U3314" s="79">
        <v>0</v>
      </c>
      <c r="V3314" s="189">
        <v>64.150000000000006</v>
      </c>
      <c r="X3314" s="78">
        <v>41.82</v>
      </c>
      <c r="Y3314" s="78">
        <v>22.33</v>
      </c>
      <c r="Z3314" s="79">
        <v>64.150000000000006</v>
      </c>
      <c r="AA3314" s="255">
        <v>-1.0000000000005116E-2</v>
      </c>
      <c r="AC3314" s="254"/>
    </row>
    <row r="3315" spans="1:31" s="61" customFormat="1" ht="12">
      <c r="A3315" s="67" t="s">
        <v>16953</v>
      </c>
      <c r="B3315" s="65" t="s">
        <v>16954</v>
      </c>
      <c r="C3315" s="71" t="s">
        <v>103</v>
      </c>
      <c r="D3315" s="78">
        <v>1</v>
      </c>
      <c r="E3315" s="79">
        <v>29.39</v>
      </c>
      <c r="F3315" s="70">
        <v>29.39</v>
      </c>
      <c r="G3315" s="320"/>
      <c r="H3315" s="79">
        <v>16.54</v>
      </c>
      <c r="I3315" s="79">
        <v>12.85</v>
      </c>
      <c r="J3315" s="79">
        <v>29.39</v>
      </c>
      <c r="K3315" s="79">
        <v>0</v>
      </c>
      <c r="L3315" s="70">
        <v>29.39</v>
      </c>
      <c r="M3315" s="132"/>
      <c r="N3315" s="78">
        <v>16.54</v>
      </c>
      <c r="O3315" s="78">
        <v>12.85</v>
      </c>
      <c r="P3315" s="79">
        <v>29.39</v>
      </c>
      <c r="Q3315" s="136"/>
      <c r="R3315" s="79">
        <v>16.54</v>
      </c>
      <c r="S3315" s="79">
        <v>12.84</v>
      </c>
      <c r="T3315" s="79">
        <v>29.38</v>
      </c>
      <c r="U3315" s="79">
        <v>0</v>
      </c>
      <c r="V3315" s="189">
        <v>29.38</v>
      </c>
      <c r="X3315" s="78">
        <v>16.54</v>
      </c>
      <c r="Y3315" s="78">
        <v>12.84</v>
      </c>
      <c r="Z3315" s="79">
        <v>29.38</v>
      </c>
      <c r="AA3315" s="255">
        <v>1.0000000000001563E-2</v>
      </c>
      <c r="AC3315" s="254"/>
    </row>
    <row r="3316" spans="1:31" s="61" customFormat="1" ht="12">
      <c r="A3316" s="67" t="s">
        <v>16955</v>
      </c>
      <c r="B3316" s="65" t="s">
        <v>16956</v>
      </c>
      <c r="C3316" s="71" t="s">
        <v>103</v>
      </c>
      <c r="D3316" s="78">
        <v>1</v>
      </c>
      <c r="E3316" s="79">
        <v>33.46</v>
      </c>
      <c r="F3316" s="70">
        <v>33.46</v>
      </c>
      <c r="G3316" s="320"/>
      <c r="H3316" s="79">
        <v>20.61</v>
      </c>
      <c r="I3316" s="79">
        <v>12.85</v>
      </c>
      <c r="J3316" s="79">
        <v>33.46</v>
      </c>
      <c r="K3316" s="79">
        <v>0</v>
      </c>
      <c r="L3316" s="70">
        <v>33.46</v>
      </c>
      <c r="M3316" s="132"/>
      <c r="N3316" s="78">
        <v>20.61</v>
      </c>
      <c r="O3316" s="78">
        <v>12.85</v>
      </c>
      <c r="P3316" s="79">
        <v>33.46</v>
      </c>
      <c r="Q3316" s="136"/>
      <c r="R3316" s="79">
        <v>20.61</v>
      </c>
      <c r="S3316" s="79">
        <v>12.84</v>
      </c>
      <c r="T3316" s="79">
        <v>33.450000000000003</v>
      </c>
      <c r="U3316" s="79">
        <v>0</v>
      </c>
      <c r="V3316" s="189">
        <v>33.450000000000003</v>
      </c>
      <c r="X3316" s="78">
        <v>20.61</v>
      </c>
      <c r="Y3316" s="78">
        <v>12.84</v>
      </c>
      <c r="Z3316" s="79">
        <v>33.450000000000003</v>
      </c>
      <c r="AA3316" s="255">
        <v>9.9999999999980105E-3</v>
      </c>
      <c r="AC3316" s="254"/>
    </row>
    <row r="3317" spans="1:31" s="61" customFormat="1" ht="12">
      <c r="A3317" s="67" t="s">
        <v>16957</v>
      </c>
      <c r="B3317" s="65" t="s">
        <v>16958</v>
      </c>
      <c r="C3317" s="71" t="s">
        <v>103</v>
      </c>
      <c r="D3317" s="78">
        <v>1</v>
      </c>
      <c r="E3317" s="79">
        <v>43.739999999999995</v>
      </c>
      <c r="F3317" s="70">
        <v>43.74</v>
      </c>
      <c r="G3317" s="320"/>
      <c r="H3317" s="79">
        <v>24.2</v>
      </c>
      <c r="I3317" s="79">
        <v>19.54</v>
      </c>
      <c r="J3317" s="79">
        <v>43.739999999999995</v>
      </c>
      <c r="K3317" s="79">
        <v>0</v>
      </c>
      <c r="L3317" s="70">
        <v>43.739999999999995</v>
      </c>
      <c r="M3317" s="132"/>
      <c r="N3317" s="78">
        <v>24.2</v>
      </c>
      <c r="O3317" s="78">
        <v>19.54</v>
      </c>
      <c r="P3317" s="79">
        <v>43.739999999999995</v>
      </c>
      <c r="Q3317" s="136"/>
      <c r="R3317" s="79">
        <v>24.2</v>
      </c>
      <c r="S3317" s="79">
        <v>19.54</v>
      </c>
      <c r="T3317" s="79">
        <v>43.739999999999995</v>
      </c>
      <c r="U3317" s="79">
        <v>0</v>
      </c>
      <c r="V3317" s="189">
        <v>43.739999999999995</v>
      </c>
      <c r="X3317" s="78">
        <v>24.2</v>
      </c>
      <c r="Y3317" s="78">
        <v>19.54</v>
      </c>
      <c r="Z3317" s="79">
        <v>43.74</v>
      </c>
      <c r="AA3317" s="255">
        <v>0</v>
      </c>
      <c r="AC3317" s="254"/>
    </row>
    <row r="3318" spans="1:31" s="61" customFormat="1" ht="12">
      <c r="A3318" s="67" t="s">
        <v>16959</v>
      </c>
      <c r="B3318" s="65" t="s">
        <v>16960</v>
      </c>
      <c r="C3318" s="71" t="s">
        <v>103</v>
      </c>
      <c r="D3318" s="78">
        <v>1</v>
      </c>
      <c r="E3318" s="79">
        <v>61.27</v>
      </c>
      <c r="F3318" s="70">
        <v>61.27</v>
      </c>
      <c r="G3318" s="320"/>
      <c r="H3318" s="79">
        <v>38.950000000000003</v>
      </c>
      <c r="I3318" s="79">
        <v>22.32</v>
      </c>
      <c r="J3318" s="79">
        <v>61.27</v>
      </c>
      <c r="K3318" s="79">
        <v>0</v>
      </c>
      <c r="L3318" s="70">
        <v>61.27</v>
      </c>
      <c r="M3318" s="132"/>
      <c r="N3318" s="78">
        <v>38.950000000000003</v>
      </c>
      <c r="O3318" s="78">
        <v>22.32</v>
      </c>
      <c r="P3318" s="79">
        <v>61.27</v>
      </c>
      <c r="Q3318" s="136"/>
      <c r="R3318" s="79">
        <v>38.950000000000003</v>
      </c>
      <c r="S3318" s="79">
        <v>22.33</v>
      </c>
      <c r="T3318" s="79">
        <v>61.28</v>
      </c>
      <c r="U3318" s="79">
        <v>0</v>
      </c>
      <c r="V3318" s="189">
        <v>61.28</v>
      </c>
      <c r="X3318" s="78">
        <v>38.950000000000003</v>
      </c>
      <c r="Y3318" s="78">
        <v>22.33</v>
      </c>
      <c r="Z3318" s="79">
        <v>61.28</v>
      </c>
      <c r="AA3318" s="255">
        <v>-9.9999999999980105E-3</v>
      </c>
      <c r="AC3318" s="254"/>
    </row>
    <row r="3319" spans="1:31" s="61" customFormat="1" ht="12">
      <c r="A3319" s="67" t="s">
        <v>16961</v>
      </c>
      <c r="B3319" s="65" t="s">
        <v>16962</v>
      </c>
      <c r="C3319" s="71" t="s">
        <v>103</v>
      </c>
      <c r="D3319" s="78">
        <v>1</v>
      </c>
      <c r="E3319" s="79">
        <v>25.5</v>
      </c>
      <c r="F3319" s="70">
        <v>25.5</v>
      </c>
      <c r="G3319" s="320"/>
      <c r="H3319" s="79">
        <v>12.65</v>
      </c>
      <c r="I3319" s="79">
        <v>12.85</v>
      </c>
      <c r="J3319" s="79">
        <v>25.5</v>
      </c>
      <c r="K3319" s="79">
        <v>0</v>
      </c>
      <c r="L3319" s="70">
        <v>25.5</v>
      </c>
      <c r="M3319" s="132"/>
      <c r="N3319" s="78">
        <v>12.65</v>
      </c>
      <c r="O3319" s="78">
        <v>12.85</v>
      </c>
      <c r="P3319" s="79">
        <v>25.5</v>
      </c>
      <c r="Q3319" s="136"/>
      <c r="R3319" s="79">
        <v>12.65</v>
      </c>
      <c r="S3319" s="79">
        <v>12.84</v>
      </c>
      <c r="T3319" s="79">
        <v>25.490000000000002</v>
      </c>
      <c r="U3319" s="79">
        <v>0</v>
      </c>
      <c r="V3319" s="189">
        <v>25.490000000000002</v>
      </c>
      <c r="X3319" s="78">
        <v>12.65</v>
      </c>
      <c r="Y3319" s="78">
        <v>12.84</v>
      </c>
      <c r="Z3319" s="79">
        <v>25.49</v>
      </c>
      <c r="AA3319" s="255">
        <v>1.0000000000001563E-2</v>
      </c>
      <c r="AC3319" s="254"/>
    </row>
    <row r="3320" spans="1:31" s="61" customFormat="1" ht="12">
      <c r="A3320" s="67" t="s">
        <v>16963</v>
      </c>
      <c r="B3320" s="65" t="s">
        <v>16964</v>
      </c>
      <c r="C3320" s="71" t="s">
        <v>103</v>
      </c>
      <c r="D3320" s="78">
        <v>1</v>
      </c>
      <c r="E3320" s="79">
        <v>38.26</v>
      </c>
      <c r="F3320" s="70">
        <v>38.26</v>
      </c>
      <c r="G3320" s="320"/>
      <c r="H3320" s="79">
        <v>18.72</v>
      </c>
      <c r="I3320" s="79">
        <v>19.54</v>
      </c>
      <c r="J3320" s="79">
        <v>38.26</v>
      </c>
      <c r="K3320" s="79">
        <v>0</v>
      </c>
      <c r="L3320" s="70">
        <v>38.26</v>
      </c>
      <c r="M3320" s="132"/>
      <c r="N3320" s="78">
        <v>18.72</v>
      </c>
      <c r="O3320" s="78">
        <v>19.54</v>
      </c>
      <c r="P3320" s="79">
        <v>38.26</v>
      </c>
      <c r="Q3320" s="136"/>
      <c r="R3320" s="79">
        <v>18.72</v>
      </c>
      <c r="S3320" s="79">
        <v>19.54</v>
      </c>
      <c r="T3320" s="79">
        <v>38.26</v>
      </c>
      <c r="U3320" s="79">
        <v>0</v>
      </c>
      <c r="V3320" s="189">
        <v>38.26</v>
      </c>
      <c r="X3320" s="78">
        <v>18.72</v>
      </c>
      <c r="Y3320" s="78">
        <v>19.54</v>
      </c>
      <c r="Z3320" s="79">
        <v>38.26</v>
      </c>
      <c r="AA3320" s="255">
        <v>0</v>
      </c>
      <c r="AC3320" s="254"/>
    </row>
    <row r="3321" spans="1:31" s="61" customFormat="1" ht="12">
      <c r="A3321" s="67" t="s">
        <v>16965</v>
      </c>
      <c r="B3321" s="65" t="s">
        <v>16966</v>
      </c>
      <c r="C3321" s="71" t="s">
        <v>103</v>
      </c>
      <c r="D3321" s="78">
        <v>1</v>
      </c>
      <c r="E3321" s="79">
        <v>54.230000000000004</v>
      </c>
      <c r="F3321" s="70">
        <v>54.23</v>
      </c>
      <c r="G3321" s="320"/>
      <c r="H3321" s="79">
        <v>31.91</v>
      </c>
      <c r="I3321" s="79">
        <v>22.32</v>
      </c>
      <c r="J3321" s="79">
        <v>54.230000000000004</v>
      </c>
      <c r="K3321" s="79">
        <v>0</v>
      </c>
      <c r="L3321" s="70">
        <v>54.230000000000004</v>
      </c>
      <c r="M3321" s="132"/>
      <c r="N3321" s="78">
        <v>31.91</v>
      </c>
      <c r="O3321" s="78">
        <v>22.32</v>
      </c>
      <c r="P3321" s="79">
        <v>54.230000000000004</v>
      </c>
      <c r="Q3321" s="136"/>
      <c r="R3321" s="79">
        <v>31.91</v>
      </c>
      <c r="S3321" s="79">
        <v>22.33</v>
      </c>
      <c r="T3321" s="79">
        <v>54.239999999999995</v>
      </c>
      <c r="U3321" s="79">
        <v>0</v>
      </c>
      <c r="V3321" s="189">
        <v>54.239999999999995</v>
      </c>
      <c r="X3321" s="78">
        <v>31.91</v>
      </c>
      <c r="Y3321" s="78">
        <v>22.33</v>
      </c>
      <c r="Z3321" s="79">
        <v>54.24</v>
      </c>
      <c r="AA3321" s="255">
        <v>-1.0000000000005116E-2</v>
      </c>
      <c r="AC3321" s="254"/>
    </row>
    <row r="3322" spans="1:31" s="61" customFormat="1" ht="12">
      <c r="A3322" s="67" t="s">
        <v>16967</v>
      </c>
      <c r="B3322" s="65" t="s">
        <v>16968</v>
      </c>
      <c r="C3322" s="71" t="s">
        <v>103</v>
      </c>
      <c r="D3322" s="78">
        <v>1</v>
      </c>
      <c r="E3322" s="79">
        <v>53.07</v>
      </c>
      <c r="F3322" s="70">
        <v>53.07</v>
      </c>
      <c r="G3322" s="320"/>
      <c r="H3322" s="79">
        <v>40.22</v>
      </c>
      <c r="I3322" s="79">
        <v>12.85</v>
      </c>
      <c r="J3322" s="79">
        <v>53.07</v>
      </c>
      <c r="K3322" s="79">
        <v>0</v>
      </c>
      <c r="L3322" s="70">
        <v>53.07</v>
      </c>
      <c r="M3322" s="132"/>
      <c r="N3322" s="78">
        <v>40.22</v>
      </c>
      <c r="O3322" s="78">
        <v>12.85</v>
      </c>
      <c r="P3322" s="79">
        <v>53.07</v>
      </c>
      <c r="Q3322" s="136"/>
      <c r="R3322" s="79">
        <v>40.22</v>
      </c>
      <c r="S3322" s="79">
        <v>12.84</v>
      </c>
      <c r="T3322" s="79">
        <v>53.06</v>
      </c>
      <c r="U3322" s="79">
        <v>0</v>
      </c>
      <c r="V3322" s="189">
        <v>53.06</v>
      </c>
      <c r="X3322" s="78">
        <v>40.22</v>
      </c>
      <c r="Y3322" s="78">
        <v>12.84</v>
      </c>
      <c r="Z3322" s="79">
        <v>53.06</v>
      </c>
      <c r="AA3322" s="255">
        <v>9.9999999999980105E-3</v>
      </c>
      <c r="AC3322" s="254"/>
    </row>
    <row r="3323" spans="1:31" s="61" customFormat="1" ht="12">
      <c r="A3323" s="67" t="s">
        <v>16969</v>
      </c>
      <c r="B3323" s="65" t="s">
        <v>16970</v>
      </c>
      <c r="C3323" s="71" t="s">
        <v>103</v>
      </c>
      <c r="D3323" s="78">
        <v>1</v>
      </c>
      <c r="E3323" s="79">
        <v>70.47</v>
      </c>
      <c r="F3323" s="70">
        <v>70.47</v>
      </c>
      <c r="G3323" s="320"/>
      <c r="H3323" s="79">
        <v>50.93</v>
      </c>
      <c r="I3323" s="79">
        <v>19.54</v>
      </c>
      <c r="J3323" s="79">
        <v>70.47</v>
      </c>
      <c r="K3323" s="79">
        <v>0</v>
      </c>
      <c r="L3323" s="70">
        <v>70.47</v>
      </c>
      <c r="M3323" s="132"/>
      <c r="N3323" s="78">
        <v>50.93</v>
      </c>
      <c r="O3323" s="78">
        <v>19.54</v>
      </c>
      <c r="P3323" s="79">
        <v>70.47</v>
      </c>
      <c r="Q3323" s="136"/>
      <c r="R3323" s="79">
        <v>50.93</v>
      </c>
      <c r="S3323" s="79">
        <v>19.54</v>
      </c>
      <c r="T3323" s="79">
        <v>70.47</v>
      </c>
      <c r="U3323" s="79">
        <v>0</v>
      </c>
      <c r="V3323" s="189">
        <v>70.47</v>
      </c>
      <c r="X3323" s="78">
        <v>50.93</v>
      </c>
      <c r="Y3323" s="78">
        <v>19.54</v>
      </c>
      <c r="Z3323" s="79">
        <v>70.47</v>
      </c>
      <c r="AA3323" s="255">
        <v>0</v>
      </c>
      <c r="AC3323" s="254"/>
      <c r="AD3323" s="236"/>
      <c r="AE3323" s="236"/>
    </row>
    <row r="3324" spans="1:31" s="61" customFormat="1" ht="12">
      <c r="A3324" s="67" t="s">
        <v>16971</v>
      </c>
      <c r="B3324" s="65" t="s">
        <v>16972</v>
      </c>
      <c r="C3324" s="71" t="s">
        <v>103</v>
      </c>
      <c r="D3324" s="78">
        <v>1</v>
      </c>
      <c r="E3324" s="79">
        <v>112.63</v>
      </c>
      <c r="F3324" s="70">
        <v>112.63</v>
      </c>
      <c r="G3324" s="320"/>
      <c r="H3324" s="79">
        <v>90.31</v>
      </c>
      <c r="I3324" s="79">
        <v>22.32</v>
      </c>
      <c r="J3324" s="79">
        <v>112.63</v>
      </c>
      <c r="K3324" s="79">
        <v>0</v>
      </c>
      <c r="L3324" s="70">
        <v>112.63</v>
      </c>
      <c r="M3324" s="132"/>
      <c r="N3324" s="78">
        <v>90.31</v>
      </c>
      <c r="O3324" s="78">
        <v>22.32</v>
      </c>
      <c r="P3324" s="79">
        <v>112.63</v>
      </c>
      <c r="Q3324" s="136"/>
      <c r="R3324" s="79">
        <v>90.31</v>
      </c>
      <c r="S3324" s="79">
        <v>22.33</v>
      </c>
      <c r="T3324" s="79">
        <v>112.64</v>
      </c>
      <c r="U3324" s="79">
        <v>0</v>
      </c>
      <c r="V3324" s="189">
        <v>112.64</v>
      </c>
      <c r="X3324" s="78">
        <v>90.31</v>
      </c>
      <c r="Y3324" s="78">
        <v>22.33</v>
      </c>
      <c r="Z3324" s="79">
        <v>112.64</v>
      </c>
      <c r="AA3324" s="255">
        <v>-1.0000000000005116E-2</v>
      </c>
      <c r="AC3324" s="254"/>
      <c r="AD3324" s="236"/>
      <c r="AE3324" s="236"/>
    </row>
    <row r="3325" spans="1:31" ht="24">
      <c r="A3325" s="67" t="s">
        <v>16973</v>
      </c>
      <c r="B3325" s="65" t="s">
        <v>16974</v>
      </c>
      <c r="C3325" s="71" t="s">
        <v>103</v>
      </c>
      <c r="D3325" s="78">
        <v>1</v>
      </c>
      <c r="E3325" s="79">
        <v>95.97999999999999</v>
      </c>
      <c r="F3325" s="70">
        <v>95.98</v>
      </c>
      <c r="G3325" s="320"/>
      <c r="H3325" s="79">
        <v>73.66</v>
      </c>
      <c r="I3325" s="79">
        <v>22.32</v>
      </c>
      <c r="J3325" s="79">
        <v>95.97999999999999</v>
      </c>
      <c r="K3325" s="79">
        <v>0</v>
      </c>
      <c r="L3325" s="70">
        <v>95.97999999999999</v>
      </c>
      <c r="M3325" s="132"/>
      <c r="N3325" s="78">
        <v>73.66</v>
      </c>
      <c r="O3325" s="78">
        <v>22.32</v>
      </c>
      <c r="P3325" s="79">
        <v>95.97999999999999</v>
      </c>
      <c r="Q3325" s="136"/>
      <c r="R3325" s="79">
        <v>73.66</v>
      </c>
      <c r="S3325" s="79">
        <v>22.33</v>
      </c>
      <c r="T3325" s="79">
        <v>95.99</v>
      </c>
      <c r="U3325" s="79">
        <v>0</v>
      </c>
      <c r="V3325" s="189">
        <v>95.99</v>
      </c>
      <c r="X3325" s="78">
        <v>73.66</v>
      </c>
      <c r="Y3325" s="78">
        <v>22.33</v>
      </c>
      <c r="Z3325" s="79">
        <v>95.99</v>
      </c>
      <c r="AA3325" s="255">
        <v>-9.9999999999909051E-3</v>
      </c>
      <c r="AC3325" s="254"/>
    </row>
    <row r="3326" spans="1:31" ht="12">
      <c r="A3326" s="67" t="s">
        <v>16975</v>
      </c>
      <c r="B3326" s="65" t="s">
        <v>16976</v>
      </c>
      <c r="C3326" s="71" t="s">
        <v>103</v>
      </c>
      <c r="D3326" s="78">
        <v>1</v>
      </c>
      <c r="E3326" s="79">
        <v>238.79999999999998</v>
      </c>
      <c r="F3326" s="70">
        <v>238.8</v>
      </c>
      <c r="G3326" s="320"/>
      <c r="H3326" s="79">
        <v>219.26</v>
      </c>
      <c r="I3326" s="79">
        <v>19.54</v>
      </c>
      <c r="J3326" s="79">
        <v>238.79999999999998</v>
      </c>
      <c r="K3326" s="79">
        <v>0</v>
      </c>
      <c r="L3326" s="70">
        <v>238.79999999999998</v>
      </c>
      <c r="M3326" s="132"/>
      <c r="N3326" s="78">
        <v>219.26</v>
      </c>
      <c r="O3326" s="78">
        <v>19.54</v>
      </c>
      <c r="P3326" s="79">
        <v>238.79999999999998</v>
      </c>
      <c r="Q3326" s="136"/>
      <c r="R3326" s="79">
        <v>219.26</v>
      </c>
      <c r="S3326" s="79">
        <v>19.54</v>
      </c>
      <c r="T3326" s="79">
        <v>238.79999999999998</v>
      </c>
      <c r="U3326" s="79">
        <v>0</v>
      </c>
      <c r="V3326" s="189">
        <v>238.79999999999998</v>
      </c>
      <c r="X3326" s="78">
        <v>219.26</v>
      </c>
      <c r="Y3326" s="78">
        <v>19.54</v>
      </c>
      <c r="Z3326" s="79">
        <v>238.8</v>
      </c>
      <c r="AA3326" s="255">
        <v>0</v>
      </c>
      <c r="AC3326" s="254"/>
    </row>
    <row r="3327" spans="1:31" ht="12">
      <c r="A3327" s="67" t="s">
        <v>16977</v>
      </c>
      <c r="B3327" s="65" t="s">
        <v>16978</v>
      </c>
      <c r="C3327" s="71" t="s">
        <v>103</v>
      </c>
      <c r="D3327" s="78">
        <v>1</v>
      </c>
      <c r="E3327" s="79">
        <v>49.38</v>
      </c>
      <c r="F3327" s="70">
        <v>49.38</v>
      </c>
      <c r="G3327" s="320"/>
      <c r="H3327" s="79">
        <v>36.53</v>
      </c>
      <c r="I3327" s="79">
        <v>12.85</v>
      </c>
      <c r="J3327" s="79">
        <v>49.38</v>
      </c>
      <c r="K3327" s="79">
        <v>0</v>
      </c>
      <c r="L3327" s="70">
        <v>49.38</v>
      </c>
      <c r="M3327" s="132"/>
      <c r="N3327" s="78">
        <v>36.53</v>
      </c>
      <c r="O3327" s="78">
        <v>12.85</v>
      </c>
      <c r="P3327" s="79">
        <v>49.38</v>
      </c>
      <c r="Q3327" s="136"/>
      <c r="R3327" s="79">
        <v>36.53</v>
      </c>
      <c r="S3327" s="79">
        <v>12.84</v>
      </c>
      <c r="T3327" s="79">
        <v>49.370000000000005</v>
      </c>
      <c r="U3327" s="79">
        <v>0</v>
      </c>
      <c r="V3327" s="189">
        <v>49.370000000000005</v>
      </c>
      <c r="X3327" s="78">
        <v>36.53</v>
      </c>
      <c r="Y3327" s="78">
        <v>12.84</v>
      </c>
      <c r="Z3327" s="79">
        <v>49.37</v>
      </c>
      <c r="AA3327" s="255">
        <v>1.0000000000005116E-2</v>
      </c>
      <c r="AC3327" s="254"/>
    </row>
    <row r="3328" spans="1:31" ht="12">
      <c r="A3328" s="67" t="s">
        <v>16979</v>
      </c>
      <c r="B3328" s="65" t="s">
        <v>16980</v>
      </c>
      <c r="C3328" s="71" t="s">
        <v>103</v>
      </c>
      <c r="D3328" s="78">
        <v>1</v>
      </c>
      <c r="E3328" s="79">
        <v>63.12</v>
      </c>
      <c r="F3328" s="70">
        <v>63.12</v>
      </c>
      <c r="G3328" s="320"/>
      <c r="H3328" s="79">
        <v>43.58</v>
      </c>
      <c r="I3328" s="79">
        <v>19.54</v>
      </c>
      <c r="J3328" s="79">
        <v>63.12</v>
      </c>
      <c r="K3328" s="79">
        <v>0</v>
      </c>
      <c r="L3328" s="70">
        <v>63.12</v>
      </c>
      <c r="M3328" s="132"/>
      <c r="N3328" s="78">
        <v>43.58</v>
      </c>
      <c r="O3328" s="78">
        <v>19.54</v>
      </c>
      <c r="P3328" s="79">
        <v>63.12</v>
      </c>
      <c r="Q3328" s="136"/>
      <c r="R3328" s="79">
        <v>43.58</v>
      </c>
      <c r="S3328" s="79">
        <v>19.54</v>
      </c>
      <c r="T3328" s="79">
        <v>63.12</v>
      </c>
      <c r="U3328" s="79">
        <v>0</v>
      </c>
      <c r="V3328" s="189">
        <v>63.12</v>
      </c>
      <c r="X3328" s="78">
        <v>43.58</v>
      </c>
      <c r="Y3328" s="78">
        <v>19.54</v>
      </c>
      <c r="Z3328" s="79">
        <v>63.12</v>
      </c>
      <c r="AA3328" s="255">
        <v>0</v>
      </c>
      <c r="AC3328" s="254"/>
    </row>
    <row r="3329" spans="1:29" ht="24">
      <c r="A3329" s="67" t="s">
        <v>16981</v>
      </c>
      <c r="B3329" s="65" t="s">
        <v>16982</v>
      </c>
      <c r="C3329" s="71" t="s">
        <v>103</v>
      </c>
      <c r="D3329" s="78">
        <v>1</v>
      </c>
      <c r="E3329" s="79">
        <v>103.07</v>
      </c>
      <c r="F3329" s="70">
        <v>103.07</v>
      </c>
      <c r="G3329" s="320"/>
      <c r="H3329" s="79">
        <v>80.75</v>
      </c>
      <c r="I3329" s="79">
        <v>22.32</v>
      </c>
      <c r="J3329" s="79">
        <v>103.07</v>
      </c>
      <c r="K3329" s="79">
        <v>0</v>
      </c>
      <c r="L3329" s="70">
        <v>103.07</v>
      </c>
      <c r="M3329" s="132"/>
      <c r="N3329" s="78">
        <v>80.75</v>
      </c>
      <c r="O3329" s="78">
        <v>22.32</v>
      </c>
      <c r="P3329" s="79">
        <v>103.07</v>
      </c>
      <c r="Q3329" s="136"/>
      <c r="R3329" s="79">
        <v>80.75</v>
      </c>
      <c r="S3329" s="79">
        <v>22.33</v>
      </c>
      <c r="T3329" s="79">
        <v>103.08</v>
      </c>
      <c r="U3329" s="79">
        <v>0</v>
      </c>
      <c r="V3329" s="189">
        <v>103.08</v>
      </c>
      <c r="X3329" s="78">
        <v>80.75</v>
      </c>
      <c r="Y3329" s="78">
        <v>22.33</v>
      </c>
      <c r="Z3329" s="79">
        <v>103.08</v>
      </c>
      <c r="AA3329" s="255">
        <v>-1.0000000000005116E-2</v>
      </c>
      <c r="AC3329" s="254"/>
    </row>
    <row r="3330" spans="1:29" ht="24">
      <c r="A3330" s="67" t="s">
        <v>16983</v>
      </c>
      <c r="B3330" s="65" t="s">
        <v>16984</v>
      </c>
      <c r="C3330" s="71" t="s">
        <v>103</v>
      </c>
      <c r="D3330" s="78">
        <v>1</v>
      </c>
      <c r="E3330" s="79">
        <v>56.18</v>
      </c>
      <c r="F3330" s="70">
        <v>56.18</v>
      </c>
      <c r="G3330" s="320"/>
      <c r="H3330" s="79">
        <v>36.64</v>
      </c>
      <c r="I3330" s="79">
        <v>19.54</v>
      </c>
      <c r="J3330" s="79">
        <v>56.18</v>
      </c>
      <c r="K3330" s="79">
        <v>0</v>
      </c>
      <c r="L3330" s="70">
        <v>56.18</v>
      </c>
      <c r="M3330" s="132"/>
      <c r="N3330" s="78">
        <v>36.64</v>
      </c>
      <c r="O3330" s="78">
        <v>19.54</v>
      </c>
      <c r="P3330" s="79">
        <v>56.18</v>
      </c>
      <c r="Q3330" s="136"/>
      <c r="R3330" s="79">
        <v>36.64</v>
      </c>
      <c r="S3330" s="79">
        <v>19.54</v>
      </c>
      <c r="T3330" s="79">
        <v>56.18</v>
      </c>
      <c r="U3330" s="79">
        <v>0</v>
      </c>
      <c r="V3330" s="189">
        <v>56.18</v>
      </c>
      <c r="X3330" s="78">
        <v>36.64</v>
      </c>
      <c r="Y3330" s="78">
        <v>19.54</v>
      </c>
      <c r="Z3330" s="79">
        <v>56.18</v>
      </c>
      <c r="AA3330" s="255">
        <v>0</v>
      </c>
      <c r="AC3330" s="254"/>
    </row>
    <row r="3331" spans="1:29" ht="24">
      <c r="A3331" s="67" t="s">
        <v>16985</v>
      </c>
      <c r="B3331" s="65" t="s">
        <v>16986</v>
      </c>
      <c r="C3331" s="71" t="s">
        <v>103</v>
      </c>
      <c r="D3331" s="78">
        <v>1</v>
      </c>
      <c r="E3331" s="79">
        <v>89.32</v>
      </c>
      <c r="F3331" s="70">
        <v>89.32</v>
      </c>
      <c r="G3331" s="320"/>
      <c r="H3331" s="79">
        <v>67</v>
      </c>
      <c r="I3331" s="79">
        <v>22.32</v>
      </c>
      <c r="J3331" s="79">
        <v>89.32</v>
      </c>
      <c r="K3331" s="79">
        <v>0</v>
      </c>
      <c r="L3331" s="70">
        <v>89.32</v>
      </c>
      <c r="M3331" s="132"/>
      <c r="N3331" s="78">
        <v>67</v>
      </c>
      <c r="O3331" s="78">
        <v>22.32</v>
      </c>
      <c r="P3331" s="79">
        <v>89.32</v>
      </c>
      <c r="Q3331" s="136"/>
      <c r="R3331" s="79">
        <v>67</v>
      </c>
      <c r="S3331" s="79">
        <v>22.33</v>
      </c>
      <c r="T3331" s="79">
        <v>89.33</v>
      </c>
      <c r="U3331" s="79">
        <v>0</v>
      </c>
      <c r="V3331" s="189">
        <v>89.33</v>
      </c>
      <c r="X3331" s="78">
        <v>67</v>
      </c>
      <c r="Y3331" s="78">
        <v>22.33</v>
      </c>
      <c r="Z3331" s="79">
        <v>89.33</v>
      </c>
      <c r="AA3331" s="255">
        <v>-1.0000000000005116E-2</v>
      </c>
      <c r="AC3331" s="254"/>
    </row>
    <row r="3332" spans="1:29" ht="24">
      <c r="A3332" s="67" t="s">
        <v>16987</v>
      </c>
      <c r="B3332" s="65" t="s">
        <v>16988</v>
      </c>
      <c r="C3332" s="71" t="s">
        <v>103</v>
      </c>
      <c r="D3332" s="78">
        <v>1</v>
      </c>
      <c r="E3332" s="79">
        <v>74.95</v>
      </c>
      <c r="F3332" s="70">
        <v>74.95</v>
      </c>
      <c r="G3332" s="320"/>
      <c r="H3332" s="79">
        <v>52.63</v>
      </c>
      <c r="I3332" s="79">
        <v>22.32</v>
      </c>
      <c r="J3332" s="79">
        <v>74.95</v>
      </c>
      <c r="K3332" s="79">
        <v>0</v>
      </c>
      <c r="L3332" s="70">
        <v>74.95</v>
      </c>
      <c r="M3332" s="132"/>
      <c r="N3332" s="78">
        <v>52.63</v>
      </c>
      <c r="O3332" s="78">
        <v>22.32</v>
      </c>
      <c r="P3332" s="79">
        <v>74.95</v>
      </c>
      <c r="Q3332" s="136"/>
      <c r="R3332" s="79">
        <v>52.63</v>
      </c>
      <c r="S3332" s="79">
        <v>22.33</v>
      </c>
      <c r="T3332" s="79">
        <v>74.960000000000008</v>
      </c>
      <c r="U3332" s="79">
        <v>0</v>
      </c>
      <c r="V3332" s="189">
        <v>74.960000000000008</v>
      </c>
      <c r="X3332" s="78">
        <v>52.63</v>
      </c>
      <c r="Y3332" s="78">
        <v>22.33</v>
      </c>
      <c r="Z3332" s="79">
        <v>74.959999999999994</v>
      </c>
      <c r="AA3332" s="255">
        <v>-9.9999999999909051E-3</v>
      </c>
      <c r="AC3332" s="254"/>
    </row>
    <row r="3333" spans="1:29" ht="12">
      <c r="A3333" s="67" t="s">
        <v>16989</v>
      </c>
      <c r="B3333" s="65" t="s">
        <v>16990</v>
      </c>
      <c r="C3333" s="71" t="s">
        <v>103</v>
      </c>
      <c r="D3333" s="78">
        <v>1</v>
      </c>
      <c r="E3333" s="79">
        <v>91.09</v>
      </c>
      <c r="F3333" s="70">
        <v>91.09</v>
      </c>
      <c r="G3333" s="320"/>
      <c r="H3333" s="79">
        <v>68.77</v>
      </c>
      <c r="I3333" s="79">
        <v>22.32</v>
      </c>
      <c r="J3333" s="79">
        <v>91.09</v>
      </c>
      <c r="K3333" s="79">
        <v>0</v>
      </c>
      <c r="L3333" s="70">
        <v>91.09</v>
      </c>
      <c r="M3333" s="132"/>
      <c r="N3333" s="78">
        <v>68.77</v>
      </c>
      <c r="O3333" s="78">
        <v>22.32</v>
      </c>
      <c r="P3333" s="79">
        <v>91.09</v>
      </c>
      <c r="Q3333" s="136"/>
      <c r="R3333" s="79">
        <v>68.77</v>
      </c>
      <c r="S3333" s="79">
        <v>22.33</v>
      </c>
      <c r="T3333" s="79">
        <v>91.1</v>
      </c>
      <c r="U3333" s="79">
        <v>0</v>
      </c>
      <c r="V3333" s="189">
        <v>91.1</v>
      </c>
      <c r="X3333" s="78">
        <v>68.77</v>
      </c>
      <c r="Y3333" s="78">
        <v>22.33</v>
      </c>
      <c r="Z3333" s="79">
        <v>91.1</v>
      </c>
      <c r="AA3333" s="255">
        <v>-9.9999999999909051E-3</v>
      </c>
      <c r="AC3333" s="254"/>
    </row>
    <row r="3334" spans="1:29" ht="24">
      <c r="A3334" s="67" t="s">
        <v>16991</v>
      </c>
      <c r="B3334" s="65" t="s">
        <v>16992</v>
      </c>
      <c r="C3334" s="71" t="s">
        <v>103</v>
      </c>
      <c r="D3334" s="78">
        <v>1</v>
      </c>
      <c r="E3334" s="79">
        <v>140.05000000000001</v>
      </c>
      <c r="F3334" s="70">
        <v>140.05000000000001</v>
      </c>
      <c r="G3334" s="320"/>
      <c r="H3334" s="79">
        <v>120.51</v>
      </c>
      <c r="I3334" s="79">
        <v>19.54</v>
      </c>
      <c r="J3334" s="79">
        <v>140.05000000000001</v>
      </c>
      <c r="K3334" s="79">
        <v>0</v>
      </c>
      <c r="L3334" s="70">
        <v>140.05000000000001</v>
      </c>
      <c r="M3334" s="132"/>
      <c r="N3334" s="78">
        <v>120.51</v>
      </c>
      <c r="O3334" s="78">
        <v>19.54</v>
      </c>
      <c r="P3334" s="79">
        <v>140.05000000000001</v>
      </c>
      <c r="Q3334" s="136"/>
      <c r="R3334" s="79">
        <v>120.51</v>
      </c>
      <c r="S3334" s="79">
        <v>19.54</v>
      </c>
      <c r="T3334" s="79">
        <v>140.05000000000001</v>
      </c>
      <c r="U3334" s="79">
        <v>0</v>
      </c>
      <c r="V3334" s="189">
        <v>140.05000000000001</v>
      </c>
      <c r="X3334" s="78">
        <v>120.51</v>
      </c>
      <c r="Y3334" s="78">
        <v>19.54</v>
      </c>
      <c r="Z3334" s="79">
        <v>140.05000000000001</v>
      </c>
      <c r="AA3334" s="255">
        <v>0</v>
      </c>
      <c r="AC3334" s="254"/>
    </row>
    <row r="3335" spans="1:29" ht="24">
      <c r="A3335" s="67" t="s">
        <v>16993</v>
      </c>
      <c r="B3335" s="65" t="s">
        <v>16994</v>
      </c>
      <c r="C3335" s="71" t="s">
        <v>103</v>
      </c>
      <c r="D3335" s="78">
        <v>1</v>
      </c>
      <c r="E3335" s="79">
        <v>104.78999999999999</v>
      </c>
      <c r="F3335" s="70">
        <v>104.79</v>
      </c>
      <c r="G3335" s="320"/>
      <c r="H3335" s="79">
        <v>82.47</v>
      </c>
      <c r="I3335" s="79">
        <v>22.32</v>
      </c>
      <c r="J3335" s="79">
        <v>104.78999999999999</v>
      </c>
      <c r="K3335" s="79">
        <v>0</v>
      </c>
      <c r="L3335" s="70">
        <v>104.78999999999999</v>
      </c>
      <c r="M3335" s="132"/>
      <c r="N3335" s="78">
        <v>82.47</v>
      </c>
      <c r="O3335" s="78">
        <v>22.32</v>
      </c>
      <c r="P3335" s="79">
        <v>104.78999999999999</v>
      </c>
      <c r="Q3335" s="136"/>
      <c r="R3335" s="79">
        <v>82.47</v>
      </c>
      <c r="S3335" s="79">
        <v>22.33</v>
      </c>
      <c r="T3335" s="79">
        <v>104.8</v>
      </c>
      <c r="U3335" s="79">
        <v>0</v>
      </c>
      <c r="V3335" s="189">
        <v>104.8</v>
      </c>
      <c r="X3335" s="78">
        <v>82.47</v>
      </c>
      <c r="Y3335" s="78">
        <v>22.33</v>
      </c>
      <c r="Z3335" s="79">
        <v>104.8</v>
      </c>
      <c r="AA3335" s="255">
        <v>-9.9999999999909051E-3</v>
      </c>
      <c r="AC3335" s="254"/>
    </row>
    <row r="3336" spans="1:29" ht="12">
      <c r="A3336" s="67" t="s">
        <v>16995</v>
      </c>
      <c r="B3336" s="65" t="s">
        <v>16996</v>
      </c>
      <c r="C3336" s="71" t="s">
        <v>103</v>
      </c>
      <c r="D3336" s="78">
        <v>1</v>
      </c>
      <c r="E3336" s="79">
        <v>88.07</v>
      </c>
      <c r="F3336" s="70">
        <v>88.07</v>
      </c>
      <c r="G3336" s="320"/>
      <c r="H3336" s="79">
        <v>75.22</v>
      </c>
      <c r="I3336" s="79">
        <v>12.85</v>
      </c>
      <c r="J3336" s="79">
        <v>88.07</v>
      </c>
      <c r="K3336" s="79">
        <v>0</v>
      </c>
      <c r="L3336" s="70">
        <v>88.07</v>
      </c>
      <c r="M3336" s="132"/>
      <c r="N3336" s="78">
        <v>75.22</v>
      </c>
      <c r="O3336" s="78">
        <v>12.85</v>
      </c>
      <c r="P3336" s="79">
        <v>88.07</v>
      </c>
      <c r="Q3336" s="136"/>
      <c r="R3336" s="79">
        <v>75.22</v>
      </c>
      <c r="S3336" s="79">
        <v>12.84</v>
      </c>
      <c r="T3336" s="79">
        <v>88.06</v>
      </c>
      <c r="U3336" s="79">
        <v>0</v>
      </c>
      <c r="V3336" s="189">
        <v>88.06</v>
      </c>
      <c r="X3336" s="78">
        <v>75.22</v>
      </c>
      <c r="Y3336" s="78">
        <v>12.84</v>
      </c>
      <c r="Z3336" s="79">
        <v>88.06</v>
      </c>
      <c r="AA3336" s="255">
        <v>9.9999999999909051E-3</v>
      </c>
      <c r="AC3336" s="254"/>
    </row>
    <row r="3337" spans="1:29" ht="12">
      <c r="A3337" s="67" t="s">
        <v>16997</v>
      </c>
      <c r="B3337" s="65" t="s">
        <v>16998</v>
      </c>
      <c r="C3337" s="71" t="s">
        <v>103</v>
      </c>
      <c r="D3337" s="78">
        <v>1</v>
      </c>
      <c r="E3337" s="79">
        <v>25.42</v>
      </c>
      <c r="F3337" s="70">
        <v>25.42</v>
      </c>
      <c r="G3337" s="320"/>
      <c r="H3337" s="79">
        <v>12.57</v>
      </c>
      <c r="I3337" s="79">
        <v>12.85</v>
      </c>
      <c r="J3337" s="79">
        <v>25.42</v>
      </c>
      <c r="K3337" s="79">
        <v>0</v>
      </c>
      <c r="L3337" s="70">
        <v>25.42</v>
      </c>
      <c r="M3337" s="132"/>
      <c r="N3337" s="78">
        <v>12.57</v>
      </c>
      <c r="O3337" s="78">
        <v>12.85</v>
      </c>
      <c r="P3337" s="79">
        <v>25.42</v>
      </c>
      <c r="Q3337" s="136"/>
      <c r="R3337" s="79">
        <v>12.57</v>
      </c>
      <c r="S3337" s="79">
        <v>12.84</v>
      </c>
      <c r="T3337" s="79">
        <v>25.41</v>
      </c>
      <c r="U3337" s="79">
        <v>0</v>
      </c>
      <c r="V3337" s="189">
        <v>25.41</v>
      </c>
      <c r="X3337" s="78">
        <v>12.57</v>
      </c>
      <c r="Y3337" s="78">
        <v>12.84</v>
      </c>
      <c r="Z3337" s="79">
        <v>25.41</v>
      </c>
      <c r="AA3337" s="255">
        <v>1.0000000000001563E-2</v>
      </c>
      <c r="AC3337" s="254"/>
    </row>
    <row r="3338" spans="1:29" ht="12">
      <c r="A3338" s="67" t="s">
        <v>16999</v>
      </c>
      <c r="B3338" s="65" t="s">
        <v>17000</v>
      </c>
      <c r="C3338" s="71" t="s">
        <v>103</v>
      </c>
      <c r="D3338" s="78">
        <v>1</v>
      </c>
      <c r="E3338" s="79">
        <v>44.17</v>
      </c>
      <c r="F3338" s="70">
        <v>44.17</v>
      </c>
      <c r="G3338" s="320"/>
      <c r="H3338" s="79">
        <v>31.32</v>
      </c>
      <c r="I3338" s="79">
        <v>12.85</v>
      </c>
      <c r="J3338" s="79">
        <v>44.17</v>
      </c>
      <c r="K3338" s="79">
        <v>0</v>
      </c>
      <c r="L3338" s="70">
        <v>44.17</v>
      </c>
      <c r="M3338" s="132"/>
      <c r="N3338" s="78">
        <v>31.32</v>
      </c>
      <c r="O3338" s="78">
        <v>12.85</v>
      </c>
      <c r="P3338" s="79">
        <v>44.17</v>
      </c>
      <c r="Q3338" s="136"/>
      <c r="R3338" s="79">
        <v>31.32</v>
      </c>
      <c r="S3338" s="79">
        <v>12.84</v>
      </c>
      <c r="T3338" s="79">
        <v>44.16</v>
      </c>
      <c r="U3338" s="79">
        <v>0</v>
      </c>
      <c r="V3338" s="189">
        <v>44.16</v>
      </c>
      <c r="X3338" s="78">
        <v>31.32</v>
      </c>
      <c r="Y3338" s="78">
        <v>12.84</v>
      </c>
      <c r="Z3338" s="79">
        <v>44.16</v>
      </c>
      <c r="AA3338" s="255">
        <v>1.0000000000005116E-2</v>
      </c>
      <c r="AC3338" s="254"/>
    </row>
    <row r="3339" spans="1:29" ht="12">
      <c r="A3339" s="67" t="s">
        <v>17001</v>
      </c>
      <c r="B3339" s="65" t="s">
        <v>17002</v>
      </c>
      <c r="C3339" s="71" t="s">
        <v>103</v>
      </c>
      <c r="D3339" s="78">
        <v>1</v>
      </c>
      <c r="E3339" s="79">
        <v>66.37</v>
      </c>
      <c r="F3339" s="70">
        <v>66.37</v>
      </c>
      <c r="G3339" s="320"/>
      <c r="H3339" s="79">
        <v>46.83</v>
      </c>
      <c r="I3339" s="79">
        <v>19.54</v>
      </c>
      <c r="J3339" s="79">
        <v>66.37</v>
      </c>
      <c r="K3339" s="79">
        <v>0</v>
      </c>
      <c r="L3339" s="70">
        <v>66.37</v>
      </c>
      <c r="M3339" s="132"/>
      <c r="N3339" s="78">
        <v>46.83</v>
      </c>
      <c r="O3339" s="78">
        <v>19.54</v>
      </c>
      <c r="P3339" s="79">
        <v>66.37</v>
      </c>
      <c r="Q3339" s="136"/>
      <c r="R3339" s="79">
        <v>46.83</v>
      </c>
      <c r="S3339" s="79">
        <v>19.54</v>
      </c>
      <c r="T3339" s="79">
        <v>66.37</v>
      </c>
      <c r="U3339" s="79">
        <v>0</v>
      </c>
      <c r="V3339" s="189">
        <v>66.37</v>
      </c>
      <c r="X3339" s="78">
        <v>46.83</v>
      </c>
      <c r="Y3339" s="78">
        <v>19.54</v>
      </c>
      <c r="Z3339" s="79">
        <v>66.37</v>
      </c>
      <c r="AA3339" s="255">
        <v>0</v>
      </c>
      <c r="AC3339" s="254"/>
    </row>
    <row r="3340" spans="1:29" ht="12">
      <c r="A3340" s="67" t="s">
        <v>17003</v>
      </c>
      <c r="B3340" s="65" t="s">
        <v>3612</v>
      </c>
      <c r="C3340" s="71" t="s">
        <v>396</v>
      </c>
      <c r="D3340" s="78">
        <v>1</v>
      </c>
      <c r="E3340" s="79">
        <v>80.320000000000007</v>
      </c>
      <c r="F3340" s="70">
        <v>80.319999999999993</v>
      </c>
      <c r="G3340" s="320"/>
      <c r="H3340" s="79">
        <v>74.73</v>
      </c>
      <c r="I3340" s="79">
        <v>5.59</v>
      </c>
      <c r="J3340" s="79">
        <v>80.320000000000007</v>
      </c>
      <c r="K3340" s="79">
        <v>0</v>
      </c>
      <c r="L3340" s="70">
        <v>80.320000000000007</v>
      </c>
      <c r="M3340" s="132"/>
      <c r="N3340" s="78">
        <v>74.73</v>
      </c>
      <c r="O3340" s="78">
        <v>5.59</v>
      </c>
      <c r="P3340" s="79">
        <v>80.320000000000007</v>
      </c>
      <c r="Q3340" s="136"/>
      <c r="R3340" s="79">
        <v>74.73</v>
      </c>
      <c r="S3340" s="79">
        <v>5.58</v>
      </c>
      <c r="T3340" s="79">
        <v>80.31</v>
      </c>
      <c r="U3340" s="79">
        <v>0</v>
      </c>
      <c r="V3340" s="189">
        <v>80.31</v>
      </c>
      <c r="X3340" s="78">
        <v>74.73</v>
      </c>
      <c r="Y3340" s="78">
        <v>5.58</v>
      </c>
      <c r="Z3340" s="79">
        <v>80.31</v>
      </c>
      <c r="AA3340" s="255">
        <v>9.9999999999909051E-3</v>
      </c>
      <c r="AC3340" s="254"/>
    </row>
    <row r="3341" spans="1:29" ht="12">
      <c r="A3341" s="489" t="s">
        <v>17004</v>
      </c>
      <c r="B3341" s="490" t="s">
        <v>17005</v>
      </c>
      <c r="C3341" s="491"/>
      <c r="D3341" s="492"/>
      <c r="E3341" s="79"/>
      <c r="F3341" s="63"/>
      <c r="G3341" s="320"/>
      <c r="H3341" s="79"/>
      <c r="I3341" s="79"/>
      <c r="J3341" s="79"/>
      <c r="K3341" s="79"/>
      <c r="L3341" s="70"/>
      <c r="M3341" s="132"/>
      <c r="N3341" s="79"/>
      <c r="O3341" s="79"/>
      <c r="P3341" s="79"/>
      <c r="Q3341" s="136"/>
      <c r="R3341" s="79"/>
      <c r="S3341" s="79"/>
      <c r="T3341" s="79"/>
      <c r="U3341" s="79"/>
      <c r="V3341" s="189"/>
      <c r="X3341" s="79"/>
      <c r="Y3341" s="79"/>
      <c r="Z3341" s="79"/>
      <c r="AA3341" s="255"/>
      <c r="AC3341" s="254"/>
    </row>
    <row r="3342" spans="1:29" ht="12">
      <c r="A3342" s="489" t="s">
        <v>17006</v>
      </c>
      <c r="B3342" s="490" t="s">
        <v>17007</v>
      </c>
      <c r="C3342" s="491"/>
      <c r="D3342" s="492"/>
      <c r="E3342" s="79"/>
      <c r="F3342" s="63"/>
      <c r="G3342" s="320"/>
      <c r="H3342" s="79"/>
      <c r="I3342" s="79"/>
      <c r="J3342" s="79"/>
      <c r="K3342" s="79"/>
      <c r="L3342" s="70"/>
      <c r="M3342" s="132"/>
      <c r="N3342" s="79"/>
      <c r="O3342" s="79"/>
      <c r="P3342" s="79"/>
      <c r="Q3342" s="136"/>
      <c r="R3342" s="79"/>
      <c r="S3342" s="79"/>
      <c r="T3342" s="79"/>
      <c r="U3342" s="79"/>
      <c r="V3342" s="189"/>
      <c r="X3342" s="79"/>
      <c r="Y3342" s="79"/>
      <c r="Z3342" s="79"/>
      <c r="AA3342" s="255"/>
      <c r="AC3342" s="254"/>
    </row>
    <row r="3343" spans="1:29" ht="12">
      <c r="A3343" s="67" t="s">
        <v>17008</v>
      </c>
      <c r="B3343" s="65" t="s">
        <v>17009</v>
      </c>
      <c r="C3343" s="71" t="s">
        <v>103</v>
      </c>
      <c r="D3343" s="78">
        <v>1</v>
      </c>
      <c r="E3343" s="79">
        <v>69.399999999999991</v>
      </c>
      <c r="F3343" s="70">
        <v>69.400000000000006</v>
      </c>
      <c r="G3343" s="320"/>
      <c r="H3343" s="79">
        <v>44.269999999999996</v>
      </c>
      <c r="I3343" s="79">
        <v>25.130000000000003</v>
      </c>
      <c r="J3343" s="79">
        <v>69.400000000000006</v>
      </c>
      <c r="K3343" s="79">
        <v>0</v>
      </c>
      <c r="L3343" s="70">
        <v>69.400000000000006</v>
      </c>
      <c r="M3343" s="132"/>
      <c r="N3343" s="79">
        <v>44.269999999999996</v>
      </c>
      <c r="O3343" s="79">
        <v>25.130000000000003</v>
      </c>
      <c r="P3343" s="79">
        <v>69.400000000000006</v>
      </c>
      <c r="Q3343" s="136"/>
      <c r="R3343" s="79">
        <v>44.27</v>
      </c>
      <c r="S3343" s="79">
        <v>25.12</v>
      </c>
      <c r="T3343" s="79">
        <v>69.39</v>
      </c>
      <c r="U3343" s="79">
        <v>0</v>
      </c>
      <c r="V3343" s="189">
        <v>69.39</v>
      </c>
      <c r="X3343" s="79">
        <v>44.27</v>
      </c>
      <c r="Y3343" s="79">
        <v>25.12</v>
      </c>
      <c r="Z3343" s="79">
        <v>69.39</v>
      </c>
      <c r="AA3343" s="255">
        <v>1.0000000000005116E-2</v>
      </c>
      <c r="AC3343" s="254"/>
    </row>
    <row r="3344" spans="1:29" ht="12">
      <c r="A3344" s="67" t="s">
        <v>17010</v>
      </c>
      <c r="B3344" s="65" t="s">
        <v>17011</v>
      </c>
      <c r="C3344" s="71" t="s">
        <v>103</v>
      </c>
      <c r="D3344" s="78">
        <v>1</v>
      </c>
      <c r="E3344" s="79">
        <v>92.75</v>
      </c>
      <c r="F3344" s="70">
        <v>92.75</v>
      </c>
      <c r="G3344" s="320"/>
      <c r="H3344" s="79">
        <v>59.25</v>
      </c>
      <c r="I3344" s="79">
        <v>33.5</v>
      </c>
      <c r="J3344" s="79">
        <v>92.75</v>
      </c>
      <c r="K3344" s="79">
        <v>0</v>
      </c>
      <c r="L3344" s="70">
        <v>92.75</v>
      </c>
      <c r="M3344" s="132"/>
      <c r="N3344" s="79">
        <v>59.25</v>
      </c>
      <c r="O3344" s="79">
        <v>33.5</v>
      </c>
      <c r="P3344" s="79">
        <v>92.75</v>
      </c>
      <c r="Q3344" s="136"/>
      <c r="R3344" s="79">
        <v>59.25</v>
      </c>
      <c r="S3344" s="79">
        <v>33.5</v>
      </c>
      <c r="T3344" s="79">
        <v>92.75</v>
      </c>
      <c r="U3344" s="79">
        <v>0</v>
      </c>
      <c r="V3344" s="189">
        <v>92.75</v>
      </c>
      <c r="X3344" s="79">
        <v>59.25</v>
      </c>
      <c r="Y3344" s="79">
        <v>33.5</v>
      </c>
      <c r="Z3344" s="79">
        <v>92.75</v>
      </c>
      <c r="AA3344" s="255">
        <v>0</v>
      </c>
      <c r="AC3344" s="254"/>
    </row>
    <row r="3345" spans="1:29" ht="12">
      <c r="A3345" s="67" t="s">
        <v>17012</v>
      </c>
      <c r="B3345" s="65" t="s">
        <v>17013</v>
      </c>
      <c r="C3345" s="71" t="s">
        <v>103</v>
      </c>
      <c r="D3345" s="78">
        <v>1</v>
      </c>
      <c r="E3345" s="79">
        <v>113.03999999999999</v>
      </c>
      <c r="F3345" s="70">
        <v>113.04</v>
      </c>
      <c r="G3345" s="320"/>
      <c r="H3345" s="79">
        <v>71.179999999999993</v>
      </c>
      <c r="I3345" s="79">
        <v>41.86</v>
      </c>
      <c r="J3345" s="79">
        <v>113.03999999999999</v>
      </c>
      <c r="K3345" s="79">
        <v>0</v>
      </c>
      <c r="L3345" s="70">
        <v>113.03999999999999</v>
      </c>
      <c r="M3345" s="132"/>
      <c r="N3345" s="79">
        <v>71.179999999999993</v>
      </c>
      <c r="O3345" s="79">
        <v>41.86</v>
      </c>
      <c r="P3345" s="79">
        <v>113.03999999999999</v>
      </c>
      <c r="Q3345" s="136"/>
      <c r="R3345" s="79">
        <v>71.180000000000007</v>
      </c>
      <c r="S3345" s="79">
        <v>41.87</v>
      </c>
      <c r="T3345" s="79">
        <v>113.05000000000001</v>
      </c>
      <c r="U3345" s="79">
        <v>0</v>
      </c>
      <c r="V3345" s="189">
        <v>113.05000000000001</v>
      </c>
      <c r="X3345" s="79">
        <v>71.180000000000007</v>
      </c>
      <c r="Y3345" s="79">
        <v>41.87</v>
      </c>
      <c r="Z3345" s="79">
        <v>113.05</v>
      </c>
      <c r="AA3345" s="255">
        <v>-9.9999999999909051E-3</v>
      </c>
      <c r="AC3345" s="254"/>
    </row>
    <row r="3346" spans="1:29" ht="12">
      <c r="A3346" s="67" t="s">
        <v>17014</v>
      </c>
      <c r="B3346" s="65" t="s">
        <v>17015</v>
      </c>
      <c r="C3346" s="71" t="s">
        <v>103</v>
      </c>
      <c r="D3346" s="78">
        <v>1</v>
      </c>
      <c r="E3346" s="79">
        <v>145.41000000000003</v>
      </c>
      <c r="F3346" s="70">
        <v>145.41</v>
      </c>
      <c r="G3346" s="320"/>
      <c r="H3346" s="79">
        <v>95.15</v>
      </c>
      <c r="I3346" s="79">
        <v>50.260000000000005</v>
      </c>
      <c r="J3346" s="79">
        <v>145.41000000000003</v>
      </c>
      <c r="K3346" s="79">
        <v>0</v>
      </c>
      <c r="L3346" s="70">
        <v>145.41000000000003</v>
      </c>
      <c r="M3346" s="132"/>
      <c r="N3346" s="79">
        <v>95.15</v>
      </c>
      <c r="O3346" s="79">
        <v>50.260000000000005</v>
      </c>
      <c r="P3346" s="79">
        <v>145.41000000000003</v>
      </c>
      <c r="Q3346" s="136"/>
      <c r="R3346" s="79">
        <v>95.15</v>
      </c>
      <c r="S3346" s="79">
        <v>50.25</v>
      </c>
      <c r="T3346" s="79">
        <v>145.4</v>
      </c>
      <c r="U3346" s="79">
        <v>0</v>
      </c>
      <c r="V3346" s="189">
        <v>145.4</v>
      </c>
      <c r="X3346" s="79">
        <v>95.15</v>
      </c>
      <c r="Y3346" s="79">
        <v>50.25</v>
      </c>
      <c r="Z3346" s="79">
        <v>145.4</v>
      </c>
      <c r="AA3346" s="255">
        <v>9.9999999999909051E-3</v>
      </c>
      <c r="AC3346" s="254"/>
    </row>
    <row r="3347" spans="1:29" ht="12">
      <c r="A3347" s="67" t="s">
        <v>17016</v>
      </c>
      <c r="B3347" s="65" t="s">
        <v>17017</v>
      </c>
      <c r="C3347" s="71" t="s">
        <v>103</v>
      </c>
      <c r="D3347" s="78">
        <v>1</v>
      </c>
      <c r="E3347" s="79">
        <v>171.59999999999997</v>
      </c>
      <c r="F3347" s="70">
        <v>171.6</v>
      </c>
      <c r="G3347" s="320"/>
      <c r="H3347" s="79">
        <v>115.77</v>
      </c>
      <c r="I3347" s="79">
        <v>55.83</v>
      </c>
      <c r="J3347" s="79">
        <v>171.6</v>
      </c>
      <c r="K3347" s="79">
        <v>0</v>
      </c>
      <c r="L3347" s="70">
        <v>171.6</v>
      </c>
      <c r="M3347" s="132"/>
      <c r="N3347" s="79">
        <v>115.77</v>
      </c>
      <c r="O3347" s="79">
        <v>55.83</v>
      </c>
      <c r="P3347" s="79">
        <v>171.6</v>
      </c>
      <c r="Q3347" s="136"/>
      <c r="R3347" s="79">
        <v>115.77</v>
      </c>
      <c r="S3347" s="79">
        <v>55.83</v>
      </c>
      <c r="T3347" s="79">
        <v>171.6</v>
      </c>
      <c r="U3347" s="79">
        <v>0</v>
      </c>
      <c r="V3347" s="189">
        <v>171.6</v>
      </c>
      <c r="X3347" s="79">
        <v>115.77</v>
      </c>
      <c r="Y3347" s="79">
        <v>55.83</v>
      </c>
      <c r="Z3347" s="79">
        <v>171.6</v>
      </c>
      <c r="AA3347" s="255">
        <v>0</v>
      </c>
      <c r="AC3347" s="254"/>
    </row>
    <row r="3348" spans="1:29" ht="12">
      <c r="A3348" s="67" t="s">
        <v>17018</v>
      </c>
      <c r="B3348" s="65" t="s">
        <v>17019</v>
      </c>
      <c r="C3348" s="71" t="s">
        <v>103</v>
      </c>
      <c r="D3348" s="78">
        <v>1</v>
      </c>
      <c r="E3348" s="79">
        <v>256.81</v>
      </c>
      <c r="F3348" s="70">
        <v>256.81</v>
      </c>
      <c r="G3348" s="320"/>
      <c r="H3348" s="79">
        <v>187.02</v>
      </c>
      <c r="I3348" s="79">
        <v>69.789999999999992</v>
      </c>
      <c r="J3348" s="79">
        <v>256.81</v>
      </c>
      <c r="K3348" s="79">
        <v>0</v>
      </c>
      <c r="L3348" s="70">
        <v>256.81</v>
      </c>
      <c r="M3348" s="132"/>
      <c r="N3348" s="79">
        <v>187.02</v>
      </c>
      <c r="O3348" s="79">
        <v>69.789999999999992</v>
      </c>
      <c r="P3348" s="79">
        <v>256.81</v>
      </c>
      <c r="Q3348" s="136"/>
      <c r="R3348" s="79">
        <v>187.02</v>
      </c>
      <c r="S3348" s="79">
        <v>69.790000000000006</v>
      </c>
      <c r="T3348" s="79">
        <v>256.81</v>
      </c>
      <c r="U3348" s="79">
        <v>0</v>
      </c>
      <c r="V3348" s="189">
        <v>256.81</v>
      </c>
      <c r="X3348" s="79">
        <v>187.02</v>
      </c>
      <c r="Y3348" s="79">
        <v>69.790000000000006</v>
      </c>
      <c r="Z3348" s="79">
        <v>256.81</v>
      </c>
      <c r="AA3348" s="255">
        <v>0</v>
      </c>
      <c r="AC3348" s="254"/>
    </row>
    <row r="3349" spans="1:29" ht="12">
      <c r="A3349" s="67" t="s">
        <v>17020</v>
      </c>
      <c r="B3349" s="65" t="s">
        <v>17021</v>
      </c>
      <c r="C3349" s="71" t="s">
        <v>103</v>
      </c>
      <c r="D3349" s="78">
        <v>1</v>
      </c>
      <c r="E3349" s="79">
        <v>491.28</v>
      </c>
      <c r="F3349" s="70">
        <v>491.28</v>
      </c>
      <c r="G3349" s="320"/>
      <c r="H3349" s="79">
        <v>407.52</v>
      </c>
      <c r="I3349" s="79">
        <v>83.76</v>
      </c>
      <c r="J3349" s="79">
        <v>491.28</v>
      </c>
      <c r="K3349" s="79">
        <v>0</v>
      </c>
      <c r="L3349" s="70">
        <v>491.28</v>
      </c>
      <c r="M3349" s="132"/>
      <c r="N3349" s="79">
        <v>407.52</v>
      </c>
      <c r="O3349" s="79">
        <v>83.76</v>
      </c>
      <c r="P3349" s="79">
        <v>491.28</v>
      </c>
      <c r="Q3349" s="136"/>
      <c r="R3349" s="79">
        <v>407.52</v>
      </c>
      <c r="S3349" s="79">
        <v>83.75</v>
      </c>
      <c r="T3349" s="79">
        <v>491.27</v>
      </c>
      <c r="U3349" s="79">
        <v>0</v>
      </c>
      <c r="V3349" s="189">
        <v>491.27</v>
      </c>
      <c r="X3349" s="79">
        <v>407.52</v>
      </c>
      <c r="Y3349" s="79">
        <v>83.75</v>
      </c>
      <c r="Z3349" s="79">
        <v>491.27</v>
      </c>
      <c r="AA3349" s="255">
        <v>9.9999999999909051E-3</v>
      </c>
      <c r="AC3349" s="254"/>
    </row>
    <row r="3350" spans="1:29" ht="12">
      <c r="A3350" s="67" t="s">
        <v>17022</v>
      </c>
      <c r="B3350" s="65" t="s">
        <v>17023</v>
      </c>
      <c r="C3350" s="71" t="s">
        <v>103</v>
      </c>
      <c r="D3350" s="78">
        <v>1</v>
      </c>
      <c r="E3350" s="79">
        <v>784.92</v>
      </c>
      <c r="F3350" s="70">
        <v>784.92</v>
      </c>
      <c r="G3350" s="320"/>
      <c r="H3350" s="79">
        <v>673.27</v>
      </c>
      <c r="I3350" s="79">
        <v>111.65</v>
      </c>
      <c r="J3350" s="79">
        <v>784.92</v>
      </c>
      <c r="K3350" s="79">
        <v>0</v>
      </c>
      <c r="L3350" s="70">
        <v>784.92</v>
      </c>
      <c r="M3350" s="132"/>
      <c r="N3350" s="79">
        <v>673.27</v>
      </c>
      <c r="O3350" s="79">
        <v>111.65</v>
      </c>
      <c r="P3350" s="79">
        <v>784.92</v>
      </c>
      <c r="Q3350" s="136"/>
      <c r="R3350" s="79">
        <v>673.27</v>
      </c>
      <c r="S3350" s="79">
        <v>111.66</v>
      </c>
      <c r="T3350" s="79">
        <v>784.93</v>
      </c>
      <c r="U3350" s="79">
        <v>0</v>
      </c>
      <c r="V3350" s="189">
        <v>784.93</v>
      </c>
      <c r="X3350" s="79">
        <v>673.27</v>
      </c>
      <c r="Y3350" s="79">
        <v>111.66</v>
      </c>
      <c r="Z3350" s="79">
        <v>784.93</v>
      </c>
      <c r="AA3350" s="255">
        <v>-9.9999999999909051E-3</v>
      </c>
      <c r="AC3350" s="254"/>
    </row>
    <row r="3351" spans="1:29" ht="12">
      <c r="A3351" s="67" t="s">
        <v>17024</v>
      </c>
      <c r="B3351" s="65" t="s">
        <v>17025</v>
      </c>
      <c r="C3351" s="71" t="s">
        <v>103</v>
      </c>
      <c r="D3351" s="78">
        <v>1</v>
      </c>
      <c r="E3351" s="79">
        <v>1329.39</v>
      </c>
      <c r="F3351" s="70">
        <v>1329.39</v>
      </c>
      <c r="G3351" s="320"/>
      <c r="H3351" s="79">
        <v>1161.9100000000001</v>
      </c>
      <c r="I3351" s="79">
        <v>167.48</v>
      </c>
      <c r="J3351" s="79">
        <v>1329.39</v>
      </c>
      <c r="K3351" s="79">
        <v>0</v>
      </c>
      <c r="L3351" s="70">
        <v>1329.39</v>
      </c>
      <c r="M3351" s="132"/>
      <c r="N3351" s="79">
        <v>1161.9100000000001</v>
      </c>
      <c r="O3351" s="79">
        <v>167.48</v>
      </c>
      <c r="P3351" s="79">
        <v>1329.39</v>
      </c>
      <c r="Q3351" s="136"/>
      <c r="R3351" s="79">
        <v>1161.9100000000001</v>
      </c>
      <c r="S3351" s="79">
        <v>167.49</v>
      </c>
      <c r="T3351" s="79">
        <v>1329.4</v>
      </c>
      <c r="U3351" s="79">
        <v>0</v>
      </c>
      <c r="V3351" s="189">
        <v>1329.4</v>
      </c>
      <c r="X3351" s="79">
        <v>1161.9100000000001</v>
      </c>
      <c r="Y3351" s="79">
        <v>167.49</v>
      </c>
      <c r="Z3351" s="79">
        <v>1329.4</v>
      </c>
      <c r="AA3351" s="255">
        <v>-9.9999999999909051E-3</v>
      </c>
      <c r="AC3351" s="254"/>
    </row>
    <row r="3352" spans="1:29" ht="12">
      <c r="A3352" s="67" t="s">
        <v>17026</v>
      </c>
      <c r="B3352" s="65" t="s">
        <v>17027</v>
      </c>
      <c r="C3352" s="71" t="s">
        <v>103</v>
      </c>
      <c r="D3352" s="78">
        <v>1</v>
      </c>
      <c r="E3352" s="79">
        <v>103.6</v>
      </c>
      <c r="F3352" s="70">
        <v>103.6</v>
      </c>
      <c r="G3352" s="320"/>
      <c r="H3352" s="79">
        <v>70.099999999999994</v>
      </c>
      <c r="I3352" s="79">
        <v>33.5</v>
      </c>
      <c r="J3352" s="79">
        <v>103.6</v>
      </c>
      <c r="K3352" s="79">
        <v>0</v>
      </c>
      <c r="L3352" s="70">
        <v>103.6</v>
      </c>
      <c r="M3352" s="132"/>
      <c r="N3352" s="79">
        <v>70.099999999999994</v>
      </c>
      <c r="O3352" s="79">
        <v>33.5</v>
      </c>
      <c r="P3352" s="79">
        <v>103.6</v>
      </c>
      <c r="Q3352" s="136"/>
      <c r="R3352" s="79">
        <v>70.099999999999994</v>
      </c>
      <c r="S3352" s="79">
        <v>33.5</v>
      </c>
      <c r="T3352" s="79">
        <v>103.6</v>
      </c>
      <c r="U3352" s="79">
        <v>0</v>
      </c>
      <c r="V3352" s="189">
        <v>103.6</v>
      </c>
      <c r="X3352" s="79">
        <v>70.099999999999994</v>
      </c>
      <c r="Y3352" s="79">
        <v>33.5</v>
      </c>
      <c r="Z3352" s="79">
        <v>103.6</v>
      </c>
      <c r="AA3352" s="255">
        <v>0</v>
      </c>
      <c r="AC3352" s="254"/>
    </row>
    <row r="3353" spans="1:29" ht="24">
      <c r="A3353" s="67" t="s">
        <v>17028</v>
      </c>
      <c r="B3353" s="65" t="s">
        <v>17029</v>
      </c>
      <c r="C3353" s="71" t="s">
        <v>103</v>
      </c>
      <c r="D3353" s="78">
        <v>1</v>
      </c>
      <c r="E3353" s="79">
        <v>60.460000000000008</v>
      </c>
      <c r="F3353" s="70">
        <v>60.46</v>
      </c>
      <c r="G3353" s="320"/>
      <c r="H3353" s="79">
        <v>35.330000000000005</v>
      </c>
      <c r="I3353" s="79">
        <v>25.130000000000003</v>
      </c>
      <c r="J3353" s="79">
        <v>60.460000000000008</v>
      </c>
      <c r="K3353" s="79">
        <v>0</v>
      </c>
      <c r="L3353" s="70">
        <v>60.460000000000008</v>
      </c>
      <c r="M3353" s="132"/>
      <c r="N3353" s="79">
        <v>35.330000000000005</v>
      </c>
      <c r="O3353" s="79">
        <v>25.130000000000003</v>
      </c>
      <c r="P3353" s="79">
        <v>60.460000000000008</v>
      </c>
      <c r="Q3353" s="136"/>
      <c r="R3353" s="79">
        <v>35.33</v>
      </c>
      <c r="S3353" s="79">
        <v>25.12</v>
      </c>
      <c r="T3353" s="79">
        <v>60.45</v>
      </c>
      <c r="U3353" s="79">
        <v>0</v>
      </c>
      <c r="V3353" s="189">
        <v>60.45</v>
      </c>
      <c r="X3353" s="79">
        <v>35.33</v>
      </c>
      <c r="Y3353" s="79">
        <v>25.12</v>
      </c>
      <c r="Z3353" s="79">
        <v>60.45</v>
      </c>
      <c r="AA3353" s="255">
        <v>9.9999999999980105E-3</v>
      </c>
      <c r="AC3353" s="254"/>
    </row>
    <row r="3354" spans="1:29" ht="24">
      <c r="A3354" s="67" t="s">
        <v>17030</v>
      </c>
      <c r="B3354" s="65" t="s">
        <v>17031</v>
      </c>
      <c r="C3354" s="71" t="s">
        <v>103</v>
      </c>
      <c r="D3354" s="78">
        <v>1</v>
      </c>
      <c r="E3354" s="79">
        <v>106.74000000000001</v>
      </c>
      <c r="F3354" s="70">
        <v>106.74</v>
      </c>
      <c r="G3354" s="320"/>
      <c r="H3354" s="79">
        <v>81.61</v>
      </c>
      <c r="I3354" s="79">
        <v>25.130000000000003</v>
      </c>
      <c r="J3354" s="79">
        <v>106.74000000000001</v>
      </c>
      <c r="K3354" s="79">
        <v>0</v>
      </c>
      <c r="L3354" s="70">
        <v>106.74000000000001</v>
      </c>
      <c r="M3354" s="132"/>
      <c r="N3354" s="79">
        <v>81.61</v>
      </c>
      <c r="O3354" s="79">
        <v>25.130000000000003</v>
      </c>
      <c r="P3354" s="79">
        <v>106.74000000000001</v>
      </c>
      <c r="Q3354" s="136"/>
      <c r="R3354" s="79">
        <v>81.61</v>
      </c>
      <c r="S3354" s="79">
        <v>25.12</v>
      </c>
      <c r="T3354" s="79">
        <v>106.73</v>
      </c>
      <c r="U3354" s="79">
        <v>0</v>
      </c>
      <c r="V3354" s="189">
        <v>106.73</v>
      </c>
      <c r="X3354" s="79">
        <v>81.61</v>
      </c>
      <c r="Y3354" s="79">
        <v>25.12</v>
      </c>
      <c r="Z3354" s="79">
        <v>106.73</v>
      </c>
      <c r="AA3354" s="255">
        <v>9.9999999999909051E-3</v>
      </c>
      <c r="AC3354" s="254"/>
    </row>
    <row r="3355" spans="1:29" ht="12">
      <c r="A3355" s="67" t="s">
        <v>17032</v>
      </c>
      <c r="B3355" s="65" t="s">
        <v>17033</v>
      </c>
      <c r="C3355" s="71" t="s">
        <v>103</v>
      </c>
      <c r="D3355" s="78">
        <v>1</v>
      </c>
      <c r="E3355" s="79">
        <v>97.63000000000001</v>
      </c>
      <c r="F3355" s="70">
        <v>97.63</v>
      </c>
      <c r="G3355" s="320"/>
      <c r="H3355" s="79">
        <v>72.5</v>
      </c>
      <c r="I3355" s="79">
        <v>25.130000000000003</v>
      </c>
      <c r="J3355" s="79">
        <v>97.63</v>
      </c>
      <c r="K3355" s="79">
        <v>0</v>
      </c>
      <c r="L3355" s="70">
        <v>97.63</v>
      </c>
      <c r="M3355" s="132"/>
      <c r="N3355" s="79">
        <v>72.5</v>
      </c>
      <c r="O3355" s="79">
        <v>25.130000000000003</v>
      </c>
      <c r="P3355" s="79">
        <v>97.63</v>
      </c>
      <c r="Q3355" s="136"/>
      <c r="R3355" s="79">
        <v>72.5</v>
      </c>
      <c r="S3355" s="79">
        <v>25.12</v>
      </c>
      <c r="T3355" s="79">
        <v>97.62</v>
      </c>
      <c r="U3355" s="79">
        <v>0</v>
      </c>
      <c r="V3355" s="189">
        <v>97.62</v>
      </c>
      <c r="X3355" s="79">
        <v>72.5</v>
      </c>
      <c r="Y3355" s="79">
        <v>25.12</v>
      </c>
      <c r="Z3355" s="79">
        <v>97.62</v>
      </c>
      <c r="AA3355" s="255">
        <v>9.9999999999909051E-3</v>
      </c>
      <c r="AC3355" s="254"/>
    </row>
    <row r="3356" spans="1:29" ht="24">
      <c r="A3356" s="67" t="s">
        <v>17034</v>
      </c>
      <c r="B3356" s="65" t="s">
        <v>17035</v>
      </c>
      <c r="C3356" s="71" t="s">
        <v>103</v>
      </c>
      <c r="D3356" s="78">
        <v>1</v>
      </c>
      <c r="E3356" s="79">
        <v>128.69</v>
      </c>
      <c r="F3356" s="70">
        <v>128.69</v>
      </c>
      <c r="G3356" s="320"/>
      <c r="H3356" s="79">
        <v>100.75</v>
      </c>
      <c r="I3356" s="79">
        <v>27.939999999999998</v>
      </c>
      <c r="J3356" s="79">
        <v>128.69</v>
      </c>
      <c r="K3356" s="79">
        <v>0</v>
      </c>
      <c r="L3356" s="70">
        <v>128.69</v>
      </c>
      <c r="M3356" s="132"/>
      <c r="N3356" s="79">
        <v>100.75</v>
      </c>
      <c r="O3356" s="79">
        <v>27.939999999999998</v>
      </c>
      <c r="P3356" s="79">
        <v>128.69</v>
      </c>
      <c r="Q3356" s="136"/>
      <c r="R3356" s="79">
        <v>100.75</v>
      </c>
      <c r="S3356" s="79">
        <v>27.92</v>
      </c>
      <c r="T3356" s="79">
        <v>128.67000000000002</v>
      </c>
      <c r="U3356" s="79">
        <v>0</v>
      </c>
      <c r="V3356" s="189">
        <v>128.67000000000002</v>
      </c>
      <c r="X3356" s="79">
        <v>100.75</v>
      </c>
      <c r="Y3356" s="79">
        <v>27.92</v>
      </c>
      <c r="Z3356" s="79">
        <v>128.66999999999999</v>
      </c>
      <c r="AA3356" s="255">
        <v>2.0000000000010232E-2</v>
      </c>
      <c r="AC3356" s="254"/>
    </row>
    <row r="3357" spans="1:29" ht="12">
      <c r="A3357" s="67" t="s">
        <v>17036</v>
      </c>
      <c r="B3357" s="65" t="s">
        <v>17037</v>
      </c>
      <c r="C3357" s="71" t="s">
        <v>103</v>
      </c>
      <c r="D3357" s="78">
        <v>1</v>
      </c>
      <c r="E3357" s="79">
        <v>278.51</v>
      </c>
      <c r="F3357" s="70">
        <v>278.51</v>
      </c>
      <c r="G3357" s="320"/>
      <c r="H3357" s="79">
        <v>253.38</v>
      </c>
      <c r="I3357" s="79">
        <v>25.130000000000003</v>
      </c>
      <c r="J3357" s="79">
        <v>278.51</v>
      </c>
      <c r="K3357" s="79">
        <v>0</v>
      </c>
      <c r="L3357" s="70">
        <v>278.51</v>
      </c>
      <c r="M3357" s="132"/>
      <c r="N3357" s="79">
        <v>253.38</v>
      </c>
      <c r="O3357" s="79">
        <v>25.130000000000003</v>
      </c>
      <c r="P3357" s="79">
        <v>278.51</v>
      </c>
      <c r="Q3357" s="136"/>
      <c r="R3357" s="79">
        <v>253.38</v>
      </c>
      <c r="S3357" s="79">
        <v>25.12</v>
      </c>
      <c r="T3357" s="79">
        <v>278.5</v>
      </c>
      <c r="U3357" s="79">
        <v>0</v>
      </c>
      <c r="V3357" s="189">
        <v>278.5</v>
      </c>
      <c r="X3357" s="79">
        <v>253.38</v>
      </c>
      <c r="Y3357" s="79">
        <v>25.12</v>
      </c>
      <c r="Z3357" s="79">
        <v>278.5</v>
      </c>
      <c r="AA3357" s="255">
        <v>9.9999999999909051E-3</v>
      </c>
      <c r="AC3357" s="254"/>
    </row>
    <row r="3358" spans="1:29" ht="12">
      <c r="A3358" s="67" t="s">
        <v>17038</v>
      </c>
      <c r="B3358" s="65" t="s">
        <v>17039</v>
      </c>
      <c r="C3358" s="71" t="s">
        <v>103</v>
      </c>
      <c r="D3358" s="78">
        <v>1</v>
      </c>
      <c r="E3358" s="79">
        <v>1304.81</v>
      </c>
      <c r="F3358" s="70">
        <v>1304.81</v>
      </c>
      <c r="G3358" s="320"/>
      <c r="H3358" s="79">
        <v>1248.98</v>
      </c>
      <c r="I3358" s="79">
        <v>55.83</v>
      </c>
      <c r="J3358" s="79">
        <v>1304.81</v>
      </c>
      <c r="K3358" s="79">
        <v>0</v>
      </c>
      <c r="L3358" s="70">
        <v>1304.81</v>
      </c>
      <c r="M3358" s="132"/>
      <c r="N3358" s="79">
        <v>1248.98</v>
      </c>
      <c r="O3358" s="79">
        <v>55.83</v>
      </c>
      <c r="P3358" s="79">
        <v>1304.81</v>
      </c>
      <c r="Q3358" s="136"/>
      <c r="R3358" s="79">
        <v>1248.98</v>
      </c>
      <c r="S3358" s="79">
        <v>55.83</v>
      </c>
      <c r="T3358" s="79">
        <v>1304.81</v>
      </c>
      <c r="U3358" s="79">
        <v>0</v>
      </c>
      <c r="V3358" s="189">
        <v>1304.81</v>
      </c>
      <c r="X3358" s="79">
        <v>1248.98</v>
      </c>
      <c r="Y3358" s="79">
        <v>55.83</v>
      </c>
      <c r="Z3358" s="79">
        <v>1304.81</v>
      </c>
      <c r="AA3358" s="255">
        <v>0</v>
      </c>
      <c r="AC3358" s="254"/>
    </row>
    <row r="3359" spans="1:29" ht="12">
      <c r="A3359" s="489" t="s">
        <v>17040</v>
      </c>
      <c r="B3359" s="490" t="s">
        <v>17041</v>
      </c>
      <c r="C3359" s="491"/>
      <c r="D3359" s="492"/>
      <c r="E3359" s="79"/>
      <c r="F3359" s="63"/>
      <c r="G3359" s="320"/>
      <c r="H3359" s="79"/>
      <c r="I3359" s="79"/>
      <c r="J3359" s="79"/>
      <c r="K3359" s="79"/>
      <c r="L3359" s="70"/>
      <c r="M3359" s="132"/>
      <c r="N3359" s="79"/>
      <c r="O3359" s="79"/>
      <c r="P3359" s="79"/>
      <c r="Q3359" s="136"/>
      <c r="R3359" s="79"/>
      <c r="S3359" s="79"/>
      <c r="T3359" s="79"/>
      <c r="U3359" s="79"/>
      <c r="V3359" s="189"/>
      <c r="X3359" s="79"/>
      <c r="Y3359" s="79"/>
      <c r="Z3359" s="79"/>
      <c r="AA3359" s="255"/>
      <c r="AC3359" s="254"/>
    </row>
    <row r="3360" spans="1:29" ht="12">
      <c r="A3360" s="67" t="s">
        <v>17042</v>
      </c>
      <c r="B3360" s="65" t="s">
        <v>17043</v>
      </c>
      <c r="C3360" s="71" t="s">
        <v>103</v>
      </c>
      <c r="D3360" s="78">
        <v>1</v>
      </c>
      <c r="E3360" s="79">
        <v>84.16</v>
      </c>
      <c r="F3360" s="70">
        <v>84.16</v>
      </c>
      <c r="G3360" s="320"/>
      <c r="H3360" s="79">
        <v>59.029999999999994</v>
      </c>
      <c r="I3360" s="79">
        <v>25.130000000000003</v>
      </c>
      <c r="J3360" s="79">
        <v>84.16</v>
      </c>
      <c r="K3360" s="79">
        <v>0</v>
      </c>
      <c r="L3360" s="70">
        <v>84.16</v>
      </c>
      <c r="M3360" s="132"/>
      <c r="N3360" s="79">
        <v>59.029999999999994</v>
      </c>
      <c r="O3360" s="79">
        <v>25.130000000000003</v>
      </c>
      <c r="P3360" s="79">
        <v>84.16</v>
      </c>
      <c r="Q3360" s="136"/>
      <c r="R3360" s="79">
        <v>59.03</v>
      </c>
      <c r="S3360" s="79">
        <v>25.12</v>
      </c>
      <c r="T3360" s="79">
        <v>84.15</v>
      </c>
      <c r="U3360" s="79">
        <v>0</v>
      </c>
      <c r="V3360" s="189">
        <v>84.15</v>
      </c>
      <c r="X3360" s="79">
        <v>59.03</v>
      </c>
      <c r="Y3360" s="79">
        <v>25.12</v>
      </c>
      <c r="Z3360" s="79">
        <v>84.15</v>
      </c>
      <c r="AA3360" s="255">
        <v>9.9999999999909051E-3</v>
      </c>
      <c r="AC3360" s="254"/>
    </row>
    <row r="3361" spans="1:29" ht="12">
      <c r="A3361" s="67" t="s">
        <v>17044</v>
      </c>
      <c r="B3361" s="65" t="s">
        <v>17045</v>
      </c>
      <c r="C3361" s="71" t="s">
        <v>103</v>
      </c>
      <c r="D3361" s="78">
        <v>1</v>
      </c>
      <c r="E3361" s="79">
        <v>69.569999999999993</v>
      </c>
      <c r="F3361" s="70">
        <v>69.569999999999993</v>
      </c>
      <c r="G3361" s="320"/>
      <c r="H3361" s="79">
        <v>44.44</v>
      </c>
      <c r="I3361" s="79">
        <v>25.130000000000003</v>
      </c>
      <c r="J3361" s="79">
        <v>69.569999999999993</v>
      </c>
      <c r="K3361" s="79">
        <v>0</v>
      </c>
      <c r="L3361" s="70">
        <v>69.569999999999993</v>
      </c>
      <c r="M3361" s="132"/>
      <c r="N3361" s="79">
        <v>44.44</v>
      </c>
      <c r="O3361" s="79">
        <v>25.130000000000003</v>
      </c>
      <c r="P3361" s="79">
        <v>69.569999999999993</v>
      </c>
      <c r="Q3361" s="136"/>
      <c r="R3361" s="79">
        <v>44.44</v>
      </c>
      <c r="S3361" s="79">
        <v>25.12</v>
      </c>
      <c r="T3361" s="79">
        <v>69.56</v>
      </c>
      <c r="U3361" s="79">
        <v>0</v>
      </c>
      <c r="V3361" s="189">
        <v>69.56</v>
      </c>
      <c r="X3361" s="79">
        <v>44.44</v>
      </c>
      <c r="Y3361" s="79">
        <v>25.12</v>
      </c>
      <c r="Z3361" s="79">
        <v>69.56</v>
      </c>
      <c r="AA3361" s="255">
        <v>9.9999999999909051E-3</v>
      </c>
      <c r="AC3361" s="254"/>
    </row>
    <row r="3362" spans="1:29" ht="12">
      <c r="A3362" s="67" t="s">
        <v>17046</v>
      </c>
      <c r="B3362" s="65" t="s">
        <v>17047</v>
      </c>
      <c r="C3362" s="71" t="s">
        <v>103</v>
      </c>
      <c r="D3362" s="78">
        <v>1</v>
      </c>
      <c r="E3362" s="79">
        <v>114.66999999999999</v>
      </c>
      <c r="F3362" s="70">
        <v>114.67</v>
      </c>
      <c r="G3362" s="320"/>
      <c r="H3362" s="79">
        <v>89.539999999999992</v>
      </c>
      <c r="I3362" s="79">
        <v>25.130000000000003</v>
      </c>
      <c r="J3362" s="79">
        <v>114.66999999999999</v>
      </c>
      <c r="K3362" s="79">
        <v>0</v>
      </c>
      <c r="L3362" s="70">
        <v>114.66999999999999</v>
      </c>
      <c r="M3362" s="132"/>
      <c r="N3362" s="79">
        <v>89.539999999999992</v>
      </c>
      <c r="O3362" s="79">
        <v>25.130000000000003</v>
      </c>
      <c r="P3362" s="79">
        <v>114.66999999999999</v>
      </c>
      <c r="Q3362" s="136"/>
      <c r="R3362" s="79">
        <v>89.54</v>
      </c>
      <c r="S3362" s="79">
        <v>25.12</v>
      </c>
      <c r="T3362" s="79">
        <v>114.66000000000001</v>
      </c>
      <c r="U3362" s="79">
        <v>0</v>
      </c>
      <c r="V3362" s="189">
        <v>114.66000000000001</v>
      </c>
      <c r="X3362" s="79">
        <v>89.54</v>
      </c>
      <c r="Y3362" s="79">
        <v>25.12</v>
      </c>
      <c r="Z3362" s="79">
        <v>114.66</v>
      </c>
      <c r="AA3362" s="255">
        <v>1.0000000000005116E-2</v>
      </c>
      <c r="AC3362" s="254"/>
    </row>
    <row r="3363" spans="1:29" ht="12">
      <c r="A3363" s="67" t="s">
        <v>17048</v>
      </c>
      <c r="B3363" s="65" t="s">
        <v>17049</v>
      </c>
      <c r="C3363" s="71" t="s">
        <v>103</v>
      </c>
      <c r="D3363" s="78">
        <v>1</v>
      </c>
      <c r="E3363" s="79">
        <v>168.24</v>
      </c>
      <c r="F3363" s="70">
        <v>168.24</v>
      </c>
      <c r="G3363" s="320"/>
      <c r="H3363" s="79">
        <v>143.11000000000001</v>
      </c>
      <c r="I3363" s="79">
        <v>25.130000000000003</v>
      </c>
      <c r="J3363" s="79">
        <v>168.24</v>
      </c>
      <c r="K3363" s="79">
        <v>0</v>
      </c>
      <c r="L3363" s="70">
        <v>168.24</v>
      </c>
      <c r="M3363" s="132"/>
      <c r="N3363" s="79">
        <v>143.11000000000001</v>
      </c>
      <c r="O3363" s="79">
        <v>25.130000000000003</v>
      </c>
      <c r="P3363" s="79">
        <v>168.24</v>
      </c>
      <c r="Q3363" s="136"/>
      <c r="R3363" s="79">
        <v>143.11000000000001</v>
      </c>
      <c r="S3363" s="79">
        <v>25.12</v>
      </c>
      <c r="T3363" s="79">
        <v>168.23000000000002</v>
      </c>
      <c r="U3363" s="79">
        <v>0</v>
      </c>
      <c r="V3363" s="189">
        <v>168.23000000000002</v>
      </c>
      <c r="X3363" s="79">
        <v>143.11000000000001</v>
      </c>
      <c r="Y3363" s="79">
        <v>25.12</v>
      </c>
      <c r="Z3363" s="79">
        <v>168.23</v>
      </c>
      <c r="AA3363" s="255">
        <v>1.0000000000019327E-2</v>
      </c>
      <c r="AC3363" s="254"/>
    </row>
    <row r="3364" spans="1:29" ht="12">
      <c r="A3364" s="67" t="s">
        <v>17050</v>
      </c>
      <c r="B3364" s="65" t="s">
        <v>17051</v>
      </c>
      <c r="C3364" s="71" t="s">
        <v>103</v>
      </c>
      <c r="D3364" s="78">
        <v>1</v>
      </c>
      <c r="E3364" s="79">
        <v>204.45</v>
      </c>
      <c r="F3364" s="70">
        <v>204.45</v>
      </c>
      <c r="G3364" s="320"/>
      <c r="H3364" s="79">
        <v>179.32</v>
      </c>
      <c r="I3364" s="79">
        <v>25.130000000000003</v>
      </c>
      <c r="J3364" s="79">
        <v>204.45</v>
      </c>
      <c r="K3364" s="79">
        <v>0</v>
      </c>
      <c r="L3364" s="70">
        <v>204.45</v>
      </c>
      <c r="M3364" s="132"/>
      <c r="N3364" s="79">
        <v>179.32</v>
      </c>
      <c r="O3364" s="79">
        <v>25.130000000000003</v>
      </c>
      <c r="P3364" s="79">
        <v>204.45</v>
      </c>
      <c r="Q3364" s="136"/>
      <c r="R3364" s="79">
        <v>179.32</v>
      </c>
      <c r="S3364" s="79">
        <v>25.12</v>
      </c>
      <c r="T3364" s="79">
        <v>204.44</v>
      </c>
      <c r="U3364" s="79">
        <v>0</v>
      </c>
      <c r="V3364" s="189">
        <v>204.44</v>
      </c>
      <c r="X3364" s="79">
        <v>179.32</v>
      </c>
      <c r="Y3364" s="79">
        <v>25.12</v>
      </c>
      <c r="Z3364" s="79">
        <v>204.44</v>
      </c>
      <c r="AA3364" s="255">
        <v>9.9999999999909051E-3</v>
      </c>
      <c r="AC3364" s="254"/>
    </row>
    <row r="3365" spans="1:29" ht="12">
      <c r="A3365" s="67" t="s">
        <v>17052</v>
      </c>
      <c r="B3365" s="65" t="s">
        <v>17053</v>
      </c>
      <c r="C3365" s="71" t="s">
        <v>103</v>
      </c>
      <c r="D3365" s="78">
        <v>1</v>
      </c>
      <c r="E3365" s="79">
        <v>83.39</v>
      </c>
      <c r="F3365" s="70">
        <v>83.39</v>
      </c>
      <c r="G3365" s="320"/>
      <c r="H3365" s="79">
        <v>58.26</v>
      </c>
      <c r="I3365" s="79">
        <v>25.130000000000003</v>
      </c>
      <c r="J3365" s="79">
        <v>83.39</v>
      </c>
      <c r="K3365" s="79">
        <v>0</v>
      </c>
      <c r="L3365" s="70">
        <v>83.39</v>
      </c>
      <c r="M3365" s="132"/>
      <c r="N3365" s="79">
        <v>58.26</v>
      </c>
      <c r="O3365" s="79">
        <v>25.130000000000003</v>
      </c>
      <c r="P3365" s="79">
        <v>83.39</v>
      </c>
      <c r="Q3365" s="136"/>
      <c r="R3365" s="79">
        <v>58.26</v>
      </c>
      <c r="S3365" s="79">
        <v>25.12</v>
      </c>
      <c r="T3365" s="79">
        <v>83.38</v>
      </c>
      <c r="U3365" s="79">
        <v>0</v>
      </c>
      <c r="V3365" s="189">
        <v>83.38</v>
      </c>
      <c r="X3365" s="79">
        <v>58.26</v>
      </c>
      <c r="Y3365" s="79">
        <v>25.12</v>
      </c>
      <c r="Z3365" s="79">
        <v>83.38</v>
      </c>
      <c r="AA3365" s="255">
        <v>1.0000000000005116E-2</v>
      </c>
      <c r="AC3365" s="254"/>
    </row>
    <row r="3366" spans="1:29" ht="12">
      <c r="A3366" s="67" t="s">
        <v>17054</v>
      </c>
      <c r="B3366" s="65" t="s">
        <v>17055</v>
      </c>
      <c r="C3366" s="71" t="s">
        <v>103</v>
      </c>
      <c r="D3366" s="78">
        <v>1</v>
      </c>
      <c r="E3366" s="79">
        <v>74.47999999999999</v>
      </c>
      <c r="F3366" s="70">
        <v>74.48</v>
      </c>
      <c r="G3366" s="320"/>
      <c r="H3366" s="79">
        <v>49.35</v>
      </c>
      <c r="I3366" s="79">
        <v>25.130000000000003</v>
      </c>
      <c r="J3366" s="79">
        <v>74.48</v>
      </c>
      <c r="K3366" s="79">
        <v>0</v>
      </c>
      <c r="L3366" s="70">
        <v>74.48</v>
      </c>
      <c r="M3366" s="132"/>
      <c r="N3366" s="79">
        <v>49.35</v>
      </c>
      <c r="O3366" s="79">
        <v>25.130000000000003</v>
      </c>
      <c r="P3366" s="79">
        <v>74.48</v>
      </c>
      <c r="Q3366" s="136"/>
      <c r="R3366" s="79">
        <v>49.35</v>
      </c>
      <c r="S3366" s="79">
        <v>25.12</v>
      </c>
      <c r="T3366" s="79">
        <v>74.47</v>
      </c>
      <c r="U3366" s="79">
        <v>0</v>
      </c>
      <c r="V3366" s="189">
        <v>74.47</v>
      </c>
      <c r="X3366" s="79">
        <v>49.35</v>
      </c>
      <c r="Y3366" s="79">
        <v>25.12</v>
      </c>
      <c r="Z3366" s="79">
        <v>74.47</v>
      </c>
      <c r="AA3366" s="255">
        <v>1.0000000000005116E-2</v>
      </c>
      <c r="AC3366" s="254"/>
    </row>
    <row r="3367" spans="1:29" ht="24">
      <c r="A3367" s="67" t="s">
        <v>17056</v>
      </c>
      <c r="B3367" s="65" t="s">
        <v>17057</v>
      </c>
      <c r="C3367" s="71" t="s">
        <v>103</v>
      </c>
      <c r="D3367" s="78">
        <v>1</v>
      </c>
      <c r="E3367" s="79">
        <v>117.64</v>
      </c>
      <c r="F3367" s="70">
        <v>117.64</v>
      </c>
      <c r="G3367" s="320"/>
      <c r="H3367" s="79">
        <v>92.509999999999991</v>
      </c>
      <c r="I3367" s="79">
        <v>25.130000000000003</v>
      </c>
      <c r="J3367" s="79">
        <v>117.63999999999999</v>
      </c>
      <c r="K3367" s="79">
        <v>0</v>
      </c>
      <c r="L3367" s="70">
        <v>117.63999999999999</v>
      </c>
      <c r="M3367" s="132"/>
      <c r="N3367" s="79">
        <v>92.509999999999991</v>
      </c>
      <c r="O3367" s="79">
        <v>25.130000000000003</v>
      </c>
      <c r="P3367" s="79">
        <v>117.63999999999999</v>
      </c>
      <c r="Q3367" s="136"/>
      <c r="R3367" s="79">
        <v>92.51</v>
      </c>
      <c r="S3367" s="79">
        <v>25.12</v>
      </c>
      <c r="T3367" s="79">
        <v>117.63000000000001</v>
      </c>
      <c r="U3367" s="79">
        <v>0</v>
      </c>
      <c r="V3367" s="189">
        <v>117.63000000000001</v>
      </c>
      <c r="X3367" s="79">
        <v>92.51</v>
      </c>
      <c r="Y3367" s="79">
        <v>25.12</v>
      </c>
      <c r="Z3367" s="79">
        <v>117.63</v>
      </c>
      <c r="AA3367" s="255">
        <v>1.0000000000005116E-2</v>
      </c>
      <c r="AC3367" s="254"/>
    </row>
    <row r="3368" spans="1:29" ht="24">
      <c r="A3368" s="67" t="s">
        <v>17058</v>
      </c>
      <c r="B3368" s="65" t="s">
        <v>17059</v>
      </c>
      <c r="C3368" s="71" t="s">
        <v>103</v>
      </c>
      <c r="D3368" s="78">
        <v>1</v>
      </c>
      <c r="E3368" s="79">
        <v>124.92999999999999</v>
      </c>
      <c r="F3368" s="70">
        <v>124.93</v>
      </c>
      <c r="G3368" s="320"/>
      <c r="H3368" s="79">
        <v>99.8</v>
      </c>
      <c r="I3368" s="79">
        <v>25.130000000000003</v>
      </c>
      <c r="J3368" s="79">
        <v>124.93</v>
      </c>
      <c r="K3368" s="79">
        <v>0</v>
      </c>
      <c r="L3368" s="70">
        <v>124.93</v>
      </c>
      <c r="M3368" s="132"/>
      <c r="N3368" s="79">
        <v>99.8</v>
      </c>
      <c r="O3368" s="79">
        <v>25.130000000000003</v>
      </c>
      <c r="P3368" s="79">
        <v>124.93</v>
      </c>
      <c r="Q3368" s="136"/>
      <c r="R3368" s="79">
        <v>99.8</v>
      </c>
      <c r="S3368" s="79">
        <v>25.12</v>
      </c>
      <c r="T3368" s="79">
        <v>124.92</v>
      </c>
      <c r="U3368" s="79">
        <v>0</v>
      </c>
      <c r="V3368" s="189">
        <v>124.92</v>
      </c>
      <c r="X3368" s="79">
        <v>99.8</v>
      </c>
      <c r="Y3368" s="79">
        <v>25.12</v>
      </c>
      <c r="Z3368" s="79">
        <v>124.92</v>
      </c>
      <c r="AA3368" s="255">
        <v>1.0000000000005116E-2</v>
      </c>
      <c r="AC3368" s="254"/>
    </row>
    <row r="3369" spans="1:29" ht="12">
      <c r="A3369" s="489" t="s">
        <v>17060</v>
      </c>
      <c r="B3369" s="490" t="s">
        <v>17061</v>
      </c>
      <c r="C3369" s="491"/>
      <c r="D3369" s="492"/>
      <c r="E3369" s="79"/>
      <c r="F3369" s="63"/>
      <c r="G3369" s="320"/>
      <c r="H3369" s="79"/>
      <c r="I3369" s="79"/>
      <c r="J3369" s="79"/>
      <c r="K3369" s="79"/>
      <c r="L3369" s="70"/>
      <c r="M3369" s="132"/>
      <c r="N3369" s="79"/>
      <c r="O3369" s="79"/>
      <c r="P3369" s="79"/>
      <c r="Q3369" s="136"/>
      <c r="R3369" s="79"/>
      <c r="S3369" s="79"/>
      <c r="T3369" s="79"/>
      <c r="U3369" s="79"/>
      <c r="V3369" s="189"/>
      <c r="X3369" s="79"/>
      <c r="Y3369" s="79"/>
      <c r="Z3369" s="79"/>
      <c r="AA3369" s="255"/>
      <c r="AC3369" s="254"/>
    </row>
    <row r="3370" spans="1:29" ht="12">
      <c r="A3370" s="67" t="s">
        <v>17062</v>
      </c>
      <c r="B3370" s="65" t="s">
        <v>17063</v>
      </c>
      <c r="C3370" s="71" t="s">
        <v>103</v>
      </c>
      <c r="D3370" s="78">
        <v>1</v>
      </c>
      <c r="E3370" s="79">
        <v>441.29</v>
      </c>
      <c r="F3370" s="70">
        <v>441.29</v>
      </c>
      <c r="G3370" s="320"/>
      <c r="H3370" s="79">
        <v>357.53000000000003</v>
      </c>
      <c r="I3370" s="79">
        <v>83.76</v>
      </c>
      <c r="J3370" s="79">
        <v>441.29</v>
      </c>
      <c r="K3370" s="79">
        <v>0</v>
      </c>
      <c r="L3370" s="70">
        <v>441.29</v>
      </c>
      <c r="M3370" s="132"/>
      <c r="N3370" s="79">
        <v>357.53000000000003</v>
      </c>
      <c r="O3370" s="79">
        <v>83.76</v>
      </c>
      <c r="P3370" s="79">
        <v>441.29</v>
      </c>
      <c r="Q3370" s="136"/>
      <c r="R3370" s="79">
        <v>357.53</v>
      </c>
      <c r="S3370" s="79">
        <v>83.75</v>
      </c>
      <c r="T3370" s="79">
        <v>441.28</v>
      </c>
      <c r="U3370" s="79">
        <v>0</v>
      </c>
      <c r="V3370" s="189">
        <v>441.28</v>
      </c>
      <c r="X3370" s="79">
        <v>357.53</v>
      </c>
      <c r="Y3370" s="79">
        <v>83.75</v>
      </c>
      <c r="Z3370" s="79">
        <v>441.28</v>
      </c>
      <c r="AA3370" s="255">
        <v>1.0000000000047748E-2</v>
      </c>
      <c r="AC3370" s="254"/>
    </row>
    <row r="3371" spans="1:29" ht="12">
      <c r="A3371" s="67" t="s">
        <v>17064</v>
      </c>
      <c r="B3371" s="65" t="s">
        <v>17065</v>
      </c>
      <c r="C3371" s="71" t="s">
        <v>103</v>
      </c>
      <c r="D3371" s="78">
        <v>1</v>
      </c>
      <c r="E3371" s="79">
        <v>339.45</v>
      </c>
      <c r="F3371" s="70">
        <v>339.45</v>
      </c>
      <c r="G3371" s="320"/>
      <c r="H3371" s="79">
        <v>255.68999999999997</v>
      </c>
      <c r="I3371" s="79">
        <v>83.76</v>
      </c>
      <c r="J3371" s="79">
        <v>339.45</v>
      </c>
      <c r="K3371" s="79">
        <v>0</v>
      </c>
      <c r="L3371" s="70">
        <v>339.45</v>
      </c>
      <c r="M3371" s="132"/>
      <c r="N3371" s="79">
        <v>255.68999999999997</v>
      </c>
      <c r="O3371" s="79">
        <v>83.76</v>
      </c>
      <c r="P3371" s="79">
        <v>339.45</v>
      </c>
      <c r="Q3371" s="136"/>
      <c r="R3371" s="79">
        <v>255.69</v>
      </c>
      <c r="S3371" s="79">
        <v>83.75</v>
      </c>
      <c r="T3371" s="79">
        <v>339.44</v>
      </c>
      <c r="U3371" s="79">
        <v>0</v>
      </c>
      <c r="V3371" s="189">
        <v>339.44</v>
      </c>
      <c r="X3371" s="79">
        <v>255.69</v>
      </c>
      <c r="Y3371" s="79">
        <v>83.75</v>
      </c>
      <c r="Z3371" s="79">
        <v>339.44</v>
      </c>
      <c r="AA3371" s="255">
        <v>9.9999999999909051E-3</v>
      </c>
      <c r="AC3371" s="254"/>
    </row>
    <row r="3372" spans="1:29" ht="12">
      <c r="A3372" s="67" t="s">
        <v>17066</v>
      </c>
      <c r="B3372" s="65" t="s">
        <v>17067</v>
      </c>
      <c r="C3372" s="71" t="s">
        <v>103</v>
      </c>
      <c r="D3372" s="78">
        <v>1</v>
      </c>
      <c r="E3372" s="79">
        <v>419.41</v>
      </c>
      <c r="F3372" s="70">
        <v>419.41</v>
      </c>
      <c r="G3372" s="320"/>
      <c r="H3372" s="79">
        <v>335.65000000000003</v>
      </c>
      <c r="I3372" s="79">
        <v>83.76</v>
      </c>
      <c r="J3372" s="79">
        <v>419.41</v>
      </c>
      <c r="K3372" s="79">
        <v>0</v>
      </c>
      <c r="L3372" s="70">
        <v>419.41</v>
      </c>
      <c r="M3372" s="132"/>
      <c r="N3372" s="79">
        <v>335.65000000000003</v>
      </c>
      <c r="O3372" s="79">
        <v>83.76</v>
      </c>
      <c r="P3372" s="79">
        <v>419.41</v>
      </c>
      <c r="Q3372" s="136"/>
      <c r="R3372" s="79">
        <v>335.65</v>
      </c>
      <c r="S3372" s="79">
        <v>83.75</v>
      </c>
      <c r="T3372" s="79">
        <v>419.4</v>
      </c>
      <c r="U3372" s="79">
        <v>0</v>
      </c>
      <c r="V3372" s="189">
        <v>419.4</v>
      </c>
      <c r="X3372" s="79">
        <v>335.65</v>
      </c>
      <c r="Y3372" s="79">
        <v>83.75</v>
      </c>
      <c r="Z3372" s="79">
        <v>419.4</v>
      </c>
      <c r="AA3372" s="255">
        <v>1.0000000000047748E-2</v>
      </c>
      <c r="AC3372" s="254"/>
    </row>
    <row r="3373" spans="1:29" ht="12">
      <c r="A3373" s="67" t="s">
        <v>17068</v>
      </c>
      <c r="B3373" s="65" t="s">
        <v>17069</v>
      </c>
      <c r="C3373" s="71" t="s">
        <v>103</v>
      </c>
      <c r="D3373" s="78">
        <v>1</v>
      </c>
      <c r="E3373" s="79">
        <v>564.95000000000005</v>
      </c>
      <c r="F3373" s="70">
        <v>564.95000000000005</v>
      </c>
      <c r="G3373" s="320"/>
      <c r="H3373" s="79">
        <v>481.19</v>
      </c>
      <c r="I3373" s="79">
        <v>83.76</v>
      </c>
      <c r="J3373" s="79">
        <v>564.95000000000005</v>
      </c>
      <c r="K3373" s="79">
        <v>0</v>
      </c>
      <c r="L3373" s="70">
        <v>564.95000000000005</v>
      </c>
      <c r="M3373" s="132"/>
      <c r="N3373" s="79">
        <v>481.19</v>
      </c>
      <c r="O3373" s="79">
        <v>83.76</v>
      </c>
      <c r="P3373" s="79">
        <v>564.95000000000005</v>
      </c>
      <c r="Q3373" s="136"/>
      <c r="R3373" s="79">
        <v>481.19</v>
      </c>
      <c r="S3373" s="79">
        <v>83.75</v>
      </c>
      <c r="T3373" s="79">
        <v>564.94000000000005</v>
      </c>
      <c r="U3373" s="79">
        <v>0</v>
      </c>
      <c r="V3373" s="189">
        <v>564.94000000000005</v>
      </c>
      <c r="X3373" s="79">
        <v>481.19</v>
      </c>
      <c r="Y3373" s="79">
        <v>83.75</v>
      </c>
      <c r="Z3373" s="79">
        <v>564.94000000000005</v>
      </c>
      <c r="AA3373" s="255">
        <v>9.9999999999909051E-3</v>
      </c>
      <c r="AC3373" s="254"/>
    </row>
    <row r="3374" spans="1:29" ht="12">
      <c r="A3374" s="67" t="s">
        <v>17070</v>
      </c>
      <c r="B3374" s="65" t="s">
        <v>17071</v>
      </c>
      <c r="C3374" s="71" t="s">
        <v>103</v>
      </c>
      <c r="D3374" s="78">
        <v>1</v>
      </c>
      <c r="E3374" s="79">
        <v>1972.48</v>
      </c>
      <c r="F3374" s="70">
        <v>1972.48</v>
      </c>
      <c r="G3374" s="320"/>
      <c r="H3374" s="79">
        <v>1888.72</v>
      </c>
      <c r="I3374" s="79">
        <v>83.76</v>
      </c>
      <c r="J3374" s="79">
        <v>1972.48</v>
      </c>
      <c r="K3374" s="79">
        <v>0</v>
      </c>
      <c r="L3374" s="70">
        <v>1972.48</v>
      </c>
      <c r="M3374" s="132"/>
      <c r="N3374" s="79">
        <v>1888.72</v>
      </c>
      <c r="O3374" s="79">
        <v>83.76</v>
      </c>
      <c r="P3374" s="79">
        <v>1972.48</v>
      </c>
      <c r="Q3374" s="136"/>
      <c r="R3374" s="79">
        <v>1888.72</v>
      </c>
      <c r="S3374" s="79">
        <v>83.75</v>
      </c>
      <c r="T3374" s="79">
        <v>1972.47</v>
      </c>
      <c r="U3374" s="79">
        <v>0</v>
      </c>
      <c r="V3374" s="189">
        <v>1972.47</v>
      </c>
      <c r="X3374" s="79">
        <v>1888.72</v>
      </c>
      <c r="Y3374" s="79">
        <v>83.75</v>
      </c>
      <c r="Z3374" s="79">
        <v>1972.47</v>
      </c>
      <c r="AA3374" s="255">
        <v>9.9999999999909051E-3</v>
      </c>
      <c r="AC3374" s="254"/>
    </row>
    <row r="3375" spans="1:29" ht="12">
      <c r="A3375" s="67" t="s">
        <v>17072</v>
      </c>
      <c r="B3375" s="65" t="s">
        <v>17073</v>
      </c>
      <c r="C3375" s="71" t="s">
        <v>103</v>
      </c>
      <c r="D3375" s="78">
        <v>1</v>
      </c>
      <c r="E3375" s="79">
        <v>608.28000000000009</v>
      </c>
      <c r="F3375" s="70">
        <v>608.28</v>
      </c>
      <c r="G3375" s="320"/>
      <c r="H3375" s="79">
        <v>574.78000000000009</v>
      </c>
      <c r="I3375" s="79">
        <v>33.5</v>
      </c>
      <c r="J3375" s="79">
        <v>608.28000000000009</v>
      </c>
      <c r="K3375" s="79">
        <v>0</v>
      </c>
      <c r="L3375" s="70">
        <v>608.28000000000009</v>
      </c>
      <c r="M3375" s="132"/>
      <c r="N3375" s="79">
        <v>574.78000000000009</v>
      </c>
      <c r="O3375" s="79">
        <v>33.5</v>
      </c>
      <c r="P3375" s="79">
        <v>608.28000000000009</v>
      </c>
      <c r="Q3375" s="136"/>
      <c r="R3375" s="79">
        <v>574.78</v>
      </c>
      <c r="S3375" s="79">
        <v>33.5</v>
      </c>
      <c r="T3375" s="79">
        <v>608.28</v>
      </c>
      <c r="U3375" s="79">
        <v>0</v>
      </c>
      <c r="V3375" s="189">
        <v>608.28</v>
      </c>
      <c r="X3375" s="79">
        <v>574.78</v>
      </c>
      <c r="Y3375" s="79">
        <v>33.5</v>
      </c>
      <c r="Z3375" s="79">
        <v>608.28</v>
      </c>
      <c r="AA3375" s="255">
        <v>0</v>
      </c>
      <c r="AC3375" s="254"/>
    </row>
    <row r="3376" spans="1:29" ht="12">
      <c r="A3376" s="67" t="s">
        <v>17074</v>
      </c>
      <c r="B3376" s="65" t="s">
        <v>17075</v>
      </c>
      <c r="C3376" s="71" t="s">
        <v>103</v>
      </c>
      <c r="D3376" s="78">
        <v>1</v>
      </c>
      <c r="E3376" s="79">
        <v>521.34</v>
      </c>
      <c r="F3376" s="70">
        <v>521.34</v>
      </c>
      <c r="G3376" s="320"/>
      <c r="H3376" s="79">
        <v>487.84</v>
      </c>
      <c r="I3376" s="79">
        <v>33.5</v>
      </c>
      <c r="J3376" s="79">
        <v>521.33999999999992</v>
      </c>
      <c r="K3376" s="79">
        <v>0</v>
      </c>
      <c r="L3376" s="70">
        <v>521.33999999999992</v>
      </c>
      <c r="M3376" s="132"/>
      <c r="N3376" s="79">
        <v>487.84</v>
      </c>
      <c r="O3376" s="79">
        <v>33.5</v>
      </c>
      <c r="P3376" s="79">
        <v>521.33999999999992</v>
      </c>
      <c r="Q3376" s="136"/>
      <c r="R3376" s="79">
        <v>487.84</v>
      </c>
      <c r="S3376" s="79">
        <v>33.5</v>
      </c>
      <c r="T3376" s="79">
        <v>521.33999999999992</v>
      </c>
      <c r="U3376" s="79">
        <v>0</v>
      </c>
      <c r="V3376" s="189">
        <v>521.33999999999992</v>
      </c>
      <c r="X3376" s="79">
        <v>487.84</v>
      </c>
      <c r="Y3376" s="79">
        <v>33.5</v>
      </c>
      <c r="Z3376" s="79">
        <v>521.34</v>
      </c>
      <c r="AA3376" s="255">
        <v>0</v>
      </c>
      <c r="AC3376" s="254"/>
    </row>
    <row r="3377" spans="1:31" ht="12">
      <c r="A3377" s="67" t="s">
        <v>17076</v>
      </c>
      <c r="B3377" s="65" t="s">
        <v>17077</v>
      </c>
      <c r="C3377" s="71" t="s">
        <v>103</v>
      </c>
      <c r="D3377" s="78">
        <v>1</v>
      </c>
      <c r="E3377" s="79">
        <v>1209.73</v>
      </c>
      <c r="F3377" s="70">
        <v>1209.73</v>
      </c>
      <c r="G3377" s="320"/>
      <c r="H3377" s="79">
        <v>1125.97</v>
      </c>
      <c r="I3377" s="79">
        <v>83.76</v>
      </c>
      <c r="J3377" s="79">
        <v>1209.73</v>
      </c>
      <c r="K3377" s="79">
        <v>0</v>
      </c>
      <c r="L3377" s="70">
        <v>1209.73</v>
      </c>
      <c r="M3377" s="132"/>
      <c r="N3377" s="79">
        <v>1125.97</v>
      </c>
      <c r="O3377" s="79">
        <v>83.76</v>
      </c>
      <c r="P3377" s="79">
        <v>1209.73</v>
      </c>
      <c r="Q3377" s="136"/>
      <c r="R3377" s="79">
        <v>1125.97</v>
      </c>
      <c r="S3377" s="79">
        <v>83.75</v>
      </c>
      <c r="T3377" s="79">
        <v>1209.72</v>
      </c>
      <c r="U3377" s="79">
        <v>0</v>
      </c>
      <c r="V3377" s="189">
        <v>1209.72</v>
      </c>
      <c r="X3377" s="79">
        <v>1125.97</v>
      </c>
      <c r="Y3377" s="79">
        <v>83.75</v>
      </c>
      <c r="Z3377" s="79">
        <v>1209.72</v>
      </c>
      <c r="AA3377" s="255">
        <v>9.9999999999909051E-3</v>
      </c>
      <c r="AC3377" s="254"/>
    </row>
    <row r="3378" spans="1:31" ht="12">
      <c r="A3378" s="67" t="s">
        <v>17078</v>
      </c>
      <c r="B3378" s="65" t="s">
        <v>17079</v>
      </c>
      <c r="C3378" s="71" t="s">
        <v>103</v>
      </c>
      <c r="D3378" s="78">
        <v>1</v>
      </c>
      <c r="E3378" s="79">
        <v>703.47</v>
      </c>
      <c r="F3378" s="70">
        <v>703.47</v>
      </c>
      <c r="G3378" s="320"/>
      <c r="H3378" s="79">
        <v>678.34</v>
      </c>
      <c r="I3378" s="79">
        <v>25.130000000000003</v>
      </c>
      <c r="J3378" s="79">
        <v>703.47</v>
      </c>
      <c r="K3378" s="79">
        <v>0</v>
      </c>
      <c r="L3378" s="70">
        <v>703.47</v>
      </c>
      <c r="M3378" s="132"/>
      <c r="N3378" s="79">
        <v>678.34</v>
      </c>
      <c r="O3378" s="79">
        <v>25.130000000000003</v>
      </c>
      <c r="P3378" s="79">
        <v>703.47</v>
      </c>
      <c r="Q3378" s="136"/>
      <c r="R3378" s="79">
        <v>678.34</v>
      </c>
      <c r="S3378" s="79">
        <v>25.12</v>
      </c>
      <c r="T3378" s="79">
        <v>703.46</v>
      </c>
      <c r="U3378" s="79">
        <v>0</v>
      </c>
      <c r="V3378" s="189">
        <v>703.46</v>
      </c>
      <c r="X3378" s="79">
        <v>678.34</v>
      </c>
      <c r="Y3378" s="79">
        <v>25.12</v>
      </c>
      <c r="Z3378" s="79">
        <v>703.46</v>
      </c>
      <c r="AA3378" s="255">
        <v>9.9999999999909051E-3</v>
      </c>
      <c r="AC3378" s="254"/>
    </row>
    <row r="3379" spans="1:31" ht="12">
      <c r="A3379" s="67" t="s">
        <v>17080</v>
      </c>
      <c r="B3379" s="65" t="s">
        <v>17081</v>
      </c>
      <c r="C3379" s="71" t="s">
        <v>103</v>
      </c>
      <c r="D3379" s="78">
        <v>1</v>
      </c>
      <c r="E3379" s="79">
        <v>486.05</v>
      </c>
      <c r="F3379" s="70">
        <v>486.05</v>
      </c>
      <c r="G3379" s="320"/>
      <c r="H3379" s="79">
        <v>402.29</v>
      </c>
      <c r="I3379" s="79">
        <v>83.76</v>
      </c>
      <c r="J3379" s="79">
        <v>486.05</v>
      </c>
      <c r="K3379" s="79">
        <v>0</v>
      </c>
      <c r="L3379" s="70">
        <v>486.05</v>
      </c>
      <c r="M3379" s="132"/>
      <c r="N3379" s="79">
        <v>402.29</v>
      </c>
      <c r="O3379" s="79">
        <v>83.76</v>
      </c>
      <c r="P3379" s="79">
        <v>486.05</v>
      </c>
      <c r="Q3379" s="136"/>
      <c r="R3379" s="79">
        <v>402.29</v>
      </c>
      <c r="S3379" s="79">
        <v>83.75</v>
      </c>
      <c r="T3379" s="79">
        <v>486.04</v>
      </c>
      <c r="U3379" s="79">
        <v>0</v>
      </c>
      <c r="V3379" s="189">
        <v>486.04</v>
      </c>
      <c r="X3379" s="79">
        <v>402.29</v>
      </c>
      <c r="Y3379" s="79">
        <v>83.75</v>
      </c>
      <c r="Z3379" s="79">
        <v>486.04</v>
      </c>
      <c r="AA3379" s="255">
        <v>9.9999999999909051E-3</v>
      </c>
      <c r="AC3379" s="254"/>
    </row>
    <row r="3380" spans="1:31" ht="12">
      <c r="A3380" s="489" t="s">
        <v>17082</v>
      </c>
      <c r="B3380" s="490" t="s">
        <v>17083</v>
      </c>
      <c r="C3380" s="491"/>
      <c r="D3380" s="492"/>
      <c r="E3380" s="79"/>
      <c r="F3380" s="63"/>
      <c r="G3380" s="320"/>
      <c r="H3380" s="79"/>
      <c r="I3380" s="79"/>
      <c r="J3380" s="79"/>
      <c r="K3380" s="79"/>
      <c r="L3380" s="70"/>
      <c r="M3380" s="132"/>
      <c r="N3380" s="79"/>
      <c r="O3380" s="79"/>
      <c r="P3380" s="79"/>
      <c r="Q3380" s="136"/>
      <c r="R3380" s="79"/>
      <c r="S3380" s="79"/>
      <c r="T3380" s="79"/>
      <c r="U3380" s="79"/>
      <c r="V3380" s="189"/>
      <c r="X3380" s="79"/>
      <c r="Y3380" s="79"/>
      <c r="Z3380" s="79"/>
      <c r="AA3380" s="255"/>
      <c r="AC3380" s="254"/>
    </row>
    <row r="3381" spans="1:31" ht="12">
      <c r="A3381" s="67" t="s">
        <v>17084</v>
      </c>
      <c r="B3381" s="65" t="s">
        <v>17085</v>
      </c>
      <c r="C3381" s="71" t="s">
        <v>103</v>
      </c>
      <c r="D3381" s="78">
        <v>1</v>
      </c>
      <c r="E3381" s="79">
        <v>149.19</v>
      </c>
      <c r="F3381" s="70">
        <v>149.19</v>
      </c>
      <c r="G3381" s="320"/>
      <c r="H3381" s="79">
        <v>124.05999999999999</v>
      </c>
      <c r="I3381" s="79">
        <v>25.130000000000003</v>
      </c>
      <c r="J3381" s="79">
        <v>149.19</v>
      </c>
      <c r="K3381" s="79">
        <v>0</v>
      </c>
      <c r="L3381" s="70">
        <v>149.19</v>
      </c>
      <c r="M3381" s="132"/>
      <c r="N3381" s="79">
        <v>124.05999999999999</v>
      </c>
      <c r="O3381" s="79">
        <v>25.130000000000003</v>
      </c>
      <c r="P3381" s="79">
        <v>149.19</v>
      </c>
      <c r="Q3381" s="136"/>
      <c r="R3381" s="79">
        <v>124.06</v>
      </c>
      <c r="S3381" s="79">
        <v>25.12</v>
      </c>
      <c r="T3381" s="79">
        <v>149.18</v>
      </c>
      <c r="U3381" s="79">
        <v>0</v>
      </c>
      <c r="V3381" s="189">
        <v>149.18</v>
      </c>
      <c r="X3381" s="79">
        <v>124.06</v>
      </c>
      <c r="Y3381" s="79">
        <v>25.12</v>
      </c>
      <c r="Z3381" s="79">
        <v>149.18</v>
      </c>
      <c r="AA3381" s="255">
        <v>9.9999999999909051E-3</v>
      </c>
      <c r="AC3381" s="254"/>
    </row>
    <row r="3382" spans="1:31" ht="12">
      <c r="A3382" s="67" t="s">
        <v>17086</v>
      </c>
      <c r="B3382" s="65" t="s">
        <v>17087</v>
      </c>
      <c r="C3382" s="71" t="s">
        <v>103</v>
      </c>
      <c r="D3382" s="78">
        <v>1</v>
      </c>
      <c r="E3382" s="79">
        <v>174.26</v>
      </c>
      <c r="F3382" s="70">
        <v>174.26</v>
      </c>
      <c r="G3382" s="320"/>
      <c r="H3382" s="79">
        <v>149.13</v>
      </c>
      <c r="I3382" s="79">
        <v>25.130000000000003</v>
      </c>
      <c r="J3382" s="79">
        <v>174.26</v>
      </c>
      <c r="K3382" s="79">
        <v>0</v>
      </c>
      <c r="L3382" s="70">
        <v>174.26</v>
      </c>
      <c r="M3382" s="132"/>
      <c r="N3382" s="79">
        <v>149.13</v>
      </c>
      <c r="O3382" s="79">
        <v>25.130000000000003</v>
      </c>
      <c r="P3382" s="79">
        <v>174.26</v>
      </c>
      <c r="Q3382" s="136"/>
      <c r="R3382" s="79">
        <v>149.13</v>
      </c>
      <c r="S3382" s="79">
        <v>25.12</v>
      </c>
      <c r="T3382" s="79">
        <v>174.25</v>
      </c>
      <c r="U3382" s="79">
        <v>0</v>
      </c>
      <c r="V3382" s="189">
        <v>174.25</v>
      </c>
      <c r="X3382" s="79">
        <v>149.13</v>
      </c>
      <c r="Y3382" s="79">
        <v>25.12</v>
      </c>
      <c r="Z3382" s="79">
        <v>174.25</v>
      </c>
      <c r="AA3382" s="255">
        <v>9.9999999999909051E-3</v>
      </c>
      <c r="AC3382" s="254"/>
    </row>
    <row r="3383" spans="1:31" ht="12">
      <c r="A3383" s="67" t="s">
        <v>17088</v>
      </c>
      <c r="B3383" s="65" t="s">
        <v>17089</v>
      </c>
      <c r="C3383" s="71" t="s">
        <v>103</v>
      </c>
      <c r="D3383" s="78">
        <v>1</v>
      </c>
      <c r="E3383" s="79">
        <v>233.22</v>
      </c>
      <c r="F3383" s="70">
        <v>233.22</v>
      </c>
      <c r="G3383" s="320"/>
      <c r="H3383" s="79">
        <v>208.09</v>
      </c>
      <c r="I3383" s="79">
        <v>25.130000000000003</v>
      </c>
      <c r="J3383" s="79">
        <v>233.22</v>
      </c>
      <c r="K3383" s="79">
        <v>0</v>
      </c>
      <c r="L3383" s="70">
        <v>233.22</v>
      </c>
      <c r="M3383" s="132"/>
      <c r="N3383" s="79">
        <v>208.09</v>
      </c>
      <c r="O3383" s="79">
        <v>25.130000000000003</v>
      </c>
      <c r="P3383" s="79">
        <v>233.22</v>
      </c>
      <c r="Q3383" s="136"/>
      <c r="R3383" s="79">
        <v>208.09</v>
      </c>
      <c r="S3383" s="79">
        <v>25.12</v>
      </c>
      <c r="T3383" s="79">
        <v>233.21</v>
      </c>
      <c r="U3383" s="79">
        <v>0</v>
      </c>
      <c r="V3383" s="189">
        <v>233.21</v>
      </c>
      <c r="X3383" s="79">
        <v>208.09</v>
      </c>
      <c r="Y3383" s="79">
        <v>25.12</v>
      </c>
      <c r="Z3383" s="79">
        <v>233.21</v>
      </c>
      <c r="AA3383" s="255">
        <v>9.9999999999909051E-3</v>
      </c>
      <c r="AC3383" s="254"/>
    </row>
    <row r="3384" spans="1:31" ht="12">
      <c r="A3384" s="67" t="s">
        <v>17090</v>
      </c>
      <c r="B3384" s="65" t="s">
        <v>17091</v>
      </c>
      <c r="C3384" s="71" t="s">
        <v>103</v>
      </c>
      <c r="D3384" s="78">
        <v>1</v>
      </c>
      <c r="E3384" s="79">
        <v>270.07</v>
      </c>
      <c r="F3384" s="70">
        <v>270.07</v>
      </c>
      <c r="G3384" s="320"/>
      <c r="H3384" s="79">
        <v>244.94</v>
      </c>
      <c r="I3384" s="79">
        <v>25.130000000000003</v>
      </c>
      <c r="J3384" s="79">
        <v>270.07</v>
      </c>
      <c r="K3384" s="79">
        <v>0</v>
      </c>
      <c r="L3384" s="70">
        <v>270.07</v>
      </c>
      <c r="M3384" s="132"/>
      <c r="N3384" s="79">
        <v>244.94</v>
      </c>
      <c r="O3384" s="79">
        <v>25.130000000000003</v>
      </c>
      <c r="P3384" s="79">
        <v>270.07</v>
      </c>
      <c r="Q3384" s="136"/>
      <c r="R3384" s="79">
        <v>244.94</v>
      </c>
      <c r="S3384" s="79">
        <v>25.12</v>
      </c>
      <c r="T3384" s="79">
        <v>270.06</v>
      </c>
      <c r="U3384" s="79">
        <v>0</v>
      </c>
      <c r="V3384" s="189">
        <v>270.06</v>
      </c>
      <c r="X3384" s="79">
        <v>244.94</v>
      </c>
      <c r="Y3384" s="79">
        <v>25.12</v>
      </c>
      <c r="Z3384" s="79">
        <v>270.06</v>
      </c>
      <c r="AA3384" s="255">
        <v>9.9999999999909051E-3</v>
      </c>
      <c r="AC3384" s="254"/>
    </row>
    <row r="3385" spans="1:31" ht="12">
      <c r="A3385" s="67" t="s">
        <v>17092</v>
      </c>
      <c r="B3385" s="65" t="s">
        <v>17093</v>
      </c>
      <c r="C3385" s="71" t="s">
        <v>103</v>
      </c>
      <c r="D3385" s="78">
        <v>1</v>
      </c>
      <c r="E3385" s="79">
        <v>393.57</v>
      </c>
      <c r="F3385" s="70">
        <v>393.57</v>
      </c>
      <c r="G3385" s="320"/>
      <c r="H3385" s="79">
        <v>368.44</v>
      </c>
      <c r="I3385" s="79">
        <v>25.130000000000003</v>
      </c>
      <c r="J3385" s="79">
        <v>393.57</v>
      </c>
      <c r="K3385" s="79">
        <v>0</v>
      </c>
      <c r="L3385" s="70">
        <v>393.57</v>
      </c>
      <c r="M3385" s="132"/>
      <c r="N3385" s="79">
        <v>368.44</v>
      </c>
      <c r="O3385" s="79">
        <v>25.130000000000003</v>
      </c>
      <c r="P3385" s="79">
        <v>393.57</v>
      </c>
      <c r="Q3385" s="136"/>
      <c r="R3385" s="79">
        <v>368.44</v>
      </c>
      <c r="S3385" s="79">
        <v>25.12</v>
      </c>
      <c r="T3385" s="79">
        <v>393.56</v>
      </c>
      <c r="U3385" s="79">
        <v>0</v>
      </c>
      <c r="V3385" s="189">
        <v>393.56</v>
      </c>
      <c r="X3385" s="79">
        <v>368.44</v>
      </c>
      <c r="Y3385" s="79">
        <v>25.12</v>
      </c>
      <c r="Z3385" s="79">
        <v>393.56</v>
      </c>
      <c r="AA3385" s="255">
        <v>9.9999999999909051E-3</v>
      </c>
      <c r="AC3385" s="254"/>
    </row>
    <row r="3386" spans="1:31" ht="12">
      <c r="A3386" s="67" t="s">
        <v>17094</v>
      </c>
      <c r="B3386" s="65" t="s">
        <v>17095</v>
      </c>
      <c r="C3386" s="71" t="s">
        <v>103</v>
      </c>
      <c r="D3386" s="78">
        <v>1</v>
      </c>
      <c r="E3386" s="79">
        <v>666.22</v>
      </c>
      <c r="F3386" s="70">
        <v>666.22</v>
      </c>
      <c r="G3386" s="320"/>
      <c r="H3386" s="79">
        <v>641.09</v>
      </c>
      <c r="I3386" s="79">
        <v>25.130000000000003</v>
      </c>
      <c r="J3386" s="79">
        <v>666.22</v>
      </c>
      <c r="K3386" s="79">
        <v>0</v>
      </c>
      <c r="L3386" s="70">
        <v>666.22</v>
      </c>
      <c r="M3386" s="132"/>
      <c r="N3386" s="79">
        <v>641.09</v>
      </c>
      <c r="O3386" s="79">
        <v>25.130000000000003</v>
      </c>
      <c r="P3386" s="79">
        <v>666.22</v>
      </c>
      <c r="Q3386" s="136"/>
      <c r="R3386" s="79">
        <v>641.09</v>
      </c>
      <c r="S3386" s="79">
        <v>25.12</v>
      </c>
      <c r="T3386" s="79">
        <v>666.21</v>
      </c>
      <c r="U3386" s="79">
        <v>0</v>
      </c>
      <c r="V3386" s="189">
        <v>666.21</v>
      </c>
      <c r="X3386" s="79">
        <v>641.09</v>
      </c>
      <c r="Y3386" s="79">
        <v>25.12</v>
      </c>
      <c r="Z3386" s="79">
        <v>666.21</v>
      </c>
      <c r="AA3386" s="255">
        <v>9.9999999999909051E-3</v>
      </c>
      <c r="AC3386" s="254"/>
    </row>
    <row r="3387" spans="1:31" ht="12">
      <c r="A3387" s="67" t="s">
        <v>17096</v>
      </c>
      <c r="B3387" s="65" t="s">
        <v>17097</v>
      </c>
      <c r="C3387" s="71" t="s">
        <v>103</v>
      </c>
      <c r="D3387" s="78">
        <v>1</v>
      </c>
      <c r="E3387" s="79">
        <v>797.43999999999994</v>
      </c>
      <c r="F3387" s="70">
        <v>797.44</v>
      </c>
      <c r="G3387" s="320"/>
      <c r="H3387" s="79">
        <v>772.31</v>
      </c>
      <c r="I3387" s="79">
        <v>25.130000000000003</v>
      </c>
      <c r="J3387" s="79">
        <v>797.43999999999994</v>
      </c>
      <c r="K3387" s="79">
        <v>0</v>
      </c>
      <c r="L3387" s="70">
        <v>797.43999999999994</v>
      </c>
      <c r="M3387" s="132"/>
      <c r="N3387" s="79">
        <v>772.31</v>
      </c>
      <c r="O3387" s="79">
        <v>25.130000000000003</v>
      </c>
      <c r="P3387" s="79">
        <v>797.43999999999994</v>
      </c>
      <c r="Q3387" s="136"/>
      <c r="R3387" s="79">
        <v>772.31</v>
      </c>
      <c r="S3387" s="79">
        <v>25.12</v>
      </c>
      <c r="T3387" s="79">
        <v>797.43</v>
      </c>
      <c r="U3387" s="79">
        <v>0</v>
      </c>
      <c r="V3387" s="189">
        <v>797.43</v>
      </c>
      <c r="X3387" s="79">
        <v>772.31</v>
      </c>
      <c r="Y3387" s="79">
        <v>25.12</v>
      </c>
      <c r="Z3387" s="79">
        <v>797.43</v>
      </c>
      <c r="AA3387" s="255">
        <v>1.0000000000104592E-2</v>
      </c>
      <c r="AC3387" s="254"/>
    </row>
    <row r="3388" spans="1:31" ht="12">
      <c r="A3388" s="67" t="s">
        <v>17098</v>
      </c>
      <c r="B3388" s="65" t="s">
        <v>17099</v>
      </c>
      <c r="C3388" s="71" t="s">
        <v>103</v>
      </c>
      <c r="D3388" s="78">
        <v>1</v>
      </c>
      <c r="E3388" s="79">
        <v>134.88999999999999</v>
      </c>
      <c r="F3388" s="70">
        <v>134.88999999999999</v>
      </c>
      <c r="G3388" s="320"/>
      <c r="H3388" s="79">
        <v>109.75999999999999</v>
      </c>
      <c r="I3388" s="79">
        <v>25.130000000000003</v>
      </c>
      <c r="J3388" s="79">
        <v>134.88999999999999</v>
      </c>
      <c r="K3388" s="79">
        <v>0</v>
      </c>
      <c r="L3388" s="70">
        <v>134.88999999999999</v>
      </c>
      <c r="M3388" s="132"/>
      <c r="N3388" s="79">
        <v>109.75999999999999</v>
      </c>
      <c r="O3388" s="79">
        <v>25.130000000000003</v>
      </c>
      <c r="P3388" s="79">
        <v>134.88999999999999</v>
      </c>
      <c r="Q3388" s="136"/>
      <c r="R3388" s="79">
        <v>109.76</v>
      </c>
      <c r="S3388" s="79">
        <v>25.12</v>
      </c>
      <c r="T3388" s="79">
        <v>134.88</v>
      </c>
      <c r="U3388" s="79">
        <v>0</v>
      </c>
      <c r="V3388" s="189">
        <v>134.88</v>
      </c>
      <c r="X3388" s="79">
        <v>109.76</v>
      </c>
      <c r="Y3388" s="79">
        <v>25.12</v>
      </c>
      <c r="Z3388" s="79">
        <v>134.88</v>
      </c>
      <c r="AA3388" s="255">
        <v>9.9999999999909051E-3</v>
      </c>
      <c r="AC3388" s="254"/>
    </row>
    <row r="3389" spans="1:31" ht="12">
      <c r="A3389" s="67" t="s">
        <v>17100</v>
      </c>
      <c r="B3389" s="65" t="s">
        <v>17101</v>
      </c>
      <c r="C3389" s="71" t="s">
        <v>103</v>
      </c>
      <c r="D3389" s="78">
        <v>1</v>
      </c>
      <c r="E3389" s="79">
        <v>172.87</v>
      </c>
      <c r="F3389" s="70">
        <v>172.87</v>
      </c>
      <c r="G3389" s="320"/>
      <c r="H3389" s="79">
        <v>147.74</v>
      </c>
      <c r="I3389" s="79">
        <v>25.130000000000003</v>
      </c>
      <c r="J3389" s="79">
        <v>172.87</v>
      </c>
      <c r="K3389" s="79">
        <v>0</v>
      </c>
      <c r="L3389" s="70">
        <v>172.87</v>
      </c>
      <c r="M3389" s="132"/>
      <c r="N3389" s="79">
        <v>147.74</v>
      </c>
      <c r="O3389" s="79">
        <v>25.130000000000003</v>
      </c>
      <c r="P3389" s="79">
        <v>172.87</v>
      </c>
      <c r="Q3389" s="136"/>
      <c r="R3389" s="79">
        <v>147.74</v>
      </c>
      <c r="S3389" s="79">
        <v>25.12</v>
      </c>
      <c r="T3389" s="79">
        <v>172.86</v>
      </c>
      <c r="U3389" s="79">
        <v>0</v>
      </c>
      <c r="V3389" s="189">
        <v>172.86</v>
      </c>
      <c r="X3389" s="79">
        <v>147.74</v>
      </c>
      <c r="Y3389" s="79">
        <v>25.12</v>
      </c>
      <c r="Z3389" s="79">
        <v>172.86</v>
      </c>
      <c r="AA3389" s="255">
        <v>9.9999999999909051E-3</v>
      </c>
      <c r="AC3389" s="254"/>
      <c r="AD3389" s="69"/>
      <c r="AE3389" s="69"/>
    </row>
    <row r="3390" spans="1:31" ht="12">
      <c r="A3390" s="67" t="s">
        <v>17102</v>
      </c>
      <c r="B3390" s="65" t="s">
        <v>17103</v>
      </c>
      <c r="C3390" s="71" t="s">
        <v>103</v>
      </c>
      <c r="D3390" s="78">
        <v>1</v>
      </c>
      <c r="E3390" s="79">
        <v>206.35999999999999</v>
      </c>
      <c r="F3390" s="70">
        <v>206.36</v>
      </c>
      <c r="G3390" s="320"/>
      <c r="H3390" s="79">
        <v>181.23</v>
      </c>
      <c r="I3390" s="79">
        <v>25.130000000000003</v>
      </c>
      <c r="J3390" s="79">
        <v>206.35999999999999</v>
      </c>
      <c r="K3390" s="79">
        <v>0</v>
      </c>
      <c r="L3390" s="70">
        <v>206.35999999999999</v>
      </c>
      <c r="M3390" s="132"/>
      <c r="N3390" s="79">
        <v>181.23</v>
      </c>
      <c r="O3390" s="79">
        <v>25.130000000000003</v>
      </c>
      <c r="P3390" s="79">
        <v>206.35999999999999</v>
      </c>
      <c r="Q3390" s="136"/>
      <c r="R3390" s="79">
        <v>181.23</v>
      </c>
      <c r="S3390" s="79">
        <v>25.12</v>
      </c>
      <c r="T3390" s="79">
        <v>206.35</v>
      </c>
      <c r="U3390" s="79">
        <v>0</v>
      </c>
      <c r="V3390" s="189">
        <v>206.35</v>
      </c>
      <c r="X3390" s="79">
        <v>181.23</v>
      </c>
      <c r="Y3390" s="79">
        <v>25.12</v>
      </c>
      <c r="Z3390" s="79">
        <v>206.35</v>
      </c>
      <c r="AA3390" s="255">
        <v>1.0000000000019327E-2</v>
      </c>
      <c r="AC3390" s="254"/>
    </row>
    <row r="3391" spans="1:31" s="69" customFormat="1" ht="12">
      <c r="A3391" s="67" t="s">
        <v>17104</v>
      </c>
      <c r="B3391" s="65" t="s">
        <v>17105</v>
      </c>
      <c r="C3391" s="71" t="s">
        <v>103</v>
      </c>
      <c r="D3391" s="78">
        <v>1</v>
      </c>
      <c r="E3391" s="79">
        <v>281.87</v>
      </c>
      <c r="F3391" s="70">
        <v>281.87</v>
      </c>
      <c r="G3391" s="320"/>
      <c r="H3391" s="79">
        <v>256.74</v>
      </c>
      <c r="I3391" s="79">
        <v>25.130000000000003</v>
      </c>
      <c r="J3391" s="79">
        <v>281.87</v>
      </c>
      <c r="K3391" s="79">
        <v>0</v>
      </c>
      <c r="L3391" s="70">
        <v>281.87</v>
      </c>
      <c r="M3391" s="132"/>
      <c r="N3391" s="79">
        <v>256.74</v>
      </c>
      <c r="O3391" s="79">
        <v>25.130000000000003</v>
      </c>
      <c r="P3391" s="79">
        <v>281.87</v>
      </c>
      <c r="Q3391" s="136"/>
      <c r="R3391" s="79">
        <v>256.74</v>
      </c>
      <c r="S3391" s="79">
        <v>25.12</v>
      </c>
      <c r="T3391" s="79">
        <v>281.86</v>
      </c>
      <c r="U3391" s="79">
        <v>0</v>
      </c>
      <c r="V3391" s="189">
        <v>281.86</v>
      </c>
      <c r="W3391" s="61"/>
      <c r="X3391" s="79">
        <v>256.74</v>
      </c>
      <c r="Y3391" s="79">
        <v>25.12</v>
      </c>
      <c r="Z3391" s="79">
        <v>281.86</v>
      </c>
      <c r="AA3391" s="255">
        <v>9.9999999999909051E-3</v>
      </c>
      <c r="AB3391" s="61"/>
      <c r="AC3391" s="254"/>
      <c r="AD3391" s="236"/>
      <c r="AE3391" s="236"/>
    </row>
    <row r="3392" spans="1:31" ht="12">
      <c r="A3392" s="67" t="s">
        <v>17106</v>
      </c>
      <c r="B3392" s="65" t="s">
        <v>17107</v>
      </c>
      <c r="C3392" s="71" t="s">
        <v>103</v>
      </c>
      <c r="D3392" s="78">
        <v>1</v>
      </c>
      <c r="E3392" s="79">
        <v>446.33</v>
      </c>
      <c r="F3392" s="70">
        <v>446.33</v>
      </c>
      <c r="G3392" s="320"/>
      <c r="H3392" s="79">
        <v>421.2</v>
      </c>
      <c r="I3392" s="79">
        <v>25.130000000000003</v>
      </c>
      <c r="J3392" s="79">
        <v>446.33</v>
      </c>
      <c r="K3392" s="79">
        <v>0</v>
      </c>
      <c r="L3392" s="70">
        <v>446.33</v>
      </c>
      <c r="M3392" s="132"/>
      <c r="N3392" s="79">
        <v>421.2</v>
      </c>
      <c r="O3392" s="79">
        <v>25.130000000000003</v>
      </c>
      <c r="P3392" s="79">
        <v>446.33</v>
      </c>
      <c r="Q3392" s="136"/>
      <c r="R3392" s="79">
        <v>421.2</v>
      </c>
      <c r="S3392" s="79">
        <v>25.12</v>
      </c>
      <c r="T3392" s="79">
        <v>446.32</v>
      </c>
      <c r="U3392" s="79">
        <v>0</v>
      </c>
      <c r="V3392" s="189">
        <v>446.32</v>
      </c>
      <c r="X3392" s="79">
        <v>421.2</v>
      </c>
      <c r="Y3392" s="79">
        <v>25.12</v>
      </c>
      <c r="Z3392" s="79">
        <v>446.32</v>
      </c>
      <c r="AA3392" s="255">
        <v>9.9999999999909051E-3</v>
      </c>
      <c r="AC3392" s="254"/>
    </row>
    <row r="3393" spans="1:31" ht="12">
      <c r="A3393" s="67" t="s">
        <v>17108</v>
      </c>
      <c r="B3393" s="65" t="s">
        <v>17109</v>
      </c>
      <c r="C3393" s="71" t="s">
        <v>103</v>
      </c>
      <c r="D3393" s="78">
        <v>1</v>
      </c>
      <c r="E3393" s="79">
        <v>635.28</v>
      </c>
      <c r="F3393" s="70">
        <v>635.28</v>
      </c>
      <c r="G3393" s="320"/>
      <c r="H3393" s="79">
        <v>610.15</v>
      </c>
      <c r="I3393" s="79">
        <v>25.130000000000003</v>
      </c>
      <c r="J3393" s="79">
        <v>635.28</v>
      </c>
      <c r="K3393" s="79">
        <v>0</v>
      </c>
      <c r="L3393" s="70">
        <v>635.28</v>
      </c>
      <c r="M3393" s="132"/>
      <c r="N3393" s="79">
        <v>610.15</v>
      </c>
      <c r="O3393" s="79">
        <v>25.130000000000003</v>
      </c>
      <c r="P3393" s="79">
        <v>635.28</v>
      </c>
      <c r="Q3393" s="136"/>
      <c r="R3393" s="79">
        <v>610.15</v>
      </c>
      <c r="S3393" s="79">
        <v>25.12</v>
      </c>
      <c r="T3393" s="79">
        <v>635.27</v>
      </c>
      <c r="U3393" s="79">
        <v>0</v>
      </c>
      <c r="V3393" s="189">
        <v>635.27</v>
      </c>
      <c r="X3393" s="79">
        <v>610.15</v>
      </c>
      <c r="Y3393" s="79">
        <v>25.12</v>
      </c>
      <c r="Z3393" s="79">
        <v>635.27</v>
      </c>
      <c r="AA3393" s="255">
        <v>9.9999999999909051E-3</v>
      </c>
      <c r="AC3393" s="254"/>
    </row>
    <row r="3394" spans="1:31" ht="12">
      <c r="A3394" s="67" t="s">
        <v>17110</v>
      </c>
      <c r="B3394" s="65" t="s">
        <v>17111</v>
      </c>
      <c r="C3394" s="71" t="s">
        <v>103</v>
      </c>
      <c r="D3394" s="78">
        <v>1</v>
      </c>
      <c r="E3394" s="79">
        <v>1077.5700000000002</v>
      </c>
      <c r="F3394" s="70">
        <v>1077.57</v>
      </c>
      <c r="G3394" s="320"/>
      <c r="H3394" s="79">
        <v>1044.0700000000002</v>
      </c>
      <c r="I3394" s="79">
        <v>33.5</v>
      </c>
      <c r="J3394" s="79">
        <v>1077.5700000000002</v>
      </c>
      <c r="K3394" s="79">
        <v>0</v>
      </c>
      <c r="L3394" s="70">
        <v>1077.5700000000002</v>
      </c>
      <c r="M3394" s="132"/>
      <c r="N3394" s="79">
        <v>1044.0700000000002</v>
      </c>
      <c r="O3394" s="79">
        <v>33.5</v>
      </c>
      <c r="P3394" s="79">
        <v>1077.5700000000002</v>
      </c>
      <c r="Q3394" s="136"/>
      <c r="R3394" s="79">
        <v>1044.07</v>
      </c>
      <c r="S3394" s="79">
        <v>33.5</v>
      </c>
      <c r="T3394" s="79">
        <v>1077.57</v>
      </c>
      <c r="U3394" s="79">
        <v>0</v>
      </c>
      <c r="V3394" s="189">
        <v>1077.57</v>
      </c>
      <c r="X3394" s="79">
        <v>1044.07</v>
      </c>
      <c r="Y3394" s="79">
        <v>33.5</v>
      </c>
      <c r="Z3394" s="79">
        <v>1077.57</v>
      </c>
      <c r="AA3394" s="255">
        <v>0</v>
      </c>
      <c r="AC3394" s="254"/>
    </row>
    <row r="3395" spans="1:31" ht="12">
      <c r="A3395" s="67" t="s">
        <v>17112</v>
      </c>
      <c r="B3395" s="65" t="s">
        <v>17113</v>
      </c>
      <c r="C3395" s="71" t="s">
        <v>103</v>
      </c>
      <c r="D3395" s="78">
        <v>1</v>
      </c>
      <c r="E3395" s="79">
        <v>130.02000000000001</v>
      </c>
      <c r="F3395" s="70">
        <v>130.02000000000001</v>
      </c>
      <c r="G3395" s="320"/>
      <c r="H3395" s="79">
        <v>104.89</v>
      </c>
      <c r="I3395" s="79">
        <v>25.130000000000003</v>
      </c>
      <c r="J3395" s="79">
        <v>130.02000000000001</v>
      </c>
      <c r="K3395" s="79">
        <v>0</v>
      </c>
      <c r="L3395" s="70">
        <v>130.02000000000001</v>
      </c>
      <c r="M3395" s="132"/>
      <c r="N3395" s="79">
        <v>104.89</v>
      </c>
      <c r="O3395" s="79">
        <v>25.130000000000003</v>
      </c>
      <c r="P3395" s="79">
        <v>130.02000000000001</v>
      </c>
      <c r="Q3395" s="136"/>
      <c r="R3395" s="79">
        <v>104.89</v>
      </c>
      <c r="S3395" s="79">
        <v>25.12</v>
      </c>
      <c r="T3395" s="79">
        <v>130.01</v>
      </c>
      <c r="U3395" s="79">
        <v>0</v>
      </c>
      <c r="V3395" s="189">
        <v>130.01</v>
      </c>
      <c r="X3395" s="79">
        <v>104.89</v>
      </c>
      <c r="Y3395" s="79">
        <v>25.12</v>
      </c>
      <c r="Z3395" s="79">
        <v>130.01</v>
      </c>
      <c r="AA3395" s="255">
        <v>1.0000000000019327E-2</v>
      </c>
      <c r="AC3395" s="254"/>
    </row>
    <row r="3396" spans="1:31" ht="12">
      <c r="A3396" s="67" t="s">
        <v>17114</v>
      </c>
      <c r="B3396" s="65" t="s">
        <v>17115</v>
      </c>
      <c r="C3396" s="71" t="s">
        <v>103</v>
      </c>
      <c r="D3396" s="78">
        <v>1</v>
      </c>
      <c r="E3396" s="79">
        <v>169.1</v>
      </c>
      <c r="F3396" s="70">
        <v>169.1</v>
      </c>
      <c r="G3396" s="320"/>
      <c r="H3396" s="79">
        <v>143.97</v>
      </c>
      <c r="I3396" s="79">
        <v>25.130000000000003</v>
      </c>
      <c r="J3396" s="79">
        <v>169.1</v>
      </c>
      <c r="K3396" s="79">
        <v>0</v>
      </c>
      <c r="L3396" s="70">
        <v>169.1</v>
      </c>
      <c r="M3396" s="132"/>
      <c r="N3396" s="79">
        <v>143.97</v>
      </c>
      <c r="O3396" s="79">
        <v>25.130000000000003</v>
      </c>
      <c r="P3396" s="79">
        <v>169.1</v>
      </c>
      <c r="Q3396" s="136"/>
      <c r="R3396" s="79">
        <v>143.97</v>
      </c>
      <c r="S3396" s="79">
        <v>25.12</v>
      </c>
      <c r="T3396" s="79">
        <v>169.09</v>
      </c>
      <c r="U3396" s="79">
        <v>0</v>
      </c>
      <c r="V3396" s="189">
        <v>169.09</v>
      </c>
      <c r="X3396" s="79">
        <v>143.97</v>
      </c>
      <c r="Y3396" s="79">
        <v>25.12</v>
      </c>
      <c r="Z3396" s="79">
        <v>169.09</v>
      </c>
      <c r="AA3396" s="255">
        <v>9.9999999999909051E-3</v>
      </c>
      <c r="AC3396" s="254"/>
    </row>
    <row r="3397" spans="1:31" ht="12">
      <c r="A3397" s="67" t="s">
        <v>17116</v>
      </c>
      <c r="B3397" s="65" t="s">
        <v>17117</v>
      </c>
      <c r="C3397" s="71" t="s">
        <v>103</v>
      </c>
      <c r="D3397" s="78">
        <v>1</v>
      </c>
      <c r="E3397" s="79">
        <v>193.15999999999997</v>
      </c>
      <c r="F3397" s="70">
        <v>193.16</v>
      </c>
      <c r="G3397" s="320"/>
      <c r="H3397" s="79">
        <v>168.02999999999997</v>
      </c>
      <c r="I3397" s="79">
        <v>25.130000000000003</v>
      </c>
      <c r="J3397" s="79">
        <v>193.15999999999997</v>
      </c>
      <c r="K3397" s="79">
        <v>0</v>
      </c>
      <c r="L3397" s="70">
        <v>193.15999999999997</v>
      </c>
      <c r="M3397" s="132"/>
      <c r="N3397" s="79">
        <v>168.02999999999997</v>
      </c>
      <c r="O3397" s="79">
        <v>25.130000000000003</v>
      </c>
      <c r="P3397" s="79">
        <v>193.15999999999997</v>
      </c>
      <c r="Q3397" s="136"/>
      <c r="R3397" s="79">
        <v>168.03</v>
      </c>
      <c r="S3397" s="79">
        <v>25.12</v>
      </c>
      <c r="T3397" s="79">
        <v>193.15</v>
      </c>
      <c r="U3397" s="79">
        <v>0</v>
      </c>
      <c r="V3397" s="189">
        <v>193.15</v>
      </c>
      <c r="X3397" s="79">
        <v>168.03</v>
      </c>
      <c r="Y3397" s="79">
        <v>25.12</v>
      </c>
      <c r="Z3397" s="79">
        <v>193.15</v>
      </c>
      <c r="AA3397" s="255">
        <v>9.9999999999909051E-3</v>
      </c>
      <c r="AC3397" s="254"/>
    </row>
    <row r="3398" spans="1:31" ht="12">
      <c r="A3398" s="67" t="s">
        <v>17118</v>
      </c>
      <c r="B3398" s="65" t="s">
        <v>17119</v>
      </c>
      <c r="C3398" s="71" t="s">
        <v>103</v>
      </c>
      <c r="D3398" s="78">
        <v>1</v>
      </c>
      <c r="E3398" s="79">
        <v>256.09000000000003</v>
      </c>
      <c r="F3398" s="70">
        <v>256.08999999999997</v>
      </c>
      <c r="G3398" s="320"/>
      <c r="H3398" s="79">
        <v>230.96</v>
      </c>
      <c r="I3398" s="79">
        <v>25.130000000000003</v>
      </c>
      <c r="J3398" s="79">
        <v>256.09000000000003</v>
      </c>
      <c r="K3398" s="79">
        <v>0</v>
      </c>
      <c r="L3398" s="70">
        <v>256.09000000000003</v>
      </c>
      <c r="M3398" s="132"/>
      <c r="N3398" s="79">
        <v>230.96</v>
      </c>
      <c r="O3398" s="79">
        <v>25.130000000000003</v>
      </c>
      <c r="P3398" s="79">
        <v>256.09000000000003</v>
      </c>
      <c r="Q3398" s="136"/>
      <c r="R3398" s="79">
        <v>230.96</v>
      </c>
      <c r="S3398" s="79">
        <v>25.12</v>
      </c>
      <c r="T3398" s="79">
        <v>256.08</v>
      </c>
      <c r="U3398" s="79">
        <v>0</v>
      </c>
      <c r="V3398" s="189">
        <v>256.08</v>
      </c>
      <c r="X3398" s="79">
        <v>230.96</v>
      </c>
      <c r="Y3398" s="79">
        <v>25.12</v>
      </c>
      <c r="Z3398" s="79">
        <v>256.08</v>
      </c>
      <c r="AA3398" s="255">
        <v>9.9999999999909051E-3</v>
      </c>
      <c r="AC3398" s="254"/>
      <c r="AD3398" s="69"/>
      <c r="AE3398" s="69"/>
    </row>
    <row r="3399" spans="1:31" ht="12">
      <c r="A3399" s="67" t="s">
        <v>17120</v>
      </c>
      <c r="B3399" s="65" t="s">
        <v>17121</v>
      </c>
      <c r="C3399" s="71" t="s">
        <v>103</v>
      </c>
      <c r="D3399" s="78">
        <v>1</v>
      </c>
      <c r="E3399" s="79">
        <v>406.29</v>
      </c>
      <c r="F3399" s="70">
        <v>406.29</v>
      </c>
      <c r="G3399" s="320"/>
      <c r="H3399" s="79">
        <v>381.16</v>
      </c>
      <c r="I3399" s="79">
        <v>25.130000000000003</v>
      </c>
      <c r="J3399" s="79">
        <v>406.29</v>
      </c>
      <c r="K3399" s="79">
        <v>0</v>
      </c>
      <c r="L3399" s="70">
        <v>406.29</v>
      </c>
      <c r="M3399" s="132"/>
      <c r="N3399" s="79">
        <v>381.16</v>
      </c>
      <c r="O3399" s="79">
        <v>25.130000000000003</v>
      </c>
      <c r="P3399" s="79">
        <v>406.29</v>
      </c>
      <c r="Q3399" s="136"/>
      <c r="R3399" s="79">
        <v>381.16</v>
      </c>
      <c r="S3399" s="79">
        <v>25.12</v>
      </c>
      <c r="T3399" s="79">
        <v>406.28000000000003</v>
      </c>
      <c r="U3399" s="79">
        <v>0</v>
      </c>
      <c r="V3399" s="189">
        <v>406.28000000000003</v>
      </c>
      <c r="X3399" s="79">
        <v>381.16</v>
      </c>
      <c r="Y3399" s="79">
        <v>25.12</v>
      </c>
      <c r="Z3399" s="79">
        <v>406.28</v>
      </c>
      <c r="AA3399" s="255">
        <v>1.0000000000047748E-2</v>
      </c>
      <c r="AC3399" s="254"/>
      <c r="AD3399" s="61"/>
      <c r="AE3399" s="61"/>
    </row>
    <row r="3400" spans="1:31" s="69" customFormat="1" ht="24">
      <c r="A3400" s="67" t="s">
        <v>17122</v>
      </c>
      <c r="B3400" s="65" t="s">
        <v>17123</v>
      </c>
      <c r="C3400" s="71" t="s">
        <v>103</v>
      </c>
      <c r="D3400" s="78">
        <v>1</v>
      </c>
      <c r="E3400" s="79">
        <v>9331.7800000000007</v>
      </c>
      <c r="F3400" s="70">
        <v>9331.7800000000007</v>
      </c>
      <c r="G3400" s="320"/>
      <c r="H3400" s="79">
        <v>9289.92</v>
      </c>
      <c r="I3400" s="79">
        <v>41.86</v>
      </c>
      <c r="J3400" s="79">
        <v>9331.7800000000007</v>
      </c>
      <c r="K3400" s="79">
        <v>0</v>
      </c>
      <c r="L3400" s="70">
        <v>9331.7800000000007</v>
      </c>
      <c r="M3400" s="132"/>
      <c r="N3400" s="79">
        <v>9289.92</v>
      </c>
      <c r="O3400" s="79">
        <v>41.86</v>
      </c>
      <c r="P3400" s="79">
        <v>9331.7800000000007</v>
      </c>
      <c r="Q3400" s="136"/>
      <c r="R3400" s="79">
        <v>9289.92</v>
      </c>
      <c r="S3400" s="79">
        <v>41.87</v>
      </c>
      <c r="T3400" s="79">
        <v>9331.7900000000009</v>
      </c>
      <c r="U3400" s="79">
        <v>0</v>
      </c>
      <c r="V3400" s="189">
        <v>9331.7900000000009</v>
      </c>
      <c r="W3400" s="61"/>
      <c r="X3400" s="79">
        <v>9289.92</v>
      </c>
      <c r="Y3400" s="79">
        <v>41.87</v>
      </c>
      <c r="Z3400" s="79">
        <v>9331.7900000000009</v>
      </c>
      <c r="AA3400" s="255">
        <v>-1.0000000000218279E-2</v>
      </c>
      <c r="AB3400" s="61"/>
      <c r="AC3400" s="254"/>
      <c r="AD3400" s="236"/>
      <c r="AE3400" s="236"/>
    </row>
    <row r="3401" spans="1:31" s="61" customFormat="1" ht="24">
      <c r="A3401" s="67" t="s">
        <v>17124</v>
      </c>
      <c r="B3401" s="65" t="s">
        <v>17125</v>
      </c>
      <c r="C3401" s="71" t="s">
        <v>103</v>
      </c>
      <c r="D3401" s="78">
        <v>1</v>
      </c>
      <c r="E3401" s="79">
        <v>241.85999999999999</v>
      </c>
      <c r="F3401" s="70">
        <v>241.86</v>
      </c>
      <c r="G3401" s="320"/>
      <c r="H3401" s="79">
        <v>216.73</v>
      </c>
      <c r="I3401" s="79">
        <v>25.130000000000003</v>
      </c>
      <c r="J3401" s="79">
        <v>241.85999999999999</v>
      </c>
      <c r="K3401" s="79">
        <v>0</v>
      </c>
      <c r="L3401" s="70">
        <v>241.85999999999999</v>
      </c>
      <c r="M3401" s="132"/>
      <c r="N3401" s="79">
        <v>216.73</v>
      </c>
      <c r="O3401" s="79">
        <v>25.130000000000003</v>
      </c>
      <c r="P3401" s="79">
        <v>241.85999999999999</v>
      </c>
      <c r="Q3401" s="136"/>
      <c r="R3401" s="79">
        <v>216.73</v>
      </c>
      <c r="S3401" s="79">
        <v>25.12</v>
      </c>
      <c r="T3401" s="79">
        <v>241.85</v>
      </c>
      <c r="U3401" s="79">
        <v>0</v>
      </c>
      <c r="V3401" s="189">
        <v>241.85</v>
      </c>
      <c r="X3401" s="79">
        <v>216.73</v>
      </c>
      <c r="Y3401" s="79">
        <v>25.12</v>
      </c>
      <c r="Z3401" s="79">
        <v>241.85</v>
      </c>
      <c r="AA3401" s="255">
        <v>1.0000000000019327E-2</v>
      </c>
      <c r="AC3401" s="254"/>
      <c r="AD3401" s="236"/>
      <c r="AE3401" s="236"/>
    </row>
    <row r="3402" spans="1:31" ht="24">
      <c r="A3402" s="67" t="s">
        <v>17126</v>
      </c>
      <c r="B3402" s="65" t="s">
        <v>17127</v>
      </c>
      <c r="C3402" s="71" t="s">
        <v>103</v>
      </c>
      <c r="D3402" s="78">
        <v>1</v>
      </c>
      <c r="E3402" s="79">
        <v>612.41000000000008</v>
      </c>
      <c r="F3402" s="70">
        <v>612.41</v>
      </c>
      <c r="G3402" s="320"/>
      <c r="H3402" s="79">
        <v>587.28000000000009</v>
      </c>
      <c r="I3402" s="79">
        <v>25.130000000000003</v>
      </c>
      <c r="J3402" s="79">
        <v>612.41000000000008</v>
      </c>
      <c r="K3402" s="79">
        <v>0</v>
      </c>
      <c r="L3402" s="70">
        <v>612.41000000000008</v>
      </c>
      <c r="M3402" s="132"/>
      <c r="N3402" s="79">
        <v>587.28000000000009</v>
      </c>
      <c r="O3402" s="79">
        <v>25.130000000000003</v>
      </c>
      <c r="P3402" s="79">
        <v>612.41000000000008</v>
      </c>
      <c r="Q3402" s="136"/>
      <c r="R3402" s="79">
        <v>587.28</v>
      </c>
      <c r="S3402" s="79">
        <v>25.12</v>
      </c>
      <c r="T3402" s="79">
        <v>612.4</v>
      </c>
      <c r="U3402" s="79">
        <v>0</v>
      </c>
      <c r="V3402" s="189">
        <v>612.4</v>
      </c>
      <c r="X3402" s="79">
        <v>587.28</v>
      </c>
      <c r="Y3402" s="79">
        <v>25.12</v>
      </c>
      <c r="Z3402" s="79">
        <v>612.4</v>
      </c>
      <c r="AA3402" s="255">
        <v>9.9999999999909051E-3</v>
      </c>
      <c r="AC3402" s="254"/>
    </row>
    <row r="3403" spans="1:31" ht="12">
      <c r="A3403" s="67" t="s">
        <v>17128</v>
      </c>
      <c r="B3403" s="65" t="s">
        <v>17129</v>
      </c>
      <c r="C3403" s="71" t="s">
        <v>103</v>
      </c>
      <c r="D3403" s="78">
        <v>1</v>
      </c>
      <c r="E3403" s="79">
        <v>586.79</v>
      </c>
      <c r="F3403" s="70">
        <v>586.79</v>
      </c>
      <c r="G3403" s="320"/>
      <c r="H3403" s="79">
        <v>561.66</v>
      </c>
      <c r="I3403" s="79">
        <v>25.130000000000003</v>
      </c>
      <c r="J3403" s="79">
        <v>586.79</v>
      </c>
      <c r="K3403" s="79">
        <v>0</v>
      </c>
      <c r="L3403" s="70">
        <v>586.79</v>
      </c>
      <c r="M3403" s="132"/>
      <c r="N3403" s="79">
        <v>561.66</v>
      </c>
      <c r="O3403" s="79">
        <v>25.130000000000003</v>
      </c>
      <c r="P3403" s="79">
        <v>586.79</v>
      </c>
      <c r="Q3403" s="136"/>
      <c r="R3403" s="79">
        <v>561.66</v>
      </c>
      <c r="S3403" s="79">
        <v>25.12</v>
      </c>
      <c r="T3403" s="79">
        <v>586.78</v>
      </c>
      <c r="U3403" s="79">
        <v>0</v>
      </c>
      <c r="V3403" s="189">
        <v>586.78</v>
      </c>
      <c r="X3403" s="79">
        <v>561.66</v>
      </c>
      <c r="Y3403" s="79">
        <v>25.12</v>
      </c>
      <c r="Z3403" s="79">
        <v>586.78</v>
      </c>
      <c r="AA3403" s="255">
        <v>9.9999999999909051E-3</v>
      </c>
      <c r="AC3403" s="254"/>
    </row>
    <row r="3404" spans="1:31" ht="12">
      <c r="A3404" s="67" t="s">
        <v>17130</v>
      </c>
      <c r="B3404" s="65" t="s">
        <v>17131</v>
      </c>
      <c r="C3404" s="71" t="s">
        <v>103</v>
      </c>
      <c r="D3404" s="78">
        <v>1</v>
      </c>
      <c r="E3404" s="79">
        <v>1104.0400000000002</v>
      </c>
      <c r="F3404" s="70">
        <v>1104.04</v>
      </c>
      <c r="G3404" s="320"/>
      <c r="H3404" s="79">
        <v>1070.5400000000002</v>
      </c>
      <c r="I3404" s="79">
        <v>33.5</v>
      </c>
      <c r="J3404" s="79">
        <v>1104.0400000000002</v>
      </c>
      <c r="K3404" s="79">
        <v>0</v>
      </c>
      <c r="L3404" s="70">
        <v>1104.0400000000002</v>
      </c>
      <c r="M3404" s="132"/>
      <c r="N3404" s="79">
        <v>1070.5400000000002</v>
      </c>
      <c r="O3404" s="79">
        <v>33.5</v>
      </c>
      <c r="P3404" s="79">
        <v>1104.0400000000002</v>
      </c>
      <c r="Q3404" s="136"/>
      <c r="R3404" s="79">
        <v>1070.54</v>
      </c>
      <c r="S3404" s="79">
        <v>33.5</v>
      </c>
      <c r="T3404" s="79">
        <v>1104.04</v>
      </c>
      <c r="U3404" s="79">
        <v>0</v>
      </c>
      <c r="V3404" s="189">
        <v>1104.04</v>
      </c>
      <c r="X3404" s="79">
        <v>1070.54</v>
      </c>
      <c r="Y3404" s="79">
        <v>33.5</v>
      </c>
      <c r="Z3404" s="79">
        <v>1104.04</v>
      </c>
      <c r="AA3404" s="255">
        <v>0</v>
      </c>
      <c r="AC3404" s="254"/>
    </row>
    <row r="3405" spans="1:31" ht="12">
      <c r="A3405" s="67" t="s">
        <v>17132</v>
      </c>
      <c r="B3405" s="65" t="s">
        <v>17133</v>
      </c>
      <c r="C3405" s="71" t="s">
        <v>103</v>
      </c>
      <c r="D3405" s="78">
        <v>1</v>
      </c>
      <c r="E3405" s="79">
        <v>460.46</v>
      </c>
      <c r="F3405" s="70">
        <v>460.46</v>
      </c>
      <c r="G3405" s="320"/>
      <c r="H3405" s="79">
        <v>435.33</v>
      </c>
      <c r="I3405" s="79">
        <v>25.130000000000003</v>
      </c>
      <c r="J3405" s="79">
        <v>460.46</v>
      </c>
      <c r="K3405" s="79">
        <v>0</v>
      </c>
      <c r="L3405" s="70">
        <v>460.46</v>
      </c>
      <c r="M3405" s="132"/>
      <c r="N3405" s="79">
        <v>435.33</v>
      </c>
      <c r="O3405" s="79">
        <v>25.130000000000003</v>
      </c>
      <c r="P3405" s="79">
        <v>460.46</v>
      </c>
      <c r="Q3405" s="136"/>
      <c r="R3405" s="79">
        <v>435.33</v>
      </c>
      <c r="S3405" s="79">
        <v>25.12</v>
      </c>
      <c r="T3405" s="79">
        <v>460.45</v>
      </c>
      <c r="U3405" s="79">
        <v>0</v>
      </c>
      <c r="V3405" s="189">
        <v>460.45</v>
      </c>
      <c r="X3405" s="79">
        <v>435.33</v>
      </c>
      <c r="Y3405" s="79">
        <v>25.12</v>
      </c>
      <c r="Z3405" s="79">
        <v>460.45</v>
      </c>
      <c r="AA3405" s="255">
        <v>9.9999999999909051E-3</v>
      </c>
      <c r="AC3405" s="254"/>
    </row>
    <row r="3406" spans="1:31" ht="24">
      <c r="A3406" s="67" t="s">
        <v>17134</v>
      </c>
      <c r="B3406" s="65" t="s">
        <v>17135</v>
      </c>
      <c r="C3406" s="71" t="s">
        <v>103</v>
      </c>
      <c r="D3406" s="78">
        <v>1</v>
      </c>
      <c r="E3406" s="79">
        <v>194.73</v>
      </c>
      <c r="F3406" s="70">
        <v>194.73</v>
      </c>
      <c r="G3406" s="320"/>
      <c r="H3406" s="79">
        <v>180.76</v>
      </c>
      <c r="I3406" s="79">
        <v>13.969999999999999</v>
      </c>
      <c r="J3406" s="79">
        <v>194.73</v>
      </c>
      <c r="K3406" s="79">
        <v>0</v>
      </c>
      <c r="L3406" s="70">
        <v>194.73</v>
      </c>
      <c r="M3406" s="132"/>
      <c r="N3406" s="79">
        <v>180.76</v>
      </c>
      <c r="O3406" s="79">
        <v>13.969999999999999</v>
      </c>
      <c r="P3406" s="79">
        <v>194.73</v>
      </c>
      <c r="Q3406" s="136"/>
      <c r="R3406" s="79">
        <v>180.76</v>
      </c>
      <c r="S3406" s="79">
        <v>13.96</v>
      </c>
      <c r="T3406" s="79">
        <v>194.72</v>
      </c>
      <c r="U3406" s="79">
        <v>0</v>
      </c>
      <c r="V3406" s="189">
        <v>194.72</v>
      </c>
      <c r="X3406" s="79">
        <v>180.76</v>
      </c>
      <c r="Y3406" s="79">
        <v>13.96</v>
      </c>
      <c r="Z3406" s="79">
        <v>194.72</v>
      </c>
      <c r="AA3406" s="255">
        <v>9.9999999999909051E-3</v>
      </c>
      <c r="AC3406" s="254"/>
    </row>
    <row r="3407" spans="1:31" ht="24">
      <c r="A3407" s="67" t="s">
        <v>17136</v>
      </c>
      <c r="B3407" s="65" t="s">
        <v>17137</v>
      </c>
      <c r="C3407" s="71" t="s">
        <v>103</v>
      </c>
      <c r="D3407" s="78">
        <v>1</v>
      </c>
      <c r="E3407" s="79">
        <v>6485.05</v>
      </c>
      <c r="F3407" s="70">
        <v>6485.05</v>
      </c>
      <c r="G3407" s="320"/>
      <c r="H3407" s="79">
        <v>6451.55</v>
      </c>
      <c r="I3407" s="79">
        <v>33.5</v>
      </c>
      <c r="J3407" s="79">
        <v>6485.05</v>
      </c>
      <c r="K3407" s="79">
        <v>0</v>
      </c>
      <c r="L3407" s="70">
        <v>6485.05</v>
      </c>
      <c r="M3407" s="132"/>
      <c r="N3407" s="79">
        <v>6451.55</v>
      </c>
      <c r="O3407" s="79">
        <v>33.5</v>
      </c>
      <c r="P3407" s="79">
        <v>6485.05</v>
      </c>
      <c r="Q3407" s="136"/>
      <c r="R3407" s="79">
        <v>6451.55</v>
      </c>
      <c r="S3407" s="79">
        <v>33.5</v>
      </c>
      <c r="T3407" s="79">
        <v>6485.05</v>
      </c>
      <c r="U3407" s="79">
        <v>0</v>
      </c>
      <c r="V3407" s="189">
        <v>6485.05</v>
      </c>
      <c r="X3407" s="79">
        <v>6451.55</v>
      </c>
      <c r="Y3407" s="79">
        <v>33.5</v>
      </c>
      <c r="Z3407" s="79">
        <v>6485.05</v>
      </c>
      <c r="AA3407" s="255">
        <v>0</v>
      </c>
      <c r="AC3407" s="254"/>
    </row>
    <row r="3408" spans="1:31" ht="24">
      <c r="A3408" s="67" t="s">
        <v>17138</v>
      </c>
      <c r="B3408" s="65" t="s">
        <v>17139</v>
      </c>
      <c r="C3408" s="71" t="s">
        <v>103</v>
      </c>
      <c r="D3408" s="78">
        <v>1</v>
      </c>
      <c r="E3408" s="79">
        <v>1788.6000000000001</v>
      </c>
      <c r="F3408" s="70">
        <v>1788.6</v>
      </c>
      <c r="G3408" s="320"/>
      <c r="H3408" s="79">
        <v>1755.1000000000001</v>
      </c>
      <c r="I3408" s="79">
        <v>33.5</v>
      </c>
      <c r="J3408" s="79">
        <v>1788.6000000000001</v>
      </c>
      <c r="K3408" s="79">
        <v>0</v>
      </c>
      <c r="L3408" s="70">
        <v>1788.6000000000001</v>
      </c>
      <c r="M3408" s="132"/>
      <c r="N3408" s="79">
        <v>1755.1000000000001</v>
      </c>
      <c r="O3408" s="79">
        <v>33.5</v>
      </c>
      <c r="P3408" s="79">
        <v>1788.6000000000001</v>
      </c>
      <c r="Q3408" s="136"/>
      <c r="R3408" s="79">
        <v>1755.1</v>
      </c>
      <c r="S3408" s="79">
        <v>33.5</v>
      </c>
      <c r="T3408" s="79">
        <v>1788.6</v>
      </c>
      <c r="U3408" s="79">
        <v>0</v>
      </c>
      <c r="V3408" s="189">
        <v>1788.6</v>
      </c>
      <c r="X3408" s="79">
        <v>1755.1</v>
      </c>
      <c r="Y3408" s="79">
        <v>33.5</v>
      </c>
      <c r="Z3408" s="79">
        <v>1788.6</v>
      </c>
      <c r="AA3408" s="255">
        <v>0</v>
      </c>
      <c r="AC3408" s="254"/>
    </row>
    <row r="3409" spans="1:31" ht="24">
      <c r="A3409" s="67" t="s">
        <v>17140</v>
      </c>
      <c r="B3409" s="65" t="s">
        <v>17141</v>
      </c>
      <c r="C3409" s="71" t="s">
        <v>103</v>
      </c>
      <c r="D3409" s="78">
        <v>1</v>
      </c>
      <c r="E3409" s="79">
        <v>505.87</v>
      </c>
      <c r="F3409" s="70">
        <v>505.87</v>
      </c>
      <c r="G3409" s="320"/>
      <c r="H3409" s="79">
        <v>480.74</v>
      </c>
      <c r="I3409" s="79">
        <v>25.130000000000003</v>
      </c>
      <c r="J3409" s="79">
        <v>505.87</v>
      </c>
      <c r="K3409" s="79">
        <v>0</v>
      </c>
      <c r="L3409" s="70">
        <v>505.87</v>
      </c>
      <c r="M3409" s="132"/>
      <c r="N3409" s="79">
        <v>480.74</v>
      </c>
      <c r="O3409" s="79">
        <v>25.130000000000003</v>
      </c>
      <c r="P3409" s="79">
        <v>505.87</v>
      </c>
      <c r="Q3409" s="136"/>
      <c r="R3409" s="79">
        <v>480.74</v>
      </c>
      <c r="S3409" s="79">
        <v>25.12</v>
      </c>
      <c r="T3409" s="79">
        <v>505.86</v>
      </c>
      <c r="U3409" s="79">
        <v>0</v>
      </c>
      <c r="V3409" s="189">
        <v>505.86</v>
      </c>
      <c r="X3409" s="79">
        <v>480.74</v>
      </c>
      <c r="Y3409" s="79">
        <v>25.12</v>
      </c>
      <c r="Z3409" s="79">
        <v>505.86</v>
      </c>
      <c r="AA3409" s="255">
        <v>9.9999999999909051E-3</v>
      </c>
      <c r="AC3409" s="254"/>
    </row>
    <row r="3410" spans="1:31" ht="24">
      <c r="A3410" s="67" t="s">
        <v>17142</v>
      </c>
      <c r="B3410" s="65" t="s">
        <v>17143</v>
      </c>
      <c r="C3410" s="71" t="s">
        <v>103</v>
      </c>
      <c r="D3410" s="78">
        <v>1</v>
      </c>
      <c r="E3410" s="79">
        <v>249.14</v>
      </c>
      <c r="F3410" s="70">
        <v>249.14</v>
      </c>
      <c r="G3410" s="320"/>
      <c r="H3410" s="79">
        <v>224.01</v>
      </c>
      <c r="I3410" s="79">
        <v>25.130000000000003</v>
      </c>
      <c r="J3410" s="79">
        <v>249.14</v>
      </c>
      <c r="K3410" s="79">
        <v>0</v>
      </c>
      <c r="L3410" s="70">
        <v>249.14</v>
      </c>
      <c r="M3410" s="132"/>
      <c r="N3410" s="79">
        <v>224.01</v>
      </c>
      <c r="O3410" s="79">
        <v>25.130000000000003</v>
      </c>
      <c r="P3410" s="79">
        <v>249.14</v>
      </c>
      <c r="Q3410" s="136"/>
      <c r="R3410" s="79">
        <v>224.01</v>
      </c>
      <c r="S3410" s="79">
        <v>25.12</v>
      </c>
      <c r="T3410" s="79">
        <v>249.13</v>
      </c>
      <c r="U3410" s="79">
        <v>0</v>
      </c>
      <c r="V3410" s="189">
        <v>249.13</v>
      </c>
      <c r="X3410" s="79">
        <v>224.01</v>
      </c>
      <c r="Y3410" s="79">
        <v>25.12</v>
      </c>
      <c r="Z3410" s="79">
        <v>249.13</v>
      </c>
      <c r="AA3410" s="255">
        <v>9.9999999999909051E-3</v>
      </c>
      <c r="AC3410" s="254"/>
    </row>
    <row r="3411" spans="1:31" ht="24">
      <c r="A3411" s="67" t="s">
        <v>17144</v>
      </c>
      <c r="B3411" s="65" t="s">
        <v>17145</v>
      </c>
      <c r="C3411" s="71" t="s">
        <v>103</v>
      </c>
      <c r="D3411" s="78">
        <v>1</v>
      </c>
      <c r="E3411" s="79">
        <v>344.53</v>
      </c>
      <c r="F3411" s="70">
        <v>344.53</v>
      </c>
      <c r="G3411" s="320"/>
      <c r="H3411" s="79">
        <v>319.39999999999998</v>
      </c>
      <c r="I3411" s="79">
        <v>25.130000000000003</v>
      </c>
      <c r="J3411" s="79">
        <v>344.53</v>
      </c>
      <c r="K3411" s="79">
        <v>0</v>
      </c>
      <c r="L3411" s="70">
        <v>344.53</v>
      </c>
      <c r="M3411" s="132"/>
      <c r="N3411" s="79">
        <v>319.39999999999998</v>
      </c>
      <c r="O3411" s="79">
        <v>25.130000000000003</v>
      </c>
      <c r="P3411" s="79">
        <v>344.53</v>
      </c>
      <c r="Q3411" s="136"/>
      <c r="R3411" s="79">
        <v>319.39999999999998</v>
      </c>
      <c r="S3411" s="79">
        <v>25.12</v>
      </c>
      <c r="T3411" s="79">
        <v>344.52</v>
      </c>
      <c r="U3411" s="79">
        <v>0</v>
      </c>
      <c r="V3411" s="189">
        <v>344.52</v>
      </c>
      <c r="X3411" s="79">
        <v>319.39999999999998</v>
      </c>
      <c r="Y3411" s="79">
        <v>25.12</v>
      </c>
      <c r="Z3411" s="79">
        <v>344.52</v>
      </c>
      <c r="AA3411" s="255">
        <v>9.9999999999909051E-3</v>
      </c>
      <c r="AC3411" s="254"/>
      <c r="AD3411" s="61"/>
      <c r="AE3411" s="61"/>
    </row>
    <row r="3412" spans="1:31" ht="24">
      <c r="A3412" s="67" t="s">
        <v>17146</v>
      </c>
      <c r="B3412" s="65" t="s">
        <v>17147</v>
      </c>
      <c r="C3412" s="71" t="s">
        <v>103</v>
      </c>
      <c r="D3412" s="78">
        <v>1</v>
      </c>
      <c r="E3412" s="79">
        <v>649.5100000000001</v>
      </c>
      <c r="F3412" s="70">
        <v>649.51</v>
      </c>
      <c r="G3412" s="320"/>
      <c r="H3412" s="79">
        <v>624.38000000000011</v>
      </c>
      <c r="I3412" s="79">
        <v>25.130000000000003</v>
      </c>
      <c r="J3412" s="79">
        <v>649.5100000000001</v>
      </c>
      <c r="K3412" s="79">
        <v>0</v>
      </c>
      <c r="L3412" s="70">
        <v>649.5100000000001</v>
      </c>
      <c r="M3412" s="132"/>
      <c r="N3412" s="79">
        <v>624.38000000000011</v>
      </c>
      <c r="O3412" s="79">
        <v>25.130000000000003</v>
      </c>
      <c r="P3412" s="79">
        <v>649.5100000000001</v>
      </c>
      <c r="Q3412" s="136"/>
      <c r="R3412" s="79">
        <v>624.38</v>
      </c>
      <c r="S3412" s="79">
        <v>25.12</v>
      </c>
      <c r="T3412" s="79">
        <v>649.5</v>
      </c>
      <c r="U3412" s="79">
        <v>0</v>
      </c>
      <c r="V3412" s="189">
        <v>649.5</v>
      </c>
      <c r="X3412" s="79">
        <v>624.38</v>
      </c>
      <c r="Y3412" s="79">
        <v>25.12</v>
      </c>
      <c r="Z3412" s="79">
        <v>649.5</v>
      </c>
      <c r="AA3412" s="255">
        <v>9.9999999999909051E-3</v>
      </c>
      <c r="AC3412" s="254"/>
    </row>
    <row r="3413" spans="1:31" s="61" customFormat="1" ht="24">
      <c r="A3413" s="67" t="s">
        <v>17148</v>
      </c>
      <c r="B3413" s="65" t="s">
        <v>17149</v>
      </c>
      <c r="C3413" s="71" t="s">
        <v>103</v>
      </c>
      <c r="D3413" s="78">
        <v>1</v>
      </c>
      <c r="E3413" s="79">
        <v>903.8900000000001</v>
      </c>
      <c r="F3413" s="70">
        <v>903.89</v>
      </c>
      <c r="G3413" s="320"/>
      <c r="H3413" s="79">
        <v>878.7600000000001</v>
      </c>
      <c r="I3413" s="79">
        <v>25.130000000000003</v>
      </c>
      <c r="J3413" s="79">
        <v>903.8900000000001</v>
      </c>
      <c r="K3413" s="79">
        <v>0</v>
      </c>
      <c r="L3413" s="70">
        <v>903.8900000000001</v>
      </c>
      <c r="M3413" s="132"/>
      <c r="N3413" s="79">
        <v>878.7600000000001</v>
      </c>
      <c r="O3413" s="79">
        <v>25.130000000000003</v>
      </c>
      <c r="P3413" s="79">
        <v>903.8900000000001</v>
      </c>
      <c r="Q3413" s="136"/>
      <c r="R3413" s="79">
        <v>878.76</v>
      </c>
      <c r="S3413" s="79">
        <v>25.12</v>
      </c>
      <c r="T3413" s="79">
        <v>903.88</v>
      </c>
      <c r="U3413" s="79">
        <v>0</v>
      </c>
      <c r="V3413" s="189">
        <v>903.88</v>
      </c>
      <c r="X3413" s="79">
        <v>878.76</v>
      </c>
      <c r="Y3413" s="79">
        <v>25.12</v>
      </c>
      <c r="Z3413" s="79">
        <v>903.88</v>
      </c>
      <c r="AA3413" s="255">
        <v>9.9999999999909051E-3</v>
      </c>
      <c r="AC3413" s="254"/>
      <c r="AD3413" s="236"/>
      <c r="AE3413" s="236"/>
    </row>
    <row r="3414" spans="1:31" ht="24">
      <c r="A3414" s="67" t="s">
        <v>17150</v>
      </c>
      <c r="B3414" s="65" t="s">
        <v>17151</v>
      </c>
      <c r="C3414" s="71" t="s">
        <v>103</v>
      </c>
      <c r="D3414" s="78">
        <v>1</v>
      </c>
      <c r="E3414" s="79">
        <v>1384.0100000000002</v>
      </c>
      <c r="F3414" s="70">
        <v>1384.01</v>
      </c>
      <c r="G3414" s="320"/>
      <c r="H3414" s="79">
        <v>1358.88</v>
      </c>
      <c r="I3414" s="79">
        <v>25.130000000000003</v>
      </c>
      <c r="J3414" s="79">
        <v>1384.0100000000002</v>
      </c>
      <c r="K3414" s="79">
        <v>0</v>
      </c>
      <c r="L3414" s="70">
        <v>1384.0100000000002</v>
      </c>
      <c r="M3414" s="132"/>
      <c r="N3414" s="79">
        <v>1358.88</v>
      </c>
      <c r="O3414" s="79">
        <v>25.130000000000003</v>
      </c>
      <c r="P3414" s="79">
        <v>1384.0100000000002</v>
      </c>
      <c r="Q3414" s="136"/>
      <c r="R3414" s="79">
        <v>1358.88</v>
      </c>
      <c r="S3414" s="79">
        <v>25.12</v>
      </c>
      <c r="T3414" s="79">
        <v>1384</v>
      </c>
      <c r="U3414" s="79">
        <v>0</v>
      </c>
      <c r="V3414" s="189">
        <v>1384</v>
      </c>
      <c r="X3414" s="79">
        <v>1358.88</v>
      </c>
      <c r="Y3414" s="79">
        <v>25.12</v>
      </c>
      <c r="Z3414" s="79">
        <v>1384</v>
      </c>
      <c r="AA3414" s="255">
        <v>9.9999999999909051E-3</v>
      </c>
      <c r="AC3414" s="254"/>
    </row>
    <row r="3415" spans="1:31" ht="24">
      <c r="A3415" s="67" t="s">
        <v>17152</v>
      </c>
      <c r="B3415" s="65" t="s">
        <v>17153</v>
      </c>
      <c r="C3415" s="71" t="s">
        <v>103</v>
      </c>
      <c r="D3415" s="78">
        <v>1</v>
      </c>
      <c r="E3415" s="79">
        <v>2654.25</v>
      </c>
      <c r="F3415" s="70">
        <v>2654.25</v>
      </c>
      <c r="G3415" s="320"/>
      <c r="H3415" s="79">
        <v>2620.75</v>
      </c>
      <c r="I3415" s="79">
        <v>33.5</v>
      </c>
      <c r="J3415" s="79">
        <v>2654.25</v>
      </c>
      <c r="K3415" s="79">
        <v>0</v>
      </c>
      <c r="L3415" s="70">
        <v>2654.25</v>
      </c>
      <c r="M3415" s="132"/>
      <c r="N3415" s="79">
        <v>2620.75</v>
      </c>
      <c r="O3415" s="79">
        <v>33.5</v>
      </c>
      <c r="P3415" s="79">
        <v>2654.25</v>
      </c>
      <c r="Q3415" s="136"/>
      <c r="R3415" s="79">
        <v>2620.75</v>
      </c>
      <c r="S3415" s="79">
        <v>33.5</v>
      </c>
      <c r="T3415" s="79">
        <v>2654.25</v>
      </c>
      <c r="U3415" s="79">
        <v>0</v>
      </c>
      <c r="V3415" s="189">
        <v>2654.25</v>
      </c>
      <c r="X3415" s="79">
        <v>2620.75</v>
      </c>
      <c r="Y3415" s="79">
        <v>33.5</v>
      </c>
      <c r="Z3415" s="79">
        <v>2654.25</v>
      </c>
      <c r="AA3415" s="255">
        <v>0</v>
      </c>
      <c r="AC3415" s="254"/>
    </row>
    <row r="3416" spans="1:31" ht="24">
      <c r="A3416" s="67" t="s">
        <v>17154</v>
      </c>
      <c r="B3416" s="65" t="s">
        <v>17155</v>
      </c>
      <c r="C3416" s="71" t="s">
        <v>103</v>
      </c>
      <c r="D3416" s="78">
        <v>1</v>
      </c>
      <c r="E3416" s="79">
        <v>7125.55</v>
      </c>
      <c r="F3416" s="70">
        <v>7125.55</v>
      </c>
      <c r="G3416" s="320"/>
      <c r="H3416" s="79">
        <v>7092.05</v>
      </c>
      <c r="I3416" s="79">
        <v>33.5</v>
      </c>
      <c r="J3416" s="79">
        <v>7125.55</v>
      </c>
      <c r="K3416" s="79">
        <v>0</v>
      </c>
      <c r="L3416" s="70">
        <v>7125.55</v>
      </c>
      <c r="M3416" s="132"/>
      <c r="N3416" s="79">
        <v>7092.05</v>
      </c>
      <c r="O3416" s="79">
        <v>33.5</v>
      </c>
      <c r="P3416" s="79">
        <v>7125.55</v>
      </c>
      <c r="Q3416" s="136"/>
      <c r="R3416" s="79">
        <v>7092.05</v>
      </c>
      <c r="S3416" s="79">
        <v>33.5</v>
      </c>
      <c r="T3416" s="79">
        <v>7125.55</v>
      </c>
      <c r="U3416" s="79">
        <v>0</v>
      </c>
      <c r="V3416" s="189">
        <v>7125.55</v>
      </c>
      <c r="X3416" s="79">
        <v>7092.05</v>
      </c>
      <c r="Y3416" s="79">
        <v>33.5</v>
      </c>
      <c r="Z3416" s="79">
        <v>7125.55</v>
      </c>
      <c r="AA3416" s="498">
        <v>0</v>
      </c>
      <c r="AC3416" s="254"/>
      <c r="AD3416" s="61"/>
      <c r="AE3416" s="61"/>
    </row>
    <row r="3417" spans="1:31" ht="24">
      <c r="A3417" s="67" t="s">
        <v>17156</v>
      </c>
      <c r="B3417" s="65" t="s">
        <v>17157</v>
      </c>
      <c r="C3417" s="71" t="s">
        <v>103</v>
      </c>
      <c r="D3417" s="78">
        <v>1</v>
      </c>
      <c r="E3417" s="79">
        <v>97.27</v>
      </c>
      <c r="F3417" s="70">
        <v>97.27</v>
      </c>
      <c r="G3417" s="320"/>
      <c r="H3417" s="79">
        <v>80.52</v>
      </c>
      <c r="I3417" s="79">
        <v>16.75</v>
      </c>
      <c r="J3417" s="79">
        <v>97.27</v>
      </c>
      <c r="K3417" s="79">
        <v>0</v>
      </c>
      <c r="L3417" s="70">
        <v>97.27</v>
      </c>
      <c r="M3417" s="132"/>
      <c r="N3417" s="79">
        <v>80.52</v>
      </c>
      <c r="O3417" s="79">
        <v>16.75</v>
      </c>
      <c r="P3417" s="79">
        <v>97.27</v>
      </c>
      <c r="Q3417" s="136"/>
      <c r="R3417" s="79">
        <v>80.52</v>
      </c>
      <c r="S3417" s="79">
        <v>16.75</v>
      </c>
      <c r="T3417" s="79">
        <v>97.27</v>
      </c>
      <c r="U3417" s="79">
        <v>0</v>
      </c>
      <c r="V3417" s="189">
        <v>97.27</v>
      </c>
      <c r="X3417" s="79">
        <v>80.52</v>
      </c>
      <c r="Y3417" s="79">
        <v>16.75</v>
      </c>
      <c r="Z3417" s="79">
        <v>97.27</v>
      </c>
      <c r="AA3417" s="498">
        <v>0</v>
      </c>
      <c r="AC3417" s="254"/>
      <c r="AD3417" s="61"/>
      <c r="AE3417" s="61"/>
    </row>
    <row r="3418" spans="1:31" s="61" customFormat="1" ht="24">
      <c r="A3418" s="67" t="s">
        <v>17158</v>
      </c>
      <c r="B3418" s="65" t="s">
        <v>17159</v>
      </c>
      <c r="C3418" s="71" t="s">
        <v>103</v>
      </c>
      <c r="D3418" s="78">
        <v>1</v>
      </c>
      <c r="E3418" s="79">
        <v>124.86000000000001</v>
      </c>
      <c r="F3418" s="70">
        <v>124.86</v>
      </c>
      <c r="G3418" s="320"/>
      <c r="H3418" s="79">
        <v>99.73</v>
      </c>
      <c r="I3418" s="79">
        <v>25.130000000000003</v>
      </c>
      <c r="J3418" s="79">
        <v>124.86000000000001</v>
      </c>
      <c r="K3418" s="79">
        <v>0</v>
      </c>
      <c r="L3418" s="70">
        <v>124.86000000000001</v>
      </c>
      <c r="M3418" s="132"/>
      <c r="N3418" s="79">
        <v>99.73</v>
      </c>
      <c r="O3418" s="79">
        <v>25.130000000000003</v>
      </c>
      <c r="P3418" s="79">
        <v>124.86000000000001</v>
      </c>
      <c r="Q3418" s="136"/>
      <c r="R3418" s="79">
        <v>99.73</v>
      </c>
      <c r="S3418" s="79">
        <v>25.12</v>
      </c>
      <c r="T3418" s="79">
        <v>124.85000000000001</v>
      </c>
      <c r="U3418" s="79">
        <v>0</v>
      </c>
      <c r="V3418" s="189">
        <v>124.85000000000001</v>
      </c>
      <c r="X3418" s="79">
        <v>99.73</v>
      </c>
      <c r="Y3418" s="79">
        <v>25.12</v>
      </c>
      <c r="Z3418" s="79">
        <v>124.85</v>
      </c>
      <c r="AA3418" s="255">
        <v>1.0000000000005116E-2</v>
      </c>
      <c r="AC3418" s="254"/>
      <c r="AD3418" s="236"/>
      <c r="AE3418" s="236"/>
    </row>
    <row r="3419" spans="1:31" s="61" customFormat="1" ht="24">
      <c r="A3419" s="67" t="s">
        <v>17160</v>
      </c>
      <c r="B3419" s="65" t="s">
        <v>17161</v>
      </c>
      <c r="C3419" s="71" t="s">
        <v>103</v>
      </c>
      <c r="D3419" s="78">
        <v>1</v>
      </c>
      <c r="E3419" s="79">
        <v>148.96</v>
      </c>
      <c r="F3419" s="70">
        <v>148.96</v>
      </c>
      <c r="G3419" s="320"/>
      <c r="H3419" s="79">
        <v>126.64</v>
      </c>
      <c r="I3419" s="79">
        <v>22.32</v>
      </c>
      <c r="J3419" s="79">
        <v>148.96</v>
      </c>
      <c r="K3419" s="79">
        <v>0</v>
      </c>
      <c r="L3419" s="70">
        <v>148.96</v>
      </c>
      <c r="M3419" s="132"/>
      <c r="N3419" s="79">
        <v>126.64</v>
      </c>
      <c r="O3419" s="79">
        <v>22.32</v>
      </c>
      <c r="P3419" s="79">
        <v>148.96</v>
      </c>
      <c r="Q3419" s="136"/>
      <c r="R3419" s="79">
        <v>126.64</v>
      </c>
      <c r="S3419" s="79">
        <v>22.33</v>
      </c>
      <c r="T3419" s="79">
        <v>148.97</v>
      </c>
      <c r="U3419" s="79">
        <v>0</v>
      </c>
      <c r="V3419" s="189">
        <v>148.97</v>
      </c>
      <c r="X3419" s="79">
        <v>126.64</v>
      </c>
      <c r="Y3419" s="79">
        <v>22.33</v>
      </c>
      <c r="Z3419" s="79">
        <v>148.97</v>
      </c>
      <c r="AA3419" s="498">
        <v>-9.9999999999909051E-3</v>
      </c>
      <c r="AC3419" s="254"/>
    </row>
    <row r="3420" spans="1:31" ht="24">
      <c r="A3420" s="67" t="s">
        <v>17162</v>
      </c>
      <c r="B3420" s="65" t="s">
        <v>17163</v>
      </c>
      <c r="C3420" s="71" t="s">
        <v>103</v>
      </c>
      <c r="D3420" s="78">
        <v>1</v>
      </c>
      <c r="E3420" s="79">
        <v>162.32999999999998</v>
      </c>
      <c r="F3420" s="70">
        <v>162.33000000000001</v>
      </c>
      <c r="G3420" s="320"/>
      <c r="H3420" s="79">
        <v>137.19999999999999</v>
      </c>
      <c r="I3420" s="79">
        <v>25.130000000000003</v>
      </c>
      <c r="J3420" s="79">
        <v>162.32999999999998</v>
      </c>
      <c r="K3420" s="79">
        <v>0</v>
      </c>
      <c r="L3420" s="70">
        <v>162.32999999999998</v>
      </c>
      <c r="M3420" s="132"/>
      <c r="N3420" s="79">
        <v>137.19999999999999</v>
      </c>
      <c r="O3420" s="79">
        <v>25.130000000000003</v>
      </c>
      <c r="P3420" s="79">
        <v>162.32999999999998</v>
      </c>
      <c r="Q3420" s="136"/>
      <c r="R3420" s="79">
        <v>137.19999999999999</v>
      </c>
      <c r="S3420" s="79">
        <v>25.12</v>
      </c>
      <c r="T3420" s="79">
        <v>162.32</v>
      </c>
      <c r="U3420" s="79">
        <v>0</v>
      </c>
      <c r="V3420" s="189">
        <v>162.32</v>
      </c>
      <c r="X3420" s="79">
        <v>137.19999999999999</v>
      </c>
      <c r="Y3420" s="79">
        <v>25.12</v>
      </c>
      <c r="Z3420" s="79">
        <v>162.32</v>
      </c>
      <c r="AA3420" s="255">
        <v>1.0000000000019327E-2</v>
      </c>
      <c r="AC3420" s="254"/>
    </row>
    <row r="3421" spans="1:31" s="61" customFormat="1" ht="24">
      <c r="A3421" s="67" t="s">
        <v>17164</v>
      </c>
      <c r="B3421" s="65" t="s">
        <v>17165</v>
      </c>
      <c r="C3421" s="71" t="s">
        <v>103</v>
      </c>
      <c r="D3421" s="78">
        <v>1</v>
      </c>
      <c r="E3421" s="79">
        <v>554.1</v>
      </c>
      <c r="F3421" s="70">
        <v>554.1</v>
      </c>
      <c r="G3421" s="320"/>
      <c r="H3421" s="79">
        <v>528.97</v>
      </c>
      <c r="I3421" s="79">
        <v>25.130000000000003</v>
      </c>
      <c r="J3421" s="79">
        <v>554.1</v>
      </c>
      <c r="K3421" s="79">
        <v>0</v>
      </c>
      <c r="L3421" s="70">
        <v>554.1</v>
      </c>
      <c r="M3421" s="132"/>
      <c r="N3421" s="79">
        <v>528.97</v>
      </c>
      <c r="O3421" s="79">
        <v>25.130000000000003</v>
      </c>
      <c r="P3421" s="79">
        <v>554.1</v>
      </c>
      <c r="Q3421" s="136"/>
      <c r="R3421" s="79">
        <v>528.97</v>
      </c>
      <c r="S3421" s="79">
        <v>25.12</v>
      </c>
      <c r="T3421" s="79">
        <v>554.09</v>
      </c>
      <c r="U3421" s="79">
        <v>0</v>
      </c>
      <c r="V3421" s="189">
        <v>554.09</v>
      </c>
      <c r="X3421" s="79">
        <v>528.97</v>
      </c>
      <c r="Y3421" s="79">
        <v>25.12</v>
      </c>
      <c r="Z3421" s="79">
        <v>554.09</v>
      </c>
      <c r="AA3421" s="255">
        <v>9.9999999999909051E-3</v>
      </c>
      <c r="AC3421" s="254"/>
      <c r="AD3421" s="236"/>
      <c r="AE3421" s="236"/>
    </row>
    <row r="3422" spans="1:31" ht="24">
      <c r="A3422" s="67" t="s">
        <v>17166</v>
      </c>
      <c r="B3422" s="65" t="s">
        <v>17167</v>
      </c>
      <c r="C3422" s="71" t="s">
        <v>103</v>
      </c>
      <c r="D3422" s="78">
        <v>1</v>
      </c>
      <c r="E3422" s="79">
        <v>787.24</v>
      </c>
      <c r="F3422" s="70">
        <v>787.24</v>
      </c>
      <c r="G3422" s="320"/>
      <c r="H3422" s="79">
        <v>762.11</v>
      </c>
      <c r="I3422" s="79">
        <v>25.130000000000003</v>
      </c>
      <c r="J3422" s="79">
        <v>787.24</v>
      </c>
      <c r="K3422" s="79">
        <v>0</v>
      </c>
      <c r="L3422" s="70">
        <v>787.24</v>
      </c>
      <c r="M3422" s="132"/>
      <c r="N3422" s="79">
        <v>762.11</v>
      </c>
      <c r="O3422" s="79">
        <v>25.130000000000003</v>
      </c>
      <c r="P3422" s="79">
        <v>787.24</v>
      </c>
      <c r="Q3422" s="136"/>
      <c r="R3422" s="79">
        <v>762.11</v>
      </c>
      <c r="S3422" s="79">
        <v>25.12</v>
      </c>
      <c r="T3422" s="79">
        <v>787.23</v>
      </c>
      <c r="U3422" s="79">
        <v>0</v>
      </c>
      <c r="V3422" s="189">
        <v>787.23</v>
      </c>
      <c r="X3422" s="79">
        <v>762.11</v>
      </c>
      <c r="Y3422" s="79">
        <v>25.12</v>
      </c>
      <c r="Z3422" s="79">
        <v>787.23</v>
      </c>
      <c r="AA3422" s="255">
        <v>9.9999999999909051E-3</v>
      </c>
      <c r="AC3422" s="254"/>
    </row>
    <row r="3423" spans="1:31" ht="24">
      <c r="A3423" s="67" t="s">
        <v>17168</v>
      </c>
      <c r="B3423" s="65" t="s">
        <v>17169</v>
      </c>
      <c r="C3423" s="71" t="s">
        <v>103</v>
      </c>
      <c r="D3423" s="78">
        <v>1</v>
      </c>
      <c r="E3423" s="79">
        <v>6447.89</v>
      </c>
      <c r="F3423" s="70">
        <v>6447.89</v>
      </c>
      <c r="G3423" s="320"/>
      <c r="H3423" s="79">
        <v>6336.2400000000007</v>
      </c>
      <c r="I3423" s="79">
        <v>111.65</v>
      </c>
      <c r="J3423" s="79">
        <v>6447.89</v>
      </c>
      <c r="K3423" s="79">
        <v>0</v>
      </c>
      <c r="L3423" s="70">
        <v>6447.89</v>
      </c>
      <c r="M3423" s="132"/>
      <c r="N3423" s="79">
        <v>6336.2400000000007</v>
      </c>
      <c r="O3423" s="79">
        <v>111.65</v>
      </c>
      <c r="P3423" s="79">
        <v>6447.89</v>
      </c>
      <c r="Q3423" s="136"/>
      <c r="R3423" s="79">
        <v>6336.24</v>
      </c>
      <c r="S3423" s="79">
        <v>111.66</v>
      </c>
      <c r="T3423" s="79">
        <v>6447.9</v>
      </c>
      <c r="U3423" s="79">
        <v>0</v>
      </c>
      <c r="V3423" s="189">
        <v>6447.9</v>
      </c>
      <c r="X3423" s="79">
        <v>6336.24</v>
      </c>
      <c r="Y3423" s="79">
        <v>111.66</v>
      </c>
      <c r="Z3423" s="79">
        <v>6447.9</v>
      </c>
      <c r="AA3423" s="255">
        <v>-9.999999999308784E-3</v>
      </c>
      <c r="AC3423" s="254"/>
    </row>
    <row r="3424" spans="1:31" ht="24">
      <c r="A3424" s="67" t="s">
        <v>17170</v>
      </c>
      <c r="B3424" s="65" t="s">
        <v>17171</v>
      </c>
      <c r="C3424" s="71" t="s">
        <v>103</v>
      </c>
      <c r="D3424" s="78">
        <v>1</v>
      </c>
      <c r="E3424" s="79">
        <v>7582.45</v>
      </c>
      <c r="F3424" s="70">
        <v>7582.45</v>
      </c>
      <c r="G3424" s="320"/>
      <c r="H3424" s="79">
        <v>7470.8</v>
      </c>
      <c r="I3424" s="79">
        <v>111.65</v>
      </c>
      <c r="J3424" s="79">
        <v>7582.45</v>
      </c>
      <c r="K3424" s="79">
        <v>0</v>
      </c>
      <c r="L3424" s="70">
        <v>7582.45</v>
      </c>
      <c r="M3424" s="132"/>
      <c r="N3424" s="79">
        <v>7470.8</v>
      </c>
      <c r="O3424" s="79">
        <v>111.65</v>
      </c>
      <c r="P3424" s="79">
        <v>7582.45</v>
      </c>
      <c r="Q3424" s="136"/>
      <c r="R3424" s="79">
        <v>7470.8</v>
      </c>
      <c r="S3424" s="79">
        <v>111.66</v>
      </c>
      <c r="T3424" s="79">
        <v>7582.46</v>
      </c>
      <c r="U3424" s="79">
        <v>0</v>
      </c>
      <c r="V3424" s="189">
        <v>7582.46</v>
      </c>
      <c r="X3424" s="79">
        <v>7470.8</v>
      </c>
      <c r="Y3424" s="79">
        <v>111.66</v>
      </c>
      <c r="Z3424" s="79">
        <v>7582.46</v>
      </c>
      <c r="AA3424" s="255">
        <v>-1.0000000000218279E-2</v>
      </c>
      <c r="AC3424" s="254"/>
    </row>
    <row r="3425" spans="1:31" ht="12">
      <c r="A3425" s="67" t="s">
        <v>17172</v>
      </c>
      <c r="B3425" s="65" t="s">
        <v>17173</v>
      </c>
      <c r="C3425" s="71" t="s">
        <v>103</v>
      </c>
      <c r="D3425" s="78">
        <v>1</v>
      </c>
      <c r="E3425" s="79">
        <v>627.59</v>
      </c>
      <c r="F3425" s="70">
        <v>627.59</v>
      </c>
      <c r="G3425" s="320"/>
      <c r="H3425" s="79">
        <v>571.76</v>
      </c>
      <c r="I3425" s="79">
        <v>55.83</v>
      </c>
      <c r="J3425" s="79">
        <v>627.59</v>
      </c>
      <c r="K3425" s="79">
        <v>0</v>
      </c>
      <c r="L3425" s="70">
        <v>627.59</v>
      </c>
      <c r="M3425" s="132"/>
      <c r="N3425" s="79">
        <v>571.76</v>
      </c>
      <c r="O3425" s="79">
        <v>55.83</v>
      </c>
      <c r="P3425" s="79">
        <v>627.59</v>
      </c>
      <c r="Q3425" s="136"/>
      <c r="R3425" s="79">
        <v>571.76</v>
      </c>
      <c r="S3425" s="79">
        <v>55.83</v>
      </c>
      <c r="T3425" s="79">
        <v>627.59</v>
      </c>
      <c r="U3425" s="79">
        <v>0</v>
      </c>
      <c r="V3425" s="189">
        <v>627.59</v>
      </c>
      <c r="X3425" s="79">
        <v>571.76</v>
      </c>
      <c r="Y3425" s="79">
        <v>55.83</v>
      </c>
      <c r="Z3425" s="79">
        <v>627.59</v>
      </c>
      <c r="AA3425" s="255">
        <v>0</v>
      </c>
      <c r="AC3425" s="254"/>
    </row>
    <row r="3426" spans="1:31" ht="12">
      <c r="A3426" s="489" t="s">
        <v>17174</v>
      </c>
      <c r="B3426" s="490" t="s">
        <v>17175</v>
      </c>
      <c r="C3426" s="491"/>
      <c r="D3426" s="492"/>
      <c r="E3426" s="79"/>
      <c r="F3426" s="63"/>
      <c r="G3426" s="320"/>
      <c r="H3426" s="79"/>
      <c r="I3426" s="79"/>
      <c r="J3426" s="79"/>
      <c r="K3426" s="79"/>
      <c r="L3426" s="70"/>
      <c r="M3426" s="132"/>
      <c r="N3426" s="79"/>
      <c r="O3426" s="79"/>
      <c r="P3426" s="79"/>
      <c r="Q3426" s="136"/>
      <c r="R3426" s="79"/>
      <c r="S3426" s="79"/>
      <c r="T3426" s="79"/>
      <c r="U3426" s="79"/>
      <c r="V3426" s="189"/>
      <c r="X3426" s="79"/>
      <c r="Y3426" s="79"/>
      <c r="Z3426" s="79"/>
      <c r="AA3426" s="255"/>
      <c r="AC3426" s="254"/>
    </row>
    <row r="3427" spans="1:31" ht="12">
      <c r="A3427" s="67" t="s">
        <v>17176</v>
      </c>
      <c r="B3427" s="65" t="s">
        <v>17177</v>
      </c>
      <c r="C3427" s="71" t="s">
        <v>103</v>
      </c>
      <c r="D3427" s="78">
        <v>1</v>
      </c>
      <c r="E3427" s="79">
        <v>1469.96</v>
      </c>
      <c r="F3427" s="70">
        <v>1469.96</v>
      </c>
      <c r="G3427" s="320"/>
      <c r="H3427" s="79">
        <v>1400.17</v>
      </c>
      <c r="I3427" s="79">
        <v>69.789999999999992</v>
      </c>
      <c r="J3427" s="79">
        <v>1469.96</v>
      </c>
      <c r="K3427" s="79">
        <v>0</v>
      </c>
      <c r="L3427" s="70">
        <v>1469.96</v>
      </c>
      <c r="M3427" s="132"/>
      <c r="N3427" s="79">
        <v>1400.17</v>
      </c>
      <c r="O3427" s="79">
        <v>69.789999999999992</v>
      </c>
      <c r="P3427" s="79">
        <v>1469.96</v>
      </c>
      <c r="Q3427" s="136"/>
      <c r="R3427" s="79">
        <v>1400.17</v>
      </c>
      <c r="S3427" s="79">
        <v>69.790000000000006</v>
      </c>
      <c r="T3427" s="79">
        <v>1469.96</v>
      </c>
      <c r="U3427" s="79">
        <v>0</v>
      </c>
      <c r="V3427" s="189">
        <v>1469.96</v>
      </c>
      <c r="X3427" s="79">
        <v>1400.17</v>
      </c>
      <c r="Y3427" s="79">
        <v>69.790000000000006</v>
      </c>
      <c r="Z3427" s="79">
        <v>1469.96</v>
      </c>
      <c r="AA3427" s="255">
        <v>0</v>
      </c>
      <c r="AC3427" s="254"/>
    </row>
    <row r="3428" spans="1:31" ht="12">
      <c r="A3428" s="67" t="s">
        <v>17178</v>
      </c>
      <c r="B3428" s="65" t="s">
        <v>17179</v>
      </c>
      <c r="C3428" s="71" t="s">
        <v>103</v>
      </c>
      <c r="D3428" s="78">
        <v>1</v>
      </c>
      <c r="E3428" s="79">
        <v>2483.5299999999997</v>
      </c>
      <c r="F3428" s="70">
        <v>2483.5300000000002</v>
      </c>
      <c r="G3428" s="320"/>
      <c r="H3428" s="79">
        <v>2288.12</v>
      </c>
      <c r="I3428" s="79">
        <v>195.41000000000003</v>
      </c>
      <c r="J3428" s="79">
        <v>2483.5299999999997</v>
      </c>
      <c r="K3428" s="79">
        <v>0</v>
      </c>
      <c r="L3428" s="70">
        <v>2483.5299999999997</v>
      </c>
      <c r="M3428" s="132"/>
      <c r="N3428" s="79">
        <v>2288.12</v>
      </c>
      <c r="O3428" s="79">
        <v>195.41000000000003</v>
      </c>
      <c r="P3428" s="79">
        <v>2483.5299999999997</v>
      </c>
      <c r="Q3428" s="136"/>
      <c r="R3428" s="79">
        <v>2288.12</v>
      </c>
      <c r="S3428" s="79">
        <v>195.41</v>
      </c>
      <c r="T3428" s="79">
        <v>2483.5299999999997</v>
      </c>
      <c r="U3428" s="79">
        <v>0</v>
      </c>
      <c r="V3428" s="189">
        <v>2483.5299999999997</v>
      </c>
      <c r="X3428" s="79">
        <v>2288.12</v>
      </c>
      <c r="Y3428" s="79">
        <v>195.41</v>
      </c>
      <c r="Z3428" s="79">
        <v>2483.5300000000002</v>
      </c>
      <c r="AA3428" s="255">
        <v>0</v>
      </c>
      <c r="AC3428" s="254"/>
    </row>
    <row r="3429" spans="1:31" ht="12">
      <c r="A3429" s="67" t="s">
        <v>17180</v>
      </c>
      <c r="B3429" s="65" t="s">
        <v>17181</v>
      </c>
      <c r="C3429" s="71" t="s">
        <v>103</v>
      </c>
      <c r="D3429" s="78">
        <v>1</v>
      </c>
      <c r="E3429" s="79">
        <v>1581.98</v>
      </c>
      <c r="F3429" s="70">
        <v>1581.98</v>
      </c>
      <c r="G3429" s="320"/>
      <c r="H3429" s="79">
        <v>1386.57</v>
      </c>
      <c r="I3429" s="79">
        <v>195.41000000000003</v>
      </c>
      <c r="J3429" s="79">
        <v>1581.98</v>
      </c>
      <c r="K3429" s="79">
        <v>0</v>
      </c>
      <c r="L3429" s="70">
        <v>1581.98</v>
      </c>
      <c r="M3429" s="132"/>
      <c r="N3429" s="79">
        <v>1386.57</v>
      </c>
      <c r="O3429" s="79">
        <v>195.41000000000003</v>
      </c>
      <c r="P3429" s="79">
        <v>1581.98</v>
      </c>
      <c r="Q3429" s="136"/>
      <c r="R3429" s="79">
        <v>1386.57</v>
      </c>
      <c r="S3429" s="79">
        <v>195.41</v>
      </c>
      <c r="T3429" s="79">
        <v>1581.98</v>
      </c>
      <c r="U3429" s="79">
        <v>0</v>
      </c>
      <c r="V3429" s="189">
        <v>1581.98</v>
      </c>
      <c r="X3429" s="79">
        <v>1386.57</v>
      </c>
      <c r="Y3429" s="79">
        <v>195.41</v>
      </c>
      <c r="Z3429" s="79">
        <v>1581.98</v>
      </c>
      <c r="AA3429" s="255">
        <v>0</v>
      </c>
      <c r="AC3429" s="254"/>
    </row>
    <row r="3430" spans="1:31" ht="12">
      <c r="A3430" s="67" t="s">
        <v>17182</v>
      </c>
      <c r="B3430" s="65" t="s">
        <v>2705</v>
      </c>
      <c r="C3430" s="71" t="s">
        <v>103</v>
      </c>
      <c r="D3430" s="78">
        <v>1</v>
      </c>
      <c r="E3430" s="79">
        <v>3921.62</v>
      </c>
      <c r="F3430" s="70">
        <v>3921.62</v>
      </c>
      <c r="G3430" s="320"/>
      <c r="H3430" s="79">
        <v>3726.21</v>
      </c>
      <c r="I3430" s="79">
        <v>195.41000000000003</v>
      </c>
      <c r="J3430" s="79">
        <v>3921.62</v>
      </c>
      <c r="K3430" s="79">
        <v>0</v>
      </c>
      <c r="L3430" s="70">
        <v>3921.62</v>
      </c>
      <c r="M3430" s="132"/>
      <c r="N3430" s="79">
        <v>3726.21</v>
      </c>
      <c r="O3430" s="79">
        <v>195.41000000000003</v>
      </c>
      <c r="P3430" s="79">
        <v>3921.62</v>
      </c>
      <c r="Q3430" s="136"/>
      <c r="R3430" s="79">
        <v>3726.21</v>
      </c>
      <c r="S3430" s="79">
        <v>195.41</v>
      </c>
      <c r="T3430" s="79">
        <v>3921.62</v>
      </c>
      <c r="U3430" s="79">
        <v>0</v>
      </c>
      <c r="V3430" s="189">
        <v>3921.62</v>
      </c>
      <c r="X3430" s="79">
        <v>3726.21</v>
      </c>
      <c r="Y3430" s="79">
        <v>195.41</v>
      </c>
      <c r="Z3430" s="79">
        <v>3921.62</v>
      </c>
      <c r="AA3430" s="255">
        <v>0</v>
      </c>
      <c r="AC3430" s="254"/>
    </row>
    <row r="3431" spans="1:31" ht="12">
      <c r="A3431" s="67" t="s">
        <v>17183</v>
      </c>
      <c r="B3431" s="65" t="s">
        <v>17184</v>
      </c>
      <c r="C3431" s="71" t="s">
        <v>103</v>
      </c>
      <c r="D3431" s="78">
        <v>1</v>
      </c>
      <c r="E3431" s="79">
        <v>1979.7</v>
      </c>
      <c r="F3431" s="70">
        <v>1979.7</v>
      </c>
      <c r="G3431" s="320"/>
      <c r="H3431" s="79">
        <v>1868.05</v>
      </c>
      <c r="I3431" s="79">
        <v>111.65</v>
      </c>
      <c r="J3431" s="79">
        <v>1979.7</v>
      </c>
      <c r="K3431" s="79">
        <v>0</v>
      </c>
      <c r="L3431" s="70">
        <v>1979.7</v>
      </c>
      <c r="M3431" s="132"/>
      <c r="N3431" s="79">
        <v>1868.05</v>
      </c>
      <c r="O3431" s="79">
        <v>111.65</v>
      </c>
      <c r="P3431" s="79">
        <v>1979.7</v>
      </c>
      <c r="Q3431" s="136"/>
      <c r="R3431" s="79">
        <v>1868.05</v>
      </c>
      <c r="S3431" s="79">
        <v>111.66</v>
      </c>
      <c r="T3431" s="79">
        <v>1979.71</v>
      </c>
      <c r="U3431" s="79">
        <v>0</v>
      </c>
      <c r="V3431" s="189">
        <v>1979.71</v>
      </c>
      <c r="X3431" s="79">
        <v>1868.05</v>
      </c>
      <c r="Y3431" s="79">
        <v>111.66</v>
      </c>
      <c r="Z3431" s="79">
        <v>1979.71</v>
      </c>
      <c r="AA3431" s="255">
        <v>-9.9999999999909051E-3</v>
      </c>
      <c r="AC3431" s="254"/>
    </row>
    <row r="3432" spans="1:31" ht="12">
      <c r="A3432" s="67" t="s">
        <v>17185</v>
      </c>
      <c r="B3432" s="65" t="s">
        <v>17186</v>
      </c>
      <c r="C3432" s="71" t="s">
        <v>103</v>
      </c>
      <c r="D3432" s="78">
        <v>1</v>
      </c>
      <c r="E3432" s="79">
        <v>3305.32</v>
      </c>
      <c r="F3432" s="70">
        <v>3305.32</v>
      </c>
      <c r="G3432" s="320"/>
      <c r="H3432" s="79">
        <v>3193.67</v>
      </c>
      <c r="I3432" s="79">
        <v>111.65</v>
      </c>
      <c r="J3432" s="79">
        <v>3305.32</v>
      </c>
      <c r="K3432" s="79">
        <v>0</v>
      </c>
      <c r="L3432" s="70">
        <v>3305.32</v>
      </c>
      <c r="M3432" s="132"/>
      <c r="N3432" s="79">
        <v>3193.67</v>
      </c>
      <c r="O3432" s="79">
        <v>111.65</v>
      </c>
      <c r="P3432" s="79">
        <v>3305.32</v>
      </c>
      <c r="Q3432" s="136"/>
      <c r="R3432" s="79">
        <v>3193.67</v>
      </c>
      <c r="S3432" s="79">
        <v>111.66</v>
      </c>
      <c r="T3432" s="79">
        <v>3305.33</v>
      </c>
      <c r="U3432" s="79">
        <v>0</v>
      </c>
      <c r="V3432" s="189">
        <v>3305.33</v>
      </c>
      <c r="X3432" s="79">
        <v>3193.67</v>
      </c>
      <c r="Y3432" s="79">
        <v>111.66</v>
      </c>
      <c r="Z3432" s="79">
        <v>3305.33</v>
      </c>
      <c r="AA3432" s="255">
        <v>-9.9999999997635314E-3</v>
      </c>
      <c r="AC3432" s="254"/>
    </row>
    <row r="3433" spans="1:31" ht="12">
      <c r="A3433" s="67" t="s">
        <v>17187</v>
      </c>
      <c r="B3433" s="65" t="s">
        <v>17188</v>
      </c>
      <c r="C3433" s="71" t="s">
        <v>103</v>
      </c>
      <c r="D3433" s="78">
        <v>1</v>
      </c>
      <c r="E3433" s="79">
        <v>1086.04</v>
      </c>
      <c r="F3433" s="70">
        <v>1086.04</v>
      </c>
      <c r="G3433" s="320"/>
      <c r="H3433" s="79">
        <v>974.39</v>
      </c>
      <c r="I3433" s="79">
        <v>111.65</v>
      </c>
      <c r="J3433" s="79">
        <v>1086.04</v>
      </c>
      <c r="K3433" s="79">
        <v>0</v>
      </c>
      <c r="L3433" s="70">
        <v>1086.04</v>
      </c>
      <c r="M3433" s="132"/>
      <c r="N3433" s="79">
        <v>974.39</v>
      </c>
      <c r="O3433" s="79">
        <v>111.65</v>
      </c>
      <c r="P3433" s="79">
        <v>1086.04</v>
      </c>
      <c r="Q3433" s="136"/>
      <c r="R3433" s="79">
        <v>974.39</v>
      </c>
      <c r="S3433" s="79">
        <v>111.66</v>
      </c>
      <c r="T3433" s="79">
        <v>1086.05</v>
      </c>
      <c r="U3433" s="79">
        <v>0</v>
      </c>
      <c r="V3433" s="189">
        <v>1086.05</v>
      </c>
      <c r="X3433" s="79">
        <v>974.39</v>
      </c>
      <c r="Y3433" s="79">
        <v>111.66</v>
      </c>
      <c r="Z3433" s="79">
        <v>1086.05</v>
      </c>
      <c r="AA3433" s="255">
        <v>-9.9999999999909051E-3</v>
      </c>
      <c r="AC3433" s="254"/>
    </row>
    <row r="3434" spans="1:31" ht="12">
      <c r="A3434" s="67" t="s">
        <v>17189</v>
      </c>
      <c r="B3434" s="65" t="s">
        <v>17190</v>
      </c>
      <c r="C3434" s="71" t="s">
        <v>103</v>
      </c>
      <c r="D3434" s="78">
        <v>1</v>
      </c>
      <c r="E3434" s="79">
        <v>940.18999999999994</v>
      </c>
      <c r="F3434" s="70">
        <v>940.19</v>
      </c>
      <c r="G3434" s="320"/>
      <c r="H3434" s="79">
        <v>828.54</v>
      </c>
      <c r="I3434" s="79">
        <v>111.65</v>
      </c>
      <c r="J3434" s="79">
        <v>940.18999999999994</v>
      </c>
      <c r="K3434" s="79">
        <v>0</v>
      </c>
      <c r="L3434" s="70">
        <v>940.18999999999994</v>
      </c>
      <c r="M3434" s="132"/>
      <c r="N3434" s="79">
        <v>828.54</v>
      </c>
      <c r="O3434" s="79">
        <v>111.65</v>
      </c>
      <c r="P3434" s="79">
        <v>940.18999999999994</v>
      </c>
      <c r="Q3434" s="136"/>
      <c r="R3434" s="79">
        <v>828.54</v>
      </c>
      <c r="S3434" s="79">
        <v>111.66</v>
      </c>
      <c r="T3434" s="79">
        <v>940.19999999999993</v>
      </c>
      <c r="U3434" s="79">
        <v>0</v>
      </c>
      <c r="V3434" s="189">
        <v>940.19999999999993</v>
      </c>
      <c r="X3434" s="79">
        <v>828.54</v>
      </c>
      <c r="Y3434" s="79">
        <v>111.66</v>
      </c>
      <c r="Z3434" s="79">
        <v>940.2</v>
      </c>
      <c r="AA3434" s="255">
        <v>-9.9999999999909051E-3</v>
      </c>
      <c r="AC3434" s="254"/>
    </row>
    <row r="3435" spans="1:31" ht="24">
      <c r="A3435" s="67" t="s">
        <v>17191</v>
      </c>
      <c r="B3435" s="65" t="s">
        <v>17192</v>
      </c>
      <c r="C3435" s="71" t="s">
        <v>103</v>
      </c>
      <c r="D3435" s="78">
        <v>1</v>
      </c>
      <c r="E3435" s="79">
        <v>6670.48</v>
      </c>
      <c r="F3435" s="70">
        <v>6670.48</v>
      </c>
      <c r="G3435" s="320"/>
      <c r="H3435" s="79">
        <v>6600.69</v>
      </c>
      <c r="I3435" s="79">
        <v>69.789999999999992</v>
      </c>
      <c r="J3435" s="79">
        <v>6670.48</v>
      </c>
      <c r="K3435" s="79">
        <v>0</v>
      </c>
      <c r="L3435" s="70">
        <v>6670.48</v>
      </c>
      <c r="M3435" s="132"/>
      <c r="N3435" s="79">
        <v>6600.69</v>
      </c>
      <c r="O3435" s="79">
        <v>69.789999999999992</v>
      </c>
      <c r="P3435" s="79">
        <v>6670.48</v>
      </c>
      <c r="Q3435" s="136"/>
      <c r="R3435" s="79">
        <v>6600.69</v>
      </c>
      <c r="S3435" s="79">
        <v>69.790000000000006</v>
      </c>
      <c r="T3435" s="79">
        <v>6670.48</v>
      </c>
      <c r="U3435" s="79">
        <v>0</v>
      </c>
      <c r="V3435" s="189">
        <v>6670.48</v>
      </c>
      <c r="X3435" s="79">
        <v>6600.69</v>
      </c>
      <c r="Y3435" s="79">
        <v>69.790000000000006</v>
      </c>
      <c r="Z3435" s="79">
        <v>6670.48</v>
      </c>
      <c r="AA3435" s="255">
        <v>0</v>
      </c>
      <c r="AC3435" s="254"/>
    </row>
    <row r="3436" spans="1:31" ht="24">
      <c r="A3436" s="67" t="s">
        <v>17193</v>
      </c>
      <c r="B3436" s="65" t="s">
        <v>17194</v>
      </c>
      <c r="C3436" s="71" t="s">
        <v>103</v>
      </c>
      <c r="D3436" s="78">
        <v>1</v>
      </c>
      <c r="E3436" s="79">
        <v>3342.2400000000002</v>
      </c>
      <c r="F3436" s="70">
        <v>3342.24</v>
      </c>
      <c r="G3436" s="320"/>
      <c r="H3436" s="79">
        <v>3308.7400000000002</v>
      </c>
      <c r="I3436" s="79">
        <v>33.5</v>
      </c>
      <c r="J3436" s="79">
        <v>3342.2400000000002</v>
      </c>
      <c r="K3436" s="79">
        <v>0</v>
      </c>
      <c r="L3436" s="70">
        <v>3342.2400000000002</v>
      </c>
      <c r="M3436" s="132"/>
      <c r="N3436" s="79">
        <v>3308.7400000000002</v>
      </c>
      <c r="O3436" s="79">
        <v>33.5</v>
      </c>
      <c r="P3436" s="79">
        <v>3342.2400000000002</v>
      </c>
      <c r="Q3436" s="136"/>
      <c r="R3436" s="79">
        <v>3308.74</v>
      </c>
      <c r="S3436" s="79">
        <v>33.5</v>
      </c>
      <c r="T3436" s="79">
        <v>3342.24</v>
      </c>
      <c r="U3436" s="79">
        <v>0</v>
      </c>
      <c r="V3436" s="189">
        <v>3342.24</v>
      </c>
      <c r="X3436" s="79">
        <v>3308.74</v>
      </c>
      <c r="Y3436" s="79">
        <v>33.5</v>
      </c>
      <c r="Z3436" s="79">
        <v>3342.24</v>
      </c>
      <c r="AA3436" s="255">
        <v>0</v>
      </c>
      <c r="AC3436" s="254"/>
    </row>
    <row r="3437" spans="1:31" ht="12">
      <c r="A3437" s="67" t="s">
        <v>17195</v>
      </c>
      <c r="B3437" s="65" t="s">
        <v>2732</v>
      </c>
      <c r="C3437" s="71" t="s">
        <v>103</v>
      </c>
      <c r="D3437" s="78">
        <v>1</v>
      </c>
      <c r="E3437" s="79">
        <v>1204.1200000000001</v>
      </c>
      <c r="F3437" s="70">
        <v>1204.1199999999999</v>
      </c>
      <c r="G3437" s="320"/>
      <c r="H3437" s="79">
        <v>1092.47</v>
      </c>
      <c r="I3437" s="79">
        <v>111.65</v>
      </c>
      <c r="J3437" s="79">
        <v>1204.1200000000001</v>
      </c>
      <c r="K3437" s="79">
        <v>0</v>
      </c>
      <c r="L3437" s="70">
        <v>1204.1200000000001</v>
      </c>
      <c r="M3437" s="132"/>
      <c r="N3437" s="79">
        <v>1092.47</v>
      </c>
      <c r="O3437" s="79">
        <v>111.65</v>
      </c>
      <c r="P3437" s="79">
        <v>1204.1200000000001</v>
      </c>
      <c r="Q3437" s="136"/>
      <c r="R3437" s="79">
        <v>1092.47</v>
      </c>
      <c r="S3437" s="79">
        <v>111.66</v>
      </c>
      <c r="T3437" s="79">
        <v>1204.1300000000001</v>
      </c>
      <c r="U3437" s="79">
        <v>0</v>
      </c>
      <c r="V3437" s="189">
        <v>1204.1300000000001</v>
      </c>
      <c r="X3437" s="79">
        <v>1092.47</v>
      </c>
      <c r="Y3437" s="79">
        <v>111.66</v>
      </c>
      <c r="Z3437" s="79">
        <v>1204.1300000000001</v>
      </c>
      <c r="AA3437" s="255">
        <v>-1.0000000000218279E-2</v>
      </c>
      <c r="AC3437" s="254"/>
    </row>
    <row r="3438" spans="1:31" ht="12">
      <c r="A3438" s="67" t="s">
        <v>17196</v>
      </c>
      <c r="B3438" s="65" t="s">
        <v>2740</v>
      </c>
      <c r="C3438" s="71" t="s">
        <v>103</v>
      </c>
      <c r="D3438" s="78">
        <v>1</v>
      </c>
      <c r="E3438" s="79">
        <v>981.44</v>
      </c>
      <c r="F3438" s="70">
        <v>981.44</v>
      </c>
      <c r="G3438" s="320"/>
      <c r="H3438" s="79">
        <v>939.58</v>
      </c>
      <c r="I3438" s="79">
        <v>41.86</v>
      </c>
      <c r="J3438" s="79">
        <v>981.44</v>
      </c>
      <c r="K3438" s="79">
        <v>0</v>
      </c>
      <c r="L3438" s="70">
        <v>981.44</v>
      </c>
      <c r="M3438" s="132"/>
      <c r="N3438" s="79">
        <v>939.58</v>
      </c>
      <c r="O3438" s="79">
        <v>41.86</v>
      </c>
      <c r="P3438" s="79">
        <v>981.44</v>
      </c>
      <c r="Q3438" s="136"/>
      <c r="R3438" s="79">
        <v>939.58</v>
      </c>
      <c r="S3438" s="79">
        <v>41.87</v>
      </c>
      <c r="T3438" s="79">
        <v>981.45</v>
      </c>
      <c r="U3438" s="79">
        <v>0</v>
      </c>
      <c r="V3438" s="189">
        <v>981.45</v>
      </c>
      <c r="X3438" s="79">
        <v>939.58</v>
      </c>
      <c r="Y3438" s="79">
        <v>41.87</v>
      </c>
      <c r="Z3438" s="79">
        <v>981.45</v>
      </c>
      <c r="AA3438" s="255">
        <v>-9.9999999999909051E-3</v>
      </c>
      <c r="AC3438" s="254"/>
    </row>
    <row r="3439" spans="1:31" ht="24">
      <c r="A3439" s="67" t="s">
        <v>17197</v>
      </c>
      <c r="B3439" s="65" t="s">
        <v>17198</v>
      </c>
      <c r="C3439" s="71" t="s">
        <v>103</v>
      </c>
      <c r="D3439" s="78">
        <v>1</v>
      </c>
      <c r="E3439" s="79">
        <v>6601.72</v>
      </c>
      <c r="F3439" s="70">
        <v>6601.72</v>
      </c>
      <c r="G3439" s="320"/>
      <c r="H3439" s="79">
        <v>6434.2400000000007</v>
      </c>
      <c r="I3439" s="79">
        <v>167.48</v>
      </c>
      <c r="J3439" s="79">
        <v>6601.72</v>
      </c>
      <c r="K3439" s="79">
        <v>0</v>
      </c>
      <c r="L3439" s="70">
        <v>6601.72</v>
      </c>
      <c r="M3439" s="132"/>
      <c r="N3439" s="79">
        <v>6434.2400000000007</v>
      </c>
      <c r="O3439" s="79">
        <v>167.48</v>
      </c>
      <c r="P3439" s="79">
        <v>6601.72</v>
      </c>
      <c r="Q3439" s="136"/>
      <c r="R3439" s="79">
        <v>6434.24</v>
      </c>
      <c r="S3439" s="79">
        <v>167.49</v>
      </c>
      <c r="T3439" s="79">
        <v>6601.73</v>
      </c>
      <c r="U3439" s="79">
        <v>0</v>
      </c>
      <c r="V3439" s="189">
        <v>6601.73</v>
      </c>
      <c r="X3439" s="79">
        <v>6434.24</v>
      </c>
      <c r="Y3439" s="79">
        <v>167.49</v>
      </c>
      <c r="Z3439" s="79">
        <v>6601.73</v>
      </c>
      <c r="AA3439" s="255">
        <v>-9.999999999308784E-3</v>
      </c>
      <c r="AC3439" s="254"/>
      <c r="AD3439" s="69"/>
      <c r="AE3439" s="69"/>
    </row>
    <row r="3440" spans="1:31" ht="12">
      <c r="A3440" s="67" t="s">
        <v>17199</v>
      </c>
      <c r="B3440" s="65" t="s">
        <v>17200</v>
      </c>
      <c r="C3440" s="71" t="s">
        <v>103</v>
      </c>
      <c r="D3440" s="78">
        <v>1</v>
      </c>
      <c r="E3440" s="79">
        <v>2308.29</v>
      </c>
      <c r="F3440" s="70">
        <v>2308.29</v>
      </c>
      <c r="G3440" s="320"/>
      <c r="H3440" s="79">
        <v>2196.64</v>
      </c>
      <c r="I3440" s="79">
        <v>111.65</v>
      </c>
      <c r="J3440" s="79">
        <v>2308.29</v>
      </c>
      <c r="K3440" s="79">
        <v>0</v>
      </c>
      <c r="L3440" s="70">
        <v>2308.29</v>
      </c>
      <c r="M3440" s="132"/>
      <c r="N3440" s="79">
        <v>2196.64</v>
      </c>
      <c r="O3440" s="79">
        <v>111.65</v>
      </c>
      <c r="P3440" s="79">
        <v>2308.29</v>
      </c>
      <c r="Q3440" s="136"/>
      <c r="R3440" s="79">
        <v>2196.64</v>
      </c>
      <c r="S3440" s="79">
        <v>111.66</v>
      </c>
      <c r="T3440" s="79">
        <v>2308.2999999999997</v>
      </c>
      <c r="U3440" s="79">
        <v>0</v>
      </c>
      <c r="V3440" s="189">
        <v>2308.2999999999997</v>
      </c>
      <c r="X3440" s="79">
        <v>2196.64</v>
      </c>
      <c r="Y3440" s="79">
        <v>111.66</v>
      </c>
      <c r="Z3440" s="79">
        <v>2308.3000000000002</v>
      </c>
      <c r="AA3440" s="255">
        <v>-1.0000000000218279E-2</v>
      </c>
      <c r="AC3440" s="254"/>
    </row>
    <row r="3441" spans="1:31" s="69" customFormat="1" ht="12">
      <c r="A3441" s="67" t="s">
        <v>17201</v>
      </c>
      <c r="B3441" s="65" t="s">
        <v>17202</v>
      </c>
      <c r="C3441" s="71" t="s">
        <v>103</v>
      </c>
      <c r="D3441" s="78">
        <v>1</v>
      </c>
      <c r="E3441" s="79">
        <v>3518.65</v>
      </c>
      <c r="F3441" s="70">
        <v>3518.65</v>
      </c>
      <c r="G3441" s="320"/>
      <c r="H3441" s="79">
        <v>3407</v>
      </c>
      <c r="I3441" s="79">
        <v>111.65</v>
      </c>
      <c r="J3441" s="79">
        <v>3518.65</v>
      </c>
      <c r="K3441" s="79">
        <v>0</v>
      </c>
      <c r="L3441" s="70">
        <v>3518.65</v>
      </c>
      <c r="M3441" s="132"/>
      <c r="N3441" s="79">
        <v>3407</v>
      </c>
      <c r="O3441" s="79">
        <v>111.65</v>
      </c>
      <c r="P3441" s="79">
        <v>3518.65</v>
      </c>
      <c r="Q3441" s="136"/>
      <c r="R3441" s="79">
        <v>3407</v>
      </c>
      <c r="S3441" s="79">
        <v>111.66</v>
      </c>
      <c r="T3441" s="79">
        <v>3518.66</v>
      </c>
      <c r="U3441" s="79">
        <v>0</v>
      </c>
      <c r="V3441" s="189">
        <v>3518.66</v>
      </c>
      <c r="W3441" s="61"/>
      <c r="X3441" s="79">
        <v>3407</v>
      </c>
      <c r="Y3441" s="79">
        <v>111.66</v>
      </c>
      <c r="Z3441" s="79">
        <v>3518.66</v>
      </c>
      <c r="AA3441" s="255">
        <v>-9.9999999997635314E-3</v>
      </c>
      <c r="AB3441" s="61"/>
      <c r="AC3441" s="254"/>
      <c r="AD3441" s="236"/>
      <c r="AE3441" s="236"/>
    </row>
    <row r="3442" spans="1:31" ht="12">
      <c r="A3442" s="67" t="s">
        <v>17203</v>
      </c>
      <c r="B3442" s="65" t="s">
        <v>17204</v>
      </c>
      <c r="C3442" s="71" t="s">
        <v>103</v>
      </c>
      <c r="D3442" s="78">
        <v>1</v>
      </c>
      <c r="E3442" s="79">
        <v>2431.1600000000003</v>
      </c>
      <c r="F3442" s="70">
        <v>2431.16</v>
      </c>
      <c r="G3442" s="320"/>
      <c r="H3442" s="79">
        <v>2319.5100000000002</v>
      </c>
      <c r="I3442" s="79">
        <v>111.65</v>
      </c>
      <c r="J3442" s="79">
        <v>2431.1600000000003</v>
      </c>
      <c r="K3442" s="79">
        <v>0</v>
      </c>
      <c r="L3442" s="70">
        <v>2431.1600000000003</v>
      </c>
      <c r="M3442" s="132"/>
      <c r="N3442" s="79">
        <v>2319.5100000000002</v>
      </c>
      <c r="O3442" s="79">
        <v>111.65</v>
      </c>
      <c r="P3442" s="79">
        <v>2431.1600000000003</v>
      </c>
      <c r="Q3442" s="136"/>
      <c r="R3442" s="79">
        <v>2319.5100000000002</v>
      </c>
      <c r="S3442" s="79">
        <v>111.66</v>
      </c>
      <c r="T3442" s="79">
        <v>2431.17</v>
      </c>
      <c r="U3442" s="79">
        <v>0</v>
      </c>
      <c r="V3442" s="189">
        <v>2431.17</v>
      </c>
      <c r="X3442" s="79">
        <v>2319.5100000000002</v>
      </c>
      <c r="Y3442" s="79">
        <v>111.66</v>
      </c>
      <c r="Z3442" s="79">
        <v>2431.17</v>
      </c>
      <c r="AA3442" s="255">
        <v>-1.0000000000218279E-2</v>
      </c>
      <c r="AC3442" s="254"/>
      <c r="AD3442" s="69"/>
      <c r="AE3442" s="69"/>
    </row>
    <row r="3443" spans="1:31" ht="12">
      <c r="A3443" s="489" t="s">
        <v>17205</v>
      </c>
      <c r="B3443" s="490" t="s">
        <v>17206</v>
      </c>
      <c r="C3443" s="491"/>
      <c r="D3443" s="492"/>
      <c r="E3443" s="79"/>
      <c r="F3443" s="63"/>
      <c r="G3443" s="320"/>
      <c r="H3443" s="79"/>
      <c r="I3443" s="79"/>
      <c r="J3443" s="79"/>
      <c r="K3443" s="79"/>
      <c r="L3443" s="70"/>
      <c r="M3443" s="132"/>
      <c r="N3443" s="79"/>
      <c r="O3443" s="79"/>
      <c r="P3443" s="79"/>
      <c r="Q3443" s="136"/>
      <c r="R3443" s="79"/>
      <c r="S3443" s="79"/>
      <c r="T3443" s="79"/>
      <c r="U3443" s="79"/>
      <c r="V3443" s="189"/>
      <c r="X3443" s="79"/>
      <c r="Y3443" s="79"/>
      <c r="Z3443" s="79"/>
      <c r="AA3443" s="255"/>
      <c r="AC3443" s="254"/>
    </row>
    <row r="3444" spans="1:31" s="69" customFormat="1" ht="24">
      <c r="A3444" s="67" t="s">
        <v>17207</v>
      </c>
      <c r="B3444" s="65" t="s">
        <v>17208</v>
      </c>
      <c r="C3444" s="71" t="s">
        <v>103</v>
      </c>
      <c r="D3444" s="78">
        <v>1</v>
      </c>
      <c r="E3444" s="79">
        <v>123.03</v>
      </c>
      <c r="F3444" s="70">
        <v>123.03</v>
      </c>
      <c r="G3444" s="320"/>
      <c r="H3444" s="79">
        <v>97.9</v>
      </c>
      <c r="I3444" s="79">
        <v>25.130000000000003</v>
      </c>
      <c r="J3444" s="79">
        <v>123.03</v>
      </c>
      <c r="K3444" s="79">
        <v>0</v>
      </c>
      <c r="L3444" s="70">
        <v>123.03</v>
      </c>
      <c r="M3444" s="132"/>
      <c r="N3444" s="79">
        <v>97.9</v>
      </c>
      <c r="O3444" s="79">
        <v>25.130000000000003</v>
      </c>
      <c r="P3444" s="79">
        <v>123.03</v>
      </c>
      <c r="Q3444" s="136"/>
      <c r="R3444" s="79">
        <v>97.9</v>
      </c>
      <c r="S3444" s="79">
        <v>25.12</v>
      </c>
      <c r="T3444" s="79">
        <v>123.02000000000001</v>
      </c>
      <c r="U3444" s="79">
        <v>0</v>
      </c>
      <c r="V3444" s="189">
        <v>123.02000000000001</v>
      </c>
      <c r="W3444" s="61"/>
      <c r="X3444" s="79">
        <v>97.9</v>
      </c>
      <c r="Y3444" s="79">
        <v>25.12</v>
      </c>
      <c r="Z3444" s="79">
        <v>123.02</v>
      </c>
      <c r="AA3444" s="255">
        <v>1.0000000000005116E-2</v>
      </c>
      <c r="AB3444" s="61"/>
      <c r="AC3444" s="254"/>
      <c r="AD3444" s="236"/>
      <c r="AE3444" s="236"/>
    </row>
    <row r="3445" spans="1:31" ht="24">
      <c r="A3445" s="67" t="s">
        <v>17209</v>
      </c>
      <c r="B3445" s="65" t="s">
        <v>17210</v>
      </c>
      <c r="C3445" s="71" t="s">
        <v>103</v>
      </c>
      <c r="D3445" s="78">
        <v>1</v>
      </c>
      <c r="E3445" s="79">
        <v>167.45999999999998</v>
      </c>
      <c r="F3445" s="70">
        <v>167.46</v>
      </c>
      <c r="G3445" s="320"/>
      <c r="H3445" s="79">
        <v>133.95999999999998</v>
      </c>
      <c r="I3445" s="79">
        <v>33.5</v>
      </c>
      <c r="J3445" s="79">
        <v>167.45999999999998</v>
      </c>
      <c r="K3445" s="79">
        <v>0</v>
      </c>
      <c r="L3445" s="70">
        <v>167.45999999999998</v>
      </c>
      <c r="M3445" s="132"/>
      <c r="N3445" s="79">
        <v>133.95999999999998</v>
      </c>
      <c r="O3445" s="79">
        <v>33.5</v>
      </c>
      <c r="P3445" s="79">
        <v>167.45999999999998</v>
      </c>
      <c r="Q3445" s="136"/>
      <c r="R3445" s="79">
        <v>133.96</v>
      </c>
      <c r="S3445" s="79">
        <v>33.5</v>
      </c>
      <c r="T3445" s="79">
        <v>167.46</v>
      </c>
      <c r="U3445" s="79">
        <v>0</v>
      </c>
      <c r="V3445" s="189">
        <v>167.46</v>
      </c>
      <c r="X3445" s="79">
        <v>133.96</v>
      </c>
      <c r="Y3445" s="79">
        <v>33.5</v>
      </c>
      <c r="Z3445" s="79">
        <v>167.46</v>
      </c>
      <c r="AA3445" s="255">
        <v>0</v>
      </c>
      <c r="AC3445" s="254"/>
    </row>
    <row r="3446" spans="1:31" ht="24">
      <c r="A3446" s="67" t="s">
        <v>17211</v>
      </c>
      <c r="B3446" s="65" t="s">
        <v>17212</v>
      </c>
      <c r="C3446" s="71" t="s">
        <v>103</v>
      </c>
      <c r="D3446" s="78">
        <v>1</v>
      </c>
      <c r="E3446" s="79">
        <v>241.20000000000002</v>
      </c>
      <c r="F3446" s="70">
        <v>241.2</v>
      </c>
      <c r="G3446" s="320"/>
      <c r="H3446" s="79">
        <v>199.34</v>
      </c>
      <c r="I3446" s="79">
        <v>41.86</v>
      </c>
      <c r="J3446" s="79">
        <v>241.2</v>
      </c>
      <c r="K3446" s="79">
        <v>0</v>
      </c>
      <c r="L3446" s="70">
        <v>241.2</v>
      </c>
      <c r="M3446" s="132"/>
      <c r="N3446" s="79">
        <v>199.34</v>
      </c>
      <c r="O3446" s="79">
        <v>41.86</v>
      </c>
      <c r="P3446" s="79">
        <v>241.2</v>
      </c>
      <c r="Q3446" s="136"/>
      <c r="R3446" s="79">
        <v>199.34</v>
      </c>
      <c r="S3446" s="79">
        <v>41.87</v>
      </c>
      <c r="T3446" s="79">
        <v>241.21</v>
      </c>
      <c r="U3446" s="79">
        <v>0</v>
      </c>
      <c r="V3446" s="189">
        <v>241.21</v>
      </c>
      <c r="X3446" s="79">
        <v>199.34</v>
      </c>
      <c r="Y3446" s="79">
        <v>41.87</v>
      </c>
      <c r="Z3446" s="79">
        <v>241.21</v>
      </c>
      <c r="AA3446" s="255">
        <v>-1.0000000000019327E-2</v>
      </c>
      <c r="AC3446" s="254"/>
    </row>
    <row r="3447" spans="1:31" ht="24">
      <c r="A3447" s="67" t="s">
        <v>17213</v>
      </c>
      <c r="B3447" s="65" t="s">
        <v>17214</v>
      </c>
      <c r="C3447" s="71" t="s">
        <v>103</v>
      </c>
      <c r="D3447" s="78">
        <v>1</v>
      </c>
      <c r="E3447" s="79">
        <v>301.33000000000004</v>
      </c>
      <c r="F3447" s="70">
        <v>301.33</v>
      </c>
      <c r="G3447" s="320"/>
      <c r="H3447" s="79">
        <v>256.67</v>
      </c>
      <c r="I3447" s="79">
        <v>44.66</v>
      </c>
      <c r="J3447" s="79">
        <v>301.33000000000004</v>
      </c>
      <c r="K3447" s="79">
        <v>0</v>
      </c>
      <c r="L3447" s="70">
        <v>301.33000000000004</v>
      </c>
      <c r="M3447" s="132"/>
      <c r="N3447" s="79">
        <v>256.67</v>
      </c>
      <c r="O3447" s="79">
        <v>44.66</v>
      </c>
      <c r="P3447" s="79">
        <v>301.33000000000004</v>
      </c>
      <c r="Q3447" s="136"/>
      <c r="R3447" s="79">
        <v>256.67</v>
      </c>
      <c r="S3447" s="79">
        <v>44.67</v>
      </c>
      <c r="T3447" s="79">
        <v>301.34000000000003</v>
      </c>
      <c r="U3447" s="79">
        <v>0</v>
      </c>
      <c r="V3447" s="189">
        <v>301.34000000000003</v>
      </c>
      <c r="X3447" s="79">
        <v>256.67</v>
      </c>
      <c r="Y3447" s="79">
        <v>44.67</v>
      </c>
      <c r="Z3447" s="79">
        <v>301.33999999999997</v>
      </c>
      <c r="AA3447" s="495">
        <v>-9.9999999999909051E-3</v>
      </c>
      <c r="AC3447" s="254"/>
      <c r="AD3447" s="61"/>
      <c r="AE3447" s="61"/>
    </row>
    <row r="3448" spans="1:31" ht="24">
      <c r="A3448" s="67" t="s">
        <v>17215</v>
      </c>
      <c r="B3448" s="65" t="s">
        <v>17216</v>
      </c>
      <c r="C3448" s="71" t="s">
        <v>103</v>
      </c>
      <c r="D3448" s="78">
        <v>1</v>
      </c>
      <c r="E3448" s="79">
        <v>649.82000000000005</v>
      </c>
      <c r="F3448" s="70">
        <v>649.82000000000005</v>
      </c>
      <c r="G3448" s="320"/>
      <c r="H3448" s="79">
        <v>580.03000000000009</v>
      </c>
      <c r="I3448" s="79">
        <v>69.789999999999992</v>
      </c>
      <c r="J3448" s="79">
        <v>649.82000000000005</v>
      </c>
      <c r="K3448" s="79">
        <v>0</v>
      </c>
      <c r="L3448" s="70">
        <v>649.82000000000005</v>
      </c>
      <c r="M3448" s="132"/>
      <c r="N3448" s="79">
        <v>580.03000000000009</v>
      </c>
      <c r="O3448" s="79">
        <v>69.789999999999992</v>
      </c>
      <c r="P3448" s="79">
        <v>649.82000000000005</v>
      </c>
      <c r="Q3448" s="136"/>
      <c r="R3448" s="79">
        <v>580.03</v>
      </c>
      <c r="S3448" s="79">
        <v>69.790000000000006</v>
      </c>
      <c r="T3448" s="79">
        <v>649.81999999999994</v>
      </c>
      <c r="U3448" s="79">
        <v>0</v>
      </c>
      <c r="V3448" s="189">
        <v>649.81999999999994</v>
      </c>
      <c r="X3448" s="79">
        <v>580.03</v>
      </c>
      <c r="Y3448" s="79">
        <v>69.790000000000006</v>
      </c>
      <c r="Z3448" s="79">
        <v>649.82000000000005</v>
      </c>
      <c r="AA3448" s="255">
        <v>0</v>
      </c>
      <c r="AC3448" s="254"/>
    </row>
    <row r="3449" spans="1:31" s="61" customFormat="1" ht="12">
      <c r="A3449" s="489" t="s">
        <v>17217</v>
      </c>
      <c r="B3449" s="490" t="s">
        <v>17218</v>
      </c>
      <c r="C3449" s="491"/>
      <c r="D3449" s="492"/>
      <c r="E3449" s="79"/>
      <c r="F3449" s="63"/>
      <c r="G3449" s="320"/>
      <c r="H3449" s="79"/>
      <c r="I3449" s="79"/>
      <c r="J3449" s="79"/>
      <c r="K3449" s="79"/>
      <c r="L3449" s="70"/>
      <c r="M3449" s="132"/>
      <c r="N3449" s="79"/>
      <c r="O3449" s="79"/>
      <c r="P3449" s="79"/>
      <c r="Q3449" s="136"/>
      <c r="R3449" s="79"/>
      <c r="S3449" s="79"/>
      <c r="T3449" s="79"/>
      <c r="U3449" s="79"/>
      <c r="V3449" s="189"/>
      <c r="X3449" s="79"/>
      <c r="Y3449" s="79"/>
      <c r="Z3449" s="79"/>
      <c r="AA3449" s="255"/>
      <c r="AC3449" s="254"/>
      <c r="AD3449" s="236"/>
      <c r="AE3449" s="236"/>
    </row>
    <row r="3450" spans="1:31" ht="24">
      <c r="A3450" s="67" t="s">
        <v>17219</v>
      </c>
      <c r="B3450" s="65" t="s">
        <v>17220</v>
      </c>
      <c r="C3450" s="71" t="s">
        <v>103</v>
      </c>
      <c r="D3450" s="78">
        <v>1</v>
      </c>
      <c r="E3450" s="79">
        <v>468.23</v>
      </c>
      <c r="F3450" s="70">
        <v>468.23</v>
      </c>
      <c r="G3450" s="320"/>
      <c r="H3450" s="79">
        <v>434.73</v>
      </c>
      <c r="I3450" s="79">
        <v>33.5</v>
      </c>
      <c r="J3450" s="79">
        <v>468.23</v>
      </c>
      <c r="K3450" s="79">
        <v>0</v>
      </c>
      <c r="L3450" s="70">
        <v>468.23</v>
      </c>
      <c r="M3450" s="132"/>
      <c r="N3450" s="79">
        <v>434.73</v>
      </c>
      <c r="O3450" s="79">
        <v>33.5</v>
      </c>
      <c r="P3450" s="79">
        <v>468.23</v>
      </c>
      <c r="Q3450" s="136"/>
      <c r="R3450" s="79">
        <v>434.73</v>
      </c>
      <c r="S3450" s="79">
        <v>33.5</v>
      </c>
      <c r="T3450" s="79">
        <v>468.23</v>
      </c>
      <c r="U3450" s="79">
        <v>0</v>
      </c>
      <c r="V3450" s="189">
        <v>468.23</v>
      </c>
      <c r="X3450" s="79">
        <v>434.73</v>
      </c>
      <c r="Y3450" s="79">
        <v>33.5</v>
      </c>
      <c r="Z3450" s="79">
        <v>468.23</v>
      </c>
      <c r="AA3450" s="255">
        <v>0</v>
      </c>
      <c r="AC3450" s="254"/>
    </row>
    <row r="3451" spans="1:31" ht="24">
      <c r="A3451" s="67" t="s">
        <v>17221</v>
      </c>
      <c r="B3451" s="65" t="s">
        <v>17222</v>
      </c>
      <c r="C3451" s="71" t="s">
        <v>103</v>
      </c>
      <c r="D3451" s="78">
        <v>1</v>
      </c>
      <c r="E3451" s="79">
        <v>583.40000000000009</v>
      </c>
      <c r="F3451" s="70">
        <v>583.4</v>
      </c>
      <c r="G3451" s="320"/>
      <c r="H3451" s="79">
        <v>541.54000000000008</v>
      </c>
      <c r="I3451" s="79">
        <v>41.86</v>
      </c>
      <c r="J3451" s="79">
        <v>583.40000000000009</v>
      </c>
      <c r="K3451" s="79">
        <v>0</v>
      </c>
      <c r="L3451" s="70">
        <v>583.40000000000009</v>
      </c>
      <c r="M3451" s="132"/>
      <c r="N3451" s="79">
        <v>541.54000000000008</v>
      </c>
      <c r="O3451" s="79">
        <v>41.86</v>
      </c>
      <c r="P3451" s="79">
        <v>583.40000000000009</v>
      </c>
      <c r="Q3451" s="136"/>
      <c r="R3451" s="79">
        <v>541.54</v>
      </c>
      <c r="S3451" s="79">
        <v>41.87</v>
      </c>
      <c r="T3451" s="79">
        <v>583.41</v>
      </c>
      <c r="U3451" s="79">
        <v>0</v>
      </c>
      <c r="V3451" s="189">
        <v>583.41</v>
      </c>
      <c r="X3451" s="79">
        <v>541.54</v>
      </c>
      <c r="Y3451" s="79">
        <v>41.87</v>
      </c>
      <c r="Z3451" s="79">
        <v>583.41</v>
      </c>
      <c r="AA3451" s="255">
        <v>-9.9999999999909051E-3</v>
      </c>
      <c r="AC3451" s="254"/>
    </row>
    <row r="3452" spans="1:31" ht="24">
      <c r="A3452" s="67" t="s">
        <v>17223</v>
      </c>
      <c r="B3452" s="65" t="s">
        <v>17224</v>
      </c>
      <c r="C3452" s="71" t="s">
        <v>103</v>
      </c>
      <c r="D3452" s="78">
        <v>1</v>
      </c>
      <c r="E3452" s="79">
        <v>1124.3</v>
      </c>
      <c r="F3452" s="70">
        <v>1124.3</v>
      </c>
      <c r="G3452" s="320"/>
      <c r="H3452" s="79">
        <v>1068.47</v>
      </c>
      <c r="I3452" s="79">
        <v>55.83</v>
      </c>
      <c r="J3452" s="79">
        <v>1124.3</v>
      </c>
      <c r="K3452" s="79">
        <v>0</v>
      </c>
      <c r="L3452" s="70">
        <v>1124.3</v>
      </c>
      <c r="M3452" s="132"/>
      <c r="N3452" s="79">
        <v>1068.47</v>
      </c>
      <c r="O3452" s="79">
        <v>55.83</v>
      </c>
      <c r="P3452" s="79">
        <v>1124.3</v>
      </c>
      <c r="Q3452" s="136"/>
      <c r="R3452" s="79">
        <v>1068.47</v>
      </c>
      <c r="S3452" s="79">
        <v>55.83</v>
      </c>
      <c r="T3452" s="79">
        <v>1124.3</v>
      </c>
      <c r="U3452" s="79">
        <v>0</v>
      </c>
      <c r="V3452" s="189">
        <v>1124.3</v>
      </c>
      <c r="X3452" s="79">
        <v>1068.47</v>
      </c>
      <c r="Y3452" s="79">
        <v>55.83</v>
      </c>
      <c r="Z3452" s="79">
        <v>1124.3</v>
      </c>
      <c r="AA3452" s="255">
        <v>0</v>
      </c>
      <c r="AC3452" s="254"/>
    </row>
    <row r="3453" spans="1:31" ht="24">
      <c r="A3453" s="67" t="s">
        <v>17225</v>
      </c>
      <c r="B3453" s="65" t="s">
        <v>17226</v>
      </c>
      <c r="C3453" s="71" t="s">
        <v>103</v>
      </c>
      <c r="D3453" s="78">
        <v>1</v>
      </c>
      <c r="E3453" s="79">
        <v>1456.2</v>
      </c>
      <c r="F3453" s="70">
        <v>1456.2</v>
      </c>
      <c r="G3453" s="320"/>
      <c r="H3453" s="79">
        <v>1386.41</v>
      </c>
      <c r="I3453" s="79">
        <v>69.789999999999992</v>
      </c>
      <c r="J3453" s="79">
        <v>1456.2</v>
      </c>
      <c r="K3453" s="79">
        <v>0</v>
      </c>
      <c r="L3453" s="70">
        <v>1456.2</v>
      </c>
      <c r="M3453" s="132"/>
      <c r="N3453" s="79">
        <v>1386.41</v>
      </c>
      <c r="O3453" s="79">
        <v>69.789999999999992</v>
      </c>
      <c r="P3453" s="79">
        <v>1456.2</v>
      </c>
      <c r="Q3453" s="136"/>
      <c r="R3453" s="79">
        <v>1386.41</v>
      </c>
      <c r="S3453" s="79">
        <v>69.790000000000006</v>
      </c>
      <c r="T3453" s="79">
        <v>1456.2</v>
      </c>
      <c r="U3453" s="79">
        <v>0</v>
      </c>
      <c r="V3453" s="189">
        <v>1456.2</v>
      </c>
      <c r="X3453" s="79">
        <v>1386.41</v>
      </c>
      <c r="Y3453" s="79">
        <v>69.790000000000006</v>
      </c>
      <c r="Z3453" s="79">
        <v>1456.2</v>
      </c>
      <c r="AA3453" s="255">
        <v>0</v>
      </c>
      <c r="AC3453" s="254"/>
    </row>
    <row r="3454" spans="1:31" ht="12">
      <c r="A3454" s="489" t="s">
        <v>17227</v>
      </c>
      <c r="B3454" s="490" t="s">
        <v>17228</v>
      </c>
      <c r="C3454" s="491"/>
      <c r="D3454" s="492"/>
      <c r="E3454" s="79"/>
      <c r="F3454" s="63"/>
      <c r="G3454" s="320"/>
      <c r="H3454" s="79"/>
      <c r="I3454" s="79"/>
      <c r="J3454" s="79"/>
      <c r="K3454" s="79"/>
      <c r="L3454" s="70"/>
      <c r="M3454" s="132"/>
      <c r="N3454" s="79"/>
      <c r="O3454" s="79"/>
      <c r="P3454" s="79"/>
      <c r="Q3454" s="136"/>
      <c r="R3454" s="79"/>
      <c r="S3454" s="79"/>
      <c r="T3454" s="79"/>
      <c r="U3454" s="79"/>
      <c r="V3454" s="189"/>
      <c r="X3454" s="79"/>
      <c r="Y3454" s="79"/>
      <c r="Z3454" s="79"/>
      <c r="AA3454" s="255"/>
      <c r="AC3454" s="254"/>
    </row>
    <row r="3455" spans="1:31" ht="24">
      <c r="A3455" s="67" t="s">
        <v>17229</v>
      </c>
      <c r="B3455" s="65" t="s">
        <v>17230</v>
      </c>
      <c r="C3455" s="71" t="s">
        <v>103</v>
      </c>
      <c r="D3455" s="78">
        <v>1</v>
      </c>
      <c r="E3455" s="79">
        <v>631.2299999999999</v>
      </c>
      <c r="F3455" s="70">
        <v>631.23</v>
      </c>
      <c r="G3455" s="320"/>
      <c r="H3455" s="79">
        <v>606.09999999999991</v>
      </c>
      <c r="I3455" s="79">
        <v>25.130000000000003</v>
      </c>
      <c r="J3455" s="79">
        <v>631.2299999999999</v>
      </c>
      <c r="K3455" s="79">
        <v>0</v>
      </c>
      <c r="L3455" s="70">
        <v>631.2299999999999</v>
      </c>
      <c r="M3455" s="132"/>
      <c r="N3455" s="79">
        <v>606.09999999999991</v>
      </c>
      <c r="O3455" s="79">
        <v>25.130000000000003</v>
      </c>
      <c r="P3455" s="79">
        <v>631.2299999999999</v>
      </c>
      <c r="Q3455" s="136"/>
      <c r="R3455" s="79">
        <v>606.1</v>
      </c>
      <c r="S3455" s="79">
        <v>25.12</v>
      </c>
      <c r="T3455" s="79">
        <v>631.22</v>
      </c>
      <c r="U3455" s="79">
        <v>0</v>
      </c>
      <c r="V3455" s="189">
        <v>631.22</v>
      </c>
      <c r="X3455" s="79">
        <v>606.1</v>
      </c>
      <c r="Y3455" s="79">
        <v>25.12</v>
      </c>
      <c r="Z3455" s="79">
        <v>631.22</v>
      </c>
      <c r="AA3455" s="255">
        <v>9.9999999999909051E-3</v>
      </c>
      <c r="AC3455" s="254"/>
    </row>
    <row r="3456" spans="1:31" ht="12">
      <c r="A3456" s="489" t="s">
        <v>17231</v>
      </c>
      <c r="B3456" s="490" t="s">
        <v>17232</v>
      </c>
      <c r="C3456" s="491"/>
      <c r="D3456" s="492"/>
      <c r="E3456" s="79"/>
      <c r="F3456" s="63"/>
      <c r="G3456" s="320"/>
      <c r="H3456" s="79"/>
      <c r="I3456" s="79"/>
      <c r="J3456" s="79"/>
      <c r="K3456" s="79"/>
      <c r="L3456" s="70"/>
      <c r="M3456" s="132"/>
      <c r="N3456" s="79"/>
      <c r="O3456" s="79"/>
      <c r="P3456" s="79"/>
      <c r="Q3456" s="136"/>
      <c r="R3456" s="79"/>
      <c r="S3456" s="79"/>
      <c r="T3456" s="79"/>
      <c r="U3456" s="79"/>
      <c r="V3456" s="189"/>
      <c r="X3456" s="79"/>
      <c r="Y3456" s="79"/>
      <c r="Z3456" s="79"/>
      <c r="AA3456" s="255"/>
      <c r="AC3456" s="254"/>
    </row>
    <row r="3457" spans="1:31" ht="24">
      <c r="A3457" s="67" t="s">
        <v>17233</v>
      </c>
      <c r="B3457" s="65" t="s">
        <v>17234</v>
      </c>
      <c r="C3457" s="71" t="s">
        <v>103</v>
      </c>
      <c r="D3457" s="78">
        <v>1</v>
      </c>
      <c r="E3457" s="79">
        <v>607.44000000000005</v>
      </c>
      <c r="F3457" s="70">
        <v>607.44000000000005</v>
      </c>
      <c r="G3457" s="320"/>
      <c r="H3457" s="79">
        <v>490.56</v>
      </c>
      <c r="I3457" s="79">
        <v>116.88</v>
      </c>
      <c r="J3457" s="79">
        <v>607.44000000000005</v>
      </c>
      <c r="K3457" s="79">
        <v>0</v>
      </c>
      <c r="L3457" s="70">
        <v>607.44000000000005</v>
      </c>
      <c r="M3457" s="132"/>
      <c r="N3457" s="79">
        <v>490.56</v>
      </c>
      <c r="O3457" s="79">
        <v>116.88</v>
      </c>
      <c r="P3457" s="79">
        <v>607.44000000000005</v>
      </c>
      <c r="Q3457" s="136"/>
      <c r="R3457" s="79">
        <v>490.56</v>
      </c>
      <c r="S3457" s="79">
        <v>116.87</v>
      </c>
      <c r="T3457" s="79">
        <v>607.43000000000006</v>
      </c>
      <c r="U3457" s="79">
        <v>0</v>
      </c>
      <c r="V3457" s="189">
        <v>607.43000000000006</v>
      </c>
      <c r="X3457" s="79">
        <v>490.56</v>
      </c>
      <c r="Y3457" s="79">
        <v>116.87</v>
      </c>
      <c r="Z3457" s="79">
        <v>607.42999999999995</v>
      </c>
      <c r="AA3457" s="255">
        <v>1.0000000000104592E-2</v>
      </c>
      <c r="AC3457" s="254"/>
    </row>
    <row r="3458" spans="1:31" ht="12">
      <c r="A3458" s="67" t="s">
        <v>17235</v>
      </c>
      <c r="B3458" s="65" t="s">
        <v>17236</v>
      </c>
      <c r="C3458" s="71" t="s">
        <v>103</v>
      </c>
      <c r="D3458" s="78">
        <v>1</v>
      </c>
      <c r="E3458" s="79">
        <v>222.45</v>
      </c>
      <c r="F3458" s="70">
        <v>222.45</v>
      </c>
      <c r="G3458" s="320"/>
      <c r="H3458" s="79">
        <v>211.29</v>
      </c>
      <c r="I3458" s="79">
        <v>11.16</v>
      </c>
      <c r="J3458" s="79">
        <v>222.45</v>
      </c>
      <c r="K3458" s="79">
        <v>0</v>
      </c>
      <c r="L3458" s="70">
        <v>222.45</v>
      </c>
      <c r="M3458" s="132"/>
      <c r="N3458" s="79">
        <v>211.29</v>
      </c>
      <c r="O3458" s="79">
        <v>11.16</v>
      </c>
      <c r="P3458" s="79">
        <v>222.45</v>
      </c>
      <c r="Q3458" s="136"/>
      <c r="R3458" s="79">
        <v>211.29</v>
      </c>
      <c r="S3458" s="79">
        <v>11.16</v>
      </c>
      <c r="T3458" s="79">
        <v>222.45</v>
      </c>
      <c r="U3458" s="79">
        <v>0</v>
      </c>
      <c r="V3458" s="189">
        <v>222.45</v>
      </c>
      <c r="X3458" s="79">
        <v>211.29</v>
      </c>
      <c r="Y3458" s="79">
        <v>11.16</v>
      </c>
      <c r="Z3458" s="79">
        <v>222.45</v>
      </c>
      <c r="AA3458" s="255">
        <v>0</v>
      </c>
      <c r="AC3458" s="254"/>
    </row>
    <row r="3459" spans="1:31" ht="12">
      <c r="A3459" s="67" t="s">
        <v>17237</v>
      </c>
      <c r="B3459" s="65" t="s">
        <v>17238</v>
      </c>
      <c r="C3459" s="71" t="s">
        <v>103</v>
      </c>
      <c r="D3459" s="78">
        <v>1</v>
      </c>
      <c r="E3459" s="79">
        <v>280.20999999999998</v>
      </c>
      <c r="F3459" s="70">
        <v>280.20999999999998</v>
      </c>
      <c r="G3459" s="320"/>
      <c r="H3459" s="79">
        <v>252.27</v>
      </c>
      <c r="I3459" s="79">
        <v>27.939999999999998</v>
      </c>
      <c r="J3459" s="79">
        <v>280.21000000000004</v>
      </c>
      <c r="K3459" s="79">
        <v>0</v>
      </c>
      <c r="L3459" s="70">
        <v>280.21000000000004</v>
      </c>
      <c r="M3459" s="132"/>
      <c r="N3459" s="79">
        <v>252.27</v>
      </c>
      <c r="O3459" s="79">
        <v>27.939999999999998</v>
      </c>
      <c r="P3459" s="79">
        <v>280.21000000000004</v>
      </c>
      <c r="Q3459" s="136"/>
      <c r="R3459" s="79">
        <v>252.27</v>
      </c>
      <c r="S3459" s="79">
        <v>27.92</v>
      </c>
      <c r="T3459" s="79">
        <v>280.19</v>
      </c>
      <c r="U3459" s="79">
        <v>0</v>
      </c>
      <c r="V3459" s="189">
        <v>280.19</v>
      </c>
      <c r="X3459" s="79">
        <v>252.27</v>
      </c>
      <c r="Y3459" s="79">
        <v>27.92</v>
      </c>
      <c r="Z3459" s="79">
        <v>280.19</v>
      </c>
      <c r="AA3459" s="255">
        <v>1.999999999998181E-2</v>
      </c>
      <c r="AC3459" s="254"/>
    </row>
    <row r="3460" spans="1:31" ht="24">
      <c r="A3460" s="67" t="s">
        <v>17239</v>
      </c>
      <c r="B3460" s="65" t="s">
        <v>17240</v>
      </c>
      <c r="C3460" s="71" t="s">
        <v>103</v>
      </c>
      <c r="D3460" s="78">
        <v>1</v>
      </c>
      <c r="E3460" s="79">
        <v>13805.98</v>
      </c>
      <c r="F3460" s="70">
        <v>13805.98</v>
      </c>
      <c r="G3460" s="320"/>
      <c r="H3460" s="79">
        <v>13689.1</v>
      </c>
      <c r="I3460" s="79">
        <v>116.88</v>
      </c>
      <c r="J3460" s="79">
        <v>13805.98</v>
      </c>
      <c r="K3460" s="79">
        <v>0</v>
      </c>
      <c r="L3460" s="70">
        <v>13805.98</v>
      </c>
      <c r="M3460" s="132"/>
      <c r="N3460" s="79">
        <v>13689.1</v>
      </c>
      <c r="O3460" s="79">
        <v>116.88</v>
      </c>
      <c r="P3460" s="79">
        <v>13805.98</v>
      </c>
      <c r="Q3460" s="136"/>
      <c r="R3460" s="79">
        <v>13689.1</v>
      </c>
      <c r="S3460" s="79">
        <v>116.87</v>
      </c>
      <c r="T3460" s="79">
        <v>13805.970000000001</v>
      </c>
      <c r="U3460" s="79">
        <v>0</v>
      </c>
      <c r="V3460" s="189">
        <v>13805.970000000001</v>
      </c>
      <c r="X3460" s="79">
        <v>13689.1</v>
      </c>
      <c r="Y3460" s="79">
        <v>116.87</v>
      </c>
      <c r="Z3460" s="79">
        <v>13805.97</v>
      </c>
      <c r="AA3460" s="255">
        <v>1.0000000000218279E-2</v>
      </c>
      <c r="AC3460" s="254"/>
    </row>
    <row r="3461" spans="1:31" ht="12">
      <c r="A3461" s="489" t="s">
        <v>17241</v>
      </c>
      <c r="B3461" s="490" t="s">
        <v>17242</v>
      </c>
      <c r="C3461" s="491"/>
      <c r="D3461" s="492"/>
      <c r="E3461" s="79"/>
      <c r="F3461" s="63"/>
      <c r="G3461" s="320"/>
      <c r="H3461" s="79"/>
      <c r="I3461" s="79"/>
      <c r="J3461" s="79"/>
      <c r="K3461" s="79"/>
      <c r="L3461" s="70"/>
      <c r="M3461" s="132"/>
      <c r="N3461" s="79"/>
      <c r="O3461" s="79"/>
      <c r="P3461" s="79"/>
      <c r="Q3461" s="136"/>
      <c r="R3461" s="79"/>
      <c r="S3461" s="79"/>
      <c r="T3461" s="79"/>
      <c r="U3461" s="79"/>
      <c r="V3461" s="189"/>
      <c r="X3461" s="79"/>
      <c r="Y3461" s="79"/>
      <c r="Z3461" s="79"/>
      <c r="AA3461" s="255"/>
      <c r="AC3461" s="254"/>
    </row>
    <row r="3462" spans="1:31" ht="12">
      <c r="A3462" s="67" t="s">
        <v>17243</v>
      </c>
      <c r="B3462" s="65" t="s">
        <v>17244</v>
      </c>
      <c r="C3462" s="71" t="s">
        <v>103</v>
      </c>
      <c r="D3462" s="78">
        <v>1</v>
      </c>
      <c r="E3462" s="79">
        <v>3296.93</v>
      </c>
      <c r="F3462" s="70">
        <v>3296.93</v>
      </c>
      <c r="G3462" s="320"/>
      <c r="H3462" s="79">
        <v>3103.66</v>
      </c>
      <c r="I3462" s="79">
        <v>193.27</v>
      </c>
      <c r="J3462" s="79">
        <v>3296.93</v>
      </c>
      <c r="K3462" s="79">
        <v>0</v>
      </c>
      <c r="L3462" s="70">
        <v>3296.93</v>
      </c>
      <c r="M3462" s="132"/>
      <c r="N3462" s="79">
        <v>3103.66</v>
      </c>
      <c r="O3462" s="79">
        <v>193.27</v>
      </c>
      <c r="P3462" s="79">
        <v>3296.93</v>
      </c>
      <c r="Q3462" s="136"/>
      <c r="R3462" s="79">
        <v>3103.66</v>
      </c>
      <c r="S3462" s="79">
        <v>193.28</v>
      </c>
      <c r="T3462" s="79">
        <v>3296.94</v>
      </c>
      <c r="U3462" s="79">
        <v>0</v>
      </c>
      <c r="V3462" s="189">
        <v>3296.94</v>
      </c>
      <c r="X3462" s="79">
        <v>3103.66</v>
      </c>
      <c r="Y3462" s="79">
        <v>193.28</v>
      </c>
      <c r="Z3462" s="79">
        <v>3296.94</v>
      </c>
      <c r="AA3462" s="255">
        <v>-1.0000000000218279E-2</v>
      </c>
      <c r="AC3462" s="254"/>
    </row>
    <row r="3463" spans="1:31" ht="12">
      <c r="A3463" s="67" t="s">
        <v>17245</v>
      </c>
      <c r="B3463" s="65" t="s">
        <v>17246</v>
      </c>
      <c r="C3463" s="71" t="s">
        <v>103</v>
      </c>
      <c r="D3463" s="78">
        <v>1</v>
      </c>
      <c r="E3463" s="79">
        <v>1233.21</v>
      </c>
      <c r="F3463" s="70">
        <v>1233.21</v>
      </c>
      <c r="G3463" s="320"/>
      <c r="H3463" s="79">
        <v>1039.94</v>
      </c>
      <c r="I3463" s="79">
        <v>193.27</v>
      </c>
      <c r="J3463" s="79">
        <v>1233.21</v>
      </c>
      <c r="K3463" s="79">
        <v>0</v>
      </c>
      <c r="L3463" s="70">
        <v>1233.21</v>
      </c>
      <c r="M3463" s="132"/>
      <c r="N3463" s="79">
        <v>1039.94</v>
      </c>
      <c r="O3463" s="79">
        <v>193.27</v>
      </c>
      <c r="P3463" s="79">
        <v>1233.21</v>
      </c>
      <c r="Q3463" s="136"/>
      <c r="R3463" s="79">
        <v>1039.94</v>
      </c>
      <c r="S3463" s="79">
        <v>193.28</v>
      </c>
      <c r="T3463" s="79">
        <v>1233.22</v>
      </c>
      <c r="U3463" s="79">
        <v>0</v>
      </c>
      <c r="V3463" s="189">
        <v>1233.22</v>
      </c>
      <c r="X3463" s="79">
        <v>1039.94</v>
      </c>
      <c r="Y3463" s="79">
        <v>193.28</v>
      </c>
      <c r="Z3463" s="79">
        <v>1233.22</v>
      </c>
      <c r="AA3463" s="255">
        <v>-9.9999999999909051E-3</v>
      </c>
      <c r="AC3463" s="254"/>
    </row>
    <row r="3464" spans="1:31" ht="12">
      <c r="A3464" s="67" t="s">
        <v>17247</v>
      </c>
      <c r="B3464" s="65" t="s">
        <v>17248</v>
      </c>
      <c r="C3464" s="71" t="s">
        <v>103</v>
      </c>
      <c r="D3464" s="78">
        <v>1</v>
      </c>
      <c r="E3464" s="79">
        <v>1278.78</v>
      </c>
      <c r="F3464" s="70">
        <v>1278.78</v>
      </c>
      <c r="G3464" s="320"/>
      <c r="H3464" s="79">
        <v>1208.99</v>
      </c>
      <c r="I3464" s="79">
        <v>69.789999999999992</v>
      </c>
      <c r="J3464" s="79">
        <v>1278.78</v>
      </c>
      <c r="K3464" s="79">
        <v>0</v>
      </c>
      <c r="L3464" s="70">
        <v>1278.78</v>
      </c>
      <c r="M3464" s="132"/>
      <c r="N3464" s="79">
        <v>1208.99</v>
      </c>
      <c r="O3464" s="79">
        <v>69.789999999999992</v>
      </c>
      <c r="P3464" s="79">
        <v>1278.78</v>
      </c>
      <c r="Q3464" s="136"/>
      <c r="R3464" s="79">
        <v>1208.99</v>
      </c>
      <c r="S3464" s="79">
        <v>69.790000000000006</v>
      </c>
      <c r="T3464" s="79">
        <v>1278.78</v>
      </c>
      <c r="U3464" s="79">
        <v>0</v>
      </c>
      <c r="V3464" s="189">
        <v>1278.78</v>
      </c>
      <c r="X3464" s="79">
        <v>1208.99</v>
      </c>
      <c r="Y3464" s="79">
        <v>69.790000000000006</v>
      </c>
      <c r="Z3464" s="79">
        <v>1278.78</v>
      </c>
      <c r="AA3464" s="255">
        <v>0</v>
      </c>
      <c r="AC3464" s="254"/>
    </row>
    <row r="3465" spans="1:31" ht="24">
      <c r="A3465" s="67" t="s">
        <v>17249</v>
      </c>
      <c r="B3465" s="65" t="s">
        <v>17250</v>
      </c>
      <c r="C3465" s="71" t="s">
        <v>103</v>
      </c>
      <c r="D3465" s="78">
        <v>1</v>
      </c>
      <c r="E3465" s="79">
        <v>1728</v>
      </c>
      <c r="F3465" s="70">
        <v>1728</v>
      </c>
      <c r="G3465" s="320"/>
      <c r="H3465" s="79">
        <v>1602.38</v>
      </c>
      <c r="I3465" s="79">
        <v>125.62</v>
      </c>
      <c r="J3465" s="79">
        <v>1728</v>
      </c>
      <c r="K3465" s="79">
        <v>0</v>
      </c>
      <c r="L3465" s="70">
        <v>1728</v>
      </c>
      <c r="M3465" s="132"/>
      <c r="N3465" s="79">
        <v>1602.38</v>
      </c>
      <c r="O3465" s="79">
        <v>125.62</v>
      </c>
      <c r="P3465" s="79">
        <v>1728</v>
      </c>
      <c r="Q3465" s="136"/>
      <c r="R3465" s="79">
        <v>1602.38</v>
      </c>
      <c r="S3465" s="79">
        <v>125.62</v>
      </c>
      <c r="T3465" s="79">
        <v>1728</v>
      </c>
      <c r="U3465" s="79">
        <v>0</v>
      </c>
      <c r="V3465" s="189">
        <v>1728</v>
      </c>
      <c r="X3465" s="79">
        <v>1602.38</v>
      </c>
      <c r="Y3465" s="79">
        <v>125.62</v>
      </c>
      <c r="Z3465" s="79">
        <v>1728</v>
      </c>
      <c r="AA3465" s="255">
        <v>0</v>
      </c>
      <c r="AC3465" s="254"/>
    </row>
    <row r="3466" spans="1:31" ht="24">
      <c r="A3466" s="67" t="s">
        <v>17251</v>
      </c>
      <c r="B3466" s="65" t="s">
        <v>17252</v>
      </c>
      <c r="C3466" s="71" t="s">
        <v>103</v>
      </c>
      <c r="D3466" s="78">
        <v>1</v>
      </c>
      <c r="E3466" s="79">
        <v>2491.02</v>
      </c>
      <c r="F3466" s="70">
        <v>2491.02</v>
      </c>
      <c r="G3466" s="320"/>
      <c r="H3466" s="79">
        <v>2365.4</v>
      </c>
      <c r="I3466" s="79">
        <v>125.62</v>
      </c>
      <c r="J3466" s="79">
        <v>2491.02</v>
      </c>
      <c r="K3466" s="79">
        <v>0</v>
      </c>
      <c r="L3466" s="70">
        <v>2491.02</v>
      </c>
      <c r="M3466" s="132"/>
      <c r="N3466" s="79">
        <v>2365.4</v>
      </c>
      <c r="O3466" s="79">
        <v>125.62</v>
      </c>
      <c r="P3466" s="79">
        <v>2491.02</v>
      </c>
      <c r="Q3466" s="136"/>
      <c r="R3466" s="79">
        <v>2365.4</v>
      </c>
      <c r="S3466" s="79">
        <v>125.62</v>
      </c>
      <c r="T3466" s="79">
        <v>2491.02</v>
      </c>
      <c r="U3466" s="79">
        <v>0</v>
      </c>
      <c r="V3466" s="189">
        <v>2491.02</v>
      </c>
      <c r="X3466" s="79">
        <v>2365.4</v>
      </c>
      <c r="Y3466" s="79">
        <v>125.62</v>
      </c>
      <c r="Z3466" s="79">
        <v>2491.02</v>
      </c>
      <c r="AA3466" s="255">
        <v>0</v>
      </c>
      <c r="AC3466" s="254"/>
    </row>
    <row r="3467" spans="1:31" ht="12">
      <c r="A3467" s="67" t="s">
        <v>17253</v>
      </c>
      <c r="B3467" s="65" t="s">
        <v>17254</v>
      </c>
      <c r="C3467" s="71" t="s">
        <v>103</v>
      </c>
      <c r="D3467" s="78">
        <v>1</v>
      </c>
      <c r="E3467" s="79">
        <v>7609.76</v>
      </c>
      <c r="F3467" s="70">
        <v>7609.76</v>
      </c>
      <c r="G3467" s="320"/>
      <c r="H3467" s="79">
        <v>7416.49</v>
      </c>
      <c r="I3467" s="79">
        <v>193.27</v>
      </c>
      <c r="J3467" s="79">
        <v>7609.76</v>
      </c>
      <c r="K3467" s="79">
        <v>0</v>
      </c>
      <c r="L3467" s="70">
        <v>7609.76</v>
      </c>
      <c r="M3467" s="132"/>
      <c r="N3467" s="79">
        <v>7416.49</v>
      </c>
      <c r="O3467" s="79">
        <v>193.27</v>
      </c>
      <c r="P3467" s="79">
        <v>7609.76</v>
      </c>
      <c r="Q3467" s="136"/>
      <c r="R3467" s="79">
        <v>7416.49</v>
      </c>
      <c r="S3467" s="79">
        <v>193.28</v>
      </c>
      <c r="T3467" s="79">
        <v>7609.7699999999995</v>
      </c>
      <c r="U3467" s="79">
        <v>0</v>
      </c>
      <c r="V3467" s="189">
        <v>7609.7699999999995</v>
      </c>
      <c r="X3467" s="79">
        <v>7416.49</v>
      </c>
      <c r="Y3467" s="79">
        <v>193.28</v>
      </c>
      <c r="Z3467" s="79">
        <v>7609.77</v>
      </c>
      <c r="AA3467" s="255">
        <v>-1.0000000000218279E-2</v>
      </c>
      <c r="AC3467" s="254"/>
    </row>
    <row r="3468" spans="1:31" ht="12">
      <c r="A3468" s="67" t="s">
        <v>17255</v>
      </c>
      <c r="B3468" s="65" t="s">
        <v>17256</v>
      </c>
      <c r="C3468" s="71" t="s">
        <v>103</v>
      </c>
      <c r="D3468" s="78">
        <v>1</v>
      </c>
      <c r="E3468" s="79">
        <v>1466.25</v>
      </c>
      <c r="F3468" s="70">
        <v>1466.25</v>
      </c>
      <c r="G3468" s="320"/>
      <c r="H3468" s="79">
        <v>1272.98</v>
      </c>
      <c r="I3468" s="79">
        <v>193.27</v>
      </c>
      <c r="J3468" s="79">
        <v>1466.25</v>
      </c>
      <c r="K3468" s="79">
        <v>0</v>
      </c>
      <c r="L3468" s="70">
        <v>1466.25</v>
      </c>
      <c r="M3468" s="132"/>
      <c r="N3468" s="79">
        <v>1272.98</v>
      </c>
      <c r="O3468" s="79">
        <v>193.27</v>
      </c>
      <c r="P3468" s="79">
        <v>1466.25</v>
      </c>
      <c r="Q3468" s="136"/>
      <c r="R3468" s="79">
        <v>1272.98</v>
      </c>
      <c r="S3468" s="79">
        <v>193.28</v>
      </c>
      <c r="T3468" s="79">
        <v>1466.26</v>
      </c>
      <c r="U3468" s="79">
        <v>0</v>
      </c>
      <c r="V3468" s="189">
        <v>1466.26</v>
      </c>
      <c r="X3468" s="79">
        <v>1272.98</v>
      </c>
      <c r="Y3468" s="79">
        <v>193.28</v>
      </c>
      <c r="Z3468" s="79">
        <v>1466.26</v>
      </c>
      <c r="AA3468" s="255">
        <v>-9.9999999999909051E-3</v>
      </c>
      <c r="AC3468" s="254"/>
      <c r="AD3468" s="61"/>
      <c r="AE3468" s="61"/>
    </row>
    <row r="3469" spans="1:31" ht="12">
      <c r="A3469" s="67" t="s">
        <v>17257</v>
      </c>
      <c r="B3469" s="65" t="s">
        <v>17258</v>
      </c>
      <c r="C3469" s="71" t="s">
        <v>103</v>
      </c>
      <c r="D3469" s="78">
        <v>1</v>
      </c>
      <c r="E3469" s="79">
        <v>2115.5099999999998</v>
      </c>
      <c r="F3469" s="70">
        <v>2115.5100000000002</v>
      </c>
      <c r="G3469" s="320"/>
      <c r="H3469" s="79">
        <v>1922.24</v>
      </c>
      <c r="I3469" s="79">
        <v>193.27</v>
      </c>
      <c r="J3469" s="79">
        <v>2115.5100000000002</v>
      </c>
      <c r="K3469" s="79">
        <v>0</v>
      </c>
      <c r="L3469" s="70">
        <v>2115.5100000000002</v>
      </c>
      <c r="M3469" s="132"/>
      <c r="N3469" s="79">
        <v>1922.24</v>
      </c>
      <c r="O3469" s="79">
        <v>193.27</v>
      </c>
      <c r="P3469" s="79">
        <v>2115.5100000000002</v>
      </c>
      <c r="Q3469" s="136"/>
      <c r="R3469" s="79">
        <v>1922.24</v>
      </c>
      <c r="S3469" s="79">
        <v>193.28</v>
      </c>
      <c r="T3469" s="79">
        <v>2115.52</v>
      </c>
      <c r="U3469" s="79">
        <v>0</v>
      </c>
      <c r="V3469" s="189">
        <v>2115.52</v>
      </c>
      <c r="X3469" s="79">
        <v>1922.24</v>
      </c>
      <c r="Y3469" s="79">
        <v>193.28</v>
      </c>
      <c r="Z3469" s="79">
        <v>2115.52</v>
      </c>
      <c r="AA3469" s="255">
        <v>-9.9999999997635314E-3</v>
      </c>
      <c r="AC3469" s="254"/>
      <c r="AD3469" s="61"/>
      <c r="AE3469" s="61"/>
    </row>
    <row r="3470" spans="1:31" s="61" customFormat="1" ht="12">
      <c r="A3470" s="67" t="s">
        <v>17259</v>
      </c>
      <c r="B3470" s="65" t="s">
        <v>17260</v>
      </c>
      <c r="C3470" s="71" t="s">
        <v>103</v>
      </c>
      <c r="D3470" s="78">
        <v>1</v>
      </c>
      <c r="E3470" s="79">
        <v>1204.78</v>
      </c>
      <c r="F3470" s="70">
        <v>1204.78</v>
      </c>
      <c r="G3470" s="320"/>
      <c r="H3470" s="79">
        <v>1188.03</v>
      </c>
      <c r="I3470" s="79">
        <v>16.75</v>
      </c>
      <c r="J3470" s="79">
        <v>1204.78</v>
      </c>
      <c r="K3470" s="79">
        <v>0</v>
      </c>
      <c r="L3470" s="70">
        <v>1204.78</v>
      </c>
      <c r="M3470" s="132"/>
      <c r="N3470" s="79">
        <v>1188.03</v>
      </c>
      <c r="O3470" s="79">
        <v>16.75</v>
      </c>
      <c r="P3470" s="79">
        <v>1204.78</v>
      </c>
      <c r="Q3470" s="136"/>
      <c r="R3470" s="79">
        <v>1188.03</v>
      </c>
      <c r="S3470" s="79">
        <v>16.75</v>
      </c>
      <c r="T3470" s="79">
        <v>1204.78</v>
      </c>
      <c r="U3470" s="79">
        <v>0</v>
      </c>
      <c r="V3470" s="189">
        <v>1204.78</v>
      </c>
      <c r="X3470" s="79">
        <v>1188.03</v>
      </c>
      <c r="Y3470" s="79">
        <v>16.75</v>
      </c>
      <c r="Z3470" s="79">
        <v>1204.78</v>
      </c>
      <c r="AA3470" s="255">
        <v>0</v>
      </c>
      <c r="AC3470" s="254"/>
    </row>
    <row r="3471" spans="1:31" s="61" customFormat="1" ht="12">
      <c r="A3471" s="67" t="s">
        <v>17261</v>
      </c>
      <c r="B3471" s="65" t="s">
        <v>17262</v>
      </c>
      <c r="C3471" s="71" t="s">
        <v>103</v>
      </c>
      <c r="D3471" s="78">
        <v>1</v>
      </c>
      <c r="E3471" s="79">
        <v>2981.57</v>
      </c>
      <c r="F3471" s="70">
        <v>2981.57</v>
      </c>
      <c r="G3471" s="320"/>
      <c r="H3471" s="79">
        <v>2957.01</v>
      </c>
      <c r="I3471" s="79">
        <v>24.560000000000002</v>
      </c>
      <c r="J3471" s="79">
        <v>2981.57</v>
      </c>
      <c r="K3471" s="79">
        <v>0</v>
      </c>
      <c r="L3471" s="70">
        <v>2981.57</v>
      </c>
      <c r="M3471" s="132"/>
      <c r="N3471" s="79">
        <v>2957.01</v>
      </c>
      <c r="O3471" s="79">
        <v>24.560000000000002</v>
      </c>
      <c r="P3471" s="79">
        <v>2981.57</v>
      </c>
      <c r="Q3471" s="136"/>
      <c r="R3471" s="79">
        <v>2957.01</v>
      </c>
      <c r="S3471" s="79">
        <v>24.56</v>
      </c>
      <c r="T3471" s="79">
        <v>2981.57</v>
      </c>
      <c r="U3471" s="79">
        <v>0</v>
      </c>
      <c r="V3471" s="189">
        <v>2981.57</v>
      </c>
      <c r="X3471" s="79">
        <v>2957.01</v>
      </c>
      <c r="Y3471" s="79">
        <v>24.56</v>
      </c>
      <c r="Z3471" s="79">
        <v>2981.57</v>
      </c>
      <c r="AA3471" s="255">
        <v>0</v>
      </c>
      <c r="AC3471" s="254"/>
      <c r="AD3471" s="236"/>
      <c r="AE3471" s="236"/>
    </row>
    <row r="3472" spans="1:31" s="61" customFormat="1" ht="12">
      <c r="A3472" s="489" t="s">
        <v>17263</v>
      </c>
      <c r="B3472" s="490" t="s">
        <v>17264</v>
      </c>
      <c r="C3472" s="491"/>
      <c r="D3472" s="492"/>
      <c r="E3472" s="79"/>
      <c r="F3472" s="63"/>
      <c r="G3472" s="320"/>
      <c r="H3472" s="79"/>
      <c r="I3472" s="79"/>
      <c r="J3472" s="79"/>
      <c r="K3472" s="79"/>
      <c r="L3472" s="70"/>
      <c r="M3472" s="132"/>
      <c r="N3472" s="79"/>
      <c r="O3472" s="79"/>
      <c r="P3472" s="79"/>
      <c r="Q3472" s="136"/>
      <c r="R3472" s="79"/>
      <c r="S3472" s="79"/>
      <c r="T3472" s="79"/>
      <c r="U3472" s="79"/>
      <c r="V3472" s="189"/>
      <c r="X3472" s="79"/>
      <c r="Y3472" s="79"/>
      <c r="Z3472" s="79"/>
      <c r="AA3472" s="255"/>
      <c r="AC3472" s="254"/>
      <c r="AD3472" s="236"/>
      <c r="AE3472" s="236"/>
    </row>
    <row r="3473" spans="1:31" ht="12">
      <c r="A3473" s="67" t="s">
        <v>17265</v>
      </c>
      <c r="B3473" s="65" t="s">
        <v>17266</v>
      </c>
      <c r="C3473" s="71" t="s">
        <v>103</v>
      </c>
      <c r="D3473" s="78">
        <v>1</v>
      </c>
      <c r="E3473" s="79">
        <v>37.790000000000006</v>
      </c>
      <c r="F3473" s="70">
        <v>37.79</v>
      </c>
      <c r="G3473" s="320"/>
      <c r="H3473" s="79">
        <v>12.66</v>
      </c>
      <c r="I3473" s="79">
        <v>25.130000000000003</v>
      </c>
      <c r="J3473" s="79">
        <v>37.790000000000006</v>
      </c>
      <c r="K3473" s="79">
        <v>0</v>
      </c>
      <c r="L3473" s="70">
        <v>37.790000000000006</v>
      </c>
      <c r="M3473" s="132"/>
      <c r="N3473" s="79">
        <v>12.66</v>
      </c>
      <c r="O3473" s="79">
        <v>25.130000000000003</v>
      </c>
      <c r="P3473" s="79">
        <v>37.790000000000006</v>
      </c>
      <c r="Q3473" s="136"/>
      <c r="R3473" s="79">
        <v>12.66</v>
      </c>
      <c r="S3473" s="79">
        <v>25.12</v>
      </c>
      <c r="T3473" s="79">
        <v>37.78</v>
      </c>
      <c r="U3473" s="79">
        <v>0</v>
      </c>
      <c r="V3473" s="189">
        <v>37.78</v>
      </c>
      <c r="X3473" s="79">
        <v>12.66</v>
      </c>
      <c r="Y3473" s="79">
        <v>25.12</v>
      </c>
      <c r="Z3473" s="79">
        <v>37.78</v>
      </c>
      <c r="AA3473" s="255">
        <v>9.9999999999980105E-3</v>
      </c>
      <c r="AC3473" s="254"/>
      <c r="AD3473" s="69"/>
      <c r="AE3473" s="69"/>
    </row>
    <row r="3474" spans="1:31" ht="24">
      <c r="A3474" s="67" t="s">
        <v>17267</v>
      </c>
      <c r="B3474" s="65" t="s">
        <v>17268</v>
      </c>
      <c r="C3474" s="71" t="s">
        <v>103</v>
      </c>
      <c r="D3474" s="78">
        <v>1</v>
      </c>
      <c r="E3474" s="79">
        <v>81.53</v>
      </c>
      <c r="F3474" s="70">
        <v>81.53</v>
      </c>
      <c r="G3474" s="320"/>
      <c r="H3474" s="79">
        <v>56.4</v>
      </c>
      <c r="I3474" s="79">
        <v>25.130000000000003</v>
      </c>
      <c r="J3474" s="79">
        <v>81.53</v>
      </c>
      <c r="K3474" s="79">
        <v>0</v>
      </c>
      <c r="L3474" s="70">
        <v>81.53</v>
      </c>
      <c r="M3474" s="132"/>
      <c r="N3474" s="79">
        <v>56.4</v>
      </c>
      <c r="O3474" s="79">
        <v>25.130000000000003</v>
      </c>
      <c r="P3474" s="79">
        <v>81.53</v>
      </c>
      <c r="Q3474" s="136"/>
      <c r="R3474" s="79">
        <v>56.4</v>
      </c>
      <c r="S3474" s="79">
        <v>25.12</v>
      </c>
      <c r="T3474" s="79">
        <v>81.52</v>
      </c>
      <c r="U3474" s="79">
        <v>0</v>
      </c>
      <c r="V3474" s="189">
        <v>81.52</v>
      </c>
      <c r="X3474" s="79">
        <v>56.4</v>
      </c>
      <c r="Y3474" s="79">
        <v>25.12</v>
      </c>
      <c r="Z3474" s="79">
        <v>81.52</v>
      </c>
      <c r="AA3474" s="255">
        <v>1.0000000000005116E-2</v>
      </c>
      <c r="AC3474" s="254"/>
      <c r="AD3474" s="69"/>
      <c r="AE3474" s="69"/>
    </row>
    <row r="3475" spans="1:31" s="69" customFormat="1" ht="12">
      <c r="A3475" s="489" t="s">
        <v>17269</v>
      </c>
      <c r="B3475" s="490" t="s">
        <v>17270</v>
      </c>
      <c r="C3475" s="491"/>
      <c r="D3475" s="492"/>
      <c r="E3475" s="79"/>
      <c r="F3475" s="63"/>
      <c r="G3475" s="320"/>
      <c r="H3475" s="79"/>
      <c r="I3475" s="79"/>
      <c r="J3475" s="79"/>
      <c r="K3475" s="79"/>
      <c r="L3475" s="70"/>
      <c r="M3475" s="132"/>
      <c r="N3475" s="79"/>
      <c r="O3475" s="79"/>
      <c r="P3475" s="79"/>
      <c r="Q3475" s="136"/>
      <c r="R3475" s="79"/>
      <c r="S3475" s="79"/>
      <c r="T3475" s="79"/>
      <c r="U3475" s="79"/>
      <c r="V3475" s="189"/>
      <c r="W3475" s="61"/>
      <c r="X3475" s="79"/>
      <c r="Y3475" s="79"/>
      <c r="Z3475" s="79"/>
      <c r="AA3475" s="255"/>
      <c r="AB3475" s="61"/>
      <c r="AC3475" s="254"/>
    </row>
    <row r="3476" spans="1:31" s="69" customFormat="1" ht="12">
      <c r="A3476" s="67" t="s">
        <v>17271</v>
      </c>
      <c r="B3476" s="65" t="s">
        <v>17272</v>
      </c>
      <c r="C3476" s="71" t="s">
        <v>103</v>
      </c>
      <c r="D3476" s="78">
        <v>1</v>
      </c>
      <c r="E3476" s="79">
        <v>143.88</v>
      </c>
      <c r="F3476" s="70">
        <v>143.88</v>
      </c>
      <c r="G3476" s="320"/>
      <c r="H3476" s="79">
        <v>135.5</v>
      </c>
      <c r="I3476" s="79">
        <v>8.379999999999999</v>
      </c>
      <c r="J3476" s="79">
        <v>143.88</v>
      </c>
      <c r="K3476" s="79">
        <v>0</v>
      </c>
      <c r="L3476" s="70">
        <v>143.88</v>
      </c>
      <c r="M3476" s="132"/>
      <c r="N3476" s="79">
        <v>135.5</v>
      </c>
      <c r="O3476" s="79">
        <v>8.379999999999999</v>
      </c>
      <c r="P3476" s="79">
        <v>143.88</v>
      </c>
      <c r="Q3476" s="136"/>
      <c r="R3476" s="79">
        <v>135.5</v>
      </c>
      <c r="S3476" s="79">
        <v>8.3800000000000008</v>
      </c>
      <c r="T3476" s="79">
        <v>143.88</v>
      </c>
      <c r="U3476" s="79">
        <v>0</v>
      </c>
      <c r="V3476" s="189">
        <v>143.88</v>
      </c>
      <c r="W3476" s="61"/>
      <c r="X3476" s="79">
        <v>135.5</v>
      </c>
      <c r="Y3476" s="79">
        <v>8.3800000000000008</v>
      </c>
      <c r="Z3476" s="79">
        <v>143.88</v>
      </c>
      <c r="AA3476" s="255">
        <v>0</v>
      </c>
      <c r="AB3476" s="61"/>
      <c r="AC3476" s="254"/>
    </row>
    <row r="3477" spans="1:31" s="69" customFormat="1" ht="12">
      <c r="A3477" s="67" t="s">
        <v>17273</v>
      </c>
      <c r="B3477" s="65" t="s">
        <v>17274</v>
      </c>
      <c r="C3477" s="71" t="s">
        <v>103</v>
      </c>
      <c r="D3477" s="78">
        <v>1</v>
      </c>
      <c r="E3477" s="79">
        <v>621.41</v>
      </c>
      <c r="F3477" s="70">
        <v>621.41</v>
      </c>
      <c r="G3477" s="320"/>
      <c r="H3477" s="79">
        <v>551.62</v>
      </c>
      <c r="I3477" s="79">
        <v>69.789999999999992</v>
      </c>
      <c r="J3477" s="79">
        <v>621.41</v>
      </c>
      <c r="K3477" s="79">
        <v>0</v>
      </c>
      <c r="L3477" s="70">
        <v>621.41</v>
      </c>
      <c r="M3477" s="132"/>
      <c r="N3477" s="79">
        <v>551.62</v>
      </c>
      <c r="O3477" s="79">
        <v>69.789999999999992</v>
      </c>
      <c r="P3477" s="79">
        <v>621.41</v>
      </c>
      <c r="Q3477" s="136"/>
      <c r="R3477" s="79">
        <v>551.62</v>
      </c>
      <c r="S3477" s="79">
        <v>69.790000000000006</v>
      </c>
      <c r="T3477" s="79">
        <v>621.41</v>
      </c>
      <c r="U3477" s="79">
        <v>0</v>
      </c>
      <c r="V3477" s="189">
        <v>621.41</v>
      </c>
      <c r="W3477" s="61"/>
      <c r="X3477" s="79">
        <v>551.62</v>
      </c>
      <c r="Y3477" s="79">
        <v>69.790000000000006</v>
      </c>
      <c r="Z3477" s="79">
        <v>621.41</v>
      </c>
      <c r="AA3477" s="255">
        <v>0</v>
      </c>
      <c r="AB3477" s="61"/>
      <c r="AC3477" s="254"/>
    </row>
    <row r="3478" spans="1:31" s="69" customFormat="1" ht="24">
      <c r="A3478" s="67" t="s">
        <v>17275</v>
      </c>
      <c r="B3478" s="65" t="s">
        <v>17276</v>
      </c>
      <c r="C3478" s="71" t="s">
        <v>103</v>
      </c>
      <c r="D3478" s="78">
        <v>1</v>
      </c>
      <c r="E3478" s="79">
        <v>559.13</v>
      </c>
      <c r="F3478" s="70">
        <v>559.13</v>
      </c>
      <c r="G3478" s="320"/>
      <c r="H3478" s="79">
        <v>489.34</v>
      </c>
      <c r="I3478" s="79">
        <v>69.789999999999992</v>
      </c>
      <c r="J3478" s="79">
        <v>559.13</v>
      </c>
      <c r="K3478" s="79">
        <v>0</v>
      </c>
      <c r="L3478" s="70">
        <v>559.13</v>
      </c>
      <c r="M3478" s="132"/>
      <c r="N3478" s="79">
        <v>489.34</v>
      </c>
      <c r="O3478" s="79">
        <v>69.789999999999992</v>
      </c>
      <c r="P3478" s="79">
        <v>559.13</v>
      </c>
      <c r="Q3478" s="136"/>
      <c r="R3478" s="79">
        <v>489.34</v>
      </c>
      <c r="S3478" s="79">
        <v>69.790000000000006</v>
      </c>
      <c r="T3478" s="79">
        <v>559.13</v>
      </c>
      <c r="U3478" s="79">
        <v>0</v>
      </c>
      <c r="V3478" s="189">
        <v>559.13</v>
      </c>
      <c r="W3478" s="61"/>
      <c r="X3478" s="79">
        <v>489.34</v>
      </c>
      <c r="Y3478" s="79">
        <v>69.790000000000006</v>
      </c>
      <c r="Z3478" s="79">
        <v>559.13</v>
      </c>
      <c r="AA3478" s="255">
        <v>0</v>
      </c>
      <c r="AB3478" s="61"/>
      <c r="AC3478" s="254"/>
    </row>
    <row r="3479" spans="1:31" s="69" customFormat="1" ht="24">
      <c r="A3479" s="67" t="s">
        <v>17277</v>
      </c>
      <c r="B3479" s="65" t="s">
        <v>17278</v>
      </c>
      <c r="C3479" s="71" t="s">
        <v>103</v>
      </c>
      <c r="D3479" s="78">
        <v>1</v>
      </c>
      <c r="E3479" s="79">
        <v>40.39</v>
      </c>
      <c r="F3479" s="70">
        <v>40.39</v>
      </c>
      <c r="G3479" s="320"/>
      <c r="H3479" s="79">
        <v>28.59</v>
      </c>
      <c r="I3479" s="79">
        <v>11.8</v>
      </c>
      <c r="J3479" s="79">
        <v>40.39</v>
      </c>
      <c r="K3479" s="79">
        <v>0</v>
      </c>
      <c r="L3479" s="70">
        <v>40.39</v>
      </c>
      <c r="M3479" s="132"/>
      <c r="N3479" s="79">
        <v>28.59</v>
      </c>
      <c r="O3479" s="79">
        <v>11.8</v>
      </c>
      <c r="P3479" s="79">
        <v>40.39</v>
      </c>
      <c r="Q3479" s="136"/>
      <c r="R3479" s="79">
        <v>28.59</v>
      </c>
      <c r="S3479" s="79">
        <v>11.78</v>
      </c>
      <c r="T3479" s="79">
        <v>40.369999999999997</v>
      </c>
      <c r="U3479" s="79">
        <v>0</v>
      </c>
      <c r="V3479" s="189">
        <v>40.369999999999997</v>
      </c>
      <c r="W3479" s="61"/>
      <c r="X3479" s="79">
        <v>28.59</v>
      </c>
      <c r="Y3479" s="79">
        <v>11.78</v>
      </c>
      <c r="Z3479" s="79">
        <v>40.369999999999997</v>
      </c>
      <c r="AA3479" s="255">
        <v>2.0000000000003126E-2</v>
      </c>
      <c r="AB3479" s="61"/>
      <c r="AC3479" s="254"/>
    </row>
    <row r="3480" spans="1:31" s="69" customFormat="1" ht="12">
      <c r="A3480" s="67" t="s">
        <v>17279</v>
      </c>
      <c r="B3480" s="65" t="s">
        <v>17280</v>
      </c>
      <c r="C3480" s="71" t="s">
        <v>103</v>
      </c>
      <c r="D3480" s="78">
        <v>1</v>
      </c>
      <c r="E3480" s="79">
        <v>676.86</v>
      </c>
      <c r="F3480" s="70">
        <v>676.86</v>
      </c>
      <c r="G3480" s="320"/>
      <c r="H3480" s="79">
        <v>637.58000000000004</v>
      </c>
      <c r="I3480" s="79">
        <v>39.28</v>
      </c>
      <c r="J3480" s="79">
        <v>676.86</v>
      </c>
      <c r="K3480" s="79">
        <v>0</v>
      </c>
      <c r="L3480" s="70">
        <v>676.86</v>
      </c>
      <c r="M3480" s="132"/>
      <c r="N3480" s="79">
        <v>637.58000000000004</v>
      </c>
      <c r="O3480" s="79">
        <v>39.28</v>
      </c>
      <c r="P3480" s="79">
        <v>676.86</v>
      </c>
      <c r="Q3480" s="136"/>
      <c r="R3480" s="79">
        <v>637.58000000000004</v>
      </c>
      <c r="S3480" s="79">
        <v>39.270000000000003</v>
      </c>
      <c r="T3480" s="79">
        <v>676.85</v>
      </c>
      <c r="U3480" s="79">
        <v>0</v>
      </c>
      <c r="V3480" s="189">
        <v>676.85</v>
      </c>
      <c r="W3480" s="61"/>
      <c r="X3480" s="79">
        <v>637.58000000000004</v>
      </c>
      <c r="Y3480" s="79">
        <v>39.270000000000003</v>
      </c>
      <c r="Z3480" s="79">
        <v>676.85</v>
      </c>
      <c r="AA3480" s="255">
        <v>9.9999999999909051E-3</v>
      </c>
      <c r="AB3480" s="61"/>
      <c r="AC3480" s="254"/>
    </row>
    <row r="3481" spans="1:31" s="69" customFormat="1" ht="12">
      <c r="A3481" s="67" t="s">
        <v>17281</v>
      </c>
      <c r="B3481" s="65" t="s">
        <v>17282</v>
      </c>
      <c r="C3481" s="71" t="s">
        <v>103</v>
      </c>
      <c r="D3481" s="78">
        <v>1</v>
      </c>
      <c r="E3481" s="79">
        <v>367.20000000000005</v>
      </c>
      <c r="F3481" s="70">
        <v>367.2</v>
      </c>
      <c r="G3481" s="320"/>
      <c r="H3481" s="79">
        <v>327.92</v>
      </c>
      <c r="I3481" s="79">
        <v>39.28</v>
      </c>
      <c r="J3481" s="79">
        <v>367.20000000000005</v>
      </c>
      <c r="K3481" s="79">
        <v>0</v>
      </c>
      <c r="L3481" s="70">
        <v>367.20000000000005</v>
      </c>
      <c r="M3481" s="132"/>
      <c r="N3481" s="79">
        <v>327.92</v>
      </c>
      <c r="O3481" s="79">
        <v>39.28</v>
      </c>
      <c r="P3481" s="79">
        <v>367.20000000000005</v>
      </c>
      <c r="Q3481" s="136"/>
      <c r="R3481" s="79">
        <v>327.92</v>
      </c>
      <c r="S3481" s="79">
        <v>39.270000000000003</v>
      </c>
      <c r="T3481" s="79">
        <v>367.19</v>
      </c>
      <c r="U3481" s="79">
        <v>0</v>
      </c>
      <c r="V3481" s="189">
        <v>367.19</v>
      </c>
      <c r="W3481" s="61"/>
      <c r="X3481" s="79">
        <v>327.92</v>
      </c>
      <c r="Y3481" s="79">
        <v>39.270000000000003</v>
      </c>
      <c r="Z3481" s="79">
        <v>367.19</v>
      </c>
      <c r="AA3481" s="255">
        <v>9.9999999999909051E-3</v>
      </c>
      <c r="AB3481" s="61"/>
      <c r="AC3481" s="254"/>
    </row>
    <row r="3482" spans="1:31" s="69" customFormat="1" ht="12">
      <c r="A3482" s="67" t="s">
        <v>17283</v>
      </c>
      <c r="B3482" s="65" t="s">
        <v>17284</v>
      </c>
      <c r="C3482" s="71" t="s">
        <v>103</v>
      </c>
      <c r="D3482" s="78">
        <v>1</v>
      </c>
      <c r="E3482" s="79">
        <v>125.53999999999999</v>
      </c>
      <c r="F3482" s="70">
        <v>125.54</v>
      </c>
      <c r="G3482" s="320"/>
      <c r="H3482" s="79">
        <v>97.6</v>
      </c>
      <c r="I3482" s="79">
        <v>27.939999999999998</v>
      </c>
      <c r="J3482" s="79">
        <v>125.53999999999999</v>
      </c>
      <c r="K3482" s="79">
        <v>0</v>
      </c>
      <c r="L3482" s="70">
        <v>125.53999999999999</v>
      </c>
      <c r="M3482" s="132"/>
      <c r="N3482" s="79">
        <v>97.6</v>
      </c>
      <c r="O3482" s="79">
        <v>27.939999999999998</v>
      </c>
      <c r="P3482" s="79">
        <v>125.53999999999999</v>
      </c>
      <c r="Q3482" s="136"/>
      <c r="R3482" s="79">
        <v>97.6</v>
      </c>
      <c r="S3482" s="79">
        <v>27.92</v>
      </c>
      <c r="T3482" s="79">
        <v>125.52</v>
      </c>
      <c r="U3482" s="79">
        <v>0</v>
      </c>
      <c r="V3482" s="189">
        <v>125.52</v>
      </c>
      <c r="W3482" s="61"/>
      <c r="X3482" s="79">
        <v>97.6</v>
      </c>
      <c r="Y3482" s="79">
        <v>27.92</v>
      </c>
      <c r="Z3482" s="79">
        <v>125.52</v>
      </c>
      <c r="AA3482" s="255">
        <v>2.0000000000010232E-2</v>
      </c>
      <c r="AB3482" s="61"/>
      <c r="AC3482" s="254"/>
    </row>
    <row r="3483" spans="1:31" s="69" customFormat="1" ht="12">
      <c r="A3483" s="67" t="s">
        <v>17285</v>
      </c>
      <c r="B3483" s="65" t="s">
        <v>17286</v>
      </c>
      <c r="C3483" s="71" t="s">
        <v>103</v>
      </c>
      <c r="D3483" s="78">
        <v>1</v>
      </c>
      <c r="E3483" s="79">
        <v>4380.63</v>
      </c>
      <c r="F3483" s="70">
        <v>4380.63</v>
      </c>
      <c r="G3483" s="320"/>
      <c r="H3483" s="79">
        <v>4213.1499999999996</v>
      </c>
      <c r="I3483" s="79">
        <v>167.48</v>
      </c>
      <c r="J3483" s="79">
        <v>4380.6299999999992</v>
      </c>
      <c r="K3483" s="79">
        <v>0</v>
      </c>
      <c r="L3483" s="70">
        <v>4380.6299999999992</v>
      </c>
      <c r="M3483" s="132"/>
      <c r="N3483" s="79">
        <v>4213.1499999999996</v>
      </c>
      <c r="O3483" s="79">
        <v>167.48</v>
      </c>
      <c r="P3483" s="79">
        <v>4380.6299999999992</v>
      </c>
      <c r="Q3483" s="136"/>
      <c r="R3483" s="79">
        <v>4213.1499999999996</v>
      </c>
      <c r="S3483" s="79">
        <v>167.49</v>
      </c>
      <c r="T3483" s="79">
        <v>4380.6399999999994</v>
      </c>
      <c r="U3483" s="79">
        <v>0</v>
      </c>
      <c r="V3483" s="189">
        <v>4380.6399999999994</v>
      </c>
      <c r="W3483" s="61"/>
      <c r="X3483" s="79">
        <v>4213.1499999999996</v>
      </c>
      <c r="Y3483" s="79">
        <v>167.49</v>
      </c>
      <c r="Z3483" s="79">
        <v>4380.6400000000003</v>
      </c>
      <c r="AA3483" s="255">
        <v>-1.0000000000218279E-2</v>
      </c>
      <c r="AB3483" s="61"/>
      <c r="AC3483" s="254"/>
      <c r="AD3483" s="236"/>
      <c r="AE3483" s="236"/>
    </row>
    <row r="3484" spans="1:31" s="69" customFormat="1" ht="12">
      <c r="A3484" s="67" t="s">
        <v>17287</v>
      </c>
      <c r="B3484" s="65" t="s">
        <v>17288</v>
      </c>
      <c r="C3484" s="71" t="s">
        <v>103</v>
      </c>
      <c r="D3484" s="78">
        <v>1</v>
      </c>
      <c r="E3484" s="79">
        <v>150.79</v>
      </c>
      <c r="F3484" s="70">
        <v>150.79</v>
      </c>
      <c r="G3484" s="320"/>
      <c r="H3484" s="79">
        <v>128.47</v>
      </c>
      <c r="I3484" s="79">
        <v>22.32</v>
      </c>
      <c r="J3484" s="79">
        <v>150.79</v>
      </c>
      <c r="K3484" s="79">
        <v>0</v>
      </c>
      <c r="L3484" s="70">
        <v>150.79</v>
      </c>
      <c r="M3484" s="132"/>
      <c r="N3484" s="79">
        <v>128.47</v>
      </c>
      <c r="O3484" s="79">
        <v>22.32</v>
      </c>
      <c r="P3484" s="79">
        <v>150.79</v>
      </c>
      <c r="Q3484" s="136"/>
      <c r="R3484" s="79">
        <v>128.47</v>
      </c>
      <c r="S3484" s="79">
        <v>22.33</v>
      </c>
      <c r="T3484" s="79">
        <v>150.80000000000001</v>
      </c>
      <c r="U3484" s="79">
        <v>0</v>
      </c>
      <c r="V3484" s="189">
        <v>150.80000000000001</v>
      </c>
      <c r="W3484" s="61"/>
      <c r="X3484" s="79">
        <v>128.47</v>
      </c>
      <c r="Y3484" s="79">
        <v>22.33</v>
      </c>
      <c r="Z3484" s="79">
        <v>150.80000000000001</v>
      </c>
      <c r="AA3484" s="255">
        <v>-1.0000000000019327E-2</v>
      </c>
      <c r="AB3484" s="61"/>
      <c r="AC3484" s="254"/>
      <c r="AD3484" s="236"/>
      <c r="AE3484" s="236"/>
    </row>
    <row r="3485" spans="1:31" ht="24">
      <c r="A3485" s="67" t="s">
        <v>17289</v>
      </c>
      <c r="B3485" s="65" t="s">
        <v>17290</v>
      </c>
      <c r="C3485" s="71" t="s">
        <v>103</v>
      </c>
      <c r="D3485" s="78">
        <v>1</v>
      </c>
      <c r="E3485" s="79">
        <v>522.36</v>
      </c>
      <c r="F3485" s="70">
        <v>522.36</v>
      </c>
      <c r="G3485" s="320"/>
      <c r="H3485" s="79">
        <v>456.13</v>
      </c>
      <c r="I3485" s="79">
        <v>66.23</v>
      </c>
      <c r="J3485" s="79">
        <v>522.36</v>
      </c>
      <c r="K3485" s="79">
        <v>0</v>
      </c>
      <c r="L3485" s="70">
        <v>522.36</v>
      </c>
      <c r="M3485" s="132"/>
      <c r="N3485" s="79">
        <v>456.13</v>
      </c>
      <c r="O3485" s="79">
        <v>66.23</v>
      </c>
      <c r="P3485" s="79">
        <v>522.36</v>
      </c>
      <c r="Q3485" s="136"/>
      <c r="R3485" s="79">
        <v>456.13</v>
      </c>
      <c r="S3485" s="79">
        <v>66.239999999999995</v>
      </c>
      <c r="T3485" s="79">
        <v>522.37</v>
      </c>
      <c r="U3485" s="79">
        <v>0</v>
      </c>
      <c r="V3485" s="189">
        <v>522.37</v>
      </c>
      <c r="X3485" s="79">
        <v>456.13</v>
      </c>
      <c r="Y3485" s="79">
        <v>66.239999999999995</v>
      </c>
      <c r="Z3485" s="79">
        <v>522.37</v>
      </c>
      <c r="AA3485" s="255">
        <v>-9.9999999999909051E-3</v>
      </c>
      <c r="AC3485" s="254"/>
      <c r="AD3485" s="61"/>
      <c r="AE3485" s="61"/>
    </row>
    <row r="3486" spans="1:31" ht="12">
      <c r="A3486" s="67" t="s">
        <v>17291</v>
      </c>
      <c r="B3486" s="65" t="s">
        <v>2889</v>
      </c>
      <c r="C3486" s="71" t="s">
        <v>103</v>
      </c>
      <c r="D3486" s="78">
        <v>1</v>
      </c>
      <c r="E3486" s="79">
        <v>405.17</v>
      </c>
      <c r="F3486" s="70">
        <v>405.17</v>
      </c>
      <c r="G3486" s="320"/>
      <c r="H3486" s="79">
        <v>335.38</v>
      </c>
      <c r="I3486" s="79">
        <v>69.789999999999992</v>
      </c>
      <c r="J3486" s="79">
        <v>405.16999999999996</v>
      </c>
      <c r="K3486" s="79">
        <v>0</v>
      </c>
      <c r="L3486" s="70">
        <v>405.16999999999996</v>
      </c>
      <c r="M3486" s="132"/>
      <c r="N3486" s="79">
        <v>335.38</v>
      </c>
      <c r="O3486" s="79">
        <v>69.789999999999992</v>
      </c>
      <c r="P3486" s="79">
        <v>405.16999999999996</v>
      </c>
      <c r="Q3486" s="136"/>
      <c r="R3486" s="79">
        <v>335.38</v>
      </c>
      <c r="S3486" s="79">
        <v>69.790000000000006</v>
      </c>
      <c r="T3486" s="79">
        <v>405.17</v>
      </c>
      <c r="U3486" s="79">
        <v>0</v>
      </c>
      <c r="V3486" s="189">
        <v>405.17</v>
      </c>
      <c r="X3486" s="79">
        <v>335.38</v>
      </c>
      <c r="Y3486" s="79">
        <v>69.790000000000006</v>
      </c>
      <c r="Z3486" s="79">
        <v>405.17</v>
      </c>
      <c r="AA3486" s="255">
        <v>0</v>
      </c>
      <c r="AC3486" s="254"/>
    </row>
    <row r="3487" spans="1:31" s="61" customFormat="1" ht="12">
      <c r="A3487" s="67" t="s">
        <v>17292</v>
      </c>
      <c r="B3487" s="65" t="s">
        <v>2891</v>
      </c>
      <c r="C3487" s="71" t="s">
        <v>103</v>
      </c>
      <c r="D3487" s="78">
        <v>1</v>
      </c>
      <c r="E3487" s="79">
        <v>497.26</v>
      </c>
      <c r="F3487" s="70">
        <v>497.26</v>
      </c>
      <c r="G3487" s="320"/>
      <c r="H3487" s="79">
        <v>427.47</v>
      </c>
      <c r="I3487" s="79">
        <v>69.789999999999992</v>
      </c>
      <c r="J3487" s="79">
        <v>497.26</v>
      </c>
      <c r="K3487" s="79">
        <v>0</v>
      </c>
      <c r="L3487" s="70">
        <v>497.26</v>
      </c>
      <c r="M3487" s="132"/>
      <c r="N3487" s="79">
        <v>427.47</v>
      </c>
      <c r="O3487" s="79">
        <v>69.789999999999992</v>
      </c>
      <c r="P3487" s="79">
        <v>497.26</v>
      </c>
      <c r="Q3487" s="136"/>
      <c r="R3487" s="79">
        <v>427.47</v>
      </c>
      <c r="S3487" s="79">
        <v>69.790000000000006</v>
      </c>
      <c r="T3487" s="79">
        <v>497.26000000000005</v>
      </c>
      <c r="U3487" s="79">
        <v>0</v>
      </c>
      <c r="V3487" s="189">
        <v>497.26000000000005</v>
      </c>
      <c r="X3487" s="79">
        <v>427.47</v>
      </c>
      <c r="Y3487" s="79">
        <v>69.790000000000006</v>
      </c>
      <c r="Z3487" s="79">
        <v>497.26</v>
      </c>
      <c r="AA3487" s="255">
        <v>0</v>
      </c>
      <c r="AC3487" s="254"/>
      <c r="AD3487" s="236"/>
      <c r="AE3487" s="236"/>
    </row>
    <row r="3488" spans="1:31" ht="12">
      <c r="A3488" s="489" t="s">
        <v>17293</v>
      </c>
      <c r="B3488" s="490" t="s">
        <v>17294</v>
      </c>
      <c r="C3488" s="491"/>
      <c r="D3488" s="492"/>
      <c r="E3488" s="79"/>
      <c r="F3488" s="63"/>
      <c r="G3488" s="320"/>
      <c r="H3488" s="79"/>
      <c r="I3488" s="79"/>
      <c r="J3488" s="79"/>
      <c r="K3488" s="79"/>
      <c r="L3488" s="70"/>
      <c r="M3488" s="132"/>
      <c r="N3488" s="79"/>
      <c r="O3488" s="79"/>
      <c r="P3488" s="79"/>
      <c r="Q3488" s="136"/>
      <c r="R3488" s="79"/>
      <c r="S3488" s="79"/>
      <c r="T3488" s="79"/>
      <c r="U3488" s="79"/>
      <c r="V3488" s="189"/>
      <c r="X3488" s="79"/>
      <c r="Y3488" s="79"/>
      <c r="Z3488" s="79"/>
      <c r="AA3488" s="255"/>
      <c r="AC3488" s="254"/>
      <c r="AD3488" s="61"/>
      <c r="AE3488" s="61"/>
    </row>
    <row r="3489" spans="1:31" ht="12">
      <c r="A3489" s="489" t="s">
        <v>17295</v>
      </c>
      <c r="B3489" s="490" t="s">
        <v>17296</v>
      </c>
      <c r="C3489" s="491"/>
      <c r="D3489" s="492"/>
      <c r="E3489" s="79"/>
      <c r="F3489" s="63"/>
      <c r="G3489" s="320"/>
      <c r="H3489" s="79"/>
      <c r="I3489" s="79"/>
      <c r="J3489" s="79"/>
      <c r="K3489" s="79"/>
      <c r="L3489" s="70"/>
      <c r="M3489" s="132"/>
      <c r="N3489" s="79"/>
      <c r="O3489" s="79"/>
      <c r="P3489" s="79"/>
      <c r="Q3489" s="136"/>
      <c r="R3489" s="79"/>
      <c r="S3489" s="79"/>
      <c r="T3489" s="79"/>
      <c r="U3489" s="79"/>
      <c r="V3489" s="189"/>
      <c r="X3489" s="79"/>
      <c r="Y3489" s="79"/>
      <c r="Z3489" s="79"/>
      <c r="AA3489" s="255"/>
      <c r="AC3489" s="254"/>
    </row>
    <row r="3490" spans="1:31" s="61" customFormat="1" ht="12">
      <c r="A3490" s="67" t="s">
        <v>17297</v>
      </c>
      <c r="B3490" s="65" t="s">
        <v>17298</v>
      </c>
      <c r="C3490" s="499" t="s">
        <v>103</v>
      </c>
      <c r="D3490" s="78">
        <v>1</v>
      </c>
      <c r="E3490" s="79">
        <v>9244.5300000000007</v>
      </c>
      <c r="F3490" s="70">
        <v>9244.5300000000007</v>
      </c>
      <c r="G3490" s="320"/>
      <c r="H3490" s="79">
        <v>9120.58</v>
      </c>
      <c r="I3490" s="79">
        <v>123.94999999999999</v>
      </c>
      <c r="J3490" s="79">
        <v>9244.5300000000007</v>
      </c>
      <c r="K3490" s="79">
        <v>0</v>
      </c>
      <c r="L3490" s="70">
        <v>9244.5300000000007</v>
      </c>
      <c r="M3490" s="132"/>
      <c r="N3490" s="79">
        <v>9120.58</v>
      </c>
      <c r="O3490" s="79">
        <v>123.94999999999999</v>
      </c>
      <c r="P3490" s="79">
        <v>9244.5300000000007</v>
      </c>
      <c r="Q3490" s="136"/>
      <c r="R3490" s="79">
        <v>9120.58</v>
      </c>
      <c r="S3490" s="79">
        <v>123.96</v>
      </c>
      <c r="T3490" s="79">
        <v>9244.5399999999991</v>
      </c>
      <c r="U3490" s="79">
        <v>0</v>
      </c>
      <c r="V3490" s="189">
        <v>9244.5399999999991</v>
      </c>
      <c r="X3490" s="79">
        <v>9120.58</v>
      </c>
      <c r="Y3490" s="79">
        <v>123.96</v>
      </c>
      <c r="Z3490" s="79">
        <v>9244.5400000000009</v>
      </c>
      <c r="AA3490" s="498">
        <v>-1.0000000000218279E-2</v>
      </c>
      <c r="AC3490" s="254"/>
    </row>
    <row r="3491" spans="1:31" ht="12">
      <c r="A3491" s="67" t="s">
        <v>17299</v>
      </c>
      <c r="B3491" s="65" t="s">
        <v>17300</v>
      </c>
      <c r="C3491" s="499" t="s">
        <v>103</v>
      </c>
      <c r="D3491" s="78">
        <v>1</v>
      </c>
      <c r="E3491" s="79">
        <v>11652.650000000001</v>
      </c>
      <c r="F3491" s="70">
        <v>11652.65</v>
      </c>
      <c r="G3491" s="320"/>
      <c r="H3491" s="79">
        <v>11483.28</v>
      </c>
      <c r="I3491" s="79">
        <v>169.37</v>
      </c>
      <c r="J3491" s="79">
        <v>11652.650000000001</v>
      </c>
      <c r="K3491" s="79">
        <v>0</v>
      </c>
      <c r="L3491" s="70">
        <v>11652.650000000001</v>
      </c>
      <c r="M3491" s="132"/>
      <c r="N3491" s="79">
        <v>11483.28</v>
      </c>
      <c r="O3491" s="79">
        <v>169.37</v>
      </c>
      <c r="P3491" s="79">
        <v>11652.650000000001</v>
      </c>
      <c r="Q3491" s="136"/>
      <c r="R3491" s="79">
        <v>11483.28</v>
      </c>
      <c r="S3491" s="79">
        <v>169.38</v>
      </c>
      <c r="T3491" s="79">
        <v>11652.66</v>
      </c>
      <c r="U3491" s="79">
        <v>0</v>
      </c>
      <c r="V3491" s="189">
        <v>11652.66</v>
      </c>
      <c r="X3491" s="79">
        <v>11483.28</v>
      </c>
      <c r="Y3491" s="79">
        <v>169.38</v>
      </c>
      <c r="Z3491" s="79">
        <v>11652.66</v>
      </c>
      <c r="AA3491" s="498">
        <v>-1.0000000000218279E-2</v>
      </c>
      <c r="AC3491" s="254"/>
      <c r="AD3491" s="61"/>
      <c r="AE3491" s="61"/>
    </row>
    <row r="3492" spans="1:31" s="61" customFormat="1" ht="12">
      <c r="A3492" s="67" t="s">
        <v>17301</v>
      </c>
      <c r="B3492" s="65" t="s">
        <v>17302</v>
      </c>
      <c r="C3492" s="499" t="s">
        <v>103</v>
      </c>
      <c r="D3492" s="78">
        <v>1</v>
      </c>
      <c r="E3492" s="79">
        <v>1148.02</v>
      </c>
      <c r="F3492" s="70">
        <v>1148.02</v>
      </c>
      <c r="G3492" s="320"/>
      <c r="H3492" s="79">
        <v>1080.83</v>
      </c>
      <c r="I3492" s="79">
        <v>67.19</v>
      </c>
      <c r="J3492" s="79">
        <v>1148.02</v>
      </c>
      <c r="K3492" s="79">
        <v>0</v>
      </c>
      <c r="L3492" s="70">
        <v>1148.02</v>
      </c>
      <c r="M3492" s="132"/>
      <c r="N3492" s="79">
        <v>1080.83</v>
      </c>
      <c r="O3492" s="79">
        <v>67.19</v>
      </c>
      <c r="P3492" s="79">
        <v>1148.02</v>
      </c>
      <c r="Q3492" s="136"/>
      <c r="R3492" s="79">
        <v>1080.83</v>
      </c>
      <c r="S3492" s="79">
        <v>67.19</v>
      </c>
      <c r="T3492" s="79">
        <v>1148.02</v>
      </c>
      <c r="U3492" s="79">
        <v>0</v>
      </c>
      <c r="V3492" s="189">
        <v>1148.02</v>
      </c>
      <c r="X3492" s="79">
        <v>1080.83</v>
      </c>
      <c r="Y3492" s="79">
        <v>67.19</v>
      </c>
      <c r="Z3492" s="79">
        <v>1148.02</v>
      </c>
      <c r="AA3492" s="498">
        <v>0</v>
      </c>
      <c r="AC3492" s="254"/>
    </row>
    <row r="3493" spans="1:31" s="61" customFormat="1" ht="12">
      <c r="A3493" s="67" t="s">
        <v>17303</v>
      </c>
      <c r="B3493" s="65" t="s">
        <v>17304</v>
      </c>
      <c r="C3493" s="499" t="s">
        <v>103</v>
      </c>
      <c r="D3493" s="78">
        <v>1</v>
      </c>
      <c r="E3493" s="79">
        <v>2056.2799999999997</v>
      </c>
      <c r="F3493" s="70">
        <v>2056.2800000000002</v>
      </c>
      <c r="G3493" s="320"/>
      <c r="H3493" s="79">
        <v>1989.09</v>
      </c>
      <c r="I3493" s="79">
        <v>67.19</v>
      </c>
      <c r="J3493" s="79">
        <v>2056.2799999999997</v>
      </c>
      <c r="K3493" s="79">
        <v>0</v>
      </c>
      <c r="L3493" s="70">
        <v>2056.2799999999997</v>
      </c>
      <c r="M3493" s="132"/>
      <c r="N3493" s="79">
        <v>1989.09</v>
      </c>
      <c r="O3493" s="79">
        <v>67.19</v>
      </c>
      <c r="P3493" s="79">
        <v>2056.2799999999997</v>
      </c>
      <c r="Q3493" s="136"/>
      <c r="R3493" s="79">
        <v>1989.09</v>
      </c>
      <c r="S3493" s="79">
        <v>67.19</v>
      </c>
      <c r="T3493" s="79">
        <v>2056.2799999999997</v>
      </c>
      <c r="U3493" s="79">
        <v>0</v>
      </c>
      <c r="V3493" s="189">
        <v>2056.2799999999997</v>
      </c>
      <c r="X3493" s="79">
        <v>1989.09</v>
      </c>
      <c r="Y3493" s="79">
        <v>67.19</v>
      </c>
      <c r="Z3493" s="79">
        <v>2056.2800000000002</v>
      </c>
      <c r="AA3493" s="498">
        <v>0</v>
      </c>
      <c r="AC3493" s="254"/>
    </row>
    <row r="3494" spans="1:31" s="61" customFormat="1" ht="12">
      <c r="A3494" s="67" t="s">
        <v>17305</v>
      </c>
      <c r="B3494" s="65" t="s">
        <v>17306</v>
      </c>
      <c r="C3494" s="499" t="s">
        <v>103</v>
      </c>
      <c r="D3494" s="78">
        <v>1</v>
      </c>
      <c r="E3494" s="79">
        <v>3248.34</v>
      </c>
      <c r="F3494" s="70">
        <v>3248.34</v>
      </c>
      <c r="G3494" s="320"/>
      <c r="H3494" s="79">
        <v>3169.81</v>
      </c>
      <c r="I3494" s="79">
        <v>78.53</v>
      </c>
      <c r="J3494" s="79">
        <v>3248.34</v>
      </c>
      <c r="K3494" s="79">
        <v>0</v>
      </c>
      <c r="L3494" s="70">
        <v>3248.34</v>
      </c>
      <c r="M3494" s="132"/>
      <c r="N3494" s="79">
        <v>3169.81</v>
      </c>
      <c r="O3494" s="79">
        <v>78.53</v>
      </c>
      <c r="P3494" s="79">
        <v>3248.34</v>
      </c>
      <c r="Q3494" s="136"/>
      <c r="R3494" s="79">
        <v>3169.81</v>
      </c>
      <c r="S3494" s="79">
        <v>78.540000000000006</v>
      </c>
      <c r="T3494" s="79">
        <v>3248.35</v>
      </c>
      <c r="U3494" s="79">
        <v>0</v>
      </c>
      <c r="V3494" s="189">
        <v>3248.35</v>
      </c>
      <c r="X3494" s="79">
        <v>3169.81</v>
      </c>
      <c r="Y3494" s="79">
        <v>78.540000000000006</v>
      </c>
      <c r="Z3494" s="79">
        <v>3248.35</v>
      </c>
      <c r="AA3494" s="498">
        <v>-9.9999999997635314E-3</v>
      </c>
      <c r="AC3494" s="254"/>
    </row>
    <row r="3495" spans="1:31" s="61" customFormat="1" ht="12">
      <c r="A3495" s="67" t="s">
        <v>17307</v>
      </c>
      <c r="B3495" s="65" t="s">
        <v>17308</v>
      </c>
      <c r="C3495" s="499" t="s">
        <v>103</v>
      </c>
      <c r="D3495" s="78">
        <v>1</v>
      </c>
      <c r="E3495" s="79">
        <v>5781.9299999999994</v>
      </c>
      <c r="F3495" s="70">
        <v>5781.93</v>
      </c>
      <c r="G3495" s="320"/>
      <c r="H3495" s="79">
        <v>5680.69</v>
      </c>
      <c r="I3495" s="79">
        <v>101.24000000000001</v>
      </c>
      <c r="J3495" s="79">
        <v>5781.9299999999994</v>
      </c>
      <c r="K3495" s="79">
        <v>0</v>
      </c>
      <c r="L3495" s="70">
        <v>5781.9299999999994</v>
      </c>
      <c r="M3495" s="132"/>
      <c r="N3495" s="79">
        <v>5680.69</v>
      </c>
      <c r="O3495" s="79">
        <v>101.24000000000001</v>
      </c>
      <c r="P3495" s="79">
        <v>5781.9299999999994</v>
      </c>
      <c r="Q3495" s="136"/>
      <c r="R3495" s="79">
        <v>5680.69</v>
      </c>
      <c r="S3495" s="79">
        <v>101.25</v>
      </c>
      <c r="T3495" s="79">
        <v>5781.94</v>
      </c>
      <c r="U3495" s="79">
        <v>0</v>
      </c>
      <c r="V3495" s="189">
        <v>5781.94</v>
      </c>
      <c r="X3495" s="79">
        <v>5680.69</v>
      </c>
      <c r="Y3495" s="79">
        <v>101.25</v>
      </c>
      <c r="Z3495" s="79">
        <v>5781.94</v>
      </c>
      <c r="AA3495" s="498">
        <v>-9.999999999308784E-3</v>
      </c>
      <c r="AC3495" s="254"/>
    </row>
    <row r="3496" spans="1:31" s="61" customFormat="1" ht="24">
      <c r="A3496" s="63" t="s">
        <v>17309</v>
      </c>
      <c r="B3496" s="64" t="s">
        <v>17310</v>
      </c>
      <c r="C3496" s="499" t="s">
        <v>103</v>
      </c>
      <c r="D3496" s="78">
        <v>1</v>
      </c>
      <c r="E3496" s="79">
        <v>7074.16</v>
      </c>
      <c r="F3496" s="70">
        <v>7074.16</v>
      </c>
      <c r="G3496" s="320"/>
      <c r="H3496" s="79">
        <v>6984.26</v>
      </c>
      <c r="I3496" s="79">
        <v>89.9</v>
      </c>
      <c r="J3496" s="79">
        <v>7074.16</v>
      </c>
      <c r="K3496" s="79">
        <v>0</v>
      </c>
      <c r="L3496" s="70">
        <v>7074.16</v>
      </c>
      <c r="M3496" s="132"/>
      <c r="N3496" s="79">
        <v>6984.26</v>
      </c>
      <c r="O3496" s="79">
        <v>89.9</v>
      </c>
      <c r="P3496" s="79">
        <v>7074.16</v>
      </c>
      <c r="Q3496" s="136"/>
      <c r="R3496" s="79">
        <v>6984.26</v>
      </c>
      <c r="S3496" s="79">
        <v>89.9</v>
      </c>
      <c r="T3496" s="79">
        <v>7074.16</v>
      </c>
      <c r="U3496" s="79">
        <v>0</v>
      </c>
      <c r="V3496" s="189">
        <v>7074.16</v>
      </c>
      <c r="X3496" s="79">
        <v>6984.26</v>
      </c>
      <c r="Y3496" s="79">
        <v>89.9</v>
      </c>
      <c r="Z3496" s="79">
        <v>7074.16</v>
      </c>
      <c r="AA3496" s="498">
        <v>0</v>
      </c>
      <c r="AC3496" s="254"/>
    </row>
    <row r="3497" spans="1:31" s="61" customFormat="1" ht="24">
      <c r="A3497" s="63" t="s">
        <v>17311</v>
      </c>
      <c r="B3497" s="64" t="s">
        <v>17312</v>
      </c>
      <c r="C3497" s="499" t="s">
        <v>103</v>
      </c>
      <c r="D3497" s="78">
        <v>1</v>
      </c>
      <c r="E3497" s="79">
        <v>15256.7</v>
      </c>
      <c r="F3497" s="70">
        <v>15256.7</v>
      </c>
      <c r="G3497" s="320"/>
      <c r="H3497" s="79">
        <v>15132.75</v>
      </c>
      <c r="I3497" s="79">
        <v>123.94999999999999</v>
      </c>
      <c r="J3497" s="79">
        <v>15256.7</v>
      </c>
      <c r="K3497" s="79">
        <v>0</v>
      </c>
      <c r="L3497" s="70">
        <v>15256.7</v>
      </c>
      <c r="M3497" s="132"/>
      <c r="N3497" s="79">
        <v>15132.75</v>
      </c>
      <c r="O3497" s="79">
        <v>123.94999999999999</v>
      </c>
      <c r="P3497" s="79">
        <v>15256.7</v>
      </c>
      <c r="Q3497" s="136"/>
      <c r="R3497" s="79">
        <v>15132.75</v>
      </c>
      <c r="S3497" s="79">
        <v>123.96</v>
      </c>
      <c r="T3497" s="79">
        <v>15256.71</v>
      </c>
      <c r="U3497" s="79">
        <v>0</v>
      </c>
      <c r="V3497" s="189">
        <v>15256.71</v>
      </c>
      <c r="X3497" s="79">
        <v>15132.75</v>
      </c>
      <c r="Y3497" s="79">
        <v>123.96</v>
      </c>
      <c r="Z3497" s="79">
        <v>15256.71</v>
      </c>
      <c r="AA3497" s="498">
        <v>-9.9999999983992893E-3</v>
      </c>
      <c r="AC3497" s="254"/>
    </row>
    <row r="3498" spans="1:31" s="61" customFormat="1" ht="12">
      <c r="A3498" s="63" t="s">
        <v>17313</v>
      </c>
      <c r="B3498" s="64" t="s">
        <v>17314</v>
      </c>
      <c r="C3498" s="499" t="s">
        <v>103</v>
      </c>
      <c r="D3498" s="78">
        <v>1</v>
      </c>
      <c r="E3498" s="79">
        <v>976.3</v>
      </c>
      <c r="F3498" s="70">
        <v>976.3</v>
      </c>
      <c r="G3498" s="320"/>
      <c r="H3498" s="79">
        <v>897.77</v>
      </c>
      <c r="I3498" s="79">
        <v>78.53</v>
      </c>
      <c r="J3498" s="79">
        <v>976.3</v>
      </c>
      <c r="K3498" s="79">
        <v>0</v>
      </c>
      <c r="L3498" s="70">
        <v>976.3</v>
      </c>
      <c r="M3498" s="132"/>
      <c r="N3498" s="79">
        <v>897.77</v>
      </c>
      <c r="O3498" s="79">
        <v>78.53</v>
      </c>
      <c r="P3498" s="79">
        <v>976.3</v>
      </c>
      <c r="Q3498" s="136"/>
      <c r="R3498" s="79">
        <v>897.77</v>
      </c>
      <c r="S3498" s="79">
        <v>78.540000000000006</v>
      </c>
      <c r="T3498" s="79">
        <v>976.31</v>
      </c>
      <c r="U3498" s="79">
        <v>0</v>
      </c>
      <c r="V3498" s="189">
        <v>976.31</v>
      </c>
      <c r="X3498" s="79">
        <v>897.77</v>
      </c>
      <c r="Y3498" s="79">
        <v>78.540000000000006</v>
      </c>
      <c r="Z3498" s="79">
        <v>976.31</v>
      </c>
      <c r="AA3498" s="498">
        <v>-9.9999999999909051E-3</v>
      </c>
      <c r="AC3498" s="254"/>
    </row>
    <row r="3499" spans="1:31" s="61" customFormat="1" ht="12">
      <c r="A3499" s="63" t="s">
        <v>17315</v>
      </c>
      <c r="B3499" s="64" t="s">
        <v>17316</v>
      </c>
      <c r="C3499" s="499" t="s">
        <v>103</v>
      </c>
      <c r="D3499" s="78">
        <v>1</v>
      </c>
      <c r="E3499" s="79">
        <v>630.11</v>
      </c>
      <c r="F3499" s="70">
        <v>630.11</v>
      </c>
      <c r="G3499" s="320"/>
      <c r="H3499" s="79">
        <v>551.58000000000004</v>
      </c>
      <c r="I3499" s="79">
        <v>78.53</v>
      </c>
      <c r="J3499" s="79">
        <v>630.11</v>
      </c>
      <c r="K3499" s="79">
        <v>0</v>
      </c>
      <c r="L3499" s="70">
        <v>630.11</v>
      </c>
      <c r="M3499" s="132"/>
      <c r="N3499" s="79">
        <v>551.58000000000004</v>
      </c>
      <c r="O3499" s="79">
        <v>78.53</v>
      </c>
      <c r="P3499" s="79">
        <v>630.11</v>
      </c>
      <c r="Q3499" s="136"/>
      <c r="R3499" s="79">
        <v>551.58000000000004</v>
      </c>
      <c r="S3499" s="79">
        <v>78.540000000000006</v>
      </c>
      <c r="T3499" s="79">
        <v>630.12</v>
      </c>
      <c r="U3499" s="79">
        <v>0</v>
      </c>
      <c r="V3499" s="189">
        <v>630.12</v>
      </c>
      <c r="X3499" s="79">
        <v>551.58000000000004</v>
      </c>
      <c r="Y3499" s="79">
        <v>78.540000000000006</v>
      </c>
      <c r="Z3499" s="79">
        <v>630.12</v>
      </c>
      <c r="AA3499" s="498">
        <v>-9.9999999999909051E-3</v>
      </c>
      <c r="AC3499" s="254"/>
      <c r="AD3499" s="236"/>
      <c r="AE3499" s="236"/>
    </row>
    <row r="3500" spans="1:31" s="61" customFormat="1" ht="12">
      <c r="A3500" s="489" t="s">
        <v>17317</v>
      </c>
      <c r="B3500" s="490" t="s">
        <v>17318</v>
      </c>
      <c r="C3500" s="491"/>
      <c r="D3500" s="492"/>
      <c r="E3500" s="79"/>
      <c r="F3500" s="63"/>
      <c r="G3500" s="320"/>
      <c r="H3500" s="79"/>
      <c r="I3500" s="79"/>
      <c r="J3500" s="79"/>
      <c r="K3500" s="79"/>
      <c r="L3500" s="70"/>
      <c r="M3500" s="132"/>
      <c r="N3500" s="79"/>
      <c r="O3500" s="79"/>
      <c r="P3500" s="79"/>
      <c r="Q3500" s="136"/>
      <c r="R3500" s="79"/>
      <c r="S3500" s="79"/>
      <c r="T3500" s="79"/>
      <c r="U3500" s="79"/>
      <c r="V3500" s="189"/>
      <c r="X3500" s="79"/>
      <c r="Y3500" s="79"/>
      <c r="Z3500" s="79"/>
      <c r="AA3500" s="255"/>
      <c r="AC3500" s="254"/>
      <c r="AD3500" s="236"/>
      <c r="AE3500" s="236"/>
    </row>
    <row r="3501" spans="1:31" ht="12">
      <c r="A3501" s="67" t="s">
        <v>17319</v>
      </c>
      <c r="B3501" s="65" t="s">
        <v>17320</v>
      </c>
      <c r="C3501" s="499" t="s">
        <v>396</v>
      </c>
      <c r="D3501" s="78">
        <v>1</v>
      </c>
      <c r="E3501" s="79">
        <v>5175.63</v>
      </c>
      <c r="F3501" s="70">
        <v>5175.63</v>
      </c>
      <c r="G3501" s="320"/>
      <c r="H3501" s="79">
        <v>5097.1000000000004</v>
      </c>
      <c r="I3501" s="79">
        <v>78.53</v>
      </c>
      <c r="J3501" s="79">
        <v>5175.63</v>
      </c>
      <c r="K3501" s="79">
        <v>0</v>
      </c>
      <c r="L3501" s="70">
        <v>5175.63</v>
      </c>
      <c r="M3501" s="132"/>
      <c r="N3501" s="79">
        <v>5097.1000000000004</v>
      </c>
      <c r="O3501" s="79">
        <v>78.53</v>
      </c>
      <c r="P3501" s="79">
        <v>5175.63</v>
      </c>
      <c r="Q3501" s="136"/>
      <c r="R3501" s="79">
        <v>5097.1000000000004</v>
      </c>
      <c r="S3501" s="79">
        <v>78.540000000000006</v>
      </c>
      <c r="T3501" s="79">
        <v>5175.6400000000003</v>
      </c>
      <c r="U3501" s="79">
        <v>0</v>
      </c>
      <c r="V3501" s="189">
        <v>5175.6400000000003</v>
      </c>
      <c r="X3501" s="79">
        <v>5097.1000000000004</v>
      </c>
      <c r="Y3501" s="79">
        <v>78.540000000000006</v>
      </c>
      <c r="Z3501" s="79">
        <v>5175.6400000000003</v>
      </c>
      <c r="AA3501" s="498">
        <v>-1.0000000000218279E-2</v>
      </c>
      <c r="AC3501" s="254"/>
      <c r="AD3501" s="61"/>
      <c r="AE3501" s="61"/>
    </row>
    <row r="3502" spans="1:31" ht="12">
      <c r="A3502" s="67" t="s">
        <v>17321</v>
      </c>
      <c r="B3502" s="65" t="s">
        <v>17322</v>
      </c>
      <c r="C3502" s="499" t="s">
        <v>396</v>
      </c>
      <c r="D3502" s="78">
        <v>1</v>
      </c>
      <c r="E3502" s="79">
        <v>7182</v>
      </c>
      <c r="F3502" s="70">
        <v>7182</v>
      </c>
      <c r="G3502" s="320"/>
      <c r="H3502" s="79">
        <v>7103.47</v>
      </c>
      <c r="I3502" s="79">
        <v>78.53</v>
      </c>
      <c r="J3502" s="79">
        <v>7182</v>
      </c>
      <c r="K3502" s="79">
        <v>0</v>
      </c>
      <c r="L3502" s="70">
        <v>7182</v>
      </c>
      <c r="M3502" s="132"/>
      <c r="N3502" s="79">
        <v>7103.47</v>
      </c>
      <c r="O3502" s="79">
        <v>78.53</v>
      </c>
      <c r="P3502" s="79">
        <v>7182</v>
      </c>
      <c r="Q3502" s="136"/>
      <c r="R3502" s="79">
        <v>7103.47</v>
      </c>
      <c r="S3502" s="79">
        <v>78.540000000000006</v>
      </c>
      <c r="T3502" s="79">
        <v>7182.01</v>
      </c>
      <c r="U3502" s="79">
        <v>0</v>
      </c>
      <c r="V3502" s="189">
        <v>7182.01</v>
      </c>
      <c r="X3502" s="79">
        <v>7103.47</v>
      </c>
      <c r="Y3502" s="79">
        <v>78.540000000000006</v>
      </c>
      <c r="Z3502" s="79">
        <v>7182.01</v>
      </c>
      <c r="AA3502" s="498">
        <v>-1.0000000000218279E-2</v>
      </c>
      <c r="AC3502" s="254"/>
      <c r="AD3502" s="61"/>
      <c r="AE3502" s="61"/>
    </row>
    <row r="3503" spans="1:31" s="61" customFormat="1" ht="12">
      <c r="A3503" s="67" t="s">
        <v>17323</v>
      </c>
      <c r="B3503" s="65" t="s">
        <v>17324</v>
      </c>
      <c r="C3503" s="499" t="s">
        <v>396</v>
      </c>
      <c r="D3503" s="78">
        <v>1</v>
      </c>
      <c r="E3503" s="79">
        <v>13212.7</v>
      </c>
      <c r="F3503" s="70">
        <v>13212.7</v>
      </c>
      <c r="G3503" s="320"/>
      <c r="H3503" s="79">
        <v>13134.17</v>
      </c>
      <c r="I3503" s="79">
        <v>78.53</v>
      </c>
      <c r="J3503" s="79">
        <v>13212.7</v>
      </c>
      <c r="K3503" s="79">
        <v>0</v>
      </c>
      <c r="L3503" s="70">
        <v>13212.7</v>
      </c>
      <c r="M3503" s="132"/>
      <c r="N3503" s="79">
        <v>13134.17</v>
      </c>
      <c r="O3503" s="79">
        <v>78.53</v>
      </c>
      <c r="P3503" s="79">
        <v>13212.7</v>
      </c>
      <c r="Q3503" s="136"/>
      <c r="R3503" s="79">
        <v>13134.17</v>
      </c>
      <c r="S3503" s="79">
        <v>78.540000000000006</v>
      </c>
      <c r="T3503" s="79">
        <v>13212.710000000001</v>
      </c>
      <c r="U3503" s="79">
        <v>0</v>
      </c>
      <c r="V3503" s="189">
        <v>13212.710000000001</v>
      </c>
      <c r="X3503" s="79">
        <v>13134.17</v>
      </c>
      <c r="Y3503" s="79">
        <v>78.540000000000006</v>
      </c>
      <c r="Z3503" s="79">
        <v>13212.71</v>
      </c>
      <c r="AA3503" s="498">
        <v>-9.9999999983992893E-3</v>
      </c>
      <c r="AC3503" s="254"/>
    </row>
    <row r="3504" spans="1:31" s="61" customFormat="1" ht="12">
      <c r="A3504" s="489" t="s">
        <v>17325</v>
      </c>
      <c r="B3504" s="490" t="s">
        <v>17326</v>
      </c>
      <c r="C3504" s="491"/>
      <c r="D3504" s="492"/>
      <c r="E3504" s="79"/>
      <c r="F3504" s="63"/>
      <c r="G3504" s="320"/>
      <c r="H3504" s="79"/>
      <c r="I3504" s="79"/>
      <c r="J3504" s="79"/>
      <c r="K3504" s="79"/>
      <c r="L3504" s="70"/>
      <c r="M3504" s="132"/>
      <c r="N3504" s="79"/>
      <c r="O3504" s="79"/>
      <c r="P3504" s="79"/>
      <c r="Q3504" s="136"/>
      <c r="R3504" s="79"/>
      <c r="S3504" s="79"/>
      <c r="T3504" s="79"/>
      <c r="U3504" s="79"/>
      <c r="V3504" s="189"/>
      <c r="X3504" s="79"/>
      <c r="Y3504" s="79"/>
      <c r="Z3504" s="79"/>
      <c r="AA3504" s="255"/>
      <c r="AC3504" s="254"/>
      <c r="AD3504" s="69"/>
      <c r="AE3504" s="69"/>
    </row>
    <row r="3505" spans="1:31" s="61" customFormat="1" ht="24">
      <c r="A3505" s="67" t="s">
        <v>17327</v>
      </c>
      <c r="B3505" s="65" t="s">
        <v>17328</v>
      </c>
      <c r="C3505" s="71" t="s">
        <v>165</v>
      </c>
      <c r="D3505" s="78">
        <v>1</v>
      </c>
      <c r="E3505" s="79">
        <v>22193.589999999989</v>
      </c>
      <c r="F3505" s="70">
        <v>22193.59</v>
      </c>
      <c r="G3505" s="320"/>
      <c r="H3505" s="79">
        <v>18005.959999999995</v>
      </c>
      <c r="I3505" s="79">
        <v>4187.63</v>
      </c>
      <c r="J3505" s="79">
        <v>22193.589999999997</v>
      </c>
      <c r="K3505" s="79">
        <v>0</v>
      </c>
      <c r="L3505" s="70">
        <v>22193.589999999997</v>
      </c>
      <c r="M3505" s="132"/>
      <c r="N3505" s="79">
        <v>18005.959999999995</v>
      </c>
      <c r="O3505" s="79">
        <v>4187.63</v>
      </c>
      <c r="P3505" s="79">
        <v>22193.589999999997</v>
      </c>
      <c r="Q3505" s="136"/>
      <c r="R3505" s="79">
        <v>18005.96</v>
      </c>
      <c r="S3505" s="79">
        <v>4187.79</v>
      </c>
      <c r="T3505" s="79">
        <v>22193.75</v>
      </c>
      <c r="U3505" s="79">
        <v>0</v>
      </c>
      <c r="V3505" s="189">
        <v>22193.75</v>
      </c>
      <c r="X3505" s="79">
        <v>18005.96</v>
      </c>
      <c r="Y3505" s="79">
        <v>4187.79</v>
      </c>
      <c r="Z3505" s="79">
        <v>22193.75</v>
      </c>
      <c r="AA3505" s="255">
        <v>-0.15999999999985448</v>
      </c>
      <c r="AC3505" s="254"/>
      <c r="AD3505" s="236"/>
      <c r="AE3505" s="236"/>
    </row>
    <row r="3506" spans="1:31" s="69" customFormat="1" ht="24">
      <c r="A3506" s="67" t="s">
        <v>17329</v>
      </c>
      <c r="B3506" s="65" t="s">
        <v>17330</v>
      </c>
      <c r="C3506" s="71" t="s">
        <v>165</v>
      </c>
      <c r="D3506" s="78">
        <v>1</v>
      </c>
      <c r="E3506" s="79">
        <v>43225.07999999998</v>
      </c>
      <c r="F3506" s="70">
        <v>43225.08</v>
      </c>
      <c r="G3506" s="320"/>
      <c r="H3506" s="79">
        <v>34255.639999999992</v>
      </c>
      <c r="I3506" s="79">
        <v>8969.4399999999987</v>
      </c>
      <c r="J3506" s="79">
        <v>43225.079999999987</v>
      </c>
      <c r="K3506" s="79">
        <v>0</v>
      </c>
      <c r="L3506" s="70">
        <v>43225.079999999987</v>
      </c>
      <c r="M3506" s="132"/>
      <c r="N3506" s="79">
        <v>34255.639999999992</v>
      </c>
      <c r="O3506" s="79">
        <v>8969.4399999999987</v>
      </c>
      <c r="P3506" s="79">
        <v>43225.079999999987</v>
      </c>
      <c r="Q3506" s="136"/>
      <c r="R3506" s="79">
        <v>34255.64</v>
      </c>
      <c r="S3506" s="79">
        <v>8969.8700000000008</v>
      </c>
      <c r="T3506" s="79">
        <v>43225.51</v>
      </c>
      <c r="U3506" s="79">
        <v>0</v>
      </c>
      <c r="V3506" s="189">
        <v>43225.51</v>
      </c>
      <c r="W3506" s="61"/>
      <c r="X3506" s="79">
        <v>34255.64</v>
      </c>
      <c r="Y3506" s="79">
        <v>8969.8700000000008</v>
      </c>
      <c r="Z3506" s="79">
        <v>43225.51</v>
      </c>
      <c r="AA3506" s="255">
        <v>-0.43000000000029104</v>
      </c>
      <c r="AB3506" s="61"/>
      <c r="AC3506" s="254"/>
      <c r="AD3506" s="236"/>
      <c r="AE3506" s="236"/>
    </row>
    <row r="3507" spans="1:31" ht="12">
      <c r="A3507" s="489" t="s">
        <v>17331</v>
      </c>
      <c r="B3507" s="490" t="s">
        <v>17332</v>
      </c>
      <c r="C3507" s="491"/>
      <c r="D3507" s="492"/>
      <c r="E3507" s="79"/>
      <c r="F3507" s="63"/>
      <c r="G3507" s="320"/>
      <c r="H3507" s="79"/>
      <c r="I3507" s="79"/>
      <c r="J3507" s="79"/>
      <c r="K3507" s="79"/>
      <c r="L3507" s="70"/>
      <c r="M3507" s="132"/>
      <c r="N3507" s="79"/>
      <c r="O3507" s="79"/>
      <c r="P3507" s="79"/>
      <c r="Q3507" s="136"/>
      <c r="R3507" s="79"/>
      <c r="S3507" s="79"/>
      <c r="T3507" s="79"/>
      <c r="U3507" s="79"/>
      <c r="V3507" s="189"/>
      <c r="X3507" s="79"/>
      <c r="Y3507" s="79"/>
      <c r="Z3507" s="79"/>
      <c r="AA3507" s="255"/>
      <c r="AC3507" s="254"/>
    </row>
    <row r="3508" spans="1:31" ht="12">
      <c r="A3508" s="67" t="s">
        <v>17333</v>
      </c>
      <c r="B3508" s="65" t="s">
        <v>17334</v>
      </c>
      <c r="C3508" s="71" t="s">
        <v>103</v>
      </c>
      <c r="D3508" s="78">
        <v>1</v>
      </c>
      <c r="E3508" s="79">
        <v>110.16</v>
      </c>
      <c r="F3508" s="70">
        <v>110.16</v>
      </c>
      <c r="G3508" s="320"/>
      <c r="H3508" s="79">
        <v>93.41</v>
      </c>
      <c r="I3508" s="79">
        <v>16.75</v>
      </c>
      <c r="J3508" s="79">
        <v>110.16</v>
      </c>
      <c r="K3508" s="79">
        <v>0</v>
      </c>
      <c r="L3508" s="70">
        <v>110.16</v>
      </c>
      <c r="M3508" s="132"/>
      <c r="N3508" s="79">
        <v>93.41</v>
      </c>
      <c r="O3508" s="79">
        <v>16.75</v>
      </c>
      <c r="P3508" s="79">
        <v>110.16</v>
      </c>
      <c r="Q3508" s="136"/>
      <c r="R3508" s="79">
        <v>93.41</v>
      </c>
      <c r="S3508" s="79">
        <v>16.75</v>
      </c>
      <c r="T3508" s="79">
        <v>110.16</v>
      </c>
      <c r="U3508" s="79">
        <v>0</v>
      </c>
      <c r="V3508" s="189">
        <v>110.16</v>
      </c>
      <c r="X3508" s="79">
        <v>93.41</v>
      </c>
      <c r="Y3508" s="79">
        <v>16.75</v>
      </c>
      <c r="Z3508" s="79">
        <v>110.16</v>
      </c>
      <c r="AA3508" s="255">
        <v>0</v>
      </c>
      <c r="AC3508" s="254"/>
    </row>
    <row r="3509" spans="1:31" ht="12">
      <c r="A3509" s="67" t="s">
        <v>17335</v>
      </c>
      <c r="B3509" s="65" t="s">
        <v>17336</v>
      </c>
      <c r="C3509" s="71" t="s">
        <v>103</v>
      </c>
      <c r="D3509" s="78">
        <v>1</v>
      </c>
      <c r="E3509" s="79">
        <v>142.25</v>
      </c>
      <c r="F3509" s="70">
        <v>142.25</v>
      </c>
      <c r="G3509" s="320"/>
      <c r="H3509" s="79">
        <v>119.92999999999999</v>
      </c>
      <c r="I3509" s="79">
        <v>22.32</v>
      </c>
      <c r="J3509" s="79">
        <v>142.25</v>
      </c>
      <c r="K3509" s="79">
        <v>0</v>
      </c>
      <c r="L3509" s="70">
        <v>142.25</v>
      </c>
      <c r="M3509" s="132"/>
      <c r="N3509" s="79">
        <v>119.92999999999999</v>
      </c>
      <c r="O3509" s="79">
        <v>22.32</v>
      </c>
      <c r="P3509" s="79">
        <v>142.25</v>
      </c>
      <c r="Q3509" s="136"/>
      <c r="R3509" s="79">
        <v>119.93</v>
      </c>
      <c r="S3509" s="79">
        <v>22.33</v>
      </c>
      <c r="T3509" s="79">
        <v>142.26</v>
      </c>
      <c r="U3509" s="79">
        <v>0</v>
      </c>
      <c r="V3509" s="189">
        <v>142.26</v>
      </c>
      <c r="X3509" s="79">
        <v>119.93</v>
      </c>
      <c r="Y3509" s="79">
        <v>22.33</v>
      </c>
      <c r="Z3509" s="79">
        <v>142.26</v>
      </c>
      <c r="AA3509" s="255">
        <v>-9.9999999999909051E-3</v>
      </c>
      <c r="AC3509" s="254"/>
    </row>
    <row r="3510" spans="1:31" ht="12">
      <c r="A3510" s="67" t="s">
        <v>17337</v>
      </c>
      <c r="B3510" s="65" t="s">
        <v>17338</v>
      </c>
      <c r="C3510" s="71" t="s">
        <v>103</v>
      </c>
      <c r="D3510" s="78">
        <v>1</v>
      </c>
      <c r="E3510" s="79">
        <v>257.13</v>
      </c>
      <c r="F3510" s="70">
        <v>257.13</v>
      </c>
      <c r="G3510" s="320"/>
      <c r="H3510" s="79">
        <v>232</v>
      </c>
      <c r="I3510" s="79">
        <v>25.130000000000003</v>
      </c>
      <c r="J3510" s="79">
        <v>257.13</v>
      </c>
      <c r="K3510" s="79">
        <v>0</v>
      </c>
      <c r="L3510" s="70">
        <v>257.13</v>
      </c>
      <c r="M3510" s="132"/>
      <c r="N3510" s="79">
        <v>232</v>
      </c>
      <c r="O3510" s="79">
        <v>25.130000000000003</v>
      </c>
      <c r="P3510" s="79">
        <v>257.13</v>
      </c>
      <c r="Q3510" s="136"/>
      <c r="R3510" s="79">
        <v>232</v>
      </c>
      <c r="S3510" s="79">
        <v>25.12</v>
      </c>
      <c r="T3510" s="79">
        <v>257.12</v>
      </c>
      <c r="U3510" s="79">
        <v>0</v>
      </c>
      <c r="V3510" s="189">
        <v>257.12</v>
      </c>
      <c r="X3510" s="79">
        <v>232</v>
      </c>
      <c r="Y3510" s="79">
        <v>25.12</v>
      </c>
      <c r="Z3510" s="79">
        <v>257.12</v>
      </c>
      <c r="AA3510" s="255">
        <v>9.9999999999909051E-3</v>
      </c>
      <c r="AC3510" s="254"/>
    </row>
    <row r="3511" spans="1:31" ht="12">
      <c r="A3511" s="67" t="s">
        <v>17339</v>
      </c>
      <c r="B3511" s="65" t="s">
        <v>17340</v>
      </c>
      <c r="C3511" s="71" t="s">
        <v>103</v>
      </c>
      <c r="D3511" s="78">
        <v>1</v>
      </c>
      <c r="E3511" s="79">
        <v>271.42</v>
      </c>
      <c r="F3511" s="70">
        <v>271.42</v>
      </c>
      <c r="G3511" s="320"/>
      <c r="H3511" s="79">
        <v>246.29</v>
      </c>
      <c r="I3511" s="79">
        <v>25.130000000000003</v>
      </c>
      <c r="J3511" s="79">
        <v>271.42</v>
      </c>
      <c r="K3511" s="79">
        <v>0</v>
      </c>
      <c r="L3511" s="70">
        <v>271.42</v>
      </c>
      <c r="M3511" s="132"/>
      <c r="N3511" s="79">
        <v>246.29</v>
      </c>
      <c r="O3511" s="79">
        <v>25.130000000000003</v>
      </c>
      <c r="P3511" s="79">
        <v>271.42</v>
      </c>
      <c r="Q3511" s="136"/>
      <c r="R3511" s="79">
        <v>246.29</v>
      </c>
      <c r="S3511" s="79">
        <v>25.12</v>
      </c>
      <c r="T3511" s="79">
        <v>271.40999999999997</v>
      </c>
      <c r="U3511" s="79">
        <v>0</v>
      </c>
      <c r="V3511" s="189">
        <v>271.40999999999997</v>
      </c>
      <c r="X3511" s="79">
        <v>246.29</v>
      </c>
      <c r="Y3511" s="79">
        <v>25.12</v>
      </c>
      <c r="Z3511" s="79">
        <v>271.41000000000003</v>
      </c>
      <c r="AA3511" s="255">
        <v>9.9999999999909051E-3</v>
      </c>
      <c r="AC3511" s="254"/>
    </row>
    <row r="3512" spans="1:31" ht="12">
      <c r="A3512" s="67" t="s">
        <v>17341</v>
      </c>
      <c r="B3512" s="65" t="s">
        <v>17342</v>
      </c>
      <c r="C3512" s="71" t="s">
        <v>103</v>
      </c>
      <c r="D3512" s="78">
        <v>1</v>
      </c>
      <c r="E3512" s="79">
        <v>349.98</v>
      </c>
      <c r="F3512" s="70">
        <v>349.98</v>
      </c>
      <c r="G3512" s="320"/>
      <c r="H3512" s="79">
        <v>316.48</v>
      </c>
      <c r="I3512" s="79">
        <v>33.5</v>
      </c>
      <c r="J3512" s="79">
        <v>349.98</v>
      </c>
      <c r="K3512" s="79">
        <v>0</v>
      </c>
      <c r="L3512" s="70">
        <v>349.98</v>
      </c>
      <c r="M3512" s="132"/>
      <c r="N3512" s="79">
        <v>316.48</v>
      </c>
      <c r="O3512" s="79">
        <v>33.5</v>
      </c>
      <c r="P3512" s="79">
        <v>349.98</v>
      </c>
      <c r="Q3512" s="136"/>
      <c r="R3512" s="79">
        <v>316.48</v>
      </c>
      <c r="S3512" s="79">
        <v>33.5</v>
      </c>
      <c r="T3512" s="79">
        <v>349.98</v>
      </c>
      <c r="U3512" s="79">
        <v>0</v>
      </c>
      <c r="V3512" s="189">
        <v>349.98</v>
      </c>
      <c r="X3512" s="79">
        <v>316.48</v>
      </c>
      <c r="Y3512" s="79">
        <v>33.5</v>
      </c>
      <c r="Z3512" s="79">
        <v>349.98</v>
      </c>
      <c r="AA3512" s="255">
        <v>0</v>
      </c>
      <c r="AC3512" s="254"/>
    </row>
    <row r="3513" spans="1:31" ht="12">
      <c r="A3513" s="67" t="s">
        <v>17343</v>
      </c>
      <c r="B3513" s="65" t="s">
        <v>17344</v>
      </c>
      <c r="C3513" s="71" t="s">
        <v>103</v>
      </c>
      <c r="D3513" s="78">
        <v>1</v>
      </c>
      <c r="E3513" s="79">
        <v>1529.2700000000002</v>
      </c>
      <c r="F3513" s="70">
        <v>1529.27</v>
      </c>
      <c r="G3513" s="320"/>
      <c r="H3513" s="79">
        <v>1504.14</v>
      </c>
      <c r="I3513" s="79">
        <v>25.130000000000003</v>
      </c>
      <c r="J3513" s="79">
        <v>1529.2700000000002</v>
      </c>
      <c r="K3513" s="79">
        <v>0</v>
      </c>
      <c r="L3513" s="70">
        <v>1529.2700000000002</v>
      </c>
      <c r="M3513" s="132"/>
      <c r="N3513" s="79">
        <v>1504.14</v>
      </c>
      <c r="O3513" s="79">
        <v>25.130000000000003</v>
      </c>
      <c r="P3513" s="79">
        <v>1529.2700000000002</v>
      </c>
      <c r="Q3513" s="136"/>
      <c r="R3513" s="79">
        <v>1504.16</v>
      </c>
      <c r="S3513" s="79">
        <v>25.12</v>
      </c>
      <c r="T3513" s="79">
        <v>1529.28</v>
      </c>
      <c r="U3513" s="79">
        <v>0</v>
      </c>
      <c r="V3513" s="189">
        <v>1529.28</v>
      </c>
      <c r="X3513" s="79">
        <v>1504.16</v>
      </c>
      <c r="Y3513" s="79">
        <v>25.12</v>
      </c>
      <c r="Z3513" s="79">
        <v>1529.28</v>
      </c>
      <c r="AA3513" s="255">
        <v>-9.9999999999909051E-3</v>
      </c>
      <c r="AC3513" s="254"/>
    </row>
    <row r="3514" spans="1:31" ht="12">
      <c r="A3514" s="67" t="s">
        <v>17345</v>
      </c>
      <c r="B3514" s="65" t="s">
        <v>17346</v>
      </c>
      <c r="C3514" s="71" t="s">
        <v>103</v>
      </c>
      <c r="D3514" s="78">
        <v>1</v>
      </c>
      <c r="E3514" s="79">
        <v>2317.15</v>
      </c>
      <c r="F3514" s="70">
        <v>2317.15</v>
      </c>
      <c r="G3514" s="320"/>
      <c r="H3514" s="79">
        <v>2205.5</v>
      </c>
      <c r="I3514" s="79">
        <v>111.65</v>
      </c>
      <c r="J3514" s="79">
        <v>2317.15</v>
      </c>
      <c r="K3514" s="79">
        <v>0</v>
      </c>
      <c r="L3514" s="70">
        <v>2317.15</v>
      </c>
      <c r="M3514" s="132"/>
      <c r="N3514" s="79">
        <v>2205.5</v>
      </c>
      <c r="O3514" s="79">
        <v>111.65</v>
      </c>
      <c r="P3514" s="79">
        <v>2317.15</v>
      </c>
      <c r="Q3514" s="136"/>
      <c r="R3514" s="79">
        <v>2205.5</v>
      </c>
      <c r="S3514" s="79">
        <v>111.66</v>
      </c>
      <c r="T3514" s="79">
        <v>2317.16</v>
      </c>
      <c r="U3514" s="79">
        <v>0</v>
      </c>
      <c r="V3514" s="189">
        <v>2317.16</v>
      </c>
      <c r="X3514" s="79">
        <v>2205.5</v>
      </c>
      <c r="Y3514" s="79">
        <v>111.66</v>
      </c>
      <c r="Z3514" s="79">
        <v>2317.16</v>
      </c>
      <c r="AA3514" s="255">
        <v>-9.9999999997635314E-3</v>
      </c>
      <c r="AC3514" s="254"/>
    </row>
    <row r="3515" spans="1:31" ht="12">
      <c r="A3515" s="489" t="s">
        <v>17347</v>
      </c>
      <c r="B3515" s="490" t="s">
        <v>17348</v>
      </c>
      <c r="C3515" s="491"/>
      <c r="D3515" s="492"/>
      <c r="E3515" s="79"/>
      <c r="F3515" s="63"/>
      <c r="G3515" s="320"/>
      <c r="H3515" s="79"/>
      <c r="I3515" s="79"/>
      <c r="J3515" s="79"/>
      <c r="K3515" s="79"/>
      <c r="L3515" s="70"/>
      <c r="M3515" s="132"/>
      <c r="N3515" s="79"/>
      <c r="O3515" s="79"/>
      <c r="P3515" s="79"/>
      <c r="Q3515" s="136"/>
      <c r="R3515" s="79"/>
      <c r="S3515" s="79"/>
      <c r="T3515" s="79"/>
      <c r="U3515" s="79"/>
      <c r="V3515" s="189"/>
      <c r="X3515" s="79"/>
      <c r="Y3515" s="79"/>
      <c r="Z3515" s="79"/>
      <c r="AA3515" s="255"/>
      <c r="AC3515" s="254"/>
    </row>
    <row r="3516" spans="1:31" ht="12">
      <c r="A3516" s="67" t="s">
        <v>17349</v>
      </c>
      <c r="B3516" s="65" t="s">
        <v>17350</v>
      </c>
      <c r="C3516" s="71" t="s">
        <v>103</v>
      </c>
      <c r="D3516" s="78">
        <v>1</v>
      </c>
      <c r="E3516" s="79">
        <v>68.13</v>
      </c>
      <c r="F3516" s="70">
        <v>68.13</v>
      </c>
      <c r="G3516" s="320"/>
      <c r="H3516" s="79">
        <v>0</v>
      </c>
      <c r="I3516" s="79">
        <v>68.13</v>
      </c>
      <c r="J3516" s="79">
        <v>68.13</v>
      </c>
      <c r="K3516" s="79">
        <v>0</v>
      </c>
      <c r="L3516" s="70">
        <v>68.13</v>
      </c>
      <c r="M3516" s="132"/>
      <c r="N3516" s="79"/>
      <c r="O3516" s="79">
        <v>68.13</v>
      </c>
      <c r="P3516" s="79">
        <v>68.13</v>
      </c>
      <c r="Q3516" s="136"/>
      <c r="R3516" s="79"/>
      <c r="S3516" s="79">
        <v>68.13</v>
      </c>
      <c r="T3516" s="79">
        <v>68.13</v>
      </c>
      <c r="U3516" s="79">
        <v>0</v>
      </c>
      <c r="V3516" s="189">
        <v>68.13</v>
      </c>
      <c r="X3516" s="79"/>
      <c r="Y3516" s="79">
        <v>68.13</v>
      </c>
      <c r="Z3516" s="79">
        <v>68.13</v>
      </c>
      <c r="AA3516" s="255">
        <v>0</v>
      </c>
      <c r="AC3516" s="254"/>
    </row>
    <row r="3517" spans="1:31" ht="12">
      <c r="A3517" s="67" t="s">
        <v>17351</v>
      </c>
      <c r="B3517" s="65" t="s">
        <v>17352</v>
      </c>
      <c r="C3517" s="71" t="s">
        <v>103</v>
      </c>
      <c r="D3517" s="78">
        <v>1</v>
      </c>
      <c r="E3517" s="79">
        <v>181.67</v>
      </c>
      <c r="F3517" s="70">
        <v>181.67</v>
      </c>
      <c r="G3517" s="320"/>
      <c r="H3517" s="79">
        <v>0</v>
      </c>
      <c r="I3517" s="79">
        <v>181.67</v>
      </c>
      <c r="J3517" s="79">
        <v>181.67</v>
      </c>
      <c r="K3517" s="79">
        <v>0</v>
      </c>
      <c r="L3517" s="70">
        <v>181.67</v>
      </c>
      <c r="M3517" s="132"/>
      <c r="N3517" s="79"/>
      <c r="O3517" s="79">
        <v>181.67</v>
      </c>
      <c r="P3517" s="79">
        <v>181.67</v>
      </c>
      <c r="Q3517" s="136"/>
      <c r="R3517" s="79"/>
      <c r="S3517" s="79">
        <v>181.68</v>
      </c>
      <c r="T3517" s="79">
        <v>181.68</v>
      </c>
      <c r="U3517" s="79">
        <v>0</v>
      </c>
      <c r="V3517" s="189">
        <v>181.68</v>
      </c>
      <c r="X3517" s="79"/>
      <c r="Y3517" s="79">
        <v>181.68</v>
      </c>
      <c r="Z3517" s="79">
        <v>181.68</v>
      </c>
      <c r="AA3517" s="255">
        <v>-1.0000000000019327E-2</v>
      </c>
      <c r="AC3517" s="254"/>
    </row>
    <row r="3518" spans="1:31" ht="12">
      <c r="A3518" s="67" t="s">
        <v>17353</v>
      </c>
      <c r="B3518" s="65" t="s">
        <v>17354</v>
      </c>
      <c r="C3518" s="71" t="s">
        <v>103</v>
      </c>
      <c r="D3518" s="78">
        <v>1</v>
      </c>
      <c r="E3518" s="79">
        <v>408.76</v>
      </c>
      <c r="F3518" s="70">
        <v>408.76</v>
      </c>
      <c r="G3518" s="320"/>
      <c r="H3518" s="79">
        <v>0</v>
      </c>
      <c r="I3518" s="79">
        <v>408.76</v>
      </c>
      <c r="J3518" s="79">
        <v>408.76</v>
      </c>
      <c r="K3518" s="79">
        <v>0</v>
      </c>
      <c r="L3518" s="70">
        <v>408.76</v>
      </c>
      <c r="M3518" s="132"/>
      <c r="N3518" s="79"/>
      <c r="O3518" s="79">
        <v>408.76</v>
      </c>
      <c r="P3518" s="79">
        <v>408.76</v>
      </c>
      <c r="Q3518" s="136"/>
      <c r="R3518" s="79"/>
      <c r="S3518" s="79">
        <v>408.78</v>
      </c>
      <c r="T3518" s="79">
        <v>408.78</v>
      </c>
      <c r="U3518" s="79">
        <v>0</v>
      </c>
      <c r="V3518" s="189">
        <v>408.78</v>
      </c>
      <c r="X3518" s="79"/>
      <c r="Y3518" s="79">
        <v>408.78</v>
      </c>
      <c r="Z3518" s="79">
        <v>408.78</v>
      </c>
      <c r="AA3518" s="255">
        <v>-1.999999999998181E-2</v>
      </c>
      <c r="AC3518" s="254"/>
    </row>
    <row r="3519" spans="1:31" ht="12">
      <c r="A3519" s="489" t="s">
        <v>17355</v>
      </c>
      <c r="B3519" s="490" t="s">
        <v>17356</v>
      </c>
      <c r="C3519" s="491"/>
      <c r="D3519" s="492"/>
      <c r="E3519" s="79"/>
      <c r="F3519" s="63"/>
      <c r="G3519" s="320"/>
      <c r="H3519" s="79"/>
      <c r="I3519" s="79"/>
      <c r="J3519" s="79"/>
      <c r="K3519" s="79"/>
      <c r="L3519" s="70"/>
      <c r="M3519" s="132"/>
      <c r="N3519" s="79"/>
      <c r="O3519" s="79"/>
      <c r="P3519" s="79"/>
      <c r="Q3519" s="136"/>
      <c r="R3519" s="79"/>
      <c r="S3519" s="79"/>
      <c r="T3519" s="79"/>
      <c r="U3519" s="79"/>
      <c r="V3519" s="189"/>
      <c r="X3519" s="79"/>
      <c r="Y3519" s="79"/>
      <c r="Z3519" s="79"/>
      <c r="AA3519" s="255"/>
      <c r="AC3519" s="254"/>
    </row>
    <row r="3520" spans="1:31" ht="12">
      <c r="A3520" s="489" t="s">
        <v>17357</v>
      </c>
      <c r="B3520" s="490" t="s">
        <v>17358</v>
      </c>
      <c r="C3520" s="491"/>
      <c r="D3520" s="492"/>
      <c r="E3520" s="79"/>
      <c r="F3520" s="63"/>
      <c r="G3520" s="320"/>
      <c r="H3520" s="79"/>
      <c r="I3520" s="79"/>
      <c r="J3520" s="79"/>
      <c r="K3520" s="79"/>
      <c r="L3520" s="70"/>
      <c r="M3520" s="132"/>
      <c r="N3520" s="79"/>
      <c r="O3520" s="79"/>
      <c r="P3520" s="79"/>
      <c r="Q3520" s="136"/>
      <c r="R3520" s="79"/>
      <c r="S3520" s="79"/>
      <c r="T3520" s="79"/>
      <c r="U3520" s="79"/>
      <c r="V3520" s="189"/>
      <c r="X3520" s="79"/>
      <c r="Y3520" s="79"/>
      <c r="Z3520" s="79"/>
      <c r="AA3520" s="255"/>
      <c r="AC3520" s="254"/>
    </row>
    <row r="3521" spans="1:29" ht="12">
      <c r="A3521" s="67" t="s">
        <v>17359</v>
      </c>
      <c r="B3521" s="65" t="s">
        <v>17360</v>
      </c>
      <c r="C3521" s="499" t="s">
        <v>103</v>
      </c>
      <c r="D3521" s="78">
        <v>1</v>
      </c>
      <c r="E3521" s="79">
        <v>95.5</v>
      </c>
      <c r="F3521" s="70">
        <v>95.5</v>
      </c>
      <c r="G3521" s="320"/>
      <c r="H3521" s="79">
        <v>39.67</v>
      </c>
      <c r="I3521" s="79">
        <v>55.83</v>
      </c>
      <c r="J3521" s="79">
        <v>95.5</v>
      </c>
      <c r="K3521" s="79">
        <v>0</v>
      </c>
      <c r="L3521" s="70">
        <v>95.5</v>
      </c>
      <c r="M3521" s="132"/>
      <c r="N3521" s="79">
        <v>39.67</v>
      </c>
      <c r="O3521" s="79">
        <v>55.83</v>
      </c>
      <c r="P3521" s="79">
        <v>95.5</v>
      </c>
      <c r="Q3521" s="136"/>
      <c r="R3521" s="79">
        <v>39.67</v>
      </c>
      <c r="S3521" s="79">
        <v>55.83</v>
      </c>
      <c r="T3521" s="79">
        <v>95.5</v>
      </c>
      <c r="U3521" s="79">
        <v>0</v>
      </c>
      <c r="V3521" s="189">
        <v>95.5</v>
      </c>
      <c r="X3521" s="79">
        <v>39.67</v>
      </c>
      <c r="Y3521" s="79">
        <v>55.83</v>
      </c>
      <c r="Z3521" s="79">
        <v>95.5</v>
      </c>
      <c r="AA3521" s="255">
        <v>0</v>
      </c>
      <c r="AC3521" s="254"/>
    </row>
    <row r="3522" spans="1:29" ht="12">
      <c r="A3522" s="67" t="s">
        <v>17361</v>
      </c>
      <c r="B3522" s="65" t="s">
        <v>17362</v>
      </c>
      <c r="C3522" s="71" t="s">
        <v>103</v>
      </c>
      <c r="D3522" s="78">
        <v>1</v>
      </c>
      <c r="E3522" s="79">
        <v>110.43</v>
      </c>
      <c r="F3522" s="70">
        <v>110.43</v>
      </c>
      <c r="G3522" s="320"/>
      <c r="H3522" s="79">
        <v>54.6</v>
      </c>
      <c r="I3522" s="79">
        <v>55.83</v>
      </c>
      <c r="J3522" s="79">
        <v>110.43</v>
      </c>
      <c r="K3522" s="79">
        <v>0</v>
      </c>
      <c r="L3522" s="70">
        <v>110.43</v>
      </c>
      <c r="M3522" s="132"/>
      <c r="N3522" s="79">
        <v>54.6</v>
      </c>
      <c r="O3522" s="79">
        <v>55.83</v>
      </c>
      <c r="P3522" s="79">
        <v>110.43</v>
      </c>
      <c r="Q3522" s="136"/>
      <c r="R3522" s="79">
        <v>54.6</v>
      </c>
      <c r="S3522" s="79">
        <v>55.83</v>
      </c>
      <c r="T3522" s="79">
        <v>110.43</v>
      </c>
      <c r="U3522" s="79">
        <v>0</v>
      </c>
      <c r="V3522" s="189">
        <v>110.43</v>
      </c>
      <c r="X3522" s="79">
        <v>54.6</v>
      </c>
      <c r="Y3522" s="79">
        <v>55.83</v>
      </c>
      <c r="Z3522" s="79">
        <v>110.43</v>
      </c>
      <c r="AA3522" s="255">
        <v>0</v>
      </c>
      <c r="AC3522" s="254"/>
    </row>
    <row r="3523" spans="1:29" ht="12">
      <c r="A3523" s="67" t="s">
        <v>17363</v>
      </c>
      <c r="B3523" s="65" t="s">
        <v>17364</v>
      </c>
      <c r="C3523" s="71" t="s">
        <v>103</v>
      </c>
      <c r="D3523" s="78">
        <v>1</v>
      </c>
      <c r="E3523" s="79">
        <v>124.89</v>
      </c>
      <c r="F3523" s="70">
        <v>124.89</v>
      </c>
      <c r="G3523" s="320"/>
      <c r="H3523" s="79">
        <v>69.06</v>
      </c>
      <c r="I3523" s="79">
        <v>55.83</v>
      </c>
      <c r="J3523" s="79">
        <v>124.89</v>
      </c>
      <c r="K3523" s="79">
        <v>0</v>
      </c>
      <c r="L3523" s="70">
        <v>124.89</v>
      </c>
      <c r="M3523" s="132"/>
      <c r="N3523" s="79">
        <v>69.06</v>
      </c>
      <c r="O3523" s="79">
        <v>55.83</v>
      </c>
      <c r="P3523" s="79">
        <v>124.89</v>
      </c>
      <c r="Q3523" s="136"/>
      <c r="R3523" s="79">
        <v>69.06</v>
      </c>
      <c r="S3523" s="79">
        <v>55.83</v>
      </c>
      <c r="T3523" s="79">
        <v>124.89</v>
      </c>
      <c r="U3523" s="79">
        <v>0</v>
      </c>
      <c r="V3523" s="189">
        <v>124.89</v>
      </c>
      <c r="X3523" s="79">
        <v>69.06</v>
      </c>
      <c r="Y3523" s="79">
        <v>55.83</v>
      </c>
      <c r="Z3523" s="79">
        <v>124.89</v>
      </c>
      <c r="AA3523" s="255">
        <v>0</v>
      </c>
      <c r="AC3523" s="254"/>
    </row>
    <row r="3524" spans="1:29" ht="12">
      <c r="A3524" s="67" t="s">
        <v>17365</v>
      </c>
      <c r="B3524" s="65" t="s">
        <v>17366</v>
      </c>
      <c r="C3524" s="71" t="s">
        <v>103</v>
      </c>
      <c r="D3524" s="78">
        <v>1</v>
      </c>
      <c r="E3524" s="79">
        <v>133.19</v>
      </c>
      <c r="F3524" s="70">
        <v>133.19</v>
      </c>
      <c r="G3524" s="320"/>
      <c r="H3524" s="79">
        <v>77.36</v>
      </c>
      <c r="I3524" s="79">
        <v>55.83</v>
      </c>
      <c r="J3524" s="79">
        <v>133.19</v>
      </c>
      <c r="K3524" s="79">
        <v>0</v>
      </c>
      <c r="L3524" s="70">
        <v>133.19</v>
      </c>
      <c r="M3524" s="132"/>
      <c r="N3524" s="79">
        <v>77.36</v>
      </c>
      <c r="O3524" s="79">
        <v>55.83</v>
      </c>
      <c r="P3524" s="79">
        <v>133.19</v>
      </c>
      <c r="Q3524" s="136"/>
      <c r="R3524" s="79">
        <v>77.36</v>
      </c>
      <c r="S3524" s="79">
        <v>55.83</v>
      </c>
      <c r="T3524" s="79">
        <v>133.19</v>
      </c>
      <c r="U3524" s="79">
        <v>0</v>
      </c>
      <c r="V3524" s="189">
        <v>133.19</v>
      </c>
      <c r="X3524" s="79">
        <v>77.36</v>
      </c>
      <c r="Y3524" s="79">
        <v>55.83</v>
      </c>
      <c r="Z3524" s="79">
        <v>133.19</v>
      </c>
      <c r="AA3524" s="255">
        <v>0</v>
      </c>
      <c r="AC3524" s="254"/>
    </row>
    <row r="3525" spans="1:29" ht="12">
      <c r="A3525" s="67" t="s">
        <v>17367</v>
      </c>
      <c r="B3525" s="65" t="s">
        <v>17368</v>
      </c>
      <c r="C3525" s="71" t="s">
        <v>103</v>
      </c>
      <c r="D3525" s="78">
        <v>1</v>
      </c>
      <c r="E3525" s="79">
        <v>144.63</v>
      </c>
      <c r="F3525" s="70">
        <v>144.63</v>
      </c>
      <c r="G3525" s="320"/>
      <c r="H3525" s="79">
        <v>88.8</v>
      </c>
      <c r="I3525" s="79">
        <v>55.83</v>
      </c>
      <c r="J3525" s="79">
        <v>144.63</v>
      </c>
      <c r="K3525" s="79">
        <v>0</v>
      </c>
      <c r="L3525" s="70">
        <v>144.63</v>
      </c>
      <c r="M3525" s="132"/>
      <c r="N3525" s="79">
        <v>88.8</v>
      </c>
      <c r="O3525" s="79">
        <v>55.83</v>
      </c>
      <c r="P3525" s="79">
        <v>144.63</v>
      </c>
      <c r="Q3525" s="136"/>
      <c r="R3525" s="79">
        <v>88.8</v>
      </c>
      <c r="S3525" s="79">
        <v>55.83</v>
      </c>
      <c r="T3525" s="79">
        <v>144.63</v>
      </c>
      <c r="U3525" s="79">
        <v>0</v>
      </c>
      <c r="V3525" s="189">
        <v>144.63</v>
      </c>
      <c r="X3525" s="79">
        <v>88.8</v>
      </c>
      <c r="Y3525" s="79">
        <v>55.83</v>
      </c>
      <c r="Z3525" s="79">
        <v>144.63</v>
      </c>
      <c r="AA3525" s="255">
        <v>0</v>
      </c>
      <c r="AC3525" s="254"/>
    </row>
    <row r="3526" spans="1:29" ht="12">
      <c r="A3526" s="67" t="s">
        <v>17369</v>
      </c>
      <c r="B3526" s="65" t="s">
        <v>17370</v>
      </c>
      <c r="C3526" s="71" t="s">
        <v>103</v>
      </c>
      <c r="D3526" s="78">
        <v>1</v>
      </c>
      <c r="E3526" s="79">
        <v>174.97</v>
      </c>
      <c r="F3526" s="70">
        <v>174.97</v>
      </c>
      <c r="G3526" s="320"/>
      <c r="H3526" s="79">
        <v>119.14</v>
      </c>
      <c r="I3526" s="79">
        <v>55.83</v>
      </c>
      <c r="J3526" s="79">
        <v>174.97</v>
      </c>
      <c r="K3526" s="79">
        <v>0</v>
      </c>
      <c r="L3526" s="70">
        <v>174.97</v>
      </c>
      <c r="M3526" s="132"/>
      <c r="N3526" s="79">
        <v>119.14</v>
      </c>
      <c r="O3526" s="79">
        <v>55.83</v>
      </c>
      <c r="P3526" s="79">
        <v>174.97</v>
      </c>
      <c r="Q3526" s="136"/>
      <c r="R3526" s="79">
        <v>119.14</v>
      </c>
      <c r="S3526" s="79">
        <v>55.83</v>
      </c>
      <c r="T3526" s="79">
        <v>174.97</v>
      </c>
      <c r="U3526" s="79">
        <v>0</v>
      </c>
      <c r="V3526" s="189">
        <v>174.97</v>
      </c>
      <c r="X3526" s="79">
        <v>119.14</v>
      </c>
      <c r="Y3526" s="79">
        <v>55.83</v>
      </c>
      <c r="Z3526" s="79">
        <v>174.97</v>
      </c>
      <c r="AA3526" s="255">
        <v>0</v>
      </c>
      <c r="AC3526" s="254"/>
    </row>
    <row r="3527" spans="1:29" ht="12">
      <c r="A3527" s="489" t="s">
        <v>17371</v>
      </c>
      <c r="B3527" s="490" t="s">
        <v>17372</v>
      </c>
      <c r="C3527" s="491"/>
      <c r="D3527" s="492"/>
      <c r="E3527" s="79"/>
      <c r="F3527" s="63"/>
      <c r="G3527" s="320"/>
      <c r="H3527" s="79"/>
      <c r="I3527" s="79"/>
      <c r="J3527" s="79"/>
      <c r="K3527" s="79"/>
      <c r="L3527" s="70"/>
      <c r="M3527" s="132"/>
      <c r="N3527" s="79"/>
      <c r="O3527" s="79"/>
      <c r="P3527" s="79"/>
      <c r="Q3527" s="136"/>
      <c r="R3527" s="79"/>
      <c r="S3527" s="79"/>
      <c r="T3527" s="79"/>
      <c r="U3527" s="79"/>
      <c r="V3527" s="189"/>
      <c r="X3527" s="79"/>
      <c r="Y3527" s="79"/>
      <c r="Z3527" s="79"/>
      <c r="AA3527" s="255"/>
      <c r="AC3527" s="254"/>
    </row>
    <row r="3528" spans="1:29" ht="12">
      <c r="A3528" s="67" t="s">
        <v>17373</v>
      </c>
      <c r="B3528" s="65" t="s">
        <v>17374</v>
      </c>
      <c r="C3528" s="71" t="s">
        <v>103</v>
      </c>
      <c r="D3528" s="78">
        <v>1</v>
      </c>
      <c r="E3528" s="79">
        <v>377.23999999999995</v>
      </c>
      <c r="F3528" s="70">
        <v>377.24</v>
      </c>
      <c r="G3528" s="320"/>
      <c r="H3528" s="79">
        <v>124.7</v>
      </c>
      <c r="I3528" s="79">
        <v>252.54</v>
      </c>
      <c r="J3528" s="79">
        <v>377.24</v>
      </c>
      <c r="K3528" s="79">
        <v>0</v>
      </c>
      <c r="L3528" s="70">
        <v>377.24</v>
      </c>
      <c r="M3528" s="132"/>
      <c r="N3528" s="79">
        <v>124.7</v>
      </c>
      <c r="O3528" s="79">
        <v>252.54</v>
      </c>
      <c r="P3528" s="79">
        <v>377.24</v>
      </c>
      <c r="Q3528" s="136"/>
      <c r="R3528" s="79">
        <v>124.7</v>
      </c>
      <c r="S3528" s="79">
        <v>252.54</v>
      </c>
      <c r="T3528" s="79">
        <v>377.24</v>
      </c>
      <c r="U3528" s="79">
        <v>0</v>
      </c>
      <c r="V3528" s="189">
        <v>377.24</v>
      </c>
      <c r="X3528" s="79">
        <v>124.7</v>
      </c>
      <c r="Y3528" s="79">
        <v>252.54</v>
      </c>
      <c r="Z3528" s="79">
        <v>377.24</v>
      </c>
      <c r="AA3528" s="255">
        <v>0</v>
      </c>
      <c r="AC3528" s="254"/>
    </row>
    <row r="3529" spans="1:29" ht="12">
      <c r="A3529" s="83" t="s">
        <v>17375</v>
      </c>
      <c r="B3529" s="64" t="s">
        <v>17376</v>
      </c>
      <c r="C3529" s="71" t="s">
        <v>103</v>
      </c>
      <c r="D3529" s="78">
        <v>1</v>
      </c>
      <c r="E3529" s="79">
        <v>145.76999999999998</v>
      </c>
      <c r="F3529" s="70">
        <v>145.77000000000001</v>
      </c>
      <c r="G3529" s="320"/>
      <c r="H3529" s="79">
        <v>84.42</v>
      </c>
      <c r="I3529" s="79">
        <v>61.349999999999994</v>
      </c>
      <c r="J3529" s="79">
        <v>145.76999999999998</v>
      </c>
      <c r="K3529" s="79">
        <v>0</v>
      </c>
      <c r="L3529" s="70">
        <v>145.76999999999998</v>
      </c>
      <c r="M3529" s="132"/>
      <c r="N3529" s="79">
        <v>84.42</v>
      </c>
      <c r="O3529" s="79">
        <v>61.349999999999994</v>
      </c>
      <c r="P3529" s="79">
        <v>145.76999999999998</v>
      </c>
      <c r="Q3529" s="136"/>
      <c r="R3529" s="79">
        <v>84.42</v>
      </c>
      <c r="S3529" s="79">
        <v>61.36</v>
      </c>
      <c r="T3529" s="79"/>
      <c r="U3529" s="79"/>
      <c r="V3529" s="63"/>
      <c r="X3529" s="79">
        <v>84.42</v>
      </c>
      <c r="Y3529" s="79">
        <v>61.36</v>
      </c>
      <c r="Z3529" s="79">
        <v>145.78</v>
      </c>
      <c r="AA3529" s="255">
        <v>-9.9999999999909051E-3</v>
      </c>
      <c r="AC3529" s="254"/>
    </row>
    <row r="3530" spans="1:29" ht="12">
      <c r="A3530" s="67" t="s">
        <v>17377</v>
      </c>
      <c r="B3530" s="65" t="s">
        <v>17378</v>
      </c>
      <c r="C3530" s="71" t="s">
        <v>103</v>
      </c>
      <c r="D3530" s="78">
        <v>1</v>
      </c>
      <c r="E3530" s="79">
        <v>437.78999999999996</v>
      </c>
      <c r="F3530" s="70">
        <v>437.79</v>
      </c>
      <c r="G3530" s="320"/>
      <c r="H3530" s="79">
        <v>381.96</v>
      </c>
      <c r="I3530" s="79">
        <v>55.83</v>
      </c>
      <c r="J3530" s="79">
        <v>437.78999999999996</v>
      </c>
      <c r="K3530" s="79">
        <v>0</v>
      </c>
      <c r="L3530" s="70">
        <v>437.78999999999996</v>
      </c>
      <c r="M3530" s="132"/>
      <c r="N3530" s="79">
        <v>381.96</v>
      </c>
      <c r="O3530" s="79">
        <v>55.83</v>
      </c>
      <c r="P3530" s="79">
        <v>437.78999999999996</v>
      </c>
      <c r="Q3530" s="136"/>
      <c r="R3530" s="79">
        <v>381.96</v>
      </c>
      <c r="S3530" s="79">
        <v>55.83</v>
      </c>
      <c r="T3530" s="79">
        <v>437.78999999999996</v>
      </c>
      <c r="U3530" s="79">
        <v>0</v>
      </c>
      <c r="V3530" s="189">
        <v>437.78999999999996</v>
      </c>
      <c r="X3530" s="79">
        <v>381.96</v>
      </c>
      <c r="Y3530" s="79">
        <v>55.83</v>
      </c>
      <c r="Z3530" s="79">
        <v>437.79</v>
      </c>
      <c r="AA3530" s="255">
        <v>0</v>
      </c>
      <c r="AC3530" s="254"/>
    </row>
    <row r="3531" spans="1:29" ht="12">
      <c r="A3531" s="489" t="s">
        <v>17379</v>
      </c>
      <c r="B3531" s="490" t="s">
        <v>17380</v>
      </c>
      <c r="C3531" s="491"/>
      <c r="D3531" s="492"/>
      <c r="E3531" s="79"/>
      <c r="F3531" s="63"/>
      <c r="G3531" s="320"/>
      <c r="H3531" s="79"/>
      <c r="I3531" s="79"/>
      <c r="J3531" s="79"/>
      <c r="K3531" s="79"/>
      <c r="L3531" s="70"/>
      <c r="M3531" s="132"/>
      <c r="N3531" s="79"/>
      <c r="O3531" s="79"/>
      <c r="P3531" s="79"/>
      <c r="Q3531" s="136"/>
      <c r="R3531" s="79"/>
      <c r="S3531" s="79"/>
      <c r="T3531" s="79"/>
      <c r="U3531" s="79"/>
      <c r="V3531" s="189"/>
      <c r="X3531" s="79"/>
      <c r="Y3531" s="79"/>
      <c r="Z3531" s="79"/>
      <c r="AA3531" s="255"/>
      <c r="AC3531" s="254"/>
    </row>
    <row r="3532" spans="1:29" ht="12">
      <c r="A3532" s="67" t="s">
        <v>17381</v>
      </c>
      <c r="B3532" s="65" t="s">
        <v>17382</v>
      </c>
      <c r="C3532" s="71" t="s">
        <v>103</v>
      </c>
      <c r="D3532" s="78">
        <v>1</v>
      </c>
      <c r="E3532" s="79">
        <v>90.79</v>
      </c>
      <c r="F3532" s="70">
        <v>90.79</v>
      </c>
      <c r="G3532" s="320"/>
      <c r="H3532" s="79">
        <v>34.96</v>
      </c>
      <c r="I3532" s="79">
        <v>55.83</v>
      </c>
      <c r="J3532" s="79">
        <v>90.789999999999992</v>
      </c>
      <c r="K3532" s="79">
        <v>0</v>
      </c>
      <c r="L3532" s="70">
        <v>90.789999999999992</v>
      </c>
      <c r="M3532" s="132"/>
      <c r="N3532" s="79">
        <v>34.96</v>
      </c>
      <c r="O3532" s="79">
        <v>55.83</v>
      </c>
      <c r="P3532" s="79">
        <v>90.789999999999992</v>
      </c>
      <c r="Q3532" s="136"/>
      <c r="R3532" s="79">
        <v>34.96</v>
      </c>
      <c r="S3532" s="79">
        <v>55.83</v>
      </c>
      <c r="T3532" s="79">
        <v>90.789999999999992</v>
      </c>
      <c r="U3532" s="79">
        <v>0</v>
      </c>
      <c r="V3532" s="189">
        <v>90.789999999999992</v>
      </c>
      <c r="X3532" s="79">
        <v>34.96</v>
      </c>
      <c r="Y3532" s="79">
        <v>55.83</v>
      </c>
      <c r="Z3532" s="79">
        <v>90.79</v>
      </c>
      <c r="AA3532" s="255">
        <v>0</v>
      </c>
      <c r="AC3532" s="254"/>
    </row>
    <row r="3533" spans="1:29" ht="12">
      <c r="A3533" s="489" t="s">
        <v>17383</v>
      </c>
      <c r="B3533" s="490" t="s">
        <v>17384</v>
      </c>
      <c r="C3533" s="491"/>
      <c r="D3533" s="492"/>
      <c r="E3533" s="79"/>
      <c r="F3533" s="63"/>
      <c r="G3533" s="320"/>
      <c r="H3533" s="79"/>
      <c r="I3533" s="79"/>
      <c r="J3533" s="79"/>
      <c r="K3533" s="79"/>
      <c r="L3533" s="70"/>
      <c r="M3533" s="132"/>
      <c r="N3533" s="79"/>
      <c r="O3533" s="79"/>
      <c r="P3533" s="79"/>
      <c r="Q3533" s="136"/>
      <c r="R3533" s="79"/>
      <c r="S3533" s="79"/>
      <c r="T3533" s="79"/>
      <c r="U3533" s="79"/>
      <c r="V3533" s="189"/>
      <c r="X3533" s="79"/>
      <c r="Y3533" s="79"/>
      <c r="Z3533" s="79"/>
      <c r="AA3533" s="255"/>
      <c r="AC3533" s="254"/>
    </row>
    <row r="3534" spans="1:29" ht="12">
      <c r="A3534" s="67" t="s">
        <v>17385</v>
      </c>
      <c r="B3534" s="65" t="s">
        <v>17386</v>
      </c>
      <c r="C3534" s="71" t="s">
        <v>103</v>
      </c>
      <c r="D3534" s="78">
        <v>1</v>
      </c>
      <c r="E3534" s="79">
        <v>210.6</v>
      </c>
      <c r="F3534" s="70">
        <v>210.6</v>
      </c>
      <c r="G3534" s="320"/>
      <c r="H3534" s="79">
        <v>143.60999999999999</v>
      </c>
      <c r="I3534" s="79">
        <v>66.990000000000009</v>
      </c>
      <c r="J3534" s="79">
        <v>210.6</v>
      </c>
      <c r="K3534" s="79">
        <v>0</v>
      </c>
      <c r="L3534" s="70">
        <v>210.6</v>
      </c>
      <c r="M3534" s="132"/>
      <c r="N3534" s="79">
        <v>143.60999999999999</v>
      </c>
      <c r="O3534" s="79">
        <v>66.990000000000009</v>
      </c>
      <c r="P3534" s="79">
        <v>210.6</v>
      </c>
      <c r="Q3534" s="136"/>
      <c r="R3534" s="79">
        <v>143.61000000000001</v>
      </c>
      <c r="S3534" s="79">
        <v>66.989999999999995</v>
      </c>
      <c r="T3534" s="79">
        <v>210.60000000000002</v>
      </c>
      <c r="U3534" s="79">
        <v>0</v>
      </c>
      <c r="V3534" s="189">
        <v>210.60000000000002</v>
      </c>
      <c r="X3534" s="79">
        <v>143.61000000000001</v>
      </c>
      <c r="Y3534" s="79">
        <v>66.989999999999995</v>
      </c>
      <c r="Z3534" s="79">
        <v>210.6</v>
      </c>
      <c r="AA3534" s="255">
        <v>0</v>
      </c>
      <c r="AC3534" s="254"/>
    </row>
    <row r="3535" spans="1:29" ht="12">
      <c r="A3535" s="67" t="s">
        <v>17387</v>
      </c>
      <c r="B3535" s="65" t="s">
        <v>17388</v>
      </c>
      <c r="C3535" s="71" t="s">
        <v>103</v>
      </c>
      <c r="D3535" s="78">
        <v>1</v>
      </c>
      <c r="E3535" s="79">
        <v>627.67000000000007</v>
      </c>
      <c r="F3535" s="70">
        <v>627.66999999999996</v>
      </c>
      <c r="G3535" s="320"/>
      <c r="H3535" s="79">
        <v>543.91</v>
      </c>
      <c r="I3535" s="79">
        <v>83.76</v>
      </c>
      <c r="J3535" s="79">
        <v>627.66999999999996</v>
      </c>
      <c r="K3535" s="79">
        <v>0</v>
      </c>
      <c r="L3535" s="70">
        <v>627.66999999999996</v>
      </c>
      <c r="M3535" s="132"/>
      <c r="N3535" s="79">
        <v>543.91</v>
      </c>
      <c r="O3535" s="79">
        <v>83.76</v>
      </c>
      <c r="P3535" s="79">
        <v>627.66999999999996</v>
      </c>
      <c r="Q3535" s="136"/>
      <c r="R3535" s="79">
        <v>543.91</v>
      </c>
      <c r="S3535" s="79">
        <v>83.75</v>
      </c>
      <c r="T3535" s="79">
        <v>627.66</v>
      </c>
      <c r="U3535" s="79">
        <v>0</v>
      </c>
      <c r="V3535" s="189">
        <v>627.66</v>
      </c>
      <c r="X3535" s="79">
        <v>543.91</v>
      </c>
      <c r="Y3535" s="79">
        <v>83.75</v>
      </c>
      <c r="Z3535" s="79">
        <v>627.66</v>
      </c>
      <c r="AA3535" s="255">
        <v>9.9999999999909051E-3</v>
      </c>
      <c r="AC3535" s="254"/>
    </row>
    <row r="3536" spans="1:29" ht="12">
      <c r="A3536" s="489" t="s">
        <v>17389</v>
      </c>
      <c r="B3536" s="490" t="s">
        <v>17390</v>
      </c>
      <c r="C3536" s="491"/>
      <c r="D3536" s="492"/>
      <c r="E3536" s="79"/>
      <c r="F3536" s="63"/>
      <c r="G3536" s="320"/>
      <c r="H3536" s="79"/>
      <c r="I3536" s="79"/>
      <c r="J3536" s="79"/>
      <c r="K3536" s="79"/>
      <c r="L3536" s="70"/>
      <c r="M3536" s="132"/>
      <c r="N3536" s="79"/>
      <c r="O3536" s="79"/>
      <c r="P3536" s="79"/>
      <c r="Q3536" s="136"/>
      <c r="R3536" s="79"/>
      <c r="S3536" s="79"/>
      <c r="T3536" s="79"/>
      <c r="U3536" s="79"/>
      <c r="V3536" s="189"/>
      <c r="X3536" s="79"/>
      <c r="Y3536" s="79"/>
      <c r="Z3536" s="79"/>
      <c r="AA3536" s="255"/>
      <c r="AC3536" s="254"/>
    </row>
    <row r="3537" spans="1:31" ht="12">
      <c r="A3537" s="67" t="s">
        <v>17391</v>
      </c>
      <c r="B3537" s="65" t="s">
        <v>2777</v>
      </c>
      <c r="C3537" s="71" t="s">
        <v>103</v>
      </c>
      <c r="D3537" s="78">
        <v>1</v>
      </c>
      <c r="E3537" s="79">
        <v>16</v>
      </c>
      <c r="F3537" s="70">
        <v>16</v>
      </c>
      <c r="G3537" s="320"/>
      <c r="H3537" s="79">
        <v>12.65</v>
      </c>
      <c r="I3537" s="79">
        <v>3.3499999999999996</v>
      </c>
      <c r="J3537" s="79">
        <v>16</v>
      </c>
      <c r="K3537" s="79">
        <v>0</v>
      </c>
      <c r="L3537" s="70">
        <v>16</v>
      </c>
      <c r="M3537" s="132"/>
      <c r="N3537" s="79">
        <v>12.65</v>
      </c>
      <c r="O3537" s="79">
        <v>3.3499999999999996</v>
      </c>
      <c r="P3537" s="79">
        <v>16</v>
      </c>
      <c r="Q3537" s="136"/>
      <c r="R3537" s="79">
        <v>12.65</v>
      </c>
      <c r="S3537" s="79">
        <v>3.35</v>
      </c>
      <c r="T3537" s="79">
        <v>16</v>
      </c>
      <c r="U3537" s="79">
        <v>0</v>
      </c>
      <c r="V3537" s="189">
        <v>16</v>
      </c>
      <c r="X3537" s="79">
        <v>12.65</v>
      </c>
      <c r="Y3537" s="79">
        <v>3.35</v>
      </c>
      <c r="Z3537" s="79">
        <v>16</v>
      </c>
      <c r="AA3537" s="255">
        <v>0</v>
      </c>
      <c r="AC3537" s="254"/>
    </row>
    <row r="3538" spans="1:31" ht="12">
      <c r="A3538" s="67" t="s">
        <v>17392</v>
      </c>
      <c r="B3538" s="65" t="s">
        <v>17393</v>
      </c>
      <c r="C3538" s="71" t="s">
        <v>509</v>
      </c>
      <c r="D3538" s="78">
        <v>1</v>
      </c>
      <c r="E3538" s="79">
        <v>1239.8499999999999</v>
      </c>
      <c r="F3538" s="70">
        <v>1239.8499999999999</v>
      </c>
      <c r="G3538" s="320"/>
      <c r="H3538" s="79">
        <v>1203.31</v>
      </c>
      <c r="I3538" s="79">
        <v>36.54</v>
      </c>
      <c r="J3538" s="79">
        <v>1239.8499999999999</v>
      </c>
      <c r="K3538" s="79">
        <v>0</v>
      </c>
      <c r="L3538" s="70">
        <v>1239.8499999999999</v>
      </c>
      <c r="M3538" s="132"/>
      <c r="N3538" s="79">
        <v>1203.31</v>
      </c>
      <c r="O3538" s="79">
        <v>36.54</v>
      </c>
      <c r="P3538" s="79">
        <v>1239.8499999999999</v>
      </c>
      <c r="Q3538" s="136"/>
      <c r="R3538" s="79">
        <v>1203.31</v>
      </c>
      <c r="S3538" s="79">
        <v>36.53</v>
      </c>
      <c r="T3538" s="79">
        <v>1239.8399999999999</v>
      </c>
      <c r="U3538" s="79">
        <v>0</v>
      </c>
      <c r="V3538" s="189">
        <v>1239.8399999999999</v>
      </c>
      <c r="X3538" s="79">
        <v>1203.31</v>
      </c>
      <c r="Y3538" s="79">
        <v>36.53</v>
      </c>
      <c r="Z3538" s="79">
        <v>1239.8399999999999</v>
      </c>
      <c r="AA3538" s="255">
        <v>9.9999999999909051E-3</v>
      </c>
      <c r="AC3538" s="254"/>
    </row>
    <row r="3539" spans="1:31" ht="12">
      <c r="A3539" s="67" t="s">
        <v>17394</v>
      </c>
      <c r="B3539" s="65" t="s">
        <v>2779</v>
      </c>
      <c r="C3539" s="71" t="s">
        <v>103</v>
      </c>
      <c r="D3539" s="78">
        <v>1</v>
      </c>
      <c r="E3539" s="79">
        <v>13.78</v>
      </c>
      <c r="F3539" s="70">
        <v>13.78</v>
      </c>
      <c r="G3539" s="320"/>
      <c r="H3539" s="79">
        <v>10.43</v>
      </c>
      <c r="I3539" s="79">
        <v>3.3499999999999996</v>
      </c>
      <c r="J3539" s="79">
        <v>13.78</v>
      </c>
      <c r="K3539" s="79">
        <v>0</v>
      </c>
      <c r="L3539" s="70">
        <v>13.78</v>
      </c>
      <c r="M3539" s="132"/>
      <c r="N3539" s="79">
        <v>10.43</v>
      </c>
      <c r="O3539" s="79">
        <v>3.3499999999999996</v>
      </c>
      <c r="P3539" s="79">
        <v>13.78</v>
      </c>
      <c r="Q3539" s="136"/>
      <c r="R3539" s="79">
        <v>10.43</v>
      </c>
      <c r="S3539" s="79">
        <v>3.35</v>
      </c>
      <c r="T3539" s="79">
        <v>13.78</v>
      </c>
      <c r="U3539" s="79">
        <v>0</v>
      </c>
      <c r="V3539" s="189">
        <v>13.78</v>
      </c>
      <c r="X3539" s="79">
        <v>10.43</v>
      </c>
      <c r="Y3539" s="79">
        <v>3.35</v>
      </c>
      <c r="Z3539" s="79">
        <v>13.78</v>
      </c>
      <c r="AA3539" s="255">
        <v>0</v>
      </c>
      <c r="AC3539" s="254"/>
    </row>
    <row r="3540" spans="1:31" ht="12">
      <c r="A3540" s="67" t="s">
        <v>17395</v>
      </c>
      <c r="B3540" s="65" t="s">
        <v>17396</v>
      </c>
      <c r="C3540" s="71" t="s">
        <v>103</v>
      </c>
      <c r="D3540" s="78">
        <v>1</v>
      </c>
      <c r="E3540" s="79">
        <v>373.72999999999996</v>
      </c>
      <c r="F3540" s="70">
        <v>373.73</v>
      </c>
      <c r="G3540" s="320"/>
      <c r="H3540" s="79">
        <v>344.52</v>
      </c>
      <c r="I3540" s="79">
        <v>29.21</v>
      </c>
      <c r="J3540" s="79">
        <v>373.72999999999996</v>
      </c>
      <c r="K3540" s="79">
        <v>0</v>
      </c>
      <c r="L3540" s="70">
        <v>373.72999999999996</v>
      </c>
      <c r="M3540" s="132"/>
      <c r="N3540" s="79">
        <v>344.52</v>
      </c>
      <c r="O3540" s="79">
        <v>29.21</v>
      </c>
      <c r="P3540" s="79">
        <v>373.72999999999996</v>
      </c>
      <c r="Q3540" s="136"/>
      <c r="R3540" s="79">
        <v>344.52</v>
      </c>
      <c r="S3540" s="79">
        <v>29.23</v>
      </c>
      <c r="T3540" s="79">
        <v>373.75</v>
      </c>
      <c r="U3540" s="79">
        <v>0</v>
      </c>
      <c r="V3540" s="189">
        <v>373.75</v>
      </c>
      <c r="X3540" s="79">
        <v>344.52</v>
      </c>
      <c r="Y3540" s="79">
        <v>29.23</v>
      </c>
      <c r="Z3540" s="79">
        <v>373.75</v>
      </c>
      <c r="AA3540" s="255">
        <v>-1.999999999998181E-2</v>
      </c>
      <c r="AC3540" s="254"/>
    </row>
    <row r="3541" spans="1:31" ht="12">
      <c r="A3541" s="67" t="s">
        <v>17397</v>
      </c>
      <c r="B3541" s="65" t="s">
        <v>2783</v>
      </c>
      <c r="C3541" s="71" t="s">
        <v>103</v>
      </c>
      <c r="D3541" s="78">
        <v>1</v>
      </c>
      <c r="E3541" s="79">
        <v>34.96</v>
      </c>
      <c r="F3541" s="70">
        <v>34.96</v>
      </c>
      <c r="G3541" s="320"/>
      <c r="H3541" s="79">
        <v>31.61</v>
      </c>
      <c r="I3541" s="79">
        <v>3.3499999999999996</v>
      </c>
      <c r="J3541" s="79">
        <v>34.96</v>
      </c>
      <c r="K3541" s="79">
        <v>0</v>
      </c>
      <c r="L3541" s="70">
        <v>34.96</v>
      </c>
      <c r="M3541" s="132"/>
      <c r="N3541" s="79">
        <v>31.61</v>
      </c>
      <c r="O3541" s="79">
        <v>3.3499999999999996</v>
      </c>
      <c r="P3541" s="79">
        <v>34.96</v>
      </c>
      <c r="Q3541" s="136"/>
      <c r="R3541" s="79">
        <v>31.61</v>
      </c>
      <c r="S3541" s="79">
        <v>3.35</v>
      </c>
      <c r="T3541" s="79">
        <v>34.96</v>
      </c>
      <c r="U3541" s="79">
        <v>0</v>
      </c>
      <c r="V3541" s="189">
        <v>34.96</v>
      </c>
      <c r="X3541" s="79">
        <v>31.61</v>
      </c>
      <c r="Y3541" s="79">
        <v>3.35</v>
      </c>
      <c r="Z3541" s="79">
        <v>34.96</v>
      </c>
      <c r="AA3541" s="255">
        <v>0</v>
      </c>
      <c r="AC3541" s="254"/>
    </row>
    <row r="3542" spans="1:31" ht="12">
      <c r="A3542" s="67" t="s">
        <v>17398</v>
      </c>
      <c r="B3542" s="65" t="s">
        <v>2781</v>
      </c>
      <c r="C3542" s="71" t="s">
        <v>103</v>
      </c>
      <c r="D3542" s="78">
        <v>1</v>
      </c>
      <c r="E3542" s="79">
        <v>11</v>
      </c>
      <c r="F3542" s="70">
        <v>11</v>
      </c>
      <c r="G3542" s="320"/>
      <c r="H3542" s="79">
        <v>7.65</v>
      </c>
      <c r="I3542" s="79">
        <v>3.3499999999999996</v>
      </c>
      <c r="J3542" s="79">
        <v>11</v>
      </c>
      <c r="K3542" s="79">
        <v>0</v>
      </c>
      <c r="L3542" s="70">
        <v>11</v>
      </c>
      <c r="M3542" s="132"/>
      <c r="N3542" s="79">
        <v>7.65</v>
      </c>
      <c r="O3542" s="79">
        <v>3.3499999999999996</v>
      </c>
      <c r="P3542" s="79">
        <v>11</v>
      </c>
      <c r="Q3542" s="136"/>
      <c r="R3542" s="79">
        <v>7.65</v>
      </c>
      <c r="S3542" s="79">
        <v>3.35</v>
      </c>
      <c r="T3542" s="79">
        <v>11</v>
      </c>
      <c r="U3542" s="79">
        <v>0</v>
      </c>
      <c r="V3542" s="189">
        <v>11</v>
      </c>
      <c r="X3542" s="79">
        <v>7.65</v>
      </c>
      <c r="Y3542" s="79">
        <v>3.35</v>
      </c>
      <c r="Z3542" s="79">
        <v>11</v>
      </c>
      <c r="AA3542" s="255">
        <v>0</v>
      </c>
      <c r="AC3542" s="254"/>
    </row>
    <row r="3543" spans="1:31" ht="12">
      <c r="A3543" s="67" t="s">
        <v>17399</v>
      </c>
      <c r="B3543" s="65" t="s">
        <v>17400</v>
      </c>
      <c r="C3543" s="71" t="s">
        <v>509</v>
      </c>
      <c r="D3543" s="78">
        <v>1</v>
      </c>
      <c r="E3543" s="79">
        <v>1208.1599999999999</v>
      </c>
      <c r="F3543" s="70">
        <v>1208.1600000000001</v>
      </c>
      <c r="G3543" s="320"/>
      <c r="H3543" s="79">
        <v>1171.6199999999999</v>
      </c>
      <c r="I3543" s="79">
        <v>36.54</v>
      </c>
      <c r="J3543" s="79">
        <v>1208.1599999999999</v>
      </c>
      <c r="K3543" s="79">
        <v>0</v>
      </c>
      <c r="L3543" s="70">
        <v>1208.1599999999999</v>
      </c>
      <c r="M3543" s="132"/>
      <c r="N3543" s="79">
        <v>1171.6199999999999</v>
      </c>
      <c r="O3543" s="79">
        <v>36.54</v>
      </c>
      <c r="P3543" s="79">
        <v>1208.1599999999999</v>
      </c>
      <c r="Q3543" s="136"/>
      <c r="R3543" s="79">
        <v>1171.6199999999999</v>
      </c>
      <c r="S3543" s="79">
        <v>36.53</v>
      </c>
      <c r="T3543" s="79">
        <v>1208.1499999999999</v>
      </c>
      <c r="U3543" s="79">
        <v>0</v>
      </c>
      <c r="V3543" s="189">
        <v>1208.1499999999999</v>
      </c>
      <c r="X3543" s="79">
        <v>1171.6199999999999</v>
      </c>
      <c r="Y3543" s="79">
        <v>36.53</v>
      </c>
      <c r="Z3543" s="79">
        <v>1208.1500000000001</v>
      </c>
      <c r="AA3543" s="255">
        <v>9.9999999999909051E-3</v>
      </c>
      <c r="AC3543" s="254"/>
    </row>
    <row r="3544" spans="1:31" ht="12">
      <c r="A3544" s="67" t="s">
        <v>17401</v>
      </c>
      <c r="B3544" s="65" t="s">
        <v>17402</v>
      </c>
      <c r="C3544" s="71" t="s">
        <v>509</v>
      </c>
      <c r="D3544" s="78">
        <v>1</v>
      </c>
      <c r="E3544" s="79">
        <v>1389.43</v>
      </c>
      <c r="F3544" s="70">
        <v>1389.43</v>
      </c>
      <c r="G3544" s="320"/>
      <c r="H3544" s="79">
        <v>1352.89</v>
      </c>
      <c r="I3544" s="79">
        <v>36.54</v>
      </c>
      <c r="J3544" s="79">
        <v>1389.43</v>
      </c>
      <c r="K3544" s="79">
        <v>0</v>
      </c>
      <c r="L3544" s="70">
        <v>1389.43</v>
      </c>
      <c r="M3544" s="132"/>
      <c r="N3544" s="79">
        <v>1352.89</v>
      </c>
      <c r="O3544" s="79">
        <v>36.54</v>
      </c>
      <c r="P3544" s="79">
        <v>1389.43</v>
      </c>
      <c r="Q3544" s="136"/>
      <c r="R3544" s="79">
        <v>1352.89</v>
      </c>
      <c r="S3544" s="79">
        <v>36.53</v>
      </c>
      <c r="T3544" s="79">
        <v>1389.42</v>
      </c>
      <c r="U3544" s="79">
        <v>0</v>
      </c>
      <c r="V3544" s="189">
        <v>1389.42</v>
      </c>
      <c r="X3544" s="79">
        <v>1352.89</v>
      </c>
      <c r="Y3544" s="79">
        <v>36.53</v>
      </c>
      <c r="Z3544" s="79">
        <v>1389.42</v>
      </c>
      <c r="AA3544" s="255">
        <v>9.9999999999909051E-3</v>
      </c>
      <c r="AC3544" s="254"/>
    </row>
    <row r="3545" spans="1:31" ht="12">
      <c r="A3545" s="67" t="s">
        <v>17403</v>
      </c>
      <c r="B3545" s="65" t="s">
        <v>17404</v>
      </c>
      <c r="C3545" s="71" t="s">
        <v>103</v>
      </c>
      <c r="D3545" s="78">
        <v>1</v>
      </c>
      <c r="E3545" s="79">
        <v>101.93</v>
      </c>
      <c r="F3545" s="70">
        <v>101.93</v>
      </c>
      <c r="G3545" s="320"/>
      <c r="H3545" s="79">
        <v>83.65</v>
      </c>
      <c r="I3545" s="79">
        <v>18.28</v>
      </c>
      <c r="J3545" s="79">
        <v>101.93</v>
      </c>
      <c r="K3545" s="79">
        <v>0</v>
      </c>
      <c r="L3545" s="70">
        <v>101.93</v>
      </c>
      <c r="M3545" s="132"/>
      <c r="N3545" s="79">
        <v>83.65</v>
      </c>
      <c r="O3545" s="79">
        <v>18.28</v>
      </c>
      <c r="P3545" s="79">
        <v>101.93</v>
      </c>
      <c r="Q3545" s="136"/>
      <c r="R3545" s="79">
        <v>83.65</v>
      </c>
      <c r="S3545" s="79">
        <v>18.27</v>
      </c>
      <c r="T3545" s="79">
        <v>101.92</v>
      </c>
      <c r="U3545" s="79">
        <v>0</v>
      </c>
      <c r="V3545" s="189">
        <v>101.92</v>
      </c>
      <c r="X3545" s="79">
        <v>83.65</v>
      </c>
      <c r="Y3545" s="79">
        <v>18.27</v>
      </c>
      <c r="Z3545" s="79">
        <v>101.92</v>
      </c>
      <c r="AA3545" s="255">
        <v>1.0000000000005116E-2</v>
      </c>
      <c r="AC3545" s="254"/>
    </row>
    <row r="3546" spans="1:31" ht="12">
      <c r="A3546" s="67" t="s">
        <v>40975</v>
      </c>
      <c r="B3546" s="65" t="s">
        <v>29896</v>
      </c>
      <c r="C3546" s="71" t="s">
        <v>103</v>
      </c>
      <c r="D3546" s="78">
        <v>1</v>
      </c>
      <c r="E3546" s="79">
        <v>13.879999999999999</v>
      </c>
      <c r="F3546" s="70">
        <v>13.88</v>
      </c>
      <c r="G3546" s="320"/>
      <c r="H3546" s="79">
        <v>10.53</v>
      </c>
      <c r="I3546" s="79">
        <v>3.3499999999999996</v>
      </c>
      <c r="J3546" s="79">
        <v>13.879999999999999</v>
      </c>
      <c r="K3546" s="79">
        <v>0</v>
      </c>
      <c r="L3546" s="70">
        <v>13.879999999999999</v>
      </c>
      <c r="M3546" s="132"/>
      <c r="N3546" s="79">
        <v>10.53</v>
      </c>
      <c r="O3546" s="79">
        <v>3.3499999999999996</v>
      </c>
      <c r="P3546" s="79">
        <v>13.879999999999999</v>
      </c>
      <c r="Q3546" s="136"/>
      <c r="R3546" s="79">
        <v>10.53</v>
      </c>
      <c r="S3546" s="79">
        <v>3.35</v>
      </c>
      <c r="T3546" s="79">
        <v>13.879999999999999</v>
      </c>
      <c r="U3546" s="79">
        <v>0</v>
      </c>
      <c r="V3546" s="189">
        <v>13.879999999999999</v>
      </c>
      <c r="X3546" s="79">
        <v>10.53</v>
      </c>
      <c r="Y3546" s="79">
        <v>3.35</v>
      </c>
      <c r="Z3546" s="79">
        <v>13.88</v>
      </c>
      <c r="AA3546" s="255">
        <v>0</v>
      </c>
      <c r="AC3546" s="254"/>
      <c r="AD3546" s="61"/>
      <c r="AE3546" s="61"/>
    </row>
    <row r="3547" spans="1:31" ht="12">
      <c r="A3547" s="67" t="s">
        <v>40976</v>
      </c>
      <c r="B3547" s="65" t="s">
        <v>29898</v>
      </c>
      <c r="C3547" s="71" t="s">
        <v>103</v>
      </c>
      <c r="D3547" s="78">
        <v>1</v>
      </c>
      <c r="E3547" s="79">
        <v>25.869999999999997</v>
      </c>
      <c r="F3547" s="70">
        <v>25.87</v>
      </c>
      <c r="G3547" s="320"/>
      <c r="H3547" s="79">
        <v>22.52</v>
      </c>
      <c r="I3547" s="79">
        <v>3.3499999999999996</v>
      </c>
      <c r="J3547" s="79">
        <v>25.869999999999997</v>
      </c>
      <c r="K3547" s="79">
        <v>0</v>
      </c>
      <c r="L3547" s="70">
        <v>25.869999999999997</v>
      </c>
      <c r="M3547" s="132"/>
      <c r="N3547" s="79">
        <v>22.52</v>
      </c>
      <c r="O3547" s="79">
        <v>3.3499999999999996</v>
      </c>
      <c r="P3547" s="79">
        <v>25.869999999999997</v>
      </c>
      <c r="Q3547" s="136"/>
      <c r="R3547" s="79">
        <v>22.52</v>
      </c>
      <c r="S3547" s="79">
        <v>3.35</v>
      </c>
      <c r="T3547" s="79">
        <v>25.87</v>
      </c>
      <c r="U3547" s="79">
        <v>0</v>
      </c>
      <c r="V3547" s="189">
        <v>25.87</v>
      </c>
      <c r="X3547" s="79">
        <v>22.52</v>
      </c>
      <c r="Y3547" s="79">
        <v>3.35</v>
      </c>
      <c r="Z3547" s="79">
        <v>25.87</v>
      </c>
      <c r="AA3547" s="255">
        <v>0</v>
      </c>
      <c r="AC3547" s="254"/>
    </row>
    <row r="3548" spans="1:31" s="61" customFormat="1" ht="24">
      <c r="A3548" s="67" t="s">
        <v>17405</v>
      </c>
      <c r="B3548" s="65" t="s">
        <v>17406</v>
      </c>
      <c r="C3548" s="71" t="s">
        <v>103</v>
      </c>
      <c r="D3548" s="78">
        <v>1</v>
      </c>
      <c r="E3548" s="79">
        <v>4334.37</v>
      </c>
      <c r="F3548" s="70">
        <v>4334.37</v>
      </c>
      <c r="G3548" s="320"/>
      <c r="H3548" s="79">
        <v>4267.38</v>
      </c>
      <c r="I3548" s="79">
        <v>66.990000000000009</v>
      </c>
      <c r="J3548" s="79">
        <v>4334.37</v>
      </c>
      <c r="K3548" s="79">
        <v>0</v>
      </c>
      <c r="L3548" s="70">
        <v>4334.37</v>
      </c>
      <c r="M3548" s="132"/>
      <c r="N3548" s="79">
        <v>4267.38</v>
      </c>
      <c r="O3548" s="79">
        <v>66.990000000000009</v>
      </c>
      <c r="P3548" s="79">
        <v>4334.37</v>
      </c>
      <c r="Q3548" s="136"/>
      <c r="R3548" s="79">
        <v>4267.38</v>
      </c>
      <c r="S3548" s="79">
        <v>66.989999999999995</v>
      </c>
      <c r="T3548" s="79">
        <v>4334.37</v>
      </c>
      <c r="U3548" s="79">
        <v>0</v>
      </c>
      <c r="V3548" s="189">
        <v>4334.37</v>
      </c>
      <c r="X3548" s="79">
        <v>4267.38</v>
      </c>
      <c r="Y3548" s="79">
        <v>66.989999999999995</v>
      </c>
      <c r="Z3548" s="79">
        <v>4334.37</v>
      </c>
      <c r="AA3548" s="255">
        <v>0</v>
      </c>
      <c r="AC3548" s="254"/>
      <c r="AD3548" s="236"/>
      <c r="AE3548" s="236"/>
    </row>
    <row r="3549" spans="1:31" ht="24">
      <c r="A3549" s="67" t="s">
        <v>17407</v>
      </c>
      <c r="B3549" s="65" t="s">
        <v>17408</v>
      </c>
      <c r="C3549" s="71" t="s">
        <v>103</v>
      </c>
      <c r="D3549" s="78">
        <v>1</v>
      </c>
      <c r="E3549" s="79">
        <v>5289.76</v>
      </c>
      <c r="F3549" s="70">
        <v>5289.76</v>
      </c>
      <c r="G3549" s="320"/>
      <c r="H3549" s="79">
        <v>5222.7700000000004</v>
      </c>
      <c r="I3549" s="79">
        <v>66.990000000000009</v>
      </c>
      <c r="J3549" s="79">
        <v>5289.76</v>
      </c>
      <c r="K3549" s="79">
        <v>0</v>
      </c>
      <c r="L3549" s="70">
        <v>5289.76</v>
      </c>
      <c r="M3549" s="132"/>
      <c r="N3549" s="79">
        <v>5222.7700000000004</v>
      </c>
      <c r="O3549" s="79">
        <v>66.990000000000009</v>
      </c>
      <c r="P3549" s="79">
        <v>5289.76</v>
      </c>
      <c r="Q3549" s="136"/>
      <c r="R3549" s="79">
        <v>5222.7700000000004</v>
      </c>
      <c r="S3549" s="79">
        <v>66.989999999999995</v>
      </c>
      <c r="T3549" s="79">
        <v>5289.76</v>
      </c>
      <c r="U3549" s="79">
        <v>0</v>
      </c>
      <c r="V3549" s="189">
        <v>5289.76</v>
      </c>
      <c r="X3549" s="79">
        <v>5222.7700000000004</v>
      </c>
      <c r="Y3549" s="79">
        <v>66.989999999999995</v>
      </c>
      <c r="Z3549" s="79">
        <v>5289.76</v>
      </c>
      <c r="AA3549" s="255">
        <v>0</v>
      </c>
      <c r="AC3549" s="254"/>
    </row>
    <row r="3550" spans="1:31" ht="12">
      <c r="A3550" s="67" t="s">
        <v>17409</v>
      </c>
      <c r="B3550" s="65" t="s">
        <v>17410</v>
      </c>
      <c r="C3550" s="71" t="s">
        <v>103</v>
      </c>
      <c r="D3550" s="78">
        <v>1</v>
      </c>
      <c r="E3550" s="79">
        <v>477.01</v>
      </c>
      <c r="F3550" s="70">
        <v>477.01</v>
      </c>
      <c r="G3550" s="320"/>
      <c r="H3550" s="79">
        <v>401.47</v>
      </c>
      <c r="I3550" s="79">
        <v>75.539999999999992</v>
      </c>
      <c r="J3550" s="79">
        <v>477.01</v>
      </c>
      <c r="K3550" s="79">
        <v>0</v>
      </c>
      <c r="L3550" s="70">
        <v>477.01</v>
      </c>
      <c r="M3550" s="132"/>
      <c r="N3550" s="79">
        <v>401.47</v>
      </c>
      <c r="O3550" s="79">
        <v>75.539999999999992</v>
      </c>
      <c r="P3550" s="79">
        <v>477.01</v>
      </c>
      <c r="Q3550" s="136"/>
      <c r="R3550" s="79">
        <v>401.47</v>
      </c>
      <c r="S3550" s="79">
        <v>75.53</v>
      </c>
      <c r="T3550" s="79">
        <v>477</v>
      </c>
      <c r="U3550" s="79">
        <v>0</v>
      </c>
      <c r="V3550" s="189">
        <v>477</v>
      </c>
      <c r="X3550" s="79">
        <v>401.47</v>
      </c>
      <c r="Y3550" s="79">
        <v>75.53</v>
      </c>
      <c r="Z3550" s="79">
        <v>477</v>
      </c>
      <c r="AA3550" s="255">
        <v>9.9999999999909051E-3</v>
      </c>
      <c r="AC3550" s="254"/>
    </row>
    <row r="3551" spans="1:31" ht="12">
      <c r="A3551" s="67" t="s">
        <v>17411</v>
      </c>
      <c r="B3551" s="65" t="s">
        <v>17412</v>
      </c>
      <c r="C3551" s="71" t="s">
        <v>103</v>
      </c>
      <c r="D3551" s="78">
        <v>1</v>
      </c>
      <c r="E3551" s="79">
        <v>529.47</v>
      </c>
      <c r="F3551" s="70">
        <v>529.47</v>
      </c>
      <c r="G3551" s="320"/>
      <c r="H3551" s="79">
        <v>453.93</v>
      </c>
      <c r="I3551" s="79">
        <v>75.539999999999992</v>
      </c>
      <c r="J3551" s="79">
        <v>529.47</v>
      </c>
      <c r="K3551" s="79">
        <v>0</v>
      </c>
      <c r="L3551" s="70">
        <v>529.47</v>
      </c>
      <c r="M3551" s="132"/>
      <c r="N3551" s="79">
        <v>453.93</v>
      </c>
      <c r="O3551" s="79">
        <v>75.539999999999992</v>
      </c>
      <c r="P3551" s="79">
        <v>529.47</v>
      </c>
      <c r="Q3551" s="136"/>
      <c r="R3551" s="79">
        <v>453.93</v>
      </c>
      <c r="S3551" s="79">
        <v>75.53</v>
      </c>
      <c r="T3551" s="79">
        <v>529.46</v>
      </c>
      <c r="U3551" s="79">
        <v>0</v>
      </c>
      <c r="V3551" s="189">
        <v>529.46</v>
      </c>
      <c r="X3551" s="79">
        <v>453.93</v>
      </c>
      <c r="Y3551" s="79">
        <v>75.53</v>
      </c>
      <c r="Z3551" s="79">
        <v>529.46</v>
      </c>
      <c r="AA3551" s="255">
        <v>9.9999999999909051E-3</v>
      </c>
      <c r="AC3551" s="254"/>
    </row>
    <row r="3552" spans="1:31" ht="12">
      <c r="A3552" s="67" t="s">
        <v>17413</v>
      </c>
      <c r="B3552" s="65" t="s">
        <v>17414</v>
      </c>
      <c r="C3552" s="71" t="s">
        <v>103</v>
      </c>
      <c r="D3552" s="78">
        <v>1</v>
      </c>
      <c r="E3552" s="79">
        <v>673.03</v>
      </c>
      <c r="F3552" s="70">
        <v>673.03</v>
      </c>
      <c r="G3552" s="320"/>
      <c r="H3552" s="79">
        <v>597.49</v>
      </c>
      <c r="I3552" s="79">
        <v>75.539999999999992</v>
      </c>
      <c r="J3552" s="79">
        <v>673.03</v>
      </c>
      <c r="K3552" s="79">
        <v>0</v>
      </c>
      <c r="L3552" s="70">
        <v>673.03</v>
      </c>
      <c r="M3552" s="132"/>
      <c r="N3552" s="79">
        <v>597.49</v>
      </c>
      <c r="O3552" s="79">
        <v>75.539999999999992</v>
      </c>
      <c r="P3552" s="79">
        <v>673.03</v>
      </c>
      <c r="Q3552" s="136"/>
      <c r="R3552" s="79">
        <v>597.49</v>
      </c>
      <c r="S3552" s="79">
        <v>75.53</v>
      </c>
      <c r="T3552" s="79">
        <v>673.02</v>
      </c>
      <c r="U3552" s="79">
        <v>0</v>
      </c>
      <c r="V3552" s="189">
        <v>673.02</v>
      </c>
      <c r="X3552" s="79">
        <v>597.49</v>
      </c>
      <c r="Y3552" s="79">
        <v>75.53</v>
      </c>
      <c r="Z3552" s="79">
        <v>673.02</v>
      </c>
      <c r="AA3552" s="255">
        <v>9.9999999999909051E-3</v>
      </c>
      <c r="AC3552" s="254"/>
    </row>
    <row r="3553" spans="1:29" ht="12">
      <c r="A3553" s="67" t="s">
        <v>17415</v>
      </c>
      <c r="B3553" s="65" t="s">
        <v>17416</v>
      </c>
      <c r="C3553" s="71" t="s">
        <v>103</v>
      </c>
      <c r="D3553" s="78">
        <v>1</v>
      </c>
      <c r="E3553" s="79">
        <v>219.76999999999998</v>
      </c>
      <c r="F3553" s="70">
        <v>219.77</v>
      </c>
      <c r="G3553" s="320"/>
      <c r="H3553" s="79">
        <v>144.23000000000002</v>
      </c>
      <c r="I3553" s="79">
        <v>75.539999999999992</v>
      </c>
      <c r="J3553" s="79">
        <v>219.77</v>
      </c>
      <c r="K3553" s="79">
        <v>0</v>
      </c>
      <c r="L3553" s="70">
        <v>219.77</v>
      </c>
      <c r="M3553" s="132"/>
      <c r="N3553" s="79">
        <v>144.23000000000002</v>
      </c>
      <c r="O3553" s="79">
        <v>75.539999999999992</v>
      </c>
      <c r="P3553" s="79">
        <v>219.77</v>
      </c>
      <c r="Q3553" s="136"/>
      <c r="R3553" s="79">
        <v>144.22999999999999</v>
      </c>
      <c r="S3553" s="79">
        <v>75.53</v>
      </c>
      <c r="T3553" s="79">
        <v>219.76</v>
      </c>
      <c r="U3553" s="79">
        <v>0</v>
      </c>
      <c r="V3553" s="189">
        <v>219.76</v>
      </c>
      <c r="X3553" s="79">
        <v>144.22999999999999</v>
      </c>
      <c r="Y3553" s="79">
        <v>75.53</v>
      </c>
      <c r="Z3553" s="79">
        <v>219.76</v>
      </c>
      <c r="AA3553" s="255">
        <v>1.0000000000019327E-2</v>
      </c>
      <c r="AC3553" s="254"/>
    </row>
    <row r="3554" spans="1:29" ht="12">
      <c r="A3554" s="67" t="s">
        <v>17417</v>
      </c>
      <c r="B3554" s="65" t="s">
        <v>17418</v>
      </c>
      <c r="C3554" s="71" t="s">
        <v>103</v>
      </c>
      <c r="D3554" s="78">
        <v>1</v>
      </c>
      <c r="E3554" s="79">
        <v>270.84999999999997</v>
      </c>
      <c r="F3554" s="70">
        <v>270.85000000000002</v>
      </c>
      <c r="G3554" s="320"/>
      <c r="H3554" s="79">
        <v>195.31</v>
      </c>
      <c r="I3554" s="79">
        <v>75.539999999999992</v>
      </c>
      <c r="J3554" s="79">
        <v>270.85000000000002</v>
      </c>
      <c r="K3554" s="79">
        <v>0</v>
      </c>
      <c r="L3554" s="70">
        <v>270.85000000000002</v>
      </c>
      <c r="M3554" s="132"/>
      <c r="N3554" s="79">
        <v>195.31</v>
      </c>
      <c r="O3554" s="79">
        <v>75.539999999999992</v>
      </c>
      <c r="P3554" s="79">
        <v>270.85000000000002</v>
      </c>
      <c r="Q3554" s="136"/>
      <c r="R3554" s="79">
        <v>195.31</v>
      </c>
      <c r="S3554" s="79">
        <v>75.53</v>
      </c>
      <c r="T3554" s="79">
        <v>270.84000000000003</v>
      </c>
      <c r="U3554" s="79">
        <v>0</v>
      </c>
      <c r="V3554" s="189">
        <v>270.84000000000003</v>
      </c>
      <c r="X3554" s="79">
        <v>195.31</v>
      </c>
      <c r="Y3554" s="79">
        <v>75.53</v>
      </c>
      <c r="Z3554" s="79">
        <v>270.83999999999997</v>
      </c>
      <c r="AA3554" s="255">
        <v>1.0000000000047748E-2</v>
      </c>
      <c r="AC3554" s="254"/>
    </row>
    <row r="3555" spans="1:29" ht="12">
      <c r="A3555" s="67" t="s">
        <v>17419</v>
      </c>
      <c r="B3555" s="65" t="s">
        <v>17420</v>
      </c>
      <c r="C3555" s="71" t="s">
        <v>103</v>
      </c>
      <c r="D3555" s="78">
        <v>1</v>
      </c>
      <c r="E3555" s="79">
        <v>408.44</v>
      </c>
      <c r="F3555" s="70">
        <v>408.44</v>
      </c>
      <c r="G3555" s="320"/>
      <c r="H3555" s="79">
        <v>332.90000000000003</v>
      </c>
      <c r="I3555" s="79">
        <v>75.539999999999992</v>
      </c>
      <c r="J3555" s="79">
        <v>408.44000000000005</v>
      </c>
      <c r="K3555" s="79">
        <v>0</v>
      </c>
      <c r="L3555" s="70">
        <v>408.44000000000005</v>
      </c>
      <c r="M3555" s="132"/>
      <c r="N3555" s="79">
        <v>332.90000000000003</v>
      </c>
      <c r="O3555" s="79">
        <v>75.539999999999992</v>
      </c>
      <c r="P3555" s="79">
        <v>408.44000000000005</v>
      </c>
      <c r="Q3555" s="136"/>
      <c r="R3555" s="79">
        <v>332.9</v>
      </c>
      <c r="S3555" s="79">
        <v>75.53</v>
      </c>
      <c r="T3555" s="79">
        <v>408.42999999999995</v>
      </c>
      <c r="U3555" s="79">
        <v>0</v>
      </c>
      <c r="V3555" s="189">
        <v>408.42999999999995</v>
      </c>
      <c r="X3555" s="79">
        <v>332.9</v>
      </c>
      <c r="Y3555" s="79">
        <v>75.53</v>
      </c>
      <c r="Z3555" s="79">
        <v>408.43</v>
      </c>
      <c r="AA3555" s="255">
        <v>9.9999999999909051E-3</v>
      </c>
      <c r="AC3555" s="254"/>
    </row>
    <row r="3556" spans="1:29" ht="12">
      <c r="A3556" s="67" t="s">
        <v>17421</v>
      </c>
      <c r="B3556" s="65" t="s">
        <v>17422</v>
      </c>
      <c r="C3556" s="71" t="s">
        <v>103</v>
      </c>
      <c r="D3556" s="78">
        <v>1</v>
      </c>
      <c r="E3556" s="79">
        <v>485.26</v>
      </c>
      <c r="F3556" s="70">
        <v>485.26</v>
      </c>
      <c r="G3556" s="320"/>
      <c r="H3556" s="79">
        <v>409.72</v>
      </c>
      <c r="I3556" s="79">
        <v>75.539999999999992</v>
      </c>
      <c r="J3556" s="79">
        <v>485.26</v>
      </c>
      <c r="K3556" s="79">
        <v>0</v>
      </c>
      <c r="L3556" s="70">
        <v>485.26</v>
      </c>
      <c r="M3556" s="132"/>
      <c r="N3556" s="79">
        <v>409.72</v>
      </c>
      <c r="O3556" s="79">
        <v>75.539999999999992</v>
      </c>
      <c r="P3556" s="79">
        <v>485.26</v>
      </c>
      <c r="Q3556" s="136"/>
      <c r="R3556" s="79">
        <v>409.72</v>
      </c>
      <c r="S3556" s="79">
        <v>75.53</v>
      </c>
      <c r="T3556" s="79">
        <v>485.25</v>
      </c>
      <c r="U3556" s="79">
        <v>0</v>
      </c>
      <c r="V3556" s="189">
        <v>485.25</v>
      </c>
      <c r="X3556" s="79">
        <v>409.72</v>
      </c>
      <c r="Y3556" s="79">
        <v>75.53</v>
      </c>
      <c r="Z3556" s="79">
        <v>485.25</v>
      </c>
      <c r="AA3556" s="255">
        <v>9.9999999999909051E-3</v>
      </c>
      <c r="AC3556" s="254"/>
    </row>
    <row r="3557" spans="1:29" ht="24">
      <c r="A3557" s="67" t="s">
        <v>17423</v>
      </c>
      <c r="B3557" s="65" t="s">
        <v>17424</v>
      </c>
      <c r="C3557" s="71" t="s">
        <v>103</v>
      </c>
      <c r="D3557" s="78">
        <v>1</v>
      </c>
      <c r="E3557" s="79">
        <v>431.28999999999996</v>
      </c>
      <c r="F3557" s="70">
        <v>431.29</v>
      </c>
      <c r="G3557" s="320"/>
      <c r="H3557" s="79">
        <v>355.75</v>
      </c>
      <c r="I3557" s="79">
        <v>75.539999999999992</v>
      </c>
      <c r="J3557" s="79">
        <v>431.28999999999996</v>
      </c>
      <c r="K3557" s="79">
        <v>0</v>
      </c>
      <c r="L3557" s="70">
        <v>431.28999999999996</v>
      </c>
      <c r="M3557" s="132"/>
      <c r="N3557" s="79">
        <v>355.75</v>
      </c>
      <c r="O3557" s="79">
        <v>75.539999999999992</v>
      </c>
      <c r="P3557" s="79">
        <v>431.28999999999996</v>
      </c>
      <c r="Q3557" s="136"/>
      <c r="R3557" s="79">
        <v>355.75</v>
      </c>
      <c r="S3557" s="79">
        <v>75.53</v>
      </c>
      <c r="T3557" s="79">
        <v>431.28</v>
      </c>
      <c r="U3557" s="79">
        <v>0</v>
      </c>
      <c r="V3557" s="189">
        <v>431.28</v>
      </c>
      <c r="X3557" s="79">
        <v>355.75</v>
      </c>
      <c r="Y3557" s="79">
        <v>75.53</v>
      </c>
      <c r="Z3557" s="79">
        <v>431.28</v>
      </c>
      <c r="AA3557" s="255">
        <v>1.0000000000047748E-2</v>
      </c>
      <c r="AC3557" s="254"/>
    </row>
    <row r="3558" spans="1:29" ht="12">
      <c r="A3558" s="67" t="s">
        <v>17425</v>
      </c>
      <c r="B3558" s="65" t="s">
        <v>17426</v>
      </c>
      <c r="C3558" s="71" t="s">
        <v>103</v>
      </c>
      <c r="D3558" s="78">
        <v>1</v>
      </c>
      <c r="E3558" s="79">
        <v>1824.68</v>
      </c>
      <c r="F3558" s="70">
        <v>1824.68</v>
      </c>
      <c r="G3558" s="320"/>
      <c r="H3558" s="79">
        <v>1749.1399999999999</v>
      </c>
      <c r="I3558" s="79">
        <v>75.539999999999992</v>
      </c>
      <c r="J3558" s="79">
        <v>1824.6799999999998</v>
      </c>
      <c r="K3558" s="79">
        <v>0</v>
      </c>
      <c r="L3558" s="70">
        <v>1824.6799999999998</v>
      </c>
      <c r="M3558" s="132"/>
      <c r="N3558" s="79">
        <v>1749.1399999999999</v>
      </c>
      <c r="O3558" s="79">
        <v>75.539999999999992</v>
      </c>
      <c r="P3558" s="79">
        <v>1824.6799999999998</v>
      </c>
      <c r="Q3558" s="136"/>
      <c r="R3558" s="79">
        <v>1749.14</v>
      </c>
      <c r="S3558" s="79">
        <v>75.53</v>
      </c>
      <c r="T3558" s="79">
        <v>1824.67</v>
      </c>
      <c r="U3558" s="79">
        <v>0</v>
      </c>
      <c r="V3558" s="189">
        <v>1824.67</v>
      </c>
      <c r="X3558" s="79">
        <v>1749.14</v>
      </c>
      <c r="Y3558" s="79">
        <v>75.53</v>
      </c>
      <c r="Z3558" s="79">
        <v>1824.67</v>
      </c>
      <c r="AA3558" s="255">
        <v>9.9999999999909051E-3</v>
      </c>
      <c r="AC3558" s="254"/>
    </row>
    <row r="3559" spans="1:29" ht="12">
      <c r="A3559" s="67" t="s">
        <v>17427</v>
      </c>
      <c r="B3559" s="65" t="s">
        <v>17428</v>
      </c>
      <c r="C3559" s="71" t="s">
        <v>165</v>
      </c>
      <c r="D3559" s="78">
        <v>1</v>
      </c>
      <c r="E3559" s="79">
        <v>1151.44</v>
      </c>
      <c r="F3559" s="70">
        <v>1151.44</v>
      </c>
      <c r="G3559" s="320"/>
      <c r="H3559" s="79">
        <v>1127.77</v>
      </c>
      <c r="I3559" s="79">
        <v>23.67</v>
      </c>
      <c r="J3559" s="79">
        <v>1151.44</v>
      </c>
      <c r="K3559" s="79">
        <v>0</v>
      </c>
      <c r="L3559" s="70">
        <v>1151.44</v>
      </c>
      <c r="M3559" s="132"/>
      <c r="N3559" s="79">
        <v>1127.77</v>
      </c>
      <c r="O3559" s="79">
        <v>23.67</v>
      </c>
      <c r="P3559" s="79">
        <v>1151.44</v>
      </c>
      <c r="Q3559" s="136"/>
      <c r="R3559" s="79">
        <v>1127.77</v>
      </c>
      <c r="S3559" s="79">
        <v>23.66</v>
      </c>
      <c r="T3559" s="79">
        <v>1151.43</v>
      </c>
      <c r="U3559" s="79">
        <v>0</v>
      </c>
      <c r="V3559" s="189">
        <v>1151.43</v>
      </c>
      <c r="X3559" s="79">
        <v>1127.77</v>
      </c>
      <c r="Y3559" s="79">
        <v>23.66</v>
      </c>
      <c r="Z3559" s="79">
        <v>1151.43</v>
      </c>
      <c r="AA3559" s="255">
        <v>9.9999999999909051E-3</v>
      </c>
      <c r="AC3559" s="254"/>
    </row>
    <row r="3560" spans="1:29" ht="12">
      <c r="A3560" s="67" t="s">
        <v>17429</v>
      </c>
      <c r="B3560" s="65" t="s">
        <v>17430</v>
      </c>
      <c r="C3560" s="71" t="s">
        <v>165</v>
      </c>
      <c r="D3560" s="78">
        <v>1</v>
      </c>
      <c r="E3560" s="79">
        <v>1093.25</v>
      </c>
      <c r="F3560" s="70">
        <v>1093.25</v>
      </c>
      <c r="G3560" s="320"/>
      <c r="H3560" s="79">
        <v>1062.03</v>
      </c>
      <c r="I3560" s="79">
        <v>31.22</v>
      </c>
      <c r="J3560" s="79">
        <v>1093.25</v>
      </c>
      <c r="K3560" s="79">
        <v>0</v>
      </c>
      <c r="L3560" s="70">
        <v>1093.25</v>
      </c>
      <c r="M3560" s="132"/>
      <c r="N3560" s="79">
        <v>1062.03</v>
      </c>
      <c r="O3560" s="79">
        <v>31.22</v>
      </c>
      <c r="P3560" s="79">
        <v>1093.25</v>
      </c>
      <c r="Q3560" s="136"/>
      <c r="R3560" s="79">
        <v>1062.03</v>
      </c>
      <c r="S3560" s="79">
        <v>31.22</v>
      </c>
      <c r="T3560" s="79">
        <v>1093.25</v>
      </c>
      <c r="U3560" s="79">
        <v>0</v>
      </c>
      <c r="V3560" s="189">
        <v>1093.25</v>
      </c>
      <c r="X3560" s="79">
        <v>1062.03</v>
      </c>
      <c r="Y3560" s="79">
        <v>31.22</v>
      </c>
      <c r="Z3560" s="79">
        <v>1093.25</v>
      </c>
      <c r="AA3560" s="255">
        <v>0</v>
      </c>
      <c r="AC3560" s="254"/>
    </row>
    <row r="3561" spans="1:29" ht="12">
      <c r="A3561" s="489" t="s">
        <v>17431</v>
      </c>
      <c r="B3561" s="490" t="s">
        <v>17432</v>
      </c>
      <c r="C3561" s="491"/>
      <c r="D3561" s="492"/>
      <c r="E3561" s="79"/>
      <c r="F3561" s="63"/>
      <c r="G3561" s="320"/>
      <c r="H3561" s="79"/>
      <c r="I3561" s="79"/>
      <c r="J3561" s="79"/>
      <c r="K3561" s="79"/>
      <c r="L3561" s="70"/>
      <c r="M3561" s="132"/>
      <c r="N3561" s="79"/>
      <c r="O3561" s="79"/>
      <c r="P3561" s="79"/>
      <c r="Q3561" s="136"/>
      <c r="R3561" s="79"/>
      <c r="S3561" s="79"/>
      <c r="T3561" s="79"/>
      <c r="U3561" s="79"/>
      <c r="V3561" s="189"/>
      <c r="X3561" s="79"/>
      <c r="Y3561" s="79"/>
      <c r="Z3561" s="79"/>
      <c r="AA3561" s="255"/>
      <c r="AC3561" s="254"/>
    </row>
    <row r="3562" spans="1:29" ht="12">
      <c r="A3562" s="67" t="s">
        <v>17433</v>
      </c>
      <c r="B3562" s="65" t="s">
        <v>17434</v>
      </c>
      <c r="C3562" s="71" t="s">
        <v>103</v>
      </c>
      <c r="D3562" s="78">
        <v>1</v>
      </c>
      <c r="E3562" s="79">
        <v>533.41</v>
      </c>
      <c r="F3562" s="70">
        <v>533.41</v>
      </c>
      <c r="G3562" s="320"/>
      <c r="H3562" s="79">
        <v>477.58</v>
      </c>
      <c r="I3562" s="79">
        <v>55.83</v>
      </c>
      <c r="J3562" s="79">
        <v>533.41</v>
      </c>
      <c r="K3562" s="79">
        <v>0</v>
      </c>
      <c r="L3562" s="70">
        <v>533.41</v>
      </c>
      <c r="M3562" s="132"/>
      <c r="N3562" s="79">
        <v>477.58</v>
      </c>
      <c r="O3562" s="79">
        <v>55.83</v>
      </c>
      <c r="P3562" s="79">
        <v>533.41</v>
      </c>
      <c r="Q3562" s="136"/>
      <c r="R3562" s="79">
        <v>477.58</v>
      </c>
      <c r="S3562" s="79">
        <v>55.83</v>
      </c>
      <c r="T3562" s="79">
        <v>533.41</v>
      </c>
      <c r="U3562" s="79">
        <v>0</v>
      </c>
      <c r="V3562" s="189">
        <v>533.41</v>
      </c>
      <c r="X3562" s="79">
        <v>477.58</v>
      </c>
      <c r="Y3562" s="79">
        <v>55.83</v>
      </c>
      <c r="Z3562" s="79">
        <v>533.41</v>
      </c>
      <c r="AA3562" s="255">
        <v>0</v>
      </c>
      <c r="AC3562" s="254"/>
    </row>
    <row r="3563" spans="1:29" ht="12">
      <c r="A3563" s="489" t="s">
        <v>17435</v>
      </c>
      <c r="B3563" s="490" t="s">
        <v>17436</v>
      </c>
      <c r="C3563" s="491"/>
      <c r="D3563" s="492"/>
      <c r="E3563" s="79"/>
      <c r="F3563" s="63"/>
      <c r="G3563" s="320"/>
      <c r="H3563" s="79"/>
      <c r="I3563" s="79"/>
      <c r="J3563" s="79"/>
      <c r="K3563" s="79"/>
      <c r="L3563" s="70"/>
      <c r="M3563" s="132"/>
      <c r="N3563" s="79"/>
      <c r="O3563" s="79"/>
      <c r="P3563" s="79"/>
      <c r="Q3563" s="136"/>
      <c r="R3563" s="79"/>
      <c r="S3563" s="79"/>
      <c r="T3563" s="79"/>
      <c r="U3563" s="79"/>
      <c r="V3563" s="189"/>
      <c r="X3563" s="79"/>
      <c r="Y3563" s="79"/>
      <c r="Z3563" s="79"/>
      <c r="AA3563" s="255"/>
      <c r="AC3563" s="254"/>
    </row>
    <row r="3564" spans="1:29" ht="12">
      <c r="A3564" s="67" t="s">
        <v>17437</v>
      </c>
      <c r="B3564" s="65" t="s">
        <v>17438</v>
      </c>
      <c r="C3564" s="71" t="s">
        <v>165</v>
      </c>
      <c r="D3564" s="78">
        <v>1</v>
      </c>
      <c r="E3564" s="79">
        <v>458.92</v>
      </c>
      <c r="F3564" s="70">
        <v>458.92</v>
      </c>
      <c r="G3564" s="320"/>
      <c r="H3564" s="79">
        <v>446.32</v>
      </c>
      <c r="I3564" s="79">
        <v>12.6</v>
      </c>
      <c r="J3564" s="79">
        <v>458.92</v>
      </c>
      <c r="K3564" s="79">
        <v>0</v>
      </c>
      <c r="L3564" s="70">
        <v>458.92</v>
      </c>
      <c r="M3564" s="132"/>
      <c r="N3564" s="79">
        <v>446.32</v>
      </c>
      <c r="O3564" s="79">
        <v>12.6</v>
      </c>
      <c r="P3564" s="79">
        <v>458.92</v>
      </c>
      <c r="Q3564" s="136"/>
      <c r="R3564" s="79">
        <v>446.32</v>
      </c>
      <c r="S3564" s="79">
        <v>12.59</v>
      </c>
      <c r="T3564" s="79">
        <v>458.90999999999997</v>
      </c>
      <c r="U3564" s="79">
        <v>0</v>
      </c>
      <c r="V3564" s="189">
        <v>458.90999999999997</v>
      </c>
      <c r="X3564" s="79">
        <v>446.32</v>
      </c>
      <c r="Y3564" s="79">
        <v>12.59</v>
      </c>
      <c r="Z3564" s="79">
        <v>458.91</v>
      </c>
      <c r="AA3564" s="255">
        <v>9.9999999999909051E-3</v>
      </c>
      <c r="AC3564" s="254"/>
    </row>
    <row r="3565" spans="1:29" ht="12">
      <c r="A3565" s="67" t="s">
        <v>17439</v>
      </c>
      <c r="B3565" s="65" t="s">
        <v>17440</v>
      </c>
      <c r="C3565" s="71" t="s">
        <v>165</v>
      </c>
      <c r="D3565" s="78">
        <v>1</v>
      </c>
      <c r="E3565" s="79">
        <v>255.57</v>
      </c>
      <c r="F3565" s="70">
        <v>255.57</v>
      </c>
      <c r="G3565" s="320"/>
      <c r="H3565" s="79">
        <v>242.97</v>
      </c>
      <c r="I3565" s="79">
        <v>12.6</v>
      </c>
      <c r="J3565" s="79">
        <v>255.57</v>
      </c>
      <c r="K3565" s="79">
        <v>0</v>
      </c>
      <c r="L3565" s="70">
        <v>255.57</v>
      </c>
      <c r="M3565" s="132"/>
      <c r="N3565" s="79">
        <v>242.97</v>
      </c>
      <c r="O3565" s="79">
        <v>12.6</v>
      </c>
      <c r="P3565" s="79">
        <v>255.57</v>
      </c>
      <c r="Q3565" s="136"/>
      <c r="R3565" s="79">
        <v>242.97</v>
      </c>
      <c r="S3565" s="79">
        <v>12.59</v>
      </c>
      <c r="T3565" s="79">
        <v>255.56</v>
      </c>
      <c r="U3565" s="79">
        <v>0</v>
      </c>
      <c r="V3565" s="189">
        <v>255.56</v>
      </c>
      <c r="X3565" s="79">
        <v>242.97</v>
      </c>
      <c r="Y3565" s="79">
        <v>12.59</v>
      </c>
      <c r="Z3565" s="79">
        <v>255.56</v>
      </c>
      <c r="AA3565" s="255">
        <v>9.9999999999909051E-3</v>
      </c>
      <c r="AC3565" s="254"/>
    </row>
    <row r="3566" spans="1:29" ht="12">
      <c r="A3566" s="67" t="s">
        <v>17441</v>
      </c>
      <c r="B3566" s="65" t="s">
        <v>17442</v>
      </c>
      <c r="C3566" s="71" t="s">
        <v>165</v>
      </c>
      <c r="D3566" s="78">
        <v>1</v>
      </c>
      <c r="E3566" s="79">
        <v>376.89000000000004</v>
      </c>
      <c r="F3566" s="70">
        <v>376.89</v>
      </c>
      <c r="G3566" s="320"/>
      <c r="H3566" s="79">
        <v>364.29</v>
      </c>
      <c r="I3566" s="79">
        <v>12.6</v>
      </c>
      <c r="J3566" s="79">
        <v>376.89000000000004</v>
      </c>
      <c r="K3566" s="79">
        <v>0</v>
      </c>
      <c r="L3566" s="70">
        <v>376.89000000000004</v>
      </c>
      <c r="M3566" s="132"/>
      <c r="N3566" s="79">
        <v>364.29</v>
      </c>
      <c r="O3566" s="79">
        <v>12.6</v>
      </c>
      <c r="P3566" s="79">
        <v>376.89000000000004</v>
      </c>
      <c r="Q3566" s="136"/>
      <c r="R3566" s="79">
        <v>364.29</v>
      </c>
      <c r="S3566" s="79">
        <v>12.59</v>
      </c>
      <c r="T3566" s="79">
        <v>376.88</v>
      </c>
      <c r="U3566" s="79">
        <v>0</v>
      </c>
      <c r="V3566" s="189">
        <v>376.88</v>
      </c>
      <c r="X3566" s="79">
        <v>364.29</v>
      </c>
      <c r="Y3566" s="79">
        <v>12.59</v>
      </c>
      <c r="Z3566" s="79">
        <v>376.88</v>
      </c>
      <c r="AA3566" s="255">
        <v>9.9999999999909051E-3</v>
      </c>
      <c r="AC3566" s="254"/>
    </row>
    <row r="3567" spans="1:29" ht="12">
      <c r="A3567" s="489" t="s">
        <v>17443</v>
      </c>
      <c r="B3567" s="490" t="s">
        <v>17444</v>
      </c>
      <c r="C3567" s="491"/>
      <c r="D3567" s="492"/>
      <c r="E3567" s="79"/>
      <c r="F3567" s="63"/>
      <c r="G3567" s="320"/>
      <c r="H3567" s="79"/>
      <c r="I3567" s="79"/>
      <c r="J3567" s="79"/>
      <c r="K3567" s="79"/>
      <c r="L3567" s="70"/>
      <c r="M3567" s="132"/>
      <c r="N3567" s="79"/>
      <c r="O3567" s="79"/>
      <c r="P3567" s="79"/>
      <c r="Q3567" s="136"/>
      <c r="R3567" s="79"/>
      <c r="S3567" s="79"/>
      <c r="T3567" s="79"/>
      <c r="U3567" s="79"/>
      <c r="V3567" s="189"/>
      <c r="X3567" s="79"/>
      <c r="Y3567" s="79"/>
      <c r="Z3567" s="79"/>
      <c r="AA3567" s="255"/>
      <c r="AC3567" s="254"/>
    </row>
    <row r="3568" spans="1:29" ht="12">
      <c r="A3568" s="67" t="s">
        <v>17445</v>
      </c>
      <c r="B3568" s="65" t="s">
        <v>17446</v>
      </c>
      <c r="C3568" s="71" t="s">
        <v>103</v>
      </c>
      <c r="D3568" s="78">
        <v>1</v>
      </c>
      <c r="E3568" s="79">
        <v>3733.9899999999993</v>
      </c>
      <c r="F3568" s="70">
        <v>3733.99</v>
      </c>
      <c r="G3568" s="320"/>
      <c r="H3568" s="79">
        <v>1931.11</v>
      </c>
      <c r="I3568" s="79">
        <v>1802.88</v>
      </c>
      <c r="J3568" s="79">
        <v>3733.99</v>
      </c>
      <c r="K3568" s="79">
        <v>0</v>
      </c>
      <c r="L3568" s="70">
        <v>3733.99</v>
      </c>
      <c r="M3568" s="132"/>
      <c r="N3568" s="79">
        <v>1931.11</v>
      </c>
      <c r="O3568" s="79">
        <v>1802.88</v>
      </c>
      <c r="P3568" s="79">
        <v>3733.99</v>
      </c>
      <c r="Q3568" s="136"/>
      <c r="R3568" s="79">
        <v>1902.45</v>
      </c>
      <c r="S3568" s="79">
        <v>1802.97</v>
      </c>
      <c r="T3568" s="79">
        <v>3705.42</v>
      </c>
      <c r="U3568" s="79">
        <v>0</v>
      </c>
      <c r="V3568" s="189">
        <v>3705.42</v>
      </c>
      <c r="X3568" s="79">
        <v>1902.45</v>
      </c>
      <c r="Y3568" s="79">
        <v>1802.97</v>
      </c>
      <c r="Z3568" s="79">
        <v>3705.42</v>
      </c>
      <c r="AA3568" s="255">
        <v>28.569999999999709</v>
      </c>
      <c r="AC3568" s="254"/>
    </row>
    <row r="3569" spans="1:31" ht="12">
      <c r="A3569" s="67" t="s">
        <v>17447</v>
      </c>
      <c r="B3569" s="65" t="s">
        <v>17448</v>
      </c>
      <c r="C3569" s="71" t="s">
        <v>103</v>
      </c>
      <c r="D3569" s="78">
        <v>1</v>
      </c>
      <c r="E3569" s="79">
        <v>6074.420000000001</v>
      </c>
      <c r="F3569" s="70">
        <v>6074.42</v>
      </c>
      <c r="G3569" s="320"/>
      <c r="H3569" s="79">
        <v>3272.35</v>
      </c>
      <c r="I3569" s="79">
        <v>2802.0699999999997</v>
      </c>
      <c r="J3569" s="79">
        <v>6074.42</v>
      </c>
      <c r="K3569" s="79">
        <v>0</v>
      </c>
      <c r="L3569" s="70">
        <v>6074.42</v>
      </c>
      <c r="M3569" s="132"/>
      <c r="N3569" s="79">
        <v>3272.35</v>
      </c>
      <c r="O3569" s="79">
        <v>2802.0699999999997</v>
      </c>
      <c r="P3569" s="79">
        <v>6074.42</v>
      </c>
      <c r="Q3569" s="136"/>
      <c r="R3569" s="79">
        <v>3224.34</v>
      </c>
      <c r="S3569" s="79">
        <v>2802.2</v>
      </c>
      <c r="T3569" s="79">
        <v>6026.54</v>
      </c>
      <c r="U3569" s="79">
        <v>0</v>
      </c>
      <c r="V3569" s="189">
        <v>6026.54</v>
      </c>
      <c r="X3569" s="79">
        <v>3224.34</v>
      </c>
      <c r="Y3569" s="79">
        <v>2802.2</v>
      </c>
      <c r="Z3569" s="79">
        <v>6026.54</v>
      </c>
      <c r="AA3569" s="255">
        <v>47.880000000000109</v>
      </c>
      <c r="AC3569" s="254"/>
    </row>
    <row r="3570" spans="1:31" ht="12">
      <c r="A3570" s="67" t="s">
        <v>17449</v>
      </c>
      <c r="B3570" s="65" t="s">
        <v>17450</v>
      </c>
      <c r="C3570" s="71" t="s">
        <v>103</v>
      </c>
      <c r="D3570" s="78">
        <v>1</v>
      </c>
      <c r="E3570" s="79">
        <v>8347.8799999999992</v>
      </c>
      <c r="F3570" s="70">
        <v>8347.8799999999992</v>
      </c>
      <c r="G3570" s="320"/>
      <c r="H3570" s="79">
        <v>4553.8500000000004</v>
      </c>
      <c r="I3570" s="79">
        <v>3794.0299999999997</v>
      </c>
      <c r="J3570" s="79">
        <v>8347.880000000001</v>
      </c>
      <c r="K3570" s="79">
        <v>0</v>
      </c>
      <c r="L3570" s="70">
        <v>8347.880000000001</v>
      </c>
      <c r="M3570" s="132"/>
      <c r="N3570" s="79">
        <v>4553.8500000000004</v>
      </c>
      <c r="O3570" s="79">
        <v>3794.0299999999997</v>
      </c>
      <c r="P3570" s="79">
        <v>8347.880000000001</v>
      </c>
      <c r="Q3570" s="136"/>
      <c r="R3570" s="79">
        <v>4486.49</v>
      </c>
      <c r="S3570" s="79">
        <v>3794.21</v>
      </c>
      <c r="T3570" s="79">
        <v>8280.7000000000007</v>
      </c>
      <c r="U3570" s="79">
        <v>0</v>
      </c>
      <c r="V3570" s="189">
        <v>8280.7000000000007</v>
      </c>
      <c r="X3570" s="79">
        <v>4486.49</v>
      </c>
      <c r="Y3570" s="79">
        <v>3794.21</v>
      </c>
      <c r="Z3570" s="79">
        <v>8280.7000000000007</v>
      </c>
      <c r="AA3570" s="255">
        <v>67.179999999998472</v>
      </c>
      <c r="AC3570" s="254"/>
    </row>
    <row r="3571" spans="1:31" ht="12">
      <c r="A3571" s="67" t="s">
        <v>17451</v>
      </c>
      <c r="B3571" s="65" t="s">
        <v>17452</v>
      </c>
      <c r="C3571" s="71" t="s">
        <v>103</v>
      </c>
      <c r="D3571" s="78">
        <v>1</v>
      </c>
      <c r="E3571" s="79">
        <v>2833.9600000000005</v>
      </c>
      <c r="F3571" s="70">
        <v>2833.96</v>
      </c>
      <c r="G3571" s="320"/>
      <c r="H3571" s="79">
        <v>1541.0600000000002</v>
      </c>
      <c r="I3571" s="79">
        <v>1292.9000000000001</v>
      </c>
      <c r="J3571" s="79">
        <v>2833.96</v>
      </c>
      <c r="K3571" s="79">
        <v>0</v>
      </c>
      <c r="L3571" s="70">
        <v>2833.96</v>
      </c>
      <c r="M3571" s="132"/>
      <c r="N3571" s="79">
        <v>1541.0600000000002</v>
      </c>
      <c r="O3571" s="79">
        <v>1292.9000000000001</v>
      </c>
      <c r="P3571" s="79">
        <v>2833.96</v>
      </c>
      <c r="Q3571" s="136"/>
      <c r="R3571" s="79">
        <v>1512.74</v>
      </c>
      <c r="S3571" s="79">
        <v>1292.98</v>
      </c>
      <c r="T3571" s="79">
        <v>2805.7200000000003</v>
      </c>
      <c r="U3571" s="79">
        <v>0</v>
      </c>
      <c r="V3571" s="189">
        <v>2805.7200000000003</v>
      </c>
      <c r="X3571" s="79">
        <v>1512.74</v>
      </c>
      <c r="Y3571" s="79">
        <v>1292.98</v>
      </c>
      <c r="Z3571" s="79">
        <v>2805.72</v>
      </c>
      <c r="AA3571" s="255">
        <v>28.240000000000236</v>
      </c>
      <c r="AC3571" s="254"/>
    </row>
    <row r="3572" spans="1:31" ht="12">
      <c r="A3572" s="67" t="s">
        <v>42036</v>
      </c>
      <c r="B3572" s="65" t="s">
        <v>42037</v>
      </c>
      <c r="C3572" s="71" t="s">
        <v>103</v>
      </c>
      <c r="D3572" s="78">
        <v>1</v>
      </c>
      <c r="E3572" s="79">
        <v>4608.4999999999991</v>
      </c>
      <c r="F3572" s="70">
        <v>4608.5</v>
      </c>
      <c r="G3572" s="320"/>
      <c r="H3572" s="79">
        <v>2565.1099999999997</v>
      </c>
      <c r="I3572" s="79">
        <v>2043.3899999999999</v>
      </c>
      <c r="J3572" s="79">
        <v>4608.5</v>
      </c>
      <c r="K3572" s="79">
        <v>0</v>
      </c>
      <c r="L3572" s="70">
        <v>4608.5</v>
      </c>
      <c r="M3572" s="132"/>
      <c r="N3572" s="79">
        <v>2565.1099999999997</v>
      </c>
      <c r="O3572" s="79">
        <v>2043.3899999999999</v>
      </c>
      <c r="P3572" s="79">
        <v>4608.5</v>
      </c>
      <c r="Q3572" s="136"/>
      <c r="R3572" s="79">
        <v>2565.11</v>
      </c>
      <c r="S3572" s="79">
        <v>2043.48</v>
      </c>
      <c r="T3572" s="79">
        <v>4608.59</v>
      </c>
      <c r="U3572" s="79">
        <v>0</v>
      </c>
      <c r="V3572" s="189">
        <v>4608.59</v>
      </c>
      <c r="X3572" s="79">
        <v>2565.11</v>
      </c>
      <c r="Y3572" s="79">
        <v>2043.48</v>
      </c>
      <c r="Z3572" s="79">
        <v>4608.59</v>
      </c>
      <c r="AA3572" s="255">
        <v>-9.0000000000145519E-2</v>
      </c>
      <c r="AC3572" s="254"/>
    </row>
    <row r="3573" spans="1:31" ht="12">
      <c r="A3573" s="67" t="s">
        <v>17453</v>
      </c>
      <c r="B3573" s="65" t="s">
        <v>17454</v>
      </c>
      <c r="C3573" s="71" t="s">
        <v>103</v>
      </c>
      <c r="D3573" s="78">
        <v>1</v>
      </c>
      <c r="E3573" s="79">
        <v>6991.6000000000013</v>
      </c>
      <c r="F3573" s="70">
        <v>6991.6</v>
      </c>
      <c r="G3573" s="320"/>
      <c r="H3573" s="79">
        <v>3940.92</v>
      </c>
      <c r="I3573" s="79">
        <v>3050.6800000000003</v>
      </c>
      <c r="J3573" s="79">
        <v>6991.6</v>
      </c>
      <c r="K3573" s="79">
        <v>0</v>
      </c>
      <c r="L3573" s="70">
        <v>6991.6</v>
      </c>
      <c r="M3573" s="132"/>
      <c r="N3573" s="79">
        <v>3940.92</v>
      </c>
      <c r="O3573" s="79">
        <v>3050.6800000000003</v>
      </c>
      <c r="P3573" s="79">
        <v>6991.6</v>
      </c>
      <c r="Q3573" s="136"/>
      <c r="R3573" s="79">
        <v>3940.92</v>
      </c>
      <c r="S3573" s="79">
        <v>3050.8</v>
      </c>
      <c r="T3573" s="79">
        <v>6991.72</v>
      </c>
      <c r="U3573" s="79">
        <v>0</v>
      </c>
      <c r="V3573" s="189">
        <v>6991.72</v>
      </c>
      <c r="X3573" s="79">
        <v>3940.92</v>
      </c>
      <c r="Y3573" s="79">
        <v>3050.8</v>
      </c>
      <c r="Z3573" s="79">
        <v>6991.72</v>
      </c>
      <c r="AA3573" s="255">
        <v>-0.11999999999989086</v>
      </c>
      <c r="AC3573" s="254"/>
    </row>
    <row r="3574" spans="1:31" ht="12">
      <c r="A3574" s="67" t="s">
        <v>17455</v>
      </c>
      <c r="B3574" s="65" t="s">
        <v>17456</v>
      </c>
      <c r="C3574" s="71" t="s">
        <v>165</v>
      </c>
      <c r="D3574" s="78">
        <v>1</v>
      </c>
      <c r="E3574" s="79">
        <v>780.42</v>
      </c>
      <c r="F3574" s="70">
        <v>780.42</v>
      </c>
      <c r="G3574" s="320"/>
      <c r="H3574" s="79">
        <v>337.24</v>
      </c>
      <c r="I3574" s="79">
        <v>443.18</v>
      </c>
      <c r="J3574" s="79">
        <v>780.42000000000007</v>
      </c>
      <c r="K3574" s="79">
        <v>0</v>
      </c>
      <c r="L3574" s="70">
        <v>780.42000000000007</v>
      </c>
      <c r="M3574" s="132"/>
      <c r="N3574" s="79">
        <v>337.24</v>
      </c>
      <c r="O3574" s="79">
        <v>443.18</v>
      </c>
      <c r="P3574" s="79">
        <v>780.42000000000007</v>
      </c>
      <c r="Q3574" s="136"/>
      <c r="R3574" s="79">
        <v>337.24</v>
      </c>
      <c r="S3574" s="79">
        <v>443.2</v>
      </c>
      <c r="T3574" s="79">
        <v>780.44</v>
      </c>
      <c r="U3574" s="79">
        <v>0</v>
      </c>
      <c r="V3574" s="189">
        <v>780.44</v>
      </c>
      <c r="X3574" s="79">
        <v>337.24</v>
      </c>
      <c r="Y3574" s="79">
        <v>443.2</v>
      </c>
      <c r="Z3574" s="79">
        <v>780.44</v>
      </c>
      <c r="AA3574" s="255">
        <v>-2.0000000000095497E-2</v>
      </c>
      <c r="AC3574" s="254"/>
      <c r="AD3574" s="61"/>
      <c r="AE3574" s="61"/>
    </row>
    <row r="3575" spans="1:31" ht="12">
      <c r="A3575" s="67" t="s">
        <v>17457</v>
      </c>
      <c r="B3575" s="65" t="s">
        <v>17458</v>
      </c>
      <c r="C3575" s="71" t="s">
        <v>103</v>
      </c>
      <c r="D3575" s="78">
        <v>1</v>
      </c>
      <c r="E3575" s="79">
        <v>5266.6399999999994</v>
      </c>
      <c r="F3575" s="70">
        <v>5266.64</v>
      </c>
      <c r="G3575" s="320"/>
      <c r="H3575" s="79">
        <v>2441.3599999999997</v>
      </c>
      <c r="I3575" s="79">
        <v>2825.2799999999997</v>
      </c>
      <c r="J3575" s="79">
        <v>5266.6399999999994</v>
      </c>
      <c r="K3575" s="79">
        <v>0</v>
      </c>
      <c r="L3575" s="70">
        <v>5266.6399999999994</v>
      </c>
      <c r="M3575" s="132"/>
      <c r="N3575" s="79">
        <v>2441.3599999999997</v>
      </c>
      <c r="O3575" s="79">
        <v>2825.2799999999997</v>
      </c>
      <c r="P3575" s="79">
        <v>5266.6399999999994</v>
      </c>
      <c r="Q3575" s="136"/>
      <c r="R3575" s="79">
        <v>2441.36</v>
      </c>
      <c r="S3575" s="79">
        <v>2825.43</v>
      </c>
      <c r="T3575" s="79">
        <v>5266.79</v>
      </c>
      <c r="U3575" s="79">
        <v>0</v>
      </c>
      <c r="V3575" s="189">
        <v>5266.79</v>
      </c>
      <c r="X3575" s="79">
        <v>2441.36</v>
      </c>
      <c r="Y3575" s="79">
        <v>2825.43</v>
      </c>
      <c r="Z3575" s="79">
        <v>5266.79</v>
      </c>
      <c r="AA3575" s="255">
        <v>-0.1499999999996362</v>
      </c>
      <c r="AC3575" s="254"/>
      <c r="AD3575" s="61"/>
      <c r="AE3575" s="61"/>
    </row>
    <row r="3576" spans="1:31" s="61" customFormat="1" ht="12">
      <c r="A3576" s="489" t="s">
        <v>17459</v>
      </c>
      <c r="B3576" s="490" t="s">
        <v>17460</v>
      </c>
      <c r="C3576" s="491"/>
      <c r="D3576" s="492"/>
      <c r="E3576" s="79"/>
      <c r="F3576" s="63"/>
      <c r="G3576" s="320"/>
      <c r="H3576" s="79"/>
      <c r="I3576" s="79"/>
      <c r="J3576" s="79"/>
      <c r="K3576" s="79"/>
      <c r="L3576" s="70"/>
      <c r="M3576" s="132"/>
      <c r="N3576" s="79"/>
      <c r="O3576" s="79"/>
      <c r="P3576" s="79"/>
      <c r="Q3576" s="136"/>
      <c r="R3576" s="79"/>
      <c r="S3576" s="79"/>
      <c r="T3576" s="79"/>
      <c r="U3576" s="79"/>
      <c r="V3576" s="189"/>
      <c r="X3576" s="79"/>
      <c r="Y3576" s="79"/>
      <c r="Z3576" s="79"/>
      <c r="AA3576" s="255"/>
      <c r="AC3576" s="254"/>
      <c r="AD3576" s="236"/>
      <c r="AE3576" s="236"/>
    </row>
    <row r="3577" spans="1:31" s="61" customFormat="1" ht="24">
      <c r="A3577" s="67" t="s">
        <v>17461</v>
      </c>
      <c r="B3577" s="65" t="s">
        <v>17462</v>
      </c>
      <c r="C3577" s="71" t="s">
        <v>103</v>
      </c>
      <c r="D3577" s="78">
        <v>1</v>
      </c>
      <c r="E3577" s="79">
        <v>7251.7699999999986</v>
      </c>
      <c r="F3577" s="70">
        <v>7251.77</v>
      </c>
      <c r="G3577" s="320"/>
      <c r="H3577" s="79">
        <v>3705.1199999999994</v>
      </c>
      <c r="I3577" s="79">
        <v>3546.65</v>
      </c>
      <c r="J3577" s="79">
        <v>7251.7699999999995</v>
      </c>
      <c r="K3577" s="79">
        <v>0</v>
      </c>
      <c r="L3577" s="70">
        <v>7251.7699999999995</v>
      </c>
      <c r="M3577" s="132"/>
      <c r="N3577" s="79">
        <v>3705.1199999999994</v>
      </c>
      <c r="O3577" s="79">
        <v>3546.65</v>
      </c>
      <c r="P3577" s="79">
        <v>7251.7699999999995</v>
      </c>
      <c r="Q3577" s="136"/>
      <c r="R3577" s="79">
        <v>3705.12</v>
      </c>
      <c r="S3577" s="79">
        <v>3546.86</v>
      </c>
      <c r="T3577" s="79">
        <v>7251.98</v>
      </c>
      <c r="U3577" s="79">
        <v>0</v>
      </c>
      <c r="V3577" s="189">
        <v>7251.98</v>
      </c>
      <c r="X3577" s="79">
        <v>3705.12</v>
      </c>
      <c r="Y3577" s="79">
        <v>3546.86</v>
      </c>
      <c r="Z3577" s="79">
        <v>7251.98</v>
      </c>
      <c r="AA3577" s="255">
        <v>-0.20999999999912689</v>
      </c>
      <c r="AC3577" s="254"/>
      <c r="AD3577" s="236"/>
      <c r="AE3577" s="236"/>
    </row>
    <row r="3578" spans="1:31" ht="24">
      <c r="A3578" s="67" t="s">
        <v>17463</v>
      </c>
      <c r="B3578" s="65" t="s">
        <v>17464</v>
      </c>
      <c r="C3578" s="71" t="s">
        <v>103</v>
      </c>
      <c r="D3578" s="78">
        <v>1</v>
      </c>
      <c r="E3578" s="79">
        <v>12350.82</v>
      </c>
      <c r="F3578" s="70">
        <v>12350.82</v>
      </c>
      <c r="G3578" s="320"/>
      <c r="H3578" s="79">
        <v>6586.1599999999989</v>
      </c>
      <c r="I3578" s="79">
        <v>5764.66</v>
      </c>
      <c r="J3578" s="79">
        <v>12350.82</v>
      </c>
      <c r="K3578" s="79">
        <v>0</v>
      </c>
      <c r="L3578" s="70">
        <v>12350.82</v>
      </c>
      <c r="M3578" s="132"/>
      <c r="N3578" s="79">
        <v>6586.1599999999989</v>
      </c>
      <c r="O3578" s="79">
        <v>5764.66</v>
      </c>
      <c r="P3578" s="79">
        <v>12350.82</v>
      </c>
      <c r="Q3578" s="136"/>
      <c r="R3578" s="79">
        <v>6586.16</v>
      </c>
      <c r="S3578" s="79">
        <v>5765</v>
      </c>
      <c r="T3578" s="79">
        <v>12351.16</v>
      </c>
      <c r="U3578" s="79">
        <v>0</v>
      </c>
      <c r="V3578" s="189">
        <v>12351.16</v>
      </c>
      <c r="X3578" s="79">
        <v>6586.16</v>
      </c>
      <c r="Y3578" s="79">
        <v>5765</v>
      </c>
      <c r="Z3578" s="79">
        <v>12351.16</v>
      </c>
      <c r="AA3578" s="255">
        <v>-0.34000000000014552</v>
      </c>
      <c r="AC3578" s="254"/>
    </row>
    <row r="3579" spans="1:31" ht="24">
      <c r="A3579" s="67" t="s">
        <v>17465</v>
      </c>
      <c r="B3579" s="65" t="s">
        <v>17466</v>
      </c>
      <c r="C3579" s="71" t="s">
        <v>103</v>
      </c>
      <c r="D3579" s="78">
        <v>1</v>
      </c>
      <c r="E3579" s="79">
        <v>16102.3</v>
      </c>
      <c r="F3579" s="70">
        <v>16102.3</v>
      </c>
      <c r="G3579" s="320"/>
      <c r="H3579" s="79">
        <v>8489.4599999999991</v>
      </c>
      <c r="I3579" s="79">
        <v>7612.84</v>
      </c>
      <c r="J3579" s="79">
        <v>16102.3</v>
      </c>
      <c r="K3579" s="79">
        <v>0</v>
      </c>
      <c r="L3579" s="70">
        <v>16102.3</v>
      </c>
      <c r="M3579" s="132"/>
      <c r="N3579" s="79">
        <v>8489.4599999999991</v>
      </c>
      <c r="O3579" s="79">
        <v>7612.84</v>
      </c>
      <c r="P3579" s="79">
        <v>16102.3</v>
      </c>
      <c r="Q3579" s="136"/>
      <c r="R3579" s="79">
        <v>8489.4599999999991</v>
      </c>
      <c r="S3579" s="79">
        <v>7613.28</v>
      </c>
      <c r="T3579" s="79">
        <v>16102.739999999998</v>
      </c>
      <c r="U3579" s="79">
        <v>0</v>
      </c>
      <c r="V3579" s="189">
        <v>16102.739999999998</v>
      </c>
      <c r="X3579" s="79">
        <v>8489.4599999999991</v>
      </c>
      <c r="Y3579" s="79">
        <v>7613.28</v>
      </c>
      <c r="Z3579" s="79">
        <v>16102.74</v>
      </c>
      <c r="AA3579" s="255">
        <v>-0.44000000000050932</v>
      </c>
      <c r="AC3579" s="254"/>
    </row>
    <row r="3580" spans="1:31" ht="24">
      <c r="A3580" s="67" t="s">
        <v>17467</v>
      </c>
      <c r="B3580" s="65" t="s">
        <v>17468</v>
      </c>
      <c r="C3580" s="71" t="s">
        <v>103</v>
      </c>
      <c r="D3580" s="78">
        <v>1</v>
      </c>
      <c r="E3580" s="79">
        <v>22311.840000000004</v>
      </c>
      <c r="F3580" s="70">
        <v>22311.84</v>
      </c>
      <c r="G3580" s="320"/>
      <c r="H3580" s="79">
        <v>12822.65</v>
      </c>
      <c r="I3580" s="79">
        <v>9489.1899999999987</v>
      </c>
      <c r="J3580" s="79">
        <v>22311.839999999997</v>
      </c>
      <c r="K3580" s="79">
        <v>0</v>
      </c>
      <c r="L3580" s="70">
        <v>22311.839999999997</v>
      </c>
      <c r="M3580" s="132"/>
      <c r="N3580" s="79">
        <v>12822.65</v>
      </c>
      <c r="O3580" s="79">
        <v>9489.1899999999987</v>
      </c>
      <c r="P3580" s="79">
        <v>22311.839999999997</v>
      </c>
      <c r="Q3580" s="136"/>
      <c r="R3580" s="79">
        <v>12822.65</v>
      </c>
      <c r="S3580" s="79">
        <v>9489.73</v>
      </c>
      <c r="T3580" s="79">
        <v>22312.379999999997</v>
      </c>
      <c r="U3580" s="79">
        <v>0</v>
      </c>
      <c r="V3580" s="189">
        <v>22312.379999999997</v>
      </c>
      <c r="X3580" s="79">
        <v>12822.65</v>
      </c>
      <c r="Y3580" s="79">
        <v>9489.73</v>
      </c>
      <c r="Z3580" s="79">
        <v>22312.38</v>
      </c>
      <c r="AA3580" s="255">
        <v>-0.54000000000087311</v>
      </c>
      <c r="AC3580" s="254"/>
    </row>
    <row r="3581" spans="1:31" ht="12">
      <c r="A3581" s="489" t="s">
        <v>17469</v>
      </c>
      <c r="B3581" s="490" t="s">
        <v>17470</v>
      </c>
      <c r="C3581" s="491"/>
      <c r="D3581" s="492"/>
      <c r="E3581" s="79"/>
      <c r="F3581" s="63"/>
      <c r="G3581" s="320"/>
      <c r="H3581" s="79"/>
      <c r="I3581" s="79"/>
      <c r="J3581" s="79"/>
      <c r="K3581" s="79"/>
      <c r="L3581" s="70"/>
      <c r="M3581" s="132"/>
      <c r="N3581" s="79"/>
      <c r="O3581" s="79"/>
      <c r="P3581" s="79"/>
      <c r="Q3581" s="136"/>
      <c r="R3581" s="79"/>
      <c r="S3581" s="79"/>
      <c r="T3581" s="79"/>
      <c r="U3581" s="79"/>
      <c r="V3581" s="189"/>
      <c r="X3581" s="79"/>
      <c r="Y3581" s="79"/>
      <c r="Z3581" s="79"/>
      <c r="AA3581" s="255"/>
      <c r="AC3581" s="254"/>
    </row>
    <row r="3582" spans="1:31" ht="24">
      <c r="A3582" s="67" t="s">
        <v>17471</v>
      </c>
      <c r="B3582" s="65" t="s">
        <v>17472</v>
      </c>
      <c r="C3582" s="71" t="s">
        <v>103</v>
      </c>
      <c r="D3582" s="78">
        <v>1</v>
      </c>
      <c r="E3582" s="79">
        <v>4274.72</v>
      </c>
      <c r="F3582" s="70">
        <v>4274.72</v>
      </c>
      <c r="G3582" s="320"/>
      <c r="H3582" s="79">
        <v>2500.0500000000002</v>
      </c>
      <c r="I3582" s="79">
        <v>1774.67</v>
      </c>
      <c r="J3582" s="79">
        <v>4274.72</v>
      </c>
      <c r="K3582" s="79">
        <v>0</v>
      </c>
      <c r="L3582" s="70">
        <v>4274.72</v>
      </c>
      <c r="M3582" s="132"/>
      <c r="N3582" s="79">
        <v>2500.0500000000002</v>
      </c>
      <c r="O3582" s="79">
        <v>1774.67</v>
      </c>
      <c r="P3582" s="79">
        <v>4274.72</v>
      </c>
      <c r="Q3582" s="136"/>
      <c r="R3582" s="79">
        <v>2500.0500000000002</v>
      </c>
      <c r="S3582" s="79">
        <v>1774.75</v>
      </c>
      <c r="T3582" s="79">
        <v>4274.8</v>
      </c>
      <c r="U3582" s="79">
        <v>0</v>
      </c>
      <c r="V3582" s="189">
        <v>4274.8</v>
      </c>
      <c r="X3582" s="79">
        <v>2500.0500000000002</v>
      </c>
      <c r="Y3582" s="79">
        <v>1774.75</v>
      </c>
      <c r="Z3582" s="79">
        <v>4274.8</v>
      </c>
      <c r="AA3582" s="255">
        <v>-7.999999999992724E-2</v>
      </c>
      <c r="AC3582" s="254"/>
    </row>
    <row r="3583" spans="1:31" ht="24">
      <c r="A3583" s="67" t="s">
        <v>17473</v>
      </c>
      <c r="B3583" s="65" t="s">
        <v>17474</v>
      </c>
      <c r="C3583" s="71" t="s">
        <v>103</v>
      </c>
      <c r="D3583" s="78">
        <v>1</v>
      </c>
      <c r="E3583" s="79">
        <v>9525.82</v>
      </c>
      <c r="F3583" s="70">
        <v>9525.82</v>
      </c>
      <c r="G3583" s="320"/>
      <c r="H3583" s="79">
        <v>6875.25</v>
      </c>
      <c r="I3583" s="79">
        <v>2650.5699999999997</v>
      </c>
      <c r="J3583" s="79">
        <v>9525.82</v>
      </c>
      <c r="K3583" s="79">
        <v>0</v>
      </c>
      <c r="L3583" s="70">
        <v>9525.82</v>
      </c>
      <c r="M3583" s="132"/>
      <c r="N3583" s="79">
        <v>6875.25</v>
      </c>
      <c r="O3583" s="79">
        <v>2650.5699999999997</v>
      </c>
      <c r="P3583" s="79">
        <v>9525.82</v>
      </c>
      <c r="Q3583" s="136"/>
      <c r="R3583" s="79">
        <v>6875.25</v>
      </c>
      <c r="S3583" s="79">
        <v>2650.76</v>
      </c>
      <c r="T3583" s="79">
        <v>9526.01</v>
      </c>
      <c r="U3583" s="79">
        <v>0</v>
      </c>
      <c r="V3583" s="189">
        <v>9526.01</v>
      </c>
      <c r="X3583" s="79">
        <v>6875.25</v>
      </c>
      <c r="Y3583" s="79">
        <v>2650.76</v>
      </c>
      <c r="Z3583" s="79">
        <v>9526.01</v>
      </c>
      <c r="AA3583" s="255">
        <v>-0.19000000000050932</v>
      </c>
      <c r="AC3583" s="254"/>
    </row>
    <row r="3584" spans="1:31" ht="24">
      <c r="A3584" s="67" t="s">
        <v>17475</v>
      </c>
      <c r="B3584" s="65" t="s">
        <v>17476</v>
      </c>
      <c r="C3584" s="71" t="s">
        <v>103</v>
      </c>
      <c r="D3584" s="78">
        <v>1</v>
      </c>
      <c r="E3584" s="79">
        <v>15439.590000000002</v>
      </c>
      <c r="F3584" s="70">
        <v>15439.59</v>
      </c>
      <c r="G3584" s="320"/>
      <c r="H3584" s="79">
        <v>10138.42</v>
      </c>
      <c r="I3584" s="79">
        <v>5301.17</v>
      </c>
      <c r="J3584" s="79">
        <v>15439.59</v>
      </c>
      <c r="K3584" s="79">
        <v>0</v>
      </c>
      <c r="L3584" s="70">
        <v>15439.59</v>
      </c>
      <c r="M3584" s="132"/>
      <c r="N3584" s="79">
        <v>10138.42</v>
      </c>
      <c r="O3584" s="79">
        <v>5301.17</v>
      </c>
      <c r="P3584" s="79">
        <v>15439.59</v>
      </c>
      <c r="Q3584" s="136"/>
      <c r="R3584" s="79">
        <v>10138.42</v>
      </c>
      <c r="S3584" s="79">
        <v>5301.51</v>
      </c>
      <c r="T3584" s="79">
        <v>15439.93</v>
      </c>
      <c r="U3584" s="79">
        <v>0</v>
      </c>
      <c r="V3584" s="189">
        <v>15439.93</v>
      </c>
      <c r="X3584" s="79">
        <v>10138.42</v>
      </c>
      <c r="Y3584" s="79">
        <v>5301.51</v>
      </c>
      <c r="Z3584" s="79">
        <v>15439.93</v>
      </c>
      <c r="AA3584" s="255">
        <v>-0.34000000000014552</v>
      </c>
      <c r="AC3584" s="254"/>
      <c r="AD3584" s="61"/>
      <c r="AE3584" s="61"/>
    </row>
    <row r="3585" spans="1:31" ht="12">
      <c r="A3585" s="63" t="s">
        <v>17477</v>
      </c>
      <c r="B3585" s="65" t="s">
        <v>17478</v>
      </c>
      <c r="C3585" s="108" t="s">
        <v>165</v>
      </c>
      <c r="D3585" s="78">
        <v>1</v>
      </c>
      <c r="E3585" s="79">
        <v>2495.7199999999998</v>
      </c>
      <c r="F3585" s="70">
        <v>2495.7199999999998</v>
      </c>
      <c r="G3585" s="320"/>
      <c r="H3585" s="79">
        <v>1613.47</v>
      </c>
      <c r="I3585" s="79">
        <v>882.25</v>
      </c>
      <c r="J3585" s="79">
        <v>2495.7200000000003</v>
      </c>
      <c r="K3585" s="79">
        <v>0</v>
      </c>
      <c r="L3585" s="70">
        <v>2495.7200000000003</v>
      </c>
      <c r="M3585" s="132"/>
      <c r="N3585" s="79">
        <v>1613.47</v>
      </c>
      <c r="O3585" s="79">
        <v>882.25</v>
      </c>
      <c r="P3585" s="79">
        <v>2495.7200000000003</v>
      </c>
      <c r="Q3585" s="136"/>
      <c r="R3585" s="79">
        <v>1613.47</v>
      </c>
      <c r="S3585" s="79">
        <v>882.32</v>
      </c>
      <c r="T3585" s="79">
        <v>2495.79</v>
      </c>
      <c r="U3585" s="79">
        <v>0</v>
      </c>
      <c r="V3585" s="189">
        <v>2495.79</v>
      </c>
      <c r="X3585" s="63">
        <v>1613.47</v>
      </c>
      <c r="Y3585" s="63">
        <v>882.32</v>
      </c>
      <c r="Z3585" s="63">
        <v>2495.79</v>
      </c>
      <c r="AA3585" s="255">
        <v>-7.0000000000163709E-2</v>
      </c>
      <c r="AC3585" s="254"/>
      <c r="AD3585" s="61"/>
      <c r="AE3585" s="61"/>
    </row>
    <row r="3586" spans="1:31" s="61" customFormat="1" ht="12">
      <c r="A3586" s="63" t="s">
        <v>17479</v>
      </c>
      <c r="B3586" s="65" t="s">
        <v>17480</v>
      </c>
      <c r="C3586" s="108" t="s">
        <v>103</v>
      </c>
      <c r="D3586" s="78">
        <v>1</v>
      </c>
      <c r="E3586" s="79">
        <v>950.12</v>
      </c>
      <c r="F3586" s="70">
        <v>950.12</v>
      </c>
      <c r="G3586" s="320"/>
      <c r="H3586" s="79">
        <v>899.77</v>
      </c>
      <c r="I3586" s="79">
        <v>50.349999999999994</v>
      </c>
      <c r="J3586" s="79">
        <v>950.12</v>
      </c>
      <c r="K3586" s="79">
        <v>0</v>
      </c>
      <c r="L3586" s="70">
        <v>950.12</v>
      </c>
      <c r="M3586" s="132"/>
      <c r="N3586" s="79">
        <v>899.77</v>
      </c>
      <c r="O3586" s="79">
        <v>50.349999999999994</v>
      </c>
      <c r="P3586" s="79">
        <v>950.12</v>
      </c>
      <c r="Q3586" s="136"/>
      <c r="R3586" s="79">
        <v>899.77</v>
      </c>
      <c r="S3586" s="79">
        <v>50.35</v>
      </c>
      <c r="T3586" s="79">
        <v>950.12</v>
      </c>
      <c r="U3586" s="79">
        <v>0</v>
      </c>
      <c r="V3586" s="189">
        <v>950.12</v>
      </c>
      <c r="X3586" s="63">
        <v>899.77</v>
      </c>
      <c r="Y3586" s="63">
        <v>50.35</v>
      </c>
      <c r="Z3586" s="63">
        <v>950.12</v>
      </c>
      <c r="AA3586" s="255">
        <v>0</v>
      </c>
      <c r="AC3586" s="254"/>
      <c r="AD3586" s="236"/>
      <c r="AE3586" s="236"/>
    </row>
    <row r="3587" spans="1:31" s="61" customFormat="1" ht="12">
      <c r="A3587" s="489" t="s">
        <v>17481</v>
      </c>
      <c r="B3587" s="490" t="s">
        <v>17482</v>
      </c>
      <c r="C3587" s="491"/>
      <c r="D3587" s="492"/>
      <c r="E3587" s="79"/>
      <c r="F3587" s="63"/>
      <c r="G3587" s="320"/>
      <c r="H3587" s="79"/>
      <c r="I3587" s="79"/>
      <c r="J3587" s="79"/>
      <c r="K3587" s="79"/>
      <c r="L3587" s="70"/>
      <c r="M3587" s="132"/>
      <c r="N3587" s="79"/>
      <c r="O3587" s="79"/>
      <c r="P3587" s="79"/>
      <c r="Q3587" s="136"/>
      <c r="R3587" s="79"/>
      <c r="S3587" s="79"/>
      <c r="T3587" s="79"/>
      <c r="U3587" s="79"/>
      <c r="V3587" s="189"/>
      <c r="X3587" s="79"/>
      <c r="Y3587" s="79"/>
      <c r="Z3587" s="79"/>
      <c r="AA3587" s="255"/>
      <c r="AC3587" s="254"/>
      <c r="AD3587" s="236"/>
      <c r="AE3587" s="236"/>
    </row>
    <row r="3588" spans="1:31" ht="12">
      <c r="A3588" s="67" t="s">
        <v>17483</v>
      </c>
      <c r="B3588" s="65" t="s">
        <v>17484</v>
      </c>
      <c r="C3588" s="71" t="s">
        <v>165</v>
      </c>
      <c r="D3588" s="78">
        <v>1</v>
      </c>
      <c r="E3588" s="79">
        <v>411.13</v>
      </c>
      <c r="F3588" s="70">
        <v>411.13</v>
      </c>
      <c r="G3588" s="320"/>
      <c r="H3588" s="79">
        <v>374.59000000000003</v>
      </c>
      <c r="I3588" s="79">
        <v>36.54</v>
      </c>
      <c r="J3588" s="79">
        <v>411.13000000000005</v>
      </c>
      <c r="K3588" s="79">
        <v>0</v>
      </c>
      <c r="L3588" s="70">
        <v>411.13000000000005</v>
      </c>
      <c r="M3588" s="132"/>
      <c r="N3588" s="79">
        <v>374.59000000000003</v>
      </c>
      <c r="O3588" s="79">
        <v>36.54</v>
      </c>
      <c r="P3588" s="79">
        <v>411.13000000000005</v>
      </c>
      <c r="Q3588" s="136"/>
      <c r="R3588" s="79">
        <v>374.59</v>
      </c>
      <c r="S3588" s="79">
        <v>36.53</v>
      </c>
      <c r="T3588" s="79">
        <v>411.12</v>
      </c>
      <c r="U3588" s="79">
        <v>0</v>
      </c>
      <c r="V3588" s="189">
        <v>411.12</v>
      </c>
      <c r="X3588" s="79">
        <v>374.59</v>
      </c>
      <c r="Y3588" s="79">
        <v>36.53</v>
      </c>
      <c r="Z3588" s="79">
        <v>411.12</v>
      </c>
      <c r="AA3588" s="255">
        <v>9.9999999999909051E-3</v>
      </c>
      <c r="AC3588" s="254"/>
    </row>
    <row r="3589" spans="1:31" ht="12">
      <c r="A3589" s="67" t="s">
        <v>17485</v>
      </c>
      <c r="B3589" s="65" t="s">
        <v>17486</v>
      </c>
      <c r="C3589" s="71" t="s">
        <v>165</v>
      </c>
      <c r="D3589" s="78">
        <v>1</v>
      </c>
      <c r="E3589" s="79">
        <v>681.26</v>
      </c>
      <c r="F3589" s="70">
        <v>681.26</v>
      </c>
      <c r="G3589" s="320"/>
      <c r="H3589" s="79">
        <v>626.46</v>
      </c>
      <c r="I3589" s="79">
        <v>54.8</v>
      </c>
      <c r="J3589" s="79">
        <v>681.26</v>
      </c>
      <c r="K3589" s="79">
        <v>0</v>
      </c>
      <c r="L3589" s="70">
        <v>681.26</v>
      </c>
      <c r="M3589" s="132"/>
      <c r="N3589" s="79">
        <v>626.46</v>
      </c>
      <c r="O3589" s="79">
        <v>54.8</v>
      </c>
      <c r="P3589" s="79">
        <v>681.26</v>
      </c>
      <c r="Q3589" s="136"/>
      <c r="R3589" s="79">
        <v>626.46</v>
      </c>
      <c r="S3589" s="79">
        <v>54.8</v>
      </c>
      <c r="T3589" s="79">
        <v>681.26</v>
      </c>
      <c r="U3589" s="79">
        <v>0</v>
      </c>
      <c r="V3589" s="189">
        <v>681.26</v>
      </c>
      <c r="X3589" s="79">
        <v>626.46</v>
      </c>
      <c r="Y3589" s="79">
        <v>54.8</v>
      </c>
      <c r="Z3589" s="79">
        <v>681.26</v>
      </c>
      <c r="AA3589" s="255">
        <v>0</v>
      </c>
      <c r="AC3589" s="254"/>
    </row>
    <row r="3590" spans="1:31" ht="12">
      <c r="A3590" s="67" t="s">
        <v>17487</v>
      </c>
      <c r="B3590" s="65" t="s">
        <v>17488</v>
      </c>
      <c r="C3590" s="71" t="s">
        <v>165</v>
      </c>
      <c r="D3590" s="78">
        <v>1</v>
      </c>
      <c r="E3590" s="79">
        <v>704.47</v>
      </c>
      <c r="F3590" s="70">
        <v>704.47</v>
      </c>
      <c r="G3590" s="320"/>
      <c r="H3590" s="79">
        <v>631.41000000000008</v>
      </c>
      <c r="I3590" s="79">
        <v>73.06</v>
      </c>
      <c r="J3590" s="79">
        <v>704.47</v>
      </c>
      <c r="K3590" s="79">
        <v>0</v>
      </c>
      <c r="L3590" s="70">
        <v>704.47</v>
      </c>
      <c r="M3590" s="132"/>
      <c r="N3590" s="79">
        <v>631.41000000000008</v>
      </c>
      <c r="O3590" s="79">
        <v>73.06</v>
      </c>
      <c r="P3590" s="79">
        <v>704.47</v>
      </c>
      <c r="Q3590" s="136"/>
      <c r="R3590" s="79">
        <v>631.41</v>
      </c>
      <c r="S3590" s="79">
        <v>73.06</v>
      </c>
      <c r="T3590" s="79">
        <v>704.47</v>
      </c>
      <c r="U3590" s="79">
        <v>0</v>
      </c>
      <c r="V3590" s="189">
        <v>704.47</v>
      </c>
      <c r="X3590" s="79">
        <v>631.41</v>
      </c>
      <c r="Y3590" s="79">
        <v>73.06</v>
      </c>
      <c r="Z3590" s="79">
        <v>704.47</v>
      </c>
      <c r="AA3590" s="255">
        <v>0</v>
      </c>
      <c r="AC3590" s="254"/>
    </row>
    <row r="3591" spans="1:31" ht="12">
      <c r="A3591" s="67" t="s">
        <v>17489</v>
      </c>
      <c r="B3591" s="65" t="s">
        <v>17490</v>
      </c>
      <c r="C3591" s="71" t="s">
        <v>165</v>
      </c>
      <c r="D3591" s="78">
        <v>1</v>
      </c>
      <c r="E3591" s="79">
        <v>963.5</v>
      </c>
      <c r="F3591" s="70">
        <v>963.5</v>
      </c>
      <c r="G3591" s="320"/>
      <c r="H3591" s="79">
        <v>872.16000000000008</v>
      </c>
      <c r="I3591" s="79">
        <v>91.34</v>
      </c>
      <c r="J3591" s="79">
        <v>963.50000000000011</v>
      </c>
      <c r="K3591" s="79">
        <v>0</v>
      </c>
      <c r="L3591" s="70">
        <v>963.50000000000011</v>
      </c>
      <c r="M3591" s="132"/>
      <c r="N3591" s="79">
        <v>872.16000000000008</v>
      </c>
      <c r="O3591" s="79">
        <v>91.34</v>
      </c>
      <c r="P3591" s="79">
        <v>963.50000000000011</v>
      </c>
      <c r="Q3591" s="136"/>
      <c r="R3591" s="79">
        <v>872.16</v>
      </c>
      <c r="S3591" s="79">
        <v>91.33</v>
      </c>
      <c r="T3591" s="79">
        <v>963.49</v>
      </c>
      <c r="U3591" s="79">
        <v>0</v>
      </c>
      <c r="V3591" s="189">
        <v>963.49</v>
      </c>
      <c r="X3591" s="79">
        <v>872.16</v>
      </c>
      <c r="Y3591" s="79">
        <v>91.33</v>
      </c>
      <c r="Z3591" s="79">
        <v>963.49</v>
      </c>
      <c r="AA3591" s="255">
        <v>9.9999999999909051E-3</v>
      </c>
      <c r="AC3591" s="254"/>
    </row>
    <row r="3592" spans="1:31" ht="12">
      <c r="A3592" s="67" t="s">
        <v>17491</v>
      </c>
      <c r="B3592" s="65" t="s">
        <v>17492</v>
      </c>
      <c r="C3592" s="71" t="s">
        <v>165</v>
      </c>
      <c r="D3592" s="78">
        <v>1</v>
      </c>
      <c r="E3592" s="79">
        <v>1143.3600000000001</v>
      </c>
      <c r="F3592" s="70">
        <v>1143.3599999999999</v>
      </c>
      <c r="G3592" s="320"/>
      <c r="H3592" s="79">
        <v>1033.76</v>
      </c>
      <c r="I3592" s="79">
        <v>109.6</v>
      </c>
      <c r="J3592" s="79">
        <v>1143.3599999999999</v>
      </c>
      <c r="K3592" s="79">
        <v>0</v>
      </c>
      <c r="L3592" s="70">
        <v>1143.3599999999999</v>
      </c>
      <c r="M3592" s="132"/>
      <c r="N3592" s="79">
        <v>1033.76</v>
      </c>
      <c r="O3592" s="79">
        <v>109.6</v>
      </c>
      <c r="P3592" s="79">
        <v>1143.3599999999999</v>
      </c>
      <c r="Q3592" s="136"/>
      <c r="R3592" s="79">
        <v>1033.76</v>
      </c>
      <c r="S3592" s="79">
        <v>109.59</v>
      </c>
      <c r="T3592" s="79">
        <v>1143.3499999999999</v>
      </c>
      <c r="U3592" s="79">
        <v>0</v>
      </c>
      <c r="V3592" s="189">
        <v>1143.3499999999999</v>
      </c>
      <c r="X3592" s="79">
        <v>1033.76</v>
      </c>
      <c r="Y3592" s="79">
        <v>109.59</v>
      </c>
      <c r="Z3592" s="79">
        <v>1143.3499999999999</v>
      </c>
      <c r="AA3592" s="255">
        <v>9.9999999999909051E-3</v>
      </c>
      <c r="AC3592" s="254"/>
    </row>
    <row r="3593" spans="1:31" ht="12">
      <c r="A3593" s="67" t="s">
        <v>17493</v>
      </c>
      <c r="B3593" s="65" t="s">
        <v>17494</v>
      </c>
      <c r="C3593" s="71" t="s">
        <v>165</v>
      </c>
      <c r="D3593" s="78">
        <v>1</v>
      </c>
      <c r="E3593" s="79">
        <v>2660.98</v>
      </c>
      <c r="F3593" s="70">
        <v>2660.98</v>
      </c>
      <c r="G3593" s="320"/>
      <c r="H3593" s="79">
        <v>2478.33</v>
      </c>
      <c r="I3593" s="79">
        <v>182.65</v>
      </c>
      <c r="J3593" s="79">
        <v>2660.98</v>
      </c>
      <c r="K3593" s="79">
        <v>0</v>
      </c>
      <c r="L3593" s="70">
        <v>2660.98</v>
      </c>
      <c r="M3593" s="132"/>
      <c r="N3593" s="79">
        <v>2478.33</v>
      </c>
      <c r="O3593" s="79">
        <v>182.65</v>
      </c>
      <c r="P3593" s="79">
        <v>2660.98</v>
      </c>
      <c r="Q3593" s="136"/>
      <c r="R3593" s="79">
        <v>2478.33</v>
      </c>
      <c r="S3593" s="79">
        <v>182.65</v>
      </c>
      <c r="T3593" s="79">
        <v>2660.98</v>
      </c>
      <c r="U3593" s="79">
        <v>0</v>
      </c>
      <c r="V3593" s="189">
        <v>2660.98</v>
      </c>
      <c r="X3593" s="79">
        <v>2478.33</v>
      </c>
      <c r="Y3593" s="79">
        <v>182.65</v>
      </c>
      <c r="Z3593" s="79">
        <v>2660.98</v>
      </c>
      <c r="AA3593" s="255">
        <v>0</v>
      </c>
      <c r="AC3593" s="254"/>
    </row>
    <row r="3594" spans="1:31" ht="12">
      <c r="A3594" s="489" t="s">
        <v>17495</v>
      </c>
      <c r="B3594" s="490" t="s">
        <v>17496</v>
      </c>
      <c r="C3594" s="71"/>
      <c r="D3594" s="78"/>
      <c r="E3594" s="79"/>
      <c r="F3594" s="70"/>
      <c r="G3594" s="320"/>
      <c r="H3594" s="79"/>
      <c r="I3594" s="79"/>
      <c r="J3594" s="79"/>
      <c r="K3594" s="79"/>
      <c r="L3594" s="70"/>
      <c r="M3594" s="132"/>
      <c r="N3594" s="79"/>
      <c r="O3594" s="79"/>
      <c r="P3594" s="79"/>
      <c r="Q3594" s="136"/>
      <c r="R3594" s="79"/>
      <c r="S3594" s="79"/>
      <c r="T3594" s="79"/>
      <c r="U3594" s="79"/>
      <c r="V3594" s="189"/>
      <c r="X3594" s="79"/>
      <c r="Y3594" s="79"/>
      <c r="Z3594" s="79"/>
      <c r="AA3594" s="255"/>
      <c r="AC3594" s="254"/>
    </row>
    <row r="3595" spans="1:31" ht="12">
      <c r="A3595" s="67" t="s">
        <v>17497</v>
      </c>
      <c r="B3595" s="65" t="s">
        <v>17498</v>
      </c>
      <c r="C3595" s="71" t="s">
        <v>103</v>
      </c>
      <c r="D3595" s="78">
        <v>1</v>
      </c>
      <c r="E3595" s="79">
        <v>490.11</v>
      </c>
      <c r="F3595" s="70">
        <v>490.11</v>
      </c>
      <c r="G3595" s="320"/>
      <c r="H3595" s="79">
        <v>467.79</v>
      </c>
      <c r="I3595" s="79">
        <v>22.32</v>
      </c>
      <c r="J3595" s="79">
        <v>490.11</v>
      </c>
      <c r="K3595" s="79">
        <v>0</v>
      </c>
      <c r="L3595" s="70">
        <v>490.11</v>
      </c>
      <c r="M3595" s="132"/>
      <c r="N3595" s="79">
        <v>467.79</v>
      </c>
      <c r="O3595" s="79">
        <v>22.32</v>
      </c>
      <c r="P3595" s="79">
        <v>490.11</v>
      </c>
      <c r="Q3595" s="136"/>
      <c r="R3595" s="79">
        <v>467.79</v>
      </c>
      <c r="S3595" s="79">
        <v>22.33</v>
      </c>
      <c r="T3595" s="79">
        <v>490.12</v>
      </c>
      <c r="U3595" s="79">
        <v>0</v>
      </c>
      <c r="V3595" s="189">
        <v>490.12</v>
      </c>
      <c r="X3595" s="79">
        <v>467.79</v>
      </c>
      <c r="Y3595" s="79">
        <v>22.33</v>
      </c>
      <c r="Z3595" s="79">
        <v>490.12</v>
      </c>
      <c r="AA3595" s="255">
        <v>-9.9999999999909051E-3</v>
      </c>
      <c r="AC3595" s="254"/>
    </row>
    <row r="3596" spans="1:31" ht="12">
      <c r="A3596" s="67" t="s">
        <v>17499</v>
      </c>
      <c r="B3596" s="65" t="s">
        <v>17500</v>
      </c>
      <c r="C3596" s="71" t="s">
        <v>103</v>
      </c>
      <c r="D3596" s="78">
        <v>1</v>
      </c>
      <c r="E3596" s="79">
        <v>256.52</v>
      </c>
      <c r="F3596" s="70">
        <v>256.52</v>
      </c>
      <c r="G3596" s="320"/>
      <c r="H3596" s="79">
        <v>228.57999999999998</v>
      </c>
      <c r="I3596" s="79">
        <v>27.939999999999998</v>
      </c>
      <c r="J3596" s="79">
        <v>256.52</v>
      </c>
      <c r="K3596" s="79">
        <v>0</v>
      </c>
      <c r="L3596" s="70">
        <v>256.52</v>
      </c>
      <c r="M3596" s="132"/>
      <c r="N3596" s="79">
        <v>228.57999999999998</v>
      </c>
      <c r="O3596" s="79">
        <v>27.939999999999998</v>
      </c>
      <c r="P3596" s="79">
        <v>256.52</v>
      </c>
      <c r="Q3596" s="136"/>
      <c r="R3596" s="79">
        <v>228.58</v>
      </c>
      <c r="S3596" s="79">
        <v>27.92</v>
      </c>
      <c r="T3596" s="79">
        <v>256.5</v>
      </c>
      <c r="U3596" s="79">
        <v>0</v>
      </c>
      <c r="V3596" s="189">
        <v>256.5</v>
      </c>
      <c r="X3596" s="79">
        <v>228.58</v>
      </c>
      <c r="Y3596" s="79">
        <v>27.92</v>
      </c>
      <c r="Z3596" s="79">
        <v>256.5</v>
      </c>
      <c r="AA3596" s="255">
        <v>1.999999999998181E-2</v>
      </c>
      <c r="AC3596" s="254"/>
    </row>
    <row r="3597" spans="1:31" ht="12">
      <c r="A3597" s="489" t="s">
        <v>17501</v>
      </c>
      <c r="B3597" s="490" t="s">
        <v>17502</v>
      </c>
      <c r="C3597" s="491"/>
      <c r="D3597" s="492"/>
      <c r="E3597" s="79"/>
      <c r="F3597" s="63"/>
      <c r="G3597" s="320"/>
      <c r="H3597" s="79"/>
      <c r="I3597" s="79"/>
      <c r="J3597" s="79"/>
      <c r="K3597" s="79"/>
      <c r="L3597" s="70"/>
      <c r="M3597" s="132"/>
      <c r="N3597" s="79"/>
      <c r="O3597" s="79"/>
      <c r="P3597" s="79"/>
      <c r="Q3597" s="136"/>
      <c r="R3597" s="79"/>
      <c r="S3597" s="79"/>
      <c r="T3597" s="79"/>
      <c r="U3597" s="79"/>
      <c r="V3597" s="189"/>
      <c r="X3597" s="79"/>
      <c r="Y3597" s="79"/>
      <c r="Z3597" s="79"/>
      <c r="AA3597" s="255"/>
      <c r="AC3597" s="254"/>
    </row>
    <row r="3598" spans="1:31" ht="12">
      <c r="A3598" s="489" t="s">
        <v>17503</v>
      </c>
      <c r="B3598" s="490" t="s">
        <v>17504</v>
      </c>
      <c r="C3598" s="491"/>
      <c r="D3598" s="492"/>
      <c r="E3598" s="79"/>
      <c r="F3598" s="63"/>
      <c r="G3598" s="320"/>
      <c r="H3598" s="79"/>
      <c r="I3598" s="79"/>
      <c r="J3598" s="79"/>
      <c r="K3598" s="79"/>
      <c r="L3598" s="70"/>
      <c r="M3598" s="132"/>
      <c r="N3598" s="79"/>
      <c r="O3598" s="79"/>
      <c r="P3598" s="79"/>
      <c r="Q3598" s="136"/>
      <c r="R3598" s="79"/>
      <c r="S3598" s="79"/>
      <c r="T3598" s="79"/>
      <c r="U3598" s="79"/>
      <c r="V3598" s="189"/>
      <c r="X3598" s="79"/>
      <c r="Y3598" s="79"/>
      <c r="Z3598" s="79"/>
      <c r="AA3598" s="255"/>
      <c r="AC3598" s="254"/>
    </row>
    <row r="3599" spans="1:31" ht="12">
      <c r="A3599" s="67" t="s">
        <v>17505</v>
      </c>
      <c r="B3599" s="65" t="s">
        <v>17506</v>
      </c>
      <c r="C3599" s="71" t="s">
        <v>103</v>
      </c>
      <c r="D3599" s="78">
        <v>1</v>
      </c>
      <c r="E3599" s="79">
        <v>1224.3500000000001</v>
      </c>
      <c r="F3599" s="70">
        <v>1224.3499999999999</v>
      </c>
      <c r="G3599" s="320"/>
      <c r="H3599" s="79">
        <v>1028.94</v>
      </c>
      <c r="I3599" s="79">
        <v>195.41000000000003</v>
      </c>
      <c r="J3599" s="79">
        <v>1224.3500000000001</v>
      </c>
      <c r="K3599" s="79">
        <v>0</v>
      </c>
      <c r="L3599" s="70">
        <v>1224.3500000000001</v>
      </c>
      <c r="M3599" s="132"/>
      <c r="N3599" s="79">
        <v>1028.94</v>
      </c>
      <c r="O3599" s="79">
        <v>195.41000000000003</v>
      </c>
      <c r="P3599" s="79">
        <v>1224.3500000000001</v>
      </c>
      <c r="Q3599" s="136"/>
      <c r="R3599" s="79">
        <v>1028.94</v>
      </c>
      <c r="S3599" s="79">
        <v>195.41</v>
      </c>
      <c r="T3599" s="79">
        <v>1224.3500000000001</v>
      </c>
      <c r="U3599" s="79">
        <v>0</v>
      </c>
      <c r="V3599" s="189">
        <v>1224.3500000000001</v>
      </c>
      <c r="X3599" s="79">
        <v>1028.94</v>
      </c>
      <c r="Y3599" s="79">
        <v>195.41</v>
      </c>
      <c r="Z3599" s="79">
        <v>1224.3499999999999</v>
      </c>
      <c r="AA3599" s="255">
        <v>0</v>
      </c>
      <c r="AC3599" s="254"/>
      <c r="AD3599" s="61"/>
      <c r="AE3599" s="61"/>
    </row>
    <row r="3600" spans="1:31" ht="12">
      <c r="A3600" s="67" t="s">
        <v>17507</v>
      </c>
      <c r="B3600" s="65" t="s">
        <v>17508</v>
      </c>
      <c r="C3600" s="71" t="s">
        <v>103</v>
      </c>
      <c r="D3600" s="78">
        <v>1</v>
      </c>
      <c r="E3600" s="79">
        <v>594.05000000000007</v>
      </c>
      <c r="F3600" s="70">
        <v>594.04999999999995</v>
      </c>
      <c r="G3600" s="320"/>
      <c r="H3600" s="79">
        <v>398.64</v>
      </c>
      <c r="I3600" s="79">
        <v>195.41000000000003</v>
      </c>
      <c r="J3600" s="79">
        <v>594.04999999999995</v>
      </c>
      <c r="K3600" s="79">
        <v>0</v>
      </c>
      <c r="L3600" s="70">
        <v>594.04999999999995</v>
      </c>
      <c r="M3600" s="132"/>
      <c r="N3600" s="79">
        <v>398.64</v>
      </c>
      <c r="O3600" s="79">
        <v>195.41000000000003</v>
      </c>
      <c r="P3600" s="79">
        <v>594.04999999999995</v>
      </c>
      <c r="Q3600" s="136"/>
      <c r="R3600" s="79">
        <v>398.64</v>
      </c>
      <c r="S3600" s="79">
        <v>195.41</v>
      </c>
      <c r="T3600" s="79">
        <v>594.04999999999995</v>
      </c>
      <c r="U3600" s="79">
        <v>0</v>
      </c>
      <c r="V3600" s="189">
        <v>594.04999999999995</v>
      </c>
      <c r="X3600" s="79">
        <v>398.64</v>
      </c>
      <c r="Y3600" s="79">
        <v>195.41</v>
      </c>
      <c r="Z3600" s="79">
        <v>594.04999999999995</v>
      </c>
      <c r="AA3600" s="255">
        <v>0</v>
      </c>
      <c r="AC3600" s="254"/>
    </row>
    <row r="3601" spans="1:31" ht="12">
      <c r="A3601" s="67" t="s">
        <v>40977</v>
      </c>
      <c r="B3601" s="65" t="s">
        <v>40978</v>
      </c>
      <c r="C3601" s="71" t="s">
        <v>103</v>
      </c>
      <c r="D3601" s="78">
        <v>1</v>
      </c>
      <c r="E3601" s="79">
        <v>343.15000000000003</v>
      </c>
      <c r="F3601" s="70">
        <v>343.15</v>
      </c>
      <c r="G3601" s="320"/>
      <c r="H3601" s="79">
        <v>147.74</v>
      </c>
      <c r="I3601" s="79">
        <v>195.41000000000003</v>
      </c>
      <c r="J3601" s="79">
        <v>343.15000000000003</v>
      </c>
      <c r="K3601" s="79">
        <v>0</v>
      </c>
      <c r="L3601" s="70">
        <v>343.15000000000003</v>
      </c>
      <c r="M3601" s="132"/>
      <c r="N3601" s="79">
        <v>147.74</v>
      </c>
      <c r="O3601" s="79">
        <v>195.41000000000003</v>
      </c>
      <c r="P3601" s="79">
        <v>343.15000000000003</v>
      </c>
      <c r="Q3601" s="136"/>
      <c r="R3601" s="79">
        <v>147.74</v>
      </c>
      <c r="S3601" s="79">
        <v>195.41</v>
      </c>
      <c r="T3601" s="79">
        <v>343.15</v>
      </c>
      <c r="U3601" s="79">
        <v>0</v>
      </c>
      <c r="V3601" s="189">
        <v>343.15</v>
      </c>
      <c r="X3601" s="79">
        <v>147.74</v>
      </c>
      <c r="Y3601" s="79">
        <v>195.41</v>
      </c>
      <c r="Z3601" s="79">
        <v>343.15</v>
      </c>
      <c r="AA3601" s="255">
        <v>0</v>
      </c>
      <c r="AC3601" s="254"/>
    </row>
    <row r="3602" spans="1:31" s="61" customFormat="1" ht="12">
      <c r="A3602" s="67" t="s">
        <v>17509</v>
      </c>
      <c r="B3602" s="65" t="s">
        <v>17510</v>
      </c>
      <c r="C3602" s="71" t="s">
        <v>165</v>
      </c>
      <c r="D3602" s="78">
        <v>1</v>
      </c>
      <c r="E3602" s="79">
        <v>23.96</v>
      </c>
      <c r="F3602" s="70">
        <v>23.96</v>
      </c>
      <c r="G3602" s="320"/>
      <c r="H3602" s="79">
        <v>18.37</v>
      </c>
      <c r="I3602" s="79">
        <v>5.59</v>
      </c>
      <c r="J3602" s="79">
        <v>23.96</v>
      </c>
      <c r="K3602" s="79">
        <v>0</v>
      </c>
      <c r="L3602" s="70">
        <v>23.96</v>
      </c>
      <c r="M3602" s="132"/>
      <c r="N3602" s="79">
        <v>18.37</v>
      </c>
      <c r="O3602" s="79">
        <v>5.59</v>
      </c>
      <c r="P3602" s="79">
        <v>23.96</v>
      </c>
      <c r="Q3602" s="136"/>
      <c r="R3602" s="79">
        <v>18.37</v>
      </c>
      <c r="S3602" s="79">
        <v>5.58</v>
      </c>
      <c r="T3602" s="79">
        <v>23.950000000000003</v>
      </c>
      <c r="U3602" s="79">
        <v>0</v>
      </c>
      <c r="V3602" s="189">
        <v>23.950000000000003</v>
      </c>
      <c r="X3602" s="79">
        <v>18.37</v>
      </c>
      <c r="Y3602" s="79">
        <v>5.58</v>
      </c>
      <c r="Z3602" s="79">
        <v>23.95</v>
      </c>
      <c r="AA3602" s="255">
        <v>1.0000000000001563E-2</v>
      </c>
      <c r="AC3602" s="254"/>
    </row>
    <row r="3603" spans="1:31" ht="12">
      <c r="A3603" s="67" t="s">
        <v>17511</v>
      </c>
      <c r="B3603" s="65" t="s">
        <v>17512</v>
      </c>
      <c r="C3603" s="71" t="s">
        <v>103</v>
      </c>
      <c r="D3603" s="78">
        <v>1</v>
      </c>
      <c r="E3603" s="79">
        <v>76.69</v>
      </c>
      <c r="F3603" s="70">
        <v>76.69</v>
      </c>
      <c r="G3603" s="320"/>
      <c r="H3603" s="79">
        <v>59.94</v>
      </c>
      <c r="I3603" s="79">
        <v>16.75</v>
      </c>
      <c r="J3603" s="79">
        <v>76.69</v>
      </c>
      <c r="K3603" s="79">
        <v>0</v>
      </c>
      <c r="L3603" s="70">
        <v>76.69</v>
      </c>
      <c r="M3603" s="132"/>
      <c r="N3603" s="79">
        <v>59.94</v>
      </c>
      <c r="O3603" s="79">
        <v>16.75</v>
      </c>
      <c r="P3603" s="79">
        <v>76.69</v>
      </c>
      <c r="Q3603" s="136"/>
      <c r="R3603" s="79">
        <v>59.94</v>
      </c>
      <c r="S3603" s="79">
        <v>16.75</v>
      </c>
      <c r="T3603" s="79">
        <v>76.69</v>
      </c>
      <c r="U3603" s="79">
        <v>0</v>
      </c>
      <c r="V3603" s="189">
        <v>76.69</v>
      </c>
      <c r="X3603" s="79">
        <v>59.94</v>
      </c>
      <c r="Y3603" s="79">
        <v>16.75</v>
      </c>
      <c r="Z3603" s="79">
        <v>76.69</v>
      </c>
      <c r="AA3603" s="255">
        <v>0</v>
      </c>
      <c r="AC3603" s="254"/>
      <c r="AD3603" s="61"/>
      <c r="AE3603" s="61"/>
    </row>
    <row r="3604" spans="1:31" s="61" customFormat="1" ht="12">
      <c r="A3604" s="67" t="s">
        <v>17513</v>
      </c>
      <c r="B3604" s="65" t="s">
        <v>17514</v>
      </c>
      <c r="C3604" s="71" t="s">
        <v>165</v>
      </c>
      <c r="D3604" s="78">
        <v>1</v>
      </c>
      <c r="E3604" s="79">
        <v>33.739999999999995</v>
      </c>
      <c r="F3604" s="70">
        <v>33.74</v>
      </c>
      <c r="G3604" s="320"/>
      <c r="H3604" s="79">
        <v>28.15</v>
      </c>
      <c r="I3604" s="79">
        <v>5.59</v>
      </c>
      <c r="J3604" s="79">
        <v>33.739999999999995</v>
      </c>
      <c r="K3604" s="79">
        <v>0</v>
      </c>
      <c r="L3604" s="70">
        <v>33.739999999999995</v>
      </c>
      <c r="M3604" s="132"/>
      <c r="N3604" s="79">
        <v>28.15</v>
      </c>
      <c r="O3604" s="79">
        <v>5.59</v>
      </c>
      <c r="P3604" s="79">
        <v>33.739999999999995</v>
      </c>
      <c r="Q3604" s="136"/>
      <c r="R3604" s="79">
        <v>28.15</v>
      </c>
      <c r="S3604" s="79">
        <v>5.58</v>
      </c>
      <c r="T3604" s="79">
        <v>33.729999999999997</v>
      </c>
      <c r="U3604" s="79">
        <v>0</v>
      </c>
      <c r="V3604" s="189">
        <v>33.729999999999997</v>
      </c>
      <c r="X3604" s="79">
        <v>28.15</v>
      </c>
      <c r="Y3604" s="79">
        <v>5.58</v>
      </c>
      <c r="Z3604" s="79">
        <v>33.729999999999997</v>
      </c>
      <c r="AA3604" s="255">
        <v>1.0000000000005116E-2</v>
      </c>
      <c r="AC3604" s="254"/>
      <c r="AD3604" s="236"/>
      <c r="AE3604" s="236"/>
    </row>
    <row r="3605" spans="1:31" s="61" customFormat="1" ht="12">
      <c r="A3605" s="67" t="s">
        <v>17515</v>
      </c>
      <c r="B3605" s="65" t="s">
        <v>17516</v>
      </c>
      <c r="C3605" s="71" t="s">
        <v>103</v>
      </c>
      <c r="D3605" s="78">
        <v>1</v>
      </c>
      <c r="E3605" s="79">
        <v>245.44</v>
      </c>
      <c r="F3605" s="70">
        <v>245.44</v>
      </c>
      <c r="G3605" s="320"/>
      <c r="H3605" s="79">
        <v>239.85</v>
      </c>
      <c r="I3605" s="79">
        <v>5.59</v>
      </c>
      <c r="J3605" s="79">
        <v>245.44</v>
      </c>
      <c r="K3605" s="79">
        <v>0</v>
      </c>
      <c r="L3605" s="70">
        <v>245.44</v>
      </c>
      <c r="M3605" s="132"/>
      <c r="N3605" s="79">
        <v>239.85</v>
      </c>
      <c r="O3605" s="79">
        <v>5.59</v>
      </c>
      <c r="P3605" s="79">
        <v>245.44</v>
      </c>
      <c r="Q3605" s="136"/>
      <c r="R3605" s="79">
        <v>239.85</v>
      </c>
      <c r="S3605" s="79">
        <v>5.58</v>
      </c>
      <c r="T3605" s="79">
        <v>245.43</v>
      </c>
      <c r="U3605" s="79">
        <v>0</v>
      </c>
      <c r="V3605" s="189">
        <v>245.43</v>
      </c>
      <c r="X3605" s="79">
        <v>239.85</v>
      </c>
      <c r="Y3605" s="79">
        <v>5.58</v>
      </c>
      <c r="Z3605" s="79">
        <v>245.43</v>
      </c>
      <c r="AA3605" s="255">
        <v>9.9999999999909051E-3</v>
      </c>
      <c r="AC3605" s="254"/>
      <c r="AD3605" s="236"/>
      <c r="AE3605" s="236"/>
    </row>
    <row r="3606" spans="1:31" ht="24">
      <c r="A3606" s="67" t="s">
        <v>17517</v>
      </c>
      <c r="B3606" s="65" t="s">
        <v>17518</v>
      </c>
      <c r="C3606" s="71" t="s">
        <v>103</v>
      </c>
      <c r="D3606" s="78">
        <v>1</v>
      </c>
      <c r="E3606" s="79">
        <v>4098.0499999999993</v>
      </c>
      <c r="F3606" s="70">
        <v>4098.05</v>
      </c>
      <c r="G3606" s="320"/>
      <c r="H3606" s="79">
        <v>3791.0099999999993</v>
      </c>
      <c r="I3606" s="79">
        <v>307.03999999999996</v>
      </c>
      <c r="J3606" s="79">
        <v>4098.0499999999993</v>
      </c>
      <c r="K3606" s="79">
        <v>0</v>
      </c>
      <c r="L3606" s="70">
        <v>4098.0499999999993</v>
      </c>
      <c r="M3606" s="132"/>
      <c r="N3606" s="79">
        <v>3791.0099999999993</v>
      </c>
      <c r="O3606" s="79">
        <v>307.03999999999996</v>
      </c>
      <c r="P3606" s="79">
        <v>4098.0499999999993</v>
      </c>
      <c r="Q3606" s="136"/>
      <c r="R3606" s="79">
        <v>3791.01</v>
      </c>
      <c r="S3606" s="79">
        <v>307.06</v>
      </c>
      <c r="T3606" s="79">
        <v>4098.0700000000006</v>
      </c>
      <c r="U3606" s="79">
        <v>0</v>
      </c>
      <c r="V3606" s="189">
        <v>4098.0700000000006</v>
      </c>
      <c r="X3606" s="79">
        <v>3791.01</v>
      </c>
      <c r="Y3606" s="79">
        <v>307.06</v>
      </c>
      <c r="Z3606" s="79">
        <v>4098.07</v>
      </c>
      <c r="AA3606" s="255">
        <v>-1.9999999999527063E-2</v>
      </c>
      <c r="AC3606" s="254"/>
    </row>
    <row r="3607" spans="1:31" ht="12">
      <c r="A3607" s="67" t="s">
        <v>17519</v>
      </c>
      <c r="B3607" s="65" t="s">
        <v>17520</v>
      </c>
      <c r="C3607" s="71" t="s">
        <v>103</v>
      </c>
      <c r="D3607" s="78">
        <v>1</v>
      </c>
      <c r="E3607" s="79">
        <v>70.48</v>
      </c>
      <c r="F3607" s="70">
        <v>70.48</v>
      </c>
      <c r="G3607" s="320"/>
      <c r="H3607" s="79">
        <v>64.89</v>
      </c>
      <c r="I3607" s="79">
        <v>5.59</v>
      </c>
      <c r="J3607" s="79">
        <v>70.48</v>
      </c>
      <c r="K3607" s="79">
        <v>0</v>
      </c>
      <c r="L3607" s="70">
        <v>70.48</v>
      </c>
      <c r="M3607" s="132"/>
      <c r="N3607" s="79">
        <v>64.89</v>
      </c>
      <c r="O3607" s="79">
        <v>5.59</v>
      </c>
      <c r="P3607" s="79">
        <v>70.48</v>
      </c>
      <c r="Q3607" s="136"/>
      <c r="R3607" s="79">
        <v>64.89</v>
      </c>
      <c r="S3607" s="79">
        <v>5.58</v>
      </c>
      <c r="T3607" s="79">
        <v>70.47</v>
      </c>
      <c r="U3607" s="79">
        <v>0</v>
      </c>
      <c r="V3607" s="189">
        <v>70.47</v>
      </c>
      <c r="X3607" s="79">
        <v>64.89</v>
      </c>
      <c r="Y3607" s="79">
        <v>5.58</v>
      </c>
      <c r="Z3607" s="79">
        <v>70.47</v>
      </c>
      <c r="AA3607" s="255">
        <v>1.0000000000005116E-2</v>
      </c>
      <c r="AC3607" s="254"/>
    </row>
    <row r="3608" spans="1:31" ht="12">
      <c r="A3608" s="67" t="s">
        <v>17521</v>
      </c>
      <c r="B3608" s="65" t="s">
        <v>17522</v>
      </c>
      <c r="C3608" s="71" t="s">
        <v>103</v>
      </c>
      <c r="D3608" s="78">
        <v>1</v>
      </c>
      <c r="E3608" s="79">
        <v>94.11</v>
      </c>
      <c r="F3608" s="70">
        <v>94.11</v>
      </c>
      <c r="G3608" s="320"/>
      <c r="H3608" s="79">
        <v>88.52</v>
      </c>
      <c r="I3608" s="79">
        <v>5.59</v>
      </c>
      <c r="J3608" s="79">
        <v>94.11</v>
      </c>
      <c r="K3608" s="79">
        <v>0</v>
      </c>
      <c r="L3608" s="70">
        <v>94.11</v>
      </c>
      <c r="M3608" s="132"/>
      <c r="N3608" s="79">
        <v>88.52</v>
      </c>
      <c r="O3608" s="79">
        <v>5.59</v>
      </c>
      <c r="P3608" s="79">
        <v>94.11</v>
      </c>
      <c r="Q3608" s="136"/>
      <c r="R3608" s="79">
        <v>88.52</v>
      </c>
      <c r="S3608" s="79">
        <v>5.58</v>
      </c>
      <c r="T3608" s="79">
        <v>94.1</v>
      </c>
      <c r="U3608" s="79">
        <v>0</v>
      </c>
      <c r="V3608" s="189">
        <v>94.1</v>
      </c>
      <c r="X3608" s="79">
        <v>88.52</v>
      </c>
      <c r="Y3608" s="79">
        <v>5.58</v>
      </c>
      <c r="Z3608" s="79">
        <v>94.1</v>
      </c>
      <c r="AA3608" s="255">
        <v>1.0000000000005116E-2</v>
      </c>
      <c r="AC3608" s="254"/>
    </row>
    <row r="3609" spans="1:31" ht="12">
      <c r="A3609" s="67" t="s">
        <v>17523</v>
      </c>
      <c r="B3609" s="65" t="s">
        <v>17524</v>
      </c>
      <c r="C3609" s="71" t="s">
        <v>103</v>
      </c>
      <c r="D3609" s="78">
        <v>1</v>
      </c>
      <c r="E3609" s="79">
        <v>2295.66</v>
      </c>
      <c r="F3609" s="70">
        <v>2295.66</v>
      </c>
      <c r="G3609" s="320"/>
      <c r="H3609" s="79">
        <v>2224.02</v>
      </c>
      <c r="I3609" s="79">
        <v>71.64</v>
      </c>
      <c r="J3609" s="79">
        <v>2295.66</v>
      </c>
      <c r="K3609" s="79">
        <v>0</v>
      </c>
      <c r="L3609" s="70">
        <v>2295.66</v>
      </c>
      <c r="M3609" s="132"/>
      <c r="N3609" s="79">
        <v>2224.02</v>
      </c>
      <c r="O3609" s="79">
        <v>71.64</v>
      </c>
      <c r="P3609" s="79">
        <v>2295.66</v>
      </c>
      <c r="Q3609" s="136"/>
      <c r="R3609" s="79">
        <v>2224.02</v>
      </c>
      <c r="S3609" s="79">
        <v>71.650000000000006</v>
      </c>
      <c r="T3609" s="79">
        <v>2295.67</v>
      </c>
      <c r="U3609" s="79">
        <v>0</v>
      </c>
      <c r="V3609" s="189">
        <v>2295.67</v>
      </c>
      <c r="X3609" s="79">
        <v>2224.02</v>
      </c>
      <c r="Y3609" s="79">
        <v>71.650000000000006</v>
      </c>
      <c r="Z3609" s="79">
        <v>2295.67</v>
      </c>
      <c r="AA3609" s="255">
        <v>-1.0000000000218279E-2</v>
      </c>
      <c r="AC3609" s="254"/>
    </row>
    <row r="3610" spans="1:31" ht="12">
      <c r="A3610" s="67" t="s">
        <v>17525</v>
      </c>
      <c r="B3610" s="65" t="s">
        <v>17526</v>
      </c>
      <c r="C3610" s="71" t="s">
        <v>103</v>
      </c>
      <c r="D3610" s="78">
        <v>1</v>
      </c>
      <c r="E3610" s="79">
        <v>123.66</v>
      </c>
      <c r="F3610" s="70">
        <v>123.66</v>
      </c>
      <c r="G3610" s="320"/>
      <c r="H3610" s="79">
        <v>118.07</v>
      </c>
      <c r="I3610" s="79">
        <v>5.59</v>
      </c>
      <c r="J3610" s="79">
        <v>123.66</v>
      </c>
      <c r="K3610" s="79">
        <v>0</v>
      </c>
      <c r="L3610" s="70">
        <v>123.66</v>
      </c>
      <c r="M3610" s="132"/>
      <c r="N3610" s="79">
        <v>118.07</v>
      </c>
      <c r="O3610" s="79">
        <v>5.59</v>
      </c>
      <c r="P3610" s="79">
        <v>123.66</v>
      </c>
      <c r="Q3610" s="136"/>
      <c r="R3610" s="79">
        <v>118.07</v>
      </c>
      <c r="S3610" s="79">
        <v>5.58</v>
      </c>
      <c r="T3610" s="79">
        <v>123.64999999999999</v>
      </c>
      <c r="U3610" s="79">
        <v>0</v>
      </c>
      <c r="V3610" s="189">
        <v>123.64999999999999</v>
      </c>
      <c r="X3610" s="79">
        <v>118.07</v>
      </c>
      <c r="Y3610" s="79">
        <v>5.58</v>
      </c>
      <c r="Z3610" s="79">
        <v>123.65</v>
      </c>
      <c r="AA3610" s="255">
        <v>9.9999999999909051E-3</v>
      </c>
      <c r="AC3610" s="254"/>
    </row>
    <row r="3611" spans="1:31" ht="12">
      <c r="A3611" s="67" t="s">
        <v>17527</v>
      </c>
      <c r="B3611" s="65" t="s">
        <v>17528</v>
      </c>
      <c r="C3611" s="71" t="s">
        <v>103</v>
      </c>
      <c r="D3611" s="78">
        <v>1</v>
      </c>
      <c r="E3611" s="79">
        <v>88.4</v>
      </c>
      <c r="F3611" s="70">
        <v>88.4</v>
      </c>
      <c r="G3611" s="320"/>
      <c r="H3611" s="79">
        <v>82.81</v>
      </c>
      <c r="I3611" s="79">
        <v>5.59</v>
      </c>
      <c r="J3611" s="79">
        <v>88.4</v>
      </c>
      <c r="K3611" s="79">
        <v>0</v>
      </c>
      <c r="L3611" s="70">
        <v>88.4</v>
      </c>
      <c r="M3611" s="132"/>
      <c r="N3611" s="79">
        <v>82.81</v>
      </c>
      <c r="O3611" s="79">
        <v>5.59</v>
      </c>
      <c r="P3611" s="79">
        <v>88.4</v>
      </c>
      <c r="Q3611" s="136"/>
      <c r="R3611" s="79">
        <v>82.81</v>
      </c>
      <c r="S3611" s="79">
        <v>5.58</v>
      </c>
      <c r="T3611" s="79">
        <v>88.39</v>
      </c>
      <c r="U3611" s="79">
        <v>0</v>
      </c>
      <c r="V3611" s="189">
        <v>88.39</v>
      </c>
      <c r="X3611" s="79">
        <v>82.81</v>
      </c>
      <c r="Y3611" s="79">
        <v>5.58</v>
      </c>
      <c r="Z3611" s="79">
        <v>88.39</v>
      </c>
      <c r="AA3611" s="255">
        <v>1.0000000000005116E-2</v>
      </c>
      <c r="AC3611" s="254"/>
    </row>
    <row r="3612" spans="1:31" ht="12">
      <c r="A3612" s="67" t="s">
        <v>17529</v>
      </c>
      <c r="B3612" s="65" t="s">
        <v>17530</v>
      </c>
      <c r="C3612" s="71" t="s">
        <v>103</v>
      </c>
      <c r="D3612" s="78">
        <v>1</v>
      </c>
      <c r="E3612" s="79">
        <v>19.420000000000002</v>
      </c>
      <c r="F3612" s="70">
        <v>19.420000000000002</v>
      </c>
      <c r="G3612" s="320"/>
      <c r="H3612" s="79">
        <v>18.670000000000002</v>
      </c>
      <c r="I3612" s="79">
        <v>0.75</v>
      </c>
      <c r="J3612" s="79">
        <v>19.420000000000002</v>
      </c>
      <c r="K3612" s="79">
        <v>0</v>
      </c>
      <c r="L3612" s="70">
        <v>19.420000000000002</v>
      </c>
      <c r="M3612" s="132"/>
      <c r="N3612" s="79">
        <v>18.670000000000002</v>
      </c>
      <c r="O3612" s="79">
        <v>0.75</v>
      </c>
      <c r="P3612" s="79">
        <v>19.420000000000002</v>
      </c>
      <c r="Q3612" s="136"/>
      <c r="R3612" s="79">
        <v>18.670000000000002</v>
      </c>
      <c r="S3612" s="79">
        <v>0.75</v>
      </c>
      <c r="T3612" s="79">
        <v>19.420000000000002</v>
      </c>
      <c r="U3612" s="79">
        <v>0</v>
      </c>
      <c r="V3612" s="189">
        <v>19.420000000000002</v>
      </c>
      <c r="X3612" s="79">
        <v>18.670000000000002</v>
      </c>
      <c r="Y3612" s="79">
        <v>0.75</v>
      </c>
      <c r="Z3612" s="79">
        <v>19.420000000000002</v>
      </c>
      <c r="AA3612" s="255">
        <v>0</v>
      </c>
      <c r="AC3612" s="254"/>
    </row>
    <row r="3613" spans="1:31" ht="12">
      <c r="A3613" s="67" t="s">
        <v>17531</v>
      </c>
      <c r="B3613" s="65" t="s">
        <v>17532</v>
      </c>
      <c r="C3613" s="71" t="s">
        <v>103</v>
      </c>
      <c r="D3613" s="78">
        <v>1</v>
      </c>
      <c r="E3613" s="79">
        <v>179.47</v>
      </c>
      <c r="F3613" s="70">
        <v>179.47</v>
      </c>
      <c r="G3613" s="320"/>
      <c r="H3613" s="79">
        <v>173.88</v>
      </c>
      <c r="I3613" s="79">
        <v>5.59</v>
      </c>
      <c r="J3613" s="79">
        <v>179.47</v>
      </c>
      <c r="K3613" s="79">
        <v>0</v>
      </c>
      <c r="L3613" s="70">
        <v>179.47</v>
      </c>
      <c r="M3613" s="132"/>
      <c r="N3613" s="79">
        <v>173.88</v>
      </c>
      <c r="O3613" s="79">
        <v>5.59</v>
      </c>
      <c r="P3613" s="79">
        <v>179.47</v>
      </c>
      <c r="Q3613" s="136"/>
      <c r="R3613" s="79">
        <v>173.88</v>
      </c>
      <c r="S3613" s="79">
        <v>5.58</v>
      </c>
      <c r="T3613" s="79">
        <v>179.46</v>
      </c>
      <c r="U3613" s="79">
        <v>0</v>
      </c>
      <c r="V3613" s="189">
        <v>179.46</v>
      </c>
      <c r="X3613" s="79">
        <v>173.88</v>
      </c>
      <c r="Y3613" s="79">
        <v>5.58</v>
      </c>
      <c r="Z3613" s="79">
        <v>179.46</v>
      </c>
      <c r="AA3613" s="255">
        <v>9.9999999999909051E-3</v>
      </c>
      <c r="AC3613" s="254"/>
    </row>
    <row r="3614" spans="1:31" ht="12">
      <c r="A3614" s="67" t="s">
        <v>17533</v>
      </c>
      <c r="B3614" s="65" t="s">
        <v>17534</v>
      </c>
      <c r="C3614" s="71" t="s">
        <v>103</v>
      </c>
      <c r="D3614" s="78">
        <v>1</v>
      </c>
      <c r="E3614" s="79">
        <v>2262.4699999999998</v>
      </c>
      <c r="F3614" s="70">
        <v>2262.4699999999998</v>
      </c>
      <c r="G3614" s="320"/>
      <c r="H3614" s="79">
        <v>1972.1799999999998</v>
      </c>
      <c r="I3614" s="79">
        <v>290.28999999999996</v>
      </c>
      <c r="J3614" s="79">
        <v>2262.4699999999998</v>
      </c>
      <c r="K3614" s="79">
        <v>0</v>
      </c>
      <c r="L3614" s="70">
        <v>2262.4699999999998</v>
      </c>
      <c r="M3614" s="132"/>
      <c r="N3614" s="79">
        <v>1972.1799999999998</v>
      </c>
      <c r="O3614" s="79">
        <v>290.28999999999996</v>
      </c>
      <c r="P3614" s="79">
        <v>2262.4699999999998</v>
      </c>
      <c r="Q3614" s="136"/>
      <c r="R3614" s="79">
        <v>1972.18</v>
      </c>
      <c r="S3614" s="79">
        <v>290.31</v>
      </c>
      <c r="T3614" s="79">
        <v>2262.4900000000002</v>
      </c>
      <c r="U3614" s="79">
        <v>0</v>
      </c>
      <c r="V3614" s="189">
        <v>2262.4900000000002</v>
      </c>
      <c r="X3614" s="79">
        <v>1972.18</v>
      </c>
      <c r="Y3614" s="79">
        <v>290.31</v>
      </c>
      <c r="Z3614" s="79">
        <v>2262.4899999999998</v>
      </c>
      <c r="AA3614" s="255">
        <v>-1.999999999998181E-2</v>
      </c>
      <c r="AC3614" s="254"/>
    </row>
    <row r="3615" spans="1:31" ht="12">
      <c r="A3615" s="67" t="s">
        <v>17535</v>
      </c>
      <c r="B3615" s="65" t="s">
        <v>17536</v>
      </c>
      <c r="C3615" s="71" t="s">
        <v>103</v>
      </c>
      <c r="D3615" s="78">
        <v>1</v>
      </c>
      <c r="E3615" s="79">
        <v>2837.2999999999997</v>
      </c>
      <c r="F3615" s="70">
        <v>2837.3</v>
      </c>
      <c r="G3615" s="320"/>
      <c r="H3615" s="79">
        <v>2547.0099999999998</v>
      </c>
      <c r="I3615" s="79">
        <v>290.28999999999996</v>
      </c>
      <c r="J3615" s="79">
        <v>2837.2999999999997</v>
      </c>
      <c r="K3615" s="79">
        <v>0</v>
      </c>
      <c r="L3615" s="70">
        <v>2837.2999999999997</v>
      </c>
      <c r="M3615" s="132"/>
      <c r="N3615" s="79">
        <v>2547.0099999999998</v>
      </c>
      <c r="O3615" s="79">
        <v>290.28999999999996</v>
      </c>
      <c r="P3615" s="79">
        <v>2837.2999999999997</v>
      </c>
      <c r="Q3615" s="136"/>
      <c r="R3615" s="79">
        <v>2547.0100000000002</v>
      </c>
      <c r="S3615" s="79">
        <v>290.31</v>
      </c>
      <c r="T3615" s="79">
        <v>2837.32</v>
      </c>
      <c r="U3615" s="79">
        <v>0</v>
      </c>
      <c r="V3615" s="189">
        <v>2837.32</v>
      </c>
      <c r="X3615" s="79">
        <v>2547.0100000000002</v>
      </c>
      <c r="Y3615" s="79">
        <v>290.31</v>
      </c>
      <c r="Z3615" s="79">
        <v>2837.32</v>
      </c>
      <c r="AA3615" s="255">
        <v>-1.999999999998181E-2</v>
      </c>
      <c r="AC3615" s="254"/>
    </row>
    <row r="3616" spans="1:31" ht="12">
      <c r="A3616" s="67" t="s">
        <v>17537</v>
      </c>
      <c r="B3616" s="65" t="s">
        <v>17538</v>
      </c>
      <c r="C3616" s="71" t="s">
        <v>103</v>
      </c>
      <c r="D3616" s="78">
        <v>1</v>
      </c>
      <c r="E3616" s="79">
        <v>3833.33</v>
      </c>
      <c r="F3616" s="70">
        <v>3833.33</v>
      </c>
      <c r="G3616" s="320"/>
      <c r="H3616" s="79">
        <v>2924.45</v>
      </c>
      <c r="I3616" s="79">
        <v>908.88</v>
      </c>
      <c r="J3616" s="79">
        <v>3833.33</v>
      </c>
      <c r="K3616" s="79">
        <v>0</v>
      </c>
      <c r="L3616" s="70">
        <v>3833.33</v>
      </c>
      <c r="M3616" s="132"/>
      <c r="N3616" s="79">
        <v>2924.45</v>
      </c>
      <c r="O3616" s="79">
        <v>908.88</v>
      </c>
      <c r="P3616" s="79">
        <v>3833.33</v>
      </c>
      <c r="Q3616" s="136"/>
      <c r="R3616" s="79">
        <v>2924.45</v>
      </c>
      <c r="S3616" s="79">
        <v>908.96</v>
      </c>
      <c r="T3616" s="79">
        <v>3833.41</v>
      </c>
      <c r="U3616" s="79">
        <v>0</v>
      </c>
      <c r="V3616" s="189">
        <v>3833.41</v>
      </c>
      <c r="X3616" s="79">
        <v>2924.45</v>
      </c>
      <c r="Y3616" s="79">
        <v>908.96</v>
      </c>
      <c r="Z3616" s="79">
        <v>3833.41</v>
      </c>
      <c r="AA3616" s="255">
        <v>-7.999999999992724E-2</v>
      </c>
      <c r="AC3616" s="254"/>
    </row>
    <row r="3617" spans="1:31" ht="12">
      <c r="A3617" s="489" t="s">
        <v>17539</v>
      </c>
      <c r="B3617" s="490" t="s">
        <v>17540</v>
      </c>
      <c r="C3617" s="491"/>
      <c r="D3617" s="492"/>
      <c r="E3617" s="79"/>
      <c r="F3617" s="63"/>
      <c r="G3617" s="320"/>
      <c r="H3617" s="79"/>
      <c r="I3617" s="79"/>
      <c r="J3617" s="79"/>
      <c r="K3617" s="79"/>
      <c r="L3617" s="70"/>
      <c r="M3617" s="132"/>
      <c r="N3617" s="79"/>
      <c r="O3617" s="79"/>
      <c r="P3617" s="79"/>
      <c r="Q3617" s="136"/>
      <c r="R3617" s="79"/>
      <c r="S3617" s="79"/>
      <c r="T3617" s="79"/>
      <c r="U3617" s="79"/>
      <c r="V3617" s="189"/>
      <c r="X3617" s="79"/>
      <c r="Y3617" s="79"/>
      <c r="Z3617" s="79"/>
      <c r="AA3617" s="255"/>
      <c r="AC3617" s="254"/>
    </row>
    <row r="3618" spans="1:31" ht="12">
      <c r="A3618" s="67" t="s">
        <v>17541</v>
      </c>
      <c r="B3618" s="65" t="s">
        <v>17542</v>
      </c>
      <c r="C3618" s="71" t="s">
        <v>103</v>
      </c>
      <c r="D3618" s="78">
        <v>1</v>
      </c>
      <c r="E3618" s="79">
        <v>46.959999999999994</v>
      </c>
      <c r="F3618" s="70">
        <v>46.96</v>
      </c>
      <c r="G3618" s="320"/>
      <c r="H3618" s="79">
        <v>27.31</v>
      </c>
      <c r="I3618" s="79">
        <v>19.649999999999999</v>
      </c>
      <c r="J3618" s="79">
        <v>46.959999999999994</v>
      </c>
      <c r="K3618" s="79">
        <v>0</v>
      </c>
      <c r="L3618" s="70">
        <v>46.959999999999994</v>
      </c>
      <c r="M3618" s="132"/>
      <c r="N3618" s="79">
        <v>27.31</v>
      </c>
      <c r="O3618" s="79">
        <v>19.649999999999999</v>
      </c>
      <c r="P3618" s="79">
        <v>46.959999999999994</v>
      </c>
      <c r="Q3618" s="136"/>
      <c r="R3618" s="79">
        <v>27.31</v>
      </c>
      <c r="S3618" s="79">
        <v>19.64</v>
      </c>
      <c r="T3618" s="79">
        <v>46.95</v>
      </c>
      <c r="U3618" s="79">
        <v>0</v>
      </c>
      <c r="V3618" s="189">
        <v>46.95</v>
      </c>
      <c r="X3618" s="79">
        <v>27.31</v>
      </c>
      <c r="Y3618" s="79">
        <v>19.64</v>
      </c>
      <c r="Z3618" s="79">
        <v>46.95</v>
      </c>
      <c r="AA3618" s="255">
        <v>9.9999999999980105E-3</v>
      </c>
      <c r="AC3618" s="254"/>
    </row>
    <row r="3619" spans="1:31" ht="12">
      <c r="A3619" s="67" t="s">
        <v>17543</v>
      </c>
      <c r="B3619" s="65" t="s">
        <v>17544</v>
      </c>
      <c r="C3619" s="71" t="s">
        <v>103</v>
      </c>
      <c r="D3619" s="78">
        <v>1</v>
      </c>
      <c r="E3619" s="79">
        <v>918.25</v>
      </c>
      <c r="F3619" s="70">
        <v>918.25</v>
      </c>
      <c r="G3619" s="320"/>
      <c r="H3619" s="79">
        <v>890.31</v>
      </c>
      <c r="I3619" s="79">
        <v>27.939999999999998</v>
      </c>
      <c r="J3619" s="79">
        <v>918.25</v>
      </c>
      <c r="K3619" s="79">
        <v>0</v>
      </c>
      <c r="L3619" s="70">
        <v>918.25</v>
      </c>
      <c r="M3619" s="132"/>
      <c r="N3619" s="79">
        <v>890.31</v>
      </c>
      <c r="O3619" s="79">
        <v>27.939999999999998</v>
      </c>
      <c r="P3619" s="79">
        <v>918.25</v>
      </c>
      <c r="Q3619" s="136"/>
      <c r="R3619" s="79">
        <v>890.31</v>
      </c>
      <c r="S3619" s="79">
        <v>27.92</v>
      </c>
      <c r="T3619" s="79">
        <v>918.2299999999999</v>
      </c>
      <c r="U3619" s="79">
        <v>0</v>
      </c>
      <c r="V3619" s="189">
        <v>918.2299999999999</v>
      </c>
      <c r="X3619" s="79">
        <v>890.31</v>
      </c>
      <c r="Y3619" s="79">
        <v>27.92</v>
      </c>
      <c r="Z3619" s="79">
        <v>918.23</v>
      </c>
      <c r="AA3619" s="255">
        <v>1.999999999998181E-2</v>
      </c>
      <c r="AC3619" s="254"/>
    </row>
    <row r="3620" spans="1:31" ht="12">
      <c r="A3620" s="67" t="s">
        <v>17545</v>
      </c>
      <c r="B3620" s="65" t="s">
        <v>17546</v>
      </c>
      <c r="C3620" s="71" t="s">
        <v>103</v>
      </c>
      <c r="D3620" s="78">
        <v>1</v>
      </c>
      <c r="E3620" s="79">
        <v>49.03</v>
      </c>
      <c r="F3620" s="70">
        <v>49.03</v>
      </c>
      <c r="G3620" s="320"/>
      <c r="H3620" s="79">
        <v>29.38</v>
      </c>
      <c r="I3620" s="79">
        <v>19.649999999999999</v>
      </c>
      <c r="J3620" s="79">
        <v>49.03</v>
      </c>
      <c r="K3620" s="79">
        <v>0</v>
      </c>
      <c r="L3620" s="70">
        <v>49.03</v>
      </c>
      <c r="M3620" s="132"/>
      <c r="N3620" s="79">
        <v>29.38</v>
      </c>
      <c r="O3620" s="79">
        <v>19.649999999999999</v>
      </c>
      <c r="P3620" s="79">
        <v>49.03</v>
      </c>
      <c r="Q3620" s="136"/>
      <c r="R3620" s="79">
        <v>29.38</v>
      </c>
      <c r="S3620" s="79">
        <v>19.64</v>
      </c>
      <c r="T3620" s="79">
        <v>49.019999999999996</v>
      </c>
      <c r="U3620" s="79">
        <v>0</v>
      </c>
      <c r="V3620" s="189">
        <v>49.019999999999996</v>
      </c>
      <c r="X3620" s="79">
        <v>29.38</v>
      </c>
      <c r="Y3620" s="79">
        <v>19.64</v>
      </c>
      <c r="Z3620" s="79">
        <v>49.02</v>
      </c>
      <c r="AA3620" s="255">
        <v>9.9999999999980105E-3</v>
      </c>
      <c r="AC3620" s="254"/>
    </row>
    <row r="3621" spans="1:31" ht="24">
      <c r="A3621" s="67" t="s">
        <v>17547</v>
      </c>
      <c r="B3621" s="65" t="s">
        <v>17548</v>
      </c>
      <c r="C3621" s="71" t="s">
        <v>103</v>
      </c>
      <c r="D3621" s="78">
        <v>1</v>
      </c>
      <c r="E3621" s="79">
        <v>8057.95</v>
      </c>
      <c r="F3621" s="70">
        <v>8057.95</v>
      </c>
      <c r="G3621" s="320"/>
      <c r="H3621" s="79">
        <v>7890.47</v>
      </c>
      <c r="I3621" s="79">
        <v>167.48</v>
      </c>
      <c r="J3621" s="79">
        <v>8057.95</v>
      </c>
      <c r="K3621" s="79">
        <v>0</v>
      </c>
      <c r="L3621" s="70">
        <v>8057.95</v>
      </c>
      <c r="M3621" s="132"/>
      <c r="N3621" s="79">
        <v>7890.47</v>
      </c>
      <c r="O3621" s="79">
        <v>167.48</v>
      </c>
      <c r="P3621" s="79">
        <v>8057.95</v>
      </c>
      <c r="Q3621" s="136"/>
      <c r="R3621" s="79">
        <v>7890.47</v>
      </c>
      <c r="S3621" s="79">
        <v>167.49</v>
      </c>
      <c r="T3621" s="79">
        <v>8057.96</v>
      </c>
      <c r="U3621" s="79">
        <v>0</v>
      </c>
      <c r="V3621" s="189">
        <v>8057.96</v>
      </c>
      <c r="X3621" s="79">
        <v>7890.47</v>
      </c>
      <c r="Y3621" s="79">
        <v>167.49</v>
      </c>
      <c r="Z3621" s="79">
        <v>8057.96</v>
      </c>
      <c r="AA3621" s="255">
        <v>-1.0000000000218279E-2</v>
      </c>
      <c r="AC3621" s="254"/>
    </row>
    <row r="3622" spans="1:31" ht="23.5" customHeight="1">
      <c r="A3622" s="489" t="s">
        <v>17549</v>
      </c>
      <c r="B3622" s="490" t="s">
        <v>17550</v>
      </c>
      <c r="C3622" s="491"/>
      <c r="D3622" s="492"/>
      <c r="E3622" s="79"/>
      <c r="F3622" s="63"/>
      <c r="G3622" s="320"/>
      <c r="H3622" s="79"/>
      <c r="I3622" s="79"/>
      <c r="J3622" s="79"/>
      <c r="K3622" s="79"/>
      <c r="L3622" s="70"/>
      <c r="M3622" s="132"/>
      <c r="N3622" s="79"/>
      <c r="O3622" s="79"/>
      <c r="P3622" s="79"/>
      <c r="Q3622" s="136"/>
      <c r="R3622" s="79"/>
      <c r="S3622" s="79"/>
      <c r="T3622" s="79"/>
      <c r="U3622" s="79"/>
      <c r="V3622" s="189"/>
      <c r="X3622" s="79"/>
      <c r="Y3622" s="79"/>
      <c r="Z3622" s="79"/>
      <c r="AA3622" s="255"/>
      <c r="AC3622" s="254"/>
    </row>
    <row r="3623" spans="1:31" ht="12">
      <c r="A3623" s="67" t="s">
        <v>17551</v>
      </c>
      <c r="B3623" s="65" t="s">
        <v>17552</v>
      </c>
      <c r="C3623" s="499" t="s">
        <v>103</v>
      </c>
      <c r="D3623" s="78">
        <v>1</v>
      </c>
      <c r="E3623" s="79">
        <v>288.01</v>
      </c>
      <c r="F3623" s="70">
        <v>288.01</v>
      </c>
      <c r="G3623" s="320"/>
      <c r="H3623" s="79">
        <v>243.35</v>
      </c>
      <c r="I3623" s="79">
        <v>44.66</v>
      </c>
      <c r="J3623" s="79">
        <v>288.01</v>
      </c>
      <c r="K3623" s="79">
        <v>0</v>
      </c>
      <c r="L3623" s="70">
        <v>288.01</v>
      </c>
      <c r="M3623" s="132"/>
      <c r="N3623" s="79">
        <v>243.35</v>
      </c>
      <c r="O3623" s="79">
        <v>44.66</v>
      </c>
      <c r="P3623" s="79">
        <v>288.01</v>
      </c>
      <c r="Q3623" s="136"/>
      <c r="R3623" s="79">
        <v>243.35</v>
      </c>
      <c r="S3623" s="79">
        <v>44.67</v>
      </c>
      <c r="T3623" s="79">
        <v>288.02</v>
      </c>
      <c r="U3623" s="79">
        <v>0</v>
      </c>
      <c r="V3623" s="189">
        <v>288.02</v>
      </c>
      <c r="X3623" s="79">
        <v>243.35</v>
      </c>
      <c r="Y3623" s="79">
        <v>44.67</v>
      </c>
      <c r="Z3623" s="79">
        <v>288.02</v>
      </c>
      <c r="AA3623" s="255">
        <v>-9.9999999999909051E-3</v>
      </c>
      <c r="AC3623" s="254"/>
    </row>
    <row r="3624" spans="1:31" ht="12">
      <c r="A3624" s="67" t="s">
        <v>17553</v>
      </c>
      <c r="B3624" s="65" t="s">
        <v>17554</v>
      </c>
      <c r="C3624" s="71" t="s">
        <v>103</v>
      </c>
      <c r="D3624" s="78">
        <v>1</v>
      </c>
      <c r="E3624" s="79">
        <v>23319.46</v>
      </c>
      <c r="F3624" s="70">
        <v>23319.46</v>
      </c>
      <c r="G3624" s="320"/>
      <c r="H3624" s="79">
        <v>23301.68</v>
      </c>
      <c r="I3624" s="79">
        <v>17.78</v>
      </c>
      <c r="J3624" s="79">
        <v>23319.46</v>
      </c>
      <c r="K3624" s="79">
        <v>0</v>
      </c>
      <c r="L3624" s="70">
        <v>23319.46</v>
      </c>
      <c r="M3624" s="132"/>
      <c r="N3624" s="79">
        <v>23301.68</v>
      </c>
      <c r="O3624" s="79">
        <v>17.78</v>
      </c>
      <c r="P3624" s="79">
        <v>23319.46</v>
      </c>
      <c r="Q3624" s="136"/>
      <c r="R3624" s="79">
        <v>23301.68</v>
      </c>
      <c r="S3624" s="79">
        <v>17.79</v>
      </c>
      <c r="T3624" s="79">
        <v>23319.47</v>
      </c>
      <c r="U3624" s="79">
        <v>0</v>
      </c>
      <c r="V3624" s="189">
        <v>23319.47</v>
      </c>
      <c r="X3624" s="79">
        <v>23301.68</v>
      </c>
      <c r="Y3624" s="79">
        <v>17.79</v>
      </c>
      <c r="Z3624" s="79">
        <v>23319.47</v>
      </c>
      <c r="AA3624" s="255">
        <v>-1.0000000002037268E-2</v>
      </c>
      <c r="AC3624" s="254"/>
    </row>
    <row r="3625" spans="1:31" ht="12">
      <c r="A3625" s="67" t="s">
        <v>17555</v>
      </c>
      <c r="B3625" s="65" t="s">
        <v>17556</v>
      </c>
      <c r="C3625" s="71" t="s">
        <v>103</v>
      </c>
      <c r="D3625" s="78">
        <v>1</v>
      </c>
      <c r="E3625" s="79">
        <v>101.39999999999999</v>
      </c>
      <c r="F3625" s="70">
        <v>101.4</v>
      </c>
      <c r="G3625" s="320"/>
      <c r="H3625" s="79">
        <v>73.459999999999994</v>
      </c>
      <c r="I3625" s="79">
        <v>27.939999999999998</v>
      </c>
      <c r="J3625" s="79">
        <v>101.39999999999999</v>
      </c>
      <c r="K3625" s="79">
        <v>0</v>
      </c>
      <c r="L3625" s="70">
        <v>101.39999999999999</v>
      </c>
      <c r="M3625" s="132"/>
      <c r="N3625" s="79">
        <v>73.459999999999994</v>
      </c>
      <c r="O3625" s="79">
        <v>27.939999999999998</v>
      </c>
      <c r="P3625" s="79">
        <v>101.39999999999999</v>
      </c>
      <c r="Q3625" s="136"/>
      <c r="R3625" s="79">
        <v>73.459999999999994</v>
      </c>
      <c r="S3625" s="79">
        <v>27.92</v>
      </c>
      <c r="T3625" s="79">
        <v>101.38</v>
      </c>
      <c r="U3625" s="79">
        <v>0</v>
      </c>
      <c r="V3625" s="189">
        <v>101.38</v>
      </c>
      <c r="X3625" s="79">
        <v>73.459999999999994</v>
      </c>
      <c r="Y3625" s="79">
        <v>27.92</v>
      </c>
      <c r="Z3625" s="79">
        <v>101.38</v>
      </c>
      <c r="AA3625" s="255">
        <v>2.0000000000010232E-2</v>
      </c>
      <c r="AC3625" s="254"/>
    </row>
    <row r="3626" spans="1:31" ht="24">
      <c r="A3626" s="67" t="s">
        <v>17557</v>
      </c>
      <c r="B3626" s="65" t="s">
        <v>17558</v>
      </c>
      <c r="C3626" s="71" t="s">
        <v>103</v>
      </c>
      <c r="D3626" s="78">
        <v>1</v>
      </c>
      <c r="E3626" s="79">
        <v>554.79999999999995</v>
      </c>
      <c r="F3626" s="70">
        <v>554.79999999999995</v>
      </c>
      <c r="G3626" s="320"/>
      <c r="H3626" s="79">
        <v>538.04999999999995</v>
      </c>
      <c r="I3626" s="79">
        <v>16.75</v>
      </c>
      <c r="J3626" s="79">
        <v>554.79999999999995</v>
      </c>
      <c r="K3626" s="79">
        <v>0</v>
      </c>
      <c r="L3626" s="70">
        <v>554.79999999999995</v>
      </c>
      <c r="M3626" s="132"/>
      <c r="N3626" s="79">
        <v>538.04999999999995</v>
      </c>
      <c r="O3626" s="79">
        <v>16.75</v>
      </c>
      <c r="P3626" s="79">
        <v>554.79999999999995</v>
      </c>
      <c r="Q3626" s="136"/>
      <c r="R3626" s="79">
        <v>538.04999999999995</v>
      </c>
      <c r="S3626" s="79">
        <v>16.75</v>
      </c>
      <c r="T3626" s="79">
        <v>554.79999999999995</v>
      </c>
      <c r="U3626" s="79">
        <v>0</v>
      </c>
      <c r="V3626" s="189">
        <v>554.79999999999995</v>
      </c>
      <c r="X3626" s="79">
        <v>538.04999999999995</v>
      </c>
      <c r="Y3626" s="79">
        <v>16.75</v>
      </c>
      <c r="Z3626" s="79">
        <v>554.79999999999995</v>
      </c>
      <c r="AA3626" s="255">
        <v>0</v>
      </c>
      <c r="AC3626" s="254"/>
    </row>
    <row r="3627" spans="1:31" ht="12">
      <c r="A3627" s="67" t="s">
        <v>17559</v>
      </c>
      <c r="B3627" s="65" t="s">
        <v>17560</v>
      </c>
      <c r="C3627" s="71" t="s">
        <v>103</v>
      </c>
      <c r="D3627" s="78">
        <v>1</v>
      </c>
      <c r="E3627" s="79">
        <v>96.53</v>
      </c>
      <c r="F3627" s="70">
        <v>96.53</v>
      </c>
      <c r="G3627" s="320"/>
      <c r="H3627" s="79">
        <v>79.78</v>
      </c>
      <c r="I3627" s="79">
        <v>16.75</v>
      </c>
      <c r="J3627" s="79">
        <v>96.53</v>
      </c>
      <c r="K3627" s="79">
        <v>0</v>
      </c>
      <c r="L3627" s="70">
        <v>96.53</v>
      </c>
      <c r="M3627" s="132"/>
      <c r="N3627" s="79">
        <v>79.78</v>
      </c>
      <c r="O3627" s="79">
        <v>16.75</v>
      </c>
      <c r="P3627" s="79">
        <v>96.53</v>
      </c>
      <c r="Q3627" s="136"/>
      <c r="R3627" s="79">
        <v>79.78</v>
      </c>
      <c r="S3627" s="79">
        <v>16.75</v>
      </c>
      <c r="T3627" s="79">
        <v>96.53</v>
      </c>
      <c r="U3627" s="79">
        <v>0</v>
      </c>
      <c r="V3627" s="189">
        <v>96.53</v>
      </c>
      <c r="X3627" s="79">
        <v>79.78</v>
      </c>
      <c r="Y3627" s="79">
        <v>16.75</v>
      </c>
      <c r="Z3627" s="79">
        <v>96.53</v>
      </c>
      <c r="AA3627" s="255">
        <v>0</v>
      </c>
      <c r="AC3627" s="254"/>
      <c r="AD3627" s="69"/>
      <c r="AE3627" s="69"/>
    </row>
    <row r="3628" spans="1:31" ht="12">
      <c r="A3628" s="67" t="s">
        <v>17561</v>
      </c>
      <c r="B3628" s="65" t="s">
        <v>17562</v>
      </c>
      <c r="C3628" s="71" t="s">
        <v>103</v>
      </c>
      <c r="D3628" s="78">
        <v>1</v>
      </c>
      <c r="E3628" s="79">
        <v>207.4</v>
      </c>
      <c r="F3628" s="70">
        <v>207.4</v>
      </c>
      <c r="G3628" s="320"/>
      <c r="H3628" s="79">
        <v>190.65</v>
      </c>
      <c r="I3628" s="79">
        <v>16.75</v>
      </c>
      <c r="J3628" s="79">
        <v>207.4</v>
      </c>
      <c r="K3628" s="79">
        <v>0</v>
      </c>
      <c r="L3628" s="70">
        <v>207.4</v>
      </c>
      <c r="M3628" s="132"/>
      <c r="N3628" s="79">
        <v>190.65</v>
      </c>
      <c r="O3628" s="79">
        <v>16.75</v>
      </c>
      <c r="P3628" s="79">
        <v>207.4</v>
      </c>
      <c r="Q3628" s="136"/>
      <c r="R3628" s="79">
        <v>190.65</v>
      </c>
      <c r="S3628" s="79">
        <v>16.75</v>
      </c>
      <c r="T3628" s="79">
        <v>207.4</v>
      </c>
      <c r="U3628" s="79">
        <v>0</v>
      </c>
      <c r="V3628" s="189">
        <v>207.4</v>
      </c>
      <c r="X3628" s="79">
        <v>190.65</v>
      </c>
      <c r="Y3628" s="79">
        <v>16.75</v>
      </c>
      <c r="Z3628" s="79">
        <v>207.4</v>
      </c>
      <c r="AA3628" s="255">
        <v>0</v>
      </c>
      <c r="AC3628" s="254"/>
    </row>
    <row r="3629" spans="1:31" ht="12">
      <c r="A3629" s="67" t="s">
        <v>17563</v>
      </c>
      <c r="B3629" s="65" t="s">
        <v>17564</v>
      </c>
      <c r="C3629" s="71" t="s">
        <v>103</v>
      </c>
      <c r="D3629" s="78">
        <v>1</v>
      </c>
      <c r="E3629" s="79">
        <v>292.92</v>
      </c>
      <c r="F3629" s="70">
        <v>292.92</v>
      </c>
      <c r="G3629" s="320"/>
      <c r="H3629" s="79">
        <v>276.17</v>
      </c>
      <c r="I3629" s="79">
        <v>16.75</v>
      </c>
      <c r="J3629" s="79">
        <v>292.92</v>
      </c>
      <c r="K3629" s="79">
        <v>0</v>
      </c>
      <c r="L3629" s="70">
        <v>292.92</v>
      </c>
      <c r="M3629" s="132"/>
      <c r="N3629" s="79">
        <v>276.17</v>
      </c>
      <c r="O3629" s="79">
        <v>16.75</v>
      </c>
      <c r="P3629" s="79">
        <v>292.92</v>
      </c>
      <c r="Q3629" s="136"/>
      <c r="R3629" s="79">
        <v>276.17</v>
      </c>
      <c r="S3629" s="79">
        <v>16.75</v>
      </c>
      <c r="T3629" s="79">
        <v>292.92</v>
      </c>
      <c r="U3629" s="79">
        <v>0</v>
      </c>
      <c r="V3629" s="189">
        <v>292.92</v>
      </c>
      <c r="X3629" s="79">
        <v>276.17</v>
      </c>
      <c r="Y3629" s="79">
        <v>16.75</v>
      </c>
      <c r="Z3629" s="79">
        <v>292.92</v>
      </c>
      <c r="AA3629" s="255">
        <v>0</v>
      </c>
      <c r="AC3629" s="254"/>
    </row>
    <row r="3630" spans="1:31" ht="12">
      <c r="A3630" s="67" t="s">
        <v>17565</v>
      </c>
      <c r="B3630" s="65" t="s">
        <v>17566</v>
      </c>
      <c r="C3630" s="71" t="s">
        <v>103</v>
      </c>
      <c r="D3630" s="78">
        <v>1</v>
      </c>
      <c r="E3630" s="79">
        <v>342.08</v>
      </c>
      <c r="F3630" s="70">
        <v>342.08</v>
      </c>
      <c r="G3630" s="320"/>
      <c r="H3630" s="79">
        <v>325.33</v>
      </c>
      <c r="I3630" s="79">
        <v>16.75</v>
      </c>
      <c r="J3630" s="79">
        <v>342.08</v>
      </c>
      <c r="K3630" s="79">
        <v>0</v>
      </c>
      <c r="L3630" s="70">
        <v>342.08</v>
      </c>
      <c r="M3630" s="132"/>
      <c r="N3630" s="79">
        <v>325.33</v>
      </c>
      <c r="O3630" s="79">
        <v>16.75</v>
      </c>
      <c r="P3630" s="79">
        <v>342.08</v>
      </c>
      <c r="Q3630" s="136"/>
      <c r="R3630" s="79">
        <v>325.33</v>
      </c>
      <c r="S3630" s="79">
        <v>16.75</v>
      </c>
      <c r="T3630" s="79">
        <v>342.08</v>
      </c>
      <c r="U3630" s="79">
        <v>0</v>
      </c>
      <c r="V3630" s="189">
        <v>342.08</v>
      </c>
      <c r="X3630" s="79">
        <v>325.33</v>
      </c>
      <c r="Y3630" s="79">
        <v>16.75</v>
      </c>
      <c r="Z3630" s="79">
        <v>342.08</v>
      </c>
      <c r="AA3630" s="255">
        <v>0</v>
      </c>
      <c r="AC3630" s="254"/>
    </row>
    <row r="3631" spans="1:31" ht="12">
      <c r="A3631" s="67" t="s">
        <v>17567</v>
      </c>
      <c r="B3631" s="65" t="s">
        <v>17568</v>
      </c>
      <c r="C3631" s="71" t="s">
        <v>103</v>
      </c>
      <c r="D3631" s="78">
        <v>1</v>
      </c>
      <c r="E3631" s="79">
        <v>760.42</v>
      </c>
      <c r="F3631" s="70">
        <v>760.42</v>
      </c>
      <c r="G3631" s="320"/>
      <c r="H3631" s="79">
        <v>742.64</v>
      </c>
      <c r="I3631" s="79">
        <v>17.78</v>
      </c>
      <c r="J3631" s="79">
        <v>760.42</v>
      </c>
      <c r="K3631" s="79">
        <v>0</v>
      </c>
      <c r="L3631" s="70">
        <v>760.42</v>
      </c>
      <c r="M3631" s="132"/>
      <c r="N3631" s="79">
        <v>742.64</v>
      </c>
      <c r="O3631" s="79">
        <v>17.78</v>
      </c>
      <c r="P3631" s="79">
        <v>760.42</v>
      </c>
      <c r="Q3631" s="136"/>
      <c r="R3631" s="79">
        <v>742.64</v>
      </c>
      <c r="S3631" s="79">
        <v>17.79</v>
      </c>
      <c r="T3631" s="79">
        <v>760.43</v>
      </c>
      <c r="U3631" s="79">
        <v>0</v>
      </c>
      <c r="V3631" s="189">
        <v>760.43</v>
      </c>
      <c r="X3631" s="79">
        <v>742.64</v>
      </c>
      <c r="Y3631" s="79">
        <v>17.79</v>
      </c>
      <c r="Z3631" s="79">
        <v>760.43</v>
      </c>
      <c r="AA3631" s="255">
        <v>-9.9999999999909051E-3</v>
      </c>
      <c r="AC3631" s="254"/>
    </row>
    <row r="3632" spans="1:31" ht="24">
      <c r="A3632" s="67" t="s">
        <v>17569</v>
      </c>
      <c r="B3632" s="65" t="s">
        <v>17570</v>
      </c>
      <c r="C3632" s="71" t="s">
        <v>103</v>
      </c>
      <c r="D3632" s="78">
        <v>1</v>
      </c>
      <c r="E3632" s="79">
        <v>832.89</v>
      </c>
      <c r="F3632" s="70">
        <v>832.89</v>
      </c>
      <c r="G3632" s="320"/>
      <c r="H3632" s="79">
        <v>815.11</v>
      </c>
      <c r="I3632" s="79">
        <v>17.78</v>
      </c>
      <c r="J3632" s="79">
        <v>832.89</v>
      </c>
      <c r="K3632" s="79">
        <v>0</v>
      </c>
      <c r="L3632" s="70">
        <v>832.89</v>
      </c>
      <c r="M3632" s="132"/>
      <c r="N3632" s="79">
        <v>815.11</v>
      </c>
      <c r="O3632" s="79">
        <v>17.78</v>
      </c>
      <c r="P3632" s="79">
        <v>832.89</v>
      </c>
      <c r="Q3632" s="136"/>
      <c r="R3632" s="79">
        <v>815.11</v>
      </c>
      <c r="S3632" s="79">
        <v>17.79</v>
      </c>
      <c r="T3632" s="79">
        <v>832.9</v>
      </c>
      <c r="U3632" s="79">
        <v>0</v>
      </c>
      <c r="V3632" s="189">
        <v>832.9</v>
      </c>
      <c r="X3632" s="79">
        <v>815.11</v>
      </c>
      <c r="Y3632" s="79">
        <v>17.79</v>
      </c>
      <c r="Z3632" s="79">
        <v>832.9</v>
      </c>
      <c r="AA3632" s="255">
        <v>-9.9999999999909051E-3</v>
      </c>
      <c r="AC3632" s="254"/>
    </row>
    <row r="3633" spans="1:29" ht="12">
      <c r="A3633" s="67" t="s">
        <v>17571</v>
      </c>
      <c r="B3633" s="65" t="s">
        <v>17572</v>
      </c>
      <c r="C3633" s="71" t="s">
        <v>103</v>
      </c>
      <c r="D3633" s="78">
        <v>1</v>
      </c>
      <c r="E3633" s="79">
        <v>98.04</v>
      </c>
      <c r="F3633" s="70">
        <v>98.04</v>
      </c>
      <c r="G3633" s="320"/>
      <c r="H3633" s="79">
        <v>81.290000000000006</v>
      </c>
      <c r="I3633" s="79">
        <v>16.75</v>
      </c>
      <c r="J3633" s="79">
        <v>98.04</v>
      </c>
      <c r="K3633" s="79">
        <v>0</v>
      </c>
      <c r="L3633" s="70">
        <v>98.04</v>
      </c>
      <c r="M3633" s="132"/>
      <c r="N3633" s="79">
        <v>81.290000000000006</v>
      </c>
      <c r="O3633" s="79">
        <v>16.75</v>
      </c>
      <c r="P3633" s="79">
        <v>98.04</v>
      </c>
      <c r="Q3633" s="136"/>
      <c r="R3633" s="79">
        <v>81.290000000000006</v>
      </c>
      <c r="S3633" s="79">
        <v>16.75</v>
      </c>
      <c r="T3633" s="79">
        <v>98.04</v>
      </c>
      <c r="U3633" s="79">
        <v>0</v>
      </c>
      <c r="V3633" s="189">
        <v>98.04</v>
      </c>
      <c r="X3633" s="79">
        <v>81.290000000000006</v>
      </c>
      <c r="Y3633" s="79">
        <v>16.75</v>
      </c>
      <c r="Z3633" s="79">
        <v>98.04</v>
      </c>
      <c r="AA3633" s="255">
        <v>0</v>
      </c>
      <c r="AC3633" s="254"/>
    </row>
    <row r="3634" spans="1:29" ht="24">
      <c r="A3634" s="67" t="s">
        <v>17573</v>
      </c>
      <c r="B3634" s="65" t="s">
        <v>17574</v>
      </c>
      <c r="C3634" s="71" t="s">
        <v>103</v>
      </c>
      <c r="D3634" s="78">
        <v>1</v>
      </c>
      <c r="E3634" s="79">
        <v>217.75</v>
      </c>
      <c r="F3634" s="70">
        <v>217.75</v>
      </c>
      <c r="G3634" s="320"/>
      <c r="H3634" s="79">
        <v>199.97</v>
      </c>
      <c r="I3634" s="79">
        <v>17.78</v>
      </c>
      <c r="J3634" s="79">
        <v>217.75</v>
      </c>
      <c r="K3634" s="79">
        <v>0</v>
      </c>
      <c r="L3634" s="70">
        <v>217.75</v>
      </c>
      <c r="M3634" s="132"/>
      <c r="N3634" s="79">
        <v>199.97</v>
      </c>
      <c r="O3634" s="79">
        <v>17.78</v>
      </c>
      <c r="P3634" s="79">
        <v>217.75</v>
      </c>
      <c r="Q3634" s="136"/>
      <c r="R3634" s="79">
        <v>199.97</v>
      </c>
      <c r="S3634" s="79">
        <v>17.79</v>
      </c>
      <c r="T3634" s="79">
        <v>217.76</v>
      </c>
      <c r="U3634" s="79">
        <v>0</v>
      </c>
      <c r="V3634" s="189">
        <v>217.76</v>
      </c>
      <c r="X3634" s="79">
        <v>199.97</v>
      </c>
      <c r="Y3634" s="79">
        <v>17.79</v>
      </c>
      <c r="Z3634" s="79">
        <v>217.76</v>
      </c>
      <c r="AA3634" s="255">
        <v>-9.9999999999909051E-3</v>
      </c>
      <c r="AC3634" s="254"/>
    </row>
    <row r="3635" spans="1:29" ht="12">
      <c r="A3635" s="67" t="s">
        <v>17575</v>
      </c>
      <c r="B3635" s="65" t="s">
        <v>17576</v>
      </c>
      <c r="C3635" s="71" t="s">
        <v>103</v>
      </c>
      <c r="D3635" s="78">
        <v>1</v>
      </c>
      <c r="E3635" s="79">
        <v>141.85999999999999</v>
      </c>
      <c r="F3635" s="70">
        <v>141.86000000000001</v>
      </c>
      <c r="G3635" s="320"/>
      <c r="H3635" s="79">
        <v>80.44</v>
      </c>
      <c r="I3635" s="79">
        <v>61.42</v>
      </c>
      <c r="J3635" s="79">
        <v>141.86000000000001</v>
      </c>
      <c r="K3635" s="79">
        <v>0</v>
      </c>
      <c r="L3635" s="70">
        <v>141.86000000000001</v>
      </c>
      <c r="M3635" s="132"/>
      <c r="N3635" s="79">
        <v>80.44</v>
      </c>
      <c r="O3635" s="79">
        <v>61.42</v>
      </c>
      <c r="P3635" s="79">
        <v>141.86000000000001</v>
      </c>
      <c r="Q3635" s="136"/>
      <c r="R3635" s="79">
        <v>80.44</v>
      </c>
      <c r="S3635" s="79">
        <v>61.41</v>
      </c>
      <c r="T3635" s="79">
        <v>141.85</v>
      </c>
      <c r="U3635" s="79">
        <v>0</v>
      </c>
      <c r="V3635" s="189">
        <v>141.85</v>
      </c>
      <c r="X3635" s="79">
        <v>80.44</v>
      </c>
      <c r="Y3635" s="79">
        <v>61.41</v>
      </c>
      <c r="Z3635" s="79">
        <v>141.85</v>
      </c>
      <c r="AA3635" s="255">
        <v>1.0000000000019327E-2</v>
      </c>
      <c r="AC3635" s="254"/>
    </row>
    <row r="3636" spans="1:29" ht="12">
      <c r="A3636" s="67" t="s">
        <v>17577</v>
      </c>
      <c r="B3636" s="65" t="s">
        <v>17578</v>
      </c>
      <c r="C3636" s="71" t="s">
        <v>103</v>
      </c>
      <c r="D3636" s="78">
        <v>1</v>
      </c>
      <c r="E3636" s="79">
        <v>244.08999999999997</v>
      </c>
      <c r="F3636" s="70">
        <v>244.09</v>
      </c>
      <c r="G3636" s="320"/>
      <c r="H3636" s="79">
        <v>188.26</v>
      </c>
      <c r="I3636" s="79">
        <v>55.83</v>
      </c>
      <c r="J3636" s="79">
        <v>244.08999999999997</v>
      </c>
      <c r="K3636" s="79">
        <v>0</v>
      </c>
      <c r="L3636" s="70">
        <v>244.08999999999997</v>
      </c>
      <c r="M3636" s="132"/>
      <c r="N3636" s="79">
        <v>188.26</v>
      </c>
      <c r="O3636" s="79">
        <v>55.83</v>
      </c>
      <c r="P3636" s="79">
        <v>244.08999999999997</v>
      </c>
      <c r="Q3636" s="136"/>
      <c r="R3636" s="79">
        <v>188.26</v>
      </c>
      <c r="S3636" s="79">
        <v>55.83</v>
      </c>
      <c r="T3636" s="79">
        <v>244.08999999999997</v>
      </c>
      <c r="U3636" s="79">
        <v>0</v>
      </c>
      <c r="V3636" s="189">
        <v>244.08999999999997</v>
      </c>
      <c r="X3636" s="79">
        <v>188.26</v>
      </c>
      <c r="Y3636" s="79">
        <v>55.83</v>
      </c>
      <c r="Z3636" s="79">
        <v>244.09</v>
      </c>
      <c r="AA3636" s="255">
        <v>0</v>
      </c>
      <c r="AC3636" s="254"/>
    </row>
    <row r="3637" spans="1:29" ht="12">
      <c r="A3637" s="67" t="s">
        <v>17579</v>
      </c>
      <c r="B3637" s="65" t="s">
        <v>4616</v>
      </c>
      <c r="C3637" s="71" t="s">
        <v>103</v>
      </c>
      <c r="D3637" s="78">
        <v>1</v>
      </c>
      <c r="E3637" s="79">
        <v>1332.14</v>
      </c>
      <c r="F3637" s="70">
        <v>1332.14</v>
      </c>
      <c r="G3637" s="320"/>
      <c r="H3637" s="79">
        <v>1315.39</v>
      </c>
      <c r="I3637" s="79">
        <v>16.75</v>
      </c>
      <c r="J3637" s="79">
        <v>1332.14</v>
      </c>
      <c r="K3637" s="79">
        <v>0</v>
      </c>
      <c r="L3637" s="70">
        <v>1332.14</v>
      </c>
      <c r="M3637" s="132"/>
      <c r="N3637" s="79">
        <v>1315.39</v>
      </c>
      <c r="O3637" s="79">
        <v>16.75</v>
      </c>
      <c r="P3637" s="79">
        <v>1332.14</v>
      </c>
      <c r="Q3637" s="136"/>
      <c r="R3637" s="79">
        <v>1315.39</v>
      </c>
      <c r="S3637" s="79">
        <v>16.75</v>
      </c>
      <c r="T3637" s="79">
        <v>1332.14</v>
      </c>
      <c r="U3637" s="79">
        <v>0</v>
      </c>
      <c r="V3637" s="189">
        <v>1332.14</v>
      </c>
      <c r="X3637" s="79">
        <v>1315.39</v>
      </c>
      <c r="Y3637" s="79">
        <v>16.75</v>
      </c>
      <c r="Z3637" s="79">
        <v>1332.14</v>
      </c>
      <c r="AA3637" s="255">
        <v>0</v>
      </c>
      <c r="AC3637" s="254"/>
    </row>
    <row r="3638" spans="1:29" ht="12">
      <c r="A3638" s="67" t="s">
        <v>17580</v>
      </c>
      <c r="B3638" s="65" t="s">
        <v>17581</v>
      </c>
      <c r="C3638" s="71" t="s">
        <v>103</v>
      </c>
      <c r="D3638" s="78">
        <v>1</v>
      </c>
      <c r="E3638" s="79">
        <v>197.12</v>
      </c>
      <c r="F3638" s="70">
        <v>197.12</v>
      </c>
      <c r="G3638" s="320"/>
      <c r="H3638" s="79">
        <v>180.37</v>
      </c>
      <c r="I3638" s="79">
        <v>16.75</v>
      </c>
      <c r="J3638" s="79">
        <v>197.12</v>
      </c>
      <c r="K3638" s="79">
        <v>0</v>
      </c>
      <c r="L3638" s="70">
        <v>197.12</v>
      </c>
      <c r="M3638" s="132"/>
      <c r="N3638" s="79">
        <v>180.37</v>
      </c>
      <c r="O3638" s="79">
        <v>16.75</v>
      </c>
      <c r="P3638" s="79">
        <v>197.12</v>
      </c>
      <c r="Q3638" s="136"/>
      <c r="R3638" s="79">
        <v>180.37</v>
      </c>
      <c r="S3638" s="79">
        <v>16.75</v>
      </c>
      <c r="T3638" s="79">
        <v>197.12</v>
      </c>
      <c r="U3638" s="79">
        <v>0</v>
      </c>
      <c r="V3638" s="189">
        <v>197.12</v>
      </c>
      <c r="X3638" s="79">
        <v>180.37</v>
      </c>
      <c r="Y3638" s="79">
        <v>16.75</v>
      </c>
      <c r="Z3638" s="79">
        <v>197.12</v>
      </c>
      <c r="AA3638" s="255">
        <v>0</v>
      </c>
      <c r="AC3638" s="254"/>
    </row>
    <row r="3639" spans="1:29" ht="12">
      <c r="A3639" s="67" t="s">
        <v>17582</v>
      </c>
      <c r="B3639" s="65" t="s">
        <v>17583</v>
      </c>
      <c r="C3639" s="71" t="s">
        <v>103</v>
      </c>
      <c r="D3639" s="78">
        <v>1</v>
      </c>
      <c r="E3639" s="79">
        <v>195.6</v>
      </c>
      <c r="F3639" s="70">
        <v>195.6</v>
      </c>
      <c r="G3639" s="320"/>
      <c r="H3639" s="79">
        <v>167.66</v>
      </c>
      <c r="I3639" s="79">
        <v>27.939999999999998</v>
      </c>
      <c r="J3639" s="79">
        <v>195.6</v>
      </c>
      <c r="K3639" s="79">
        <v>0</v>
      </c>
      <c r="L3639" s="70">
        <v>195.6</v>
      </c>
      <c r="M3639" s="132"/>
      <c r="N3639" s="79">
        <v>167.66</v>
      </c>
      <c r="O3639" s="79">
        <v>27.939999999999998</v>
      </c>
      <c r="P3639" s="79">
        <v>195.6</v>
      </c>
      <c r="Q3639" s="136"/>
      <c r="R3639" s="79">
        <v>167.66</v>
      </c>
      <c r="S3639" s="79">
        <v>27.92</v>
      </c>
      <c r="T3639" s="79">
        <v>195.57999999999998</v>
      </c>
      <c r="U3639" s="79">
        <v>0</v>
      </c>
      <c r="V3639" s="189">
        <v>195.57999999999998</v>
      </c>
      <c r="X3639" s="79">
        <v>167.66</v>
      </c>
      <c r="Y3639" s="79">
        <v>27.92</v>
      </c>
      <c r="Z3639" s="79">
        <v>195.58</v>
      </c>
      <c r="AA3639" s="255">
        <v>1.999999999998181E-2</v>
      </c>
      <c r="AC3639" s="254"/>
    </row>
    <row r="3640" spans="1:29" ht="12">
      <c r="A3640" s="67" t="s">
        <v>17584</v>
      </c>
      <c r="B3640" s="65" t="s">
        <v>17585</v>
      </c>
      <c r="C3640" s="71" t="s">
        <v>103</v>
      </c>
      <c r="D3640" s="78">
        <v>1</v>
      </c>
      <c r="E3640" s="79">
        <v>396.56</v>
      </c>
      <c r="F3640" s="70">
        <v>396.56</v>
      </c>
      <c r="G3640" s="320"/>
      <c r="H3640" s="79">
        <v>379.81</v>
      </c>
      <c r="I3640" s="79">
        <v>16.75</v>
      </c>
      <c r="J3640" s="79">
        <v>396.56</v>
      </c>
      <c r="K3640" s="79">
        <v>0</v>
      </c>
      <c r="L3640" s="70">
        <v>396.56</v>
      </c>
      <c r="M3640" s="132"/>
      <c r="N3640" s="79">
        <v>379.81</v>
      </c>
      <c r="O3640" s="79">
        <v>16.75</v>
      </c>
      <c r="P3640" s="79">
        <v>396.56</v>
      </c>
      <c r="Q3640" s="136"/>
      <c r="R3640" s="79">
        <v>379.81</v>
      </c>
      <c r="S3640" s="79">
        <v>16.75</v>
      </c>
      <c r="T3640" s="79">
        <v>396.56</v>
      </c>
      <c r="U3640" s="79">
        <v>0</v>
      </c>
      <c r="V3640" s="189">
        <v>396.56</v>
      </c>
      <c r="X3640" s="79">
        <v>379.81</v>
      </c>
      <c r="Y3640" s="79">
        <v>16.75</v>
      </c>
      <c r="Z3640" s="79">
        <v>396.56</v>
      </c>
      <c r="AA3640" s="255">
        <v>0</v>
      </c>
      <c r="AC3640" s="254"/>
    </row>
    <row r="3641" spans="1:29" ht="12">
      <c r="A3641" s="67" t="s">
        <v>17586</v>
      </c>
      <c r="B3641" s="65" t="s">
        <v>17587</v>
      </c>
      <c r="C3641" s="71" t="s">
        <v>103</v>
      </c>
      <c r="D3641" s="78">
        <v>1</v>
      </c>
      <c r="E3641" s="79">
        <v>289.66000000000003</v>
      </c>
      <c r="F3641" s="70">
        <v>289.66000000000003</v>
      </c>
      <c r="G3641" s="320"/>
      <c r="H3641" s="79">
        <v>275.69</v>
      </c>
      <c r="I3641" s="79">
        <v>13.969999999999999</v>
      </c>
      <c r="J3641" s="79">
        <v>289.65999999999997</v>
      </c>
      <c r="K3641" s="79">
        <v>0</v>
      </c>
      <c r="L3641" s="70">
        <v>289.65999999999997</v>
      </c>
      <c r="M3641" s="132"/>
      <c r="N3641" s="79">
        <v>275.69</v>
      </c>
      <c r="O3641" s="79">
        <v>13.969999999999999</v>
      </c>
      <c r="P3641" s="79">
        <v>289.65999999999997</v>
      </c>
      <c r="Q3641" s="136"/>
      <c r="R3641" s="79">
        <v>275.69</v>
      </c>
      <c r="S3641" s="79">
        <v>13.96</v>
      </c>
      <c r="T3641" s="79">
        <v>289.64999999999998</v>
      </c>
      <c r="U3641" s="79">
        <v>0</v>
      </c>
      <c r="V3641" s="189">
        <v>289.64999999999998</v>
      </c>
      <c r="X3641" s="79">
        <v>275.69</v>
      </c>
      <c r="Y3641" s="79">
        <v>13.96</v>
      </c>
      <c r="Z3641" s="79">
        <v>289.64999999999998</v>
      </c>
      <c r="AA3641" s="255">
        <v>1.0000000000047748E-2</v>
      </c>
      <c r="AC3641" s="254"/>
    </row>
    <row r="3642" spans="1:29" ht="12">
      <c r="A3642" s="67" t="s">
        <v>17588</v>
      </c>
      <c r="B3642" s="65" t="s">
        <v>17589</v>
      </c>
      <c r="C3642" s="71" t="s">
        <v>103</v>
      </c>
      <c r="D3642" s="78">
        <v>1</v>
      </c>
      <c r="E3642" s="79">
        <v>286.08999999999997</v>
      </c>
      <c r="F3642" s="70">
        <v>286.08999999999997</v>
      </c>
      <c r="G3642" s="320"/>
      <c r="H3642" s="79">
        <v>272.12</v>
      </c>
      <c r="I3642" s="79">
        <v>13.969999999999999</v>
      </c>
      <c r="J3642" s="79">
        <v>286.09000000000003</v>
      </c>
      <c r="K3642" s="79">
        <v>0</v>
      </c>
      <c r="L3642" s="70">
        <v>286.09000000000003</v>
      </c>
      <c r="M3642" s="132"/>
      <c r="N3642" s="79">
        <v>272.12</v>
      </c>
      <c r="O3642" s="79">
        <v>13.969999999999999</v>
      </c>
      <c r="P3642" s="79">
        <v>286.09000000000003</v>
      </c>
      <c r="Q3642" s="136"/>
      <c r="R3642" s="79">
        <v>272.12</v>
      </c>
      <c r="S3642" s="79">
        <v>13.96</v>
      </c>
      <c r="T3642" s="79">
        <v>286.08</v>
      </c>
      <c r="U3642" s="79">
        <v>0</v>
      </c>
      <c r="V3642" s="189">
        <v>286.08</v>
      </c>
      <c r="X3642" s="79">
        <v>272.12</v>
      </c>
      <c r="Y3642" s="79">
        <v>13.96</v>
      </c>
      <c r="Z3642" s="79">
        <v>286.08</v>
      </c>
      <c r="AA3642" s="255">
        <v>9.9999999999909051E-3</v>
      </c>
      <c r="AC3642" s="254"/>
    </row>
    <row r="3643" spans="1:29" ht="12">
      <c r="A3643" s="489" t="s">
        <v>17590</v>
      </c>
      <c r="B3643" s="490" t="s">
        <v>17591</v>
      </c>
      <c r="C3643" s="491"/>
      <c r="D3643" s="492"/>
      <c r="E3643" s="79"/>
      <c r="F3643" s="63"/>
      <c r="G3643" s="320"/>
      <c r="H3643" s="79"/>
      <c r="I3643" s="79"/>
      <c r="J3643" s="79"/>
      <c r="K3643" s="79"/>
      <c r="L3643" s="70"/>
      <c r="M3643" s="132"/>
      <c r="N3643" s="79"/>
      <c r="O3643" s="79"/>
      <c r="P3643" s="79"/>
      <c r="Q3643" s="136"/>
      <c r="R3643" s="79"/>
      <c r="S3643" s="79"/>
      <c r="T3643" s="79"/>
      <c r="U3643" s="79"/>
      <c r="V3643" s="189"/>
      <c r="X3643" s="79"/>
      <c r="Y3643" s="79"/>
      <c r="Z3643" s="79"/>
      <c r="AA3643" s="255"/>
      <c r="AC3643" s="254"/>
    </row>
    <row r="3644" spans="1:29" ht="12">
      <c r="A3644" s="67" t="s">
        <v>17592</v>
      </c>
      <c r="B3644" s="65" t="s">
        <v>17593</v>
      </c>
      <c r="C3644" s="71" t="s">
        <v>103</v>
      </c>
      <c r="D3644" s="78">
        <v>1</v>
      </c>
      <c r="E3644" s="79">
        <v>1578.97</v>
      </c>
      <c r="F3644" s="70">
        <v>1578.97</v>
      </c>
      <c r="G3644" s="320"/>
      <c r="H3644" s="79">
        <v>1555.78</v>
      </c>
      <c r="I3644" s="79">
        <v>23.189999999999998</v>
      </c>
      <c r="J3644" s="79">
        <v>1578.97</v>
      </c>
      <c r="K3644" s="79">
        <v>0</v>
      </c>
      <c r="L3644" s="70">
        <v>1578.97</v>
      </c>
      <c r="M3644" s="132"/>
      <c r="N3644" s="79">
        <v>1555.78</v>
      </c>
      <c r="O3644" s="79">
        <v>23.189999999999998</v>
      </c>
      <c r="P3644" s="79">
        <v>1578.97</v>
      </c>
      <c r="Q3644" s="136"/>
      <c r="R3644" s="79">
        <v>1555.78</v>
      </c>
      <c r="S3644" s="79">
        <v>23.18</v>
      </c>
      <c r="T3644" s="79">
        <v>1578.96</v>
      </c>
      <c r="U3644" s="79">
        <v>0</v>
      </c>
      <c r="V3644" s="189">
        <v>1578.96</v>
      </c>
      <c r="X3644" s="79">
        <v>1555.78</v>
      </c>
      <c r="Y3644" s="79">
        <v>23.18</v>
      </c>
      <c r="Z3644" s="79">
        <v>1578.96</v>
      </c>
      <c r="AA3644" s="255">
        <v>9.9999999999909051E-3</v>
      </c>
      <c r="AC3644" s="254"/>
    </row>
    <row r="3645" spans="1:29" ht="12">
      <c r="A3645" s="67" t="s">
        <v>17594</v>
      </c>
      <c r="B3645" s="65" t="s">
        <v>17595</v>
      </c>
      <c r="C3645" s="71" t="s">
        <v>103</v>
      </c>
      <c r="D3645" s="78">
        <v>1</v>
      </c>
      <c r="E3645" s="79">
        <v>5779.6399999999994</v>
      </c>
      <c r="F3645" s="70">
        <v>5779.64</v>
      </c>
      <c r="G3645" s="320"/>
      <c r="H3645" s="79">
        <v>5756.45</v>
      </c>
      <c r="I3645" s="79">
        <v>23.189999999999998</v>
      </c>
      <c r="J3645" s="79">
        <v>5779.6399999999994</v>
      </c>
      <c r="K3645" s="79">
        <v>0</v>
      </c>
      <c r="L3645" s="70">
        <v>5779.6399999999994</v>
      </c>
      <c r="M3645" s="132"/>
      <c r="N3645" s="79">
        <v>5756.45</v>
      </c>
      <c r="O3645" s="79">
        <v>23.189999999999998</v>
      </c>
      <c r="P3645" s="79">
        <v>5779.6399999999994</v>
      </c>
      <c r="Q3645" s="136"/>
      <c r="R3645" s="79">
        <v>5756.45</v>
      </c>
      <c r="S3645" s="79">
        <v>23.18</v>
      </c>
      <c r="T3645" s="79">
        <v>5779.63</v>
      </c>
      <c r="U3645" s="79">
        <v>0</v>
      </c>
      <c r="V3645" s="189">
        <v>5779.63</v>
      </c>
      <c r="X3645" s="79">
        <v>5756.45</v>
      </c>
      <c r="Y3645" s="79">
        <v>23.18</v>
      </c>
      <c r="Z3645" s="79">
        <v>5779.63</v>
      </c>
      <c r="AA3645" s="255">
        <v>1.0000000000218279E-2</v>
      </c>
      <c r="AC3645" s="254"/>
    </row>
    <row r="3646" spans="1:29" ht="12">
      <c r="A3646" s="67" t="s">
        <v>17596</v>
      </c>
      <c r="B3646" s="65" t="s">
        <v>17597</v>
      </c>
      <c r="C3646" s="71" t="s">
        <v>103</v>
      </c>
      <c r="D3646" s="78">
        <v>1</v>
      </c>
      <c r="E3646" s="79">
        <v>184.74</v>
      </c>
      <c r="F3646" s="70">
        <v>184.74</v>
      </c>
      <c r="G3646" s="320"/>
      <c r="H3646" s="79">
        <v>161.55000000000001</v>
      </c>
      <c r="I3646" s="79">
        <v>23.189999999999998</v>
      </c>
      <c r="J3646" s="79">
        <v>184.74</v>
      </c>
      <c r="K3646" s="79">
        <v>0</v>
      </c>
      <c r="L3646" s="70">
        <v>184.74</v>
      </c>
      <c r="M3646" s="132"/>
      <c r="N3646" s="79">
        <v>161.55000000000001</v>
      </c>
      <c r="O3646" s="79">
        <v>23.189999999999998</v>
      </c>
      <c r="P3646" s="79">
        <v>184.74</v>
      </c>
      <c r="Q3646" s="136"/>
      <c r="R3646" s="79">
        <v>161.55000000000001</v>
      </c>
      <c r="S3646" s="79">
        <v>23.18</v>
      </c>
      <c r="T3646" s="79">
        <v>184.73000000000002</v>
      </c>
      <c r="U3646" s="79">
        <v>0</v>
      </c>
      <c r="V3646" s="189">
        <v>184.73000000000002</v>
      </c>
      <c r="X3646" s="79">
        <v>161.55000000000001</v>
      </c>
      <c r="Y3646" s="79">
        <v>23.18</v>
      </c>
      <c r="Z3646" s="79">
        <v>184.73</v>
      </c>
      <c r="AA3646" s="255">
        <v>1.0000000000019327E-2</v>
      </c>
      <c r="AC3646" s="254"/>
    </row>
    <row r="3647" spans="1:29" ht="12">
      <c r="A3647" s="67" t="s">
        <v>17598</v>
      </c>
      <c r="B3647" s="65" t="s">
        <v>17599</v>
      </c>
      <c r="C3647" s="71" t="s">
        <v>103</v>
      </c>
      <c r="D3647" s="78">
        <v>1</v>
      </c>
      <c r="E3647" s="79">
        <v>245.91</v>
      </c>
      <c r="F3647" s="70">
        <v>245.91</v>
      </c>
      <c r="G3647" s="320"/>
      <c r="H3647" s="79">
        <v>222.72</v>
      </c>
      <c r="I3647" s="79">
        <v>23.189999999999998</v>
      </c>
      <c r="J3647" s="79">
        <v>245.91</v>
      </c>
      <c r="K3647" s="79">
        <v>0</v>
      </c>
      <c r="L3647" s="70">
        <v>245.91</v>
      </c>
      <c r="M3647" s="132"/>
      <c r="N3647" s="79">
        <v>222.72</v>
      </c>
      <c r="O3647" s="79">
        <v>23.189999999999998</v>
      </c>
      <c r="P3647" s="79">
        <v>245.91</v>
      </c>
      <c r="Q3647" s="136"/>
      <c r="R3647" s="79">
        <v>222.72</v>
      </c>
      <c r="S3647" s="79">
        <v>23.18</v>
      </c>
      <c r="T3647" s="79">
        <v>245.9</v>
      </c>
      <c r="U3647" s="79">
        <v>0</v>
      </c>
      <c r="V3647" s="189">
        <v>245.9</v>
      </c>
      <c r="X3647" s="79">
        <v>222.72</v>
      </c>
      <c r="Y3647" s="79">
        <v>23.18</v>
      </c>
      <c r="Z3647" s="79">
        <v>245.9</v>
      </c>
      <c r="AA3647" s="255">
        <v>9.9999999999909051E-3</v>
      </c>
      <c r="AC3647" s="254"/>
    </row>
    <row r="3648" spans="1:29" ht="12">
      <c r="A3648" s="67" t="s">
        <v>17600</v>
      </c>
      <c r="B3648" s="65" t="s">
        <v>17601</v>
      </c>
      <c r="C3648" s="71" t="s">
        <v>103</v>
      </c>
      <c r="D3648" s="78">
        <v>1</v>
      </c>
      <c r="E3648" s="79">
        <v>282.07</v>
      </c>
      <c r="F3648" s="70">
        <v>282.07</v>
      </c>
      <c r="G3648" s="320"/>
      <c r="H3648" s="79">
        <v>258.88</v>
      </c>
      <c r="I3648" s="79">
        <v>23.189999999999998</v>
      </c>
      <c r="J3648" s="79">
        <v>282.07</v>
      </c>
      <c r="K3648" s="79">
        <v>0</v>
      </c>
      <c r="L3648" s="70">
        <v>282.07</v>
      </c>
      <c r="M3648" s="132"/>
      <c r="N3648" s="79">
        <v>258.88</v>
      </c>
      <c r="O3648" s="79">
        <v>23.189999999999998</v>
      </c>
      <c r="P3648" s="79">
        <v>282.07</v>
      </c>
      <c r="Q3648" s="136"/>
      <c r="R3648" s="79">
        <v>258.88</v>
      </c>
      <c r="S3648" s="79">
        <v>23.18</v>
      </c>
      <c r="T3648" s="79">
        <v>282.06</v>
      </c>
      <c r="U3648" s="79">
        <v>0</v>
      </c>
      <c r="V3648" s="189">
        <v>282.06</v>
      </c>
      <c r="X3648" s="79">
        <v>258.88</v>
      </c>
      <c r="Y3648" s="79">
        <v>23.18</v>
      </c>
      <c r="Z3648" s="79">
        <v>282.06</v>
      </c>
      <c r="AA3648" s="255">
        <v>9.9999999999909051E-3</v>
      </c>
      <c r="AC3648" s="254"/>
    </row>
    <row r="3649" spans="1:31" ht="12">
      <c r="A3649" s="67" t="s">
        <v>17602</v>
      </c>
      <c r="B3649" s="65" t="s">
        <v>17603</v>
      </c>
      <c r="C3649" s="71" t="s">
        <v>103</v>
      </c>
      <c r="D3649" s="78">
        <v>1</v>
      </c>
      <c r="E3649" s="79">
        <v>1670.55</v>
      </c>
      <c r="F3649" s="70">
        <v>1670.55</v>
      </c>
      <c r="G3649" s="320"/>
      <c r="H3649" s="79">
        <v>1670.55</v>
      </c>
      <c r="I3649" s="79">
        <v>0</v>
      </c>
      <c r="J3649" s="79">
        <v>1670.55</v>
      </c>
      <c r="K3649" s="79">
        <v>0</v>
      </c>
      <c r="L3649" s="70">
        <v>1670.55</v>
      </c>
      <c r="M3649" s="132"/>
      <c r="N3649" s="79">
        <v>1670.55</v>
      </c>
      <c r="O3649" s="79"/>
      <c r="P3649" s="79">
        <v>1670.55</v>
      </c>
      <c r="Q3649" s="136"/>
      <c r="R3649" s="79">
        <v>1670.55</v>
      </c>
      <c r="S3649" s="79"/>
      <c r="T3649" s="79">
        <v>1670.55</v>
      </c>
      <c r="U3649" s="79">
        <v>0</v>
      </c>
      <c r="V3649" s="189">
        <v>1670.55</v>
      </c>
      <c r="X3649" s="79">
        <v>1670.55</v>
      </c>
      <c r="Y3649" s="79"/>
      <c r="Z3649" s="79">
        <v>1670.55</v>
      </c>
      <c r="AA3649" s="255">
        <v>0</v>
      </c>
      <c r="AC3649" s="254"/>
    </row>
    <row r="3650" spans="1:31" ht="12">
      <c r="A3650" s="67" t="s">
        <v>17604</v>
      </c>
      <c r="B3650" s="65" t="s">
        <v>17605</v>
      </c>
      <c r="C3650" s="71" t="s">
        <v>103</v>
      </c>
      <c r="D3650" s="78">
        <v>1</v>
      </c>
      <c r="E3650" s="79">
        <v>204.5</v>
      </c>
      <c r="F3650" s="70">
        <v>204.5</v>
      </c>
      <c r="G3650" s="320"/>
      <c r="H3650" s="79">
        <v>181.31</v>
      </c>
      <c r="I3650" s="79">
        <v>23.189999999999998</v>
      </c>
      <c r="J3650" s="79">
        <v>204.5</v>
      </c>
      <c r="K3650" s="79">
        <v>0</v>
      </c>
      <c r="L3650" s="70">
        <v>204.5</v>
      </c>
      <c r="M3650" s="132"/>
      <c r="N3650" s="79">
        <v>181.31</v>
      </c>
      <c r="O3650" s="79">
        <v>23.189999999999998</v>
      </c>
      <c r="P3650" s="79">
        <v>204.5</v>
      </c>
      <c r="Q3650" s="136"/>
      <c r="R3650" s="79">
        <v>181.31</v>
      </c>
      <c r="S3650" s="79">
        <v>23.18</v>
      </c>
      <c r="T3650" s="79">
        <v>204.49</v>
      </c>
      <c r="U3650" s="79">
        <v>0</v>
      </c>
      <c r="V3650" s="189">
        <v>204.49</v>
      </c>
      <c r="X3650" s="79">
        <v>181.31</v>
      </c>
      <c r="Y3650" s="79">
        <v>23.18</v>
      </c>
      <c r="Z3650" s="79">
        <v>204.49</v>
      </c>
      <c r="AA3650" s="255">
        <v>9.9999999999909051E-3</v>
      </c>
      <c r="AC3650" s="254"/>
    </row>
    <row r="3651" spans="1:31" ht="12">
      <c r="A3651" s="67" t="s">
        <v>17606</v>
      </c>
      <c r="B3651" s="65" t="s">
        <v>17607</v>
      </c>
      <c r="C3651" s="71" t="s">
        <v>103</v>
      </c>
      <c r="D3651" s="78">
        <v>1</v>
      </c>
      <c r="E3651" s="79">
        <v>184.18</v>
      </c>
      <c r="F3651" s="70">
        <v>184.18</v>
      </c>
      <c r="G3651" s="320"/>
      <c r="H3651" s="79">
        <v>160.99</v>
      </c>
      <c r="I3651" s="79">
        <v>23.189999999999998</v>
      </c>
      <c r="J3651" s="79">
        <v>184.18</v>
      </c>
      <c r="K3651" s="79">
        <v>0</v>
      </c>
      <c r="L3651" s="70">
        <v>184.18</v>
      </c>
      <c r="M3651" s="132"/>
      <c r="N3651" s="79">
        <v>160.99</v>
      </c>
      <c r="O3651" s="79">
        <v>23.189999999999998</v>
      </c>
      <c r="P3651" s="79">
        <v>184.18</v>
      </c>
      <c r="Q3651" s="136"/>
      <c r="R3651" s="79">
        <v>160.99</v>
      </c>
      <c r="S3651" s="79">
        <v>23.18</v>
      </c>
      <c r="T3651" s="79">
        <v>184.17000000000002</v>
      </c>
      <c r="U3651" s="79">
        <v>0</v>
      </c>
      <c r="V3651" s="189">
        <v>184.17000000000002</v>
      </c>
      <c r="X3651" s="79">
        <v>160.99</v>
      </c>
      <c r="Y3651" s="79">
        <v>23.18</v>
      </c>
      <c r="Z3651" s="79">
        <v>184.17</v>
      </c>
      <c r="AA3651" s="255">
        <v>1.0000000000019327E-2</v>
      </c>
      <c r="AC3651" s="254"/>
      <c r="AD3651" s="69"/>
      <c r="AE3651" s="69"/>
    </row>
    <row r="3652" spans="1:31" ht="12">
      <c r="A3652" s="67" t="s">
        <v>17608</v>
      </c>
      <c r="B3652" s="65" t="s">
        <v>17609</v>
      </c>
      <c r="C3652" s="71" t="s">
        <v>103</v>
      </c>
      <c r="D3652" s="78">
        <v>1</v>
      </c>
      <c r="E3652" s="79">
        <v>248.43</v>
      </c>
      <c r="F3652" s="70">
        <v>248.43</v>
      </c>
      <c r="G3652" s="320"/>
      <c r="H3652" s="79">
        <v>225.24</v>
      </c>
      <c r="I3652" s="79">
        <v>23.189999999999998</v>
      </c>
      <c r="J3652" s="79">
        <v>248.43</v>
      </c>
      <c r="K3652" s="79">
        <v>0</v>
      </c>
      <c r="L3652" s="70">
        <v>248.43</v>
      </c>
      <c r="M3652" s="132"/>
      <c r="N3652" s="79">
        <v>225.24</v>
      </c>
      <c r="O3652" s="79">
        <v>23.189999999999998</v>
      </c>
      <c r="P3652" s="79">
        <v>248.43</v>
      </c>
      <c r="Q3652" s="136"/>
      <c r="R3652" s="79">
        <v>225.24</v>
      </c>
      <c r="S3652" s="79">
        <v>23.18</v>
      </c>
      <c r="T3652" s="79">
        <v>248.42000000000002</v>
      </c>
      <c r="U3652" s="79">
        <v>0</v>
      </c>
      <c r="V3652" s="189">
        <v>248.42000000000002</v>
      </c>
      <c r="X3652" s="79">
        <v>225.24</v>
      </c>
      <c r="Y3652" s="79">
        <v>23.18</v>
      </c>
      <c r="Z3652" s="79">
        <v>248.42</v>
      </c>
      <c r="AA3652" s="255">
        <v>1.0000000000019327E-2</v>
      </c>
      <c r="AC3652" s="254"/>
    </row>
    <row r="3653" spans="1:31" s="69" customFormat="1" ht="12">
      <c r="A3653" s="67" t="s">
        <v>17610</v>
      </c>
      <c r="B3653" s="65" t="s">
        <v>17611</v>
      </c>
      <c r="C3653" s="71" t="s">
        <v>103</v>
      </c>
      <c r="D3653" s="78">
        <v>1</v>
      </c>
      <c r="E3653" s="79">
        <v>650.83999999999992</v>
      </c>
      <c r="F3653" s="70">
        <v>650.84</v>
      </c>
      <c r="G3653" s="320"/>
      <c r="H3653" s="79">
        <v>627.65</v>
      </c>
      <c r="I3653" s="79">
        <v>23.189999999999998</v>
      </c>
      <c r="J3653" s="79">
        <v>650.83999999999992</v>
      </c>
      <c r="K3653" s="79">
        <v>0</v>
      </c>
      <c r="L3653" s="70">
        <v>650.83999999999992</v>
      </c>
      <c r="M3653" s="132"/>
      <c r="N3653" s="79">
        <v>627.65</v>
      </c>
      <c r="O3653" s="79">
        <v>23.189999999999998</v>
      </c>
      <c r="P3653" s="79">
        <v>650.83999999999992</v>
      </c>
      <c r="Q3653" s="136"/>
      <c r="R3653" s="79">
        <v>627.65</v>
      </c>
      <c r="S3653" s="79">
        <v>23.18</v>
      </c>
      <c r="T3653" s="79">
        <v>650.82999999999993</v>
      </c>
      <c r="U3653" s="79">
        <v>0</v>
      </c>
      <c r="V3653" s="189">
        <v>650.82999999999993</v>
      </c>
      <c r="W3653" s="61"/>
      <c r="X3653" s="79">
        <v>627.65</v>
      </c>
      <c r="Y3653" s="79">
        <v>23.18</v>
      </c>
      <c r="Z3653" s="79">
        <v>650.83000000000004</v>
      </c>
      <c r="AA3653" s="255">
        <v>9.9999999999909051E-3</v>
      </c>
      <c r="AB3653" s="61"/>
      <c r="AC3653" s="254"/>
      <c r="AD3653" s="236"/>
      <c r="AE3653" s="236"/>
    </row>
    <row r="3654" spans="1:31" ht="12">
      <c r="A3654" s="67" t="s">
        <v>17612</v>
      </c>
      <c r="B3654" s="65" t="s">
        <v>17613</v>
      </c>
      <c r="C3654" s="71" t="s">
        <v>103</v>
      </c>
      <c r="D3654" s="78">
        <v>1</v>
      </c>
      <c r="E3654" s="79">
        <v>228.12</v>
      </c>
      <c r="F3654" s="70">
        <v>228.12</v>
      </c>
      <c r="G3654" s="320"/>
      <c r="H3654" s="79">
        <v>225.84</v>
      </c>
      <c r="I3654" s="79">
        <v>2.2800000000000002</v>
      </c>
      <c r="J3654" s="79">
        <v>228.12</v>
      </c>
      <c r="K3654" s="79">
        <v>0</v>
      </c>
      <c r="L3654" s="70">
        <v>228.12</v>
      </c>
      <c r="M3654" s="132"/>
      <c r="N3654" s="79">
        <v>225.84</v>
      </c>
      <c r="O3654" s="79">
        <v>2.2800000000000002</v>
      </c>
      <c r="P3654" s="79">
        <v>228.12</v>
      </c>
      <c r="Q3654" s="136"/>
      <c r="R3654" s="79">
        <v>225.84</v>
      </c>
      <c r="S3654" s="79">
        <v>2.27</v>
      </c>
      <c r="T3654" s="79">
        <v>228.11</v>
      </c>
      <c r="U3654" s="79">
        <v>0</v>
      </c>
      <c r="V3654" s="189">
        <v>228.11</v>
      </c>
      <c r="X3654" s="79">
        <v>225.84</v>
      </c>
      <c r="Y3654" s="79">
        <v>2.27</v>
      </c>
      <c r="Z3654" s="79">
        <v>228.11</v>
      </c>
      <c r="AA3654" s="255">
        <v>9.9999999999909051E-3</v>
      </c>
      <c r="AC3654" s="254"/>
    </row>
    <row r="3655" spans="1:31" ht="12">
      <c r="A3655" s="67" t="s">
        <v>17614</v>
      </c>
      <c r="B3655" s="65" t="s">
        <v>17615</v>
      </c>
      <c r="C3655" s="71" t="s">
        <v>103</v>
      </c>
      <c r="D3655" s="78">
        <v>1</v>
      </c>
      <c r="E3655" s="79">
        <v>298.53999999999996</v>
      </c>
      <c r="F3655" s="70">
        <v>298.54000000000002</v>
      </c>
      <c r="G3655" s="320"/>
      <c r="H3655" s="79">
        <v>296.26</v>
      </c>
      <c r="I3655" s="79">
        <v>2.2800000000000002</v>
      </c>
      <c r="J3655" s="79">
        <v>298.53999999999996</v>
      </c>
      <c r="K3655" s="79">
        <v>0</v>
      </c>
      <c r="L3655" s="70">
        <v>298.53999999999996</v>
      </c>
      <c r="M3655" s="132"/>
      <c r="N3655" s="79">
        <v>296.26</v>
      </c>
      <c r="O3655" s="79">
        <v>2.2800000000000002</v>
      </c>
      <c r="P3655" s="79">
        <v>298.53999999999996</v>
      </c>
      <c r="Q3655" s="136"/>
      <c r="R3655" s="79">
        <v>296.26</v>
      </c>
      <c r="S3655" s="79">
        <v>2.27</v>
      </c>
      <c r="T3655" s="79">
        <v>298.52999999999997</v>
      </c>
      <c r="U3655" s="79">
        <v>0</v>
      </c>
      <c r="V3655" s="189">
        <v>298.52999999999997</v>
      </c>
      <c r="X3655" s="79">
        <v>296.26</v>
      </c>
      <c r="Y3655" s="79">
        <v>2.27</v>
      </c>
      <c r="Z3655" s="79">
        <v>298.52999999999997</v>
      </c>
      <c r="AA3655" s="255">
        <v>1.0000000000047748E-2</v>
      </c>
      <c r="AC3655" s="254"/>
    </row>
    <row r="3656" spans="1:31" ht="12">
      <c r="A3656" s="489" t="s">
        <v>17616</v>
      </c>
      <c r="B3656" s="490" t="s">
        <v>17617</v>
      </c>
      <c r="C3656" s="491"/>
      <c r="D3656" s="492"/>
      <c r="E3656" s="79"/>
      <c r="F3656" s="63"/>
      <c r="G3656" s="320"/>
      <c r="H3656" s="79"/>
      <c r="I3656" s="79"/>
      <c r="J3656" s="79"/>
      <c r="K3656" s="79"/>
      <c r="L3656" s="70"/>
      <c r="M3656" s="132"/>
      <c r="N3656" s="79"/>
      <c r="O3656" s="79"/>
      <c r="P3656" s="79"/>
      <c r="Q3656" s="136"/>
      <c r="R3656" s="79"/>
      <c r="S3656" s="79"/>
      <c r="T3656" s="79"/>
      <c r="U3656" s="79"/>
      <c r="V3656" s="189"/>
      <c r="X3656" s="79"/>
      <c r="Y3656" s="79"/>
      <c r="Z3656" s="79"/>
      <c r="AA3656" s="255"/>
      <c r="AC3656" s="254"/>
    </row>
    <row r="3657" spans="1:31" ht="12">
      <c r="A3657" s="67" t="s">
        <v>17618</v>
      </c>
      <c r="B3657" s="65" t="s">
        <v>3490</v>
      </c>
      <c r="C3657" s="71" t="s">
        <v>153</v>
      </c>
      <c r="D3657" s="78">
        <v>1</v>
      </c>
      <c r="E3657" s="79">
        <v>2.5499999999999998</v>
      </c>
      <c r="F3657" s="70">
        <v>2.5499999999999998</v>
      </c>
      <c r="G3657" s="320"/>
      <c r="H3657" s="79">
        <v>2.5499999999999998</v>
      </c>
      <c r="I3657" s="79">
        <v>0</v>
      </c>
      <c r="J3657" s="79">
        <v>2.5499999999999998</v>
      </c>
      <c r="K3657" s="79">
        <v>0</v>
      </c>
      <c r="L3657" s="70">
        <v>2.5499999999999998</v>
      </c>
      <c r="M3657" s="132"/>
      <c r="N3657" s="79">
        <v>2.5499999999999998</v>
      </c>
      <c r="O3657" s="79"/>
      <c r="P3657" s="79">
        <v>2.5499999999999998</v>
      </c>
      <c r="Q3657" s="136"/>
      <c r="R3657" s="79">
        <v>2.5499999999999998</v>
      </c>
      <c r="S3657" s="79"/>
      <c r="T3657" s="79">
        <v>2.5499999999999998</v>
      </c>
      <c r="U3657" s="79">
        <v>0</v>
      </c>
      <c r="V3657" s="189">
        <v>2.5499999999999998</v>
      </c>
      <c r="X3657" s="79">
        <v>2.5499999999999998</v>
      </c>
      <c r="Y3657" s="79"/>
      <c r="Z3657" s="79">
        <v>2.5499999999999998</v>
      </c>
      <c r="AA3657" s="255">
        <v>0</v>
      </c>
      <c r="AC3657" s="254"/>
    </row>
    <row r="3658" spans="1:31" ht="12">
      <c r="A3658" s="67" t="s">
        <v>17619</v>
      </c>
      <c r="B3658" s="65" t="s">
        <v>3488</v>
      </c>
      <c r="C3658" s="71" t="s">
        <v>207</v>
      </c>
      <c r="D3658" s="78">
        <v>1</v>
      </c>
      <c r="E3658" s="79">
        <v>13.78</v>
      </c>
      <c r="F3658" s="70">
        <v>13.78</v>
      </c>
      <c r="G3658" s="320"/>
      <c r="H3658" s="79">
        <v>13.78</v>
      </c>
      <c r="I3658" s="79">
        <v>0</v>
      </c>
      <c r="J3658" s="79">
        <v>13.78</v>
      </c>
      <c r="K3658" s="79">
        <v>0</v>
      </c>
      <c r="L3658" s="70">
        <v>13.78</v>
      </c>
      <c r="M3658" s="132"/>
      <c r="N3658" s="79">
        <v>13.78</v>
      </c>
      <c r="O3658" s="79"/>
      <c r="P3658" s="79">
        <v>13.78</v>
      </c>
      <c r="Q3658" s="136"/>
      <c r="R3658" s="79">
        <v>13.78</v>
      </c>
      <c r="S3658" s="79"/>
      <c r="T3658" s="79">
        <v>13.78</v>
      </c>
      <c r="U3658" s="79">
        <v>0</v>
      </c>
      <c r="V3658" s="189">
        <v>13.78</v>
      </c>
      <c r="X3658" s="79">
        <v>13.78</v>
      </c>
      <c r="Y3658" s="79"/>
      <c r="Z3658" s="79">
        <v>13.78</v>
      </c>
      <c r="AA3658" s="255">
        <v>0</v>
      </c>
      <c r="AC3658" s="254"/>
    </row>
    <row r="3659" spans="1:31" ht="12">
      <c r="A3659" s="67" t="s">
        <v>17620</v>
      </c>
      <c r="B3659" s="65" t="s">
        <v>3486</v>
      </c>
      <c r="C3659" s="71" t="s">
        <v>207</v>
      </c>
      <c r="D3659" s="78">
        <v>1</v>
      </c>
      <c r="E3659" s="79">
        <v>8.39</v>
      </c>
      <c r="F3659" s="70">
        <v>8.39</v>
      </c>
      <c r="G3659" s="320"/>
      <c r="H3659" s="79">
        <v>8.39</v>
      </c>
      <c r="I3659" s="79">
        <v>0</v>
      </c>
      <c r="J3659" s="79">
        <v>8.39</v>
      </c>
      <c r="K3659" s="79">
        <v>0</v>
      </c>
      <c r="L3659" s="70">
        <v>8.39</v>
      </c>
      <c r="M3659" s="132"/>
      <c r="N3659" s="79">
        <v>8.39</v>
      </c>
      <c r="O3659" s="79"/>
      <c r="P3659" s="79">
        <v>8.39</v>
      </c>
      <c r="Q3659" s="136"/>
      <c r="R3659" s="79">
        <v>8.39</v>
      </c>
      <c r="S3659" s="79"/>
      <c r="T3659" s="79">
        <v>8.39</v>
      </c>
      <c r="U3659" s="79">
        <v>0</v>
      </c>
      <c r="V3659" s="189">
        <v>8.39</v>
      </c>
      <c r="X3659" s="79">
        <v>8.39</v>
      </c>
      <c r="Y3659" s="79"/>
      <c r="Z3659" s="79">
        <v>8.39</v>
      </c>
      <c r="AA3659" s="255">
        <v>0</v>
      </c>
      <c r="AC3659" s="254"/>
      <c r="AD3659" s="69"/>
      <c r="AE3659" s="69"/>
    </row>
    <row r="3660" spans="1:31" ht="24">
      <c r="A3660" s="67" t="s">
        <v>17621</v>
      </c>
      <c r="B3660" s="65" t="s">
        <v>17622</v>
      </c>
      <c r="C3660" s="71" t="s">
        <v>103</v>
      </c>
      <c r="D3660" s="78">
        <v>1</v>
      </c>
      <c r="E3660" s="79">
        <v>36.18</v>
      </c>
      <c r="F3660" s="70">
        <v>36.18</v>
      </c>
      <c r="G3660" s="320"/>
      <c r="H3660" s="79">
        <v>36.18</v>
      </c>
      <c r="I3660" s="79">
        <v>0</v>
      </c>
      <c r="J3660" s="79">
        <v>36.18</v>
      </c>
      <c r="K3660" s="79">
        <v>0</v>
      </c>
      <c r="L3660" s="70">
        <v>36.18</v>
      </c>
      <c r="M3660" s="132"/>
      <c r="N3660" s="79">
        <v>36.18</v>
      </c>
      <c r="O3660" s="79"/>
      <c r="P3660" s="79">
        <v>36.18</v>
      </c>
      <c r="Q3660" s="136"/>
      <c r="R3660" s="79">
        <v>36.18</v>
      </c>
      <c r="S3660" s="79"/>
      <c r="T3660" s="79">
        <v>36.18</v>
      </c>
      <c r="U3660" s="79">
        <v>0</v>
      </c>
      <c r="V3660" s="189">
        <v>36.18</v>
      </c>
      <c r="X3660" s="79">
        <v>36.18</v>
      </c>
      <c r="Y3660" s="79"/>
      <c r="Z3660" s="79">
        <v>36.18</v>
      </c>
      <c r="AA3660" s="255">
        <v>0</v>
      </c>
      <c r="AC3660" s="254"/>
    </row>
    <row r="3661" spans="1:31" s="69" customFormat="1" ht="24">
      <c r="A3661" s="67" t="s">
        <v>17623</v>
      </c>
      <c r="B3661" s="65" t="s">
        <v>17624</v>
      </c>
      <c r="C3661" s="71" t="s">
        <v>103</v>
      </c>
      <c r="D3661" s="78">
        <v>1</v>
      </c>
      <c r="E3661" s="79">
        <v>29.58</v>
      </c>
      <c r="F3661" s="70">
        <v>29.58</v>
      </c>
      <c r="G3661" s="320"/>
      <c r="H3661" s="79">
        <v>29.58</v>
      </c>
      <c r="I3661" s="79">
        <v>0</v>
      </c>
      <c r="J3661" s="79">
        <v>29.58</v>
      </c>
      <c r="K3661" s="79">
        <v>0</v>
      </c>
      <c r="L3661" s="70">
        <v>29.58</v>
      </c>
      <c r="M3661" s="132"/>
      <c r="N3661" s="79">
        <v>29.58</v>
      </c>
      <c r="O3661" s="79"/>
      <c r="P3661" s="79">
        <v>29.58</v>
      </c>
      <c r="Q3661" s="136"/>
      <c r="R3661" s="79">
        <v>29.58</v>
      </c>
      <c r="S3661" s="79"/>
      <c r="T3661" s="79">
        <v>29.58</v>
      </c>
      <c r="U3661" s="79">
        <v>0</v>
      </c>
      <c r="V3661" s="189">
        <v>29.58</v>
      </c>
      <c r="W3661" s="61"/>
      <c r="X3661" s="79">
        <v>29.58</v>
      </c>
      <c r="Y3661" s="79"/>
      <c r="Z3661" s="79">
        <v>29.58</v>
      </c>
      <c r="AA3661" s="255">
        <v>0</v>
      </c>
      <c r="AB3661" s="61"/>
      <c r="AC3661" s="254"/>
      <c r="AD3661" s="236"/>
      <c r="AE3661" s="236"/>
    </row>
    <row r="3662" spans="1:31" ht="12">
      <c r="A3662" s="67" t="s">
        <v>17625</v>
      </c>
      <c r="B3662" s="65" t="s">
        <v>17626</v>
      </c>
      <c r="C3662" s="71" t="s">
        <v>103</v>
      </c>
      <c r="D3662" s="78">
        <v>1</v>
      </c>
      <c r="E3662" s="79">
        <v>19.709999999999997</v>
      </c>
      <c r="F3662" s="70">
        <v>19.71</v>
      </c>
      <c r="G3662" s="320"/>
      <c r="H3662" s="79">
        <v>0.06</v>
      </c>
      <c r="I3662" s="79">
        <v>19.649999999999999</v>
      </c>
      <c r="J3662" s="79">
        <v>19.709999999999997</v>
      </c>
      <c r="K3662" s="79">
        <v>0</v>
      </c>
      <c r="L3662" s="70">
        <v>19.709999999999997</v>
      </c>
      <c r="M3662" s="132"/>
      <c r="N3662" s="78">
        <v>0.06</v>
      </c>
      <c r="O3662" s="78">
        <v>19.649999999999999</v>
      </c>
      <c r="P3662" s="79">
        <v>19.709999999999997</v>
      </c>
      <c r="Q3662" s="136"/>
      <c r="R3662" s="79">
        <v>0.06</v>
      </c>
      <c r="S3662" s="79">
        <v>19.64</v>
      </c>
      <c r="T3662" s="79">
        <v>19.7</v>
      </c>
      <c r="U3662" s="79">
        <v>0</v>
      </c>
      <c r="V3662" s="189">
        <v>19.7</v>
      </c>
      <c r="X3662" s="78">
        <v>0.06</v>
      </c>
      <c r="Y3662" s="78">
        <v>19.64</v>
      </c>
      <c r="Z3662" s="79">
        <v>19.7</v>
      </c>
      <c r="AA3662" s="255">
        <v>1.0000000000001563E-2</v>
      </c>
      <c r="AC3662" s="254"/>
    </row>
    <row r="3663" spans="1:31" ht="12">
      <c r="A3663" s="489" t="s">
        <v>17627</v>
      </c>
      <c r="B3663" s="490" t="s">
        <v>17628</v>
      </c>
      <c r="C3663" s="491"/>
      <c r="D3663" s="492"/>
      <c r="E3663" s="79"/>
      <c r="F3663" s="63"/>
      <c r="G3663" s="320"/>
      <c r="H3663" s="79"/>
      <c r="I3663" s="79"/>
      <c r="J3663" s="79"/>
      <c r="K3663" s="79"/>
      <c r="L3663" s="70"/>
      <c r="M3663" s="132"/>
      <c r="N3663" s="79"/>
      <c r="O3663" s="79"/>
      <c r="P3663" s="79"/>
      <c r="Q3663" s="136"/>
      <c r="R3663" s="79"/>
      <c r="S3663" s="79"/>
      <c r="T3663" s="79"/>
      <c r="U3663" s="79"/>
      <c r="V3663" s="189"/>
      <c r="X3663" s="79"/>
      <c r="Y3663" s="79"/>
      <c r="Z3663" s="79"/>
      <c r="AA3663" s="255"/>
      <c r="AC3663" s="254"/>
    </row>
    <row r="3664" spans="1:31" ht="12">
      <c r="A3664" s="489" t="s">
        <v>17629</v>
      </c>
      <c r="B3664" s="490" t="s">
        <v>17630</v>
      </c>
      <c r="C3664" s="491"/>
      <c r="D3664" s="492"/>
      <c r="E3664" s="79"/>
      <c r="F3664" s="63"/>
      <c r="G3664" s="320"/>
      <c r="H3664" s="79"/>
      <c r="I3664" s="79"/>
      <c r="J3664" s="79"/>
      <c r="K3664" s="79"/>
      <c r="L3664" s="70"/>
      <c r="M3664" s="132"/>
      <c r="N3664" s="79"/>
      <c r="O3664" s="79"/>
      <c r="P3664" s="79"/>
      <c r="Q3664" s="136"/>
      <c r="R3664" s="79"/>
      <c r="S3664" s="79"/>
      <c r="T3664" s="79"/>
      <c r="U3664" s="79"/>
      <c r="V3664" s="189"/>
      <c r="X3664" s="79"/>
      <c r="Y3664" s="79"/>
      <c r="Z3664" s="79"/>
      <c r="AA3664" s="255"/>
      <c r="AC3664" s="254"/>
    </row>
    <row r="3665" spans="1:31" ht="12">
      <c r="A3665" s="67" t="s">
        <v>17631</v>
      </c>
      <c r="B3665" s="65" t="s">
        <v>17632</v>
      </c>
      <c r="C3665" s="71" t="s">
        <v>509</v>
      </c>
      <c r="D3665" s="78">
        <v>1</v>
      </c>
      <c r="E3665" s="79">
        <v>3.6400000000000006</v>
      </c>
      <c r="F3665" s="70">
        <v>3.64</v>
      </c>
      <c r="G3665" s="320"/>
      <c r="H3665" s="79">
        <v>3.46</v>
      </c>
      <c r="I3665" s="79">
        <v>0.18</v>
      </c>
      <c r="J3665" s="79">
        <v>3.64</v>
      </c>
      <c r="K3665" s="79">
        <v>0</v>
      </c>
      <c r="L3665" s="70">
        <v>3.64</v>
      </c>
      <c r="M3665" s="132"/>
      <c r="N3665" s="79">
        <v>3.46</v>
      </c>
      <c r="O3665" s="79">
        <v>0.18</v>
      </c>
      <c r="P3665" s="79">
        <v>3.64</v>
      </c>
      <c r="Q3665" s="136"/>
      <c r="R3665" s="79">
        <v>3.46</v>
      </c>
      <c r="S3665" s="79">
        <v>0.18</v>
      </c>
      <c r="T3665" s="79">
        <v>3.64</v>
      </c>
      <c r="U3665" s="79">
        <v>0</v>
      </c>
      <c r="V3665" s="189">
        <v>3.64</v>
      </c>
      <c r="X3665" s="79">
        <v>3.46</v>
      </c>
      <c r="Y3665" s="79">
        <v>0.18</v>
      </c>
      <c r="Z3665" s="79">
        <v>3.64</v>
      </c>
      <c r="AA3665" s="255">
        <v>0</v>
      </c>
      <c r="AC3665" s="254"/>
    </row>
    <row r="3666" spans="1:31" ht="24">
      <c r="A3666" s="67" t="s">
        <v>17633</v>
      </c>
      <c r="B3666" s="65" t="s">
        <v>17634</v>
      </c>
      <c r="C3666" s="71" t="s">
        <v>509</v>
      </c>
      <c r="D3666" s="78">
        <v>1</v>
      </c>
      <c r="E3666" s="79">
        <v>29.49</v>
      </c>
      <c r="F3666" s="70">
        <v>29.49</v>
      </c>
      <c r="G3666" s="320"/>
      <c r="H3666" s="79">
        <v>29.12</v>
      </c>
      <c r="I3666" s="79">
        <v>0.37</v>
      </c>
      <c r="J3666" s="79">
        <v>29.490000000000002</v>
      </c>
      <c r="K3666" s="79">
        <v>0</v>
      </c>
      <c r="L3666" s="70">
        <v>29.490000000000002</v>
      </c>
      <c r="M3666" s="132"/>
      <c r="N3666" s="79">
        <v>29.12</v>
      </c>
      <c r="O3666" s="79">
        <v>0.37</v>
      </c>
      <c r="P3666" s="79">
        <v>29.490000000000002</v>
      </c>
      <c r="Q3666" s="136"/>
      <c r="R3666" s="79">
        <v>29.12</v>
      </c>
      <c r="S3666" s="79">
        <v>0.36</v>
      </c>
      <c r="T3666" s="79">
        <v>29.48</v>
      </c>
      <c r="U3666" s="79">
        <v>0</v>
      </c>
      <c r="V3666" s="189">
        <v>29.48</v>
      </c>
      <c r="X3666" s="79">
        <v>29.12</v>
      </c>
      <c r="Y3666" s="79">
        <v>0.36</v>
      </c>
      <c r="Z3666" s="79">
        <v>29.48</v>
      </c>
      <c r="AA3666" s="255">
        <v>9.9999999999980105E-3</v>
      </c>
      <c r="AC3666" s="254"/>
    </row>
    <row r="3667" spans="1:31" ht="12">
      <c r="A3667" s="67" t="s">
        <v>17635</v>
      </c>
      <c r="B3667" s="65" t="s">
        <v>17636</v>
      </c>
      <c r="C3667" s="71" t="s">
        <v>121</v>
      </c>
      <c r="D3667" s="78">
        <v>1</v>
      </c>
      <c r="E3667" s="79">
        <v>21.92</v>
      </c>
      <c r="F3667" s="70">
        <v>21.92</v>
      </c>
      <c r="G3667" s="320"/>
      <c r="H3667" s="79">
        <v>21.19</v>
      </c>
      <c r="I3667" s="79">
        <v>0.73</v>
      </c>
      <c r="J3667" s="79">
        <v>21.92</v>
      </c>
      <c r="K3667" s="79">
        <v>0</v>
      </c>
      <c r="L3667" s="70">
        <v>21.92</v>
      </c>
      <c r="M3667" s="132"/>
      <c r="N3667" s="79">
        <v>21.19</v>
      </c>
      <c r="O3667" s="79">
        <v>0.73</v>
      </c>
      <c r="P3667" s="79">
        <v>21.92</v>
      </c>
      <c r="Q3667" s="136"/>
      <c r="R3667" s="79">
        <v>21.19</v>
      </c>
      <c r="S3667" s="79">
        <v>0.73</v>
      </c>
      <c r="T3667" s="79">
        <v>21.92</v>
      </c>
      <c r="U3667" s="79">
        <v>0</v>
      </c>
      <c r="V3667" s="189">
        <v>21.92</v>
      </c>
      <c r="X3667" s="79">
        <v>21.19</v>
      </c>
      <c r="Y3667" s="79">
        <v>0.73</v>
      </c>
      <c r="Z3667" s="79">
        <v>21.92</v>
      </c>
      <c r="AA3667" s="255">
        <v>0</v>
      </c>
      <c r="AC3667" s="254"/>
    </row>
    <row r="3668" spans="1:31" ht="12">
      <c r="A3668" s="67" t="s">
        <v>17637</v>
      </c>
      <c r="B3668" s="65" t="s">
        <v>17638</v>
      </c>
      <c r="C3668" s="71" t="s">
        <v>121</v>
      </c>
      <c r="D3668" s="78">
        <v>1</v>
      </c>
      <c r="E3668" s="79">
        <v>371.03000000000003</v>
      </c>
      <c r="F3668" s="70">
        <v>371.03</v>
      </c>
      <c r="G3668" s="320"/>
      <c r="H3668" s="79">
        <v>336.96000000000004</v>
      </c>
      <c r="I3668" s="79">
        <v>34.07</v>
      </c>
      <c r="J3668" s="79">
        <v>371.03000000000003</v>
      </c>
      <c r="K3668" s="79">
        <v>0</v>
      </c>
      <c r="L3668" s="70">
        <v>371.03000000000003</v>
      </c>
      <c r="M3668" s="132"/>
      <c r="N3668" s="79">
        <v>336.96000000000004</v>
      </c>
      <c r="O3668" s="79">
        <v>34.07</v>
      </c>
      <c r="P3668" s="79">
        <v>371.03000000000003</v>
      </c>
      <c r="Q3668" s="136"/>
      <c r="R3668" s="79">
        <v>336.96</v>
      </c>
      <c r="S3668" s="79">
        <v>34.07</v>
      </c>
      <c r="T3668" s="79">
        <v>371.03</v>
      </c>
      <c r="U3668" s="79">
        <v>0</v>
      </c>
      <c r="V3668" s="189">
        <v>371.03</v>
      </c>
      <c r="X3668" s="79">
        <v>336.96</v>
      </c>
      <c r="Y3668" s="79">
        <v>34.07</v>
      </c>
      <c r="Z3668" s="79">
        <v>371.03</v>
      </c>
      <c r="AA3668" s="255">
        <v>0</v>
      </c>
      <c r="AC3668" s="254"/>
    </row>
    <row r="3669" spans="1:31" ht="12">
      <c r="A3669" s="67" t="s">
        <v>17639</v>
      </c>
      <c r="B3669" s="65" t="s">
        <v>17640</v>
      </c>
      <c r="C3669" s="71" t="s">
        <v>121</v>
      </c>
      <c r="D3669" s="78">
        <v>1</v>
      </c>
      <c r="E3669" s="79">
        <v>280.26</v>
      </c>
      <c r="F3669" s="70">
        <v>280.26</v>
      </c>
      <c r="G3669" s="320"/>
      <c r="H3669" s="79">
        <v>276.77</v>
      </c>
      <c r="I3669" s="79">
        <v>3.49</v>
      </c>
      <c r="J3669" s="79">
        <v>280.26</v>
      </c>
      <c r="K3669" s="79">
        <v>0</v>
      </c>
      <c r="L3669" s="70">
        <v>280.26</v>
      </c>
      <c r="M3669" s="132"/>
      <c r="N3669" s="79">
        <v>276.77</v>
      </c>
      <c r="O3669" s="79">
        <v>3.49</v>
      </c>
      <c r="P3669" s="79">
        <v>280.26</v>
      </c>
      <c r="Q3669" s="136"/>
      <c r="R3669" s="79">
        <v>276.77</v>
      </c>
      <c r="S3669" s="79">
        <v>3.5</v>
      </c>
      <c r="T3669" s="79">
        <v>280.27</v>
      </c>
      <c r="U3669" s="79">
        <v>0</v>
      </c>
      <c r="V3669" s="189">
        <v>280.27</v>
      </c>
      <c r="X3669" s="79">
        <v>276.77</v>
      </c>
      <c r="Y3669" s="79">
        <v>3.5</v>
      </c>
      <c r="Z3669" s="79">
        <v>280.27</v>
      </c>
      <c r="AA3669" s="255">
        <v>-9.9999999999909051E-3</v>
      </c>
      <c r="AC3669" s="254"/>
    </row>
    <row r="3670" spans="1:31" ht="12">
      <c r="A3670" s="67" t="s">
        <v>17641</v>
      </c>
      <c r="B3670" s="65" t="s">
        <v>17642</v>
      </c>
      <c r="C3670" s="71" t="s">
        <v>121</v>
      </c>
      <c r="D3670" s="78">
        <v>1</v>
      </c>
      <c r="E3670" s="79">
        <v>231.29000000000002</v>
      </c>
      <c r="F3670" s="70">
        <v>231.29</v>
      </c>
      <c r="G3670" s="320"/>
      <c r="H3670" s="79">
        <v>227.8</v>
      </c>
      <c r="I3670" s="79">
        <v>3.49</v>
      </c>
      <c r="J3670" s="79">
        <v>231.29000000000002</v>
      </c>
      <c r="K3670" s="79">
        <v>0</v>
      </c>
      <c r="L3670" s="70">
        <v>231.29000000000002</v>
      </c>
      <c r="M3670" s="132"/>
      <c r="N3670" s="79">
        <v>227.8</v>
      </c>
      <c r="O3670" s="79">
        <v>3.49</v>
      </c>
      <c r="P3670" s="79">
        <v>231.29000000000002</v>
      </c>
      <c r="Q3670" s="136"/>
      <c r="R3670" s="79">
        <v>227.8</v>
      </c>
      <c r="S3670" s="79">
        <v>3.5</v>
      </c>
      <c r="T3670" s="79">
        <v>231.3</v>
      </c>
      <c r="U3670" s="79">
        <v>0</v>
      </c>
      <c r="V3670" s="189">
        <v>231.3</v>
      </c>
      <c r="X3670" s="79">
        <v>227.8</v>
      </c>
      <c r="Y3670" s="79">
        <v>3.5</v>
      </c>
      <c r="Z3670" s="79">
        <v>231.3</v>
      </c>
      <c r="AA3670" s="255">
        <v>-1.0000000000019327E-2</v>
      </c>
      <c r="AC3670" s="254"/>
    </row>
    <row r="3671" spans="1:31" ht="12">
      <c r="A3671" s="67" t="s">
        <v>17643</v>
      </c>
      <c r="B3671" s="65" t="s">
        <v>17644</v>
      </c>
      <c r="C3671" s="71" t="s">
        <v>121</v>
      </c>
      <c r="D3671" s="78">
        <v>1</v>
      </c>
      <c r="E3671" s="79">
        <v>1052.6600000000001</v>
      </c>
      <c r="F3671" s="70">
        <v>1052.6600000000001</v>
      </c>
      <c r="G3671" s="320"/>
      <c r="H3671" s="79">
        <v>1035.6300000000001</v>
      </c>
      <c r="I3671" s="79">
        <v>17.03</v>
      </c>
      <c r="J3671" s="79">
        <v>1052.6600000000001</v>
      </c>
      <c r="K3671" s="79">
        <v>0</v>
      </c>
      <c r="L3671" s="70">
        <v>1052.6600000000001</v>
      </c>
      <c r="M3671" s="132"/>
      <c r="N3671" s="79">
        <v>1035.6300000000001</v>
      </c>
      <c r="O3671" s="79">
        <v>17.03</v>
      </c>
      <c r="P3671" s="79">
        <v>1052.6600000000001</v>
      </c>
      <c r="Q3671" s="136"/>
      <c r="R3671" s="79">
        <v>1035.6300000000001</v>
      </c>
      <c r="S3671" s="79">
        <v>17.03</v>
      </c>
      <c r="T3671" s="79">
        <v>1052.6600000000001</v>
      </c>
      <c r="U3671" s="79">
        <v>0</v>
      </c>
      <c r="V3671" s="189">
        <v>1052.6600000000001</v>
      </c>
      <c r="X3671" s="79">
        <v>1035.6300000000001</v>
      </c>
      <c r="Y3671" s="79">
        <v>17.03</v>
      </c>
      <c r="Z3671" s="79">
        <v>1052.6600000000001</v>
      </c>
      <c r="AA3671" s="255">
        <v>0</v>
      </c>
      <c r="AC3671" s="254"/>
    </row>
    <row r="3672" spans="1:31" ht="24">
      <c r="A3672" s="67" t="s">
        <v>17645</v>
      </c>
      <c r="B3672" s="65" t="s">
        <v>17646</v>
      </c>
      <c r="C3672" s="71" t="s">
        <v>509</v>
      </c>
      <c r="D3672" s="78">
        <v>1</v>
      </c>
      <c r="E3672" s="79">
        <v>24.7</v>
      </c>
      <c r="F3672" s="70">
        <v>24.7</v>
      </c>
      <c r="G3672" s="320"/>
      <c r="H3672" s="79">
        <v>24.2</v>
      </c>
      <c r="I3672" s="79">
        <v>0.5</v>
      </c>
      <c r="J3672" s="79">
        <v>24.7</v>
      </c>
      <c r="K3672" s="79">
        <v>0</v>
      </c>
      <c r="L3672" s="70">
        <v>24.7</v>
      </c>
      <c r="M3672" s="132"/>
      <c r="N3672" s="79">
        <v>24.2</v>
      </c>
      <c r="O3672" s="79">
        <v>0.5</v>
      </c>
      <c r="P3672" s="79">
        <v>24.7</v>
      </c>
      <c r="Q3672" s="136"/>
      <c r="R3672" s="79">
        <v>24.2</v>
      </c>
      <c r="S3672" s="79">
        <v>0.51</v>
      </c>
      <c r="T3672" s="79">
        <v>24.71</v>
      </c>
      <c r="U3672" s="79">
        <v>0</v>
      </c>
      <c r="V3672" s="189">
        <v>24.71</v>
      </c>
      <c r="X3672" s="79">
        <v>24.2</v>
      </c>
      <c r="Y3672" s="79">
        <v>0.51</v>
      </c>
      <c r="Z3672" s="79">
        <v>24.71</v>
      </c>
      <c r="AA3672" s="255">
        <v>-1.0000000000001563E-2</v>
      </c>
      <c r="AC3672" s="254"/>
    </row>
    <row r="3673" spans="1:31" ht="12">
      <c r="A3673" s="67" t="s">
        <v>17647</v>
      </c>
      <c r="B3673" s="65" t="s">
        <v>17648</v>
      </c>
      <c r="C3673" s="71" t="s">
        <v>509</v>
      </c>
      <c r="D3673" s="78">
        <v>1</v>
      </c>
      <c r="E3673" s="79">
        <v>0.91</v>
      </c>
      <c r="F3673" s="70">
        <v>0.91</v>
      </c>
      <c r="G3673" s="320"/>
      <c r="H3673" s="79">
        <v>0</v>
      </c>
      <c r="I3673" s="79">
        <v>0.91</v>
      </c>
      <c r="J3673" s="79">
        <v>0.91</v>
      </c>
      <c r="K3673" s="79">
        <v>0</v>
      </c>
      <c r="L3673" s="70">
        <v>0.91</v>
      </c>
      <c r="M3673" s="132"/>
      <c r="N3673" s="79"/>
      <c r="O3673" s="79">
        <v>0.91</v>
      </c>
      <c r="P3673" s="79">
        <v>0.91</v>
      </c>
      <c r="Q3673" s="136"/>
      <c r="R3673" s="79"/>
      <c r="S3673" s="79">
        <v>0.91</v>
      </c>
      <c r="T3673" s="79">
        <v>0.91</v>
      </c>
      <c r="U3673" s="79">
        <v>0</v>
      </c>
      <c r="V3673" s="189">
        <v>0.91</v>
      </c>
      <c r="X3673" s="79"/>
      <c r="Y3673" s="79">
        <v>0.91</v>
      </c>
      <c r="Z3673" s="79">
        <v>0.91</v>
      </c>
      <c r="AA3673" s="255">
        <v>0</v>
      </c>
      <c r="AC3673" s="254"/>
    </row>
    <row r="3674" spans="1:31" s="61" customFormat="1" ht="12">
      <c r="A3674" s="489" t="s">
        <v>17649</v>
      </c>
      <c r="B3674" s="490" t="s">
        <v>17650</v>
      </c>
      <c r="C3674" s="491"/>
      <c r="D3674" s="492"/>
      <c r="E3674" s="79"/>
      <c r="F3674" s="63"/>
      <c r="G3674" s="320"/>
      <c r="H3674" s="79"/>
      <c r="I3674" s="79"/>
      <c r="J3674" s="79"/>
      <c r="K3674" s="79"/>
      <c r="L3674" s="70"/>
      <c r="M3674" s="132"/>
      <c r="N3674" s="79"/>
      <c r="O3674" s="79"/>
      <c r="P3674" s="79"/>
      <c r="Q3674" s="136"/>
      <c r="R3674" s="79"/>
      <c r="S3674" s="79"/>
      <c r="T3674" s="79"/>
      <c r="U3674" s="79"/>
      <c r="V3674" s="189"/>
      <c r="X3674" s="79"/>
      <c r="Y3674" s="79"/>
      <c r="Z3674" s="79"/>
      <c r="AA3674" s="255"/>
      <c r="AC3674" s="254"/>
      <c r="AD3674" s="236"/>
      <c r="AE3674" s="236"/>
    </row>
    <row r="3675" spans="1:31" ht="12">
      <c r="A3675" s="67" t="s">
        <v>17651</v>
      </c>
      <c r="B3675" s="65" t="s">
        <v>17652</v>
      </c>
      <c r="C3675" s="71" t="s">
        <v>121</v>
      </c>
      <c r="D3675" s="78">
        <v>1</v>
      </c>
      <c r="E3675" s="79">
        <v>139.99</v>
      </c>
      <c r="F3675" s="70">
        <v>139.99</v>
      </c>
      <c r="G3675" s="320"/>
      <c r="H3675" s="79">
        <v>125.45</v>
      </c>
      <c r="I3675" s="79">
        <v>14.54</v>
      </c>
      <c r="J3675" s="79">
        <v>139.99</v>
      </c>
      <c r="K3675" s="79">
        <v>0</v>
      </c>
      <c r="L3675" s="70">
        <v>139.99</v>
      </c>
      <c r="M3675" s="132"/>
      <c r="N3675" s="79">
        <v>125.45</v>
      </c>
      <c r="O3675" s="79">
        <v>14.54</v>
      </c>
      <c r="P3675" s="79">
        <v>139.99</v>
      </c>
      <c r="Q3675" s="136"/>
      <c r="R3675" s="79">
        <v>125.45</v>
      </c>
      <c r="S3675" s="79">
        <v>14.53</v>
      </c>
      <c r="T3675" s="79">
        <v>139.97999999999999</v>
      </c>
      <c r="U3675" s="79">
        <v>0</v>
      </c>
      <c r="V3675" s="189">
        <v>139.97999999999999</v>
      </c>
      <c r="X3675" s="79">
        <v>125.45</v>
      </c>
      <c r="Y3675" s="79">
        <v>14.53</v>
      </c>
      <c r="Z3675" s="79">
        <v>139.97999999999999</v>
      </c>
      <c r="AA3675" s="255">
        <v>1.0000000000019327E-2</v>
      </c>
      <c r="AC3675" s="254"/>
    </row>
    <row r="3676" spans="1:31" ht="12">
      <c r="A3676" s="67" t="s">
        <v>17653</v>
      </c>
      <c r="B3676" s="65" t="s">
        <v>17654</v>
      </c>
      <c r="C3676" s="71" t="s">
        <v>121</v>
      </c>
      <c r="D3676" s="78">
        <v>1</v>
      </c>
      <c r="E3676" s="79">
        <v>317.34999999999997</v>
      </c>
      <c r="F3676" s="70">
        <v>317.35000000000002</v>
      </c>
      <c r="G3676" s="320"/>
      <c r="H3676" s="79">
        <v>210.22</v>
      </c>
      <c r="I3676" s="79">
        <v>107.13</v>
      </c>
      <c r="J3676" s="79">
        <v>317.35000000000002</v>
      </c>
      <c r="K3676" s="79">
        <v>0</v>
      </c>
      <c r="L3676" s="70">
        <v>317.35000000000002</v>
      </c>
      <c r="M3676" s="132"/>
      <c r="N3676" s="79">
        <v>210.22</v>
      </c>
      <c r="O3676" s="79">
        <v>107.13</v>
      </c>
      <c r="P3676" s="79">
        <v>317.35000000000002</v>
      </c>
      <c r="Q3676" s="136"/>
      <c r="R3676" s="79">
        <v>210.22</v>
      </c>
      <c r="S3676" s="79">
        <v>107.13</v>
      </c>
      <c r="T3676" s="79">
        <v>317.35000000000002</v>
      </c>
      <c r="U3676" s="79">
        <v>0</v>
      </c>
      <c r="V3676" s="189">
        <v>317.35000000000002</v>
      </c>
      <c r="X3676" s="79">
        <v>210.22</v>
      </c>
      <c r="Y3676" s="79">
        <v>107.13</v>
      </c>
      <c r="Z3676" s="79">
        <v>317.35000000000002</v>
      </c>
      <c r="AA3676" s="255">
        <v>0</v>
      </c>
      <c r="AC3676" s="254"/>
    </row>
    <row r="3677" spans="1:31" ht="12">
      <c r="A3677" s="489" t="s">
        <v>17655</v>
      </c>
      <c r="B3677" s="490" t="s">
        <v>17656</v>
      </c>
      <c r="C3677" s="491"/>
      <c r="D3677" s="492"/>
      <c r="E3677" s="79"/>
      <c r="F3677" s="63"/>
      <c r="G3677" s="320"/>
      <c r="H3677" s="79"/>
      <c r="I3677" s="79"/>
      <c r="J3677" s="79"/>
      <c r="K3677" s="79"/>
      <c r="L3677" s="70"/>
      <c r="M3677" s="132"/>
      <c r="N3677" s="79"/>
      <c r="O3677" s="79"/>
      <c r="P3677" s="79"/>
      <c r="Q3677" s="136"/>
      <c r="R3677" s="79"/>
      <c r="S3677" s="79"/>
      <c r="T3677" s="79"/>
      <c r="U3677" s="79"/>
      <c r="V3677" s="189"/>
      <c r="X3677" s="79"/>
      <c r="Y3677" s="79"/>
      <c r="Z3677" s="79"/>
      <c r="AA3677" s="255"/>
      <c r="AC3677" s="254"/>
    </row>
    <row r="3678" spans="1:31" ht="12">
      <c r="A3678" s="67" t="s">
        <v>17657</v>
      </c>
      <c r="B3678" s="65" t="s">
        <v>17658</v>
      </c>
      <c r="C3678" s="71" t="s">
        <v>121</v>
      </c>
      <c r="D3678" s="78">
        <v>1</v>
      </c>
      <c r="E3678" s="79">
        <v>1206.8</v>
      </c>
      <c r="F3678" s="70">
        <v>1206.8</v>
      </c>
      <c r="G3678" s="320"/>
      <c r="H3678" s="79">
        <v>1187.8799999999999</v>
      </c>
      <c r="I3678" s="79">
        <v>18.920000000000002</v>
      </c>
      <c r="J3678" s="79">
        <v>1206.8</v>
      </c>
      <c r="K3678" s="79">
        <v>0</v>
      </c>
      <c r="L3678" s="70">
        <v>1206.8</v>
      </c>
      <c r="M3678" s="132"/>
      <c r="N3678" s="79">
        <v>1187.8799999999999</v>
      </c>
      <c r="O3678" s="79">
        <v>18.920000000000002</v>
      </c>
      <c r="P3678" s="79">
        <v>1206.8</v>
      </c>
      <c r="Q3678" s="136"/>
      <c r="R3678" s="79">
        <v>1187.8800000000001</v>
      </c>
      <c r="S3678" s="79">
        <v>18.920000000000002</v>
      </c>
      <c r="T3678" s="79">
        <v>1206.8000000000002</v>
      </c>
      <c r="U3678" s="79">
        <v>0</v>
      </c>
      <c r="V3678" s="189">
        <v>1206.8000000000002</v>
      </c>
      <c r="X3678" s="79">
        <v>1187.8800000000001</v>
      </c>
      <c r="Y3678" s="79">
        <v>18.920000000000002</v>
      </c>
      <c r="Z3678" s="79">
        <v>1206.8</v>
      </c>
      <c r="AA3678" s="255">
        <v>0</v>
      </c>
      <c r="AC3678" s="254"/>
    </row>
    <row r="3679" spans="1:31" ht="12">
      <c r="A3679" s="67" t="s">
        <v>17659</v>
      </c>
      <c r="B3679" s="65" t="s">
        <v>17660</v>
      </c>
      <c r="C3679" s="71" t="s">
        <v>121</v>
      </c>
      <c r="D3679" s="78">
        <v>1</v>
      </c>
      <c r="E3679" s="79">
        <v>1539.3200000000002</v>
      </c>
      <c r="F3679" s="70">
        <v>1539.32</v>
      </c>
      <c r="G3679" s="320"/>
      <c r="H3679" s="79">
        <v>1520.4</v>
      </c>
      <c r="I3679" s="79">
        <v>18.920000000000002</v>
      </c>
      <c r="J3679" s="79">
        <v>1539.3200000000002</v>
      </c>
      <c r="K3679" s="79">
        <v>0</v>
      </c>
      <c r="L3679" s="70">
        <v>1539.3200000000002</v>
      </c>
      <c r="M3679" s="132"/>
      <c r="N3679" s="79">
        <v>1520.4</v>
      </c>
      <c r="O3679" s="79">
        <v>18.920000000000002</v>
      </c>
      <c r="P3679" s="79">
        <v>1539.3200000000002</v>
      </c>
      <c r="Q3679" s="136"/>
      <c r="R3679" s="79">
        <v>1520.4</v>
      </c>
      <c r="S3679" s="79">
        <v>18.920000000000002</v>
      </c>
      <c r="T3679" s="79">
        <v>1539.3200000000002</v>
      </c>
      <c r="U3679" s="79">
        <v>0</v>
      </c>
      <c r="V3679" s="189">
        <v>1539.3200000000002</v>
      </c>
      <c r="X3679" s="79">
        <v>1520.4</v>
      </c>
      <c r="Y3679" s="79">
        <v>18.920000000000002</v>
      </c>
      <c r="Z3679" s="79">
        <v>1539.32</v>
      </c>
      <c r="AA3679" s="255">
        <v>0</v>
      </c>
      <c r="AC3679" s="254"/>
    </row>
    <row r="3680" spans="1:31" ht="12">
      <c r="A3680" s="67" t="s">
        <v>17661</v>
      </c>
      <c r="B3680" s="65" t="s">
        <v>17662</v>
      </c>
      <c r="C3680" s="71" t="s">
        <v>121</v>
      </c>
      <c r="D3680" s="78">
        <v>1</v>
      </c>
      <c r="E3680" s="79">
        <v>1539.3200000000002</v>
      </c>
      <c r="F3680" s="70">
        <v>1539.32</v>
      </c>
      <c r="G3680" s="320"/>
      <c r="H3680" s="79">
        <v>1520.4</v>
      </c>
      <c r="I3680" s="79">
        <v>18.920000000000002</v>
      </c>
      <c r="J3680" s="79">
        <v>1539.3200000000002</v>
      </c>
      <c r="K3680" s="79">
        <v>0</v>
      </c>
      <c r="L3680" s="70">
        <v>1539.3200000000002</v>
      </c>
      <c r="M3680" s="132"/>
      <c r="N3680" s="79">
        <v>1520.4</v>
      </c>
      <c r="O3680" s="79">
        <v>18.920000000000002</v>
      </c>
      <c r="P3680" s="79">
        <v>1539.3200000000002</v>
      </c>
      <c r="Q3680" s="136"/>
      <c r="R3680" s="79">
        <v>1520.4</v>
      </c>
      <c r="S3680" s="79">
        <v>18.920000000000002</v>
      </c>
      <c r="T3680" s="79">
        <v>1539.3200000000002</v>
      </c>
      <c r="U3680" s="79">
        <v>0</v>
      </c>
      <c r="V3680" s="189">
        <v>1539.3200000000002</v>
      </c>
      <c r="X3680" s="79">
        <v>1520.4</v>
      </c>
      <c r="Y3680" s="79">
        <v>18.920000000000002</v>
      </c>
      <c r="Z3680" s="79">
        <v>1539.32</v>
      </c>
      <c r="AA3680" s="255">
        <v>0</v>
      </c>
      <c r="AC3680" s="254"/>
    </row>
    <row r="3681" spans="1:31" ht="12">
      <c r="A3681" s="67" t="s">
        <v>17663</v>
      </c>
      <c r="B3681" s="65" t="s">
        <v>17664</v>
      </c>
      <c r="C3681" s="71" t="s">
        <v>509</v>
      </c>
      <c r="D3681" s="78">
        <v>1</v>
      </c>
      <c r="E3681" s="79">
        <v>6.54</v>
      </c>
      <c r="F3681" s="70">
        <v>6.54</v>
      </c>
      <c r="G3681" s="320"/>
      <c r="H3681" s="79">
        <v>6.43</v>
      </c>
      <c r="I3681" s="79">
        <v>0.11</v>
      </c>
      <c r="J3681" s="79">
        <v>6.54</v>
      </c>
      <c r="K3681" s="79">
        <v>0</v>
      </c>
      <c r="L3681" s="70">
        <v>6.54</v>
      </c>
      <c r="M3681" s="132"/>
      <c r="N3681" s="79">
        <v>6.43</v>
      </c>
      <c r="O3681" s="79">
        <v>0.11</v>
      </c>
      <c r="P3681" s="79">
        <v>6.54</v>
      </c>
      <c r="Q3681" s="136"/>
      <c r="R3681" s="79">
        <v>6.43</v>
      </c>
      <c r="S3681" s="79">
        <v>0.11</v>
      </c>
      <c r="T3681" s="79">
        <v>6.54</v>
      </c>
      <c r="U3681" s="79">
        <v>0</v>
      </c>
      <c r="V3681" s="189">
        <v>6.54</v>
      </c>
      <c r="X3681" s="79">
        <v>6.43</v>
      </c>
      <c r="Y3681" s="79">
        <v>0.11</v>
      </c>
      <c r="Z3681" s="79">
        <v>6.54</v>
      </c>
      <c r="AA3681" s="255">
        <v>0</v>
      </c>
      <c r="AC3681" s="254"/>
    </row>
    <row r="3682" spans="1:31" ht="12">
      <c r="A3682" s="67" t="s">
        <v>17665</v>
      </c>
      <c r="B3682" s="65" t="s">
        <v>17666</v>
      </c>
      <c r="C3682" s="71" t="s">
        <v>509</v>
      </c>
      <c r="D3682" s="78">
        <v>1</v>
      </c>
      <c r="E3682" s="79">
        <v>13</v>
      </c>
      <c r="F3682" s="70">
        <v>13</v>
      </c>
      <c r="G3682" s="320"/>
      <c r="H3682" s="79">
        <v>12.86</v>
      </c>
      <c r="I3682" s="79">
        <v>0.14000000000000001</v>
      </c>
      <c r="J3682" s="79">
        <v>13</v>
      </c>
      <c r="K3682" s="79">
        <v>0</v>
      </c>
      <c r="L3682" s="70">
        <v>13</v>
      </c>
      <c r="M3682" s="132"/>
      <c r="N3682" s="79">
        <v>12.86</v>
      </c>
      <c r="O3682" s="79">
        <v>0.14000000000000001</v>
      </c>
      <c r="P3682" s="79">
        <v>13</v>
      </c>
      <c r="Q3682" s="136"/>
      <c r="R3682" s="79">
        <v>12.86</v>
      </c>
      <c r="S3682" s="79">
        <v>0.14000000000000001</v>
      </c>
      <c r="T3682" s="79">
        <v>13</v>
      </c>
      <c r="U3682" s="79">
        <v>0</v>
      </c>
      <c r="V3682" s="189">
        <v>13</v>
      </c>
      <c r="X3682" s="79">
        <v>12.86</v>
      </c>
      <c r="Y3682" s="79">
        <v>0.14000000000000001</v>
      </c>
      <c r="Z3682" s="79">
        <v>13</v>
      </c>
      <c r="AA3682" s="255">
        <v>0</v>
      </c>
      <c r="AC3682" s="254"/>
    </row>
    <row r="3683" spans="1:31" ht="12">
      <c r="A3683" s="67" t="s">
        <v>17667</v>
      </c>
      <c r="B3683" s="65" t="s">
        <v>17668</v>
      </c>
      <c r="C3683" s="71" t="s">
        <v>121</v>
      </c>
      <c r="D3683" s="78">
        <v>1</v>
      </c>
      <c r="E3683" s="79">
        <v>1635.96</v>
      </c>
      <c r="F3683" s="70">
        <v>1635.96</v>
      </c>
      <c r="G3683" s="320"/>
      <c r="H3683" s="79">
        <v>1617.04</v>
      </c>
      <c r="I3683" s="79">
        <v>18.920000000000002</v>
      </c>
      <c r="J3683" s="79">
        <v>1635.96</v>
      </c>
      <c r="K3683" s="79">
        <v>0</v>
      </c>
      <c r="L3683" s="70">
        <v>1635.96</v>
      </c>
      <c r="M3683" s="132"/>
      <c r="N3683" s="79">
        <v>1617.04</v>
      </c>
      <c r="O3683" s="79">
        <v>18.920000000000002</v>
      </c>
      <c r="P3683" s="79">
        <v>1635.96</v>
      </c>
      <c r="Q3683" s="136"/>
      <c r="R3683" s="79">
        <v>1617.04</v>
      </c>
      <c r="S3683" s="79">
        <v>18.920000000000002</v>
      </c>
      <c r="T3683" s="79">
        <v>1635.96</v>
      </c>
      <c r="U3683" s="79">
        <v>0</v>
      </c>
      <c r="V3683" s="189">
        <v>1635.96</v>
      </c>
      <c r="X3683" s="79">
        <v>1617.04</v>
      </c>
      <c r="Y3683" s="79">
        <v>18.920000000000002</v>
      </c>
      <c r="Z3683" s="79">
        <v>1635.96</v>
      </c>
      <c r="AA3683" s="255">
        <v>0</v>
      </c>
      <c r="AC3683" s="254"/>
    </row>
    <row r="3684" spans="1:31" ht="12">
      <c r="A3684" s="67" t="s">
        <v>17669</v>
      </c>
      <c r="B3684" s="65" t="s">
        <v>17670</v>
      </c>
      <c r="C3684" s="71" t="s">
        <v>121</v>
      </c>
      <c r="D3684" s="78">
        <v>1</v>
      </c>
      <c r="E3684" s="79">
        <v>1522.1600000000003</v>
      </c>
      <c r="F3684" s="70">
        <v>1522.16</v>
      </c>
      <c r="G3684" s="320"/>
      <c r="H3684" s="79">
        <v>1476.7400000000002</v>
      </c>
      <c r="I3684" s="79">
        <v>45.42</v>
      </c>
      <c r="J3684" s="79">
        <v>1522.1600000000003</v>
      </c>
      <c r="K3684" s="79">
        <v>0</v>
      </c>
      <c r="L3684" s="70">
        <v>1522.1600000000003</v>
      </c>
      <c r="M3684" s="132"/>
      <c r="N3684" s="79">
        <v>1476.7400000000002</v>
      </c>
      <c r="O3684" s="79">
        <v>45.42</v>
      </c>
      <c r="P3684" s="79">
        <v>1522.1600000000003</v>
      </c>
      <c r="Q3684" s="136"/>
      <c r="R3684" s="79">
        <v>1476.74</v>
      </c>
      <c r="S3684" s="79">
        <v>45.42</v>
      </c>
      <c r="T3684" s="79">
        <v>1522.16</v>
      </c>
      <c r="U3684" s="79">
        <v>0</v>
      </c>
      <c r="V3684" s="189">
        <v>1522.16</v>
      </c>
      <c r="X3684" s="79">
        <v>1476.74</v>
      </c>
      <c r="Y3684" s="79">
        <v>45.42</v>
      </c>
      <c r="Z3684" s="79">
        <v>1522.16</v>
      </c>
      <c r="AA3684" s="255">
        <v>0</v>
      </c>
      <c r="AC3684" s="254"/>
    </row>
    <row r="3685" spans="1:31" ht="12">
      <c r="A3685" s="489" t="s">
        <v>17671</v>
      </c>
      <c r="B3685" s="490" t="s">
        <v>17672</v>
      </c>
      <c r="C3685" s="491"/>
      <c r="D3685" s="492"/>
      <c r="E3685" s="79"/>
      <c r="F3685" s="63"/>
      <c r="G3685" s="320"/>
      <c r="H3685" s="79"/>
      <c r="I3685" s="79"/>
      <c r="J3685" s="79"/>
      <c r="K3685" s="79"/>
      <c r="L3685" s="70"/>
      <c r="M3685" s="132"/>
      <c r="N3685" s="79"/>
      <c r="O3685" s="79"/>
      <c r="P3685" s="79"/>
      <c r="Q3685" s="136"/>
      <c r="R3685" s="79"/>
      <c r="S3685" s="79"/>
      <c r="T3685" s="79"/>
      <c r="U3685" s="79"/>
      <c r="V3685" s="189"/>
      <c r="X3685" s="79"/>
      <c r="Y3685" s="79"/>
      <c r="Z3685" s="79"/>
      <c r="AA3685" s="255"/>
      <c r="AC3685" s="254"/>
    </row>
    <row r="3686" spans="1:31" ht="12">
      <c r="A3686" s="67" t="s">
        <v>17673</v>
      </c>
      <c r="B3686" s="65" t="s">
        <v>17674</v>
      </c>
      <c r="C3686" s="71" t="s">
        <v>509</v>
      </c>
      <c r="D3686" s="78">
        <v>1</v>
      </c>
      <c r="E3686" s="79">
        <v>339.65</v>
      </c>
      <c r="F3686" s="70">
        <v>339.65</v>
      </c>
      <c r="G3686" s="320"/>
      <c r="H3686" s="79">
        <v>310.59999999999997</v>
      </c>
      <c r="I3686" s="79">
        <v>29.05</v>
      </c>
      <c r="J3686" s="79">
        <v>339.65</v>
      </c>
      <c r="K3686" s="79">
        <v>0</v>
      </c>
      <c r="L3686" s="70">
        <v>339.65</v>
      </c>
      <c r="M3686" s="132"/>
      <c r="N3686" s="79">
        <v>310.59999999999997</v>
      </c>
      <c r="O3686" s="79">
        <v>29.05</v>
      </c>
      <c r="P3686" s="79">
        <v>339.65</v>
      </c>
      <c r="Q3686" s="136"/>
      <c r="R3686" s="79">
        <v>310.60000000000002</v>
      </c>
      <c r="S3686" s="79">
        <v>29.04</v>
      </c>
      <c r="T3686" s="79">
        <v>339.64000000000004</v>
      </c>
      <c r="U3686" s="79">
        <v>0</v>
      </c>
      <c r="V3686" s="189">
        <v>339.64000000000004</v>
      </c>
      <c r="X3686" s="79">
        <v>310.60000000000002</v>
      </c>
      <c r="Y3686" s="79">
        <v>29.04</v>
      </c>
      <c r="Z3686" s="79">
        <v>339.64</v>
      </c>
      <c r="AA3686" s="255">
        <v>9.9999999999909051E-3</v>
      </c>
      <c r="AC3686" s="254"/>
      <c r="AD3686" s="61"/>
      <c r="AE3686" s="61"/>
    </row>
    <row r="3687" spans="1:31" ht="12">
      <c r="A3687" s="67" t="s">
        <v>17675</v>
      </c>
      <c r="B3687" s="65" t="s">
        <v>17676</v>
      </c>
      <c r="C3687" s="71" t="s">
        <v>509</v>
      </c>
      <c r="D3687" s="78">
        <v>1</v>
      </c>
      <c r="E3687" s="79">
        <v>17.740000000000002</v>
      </c>
      <c r="F3687" s="70">
        <v>17.739999999999998</v>
      </c>
      <c r="G3687" s="320"/>
      <c r="H3687" s="79">
        <v>15.46</v>
      </c>
      <c r="I3687" s="79">
        <v>2.2800000000000002</v>
      </c>
      <c r="J3687" s="79">
        <v>17.740000000000002</v>
      </c>
      <c r="K3687" s="79">
        <v>0</v>
      </c>
      <c r="L3687" s="70">
        <v>17.740000000000002</v>
      </c>
      <c r="M3687" s="132"/>
      <c r="N3687" s="79">
        <v>15.46</v>
      </c>
      <c r="O3687" s="79">
        <v>2.2800000000000002</v>
      </c>
      <c r="P3687" s="79">
        <v>17.740000000000002</v>
      </c>
      <c r="Q3687" s="136"/>
      <c r="R3687" s="79">
        <v>15.46</v>
      </c>
      <c r="S3687" s="79">
        <v>2.27</v>
      </c>
      <c r="T3687" s="79">
        <v>17.73</v>
      </c>
      <c r="U3687" s="79">
        <v>0</v>
      </c>
      <c r="V3687" s="189">
        <v>17.73</v>
      </c>
      <c r="X3687" s="79">
        <v>15.46</v>
      </c>
      <c r="Y3687" s="79">
        <v>2.27</v>
      </c>
      <c r="Z3687" s="79">
        <v>17.73</v>
      </c>
      <c r="AA3687" s="255">
        <v>9.9999999999980105E-3</v>
      </c>
      <c r="AC3687" s="254"/>
    </row>
    <row r="3688" spans="1:31" s="61" customFormat="1" ht="12">
      <c r="A3688" s="67" t="s">
        <v>17677</v>
      </c>
      <c r="B3688" s="65" t="s">
        <v>17678</v>
      </c>
      <c r="C3688" s="71" t="s">
        <v>509</v>
      </c>
      <c r="D3688" s="78">
        <v>1</v>
      </c>
      <c r="E3688" s="79">
        <v>18.22</v>
      </c>
      <c r="F3688" s="70">
        <v>18.22</v>
      </c>
      <c r="G3688" s="320"/>
      <c r="H3688" s="79">
        <v>11.19</v>
      </c>
      <c r="I3688" s="79">
        <v>7.03</v>
      </c>
      <c r="J3688" s="79">
        <v>18.22</v>
      </c>
      <c r="K3688" s="79">
        <v>0</v>
      </c>
      <c r="L3688" s="70">
        <v>18.22</v>
      </c>
      <c r="M3688" s="132"/>
      <c r="N3688" s="79">
        <v>11.19</v>
      </c>
      <c r="O3688" s="79">
        <v>7.03</v>
      </c>
      <c r="P3688" s="79">
        <v>18.22</v>
      </c>
      <c r="Q3688" s="136"/>
      <c r="R3688" s="79">
        <v>11.19</v>
      </c>
      <c r="S3688" s="79">
        <v>7.04</v>
      </c>
      <c r="T3688" s="79">
        <v>18.23</v>
      </c>
      <c r="U3688" s="79">
        <v>0</v>
      </c>
      <c r="V3688" s="189">
        <v>18.23</v>
      </c>
      <c r="X3688" s="79">
        <v>11.19</v>
      </c>
      <c r="Y3688" s="79">
        <v>7.04</v>
      </c>
      <c r="Z3688" s="79">
        <v>18.23</v>
      </c>
      <c r="AA3688" s="255">
        <v>-1.0000000000001563E-2</v>
      </c>
      <c r="AC3688" s="254"/>
      <c r="AD3688" s="236"/>
      <c r="AE3688" s="236"/>
    </row>
    <row r="3689" spans="1:31" ht="12">
      <c r="A3689" s="67" t="s">
        <v>17679</v>
      </c>
      <c r="B3689" s="65" t="s">
        <v>17680</v>
      </c>
      <c r="C3689" s="71" t="s">
        <v>509</v>
      </c>
      <c r="D3689" s="78">
        <v>1</v>
      </c>
      <c r="E3689" s="79">
        <v>56.23</v>
      </c>
      <c r="F3689" s="70">
        <v>56.23</v>
      </c>
      <c r="G3689" s="320"/>
      <c r="H3689" s="79">
        <v>50.55</v>
      </c>
      <c r="I3689" s="79">
        <v>5.68</v>
      </c>
      <c r="J3689" s="79">
        <v>56.23</v>
      </c>
      <c r="K3689" s="79">
        <v>0</v>
      </c>
      <c r="L3689" s="70">
        <v>56.23</v>
      </c>
      <c r="M3689" s="132"/>
      <c r="N3689" s="79">
        <v>50.55</v>
      </c>
      <c r="O3689" s="79">
        <v>5.68</v>
      </c>
      <c r="P3689" s="79">
        <v>56.23</v>
      </c>
      <c r="Q3689" s="136"/>
      <c r="R3689" s="79">
        <v>50.55</v>
      </c>
      <c r="S3689" s="79">
        <v>5.68</v>
      </c>
      <c r="T3689" s="79">
        <v>56.23</v>
      </c>
      <c r="U3689" s="79">
        <v>0</v>
      </c>
      <c r="V3689" s="189">
        <v>56.23</v>
      </c>
      <c r="X3689" s="79">
        <v>50.55</v>
      </c>
      <c r="Y3689" s="79">
        <v>5.68</v>
      </c>
      <c r="Z3689" s="79">
        <v>56.23</v>
      </c>
      <c r="AA3689" s="255">
        <v>0</v>
      </c>
      <c r="AC3689" s="254"/>
    </row>
    <row r="3690" spans="1:31" ht="24">
      <c r="A3690" s="67" t="s">
        <v>17681</v>
      </c>
      <c r="B3690" s="65" t="s">
        <v>17682</v>
      </c>
      <c r="C3690" s="71" t="s">
        <v>509</v>
      </c>
      <c r="D3690" s="78">
        <v>1</v>
      </c>
      <c r="E3690" s="79">
        <v>121.46000000000001</v>
      </c>
      <c r="F3690" s="70">
        <v>121.46</v>
      </c>
      <c r="G3690" s="320"/>
      <c r="H3690" s="79">
        <v>99.55</v>
      </c>
      <c r="I3690" s="79">
        <v>21.91</v>
      </c>
      <c r="J3690" s="79">
        <v>121.46</v>
      </c>
      <c r="K3690" s="79">
        <v>0</v>
      </c>
      <c r="L3690" s="70">
        <v>121.46</v>
      </c>
      <c r="M3690" s="132"/>
      <c r="N3690" s="79">
        <v>99.55</v>
      </c>
      <c r="O3690" s="79">
        <v>21.91</v>
      </c>
      <c r="P3690" s="79">
        <v>121.46</v>
      </c>
      <c r="Q3690" s="136"/>
      <c r="R3690" s="79">
        <v>99.55</v>
      </c>
      <c r="S3690" s="79">
        <v>21.92</v>
      </c>
      <c r="T3690" s="79">
        <v>121.47</v>
      </c>
      <c r="U3690" s="79">
        <v>0</v>
      </c>
      <c r="V3690" s="189">
        <v>121.47</v>
      </c>
      <c r="X3690" s="79">
        <v>99.55</v>
      </c>
      <c r="Y3690" s="79">
        <v>21.92</v>
      </c>
      <c r="Z3690" s="79">
        <v>121.47</v>
      </c>
      <c r="AA3690" s="255">
        <v>-1.0000000000005116E-2</v>
      </c>
      <c r="AC3690" s="254"/>
      <c r="AD3690" s="61"/>
      <c r="AE3690" s="61"/>
    </row>
    <row r="3691" spans="1:31" ht="24">
      <c r="A3691" s="65" t="s">
        <v>17683</v>
      </c>
      <c r="B3691" s="65" t="s">
        <v>17684</v>
      </c>
      <c r="C3691" s="108" t="s">
        <v>509</v>
      </c>
      <c r="D3691" s="78">
        <v>1</v>
      </c>
      <c r="E3691" s="79">
        <v>126.47999999999999</v>
      </c>
      <c r="F3691" s="70">
        <v>126.48</v>
      </c>
      <c r="G3691" s="320"/>
      <c r="H3691" s="79">
        <v>104.57</v>
      </c>
      <c r="I3691" s="79">
        <v>21.91</v>
      </c>
      <c r="J3691" s="79">
        <v>126.47999999999999</v>
      </c>
      <c r="K3691" s="79">
        <v>0</v>
      </c>
      <c r="L3691" s="70">
        <v>126.47999999999999</v>
      </c>
      <c r="M3691" s="132"/>
      <c r="N3691" s="79">
        <v>104.57</v>
      </c>
      <c r="O3691" s="79">
        <v>21.91</v>
      </c>
      <c r="P3691" s="79">
        <v>126.47999999999999</v>
      </c>
      <c r="Q3691" s="136"/>
      <c r="R3691" s="79">
        <v>104.57</v>
      </c>
      <c r="S3691" s="79">
        <v>21.92</v>
      </c>
      <c r="T3691" s="79">
        <v>126.49</v>
      </c>
      <c r="U3691" s="79">
        <v>0</v>
      </c>
      <c r="V3691" s="189">
        <v>126.49</v>
      </c>
      <c r="X3691" s="506">
        <v>104.57</v>
      </c>
      <c r="Y3691" s="506">
        <v>21.92</v>
      </c>
      <c r="Z3691" s="506">
        <v>126.49</v>
      </c>
      <c r="AA3691" s="255">
        <v>-9.9999999999909051E-3</v>
      </c>
      <c r="AC3691" s="254"/>
    </row>
    <row r="3692" spans="1:31" ht="24">
      <c r="A3692" s="67" t="s">
        <v>17685</v>
      </c>
      <c r="B3692" s="65" t="s">
        <v>17686</v>
      </c>
      <c r="C3692" s="71" t="s">
        <v>509</v>
      </c>
      <c r="D3692" s="78">
        <v>1</v>
      </c>
      <c r="E3692" s="79">
        <v>129.24</v>
      </c>
      <c r="F3692" s="70">
        <v>129.24</v>
      </c>
      <c r="G3692" s="320"/>
      <c r="H3692" s="79">
        <v>100.02999999999999</v>
      </c>
      <c r="I3692" s="79">
        <v>29.21</v>
      </c>
      <c r="J3692" s="79">
        <v>129.23999999999998</v>
      </c>
      <c r="K3692" s="79">
        <v>0</v>
      </c>
      <c r="L3692" s="70">
        <v>129.23999999999998</v>
      </c>
      <c r="M3692" s="132"/>
      <c r="N3692" s="79">
        <v>100.02999999999999</v>
      </c>
      <c r="O3692" s="79">
        <v>29.21</v>
      </c>
      <c r="P3692" s="79">
        <v>129.23999999999998</v>
      </c>
      <c r="Q3692" s="136"/>
      <c r="R3692" s="79">
        <v>100.03</v>
      </c>
      <c r="S3692" s="79">
        <v>29.23</v>
      </c>
      <c r="T3692" s="79">
        <v>129.26</v>
      </c>
      <c r="U3692" s="79">
        <v>0</v>
      </c>
      <c r="V3692" s="189">
        <v>129.26</v>
      </c>
      <c r="X3692" s="79">
        <v>100.03</v>
      </c>
      <c r="Y3692" s="79">
        <v>29.23</v>
      </c>
      <c r="Z3692" s="79">
        <v>129.26</v>
      </c>
      <c r="AA3692" s="255">
        <v>-1.999999999998181E-2</v>
      </c>
      <c r="AC3692" s="254"/>
    </row>
    <row r="3693" spans="1:31" s="61" customFormat="1" ht="12">
      <c r="A3693" s="67" t="s">
        <v>17687</v>
      </c>
      <c r="B3693" s="65" t="s">
        <v>40979</v>
      </c>
      <c r="C3693" s="71" t="s">
        <v>509</v>
      </c>
      <c r="D3693" s="78">
        <v>1</v>
      </c>
      <c r="E3693" s="79">
        <v>207.60999999999999</v>
      </c>
      <c r="F3693" s="70">
        <v>207.61</v>
      </c>
      <c r="G3693" s="320"/>
      <c r="H3693" s="79">
        <v>196.88</v>
      </c>
      <c r="I3693" s="79">
        <v>10.73</v>
      </c>
      <c r="J3693" s="79">
        <v>207.60999999999999</v>
      </c>
      <c r="K3693" s="79">
        <v>0</v>
      </c>
      <c r="L3693" s="70">
        <v>207.60999999999999</v>
      </c>
      <c r="M3693" s="132"/>
      <c r="N3693" s="79">
        <v>196.88</v>
      </c>
      <c r="O3693" s="79">
        <v>10.73</v>
      </c>
      <c r="P3693" s="79">
        <v>207.60999999999999</v>
      </c>
      <c r="Q3693" s="136"/>
      <c r="R3693" s="79">
        <v>196.88</v>
      </c>
      <c r="S3693" s="79">
        <v>10.74</v>
      </c>
      <c r="T3693" s="79">
        <v>207.62</v>
      </c>
      <c r="U3693" s="79">
        <v>0</v>
      </c>
      <c r="V3693" s="189">
        <v>207.62</v>
      </c>
      <c r="X3693" s="79">
        <v>196.88</v>
      </c>
      <c r="Y3693" s="79">
        <v>10.74</v>
      </c>
      <c r="Z3693" s="79">
        <v>207.62</v>
      </c>
      <c r="AA3693" s="255">
        <v>-9.9999999999909051E-3</v>
      </c>
      <c r="AC3693" s="254"/>
      <c r="AD3693" s="236"/>
      <c r="AE3693" s="236"/>
    </row>
    <row r="3694" spans="1:31" ht="12">
      <c r="A3694" s="67" t="s">
        <v>17688</v>
      </c>
      <c r="B3694" s="65" t="s">
        <v>17689</v>
      </c>
      <c r="C3694" s="71" t="s">
        <v>509</v>
      </c>
      <c r="D3694" s="78">
        <v>1</v>
      </c>
      <c r="E3694" s="79">
        <v>146.27000000000001</v>
      </c>
      <c r="F3694" s="70">
        <v>146.27000000000001</v>
      </c>
      <c r="G3694" s="320"/>
      <c r="H3694" s="79">
        <v>123.54</v>
      </c>
      <c r="I3694" s="79">
        <v>22.73</v>
      </c>
      <c r="J3694" s="79">
        <v>146.27000000000001</v>
      </c>
      <c r="K3694" s="79">
        <v>0</v>
      </c>
      <c r="L3694" s="70">
        <v>146.27000000000001</v>
      </c>
      <c r="M3694" s="132"/>
      <c r="N3694" s="79">
        <v>123.54</v>
      </c>
      <c r="O3694" s="79">
        <v>22.73</v>
      </c>
      <c r="P3694" s="79">
        <v>146.27000000000001</v>
      </c>
      <c r="Q3694" s="136"/>
      <c r="R3694" s="79">
        <v>123.54</v>
      </c>
      <c r="S3694" s="79">
        <v>22.72</v>
      </c>
      <c r="T3694" s="79">
        <v>146.26</v>
      </c>
      <c r="U3694" s="79">
        <v>0</v>
      </c>
      <c r="V3694" s="189">
        <v>146.26</v>
      </c>
      <c r="X3694" s="79">
        <v>123.54</v>
      </c>
      <c r="Y3694" s="79">
        <v>22.72</v>
      </c>
      <c r="Z3694" s="79">
        <v>146.26</v>
      </c>
      <c r="AA3694" s="255">
        <v>1.0000000000019327E-2</v>
      </c>
      <c r="AC3694" s="254"/>
    </row>
    <row r="3695" spans="1:31" ht="12">
      <c r="A3695" s="67" t="s">
        <v>17690</v>
      </c>
      <c r="B3695" s="65" t="s">
        <v>17691</v>
      </c>
      <c r="C3695" s="71" t="s">
        <v>509</v>
      </c>
      <c r="D3695" s="78">
        <v>1</v>
      </c>
      <c r="E3695" s="79">
        <v>154.63999999999999</v>
      </c>
      <c r="F3695" s="70">
        <v>154.63999999999999</v>
      </c>
      <c r="G3695" s="320"/>
      <c r="H3695" s="79">
        <v>131.91</v>
      </c>
      <c r="I3695" s="79">
        <v>22.73</v>
      </c>
      <c r="J3695" s="79">
        <v>154.63999999999999</v>
      </c>
      <c r="K3695" s="79">
        <v>0</v>
      </c>
      <c r="L3695" s="70">
        <v>154.63999999999999</v>
      </c>
      <c r="M3695" s="132"/>
      <c r="N3695" s="79">
        <v>131.91</v>
      </c>
      <c r="O3695" s="79">
        <v>22.73</v>
      </c>
      <c r="P3695" s="79">
        <v>154.63999999999999</v>
      </c>
      <c r="Q3695" s="136"/>
      <c r="R3695" s="79">
        <v>131.91</v>
      </c>
      <c r="S3695" s="79">
        <v>22.72</v>
      </c>
      <c r="T3695" s="79">
        <v>154.63</v>
      </c>
      <c r="U3695" s="79">
        <v>0</v>
      </c>
      <c r="V3695" s="189">
        <v>154.63</v>
      </c>
      <c r="X3695" s="79">
        <v>131.91</v>
      </c>
      <c r="Y3695" s="79">
        <v>22.72</v>
      </c>
      <c r="Z3695" s="79">
        <v>154.63</v>
      </c>
      <c r="AA3695" s="255">
        <v>9.9999999999909051E-3</v>
      </c>
      <c r="AC3695" s="254"/>
    </row>
    <row r="3696" spans="1:31" ht="12">
      <c r="A3696" s="489" t="s">
        <v>17692</v>
      </c>
      <c r="B3696" s="490" t="s">
        <v>17693</v>
      </c>
      <c r="C3696" s="491"/>
      <c r="D3696" s="492"/>
      <c r="E3696" s="79"/>
      <c r="F3696" s="63"/>
      <c r="G3696" s="320"/>
      <c r="H3696" s="79"/>
      <c r="I3696" s="79"/>
      <c r="J3696" s="79"/>
      <c r="K3696" s="79"/>
      <c r="L3696" s="70"/>
      <c r="M3696" s="132"/>
      <c r="N3696" s="79"/>
      <c r="O3696" s="79"/>
      <c r="P3696" s="79"/>
      <c r="Q3696" s="136"/>
      <c r="R3696" s="79"/>
      <c r="S3696" s="79"/>
      <c r="T3696" s="79"/>
      <c r="U3696" s="79"/>
      <c r="V3696" s="189"/>
      <c r="X3696" s="79"/>
      <c r="Y3696" s="79"/>
      <c r="Z3696" s="79"/>
      <c r="AA3696" s="255"/>
      <c r="AC3696" s="254"/>
    </row>
    <row r="3697" spans="1:29" ht="12">
      <c r="A3697" s="67" t="s">
        <v>17694</v>
      </c>
      <c r="B3697" s="65" t="s">
        <v>17695</v>
      </c>
      <c r="C3697" s="71" t="s">
        <v>165</v>
      </c>
      <c r="D3697" s="78">
        <v>1</v>
      </c>
      <c r="E3697" s="79">
        <v>66.36</v>
      </c>
      <c r="F3697" s="70">
        <v>66.36</v>
      </c>
      <c r="G3697" s="320"/>
      <c r="H3697" s="79">
        <v>52.67</v>
      </c>
      <c r="I3697" s="79">
        <v>13.690000000000001</v>
      </c>
      <c r="J3697" s="79">
        <v>66.36</v>
      </c>
      <c r="K3697" s="79">
        <v>0</v>
      </c>
      <c r="L3697" s="70">
        <v>66.36</v>
      </c>
      <c r="M3697" s="132"/>
      <c r="N3697" s="79">
        <v>52.67</v>
      </c>
      <c r="O3697" s="79">
        <v>13.690000000000001</v>
      </c>
      <c r="P3697" s="79">
        <v>66.36</v>
      </c>
      <c r="Q3697" s="136"/>
      <c r="R3697" s="79">
        <v>52.67</v>
      </c>
      <c r="S3697" s="79">
        <v>13.71</v>
      </c>
      <c r="T3697" s="79">
        <v>66.38</v>
      </c>
      <c r="U3697" s="79">
        <v>0</v>
      </c>
      <c r="V3697" s="189">
        <v>66.38</v>
      </c>
      <c r="X3697" s="79">
        <v>52.67</v>
      </c>
      <c r="Y3697" s="79">
        <v>13.71</v>
      </c>
      <c r="Z3697" s="79">
        <v>66.38</v>
      </c>
      <c r="AA3697" s="255">
        <v>-1.9999999999996021E-2</v>
      </c>
      <c r="AC3697" s="254"/>
    </row>
    <row r="3698" spans="1:29" ht="12">
      <c r="A3698" s="67" t="s">
        <v>17696</v>
      </c>
      <c r="B3698" s="65" t="s">
        <v>17697</v>
      </c>
      <c r="C3698" s="71" t="s">
        <v>165</v>
      </c>
      <c r="D3698" s="78">
        <v>1</v>
      </c>
      <c r="E3698" s="79">
        <v>62.51</v>
      </c>
      <c r="F3698" s="70">
        <v>62.51</v>
      </c>
      <c r="G3698" s="320"/>
      <c r="H3698" s="79">
        <v>48.819999999999993</v>
      </c>
      <c r="I3698" s="79">
        <v>13.690000000000001</v>
      </c>
      <c r="J3698" s="79">
        <v>62.509999999999991</v>
      </c>
      <c r="K3698" s="79">
        <v>0</v>
      </c>
      <c r="L3698" s="70">
        <v>62.509999999999991</v>
      </c>
      <c r="M3698" s="132"/>
      <c r="N3698" s="79">
        <v>48.819999999999993</v>
      </c>
      <c r="O3698" s="79">
        <v>13.690000000000001</v>
      </c>
      <c r="P3698" s="79">
        <v>62.509999999999991</v>
      </c>
      <c r="Q3698" s="136"/>
      <c r="R3698" s="79">
        <v>48.82</v>
      </c>
      <c r="S3698" s="79">
        <v>13.71</v>
      </c>
      <c r="T3698" s="79">
        <v>62.53</v>
      </c>
      <c r="U3698" s="79">
        <v>0</v>
      </c>
      <c r="V3698" s="189">
        <v>62.53</v>
      </c>
      <c r="X3698" s="79">
        <v>48.82</v>
      </c>
      <c r="Y3698" s="79">
        <v>13.71</v>
      </c>
      <c r="Z3698" s="79">
        <v>62.53</v>
      </c>
      <c r="AA3698" s="255">
        <v>-2.0000000000003126E-2</v>
      </c>
      <c r="AC3698" s="254"/>
    </row>
    <row r="3699" spans="1:29" ht="12">
      <c r="A3699" s="67" t="s">
        <v>17698</v>
      </c>
      <c r="B3699" s="65" t="s">
        <v>17699</v>
      </c>
      <c r="C3699" s="71" t="s">
        <v>121</v>
      </c>
      <c r="D3699" s="78">
        <v>1</v>
      </c>
      <c r="E3699" s="79">
        <v>607.96</v>
      </c>
      <c r="F3699" s="70">
        <v>607.96</v>
      </c>
      <c r="G3699" s="320"/>
      <c r="H3699" s="79">
        <v>558.59</v>
      </c>
      <c r="I3699" s="79">
        <v>49.37</v>
      </c>
      <c r="J3699" s="79">
        <v>607.96</v>
      </c>
      <c r="K3699" s="79">
        <v>0</v>
      </c>
      <c r="L3699" s="70">
        <v>607.96</v>
      </c>
      <c r="M3699" s="132"/>
      <c r="N3699" s="79">
        <v>558.59</v>
      </c>
      <c r="O3699" s="79">
        <v>49.37</v>
      </c>
      <c r="P3699" s="79">
        <v>607.96</v>
      </c>
      <c r="Q3699" s="136"/>
      <c r="R3699" s="79">
        <v>558.59</v>
      </c>
      <c r="S3699" s="79">
        <v>49.36</v>
      </c>
      <c r="T3699" s="79">
        <v>607.95000000000005</v>
      </c>
      <c r="U3699" s="79">
        <v>0</v>
      </c>
      <c r="V3699" s="189">
        <v>607.95000000000005</v>
      </c>
      <c r="X3699" s="79">
        <v>558.59</v>
      </c>
      <c r="Y3699" s="79">
        <v>49.36</v>
      </c>
      <c r="Z3699" s="79">
        <v>607.95000000000005</v>
      </c>
      <c r="AA3699" s="255">
        <v>9.9999999999909051E-3</v>
      </c>
      <c r="AC3699" s="254"/>
    </row>
    <row r="3700" spans="1:29" ht="12">
      <c r="A3700" s="67" t="s">
        <v>17700</v>
      </c>
      <c r="B3700" s="65" t="s">
        <v>17701</v>
      </c>
      <c r="C3700" s="71" t="s">
        <v>121</v>
      </c>
      <c r="D3700" s="78">
        <v>1</v>
      </c>
      <c r="E3700" s="79">
        <v>631.06000000000006</v>
      </c>
      <c r="F3700" s="70">
        <v>631.05999999999995</v>
      </c>
      <c r="G3700" s="320"/>
      <c r="H3700" s="79">
        <v>581.69000000000005</v>
      </c>
      <c r="I3700" s="79">
        <v>49.37</v>
      </c>
      <c r="J3700" s="79">
        <v>631.06000000000006</v>
      </c>
      <c r="K3700" s="79">
        <v>0</v>
      </c>
      <c r="L3700" s="70">
        <v>631.06000000000006</v>
      </c>
      <c r="M3700" s="132"/>
      <c r="N3700" s="79">
        <v>581.69000000000005</v>
      </c>
      <c r="O3700" s="79">
        <v>49.37</v>
      </c>
      <c r="P3700" s="79">
        <v>631.06000000000006</v>
      </c>
      <c r="Q3700" s="136"/>
      <c r="R3700" s="79">
        <v>581.69000000000005</v>
      </c>
      <c r="S3700" s="79">
        <v>49.36</v>
      </c>
      <c r="T3700" s="79">
        <v>631.05000000000007</v>
      </c>
      <c r="U3700" s="79">
        <v>0</v>
      </c>
      <c r="V3700" s="189">
        <v>631.05000000000007</v>
      </c>
      <c r="X3700" s="79">
        <v>581.69000000000005</v>
      </c>
      <c r="Y3700" s="79">
        <v>49.36</v>
      </c>
      <c r="Z3700" s="79">
        <v>631.04999999999995</v>
      </c>
      <c r="AA3700" s="255">
        <v>9.9999999999909051E-3</v>
      </c>
      <c r="AC3700" s="254"/>
    </row>
    <row r="3701" spans="1:29" ht="12">
      <c r="A3701" s="67" t="s">
        <v>17702</v>
      </c>
      <c r="B3701" s="65" t="s">
        <v>17703</v>
      </c>
      <c r="C3701" s="71" t="s">
        <v>121</v>
      </c>
      <c r="D3701" s="78">
        <v>1</v>
      </c>
      <c r="E3701" s="79">
        <v>448.67</v>
      </c>
      <c r="F3701" s="70">
        <v>448.67</v>
      </c>
      <c r="G3701" s="320"/>
      <c r="H3701" s="79">
        <v>93.13</v>
      </c>
      <c r="I3701" s="79">
        <v>355.53999999999996</v>
      </c>
      <c r="J3701" s="79">
        <v>448.66999999999996</v>
      </c>
      <c r="K3701" s="79">
        <v>0</v>
      </c>
      <c r="L3701" s="70">
        <v>448.66999999999996</v>
      </c>
      <c r="M3701" s="132"/>
      <c r="N3701" s="79">
        <v>93.13</v>
      </c>
      <c r="O3701" s="79">
        <v>355.53999999999996</v>
      </c>
      <c r="P3701" s="79">
        <v>448.66999999999996</v>
      </c>
      <c r="Q3701" s="136"/>
      <c r="R3701" s="79">
        <v>93.13</v>
      </c>
      <c r="S3701" s="79">
        <v>355.54</v>
      </c>
      <c r="T3701" s="79">
        <v>448.67</v>
      </c>
      <c r="U3701" s="79">
        <v>0</v>
      </c>
      <c r="V3701" s="189">
        <v>448.67</v>
      </c>
      <c r="X3701" s="79">
        <v>93.13</v>
      </c>
      <c r="Y3701" s="79">
        <v>355.54</v>
      </c>
      <c r="Z3701" s="79">
        <v>448.67</v>
      </c>
      <c r="AA3701" s="255">
        <v>0</v>
      </c>
      <c r="AC3701" s="254"/>
    </row>
    <row r="3702" spans="1:29" ht="12">
      <c r="A3702" s="67" t="s">
        <v>17704</v>
      </c>
      <c r="B3702" s="65" t="s">
        <v>17705</v>
      </c>
      <c r="C3702" s="71" t="s">
        <v>121</v>
      </c>
      <c r="D3702" s="78">
        <v>1</v>
      </c>
      <c r="E3702" s="79">
        <v>881.61999999999989</v>
      </c>
      <c r="F3702" s="70">
        <v>881.62</v>
      </c>
      <c r="G3702" s="320"/>
      <c r="H3702" s="79">
        <v>780.92000000000007</v>
      </c>
      <c r="I3702" s="79">
        <v>100.69999999999999</v>
      </c>
      <c r="J3702" s="79">
        <v>881.62000000000012</v>
      </c>
      <c r="K3702" s="79">
        <v>0</v>
      </c>
      <c r="L3702" s="70">
        <v>881.62000000000012</v>
      </c>
      <c r="M3702" s="132"/>
      <c r="N3702" s="79">
        <v>780.92000000000007</v>
      </c>
      <c r="O3702" s="79">
        <v>100.69999999999999</v>
      </c>
      <c r="P3702" s="79">
        <v>881.62000000000012</v>
      </c>
      <c r="Q3702" s="136"/>
      <c r="R3702" s="79">
        <v>780.92</v>
      </c>
      <c r="S3702" s="79">
        <v>100.7</v>
      </c>
      <c r="T3702" s="79">
        <v>881.62</v>
      </c>
      <c r="U3702" s="79">
        <v>0</v>
      </c>
      <c r="V3702" s="189">
        <v>881.62</v>
      </c>
      <c r="X3702" s="79">
        <v>780.92</v>
      </c>
      <c r="Y3702" s="79">
        <v>100.7</v>
      </c>
      <c r="Z3702" s="79">
        <v>881.62</v>
      </c>
      <c r="AA3702" s="255">
        <v>0</v>
      </c>
      <c r="AC3702" s="254"/>
    </row>
    <row r="3703" spans="1:29" ht="12">
      <c r="A3703" s="67" t="s">
        <v>17706</v>
      </c>
      <c r="B3703" s="65" t="s">
        <v>17707</v>
      </c>
      <c r="C3703" s="71" t="s">
        <v>121</v>
      </c>
      <c r="D3703" s="78">
        <v>1</v>
      </c>
      <c r="E3703" s="79">
        <v>904.72</v>
      </c>
      <c r="F3703" s="70">
        <v>904.72</v>
      </c>
      <c r="G3703" s="320"/>
      <c r="H3703" s="79">
        <v>804.02</v>
      </c>
      <c r="I3703" s="79">
        <v>100.69999999999999</v>
      </c>
      <c r="J3703" s="79">
        <v>904.72</v>
      </c>
      <c r="K3703" s="79">
        <v>0</v>
      </c>
      <c r="L3703" s="70">
        <v>904.72</v>
      </c>
      <c r="M3703" s="132"/>
      <c r="N3703" s="79">
        <v>804.02</v>
      </c>
      <c r="O3703" s="79">
        <v>100.69999999999999</v>
      </c>
      <c r="P3703" s="79">
        <v>904.72</v>
      </c>
      <c r="Q3703" s="136"/>
      <c r="R3703" s="79">
        <v>804.02</v>
      </c>
      <c r="S3703" s="79">
        <v>100.7</v>
      </c>
      <c r="T3703" s="79">
        <v>904.72</v>
      </c>
      <c r="U3703" s="79">
        <v>0</v>
      </c>
      <c r="V3703" s="189">
        <v>904.72</v>
      </c>
      <c r="X3703" s="79">
        <v>804.02</v>
      </c>
      <c r="Y3703" s="79">
        <v>100.7</v>
      </c>
      <c r="Z3703" s="79">
        <v>904.72</v>
      </c>
      <c r="AA3703" s="255">
        <v>0</v>
      </c>
      <c r="AC3703" s="254"/>
    </row>
    <row r="3704" spans="1:29" ht="12">
      <c r="A3704" s="489" t="s">
        <v>17708</v>
      </c>
      <c r="B3704" s="490" t="s">
        <v>17709</v>
      </c>
      <c r="C3704" s="491"/>
      <c r="D3704" s="492"/>
      <c r="E3704" s="79"/>
      <c r="F3704" s="63"/>
      <c r="G3704" s="320"/>
      <c r="H3704" s="79"/>
      <c r="I3704" s="79"/>
      <c r="J3704" s="79"/>
      <c r="K3704" s="79"/>
      <c r="L3704" s="70"/>
      <c r="M3704" s="132"/>
      <c r="N3704" s="79"/>
      <c r="O3704" s="79"/>
      <c r="P3704" s="79"/>
      <c r="Q3704" s="136"/>
      <c r="R3704" s="79"/>
      <c r="S3704" s="79"/>
      <c r="T3704" s="79"/>
      <c r="U3704" s="79"/>
      <c r="V3704" s="189"/>
      <c r="X3704" s="79"/>
      <c r="Y3704" s="79"/>
      <c r="Z3704" s="79"/>
      <c r="AA3704" s="255"/>
      <c r="AC3704" s="254"/>
    </row>
    <row r="3705" spans="1:29" ht="12">
      <c r="A3705" s="67" t="s">
        <v>17710</v>
      </c>
      <c r="B3705" s="65" t="s">
        <v>17711</v>
      </c>
      <c r="C3705" s="71" t="s">
        <v>509</v>
      </c>
      <c r="D3705" s="78">
        <v>1</v>
      </c>
      <c r="E3705" s="79">
        <v>403.3</v>
      </c>
      <c r="F3705" s="70">
        <v>403.3</v>
      </c>
      <c r="G3705" s="320"/>
      <c r="H3705" s="79">
        <v>403.3</v>
      </c>
      <c r="I3705" s="79">
        <v>0</v>
      </c>
      <c r="J3705" s="79">
        <v>403.3</v>
      </c>
      <c r="K3705" s="79">
        <v>0</v>
      </c>
      <c r="L3705" s="70">
        <v>403.3</v>
      </c>
      <c r="M3705" s="132"/>
      <c r="N3705" s="79">
        <v>403.3</v>
      </c>
      <c r="O3705" s="79"/>
      <c r="P3705" s="79">
        <v>403.3</v>
      </c>
      <c r="Q3705" s="136"/>
      <c r="R3705" s="79">
        <v>403.3</v>
      </c>
      <c r="S3705" s="79"/>
      <c r="T3705" s="79">
        <v>403.3</v>
      </c>
      <c r="U3705" s="79">
        <v>0</v>
      </c>
      <c r="V3705" s="189">
        <v>403.3</v>
      </c>
      <c r="X3705" s="79">
        <v>403.3</v>
      </c>
      <c r="Y3705" s="79"/>
      <c r="Z3705" s="79">
        <v>403.3</v>
      </c>
      <c r="AA3705" s="255">
        <v>0</v>
      </c>
      <c r="AC3705" s="254"/>
    </row>
    <row r="3706" spans="1:29" ht="24">
      <c r="A3706" s="67" t="s">
        <v>17712</v>
      </c>
      <c r="B3706" s="65" t="s">
        <v>28067</v>
      </c>
      <c r="C3706" s="71" t="s">
        <v>509</v>
      </c>
      <c r="D3706" s="78">
        <v>1</v>
      </c>
      <c r="E3706" s="79">
        <v>138.32</v>
      </c>
      <c r="F3706" s="70">
        <v>138.32</v>
      </c>
      <c r="G3706" s="320"/>
      <c r="H3706" s="79">
        <v>125.49000000000001</v>
      </c>
      <c r="I3706" s="79">
        <v>12.83</v>
      </c>
      <c r="J3706" s="79">
        <v>138.32000000000002</v>
      </c>
      <c r="K3706" s="79">
        <v>0</v>
      </c>
      <c r="L3706" s="70">
        <v>138.32000000000002</v>
      </c>
      <c r="M3706" s="132"/>
      <c r="N3706" s="79">
        <v>125.49000000000001</v>
      </c>
      <c r="O3706" s="79">
        <v>12.83</v>
      </c>
      <c r="P3706" s="79">
        <v>138.32000000000002</v>
      </c>
      <c r="Q3706" s="136"/>
      <c r="R3706" s="79">
        <v>125.49</v>
      </c>
      <c r="S3706" s="79">
        <v>12.83</v>
      </c>
      <c r="T3706" s="79">
        <v>138.32</v>
      </c>
      <c r="U3706" s="79">
        <v>0</v>
      </c>
      <c r="V3706" s="189">
        <v>138.32</v>
      </c>
      <c r="X3706" s="79">
        <v>125.49</v>
      </c>
      <c r="Y3706" s="79">
        <v>12.83</v>
      </c>
      <c r="Z3706" s="79">
        <v>138.32</v>
      </c>
      <c r="AA3706" s="255">
        <v>0</v>
      </c>
      <c r="AC3706" s="254"/>
    </row>
    <row r="3707" spans="1:29" ht="24">
      <c r="A3707" s="67" t="s">
        <v>17713</v>
      </c>
      <c r="B3707" s="65" t="s">
        <v>17714</v>
      </c>
      <c r="C3707" s="71" t="s">
        <v>509</v>
      </c>
      <c r="D3707" s="78">
        <v>1</v>
      </c>
      <c r="E3707" s="79">
        <v>106.63000000000001</v>
      </c>
      <c r="F3707" s="70">
        <v>106.63</v>
      </c>
      <c r="G3707" s="320"/>
      <c r="H3707" s="79">
        <v>93.800000000000011</v>
      </c>
      <c r="I3707" s="79">
        <v>12.83</v>
      </c>
      <c r="J3707" s="79">
        <v>106.63000000000001</v>
      </c>
      <c r="K3707" s="79">
        <v>0</v>
      </c>
      <c r="L3707" s="70">
        <v>106.63000000000001</v>
      </c>
      <c r="M3707" s="132"/>
      <c r="N3707" s="79">
        <v>93.800000000000011</v>
      </c>
      <c r="O3707" s="79">
        <v>12.83</v>
      </c>
      <c r="P3707" s="79">
        <v>106.63000000000001</v>
      </c>
      <c r="Q3707" s="136"/>
      <c r="R3707" s="79">
        <v>93.8</v>
      </c>
      <c r="S3707" s="79">
        <v>12.83</v>
      </c>
      <c r="T3707" s="79">
        <v>106.63</v>
      </c>
      <c r="U3707" s="79">
        <v>0</v>
      </c>
      <c r="V3707" s="189">
        <v>106.63</v>
      </c>
      <c r="X3707" s="79">
        <v>93.8</v>
      </c>
      <c r="Y3707" s="79">
        <v>12.83</v>
      </c>
      <c r="Z3707" s="79">
        <v>106.63</v>
      </c>
      <c r="AA3707" s="255">
        <v>0</v>
      </c>
      <c r="AC3707" s="254"/>
    </row>
    <row r="3708" spans="1:29" ht="24">
      <c r="A3708" s="67" t="s">
        <v>17715</v>
      </c>
      <c r="B3708" s="65" t="s">
        <v>17716</v>
      </c>
      <c r="C3708" s="71" t="s">
        <v>509</v>
      </c>
      <c r="D3708" s="78">
        <v>1</v>
      </c>
      <c r="E3708" s="79">
        <v>16.670000000000002</v>
      </c>
      <c r="F3708" s="70">
        <v>16.670000000000002</v>
      </c>
      <c r="G3708" s="320"/>
      <c r="H3708" s="79">
        <v>5.21</v>
      </c>
      <c r="I3708" s="79">
        <v>11.46</v>
      </c>
      <c r="J3708" s="79">
        <v>16.670000000000002</v>
      </c>
      <c r="K3708" s="79">
        <v>0</v>
      </c>
      <c r="L3708" s="70">
        <v>16.670000000000002</v>
      </c>
      <c r="M3708" s="132"/>
      <c r="N3708" s="79">
        <v>5.21</v>
      </c>
      <c r="O3708" s="79">
        <v>11.46</v>
      </c>
      <c r="P3708" s="79">
        <v>16.670000000000002</v>
      </c>
      <c r="Q3708" s="136"/>
      <c r="R3708" s="79">
        <v>5.21</v>
      </c>
      <c r="S3708" s="79">
        <v>11.45</v>
      </c>
      <c r="T3708" s="79">
        <v>16.66</v>
      </c>
      <c r="U3708" s="79">
        <v>0</v>
      </c>
      <c r="V3708" s="189">
        <v>16.66</v>
      </c>
      <c r="X3708" s="79">
        <v>5.21</v>
      </c>
      <c r="Y3708" s="79">
        <v>11.45</v>
      </c>
      <c r="Z3708" s="79">
        <v>16.66</v>
      </c>
      <c r="AA3708" s="255">
        <v>1.0000000000001563E-2</v>
      </c>
      <c r="AC3708" s="254"/>
    </row>
    <row r="3709" spans="1:29" ht="24">
      <c r="A3709" s="67" t="s">
        <v>17717</v>
      </c>
      <c r="B3709" s="65" t="s">
        <v>17718</v>
      </c>
      <c r="C3709" s="71" t="s">
        <v>509</v>
      </c>
      <c r="D3709" s="78">
        <v>1</v>
      </c>
      <c r="E3709" s="79">
        <v>13.48</v>
      </c>
      <c r="F3709" s="70">
        <v>13.48</v>
      </c>
      <c r="G3709" s="320"/>
      <c r="H3709" s="79">
        <v>2.02</v>
      </c>
      <c r="I3709" s="79">
        <v>11.46</v>
      </c>
      <c r="J3709" s="79">
        <v>13.48</v>
      </c>
      <c r="K3709" s="79">
        <v>0</v>
      </c>
      <c r="L3709" s="70">
        <v>13.48</v>
      </c>
      <c r="M3709" s="132"/>
      <c r="N3709" s="79">
        <v>2.02</v>
      </c>
      <c r="O3709" s="79">
        <v>11.46</v>
      </c>
      <c r="P3709" s="79">
        <v>13.48</v>
      </c>
      <c r="Q3709" s="136"/>
      <c r="R3709" s="79">
        <v>2.02</v>
      </c>
      <c r="S3709" s="79">
        <v>11.45</v>
      </c>
      <c r="T3709" s="79">
        <v>13.469999999999999</v>
      </c>
      <c r="U3709" s="79">
        <v>0</v>
      </c>
      <c r="V3709" s="189">
        <v>13.469999999999999</v>
      </c>
      <c r="X3709" s="79">
        <v>2.02</v>
      </c>
      <c r="Y3709" s="79">
        <v>11.45</v>
      </c>
      <c r="Z3709" s="79">
        <v>13.47</v>
      </c>
      <c r="AA3709" s="255">
        <v>9.9999999999997868E-3</v>
      </c>
      <c r="AC3709" s="254"/>
    </row>
    <row r="3710" spans="1:29" ht="24">
      <c r="A3710" s="67" t="s">
        <v>17719</v>
      </c>
      <c r="B3710" s="65" t="s">
        <v>17720</v>
      </c>
      <c r="C3710" s="71" t="s">
        <v>509</v>
      </c>
      <c r="D3710" s="78">
        <v>1</v>
      </c>
      <c r="E3710" s="79">
        <v>169.16</v>
      </c>
      <c r="F3710" s="70">
        <v>169.16</v>
      </c>
      <c r="G3710" s="320"/>
      <c r="H3710" s="79">
        <v>136.66</v>
      </c>
      <c r="I3710" s="79">
        <v>32.5</v>
      </c>
      <c r="J3710" s="79">
        <v>169.16</v>
      </c>
      <c r="K3710" s="79">
        <v>0</v>
      </c>
      <c r="L3710" s="70">
        <v>169.16</v>
      </c>
      <c r="M3710" s="132"/>
      <c r="N3710" s="79">
        <v>136.66</v>
      </c>
      <c r="O3710" s="79">
        <v>32.5</v>
      </c>
      <c r="P3710" s="79">
        <v>169.16</v>
      </c>
      <c r="Q3710" s="136"/>
      <c r="R3710" s="79">
        <v>136.66</v>
      </c>
      <c r="S3710" s="79">
        <v>32.479999999999997</v>
      </c>
      <c r="T3710" s="79">
        <v>169.14</v>
      </c>
      <c r="U3710" s="79">
        <v>0</v>
      </c>
      <c r="V3710" s="189">
        <v>169.14</v>
      </c>
      <c r="X3710" s="79">
        <v>136.66</v>
      </c>
      <c r="Y3710" s="79">
        <v>32.479999999999997</v>
      </c>
      <c r="Z3710" s="79">
        <v>169.14</v>
      </c>
      <c r="AA3710" s="255">
        <v>2.0000000000010232E-2</v>
      </c>
      <c r="AC3710" s="254"/>
    </row>
    <row r="3711" spans="1:29" ht="12">
      <c r="A3711" s="67" t="s">
        <v>17721</v>
      </c>
      <c r="B3711" s="65" t="s">
        <v>17722</v>
      </c>
      <c r="C3711" s="71"/>
      <c r="D3711" s="78"/>
      <c r="E3711" s="79"/>
      <c r="F3711" s="70"/>
      <c r="G3711" s="320"/>
      <c r="H3711" s="79"/>
      <c r="I3711" s="79"/>
      <c r="J3711" s="79"/>
      <c r="K3711" s="79"/>
      <c r="L3711" s="70"/>
      <c r="M3711" s="132"/>
      <c r="N3711" s="79"/>
      <c r="O3711" s="79"/>
      <c r="P3711" s="79"/>
      <c r="Q3711" s="136"/>
      <c r="R3711" s="79"/>
      <c r="S3711" s="79"/>
      <c r="T3711" s="79"/>
      <c r="U3711" s="79"/>
      <c r="V3711" s="189"/>
      <c r="X3711" s="79"/>
      <c r="Y3711" s="79"/>
      <c r="Z3711" s="79"/>
      <c r="AA3711" s="255"/>
      <c r="AC3711" s="254"/>
    </row>
    <row r="3712" spans="1:29" ht="24">
      <c r="A3712" s="67" t="s">
        <v>17723</v>
      </c>
      <c r="B3712" s="65" t="s">
        <v>17724</v>
      </c>
      <c r="C3712" s="71" t="s">
        <v>509</v>
      </c>
      <c r="D3712" s="78">
        <v>1</v>
      </c>
      <c r="E3712" s="79">
        <v>0.56000000000000005</v>
      </c>
      <c r="F3712" s="70">
        <v>0.56000000000000005</v>
      </c>
      <c r="G3712" s="320"/>
      <c r="H3712" s="79">
        <v>0.26</v>
      </c>
      <c r="I3712" s="79">
        <v>0.30000000000000004</v>
      </c>
      <c r="J3712" s="79">
        <v>0.56000000000000005</v>
      </c>
      <c r="K3712" s="79">
        <v>0</v>
      </c>
      <c r="L3712" s="70">
        <v>0.56000000000000005</v>
      </c>
      <c r="M3712" s="132"/>
      <c r="N3712" s="79">
        <v>0.26</v>
      </c>
      <c r="O3712" s="79">
        <v>0.30000000000000004</v>
      </c>
      <c r="P3712" s="79">
        <v>0.56000000000000005</v>
      </c>
      <c r="Q3712" s="136"/>
      <c r="R3712" s="79">
        <v>0.26</v>
      </c>
      <c r="S3712" s="79">
        <v>0.3</v>
      </c>
      <c r="T3712" s="79">
        <v>0.56000000000000005</v>
      </c>
      <c r="U3712" s="79">
        <v>0</v>
      </c>
      <c r="V3712" s="189">
        <v>0.56000000000000005</v>
      </c>
      <c r="X3712" s="79">
        <v>0.26</v>
      </c>
      <c r="Y3712" s="79">
        <v>0.3</v>
      </c>
      <c r="Z3712" s="79">
        <v>0.56000000000000005</v>
      </c>
      <c r="AA3712" s="255">
        <v>0</v>
      </c>
      <c r="AC3712" s="254"/>
    </row>
    <row r="3713" spans="1:31" ht="12">
      <c r="A3713" s="67" t="s">
        <v>17725</v>
      </c>
      <c r="B3713" s="65" t="s">
        <v>17726</v>
      </c>
      <c r="C3713" s="71" t="s">
        <v>509</v>
      </c>
      <c r="D3713" s="78">
        <v>1</v>
      </c>
      <c r="E3713" s="79">
        <v>1.31</v>
      </c>
      <c r="F3713" s="70">
        <v>1.31</v>
      </c>
      <c r="G3713" s="320"/>
      <c r="H3713" s="79">
        <v>1.01</v>
      </c>
      <c r="I3713" s="79">
        <v>0.30000000000000004</v>
      </c>
      <c r="J3713" s="79">
        <v>1.31</v>
      </c>
      <c r="K3713" s="79">
        <v>0</v>
      </c>
      <c r="L3713" s="70">
        <v>1.31</v>
      </c>
      <c r="M3713" s="132"/>
      <c r="N3713" s="79">
        <v>1.01</v>
      </c>
      <c r="O3713" s="79">
        <v>0.30000000000000004</v>
      </c>
      <c r="P3713" s="79">
        <v>1.31</v>
      </c>
      <c r="Q3713" s="136"/>
      <c r="R3713" s="79">
        <v>1.01</v>
      </c>
      <c r="S3713" s="79">
        <v>0.3</v>
      </c>
      <c r="T3713" s="79">
        <v>1.31</v>
      </c>
      <c r="U3713" s="79">
        <v>0</v>
      </c>
      <c r="V3713" s="189">
        <v>1.31</v>
      </c>
      <c r="X3713" s="79">
        <v>1.01</v>
      </c>
      <c r="Y3713" s="79">
        <v>0.3</v>
      </c>
      <c r="Z3713" s="79">
        <v>1.31</v>
      </c>
      <c r="AA3713" s="255">
        <v>0</v>
      </c>
      <c r="AC3713" s="254"/>
    </row>
    <row r="3714" spans="1:31" ht="11">
      <c r="A3714" s="256" t="s">
        <v>40980</v>
      </c>
      <c r="B3714" s="256" t="s">
        <v>40981</v>
      </c>
      <c r="C3714" s="71" t="s">
        <v>509</v>
      </c>
      <c r="D3714" s="78">
        <v>1</v>
      </c>
      <c r="E3714" s="79">
        <v>3.6</v>
      </c>
      <c r="F3714" s="70">
        <v>3.6</v>
      </c>
      <c r="G3714" s="320"/>
      <c r="H3714" s="79">
        <v>3.42</v>
      </c>
      <c r="I3714" s="79">
        <v>0.18</v>
      </c>
      <c r="J3714" s="79">
        <v>3.6</v>
      </c>
      <c r="K3714" s="79">
        <v>0</v>
      </c>
      <c r="L3714" s="70">
        <v>3.6</v>
      </c>
      <c r="M3714" s="132"/>
      <c r="N3714" s="79">
        <v>3.42</v>
      </c>
      <c r="O3714" s="79">
        <v>0.18</v>
      </c>
      <c r="P3714" s="79">
        <v>3.6</v>
      </c>
      <c r="Q3714" s="136"/>
      <c r="R3714" s="79">
        <v>3.42</v>
      </c>
      <c r="S3714" s="79">
        <v>0.19</v>
      </c>
      <c r="T3714" s="79">
        <v>3.61</v>
      </c>
      <c r="U3714" s="79">
        <v>0</v>
      </c>
      <c r="V3714" s="189">
        <v>3.61</v>
      </c>
      <c r="X3714" s="79">
        <v>3.42</v>
      </c>
      <c r="Y3714" s="79">
        <v>0.19</v>
      </c>
      <c r="Z3714" s="79">
        <v>3.61</v>
      </c>
      <c r="AA3714" s="255">
        <v>-9.9999999999997868E-3</v>
      </c>
      <c r="AB3714" s="236"/>
      <c r="AC3714" s="236"/>
    </row>
    <row r="3715" spans="1:31" s="61" customFormat="1" ht="12">
      <c r="A3715" s="67" t="s">
        <v>17727</v>
      </c>
      <c r="B3715" s="65" t="s">
        <v>17728</v>
      </c>
      <c r="C3715" s="71" t="s">
        <v>207</v>
      </c>
      <c r="D3715" s="78">
        <v>1</v>
      </c>
      <c r="E3715" s="79">
        <v>43.69</v>
      </c>
      <c r="F3715" s="70">
        <v>43.69</v>
      </c>
      <c r="G3715" s="320"/>
      <c r="H3715" s="79">
        <v>43.51</v>
      </c>
      <c r="I3715" s="79">
        <v>0.18</v>
      </c>
      <c r="J3715" s="79">
        <v>43.69</v>
      </c>
      <c r="K3715" s="79">
        <v>0</v>
      </c>
      <c r="L3715" s="70">
        <v>43.69</v>
      </c>
      <c r="M3715" s="132"/>
      <c r="N3715" s="79">
        <v>43.51</v>
      </c>
      <c r="O3715" s="79">
        <v>0.18</v>
      </c>
      <c r="P3715" s="79">
        <v>43.69</v>
      </c>
      <c r="Q3715" s="136"/>
      <c r="R3715" s="79">
        <v>43.51</v>
      </c>
      <c r="S3715" s="79">
        <v>0.18</v>
      </c>
      <c r="T3715" s="79">
        <v>43.69</v>
      </c>
      <c r="U3715" s="79">
        <v>0</v>
      </c>
      <c r="V3715" s="189">
        <v>43.69</v>
      </c>
      <c r="X3715" s="79">
        <v>43.51</v>
      </c>
      <c r="Y3715" s="79">
        <v>0.18</v>
      </c>
      <c r="Z3715" s="79">
        <v>43.69</v>
      </c>
      <c r="AA3715" s="255">
        <v>0</v>
      </c>
      <c r="AC3715" s="254"/>
    </row>
    <row r="3716" spans="1:31" ht="12">
      <c r="A3716" s="67" t="s">
        <v>17729</v>
      </c>
      <c r="B3716" s="65" t="s">
        <v>17730</v>
      </c>
      <c r="C3716" s="71" t="s">
        <v>207</v>
      </c>
      <c r="D3716" s="78">
        <v>1</v>
      </c>
      <c r="E3716" s="79">
        <v>32.97</v>
      </c>
      <c r="F3716" s="70">
        <v>32.97</v>
      </c>
      <c r="G3716" s="320"/>
      <c r="H3716" s="79">
        <v>32.79</v>
      </c>
      <c r="I3716" s="79">
        <v>0.18</v>
      </c>
      <c r="J3716" s="79">
        <v>32.97</v>
      </c>
      <c r="K3716" s="79">
        <v>0</v>
      </c>
      <c r="L3716" s="70">
        <v>32.97</v>
      </c>
      <c r="M3716" s="132"/>
      <c r="N3716" s="79">
        <v>32.79</v>
      </c>
      <c r="O3716" s="79">
        <v>0.18</v>
      </c>
      <c r="P3716" s="79">
        <v>32.97</v>
      </c>
      <c r="Q3716" s="136"/>
      <c r="R3716" s="79">
        <v>32.79</v>
      </c>
      <c r="S3716" s="79">
        <v>0.18</v>
      </c>
      <c r="T3716" s="79">
        <v>32.97</v>
      </c>
      <c r="U3716" s="79">
        <v>0</v>
      </c>
      <c r="V3716" s="189">
        <v>32.97</v>
      </c>
      <c r="X3716" s="79">
        <v>32.79</v>
      </c>
      <c r="Y3716" s="79">
        <v>0.18</v>
      </c>
      <c r="Z3716" s="79">
        <v>32.97</v>
      </c>
      <c r="AA3716" s="255">
        <v>0</v>
      </c>
      <c r="AC3716" s="254"/>
    </row>
    <row r="3717" spans="1:31" ht="12">
      <c r="A3717" s="67" t="s">
        <v>41617</v>
      </c>
      <c r="B3717" s="65" t="s">
        <v>41618</v>
      </c>
      <c r="C3717" s="71"/>
      <c r="D3717" s="78"/>
      <c r="E3717" s="79"/>
      <c r="F3717" s="70"/>
      <c r="G3717" s="320"/>
      <c r="H3717" s="79"/>
      <c r="I3717" s="79"/>
      <c r="J3717" s="79"/>
      <c r="K3717" s="79"/>
      <c r="L3717" s="70"/>
      <c r="M3717" s="132"/>
      <c r="N3717" s="79"/>
      <c r="O3717" s="79"/>
      <c r="P3717" s="79"/>
      <c r="Q3717" s="136"/>
      <c r="R3717" s="79"/>
      <c r="S3717" s="79"/>
      <c r="T3717" s="79"/>
      <c r="U3717" s="79"/>
      <c r="V3717" s="189"/>
      <c r="X3717" s="79"/>
      <c r="Y3717" s="79"/>
      <c r="Z3717" s="79"/>
      <c r="AA3717" s="255"/>
      <c r="AC3717" s="254"/>
    </row>
    <row r="3718" spans="1:31" ht="12">
      <c r="A3718" s="67" t="s">
        <v>41619</v>
      </c>
      <c r="B3718" s="65" t="s">
        <v>41620</v>
      </c>
      <c r="C3718" s="71" t="s">
        <v>121</v>
      </c>
      <c r="D3718" s="78">
        <v>1</v>
      </c>
      <c r="E3718" s="79">
        <v>1793.01</v>
      </c>
      <c r="F3718" s="70">
        <v>1793.01</v>
      </c>
      <c r="G3718" s="320"/>
      <c r="H3718" s="79">
        <v>1774.09</v>
      </c>
      <c r="I3718" s="79">
        <v>18.920000000000002</v>
      </c>
      <c r="J3718" s="79">
        <v>1793.01</v>
      </c>
      <c r="K3718" s="79">
        <v>0</v>
      </c>
      <c r="L3718" s="70">
        <v>1793.01</v>
      </c>
      <c r="M3718" s="132"/>
      <c r="N3718" s="79">
        <v>1774.09</v>
      </c>
      <c r="O3718" s="79">
        <v>18.920000000000002</v>
      </c>
      <c r="P3718" s="79">
        <v>1793.01</v>
      </c>
      <c r="Q3718" s="136"/>
      <c r="R3718" s="79">
        <v>1774.09</v>
      </c>
      <c r="S3718" s="79">
        <v>18.920000000000002</v>
      </c>
      <c r="T3718" s="79">
        <v>1793.01</v>
      </c>
      <c r="U3718" s="79">
        <v>0</v>
      </c>
      <c r="V3718" s="189">
        <v>1793.01</v>
      </c>
      <c r="X3718" s="79">
        <v>1774.09</v>
      </c>
      <c r="Y3718" s="79">
        <v>18.920000000000002</v>
      </c>
      <c r="Z3718" s="79">
        <v>1793.01</v>
      </c>
      <c r="AA3718" s="255">
        <v>0</v>
      </c>
      <c r="AC3718" s="254"/>
    </row>
    <row r="3719" spans="1:31" ht="12">
      <c r="A3719" s="489" t="s">
        <v>17731</v>
      </c>
      <c r="B3719" s="490" t="s">
        <v>17732</v>
      </c>
      <c r="C3719" s="491"/>
      <c r="D3719" s="492"/>
      <c r="E3719" s="79"/>
      <c r="F3719" s="63"/>
      <c r="G3719" s="320"/>
      <c r="H3719" s="79"/>
      <c r="I3719" s="79"/>
      <c r="J3719" s="79"/>
      <c r="K3719" s="79"/>
      <c r="L3719" s="70"/>
      <c r="M3719" s="132"/>
      <c r="N3719" s="79"/>
      <c r="O3719" s="79"/>
      <c r="P3719" s="79"/>
      <c r="Q3719" s="136"/>
      <c r="R3719" s="79"/>
      <c r="S3719" s="79"/>
      <c r="T3719" s="79"/>
      <c r="U3719" s="79"/>
      <c r="V3719" s="189"/>
      <c r="X3719" s="79"/>
      <c r="Y3719" s="79"/>
      <c r="Z3719" s="79"/>
      <c r="AA3719" s="255"/>
      <c r="AC3719" s="254"/>
    </row>
    <row r="3720" spans="1:31" ht="12">
      <c r="A3720" s="67" t="s">
        <v>17733</v>
      </c>
      <c r="B3720" s="65" t="s">
        <v>17734</v>
      </c>
      <c r="C3720" s="71" t="s">
        <v>165</v>
      </c>
      <c r="D3720" s="78">
        <v>1</v>
      </c>
      <c r="E3720" s="79">
        <v>87.050000000000011</v>
      </c>
      <c r="F3720" s="70">
        <v>87.05</v>
      </c>
      <c r="G3720" s="320"/>
      <c r="H3720" s="79">
        <v>71.37</v>
      </c>
      <c r="I3720" s="79">
        <v>15.68</v>
      </c>
      <c r="J3720" s="79">
        <v>87.050000000000011</v>
      </c>
      <c r="K3720" s="79">
        <v>0</v>
      </c>
      <c r="L3720" s="70">
        <v>87.050000000000011</v>
      </c>
      <c r="M3720" s="132"/>
      <c r="N3720" s="79">
        <v>71.37</v>
      </c>
      <c r="O3720" s="79">
        <v>15.68</v>
      </c>
      <c r="P3720" s="79">
        <v>87.050000000000011</v>
      </c>
      <c r="Q3720" s="136"/>
      <c r="R3720" s="79">
        <v>71.37</v>
      </c>
      <c r="S3720" s="79">
        <v>15.67</v>
      </c>
      <c r="T3720" s="79">
        <v>87.04</v>
      </c>
      <c r="U3720" s="79">
        <v>0</v>
      </c>
      <c r="V3720" s="189">
        <v>87.04</v>
      </c>
      <c r="X3720" s="79">
        <v>71.37</v>
      </c>
      <c r="Y3720" s="79">
        <v>15.67</v>
      </c>
      <c r="Z3720" s="79">
        <v>87.04</v>
      </c>
      <c r="AA3720" s="255">
        <v>9.9999999999909051E-3</v>
      </c>
      <c r="AC3720" s="254"/>
    </row>
    <row r="3721" spans="1:31" ht="12">
      <c r="A3721" s="67" t="s">
        <v>17735</v>
      </c>
      <c r="B3721" s="65" t="s">
        <v>17736</v>
      </c>
      <c r="C3721" s="71" t="s">
        <v>103</v>
      </c>
      <c r="D3721" s="78">
        <v>1</v>
      </c>
      <c r="E3721" s="79">
        <v>151.32</v>
      </c>
      <c r="F3721" s="70">
        <v>151.32</v>
      </c>
      <c r="G3721" s="320"/>
      <c r="H3721" s="79">
        <v>129.30000000000001</v>
      </c>
      <c r="I3721" s="79">
        <v>22.02</v>
      </c>
      <c r="J3721" s="79">
        <v>151.32000000000002</v>
      </c>
      <c r="K3721" s="79">
        <v>0</v>
      </c>
      <c r="L3721" s="70">
        <v>151.32000000000002</v>
      </c>
      <c r="M3721" s="132"/>
      <c r="N3721" s="79">
        <v>129.30000000000001</v>
      </c>
      <c r="O3721" s="79">
        <v>22.02</v>
      </c>
      <c r="P3721" s="79">
        <v>151.32000000000002</v>
      </c>
      <c r="Q3721" s="136"/>
      <c r="R3721" s="79">
        <v>129.30000000000001</v>
      </c>
      <c r="S3721" s="79">
        <v>22.02</v>
      </c>
      <c r="T3721" s="79">
        <v>151.32000000000002</v>
      </c>
      <c r="U3721" s="79">
        <v>0</v>
      </c>
      <c r="V3721" s="189">
        <v>151.32000000000002</v>
      </c>
      <c r="X3721" s="79">
        <v>129.30000000000001</v>
      </c>
      <c r="Y3721" s="79">
        <v>22.02</v>
      </c>
      <c r="Z3721" s="79">
        <v>151.32</v>
      </c>
      <c r="AA3721" s="498">
        <v>0</v>
      </c>
      <c r="AC3721" s="245"/>
    </row>
    <row r="3722" spans="1:31" ht="12">
      <c r="A3722" s="67" t="s">
        <v>17737</v>
      </c>
      <c r="B3722" s="65" t="s">
        <v>17738</v>
      </c>
      <c r="C3722" s="71" t="s">
        <v>165</v>
      </c>
      <c r="D3722" s="78">
        <v>1</v>
      </c>
      <c r="E3722" s="79">
        <v>24.6</v>
      </c>
      <c r="F3722" s="70">
        <v>24.6</v>
      </c>
      <c r="G3722" s="320"/>
      <c r="H3722" s="79">
        <v>10.91</v>
      </c>
      <c r="I3722" s="79">
        <v>13.690000000000001</v>
      </c>
      <c r="J3722" s="79">
        <v>24.6</v>
      </c>
      <c r="K3722" s="79">
        <v>0</v>
      </c>
      <c r="L3722" s="70">
        <v>24.6</v>
      </c>
      <c r="M3722" s="132"/>
      <c r="N3722" s="79">
        <v>10.91</v>
      </c>
      <c r="O3722" s="79">
        <v>13.690000000000001</v>
      </c>
      <c r="P3722" s="79">
        <v>24.6</v>
      </c>
      <c r="Q3722" s="136"/>
      <c r="R3722" s="79">
        <v>10.91</v>
      </c>
      <c r="S3722" s="79">
        <v>13.71</v>
      </c>
      <c r="T3722" s="79">
        <v>24.62</v>
      </c>
      <c r="U3722" s="79">
        <v>0</v>
      </c>
      <c r="V3722" s="189">
        <v>24.62</v>
      </c>
      <c r="X3722" s="79">
        <v>10.91</v>
      </c>
      <c r="Y3722" s="79">
        <v>13.71</v>
      </c>
      <c r="Z3722" s="79">
        <v>24.62</v>
      </c>
      <c r="AA3722" s="255">
        <v>-1.9999999999999574E-2</v>
      </c>
      <c r="AC3722" s="254"/>
      <c r="AD3722" s="61"/>
      <c r="AE3722" s="61"/>
    </row>
    <row r="3723" spans="1:31" ht="12">
      <c r="A3723" s="67" t="s">
        <v>17739</v>
      </c>
      <c r="B3723" s="65" t="s">
        <v>17740</v>
      </c>
      <c r="C3723" s="71" t="s">
        <v>509</v>
      </c>
      <c r="D3723" s="78">
        <v>1</v>
      </c>
      <c r="E3723" s="79">
        <v>46.94</v>
      </c>
      <c r="F3723" s="70">
        <v>46.94</v>
      </c>
      <c r="G3723" s="320"/>
      <c r="H3723" s="79">
        <v>17.89</v>
      </c>
      <c r="I3723" s="79">
        <v>29.05</v>
      </c>
      <c r="J3723" s="79">
        <v>46.94</v>
      </c>
      <c r="K3723" s="79">
        <v>0</v>
      </c>
      <c r="L3723" s="70">
        <v>46.94</v>
      </c>
      <c r="M3723" s="132"/>
      <c r="N3723" s="79">
        <v>17.89</v>
      </c>
      <c r="O3723" s="79">
        <v>29.05</v>
      </c>
      <c r="P3723" s="79">
        <v>46.94</v>
      </c>
      <c r="Q3723" s="136"/>
      <c r="R3723" s="79">
        <v>17.89</v>
      </c>
      <c r="S3723" s="79">
        <v>29.04</v>
      </c>
      <c r="T3723" s="79">
        <v>46.93</v>
      </c>
      <c r="U3723" s="79">
        <v>0</v>
      </c>
      <c r="V3723" s="189">
        <v>46.93</v>
      </c>
      <c r="X3723" s="79">
        <v>17.89</v>
      </c>
      <c r="Y3723" s="79">
        <v>29.04</v>
      </c>
      <c r="Z3723" s="79">
        <v>46.93</v>
      </c>
      <c r="AA3723" s="255">
        <v>9.9999999999980105E-3</v>
      </c>
      <c r="AC3723" s="254"/>
      <c r="AD3723" s="61"/>
      <c r="AE3723" s="61"/>
    </row>
    <row r="3724" spans="1:31" ht="24">
      <c r="A3724" s="67" t="s">
        <v>17741</v>
      </c>
      <c r="B3724" s="65" t="s">
        <v>17742</v>
      </c>
      <c r="C3724" s="71" t="s">
        <v>509</v>
      </c>
      <c r="D3724" s="78">
        <v>1</v>
      </c>
      <c r="E3724" s="79">
        <v>28.99</v>
      </c>
      <c r="F3724" s="70">
        <v>28.99</v>
      </c>
      <c r="G3724" s="320"/>
      <c r="H3724" s="79">
        <v>11.05</v>
      </c>
      <c r="I3724" s="79">
        <v>17.940000000000001</v>
      </c>
      <c r="J3724" s="79">
        <v>28.990000000000002</v>
      </c>
      <c r="K3724" s="79">
        <v>0</v>
      </c>
      <c r="L3724" s="70">
        <v>28.990000000000002</v>
      </c>
      <c r="M3724" s="132"/>
      <c r="N3724" s="79">
        <v>11.05</v>
      </c>
      <c r="O3724" s="79">
        <v>17.940000000000001</v>
      </c>
      <c r="P3724" s="79">
        <v>28.990000000000002</v>
      </c>
      <c r="Q3724" s="136"/>
      <c r="R3724" s="79">
        <v>11.05</v>
      </c>
      <c r="S3724" s="79">
        <v>17.93</v>
      </c>
      <c r="T3724" s="79">
        <v>28.98</v>
      </c>
      <c r="U3724" s="79">
        <v>0</v>
      </c>
      <c r="V3724" s="189">
        <v>28.98</v>
      </c>
      <c r="X3724" s="79">
        <v>11.05</v>
      </c>
      <c r="Y3724" s="79">
        <v>17.93</v>
      </c>
      <c r="Z3724" s="79">
        <v>28.98</v>
      </c>
      <c r="AA3724" s="255">
        <v>9.9999999999980105E-3</v>
      </c>
      <c r="AC3724" s="254"/>
    </row>
    <row r="3725" spans="1:31" s="61" customFormat="1" ht="24">
      <c r="A3725" s="67" t="s">
        <v>17743</v>
      </c>
      <c r="B3725" s="65" t="s">
        <v>17744</v>
      </c>
      <c r="C3725" s="71" t="s">
        <v>509</v>
      </c>
      <c r="D3725" s="78">
        <v>1</v>
      </c>
      <c r="E3725" s="79">
        <v>31.970000000000002</v>
      </c>
      <c r="F3725" s="70">
        <v>31.97</v>
      </c>
      <c r="G3725" s="320"/>
      <c r="H3725" s="79">
        <v>11.18</v>
      </c>
      <c r="I3725" s="79">
        <v>20.79</v>
      </c>
      <c r="J3725" s="79">
        <v>31.97</v>
      </c>
      <c r="K3725" s="79">
        <v>0</v>
      </c>
      <c r="L3725" s="70">
        <v>31.97</v>
      </c>
      <c r="M3725" s="132"/>
      <c r="N3725" s="79">
        <v>11.18</v>
      </c>
      <c r="O3725" s="79">
        <v>20.79</v>
      </c>
      <c r="P3725" s="79">
        <v>31.97</v>
      </c>
      <c r="Q3725" s="136"/>
      <c r="R3725" s="79">
        <v>11.18</v>
      </c>
      <c r="S3725" s="79">
        <v>20.78</v>
      </c>
      <c r="T3725" s="79">
        <v>31.96</v>
      </c>
      <c r="U3725" s="79">
        <v>0</v>
      </c>
      <c r="V3725" s="189">
        <v>31.96</v>
      </c>
      <c r="X3725" s="79">
        <v>11.18</v>
      </c>
      <c r="Y3725" s="79">
        <v>20.78</v>
      </c>
      <c r="Z3725" s="79">
        <v>31.96</v>
      </c>
      <c r="AA3725" s="255">
        <v>9.9999999999980105E-3</v>
      </c>
      <c r="AC3725" s="254"/>
      <c r="AD3725" s="236"/>
      <c r="AE3725" s="236"/>
    </row>
    <row r="3726" spans="1:31" ht="24">
      <c r="A3726" s="67" t="s">
        <v>17745</v>
      </c>
      <c r="B3726" s="65" t="s">
        <v>17746</v>
      </c>
      <c r="C3726" s="71" t="s">
        <v>509</v>
      </c>
      <c r="D3726" s="78">
        <v>1</v>
      </c>
      <c r="E3726" s="79">
        <v>36.33</v>
      </c>
      <c r="F3726" s="70">
        <v>36.33</v>
      </c>
      <c r="G3726" s="320"/>
      <c r="H3726" s="79">
        <v>11.38</v>
      </c>
      <c r="I3726" s="79">
        <v>24.95</v>
      </c>
      <c r="J3726" s="79">
        <v>36.33</v>
      </c>
      <c r="K3726" s="79">
        <v>0</v>
      </c>
      <c r="L3726" s="70">
        <v>36.33</v>
      </c>
      <c r="M3726" s="132"/>
      <c r="N3726" s="79">
        <v>11.38</v>
      </c>
      <c r="O3726" s="79">
        <v>24.95</v>
      </c>
      <c r="P3726" s="79">
        <v>36.33</v>
      </c>
      <c r="Q3726" s="136"/>
      <c r="R3726" s="79">
        <v>11.38</v>
      </c>
      <c r="S3726" s="79">
        <v>24.96</v>
      </c>
      <c r="T3726" s="79">
        <v>36.340000000000003</v>
      </c>
      <c r="U3726" s="79">
        <v>0</v>
      </c>
      <c r="V3726" s="189">
        <v>36.340000000000003</v>
      </c>
      <c r="X3726" s="79">
        <v>11.38</v>
      </c>
      <c r="Y3726" s="79">
        <v>24.96</v>
      </c>
      <c r="Z3726" s="79">
        <v>36.340000000000003</v>
      </c>
      <c r="AA3726" s="255">
        <v>-1.0000000000005116E-2</v>
      </c>
      <c r="AC3726" s="254"/>
    </row>
    <row r="3727" spans="1:31" ht="24">
      <c r="A3727" s="67" t="s">
        <v>40982</v>
      </c>
      <c r="B3727" s="65" t="s">
        <v>40983</v>
      </c>
      <c r="C3727" s="71" t="s">
        <v>165</v>
      </c>
      <c r="D3727" s="78">
        <v>1</v>
      </c>
      <c r="E3727" s="79">
        <v>0.53</v>
      </c>
      <c r="F3727" s="70">
        <v>0.53</v>
      </c>
      <c r="G3727" s="320"/>
      <c r="H3727" s="79">
        <v>7.0000000000000007E-2</v>
      </c>
      <c r="I3727" s="79">
        <v>0.46</v>
      </c>
      <c r="J3727" s="79">
        <v>0.53</v>
      </c>
      <c r="K3727" s="79">
        <v>0</v>
      </c>
      <c r="L3727" s="70">
        <v>0.53</v>
      </c>
      <c r="M3727" s="132"/>
      <c r="N3727" s="79">
        <v>7.0000000000000007E-2</v>
      </c>
      <c r="O3727" s="79">
        <v>0.46</v>
      </c>
      <c r="P3727" s="79">
        <v>0.53</v>
      </c>
      <c r="Q3727" s="136"/>
      <c r="R3727" s="79">
        <v>7.0000000000000007E-2</v>
      </c>
      <c r="S3727" s="79">
        <v>0.46</v>
      </c>
      <c r="T3727" s="79">
        <v>0.53</v>
      </c>
      <c r="U3727" s="79">
        <v>0</v>
      </c>
      <c r="V3727" s="189">
        <v>0.53</v>
      </c>
      <c r="X3727" s="79">
        <v>7.0000000000000007E-2</v>
      </c>
      <c r="Y3727" s="79">
        <v>0.46</v>
      </c>
      <c r="Z3727" s="79">
        <v>0.53</v>
      </c>
      <c r="AA3727" s="255">
        <v>0</v>
      </c>
      <c r="AC3727" s="254"/>
    </row>
    <row r="3728" spans="1:31" ht="12">
      <c r="A3728" s="489" t="s">
        <v>17747</v>
      </c>
      <c r="B3728" s="490" t="s">
        <v>17748</v>
      </c>
      <c r="C3728" s="491"/>
      <c r="D3728" s="492"/>
      <c r="E3728" s="79"/>
      <c r="F3728" s="63"/>
      <c r="G3728" s="320"/>
      <c r="H3728" s="79"/>
      <c r="I3728" s="79"/>
      <c r="J3728" s="79"/>
      <c r="K3728" s="79"/>
      <c r="L3728" s="70"/>
      <c r="M3728" s="132"/>
      <c r="N3728" s="79"/>
      <c r="O3728" s="79"/>
      <c r="P3728" s="79"/>
      <c r="Q3728" s="136"/>
      <c r="R3728" s="79"/>
      <c r="S3728" s="79"/>
      <c r="T3728" s="79"/>
      <c r="U3728" s="79"/>
      <c r="V3728" s="189"/>
      <c r="X3728" s="79"/>
      <c r="Y3728" s="79"/>
      <c r="Z3728" s="79"/>
      <c r="AA3728" s="255"/>
      <c r="AC3728" s="254"/>
    </row>
    <row r="3729" spans="1:31" ht="12">
      <c r="A3729" s="489" t="s">
        <v>17749</v>
      </c>
      <c r="B3729" s="490" t="s">
        <v>17750</v>
      </c>
      <c r="C3729" s="491"/>
      <c r="D3729" s="492"/>
      <c r="E3729" s="79"/>
      <c r="F3729" s="63"/>
      <c r="G3729" s="320"/>
      <c r="H3729" s="79"/>
      <c r="I3729" s="79"/>
      <c r="J3729" s="79"/>
      <c r="K3729" s="79"/>
      <c r="L3729" s="70"/>
      <c r="M3729" s="132"/>
      <c r="N3729" s="79"/>
      <c r="O3729" s="79"/>
      <c r="P3729" s="79"/>
      <c r="Q3729" s="136"/>
      <c r="R3729" s="79"/>
      <c r="S3729" s="79"/>
      <c r="T3729" s="79"/>
      <c r="U3729" s="79"/>
      <c r="V3729" s="189"/>
      <c r="X3729" s="79"/>
      <c r="Y3729" s="79"/>
      <c r="Z3729" s="79"/>
      <c r="AA3729" s="255"/>
      <c r="AC3729" s="254"/>
    </row>
    <row r="3730" spans="1:31" ht="12">
      <c r="A3730" s="67" t="s">
        <v>17751</v>
      </c>
      <c r="B3730" s="65" t="s">
        <v>17752</v>
      </c>
      <c r="C3730" s="71" t="s">
        <v>509</v>
      </c>
      <c r="D3730" s="78">
        <v>1</v>
      </c>
      <c r="E3730" s="79">
        <v>15.91</v>
      </c>
      <c r="F3730" s="70">
        <v>15.91</v>
      </c>
      <c r="G3730" s="320"/>
      <c r="H3730" s="79">
        <v>0</v>
      </c>
      <c r="I3730" s="79">
        <v>15.91</v>
      </c>
      <c r="J3730" s="79">
        <v>15.91</v>
      </c>
      <c r="K3730" s="79">
        <v>0</v>
      </c>
      <c r="L3730" s="70">
        <v>15.91</v>
      </c>
      <c r="M3730" s="132"/>
      <c r="N3730" s="79"/>
      <c r="O3730" s="79">
        <v>15.91</v>
      </c>
      <c r="P3730" s="79">
        <v>15.91</v>
      </c>
      <c r="Q3730" s="136"/>
      <c r="R3730" s="79"/>
      <c r="S3730" s="79">
        <v>15.9</v>
      </c>
      <c r="T3730" s="79">
        <v>15.9</v>
      </c>
      <c r="U3730" s="79">
        <v>0</v>
      </c>
      <c r="V3730" s="189">
        <v>15.9</v>
      </c>
      <c r="X3730" s="79"/>
      <c r="Y3730" s="79">
        <v>15.9</v>
      </c>
      <c r="Z3730" s="79">
        <v>15.9</v>
      </c>
      <c r="AA3730" s="255">
        <v>9.9999999999997868E-3</v>
      </c>
      <c r="AC3730" s="254"/>
    </row>
    <row r="3731" spans="1:31" ht="12">
      <c r="A3731" s="67" t="s">
        <v>17753</v>
      </c>
      <c r="B3731" s="65" t="s">
        <v>17754</v>
      </c>
      <c r="C3731" s="71" t="s">
        <v>509</v>
      </c>
      <c r="D3731" s="78">
        <v>1</v>
      </c>
      <c r="E3731" s="79">
        <v>9.4700000000000006</v>
      </c>
      <c r="F3731" s="70">
        <v>9.4700000000000006</v>
      </c>
      <c r="G3731" s="320"/>
      <c r="H3731" s="79">
        <v>2.9</v>
      </c>
      <c r="I3731" s="79">
        <v>6.57</v>
      </c>
      <c r="J3731" s="79">
        <v>9.4700000000000006</v>
      </c>
      <c r="K3731" s="79">
        <v>0</v>
      </c>
      <c r="L3731" s="70">
        <v>9.4700000000000006</v>
      </c>
      <c r="M3731" s="132"/>
      <c r="N3731" s="79">
        <v>2.9</v>
      </c>
      <c r="O3731" s="79">
        <v>6.57</v>
      </c>
      <c r="P3731" s="79">
        <v>9.4700000000000006</v>
      </c>
      <c r="Q3731" s="136"/>
      <c r="R3731" s="79">
        <v>2.9</v>
      </c>
      <c r="S3731" s="79">
        <v>6.56</v>
      </c>
      <c r="T3731" s="79">
        <v>9.4599999999999991</v>
      </c>
      <c r="U3731" s="79">
        <v>0</v>
      </c>
      <c r="V3731" s="189">
        <v>9.4599999999999991</v>
      </c>
      <c r="X3731" s="79">
        <v>2.9</v>
      </c>
      <c r="Y3731" s="79">
        <v>6.56</v>
      </c>
      <c r="Z3731" s="79">
        <v>9.4600000000000009</v>
      </c>
      <c r="AA3731" s="255">
        <v>9.9999999999997868E-3</v>
      </c>
      <c r="AC3731" s="254"/>
    </row>
    <row r="3732" spans="1:31" ht="12">
      <c r="A3732" s="67" t="s">
        <v>17755</v>
      </c>
      <c r="B3732" s="65" t="s">
        <v>17756</v>
      </c>
      <c r="C3732" s="71" t="s">
        <v>509</v>
      </c>
      <c r="D3732" s="78">
        <v>1</v>
      </c>
      <c r="E3732" s="79">
        <v>6.77</v>
      </c>
      <c r="F3732" s="70">
        <v>6.77</v>
      </c>
      <c r="G3732" s="320"/>
      <c r="H3732" s="79">
        <v>2.23</v>
      </c>
      <c r="I3732" s="79">
        <v>4.54</v>
      </c>
      <c r="J3732" s="79">
        <v>6.77</v>
      </c>
      <c r="K3732" s="79">
        <v>0</v>
      </c>
      <c r="L3732" s="70">
        <v>6.77</v>
      </c>
      <c r="M3732" s="132"/>
      <c r="N3732" s="79">
        <v>2.23</v>
      </c>
      <c r="O3732" s="79">
        <v>4.54</v>
      </c>
      <c r="P3732" s="79">
        <v>6.77</v>
      </c>
      <c r="Q3732" s="136"/>
      <c r="R3732" s="79">
        <v>2.23</v>
      </c>
      <c r="S3732" s="79">
        <v>4.54</v>
      </c>
      <c r="T3732" s="79">
        <v>6.77</v>
      </c>
      <c r="U3732" s="79">
        <v>0</v>
      </c>
      <c r="V3732" s="189">
        <v>6.77</v>
      </c>
      <c r="X3732" s="79">
        <v>2.23</v>
      </c>
      <c r="Y3732" s="79">
        <v>4.54</v>
      </c>
      <c r="Z3732" s="79">
        <v>6.77</v>
      </c>
      <c r="AA3732" s="255">
        <v>0</v>
      </c>
      <c r="AC3732" s="254"/>
    </row>
    <row r="3733" spans="1:31" ht="12">
      <c r="A3733" s="67" t="s">
        <v>17757</v>
      </c>
      <c r="B3733" s="65" t="s">
        <v>17758</v>
      </c>
      <c r="C3733" s="71" t="s">
        <v>103</v>
      </c>
      <c r="D3733" s="78">
        <v>1</v>
      </c>
      <c r="E3733" s="79">
        <v>18.170000000000002</v>
      </c>
      <c r="F3733" s="70">
        <v>18.170000000000002</v>
      </c>
      <c r="G3733" s="320"/>
      <c r="H3733" s="79">
        <v>0</v>
      </c>
      <c r="I3733" s="79">
        <v>18.170000000000002</v>
      </c>
      <c r="J3733" s="79">
        <v>18.170000000000002</v>
      </c>
      <c r="K3733" s="79">
        <v>0</v>
      </c>
      <c r="L3733" s="70">
        <v>18.170000000000002</v>
      </c>
      <c r="M3733" s="132"/>
      <c r="N3733" s="79"/>
      <c r="O3733" s="79">
        <v>18.170000000000002</v>
      </c>
      <c r="P3733" s="79">
        <v>18.170000000000002</v>
      </c>
      <c r="Q3733" s="136"/>
      <c r="R3733" s="79"/>
      <c r="S3733" s="79">
        <v>18.170000000000002</v>
      </c>
      <c r="T3733" s="79">
        <v>18.170000000000002</v>
      </c>
      <c r="U3733" s="79">
        <v>0</v>
      </c>
      <c r="V3733" s="189">
        <v>18.170000000000002</v>
      </c>
      <c r="X3733" s="79"/>
      <c r="Y3733" s="79">
        <v>18.170000000000002</v>
      </c>
      <c r="Z3733" s="79">
        <v>18.170000000000002</v>
      </c>
      <c r="AA3733" s="255">
        <v>0</v>
      </c>
      <c r="AC3733" s="254"/>
    </row>
    <row r="3734" spans="1:31" ht="12">
      <c r="A3734" s="67" t="s">
        <v>17759</v>
      </c>
      <c r="B3734" s="65" t="s">
        <v>17760</v>
      </c>
      <c r="C3734" s="71" t="s">
        <v>509</v>
      </c>
      <c r="D3734" s="78">
        <v>1</v>
      </c>
      <c r="E3734" s="79">
        <v>17.03</v>
      </c>
      <c r="F3734" s="70">
        <v>17.03</v>
      </c>
      <c r="G3734" s="320"/>
      <c r="H3734" s="79">
        <v>0</v>
      </c>
      <c r="I3734" s="79">
        <v>17.03</v>
      </c>
      <c r="J3734" s="79">
        <v>17.03</v>
      </c>
      <c r="K3734" s="79">
        <v>0</v>
      </c>
      <c r="L3734" s="70">
        <v>17.03</v>
      </c>
      <c r="M3734" s="132"/>
      <c r="N3734" s="79"/>
      <c r="O3734" s="79">
        <v>17.03</v>
      </c>
      <c r="P3734" s="79">
        <v>17.03</v>
      </c>
      <c r="Q3734" s="136"/>
      <c r="R3734" s="79"/>
      <c r="S3734" s="79">
        <v>17.03</v>
      </c>
      <c r="T3734" s="79">
        <v>17.03</v>
      </c>
      <c r="U3734" s="79">
        <v>0</v>
      </c>
      <c r="V3734" s="189">
        <v>17.03</v>
      </c>
      <c r="X3734" s="79"/>
      <c r="Y3734" s="79">
        <v>17.03</v>
      </c>
      <c r="Z3734" s="79">
        <v>17.03</v>
      </c>
      <c r="AA3734" s="255">
        <v>0</v>
      </c>
      <c r="AC3734" s="254"/>
      <c r="AD3734" s="61"/>
      <c r="AE3734" s="61"/>
    </row>
    <row r="3735" spans="1:31" ht="24">
      <c r="A3735" s="67" t="s">
        <v>17761</v>
      </c>
      <c r="B3735" s="65" t="s">
        <v>17762</v>
      </c>
      <c r="C3735" s="71" t="s">
        <v>509</v>
      </c>
      <c r="D3735" s="78">
        <v>1</v>
      </c>
      <c r="E3735" s="79">
        <v>16.650000000000002</v>
      </c>
      <c r="F3735" s="70">
        <v>16.649999999999999</v>
      </c>
      <c r="G3735" s="320"/>
      <c r="H3735" s="79">
        <v>10.08</v>
      </c>
      <c r="I3735" s="79">
        <v>6.57</v>
      </c>
      <c r="J3735" s="79">
        <v>16.649999999999999</v>
      </c>
      <c r="K3735" s="79">
        <v>0</v>
      </c>
      <c r="L3735" s="70">
        <v>16.649999999999999</v>
      </c>
      <c r="M3735" s="132"/>
      <c r="N3735" s="79">
        <v>10.08</v>
      </c>
      <c r="O3735" s="79">
        <v>6.57</v>
      </c>
      <c r="P3735" s="79">
        <v>16.649999999999999</v>
      </c>
      <c r="Q3735" s="136"/>
      <c r="R3735" s="79">
        <v>10.08</v>
      </c>
      <c r="S3735" s="79">
        <v>6.56</v>
      </c>
      <c r="T3735" s="79">
        <v>16.64</v>
      </c>
      <c r="U3735" s="79">
        <v>0</v>
      </c>
      <c r="V3735" s="189">
        <v>16.64</v>
      </c>
      <c r="X3735" s="79">
        <v>10.08</v>
      </c>
      <c r="Y3735" s="79">
        <v>6.56</v>
      </c>
      <c r="Z3735" s="79">
        <v>16.64</v>
      </c>
      <c r="AA3735" s="255">
        <v>9.9999999999980105E-3</v>
      </c>
      <c r="AC3735" s="254"/>
      <c r="AD3735" s="61"/>
      <c r="AE3735" s="61"/>
    </row>
    <row r="3736" spans="1:31" s="61" customFormat="1" ht="12">
      <c r="A3736" s="67" t="s">
        <v>17763</v>
      </c>
      <c r="B3736" s="65" t="s">
        <v>17764</v>
      </c>
      <c r="C3736" s="71" t="s">
        <v>509</v>
      </c>
      <c r="D3736" s="78">
        <v>1</v>
      </c>
      <c r="E3736" s="79">
        <v>12.639999999999999</v>
      </c>
      <c r="F3736" s="70">
        <v>12.64</v>
      </c>
      <c r="G3736" s="320"/>
      <c r="H3736" s="79">
        <v>0.7</v>
      </c>
      <c r="I3736" s="79">
        <v>11.94</v>
      </c>
      <c r="J3736" s="79">
        <v>12.639999999999999</v>
      </c>
      <c r="K3736" s="79">
        <v>0</v>
      </c>
      <c r="L3736" s="70">
        <v>12.639999999999999</v>
      </c>
      <c r="M3736" s="132"/>
      <c r="N3736" s="79">
        <v>0.7</v>
      </c>
      <c r="O3736" s="79"/>
      <c r="P3736" s="79">
        <v>0.7</v>
      </c>
      <c r="Q3736" s="136"/>
      <c r="R3736" s="79">
        <v>0.7</v>
      </c>
      <c r="S3736" s="79">
        <v>11.94</v>
      </c>
      <c r="T3736" s="79">
        <v>12.639999999999999</v>
      </c>
      <c r="U3736" s="79">
        <v>0</v>
      </c>
      <c r="V3736" s="189">
        <v>12.639999999999999</v>
      </c>
      <c r="X3736" s="79">
        <v>0.7</v>
      </c>
      <c r="Y3736" s="79">
        <v>11.94</v>
      </c>
      <c r="Z3736" s="79">
        <v>12.64</v>
      </c>
      <c r="AA3736" s="255">
        <v>0</v>
      </c>
      <c r="AC3736" s="254"/>
    </row>
    <row r="3737" spans="1:31" s="61" customFormat="1" ht="12">
      <c r="A3737" s="489" t="s">
        <v>17765</v>
      </c>
      <c r="B3737" s="490" t="s">
        <v>17766</v>
      </c>
      <c r="C3737" s="491"/>
      <c r="D3737" s="492"/>
      <c r="E3737" s="79"/>
      <c r="F3737" s="63"/>
      <c r="G3737" s="320"/>
      <c r="H3737" s="79"/>
      <c r="I3737" s="79"/>
      <c r="J3737" s="79"/>
      <c r="K3737" s="79"/>
      <c r="L3737" s="70"/>
      <c r="M3737" s="132"/>
      <c r="N3737" s="79"/>
      <c r="O3737" s="79"/>
      <c r="P3737" s="79"/>
      <c r="Q3737" s="136"/>
      <c r="R3737" s="79"/>
      <c r="S3737" s="79"/>
      <c r="T3737" s="79"/>
      <c r="U3737" s="79"/>
      <c r="V3737" s="189"/>
      <c r="X3737" s="79"/>
      <c r="Y3737" s="79"/>
      <c r="Z3737" s="79"/>
      <c r="AA3737" s="255"/>
      <c r="AC3737" s="254"/>
    </row>
    <row r="3738" spans="1:31" s="61" customFormat="1" ht="12">
      <c r="A3738" s="67" t="s">
        <v>17767</v>
      </c>
      <c r="B3738" s="65" t="s">
        <v>17768</v>
      </c>
      <c r="C3738" s="71" t="s">
        <v>103</v>
      </c>
      <c r="D3738" s="78">
        <v>1</v>
      </c>
      <c r="E3738" s="79">
        <v>6.82</v>
      </c>
      <c r="F3738" s="70">
        <v>6.82</v>
      </c>
      <c r="G3738" s="320"/>
      <c r="H3738" s="79">
        <v>0</v>
      </c>
      <c r="I3738" s="79">
        <v>6.82</v>
      </c>
      <c r="J3738" s="79">
        <v>6.82</v>
      </c>
      <c r="K3738" s="79">
        <v>0</v>
      </c>
      <c r="L3738" s="70">
        <v>6.82</v>
      </c>
      <c r="M3738" s="132"/>
      <c r="N3738" s="79"/>
      <c r="O3738" s="79">
        <v>6.82</v>
      </c>
      <c r="P3738" s="79">
        <v>6.82</v>
      </c>
      <c r="Q3738" s="136"/>
      <c r="R3738" s="79"/>
      <c r="S3738" s="79">
        <v>6.81</v>
      </c>
      <c r="T3738" s="79">
        <v>6.81</v>
      </c>
      <c r="U3738" s="79">
        <v>0</v>
      </c>
      <c r="V3738" s="189">
        <v>6.81</v>
      </c>
      <c r="X3738" s="79"/>
      <c r="Y3738" s="79">
        <v>6.81</v>
      </c>
      <c r="Z3738" s="79">
        <v>6.81</v>
      </c>
      <c r="AA3738" s="255">
        <v>1.0000000000000675E-2</v>
      </c>
      <c r="AC3738" s="254"/>
    </row>
    <row r="3739" spans="1:31" s="61" customFormat="1" ht="12">
      <c r="A3739" s="67" t="s">
        <v>17769</v>
      </c>
      <c r="B3739" s="65" t="s">
        <v>17770</v>
      </c>
      <c r="C3739" s="71" t="s">
        <v>103</v>
      </c>
      <c r="D3739" s="78">
        <v>1</v>
      </c>
      <c r="E3739" s="79">
        <v>48.67</v>
      </c>
      <c r="F3739" s="70">
        <v>48.67</v>
      </c>
      <c r="G3739" s="320"/>
      <c r="H3739" s="79">
        <v>25.96</v>
      </c>
      <c r="I3739" s="79">
        <v>22.71</v>
      </c>
      <c r="J3739" s="79">
        <v>48.67</v>
      </c>
      <c r="K3739" s="79">
        <v>0</v>
      </c>
      <c r="L3739" s="70">
        <v>48.67</v>
      </c>
      <c r="M3739" s="132"/>
      <c r="N3739" s="79">
        <v>25.96</v>
      </c>
      <c r="O3739" s="79">
        <v>22.71</v>
      </c>
      <c r="P3739" s="79">
        <v>48.67</v>
      </c>
      <c r="Q3739" s="136"/>
      <c r="R3739" s="79">
        <v>25.96</v>
      </c>
      <c r="S3739" s="79">
        <v>22.71</v>
      </c>
      <c r="T3739" s="79">
        <v>48.67</v>
      </c>
      <c r="U3739" s="79">
        <v>0</v>
      </c>
      <c r="V3739" s="189">
        <v>48.67</v>
      </c>
      <c r="X3739" s="79">
        <v>25.96</v>
      </c>
      <c r="Y3739" s="79">
        <v>22.71</v>
      </c>
      <c r="Z3739" s="79">
        <v>48.67</v>
      </c>
      <c r="AA3739" s="498">
        <v>0</v>
      </c>
      <c r="AC3739" s="254"/>
    </row>
    <row r="3740" spans="1:31" s="61" customFormat="1" ht="12">
      <c r="A3740" s="67" t="s">
        <v>17771</v>
      </c>
      <c r="B3740" s="65" t="s">
        <v>17772</v>
      </c>
      <c r="C3740" s="71" t="s">
        <v>121</v>
      </c>
      <c r="D3740" s="78">
        <v>1</v>
      </c>
      <c r="E3740" s="79">
        <v>204.88</v>
      </c>
      <c r="F3740" s="70">
        <v>204.88</v>
      </c>
      <c r="G3740" s="320"/>
      <c r="H3740" s="79">
        <v>204.88</v>
      </c>
      <c r="I3740" s="79">
        <v>0</v>
      </c>
      <c r="J3740" s="79">
        <v>204.88</v>
      </c>
      <c r="K3740" s="79">
        <v>0</v>
      </c>
      <c r="L3740" s="70">
        <v>204.88</v>
      </c>
      <c r="M3740" s="132"/>
      <c r="N3740" s="79">
        <v>204.88</v>
      </c>
      <c r="O3740" s="79"/>
      <c r="P3740" s="79">
        <v>204.88</v>
      </c>
      <c r="Q3740" s="136"/>
      <c r="R3740" s="79">
        <v>204.88</v>
      </c>
      <c r="S3740" s="79"/>
      <c r="T3740" s="79">
        <v>204.88</v>
      </c>
      <c r="U3740" s="79">
        <v>0</v>
      </c>
      <c r="V3740" s="189">
        <v>204.88</v>
      </c>
      <c r="X3740" s="79">
        <v>204.88</v>
      </c>
      <c r="Y3740" s="79"/>
      <c r="Z3740" s="79">
        <v>204.88</v>
      </c>
      <c r="AA3740" s="255">
        <v>0</v>
      </c>
      <c r="AC3740" s="254"/>
    </row>
    <row r="3741" spans="1:31" s="61" customFormat="1" ht="12">
      <c r="A3741" s="67" t="s">
        <v>17773</v>
      </c>
      <c r="B3741" s="65" t="s">
        <v>17774</v>
      </c>
      <c r="C3741" s="71" t="s">
        <v>103</v>
      </c>
      <c r="D3741" s="78">
        <v>1</v>
      </c>
      <c r="E3741" s="79">
        <v>25.2</v>
      </c>
      <c r="F3741" s="70">
        <v>25.2</v>
      </c>
      <c r="G3741" s="320"/>
      <c r="H3741" s="79">
        <v>0</v>
      </c>
      <c r="I3741" s="79">
        <v>25.2</v>
      </c>
      <c r="J3741" s="79">
        <v>25.2</v>
      </c>
      <c r="K3741" s="79">
        <v>0</v>
      </c>
      <c r="L3741" s="70">
        <v>25.2</v>
      </c>
      <c r="M3741" s="132"/>
      <c r="N3741" s="79"/>
      <c r="O3741" s="79">
        <v>25.2</v>
      </c>
      <c r="P3741" s="79">
        <v>25.2</v>
      </c>
      <c r="Q3741" s="136"/>
      <c r="R3741" s="79"/>
      <c r="S3741" s="79">
        <v>25.18</v>
      </c>
      <c r="T3741" s="79">
        <v>25.18</v>
      </c>
      <c r="U3741" s="79">
        <v>0</v>
      </c>
      <c r="V3741" s="189">
        <v>25.18</v>
      </c>
      <c r="X3741" s="79"/>
      <c r="Y3741" s="79">
        <v>25.18</v>
      </c>
      <c r="Z3741" s="79">
        <v>25.18</v>
      </c>
      <c r="AA3741" s="255">
        <v>1.9999999999999574E-2</v>
      </c>
      <c r="AC3741" s="254"/>
    </row>
    <row r="3742" spans="1:31" s="61" customFormat="1" ht="12">
      <c r="A3742" s="67" t="s">
        <v>17775</v>
      </c>
      <c r="B3742" s="65" t="s">
        <v>17776</v>
      </c>
      <c r="C3742" s="71" t="s">
        <v>165</v>
      </c>
      <c r="D3742" s="78">
        <v>1</v>
      </c>
      <c r="E3742" s="79">
        <v>12.6</v>
      </c>
      <c r="F3742" s="70">
        <v>12.6</v>
      </c>
      <c r="G3742" s="320"/>
      <c r="H3742" s="79">
        <v>0</v>
      </c>
      <c r="I3742" s="79">
        <v>12.6</v>
      </c>
      <c r="J3742" s="79">
        <v>12.6</v>
      </c>
      <c r="K3742" s="79">
        <v>0</v>
      </c>
      <c r="L3742" s="70">
        <v>12.6</v>
      </c>
      <c r="M3742" s="132"/>
      <c r="N3742" s="79"/>
      <c r="O3742" s="79">
        <v>12.6</v>
      </c>
      <c r="P3742" s="79">
        <v>12.6</v>
      </c>
      <c r="Q3742" s="136"/>
      <c r="R3742" s="79"/>
      <c r="S3742" s="79">
        <v>12.59</v>
      </c>
      <c r="T3742" s="79">
        <v>12.59</v>
      </c>
      <c r="U3742" s="79">
        <v>0</v>
      </c>
      <c r="V3742" s="189">
        <v>12.59</v>
      </c>
      <c r="X3742" s="79"/>
      <c r="Y3742" s="79">
        <v>12.59</v>
      </c>
      <c r="Z3742" s="79">
        <v>12.59</v>
      </c>
      <c r="AA3742" s="255">
        <v>9.9999999999997868E-3</v>
      </c>
      <c r="AC3742" s="254"/>
    </row>
    <row r="3743" spans="1:31" s="61" customFormat="1" ht="12">
      <c r="A3743" s="67" t="s">
        <v>17777</v>
      </c>
      <c r="B3743" s="65" t="s">
        <v>17778</v>
      </c>
      <c r="C3743" s="71" t="s">
        <v>165</v>
      </c>
      <c r="D3743" s="78">
        <v>1</v>
      </c>
      <c r="E3743" s="79">
        <v>13.440000000000001</v>
      </c>
      <c r="F3743" s="70">
        <v>13.44</v>
      </c>
      <c r="G3743" s="320"/>
      <c r="H3743" s="79">
        <v>0</v>
      </c>
      <c r="I3743" s="79">
        <v>13.440000000000001</v>
      </c>
      <c r="J3743" s="79">
        <v>13.440000000000001</v>
      </c>
      <c r="K3743" s="79">
        <v>0</v>
      </c>
      <c r="L3743" s="70">
        <v>13.440000000000001</v>
      </c>
      <c r="M3743" s="132"/>
      <c r="N3743" s="79"/>
      <c r="O3743" s="79">
        <v>13.440000000000001</v>
      </c>
      <c r="P3743" s="79">
        <v>13.440000000000001</v>
      </c>
      <c r="Q3743" s="136"/>
      <c r="R3743" s="79"/>
      <c r="S3743" s="79">
        <v>13.43</v>
      </c>
      <c r="T3743" s="79">
        <v>13.43</v>
      </c>
      <c r="U3743" s="79">
        <v>0</v>
      </c>
      <c r="V3743" s="189">
        <v>13.43</v>
      </c>
      <c r="X3743" s="79"/>
      <c r="Y3743" s="79">
        <v>13.43</v>
      </c>
      <c r="Z3743" s="79">
        <v>13.43</v>
      </c>
      <c r="AA3743" s="255">
        <v>9.9999999999997868E-3</v>
      </c>
      <c r="AC3743" s="254"/>
    </row>
    <row r="3744" spans="1:31" s="61" customFormat="1" ht="12">
      <c r="A3744" s="489" t="s">
        <v>17779</v>
      </c>
      <c r="B3744" s="490" t="s">
        <v>17780</v>
      </c>
      <c r="C3744" s="491"/>
      <c r="D3744" s="78"/>
      <c r="E3744" s="79"/>
      <c r="F3744" s="70"/>
      <c r="G3744" s="320"/>
      <c r="H3744" s="79"/>
      <c r="I3744" s="79"/>
      <c r="J3744" s="79"/>
      <c r="K3744" s="79"/>
      <c r="L3744" s="70"/>
      <c r="M3744" s="132"/>
      <c r="N3744" s="79"/>
      <c r="O3744" s="79"/>
      <c r="P3744" s="79"/>
      <c r="Q3744" s="136"/>
      <c r="R3744" s="79"/>
      <c r="S3744" s="79"/>
      <c r="T3744" s="79"/>
      <c r="U3744" s="79"/>
      <c r="V3744" s="189"/>
      <c r="X3744" s="79"/>
      <c r="Y3744" s="79"/>
      <c r="Z3744" s="79"/>
      <c r="AA3744" s="255"/>
      <c r="AC3744" s="254"/>
    </row>
    <row r="3745" spans="1:29" s="61" customFormat="1" ht="12">
      <c r="A3745" s="67" t="s">
        <v>17781</v>
      </c>
      <c r="B3745" s="65" t="s">
        <v>132</v>
      </c>
      <c r="C3745" s="71" t="s">
        <v>133</v>
      </c>
      <c r="D3745" s="78">
        <v>1</v>
      </c>
      <c r="E3745" s="79">
        <v>95.51</v>
      </c>
      <c r="F3745" s="70">
        <v>95.51</v>
      </c>
      <c r="G3745" s="320"/>
      <c r="H3745" s="79">
        <v>95.51</v>
      </c>
      <c r="I3745" s="79">
        <v>0</v>
      </c>
      <c r="J3745" s="79">
        <v>95.51</v>
      </c>
      <c r="K3745" s="79">
        <v>0</v>
      </c>
      <c r="L3745" s="70">
        <v>95.51</v>
      </c>
      <c r="M3745" s="132"/>
      <c r="N3745" s="79">
        <v>95.51</v>
      </c>
      <c r="O3745" s="79"/>
      <c r="P3745" s="79">
        <v>95.51</v>
      </c>
      <c r="Q3745" s="136"/>
      <c r="R3745" s="79">
        <v>95.51</v>
      </c>
      <c r="S3745" s="79"/>
      <c r="T3745" s="79">
        <v>95.51</v>
      </c>
      <c r="U3745" s="79">
        <v>0</v>
      </c>
      <c r="V3745" s="189">
        <v>95.51</v>
      </c>
      <c r="X3745" s="79">
        <v>95.51</v>
      </c>
      <c r="Y3745" s="79"/>
      <c r="Z3745" s="79">
        <v>95.51</v>
      </c>
      <c r="AA3745" s="255">
        <v>0</v>
      </c>
      <c r="AC3745" s="254"/>
    </row>
    <row r="3746" spans="1:29" s="61" customFormat="1" ht="12">
      <c r="A3746" s="489" t="s">
        <v>17782</v>
      </c>
      <c r="B3746" s="490" t="s">
        <v>17783</v>
      </c>
      <c r="C3746" s="491"/>
      <c r="D3746" s="492"/>
      <c r="E3746" s="79"/>
      <c r="F3746" s="63"/>
      <c r="G3746" s="320"/>
      <c r="H3746" s="79"/>
      <c r="I3746" s="79"/>
      <c r="J3746" s="79"/>
      <c r="K3746" s="79"/>
      <c r="L3746" s="70"/>
      <c r="M3746" s="132"/>
      <c r="N3746" s="79"/>
      <c r="O3746" s="79"/>
      <c r="P3746" s="79"/>
      <c r="Q3746" s="136"/>
      <c r="R3746" s="79"/>
      <c r="S3746" s="79"/>
      <c r="T3746" s="79"/>
      <c r="U3746" s="79"/>
      <c r="V3746" s="189"/>
      <c r="X3746" s="79"/>
      <c r="Y3746" s="79"/>
      <c r="Z3746" s="79"/>
      <c r="AA3746" s="255"/>
      <c r="AC3746" s="254"/>
    </row>
    <row r="3747" spans="1:29" s="61" customFormat="1" ht="12">
      <c r="A3747" s="489" t="s">
        <v>17784</v>
      </c>
      <c r="B3747" s="490" t="s">
        <v>17785</v>
      </c>
      <c r="C3747" s="491"/>
      <c r="D3747" s="492"/>
      <c r="E3747" s="79"/>
      <c r="F3747" s="63"/>
      <c r="G3747" s="320"/>
      <c r="H3747" s="79"/>
      <c r="I3747" s="79"/>
      <c r="J3747" s="79"/>
      <c r="K3747" s="79"/>
      <c r="L3747" s="70"/>
      <c r="M3747" s="132"/>
      <c r="N3747" s="79"/>
      <c r="O3747" s="79"/>
      <c r="P3747" s="79"/>
      <c r="Q3747" s="136"/>
      <c r="R3747" s="79"/>
      <c r="S3747" s="79"/>
      <c r="T3747" s="79"/>
      <c r="U3747" s="79"/>
      <c r="V3747" s="189"/>
      <c r="X3747" s="79"/>
      <c r="Y3747" s="79"/>
      <c r="Z3747" s="79"/>
      <c r="AA3747" s="255"/>
      <c r="AC3747" s="254"/>
    </row>
    <row r="3748" spans="1:29" s="61" customFormat="1" ht="24">
      <c r="A3748" s="67" t="s">
        <v>17786</v>
      </c>
      <c r="B3748" s="65" t="s">
        <v>17787</v>
      </c>
      <c r="C3748" s="71" t="s">
        <v>396</v>
      </c>
      <c r="D3748" s="78">
        <v>1</v>
      </c>
      <c r="E3748" s="79">
        <v>201668.27</v>
      </c>
      <c r="F3748" s="70">
        <v>201668.27</v>
      </c>
      <c r="G3748" s="320"/>
      <c r="H3748" s="79">
        <v>201668.27</v>
      </c>
      <c r="I3748" s="79">
        <v>0</v>
      </c>
      <c r="J3748" s="79">
        <v>201668.27</v>
      </c>
      <c r="K3748" s="79">
        <v>0</v>
      </c>
      <c r="L3748" s="70">
        <v>201668.27</v>
      </c>
      <c r="M3748" s="132"/>
      <c r="N3748" s="79">
        <v>201668.27</v>
      </c>
      <c r="O3748" s="79"/>
      <c r="P3748" s="79">
        <v>201668.27</v>
      </c>
      <c r="Q3748" s="136"/>
      <c r="R3748" s="79">
        <v>201668.27</v>
      </c>
      <c r="S3748" s="79"/>
      <c r="T3748" s="79">
        <v>201668.27</v>
      </c>
      <c r="U3748" s="79">
        <v>0</v>
      </c>
      <c r="V3748" s="189">
        <v>201668.27</v>
      </c>
      <c r="X3748" s="79">
        <v>201668.27</v>
      </c>
      <c r="Y3748" s="79"/>
      <c r="Z3748" s="79">
        <v>201668.27</v>
      </c>
      <c r="AA3748" s="255">
        <v>0</v>
      </c>
      <c r="AC3748" s="254"/>
    </row>
    <row r="3749" spans="1:29" s="61" customFormat="1" ht="24">
      <c r="A3749" s="67" t="s">
        <v>17788</v>
      </c>
      <c r="B3749" s="65" t="s">
        <v>17789</v>
      </c>
      <c r="C3749" s="71" t="s">
        <v>396</v>
      </c>
      <c r="D3749" s="78">
        <v>1</v>
      </c>
      <c r="E3749" s="79">
        <v>203033.33</v>
      </c>
      <c r="F3749" s="70">
        <v>203033.33</v>
      </c>
      <c r="G3749" s="320"/>
      <c r="H3749" s="79">
        <v>203033.33</v>
      </c>
      <c r="I3749" s="79">
        <v>0</v>
      </c>
      <c r="J3749" s="79">
        <v>203033.33</v>
      </c>
      <c r="K3749" s="79">
        <v>0</v>
      </c>
      <c r="L3749" s="70">
        <v>203033.33</v>
      </c>
      <c r="M3749" s="132"/>
      <c r="N3749" s="79">
        <v>203033.33</v>
      </c>
      <c r="O3749" s="79"/>
      <c r="P3749" s="79">
        <v>203033.33</v>
      </c>
      <c r="Q3749" s="136"/>
      <c r="R3749" s="79">
        <v>203033.33</v>
      </c>
      <c r="S3749" s="79"/>
      <c r="T3749" s="79">
        <v>203033.33</v>
      </c>
      <c r="U3749" s="79">
        <v>0</v>
      </c>
      <c r="V3749" s="189">
        <v>203033.33</v>
      </c>
      <c r="X3749" s="79">
        <v>203033.33</v>
      </c>
      <c r="Y3749" s="79"/>
      <c r="Z3749" s="79">
        <v>203033.33</v>
      </c>
      <c r="AA3749" s="255">
        <v>0</v>
      </c>
      <c r="AC3749" s="254"/>
    </row>
    <row r="3750" spans="1:29" s="61" customFormat="1" ht="24">
      <c r="A3750" s="67" t="s">
        <v>17790</v>
      </c>
      <c r="B3750" s="65" t="s">
        <v>17791</v>
      </c>
      <c r="C3750" s="71" t="s">
        <v>396</v>
      </c>
      <c r="D3750" s="78">
        <v>1</v>
      </c>
      <c r="E3750" s="79">
        <v>230553.53</v>
      </c>
      <c r="F3750" s="70">
        <v>230553.53</v>
      </c>
      <c r="G3750" s="320"/>
      <c r="H3750" s="79">
        <v>230553.53</v>
      </c>
      <c r="I3750" s="79">
        <v>0</v>
      </c>
      <c r="J3750" s="79">
        <v>230553.53</v>
      </c>
      <c r="K3750" s="79">
        <v>0</v>
      </c>
      <c r="L3750" s="70">
        <v>230553.53</v>
      </c>
      <c r="M3750" s="132"/>
      <c r="N3750" s="79">
        <v>230553.53</v>
      </c>
      <c r="O3750" s="79"/>
      <c r="P3750" s="79">
        <v>230553.53</v>
      </c>
      <c r="Q3750" s="136"/>
      <c r="R3750" s="79">
        <v>230553.53</v>
      </c>
      <c r="S3750" s="79"/>
      <c r="T3750" s="79">
        <v>230553.53</v>
      </c>
      <c r="U3750" s="79">
        <v>0</v>
      </c>
      <c r="V3750" s="189">
        <v>230553.53</v>
      </c>
      <c r="X3750" s="79">
        <v>230553.53</v>
      </c>
      <c r="Y3750" s="79"/>
      <c r="Z3750" s="79">
        <v>230553.53</v>
      </c>
      <c r="AA3750" s="255">
        <v>0</v>
      </c>
      <c r="AC3750" s="254"/>
    </row>
    <row r="3751" spans="1:29" s="61" customFormat="1" ht="24">
      <c r="A3751" s="67" t="s">
        <v>17792</v>
      </c>
      <c r="B3751" s="65" t="s">
        <v>17793</v>
      </c>
      <c r="C3751" s="71" t="s">
        <v>396</v>
      </c>
      <c r="D3751" s="78">
        <v>1</v>
      </c>
      <c r="E3751" s="79">
        <v>244829.05</v>
      </c>
      <c r="F3751" s="70">
        <v>244829.05</v>
      </c>
      <c r="G3751" s="320"/>
      <c r="H3751" s="79">
        <v>244829.05</v>
      </c>
      <c r="I3751" s="79">
        <v>0</v>
      </c>
      <c r="J3751" s="79">
        <v>244829.05</v>
      </c>
      <c r="K3751" s="79">
        <v>0</v>
      </c>
      <c r="L3751" s="70">
        <v>244829.05</v>
      </c>
      <c r="M3751" s="132"/>
      <c r="N3751" s="79">
        <v>244829.05</v>
      </c>
      <c r="O3751" s="79"/>
      <c r="P3751" s="79">
        <v>244829.05</v>
      </c>
      <c r="Q3751" s="136"/>
      <c r="R3751" s="79">
        <v>244829.05</v>
      </c>
      <c r="S3751" s="79"/>
      <c r="T3751" s="79">
        <v>244829.05</v>
      </c>
      <c r="U3751" s="79">
        <v>0</v>
      </c>
      <c r="V3751" s="189">
        <v>244829.05</v>
      </c>
      <c r="X3751" s="79">
        <v>244829.05</v>
      </c>
      <c r="Y3751" s="79"/>
      <c r="Z3751" s="79">
        <v>244829.05</v>
      </c>
      <c r="AA3751" s="255">
        <v>0</v>
      </c>
      <c r="AC3751" s="254"/>
    </row>
    <row r="3752" spans="1:29" s="61" customFormat="1" ht="24">
      <c r="A3752" s="67" t="s">
        <v>17794</v>
      </c>
      <c r="B3752" s="65" t="s">
        <v>17795</v>
      </c>
      <c r="C3752" s="71" t="s">
        <v>396</v>
      </c>
      <c r="D3752" s="78">
        <v>1</v>
      </c>
      <c r="E3752" s="79">
        <v>213633.33</v>
      </c>
      <c r="F3752" s="70">
        <v>213633.33</v>
      </c>
      <c r="G3752" s="320"/>
      <c r="H3752" s="79">
        <v>213633.33</v>
      </c>
      <c r="I3752" s="79">
        <v>0</v>
      </c>
      <c r="J3752" s="79">
        <v>213633.33</v>
      </c>
      <c r="K3752" s="79">
        <v>0</v>
      </c>
      <c r="L3752" s="70">
        <v>213633.33</v>
      </c>
      <c r="M3752" s="132"/>
      <c r="N3752" s="79">
        <v>213633.33</v>
      </c>
      <c r="O3752" s="79"/>
      <c r="P3752" s="79">
        <v>213633.33</v>
      </c>
      <c r="Q3752" s="136"/>
      <c r="R3752" s="79">
        <v>213633.33</v>
      </c>
      <c r="S3752" s="79"/>
      <c r="T3752" s="79">
        <v>213633.33</v>
      </c>
      <c r="U3752" s="79">
        <v>0</v>
      </c>
      <c r="V3752" s="189">
        <v>213633.33</v>
      </c>
      <c r="X3752" s="79">
        <v>213633.33</v>
      </c>
      <c r="Y3752" s="79"/>
      <c r="Z3752" s="79">
        <v>213633.33</v>
      </c>
      <c r="AA3752" s="255">
        <v>0</v>
      </c>
      <c r="AC3752" s="254"/>
    </row>
    <row r="3753" spans="1:29" s="61" customFormat="1" ht="12">
      <c r="A3753" s="67" t="s">
        <v>17796</v>
      </c>
      <c r="B3753" s="65" t="s">
        <v>17797</v>
      </c>
      <c r="C3753" s="71" t="s">
        <v>509</v>
      </c>
      <c r="D3753" s="78">
        <v>1</v>
      </c>
      <c r="E3753" s="79">
        <v>1716.39</v>
      </c>
      <c r="F3753" s="70">
        <v>1716.39</v>
      </c>
      <c r="G3753" s="320"/>
      <c r="H3753" s="79">
        <v>1716.39</v>
      </c>
      <c r="I3753" s="79">
        <v>0</v>
      </c>
      <c r="J3753" s="79">
        <v>1716.39</v>
      </c>
      <c r="K3753" s="79">
        <v>0</v>
      </c>
      <c r="L3753" s="70">
        <v>1716.39</v>
      </c>
      <c r="M3753" s="132"/>
      <c r="N3753" s="79">
        <v>1716.39</v>
      </c>
      <c r="O3753" s="79"/>
      <c r="P3753" s="79">
        <v>1716.39</v>
      </c>
      <c r="Q3753" s="136"/>
      <c r="R3753" s="79">
        <v>1716.39</v>
      </c>
      <c r="S3753" s="79"/>
      <c r="T3753" s="79">
        <v>1716.39</v>
      </c>
      <c r="U3753" s="79">
        <v>0</v>
      </c>
      <c r="V3753" s="189">
        <v>1716.39</v>
      </c>
      <c r="X3753" s="79">
        <v>1716.39</v>
      </c>
      <c r="Y3753" s="79"/>
      <c r="Z3753" s="79">
        <v>1716.39</v>
      </c>
      <c r="AA3753" s="255">
        <v>0</v>
      </c>
      <c r="AC3753" s="254"/>
    </row>
    <row r="3754" spans="1:29" s="61" customFormat="1" ht="12">
      <c r="A3754" s="489" t="s">
        <v>17798</v>
      </c>
      <c r="B3754" s="490" t="s">
        <v>17799</v>
      </c>
      <c r="C3754" s="71"/>
      <c r="D3754" s="78"/>
      <c r="E3754" s="79"/>
      <c r="F3754" s="70"/>
      <c r="G3754" s="320"/>
      <c r="H3754" s="79"/>
      <c r="I3754" s="79"/>
      <c r="J3754" s="79"/>
      <c r="K3754" s="79"/>
      <c r="L3754" s="70"/>
      <c r="M3754" s="132"/>
      <c r="N3754" s="79"/>
      <c r="O3754" s="79"/>
      <c r="P3754" s="79"/>
      <c r="Q3754" s="136"/>
      <c r="R3754" s="79"/>
      <c r="S3754" s="79"/>
      <c r="T3754" s="79"/>
      <c r="U3754" s="79"/>
      <c r="V3754" s="189"/>
      <c r="X3754" s="79"/>
      <c r="Y3754" s="79"/>
      <c r="Z3754" s="79"/>
      <c r="AA3754" s="255"/>
      <c r="AC3754" s="254"/>
    </row>
    <row r="3755" spans="1:29" s="61" customFormat="1" ht="24">
      <c r="A3755" s="67" t="s">
        <v>17800</v>
      </c>
      <c r="B3755" s="65" t="s">
        <v>17801</v>
      </c>
      <c r="C3755" s="71" t="s">
        <v>103</v>
      </c>
      <c r="D3755" s="78">
        <v>1</v>
      </c>
      <c r="E3755" s="79">
        <v>491336.77</v>
      </c>
      <c r="F3755" s="70">
        <v>491336.77</v>
      </c>
      <c r="G3755" s="320"/>
      <c r="H3755" s="79">
        <v>456723.64</v>
      </c>
      <c r="I3755" s="79">
        <v>34613.129999999997</v>
      </c>
      <c r="J3755" s="79">
        <v>491336.77</v>
      </c>
      <c r="K3755" s="79">
        <v>0</v>
      </c>
      <c r="L3755" s="70">
        <v>491336.77</v>
      </c>
      <c r="M3755" s="132"/>
      <c r="N3755" s="79">
        <v>456723.64</v>
      </c>
      <c r="O3755" s="79">
        <v>34613.129999999997</v>
      </c>
      <c r="P3755" s="79">
        <v>491336.77</v>
      </c>
      <c r="Q3755" s="136"/>
      <c r="R3755" s="79">
        <v>456723.64</v>
      </c>
      <c r="S3755" s="79">
        <v>34614.949999999997</v>
      </c>
      <c r="T3755" s="79">
        <v>491338.59</v>
      </c>
      <c r="U3755" s="79">
        <v>0</v>
      </c>
      <c r="V3755" s="189">
        <v>491338.59</v>
      </c>
      <c r="X3755" s="79">
        <v>456723.64</v>
      </c>
      <c r="Y3755" s="79">
        <v>34614.949999999997</v>
      </c>
      <c r="Z3755" s="79">
        <v>491338.59</v>
      </c>
      <c r="AA3755" s="255">
        <v>-1.8200000000069849</v>
      </c>
      <c r="AC3755" s="254"/>
    </row>
    <row r="3756" spans="1:29" s="61" customFormat="1" ht="24">
      <c r="A3756" s="67" t="s">
        <v>17802</v>
      </c>
      <c r="B3756" s="65" t="s">
        <v>17803</v>
      </c>
      <c r="C3756" s="71" t="s">
        <v>103</v>
      </c>
      <c r="D3756" s="78">
        <v>1</v>
      </c>
      <c r="E3756" s="79">
        <v>518297.17000000004</v>
      </c>
      <c r="F3756" s="70">
        <v>518297.17</v>
      </c>
      <c r="G3756" s="320"/>
      <c r="H3756" s="79">
        <v>481425.77</v>
      </c>
      <c r="I3756" s="79">
        <v>36871.4</v>
      </c>
      <c r="J3756" s="79">
        <v>518297.17000000004</v>
      </c>
      <c r="K3756" s="79">
        <v>0</v>
      </c>
      <c r="L3756" s="70">
        <v>518297.17000000004</v>
      </c>
      <c r="M3756" s="132"/>
      <c r="N3756" s="79">
        <v>481425.77</v>
      </c>
      <c r="O3756" s="79">
        <v>36871.4</v>
      </c>
      <c r="P3756" s="79">
        <v>518297.17000000004</v>
      </c>
      <c r="Q3756" s="136"/>
      <c r="R3756" s="79">
        <v>481425.77</v>
      </c>
      <c r="S3756" s="79">
        <v>36873.32</v>
      </c>
      <c r="T3756" s="79">
        <v>518299.09</v>
      </c>
      <c r="U3756" s="79">
        <v>0</v>
      </c>
      <c r="V3756" s="189">
        <v>518299.09</v>
      </c>
      <c r="X3756" s="79">
        <v>481425.77</v>
      </c>
      <c r="Y3756" s="79">
        <v>36873.32</v>
      </c>
      <c r="Z3756" s="79">
        <v>518299.09</v>
      </c>
      <c r="AA3756" s="255">
        <v>-1.9200000000419095</v>
      </c>
      <c r="AC3756" s="254"/>
    </row>
    <row r="3757" spans="1:29" s="61" customFormat="1" ht="24">
      <c r="A3757" s="67" t="s">
        <v>17804</v>
      </c>
      <c r="B3757" s="65" t="s">
        <v>17805</v>
      </c>
      <c r="C3757" s="71" t="s">
        <v>103</v>
      </c>
      <c r="D3757" s="78">
        <v>1</v>
      </c>
      <c r="E3757" s="79">
        <v>710004.32</v>
      </c>
      <c r="F3757" s="70">
        <v>710004.32</v>
      </c>
      <c r="G3757" s="320"/>
      <c r="H3757" s="79">
        <v>676482.13</v>
      </c>
      <c r="I3757" s="79">
        <v>33522.19</v>
      </c>
      <c r="J3757" s="79">
        <v>710004.32000000007</v>
      </c>
      <c r="K3757" s="79">
        <v>0</v>
      </c>
      <c r="L3757" s="70">
        <v>710004.32000000007</v>
      </c>
      <c r="M3757" s="132"/>
      <c r="N3757" s="79">
        <v>676482.13</v>
      </c>
      <c r="O3757" s="79">
        <v>33522.19</v>
      </c>
      <c r="P3757" s="79">
        <v>710004.32000000007</v>
      </c>
      <c r="Q3757" s="136"/>
      <c r="R3757" s="79">
        <v>676482.13</v>
      </c>
      <c r="S3757" s="79">
        <v>33523.949999999997</v>
      </c>
      <c r="T3757" s="79">
        <v>710006.08</v>
      </c>
      <c r="U3757" s="79">
        <v>0</v>
      </c>
      <c r="V3757" s="189">
        <v>710006.08</v>
      </c>
      <c r="X3757" s="79">
        <v>676482.13</v>
      </c>
      <c r="Y3757" s="79">
        <v>33523.949999999997</v>
      </c>
      <c r="Z3757" s="79">
        <v>710006.08</v>
      </c>
      <c r="AA3757" s="255">
        <v>-1.7600000000093132</v>
      </c>
      <c r="AC3757" s="254"/>
    </row>
    <row r="3758" spans="1:29" s="61" customFormat="1" ht="12">
      <c r="A3758" s="67" t="s">
        <v>17806</v>
      </c>
      <c r="B3758" s="65" t="s">
        <v>17807</v>
      </c>
      <c r="C3758" s="71" t="s">
        <v>103</v>
      </c>
      <c r="D3758" s="78">
        <v>1</v>
      </c>
      <c r="E3758" s="79">
        <v>303410.08</v>
      </c>
      <c r="F3758" s="70">
        <v>303410.08</v>
      </c>
      <c r="G3758" s="320"/>
      <c r="H3758" s="79">
        <v>275719.57</v>
      </c>
      <c r="I3758" s="79">
        <v>27690.510000000002</v>
      </c>
      <c r="J3758" s="79">
        <v>303410.08</v>
      </c>
      <c r="K3758" s="79">
        <v>0</v>
      </c>
      <c r="L3758" s="70">
        <v>303410.08</v>
      </c>
      <c r="M3758" s="132"/>
      <c r="N3758" s="79">
        <v>275719.57</v>
      </c>
      <c r="O3758" s="79">
        <v>27690.510000000002</v>
      </c>
      <c r="P3758" s="79">
        <v>303410.08</v>
      </c>
      <c r="Q3758" s="136"/>
      <c r="R3758" s="79">
        <v>275719.57</v>
      </c>
      <c r="S3758" s="79">
        <v>27691.96</v>
      </c>
      <c r="T3758" s="79">
        <v>303411.53000000003</v>
      </c>
      <c r="U3758" s="79">
        <v>0</v>
      </c>
      <c r="V3758" s="189">
        <v>303411.53000000003</v>
      </c>
      <c r="X3758" s="79">
        <v>275719.57</v>
      </c>
      <c r="Y3758" s="79">
        <v>27691.96</v>
      </c>
      <c r="Z3758" s="79">
        <v>303411.53000000003</v>
      </c>
      <c r="AA3758" s="255">
        <v>-1.4500000000116415</v>
      </c>
      <c r="AC3758" s="254"/>
    </row>
    <row r="3759" spans="1:29" s="61" customFormat="1" ht="12">
      <c r="A3759" s="67" t="s">
        <v>17808</v>
      </c>
      <c r="B3759" s="65" t="s">
        <v>17809</v>
      </c>
      <c r="C3759" s="71" t="s">
        <v>103</v>
      </c>
      <c r="D3759" s="78">
        <v>1</v>
      </c>
      <c r="E3759" s="79">
        <v>104413.12999999999</v>
      </c>
      <c r="F3759" s="70">
        <v>104413.13</v>
      </c>
      <c r="G3759" s="320"/>
      <c r="H3759" s="79">
        <v>87106.54</v>
      </c>
      <c r="I3759" s="79">
        <v>17306.59</v>
      </c>
      <c r="J3759" s="79">
        <v>104413.12999999999</v>
      </c>
      <c r="K3759" s="79">
        <v>0</v>
      </c>
      <c r="L3759" s="70">
        <v>104413.12999999999</v>
      </c>
      <c r="M3759" s="132"/>
      <c r="N3759" s="79">
        <v>87106.54</v>
      </c>
      <c r="O3759" s="79">
        <v>17306.59</v>
      </c>
      <c r="P3759" s="79">
        <v>104413.12999999999</v>
      </c>
      <c r="Q3759" s="136"/>
      <c r="R3759" s="79">
        <v>87106.54</v>
      </c>
      <c r="S3759" s="79">
        <v>17307.48</v>
      </c>
      <c r="T3759" s="79">
        <v>104414.01999999999</v>
      </c>
      <c r="U3759" s="79">
        <v>0</v>
      </c>
      <c r="V3759" s="189">
        <v>104414.01999999999</v>
      </c>
      <c r="X3759" s="79">
        <v>87106.54</v>
      </c>
      <c r="Y3759" s="79">
        <v>17307.48</v>
      </c>
      <c r="Z3759" s="79">
        <v>104414.02</v>
      </c>
      <c r="AA3759" s="498">
        <v>-0.88999999999941792</v>
      </c>
      <c r="AC3759" s="254"/>
    </row>
    <row r="3760" spans="1:29" s="61" customFormat="1" ht="24">
      <c r="A3760" s="67" t="s">
        <v>17810</v>
      </c>
      <c r="B3760" s="65" t="s">
        <v>17811</v>
      </c>
      <c r="C3760" s="71" t="s">
        <v>103</v>
      </c>
      <c r="D3760" s="78">
        <v>1</v>
      </c>
      <c r="E3760" s="79">
        <v>27778.71</v>
      </c>
      <c r="F3760" s="70">
        <v>27778.71</v>
      </c>
      <c r="G3760" s="320"/>
      <c r="H3760" s="79">
        <v>23681.3</v>
      </c>
      <c r="I3760" s="79">
        <v>4097.41</v>
      </c>
      <c r="J3760" s="79">
        <v>27778.71</v>
      </c>
      <c r="K3760" s="79">
        <v>0</v>
      </c>
      <c r="L3760" s="70">
        <v>27778.71</v>
      </c>
      <c r="M3760" s="132"/>
      <c r="N3760" s="79">
        <v>23681.3</v>
      </c>
      <c r="O3760" s="79">
        <v>4097.41</v>
      </c>
      <c r="P3760" s="79">
        <v>27778.71</v>
      </c>
      <c r="Q3760" s="136"/>
      <c r="R3760" s="79">
        <v>23681.3</v>
      </c>
      <c r="S3760" s="79">
        <v>4097.6499999999996</v>
      </c>
      <c r="T3760" s="79">
        <v>27778.949999999997</v>
      </c>
      <c r="U3760" s="79">
        <v>0</v>
      </c>
      <c r="V3760" s="189">
        <v>27778.949999999997</v>
      </c>
      <c r="X3760" s="79">
        <v>23681.3</v>
      </c>
      <c r="Y3760" s="79">
        <v>4097.6499999999996</v>
      </c>
      <c r="Z3760" s="79">
        <v>27778.95</v>
      </c>
      <c r="AA3760" s="255">
        <v>-0.24000000000160071</v>
      </c>
      <c r="AC3760" s="254"/>
    </row>
    <row r="3761" spans="1:29" s="61" customFormat="1" ht="24">
      <c r="A3761" s="63" t="s">
        <v>17812</v>
      </c>
      <c r="B3761" s="64" t="s">
        <v>17813</v>
      </c>
      <c r="C3761" s="63" t="s">
        <v>103</v>
      </c>
      <c r="D3761" s="78">
        <v>1</v>
      </c>
      <c r="E3761" s="79">
        <v>24190.23</v>
      </c>
      <c r="F3761" s="70">
        <v>24190.23</v>
      </c>
      <c r="G3761" s="320"/>
      <c r="H3761" s="79">
        <v>20092.82</v>
      </c>
      <c r="I3761" s="79">
        <v>4097.41</v>
      </c>
      <c r="J3761" s="79">
        <v>24190.23</v>
      </c>
      <c r="K3761" s="79">
        <v>0</v>
      </c>
      <c r="L3761" s="70">
        <v>24190.23</v>
      </c>
      <c r="M3761" s="132"/>
      <c r="N3761" s="79">
        <v>20092.82</v>
      </c>
      <c r="O3761" s="79">
        <v>4097.41</v>
      </c>
      <c r="P3761" s="79">
        <v>24190.23</v>
      </c>
      <c r="R3761" s="79">
        <v>20092.82</v>
      </c>
      <c r="S3761" s="79">
        <v>4097.6499999999996</v>
      </c>
      <c r="T3761" s="79">
        <v>24190.47</v>
      </c>
      <c r="U3761" s="79">
        <v>0</v>
      </c>
      <c r="V3761" s="189">
        <v>24190.47</v>
      </c>
      <c r="X3761" s="79">
        <v>20092.82</v>
      </c>
      <c r="Y3761" s="79">
        <v>4097.6499999999996</v>
      </c>
      <c r="Z3761" s="79">
        <v>24190.47</v>
      </c>
      <c r="AA3761" s="255">
        <v>-0.24000000000160071</v>
      </c>
      <c r="AC3761" s="254"/>
    </row>
    <row r="3762" spans="1:29" s="61" customFormat="1" ht="24">
      <c r="A3762" s="67" t="s">
        <v>17814</v>
      </c>
      <c r="B3762" s="65" t="s">
        <v>17815</v>
      </c>
      <c r="C3762" s="71" t="s">
        <v>103</v>
      </c>
      <c r="D3762" s="78">
        <v>1</v>
      </c>
      <c r="E3762" s="79">
        <v>74158.53</v>
      </c>
      <c r="F3762" s="70">
        <v>74158.53</v>
      </c>
      <c r="G3762" s="320"/>
      <c r="H3762" s="79">
        <v>65207.71</v>
      </c>
      <c r="I3762" s="79">
        <v>8950.82</v>
      </c>
      <c r="J3762" s="79">
        <v>74158.53</v>
      </c>
      <c r="K3762" s="79">
        <v>0</v>
      </c>
      <c r="L3762" s="70">
        <v>74158.53</v>
      </c>
      <c r="M3762" s="132"/>
      <c r="N3762" s="79">
        <v>65207.71</v>
      </c>
      <c r="O3762" s="79">
        <v>8950.82</v>
      </c>
      <c r="P3762" s="79">
        <v>74158.53</v>
      </c>
      <c r="Q3762" s="136"/>
      <c r="R3762" s="79">
        <v>65207.71</v>
      </c>
      <c r="S3762" s="79">
        <v>8951.32</v>
      </c>
      <c r="T3762" s="79">
        <v>74159.03</v>
      </c>
      <c r="U3762" s="79">
        <v>0</v>
      </c>
      <c r="V3762" s="189">
        <v>74159.03</v>
      </c>
      <c r="X3762" s="79">
        <v>65207.71</v>
      </c>
      <c r="Y3762" s="79">
        <v>8951.32</v>
      </c>
      <c r="Z3762" s="79">
        <v>74159.03</v>
      </c>
      <c r="AA3762" s="255">
        <v>-0.5</v>
      </c>
      <c r="AC3762" s="254"/>
    </row>
    <row r="3763" spans="1:29" s="61" customFormat="1" ht="24">
      <c r="A3763" s="67" t="s">
        <v>17816</v>
      </c>
      <c r="B3763" s="65" t="s">
        <v>17817</v>
      </c>
      <c r="C3763" s="71" t="s">
        <v>103</v>
      </c>
      <c r="D3763" s="78">
        <v>1</v>
      </c>
      <c r="E3763" s="79">
        <v>70376.639999999999</v>
      </c>
      <c r="F3763" s="70">
        <v>70376.639999999999</v>
      </c>
      <c r="G3763" s="320"/>
      <c r="H3763" s="79">
        <v>59454.47</v>
      </c>
      <c r="I3763" s="79">
        <v>10922.17</v>
      </c>
      <c r="J3763" s="79">
        <v>70376.639999999999</v>
      </c>
      <c r="K3763" s="79">
        <v>0</v>
      </c>
      <c r="L3763" s="70">
        <v>70376.639999999999</v>
      </c>
      <c r="M3763" s="132"/>
      <c r="N3763" s="79">
        <v>59454.47</v>
      </c>
      <c r="O3763" s="79">
        <v>10922.17</v>
      </c>
      <c r="P3763" s="79">
        <v>70376.639999999999</v>
      </c>
      <c r="Q3763" s="136"/>
      <c r="R3763" s="79">
        <v>59454.47</v>
      </c>
      <c r="S3763" s="79">
        <v>10922.8</v>
      </c>
      <c r="T3763" s="79">
        <v>70377.27</v>
      </c>
      <c r="U3763" s="79">
        <v>0</v>
      </c>
      <c r="V3763" s="189">
        <v>70377.27</v>
      </c>
      <c r="X3763" s="79">
        <v>59454.47</v>
      </c>
      <c r="Y3763" s="79">
        <v>10922.8</v>
      </c>
      <c r="Z3763" s="79">
        <v>70377.27</v>
      </c>
      <c r="AA3763" s="255">
        <v>-0.63000000000465661</v>
      </c>
      <c r="AC3763" s="254"/>
    </row>
    <row r="3764" spans="1:29" s="61" customFormat="1" ht="24">
      <c r="A3764" s="67" t="s">
        <v>17818</v>
      </c>
      <c r="B3764" s="65" t="s">
        <v>17819</v>
      </c>
      <c r="C3764" s="71" t="s">
        <v>103</v>
      </c>
      <c r="D3764" s="78">
        <v>1</v>
      </c>
      <c r="E3764" s="79">
        <v>6689.93</v>
      </c>
      <c r="F3764" s="70">
        <v>6689.93</v>
      </c>
      <c r="G3764" s="320"/>
      <c r="H3764" s="79">
        <v>5998.85</v>
      </c>
      <c r="I3764" s="79">
        <v>691.07999999999993</v>
      </c>
      <c r="J3764" s="79">
        <v>6689.93</v>
      </c>
      <c r="K3764" s="79">
        <v>0</v>
      </c>
      <c r="L3764" s="70">
        <v>6689.93</v>
      </c>
      <c r="M3764" s="132"/>
      <c r="N3764" s="79">
        <v>5998.85</v>
      </c>
      <c r="O3764" s="79">
        <v>691.07999999999993</v>
      </c>
      <c r="P3764" s="79">
        <v>6689.93</v>
      </c>
      <c r="Q3764" s="136"/>
      <c r="R3764" s="79">
        <v>5998.85</v>
      </c>
      <c r="S3764" s="79">
        <v>691.12</v>
      </c>
      <c r="T3764" s="79">
        <v>6689.97</v>
      </c>
      <c r="U3764" s="79">
        <v>0</v>
      </c>
      <c r="V3764" s="189">
        <v>6689.97</v>
      </c>
      <c r="X3764" s="79">
        <v>5998.85</v>
      </c>
      <c r="Y3764" s="79">
        <v>691.12</v>
      </c>
      <c r="Z3764" s="79">
        <v>6689.97</v>
      </c>
      <c r="AA3764" s="255">
        <v>-3.999999999996362E-2</v>
      </c>
      <c r="AC3764" s="254"/>
    </row>
    <row r="3765" spans="1:29" s="61" customFormat="1" ht="24">
      <c r="A3765" s="67" t="s">
        <v>17820</v>
      </c>
      <c r="B3765" s="65" t="s">
        <v>17821</v>
      </c>
      <c r="C3765" s="71" t="s">
        <v>103</v>
      </c>
      <c r="D3765" s="78">
        <v>1</v>
      </c>
      <c r="E3765" s="79">
        <v>7099.85</v>
      </c>
      <c r="F3765" s="70">
        <v>7099.85</v>
      </c>
      <c r="G3765" s="320"/>
      <c r="H3765" s="79">
        <v>6236</v>
      </c>
      <c r="I3765" s="79">
        <v>863.85</v>
      </c>
      <c r="J3765" s="79">
        <v>7099.85</v>
      </c>
      <c r="K3765" s="79">
        <v>0</v>
      </c>
      <c r="L3765" s="70">
        <v>7099.85</v>
      </c>
      <c r="M3765" s="132"/>
      <c r="N3765" s="79">
        <v>6236</v>
      </c>
      <c r="O3765" s="79">
        <v>863.85</v>
      </c>
      <c r="P3765" s="79">
        <v>7099.85</v>
      </c>
      <c r="Q3765" s="136"/>
      <c r="R3765" s="79">
        <v>6236</v>
      </c>
      <c r="S3765" s="79">
        <v>863.9</v>
      </c>
      <c r="T3765" s="79">
        <v>7099.9</v>
      </c>
      <c r="U3765" s="79">
        <v>0</v>
      </c>
      <c r="V3765" s="189">
        <v>7099.9</v>
      </c>
      <c r="X3765" s="79">
        <v>6236</v>
      </c>
      <c r="Y3765" s="79">
        <v>863.9</v>
      </c>
      <c r="Z3765" s="79">
        <v>7099.9</v>
      </c>
      <c r="AA3765" s="255">
        <v>-4.9999999999272404E-2</v>
      </c>
      <c r="AC3765" s="254"/>
    </row>
    <row r="3766" spans="1:29" s="61" customFormat="1" ht="24">
      <c r="A3766" s="67" t="s">
        <v>17822</v>
      </c>
      <c r="B3766" s="65" t="s">
        <v>17823</v>
      </c>
      <c r="C3766" s="71" t="s">
        <v>103</v>
      </c>
      <c r="D3766" s="78">
        <v>1</v>
      </c>
      <c r="E3766" s="79">
        <v>8110.98</v>
      </c>
      <c r="F3766" s="70">
        <v>8110.98</v>
      </c>
      <c r="G3766" s="320"/>
      <c r="H3766" s="79">
        <v>7074.36</v>
      </c>
      <c r="I3766" s="79">
        <v>1036.6199999999999</v>
      </c>
      <c r="J3766" s="79">
        <v>8110.98</v>
      </c>
      <c r="K3766" s="79">
        <v>0</v>
      </c>
      <c r="L3766" s="70">
        <v>8110.98</v>
      </c>
      <c r="M3766" s="132"/>
      <c r="N3766" s="79">
        <v>7074.36</v>
      </c>
      <c r="O3766" s="79">
        <v>1036.6199999999999</v>
      </c>
      <c r="P3766" s="79">
        <v>8110.98</v>
      </c>
      <c r="Q3766" s="136"/>
      <c r="R3766" s="79">
        <v>7074.36</v>
      </c>
      <c r="S3766" s="79">
        <v>1036.68</v>
      </c>
      <c r="T3766" s="79">
        <v>8111.04</v>
      </c>
      <c r="U3766" s="79">
        <v>0</v>
      </c>
      <c r="V3766" s="189">
        <v>8111.04</v>
      </c>
      <c r="X3766" s="79">
        <v>7074.36</v>
      </c>
      <c r="Y3766" s="79">
        <v>1036.68</v>
      </c>
      <c r="Z3766" s="79">
        <v>8111.04</v>
      </c>
      <c r="AA3766" s="255">
        <v>-6.0000000000400178E-2</v>
      </c>
      <c r="AC3766" s="254"/>
    </row>
    <row r="3767" spans="1:29" s="61" customFormat="1" ht="24">
      <c r="A3767" s="67" t="s">
        <v>17824</v>
      </c>
      <c r="B3767" s="65" t="s">
        <v>17825</v>
      </c>
      <c r="C3767" s="71" t="s">
        <v>103</v>
      </c>
      <c r="D3767" s="78">
        <v>1</v>
      </c>
      <c r="E3767" s="79">
        <v>8383.31</v>
      </c>
      <c r="F3767" s="70">
        <v>8383.31</v>
      </c>
      <c r="G3767" s="320"/>
      <c r="H3767" s="79">
        <v>7260.3</v>
      </c>
      <c r="I3767" s="79">
        <v>1123.01</v>
      </c>
      <c r="J3767" s="79">
        <v>8383.31</v>
      </c>
      <c r="K3767" s="79">
        <v>0</v>
      </c>
      <c r="L3767" s="70">
        <v>8383.31</v>
      </c>
      <c r="M3767" s="132"/>
      <c r="N3767" s="79">
        <v>7260.3</v>
      </c>
      <c r="O3767" s="79">
        <v>1123.01</v>
      </c>
      <c r="P3767" s="79">
        <v>8383.31</v>
      </c>
      <c r="Q3767" s="136"/>
      <c r="R3767" s="79">
        <v>7260.3</v>
      </c>
      <c r="S3767" s="79">
        <v>1123.07</v>
      </c>
      <c r="T3767" s="79">
        <v>8383.3700000000008</v>
      </c>
      <c r="U3767" s="79">
        <v>0</v>
      </c>
      <c r="V3767" s="189">
        <v>8383.3700000000008</v>
      </c>
      <c r="X3767" s="79">
        <v>7260.3</v>
      </c>
      <c r="Y3767" s="79">
        <v>1123.07</v>
      </c>
      <c r="Z3767" s="79">
        <v>8383.3700000000008</v>
      </c>
      <c r="AA3767" s="255">
        <v>-6.0000000001309672E-2</v>
      </c>
      <c r="AC3767" s="254"/>
    </row>
    <row r="3768" spans="1:29" s="61" customFormat="1" ht="24">
      <c r="A3768" s="67" t="s">
        <v>17826</v>
      </c>
      <c r="B3768" s="65" t="s">
        <v>17827</v>
      </c>
      <c r="C3768" s="71" t="s">
        <v>103</v>
      </c>
      <c r="D3768" s="78">
        <v>1</v>
      </c>
      <c r="E3768" s="79">
        <v>5817.4400000000005</v>
      </c>
      <c r="F3768" s="70">
        <v>5817.44</v>
      </c>
      <c r="G3768" s="320"/>
      <c r="H3768" s="79">
        <v>5276.42</v>
      </c>
      <c r="I3768" s="79">
        <v>541.02</v>
      </c>
      <c r="J3768" s="79">
        <v>5817.4400000000005</v>
      </c>
      <c r="K3768" s="79">
        <v>0</v>
      </c>
      <c r="L3768" s="70">
        <v>5817.4400000000005</v>
      </c>
      <c r="M3768" s="132"/>
      <c r="N3768" s="79">
        <v>5276.42</v>
      </c>
      <c r="O3768" s="79">
        <v>541.02</v>
      </c>
      <c r="P3768" s="79">
        <v>5817.4400000000005</v>
      </c>
      <c r="Q3768" s="136"/>
      <c r="R3768" s="79">
        <v>5276.42</v>
      </c>
      <c r="S3768" s="79">
        <v>541.04999999999995</v>
      </c>
      <c r="T3768" s="79">
        <v>5817.47</v>
      </c>
      <c r="U3768" s="79">
        <v>0</v>
      </c>
      <c r="V3768" s="189">
        <v>5817.47</v>
      </c>
      <c r="X3768" s="79">
        <v>5276.42</v>
      </c>
      <c r="Y3768" s="79">
        <v>541.04999999999995</v>
      </c>
      <c r="Z3768" s="79">
        <v>5817.47</v>
      </c>
      <c r="AA3768" s="255">
        <v>-3.0000000000654836E-2</v>
      </c>
      <c r="AC3768" s="254"/>
    </row>
    <row r="3769" spans="1:29" s="61" customFormat="1" ht="24">
      <c r="A3769" s="67" t="s">
        <v>17828</v>
      </c>
      <c r="B3769" s="65" t="s">
        <v>17829</v>
      </c>
      <c r="C3769" s="71" t="s">
        <v>103</v>
      </c>
      <c r="D3769" s="78">
        <v>1</v>
      </c>
      <c r="E3769" s="79">
        <v>6042.02</v>
      </c>
      <c r="F3769" s="70">
        <v>6042.02</v>
      </c>
      <c r="G3769" s="320"/>
      <c r="H3769" s="79">
        <v>5501</v>
      </c>
      <c r="I3769" s="79">
        <v>541.02</v>
      </c>
      <c r="J3769" s="79">
        <v>6042.02</v>
      </c>
      <c r="K3769" s="79">
        <v>0</v>
      </c>
      <c r="L3769" s="70">
        <v>6042.02</v>
      </c>
      <c r="M3769" s="132"/>
      <c r="N3769" s="79">
        <v>5501</v>
      </c>
      <c r="O3769" s="79">
        <v>541.02</v>
      </c>
      <c r="P3769" s="79">
        <v>6042.02</v>
      </c>
      <c r="Q3769" s="136"/>
      <c r="R3769" s="79">
        <v>5501</v>
      </c>
      <c r="S3769" s="79">
        <v>541.04999999999995</v>
      </c>
      <c r="T3769" s="79">
        <v>6042.05</v>
      </c>
      <c r="U3769" s="79">
        <v>0</v>
      </c>
      <c r="V3769" s="189">
        <v>6042.05</v>
      </c>
      <c r="X3769" s="79">
        <v>5501</v>
      </c>
      <c r="Y3769" s="79">
        <v>541.04999999999995</v>
      </c>
      <c r="Z3769" s="79">
        <v>6042.05</v>
      </c>
      <c r="AA3769" s="255">
        <v>-2.9999999999745341E-2</v>
      </c>
      <c r="AC3769" s="254"/>
    </row>
    <row r="3770" spans="1:29" s="61" customFormat="1" ht="24">
      <c r="A3770" s="67" t="s">
        <v>17830</v>
      </c>
      <c r="B3770" s="65" t="s">
        <v>17831</v>
      </c>
      <c r="C3770" s="71" t="s">
        <v>103</v>
      </c>
      <c r="D3770" s="78">
        <v>1</v>
      </c>
      <c r="E3770" s="79">
        <v>6333.9400000000005</v>
      </c>
      <c r="F3770" s="70">
        <v>6333.94</v>
      </c>
      <c r="G3770" s="320"/>
      <c r="H3770" s="79">
        <v>5792.92</v>
      </c>
      <c r="I3770" s="79">
        <v>541.02</v>
      </c>
      <c r="J3770" s="79">
        <v>6333.9400000000005</v>
      </c>
      <c r="K3770" s="79">
        <v>0</v>
      </c>
      <c r="L3770" s="70">
        <v>6333.9400000000005</v>
      </c>
      <c r="M3770" s="132"/>
      <c r="N3770" s="79">
        <v>5792.92</v>
      </c>
      <c r="O3770" s="79">
        <v>541.02</v>
      </c>
      <c r="P3770" s="79">
        <v>6333.9400000000005</v>
      </c>
      <c r="Q3770" s="136"/>
      <c r="R3770" s="79">
        <v>5792.92</v>
      </c>
      <c r="S3770" s="79">
        <v>541.04999999999995</v>
      </c>
      <c r="T3770" s="79">
        <v>6333.97</v>
      </c>
      <c r="U3770" s="79">
        <v>0</v>
      </c>
      <c r="V3770" s="189">
        <v>6333.97</v>
      </c>
      <c r="X3770" s="79">
        <v>5792.92</v>
      </c>
      <c r="Y3770" s="79">
        <v>541.04999999999995</v>
      </c>
      <c r="Z3770" s="79">
        <v>6333.97</v>
      </c>
      <c r="AA3770" s="255">
        <v>-3.0000000000654836E-2</v>
      </c>
      <c r="AC3770" s="254"/>
    </row>
    <row r="3771" spans="1:29" s="61" customFormat="1" ht="12">
      <c r="A3771" s="67" t="s">
        <v>17832</v>
      </c>
      <c r="B3771" s="65" t="s">
        <v>17833</v>
      </c>
      <c r="C3771" s="71" t="s">
        <v>165</v>
      </c>
      <c r="D3771" s="78">
        <v>1</v>
      </c>
      <c r="E3771" s="79">
        <v>28.9</v>
      </c>
      <c r="F3771" s="70">
        <v>28.9</v>
      </c>
      <c r="G3771" s="320"/>
      <c r="H3771" s="79">
        <v>13.88</v>
      </c>
      <c r="I3771" s="79">
        <v>15.02</v>
      </c>
      <c r="J3771" s="79">
        <v>28.9</v>
      </c>
      <c r="K3771" s="79">
        <v>0</v>
      </c>
      <c r="L3771" s="70">
        <v>28.9</v>
      </c>
      <c r="M3771" s="132"/>
      <c r="N3771" s="79">
        <v>13.88</v>
      </c>
      <c r="O3771" s="79">
        <v>15.02</v>
      </c>
      <c r="P3771" s="79">
        <v>28.9</v>
      </c>
      <c r="Q3771" s="136"/>
      <c r="R3771" s="79">
        <v>13.88</v>
      </c>
      <c r="S3771" s="79">
        <v>15</v>
      </c>
      <c r="T3771" s="79">
        <v>28.880000000000003</v>
      </c>
      <c r="U3771" s="79">
        <v>0</v>
      </c>
      <c r="V3771" s="189">
        <v>28.880000000000003</v>
      </c>
      <c r="X3771" s="79">
        <v>13.88</v>
      </c>
      <c r="Y3771" s="79">
        <v>15</v>
      </c>
      <c r="Z3771" s="79">
        <v>28.88</v>
      </c>
      <c r="AA3771" s="255">
        <v>1.9999999999999574E-2</v>
      </c>
      <c r="AC3771" s="254"/>
    </row>
    <row r="3772" spans="1:29" s="61" customFormat="1" ht="12">
      <c r="A3772" s="67" t="s">
        <v>17834</v>
      </c>
      <c r="B3772" s="65" t="s">
        <v>17835</v>
      </c>
      <c r="C3772" s="71" t="s">
        <v>165</v>
      </c>
      <c r="D3772" s="78">
        <v>1</v>
      </c>
      <c r="E3772" s="79">
        <v>35.92</v>
      </c>
      <c r="F3772" s="70">
        <v>35.92</v>
      </c>
      <c r="G3772" s="320"/>
      <c r="H3772" s="79">
        <v>20.9</v>
      </c>
      <c r="I3772" s="79">
        <v>15.02</v>
      </c>
      <c r="J3772" s="79">
        <v>35.92</v>
      </c>
      <c r="K3772" s="79">
        <v>0</v>
      </c>
      <c r="L3772" s="70">
        <v>35.92</v>
      </c>
      <c r="M3772" s="132"/>
      <c r="N3772" s="79">
        <v>20.9</v>
      </c>
      <c r="O3772" s="79">
        <v>15.02</v>
      </c>
      <c r="P3772" s="79">
        <v>35.92</v>
      </c>
      <c r="Q3772" s="136"/>
      <c r="R3772" s="79">
        <v>20.9</v>
      </c>
      <c r="S3772" s="79">
        <v>15</v>
      </c>
      <c r="T3772" s="79">
        <v>35.9</v>
      </c>
      <c r="U3772" s="79">
        <v>0</v>
      </c>
      <c r="V3772" s="189">
        <v>35.9</v>
      </c>
      <c r="X3772" s="79">
        <v>20.9</v>
      </c>
      <c r="Y3772" s="79">
        <v>15</v>
      </c>
      <c r="Z3772" s="79">
        <v>35.9</v>
      </c>
      <c r="AA3772" s="255">
        <v>2.0000000000003126E-2</v>
      </c>
      <c r="AC3772" s="254"/>
    </row>
    <row r="3773" spans="1:29" s="61" customFormat="1" ht="12">
      <c r="A3773" s="67" t="s">
        <v>17836</v>
      </c>
      <c r="B3773" s="65" t="s">
        <v>17837</v>
      </c>
      <c r="C3773" s="71" t="s">
        <v>165</v>
      </c>
      <c r="D3773" s="78">
        <v>1</v>
      </c>
      <c r="E3773" s="79">
        <v>41.17</v>
      </c>
      <c r="F3773" s="70">
        <v>41.17</v>
      </c>
      <c r="G3773" s="320"/>
      <c r="H3773" s="79">
        <v>26.15</v>
      </c>
      <c r="I3773" s="79">
        <v>15.02</v>
      </c>
      <c r="J3773" s="79">
        <v>41.17</v>
      </c>
      <c r="K3773" s="79">
        <v>0</v>
      </c>
      <c r="L3773" s="70">
        <v>41.17</v>
      </c>
      <c r="M3773" s="132"/>
      <c r="N3773" s="79">
        <v>26.15</v>
      </c>
      <c r="O3773" s="79">
        <v>15.02</v>
      </c>
      <c r="P3773" s="79">
        <v>41.17</v>
      </c>
      <c r="Q3773" s="136"/>
      <c r="R3773" s="79">
        <v>26.15</v>
      </c>
      <c r="S3773" s="79">
        <v>15</v>
      </c>
      <c r="T3773" s="79">
        <v>41.15</v>
      </c>
      <c r="U3773" s="79">
        <v>0</v>
      </c>
      <c r="V3773" s="189">
        <v>41.15</v>
      </c>
      <c r="X3773" s="79">
        <v>26.15</v>
      </c>
      <c r="Y3773" s="79">
        <v>15</v>
      </c>
      <c r="Z3773" s="79">
        <v>41.15</v>
      </c>
      <c r="AA3773" s="255">
        <v>2.0000000000003126E-2</v>
      </c>
      <c r="AC3773" s="254"/>
    </row>
    <row r="3774" spans="1:29" s="61" customFormat="1" ht="12">
      <c r="A3774" s="65" t="s">
        <v>17838</v>
      </c>
      <c r="B3774" s="65" t="s">
        <v>17839</v>
      </c>
      <c r="C3774" s="108" t="s">
        <v>509</v>
      </c>
      <c r="D3774" s="78">
        <v>1</v>
      </c>
      <c r="E3774" s="79">
        <v>208.1</v>
      </c>
      <c r="F3774" s="70">
        <v>208.1</v>
      </c>
      <c r="G3774" s="320"/>
      <c r="H3774" s="79">
        <v>100.1</v>
      </c>
      <c r="I3774" s="79">
        <v>108</v>
      </c>
      <c r="J3774" s="79">
        <v>208.1</v>
      </c>
      <c r="K3774" s="79">
        <v>0</v>
      </c>
      <c r="L3774" s="70">
        <v>208.1</v>
      </c>
      <c r="M3774" s="132"/>
      <c r="N3774" s="79">
        <v>100.1</v>
      </c>
      <c r="O3774" s="79">
        <v>108</v>
      </c>
      <c r="P3774" s="79">
        <v>208.1</v>
      </c>
      <c r="Q3774" s="136"/>
      <c r="R3774" s="79">
        <v>100.1</v>
      </c>
      <c r="S3774" s="79">
        <v>107.99</v>
      </c>
      <c r="T3774" s="79">
        <v>208.08999999999997</v>
      </c>
      <c r="U3774" s="79">
        <v>0</v>
      </c>
      <c r="V3774" s="189">
        <v>208.08999999999997</v>
      </c>
      <c r="X3774" s="506">
        <v>100.1</v>
      </c>
      <c r="Y3774" s="506">
        <v>107.99</v>
      </c>
      <c r="Z3774" s="506">
        <v>208.09</v>
      </c>
      <c r="AA3774" s="255">
        <v>9.9999999999909051E-3</v>
      </c>
      <c r="AC3774" s="254"/>
    </row>
    <row r="3775" spans="1:29" s="61" customFormat="1" ht="12">
      <c r="A3775" s="67" t="s">
        <v>17840</v>
      </c>
      <c r="B3775" s="65" t="s">
        <v>17841</v>
      </c>
      <c r="C3775" s="71" t="s">
        <v>509</v>
      </c>
      <c r="D3775" s="78">
        <v>1</v>
      </c>
      <c r="E3775" s="79">
        <v>6895.72</v>
      </c>
      <c r="F3775" s="70">
        <v>6895.72</v>
      </c>
      <c r="G3775" s="320"/>
      <c r="H3775" s="79">
        <v>6895.72</v>
      </c>
      <c r="I3775" s="79">
        <v>0</v>
      </c>
      <c r="J3775" s="79">
        <v>6895.72</v>
      </c>
      <c r="K3775" s="79">
        <v>0</v>
      </c>
      <c r="L3775" s="70">
        <v>6895.72</v>
      </c>
      <c r="M3775" s="132"/>
      <c r="N3775" s="79">
        <v>6895.72</v>
      </c>
      <c r="O3775" s="79"/>
      <c r="P3775" s="79">
        <v>6895.72</v>
      </c>
      <c r="Q3775" s="136"/>
      <c r="R3775" s="79">
        <v>6895.72</v>
      </c>
      <c r="S3775" s="79"/>
      <c r="T3775" s="79">
        <v>6895.72</v>
      </c>
      <c r="U3775" s="79">
        <v>0</v>
      </c>
      <c r="V3775" s="189">
        <v>6895.72</v>
      </c>
      <c r="X3775" s="79">
        <v>6895.72</v>
      </c>
      <c r="Y3775" s="79"/>
      <c r="Z3775" s="79">
        <v>6895.72</v>
      </c>
      <c r="AA3775" s="255">
        <v>0</v>
      </c>
      <c r="AC3775" s="254"/>
    </row>
    <row r="3776" spans="1:29" s="61" customFormat="1" ht="12">
      <c r="A3776" s="67" t="s">
        <v>17842</v>
      </c>
      <c r="B3776" s="65" t="s">
        <v>17843</v>
      </c>
      <c r="C3776" s="71" t="s">
        <v>509</v>
      </c>
      <c r="D3776" s="78">
        <v>1</v>
      </c>
      <c r="E3776" s="79">
        <v>2196.2400000000002</v>
      </c>
      <c r="F3776" s="70">
        <v>2196.2399999999998</v>
      </c>
      <c r="G3776" s="320"/>
      <c r="H3776" s="79">
        <v>2056.15</v>
      </c>
      <c r="I3776" s="79">
        <v>140.09</v>
      </c>
      <c r="J3776" s="79">
        <v>2196.2400000000002</v>
      </c>
      <c r="K3776" s="79">
        <v>0</v>
      </c>
      <c r="L3776" s="70">
        <v>2196.2400000000002</v>
      </c>
      <c r="M3776" s="132"/>
      <c r="N3776" s="79">
        <v>2056.15</v>
      </c>
      <c r="O3776" s="79">
        <v>140.09</v>
      </c>
      <c r="P3776" s="79">
        <v>2196.2400000000002</v>
      </c>
      <c r="Q3776" s="136"/>
      <c r="R3776" s="79">
        <v>2056.15</v>
      </c>
      <c r="S3776" s="79">
        <v>140.09</v>
      </c>
      <c r="T3776" s="79">
        <v>2196.2400000000002</v>
      </c>
      <c r="U3776" s="79">
        <v>0</v>
      </c>
      <c r="V3776" s="189">
        <v>2196.2400000000002</v>
      </c>
      <c r="X3776" s="79">
        <v>2056.15</v>
      </c>
      <c r="Y3776" s="79">
        <v>140.09</v>
      </c>
      <c r="Z3776" s="79">
        <v>2196.2399999999998</v>
      </c>
      <c r="AA3776" s="255">
        <v>0</v>
      </c>
      <c r="AC3776" s="254"/>
    </row>
    <row r="3777" spans="1:31" s="61" customFormat="1" ht="12">
      <c r="A3777" s="67" t="s">
        <v>17844</v>
      </c>
      <c r="B3777" s="65" t="s">
        <v>17845</v>
      </c>
      <c r="C3777" s="71" t="s">
        <v>509</v>
      </c>
      <c r="D3777" s="78">
        <v>1</v>
      </c>
      <c r="E3777" s="79">
        <v>1837.76</v>
      </c>
      <c r="F3777" s="70">
        <v>1837.76</v>
      </c>
      <c r="G3777" s="320"/>
      <c r="H3777" s="79">
        <v>1729.49</v>
      </c>
      <c r="I3777" s="79">
        <v>108.27</v>
      </c>
      <c r="J3777" s="79">
        <v>1837.76</v>
      </c>
      <c r="K3777" s="79">
        <v>0</v>
      </c>
      <c r="L3777" s="70">
        <v>1837.76</v>
      </c>
      <c r="M3777" s="132"/>
      <c r="N3777" s="79">
        <v>1729.49</v>
      </c>
      <c r="O3777" s="79">
        <v>108.27</v>
      </c>
      <c r="P3777" s="79">
        <v>1837.76</v>
      </c>
      <c r="Q3777" s="136"/>
      <c r="R3777" s="79">
        <v>1729.49</v>
      </c>
      <c r="S3777" s="79">
        <v>108.26</v>
      </c>
      <c r="T3777" s="79">
        <v>1837.75</v>
      </c>
      <c r="U3777" s="79">
        <v>0</v>
      </c>
      <c r="V3777" s="189">
        <v>1837.75</v>
      </c>
      <c r="X3777" s="79">
        <v>1729.49</v>
      </c>
      <c r="Y3777" s="79">
        <v>108.26</v>
      </c>
      <c r="Z3777" s="79">
        <v>1837.75</v>
      </c>
      <c r="AA3777" s="255">
        <v>9.9999999999909051E-3</v>
      </c>
      <c r="AC3777" s="254"/>
    </row>
    <row r="3778" spans="1:31" s="61" customFormat="1" ht="12">
      <c r="A3778" s="67" t="s">
        <v>17846</v>
      </c>
      <c r="B3778" s="65" t="s">
        <v>17847</v>
      </c>
      <c r="C3778" s="71" t="s">
        <v>509</v>
      </c>
      <c r="D3778" s="78">
        <v>1</v>
      </c>
      <c r="E3778" s="79">
        <v>1450.1599999999999</v>
      </c>
      <c r="F3778" s="70">
        <v>1450.16</v>
      </c>
      <c r="G3778" s="320"/>
      <c r="H3778" s="79">
        <v>1354.62</v>
      </c>
      <c r="I3778" s="79">
        <v>95.539999999999992</v>
      </c>
      <c r="J3778" s="79">
        <v>1450.1599999999999</v>
      </c>
      <c r="K3778" s="79">
        <v>0</v>
      </c>
      <c r="L3778" s="70">
        <v>1450.1599999999999</v>
      </c>
      <c r="M3778" s="132"/>
      <c r="N3778" s="79">
        <v>1354.62</v>
      </c>
      <c r="O3778" s="79">
        <v>95.539999999999992</v>
      </c>
      <c r="P3778" s="79">
        <v>1450.1599999999999</v>
      </c>
      <c r="Q3778" s="136"/>
      <c r="R3778" s="79">
        <v>1354.62</v>
      </c>
      <c r="S3778" s="79">
        <v>95.53</v>
      </c>
      <c r="T3778" s="79">
        <v>1450.1499999999999</v>
      </c>
      <c r="U3778" s="79">
        <v>0</v>
      </c>
      <c r="V3778" s="189">
        <v>1450.1499999999999</v>
      </c>
      <c r="X3778" s="79">
        <v>1354.62</v>
      </c>
      <c r="Y3778" s="79">
        <v>95.53</v>
      </c>
      <c r="Z3778" s="79">
        <v>1450.15</v>
      </c>
      <c r="AA3778" s="255">
        <v>9.9999999999909051E-3</v>
      </c>
      <c r="AC3778" s="254"/>
    </row>
    <row r="3779" spans="1:31" s="61" customFormat="1" ht="12">
      <c r="A3779" s="67" t="s">
        <v>17848</v>
      </c>
      <c r="B3779" s="65" t="s">
        <v>17849</v>
      </c>
      <c r="C3779" s="71" t="s">
        <v>103</v>
      </c>
      <c r="D3779" s="78">
        <v>1</v>
      </c>
      <c r="E3779" s="79">
        <v>406.89</v>
      </c>
      <c r="F3779" s="70">
        <v>406.89</v>
      </c>
      <c r="G3779" s="320"/>
      <c r="H3779" s="79">
        <v>0</v>
      </c>
      <c r="I3779" s="79">
        <v>406.89</v>
      </c>
      <c r="J3779" s="79">
        <v>406.89</v>
      </c>
      <c r="K3779" s="79">
        <v>0</v>
      </c>
      <c r="L3779" s="70">
        <v>406.89</v>
      </c>
      <c r="M3779" s="132"/>
      <c r="N3779" s="79"/>
      <c r="O3779" s="79">
        <v>406.89</v>
      </c>
      <c r="P3779" s="79">
        <v>406.89</v>
      </c>
      <c r="Q3779" s="136"/>
      <c r="R3779" s="79"/>
      <c r="S3779" s="79">
        <v>406.88</v>
      </c>
      <c r="T3779" s="79">
        <v>406.88</v>
      </c>
      <c r="U3779" s="79">
        <v>0</v>
      </c>
      <c r="V3779" s="189">
        <v>406.88</v>
      </c>
      <c r="X3779" s="79"/>
      <c r="Y3779" s="79">
        <v>406.88</v>
      </c>
      <c r="Z3779" s="79">
        <v>406.88</v>
      </c>
      <c r="AA3779" s="255">
        <v>9.9999999999909051E-3</v>
      </c>
      <c r="AC3779" s="254"/>
    </row>
    <row r="3780" spans="1:31" s="61" customFormat="1" ht="12">
      <c r="A3780" s="67" t="s">
        <v>17850</v>
      </c>
      <c r="B3780" s="65" t="s">
        <v>17851</v>
      </c>
      <c r="C3780" s="71" t="s">
        <v>103</v>
      </c>
      <c r="D3780" s="78">
        <v>1</v>
      </c>
      <c r="E3780" s="79">
        <v>11324.59</v>
      </c>
      <c r="F3780" s="70">
        <v>11324.59</v>
      </c>
      <c r="G3780" s="320"/>
      <c r="H3780" s="79">
        <v>9596.89</v>
      </c>
      <c r="I3780" s="79">
        <v>1727.7</v>
      </c>
      <c r="J3780" s="79">
        <v>11324.59</v>
      </c>
      <c r="K3780" s="79">
        <v>0</v>
      </c>
      <c r="L3780" s="70">
        <v>11324.59</v>
      </c>
      <c r="M3780" s="132"/>
      <c r="N3780" s="79">
        <v>9596.89</v>
      </c>
      <c r="O3780" s="79">
        <v>1727.7</v>
      </c>
      <c r="P3780" s="79">
        <v>11324.59</v>
      </c>
      <c r="Q3780" s="136"/>
      <c r="R3780" s="79">
        <v>9596.89</v>
      </c>
      <c r="S3780" s="79">
        <v>1727.8</v>
      </c>
      <c r="T3780" s="79">
        <v>11324.689999999999</v>
      </c>
      <c r="U3780" s="79">
        <v>0</v>
      </c>
      <c r="V3780" s="189">
        <v>11324.689999999999</v>
      </c>
      <c r="X3780" s="79">
        <v>9596.89</v>
      </c>
      <c r="Y3780" s="79">
        <v>1727.8</v>
      </c>
      <c r="Z3780" s="79">
        <v>11324.69</v>
      </c>
      <c r="AA3780" s="255">
        <v>-0.1000000000003638</v>
      </c>
      <c r="AC3780" s="254"/>
    </row>
    <row r="3781" spans="1:31" s="61" customFormat="1" ht="12">
      <c r="A3781" s="67" t="s">
        <v>17852</v>
      </c>
      <c r="B3781" s="65" t="s">
        <v>17853</v>
      </c>
      <c r="C3781" s="71" t="s">
        <v>103</v>
      </c>
      <c r="D3781" s="78">
        <v>1</v>
      </c>
      <c r="E3781" s="79">
        <v>238.2</v>
      </c>
      <c r="F3781" s="70">
        <v>238.2</v>
      </c>
      <c r="G3781" s="320"/>
      <c r="H3781" s="79">
        <v>187.26</v>
      </c>
      <c r="I3781" s="79">
        <v>50.94</v>
      </c>
      <c r="J3781" s="79">
        <v>238.2</v>
      </c>
      <c r="K3781" s="79">
        <v>0</v>
      </c>
      <c r="L3781" s="70">
        <v>238.2</v>
      </c>
      <c r="M3781" s="132"/>
      <c r="N3781" s="79">
        <v>187.26</v>
      </c>
      <c r="O3781" s="79">
        <v>50.94</v>
      </c>
      <c r="P3781" s="79">
        <v>238.2</v>
      </c>
      <c r="Q3781" s="136"/>
      <c r="R3781" s="79">
        <v>187.26</v>
      </c>
      <c r="S3781" s="79">
        <v>50.95</v>
      </c>
      <c r="T3781" s="79">
        <v>238.20999999999998</v>
      </c>
      <c r="U3781" s="79">
        <v>0</v>
      </c>
      <c r="V3781" s="189">
        <v>238.20999999999998</v>
      </c>
      <c r="X3781" s="79">
        <v>187.26</v>
      </c>
      <c r="Y3781" s="79">
        <v>50.95</v>
      </c>
      <c r="Z3781" s="79">
        <v>238.21</v>
      </c>
      <c r="AA3781" s="255">
        <v>-1.0000000000019327E-2</v>
      </c>
      <c r="AC3781" s="254"/>
      <c r="AD3781" s="236"/>
      <c r="AE3781" s="236"/>
    </row>
    <row r="3782" spans="1:31" s="61" customFormat="1" ht="12">
      <c r="A3782" s="67" t="s">
        <v>17854</v>
      </c>
      <c r="B3782" s="65" t="s">
        <v>17855</v>
      </c>
      <c r="C3782" s="71" t="s">
        <v>103</v>
      </c>
      <c r="D3782" s="78">
        <v>1</v>
      </c>
      <c r="E3782" s="79">
        <v>1391.7</v>
      </c>
      <c r="F3782" s="70">
        <v>1391.7</v>
      </c>
      <c r="G3782" s="320"/>
      <c r="H3782" s="79">
        <v>1245.22</v>
      </c>
      <c r="I3782" s="79">
        <v>146.48000000000002</v>
      </c>
      <c r="J3782" s="79">
        <v>1391.7</v>
      </c>
      <c r="K3782" s="79">
        <v>0</v>
      </c>
      <c r="L3782" s="70">
        <v>1391.7</v>
      </c>
      <c r="M3782" s="132"/>
      <c r="N3782" s="79">
        <v>1245.22</v>
      </c>
      <c r="O3782" s="79">
        <v>146.48000000000002</v>
      </c>
      <c r="P3782" s="79">
        <v>1391.7</v>
      </c>
      <c r="Q3782" s="136"/>
      <c r="R3782" s="79">
        <v>1245.22</v>
      </c>
      <c r="S3782" s="79">
        <v>146.46</v>
      </c>
      <c r="T3782" s="79">
        <v>1391.68</v>
      </c>
      <c r="U3782" s="79">
        <v>0</v>
      </c>
      <c r="V3782" s="189">
        <v>1391.68</v>
      </c>
      <c r="X3782" s="79">
        <v>1245.22</v>
      </c>
      <c r="Y3782" s="79">
        <v>146.46</v>
      </c>
      <c r="Z3782" s="79">
        <v>1391.68</v>
      </c>
      <c r="AA3782" s="255">
        <v>1.999999999998181E-2</v>
      </c>
      <c r="AC3782" s="254"/>
      <c r="AD3782" s="236"/>
      <c r="AE3782" s="236"/>
    </row>
    <row r="3783" spans="1:31" ht="12">
      <c r="A3783" s="67" t="s">
        <v>17856</v>
      </c>
      <c r="B3783" s="65" t="s">
        <v>17857</v>
      </c>
      <c r="C3783" s="71" t="s">
        <v>509</v>
      </c>
      <c r="D3783" s="78">
        <v>1</v>
      </c>
      <c r="E3783" s="79">
        <v>4776.6600000000008</v>
      </c>
      <c r="F3783" s="70">
        <v>4776.66</v>
      </c>
      <c r="G3783" s="320"/>
      <c r="H3783" s="79">
        <v>4553.7700000000004</v>
      </c>
      <c r="I3783" s="79">
        <v>222.89</v>
      </c>
      <c r="J3783" s="79">
        <v>4776.6600000000008</v>
      </c>
      <c r="K3783" s="79">
        <v>0</v>
      </c>
      <c r="L3783" s="70">
        <v>4776.6600000000008</v>
      </c>
      <c r="M3783" s="132"/>
      <c r="N3783" s="79">
        <v>4553.7700000000004</v>
      </c>
      <c r="O3783" s="79">
        <v>222.89</v>
      </c>
      <c r="P3783" s="79">
        <v>4776.6600000000008</v>
      </c>
      <c r="Q3783" s="136"/>
      <c r="R3783" s="79">
        <v>4553.7700000000004</v>
      </c>
      <c r="S3783" s="79">
        <v>222.89</v>
      </c>
      <c r="T3783" s="79">
        <v>4776.6600000000008</v>
      </c>
      <c r="U3783" s="79">
        <v>0</v>
      </c>
      <c r="V3783" s="189">
        <v>4776.6600000000008</v>
      </c>
      <c r="X3783" s="79">
        <v>4553.7700000000004</v>
      </c>
      <c r="Y3783" s="79">
        <v>222.89</v>
      </c>
      <c r="Z3783" s="79">
        <v>4776.66</v>
      </c>
      <c r="AA3783" s="255">
        <v>0</v>
      </c>
      <c r="AC3783" s="254"/>
      <c r="AD3783" s="61"/>
      <c r="AE3783" s="61"/>
    </row>
    <row r="3784" spans="1:31" ht="12">
      <c r="A3784" s="67" t="s">
        <v>17858</v>
      </c>
      <c r="B3784" s="65" t="s">
        <v>17859</v>
      </c>
      <c r="C3784" s="71" t="s">
        <v>165</v>
      </c>
      <c r="D3784" s="78">
        <v>1</v>
      </c>
      <c r="E3784" s="79">
        <v>4825.28</v>
      </c>
      <c r="F3784" s="70">
        <v>4825.28</v>
      </c>
      <c r="G3784" s="320"/>
      <c r="H3784" s="79">
        <v>4769.45</v>
      </c>
      <c r="I3784" s="79">
        <v>55.83</v>
      </c>
      <c r="J3784" s="79">
        <v>4825.28</v>
      </c>
      <c r="K3784" s="79">
        <v>0</v>
      </c>
      <c r="L3784" s="70">
        <v>4825.28</v>
      </c>
      <c r="M3784" s="132"/>
      <c r="N3784" s="79">
        <v>4769.45</v>
      </c>
      <c r="O3784" s="79">
        <v>55.83</v>
      </c>
      <c r="P3784" s="79">
        <v>4825.28</v>
      </c>
      <c r="Q3784" s="136"/>
      <c r="R3784" s="79">
        <v>4769.45</v>
      </c>
      <c r="S3784" s="79">
        <v>55.83</v>
      </c>
      <c r="T3784" s="79">
        <v>4825.28</v>
      </c>
      <c r="U3784" s="79">
        <v>0</v>
      </c>
      <c r="V3784" s="189">
        <v>4825.28</v>
      </c>
      <c r="X3784" s="79">
        <v>4769.45</v>
      </c>
      <c r="Y3784" s="79">
        <v>55.83</v>
      </c>
      <c r="Z3784" s="79">
        <v>4825.28</v>
      </c>
      <c r="AA3784" s="255">
        <v>0</v>
      </c>
      <c r="AC3784" s="254"/>
    </row>
    <row r="3785" spans="1:31" s="61" customFormat="1" ht="12">
      <c r="A3785" s="67" t="s">
        <v>17860</v>
      </c>
      <c r="B3785" s="65" t="s">
        <v>17861</v>
      </c>
      <c r="C3785" s="71" t="s">
        <v>103</v>
      </c>
      <c r="D3785" s="78">
        <v>1</v>
      </c>
      <c r="E3785" s="79">
        <v>143.94</v>
      </c>
      <c r="F3785" s="70">
        <v>143.94</v>
      </c>
      <c r="G3785" s="320"/>
      <c r="H3785" s="79">
        <v>93</v>
      </c>
      <c r="I3785" s="79">
        <v>50.94</v>
      </c>
      <c r="J3785" s="79">
        <v>143.94</v>
      </c>
      <c r="K3785" s="79">
        <v>0</v>
      </c>
      <c r="L3785" s="70">
        <v>143.94</v>
      </c>
      <c r="M3785" s="132"/>
      <c r="N3785" s="79">
        <v>93</v>
      </c>
      <c r="O3785" s="79">
        <v>50.94</v>
      </c>
      <c r="P3785" s="79">
        <v>143.94</v>
      </c>
      <c r="Q3785" s="136"/>
      <c r="R3785" s="79">
        <v>93</v>
      </c>
      <c r="S3785" s="79">
        <v>50.95</v>
      </c>
      <c r="T3785" s="79">
        <v>143.94999999999999</v>
      </c>
      <c r="U3785" s="79">
        <v>0</v>
      </c>
      <c r="V3785" s="189">
        <v>143.94999999999999</v>
      </c>
      <c r="X3785" s="79">
        <v>93</v>
      </c>
      <c r="Y3785" s="79">
        <v>50.95</v>
      </c>
      <c r="Z3785" s="79">
        <v>143.94999999999999</v>
      </c>
      <c r="AA3785" s="255">
        <v>-9.9999999999909051E-3</v>
      </c>
      <c r="AC3785" s="254"/>
      <c r="AD3785" s="236"/>
      <c r="AE3785" s="236"/>
    </row>
    <row r="3786" spans="1:31" ht="12">
      <c r="A3786" s="67" t="s">
        <v>17862</v>
      </c>
      <c r="B3786" s="65" t="s">
        <v>17863</v>
      </c>
      <c r="C3786" s="71" t="s">
        <v>103</v>
      </c>
      <c r="D3786" s="78">
        <v>1</v>
      </c>
      <c r="E3786" s="79">
        <v>173.32999999999998</v>
      </c>
      <c r="F3786" s="70">
        <v>173.33</v>
      </c>
      <c r="G3786" s="320"/>
      <c r="H3786" s="79">
        <v>122.39</v>
      </c>
      <c r="I3786" s="79">
        <v>50.94</v>
      </c>
      <c r="J3786" s="79">
        <v>173.32999999999998</v>
      </c>
      <c r="K3786" s="79">
        <v>0</v>
      </c>
      <c r="L3786" s="70">
        <v>173.32999999999998</v>
      </c>
      <c r="M3786" s="132"/>
      <c r="N3786" s="79">
        <v>122.39</v>
      </c>
      <c r="O3786" s="79">
        <v>50.94</v>
      </c>
      <c r="P3786" s="79">
        <v>173.32999999999998</v>
      </c>
      <c r="Q3786" s="136"/>
      <c r="R3786" s="79">
        <v>122.39</v>
      </c>
      <c r="S3786" s="79">
        <v>50.95</v>
      </c>
      <c r="T3786" s="79">
        <v>173.34</v>
      </c>
      <c r="U3786" s="79">
        <v>0</v>
      </c>
      <c r="V3786" s="189">
        <v>173.34</v>
      </c>
      <c r="X3786" s="79">
        <v>122.39</v>
      </c>
      <c r="Y3786" s="79">
        <v>50.95</v>
      </c>
      <c r="Z3786" s="79">
        <v>173.34</v>
      </c>
      <c r="AA3786" s="255">
        <v>-9.9999999999909051E-3</v>
      </c>
      <c r="AC3786" s="254"/>
    </row>
    <row r="3787" spans="1:31" ht="12">
      <c r="A3787" s="67" t="s">
        <v>17864</v>
      </c>
      <c r="B3787" s="65" t="s">
        <v>17865</v>
      </c>
      <c r="C3787" s="71" t="s">
        <v>103</v>
      </c>
      <c r="D3787" s="78">
        <v>1</v>
      </c>
      <c r="E3787" s="79">
        <v>427.9</v>
      </c>
      <c r="F3787" s="70">
        <v>427.9</v>
      </c>
      <c r="G3787" s="320"/>
      <c r="H3787" s="79">
        <v>376.96</v>
      </c>
      <c r="I3787" s="79">
        <v>50.94</v>
      </c>
      <c r="J3787" s="79">
        <v>427.9</v>
      </c>
      <c r="K3787" s="79">
        <v>0</v>
      </c>
      <c r="L3787" s="70">
        <v>427.9</v>
      </c>
      <c r="M3787" s="132"/>
      <c r="N3787" s="79">
        <v>376.96</v>
      </c>
      <c r="O3787" s="79">
        <v>50.94</v>
      </c>
      <c r="P3787" s="79">
        <v>427.9</v>
      </c>
      <c r="Q3787" s="136"/>
      <c r="R3787" s="79">
        <v>376.96</v>
      </c>
      <c r="S3787" s="79">
        <v>50.95</v>
      </c>
      <c r="T3787" s="79">
        <v>427.90999999999997</v>
      </c>
      <c r="U3787" s="79">
        <v>0</v>
      </c>
      <c r="V3787" s="189">
        <v>427.90999999999997</v>
      </c>
      <c r="X3787" s="79">
        <v>376.96</v>
      </c>
      <c r="Y3787" s="79">
        <v>50.95</v>
      </c>
      <c r="Z3787" s="79">
        <v>427.91</v>
      </c>
      <c r="AA3787" s="255">
        <v>-1.0000000000047748E-2</v>
      </c>
      <c r="AC3787" s="254"/>
    </row>
    <row r="3788" spans="1:31" ht="12">
      <c r="A3788" s="67" t="s">
        <v>17866</v>
      </c>
      <c r="B3788" s="65" t="s">
        <v>17867</v>
      </c>
      <c r="C3788" s="71" t="s">
        <v>103</v>
      </c>
      <c r="D3788" s="78">
        <v>1</v>
      </c>
      <c r="E3788" s="79">
        <v>346.17</v>
      </c>
      <c r="F3788" s="70">
        <v>346.17</v>
      </c>
      <c r="G3788" s="320"/>
      <c r="H3788" s="79">
        <v>295.23</v>
      </c>
      <c r="I3788" s="79">
        <v>50.94</v>
      </c>
      <c r="J3788" s="79">
        <v>346.17</v>
      </c>
      <c r="K3788" s="79">
        <v>0</v>
      </c>
      <c r="L3788" s="70">
        <v>346.17</v>
      </c>
      <c r="M3788" s="132"/>
      <c r="N3788" s="79">
        <v>295.23</v>
      </c>
      <c r="O3788" s="79">
        <v>50.94</v>
      </c>
      <c r="P3788" s="79">
        <v>346.17</v>
      </c>
      <c r="Q3788" s="136"/>
      <c r="R3788" s="79">
        <v>295.23</v>
      </c>
      <c r="S3788" s="79">
        <v>50.95</v>
      </c>
      <c r="T3788" s="79">
        <v>346.18</v>
      </c>
      <c r="U3788" s="79">
        <v>0</v>
      </c>
      <c r="V3788" s="189">
        <v>346.18</v>
      </c>
      <c r="X3788" s="79">
        <v>295.23</v>
      </c>
      <c r="Y3788" s="79">
        <v>50.95</v>
      </c>
      <c r="Z3788" s="79">
        <v>346.18</v>
      </c>
      <c r="AA3788" s="255">
        <v>-9.9999999999909051E-3</v>
      </c>
      <c r="AC3788" s="254"/>
    </row>
    <row r="3789" spans="1:31" ht="12">
      <c r="A3789" s="67" t="s">
        <v>17868</v>
      </c>
      <c r="B3789" s="65" t="s">
        <v>17869</v>
      </c>
      <c r="C3789" s="71" t="s">
        <v>509</v>
      </c>
      <c r="D3789" s="78">
        <v>1</v>
      </c>
      <c r="E3789" s="79">
        <v>4380.99</v>
      </c>
      <c r="F3789" s="70">
        <v>4380.99</v>
      </c>
      <c r="G3789" s="320"/>
      <c r="H3789" s="79">
        <v>4068.95</v>
      </c>
      <c r="I3789" s="79">
        <v>312.03999999999996</v>
      </c>
      <c r="J3789" s="79">
        <v>4380.99</v>
      </c>
      <c r="K3789" s="79">
        <v>0</v>
      </c>
      <c r="L3789" s="70">
        <v>4380.99</v>
      </c>
      <c r="M3789" s="132"/>
      <c r="N3789" s="79">
        <v>4068.95</v>
      </c>
      <c r="O3789" s="79">
        <v>312.03999999999996</v>
      </c>
      <c r="P3789" s="79">
        <v>4380.99</v>
      </c>
      <c r="Q3789" s="136"/>
      <c r="R3789" s="79">
        <v>4068.95</v>
      </c>
      <c r="S3789" s="79">
        <v>312.02999999999997</v>
      </c>
      <c r="T3789" s="79">
        <v>4380.9799999999996</v>
      </c>
      <c r="U3789" s="79">
        <v>0</v>
      </c>
      <c r="V3789" s="189">
        <v>4380.9799999999996</v>
      </c>
      <c r="X3789" s="79">
        <v>4068.95</v>
      </c>
      <c r="Y3789" s="79">
        <v>312.02999999999997</v>
      </c>
      <c r="Z3789" s="79">
        <v>4380.9799999999996</v>
      </c>
      <c r="AA3789" s="255">
        <v>1.0000000000218279E-2</v>
      </c>
      <c r="AC3789" s="254"/>
    </row>
    <row r="3790" spans="1:31" ht="24">
      <c r="A3790" s="67" t="s">
        <v>17870</v>
      </c>
      <c r="B3790" s="65" t="s">
        <v>17871</v>
      </c>
      <c r="C3790" s="71" t="s">
        <v>509</v>
      </c>
      <c r="D3790" s="78">
        <v>1</v>
      </c>
      <c r="E3790" s="79">
        <v>2449.29</v>
      </c>
      <c r="F3790" s="70">
        <v>2449.29</v>
      </c>
      <c r="G3790" s="320"/>
      <c r="H3790" s="79">
        <v>2321.94</v>
      </c>
      <c r="I3790" s="79">
        <v>127.35</v>
      </c>
      <c r="J3790" s="79">
        <v>2449.29</v>
      </c>
      <c r="K3790" s="79">
        <v>0</v>
      </c>
      <c r="L3790" s="70">
        <v>2449.29</v>
      </c>
      <c r="M3790" s="132"/>
      <c r="N3790" s="79">
        <v>2321.94</v>
      </c>
      <c r="O3790" s="79">
        <v>127.35</v>
      </c>
      <c r="P3790" s="79">
        <v>2449.29</v>
      </c>
      <c r="Q3790" s="136"/>
      <c r="R3790" s="79">
        <v>2321.94</v>
      </c>
      <c r="S3790" s="79">
        <v>127.36</v>
      </c>
      <c r="T3790" s="79">
        <v>2449.3000000000002</v>
      </c>
      <c r="U3790" s="79">
        <v>0</v>
      </c>
      <c r="V3790" s="189">
        <v>2449.3000000000002</v>
      </c>
      <c r="X3790" s="79">
        <v>2321.94</v>
      </c>
      <c r="Y3790" s="79">
        <v>127.36</v>
      </c>
      <c r="Z3790" s="79">
        <v>2449.3000000000002</v>
      </c>
      <c r="AA3790" s="255">
        <v>-1.0000000000218279E-2</v>
      </c>
      <c r="AC3790" s="254"/>
    </row>
    <row r="3791" spans="1:31" ht="24">
      <c r="A3791" s="67" t="s">
        <v>17872</v>
      </c>
      <c r="B3791" s="65" t="s">
        <v>17873</v>
      </c>
      <c r="C3791" s="71" t="s">
        <v>509</v>
      </c>
      <c r="D3791" s="78">
        <v>1</v>
      </c>
      <c r="E3791" s="79">
        <v>1914.98</v>
      </c>
      <c r="F3791" s="70">
        <v>1914.98</v>
      </c>
      <c r="G3791" s="320"/>
      <c r="H3791" s="79">
        <v>1851.3</v>
      </c>
      <c r="I3791" s="79">
        <v>63.68</v>
      </c>
      <c r="J3791" s="79">
        <v>1914.98</v>
      </c>
      <c r="K3791" s="79">
        <v>0</v>
      </c>
      <c r="L3791" s="70">
        <v>1914.98</v>
      </c>
      <c r="M3791" s="132"/>
      <c r="N3791" s="79">
        <v>1851.3</v>
      </c>
      <c r="O3791" s="79">
        <v>63.68</v>
      </c>
      <c r="P3791" s="79">
        <v>1914.98</v>
      </c>
      <c r="Q3791" s="136"/>
      <c r="R3791" s="79">
        <v>1851.3</v>
      </c>
      <c r="S3791" s="79">
        <v>63.68</v>
      </c>
      <c r="T3791" s="79">
        <v>1914.98</v>
      </c>
      <c r="U3791" s="79">
        <v>0</v>
      </c>
      <c r="V3791" s="189">
        <v>1914.98</v>
      </c>
      <c r="X3791" s="79">
        <v>1851.3</v>
      </c>
      <c r="Y3791" s="79">
        <v>63.68</v>
      </c>
      <c r="Z3791" s="79">
        <v>1914.98</v>
      </c>
      <c r="AA3791" s="255">
        <v>0</v>
      </c>
      <c r="AC3791" s="254"/>
    </row>
    <row r="3792" spans="1:31" ht="12">
      <c r="A3792" s="67" t="s">
        <v>17874</v>
      </c>
      <c r="B3792" s="65" t="s">
        <v>17875</v>
      </c>
      <c r="C3792" s="71" t="s">
        <v>509</v>
      </c>
      <c r="D3792" s="78">
        <v>1</v>
      </c>
      <c r="E3792" s="79">
        <v>1972.75</v>
      </c>
      <c r="F3792" s="70">
        <v>1972.75</v>
      </c>
      <c r="G3792" s="320"/>
      <c r="H3792" s="79">
        <v>1832.66</v>
      </c>
      <c r="I3792" s="79">
        <v>140.09</v>
      </c>
      <c r="J3792" s="79">
        <v>1972.75</v>
      </c>
      <c r="K3792" s="79">
        <v>0</v>
      </c>
      <c r="L3792" s="70">
        <v>1972.75</v>
      </c>
      <c r="M3792" s="132"/>
      <c r="N3792" s="79">
        <v>1832.66</v>
      </c>
      <c r="O3792" s="79">
        <v>140.09</v>
      </c>
      <c r="P3792" s="79">
        <v>1972.75</v>
      </c>
      <c r="Q3792" s="136"/>
      <c r="R3792" s="79">
        <v>1832.66</v>
      </c>
      <c r="S3792" s="79">
        <v>140.09</v>
      </c>
      <c r="T3792" s="79">
        <v>1972.75</v>
      </c>
      <c r="U3792" s="79">
        <v>0</v>
      </c>
      <c r="V3792" s="189">
        <v>1972.75</v>
      </c>
      <c r="X3792" s="79">
        <v>1832.66</v>
      </c>
      <c r="Y3792" s="79">
        <v>140.09</v>
      </c>
      <c r="Z3792" s="79">
        <v>1972.75</v>
      </c>
      <c r="AA3792" s="255">
        <v>0</v>
      </c>
      <c r="AC3792" s="254"/>
    </row>
    <row r="3793" spans="1:29" ht="12">
      <c r="A3793" s="67" t="s">
        <v>17876</v>
      </c>
      <c r="B3793" s="65" t="s">
        <v>17877</v>
      </c>
      <c r="C3793" s="71" t="s">
        <v>509</v>
      </c>
      <c r="D3793" s="78">
        <v>1</v>
      </c>
      <c r="E3793" s="79">
        <v>2544.48</v>
      </c>
      <c r="F3793" s="70">
        <v>2544.48</v>
      </c>
      <c r="G3793" s="320"/>
      <c r="H3793" s="79">
        <v>2359.8000000000002</v>
      </c>
      <c r="I3793" s="79">
        <v>184.68</v>
      </c>
      <c r="J3793" s="79">
        <v>2544.48</v>
      </c>
      <c r="K3793" s="79">
        <v>0</v>
      </c>
      <c r="L3793" s="70">
        <v>2544.48</v>
      </c>
      <c r="M3793" s="132"/>
      <c r="N3793" s="79">
        <v>2359.8000000000002</v>
      </c>
      <c r="O3793" s="79">
        <v>184.68</v>
      </c>
      <c r="P3793" s="79">
        <v>2544.48</v>
      </c>
      <c r="Q3793" s="136"/>
      <c r="R3793" s="79">
        <v>2359.8000000000002</v>
      </c>
      <c r="S3793" s="79">
        <v>184.67</v>
      </c>
      <c r="T3793" s="79">
        <v>2544.4700000000003</v>
      </c>
      <c r="U3793" s="79">
        <v>0</v>
      </c>
      <c r="V3793" s="189">
        <v>2544.4700000000003</v>
      </c>
      <c r="X3793" s="79">
        <v>2359.8000000000002</v>
      </c>
      <c r="Y3793" s="79">
        <v>184.67</v>
      </c>
      <c r="Z3793" s="79">
        <v>2544.4699999999998</v>
      </c>
      <c r="AA3793" s="255">
        <v>1.0000000000218279E-2</v>
      </c>
      <c r="AC3793" s="254"/>
    </row>
    <row r="3794" spans="1:29" ht="12">
      <c r="A3794" s="67" t="s">
        <v>17878</v>
      </c>
      <c r="B3794" s="65" t="s">
        <v>17879</v>
      </c>
      <c r="C3794" s="71" t="s">
        <v>509</v>
      </c>
      <c r="D3794" s="78">
        <v>1</v>
      </c>
      <c r="E3794" s="79">
        <v>4403.66</v>
      </c>
      <c r="F3794" s="70">
        <v>4403.66</v>
      </c>
      <c r="G3794" s="320"/>
      <c r="H3794" s="79">
        <v>4098.01</v>
      </c>
      <c r="I3794" s="79">
        <v>305.64999999999998</v>
      </c>
      <c r="J3794" s="79">
        <v>4403.66</v>
      </c>
      <c r="K3794" s="79">
        <v>0</v>
      </c>
      <c r="L3794" s="70">
        <v>4403.66</v>
      </c>
      <c r="M3794" s="132"/>
      <c r="N3794" s="79">
        <v>4098.01</v>
      </c>
      <c r="O3794" s="79">
        <v>305.64999999999998</v>
      </c>
      <c r="P3794" s="79">
        <v>4403.66</v>
      </c>
      <c r="Q3794" s="136"/>
      <c r="R3794" s="79">
        <v>4098.01</v>
      </c>
      <c r="S3794" s="79">
        <v>305.67</v>
      </c>
      <c r="T3794" s="79">
        <v>4403.68</v>
      </c>
      <c r="U3794" s="79">
        <v>0</v>
      </c>
      <c r="V3794" s="189">
        <v>4403.68</v>
      </c>
      <c r="X3794" s="79">
        <v>4098.01</v>
      </c>
      <c r="Y3794" s="79">
        <v>305.67</v>
      </c>
      <c r="Z3794" s="79">
        <v>4403.68</v>
      </c>
      <c r="AA3794" s="255">
        <v>-2.0000000000436557E-2</v>
      </c>
      <c r="AC3794" s="254"/>
    </row>
    <row r="3795" spans="1:29" ht="12">
      <c r="A3795" s="67" t="s">
        <v>17880</v>
      </c>
      <c r="B3795" s="65" t="s">
        <v>17881</v>
      </c>
      <c r="C3795" s="71" t="s">
        <v>509</v>
      </c>
      <c r="D3795" s="78">
        <v>1</v>
      </c>
      <c r="E3795" s="79">
        <v>2925.41</v>
      </c>
      <c r="F3795" s="70">
        <v>2925.41</v>
      </c>
      <c r="G3795" s="320"/>
      <c r="H3795" s="79">
        <v>2696.18</v>
      </c>
      <c r="I3795" s="79">
        <v>229.23</v>
      </c>
      <c r="J3795" s="79">
        <v>2925.41</v>
      </c>
      <c r="K3795" s="79">
        <v>0</v>
      </c>
      <c r="L3795" s="70">
        <v>2925.41</v>
      </c>
      <c r="M3795" s="132"/>
      <c r="N3795" s="79">
        <v>2696.18</v>
      </c>
      <c r="O3795" s="79">
        <v>229.23</v>
      </c>
      <c r="P3795" s="79">
        <v>2925.41</v>
      </c>
      <c r="Q3795" s="136"/>
      <c r="R3795" s="79">
        <v>2696.18</v>
      </c>
      <c r="S3795" s="79">
        <v>229.25</v>
      </c>
      <c r="T3795" s="79">
        <v>2925.43</v>
      </c>
      <c r="U3795" s="79">
        <v>0</v>
      </c>
      <c r="V3795" s="189">
        <v>2925.43</v>
      </c>
      <c r="X3795" s="79">
        <v>2696.18</v>
      </c>
      <c r="Y3795" s="79">
        <v>229.25</v>
      </c>
      <c r="Z3795" s="79">
        <v>2925.43</v>
      </c>
      <c r="AA3795" s="255">
        <v>-1.999999999998181E-2</v>
      </c>
      <c r="AC3795" s="254"/>
    </row>
    <row r="3796" spans="1:29" ht="12">
      <c r="A3796" s="67" t="s">
        <v>17882</v>
      </c>
      <c r="B3796" s="65" t="s">
        <v>17883</v>
      </c>
      <c r="C3796" s="71" t="s">
        <v>509</v>
      </c>
      <c r="D3796" s="78">
        <v>1</v>
      </c>
      <c r="E3796" s="79">
        <v>2130.2599999999998</v>
      </c>
      <c r="F3796" s="70">
        <v>2130.2600000000002</v>
      </c>
      <c r="G3796" s="320"/>
      <c r="H3796" s="79">
        <v>1971.05</v>
      </c>
      <c r="I3796" s="79">
        <v>159.21</v>
      </c>
      <c r="J3796" s="79">
        <v>2130.2599999999998</v>
      </c>
      <c r="K3796" s="79">
        <v>0</v>
      </c>
      <c r="L3796" s="70">
        <v>2130.2599999999998</v>
      </c>
      <c r="M3796" s="132"/>
      <c r="N3796" s="79">
        <v>1971.05</v>
      </c>
      <c r="O3796" s="79">
        <v>159.21</v>
      </c>
      <c r="P3796" s="79">
        <v>2130.2599999999998</v>
      </c>
      <c r="Q3796" s="136"/>
      <c r="R3796" s="79">
        <v>1971.05</v>
      </c>
      <c r="S3796" s="79">
        <v>159.21</v>
      </c>
      <c r="T3796" s="79">
        <v>2130.2599999999998</v>
      </c>
      <c r="U3796" s="79">
        <v>0</v>
      </c>
      <c r="V3796" s="189">
        <v>2130.2599999999998</v>
      </c>
      <c r="X3796" s="79">
        <v>1971.05</v>
      </c>
      <c r="Y3796" s="79">
        <v>159.21</v>
      </c>
      <c r="Z3796" s="79">
        <v>2130.2600000000002</v>
      </c>
      <c r="AA3796" s="255">
        <v>0</v>
      </c>
      <c r="AC3796" s="254"/>
    </row>
    <row r="3797" spans="1:29" ht="12">
      <c r="A3797" s="67" t="s">
        <v>17884</v>
      </c>
      <c r="B3797" s="65" t="s">
        <v>17885</v>
      </c>
      <c r="C3797" s="71" t="s">
        <v>509</v>
      </c>
      <c r="D3797" s="78">
        <v>1</v>
      </c>
      <c r="E3797" s="79">
        <v>1691.52</v>
      </c>
      <c r="F3797" s="70">
        <v>1691.52</v>
      </c>
      <c r="G3797" s="320"/>
      <c r="H3797" s="79">
        <v>1564.17</v>
      </c>
      <c r="I3797" s="79">
        <v>127.35</v>
      </c>
      <c r="J3797" s="79">
        <v>1691.52</v>
      </c>
      <c r="K3797" s="79">
        <v>0</v>
      </c>
      <c r="L3797" s="70">
        <v>1691.52</v>
      </c>
      <c r="M3797" s="132"/>
      <c r="N3797" s="79">
        <v>1564.17</v>
      </c>
      <c r="O3797" s="79">
        <v>127.35</v>
      </c>
      <c r="P3797" s="79">
        <v>1691.52</v>
      </c>
      <c r="Q3797" s="136"/>
      <c r="R3797" s="79">
        <v>1564.17</v>
      </c>
      <c r="S3797" s="79">
        <v>127.36</v>
      </c>
      <c r="T3797" s="79">
        <v>1691.53</v>
      </c>
      <c r="U3797" s="79">
        <v>0</v>
      </c>
      <c r="V3797" s="189">
        <v>1691.53</v>
      </c>
      <c r="X3797" s="79">
        <v>1564.17</v>
      </c>
      <c r="Y3797" s="79">
        <v>127.36</v>
      </c>
      <c r="Z3797" s="79">
        <v>1691.53</v>
      </c>
      <c r="AA3797" s="255">
        <v>-9.9999999999909051E-3</v>
      </c>
      <c r="AC3797" s="254"/>
    </row>
    <row r="3798" spans="1:29" ht="12">
      <c r="A3798" s="67" t="s">
        <v>17886</v>
      </c>
      <c r="B3798" s="65" t="s">
        <v>17887</v>
      </c>
      <c r="C3798" s="71" t="s">
        <v>509</v>
      </c>
      <c r="D3798" s="78">
        <v>1</v>
      </c>
      <c r="E3798" s="79">
        <v>1530.1399999999999</v>
      </c>
      <c r="F3798" s="70">
        <v>1530.14</v>
      </c>
      <c r="G3798" s="320"/>
      <c r="H3798" s="79">
        <v>1421.87</v>
      </c>
      <c r="I3798" s="79">
        <v>108.27</v>
      </c>
      <c r="J3798" s="79">
        <v>1530.1399999999999</v>
      </c>
      <c r="K3798" s="79">
        <v>0</v>
      </c>
      <c r="L3798" s="70">
        <v>1530.1399999999999</v>
      </c>
      <c r="M3798" s="132"/>
      <c r="N3798" s="79">
        <v>1421.87</v>
      </c>
      <c r="O3798" s="79">
        <v>108.27</v>
      </c>
      <c r="P3798" s="79">
        <v>1530.1399999999999</v>
      </c>
      <c r="Q3798" s="136"/>
      <c r="R3798" s="79">
        <v>1421.87</v>
      </c>
      <c r="S3798" s="79">
        <v>108.26</v>
      </c>
      <c r="T3798" s="79">
        <v>1530.1299999999999</v>
      </c>
      <c r="U3798" s="79">
        <v>0</v>
      </c>
      <c r="V3798" s="189">
        <v>1530.1299999999999</v>
      </c>
      <c r="X3798" s="79">
        <v>1421.87</v>
      </c>
      <c r="Y3798" s="79">
        <v>108.26</v>
      </c>
      <c r="Z3798" s="79">
        <v>1530.13</v>
      </c>
      <c r="AA3798" s="255">
        <v>9.9999999999909051E-3</v>
      </c>
      <c r="AC3798" s="254"/>
    </row>
    <row r="3799" spans="1:29" ht="12">
      <c r="A3799" s="67" t="s">
        <v>17888</v>
      </c>
      <c r="B3799" s="65" t="s">
        <v>17889</v>
      </c>
      <c r="C3799" s="71" t="s">
        <v>509</v>
      </c>
      <c r="D3799" s="78">
        <v>1</v>
      </c>
      <c r="E3799" s="79">
        <v>1333.97</v>
      </c>
      <c r="F3799" s="70">
        <v>1333.97</v>
      </c>
      <c r="G3799" s="320"/>
      <c r="H3799" s="79">
        <v>1238.43</v>
      </c>
      <c r="I3799" s="79">
        <v>95.539999999999992</v>
      </c>
      <c r="J3799" s="79">
        <v>1333.97</v>
      </c>
      <c r="K3799" s="79">
        <v>0</v>
      </c>
      <c r="L3799" s="70">
        <v>1333.97</v>
      </c>
      <c r="M3799" s="132"/>
      <c r="N3799" s="79">
        <v>1238.43</v>
      </c>
      <c r="O3799" s="79">
        <v>95.539999999999992</v>
      </c>
      <c r="P3799" s="79">
        <v>1333.97</v>
      </c>
      <c r="Q3799" s="136"/>
      <c r="R3799" s="79">
        <v>1238.43</v>
      </c>
      <c r="S3799" s="79">
        <v>95.53</v>
      </c>
      <c r="T3799" s="79">
        <v>1333.96</v>
      </c>
      <c r="U3799" s="79">
        <v>0</v>
      </c>
      <c r="V3799" s="189">
        <v>1333.96</v>
      </c>
      <c r="X3799" s="79">
        <v>1238.43</v>
      </c>
      <c r="Y3799" s="79">
        <v>95.53</v>
      </c>
      <c r="Z3799" s="79">
        <v>1333.96</v>
      </c>
      <c r="AA3799" s="255">
        <v>9.9999999999909051E-3</v>
      </c>
      <c r="AC3799" s="254"/>
    </row>
    <row r="3800" spans="1:29" ht="12">
      <c r="A3800" s="67" t="s">
        <v>17890</v>
      </c>
      <c r="B3800" s="65" t="s">
        <v>17891</v>
      </c>
      <c r="C3800" s="71" t="s">
        <v>509</v>
      </c>
      <c r="D3800" s="78">
        <v>1</v>
      </c>
      <c r="E3800" s="79">
        <v>1656.01</v>
      </c>
      <c r="F3800" s="70">
        <v>1656.01</v>
      </c>
      <c r="G3800" s="320"/>
      <c r="H3800" s="79">
        <v>1528.66</v>
      </c>
      <c r="I3800" s="79">
        <v>127.35</v>
      </c>
      <c r="J3800" s="79">
        <v>1656.01</v>
      </c>
      <c r="K3800" s="79">
        <v>0</v>
      </c>
      <c r="L3800" s="70">
        <v>1656.01</v>
      </c>
      <c r="M3800" s="132"/>
      <c r="N3800" s="79">
        <v>1528.66</v>
      </c>
      <c r="O3800" s="79">
        <v>127.35</v>
      </c>
      <c r="P3800" s="79">
        <v>1656.01</v>
      </c>
      <c r="Q3800" s="136"/>
      <c r="R3800" s="79">
        <v>1528.66</v>
      </c>
      <c r="S3800" s="79">
        <v>127.36</v>
      </c>
      <c r="T3800" s="79">
        <v>1656.02</v>
      </c>
      <c r="U3800" s="79">
        <v>0</v>
      </c>
      <c r="V3800" s="189">
        <v>1656.02</v>
      </c>
      <c r="X3800" s="79">
        <v>1528.66</v>
      </c>
      <c r="Y3800" s="79">
        <v>127.36</v>
      </c>
      <c r="Z3800" s="79">
        <v>1656.02</v>
      </c>
      <c r="AA3800" s="255">
        <v>-9.9999999999909051E-3</v>
      </c>
      <c r="AC3800" s="254"/>
    </row>
    <row r="3801" spans="1:29" ht="12">
      <c r="A3801" s="67" t="s">
        <v>17892</v>
      </c>
      <c r="B3801" s="65" t="s">
        <v>17893</v>
      </c>
      <c r="C3801" s="71" t="s">
        <v>509</v>
      </c>
      <c r="D3801" s="78">
        <v>1</v>
      </c>
      <c r="E3801" s="79">
        <v>1481.6100000000001</v>
      </c>
      <c r="F3801" s="70">
        <v>1481.61</v>
      </c>
      <c r="G3801" s="320"/>
      <c r="H3801" s="79">
        <v>1405.2</v>
      </c>
      <c r="I3801" s="79">
        <v>76.41</v>
      </c>
      <c r="J3801" s="79">
        <v>1481.6100000000001</v>
      </c>
      <c r="K3801" s="79">
        <v>0</v>
      </c>
      <c r="L3801" s="70">
        <v>1481.6100000000001</v>
      </c>
      <c r="M3801" s="132"/>
      <c r="N3801" s="79">
        <v>1405.2</v>
      </c>
      <c r="O3801" s="79">
        <v>76.41</v>
      </c>
      <c r="P3801" s="79">
        <v>1481.6100000000001</v>
      </c>
      <c r="Q3801" s="136"/>
      <c r="R3801" s="79">
        <v>1405.2</v>
      </c>
      <c r="S3801" s="79">
        <v>76.41</v>
      </c>
      <c r="T3801" s="79">
        <v>1481.6100000000001</v>
      </c>
      <c r="U3801" s="79">
        <v>0</v>
      </c>
      <c r="V3801" s="189">
        <v>1481.6100000000001</v>
      </c>
      <c r="X3801" s="79">
        <v>1405.2</v>
      </c>
      <c r="Y3801" s="79">
        <v>76.41</v>
      </c>
      <c r="Z3801" s="79">
        <v>1481.61</v>
      </c>
      <c r="AA3801" s="255">
        <v>0</v>
      </c>
      <c r="AC3801" s="254"/>
    </row>
    <row r="3802" spans="1:29" ht="12">
      <c r="A3802" s="67" t="s">
        <v>17894</v>
      </c>
      <c r="B3802" s="65" t="s">
        <v>17895</v>
      </c>
      <c r="C3802" s="71" t="s">
        <v>103</v>
      </c>
      <c r="D3802" s="78">
        <v>1</v>
      </c>
      <c r="E3802" s="79">
        <v>264.63</v>
      </c>
      <c r="F3802" s="70">
        <v>264.63</v>
      </c>
      <c r="G3802" s="320"/>
      <c r="H3802" s="79">
        <v>207.3</v>
      </c>
      <c r="I3802" s="79">
        <v>57.33</v>
      </c>
      <c r="J3802" s="79">
        <v>264.63</v>
      </c>
      <c r="K3802" s="79">
        <v>0</v>
      </c>
      <c r="L3802" s="70">
        <v>264.63</v>
      </c>
      <c r="M3802" s="132"/>
      <c r="N3802" s="79">
        <v>207.3</v>
      </c>
      <c r="O3802" s="79">
        <v>57.33</v>
      </c>
      <c r="P3802" s="79">
        <v>264.63</v>
      </c>
      <c r="Q3802" s="136"/>
      <c r="R3802" s="79">
        <v>207.3</v>
      </c>
      <c r="S3802" s="79">
        <v>57.31</v>
      </c>
      <c r="T3802" s="79">
        <v>264.61</v>
      </c>
      <c r="U3802" s="79">
        <v>0</v>
      </c>
      <c r="V3802" s="189">
        <v>264.61</v>
      </c>
      <c r="X3802" s="79">
        <v>207.3</v>
      </c>
      <c r="Y3802" s="79">
        <v>57.31</v>
      </c>
      <c r="Z3802" s="79">
        <v>264.61</v>
      </c>
      <c r="AA3802" s="255">
        <v>1.999999999998181E-2</v>
      </c>
      <c r="AC3802" s="254"/>
    </row>
    <row r="3803" spans="1:29" ht="12">
      <c r="A3803" s="67" t="s">
        <v>17896</v>
      </c>
      <c r="B3803" s="65" t="s">
        <v>17897</v>
      </c>
      <c r="C3803" s="71" t="s">
        <v>103</v>
      </c>
      <c r="D3803" s="78">
        <v>1</v>
      </c>
      <c r="E3803" s="79">
        <v>397.51</v>
      </c>
      <c r="F3803" s="70">
        <v>397.51</v>
      </c>
      <c r="G3803" s="320"/>
      <c r="H3803" s="79">
        <v>321.10000000000002</v>
      </c>
      <c r="I3803" s="79">
        <v>76.41</v>
      </c>
      <c r="J3803" s="79">
        <v>397.51</v>
      </c>
      <c r="K3803" s="79">
        <v>0</v>
      </c>
      <c r="L3803" s="70">
        <v>397.51</v>
      </c>
      <c r="M3803" s="132"/>
      <c r="N3803" s="79">
        <v>321.10000000000002</v>
      </c>
      <c r="O3803" s="79">
        <v>76.41</v>
      </c>
      <c r="P3803" s="79">
        <v>397.51</v>
      </c>
      <c r="Q3803" s="136"/>
      <c r="R3803" s="79">
        <v>321.10000000000002</v>
      </c>
      <c r="S3803" s="79">
        <v>76.41</v>
      </c>
      <c r="T3803" s="79">
        <v>397.51</v>
      </c>
      <c r="U3803" s="79">
        <v>0</v>
      </c>
      <c r="V3803" s="189">
        <v>397.51</v>
      </c>
      <c r="X3803" s="79">
        <v>321.10000000000002</v>
      </c>
      <c r="Y3803" s="79">
        <v>76.41</v>
      </c>
      <c r="Z3803" s="79">
        <v>397.51</v>
      </c>
      <c r="AA3803" s="255">
        <v>0</v>
      </c>
      <c r="AC3803" s="254"/>
    </row>
    <row r="3804" spans="1:29" ht="12">
      <c r="A3804" s="489" t="s">
        <v>17898</v>
      </c>
      <c r="B3804" s="490" t="s">
        <v>17899</v>
      </c>
      <c r="C3804" s="491"/>
      <c r="D3804" s="492"/>
      <c r="E3804" s="79"/>
      <c r="F3804" s="63"/>
      <c r="G3804" s="320"/>
      <c r="H3804" s="79"/>
      <c r="I3804" s="79"/>
      <c r="J3804" s="79"/>
      <c r="K3804" s="79"/>
      <c r="L3804" s="70"/>
      <c r="M3804" s="132"/>
      <c r="N3804" s="79"/>
      <c r="O3804" s="79"/>
      <c r="P3804" s="79"/>
      <c r="Q3804" s="136"/>
      <c r="R3804" s="79"/>
      <c r="S3804" s="79"/>
      <c r="T3804" s="79"/>
      <c r="U3804" s="79"/>
      <c r="V3804" s="189"/>
      <c r="X3804" s="79"/>
      <c r="Y3804" s="79"/>
      <c r="Z3804" s="79"/>
      <c r="AA3804" s="255"/>
      <c r="AC3804" s="254"/>
    </row>
    <row r="3805" spans="1:29" ht="24">
      <c r="A3805" s="67" t="s">
        <v>17900</v>
      </c>
      <c r="B3805" s="65" t="s">
        <v>17901</v>
      </c>
      <c r="C3805" s="499" t="s">
        <v>103</v>
      </c>
      <c r="D3805" s="78">
        <v>1</v>
      </c>
      <c r="E3805" s="79">
        <v>5566.66</v>
      </c>
      <c r="F3805" s="70">
        <v>5566.66</v>
      </c>
      <c r="G3805" s="320"/>
      <c r="H3805" s="79">
        <v>5184.63</v>
      </c>
      <c r="I3805" s="79">
        <v>382.03</v>
      </c>
      <c r="J3805" s="79">
        <v>5566.66</v>
      </c>
      <c r="K3805" s="79">
        <v>0</v>
      </c>
      <c r="L3805" s="70">
        <v>5566.66</v>
      </c>
      <c r="M3805" s="132"/>
      <c r="N3805" s="79">
        <v>5184.63</v>
      </c>
      <c r="O3805" s="79">
        <v>382.03</v>
      </c>
      <c r="P3805" s="79">
        <v>5566.66</v>
      </c>
      <c r="Q3805" s="136"/>
      <c r="R3805" s="79">
        <v>5184.63</v>
      </c>
      <c r="S3805" s="79">
        <v>382.08</v>
      </c>
      <c r="T3805" s="79">
        <v>5566.71</v>
      </c>
      <c r="U3805" s="79">
        <v>0</v>
      </c>
      <c r="V3805" s="189">
        <v>5566.71</v>
      </c>
      <c r="X3805" s="79">
        <v>5184.63</v>
      </c>
      <c r="Y3805" s="79">
        <v>382.08</v>
      </c>
      <c r="Z3805" s="79">
        <v>5566.71</v>
      </c>
      <c r="AA3805" s="255">
        <v>-5.0000000000181899E-2</v>
      </c>
      <c r="AC3805" s="254"/>
    </row>
    <row r="3806" spans="1:29" ht="24">
      <c r="A3806" s="67" t="s">
        <v>17902</v>
      </c>
      <c r="B3806" s="65" t="s">
        <v>17903</v>
      </c>
      <c r="C3806" s="499" t="s">
        <v>103</v>
      </c>
      <c r="D3806" s="78">
        <v>1</v>
      </c>
      <c r="E3806" s="79">
        <v>20011.629999999997</v>
      </c>
      <c r="F3806" s="70">
        <v>20011.63</v>
      </c>
      <c r="G3806" s="320"/>
      <c r="H3806" s="79">
        <v>19629.599999999999</v>
      </c>
      <c r="I3806" s="79">
        <v>382.03</v>
      </c>
      <c r="J3806" s="79">
        <v>20011.629999999997</v>
      </c>
      <c r="K3806" s="79">
        <v>0</v>
      </c>
      <c r="L3806" s="70">
        <v>20011.629999999997</v>
      </c>
      <c r="M3806" s="132"/>
      <c r="N3806" s="79">
        <v>19629.599999999999</v>
      </c>
      <c r="O3806" s="79">
        <v>382.03</v>
      </c>
      <c r="P3806" s="79">
        <v>20011.629999999997</v>
      </c>
      <c r="Q3806" s="136"/>
      <c r="R3806" s="79">
        <v>19629.599999999999</v>
      </c>
      <c r="S3806" s="79">
        <v>382.08</v>
      </c>
      <c r="T3806" s="79">
        <v>20011.68</v>
      </c>
      <c r="U3806" s="79">
        <v>0</v>
      </c>
      <c r="V3806" s="189">
        <v>20011.68</v>
      </c>
      <c r="X3806" s="79">
        <v>19629.599999999999</v>
      </c>
      <c r="Y3806" s="79">
        <v>382.08</v>
      </c>
      <c r="Z3806" s="79">
        <v>20011.68</v>
      </c>
      <c r="AA3806" s="255">
        <v>-4.9999999999272404E-2</v>
      </c>
      <c r="AC3806" s="254"/>
    </row>
    <row r="3807" spans="1:29" ht="24">
      <c r="A3807" s="67" t="s">
        <v>17904</v>
      </c>
      <c r="B3807" s="65" t="s">
        <v>17905</v>
      </c>
      <c r="C3807" s="71" t="s">
        <v>103</v>
      </c>
      <c r="D3807" s="78">
        <v>1</v>
      </c>
      <c r="E3807" s="79">
        <v>10742.86</v>
      </c>
      <c r="F3807" s="70">
        <v>10742.86</v>
      </c>
      <c r="G3807" s="320"/>
      <c r="H3807" s="79">
        <v>10407.91</v>
      </c>
      <c r="I3807" s="79">
        <v>334.95</v>
      </c>
      <c r="J3807" s="79">
        <v>10742.86</v>
      </c>
      <c r="K3807" s="79">
        <v>0</v>
      </c>
      <c r="L3807" s="70">
        <v>10742.86</v>
      </c>
      <c r="M3807" s="132"/>
      <c r="N3807" s="79">
        <v>10407.91</v>
      </c>
      <c r="O3807" s="79">
        <v>334.95</v>
      </c>
      <c r="P3807" s="79">
        <v>10742.86</v>
      </c>
      <c r="Q3807" s="136"/>
      <c r="R3807" s="79">
        <v>10407.91</v>
      </c>
      <c r="S3807" s="79">
        <v>334.98</v>
      </c>
      <c r="T3807" s="79">
        <v>10742.89</v>
      </c>
      <c r="U3807" s="79">
        <v>0</v>
      </c>
      <c r="V3807" s="189">
        <v>10742.89</v>
      </c>
      <c r="X3807" s="79">
        <v>10407.91</v>
      </c>
      <c r="Y3807" s="79">
        <v>334.98</v>
      </c>
      <c r="Z3807" s="79">
        <v>10742.89</v>
      </c>
      <c r="AA3807" s="255">
        <v>-2.9999999998835847E-2</v>
      </c>
      <c r="AC3807" s="254"/>
    </row>
    <row r="3808" spans="1:29" ht="24">
      <c r="A3808" s="67" t="s">
        <v>17906</v>
      </c>
      <c r="B3808" s="65" t="s">
        <v>17907</v>
      </c>
      <c r="C3808" s="71" t="s">
        <v>103</v>
      </c>
      <c r="D3808" s="78">
        <v>1</v>
      </c>
      <c r="E3808" s="79">
        <v>7075</v>
      </c>
      <c r="F3808" s="70">
        <v>7075</v>
      </c>
      <c r="G3808" s="320"/>
      <c r="H3808" s="79">
        <v>6740.05</v>
      </c>
      <c r="I3808" s="79">
        <v>334.95</v>
      </c>
      <c r="J3808" s="79">
        <v>7075</v>
      </c>
      <c r="K3808" s="79">
        <v>0</v>
      </c>
      <c r="L3808" s="70">
        <v>7075</v>
      </c>
      <c r="M3808" s="132"/>
      <c r="N3808" s="79">
        <v>6740.05</v>
      </c>
      <c r="O3808" s="79">
        <v>334.95</v>
      </c>
      <c r="P3808" s="79">
        <v>7075</v>
      </c>
      <c r="Q3808" s="136"/>
      <c r="R3808" s="79">
        <v>6740.05</v>
      </c>
      <c r="S3808" s="79">
        <v>334.98</v>
      </c>
      <c r="T3808" s="79">
        <v>8599.67</v>
      </c>
      <c r="U3808" s="79">
        <v>0</v>
      </c>
      <c r="V3808" s="189">
        <v>8599.67</v>
      </c>
      <c r="X3808" s="79">
        <v>6740.05</v>
      </c>
      <c r="Y3808" s="79">
        <v>334.98</v>
      </c>
      <c r="Z3808" s="79">
        <v>7075.03</v>
      </c>
      <c r="AA3808" s="255">
        <v>-2.9999999999745341E-2</v>
      </c>
      <c r="AC3808" s="254"/>
    </row>
    <row r="3809" spans="1:31" ht="24">
      <c r="A3809" s="67" t="s">
        <v>17908</v>
      </c>
      <c r="B3809" s="65" t="s">
        <v>17909</v>
      </c>
      <c r="C3809" s="71" t="s">
        <v>103</v>
      </c>
      <c r="D3809" s="78">
        <v>1</v>
      </c>
      <c r="E3809" s="79">
        <v>3793.3399999999997</v>
      </c>
      <c r="F3809" s="70">
        <v>3793.34</v>
      </c>
      <c r="G3809" s="320"/>
      <c r="H3809" s="79">
        <v>3458.39</v>
      </c>
      <c r="I3809" s="79">
        <v>334.95</v>
      </c>
      <c r="J3809" s="79">
        <v>3793.3399999999997</v>
      </c>
      <c r="K3809" s="79">
        <v>0</v>
      </c>
      <c r="L3809" s="70">
        <v>3793.3399999999997</v>
      </c>
      <c r="M3809" s="132"/>
      <c r="N3809" s="79">
        <v>3458.39</v>
      </c>
      <c r="O3809" s="79">
        <v>334.95</v>
      </c>
      <c r="P3809" s="79">
        <v>3793.3399999999997</v>
      </c>
      <c r="Q3809" s="136"/>
      <c r="R3809" s="79">
        <v>3458.39</v>
      </c>
      <c r="S3809" s="79">
        <v>334.98</v>
      </c>
      <c r="T3809" s="79">
        <v>3793.37</v>
      </c>
      <c r="U3809" s="79">
        <v>0</v>
      </c>
      <c r="V3809" s="189">
        <v>3793.37</v>
      </c>
      <c r="X3809" s="79">
        <v>3458.39</v>
      </c>
      <c r="Y3809" s="79">
        <v>334.98</v>
      </c>
      <c r="Z3809" s="79">
        <v>3793.37</v>
      </c>
      <c r="AA3809" s="255">
        <v>-2.9999999999745341E-2</v>
      </c>
      <c r="AC3809" s="254"/>
    </row>
    <row r="3810" spans="1:31" ht="24">
      <c r="A3810" s="67" t="s">
        <v>17910</v>
      </c>
      <c r="B3810" s="65" t="s">
        <v>17911</v>
      </c>
      <c r="C3810" s="71" t="s">
        <v>103</v>
      </c>
      <c r="D3810" s="78">
        <v>1</v>
      </c>
      <c r="E3810" s="79">
        <v>4365.16</v>
      </c>
      <c r="F3810" s="70">
        <v>4365.16</v>
      </c>
      <c r="G3810" s="320"/>
      <c r="H3810" s="79">
        <v>4030.21</v>
      </c>
      <c r="I3810" s="79">
        <v>334.95</v>
      </c>
      <c r="J3810" s="79">
        <v>4365.16</v>
      </c>
      <c r="K3810" s="79">
        <v>0</v>
      </c>
      <c r="L3810" s="70">
        <v>4365.16</v>
      </c>
      <c r="M3810" s="132"/>
      <c r="N3810" s="79">
        <v>4030.21</v>
      </c>
      <c r="O3810" s="79">
        <v>334.95</v>
      </c>
      <c r="P3810" s="79">
        <v>4365.16</v>
      </c>
      <c r="Q3810" s="136"/>
      <c r="R3810" s="79">
        <v>4030.21</v>
      </c>
      <c r="S3810" s="79">
        <v>334.98</v>
      </c>
      <c r="T3810" s="79">
        <v>4365.1900000000005</v>
      </c>
      <c r="U3810" s="79">
        <v>0</v>
      </c>
      <c r="V3810" s="189">
        <v>4365.1900000000005</v>
      </c>
      <c r="X3810" s="79">
        <v>4030.21</v>
      </c>
      <c r="Y3810" s="79">
        <v>334.98</v>
      </c>
      <c r="Z3810" s="79">
        <v>4365.1899999999996</v>
      </c>
      <c r="AA3810" s="255">
        <v>-2.9999999999745341E-2</v>
      </c>
      <c r="AC3810" s="254"/>
    </row>
    <row r="3811" spans="1:31" ht="24">
      <c r="A3811" s="67" t="s">
        <v>17912</v>
      </c>
      <c r="B3811" s="65" t="s">
        <v>17913</v>
      </c>
      <c r="C3811" s="71" t="s">
        <v>103</v>
      </c>
      <c r="D3811" s="78">
        <v>1</v>
      </c>
      <c r="E3811" s="79">
        <v>15798.5</v>
      </c>
      <c r="F3811" s="70">
        <v>15798.5</v>
      </c>
      <c r="G3811" s="320"/>
      <c r="H3811" s="79">
        <v>15013.16</v>
      </c>
      <c r="I3811" s="79">
        <v>785.34</v>
      </c>
      <c r="J3811" s="79">
        <v>15798.5</v>
      </c>
      <c r="K3811" s="79">
        <v>0</v>
      </c>
      <c r="L3811" s="70">
        <v>15798.5</v>
      </c>
      <c r="M3811" s="132"/>
      <c r="N3811" s="79">
        <v>15013.16</v>
      </c>
      <c r="O3811" s="79">
        <v>785.34</v>
      </c>
      <c r="P3811" s="79">
        <v>15798.5</v>
      </c>
      <c r="Q3811" s="136"/>
      <c r="R3811" s="79">
        <v>15013.16</v>
      </c>
      <c r="S3811" s="79">
        <v>785.4</v>
      </c>
      <c r="T3811" s="79">
        <v>15798.56</v>
      </c>
      <c r="U3811" s="79">
        <v>0</v>
      </c>
      <c r="V3811" s="189">
        <v>15798.56</v>
      </c>
      <c r="X3811" s="79">
        <v>15013.16</v>
      </c>
      <c r="Y3811" s="79">
        <v>785.4</v>
      </c>
      <c r="Z3811" s="79">
        <v>15798.56</v>
      </c>
      <c r="AA3811" s="255">
        <v>-5.9999999999490683E-2</v>
      </c>
      <c r="AC3811" s="254"/>
    </row>
    <row r="3812" spans="1:31" ht="12">
      <c r="A3812" s="489" t="s">
        <v>17914</v>
      </c>
      <c r="B3812" s="490" t="s">
        <v>17915</v>
      </c>
      <c r="C3812" s="71"/>
      <c r="D3812" s="78"/>
      <c r="E3812" s="79"/>
      <c r="F3812" s="70"/>
      <c r="G3812" s="320"/>
      <c r="H3812" s="79"/>
      <c r="I3812" s="79"/>
      <c r="J3812" s="79"/>
      <c r="K3812" s="79"/>
      <c r="L3812" s="70"/>
      <c r="M3812" s="132"/>
      <c r="N3812" s="79"/>
      <c r="O3812" s="79"/>
      <c r="P3812" s="79"/>
      <c r="Q3812" s="136"/>
      <c r="R3812" s="79"/>
      <c r="S3812" s="79"/>
      <c r="T3812" s="79"/>
      <c r="U3812" s="79"/>
      <c r="V3812" s="189"/>
      <c r="X3812" s="79"/>
      <c r="Y3812" s="79"/>
      <c r="Z3812" s="79"/>
      <c r="AA3812" s="255"/>
      <c r="AC3812" s="254"/>
    </row>
    <row r="3813" spans="1:31" ht="12">
      <c r="A3813" s="67" t="s">
        <v>17916</v>
      </c>
      <c r="B3813" s="65" t="s">
        <v>17917</v>
      </c>
      <c r="C3813" s="71" t="s">
        <v>103</v>
      </c>
      <c r="D3813" s="78">
        <v>1</v>
      </c>
      <c r="E3813" s="79">
        <v>153.94999999999999</v>
      </c>
      <c r="F3813" s="70">
        <v>153.94999999999999</v>
      </c>
      <c r="G3813" s="320"/>
      <c r="H3813" s="79">
        <v>151.13999999999999</v>
      </c>
      <c r="I3813" s="79">
        <v>2.81</v>
      </c>
      <c r="J3813" s="79">
        <v>153.94999999999999</v>
      </c>
      <c r="K3813" s="79">
        <v>0</v>
      </c>
      <c r="L3813" s="70">
        <v>153.94999999999999</v>
      </c>
      <c r="M3813" s="132"/>
      <c r="N3813" s="79">
        <v>151.13999999999999</v>
      </c>
      <c r="O3813" s="79">
        <v>2.81</v>
      </c>
      <c r="P3813" s="79">
        <v>153.94999999999999</v>
      </c>
      <c r="Q3813" s="136"/>
      <c r="R3813" s="79">
        <v>151.13999999999999</v>
      </c>
      <c r="S3813" s="79">
        <v>2.8</v>
      </c>
      <c r="T3813" s="79">
        <v>153.94</v>
      </c>
      <c r="U3813" s="79">
        <v>0</v>
      </c>
      <c r="V3813" s="189">
        <v>153.94</v>
      </c>
      <c r="X3813" s="79">
        <v>151.13999999999999</v>
      </c>
      <c r="Y3813" s="79">
        <v>2.8</v>
      </c>
      <c r="Z3813" s="79">
        <v>153.94</v>
      </c>
      <c r="AA3813" s="255">
        <v>9.9999999999909051E-3</v>
      </c>
      <c r="AC3813" s="254"/>
    </row>
    <row r="3814" spans="1:31" ht="12">
      <c r="A3814" s="67" t="s">
        <v>17918</v>
      </c>
      <c r="B3814" s="65" t="s">
        <v>17919</v>
      </c>
      <c r="C3814" s="71" t="s">
        <v>103</v>
      </c>
      <c r="D3814" s="78">
        <v>1</v>
      </c>
      <c r="E3814" s="79">
        <v>26.45</v>
      </c>
      <c r="F3814" s="70">
        <v>26.45</v>
      </c>
      <c r="G3814" s="320"/>
      <c r="H3814" s="79">
        <v>9.6999999999999993</v>
      </c>
      <c r="I3814" s="79">
        <v>16.75</v>
      </c>
      <c r="J3814" s="79">
        <v>26.45</v>
      </c>
      <c r="K3814" s="79">
        <v>0</v>
      </c>
      <c r="L3814" s="70">
        <v>26.45</v>
      </c>
      <c r="M3814" s="132"/>
      <c r="N3814" s="79">
        <v>9.6999999999999993</v>
      </c>
      <c r="O3814" s="79">
        <v>16.75</v>
      </c>
      <c r="P3814" s="79">
        <v>26.45</v>
      </c>
      <c r="Q3814" s="136"/>
      <c r="R3814" s="79">
        <v>9.6999999999999993</v>
      </c>
      <c r="S3814" s="79">
        <v>16.75</v>
      </c>
      <c r="T3814" s="79">
        <v>26.45</v>
      </c>
      <c r="U3814" s="79">
        <v>0</v>
      </c>
      <c r="V3814" s="189">
        <v>26.45</v>
      </c>
      <c r="X3814" s="79">
        <v>9.6999999999999993</v>
      </c>
      <c r="Y3814" s="79">
        <v>16.75</v>
      </c>
      <c r="Z3814" s="79">
        <v>26.45</v>
      </c>
      <c r="AA3814" s="255">
        <v>0</v>
      </c>
      <c r="AC3814" s="254"/>
    </row>
    <row r="3815" spans="1:31" ht="12">
      <c r="A3815" s="67" t="s">
        <v>17920</v>
      </c>
      <c r="B3815" s="65" t="s">
        <v>17921</v>
      </c>
      <c r="C3815" s="71" t="s">
        <v>103</v>
      </c>
      <c r="D3815" s="78">
        <v>1</v>
      </c>
      <c r="E3815" s="79">
        <v>222.04</v>
      </c>
      <c r="F3815" s="70">
        <v>222.04</v>
      </c>
      <c r="G3815" s="320"/>
      <c r="H3815" s="79">
        <v>219.23</v>
      </c>
      <c r="I3815" s="79">
        <v>2.81</v>
      </c>
      <c r="J3815" s="79">
        <v>222.04</v>
      </c>
      <c r="K3815" s="79">
        <v>0</v>
      </c>
      <c r="L3815" s="70">
        <v>222.04</v>
      </c>
      <c r="M3815" s="132"/>
      <c r="N3815" s="79">
        <v>219.23</v>
      </c>
      <c r="O3815" s="79">
        <v>2.81</v>
      </c>
      <c r="P3815" s="79">
        <v>222.04</v>
      </c>
      <c r="Q3815" s="136"/>
      <c r="R3815" s="79">
        <v>219.23</v>
      </c>
      <c r="S3815" s="79">
        <v>2.8</v>
      </c>
      <c r="T3815" s="79">
        <v>222.03</v>
      </c>
      <c r="U3815" s="79">
        <v>0</v>
      </c>
      <c r="V3815" s="189">
        <v>222.03</v>
      </c>
      <c r="X3815" s="79">
        <v>219.23</v>
      </c>
      <c r="Y3815" s="79">
        <v>2.8</v>
      </c>
      <c r="Z3815" s="79">
        <v>222.03</v>
      </c>
      <c r="AA3815" s="255">
        <v>9.9999999999909051E-3</v>
      </c>
      <c r="AC3815" s="254"/>
    </row>
    <row r="3816" spans="1:31" ht="24">
      <c r="A3816" s="67" t="s">
        <v>17922</v>
      </c>
      <c r="B3816" s="65" t="s">
        <v>5611</v>
      </c>
      <c r="C3816" s="71" t="s">
        <v>103</v>
      </c>
      <c r="D3816" s="78">
        <v>1</v>
      </c>
      <c r="E3816" s="79">
        <v>2582.14</v>
      </c>
      <c r="F3816" s="70">
        <v>2582.14</v>
      </c>
      <c r="G3816" s="320"/>
      <c r="H3816" s="79">
        <v>2565.1799999999998</v>
      </c>
      <c r="I3816" s="79">
        <v>16.96</v>
      </c>
      <c r="J3816" s="79">
        <v>2582.14</v>
      </c>
      <c r="K3816" s="79">
        <v>0</v>
      </c>
      <c r="L3816" s="70">
        <v>2582.14</v>
      </c>
      <c r="M3816" s="132"/>
      <c r="N3816" s="79">
        <v>2565.1799999999998</v>
      </c>
      <c r="O3816" s="79">
        <v>16.96</v>
      </c>
      <c r="P3816" s="79">
        <v>2582.14</v>
      </c>
      <c r="Q3816" s="136"/>
      <c r="R3816" s="79">
        <v>2565.1799999999998</v>
      </c>
      <c r="S3816" s="79">
        <v>16.96</v>
      </c>
      <c r="T3816" s="79">
        <v>2582.14</v>
      </c>
      <c r="U3816" s="79">
        <v>0</v>
      </c>
      <c r="V3816" s="189">
        <v>2582.14</v>
      </c>
      <c r="X3816" s="79">
        <v>2565.1799999999998</v>
      </c>
      <c r="Y3816" s="79">
        <v>16.96</v>
      </c>
      <c r="Z3816" s="79">
        <v>2582.14</v>
      </c>
      <c r="AA3816" s="255">
        <v>0</v>
      </c>
      <c r="AC3816" s="254"/>
    </row>
    <row r="3817" spans="1:31" ht="12">
      <c r="A3817" s="67" t="s">
        <v>17923</v>
      </c>
      <c r="B3817" s="65" t="s">
        <v>17924</v>
      </c>
      <c r="C3817" s="71" t="s">
        <v>103</v>
      </c>
      <c r="D3817" s="78">
        <v>1</v>
      </c>
      <c r="E3817" s="79">
        <v>2563.5299999999997</v>
      </c>
      <c r="F3817" s="70">
        <v>2563.5300000000002</v>
      </c>
      <c r="G3817" s="320"/>
      <c r="H3817" s="79">
        <v>2538.08</v>
      </c>
      <c r="I3817" s="79">
        <v>25.450000000000003</v>
      </c>
      <c r="J3817" s="79">
        <v>2563.5299999999997</v>
      </c>
      <c r="K3817" s="79">
        <v>0</v>
      </c>
      <c r="L3817" s="70">
        <v>2563.5299999999997</v>
      </c>
      <c r="M3817" s="132"/>
      <c r="N3817" s="79">
        <v>2538.08</v>
      </c>
      <c r="O3817" s="79">
        <v>25.450000000000003</v>
      </c>
      <c r="P3817" s="79">
        <v>2563.5299999999997</v>
      </c>
      <c r="Q3817" s="136"/>
      <c r="R3817" s="79">
        <v>2538.08</v>
      </c>
      <c r="S3817" s="79">
        <v>25.43</v>
      </c>
      <c r="T3817" s="79">
        <v>2563.5099999999998</v>
      </c>
      <c r="U3817" s="79">
        <v>0</v>
      </c>
      <c r="V3817" s="189">
        <v>2563.5099999999998</v>
      </c>
      <c r="X3817" s="79">
        <v>2538.08</v>
      </c>
      <c r="Y3817" s="79">
        <v>25.43</v>
      </c>
      <c r="Z3817" s="79">
        <v>2563.5100000000002</v>
      </c>
      <c r="AA3817" s="255">
        <v>1.999999999998181E-2</v>
      </c>
      <c r="AC3817" s="254"/>
      <c r="AD3817" s="61"/>
      <c r="AE3817" s="61"/>
    </row>
    <row r="3818" spans="1:31" ht="12">
      <c r="A3818" s="67" t="s">
        <v>17925</v>
      </c>
      <c r="B3818" s="65" t="s">
        <v>17926</v>
      </c>
      <c r="C3818" s="71" t="s">
        <v>103</v>
      </c>
      <c r="D3818" s="78">
        <v>1</v>
      </c>
      <c r="E3818" s="79">
        <v>1088.67</v>
      </c>
      <c r="F3818" s="70">
        <v>1088.67</v>
      </c>
      <c r="G3818" s="320"/>
      <c r="H3818" s="79">
        <v>1068.9100000000001</v>
      </c>
      <c r="I3818" s="79">
        <v>19.759999999999998</v>
      </c>
      <c r="J3818" s="79">
        <v>1088.67</v>
      </c>
      <c r="K3818" s="79">
        <v>0</v>
      </c>
      <c r="L3818" s="70">
        <v>1088.67</v>
      </c>
      <c r="M3818" s="132"/>
      <c r="N3818" s="79">
        <v>1068.9100000000001</v>
      </c>
      <c r="O3818" s="79">
        <v>19.759999999999998</v>
      </c>
      <c r="P3818" s="79">
        <v>1088.67</v>
      </c>
      <c r="Q3818" s="136"/>
      <c r="R3818" s="79">
        <v>1068.9100000000001</v>
      </c>
      <c r="S3818" s="79">
        <v>19.75</v>
      </c>
      <c r="T3818" s="79">
        <v>1088.6600000000001</v>
      </c>
      <c r="U3818" s="79">
        <v>0</v>
      </c>
      <c r="V3818" s="189">
        <v>1088.6600000000001</v>
      </c>
      <c r="X3818" s="79">
        <v>1068.9100000000001</v>
      </c>
      <c r="Y3818" s="79">
        <v>19.75</v>
      </c>
      <c r="Z3818" s="79">
        <v>1088.6600000000001</v>
      </c>
      <c r="AA3818" s="255">
        <v>9.9999999999909051E-3</v>
      </c>
      <c r="AC3818" s="254"/>
      <c r="AD3818" s="61"/>
      <c r="AE3818" s="61"/>
    </row>
    <row r="3819" spans="1:31" s="61" customFormat="1" ht="12">
      <c r="A3819" s="67" t="s">
        <v>17927</v>
      </c>
      <c r="B3819" s="65" t="s">
        <v>17928</v>
      </c>
      <c r="C3819" s="71" t="s">
        <v>103</v>
      </c>
      <c r="D3819" s="78">
        <v>1</v>
      </c>
      <c r="E3819" s="79">
        <v>3052.9199999999996</v>
      </c>
      <c r="F3819" s="70">
        <v>3052.92</v>
      </c>
      <c r="G3819" s="320"/>
      <c r="H3819" s="79">
        <v>3027.47</v>
      </c>
      <c r="I3819" s="79">
        <v>25.450000000000003</v>
      </c>
      <c r="J3819" s="79">
        <v>3052.9199999999996</v>
      </c>
      <c r="K3819" s="79">
        <v>0</v>
      </c>
      <c r="L3819" s="70">
        <v>3052.9199999999996</v>
      </c>
      <c r="M3819" s="132"/>
      <c r="N3819" s="79">
        <v>3027.47</v>
      </c>
      <c r="O3819" s="79">
        <v>25.450000000000003</v>
      </c>
      <c r="P3819" s="79">
        <v>3052.9199999999996</v>
      </c>
      <c r="Q3819" s="136"/>
      <c r="R3819" s="79">
        <v>3027.47</v>
      </c>
      <c r="S3819" s="79">
        <v>25.43</v>
      </c>
      <c r="T3819" s="79">
        <v>3052.8999999999996</v>
      </c>
      <c r="U3819" s="79">
        <v>0</v>
      </c>
      <c r="V3819" s="189">
        <v>3052.8999999999996</v>
      </c>
      <c r="X3819" s="79">
        <v>3027.47</v>
      </c>
      <c r="Y3819" s="79">
        <v>25.43</v>
      </c>
      <c r="Z3819" s="79">
        <v>3052.9</v>
      </c>
      <c r="AA3819" s="255">
        <v>1.999999999998181E-2</v>
      </c>
      <c r="AC3819" s="254"/>
      <c r="AD3819" s="236"/>
      <c r="AE3819" s="236"/>
    </row>
    <row r="3820" spans="1:31" s="61" customFormat="1" ht="12">
      <c r="A3820" s="67" t="s">
        <v>17929</v>
      </c>
      <c r="B3820" s="65" t="s">
        <v>17930</v>
      </c>
      <c r="C3820" s="71" t="s">
        <v>103</v>
      </c>
      <c r="D3820" s="78">
        <v>1</v>
      </c>
      <c r="E3820" s="79">
        <v>421.17</v>
      </c>
      <c r="F3820" s="70">
        <v>421.17</v>
      </c>
      <c r="G3820" s="320"/>
      <c r="H3820" s="79">
        <v>395.72</v>
      </c>
      <c r="I3820" s="79">
        <v>25.450000000000003</v>
      </c>
      <c r="J3820" s="79">
        <v>421.17</v>
      </c>
      <c r="K3820" s="79">
        <v>0</v>
      </c>
      <c r="L3820" s="70">
        <v>421.17</v>
      </c>
      <c r="M3820" s="132"/>
      <c r="N3820" s="79">
        <v>395.72</v>
      </c>
      <c r="O3820" s="79">
        <v>25.450000000000003</v>
      </c>
      <c r="P3820" s="79">
        <v>421.17</v>
      </c>
      <c r="Q3820" s="136"/>
      <c r="R3820" s="79">
        <v>395.72</v>
      </c>
      <c r="S3820" s="79">
        <v>25.43</v>
      </c>
      <c r="T3820" s="79">
        <v>421.15000000000003</v>
      </c>
      <c r="U3820" s="79">
        <v>0</v>
      </c>
      <c r="V3820" s="189">
        <v>421.15000000000003</v>
      </c>
      <c r="X3820" s="79">
        <v>395.72</v>
      </c>
      <c r="Y3820" s="79">
        <v>25.43</v>
      </c>
      <c r="Z3820" s="79">
        <v>421.15</v>
      </c>
      <c r="AA3820" s="255">
        <v>2.0000000000038654E-2</v>
      </c>
      <c r="AC3820" s="254"/>
      <c r="AD3820" s="236"/>
      <c r="AE3820" s="236"/>
    </row>
    <row r="3821" spans="1:31" ht="12">
      <c r="A3821" s="67" t="s">
        <v>17931</v>
      </c>
      <c r="B3821" s="65" t="s">
        <v>17932</v>
      </c>
      <c r="C3821" s="71" t="s">
        <v>103</v>
      </c>
      <c r="D3821" s="78">
        <v>1</v>
      </c>
      <c r="E3821" s="79">
        <v>2540.37</v>
      </c>
      <c r="F3821" s="70">
        <v>2540.37</v>
      </c>
      <c r="G3821" s="320"/>
      <c r="H3821" s="79">
        <v>2514.92</v>
      </c>
      <c r="I3821" s="79">
        <v>25.450000000000003</v>
      </c>
      <c r="J3821" s="79">
        <v>2540.37</v>
      </c>
      <c r="K3821" s="79">
        <v>0</v>
      </c>
      <c r="L3821" s="70">
        <v>2540.37</v>
      </c>
      <c r="M3821" s="132"/>
      <c r="N3821" s="79">
        <v>2514.92</v>
      </c>
      <c r="O3821" s="79">
        <v>25.450000000000003</v>
      </c>
      <c r="P3821" s="79">
        <v>2540.37</v>
      </c>
      <c r="Q3821" s="136"/>
      <c r="R3821" s="79">
        <v>2514.92</v>
      </c>
      <c r="S3821" s="79">
        <v>25.43</v>
      </c>
      <c r="T3821" s="79">
        <v>2540.35</v>
      </c>
      <c r="U3821" s="79">
        <v>0</v>
      </c>
      <c r="V3821" s="189">
        <v>2540.35</v>
      </c>
      <c r="X3821" s="79">
        <v>2514.92</v>
      </c>
      <c r="Y3821" s="79">
        <v>25.43</v>
      </c>
      <c r="Z3821" s="79">
        <v>2540.35</v>
      </c>
      <c r="AA3821" s="255">
        <v>1.999999999998181E-2</v>
      </c>
      <c r="AC3821" s="254"/>
    </row>
    <row r="3822" spans="1:31" ht="12">
      <c r="A3822" s="67" t="s">
        <v>17933</v>
      </c>
      <c r="B3822" s="65" t="s">
        <v>17934</v>
      </c>
      <c r="C3822" s="71" t="s">
        <v>103</v>
      </c>
      <c r="D3822" s="78">
        <v>1</v>
      </c>
      <c r="E3822" s="79">
        <v>1167.6100000000001</v>
      </c>
      <c r="F3822" s="70">
        <v>1167.6099999999999</v>
      </c>
      <c r="G3822" s="320"/>
      <c r="H3822" s="79">
        <v>1150.6500000000001</v>
      </c>
      <c r="I3822" s="79">
        <v>16.96</v>
      </c>
      <c r="J3822" s="79">
        <v>1167.6100000000001</v>
      </c>
      <c r="K3822" s="79">
        <v>0</v>
      </c>
      <c r="L3822" s="70">
        <v>1167.6100000000001</v>
      </c>
      <c r="M3822" s="132"/>
      <c r="N3822" s="79">
        <v>1150.6500000000001</v>
      </c>
      <c r="O3822" s="79">
        <v>16.96</v>
      </c>
      <c r="P3822" s="79">
        <v>1167.6100000000001</v>
      </c>
      <c r="Q3822" s="136"/>
      <c r="R3822" s="79">
        <v>1150.6500000000001</v>
      </c>
      <c r="S3822" s="79">
        <v>16.96</v>
      </c>
      <c r="T3822" s="79">
        <v>1167.6100000000001</v>
      </c>
      <c r="U3822" s="79">
        <v>0</v>
      </c>
      <c r="V3822" s="189">
        <v>1167.6100000000001</v>
      </c>
      <c r="X3822" s="79">
        <v>1150.6500000000001</v>
      </c>
      <c r="Y3822" s="79">
        <v>16.96</v>
      </c>
      <c r="Z3822" s="79">
        <v>1167.6099999999999</v>
      </c>
      <c r="AA3822" s="255">
        <v>0</v>
      </c>
      <c r="AC3822" s="254"/>
    </row>
    <row r="3823" spans="1:31" ht="12">
      <c r="A3823" s="67" t="s">
        <v>17935</v>
      </c>
      <c r="B3823" s="65" t="s">
        <v>17936</v>
      </c>
      <c r="C3823" s="71" t="s">
        <v>103</v>
      </c>
      <c r="D3823" s="78">
        <v>1</v>
      </c>
      <c r="E3823" s="79">
        <v>2579.71</v>
      </c>
      <c r="F3823" s="70">
        <v>2579.71</v>
      </c>
      <c r="G3823" s="320"/>
      <c r="H3823" s="79">
        <v>2559.9499999999998</v>
      </c>
      <c r="I3823" s="79">
        <v>19.759999999999998</v>
      </c>
      <c r="J3823" s="79">
        <v>2579.71</v>
      </c>
      <c r="K3823" s="79">
        <v>0</v>
      </c>
      <c r="L3823" s="70">
        <v>2579.71</v>
      </c>
      <c r="M3823" s="132"/>
      <c r="N3823" s="79">
        <v>2559.9499999999998</v>
      </c>
      <c r="O3823" s="79">
        <v>19.759999999999998</v>
      </c>
      <c r="P3823" s="79">
        <v>2579.71</v>
      </c>
      <c r="Q3823" s="136"/>
      <c r="R3823" s="79">
        <v>2559.9499999999998</v>
      </c>
      <c r="S3823" s="79">
        <v>19.75</v>
      </c>
      <c r="T3823" s="79">
        <v>2579.6999999999998</v>
      </c>
      <c r="U3823" s="79">
        <v>0</v>
      </c>
      <c r="V3823" s="189">
        <v>2579.6999999999998</v>
      </c>
      <c r="X3823" s="79">
        <v>2559.9499999999998</v>
      </c>
      <c r="Y3823" s="79">
        <v>19.75</v>
      </c>
      <c r="Z3823" s="79">
        <v>2579.6999999999998</v>
      </c>
      <c r="AA3823" s="255">
        <v>1.0000000000218279E-2</v>
      </c>
      <c r="AC3823" s="254"/>
    </row>
    <row r="3824" spans="1:31" ht="12">
      <c r="A3824" s="67" t="s">
        <v>17937</v>
      </c>
      <c r="B3824" s="65" t="s">
        <v>5129</v>
      </c>
      <c r="C3824" s="71" t="s">
        <v>103</v>
      </c>
      <c r="D3824" s="78">
        <v>1</v>
      </c>
      <c r="E3824" s="79">
        <v>125.72999999999999</v>
      </c>
      <c r="F3824" s="70">
        <v>125.73</v>
      </c>
      <c r="G3824" s="320"/>
      <c r="H3824" s="79">
        <v>117.35</v>
      </c>
      <c r="I3824" s="79">
        <v>8.379999999999999</v>
      </c>
      <c r="J3824" s="79">
        <v>125.72999999999999</v>
      </c>
      <c r="K3824" s="79">
        <v>0</v>
      </c>
      <c r="L3824" s="70">
        <v>125.72999999999999</v>
      </c>
      <c r="M3824" s="132"/>
      <c r="N3824" s="79">
        <v>117.35</v>
      </c>
      <c r="O3824" s="79">
        <v>8.379999999999999</v>
      </c>
      <c r="P3824" s="79">
        <v>125.72999999999999</v>
      </c>
      <c r="Q3824" s="136"/>
      <c r="R3824" s="79">
        <v>117.35</v>
      </c>
      <c r="S3824" s="79">
        <v>8.3800000000000008</v>
      </c>
      <c r="T3824" s="79">
        <v>125.72999999999999</v>
      </c>
      <c r="U3824" s="79">
        <v>0</v>
      </c>
      <c r="V3824" s="189">
        <v>125.72999999999999</v>
      </c>
      <c r="X3824" s="79">
        <v>117.35</v>
      </c>
      <c r="Y3824" s="79">
        <v>8.3800000000000008</v>
      </c>
      <c r="Z3824" s="79">
        <v>125.73</v>
      </c>
      <c r="AA3824" s="255">
        <v>0</v>
      </c>
      <c r="AC3824" s="254"/>
    </row>
    <row r="3825" spans="1:29" ht="12">
      <c r="A3825" s="67" t="s">
        <v>17938</v>
      </c>
      <c r="B3825" s="65" t="s">
        <v>4644</v>
      </c>
      <c r="C3825" s="71" t="s">
        <v>103</v>
      </c>
      <c r="D3825" s="78">
        <v>1</v>
      </c>
      <c r="E3825" s="79">
        <v>354.6</v>
      </c>
      <c r="F3825" s="70">
        <v>354.6</v>
      </c>
      <c r="G3825" s="320"/>
      <c r="H3825" s="79">
        <v>270.5</v>
      </c>
      <c r="I3825" s="79">
        <v>84.1</v>
      </c>
      <c r="J3825" s="79">
        <v>354.6</v>
      </c>
      <c r="K3825" s="79">
        <v>0</v>
      </c>
      <c r="L3825" s="70">
        <v>354.6</v>
      </c>
      <c r="M3825" s="132"/>
      <c r="N3825" s="79">
        <v>270.5</v>
      </c>
      <c r="O3825" s="79">
        <v>84.1</v>
      </c>
      <c r="P3825" s="79">
        <v>354.6</v>
      </c>
      <c r="Q3825" s="136"/>
      <c r="R3825" s="79">
        <v>270.5</v>
      </c>
      <c r="S3825" s="79">
        <v>84.1</v>
      </c>
      <c r="T3825" s="79">
        <v>354.6</v>
      </c>
      <c r="U3825" s="79">
        <v>0</v>
      </c>
      <c r="V3825" s="189">
        <v>354.6</v>
      </c>
      <c r="X3825" s="79">
        <v>270.5</v>
      </c>
      <c r="Y3825" s="79">
        <v>84.1</v>
      </c>
      <c r="Z3825" s="79">
        <v>354.6</v>
      </c>
      <c r="AA3825" s="255">
        <v>0</v>
      </c>
      <c r="AC3825" s="254"/>
    </row>
    <row r="3826" spans="1:29" ht="12">
      <c r="A3826" s="67" t="s">
        <v>17939</v>
      </c>
      <c r="B3826" s="65" t="s">
        <v>17940</v>
      </c>
      <c r="C3826" s="71" t="s">
        <v>103</v>
      </c>
      <c r="D3826" s="78">
        <v>1</v>
      </c>
      <c r="E3826" s="79">
        <v>1823.6799999999998</v>
      </c>
      <c r="F3826" s="70">
        <v>1823.68</v>
      </c>
      <c r="G3826" s="320"/>
      <c r="H3826" s="79">
        <v>1766.1</v>
      </c>
      <c r="I3826" s="79">
        <v>57.58</v>
      </c>
      <c r="J3826" s="79">
        <v>1823.6799999999998</v>
      </c>
      <c r="K3826" s="79">
        <v>0</v>
      </c>
      <c r="L3826" s="70">
        <v>1823.6799999999998</v>
      </c>
      <c r="M3826" s="132"/>
      <c r="N3826" s="79">
        <v>1766.1</v>
      </c>
      <c r="O3826" s="79">
        <v>57.58</v>
      </c>
      <c r="P3826" s="79">
        <v>1823.6799999999998</v>
      </c>
      <c r="Q3826" s="136"/>
      <c r="R3826" s="79">
        <v>1766.1</v>
      </c>
      <c r="S3826" s="79">
        <v>57.57</v>
      </c>
      <c r="T3826" s="79">
        <v>1823.6699999999998</v>
      </c>
      <c r="U3826" s="79">
        <v>0</v>
      </c>
      <c r="V3826" s="189">
        <v>1823.6699999999998</v>
      </c>
      <c r="X3826" s="79">
        <v>1766.1</v>
      </c>
      <c r="Y3826" s="79">
        <v>57.57</v>
      </c>
      <c r="Z3826" s="79">
        <v>1823.67</v>
      </c>
      <c r="AA3826" s="255">
        <v>9.9999999999909051E-3</v>
      </c>
      <c r="AC3826" s="254"/>
    </row>
    <row r="3827" spans="1:29" ht="12">
      <c r="A3827" s="67" t="s">
        <v>17941</v>
      </c>
      <c r="B3827" s="65" t="s">
        <v>17942</v>
      </c>
      <c r="C3827" s="71" t="s">
        <v>103</v>
      </c>
      <c r="D3827" s="78">
        <v>1</v>
      </c>
      <c r="E3827" s="79">
        <v>388.15000000000003</v>
      </c>
      <c r="F3827" s="70">
        <v>388.15</v>
      </c>
      <c r="G3827" s="320"/>
      <c r="H3827" s="79">
        <v>346.29</v>
      </c>
      <c r="I3827" s="79">
        <v>41.86</v>
      </c>
      <c r="J3827" s="79">
        <v>388.15000000000003</v>
      </c>
      <c r="K3827" s="79">
        <v>0</v>
      </c>
      <c r="L3827" s="70">
        <v>388.15000000000003</v>
      </c>
      <c r="M3827" s="132"/>
      <c r="N3827" s="79">
        <v>346.29</v>
      </c>
      <c r="O3827" s="79">
        <v>41.86</v>
      </c>
      <c r="P3827" s="79">
        <v>388.15000000000003</v>
      </c>
      <c r="Q3827" s="136"/>
      <c r="R3827" s="79">
        <v>346.29</v>
      </c>
      <c r="S3827" s="79">
        <v>41.87</v>
      </c>
      <c r="T3827" s="79">
        <v>388.16</v>
      </c>
      <c r="U3827" s="79">
        <v>0</v>
      </c>
      <c r="V3827" s="189">
        <v>388.16</v>
      </c>
      <c r="X3827" s="79">
        <v>346.29</v>
      </c>
      <c r="Y3827" s="79">
        <v>41.87</v>
      </c>
      <c r="Z3827" s="79">
        <v>388.16</v>
      </c>
      <c r="AA3827" s="255">
        <v>-1.0000000000047748E-2</v>
      </c>
      <c r="AC3827" s="254"/>
    </row>
    <row r="3828" spans="1:29" ht="12">
      <c r="A3828" s="67" t="s">
        <v>17943</v>
      </c>
      <c r="B3828" s="65" t="s">
        <v>17944</v>
      </c>
      <c r="C3828" s="71" t="s">
        <v>103</v>
      </c>
      <c r="D3828" s="78">
        <v>1</v>
      </c>
      <c r="E3828" s="79">
        <v>451.68999999999994</v>
      </c>
      <c r="F3828" s="70">
        <v>451.69</v>
      </c>
      <c r="G3828" s="320"/>
      <c r="H3828" s="79">
        <v>367.59</v>
      </c>
      <c r="I3828" s="79">
        <v>84.1</v>
      </c>
      <c r="J3828" s="79">
        <v>451.68999999999994</v>
      </c>
      <c r="K3828" s="79">
        <v>0</v>
      </c>
      <c r="L3828" s="70">
        <v>451.68999999999994</v>
      </c>
      <c r="M3828" s="132"/>
      <c r="N3828" s="79">
        <v>367.59</v>
      </c>
      <c r="O3828" s="79">
        <v>84.1</v>
      </c>
      <c r="P3828" s="79">
        <v>451.68999999999994</v>
      </c>
      <c r="Q3828" s="136"/>
      <c r="R3828" s="79">
        <v>367.59</v>
      </c>
      <c r="S3828" s="79">
        <v>84.1</v>
      </c>
      <c r="T3828" s="79">
        <v>451.68999999999994</v>
      </c>
      <c r="U3828" s="79">
        <v>0</v>
      </c>
      <c r="V3828" s="189">
        <v>451.68999999999994</v>
      </c>
      <c r="X3828" s="79">
        <v>367.59</v>
      </c>
      <c r="Y3828" s="79">
        <v>84.1</v>
      </c>
      <c r="Z3828" s="79">
        <v>451.69</v>
      </c>
      <c r="AA3828" s="255">
        <v>0</v>
      </c>
      <c r="AC3828" s="254"/>
    </row>
    <row r="3829" spans="1:29" ht="12">
      <c r="A3829" s="67" t="s">
        <v>17945</v>
      </c>
      <c r="B3829" s="65" t="s">
        <v>17946</v>
      </c>
      <c r="C3829" s="71" t="s">
        <v>103</v>
      </c>
      <c r="D3829" s="78">
        <v>1</v>
      </c>
      <c r="E3829" s="79">
        <v>166.23</v>
      </c>
      <c r="F3829" s="70">
        <v>166.23</v>
      </c>
      <c r="G3829" s="320"/>
      <c r="H3829" s="79">
        <v>74.28</v>
      </c>
      <c r="I3829" s="79">
        <v>91.949999999999989</v>
      </c>
      <c r="J3829" s="79">
        <v>166.23</v>
      </c>
      <c r="K3829" s="79">
        <v>0</v>
      </c>
      <c r="L3829" s="70">
        <v>166.23</v>
      </c>
      <c r="M3829" s="132"/>
      <c r="N3829" s="79">
        <v>74.28</v>
      </c>
      <c r="O3829" s="79">
        <v>91.949999999999989</v>
      </c>
      <c r="P3829" s="79">
        <v>166.23</v>
      </c>
      <c r="Q3829" s="136"/>
      <c r="R3829" s="79">
        <v>74.28</v>
      </c>
      <c r="S3829" s="79">
        <v>91.96</v>
      </c>
      <c r="T3829" s="79">
        <v>166.24</v>
      </c>
      <c r="U3829" s="79">
        <v>0</v>
      </c>
      <c r="V3829" s="189">
        <v>166.24</v>
      </c>
      <c r="X3829" s="79">
        <v>74.28</v>
      </c>
      <c r="Y3829" s="79">
        <v>91.96</v>
      </c>
      <c r="Z3829" s="79">
        <v>166.24</v>
      </c>
      <c r="AA3829" s="255">
        <v>-1.0000000000019327E-2</v>
      </c>
      <c r="AC3829" s="254"/>
    </row>
    <row r="3830" spans="1:29" ht="12">
      <c r="A3830" s="67" t="s">
        <v>17947</v>
      </c>
      <c r="B3830" s="65" t="s">
        <v>4649</v>
      </c>
      <c r="C3830" s="71" t="s">
        <v>103</v>
      </c>
      <c r="D3830" s="78">
        <v>1</v>
      </c>
      <c r="E3830" s="79">
        <v>1885.84</v>
      </c>
      <c r="F3830" s="70">
        <v>1885.84</v>
      </c>
      <c r="G3830" s="320"/>
      <c r="H3830" s="79">
        <v>1801.74</v>
      </c>
      <c r="I3830" s="79">
        <v>84.1</v>
      </c>
      <c r="J3830" s="79">
        <v>1885.84</v>
      </c>
      <c r="K3830" s="79">
        <v>0</v>
      </c>
      <c r="L3830" s="70">
        <v>1885.84</v>
      </c>
      <c r="M3830" s="132"/>
      <c r="N3830" s="79">
        <v>1801.74</v>
      </c>
      <c r="O3830" s="79">
        <v>84.1</v>
      </c>
      <c r="P3830" s="79">
        <v>1885.84</v>
      </c>
      <c r="Q3830" s="136"/>
      <c r="R3830" s="79">
        <v>1801.74</v>
      </c>
      <c r="S3830" s="79">
        <v>84.1</v>
      </c>
      <c r="T3830" s="79">
        <v>1885.84</v>
      </c>
      <c r="U3830" s="79">
        <v>0</v>
      </c>
      <c r="V3830" s="189">
        <v>1885.84</v>
      </c>
      <c r="X3830" s="79">
        <v>1801.74</v>
      </c>
      <c r="Y3830" s="79">
        <v>84.1</v>
      </c>
      <c r="Z3830" s="79">
        <v>1885.84</v>
      </c>
      <c r="AA3830" s="255">
        <v>0</v>
      </c>
      <c r="AC3830" s="254"/>
    </row>
    <row r="3831" spans="1:29" ht="12">
      <c r="A3831" s="67" t="s">
        <v>17948</v>
      </c>
      <c r="B3831" s="65" t="s">
        <v>17949</v>
      </c>
      <c r="C3831" s="71" t="s">
        <v>103</v>
      </c>
      <c r="D3831" s="78">
        <v>1</v>
      </c>
      <c r="E3831" s="79">
        <v>1103.28</v>
      </c>
      <c r="F3831" s="70">
        <v>1103.28</v>
      </c>
      <c r="G3831" s="320"/>
      <c r="H3831" s="79">
        <v>1019.18</v>
      </c>
      <c r="I3831" s="79">
        <v>84.1</v>
      </c>
      <c r="J3831" s="79">
        <v>1103.28</v>
      </c>
      <c r="K3831" s="79">
        <v>0</v>
      </c>
      <c r="L3831" s="70">
        <v>1103.28</v>
      </c>
      <c r="M3831" s="132"/>
      <c r="N3831" s="79">
        <v>1019.18</v>
      </c>
      <c r="O3831" s="79">
        <v>84.1</v>
      </c>
      <c r="P3831" s="79">
        <v>1103.28</v>
      </c>
      <c r="Q3831" s="136"/>
      <c r="R3831" s="79">
        <v>1019.18</v>
      </c>
      <c r="S3831" s="79">
        <v>84.1</v>
      </c>
      <c r="T3831" s="79">
        <v>1103.28</v>
      </c>
      <c r="U3831" s="79">
        <v>0</v>
      </c>
      <c r="V3831" s="189">
        <v>1103.28</v>
      </c>
      <c r="X3831" s="79">
        <v>1019.18</v>
      </c>
      <c r="Y3831" s="79">
        <v>84.1</v>
      </c>
      <c r="Z3831" s="79">
        <v>1103.28</v>
      </c>
      <c r="AA3831" s="255">
        <v>0</v>
      </c>
      <c r="AC3831" s="254"/>
    </row>
    <row r="3832" spans="1:29" ht="24">
      <c r="A3832" s="67" t="s">
        <v>17950</v>
      </c>
      <c r="B3832" s="65" t="s">
        <v>17951</v>
      </c>
      <c r="C3832" s="71" t="s">
        <v>103</v>
      </c>
      <c r="D3832" s="78">
        <v>1</v>
      </c>
      <c r="E3832" s="79">
        <v>1969.34</v>
      </c>
      <c r="F3832" s="70">
        <v>1969.34</v>
      </c>
      <c r="G3832" s="320"/>
      <c r="H3832" s="79">
        <v>1885.24</v>
      </c>
      <c r="I3832" s="79">
        <v>84.1</v>
      </c>
      <c r="J3832" s="79">
        <v>1969.34</v>
      </c>
      <c r="K3832" s="79">
        <v>0</v>
      </c>
      <c r="L3832" s="70">
        <v>1969.34</v>
      </c>
      <c r="M3832" s="132"/>
      <c r="N3832" s="79">
        <v>1885.24</v>
      </c>
      <c r="O3832" s="79">
        <v>84.1</v>
      </c>
      <c r="P3832" s="79">
        <v>1969.34</v>
      </c>
      <c r="Q3832" s="136"/>
      <c r="R3832" s="79">
        <v>1885.24</v>
      </c>
      <c r="S3832" s="79">
        <v>84.1</v>
      </c>
      <c r="T3832" s="79">
        <v>1969.34</v>
      </c>
      <c r="U3832" s="79">
        <v>0</v>
      </c>
      <c r="V3832" s="189">
        <v>1969.34</v>
      </c>
      <c r="X3832" s="79">
        <v>1885.24</v>
      </c>
      <c r="Y3832" s="79">
        <v>84.1</v>
      </c>
      <c r="Z3832" s="79">
        <v>1969.34</v>
      </c>
      <c r="AA3832" s="255">
        <v>0</v>
      </c>
      <c r="AC3832" s="254"/>
    </row>
    <row r="3833" spans="1:29" ht="12">
      <c r="A3833" s="67" t="s">
        <v>17952</v>
      </c>
      <c r="B3833" s="65" t="s">
        <v>17953</v>
      </c>
      <c r="C3833" s="71" t="s">
        <v>103</v>
      </c>
      <c r="D3833" s="78">
        <v>1</v>
      </c>
      <c r="E3833" s="79">
        <v>5231.8499999999995</v>
      </c>
      <c r="F3833" s="70">
        <v>5231.8500000000004</v>
      </c>
      <c r="G3833" s="320"/>
      <c r="H3833" s="79">
        <v>4849.8599999999997</v>
      </c>
      <c r="I3833" s="79">
        <v>381.99</v>
      </c>
      <c r="J3833" s="79">
        <v>5231.8499999999995</v>
      </c>
      <c r="K3833" s="79">
        <v>0</v>
      </c>
      <c r="L3833" s="70">
        <v>5231.8499999999995</v>
      </c>
      <c r="M3833" s="132"/>
      <c r="N3833" s="79">
        <v>4849.8599999999997</v>
      </c>
      <c r="O3833" s="79">
        <v>381.99</v>
      </c>
      <c r="P3833" s="79">
        <v>5231.8499999999995</v>
      </c>
      <c r="Q3833" s="136"/>
      <c r="R3833" s="79">
        <v>4849.8599999999997</v>
      </c>
      <c r="S3833" s="79">
        <v>381.98</v>
      </c>
      <c r="T3833" s="79">
        <v>5231.84</v>
      </c>
      <c r="U3833" s="79">
        <v>0</v>
      </c>
      <c r="V3833" s="189">
        <v>5231.84</v>
      </c>
      <c r="X3833" s="79">
        <v>4849.8599999999997</v>
      </c>
      <c r="Y3833" s="79">
        <v>381.98</v>
      </c>
      <c r="Z3833" s="79">
        <v>5231.84</v>
      </c>
      <c r="AA3833" s="255">
        <v>1.0000000000218279E-2</v>
      </c>
      <c r="AC3833" s="254"/>
    </row>
    <row r="3834" spans="1:29" ht="12">
      <c r="A3834" s="67" t="s">
        <v>17954</v>
      </c>
      <c r="B3834" s="65" t="s">
        <v>17955</v>
      </c>
      <c r="C3834" s="71" t="s">
        <v>103</v>
      </c>
      <c r="D3834" s="78">
        <v>1</v>
      </c>
      <c r="E3834" s="79">
        <v>3315.58</v>
      </c>
      <c r="F3834" s="70">
        <v>3315.58</v>
      </c>
      <c r="G3834" s="320"/>
      <c r="H3834" s="79">
        <v>3091.46</v>
      </c>
      <c r="I3834" s="79">
        <v>224.12</v>
      </c>
      <c r="J3834" s="79">
        <v>3315.58</v>
      </c>
      <c r="K3834" s="79">
        <v>0</v>
      </c>
      <c r="L3834" s="70">
        <v>3315.58</v>
      </c>
      <c r="M3834" s="132"/>
      <c r="N3834" s="79">
        <v>3091.46</v>
      </c>
      <c r="O3834" s="79">
        <v>224.12</v>
      </c>
      <c r="P3834" s="79">
        <v>3315.58</v>
      </c>
      <c r="Q3834" s="136"/>
      <c r="R3834" s="79">
        <v>3091.46</v>
      </c>
      <c r="S3834" s="79">
        <v>224.11</v>
      </c>
      <c r="T3834" s="79">
        <v>3315.57</v>
      </c>
      <c r="U3834" s="79">
        <v>0</v>
      </c>
      <c r="V3834" s="189">
        <v>3315.57</v>
      </c>
      <c r="X3834" s="79">
        <v>3091.46</v>
      </c>
      <c r="Y3834" s="79">
        <v>224.11</v>
      </c>
      <c r="Z3834" s="79">
        <v>3315.57</v>
      </c>
      <c r="AA3834" s="255">
        <v>9.9999999997635314E-3</v>
      </c>
      <c r="AC3834" s="254"/>
    </row>
    <row r="3835" spans="1:29" ht="12">
      <c r="A3835" s="67" t="s">
        <v>17956</v>
      </c>
      <c r="B3835" s="65" t="s">
        <v>4653</v>
      </c>
      <c r="C3835" s="71" t="s">
        <v>103</v>
      </c>
      <c r="D3835" s="78">
        <v>1</v>
      </c>
      <c r="E3835" s="79">
        <v>3416.5499999999997</v>
      </c>
      <c r="F3835" s="70">
        <v>3416.55</v>
      </c>
      <c r="G3835" s="320"/>
      <c r="H3835" s="79">
        <v>3192.43</v>
      </c>
      <c r="I3835" s="79">
        <v>224.12</v>
      </c>
      <c r="J3835" s="79">
        <v>3416.5499999999997</v>
      </c>
      <c r="K3835" s="79">
        <v>0</v>
      </c>
      <c r="L3835" s="70">
        <v>3416.5499999999997</v>
      </c>
      <c r="M3835" s="132"/>
      <c r="N3835" s="79">
        <v>3192.43</v>
      </c>
      <c r="O3835" s="79">
        <v>224.12</v>
      </c>
      <c r="P3835" s="79">
        <v>3416.5499999999997</v>
      </c>
      <c r="Q3835" s="136"/>
      <c r="R3835" s="79">
        <v>3192.43</v>
      </c>
      <c r="S3835" s="79">
        <v>224.11</v>
      </c>
      <c r="T3835" s="79">
        <v>3416.54</v>
      </c>
      <c r="U3835" s="79">
        <v>0</v>
      </c>
      <c r="V3835" s="189">
        <v>3416.54</v>
      </c>
      <c r="X3835" s="79">
        <v>3192.43</v>
      </c>
      <c r="Y3835" s="79">
        <v>224.11</v>
      </c>
      <c r="Z3835" s="79">
        <v>3416.54</v>
      </c>
      <c r="AA3835" s="255">
        <v>1.0000000000218279E-2</v>
      </c>
      <c r="AC3835" s="254"/>
    </row>
    <row r="3836" spans="1:29" ht="12">
      <c r="A3836" s="67" t="s">
        <v>17957</v>
      </c>
      <c r="B3836" s="65" t="s">
        <v>17958</v>
      </c>
      <c r="C3836" s="71" t="s">
        <v>103</v>
      </c>
      <c r="D3836" s="78">
        <v>1</v>
      </c>
      <c r="E3836" s="79">
        <v>1210.83</v>
      </c>
      <c r="F3836" s="70">
        <v>1210.83</v>
      </c>
      <c r="G3836" s="320"/>
      <c r="H3836" s="79">
        <v>953.75</v>
      </c>
      <c r="I3836" s="79">
        <v>257.08</v>
      </c>
      <c r="J3836" s="79">
        <v>1210.83</v>
      </c>
      <c r="K3836" s="79">
        <v>0</v>
      </c>
      <c r="L3836" s="70">
        <v>1210.83</v>
      </c>
      <c r="M3836" s="132"/>
      <c r="N3836" s="79">
        <v>953.75</v>
      </c>
      <c r="O3836" s="79">
        <v>257.08</v>
      </c>
      <c r="P3836" s="79">
        <v>1210.83</v>
      </c>
      <c r="Q3836" s="136"/>
      <c r="R3836" s="79">
        <v>953.75</v>
      </c>
      <c r="S3836" s="79">
        <v>257.08</v>
      </c>
      <c r="T3836" s="79"/>
      <c r="U3836" s="79">
        <v>0</v>
      </c>
      <c r="V3836" s="189"/>
      <c r="X3836" s="79">
        <v>953.75</v>
      </c>
      <c r="Y3836" s="79">
        <v>257.08</v>
      </c>
      <c r="Z3836" s="79">
        <v>1210.83</v>
      </c>
      <c r="AA3836" s="255">
        <v>0</v>
      </c>
      <c r="AC3836" s="254"/>
    </row>
    <row r="3837" spans="1:29" ht="12">
      <c r="A3837" s="489" t="s">
        <v>17959</v>
      </c>
      <c r="B3837" s="490" t="s">
        <v>17960</v>
      </c>
      <c r="C3837" s="491"/>
      <c r="D3837" s="78"/>
      <c r="E3837" s="79"/>
      <c r="F3837" s="70"/>
      <c r="G3837" s="320"/>
      <c r="H3837" s="79"/>
      <c r="I3837" s="79"/>
      <c r="J3837" s="79"/>
      <c r="K3837" s="79"/>
      <c r="L3837" s="70"/>
      <c r="M3837" s="132"/>
      <c r="N3837" s="79"/>
      <c r="O3837" s="79"/>
      <c r="P3837" s="79"/>
      <c r="Q3837" s="136"/>
      <c r="R3837" s="79"/>
      <c r="S3837" s="79"/>
      <c r="T3837" s="79"/>
      <c r="U3837" s="79"/>
      <c r="V3837" s="189"/>
      <c r="X3837" s="79"/>
      <c r="Y3837" s="79"/>
      <c r="Z3837" s="79"/>
      <c r="AA3837" s="255"/>
      <c r="AC3837" s="254"/>
    </row>
    <row r="3838" spans="1:29" ht="12">
      <c r="A3838" s="67" t="s">
        <v>17961</v>
      </c>
      <c r="B3838" s="65" t="s">
        <v>17962</v>
      </c>
      <c r="C3838" s="71" t="s">
        <v>396</v>
      </c>
      <c r="D3838" s="78">
        <v>1</v>
      </c>
      <c r="E3838" s="79">
        <v>1003.92</v>
      </c>
      <c r="F3838" s="70">
        <v>1003.92</v>
      </c>
      <c r="G3838" s="320"/>
      <c r="H3838" s="79">
        <v>989.24</v>
      </c>
      <c r="I3838" s="79">
        <v>14.68</v>
      </c>
      <c r="J3838" s="79">
        <v>1003.92</v>
      </c>
      <c r="K3838" s="79">
        <v>0</v>
      </c>
      <c r="L3838" s="70">
        <v>1003.92</v>
      </c>
      <c r="M3838" s="132"/>
      <c r="N3838" s="79">
        <v>989.24</v>
      </c>
      <c r="O3838" s="79">
        <v>14.68</v>
      </c>
      <c r="P3838" s="79">
        <v>1003.92</v>
      </c>
      <c r="Q3838" s="136"/>
      <c r="R3838" s="79">
        <v>989.24</v>
      </c>
      <c r="S3838" s="79">
        <v>14.67</v>
      </c>
      <c r="T3838" s="79">
        <v>1003.91</v>
      </c>
      <c r="U3838" s="79">
        <v>0</v>
      </c>
      <c r="V3838" s="189">
        <v>1003.91</v>
      </c>
      <c r="X3838" s="79">
        <v>989.24</v>
      </c>
      <c r="Y3838" s="79">
        <v>14.67</v>
      </c>
      <c r="Z3838" s="79">
        <v>1003.91</v>
      </c>
      <c r="AA3838" s="255">
        <v>9.9999999999909051E-3</v>
      </c>
      <c r="AC3838" s="254"/>
    </row>
    <row r="3839" spans="1:29" ht="12">
      <c r="A3839" s="67" t="s">
        <v>17963</v>
      </c>
      <c r="B3839" s="65" t="s">
        <v>17964</v>
      </c>
      <c r="C3839" s="71" t="s">
        <v>396</v>
      </c>
      <c r="D3839" s="78">
        <v>1</v>
      </c>
      <c r="E3839" s="79">
        <v>1234.79</v>
      </c>
      <c r="F3839" s="70">
        <v>1234.79</v>
      </c>
      <c r="G3839" s="320"/>
      <c r="H3839" s="79">
        <v>1220.1099999999999</v>
      </c>
      <c r="I3839" s="79">
        <v>14.68</v>
      </c>
      <c r="J3839" s="79">
        <v>1234.79</v>
      </c>
      <c r="K3839" s="79">
        <v>0</v>
      </c>
      <c r="L3839" s="70">
        <v>1234.79</v>
      </c>
      <c r="M3839" s="132"/>
      <c r="N3839" s="79">
        <v>1220.1099999999999</v>
      </c>
      <c r="O3839" s="79">
        <v>14.68</v>
      </c>
      <c r="P3839" s="79">
        <v>1234.79</v>
      </c>
      <c r="Q3839" s="136"/>
      <c r="R3839" s="79">
        <v>1220.1099999999999</v>
      </c>
      <c r="S3839" s="79">
        <v>14.67</v>
      </c>
      <c r="T3839" s="79">
        <v>1234.78</v>
      </c>
      <c r="U3839" s="79">
        <v>0</v>
      </c>
      <c r="V3839" s="189">
        <v>1234.78</v>
      </c>
      <c r="X3839" s="79">
        <v>1220.1099999999999</v>
      </c>
      <c r="Y3839" s="79">
        <v>14.67</v>
      </c>
      <c r="Z3839" s="79">
        <v>1234.78</v>
      </c>
      <c r="AA3839" s="255">
        <v>9.9999999999909051E-3</v>
      </c>
      <c r="AC3839" s="254"/>
    </row>
    <row r="3840" spans="1:29" ht="12">
      <c r="A3840" s="67" t="s">
        <v>17965</v>
      </c>
      <c r="B3840" s="65" t="s">
        <v>17966</v>
      </c>
      <c r="C3840" s="71" t="s">
        <v>396</v>
      </c>
      <c r="D3840" s="78">
        <v>1</v>
      </c>
      <c r="E3840" s="79">
        <v>2101.0499999999997</v>
      </c>
      <c r="F3840" s="70">
        <v>2101.0500000000002</v>
      </c>
      <c r="G3840" s="320"/>
      <c r="H3840" s="79">
        <v>1508.1100000000001</v>
      </c>
      <c r="I3840" s="79">
        <v>592.94000000000005</v>
      </c>
      <c r="J3840" s="79">
        <v>2101.0500000000002</v>
      </c>
      <c r="K3840" s="79">
        <v>0</v>
      </c>
      <c r="L3840" s="70">
        <v>2101.0500000000002</v>
      </c>
      <c r="M3840" s="132"/>
      <c r="N3840" s="79">
        <v>1508.1100000000001</v>
      </c>
      <c r="O3840" s="79">
        <v>592.94000000000005</v>
      </c>
      <c r="P3840" s="79">
        <v>2101.0500000000002</v>
      </c>
      <c r="Q3840" s="136"/>
      <c r="R3840" s="79">
        <v>1508.11</v>
      </c>
      <c r="S3840" s="79">
        <v>592.98</v>
      </c>
      <c r="T3840" s="79">
        <v>2101.09</v>
      </c>
      <c r="U3840" s="79">
        <v>0</v>
      </c>
      <c r="V3840" s="189">
        <v>2101.09</v>
      </c>
      <c r="X3840" s="79">
        <v>1508.11</v>
      </c>
      <c r="Y3840" s="79">
        <v>592.98</v>
      </c>
      <c r="Z3840" s="79">
        <v>2101.09</v>
      </c>
      <c r="AA3840" s="255">
        <v>-3.999999999996362E-2</v>
      </c>
      <c r="AC3840" s="254"/>
    </row>
    <row r="3841" spans="1:31" ht="12">
      <c r="A3841" s="67" t="s">
        <v>17967</v>
      </c>
      <c r="B3841" s="65" t="s">
        <v>17968</v>
      </c>
      <c r="C3841" s="71" t="s">
        <v>396</v>
      </c>
      <c r="D3841" s="78">
        <v>1</v>
      </c>
      <c r="E3841" s="79">
        <v>2417.6599999999994</v>
      </c>
      <c r="F3841" s="70">
        <v>2417.66</v>
      </c>
      <c r="G3841" s="320"/>
      <c r="H3841" s="79">
        <v>1785.44</v>
      </c>
      <c r="I3841" s="79">
        <v>632.22</v>
      </c>
      <c r="J3841" s="79">
        <v>2417.66</v>
      </c>
      <c r="K3841" s="79">
        <v>0</v>
      </c>
      <c r="L3841" s="70">
        <v>2417.66</v>
      </c>
      <c r="M3841" s="132"/>
      <c r="N3841" s="79">
        <v>1785.44</v>
      </c>
      <c r="O3841" s="79">
        <v>632.22</v>
      </c>
      <c r="P3841" s="79">
        <v>2417.66</v>
      </c>
      <c r="Q3841" s="136"/>
      <c r="R3841" s="79">
        <v>1785.44</v>
      </c>
      <c r="S3841" s="79">
        <v>632.25</v>
      </c>
      <c r="T3841" s="79">
        <v>2417.69</v>
      </c>
      <c r="U3841" s="79">
        <v>0</v>
      </c>
      <c r="V3841" s="189">
        <v>2417.69</v>
      </c>
      <c r="X3841" s="79">
        <v>1785.44</v>
      </c>
      <c r="Y3841" s="79">
        <v>632.25</v>
      </c>
      <c r="Z3841" s="79">
        <v>2417.69</v>
      </c>
      <c r="AA3841" s="255">
        <v>-3.0000000000200089E-2</v>
      </c>
      <c r="AC3841" s="254"/>
    </row>
    <row r="3842" spans="1:31" ht="12">
      <c r="A3842" s="67" t="s">
        <v>17969</v>
      </c>
      <c r="B3842" s="65" t="s">
        <v>17970</v>
      </c>
      <c r="C3842" s="71" t="s">
        <v>396</v>
      </c>
      <c r="D3842" s="78">
        <v>1</v>
      </c>
      <c r="E3842" s="79">
        <v>2733.5899999999997</v>
      </c>
      <c r="F3842" s="70">
        <v>2733.59</v>
      </c>
      <c r="G3842" s="320"/>
      <c r="H3842" s="79">
        <v>2022.8400000000001</v>
      </c>
      <c r="I3842" s="79">
        <v>710.75</v>
      </c>
      <c r="J3842" s="79">
        <v>2733.59</v>
      </c>
      <c r="K3842" s="79">
        <v>0</v>
      </c>
      <c r="L3842" s="70">
        <v>2733.59</v>
      </c>
      <c r="M3842" s="132"/>
      <c r="N3842" s="79">
        <v>2022.8400000000001</v>
      </c>
      <c r="O3842" s="79">
        <v>710.75</v>
      </c>
      <c r="P3842" s="79">
        <v>2733.59</v>
      </c>
      <c r="Q3842" s="136"/>
      <c r="R3842" s="79">
        <v>2022.84</v>
      </c>
      <c r="S3842" s="79">
        <v>710.79</v>
      </c>
      <c r="T3842" s="79">
        <v>2733.63</v>
      </c>
      <c r="U3842" s="79">
        <v>0</v>
      </c>
      <c r="V3842" s="189">
        <v>2733.63</v>
      </c>
      <c r="X3842" s="79">
        <v>2022.84</v>
      </c>
      <c r="Y3842" s="79">
        <v>710.79</v>
      </c>
      <c r="Z3842" s="79">
        <v>2733.63</v>
      </c>
      <c r="AA3842" s="255">
        <v>-3.999999999996362E-2</v>
      </c>
      <c r="AC3842" s="254"/>
    </row>
    <row r="3843" spans="1:31" ht="12">
      <c r="A3843" s="67" t="s">
        <v>17971</v>
      </c>
      <c r="B3843" s="65" t="s">
        <v>17972</v>
      </c>
      <c r="C3843" s="71" t="s">
        <v>396</v>
      </c>
      <c r="D3843" s="78">
        <v>1</v>
      </c>
      <c r="E3843" s="79">
        <v>3643.0800000000004</v>
      </c>
      <c r="F3843" s="70">
        <v>3643.08</v>
      </c>
      <c r="G3843" s="320"/>
      <c r="H3843" s="79">
        <v>2893.07</v>
      </c>
      <c r="I3843" s="79">
        <v>750.01</v>
      </c>
      <c r="J3843" s="79">
        <v>3643.08</v>
      </c>
      <c r="K3843" s="79">
        <v>0</v>
      </c>
      <c r="L3843" s="70">
        <v>3643.08</v>
      </c>
      <c r="M3843" s="132"/>
      <c r="N3843" s="79">
        <v>2893.07</v>
      </c>
      <c r="O3843" s="79">
        <v>750.01</v>
      </c>
      <c r="P3843" s="79">
        <v>3643.08</v>
      </c>
      <c r="Q3843" s="136"/>
      <c r="R3843" s="79">
        <v>2893.07</v>
      </c>
      <c r="S3843" s="79">
        <v>750.06</v>
      </c>
      <c r="T3843" s="79">
        <v>3643.13</v>
      </c>
      <c r="U3843" s="79">
        <v>0</v>
      </c>
      <c r="V3843" s="189">
        <v>3643.13</v>
      </c>
      <c r="X3843" s="79">
        <v>2893.07</v>
      </c>
      <c r="Y3843" s="79">
        <v>750.06</v>
      </c>
      <c r="Z3843" s="79">
        <v>3643.13</v>
      </c>
      <c r="AA3843" s="255">
        <v>-5.0000000000181899E-2</v>
      </c>
      <c r="AC3843" s="254"/>
      <c r="AD3843" s="69"/>
      <c r="AE3843" s="69"/>
    </row>
    <row r="3844" spans="1:31" ht="12">
      <c r="A3844" s="67" t="s">
        <v>17973</v>
      </c>
      <c r="B3844" s="65" t="s">
        <v>17974</v>
      </c>
      <c r="C3844" s="71" t="s">
        <v>207</v>
      </c>
      <c r="D3844" s="78">
        <v>1</v>
      </c>
      <c r="E3844" s="79">
        <v>52.18</v>
      </c>
      <c r="F3844" s="70">
        <v>52.18</v>
      </c>
      <c r="G3844" s="320"/>
      <c r="H3844" s="79">
        <v>19.86</v>
      </c>
      <c r="I3844" s="79">
        <v>32.32</v>
      </c>
      <c r="J3844" s="79">
        <v>52.18</v>
      </c>
      <c r="K3844" s="79">
        <v>0</v>
      </c>
      <c r="L3844" s="70">
        <v>52.18</v>
      </c>
      <c r="M3844" s="132"/>
      <c r="N3844" s="79">
        <v>19.86</v>
      </c>
      <c r="O3844" s="79">
        <v>32.32</v>
      </c>
      <c r="P3844" s="79">
        <v>52.18</v>
      </c>
      <c r="Q3844" s="136"/>
      <c r="R3844" s="79">
        <v>19.86</v>
      </c>
      <c r="S3844" s="79">
        <v>32.32</v>
      </c>
      <c r="T3844" s="79"/>
      <c r="U3844" s="79">
        <v>0</v>
      </c>
      <c r="V3844" s="189"/>
      <c r="X3844" s="79">
        <v>19.86</v>
      </c>
      <c r="Y3844" s="79">
        <v>32.32</v>
      </c>
      <c r="Z3844" s="79">
        <v>52.18</v>
      </c>
      <c r="AA3844" s="255">
        <v>0</v>
      </c>
      <c r="AC3844" s="254"/>
    </row>
    <row r="3845" spans="1:31" s="69" customFormat="1" ht="12">
      <c r="A3845" s="67" t="s">
        <v>17975</v>
      </c>
      <c r="B3845" s="65" t="s">
        <v>17976</v>
      </c>
      <c r="C3845" s="71" t="s">
        <v>103</v>
      </c>
      <c r="D3845" s="78">
        <v>1</v>
      </c>
      <c r="E3845" s="79">
        <v>206.72000000000003</v>
      </c>
      <c r="F3845" s="70">
        <v>206.72</v>
      </c>
      <c r="G3845" s="320"/>
      <c r="H3845" s="79">
        <v>188.69</v>
      </c>
      <c r="I3845" s="79">
        <v>18.03</v>
      </c>
      <c r="J3845" s="79">
        <v>206.72</v>
      </c>
      <c r="K3845" s="79">
        <v>0</v>
      </c>
      <c r="L3845" s="70">
        <v>206.72</v>
      </c>
      <c r="M3845" s="132"/>
      <c r="N3845" s="79">
        <v>188.69</v>
      </c>
      <c r="O3845" s="79">
        <v>18.03</v>
      </c>
      <c r="P3845" s="79">
        <v>206.72</v>
      </c>
      <c r="Q3845" s="136"/>
      <c r="R3845" s="79">
        <v>188.69</v>
      </c>
      <c r="S3845" s="79">
        <v>18.03</v>
      </c>
      <c r="T3845" s="79"/>
      <c r="U3845" s="79">
        <v>0</v>
      </c>
      <c r="V3845" s="189"/>
      <c r="W3845" s="61"/>
      <c r="X3845" s="79">
        <v>188.69</v>
      </c>
      <c r="Y3845" s="79">
        <v>18.03</v>
      </c>
      <c r="Z3845" s="79">
        <v>206.72</v>
      </c>
      <c r="AA3845" s="255">
        <v>0</v>
      </c>
      <c r="AB3845" s="61"/>
      <c r="AC3845" s="254"/>
      <c r="AD3845" s="236"/>
      <c r="AE3845" s="236"/>
    </row>
    <row r="3846" spans="1:31" ht="12">
      <c r="A3846" s="489" t="s">
        <v>17977</v>
      </c>
      <c r="B3846" s="490" t="s">
        <v>17978</v>
      </c>
      <c r="C3846" s="491"/>
      <c r="D3846" s="492"/>
      <c r="E3846" s="79"/>
      <c r="F3846" s="63"/>
      <c r="G3846" s="320"/>
      <c r="H3846" s="79"/>
      <c r="I3846" s="79"/>
      <c r="J3846" s="79"/>
      <c r="K3846" s="79"/>
      <c r="L3846" s="70"/>
      <c r="M3846" s="132"/>
      <c r="N3846" s="79"/>
      <c r="O3846" s="79"/>
      <c r="P3846" s="79"/>
      <c r="Q3846" s="136"/>
      <c r="R3846" s="79"/>
      <c r="S3846" s="79"/>
      <c r="T3846" s="79"/>
      <c r="U3846" s="79"/>
      <c r="V3846" s="189"/>
      <c r="X3846" s="79"/>
      <c r="Y3846" s="79"/>
      <c r="Z3846" s="79"/>
      <c r="AA3846" s="255"/>
      <c r="AC3846" s="254"/>
    </row>
    <row r="3847" spans="1:31" ht="12">
      <c r="A3847" s="489" t="s">
        <v>17979</v>
      </c>
      <c r="B3847" s="490" t="s">
        <v>17980</v>
      </c>
      <c r="C3847" s="491"/>
      <c r="D3847" s="78"/>
      <c r="E3847" s="79"/>
      <c r="F3847" s="70"/>
      <c r="G3847" s="320"/>
      <c r="H3847" s="79"/>
      <c r="I3847" s="79"/>
      <c r="J3847" s="79"/>
      <c r="K3847" s="79"/>
      <c r="L3847" s="70"/>
      <c r="M3847" s="132"/>
      <c r="N3847" s="79"/>
      <c r="O3847" s="79"/>
      <c r="P3847" s="79"/>
      <c r="Q3847" s="136"/>
      <c r="R3847" s="79"/>
      <c r="S3847" s="79"/>
      <c r="T3847" s="79"/>
      <c r="U3847" s="79"/>
      <c r="V3847" s="189"/>
      <c r="X3847" s="79"/>
      <c r="Y3847" s="79"/>
      <c r="Z3847" s="79"/>
      <c r="AA3847" s="255"/>
      <c r="AC3847" s="254"/>
      <c r="AD3847" s="69"/>
      <c r="AE3847" s="69"/>
    </row>
    <row r="3848" spans="1:31" ht="12">
      <c r="A3848" s="67" t="s">
        <v>17981</v>
      </c>
      <c r="B3848" s="65" t="s">
        <v>17982</v>
      </c>
      <c r="C3848" s="71" t="s">
        <v>103</v>
      </c>
      <c r="D3848" s="78">
        <v>1</v>
      </c>
      <c r="E3848" s="79">
        <v>6234.1</v>
      </c>
      <c r="F3848" s="70">
        <v>6234.1</v>
      </c>
      <c r="G3848" s="320"/>
      <c r="H3848" s="79">
        <v>6206.16</v>
      </c>
      <c r="I3848" s="79">
        <v>27.939999999999998</v>
      </c>
      <c r="J3848" s="79">
        <v>6234.0999999999995</v>
      </c>
      <c r="K3848" s="79">
        <v>0</v>
      </c>
      <c r="L3848" s="70">
        <v>6234.0999999999995</v>
      </c>
      <c r="M3848" s="132"/>
      <c r="N3848" s="79">
        <v>6206.16</v>
      </c>
      <c r="O3848" s="79">
        <v>27.939999999999998</v>
      </c>
      <c r="P3848" s="79">
        <v>6234.0999999999995</v>
      </c>
      <c r="Q3848" s="136"/>
      <c r="R3848" s="79">
        <v>6206.16</v>
      </c>
      <c r="S3848" s="79">
        <v>27.92</v>
      </c>
      <c r="T3848" s="79">
        <v>6234.08</v>
      </c>
      <c r="U3848" s="79">
        <v>0</v>
      </c>
      <c r="V3848" s="189">
        <v>6234.08</v>
      </c>
      <c r="X3848" s="79">
        <v>6206.16</v>
      </c>
      <c r="Y3848" s="79">
        <v>27.92</v>
      </c>
      <c r="Z3848" s="79">
        <v>6234.08</v>
      </c>
      <c r="AA3848" s="255">
        <v>2.0000000000436557E-2</v>
      </c>
      <c r="AC3848" s="254"/>
    </row>
    <row r="3849" spans="1:31" s="69" customFormat="1" ht="12">
      <c r="A3849" s="67" t="s">
        <v>17983</v>
      </c>
      <c r="B3849" s="65" t="s">
        <v>17984</v>
      </c>
      <c r="C3849" s="71" t="s">
        <v>165</v>
      </c>
      <c r="D3849" s="78">
        <v>1</v>
      </c>
      <c r="E3849" s="79">
        <v>2512.58</v>
      </c>
      <c r="F3849" s="70">
        <v>2512.58</v>
      </c>
      <c r="G3849" s="320"/>
      <c r="H3849" s="79">
        <v>2512.58</v>
      </c>
      <c r="I3849" s="79">
        <v>0</v>
      </c>
      <c r="J3849" s="79">
        <v>2512.58</v>
      </c>
      <c r="K3849" s="79">
        <v>0</v>
      </c>
      <c r="L3849" s="70">
        <v>2512.58</v>
      </c>
      <c r="M3849" s="132"/>
      <c r="N3849" s="79">
        <v>2512.58</v>
      </c>
      <c r="O3849" s="79"/>
      <c r="P3849" s="79">
        <v>2512.58</v>
      </c>
      <c r="Q3849" s="136"/>
      <c r="R3849" s="79">
        <v>2512.58</v>
      </c>
      <c r="S3849" s="79"/>
      <c r="T3849" s="79">
        <v>2512.58</v>
      </c>
      <c r="U3849" s="79">
        <v>0</v>
      </c>
      <c r="V3849" s="189">
        <v>2512.58</v>
      </c>
      <c r="W3849" s="61"/>
      <c r="X3849" s="79">
        <v>2512.58</v>
      </c>
      <c r="Y3849" s="79"/>
      <c r="Z3849" s="79">
        <v>2512.58</v>
      </c>
      <c r="AA3849" s="255">
        <v>0</v>
      </c>
      <c r="AB3849" s="61"/>
      <c r="AC3849" s="254"/>
      <c r="AD3849" s="61"/>
      <c r="AE3849" s="61"/>
    </row>
    <row r="3850" spans="1:31" ht="12">
      <c r="A3850" s="67" t="s">
        <v>17985</v>
      </c>
      <c r="B3850" s="65" t="s">
        <v>17986</v>
      </c>
      <c r="C3850" s="71" t="s">
        <v>165</v>
      </c>
      <c r="D3850" s="78">
        <v>1</v>
      </c>
      <c r="E3850" s="79">
        <v>2725.94</v>
      </c>
      <c r="F3850" s="70">
        <v>2725.94</v>
      </c>
      <c r="G3850" s="320"/>
      <c r="H3850" s="79">
        <v>2725.94</v>
      </c>
      <c r="I3850" s="79">
        <v>0</v>
      </c>
      <c r="J3850" s="79">
        <v>2725.94</v>
      </c>
      <c r="K3850" s="79">
        <v>0</v>
      </c>
      <c r="L3850" s="70">
        <v>2725.94</v>
      </c>
      <c r="M3850" s="132"/>
      <c r="N3850" s="79">
        <v>2725.94</v>
      </c>
      <c r="O3850" s="79"/>
      <c r="P3850" s="79">
        <v>2725.94</v>
      </c>
      <c r="Q3850" s="136"/>
      <c r="R3850" s="79">
        <v>2725.94</v>
      </c>
      <c r="S3850" s="79"/>
      <c r="T3850" s="79"/>
      <c r="U3850" s="79">
        <v>0</v>
      </c>
      <c r="V3850" s="189"/>
      <c r="X3850" s="79">
        <v>2725.94</v>
      </c>
      <c r="Y3850" s="79"/>
      <c r="Z3850" s="79">
        <v>2725.94</v>
      </c>
      <c r="AA3850" s="255">
        <v>0</v>
      </c>
      <c r="AC3850" s="254"/>
      <c r="AD3850" s="61"/>
      <c r="AE3850" s="61"/>
    </row>
    <row r="3851" spans="1:31" s="61" customFormat="1" ht="12">
      <c r="A3851" s="489" t="s">
        <v>17987</v>
      </c>
      <c r="B3851" s="490" t="s">
        <v>17988</v>
      </c>
      <c r="C3851" s="491"/>
      <c r="D3851" s="78"/>
      <c r="E3851" s="79"/>
      <c r="F3851" s="70"/>
      <c r="G3851" s="320"/>
      <c r="H3851" s="79"/>
      <c r="I3851" s="79"/>
      <c r="J3851" s="79"/>
      <c r="K3851" s="79"/>
      <c r="L3851" s="70"/>
      <c r="M3851" s="132"/>
      <c r="N3851" s="79"/>
      <c r="O3851" s="79"/>
      <c r="P3851" s="79"/>
      <c r="Q3851" s="136"/>
      <c r="R3851" s="79"/>
      <c r="S3851" s="79"/>
      <c r="T3851" s="79"/>
      <c r="U3851" s="79"/>
      <c r="V3851" s="189"/>
      <c r="X3851" s="79"/>
      <c r="Y3851" s="79"/>
      <c r="Z3851" s="79"/>
      <c r="AA3851" s="255"/>
      <c r="AC3851" s="254"/>
    </row>
    <row r="3852" spans="1:31" s="61" customFormat="1" ht="12">
      <c r="A3852" s="67" t="s">
        <v>17989</v>
      </c>
      <c r="B3852" s="65" t="s">
        <v>2186</v>
      </c>
      <c r="C3852" s="71" t="s">
        <v>509</v>
      </c>
      <c r="D3852" s="78">
        <v>1</v>
      </c>
      <c r="E3852" s="79">
        <v>10615.42</v>
      </c>
      <c r="F3852" s="70">
        <v>10615.42</v>
      </c>
      <c r="G3852" s="320"/>
      <c r="H3852" s="79">
        <v>10615.42</v>
      </c>
      <c r="I3852" s="79">
        <v>0</v>
      </c>
      <c r="J3852" s="79">
        <v>10615.42</v>
      </c>
      <c r="K3852" s="79">
        <v>0</v>
      </c>
      <c r="L3852" s="70">
        <v>10615.42</v>
      </c>
      <c r="M3852" s="132"/>
      <c r="N3852" s="79">
        <v>10615.42</v>
      </c>
      <c r="O3852" s="79"/>
      <c r="P3852" s="79">
        <v>10615.42</v>
      </c>
      <c r="Q3852" s="136"/>
      <c r="R3852" s="79">
        <v>10615.42</v>
      </c>
      <c r="S3852" s="79"/>
      <c r="T3852" s="79">
        <v>10615.42</v>
      </c>
      <c r="U3852" s="79">
        <v>0</v>
      </c>
      <c r="V3852" s="189">
        <v>10615.42</v>
      </c>
      <c r="X3852" s="79">
        <v>10615.42</v>
      </c>
      <c r="Y3852" s="79"/>
      <c r="Z3852" s="79">
        <v>10615.42</v>
      </c>
      <c r="AA3852" s="255">
        <v>0</v>
      </c>
      <c r="AC3852" s="254"/>
    </row>
    <row r="3853" spans="1:31" s="61" customFormat="1" ht="12">
      <c r="A3853" s="67" t="s">
        <v>17990</v>
      </c>
      <c r="B3853" s="65" t="s">
        <v>2188</v>
      </c>
      <c r="C3853" s="71" t="s">
        <v>509</v>
      </c>
      <c r="D3853" s="78">
        <v>1</v>
      </c>
      <c r="E3853" s="79">
        <v>8859.23</v>
      </c>
      <c r="F3853" s="70">
        <v>8859.23</v>
      </c>
      <c r="G3853" s="320"/>
      <c r="H3853" s="79">
        <v>8859.23</v>
      </c>
      <c r="I3853" s="79">
        <v>0</v>
      </c>
      <c r="J3853" s="79">
        <v>8859.23</v>
      </c>
      <c r="K3853" s="79">
        <v>0</v>
      </c>
      <c r="L3853" s="70">
        <v>8859.23</v>
      </c>
      <c r="M3853" s="132"/>
      <c r="N3853" s="79">
        <v>8859.23</v>
      </c>
      <c r="O3853" s="79"/>
      <c r="P3853" s="79">
        <v>8859.23</v>
      </c>
      <c r="Q3853" s="136"/>
      <c r="R3853" s="79">
        <v>8859.23</v>
      </c>
      <c r="S3853" s="79"/>
      <c r="T3853" s="79">
        <v>8859.23</v>
      </c>
      <c r="U3853" s="79">
        <v>0</v>
      </c>
      <c r="V3853" s="189">
        <v>8859.23</v>
      </c>
      <c r="X3853" s="79">
        <v>8859.23</v>
      </c>
      <c r="Y3853" s="79"/>
      <c r="Z3853" s="79">
        <v>8859.23</v>
      </c>
      <c r="AA3853" s="255">
        <v>0</v>
      </c>
      <c r="AC3853" s="254"/>
      <c r="AD3853" s="236"/>
      <c r="AE3853" s="236"/>
    </row>
    <row r="3854" spans="1:31" s="61" customFormat="1" ht="12">
      <c r="A3854" s="67" t="s">
        <v>17991</v>
      </c>
      <c r="B3854" s="65" t="s">
        <v>2190</v>
      </c>
      <c r="C3854" s="71" t="s">
        <v>509</v>
      </c>
      <c r="D3854" s="78">
        <v>1</v>
      </c>
      <c r="E3854" s="79">
        <v>4549.53</v>
      </c>
      <c r="F3854" s="70">
        <v>4549.53</v>
      </c>
      <c r="G3854" s="320"/>
      <c r="H3854" s="79">
        <v>4549.53</v>
      </c>
      <c r="I3854" s="79">
        <v>0</v>
      </c>
      <c r="J3854" s="79">
        <v>4549.53</v>
      </c>
      <c r="K3854" s="79">
        <v>0</v>
      </c>
      <c r="L3854" s="70">
        <v>4549.53</v>
      </c>
      <c r="M3854" s="132"/>
      <c r="N3854" s="79">
        <v>4549.53</v>
      </c>
      <c r="O3854" s="79"/>
      <c r="P3854" s="79">
        <v>4549.53</v>
      </c>
      <c r="Q3854" s="136"/>
      <c r="R3854" s="79">
        <v>4549.53</v>
      </c>
      <c r="S3854" s="79"/>
      <c r="T3854" s="79"/>
      <c r="U3854" s="79">
        <v>0</v>
      </c>
      <c r="V3854" s="189"/>
      <c r="X3854" s="79">
        <v>4549.53</v>
      </c>
      <c r="Y3854" s="79"/>
      <c r="Z3854" s="79">
        <v>4549.53</v>
      </c>
      <c r="AA3854" s="255">
        <v>0</v>
      </c>
      <c r="AC3854" s="254"/>
      <c r="AD3854" s="236"/>
      <c r="AE3854" s="236"/>
    </row>
    <row r="3855" spans="1:31" ht="12">
      <c r="A3855" s="489" t="s">
        <v>17992</v>
      </c>
      <c r="B3855" s="490" t="s">
        <v>17993</v>
      </c>
      <c r="C3855" s="491"/>
      <c r="D3855" s="492"/>
      <c r="E3855" s="79"/>
      <c r="F3855" s="63"/>
      <c r="G3855" s="320"/>
      <c r="H3855" s="79"/>
      <c r="I3855" s="79"/>
      <c r="J3855" s="79"/>
      <c r="K3855" s="79"/>
      <c r="L3855" s="70"/>
      <c r="M3855" s="132"/>
      <c r="N3855" s="79"/>
      <c r="O3855" s="79"/>
      <c r="P3855" s="79"/>
      <c r="Q3855" s="136"/>
      <c r="R3855" s="79"/>
      <c r="S3855" s="79"/>
      <c r="T3855" s="79"/>
      <c r="U3855" s="79"/>
      <c r="V3855" s="189"/>
      <c r="X3855" s="79"/>
      <c r="Y3855" s="79"/>
      <c r="Z3855" s="79"/>
      <c r="AA3855" s="255"/>
      <c r="AC3855" s="254"/>
    </row>
    <row r="3856" spans="1:31" ht="12">
      <c r="A3856" s="489" t="s">
        <v>17994</v>
      </c>
      <c r="B3856" s="490" t="s">
        <v>17995</v>
      </c>
      <c r="C3856" s="491"/>
      <c r="D3856" s="78"/>
      <c r="E3856" s="79"/>
      <c r="F3856" s="70"/>
      <c r="G3856" s="320"/>
      <c r="H3856" s="79"/>
      <c r="I3856" s="79"/>
      <c r="J3856" s="79"/>
      <c r="K3856" s="79"/>
      <c r="L3856" s="70"/>
      <c r="M3856" s="132"/>
      <c r="N3856" s="79"/>
      <c r="O3856" s="79"/>
      <c r="P3856" s="79"/>
      <c r="Q3856" s="136"/>
      <c r="R3856" s="79"/>
      <c r="S3856" s="79"/>
      <c r="T3856" s="79"/>
      <c r="U3856" s="79"/>
      <c r="V3856" s="189"/>
      <c r="X3856" s="79"/>
      <c r="Y3856" s="79"/>
      <c r="Z3856" s="79"/>
      <c r="AA3856" s="255"/>
      <c r="AC3856" s="254"/>
    </row>
    <row r="3857" spans="1:31" ht="12">
      <c r="A3857" s="67" t="s">
        <v>17996</v>
      </c>
      <c r="B3857" s="65" t="s">
        <v>5476</v>
      </c>
      <c r="C3857" s="71" t="s">
        <v>509</v>
      </c>
      <c r="D3857" s="78">
        <v>1</v>
      </c>
      <c r="E3857" s="79">
        <v>2143.16</v>
      </c>
      <c r="F3857" s="70">
        <v>2143.16</v>
      </c>
      <c r="G3857" s="320"/>
      <c r="H3857" s="79">
        <v>2143.16</v>
      </c>
      <c r="I3857" s="79">
        <v>0</v>
      </c>
      <c r="J3857" s="79">
        <v>2143.16</v>
      </c>
      <c r="K3857" s="79">
        <v>0</v>
      </c>
      <c r="L3857" s="70">
        <v>2143.16</v>
      </c>
      <c r="M3857" s="132"/>
      <c r="N3857" s="79">
        <v>2143.16</v>
      </c>
      <c r="O3857" s="79"/>
      <c r="P3857" s="79">
        <v>2143.16</v>
      </c>
      <c r="Q3857" s="136"/>
      <c r="R3857" s="79">
        <v>2143.16</v>
      </c>
      <c r="S3857" s="79"/>
      <c r="T3857" s="79"/>
      <c r="U3857" s="79">
        <v>0</v>
      </c>
      <c r="V3857" s="189"/>
      <c r="X3857" s="79">
        <v>2143.16</v>
      </c>
      <c r="Y3857" s="79"/>
      <c r="Z3857" s="79">
        <v>2143.16</v>
      </c>
      <c r="AA3857" s="255">
        <v>0</v>
      </c>
      <c r="AC3857" s="254"/>
    </row>
    <row r="3858" spans="1:31" ht="12">
      <c r="A3858" s="489" t="s">
        <v>17997</v>
      </c>
      <c r="B3858" s="490" t="s">
        <v>17998</v>
      </c>
      <c r="C3858" s="491"/>
      <c r="D3858" s="492"/>
      <c r="E3858" s="79"/>
      <c r="F3858" s="63"/>
      <c r="G3858" s="320"/>
      <c r="H3858" s="79"/>
      <c r="I3858" s="79"/>
      <c r="J3858" s="79"/>
      <c r="K3858" s="79"/>
      <c r="L3858" s="70"/>
      <c r="M3858" s="132"/>
      <c r="N3858" s="79"/>
      <c r="O3858" s="79"/>
      <c r="P3858" s="79"/>
      <c r="R3858" s="79"/>
      <c r="S3858" s="79"/>
      <c r="T3858" s="79"/>
      <c r="U3858" s="79"/>
      <c r="V3858" s="189"/>
      <c r="X3858" s="79"/>
      <c r="Y3858" s="79"/>
      <c r="Z3858" s="79"/>
      <c r="AA3858" s="255"/>
      <c r="AC3858" s="254"/>
      <c r="AD3858" s="61"/>
      <c r="AE3858" s="61"/>
    </row>
    <row r="3859" spans="1:31" ht="12">
      <c r="A3859" s="67" t="s">
        <v>17999</v>
      </c>
      <c r="B3859" s="65" t="s">
        <v>5478</v>
      </c>
      <c r="C3859" s="71" t="s">
        <v>509</v>
      </c>
      <c r="D3859" s="78">
        <v>1</v>
      </c>
      <c r="E3859" s="79">
        <v>2583.02</v>
      </c>
      <c r="F3859" s="70">
        <v>2583.02</v>
      </c>
      <c r="G3859" s="320"/>
      <c r="H3859" s="79">
        <v>2583.02</v>
      </c>
      <c r="I3859" s="79">
        <v>0</v>
      </c>
      <c r="J3859" s="79">
        <v>2583.02</v>
      </c>
      <c r="K3859" s="79">
        <v>0</v>
      </c>
      <c r="L3859" s="70">
        <v>2583.02</v>
      </c>
      <c r="M3859" s="132"/>
      <c r="N3859" s="79">
        <v>2583.02</v>
      </c>
      <c r="O3859" s="79"/>
      <c r="P3859" s="79">
        <v>2583.02</v>
      </c>
      <c r="Q3859" s="136"/>
      <c r="R3859" s="79">
        <v>2583.02</v>
      </c>
      <c r="S3859" s="79"/>
      <c r="T3859" s="79"/>
      <c r="U3859" s="79">
        <v>0</v>
      </c>
      <c r="V3859" s="189"/>
      <c r="X3859" s="79">
        <v>2583.02</v>
      </c>
      <c r="Y3859" s="79"/>
      <c r="Z3859" s="79">
        <v>2583.02</v>
      </c>
      <c r="AA3859" s="255">
        <v>0</v>
      </c>
      <c r="AC3859" s="254"/>
    </row>
    <row r="3860" spans="1:31" s="61" customFormat="1" ht="12">
      <c r="A3860" s="489" t="s">
        <v>18000</v>
      </c>
      <c r="B3860" s="490" t="s">
        <v>18001</v>
      </c>
      <c r="C3860" s="491"/>
      <c r="D3860" s="492"/>
      <c r="E3860" s="79"/>
      <c r="F3860" s="63"/>
      <c r="G3860" s="320"/>
      <c r="H3860" s="79"/>
      <c r="I3860" s="79"/>
      <c r="J3860" s="79"/>
      <c r="K3860" s="79"/>
      <c r="L3860" s="70"/>
      <c r="M3860" s="132"/>
      <c r="N3860" s="79"/>
      <c r="O3860" s="79"/>
      <c r="P3860" s="79"/>
      <c r="Q3860" s="136"/>
      <c r="R3860" s="79"/>
      <c r="S3860" s="79"/>
      <c r="T3860" s="79"/>
      <c r="U3860" s="79"/>
      <c r="V3860" s="189"/>
      <c r="X3860" s="79"/>
      <c r="Y3860" s="79"/>
      <c r="Z3860" s="79"/>
      <c r="AA3860" s="255"/>
      <c r="AC3860" s="254"/>
    </row>
    <row r="3861" spans="1:31" ht="12">
      <c r="A3861" s="489" t="s">
        <v>18002</v>
      </c>
      <c r="B3861" s="490" t="s">
        <v>18003</v>
      </c>
      <c r="C3861" s="491"/>
      <c r="D3861" s="78"/>
      <c r="E3861" s="79"/>
      <c r="F3861" s="70"/>
      <c r="G3861" s="320"/>
      <c r="H3861" s="79"/>
      <c r="I3861" s="79"/>
      <c r="J3861" s="79"/>
      <c r="K3861" s="79"/>
      <c r="L3861" s="70"/>
      <c r="M3861" s="132"/>
      <c r="N3861" s="79"/>
      <c r="O3861" s="79"/>
      <c r="P3861" s="79"/>
      <c r="Q3861" s="136"/>
      <c r="R3861" s="79"/>
      <c r="S3861" s="79"/>
      <c r="T3861" s="79"/>
      <c r="U3861" s="79"/>
      <c r="V3861" s="189"/>
      <c r="X3861" s="79"/>
      <c r="Y3861" s="79"/>
      <c r="Z3861" s="79"/>
      <c r="AA3861" s="255"/>
      <c r="AC3861" s="254"/>
      <c r="AD3861" s="69"/>
      <c r="AE3861" s="69"/>
    </row>
    <row r="3862" spans="1:31" s="61" customFormat="1" ht="12">
      <c r="A3862" s="67" t="s">
        <v>18004</v>
      </c>
      <c r="B3862" s="65" t="s">
        <v>18005</v>
      </c>
      <c r="C3862" s="71" t="s">
        <v>103</v>
      </c>
      <c r="D3862" s="78">
        <v>1</v>
      </c>
      <c r="E3862" s="79">
        <v>882.4</v>
      </c>
      <c r="F3862" s="70">
        <v>882.4</v>
      </c>
      <c r="G3862" s="320"/>
      <c r="H3862" s="79">
        <v>865.65</v>
      </c>
      <c r="I3862" s="79">
        <v>16.75</v>
      </c>
      <c r="J3862" s="79">
        <v>882.4</v>
      </c>
      <c r="K3862" s="79">
        <v>0</v>
      </c>
      <c r="L3862" s="70">
        <v>882.4</v>
      </c>
      <c r="M3862" s="132"/>
      <c r="N3862" s="79">
        <v>865.65</v>
      </c>
      <c r="O3862" s="79">
        <v>16.75</v>
      </c>
      <c r="P3862" s="79">
        <v>882.4</v>
      </c>
      <c r="Q3862" s="136"/>
      <c r="R3862" s="79">
        <v>865.65</v>
      </c>
      <c r="S3862" s="79">
        <v>16.75</v>
      </c>
      <c r="T3862" s="79">
        <v>882.4</v>
      </c>
      <c r="U3862" s="79">
        <v>0</v>
      </c>
      <c r="V3862" s="189">
        <v>882.4</v>
      </c>
      <c r="X3862" s="79">
        <v>865.65</v>
      </c>
      <c r="Y3862" s="79">
        <v>16.75</v>
      </c>
      <c r="Z3862" s="79">
        <v>882.4</v>
      </c>
      <c r="AA3862" s="255">
        <v>0</v>
      </c>
      <c r="AC3862" s="254"/>
      <c r="AD3862" s="69"/>
      <c r="AE3862" s="69"/>
    </row>
    <row r="3863" spans="1:31" s="69" customFormat="1" ht="12">
      <c r="A3863" s="67" t="s">
        <v>18006</v>
      </c>
      <c r="B3863" s="65" t="s">
        <v>18007</v>
      </c>
      <c r="C3863" s="71" t="s">
        <v>103</v>
      </c>
      <c r="D3863" s="78">
        <v>1</v>
      </c>
      <c r="E3863" s="79">
        <v>14845.8</v>
      </c>
      <c r="F3863" s="70">
        <v>14845.8</v>
      </c>
      <c r="G3863" s="320"/>
      <c r="H3863" s="79">
        <v>14845.8</v>
      </c>
      <c r="I3863" s="79">
        <v>0</v>
      </c>
      <c r="J3863" s="79">
        <v>14845.8</v>
      </c>
      <c r="K3863" s="79">
        <v>0</v>
      </c>
      <c r="L3863" s="70">
        <v>14845.8</v>
      </c>
      <c r="M3863" s="132"/>
      <c r="N3863" s="79">
        <v>14845.8</v>
      </c>
      <c r="O3863" s="79"/>
      <c r="P3863" s="79">
        <v>14845.8</v>
      </c>
      <c r="Q3863" s="136"/>
      <c r="R3863" s="79">
        <v>14845.8</v>
      </c>
      <c r="S3863" s="79"/>
      <c r="T3863" s="79">
        <v>14845.8</v>
      </c>
      <c r="U3863" s="79">
        <v>0</v>
      </c>
      <c r="V3863" s="189">
        <v>14845.8</v>
      </c>
      <c r="W3863" s="61"/>
      <c r="X3863" s="79">
        <v>14845.8</v>
      </c>
      <c r="Y3863" s="79"/>
      <c r="Z3863" s="79">
        <v>14845.8</v>
      </c>
      <c r="AA3863" s="255">
        <v>0</v>
      </c>
      <c r="AB3863" s="61"/>
      <c r="AC3863" s="254"/>
    </row>
    <row r="3864" spans="1:31" s="69" customFormat="1" ht="12">
      <c r="A3864" s="67" t="s">
        <v>18008</v>
      </c>
      <c r="B3864" s="65" t="s">
        <v>18009</v>
      </c>
      <c r="C3864" s="71" t="s">
        <v>396</v>
      </c>
      <c r="D3864" s="78">
        <v>1</v>
      </c>
      <c r="E3864" s="79">
        <v>269.82</v>
      </c>
      <c r="F3864" s="70">
        <v>269.82</v>
      </c>
      <c r="G3864" s="320"/>
      <c r="H3864" s="79">
        <v>213.99</v>
      </c>
      <c r="I3864" s="79">
        <v>55.83</v>
      </c>
      <c r="J3864" s="79">
        <v>269.82</v>
      </c>
      <c r="K3864" s="79">
        <v>0</v>
      </c>
      <c r="L3864" s="70">
        <v>269.82</v>
      </c>
      <c r="M3864" s="132"/>
      <c r="N3864" s="79">
        <v>213.99</v>
      </c>
      <c r="O3864" s="79">
        <v>55.83</v>
      </c>
      <c r="P3864" s="79">
        <v>269.82</v>
      </c>
      <c r="Q3864" s="136"/>
      <c r="R3864" s="79">
        <v>213.99</v>
      </c>
      <c r="S3864" s="79">
        <v>55.83</v>
      </c>
      <c r="T3864" s="79">
        <v>269.82</v>
      </c>
      <c r="U3864" s="79">
        <v>0</v>
      </c>
      <c r="V3864" s="189">
        <v>269.82</v>
      </c>
      <c r="W3864" s="61"/>
      <c r="X3864" s="79">
        <v>213.99</v>
      </c>
      <c r="Y3864" s="79">
        <v>55.83</v>
      </c>
      <c r="Z3864" s="79">
        <v>269.82</v>
      </c>
      <c r="AA3864" s="255">
        <v>0</v>
      </c>
      <c r="AB3864" s="61"/>
      <c r="AC3864" s="254"/>
    </row>
    <row r="3865" spans="1:31" s="69" customFormat="1" ht="12">
      <c r="A3865" s="67" t="s">
        <v>18010</v>
      </c>
      <c r="B3865" s="65" t="s">
        <v>18011</v>
      </c>
      <c r="C3865" s="71" t="s">
        <v>396</v>
      </c>
      <c r="D3865" s="78">
        <v>1</v>
      </c>
      <c r="E3865" s="79">
        <v>2138.9499999999998</v>
      </c>
      <c r="F3865" s="70">
        <v>2138.9499999999998</v>
      </c>
      <c r="G3865" s="320"/>
      <c r="H3865" s="79">
        <v>2138.9499999999998</v>
      </c>
      <c r="I3865" s="79">
        <v>0</v>
      </c>
      <c r="J3865" s="79">
        <v>2138.9499999999998</v>
      </c>
      <c r="K3865" s="79">
        <v>0</v>
      </c>
      <c r="L3865" s="70">
        <v>2138.9499999999998</v>
      </c>
      <c r="M3865" s="132"/>
      <c r="N3865" s="79">
        <v>2138.9499999999998</v>
      </c>
      <c r="O3865" s="79"/>
      <c r="P3865" s="79">
        <v>2138.9499999999998</v>
      </c>
      <c r="Q3865" s="136"/>
      <c r="R3865" s="79">
        <v>2138.9499999999998</v>
      </c>
      <c r="S3865" s="79"/>
      <c r="T3865" s="79">
        <v>2138.9499999999998</v>
      </c>
      <c r="U3865" s="79">
        <v>0</v>
      </c>
      <c r="V3865" s="189">
        <v>2138.9499999999998</v>
      </c>
      <c r="W3865" s="61"/>
      <c r="X3865" s="79">
        <v>2138.9499999999998</v>
      </c>
      <c r="Y3865" s="79"/>
      <c r="Z3865" s="79">
        <v>2138.9499999999998</v>
      </c>
      <c r="AA3865" s="255">
        <v>0</v>
      </c>
      <c r="AB3865" s="61"/>
      <c r="AC3865" s="254"/>
    </row>
    <row r="3866" spans="1:31" s="69" customFormat="1" ht="24">
      <c r="A3866" s="67" t="s">
        <v>18012</v>
      </c>
      <c r="B3866" s="65" t="s">
        <v>18013</v>
      </c>
      <c r="C3866" s="71" t="s">
        <v>396</v>
      </c>
      <c r="D3866" s="78">
        <v>1</v>
      </c>
      <c r="E3866" s="79">
        <v>6208.89</v>
      </c>
      <c r="F3866" s="70">
        <v>6208.89</v>
      </c>
      <c r="G3866" s="320"/>
      <c r="H3866" s="79">
        <v>6208.89</v>
      </c>
      <c r="I3866" s="79">
        <v>0</v>
      </c>
      <c r="J3866" s="79">
        <v>6208.89</v>
      </c>
      <c r="K3866" s="79">
        <v>0</v>
      </c>
      <c r="L3866" s="70">
        <v>6208.89</v>
      </c>
      <c r="M3866" s="132"/>
      <c r="N3866" s="79">
        <v>6208.89</v>
      </c>
      <c r="O3866" s="79"/>
      <c r="P3866" s="79">
        <v>6208.89</v>
      </c>
      <c r="Q3866" s="136"/>
      <c r="R3866" s="79">
        <v>6208.89</v>
      </c>
      <c r="S3866" s="79"/>
      <c r="T3866" s="79">
        <v>6208.89</v>
      </c>
      <c r="U3866" s="79">
        <v>0</v>
      </c>
      <c r="V3866" s="189">
        <v>6208.89</v>
      </c>
      <c r="W3866" s="61"/>
      <c r="X3866" s="79">
        <v>6208.89</v>
      </c>
      <c r="Y3866" s="79"/>
      <c r="Z3866" s="79">
        <v>6208.89</v>
      </c>
      <c r="AA3866" s="255">
        <v>0</v>
      </c>
      <c r="AB3866" s="61"/>
      <c r="AC3866" s="254"/>
    </row>
    <row r="3867" spans="1:31" s="69" customFormat="1" ht="12">
      <c r="A3867" s="67" t="s">
        <v>18014</v>
      </c>
      <c r="B3867" s="65" t="s">
        <v>18015</v>
      </c>
      <c r="C3867" s="71" t="s">
        <v>396</v>
      </c>
      <c r="D3867" s="78">
        <v>1</v>
      </c>
      <c r="E3867" s="79">
        <v>1912.08</v>
      </c>
      <c r="F3867" s="70">
        <v>1912.08</v>
      </c>
      <c r="G3867" s="320"/>
      <c r="H3867" s="79">
        <v>1772.49</v>
      </c>
      <c r="I3867" s="79">
        <v>139.59</v>
      </c>
      <c r="J3867" s="79">
        <v>1912.08</v>
      </c>
      <c r="K3867" s="79">
        <v>0</v>
      </c>
      <c r="L3867" s="70">
        <v>1912.08</v>
      </c>
      <c r="M3867" s="132"/>
      <c r="N3867" s="79">
        <v>1772.49</v>
      </c>
      <c r="O3867" s="79">
        <v>139.59</v>
      </c>
      <c r="P3867" s="79">
        <v>1912.08</v>
      </c>
      <c r="Q3867" s="136"/>
      <c r="R3867" s="79">
        <v>1772.49</v>
      </c>
      <c r="S3867" s="79">
        <v>139.58000000000001</v>
      </c>
      <c r="T3867" s="79">
        <v>1912.07</v>
      </c>
      <c r="U3867" s="79">
        <v>0</v>
      </c>
      <c r="V3867" s="189">
        <v>1912.07</v>
      </c>
      <c r="W3867" s="61"/>
      <c r="X3867" s="79">
        <v>1772.49</v>
      </c>
      <c r="Y3867" s="79">
        <v>139.58000000000001</v>
      </c>
      <c r="Z3867" s="79">
        <v>1912.07</v>
      </c>
      <c r="AA3867" s="255">
        <v>9.9999999999909051E-3</v>
      </c>
      <c r="AB3867" s="61"/>
      <c r="AC3867" s="254"/>
    </row>
    <row r="3868" spans="1:31" s="69" customFormat="1" ht="12">
      <c r="A3868" s="67" t="s">
        <v>18016</v>
      </c>
      <c r="B3868" s="65" t="s">
        <v>18017</v>
      </c>
      <c r="C3868" s="71" t="s">
        <v>103</v>
      </c>
      <c r="D3868" s="78">
        <v>1</v>
      </c>
      <c r="E3868" s="79">
        <v>2763.29</v>
      </c>
      <c r="F3868" s="70">
        <v>2763.29</v>
      </c>
      <c r="G3868" s="320"/>
      <c r="H3868" s="79">
        <v>2746.54</v>
      </c>
      <c r="I3868" s="79">
        <v>16.75</v>
      </c>
      <c r="J3868" s="79">
        <v>2763.29</v>
      </c>
      <c r="K3868" s="79">
        <v>0</v>
      </c>
      <c r="L3868" s="70">
        <v>2763.29</v>
      </c>
      <c r="M3868" s="132"/>
      <c r="N3868" s="79">
        <v>2746.54</v>
      </c>
      <c r="O3868" s="79">
        <v>16.75</v>
      </c>
      <c r="P3868" s="79">
        <v>2763.29</v>
      </c>
      <c r="Q3868" s="136"/>
      <c r="R3868" s="79">
        <v>2746.54</v>
      </c>
      <c r="S3868" s="79">
        <v>16.75</v>
      </c>
      <c r="T3868" s="79">
        <v>2763.29</v>
      </c>
      <c r="U3868" s="79">
        <v>0</v>
      </c>
      <c r="V3868" s="189">
        <v>2763.29</v>
      </c>
      <c r="W3868" s="61"/>
      <c r="X3868" s="79">
        <v>2746.54</v>
      </c>
      <c r="Y3868" s="79">
        <v>16.75</v>
      </c>
      <c r="Z3868" s="79">
        <v>2763.29</v>
      </c>
      <c r="AA3868" s="255">
        <v>0</v>
      </c>
      <c r="AB3868" s="61"/>
      <c r="AC3868" s="254"/>
      <c r="AD3868" s="236"/>
      <c r="AE3868" s="236"/>
    </row>
    <row r="3869" spans="1:31" s="69" customFormat="1" ht="24">
      <c r="A3869" s="67" t="s">
        <v>18018</v>
      </c>
      <c r="B3869" s="65" t="s">
        <v>18019</v>
      </c>
      <c r="C3869" s="71" t="s">
        <v>396</v>
      </c>
      <c r="D3869" s="78">
        <v>1</v>
      </c>
      <c r="E3869" s="79">
        <v>3031.56</v>
      </c>
      <c r="F3869" s="70">
        <v>3031.56</v>
      </c>
      <c r="G3869" s="320"/>
      <c r="H3869" s="79">
        <v>2271.33</v>
      </c>
      <c r="I3869" s="79">
        <v>760.23</v>
      </c>
      <c r="J3869" s="79">
        <v>3031.56</v>
      </c>
      <c r="K3869" s="79">
        <v>0</v>
      </c>
      <c r="L3869" s="70">
        <v>3031.56</v>
      </c>
      <c r="M3869" s="132"/>
      <c r="N3869" s="79">
        <v>2271.33</v>
      </c>
      <c r="O3869" s="79">
        <v>760.23</v>
      </c>
      <c r="P3869" s="79">
        <v>3031.56</v>
      </c>
      <c r="Q3869" s="136"/>
      <c r="R3869" s="79">
        <v>2271.33</v>
      </c>
      <c r="S3869" s="79">
        <v>760.28</v>
      </c>
      <c r="T3869" s="79"/>
      <c r="U3869" s="79">
        <v>0</v>
      </c>
      <c r="V3869" s="189"/>
      <c r="W3869" s="61"/>
      <c r="X3869" s="79">
        <v>2271.33</v>
      </c>
      <c r="Y3869" s="79">
        <v>760.28</v>
      </c>
      <c r="Z3869" s="79">
        <v>3031.61</v>
      </c>
      <c r="AA3869" s="255">
        <v>-5.0000000000181899E-2</v>
      </c>
      <c r="AB3869" s="61"/>
      <c r="AC3869" s="254"/>
      <c r="AD3869" s="236"/>
      <c r="AE3869" s="236"/>
    </row>
    <row r="3870" spans="1:31" ht="12">
      <c r="A3870" s="489" t="s">
        <v>18020</v>
      </c>
      <c r="B3870" s="490" t="s">
        <v>18021</v>
      </c>
      <c r="C3870" s="491"/>
      <c r="D3870" s="78"/>
      <c r="E3870" s="79"/>
      <c r="F3870" s="70"/>
      <c r="G3870" s="320"/>
      <c r="H3870" s="79"/>
      <c r="I3870" s="79"/>
      <c r="J3870" s="79"/>
      <c r="K3870" s="79"/>
      <c r="L3870" s="70"/>
      <c r="M3870" s="132"/>
      <c r="N3870" s="79"/>
      <c r="O3870" s="79"/>
      <c r="P3870" s="79"/>
      <c r="Q3870" s="136"/>
      <c r="R3870" s="79"/>
      <c r="S3870" s="79"/>
      <c r="T3870" s="79"/>
      <c r="U3870" s="79"/>
      <c r="V3870" s="189"/>
      <c r="X3870" s="79"/>
      <c r="Y3870" s="79"/>
      <c r="Z3870" s="79"/>
      <c r="AA3870" s="255"/>
      <c r="AC3870" s="254"/>
    </row>
    <row r="3871" spans="1:31" ht="24">
      <c r="A3871" s="67" t="s">
        <v>18022</v>
      </c>
      <c r="B3871" s="65" t="s">
        <v>18023</v>
      </c>
      <c r="C3871" s="71" t="s">
        <v>103</v>
      </c>
      <c r="D3871" s="78">
        <v>1</v>
      </c>
      <c r="E3871" s="79">
        <v>5092.7199999999993</v>
      </c>
      <c r="F3871" s="70">
        <v>5092.72</v>
      </c>
      <c r="G3871" s="320"/>
      <c r="H3871" s="79">
        <v>3858.45</v>
      </c>
      <c r="I3871" s="79">
        <v>1234.27</v>
      </c>
      <c r="J3871" s="79">
        <v>5092.7199999999993</v>
      </c>
      <c r="K3871" s="79">
        <v>0</v>
      </c>
      <c r="L3871" s="70">
        <v>5092.7199999999993</v>
      </c>
      <c r="M3871" s="132"/>
      <c r="N3871" s="79">
        <v>3858.45</v>
      </c>
      <c r="O3871" s="79">
        <v>1234.27</v>
      </c>
      <c r="P3871" s="79">
        <v>5092.7199999999993</v>
      </c>
      <c r="Q3871" s="136"/>
      <c r="R3871" s="79">
        <v>3858.45</v>
      </c>
      <c r="S3871" s="79">
        <v>1234.24</v>
      </c>
      <c r="T3871" s="79">
        <v>5092.6899999999996</v>
      </c>
      <c r="U3871" s="79">
        <v>0</v>
      </c>
      <c r="V3871" s="189">
        <v>5092.6899999999996</v>
      </c>
      <c r="X3871" s="79">
        <v>3858.45</v>
      </c>
      <c r="Y3871" s="79">
        <v>1234.24</v>
      </c>
      <c r="Z3871" s="79">
        <v>5092.6899999999996</v>
      </c>
      <c r="AA3871" s="255">
        <v>3.0000000000654836E-2</v>
      </c>
      <c r="AC3871" s="254"/>
      <c r="AD3871" s="61"/>
      <c r="AE3871" s="61"/>
    </row>
    <row r="3872" spans="1:31" ht="12">
      <c r="A3872" s="67" t="s">
        <v>18024</v>
      </c>
      <c r="B3872" s="65" t="s">
        <v>4604</v>
      </c>
      <c r="C3872" s="71" t="s">
        <v>103</v>
      </c>
      <c r="D3872" s="78">
        <v>1</v>
      </c>
      <c r="E3872" s="79">
        <v>1307.3699999999999</v>
      </c>
      <c r="F3872" s="70">
        <v>1307.3699999999999</v>
      </c>
      <c r="G3872" s="320"/>
      <c r="H3872" s="79">
        <v>921.66</v>
      </c>
      <c r="I3872" s="79">
        <v>385.71000000000004</v>
      </c>
      <c r="J3872" s="79">
        <v>1307.3699999999999</v>
      </c>
      <c r="K3872" s="79">
        <v>0</v>
      </c>
      <c r="L3872" s="70">
        <v>1307.3699999999999</v>
      </c>
      <c r="M3872" s="132"/>
      <c r="N3872" s="79">
        <v>921.66</v>
      </c>
      <c r="O3872" s="79">
        <v>385.71000000000004</v>
      </c>
      <c r="P3872" s="79">
        <v>1307.3699999999999</v>
      </c>
      <c r="Q3872" s="136"/>
      <c r="R3872" s="79">
        <v>921.66</v>
      </c>
      <c r="S3872" s="79">
        <v>385.7</v>
      </c>
      <c r="T3872" s="79">
        <v>1307.3599999999999</v>
      </c>
      <c r="U3872" s="79">
        <v>0</v>
      </c>
      <c r="V3872" s="189">
        <v>1307.3599999999999</v>
      </c>
      <c r="X3872" s="79">
        <v>921.66</v>
      </c>
      <c r="Y3872" s="79">
        <v>385.7</v>
      </c>
      <c r="Z3872" s="79">
        <v>1307.3599999999999</v>
      </c>
      <c r="AA3872" s="255">
        <v>9.9999999999909051E-3</v>
      </c>
      <c r="AC3872" s="254"/>
    </row>
    <row r="3873" spans="1:31" s="61" customFormat="1" ht="12">
      <c r="A3873" s="67" t="s">
        <v>18025</v>
      </c>
      <c r="B3873" s="65" t="s">
        <v>18026</v>
      </c>
      <c r="C3873" s="71" t="s">
        <v>103</v>
      </c>
      <c r="D3873" s="78">
        <v>1</v>
      </c>
      <c r="E3873" s="79">
        <v>1866.19</v>
      </c>
      <c r="F3873" s="70">
        <v>1866.19</v>
      </c>
      <c r="G3873" s="320"/>
      <c r="H3873" s="79">
        <v>1480.48</v>
      </c>
      <c r="I3873" s="79">
        <v>385.71000000000004</v>
      </c>
      <c r="J3873" s="79">
        <v>1866.19</v>
      </c>
      <c r="K3873" s="79">
        <v>0</v>
      </c>
      <c r="L3873" s="70">
        <v>1866.19</v>
      </c>
      <c r="M3873" s="132"/>
      <c r="N3873" s="79">
        <v>1480.48</v>
      </c>
      <c r="O3873" s="79">
        <v>385.71000000000004</v>
      </c>
      <c r="P3873" s="79">
        <v>1866.19</v>
      </c>
      <c r="Q3873" s="136"/>
      <c r="R3873" s="79">
        <v>1480.48</v>
      </c>
      <c r="S3873" s="79">
        <v>385.7</v>
      </c>
      <c r="T3873" s="79">
        <v>1866.18</v>
      </c>
      <c r="U3873" s="79">
        <v>0</v>
      </c>
      <c r="V3873" s="189">
        <v>1866.18</v>
      </c>
      <c r="X3873" s="79">
        <v>1480.48</v>
      </c>
      <c r="Y3873" s="79">
        <v>385.7</v>
      </c>
      <c r="Z3873" s="79">
        <v>1866.18</v>
      </c>
      <c r="AA3873" s="255">
        <v>9.9999999999909051E-3</v>
      </c>
      <c r="AC3873" s="254"/>
      <c r="AD3873" s="236"/>
      <c r="AE3873" s="236"/>
    </row>
    <row r="3874" spans="1:31" ht="12">
      <c r="A3874" s="67" t="s">
        <v>18027</v>
      </c>
      <c r="B3874" s="65" t="s">
        <v>4756</v>
      </c>
      <c r="C3874" s="71" t="s">
        <v>103</v>
      </c>
      <c r="D3874" s="78">
        <v>1</v>
      </c>
      <c r="E3874" s="79">
        <v>2233.77</v>
      </c>
      <c r="F3874" s="70">
        <v>2233.77</v>
      </c>
      <c r="G3874" s="320"/>
      <c r="H3874" s="79">
        <v>1848.06</v>
      </c>
      <c r="I3874" s="79">
        <v>385.71000000000004</v>
      </c>
      <c r="J3874" s="79">
        <v>2233.77</v>
      </c>
      <c r="K3874" s="79">
        <v>0</v>
      </c>
      <c r="L3874" s="70">
        <v>2233.77</v>
      </c>
      <c r="M3874" s="132"/>
      <c r="N3874" s="79">
        <v>1848.06</v>
      </c>
      <c r="O3874" s="79">
        <v>385.71000000000004</v>
      </c>
      <c r="P3874" s="79">
        <v>2233.77</v>
      </c>
      <c r="Q3874" s="136"/>
      <c r="R3874" s="79">
        <v>1848.06</v>
      </c>
      <c r="S3874" s="79">
        <v>385.7</v>
      </c>
      <c r="T3874" s="79">
        <v>2233.7599999999998</v>
      </c>
      <c r="U3874" s="79">
        <v>0</v>
      </c>
      <c r="V3874" s="189">
        <v>2233.7599999999998</v>
      </c>
      <c r="X3874" s="79">
        <v>1848.06</v>
      </c>
      <c r="Y3874" s="79">
        <v>385.7</v>
      </c>
      <c r="Z3874" s="79">
        <v>2233.7600000000002</v>
      </c>
      <c r="AA3874" s="255">
        <v>9.9999999997635314E-3</v>
      </c>
      <c r="AC3874" s="254"/>
    </row>
    <row r="3875" spans="1:31" ht="12">
      <c r="A3875" s="67" t="s">
        <v>18028</v>
      </c>
      <c r="B3875" s="65" t="s">
        <v>4599</v>
      </c>
      <c r="C3875" s="71" t="s">
        <v>103</v>
      </c>
      <c r="D3875" s="78">
        <v>1</v>
      </c>
      <c r="E3875" s="79">
        <v>3724.4100000000003</v>
      </c>
      <c r="F3875" s="70">
        <v>3724.41</v>
      </c>
      <c r="G3875" s="320"/>
      <c r="H3875" s="79">
        <v>2952.9900000000002</v>
      </c>
      <c r="I3875" s="79">
        <v>771.42000000000007</v>
      </c>
      <c r="J3875" s="79">
        <v>3724.4100000000003</v>
      </c>
      <c r="K3875" s="79">
        <v>0</v>
      </c>
      <c r="L3875" s="70">
        <v>3724.4100000000003</v>
      </c>
      <c r="M3875" s="132"/>
      <c r="N3875" s="79">
        <v>2952.9900000000002</v>
      </c>
      <c r="O3875" s="79">
        <v>771.42000000000007</v>
      </c>
      <c r="P3875" s="79">
        <v>3724.4100000000003</v>
      </c>
      <c r="Q3875" s="136"/>
      <c r="R3875" s="79">
        <v>2952.99</v>
      </c>
      <c r="S3875" s="79">
        <v>771.4</v>
      </c>
      <c r="T3875" s="79">
        <v>3724.39</v>
      </c>
      <c r="U3875" s="79">
        <v>0</v>
      </c>
      <c r="V3875" s="189">
        <v>3724.39</v>
      </c>
      <c r="X3875" s="79">
        <v>2952.99</v>
      </c>
      <c r="Y3875" s="79">
        <v>771.4</v>
      </c>
      <c r="Z3875" s="79">
        <v>3724.39</v>
      </c>
      <c r="AA3875" s="255">
        <v>1.999999999998181E-2</v>
      </c>
      <c r="AC3875" s="254"/>
    </row>
    <row r="3876" spans="1:31" ht="12">
      <c r="A3876" s="67" t="s">
        <v>18029</v>
      </c>
      <c r="B3876" s="65" t="s">
        <v>18030</v>
      </c>
      <c r="C3876" s="71" t="s">
        <v>103</v>
      </c>
      <c r="D3876" s="78">
        <v>1</v>
      </c>
      <c r="E3876" s="79">
        <v>675.56999999999994</v>
      </c>
      <c r="F3876" s="70">
        <v>675.57</v>
      </c>
      <c r="G3876" s="320"/>
      <c r="H3876" s="79">
        <v>663.27</v>
      </c>
      <c r="I3876" s="79">
        <v>12.3</v>
      </c>
      <c r="J3876" s="79">
        <v>675.56999999999994</v>
      </c>
      <c r="K3876" s="79">
        <v>0</v>
      </c>
      <c r="L3876" s="70">
        <v>675.56999999999994</v>
      </c>
      <c r="M3876" s="132"/>
      <c r="N3876" s="79">
        <v>663.27</v>
      </c>
      <c r="O3876" s="79">
        <v>12.3</v>
      </c>
      <c r="P3876" s="79">
        <v>675.56999999999994</v>
      </c>
      <c r="Q3876" s="136"/>
      <c r="R3876" s="79">
        <v>663.27</v>
      </c>
      <c r="S3876" s="79">
        <v>12.3</v>
      </c>
      <c r="T3876" s="79">
        <v>675.56999999999994</v>
      </c>
      <c r="U3876" s="79">
        <v>0</v>
      </c>
      <c r="V3876" s="189">
        <v>675.56999999999994</v>
      </c>
      <c r="X3876" s="79">
        <v>663.27</v>
      </c>
      <c r="Y3876" s="79">
        <v>12.3</v>
      </c>
      <c r="Z3876" s="79">
        <v>675.57</v>
      </c>
      <c r="AA3876" s="255">
        <v>0</v>
      </c>
      <c r="AC3876" s="254"/>
    </row>
    <row r="3877" spans="1:31" ht="12">
      <c r="A3877" s="65" t="s">
        <v>18031</v>
      </c>
      <c r="B3877" s="65" t="s">
        <v>18032</v>
      </c>
      <c r="C3877" s="108" t="s">
        <v>103</v>
      </c>
      <c r="D3877" s="78">
        <v>1</v>
      </c>
      <c r="E3877" s="79">
        <v>1315.25</v>
      </c>
      <c r="F3877" s="70">
        <v>1315.25</v>
      </c>
      <c r="G3877" s="320"/>
      <c r="H3877" s="79">
        <v>1091.95</v>
      </c>
      <c r="I3877" s="79">
        <v>223.3</v>
      </c>
      <c r="J3877" s="79">
        <v>1315.25</v>
      </c>
      <c r="K3877" s="79">
        <v>0</v>
      </c>
      <c r="L3877" s="70">
        <v>1315.25</v>
      </c>
      <c r="M3877" s="132"/>
      <c r="N3877" s="79">
        <v>1091.95</v>
      </c>
      <c r="O3877" s="79">
        <v>223.3</v>
      </c>
      <c r="P3877" s="79">
        <v>1315.25</v>
      </c>
      <c r="Q3877" s="136"/>
      <c r="R3877" s="79">
        <v>1091.95</v>
      </c>
      <c r="S3877" s="79">
        <v>223.32</v>
      </c>
      <c r="T3877" s="79">
        <v>1315.27</v>
      </c>
      <c r="U3877" s="79">
        <v>0</v>
      </c>
      <c r="V3877" s="189">
        <v>1315.27</v>
      </c>
      <c r="X3877" s="79">
        <v>1091.95</v>
      </c>
      <c r="Y3877" s="79">
        <v>223.32</v>
      </c>
      <c r="Z3877" s="79">
        <v>1315.27</v>
      </c>
      <c r="AA3877" s="255">
        <v>-1.999999999998181E-2</v>
      </c>
      <c r="AC3877" s="254"/>
    </row>
    <row r="3878" spans="1:31" ht="12">
      <c r="A3878" s="67" t="s">
        <v>18033</v>
      </c>
      <c r="B3878" s="65" t="s">
        <v>18034</v>
      </c>
      <c r="C3878" s="71" t="s">
        <v>103</v>
      </c>
      <c r="D3878" s="78">
        <v>1</v>
      </c>
      <c r="E3878" s="79">
        <v>282.44</v>
      </c>
      <c r="F3878" s="70">
        <v>282.44</v>
      </c>
      <c r="G3878" s="320"/>
      <c r="H3878" s="79">
        <v>226.61</v>
      </c>
      <c r="I3878" s="79">
        <v>55.83</v>
      </c>
      <c r="J3878" s="79">
        <v>282.44</v>
      </c>
      <c r="K3878" s="79">
        <v>0</v>
      </c>
      <c r="L3878" s="70">
        <v>282.44</v>
      </c>
      <c r="M3878" s="132"/>
      <c r="N3878" s="79">
        <v>226.61</v>
      </c>
      <c r="O3878" s="79">
        <v>55.83</v>
      </c>
      <c r="P3878" s="79">
        <v>282.44</v>
      </c>
      <c r="Q3878" s="136"/>
      <c r="R3878" s="79">
        <v>226.61</v>
      </c>
      <c r="S3878" s="79">
        <v>55.83</v>
      </c>
      <c r="T3878" s="79">
        <v>282.44</v>
      </c>
      <c r="U3878" s="79">
        <v>0</v>
      </c>
      <c r="V3878" s="189">
        <v>282.44</v>
      </c>
      <c r="X3878" s="79">
        <v>226.61</v>
      </c>
      <c r="Y3878" s="79">
        <v>55.83</v>
      </c>
      <c r="Z3878" s="79">
        <v>282.44</v>
      </c>
      <c r="AA3878" s="255">
        <v>0</v>
      </c>
      <c r="AC3878" s="254"/>
      <c r="AD3878" s="61"/>
      <c r="AE3878" s="61"/>
    </row>
    <row r="3879" spans="1:31" ht="12">
      <c r="A3879" s="67" t="s">
        <v>18035</v>
      </c>
      <c r="B3879" s="65" t="s">
        <v>18036</v>
      </c>
      <c r="C3879" s="71" t="s">
        <v>103</v>
      </c>
      <c r="D3879" s="78">
        <v>1</v>
      </c>
      <c r="E3879" s="79">
        <v>551.32000000000005</v>
      </c>
      <c r="F3879" s="70">
        <v>551.32000000000005</v>
      </c>
      <c r="G3879" s="320"/>
      <c r="H3879" s="79">
        <v>534.57000000000005</v>
      </c>
      <c r="I3879" s="79">
        <v>16.75</v>
      </c>
      <c r="J3879" s="79">
        <v>551.32000000000005</v>
      </c>
      <c r="K3879" s="79">
        <v>0</v>
      </c>
      <c r="L3879" s="70">
        <v>551.32000000000005</v>
      </c>
      <c r="M3879" s="132"/>
      <c r="N3879" s="79">
        <v>534.57000000000005</v>
      </c>
      <c r="O3879" s="79">
        <v>16.75</v>
      </c>
      <c r="P3879" s="79">
        <v>551.32000000000005</v>
      </c>
      <c r="Q3879" s="136"/>
      <c r="R3879" s="79">
        <v>534.57000000000005</v>
      </c>
      <c r="S3879" s="79">
        <v>16.75</v>
      </c>
      <c r="T3879" s="79">
        <v>551.32000000000005</v>
      </c>
      <c r="U3879" s="79">
        <v>0</v>
      </c>
      <c r="V3879" s="189">
        <v>551.32000000000005</v>
      </c>
      <c r="X3879" s="79">
        <v>534.57000000000005</v>
      </c>
      <c r="Y3879" s="79">
        <v>16.75</v>
      </c>
      <c r="Z3879" s="79">
        <v>551.32000000000005</v>
      </c>
      <c r="AA3879" s="255">
        <v>0</v>
      </c>
      <c r="AC3879" s="254"/>
      <c r="AD3879" s="61"/>
      <c r="AE3879" s="61"/>
    </row>
    <row r="3880" spans="1:31" s="61" customFormat="1" ht="12">
      <c r="A3880" s="67" t="s">
        <v>18037</v>
      </c>
      <c r="B3880" s="65" t="s">
        <v>18038</v>
      </c>
      <c r="C3880" s="71" t="s">
        <v>103</v>
      </c>
      <c r="D3880" s="78">
        <v>1</v>
      </c>
      <c r="E3880" s="79">
        <v>1366.06</v>
      </c>
      <c r="F3880" s="70">
        <v>1366.06</v>
      </c>
      <c r="G3880" s="320"/>
      <c r="H3880" s="79">
        <v>1139.52</v>
      </c>
      <c r="I3880" s="79">
        <v>226.54</v>
      </c>
      <c r="J3880" s="79">
        <v>1366.06</v>
      </c>
      <c r="K3880" s="79">
        <v>0</v>
      </c>
      <c r="L3880" s="70">
        <v>1366.06</v>
      </c>
      <c r="M3880" s="132"/>
      <c r="N3880" s="79">
        <v>1139.52</v>
      </c>
      <c r="O3880" s="79">
        <v>226.54</v>
      </c>
      <c r="P3880" s="79">
        <v>1366.06</v>
      </c>
      <c r="Q3880" s="136"/>
      <c r="R3880" s="79">
        <v>1139.52</v>
      </c>
      <c r="S3880" s="79">
        <v>226.54</v>
      </c>
      <c r="T3880" s="79"/>
      <c r="U3880" s="79">
        <v>0</v>
      </c>
      <c r="V3880" s="189"/>
      <c r="X3880" s="79">
        <v>1139.52</v>
      </c>
      <c r="Y3880" s="79">
        <v>226.54</v>
      </c>
      <c r="Z3880" s="79">
        <v>1366.06</v>
      </c>
      <c r="AA3880" s="255">
        <v>0</v>
      </c>
      <c r="AC3880" s="254"/>
      <c r="AD3880" s="236"/>
      <c r="AE3880" s="236"/>
    </row>
    <row r="3881" spans="1:31" s="61" customFormat="1" ht="12">
      <c r="A3881" s="67" t="s">
        <v>18039</v>
      </c>
      <c r="B3881" s="65" t="s">
        <v>18040</v>
      </c>
      <c r="C3881" s="71" t="s">
        <v>103</v>
      </c>
      <c r="D3881" s="78">
        <v>1</v>
      </c>
      <c r="E3881" s="79">
        <v>4532.1099999999997</v>
      </c>
      <c r="F3881" s="70">
        <v>4532.1099999999997</v>
      </c>
      <c r="G3881" s="320"/>
      <c r="H3881" s="79">
        <v>4305.57</v>
      </c>
      <c r="I3881" s="79">
        <v>226.54</v>
      </c>
      <c r="J3881" s="79">
        <v>4532.1099999999997</v>
      </c>
      <c r="K3881" s="79">
        <v>0</v>
      </c>
      <c r="L3881" s="70">
        <v>4532.1099999999997</v>
      </c>
      <c r="M3881" s="132"/>
      <c r="N3881" s="79">
        <v>4305.57</v>
      </c>
      <c r="O3881" s="79">
        <v>226.54</v>
      </c>
      <c r="P3881" s="79">
        <v>4532.1099999999997</v>
      </c>
      <c r="Q3881" s="136"/>
      <c r="R3881" s="79">
        <v>4305.57</v>
      </c>
      <c r="S3881" s="79">
        <v>226.54</v>
      </c>
      <c r="T3881" s="79"/>
      <c r="U3881" s="79">
        <v>0</v>
      </c>
      <c r="V3881" s="189"/>
      <c r="X3881" s="79">
        <v>4305.57</v>
      </c>
      <c r="Y3881" s="79">
        <v>226.54</v>
      </c>
      <c r="Z3881" s="79">
        <v>4532.1099999999997</v>
      </c>
      <c r="AA3881" s="255">
        <v>0</v>
      </c>
      <c r="AC3881" s="254"/>
      <c r="AD3881" s="236"/>
      <c r="AE3881" s="236"/>
    </row>
    <row r="3882" spans="1:31" ht="12">
      <c r="A3882" s="67" t="s">
        <v>18041</v>
      </c>
      <c r="B3882" s="65" t="s">
        <v>18042</v>
      </c>
      <c r="C3882" s="71" t="s">
        <v>103</v>
      </c>
      <c r="D3882" s="78">
        <v>1</v>
      </c>
      <c r="E3882" s="79">
        <v>12542.09</v>
      </c>
      <c r="F3882" s="70">
        <v>12542.09</v>
      </c>
      <c r="G3882" s="320"/>
      <c r="H3882" s="79">
        <v>12315.55</v>
      </c>
      <c r="I3882" s="79">
        <v>226.54</v>
      </c>
      <c r="J3882" s="79">
        <v>12542.09</v>
      </c>
      <c r="K3882" s="79">
        <v>0</v>
      </c>
      <c r="L3882" s="70">
        <v>12542.09</v>
      </c>
      <c r="M3882" s="132"/>
      <c r="N3882" s="79">
        <v>12315.55</v>
      </c>
      <c r="O3882" s="79">
        <v>226.54</v>
      </c>
      <c r="P3882" s="79">
        <v>12542.09</v>
      </c>
      <c r="Q3882" s="136"/>
      <c r="R3882" s="79">
        <v>12315.55</v>
      </c>
      <c r="S3882" s="79">
        <v>226.54</v>
      </c>
      <c r="T3882" s="79">
        <v>12542.09</v>
      </c>
      <c r="U3882" s="79">
        <v>0</v>
      </c>
      <c r="V3882" s="189">
        <v>12542.09</v>
      </c>
      <c r="X3882" s="79">
        <v>12315.55</v>
      </c>
      <c r="Y3882" s="79">
        <v>226.54</v>
      </c>
      <c r="Z3882" s="79">
        <v>12542.09</v>
      </c>
      <c r="AA3882" s="255">
        <v>0</v>
      </c>
      <c r="AC3882" s="254"/>
    </row>
    <row r="3883" spans="1:31" ht="12">
      <c r="A3883" s="67" t="s">
        <v>18043</v>
      </c>
      <c r="B3883" s="65" t="s">
        <v>4629</v>
      </c>
      <c r="C3883" s="71" t="s">
        <v>103</v>
      </c>
      <c r="D3883" s="78">
        <v>1</v>
      </c>
      <c r="E3883" s="79">
        <v>1103.04</v>
      </c>
      <c r="F3883" s="70">
        <v>1103.04</v>
      </c>
      <c r="G3883" s="320"/>
      <c r="H3883" s="79">
        <v>1098.93</v>
      </c>
      <c r="I3883" s="79">
        <v>4.1100000000000003</v>
      </c>
      <c r="J3883" s="79">
        <v>1103.04</v>
      </c>
      <c r="K3883" s="79">
        <v>0</v>
      </c>
      <c r="L3883" s="70">
        <v>1103.04</v>
      </c>
      <c r="M3883" s="132"/>
      <c r="N3883" s="79">
        <v>1098.93</v>
      </c>
      <c r="O3883" s="79">
        <v>4.1100000000000003</v>
      </c>
      <c r="P3883" s="79">
        <v>1103.04</v>
      </c>
      <c r="Q3883" s="136"/>
      <c r="R3883" s="79">
        <v>1098.93</v>
      </c>
      <c r="S3883" s="79">
        <v>4.0999999999999996</v>
      </c>
      <c r="T3883" s="79">
        <v>1103.03</v>
      </c>
      <c r="U3883" s="79">
        <v>0</v>
      </c>
      <c r="V3883" s="189">
        <v>1103.03</v>
      </c>
      <c r="X3883" s="79">
        <v>1098.93</v>
      </c>
      <c r="Y3883" s="79">
        <v>4.0999999999999996</v>
      </c>
      <c r="Z3883" s="79">
        <v>1103.03</v>
      </c>
      <c r="AA3883" s="255">
        <v>9.9999999999909051E-3</v>
      </c>
      <c r="AC3883" s="254"/>
    </row>
    <row r="3884" spans="1:31" ht="12">
      <c r="A3884" s="67" t="s">
        <v>18044</v>
      </c>
      <c r="B3884" s="65" t="s">
        <v>18045</v>
      </c>
      <c r="C3884" s="71" t="s">
        <v>396</v>
      </c>
      <c r="D3884" s="78">
        <v>1</v>
      </c>
      <c r="E3884" s="79">
        <v>12900.279999999999</v>
      </c>
      <c r="F3884" s="70">
        <v>12900.28</v>
      </c>
      <c r="G3884" s="320"/>
      <c r="H3884" s="79">
        <v>12607.32</v>
      </c>
      <c r="I3884" s="79">
        <v>292.96000000000004</v>
      </c>
      <c r="J3884" s="79">
        <v>12900.279999999999</v>
      </c>
      <c r="K3884" s="79">
        <v>0</v>
      </c>
      <c r="L3884" s="70">
        <v>12900.279999999999</v>
      </c>
      <c r="M3884" s="132"/>
      <c r="N3884" s="79">
        <v>12607.32</v>
      </c>
      <c r="O3884" s="79">
        <v>292.96000000000004</v>
      </c>
      <c r="P3884" s="79">
        <v>12900.279999999999</v>
      </c>
      <c r="Q3884" s="136"/>
      <c r="R3884" s="79">
        <v>12607.32</v>
      </c>
      <c r="S3884" s="79">
        <v>292.94</v>
      </c>
      <c r="T3884" s="79">
        <v>12900.26</v>
      </c>
      <c r="U3884" s="79">
        <v>0</v>
      </c>
      <c r="V3884" s="189">
        <v>12900.26</v>
      </c>
      <c r="X3884" s="79">
        <v>12607.32</v>
      </c>
      <c r="Y3884" s="79">
        <v>292.94</v>
      </c>
      <c r="Z3884" s="79">
        <v>12900.26</v>
      </c>
      <c r="AA3884" s="255">
        <v>2.0000000000436557E-2</v>
      </c>
      <c r="AC3884" s="254"/>
      <c r="AD3884" s="61"/>
      <c r="AE3884" s="61"/>
    </row>
    <row r="3885" spans="1:31" ht="12">
      <c r="A3885" s="67" t="s">
        <v>18046</v>
      </c>
      <c r="B3885" s="65" t="s">
        <v>18047</v>
      </c>
      <c r="C3885" s="71" t="s">
        <v>396</v>
      </c>
      <c r="D3885" s="78">
        <v>1</v>
      </c>
      <c r="E3885" s="79">
        <v>19350.59</v>
      </c>
      <c r="F3885" s="70">
        <v>19350.59</v>
      </c>
      <c r="G3885" s="320"/>
      <c r="H3885" s="79">
        <v>19057.63</v>
      </c>
      <c r="I3885" s="79">
        <v>292.96000000000004</v>
      </c>
      <c r="J3885" s="79">
        <v>19350.59</v>
      </c>
      <c r="K3885" s="79">
        <v>0</v>
      </c>
      <c r="L3885" s="70">
        <v>19350.59</v>
      </c>
      <c r="M3885" s="132"/>
      <c r="N3885" s="79">
        <v>19057.63</v>
      </c>
      <c r="O3885" s="79">
        <v>292.96000000000004</v>
      </c>
      <c r="P3885" s="79">
        <v>19350.59</v>
      </c>
      <c r="Q3885" s="136"/>
      <c r="R3885" s="79">
        <v>19057.63</v>
      </c>
      <c r="S3885" s="79">
        <v>292.94</v>
      </c>
      <c r="T3885" s="79">
        <v>19350.57</v>
      </c>
      <c r="U3885" s="79">
        <v>0</v>
      </c>
      <c r="V3885" s="189">
        <v>19350.57</v>
      </c>
      <c r="X3885" s="79">
        <v>19057.63</v>
      </c>
      <c r="Y3885" s="79">
        <v>292.94</v>
      </c>
      <c r="Z3885" s="79">
        <v>19350.57</v>
      </c>
      <c r="AA3885" s="255">
        <v>2.0000000000436557E-2</v>
      </c>
      <c r="AC3885" s="254"/>
      <c r="AD3885" s="61"/>
      <c r="AE3885" s="61"/>
    </row>
    <row r="3886" spans="1:31" s="61" customFormat="1" ht="24">
      <c r="A3886" s="67" t="s">
        <v>18048</v>
      </c>
      <c r="B3886" s="65" t="s">
        <v>18049</v>
      </c>
      <c r="C3886" s="71" t="s">
        <v>103</v>
      </c>
      <c r="D3886" s="78">
        <v>1</v>
      </c>
      <c r="E3886" s="79">
        <v>1824.79</v>
      </c>
      <c r="F3886" s="70">
        <v>1824.79</v>
      </c>
      <c r="G3886" s="320"/>
      <c r="H3886" s="79">
        <v>1629.49</v>
      </c>
      <c r="I3886" s="79">
        <v>195.3</v>
      </c>
      <c r="J3886" s="79">
        <v>1824.79</v>
      </c>
      <c r="K3886" s="79">
        <v>0</v>
      </c>
      <c r="L3886" s="70">
        <v>1824.79</v>
      </c>
      <c r="M3886" s="132"/>
      <c r="N3886" s="79">
        <v>1629.49</v>
      </c>
      <c r="O3886" s="79">
        <v>195.3</v>
      </c>
      <c r="P3886" s="79">
        <v>1824.79</v>
      </c>
      <c r="Q3886" s="136"/>
      <c r="R3886" s="79">
        <v>1629.49</v>
      </c>
      <c r="S3886" s="79">
        <v>195.29</v>
      </c>
      <c r="T3886" s="79">
        <v>1824.78</v>
      </c>
      <c r="U3886" s="79">
        <v>0</v>
      </c>
      <c r="V3886" s="189">
        <v>1824.78</v>
      </c>
      <c r="X3886" s="79">
        <v>1629.49</v>
      </c>
      <c r="Y3886" s="79">
        <v>195.29</v>
      </c>
      <c r="Z3886" s="79">
        <v>1824.78</v>
      </c>
      <c r="AA3886" s="255">
        <v>9.9999999999909051E-3</v>
      </c>
      <c r="AC3886" s="254"/>
    </row>
    <row r="3887" spans="1:31" s="61" customFormat="1" ht="24">
      <c r="A3887" s="67" t="s">
        <v>18050</v>
      </c>
      <c r="B3887" s="65" t="s">
        <v>18051</v>
      </c>
      <c r="C3887" s="71" t="s">
        <v>103</v>
      </c>
      <c r="D3887" s="78">
        <v>1</v>
      </c>
      <c r="E3887" s="79">
        <v>2864.27</v>
      </c>
      <c r="F3887" s="70">
        <v>2864.27</v>
      </c>
      <c r="G3887" s="320"/>
      <c r="H3887" s="79">
        <v>2571.31</v>
      </c>
      <c r="I3887" s="79">
        <v>292.96000000000004</v>
      </c>
      <c r="J3887" s="79">
        <v>2864.27</v>
      </c>
      <c r="K3887" s="79">
        <v>0</v>
      </c>
      <c r="L3887" s="70">
        <v>2864.27</v>
      </c>
      <c r="M3887" s="132"/>
      <c r="N3887" s="79">
        <v>2571.31</v>
      </c>
      <c r="O3887" s="79">
        <v>292.96000000000004</v>
      </c>
      <c r="P3887" s="79">
        <v>2864.27</v>
      </c>
      <c r="Q3887" s="136"/>
      <c r="R3887" s="79">
        <v>2571.31</v>
      </c>
      <c r="S3887" s="79">
        <v>292.94</v>
      </c>
      <c r="T3887" s="79">
        <v>2864.25</v>
      </c>
      <c r="U3887" s="79">
        <v>0</v>
      </c>
      <c r="V3887" s="189">
        <v>2864.25</v>
      </c>
      <c r="X3887" s="79">
        <v>2571.31</v>
      </c>
      <c r="Y3887" s="79">
        <v>292.94</v>
      </c>
      <c r="Z3887" s="79">
        <v>2864.25</v>
      </c>
      <c r="AA3887" s="255">
        <v>1.999999999998181E-2</v>
      </c>
      <c r="AC3887" s="254"/>
      <c r="AD3887" s="236"/>
      <c r="AE3887" s="236"/>
    </row>
    <row r="3888" spans="1:31" s="61" customFormat="1" ht="24">
      <c r="A3888" s="67" t="s">
        <v>18052</v>
      </c>
      <c r="B3888" s="65" t="s">
        <v>18053</v>
      </c>
      <c r="C3888" s="71" t="s">
        <v>103</v>
      </c>
      <c r="D3888" s="78">
        <v>1</v>
      </c>
      <c r="E3888" s="79">
        <v>6208.72</v>
      </c>
      <c r="F3888" s="70">
        <v>6208.72</v>
      </c>
      <c r="G3888" s="320"/>
      <c r="H3888" s="79">
        <v>5823.01</v>
      </c>
      <c r="I3888" s="79">
        <v>385.71000000000004</v>
      </c>
      <c r="J3888" s="79">
        <v>6208.72</v>
      </c>
      <c r="K3888" s="79">
        <v>0</v>
      </c>
      <c r="L3888" s="70">
        <v>6208.72</v>
      </c>
      <c r="M3888" s="132"/>
      <c r="N3888" s="79">
        <v>5823.01</v>
      </c>
      <c r="O3888" s="79">
        <v>385.71000000000004</v>
      </c>
      <c r="P3888" s="79">
        <v>6208.72</v>
      </c>
      <c r="Q3888" s="136"/>
      <c r="R3888" s="79">
        <v>5823.01</v>
      </c>
      <c r="S3888" s="79">
        <v>385.7</v>
      </c>
      <c r="T3888" s="79"/>
      <c r="U3888" s="79">
        <v>0</v>
      </c>
      <c r="V3888" s="189"/>
      <c r="X3888" s="79">
        <v>5823.01</v>
      </c>
      <c r="Y3888" s="79">
        <v>385.7</v>
      </c>
      <c r="Z3888" s="79">
        <v>6208.71</v>
      </c>
      <c r="AA3888" s="255">
        <v>1.0000000000218279E-2</v>
      </c>
      <c r="AC3888" s="254"/>
      <c r="AD3888" s="236"/>
      <c r="AE3888" s="236"/>
    </row>
    <row r="3889" spans="1:29" ht="12">
      <c r="A3889" s="489" t="s">
        <v>18054</v>
      </c>
      <c r="B3889" s="490" t="s">
        <v>18055</v>
      </c>
      <c r="C3889" s="491"/>
      <c r="D3889" s="78"/>
      <c r="E3889" s="79"/>
      <c r="F3889" s="70"/>
      <c r="G3889" s="320"/>
      <c r="H3889" s="79"/>
      <c r="I3889" s="79"/>
      <c r="J3889" s="79"/>
      <c r="K3889" s="79"/>
      <c r="L3889" s="70"/>
      <c r="M3889" s="132"/>
      <c r="N3889" s="79"/>
      <c r="O3889" s="79"/>
      <c r="P3889" s="79"/>
      <c r="Q3889" s="136"/>
      <c r="R3889" s="79"/>
      <c r="S3889" s="79"/>
      <c r="T3889" s="79"/>
      <c r="U3889" s="79"/>
      <c r="V3889" s="189"/>
      <c r="X3889" s="79"/>
      <c r="Y3889" s="79"/>
      <c r="Z3889" s="79"/>
      <c r="AA3889" s="255"/>
      <c r="AC3889" s="254"/>
    </row>
    <row r="3890" spans="1:29" ht="12">
      <c r="A3890" s="67" t="s">
        <v>18056</v>
      </c>
      <c r="B3890" s="65" t="s">
        <v>4601</v>
      </c>
      <c r="C3890" s="71" t="s">
        <v>103</v>
      </c>
      <c r="D3890" s="78">
        <v>1</v>
      </c>
      <c r="E3890" s="79">
        <v>39.409999999999997</v>
      </c>
      <c r="F3890" s="70">
        <v>39.409999999999997</v>
      </c>
      <c r="G3890" s="320"/>
      <c r="H3890" s="79">
        <v>23.98</v>
      </c>
      <c r="I3890" s="79">
        <v>15.43</v>
      </c>
      <c r="J3890" s="79">
        <v>39.409999999999997</v>
      </c>
      <c r="K3890" s="79">
        <v>0</v>
      </c>
      <c r="L3890" s="70">
        <v>39.409999999999997</v>
      </c>
      <c r="M3890" s="132"/>
      <c r="N3890" s="79">
        <v>23.98</v>
      </c>
      <c r="O3890" s="79">
        <v>15.43</v>
      </c>
      <c r="P3890" s="79">
        <v>39.409999999999997</v>
      </c>
      <c r="Q3890" s="136"/>
      <c r="R3890" s="79">
        <v>23.98</v>
      </c>
      <c r="S3890" s="79">
        <v>15.43</v>
      </c>
      <c r="T3890" s="79">
        <v>39.409999999999997</v>
      </c>
      <c r="U3890" s="79">
        <v>0</v>
      </c>
      <c r="V3890" s="189">
        <v>39.409999999999997</v>
      </c>
      <c r="X3890" s="79">
        <v>23.98</v>
      </c>
      <c r="Y3890" s="79">
        <v>15.43</v>
      </c>
      <c r="Z3890" s="79">
        <v>39.409999999999997</v>
      </c>
      <c r="AA3890" s="255">
        <v>0</v>
      </c>
      <c r="AC3890" s="254"/>
    </row>
    <row r="3891" spans="1:29" ht="12">
      <c r="A3891" s="67" t="s">
        <v>18057</v>
      </c>
      <c r="B3891" s="65" t="s">
        <v>4612</v>
      </c>
      <c r="C3891" s="71" t="s">
        <v>103</v>
      </c>
      <c r="D3891" s="78">
        <v>1</v>
      </c>
      <c r="E3891" s="79">
        <v>55.76</v>
      </c>
      <c r="F3891" s="70">
        <v>55.76</v>
      </c>
      <c r="G3891" s="320"/>
      <c r="H3891" s="79">
        <v>40.33</v>
      </c>
      <c r="I3891" s="79">
        <v>15.43</v>
      </c>
      <c r="J3891" s="79">
        <v>55.76</v>
      </c>
      <c r="K3891" s="79">
        <v>0</v>
      </c>
      <c r="L3891" s="70">
        <v>55.76</v>
      </c>
      <c r="M3891" s="132"/>
      <c r="N3891" s="79">
        <v>40.33</v>
      </c>
      <c r="O3891" s="79">
        <v>15.43</v>
      </c>
      <c r="P3891" s="79">
        <v>55.76</v>
      </c>
      <c r="Q3891" s="136"/>
      <c r="R3891" s="79">
        <v>40.33</v>
      </c>
      <c r="S3891" s="79">
        <v>15.43</v>
      </c>
      <c r="T3891" s="79">
        <v>55.76</v>
      </c>
      <c r="U3891" s="79">
        <v>0</v>
      </c>
      <c r="V3891" s="189">
        <v>55.76</v>
      </c>
      <c r="X3891" s="79">
        <v>40.33</v>
      </c>
      <c r="Y3891" s="79">
        <v>15.43</v>
      </c>
      <c r="Z3891" s="79">
        <v>55.76</v>
      </c>
      <c r="AA3891" s="255">
        <v>0</v>
      </c>
      <c r="AC3891" s="254"/>
    </row>
    <row r="3892" spans="1:29" ht="12">
      <c r="A3892" s="67" t="s">
        <v>18058</v>
      </c>
      <c r="B3892" s="65" t="s">
        <v>18059</v>
      </c>
      <c r="C3892" s="71" t="s">
        <v>103</v>
      </c>
      <c r="D3892" s="78">
        <v>1</v>
      </c>
      <c r="E3892" s="79">
        <v>226.54</v>
      </c>
      <c r="F3892" s="70">
        <v>226.54</v>
      </c>
      <c r="G3892" s="320"/>
      <c r="H3892" s="79">
        <v>0</v>
      </c>
      <c r="I3892" s="79">
        <v>226.54</v>
      </c>
      <c r="J3892" s="79">
        <v>226.54</v>
      </c>
      <c r="K3892" s="79">
        <v>0</v>
      </c>
      <c r="L3892" s="70">
        <v>226.54</v>
      </c>
      <c r="M3892" s="132"/>
      <c r="N3892" s="79"/>
      <c r="O3892" s="79">
        <v>226.54</v>
      </c>
      <c r="P3892" s="79">
        <v>226.54</v>
      </c>
      <c r="Q3892" s="136"/>
      <c r="R3892" s="79"/>
      <c r="S3892" s="79">
        <v>226.54</v>
      </c>
      <c r="T3892" s="79">
        <v>226.54</v>
      </c>
      <c r="U3892" s="79">
        <v>0</v>
      </c>
      <c r="V3892" s="189">
        <v>226.54</v>
      </c>
      <c r="X3892" s="79"/>
      <c r="Y3892" s="79">
        <v>226.54</v>
      </c>
      <c r="Z3892" s="79">
        <v>226.54</v>
      </c>
      <c r="AA3892" s="255">
        <v>0</v>
      </c>
      <c r="AC3892" s="254"/>
    </row>
    <row r="3893" spans="1:29" ht="12">
      <c r="A3893" s="67" t="s">
        <v>18060</v>
      </c>
      <c r="B3893" s="65" t="s">
        <v>18061</v>
      </c>
      <c r="C3893" s="71" t="s">
        <v>103</v>
      </c>
      <c r="D3893" s="78">
        <v>1</v>
      </c>
      <c r="E3893" s="79">
        <v>226.54</v>
      </c>
      <c r="F3893" s="70">
        <v>226.54</v>
      </c>
      <c r="G3893" s="320"/>
      <c r="H3893" s="79">
        <v>0</v>
      </c>
      <c r="I3893" s="79">
        <v>226.54</v>
      </c>
      <c r="J3893" s="79">
        <v>226.54</v>
      </c>
      <c r="K3893" s="79">
        <v>0</v>
      </c>
      <c r="L3893" s="70">
        <v>226.54</v>
      </c>
      <c r="M3893" s="132"/>
      <c r="N3893" s="79"/>
      <c r="O3893" s="79">
        <v>226.54</v>
      </c>
      <c r="P3893" s="79">
        <v>226.54</v>
      </c>
      <c r="Q3893" s="136"/>
      <c r="R3893" s="79"/>
      <c r="S3893" s="79">
        <v>226.54</v>
      </c>
      <c r="T3893" s="79">
        <v>226.54</v>
      </c>
      <c r="U3893" s="79">
        <v>0</v>
      </c>
      <c r="V3893" s="189">
        <v>226.54</v>
      </c>
      <c r="X3893" s="79"/>
      <c r="Y3893" s="79">
        <v>226.54</v>
      </c>
      <c r="Z3893" s="79">
        <v>226.54</v>
      </c>
      <c r="AA3893" s="255">
        <v>0</v>
      </c>
      <c r="AC3893" s="254"/>
    </row>
    <row r="3894" spans="1:29" ht="24">
      <c r="A3894" s="67" t="s">
        <v>18062</v>
      </c>
      <c r="B3894" s="65" t="s">
        <v>18063</v>
      </c>
      <c r="C3894" s="71" t="s">
        <v>103</v>
      </c>
      <c r="D3894" s="78">
        <v>1</v>
      </c>
      <c r="E3894" s="79">
        <v>15137.7</v>
      </c>
      <c r="F3894" s="70">
        <v>15137.7</v>
      </c>
      <c r="G3894" s="320"/>
      <c r="H3894" s="79">
        <v>15117.18</v>
      </c>
      <c r="I3894" s="79">
        <v>20.52</v>
      </c>
      <c r="J3894" s="79">
        <v>15137.7</v>
      </c>
      <c r="K3894" s="79">
        <v>0</v>
      </c>
      <c r="L3894" s="70">
        <v>15137.7</v>
      </c>
      <c r="M3894" s="132"/>
      <c r="N3894" s="78">
        <v>15117.18</v>
      </c>
      <c r="O3894" s="78">
        <v>20.52</v>
      </c>
      <c r="P3894" s="79">
        <v>15137.7</v>
      </c>
      <c r="Q3894" s="136"/>
      <c r="R3894" s="79">
        <v>15117.18</v>
      </c>
      <c r="S3894" s="79">
        <v>20.51</v>
      </c>
      <c r="T3894" s="79">
        <v>15137.69</v>
      </c>
      <c r="U3894" s="79">
        <v>0</v>
      </c>
      <c r="V3894" s="189">
        <v>15137.69</v>
      </c>
      <c r="X3894" s="78">
        <v>15117.18</v>
      </c>
      <c r="Y3894" s="78">
        <v>20.51</v>
      </c>
      <c r="Z3894" s="79">
        <v>15137.69</v>
      </c>
      <c r="AA3894" s="255">
        <v>1.0000000000218279E-2</v>
      </c>
      <c r="AC3894" s="254"/>
    </row>
    <row r="3895" spans="1:29" ht="12">
      <c r="A3895" s="67" t="s">
        <v>18064</v>
      </c>
      <c r="B3895" s="65" t="s">
        <v>18065</v>
      </c>
      <c r="C3895" s="71" t="s">
        <v>103</v>
      </c>
      <c r="D3895" s="78">
        <v>1</v>
      </c>
      <c r="E3895" s="79">
        <v>2068.2400000000002</v>
      </c>
      <c r="F3895" s="70">
        <v>2068.2399999999998</v>
      </c>
      <c r="G3895" s="320"/>
      <c r="H3895" s="79">
        <v>2047.72</v>
      </c>
      <c r="I3895" s="79">
        <v>20.52</v>
      </c>
      <c r="J3895" s="79">
        <v>2068.2400000000002</v>
      </c>
      <c r="K3895" s="79">
        <v>0</v>
      </c>
      <c r="L3895" s="70">
        <v>2068.2400000000002</v>
      </c>
      <c r="M3895" s="132"/>
      <c r="N3895" s="78">
        <v>2047.72</v>
      </c>
      <c r="O3895" s="78">
        <v>20.52</v>
      </c>
      <c r="P3895" s="79">
        <v>2068.2400000000002</v>
      </c>
      <c r="Q3895" s="136"/>
      <c r="R3895" s="79">
        <v>2047.72</v>
      </c>
      <c r="S3895" s="79">
        <v>20.51</v>
      </c>
      <c r="T3895" s="79"/>
      <c r="U3895" s="79">
        <v>0</v>
      </c>
      <c r="V3895" s="189"/>
      <c r="X3895" s="79">
        <v>2047.72</v>
      </c>
      <c r="Y3895" s="79">
        <v>20.51</v>
      </c>
      <c r="Z3895" s="79">
        <v>2068.23</v>
      </c>
      <c r="AA3895" s="255">
        <v>9.9999999997635314E-3</v>
      </c>
      <c r="AC3895" s="254"/>
    </row>
    <row r="3896" spans="1:29" ht="24">
      <c r="A3896" s="489" t="s">
        <v>18066</v>
      </c>
      <c r="B3896" s="490" t="s">
        <v>18067</v>
      </c>
      <c r="C3896" s="491"/>
      <c r="D3896" s="492"/>
      <c r="E3896" s="79"/>
      <c r="F3896" s="63"/>
      <c r="G3896" s="320"/>
      <c r="H3896" s="79"/>
      <c r="I3896" s="79"/>
      <c r="J3896" s="79"/>
      <c r="K3896" s="79"/>
      <c r="L3896" s="70"/>
      <c r="M3896" s="132"/>
      <c r="N3896" s="79"/>
      <c r="O3896" s="79"/>
      <c r="P3896" s="79"/>
      <c r="Q3896" s="136"/>
      <c r="R3896" s="79"/>
      <c r="S3896" s="79"/>
      <c r="T3896" s="79"/>
      <c r="U3896" s="79"/>
      <c r="V3896" s="189"/>
      <c r="X3896" s="79"/>
      <c r="Y3896" s="79"/>
      <c r="Z3896" s="79"/>
      <c r="AA3896" s="255"/>
      <c r="AC3896" s="254"/>
    </row>
    <row r="3897" spans="1:29" ht="12">
      <c r="A3897" s="489" t="s">
        <v>18068</v>
      </c>
      <c r="B3897" s="490" t="s">
        <v>18069</v>
      </c>
      <c r="C3897" s="491"/>
      <c r="D3897" s="78"/>
      <c r="E3897" s="79"/>
      <c r="F3897" s="70"/>
      <c r="G3897" s="320"/>
      <c r="H3897" s="79"/>
      <c r="I3897" s="79"/>
      <c r="J3897" s="79"/>
      <c r="K3897" s="79"/>
      <c r="L3897" s="70"/>
      <c r="M3897" s="132"/>
      <c r="N3897" s="79"/>
      <c r="O3897" s="79"/>
      <c r="P3897" s="79"/>
      <c r="Q3897" s="136"/>
      <c r="R3897" s="79"/>
      <c r="S3897" s="79"/>
      <c r="T3897" s="79"/>
      <c r="U3897" s="79"/>
      <c r="V3897" s="189"/>
      <c r="X3897" s="79"/>
      <c r="Y3897" s="79"/>
      <c r="Z3897" s="79"/>
      <c r="AA3897" s="255"/>
      <c r="AC3897" s="254"/>
    </row>
    <row r="3898" spans="1:29" ht="12">
      <c r="A3898" s="67" t="s">
        <v>18070</v>
      </c>
      <c r="B3898" s="65" t="s">
        <v>18071</v>
      </c>
      <c r="C3898" s="71" t="s">
        <v>103</v>
      </c>
      <c r="D3898" s="78">
        <v>1</v>
      </c>
      <c r="E3898" s="79">
        <v>3207.39</v>
      </c>
      <c r="F3898" s="70">
        <v>3207.39</v>
      </c>
      <c r="G3898" s="320"/>
      <c r="H3898" s="79">
        <v>3106.69</v>
      </c>
      <c r="I3898" s="79">
        <v>100.69999999999999</v>
      </c>
      <c r="J3898" s="79">
        <v>3207.39</v>
      </c>
      <c r="K3898" s="79">
        <v>0</v>
      </c>
      <c r="L3898" s="70">
        <v>3207.39</v>
      </c>
      <c r="M3898" s="132"/>
      <c r="N3898" s="79">
        <v>3106.69</v>
      </c>
      <c r="O3898" s="79">
        <v>100.69999999999999</v>
      </c>
      <c r="P3898" s="79">
        <v>3207.39</v>
      </c>
      <c r="Q3898" s="136"/>
      <c r="R3898" s="79">
        <v>3106.69</v>
      </c>
      <c r="S3898" s="79">
        <v>100.7</v>
      </c>
      <c r="T3898" s="79">
        <v>3207.39</v>
      </c>
      <c r="U3898" s="79">
        <v>0</v>
      </c>
      <c r="V3898" s="189">
        <v>3207.39</v>
      </c>
      <c r="X3898" s="79">
        <v>3106.69</v>
      </c>
      <c r="Y3898" s="79">
        <v>100.7</v>
      </c>
      <c r="Z3898" s="79">
        <v>3207.39</v>
      </c>
      <c r="AA3898" s="255">
        <v>0</v>
      </c>
      <c r="AC3898" s="254"/>
    </row>
    <row r="3899" spans="1:29" ht="12">
      <c r="A3899" s="67" t="s">
        <v>18072</v>
      </c>
      <c r="B3899" s="65" t="s">
        <v>18073</v>
      </c>
      <c r="C3899" s="71" t="s">
        <v>509</v>
      </c>
      <c r="D3899" s="78">
        <v>1</v>
      </c>
      <c r="E3899" s="79">
        <v>1116.0999999999999</v>
      </c>
      <c r="F3899" s="70">
        <v>1116.0999999999999</v>
      </c>
      <c r="G3899" s="320"/>
      <c r="H3899" s="79">
        <v>1104.73</v>
      </c>
      <c r="I3899" s="79">
        <v>11.370000000000001</v>
      </c>
      <c r="J3899" s="79">
        <v>1116.0999999999999</v>
      </c>
      <c r="K3899" s="79">
        <v>0</v>
      </c>
      <c r="L3899" s="70">
        <v>1116.0999999999999</v>
      </c>
      <c r="M3899" s="132"/>
      <c r="N3899" s="79">
        <v>1104.73</v>
      </c>
      <c r="O3899" s="79">
        <v>11.370000000000001</v>
      </c>
      <c r="P3899" s="79">
        <v>1116.0999999999999</v>
      </c>
      <c r="Q3899" s="136"/>
      <c r="R3899" s="79">
        <v>1104.73</v>
      </c>
      <c r="S3899" s="79">
        <v>11.36</v>
      </c>
      <c r="T3899" s="79">
        <v>1116.0899999999999</v>
      </c>
      <c r="U3899" s="79">
        <v>0</v>
      </c>
      <c r="V3899" s="189">
        <v>1116.0899999999999</v>
      </c>
      <c r="X3899" s="79">
        <v>1104.73</v>
      </c>
      <c r="Y3899" s="79">
        <v>11.36</v>
      </c>
      <c r="Z3899" s="79">
        <v>1116.0899999999999</v>
      </c>
      <c r="AA3899" s="255">
        <v>9.9999999999909051E-3</v>
      </c>
      <c r="AC3899" s="254"/>
    </row>
    <row r="3900" spans="1:29" ht="12">
      <c r="A3900" s="67" t="s">
        <v>18074</v>
      </c>
      <c r="B3900" s="65" t="s">
        <v>18075</v>
      </c>
      <c r="C3900" s="71" t="s">
        <v>509</v>
      </c>
      <c r="D3900" s="78">
        <v>1</v>
      </c>
      <c r="E3900" s="79">
        <v>4054.1099999999997</v>
      </c>
      <c r="F3900" s="70">
        <v>4054.11</v>
      </c>
      <c r="G3900" s="320"/>
      <c r="H3900" s="79">
        <v>4042.74</v>
      </c>
      <c r="I3900" s="79">
        <v>11.370000000000001</v>
      </c>
      <c r="J3900" s="79">
        <v>4054.1099999999997</v>
      </c>
      <c r="K3900" s="79">
        <v>0</v>
      </c>
      <c r="L3900" s="70">
        <v>4054.1099999999997</v>
      </c>
      <c r="M3900" s="132"/>
      <c r="N3900" s="79">
        <v>4042.74</v>
      </c>
      <c r="O3900" s="79">
        <v>11.370000000000001</v>
      </c>
      <c r="P3900" s="79">
        <v>4054.1099999999997</v>
      </c>
      <c r="Q3900" s="136"/>
      <c r="R3900" s="79">
        <v>4042.74</v>
      </c>
      <c r="S3900" s="79">
        <v>11.36</v>
      </c>
      <c r="T3900" s="79">
        <v>4054.1</v>
      </c>
      <c r="U3900" s="79">
        <v>0</v>
      </c>
      <c r="V3900" s="189">
        <v>4054.1</v>
      </c>
      <c r="X3900" s="79">
        <v>4042.74</v>
      </c>
      <c r="Y3900" s="79">
        <v>11.36</v>
      </c>
      <c r="Z3900" s="79">
        <v>4054.1</v>
      </c>
      <c r="AA3900" s="255">
        <v>1.0000000000218279E-2</v>
      </c>
      <c r="AC3900" s="254"/>
    </row>
    <row r="3901" spans="1:29" ht="12">
      <c r="A3901" s="67" t="s">
        <v>18076</v>
      </c>
      <c r="B3901" s="65" t="s">
        <v>18077</v>
      </c>
      <c r="C3901" s="71" t="s">
        <v>103</v>
      </c>
      <c r="D3901" s="78">
        <v>1</v>
      </c>
      <c r="E3901" s="79">
        <v>1018.5999999999999</v>
      </c>
      <c r="F3901" s="70">
        <v>1018.6</v>
      </c>
      <c r="G3901" s="320"/>
      <c r="H3901" s="79">
        <v>1012.92</v>
      </c>
      <c r="I3901" s="79">
        <v>5.68</v>
      </c>
      <c r="J3901" s="79">
        <v>1018.5999999999999</v>
      </c>
      <c r="K3901" s="79">
        <v>0</v>
      </c>
      <c r="L3901" s="70">
        <v>1018.5999999999999</v>
      </c>
      <c r="M3901" s="132"/>
      <c r="N3901" s="79">
        <v>1012.92</v>
      </c>
      <c r="O3901" s="79">
        <v>5.68</v>
      </c>
      <c r="P3901" s="79">
        <v>1018.5999999999999</v>
      </c>
      <c r="Q3901" s="136"/>
      <c r="R3901" s="79">
        <v>1012.92</v>
      </c>
      <c r="S3901" s="79">
        <v>5.68</v>
      </c>
      <c r="T3901" s="79">
        <v>1018.5999999999999</v>
      </c>
      <c r="U3901" s="79">
        <v>0</v>
      </c>
      <c r="V3901" s="189">
        <v>1018.5999999999999</v>
      </c>
      <c r="X3901" s="79">
        <v>1012.92</v>
      </c>
      <c r="Y3901" s="79">
        <v>5.68</v>
      </c>
      <c r="Z3901" s="79">
        <v>1018.6</v>
      </c>
      <c r="AA3901" s="255">
        <v>0</v>
      </c>
      <c r="AC3901" s="254"/>
    </row>
    <row r="3902" spans="1:29" ht="24">
      <c r="A3902" s="67" t="s">
        <v>18078</v>
      </c>
      <c r="B3902" s="65" t="s">
        <v>18079</v>
      </c>
      <c r="C3902" s="71" t="s">
        <v>103</v>
      </c>
      <c r="D3902" s="78">
        <v>1</v>
      </c>
      <c r="E3902" s="79">
        <v>23999.93</v>
      </c>
      <c r="F3902" s="70">
        <v>23999.93</v>
      </c>
      <c r="G3902" s="320"/>
      <c r="H3902" s="79">
        <v>23797.99</v>
      </c>
      <c r="I3902" s="79">
        <v>201.94</v>
      </c>
      <c r="J3902" s="79">
        <v>23999.93</v>
      </c>
      <c r="K3902" s="79">
        <v>0</v>
      </c>
      <c r="L3902" s="70">
        <v>23999.93</v>
      </c>
      <c r="M3902" s="132"/>
      <c r="N3902" s="79">
        <v>23797.99</v>
      </c>
      <c r="O3902" s="79">
        <v>201.94</v>
      </c>
      <c r="P3902" s="79">
        <v>23999.93</v>
      </c>
      <c r="Q3902" s="136"/>
      <c r="R3902" s="79">
        <v>23797.99</v>
      </c>
      <c r="S3902" s="79">
        <v>201.95</v>
      </c>
      <c r="T3902" s="79">
        <v>23999.940000000002</v>
      </c>
      <c r="U3902" s="79">
        <v>0</v>
      </c>
      <c r="V3902" s="189">
        <v>23999.940000000002</v>
      </c>
      <c r="X3902" s="79">
        <v>23797.99</v>
      </c>
      <c r="Y3902" s="79">
        <v>201.95</v>
      </c>
      <c r="Z3902" s="79">
        <v>23999.94</v>
      </c>
      <c r="AA3902" s="255">
        <v>-9.9999999983992893E-3</v>
      </c>
      <c r="AC3902" s="254"/>
    </row>
    <row r="3903" spans="1:29" ht="12">
      <c r="A3903" s="67" t="s">
        <v>18080</v>
      </c>
      <c r="B3903" s="65" t="s">
        <v>18081</v>
      </c>
      <c r="C3903" s="71" t="s">
        <v>509</v>
      </c>
      <c r="D3903" s="78">
        <v>1</v>
      </c>
      <c r="E3903" s="79">
        <v>5751.04</v>
      </c>
      <c r="F3903" s="70">
        <v>5751.04</v>
      </c>
      <c r="G3903" s="320"/>
      <c r="H3903" s="79">
        <v>5714.5</v>
      </c>
      <c r="I3903" s="79">
        <v>36.54</v>
      </c>
      <c r="J3903" s="79">
        <v>5751.04</v>
      </c>
      <c r="K3903" s="79">
        <v>0</v>
      </c>
      <c r="L3903" s="70">
        <v>5751.04</v>
      </c>
      <c r="M3903" s="132"/>
      <c r="N3903" s="79">
        <v>5714.5</v>
      </c>
      <c r="O3903" s="79">
        <v>36.54</v>
      </c>
      <c r="P3903" s="79">
        <v>5751.04</v>
      </c>
      <c r="Q3903" s="136"/>
      <c r="R3903" s="79">
        <v>5714.5</v>
      </c>
      <c r="S3903" s="79">
        <v>36.53</v>
      </c>
      <c r="T3903" s="79">
        <v>5751.03</v>
      </c>
      <c r="U3903" s="79">
        <v>0</v>
      </c>
      <c r="V3903" s="189">
        <v>5751.03</v>
      </c>
      <c r="X3903" s="79">
        <v>5714.5</v>
      </c>
      <c r="Y3903" s="79">
        <v>36.53</v>
      </c>
      <c r="Z3903" s="79">
        <v>5751.03</v>
      </c>
      <c r="AA3903" s="255">
        <v>1.0000000000218279E-2</v>
      </c>
      <c r="AC3903" s="254"/>
    </row>
    <row r="3904" spans="1:29" ht="24">
      <c r="A3904" s="67" t="s">
        <v>18082</v>
      </c>
      <c r="B3904" s="65" t="s">
        <v>18083</v>
      </c>
      <c r="C3904" s="71" t="s">
        <v>103</v>
      </c>
      <c r="D3904" s="78">
        <v>1</v>
      </c>
      <c r="E3904" s="79">
        <v>112668.85</v>
      </c>
      <c r="F3904" s="70">
        <v>112668.85</v>
      </c>
      <c r="G3904" s="320"/>
      <c r="H3904" s="79">
        <v>112668.85</v>
      </c>
      <c r="I3904" s="79">
        <v>0</v>
      </c>
      <c r="J3904" s="79">
        <v>112668.85</v>
      </c>
      <c r="K3904" s="79">
        <v>0</v>
      </c>
      <c r="L3904" s="70">
        <v>112668.85</v>
      </c>
      <c r="M3904" s="132"/>
      <c r="N3904" s="79">
        <v>112668.85</v>
      </c>
      <c r="O3904" s="79"/>
      <c r="P3904" s="79">
        <v>112668.85</v>
      </c>
      <c r="Q3904" s="136"/>
      <c r="R3904" s="79">
        <v>112668.85</v>
      </c>
      <c r="S3904" s="79"/>
      <c r="T3904" s="79">
        <v>112668.85</v>
      </c>
      <c r="U3904" s="79">
        <v>0</v>
      </c>
      <c r="V3904" s="189">
        <v>112668.85</v>
      </c>
      <c r="X3904" s="79">
        <v>112668.85</v>
      </c>
      <c r="Y3904" s="79"/>
      <c r="Z3904" s="79">
        <v>112668.85</v>
      </c>
      <c r="AA3904" s="255">
        <v>0</v>
      </c>
      <c r="AC3904" s="254"/>
    </row>
    <row r="3905" spans="1:29" ht="24">
      <c r="A3905" s="67" t="s">
        <v>18084</v>
      </c>
      <c r="B3905" s="65" t="s">
        <v>18085</v>
      </c>
      <c r="C3905" s="71" t="s">
        <v>103</v>
      </c>
      <c r="D3905" s="78">
        <v>1</v>
      </c>
      <c r="E3905" s="79">
        <v>59829.34</v>
      </c>
      <c r="F3905" s="70">
        <v>59829.34</v>
      </c>
      <c r="G3905" s="320"/>
      <c r="H3905" s="79">
        <v>59502.899999999994</v>
      </c>
      <c r="I3905" s="79">
        <v>326.44</v>
      </c>
      <c r="J3905" s="79">
        <v>59829.34</v>
      </c>
      <c r="K3905" s="79">
        <v>0</v>
      </c>
      <c r="L3905" s="70">
        <v>59829.34</v>
      </c>
      <c r="M3905" s="132"/>
      <c r="N3905" s="79">
        <v>59502.899999999994</v>
      </c>
      <c r="O3905" s="79">
        <v>326.44</v>
      </c>
      <c r="P3905" s="79">
        <v>59829.34</v>
      </c>
      <c r="Q3905" s="136"/>
      <c r="R3905" s="79">
        <v>59502.9</v>
      </c>
      <c r="S3905" s="79">
        <v>326.45999999999998</v>
      </c>
      <c r="T3905" s="79">
        <v>59829.36</v>
      </c>
      <c r="U3905" s="79">
        <v>0</v>
      </c>
      <c r="V3905" s="189">
        <v>59829.36</v>
      </c>
      <c r="X3905" s="79">
        <v>59502.9</v>
      </c>
      <c r="Y3905" s="79">
        <v>326.45999999999998</v>
      </c>
      <c r="Z3905" s="79">
        <v>59829.36</v>
      </c>
      <c r="AA3905" s="255">
        <v>-2.0000000004074536E-2</v>
      </c>
      <c r="AC3905" s="254"/>
    </row>
    <row r="3906" spans="1:29" ht="24">
      <c r="A3906" s="67" t="s">
        <v>18086</v>
      </c>
      <c r="B3906" s="65" t="s">
        <v>18087</v>
      </c>
      <c r="C3906" s="71" t="s">
        <v>396</v>
      </c>
      <c r="D3906" s="78">
        <v>1</v>
      </c>
      <c r="E3906" s="79">
        <v>510694.6</v>
      </c>
      <c r="F3906" s="70">
        <v>510694.6</v>
      </c>
      <c r="G3906" s="320"/>
      <c r="H3906" s="79">
        <v>510694.6</v>
      </c>
      <c r="I3906" s="79">
        <v>0</v>
      </c>
      <c r="J3906" s="79">
        <v>510694.6</v>
      </c>
      <c r="K3906" s="79">
        <v>0</v>
      </c>
      <c r="L3906" s="70">
        <v>510694.6</v>
      </c>
      <c r="M3906" s="132"/>
      <c r="N3906" s="79">
        <v>510694.6</v>
      </c>
      <c r="O3906" s="79"/>
      <c r="P3906" s="79">
        <v>510694.6</v>
      </c>
      <c r="Q3906" s="136"/>
      <c r="R3906" s="79">
        <v>510694.6</v>
      </c>
      <c r="S3906" s="79"/>
      <c r="T3906" s="79">
        <v>510694.6</v>
      </c>
      <c r="U3906" s="79">
        <v>0</v>
      </c>
      <c r="V3906" s="189">
        <v>510694.6</v>
      </c>
      <c r="X3906" s="79">
        <v>510694.6</v>
      </c>
      <c r="Y3906" s="79"/>
      <c r="Z3906" s="79">
        <v>510694.6</v>
      </c>
      <c r="AA3906" s="255">
        <v>0</v>
      </c>
      <c r="AC3906" s="254"/>
    </row>
    <row r="3907" spans="1:29" ht="36">
      <c r="A3907" s="67" t="s">
        <v>18088</v>
      </c>
      <c r="B3907" s="65" t="s">
        <v>18089</v>
      </c>
      <c r="C3907" s="71" t="s">
        <v>396</v>
      </c>
      <c r="D3907" s="78">
        <v>1</v>
      </c>
      <c r="E3907" s="79">
        <v>76877.409999999989</v>
      </c>
      <c r="F3907" s="70">
        <v>76877.41</v>
      </c>
      <c r="G3907" s="320"/>
      <c r="H3907" s="79">
        <v>6481.51</v>
      </c>
      <c r="I3907" s="79">
        <v>70395.899999999994</v>
      </c>
      <c r="J3907" s="79">
        <v>76877.409999999989</v>
      </c>
      <c r="K3907" s="79">
        <v>0</v>
      </c>
      <c r="L3907" s="70">
        <v>76877.409999999989</v>
      </c>
      <c r="M3907" s="132"/>
      <c r="N3907" s="79">
        <v>6481.51</v>
      </c>
      <c r="O3907" s="79">
        <v>70395.899999999994</v>
      </c>
      <c r="P3907" s="79">
        <v>76877.409999999989</v>
      </c>
      <c r="Q3907" s="136"/>
      <c r="R3907" s="79">
        <v>6481.51</v>
      </c>
      <c r="S3907" s="79">
        <v>70395.64</v>
      </c>
      <c r="T3907" s="79">
        <v>76877.149999999994</v>
      </c>
      <c r="U3907" s="79">
        <v>0</v>
      </c>
      <c r="V3907" s="189">
        <v>76877.149999999994</v>
      </c>
      <c r="X3907" s="79">
        <v>6481.51</v>
      </c>
      <c r="Y3907" s="79">
        <v>70395.64</v>
      </c>
      <c r="Z3907" s="79">
        <v>76877.149999999994</v>
      </c>
      <c r="AA3907" s="255">
        <v>0.26000000000931323</v>
      </c>
      <c r="AC3907" s="254"/>
    </row>
    <row r="3908" spans="1:29" ht="36">
      <c r="A3908" s="67" t="s">
        <v>18090</v>
      </c>
      <c r="B3908" s="65" t="s">
        <v>18091</v>
      </c>
      <c r="C3908" s="71" t="s">
        <v>396</v>
      </c>
      <c r="D3908" s="78">
        <v>1</v>
      </c>
      <c r="E3908" s="79">
        <v>93944.45</v>
      </c>
      <c r="F3908" s="70">
        <v>93944.45</v>
      </c>
      <c r="G3908" s="320"/>
      <c r="H3908" s="79">
        <v>8971.27</v>
      </c>
      <c r="I3908" s="79">
        <v>84973.18</v>
      </c>
      <c r="J3908" s="79">
        <v>93944.45</v>
      </c>
      <c r="K3908" s="79">
        <v>0</v>
      </c>
      <c r="L3908" s="70">
        <v>93944.45</v>
      </c>
      <c r="M3908" s="132"/>
      <c r="N3908" s="79">
        <v>8971.27</v>
      </c>
      <c r="O3908" s="79">
        <v>84973.18</v>
      </c>
      <c r="P3908" s="79">
        <v>93944.45</v>
      </c>
      <c r="Q3908" s="136"/>
      <c r="R3908" s="79">
        <v>8971.27</v>
      </c>
      <c r="S3908" s="79">
        <v>84972.77</v>
      </c>
      <c r="T3908" s="79">
        <v>93944.040000000008</v>
      </c>
      <c r="U3908" s="79">
        <v>0</v>
      </c>
      <c r="V3908" s="189">
        <v>93944.040000000008</v>
      </c>
      <c r="X3908" s="79">
        <v>8971.27</v>
      </c>
      <c r="Y3908" s="79">
        <v>84972.77</v>
      </c>
      <c r="Z3908" s="79">
        <v>93944.04</v>
      </c>
      <c r="AA3908" s="255">
        <v>0.41000000000349246</v>
      </c>
      <c r="AC3908" s="254"/>
    </row>
    <row r="3909" spans="1:29" ht="12">
      <c r="A3909" s="489" t="s">
        <v>18092</v>
      </c>
      <c r="B3909" s="490" t="s">
        <v>18093</v>
      </c>
      <c r="C3909" s="491"/>
      <c r="D3909" s="492"/>
      <c r="E3909" s="79"/>
      <c r="F3909" s="63"/>
      <c r="G3909" s="320"/>
      <c r="H3909" s="79"/>
      <c r="I3909" s="79"/>
      <c r="J3909" s="79"/>
      <c r="K3909" s="79"/>
      <c r="L3909" s="70"/>
      <c r="M3909" s="132"/>
      <c r="N3909" s="79"/>
      <c r="O3909" s="79"/>
      <c r="P3909" s="79"/>
      <c r="Q3909" s="136"/>
      <c r="R3909" s="79"/>
      <c r="S3909" s="79"/>
      <c r="T3909" s="79"/>
      <c r="U3909" s="79"/>
      <c r="V3909" s="189"/>
      <c r="X3909" s="79"/>
      <c r="Y3909" s="79"/>
      <c r="Z3909" s="79"/>
      <c r="AA3909" s="255"/>
      <c r="AC3909" s="254"/>
    </row>
    <row r="3910" spans="1:29" ht="12">
      <c r="A3910" s="489" t="s">
        <v>18094</v>
      </c>
      <c r="B3910" s="490" t="s">
        <v>18095</v>
      </c>
      <c r="C3910" s="491"/>
      <c r="D3910" s="78"/>
      <c r="E3910" s="79"/>
      <c r="F3910" s="70"/>
      <c r="G3910" s="320"/>
      <c r="H3910" s="79"/>
      <c r="I3910" s="79"/>
      <c r="J3910" s="79"/>
      <c r="K3910" s="79"/>
      <c r="L3910" s="70"/>
      <c r="M3910" s="132"/>
      <c r="N3910" s="78"/>
      <c r="O3910" s="78"/>
      <c r="P3910" s="79"/>
      <c r="Q3910" s="136"/>
      <c r="R3910" s="79"/>
      <c r="S3910" s="79"/>
      <c r="T3910" s="79"/>
      <c r="U3910" s="79"/>
      <c r="V3910" s="189"/>
      <c r="X3910" s="78"/>
      <c r="Y3910" s="78"/>
      <c r="Z3910" s="79"/>
      <c r="AA3910" s="255"/>
      <c r="AC3910" s="254"/>
    </row>
    <row r="3911" spans="1:29" ht="12">
      <c r="A3911" s="67" t="s">
        <v>18096</v>
      </c>
      <c r="B3911" s="65" t="s">
        <v>18097</v>
      </c>
      <c r="C3911" s="71" t="s">
        <v>103</v>
      </c>
      <c r="D3911" s="78">
        <v>1</v>
      </c>
      <c r="E3911" s="79">
        <v>1747.44</v>
      </c>
      <c r="F3911" s="70">
        <v>1747.44</v>
      </c>
      <c r="G3911" s="320"/>
      <c r="H3911" s="79">
        <v>1406.46</v>
      </c>
      <c r="I3911" s="79">
        <v>340.98</v>
      </c>
      <c r="J3911" s="79">
        <v>1747.44</v>
      </c>
      <c r="K3911" s="79">
        <v>0</v>
      </c>
      <c r="L3911" s="70">
        <v>1747.44</v>
      </c>
      <c r="M3911" s="132"/>
      <c r="N3911" s="78">
        <v>1406.46</v>
      </c>
      <c r="O3911" s="78">
        <v>340.98</v>
      </c>
      <c r="P3911" s="79">
        <v>1747.44</v>
      </c>
      <c r="Q3911" s="136"/>
      <c r="R3911" s="79">
        <v>1406.46</v>
      </c>
      <c r="S3911" s="79">
        <v>340.98</v>
      </c>
      <c r="T3911" s="79">
        <v>1747.44</v>
      </c>
      <c r="U3911" s="79">
        <v>0</v>
      </c>
      <c r="V3911" s="189">
        <v>1747.44</v>
      </c>
      <c r="X3911" s="78">
        <v>1406.46</v>
      </c>
      <c r="Y3911" s="78">
        <v>340.98</v>
      </c>
      <c r="Z3911" s="79">
        <v>1747.44</v>
      </c>
      <c r="AA3911" s="255">
        <v>0</v>
      </c>
      <c r="AC3911" s="254"/>
    </row>
    <row r="3912" spans="1:29" ht="12">
      <c r="A3912" s="67" t="s">
        <v>18098</v>
      </c>
      <c r="B3912" s="65" t="s">
        <v>18099</v>
      </c>
      <c r="C3912" s="71" t="s">
        <v>103</v>
      </c>
      <c r="D3912" s="78">
        <v>1</v>
      </c>
      <c r="E3912" s="79">
        <v>1942.42</v>
      </c>
      <c r="F3912" s="70">
        <v>1942.42</v>
      </c>
      <c r="G3912" s="320"/>
      <c r="H3912" s="79">
        <v>1601.44</v>
      </c>
      <c r="I3912" s="79">
        <v>340.98</v>
      </c>
      <c r="J3912" s="79">
        <v>1942.42</v>
      </c>
      <c r="K3912" s="79">
        <v>0</v>
      </c>
      <c r="L3912" s="70">
        <v>1942.42</v>
      </c>
      <c r="M3912" s="132"/>
      <c r="N3912" s="78">
        <v>1601.44</v>
      </c>
      <c r="O3912" s="78">
        <v>340.98</v>
      </c>
      <c r="P3912" s="79">
        <v>1942.42</v>
      </c>
      <c r="Q3912" s="136"/>
      <c r="R3912" s="79">
        <v>1601.44</v>
      </c>
      <c r="S3912" s="79">
        <v>340.98</v>
      </c>
      <c r="T3912" s="79">
        <v>1942.42</v>
      </c>
      <c r="U3912" s="79">
        <v>0</v>
      </c>
      <c r="V3912" s="189">
        <v>1942.42</v>
      </c>
      <c r="X3912" s="78">
        <v>1601.44</v>
      </c>
      <c r="Y3912" s="78">
        <v>340.98</v>
      </c>
      <c r="Z3912" s="79">
        <v>1942.42</v>
      </c>
      <c r="AA3912" s="255">
        <v>0</v>
      </c>
      <c r="AC3912" s="254"/>
    </row>
    <row r="3913" spans="1:29" ht="12">
      <c r="A3913" s="67" t="s">
        <v>18100</v>
      </c>
      <c r="B3913" s="65" t="s">
        <v>18101</v>
      </c>
      <c r="C3913" s="71" t="s">
        <v>103</v>
      </c>
      <c r="D3913" s="78">
        <v>1</v>
      </c>
      <c r="E3913" s="79">
        <v>2286.1400000000003</v>
      </c>
      <c r="F3913" s="70">
        <v>2286.14</v>
      </c>
      <c r="G3913" s="320"/>
      <c r="H3913" s="79">
        <v>1945.16</v>
      </c>
      <c r="I3913" s="79">
        <v>340.98</v>
      </c>
      <c r="J3913" s="79">
        <v>2286.1400000000003</v>
      </c>
      <c r="K3913" s="79">
        <v>0</v>
      </c>
      <c r="L3913" s="70">
        <v>2286.1400000000003</v>
      </c>
      <c r="M3913" s="132"/>
      <c r="N3913" s="78">
        <v>1945.16</v>
      </c>
      <c r="O3913" s="78">
        <v>340.98</v>
      </c>
      <c r="P3913" s="79">
        <v>2286.1400000000003</v>
      </c>
      <c r="Q3913" s="136"/>
      <c r="R3913" s="79">
        <v>1945.16</v>
      </c>
      <c r="S3913" s="79">
        <v>340.98</v>
      </c>
      <c r="T3913" s="79">
        <v>2286.1400000000003</v>
      </c>
      <c r="U3913" s="79">
        <v>0</v>
      </c>
      <c r="V3913" s="189">
        <v>2286.1400000000003</v>
      </c>
      <c r="X3913" s="78">
        <v>1945.16</v>
      </c>
      <c r="Y3913" s="78">
        <v>340.98</v>
      </c>
      <c r="Z3913" s="79">
        <v>2286.14</v>
      </c>
      <c r="AA3913" s="255">
        <v>0</v>
      </c>
      <c r="AC3913" s="254"/>
    </row>
    <row r="3914" spans="1:29" ht="12">
      <c r="A3914" s="67" t="s">
        <v>18102</v>
      </c>
      <c r="B3914" s="65" t="s">
        <v>18103</v>
      </c>
      <c r="C3914" s="71" t="s">
        <v>103</v>
      </c>
      <c r="D3914" s="78">
        <v>1</v>
      </c>
      <c r="E3914" s="79">
        <v>2416.3300000000004</v>
      </c>
      <c r="F3914" s="70">
        <v>2416.33</v>
      </c>
      <c r="G3914" s="320"/>
      <c r="H3914" s="79">
        <v>2075.3500000000004</v>
      </c>
      <c r="I3914" s="79">
        <v>340.98</v>
      </c>
      <c r="J3914" s="79">
        <v>2416.3300000000004</v>
      </c>
      <c r="K3914" s="79">
        <v>0</v>
      </c>
      <c r="L3914" s="70">
        <v>2416.3300000000004</v>
      </c>
      <c r="M3914" s="132"/>
      <c r="N3914" s="78">
        <v>2075.3500000000004</v>
      </c>
      <c r="O3914" s="78">
        <v>340.98</v>
      </c>
      <c r="P3914" s="79">
        <v>2416.3300000000004</v>
      </c>
      <c r="Q3914" s="136"/>
      <c r="R3914" s="79">
        <v>2075.35</v>
      </c>
      <c r="S3914" s="79">
        <v>340.98</v>
      </c>
      <c r="T3914" s="79">
        <v>2416.33</v>
      </c>
      <c r="U3914" s="79">
        <v>0</v>
      </c>
      <c r="V3914" s="189">
        <v>2416.33</v>
      </c>
      <c r="X3914" s="78">
        <v>2075.35</v>
      </c>
      <c r="Y3914" s="78">
        <v>340.98</v>
      </c>
      <c r="Z3914" s="79">
        <v>2416.33</v>
      </c>
      <c r="AA3914" s="255">
        <v>0</v>
      </c>
      <c r="AC3914" s="254"/>
    </row>
    <row r="3915" spans="1:29" ht="12">
      <c r="A3915" s="67" t="s">
        <v>18104</v>
      </c>
      <c r="B3915" s="65" t="s">
        <v>18105</v>
      </c>
      <c r="C3915" s="71" t="s">
        <v>103</v>
      </c>
      <c r="D3915" s="78">
        <v>1</v>
      </c>
      <c r="E3915" s="79">
        <v>2675.8500000000004</v>
      </c>
      <c r="F3915" s="70">
        <v>2675.85</v>
      </c>
      <c r="G3915" s="320"/>
      <c r="H3915" s="79">
        <v>2334.8700000000003</v>
      </c>
      <c r="I3915" s="79">
        <v>340.98</v>
      </c>
      <c r="J3915" s="79">
        <v>2675.8500000000004</v>
      </c>
      <c r="K3915" s="79">
        <v>0</v>
      </c>
      <c r="L3915" s="70">
        <v>2675.8500000000004</v>
      </c>
      <c r="M3915" s="132"/>
      <c r="N3915" s="78">
        <v>2334.8700000000003</v>
      </c>
      <c r="O3915" s="78">
        <v>340.98</v>
      </c>
      <c r="P3915" s="79">
        <v>2675.8500000000004</v>
      </c>
      <c r="Q3915" s="136"/>
      <c r="R3915" s="79">
        <v>2334.87</v>
      </c>
      <c r="S3915" s="79">
        <v>340.98</v>
      </c>
      <c r="T3915" s="79">
        <v>2675.85</v>
      </c>
      <c r="U3915" s="79">
        <v>0</v>
      </c>
      <c r="V3915" s="189">
        <v>2675.85</v>
      </c>
      <c r="X3915" s="78">
        <v>2334.87</v>
      </c>
      <c r="Y3915" s="78">
        <v>340.98</v>
      </c>
      <c r="Z3915" s="79">
        <v>2675.85</v>
      </c>
      <c r="AA3915" s="255">
        <v>0</v>
      </c>
      <c r="AC3915" s="254"/>
    </row>
    <row r="3916" spans="1:29" ht="12">
      <c r="A3916" s="67" t="s">
        <v>18106</v>
      </c>
      <c r="B3916" s="65" t="s">
        <v>18107</v>
      </c>
      <c r="C3916" s="71" t="s">
        <v>103</v>
      </c>
      <c r="D3916" s="78">
        <v>1</v>
      </c>
      <c r="E3916" s="79">
        <v>1866.72</v>
      </c>
      <c r="F3916" s="70">
        <v>1866.72</v>
      </c>
      <c r="G3916" s="320"/>
      <c r="H3916" s="79">
        <v>1525.74</v>
      </c>
      <c r="I3916" s="79">
        <v>340.98</v>
      </c>
      <c r="J3916" s="79">
        <v>1866.72</v>
      </c>
      <c r="K3916" s="79">
        <v>0</v>
      </c>
      <c r="L3916" s="70">
        <v>1866.72</v>
      </c>
      <c r="M3916" s="132"/>
      <c r="N3916" s="78">
        <v>1525.74</v>
      </c>
      <c r="O3916" s="78">
        <v>340.98</v>
      </c>
      <c r="P3916" s="79">
        <v>1866.72</v>
      </c>
      <c r="Q3916" s="136"/>
      <c r="R3916" s="79">
        <v>1525.74</v>
      </c>
      <c r="S3916" s="79">
        <v>340.98</v>
      </c>
      <c r="T3916" s="79">
        <v>1866.72</v>
      </c>
      <c r="U3916" s="79">
        <v>0</v>
      </c>
      <c r="V3916" s="189">
        <v>1866.72</v>
      </c>
      <c r="X3916" s="78">
        <v>1525.74</v>
      </c>
      <c r="Y3916" s="78">
        <v>340.98</v>
      </c>
      <c r="Z3916" s="79">
        <v>1866.72</v>
      </c>
      <c r="AA3916" s="255">
        <v>0</v>
      </c>
      <c r="AC3916" s="254"/>
    </row>
    <row r="3917" spans="1:29" ht="12">
      <c r="A3917" s="67" t="s">
        <v>18108</v>
      </c>
      <c r="B3917" s="65" t="s">
        <v>18109</v>
      </c>
      <c r="C3917" s="71" t="s">
        <v>103</v>
      </c>
      <c r="D3917" s="78">
        <v>1</v>
      </c>
      <c r="E3917" s="79">
        <v>2045.1200000000001</v>
      </c>
      <c r="F3917" s="70">
        <v>2045.12</v>
      </c>
      <c r="G3917" s="320"/>
      <c r="H3917" s="79">
        <v>1704.14</v>
      </c>
      <c r="I3917" s="79">
        <v>340.98</v>
      </c>
      <c r="J3917" s="79">
        <v>2045.1200000000001</v>
      </c>
      <c r="K3917" s="79">
        <v>0</v>
      </c>
      <c r="L3917" s="70">
        <v>2045.1200000000001</v>
      </c>
      <c r="M3917" s="132"/>
      <c r="N3917" s="78">
        <v>1704.14</v>
      </c>
      <c r="O3917" s="78">
        <v>340.98</v>
      </c>
      <c r="P3917" s="79">
        <v>2045.1200000000001</v>
      </c>
      <c r="Q3917" s="136"/>
      <c r="R3917" s="79">
        <v>1704.14</v>
      </c>
      <c r="S3917" s="79">
        <v>340.98</v>
      </c>
      <c r="T3917" s="79">
        <v>2045.1200000000001</v>
      </c>
      <c r="U3917" s="79">
        <v>0</v>
      </c>
      <c r="V3917" s="189">
        <v>2045.1200000000001</v>
      </c>
      <c r="X3917" s="78">
        <v>1704.14</v>
      </c>
      <c r="Y3917" s="78">
        <v>340.98</v>
      </c>
      <c r="Z3917" s="79">
        <v>2045.12</v>
      </c>
      <c r="AA3917" s="255">
        <v>0</v>
      </c>
      <c r="AC3917" s="254"/>
    </row>
    <row r="3918" spans="1:29" ht="12">
      <c r="A3918" s="67" t="s">
        <v>18110</v>
      </c>
      <c r="B3918" s="65" t="s">
        <v>18111</v>
      </c>
      <c r="C3918" s="71" t="s">
        <v>103</v>
      </c>
      <c r="D3918" s="78">
        <v>1</v>
      </c>
      <c r="E3918" s="79">
        <v>2612.84</v>
      </c>
      <c r="F3918" s="70">
        <v>2612.84</v>
      </c>
      <c r="G3918" s="320"/>
      <c r="H3918" s="79">
        <v>2271.86</v>
      </c>
      <c r="I3918" s="79">
        <v>340.98</v>
      </c>
      <c r="J3918" s="79">
        <v>2612.84</v>
      </c>
      <c r="K3918" s="79">
        <v>0</v>
      </c>
      <c r="L3918" s="70">
        <v>2612.84</v>
      </c>
      <c r="M3918" s="132"/>
      <c r="N3918" s="78">
        <v>2271.86</v>
      </c>
      <c r="O3918" s="78">
        <v>340.98</v>
      </c>
      <c r="P3918" s="79">
        <v>2612.84</v>
      </c>
      <c r="Q3918" s="136"/>
      <c r="R3918" s="79">
        <v>2271.86</v>
      </c>
      <c r="S3918" s="79">
        <v>340.98</v>
      </c>
      <c r="T3918" s="79">
        <v>2612.84</v>
      </c>
      <c r="U3918" s="79">
        <v>0</v>
      </c>
      <c r="V3918" s="189">
        <v>2612.84</v>
      </c>
      <c r="X3918" s="78">
        <v>2271.86</v>
      </c>
      <c r="Y3918" s="78">
        <v>340.98</v>
      </c>
      <c r="Z3918" s="79">
        <v>2612.84</v>
      </c>
      <c r="AA3918" s="255">
        <v>0</v>
      </c>
      <c r="AC3918" s="254"/>
    </row>
    <row r="3919" spans="1:29" ht="12">
      <c r="A3919" s="67" t="s">
        <v>18112</v>
      </c>
      <c r="B3919" s="65" t="s">
        <v>18113</v>
      </c>
      <c r="C3919" s="71" t="s">
        <v>103</v>
      </c>
      <c r="D3919" s="78">
        <v>1</v>
      </c>
      <c r="E3919" s="79">
        <v>2881.8300000000004</v>
      </c>
      <c r="F3919" s="70">
        <v>2881.83</v>
      </c>
      <c r="G3919" s="320"/>
      <c r="H3919" s="79">
        <v>2540.8500000000004</v>
      </c>
      <c r="I3919" s="79">
        <v>340.98</v>
      </c>
      <c r="J3919" s="79">
        <v>2881.8300000000004</v>
      </c>
      <c r="K3919" s="79">
        <v>0</v>
      </c>
      <c r="L3919" s="70">
        <v>2881.8300000000004</v>
      </c>
      <c r="M3919" s="132"/>
      <c r="N3919" s="78">
        <v>2540.8500000000004</v>
      </c>
      <c r="O3919" s="78">
        <v>340.98</v>
      </c>
      <c r="P3919" s="79">
        <v>2881.8300000000004</v>
      </c>
      <c r="Q3919" s="136"/>
      <c r="R3919" s="79">
        <v>2540.85</v>
      </c>
      <c r="S3919" s="79">
        <v>340.98</v>
      </c>
      <c r="T3919" s="79">
        <v>2881.83</v>
      </c>
      <c r="U3919" s="79">
        <v>0</v>
      </c>
      <c r="V3919" s="189">
        <v>2881.83</v>
      </c>
      <c r="X3919" s="78">
        <v>2540.85</v>
      </c>
      <c r="Y3919" s="78">
        <v>340.98</v>
      </c>
      <c r="Z3919" s="79">
        <v>2881.83</v>
      </c>
      <c r="AA3919" s="255">
        <v>0</v>
      </c>
      <c r="AC3919" s="254"/>
    </row>
    <row r="3920" spans="1:29" ht="12">
      <c r="A3920" s="67" t="s">
        <v>18114</v>
      </c>
      <c r="B3920" s="65" t="s">
        <v>18115</v>
      </c>
      <c r="C3920" s="71" t="s">
        <v>103</v>
      </c>
      <c r="D3920" s="78">
        <v>1</v>
      </c>
      <c r="E3920" s="79">
        <v>3186.34</v>
      </c>
      <c r="F3920" s="70">
        <v>3186.34</v>
      </c>
      <c r="G3920" s="320"/>
      <c r="H3920" s="79">
        <v>2845.36</v>
      </c>
      <c r="I3920" s="79">
        <v>340.98</v>
      </c>
      <c r="J3920" s="79">
        <v>3186.34</v>
      </c>
      <c r="K3920" s="79">
        <v>0</v>
      </c>
      <c r="L3920" s="70">
        <v>3186.34</v>
      </c>
      <c r="M3920" s="132"/>
      <c r="N3920" s="78">
        <v>2845.36</v>
      </c>
      <c r="O3920" s="78">
        <v>340.98</v>
      </c>
      <c r="P3920" s="79">
        <v>3186.34</v>
      </c>
      <c r="Q3920" s="136"/>
      <c r="R3920" s="79">
        <v>2845.36</v>
      </c>
      <c r="S3920" s="79">
        <v>340.98</v>
      </c>
      <c r="T3920" s="79">
        <v>3186.34</v>
      </c>
      <c r="U3920" s="79">
        <v>0</v>
      </c>
      <c r="V3920" s="189">
        <v>3186.34</v>
      </c>
      <c r="X3920" s="78">
        <v>2845.36</v>
      </c>
      <c r="Y3920" s="78">
        <v>340.98</v>
      </c>
      <c r="Z3920" s="79">
        <v>3186.34</v>
      </c>
      <c r="AA3920" s="255">
        <v>0</v>
      </c>
      <c r="AC3920" s="254"/>
    </row>
    <row r="3921" spans="1:29" ht="12">
      <c r="A3921" s="67" t="s">
        <v>18116</v>
      </c>
      <c r="B3921" s="65" t="s">
        <v>18117</v>
      </c>
      <c r="C3921" s="71" t="s">
        <v>103</v>
      </c>
      <c r="D3921" s="78">
        <v>1</v>
      </c>
      <c r="E3921" s="79">
        <v>3315.6000000000004</v>
      </c>
      <c r="F3921" s="70">
        <v>3315.6</v>
      </c>
      <c r="G3921" s="320"/>
      <c r="H3921" s="79">
        <v>2974.6200000000003</v>
      </c>
      <c r="I3921" s="79">
        <v>340.98</v>
      </c>
      <c r="J3921" s="79">
        <v>3315.6000000000004</v>
      </c>
      <c r="K3921" s="79">
        <v>0</v>
      </c>
      <c r="L3921" s="70">
        <v>3315.6000000000004</v>
      </c>
      <c r="M3921" s="132"/>
      <c r="N3921" s="78">
        <v>2974.6200000000003</v>
      </c>
      <c r="O3921" s="78">
        <v>340.98</v>
      </c>
      <c r="P3921" s="79">
        <v>3315.6000000000004</v>
      </c>
      <c r="Q3921" s="136"/>
      <c r="R3921" s="79">
        <v>2974.62</v>
      </c>
      <c r="S3921" s="79">
        <v>340.98</v>
      </c>
      <c r="T3921" s="79">
        <v>3315.6</v>
      </c>
      <c r="U3921" s="79">
        <v>0</v>
      </c>
      <c r="V3921" s="189">
        <v>3315.6</v>
      </c>
      <c r="X3921" s="78">
        <v>2974.62</v>
      </c>
      <c r="Y3921" s="78">
        <v>340.98</v>
      </c>
      <c r="Z3921" s="79">
        <v>3315.6</v>
      </c>
      <c r="AA3921" s="255">
        <v>0</v>
      </c>
      <c r="AC3921" s="254"/>
    </row>
    <row r="3922" spans="1:29" ht="12">
      <c r="A3922" s="67" t="s">
        <v>18118</v>
      </c>
      <c r="B3922" s="65" t="s">
        <v>18119</v>
      </c>
      <c r="C3922" s="71" t="s">
        <v>103</v>
      </c>
      <c r="D3922" s="78">
        <v>1</v>
      </c>
      <c r="E3922" s="79">
        <v>3657.7300000000005</v>
      </c>
      <c r="F3922" s="70">
        <v>3657.73</v>
      </c>
      <c r="G3922" s="320"/>
      <c r="H3922" s="79">
        <v>3316.7500000000005</v>
      </c>
      <c r="I3922" s="79">
        <v>340.98</v>
      </c>
      <c r="J3922" s="79">
        <v>3657.7300000000005</v>
      </c>
      <c r="K3922" s="79">
        <v>0</v>
      </c>
      <c r="L3922" s="70">
        <v>3657.7300000000005</v>
      </c>
      <c r="M3922" s="132"/>
      <c r="N3922" s="78">
        <v>3316.7500000000005</v>
      </c>
      <c r="O3922" s="78">
        <v>340.98</v>
      </c>
      <c r="P3922" s="79">
        <v>3657.7300000000005</v>
      </c>
      <c r="Q3922" s="136"/>
      <c r="R3922" s="79">
        <v>3316.75</v>
      </c>
      <c r="S3922" s="79">
        <v>340.98</v>
      </c>
      <c r="T3922" s="79">
        <v>3657.73</v>
      </c>
      <c r="U3922" s="79">
        <v>0</v>
      </c>
      <c r="V3922" s="189">
        <v>3657.73</v>
      </c>
      <c r="X3922" s="78">
        <v>3316.75</v>
      </c>
      <c r="Y3922" s="78">
        <v>340.98</v>
      </c>
      <c r="Z3922" s="79">
        <v>3657.73</v>
      </c>
      <c r="AA3922" s="255">
        <v>0</v>
      </c>
      <c r="AC3922" s="254"/>
    </row>
    <row r="3923" spans="1:29" ht="12">
      <c r="A3923" s="67" t="s">
        <v>18120</v>
      </c>
      <c r="B3923" s="65" t="s">
        <v>18121</v>
      </c>
      <c r="C3923" s="71" t="s">
        <v>103</v>
      </c>
      <c r="D3923" s="78">
        <v>1</v>
      </c>
      <c r="E3923" s="79">
        <v>5425.08</v>
      </c>
      <c r="F3923" s="70">
        <v>5425.08</v>
      </c>
      <c r="G3923" s="320"/>
      <c r="H3923" s="79">
        <v>5084.0999999999995</v>
      </c>
      <c r="I3923" s="79">
        <v>340.98</v>
      </c>
      <c r="J3923" s="79">
        <v>5425.08</v>
      </c>
      <c r="K3923" s="79">
        <v>0</v>
      </c>
      <c r="L3923" s="70">
        <v>5425.08</v>
      </c>
      <c r="M3923" s="132"/>
      <c r="N3923" s="78">
        <v>5084.0999999999995</v>
      </c>
      <c r="O3923" s="78">
        <v>340.98</v>
      </c>
      <c r="P3923" s="79">
        <v>5425.08</v>
      </c>
      <c r="Q3923" s="136"/>
      <c r="R3923" s="79">
        <v>5084.1000000000004</v>
      </c>
      <c r="S3923" s="79">
        <v>340.98</v>
      </c>
      <c r="T3923" s="79"/>
      <c r="U3923" s="79">
        <v>0</v>
      </c>
      <c r="V3923" s="189"/>
      <c r="X3923" s="79">
        <v>5084.1000000000004</v>
      </c>
      <c r="Y3923" s="79">
        <v>340.98</v>
      </c>
      <c r="Z3923" s="79">
        <v>5425.08</v>
      </c>
      <c r="AA3923" s="255">
        <v>0</v>
      </c>
      <c r="AC3923" s="254"/>
    </row>
    <row r="3924" spans="1:29" ht="12">
      <c r="A3924" s="489" t="s">
        <v>18122</v>
      </c>
      <c r="B3924" s="490" t="s">
        <v>18123</v>
      </c>
      <c r="C3924" s="491"/>
      <c r="D3924" s="78"/>
      <c r="E3924" s="79"/>
      <c r="F3924" s="70"/>
      <c r="G3924" s="320"/>
      <c r="H3924" s="79"/>
      <c r="I3924" s="79"/>
      <c r="J3924" s="79"/>
      <c r="K3924" s="79"/>
      <c r="L3924" s="70"/>
      <c r="M3924" s="132"/>
      <c r="N3924" s="79"/>
      <c r="O3924" s="79"/>
      <c r="P3924" s="79"/>
      <c r="Q3924" s="136"/>
      <c r="R3924" s="79"/>
      <c r="S3924" s="79"/>
      <c r="T3924" s="79"/>
      <c r="U3924" s="79"/>
      <c r="V3924" s="189"/>
      <c r="X3924" s="79"/>
      <c r="Y3924" s="79"/>
      <c r="Z3924" s="79"/>
      <c r="AA3924" s="255"/>
      <c r="AC3924" s="254"/>
    </row>
    <row r="3925" spans="1:29" ht="12">
      <c r="A3925" s="67" t="s">
        <v>18124</v>
      </c>
      <c r="B3925" s="65" t="s">
        <v>18125</v>
      </c>
      <c r="C3925" s="71" t="s">
        <v>103</v>
      </c>
      <c r="D3925" s="78">
        <v>1</v>
      </c>
      <c r="E3925" s="79">
        <v>873.97</v>
      </c>
      <c r="F3925" s="70">
        <v>873.97</v>
      </c>
      <c r="G3925" s="320"/>
      <c r="H3925" s="79">
        <v>652.45000000000005</v>
      </c>
      <c r="I3925" s="79">
        <v>221.51999999999998</v>
      </c>
      <c r="J3925" s="79">
        <v>873.97</v>
      </c>
      <c r="K3925" s="79">
        <v>0</v>
      </c>
      <c r="L3925" s="70">
        <v>873.97</v>
      </c>
      <c r="M3925" s="132"/>
      <c r="N3925" s="79">
        <v>652.45000000000005</v>
      </c>
      <c r="O3925" s="79">
        <v>221.51999999999998</v>
      </c>
      <c r="P3925" s="79">
        <v>873.97</v>
      </c>
      <c r="Q3925" s="136"/>
      <c r="R3925" s="79">
        <v>652.45000000000005</v>
      </c>
      <c r="S3925" s="79">
        <v>221.53</v>
      </c>
      <c r="T3925" s="79">
        <v>873.98</v>
      </c>
      <c r="U3925" s="79">
        <v>0</v>
      </c>
      <c r="V3925" s="189">
        <v>873.98</v>
      </c>
      <c r="X3925" s="79">
        <v>652.45000000000005</v>
      </c>
      <c r="Y3925" s="79">
        <v>221.53</v>
      </c>
      <c r="Z3925" s="79">
        <v>873.98</v>
      </c>
      <c r="AA3925" s="255">
        <v>-9.9999999999909051E-3</v>
      </c>
      <c r="AC3925" s="254"/>
    </row>
    <row r="3926" spans="1:29" ht="12">
      <c r="A3926" s="67" t="s">
        <v>18126</v>
      </c>
      <c r="B3926" s="65" t="s">
        <v>18127</v>
      </c>
      <c r="C3926" s="71" t="s">
        <v>103</v>
      </c>
      <c r="D3926" s="78">
        <v>1</v>
      </c>
      <c r="E3926" s="79">
        <v>878.15</v>
      </c>
      <c r="F3926" s="70">
        <v>878.15</v>
      </c>
      <c r="G3926" s="320"/>
      <c r="H3926" s="79">
        <v>639.32999999999993</v>
      </c>
      <c r="I3926" s="79">
        <v>238.82000000000002</v>
      </c>
      <c r="J3926" s="79">
        <v>878.15</v>
      </c>
      <c r="K3926" s="79">
        <v>0</v>
      </c>
      <c r="L3926" s="70">
        <v>878.15</v>
      </c>
      <c r="M3926" s="132"/>
      <c r="N3926" s="79">
        <v>639.32999999999993</v>
      </c>
      <c r="O3926" s="79">
        <v>238.82000000000002</v>
      </c>
      <c r="P3926" s="79">
        <v>878.15</v>
      </c>
      <c r="Q3926" s="136"/>
      <c r="R3926" s="79">
        <v>639.33000000000004</v>
      </c>
      <c r="S3926" s="79">
        <v>238.83</v>
      </c>
      <c r="T3926" s="79">
        <v>878.16000000000008</v>
      </c>
      <c r="U3926" s="79">
        <v>0</v>
      </c>
      <c r="V3926" s="189">
        <v>878.16000000000008</v>
      </c>
      <c r="X3926" s="79">
        <v>639.33000000000004</v>
      </c>
      <c r="Y3926" s="79">
        <v>238.83</v>
      </c>
      <c r="Z3926" s="79">
        <v>878.16</v>
      </c>
      <c r="AA3926" s="255">
        <v>-9.9999999999909051E-3</v>
      </c>
      <c r="AC3926" s="254"/>
    </row>
    <row r="3927" spans="1:29" ht="12">
      <c r="A3927" s="67" t="s">
        <v>18128</v>
      </c>
      <c r="B3927" s="65" t="s">
        <v>18129</v>
      </c>
      <c r="C3927" s="71" t="s">
        <v>103</v>
      </c>
      <c r="D3927" s="78">
        <v>1</v>
      </c>
      <c r="E3927" s="79">
        <v>1598.2599999999998</v>
      </c>
      <c r="F3927" s="70">
        <v>1598.26</v>
      </c>
      <c r="G3927" s="320"/>
      <c r="H3927" s="79">
        <v>1359.44</v>
      </c>
      <c r="I3927" s="79">
        <v>238.82000000000002</v>
      </c>
      <c r="J3927" s="79">
        <v>1598.26</v>
      </c>
      <c r="K3927" s="79">
        <v>0</v>
      </c>
      <c r="L3927" s="70">
        <v>1598.26</v>
      </c>
      <c r="M3927" s="132"/>
      <c r="N3927" s="79">
        <v>1359.44</v>
      </c>
      <c r="O3927" s="79">
        <v>238.82000000000002</v>
      </c>
      <c r="P3927" s="79">
        <v>1598.26</v>
      </c>
      <c r="Q3927" s="136"/>
      <c r="R3927" s="79">
        <v>1359.44</v>
      </c>
      <c r="S3927" s="79">
        <v>238.83</v>
      </c>
      <c r="T3927" s="79">
        <v>1598.27</v>
      </c>
      <c r="U3927" s="79">
        <v>0</v>
      </c>
      <c r="V3927" s="189">
        <v>1598.27</v>
      </c>
      <c r="X3927" s="79">
        <v>1359.44</v>
      </c>
      <c r="Y3927" s="79">
        <v>238.83</v>
      </c>
      <c r="Z3927" s="79">
        <v>1598.27</v>
      </c>
      <c r="AA3927" s="255">
        <v>-9.9999999999909051E-3</v>
      </c>
      <c r="AC3927" s="254"/>
    </row>
    <row r="3928" spans="1:29" ht="12">
      <c r="A3928" s="67" t="s">
        <v>18130</v>
      </c>
      <c r="B3928" s="65" t="s">
        <v>18131</v>
      </c>
      <c r="C3928" s="71" t="s">
        <v>103</v>
      </c>
      <c r="D3928" s="78">
        <v>1</v>
      </c>
      <c r="E3928" s="79">
        <v>1912.5899999999997</v>
      </c>
      <c r="F3928" s="70">
        <v>1912.59</v>
      </c>
      <c r="G3928" s="320"/>
      <c r="H3928" s="79">
        <v>1554.3399999999997</v>
      </c>
      <c r="I3928" s="79">
        <v>358.25</v>
      </c>
      <c r="J3928" s="79">
        <v>1912.5899999999997</v>
      </c>
      <c r="K3928" s="79">
        <v>0</v>
      </c>
      <c r="L3928" s="70">
        <v>1912.5899999999997</v>
      </c>
      <c r="M3928" s="132"/>
      <c r="N3928" s="79">
        <v>1554.3399999999997</v>
      </c>
      <c r="O3928" s="79">
        <v>358.25</v>
      </c>
      <c r="P3928" s="79">
        <v>1912.5899999999997</v>
      </c>
      <c r="Q3928" s="136"/>
      <c r="R3928" s="79">
        <v>1554.34</v>
      </c>
      <c r="S3928" s="79">
        <v>358.25</v>
      </c>
      <c r="T3928" s="79">
        <v>1912.59</v>
      </c>
      <c r="U3928" s="79">
        <v>0</v>
      </c>
      <c r="V3928" s="189">
        <v>1912.59</v>
      </c>
      <c r="X3928" s="79">
        <v>1554.34</v>
      </c>
      <c r="Y3928" s="79">
        <v>358.25</v>
      </c>
      <c r="Z3928" s="79">
        <v>1912.59</v>
      </c>
      <c r="AA3928" s="255">
        <v>0</v>
      </c>
      <c r="AC3928" s="254"/>
    </row>
    <row r="3929" spans="1:29" ht="12">
      <c r="A3929" s="67" t="s">
        <v>18132</v>
      </c>
      <c r="B3929" s="65" t="s">
        <v>18133</v>
      </c>
      <c r="C3929" s="71" t="s">
        <v>103</v>
      </c>
      <c r="D3929" s="78">
        <v>1</v>
      </c>
      <c r="E3929" s="79">
        <v>2302.6499999999996</v>
      </c>
      <c r="F3929" s="70">
        <v>2302.65</v>
      </c>
      <c r="G3929" s="320"/>
      <c r="H3929" s="79">
        <v>1825.0099999999995</v>
      </c>
      <c r="I3929" s="79">
        <v>477.64000000000004</v>
      </c>
      <c r="J3929" s="79">
        <v>2302.6499999999996</v>
      </c>
      <c r="K3929" s="79">
        <v>0</v>
      </c>
      <c r="L3929" s="70">
        <v>2302.6499999999996</v>
      </c>
      <c r="M3929" s="132"/>
      <c r="N3929" s="79">
        <v>1825.0099999999995</v>
      </c>
      <c r="O3929" s="79">
        <v>477.64000000000004</v>
      </c>
      <c r="P3929" s="79">
        <v>2302.6499999999996</v>
      </c>
      <c r="Q3929" s="136"/>
      <c r="R3929" s="79">
        <v>1825.01</v>
      </c>
      <c r="S3929" s="79">
        <v>477.66</v>
      </c>
      <c r="T3929" s="79">
        <v>2302.67</v>
      </c>
      <c r="U3929" s="79">
        <v>0</v>
      </c>
      <c r="V3929" s="189">
        <v>2302.67</v>
      </c>
      <c r="X3929" s="79">
        <v>1825.01</v>
      </c>
      <c r="Y3929" s="79">
        <v>477.66</v>
      </c>
      <c r="Z3929" s="79">
        <v>2302.67</v>
      </c>
      <c r="AA3929" s="255">
        <v>-1.999999999998181E-2</v>
      </c>
      <c r="AC3929" s="254"/>
    </row>
    <row r="3930" spans="1:29" ht="12">
      <c r="A3930" s="67" t="s">
        <v>18134</v>
      </c>
      <c r="B3930" s="65" t="s">
        <v>18135</v>
      </c>
      <c r="C3930" s="71" t="s">
        <v>103</v>
      </c>
      <c r="D3930" s="78">
        <v>1</v>
      </c>
      <c r="E3930" s="79">
        <v>3136.7200000000003</v>
      </c>
      <c r="F3930" s="70">
        <v>3136.72</v>
      </c>
      <c r="G3930" s="320"/>
      <c r="H3930" s="79">
        <v>2778.4700000000003</v>
      </c>
      <c r="I3930" s="79">
        <v>358.25</v>
      </c>
      <c r="J3930" s="79">
        <v>3136.7200000000003</v>
      </c>
      <c r="K3930" s="79">
        <v>0</v>
      </c>
      <c r="L3930" s="70">
        <v>3136.7200000000003</v>
      </c>
      <c r="M3930" s="132"/>
      <c r="N3930" s="79">
        <v>2778.4700000000003</v>
      </c>
      <c r="O3930" s="79">
        <v>358.25</v>
      </c>
      <c r="P3930" s="79">
        <v>3136.7200000000003</v>
      </c>
      <c r="Q3930" s="136"/>
      <c r="R3930" s="79">
        <v>2778.47</v>
      </c>
      <c r="S3930" s="79">
        <v>358.25</v>
      </c>
      <c r="T3930" s="79">
        <v>3136.72</v>
      </c>
      <c r="U3930" s="79">
        <v>0</v>
      </c>
      <c r="V3930" s="189">
        <v>3136.72</v>
      </c>
      <c r="X3930" s="79">
        <v>2778.47</v>
      </c>
      <c r="Y3930" s="79">
        <v>358.25</v>
      </c>
      <c r="Z3930" s="79">
        <v>3136.72</v>
      </c>
      <c r="AA3930" s="255">
        <v>0</v>
      </c>
      <c r="AC3930" s="254"/>
    </row>
    <row r="3931" spans="1:29" ht="12">
      <c r="A3931" s="67" t="s">
        <v>18136</v>
      </c>
      <c r="B3931" s="65" t="s">
        <v>18137</v>
      </c>
      <c r="C3931" s="71" t="s">
        <v>103</v>
      </c>
      <c r="D3931" s="78">
        <v>1</v>
      </c>
      <c r="E3931" s="79">
        <v>1897.8999999999996</v>
      </c>
      <c r="F3931" s="70">
        <v>1897.9</v>
      </c>
      <c r="G3931" s="320"/>
      <c r="H3931" s="79">
        <v>1539.6499999999996</v>
      </c>
      <c r="I3931" s="79">
        <v>358.25</v>
      </c>
      <c r="J3931" s="79">
        <v>1897.8999999999996</v>
      </c>
      <c r="K3931" s="79">
        <v>0</v>
      </c>
      <c r="L3931" s="70">
        <v>1897.8999999999996</v>
      </c>
      <c r="M3931" s="132"/>
      <c r="N3931" s="79">
        <v>1539.6499999999996</v>
      </c>
      <c r="O3931" s="79">
        <v>358.25</v>
      </c>
      <c r="P3931" s="79">
        <v>1897.8999999999996</v>
      </c>
      <c r="Q3931" s="136"/>
      <c r="R3931" s="79">
        <v>1539.65</v>
      </c>
      <c r="S3931" s="79">
        <v>358.25</v>
      </c>
      <c r="T3931" s="79">
        <v>1897.9</v>
      </c>
      <c r="U3931" s="79">
        <v>0</v>
      </c>
      <c r="V3931" s="189">
        <v>1897.9</v>
      </c>
      <c r="X3931" s="79">
        <v>1539.65</v>
      </c>
      <c r="Y3931" s="79">
        <v>358.25</v>
      </c>
      <c r="Z3931" s="79">
        <v>1897.9</v>
      </c>
      <c r="AA3931" s="255">
        <v>0</v>
      </c>
      <c r="AC3931" s="254"/>
    </row>
    <row r="3932" spans="1:29" ht="12">
      <c r="A3932" s="67" t="s">
        <v>18138</v>
      </c>
      <c r="B3932" s="65" t="s">
        <v>18139</v>
      </c>
      <c r="C3932" s="71" t="s">
        <v>103</v>
      </c>
      <c r="D3932" s="78">
        <v>1</v>
      </c>
      <c r="E3932" s="79">
        <v>3242.7</v>
      </c>
      <c r="F3932" s="70">
        <v>3242.7</v>
      </c>
      <c r="G3932" s="320"/>
      <c r="H3932" s="79">
        <v>2765.06</v>
      </c>
      <c r="I3932" s="79">
        <v>477.64000000000004</v>
      </c>
      <c r="J3932" s="79">
        <v>3242.7</v>
      </c>
      <c r="K3932" s="79">
        <v>0</v>
      </c>
      <c r="L3932" s="70">
        <v>3242.7</v>
      </c>
      <c r="M3932" s="132"/>
      <c r="N3932" s="79">
        <v>2765.06</v>
      </c>
      <c r="O3932" s="79">
        <v>477.64000000000004</v>
      </c>
      <c r="P3932" s="79">
        <v>3242.7</v>
      </c>
      <c r="Q3932" s="136"/>
      <c r="R3932" s="79">
        <v>2765.06</v>
      </c>
      <c r="S3932" s="79">
        <v>477.66</v>
      </c>
      <c r="T3932" s="79">
        <v>3242.72</v>
      </c>
      <c r="U3932" s="79">
        <v>0</v>
      </c>
      <c r="V3932" s="189">
        <v>3242.72</v>
      </c>
      <c r="X3932" s="79">
        <v>2765.06</v>
      </c>
      <c r="Y3932" s="79">
        <v>477.66</v>
      </c>
      <c r="Z3932" s="79">
        <v>3242.72</v>
      </c>
      <c r="AA3932" s="255">
        <v>-1.999999999998181E-2</v>
      </c>
      <c r="AC3932" s="254"/>
    </row>
    <row r="3933" spans="1:29" ht="12">
      <c r="A3933" s="67" t="s">
        <v>18140</v>
      </c>
      <c r="B3933" s="65" t="s">
        <v>18141</v>
      </c>
      <c r="C3933" s="71" t="s">
        <v>103</v>
      </c>
      <c r="D3933" s="78">
        <v>1</v>
      </c>
      <c r="E3933" s="79">
        <v>312.52</v>
      </c>
      <c r="F3933" s="70">
        <v>312.52</v>
      </c>
      <c r="G3933" s="320"/>
      <c r="H3933" s="79">
        <v>153.31</v>
      </c>
      <c r="I3933" s="79">
        <v>159.20999999999998</v>
      </c>
      <c r="J3933" s="79">
        <v>312.52</v>
      </c>
      <c r="K3933" s="79">
        <v>0</v>
      </c>
      <c r="L3933" s="70">
        <v>312.52</v>
      </c>
      <c r="M3933" s="132"/>
      <c r="N3933" s="79">
        <v>153.31</v>
      </c>
      <c r="O3933" s="79">
        <v>159.20999999999998</v>
      </c>
      <c r="P3933" s="79">
        <v>312.52</v>
      </c>
      <c r="Q3933" s="136"/>
      <c r="R3933" s="79">
        <v>153.31</v>
      </c>
      <c r="S3933" s="79">
        <v>159.22</v>
      </c>
      <c r="T3933" s="79">
        <v>312.52999999999997</v>
      </c>
      <c r="U3933" s="79">
        <v>0</v>
      </c>
      <c r="V3933" s="189">
        <v>312.52999999999997</v>
      </c>
      <c r="X3933" s="79">
        <v>153.31</v>
      </c>
      <c r="Y3933" s="79">
        <v>159.22</v>
      </c>
      <c r="Z3933" s="79">
        <v>312.52999999999997</v>
      </c>
      <c r="AA3933" s="255">
        <v>-9.9999999999909051E-3</v>
      </c>
      <c r="AC3933" s="254"/>
    </row>
    <row r="3934" spans="1:29" ht="12">
      <c r="A3934" s="67" t="s">
        <v>18142</v>
      </c>
      <c r="B3934" s="65" t="s">
        <v>18143</v>
      </c>
      <c r="C3934" s="71" t="s">
        <v>103</v>
      </c>
      <c r="D3934" s="78">
        <v>1</v>
      </c>
      <c r="E3934" s="79">
        <v>322.7</v>
      </c>
      <c r="F3934" s="70">
        <v>322.7</v>
      </c>
      <c r="G3934" s="320"/>
      <c r="H3934" s="79">
        <v>163.49</v>
      </c>
      <c r="I3934" s="79">
        <v>159.20999999999998</v>
      </c>
      <c r="J3934" s="79">
        <v>322.7</v>
      </c>
      <c r="K3934" s="79">
        <v>0</v>
      </c>
      <c r="L3934" s="70">
        <v>322.7</v>
      </c>
      <c r="M3934" s="132"/>
      <c r="N3934" s="79">
        <v>163.49</v>
      </c>
      <c r="O3934" s="79">
        <v>159.20999999999998</v>
      </c>
      <c r="P3934" s="79">
        <v>322.7</v>
      </c>
      <c r="Q3934" s="136"/>
      <c r="R3934" s="79">
        <v>163.49</v>
      </c>
      <c r="S3934" s="79">
        <v>159.22</v>
      </c>
      <c r="T3934" s="79">
        <v>322.71000000000004</v>
      </c>
      <c r="U3934" s="79">
        <v>0</v>
      </c>
      <c r="V3934" s="189">
        <v>322.71000000000004</v>
      </c>
      <c r="X3934" s="79">
        <v>163.49</v>
      </c>
      <c r="Y3934" s="79">
        <v>159.22</v>
      </c>
      <c r="Z3934" s="79">
        <v>322.70999999999998</v>
      </c>
      <c r="AA3934" s="255">
        <v>-9.9999999999909051E-3</v>
      </c>
      <c r="AC3934" s="254"/>
    </row>
    <row r="3935" spans="1:29" ht="12">
      <c r="A3935" s="67" t="s">
        <v>18144</v>
      </c>
      <c r="B3935" s="65" t="s">
        <v>18145</v>
      </c>
      <c r="C3935" s="71" t="s">
        <v>103</v>
      </c>
      <c r="D3935" s="78">
        <v>1</v>
      </c>
      <c r="E3935" s="79">
        <v>476.79000000000008</v>
      </c>
      <c r="F3935" s="70">
        <v>476.79</v>
      </c>
      <c r="G3935" s="320"/>
      <c r="H3935" s="79">
        <v>277.75</v>
      </c>
      <c r="I3935" s="79">
        <v>199.04</v>
      </c>
      <c r="J3935" s="79">
        <v>476.78999999999996</v>
      </c>
      <c r="K3935" s="79">
        <v>0</v>
      </c>
      <c r="L3935" s="70">
        <v>476.78999999999996</v>
      </c>
      <c r="M3935" s="132"/>
      <c r="N3935" s="79">
        <v>277.75</v>
      </c>
      <c r="O3935" s="79">
        <v>199.04</v>
      </c>
      <c r="P3935" s="79">
        <v>476.78999999999996</v>
      </c>
      <c r="Q3935" s="136"/>
      <c r="R3935" s="79">
        <v>277.75</v>
      </c>
      <c r="S3935" s="79">
        <v>199.03</v>
      </c>
      <c r="T3935" s="79">
        <v>476.78</v>
      </c>
      <c r="U3935" s="79">
        <v>0</v>
      </c>
      <c r="V3935" s="189">
        <v>476.78</v>
      </c>
      <c r="X3935" s="79">
        <v>277.75</v>
      </c>
      <c r="Y3935" s="79">
        <v>199.03</v>
      </c>
      <c r="Z3935" s="79">
        <v>476.78</v>
      </c>
      <c r="AA3935" s="255">
        <v>1.0000000000047748E-2</v>
      </c>
      <c r="AC3935" s="254"/>
    </row>
    <row r="3936" spans="1:29" ht="12">
      <c r="A3936" s="67" t="s">
        <v>18146</v>
      </c>
      <c r="B3936" s="65" t="s">
        <v>18147</v>
      </c>
      <c r="C3936" s="71" t="s">
        <v>103</v>
      </c>
      <c r="D3936" s="78">
        <v>1</v>
      </c>
      <c r="E3936" s="79">
        <v>794.31999999999994</v>
      </c>
      <c r="F3936" s="70">
        <v>794.32</v>
      </c>
      <c r="G3936" s="320"/>
      <c r="H3936" s="79">
        <v>555.5</v>
      </c>
      <c r="I3936" s="79">
        <v>238.82000000000002</v>
      </c>
      <c r="J3936" s="79">
        <v>794.32</v>
      </c>
      <c r="K3936" s="79">
        <v>0</v>
      </c>
      <c r="L3936" s="70">
        <v>794.32</v>
      </c>
      <c r="M3936" s="132"/>
      <c r="N3936" s="79">
        <v>555.5</v>
      </c>
      <c r="O3936" s="79">
        <v>238.82000000000002</v>
      </c>
      <c r="P3936" s="79">
        <v>794.32</v>
      </c>
      <c r="Q3936" s="136"/>
      <c r="R3936" s="79">
        <v>555.5</v>
      </c>
      <c r="S3936" s="79">
        <v>238.83</v>
      </c>
      <c r="T3936" s="79"/>
      <c r="U3936" s="79">
        <v>0</v>
      </c>
      <c r="V3936" s="189"/>
      <c r="X3936" s="79">
        <v>555.5</v>
      </c>
      <c r="Y3936" s="79">
        <v>238.83</v>
      </c>
      <c r="Z3936" s="79">
        <v>794.33</v>
      </c>
      <c r="AA3936" s="255">
        <v>-9.9999999999909051E-3</v>
      </c>
      <c r="AC3936" s="254"/>
    </row>
    <row r="3937" spans="1:29" ht="12">
      <c r="A3937" s="489" t="s">
        <v>18148</v>
      </c>
      <c r="B3937" s="490" t="s">
        <v>18149</v>
      </c>
      <c r="C3937" s="491"/>
      <c r="D3937" s="78"/>
      <c r="E3937" s="79"/>
      <c r="F3937" s="70"/>
      <c r="G3937" s="320"/>
      <c r="H3937" s="79"/>
      <c r="I3937" s="79"/>
      <c r="J3937" s="79"/>
      <c r="K3937" s="79"/>
      <c r="L3937" s="70"/>
      <c r="M3937" s="132"/>
      <c r="N3937" s="79"/>
      <c r="O3937" s="79"/>
      <c r="P3937" s="79"/>
      <c r="Q3937" s="136"/>
      <c r="R3937" s="79"/>
      <c r="S3937" s="79"/>
      <c r="T3937" s="79"/>
      <c r="U3937" s="79"/>
      <c r="V3937" s="189"/>
      <c r="X3937" s="79"/>
      <c r="Y3937" s="79"/>
      <c r="Z3937" s="79"/>
      <c r="AA3937" s="255"/>
      <c r="AC3937" s="254"/>
    </row>
    <row r="3938" spans="1:29" ht="12">
      <c r="A3938" s="67" t="s">
        <v>18150</v>
      </c>
      <c r="B3938" s="65" t="s">
        <v>18151</v>
      </c>
      <c r="C3938" s="71" t="s">
        <v>103</v>
      </c>
      <c r="D3938" s="78">
        <v>1</v>
      </c>
      <c r="E3938" s="79">
        <v>539.93999999999994</v>
      </c>
      <c r="F3938" s="70">
        <v>539.94000000000005</v>
      </c>
      <c r="G3938" s="320"/>
      <c r="H3938" s="79">
        <v>270.81</v>
      </c>
      <c r="I3938" s="79">
        <v>269.13</v>
      </c>
      <c r="J3938" s="79">
        <v>539.94000000000005</v>
      </c>
      <c r="K3938" s="79">
        <v>0</v>
      </c>
      <c r="L3938" s="70">
        <v>539.94000000000005</v>
      </c>
      <c r="M3938" s="132"/>
      <c r="N3938" s="79">
        <v>270.81</v>
      </c>
      <c r="O3938" s="79">
        <v>269.13</v>
      </c>
      <c r="P3938" s="79">
        <v>539.94000000000005</v>
      </c>
      <c r="Q3938" s="136"/>
      <c r="R3938" s="79">
        <v>270.81</v>
      </c>
      <c r="S3938" s="79">
        <v>269.14</v>
      </c>
      <c r="T3938" s="79">
        <v>539.95000000000005</v>
      </c>
      <c r="U3938" s="79">
        <v>0</v>
      </c>
      <c r="V3938" s="189">
        <v>539.95000000000005</v>
      </c>
      <c r="X3938" s="79">
        <v>270.81</v>
      </c>
      <c r="Y3938" s="79">
        <v>269.14</v>
      </c>
      <c r="Z3938" s="79">
        <v>539.95000000000005</v>
      </c>
      <c r="AA3938" s="255">
        <v>-9.9999999999909051E-3</v>
      </c>
      <c r="AC3938" s="254"/>
    </row>
    <row r="3939" spans="1:29" ht="12">
      <c r="A3939" s="67" t="s">
        <v>18152</v>
      </c>
      <c r="B3939" s="65" t="s">
        <v>18153</v>
      </c>
      <c r="C3939" s="71" t="s">
        <v>103</v>
      </c>
      <c r="D3939" s="78">
        <v>1</v>
      </c>
      <c r="E3939" s="79">
        <v>100.03999999999999</v>
      </c>
      <c r="F3939" s="70">
        <v>100.04</v>
      </c>
      <c r="G3939" s="320"/>
      <c r="H3939" s="79">
        <v>80.39</v>
      </c>
      <c r="I3939" s="79">
        <v>19.649999999999999</v>
      </c>
      <c r="J3939" s="79">
        <v>100.03999999999999</v>
      </c>
      <c r="K3939" s="79">
        <v>0</v>
      </c>
      <c r="L3939" s="70">
        <v>100.03999999999999</v>
      </c>
      <c r="M3939" s="132"/>
      <c r="N3939" s="79">
        <v>80.39</v>
      </c>
      <c r="O3939" s="79">
        <v>19.649999999999999</v>
      </c>
      <c r="P3939" s="79">
        <v>100.03999999999999</v>
      </c>
      <c r="Q3939" s="136"/>
      <c r="R3939" s="79">
        <v>80.39</v>
      </c>
      <c r="S3939" s="79">
        <v>19.64</v>
      </c>
      <c r="T3939" s="79">
        <v>100.03</v>
      </c>
      <c r="U3939" s="79">
        <v>0</v>
      </c>
      <c r="V3939" s="189">
        <v>100.03</v>
      </c>
      <c r="X3939" s="79">
        <v>80.39</v>
      </c>
      <c r="Y3939" s="79">
        <v>19.64</v>
      </c>
      <c r="Z3939" s="79">
        <v>100.03</v>
      </c>
      <c r="AA3939" s="255">
        <v>1.0000000000005116E-2</v>
      </c>
      <c r="AC3939" s="254"/>
    </row>
    <row r="3940" spans="1:29" ht="12">
      <c r="A3940" s="67" t="s">
        <v>18154</v>
      </c>
      <c r="B3940" s="65" t="s">
        <v>18155</v>
      </c>
      <c r="C3940" s="71" t="s">
        <v>103</v>
      </c>
      <c r="D3940" s="78">
        <v>1</v>
      </c>
      <c r="E3940" s="79">
        <v>941.68000000000006</v>
      </c>
      <c r="F3940" s="70">
        <v>941.68</v>
      </c>
      <c r="G3940" s="320"/>
      <c r="H3940" s="79">
        <v>902.4</v>
      </c>
      <c r="I3940" s="79">
        <v>39.28</v>
      </c>
      <c r="J3940" s="79">
        <v>941.68</v>
      </c>
      <c r="K3940" s="79">
        <v>0</v>
      </c>
      <c r="L3940" s="70">
        <v>941.68</v>
      </c>
      <c r="M3940" s="132"/>
      <c r="N3940" s="79">
        <v>902.4</v>
      </c>
      <c r="O3940" s="79">
        <v>39.28</v>
      </c>
      <c r="P3940" s="79">
        <v>941.68</v>
      </c>
      <c r="Q3940" s="136"/>
      <c r="R3940" s="79">
        <v>902.4</v>
      </c>
      <c r="S3940" s="79">
        <v>39.270000000000003</v>
      </c>
      <c r="T3940" s="79">
        <v>941.67</v>
      </c>
      <c r="U3940" s="79">
        <v>0</v>
      </c>
      <c r="V3940" s="189">
        <v>941.67</v>
      </c>
      <c r="X3940" s="79">
        <v>902.4</v>
      </c>
      <c r="Y3940" s="79">
        <v>39.270000000000003</v>
      </c>
      <c r="Z3940" s="79">
        <v>941.67</v>
      </c>
      <c r="AA3940" s="255">
        <v>9.9999999999909051E-3</v>
      </c>
      <c r="AC3940" s="254"/>
    </row>
    <row r="3941" spans="1:29" ht="12">
      <c r="A3941" s="67" t="s">
        <v>18156</v>
      </c>
      <c r="B3941" s="65" t="s">
        <v>18157</v>
      </c>
      <c r="C3941" s="71" t="s">
        <v>103</v>
      </c>
      <c r="D3941" s="78">
        <v>1</v>
      </c>
      <c r="E3941" s="79">
        <v>77.12</v>
      </c>
      <c r="F3941" s="70">
        <v>77.12</v>
      </c>
      <c r="G3941" s="320"/>
      <c r="H3941" s="79">
        <v>38.020000000000003</v>
      </c>
      <c r="I3941" s="79">
        <v>39.099999999999994</v>
      </c>
      <c r="J3941" s="79">
        <v>77.12</v>
      </c>
      <c r="K3941" s="79">
        <v>0</v>
      </c>
      <c r="L3941" s="70">
        <v>77.12</v>
      </c>
      <c r="M3941" s="132"/>
      <c r="N3941" s="79">
        <v>38.020000000000003</v>
      </c>
      <c r="O3941" s="79">
        <v>39.099999999999994</v>
      </c>
      <c r="P3941" s="79">
        <v>77.12</v>
      </c>
      <c r="Q3941" s="136"/>
      <c r="R3941" s="79">
        <v>38.020000000000003</v>
      </c>
      <c r="S3941" s="79">
        <v>39.08</v>
      </c>
      <c r="T3941" s="79"/>
      <c r="U3941" s="79">
        <v>0</v>
      </c>
      <c r="V3941" s="189"/>
      <c r="X3941" s="79">
        <v>38.020000000000003</v>
      </c>
      <c r="Y3941" s="79">
        <v>39.08</v>
      </c>
      <c r="Z3941" s="79">
        <v>77.099999999999994</v>
      </c>
      <c r="AA3941" s="255">
        <v>2.0000000000010232E-2</v>
      </c>
      <c r="AC3941" s="254"/>
    </row>
    <row r="3942" spans="1:29" ht="12">
      <c r="A3942" s="489" t="s">
        <v>18158</v>
      </c>
      <c r="B3942" s="490" t="s">
        <v>18159</v>
      </c>
      <c r="C3942" s="491"/>
      <c r="D3942" s="492"/>
      <c r="E3942" s="79"/>
      <c r="F3942" s="63"/>
      <c r="G3942" s="320"/>
      <c r="H3942" s="79"/>
      <c r="I3942" s="79"/>
      <c r="J3942" s="79"/>
      <c r="K3942" s="79"/>
      <c r="L3942" s="70"/>
      <c r="M3942" s="132"/>
      <c r="N3942" s="79"/>
      <c r="O3942" s="79"/>
      <c r="P3942" s="79"/>
      <c r="Q3942" s="136"/>
      <c r="R3942" s="79"/>
      <c r="S3942" s="79"/>
      <c r="T3942" s="79"/>
      <c r="U3942" s="79"/>
      <c r="V3942" s="189"/>
      <c r="X3942" s="79"/>
      <c r="Y3942" s="79"/>
      <c r="Z3942" s="79"/>
      <c r="AA3942" s="255"/>
      <c r="AC3942" s="254"/>
    </row>
    <row r="3943" spans="1:29" ht="12">
      <c r="A3943" s="489" t="s">
        <v>18160</v>
      </c>
      <c r="B3943" s="490" t="s">
        <v>18161</v>
      </c>
      <c r="C3943" s="491"/>
      <c r="D3943" s="78"/>
      <c r="E3943" s="79"/>
      <c r="F3943" s="70"/>
      <c r="G3943" s="320"/>
      <c r="H3943" s="79"/>
      <c r="I3943" s="79"/>
      <c r="J3943" s="79"/>
      <c r="K3943" s="79"/>
      <c r="L3943" s="70"/>
      <c r="M3943" s="132"/>
      <c r="N3943" s="79"/>
      <c r="O3943" s="79"/>
      <c r="P3943" s="79"/>
      <c r="Q3943" s="136"/>
      <c r="R3943" s="79"/>
      <c r="S3943" s="79"/>
      <c r="T3943" s="79"/>
      <c r="U3943" s="79"/>
      <c r="V3943" s="189"/>
      <c r="X3943" s="79"/>
      <c r="Y3943" s="79"/>
      <c r="Z3943" s="79"/>
      <c r="AA3943" s="255"/>
      <c r="AC3943" s="254"/>
    </row>
    <row r="3944" spans="1:29" ht="24">
      <c r="A3944" s="67" t="s">
        <v>18162</v>
      </c>
      <c r="B3944" s="65" t="s">
        <v>18163</v>
      </c>
      <c r="C3944" s="71" t="s">
        <v>103</v>
      </c>
      <c r="D3944" s="78">
        <v>1</v>
      </c>
      <c r="E3944" s="79">
        <v>82.66</v>
      </c>
      <c r="F3944" s="70">
        <v>82.66</v>
      </c>
      <c r="G3944" s="320"/>
      <c r="H3944" s="79">
        <v>82.66</v>
      </c>
      <c r="I3944" s="79">
        <v>0</v>
      </c>
      <c r="J3944" s="79">
        <v>82.66</v>
      </c>
      <c r="K3944" s="79">
        <v>0</v>
      </c>
      <c r="L3944" s="70">
        <v>82.66</v>
      </c>
      <c r="M3944" s="132"/>
      <c r="N3944" s="79">
        <v>82.66</v>
      </c>
      <c r="O3944" s="79"/>
      <c r="P3944" s="79">
        <v>82.66</v>
      </c>
      <c r="Q3944" s="136"/>
      <c r="R3944" s="79">
        <v>82.66</v>
      </c>
      <c r="S3944" s="79"/>
      <c r="T3944" s="79">
        <v>82.66</v>
      </c>
      <c r="U3944" s="79">
        <v>0</v>
      </c>
      <c r="V3944" s="189">
        <v>82.66</v>
      </c>
      <c r="X3944" s="79">
        <v>82.66</v>
      </c>
      <c r="Y3944" s="79"/>
      <c r="Z3944" s="79">
        <v>82.66</v>
      </c>
      <c r="AA3944" s="255">
        <v>0</v>
      </c>
      <c r="AC3944" s="254"/>
    </row>
    <row r="3945" spans="1:29" ht="24">
      <c r="A3945" s="67" t="s">
        <v>18164</v>
      </c>
      <c r="B3945" s="65" t="s">
        <v>18165</v>
      </c>
      <c r="C3945" s="71" t="s">
        <v>103</v>
      </c>
      <c r="D3945" s="78">
        <v>1</v>
      </c>
      <c r="E3945" s="79">
        <v>627.82999999999993</v>
      </c>
      <c r="F3945" s="70">
        <v>627.83000000000004</v>
      </c>
      <c r="G3945" s="320"/>
      <c r="H3945" s="79">
        <v>465.37999999999994</v>
      </c>
      <c r="I3945" s="79">
        <v>162.44999999999999</v>
      </c>
      <c r="J3945" s="79">
        <v>627.82999999999993</v>
      </c>
      <c r="K3945" s="79">
        <v>0</v>
      </c>
      <c r="L3945" s="70">
        <v>627.82999999999993</v>
      </c>
      <c r="M3945" s="132"/>
      <c r="N3945" s="79">
        <v>465.37999999999994</v>
      </c>
      <c r="O3945" s="79">
        <v>162.44999999999999</v>
      </c>
      <c r="P3945" s="79">
        <v>627.82999999999993</v>
      </c>
      <c r="Q3945" s="136"/>
      <c r="R3945" s="79">
        <v>465.38</v>
      </c>
      <c r="S3945" s="79">
        <v>162.44999999999999</v>
      </c>
      <c r="T3945" s="79">
        <v>627.82999999999993</v>
      </c>
      <c r="U3945" s="79">
        <v>0</v>
      </c>
      <c r="V3945" s="189">
        <v>627.82999999999993</v>
      </c>
      <c r="X3945" s="79">
        <v>465.38</v>
      </c>
      <c r="Y3945" s="79">
        <v>162.44999999999999</v>
      </c>
      <c r="Z3945" s="79">
        <v>627.83000000000004</v>
      </c>
      <c r="AA3945" s="255">
        <v>0</v>
      </c>
      <c r="AC3945" s="254"/>
    </row>
    <row r="3946" spans="1:29" ht="24">
      <c r="A3946" s="67" t="s">
        <v>18166</v>
      </c>
      <c r="B3946" s="65" t="s">
        <v>18167</v>
      </c>
      <c r="C3946" s="71" t="s">
        <v>103</v>
      </c>
      <c r="D3946" s="78">
        <v>1</v>
      </c>
      <c r="E3946" s="79">
        <v>1538.93</v>
      </c>
      <c r="F3946" s="70">
        <v>1538.93</v>
      </c>
      <c r="G3946" s="320"/>
      <c r="H3946" s="79">
        <v>1128.23</v>
      </c>
      <c r="I3946" s="79">
        <v>410.7</v>
      </c>
      <c r="J3946" s="79">
        <v>1538.93</v>
      </c>
      <c r="K3946" s="79">
        <v>0</v>
      </c>
      <c r="L3946" s="70">
        <v>1538.93</v>
      </c>
      <c r="M3946" s="132"/>
      <c r="N3946" s="79">
        <v>1128.23</v>
      </c>
      <c r="O3946" s="79">
        <v>410.7</v>
      </c>
      <c r="P3946" s="79">
        <v>1538.93</v>
      </c>
      <c r="Q3946" s="136"/>
      <c r="R3946" s="79">
        <v>1128.23</v>
      </c>
      <c r="S3946" s="79">
        <v>410.73</v>
      </c>
      <c r="T3946" s="79">
        <v>1538.96</v>
      </c>
      <c r="U3946" s="79">
        <v>0</v>
      </c>
      <c r="V3946" s="189">
        <v>1538.96</v>
      </c>
      <c r="X3946" s="654">
        <v>1128.23</v>
      </c>
      <c r="Y3946" s="654">
        <v>410.73</v>
      </c>
      <c r="Z3946" s="654">
        <v>1538.96</v>
      </c>
      <c r="AA3946" s="255">
        <v>-2.9999999999972715E-2</v>
      </c>
      <c r="AC3946" s="254"/>
    </row>
    <row r="3947" spans="1:29" ht="12">
      <c r="A3947" s="67" t="s">
        <v>18168</v>
      </c>
      <c r="B3947" s="65" t="s">
        <v>18169</v>
      </c>
      <c r="C3947" s="71" t="s">
        <v>103</v>
      </c>
      <c r="D3947" s="78">
        <v>1</v>
      </c>
      <c r="E3947" s="79">
        <v>2462.5299999999997</v>
      </c>
      <c r="F3947" s="70">
        <v>2462.5300000000002</v>
      </c>
      <c r="G3947" s="320"/>
      <c r="H3947" s="79">
        <v>2454.6799999999998</v>
      </c>
      <c r="I3947" s="79">
        <v>7.85</v>
      </c>
      <c r="J3947" s="79">
        <v>2462.5299999999997</v>
      </c>
      <c r="K3947" s="79">
        <v>0</v>
      </c>
      <c r="L3947" s="70">
        <v>2462.5299999999997</v>
      </c>
      <c r="M3947" s="132"/>
      <c r="N3947" s="79">
        <v>2454.6799999999998</v>
      </c>
      <c r="O3947" s="79">
        <v>7.85</v>
      </c>
      <c r="P3947" s="79">
        <v>2462.5299999999997</v>
      </c>
      <c r="Q3947" s="136"/>
      <c r="R3947" s="79">
        <v>2454.6799999999998</v>
      </c>
      <c r="S3947" s="79">
        <v>7.85</v>
      </c>
      <c r="T3947" s="79">
        <v>2462.5299999999997</v>
      </c>
      <c r="U3947" s="79">
        <v>0</v>
      </c>
      <c r="V3947" s="189">
        <v>2462.5299999999997</v>
      </c>
      <c r="X3947" s="79">
        <v>2454.6799999999998</v>
      </c>
      <c r="Y3947" s="79">
        <v>7.85</v>
      </c>
      <c r="Z3947" s="79">
        <v>2462.5300000000002</v>
      </c>
      <c r="AA3947" s="255">
        <v>0</v>
      </c>
      <c r="AC3947" s="254"/>
    </row>
    <row r="3948" spans="1:29" ht="24">
      <c r="A3948" s="67" t="s">
        <v>18170</v>
      </c>
      <c r="B3948" s="65" t="s">
        <v>18171</v>
      </c>
      <c r="C3948" s="71" t="s">
        <v>103</v>
      </c>
      <c r="D3948" s="78">
        <v>1</v>
      </c>
      <c r="E3948" s="79">
        <v>180.98</v>
      </c>
      <c r="F3948" s="70">
        <v>180.98</v>
      </c>
      <c r="G3948" s="320"/>
      <c r="H3948" s="79">
        <v>158.66</v>
      </c>
      <c r="I3948" s="79">
        <v>22.32</v>
      </c>
      <c r="J3948" s="79">
        <v>180.98</v>
      </c>
      <c r="K3948" s="79">
        <v>0</v>
      </c>
      <c r="L3948" s="70">
        <v>180.98</v>
      </c>
      <c r="M3948" s="132"/>
      <c r="N3948" s="79">
        <v>158.66</v>
      </c>
      <c r="O3948" s="79">
        <v>22.32</v>
      </c>
      <c r="P3948" s="79">
        <v>180.98</v>
      </c>
      <c r="Q3948" s="136"/>
      <c r="R3948" s="79">
        <v>158.66</v>
      </c>
      <c r="S3948" s="79">
        <v>22.33</v>
      </c>
      <c r="T3948" s="79">
        <v>180.99</v>
      </c>
      <c r="U3948" s="79">
        <v>0</v>
      </c>
      <c r="V3948" s="189">
        <v>180.99</v>
      </c>
      <c r="X3948" s="79">
        <v>158.66</v>
      </c>
      <c r="Y3948" s="79">
        <v>22.33</v>
      </c>
      <c r="Z3948" s="79">
        <v>180.99</v>
      </c>
      <c r="AA3948" s="255">
        <v>-1.0000000000019327E-2</v>
      </c>
      <c r="AC3948" s="254"/>
    </row>
    <row r="3949" spans="1:29" ht="12">
      <c r="A3949" s="67" t="s">
        <v>18172</v>
      </c>
      <c r="B3949" s="65" t="s">
        <v>18173</v>
      </c>
      <c r="C3949" s="71" t="s">
        <v>103</v>
      </c>
      <c r="D3949" s="78">
        <v>1</v>
      </c>
      <c r="E3949" s="79">
        <v>46.349999999999994</v>
      </c>
      <c r="F3949" s="70">
        <v>46.35</v>
      </c>
      <c r="G3949" s="320"/>
      <c r="H3949" s="79">
        <v>37.97</v>
      </c>
      <c r="I3949" s="79">
        <v>8.379999999999999</v>
      </c>
      <c r="J3949" s="79">
        <v>46.349999999999994</v>
      </c>
      <c r="K3949" s="79">
        <v>0</v>
      </c>
      <c r="L3949" s="70">
        <v>46.349999999999994</v>
      </c>
      <c r="M3949" s="132"/>
      <c r="N3949" s="79">
        <v>37.97</v>
      </c>
      <c r="O3949" s="79">
        <v>8.379999999999999</v>
      </c>
      <c r="P3949" s="79">
        <v>46.349999999999994</v>
      </c>
      <c r="Q3949" s="136"/>
      <c r="R3949" s="79">
        <v>37.97</v>
      </c>
      <c r="S3949" s="79">
        <v>8.3800000000000008</v>
      </c>
      <c r="T3949" s="79">
        <v>46.35</v>
      </c>
      <c r="U3949" s="79">
        <v>0</v>
      </c>
      <c r="V3949" s="189">
        <v>46.35</v>
      </c>
      <c r="X3949" s="79">
        <v>37.97</v>
      </c>
      <c r="Y3949" s="79">
        <v>8.3800000000000008</v>
      </c>
      <c r="Z3949" s="79">
        <v>46.35</v>
      </c>
      <c r="AA3949" s="255">
        <v>0</v>
      </c>
      <c r="AC3949" s="254"/>
    </row>
    <row r="3950" spans="1:29" ht="12">
      <c r="A3950" s="67" t="s">
        <v>18174</v>
      </c>
      <c r="B3950" s="65" t="s">
        <v>18175</v>
      </c>
      <c r="C3950" s="71" t="s">
        <v>103</v>
      </c>
      <c r="D3950" s="78">
        <v>1</v>
      </c>
      <c r="E3950" s="79">
        <v>143.07999999999998</v>
      </c>
      <c r="F3950" s="70">
        <v>143.08000000000001</v>
      </c>
      <c r="G3950" s="320"/>
      <c r="H3950" s="79">
        <v>134.69999999999999</v>
      </c>
      <c r="I3950" s="79">
        <v>8.379999999999999</v>
      </c>
      <c r="J3950" s="79">
        <v>143.07999999999998</v>
      </c>
      <c r="K3950" s="79">
        <v>0</v>
      </c>
      <c r="L3950" s="70">
        <v>143.07999999999998</v>
      </c>
      <c r="M3950" s="132"/>
      <c r="N3950" s="79">
        <v>134.69999999999999</v>
      </c>
      <c r="O3950" s="79">
        <v>8.379999999999999</v>
      </c>
      <c r="P3950" s="79">
        <v>143.07999999999998</v>
      </c>
      <c r="Q3950" s="136"/>
      <c r="R3950" s="79">
        <v>134.69999999999999</v>
      </c>
      <c r="S3950" s="79">
        <v>8.3800000000000008</v>
      </c>
      <c r="T3950" s="79">
        <v>143.07999999999998</v>
      </c>
      <c r="U3950" s="79">
        <v>0</v>
      </c>
      <c r="V3950" s="189">
        <v>143.07999999999998</v>
      </c>
      <c r="X3950" s="79">
        <v>134.69999999999999</v>
      </c>
      <c r="Y3950" s="79">
        <v>8.3800000000000008</v>
      </c>
      <c r="Z3950" s="79">
        <v>143.08000000000001</v>
      </c>
      <c r="AA3950" s="255">
        <v>0</v>
      </c>
      <c r="AC3950" s="254"/>
    </row>
    <row r="3951" spans="1:29" ht="12">
      <c r="A3951" s="67" t="s">
        <v>18176</v>
      </c>
      <c r="B3951" s="65" t="s">
        <v>18177</v>
      </c>
      <c r="C3951" s="71" t="s">
        <v>396</v>
      </c>
      <c r="D3951" s="78">
        <v>1</v>
      </c>
      <c r="E3951" s="79">
        <v>3521.95</v>
      </c>
      <c r="F3951" s="70">
        <v>3521.95</v>
      </c>
      <c r="G3951" s="320"/>
      <c r="H3951" s="79">
        <v>3521.95</v>
      </c>
      <c r="I3951" s="79">
        <v>0</v>
      </c>
      <c r="J3951" s="79">
        <v>3521.95</v>
      </c>
      <c r="K3951" s="79">
        <v>0</v>
      </c>
      <c r="L3951" s="70">
        <v>3521.95</v>
      </c>
      <c r="M3951" s="132"/>
      <c r="N3951" s="79">
        <v>3521.95</v>
      </c>
      <c r="O3951" s="79"/>
      <c r="P3951" s="79">
        <v>3521.95</v>
      </c>
      <c r="Q3951" s="136"/>
      <c r="R3951" s="79">
        <v>3521.95</v>
      </c>
      <c r="S3951" s="79"/>
      <c r="T3951" s="79">
        <v>3521.95</v>
      </c>
      <c r="U3951" s="79">
        <v>0</v>
      </c>
      <c r="V3951" s="189">
        <v>3521.95</v>
      </c>
      <c r="X3951" s="79">
        <v>3521.95</v>
      </c>
      <c r="Y3951" s="79"/>
      <c r="Z3951" s="79">
        <v>3521.95</v>
      </c>
      <c r="AA3951" s="255">
        <v>0</v>
      </c>
      <c r="AC3951" s="254"/>
    </row>
    <row r="3952" spans="1:29" ht="12">
      <c r="A3952" s="67" t="s">
        <v>18178</v>
      </c>
      <c r="B3952" s="65" t="s">
        <v>18179</v>
      </c>
      <c r="C3952" s="71" t="s">
        <v>396</v>
      </c>
      <c r="D3952" s="78">
        <v>1</v>
      </c>
      <c r="E3952" s="79">
        <v>37367.410000000003</v>
      </c>
      <c r="F3952" s="70">
        <v>37367.410000000003</v>
      </c>
      <c r="G3952" s="320"/>
      <c r="H3952" s="79">
        <v>37367.410000000003</v>
      </c>
      <c r="I3952" s="79">
        <v>0</v>
      </c>
      <c r="J3952" s="79">
        <v>37367.410000000003</v>
      </c>
      <c r="K3952" s="79">
        <v>0</v>
      </c>
      <c r="L3952" s="70">
        <v>37367.410000000003</v>
      </c>
      <c r="M3952" s="132"/>
      <c r="N3952" s="79">
        <v>37367.410000000003</v>
      </c>
      <c r="O3952" s="79"/>
      <c r="P3952" s="79">
        <v>37367.410000000003</v>
      </c>
      <c r="Q3952" s="136"/>
      <c r="R3952" s="79">
        <v>37367.410000000003</v>
      </c>
      <c r="S3952" s="79"/>
      <c r="T3952" s="79">
        <v>37367.410000000003</v>
      </c>
      <c r="U3952" s="79">
        <v>0</v>
      </c>
      <c r="V3952" s="189">
        <v>37367.410000000003</v>
      </c>
      <c r="X3952" s="79">
        <v>37367.410000000003</v>
      </c>
      <c r="Y3952" s="79"/>
      <c r="Z3952" s="79">
        <v>37367.410000000003</v>
      </c>
      <c r="AA3952" s="255">
        <v>0</v>
      </c>
      <c r="AC3952" s="254"/>
    </row>
    <row r="3953" spans="1:31" ht="12">
      <c r="A3953" s="489" t="s">
        <v>18180</v>
      </c>
      <c r="B3953" s="490" t="s">
        <v>18181</v>
      </c>
      <c r="C3953" s="491"/>
      <c r="D3953" s="78"/>
      <c r="E3953" s="79"/>
      <c r="F3953" s="70"/>
      <c r="G3953" s="320"/>
      <c r="H3953" s="79"/>
      <c r="I3953" s="79"/>
      <c r="J3953" s="79"/>
      <c r="K3953" s="79"/>
      <c r="L3953" s="70"/>
      <c r="M3953" s="132"/>
      <c r="N3953" s="79"/>
      <c r="O3953" s="79"/>
      <c r="P3953" s="79"/>
      <c r="Q3953" s="136"/>
      <c r="R3953" s="79"/>
      <c r="S3953" s="79"/>
      <c r="T3953" s="79"/>
      <c r="U3953" s="79"/>
      <c r="V3953" s="189"/>
      <c r="X3953" s="79"/>
      <c r="Y3953" s="79"/>
      <c r="Z3953" s="79"/>
      <c r="AA3953" s="255"/>
      <c r="AC3953" s="254"/>
    </row>
    <row r="3954" spans="1:31" ht="12">
      <c r="A3954" s="67" t="s">
        <v>18182</v>
      </c>
      <c r="B3954" s="65" t="s">
        <v>18183</v>
      </c>
      <c r="C3954" s="71" t="s">
        <v>103</v>
      </c>
      <c r="D3954" s="78">
        <v>1</v>
      </c>
      <c r="E3954" s="79">
        <v>9844.99</v>
      </c>
      <c r="F3954" s="70">
        <v>9844.99</v>
      </c>
      <c r="G3954" s="320"/>
      <c r="H3954" s="79">
        <v>9761.23</v>
      </c>
      <c r="I3954" s="79">
        <v>83.76</v>
      </c>
      <c r="J3954" s="79">
        <v>9844.99</v>
      </c>
      <c r="K3954" s="79">
        <v>0</v>
      </c>
      <c r="L3954" s="70">
        <v>9844.99</v>
      </c>
      <c r="M3954" s="132"/>
      <c r="N3954" s="79">
        <v>9761.23</v>
      </c>
      <c r="O3954" s="79">
        <v>83.76</v>
      </c>
      <c r="P3954" s="79">
        <v>9844.99</v>
      </c>
      <c r="Q3954" s="136"/>
      <c r="R3954" s="79">
        <v>9761.23</v>
      </c>
      <c r="S3954" s="79">
        <v>83.75</v>
      </c>
      <c r="T3954" s="79">
        <v>9844.98</v>
      </c>
      <c r="U3954" s="79">
        <v>0</v>
      </c>
      <c r="V3954" s="189">
        <v>9844.98</v>
      </c>
      <c r="X3954" s="79">
        <v>9761.23</v>
      </c>
      <c r="Y3954" s="79">
        <v>83.75</v>
      </c>
      <c r="Z3954" s="79">
        <v>9844.98</v>
      </c>
      <c r="AA3954" s="255">
        <v>1.0000000000218279E-2</v>
      </c>
      <c r="AC3954" s="254"/>
    </row>
    <row r="3955" spans="1:31" ht="12">
      <c r="A3955" s="67" t="s">
        <v>18184</v>
      </c>
      <c r="B3955" s="65" t="s">
        <v>18185</v>
      </c>
      <c r="C3955" s="71" t="s">
        <v>103</v>
      </c>
      <c r="D3955" s="78">
        <v>1</v>
      </c>
      <c r="E3955" s="79">
        <v>13266.95</v>
      </c>
      <c r="F3955" s="70">
        <v>13266.95</v>
      </c>
      <c r="G3955" s="320"/>
      <c r="H3955" s="79">
        <v>13183.19</v>
      </c>
      <c r="I3955" s="79">
        <v>83.76</v>
      </c>
      <c r="J3955" s="79">
        <v>13266.95</v>
      </c>
      <c r="K3955" s="79">
        <v>0</v>
      </c>
      <c r="L3955" s="70">
        <v>13266.95</v>
      </c>
      <c r="M3955" s="132"/>
      <c r="N3955" s="79">
        <v>13183.19</v>
      </c>
      <c r="O3955" s="79">
        <v>83.76</v>
      </c>
      <c r="P3955" s="79">
        <v>13266.95</v>
      </c>
      <c r="Q3955" s="136"/>
      <c r="R3955" s="79">
        <v>13183.19</v>
      </c>
      <c r="S3955" s="79">
        <v>83.75</v>
      </c>
      <c r="T3955" s="79">
        <v>13266.94</v>
      </c>
      <c r="U3955" s="79">
        <v>0</v>
      </c>
      <c r="V3955" s="189">
        <v>13266.94</v>
      </c>
      <c r="X3955" s="79">
        <v>13183.19</v>
      </c>
      <c r="Y3955" s="79">
        <v>83.75</v>
      </c>
      <c r="Z3955" s="79">
        <v>13266.94</v>
      </c>
      <c r="AA3955" s="255">
        <v>1.0000000000218279E-2</v>
      </c>
      <c r="AC3955" s="254"/>
    </row>
    <row r="3956" spans="1:31" ht="12">
      <c r="A3956" s="67" t="s">
        <v>18186</v>
      </c>
      <c r="B3956" s="65" t="s">
        <v>18187</v>
      </c>
      <c r="C3956" s="71" t="s">
        <v>103</v>
      </c>
      <c r="D3956" s="78">
        <v>1</v>
      </c>
      <c r="E3956" s="79">
        <v>44447.51</v>
      </c>
      <c r="F3956" s="70">
        <v>44447.51</v>
      </c>
      <c r="G3956" s="320"/>
      <c r="H3956" s="79">
        <v>44363.75</v>
      </c>
      <c r="I3956" s="79">
        <v>83.76</v>
      </c>
      <c r="J3956" s="79">
        <v>44447.51</v>
      </c>
      <c r="K3956" s="79">
        <v>0</v>
      </c>
      <c r="L3956" s="70">
        <v>44447.51</v>
      </c>
      <c r="M3956" s="132"/>
      <c r="N3956" s="79">
        <v>44363.75</v>
      </c>
      <c r="O3956" s="79">
        <v>83.76</v>
      </c>
      <c r="P3956" s="79">
        <v>44447.51</v>
      </c>
      <c r="Q3956" s="136"/>
      <c r="R3956" s="79">
        <v>44363.75</v>
      </c>
      <c r="S3956" s="79">
        <v>83.75</v>
      </c>
      <c r="T3956" s="79"/>
      <c r="U3956" s="79">
        <v>0</v>
      </c>
      <c r="V3956" s="189"/>
      <c r="X3956" s="79">
        <v>44363.75</v>
      </c>
      <c r="Y3956" s="79">
        <v>83.75</v>
      </c>
      <c r="Z3956" s="79">
        <v>44447.5</v>
      </c>
      <c r="AA3956" s="255">
        <v>1.0000000002037268E-2</v>
      </c>
      <c r="AC3956" s="254"/>
    </row>
    <row r="3957" spans="1:31" ht="12">
      <c r="A3957" s="489" t="s">
        <v>18188</v>
      </c>
      <c r="B3957" s="490" t="s">
        <v>18189</v>
      </c>
      <c r="C3957" s="491"/>
      <c r="D3957" s="78"/>
      <c r="E3957" s="79"/>
      <c r="F3957" s="70"/>
      <c r="G3957" s="320"/>
      <c r="H3957" s="79"/>
      <c r="I3957" s="79"/>
      <c r="J3957" s="79"/>
      <c r="K3957" s="79"/>
      <c r="L3957" s="70"/>
      <c r="M3957" s="132"/>
      <c r="N3957" s="79"/>
      <c r="O3957" s="79"/>
      <c r="P3957" s="79"/>
      <c r="Q3957" s="136"/>
      <c r="R3957" s="79"/>
      <c r="S3957" s="79"/>
      <c r="T3957" s="79"/>
      <c r="U3957" s="79"/>
      <c r="V3957" s="189"/>
      <c r="X3957" s="79"/>
      <c r="Y3957" s="79"/>
      <c r="Z3957" s="79"/>
      <c r="AA3957" s="255"/>
      <c r="AC3957" s="254"/>
    </row>
    <row r="3958" spans="1:31" ht="24">
      <c r="A3958" s="67" t="s">
        <v>18190</v>
      </c>
      <c r="B3958" s="65" t="s">
        <v>18191</v>
      </c>
      <c r="C3958" s="71" t="s">
        <v>103</v>
      </c>
      <c r="D3958" s="78">
        <v>1</v>
      </c>
      <c r="E3958" s="79">
        <v>38360.43</v>
      </c>
      <c r="F3958" s="70">
        <v>38360.43</v>
      </c>
      <c r="G3958" s="320"/>
      <c r="H3958" s="79">
        <v>38203.360000000001</v>
      </c>
      <c r="I3958" s="79">
        <v>157.07</v>
      </c>
      <c r="J3958" s="79">
        <v>38360.43</v>
      </c>
      <c r="K3958" s="79">
        <v>0</v>
      </c>
      <c r="L3958" s="70">
        <v>38360.43</v>
      </c>
      <c r="M3958" s="132"/>
      <c r="N3958" s="79">
        <v>38203.360000000001</v>
      </c>
      <c r="O3958" s="79">
        <v>157.07</v>
      </c>
      <c r="P3958" s="79">
        <v>38360.43</v>
      </c>
      <c r="Q3958" s="136"/>
      <c r="R3958" s="79">
        <v>38203.360000000001</v>
      </c>
      <c r="S3958" s="79">
        <v>157.08000000000001</v>
      </c>
      <c r="T3958" s="79">
        <v>38360.44</v>
      </c>
      <c r="U3958" s="79">
        <v>0</v>
      </c>
      <c r="V3958" s="189">
        <v>38360.44</v>
      </c>
      <c r="X3958" s="79">
        <v>38203.360000000001</v>
      </c>
      <c r="Y3958" s="79">
        <v>157.08000000000001</v>
      </c>
      <c r="Z3958" s="79">
        <v>38360.44</v>
      </c>
      <c r="AA3958" s="255">
        <v>-1.0000000002037268E-2</v>
      </c>
      <c r="AC3958" s="254"/>
    </row>
    <row r="3959" spans="1:31" ht="24">
      <c r="A3959" s="67" t="s">
        <v>18192</v>
      </c>
      <c r="B3959" s="65" t="s">
        <v>18193</v>
      </c>
      <c r="C3959" s="71" t="s">
        <v>103</v>
      </c>
      <c r="D3959" s="78">
        <v>1</v>
      </c>
      <c r="E3959" s="79">
        <v>46319.96</v>
      </c>
      <c r="F3959" s="70">
        <v>46319.96</v>
      </c>
      <c r="G3959" s="320"/>
      <c r="H3959" s="79">
        <v>46162.89</v>
      </c>
      <c r="I3959" s="79">
        <v>157.07</v>
      </c>
      <c r="J3959" s="79">
        <v>46319.96</v>
      </c>
      <c r="K3959" s="79">
        <v>0</v>
      </c>
      <c r="L3959" s="70">
        <v>46319.96</v>
      </c>
      <c r="M3959" s="132"/>
      <c r="N3959" s="79">
        <v>46162.89</v>
      </c>
      <c r="O3959" s="79">
        <v>157.07</v>
      </c>
      <c r="P3959" s="79">
        <v>46319.96</v>
      </c>
      <c r="Q3959" s="136"/>
      <c r="R3959" s="79">
        <v>46162.89</v>
      </c>
      <c r="S3959" s="79">
        <v>157.08000000000001</v>
      </c>
      <c r="T3959" s="79">
        <v>46319.97</v>
      </c>
      <c r="U3959" s="79">
        <v>0</v>
      </c>
      <c r="V3959" s="189">
        <v>46319.97</v>
      </c>
      <c r="X3959" s="79">
        <v>46162.89</v>
      </c>
      <c r="Y3959" s="79">
        <v>157.08000000000001</v>
      </c>
      <c r="Z3959" s="79">
        <v>46319.97</v>
      </c>
      <c r="AA3959" s="255">
        <v>-1.0000000002037268E-2</v>
      </c>
      <c r="AC3959" s="254"/>
      <c r="AD3959" s="61"/>
      <c r="AE3959" s="61"/>
    </row>
    <row r="3960" spans="1:31" ht="24">
      <c r="A3960" s="67" t="s">
        <v>18194</v>
      </c>
      <c r="B3960" s="65" t="s">
        <v>18195</v>
      </c>
      <c r="C3960" s="71" t="s">
        <v>103</v>
      </c>
      <c r="D3960" s="78">
        <v>1</v>
      </c>
      <c r="E3960" s="79">
        <v>48560.92</v>
      </c>
      <c r="F3960" s="70">
        <v>48560.92</v>
      </c>
      <c r="G3960" s="320"/>
      <c r="H3960" s="79">
        <v>48403.85</v>
      </c>
      <c r="I3960" s="79">
        <v>157.07</v>
      </c>
      <c r="J3960" s="79">
        <v>48560.92</v>
      </c>
      <c r="K3960" s="79">
        <v>0</v>
      </c>
      <c r="L3960" s="70">
        <v>48560.92</v>
      </c>
      <c r="M3960" s="132"/>
      <c r="N3960" s="79">
        <v>48403.85</v>
      </c>
      <c r="O3960" s="79">
        <v>157.07</v>
      </c>
      <c r="P3960" s="79">
        <v>48560.92</v>
      </c>
      <c r="Q3960" s="136"/>
      <c r="R3960" s="79">
        <v>48403.85</v>
      </c>
      <c r="S3960" s="79">
        <v>157.08000000000001</v>
      </c>
      <c r="T3960" s="79">
        <v>48560.93</v>
      </c>
      <c r="U3960" s="79">
        <v>0</v>
      </c>
      <c r="V3960" s="189">
        <v>48560.93</v>
      </c>
      <c r="X3960" s="79">
        <v>48403.85</v>
      </c>
      <c r="Y3960" s="79">
        <v>157.08000000000001</v>
      </c>
      <c r="Z3960" s="79">
        <v>48560.93</v>
      </c>
      <c r="AA3960" s="255">
        <v>-1.0000000002037268E-2</v>
      </c>
      <c r="AC3960" s="254"/>
    </row>
    <row r="3961" spans="1:31" s="61" customFormat="1" ht="12">
      <c r="A3961" s="67" t="s">
        <v>18196</v>
      </c>
      <c r="B3961" s="65" t="s">
        <v>18197</v>
      </c>
      <c r="C3961" s="71" t="s">
        <v>103</v>
      </c>
      <c r="D3961" s="78">
        <v>1</v>
      </c>
      <c r="E3961" s="79">
        <v>6264.7</v>
      </c>
      <c r="F3961" s="70">
        <v>6264.7</v>
      </c>
      <c r="G3961" s="320"/>
      <c r="H3961" s="79">
        <v>6153.05</v>
      </c>
      <c r="I3961" s="79">
        <v>111.65</v>
      </c>
      <c r="J3961" s="79">
        <v>6264.7</v>
      </c>
      <c r="K3961" s="79">
        <v>0</v>
      </c>
      <c r="L3961" s="70">
        <v>6264.7</v>
      </c>
      <c r="M3961" s="132"/>
      <c r="N3961" s="79">
        <v>6153.05</v>
      </c>
      <c r="O3961" s="79">
        <v>111.65</v>
      </c>
      <c r="P3961" s="79">
        <v>6264.7</v>
      </c>
      <c r="Q3961" s="136"/>
      <c r="R3961" s="79">
        <v>6153.05</v>
      </c>
      <c r="S3961" s="79">
        <v>111.66</v>
      </c>
      <c r="T3961" s="79">
        <v>6264.71</v>
      </c>
      <c r="U3961" s="79">
        <v>0</v>
      </c>
      <c r="V3961" s="189">
        <v>6264.71</v>
      </c>
      <c r="X3961" s="79">
        <v>6153.05</v>
      </c>
      <c r="Y3961" s="79">
        <v>111.66</v>
      </c>
      <c r="Z3961" s="79">
        <v>6264.71</v>
      </c>
      <c r="AA3961" s="255">
        <v>-1.0000000000218279E-2</v>
      </c>
      <c r="AC3961" s="254"/>
      <c r="AD3961" s="236"/>
      <c r="AE3961" s="236"/>
    </row>
    <row r="3962" spans="1:31" ht="24">
      <c r="A3962" s="67" t="s">
        <v>18198</v>
      </c>
      <c r="B3962" s="65" t="s">
        <v>18199</v>
      </c>
      <c r="C3962" s="71" t="s">
        <v>103</v>
      </c>
      <c r="D3962" s="78">
        <v>1</v>
      </c>
      <c r="E3962" s="79">
        <v>15028.09</v>
      </c>
      <c r="F3962" s="70">
        <v>15028.09</v>
      </c>
      <c r="G3962" s="320"/>
      <c r="H3962" s="79">
        <v>14871.02</v>
      </c>
      <c r="I3962" s="79">
        <v>157.07</v>
      </c>
      <c r="J3962" s="79">
        <v>15028.09</v>
      </c>
      <c r="K3962" s="79">
        <v>0</v>
      </c>
      <c r="L3962" s="70">
        <v>15028.09</v>
      </c>
      <c r="M3962" s="132"/>
      <c r="N3962" s="79">
        <v>14871.02</v>
      </c>
      <c r="O3962" s="79">
        <v>157.07</v>
      </c>
      <c r="P3962" s="79">
        <v>15028.09</v>
      </c>
      <c r="Q3962" s="136"/>
      <c r="R3962" s="79">
        <v>14871.02</v>
      </c>
      <c r="S3962" s="79">
        <v>157.08000000000001</v>
      </c>
      <c r="T3962" s="79">
        <v>15028.1</v>
      </c>
      <c r="U3962" s="79">
        <v>0</v>
      </c>
      <c r="V3962" s="189">
        <v>15028.1</v>
      </c>
      <c r="X3962" s="79">
        <v>14871.02</v>
      </c>
      <c r="Y3962" s="79">
        <v>157.08000000000001</v>
      </c>
      <c r="Z3962" s="79">
        <v>15028.1</v>
      </c>
      <c r="AA3962" s="255">
        <v>-1.0000000000218279E-2</v>
      </c>
      <c r="AC3962" s="254"/>
    </row>
    <row r="3963" spans="1:31" ht="12">
      <c r="A3963" s="67" t="s">
        <v>18200</v>
      </c>
      <c r="B3963" s="65" t="s">
        <v>18201</v>
      </c>
      <c r="C3963" s="71" t="s">
        <v>103</v>
      </c>
      <c r="D3963" s="78">
        <v>1</v>
      </c>
      <c r="E3963" s="79">
        <v>21795.09</v>
      </c>
      <c r="F3963" s="70">
        <v>21795.09</v>
      </c>
      <c r="G3963" s="320"/>
      <c r="H3963" s="79">
        <v>21683.439999999999</v>
      </c>
      <c r="I3963" s="79">
        <v>111.65</v>
      </c>
      <c r="J3963" s="79">
        <v>21795.09</v>
      </c>
      <c r="K3963" s="79">
        <v>0</v>
      </c>
      <c r="L3963" s="70">
        <v>21795.09</v>
      </c>
      <c r="M3963" s="132"/>
      <c r="N3963" s="79">
        <v>21683.439999999999</v>
      </c>
      <c r="O3963" s="79">
        <v>111.65</v>
      </c>
      <c r="P3963" s="79">
        <v>21795.09</v>
      </c>
      <c r="Q3963" s="136"/>
      <c r="R3963" s="79">
        <v>21683.439999999999</v>
      </c>
      <c r="S3963" s="79">
        <v>111.66</v>
      </c>
      <c r="T3963" s="79">
        <v>21795.1</v>
      </c>
      <c r="U3963" s="79">
        <v>0</v>
      </c>
      <c r="V3963" s="189">
        <v>21795.1</v>
      </c>
      <c r="X3963" s="79">
        <v>21683.439999999999</v>
      </c>
      <c r="Y3963" s="79">
        <v>111.66</v>
      </c>
      <c r="Z3963" s="79">
        <v>21795.1</v>
      </c>
      <c r="AA3963" s="255">
        <v>-9.9999999983992893E-3</v>
      </c>
      <c r="AC3963" s="254"/>
    </row>
    <row r="3964" spans="1:31" ht="24">
      <c r="A3964" s="67" t="s">
        <v>18202</v>
      </c>
      <c r="B3964" s="65" t="s">
        <v>18203</v>
      </c>
      <c r="C3964" s="71" t="s">
        <v>103</v>
      </c>
      <c r="D3964" s="78">
        <v>1</v>
      </c>
      <c r="E3964" s="79">
        <v>1051.77</v>
      </c>
      <c r="F3964" s="70">
        <v>1051.77</v>
      </c>
      <c r="G3964" s="320"/>
      <c r="H3964" s="79">
        <v>995.94</v>
      </c>
      <c r="I3964" s="79">
        <v>55.83</v>
      </c>
      <c r="J3964" s="79">
        <v>1051.77</v>
      </c>
      <c r="K3964" s="79">
        <v>0</v>
      </c>
      <c r="L3964" s="70">
        <v>1051.77</v>
      </c>
      <c r="M3964" s="132"/>
      <c r="N3964" s="79">
        <v>995.94</v>
      </c>
      <c r="O3964" s="79">
        <v>55.83</v>
      </c>
      <c r="P3964" s="79">
        <v>1051.77</v>
      </c>
      <c r="Q3964" s="136"/>
      <c r="R3964" s="79">
        <v>995.94</v>
      </c>
      <c r="S3964" s="79">
        <v>55.83</v>
      </c>
      <c r="T3964" s="79">
        <v>1051.77</v>
      </c>
      <c r="U3964" s="79">
        <v>0</v>
      </c>
      <c r="V3964" s="189">
        <v>1051.77</v>
      </c>
      <c r="X3964" s="79">
        <v>995.94</v>
      </c>
      <c r="Y3964" s="79">
        <v>55.83</v>
      </c>
      <c r="Z3964" s="79">
        <v>1051.77</v>
      </c>
      <c r="AA3964" s="255">
        <v>0</v>
      </c>
      <c r="AC3964" s="254"/>
    </row>
    <row r="3965" spans="1:31" ht="24">
      <c r="A3965" s="67" t="s">
        <v>18204</v>
      </c>
      <c r="B3965" s="65" t="s">
        <v>18205</v>
      </c>
      <c r="C3965" s="71" t="s">
        <v>103</v>
      </c>
      <c r="D3965" s="78">
        <v>1</v>
      </c>
      <c r="E3965" s="79">
        <v>39233.269999999997</v>
      </c>
      <c r="F3965" s="70">
        <v>39233.269999999997</v>
      </c>
      <c r="G3965" s="320"/>
      <c r="H3965" s="79">
        <v>39076.199999999997</v>
      </c>
      <c r="I3965" s="79">
        <v>157.07</v>
      </c>
      <c r="J3965" s="79">
        <v>39233.269999999997</v>
      </c>
      <c r="K3965" s="79">
        <v>0</v>
      </c>
      <c r="L3965" s="70">
        <v>39233.269999999997</v>
      </c>
      <c r="M3965" s="132"/>
      <c r="N3965" s="79">
        <v>39076.199999999997</v>
      </c>
      <c r="O3965" s="79">
        <v>157.07</v>
      </c>
      <c r="P3965" s="79">
        <v>39233.269999999997</v>
      </c>
      <c r="Q3965" s="136"/>
      <c r="R3965" s="79">
        <v>39076.199999999997</v>
      </c>
      <c r="S3965" s="79">
        <v>157.08000000000001</v>
      </c>
      <c r="T3965" s="79">
        <v>39233.279999999999</v>
      </c>
      <c r="U3965" s="79">
        <v>0</v>
      </c>
      <c r="V3965" s="189">
        <v>39233.279999999999</v>
      </c>
      <c r="X3965" s="79">
        <v>39076.199999999997</v>
      </c>
      <c r="Y3965" s="79">
        <v>157.08000000000001</v>
      </c>
      <c r="Z3965" s="79">
        <v>39233.279999999999</v>
      </c>
      <c r="AA3965" s="255">
        <v>-1.0000000002037268E-2</v>
      </c>
      <c r="AC3965" s="254"/>
    </row>
    <row r="3966" spans="1:31" ht="24">
      <c r="A3966" s="67" t="s">
        <v>18206</v>
      </c>
      <c r="B3966" s="65" t="s">
        <v>18207</v>
      </c>
      <c r="C3966" s="71" t="s">
        <v>103</v>
      </c>
      <c r="D3966" s="78">
        <v>1</v>
      </c>
      <c r="E3966" s="79">
        <v>57653.52</v>
      </c>
      <c r="F3966" s="70">
        <v>57653.52</v>
      </c>
      <c r="G3966" s="320"/>
      <c r="H3966" s="79">
        <v>57496.45</v>
      </c>
      <c r="I3966" s="79">
        <v>157.07</v>
      </c>
      <c r="J3966" s="79">
        <v>57653.52</v>
      </c>
      <c r="K3966" s="79">
        <v>0</v>
      </c>
      <c r="L3966" s="70">
        <v>57653.52</v>
      </c>
      <c r="M3966" s="132"/>
      <c r="N3966" s="79">
        <v>57496.45</v>
      </c>
      <c r="O3966" s="79">
        <v>157.07</v>
      </c>
      <c r="P3966" s="79">
        <v>57653.52</v>
      </c>
      <c r="Q3966" s="136"/>
      <c r="R3966" s="79">
        <v>57496.45</v>
      </c>
      <c r="S3966" s="79">
        <v>157.08000000000001</v>
      </c>
      <c r="T3966" s="79">
        <v>57653.53</v>
      </c>
      <c r="U3966" s="79">
        <v>0</v>
      </c>
      <c r="V3966" s="189">
        <v>57653.53</v>
      </c>
      <c r="X3966" s="79">
        <v>57496.45</v>
      </c>
      <c r="Y3966" s="79">
        <v>157.08000000000001</v>
      </c>
      <c r="Z3966" s="79">
        <v>57653.53</v>
      </c>
      <c r="AA3966" s="255">
        <v>-1.0000000002037268E-2</v>
      </c>
      <c r="AC3966" s="254"/>
    </row>
    <row r="3967" spans="1:31" ht="24">
      <c r="A3967" s="67" t="s">
        <v>18208</v>
      </c>
      <c r="B3967" s="65" t="s">
        <v>18209</v>
      </c>
      <c r="C3967" s="71" t="s">
        <v>103</v>
      </c>
      <c r="D3967" s="78">
        <v>1</v>
      </c>
      <c r="E3967" s="79">
        <v>124772.23000000001</v>
      </c>
      <c r="F3967" s="70">
        <v>124772.23</v>
      </c>
      <c r="G3967" s="320"/>
      <c r="H3967" s="79">
        <v>124615.16</v>
      </c>
      <c r="I3967" s="79">
        <v>157.07</v>
      </c>
      <c r="J3967" s="79">
        <v>124772.23000000001</v>
      </c>
      <c r="K3967" s="79">
        <v>0</v>
      </c>
      <c r="L3967" s="70">
        <v>124772.23000000001</v>
      </c>
      <c r="M3967" s="132"/>
      <c r="N3967" s="79">
        <v>124615.16</v>
      </c>
      <c r="O3967" s="79">
        <v>157.07</v>
      </c>
      <c r="P3967" s="79">
        <v>124772.23000000001</v>
      </c>
      <c r="Q3967" s="136"/>
      <c r="R3967" s="79">
        <v>124615.16</v>
      </c>
      <c r="S3967" s="79">
        <v>157.08000000000001</v>
      </c>
      <c r="T3967" s="79">
        <v>124772.24</v>
      </c>
      <c r="U3967" s="79">
        <v>0</v>
      </c>
      <c r="V3967" s="189">
        <v>124772.24</v>
      </c>
      <c r="X3967" s="79">
        <v>124615.16</v>
      </c>
      <c r="Y3967" s="79">
        <v>157.08000000000001</v>
      </c>
      <c r="Z3967" s="79">
        <v>124772.24</v>
      </c>
      <c r="AA3967" s="255">
        <v>-1.0000000009313226E-2</v>
      </c>
      <c r="AC3967" s="254"/>
    </row>
    <row r="3968" spans="1:31" ht="24">
      <c r="A3968" s="67" t="s">
        <v>18210</v>
      </c>
      <c r="B3968" s="65" t="s">
        <v>18211</v>
      </c>
      <c r="C3968" s="71" t="s">
        <v>103</v>
      </c>
      <c r="D3968" s="78">
        <v>1</v>
      </c>
      <c r="E3968" s="79">
        <v>145121.55000000002</v>
      </c>
      <c r="F3968" s="70">
        <v>145121.54999999999</v>
      </c>
      <c r="G3968" s="320"/>
      <c r="H3968" s="79">
        <v>144964.48000000001</v>
      </c>
      <c r="I3968" s="79">
        <v>157.07</v>
      </c>
      <c r="J3968" s="79">
        <v>145121.55000000002</v>
      </c>
      <c r="K3968" s="79">
        <v>0</v>
      </c>
      <c r="L3968" s="70">
        <v>145121.55000000002</v>
      </c>
      <c r="M3968" s="132"/>
      <c r="N3968" s="79">
        <v>144964.48000000001</v>
      </c>
      <c r="O3968" s="79">
        <v>157.07</v>
      </c>
      <c r="P3968" s="79">
        <v>145121.55000000002</v>
      </c>
      <c r="Q3968" s="136"/>
      <c r="R3968" s="79">
        <v>144964.48000000001</v>
      </c>
      <c r="S3968" s="79">
        <v>157.08000000000001</v>
      </c>
      <c r="T3968" s="79">
        <v>145121.56</v>
      </c>
      <c r="U3968" s="79">
        <v>0</v>
      </c>
      <c r="V3968" s="189">
        <v>145121.56</v>
      </c>
      <c r="X3968" s="79">
        <v>144964.48000000001</v>
      </c>
      <c r="Y3968" s="79">
        <v>157.08000000000001</v>
      </c>
      <c r="Z3968" s="79">
        <v>145121.56</v>
      </c>
      <c r="AA3968" s="255">
        <v>-1.0000000009313226E-2</v>
      </c>
      <c r="AC3968" s="254"/>
    </row>
    <row r="3969" spans="1:31" ht="24">
      <c r="A3969" s="67" t="s">
        <v>18212</v>
      </c>
      <c r="B3969" s="65" t="s">
        <v>18213</v>
      </c>
      <c r="C3969" s="71" t="s">
        <v>103</v>
      </c>
      <c r="D3969" s="78">
        <v>1</v>
      </c>
      <c r="E3969" s="79">
        <v>51996.07</v>
      </c>
      <c r="F3969" s="70">
        <v>51996.07</v>
      </c>
      <c r="G3969" s="320"/>
      <c r="H3969" s="79">
        <v>51839</v>
      </c>
      <c r="I3969" s="79">
        <v>157.07</v>
      </c>
      <c r="J3969" s="79">
        <v>51996.07</v>
      </c>
      <c r="K3969" s="79">
        <v>0</v>
      </c>
      <c r="L3969" s="70">
        <v>51996.07</v>
      </c>
      <c r="M3969" s="132"/>
      <c r="N3969" s="79">
        <v>51839</v>
      </c>
      <c r="O3969" s="79">
        <v>157.07</v>
      </c>
      <c r="P3969" s="79">
        <v>51996.07</v>
      </c>
      <c r="Q3969" s="136"/>
      <c r="R3969" s="79">
        <v>51839</v>
      </c>
      <c r="S3969" s="79">
        <v>157.08000000000001</v>
      </c>
      <c r="T3969" s="79">
        <v>51996.08</v>
      </c>
      <c r="U3969" s="79">
        <v>0</v>
      </c>
      <c r="V3969" s="189">
        <v>51996.08</v>
      </c>
      <c r="X3969" s="79">
        <v>51839</v>
      </c>
      <c r="Y3969" s="79">
        <v>157.08000000000001</v>
      </c>
      <c r="Z3969" s="79">
        <v>51996.08</v>
      </c>
      <c r="AA3969" s="255">
        <v>-1.0000000002037268E-2</v>
      </c>
      <c r="AC3969" s="254"/>
    </row>
    <row r="3970" spans="1:31" ht="24">
      <c r="A3970" s="67" t="s">
        <v>18214</v>
      </c>
      <c r="B3970" s="65" t="s">
        <v>18215</v>
      </c>
      <c r="C3970" s="71" t="s">
        <v>103</v>
      </c>
      <c r="D3970" s="78">
        <v>1</v>
      </c>
      <c r="E3970" s="79">
        <v>31207.43</v>
      </c>
      <c r="F3970" s="70">
        <v>31207.43</v>
      </c>
      <c r="G3970" s="320"/>
      <c r="H3970" s="79">
        <v>31050.36</v>
      </c>
      <c r="I3970" s="79">
        <v>157.07</v>
      </c>
      <c r="J3970" s="79">
        <v>31207.43</v>
      </c>
      <c r="K3970" s="79">
        <v>0</v>
      </c>
      <c r="L3970" s="70">
        <v>31207.43</v>
      </c>
      <c r="M3970" s="132"/>
      <c r="N3970" s="79">
        <v>31050.36</v>
      </c>
      <c r="O3970" s="79">
        <v>157.07</v>
      </c>
      <c r="P3970" s="79">
        <v>31207.43</v>
      </c>
      <c r="Q3970" s="136"/>
      <c r="R3970" s="79">
        <v>31050.36</v>
      </c>
      <c r="S3970" s="79">
        <v>157.08000000000001</v>
      </c>
      <c r="T3970" s="79">
        <v>31207.440000000002</v>
      </c>
      <c r="U3970" s="79">
        <v>0</v>
      </c>
      <c r="V3970" s="189">
        <v>31207.440000000002</v>
      </c>
      <c r="X3970" s="79">
        <v>31050.36</v>
      </c>
      <c r="Y3970" s="79">
        <v>157.08000000000001</v>
      </c>
      <c r="Z3970" s="79">
        <v>31207.439999999999</v>
      </c>
      <c r="AA3970" s="255">
        <v>-9.9999999983992893E-3</v>
      </c>
      <c r="AC3970" s="254"/>
    </row>
    <row r="3971" spans="1:31" ht="24">
      <c r="A3971" s="67" t="s">
        <v>18216</v>
      </c>
      <c r="B3971" s="65" t="s">
        <v>18217</v>
      </c>
      <c r="C3971" s="71" t="s">
        <v>103</v>
      </c>
      <c r="D3971" s="78">
        <v>1</v>
      </c>
      <c r="E3971" s="79">
        <v>36762.51</v>
      </c>
      <c r="F3971" s="70">
        <v>36762.51</v>
      </c>
      <c r="G3971" s="320"/>
      <c r="H3971" s="79">
        <v>36605.440000000002</v>
      </c>
      <c r="I3971" s="79">
        <v>157.07</v>
      </c>
      <c r="J3971" s="79">
        <v>36762.51</v>
      </c>
      <c r="K3971" s="79">
        <v>0</v>
      </c>
      <c r="L3971" s="70">
        <v>36762.51</v>
      </c>
      <c r="M3971" s="132"/>
      <c r="N3971" s="79">
        <v>36605.440000000002</v>
      </c>
      <c r="O3971" s="79">
        <v>157.07</v>
      </c>
      <c r="P3971" s="79">
        <v>36762.51</v>
      </c>
      <c r="Q3971" s="136"/>
      <c r="R3971" s="79">
        <v>36605.440000000002</v>
      </c>
      <c r="S3971" s="79">
        <v>157.08000000000001</v>
      </c>
      <c r="T3971" s="79">
        <v>36762.520000000004</v>
      </c>
      <c r="U3971" s="79">
        <v>0</v>
      </c>
      <c r="V3971" s="189">
        <v>36762.520000000004</v>
      </c>
      <c r="X3971" s="79">
        <v>36605.440000000002</v>
      </c>
      <c r="Y3971" s="79">
        <v>157.08000000000001</v>
      </c>
      <c r="Z3971" s="79">
        <v>36762.519999999997</v>
      </c>
      <c r="AA3971" s="255">
        <v>-9.9999999947613105E-3</v>
      </c>
      <c r="AC3971" s="254"/>
    </row>
    <row r="3972" spans="1:31" ht="24">
      <c r="A3972" s="67" t="s">
        <v>18218</v>
      </c>
      <c r="B3972" s="65" t="s">
        <v>18219</v>
      </c>
      <c r="C3972" s="71" t="s">
        <v>103</v>
      </c>
      <c r="D3972" s="78">
        <v>1</v>
      </c>
      <c r="E3972" s="79">
        <v>67019.05</v>
      </c>
      <c r="F3972" s="70">
        <v>67019.05</v>
      </c>
      <c r="G3972" s="320"/>
      <c r="H3972" s="79">
        <v>66861.98</v>
      </c>
      <c r="I3972" s="79">
        <v>157.07</v>
      </c>
      <c r="J3972" s="79">
        <v>67019.05</v>
      </c>
      <c r="K3972" s="79">
        <v>0</v>
      </c>
      <c r="L3972" s="70">
        <v>67019.05</v>
      </c>
      <c r="M3972" s="132"/>
      <c r="N3972" s="79">
        <v>66861.98</v>
      </c>
      <c r="O3972" s="79">
        <v>157.07</v>
      </c>
      <c r="P3972" s="79">
        <v>67019.05</v>
      </c>
      <c r="Q3972" s="136"/>
      <c r="R3972" s="79">
        <v>66861.98</v>
      </c>
      <c r="S3972" s="79">
        <v>157.08000000000001</v>
      </c>
      <c r="T3972" s="79">
        <v>67019.06</v>
      </c>
      <c r="U3972" s="79">
        <v>0</v>
      </c>
      <c r="V3972" s="189">
        <v>67019.06</v>
      </c>
      <c r="X3972" s="79">
        <v>66861.98</v>
      </c>
      <c r="Y3972" s="79">
        <v>157.08000000000001</v>
      </c>
      <c r="Z3972" s="79">
        <v>67019.06</v>
      </c>
      <c r="AA3972" s="255">
        <v>-9.9999999947613105E-3</v>
      </c>
      <c r="AC3972" s="254"/>
    </row>
    <row r="3973" spans="1:31" ht="24">
      <c r="A3973" s="67" t="s">
        <v>18220</v>
      </c>
      <c r="B3973" s="65" t="s">
        <v>18221</v>
      </c>
      <c r="C3973" s="71" t="s">
        <v>103</v>
      </c>
      <c r="D3973" s="78">
        <v>1</v>
      </c>
      <c r="E3973" s="79">
        <v>43187.77</v>
      </c>
      <c r="F3973" s="70">
        <v>43187.77</v>
      </c>
      <c r="G3973" s="320"/>
      <c r="H3973" s="79">
        <v>43030.7</v>
      </c>
      <c r="I3973" s="79">
        <v>157.07</v>
      </c>
      <c r="J3973" s="79">
        <v>43187.77</v>
      </c>
      <c r="K3973" s="79">
        <v>0</v>
      </c>
      <c r="L3973" s="70">
        <v>43187.77</v>
      </c>
      <c r="M3973" s="132"/>
      <c r="N3973" s="79">
        <v>43030.7</v>
      </c>
      <c r="O3973" s="79">
        <v>157.07</v>
      </c>
      <c r="P3973" s="79">
        <v>43187.77</v>
      </c>
      <c r="Q3973" s="136"/>
      <c r="R3973" s="79">
        <v>43030.7</v>
      </c>
      <c r="S3973" s="79">
        <v>157.08000000000001</v>
      </c>
      <c r="T3973" s="79">
        <v>43187.78</v>
      </c>
      <c r="U3973" s="79">
        <v>0</v>
      </c>
      <c r="V3973" s="189">
        <v>43187.78</v>
      </c>
      <c r="X3973" s="506">
        <v>43030.7</v>
      </c>
      <c r="Y3973" s="506">
        <v>157.08000000000001</v>
      </c>
      <c r="Z3973" s="506">
        <v>43187.78</v>
      </c>
      <c r="AA3973" s="255">
        <v>-1.0000000002037268E-2</v>
      </c>
      <c r="AC3973" s="254"/>
    </row>
    <row r="3974" spans="1:31" ht="24">
      <c r="A3974" s="65" t="s">
        <v>18222</v>
      </c>
      <c r="B3974" s="65" t="s">
        <v>18223</v>
      </c>
      <c r="C3974" s="108" t="s">
        <v>103</v>
      </c>
      <c r="D3974" s="78">
        <v>1</v>
      </c>
      <c r="E3974" s="79">
        <v>98020.340000000011</v>
      </c>
      <c r="F3974" s="70">
        <v>98020.34</v>
      </c>
      <c r="G3974" s="320"/>
      <c r="H3974" s="79">
        <v>97863.27</v>
      </c>
      <c r="I3974" s="79">
        <v>157.07</v>
      </c>
      <c r="J3974" s="79">
        <v>98020.340000000011</v>
      </c>
      <c r="K3974" s="79">
        <v>0</v>
      </c>
      <c r="L3974" s="70">
        <v>98020.340000000011</v>
      </c>
      <c r="M3974" s="132"/>
      <c r="N3974" s="79">
        <v>97863.27</v>
      </c>
      <c r="O3974" s="79">
        <v>157.07</v>
      </c>
      <c r="P3974" s="79">
        <v>98020.340000000011</v>
      </c>
      <c r="Q3974" s="136"/>
      <c r="R3974" s="79">
        <v>97863.27</v>
      </c>
      <c r="S3974" s="79">
        <v>157.08000000000001</v>
      </c>
      <c r="T3974" s="79"/>
      <c r="U3974" s="79">
        <v>0</v>
      </c>
      <c r="V3974" s="189"/>
      <c r="X3974" s="79">
        <v>97863.27</v>
      </c>
      <c r="Y3974" s="79">
        <v>157.08000000000001</v>
      </c>
      <c r="Z3974" s="79">
        <v>98020.35</v>
      </c>
      <c r="AA3974" s="255">
        <v>-1.0000000009313226E-2</v>
      </c>
      <c r="AC3974" s="254"/>
    </row>
    <row r="3975" spans="1:31" ht="12">
      <c r="A3975" s="489" t="s">
        <v>18224</v>
      </c>
      <c r="B3975" s="490" t="s">
        <v>18225</v>
      </c>
      <c r="C3975" s="491"/>
      <c r="D3975" s="492"/>
      <c r="E3975" s="79"/>
      <c r="F3975" s="63"/>
      <c r="G3975" s="320"/>
      <c r="H3975" s="79"/>
      <c r="I3975" s="79"/>
      <c r="J3975" s="79"/>
      <c r="K3975" s="79"/>
      <c r="L3975" s="70"/>
      <c r="M3975" s="132"/>
      <c r="N3975" s="79"/>
      <c r="O3975" s="79"/>
      <c r="P3975" s="79"/>
      <c r="R3975" s="79"/>
      <c r="S3975" s="79"/>
      <c r="T3975" s="79"/>
      <c r="U3975" s="79"/>
      <c r="V3975" s="189"/>
      <c r="X3975" s="79"/>
      <c r="Y3975" s="79"/>
      <c r="Z3975" s="79"/>
      <c r="AA3975" s="255"/>
      <c r="AC3975" s="254"/>
      <c r="AD3975" s="61"/>
      <c r="AE3975" s="61"/>
    </row>
    <row r="3976" spans="1:31" ht="12">
      <c r="A3976" s="67" t="s">
        <v>40984</v>
      </c>
      <c r="B3976" s="65" t="s">
        <v>40985</v>
      </c>
      <c r="C3976" s="71" t="s">
        <v>103</v>
      </c>
      <c r="D3976" s="78">
        <v>1</v>
      </c>
      <c r="E3976" s="79">
        <v>796.39</v>
      </c>
      <c r="F3976" s="70">
        <v>796.39</v>
      </c>
      <c r="G3976" s="320"/>
      <c r="H3976" s="79">
        <v>732.67</v>
      </c>
      <c r="I3976" s="79">
        <v>63.72</v>
      </c>
      <c r="J3976" s="79">
        <v>796.39</v>
      </c>
      <c r="K3976" s="79">
        <v>0</v>
      </c>
      <c r="L3976" s="70">
        <v>796.39</v>
      </c>
      <c r="M3976" s="132"/>
      <c r="N3976" s="79">
        <v>732.67</v>
      </c>
      <c r="O3976" s="79">
        <v>63.72</v>
      </c>
      <c r="P3976" s="79">
        <v>796.39</v>
      </c>
      <c r="Q3976" s="136"/>
      <c r="R3976" s="79">
        <v>732.67</v>
      </c>
      <c r="S3976" s="79">
        <v>63.72</v>
      </c>
      <c r="T3976" s="79"/>
      <c r="U3976" s="79">
        <v>0</v>
      </c>
      <c r="V3976" s="189"/>
      <c r="X3976" s="79">
        <v>732.67</v>
      </c>
      <c r="Y3976" s="79">
        <v>63.72</v>
      </c>
      <c r="Z3976" s="79">
        <v>796.39</v>
      </c>
      <c r="AA3976" s="255">
        <v>0</v>
      </c>
      <c r="AC3976" s="254"/>
    </row>
    <row r="3977" spans="1:31" s="61" customFormat="1" ht="12">
      <c r="A3977" s="489" t="s">
        <v>18226</v>
      </c>
      <c r="B3977" s="490" t="s">
        <v>18227</v>
      </c>
      <c r="C3977" s="491"/>
      <c r="D3977" s="78"/>
      <c r="E3977" s="79"/>
      <c r="F3977" s="70"/>
      <c r="G3977" s="320"/>
      <c r="H3977" s="79"/>
      <c r="I3977" s="79"/>
      <c r="J3977" s="79"/>
      <c r="K3977" s="79"/>
      <c r="L3977" s="70"/>
      <c r="M3977" s="132"/>
      <c r="N3977" s="79"/>
      <c r="O3977" s="79"/>
      <c r="P3977" s="79"/>
      <c r="Q3977" s="136"/>
      <c r="R3977" s="79"/>
      <c r="S3977" s="79"/>
      <c r="T3977" s="79"/>
      <c r="U3977" s="79"/>
      <c r="V3977" s="189"/>
      <c r="X3977" s="79"/>
      <c r="Y3977" s="79"/>
      <c r="Z3977" s="79"/>
      <c r="AA3977" s="255"/>
      <c r="AC3977" s="254"/>
      <c r="AD3977" s="236"/>
      <c r="AE3977" s="236"/>
    </row>
    <row r="3978" spans="1:31" ht="12">
      <c r="A3978" s="67" t="s">
        <v>18228</v>
      </c>
      <c r="B3978" s="65" t="s">
        <v>18229</v>
      </c>
      <c r="C3978" s="71" t="s">
        <v>103</v>
      </c>
      <c r="D3978" s="78">
        <v>1</v>
      </c>
      <c r="E3978" s="79">
        <v>60.72</v>
      </c>
      <c r="F3978" s="70">
        <v>60.72</v>
      </c>
      <c r="G3978" s="320"/>
      <c r="H3978" s="79">
        <v>49.56</v>
      </c>
      <c r="I3978" s="79">
        <v>11.16</v>
      </c>
      <c r="J3978" s="79">
        <v>60.72</v>
      </c>
      <c r="K3978" s="79">
        <v>0</v>
      </c>
      <c r="L3978" s="70">
        <v>60.72</v>
      </c>
      <c r="M3978" s="132"/>
      <c r="N3978" s="79">
        <v>49.56</v>
      </c>
      <c r="O3978" s="79">
        <v>11.16</v>
      </c>
      <c r="P3978" s="79">
        <v>60.72</v>
      </c>
      <c r="Q3978" s="136"/>
      <c r="R3978" s="79">
        <v>49.56</v>
      </c>
      <c r="S3978" s="79">
        <v>11.16</v>
      </c>
      <c r="T3978" s="79">
        <v>60.72</v>
      </c>
      <c r="U3978" s="79">
        <v>0</v>
      </c>
      <c r="V3978" s="189">
        <v>60.72</v>
      </c>
      <c r="X3978" s="79">
        <v>49.56</v>
      </c>
      <c r="Y3978" s="79">
        <v>11.16</v>
      </c>
      <c r="Z3978" s="79">
        <v>60.72</v>
      </c>
      <c r="AA3978" s="255">
        <v>0</v>
      </c>
      <c r="AC3978" s="254"/>
    </row>
    <row r="3979" spans="1:31" ht="12">
      <c r="A3979" s="67" t="s">
        <v>18230</v>
      </c>
      <c r="B3979" s="65" t="s">
        <v>18231</v>
      </c>
      <c r="C3979" s="71" t="s">
        <v>103</v>
      </c>
      <c r="D3979" s="78">
        <v>1</v>
      </c>
      <c r="E3979" s="79">
        <v>791.27</v>
      </c>
      <c r="F3979" s="70">
        <v>791.27</v>
      </c>
      <c r="G3979" s="320"/>
      <c r="H3979" s="79">
        <v>746.61</v>
      </c>
      <c r="I3979" s="79">
        <v>44.66</v>
      </c>
      <c r="J3979" s="79">
        <v>791.27</v>
      </c>
      <c r="K3979" s="79">
        <v>0</v>
      </c>
      <c r="L3979" s="70">
        <v>791.27</v>
      </c>
      <c r="M3979" s="132"/>
      <c r="N3979" s="79">
        <v>746.61</v>
      </c>
      <c r="O3979" s="79">
        <v>44.66</v>
      </c>
      <c r="P3979" s="79">
        <v>791.27</v>
      </c>
      <c r="Q3979" s="136"/>
      <c r="R3979" s="79">
        <v>746.61</v>
      </c>
      <c r="S3979" s="79">
        <v>44.67</v>
      </c>
      <c r="T3979" s="79">
        <v>791.28</v>
      </c>
      <c r="U3979" s="79">
        <v>0</v>
      </c>
      <c r="V3979" s="189">
        <v>791.28</v>
      </c>
      <c r="X3979" s="79">
        <v>746.61</v>
      </c>
      <c r="Y3979" s="79">
        <v>44.67</v>
      </c>
      <c r="Z3979" s="79">
        <v>791.28</v>
      </c>
      <c r="AA3979" s="255">
        <v>-9.9999999999909051E-3</v>
      </c>
      <c r="AC3979" s="254"/>
    </row>
    <row r="3980" spans="1:31" ht="12">
      <c r="A3980" s="67" t="s">
        <v>18232</v>
      </c>
      <c r="B3980" s="65" t="s">
        <v>18233</v>
      </c>
      <c r="C3980" s="71" t="s">
        <v>103</v>
      </c>
      <c r="D3980" s="78">
        <v>1</v>
      </c>
      <c r="E3980" s="79">
        <v>706.17</v>
      </c>
      <c r="F3980" s="70">
        <v>706.17</v>
      </c>
      <c r="G3980" s="320"/>
      <c r="H3980" s="79">
        <v>661.51</v>
      </c>
      <c r="I3980" s="79">
        <v>44.66</v>
      </c>
      <c r="J3980" s="79">
        <v>706.17</v>
      </c>
      <c r="K3980" s="79">
        <v>0</v>
      </c>
      <c r="L3980" s="70">
        <v>706.17</v>
      </c>
      <c r="M3980" s="132"/>
      <c r="N3980" s="79">
        <v>661.51</v>
      </c>
      <c r="O3980" s="79">
        <v>44.66</v>
      </c>
      <c r="P3980" s="79">
        <v>706.17</v>
      </c>
      <c r="Q3980" s="136"/>
      <c r="R3980" s="79">
        <v>661.51</v>
      </c>
      <c r="S3980" s="79">
        <v>44.67</v>
      </c>
      <c r="T3980" s="79">
        <v>706.18</v>
      </c>
      <c r="U3980" s="79">
        <v>0</v>
      </c>
      <c r="V3980" s="189">
        <v>706.18</v>
      </c>
      <c r="X3980" s="79">
        <v>661.51</v>
      </c>
      <c r="Y3980" s="79">
        <v>44.67</v>
      </c>
      <c r="Z3980" s="79">
        <v>706.18</v>
      </c>
      <c r="AA3980" s="255">
        <v>-9.9999999999909051E-3</v>
      </c>
      <c r="AC3980" s="254"/>
    </row>
    <row r="3981" spans="1:31" ht="12">
      <c r="A3981" s="67" t="s">
        <v>18234</v>
      </c>
      <c r="B3981" s="65" t="s">
        <v>18235</v>
      </c>
      <c r="C3981" s="71" t="s">
        <v>103</v>
      </c>
      <c r="D3981" s="78">
        <v>1</v>
      </c>
      <c r="E3981" s="79">
        <v>229.12</v>
      </c>
      <c r="F3981" s="70">
        <v>229.12</v>
      </c>
      <c r="G3981" s="320"/>
      <c r="H3981" s="79">
        <v>217.96</v>
      </c>
      <c r="I3981" s="79">
        <v>11.16</v>
      </c>
      <c r="J3981" s="79">
        <v>229.12</v>
      </c>
      <c r="K3981" s="79">
        <v>0</v>
      </c>
      <c r="L3981" s="70">
        <v>229.12</v>
      </c>
      <c r="M3981" s="132"/>
      <c r="N3981" s="79">
        <v>217.96</v>
      </c>
      <c r="O3981" s="79">
        <v>11.16</v>
      </c>
      <c r="P3981" s="79">
        <v>229.12</v>
      </c>
      <c r="Q3981" s="136"/>
      <c r="R3981" s="79">
        <v>217.96</v>
      </c>
      <c r="S3981" s="79">
        <v>11.16</v>
      </c>
      <c r="T3981" s="79">
        <v>229.12</v>
      </c>
      <c r="U3981" s="79">
        <v>0</v>
      </c>
      <c r="V3981" s="189">
        <v>229.12</v>
      </c>
      <c r="X3981" s="79">
        <v>217.96</v>
      </c>
      <c r="Y3981" s="79">
        <v>11.16</v>
      </c>
      <c r="Z3981" s="79">
        <v>229.12</v>
      </c>
      <c r="AA3981" s="255">
        <v>0</v>
      </c>
      <c r="AC3981" s="254"/>
    </row>
    <row r="3982" spans="1:31" ht="12">
      <c r="A3982" s="67" t="s">
        <v>18236</v>
      </c>
      <c r="B3982" s="65" t="s">
        <v>18237</v>
      </c>
      <c r="C3982" s="71" t="s">
        <v>103</v>
      </c>
      <c r="D3982" s="78">
        <v>1</v>
      </c>
      <c r="E3982" s="79">
        <v>954.78</v>
      </c>
      <c r="F3982" s="70">
        <v>954.78</v>
      </c>
      <c r="G3982" s="320"/>
      <c r="H3982" s="79">
        <v>950.67</v>
      </c>
      <c r="I3982" s="79">
        <v>4.1100000000000003</v>
      </c>
      <c r="J3982" s="79">
        <v>954.78</v>
      </c>
      <c r="K3982" s="79">
        <v>0</v>
      </c>
      <c r="L3982" s="70">
        <v>954.78</v>
      </c>
      <c r="M3982" s="132"/>
      <c r="N3982" s="79">
        <v>950.67</v>
      </c>
      <c r="O3982" s="79">
        <v>4.1100000000000003</v>
      </c>
      <c r="P3982" s="79">
        <v>954.78</v>
      </c>
      <c r="Q3982" s="136"/>
      <c r="R3982" s="79">
        <v>950.67</v>
      </c>
      <c r="S3982" s="79">
        <v>4.0999999999999996</v>
      </c>
      <c r="T3982" s="79"/>
      <c r="U3982" s="79">
        <v>0</v>
      </c>
      <c r="V3982" s="189"/>
      <c r="X3982" s="79">
        <v>950.67</v>
      </c>
      <c r="Y3982" s="79">
        <v>4.0999999999999996</v>
      </c>
      <c r="Z3982" s="79">
        <v>954.77</v>
      </c>
      <c r="AA3982" s="255">
        <v>9.9999999999909051E-3</v>
      </c>
      <c r="AC3982" s="254"/>
    </row>
    <row r="3983" spans="1:31" ht="12">
      <c r="A3983" s="489" t="s">
        <v>18238</v>
      </c>
      <c r="B3983" s="490" t="s">
        <v>18239</v>
      </c>
      <c r="C3983" s="491"/>
      <c r="D3983" s="492"/>
      <c r="E3983" s="79"/>
      <c r="F3983" s="63"/>
      <c r="G3983" s="320"/>
      <c r="H3983" s="79"/>
      <c r="I3983" s="79"/>
      <c r="J3983" s="79"/>
      <c r="K3983" s="79"/>
      <c r="L3983" s="70"/>
      <c r="M3983" s="132"/>
      <c r="N3983" s="79"/>
      <c r="O3983" s="79"/>
      <c r="P3983" s="79"/>
      <c r="R3983" s="79"/>
      <c r="S3983" s="79"/>
      <c r="T3983" s="79"/>
      <c r="U3983" s="79"/>
      <c r="V3983" s="189"/>
      <c r="X3983" s="79"/>
      <c r="Y3983" s="79"/>
      <c r="Z3983" s="79"/>
      <c r="AA3983" s="255"/>
      <c r="AC3983" s="254"/>
    </row>
    <row r="3984" spans="1:31" ht="12">
      <c r="A3984" s="67" t="s">
        <v>18240</v>
      </c>
      <c r="B3984" s="65" t="s">
        <v>18241</v>
      </c>
      <c r="C3984" s="71" t="s">
        <v>103</v>
      </c>
      <c r="D3984" s="78">
        <v>1</v>
      </c>
      <c r="E3984" s="79">
        <v>584.74</v>
      </c>
      <c r="F3984" s="70">
        <v>584.74</v>
      </c>
      <c r="G3984" s="320"/>
      <c r="H3984" s="79">
        <v>559.25</v>
      </c>
      <c r="I3984" s="79">
        <v>25.490000000000002</v>
      </c>
      <c r="J3984" s="79">
        <v>584.74</v>
      </c>
      <c r="K3984" s="79">
        <v>0</v>
      </c>
      <c r="L3984" s="70">
        <v>584.74</v>
      </c>
      <c r="M3984" s="132"/>
      <c r="N3984" s="79">
        <v>559.25</v>
      </c>
      <c r="O3984" s="79">
        <v>25.490000000000002</v>
      </c>
      <c r="P3984" s="79">
        <v>584.74</v>
      </c>
      <c r="Q3984" s="136"/>
      <c r="R3984" s="79">
        <v>559.25</v>
      </c>
      <c r="S3984" s="79">
        <v>25.48</v>
      </c>
      <c r="T3984" s="79">
        <v>584.73</v>
      </c>
      <c r="U3984" s="79">
        <v>0</v>
      </c>
      <c r="V3984" s="189">
        <v>584.73</v>
      </c>
      <c r="X3984" s="79">
        <v>559.25</v>
      </c>
      <c r="Y3984" s="79">
        <v>25.48</v>
      </c>
      <c r="Z3984" s="79">
        <v>584.73</v>
      </c>
      <c r="AA3984" s="255">
        <v>9.9999999999909051E-3</v>
      </c>
      <c r="AC3984" s="254"/>
    </row>
    <row r="3985" spans="1:29" ht="12">
      <c r="A3985" s="67" t="s">
        <v>18242</v>
      </c>
      <c r="B3985" s="65" t="s">
        <v>18243</v>
      </c>
      <c r="C3985" s="71" t="s">
        <v>103</v>
      </c>
      <c r="D3985" s="78">
        <v>1</v>
      </c>
      <c r="E3985" s="79">
        <v>899.31999999999994</v>
      </c>
      <c r="F3985" s="70">
        <v>899.32</v>
      </c>
      <c r="G3985" s="320"/>
      <c r="H3985" s="79">
        <v>866.68</v>
      </c>
      <c r="I3985" s="79">
        <v>32.64</v>
      </c>
      <c r="J3985" s="79">
        <v>899.31999999999994</v>
      </c>
      <c r="K3985" s="79">
        <v>0</v>
      </c>
      <c r="L3985" s="70">
        <v>899.31999999999994</v>
      </c>
      <c r="M3985" s="132"/>
      <c r="N3985" s="79">
        <v>866.68</v>
      </c>
      <c r="O3985" s="79">
        <v>32.64</v>
      </c>
      <c r="P3985" s="79">
        <v>899.31999999999994</v>
      </c>
      <c r="Q3985" s="136"/>
      <c r="R3985" s="79">
        <v>866.68</v>
      </c>
      <c r="S3985" s="79">
        <v>32.65</v>
      </c>
      <c r="T3985" s="79"/>
      <c r="U3985" s="79">
        <v>0</v>
      </c>
      <c r="V3985" s="189"/>
      <c r="X3985" s="79">
        <v>866.68</v>
      </c>
      <c r="Y3985" s="79">
        <v>32.65</v>
      </c>
      <c r="Z3985" s="79">
        <v>899.33</v>
      </c>
      <c r="AA3985" s="255">
        <v>-9.9999999999909051E-3</v>
      </c>
      <c r="AC3985" s="254"/>
    </row>
    <row r="3986" spans="1:29" ht="12">
      <c r="A3986" s="489" t="s">
        <v>18244</v>
      </c>
      <c r="B3986" s="490" t="s">
        <v>18245</v>
      </c>
      <c r="C3986" s="491"/>
      <c r="D3986" s="78"/>
      <c r="E3986" s="79"/>
      <c r="F3986" s="70"/>
      <c r="G3986" s="320"/>
      <c r="H3986" s="79"/>
      <c r="I3986" s="79"/>
      <c r="J3986" s="79"/>
      <c r="K3986" s="79"/>
      <c r="L3986" s="70"/>
      <c r="M3986" s="132"/>
      <c r="N3986" s="79"/>
      <c r="O3986" s="79"/>
      <c r="P3986" s="79"/>
      <c r="Q3986" s="136"/>
      <c r="R3986" s="79"/>
      <c r="S3986" s="79"/>
      <c r="T3986" s="79"/>
      <c r="U3986" s="79"/>
      <c r="V3986" s="189"/>
      <c r="X3986" s="79"/>
      <c r="Y3986" s="79"/>
      <c r="Z3986" s="79"/>
      <c r="AA3986" s="255"/>
      <c r="AC3986" s="254"/>
    </row>
    <row r="3987" spans="1:29" ht="12">
      <c r="A3987" s="67" t="s">
        <v>18246</v>
      </c>
      <c r="B3987" s="65" t="s">
        <v>18247</v>
      </c>
      <c r="C3987" s="71" t="s">
        <v>165</v>
      </c>
      <c r="D3987" s="78">
        <v>1</v>
      </c>
      <c r="E3987" s="79">
        <v>5.95</v>
      </c>
      <c r="F3987" s="70">
        <v>5.95</v>
      </c>
      <c r="G3987" s="320"/>
      <c r="H3987" s="79">
        <v>0.36</v>
      </c>
      <c r="I3987" s="79">
        <v>5.59</v>
      </c>
      <c r="J3987" s="79">
        <v>5.95</v>
      </c>
      <c r="K3987" s="79">
        <v>0</v>
      </c>
      <c r="L3987" s="70">
        <v>5.95</v>
      </c>
      <c r="M3987" s="132"/>
      <c r="N3987" s="79">
        <v>0.36</v>
      </c>
      <c r="O3987" s="79">
        <v>5.59</v>
      </c>
      <c r="P3987" s="79">
        <v>5.95</v>
      </c>
      <c r="Q3987" s="136"/>
      <c r="R3987" s="79">
        <v>0.36</v>
      </c>
      <c r="S3987" s="79">
        <v>5.58</v>
      </c>
      <c r="T3987" s="79">
        <v>5.94</v>
      </c>
      <c r="U3987" s="79">
        <v>0</v>
      </c>
      <c r="V3987" s="189">
        <v>5.94</v>
      </c>
      <c r="X3987" s="79">
        <v>0.36</v>
      </c>
      <c r="Y3987" s="79">
        <v>5.58</v>
      </c>
      <c r="Z3987" s="79">
        <v>5.94</v>
      </c>
      <c r="AA3987" s="255">
        <v>9.9999999999997868E-3</v>
      </c>
      <c r="AC3987" s="254"/>
    </row>
    <row r="3988" spans="1:29" ht="12">
      <c r="A3988" s="67" t="s">
        <v>18248</v>
      </c>
      <c r="B3988" s="65" t="s">
        <v>5062</v>
      </c>
      <c r="C3988" s="71" t="s">
        <v>103</v>
      </c>
      <c r="D3988" s="78">
        <v>1</v>
      </c>
      <c r="E3988" s="79">
        <v>17.3</v>
      </c>
      <c r="F3988" s="70">
        <v>17.3</v>
      </c>
      <c r="G3988" s="320"/>
      <c r="H3988" s="79">
        <v>6.14</v>
      </c>
      <c r="I3988" s="79">
        <v>11.16</v>
      </c>
      <c r="J3988" s="79">
        <v>17.3</v>
      </c>
      <c r="K3988" s="79">
        <v>0</v>
      </c>
      <c r="L3988" s="70">
        <v>17.3</v>
      </c>
      <c r="M3988" s="132"/>
      <c r="N3988" s="79">
        <v>6.14</v>
      </c>
      <c r="O3988" s="79">
        <v>11.16</v>
      </c>
      <c r="P3988" s="79">
        <v>17.3</v>
      </c>
      <c r="Q3988" s="136"/>
      <c r="R3988" s="79">
        <v>6.14</v>
      </c>
      <c r="S3988" s="79">
        <v>11.16</v>
      </c>
      <c r="T3988" s="79">
        <v>17.3</v>
      </c>
      <c r="U3988" s="79">
        <v>0</v>
      </c>
      <c r="V3988" s="189">
        <v>17.3</v>
      </c>
      <c r="X3988" s="79">
        <v>6.14</v>
      </c>
      <c r="Y3988" s="79">
        <v>11.16</v>
      </c>
      <c r="Z3988" s="79">
        <v>17.3</v>
      </c>
      <c r="AA3988" s="255">
        <v>0</v>
      </c>
      <c r="AC3988" s="254"/>
    </row>
    <row r="3989" spans="1:29" ht="12">
      <c r="A3989" s="67" t="s">
        <v>18249</v>
      </c>
      <c r="B3989" s="65" t="s">
        <v>5064</v>
      </c>
      <c r="C3989" s="71" t="s">
        <v>103</v>
      </c>
      <c r="D3989" s="78">
        <v>1</v>
      </c>
      <c r="E3989" s="79">
        <v>13.08</v>
      </c>
      <c r="F3989" s="70">
        <v>13.08</v>
      </c>
      <c r="G3989" s="320"/>
      <c r="H3989" s="79">
        <v>1.92</v>
      </c>
      <c r="I3989" s="79">
        <v>11.16</v>
      </c>
      <c r="J3989" s="79">
        <v>13.08</v>
      </c>
      <c r="K3989" s="79">
        <v>0</v>
      </c>
      <c r="L3989" s="70">
        <v>13.08</v>
      </c>
      <c r="M3989" s="132"/>
      <c r="N3989" s="79">
        <v>1.92</v>
      </c>
      <c r="O3989" s="79">
        <v>11.16</v>
      </c>
      <c r="P3989" s="79">
        <v>13.08</v>
      </c>
      <c r="Q3989" s="136"/>
      <c r="R3989" s="79">
        <v>1.92</v>
      </c>
      <c r="S3989" s="79">
        <v>11.16</v>
      </c>
      <c r="T3989" s="79">
        <v>13.08</v>
      </c>
      <c r="U3989" s="79">
        <v>0</v>
      </c>
      <c r="V3989" s="189">
        <v>13.08</v>
      </c>
      <c r="X3989" s="79">
        <v>1.92</v>
      </c>
      <c r="Y3989" s="79">
        <v>11.16</v>
      </c>
      <c r="Z3989" s="79">
        <v>13.08</v>
      </c>
      <c r="AA3989" s="255">
        <v>0</v>
      </c>
      <c r="AC3989" s="254"/>
    </row>
    <row r="3990" spans="1:29" ht="12">
      <c r="A3990" s="67" t="s">
        <v>18250</v>
      </c>
      <c r="B3990" s="65" t="s">
        <v>18251</v>
      </c>
      <c r="C3990" s="71" t="s">
        <v>103</v>
      </c>
      <c r="D3990" s="78">
        <v>1</v>
      </c>
      <c r="E3990" s="79">
        <v>13.57</v>
      </c>
      <c r="F3990" s="70">
        <v>13.57</v>
      </c>
      <c r="G3990" s="320"/>
      <c r="H3990" s="79">
        <v>2.41</v>
      </c>
      <c r="I3990" s="79">
        <v>11.16</v>
      </c>
      <c r="J3990" s="79">
        <v>13.57</v>
      </c>
      <c r="K3990" s="79">
        <v>0</v>
      </c>
      <c r="L3990" s="70">
        <v>13.57</v>
      </c>
      <c r="M3990" s="132"/>
      <c r="N3990" s="79">
        <v>2.41</v>
      </c>
      <c r="O3990" s="79">
        <v>11.16</v>
      </c>
      <c r="P3990" s="79">
        <v>13.57</v>
      </c>
      <c r="Q3990" s="136"/>
      <c r="R3990" s="79">
        <v>2.41</v>
      </c>
      <c r="S3990" s="79">
        <v>11.16</v>
      </c>
      <c r="T3990" s="79">
        <v>13.57</v>
      </c>
      <c r="U3990" s="79">
        <v>0</v>
      </c>
      <c r="V3990" s="189">
        <v>13.57</v>
      </c>
      <c r="X3990" s="79">
        <v>2.41</v>
      </c>
      <c r="Y3990" s="79">
        <v>11.16</v>
      </c>
      <c r="Z3990" s="79">
        <v>13.57</v>
      </c>
      <c r="AA3990" s="255">
        <v>0</v>
      </c>
      <c r="AC3990" s="254"/>
    </row>
    <row r="3991" spans="1:29" ht="12">
      <c r="A3991" s="67" t="s">
        <v>18252</v>
      </c>
      <c r="B3991" s="65" t="s">
        <v>18253</v>
      </c>
      <c r="C3991" s="71" t="s">
        <v>103</v>
      </c>
      <c r="D3991" s="78">
        <v>1</v>
      </c>
      <c r="E3991" s="79">
        <v>309.58999999999997</v>
      </c>
      <c r="F3991" s="70">
        <v>309.58999999999997</v>
      </c>
      <c r="G3991" s="320"/>
      <c r="H3991" s="79">
        <v>297.2</v>
      </c>
      <c r="I3991" s="79">
        <v>12.39</v>
      </c>
      <c r="J3991" s="79">
        <v>309.58999999999997</v>
      </c>
      <c r="K3991" s="79">
        <v>0</v>
      </c>
      <c r="L3991" s="70">
        <v>309.58999999999997</v>
      </c>
      <c r="M3991" s="132"/>
      <c r="N3991" s="79">
        <v>297.2</v>
      </c>
      <c r="O3991" s="79">
        <v>12.39</v>
      </c>
      <c r="P3991" s="79">
        <v>309.58999999999997</v>
      </c>
      <c r="Q3991" s="136"/>
      <c r="R3991" s="79">
        <v>297.2</v>
      </c>
      <c r="S3991" s="79">
        <v>12.39</v>
      </c>
      <c r="T3991" s="79">
        <v>309.58999999999997</v>
      </c>
      <c r="U3991" s="79">
        <v>0</v>
      </c>
      <c r="V3991" s="189">
        <v>309.58999999999997</v>
      </c>
      <c r="X3991" s="79">
        <v>297.2</v>
      </c>
      <c r="Y3991" s="79">
        <v>12.39</v>
      </c>
      <c r="Z3991" s="79">
        <v>309.58999999999997</v>
      </c>
      <c r="AA3991" s="255">
        <v>0</v>
      </c>
      <c r="AC3991" s="254"/>
    </row>
    <row r="3992" spans="1:29" ht="12">
      <c r="A3992" s="67" t="s">
        <v>18254</v>
      </c>
      <c r="B3992" s="65" t="s">
        <v>18255</v>
      </c>
      <c r="C3992" s="71" t="s">
        <v>103</v>
      </c>
      <c r="D3992" s="78">
        <v>1</v>
      </c>
      <c r="E3992" s="79">
        <v>715.31</v>
      </c>
      <c r="F3992" s="70">
        <v>715.31</v>
      </c>
      <c r="G3992" s="320"/>
      <c r="H3992" s="79">
        <v>702.92</v>
      </c>
      <c r="I3992" s="79">
        <v>12.39</v>
      </c>
      <c r="J3992" s="79">
        <v>715.31</v>
      </c>
      <c r="K3992" s="79">
        <v>0</v>
      </c>
      <c r="L3992" s="70">
        <v>715.31</v>
      </c>
      <c r="M3992" s="132"/>
      <c r="N3992" s="79">
        <v>702.92</v>
      </c>
      <c r="O3992" s="79">
        <v>12.39</v>
      </c>
      <c r="P3992" s="79">
        <v>715.31</v>
      </c>
      <c r="Q3992" s="136"/>
      <c r="R3992" s="79">
        <v>702.92</v>
      </c>
      <c r="S3992" s="79">
        <v>12.39</v>
      </c>
      <c r="T3992" s="79">
        <v>715.31</v>
      </c>
      <c r="U3992" s="79">
        <v>0</v>
      </c>
      <c r="V3992" s="189">
        <v>715.31</v>
      </c>
      <c r="X3992" s="79">
        <v>702.92</v>
      </c>
      <c r="Y3992" s="79">
        <v>12.39</v>
      </c>
      <c r="Z3992" s="79">
        <v>715.31</v>
      </c>
      <c r="AA3992" s="255">
        <v>0</v>
      </c>
      <c r="AC3992" s="254"/>
    </row>
    <row r="3993" spans="1:29" ht="12">
      <c r="A3993" s="67" t="s">
        <v>18256</v>
      </c>
      <c r="B3993" s="65" t="s">
        <v>18257</v>
      </c>
      <c r="C3993" s="71" t="s">
        <v>103</v>
      </c>
      <c r="D3993" s="78">
        <v>1</v>
      </c>
      <c r="E3993" s="79">
        <v>26.029999999999998</v>
      </c>
      <c r="F3993" s="70">
        <v>26.03</v>
      </c>
      <c r="G3993" s="320"/>
      <c r="H3993" s="79">
        <v>6.38</v>
      </c>
      <c r="I3993" s="79">
        <v>19.649999999999999</v>
      </c>
      <c r="J3993" s="79">
        <v>26.029999999999998</v>
      </c>
      <c r="K3993" s="79">
        <v>0</v>
      </c>
      <c r="L3993" s="70">
        <v>26.029999999999998</v>
      </c>
      <c r="M3993" s="132"/>
      <c r="N3993" s="79">
        <v>6.38</v>
      </c>
      <c r="O3993" s="79">
        <v>19.649999999999999</v>
      </c>
      <c r="P3993" s="79">
        <v>26.029999999999998</v>
      </c>
      <c r="Q3993" s="136"/>
      <c r="R3993" s="79">
        <v>6.38</v>
      </c>
      <c r="S3993" s="79">
        <v>19.64</v>
      </c>
      <c r="T3993" s="79">
        <v>26.02</v>
      </c>
      <c r="U3993" s="79">
        <v>0</v>
      </c>
      <c r="V3993" s="189">
        <v>26.02</v>
      </c>
      <c r="X3993" s="79">
        <v>6.38</v>
      </c>
      <c r="Y3993" s="79">
        <v>19.64</v>
      </c>
      <c r="Z3993" s="79">
        <v>26.02</v>
      </c>
      <c r="AA3993" s="255">
        <v>1.0000000000001563E-2</v>
      </c>
      <c r="AC3993" s="254"/>
    </row>
    <row r="3994" spans="1:29" ht="12">
      <c r="A3994" s="67" t="s">
        <v>18258</v>
      </c>
      <c r="B3994" s="65" t="s">
        <v>18259</v>
      </c>
      <c r="C3994" s="71" t="s">
        <v>103</v>
      </c>
      <c r="D3994" s="78">
        <v>1</v>
      </c>
      <c r="E3994" s="79">
        <v>38.56</v>
      </c>
      <c r="F3994" s="70">
        <v>38.56</v>
      </c>
      <c r="G3994" s="320"/>
      <c r="H3994" s="79">
        <v>18.91</v>
      </c>
      <c r="I3994" s="79">
        <v>19.649999999999999</v>
      </c>
      <c r="J3994" s="79">
        <v>38.56</v>
      </c>
      <c r="K3994" s="79">
        <v>0</v>
      </c>
      <c r="L3994" s="70">
        <v>38.56</v>
      </c>
      <c r="M3994" s="132"/>
      <c r="N3994" s="79">
        <v>18.91</v>
      </c>
      <c r="O3994" s="79">
        <v>19.649999999999999</v>
      </c>
      <c r="P3994" s="79">
        <v>38.56</v>
      </c>
      <c r="Q3994" s="136"/>
      <c r="R3994" s="79">
        <v>18.91</v>
      </c>
      <c r="S3994" s="79">
        <v>19.64</v>
      </c>
      <c r="T3994" s="79">
        <v>38.549999999999997</v>
      </c>
      <c r="U3994" s="79">
        <v>0</v>
      </c>
      <c r="V3994" s="189">
        <v>38.549999999999997</v>
      </c>
      <c r="X3994" s="79">
        <v>18.91</v>
      </c>
      <c r="Y3994" s="79">
        <v>19.64</v>
      </c>
      <c r="Z3994" s="79">
        <v>38.549999999999997</v>
      </c>
      <c r="AA3994" s="255">
        <v>1.0000000000005116E-2</v>
      </c>
      <c r="AC3994" s="254"/>
    </row>
    <row r="3995" spans="1:29" ht="12">
      <c r="A3995" s="67" t="s">
        <v>18260</v>
      </c>
      <c r="B3995" s="65" t="s">
        <v>18261</v>
      </c>
      <c r="C3995" s="71" t="s">
        <v>103</v>
      </c>
      <c r="D3995" s="78">
        <v>1</v>
      </c>
      <c r="E3995" s="79">
        <v>84.01</v>
      </c>
      <c r="F3995" s="70">
        <v>84.01</v>
      </c>
      <c r="G3995" s="320"/>
      <c r="H3995" s="79">
        <v>81.73</v>
      </c>
      <c r="I3995" s="79">
        <v>2.2800000000000002</v>
      </c>
      <c r="J3995" s="79">
        <v>84.01</v>
      </c>
      <c r="K3995" s="79">
        <v>0</v>
      </c>
      <c r="L3995" s="70">
        <v>84.01</v>
      </c>
      <c r="M3995" s="132"/>
      <c r="N3995" s="79">
        <v>81.73</v>
      </c>
      <c r="O3995" s="79">
        <v>2.2800000000000002</v>
      </c>
      <c r="P3995" s="79">
        <v>84.01</v>
      </c>
      <c r="Q3995" s="136"/>
      <c r="R3995" s="79">
        <v>81.73</v>
      </c>
      <c r="S3995" s="79">
        <v>2.27</v>
      </c>
      <c r="T3995" s="79">
        <v>84</v>
      </c>
      <c r="U3995" s="79">
        <v>0</v>
      </c>
      <c r="V3995" s="189">
        <v>84</v>
      </c>
      <c r="X3995" s="79">
        <v>81.73</v>
      </c>
      <c r="Y3995" s="79">
        <v>2.27</v>
      </c>
      <c r="Z3995" s="79">
        <v>84</v>
      </c>
      <c r="AA3995" s="255">
        <v>1.0000000000005116E-2</v>
      </c>
      <c r="AC3995" s="254"/>
    </row>
    <row r="3996" spans="1:29" ht="12">
      <c r="A3996" s="67" t="s">
        <v>18262</v>
      </c>
      <c r="B3996" s="65" t="s">
        <v>18263</v>
      </c>
      <c r="C3996" s="71" t="s">
        <v>103</v>
      </c>
      <c r="D3996" s="78">
        <v>1</v>
      </c>
      <c r="E3996" s="79">
        <v>370.96000000000004</v>
      </c>
      <c r="F3996" s="70">
        <v>370.96</v>
      </c>
      <c r="G3996" s="320"/>
      <c r="H3996" s="79">
        <v>358.22</v>
      </c>
      <c r="I3996" s="79">
        <v>12.74</v>
      </c>
      <c r="J3996" s="79">
        <v>370.96000000000004</v>
      </c>
      <c r="K3996" s="79">
        <v>0</v>
      </c>
      <c r="L3996" s="70">
        <v>370.96000000000004</v>
      </c>
      <c r="M3996" s="132"/>
      <c r="N3996" s="79">
        <v>358.22</v>
      </c>
      <c r="O3996" s="79">
        <v>12.74</v>
      </c>
      <c r="P3996" s="79">
        <v>370.96000000000004</v>
      </c>
      <c r="Q3996" s="136"/>
      <c r="R3996" s="79">
        <v>358.22</v>
      </c>
      <c r="S3996" s="79">
        <v>12.74</v>
      </c>
      <c r="T3996" s="79">
        <v>370.96000000000004</v>
      </c>
      <c r="U3996" s="79">
        <v>0</v>
      </c>
      <c r="V3996" s="189">
        <v>370.96000000000004</v>
      </c>
      <c r="X3996" s="79">
        <v>358.22</v>
      </c>
      <c r="Y3996" s="79">
        <v>12.74</v>
      </c>
      <c r="Z3996" s="79">
        <v>370.96</v>
      </c>
      <c r="AA3996" s="255">
        <v>0</v>
      </c>
      <c r="AC3996" s="254"/>
    </row>
    <row r="3997" spans="1:29" ht="12">
      <c r="A3997" s="67" t="s">
        <v>18264</v>
      </c>
      <c r="B3997" s="65" t="s">
        <v>4606</v>
      </c>
      <c r="C3997" s="71" t="s">
        <v>103</v>
      </c>
      <c r="D3997" s="78">
        <v>1</v>
      </c>
      <c r="E3997" s="79">
        <v>103.91</v>
      </c>
      <c r="F3997" s="70">
        <v>103.91</v>
      </c>
      <c r="G3997" s="320"/>
      <c r="H3997" s="79">
        <v>95.72</v>
      </c>
      <c r="I3997" s="79">
        <v>8.19</v>
      </c>
      <c r="J3997" s="79">
        <v>103.91</v>
      </c>
      <c r="K3997" s="79">
        <v>0</v>
      </c>
      <c r="L3997" s="70">
        <v>103.91</v>
      </c>
      <c r="M3997" s="132"/>
      <c r="N3997" s="79">
        <v>95.72</v>
      </c>
      <c r="O3997" s="79">
        <v>8.19</v>
      </c>
      <c r="P3997" s="79">
        <v>103.91</v>
      </c>
      <c r="Q3997" s="136"/>
      <c r="R3997" s="79">
        <v>95.72</v>
      </c>
      <c r="S3997" s="79">
        <v>8.1999999999999993</v>
      </c>
      <c r="T3997" s="79">
        <v>103.92</v>
      </c>
      <c r="U3997" s="79">
        <v>0</v>
      </c>
      <c r="V3997" s="189">
        <v>103.92</v>
      </c>
      <c r="X3997" s="79">
        <v>95.72</v>
      </c>
      <c r="Y3997" s="79">
        <v>8.1999999999999993</v>
      </c>
      <c r="Z3997" s="79">
        <v>103.92</v>
      </c>
      <c r="AA3997" s="255">
        <v>-1.0000000000005116E-2</v>
      </c>
      <c r="AC3997" s="254"/>
    </row>
    <row r="3998" spans="1:29" ht="12">
      <c r="A3998" s="67" t="s">
        <v>18265</v>
      </c>
      <c r="B3998" s="65" t="s">
        <v>18266</v>
      </c>
      <c r="C3998" s="71" t="s">
        <v>103</v>
      </c>
      <c r="D3998" s="78">
        <v>1</v>
      </c>
      <c r="E3998" s="79">
        <v>132.5</v>
      </c>
      <c r="F3998" s="70">
        <v>132.5</v>
      </c>
      <c r="G3998" s="320"/>
      <c r="H3998" s="79">
        <v>124.31</v>
      </c>
      <c r="I3998" s="79">
        <v>8.19</v>
      </c>
      <c r="J3998" s="79">
        <v>132.5</v>
      </c>
      <c r="K3998" s="79">
        <v>0</v>
      </c>
      <c r="L3998" s="70">
        <v>132.5</v>
      </c>
      <c r="M3998" s="132"/>
      <c r="N3998" s="79">
        <v>124.31</v>
      </c>
      <c r="O3998" s="79">
        <v>8.19</v>
      </c>
      <c r="P3998" s="79">
        <v>132.5</v>
      </c>
      <c r="Q3998" s="136"/>
      <c r="R3998" s="79">
        <v>124.31</v>
      </c>
      <c r="S3998" s="79">
        <v>8.1999999999999993</v>
      </c>
      <c r="T3998" s="79">
        <v>132.51</v>
      </c>
      <c r="U3998" s="79">
        <v>0</v>
      </c>
      <c r="V3998" s="189">
        <v>132.51</v>
      </c>
      <c r="X3998" s="79">
        <v>124.31</v>
      </c>
      <c r="Y3998" s="79">
        <v>8.1999999999999993</v>
      </c>
      <c r="Z3998" s="79">
        <v>132.51</v>
      </c>
      <c r="AA3998" s="255">
        <v>-9.9999999999909051E-3</v>
      </c>
      <c r="AC3998" s="254"/>
    </row>
    <row r="3999" spans="1:29" ht="12">
      <c r="A3999" s="67" t="s">
        <v>18267</v>
      </c>
      <c r="B3999" s="65" t="s">
        <v>4610</v>
      </c>
      <c r="C3999" s="71" t="s">
        <v>103</v>
      </c>
      <c r="D3999" s="78">
        <v>1</v>
      </c>
      <c r="E3999" s="79">
        <v>207.87</v>
      </c>
      <c r="F3999" s="70">
        <v>207.87</v>
      </c>
      <c r="G3999" s="320"/>
      <c r="H3999" s="79">
        <v>199.68</v>
      </c>
      <c r="I3999" s="79">
        <v>8.19</v>
      </c>
      <c r="J3999" s="79">
        <v>207.87</v>
      </c>
      <c r="K3999" s="79">
        <v>0</v>
      </c>
      <c r="L3999" s="70">
        <v>207.87</v>
      </c>
      <c r="M3999" s="132"/>
      <c r="N3999" s="79">
        <v>199.68</v>
      </c>
      <c r="O3999" s="79">
        <v>8.19</v>
      </c>
      <c r="P3999" s="79">
        <v>207.87</v>
      </c>
      <c r="Q3999" s="136"/>
      <c r="R3999" s="79">
        <v>199.68</v>
      </c>
      <c r="S3999" s="79">
        <v>8.1999999999999993</v>
      </c>
      <c r="T3999" s="79">
        <v>207.88</v>
      </c>
      <c r="U3999" s="79">
        <v>0</v>
      </c>
      <c r="V3999" s="189">
        <v>207.88</v>
      </c>
      <c r="X3999" s="79">
        <v>199.68</v>
      </c>
      <c r="Y3999" s="79">
        <v>8.1999999999999993</v>
      </c>
      <c r="Z3999" s="79">
        <v>207.88</v>
      </c>
      <c r="AA3999" s="255">
        <v>-9.9999999999909051E-3</v>
      </c>
      <c r="AC3999" s="254"/>
    </row>
    <row r="4000" spans="1:29" ht="12">
      <c r="A4000" s="67" t="s">
        <v>18268</v>
      </c>
      <c r="B4000" s="65" t="s">
        <v>18269</v>
      </c>
      <c r="C4000" s="71" t="s">
        <v>103</v>
      </c>
      <c r="D4000" s="78">
        <v>1</v>
      </c>
      <c r="E4000" s="79">
        <v>96.63</v>
      </c>
      <c r="F4000" s="70">
        <v>96.63</v>
      </c>
      <c r="G4000" s="320"/>
      <c r="H4000" s="79">
        <v>94.35</v>
      </c>
      <c r="I4000" s="79">
        <v>2.2800000000000002</v>
      </c>
      <c r="J4000" s="79">
        <v>96.63</v>
      </c>
      <c r="K4000" s="79">
        <v>0</v>
      </c>
      <c r="L4000" s="70">
        <v>96.63</v>
      </c>
      <c r="M4000" s="132"/>
      <c r="N4000" s="79">
        <v>94.35</v>
      </c>
      <c r="O4000" s="79">
        <v>2.2800000000000002</v>
      </c>
      <c r="P4000" s="79">
        <v>96.63</v>
      </c>
      <c r="Q4000" s="136"/>
      <c r="R4000" s="79">
        <v>94.35</v>
      </c>
      <c r="S4000" s="79">
        <v>2.27</v>
      </c>
      <c r="T4000" s="79">
        <v>96.61999999999999</v>
      </c>
      <c r="U4000" s="79">
        <v>0</v>
      </c>
      <c r="V4000" s="189">
        <v>96.61999999999999</v>
      </c>
      <c r="X4000" s="79">
        <v>94.35</v>
      </c>
      <c r="Y4000" s="79">
        <v>2.27</v>
      </c>
      <c r="Z4000" s="79">
        <v>96.62</v>
      </c>
      <c r="AA4000" s="255">
        <v>9.9999999999909051E-3</v>
      </c>
      <c r="AC4000" s="254"/>
    </row>
    <row r="4001" spans="1:29" ht="12">
      <c r="A4001" s="67" t="s">
        <v>18270</v>
      </c>
      <c r="B4001" s="65" t="s">
        <v>18271</v>
      </c>
      <c r="C4001" s="71" t="s">
        <v>103</v>
      </c>
      <c r="D4001" s="78">
        <v>1</v>
      </c>
      <c r="E4001" s="79">
        <v>108.21000000000001</v>
      </c>
      <c r="F4001" s="70">
        <v>108.21</v>
      </c>
      <c r="G4001" s="320"/>
      <c r="H4001" s="79">
        <v>105.93</v>
      </c>
      <c r="I4001" s="79">
        <v>2.2800000000000002</v>
      </c>
      <c r="J4001" s="79">
        <v>108.21000000000001</v>
      </c>
      <c r="K4001" s="79">
        <v>0</v>
      </c>
      <c r="L4001" s="70">
        <v>108.21000000000001</v>
      </c>
      <c r="M4001" s="132"/>
      <c r="N4001" s="79">
        <v>105.93</v>
      </c>
      <c r="O4001" s="79">
        <v>2.2800000000000002</v>
      </c>
      <c r="P4001" s="79">
        <v>108.21000000000001</v>
      </c>
      <c r="Q4001" s="136"/>
      <c r="R4001" s="79">
        <v>105.93</v>
      </c>
      <c r="S4001" s="79">
        <v>2.27</v>
      </c>
      <c r="T4001" s="79">
        <v>108.2</v>
      </c>
      <c r="U4001" s="79">
        <v>0</v>
      </c>
      <c r="V4001" s="189">
        <v>108.2</v>
      </c>
      <c r="X4001" s="79">
        <v>105.93</v>
      </c>
      <c r="Y4001" s="79">
        <v>2.27</v>
      </c>
      <c r="Z4001" s="79">
        <v>108.2</v>
      </c>
      <c r="AA4001" s="255">
        <v>9.9999999999909051E-3</v>
      </c>
      <c r="AC4001" s="254"/>
    </row>
    <row r="4002" spans="1:29" ht="12">
      <c r="A4002" s="67" t="s">
        <v>18272</v>
      </c>
      <c r="B4002" s="65" t="s">
        <v>18273</v>
      </c>
      <c r="C4002" s="71" t="s">
        <v>103</v>
      </c>
      <c r="D4002" s="78">
        <v>1</v>
      </c>
      <c r="E4002" s="79">
        <v>14.27</v>
      </c>
      <c r="F4002" s="70">
        <v>14.27</v>
      </c>
      <c r="G4002" s="320"/>
      <c r="H4002" s="79">
        <v>9.73</v>
      </c>
      <c r="I4002" s="79">
        <v>4.54</v>
      </c>
      <c r="J4002" s="79">
        <v>14.27</v>
      </c>
      <c r="K4002" s="79">
        <v>0</v>
      </c>
      <c r="L4002" s="70">
        <v>14.27</v>
      </c>
      <c r="M4002" s="132"/>
      <c r="N4002" s="79">
        <v>9.73</v>
      </c>
      <c r="O4002" s="79">
        <v>4.54</v>
      </c>
      <c r="P4002" s="79">
        <v>14.27</v>
      </c>
      <c r="Q4002" s="136"/>
      <c r="R4002" s="79">
        <v>9.73</v>
      </c>
      <c r="S4002" s="79">
        <v>4.54</v>
      </c>
      <c r="T4002" s="79">
        <v>14.27</v>
      </c>
      <c r="U4002" s="79">
        <v>0</v>
      </c>
      <c r="V4002" s="189">
        <v>14.27</v>
      </c>
      <c r="X4002" s="79">
        <v>9.73</v>
      </c>
      <c r="Y4002" s="79">
        <v>4.54</v>
      </c>
      <c r="Z4002" s="79">
        <v>14.27</v>
      </c>
      <c r="AA4002" s="255">
        <v>0</v>
      </c>
      <c r="AC4002" s="254"/>
    </row>
    <row r="4003" spans="1:29" ht="12">
      <c r="A4003" s="67" t="s">
        <v>18274</v>
      </c>
      <c r="B4003" s="65" t="s">
        <v>18275</v>
      </c>
      <c r="C4003" s="71" t="s">
        <v>103</v>
      </c>
      <c r="D4003" s="78">
        <v>1</v>
      </c>
      <c r="E4003" s="79">
        <v>19.940000000000001</v>
      </c>
      <c r="F4003" s="70">
        <v>19.940000000000001</v>
      </c>
      <c r="G4003" s="320"/>
      <c r="H4003" s="79">
        <v>15.4</v>
      </c>
      <c r="I4003" s="79">
        <v>4.54</v>
      </c>
      <c r="J4003" s="79">
        <v>19.940000000000001</v>
      </c>
      <c r="K4003" s="79">
        <v>0</v>
      </c>
      <c r="L4003" s="70">
        <v>19.940000000000001</v>
      </c>
      <c r="M4003" s="132"/>
      <c r="N4003" s="79">
        <v>15.4</v>
      </c>
      <c r="O4003" s="79">
        <v>4.54</v>
      </c>
      <c r="P4003" s="79">
        <v>19.940000000000001</v>
      </c>
      <c r="Q4003" s="136"/>
      <c r="R4003" s="79">
        <v>15.4</v>
      </c>
      <c r="S4003" s="79">
        <v>4.54</v>
      </c>
      <c r="T4003" s="79">
        <v>19.940000000000001</v>
      </c>
      <c r="U4003" s="79">
        <v>0</v>
      </c>
      <c r="V4003" s="189">
        <v>19.940000000000001</v>
      </c>
      <c r="X4003" s="79">
        <v>15.4</v>
      </c>
      <c r="Y4003" s="79">
        <v>4.54</v>
      </c>
      <c r="Z4003" s="79">
        <v>19.940000000000001</v>
      </c>
      <c r="AA4003" s="255">
        <v>0</v>
      </c>
      <c r="AC4003" s="254"/>
    </row>
    <row r="4004" spans="1:29" ht="12">
      <c r="A4004" s="67" t="s">
        <v>18276</v>
      </c>
      <c r="B4004" s="65" t="s">
        <v>18277</v>
      </c>
      <c r="C4004" s="71" t="s">
        <v>103</v>
      </c>
      <c r="D4004" s="78">
        <v>1</v>
      </c>
      <c r="E4004" s="79">
        <v>40.03</v>
      </c>
      <c r="F4004" s="70">
        <v>40.03</v>
      </c>
      <c r="G4004" s="320"/>
      <c r="H4004" s="79">
        <v>19.010000000000002</v>
      </c>
      <c r="I4004" s="79">
        <v>21.02</v>
      </c>
      <c r="J4004" s="79">
        <v>40.03</v>
      </c>
      <c r="K4004" s="79">
        <v>0</v>
      </c>
      <c r="L4004" s="70">
        <v>40.03</v>
      </c>
      <c r="M4004" s="132"/>
      <c r="N4004" s="79">
        <v>19.010000000000002</v>
      </c>
      <c r="O4004" s="79">
        <v>21.02</v>
      </c>
      <c r="P4004" s="79">
        <v>40.03</v>
      </c>
      <c r="Q4004" s="136"/>
      <c r="R4004" s="79">
        <v>19.010000000000002</v>
      </c>
      <c r="S4004" s="79">
        <v>21.02</v>
      </c>
      <c r="T4004" s="79">
        <v>40.03</v>
      </c>
      <c r="U4004" s="79">
        <v>0</v>
      </c>
      <c r="V4004" s="189">
        <v>40.03</v>
      </c>
      <c r="X4004" s="79">
        <v>19.010000000000002</v>
      </c>
      <c r="Y4004" s="79">
        <v>21.02</v>
      </c>
      <c r="Z4004" s="79">
        <v>40.03</v>
      </c>
      <c r="AA4004" s="255">
        <v>0</v>
      </c>
      <c r="AC4004" s="254"/>
    </row>
    <row r="4005" spans="1:29" ht="12">
      <c r="A4005" s="67" t="s">
        <v>18278</v>
      </c>
      <c r="B4005" s="65" t="s">
        <v>18279</v>
      </c>
      <c r="C4005" s="71" t="s">
        <v>103</v>
      </c>
      <c r="D4005" s="78">
        <v>1</v>
      </c>
      <c r="E4005" s="79">
        <v>23.3</v>
      </c>
      <c r="F4005" s="70">
        <v>23.3</v>
      </c>
      <c r="G4005" s="320"/>
      <c r="H4005" s="79">
        <v>10.56</v>
      </c>
      <c r="I4005" s="79">
        <v>12.74</v>
      </c>
      <c r="J4005" s="79">
        <v>23.3</v>
      </c>
      <c r="K4005" s="79">
        <v>0</v>
      </c>
      <c r="L4005" s="70">
        <v>23.3</v>
      </c>
      <c r="M4005" s="132"/>
      <c r="N4005" s="79">
        <v>10.56</v>
      </c>
      <c r="O4005" s="79">
        <v>12.74</v>
      </c>
      <c r="P4005" s="79">
        <v>23.3</v>
      </c>
      <c r="Q4005" s="136"/>
      <c r="R4005" s="79">
        <v>10.56</v>
      </c>
      <c r="S4005" s="79">
        <v>12.74</v>
      </c>
      <c r="T4005" s="79">
        <v>23.3</v>
      </c>
      <c r="U4005" s="79">
        <v>0</v>
      </c>
      <c r="V4005" s="189">
        <v>23.3</v>
      </c>
      <c r="X4005" s="79">
        <v>10.56</v>
      </c>
      <c r="Y4005" s="79">
        <v>12.74</v>
      </c>
      <c r="Z4005" s="79">
        <v>23.3</v>
      </c>
      <c r="AA4005" s="255">
        <v>0</v>
      </c>
      <c r="AC4005" s="254"/>
    </row>
    <row r="4006" spans="1:29" ht="12">
      <c r="A4006" s="67" t="s">
        <v>18280</v>
      </c>
      <c r="B4006" s="65" t="s">
        <v>18281</v>
      </c>
      <c r="C4006" s="71" t="s">
        <v>103</v>
      </c>
      <c r="D4006" s="78">
        <v>1</v>
      </c>
      <c r="E4006" s="79">
        <v>24.35</v>
      </c>
      <c r="F4006" s="70">
        <v>24.35</v>
      </c>
      <c r="G4006" s="320"/>
      <c r="H4006" s="79">
        <v>11.61</v>
      </c>
      <c r="I4006" s="79">
        <v>12.74</v>
      </c>
      <c r="J4006" s="79">
        <v>24.35</v>
      </c>
      <c r="K4006" s="79">
        <v>0</v>
      </c>
      <c r="L4006" s="70">
        <v>24.35</v>
      </c>
      <c r="M4006" s="132"/>
      <c r="N4006" s="79">
        <v>11.61</v>
      </c>
      <c r="O4006" s="79">
        <v>12.74</v>
      </c>
      <c r="P4006" s="79">
        <v>24.35</v>
      </c>
      <c r="Q4006" s="136"/>
      <c r="R4006" s="79">
        <v>11.61</v>
      </c>
      <c r="S4006" s="79">
        <v>12.74</v>
      </c>
      <c r="T4006" s="79">
        <v>24.35</v>
      </c>
      <c r="U4006" s="79">
        <v>0</v>
      </c>
      <c r="V4006" s="189">
        <v>24.35</v>
      </c>
      <c r="X4006" s="79">
        <v>11.61</v>
      </c>
      <c r="Y4006" s="79">
        <v>12.74</v>
      </c>
      <c r="Z4006" s="79">
        <v>24.35</v>
      </c>
      <c r="AA4006" s="255">
        <v>0</v>
      </c>
      <c r="AC4006" s="254"/>
    </row>
    <row r="4007" spans="1:29" ht="12">
      <c r="A4007" s="67" t="s">
        <v>18282</v>
      </c>
      <c r="B4007" s="65" t="s">
        <v>18283</v>
      </c>
      <c r="C4007" s="71" t="s">
        <v>103</v>
      </c>
      <c r="D4007" s="78">
        <v>1</v>
      </c>
      <c r="E4007" s="79">
        <v>24.05</v>
      </c>
      <c r="F4007" s="70">
        <v>24.05</v>
      </c>
      <c r="G4007" s="320"/>
      <c r="H4007" s="79">
        <v>11.31</v>
      </c>
      <c r="I4007" s="79">
        <v>12.74</v>
      </c>
      <c r="J4007" s="79">
        <v>24.05</v>
      </c>
      <c r="K4007" s="79">
        <v>0</v>
      </c>
      <c r="L4007" s="70">
        <v>24.05</v>
      </c>
      <c r="M4007" s="132"/>
      <c r="N4007" s="79">
        <v>11.31</v>
      </c>
      <c r="O4007" s="79">
        <v>12.74</v>
      </c>
      <c r="P4007" s="79">
        <v>24.05</v>
      </c>
      <c r="Q4007" s="136"/>
      <c r="R4007" s="79">
        <v>11.31</v>
      </c>
      <c r="S4007" s="79">
        <v>12.74</v>
      </c>
      <c r="T4007" s="79">
        <v>24.05</v>
      </c>
      <c r="U4007" s="79">
        <v>0</v>
      </c>
      <c r="V4007" s="189">
        <v>24.05</v>
      </c>
      <c r="X4007" s="79">
        <v>11.31</v>
      </c>
      <c r="Y4007" s="79">
        <v>12.74</v>
      </c>
      <c r="Z4007" s="79">
        <v>24.05</v>
      </c>
      <c r="AA4007" s="255">
        <v>0</v>
      </c>
      <c r="AC4007" s="254"/>
    </row>
    <row r="4008" spans="1:29" ht="12">
      <c r="A4008" s="67" t="s">
        <v>18284</v>
      </c>
      <c r="B4008" s="65" t="s">
        <v>18285</v>
      </c>
      <c r="C4008" s="71" t="s">
        <v>103</v>
      </c>
      <c r="D4008" s="78">
        <v>1</v>
      </c>
      <c r="E4008" s="79">
        <v>32.54</v>
      </c>
      <c r="F4008" s="70">
        <v>32.54</v>
      </c>
      <c r="G4008" s="320"/>
      <c r="H4008" s="79">
        <v>10.93</v>
      </c>
      <c r="I4008" s="79">
        <v>21.61</v>
      </c>
      <c r="J4008" s="79">
        <v>32.54</v>
      </c>
      <c r="K4008" s="79">
        <v>0</v>
      </c>
      <c r="L4008" s="70">
        <v>32.54</v>
      </c>
      <c r="M4008" s="132"/>
      <c r="N4008" s="79">
        <v>10.93</v>
      </c>
      <c r="O4008" s="79">
        <v>21.61</v>
      </c>
      <c r="P4008" s="79">
        <v>32.54</v>
      </c>
      <c r="Q4008" s="136"/>
      <c r="R4008" s="79">
        <v>10.93</v>
      </c>
      <c r="S4008" s="79">
        <v>21.61</v>
      </c>
      <c r="T4008" s="79">
        <v>32.54</v>
      </c>
      <c r="U4008" s="79">
        <v>0</v>
      </c>
      <c r="V4008" s="189">
        <v>32.54</v>
      </c>
      <c r="X4008" s="79">
        <v>10.93</v>
      </c>
      <c r="Y4008" s="79">
        <v>21.61</v>
      </c>
      <c r="Z4008" s="79">
        <v>32.54</v>
      </c>
      <c r="AA4008" s="255">
        <v>0</v>
      </c>
      <c r="AC4008" s="254"/>
    </row>
    <row r="4009" spans="1:29" ht="12">
      <c r="A4009" s="67" t="s">
        <v>18286</v>
      </c>
      <c r="B4009" s="65" t="s">
        <v>18287</v>
      </c>
      <c r="C4009" s="71" t="s">
        <v>103</v>
      </c>
      <c r="D4009" s="78">
        <v>1</v>
      </c>
      <c r="E4009" s="79">
        <v>19.34</v>
      </c>
      <c r="F4009" s="70">
        <v>19.34</v>
      </c>
      <c r="G4009" s="320"/>
      <c r="H4009" s="79">
        <v>8.18</v>
      </c>
      <c r="I4009" s="79">
        <v>11.16</v>
      </c>
      <c r="J4009" s="79">
        <v>19.34</v>
      </c>
      <c r="K4009" s="79">
        <v>0</v>
      </c>
      <c r="L4009" s="70">
        <v>19.34</v>
      </c>
      <c r="M4009" s="132"/>
      <c r="N4009" s="79">
        <v>8.18</v>
      </c>
      <c r="O4009" s="79">
        <v>11.16</v>
      </c>
      <c r="P4009" s="79">
        <v>19.34</v>
      </c>
      <c r="Q4009" s="136"/>
      <c r="R4009" s="79">
        <v>8.18</v>
      </c>
      <c r="S4009" s="79">
        <v>11.16</v>
      </c>
      <c r="T4009" s="79">
        <v>19.34</v>
      </c>
      <c r="U4009" s="79">
        <v>0</v>
      </c>
      <c r="V4009" s="189">
        <v>19.34</v>
      </c>
      <c r="X4009" s="79">
        <v>8.18</v>
      </c>
      <c r="Y4009" s="79">
        <v>11.16</v>
      </c>
      <c r="Z4009" s="79">
        <v>19.34</v>
      </c>
      <c r="AA4009" s="255">
        <v>0</v>
      </c>
      <c r="AC4009" s="254"/>
    </row>
    <row r="4010" spans="1:29" ht="12">
      <c r="A4010" s="67" t="s">
        <v>18288</v>
      </c>
      <c r="B4010" s="65" t="s">
        <v>18289</v>
      </c>
      <c r="C4010" s="71" t="s">
        <v>103</v>
      </c>
      <c r="D4010" s="78">
        <v>1</v>
      </c>
      <c r="E4010" s="79">
        <v>125.93</v>
      </c>
      <c r="F4010" s="70">
        <v>125.93</v>
      </c>
      <c r="G4010" s="320"/>
      <c r="H4010" s="79">
        <v>86.65</v>
      </c>
      <c r="I4010" s="79">
        <v>39.28</v>
      </c>
      <c r="J4010" s="79">
        <v>125.93</v>
      </c>
      <c r="K4010" s="79">
        <v>0</v>
      </c>
      <c r="L4010" s="70">
        <v>125.93</v>
      </c>
      <c r="M4010" s="132"/>
      <c r="N4010" s="79">
        <v>86.65</v>
      </c>
      <c r="O4010" s="79">
        <v>39.28</v>
      </c>
      <c r="P4010" s="79">
        <v>125.93</v>
      </c>
      <c r="Q4010" s="136"/>
      <c r="R4010" s="79">
        <v>86.65</v>
      </c>
      <c r="S4010" s="79">
        <v>39.270000000000003</v>
      </c>
      <c r="T4010" s="79"/>
      <c r="U4010" s="79">
        <v>0</v>
      </c>
      <c r="V4010" s="189"/>
      <c r="X4010" s="79">
        <v>86.65</v>
      </c>
      <c r="Y4010" s="79">
        <v>39.270000000000003</v>
      </c>
      <c r="Z4010" s="79">
        <v>125.92</v>
      </c>
      <c r="AA4010" s="255">
        <v>1.0000000000005116E-2</v>
      </c>
      <c r="AC4010" s="254"/>
    </row>
    <row r="4011" spans="1:29" ht="12">
      <c r="A4011" s="489" t="s">
        <v>18290</v>
      </c>
      <c r="B4011" s="490" t="s">
        <v>18291</v>
      </c>
      <c r="C4011" s="71"/>
      <c r="D4011" s="78"/>
      <c r="E4011" s="79"/>
      <c r="F4011" s="70"/>
      <c r="G4011" s="320"/>
      <c r="H4011" s="79"/>
      <c r="I4011" s="79"/>
      <c r="J4011" s="79"/>
      <c r="K4011" s="79"/>
      <c r="L4011" s="70"/>
      <c r="M4011" s="132"/>
      <c r="N4011" s="79"/>
      <c r="O4011" s="79"/>
      <c r="P4011" s="79"/>
      <c r="Q4011" s="136"/>
      <c r="R4011" s="79"/>
      <c r="S4011" s="79"/>
      <c r="T4011" s="79"/>
      <c r="U4011" s="79"/>
      <c r="V4011" s="189"/>
      <c r="X4011" s="79"/>
      <c r="Y4011" s="79"/>
      <c r="Z4011" s="79"/>
      <c r="AA4011" s="255"/>
      <c r="AC4011" s="254"/>
    </row>
    <row r="4012" spans="1:29" ht="12">
      <c r="A4012" s="489" t="s">
        <v>18292</v>
      </c>
      <c r="B4012" s="490" t="s">
        <v>18293</v>
      </c>
      <c r="C4012" s="71"/>
      <c r="D4012" s="78"/>
      <c r="E4012" s="79"/>
      <c r="F4012" s="70"/>
      <c r="G4012" s="320"/>
      <c r="H4012" s="79"/>
      <c r="I4012" s="79"/>
      <c r="J4012" s="79"/>
      <c r="K4012" s="79"/>
      <c r="L4012" s="70"/>
      <c r="M4012" s="132"/>
      <c r="N4012" s="79"/>
      <c r="O4012" s="79"/>
      <c r="P4012" s="79"/>
      <c r="Q4012" s="136"/>
      <c r="R4012" s="79"/>
      <c r="S4012" s="79"/>
      <c r="T4012" s="79"/>
      <c r="U4012" s="79"/>
      <c r="V4012" s="189"/>
      <c r="X4012" s="79"/>
      <c r="Y4012" s="79"/>
      <c r="Z4012" s="79"/>
      <c r="AA4012" s="255"/>
      <c r="AC4012" s="254"/>
    </row>
    <row r="4013" spans="1:29" ht="24">
      <c r="A4013" s="67" t="s">
        <v>18294</v>
      </c>
      <c r="B4013" s="65" t="s">
        <v>18295</v>
      </c>
      <c r="C4013" s="71" t="s">
        <v>509</v>
      </c>
      <c r="D4013" s="78">
        <v>1</v>
      </c>
      <c r="E4013" s="79">
        <v>269.63000000000005</v>
      </c>
      <c r="F4013" s="70">
        <v>269.63</v>
      </c>
      <c r="G4013" s="320"/>
      <c r="H4013" s="79">
        <v>265.82</v>
      </c>
      <c r="I4013" s="79">
        <v>3.81</v>
      </c>
      <c r="J4013" s="79">
        <v>269.63</v>
      </c>
      <c r="K4013" s="79">
        <v>0</v>
      </c>
      <c r="L4013" s="70">
        <v>269.63</v>
      </c>
      <c r="M4013" s="132"/>
      <c r="N4013" s="79">
        <v>265.82</v>
      </c>
      <c r="O4013" s="79">
        <v>3.81</v>
      </c>
      <c r="P4013" s="79">
        <v>269.63</v>
      </c>
      <c r="Q4013" s="136"/>
      <c r="R4013" s="79">
        <v>265.82</v>
      </c>
      <c r="S4013" s="79">
        <v>3.82</v>
      </c>
      <c r="T4013" s="79">
        <v>269.64</v>
      </c>
      <c r="U4013" s="79">
        <v>0</v>
      </c>
      <c r="V4013" s="189">
        <v>269.64</v>
      </c>
      <c r="X4013" s="79">
        <v>265.82</v>
      </c>
      <c r="Y4013" s="79">
        <v>3.82</v>
      </c>
      <c r="Z4013" s="79">
        <v>269.64</v>
      </c>
      <c r="AA4013" s="255">
        <v>-9.9999999999909051E-3</v>
      </c>
      <c r="AC4013" s="254"/>
    </row>
    <row r="4014" spans="1:29" ht="24">
      <c r="A4014" s="67" t="s">
        <v>18296</v>
      </c>
      <c r="B4014" s="65" t="s">
        <v>18297</v>
      </c>
      <c r="C4014" s="71" t="s">
        <v>509</v>
      </c>
      <c r="D4014" s="78">
        <v>1</v>
      </c>
      <c r="E4014" s="79">
        <v>220.08</v>
      </c>
      <c r="F4014" s="70">
        <v>220.08</v>
      </c>
      <c r="G4014" s="320"/>
      <c r="H4014" s="79">
        <v>216.86</v>
      </c>
      <c r="I4014" s="79">
        <v>3.2199999999999998</v>
      </c>
      <c r="J4014" s="79">
        <v>220.08</v>
      </c>
      <c r="K4014" s="79">
        <v>0</v>
      </c>
      <c r="L4014" s="70">
        <v>220.08</v>
      </c>
      <c r="M4014" s="132"/>
      <c r="N4014" s="79">
        <v>216.86</v>
      </c>
      <c r="O4014" s="79">
        <v>3.2199999999999998</v>
      </c>
      <c r="P4014" s="79">
        <v>220.08</v>
      </c>
      <c r="Q4014" s="136"/>
      <c r="R4014" s="79">
        <v>216.86</v>
      </c>
      <c r="S4014" s="79">
        <v>3.2</v>
      </c>
      <c r="T4014" s="79">
        <v>220.06</v>
      </c>
      <c r="U4014" s="79">
        <v>0</v>
      </c>
      <c r="V4014" s="189">
        <v>220.06</v>
      </c>
      <c r="X4014" s="79">
        <v>216.86</v>
      </c>
      <c r="Y4014" s="79">
        <v>3.2</v>
      </c>
      <c r="Z4014" s="79">
        <v>220.06</v>
      </c>
      <c r="AA4014" s="255">
        <v>2.0000000000010232E-2</v>
      </c>
      <c r="AC4014" s="254"/>
    </row>
    <row r="4015" spans="1:29" ht="24">
      <c r="A4015" s="67" t="s">
        <v>18298</v>
      </c>
      <c r="B4015" s="65" t="s">
        <v>18299</v>
      </c>
      <c r="C4015" s="71" t="s">
        <v>509</v>
      </c>
      <c r="D4015" s="78">
        <v>1</v>
      </c>
      <c r="E4015" s="79">
        <v>220.80000000000004</v>
      </c>
      <c r="F4015" s="70">
        <v>220.8</v>
      </c>
      <c r="G4015" s="320"/>
      <c r="H4015" s="79">
        <v>217.58</v>
      </c>
      <c r="I4015" s="79">
        <v>3.2199999999999998</v>
      </c>
      <c r="J4015" s="79">
        <v>220.8</v>
      </c>
      <c r="K4015" s="79">
        <v>0</v>
      </c>
      <c r="L4015" s="70">
        <v>220.8</v>
      </c>
      <c r="M4015" s="132"/>
      <c r="N4015" s="79">
        <v>217.58</v>
      </c>
      <c r="O4015" s="79">
        <v>3.2199999999999998</v>
      </c>
      <c r="P4015" s="79">
        <v>220.8</v>
      </c>
      <c r="Q4015" s="136"/>
      <c r="R4015" s="79">
        <v>217.58</v>
      </c>
      <c r="S4015" s="79">
        <v>3.22</v>
      </c>
      <c r="T4015" s="79">
        <v>220.8</v>
      </c>
      <c r="U4015" s="79">
        <v>0</v>
      </c>
      <c r="V4015" s="189">
        <v>220.8</v>
      </c>
      <c r="X4015" s="79">
        <v>217.58</v>
      </c>
      <c r="Y4015" s="79">
        <v>3.22</v>
      </c>
      <c r="Z4015" s="79">
        <v>220.8</v>
      </c>
      <c r="AA4015" s="255">
        <v>0</v>
      </c>
      <c r="AC4015" s="254"/>
    </row>
    <row r="4016" spans="1:29" ht="12">
      <c r="A4016" s="67" t="s">
        <v>18300</v>
      </c>
      <c r="B4016" s="65" t="s">
        <v>18301</v>
      </c>
      <c r="C4016" s="71" t="s">
        <v>165</v>
      </c>
      <c r="D4016" s="78">
        <v>1</v>
      </c>
      <c r="E4016" s="79">
        <v>433.40000000000003</v>
      </c>
      <c r="F4016" s="70">
        <v>433.4</v>
      </c>
      <c r="G4016" s="320"/>
      <c r="H4016" s="79">
        <v>417.46999999999997</v>
      </c>
      <c r="I4016" s="79">
        <v>15.93</v>
      </c>
      <c r="J4016" s="79">
        <v>433.4</v>
      </c>
      <c r="K4016" s="79">
        <v>0</v>
      </c>
      <c r="L4016" s="70">
        <v>433.4</v>
      </c>
      <c r="M4016" s="132"/>
      <c r="N4016" s="79">
        <v>417.46999999999997</v>
      </c>
      <c r="O4016" s="79">
        <v>15.93</v>
      </c>
      <c r="P4016" s="79">
        <v>433.4</v>
      </c>
      <c r="Q4016" s="136"/>
      <c r="R4016" s="79">
        <v>417.47</v>
      </c>
      <c r="S4016" s="79">
        <v>15.92</v>
      </c>
      <c r="T4016" s="79">
        <v>433.39000000000004</v>
      </c>
      <c r="U4016" s="79">
        <v>0</v>
      </c>
      <c r="V4016" s="189">
        <v>433.39000000000004</v>
      </c>
      <c r="X4016" s="79">
        <v>417.47</v>
      </c>
      <c r="Y4016" s="79">
        <v>15.92</v>
      </c>
      <c r="Z4016" s="79">
        <v>433.39</v>
      </c>
      <c r="AA4016" s="255">
        <v>9.9999999999909051E-3</v>
      </c>
      <c r="AC4016" s="254"/>
    </row>
    <row r="4017" spans="1:29" ht="12">
      <c r="A4017" s="489" t="s">
        <v>18302</v>
      </c>
      <c r="B4017" s="490" t="s">
        <v>18303</v>
      </c>
      <c r="C4017" s="71"/>
      <c r="D4017" s="78"/>
      <c r="E4017" s="79"/>
      <c r="F4017" s="70"/>
      <c r="G4017" s="320"/>
      <c r="H4017" s="79"/>
      <c r="I4017" s="79"/>
      <c r="J4017" s="79"/>
      <c r="K4017" s="79"/>
      <c r="L4017" s="70"/>
      <c r="M4017" s="132"/>
      <c r="N4017" s="79"/>
      <c r="O4017" s="79"/>
      <c r="P4017" s="79"/>
      <c r="Q4017" s="136"/>
      <c r="R4017" s="79"/>
      <c r="S4017" s="79"/>
      <c r="T4017" s="79"/>
      <c r="U4017" s="79"/>
      <c r="V4017" s="189"/>
      <c r="X4017" s="79"/>
      <c r="Y4017" s="79"/>
      <c r="Z4017" s="79"/>
      <c r="AA4017" s="255"/>
      <c r="AC4017" s="254"/>
    </row>
    <row r="4018" spans="1:29" ht="12">
      <c r="A4018" s="67" t="s">
        <v>18304</v>
      </c>
      <c r="B4018" s="65" t="s">
        <v>2226</v>
      </c>
      <c r="C4018" s="71" t="s">
        <v>509</v>
      </c>
      <c r="D4018" s="78">
        <v>1</v>
      </c>
      <c r="E4018" s="79">
        <v>81.45</v>
      </c>
      <c r="F4018" s="70">
        <v>81.45</v>
      </c>
      <c r="G4018" s="320"/>
      <c r="H4018" s="79">
        <v>81.45</v>
      </c>
      <c r="I4018" s="79">
        <v>0</v>
      </c>
      <c r="J4018" s="79">
        <v>81.45</v>
      </c>
      <c r="K4018" s="79">
        <v>0</v>
      </c>
      <c r="L4018" s="70">
        <v>81.45</v>
      </c>
      <c r="M4018" s="132"/>
      <c r="N4018" s="79">
        <v>81.45</v>
      </c>
      <c r="O4018" s="79"/>
      <c r="P4018" s="79">
        <v>81.45</v>
      </c>
      <c r="Q4018" s="136"/>
      <c r="R4018" s="79">
        <v>81.45</v>
      </c>
      <c r="S4018" s="79"/>
      <c r="T4018" s="79">
        <v>81.45</v>
      </c>
      <c r="U4018" s="79">
        <v>0</v>
      </c>
      <c r="V4018" s="189">
        <v>81.45</v>
      </c>
      <c r="X4018" s="79">
        <v>81.45</v>
      </c>
      <c r="Y4018" s="79"/>
      <c r="Z4018" s="79">
        <v>81.45</v>
      </c>
      <c r="AA4018" s="255">
        <v>0</v>
      </c>
      <c r="AC4018" s="254"/>
    </row>
    <row r="4019" spans="1:29" ht="12">
      <c r="A4019" s="67" t="s">
        <v>18305</v>
      </c>
      <c r="B4019" s="65" t="s">
        <v>18306</v>
      </c>
      <c r="C4019" s="71" t="s">
        <v>509</v>
      </c>
      <c r="D4019" s="78">
        <v>1</v>
      </c>
      <c r="E4019" s="79">
        <v>35.47</v>
      </c>
      <c r="F4019" s="70">
        <v>35.47</v>
      </c>
      <c r="G4019" s="320"/>
      <c r="H4019" s="79">
        <v>35.47</v>
      </c>
      <c r="I4019" s="79">
        <v>0</v>
      </c>
      <c r="J4019" s="79">
        <v>35.47</v>
      </c>
      <c r="K4019" s="79">
        <v>0</v>
      </c>
      <c r="L4019" s="70">
        <v>35.47</v>
      </c>
      <c r="M4019" s="132"/>
      <c r="N4019" s="79">
        <v>35.47</v>
      </c>
      <c r="O4019" s="79"/>
      <c r="P4019" s="79">
        <v>35.47</v>
      </c>
      <c r="Q4019" s="136"/>
      <c r="R4019" s="79">
        <v>35.47</v>
      </c>
      <c r="S4019" s="79"/>
      <c r="T4019" s="79">
        <v>35.47</v>
      </c>
      <c r="U4019" s="79">
        <v>0</v>
      </c>
      <c r="V4019" s="189">
        <v>35.47</v>
      </c>
      <c r="X4019" s="79">
        <v>35.47</v>
      </c>
      <c r="Y4019" s="79"/>
      <c r="Z4019" s="79">
        <v>35.47</v>
      </c>
      <c r="AA4019" s="255">
        <v>0</v>
      </c>
      <c r="AC4019" s="254"/>
    </row>
    <row r="4020" spans="1:29" ht="12">
      <c r="A4020" s="67" t="s">
        <v>18307</v>
      </c>
      <c r="B4020" s="65" t="s">
        <v>18308</v>
      </c>
      <c r="C4020" s="71" t="s">
        <v>509</v>
      </c>
      <c r="D4020" s="78">
        <v>1</v>
      </c>
      <c r="E4020" s="79">
        <v>200.5</v>
      </c>
      <c r="F4020" s="70">
        <v>200.5</v>
      </c>
      <c r="G4020" s="320"/>
      <c r="H4020" s="79">
        <v>200.5</v>
      </c>
      <c r="I4020" s="79">
        <v>0</v>
      </c>
      <c r="J4020" s="79">
        <v>200.5</v>
      </c>
      <c r="K4020" s="79">
        <v>0</v>
      </c>
      <c r="L4020" s="70">
        <v>200.5</v>
      </c>
      <c r="M4020" s="132"/>
      <c r="N4020" s="79">
        <v>200.5</v>
      </c>
      <c r="O4020" s="79"/>
      <c r="P4020" s="79">
        <v>200.5</v>
      </c>
      <c r="Q4020" s="136"/>
      <c r="R4020" s="79">
        <v>200.5</v>
      </c>
      <c r="S4020" s="79"/>
      <c r="T4020" s="79">
        <v>200.5</v>
      </c>
      <c r="U4020" s="79">
        <v>0</v>
      </c>
      <c r="V4020" s="189">
        <v>200.5</v>
      </c>
      <c r="X4020" s="79">
        <v>200.5</v>
      </c>
      <c r="Y4020" s="79"/>
      <c r="Z4020" s="79">
        <v>200.5</v>
      </c>
      <c r="AA4020" s="255">
        <v>0</v>
      </c>
      <c r="AC4020" s="254"/>
    </row>
    <row r="4021" spans="1:29" ht="24">
      <c r="A4021" s="67" t="s">
        <v>18309</v>
      </c>
      <c r="B4021" s="65" t="s">
        <v>18310</v>
      </c>
      <c r="C4021" s="71" t="s">
        <v>509</v>
      </c>
      <c r="D4021" s="78">
        <v>1</v>
      </c>
      <c r="E4021" s="79">
        <v>250.63</v>
      </c>
      <c r="F4021" s="70">
        <v>250.63</v>
      </c>
      <c r="G4021" s="320"/>
      <c r="H4021" s="79">
        <v>250.63</v>
      </c>
      <c r="I4021" s="79">
        <v>0</v>
      </c>
      <c r="J4021" s="79">
        <v>250.63</v>
      </c>
      <c r="K4021" s="79">
        <v>0</v>
      </c>
      <c r="L4021" s="70">
        <v>250.63</v>
      </c>
      <c r="M4021" s="132"/>
      <c r="N4021" s="79">
        <v>250.63</v>
      </c>
      <c r="O4021" s="79"/>
      <c r="P4021" s="79">
        <v>250.63</v>
      </c>
      <c r="Q4021" s="136"/>
      <c r="R4021" s="79">
        <v>250.63</v>
      </c>
      <c r="S4021" s="79"/>
      <c r="T4021" s="79">
        <v>250.63</v>
      </c>
      <c r="U4021" s="79">
        <v>0</v>
      </c>
      <c r="V4021" s="189">
        <v>250.63</v>
      </c>
      <c r="X4021" s="79">
        <v>250.63</v>
      </c>
      <c r="Y4021" s="79"/>
      <c r="Z4021" s="79">
        <v>250.63</v>
      </c>
      <c r="AA4021" s="255">
        <v>0</v>
      </c>
      <c r="AC4021" s="254"/>
    </row>
    <row r="4022" spans="1:29" ht="24">
      <c r="A4022" s="67" t="s">
        <v>18311</v>
      </c>
      <c r="B4022" s="65" t="s">
        <v>18312</v>
      </c>
      <c r="C4022" s="71" t="s">
        <v>509</v>
      </c>
      <c r="D4022" s="78">
        <v>1</v>
      </c>
      <c r="E4022" s="79">
        <v>92.13</v>
      </c>
      <c r="F4022" s="70">
        <v>92.13</v>
      </c>
      <c r="G4022" s="320"/>
      <c r="H4022" s="79">
        <v>92.13</v>
      </c>
      <c r="I4022" s="79">
        <v>0</v>
      </c>
      <c r="J4022" s="79">
        <v>92.13</v>
      </c>
      <c r="K4022" s="79">
        <v>0</v>
      </c>
      <c r="L4022" s="70">
        <v>92.13</v>
      </c>
      <c r="M4022" s="132"/>
      <c r="N4022" s="79">
        <v>92.13</v>
      </c>
      <c r="O4022" s="79"/>
      <c r="P4022" s="79">
        <v>92.13</v>
      </c>
      <c r="Q4022" s="136"/>
      <c r="R4022" s="79">
        <v>92.13</v>
      </c>
      <c r="S4022" s="79"/>
      <c r="T4022" s="79">
        <v>92.13</v>
      </c>
      <c r="U4022" s="79">
        <v>0</v>
      </c>
      <c r="V4022" s="189">
        <v>92.13</v>
      </c>
      <c r="X4022" s="79">
        <v>92.13</v>
      </c>
      <c r="Y4022" s="79"/>
      <c r="Z4022" s="79">
        <v>92.13</v>
      </c>
      <c r="AA4022" s="255">
        <v>0</v>
      </c>
      <c r="AC4022" s="254"/>
    </row>
    <row r="4023" spans="1:29" ht="24">
      <c r="A4023" s="67" t="s">
        <v>18313</v>
      </c>
      <c r="B4023" s="65" t="s">
        <v>18314</v>
      </c>
      <c r="C4023" s="71" t="s">
        <v>509</v>
      </c>
      <c r="D4023" s="78">
        <v>1</v>
      </c>
      <c r="E4023" s="79">
        <v>134.97999999999999</v>
      </c>
      <c r="F4023" s="70">
        <v>134.97999999999999</v>
      </c>
      <c r="G4023" s="320"/>
      <c r="H4023" s="79">
        <v>134.97999999999999</v>
      </c>
      <c r="I4023" s="79">
        <v>0</v>
      </c>
      <c r="J4023" s="79">
        <v>134.97999999999999</v>
      </c>
      <c r="K4023" s="79">
        <v>0</v>
      </c>
      <c r="L4023" s="70">
        <v>134.97999999999999</v>
      </c>
      <c r="M4023" s="132"/>
      <c r="N4023" s="79">
        <v>134.97999999999999</v>
      </c>
      <c r="O4023" s="79"/>
      <c r="P4023" s="79">
        <v>134.97999999999999</v>
      </c>
      <c r="Q4023" s="136"/>
      <c r="R4023" s="79">
        <v>134.97999999999999</v>
      </c>
      <c r="S4023" s="79"/>
      <c r="T4023" s="79">
        <v>134.97999999999999</v>
      </c>
      <c r="U4023" s="79">
        <v>0</v>
      </c>
      <c r="V4023" s="189">
        <v>134.97999999999999</v>
      </c>
      <c r="X4023" s="79">
        <v>134.97999999999999</v>
      </c>
      <c r="Y4023" s="79"/>
      <c r="Z4023" s="79">
        <v>134.97999999999999</v>
      </c>
      <c r="AA4023" s="255">
        <v>0</v>
      </c>
      <c r="AC4023" s="254"/>
    </row>
    <row r="4024" spans="1:29" ht="24">
      <c r="A4024" s="67" t="s">
        <v>18315</v>
      </c>
      <c r="B4024" s="65" t="s">
        <v>18316</v>
      </c>
      <c r="C4024" s="71" t="s">
        <v>509</v>
      </c>
      <c r="D4024" s="78">
        <v>1</v>
      </c>
      <c r="E4024" s="79">
        <v>147.71</v>
      </c>
      <c r="F4024" s="70">
        <v>147.71</v>
      </c>
      <c r="G4024" s="320"/>
      <c r="H4024" s="79">
        <v>147.71</v>
      </c>
      <c r="I4024" s="79">
        <v>0</v>
      </c>
      <c r="J4024" s="79">
        <v>147.71</v>
      </c>
      <c r="K4024" s="79">
        <v>0</v>
      </c>
      <c r="L4024" s="70">
        <v>147.71</v>
      </c>
      <c r="M4024" s="132"/>
      <c r="N4024" s="79">
        <v>147.71</v>
      </c>
      <c r="O4024" s="79"/>
      <c r="P4024" s="79">
        <v>147.71</v>
      </c>
      <c r="Q4024" s="136"/>
      <c r="R4024" s="79">
        <v>147.71</v>
      </c>
      <c r="S4024" s="79"/>
      <c r="T4024" s="79">
        <v>147.71</v>
      </c>
      <c r="U4024" s="79">
        <v>0</v>
      </c>
      <c r="V4024" s="189">
        <v>147.71</v>
      </c>
      <c r="X4024" s="79">
        <v>147.71</v>
      </c>
      <c r="Y4024" s="79"/>
      <c r="Z4024" s="79">
        <v>147.71</v>
      </c>
      <c r="AA4024" s="255">
        <v>0</v>
      </c>
      <c r="AC4024" s="254"/>
    </row>
    <row r="4025" spans="1:29" ht="12">
      <c r="A4025" s="67" t="s">
        <v>18317</v>
      </c>
      <c r="B4025" s="65" t="s">
        <v>18318</v>
      </c>
      <c r="C4025" s="71" t="s">
        <v>509</v>
      </c>
      <c r="D4025" s="78">
        <v>1</v>
      </c>
      <c r="E4025" s="79">
        <v>255.89</v>
      </c>
      <c r="F4025" s="70">
        <v>255.89</v>
      </c>
      <c r="G4025" s="320"/>
      <c r="H4025" s="79">
        <v>255.89</v>
      </c>
      <c r="I4025" s="79">
        <v>0</v>
      </c>
      <c r="J4025" s="79">
        <v>255.89</v>
      </c>
      <c r="K4025" s="79">
        <v>0</v>
      </c>
      <c r="L4025" s="70">
        <v>255.89</v>
      </c>
      <c r="M4025" s="132"/>
      <c r="N4025" s="79">
        <v>255.89</v>
      </c>
      <c r="O4025" s="79"/>
      <c r="P4025" s="79">
        <v>255.89</v>
      </c>
      <c r="Q4025" s="136"/>
      <c r="R4025" s="79">
        <v>255.89</v>
      </c>
      <c r="S4025" s="79"/>
      <c r="T4025" s="79">
        <v>255.89</v>
      </c>
      <c r="U4025" s="79">
        <v>0</v>
      </c>
      <c r="V4025" s="189">
        <v>255.89</v>
      </c>
      <c r="X4025" s="79">
        <v>255.89</v>
      </c>
      <c r="Y4025" s="79"/>
      <c r="Z4025" s="79">
        <v>255.89</v>
      </c>
      <c r="AA4025" s="255">
        <v>0</v>
      </c>
      <c r="AC4025" s="254"/>
    </row>
    <row r="4026" spans="1:29" ht="12">
      <c r="A4026" s="67" t="s">
        <v>18319</v>
      </c>
      <c r="B4026" s="65" t="s">
        <v>18320</v>
      </c>
      <c r="C4026" s="71" t="s">
        <v>509</v>
      </c>
      <c r="D4026" s="78">
        <v>1</v>
      </c>
      <c r="E4026" s="79">
        <v>287.17</v>
      </c>
      <c r="F4026" s="70">
        <v>287.17</v>
      </c>
      <c r="G4026" s="320"/>
      <c r="H4026" s="79">
        <v>287.17</v>
      </c>
      <c r="I4026" s="79">
        <v>0</v>
      </c>
      <c r="J4026" s="79">
        <v>287.17</v>
      </c>
      <c r="K4026" s="79">
        <v>0</v>
      </c>
      <c r="L4026" s="70">
        <v>287.17</v>
      </c>
      <c r="M4026" s="132"/>
      <c r="N4026" s="79">
        <v>287.17</v>
      </c>
      <c r="O4026" s="79"/>
      <c r="P4026" s="79">
        <v>287.17</v>
      </c>
      <c r="Q4026" s="136"/>
      <c r="R4026" s="79">
        <v>287.17</v>
      </c>
      <c r="S4026" s="79"/>
      <c r="T4026" s="79">
        <v>287.17</v>
      </c>
      <c r="U4026" s="79">
        <v>0</v>
      </c>
      <c r="V4026" s="189">
        <v>287.17</v>
      </c>
      <c r="X4026" s="79">
        <v>287.17</v>
      </c>
      <c r="Y4026" s="79"/>
      <c r="Z4026" s="79">
        <v>287.17</v>
      </c>
      <c r="AA4026" s="255">
        <v>0</v>
      </c>
      <c r="AC4026" s="254"/>
    </row>
    <row r="4027" spans="1:29" ht="12">
      <c r="A4027" s="67" t="s">
        <v>18321</v>
      </c>
      <c r="B4027" s="65" t="s">
        <v>18322</v>
      </c>
      <c r="C4027" s="71" t="s">
        <v>509</v>
      </c>
      <c r="D4027" s="78">
        <v>1</v>
      </c>
      <c r="E4027" s="79">
        <v>48.74</v>
      </c>
      <c r="F4027" s="70">
        <v>48.74</v>
      </c>
      <c r="G4027" s="320"/>
      <c r="H4027" s="79">
        <v>48.74</v>
      </c>
      <c r="I4027" s="79">
        <v>0</v>
      </c>
      <c r="J4027" s="79">
        <v>48.74</v>
      </c>
      <c r="K4027" s="79">
        <v>0</v>
      </c>
      <c r="L4027" s="70">
        <v>48.74</v>
      </c>
      <c r="M4027" s="132"/>
      <c r="N4027" s="79">
        <v>48.74</v>
      </c>
      <c r="O4027" s="79"/>
      <c r="P4027" s="79">
        <v>48.74</v>
      </c>
      <c r="Q4027" s="136"/>
      <c r="R4027" s="79">
        <v>48.74</v>
      </c>
      <c r="S4027" s="79"/>
      <c r="T4027" s="79"/>
      <c r="U4027" s="79">
        <v>0</v>
      </c>
      <c r="V4027" s="189"/>
      <c r="X4027" s="79">
        <v>48.74</v>
      </c>
      <c r="Y4027" s="79"/>
      <c r="Z4027" s="79">
        <v>48.74</v>
      </c>
      <c r="AA4027" s="255">
        <v>0</v>
      </c>
      <c r="AC4027" s="254"/>
    </row>
    <row r="4028" spans="1:29" ht="12">
      <c r="A4028" s="489" t="s">
        <v>18323</v>
      </c>
      <c r="B4028" s="490" t="s">
        <v>18324</v>
      </c>
      <c r="C4028" s="71"/>
      <c r="D4028" s="78"/>
      <c r="E4028" s="79"/>
      <c r="F4028" s="70"/>
      <c r="G4028" s="320"/>
      <c r="H4028" s="79"/>
      <c r="I4028" s="79"/>
      <c r="J4028" s="79"/>
      <c r="K4028" s="79"/>
      <c r="L4028" s="70"/>
      <c r="M4028" s="132"/>
      <c r="N4028" s="79"/>
      <c r="O4028" s="79"/>
      <c r="P4028" s="79"/>
      <c r="Q4028" s="136"/>
      <c r="R4028" s="79"/>
      <c r="S4028" s="79"/>
      <c r="T4028" s="79"/>
      <c r="U4028" s="79"/>
      <c r="V4028" s="189"/>
      <c r="X4028" s="79"/>
      <c r="Y4028" s="79"/>
      <c r="Z4028" s="79"/>
      <c r="AA4028" s="255"/>
      <c r="AC4028" s="254"/>
    </row>
    <row r="4029" spans="1:29" ht="24">
      <c r="A4029" s="67" t="s">
        <v>18325</v>
      </c>
      <c r="B4029" s="65" t="s">
        <v>18326</v>
      </c>
      <c r="C4029" s="71" t="s">
        <v>509</v>
      </c>
      <c r="D4029" s="78">
        <v>1</v>
      </c>
      <c r="E4029" s="79">
        <v>1657.33</v>
      </c>
      <c r="F4029" s="70">
        <v>1657.33</v>
      </c>
      <c r="G4029" s="320"/>
      <c r="H4029" s="79">
        <v>1628.53</v>
      </c>
      <c r="I4029" s="79">
        <v>28.8</v>
      </c>
      <c r="J4029" s="79">
        <v>1657.33</v>
      </c>
      <c r="K4029" s="79">
        <v>0</v>
      </c>
      <c r="L4029" s="70">
        <v>1657.33</v>
      </c>
      <c r="M4029" s="132"/>
      <c r="N4029" s="79">
        <v>1628.53</v>
      </c>
      <c r="O4029" s="79">
        <v>28.8</v>
      </c>
      <c r="P4029" s="79">
        <v>1657.33</v>
      </c>
      <c r="Q4029" s="136"/>
      <c r="R4029" s="79">
        <v>1628.53</v>
      </c>
      <c r="S4029" s="79">
        <v>28.81</v>
      </c>
      <c r="T4029" s="79">
        <v>1657.34</v>
      </c>
      <c r="U4029" s="79">
        <v>0</v>
      </c>
      <c r="V4029" s="189">
        <v>1657.34</v>
      </c>
      <c r="X4029" s="79">
        <v>1628.53</v>
      </c>
      <c r="Y4029" s="79">
        <v>28.81</v>
      </c>
      <c r="Z4029" s="79">
        <v>1657.34</v>
      </c>
      <c r="AA4029" s="255">
        <v>-9.9999999999909051E-3</v>
      </c>
      <c r="AC4029" s="254"/>
    </row>
    <row r="4030" spans="1:29" ht="24">
      <c r="A4030" s="67" t="s">
        <v>18327</v>
      </c>
      <c r="B4030" s="65" t="s">
        <v>18328</v>
      </c>
      <c r="C4030" s="71" t="s">
        <v>509</v>
      </c>
      <c r="D4030" s="78">
        <v>1</v>
      </c>
      <c r="E4030" s="79">
        <v>1725.6</v>
      </c>
      <c r="F4030" s="70">
        <v>1725.6</v>
      </c>
      <c r="G4030" s="320"/>
      <c r="H4030" s="79">
        <v>1696.82</v>
      </c>
      <c r="I4030" s="79">
        <v>28.78</v>
      </c>
      <c r="J4030" s="79">
        <v>1725.6</v>
      </c>
      <c r="K4030" s="79">
        <v>0</v>
      </c>
      <c r="L4030" s="70">
        <v>1725.6</v>
      </c>
      <c r="M4030" s="132"/>
      <c r="N4030" s="79">
        <v>1696.82</v>
      </c>
      <c r="O4030" s="79">
        <v>28.78</v>
      </c>
      <c r="P4030" s="79">
        <v>1725.6</v>
      </c>
      <c r="Q4030" s="136"/>
      <c r="R4030" s="79">
        <v>1696.82</v>
      </c>
      <c r="S4030" s="79">
        <v>28.8</v>
      </c>
      <c r="T4030" s="79">
        <v>1725.62</v>
      </c>
      <c r="U4030" s="79">
        <v>0</v>
      </c>
      <c r="V4030" s="189">
        <v>1725.62</v>
      </c>
      <c r="X4030" s="79">
        <v>1696.82</v>
      </c>
      <c r="Y4030" s="79">
        <v>28.8</v>
      </c>
      <c r="Z4030" s="79">
        <v>1725.62</v>
      </c>
      <c r="AA4030" s="255">
        <v>-1.999999999998181E-2</v>
      </c>
      <c r="AC4030" s="254"/>
    </row>
    <row r="4031" spans="1:29" ht="24">
      <c r="A4031" s="67" t="s">
        <v>18329</v>
      </c>
      <c r="B4031" s="65" t="s">
        <v>18330</v>
      </c>
      <c r="C4031" s="71" t="s">
        <v>509</v>
      </c>
      <c r="D4031" s="78">
        <v>1</v>
      </c>
      <c r="E4031" s="79">
        <v>1859.02</v>
      </c>
      <c r="F4031" s="70">
        <v>1859.02</v>
      </c>
      <c r="G4031" s="320"/>
      <c r="H4031" s="79">
        <v>1830.22</v>
      </c>
      <c r="I4031" s="79">
        <v>28.8</v>
      </c>
      <c r="J4031" s="79">
        <v>1859.02</v>
      </c>
      <c r="K4031" s="79">
        <v>0</v>
      </c>
      <c r="L4031" s="70">
        <v>1859.02</v>
      </c>
      <c r="M4031" s="132"/>
      <c r="N4031" s="79">
        <v>1830.22</v>
      </c>
      <c r="O4031" s="79">
        <v>28.8</v>
      </c>
      <c r="P4031" s="79">
        <v>1859.02</v>
      </c>
      <c r="Q4031" s="136"/>
      <c r="R4031" s="79">
        <v>1830.22</v>
      </c>
      <c r="S4031" s="79">
        <v>28.8</v>
      </c>
      <c r="T4031" s="79">
        <v>1859.02</v>
      </c>
      <c r="U4031" s="79">
        <v>0</v>
      </c>
      <c r="V4031" s="189">
        <v>1859.02</v>
      </c>
      <c r="X4031" s="79">
        <v>1830.22</v>
      </c>
      <c r="Y4031" s="79">
        <v>28.8</v>
      </c>
      <c r="Z4031" s="79">
        <v>1859.02</v>
      </c>
      <c r="AA4031" s="255">
        <v>0</v>
      </c>
      <c r="AC4031" s="254"/>
    </row>
    <row r="4032" spans="1:29" ht="24">
      <c r="A4032" s="67" t="s">
        <v>18331</v>
      </c>
      <c r="B4032" s="65" t="s">
        <v>18332</v>
      </c>
      <c r="C4032" s="71" t="s">
        <v>509</v>
      </c>
      <c r="D4032" s="78">
        <v>1</v>
      </c>
      <c r="E4032" s="79">
        <v>1917.7</v>
      </c>
      <c r="F4032" s="70">
        <v>1917.7</v>
      </c>
      <c r="G4032" s="320"/>
      <c r="H4032" s="79">
        <v>1888.9</v>
      </c>
      <c r="I4032" s="79">
        <v>28.8</v>
      </c>
      <c r="J4032" s="79">
        <v>1917.7</v>
      </c>
      <c r="K4032" s="79">
        <v>0</v>
      </c>
      <c r="L4032" s="70">
        <v>1917.7</v>
      </c>
      <c r="M4032" s="132"/>
      <c r="N4032" s="79">
        <v>1888.9</v>
      </c>
      <c r="O4032" s="79">
        <v>28.8</v>
      </c>
      <c r="P4032" s="79">
        <v>1917.7</v>
      </c>
      <c r="Q4032" s="136"/>
      <c r="R4032" s="79">
        <v>1888.9</v>
      </c>
      <c r="S4032" s="79">
        <v>28.8</v>
      </c>
      <c r="T4032" s="79">
        <v>1917.7</v>
      </c>
      <c r="U4032" s="79">
        <v>0</v>
      </c>
      <c r="V4032" s="189">
        <v>1917.7</v>
      </c>
      <c r="X4032" s="79">
        <v>1888.9</v>
      </c>
      <c r="Y4032" s="79">
        <v>28.8</v>
      </c>
      <c r="Z4032" s="79">
        <v>1917.7</v>
      </c>
      <c r="AA4032" s="255">
        <v>0</v>
      </c>
      <c r="AC4032" s="254"/>
    </row>
    <row r="4033" spans="1:29" ht="24">
      <c r="A4033" s="67" t="s">
        <v>18333</v>
      </c>
      <c r="B4033" s="65" t="s">
        <v>18334</v>
      </c>
      <c r="C4033" s="71" t="s">
        <v>509</v>
      </c>
      <c r="D4033" s="78">
        <v>1</v>
      </c>
      <c r="E4033" s="79">
        <v>2320.59</v>
      </c>
      <c r="F4033" s="70">
        <v>2320.59</v>
      </c>
      <c r="G4033" s="320"/>
      <c r="H4033" s="79">
        <v>2291.81</v>
      </c>
      <c r="I4033" s="79">
        <v>28.78</v>
      </c>
      <c r="J4033" s="79">
        <v>2320.59</v>
      </c>
      <c r="K4033" s="79">
        <v>0</v>
      </c>
      <c r="L4033" s="70">
        <v>2320.59</v>
      </c>
      <c r="M4033" s="132"/>
      <c r="N4033" s="79">
        <v>2291.81</v>
      </c>
      <c r="O4033" s="79">
        <v>28.78</v>
      </c>
      <c r="P4033" s="79">
        <v>2320.59</v>
      </c>
      <c r="Q4033" s="136"/>
      <c r="R4033" s="79">
        <v>2291.81</v>
      </c>
      <c r="S4033" s="79">
        <v>28.8</v>
      </c>
      <c r="T4033" s="79">
        <v>2320.61</v>
      </c>
      <c r="U4033" s="79">
        <v>0</v>
      </c>
      <c r="V4033" s="189">
        <v>2320.61</v>
      </c>
      <c r="X4033" s="79">
        <v>2291.81</v>
      </c>
      <c r="Y4033" s="79">
        <v>28.8</v>
      </c>
      <c r="Z4033" s="79">
        <v>2320.61</v>
      </c>
      <c r="AA4033" s="255">
        <v>-1.999999999998181E-2</v>
      </c>
      <c r="AC4033" s="254"/>
    </row>
    <row r="4034" spans="1:29" ht="24">
      <c r="A4034" s="67" t="s">
        <v>18335</v>
      </c>
      <c r="B4034" s="65" t="s">
        <v>18336</v>
      </c>
      <c r="C4034" s="71" t="s">
        <v>509</v>
      </c>
      <c r="D4034" s="78">
        <v>1</v>
      </c>
      <c r="E4034" s="79">
        <v>1892.97</v>
      </c>
      <c r="F4034" s="70">
        <v>1892.97</v>
      </c>
      <c r="G4034" s="320"/>
      <c r="H4034" s="79">
        <v>1849.77</v>
      </c>
      <c r="I4034" s="79">
        <v>43.2</v>
      </c>
      <c r="J4034" s="79">
        <v>1892.97</v>
      </c>
      <c r="K4034" s="79">
        <v>0</v>
      </c>
      <c r="L4034" s="70">
        <v>1892.97</v>
      </c>
      <c r="M4034" s="132"/>
      <c r="N4034" s="79">
        <v>1849.77</v>
      </c>
      <c r="O4034" s="79">
        <v>43.2</v>
      </c>
      <c r="P4034" s="79">
        <v>1892.97</v>
      </c>
      <c r="Q4034" s="136"/>
      <c r="R4034" s="79">
        <v>1849.77</v>
      </c>
      <c r="S4034" s="79">
        <v>43.2</v>
      </c>
      <c r="T4034" s="79">
        <v>1892.97</v>
      </c>
      <c r="U4034" s="79">
        <v>0</v>
      </c>
      <c r="V4034" s="189">
        <v>1892.97</v>
      </c>
      <c r="X4034" s="79">
        <v>1849.77</v>
      </c>
      <c r="Y4034" s="79">
        <v>43.2</v>
      </c>
      <c r="Z4034" s="79">
        <v>1892.97</v>
      </c>
      <c r="AA4034" s="255">
        <v>0</v>
      </c>
      <c r="AC4034" s="254"/>
    </row>
    <row r="4035" spans="1:29" ht="24">
      <c r="A4035" s="67" t="s">
        <v>18337</v>
      </c>
      <c r="B4035" s="65" t="s">
        <v>18338</v>
      </c>
      <c r="C4035" s="71" t="s">
        <v>509</v>
      </c>
      <c r="D4035" s="78">
        <v>1</v>
      </c>
      <c r="E4035" s="79">
        <v>1813.09</v>
      </c>
      <c r="F4035" s="70">
        <v>1813.09</v>
      </c>
      <c r="G4035" s="320"/>
      <c r="H4035" s="79">
        <v>1769.8899999999999</v>
      </c>
      <c r="I4035" s="79">
        <v>43.2</v>
      </c>
      <c r="J4035" s="79">
        <v>1813.09</v>
      </c>
      <c r="K4035" s="79">
        <v>0</v>
      </c>
      <c r="L4035" s="70">
        <v>1813.09</v>
      </c>
      <c r="M4035" s="132"/>
      <c r="N4035" s="79">
        <v>1769.8899999999999</v>
      </c>
      <c r="O4035" s="79">
        <v>43.2</v>
      </c>
      <c r="P4035" s="79">
        <v>1813.09</v>
      </c>
      <c r="Q4035" s="136"/>
      <c r="R4035" s="79">
        <v>1769.89</v>
      </c>
      <c r="S4035" s="79">
        <v>43.2</v>
      </c>
      <c r="T4035" s="79">
        <v>1813.0900000000001</v>
      </c>
      <c r="U4035" s="79">
        <v>0</v>
      </c>
      <c r="V4035" s="189">
        <v>1813.0900000000001</v>
      </c>
      <c r="X4035" s="79">
        <v>1769.89</v>
      </c>
      <c r="Y4035" s="79">
        <v>43.2</v>
      </c>
      <c r="Z4035" s="79">
        <v>1813.09</v>
      </c>
      <c r="AA4035" s="255">
        <v>0</v>
      </c>
      <c r="AC4035" s="254"/>
    </row>
    <row r="4036" spans="1:29" ht="24">
      <c r="A4036" s="67" t="s">
        <v>18339</v>
      </c>
      <c r="B4036" s="65" t="s">
        <v>18340</v>
      </c>
      <c r="C4036" s="71" t="s">
        <v>509</v>
      </c>
      <c r="D4036" s="78">
        <v>1</v>
      </c>
      <c r="E4036" s="79">
        <v>2127.75</v>
      </c>
      <c r="F4036" s="70">
        <v>2127.75</v>
      </c>
      <c r="G4036" s="320"/>
      <c r="H4036" s="79">
        <v>2084.5500000000002</v>
      </c>
      <c r="I4036" s="79">
        <v>43.2</v>
      </c>
      <c r="J4036" s="79">
        <v>2127.75</v>
      </c>
      <c r="K4036" s="79">
        <v>0</v>
      </c>
      <c r="L4036" s="70">
        <v>2127.75</v>
      </c>
      <c r="M4036" s="132"/>
      <c r="N4036" s="79">
        <v>2084.5500000000002</v>
      </c>
      <c r="O4036" s="79">
        <v>43.2</v>
      </c>
      <c r="P4036" s="79">
        <v>2127.75</v>
      </c>
      <c r="Q4036" s="136"/>
      <c r="R4036" s="79">
        <v>2084.5500000000002</v>
      </c>
      <c r="S4036" s="79">
        <v>43.2</v>
      </c>
      <c r="T4036" s="79"/>
      <c r="U4036" s="79">
        <v>0</v>
      </c>
      <c r="V4036" s="189"/>
      <c r="X4036" s="79">
        <v>2084.5500000000002</v>
      </c>
      <c r="Y4036" s="79">
        <v>43.2</v>
      </c>
      <c r="Z4036" s="79">
        <v>2127.75</v>
      </c>
      <c r="AA4036" s="255">
        <v>0</v>
      </c>
      <c r="AC4036" s="254"/>
    </row>
    <row r="4037" spans="1:29" ht="12">
      <c r="A4037" s="489" t="s">
        <v>18341</v>
      </c>
      <c r="B4037" s="490" t="s">
        <v>18342</v>
      </c>
      <c r="C4037" s="71"/>
      <c r="D4037" s="78"/>
      <c r="E4037" s="79"/>
      <c r="F4037" s="70"/>
      <c r="G4037" s="320"/>
      <c r="H4037" s="79"/>
      <c r="I4037" s="79"/>
      <c r="J4037" s="79"/>
      <c r="K4037" s="79"/>
      <c r="L4037" s="70"/>
      <c r="M4037" s="132"/>
      <c r="N4037" s="79"/>
      <c r="O4037" s="79"/>
      <c r="P4037" s="79"/>
      <c r="Q4037" s="136"/>
      <c r="R4037" s="79"/>
      <c r="S4037" s="79"/>
      <c r="T4037" s="79"/>
      <c r="U4037" s="79"/>
      <c r="V4037" s="189"/>
      <c r="X4037" s="79"/>
      <c r="Y4037" s="79"/>
      <c r="Z4037" s="79"/>
      <c r="AA4037" s="255"/>
      <c r="AC4037" s="254"/>
    </row>
    <row r="4038" spans="1:29" ht="12">
      <c r="A4038" s="67" t="s">
        <v>18343</v>
      </c>
      <c r="B4038" s="65" t="s">
        <v>18344</v>
      </c>
      <c r="C4038" s="71" t="s">
        <v>103</v>
      </c>
      <c r="D4038" s="78">
        <v>1</v>
      </c>
      <c r="E4038" s="79">
        <v>1352.22</v>
      </c>
      <c r="F4038" s="70">
        <v>1352.22</v>
      </c>
      <c r="G4038" s="320"/>
      <c r="H4038" s="79">
        <v>1226.0500000000002</v>
      </c>
      <c r="I4038" s="79">
        <v>126.17</v>
      </c>
      <c r="J4038" s="79">
        <v>1352.2200000000003</v>
      </c>
      <c r="K4038" s="79">
        <v>0</v>
      </c>
      <c r="L4038" s="70">
        <v>1352.2200000000003</v>
      </c>
      <c r="M4038" s="132"/>
      <c r="N4038" s="79">
        <v>1226.0500000000002</v>
      </c>
      <c r="O4038" s="79">
        <v>126.17</v>
      </c>
      <c r="P4038" s="79">
        <v>1352.2200000000003</v>
      </c>
      <c r="Q4038" s="136"/>
      <c r="R4038" s="79">
        <v>1226.05</v>
      </c>
      <c r="S4038" s="79">
        <v>126.15</v>
      </c>
      <c r="T4038" s="79">
        <v>1352.2</v>
      </c>
      <c r="U4038" s="79">
        <v>0</v>
      </c>
      <c r="V4038" s="189">
        <v>1352.2</v>
      </c>
      <c r="X4038" s="79">
        <v>1226.05</v>
      </c>
      <c r="Y4038" s="79">
        <v>126.15</v>
      </c>
      <c r="Z4038" s="79">
        <v>1352.2</v>
      </c>
      <c r="AA4038" s="255">
        <v>1.999999999998181E-2</v>
      </c>
      <c r="AC4038" s="254"/>
    </row>
    <row r="4039" spans="1:29" ht="12">
      <c r="A4039" s="67" t="s">
        <v>18345</v>
      </c>
      <c r="B4039" s="65" t="s">
        <v>18346</v>
      </c>
      <c r="C4039" s="71" t="s">
        <v>103</v>
      </c>
      <c r="D4039" s="78">
        <v>1</v>
      </c>
      <c r="E4039" s="79">
        <v>3695.7500000000005</v>
      </c>
      <c r="F4039" s="70">
        <v>3695.75</v>
      </c>
      <c r="G4039" s="320"/>
      <c r="H4039" s="79">
        <v>3569.5800000000004</v>
      </c>
      <c r="I4039" s="79">
        <v>126.17</v>
      </c>
      <c r="J4039" s="79">
        <v>3695.7500000000005</v>
      </c>
      <c r="K4039" s="79">
        <v>0</v>
      </c>
      <c r="L4039" s="70">
        <v>3695.7500000000005</v>
      </c>
      <c r="M4039" s="132"/>
      <c r="N4039" s="79">
        <v>3569.5800000000004</v>
      </c>
      <c r="O4039" s="79">
        <v>126.17</v>
      </c>
      <c r="P4039" s="79">
        <v>3695.7500000000005</v>
      </c>
      <c r="Q4039" s="136"/>
      <c r="R4039" s="79">
        <v>3569.58</v>
      </c>
      <c r="S4039" s="79">
        <v>126.15</v>
      </c>
      <c r="T4039" s="79">
        <v>3695.73</v>
      </c>
      <c r="U4039" s="79">
        <v>0</v>
      </c>
      <c r="V4039" s="189">
        <v>3695.73</v>
      </c>
      <c r="X4039" s="79">
        <v>3569.58</v>
      </c>
      <c r="Y4039" s="79">
        <v>126.15</v>
      </c>
      <c r="Z4039" s="79">
        <v>3695.73</v>
      </c>
      <c r="AA4039" s="255">
        <v>1.999999999998181E-2</v>
      </c>
      <c r="AC4039" s="254"/>
    </row>
    <row r="4040" spans="1:29" ht="12">
      <c r="A4040" s="67" t="s">
        <v>18347</v>
      </c>
      <c r="B4040" s="65" t="s">
        <v>18348</v>
      </c>
      <c r="C4040" s="71" t="s">
        <v>103</v>
      </c>
      <c r="D4040" s="78">
        <v>1</v>
      </c>
      <c r="E4040" s="79">
        <v>6281.1699999999992</v>
      </c>
      <c r="F4040" s="70">
        <v>6281.17</v>
      </c>
      <c r="G4040" s="320"/>
      <c r="H4040" s="79">
        <v>6065.3999999999987</v>
      </c>
      <c r="I4040" s="79">
        <v>215.76999999999998</v>
      </c>
      <c r="J4040" s="79">
        <v>6281.1699999999983</v>
      </c>
      <c r="K4040" s="79">
        <v>0</v>
      </c>
      <c r="L4040" s="70">
        <v>6281.1699999999983</v>
      </c>
      <c r="M4040" s="132"/>
      <c r="N4040" s="79">
        <v>6065.3999999999987</v>
      </c>
      <c r="O4040" s="79">
        <v>215.76999999999998</v>
      </c>
      <c r="P4040" s="79">
        <v>6281.1699999999983</v>
      </c>
      <c r="Q4040" s="136"/>
      <c r="R4040" s="79">
        <v>6065.4</v>
      </c>
      <c r="S4040" s="79">
        <v>215.77</v>
      </c>
      <c r="T4040" s="79">
        <v>6281.17</v>
      </c>
      <c r="U4040" s="79">
        <v>0</v>
      </c>
      <c r="V4040" s="189">
        <v>6281.17</v>
      </c>
      <c r="X4040" s="79">
        <v>6065.4</v>
      </c>
      <c r="Y4040" s="79">
        <v>215.77</v>
      </c>
      <c r="Z4040" s="79">
        <v>6281.17</v>
      </c>
      <c r="AA4040" s="255">
        <v>0</v>
      </c>
      <c r="AC4040" s="254"/>
    </row>
    <row r="4041" spans="1:29" ht="12">
      <c r="A4041" s="67" t="s">
        <v>18349</v>
      </c>
      <c r="B4041" s="65" t="s">
        <v>18350</v>
      </c>
      <c r="C4041" s="71" t="s">
        <v>103</v>
      </c>
      <c r="D4041" s="78">
        <v>1</v>
      </c>
      <c r="E4041" s="79">
        <v>6211.1899999999987</v>
      </c>
      <c r="F4041" s="70">
        <v>6211.19</v>
      </c>
      <c r="G4041" s="320"/>
      <c r="H4041" s="79">
        <v>6085.0199999999986</v>
      </c>
      <c r="I4041" s="79">
        <v>126.17</v>
      </c>
      <c r="J4041" s="79">
        <v>6211.1899999999987</v>
      </c>
      <c r="K4041" s="79">
        <v>0</v>
      </c>
      <c r="L4041" s="70">
        <v>6211.1899999999987</v>
      </c>
      <c r="M4041" s="132"/>
      <c r="N4041" s="79">
        <v>6085.0199999999986</v>
      </c>
      <c r="O4041" s="79">
        <v>126.17</v>
      </c>
      <c r="P4041" s="79">
        <v>6211.1899999999987</v>
      </c>
      <c r="Q4041" s="136"/>
      <c r="R4041" s="79">
        <v>6085.02</v>
      </c>
      <c r="S4041" s="79">
        <v>126.15</v>
      </c>
      <c r="T4041" s="79">
        <v>6211.17</v>
      </c>
      <c r="U4041" s="79">
        <v>0</v>
      </c>
      <c r="V4041" s="189">
        <v>6211.17</v>
      </c>
      <c r="X4041" s="79">
        <v>6085.02</v>
      </c>
      <c r="Y4041" s="79">
        <v>126.15</v>
      </c>
      <c r="Z4041" s="79">
        <v>6211.17</v>
      </c>
      <c r="AA4041" s="255">
        <v>1.9999999999527063E-2</v>
      </c>
      <c r="AC4041" s="254"/>
    </row>
    <row r="4042" spans="1:29" ht="12">
      <c r="A4042" s="67" t="s">
        <v>18351</v>
      </c>
      <c r="B4042" s="65" t="s">
        <v>18352</v>
      </c>
      <c r="C4042" s="71" t="s">
        <v>103</v>
      </c>
      <c r="D4042" s="78">
        <v>1</v>
      </c>
      <c r="E4042" s="79">
        <v>3067.7100000000005</v>
      </c>
      <c r="F4042" s="70">
        <v>3067.71</v>
      </c>
      <c r="G4042" s="320"/>
      <c r="H4042" s="79">
        <v>2989.1800000000003</v>
      </c>
      <c r="I4042" s="79">
        <v>78.53</v>
      </c>
      <c r="J4042" s="79">
        <v>3067.7100000000005</v>
      </c>
      <c r="K4042" s="79">
        <v>0</v>
      </c>
      <c r="L4042" s="70">
        <v>3067.7100000000005</v>
      </c>
      <c r="M4042" s="132"/>
      <c r="N4042" s="79">
        <v>2989.1800000000003</v>
      </c>
      <c r="O4042" s="79">
        <v>78.53</v>
      </c>
      <c r="P4042" s="79">
        <v>3067.7100000000005</v>
      </c>
      <c r="Q4042" s="136"/>
      <c r="R4042" s="79">
        <v>2989.18</v>
      </c>
      <c r="S4042" s="79">
        <v>78.540000000000006</v>
      </c>
      <c r="T4042" s="79">
        <v>3067.72</v>
      </c>
      <c r="U4042" s="79">
        <v>0</v>
      </c>
      <c r="V4042" s="189">
        <v>3067.72</v>
      </c>
      <c r="X4042" s="79">
        <v>2989.18</v>
      </c>
      <c r="Y4042" s="79">
        <v>78.540000000000006</v>
      </c>
      <c r="Z4042" s="79">
        <v>3067.72</v>
      </c>
      <c r="AA4042" s="255">
        <v>-9.9999999997635314E-3</v>
      </c>
      <c r="AC4042" s="254"/>
    </row>
    <row r="4043" spans="1:29" ht="12">
      <c r="A4043" s="67" t="s">
        <v>18353</v>
      </c>
      <c r="B4043" s="65" t="s">
        <v>18354</v>
      </c>
      <c r="C4043" s="71" t="s">
        <v>103</v>
      </c>
      <c r="D4043" s="78">
        <v>1</v>
      </c>
      <c r="E4043" s="79">
        <v>2143.5700000000002</v>
      </c>
      <c r="F4043" s="70">
        <v>2143.5700000000002</v>
      </c>
      <c r="G4043" s="320"/>
      <c r="H4043" s="79">
        <v>2017.4</v>
      </c>
      <c r="I4043" s="79">
        <v>126.17</v>
      </c>
      <c r="J4043" s="79">
        <v>2143.5700000000002</v>
      </c>
      <c r="K4043" s="79">
        <v>0</v>
      </c>
      <c r="L4043" s="70">
        <v>2143.5700000000002</v>
      </c>
      <c r="M4043" s="132"/>
      <c r="N4043" s="79">
        <v>2017.4</v>
      </c>
      <c r="O4043" s="79">
        <v>126.17</v>
      </c>
      <c r="P4043" s="79">
        <v>2143.5700000000002</v>
      </c>
      <c r="Q4043" s="136"/>
      <c r="R4043" s="79">
        <v>2017.4</v>
      </c>
      <c r="S4043" s="79">
        <v>126.15</v>
      </c>
      <c r="T4043" s="79">
        <v>2143.5500000000002</v>
      </c>
      <c r="U4043" s="79">
        <v>0</v>
      </c>
      <c r="V4043" s="189">
        <v>2143.5500000000002</v>
      </c>
      <c r="X4043" s="79">
        <v>2017.4</v>
      </c>
      <c r="Y4043" s="79">
        <v>126.15</v>
      </c>
      <c r="Z4043" s="79">
        <v>2143.5500000000002</v>
      </c>
      <c r="AA4043" s="255">
        <v>1.999999999998181E-2</v>
      </c>
      <c r="AC4043" s="254"/>
    </row>
    <row r="4044" spans="1:29" ht="12">
      <c r="A4044" s="67" t="s">
        <v>18355</v>
      </c>
      <c r="B4044" s="65" t="s">
        <v>3695</v>
      </c>
      <c r="C4044" s="71" t="s">
        <v>103</v>
      </c>
      <c r="D4044" s="78">
        <v>1</v>
      </c>
      <c r="E4044" s="79">
        <v>3112.0200000000004</v>
      </c>
      <c r="F4044" s="70">
        <v>3112.02</v>
      </c>
      <c r="G4044" s="320"/>
      <c r="H4044" s="79">
        <v>2985.8500000000004</v>
      </c>
      <c r="I4044" s="79">
        <v>126.17</v>
      </c>
      <c r="J4044" s="79">
        <v>3112.0200000000004</v>
      </c>
      <c r="K4044" s="79">
        <v>0</v>
      </c>
      <c r="L4044" s="70">
        <v>3112.0200000000004</v>
      </c>
      <c r="M4044" s="132"/>
      <c r="N4044" s="79">
        <v>2985.8500000000004</v>
      </c>
      <c r="O4044" s="79">
        <v>126.17</v>
      </c>
      <c r="P4044" s="79">
        <v>3112.0200000000004</v>
      </c>
      <c r="Q4044" s="136"/>
      <c r="R4044" s="79">
        <v>2985.85</v>
      </c>
      <c r="S4044" s="79">
        <v>126.15</v>
      </c>
      <c r="T4044" s="79"/>
      <c r="U4044" s="79">
        <v>0</v>
      </c>
      <c r="V4044" s="189"/>
      <c r="X4044" s="79">
        <v>2985.85</v>
      </c>
      <c r="Y4044" s="79">
        <v>126.15</v>
      </c>
      <c r="Z4044" s="79">
        <v>3112</v>
      </c>
      <c r="AA4044" s="255">
        <v>1.999999999998181E-2</v>
      </c>
      <c r="AC4044" s="254"/>
    </row>
    <row r="4045" spans="1:29" ht="12">
      <c r="A4045" s="489" t="s">
        <v>18356</v>
      </c>
      <c r="B4045" s="490" t="s">
        <v>18357</v>
      </c>
      <c r="C4045" s="71"/>
      <c r="D4045" s="78"/>
      <c r="E4045" s="79"/>
      <c r="F4045" s="70"/>
      <c r="G4045" s="320"/>
      <c r="H4045" s="79"/>
      <c r="I4045" s="79"/>
      <c r="J4045" s="79"/>
      <c r="K4045" s="79"/>
      <c r="L4045" s="70"/>
      <c r="M4045" s="132"/>
      <c r="N4045" s="79"/>
      <c r="O4045" s="79"/>
      <c r="P4045" s="79"/>
      <c r="Q4045" s="136"/>
      <c r="R4045" s="79"/>
      <c r="S4045" s="79"/>
      <c r="T4045" s="79"/>
      <c r="U4045" s="79"/>
      <c r="V4045" s="189"/>
      <c r="X4045" s="79"/>
      <c r="Y4045" s="79"/>
      <c r="Z4045" s="79"/>
      <c r="AA4045" s="255"/>
      <c r="AC4045" s="254"/>
    </row>
    <row r="4046" spans="1:29" ht="12">
      <c r="A4046" s="67" t="s">
        <v>18358</v>
      </c>
      <c r="B4046" s="65" t="s">
        <v>18359</v>
      </c>
      <c r="C4046" s="71" t="s">
        <v>103</v>
      </c>
      <c r="D4046" s="78">
        <v>1</v>
      </c>
      <c r="E4046" s="79">
        <v>487.74</v>
      </c>
      <c r="F4046" s="70">
        <v>487.74</v>
      </c>
      <c r="G4046" s="320"/>
      <c r="H4046" s="79">
        <v>461.29</v>
      </c>
      <c r="I4046" s="79">
        <v>26.45</v>
      </c>
      <c r="J4046" s="79">
        <v>487.74</v>
      </c>
      <c r="K4046" s="79">
        <v>0</v>
      </c>
      <c r="L4046" s="70">
        <v>487.74</v>
      </c>
      <c r="M4046" s="132"/>
      <c r="N4046" s="79">
        <v>461.29</v>
      </c>
      <c r="O4046" s="79">
        <v>26.45</v>
      </c>
      <c r="P4046" s="79">
        <v>487.74</v>
      </c>
      <c r="Q4046" s="136"/>
      <c r="R4046" s="79">
        <v>461.29</v>
      </c>
      <c r="S4046" s="79">
        <v>26.45</v>
      </c>
      <c r="T4046" s="79">
        <v>487.74</v>
      </c>
      <c r="U4046" s="79">
        <v>0</v>
      </c>
      <c r="V4046" s="189">
        <v>487.74</v>
      </c>
      <c r="X4046" s="79">
        <v>461.29</v>
      </c>
      <c r="Y4046" s="79">
        <v>26.45</v>
      </c>
      <c r="Z4046" s="79">
        <v>487.74</v>
      </c>
      <c r="AA4046" s="255">
        <v>0</v>
      </c>
      <c r="AC4046" s="254"/>
    </row>
    <row r="4047" spans="1:29" ht="12">
      <c r="A4047" s="67" t="s">
        <v>18360</v>
      </c>
      <c r="B4047" s="65" t="s">
        <v>18361</v>
      </c>
      <c r="C4047" s="71" t="s">
        <v>103</v>
      </c>
      <c r="D4047" s="78">
        <v>1</v>
      </c>
      <c r="E4047" s="79">
        <v>3214.89</v>
      </c>
      <c r="F4047" s="70">
        <v>3214.89</v>
      </c>
      <c r="G4047" s="320"/>
      <c r="H4047" s="79">
        <v>3156.12</v>
      </c>
      <c r="I4047" s="79">
        <v>58.77</v>
      </c>
      <c r="J4047" s="79">
        <v>3214.89</v>
      </c>
      <c r="K4047" s="79">
        <v>0</v>
      </c>
      <c r="L4047" s="70">
        <v>3214.89</v>
      </c>
      <c r="M4047" s="132"/>
      <c r="N4047" s="79">
        <v>3156.12</v>
      </c>
      <c r="O4047" s="79">
        <v>58.77</v>
      </c>
      <c r="P4047" s="79">
        <v>3214.89</v>
      </c>
      <c r="Q4047" s="136"/>
      <c r="R4047" s="79">
        <v>3156.12</v>
      </c>
      <c r="S4047" s="79">
        <v>58.77</v>
      </c>
      <c r="T4047" s="79">
        <v>3214.89</v>
      </c>
      <c r="U4047" s="79">
        <v>0</v>
      </c>
      <c r="V4047" s="189">
        <v>3214.89</v>
      </c>
      <c r="X4047" s="79">
        <v>3156.12</v>
      </c>
      <c r="Y4047" s="79">
        <v>58.77</v>
      </c>
      <c r="Z4047" s="79">
        <v>3214.89</v>
      </c>
      <c r="AA4047" s="255">
        <v>0</v>
      </c>
      <c r="AC4047" s="254"/>
    </row>
    <row r="4048" spans="1:29" ht="12">
      <c r="A4048" s="67" t="s">
        <v>18362</v>
      </c>
      <c r="B4048" s="65" t="s">
        <v>18363</v>
      </c>
      <c r="C4048" s="71" t="s">
        <v>103</v>
      </c>
      <c r="D4048" s="78">
        <v>1</v>
      </c>
      <c r="E4048" s="79">
        <v>1596.83</v>
      </c>
      <c r="F4048" s="70">
        <v>1596.83</v>
      </c>
      <c r="G4048" s="320"/>
      <c r="H4048" s="79">
        <v>1557.55</v>
      </c>
      <c r="I4048" s="79">
        <v>39.28</v>
      </c>
      <c r="J4048" s="79">
        <v>1596.83</v>
      </c>
      <c r="K4048" s="79">
        <v>0</v>
      </c>
      <c r="L4048" s="70">
        <v>1596.83</v>
      </c>
      <c r="M4048" s="132"/>
      <c r="N4048" s="79">
        <v>1557.55</v>
      </c>
      <c r="O4048" s="79">
        <v>39.28</v>
      </c>
      <c r="P4048" s="79">
        <v>1596.83</v>
      </c>
      <c r="Q4048" s="136"/>
      <c r="R4048" s="79">
        <v>1557.55</v>
      </c>
      <c r="S4048" s="79">
        <v>39.270000000000003</v>
      </c>
      <c r="T4048" s="79">
        <v>1596.82</v>
      </c>
      <c r="U4048" s="79">
        <v>0</v>
      </c>
      <c r="V4048" s="189">
        <v>1596.82</v>
      </c>
      <c r="X4048" s="79">
        <v>1557.55</v>
      </c>
      <c r="Y4048" s="79">
        <v>39.270000000000003</v>
      </c>
      <c r="Z4048" s="79">
        <v>1596.82</v>
      </c>
      <c r="AA4048" s="255">
        <v>9.9999999999909051E-3</v>
      </c>
      <c r="AC4048" s="254"/>
    </row>
    <row r="4049" spans="1:29" ht="12">
      <c r="A4049" s="67" t="s">
        <v>18364</v>
      </c>
      <c r="B4049" s="65" t="s">
        <v>18365</v>
      </c>
      <c r="C4049" s="71" t="s">
        <v>103</v>
      </c>
      <c r="D4049" s="78">
        <v>1</v>
      </c>
      <c r="E4049" s="79">
        <v>3948.63</v>
      </c>
      <c r="F4049" s="70">
        <v>3948.63</v>
      </c>
      <c r="G4049" s="320"/>
      <c r="H4049" s="79">
        <v>3276.83</v>
      </c>
      <c r="I4049" s="79">
        <v>671.8</v>
      </c>
      <c r="J4049" s="79">
        <v>3948.63</v>
      </c>
      <c r="K4049" s="79">
        <v>0</v>
      </c>
      <c r="L4049" s="70">
        <v>3948.63</v>
      </c>
      <c r="M4049" s="132"/>
      <c r="N4049" s="79">
        <v>3276.83</v>
      </c>
      <c r="O4049" s="79">
        <v>671.8</v>
      </c>
      <c r="P4049" s="79">
        <v>3948.63</v>
      </c>
      <c r="Q4049" s="136"/>
      <c r="R4049" s="79">
        <v>3276.83</v>
      </c>
      <c r="S4049" s="79">
        <v>671.85</v>
      </c>
      <c r="T4049" s="79">
        <v>3948.68</v>
      </c>
      <c r="U4049" s="79">
        <v>0</v>
      </c>
      <c r="V4049" s="189">
        <v>3948.68</v>
      </c>
      <c r="X4049" s="79">
        <v>3276.83</v>
      </c>
      <c r="Y4049" s="79">
        <v>671.85</v>
      </c>
      <c r="Z4049" s="79">
        <v>3948.68</v>
      </c>
      <c r="AA4049" s="255">
        <v>-4.9999999999727152E-2</v>
      </c>
      <c r="AC4049" s="254"/>
    </row>
    <row r="4050" spans="1:29" ht="12">
      <c r="A4050" s="67" t="s">
        <v>18366</v>
      </c>
      <c r="B4050" s="65" t="s">
        <v>18367</v>
      </c>
      <c r="C4050" s="71" t="s">
        <v>103</v>
      </c>
      <c r="D4050" s="78">
        <v>1</v>
      </c>
      <c r="E4050" s="79">
        <v>9402.25</v>
      </c>
      <c r="F4050" s="70">
        <v>9402.25</v>
      </c>
      <c r="G4050" s="320"/>
      <c r="H4050" s="79">
        <v>8618.7999999999993</v>
      </c>
      <c r="I4050" s="79">
        <v>783.45</v>
      </c>
      <c r="J4050" s="79">
        <v>9402.25</v>
      </c>
      <c r="K4050" s="79">
        <v>0</v>
      </c>
      <c r="L4050" s="70">
        <v>9402.25</v>
      </c>
      <c r="M4050" s="132"/>
      <c r="N4050" s="79">
        <v>8618.7999999999993</v>
      </c>
      <c r="O4050" s="79">
        <v>783.45</v>
      </c>
      <c r="P4050" s="79">
        <v>9402.25</v>
      </c>
      <c r="Q4050" s="136"/>
      <c r="R4050" s="79">
        <v>8618.7999999999993</v>
      </c>
      <c r="S4050" s="79">
        <v>783.51</v>
      </c>
      <c r="T4050" s="79"/>
      <c r="U4050" s="79">
        <v>0</v>
      </c>
      <c r="V4050" s="189"/>
      <c r="X4050" s="79">
        <v>8618.7999999999993</v>
      </c>
      <c r="Y4050" s="79">
        <v>783.51</v>
      </c>
      <c r="Z4050" s="79">
        <v>9402.31</v>
      </c>
      <c r="AA4050" s="255">
        <v>-5.9999999999490683E-2</v>
      </c>
      <c r="AC4050" s="254"/>
    </row>
    <row r="4051" spans="1:29" ht="12">
      <c r="A4051" s="489" t="s">
        <v>18368</v>
      </c>
      <c r="B4051" s="490" t="s">
        <v>18369</v>
      </c>
      <c r="C4051" s="71"/>
      <c r="D4051" s="492"/>
      <c r="E4051" s="79"/>
      <c r="F4051" s="63"/>
      <c r="G4051" s="320"/>
      <c r="H4051" s="79"/>
      <c r="I4051" s="79"/>
      <c r="J4051" s="79"/>
      <c r="K4051" s="79"/>
      <c r="L4051" s="70"/>
      <c r="M4051" s="132"/>
      <c r="N4051" s="79"/>
      <c r="O4051" s="79"/>
      <c r="P4051" s="79"/>
      <c r="R4051" s="79"/>
      <c r="S4051" s="79"/>
      <c r="T4051" s="79"/>
      <c r="U4051" s="79"/>
      <c r="V4051" s="189"/>
      <c r="X4051" s="79"/>
      <c r="Y4051" s="79"/>
      <c r="Z4051" s="79"/>
      <c r="AA4051" s="255"/>
      <c r="AC4051" s="254"/>
    </row>
    <row r="4052" spans="1:29" ht="12">
      <c r="A4052" s="67" t="s">
        <v>18370</v>
      </c>
      <c r="B4052" s="65" t="s">
        <v>18371</v>
      </c>
      <c r="C4052" s="71" t="s">
        <v>103</v>
      </c>
      <c r="D4052" s="78">
        <v>1</v>
      </c>
      <c r="E4052" s="79">
        <v>116.38</v>
      </c>
      <c r="F4052" s="70">
        <v>116.38</v>
      </c>
      <c r="G4052" s="320"/>
      <c r="H4052" s="79">
        <v>103.64</v>
      </c>
      <c r="I4052" s="79">
        <v>12.74</v>
      </c>
      <c r="J4052" s="79">
        <v>116.38</v>
      </c>
      <c r="K4052" s="79">
        <v>0</v>
      </c>
      <c r="L4052" s="70">
        <v>116.38</v>
      </c>
      <c r="M4052" s="132"/>
      <c r="N4052" s="79">
        <v>103.64</v>
      </c>
      <c r="O4052" s="79">
        <v>12.74</v>
      </c>
      <c r="P4052" s="79">
        <v>116.38</v>
      </c>
      <c r="Q4052" s="136"/>
      <c r="R4052" s="79">
        <v>103.64</v>
      </c>
      <c r="S4052" s="79">
        <v>12.73</v>
      </c>
      <c r="T4052" s="79">
        <v>116.37</v>
      </c>
      <c r="U4052" s="79">
        <v>0</v>
      </c>
      <c r="V4052" s="189">
        <v>116.37</v>
      </c>
      <c r="X4052" s="79">
        <v>103.64</v>
      </c>
      <c r="Y4052" s="79">
        <v>12.73</v>
      </c>
      <c r="Z4052" s="79">
        <v>116.37</v>
      </c>
      <c r="AA4052" s="255">
        <v>9.9999999999909051E-3</v>
      </c>
      <c r="AC4052" s="254"/>
    </row>
    <row r="4053" spans="1:29" ht="12">
      <c r="A4053" s="67" t="s">
        <v>18372</v>
      </c>
      <c r="B4053" s="65" t="s">
        <v>18373</v>
      </c>
      <c r="C4053" s="71" t="s">
        <v>103</v>
      </c>
      <c r="D4053" s="78">
        <v>1</v>
      </c>
      <c r="E4053" s="79">
        <v>34.31</v>
      </c>
      <c r="F4053" s="70">
        <v>34.31</v>
      </c>
      <c r="G4053" s="320"/>
      <c r="H4053" s="79">
        <v>24.77</v>
      </c>
      <c r="I4053" s="79">
        <v>9.5399999999999991</v>
      </c>
      <c r="J4053" s="79">
        <v>34.31</v>
      </c>
      <c r="K4053" s="79">
        <v>0</v>
      </c>
      <c r="L4053" s="70">
        <v>34.31</v>
      </c>
      <c r="M4053" s="132"/>
      <c r="N4053" s="79">
        <v>24.77</v>
      </c>
      <c r="O4053" s="79">
        <v>9.5399999999999991</v>
      </c>
      <c r="P4053" s="79">
        <v>34.31</v>
      </c>
      <c r="Q4053" s="136"/>
      <c r="R4053" s="79">
        <v>24.77</v>
      </c>
      <c r="S4053" s="79">
        <v>9.56</v>
      </c>
      <c r="T4053" s="79">
        <v>34.33</v>
      </c>
      <c r="U4053" s="79">
        <v>0</v>
      </c>
      <c r="V4053" s="189">
        <v>34.33</v>
      </c>
      <c r="X4053" s="79">
        <v>24.77</v>
      </c>
      <c r="Y4053" s="79">
        <v>9.56</v>
      </c>
      <c r="Z4053" s="79">
        <v>34.33</v>
      </c>
      <c r="AA4053" s="255">
        <v>-1.9999999999996021E-2</v>
      </c>
      <c r="AC4053" s="254"/>
    </row>
    <row r="4054" spans="1:29" ht="12">
      <c r="A4054" s="67" t="s">
        <v>18374</v>
      </c>
      <c r="B4054" s="65" t="s">
        <v>18375</v>
      </c>
      <c r="C4054" s="71" t="s">
        <v>103</v>
      </c>
      <c r="D4054" s="78">
        <v>1</v>
      </c>
      <c r="E4054" s="79">
        <v>30.529999999999998</v>
      </c>
      <c r="F4054" s="70">
        <v>30.53</v>
      </c>
      <c r="G4054" s="320"/>
      <c r="H4054" s="79">
        <v>20.99</v>
      </c>
      <c r="I4054" s="79">
        <v>9.5399999999999991</v>
      </c>
      <c r="J4054" s="79">
        <v>30.529999999999998</v>
      </c>
      <c r="K4054" s="79">
        <v>0</v>
      </c>
      <c r="L4054" s="70">
        <v>30.529999999999998</v>
      </c>
      <c r="M4054" s="132"/>
      <c r="N4054" s="79">
        <v>20.99</v>
      </c>
      <c r="O4054" s="79">
        <v>9.5399999999999991</v>
      </c>
      <c r="P4054" s="79">
        <v>30.529999999999998</v>
      </c>
      <c r="Q4054" s="136"/>
      <c r="R4054" s="79">
        <v>20.99</v>
      </c>
      <c r="S4054" s="79">
        <v>9.56</v>
      </c>
      <c r="T4054" s="79">
        <v>30.549999999999997</v>
      </c>
      <c r="U4054" s="79">
        <v>0</v>
      </c>
      <c r="V4054" s="189">
        <v>30.549999999999997</v>
      </c>
      <c r="X4054" s="79">
        <v>20.99</v>
      </c>
      <c r="Y4054" s="79">
        <v>9.56</v>
      </c>
      <c r="Z4054" s="79">
        <v>30.55</v>
      </c>
      <c r="AA4054" s="255">
        <v>-1.9999999999999574E-2</v>
      </c>
      <c r="AC4054" s="254"/>
    </row>
    <row r="4055" spans="1:29" ht="12">
      <c r="A4055" s="67" t="s">
        <v>18376</v>
      </c>
      <c r="B4055" s="65" t="s">
        <v>18377</v>
      </c>
      <c r="C4055" s="71" t="s">
        <v>103</v>
      </c>
      <c r="D4055" s="78">
        <v>1</v>
      </c>
      <c r="E4055" s="79">
        <v>37.900000000000006</v>
      </c>
      <c r="F4055" s="70">
        <v>37.9</v>
      </c>
      <c r="G4055" s="320"/>
      <c r="H4055" s="79">
        <v>28.36</v>
      </c>
      <c r="I4055" s="79">
        <v>9.5399999999999991</v>
      </c>
      <c r="J4055" s="79">
        <v>37.9</v>
      </c>
      <c r="K4055" s="79">
        <v>0</v>
      </c>
      <c r="L4055" s="70">
        <v>37.9</v>
      </c>
      <c r="M4055" s="132"/>
      <c r="N4055" s="79">
        <v>28.36</v>
      </c>
      <c r="O4055" s="79">
        <v>9.5399999999999991</v>
      </c>
      <c r="P4055" s="79">
        <v>37.9</v>
      </c>
      <c r="Q4055" s="136"/>
      <c r="R4055" s="79">
        <v>28.36</v>
      </c>
      <c r="S4055" s="79">
        <v>9.56</v>
      </c>
      <c r="T4055" s="79">
        <v>37.92</v>
      </c>
      <c r="U4055" s="79">
        <v>0</v>
      </c>
      <c r="V4055" s="189">
        <v>37.92</v>
      </c>
      <c r="X4055" s="79">
        <v>28.36</v>
      </c>
      <c r="Y4055" s="79">
        <v>9.56</v>
      </c>
      <c r="Z4055" s="79">
        <v>37.92</v>
      </c>
      <c r="AA4055" s="255">
        <v>-2.0000000000003126E-2</v>
      </c>
      <c r="AC4055" s="254"/>
    </row>
    <row r="4056" spans="1:29" ht="12">
      <c r="A4056" s="67" t="s">
        <v>18378</v>
      </c>
      <c r="B4056" s="65" t="s">
        <v>18379</v>
      </c>
      <c r="C4056" s="71" t="s">
        <v>103</v>
      </c>
      <c r="D4056" s="78">
        <v>1</v>
      </c>
      <c r="E4056" s="79">
        <v>35.090000000000003</v>
      </c>
      <c r="F4056" s="70">
        <v>35.090000000000003</v>
      </c>
      <c r="G4056" s="320"/>
      <c r="H4056" s="79">
        <v>25.55</v>
      </c>
      <c r="I4056" s="79">
        <v>9.5399999999999991</v>
      </c>
      <c r="J4056" s="79">
        <v>35.090000000000003</v>
      </c>
      <c r="K4056" s="79">
        <v>0</v>
      </c>
      <c r="L4056" s="70">
        <v>35.090000000000003</v>
      </c>
      <c r="M4056" s="132"/>
      <c r="N4056" s="79">
        <v>25.55</v>
      </c>
      <c r="O4056" s="79">
        <v>9.5399999999999991</v>
      </c>
      <c r="P4056" s="79">
        <v>35.090000000000003</v>
      </c>
      <c r="Q4056" s="136"/>
      <c r="R4056" s="79">
        <v>25.55</v>
      </c>
      <c r="S4056" s="79">
        <v>9.56</v>
      </c>
      <c r="T4056" s="79">
        <v>35.11</v>
      </c>
      <c r="U4056" s="79">
        <v>0</v>
      </c>
      <c r="V4056" s="189">
        <v>35.11</v>
      </c>
      <c r="X4056" s="79">
        <v>25.55</v>
      </c>
      <c r="Y4056" s="79">
        <v>9.56</v>
      </c>
      <c r="Z4056" s="79">
        <v>35.11</v>
      </c>
      <c r="AA4056" s="255">
        <v>-1.9999999999996021E-2</v>
      </c>
      <c r="AC4056" s="254"/>
    </row>
    <row r="4057" spans="1:29" ht="12">
      <c r="A4057" s="67" t="s">
        <v>18380</v>
      </c>
      <c r="B4057" s="65" t="s">
        <v>18381</v>
      </c>
      <c r="C4057" s="71" t="s">
        <v>103</v>
      </c>
      <c r="D4057" s="78">
        <v>1</v>
      </c>
      <c r="E4057" s="79">
        <v>77</v>
      </c>
      <c r="F4057" s="70">
        <v>77</v>
      </c>
      <c r="G4057" s="320"/>
      <c r="H4057" s="79">
        <v>66.320000000000007</v>
      </c>
      <c r="I4057" s="79">
        <v>10.68</v>
      </c>
      <c r="J4057" s="79">
        <v>77</v>
      </c>
      <c r="K4057" s="79">
        <v>0</v>
      </c>
      <c r="L4057" s="70">
        <v>77</v>
      </c>
      <c r="M4057" s="132"/>
      <c r="N4057" s="79">
        <v>66.320000000000007</v>
      </c>
      <c r="O4057" s="79">
        <v>10.68</v>
      </c>
      <c r="P4057" s="79">
        <v>77</v>
      </c>
      <c r="Q4057" s="136"/>
      <c r="R4057" s="79">
        <v>66.319999999999993</v>
      </c>
      <c r="S4057" s="79">
        <v>10.69</v>
      </c>
      <c r="T4057" s="79">
        <v>77.009999999999991</v>
      </c>
      <c r="U4057" s="79">
        <v>0</v>
      </c>
      <c r="V4057" s="189">
        <v>77.009999999999991</v>
      </c>
      <c r="X4057" s="79">
        <v>66.319999999999993</v>
      </c>
      <c r="Y4057" s="79">
        <v>10.69</v>
      </c>
      <c r="Z4057" s="79">
        <v>77.010000000000005</v>
      </c>
      <c r="AA4057" s="255">
        <v>-1.0000000000005116E-2</v>
      </c>
      <c r="AC4057" s="254"/>
    </row>
    <row r="4058" spans="1:29" ht="12">
      <c r="A4058" s="67" t="s">
        <v>18382</v>
      </c>
      <c r="B4058" s="65" t="s">
        <v>18383</v>
      </c>
      <c r="C4058" s="71" t="s">
        <v>103</v>
      </c>
      <c r="D4058" s="78">
        <v>1</v>
      </c>
      <c r="E4058" s="79">
        <v>74.760000000000005</v>
      </c>
      <c r="F4058" s="70">
        <v>74.760000000000005</v>
      </c>
      <c r="G4058" s="320"/>
      <c r="H4058" s="79">
        <v>64.08</v>
      </c>
      <c r="I4058" s="79">
        <v>10.68</v>
      </c>
      <c r="J4058" s="79">
        <v>74.759999999999991</v>
      </c>
      <c r="K4058" s="79">
        <v>0</v>
      </c>
      <c r="L4058" s="70">
        <v>74.759999999999991</v>
      </c>
      <c r="M4058" s="132"/>
      <c r="N4058" s="79">
        <v>64.08</v>
      </c>
      <c r="O4058" s="79">
        <v>10.68</v>
      </c>
      <c r="P4058" s="79">
        <v>74.759999999999991</v>
      </c>
      <c r="Q4058" s="136"/>
      <c r="R4058" s="79">
        <v>64.08</v>
      </c>
      <c r="S4058" s="79">
        <v>10.69</v>
      </c>
      <c r="T4058" s="79"/>
      <c r="U4058" s="79">
        <v>0</v>
      </c>
      <c r="V4058" s="189"/>
      <c r="X4058" s="79">
        <v>64.08</v>
      </c>
      <c r="Y4058" s="79">
        <v>10.69</v>
      </c>
      <c r="Z4058" s="79">
        <v>74.77</v>
      </c>
      <c r="AA4058" s="255">
        <v>-9.9999999999909051E-3</v>
      </c>
      <c r="AC4058" s="254"/>
    </row>
    <row r="4059" spans="1:29" ht="12">
      <c r="A4059" s="67" t="s">
        <v>18384</v>
      </c>
      <c r="B4059" s="65" t="s">
        <v>18385</v>
      </c>
      <c r="C4059" s="71" t="s">
        <v>103</v>
      </c>
      <c r="D4059" s="78">
        <v>1</v>
      </c>
      <c r="E4059" s="79">
        <v>65.52000000000001</v>
      </c>
      <c r="F4059" s="70">
        <v>65.52</v>
      </c>
      <c r="G4059" s="320"/>
      <c r="H4059" s="79">
        <v>55.980000000000004</v>
      </c>
      <c r="I4059" s="79">
        <v>9.5399999999999991</v>
      </c>
      <c r="J4059" s="79">
        <v>65.52000000000001</v>
      </c>
      <c r="K4059" s="79">
        <v>0</v>
      </c>
      <c r="L4059" s="70">
        <v>65.52000000000001</v>
      </c>
      <c r="M4059" s="132"/>
      <c r="N4059" s="79">
        <v>55.980000000000004</v>
      </c>
      <c r="O4059" s="79">
        <v>9.5399999999999991</v>
      </c>
      <c r="P4059" s="79">
        <v>65.52000000000001</v>
      </c>
      <c r="Q4059" s="136"/>
      <c r="R4059" s="79">
        <v>55.98</v>
      </c>
      <c r="S4059" s="79">
        <v>9.56</v>
      </c>
      <c r="T4059" s="79"/>
      <c r="U4059" s="79">
        <v>0</v>
      </c>
      <c r="V4059" s="189"/>
      <c r="X4059" s="79">
        <v>55.98</v>
      </c>
      <c r="Y4059" s="79">
        <v>9.56</v>
      </c>
      <c r="Z4059" s="79">
        <v>65.540000000000006</v>
      </c>
      <c r="AA4059" s="255">
        <v>-2.0000000000010232E-2</v>
      </c>
      <c r="AC4059" s="254"/>
    </row>
    <row r="4060" spans="1:29" ht="12">
      <c r="A4060" s="67" t="s">
        <v>18386</v>
      </c>
      <c r="B4060" s="65" t="s">
        <v>18387</v>
      </c>
      <c r="C4060" s="71" t="s">
        <v>103</v>
      </c>
      <c r="D4060" s="78">
        <v>1</v>
      </c>
      <c r="E4060" s="79">
        <v>42.59</v>
      </c>
      <c r="F4060" s="70">
        <v>42.59</v>
      </c>
      <c r="G4060" s="320"/>
      <c r="H4060" s="79">
        <v>33.050000000000004</v>
      </c>
      <c r="I4060" s="79">
        <v>9.5399999999999991</v>
      </c>
      <c r="J4060" s="79">
        <v>42.59</v>
      </c>
      <c r="K4060" s="79">
        <v>0</v>
      </c>
      <c r="L4060" s="70">
        <v>42.59</v>
      </c>
      <c r="M4060" s="132"/>
      <c r="N4060" s="79">
        <v>33.050000000000004</v>
      </c>
      <c r="O4060" s="79">
        <v>9.5399999999999991</v>
      </c>
      <c r="P4060" s="79">
        <v>42.59</v>
      </c>
      <c r="Q4060" s="136"/>
      <c r="R4060" s="79">
        <v>33.049999999999997</v>
      </c>
      <c r="S4060" s="79">
        <v>9.56</v>
      </c>
      <c r="T4060" s="79"/>
      <c r="U4060" s="79">
        <v>0</v>
      </c>
      <c r="V4060" s="189"/>
      <c r="X4060" s="79">
        <v>33.049999999999997</v>
      </c>
      <c r="Y4060" s="79">
        <v>9.56</v>
      </c>
      <c r="Z4060" s="79">
        <v>42.61</v>
      </c>
      <c r="AA4060" s="255">
        <v>-1.9999999999996021E-2</v>
      </c>
      <c r="AC4060" s="254"/>
    </row>
    <row r="4061" spans="1:29" ht="12">
      <c r="A4061" s="67" t="s">
        <v>18388</v>
      </c>
      <c r="B4061" s="65" t="s">
        <v>18389</v>
      </c>
      <c r="C4061" s="71" t="s">
        <v>103</v>
      </c>
      <c r="D4061" s="78">
        <v>1</v>
      </c>
      <c r="E4061" s="79">
        <v>49.7</v>
      </c>
      <c r="F4061" s="70">
        <v>49.7</v>
      </c>
      <c r="G4061" s="320"/>
      <c r="H4061" s="79">
        <v>40.160000000000004</v>
      </c>
      <c r="I4061" s="79">
        <v>9.5399999999999991</v>
      </c>
      <c r="J4061" s="79">
        <v>49.7</v>
      </c>
      <c r="K4061" s="79">
        <v>0</v>
      </c>
      <c r="L4061" s="70">
        <v>49.7</v>
      </c>
      <c r="M4061" s="132"/>
      <c r="N4061" s="79">
        <v>40.160000000000004</v>
      </c>
      <c r="O4061" s="79">
        <v>9.5399999999999991</v>
      </c>
      <c r="P4061" s="79">
        <v>49.7</v>
      </c>
      <c r="Q4061" s="136"/>
      <c r="R4061" s="79">
        <v>40.159999999999997</v>
      </c>
      <c r="S4061" s="79">
        <v>9.56</v>
      </c>
      <c r="T4061" s="79"/>
      <c r="U4061" s="79">
        <v>0</v>
      </c>
      <c r="V4061" s="189"/>
      <c r="X4061" s="79">
        <v>40.159999999999997</v>
      </c>
      <c r="Y4061" s="79">
        <v>9.56</v>
      </c>
      <c r="Z4061" s="79">
        <v>49.72</v>
      </c>
      <c r="AA4061" s="255">
        <v>-1.9999999999996021E-2</v>
      </c>
      <c r="AC4061" s="254"/>
    </row>
    <row r="4062" spans="1:29" ht="12">
      <c r="A4062" s="67" t="s">
        <v>18390</v>
      </c>
      <c r="B4062" s="65" t="s">
        <v>18391</v>
      </c>
      <c r="C4062" s="71" t="s">
        <v>103</v>
      </c>
      <c r="D4062" s="78">
        <v>1</v>
      </c>
      <c r="E4062" s="79">
        <v>49.7</v>
      </c>
      <c r="F4062" s="70">
        <v>49.7</v>
      </c>
      <c r="G4062" s="320"/>
      <c r="H4062" s="79">
        <v>40.160000000000004</v>
      </c>
      <c r="I4062" s="79">
        <v>9.5399999999999991</v>
      </c>
      <c r="J4062" s="79">
        <v>49.7</v>
      </c>
      <c r="K4062" s="79">
        <v>0</v>
      </c>
      <c r="L4062" s="70">
        <v>49.7</v>
      </c>
      <c r="M4062" s="132"/>
      <c r="N4062" s="79">
        <v>40.160000000000004</v>
      </c>
      <c r="O4062" s="79">
        <v>9.5399999999999991</v>
      </c>
      <c r="P4062" s="79">
        <v>49.7</v>
      </c>
      <c r="Q4062" s="136"/>
      <c r="R4062" s="79">
        <v>40.159999999999997</v>
      </c>
      <c r="S4062" s="79">
        <v>9.56</v>
      </c>
      <c r="T4062" s="79"/>
      <c r="U4062" s="79">
        <v>0</v>
      </c>
      <c r="V4062" s="189"/>
      <c r="X4062" s="79">
        <v>40.159999999999997</v>
      </c>
      <c r="Y4062" s="79">
        <v>9.56</v>
      </c>
      <c r="Z4062" s="79">
        <v>49.72</v>
      </c>
      <c r="AA4062" s="255">
        <v>-1.9999999999996021E-2</v>
      </c>
      <c r="AC4062" s="254"/>
    </row>
    <row r="4063" spans="1:29" ht="12">
      <c r="A4063" s="67" t="s">
        <v>18392</v>
      </c>
      <c r="B4063" s="65" t="s">
        <v>18393</v>
      </c>
      <c r="C4063" s="71" t="s">
        <v>103</v>
      </c>
      <c r="D4063" s="78">
        <v>1</v>
      </c>
      <c r="E4063" s="79">
        <v>67.11</v>
      </c>
      <c r="F4063" s="70">
        <v>67.11</v>
      </c>
      <c r="G4063" s="320"/>
      <c r="H4063" s="79">
        <v>56.43</v>
      </c>
      <c r="I4063" s="79">
        <v>10.68</v>
      </c>
      <c r="J4063" s="79">
        <v>67.11</v>
      </c>
      <c r="K4063" s="79">
        <v>0</v>
      </c>
      <c r="L4063" s="70">
        <v>67.11</v>
      </c>
      <c r="M4063" s="132"/>
      <c r="N4063" s="79">
        <v>56.43</v>
      </c>
      <c r="O4063" s="79">
        <v>10.68</v>
      </c>
      <c r="P4063" s="79">
        <v>67.11</v>
      </c>
      <c r="Q4063" s="136"/>
      <c r="R4063" s="79">
        <v>56.43</v>
      </c>
      <c r="S4063" s="79">
        <v>10.69</v>
      </c>
      <c r="T4063" s="79"/>
      <c r="U4063" s="79">
        <v>0</v>
      </c>
      <c r="V4063" s="189"/>
      <c r="X4063" s="79">
        <v>56.43</v>
      </c>
      <c r="Y4063" s="79">
        <v>10.69</v>
      </c>
      <c r="Z4063" s="79">
        <v>67.12</v>
      </c>
      <c r="AA4063" s="255">
        <v>-1.0000000000005116E-2</v>
      </c>
      <c r="AC4063" s="254"/>
    </row>
    <row r="4064" spans="1:29" ht="12">
      <c r="A4064" s="67" t="s">
        <v>18394</v>
      </c>
      <c r="B4064" s="65" t="s">
        <v>18395</v>
      </c>
      <c r="C4064" s="71" t="s">
        <v>103</v>
      </c>
      <c r="D4064" s="78">
        <v>1</v>
      </c>
      <c r="E4064" s="79">
        <v>65.150000000000006</v>
      </c>
      <c r="F4064" s="70">
        <v>65.150000000000006</v>
      </c>
      <c r="G4064" s="320"/>
      <c r="H4064" s="79">
        <v>54.470000000000006</v>
      </c>
      <c r="I4064" s="79">
        <v>10.68</v>
      </c>
      <c r="J4064" s="79">
        <v>65.150000000000006</v>
      </c>
      <c r="K4064" s="79">
        <v>0</v>
      </c>
      <c r="L4064" s="70">
        <v>65.150000000000006</v>
      </c>
      <c r="M4064" s="132"/>
      <c r="N4064" s="79">
        <v>54.470000000000006</v>
      </c>
      <c r="O4064" s="79">
        <v>10.68</v>
      </c>
      <c r="P4064" s="79">
        <v>65.150000000000006</v>
      </c>
      <c r="Q4064" s="136"/>
      <c r="R4064" s="79">
        <v>54.47</v>
      </c>
      <c r="S4064" s="79">
        <v>10.69</v>
      </c>
      <c r="T4064" s="79"/>
      <c r="U4064" s="79">
        <v>0</v>
      </c>
      <c r="V4064" s="189"/>
      <c r="X4064" s="79">
        <v>54.47</v>
      </c>
      <c r="Y4064" s="79">
        <v>10.69</v>
      </c>
      <c r="Z4064" s="79">
        <v>65.16</v>
      </c>
      <c r="AA4064" s="255">
        <v>-9.9999999999909051E-3</v>
      </c>
      <c r="AC4064" s="254"/>
    </row>
    <row r="4065" spans="1:29" ht="12">
      <c r="A4065" s="489" t="s">
        <v>18396</v>
      </c>
      <c r="B4065" s="490" t="s">
        <v>18397</v>
      </c>
      <c r="C4065" s="71"/>
      <c r="D4065" s="492"/>
      <c r="E4065" s="79"/>
      <c r="F4065" s="63"/>
      <c r="G4065" s="320"/>
      <c r="H4065" s="79"/>
      <c r="I4065" s="79"/>
      <c r="J4065" s="79"/>
      <c r="K4065" s="79"/>
      <c r="L4065" s="70"/>
      <c r="M4065" s="132"/>
      <c r="N4065" s="79"/>
      <c r="O4065" s="79"/>
      <c r="P4065" s="79"/>
      <c r="R4065" s="79"/>
      <c r="S4065" s="79"/>
      <c r="T4065" s="79"/>
      <c r="U4065" s="79"/>
      <c r="V4065" s="189"/>
      <c r="X4065" s="79"/>
      <c r="Y4065" s="79"/>
      <c r="Z4065" s="79"/>
      <c r="AA4065" s="255"/>
      <c r="AC4065" s="254"/>
    </row>
    <row r="4066" spans="1:29" ht="24">
      <c r="A4066" s="67" t="s">
        <v>18398</v>
      </c>
      <c r="B4066" s="65" t="s">
        <v>18399</v>
      </c>
      <c r="C4066" s="71" t="s">
        <v>509</v>
      </c>
      <c r="D4066" s="78">
        <v>1</v>
      </c>
      <c r="E4066" s="79">
        <v>351.98</v>
      </c>
      <c r="F4066" s="70">
        <v>351.98</v>
      </c>
      <c r="G4066" s="320"/>
      <c r="H4066" s="79">
        <v>336.67</v>
      </c>
      <c r="I4066" s="79">
        <v>15.309999999999999</v>
      </c>
      <c r="J4066" s="79">
        <v>351.98</v>
      </c>
      <c r="K4066" s="79">
        <v>0</v>
      </c>
      <c r="L4066" s="70">
        <v>351.98</v>
      </c>
      <c r="M4066" s="132"/>
      <c r="N4066" s="79">
        <v>336.67</v>
      </c>
      <c r="O4066" s="79">
        <v>15.309999999999999</v>
      </c>
      <c r="P4066" s="79">
        <v>351.98</v>
      </c>
      <c r="Q4066" s="136"/>
      <c r="R4066" s="79">
        <v>336.67</v>
      </c>
      <c r="S4066" s="79">
        <v>15.31</v>
      </c>
      <c r="T4066" s="79">
        <v>351.98</v>
      </c>
      <c r="U4066" s="79">
        <v>0</v>
      </c>
      <c r="V4066" s="189">
        <v>351.98</v>
      </c>
      <c r="X4066" s="79">
        <v>336.67</v>
      </c>
      <c r="Y4066" s="79">
        <v>15.31</v>
      </c>
      <c r="Z4066" s="79">
        <v>351.98</v>
      </c>
      <c r="AA4066" s="255">
        <v>0</v>
      </c>
      <c r="AC4066" s="254"/>
    </row>
    <row r="4067" spans="1:29" ht="24">
      <c r="A4067" s="67" t="s">
        <v>18400</v>
      </c>
      <c r="B4067" s="65" t="s">
        <v>18401</v>
      </c>
      <c r="C4067" s="71" t="s">
        <v>509</v>
      </c>
      <c r="D4067" s="78">
        <v>1</v>
      </c>
      <c r="E4067" s="79">
        <v>258.64</v>
      </c>
      <c r="F4067" s="70">
        <v>258.64</v>
      </c>
      <c r="G4067" s="320"/>
      <c r="H4067" s="79">
        <v>244.51</v>
      </c>
      <c r="I4067" s="79">
        <v>14.13</v>
      </c>
      <c r="J4067" s="79">
        <v>258.64</v>
      </c>
      <c r="K4067" s="79">
        <v>0</v>
      </c>
      <c r="L4067" s="70">
        <v>258.64</v>
      </c>
      <c r="M4067" s="132"/>
      <c r="N4067" s="79">
        <v>244.51</v>
      </c>
      <c r="O4067" s="79">
        <v>14.13</v>
      </c>
      <c r="P4067" s="79">
        <v>258.64</v>
      </c>
      <c r="Q4067" s="136"/>
      <c r="R4067" s="79">
        <v>244.51</v>
      </c>
      <c r="S4067" s="79">
        <v>14.13</v>
      </c>
      <c r="T4067" s="79">
        <v>258.64</v>
      </c>
      <c r="U4067" s="79">
        <v>0</v>
      </c>
      <c r="V4067" s="189">
        <v>258.64</v>
      </c>
      <c r="X4067" s="79">
        <v>244.51</v>
      </c>
      <c r="Y4067" s="79">
        <v>14.13</v>
      </c>
      <c r="Z4067" s="79">
        <v>258.64</v>
      </c>
      <c r="AA4067" s="255">
        <v>0</v>
      </c>
      <c r="AC4067" s="254"/>
    </row>
    <row r="4068" spans="1:29" ht="24">
      <c r="A4068" s="67" t="s">
        <v>18402</v>
      </c>
      <c r="B4068" s="65" t="s">
        <v>18403</v>
      </c>
      <c r="C4068" s="71" t="s">
        <v>509</v>
      </c>
      <c r="D4068" s="78">
        <v>1</v>
      </c>
      <c r="E4068" s="79">
        <v>260.37</v>
      </c>
      <c r="F4068" s="70">
        <v>260.37</v>
      </c>
      <c r="G4068" s="320"/>
      <c r="H4068" s="79">
        <v>246.15</v>
      </c>
      <c r="I4068" s="79">
        <v>14.22</v>
      </c>
      <c r="J4068" s="79">
        <v>260.37</v>
      </c>
      <c r="K4068" s="79">
        <v>0</v>
      </c>
      <c r="L4068" s="70">
        <v>260.37</v>
      </c>
      <c r="M4068" s="132"/>
      <c r="N4068" s="79">
        <v>246.15</v>
      </c>
      <c r="O4068" s="79">
        <v>14.22</v>
      </c>
      <c r="P4068" s="79">
        <v>260.37</v>
      </c>
      <c r="Q4068" s="136"/>
      <c r="R4068" s="79">
        <v>246.15</v>
      </c>
      <c r="S4068" s="79">
        <v>14.22</v>
      </c>
      <c r="T4068" s="79">
        <v>260.37</v>
      </c>
      <c r="U4068" s="79">
        <v>0</v>
      </c>
      <c r="V4068" s="189">
        <v>260.37</v>
      </c>
      <c r="X4068" s="79">
        <v>246.15</v>
      </c>
      <c r="Y4068" s="79">
        <v>14.22</v>
      </c>
      <c r="Z4068" s="79">
        <v>260.37</v>
      </c>
      <c r="AA4068" s="255">
        <v>0</v>
      </c>
      <c r="AC4068" s="254"/>
    </row>
    <row r="4069" spans="1:29" ht="12">
      <c r="A4069" s="67" t="s">
        <v>18404</v>
      </c>
      <c r="B4069" s="65" t="s">
        <v>18405</v>
      </c>
      <c r="C4069" s="71" t="s">
        <v>6170</v>
      </c>
      <c r="D4069" s="78">
        <v>1</v>
      </c>
      <c r="E4069" s="79">
        <v>10.71</v>
      </c>
      <c r="F4069" s="70">
        <v>10.71</v>
      </c>
      <c r="G4069" s="320"/>
      <c r="H4069" s="79">
        <v>8.27</v>
      </c>
      <c r="I4069" s="79">
        <v>2.4400000000000004</v>
      </c>
      <c r="J4069" s="79">
        <v>10.71</v>
      </c>
      <c r="K4069" s="79">
        <v>0</v>
      </c>
      <c r="L4069" s="70">
        <v>10.71</v>
      </c>
      <c r="M4069" s="132"/>
      <c r="N4069" s="79">
        <v>8.27</v>
      </c>
      <c r="O4069" s="79">
        <v>2.4400000000000004</v>
      </c>
      <c r="P4069" s="79">
        <v>10.71</v>
      </c>
      <c r="Q4069" s="136"/>
      <c r="R4069" s="79">
        <v>8.27</v>
      </c>
      <c r="S4069" s="79">
        <v>2.4500000000000002</v>
      </c>
      <c r="T4069" s="79">
        <v>10.719999999999999</v>
      </c>
      <c r="U4069" s="79">
        <v>0</v>
      </c>
      <c r="V4069" s="189">
        <v>10.719999999999999</v>
      </c>
      <c r="X4069" s="79">
        <v>8.27</v>
      </c>
      <c r="Y4069" s="79">
        <v>2.4500000000000002</v>
      </c>
      <c r="Z4069" s="79">
        <v>10.72</v>
      </c>
      <c r="AA4069" s="255">
        <v>-9.9999999999997868E-3</v>
      </c>
      <c r="AC4069" s="254"/>
    </row>
    <row r="4070" spans="1:29" ht="12">
      <c r="A4070" s="67" t="s">
        <v>18406</v>
      </c>
      <c r="B4070" s="65" t="s">
        <v>18407</v>
      </c>
      <c r="C4070" s="71" t="s">
        <v>18408</v>
      </c>
      <c r="D4070" s="78">
        <v>1</v>
      </c>
      <c r="E4070" s="79">
        <v>2087.41</v>
      </c>
      <c r="F4070" s="70">
        <v>2087.41</v>
      </c>
      <c r="G4070" s="320"/>
      <c r="H4070" s="79">
        <v>575.25</v>
      </c>
      <c r="I4070" s="79">
        <v>1512.1599999999999</v>
      </c>
      <c r="J4070" s="79">
        <v>2087.41</v>
      </c>
      <c r="K4070" s="79">
        <v>0</v>
      </c>
      <c r="L4070" s="70">
        <v>2087.41</v>
      </c>
      <c r="M4070" s="132"/>
      <c r="N4070" s="79">
        <v>575.25</v>
      </c>
      <c r="O4070" s="79">
        <v>1512.1599999999999</v>
      </c>
      <c r="P4070" s="79">
        <v>2087.41</v>
      </c>
      <c r="Q4070" s="136"/>
      <c r="R4070" s="79">
        <v>575.25</v>
      </c>
      <c r="S4070" s="79">
        <v>1512.24</v>
      </c>
      <c r="T4070" s="79">
        <v>2087.4899999999998</v>
      </c>
      <c r="U4070" s="79">
        <v>0</v>
      </c>
      <c r="V4070" s="189">
        <v>2087.4899999999998</v>
      </c>
      <c r="X4070" s="79">
        <v>575.25</v>
      </c>
      <c r="Y4070" s="79">
        <v>1512.24</v>
      </c>
      <c r="Z4070" s="79">
        <v>2087.4899999999998</v>
      </c>
      <c r="AA4070" s="255">
        <v>-7.999999999992724E-2</v>
      </c>
      <c r="AC4070" s="254"/>
    </row>
    <row r="4071" spans="1:29" ht="12">
      <c r="A4071" s="489" t="s">
        <v>18409</v>
      </c>
      <c r="B4071" s="490" t="s">
        <v>18410</v>
      </c>
      <c r="C4071" s="491"/>
      <c r="D4071" s="492"/>
      <c r="E4071" s="79"/>
      <c r="F4071" s="63"/>
      <c r="G4071" s="320"/>
      <c r="H4071" s="79"/>
      <c r="I4071" s="79"/>
      <c r="J4071" s="79"/>
      <c r="K4071" s="79"/>
      <c r="L4071" s="70"/>
      <c r="M4071" s="132"/>
      <c r="N4071" s="79"/>
      <c r="O4071" s="79"/>
      <c r="P4071" s="79"/>
      <c r="Q4071" s="136"/>
      <c r="R4071" s="79"/>
      <c r="S4071" s="79"/>
      <c r="T4071" s="79"/>
      <c r="U4071" s="79"/>
      <c r="V4071" s="189"/>
      <c r="X4071" s="79"/>
      <c r="Y4071" s="79"/>
      <c r="Z4071" s="79"/>
      <c r="AA4071" s="255"/>
      <c r="AC4071" s="254"/>
    </row>
    <row r="4072" spans="1:29" ht="12">
      <c r="A4072" s="489" t="s">
        <v>18411</v>
      </c>
      <c r="B4072" s="490" t="s">
        <v>18412</v>
      </c>
      <c r="C4072" s="491"/>
      <c r="D4072" s="78"/>
      <c r="E4072" s="79"/>
      <c r="F4072" s="70"/>
      <c r="G4072" s="320"/>
      <c r="H4072" s="79"/>
      <c r="I4072" s="79"/>
      <c r="J4072" s="79"/>
      <c r="K4072" s="79"/>
      <c r="L4072" s="70"/>
      <c r="M4072" s="132"/>
      <c r="N4072" s="79"/>
      <c r="O4072" s="79"/>
      <c r="P4072" s="79"/>
      <c r="Q4072" s="136"/>
      <c r="R4072" s="79"/>
      <c r="S4072" s="79"/>
      <c r="T4072" s="79"/>
      <c r="U4072" s="79"/>
      <c r="V4072" s="189"/>
      <c r="X4072" s="79"/>
      <c r="Y4072" s="79"/>
      <c r="Z4072" s="79"/>
      <c r="AA4072" s="255"/>
      <c r="AC4072" s="254"/>
    </row>
    <row r="4073" spans="1:29" ht="12">
      <c r="A4073" s="67" t="s">
        <v>18413</v>
      </c>
      <c r="B4073" s="65" t="s">
        <v>18414</v>
      </c>
      <c r="C4073" s="71" t="s">
        <v>509</v>
      </c>
      <c r="D4073" s="78">
        <v>1</v>
      </c>
      <c r="E4073" s="79">
        <v>8297.33</v>
      </c>
      <c r="F4073" s="70">
        <v>8297.33</v>
      </c>
      <c r="G4073" s="320"/>
      <c r="H4073" s="79">
        <v>8196.6299999999992</v>
      </c>
      <c r="I4073" s="79">
        <v>100.69999999999999</v>
      </c>
      <c r="J4073" s="79">
        <v>8297.33</v>
      </c>
      <c r="K4073" s="79">
        <v>0</v>
      </c>
      <c r="L4073" s="70">
        <v>8297.33</v>
      </c>
      <c r="M4073" s="132"/>
      <c r="N4073" s="79">
        <v>8196.6299999999992</v>
      </c>
      <c r="O4073" s="79">
        <v>100.69999999999999</v>
      </c>
      <c r="P4073" s="79">
        <v>8297.33</v>
      </c>
      <c r="Q4073" s="136"/>
      <c r="R4073" s="79">
        <v>8196.6299999999992</v>
      </c>
      <c r="S4073" s="79">
        <v>100.7</v>
      </c>
      <c r="T4073" s="79">
        <v>8297.33</v>
      </c>
      <c r="U4073" s="79">
        <v>0</v>
      </c>
      <c r="V4073" s="189">
        <v>8297.33</v>
      </c>
      <c r="X4073" s="79">
        <v>8196.6299999999992</v>
      </c>
      <c r="Y4073" s="79">
        <v>100.7</v>
      </c>
      <c r="Z4073" s="79">
        <v>8297.33</v>
      </c>
      <c r="AA4073" s="255">
        <v>0</v>
      </c>
      <c r="AC4073" s="254"/>
    </row>
    <row r="4074" spans="1:29" ht="12">
      <c r="A4074" s="67" t="s">
        <v>18415</v>
      </c>
      <c r="B4074" s="65" t="s">
        <v>18416</v>
      </c>
      <c r="C4074" s="71" t="s">
        <v>509</v>
      </c>
      <c r="D4074" s="78">
        <v>1</v>
      </c>
      <c r="E4074" s="79">
        <v>400.72999999999996</v>
      </c>
      <c r="F4074" s="70">
        <v>400.73</v>
      </c>
      <c r="G4074" s="320"/>
      <c r="H4074" s="79">
        <v>300.02999999999997</v>
      </c>
      <c r="I4074" s="79">
        <v>100.69999999999999</v>
      </c>
      <c r="J4074" s="79">
        <v>400.72999999999996</v>
      </c>
      <c r="K4074" s="79">
        <v>0</v>
      </c>
      <c r="L4074" s="70">
        <v>400.72999999999996</v>
      </c>
      <c r="M4074" s="132"/>
      <c r="N4074" s="79">
        <v>300.02999999999997</v>
      </c>
      <c r="O4074" s="79">
        <v>100.69999999999999</v>
      </c>
      <c r="P4074" s="79">
        <v>400.72999999999996</v>
      </c>
      <c r="Q4074" s="136"/>
      <c r="R4074" s="79">
        <v>300.02999999999997</v>
      </c>
      <c r="S4074" s="79">
        <v>100.7</v>
      </c>
      <c r="T4074" s="79">
        <v>400.72999999999996</v>
      </c>
      <c r="U4074" s="79">
        <v>0</v>
      </c>
      <c r="V4074" s="189">
        <v>400.72999999999996</v>
      </c>
      <c r="X4074" s="79">
        <v>300.02999999999997</v>
      </c>
      <c r="Y4074" s="79">
        <v>100.7</v>
      </c>
      <c r="Z4074" s="79">
        <v>400.73</v>
      </c>
      <c r="AA4074" s="255">
        <v>0</v>
      </c>
      <c r="AC4074" s="254"/>
    </row>
    <row r="4075" spans="1:29" ht="12">
      <c r="A4075" s="67" t="s">
        <v>18417</v>
      </c>
      <c r="B4075" s="65" t="s">
        <v>18418</v>
      </c>
      <c r="C4075" s="71" t="s">
        <v>509</v>
      </c>
      <c r="D4075" s="78">
        <v>1</v>
      </c>
      <c r="E4075" s="79">
        <v>1715.39</v>
      </c>
      <c r="F4075" s="70">
        <v>1715.39</v>
      </c>
      <c r="G4075" s="320"/>
      <c r="H4075" s="79">
        <v>1614.69</v>
      </c>
      <c r="I4075" s="79">
        <v>100.69999999999999</v>
      </c>
      <c r="J4075" s="79">
        <v>1715.39</v>
      </c>
      <c r="K4075" s="79">
        <v>0</v>
      </c>
      <c r="L4075" s="70">
        <v>1715.39</v>
      </c>
      <c r="M4075" s="132"/>
      <c r="N4075" s="79">
        <v>1614.69</v>
      </c>
      <c r="O4075" s="79">
        <v>100.69999999999999</v>
      </c>
      <c r="P4075" s="79">
        <v>1715.39</v>
      </c>
      <c r="Q4075" s="136"/>
      <c r="R4075" s="79">
        <v>1614.69</v>
      </c>
      <c r="S4075" s="79">
        <v>100.7</v>
      </c>
      <c r="T4075" s="79">
        <v>1715.39</v>
      </c>
      <c r="U4075" s="79">
        <v>0</v>
      </c>
      <c r="V4075" s="189">
        <v>1715.39</v>
      </c>
      <c r="X4075" s="79">
        <v>1614.69</v>
      </c>
      <c r="Y4075" s="79">
        <v>100.7</v>
      </c>
      <c r="Z4075" s="79">
        <v>1715.39</v>
      </c>
      <c r="AA4075" s="255">
        <v>0</v>
      </c>
      <c r="AC4075" s="254"/>
    </row>
    <row r="4076" spans="1:29" ht="24">
      <c r="A4076" s="67" t="s">
        <v>18419</v>
      </c>
      <c r="B4076" s="65" t="s">
        <v>18420</v>
      </c>
      <c r="C4076" s="71" t="s">
        <v>103</v>
      </c>
      <c r="D4076" s="78">
        <v>1</v>
      </c>
      <c r="E4076" s="79">
        <v>22.35</v>
      </c>
      <c r="F4076" s="70">
        <v>22.35</v>
      </c>
      <c r="G4076" s="320"/>
      <c r="H4076" s="79">
        <v>15.05</v>
      </c>
      <c r="I4076" s="79">
        <v>7.3</v>
      </c>
      <c r="J4076" s="79">
        <v>22.35</v>
      </c>
      <c r="K4076" s="79">
        <v>0</v>
      </c>
      <c r="L4076" s="70">
        <v>22.35</v>
      </c>
      <c r="M4076" s="132"/>
      <c r="N4076" s="79">
        <v>15.05</v>
      </c>
      <c r="O4076" s="79">
        <v>7.3</v>
      </c>
      <c r="P4076" s="79">
        <v>22.35</v>
      </c>
      <c r="Q4076" s="136"/>
      <c r="R4076" s="79">
        <v>15.05</v>
      </c>
      <c r="S4076" s="79">
        <v>7.3</v>
      </c>
      <c r="T4076" s="79">
        <v>22.35</v>
      </c>
      <c r="U4076" s="79">
        <v>0</v>
      </c>
      <c r="V4076" s="189">
        <v>22.35</v>
      </c>
      <c r="X4076" s="79">
        <v>15.05</v>
      </c>
      <c r="Y4076" s="79">
        <v>7.3</v>
      </c>
      <c r="Z4076" s="79">
        <v>22.35</v>
      </c>
      <c r="AA4076" s="255">
        <v>0</v>
      </c>
      <c r="AC4076" s="254"/>
    </row>
    <row r="4077" spans="1:29" ht="24">
      <c r="A4077" s="512" t="s">
        <v>18421</v>
      </c>
      <c r="B4077" s="513" t="s">
        <v>18422</v>
      </c>
      <c r="C4077" s="514" t="s">
        <v>103</v>
      </c>
      <c r="D4077" s="78">
        <v>1</v>
      </c>
      <c r="E4077" s="79">
        <v>18.54</v>
      </c>
      <c r="F4077" s="70">
        <v>18.54</v>
      </c>
      <c r="G4077" s="320"/>
      <c r="H4077" s="79">
        <v>11.24</v>
      </c>
      <c r="I4077" s="79">
        <v>7.3</v>
      </c>
      <c r="J4077" s="79">
        <v>18.54</v>
      </c>
      <c r="K4077" s="79"/>
      <c r="L4077" s="70">
        <v>18.54</v>
      </c>
      <c r="M4077" s="132"/>
      <c r="N4077" s="79">
        <v>11.24</v>
      </c>
      <c r="O4077" s="79">
        <v>7.3</v>
      </c>
      <c r="P4077" s="79">
        <v>18.54</v>
      </c>
      <c r="Q4077" s="136"/>
      <c r="R4077" s="79">
        <v>11.24</v>
      </c>
      <c r="S4077" s="79">
        <v>7.3</v>
      </c>
      <c r="T4077" s="79">
        <v>18.54</v>
      </c>
      <c r="U4077" s="79">
        <v>0</v>
      </c>
      <c r="V4077" s="189">
        <v>18.54</v>
      </c>
      <c r="X4077" s="79">
        <v>11.24</v>
      </c>
      <c r="Y4077" s="79">
        <v>7.3</v>
      </c>
      <c r="Z4077" s="79">
        <v>18.54</v>
      </c>
      <c r="AA4077" s="255">
        <v>0</v>
      </c>
      <c r="AC4077" s="254"/>
    </row>
    <row r="4078" spans="1:29" ht="24">
      <c r="A4078" s="512" t="s">
        <v>18423</v>
      </c>
      <c r="B4078" s="513" t="s">
        <v>18424</v>
      </c>
      <c r="C4078" s="514" t="s">
        <v>103</v>
      </c>
      <c r="D4078" s="78">
        <v>1</v>
      </c>
      <c r="E4078" s="79">
        <v>26.1</v>
      </c>
      <c r="F4078" s="70">
        <v>26.1</v>
      </c>
      <c r="G4078" s="320"/>
      <c r="H4078" s="79">
        <v>18.8</v>
      </c>
      <c r="I4078" s="79">
        <v>7.3</v>
      </c>
      <c r="J4078" s="79">
        <v>26.1</v>
      </c>
      <c r="K4078" s="79"/>
      <c r="L4078" s="70">
        <v>26.1</v>
      </c>
      <c r="M4078" s="132"/>
      <c r="N4078" s="79">
        <v>18.8</v>
      </c>
      <c r="O4078" s="79">
        <v>7.3</v>
      </c>
      <c r="P4078" s="79">
        <v>26.1</v>
      </c>
      <c r="Q4078" s="136"/>
      <c r="R4078" s="79">
        <v>18.8</v>
      </c>
      <c r="S4078" s="79">
        <v>7.3</v>
      </c>
      <c r="T4078" s="79">
        <v>26.1</v>
      </c>
      <c r="U4078" s="79">
        <v>0</v>
      </c>
      <c r="V4078" s="189">
        <v>26.1</v>
      </c>
      <c r="X4078" s="79">
        <v>18.8</v>
      </c>
      <c r="Y4078" s="79">
        <v>7.3</v>
      </c>
      <c r="Z4078" s="79">
        <v>26.1</v>
      </c>
      <c r="AA4078" s="255">
        <v>0</v>
      </c>
      <c r="AC4078" s="254"/>
    </row>
    <row r="4079" spans="1:29" ht="12">
      <c r="A4079" s="512" t="s">
        <v>18425</v>
      </c>
      <c r="B4079" s="513" t="s">
        <v>18426</v>
      </c>
      <c r="C4079" s="514" t="s">
        <v>103</v>
      </c>
      <c r="D4079" s="78">
        <v>1</v>
      </c>
      <c r="E4079" s="79">
        <v>18.97</v>
      </c>
      <c r="F4079" s="70">
        <v>18.97</v>
      </c>
      <c r="G4079" s="320"/>
      <c r="H4079" s="79">
        <v>11.67</v>
      </c>
      <c r="I4079" s="79">
        <v>7.3</v>
      </c>
      <c r="J4079" s="79">
        <v>18.97</v>
      </c>
      <c r="K4079" s="79"/>
      <c r="L4079" s="70">
        <v>18.97</v>
      </c>
      <c r="M4079" s="132"/>
      <c r="N4079" s="79">
        <v>11.67</v>
      </c>
      <c r="O4079" s="79">
        <v>7.3</v>
      </c>
      <c r="P4079" s="79">
        <v>18.97</v>
      </c>
      <c r="Q4079" s="136"/>
      <c r="R4079" s="79">
        <v>11.67</v>
      </c>
      <c r="S4079" s="79">
        <v>7.3</v>
      </c>
      <c r="T4079" s="79">
        <v>18.97</v>
      </c>
      <c r="U4079" s="79">
        <v>0</v>
      </c>
      <c r="V4079" s="189">
        <v>18.97</v>
      </c>
      <c r="X4079" s="79">
        <v>11.67</v>
      </c>
      <c r="Y4079" s="79">
        <v>7.3</v>
      </c>
      <c r="Z4079" s="79">
        <v>18.97</v>
      </c>
      <c r="AA4079" s="255">
        <v>0</v>
      </c>
      <c r="AC4079" s="254"/>
    </row>
    <row r="4080" spans="1:29" ht="12">
      <c r="A4080" s="512" t="s">
        <v>18427</v>
      </c>
      <c r="B4080" s="513" t="s">
        <v>18428</v>
      </c>
      <c r="C4080" s="514" t="s">
        <v>103</v>
      </c>
      <c r="D4080" s="78">
        <v>1</v>
      </c>
      <c r="E4080" s="79">
        <v>30.18</v>
      </c>
      <c r="F4080" s="70">
        <v>30.18</v>
      </c>
      <c r="G4080" s="320"/>
      <c r="H4080" s="79">
        <v>22.88</v>
      </c>
      <c r="I4080" s="79">
        <v>7.3</v>
      </c>
      <c r="J4080" s="79">
        <v>30.18</v>
      </c>
      <c r="K4080" s="79"/>
      <c r="L4080" s="70">
        <v>30.18</v>
      </c>
      <c r="M4080" s="132"/>
      <c r="N4080" s="79">
        <v>22.88</v>
      </c>
      <c r="O4080" s="79">
        <v>7.3</v>
      </c>
      <c r="P4080" s="79">
        <v>30.18</v>
      </c>
      <c r="Q4080" s="136"/>
      <c r="R4080" s="79">
        <v>22.88</v>
      </c>
      <c r="S4080" s="79">
        <v>7.3</v>
      </c>
      <c r="T4080" s="79">
        <v>30.18</v>
      </c>
      <c r="U4080" s="79">
        <v>0</v>
      </c>
      <c r="V4080" s="189">
        <v>30.18</v>
      </c>
      <c r="X4080" s="79">
        <v>22.88</v>
      </c>
      <c r="Y4080" s="79">
        <v>7.3</v>
      </c>
      <c r="Z4080" s="79">
        <v>30.18</v>
      </c>
      <c r="AA4080" s="255">
        <v>0</v>
      </c>
      <c r="AC4080" s="254"/>
    </row>
    <row r="4081" spans="1:29" ht="12">
      <c r="A4081" s="512" t="s">
        <v>18429</v>
      </c>
      <c r="B4081" s="513" t="s">
        <v>18430</v>
      </c>
      <c r="C4081" s="514" t="s">
        <v>103</v>
      </c>
      <c r="D4081" s="78">
        <v>1</v>
      </c>
      <c r="E4081" s="79">
        <v>15.579999999999998</v>
      </c>
      <c r="F4081" s="70">
        <v>15.58</v>
      </c>
      <c r="G4081" s="320"/>
      <c r="H4081" s="79">
        <v>8.2799999999999994</v>
      </c>
      <c r="I4081" s="79">
        <v>7.3</v>
      </c>
      <c r="J4081" s="79">
        <v>15.579999999999998</v>
      </c>
      <c r="K4081" s="79"/>
      <c r="L4081" s="70">
        <v>15.579999999999998</v>
      </c>
      <c r="M4081" s="132"/>
      <c r="N4081" s="79">
        <v>8.2799999999999994</v>
      </c>
      <c r="O4081" s="79">
        <v>7.3</v>
      </c>
      <c r="P4081" s="79">
        <v>15.579999999999998</v>
      </c>
      <c r="Q4081" s="136"/>
      <c r="R4081" s="79">
        <v>8.2799999999999994</v>
      </c>
      <c r="S4081" s="79">
        <v>7.3</v>
      </c>
      <c r="T4081" s="79">
        <v>15.579999999999998</v>
      </c>
      <c r="U4081" s="79">
        <v>0</v>
      </c>
      <c r="V4081" s="189">
        <v>15.579999999999998</v>
      </c>
      <c r="X4081" s="79">
        <v>8.2799999999999994</v>
      </c>
      <c r="Y4081" s="79">
        <v>7.3</v>
      </c>
      <c r="Z4081" s="79">
        <v>15.58</v>
      </c>
      <c r="AA4081" s="255">
        <v>0</v>
      </c>
      <c r="AC4081" s="254"/>
    </row>
    <row r="4082" spans="1:29" ht="12">
      <c r="A4082" s="512" t="s">
        <v>18431</v>
      </c>
      <c r="B4082" s="513" t="s">
        <v>18432</v>
      </c>
      <c r="C4082" s="514" t="s">
        <v>103</v>
      </c>
      <c r="D4082" s="78">
        <v>1</v>
      </c>
      <c r="E4082" s="79">
        <v>269.45</v>
      </c>
      <c r="F4082" s="70">
        <v>269.45</v>
      </c>
      <c r="G4082" s="320"/>
      <c r="H4082" s="79">
        <v>265.3</v>
      </c>
      <c r="I4082" s="79">
        <v>4.1500000000000004</v>
      </c>
      <c r="J4082" s="79">
        <v>269.45</v>
      </c>
      <c r="K4082" s="79"/>
      <c r="L4082" s="70">
        <v>269.45</v>
      </c>
      <c r="M4082" s="132"/>
      <c r="N4082" s="79">
        <v>265.3</v>
      </c>
      <c r="O4082" s="79">
        <v>4.1500000000000004</v>
      </c>
      <c r="P4082" s="79">
        <v>269.45</v>
      </c>
      <c r="Q4082" s="136"/>
      <c r="R4082" s="79">
        <v>265.3</v>
      </c>
      <c r="S4082" s="79">
        <v>4.1500000000000004</v>
      </c>
      <c r="T4082" s="79">
        <v>269.45</v>
      </c>
      <c r="U4082" s="79">
        <v>0</v>
      </c>
      <c r="V4082" s="189">
        <v>269.45</v>
      </c>
      <c r="X4082" s="79">
        <v>265.3</v>
      </c>
      <c r="Y4082" s="79">
        <v>4.1500000000000004</v>
      </c>
      <c r="Z4082" s="79">
        <v>269.45</v>
      </c>
      <c r="AA4082" s="255">
        <v>0</v>
      </c>
      <c r="AC4082" s="254"/>
    </row>
    <row r="4083" spans="1:29" ht="12">
      <c r="A4083" s="512" t="s">
        <v>18433</v>
      </c>
      <c r="B4083" s="513" t="s">
        <v>18434</v>
      </c>
      <c r="C4083" s="514"/>
      <c r="D4083" s="78"/>
      <c r="E4083" s="79"/>
      <c r="F4083" s="70"/>
      <c r="G4083" s="320"/>
      <c r="H4083" s="79">
        <v>0</v>
      </c>
      <c r="I4083" s="79">
        <v>0</v>
      </c>
      <c r="J4083" s="79">
        <v>0</v>
      </c>
      <c r="K4083" s="79"/>
      <c r="L4083" s="70"/>
      <c r="M4083" s="132"/>
      <c r="N4083" s="79"/>
      <c r="O4083" s="79"/>
      <c r="P4083" s="79"/>
      <c r="Q4083" s="136"/>
      <c r="R4083" s="79"/>
      <c r="S4083" s="79"/>
      <c r="T4083" s="79"/>
      <c r="U4083" s="79"/>
      <c r="V4083" s="189"/>
      <c r="X4083" s="79"/>
      <c r="Y4083" s="79"/>
      <c r="Z4083" s="79"/>
      <c r="AA4083" s="255"/>
      <c r="AC4083" s="254"/>
    </row>
    <row r="4084" spans="1:29" ht="12">
      <c r="A4084" s="512" t="s">
        <v>18435</v>
      </c>
      <c r="B4084" s="513" t="s">
        <v>18436</v>
      </c>
      <c r="C4084" s="514" t="s">
        <v>103</v>
      </c>
      <c r="D4084" s="78">
        <v>1</v>
      </c>
      <c r="E4084" s="79">
        <v>76.679999999999993</v>
      </c>
      <c r="F4084" s="70">
        <v>76.680000000000007</v>
      </c>
      <c r="G4084" s="320"/>
      <c r="H4084" s="79">
        <v>13</v>
      </c>
      <c r="I4084" s="79">
        <v>63.68</v>
      </c>
      <c r="J4084" s="79">
        <v>76.680000000000007</v>
      </c>
      <c r="K4084" s="79"/>
      <c r="L4084" s="70">
        <v>76.680000000000007</v>
      </c>
      <c r="M4084" s="132"/>
      <c r="N4084" s="79">
        <v>13</v>
      </c>
      <c r="O4084" s="79">
        <v>63.68</v>
      </c>
      <c r="P4084" s="79">
        <v>76.680000000000007</v>
      </c>
      <c r="Q4084" s="136"/>
      <c r="R4084" s="79">
        <v>8.35</v>
      </c>
      <c r="S4084" s="79">
        <v>63.68</v>
      </c>
      <c r="T4084" s="79">
        <v>72.03</v>
      </c>
      <c r="U4084" s="79">
        <v>0</v>
      </c>
      <c r="V4084" s="189">
        <v>72.03</v>
      </c>
      <c r="X4084" s="79">
        <v>8.35</v>
      </c>
      <c r="Y4084" s="79">
        <v>63.68</v>
      </c>
      <c r="Z4084" s="79">
        <v>72.03</v>
      </c>
      <c r="AA4084" s="255">
        <v>4.6500000000000057</v>
      </c>
      <c r="AC4084" s="254"/>
    </row>
    <row r="4085" spans="1:29" ht="12">
      <c r="A4085" s="512" t="s">
        <v>18437</v>
      </c>
      <c r="B4085" s="513" t="s">
        <v>18438</v>
      </c>
      <c r="C4085" s="514"/>
      <c r="D4085" s="78"/>
      <c r="E4085" s="79"/>
      <c r="F4085" s="70"/>
      <c r="G4085" s="320"/>
      <c r="H4085" s="79">
        <v>0</v>
      </c>
      <c r="I4085" s="79">
        <v>0</v>
      </c>
      <c r="J4085" s="79">
        <v>0</v>
      </c>
      <c r="K4085" s="79"/>
      <c r="L4085" s="70"/>
      <c r="M4085" s="132"/>
      <c r="N4085" s="79"/>
      <c r="O4085" s="79"/>
      <c r="P4085" s="79"/>
      <c r="Q4085" s="136"/>
      <c r="R4085" s="79"/>
      <c r="S4085" s="79"/>
      <c r="T4085" s="79"/>
      <c r="U4085" s="79"/>
      <c r="V4085" s="189"/>
      <c r="X4085" s="79"/>
      <c r="Y4085" s="79"/>
      <c r="Z4085" s="79"/>
      <c r="AA4085" s="255"/>
      <c r="AC4085" s="254"/>
    </row>
    <row r="4086" spans="1:29" ht="24">
      <c r="A4086" s="512" t="s">
        <v>18439</v>
      </c>
      <c r="B4086" s="513" t="s">
        <v>18440</v>
      </c>
      <c r="C4086" s="514" t="s">
        <v>103</v>
      </c>
      <c r="D4086" s="78">
        <v>1</v>
      </c>
      <c r="E4086" s="79">
        <v>98.48</v>
      </c>
      <c r="F4086" s="70">
        <v>98.48</v>
      </c>
      <c r="G4086" s="320"/>
      <c r="H4086" s="79">
        <v>89.92</v>
      </c>
      <c r="I4086" s="79">
        <v>8.5599999999999987</v>
      </c>
      <c r="J4086" s="79">
        <v>98.48</v>
      </c>
      <c r="K4086" s="79"/>
      <c r="L4086" s="70">
        <v>98.48</v>
      </c>
      <c r="M4086" s="132"/>
      <c r="N4086" s="79">
        <v>89.92</v>
      </c>
      <c r="O4086" s="79">
        <v>8.5599999999999987</v>
      </c>
      <c r="P4086" s="79">
        <v>98.48</v>
      </c>
      <c r="Q4086" s="136"/>
      <c r="R4086" s="79">
        <v>89.92</v>
      </c>
      <c r="S4086" s="79">
        <v>8.56</v>
      </c>
      <c r="T4086" s="79">
        <v>98.48</v>
      </c>
      <c r="U4086" s="79">
        <v>0</v>
      </c>
      <c r="V4086" s="189">
        <v>98.48</v>
      </c>
      <c r="X4086" s="79">
        <v>89.92</v>
      </c>
      <c r="Y4086" s="79">
        <v>8.56</v>
      </c>
      <c r="Z4086" s="79">
        <v>98.48</v>
      </c>
      <c r="AA4086" s="255">
        <v>0</v>
      </c>
      <c r="AC4086" s="254"/>
    </row>
    <row r="4087" spans="1:29" ht="24">
      <c r="A4087" s="512" t="s">
        <v>18441</v>
      </c>
      <c r="B4087" s="513" t="s">
        <v>18442</v>
      </c>
      <c r="C4087" s="514" t="s">
        <v>103</v>
      </c>
      <c r="D4087" s="78">
        <v>1</v>
      </c>
      <c r="E4087" s="79">
        <v>33.4</v>
      </c>
      <c r="F4087" s="70">
        <v>33.4</v>
      </c>
      <c r="G4087" s="320"/>
      <c r="H4087" s="79">
        <v>31.64</v>
      </c>
      <c r="I4087" s="79">
        <v>1.76</v>
      </c>
      <c r="J4087" s="79">
        <v>33.4</v>
      </c>
      <c r="K4087" s="79"/>
      <c r="L4087" s="70">
        <v>33.4</v>
      </c>
      <c r="M4087" s="132"/>
      <c r="N4087" s="79">
        <v>31.64</v>
      </c>
      <c r="O4087" s="79">
        <v>1.76</v>
      </c>
      <c r="P4087" s="79">
        <v>33.4</v>
      </c>
      <c r="Q4087" s="136"/>
      <c r="R4087" s="79">
        <v>31.64</v>
      </c>
      <c r="S4087" s="79">
        <v>1.76</v>
      </c>
      <c r="T4087" s="79">
        <v>33.4</v>
      </c>
      <c r="U4087" s="79">
        <v>0</v>
      </c>
      <c r="V4087" s="189">
        <v>33.4</v>
      </c>
      <c r="X4087" s="79">
        <v>31.64</v>
      </c>
      <c r="Y4087" s="79">
        <v>1.76</v>
      </c>
      <c r="Z4087" s="79">
        <v>33.4</v>
      </c>
      <c r="AA4087" s="255">
        <v>0</v>
      </c>
      <c r="AC4087" s="254"/>
    </row>
    <row r="4088" spans="1:29" ht="12">
      <c r="A4088" s="512" t="s">
        <v>18443</v>
      </c>
      <c r="B4088" s="513" t="s">
        <v>5701</v>
      </c>
      <c r="C4088" s="514" t="s">
        <v>509</v>
      </c>
      <c r="D4088" s="78">
        <v>1</v>
      </c>
      <c r="E4088" s="79">
        <v>68.459999999999994</v>
      </c>
      <c r="F4088" s="70">
        <v>68.459999999999994</v>
      </c>
      <c r="G4088" s="320"/>
      <c r="H4088" s="79">
        <v>68.459999999999994</v>
      </c>
      <c r="I4088" s="79">
        <v>0</v>
      </c>
      <c r="J4088" s="79">
        <v>68.459999999999994</v>
      </c>
      <c r="K4088" s="79"/>
      <c r="L4088" s="70">
        <v>68.459999999999994</v>
      </c>
      <c r="M4088" s="132"/>
      <c r="N4088" s="79">
        <v>68.459999999999994</v>
      </c>
      <c r="O4088" s="79"/>
      <c r="P4088" s="79">
        <v>68.459999999999994</v>
      </c>
      <c r="Q4088" s="136"/>
      <c r="R4088" s="79">
        <v>68.459999999999994</v>
      </c>
      <c r="S4088" s="79"/>
      <c r="T4088" s="79">
        <v>68.459999999999994</v>
      </c>
      <c r="U4088" s="79">
        <v>0</v>
      </c>
      <c r="V4088" s="189">
        <v>68.459999999999994</v>
      </c>
      <c r="X4088" s="79">
        <v>68.459999999999994</v>
      </c>
      <c r="Y4088" s="79"/>
      <c r="Z4088" s="79">
        <v>68.459999999999994</v>
      </c>
      <c r="AA4088" s="255">
        <v>0</v>
      </c>
      <c r="AC4088" s="254"/>
    </row>
    <row r="4089" spans="1:29" ht="12">
      <c r="A4089" s="512" t="s">
        <v>18444</v>
      </c>
      <c r="B4089" s="513" t="s">
        <v>5702</v>
      </c>
      <c r="C4089" s="514" t="s">
        <v>207</v>
      </c>
      <c r="D4089" s="78">
        <v>1</v>
      </c>
      <c r="E4089" s="79">
        <v>30.83</v>
      </c>
      <c r="F4089" s="70">
        <v>30.83</v>
      </c>
      <c r="G4089" s="320"/>
      <c r="H4089" s="79">
        <v>30.83</v>
      </c>
      <c r="I4089" s="79">
        <v>0</v>
      </c>
      <c r="J4089" s="79">
        <v>30.83</v>
      </c>
      <c r="K4089" s="79"/>
      <c r="L4089" s="70">
        <v>30.83</v>
      </c>
      <c r="M4089" s="132"/>
      <c r="N4089" s="79">
        <v>30.83</v>
      </c>
      <c r="O4089" s="79"/>
      <c r="P4089" s="79">
        <v>30.83</v>
      </c>
      <c r="Q4089" s="136"/>
      <c r="R4089" s="79">
        <v>30.83</v>
      </c>
      <c r="S4089" s="79"/>
      <c r="T4089" s="79">
        <v>30.83</v>
      </c>
      <c r="U4089" s="79">
        <v>0</v>
      </c>
      <c r="V4089" s="189">
        <v>30.83</v>
      </c>
      <c r="X4089" s="79">
        <v>30.83</v>
      </c>
      <c r="Y4089" s="79"/>
      <c r="Z4089" s="79">
        <v>30.83</v>
      </c>
      <c r="AA4089" s="255">
        <v>0</v>
      </c>
      <c r="AC4089" s="254"/>
    </row>
    <row r="4090" spans="1:29" ht="12">
      <c r="A4090" s="512" t="s">
        <v>18445</v>
      </c>
      <c r="B4090" s="513" t="s">
        <v>18446</v>
      </c>
      <c r="C4090" s="514"/>
      <c r="D4090" s="78"/>
      <c r="E4090" s="79"/>
      <c r="F4090" s="70"/>
      <c r="G4090" s="320"/>
      <c r="H4090" s="79"/>
      <c r="I4090" s="79"/>
      <c r="J4090" s="79"/>
      <c r="K4090" s="79"/>
      <c r="L4090" s="70"/>
      <c r="M4090" s="132"/>
      <c r="N4090" s="79"/>
      <c r="O4090" s="79"/>
      <c r="P4090" s="79"/>
      <c r="Q4090" s="136"/>
      <c r="R4090" s="79"/>
      <c r="S4090" s="79"/>
      <c r="T4090" s="79"/>
      <c r="U4090" s="79"/>
      <c r="V4090" s="189"/>
      <c r="X4090" s="79"/>
      <c r="Y4090" s="79"/>
      <c r="Z4090" s="79"/>
      <c r="AA4090" s="255"/>
      <c r="AC4090" s="254"/>
    </row>
    <row r="4091" spans="1:29" ht="12">
      <c r="A4091" s="512" t="s">
        <v>18447</v>
      </c>
      <c r="B4091" s="513" t="s">
        <v>18448</v>
      </c>
      <c r="C4091" s="514"/>
      <c r="D4091" s="78"/>
      <c r="E4091" s="79"/>
      <c r="F4091" s="70"/>
      <c r="G4091" s="320"/>
      <c r="H4091" s="79"/>
      <c r="I4091" s="79"/>
      <c r="J4091" s="79"/>
      <c r="K4091" s="79"/>
      <c r="L4091" s="70"/>
      <c r="M4091" s="132"/>
      <c r="N4091" s="79"/>
      <c r="O4091" s="79"/>
      <c r="P4091" s="79"/>
      <c r="Q4091" s="136"/>
      <c r="R4091" s="79"/>
      <c r="S4091" s="79"/>
      <c r="T4091" s="79"/>
      <c r="U4091" s="79"/>
      <c r="V4091" s="189"/>
      <c r="X4091" s="79"/>
      <c r="Y4091" s="79"/>
      <c r="Z4091" s="79"/>
      <c r="AA4091" s="255"/>
      <c r="AC4091" s="254"/>
    </row>
    <row r="4092" spans="1:29" ht="12">
      <c r="A4092" s="512" t="s">
        <v>18449</v>
      </c>
      <c r="B4092" s="513" t="s">
        <v>18450</v>
      </c>
      <c r="C4092" s="514" t="s">
        <v>103</v>
      </c>
      <c r="D4092" s="78">
        <v>1</v>
      </c>
      <c r="E4092" s="79">
        <v>895.11</v>
      </c>
      <c r="F4092" s="70">
        <v>895.11</v>
      </c>
      <c r="G4092" s="320"/>
      <c r="H4092" s="79">
        <v>895.11</v>
      </c>
      <c r="I4092" s="79">
        <v>0</v>
      </c>
      <c r="J4092" s="79">
        <v>895.11</v>
      </c>
      <c r="K4092" s="79"/>
      <c r="L4092" s="70">
        <v>895.11</v>
      </c>
      <c r="M4092" s="132"/>
      <c r="N4092" s="79">
        <v>0</v>
      </c>
      <c r="O4092" s="79"/>
      <c r="P4092" s="79">
        <v>0</v>
      </c>
      <c r="Q4092" s="136"/>
      <c r="R4092" s="79">
        <v>895.11</v>
      </c>
      <c r="S4092" s="79"/>
      <c r="T4092" s="79">
        <v>895.11</v>
      </c>
      <c r="U4092" s="79">
        <v>0</v>
      </c>
      <c r="V4092" s="189">
        <v>895.11</v>
      </c>
      <c r="X4092" s="79">
        <v>895.11</v>
      </c>
      <c r="Y4092" s="79"/>
      <c r="Z4092" s="79">
        <v>895.11</v>
      </c>
      <c r="AA4092" s="255">
        <v>0</v>
      </c>
      <c r="AC4092" s="254"/>
    </row>
    <row r="4093" spans="1:29" ht="20" customHeight="1">
      <c r="A4093" s="701"/>
      <c r="B4093" s="702" t="s">
        <v>18451</v>
      </c>
      <c r="C4093" s="703"/>
      <c r="D4093" s="704"/>
      <c r="E4093" s="705"/>
      <c r="F4093" s="706">
        <v>14500461.17</v>
      </c>
      <c r="H4093" s="136"/>
      <c r="I4093" s="136"/>
      <c r="J4093" s="136"/>
      <c r="K4093" s="136"/>
      <c r="L4093" s="515">
        <v>14500461.17</v>
      </c>
      <c r="M4093" s="320"/>
    </row>
    <row r="4095" spans="1:29">
      <c r="L4095" s="320">
        <v>0</v>
      </c>
      <c r="N4095" s="80" t="s">
        <v>42038</v>
      </c>
    </row>
  </sheetData>
  <mergeCells count="8">
    <mergeCell ref="B6:D6"/>
    <mergeCell ref="H6:L6"/>
    <mergeCell ref="R6:V6"/>
    <mergeCell ref="X6:AA6"/>
    <mergeCell ref="R5:V5"/>
    <mergeCell ref="H5:L5"/>
    <mergeCell ref="N5:P6"/>
    <mergeCell ref="X5:AA5"/>
  </mergeCells>
  <conditionalFormatting sqref="A675">
    <cfRule type="duplicateValues" dxfId="2018" priority="8"/>
    <cfRule type="expression" dxfId="2017" priority="9" stopIfTrue="1">
      <formula>G675&lt;6</formula>
    </cfRule>
  </conditionalFormatting>
  <conditionalFormatting sqref="A1829">
    <cfRule type="expression" dxfId="2016" priority="6" stopIfTrue="1">
      <formula>G1829&lt;6</formula>
    </cfRule>
    <cfRule type="duplicateValues" dxfId="2015" priority="7"/>
  </conditionalFormatting>
  <conditionalFormatting sqref="A35:C35">
    <cfRule type="expression" dxfId="2014" priority="10" stopIfTrue="1">
      <formula>#REF!&lt;6</formula>
    </cfRule>
  </conditionalFormatting>
  <conditionalFormatting sqref="B1829">
    <cfRule type="expression" dxfId="2013" priority="5" stopIfTrue="1">
      <formula>G1829&lt;6</formula>
    </cfRule>
  </conditionalFormatting>
  <conditionalFormatting sqref="C1829">
    <cfRule type="expression" dxfId="2012" priority="4" stopIfTrue="1">
      <formula>G1829&lt;6</formula>
    </cfRule>
  </conditionalFormatting>
  <conditionalFormatting sqref="X3946">
    <cfRule type="expression" dxfId="2011" priority="1" stopIfTrue="1">
      <formula>AA3929&lt;6</formula>
    </cfRule>
  </conditionalFormatting>
  <conditionalFormatting sqref="Y3946">
    <cfRule type="expression" dxfId="2010" priority="2" stopIfTrue="1">
      <formula>AA3929&lt;6</formula>
    </cfRule>
  </conditionalFormatting>
  <conditionalFormatting sqref="Z3946">
    <cfRule type="expression" dxfId="2009" priority="3" stopIfTrue="1">
      <formula>AA3929&lt;6</formula>
    </cfRule>
  </conditionalFormatting>
  <pageMargins left="0.511811024" right="0.511811024" top="0.78740157499999996" bottom="0.78740157499999996" header="0.31496062000000002" footer="0.3149606200000000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dimension ref="A1:H10386"/>
  <sheetViews>
    <sheetView topLeftCell="A7391" zoomScale="115" zoomScaleNormal="115" workbookViewId="0">
      <selection activeCell="A7402" sqref="A7402"/>
    </sheetView>
  </sheetViews>
  <sheetFormatPr baseColWidth="10" defaultColWidth="9.1640625" defaultRowHeight="15"/>
  <cols>
    <col min="1" max="1" width="16.5" style="85" customWidth="1"/>
    <col min="2" max="2" width="49" style="85" customWidth="1"/>
    <col min="3" max="3" width="16.5" style="85" customWidth="1"/>
    <col min="4" max="4" width="16.5" style="84" customWidth="1"/>
    <col min="5" max="12" width="16.5" style="317" customWidth="1"/>
    <col min="13" max="16384" width="9.1640625" style="317"/>
  </cols>
  <sheetData>
    <row r="1" spans="1:4">
      <c r="A1" s="424" t="s">
        <v>40121</v>
      </c>
      <c r="B1"/>
    </row>
    <row r="2" spans="1:4">
      <c r="A2" s="425" t="s">
        <v>40122</v>
      </c>
      <c r="B2"/>
    </row>
    <row r="3" spans="1:4">
      <c r="A3" s="425" t="s">
        <v>40123</v>
      </c>
      <c r="B3" s="651" t="s">
        <v>42112</v>
      </c>
    </row>
    <row r="4" spans="1:4" customFormat="1">
      <c r="A4" s="425" t="s">
        <v>40124</v>
      </c>
      <c r="B4" s="651" t="s">
        <v>42113</v>
      </c>
    </row>
    <row r="5" spans="1:4" customFormat="1">
      <c r="A5" s="426"/>
      <c r="B5" s="85"/>
    </row>
    <row r="6" spans="1:4" customFormat="1">
      <c r="A6" s="426"/>
      <c r="B6" s="85"/>
    </row>
    <row r="7" spans="1:4" customFormat="1">
      <c r="B7" s="85"/>
    </row>
    <row r="8" spans="1:4" ht="28">
      <c r="A8" s="714" t="s">
        <v>40125</v>
      </c>
      <c r="B8" s="714" t="s">
        <v>5</v>
      </c>
      <c r="C8" s="714" t="s">
        <v>39480</v>
      </c>
      <c r="D8" s="714" t="s">
        <v>41599</v>
      </c>
    </row>
    <row r="9" spans="1:4" ht="42">
      <c r="A9" s="715">
        <v>104658</v>
      </c>
      <c r="B9" s="633" t="s">
        <v>29420</v>
      </c>
      <c r="C9" s="715" t="s">
        <v>509</v>
      </c>
      <c r="D9" s="716">
        <v>198.69</v>
      </c>
    </row>
    <row r="10" spans="1:4" ht="56">
      <c r="A10" s="715">
        <v>105002</v>
      </c>
      <c r="B10" s="633" t="s">
        <v>29527</v>
      </c>
      <c r="C10" s="715" t="s">
        <v>103</v>
      </c>
      <c r="D10" s="716">
        <v>811.96</v>
      </c>
    </row>
    <row r="11" spans="1:4" ht="42">
      <c r="A11" s="715">
        <v>105004</v>
      </c>
      <c r="B11" s="633" t="s">
        <v>29529</v>
      </c>
      <c r="C11" s="715" t="s">
        <v>509</v>
      </c>
      <c r="D11" s="716">
        <v>137.77000000000001</v>
      </c>
    </row>
    <row r="12" spans="1:4" ht="56">
      <c r="A12" s="715">
        <v>105003</v>
      </c>
      <c r="B12" s="633" t="s">
        <v>29528</v>
      </c>
      <c r="C12" s="715" t="s">
        <v>103</v>
      </c>
      <c r="D12" s="716">
        <v>1384.25</v>
      </c>
    </row>
    <row r="13" spans="1:4" ht="56">
      <c r="A13" s="715">
        <v>105005</v>
      </c>
      <c r="B13" s="633" t="s">
        <v>29530</v>
      </c>
      <c r="C13" s="715" t="s">
        <v>509</v>
      </c>
      <c r="D13" s="716">
        <v>243.73</v>
      </c>
    </row>
    <row r="14" spans="1:4" ht="56">
      <c r="A14" s="715">
        <v>105006</v>
      </c>
      <c r="B14" s="633" t="s">
        <v>33034</v>
      </c>
      <c r="C14" s="715" t="s">
        <v>103</v>
      </c>
      <c r="D14" s="716">
        <v>0</v>
      </c>
    </row>
    <row r="15" spans="1:4" ht="56">
      <c r="A15" s="715">
        <v>104999</v>
      </c>
      <c r="B15" s="633" t="s">
        <v>33035</v>
      </c>
      <c r="C15" s="715" t="s">
        <v>103</v>
      </c>
      <c r="D15" s="716">
        <v>0</v>
      </c>
    </row>
    <row r="16" spans="1:4" ht="70">
      <c r="A16" s="715">
        <v>105000</v>
      </c>
      <c r="B16" s="633" t="s">
        <v>33036</v>
      </c>
      <c r="C16" s="715" t="s">
        <v>165</v>
      </c>
      <c r="D16" s="716">
        <v>1329.56</v>
      </c>
    </row>
    <row r="17" spans="1:4" ht="70">
      <c r="A17" s="715">
        <v>105001</v>
      </c>
      <c r="B17" s="633" t="s">
        <v>33037</v>
      </c>
      <c r="C17" s="715" t="s">
        <v>165</v>
      </c>
      <c r="D17" s="716">
        <v>1362.16</v>
      </c>
    </row>
    <row r="18" spans="1:4" ht="70">
      <c r="A18" s="715">
        <v>89306</v>
      </c>
      <c r="B18" s="633" t="s">
        <v>26947</v>
      </c>
      <c r="C18" s="715" t="s">
        <v>509</v>
      </c>
      <c r="D18" s="716">
        <v>109.24</v>
      </c>
    </row>
    <row r="19" spans="1:4" ht="56">
      <c r="A19" s="715">
        <v>89307</v>
      </c>
      <c r="B19" s="633" t="s">
        <v>26948</v>
      </c>
      <c r="C19" s="715" t="s">
        <v>509</v>
      </c>
      <c r="D19" s="716">
        <v>112.42</v>
      </c>
    </row>
    <row r="20" spans="1:4" ht="56">
      <c r="A20" s="715">
        <v>89290</v>
      </c>
      <c r="B20" s="633" t="s">
        <v>26943</v>
      </c>
      <c r="C20" s="715" t="s">
        <v>509</v>
      </c>
      <c r="D20" s="716">
        <v>88.85</v>
      </c>
    </row>
    <row r="21" spans="1:4" ht="56">
      <c r="A21" s="715">
        <v>89291</v>
      </c>
      <c r="B21" s="633" t="s">
        <v>26944</v>
      </c>
      <c r="C21" s="715" t="s">
        <v>509</v>
      </c>
      <c r="D21" s="716">
        <v>91.22</v>
      </c>
    </row>
    <row r="22" spans="1:4" ht="70">
      <c r="A22" s="715">
        <v>89298</v>
      </c>
      <c r="B22" s="633" t="s">
        <v>26945</v>
      </c>
      <c r="C22" s="715" t="s">
        <v>509</v>
      </c>
      <c r="D22" s="716">
        <v>92.6</v>
      </c>
    </row>
    <row r="23" spans="1:4" ht="56">
      <c r="A23" s="715">
        <v>89299</v>
      </c>
      <c r="B23" s="633" t="s">
        <v>26946</v>
      </c>
      <c r="C23" s="715" t="s">
        <v>509</v>
      </c>
      <c r="D23" s="716">
        <v>95.44</v>
      </c>
    </row>
    <row r="24" spans="1:4" ht="56">
      <c r="A24" s="715">
        <v>89282</v>
      </c>
      <c r="B24" s="633" t="s">
        <v>26941</v>
      </c>
      <c r="C24" s="715" t="s">
        <v>509</v>
      </c>
      <c r="D24" s="716">
        <v>78.38</v>
      </c>
    </row>
    <row r="25" spans="1:4" ht="56">
      <c r="A25" s="715">
        <v>89283</v>
      </c>
      <c r="B25" s="633" t="s">
        <v>26942</v>
      </c>
      <c r="C25" s="715" t="s">
        <v>509</v>
      </c>
      <c r="D25" s="716">
        <v>80.510000000000005</v>
      </c>
    </row>
    <row r="26" spans="1:4" ht="42">
      <c r="A26" s="715">
        <v>89480</v>
      </c>
      <c r="B26" s="633" t="s">
        <v>26964</v>
      </c>
      <c r="C26" s="715" t="s">
        <v>509</v>
      </c>
      <c r="D26" s="716">
        <v>177.65</v>
      </c>
    </row>
    <row r="27" spans="1:4" ht="42">
      <c r="A27" s="715">
        <v>89464</v>
      </c>
      <c r="B27" s="633" t="s">
        <v>26960</v>
      </c>
      <c r="C27" s="715" t="s">
        <v>509</v>
      </c>
      <c r="D27" s="716">
        <v>152.13</v>
      </c>
    </row>
    <row r="28" spans="1:4" ht="42">
      <c r="A28" s="715">
        <v>89478</v>
      </c>
      <c r="B28" s="633" t="s">
        <v>26963</v>
      </c>
      <c r="C28" s="715" t="s">
        <v>509</v>
      </c>
      <c r="D28" s="716">
        <v>154.1</v>
      </c>
    </row>
    <row r="29" spans="1:4" ht="42">
      <c r="A29" s="715">
        <v>89462</v>
      </c>
      <c r="B29" s="633" t="s">
        <v>26959</v>
      </c>
      <c r="C29" s="715" t="s">
        <v>509</v>
      </c>
      <c r="D29" s="716">
        <v>129.94999999999999</v>
      </c>
    </row>
    <row r="30" spans="1:4" ht="42">
      <c r="A30" s="715">
        <v>104444</v>
      </c>
      <c r="B30" s="633" t="s">
        <v>33038</v>
      </c>
      <c r="C30" s="715" t="s">
        <v>509</v>
      </c>
      <c r="D30" s="716">
        <v>0</v>
      </c>
    </row>
    <row r="31" spans="1:4" ht="42">
      <c r="A31" s="715">
        <v>104442</v>
      </c>
      <c r="B31" s="633" t="s">
        <v>33039</v>
      </c>
      <c r="C31" s="715" t="s">
        <v>509</v>
      </c>
      <c r="D31" s="716">
        <v>0</v>
      </c>
    </row>
    <row r="32" spans="1:4" ht="42">
      <c r="A32" s="715">
        <v>89472</v>
      </c>
      <c r="B32" s="633" t="s">
        <v>26962</v>
      </c>
      <c r="C32" s="715" t="s">
        <v>509</v>
      </c>
      <c r="D32" s="716">
        <v>132.59</v>
      </c>
    </row>
    <row r="33" spans="1:4" ht="42">
      <c r="A33" s="715">
        <v>89455</v>
      </c>
      <c r="B33" s="633" t="s">
        <v>26958</v>
      </c>
      <c r="C33" s="715" t="s">
        <v>509</v>
      </c>
      <c r="D33" s="716">
        <v>116.81</v>
      </c>
    </row>
    <row r="34" spans="1:4" ht="42">
      <c r="A34" s="715">
        <v>89470</v>
      </c>
      <c r="B34" s="633" t="s">
        <v>26961</v>
      </c>
      <c r="C34" s="715" t="s">
        <v>509</v>
      </c>
      <c r="D34" s="716">
        <v>111.38</v>
      </c>
    </row>
    <row r="35" spans="1:4" ht="42">
      <c r="A35" s="715">
        <v>89453</v>
      </c>
      <c r="B35" s="633" t="s">
        <v>26957</v>
      </c>
      <c r="C35" s="715" t="s">
        <v>509</v>
      </c>
      <c r="D35" s="716">
        <v>96.99</v>
      </c>
    </row>
    <row r="36" spans="1:4" ht="42">
      <c r="A36" s="715">
        <v>104443</v>
      </c>
      <c r="B36" s="633" t="s">
        <v>33040</v>
      </c>
      <c r="C36" s="715" t="s">
        <v>509</v>
      </c>
      <c r="D36" s="716">
        <v>0</v>
      </c>
    </row>
    <row r="37" spans="1:4" ht="42">
      <c r="A37" s="715">
        <v>104441</v>
      </c>
      <c r="B37" s="633" t="s">
        <v>33041</v>
      </c>
      <c r="C37" s="715" t="s">
        <v>509</v>
      </c>
      <c r="D37" s="716">
        <v>0</v>
      </c>
    </row>
    <row r="38" spans="1:4" ht="70">
      <c r="A38" s="715">
        <v>103354</v>
      </c>
      <c r="B38" s="633" t="s">
        <v>30236</v>
      </c>
      <c r="C38" s="715" t="s">
        <v>509</v>
      </c>
      <c r="D38" s="716">
        <v>103.81</v>
      </c>
    </row>
    <row r="39" spans="1:4" ht="56">
      <c r="A39" s="715">
        <v>103355</v>
      </c>
      <c r="B39" s="633" t="s">
        <v>30237</v>
      </c>
      <c r="C39" s="715" t="s">
        <v>509</v>
      </c>
      <c r="D39" s="716">
        <v>105.68</v>
      </c>
    </row>
    <row r="40" spans="1:4" ht="70">
      <c r="A40" s="715">
        <v>103330</v>
      </c>
      <c r="B40" s="633" t="s">
        <v>26931</v>
      </c>
      <c r="C40" s="715" t="s">
        <v>509</v>
      </c>
      <c r="D40" s="716">
        <v>95.19</v>
      </c>
    </row>
    <row r="41" spans="1:4" ht="56">
      <c r="A41" s="715">
        <v>103331</v>
      </c>
      <c r="B41" s="633" t="s">
        <v>26932</v>
      </c>
      <c r="C41" s="715" t="s">
        <v>509</v>
      </c>
      <c r="D41" s="716">
        <v>96.95</v>
      </c>
    </row>
    <row r="42" spans="1:4" ht="70">
      <c r="A42" s="715">
        <v>103358</v>
      </c>
      <c r="B42" s="633" t="s">
        <v>30238</v>
      </c>
      <c r="C42" s="715" t="s">
        <v>509</v>
      </c>
      <c r="D42" s="716">
        <v>79.81</v>
      </c>
    </row>
    <row r="43" spans="1:4" ht="56">
      <c r="A43" s="715">
        <v>103359</v>
      </c>
      <c r="B43" s="633" t="s">
        <v>30239</v>
      </c>
      <c r="C43" s="715" t="s">
        <v>509</v>
      </c>
      <c r="D43" s="716">
        <v>81.3</v>
      </c>
    </row>
    <row r="44" spans="1:4" ht="70">
      <c r="A44" s="715">
        <v>103366</v>
      </c>
      <c r="B44" s="633" t="s">
        <v>30246</v>
      </c>
      <c r="C44" s="715" t="s">
        <v>509</v>
      </c>
      <c r="D44" s="716">
        <v>68.650000000000006</v>
      </c>
    </row>
    <row r="45" spans="1:4" ht="56">
      <c r="A45" s="715">
        <v>103367</v>
      </c>
      <c r="B45" s="633" t="s">
        <v>30247</v>
      </c>
      <c r="C45" s="715" t="s">
        <v>509</v>
      </c>
      <c r="D45" s="716">
        <v>70</v>
      </c>
    </row>
    <row r="46" spans="1:4" ht="70">
      <c r="A46" s="715">
        <v>103360</v>
      </c>
      <c r="B46" s="633" t="s">
        <v>30240</v>
      </c>
      <c r="C46" s="715" t="s">
        <v>509</v>
      </c>
      <c r="D46" s="716">
        <v>93.49</v>
      </c>
    </row>
    <row r="47" spans="1:4" ht="56">
      <c r="A47" s="715">
        <v>103361</v>
      </c>
      <c r="B47" s="633" t="s">
        <v>30241</v>
      </c>
      <c r="C47" s="715" t="s">
        <v>509</v>
      </c>
      <c r="D47" s="716">
        <v>95.38</v>
      </c>
    </row>
    <row r="48" spans="1:4" ht="70">
      <c r="A48" s="715">
        <v>103368</v>
      </c>
      <c r="B48" s="633" t="s">
        <v>30248</v>
      </c>
      <c r="C48" s="715" t="s">
        <v>509</v>
      </c>
      <c r="D48" s="716">
        <v>78.069999999999993</v>
      </c>
    </row>
    <row r="49" spans="1:4" ht="56">
      <c r="A49" s="715">
        <v>103369</v>
      </c>
      <c r="B49" s="633" t="s">
        <v>30249</v>
      </c>
      <c r="C49" s="715" t="s">
        <v>509</v>
      </c>
      <c r="D49" s="716">
        <v>79.790000000000006</v>
      </c>
    </row>
    <row r="50" spans="1:4" ht="70">
      <c r="A50" s="715">
        <v>103334</v>
      </c>
      <c r="B50" s="633" t="s">
        <v>26935</v>
      </c>
      <c r="C50" s="715" t="s">
        <v>509</v>
      </c>
      <c r="D50" s="716">
        <v>169.48</v>
      </c>
    </row>
    <row r="51" spans="1:4" ht="70">
      <c r="A51" s="715">
        <v>103335</v>
      </c>
      <c r="B51" s="633" t="s">
        <v>26936</v>
      </c>
      <c r="C51" s="715" t="s">
        <v>509</v>
      </c>
      <c r="D51" s="716">
        <v>172.78</v>
      </c>
    </row>
    <row r="52" spans="1:4" ht="70">
      <c r="A52" s="715">
        <v>103362</v>
      </c>
      <c r="B52" s="633" t="s">
        <v>30242</v>
      </c>
      <c r="C52" s="715" t="s">
        <v>509</v>
      </c>
      <c r="D52" s="716">
        <v>112.58</v>
      </c>
    </row>
    <row r="53" spans="1:4" ht="56">
      <c r="A53" s="715">
        <v>103363</v>
      </c>
      <c r="B53" s="633" t="s">
        <v>30243</v>
      </c>
      <c r="C53" s="715" t="s">
        <v>509</v>
      </c>
      <c r="D53" s="716">
        <v>114.71</v>
      </c>
    </row>
    <row r="54" spans="1:4" ht="70">
      <c r="A54" s="715">
        <v>103370</v>
      </c>
      <c r="B54" s="633" t="s">
        <v>30250</v>
      </c>
      <c r="C54" s="715" t="s">
        <v>509</v>
      </c>
      <c r="D54" s="716">
        <v>97.65</v>
      </c>
    </row>
    <row r="55" spans="1:4" ht="56">
      <c r="A55" s="715">
        <v>103371</v>
      </c>
      <c r="B55" s="633" t="s">
        <v>30251</v>
      </c>
      <c r="C55" s="715" t="s">
        <v>509</v>
      </c>
      <c r="D55" s="716">
        <v>99.58</v>
      </c>
    </row>
    <row r="56" spans="1:4" ht="56">
      <c r="A56" s="715">
        <v>103332</v>
      </c>
      <c r="B56" s="633" t="s">
        <v>26933</v>
      </c>
      <c r="C56" s="715" t="s">
        <v>509</v>
      </c>
      <c r="D56" s="716">
        <v>144.77000000000001</v>
      </c>
    </row>
    <row r="57" spans="1:4" ht="56">
      <c r="A57" s="715">
        <v>103333</v>
      </c>
      <c r="B57" s="633" t="s">
        <v>26934</v>
      </c>
      <c r="C57" s="715" t="s">
        <v>509</v>
      </c>
      <c r="D57" s="716">
        <v>146.66</v>
      </c>
    </row>
    <row r="58" spans="1:4" ht="56">
      <c r="A58" s="715">
        <v>103352</v>
      </c>
      <c r="B58" s="633" t="s">
        <v>30234</v>
      </c>
      <c r="C58" s="715" t="s">
        <v>509</v>
      </c>
      <c r="D58" s="716">
        <v>123.13</v>
      </c>
    </row>
    <row r="59" spans="1:4" ht="56">
      <c r="A59" s="715">
        <v>103353</v>
      </c>
      <c r="B59" s="633" t="s">
        <v>30235</v>
      </c>
      <c r="C59" s="715" t="s">
        <v>509</v>
      </c>
      <c r="D59" s="716">
        <v>124.88</v>
      </c>
    </row>
    <row r="60" spans="1:4" ht="56">
      <c r="A60" s="715">
        <v>103328</v>
      </c>
      <c r="B60" s="633" t="s">
        <v>26929</v>
      </c>
      <c r="C60" s="715" t="s">
        <v>509</v>
      </c>
      <c r="D60" s="716">
        <v>112.29</v>
      </c>
    </row>
    <row r="61" spans="1:4" ht="56">
      <c r="A61" s="715">
        <v>103329</v>
      </c>
      <c r="B61" s="633" t="s">
        <v>26930</v>
      </c>
      <c r="C61" s="715" t="s">
        <v>509</v>
      </c>
      <c r="D61" s="716">
        <v>113.93</v>
      </c>
    </row>
    <row r="62" spans="1:4" ht="56">
      <c r="A62" s="715">
        <v>103356</v>
      </c>
      <c r="B62" s="633" t="s">
        <v>26939</v>
      </c>
      <c r="C62" s="715" t="s">
        <v>509</v>
      </c>
      <c r="D62" s="716">
        <v>69.25</v>
      </c>
    </row>
    <row r="63" spans="1:4" ht="56">
      <c r="A63" s="715">
        <v>103357</v>
      </c>
      <c r="B63" s="633" t="s">
        <v>26940</v>
      </c>
      <c r="C63" s="715" t="s">
        <v>509</v>
      </c>
      <c r="D63" s="716">
        <v>70.63</v>
      </c>
    </row>
    <row r="64" spans="1:4" ht="56">
      <c r="A64" s="715">
        <v>103364</v>
      </c>
      <c r="B64" s="633" t="s">
        <v>30244</v>
      </c>
      <c r="C64" s="715" t="s">
        <v>509</v>
      </c>
      <c r="D64" s="716">
        <v>57.09</v>
      </c>
    </row>
    <row r="65" spans="1:4" ht="56">
      <c r="A65" s="715">
        <v>103365</v>
      </c>
      <c r="B65" s="633" t="s">
        <v>30245</v>
      </c>
      <c r="C65" s="715" t="s">
        <v>509</v>
      </c>
      <c r="D65" s="716">
        <v>58.12</v>
      </c>
    </row>
    <row r="66" spans="1:4" ht="56">
      <c r="A66" s="715">
        <v>103350</v>
      </c>
      <c r="B66" s="633" t="s">
        <v>26937</v>
      </c>
      <c r="C66" s="715" t="s">
        <v>509</v>
      </c>
      <c r="D66" s="716">
        <v>208.57</v>
      </c>
    </row>
    <row r="67" spans="1:4" ht="56">
      <c r="A67" s="715">
        <v>103351</v>
      </c>
      <c r="B67" s="633" t="s">
        <v>26938</v>
      </c>
      <c r="C67" s="715" t="s">
        <v>509</v>
      </c>
      <c r="D67" s="716">
        <v>210.99</v>
      </c>
    </row>
    <row r="68" spans="1:4" ht="70">
      <c r="A68" s="715">
        <v>103344</v>
      </c>
      <c r="B68" s="633" t="s">
        <v>30228</v>
      </c>
      <c r="C68" s="715" t="s">
        <v>509</v>
      </c>
      <c r="D68" s="716">
        <v>92.38</v>
      </c>
    </row>
    <row r="69" spans="1:4" ht="56">
      <c r="A69" s="715">
        <v>103345</v>
      </c>
      <c r="B69" s="633" t="s">
        <v>30229</v>
      </c>
      <c r="C69" s="715" t="s">
        <v>509</v>
      </c>
      <c r="D69" s="716">
        <v>94.58</v>
      </c>
    </row>
    <row r="70" spans="1:4" ht="70">
      <c r="A70" s="715">
        <v>103348</v>
      </c>
      <c r="B70" s="633" t="s">
        <v>30232</v>
      </c>
      <c r="C70" s="715" t="s">
        <v>509</v>
      </c>
      <c r="D70" s="716">
        <v>77.12</v>
      </c>
    </row>
    <row r="71" spans="1:4" ht="56">
      <c r="A71" s="715">
        <v>103349</v>
      </c>
      <c r="B71" s="633" t="s">
        <v>30233</v>
      </c>
      <c r="C71" s="715" t="s">
        <v>509</v>
      </c>
      <c r="D71" s="716">
        <v>79.12</v>
      </c>
    </row>
    <row r="72" spans="1:4" ht="56">
      <c r="A72" s="715">
        <v>103346</v>
      </c>
      <c r="B72" s="633" t="s">
        <v>30230</v>
      </c>
      <c r="C72" s="715" t="s">
        <v>509</v>
      </c>
      <c r="D72" s="716">
        <v>103.48</v>
      </c>
    </row>
    <row r="73" spans="1:4" ht="56">
      <c r="A73" s="715">
        <v>103347</v>
      </c>
      <c r="B73" s="633" t="s">
        <v>30231</v>
      </c>
      <c r="C73" s="715" t="s">
        <v>509</v>
      </c>
      <c r="D73" s="716">
        <v>105.82</v>
      </c>
    </row>
    <row r="74" spans="1:4" ht="56">
      <c r="A74" s="715">
        <v>103324</v>
      </c>
      <c r="B74" s="633" t="s">
        <v>26925</v>
      </c>
      <c r="C74" s="715" t="s">
        <v>509</v>
      </c>
      <c r="D74" s="716">
        <v>87.62</v>
      </c>
    </row>
    <row r="75" spans="1:4" ht="56">
      <c r="A75" s="715">
        <v>103325</v>
      </c>
      <c r="B75" s="633" t="s">
        <v>26926</v>
      </c>
      <c r="C75" s="715" t="s">
        <v>509</v>
      </c>
      <c r="D75" s="716">
        <v>89.75</v>
      </c>
    </row>
    <row r="76" spans="1:4" ht="56">
      <c r="A76" s="715">
        <v>103326</v>
      </c>
      <c r="B76" s="633" t="s">
        <v>26927</v>
      </c>
      <c r="C76" s="715" t="s">
        <v>509</v>
      </c>
      <c r="D76" s="716">
        <v>102.88</v>
      </c>
    </row>
    <row r="77" spans="1:4" ht="56">
      <c r="A77" s="715">
        <v>103327</v>
      </c>
      <c r="B77" s="633" t="s">
        <v>26928</v>
      </c>
      <c r="C77" s="715" t="s">
        <v>509</v>
      </c>
      <c r="D77" s="716">
        <v>105.36</v>
      </c>
    </row>
    <row r="78" spans="1:4" ht="56">
      <c r="A78" s="715">
        <v>103322</v>
      </c>
      <c r="B78" s="633" t="s">
        <v>26923</v>
      </c>
      <c r="C78" s="715" t="s">
        <v>509</v>
      </c>
      <c r="D78" s="716">
        <v>64.89</v>
      </c>
    </row>
    <row r="79" spans="1:4" ht="56">
      <c r="A79" s="715">
        <v>103323</v>
      </c>
      <c r="B79" s="633" t="s">
        <v>26924</v>
      </c>
      <c r="C79" s="715" t="s">
        <v>509</v>
      </c>
      <c r="D79" s="716">
        <v>66.760000000000005</v>
      </c>
    </row>
    <row r="80" spans="1:4" ht="56">
      <c r="A80" s="715">
        <v>103338</v>
      </c>
      <c r="B80" s="633" t="s">
        <v>40126</v>
      </c>
      <c r="C80" s="715" t="s">
        <v>509</v>
      </c>
      <c r="D80" s="716">
        <v>130.26</v>
      </c>
    </row>
    <row r="81" spans="1:4" ht="56">
      <c r="A81" s="715">
        <v>103339</v>
      </c>
      <c r="B81" s="633" t="s">
        <v>40127</v>
      </c>
      <c r="C81" s="715" t="s">
        <v>509</v>
      </c>
      <c r="D81" s="716">
        <v>132.1</v>
      </c>
    </row>
    <row r="82" spans="1:4" ht="56">
      <c r="A82" s="715">
        <v>103340</v>
      </c>
      <c r="B82" s="633" t="s">
        <v>40128</v>
      </c>
      <c r="C82" s="715" t="s">
        <v>509</v>
      </c>
      <c r="D82" s="716">
        <v>156.46</v>
      </c>
    </row>
    <row r="83" spans="1:4" ht="56">
      <c r="A83" s="715">
        <v>103341</v>
      </c>
      <c r="B83" s="633" t="s">
        <v>40129</v>
      </c>
      <c r="C83" s="715" t="s">
        <v>509</v>
      </c>
      <c r="D83" s="716">
        <v>158.77000000000001</v>
      </c>
    </row>
    <row r="84" spans="1:4" ht="56">
      <c r="A84" s="715">
        <v>103336</v>
      </c>
      <c r="B84" s="633" t="s">
        <v>40130</v>
      </c>
      <c r="C84" s="715" t="s">
        <v>509</v>
      </c>
      <c r="D84" s="716">
        <v>98.72</v>
      </c>
    </row>
    <row r="85" spans="1:4" ht="56">
      <c r="A85" s="715">
        <v>103337</v>
      </c>
      <c r="B85" s="633" t="s">
        <v>40131</v>
      </c>
      <c r="C85" s="715" t="s">
        <v>509</v>
      </c>
      <c r="D85" s="716">
        <v>100.29</v>
      </c>
    </row>
    <row r="86" spans="1:4" ht="56">
      <c r="A86" s="715">
        <v>103342</v>
      </c>
      <c r="B86" s="633" t="s">
        <v>40132</v>
      </c>
      <c r="C86" s="715" t="s">
        <v>509</v>
      </c>
      <c r="D86" s="716">
        <v>131.34</v>
      </c>
    </row>
    <row r="87" spans="1:4" ht="56">
      <c r="A87" s="715">
        <v>103343</v>
      </c>
      <c r="B87" s="633" t="s">
        <v>40133</v>
      </c>
      <c r="C87" s="715" t="s">
        <v>509</v>
      </c>
      <c r="D87" s="716">
        <v>133.38</v>
      </c>
    </row>
    <row r="88" spans="1:4" ht="56">
      <c r="A88" s="715">
        <v>103318</v>
      </c>
      <c r="B88" s="633" t="s">
        <v>40134</v>
      </c>
      <c r="C88" s="715" t="s">
        <v>509</v>
      </c>
      <c r="D88" s="716">
        <v>112.81</v>
      </c>
    </row>
    <row r="89" spans="1:4" ht="56">
      <c r="A89" s="715">
        <v>103319</v>
      </c>
      <c r="B89" s="633" t="s">
        <v>26954</v>
      </c>
      <c r="C89" s="715" t="s">
        <v>509</v>
      </c>
      <c r="D89" s="716">
        <v>114.65</v>
      </c>
    </row>
    <row r="90" spans="1:4" ht="56">
      <c r="A90" s="715">
        <v>103320</v>
      </c>
      <c r="B90" s="633" t="s">
        <v>26955</v>
      </c>
      <c r="C90" s="715" t="s">
        <v>509</v>
      </c>
      <c r="D90" s="716">
        <v>134.78</v>
      </c>
    </row>
    <row r="91" spans="1:4" ht="56">
      <c r="A91" s="715">
        <v>103321</v>
      </c>
      <c r="B91" s="633" t="s">
        <v>26956</v>
      </c>
      <c r="C91" s="715" t="s">
        <v>509</v>
      </c>
      <c r="D91" s="716">
        <v>137.09</v>
      </c>
    </row>
    <row r="92" spans="1:4" ht="56">
      <c r="A92" s="715">
        <v>103316</v>
      </c>
      <c r="B92" s="633" t="s">
        <v>26952</v>
      </c>
      <c r="C92" s="715" t="s">
        <v>509</v>
      </c>
      <c r="D92" s="716">
        <v>86.59</v>
      </c>
    </row>
    <row r="93" spans="1:4" ht="56">
      <c r="A93" s="715">
        <v>103317</v>
      </c>
      <c r="B93" s="633" t="s">
        <v>26953</v>
      </c>
      <c r="C93" s="715" t="s">
        <v>509</v>
      </c>
      <c r="D93" s="716">
        <v>88.16</v>
      </c>
    </row>
    <row r="94" spans="1:4" ht="56">
      <c r="A94" s="715">
        <v>101166</v>
      </c>
      <c r="B94" s="633" t="s">
        <v>25607</v>
      </c>
      <c r="C94" s="715" t="s">
        <v>121</v>
      </c>
      <c r="D94" s="716">
        <v>751.41</v>
      </c>
    </row>
    <row r="95" spans="1:4" ht="56">
      <c r="A95" s="715">
        <v>101165</v>
      </c>
      <c r="B95" s="633" t="s">
        <v>25606</v>
      </c>
      <c r="C95" s="715" t="s">
        <v>121</v>
      </c>
      <c r="D95" s="716">
        <v>1126.3800000000001</v>
      </c>
    </row>
    <row r="96" spans="1:4" ht="56">
      <c r="A96" s="715">
        <v>101163</v>
      </c>
      <c r="B96" s="633" t="s">
        <v>26966</v>
      </c>
      <c r="C96" s="715" t="s">
        <v>509</v>
      </c>
      <c r="D96" s="716">
        <v>731.18</v>
      </c>
    </row>
    <row r="97" spans="1:4" ht="56">
      <c r="A97" s="715">
        <v>101164</v>
      </c>
      <c r="B97" s="633" t="s">
        <v>26967</v>
      </c>
      <c r="C97" s="715" t="s">
        <v>509</v>
      </c>
      <c r="D97" s="716">
        <v>741.43</v>
      </c>
    </row>
    <row r="98" spans="1:4" ht="56">
      <c r="A98" s="715">
        <v>101162</v>
      </c>
      <c r="B98" s="633" t="s">
        <v>26951</v>
      </c>
      <c r="C98" s="715" t="s">
        <v>509</v>
      </c>
      <c r="D98" s="716">
        <v>179.82</v>
      </c>
    </row>
    <row r="99" spans="1:4" ht="56">
      <c r="A99" s="715">
        <v>101161</v>
      </c>
      <c r="B99" s="633" t="s">
        <v>26965</v>
      </c>
      <c r="C99" s="715" t="s">
        <v>509</v>
      </c>
      <c r="D99" s="716">
        <v>257.56</v>
      </c>
    </row>
    <row r="100" spans="1:4" ht="42">
      <c r="A100" s="715">
        <v>101160</v>
      </c>
      <c r="B100" s="633" t="s">
        <v>40135</v>
      </c>
      <c r="C100" s="715" t="s">
        <v>509</v>
      </c>
      <c r="D100" s="716">
        <v>0</v>
      </c>
    </row>
    <row r="101" spans="1:4" ht="56">
      <c r="A101" s="715">
        <v>101159</v>
      </c>
      <c r="B101" s="633" t="s">
        <v>26922</v>
      </c>
      <c r="C101" s="715" t="s">
        <v>509</v>
      </c>
      <c r="D101" s="716">
        <v>157.09</v>
      </c>
    </row>
    <row r="102" spans="1:4" ht="56">
      <c r="A102" s="715">
        <v>101154</v>
      </c>
      <c r="B102" s="633" t="s">
        <v>26968</v>
      </c>
      <c r="C102" s="715" t="s">
        <v>509</v>
      </c>
      <c r="D102" s="716">
        <v>154.96</v>
      </c>
    </row>
    <row r="103" spans="1:4" ht="56">
      <c r="A103" s="715">
        <v>101155</v>
      </c>
      <c r="B103" s="633" t="s">
        <v>26969</v>
      </c>
      <c r="C103" s="715" t="s">
        <v>509</v>
      </c>
      <c r="D103" s="716">
        <v>217.99</v>
      </c>
    </row>
    <row r="104" spans="1:4" ht="56">
      <c r="A104" s="715">
        <v>101156</v>
      </c>
      <c r="B104" s="633" t="s">
        <v>26970</v>
      </c>
      <c r="C104" s="715" t="s">
        <v>509</v>
      </c>
      <c r="D104" s="716">
        <v>319.55</v>
      </c>
    </row>
    <row r="105" spans="1:4" ht="28">
      <c r="A105" s="715">
        <v>101158</v>
      </c>
      <c r="B105" s="633" t="s">
        <v>26950</v>
      </c>
      <c r="C105" s="715" t="s">
        <v>509</v>
      </c>
      <c r="D105" s="716">
        <v>86.45</v>
      </c>
    </row>
    <row r="106" spans="1:4" ht="28">
      <c r="A106" s="715">
        <v>101157</v>
      </c>
      <c r="B106" s="633" t="s">
        <v>26949</v>
      </c>
      <c r="C106" s="715" t="s">
        <v>509</v>
      </c>
      <c r="D106" s="716">
        <v>66.900000000000006</v>
      </c>
    </row>
    <row r="107" spans="1:4" ht="56">
      <c r="A107" s="715">
        <v>87382</v>
      </c>
      <c r="B107" s="633" t="s">
        <v>27469</v>
      </c>
      <c r="C107" s="715" t="s">
        <v>121</v>
      </c>
      <c r="D107" s="716">
        <v>1760.03</v>
      </c>
    </row>
    <row r="108" spans="1:4" ht="56">
      <c r="A108" s="715">
        <v>87383</v>
      </c>
      <c r="B108" s="633" t="s">
        <v>27470</v>
      </c>
      <c r="C108" s="715" t="s">
        <v>121</v>
      </c>
      <c r="D108" s="716">
        <v>1743.07</v>
      </c>
    </row>
    <row r="109" spans="1:4" ht="56">
      <c r="A109" s="715">
        <v>87384</v>
      </c>
      <c r="B109" s="633" t="s">
        <v>27471</v>
      </c>
      <c r="C109" s="715" t="s">
        <v>121</v>
      </c>
      <c r="D109" s="716">
        <v>1722.62</v>
      </c>
    </row>
    <row r="110" spans="1:4" ht="42">
      <c r="A110" s="715">
        <v>87398</v>
      </c>
      <c r="B110" s="633" t="s">
        <v>27484</v>
      </c>
      <c r="C110" s="715" t="s">
        <v>121</v>
      </c>
      <c r="D110" s="716">
        <v>2035.09</v>
      </c>
    </row>
    <row r="111" spans="1:4" ht="42">
      <c r="A111" s="715">
        <v>87395</v>
      </c>
      <c r="B111" s="633" t="s">
        <v>27481</v>
      </c>
      <c r="C111" s="715" t="s">
        <v>121</v>
      </c>
      <c r="D111" s="716">
        <v>3394.81</v>
      </c>
    </row>
    <row r="112" spans="1:4" ht="42">
      <c r="A112" s="715">
        <v>87396</v>
      </c>
      <c r="B112" s="633" t="s">
        <v>27482</v>
      </c>
      <c r="C112" s="715" t="s">
        <v>121</v>
      </c>
      <c r="D112" s="716">
        <v>3399.78</v>
      </c>
    </row>
    <row r="113" spans="1:4" ht="42">
      <c r="A113" s="715">
        <v>87397</v>
      </c>
      <c r="B113" s="633" t="s">
        <v>27483</v>
      </c>
      <c r="C113" s="715" t="s">
        <v>121</v>
      </c>
      <c r="D113" s="716">
        <v>3406.6</v>
      </c>
    </row>
    <row r="114" spans="1:4" ht="28">
      <c r="A114" s="715">
        <v>87402</v>
      </c>
      <c r="B114" s="633" t="s">
        <v>27487</v>
      </c>
      <c r="C114" s="715" t="s">
        <v>121</v>
      </c>
      <c r="D114" s="716">
        <v>3741.66</v>
      </c>
    </row>
    <row r="115" spans="1:4" ht="42">
      <c r="A115" s="715">
        <v>87391</v>
      </c>
      <c r="B115" s="633" t="s">
        <v>27478</v>
      </c>
      <c r="C115" s="715" t="s">
        <v>121</v>
      </c>
      <c r="D115" s="716">
        <v>5349.78</v>
      </c>
    </row>
    <row r="116" spans="1:4" ht="42">
      <c r="A116" s="715">
        <v>87393</v>
      </c>
      <c r="B116" s="633" t="s">
        <v>27479</v>
      </c>
      <c r="C116" s="715" t="s">
        <v>121</v>
      </c>
      <c r="D116" s="716">
        <v>5381.01</v>
      </c>
    </row>
    <row r="117" spans="1:4" ht="42">
      <c r="A117" s="715">
        <v>87394</v>
      </c>
      <c r="B117" s="633" t="s">
        <v>27480</v>
      </c>
      <c r="C117" s="715" t="s">
        <v>121</v>
      </c>
      <c r="D117" s="716">
        <v>5412.91</v>
      </c>
    </row>
    <row r="118" spans="1:4" ht="28">
      <c r="A118" s="715">
        <v>87401</v>
      </c>
      <c r="B118" s="633" t="s">
        <v>27486</v>
      </c>
      <c r="C118" s="715" t="s">
        <v>121</v>
      </c>
      <c r="D118" s="716">
        <v>5736.66</v>
      </c>
    </row>
    <row r="119" spans="1:4" ht="42">
      <c r="A119" s="715">
        <v>87407</v>
      </c>
      <c r="B119" s="633" t="s">
        <v>27489</v>
      </c>
      <c r="C119" s="715" t="s">
        <v>121</v>
      </c>
      <c r="D119" s="716">
        <v>1794.04</v>
      </c>
    </row>
    <row r="120" spans="1:4" ht="42">
      <c r="A120" s="715">
        <v>87408</v>
      </c>
      <c r="B120" s="633" t="s">
        <v>29488</v>
      </c>
      <c r="C120" s="715" t="s">
        <v>121</v>
      </c>
      <c r="D120" s="716">
        <v>1767.6</v>
      </c>
    </row>
    <row r="121" spans="1:4" ht="42">
      <c r="A121" s="715">
        <v>87404</v>
      </c>
      <c r="B121" s="633" t="s">
        <v>27488</v>
      </c>
      <c r="C121" s="715" t="s">
        <v>121</v>
      </c>
      <c r="D121" s="716">
        <v>5014.24</v>
      </c>
    </row>
    <row r="122" spans="1:4" ht="42">
      <c r="A122" s="715">
        <v>87405</v>
      </c>
      <c r="B122" s="633" t="s">
        <v>29487</v>
      </c>
      <c r="C122" s="715" t="s">
        <v>121</v>
      </c>
      <c r="D122" s="716">
        <v>5003.7299999999996</v>
      </c>
    </row>
    <row r="123" spans="1:4" ht="56">
      <c r="A123" s="715">
        <v>87388</v>
      </c>
      <c r="B123" s="633" t="s">
        <v>27475</v>
      </c>
      <c r="C123" s="715" t="s">
        <v>121</v>
      </c>
      <c r="D123" s="716">
        <v>4799.59</v>
      </c>
    </row>
    <row r="124" spans="1:4" ht="56">
      <c r="A124" s="715">
        <v>87389</v>
      </c>
      <c r="B124" s="633" t="s">
        <v>27476</v>
      </c>
      <c r="C124" s="715" t="s">
        <v>121</v>
      </c>
      <c r="D124" s="716">
        <v>4803.42</v>
      </c>
    </row>
    <row r="125" spans="1:4" ht="56">
      <c r="A125" s="715">
        <v>87390</v>
      </c>
      <c r="B125" s="633" t="s">
        <v>27477</v>
      </c>
      <c r="C125" s="715" t="s">
        <v>121</v>
      </c>
      <c r="D125" s="716">
        <v>4814.75</v>
      </c>
    </row>
    <row r="126" spans="1:4" ht="42">
      <c r="A126" s="715">
        <v>87385</v>
      </c>
      <c r="B126" s="633" t="s">
        <v>27472</v>
      </c>
      <c r="C126" s="715" t="s">
        <v>121</v>
      </c>
      <c r="D126" s="716">
        <v>2060.4699999999998</v>
      </c>
    </row>
    <row r="127" spans="1:4" ht="42">
      <c r="A127" s="715">
        <v>87386</v>
      </c>
      <c r="B127" s="633" t="s">
        <v>27473</v>
      </c>
      <c r="C127" s="715" t="s">
        <v>121</v>
      </c>
      <c r="D127" s="716">
        <v>2034.2</v>
      </c>
    </row>
    <row r="128" spans="1:4" ht="42">
      <c r="A128" s="715">
        <v>87387</v>
      </c>
      <c r="B128" s="633" t="s">
        <v>27474</v>
      </c>
      <c r="C128" s="715" t="s">
        <v>121</v>
      </c>
      <c r="D128" s="716">
        <v>2014.79</v>
      </c>
    </row>
    <row r="129" spans="1:4" ht="28">
      <c r="A129" s="715">
        <v>87399</v>
      </c>
      <c r="B129" s="633" t="s">
        <v>27485</v>
      </c>
      <c r="C129" s="715" t="s">
        <v>121</v>
      </c>
      <c r="D129" s="716">
        <v>2337.27</v>
      </c>
    </row>
    <row r="130" spans="1:4" ht="56">
      <c r="A130" s="715">
        <v>88627</v>
      </c>
      <c r="B130" s="633" t="s">
        <v>27492</v>
      </c>
      <c r="C130" s="715" t="s">
        <v>121</v>
      </c>
      <c r="D130" s="716">
        <v>692.7</v>
      </c>
    </row>
    <row r="131" spans="1:4" ht="42">
      <c r="A131" s="715">
        <v>100463</v>
      </c>
      <c r="B131" s="633" t="s">
        <v>40136</v>
      </c>
      <c r="C131" s="715" t="s">
        <v>121</v>
      </c>
      <c r="D131" s="716">
        <v>0</v>
      </c>
    </row>
    <row r="132" spans="1:4" ht="42">
      <c r="A132" s="715">
        <v>88626</v>
      </c>
      <c r="B132" s="633" t="s">
        <v>27491</v>
      </c>
      <c r="C132" s="715" t="s">
        <v>121</v>
      </c>
      <c r="D132" s="716">
        <v>555.55999999999995</v>
      </c>
    </row>
    <row r="133" spans="1:4" ht="42">
      <c r="A133" s="715">
        <v>100488</v>
      </c>
      <c r="B133" s="633" t="s">
        <v>27514</v>
      </c>
      <c r="C133" s="715" t="s">
        <v>121</v>
      </c>
      <c r="D133" s="716">
        <v>537.25</v>
      </c>
    </row>
    <row r="134" spans="1:4" ht="56">
      <c r="A134" s="715">
        <v>100464</v>
      </c>
      <c r="B134" s="633" t="s">
        <v>40137</v>
      </c>
      <c r="C134" s="715" t="s">
        <v>121</v>
      </c>
      <c r="D134" s="716">
        <v>599.55999999999995</v>
      </c>
    </row>
    <row r="135" spans="1:4" ht="56">
      <c r="A135" s="715">
        <v>100465</v>
      </c>
      <c r="B135" s="633" t="s">
        <v>40138</v>
      </c>
      <c r="C135" s="715" t="s">
        <v>121</v>
      </c>
      <c r="D135" s="716">
        <v>539.04</v>
      </c>
    </row>
    <row r="136" spans="1:4" ht="56">
      <c r="A136" s="715">
        <v>100466</v>
      </c>
      <c r="B136" s="633" t="s">
        <v>40139</v>
      </c>
      <c r="C136" s="715" t="s">
        <v>121</v>
      </c>
      <c r="D136" s="716">
        <v>507.54</v>
      </c>
    </row>
    <row r="137" spans="1:4" ht="70">
      <c r="A137" s="715">
        <v>87368</v>
      </c>
      <c r="B137" s="633" t="s">
        <v>27455</v>
      </c>
      <c r="C137" s="715" t="s">
        <v>121</v>
      </c>
      <c r="D137" s="716">
        <v>747.9</v>
      </c>
    </row>
    <row r="138" spans="1:4" ht="70">
      <c r="A138" s="715">
        <v>100450</v>
      </c>
      <c r="B138" s="633" t="s">
        <v>33042</v>
      </c>
      <c r="C138" s="715" t="s">
        <v>121</v>
      </c>
      <c r="D138" s="716">
        <v>0</v>
      </c>
    </row>
    <row r="139" spans="1:4" ht="70">
      <c r="A139" s="715">
        <v>87289</v>
      </c>
      <c r="B139" s="633" t="s">
        <v>27388</v>
      </c>
      <c r="C139" s="715" t="s">
        <v>121</v>
      </c>
      <c r="D139" s="716">
        <v>573.34</v>
      </c>
    </row>
    <row r="140" spans="1:4" ht="70">
      <c r="A140" s="715">
        <v>87290</v>
      </c>
      <c r="B140" s="633" t="s">
        <v>27389</v>
      </c>
      <c r="C140" s="715" t="s">
        <v>121</v>
      </c>
      <c r="D140" s="716">
        <v>553.20000000000005</v>
      </c>
    </row>
    <row r="141" spans="1:4" ht="84">
      <c r="A141" s="715">
        <v>87333</v>
      </c>
      <c r="B141" s="633" t="s">
        <v>27420</v>
      </c>
      <c r="C141" s="715" t="s">
        <v>121</v>
      </c>
      <c r="D141" s="716">
        <v>584.75</v>
      </c>
    </row>
    <row r="142" spans="1:4" ht="84">
      <c r="A142" s="715">
        <v>87334</v>
      </c>
      <c r="B142" s="633" t="s">
        <v>27421</v>
      </c>
      <c r="C142" s="715" t="s">
        <v>121</v>
      </c>
      <c r="D142" s="716">
        <v>525.38</v>
      </c>
    </row>
    <row r="143" spans="1:4" ht="56">
      <c r="A143" s="715">
        <v>105515</v>
      </c>
      <c r="B143" s="633" t="s">
        <v>29979</v>
      </c>
      <c r="C143" s="715" t="s">
        <v>121</v>
      </c>
      <c r="D143" s="716">
        <v>851.84</v>
      </c>
    </row>
    <row r="144" spans="1:4" ht="56">
      <c r="A144" s="715">
        <v>87367</v>
      </c>
      <c r="B144" s="633" t="s">
        <v>27454</v>
      </c>
      <c r="C144" s="715" t="s">
        <v>121</v>
      </c>
      <c r="D144" s="716">
        <v>759.66</v>
      </c>
    </row>
    <row r="145" spans="1:4" ht="70">
      <c r="A145" s="715">
        <v>100449</v>
      </c>
      <c r="B145" s="633" t="s">
        <v>33043</v>
      </c>
      <c r="C145" s="715" t="s">
        <v>121</v>
      </c>
      <c r="D145" s="716">
        <v>0</v>
      </c>
    </row>
    <row r="146" spans="1:4" ht="70">
      <c r="A146" s="715">
        <v>87286</v>
      </c>
      <c r="B146" s="633" t="s">
        <v>27386</v>
      </c>
      <c r="C146" s="715" t="s">
        <v>121</v>
      </c>
      <c r="D146" s="716">
        <v>594.23</v>
      </c>
    </row>
    <row r="147" spans="1:4" ht="70">
      <c r="A147" s="715">
        <v>87287</v>
      </c>
      <c r="B147" s="633" t="s">
        <v>27387</v>
      </c>
      <c r="C147" s="715" t="s">
        <v>121</v>
      </c>
      <c r="D147" s="716">
        <v>558.35</v>
      </c>
    </row>
    <row r="148" spans="1:4" ht="70">
      <c r="A148" s="715">
        <v>87331</v>
      </c>
      <c r="B148" s="633" t="s">
        <v>27418</v>
      </c>
      <c r="C148" s="715" t="s">
        <v>121</v>
      </c>
      <c r="D148" s="716">
        <v>629.51</v>
      </c>
    </row>
    <row r="149" spans="1:4" ht="70">
      <c r="A149" s="715">
        <v>87332</v>
      </c>
      <c r="B149" s="633" t="s">
        <v>27419</v>
      </c>
      <c r="C149" s="715" t="s">
        <v>121</v>
      </c>
      <c r="D149" s="716">
        <v>532.80999999999995</v>
      </c>
    </row>
    <row r="150" spans="1:4" ht="56">
      <c r="A150" s="715">
        <v>87369</v>
      </c>
      <c r="B150" s="633" t="s">
        <v>27456</v>
      </c>
      <c r="C150" s="715" t="s">
        <v>121</v>
      </c>
      <c r="D150" s="716">
        <v>762.15</v>
      </c>
    </row>
    <row r="151" spans="1:4" ht="70">
      <c r="A151" s="715">
        <v>100451</v>
      </c>
      <c r="B151" s="633" t="s">
        <v>33044</v>
      </c>
      <c r="C151" s="715" t="s">
        <v>121</v>
      </c>
      <c r="D151" s="716">
        <v>0</v>
      </c>
    </row>
    <row r="152" spans="1:4" ht="70">
      <c r="A152" s="715">
        <v>87292</v>
      </c>
      <c r="B152" s="633" t="s">
        <v>27390</v>
      </c>
      <c r="C152" s="715" t="s">
        <v>121</v>
      </c>
      <c r="D152" s="716">
        <v>581.94000000000005</v>
      </c>
    </row>
    <row r="153" spans="1:4" ht="70">
      <c r="A153" s="715">
        <v>87335</v>
      </c>
      <c r="B153" s="633" t="s">
        <v>27422</v>
      </c>
      <c r="C153" s="715" t="s">
        <v>121</v>
      </c>
      <c r="D153" s="716">
        <v>572.46</v>
      </c>
    </row>
    <row r="154" spans="1:4" ht="70">
      <c r="A154" s="715">
        <v>87336</v>
      </c>
      <c r="B154" s="633" t="s">
        <v>27423</v>
      </c>
      <c r="C154" s="715" t="s">
        <v>121</v>
      </c>
      <c r="D154" s="716">
        <v>541.23</v>
      </c>
    </row>
    <row r="155" spans="1:4" ht="56">
      <c r="A155" s="715">
        <v>87370</v>
      </c>
      <c r="B155" s="633" t="s">
        <v>27457</v>
      </c>
      <c r="C155" s="715" t="s">
        <v>121</v>
      </c>
      <c r="D155" s="716">
        <v>739.17</v>
      </c>
    </row>
    <row r="156" spans="1:4" ht="70">
      <c r="A156" s="715">
        <v>100452</v>
      </c>
      <c r="B156" s="633" t="s">
        <v>33045</v>
      </c>
      <c r="C156" s="715" t="s">
        <v>121</v>
      </c>
      <c r="D156" s="716">
        <v>0</v>
      </c>
    </row>
    <row r="157" spans="1:4" ht="70">
      <c r="A157" s="715">
        <v>88715</v>
      </c>
      <c r="B157" s="633" t="s">
        <v>27496</v>
      </c>
      <c r="C157" s="715" t="s">
        <v>121</v>
      </c>
      <c r="D157" s="716">
        <v>548.62</v>
      </c>
    </row>
    <row r="158" spans="1:4" ht="70">
      <c r="A158" s="715">
        <v>87294</v>
      </c>
      <c r="B158" s="633" t="s">
        <v>27391</v>
      </c>
      <c r="C158" s="715" t="s">
        <v>121</v>
      </c>
      <c r="D158" s="716">
        <v>554.64</v>
      </c>
    </row>
    <row r="159" spans="1:4" ht="70">
      <c r="A159" s="715">
        <v>87337</v>
      </c>
      <c r="B159" s="633" t="s">
        <v>27424</v>
      </c>
      <c r="C159" s="715" t="s">
        <v>121</v>
      </c>
      <c r="D159" s="716">
        <v>565.14</v>
      </c>
    </row>
    <row r="160" spans="1:4" ht="70">
      <c r="A160" s="715">
        <v>100487</v>
      </c>
      <c r="B160" s="633" t="s">
        <v>27513</v>
      </c>
      <c r="C160" s="715" t="s">
        <v>121</v>
      </c>
      <c r="D160" s="716">
        <v>512.09</v>
      </c>
    </row>
    <row r="161" spans="1:4" ht="56">
      <c r="A161" s="715">
        <v>87380</v>
      </c>
      <c r="B161" s="633" t="s">
        <v>27467</v>
      </c>
      <c r="C161" s="715" t="s">
        <v>121</v>
      </c>
      <c r="D161" s="716">
        <v>3364.75</v>
      </c>
    </row>
    <row r="162" spans="1:4" ht="56">
      <c r="A162" s="715">
        <v>100461</v>
      </c>
      <c r="B162" s="633" t="s">
        <v>33046</v>
      </c>
      <c r="C162" s="715" t="s">
        <v>121</v>
      </c>
      <c r="D162" s="716">
        <v>0</v>
      </c>
    </row>
    <row r="163" spans="1:4" ht="56">
      <c r="A163" s="715">
        <v>87322</v>
      </c>
      <c r="B163" s="633" t="s">
        <v>27410</v>
      </c>
      <c r="C163" s="715" t="s">
        <v>121</v>
      </c>
      <c r="D163" s="716">
        <v>3218.15</v>
      </c>
    </row>
    <row r="164" spans="1:4" ht="56">
      <c r="A164" s="715">
        <v>87323</v>
      </c>
      <c r="B164" s="633" t="s">
        <v>27411</v>
      </c>
      <c r="C164" s="715" t="s">
        <v>121</v>
      </c>
      <c r="D164" s="716">
        <v>3201.57</v>
      </c>
    </row>
    <row r="165" spans="1:4" ht="70">
      <c r="A165" s="715">
        <v>87360</v>
      </c>
      <c r="B165" s="633" t="s">
        <v>27447</v>
      </c>
      <c r="C165" s="715" t="s">
        <v>121</v>
      </c>
      <c r="D165" s="716">
        <v>3217.55</v>
      </c>
    </row>
    <row r="166" spans="1:4" ht="70">
      <c r="A166" s="715">
        <v>87361</v>
      </c>
      <c r="B166" s="633" t="s">
        <v>27448</v>
      </c>
      <c r="C166" s="715" t="s">
        <v>121</v>
      </c>
      <c r="D166" s="716">
        <v>3137.71</v>
      </c>
    </row>
    <row r="167" spans="1:4" ht="70">
      <c r="A167" s="715">
        <v>87362</v>
      </c>
      <c r="B167" s="633" t="s">
        <v>27449</v>
      </c>
      <c r="C167" s="715" t="s">
        <v>121</v>
      </c>
      <c r="D167" s="716">
        <v>3118.92</v>
      </c>
    </row>
    <row r="168" spans="1:4" ht="42">
      <c r="A168" s="715">
        <v>87377</v>
      </c>
      <c r="B168" s="633" t="s">
        <v>27464</v>
      </c>
      <c r="C168" s="715" t="s">
        <v>121</v>
      </c>
      <c r="D168" s="716">
        <v>725.5</v>
      </c>
    </row>
    <row r="169" spans="1:4" ht="56">
      <c r="A169" s="715">
        <v>100458</v>
      </c>
      <c r="B169" s="633" t="s">
        <v>33047</v>
      </c>
      <c r="C169" s="715" t="s">
        <v>121</v>
      </c>
      <c r="D169" s="716">
        <v>0</v>
      </c>
    </row>
    <row r="170" spans="1:4" ht="56">
      <c r="A170" s="715">
        <v>87313</v>
      </c>
      <c r="B170" s="633" t="s">
        <v>27404</v>
      </c>
      <c r="C170" s="715" t="s">
        <v>121</v>
      </c>
      <c r="D170" s="716">
        <v>537.85</v>
      </c>
    </row>
    <row r="171" spans="1:4" ht="56">
      <c r="A171" s="715">
        <v>87314</v>
      </c>
      <c r="B171" s="633" t="s">
        <v>27405</v>
      </c>
      <c r="C171" s="715" t="s">
        <v>121</v>
      </c>
      <c r="D171" s="716">
        <v>520.21</v>
      </c>
    </row>
    <row r="172" spans="1:4" ht="70">
      <c r="A172" s="715">
        <v>87352</v>
      </c>
      <c r="B172" s="633" t="s">
        <v>27439</v>
      </c>
      <c r="C172" s="715" t="s">
        <v>121</v>
      </c>
      <c r="D172" s="716">
        <v>666.27</v>
      </c>
    </row>
    <row r="173" spans="1:4" ht="70">
      <c r="A173" s="715">
        <v>87353</v>
      </c>
      <c r="B173" s="633" t="s">
        <v>27440</v>
      </c>
      <c r="C173" s="715" t="s">
        <v>121</v>
      </c>
      <c r="D173" s="716">
        <v>548.55999999999995</v>
      </c>
    </row>
    <row r="174" spans="1:4" ht="70">
      <c r="A174" s="715">
        <v>87354</v>
      </c>
      <c r="B174" s="633" t="s">
        <v>27441</v>
      </c>
      <c r="C174" s="715" t="s">
        <v>121</v>
      </c>
      <c r="D174" s="716">
        <v>492.6</v>
      </c>
    </row>
    <row r="175" spans="1:4" ht="42">
      <c r="A175" s="715">
        <v>100480</v>
      </c>
      <c r="B175" s="633" t="s">
        <v>27507</v>
      </c>
      <c r="C175" s="715" t="s">
        <v>121</v>
      </c>
      <c r="D175" s="716">
        <v>852.73</v>
      </c>
    </row>
    <row r="176" spans="1:4" ht="56">
      <c r="A176" s="715">
        <v>100476</v>
      </c>
      <c r="B176" s="633" t="s">
        <v>33048</v>
      </c>
      <c r="C176" s="715" t="s">
        <v>121</v>
      </c>
      <c r="D176" s="716">
        <v>0</v>
      </c>
    </row>
    <row r="177" spans="1:4" ht="56">
      <c r="A177" s="715">
        <v>100475</v>
      </c>
      <c r="B177" s="633" t="s">
        <v>27503</v>
      </c>
      <c r="C177" s="715" t="s">
        <v>121</v>
      </c>
      <c r="D177" s="716">
        <v>708.64</v>
      </c>
    </row>
    <row r="178" spans="1:4" ht="56">
      <c r="A178" s="715">
        <v>100491</v>
      </c>
      <c r="B178" s="633" t="s">
        <v>27517</v>
      </c>
      <c r="C178" s="715" t="s">
        <v>121</v>
      </c>
      <c r="D178" s="716">
        <v>703.33</v>
      </c>
    </row>
    <row r="179" spans="1:4" ht="70">
      <c r="A179" s="715">
        <v>100477</v>
      </c>
      <c r="B179" s="633" t="s">
        <v>27504</v>
      </c>
      <c r="C179" s="715" t="s">
        <v>121</v>
      </c>
      <c r="D179" s="716">
        <v>812.88</v>
      </c>
    </row>
    <row r="180" spans="1:4" ht="70">
      <c r="A180" s="715">
        <v>100478</v>
      </c>
      <c r="B180" s="633" t="s">
        <v>27505</v>
      </c>
      <c r="C180" s="715" t="s">
        <v>121</v>
      </c>
      <c r="D180" s="716">
        <v>694.14</v>
      </c>
    </row>
    <row r="181" spans="1:4" ht="70">
      <c r="A181" s="715">
        <v>100479</v>
      </c>
      <c r="B181" s="633" t="s">
        <v>27506</v>
      </c>
      <c r="C181" s="715" t="s">
        <v>121</v>
      </c>
      <c r="D181" s="716">
        <v>666.79</v>
      </c>
    </row>
    <row r="182" spans="1:4" ht="42">
      <c r="A182" s="715">
        <v>87372</v>
      </c>
      <c r="B182" s="633" t="s">
        <v>27459</v>
      </c>
      <c r="C182" s="715" t="s">
        <v>121</v>
      </c>
      <c r="D182" s="716">
        <v>871.12</v>
      </c>
    </row>
    <row r="183" spans="1:4" ht="42">
      <c r="A183" s="715">
        <v>100453</v>
      </c>
      <c r="B183" s="633" t="s">
        <v>33049</v>
      </c>
      <c r="C183" s="715" t="s">
        <v>121</v>
      </c>
      <c r="D183" s="716">
        <v>0</v>
      </c>
    </row>
    <row r="184" spans="1:4" ht="42">
      <c r="A184" s="715">
        <v>87298</v>
      </c>
      <c r="B184" s="633" t="s">
        <v>27394</v>
      </c>
      <c r="C184" s="715" t="s">
        <v>121</v>
      </c>
      <c r="D184" s="716">
        <v>672.62</v>
      </c>
    </row>
    <row r="185" spans="1:4" ht="42">
      <c r="A185" s="715">
        <v>87299</v>
      </c>
      <c r="B185" s="633" t="s">
        <v>27395</v>
      </c>
      <c r="C185" s="715" t="s">
        <v>121</v>
      </c>
      <c r="D185" s="716">
        <v>453.78</v>
      </c>
    </row>
    <row r="186" spans="1:4" ht="56">
      <c r="A186" s="715">
        <v>87339</v>
      </c>
      <c r="B186" s="633" t="s">
        <v>27426</v>
      </c>
      <c r="C186" s="715" t="s">
        <v>121</v>
      </c>
      <c r="D186" s="716">
        <v>868.29</v>
      </c>
    </row>
    <row r="187" spans="1:4" ht="56">
      <c r="A187" s="715">
        <v>87340</v>
      </c>
      <c r="B187" s="633" t="s">
        <v>27427</v>
      </c>
      <c r="C187" s="715" t="s">
        <v>121</v>
      </c>
      <c r="D187" s="716">
        <v>676.33</v>
      </c>
    </row>
    <row r="188" spans="1:4" ht="56">
      <c r="A188" s="715">
        <v>87341</v>
      </c>
      <c r="B188" s="633" t="s">
        <v>27428</v>
      </c>
      <c r="C188" s="715" t="s">
        <v>121</v>
      </c>
      <c r="D188" s="716">
        <v>626.34</v>
      </c>
    </row>
    <row r="189" spans="1:4" ht="28">
      <c r="A189" s="715">
        <v>88629</v>
      </c>
      <c r="B189" s="633" t="s">
        <v>27494</v>
      </c>
      <c r="C189" s="715" t="s">
        <v>121</v>
      </c>
      <c r="D189" s="716">
        <v>702.52</v>
      </c>
    </row>
    <row r="190" spans="1:4" ht="42">
      <c r="A190" s="715">
        <v>100467</v>
      </c>
      <c r="B190" s="633" t="s">
        <v>40140</v>
      </c>
      <c r="C190" s="715" t="s">
        <v>121</v>
      </c>
      <c r="D190" s="716">
        <v>0</v>
      </c>
    </row>
    <row r="191" spans="1:4" ht="42">
      <c r="A191" s="715">
        <v>88628</v>
      </c>
      <c r="B191" s="633" t="s">
        <v>27493</v>
      </c>
      <c r="C191" s="715" t="s">
        <v>121</v>
      </c>
      <c r="D191" s="716">
        <v>556.39</v>
      </c>
    </row>
    <row r="192" spans="1:4" ht="42">
      <c r="A192" s="715">
        <v>100489</v>
      </c>
      <c r="B192" s="633" t="s">
        <v>27515</v>
      </c>
      <c r="C192" s="715" t="s">
        <v>121</v>
      </c>
      <c r="D192" s="716">
        <v>549.79999999999995</v>
      </c>
    </row>
    <row r="193" spans="1:4" ht="56">
      <c r="A193" s="715">
        <v>100468</v>
      </c>
      <c r="B193" s="633" t="s">
        <v>27497</v>
      </c>
      <c r="C193" s="715" t="s">
        <v>121</v>
      </c>
      <c r="D193" s="716">
        <v>714.99</v>
      </c>
    </row>
    <row r="194" spans="1:4" ht="56">
      <c r="A194" s="715">
        <v>100469</v>
      </c>
      <c r="B194" s="633" t="s">
        <v>27498</v>
      </c>
      <c r="C194" s="715" t="s">
        <v>121</v>
      </c>
      <c r="D194" s="716">
        <v>545.37</v>
      </c>
    </row>
    <row r="195" spans="1:4" ht="56">
      <c r="A195" s="715">
        <v>100470</v>
      </c>
      <c r="B195" s="633" t="s">
        <v>27499</v>
      </c>
      <c r="C195" s="715" t="s">
        <v>121</v>
      </c>
      <c r="D195" s="716">
        <v>497.29</v>
      </c>
    </row>
    <row r="196" spans="1:4" ht="56">
      <c r="A196" s="715">
        <v>87371</v>
      </c>
      <c r="B196" s="633" t="s">
        <v>27458</v>
      </c>
      <c r="C196" s="715" t="s">
        <v>121</v>
      </c>
      <c r="D196" s="716">
        <v>725.62</v>
      </c>
    </row>
    <row r="197" spans="1:4" ht="70">
      <c r="A197" s="715">
        <v>87295</v>
      </c>
      <c r="B197" s="633" t="s">
        <v>27392</v>
      </c>
      <c r="C197" s="715" t="s">
        <v>121</v>
      </c>
      <c r="D197" s="716">
        <v>584.61</v>
      </c>
    </row>
    <row r="198" spans="1:4" ht="70">
      <c r="A198" s="715">
        <v>87296</v>
      </c>
      <c r="B198" s="633" t="s">
        <v>27393</v>
      </c>
      <c r="C198" s="715" t="s">
        <v>121</v>
      </c>
      <c r="D198" s="716">
        <v>534.71</v>
      </c>
    </row>
    <row r="199" spans="1:4" ht="70">
      <c r="A199" s="715">
        <v>87338</v>
      </c>
      <c r="B199" s="633" t="s">
        <v>27425</v>
      </c>
      <c r="C199" s="715" t="s">
        <v>121</v>
      </c>
      <c r="D199" s="716">
        <v>538.91999999999996</v>
      </c>
    </row>
    <row r="200" spans="1:4" ht="42">
      <c r="A200" s="715">
        <v>88630</v>
      </c>
      <c r="B200" s="633" t="s">
        <v>29489</v>
      </c>
      <c r="C200" s="715" t="s">
        <v>121</v>
      </c>
      <c r="D200" s="716">
        <v>478.94</v>
      </c>
    </row>
    <row r="201" spans="1:4" ht="56">
      <c r="A201" s="715">
        <v>87381</v>
      </c>
      <c r="B201" s="633" t="s">
        <v>27468</v>
      </c>
      <c r="C201" s="715" t="s">
        <v>121</v>
      </c>
      <c r="D201" s="716">
        <v>3304.4</v>
      </c>
    </row>
    <row r="202" spans="1:4" ht="56">
      <c r="A202" s="715">
        <v>100462</v>
      </c>
      <c r="B202" s="633" t="s">
        <v>33050</v>
      </c>
      <c r="C202" s="715" t="s">
        <v>121</v>
      </c>
      <c r="D202" s="716">
        <v>0</v>
      </c>
    </row>
    <row r="203" spans="1:4" ht="56">
      <c r="A203" s="715">
        <v>87325</v>
      </c>
      <c r="B203" s="633" t="s">
        <v>27412</v>
      </c>
      <c r="C203" s="715" t="s">
        <v>121</v>
      </c>
      <c r="D203" s="716">
        <v>3146.92</v>
      </c>
    </row>
    <row r="204" spans="1:4" ht="56">
      <c r="A204" s="715">
        <v>87326</v>
      </c>
      <c r="B204" s="633" t="s">
        <v>27413</v>
      </c>
      <c r="C204" s="715" t="s">
        <v>121</v>
      </c>
      <c r="D204" s="716">
        <v>3133.89</v>
      </c>
    </row>
    <row r="205" spans="1:4" ht="70">
      <c r="A205" s="715">
        <v>87363</v>
      </c>
      <c r="B205" s="633" t="s">
        <v>27450</v>
      </c>
      <c r="C205" s="715" t="s">
        <v>121</v>
      </c>
      <c r="D205" s="716">
        <v>3140.08</v>
      </c>
    </row>
    <row r="206" spans="1:4" ht="70">
      <c r="A206" s="715">
        <v>87364</v>
      </c>
      <c r="B206" s="633" t="s">
        <v>27451</v>
      </c>
      <c r="C206" s="715" t="s">
        <v>121</v>
      </c>
      <c r="D206" s="716">
        <v>3073.82</v>
      </c>
    </row>
    <row r="207" spans="1:4" ht="42">
      <c r="A207" s="715">
        <v>87378</v>
      </c>
      <c r="B207" s="633" t="s">
        <v>27465</v>
      </c>
      <c r="C207" s="715" t="s">
        <v>121</v>
      </c>
      <c r="D207" s="716">
        <v>663.29</v>
      </c>
    </row>
    <row r="208" spans="1:4" ht="56">
      <c r="A208" s="715">
        <v>100459</v>
      </c>
      <c r="B208" s="633" t="s">
        <v>33051</v>
      </c>
      <c r="C208" s="715" t="s">
        <v>121</v>
      </c>
      <c r="D208" s="716">
        <v>0</v>
      </c>
    </row>
    <row r="209" spans="1:4" ht="56">
      <c r="A209" s="715">
        <v>87316</v>
      </c>
      <c r="B209" s="633" t="s">
        <v>27406</v>
      </c>
      <c r="C209" s="715" t="s">
        <v>121</v>
      </c>
      <c r="D209" s="716">
        <v>497.45</v>
      </c>
    </row>
    <row r="210" spans="1:4" ht="56">
      <c r="A210" s="715">
        <v>87317</v>
      </c>
      <c r="B210" s="633" t="s">
        <v>27407</v>
      </c>
      <c r="C210" s="715" t="s">
        <v>121</v>
      </c>
      <c r="D210" s="716">
        <v>468.82</v>
      </c>
    </row>
    <row r="211" spans="1:4" ht="70">
      <c r="A211" s="715">
        <v>87355</v>
      </c>
      <c r="B211" s="633" t="s">
        <v>27442</v>
      </c>
      <c r="C211" s="715" t="s">
        <v>121</v>
      </c>
      <c r="D211" s="716">
        <v>559.91</v>
      </c>
    </row>
    <row r="212" spans="1:4" ht="70">
      <c r="A212" s="715">
        <v>87356</v>
      </c>
      <c r="B212" s="633" t="s">
        <v>27443</v>
      </c>
      <c r="C212" s="715" t="s">
        <v>121</v>
      </c>
      <c r="D212" s="716">
        <v>479.18</v>
      </c>
    </row>
    <row r="213" spans="1:4" ht="70">
      <c r="A213" s="715">
        <v>87357</v>
      </c>
      <c r="B213" s="633" t="s">
        <v>27444</v>
      </c>
      <c r="C213" s="715" t="s">
        <v>121</v>
      </c>
      <c r="D213" s="716">
        <v>438.79</v>
      </c>
    </row>
    <row r="214" spans="1:4" ht="42">
      <c r="A214" s="715">
        <v>100486</v>
      </c>
      <c r="B214" s="633" t="s">
        <v>27512</v>
      </c>
      <c r="C214" s="715" t="s">
        <v>121</v>
      </c>
      <c r="D214" s="716">
        <v>761.61</v>
      </c>
    </row>
    <row r="215" spans="1:4" ht="56">
      <c r="A215" s="715">
        <v>100482</v>
      </c>
      <c r="B215" s="633" t="s">
        <v>33052</v>
      </c>
      <c r="C215" s="715" t="s">
        <v>121</v>
      </c>
      <c r="D215" s="716">
        <v>0</v>
      </c>
    </row>
    <row r="216" spans="1:4" ht="56">
      <c r="A216" s="715">
        <v>100481</v>
      </c>
      <c r="B216" s="633" t="s">
        <v>27508</v>
      </c>
      <c r="C216" s="715" t="s">
        <v>121</v>
      </c>
      <c r="D216" s="716">
        <v>613.62</v>
      </c>
    </row>
    <row r="217" spans="1:4" ht="56">
      <c r="A217" s="715">
        <v>100492</v>
      </c>
      <c r="B217" s="633" t="s">
        <v>27518</v>
      </c>
      <c r="C217" s="715" t="s">
        <v>121</v>
      </c>
      <c r="D217" s="716">
        <v>608.72</v>
      </c>
    </row>
    <row r="218" spans="1:4" ht="70">
      <c r="A218" s="715">
        <v>100483</v>
      </c>
      <c r="B218" s="633" t="s">
        <v>27509</v>
      </c>
      <c r="C218" s="715" t="s">
        <v>121</v>
      </c>
      <c r="D218" s="716">
        <v>691.43</v>
      </c>
    </row>
    <row r="219" spans="1:4" ht="70">
      <c r="A219" s="715">
        <v>100484</v>
      </c>
      <c r="B219" s="633" t="s">
        <v>27510</v>
      </c>
      <c r="C219" s="715" t="s">
        <v>121</v>
      </c>
      <c r="D219" s="716">
        <v>616.71</v>
      </c>
    </row>
    <row r="220" spans="1:4" ht="70">
      <c r="A220" s="715">
        <v>100485</v>
      </c>
      <c r="B220" s="633" t="s">
        <v>27511</v>
      </c>
      <c r="C220" s="715" t="s">
        <v>121</v>
      </c>
      <c r="D220" s="716">
        <v>583.13</v>
      </c>
    </row>
    <row r="221" spans="1:4" ht="42">
      <c r="A221" s="715">
        <v>87373</v>
      </c>
      <c r="B221" s="633" t="s">
        <v>27460</v>
      </c>
      <c r="C221" s="715" t="s">
        <v>121</v>
      </c>
      <c r="D221" s="716">
        <v>784.46</v>
      </c>
    </row>
    <row r="222" spans="1:4" ht="42">
      <c r="A222" s="715">
        <v>100454</v>
      </c>
      <c r="B222" s="633" t="s">
        <v>33053</v>
      </c>
      <c r="C222" s="715" t="s">
        <v>121</v>
      </c>
      <c r="D222" s="716">
        <v>0</v>
      </c>
    </row>
    <row r="223" spans="1:4" ht="42">
      <c r="A223" s="715">
        <v>87301</v>
      </c>
      <c r="B223" s="633" t="s">
        <v>27396</v>
      </c>
      <c r="C223" s="715" t="s">
        <v>121</v>
      </c>
      <c r="D223" s="716">
        <v>616.27</v>
      </c>
    </row>
    <row r="224" spans="1:4" ht="42">
      <c r="A224" s="715">
        <v>87302</v>
      </c>
      <c r="B224" s="633" t="s">
        <v>27397</v>
      </c>
      <c r="C224" s="715" t="s">
        <v>121</v>
      </c>
      <c r="D224" s="716">
        <v>595.79</v>
      </c>
    </row>
    <row r="225" spans="1:4" ht="56">
      <c r="A225" s="715">
        <v>87342</v>
      </c>
      <c r="B225" s="633" t="s">
        <v>27429</v>
      </c>
      <c r="C225" s="715" t="s">
        <v>121</v>
      </c>
      <c r="D225" s="716">
        <v>731.33</v>
      </c>
    </row>
    <row r="226" spans="1:4" ht="56">
      <c r="A226" s="715">
        <v>87343</v>
      </c>
      <c r="B226" s="633" t="s">
        <v>27430</v>
      </c>
      <c r="C226" s="715" t="s">
        <v>121</v>
      </c>
      <c r="D226" s="716">
        <v>622.49</v>
      </c>
    </row>
    <row r="227" spans="1:4" ht="56">
      <c r="A227" s="715">
        <v>87344</v>
      </c>
      <c r="B227" s="633" t="s">
        <v>27431</v>
      </c>
      <c r="C227" s="715" t="s">
        <v>121</v>
      </c>
      <c r="D227" s="716">
        <v>559.70000000000005</v>
      </c>
    </row>
    <row r="228" spans="1:4" ht="28">
      <c r="A228" s="715">
        <v>88631</v>
      </c>
      <c r="B228" s="633" t="s">
        <v>27495</v>
      </c>
      <c r="C228" s="715" t="s">
        <v>121</v>
      </c>
      <c r="D228" s="716">
        <v>635.79</v>
      </c>
    </row>
    <row r="229" spans="1:4" ht="42">
      <c r="A229" s="715">
        <v>100471</v>
      </c>
      <c r="B229" s="633" t="s">
        <v>33054</v>
      </c>
      <c r="C229" s="715" t="s">
        <v>121</v>
      </c>
      <c r="D229" s="716">
        <v>0</v>
      </c>
    </row>
    <row r="230" spans="1:4" ht="42">
      <c r="A230" s="715">
        <v>100490</v>
      </c>
      <c r="B230" s="633" t="s">
        <v>27516</v>
      </c>
      <c r="C230" s="715" t="s">
        <v>121</v>
      </c>
      <c r="D230" s="716">
        <v>486.22</v>
      </c>
    </row>
    <row r="231" spans="1:4" ht="56">
      <c r="A231" s="715">
        <v>100472</v>
      </c>
      <c r="B231" s="633" t="s">
        <v>27500</v>
      </c>
      <c r="C231" s="715" t="s">
        <v>121</v>
      </c>
      <c r="D231" s="716">
        <v>573.66</v>
      </c>
    </row>
    <row r="232" spans="1:4" ht="56">
      <c r="A232" s="715">
        <v>100473</v>
      </c>
      <c r="B232" s="633" t="s">
        <v>27501</v>
      </c>
      <c r="C232" s="715" t="s">
        <v>121</v>
      </c>
      <c r="D232" s="716">
        <v>497.93</v>
      </c>
    </row>
    <row r="233" spans="1:4" ht="56">
      <c r="A233" s="715">
        <v>100474</v>
      </c>
      <c r="B233" s="633" t="s">
        <v>27502</v>
      </c>
      <c r="C233" s="715" t="s">
        <v>121</v>
      </c>
      <c r="D233" s="716">
        <v>462.41</v>
      </c>
    </row>
    <row r="234" spans="1:4" ht="56">
      <c r="A234" s="715">
        <v>87379</v>
      </c>
      <c r="B234" s="633" t="s">
        <v>27466</v>
      </c>
      <c r="C234" s="715" t="s">
        <v>121</v>
      </c>
      <c r="D234" s="716">
        <v>3276.19</v>
      </c>
    </row>
    <row r="235" spans="1:4" ht="56">
      <c r="A235" s="715">
        <v>100460</v>
      </c>
      <c r="B235" s="633" t="s">
        <v>33055</v>
      </c>
      <c r="C235" s="715" t="s">
        <v>121</v>
      </c>
      <c r="D235" s="716">
        <v>0</v>
      </c>
    </row>
    <row r="236" spans="1:4" ht="56">
      <c r="A236" s="715">
        <v>87319</v>
      </c>
      <c r="B236" s="633" t="s">
        <v>27408</v>
      </c>
      <c r="C236" s="715" t="s">
        <v>121</v>
      </c>
      <c r="D236" s="716">
        <v>3115.56</v>
      </c>
    </row>
    <row r="237" spans="1:4" ht="56">
      <c r="A237" s="715">
        <v>87320</v>
      </c>
      <c r="B237" s="633" t="s">
        <v>27409</v>
      </c>
      <c r="C237" s="715" t="s">
        <v>121</v>
      </c>
      <c r="D237" s="716">
        <v>3110.29</v>
      </c>
    </row>
    <row r="238" spans="1:4" ht="70">
      <c r="A238" s="715">
        <v>87358</v>
      </c>
      <c r="B238" s="633" t="s">
        <v>27445</v>
      </c>
      <c r="C238" s="715" t="s">
        <v>121</v>
      </c>
      <c r="D238" s="716">
        <v>3098.68</v>
      </c>
    </row>
    <row r="239" spans="1:4" ht="70">
      <c r="A239" s="715">
        <v>87359</v>
      </c>
      <c r="B239" s="633" t="s">
        <v>27446</v>
      </c>
      <c r="C239" s="715" t="s">
        <v>121</v>
      </c>
      <c r="D239" s="716">
        <v>3045.7</v>
      </c>
    </row>
    <row r="240" spans="1:4" ht="42">
      <c r="A240" s="715">
        <v>87376</v>
      </c>
      <c r="B240" s="633" t="s">
        <v>27463</v>
      </c>
      <c r="C240" s="715" t="s">
        <v>121</v>
      </c>
      <c r="D240" s="716">
        <v>633.49</v>
      </c>
    </row>
    <row r="241" spans="1:4" ht="56">
      <c r="A241" s="715">
        <v>100457</v>
      </c>
      <c r="B241" s="633" t="s">
        <v>33056</v>
      </c>
      <c r="C241" s="715" t="s">
        <v>121</v>
      </c>
      <c r="D241" s="716">
        <v>0</v>
      </c>
    </row>
    <row r="242" spans="1:4" ht="56">
      <c r="A242" s="715">
        <v>87310</v>
      </c>
      <c r="B242" s="633" t="s">
        <v>27402</v>
      </c>
      <c r="C242" s="715" t="s">
        <v>121</v>
      </c>
      <c r="D242" s="716">
        <v>452.33</v>
      </c>
    </row>
    <row r="243" spans="1:4" ht="56">
      <c r="A243" s="715">
        <v>87311</v>
      </c>
      <c r="B243" s="633" t="s">
        <v>27403</v>
      </c>
      <c r="C243" s="715" t="s">
        <v>121</v>
      </c>
      <c r="D243" s="716">
        <v>433.01</v>
      </c>
    </row>
    <row r="244" spans="1:4" ht="70">
      <c r="A244" s="715">
        <v>87350</v>
      </c>
      <c r="B244" s="633" t="s">
        <v>27437</v>
      </c>
      <c r="C244" s="715" t="s">
        <v>121</v>
      </c>
      <c r="D244" s="716">
        <v>524.54</v>
      </c>
    </row>
    <row r="245" spans="1:4" ht="70">
      <c r="A245" s="715">
        <v>87351</v>
      </c>
      <c r="B245" s="633" t="s">
        <v>27438</v>
      </c>
      <c r="C245" s="715" t="s">
        <v>121</v>
      </c>
      <c r="D245" s="716">
        <v>413.15</v>
      </c>
    </row>
    <row r="246" spans="1:4" ht="42">
      <c r="A246" s="715">
        <v>87374</v>
      </c>
      <c r="B246" s="633" t="s">
        <v>27461</v>
      </c>
      <c r="C246" s="715" t="s">
        <v>121</v>
      </c>
      <c r="D246" s="716">
        <v>740.89</v>
      </c>
    </row>
    <row r="247" spans="1:4" ht="42">
      <c r="A247" s="715">
        <v>100455</v>
      </c>
      <c r="B247" s="633" t="s">
        <v>33057</v>
      </c>
      <c r="C247" s="715" t="s">
        <v>121</v>
      </c>
      <c r="D247" s="716">
        <v>0</v>
      </c>
    </row>
    <row r="248" spans="1:4" ht="42">
      <c r="A248" s="715">
        <v>87304</v>
      </c>
      <c r="B248" s="633" t="s">
        <v>27398</v>
      </c>
      <c r="C248" s="715" t="s">
        <v>121</v>
      </c>
      <c r="D248" s="716">
        <v>556.16</v>
      </c>
    </row>
    <row r="249" spans="1:4" ht="42">
      <c r="A249" s="715">
        <v>87305</v>
      </c>
      <c r="B249" s="633" t="s">
        <v>27399</v>
      </c>
      <c r="C249" s="715" t="s">
        <v>121</v>
      </c>
      <c r="D249" s="716">
        <v>554.77</v>
      </c>
    </row>
    <row r="250" spans="1:4" ht="56">
      <c r="A250" s="715">
        <v>87345</v>
      </c>
      <c r="B250" s="633" t="s">
        <v>27432</v>
      </c>
      <c r="C250" s="715" t="s">
        <v>121</v>
      </c>
      <c r="D250" s="716">
        <v>654.30999999999995</v>
      </c>
    </row>
    <row r="251" spans="1:4" ht="56">
      <c r="A251" s="715">
        <v>87346</v>
      </c>
      <c r="B251" s="633" t="s">
        <v>27433</v>
      </c>
      <c r="C251" s="715" t="s">
        <v>121</v>
      </c>
      <c r="D251" s="716">
        <v>564.04999999999995</v>
      </c>
    </row>
    <row r="252" spans="1:4" ht="56">
      <c r="A252" s="715">
        <v>87347</v>
      </c>
      <c r="B252" s="633" t="s">
        <v>27434</v>
      </c>
      <c r="C252" s="715" t="s">
        <v>121</v>
      </c>
      <c r="D252" s="716">
        <v>514.27</v>
      </c>
    </row>
    <row r="253" spans="1:4" ht="70">
      <c r="A253" s="715">
        <v>87366</v>
      </c>
      <c r="B253" s="633" t="s">
        <v>27453</v>
      </c>
      <c r="C253" s="715" t="s">
        <v>121</v>
      </c>
      <c r="D253" s="716">
        <v>657.87</v>
      </c>
    </row>
    <row r="254" spans="1:4" ht="70">
      <c r="A254" s="715">
        <v>100448</v>
      </c>
      <c r="B254" s="633" t="s">
        <v>33058</v>
      </c>
      <c r="C254" s="715" t="s">
        <v>121</v>
      </c>
      <c r="D254" s="716">
        <v>0</v>
      </c>
    </row>
    <row r="255" spans="1:4" ht="70">
      <c r="A255" s="715">
        <v>87283</v>
      </c>
      <c r="B255" s="633" t="s">
        <v>27384</v>
      </c>
      <c r="C255" s="715" t="s">
        <v>121</v>
      </c>
      <c r="D255" s="716">
        <v>468.84</v>
      </c>
    </row>
    <row r="256" spans="1:4" ht="70">
      <c r="A256" s="715">
        <v>87284</v>
      </c>
      <c r="B256" s="633" t="s">
        <v>27385</v>
      </c>
      <c r="C256" s="715" t="s">
        <v>121</v>
      </c>
      <c r="D256" s="716">
        <v>452.79</v>
      </c>
    </row>
    <row r="257" spans="1:4" ht="84">
      <c r="A257" s="715">
        <v>87329</v>
      </c>
      <c r="B257" s="633" t="s">
        <v>27416</v>
      </c>
      <c r="C257" s="715" t="s">
        <v>121</v>
      </c>
      <c r="D257" s="716">
        <v>535.16999999999996</v>
      </c>
    </row>
    <row r="258" spans="1:4" ht="84">
      <c r="A258" s="715">
        <v>87330</v>
      </c>
      <c r="B258" s="633" t="s">
        <v>27417</v>
      </c>
      <c r="C258" s="715" t="s">
        <v>121</v>
      </c>
      <c r="D258" s="716">
        <v>430.92</v>
      </c>
    </row>
    <row r="259" spans="1:4" ht="42">
      <c r="A259" s="715">
        <v>87375</v>
      </c>
      <c r="B259" s="633" t="s">
        <v>27462</v>
      </c>
      <c r="C259" s="715" t="s">
        <v>121</v>
      </c>
      <c r="D259" s="716">
        <v>714.82</v>
      </c>
    </row>
    <row r="260" spans="1:4" ht="42">
      <c r="A260" s="715">
        <v>100456</v>
      </c>
      <c r="B260" s="633" t="s">
        <v>33059</v>
      </c>
      <c r="C260" s="715" t="s">
        <v>121</v>
      </c>
      <c r="D260" s="716">
        <v>0</v>
      </c>
    </row>
    <row r="261" spans="1:4" ht="42">
      <c r="A261" s="715">
        <v>87307</v>
      </c>
      <c r="B261" s="633" t="s">
        <v>27400</v>
      </c>
      <c r="C261" s="715" t="s">
        <v>121</v>
      </c>
      <c r="D261" s="716">
        <v>538.09</v>
      </c>
    </row>
    <row r="262" spans="1:4" ht="42">
      <c r="A262" s="715">
        <v>87308</v>
      </c>
      <c r="B262" s="633" t="s">
        <v>27401</v>
      </c>
      <c r="C262" s="715" t="s">
        <v>121</v>
      </c>
      <c r="D262" s="716">
        <v>518.79999999999995</v>
      </c>
    </row>
    <row r="263" spans="1:4" ht="56">
      <c r="A263" s="715">
        <v>87348</v>
      </c>
      <c r="B263" s="633" t="s">
        <v>27435</v>
      </c>
      <c r="C263" s="715" t="s">
        <v>121</v>
      </c>
      <c r="D263" s="716">
        <v>595.99</v>
      </c>
    </row>
    <row r="264" spans="1:4" ht="56">
      <c r="A264" s="715">
        <v>87349</v>
      </c>
      <c r="B264" s="633" t="s">
        <v>27436</v>
      </c>
      <c r="C264" s="715" t="s">
        <v>121</v>
      </c>
      <c r="D264" s="716">
        <v>475.38</v>
      </c>
    </row>
    <row r="265" spans="1:4" ht="70">
      <c r="A265" s="715">
        <v>87365</v>
      </c>
      <c r="B265" s="633" t="s">
        <v>27452</v>
      </c>
      <c r="C265" s="715" t="s">
        <v>121</v>
      </c>
      <c r="D265" s="716">
        <v>625.97</v>
      </c>
    </row>
    <row r="266" spans="1:4" ht="70">
      <c r="A266" s="715">
        <v>100447</v>
      </c>
      <c r="B266" s="633" t="s">
        <v>33060</v>
      </c>
      <c r="C266" s="715" t="s">
        <v>121</v>
      </c>
      <c r="D266" s="716">
        <v>0</v>
      </c>
    </row>
    <row r="267" spans="1:4" ht="70">
      <c r="A267" s="715">
        <v>87280</v>
      </c>
      <c r="B267" s="633" t="s">
        <v>27382</v>
      </c>
      <c r="C267" s="715" t="s">
        <v>121</v>
      </c>
      <c r="D267" s="716">
        <v>461.02</v>
      </c>
    </row>
    <row r="268" spans="1:4" ht="70">
      <c r="A268" s="715">
        <v>87281</v>
      </c>
      <c r="B268" s="633" t="s">
        <v>27383</v>
      </c>
      <c r="C268" s="715" t="s">
        <v>121</v>
      </c>
      <c r="D268" s="716">
        <v>445.48</v>
      </c>
    </row>
    <row r="269" spans="1:4" ht="84">
      <c r="A269" s="715">
        <v>87327</v>
      </c>
      <c r="B269" s="633" t="s">
        <v>27414</v>
      </c>
      <c r="C269" s="715" t="s">
        <v>121</v>
      </c>
      <c r="D269" s="716">
        <v>497.16</v>
      </c>
    </row>
    <row r="270" spans="1:4" ht="84">
      <c r="A270" s="715">
        <v>87328</v>
      </c>
      <c r="B270" s="633" t="s">
        <v>27415</v>
      </c>
      <c r="C270" s="715" t="s">
        <v>121</v>
      </c>
      <c r="D270" s="716">
        <v>404.8</v>
      </c>
    </row>
    <row r="271" spans="1:4" ht="28">
      <c r="A271" s="715">
        <v>87410</v>
      </c>
      <c r="B271" s="633" t="s">
        <v>27490</v>
      </c>
      <c r="C271" s="715" t="s">
        <v>121</v>
      </c>
      <c r="D271" s="716">
        <v>903.36</v>
      </c>
    </row>
    <row r="272" spans="1:4" ht="28">
      <c r="A272" s="715">
        <v>95577</v>
      </c>
      <c r="B272" s="633" t="s">
        <v>25520</v>
      </c>
      <c r="C272" s="715" t="s">
        <v>207</v>
      </c>
      <c r="D272" s="716">
        <v>9.01</v>
      </c>
    </row>
    <row r="273" spans="1:4" ht="28">
      <c r="A273" s="715">
        <v>95578</v>
      </c>
      <c r="B273" s="633" t="s">
        <v>25521</v>
      </c>
      <c r="C273" s="715" t="s">
        <v>207</v>
      </c>
      <c r="D273" s="716">
        <v>7.33</v>
      </c>
    </row>
    <row r="274" spans="1:4" ht="28">
      <c r="A274" s="715">
        <v>95579</v>
      </c>
      <c r="B274" s="633" t="s">
        <v>25522</v>
      </c>
      <c r="C274" s="715" t="s">
        <v>207</v>
      </c>
      <c r="D274" s="716">
        <v>6.92</v>
      </c>
    </row>
    <row r="275" spans="1:4" ht="28">
      <c r="A275" s="715">
        <v>95580</v>
      </c>
      <c r="B275" s="633" t="s">
        <v>25523</v>
      </c>
      <c r="C275" s="715" t="s">
        <v>207</v>
      </c>
      <c r="D275" s="716">
        <v>7.87</v>
      </c>
    </row>
    <row r="276" spans="1:4" ht="28">
      <c r="A276" s="715">
        <v>95581</v>
      </c>
      <c r="B276" s="633" t="s">
        <v>25524</v>
      </c>
      <c r="C276" s="715" t="s">
        <v>207</v>
      </c>
      <c r="D276" s="716">
        <v>7.82</v>
      </c>
    </row>
    <row r="277" spans="1:4" ht="28">
      <c r="A277" s="715">
        <v>95582</v>
      </c>
      <c r="B277" s="633" t="s">
        <v>25525</v>
      </c>
      <c r="C277" s="715" t="s">
        <v>207</v>
      </c>
      <c r="D277" s="716">
        <v>8.48</v>
      </c>
    </row>
    <row r="278" spans="1:4" ht="28">
      <c r="A278" s="715">
        <v>95576</v>
      </c>
      <c r="B278" s="633" t="s">
        <v>25519</v>
      </c>
      <c r="C278" s="715" t="s">
        <v>207</v>
      </c>
      <c r="D278" s="716">
        <v>11.23</v>
      </c>
    </row>
    <row r="279" spans="1:4" ht="42">
      <c r="A279" s="715">
        <v>95583</v>
      </c>
      <c r="B279" s="633" t="s">
        <v>25526</v>
      </c>
      <c r="C279" s="715" t="s">
        <v>207</v>
      </c>
      <c r="D279" s="716">
        <v>16.28</v>
      </c>
    </row>
    <row r="280" spans="1:4" ht="42">
      <c r="A280" s="715">
        <v>95584</v>
      </c>
      <c r="B280" s="633" t="s">
        <v>25527</v>
      </c>
      <c r="C280" s="715" t="s">
        <v>207</v>
      </c>
      <c r="D280" s="716">
        <v>13.26</v>
      </c>
    </row>
    <row r="281" spans="1:4" ht="42">
      <c r="A281" s="715">
        <v>95593</v>
      </c>
      <c r="B281" s="633" t="s">
        <v>25529</v>
      </c>
      <c r="C281" s="715" t="s">
        <v>207</v>
      </c>
      <c r="D281" s="716">
        <v>13.26</v>
      </c>
    </row>
    <row r="282" spans="1:4" ht="42">
      <c r="A282" s="715">
        <v>95592</v>
      </c>
      <c r="B282" s="633" t="s">
        <v>25528</v>
      </c>
      <c r="C282" s="715" t="s">
        <v>207</v>
      </c>
      <c r="D282" s="716">
        <v>16.28</v>
      </c>
    </row>
    <row r="283" spans="1:4" ht="56">
      <c r="A283" s="715">
        <v>92919</v>
      </c>
      <c r="B283" s="633" t="s">
        <v>25514</v>
      </c>
      <c r="C283" s="715" t="s">
        <v>207</v>
      </c>
      <c r="D283" s="716">
        <v>10.74</v>
      </c>
    </row>
    <row r="284" spans="1:4" ht="56">
      <c r="A284" s="715">
        <v>92921</v>
      </c>
      <c r="B284" s="633" t="s">
        <v>25515</v>
      </c>
      <c r="C284" s="715" t="s">
        <v>207</v>
      </c>
      <c r="D284" s="716">
        <v>8.64</v>
      </c>
    </row>
    <row r="285" spans="1:4" ht="56">
      <c r="A285" s="715">
        <v>92922</v>
      </c>
      <c r="B285" s="633" t="s">
        <v>25516</v>
      </c>
      <c r="C285" s="715" t="s">
        <v>207</v>
      </c>
      <c r="D285" s="716">
        <v>8.0299999999999994</v>
      </c>
    </row>
    <row r="286" spans="1:4" ht="56">
      <c r="A286" s="715">
        <v>92923</v>
      </c>
      <c r="B286" s="633" t="s">
        <v>25517</v>
      </c>
      <c r="C286" s="715" t="s">
        <v>207</v>
      </c>
      <c r="D286" s="716">
        <v>8.75</v>
      </c>
    </row>
    <row r="287" spans="1:4" ht="56">
      <c r="A287" s="715">
        <v>92924</v>
      </c>
      <c r="B287" s="633" t="s">
        <v>25518</v>
      </c>
      <c r="C287" s="715" t="s">
        <v>207</v>
      </c>
      <c r="D287" s="716">
        <v>8.48</v>
      </c>
    </row>
    <row r="288" spans="1:4" ht="56">
      <c r="A288" s="715">
        <v>104104</v>
      </c>
      <c r="B288" s="633" t="s">
        <v>25541</v>
      </c>
      <c r="C288" s="715" t="s">
        <v>207</v>
      </c>
      <c r="D288" s="716">
        <v>8.65</v>
      </c>
    </row>
    <row r="289" spans="1:4" ht="56">
      <c r="A289" s="715">
        <v>92916</v>
      </c>
      <c r="B289" s="633" t="s">
        <v>25512</v>
      </c>
      <c r="C289" s="715" t="s">
        <v>207</v>
      </c>
      <c r="D289" s="716">
        <v>14.83</v>
      </c>
    </row>
    <row r="290" spans="1:4" ht="56">
      <c r="A290" s="715">
        <v>92917</v>
      </c>
      <c r="B290" s="633" t="s">
        <v>25513</v>
      </c>
      <c r="C290" s="715" t="s">
        <v>207</v>
      </c>
      <c r="D290" s="716">
        <v>12.78</v>
      </c>
    </row>
    <row r="291" spans="1:4" ht="56">
      <c r="A291" s="715">
        <v>92915</v>
      </c>
      <c r="B291" s="633" t="s">
        <v>25511</v>
      </c>
      <c r="C291" s="715" t="s">
        <v>207</v>
      </c>
      <c r="D291" s="716">
        <v>17.34</v>
      </c>
    </row>
    <row r="292" spans="1:4" ht="42">
      <c r="A292" s="715">
        <v>92771</v>
      </c>
      <c r="B292" s="633" t="s">
        <v>25484</v>
      </c>
      <c r="C292" s="715" t="s">
        <v>207</v>
      </c>
      <c r="D292" s="716">
        <v>8.86</v>
      </c>
    </row>
    <row r="293" spans="1:4" ht="42">
      <c r="A293" s="715">
        <v>92772</v>
      </c>
      <c r="B293" s="633" t="s">
        <v>25485</v>
      </c>
      <c r="C293" s="715" t="s">
        <v>207</v>
      </c>
      <c r="D293" s="716">
        <v>7.26</v>
      </c>
    </row>
    <row r="294" spans="1:4" ht="42">
      <c r="A294" s="715">
        <v>92773</v>
      </c>
      <c r="B294" s="633" t="s">
        <v>25486</v>
      </c>
      <c r="C294" s="715" t="s">
        <v>207</v>
      </c>
      <c r="D294" s="716">
        <v>7.04</v>
      </c>
    </row>
    <row r="295" spans="1:4" ht="42">
      <c r="A295" s="715">
        <v>92774</v>
      </c>
      <c r="B295" s="633" t="s">
        <v>25487</v>
      </c>
      <c r="C295" s="715" t="s">
        <v>207</v>
      </c>
      <c r="D295" s="716">
        <v>8.0500000000000007</v>
      </c>
    </row>
    <row r="296" spans="1:4" ht="42">
      <c r="A296" s="715">
        <v>92769</v>
      </c>
      <c r="B296" s="633" t="s">
        <v>25482</v>
      </c>
      <c r="C296" s="715" t="s">
        <v>207</v>
      </c>
      <c r="D296" s="716">
        <v>11.5</v>
      </c>
    </row>
    <row r="297" spans="1:4" ht="42">
      <c r="A297" s="715">
        <v>92770</v>
      </c>
      <c r="B297" s="633" t="s">
        <v>25483</v>
      </c>
      <c r="C297" s="715" t="s">
        <v>207</v>
      </c>
      <c r="D297" s="716">
        <v>10.27</v>
      </c>
    </row>
    <row r="298" spans="1:4" ht="42">
      <c r="A298" s="715">
        <v>92767</v>
      </c>
      <c r="B298" s="633" t="s">
        <v>25480</v>
      </c>
      <c r="C298" s="715" t="s">
        <v>207</v>
      </c>
      <c r="D298" s="716">
        <v>15.53</v>
      </c>
    </row>
    <row r="299" spans="1:4" ht="42">
      <c r="A299" s="715">
        <v>92768</v>
      </c>
      <c r="B299" s="633" t="s">
        <v>25481</v>
      </c>
      <c r="C299" s="715" t="s">
        <v>207</v>
      </c>
      <c r="D299" s="716">
        <v>13.03</v>
      </c>
    </row>
    <row r="300" spans="1:4" ht="42">
      <c r="A300" s="715">
        <v>92762</v>
      </c>
      <c r="B300" s="633" t="s">
        <v>25475</v>
      </c>
      <c r="C300" s="715" t="s">
        <v>207</v>
      </c>
      <c r="D300" s="716">
        <v>9.44</v>
      </c>
    </row>
    <row r="301" spans="1:4" ht="42">
      <c r="A301" s="715">
        <v>92763</v>
      </c>
      <c r="B301" s="633" t="s">
        <v>25476</v>
      </c>
      <c r="C301" s="715" t="s">
        <v>207</v>
      </c>
      <c r="D301" s="716">
        <v>7.79</v>
      </c>
    </row>
    <row r="302" spans="1:4" ht="42">
      <c r="A302" s="715">
        <v>92764</v>
      </c>
      <c r="B302" s="633" t="s">
        <v>25477</v>
      </c>
      <c r="C302" s="715" t="s">
        <v>207</v>
      </c>
      <c r="D302" s="716">
        <v>7.38</v>
      </c>
    </row>
    <row r="303" spans="1:4" ht="42">
      <c r="A303" s="715">
        <v>92765</v>
      </c>
      <c r="B303" s="633" t="s">
        <v>25478</v>
      </c>
      <c r="C303" s="715" t="s">
        <v>207</v>
      </c>
      <c r="D303" s="716">
        <v>8.25</v>
      </c>
    </row>
    <row r="304" spans="1:4" ht="42">
      <c r="A304" s="715">
        <v>92766</v>
      </c>
      <c r="B304" s="633" t="s">
        <v>25479</v>
      </c>
      <c r="C304" s="715" t="s">
        <v>207</v>
      </c>
      <c r="D304" s="716">
        <v>8.09</v>
      </c>
    </row>
    <row r="305" spans="1:4" ht="42">
      <c r="A305" s="715">
        <v>104105</v>
      </c>
      <c r="B305" s="633" t="s">
        <v>25542</v>
      </c>
      <c r="C305" s="715" t="s">
        <v>207</v>
      </c>
      <c r="D305" s="716">
        <v>8.65</v>
      </c>
    </row>
    <row r="306" spans="1:4" ht="42">
      <c r="A306" s="715">
        <v>92760</v>
      </c>
      <c r="B306" s="633" t="s">
        <v>25473</v>
      </c>
      <c r="C306" s="715" t="s">
        <v>207</v>
      </c>
      <c r="D306" s="716">
        <v>12.22</v>
      </c>
    </row>
    <row r="307" spans="1:4" ht="42">
      <c r="A307" s="715">
        <v>92761</v>
      </c>
      <c r="B307" s="633" t="s">
        <v>25474</v>
      </c>
      <c r="C307" s="715" t="s">
        <v>207</v>
      </c>
      <c r="D307" s="716">
        <v>10.91</v>
      </c>
    </row>
    <row r="308" spans="1:4" ht="42">
      <c r="A308" s="715">
        <v>92759</v>
      </c>
      <c r="B308" s="633" t="s">
        <v>25472</v>
      </c>
      <c r="C308" s="715" t="s">
        <v>207</v>
      </c>
      <c r="D308" s="716">
        <v>13.79</v>
      </c>
    </row>
    <row r="309" spans="1:4" ht="56">
      <c r="A309" s="715">
        <v>104108</v>
      </c>
      <c r="B309" s="633" t="s">
        <v>25545</v>
      </c>
      <c r="C309" s="715" t="s">
        <v>207</v>
      </c>
      <c r="D309" s="716">
        <v>11.76</v>
      </c>
    </row>
    <row r="310" spans="1:4" ht="56">
      <c r="A310" s="715">
        <v>104107</v>
      </c>
      <c r="B310" s="633" t="s">
        <v>25544</v>
      </c>
      <c r="C310" s="715" t="s">
        <v>207</v>
      </c>
      <c r="D310" s="716">
        <v>9.7799999999999994</v>
      </c>
    </row>
    <row r="311" spans="1:4" ht="56">
      <c r="A311" s="715">
        <v>104106</v>
      </c>
      <c r="B311" s="633" t="s">
        <v>25543</v>
      </c>
      <c r="C311" s="715" t="s">
        <v>207</v>
      </c>
      <c r="D311" s="716">
        <v>8.89</v>
      </c>
    </row>
    <row r="312" spans="1:4" ht="56">
      <c r="A312" s="715">
        <v>104110</v>
      </c>
      <c r="B312" s="633" t="s">
        <v>25547</v>
      </c>
      <c r="C312" s="715" t="s">
        <v>207</v>
      </c>
      <c r="D312" s="716">
        <v>18.36</v>
      </c>
    </row>
    <row r="313" spans="1:4" ht="56">
      <c r="A313" s="715">
        <v>104109</v>
      </c>
      <c r="B313" s="633" t="s">
        <v>25546</v>
      </c>
      <c r="C313" s="715" t="s">
        <v>207</v>
      </c>
      <c r="D313" s="716">
        <v>15.28</v>
      </c>
    </row>
    <row r="314" spans="1:4" ht="56">
      <c r="A314" s="715">
        <v>104111</v>
      </c>
      <c r="B314" s="633" t="s">
        <v>25548</v>
      </c>
      <c r="C314" s="715" t="s">
        <v>207</v>
      </c>
      <c r="D314" s="716">
        <v>22.11</v>
      </c>
    </row>
    <row r="315" spans="1:4" ht="28">
      <c r="A315" s="715">
        <v>92884</v>
      </c>
      <c r="B315" s="633" t="s">
        <v>25506</v>
      </c>
      <c r="C315" s="715" t="s">
        <v>207</v>
      </c>
      <c r="D315" s="716">
        <v>10.66</v>
      </c>
    </row>
    <row r="316" spans="1:4" ht="28">
      <c r="A316" s="715">
        <v>92885</v>
      </c>
      <c r="B316" s="633" t="s">
        <v>25507</v>
      </c>
      <c r="C316" s="715" t="s">
        <v>207</v>
      </c>
      <c r="D316" s="716">
        <v>9.82</v>
      </c>
    </row>
    <row r="317" spans="1:4" ht="28">
      <c r="A317" s="715">
        <v>92886</v>
      </c>
      <c r="B317" s="633" t="s">
        <v>25508</v>
      </c>
      <c r="C317" s="715" t="s">
        <v>207</v>
      </c>
      <c r="D317" s="716">
        <v>9.1199999999999992</v>
      </c>
    </row>
    <row r="318" spans="1:4" ht="28">
      <c r="A318" s="715">
        <v>92887</v>
      </c>
      <c r="B318" s="633" t="s">
        <v>25509</v>
      </c>
      <c r="C318" s="715" t="s">
        <v>207</v>
      </c>
      <c r="D318" s="716">
        <v>8.8800000000000008</v>
      </c>
    </row>
    <row r="319" spans="1:4" ht="28">
      <c r="A319" s="715">
        <v>92888</v>
      </c>
      <c r="B319" s="633" t="s">
        <v>25510</v>
      </c>
      <c r="C319" s="715" t="s">
        <v>207</v>
      </c>
      <c r="D319" s="716">
        <v>8.52</v>
      </c>
    </row>
    <row r="320" spans="1:4" ht="28">
      <c r="A320" s="715">
        <v>92882</v>
      </c>
      <c r="B320" s="633" t="s">
        <v>25504</v>
      </c>
      <c r="C320" s="715" t="s">
        <v>207</v>
      </c>
      <c r="D320" s="716">
        <v>12.65</v>
      </c>
    </row>
    <row r="321" spans="1:4" ht="28">
      <c r="A321" s="715">
        <v>92883</v>
      </c>
      <c r="B321" s="633" t="s">
        <v>25505</v>
      </c>
      <c r="C321" s="715" t="s">
        <v>207</v>
      </c>
      <c r="D321" s="716">
        <v>11.06</v>
      </c>
    </row>
    <row r="322" spans="1:4" ht="28">
      <c r="A322" s="715">
        <v>92877</v>
      </c>
      <c r="B322" s="633" t="s">
        <v>25499</v>
      </c>
      <c r="C322" s="715" t="s">
        <v>207</v>
      </c>
      <c r="D322" s="716">
        <v>7.85</v>
      </c>
    </row>
    <row r="323" spans="1:4" ht="28">
      <c r="A323" s="715">
        <v>92878</v>
      </c>
      <c r="B323" s="633" t="s">
        <v>25500</v>
      </c>
      <c r="C323" s="715" t="s">
        <v>207</v>
      </c>
      <c r="D323" s="716">
        <v>7.62</v>
      </c>
    </row>
    <row r="324" spans="1:4" ht="28">
      <c r="A324" s="715">
        <v>92879</v>
      </c>
      <c r="B324" s="633" t="s">
        <v>25501</v>
      </c>
      <c r="C324" s="715" t="s">
        <v>207</v>
      </c>
      <c r="D324" s="716">
        <v>7.48</v>
      </c>
    </row>
    <row r="325" spans="1:4" ht="28">
      <c r="A325" s="715">
        <v>92880</v>
      </c>
      <c r="B325" s="633" t="s">
        <v>25502</v>
      </c>
      <c r="C325" s="715" t="s">
        <v>207</v>
      </c>
      <c r="D325" s="716">
        <v>7.62</v>
      </c>
    </row>
    <row r="326" spans="1:4" ht="28">
      <c r="A326" s="715">
        <v>92881</v>
      </c>
      <c r="B326" s="633" t="s">
        <v>25503</v>
      </c>
      <c r="C326" s="715" t="s">
        <v>207</v>
      </c>
      <c r="D326" s="716">
        <v>7.58</v>
      </c>
    </row>
    <row r="327" spans="1:4" ht="28">
      <c r="A327" s="715">
        <v>92875</v>
      </c>
      <c r="B327" s="633" t="s">
        <v>25497</v>
      </c>
      <c r="C327" s="715" t="s">
        <v>207</v>
      </c>
      <c r="D327" s="716">
        <v>8.02</v>
      </c>
    </row>
    <row r="328" spans="1:4" ht="28">
      <c r="A328" s="715">
        <v>92876</v>
      </c>
      <c r="B328" s="633" t="s">
        <v>25498</v>
      </c>
      <c r="C328" s="715" t="s">
        <v>207</v>
      </c>
      <c r="D328" s="716">
        <v>7.47</v>
      </c>
    </row>
    <row r="329" spans="1:4" ht="28">
      <c r="A329" s="715">
        <v>92803</v>
      </c>
      <c r="B329" s="633" t="s">
        <v>25493</v>
      </c>
      <c r="C329" s="715" t="s">
        <v>207</v>
      </c>
      <c r="D329" s="716">
        <v>7.19</v>
      </c>
    </row>
    <row r="330" spans="1:4" ht="28">
      <c r="A330" s="715">
        <v>92804</v>
      </c>
      <c r="B330" s="633" t="s">
        <v>25494</v>
      </c>
      <c r="C330" s="715" t="s">
        <v>207</v>
      </c>
      <c r="D330" s="716">
        <v>6.12</v>
      </c>
    </row>
    <row r="331" spans="1:4" ht="28">
      <c r="A331" s="715">
        <v>92805</v>
      </c>
      <c r="B331" s="633" t="s">
        <v>25495</v>
      </c>
      <c r="C331" s="715" t="s">
        <v>207</v>
      </c>
      <c r="D331" s="716">
        <v>6.01</v>
      </c>
    </row>
    <row r="332" spans="1:4" ht="28">
      <c r="A332" s="715">
        <v>92806</v>
      </c>
      <c r="B332" s="633" t="s">
        <v>25496</v>
      </c>
      <c r="C332" s="715" t="s">
        <v>207</v>
      </c>
      <c r="D332" s="716">
        <v>7.07</v>
      </c>
    </row>
    <row r="333" spans="1:4" ht="28">
      <c r="A333" s="715">
        <v>92798</v>
      </c>
      <c r="B333" s="633" t="s">
        <v>25488</v>
      </c>
      <c r="C333" s="715" t="s">
        <v>207</v>
      </c>
      <c r="D333" s="716">
        <v>7.06</v>
      </c>
    </row>
    <row r="334" spans="1:4" ht="28">
      <c r="A334" s="715">
        <v>95448</v>
      </c>
      <c r="B334" s="633" t="s">
        <v>30110</v>
      </c>
      <c r="C334" s="715" t="s">
        <v>207</v>
      </c>
      <c r="D334" s="716">
        <v>7.74</v>
      </c>
    </row>
    <row r="335" spans="1:4" ht="28">
      <c r="A335" s="715">
        <v>92801</v>
      </c>
      <c r="B335" s="633" t="s">
        <v>25491</v>
      </c>
      <c r="C335" s="715" t="s">
        <v>207</v>
      </c>
      <c r="D335" s="716">
        <v>8.23</v>
      </c>
    </row>
    <row r="336" spans="1:4" ht="28">
      <c r="A336" s="715">
        <v>92802</v>
      </c>
      <c r="B336" s="633" t="s">
        <v>25492</v>
      </c>
      <c r="C336" s="715" t="s">
        <v>207</v>
      </c>
      <c r="D336" s="716">
        <v>7.92</v>
      </c>
    </row>
    <row r="337" spans="1:4" ht="28">
      <c r="A337" s="715">
        <v>92799</v>
      </c>
      <c r="B337" s="633" t="s">
        <v>25489</v>
      </c>
      <c r="C337" s="715" t="s">
        <v>207</v>
      </c>
      <c r="D337" s="716">
        <v>10.06</v>
      </c>
    </row>
    <row r="338" spans="1:4" ht="28">
      <c r="A338" s="715">
        <v>92800</v>
      </c>
      <c r="B338" s="633" t="s">
        <v>25490</v>
      </c>
      <c r="C338" s="715" t="s">
        <v>207</v>
      </c>
      <c r="D338" s="716">
        <v>8.61</v>
      </c>
    </row>
    <row r="339" spans="1:4" ht="28">
      <c r="A339" s="715">
        <v>95605</v>
      </c>
      <c r="B339" s="633" t="s">
        <v>25250</v>
      </c>
      <c r="C339" s="715" t="s">
        <v>103</v>
      </c>
      <c r="D339" s="716">
        <v>190.83</v>
      </c>
    </row>
    <row r="340" spans="1:4" ht="28">
      <c r="A340" s="715">
        <v>95602</v>
      </c>
      <c r="B340" s="633" t="s">
        <v>25247</v>
      </c>
      <c r="C340" s="715" t="s">
        <v>103</v>
      </c>
      <c r="D340" s="716">
        <v>39.25</v>
      </c>
    </row>
    <row r="341" spans="1:4" ht="28">
      <c r="A341" s="715">
        <v>95603</v>
      </c>
      <c r="B341" s="633" t="s">
        <v>25248</v>
      </c>
      <c r="C341" s="715" t="s">
        <v>103</v>
      </c>
      <c r="D341" s="716">
        <v>66.97</v>
      </c>
    </row>
    <row r="342" spans="1:4" ht="28">
      <c r="A342" s="715">
        <v>95604</v>
      </c>
      <c r="B342" s="633" t="s">
        <v>25249</v>
      </c>
      <c r="C342" s="715" t="s">
        <v>103</v>
      </c>
      <c r="D342" s="716">
        <v>103.93</v>
      </c>
    </row>
    <row r="343" spans="1:4" ht="28">
      <c r="A343" s="715">
        <v>95601</v>
      </c>
      <c r="B343" s="633" t="s">
        <v>25246</v>
      </c>
      <c r="C343" s="715" t="s">
        <v>103</v>
      </c>
      <c r="D343" s="716">
        <v>24.52</v>
      </c>
    </row>
    <row r="344" spans="1:4" ht="42">
      <c r="A344" s="715">
        <v>102521</v>
      </c>
      <c r="B344" s="633" t="s">
        <v>25262</v>
      </c>
      <c r="C344" s="715" t="s">
        <v>103</v>
      </c>
      <c r="D344" s="716">
        <v>157.41999999999999</v>
      </c>
    </row>
    <row r="345" spans="1:4" ht="42">
      <c r="A345" s="715">
        <v>102522</v>
      </c>
      <c r="B345" s="633" t="s">
        <v>25263</v>
      </c>
      <c r="C345" s="715" t="s">
        <v>103</v>
      </c>
      <c r="D345" s="716">
        <v>230.94</v>
      </c>
    </row>
    <row r="346" spans="1:4" ht="42">
      <c r="A346" s="715">
        <v>102523</v>
      </c>
      <c r="B346" s="633" t="s">
        <v>25264</v>
      </c>
      <c r="C346" s="715" t="s">
        <v>103</v>
      </c>
      <c r="D346" s="716">
        <v>304.47000000000003</v>
      </c>
    </row>
    <row r="347" spans="1:4" ht="28">
      <c r="A347" s="715">
        <v>95608</v>
      </c>
      <c r="B347" s="633" t="s">
        <v>40141</v>
      </c>
      <c r="C347" s="715" t="s">
        <v>103</v>
      </c>
      <c r="D347" s="716">
        <v>44.48</v>
      </c>
    </row>
    <row r="348" spans="1:4" ht="28">
      <c r="A348" s="715">
        <v>95609</v>
      </c>
      <c r="B348" s="633" t="s">
        <v>40142</v>
      </c>
      <c r="C348" s="715" t="s">
        <v>103</v>
      </c>
      <c r="D348" s="716">
        <v>56.41</v>
      </c>
    </row>
    <row r="349" spans="1:4" ht="28">
      <c r="A349" s="715">
        <v>95607</v>
      </c>
      <c r="B349" s="633" t="s">
        <v>40143</v>
      </c>
      <c r="C349" s="715" t="s">
        <v>103</v>
      </c>
      <c r="D349" s="716">
        <v>30.67</v>
      </c>
    </row>
    <row r="350" spans="1:4" ht="28">
      <c r="A350" s="715">
        <v>106132</v>
      </c>
      <c r="B350" s="633" t="s">
        <v>42194</v>
      </c>
      <c r="C350" s="715" t="s">
        <v>121</v>
      </c>
      <c r="D350" s="716">
        <v>0</v>
      </c>
    </row>
    <row r="351" spans="1:4" ht="28">
      <c r="A351" s="715">
        <v>106133</v>
      </c>
      <c r="B351" s="633" t="s">
        <v>42195</v>
      </c>
      <c r="C351" s="715" t="s">
        <v>121</v>
      </c>
      <c r="D351" s="716">
        <v>0</v>
      </c>
    </row>
    <row r="352" spans="1:4" ht="42">
      <c r="A352" s="715">
        <v>95996</v>
      </c>
      <c r="B352" s="633" t="s">
        <v>42196</v>
      </c>
      <c r="C352" s="715" t="s">
        <v>121</v>
      </c>
      <c r="D352" s="716">
        <v>1285.96</v>
      </c>
    </row>
    <row r="353" spans="1:4" ht="42">
      <c r="A353" s="715">
        <v>95995</v>
      </c>
      <c r="B353" s="633" t="s">
        <v>42197</v>
      </c>
      <c r="C353" s="715" t="s">
        <v>121</v>
      </c>
      <c r="D353" s="716">
        <v>1495.48</v>
      </c>
    </row>
    <row r="354" spans="1:4" ht="42">
      <c r="A354" s="715">
        <v>104372</v>
      </c>
      <c r="B354" s="633" t="s">
        <v>42198</v>
      </c>
      <c r="C354" s="715" t="s">
        <v>121</v>
      </c>
      <c r="D354" s="716">
        <v>0</v>
      </c>
    </row>
    <row r="355" spans="1:4" ht="42">
      <c r="A355" s="715">
        <v>104371</v>
      </c>
      <c r="B355" s="633" t="s">
        <v>42199</v>
      </c>
      <c r="C355" s="715" t="s">
        <v>121</v>
      </c>
      <c r="D355" s="716">
        <v>0</v>
      </c>
    </row>
    <row r="356" spans="1:4" ht="42">
      <c r="A356" s="715">
        <v>106138</v>
      </c>
      <c r="B356" s="633" t="s">
        <v>42200</v>
      </c>
      <c r="C356" s="715" t="s">
        <v>509</v>
      </c>
      <c r="D356" s="716">
        <v>9.1999999999999993</v>
      </c>
    </row>
    <row r="357" spans="1:4" ht="42">
      <c r="A357" s="715">
        <v>106135</v>
      </c>
      <c r="B357" s="633" t="s">
        <v>42201</v>
      </c>
      <c r="C357" s="715" t="s">
        <v>509</v>
      </c>
      <c r="D357" s="716">
        <v>7.84</v>
      </c>
    </row>
    <row r="358" spans="1:4" ht="56">
      <c r="A358" s="715">
        <v>106137</v>
      </c>
      <c r="B358" s="633" t="s">
        <v>42202</v>
      </c>
      <c r="C358" s="715" t="s">
        <v>509</v>
      </c>
      <c r="D358" s="716">
        <v>10.67</v>
      </c>
    </row>
    <row r="359" spans="1:4" ht="56">
      <c r="A359" s="715">
        <v>96001</v>
      </c>
      <c r="B359" s="633" t="s">
        <v>42203</v>
      </c>
      <c r="C359" s="715" t="s">
        <v>509</v>
      </c>
      <c r="D359" s="716">
        <v>9.0299999999999994</v>
      </c>
    </row>
    <row r="360" spans="1:4" ht="42">
      <c r="A360" s="715">
        <v>106136</v>
      </c>
      <c r="B360" s="633" t="s">
        <v>42204</v>
      </c>
      <c r="C360" s="715" t="s">
        <v>509</v>
      </c>
      <c r="D360" s="716">
        <v>12.5</v>
      </c>
    </row>
    <row r="361" spans="1:4" ht="42">
      <c r="A361" s="715">
        <v>106134</v>
      </c>
      <c r="B361" s="633" t="s">
        <v>42205</v>
      </c>
      <c r="C361" s="715" t="s">
        <v>509</v>
      </c>
      <c r="D361" s="716">
        <v>10.49</v>
      </c>
    </row>
    <row r="362" spans="1:4" ht="56">
      <c r="A362" s="715">
        <v>94880</v>
      </c>
      <c r="B362" s="633" t="s">
        <v>24077</v>
      </c>
      <c r="C362" s="715" t="s">
        <v>165</v>
      </c>
      <c r="D362" s="716">
        <v>51.31</v>
      </c>
    </row>
    <row r="363" spans="1:4" ht="56">
      <c r="A363" s="715">
        <v>94882</v>
      </c>
      <c r="B363" s="633" t="s">
        <v>24079</v>
      </c>
      <c r="C363" s="715" t="s">
        <v>165</v>
      </c>
      <c r="D363" s="716">
        <v>59.95</v>
      </c>
    </row>
    <row r="364" spans="1:4" ht="56">
      <c r="A364" s="715">
        <v>94884</v>
      </c>
      <c r="B364" s="633" t="s">
        <v>24080</v>
      </c>
      <c r="C364" s="715" t="s">
        <v>165</v>
      </c>
      <c r="D364" s="716">
        <v>77.45</v>
      </c>
    </row>
    <row r="365" spans="1:4" ht="56">
      <c r="A365" s="715">
        <v>94870</v>
      </c>
      <c r="B365" s="633" t="s">
        <v>24072</v>
      </c>
      <c r="C365" s="715" t="s">
        <v>165</v>
      </c>
      <c r="D365" s="716">
        <v>2.16</v>
      </c>
    </row>
    <row r="366" spans="1:4" ht="56">
      <c r="A366" s="715">
        <v>94872</v>
      </c>
      <c r="B366" s="633" t="s">
        <v>40144</v>
      </c>
      <c r="C366" s="715" t="s">
        <v>165</v>
      </c>
      <c r="D366" s="716">
        <v>3.19</v>
      </c>
    </row>
    <row r="367" spans="1:4" ht="56">
      <c r="A367" s="715">
        <v>90746</v>
      </c>
      <c r="B367" s="633" t="s">
        <v>24069</v>
      </c>
      <c r="C367" s="715" t="s">
        <v>165</v>
      </c>
      <c r="D367" s="716">
        <v>5.13</v>
      </c>
    </row>
    <row r="368" spans="1:4" ht="56">
      <c r="A368" s="715">
        <v>90747</v>
      </c>
      <c r="B368" s="633" t="s">
        <v>24070</v>
      </c>
      <c r="C368" s="715" t="s">
        <v>165</v>
      </c>
      <c r="D368" s="716">
        <v>21.3</v>
      </c>
    </row>
    <row r="369" spans="1:4" ht="56">
      <c r="A369" s="715">
        <v>94876</v>
      </c>
      <c r="B369" s="633" t="s">
        <v>40145</v>
      </c>
      <c r="C369" s="715" t="s">
        <v>165</v>
      </c>
      <c r="D369" s="716">
        <v>34.74</v>
      </c>
    </row>
    <row r="370" spans="1:4" ht="56">
      <c r="A370" s="715">
        <v>94878</v>
      </c>
      <c r="B370" s="633" t="s">
        <v>24075</v>
      </c>
      <c r="C370" s="715" t="s">
        <v>165</v>
      </c>
      <c r="D370" s="716">
        <v>40.35</v>
      </c>
    </row>
    <row r="371" spans="1:4" ht="56">
      <c r="A371" s="715">
        <v>90740</v>
      </c>
      <c r="B371" s="633" t="s">
        <v>24064</v>
      </c>
      <c r="C371" s="715" t="s">
        <v>165</v>
      </c>
      <c r="D371" s="716">
        <v>6.26</v>
      </c>
    </row>
    <row r="372" spans="1:4" ht="56">
      <c r="A372" s="715">
        <v>90741</v>
      </c>
      <c r="B372" s="633" t="s">
        <v>24065</v>
      </c>
      <c r="C372" s="715" t="s">
        <v>165</v>
      </c>
      <c r="D372" s="716">
        <v>7.14</v>
      </c>
    </row>
    <row r="373" spans="1:4" ht="56">
      <c r="A373" s="715">
        <v>90742</v>
      </c>
      <c r="B373" s="633" t="s">
        <v>24066</v>
      </c>
      <c r="C373" s="715" t="s">
        <v>165</v>
      </c>
      <c r="D373" s="716">
        <v>8.02</v>
      </c>
    </row>
    <row r="374" spans="1:4" ht="56">
      <c r="A374" s="715">
        <v>90743</v>
      </c>
      <c r="B374" s="633" t="s">
        <v>24067</v>
      </c>
      <c r="C374" s="715" t="s">
        <v>165</v>
      </c>
      <c r="D374" s="716">
        <v>8.89</v>
      </c>
    </row>
    <row r="375" spans="1:4" ht="56">
      <c r="A375" s="715">
        <v>90744</v>
      </c>
      <c r="B375" s="633" t="s">
        <v>24068</v>
      </c>
      <c r="C375" s="715" t="s">
        <v>165</v>
      </c>
      <c r="D375" s="716">
        <v>9.77</v>
      </c>
    </row>
    <row r="376" spans="1:4" ht="56">
      <c r="A376" s="715">
        <v>90745</v>
      </c>
      <c r="B376" s="633" t="s">
        <v>40146</v>
      </c>
      <c r="C376" s="715" t="s">
        <v>165</v>
      </c>
      <c r="D376" s="716">
        <v>13.21</v>
      </c>
    </row>
    <row r="377" spans="1:4" ht="56">
      <c r="A377" s="715">
        <v>90733</v>
      </c>
      <c r="B377" s="633" t="s">
        <v>24059</v>
      </c>
      <c r="C377" s="715" t="s">
        <v>165</v>
      </c>
      <c r="D377" s="716">
        <v>4.74</v>
      </c>
    </row>
    <row r="378" spans="1:4" ht="56">
      <c r="A378" s="715">
        <v>90734</v>
      </c>
      <c r="B378" s="633" t="s">
        <v>40147</v>
      </c>
      <c r="C378" s="715" t="s">
        <v>165</v>
      </c>
      <c r="D378" s="716">
        <v>5.62</v>
      </c>
    </row>
    <row r="379" spans="1:4" ht="56">
      <c r="A379" s="715">
        <v>90735</v>
      </c>
      <c r="B379" s="633" t="s">
        <v>24060</v>
      </c>
      <c r="C379" s="715" t="s">
        <v>165</v>
      </c>
      <c r="D379" s="716">
        <v>6.49</v>
      </c>
    </row>
    <row r="380" spans="1:4" ht="56">
      <c r="A380" s="715">
        <v>90736</v>
      </c>
      <c r="B380" s="633" t="s">
        <v>24061</v>
      </c>
      <c r="C380" s="715" t="s">
        <v>165</v>
      </c>
      <c r="D380" s="716">
        <v>7.37</v>
      </c>
    </row>
    <row r="381" spans="1:4" ht="56">
      <c r="A381" s="715">
        <v>90737</v>
      </c>
      <c r="B381" s="633" t="s">
        <v>40148</v>
      </c>
      <c r="C381" s="715" t="s">
        <v>165</v>
      </c>
      <c r="D381" s="716">
        <v>8.25</v>
      </c>
    </row>
    <row r="382" spans="1:4" ht="56">
      <c r="A382" s="715">
        <v>90738</v>
      </c>
      <c r="B382" s="633" t="s">
        <v>24062</v>
      </c>
      <c r="C382" s="715" t="s">
        <v>165</v>
      </c>
      <c r="D382" s="716">
        <v>9.1300000000000008</v>
      </c>
    </row>
    <row r="383" spans="1:4" ht="56">
      <c r="A383" s="715">
        <v>90739</v>
      </c>
      <c r="B383" s="633" t="s">
        <v>24063</v>
      </c>
      <c r="C383" s="715" t="s">
        <v>165</v>
      </c>
      <c r="D383" s="716">
        <v>11.83</v>
      </c>
    </row>
    <row r="384" spans="1:4" ht="42">
      <c r="A384" s="715">
        <v>90724</v>
      </c>
      <c r="B384" s="633" t="s">
        <v>24050</v>
      </c>
      <c r="C384" s="715" t="s">
        <v>103</v>
      </c>
      <c r="D384" s="716">
        <v>33.369999999999997</v>
      </c>
    </row>
    <row r="385" spans="1:4" ht="42">
      <c r="A385" s="715">
        <v>102267</v>
      </c>
      <c r="B385" s="633" t="s">
        <v>24084</v>
      </c>
      <c r="C385" s="715" t="s">
        <v>103</v>
      </c>
      <c r="D385" s="716">
        <v>178.55</v>
      </c>
    </row>
    <row r="386" spans="1:4" ht="42">
      <c r="A386" s="715">
        <v>102268</v>
      </c>
      <c r="B386" s="633" t="s">
        <v>24085</v>
      </c>
      <c r="C386" s="715" t="s">
        <v>103</v>
      </c>
      <c r="D386" s="716">
        <v>201.46</v>
      </c>
    </row>
    <row r="387" spans="1:4" ht="42">
      <c r="A387" s="715">
        <v>90725</v>
      </c>
      <c r="B387" s="633" t="s">
        <v>24051</v>
      </c>
      <c r="C387" s="715" t="s">
        <v>103</v>
      </c>
      <c r="D387" s="716">
        <v>41</v>
      </c>
    </row>
    <row r="388" spans="1:4" ht="42">
      <c r="A388" s="715">
        <v>102269</v>
      </c>
      <c r="B388" s="633" t="s">
        <v>24086</v>
      </c>
      <c r="C388" s="715" t="s">
        <v>103</v>
      </c>
      <c r="D388" s="716">
        <v>247.26</v>
      </c>
    </row>
    <row r="389" spans="1:4" ht="42">
      <c r="A389" s="715">
        <v>90726</v>
      </c>
      <c r="B389" s="633" t="s">
        <v>24052</v>
      </c>
      <c r="C389" s="715" t="s">
        <v>103</v>
      </c>
      <c r="D389" s="716">
        <v>48.7</v>
      </c>
    </row>
    <row r="390" spans="1:4" ht="42">
      <c r="A390" s="715">
        <v>90727</v>
      </c>
      <c r="B390" s="633" t="s">
        <v>24053</v>
      </c>
      <c r="C390" s="715" t="s">
        <v>103</v>
      </c>
      <c r="D390" s="716">
        <v>56.34</v>
      </c>
    </row>
    <row r="391" spans="1:4" ht="42">
      <c r="A391" s="715">
        <v>90728</v>
      </c>
      <c r="B391" s="633" t="s">
        <v>24054</v>
      </c>
      <c r="C391" s="715" t="s">
        <v>103</v>
      </c>
      <c r="D391" s="716">
        <v>63.97</v>
      </c>
    </row>
    <row r="392" spans="1:4" ht="42">
      <c r="A392" s="715">
        <v>90729</v>
      </c>
      <c r="B392" s="633" t="s">
        <v>24055</v>
      </c>
      <c r="C392" s="715" t="s">
        <v>103</v>
      </c>
      <c r="D392" s="716">
        <v>71.61</v>
      </c>
    </row>
    <row r="393" spans="1:4" ht="42">
      <c r="A393" s="715">
        <v>90730</v>
      </c>
      <c r="B393" s="633" t="s">
        <v>24056</v>
      </c>
      <c r="C393" s="715" t="s">
        <v>103</v>
      </c>
      <c r="D393" s="716">
        <v>79.25</v>
      </c>
    </row>
    <row r="394" spans="1:4" ht="42">
      <c r="A394" s="715">
        <v>90731</v>
      </c>
      <c r="B394" s="633" t="s">
        <v>24057</v>
      </c>
      <c r="C394" s="715" t="s">
        <v>103</v>
      </c>
      <c r="D394" s="716">
        <v>86.88</v>
      </c>
    </row>
    <row r="395" spans="1:4" ht="42">
      <c r="A395" s="715">
        <v>90732</v>
      </c>
      <c r="B395" s="633" t="s">
        <v>24058</v>
      </c>
      <c r="C395" s="715" t="s">
        <v>103</v>
      </c>
      <c r="D395" s="716">
        <v>109.78</v>
      </c>
    </row>
    <row r="396" spans="1:4" ht="42">
      <c r="A396" s="715">
        <v>102265</v>
      </c>
      <c r="B396" s="633" t="s">
        <v>24082</v>
      </c>
      <c r="C396" s="715" t="s">
        <v>103</v>
      </c>
      <c r="D396" s="716">
        <v>140.31</v>
      </c>
    </row>
    <row r="397" spans="1:4" ht="42">
      <c r="A397" s="715">
        <v>102266</v>
      </c>
      <c r="B397" s="633" t="s">
        <v>24083</v>
      </c>
      <c r="C397" s="715" t="s">
        <v>103</v>
      </c>
      <c r="D397" s="716">
        <v>155.58000000000001</v>
      </c>
    </row>
    <row r="398" spans="1:4" ht="56">
      <c r="A398" s="715">
        <v>94879</v>
      </c>
      <c r="B398" s="633" t="s">
        <v>24076</v>
      </c>
      <c r="C398" s="715" t="s">
        <v>165</v>
      </c>
      <c r="D398" s="716">
        <v>1947.74</v>
      </c>
    </row>
    <row r="399" spans="1:4" ht="56">
      <c r="A399" s="715">
        <v>94881</v>
      </c>
      <c r="B399" s="633" t="s">
        <v>24078</v>
      </c>
      <c r="C399" s="715" t="s">
        <v>165</v>
      </c>
      <c r="D399" s="716">
        <v>2680.94</v>
      </c>
    </row>
    <row r="400" spans="1:4" ht="56">
      <c r="A400" s="715">
        <v>94869</v>
      </c>
      <c r="B400" s="633" t="s">
        <v>24071</v>
      </c>
      <c r="C400" s="715" t="s">
        <v>165</v>
      </c>
      <c r="D400" s="716">
        <v>137.02000000000001</v>
      </c>
    </row>
    <row r="401" spans="1:4" ht="56">
      <c r="A401" s="715">
        <v>94871</v>
      </c>
      <c r="B401" s="633" t="s">
        <v>24073</v>
      </c>
      <c r="C401" s="715" t="s">
        <v>165</v>
      </c>
      <c r="D401" s="716">
        <v>214.47</v>
      </c>
    </row>
    <row r="402" spans="1:4" ht="56">
      <c r="A402" s="715">
        <v>90708</v>
      </c>
      <c r="B402" s="633" t="s">
        <v>24049</v>
      </c>
      <c r="C402" s="715" t="s">
        <v>165</v>
      </c>
      <c r="D402" s="716">
        <v>779.82</v>
      </c>
    </row>
    <row r="403" spans="1:4" ht="56">
      <c r="A403" s="715">
        <v>94875</v>
      </c>
      <c r="B403" s="633" t="s">
        <v>24074</v>
      </c>
      <c r="C403" s="715" t="s">
        <v>165</v>
      </c>
      <c r="D403" s="716">
        <v>1265.81</v>
      </c>
    </row>
    <row r="404" spans="1:4" ht="56">
      <c r="A404" s="715">
        <v>102264</v>
      </c>
      <c r="B404" s="633" t="s">
        <v>24081</v>
      </c>
      <c r="C404" s="715" t="s">
        <v>165</v>
      </c>
      <c r="D404" s="716">
        <v>24.24</v>
      </c>
    </row>
    <row r="405" spans="1:4" ht="56">
      <c r="A405" s="715">
        <v>90701</v>
      </c>
      <c r="B405" s="633" t="s">
        <v>24043</v>
      </c>
      <c r="C405" s="715" t="s">
        <v>165</v>
      </c>
      <c r="D405" s="716">
        <v>82.37</v>
      </c>
    </row>
    <row r="406" spans="1:4" ht="56">
      <c r="A406" s="715">
        <v>90702</v>
      </c>
      <c r="B406" s="633" t="s">
        <v>24044</v>
      </c>
      <c r="C406" s="715" t="s">
        <v>165</v>
      </c>
      <c r="D406" s="716">
        <v>136.07</v>
      </c>
    </row>
    <row r="407" spans="1:4" ht="56">
      <c r="A407" s="715">
        <v>90703</v>
      </c>
      <c r="B407" s="633" t="s">
        <v>24045</v>
      </c>
      <c r="C407" s="715" t="s">
        <v>165</v>
      </c>
      <c r="D407" s="716">
        <v>211.9</v>
      </c>
    </row>
    <row r="408" spans="1:4" ht="56">
      <c r="A408" s="715">
        <v>90704</v>
      </c>
      <c r="B408" s="633" t="s">
        <v>24046</v>
      </c>
      <c r="C408" s="715" t="s">
        <v>165</v>
      </c>
      <c r="D408" s="716">
        <v>312.85000000000002</v>
      </c>
    </row>
    <row r="409" spans="1:4" ht="56">
      <c r="A409" s="715">
        <v>90705</v>
      </c>
      <c r="B409" s="633" t="s">
        <v>24047</v>
      </c>
      <c r="C409" s="715" t="s">
        <v>165</v>
      </c>
      <c r="D409" s="716">
        <v>411.64</v>
      </c>
    </row>
    <row r="410" spans="1:4" ht="56">
      <c r="A410" s="715">
        <v>90706</v>
      </c>
      <c r="B410" s="633" t="s">
        <v>24048</v>
      </c>
      <c r="C410" s="715" t="s">
        <v>165</v>
      </c>
      <c r="D410" s="716">
        <v>544.48</v>
      </c>
    </row>
    <row r="411" spans="1:4" ht="42">
      <c r="A411" s="715">
        <v>90694</v>
      </c>
      <c r="B411" s="633" t="s">
        <v>24041</v>
      </c>
      <c r="C411" s="715" t="s">
        <v>165</v>
      </c>
      <c r="D411" s="716">
        <v>55.65</v>
      </c>
    </row>
    <row r="412" spans="1:4" ht="42">
      <c r="A412" s="715">
        <v>90695</v>
      </c>
      <c r="B412" s="633" t="s">
        <v>40149</v>
      </c>
      <c r="C412" s="715" t="s">
        <v>165</v>
      </c>
      <c r="D412" s="716">
        <v>105.34</v>
      </c>
    </row>
    <row r="413" spans="1:4" ht="42">
      <c r="A413" s="715">
        <v>90696</v>
      </c>
      <c r="B413" s="633" t="s">
        <v>24042</v>
      </c>
      <c r="C413" s="715" t="s">
        <v>165</v>
      </c>
      <c r="D413" s="716">
        <v>175.66</v>
      </c>
    </row>
    <row r="414" spans="1:4" ht="42">
      <c r="A414" s="715">
        <v>90697</v>
      </c>
      <c r="B414" s="633" t="s">
        <v>40150</v>
      </c>
      <c r="C414" s="715" t="s">
        <v>165</v>
      </c>
      <c r="D414" s="716">
        <v>272.20999999999998</v>
      </c>
    </row>
    <row r="415" spans="1:4" ht="42">
      <c r="A415" s="715">
        <v>90698</v>
      </c>
      <c r="B415" s="633" t="s">
        <v>40151</v>
      </c>
      <c r="C415" s="715" t="s">
        <v>165</v>
      </c>
      <c r="D415" s="716">
        <v>415.72</v>
      </c>
    </row>
    <row r="416" spans="1:4" ht="42">
      <c r="A416" s="715">
        <v>90699</v>
      </c>
      <c r="B416" s="633" t="s">
        <v>40152</v>
      </c>
      <c r="C416" s="715" t="s">
        <v>165</v>
      </c>
      <c r="D416" s="716">
        <v>584.85</v>
      </c>
    </row>
    <row r="417" spans="1:4" ht="42">
      <c r="A417" s="715">
        <v>90700</v>
      </c>
      <c r="B417" s="633" t="s">
        <v>40153</v>
      </c>
      <c r="C417" s="715" t="s">
        <v>165</v>
      </c>
      <c r="D417" s="716">
        <v>682.31</v>
      </c>
    </row>
    <row r="418" spans="1:4" ht="70">
      <c r="A418" s="715">
        <v>105378</v>
      </c>
      <c r="B418" s="633" t="s">
        <v>28640</v>
      </c>
      <c r="C418" s="715" t="s">
        <v>103</v>
      </c>
      <c r="D418" s="716">
        <v>15.15</v>
      </c>
    </row>
    <row r="419" spans="1:4" ht="70">
      <c r="A419" s="715">
        <v>105373</v>
      </c>
      <c r="B419" s="633" t="s">
        <v>28732</v>
      </c>
      <c r="C419" s="715" t="s">
        <v>103</v>
      </c>
      <c r="D419" s="716">
        <v>11.84</v>
      </c>
    </row>
    <row r="420" spans="1:4" ht="70">
      <c r="A420" s="715">
        <v>105380</v>
      </c>
      <c r="B420" s="633" t="s">
        <v>28642</v>
      </c>
      <c r="C420" s="715" t="s">
        <v>103</v>
      </c>
      <c r="D420" s="716">
        <v>121.6</v>
      </c>
    </row>
    <row r="421" spans="1:4" ht="70">
      <c r="A421" s="715">
        <v>105267</v>
      </c>
      <c r="B421" s="633" t="s">
        <v>28580</v>
      </c>
      <c r="C421" s="715" t="s">
        <v>103</v>
      </c>
      <c r="D421" s="716">
        <v>99.28</v>
      </c>
    </row>
    <row r="422" spans="1:4" ht="70">
      <c r="A422" s="715">
        <v>105249</v>
      </c>
      <c r="B422" s="633" t="s">
        <v>28563</v>
      </c>
      <c r="C422" s="715" t="s">
        <v>103</v>
      </c>
      <c r="D422" s="716">
        <v>147.38</v>
      </c>
    </row>
    <row r="423" spans="1:4" ht="70">
      <c r="A423" s="715">
        <v>105268</v>
      </c>
      <c r="B423" s="633" t="s">
        <v>28581</v>
      </c>
      <c r="C423" s="715" t="s">
        <v>103</v>
      </c>
      <c r="D423" s="716">
        <v>121.02</v>
      </c>
    </row>
    <row r="424" spans="1:4" ht="70">
      <c r="A424" s="715">
        <v>105379</v>
      </c>
      <c r="B424" s="633" t="s">
        <v>28641</v>
      </c>
      <c r="C424" s="715" t="s">
        <v>103</v>
      </c>
      <c r="D424" s="716">
        <v>20.260000000000002</v>
      </c>
    </row>
    <row r="425" spans="1:4" ht="70">
      <c r="A425" s="715">
        <v>105388</v>
      </c>
      <c r="B425" s="633" t="s">
        <v>28643</v>
      </c>
      <c r="C425" s="715" t="s">
        <v>103</v>
      </c>
      <c r="D425" s="716">
        <v>16.12</v>
      </c>
    </row>
    <row r="426" spans="1:4" ht="70">
      <c r="A426" s="715">
        <v>105392</v>
      </c>
      <c r="B426" s="633" t="s">
        <v>28647</v>
      </c>
      <c r="C426" s="715" t="s">
        <v>103</v>
      </c>
      <c r="D426" s="716">
        <v>25.39</v>
      </c>
    </row>
    <row r="427" spans="1:4" ht="70">
      <c r="A427" s="715">
        <v>105389</v>
      </c>
      <c r="B427" s="633" t="s">
        <v>28644</v>
      </c>
      <c r="C427" s="715" t="s">
        <v>103</v>
      </c>
      <c r="D427" s="716">
        <v>20.41</v>
      </c>
    </row>
    <row r="428" spans="1:4" ht="70">
      <c r="A428" s="715">
        <v>105393</v>
      </c>
      <c r="B428" s="633" t="s">
        <v>28648</v>
      </c>
      <c r="C428" s="715" t="s">
        <v>103</v>
      </c>
      <c r="D428" s="716">
        <v>30.68</v>
      </c>
    </row>
    <row r="429" spans="1:4" ht="70">
      <c r="A429" s="715">
        <v>105316</v>
      </c>
      <c r="B429" s="633" t="s">
        <v>28705</v>
      </c>
      <c r="C429" s="715" t="s">
        <v>103</v>
      </c>
      <c r="D429" s="716">
        <v>24.87</v>
      </c>
    </row>
    <row r="430" spans="1:4" ht="70">
      <c r="A430" s="715">
        <v>105394</v>
      </c>
      <c r="B430" s="633" t="s">
        <v>28649</v>
      </c>
      <c r="C430" s="715" t="s">
        <v>103</v>
      </c>
      <c r="D430" s="716">
        <v>35.909999999999997</v>
      </c>
    </row>
    <row r="431" spans="1:4" ht="70">
      <c r="A431" s="715">
        <v>105317</v>
      </c>
      <c r="B431" s="633" t="s">
        <v>28609</v>
      </c>
      <c r="C431" s="715" t="s">
        <v>103</v>
      </c>
      <c r="D431" s="716">
        <v>29.28</v>
      </c>
    </row>
    <row r="432" spans="1:4" ht="70">
      <c r="A432" s="715">
        <v>105395</v>
      </c>
      <c r="B432" s="633" t="s">
        <v>28650</v>
      </c>
      <c r="C432" s="715" t="s">
        <v>103</v>
      </c>
      <c r="D432" s="716">
        <v>41.16</v>
      </c>
    </row>
    <row r="433" spans="1:4" ht="70">
      <c r="A433" s="715">
        <v>105318</v>
      </c>
      <c r="B433" s="633" t="s">
        <v>28610</v>
      </c>
      <c r="C433" s="715" t="s">
        <v>103</v>
      </c>
      <c r="D433" s="716">
        <v>33.68</v>
      </c>
    </row>
    <row r="434" spans="1:4" ht="70">
      <c r="A434" s="715">
        <v>105396</v>
      </c>
      <c r="B434" s="633" t="s">
        <v>28651</v>
      </c>
      <c r="C434" s="715" t="s">
        <v>103</v>
      </c>
      <c r="D434" s="716">
        <v>46.4</v>
      </c>
    </row>
    <row r="435" spans="1:4" ht="70">
      <c r="A435" s="715">
        <v>105258</v>
      </c>
      <c r="B435" s="633" t="s">
        <v>28572</v>
      </c>
      <c r="C435" s="715" t="s">
        <v>103</v>
      </c>
      <c r="D435" s="716">
        <v>38.1</v>
      </c>
    </row>
    <row r="436" spans="1:4" ht="70">
      <c r="A436" s="715">
        <v>105397</v>
      </c>
      <c r="B436" s="633" t="s">
        <v>28652</v>
      </c>
      <c r="C436" s="715" t="s">
        <v>103</v>
      </c>
      <c r="D436" s="716">
        <v>51.77</v>
      </c>
    </row>
    <row r="437" spans="1:4" ht="70">
      <c r="A437" s="715">
        <v>105261</v>
      </c>
      <c r="B437" s="633" t="s">
        <v>28574</v>
      </c>
      <c r="C437" s="715" t="s">
        <v>103</v>
      </c>
      <c r="D437" s="716">
        <v>42.62</v>
      </c>
    </row>
    <row r="438" spans="1:4" ht="70">
      <c r="A438" s="715">
        <v>105398</v>
      </c>
      <c r="B438" s="633" t="s">
        <v>28653</v>
      </c>
      <c r="C438" s="715" t="s">
        <v>103</v>
      </c>
      <c r="D438" s="716">
        <v>64.16</v>
      </c>
    </row>
    <row r="439" spans="1:4" ht="70">
      <c r="A439" s="715">
        <v>105262</v>
      </c>
      <c r="B439" s="633" t="s">
        <v>28575</v>
      </c>
      <c r="C439" s="715" t="s">
        <v>103</v>
      </c>
      <c r="D439" s="716">
        <v>51.89</v>
      </c>
    </row>
    <row r="440" spans="1:4" ht="70">
      <c r="A440" s="715">
        <v>105399</v>
      </c>
      <c r="B440" s="633" t="s">
        <v>28654</v>
      </c>
      <c r="C440" s="715" t="s">
        <v>103</v>
      </c>
      <c r="D440" s="716">
        <v>75.930000000000007</v>
      </c>
    </row>
    <row r="441" spans="1:4" ht="70">
      <c r="A441" s="715">
        <v>105263</v>
      </c>
      <c r="B441" s="633" t="s">
        <v>28576</v>
      </c>
      <c r="C441" s="715" t="s">
        <v>103</v>
      </c>
      <c r="D441" s="716">
        <v>61.66</v>
      </c>
    </row>
    <row r="442" spans="1:4" ht="70">
      <c r="A442" s="715">
        <v>105400</v>
      </c>
      <c r="B442" s="633" t="s">
        <v>28655</v>
      </c>
      <c r="C442" s="715" t="s">
        <v>103</v>
      </c>
      <c r="D442" s="716">
        <v>87.06</v>
      </c>
    </row>
    <row r="443" spans="1:4" ht="70">
      <c r="A443" s="715">
        <v>105264</v>
      </c>
      <c r="B443" s="633" t="s">
        <v>28577</v>
      </c>
      <c r="C443" s="715" t="s">
        <v>103</v>
      </c>
      <c r="D443" s="716">
        <v>70.760000000000005</v>
      </c>
    </row>
    <row r="444" spans="1:4" ht="70">
      <c r="A444" s="715">
        <v>105297</v>
      </c>
      <c r="B444" s="633" t="s">
        <v>28598</v>
      </c>
      <c r="C444" s="715" t="s">
        <v>103</v>
      </c>
      <c r="D444" s="716">
        <v>13.07</v>
      </c>
    </row>
    <row r="445" spans="1:4" ht="70">
      <c r="A445" s="715">
        <v>105372</v>
      </c>
      <c r="B445" s="633" t="s">
        <v>28731</v>
      </c>
      <c r="C445" s="715" t="s">
        <v>103</v>
      </c>
      <c r="D445" s="716">
        <v>10.1</v>
      </c>
    </row>
    <row r="446" spans="1:4" ht="70">
      <c r="A446" s="715">
        <v>105401</v>
      </c>
      <c r="B446" s="633" t="s">
        <v>28656</v>
      </c>
      <c r="C446" s="715" t="s">
        <v>103</v>
      </c>
      <c r="D446" s="716">
        <v>98.42</v>
      </c>
    </row>
    <row r="447" spans="1:4" ht="70">
      <c r="A447" s="715">
        <v>105265</v>
      </c>
      <c r="B447" s="633" t="s">
        <v>28578</v>
      </c>
      <c r="C447" s="715" t="s">
        <v>103</v>
      </c>
      <c r="D447" s="716">
        <v>80.099999999999994</v>
      </c>
    </row>
    <row r="448" spans="1:4" ht="70">
      <c r="A448" s="715">
        <v>105402</v>
      </c>
      <c r="B448" s="633" t="s">
        <v>28657</v>
      </c>
      <c r="C448" s="715" t="s">
        <v>103</v>
      </c>
      <c r="D448" s="716">
        <v>109.97</v>
      </c>
    </row>
    <row r="449" spans="1:4" ht="70">
      <c r="A449" s="715">
        <v>105266</v>
      </c>
      <c r="B449" s="633" t="s">
        <v>28579</v>
      </c>
      <c r="C449" s="715" t="s">
        <v>103</v>
      </c>
      <c r="D449" s="716">
        <v>89.66</v>
      </c>
    </row>
    <row r="450" spans="1:4" ht="70">
      <c r="A450" s="715">
        <v>105361</v>
      </c>
      <c r="B450" s="633" t="s">
        <v>28721</v>
      </c>
      <c r="C450" s="715" t="s">
        <v>103</v>
      </c>
      <c r="D450" s="716">
        <v>23.58</v>
      </c>
    </row>
    <row r="451" spans="1:4" ht="70">
      <c r="A451" s="715">
        <v>105382</v>
      </c>
      <c r="B451" s="633" t="s">
        <v>28737</v>
      </c>
      <c r="C451" s="715" t="s">
        <v>103</v>
      </c>
      <c r="D451" s="716">
        <v>19.38</v>
      </c>
    </row>
    <row r="452" spans="1:4" ht="70">
      <c r="A452" s="715">
        <v>105359</v>
      </c>
      <c r="B452" s="633" t="s">
        <v>28719</v>
      </c>
      <c r="C452" s="715" t="s">
        <v>103</v>
      </c>
      <c r="D452" s="716">
        <v>16.91</v>
      </c>
    </row>
    <row r="453" spans="1:4" ht="70">
      <c r="A453" s="715">
        <v>105315</v>
      </c>
      <c r="B453" s="633" t="s">
        <v>28704</v>
      </c>
      <c r="C453" s="715" t="s">
        <v>103</v>
      </c>
      <c r="D453" s="716">
        <v>13.82</v>
      </c>
    </row>
    <row r="454" spans="1:4" ht="70">
      <c r="A454" s="715">
        <v>105360</v>
      </c>
      <c r="B454" s="633" t="s">
        <v>28720</v>
      </c>
      <c r="C454" s="715" t="s">
        <v>103</v>
      </c>
      <c r="D454" s="716">
        <v>20.309999999999999</v>
      </c>
    </row>
    <row r="455" spans="1:4" ht="70">
      <c r="A455" s="715">
        <v>105381</v>
      </c>
      <c r="B455" s="633" t="s">
        <v>28736</v>
      </c>
      <c r="C455" s="715" t="s">
        <v>103</v>
      </c>
      <c r="D455" s="716">
        <v>16.68</v>
      </c>
    </row>
    <row r="456" spans="1:4" ht="70">
      <c r="A456" s="715">
        <v>105251</v>
      </c>
      <c r="B456" s="633" t="s">
        <v>28565</v>
      </c>
      <c r="C456" s="715" t="s">
        <v>103</v>
      </c>
      <c r="D456" s="716">
        <v>22.33</v>
      </c>
    </row>
    <row r="457" spans="1:4" ht="70">
      <c r="A457" s="715">
        <v>105282</v>
      </c>
      <c r="B457" s="633" t="s">
        <v>28595</v>
      </c>
      <c r="C457" s="715" t="s">
        <v>103</v>
      </c>
      <c r="D457" s="716">
        <v>17.399999999999999</v>
      </c>
    </row>
    <row r="458" spans="1:4" ht="70">
      <c r="A458" s="715">
        <v>105276</v>
      </c>
      <c r="B458" s="633" t="s">
        <v>28589</v>
      </c>
      <c r="C458" s="715" t="s">
        <v>103</v>
      </c>
      <c r="D458" s="716">
        <v>179.06</v>
      </c>
    </row>
    <row r="459" spans="1:4" ht="70">
      <c r="A459" s="715">
        <v>105341</v>
      </c>
      <c r="B459" s="633" t="s">
        <v>28620</v>
      </c>
      <c r="C459" s="715" t="s">
        <v>103</v>
      </c>
      <c r="D459" s="716">
        <v>145.57</v>
      </c>
    </row>
    <row r="460" spans="1:4" ht="70">
      <c r="A460" s="715">
        <v>105277</v>
      </c>
      <c r="B460" s="633" t="s">
        <v>28590</v>
      </c>
      <c r="C460" s="715" t="s">
        <v>103</v>
      </c>
      <c r="D460" s="716">
        <v>215.68</v>
      </c>
    </row>
    <row r="461" spans="1:4" ht="70">
      <c r="A461" s="715">
        <v>105342</v>
      </c>
      <c r="B461" s="633" t="s">
        <v>28621</v>
      </c>
      <c r="C461" s="715" t="s">
        <v>103</v>
      </c>
      <c r="D461" s="716">
        <v>176.14</v>
      </c>
    </row>
    <row r="462" spans="1:4" ht="70">
      <c r="A462" s="715">
        <v>105252</v>
      </c>
      <c r="B462" s="633" t="s">
        <v>28566</v>
      </c>
      <c r="C462" s="715" t="s">
        <v>103</v>
      </c>
      <c r="D462" s="716">
        <v>29.92</v>
      </c>
    </row>
    <row r="463" spans="1:4" ht="70">
      <c r="A463" s="715">
        <v>105298</v>
      </c>
      <c r="B463" s="633" t="s">
        <v>28599</v>
      </c>
      <c r="C463" s="715" t="s">
        <v>103</v>
      </c>
      <c r="D463" s="716">
        <v>23.71</v>
      </c>
    </row>
    <row r="464" spans="1:4" ht="70">
      <c r="A464" s="715">
        <v>105253</v>
      </c>
      <c r="B464" s="633" t="s">
        <v>28567</v>
      </c>
      <c r="C464" s="715" t="s">
        <v>103</v>
      </c>
      <c r="D464" s="716">
        <v>37.479999999999997</v>
      </c>
    </row>
    <row r="465" spans="1:4" ht="70">
      <c r="A465" s="715">
        <v>105299</v>
      </c>
      <c r="B465" s="633" t="s">
        <v>28600</v>
      </c>
      <c r="C465" s="715" t="s">
        <v>103</v>
      </c>
      <c r="D465" s="716">
        <v>30.02</v>
      </c>
    </row>
    <row r="466" spans="1:4" ht="70">
      <c r="A466" s="715">
        <v>105254</v>
      </c>
      <c r="B466" s="633" t="s">
        <v>28568</v>
      </c>
      <c r="C466" s="715" t="s">
        <v>103</v>
      </c>
      <c r="D466" s="716">
        <v>45.2</v>
      </c>
    </row>
    <row r="467" spans="1:4" ht="70">
      <c r="A467" s="715">
        <v>105300</v>
      </c>
      <c r="B467" s="633" t="s">
        <v>28601</v>
      </c>
      <c r="C467" s="715" t="s">
        <v>103</v>
      </c>
      <c r="D467" s="716">
        <v>36.479999999999997</v>
      </c>
    </row>
    <row r="468" spans="1:4" ht="70">
      <c r="A468" s="715">
        <v>105255</v>
      </c>
      <c r="B468" s="633" t="s">
        <v>28569</v>
      </c>
      <c r="C468" s="715" t="s">
        <v>103</v>
      </c>
      <c r="D468" s="716">
        <v>52.9</v>
      </c>
    </row>
    <row r="469" spans="1:4" ht="70">
      <c r="A469" s="715">
        <v>105301</v>
      </c>
      <c r="B469" s="633" t="s">
        <v>28602</v>
      </c>
      <c r="C469" s="715" t="s">
        <v>103</v>
      </c>
      <c r="D469" s="716">
        <v>42.94</v>
      </c>
    </row>
    <row r="470" spans="1:4" ht="70">
      <c r="A470" s="715">
        <v>105256</v>
      </c>
      <c r="B470" s="633" t="s">
        <v>28570</v>
      </c>
      <c r="C470" s="715" t="s">
        <v>103</v>
      </c>
      <c r="D470" s="716">
        <v>60.59</v>
      </c>
    </row>
    <row r="471" spans="1:4" ht="70">
      <c r="A471" s="715">
        <v>105302</v>
      </c>
      <c r="B471" s="633" t="s">
        <v>28603</v>
      </c>
      <c r="C471" s="715" t="s">
        <v>103</v>
      </c>
      <c r="D471" s="716">
        <v>49.38</v>
      </c>
    </row>
    <row r="472" spans="1:4" ht="70">
      <c r="A472" s="715">
        <v>105257</v>
      </c>
      <c r="B472" s="633" t="s">
        <v>28571</v>
      </c>
      <c r="C472" s="715" t="s">
        <v>103</v>
      </c>
      <c r="D472" s="716">
        <v>68.27</v>
      </c>
    </row>
    <row r="473" spans="1:4" ht="70">
      <c r="A473" s="715">
        <v>105303</v>
      </c>
      <c r="B473" s="633" t="s">
        <v>28604</v>
      </c>
      <c r="C473" s="715" t="s">
        <v>103</v>
      </c>
      <c r="D473" s="716">
        <v>55.8</v>
      </c>
    </row>
    <row r="474" spans="1:4" ht="70">
      <c r="A474" s="715">
        <v>105270</v>
      </c>
      <c r="B474" s="633" t="s">
        <v>28583</v>
      </c>
      <c r="C474" s="715" t="s">
        <v>103</v>
      </c>
      <c r="D474" s="716">
        <v>76.09</v>
      </c>
    </row>
    <row r="475" spans="1:4" ht="70">
      <c r="A475" s="715">
        <v>105304</v>
      </c>
      <c r="B475" s="633" t="s">
        <v>28605</v>
      </c>
      <c r="C475" s="715" t="s">
        <v>103</v>
      </c>
      <c r="D475" s="716">
        <v>62.38</v>
      </c>
    </row>
    <row r="476" spans="1:4" ht="70">
      <c r="A476" s="715">
        <v>105271</v>
      </c>
      <c r="B476" s="633" t="s">
        <v>28584</v>
      </c>
      <c r="C476" s="715" t="s">
        <v>103</v>
      </c>
      <c r="D476" s="716">
        <v>94.47</v>
      </c>
    </row>
    <row r="477" spans="1:4" ht="70">
      <c r="A477" s="715">
        <v>105305</v>
      </c>
      <c r="B477" s="633" t="s">
        <v>28606</v>
      </c>
      <c r="C477" s="715" t="s">
        <v>103</v>
      </c>
      <c r="D477" s="716">
        <v>76.08</v>
      </c>
    </row>
    <row r="478" spans="1:4" ht="70">
      <c r="A478" s="715">
        <v>105272</v>
      </c>
      <c r="B478" s="633" t="s">
        <v>28585</v>
      </c>
      <c r="C478" s="715" t="s">
        <v>103</v>
      </c>
      <c r="D478" s="716">
        <v>111.67</v>
      </c>
    </row>
    <row r="479" spans="1:4" ht="70">
      <c r="A479" s="715">
        <v>105306</v>
      </c>
      <c r="B479" s="633" t="s">
        <v>28607</v>
      </c>
      <c r="C479" s="715" t="s">
        <v>103</v>
      </c>
      <c r="D479" s="716">
        <v>90.25</v>
      </c>
    </row>
    <row r="480" spans="1:4" ht="70">
      <c r="A480" s="715">
        <v>105273</v>
      </c>
      <c r="B480" s="633" t="s">
        <v>28586</v>
      </c>
      <c r="C480" s="715" t="s">
        <v>103</v>
      </c>
      <c r="D480" s="716">
        <v>128.21</v>
      </c>
    </row>
    <row r="481" spans="1:4" ht="70">
      <c r="A481" s="715">
        <v>105307</v>
      </c>
      <c r="B481" s="633" t="s">
        <v>28608</v>
      </c>
      <c r="C481" s="715" t="s">
        <v>103</v>
      </c>
      <c r="D481" s="716">
        <v>103.78</v>
      </c>
    </row>
    <row r="482" spans="1:4" ht="70">
      <c r="A482" s="715">
        <v>105250</v>
      </c>
      <c r="B482" s="633" t="s">
        <v>28564</v>
      </c>
      <c r="C482" s="715" t="s">
        <v>103</v>
      </c>
      <c r="D482" s="716">
        <v>19.28</v>
      </c>
    </row>
    <row r="483" spans="1:4" ht="70">
      <c r="A483" s="715">
        <v>105269</v>
      </c>
      <c r="B483" s="633" t="s">
        <v>28582</v>
      </c>
      <c r="C483" s="715" t="s">
        <v>103</v>
      </c>
      <c r="D483" s="716">
        <v>14.83</v>
      </c>
    </row>
    <row r="484" spans="1:4" ht="70">
      <c r="A484" s="715">
        <v>105274</v>
      </c>
      <c r="B484" s="633" t="s">
        <v>28587</v>
      </c>
      <c r="C484" s="715" t="s">
        <v>103</v>
      </c>
      <c r="D484" s="716">
        <v>145.01</v>
      </c>
    </row>
    <row r="485" spans="1:4" ht="70">
      <c r="A485" s="715">
        <v>105340</v>
      </c>
      <c r="B485" s="633" t="s">
        <v>28619</v>
      </c>
      <c r="C485" s="715" t="s">
        <v>103</v>
      </c>
      <c r="D485" s="716">
        <v>117.56</v>
      </c>
    </row>
    <row r="486" spans="1:4" ht="70">
      <c r="A486" s="715">
        <v>105275</v>
      </c>
      <c r="B486" s="633" t="s">
        <v>28588</v>
      </c>
      <c r="C486" s="715" t="s">
        <v>103</v>
      </c>
      <c r="D486" s="716">
        <v>161.97999999999999</v>
      </c>
    </row>
    <row r="487" spans="1:4" ht="70">
      <c r="A487" s="715">
        <v>105390</v>
      </c>
      <c r="B487" s="633" t="s">
        <v>28645</v>
      </c>
      <c r="C487" s="715" t="s">
        <v>103</v>
      </c>
      <c r="D487" s="716">
        <v>131.51</v>
      </c>
    </row>
    <row r="488" spans="1:4" ht="70">
      <c r="A488" s="715">
        <v>105364</v>
      </c>
      <c r="B488" s="633" t="s">
        <v>28724</v>
      </c>
      <c r="C488" s="715" t="s">
        <v>103</v>
      </c>
      <c r="D488" s="716">
        <v>34.700000000000003</v>
      </c>
    </row>
    <row r="489" spans="1:4" ht="70">
      <c r="A489" s="715">
        <v>105385</v>
      </c>
      <c r="B489" s="633" t="s">
        <v>28740</v>
      </c>
      <c r="C489" s="715" t="s">
        <v>103</v>
      </c>
      <c r="D489" s="716">
        <v>28.4</v>
      </c>
    </row>
    <row r="490" spans="1:4" ht="70">
      <c r="A490" s="715">
        <v>105362</v>
      </c>
      <c r="B490" s="633" t="s">
        <v>28722</v>
      </c>
      <c r="C490" s="715" t="s">
        <v>103</v>
      </c>
      <c r="D490" s="716">
        <v>25.06</v>
      </c>
    </row>
    <row r="491" spans="1:4" ht="70">
      <c r="A491" s="715">
        <v>105383</v>
      </c>
      <c r="B491" s="633" t="s">
        <v>28738</v>
      </c>
      <c r="C491" s="715" t="s">
        <v>103</v>
      </c>
      <c r="D491" s="716">
        <v>20.45</v>
      </c>
    </row>
    <row r="492" spans="1:4" ht="70">
      <c r="A492" s="715">
        <v>105363</v>
      </c>
      <c r="B492" s="633" t="s">
        <v>28723</v>
      </c>
      <c r="C492" s="715" t="s">
        <v>103</v>
      </c>
      <c r="D492" s="716">
        <v>29.95</v>
      </c>
    </row>
    <row r="493" spans="1:4" ht="70">
      <c r="A493" s="715">
        <v>105384</v>
      </c>
      <c r="B493" s="633" t="s">
        <v>28739</v>
      </c>
      <c r="C493" s="715" t="s">
        <v>103</v>
      </c>
      <c r="D493" s="716">
        <v>24.5</v>
      </c>
    </row>
    <row r="494" spans="1:4" ht="70">
      <c r="A494" s="715">
        <v>105279</v>
      </c>
      <c r="B494" s="633" t="s">
        <v>28592</v>
      </c>
      <c r="C494" s="715" t="s">
        <v>103</v>
      </c>
      <c r="D494" s="716">
        <v>30.33</v>
      </c>
    </row>
    <row r="495" spans="1:4" ht="70">
      <c r="A495" s="715">
        <v>105259</v>
      </c>
      <c r="B495" s="633" t="s">
        <v>28573</v>
      </c>
      <c r="C495" s="715" t="s">
        <v>103</v>
      </c>
      <c r="D495" s="716">
        <v>23.73</v>
      </c>
    </row>
    <row r="496" spans="1:4" ht="70">
      <c r="A496" s="715">
        <v>105357</v>
      </c>
      <c r="B496" s="633" t="s">
        <v>28636</v>
      </c>
      <c r="C496" s="715" t="s">
        <v>103</v>
      </c>
      <c r="D496" s="716">
        <v>243.23</v>
      </c>
    </row>
    <row r="497" spans="1:4" ht="70">
      <c r="A497" s="715">
        <v>105346</v>
      </c>
      <c r="B497" s="633" t="s">
        <v>28625</v>
      </c>
      <c r="C497" s="715" t="s">
        <v>103</v>
      </c>
      <c r="D497" s="716">
        <v>198.58</v>
      </c>
    </row>
    <row r="498" spans="1:4" ht="70">
      <c r="A498" s="715">
        <v>105358</v>
      </c>
      <c r="B498" s="633" t="s">
        <v>28637</v>
      </c>
      <c r="C498" s="715" t="s">
        <v>103</v>
      </c>
      <c r="D498" s="716">
        <v>294.77</v>
      </c>
    </row>
    <row r="499" spans="1:4" ht="70">
      <c r="A499" s="715">
        <v>105347</v>
      </c>
      <c r="B499" s="633" t="s">
        <v>28626</v>
      </c>
      <c r="C499" s="715" t="s">
        <v>103</v>
      </c>
      <c r="D499" s="716">
        <v>242.05</v>
      </c>
    </row>
    <row r="500" spans="1:4" ht="70">
      <c r="A500" s="715">
        <v>105280</v>
      </c>
      <c r="B500" s="633" t="s">
        <v>28593</v>
      </c>
      <c r="C500" s="715" t="s">
        <v>103</v>
      </c>
      <c r="D500" s="716">
        <v>40.57</v>
      </c>
    </row>
    <row r="501" spans="1:4" ht="70">
      <c r="A501" s="715">
        <v>105283</v>
      </c>
      <c r="B501" s="633" t="s">
        <v>28596</v>
      </c>
      <c r="C501" s="715" t="s">
        <v>103</v>
      </c>
      <c r="D501" s="716">
        <v>32.31</v>
      </c>
    </row>
    <row r="502" spans="1:4" ht="70">
      <c r="A502" s="715">
        <v>105281</v>
      </c>
      <c r="B502" s="633" t="s">
        <v>28594</v>
      </c>
      <c r="C502" s="715" t="s">
        <v>103</v>
      </c>
      <c r="D502" s="716">
        <v>50.82</v>
      </c>
    </row>
    <row r="503" spans="1:4" ht="70">
      <c r="A503" s="715">
        <v>105319</v>
      </c>
      <c r="B503" s="633" t="s">
        <v>28611</v>
      </c>
      <c r="C503" s="715" t="s">
        <v>103</v>
      </c>
      <c r="D503" s="716">
        <v>40.880000000000003</v>
      </c>
    </row>
    <row r="504" spans="1:4" ht="70">
      <c r="A504" s="715">
        <v>105284</v>
      </c>
      <c r="B504" s="633" t="s">
        <v>28597</v>
      </c>
      <c r="C504" s="715" t="s">
        <v>103</v>
      </c>
      <c r="D504" s="716">
        <v>61.36</v>
      </c>
    </row>
    <row r="505" spans="1:4" ht="70">
      <c r="A505" s="715">
        <v>105320</v>
      </c>
      <c r="B505" s="633" t="s">
        <v>28612</v>
      </c>
      <c r="C505" s="715" t="s">
        <v>103</v>
      </c>
      <c r="D505" s="716">
        <v>49.75</v>
      </c>
    </row>
    <row r="506" spans="1:4" ht="70">
      <c r="A506" s="715">
        <v>105348</v>
      </c>
      <c r="B506" s="633" t="s">
        <v>28627</v>
      </c>
      <c r="C506" s="715" t="s">
        <v>103</v>
      </c>
      <c r="D506" s="716">
        <v>71.849999999999994</v>
      </c>
    </row>
    <row r="507" spans="1:4" ht="70">
      <c r="A507" s="715">
        <v>105321</v>
      </c>
      <c r="B507" s="633" t="s">
        <v>28613</v>
      </c>
      <c r="C507" s="715" t="s">
        <v>103</v>
      </c>
      <c r="D507" s="716">
        <v>58.58</v>
      </c>
    </row>
    <row r="508" spans="1:4" ht="70">
      <c r="A508" s="715">
        <v>105349</v>
      </c>
      <c r="B508" s="633" t="s">
        <v>28628</v>
      </c>
      <c r="C508" s="715" t="s">
        <v>103</v>
      </c>
      <c r="D508" s="716">
        <v>82.34</v>
      </c>
    </row>
    <row r="509" spans="1:4" ht="70">
      <c r="A509" s="715">
        <v>105322</v>
      </c>
      <c r="B509" s="633" t="s">
        <v>28614</v>
      </c>
      <c r="C509" s="715" t="s">
        <v>103</v>
      </c>
      <c r="D509" s="716">
        <v>67.39</v>
      </c>
    </row>
    <row r="510" spans="1:4" ht="70">
      <c r="A510" s="715">
        <v>105350</v>
      </c>
      <c r="B510" s="633" t="s">
        <v>28629</v>
      </c>
      <c r="C510" s="715" t="s">
        <v>103</v>
      </c>
      <c r="D510" s="716">
        <v>92.83</v>
      </c>
    </row>
    <row r="511" spans="1:4" ht="70">
      <c r="A511" s="715">
        <v>105323</v>
      </c>
      <c r="B511" s="633" t="s">
        <v>28615</v>
      </c>
      <c r="C511" s="715" t="s">
        <v>103</v>
      </c>
      <c r="D511" s="716">
        <v>76.209999999999994</v>
      </c>
    </row>
    <row r="512" spans="1:4" ht="70">
      <c r="A512" s="715">
        <v>105351</v>
      </c>
      <c r="B512" s="633" t="s">
        <v>28630</v>
      </c>
      <c r="C512" s="715" t="s">
        <v>103</v>
      </c>
      <c r="D512" s="716">
        <v>103.57</v>
      </c>
    </row>
    <row r="513" spans="1:4" ht="70">
      <c r="A513" s="715">
        <v>105324</v>
      </c>
      <c r="B513" s="633" t="s">
        <v>28616</v>
      </c>
      <c r="C513" s="715" t="s">
        <v>103</v>
      </c>
      <c r="D513" s="716">
        <v>85.28</v>
      </c>
    </row>
    <row r="514" spans="1:4" ht="70">
      <c r="A514" s="715">
        <v>105352</v>
      </c>
      <c r="B514" s="633" t="s">
        <v>28631</v>
      </c>
      <c r="C514" s="715" t="s">
        <v>103</v>
      </c>
      <c r="D514" s="716">
        <v>128.33000000000001</v>
      </c>
    </row>
    <row r="515" spans="1:4" ht="70">
      <c r="A515" s="715">
        <v>105325</v>
      </c>
      <c r="B515" s="633" t="s">
        <v>28617</v>
      </c>
      <c r="C515" s="715" t="s">
        <v>103</v>
      </c>
      <c r="D515" s="716">
        <v>103.8</v>
      </c>
    </row>
    <row r="516" spans="1:4" ht="70">
      <c r="A516" s="715">
        <v>105353</v>
      </c>
      <c r="B516" s="633" t="s">
        <v>28632</v>
      </c>
      <c r="C516" s="715" t="s">
        <v>103</v>
      </c>
      <c r="D516" s="716">
        <v>151.88999999999999</v>
      </c>
    </row>
    <row r="517" spans="1:4" ht="70">
      <c r="A517" s="715">
        <v>105326</v>
      </c>
      <c r="B517" s="633" t="s">
        <v>28618</v>
      </c>
      <c r="C517" s="715" t="s">
        <v>103</v>
      </c>
      <c r="D517" s="716">
        <v>123.33</v>
      </c>
    </row>
    <row r="518" spans="1:4" ht="70">
      <c r="A518" s="715">
        <v>105354</v>
      </c>
      <c r="B518" s="633" t="s">
        <v>28633</v>
      </c>
      <c r="C518" s="715" t="s">
        <v>103</v>
      </c>
      <c r="D518" s="716">
        <v>174.14</v>
      </c>
    </row>
    <row r="519" spans="1:4" ht="70">
      <c r="A519" s="715">
        <v>105344</v>
      </c>
      <c r="B519" s="633" t="s">
        <v>28623</v>
      </c>
      <c r="C519" s="715" t="s">
        <v>103</v>
      </c>
      <c r="D519" s="716">
        <v>141.55000000000001</v>
      </c>
    </row>
    <row r="520" spans="1:4" ht="70">
      <c r="A520" s="715">
        <v>105278</v>
      </c>
      <c r="B520" s="633" t="s">
        <v>28591</v>
      </c>
      <c r="C520" s="715" t="s">
        <v>103</v>
      </c>
      <c r="D520" s="716">
        <v>26.15</v>
      </c>
    </row>
    <row r="521" spans="1:4" ht="70">
      <c r="A521" s="715">
        <v>105343</v>
      </c>
      <c r="B521" s="633" t="s">
        <v>28622</v>
      </c>
      <c r="C521" s="715" t="s">
        <v>103</v>
      </c>
      <c r="D521" s="716">
        <v>20.21</v>
      </c>
    </row>
    <row r="522" spans="1:4" ht="70">
      <c r="A522" s="715">
        <v>105355</v>
      </c>
      <c r="B522" s="633" t="s">
        <v>28634</v>
      </c>
      <c r="C522" s="715" t="s">
        <v>103</v>
      </c>
      <c r="D522" s="716">
        <v>196.84</v>
      </c>
    </row>
    <row r="523" spans="1:4" ht="70">
      <c r="A523" s="715">
        <v>105391</v>
      </c>
      <c r="B523" s="633" t="s">
        <v>28646</v>
      </c>
      <c r="C523" s="715" t="s">
        <v>103</v>
      </c>
      <c r="D523" s="716">
        <v>160.22999999999999</v>
      </c>
    </row>
    <row r="524" spans="1:4" ht="70">
      <c r="A524" s="715">
        <v>105356</v>
      </c>
      <c r="B524" s="633" t="s">
        <v>28635</v>
      </c>
      <c r="C524" s="715" t="s">
        <v>103</v>
      </c>
      <c r="D524" s="716">
        <v>219.94</v>
      </c>
    </row>
    <row r="525" spans="1:4" ht="70">
      <c r="A525" s="715">
        <v>105345</v>
      </c>
      <c r="B525" s="633" t="s">
        <v>28624</v>
      </c>
      <c r="C525" s="715" t="s">
        <v>103</v>
      </c>
      <c r="D525" s="716">
        <v>179.31</v>
      </c>
    </row>
    <row r="526" spans="1:4" ht="70">
      <c r="A526" s="715">
        <v>105367</v>
      </c>
      <c r="B526" s="633" t="s">
        <v>28727</v>
      </c>
      <c r="C526" s="715" t="s">
        <v>103</v>
      </c>
      <c r="D526" s="716">
        <v>47.15</v>
      </c>
    </row>
    <row r="527" spans="1:4" ht="70">
      <c r="A527" s="715">
        <v>105371</v>
      </c>
      <c r="B527" s="633" t="s">
        <v>28730</v>
      </c>
      <c r="C527" s="715" t="s">
        <v>103</v>
      </c>
      <c r="D527" s="716">
        <v>38.76</v>
      </c>
    </row>
    <row r="528" spans="1:4" ht="70">
      <c r="A528" s="715">
        <v>105365</v>
      </c>
      <c r="B528" s="633" t="s">
        <v>28725</v>
      </c>
      <c r="C528" s="715" t="s">
        <v>103</v>
      </c>
      <c r="D528" s="716">
        <v>33.82</v>
      </c>
    </row>
    <row r="529" spans="1:4" ht="70">
      <c r="A529" s="715">
        <v>105386</v>
      </c>
      <c r="B529" s="633" t="s">
        <v>28741</v>
      </c>
      <c r="C529" s="715" t="s">
        <v>103</v>
      </c>
      <c r="D529" s="716">
        <v>27.66</v>
      </c>
    </row>
    <row r="530" spans="1:4" ht="70">
      <c r="A530" s="715">
        <v>105366</v>
      </c>
      <c r="B530" s="633" t="s">
        <v>28726</v>
      </c>
      <c r="C530" s="715" t="s">
        <v>103</v>
      </c>
      <c r="D530" s="716">
        <v>40.630000000000003</v>
      </c>
    </row>
    <row r="531" spans="1:4" ht="70">
      <c r="A531" s="715">
        <v>105387</v>
      </c>
      <c r="B531" s="633" t="s">
        <v>28742</v>
      </c>
      <c r="C531" s="715" t="s">
        <v>103</v>
      </c>
      <c r="D531" s="716">
        <v>33.369999999999997</v>
      </c>
    </row>
    <row r="532" spans="1:4" ht="70">
      <c r="A532" s="715">
        <v>97177</v>
      </c>
      <c r="B532" s="633" t="s">
        <v>28662</v>
      </c>
      <c r="C532" s="715" t="s">
        <v>165</v>
      </c>
      <c r="D532" s="716">
        <v>99.1</v>
      </c>
    </row>
    <row r="533" spans="1:4" ht="70">
      <c r="A533" s="715">
        <v>97187</v>
      </c>
      <c r="B533" s="633" t="s">
        <v>28672</v>
      </c>
      <c r="C533" s="715" t="s">
        <v>165</v>
      </c>
      <c r="D533" s="716">
        <v>89.68</v>
      </c>
    </row>
    <row r="534" spans="1:4" ht="70">
      <c r="A534" s="715">
        <v>97178</v>
      </c>
      <c r="B534" s="633" t="s">
        <v>28663</v>
      </c>
      <c r="C534" s="715" t="s">
        <v>165</v>
      </c>
      <c r="D534" s="716">
        <v>120.8</v>
      </c>
    </row>
    <row r="535" spans="1:4" ht="70">
      <c r="A535" s="715">
        <v>97188</v>
      </c>
      <c r="B535" s="633" t="s">
        <v>28673</v>
      </c>
      <c r="C535" s="715" t="s">
        <v>165</v>
      </c>
      <c r="D535" s="716">
        <v>109.41</v>
      </c>
    </row>
    <row r="536" spans="1:4" ht="70">
      <c r="A536" s="715">
        <v>97179</v>
      </c>
      <c r="B536" s="633" t="s">
        <v>28664</v>
      </c>
      <c r="C536" s="715" t="s">
        <v>165</v>
      </c>
      <c r="D536" s="716">
        <v>142.49</v>
      </c>
    </row>
    <row r="537" spans="1:4" ht="70">
      <c r="A537" s="715">
        <v>97189</v>
      </c>
      <c r="B537" s="633" t="s">
        <v>28674</v>
      </c>
      <c r="C537" s="715" t="s">
        <v>165</v>
      </c>
      <c r="D537" s="716">
        <v>129.13999999999999</v>
      </c>
    </row>
    <row r="538" spans="1:4" ht="70">
      <c r="A538" s="715">
        <v>97180</v>
      </c>
      <c r="B538" s="633" t="s">
        <v>28665</v>
      </c>
      <c r="C538" s="715" t="s">
        <v>165</v>
      </c>
      <c r="D538" s="716">
        <v>164.16</v>
      </c>
    </row>
    <row r="539" spans="1:4" ht="70">
      <c r="A539" s="715">
        <v>97190</v>
      </c>
      <c r="B539" s="633" t="s">
        <v>28675</v>
      </c>
      <c r="C539" s="715" t="s">
        <v>165</v>
      </c>
      <c r="D539" s="716">
        <v>148.87</v>
      </c>
    </row>
    <row r="540" spans="1:4" ht="70">
      <c r="A540" s="715">
        <v>97181</v>
      </c>
      <c r="B540" s="633" t="s">
        <v>28666</v>
      </c>
      <c r="C540" s="715" t="s">
        <v>165</v>
      </c>
      <c r="D540" s="716">
        <v>185.86</v>
      </c>
    </row>
    <row r="541" spans="1:4" ht="70">
      <c r="A541" s="715">
        <v>97191</v>
      </c>
      <c r="B541" s="633" t="s">
        <v>28676</v>
      </c>
      <c r="C541" s="715" t="s">
        <v>165</v>
      </c>
      <c r="D541" s="716">
        <v>168.6</v>
      </c>
    </row>
    <row r="542" spans="1:4" ht="70">
      <c r="A542" s="715">
        <v>97182</v>
      </c>
      <c r="B542" s="633" t="s">
        <v>28667</v>
      </c>
      <c r="C542" s="715" t="s">
        <v>165</v>
      </c>
      <c r="D542" s="716">
        <v>212.19</v>
      </c>
    </row>
    <row r="543" spans="1:4" ht="70">
      <c r="A543" s="715">
        <v>97192</v>
      </c>
      <c r="B543" s="633" t="s">
        <v>28677</v>
      </c>
      <c r="C543" s="715" t="s">
        <v>165</v>
      </c>
      <c r="D543" s="716">
        <v>191.94</v>
      </c>
    </row>
    <row r="544" spans="1:4" ht="70">
      <c r="A544" s="715">
        <v>97173</v>
      </c>
      <c r="B544" s="633" t="s">
        <v>28658</v>
      </c>
      <c r="C544" s="715" t="s">
        <v>165</v>
      </c>
      <c r="D544" s="716">
        <v>55.71</v>
      </c>
    </row>
    <row r="545" spans="1:4" ht="70">
      <c r="A545" s="715">
        <v>97183</v>
      </c>
      <c r="B545" s="633" t="s">
        <v>28668</v>
      </c>
      <c r="C545" s="715" t="s">
        <v>165</v>
      </c>
      <c r="D545" s="716">
        <v>50.22</v>
      </c>
    </row>
    <row r="546" spans="1:4" ht="70">
      <c r="A546" s="715">
        <v>97174</v>
      </c>
      <c r="B546" s="633" t="s">
        <v>28659</v>
      </c>
      <c r="C546" s="715" t="s">
        <v>165</v>
      </c>
      <c r="D546" s="716">
        <v>66.55</v>
      </c>
    </row>
    <row r="547" spans="1:4" ht="70">
      <c r="A547" s="715">
        <v>97184</v>
      </c>
      <c r="B547" s="633" t="s">
        <v>28669</v>
      </c>
      <c r="C547" s="715" t="s">
        <v>165</v>
      </c>
      <c r="D547" s="716">
        <v>60.07</v>
      </c>
    </row>
    <row r="548" spans="1:4" ht="70">
      <c r="A548" s="715">
        <v>97175</v>
      </c>
      <c r="B548" s="633" t="s">
        <v>28660</v>
      </c>
      <c r="C548" s="715" t="s">
        <v>165</v>
      </c>
      <c r="D548" s="716">
        <v>77.39</v>
      </c>
    </row>
    <row r="549" spans="1:4" ht="70">
      <c r="A549" s="715">
        <v>97185</v>
      </c>
      <c r="B549" s="633" t="s">
        <v>28670</v>
      </c>
      <c r="C549" s="715" t="s">
        <v>165</v>
      </c>
      <c r="D549" s="716">
        <v>69.94</v>
      </c>
    </row>
    <row r="550" spans="1:4" ht="70">
      <c r="A550" s="715">
        <v>97176</v>
      </c>
      <c r="B550" s="633" t="s">
        <v>28661</v>
      </c>
      <c r="C550" s="715" t="s">
        <v>165</v>
      </c>
      <c r="D550" s="716">
        <v>88.25</v>
      </c>
    </row>
    <row r="551" spans="1:4" ht="70">
      <c r="A551" s="715">
        <v>97186</v>
      </c>
      <c r="B551" s="633" t="s">
        <v>28671</v>
      </c>
      <c r="C551" s="715" t="s">
        <v>165</v>
      </c>
      <c r="D551" s="716">
        <v>79.819999999999993</v>
      </c>
    </row>
    <row r="552" spans="1:4" ht="70">
      <c r="A552" s="715">
        <v>97142</v>
      </c>
      <c r="B552" s="633" t="s">
        <v>28532</v>
      </c>
      <c r="C552" s="715" t="s">
        <v>165</v>
      </c>
      <c r="D552" s="716">
        <v>7.13</v>
      </c>
    </row>
    <row r="553" spans="1:4" ht="70">
      <c r="A553" s="715">
        <v>97158</v>
      </c>
      <c r="B553" s="633" t="s">
        <v>28548</v>
      </c>
      <c r="C553" s="715" t="s">
        <v>165</v>
      </c>
      <c r="D553" s="716">
        <v>5.52</v>
      </c>
    </row>
    <row r="554" spans="1:4" ht="70">
      <c r="A554" s="715">
        <v>97155</v>
      </c>
      <c r="B554" s="633" t="s">
        <v>28545</v>
      </c>
      <c r="C554" s="715" t="s">
        <v>165</v>
      </c>
      <c r="D554" s="716">
        <v>56.94</v>
      </c>
    </row>
    <row r="555" spans="1:4" ht="70">
      <c r="A555" s="715">
        <v>97171</v>
      </c>
      <c r="B555" s="633" t="s">
        <v>28561</v>
      </c>
      <c r="C555" s="715" t="s">
        <v>165</v>
      </c>
      <c r="D555" s="716">
        <v>46.06</v>
      </c>
    </row>
    <row r="556" spans="1:4" ht="70">
      <c r="A556" s="715">
        <v>97156</v>
      </c>
      <c r="B556" s="633" t="s">
        <v>28546</v>
      </c>
      <c r="C556" s="715" t="s">
        <v>165</v>
      </c>
      <c r="D556" s="716">
        <v>68.09</v>
      </c>
    </row>
    <row r="557" spans="1:4" ht="70">
      <c r="A557" s="715">
        <v>97172</v>
      </c>
      <c r="B557" s="633" t="s">
        <v>28562</v>
      </c>
      <c r="C557" s="715" t="s">
        <v>165</v>
      </c>
      <c r="D557" s="716">
        <v>55.26</v>
      </c>
    </row>
    <row r="558" spans="1:4" ht="70">
      <c r="A558" s="715">
        <v>97143</v>
      </c>
      <c r="B558" s="633" t="s">
        <v>28533</v>
      </c>
      <c r="C558" s="715" t="s">
        <v>165</v>
      </c>
      <c r="D558" s="716">
        <v>9.5399999999999991</v>
      </c>
    </row>
    <row r="559" spans="1:4" ht="70">
      <c r="A559" s="715">
        <v>97159</v>
      </c>
      <c r="B559" s="633" t="s">
        <v>28549</v>
      </c>
      <c r="C559" s="715" t="s">
        <v>165</v>
      </c>
      <c r="D559" s="716">
        <v>7.52</v>
      </c>
    </row>
    <row r="560" spans="1:4" ht="70">
      <c r="A560" s="715">
        <v>97144</v>
      </c>
      <c r="B560" s="633" t="s">
        <v>28534</v>
      </c>
      <c r="C560" s="715" t="s">
        <v>165</v>
      </c>
      <c r="D560" s="716">
        <v>11.97</v>
      </c>
    </row>
    <row r="561" spans="1:4" ht="70">
      <c r="A561" s="715">
        <v>97160</v>
      </c>
      <c r="B561" s="633" t="s">
        <v>28550</v>
      </c>
      <c r="C561" s="715" t="s">
        <v>165</v>
      </c>
      <c r="D561" s="716">
        <v>9.5500000000000007</v>
      </c>
    </row>
    <row r="562" spans="1:4" ht="70">
      <c r="A562" s="715">
        <v>97145</v>
      </c>
      <c r="B562" s="633" t="s">
        <v>28535</v>
      </c>
      <c r="C562" s="715" t="s">
        <v>165</v>
      </c>
      <c r="D562" s="716">
        <v>14.41</v>
      </c>
    </row>
    <row r="563" spans="1:4" ht="70">
      <c r="A563" s="715">
        <v>97161</v>
      </c>
      <c r="B563" s="633" t="s">
        <v>28551</v>
      </c>
      <c r="C563" s="715" t="s">
        <v>165</v>
      </c>
      <c r="D563" s="716">
        <v>11.59</v>
      </c>
    </row>
    <row r="564" spans="1:4" ht="70">
      <c r="A564" s="715">
        <v>97146</v>
      </c>
      <c r="B564" s="633" t="s">
        <v>28536</v>
      </c>
      <c r="C564" s="715" t="s">
        <v>165</v>
      </c>
      <c r="D564" s="716">
        <v>16.86</v>
      </c>
    </row>
    <row r="565" spans="1:4" ht="70">
      <c r="A565" s="715">
        <v>97162</v>
      </c>
      <c r="B565" s="633" t="s">
        <v>28552</v>
      </c>
      <c r="C565" s="715" t="s">
        <v>165</v>
      </c>
      <c r="D565" s="716">
        <v>13.62</v>
      </c>
    </row>
    <row r="566" spans="1:4" ht="70">
      <c r="A566" s="715">
        <v>97147</v>
      </c>
      <c r="B566" s="633" t="s">
        <v>28537</v>
      </c>
      <c r="C566" s="715" t="s">
        <v>165</v>
      </c>
      <c r="D566" s="716">
        <v>19.309999999999999</v>
      </c>
    </row>
    <row r="567" spans="1:4" ht="70">
      <c r="A567" s="715">
        <v>97163</v>
      </c>
      <c r="B567" s="633" t="s">
        <v>28553</v>
      </c>
      <c r="C567" s="715" t="s">
        <v>165</v>
      </c>
      <c r="D567" s="716">
        <v>15.67</v>
      </c>
    </row>
    <row r="568" spans="1:4" ht="70">
      <c r="A568" s="715">
        <v>97148</v>
      </c>
      <c r="B568" s="633" t="s">
        <v>28538</v>
      </c>
      <c r="C568" s="715" t="s">
        <v>165</v>
      </c>
      <c r="D568" s="716">
        <v>21.74</v>
      </c>
    </row>
    <row r="569" spans="1:4" ht="70">
      <c r="A569" s="715">
        <v>97164</v>
      </c>
      <c r="B569" s="633" t="s">
        <v>28554</v>
      </c>
      <c r="C569" s="715" t="s">
        <v>165</v>
      </c>
      <c r="D569" s="716">
        <v>17.71</v>
      </c>
    </row>
    <row r="570" spans="1:4" ht="70">
      <c r="A570" s="715">
        <v>97149</v>
      </c>
      <c r="B570" s="633" t="s">
        <v>28539</v>
      </c>
      <c r="C570" s="715" t="s">
        <v>165</v>
      </c>
      <c r="D570" s="716">
        <v>24.22</v>
      </c>
    </row>
    <row r="571" spans="1:4" ht="70">
      <c r="A571" s="715">
        <v>97165</v>
      </c>
      <c r="B571" s="633" t="s">
        <v>28555</v>
      </c>
      <c r="C571" s="715" t="s">
        <v>165</v>
      </c>
      <c r="D571" s="716">
        <v>19.75</v>
      </c>
    </row>
    <row r="572" spans="1:4" ht="70">
      <c r="A572" s="715">
        <v>97150</v>
      </c>
      <c r="B572" s="633" t="s">
        <v>28540</v>
      </c>
      <c r="C572" s="715" t="s">
        <v>165</v>
      </c>
      <c r="D572" s="716">
        <v>30.13</v>
      </c>
    </row>
    <row r="573" spans="1:4" ht="70">
      <c r="A573" s="715">
        <v>97166</v>
      </c>
      <c r="B573" s="633" t="s">
        <v>28556</v>
      </c>
      <c r="C573" s="715" t="s">
        <v>165</v>
      </c>
      <c r="D573" s="716">
        <v>24.14</v>
      </c>
    </row>
    <row r="574" spans="1:4" ht="70">
      <c r="A574" s="715">
        <v>97151</v>
      </c>
      <c r="B574" s="633" t="s">
        <v>28541</v>
      </c>
      <c r="C574" s="715" t="s">
        <v>165</v>
      </c>
      <c r="D574" s="716">
        <v>35.57</v>
      </c>
    </row>
    <row r="575" spans="1:4" ht="70">
      <c r="A575" s="715">
        <v>97167</v>
      </c>
      <c r="B575" s="633" t="s">
        <v>28557</v>
      </c>
      <c r="C575" s="715" t="s">
        <v>165</v>
      </c>
      <c r="D575" s="716">
        <v>28.61</v>
      </c>
    </row>
    <row r="576" spans="1:4" ht="70">
      <c r="A576" s="715">
        <v>97152</v>
      </c>
      <c r="B576" s="633" t="s">
        <v>28542</v>
      </c>
      <c r="C576" s="715" t="s">
        <v>165</v>
      </c>
      <c r="D576" s="716">
        <v>40.79</v>
      </c>
    </row>
    <row r="577" spans="1:4" ht="70">
      <c r="A577" s="715">
        <v>97168</v>
      </c>
      <c r="B577" s="633" t="s">
        <v>28558</v>
      </c>
      <c r="C577" s="715" t="s">
        <v>165</v>
      </c>
      <c r="D577" s="716">
        <v>32.85</v>
      </c>
    </row>
    <row r="578" spans="1:4" ht="70">
      <c r="A578" s="715">
        <v>97141</v>
      </c>
      <c r="B578" s="633" t="s">
        <v>28531</v>
      </c>
      <c r="C578" s="715" t="s">
        <v>165</v>
      </c>
      <c r="D578" s="716">
        <v>6.14</v>
      </c>
    </row>
    <row r="579" spans="1:4" ht="70">
      <c r="A579" s="715">
        <v>97157</v>
      </c>
      <c r="B579" s="633" t="s">
        <v>28547</v>
      </c>
      <c r="C579" s="715" t="s">
        <v>165</v>
      </c>
      <c r="D579" s="716">
        <v>4.68</v>
      </c>
    </row>
    <row r="580" spans="1:4" ht="70">
      <c r="A580" s="715">
        <v>97153</v>
      </c>
      <c r="B580" s="633" t="s">
        <v>28543</v>
      </c>
      <c r="C580" s="715" t="s">
        <v>165</v>
      </c>
      <c r="D580" s="716">
        <v>46.15</v>
      </c>
    </row>
    <row r="581" spans="1:4" ht="70">
      <c r="A581" s="715">
        <v>97169</v>
      </c>
      <c r="B581" s="633" t="s">
        <v>28559</v>
      </c>
      <c r="C581" s="715" t="s">
        <v>165</v>
      </c>
      <c r="D581" s="716">
        <v>37.229999999999997</v>
      </c>
    </row>
    <row r="582" spans="1:4" ht="70">
      <c r="A582" s="715">
        <v>97154</v>
      </c>
      <c r="B582" s="633" t="s">
        <v>28544</v>
      </c>
      <c r="C582" s="715" t="s">
        <v>165</v>
      </c>
      <c r="D582" s="716">
        <v>51.56</v>
      </c>
    </row>
    <row r="583" spans="1:4" ht="70">
      <c r="A583" s="715">
        <v>97170</v>
      </c>
      <c r="B583" s="633" t="s">
        <v>28560</v>
      </c>
      <c r="C583" s="715" t="s">
        <v>165</v>
      </c>
      <c r="D583" s="716">
        <v>41.65</v>
      </c>
    </row>
    <row r="584" spans="1:4" ht="70">
      <c r="A584" s="715">
        <v>105311</v>
      </c>
      <c r="B584" s="633" t="s">
        <v>28700</v>
      </c>
      <c r="C584" s="715" t="s">
        <v>165</v>
      </c>
      <c r="D584" s="716">
        <v>5.3</v>
      </c>
    </row>
    <row r="585" spans="1:4" ht="70">
      <c r="A585" s="715">
        <v>105339</v>
      </c>
      <c r="B585" s="633" t="s">
        <v>28718</v>
      </c>
      <c r="C585" s="715" t="s">
        <v>165</v>
      </c>
      <c r="D585" s="716">
        <v>4.34</v>
      </c>
    </row>
    <row r="586" spans="1:4" ht="70">
      <c r="A586" s="715">
        <v>97127</v>
      </c>
      <c r="B586" s="633" t="s">
        <v>28821</v>
      </c>
      <c r="C586" s="715" t="s">
        <v>165</v>
      </c>
      <c r="D586" s="716">
        <v>6.89</v>
      </c>
    </row>
    <row r="587" spans="1:4" ht="70">
      <c r="A587" s="715">
        <v>97134</v>
      </c>
      <c r="B587" s="633" t="s">
        <v>28828</v>
      </c>
      <c r="C587" s="715" t="s">
        <v>165</v>
      </c>
      <c r="D587" s="716">
        <v>5.65</v>
      </c>
    </row>
    <row r="588" spans="1:4" ht="70">
      <c r="A588" s="715">
        <v>97128</v>
      </c>
      <c r="B588" s="633" t="s">
        <v>28822</v>
      </c>
      <c r="C588" s="715" t="s">
        <v>165</v>
      </c>
      <c r="D588" s="716">
        <v>12.94</v>
      </c>
    </row>
    <row r="589" spans="1:4" ht="70">
      <c r="A589" s="715">
        <v>97135</v>
      </c>
      <c r="B589" s="633" t="s">
        <v>28829</v>
      </c>
      <c r="C589" s="715" t="s">
        <v>165</v>
      </c>
      <c r="D589" s="716">
        <v>9.89</v>
      </c>
    </row>
    <row r="590" spans="1:4" ht="70">
      <c r="A590" s="715">
        <v>97129</v>
      </c>
      <c r="B590" s="633" t="s">
        <v>28823</v>
      </c>
      <c r="C590" s="715" t="s">
        <v>165</v>
      </c>
      <c r="D590" s="716">
        <v>15.31</v>
      </c>
    </row>
    <row r="591" spans="1:4" ht="70">
      <c r="A591" s="715">
        <v>97136</v>
      </c>
      <c r="B591" s="633" t="s">
        <v>28830</v>
      </c>
      <c r="C591" s="715" t="s">
        <v>165</v>
      </c>
      <c r="D591" s="716">
        <v>11.71</v>
      </c>
    </row>
    <row r="592" spans="1:4" ht="70">
      <c r="A592" s="715">
        <v>97130</v>
      </c>
      <c r="B592" s="633" t="s">
        <v>28824</v>
      </c>
      <c r="C592" s="715" t="s">
        <v>165</v>
      </c>
      <c r="D592" s="716">
        <v>17.7</v>
      </c>
    </row>
    <row r="593" spans="1:4" ht="70">
      <c r="A593" s="715">
        <v>97137</v>
      </c>
      <c r="B593" s="633" t="s">
        <v>28831</v>
      </c>
      <c r="C593" s="715" t="s">
        <v>165</v>
      </c>
      <c r="D593" s="716">
        <v>13.54</v>
      </c>
    </row>
    <row r="594" spans="1:4" ht="70">
      <c r="A594" s="715">
        <v>97131</v>
      </c>
      <c r="B594" s="633" t="s">
        <v>28825</v>
      </c>
      <c r="C594" s="715" t="s">
        <v>165</v>
      </c>
      <c r="D594" s="716">
        <v>20.09</v>
      </c>
    </row>
    <row r="595" spans="1:4" ht="70">
      <c r="A595" s="715">
        <v>97138</v>
      </c>
      <c r="B595" s="633" t="s">
        <v>28832</v>
      </c>
      <c r="C595" s="715" t="s">
        <v>165</v>
      </c>
      <c r="D595" s="716">
        <v>15.38</v>
      </c>
    </row>
    <row r="596" spans="1:4" ht="70">
      <c r="A596" s="715">
        <v>97132</v>
      </c>
      <c r="B596" s="633" t="s">
        <v>28826</v>
      </c>
      <c r="C596" s="715" t="s">
        <v>165</v>
      </c>
      <c r="D596" s="716">
        <v>22.48</v>
      </c>
    </row>
    <row r="597" spans="1:4" ht="70">
      <c r="A597" s="715">
        <v>97139</v>
      </c>
      <c r="B597" s="633" t="s">
        <v>28833</v>
      </c>
      <c r="C597" s="715" t="s">
        <v>165</v>
      </c>
      <c r="D597" s="716">
        <v>17.21</v>
      </c>
    </row>
    <row r="598" spans="1:4" ht="70">
      <c r="A598" s="715">
        <v>97133</v>
      </c>
      <c r="B598" s="633" t="s">
        <v>28827</v>
      </c>
      <c r="C598" s="715" t="s">
        <v>165</v>
      </c>
      <c r="D598" s="716">
        <v>27.25</v>
      </c>
    </row>
    <row r="599" spans="1:4" ht="70">
      <c r="A599" s="715">
        <v>97140</v>
      </c>
      <c r="B599" s="633" t="s">
        <v>28834</v>
      </c>
      <c r="C599" s="715" t="s">
        <v>165</v>
      </c>
      <c r="D599" s="716">
        <v>20.86</v>
      </c>
    </row>
    <row r="600" spans="1:4" ht="70">
      <c r="A600" s="715">
        <v>97123</v>
      </c>
      <c r="B600" s="633" t="s">
        <v>28680</v>
      </c>
      <c r="C600" s="715" t="s">
        <v>165</v>
      </c>
      <c r="D600" s="716">
        <v>5.71</v>
      </c>
    </row>
    <row r="601" spans="1:4" ht="70">
      <c r="A601" s="715">
        <v>97126</v>
      </c>
      <c r="B601" s="633" t="s">
        <v>28683</v>
      </c>
      <c r="C601" s="715" t="s">
        <v>165</v>
      </c>
      <c r="D601" s="716">
        <v>4.68</v>
      </c>
    </row>
    <row r="602" spans="1:4" ht="70">
      <c r="A602" s="715">
        <v>105308</v>
      </c>
      <c r="B602" s="633" t="s">
        <v>28697</v>
      </c>
      <c r="C602" s="715" t="s">
        <v>165</v>
      </c>
      <c r="D602" s="716">
        <v>6.55</v>
      </c>
    </row>
    <row r="603" spans="1:4" ht="70">
      <c r="A603" s="715">
        <v>105312</v>
      </c>
      <c r="B603" s="633" t="s">
        <v>28701</v>
      </c>
      <c r="C603" s="715" t="s">
        <v>165</v>
      </c>
      <c r="D603" s="716">
        <v>5.37</v>
      </c>
    </row>
    <row r="604" spans="1:4" ht="70">
      <c r="A604" s="715">
        <v>105309</v>
      </c>
      <c r="B604" s="633" t="s">
        <v>28698</v>
      </c>
      <c r="C604" s="715" t="s">
        <v>165</v>
      </c>
      <c r="D604" s="716">
        <v>7.03</v>
      </c>
    </row>
    <row r="605" spans="1:4" ht="70">
      <c r="A605" s="715">
        <v>105313</v>
      </c>
      <c r="B605" s="633" t="s">
        <v>28702</v>
      </c>
      <c r="C605" s="715" t="s">
        <v>165</v>
      </c>
      <c r="D605" s="716">
        <v>5.77</v>
      </c>
    </row>
    <row r="606" spans="1:4" ht="70">
      <c r="A606" s="715">
        <v>105310</v>
      </c>
      <c r="B606" s="633" t="s">
        <v>28699</v>
      </c>
      <c r="C606" s="715" t="s">
        <v>165</v>
      </c>
      <c r="D606" s="716">
        <v>8.2799999999999994</v>
      </c>
    </row>
    <row r="607" spans="1:4" ht="70">
      <c r="A607" s="715">
        <v>105314</v>
      </c>
      <c r="B607" s="633" t="s">
        <v>28703</v>
      </c>
      <c r="C607" s="715" t="s">
        <v>165</v>
      </c>
      <c r="D607" s="716">
        <v>6.8</v>
      </c>
    </row>
    <row r="608" spans="1:4" ht="70">
      <c r="A608" s="715">
        <v>97121</v>
      </c>
      <c r="B608" s="633" t="s">
        <v>28678</v>
      </c>
      <c r="C608" s="715" t="s">
        <v>165</v>
      </c>
      <c r="D608" s="716">
        <v>4.13</v>
      </c>
    </row>
    <row r="609" spans="1:4" ht="70">
      <c r="A609" s="715">
        <v>97124</v>
      </c>
      <c r="B609" s="633" t="s">
        <v>28681</v>
      </c>
      <c r="C609" s="715" t="s">
        <v>165</v>
      </c>
      <c r="D609" s="716">
        <v>3.37</v>
      </c>
    </row>
    <row r="610" spans="1:4" ht="70">
      <c r="A610" s="715">
        <v>97122</v>
      </c>
      <c r="B610" s="633" t="s">
        <v>28679</v>
      </c>
      <c r="C610" s="715" t="s">
        <v>165</v>
      </c>
      <c r="D610" s="716">
        <v>4.93</v>
      </c>
    </row>
    <row r="611" spans="1:4" ht="70">
      <c r="A611" s="715">
        <v>97125</v>
      </c>
      <c r="B611" s="633" t="s">
        <v>28682</v>
      </c>
      <c r="C611" s="715" t="s">
        <v>165</v>
      </c>
      <c r="D611" s="716">
        <v>4.03</v>
      </c>
    </row>
    <row r="612" spans="1:4" ht="70">
      <c r="A612" s="715">
        <v>105296</v>
      </c>
      <c r="B612" s="633" t="s">
        <v>28696</v>
      </c>
      <c r="C612" s="715" t="s">
        <v>103</v>
      </c>
      <c r="D612" s="716">
        <v>201.9</v>
      </c>
    </row>
    <row r="613" spans="1:4" ht="70">
      <c r="A613" s="715">
        <v>105374</v>
      </c>
      <c r="B613" s="633" t="s">
        <v>28733</v>
      </c>
      <c r="C613" s="715" t="s">
        <v>103</v>
      </c>
      <c r="D613" s="716">
        <v>195.6</v>
      </c>
    </row>
    <row r="614" spans="1:4" ht="70">
      <c r="A614" s="715">
        <v>105292</v>
      </c>
      <c r="B614" s="633" t="s">
        <v>28692</v>
      </c>
      <c r="C614" s="715" t="s">
        <v>103</v>
      </c>
      <c r="D614" s="716">
        <v>61.56</v>
      </c>
    </row>
    <row r="615" spans="1:4" ht="70">
      <c r="A615" s="715">
        <v>105293</v>
      </c>
      <c r="B615" s="633" t="s">
        <v>28693</v>
      </c>
      <c r="C615" s="715" t="s">
        <v>103</v>
      </c>
      <c r="D615" s="716">
        <v>56.95</v>
      </c>
    </row>
    <row r="616" spans="1:4" ht="70">
      <c r="A616" s="715">
        <v>105294</v>
      </c>
      <c r="B616" s="633" t="s">
        <v>28694</v>
      </c>
      <c r="C616" s="715" t="s">
        <v>103</v>
      </c>
      <c r="D616" s="716">
        <v>120.03</v>
      </c>
    </row>
    <row r="617" spans="1:4" ht="70">
      <c r="A617" s="715">
        <v>105295</v>
      </c>
      <c r="B617" s="633" t="s">
        <v>28695</v>
      </c>
      <c r="C617" s="715" t="s">
        <v>103</v>
      </c>
      <c r="D617" s="716">
        <v>114.58</v>
      </c>
    </row>
    <row r="618" spans="1:4" ht="70">
      <c r="A618" s="715">
        <v>105290</v>
      </c>
      <c r="B618" s="633" t="s">
        <v>28690</v>
      </c>
      <c r="C618" s="715" t="s">
        <v>103</v>
      </c>
      <c r="D618" s="716">
        <v>79.27</v>
      </c>
    </row>
    <row r="619" spans="1:4" ht="70">
      <c r="A619" s="715">
        <v>105291</v>
      </c>
      <c r="B619" s="633" t="s">
        <v>28691</v>
      </c>
      <c r="C619" s="715" t="s">
        <v>103</v>
      </c>
      <c r="D619" s="716">
        <v>75.069999999999993</v>
      </c>
    </row>
    <row r="620" spans="1:4" ht="70">
      <c r="A620" s="715">
        <v>105286</v>
      </c>
      <c r="B620" s="633" t="s">
        <v>28686</v>
      </c>
      <c r="C620" s="715" t="s">
        <v>103</v>
      </c>
      <c r="D620" s="716">
        <v>37.25</v>
      </c>
    </row>
    <row r="621" spans="1:4" ht="70">
      <c r="A621" s="715">
        <v>105287</v>
      </c>
      <c r="B621" s="633" t="s">
        <v>28687</v>
      </c>
      <c r="C621" s="715" t="s">
        <v>103</v>
      </c>
      <c r="D621" s="716">
        <v>34.159999999999997</v>
      </c>
    </row>
    <row r="622" spans="1:4" ht="70">
      <c r="A622" s="715">
        <v>105288</v>
      </c>
      <c r="B622" s="633" t="s">
        <v>28688</v>
      </c>
      <c r="C622" s="715" t="s">
        <v>103</v>
      </c>
      <c r="D622" s="716">
        <v>59.55</v>
      </c>
    </row>
    <row r="623" spans="1:4" ht="70">
      <c r="A623" s="715">
        <v>105289</v>
      </c>
      <c r="B623" s="633" t="s">
        <v>28689</v>
      </c>
      <c r="C623" s="715" t="s">
        <v>103</v>
      </c>
      <c r="D623" s="716">
        <v>55.92</v>
      </c>
    </row>
    <row r="624" spans="1:4" ht="70">
      <c r="A624" s="715">
        <v>105375</v>
      </c>
      <c r="B624" s="633" t="s">
        <v>28734</v>
      </c>
      <c r="C624" s="715" t="s">
        <v>103</v>
      </c>
      <c r="D624" s="716">
        <v>160.36000000000001</v>
      </c>
    </row>
    <row r="625" spans="1:4" ht="70">
      <c r="A625" s="715">
        <v>105376</v>
      </c>
      <c r="B625" s="633" t="s">
        <v>28735</v>
      </c>
      <c r="C625" s="715" t="s">
        <v>103</v>
      </c>
      <c r="D625" s="716">
        <v>151.97</v>
      </c>
    </row>
    <row r="626" spans="1:4" ht="70">
      <c r="A626" s="715">
        <v>105331</v>
      </c>
      <c r="B626" s="633" t="s">
        <v>28710</v>
      </c>
      <c r="C626" s="715" t="s">
        <v>165</v>
      </c>
      <c r="D626" s="716">
        <v>64.48</v>
      </c>
    </row>
    <row r="627" spans="1:4" ht="70">
      <c r="A627" s="715">
        <v>105332</v>
      </c>
      <c r="B627" s="633" t="s">
        <v>28711</v>
      </c>
      <c r="C627" s="715" t="s">
        <v>165</v>
      </c>
      <c r="D627" s="716">
        <v>63.52</v>
      </c>
    </row>
    <row r="628" spans="1:4" ht="70">
      <c r="A628" s="715">
        <v>105333</v>
      </c>
      <c r="B628" s="633" t="s">
        <v>28712</v>
      </c>
      <c r="C628" s="715" t="s">
        <v>165</v>
      </c>
      <c r="D628" s="716">
        <v>282.83999999999997</v>
      </c>
    </row>
    <row r="629" spans="1:4" ht="70">
      <c r="A629" s="715">
        <v>105334</v>
      </c>
      <c r="B629" s="633" t="s">
        <v>28713</v>
      </c>
      <c r="C629" s="715" t="s">
        <v>165</v>
      </c>
      <c r="D629" s="716">
        <v>279.79000000000002</v>
      </c>
    </row>
    <row r="630" spans="1:4" ht="70">
      <c r="A630" s="715">
        <v>105335</v>
      </c>
      <c r="B630" s="633" t="s">
        <v>28714</v>
      </c>
      <c r="C630" s="715" t="s">
        <v>165</v>
      </c>
      <c r="D630" s="716">
        <v>426.2</v>
      </c>
    </row>
    <row r="631" spans="1:4" ht="70">
      <c r="A631" s="715">
        <v>105336</v>
      </c>
      <c r="B631" s="633" t="s">
        <v>28715</v>
      </c>
      <c r="C631" s="715" t="s">
        <v>165</v>
      </c>
      <c r="D631" s="716">
        <v>422.6</v>
      </c>
    </row>
    <row r="632" spans="1:4" ht="70">
      <c r="A632" s="715">
        <v>105337</v>
      </c>
      <c r="B632" s="633" t="s">
        <v>28716</v>
      </c>
      <c r="C632" s="715" t="s">
        <v>165</v>
      </c>
      <c r="D632" s="716">
        <v>601.16999999999996</v>
      </c>
    </row>
    <row r="633" spans="1:4" ht="70">
      <c r="A633" s="715">
        <v>105338</v>
      </c>
      <c r="B633" s="633" t="s">
        <v>28717</v>
      </c>
      <c r="C633" s="715" t="s">
        <v>165</v>
      </c>
      <c r="D633" s="716">
        <v>597.01</v>
      </c>
    </row>
    <row r="634" spans="1:4" ht="70">
      <c r="A634" s="715">
        <v>106108</v>
      </c>
      <c r="B634" s="633" t="s">
        <v>28708</v>
      </c>
      <c r="C634" s="715" t="s">
        <v>165</v>
      </c>
      <c r="D634" s="716">
        <v>90.79</v>
      </c>
    </row>
    <row r="635" spans="1:4" ht="70">
      <c r="A635" s="715">
        <v>106109</v>
      </c>
      <c r="B635" s="633" t="s">
        <v>28709</v>
      </c>
      <c r="C635" s="715" t="s">
        <v>165</v>
      </c>
      <c r="D635" s="716">
        <v>89.76</v>
      </c>
    </row>
    <row r="636" spans="1:4" ht="70">
      <c r="A636" s="715">
        <v>106104</v>
      </c>
      <c r="B636" s="633" t="s">
        <v>28684</v>
      </c>
      <c r="C636" s="715" t="s">
        <v>165</v>
      </c>
      <c r="D636" s="716">
        <v>30.06</v>
      </c>
    </row>
    <row r="637" spans="1:4" ht="70">
      <c r="A637" s="715">
        <v>106105</v>
      </c>
      <c r="B637" s="633" t="s">
        <v>28685</v>
      </c>
      <c r="C637" s="715" t="s">
        <v>165</v>
      </c>
      <c r="D637" s="716">
        <v>29.3</v>
      </c>
    </row>
    <row r="638" spans="1:4" ht="70">
      <c r="A638" s="715">
        <v>106106</v>
      </c>
      <c r="B638" s="633" t="s">
        <v>28706</v>
      </c>
      <c r="C638" s="715" t="s">
        <v>165</v>
      </c>
      <c r="D638" s="716">
        <v>55.85</v>
      </c>
    </row>
    <row r="639" spans="1:4" ht="70">
      <c r="A639" s="715">
        <v>106107</v>
      </c>
      <c r="B639" s="633" t="s">
        <v>28707</v>
      </c>
      <c r="C639" s="715" t="s">
        <v>165</v>
      </c>
      <c r="D639" s="716">
        <v>54.95</v>
      </c>
    </row>
    <row r="640" spans="1:4" ht="70">
      <c r="A640" s="715">
        <v>105377</v>
      </c>
      <c r="B640" s="633" t="s">
        <v>28639</v>
      </c>
      <c r="C640" s="715" t="s">
        <v>103</v>
      </c>
      <c r="D640" s="716">
        <v>49.16</v>
      </c>
    </row>
    <row r="641" spans="1:4" ht="70">
      <c r="A641" s="715">
        <v>105368</v>
      </c>
      <c r="B641" s="633" t="s">
        <v>28728</v>
      </c>
      <c r="C641" s="715" t="s">
        <v>103</v>
      </c>
      <c r="D641" s="716">
        <v>44.71</v>
      </c>
    </row>
    <row r="642" spans="1:4" ht="56">
      <c r="A642" s="715">
        <v>105369</v>
      </c>
      <c r="B642" s="633" t="s">
        <v>28638</v>
      </c>
      <c r="C642" s="715" t="s">
        <v>103</v>
      </c>
      <c r="D642" s="716">
        <v>76.23</v>
      </c>
    </row>
    <row r="643" spans="1:4" ht="56">
      <c r="A643" s="715">
        <v>105370</v>
      </c>
      <c r="B643" s="633" t="s">
        <v>28729</v>
      </c>
      <c r="C643" s="715" t="s">
        <v>103</v>
      </c>
      <c r="D643" s="716">
        <v>70.290000000000006</v>
      </c>
    </row>
    <row r="644" spans="1:4" ht="70">
      <c r="A644" s="715">
        <v>92864</v>
      </c>
      <c r="B644" s="633" t="s">
        <v>28774</v>
      </c>
      <c r="C644" s="715" t="s">
        <v>165</v>
      </c>
      <c r="D644" s="716">
        <v>98</v>
      </c>
    </row>
    <row r="645" spans="1:4" ht="70">
      <c r="A645" s="715">
        <v>92848</v>
      </c>
      <c r="B645" s="633" t="s">
        <v>28758</v>
      </c>
      <c r="C645" s="715" t="s">
        <v>165</v>
      </c>
      <c r="D645" s="716">
        <v>85.57</v>
      </c>
    </row>
    <row r="646" spans="1:4" ht="70">
      <c r="A646" s="715">
        <v>104937</v>
      </c>
      <c r="B646" s="633" t="s">
        <v>33061</v>
      </c>
      <c r="C646" s="715" t="s">
        <v>165</v>
      </c>
      <c r="D646" s="716">
        <v>0</v>
      </c>
    </row>
    <row r="647" spans="1:4" ht="70">
      <c r="A647" s="715">
        <v>104933</v>
      </c>
      <c r="B647" s="633" t="s">
        <v>33062</v>
      </c>
      <c r="C647" s="715" t="s">
        <v>165</v>
      </c>
      <c r="D647" s="716">
        <v>0</v>
      </c>
    </row>
    <row r="648" spans="1:4" ht="70">
      <c r="A648" s="715">
        <v>104939</v>
      </c>
      <c r="B648" s="633" t="s">
        <v>33063</v>
      </c>
      <c r="C648" s="715" t="s">
        <v>165</v>
      </c>
      <c r="D648" s="716">
        <v>0</v>
      </c>
    </row>
    <row r="649" spans="1:4" ht="70">
      <c r="A649" s="715">
        <v>104935</v>
      </c>
      <c r="B649" s="633" t="s">
        <v>33064</v>
      </c>
      <c r="C649" s="715" t="s">
        <v>165</v>
      </c>
      <c r="D649" s="716">
        <v>0</v>
      </c>
    </row>
    <row r="650" spans="1:4" ht="70">
      <c r="A650" s="715">
        <v>92850</v>
      </c>
      <c r="B650" s="633" t="s">
        <v>28760</v>
      </c>
      <c r="C650" s="715" t="s">
        <v>165</v>
      </c>
      <c r="D650" s="716">
        <v>24.3</v>
      </c>
    </row>
    <row r="651" spans="1:4" ht="70">
      <c r="A651" s="715">
        <v>92834</v>
      </c>
      <c r="B651" s="633" t="s">
        <v>28744</v>
      </c>
      <c r="C651" s="715" t="s">
        <v>165</v>
      </c>
      <c r="D651" s="716">
        <v>21.19</v>
      </c>
    </row>
    <row r="652" spans="1:4" ht="70">
      <c r="A652" s="715">
        <v>92852</v>
      </c>
      <c r="B652" s="633" t="s">
        <v>28762</v>
      </c>
      <c r="C652" s="715" t="s">
        <v>165</v>
      </c>
      <c r="D652" s="716">
        <v>32.979999999999997</v>
      </c>
    </row>
    <row r="653" spans="1:4" ht="70">
      <c r="A653" s="715">
        <v>92836</v>
      </c>
      <c r="B653" s="633" t="s">
        <v>28746</v>
      </c>
      <c r="C653" s="715" t="s">
        <v>165</v>
      </c>
      <c r="D653" s="716">
        <v>28.53</v>
      </c>
    </row>
    <row r="654" spans="1:4" ht="70">
      <c r="A654" s="715">
        <v>92854</v>
      </c>
      <c r="B654" s="633" t="s">
        <v>28764</v>
      </c>
      <c r="C654" s="715" t="s">
        <v>165</v>
      </c>
      <c r="D654" s="716">
        <v>41.94</v>
      </c>
    </row>
    <row r="655" spans="1:4" ht="70">
      <c r="A655" s="715">
        <v>92838</v>
      </c>
      <c r="B655" s="633" t="s">
        <v>28748</v>
      </c>
      <c r="C655" s="715" t="s">
        <v>165</v>
      </c>
      <c r="D655" s="716">
        <v>36.18</v>
      </c>
    </row>
    <row r="656" spans="1:4" ht="70">
      <c r="A656" s="715">
        <v>92856</v>
      </c>
      <c r="B656" s="633" t="s">
        <v>28766</v>
      </c>
      <c r="C656" s="715" t="s">
        <v>165</v>
      </c>
      <c r="D656" s="716">
        <v>51.14</v>
      </c>
    </row>
    <row r="657" spans="1:4" ht="70">
      <c r="A657" s="715">
        <v>92840</v>
      </c>
      <c r="B657" s="633" t="s">
        <v>28750</v>
      </c>
      <c r="C657" s="715" t="s">
        <v>165</v>
      </c>
      <c r="D657" s="716">
        <v>44.05</v>
      </c>
    </row>
    <row r="658" spans="1:4" ht="70">
      <c r="A658" s="715">
        <v>92858</v>
      </c>
      <c r="B658" s="633" t="s">
        <v>28768</v>
      </c>
      <c r="C658" s="715" t="s">
        <v>165</v>
      </c>
      <c r="D658" s="716">
        <v>62.9</v>
      </c>
    </row>
    <row r="659" spans="1:4" ht="70">
      <c r="A659" s="715">
        <v>92842</v>
      </c>
      <c r="B659" s="633" t="s">
        <v>28752</v>
      </c>
      <c r="C659" s="715" t="s">
        <v>165</v>
      </c>
      <c r="D659" s="716">
        <v>54.44</v>
      </c>
    </row>
    <row r="660" spans="1:4" ht="70">
      <c r="A660" s="715">
        <v>92860</v>
      </c>
      <c r="B660" s="633" t="s">
        <v>28770</v>
      </c>
      <c r="C660" s="715" t="s">
        <v>165</v>
      </c>
      <c r="D660" s="716">
        <v>74.03</v>
      </c>
    </row>
    <row r="661" spans="1:4" ht="70">
      <c r="A661" s="715">
        <v>92844</v>
      </c>
      <c r="B661" s="633" t="s">
        <v>28754</v>
      </c>
      <c r="C661" s="715" t="s">
        <v>165</v>
      </c>
      <c r="D661" s="716">
        <v>64.25</v>
      </c>
    </row>
    <row r="662" spans="1:4" ht="70">
      <c r="A662" s="715">
        <v>92862</v>
      </c>
      <c r="B662" s="633" t="s">
        <v>28772</v>
      </c>
      <c r="C662" s="715" t="s">
        <v>165</v>
      </c>
      <c r="D662" s="716">
        <v>84.63</v>
      </c>
    </row>
    <row r="663" spans="1:4" ht="70">
      <c r="A663" s="715">
        <v>92846</v>
      </c>
      <c r="B663" s="633" t="s">
        <v>28756</v>
      </c>
      <c r="C663" s="715" t="s">
        <v>165</v>
      </c>
      <c r="D663" s="716">
        <v>73.52</v>
      </c>
    </row>
    <row r="664" spans="1:4" ht="70">
      <c r="A664" s="715">
        <v>92828</v>
      </c>
      <c r="B664" s="633" t="s">
        <v>28808</v>
      </c>
      <c r="C664" s="715" t="s">
        <v>165</v>
      </c>
      <c r="D664" s="716">
        <v>133.75</v>
      </c>
    </row>
    <row r="665" spans="1:4" ht="70">
      <c r="A665" s="715">
        <v>92815</v>
      </c>
      <c r="B665" s="633" t="s">
        <v>28796</v>
      </c>
      <c r="C665" s="715" t="s">
        <v>165</v>
      </c>
      <c r="D665" s="716">
        <v>121.3</v>
      </c>
    </row>
    <row r="666" spans="1:4" ht="70">
      <c r="A666" s="715">
        <v>92830</v>
      </c>
      <c r="B666" s="633" t="s">
        <v>28810</v>
      </c>
      <c r="C666" s="715" t="s">
        <v>165</v>
      </c>
      <c r="D666" s="716">
        <v>164.56</v>
      </c>
    </row>
    <row r="667" spans="1:4" ht="70">
      <c r="A667" s="715">
        <v>92817</v>
      </c>
      <c r="B667" s="633" t="s">
        <v>28798</v>
      </c>
      <c r="C667" s="715" t="s">
        <v>165</v>
      </c>
      <c r="D667" s="716">
        <v>149.47</v>
      </c>
    </row>
    <row r="668" spans="1:4" ht="70">
      <c r="A668" s="715">
        <v>92832</v>
      </c>
      <c r="B668" s="633" t="s">
        <v>28812</v>
      </c>
      <c r="C668" s="715" t="s">
        <v>165</v>
      </c>
      <c r="D668" s="716">
        <v>212.79</v>
      </c>
    </row>
    <row r="669" spans="1:4" ht="70">
      <c r="A669" s="715">
        <v>92819</v>
      </c>
      <c r="B669" s="633" t="s">
        <v>28800</v>
      </c>
      <c r="C669" s="715" t="s">
        <v>165</v>
      </c>
      <c r="D669" s="716">
        <v>193.7</v>
      </c>
    </row>
    <row r="670" spans="1:4" ht="70">
      <c r="A670" s="715">
        <v>92820</v>
      </c>
      <c r="B670" s="633" t="s">
        <v>28801</v>
      </c>
      <c r="C670" s="715" t="s">
        <v>165</v>
      </c>
      <c r="D670" s="716">
        <v>34.18</v>
      </c>
    </row>
    <row r="671" spans="1:4" ht="70">
      <c r="A671" s="715">
        <v>92808</v>
      </c>
      <c r="B671" s="633" t="s">
        <v>28789</v>
      </c>
      <c r="C671" s="715" t="s">
        <v>165</v>
      </c>
      <c r="D671" s="716">
        <v>31.04</v>
      </c>
    </row>
    <row r="672" spans="1:4" ht="70">
      <c r="A672" s="715">
        <v>92821</v>
      </c>
      <c r="B672" s="633" t="s">
        <v>28802</v>
      </c>
      <c r="C672" s="715" t="s">
        <v>165</v>
      </c>
      <c r="D672" s="716">
        <v>47.54</v>
      </c>
    </row>
    <row r="673" spans="1:4" ht="70">
      <c r="A673" s="715">
        <v>92809</v>
      </c>
      <c r="B673" s="633" t="s">
        <v>28790</v>
      </c>
      <c r="C673" s="715" t="s">
        <v>165</v>
      </c>
      <c r="D673" s="716">
        <v>43.1</v>
      </c>
    </row>
    <row r="674" spans="1:4" ht="70">
      <c r="A674" s="715">
        <v>92822</v>
      </c>
      <c r="B674" s="633" t="s">
        <v>28803</v>
      </c>
      <c r="C674" s="715" t="s">
        <v>165</v>
      </c>
      <c r="D674" s="716">
        <v>61.27</v>
      </c>
    </row>
    <row r="675" spans="1:4" ht="70">
      <c r="A675" s="715">
        <v>92810</v>
      </c>
      <c r="B675" s="633" t="s">
        <v>28791</v>
      </c>
      <c r="C675" s="715" t="s">
        <v>165</v>
      </c>
      <c r="D675" s="716">
        <v>55.5</v>
      </c>
    </row>
    <row r="676" spans="1:4" ht="70">
      <c r="A676" s="715">
        <v>92824</v>
      </c>
      <c r="B676" s="633" t="s">
        <v>28804</v>
      </c>
      <c r="C676" s="715" t="s">
        <v>165</v>
      </c>
      <c r="D676" s="716">
        <v>75.209999999999994</v>
      </c>
    </row>
    <row r="677" spans="1:4" ht="70">
      <c r="A677" s="715">
        <v>92811</v>
      </c>
      <c r="B677" s="633" t="s">
        <v>28792</v>
      </c>
      <c r="C677" s="715" t="s">
        <v>165</v>
      </c>
      <c r="D677" s="716">
        <v>68.13</v>
      </c>
    </row>
    <row r="678" spans="1:4" ht="70">
      <c r="A678" s="715">
        <v>92825</v>
      </c>
      <c r="B678" s="633" t="s">
        <v>28805</v>
      </c>
      <c r="C678" s="715" t="s">
        <v>165</v>
      </c>
      <c r="D678" s="716">
        <v>89.44</v>
      </c>
    </row>
    <row r="679" spans="1:4" ht="70">
      <c r="A679" s="715">
        <v>92812</v>
      </c>
      <c r="B679" s="633" t="s">
        <v>28793</v>
      </c>
      <c r="C679" s="715" t="s">
        <v>165</v>
      </c>
      <c r="D679" s="716">
        <v>81.010000000000005</v>
      </c>
    </row>
    <row r="680" spans="1:4" ht="70">
      <c r="A680" s="715">
        <v>92826</v>
      </c>
      <c r="B680" s="633" t="s">
        <v>28806</v>
      </c>
      <c r="C680" s="715" t="s">
        <v>165</v>
      </c>
      <c r="D680" s="716">
        <v>103.94</v>
      </c>
    </row>
    <row r="681" spans="1:4" ht="70">
      <c r="A681" s="715">
        <v>92813</v>
      </c>
      <c r="B681" s="633" t="s">
        <v>28794</v>
      </c>
      <c r="C681" s="715" t="s">
        <v>165</v>
      </c>
      <c r="D681" s="716">
        <v>94.2</v>
      </c>
    </row>
    <row r="682" spans="1:4" ht="70">
      <c r="A682" s="715">
        <v>92827</v>
      </c>
      <c r="B682" s="633" t="s">
        <v>28807</v>
      </c>
      <c r="C682" s="715" t="s">
        <v>165</v>
      </c>
      <c r="D682" s="716">
        <v>118.75</v>
      </c>
    </row>
    <row r="683" spans="1:4" ht="70">
      <c r="A683" s="715">
        <v>92814</v>
      </c>
      <c r="B683" s="633" t="s">
        <v>28795</v>
      </c>
      <c r="C683" s="715" t="s">
        <v>165</v>
      </c>
      <c r="D683" s="716">
        <v>107.64</v>
      </c>
    </row>
    <row r="684" spans="1:4" ht="70">
      <c r="A684" s="715">
        <v>95570</v>
      </c>
      <c r="B684" s="633" t="s">
        <v>28818</v>
      </c>
      <c r="C684" s="715" t="s">
        <v>165</v>
      </c>
      <c r="D684" s="716">
        <v>108.48</v>
      </c>
    </row>
    <row r="685" spans="1:4" ht="70">
      <c r="A685" s="715">
        <v>95567</v>
      </c>
      <c r="B685" s="633" t="s">
        <v>28815</v>
      </c>
      <c r="C685" s="715" t="s">
        <v>165</v>
      </c>
      <c r="D685" s="716">
        <v>105.34</v>
      </c>
    </row>
    <row r="686" spans="1:4" ht="70">
      <c r="A686" s="715">
        <v>95571</v>
      </c>
      <c r="B686" s="633" t="s">
        <v>28819</v>
      </c>
      <c r="C686" s="715" t="s">
        <v>165</v>
      </c>
      <c r="D686" s="716">
        <v>135.34</v>
      </c>
    </row>
    <row r="687" spans="1:4" ht="70">
      <c r="A687" s="715">
        <v>95568</v>
      </c>
      <c r="B687" s="633" t="s">
        <v>28816</v>
      </c>
      <c r="C687" s="715" t="s">
        <v>165</v>
      </c>
      <c r="D687" s="716">
        <v>130.9</v>
      </c>
    </row>
    <row r="688" spans="1:4" ht="70">
      <c r="A688" s="715">
        <v>95572</v>
      </c>
      <c r="B688" s="633" t="s">
        <v>28820</v>
      </c>
      <c r="C688" s="715" t="s">
        <v>165</v>
      </c>
      <c r="D688" s="716">
        <v>191.94</v>
      </c>
    </row>
    <row r="689" spans="1:4" ht="70">
      <c r="A689" s="715">
        <v>95569</v>
      </c>
      <c r="B689" s="633" t="s">
        <v>28817</v>
      </c>
      <c r="C689" s="715" t="s">
        <v>165</v>
      </c>
      <c r="D689" s="716">
        <v>186.17</v>
      </c>
    </row>
    <row r="690" spans="1:4" ht="70">
      <c r="A690" s="715">
        <v>92863</v>
      </c>
      <c r="B690" s="633" t="s">
        <v>28773</v>
      </c>
      <c r="C690" s="715" t="s">
        <v>165</v>
      </c>
      <c r="D690" s="716">
        <v>1182.99</v>
      </c>
    </row>
    <row r="691" spans="1:4" ht="70">
      <c r="A691" s="715">
        <v>92847</v>
      </c>
      <c r="B691" s="633" t="s">
        <v>28757</v>
      </c>
      <c r="C691" s="715" t="s">
        <v>165</v>
      </c>
      <c r="D691" s="716">
        <v>1170.56</v>
      </c>
    </row>
    <row r="692" spans="1:4" ht="70">
      <c r="A692" s="715">
        <v>104936</v>
      </c>
      <c r="B692" s="633" t="s">
        <v>33065</v>
      </c>
      <c r="C692" s="715" t="s">
        <v>165</v>
      </c>
      <c r="D692" s="716">
        <v>0</v>
      </c>
    </row>
    <row r="693" spans="1:4" ht="70">
      <c r="A693" s="715">
        <v>104932</v>
      </c>
      <c r="B693" s="633" t="s">
        <v>33066</v>
      </c>
      <c r="C693" s="715" t="s">
        <v>165</v>
      </c>
      <c r="D693" s="716">
        <v>0</v>
      </c>
    </row>
    <row r="694" spans="1:4" ht="70">
      <c r="A694" s="715">
        <v>104938</v>
      </c>
      <c r="B694" s="633" t="s">
        <v>33067</v>
      </c>
      <c r="C694" s="715" t="s">
        <v>165</v>
      </c>
      <c r="D694" s="716">
        <v>0</v>
      </c>
    </row>
    <row r="695" spans="1:4" ht="70">
      <c r="A695" s="715">
        <v>104934</v>
      </c>
      <c r="B695" s="633" t="s">
        <v>33068</v>
      </c>
      <c r="C695" s="715" t="s">
        <v>165</v>
      </c>
      <c r="D695" s="716">
        <v>0</v>
      </c>
    </row>
    <row r="696" spans="1:4" ht="70">
      <c r="A696" s="715">
        <v>92849</v>
      </c>
      <c r="B696" s="633" t="s">
        <v>28759</v>
      </c>
      <c r="C696" s="715" t="s">
        <v>165</v>
      </c>
      <c r="D696" s="716">
        <v>251.3</v>
      </c>
    </row>
    <row r="697" spans="1:4" ht="70">
      <c r="A697" s="715">
        <v>92833</v>
      </c>
      <c r="B697" s="633" t="s">
        <v>28743</v>
      </c>
      <c r="C697" s="715" t="s">
        <v>165</v>
      </c>
      <c r="D697" s="716">
        <v>248.19</v>
      </c>
    </row>
    <row r="698" spans="1:4" ht="70">
      <c r="A698" s="715">
        <v>92851</v>
      </c>
      <c r="B698" s="633" t="s">
        <v>28761</v>
      </c>
      <c r="C698" s="715" t="s">
        <v>165</v>
      </c>
      <c r="D698" s="716">
        <v>265.81</v>
      </c>
    </row>
    <row r="699" spans="1:4" ht="70">
      <c r="A699" s="715">
        <v>92835</v>
      </c>
      <c r="B699" s="633" t="s">
        <v>28745</v>
      </c>
      <c r="C699" s="715" t="s">
        <v>165</v>
      </c>
      <c r="D699" s="716">
        <v>261.36</v>
      </c>
    </row>
    <row r="700" spans="1:4" ht="70">
      <c r="A700" s="715">
        <v>92853</v>
      </c>
      <c r="B700" s="633" t="s">
        <v>28763</v>
      </c>
      <c r="C700" s="715" t="s">
        <v>165</v>
      </c>
      <c r="D700" s="716">
        <v>472.67</v>
      </c>
    </row>
    <row r="701" spans="1:4" ht="70">
      <c r="A701" s="715">
        <v>92837</v>
      </c>
      <c r="B701" s="633" t="s">
        <v>28747</v>
      </c>
      <c r="C701" s="715" t="s">
        <v>165</v>
      </c>
      <c r="D701" s="716">
        <v>466.91</v>
      </c>
    </row>
    <row r="702" spans="1:4" ht="70">
      <c r="A702" s="715">
        <v>92855</v>
      </c>
      <c r="B702" s="633" t="s">
        <v>28765</v>
      </c>
      <c r="C702" s="715" t="s">
        <v>165</v>
      </c>
      <c r="D702" s="716">
        <v>579.66</v>
      </c>
    </row>
    <row r="703" spans="1:4" ht="70">
      <c r="A703" s="715">
        <v>92839</v>
      </c>
      <c r="B703" s="633" t="s">
        <v>28749</v>
      </c>
      <c r="C703" s="715" t="s">
        <v>165</v>
      </c>
      <c r="D703" s="716">
        <v>572.57000000000005</v>
      </c>
    </row>
    <row r="704" spans="1:4" ht="70">
      <c r="A704" s="715">
        <v>92857</v>
      </c>
      <c r="B704" s="633" t="s">
        <v>28767</v>
      </c>
      <c r="C704" s="715" t="s">
        <v>165</v>
      </c>
      <c r="D704" s="716">
        <v>753.23</v>
      </c>
    </row>
    <row r="705" spans="1:4" ht="70">
      <c r="A705" s="715">
        <v>92841</v>
      </c>
      <c r="B705" s="633" t="s">
        <v>28751</v>
      </c>
      <c r="C705" s="715" t="s">
        <v>165</v>
      </c>
      <c r="D705" s="716">
        <v>744.77</v>
      </c>
    </row>
    <row r="706" spans="1:4" ht="70">
      <c r="A706" s="715">
        <v>92859</v>
      </c>
      <c r="B706" s="633" t="s">
        <v>28769</v>
      </c>
      <c r="C706" s="715" t="s">
        <v>165</v>
      </c>
      <c r="D706" s="716">
        <v>779.62</v>
      </c>
    </row>
    <row r="707" spans="1:4" ht="70">
      <c r="A707" s="715">
        <v>92843</v>
      </c>
      <c r="B707" s="633" t="s">
        <v>28753</v>
      </c>
      <c r="C707" s="715" t="s">
        <v>165</v>
      </c>
      <c r="D707" s="716">
        <v>769.84</v>
      </c>
    </row>
    <row r="708" spans="1:4" ht="70">
      <c r="A708" s="715">
        <v>92861</v>
      </c>
      <c r="B708" s="633" t="s">
        <v>28771</v>
      </c>
      <c r="C708" s="715" t="s">
        <v>165</v>
      </c>
      <c r="D708" s="716">
        <v>1154.49</v>
      </c>
    </row>
    <row r="709" spans="1:4" ht="70">
      <c r="A709" s="715">
        <v>92845</v>
      </c>
      <c r="B709" s="633" t="s">
        <v>28755</v>
      </c>
      <c r="C709" s="715" t="s">
        <v>165</v>
      </c>
      <c r="D709" s="716">
        <v>1143.3800000000001</v>
      </c>
    </row>
    <row r="710" spans="1:4" ht="70">
      <c r="A710" s="715">
        <v>92226</v>
      </c>
      <c r="B710" s="633" t="s">
        <v>28788</v>
      </c>
      <c r="C710" s="715" t="s">
        <v>165</v>
      </c>
      <c r="D710" s="716">
        <v>673.91</v>
      </c>
    </row>
    <row r="711" spans="1:4" ht="70">
      <c r="A711" s="715">
        <v>92216</v>
      </c>
      <c r="B711" s="633" t="s">
        <v>28781</v>
      </c>
      <c r="C711" s="715" t="s">
        <v>165</v>
      </c>
      <c r="D711" s="716">
        <v>661.46</v>
      </c>
    </row>
    <row r="712" spans="1:4" ht="70">
      <c r="A712" s="715">
        <v>92829</v>
      </c>
      <c r="B712" s="633" t="s">
        <v>28809</v>
      </c>
      <c r="C712" s="715" t="s">
        <v>165</v>
      </c>
      <c r="D712" s="716">
        <v>971.31</v>
      </c>
    </row>
    <row r="713" spans="1:4" ht="70">
      <c r="A713" s="715">
        <v>92816</v>
      </c>
      <c r="B713" s="633" t="s">
        <v>28797</v>
      </c>
      <c r="C713" s="715" t="s">
        <v>165</v>
      </c>
      <c r="D713" s="716">
        <v>956.22</v>
      </c>
    </row>
    <row r="714" spans="1:4" ht="70">
      <c r="A714" s="715">
        <v>92831</v>
      </c>
      <c r="B714" s="633" t="s">
        <v>28811</v>
      </c>
      <c r="C714" s="715" t="s">
        <v>165</v>
      </c>
      <c r="D714" s="716">
        <v>1381.6</v>
      </c>
    </row>
    <row r="715" spans="1:4" ht="70">
      <c r="A715" s="715">
        <v>92818</v>
      </c>
      <c r="B715" s="633" t="s">
        <v>28799</v>
      </c>
      <c r="C715" s="715" t="s">
        <v>165</v>
      </c>
      <c r="D715" s="716">
        <v>1362.51</v>
      </c>
    </row>
    <row r="716" spans="1:4" ht="70">
      <c r="A716" s="715">
        <v>95566</v>
      </c>
      <c r="B716" s="633" t="s">
        <v>28814</v>
      </c>
      <c r="C716" s="715" t="s">
        <v>165</v>
      </c>
      <c r="D716" s="716">
        <v>161.06</v>
      </c>
    </row>
    <row r="717" spans="1:4" ht="70">
      <c r="A717" s="715">
        <v>95565</v>
      </c>
      <c r="B717" s="633" t="s">
        <v>28813</v>
      </c>
      <c r="C717" s="715" t="s">
        <v>165</v>
      </c>
      <c r="D717" s="716">
        <v>157.91999999999999</v>
      </c>
    </row>
    <row r="718" spans="1:4" ht="70">
      <c r="A718" s="715">
        <v>92219</v>
      </c>
      <c r="B718" s="633" t="s">
        <v>28782</v>
      </c>
      <c r="C718" s="715" t="s">
        <v>165</v>
      </c>
      <c r="D718" s="716">
        <v>190.73</v>
      </c>
    </row>
    <row r="719" spans="1:4" ht="70">
      <c r="A719" s="715">
        <v>92210</v>
      </c>
      <c r="B719" s="633" t="s">
        <v>28775</v>
      </c>
      <c r="C719" s="715" t="s">
        <v>165</v>
      </c>
      <c r="D719" s="716">
        <v>186.29</v>
      </c>
    </row>
    <row r="720" spans="1:4" ht="70">
      <c r="A720" s="715">
        <v>92220</v>
      </c>
      <c r="B720" s="633" t="s">
        <v>28783</v>
      </c>
      <c r="C720" s="715" t="s">
        <v>165</v>
      </c>
      <c r="D720" s="716">
        <v>232.39</v>
      </c>
    </row>
    <row r="721" spans="1:4" ht="70">
      <c r="A721" s="715">
        <v>92211</v>
      </c>
      <c r="B721" s="633" t="s">
        <v>28776</v>
      </c>
      <c r="C721" s="715" t="s">
        <v>165</v>
      </c>
      <c r="D721" s="716">
        <v>226.62</v>
      </c>
    </row>
    <row r="722" spans="1:4" ht="70">
      <c r="A722" s="715">
        <v>92221</v>
      </c>
      <c r="B722" s="633" t="s">
        <v>28784</v>
      </c>
      <c r="C722" s="715" t="s">
        <v>165</v>
      </c>
      <c r="D722" s="716">
        <v>352.28</v>
      </c>
    </row>
    <row r="723" spans="1:4" ht="70">
      <c r="A723" s="715">
        <v>92212</v>
      </c>
      <c r="B723" s="633" t="s">
        <v>28777</v>
      </c>
      <c r="C723" s="715" t="s">
        <v>165</v>
      </c>
      <c r="D723" s="716">
        <v>345.2</v>
      </c>
    </row>
    <row r="724" spans="1:4" ht="70">
      <c r="A724" s="715">
        <v>92222</v>
      </c>
      <c r="B724" s="633" t="s">
        <v>28785</v>
      </c>
      <c r="C724" s="715" t="s">
        <v>165</v>
      </c>
      <c r="D724" s="716">
        <v>467.08</v>
      </c>
    </row>
    <row r="725" spans="1:4" ht="70">
      <c r="A725" s="715">
        <v>92213</v>
      </c>
      <c r="B725" s="633" t="s">
        <v>28778</v>
      </c>
      <c r="C725" s="715" t="s">
        <v>165</v>
      </c>
      <c r="D725" s="716">
        <v>458.65</v>
      </c>
    </row>
    <row r="726" spans="1:4" ht="70">
      <c r="A726" s="715">
        <v>92223</v>
      </c>
      <c r="B726" s="633" t="s">
        <v>28786</v>
      </c>
      <c r="C726" s="715" t="s">
        <v>165</v>
      </c>
      <c r="D726" s="716">
        <v>564.92999999999995</v>
      </c>
    </row>
    <row r="727" spans="1:4" ht="70">
      <c r="A727" s="715">
        <v>92214</v>
      </c>
      <c r="B727" s="633" t="s">
        <v>28779</v>
      </c>
      <c r="C727" s="715" t="s">
        <v>165</v>
      </c>
      <c r="D727" s="716">
        <v>555.19000000000005</v>
      </c>
    </row>
    <row r="728" spans="1:4" ht="70">
      <c r="A728" s="715">
        <v>92224</v>
      </c>
      <c r="B728" s="633" t="s">
        <v>28787</v>
      </c>
      <c r="C728" s="715" t="s">
        <v>165</v>
      </c>
      <c r="D728" s="716">
        <v>648.42999999999995</v>
      </c>
    </row>
    <row r="729" spans="1:4" ht="70">
      <c r="A729" s="715">
        <v>92215</v>
      </c>
      <c r="B729" s="633" t="s">
        <v>28780</v>
      </c>
      <c r="C729" s="715" t="s">
        <v>165</v>
      </c>
      <c r="D729" s="716">
        <v>637.32000000000005</v>
      </c>
    </row>
    <row r="730" spans="1:4" ht="28">
      <c r="A730" s="715">
        <v>94342</v>
      </c>
      <c r="B730" s="633" t="s">
        <v>28361</v>
      </c>
      <c r="C730" s="715" t="s">
        <v>121</v>
      </c>
      <c r="D730" s="716">
        <v>99.76</v>
      </c>
    </row>
    <row r="731" spans="1:4" ht="28">
      <c r="A731" s="715">
        <v>94319</v>
      </c>
      <c r="B731" s="633" t="s">
        <v>28355</v>
      </c>
      <c r="C731" s="715" t="s">
        <v>121</v>
      </c>
      <c r="D731" s="716">
        <v>92.83</v>
      </c>
    </row>
    <row r="732" spans="1:4" ht="70">
      <c r="A732" s="715">
        <v>94304</v>
      </c>
      <c r="B732" s="633" t="s">
        <v>28350</v>
      </c>
      <c r="C732" s="715" t="s">
        <v>121</v>
      </c>
      <c r="D732" s="716">
        <v>84.99</v>
      </c>
    </row>
    <row r="733" spans="1:4" ht="70">
      <c r="A733" s="715">
        <v>94306</v>
      </c>
      <c r="B733" s="633" t="s">
        <v>28351</v>
      </c>
      <c r="C733" s="715" t="s">
        <v>121</v>
      </c>
      <c r="D733" s="716">
        <v>77.260000000000005</v>
      </c>
    </row>
    <row r="734" spans="1:4" ht="70">
      <c r="A734" s="715">
        <v>94327</v>
      </c>
      <c r="B734" s="633" t="s">
        <v>28356</v>
      </c>
      <c r="C734" s="715" t="s">
        <v>121</v>
      </c>
      <c r="D734" s="716">
        <v>91.92</v>
      </c>
    </row>
    <row r="735" spans="1:4" ht="70">
      <c r="A735" s="715">
        <v>94329</v>
      </c>
      <c r="B735" s="633" t="s">
        <v>28357</v>
      </c>
      <c r="C735" s="715" t="s">
        <v>121</v>
      </c>
      <c r="D735" s="716">
        <v>84.19</v>
      </c>
    </row>
    <row r="736" spans="1:4" ht="70">
      <c r="A736" s="715">
        <v>94333</v>
      </c>
      <c r="B736" s="633" t="s">
        <v>28358</v>
      </c>
      <c r="C736" s="715" t="s">
        <v>121</v>
      </c>
      <c r="D736" s="716">
        <v>80.709999999999994</v>
      </c>
    </row>
    <row r="737" spans="1:4" ht="70">
      <c r="A737" s="715">
        <v>94310</v>
      </c>
      <c r="B737" s="633" t="s">
        <v>28352</v>
      </c>
      <c r="C737" s="715" t="s">
        <v>121</v>
      </c>
      <c r="D737" s="716">
        <v>73.78</v>
      </c>
    </row>
    <row r="738" spans="1:4" ht="42">
      <c r="A738" s="715">
        <v>104739</v>
      </c>
      <c r="B738" s="633" t="s">
        <v>28373</v>
      </c>
      <c r="C738" s="715" t="s">
        <v>121</v>
      </c>
      <c r="D738" s="716">
        <v>97.68</v>
      </c>
    </row>
    <row r="739" spans="1:4" ht="42">
      <c r="A739" s="715">
        <v>104738</v>
      </c>
      <c r="B739" s="633" t="s">
        <v>28372</v>
      </c>
      <c r="C739" s="715" t="s">
        <v>121</v>
      </c>
      <c r="D739" s="716">
        <v>90.75</v>
      </c>
    </row>
    <row r="740" spans="1:4" ht="70">
      <c r="A740" s="715">
        <v>94316</v>
      </c>
      <c r="B740" s="633" t="s">
        <v>28353</v>
      </c>
      <c r="C740" s="715" t="s">
        <v>121</v>
      </c>
      <c r="D740" s="716">
        <v>79.48</v>
      </c>
    </row>
    <row r="741" spans="1:4" ht="70">
      <c r="A741" s="715">
        <v>94318</v>
      </c>
      <c r="B741" s="633" t="s">
        <v>28354</v>
      </c>
      <c r="C741" s="715" t="s">
        <v>121</v>
      </c>
      <c r="D741" s="716">
        <v>72.52</v>
      </c>
    </row>
    <row r="742" spans="1:4" ht="70">
      <c r="A742" s="715">
        <v>94339</v>
      </c>
      <c r="B742" s="633" t="s">
        <v>28359</v>
      </c>
      <c r="C742" s="715" t="s">
        <v>121</v>
      </c>
      <c r="D742" s="716">
        <v>86.41</v>
      </c>
    </row>
    <row r="743" spans="1:4" ht="70">
      <c r="A743" s="715">
        <v>94341</v>
      </c>
      <c r="B743" s="633" t="s">
        <v>28360</v>
      </c>
      <c r="C743" s="715" t="s">
        <v>121</v>
      </c>
      <c r="D743" s="716">
        <v>79.45</v>
      </c>
    </row>
    <row r="744" spans="1:4" ht="28">
      <c r="A744" s="715">
        <v>104742</v>
      </c>
      <c r="B744" s="633" t="s">
        <v>28376</v>
      </c>
      <c r="C744" s="715" t="s">
        <v>509</v>
      </c>
      <c r="D744" s="716">
        <v>9.33</v>
      </c>
    </row>
    <row r="745" spans="1:4" ht="28">
      <c r="A745" s="715">
        <v>93382</v>
      </c>
      <c r="B745" s="633" t="s">
        <v>28365</v>
      </c>
      <c r="C745" s="715" t="s">
        <v>121</v>
      </c>
      <c r="D745" s="716">
        <v>35.880000000000003</v>
      </c>
    </row>
    <row r="746" spans="1:4" ht="28">
      <c r="A746" s="715">
        <v>104737</v>
      </c>
      <c r="B746" s="633" t="s">
        <v>28371</v>
      </c>
      <c r="C746" s="715" t="s">
        <v>121</v>
      </c>
      <c r="D746" s="716">
        <v>30.43</v>
      </c>
    </row>
    <row r="747" spans="1:4" ht="98">
      <c r="A747" s="715">
        <v>93369</v>
      </c>
      <c r="B747" s="633" t="s">
        <v>29382</v>
      </c>
      <c r="C747" s="715" t="s">
        <v>121</v>
      </c>
      <c r="D747" s="716">
        <v>20.309999999999999</v>
      </c>
    </row>
    <row r="748" spans="1:4" ht="98">
      <c r="A748" s="715">
        <v>93373</v>
      </c>
      <c r="B748" s="633" t="s">
        <v>29383</v>
      </c>
      <c r="C748" s="715" t="s">
        <v>121</v>
      </c>
      <c r="D748" s="716">
        <v>16.829999999999998</v>
      </c>
    </row>
    <row r="749" spans="1:4" ht="98">
      <c r="A749" s="715">
        <v>93368</v>
      </c>
      <c r="B749" s="633" t="s">
        <v>28363</v>
      </c>
      <c r="C749" s="715" t="s">
        <v>121</v>
      </c>
      <c r="D749" s="716">
        <v>24.61</v>
      </c>
    </row>
    <row r="750" spans="1:4" ht="84">
      <c r="A750" s="715">
        <v>104729</v>
      </c>
      <c r="B750" s="633" t="s">
        <v>28367</v>
      </c>
      <c r="C750" s="715" t="s">
        <v>121</v>
      </c>
      <c r="D750" s="716">
        <v>19.559999999999999</v>
      </c>
    </row>
    <row r="751" spans="1:4" ht="98">
      <c r="A751" s="715">
        <v>93372</v>
      </c>
      <c r="B751" s="633" t="s">
        <v>28364</v>
      </c>
      <c r="C751" s="715" t="s">
        <v>121</v>
      </c>
      <c r="D751" s="716">
        <v>19.55</v>
      </c>
    </row>
    <row r="752" spans="1:4" ht="84">
      <c r="A752" s="715">
        <v>104731</v>
      </c>
      <c r="B752" s="633" t="s">
        <v>28369</v>
      </c>
      <c r="C752" s="715" t="s">
        <v>121</v>
      </c>
      <c r="D752" s="716">
        <v>14.52</v>
      </c>
    </row>
    <row r="753" spans="1:4" ht="98">
      <c r="A753" s="715">
        <v>93367</v>
      </c>
      <c r="B753" s="633" t="s">
        <v>28362</v>
      </c>
      <c r="C753" s="715" t="s">
        <v>121</v>
      </c>
      <c r="D753" s="716">
        <v>28.04</v>
      </c>
    </row>
    <row r="754" spans="1:4" ht="84">
      <c r="A754" s="715">
        <v>104728</v>
      </c>
      <c r="B754" s="633" t="s">
        <v>28366</v>
      </c>
      <c r="C754" s="715" t="s">
        <v>121</v>
      </c>
      <c r="D754" s="716">
        <v>22.95</v>
      </c>
    </row>
    <row r="755" spans="1:4" ht="84">
      <c r="A755" s="715">
        <v>104730</v>
      </c>
      <c r="B755" s="633" t="s">
        <v>28368</v>
      </c>
      <c r="C755" s="715" t="s">
        <v>121</v>
      </c>
      <c r="D755" s="716">
        <v>15.28</v>
      </c>
    </row>
    <row r="756" spans="1:4" ht="84">
      <c r="A756" s="715">
        <v>104732</v>
      </c>
      <c r="B756" s="633" t="s">
        <v>28370</v>
      </c>
      <c r="C756" s="715" t="s">
        <v>121</v>
      </c>
      <c r="D756" s="716">
        <v>11.8</v>
      </c>
    </row>
    <row r="757" spans="1:4" ht="42">
      <c r="A757" s="715">
        <v>104740</v>
      </c>
      <c r="B757" s="633" t="s">
        <v>28374</v>
      </c>
      <c r="C757" s="715" t="s">
        <v>121</v>
      </c>
      <c r="D757" s="716">
        <v>33.799999999999997</v>
      </c>
    </row>
    <row r="758" spans="1:4" ht="42">
      <c r="A758" s="715">
        <v>104741</v>
      </c>
      <c r="B758" s="633" t="s">
        <v>28375</v>
      </c>
      <c r="C758" s="715" t="s">
        <v>121</v>
      </c>
      <c r="D758" s="716">
        <v>28.34</v>
      </c>
    </row>
    <row r="759" spans="1:4" ht="84">
      <c r="A759" s="715">
        <v>93381</v>
      </c>
      <c r="B759" s="633" t="s">
        <v>40154</v>
      </c>
      <c r="C759" s="715" t="s">
        <v>121</v>
      </c>
      <c r="D759" s="716">
        <v>15.57</v>
      </c>
    </row>
    <row r="760" spans="1:4" ht="84">
      <c r="A760" s="715">
        <v>93379</v>
      </c>
      <c r="B760" s="633" t="s">
        <v>40155</v>
      </c>
      <c r="C760" s="715" t="s">
        <v>121</v>
      </c>
      <c r="D760" s="716">
        <v>22.53</v>
      </c>
    </row>
    <row r="761" spans="1:4" ht="84">
      <c r="A761" s="715">
        <v>93380</v>
      </c>
      <c r="B761" s="633" t="s">
        <v>40156</v>
      </c>
      <c r="C761" s="715" t="s">
        <v>121</v>
      </c>
      <c r="D761" s="716">
        <v>19.190000000000001</v>
      </c>
    </row>
    <row r="762" spans="1:4" ht="98">
      <c r="A762" s="715">
        <v>93378</v>
      </c>
      <c r="B762" s="633" t="s">
        <v>40157</v>
      </c>
      <c r="C762" s="715" t="s">
        <v>121</v>
      </c>
      <c r="D762" s="716">
        <v>29.29</v>
      </c>
    </row>
    <row r="763" spans="1:4" ht="84">
      <c r="A763" s="715">
        <v>104733</v>
      </c>
      <c r="B763" s="633" t="s">
        <v>40158</v>
      </c>
      <c r="C763" s="715" t="s">
        <v>121</v>
      </c>
      <c r="D763" s="716">
        <v>23.84</v>
      </c>
    </row>
    <row r="764" spans="1:4" ht="84">
      <c r="A764" s="715">
        <v>104735</v>
      </c>
      <c r="B764" s="633" t="s">
        <v>40159</v>
      </c>
      <c r="C764" s="715" t="s">
        <v>121</v>
      </c>
      <c r="D764" s="716">
        <v>14.06</v>
      </c>
    </row>
    <row r="765" spans="1:4" ht="84">
      <c r="A765" s="715">
        <v>104734</v>
      </c>
      <c r="B765" s="633" t="s">
        <v>40160</v>
      </c>
      <c r="C765" s="715" t="s">
        <v>121</v>
      </c>
      <c r="D765" s="716">
        <v>17.28</v>
      </c>
    </row>
    <row r="766" spans="1:4" ht="84">
      <c r="A766" s="715">
        <v>104736</v>
      </c>
      <c r="B766" s="633" t="s">
        <v>40161</v>
      </c>
      <c r="C766" s="715" t="s">
        <v>121</v>
      </c>
      <c r="D766" s="716">
        <v>10.52</v>
      </c>
    </row>
    <row r="767" spans="1:4" ht="56">
      <c r="A767" s="715">
        <v>105732</v>
      </c>
      <c r="B767" s="633" t="s">
        <v>30360</v>
      </c>
      <c r="C767" s="715" t="s">
        <v>121</v>
      </c>
      <c r="D767" s="716">
        <v>224.68</v>
      </c>
    </row>
    <row r="768" spans="1:4" ht="56">
      <c r="A768" s="715">
        <v>96397</v>
      </c>
      <c r="B768" s="633" t="s">
        <v>30262</v>
      </c>
      <c r="C768" s="715" t="s">
        <v>121</v>
      </c>
      <c r="D768" s="716">
        <v>219.67</v>
      </c>
    </row>
    <row r="769" spans="1:4" ht="56">
      <c r="A769" s="715">
        <v>105735</v>
      </c>
      <c r="B769" s="633" t="s">
        <v>30363</v>
      </c>
      <c r="C769" s="715" t="s">
        <v>121</v>
      </c>
      <c r="D769" s="716">
        <v>217.15</v>
      </c>
    </row>
    <row r="770" spans="1:4" ht="56">
      <c r="A770" s="715">
        <v>105727</v>
      </c>
      <c r="B770" s="633" t="s">
        <v>30355</v>
      </c>
      <c r="C770" s="715" t="s">
        <v>121</v>
      </c>
      <c r="D770" s="716">
        <v>162.47</v>
      </c>
    </row>
    <row r="771" spans="1:4" ht="56">
      <c r="A771" s="715">
        <v>96396</v>
      </c>
      <c r="B771" s="633" t="s">
        <v>30261</v>
      </c>
      <c r="C771" s="715" t="s">
        <v>121</v>
      </c>
      <c r="D771" s="716">
        <v>158.61000000000001</v>
      </c>
    </row>
    <row r="772" spans="1:4" ht="56">
      <c r="A772" s="715">
        <v>105730</v>
      </c>
      <c r="B772" s="633" t="s">
        <v>30358</v>
      </c>
      <c r="C772" s="715" t="s">
        <v>121</v>
      </c>
      <c r="D772" s="716">
        <v>156.66</v>
      </c>
    </row>
    <row r="773" spans="1:4" ht="56">
      <c r="A773" s="715">
        <v>105737</v>
      </c>
      <c r="B773" s="633" t="s">
        <v>30365</v>
      </c>
      <c r="C773" s="715" t="s">
        <v>121</v>
      </c>
      <c r="D773" s="716">
        <v>304.41000000000003</v>
      </c>
    </row>
    <row r="774" spans="1:4" ht="56">
      <c r="A774" s="715">
        <v>96398</v>
      </c>
      <c r="B774" s="633" t="s">
        <v>30263</v>
      </c>
      <c r="C774" s="715" t="s">
        <v>121</v>
      </c>
      <c r="D774" s="716">
        <v>300.66000000000003</v>
      </c>
    </row>
    <row r="775" spans="1:4" ht="56">
      <c r="A775" s="715">
        <v>105740</v>
      </c>
      <c r="B775" s="633" t="s">
        <v>30368</v>
      </c>
      <c r="C775" s="715" t="s">
        <v>121</v>
      </c>
      <c r="D775" s="716">
        <v>298.66000000000003</v>
      </c>
    </row>
    <row r="776" spans="1:4" ht="56">
      <c r="A776" s="715">
        <v>105749</v>
      </c>
      <c r="B776" s="633" t="s">
        <v>30377</v>
      </c>
      <c r="C776" s="715" t="s">
        <v>121</v>
      </c>
      <c r="D776" s="716">
        <v>146.84</v>
      </c>
    </row>
    <row r="777" spans="1:4" ht="56">
      <c r="A777" s="715">
        <v>96400</v>
      </c>
      <c r="B777" s="633" t="s">
        <v>30265</v>
      </c>
      <c r="C777" s="715" t="s">
        <v>121</v>
      </c>
      <c r="D777" s="716">
        <v>144.75</v>
      </c>
    </row>
    <row r="778" spans="1:4" ht="56">
      <c r="A778" s="715">
        <v>105752</v>
      </c>
      <c r="B778" s="633" t="s">
        <v>30380</v>
      </c>
      <c r="C778" s="715" t="s">
        <v>121</v>
      </c>
      <c r="D778" s="716">
        <v>142.91</v>
      </c>
    </row>
    <row r="779" spans="1:4" ht="56">
      <c r="A779" s="715">
        <v>105754</v>
      </c>
      <c r="B779" s="633" t="s">
        <v>30382</v>
      </c>
      <c r="C779" s="715" t="s">
        <v>121</v>
      </c>
      <c r="D779" s="716">
        <v>141.19</v>
      </c>
    </row>
    <row r="780" spans="1:4" ht="42">
      <c r="A780" s="715">
        <v>105742</v>
      </c>
      <c r="B780" s="633" t="s">
        <v>30370</v>
      </c>
      <c r="C780" s="715" t="s">
        <v>121</v>
      </c>
      <c r="D780" s="716">
        <v>111.5</v>
      </c>
    </row>
    <row r="781" spans="1:4" ht="42">
      <c r="A781" s="715">
        <v>96399</v>
      </c>
      <c r="B781" s="633" t="s">
        <v>30264</v>
      </c>
      <c r="C781" s="715" t="s">
        <v>121</v>
      </c>
      <c r="D781" s="716">
        <v>109.62</v>
      </c>
    </row>
    <row r="782" spans="1:4" ht="42">
      <c r="A782" s="715">
        <v>105745</v>
      </c>
      <c r="B782" s="633" t="s">
        <v>30373</v>
      </c>
      <c r="C782" s="715" t="s">
        <v>121</v>
      </c>
      <c r="D782" s="716">
        <v>107.74</v>
      </c>
    </row>
    <row r="783" spans="1:4" ht="42">
      <c r="A783" s="715">
        <v>105747</v>
      </c>
      <c r="B783" s="633" t="s">
        <v>30375</v>
      </c>
      <c r="C783" s="715" t="s">
        <v>121</v>
      </c>
      <c r="D783" s="716">
        <v>105.84</v>
      </c>
    </row>
    <row r="784" spans="1:4" ht="84">
      <c r="A784" s="715">
        <v>105657</v>
      </c>
      <c r="B784" s="633" t="s">
        <v>30321</v>
      </c>
      <c r="C784" s="715" t="s">
        <v>121</v>
      </c>
      <c r="D784" s="716">
        <v>170.23</v>
      </c>
    </row>
    <row r="785" spans="1:4" ht="84">
      <c r="A785" s="715">
        <v>100566</v>
      </c>
      <c r="B785" s="633" t="s">
        <v>30268</v>
      </c>
      <c r="C785" s="715" t="s">
        <v>121</v>
      </c>
      <c r="D785" s="716">
        <v>162</v>
      </c>
    </row>
    <row r="786" spans="1:4" ht="84">
      <c r="A786" s="715">
        <v>105666</v>
      </c>
      <c r="B786" s="633" t="s">
        <v>30330</v>
      </c>
      <c r="C786" s="715" t="s">
        <v>121</v>
      </c>
      <c r="D786" s="716">
        <v>157.88999999999999</v>
      </c>
    </row>
    <row r="787" spans="1:4" ht="70">
      <c r="A787" s="715">
        <v>105639</v>
      </c>
      <c r="B787" s="633" t="s">
        <v>33069</v>
      </c>
      <c r="C787" s="715" t="s">
        <v>121</v>
      </c>
      <c r="D787" s="716">
        <v>193.63</v>
      </c>
    </row>
    <row r="788" spans="1:4" ht="70">
      <c r="A788" s="715">
        <v>105645</v>
      </c>
      <c r="B788" s="633" t="s">
        <v>33070</v>
      </c>
      <c r="C788" s="715" t="s">
        <v>121</v>
      </c>
      <c r="D788" s="716">
        <v>189.77</v>
      </c>
    </row>
    <row r="789" spans="1:4" ht="70">
      <c r="A789" s="715">
        <v>105651</v>
      </c>
      <c r="B789" s="633" t="s">
        <v>33071</v>
      </c>
      <c r="C789" s="715" t="s">
        <v>121</v>
      </c>
      <c r="D789" s="716">
        <v>187.82</v>
      </c>
    </row>
    <row r="790" spans="1:4" ht="84">
      <c r="A790" s="715">
        <v>105658</v>
      </c>
      <c r="B790" s="633" t="s">
        <v>30322</v>
      </c>
      <c r="C790" s="715" t="s">
        <v>121</v>
      </c>
      <c r="D790" s="716">
        <v>199.35</v>
      </c>
    </row>
    <row r="791" spans="1:4" ht="84">
      <c r="A791" s="715">
        <v>100567</v>
      </c>
      <c r="B791" s="633" t="s">
        <v>30269</v>
      </c>
      <c r="C791" s="715" t="s">
        <v>121</v>
      </c>
      <c r="D791" s="716">
        <v>191.12</v>
      </c>
    </row>
    <row r="792" spans="1:4" ht="84">
      <c r="A792" s="715">
        <v>105667</v>
      </c>
      <c r="B792" s="633" t="s">
        <v>30331</v>
      </c>
      <c r="C792" s="715" t="s">
        <v>121</v>
      </c>
      <c r="D792" s="716">
        <v>187.01</v>
      </c>
    </row>
    <row r="793" spans="1:4" ht="70">
      <c r="A793" s="715">
        <v>105640</v>
      </c>
      <c r="B793" s="633" t="s">
        <v>33072</v>
      </c>
      <c r="C793" s="715" t="s">
        <v>121</v>
      </c>
      <c r="D793" s="716">
        <v>220.82</v>
      </c>
    </row>
    <row r="794" spans="1:4" ht="70">
      <c r="A794" s="715">
        <v>105646</v>
      </c>
      <c r="B794" s="633" t="s">
        <v>33073</v>
      </c>
      <c r="C794" s="715" t="s">
        <v>121</v>
      </c>
      <c r="D794" s="716">
        <v>216.96</v>
      </c>
    </row>
    <row r="795" spans="1:4" ht="70">
      <c r="A795" s="715">
        <v>105652</v>
      </c>
      <c r="B795" s="633" t="s">
        <v>33074</v>
      </c>
      <c r="C795" s="715" t="s">
        <v>121</v>
      </c>
      <c r="D795" s="716">
        <v>215.01</v>
      </c>
    </row>
    <row r="796" spans="1:4" ht="84">
      <c r="A796" s="715">
        <v>105659</v>
      </c>
      <c r="B796" s="633" t="s">
        <v>30323</v>
      </c>
      <c r="C796" s="715" t="s">
        <v>121</v>
      </c>
      <c r="D796" s="716">
        <v>228.06</v>
      </c>
    </row>
    <row r="797" spans="1:4" ht="84">
      <c r="A797" s="715">
        <v>100568</v>
      </c>
      <c r="B797" s="633" t="s">
        <v>30270</v>
      </c>
      <c r="C797" s="715" t="s">
        <v>121</v>
      </c>
      <c r="D797" s="716">
        <v>219.83</v>
      </c>
    </row>
    <row r="798" spans="1:4" ht="84">
      <c r="A798" s="715">
        <v>105668</v>
      </c>
      <c r="B798" s="633" t="s">
        <v>30332</v>
      </c>
      <c r="C798" s="715" t="s">
        <v>121</v>
      </c>
      <c r="D798" s="716">
        <v>215.72</v>
      </c>
    </row>
    <row r="799" spans="1:4" ht="70">
      <c r="A799" s="715">
        <v>105641</v>
      </c>
      <c r="B799" s="633" t="s">
        <v>33075</v>
      </c>
      <c r="C799" s="715" t="s">
        <v>121</v>
      </c>
      <c r="D799" s="716">
        <v>248.02</v>
      </c>
    </row>
    <row r="800" spans="1:4" ht="70">
      <c r="A800" s="715">
        <v>105647</v>
      </c>
      <c r="B800" s="633" t="s">
        <v>33076</v>
      </c>
      <c r="C800" s="715" t="s">
        <v>121</v>
      </c>
      <c r="D800" s="716">
        <v>244.16</v>
      </c>
    </row>
    <row r="801" spans="1:4" ht="70">
      <c r="A801" s="715">
        <v>105653</v>
      </c>
      <c r="B801" s="633" t="s">
        <v>33077</v>
      </c>
      <c r="C801" s="715" t="s">
        <v>121</v>
      </c>
      <c r="D801" s="716">
        <v>242.21</v>
      </c>
    </row>
    <row r="802" spans="1:4" ht="70">
      <c r="A802" s="715">
        <v>105710</v>
      </c>
      <c r="B802" s="633" t="s">
        <v>30351</v>
      </c>
      <c r="C802" s="715" t="s">
        <v>121</v>
      </c>
      <c r="D802" s="716">
        <v>108.11</v>
      </c>
    </row>
    <row r="803" spans="1:4" ht="70">
      <c r="A803" s="715">
        <v>100564</v>
      </c>
      <c r="B803" s="633" t="s">
        <v>30266</v>
      </c>
      <c r="C803" s="715" t="s">
        <v>121</v>
      </c>
      <c r="D803" s="716">
        <v>99.88</v>
      </c>
    </row>
    <row r="804" spans="1:4" ht="70">
      <c r="A804" s="715">
        <v>105711</v>
      </c>
      <c r="B804" s="633" t="s">
        <v>30352</v>
      </c>
      <c r="C804" s="715" t="s">
        <v>121</v>
      </c>
      <c r="D804" s="716">
        <v>95.76</v>
      </c>
    </row>
    <row r="805" spans="1:4" ht="70">
      <c r="A805" s="715">
        <v>105705</v>
      </c>
      <c r="B805" s="633" t="s">
        <v>33078</v>
      </c>
      <c r="C805" s="715" t="s">
        <v>121</v>
      </c>
      <c r="D805" s="716">
        <v>139.24</v>
      </c>
    </row>
    <row r="806" spans="1:4" ht="70">
      <c r="A806" s="715">
        <v>105706</v>
      </c>
      <c r="B806" s="633" t="s">
        <v>33079</v>
      </c>
      <c r="C806" s="715" t="s">
        <v>121</v>
      </c>
      <c r="D806" s="716">
        <v>135.38</v>
      </c>
    </row>
    <row r="807" spans="1:4" ht="70">
      <c r="A807" s="715">
        <v>105708</v>
      </c>
      <c r="B807" s="633" t="s">
        <v>33080</v>
      </c>
      <c r="C807" s="715" t="s">
        <v>121</v>
      </c>
      <c r="D807" s="716">
        <v>133.43</v>
      </c>
    </row>
    <row r="808" spans="1:4" ht="84">
      <c r="A808" s="715">
        <v>105690</v>
      </c>
      <c r="B808" s="633" t="s">
        <v>30336</v>
      </c>
      <c r="C808" s="715" t="s">
        <v>121</v>
      </c>
      <c r="D808" s="716">
        <v>158.72999999999999</v>
      </c>
    </row>
    <row r="809" spans="1:4" ht="84">
      <c r="A809" s="715">
        <v>100569</v>
      </c>
      <c r="B809" s="633" t="s">
        <v>30271</v>
      </c>
      <c r="C809" s="715" t="s">
        <v>121</v>
      </c>
      <c r="D809" s="716">
        <v>150.5</v>
      </c>
    </row>
    <row r="810" spans="1:4" ht="84">
      <c r="A810" s="715">
        <v>105699</v>
      </c>
      <c r="B810" s="633" t="s">
        <v>30345</v>
      </c>
      <c r="C810" s="715" t="s">
        <v>121</v>
      </c>
      <c r="D810" s="716">
        <v>146.38999999999999</v>
      </c>
    </row>
    <row r="811" spans="1:4" ht="70">
      <c r="A811" s="715">
        <v>105672</v>
      </c>
      <c r="B811" s="633" t="s">
        <v>33081</v>
      </c>
      <c r="C811" s="715" t="s">
        <v>121</v>
      </c>
      <c r="D811" s="716">
        <v>176.14</v>
      </c>
    </row>
    <row r="812" spans="1:4" ht="70">
      <c r="A812" s="715">
        <v>105678</v>
      </c>
      <c r="B812" s="633" t="s">
        <v>33082</v>
      </c>
      <c r="C812" s="715" t="s">
        <v>121</v>
      </c>
      <c r="D812" s="716">
        <v>172.28</v>
      </c>
    </row>
    <row r="813" spans="1:4" ht="70">
      <c r="A813" s="715">
        <v>105684</v>
      </c>
      <c r="B813" s="633" t="s">
        <v>33083</v>
      </c>
      <c r="C813" s="715" t="s">
        <v>121</v>
      </c>
      <c r="D813" s="716">
        <v>170.33</v>
      </c>
    </row>
    <row r="814" spans="1:4" ht="84">
      <c r="A814" s="715">
        <v>105691</v>
      </c>
      <c r="B814" s="633" t="s">
        <v>30337</v>
      </c>
      <c r="C814" s="715" t="s">
        <v>121</v>
      </c>
      <c r="D814" s="716">
        <v>188.09</v>
      </c>
    </row>
    <row r="815" spans="1:4" ht="84">
      <c r="A815" s="715">
        <v>100570</v>
      </c>
      <c r="B815" s="633" t="s">
        <v>30272</v>
      </c>
      <c r="C815" s="715" t="s">
        <v>121</v>
      </c>
      <c r="D815" s="716">
        <v>179.86</v>
      </c>
    </row>
    <row r="816" spans="1:4" ht="84">
      <c r="A816" s="715">
        <v>105700</v>
      </c>
      <c r="B816" s="633" t="s">
        <v>30346</v>
      </c>
      <c r="C816" s="715" t="s">
        <v>121</v>
      </c>
      <c r="D816" s="716">
        <v>175.75</v>
      </c>
    </row>
    <row r="817" spans="1:4" ht="70">
      <c r="A817" s="715">
        <v>105673</v>
      </c>
      <c r="B817" s="633" t="s">
        <v>33084</v>
      </c>
      <c r="C817" s="715" t="s">
        <v>121</v>
      </c>
      <c r="D817" s="716">
        <v>203.69</v>
      </c>
    </row>
    <row r="818" spans="1:4" ht="70">
      <c r="A818" s="715">
        <v>105679</v>
      </c>
      <c r="B818" s="633" t="s">
        <v>33085</v>
      </c>
      <c r="C818" s="715" t="s">
        <v>121</v>
      </c>
      <c r="D818" s="716">
        <v>199.83</v>
      </c>
    </row>
    <row r="819" spans="1:4" ht="70">
      <c r="A819" s="715">
        <v>105685</v>
      </c>
      <c r="B819" s="633" t="s">
        <v>33086</v>
      </c>
      <c r="C819" s="715" t="s">
        <v>121</v>
      </c>
      <c r="D819" s="716">
        <v>197.88</v>
      </c>
    </row>
    <row r="820" spans="1:4" ht="84">
      <c r="A820" s="715">
        <v>105692</v>
      </c>
      <c r="B820" s="633" t="s">
        <v>30338</v>
      </c>
      <c r="C820" s="715" t="s">
        <v>121</v>
      </c>
      <c r="D820" s="716">
        <v>217.04</v>
      </c>
    </row>
    <row r="821" spans="1:4" ht="84">
      <c r="A821" s="715">
        <v>100571</v>
      </c>
      <c r="B821" s="633" t="s">
        <v>30273</v>
      </c>
      <c r="C821" s="715" t="s">
        <v>121</v>
      </c>
      <c r="D821" s="716">
        <v>208.81</v>
      </c>
    </row>
    <row r="822" spans="1:4" ht="84">
      <c r="A822" s="715">
        <v>105701</v>
      </c>
      <c r="B822" s="633" t="s">
        <v>30347</v>
      </c>
      <c r="C822" s="715" t="s">
        <v>121</v>
      </c>
      <c r="D822" s="716">
        <v>204.7</v>
      </c>
    </row>
    <row r="823" spans="1:4" ht="70">
      <c r="A823" s="715">
        <v>105674</v>
      </c>
      <c r="B823" s="633" t="s">
        <v>33087</v>
      </c>
      <c r="C823" s="715" t="s">
        <v>121</v>
      </c>
      <c r="D823" s="716">
        <v>231.25</v>
      </c>
    </row>
    <row r="824" spans="1:4" ht="70">
      <c r="A824" s="715">
        <v>105680</v>
      </c>
      <c r="B824" s="633" t="s">
        <v>33088</v>
      </c>
      <c r="C824" s="715" t="s">
        <v>121</v>
      </c>
      <c r="D824" s="716">
        <v>227.39</v>
      </c>
    </row>
    <row r="825" spans="1:4" ht="70">
      <c r="A825" s="715">
        <v>105686</v>
      </c>
      <c r="B825" s="633" t="s">
        <v>33089</v>
      </c>
      <c r="C825" s="715" t="s">
        <v>121</v>
      </c>
      <c r="D825" s="716">
        <v>225.44</v>
      </c>
    </row>
    <row r="826" spans="1:4" ht="70">
      <c r="A826" s="715">
        <v>105718</v>
      </c>
      <c r="B826" s="633" t="s">
        <v>30354</v>
      </c>
      <c r="C826" s="715" t="s">
        <v>121</v>
      </c>
      <c r="D826" s="716">
        <v>96.13</v>
      </c>
    </row>
    <row r="827" spans="1:4" ht="70">
      <c r="A827" s="715">
        <v>100565</v>
      </c>
      <c r="B827" s="633" t="s">
        <v>30267</v>
      </c>
      <c r="C827" s="715" t="s">
        <v>121</v>
      </c>
      <c r="D827" s="716">
        <v>87.9</v>
      </c>
    </row>
    <row r="828" spans="1:4" ht="70">
      <c r="A828" s="715">
        <v>105581</v>
      </c>
      <c r="B828" s="633" t="s">
        <v>30295</v>
      </c>
      <c r="C828" s="715" t="s">
        <v>121</v>
      </c>
      <c r="D828" s="716">
        <v>83.78</v>
      </c>
    </row>
    <row r="829" spans="1:4" ht="70">
      <c r="A829" s="715">
        <v>105713</v>
      </c>
      <c r="B829" s="633" t="s">
        <v>33090</v>
      </c>
      <c r="C829" s="715" t="s">
        <v>121</v>
      </c>
      <c r="D829" s="716">
        <v>121.03</v>
      </c>
    </row>
    <row r="830" spans="1:4" ht="70">
      <c r="A830" s="715">
        <v>105714</v>
      </c>
      <c r="B830" s="633" t="s">
        <v>33091</v>
      </c>
      <c r="C830" s="715" t="s">
        <v>121</v>
      </c>
      <c r="D830" s="716">
        <v>117.17</v>
      </c>
    </row>
    <row r="831" spans="1:4" ht="70">
      <c r="A831" s="715">
        <v>105716</v>
      </c>
      <c r="B831" s="633" t="s">
        <v>33092</v>
      </c>
      <c r="C831" s="715" t="s">
        <v>121</v>
      </c>
      <c r="D831" s="716">
        <v>115.22</v>
      </c>
    </row>
    <row r="832" spans="1:4" ht="70">
      <c r="A832" s="715">
        <v>105624</v>
      </c>
      <c r="B832" s="633" t="s">
        <v>30308</v>
      </c>
      <c r="C832" s="715" t="s">
        <v>121</v>
      </c>
      <c r="D832" s="716">
        <v>117.9</v>
      </c>
    </row>
    <row r="833" spans="1:4" ht="70">
      <c r="A833" s="715">
        <v>96391</v>
      </c>
      <c r="B833" s="633" t="s">
        <v>30259</v>
      </c>
      <c r="C833" s="715" t="s">
        <v>121</v>
      </c>
      <c r="D833" s="716">
        <v>111.32</v>
      </c>
    </row>
    <row r="834" spans="1:4" ht="70">
      <c r="A834" s="715">
        <v>105632</v>
      </c>
      <c r="B834" s="633" t="s">
        <v>30316</v>
      </c>
      <c r="C834" s="715" t="s">
        <v>121</v>
      </c>
      <c r="D834" s="716">
        <v>110.25</v>
      </c>
    </row>
    <row r="835" spans="1:4" ht="70">
      <c r="A835" s="715">
        <v>105601</v>
      </c>
      <c r="B835" s="633" t="s">
        <v>33093</v>
      </c>
      <c r="C835" s="715" t="s">
        <v>121</v>
      </c>
      <c r="D835" s="716">
        <v>110.6</v>
      </c>
    </row>
    <row r="836" spans="1:4" ht="70">
      <c r="A836" s="715">
        <v>105609</v>
      </c>
      <c r="B836" s="633" t="s">
        <v>33094</v>
      </c>
      <c r="C836" s="715" t="s">
        <v>121</v>
      </c>
      <c r="D836" s="716">
        <v>108.07</v>
      </c>
    </row>
    <row r="837" spans="1:4" ht="70">
      <c r="A837" s="715">
        <v>105617</v>
      </c>
      <c r="B837" s="633" t="s">
        <v>33095</v>
      </c>
      <c r="C837" s="715" t="s">
        <v>121</v>
      </c>
      <c r="D837" s="716">
        <v>106.26</v>
      </c>
    </row>
    <row r="838" spans="1:4" ht="70">
      <c r="A838" s="715">
        <v>105625</v>
      </c>
      <c r="B838" s="633" t="s">
        <v>30309</v>
      </c>
      <c r="C838" s="715" t="s">
        <v>121</v>
      </c>
      <c r="D838" s="716">
        <v>148.05000000000001</v>
      </c>
    </row>
    <row r="839" spans="1:4" ht="70">
      <c r="A839" s="715">
        <v>96392</v>
      </c>
      <c r="B839" s="633" t="s">
        <v>30260</v>
      </c>
      <c r="C839" s="715" t="s">
        <v>121</v>
      </c>
      <c r="D839" s="716">
        <v>141.47</v>
      </c>
    </row>
    <row r="840" spans="1:4" ht="70">
      <c r="A840" s="715">
        <v>105633</v>
      </c>
      <c r="B840" s="633" t="s">
        <v>30317</v>
      </c>
      <c r="C840" s="715" t="s">
        <v>121</v>
      </c>
      <c r="D840" s="716">
        <v>140.4</v>
      </c>
    </row>
    <row r="841" spans="1:4" ht="70">
      <c r="A841" s="715">
        <v>105602</v>
      </c>
      <c r="B841" s="633" t="s">
        <v>33096</v>
      </c>
      <c r="C841" s="715" t="s">
        <v>121</v>
      </c>
      <c r="D841" s="716">
        <v>139.97999999999999</v>
      </c>
    </row>
    <row r="842" spans="1:4" ht="70">
      <c r="A842" s="715">
        <v>105610</v>
      </c>
      <c r="B842" s="633" t="s">
        <v>33097</v>
      </c>
      <c r="C842" s="715" t="s">
        <v>121</v>
      </c>
      <c r="D842" s="716">
        <v>137.44999999999999</v>
      </c>
    </row>
    <row r="843" spans="1:4" ht="70">
      <c r="A843" s="715">
        <v>105618</v>
      </c>
      <c r="B843" s="633" t="s">
        <v>33098</v>
      </c>
      <c r="C843" s="715" t="s">
        <v>121</v>
      </c>
      <c r="D843" s="716">
        <v>135.63999999999999</v>
      </c>
    </row>
    <row r="844" spans="1:4" ht="84">
      <c r="A844" s="715">
        <v>105571</v>
      </c>
      <c r="B844" s="633" t="s">
        <v>30285</v>
      </c>
      <c r="C844" s="715" t="s">
        <v>121</v>
      </c>
      <c r="D844" s="716">
        <v>55.96</v>
      </c>
    </row>
    <row r="845" spans="1:4" ht="84">
      <c r="A845" s="715">
        <v>96389</v>
      </c>
      <c r="B845" s="633" t="s">
        <v>30257</v>
      </c>
      <c r="C845" s="715" t="s">
        <v>121</v>
      </c>
      <c r="D845" s="716">
        <v>49.38</v>
      </c>
    </row>
    <row r="846" spans="1:4" ht="84">
      <c r="A846" s="715">
        <v>105575</v>
      </c>
      <c r="B846" s="633" t="s">
        <v>30289</v>
      </c>
      <c r="C846" s="715" t="s">
        <v>121</v>
      </c>
      <c r="D846" s="716">
        <v>48.31</v>
      </c>
    </row>
    <row r="847" spans="1:4" ht="70">
      <c r="A847" s="715">
        <v>105599</v>
      </c>
      <c r="B847" s="633" t="s">
        <v>33099</v>
      </c>
      <c r="C847" s="715" t="s">
        <v>121</v>
      </c>
      <c r="D847" s="716">
        <v>51.85</v>
      </c>
    </row>
    <row r="848" spans="1:4" ht="70">
      <c r="A848" s="715">
        <v>105607</v>
      </c>
      <c r="B848" s="633" t="s">
        <v>33100</v>
      </c>
      <c r="C848" s="715" t="s">
        <v>121</v>
      </c>
      <c r="D848" s="716">
        <v>49.32</v>
      </c>
    </row>
    <row r="849" spans="1:4" ht="70">
      <c r="A849" s="715">
        <v>105615</v>
      </c>
      <c r="B849" s="633" t="s">
        <v>33101</v>
      </c>
      <c r="C849" s="715" t="s">
        <v>121</v>
      </c>
      <c r="D849" s="716">
        <v>47.51</v>
      </c>
    </row>
    <row r="850" spans="1:4" ht="84">
      <c r="A850" s="715">
        <v>105623</v>
      </c>
      <c r="B850" s="633" t="s">
        <v>30307</v>
      </c>
      <c r="C850" s="715" t="s">
        <v>121</v>
      </c>
      <c r="D850" s="716">
        <v>87.35</v>
      </c>
    </row>
    <row r="851" spans="1:4" ht="84">
      <c r="A851" s="715">
        <v>96390</v>
      </c>
      <c r="B851" s="633" t="s">
        <v>30258</v>
      </c>
      <c r="C851" s="715" t="s">
        <v>121</v>
      </c>
      <c r="D851" s="716">
        <v>80.77</v>
      </c>
    </row>
    <row r="852" spans="1:4" ht="84">
      <c r="A852" s="715">
        <v>105631</v>
      </c>
      <c r="B852" s="633" t="s">
        <v>30315</v>
      </c>
      <c r="C852" s="715" t="s">
        <v>121</v>
      </c>
      <c r="D852" s="716">
        <v>79.7</v>
      </c>
    </row>
    <row r="853" spans="1:4" ht="70">
      <c r="A853" s="715">
        <v>105600</v>
      </c>
      <c r="B853" s="633" t="s">
        <v>33102</v>
      </c>
      <c r="C853" s="715" t="s">
        <v>121</v>
      </c>
      <c r="D853" s="716">
        <v>81.22</v>
      </c>
    </row>
    <row r="854" spans="1:4" ht="70">
      <c r="A854" s="715">
        <v>105608</v>
      </c>
      <c r="B854" s="633" t="s">
        <v>33103</v>
      </c>
      <c r="C854" s="715" t="s">
        <v>121</v>
      </c>
      <c r="D854" s="716">
        <v>78.69</v>
      </c>
    </row>
    <row r="855" spans="1:4" ht="70">
      <c r="A855" s="715">
        <v>105616</v>
      </c>
      <c r="B855" s="633" t="s">
        <v>33104</v>
      </c>
      <c r="C855" s="715" t="s">
        <v>121</v>
      </c>
      <c r="D855" s="716">
        <v>76.88</v>
      </c>
    </row>
    <row r="856" spans="1:4" ht="70">
      <c r="A856" s="715">
        <v>105585</v>
      </c>
      <c r="B856" s="633" t="s">
        <v>30297</v>
      </c>
      <c r="C856" s="715" t="s">
        <v>121</v>
      </c>
      <c r="D856" s="716">
        <v>117.29</v>
      </c>
    </row>
    <row r="857" spans="1:4" ht="70">
      <c r="A857" s="715">
        <v>100572</v>
      </c>
      <c r="B857" s="633" t="s">
        <v>30274</v>
      </c>
      <c r="C857" s="715" t="s">
        <v>121</v>
      </c>
      <c r="D857" s="716">
        <v>106.01</v>
      </c>
    </row>
    <row r="858" spans="1:4" ht="70">
      <c r="A858" s="715">
        <v>105588</v>
      </c>
      <c r="B858" s="633" t="s">
        <v>30300</v>
      </c>
      <c r="C858" s="715" t="s">
        <v>121</v>
      </c>
      <c r="D858" s="716">
        <v>104.91</v>
      </c>
    </row>
    <row r="859" spans="1:4" ht="70">
      <c r="A859" s="715">
        <v>105583</v>
      </c>
      <c r="B859" s="633" t="s">
        <v>33105</v>
      </c>
      <c r="C859" s="715" t="s">
        <v>121</v>
      </c>
      <c r="D859" s="716">
        <v>145.99</v>
      </c>
    </row>
    <row r="860" spans="1:4" ht="70">
      <c r="A860" s="715">
        <v>105719</v>
      </c>
      <c r="B860" s="633" t="s">
        <v>33106</v>
      </c>
      <c r="C860" s="715" t="s">
        <v>121</v>
      </c>
      <c r="D860" s="716">
        <v>139.88</v>
      </c>
    </row>
    <row r="861" spans="1:4" ht="70">
      <c r="A861" s="715">
        <v>105721</v>
      </c>
      <c r="B861" s="633" t="s">
        <v>33107</v>
      </c>
      <c r="C861" s="715" t="s">
        <v>121</v>
      </c>
      <c r="D861" s="716">
        <v>140.15</v>
      </c>
    </row>
    <row r="862" spans="1:4" ht="70">
      <c r="A862" s="715">
        <v>105592</v>
      </c>
      <c r="B862" s="633" t="s">
        <v>30302</v>
      </c>
      <c r="C862" s="715" t="s">
        <v>121</v>
      </c>
      <c r="D862" s="716">
        <v>105.31</v>
      </c>
    </row>
    <row r="863" spans="1:4" ht="70">
      <c r="A863" s="715">
        <v>100573</v>
      </c>
      <c r="B863" s="633" t="s">
        <v>30275</v>
      </c>
      <c r="C863" s="715" t="s">
        <v>121</v>
      </c>
      <c r="D863" s="716">
        <v>94.03</v>
      </c>
    </row>
    <row r="864" spans="1:4" ht="70">
      <c r="A864" s="715">
        <v>105595</v>
      </c>
      <c r="B864" s="633" t="s">
        <v>30305</v>
      </c>
      <c r="C864" s="715" t="s">
        <v>121</v>
      </c>
      <c r="D864" s="716">
        <v>92.93</v>
      </c>
    </row>
    <row r="865" spans="1:4" ht="70">
      <c r="A865" s="715">
        <v>105590</v>
      </c>
      <c r="B865" s="633" t="s">
        <v>33108</v>
      </c>
      <c r="C865" s="715" t="s">
        <v>121</v>
      </c>
      <c r="D865" s="716">
        <v>127.78</v>
      </c>
    </row>
    <row r="866" spans="1:4" ht="70">
      <c r="A866" s="715">
        <v>105723</v>
      </c>
      <c r="B866" s="633" t="s">
        <v>33109</v>
      </c>
      <c r="C866" s="715" t="s">
        <v>121</v>
      </c>
      <c r="D866" s="716">
        <v>121.67</v>
      </c>
    </row>
    <row r="867" spans="1:4" ht="70">
      <c r="A867" s="715">
        <v>105725</v>
      </c>
      <c r="B867" s="633" t="s">
        <v>33110</v>
      </c>
      <c r="C867" s="715" t="s">
        <v>121</v>
      </c>
      <c r="D867" s="716">
        <v>121.94</v>
      </c>
    </row>
    <row r="868" spans="1:4" ht="70">
      <c r="A868" s="715">
        <v>105566</v>
      </c>
      <c r="B868" s="633" t="s">
        <v>30280</v>
      </c>
      <c r="C868" s="715" t="s">
        <v>121</v>
      </c>
      <c r="D868" s="716">
        <v>12.73</v>
      </c>
    </row>
    <row r="869" spans="1:4" ht="70">
      <c r="A869" s="715">
        <v>96388</v>
      </c>
      <c r="B869" s="633" t="s">
        <v>30256</v>
      </c>
      <c r="C869" s="715" t="s">
        <v>121</v>
      </c>
      <c r="D869" s="716">
        <v>10.19</v>
      </c>
    </row>
    <row r="870" spans="1:4" ht="70">
      <c r="A870" s="715">
        <v>105569</v>
      </c>
      <c r="B870" s="633" t="s">
        <v>30283</v>
      </c>
      <c r="C870" s="715" t="s">
        <v>121</v>
      </c>
      <c r="D870" s="716">
        <v>8.4700000000000006</v>
      </c>
    </row>
    <row r="871" spans="1:4" ht="70">
      <c r="A871" s="715">
        <v>101767</v>
      </c>
      <c r="B871" s="633" t="s">
        <v>30278</v>
      </c>
      <c r="C871" s="715" t="s">
        <v>121</v>
      </c>
      <c r="D871" s="716">
        <v>34.520000000000003</v>
      </c>
    </row>
    <row r="872" spans="1:4" ht="70">
      <c r="A872" s="715">
        <v>101768</v>
      </c>
      <c r="B872" s="633" t="s">
        <v>30279</v>
      </c>
      <c r="C872" s="715" t="s">
        <v>121</v>
      </c>
      <c r="D872" s="716">
        <v>29.13</v>
      </c>
    </row>
    <row r="873" spans="1:4" ht="28">
      <c r="A873" s="715">
        <v>100574</v>
      </c>
      <c r="B873" s="633" t="s">
        <v>30276</v>
      </c>
      <c r="C873" s="715" t="s">
        <v>121</v>
      </c>
      <c r="D873" s="716">
        <v>1.64</v>
      </c>
    </row>
    <row r="874" spans="1:4" ht="42">
      <c r="A874" s="715">
        <v>102470</v>
      </c>
      <c r="B874" s="633" t="s">
        <v>33111</v>
      </c>
      <c r="C874" s="715" t="s">
        <v>509</v>
      </c>
      <c r="D874" s="716">
        <v>0</v>
      </c>
    </row>
    <row r="875" spans="1:4" ht="42">
      <c r="A875" s="715">
        <v>105756</v>
      </c>
      <c r="B875" s="633" t="s">
        <v>33112</v>
      </c>
      <c r="C875" s="715" t="s">
        <v>509</v>
      </c>
      <c r="D875" s="716">
        <v>0</v>
      </c>
    </row>
    <row r="876" spans="1:4" ht="42">
      <c r="A876" s="715">
        <v>104375</v>
      </c>
      <c r="B876" s="633" t="s">
        <v>33113</v>
      </c>
      <c r="C876" s="715" t="s">
        <v>509</v>
      </c>
      <c r="D876" s="716">
        <v>0</v>
      </c>
    </row>
    <row r="877" spans="1:4" ht="42">
      <c r="A877" s="715">
        <v>105757</v>
      </c>
      <c r="B877" s="633" t="s">
        <v>33114</v>
      </c>
      <c r="C877" s="715" t="s">
        <v>509</v>
      </c>
      <c r="D877" s="716">
        <v>0</v>
      </c>
    </row>
    <row r="878" spans="1:4" ht="84">
      <c r="A878" s="715">
        <v>105562</v>
      </c>
      <c r="B878" s="633" t="s">
        <v>30224</v>
      </c>
      <c r="C878" s="715" t="s">
        <v>121</v>
      </c>
      <c r="D878" s="716">
        <v>9.4</v>
      </c>
    </row>
    <row r="879" spans="1:4" ht="84">
      <c r="A879" s="715">
        <v>105563</v>
      </c>
      <c r="B879" s="633" t="s">
        <v>30225</v>
      </c>
      <c r="C879" s="715" t="s">
        <v>121</v>
      </c>
      <c r="D879" s="716">
        <v>7.59</v>
      </c>
    </row>
    <row r="880" spans="1:4" ht="84">
      <c r="A880" s="715">
        <v>105565</v>
      </c>
      <c r="B880" s="633" t="s">
        <v>30227</v>
      </c>
      <c r="C880" s="715" t="s">
        <v>121</v>
      </c>
      <c r="D880" s="716">
        <v>7.05</v>
      </c>
    </row>
    <row r="881" spans="1:4" ht="84">
      <c r="A881" s="715">
        <v>105557</v>
      </c>
      <c r="B881" s="633" t="s">
        <v>30219</v>
      </c>
      <c r="C881" s="715" t="s">
        <v>121</v>
      </c>
      <c r="D881" s="716">
        <v>18.059999999999999</v>
      </c>
    </row>
    <row r="882" spans="1:4" ht="84">
      <c r="A882" s="715">
        <v>105558</v>
      </c>
      <c r="B882" s="633" t="s">
        <v>30220</v>
      </c>
      <c r="C882" s="715" t="s">
        <v>121</v>
      </c>
      <c r="D882" s="716">
        <v>15.57</v>
      </c>
    </row>
    <row r="883" spans="1:4" ht="84">
      <c r="A883" s="715">
        <v>105560</v>
      </c>
      <c r="B883" s="633" t="s">
        <v>30222</v>
      </c>
      <c r="C883" s="715" t="s">
        <v>121</v>
      </c>
      <c r="D883" s="716">
        <v>14.22</v>
      </c>
    </row>
    <row r="884" spans="1:4" ht="70">
      <c r="A884" s="715">
        <v>96386</v>
      </c>
      <c r="B884" s="633" t="s">
        <v>30217</v>
      </c>
      <c r="C884" s="715" t="s">
        <v>121</v>
      </c>
      <c r="D884" s="716">
        <v>7.54</v>
      </c>
    </row>
    <row r="885" spans="1:4" ht="70">
      <c r="A885" s="715">
        <v>105564</v>
      </c>
      <c r="B885" s="633" t="s">
        <v>30226</v>
      </c>
      <c r="C885" s="715" t="s">
        <v>121</v>
      </c>
      <c r="D885" s="716">
        <v>7</v>
      </c>
    </row>
    <row r="886" spans="1:4" ht="84">
      <c r="A886" s="715">
        <v>105561</v>
      </c>
      <c r="B886" s="633" t="s">
        <v>30223</v>
      </c>
      <c r="C886" s="715" t="s">
        <v>121</v>
      </c>
      <c r="D886" s="716">
        <v>9.2100000000000009</v>
      </c>
    </row>
    <row r="887" spans="1:4" ht="70">
      <c r="A887" s="715">
        <v>96385</v>
      </c>
      <c r="B887" s="633" t="s">
        <v>30216</v>
      </c>
      <c r="C887" s="715" t="s">
        <v>121</v>
      </c>
      <c r="D887" s="716">
        <v>14.07</v>
      </c>
    </row>
    <row r="888" spans="1:4" ht="84">
      <c r="A888" s="715">
        <v>105556</v>
      </c>
      <c r="B888" s="633" t="s">
        <v>30218</v>
      </c>
      <c r="C888" s="715" t="s">
        <v>121</v>
      </c>
      <c r="D888" s="716">
        <v>15.8</v>
      </c>
    </row>
    <row r="889" spans="1:4" ht="84">
      <c r="A889" s="715">
        <v>105559</v>
      </c>
      <c r="B889" s="633" t="s">
        <v>30221</v>
      </c>
      <c r="C889" s="715" t="s">
        <v>121</v>
      </c>
      <c r="D889" s="716">
        <v>11.94</v>
      </c>
    </row>
    <row r="890" spans="1:4" ht="56">
      <c r="A890" s="715">
        <v>105733</v>
      </c>
      <c r="B890" s="633" t="s">
        <v>30361</v>
      </c>
      <c r="C890" s="715" t="s">
        <v>121</v>
      </c>
      <c r="D890" s="716">
        <v>233.28</v>
      </c>
    </row>
    <row r="891" spans="1:4" ht="56">
      <c r="A891" s="715">
        <v>105734</v>
      </c>
      <c r="B891" s="633" t="s">
        <v>30362</v>
      </c>
      <c r="C891" s="715" t="s">
        <v>121</v>
      </c>
      <c r="D891" s="716">
        <v>226.34</v>
      </c>
    </row>
    <row r="892" spans="1:4" ht="56">
      <c r="A892" s="715">
        <v>105736</v>
      </c>
      <c r="B892" s="633" t="s">
        <v>30364</v>
      </c>
      <c r="C892" s="715" t="s">
        <v>121</v>
      </c>
      <c r="D892" s="716">
        <v>222.87</v>
      </c>
    </row>
    <row r="893" spans="1:4" ht="56">
      <c r="A893" s="715">
        <v>105728</v>
      </c>
      <c r="B893" s="633" t="s">
        <v>30356</v>
      </c>
      <c r="C893" s="715" t="s">
        <v>121</v>
      </c>
      <c r="D893" s="716">
        <v>169.64</v>
      </c>
    </row>
    <row r="894" spans="1:4" ht="56">
      <c r="A894" s="715">
        <v>105729</v>
      </c>
      <c r="B894" s="633" t="s">
        <v>30357</v>
      </c>
      <c r="C894" s="715" t="s">
        <v>121</v>
      </c>
      <c r="D894" s="716">
        <v>164.34</v>
      </c>
    </row>
    <row r="895" spans="1:4" ht="56">
      <c r="A895" s="715">
        <v>105731</v>
      </c>
      <c r="B895" s="633" t="s">
        <v>30359</v>
      </c>
      <c r="C895" s="715" t="s">
        <v>121</v>
      </c>
      <c r="D895" s="716">
        <v>161.66</v>
      </c>
    </row>
    <row r="896" spans="1:4" ht="56">
      <c r="A896" s="715">
        <v>105738</v>
      </c>
      <c r="B896" s="633" t="s">
        <v>30366</v>
      </c>
      <c r="C896" s="715" t="s">
        <v>121</v>
      </c>
      <c r="D896" s="716">
        <v>311.57</v>
      </c>
    </row>
    <row r="897" spans="1:4" ht="56">
      <c r="A897" s="715">
        <v>105739</v>
      </c>
      <c r="B897" s="633" t="s">
        <v>30367</v>
      </c>
      <c r="C897" s="715" t="s">
        <v>121</v>
      </c>
      <c r="D897" s="716">
        <v>306.39</v>
      </c>
    </row>
    <row r="898" spans="1:4" ht="56">
      <c r="A898" s="715">
        <v>105741</v>
      </c>
      <c r="B898" s="633" t="s">
        <v>30369</v>
      </c>
      <c r="C898" s="715" t="s">
        <v>121</v>
      </c>
      <c r="D898" s="716">
        <v>303.66000000000003</v>
      </c>
    </row>
    <row r="899" spans="1:4" ht="56">
      <c r="A899" s="715">
        <v>105750</v>
      </c>
      <c r="B899" s="633" t="s">
        <v>30378</v>
      </c>
      <c r="C899" s="715" t="s">
        <v>121</v>
      </c>
      <c r="D899" s="716">
        <v>158.54</v>
      </c>
    </row>
    <row r="900" spans="1:4" ht="56">
      <c r="A900" s="715">
        <v>105751</v>
      </c>
      <c r="B900" s="633" t="s">
        <v>30379</v>
      </c>
      <c r="C900" s="715" t="s">
        <v>121</v>
      </c>
      <c r="D900" s="716">
        <v>155.83000000000001</v>
      </c>
    </row>
    <row r="901" spans="1:4" ht="56">
      <c r="A901" s="715">
        <v>105753</v>
      </c>
      <c r="B901" s="633" t="s">
        <v>30381</v>
      </c>
      <c r="C901" s="715" t="s">
        <v>121</v>
      </c>
      <c r="D901" s="716">
        <v>153.35</v>
      </c>
    </row>
    <row r="902" spans="1:4" ht="56">
      <c r="A902" s="715">
        <v>105755</v>
      </c>
      <c r="B902" s="633" t="s">
        <v>30383</v>
      </c>
      <c r="C902" s="715" t="s">
        <v>121</v>
      </c>
      <c r="D902" s="716">
        <v>150.97999999999999</v>
      </c>
    </row>
    <row r="903" spans="1:4" ht="42">
      <c r="A903" s="715">
        <v>105743</v>
      </c>
      <c r="B903" s="633" t="s">
        <v>30371</v>
      </c>
      <c r="C903" s="715" t="s">
        <v>121</v>
      </c>
      <c r="D903" s="716">
        <v>119.67</v>
      </c>
    </row>
    <row r="904" spans="1:4" ht="42">
      <c r="A904" s="715">
        <v>105744</v>
      </c>
      <c r="B904" s="633" t="s">
        <v>30372</v>
      </c>
      <c r="C904" s="715" t="s">
        <v>121</v>
      </c>
      <c r="D904" s="716">
        <v>117.04</v>
      </c>
    </row>
    <row r="905" spans="1:4" ht="42">
      <c r="A905" s="715">
        <v>105746</v>
      </c>
      <c r="B905" s="633" t="s">
        <v>30374</v>
      </c>
      <c r="C905" s="715" t="s">
        <v>121</v>
      </c>
      <c r="D905" s="716">
        <v>114.4</v>
      </c>
    </row>
    <row r="906" spans="1:4" ht="42">
      <c r="A906" s="715">
        <v>105748</v>
      </c>
      <c r="B906" s="633" t="s">
        <v>30376</v>
      </c>
      <c r="C906" s="715" t="s">
        <v>121</v>
      </c>
      <c r="D906" s="716">
        <v>111.73</v>
      </c>
    </row>
    <row r="907" spans="1:4" ht="84">
      <c r="A907" s="715">
        <v>105660</v>
      </c>
      <c r="B907" s="633" t="s">
        <v>30324</v>
      </c>
      <c r="C907" s="715" t="s">
        <v>121</v>
      </c>
      <c r="D907" s="716">
        <v>184.04</v>
      </c>
    </row>
    <row r="908" spans="1:4" ht="84">
      <c r="A908" s="715">
        <v>105663</v>
      </c>
      <c r="B908" s="633" t="s">
        <v>30327</v>
      </c>
      <c r="C908" s="715" t="s">
        <v>121</v>
      </c>
      <c r="D908" s="716">
        <v>172.52</v>
      </c>
    </row>
    <row r="909" spans="1:4" ht="84">
      <c r="A909" s="715">
        <v>105669</v>
      </c>
      <c r="B909" s="633" t="s">
        <v>30333</v>
      </c>
      <c r="C909" s="715" t="s">
        <v>121</v>
      </c>
      <c r="D909" s="716">
        <v>166.75</v>
      </c>
    </row>
    <row r="910" spans="1:4" ht="70">
      <c r="A910" s="715">
        <v>105642</v>
      </c>
      <c r="B910" s="633" t="s">
        <v>33115</v>
      </c>
      <c r="C910" s="715" t="s">
        <v>121</v>
      </c>
      <c r="D910" s="716">
        <v>200.8</v>
      </c>
    </row>
    <row r="911" spans="1:4" ht="70">
      <c r="A911" s="715">
        <v>105648</v>
      </c>
      <c r="B911" s="633" t="s">
        <v>33116</v>
      </c>
      <c r="C911" s="715" t="s">
        <v>121</v>
      </c>
      <c r="D911" s="716">
        <v>195.5</v>
      </c>
    </row>
    <row r="912" spans="1:4" ht="70">
      <c r="A912" s="715">
        <v>105654</v>
      </c>
      <c r="B912" s="633" t="s">
        <v>33117</v>
      </c>
      <c r="C912" s="715" t="s">
        <v>121</v>
      </c>
      <c r="D912" s="716">
        <v>192.82</v>
      </c>
    </row>
    <row r="913" spans="1:4" ht="84">
      <c r="A913" s="715">
        <v>105661</v>
      </c>
      <c r="B913" s="633" t="s">
        <v>30325</v>
      </c>
      <c r="C913" s="715" t="s">
        <v>121</v>
      </c>
      <c r="D913" s="716">
        <v>213.16</v>
      </c>
    </row>
    <row r="914" spans="1:4" ht="84">
      <c r="A914" s="715">
        <v>105664</v>
      </c>
      <c r="B914" s="633" t="s">
        <v>30328</v>
      </c>
      <c r="C914" s="715" t="s">
        <v>121</v>
      </c>
      <c r="D914" s="716">
        <v>201.64</v>
      </c>
    </row>
    <row r="915" spans="1:4" ht="84">
      <c r="A915" s="715">
        <v>105670</v>
      </c>
      <c r="B915" s="633" t="s">
        <v>30334</v>
      </c>
      <c r="C915" s="715" t="s">
        <v>121</v>
      </c>
      <c r="D915" s="716">
        <v>195.87</v>
      </c>
    </row>
    <row r="916" spans="1:4" ht="70">
      <c r="A916" s="715">
        <v>105643</v>
      </c>
      <c r="B916" s="633" t="s">
        <v>33118</v>
      </c>
      <c r="C916" s="715" t="s">
        <v>121</v>
      </c>
      <c r="D916" s="716">
        <v>227.99</v>
      </c>
    </row>
    <row r="917" spans="1:4" ht="70">
      <c r="A917" s="715">
        <v>105649</v>
      </c>
      <c r="B917" s="633" t="s">
        <v>33119</v>
      </c>
      <c r="C917" s="715" t="s">
        <v>121</v>
      </c>
      <c r="D917" s="716">
        <v>222.69</v>
      </c>
    </row>
    <row r="918" spans="1:4" ht="70">
      <c r="A918" s="715">
        <v>105655</v>
      </c>
      <c r="B918" s="633" t="s">
        <v>33120</v>
      </c>
      <c r="C918" s="715" t="s">
        <v>121</v>
      </c>
      <c r="D918" s="716">
        <v>220.01</v>
      </c>
    </row>
    <row r="919" spans="1:4" ht="84">
      <c r="A919" s="715">
        <v>105662</v>
      </c>
      <c r="B919" s="633" t="s">
        <v>30326</v>
      </c>
      <c r="C919" s="715" t="s">
        <v>121</v>
      </c>
      <c r="D919" s="716">
        <v>241.87</v>
      </c>
    </row>
    <row r="920" spans="1:4" ht="84">
      <c r="A920" s="715">
        <v>105665</v>
      </c>
      <c r="B920" s="633" t="s">
        <v>30329</v>
      </c>
      <c r="C920" s="715" t="s">
        <v>121</v>
      </c>
      <c r="D920" s="716">
        <v>230.35</v>
      </c>
    </row>
    <row r="921" spans="1:4" ht="84">
      <c r="A921" s="715">
        <v>105671</v>
      </c>
      <c r="B921" s="633" t="s">
        <v>30335</v>
      </c>
      <c r="C921" s="715" t="s">
        <v>121</v>
      </c>
      <c r="D921" s="716">
        <v>224.58</v>
      </c>
    </row>
    <row r="922" spans="1:4" ht="70">
      <c r="A922" s="715">
        <v>105644</v>
      </c>
      <c r="B922" s="633" t="s">
        <v>33121</v>
      </c>
      <c r="C922" s="715" t="s">
        <v>121</v>
      </c>
      <c r="D922" s="716">
        <v>255.19</v>
      </c>
    </row>
    <row r="923" spans="1:4" ht="70">
      <c r="A923" s="715">
        <v>105650</v>
      </c>
      <c r="B923" s="633" t="s">
        <v>33122</v>
      </c>
      <c r="C923" s="715" t="s">
        <v>121</v>
      </c>
      <c r="D923" s="716">
        <v>249.89</v>
      </c>
    </row>
    <row r="924" spans="1:4" ht="70">
      <c r="A924" s="715">
        <v>105656</v>
      </c>
      <c r="B924" s="633" t="s">
        <v>33123</v>
      </c>
      <c r="C924" s="715" t="s">
        <v>121</v>
      </c>
      <c r="D924" s="716">
        <v>247.21</v>
      </c>
    </row>
    <row r="925" spans="1:4" ht="70">
      <c r="A925" s="715">
        <v>105577</v>
      </c>
      <c r="B925" s="633" t="s">
        <v>30291</v>
      </c>
      <c r="C925" s="715" t="s">
        <v>121</v>
      </c>
      <c r="D925" s="716">
        <v>121.92</v>
      </c>
    </row>
    <row r="926" spans="1:4" ht="70">
      <c r="A926" s="715">
        <v>105578</v>
      </c>
      <c r="B926" s="633" t="s">
        <v>30292</v>
      </c>
      <c r="C926" s="715" t="s">
        <v>121</v>
      </c>
      <c r="D926" s="716">
        <v>110.4</v>
      </c>
    </row>
    <row r="927" spans="1:4" ht="70">
      <c r="A927" s="715">
        <v>105712</v>
      </c>
      <c r="B927" s="633" t="s">
        <v>30353</v>
      </c>
      <c r="C927" s="715" t="s">
        <v>121</v>
      </c>
      <c r="D927" s="716">
        <v>104.63</v>
      </c>
    </row>
    <row r="928" spans="1:4" ht="70">
      <c r="A928" s="715">
        <v>105637</v>
      </c>
      <c r="B928" s="633" t="s">
        <v>33124</v>
      </c>
      <c r="C928" s="715" t="s">
        <v>121</v>
      </c>
      <c r="D928" s="716">
        <v>146.41</v>
      </c>
    </row>
    <row r="929" spans="1:4" ht="70">
      <c r="A929" s="715">
        <v>105707</v>
      </c>
      <c r="B929" s="633" t="s">
        <v>33125</v>
      </c>
      <c r="C929" s="715" t="s">
        <v>121</v>
      </c>
      <c r="D929" s="716">
        <v>141.11000000000001</v>
      </c>
    </row>
    <row r="930" spans="1:4" ht="70">
      <c r="A930" s="715">
        <v>105709</v>
      </c>
      <c r="B930" s="633" t="s">
        <v>33126</v>
      </c>
      <c r="C930" s="715" t="s">
        <v>121</v>
      </c>
      <c r="D930" s="716">
        <v>138.43</v>
      </c>
    </row>
    <row r="931" spans="1:4" ht="84">
      <c r="A931" s="715">
        <v>105693</v>
      </c>
      <c r="B931" s="633" t="s">
        <v>30339</v>
      </c>
      <c r="C931" s="715" t="s">
        <v>121</v>
      </c>
      <c r="D931" s="716">
        <v>172.54</v>
      </c>
    </row>
    <row r="932" spans="1:4" ht="84">
      <c r="A932" s="715">
        <v>105696</v>
      </c>
      <c r="B932" s="633" t="s">
        <v>30342</v>
      </c>
      <c r="C932" s="715" t="s">
        <v>121</v>
      </c>
      <c r="D932" s="716">
        <v>161.02000000000001</v>
      </c>
    </row>
    <row r="933" spans="1:4" ht="84">
      <c r="A933" s="715">
        <v>105702</v>
      </c>
      <c r="B933" s="633" t="s">
        <v>30348</v>
      </c>
      <c r="C933" s="715" t="s">
        <v>121</v>
      </c>
      <c r="D933" s="716">
        <v>155.25</v>
      </c>
    </row>
    <row r="934" spans="1:4" ht="70">
      <c r="A934" s="715">
        <v>105675</v>
      </c>
      <c r="B934" s="633" t="s">
        <v>33127</v>
      </c>
      <c r="C934" s="715" t="s">
        <v>121</v>
      </c>
      <c r="D934" s="716">
        <v>183.31</v>
      </c>
    </row>
    <row r="935" spans="1:4" ht="70">
      <c r="A935" s="715">
        <v>105681</v>
      </c>
      <c r="B935" s="633" t="s">
        <v>33128</v>
      </c>
      <c r="C935" s="715" t="s">
        <v>121</v>
      </c>
      <c r="D935" s="716">
        <v>178.01</v>
      </c>
    </row>
    <row r="936" spans="1:4" ht="70">
      <c r="A936" s="715">
        <v>105687</v>
      </c>
      <c r="B936" s="633" t="s">
        <v>33129</v>
      </c>
      <c r="C936" s="715" t="s">
        <v>121</v>
      </c>
      <c r="D936" s="716">
        <v>175.33</v>
      </c>
    </row>
    <row r="937" spans="1:4" ht="84">
      <c r="A937" s="715">
        <v>105694</v>
      </c>
      <c r="B937" s="633" t="s">
        <v>30340</v>
      </c>
      <c r="C937" s="715" t="s">
        <v>121</v>
      </c>
      <c r="D937" s="716">
        <v>201.9</v>
      </c>
    </row>
    <row r="938" spans="1:4" ht="84">
      <c r="A938" s="715">
        <v>105697</v>
      </c>
      <c r="B938" s="633" t="s">
        <v>30343</v>
      </c>
      <c r="C938" s="715" t="s">
        <v>121</v>
      </c>
      <c r="D938" s="716">
        <v>190.38</v>
      </c>
    </row>
    <row r="939" spans="1:4" ht="84">
      <c r="A939" s="715">
        <v>105703</v>
      </c>
      <c r="B939" s="633" t="s">
        <v>30349</v>
      </c>
      <c r="C939" s="715" t="s">
        <v>121</v>
      </c>
      <c r="D939" s="716">
        <v>184.61</v>
      </c>
    </row>
    <row r="940" spans="1:4" ht="70">
      <c r="A940" s="715">
        <v>105676</v>
      </c>
      <c r="B940" s="633" t="s">
        <v>33130</v>
      </c>
      <c r="C940" s="715" t="s">
        <v>121</v>
      </c>
      <c r="D940" s="716">
        <v>210.86</v>
      </c>
    </row>
    <row r="941" spans="1:4" ht="70">
      <c r="A941" s="715">
        <v>105682</v>
      </c>
      <c r="B941" s="633" t="s">
        <v>33131</v>
      </c>
      <c r="C941" s="715" t="s">
        <v>121</v>
      </c>
      <c r="D941" s="716">
        <v>205.56</v>
      </c>
    </row>
    <row r="942" spans="1:4" ht="70">
      <c r="A942" s="715">
        <v>105688</v>
      </c>
      <c r="B942" s="633" t="s">
        <v>33132</v>
      </c>
      <c r="C942" s="715" t="s">
        <v>121</v>
      </c>
      <c r="D942" s="716">
        <v>202.88</v>
      </c>
    </row>
    <row r="943" spans="1:4" ht="84">
      <c r="A943" s="715">
        <v>105695</v>
      </c>
      <c r="B943" s="633" t="s">
        <v>30341</v>
      </c>
      <c r="C943" s="715" t="s">
        <v>121</v>
      </c>
      <c r="D943" s="716">
        <v>230.85</v>
      </c>
    </row>
    <row r="944" spans="1:4" ht="84">
      <c r="A944" s="715">
        <v>105698</v>
      </c>
      <c r="B944" s="633" t="s">
        <v>30344</v>
      </c>
      <c r="C944" s="715" t="s">
        <v>121</v>
      </c>
      <c r="D944" s="716">
        <v>219.33</v>
      </c>
    </row>
    <row r="945" spans="1:4" ht="84">
      <c r="A945" s="715">
        <v>105704</v>
      </c>
      <c r="B945" s="633" t="s">
        <v>30350</v>
      </c>
      <c r="C945" s="715" t="s">
        <v>121</v>
      </c>
      <c r="D945" s="716">
        <v>213.56</v>
      </c>
    </row>
    <row r="946" spans="1:4" ht="70">
      <c r="A946" s="715">
        <v>105677</v>
      </c>
      <c r="B946" s="633" t="s">
        <v>33133</v>
      </c>
      <c r="C946" s="715" t="s">
        <v>121</v>
      </c>
      <c r="D946" s="716">
        <v>238.42</v>
      </c>
    </row>
    <row r="947" spans="1:4" ht="70">
      <c r="A947" s="715">
        <v>105683</v>
      </c>
      <c r="B947" s="633" t="s">
        <v>33134</v>
      </c>
      <c r="C947" s="715" t="s">
        <v>121</v>
      </c>
      <c r="D947" s="716">
        <v>233.12</v>
      </c>
    </row>
    <row r="948" spans="1:4" ht="70">
      <c r="A948" s="715">
        <v>105689</v>
      </c>
      <c r="B948" s="633" t="s">
        <v>33135</v>
      </c>
      <c r="C948" s="715" t="s">
        <v>121</v>
      </c>
      <c r="D948" s="716">
        <v>230.44</v>
      </c>
    </row>
    <row r="949" spans="1:4" ht="70">
      <c r="A949" s="715">
        <v>105579</v>
      </c>
      <c r="B949" s="633" t="s">
        <v>30293</v>
      </c>
      <c r="C949" s="715" t="s">
        <v>121</v>
      </c>
      <c r="D949" s="716">
        <v>109.94</v>
      </c>
    </row>
    <row r="950" spans="1:4" ht="70">
      <c r="A950" s="715">
        <v>105580</v>
      </c>
      <c r="B950" s="633" t="s">
        <v>30294</v>
      </c>
      <c r="C950" s="715" t="s">
        <v>121</v>
      </c>
      <c r="D950" s="716">
        <v>98.42</v>
      </c>
    </row>
    <row r="951" spans="1:4" ht="70">
      <c r="A951" s="715">
        <v>105582</v>
      </c>
      <c r="B951" s="633" t="s">
        <v>30296</v>
      </c>
      <c r="C951" s="715" t="s">
        <v>121</v>
      </c>
      <c r="D951" s="716">
        <v>92.65</v>
      </c>
    </row>
    <row r="952" spans="1:4" ht="70">
      <c r="A952" s="715">
        <v>105638</v>
      </c>
      <c r="B952" s="633" t="s">
        <v>33136</v>
      </c>
      <c r="C952" s="715" t="s">
        <v>121</v>
      </c>
      <c r="D952" s="716">
        <v>128.19999999999999</v>
      </c>
    </row>
    <row r="953" spans="1:4" ht="70">
      <c r="A953" s="715">
        <v>105715</v>
      </c>
      <c r="B953" s="633" t="s">
        <v>33137</v>
      </c>
      <c r="C953" s="715" t="s">
        <v>121</v>
      </c>
      <c r="D953" s="716">
        <v>122.9</v>
      </c>
    </row>
    <row r="954" spans="1:4" ht="70">
      <c r="A954" s="715">
        <v>105717</v>
      </c>
      <c r="B954" s="633" t="s">
        <v>33138</v>
      </c>
      <c r="C954" s="715" t="s">
        <v>121</v>
      </c>
      <c r="D954" s="716">
        <v>120.22</v>
      </c>
    </row>
    <row r="955" spans="1:4" ht="70">
      <c r="A955" s="715">
        <v>105626</v>
      </c>
      <c r="B955" s="633" t="s">
        <v>30310</v>
      </c>
      <c r="C955" s="715" t="s">
        <v>121</v>
      </c>
      <c r="D955" s="716">
        <v>125.8</v>
      </c>
    </row>
    <row r="956" spans="1:4" ht="70">
      <c r="A956" s="715">
        <v>105629</v>
      </c>
      <c r="B956" s="633" t="s">
        <v>30313</v>
      </c>
      <c r="C956" s="715" t="s">
        <v>121</v>
      </c>
      <c r="D956" s="716">
        <v>116.57</v>
      </c>
    </row>
    <row r="957" spans="1:4" ht="70">
      <c r="A957" s="715">
        <v>105635</v>
      </c>
      <c r="B957" s="633" t="s">
        <v>30319</v>
      </c>
      <c r="C957" s="715" t="s">
        <v>121</v>
      </c>
      <c r="D957" s="716">
        <v>115.26</v>
      </c>
    </row>
    <row r="958" spans="1:4" ht="70">
      <c r="A958" s="715">
        <v>105605</v>
      </c>
      <c r="B958" s="633" t="s">
        <v>33139</v>
      </c>
      <c r="C958" s="715" t="s">
        <v>121</v>
      </c>
      <c r="D958" s="716">
        <v>114.73</v>
      </c>
    </row>
    <row r="959" spans="1:4" ht="70">
      <c r="A959" s="715">
        <v>105613</v>
      </c>
      <c r="B959" s="633" t="s">
        <v>33140</v>
      </c>
      <c r="C959" s="715" t="s">
        <v>121</v>
      </c>
      <c r="D959" s="716">
        <v>111.3</v>
      </c>
    </row>
    <row r="960" spans="1:4" ht="70">
      <c r="A960" s="715">
        <v>105621</v>
      </c>
      <c r="B960" s="633" t="s">
        <v>33141</v>
      </c>
      <c r="C960" s="715" t="s">
        <v>121</v>
      </c>
      <c r="D960" s="716">
        <v>108.83</v>
      </c>
    </row>
    <row r="961" spans="1:4" ht="70">
      <c r="A961" s="715">
        <v>105627</v>
      </c>
      <c r="B961" s="633" t="s">
        <v>30311</v>
      </c>
      <c r="C961" s="715" t="s">
        <v>121</v>
      </c>
      <c r="D961" s="716">
        <v>155.94999999999999</v>
      </c>
    </row>
    <row r="962" spans="1:4" ht="70">
      <c r="A962" s="715">
        <v>105630</v>
      </c>
      <c r="B962" s="633" t="s">
        <v>30314</v>
      </c>
      <c r="C962" s="715" t="s">
        <v>121</v>
      </c>
      <c r="D962" s="716">
        <v>146.72</v>
      </c>
    </row>
    <row r="963" spans="1:4" ht="70">
      <c r="A963" s="715">
        <v>105636</v>
      </c>
      <c r="B963" s="633" t="s">
        <v>30320</v>
      </c>
      <c r="C963" s="715" t="s">
        <v>121</v>
      </c>
      <c r="D963" s="716">
        <v>145.41</v>
      </c>
    </row>
    <row r="964" spans="1:4" ht="70">
      <c r="A964" s="715">
        <v>105606</v>
      </c>
      <c r="B964" s="633" t="s">
        <v>33142</v>
      </c>
      <c r="C964" s="715" t="s">
        <v>121</v>
      </c>
      <c r="D964" s="716">
        <v>144.11000000000001</v>
      </c>
    </row>
    <row r="965" spans="1:4" ht="70">
      <c r="A965" s="715">
        <v>105614</v>
      </c>
      <c r="B965" s="633" t="s">
        <v>33143</v>
      </c>
      <c r="C965" s="715" t="s">
        <v>121</v>
      </c>
      <c r="D965" s="716">
        <v>140.68</v>
      </c>
    </row>
    <row r="966" spans="1:4" ht="70">
      <c r="A966" s="715">
        <v>105622</v>
      </c>
      <c r="B966" s="633" t="s">
        <v>33144</v>
      </c>
      <c r="C966" s="715" t="s">
        <v>121</v>
      </c>
      <c r="D966" s="716">
        <v>138.21</v>
      </c>
    </row>
    <row r="967" spans="1:4" ht="84">
      <c r="A967" s="715">
        <v>105572</v>
      </c>
      <c r="B967" s="633" t="s">
        <v>30286</v>
      </c>
      <c r="C967" s="715" t="s">
        <v>121</v>
      </c>
      <c r="D967" s="716">
        <v>63.86</v>
      </c>
    </row>
    <row r="968" spans="1:4" ht="84">
      <c r="A968" s="715">
        <v>105574</v>
      </c>
      <c r="B968" s="633" t="s">
        <v>30288</v>
      </c>
      <c r="C968" s="715" t="s">
        <v>121</v>
      </c>
      <c r="D968" s="716">
        <v>54.63</v>
      </c>
    </row>
    <row r="969" spans="1:4" ht="84">
      <c r="A969" s="715">
        <v>105576</v>
      </c>
      <c r="B969" s="633" t="s">
        <v>30290</v>
      </c>
      <c r="C969" s="715" t="s">
        <v>121</v>
      </c>
      <c r="D969" s="716">
        <v>53.32</v>
      </c>
    </row>
    <row r="970" spans="1:4" ht="70">
      <c r="A970" s="715">
        <v>105603</v>
      </c>
      <c r="B970" s="633" t="s">
        <v>33145</v>
      </c>
      <c r="C970" s="715" t="s">
        <v>121</v>
      </c>
      <c r="D970" s="716">
        <v>55.98</v>
      </c>
    </row>
    <row r="971" spans="1:4" ht="70">
      <c r="A971" s="715">
        <v>105611</v>
      </c>
      <c r="B971" s="633" t="s">
        <v>33146</v>
      </c>
      <c r="C971" s="715" t="s">
        <v>121</v>
      </c>
      <c r="D971" s="716">
        <v>52.55</v>
      </c>
    </row>
    <row r="972" spans="1:4" ht="70">
      <c r="A972" s="715">
        <v>105619</v>
      </c>
      <c r="B972" s="633" t="s">
        <v>33147</v>
      </c>
      <c r="C972" s="715" t="s">
        <v>121</v>
      </c>
      <c r="D972" s="716">
        <v>50.08</v>
      </c>
    </row>
    <row r="973" spans="1:4" ht="84">
      <c r="A973" s="715">
        <v>105573</v>
      </c>
      <c r="B973" s="633" t="s">
        <v>30287</v>
      </c>
      <c r="C973" s="715" t="s">
        <v>121</v>
      </c>
      <c r="D973" s="716">
        <v>95.25</v>
      </c>
    </row>
    <row r="974" spans="1:4" ht="84">
      <c r="A974" s="715">
        <v>105628</v>
      </c>
      <c r="B974" s="633" t="s">
        <v>30312</v>
      </c>
      <c r="C974" s="715" t="s">
        <v>121</v>
      </c>
      <c r="D974" s="716">
        <v>86.02</v>
      </c>
    </row>
    <row r="975" spans="1:4" ht="84">
      <c r="A975" s="715">
        <v>105634</v>
      </c>
      <c r="B975" s="633" t="s">
        <v>30318</v>
      </c>
      <c r="C975" s="715" t="s">
        <v>121</v>
      </c>
      <c r="D975" s="716">
        <v>84.71</v>
      </c>
    </row>
    <row r="976" spans="1:4" ht="70">
      <c r="A976" s="715">
        <v>105604</v>
      </c>
      <c r="B976" s="633" t="s">
        <v>33148</v>
      </c>
      <c r="C976" s="715" t="s">
        <v>121</v>
      </c>
      <c r="D976" s="716">
        <v>85.35</v>
      </c>
    </row>
    <row r="977" spans="1:4" ht="70">
      <c r="A977" s="715">
        <v>105612</v>
      </c>
      <c r="B977" s="633" t="s">
        <v>33149</v>
      </c>
      <c r="C977" s="715" t="s">
        <v>121</v>
      </c>
      <c r="D977" s="716">
        <v>81.92</v>
      </c>
    </row>
    <row r="978" spans="1:4" ht="70">
      <c r="A978" s="715">
        <v>105620</v>
      </c>
      <c r="B978" s="633" t="s">
        <v>33150</v>
      </c>
      <c r="C978" s="715" t="s">
        <v>121</v>
      </c>
      <c r="D978" s="716">
        <v>79.45</v>
      </c>
    </row>
    <row r="979" spans="1:4" ht="70">
      <c r="A979" s="715">
        <v>105586</v>
      </c>
      <c r="B979" s="633" t="s">
        <v>30298</v>
      </c>
      <c r="C979" s="715" t="s">
        <v>121</v>
      </c>
      <c r="D979" s="716">
        <v>135.08000000000001</v>
      </c>
    </row>
    <row r="980" spans="1:4" ht="70">
      <c r="A980" s="715">
        <v>105587</v>
      </c>
      <c r="B980" s="633" t="s">
        <v>30299</v>
      </c>
      <c r="C980" s="715" t="s">
        <v>121</v>
      </c>
      <c r="D980" s="716">
        <v>119.2</v>
      </c>
    </row>
    <row r="981" spans="1:4" ht="70">
      <c r="A981" s="715">
        <v>105589</v>
      </c>
      <c r="B981" s="633" t="s">
        <v>30301</v>
      </c>
      <c r="C981" s="715" t="s">
        <v>121</v>
      </c>
      <c r="D981" s="716">
        <v>117.76</v>
      </c>
    </row>
    <row r="982" spans="1:4" ht="70">
      <c r="A982" s="715">
        <v>105584</v>
      </c>
      <c r="B982" s="633" t="s">
        <v>33151</v>
      </c>
      <c r="C982" s="715" t="s">
        <v>121</v>
      </c>
      <c r="D982" s="716">
        <v>156.06</v>
      </c>
    </row>
    <row r="983" spans="1:4" ht="70">
      <c r="A983" s="715">
        <v>105720</v>
      </c>
      <c r="B983" s="633" t="s">
        <v>33152</v>
      </c>
      <c r="C983" s="715" t="s">
        <v>121</v>
      </c>
      <c r="D983" s="716">
        <v>147.56</v>
      </c>
    </row>
    <row r="984" spans="1:4" ht="70">
      <c r="A984" s="715">
        <v>105722</v>
      </c>
      <c r="B984" s="633" t="s">
        <v>33153</v>
      </c>
      <c r="C984" s="715" t="s">
        <v>121</v>
      </c>
      <c r="D984" s="716">
        <v>148.06</v>
      </c>
    </row>
    <row r="985" spans="1:4" ht="70">
      <c r="A985" s="715">
        <v>105593</v>
      </c>
      <c r="B985" s="633" t="s">
        <v>30303</v>
      </c>
      <c r="C985" s="715" t="s">
        <v>121</v>
      </c>
      <c r="D985" s="716">
        <v>123.1</v>
      </c>
    </row>
    <row r="986" spans="1:4" ht="70">
      <c r="A986" s="715">
        <v>105594</v>
      </c>
      <c r="B986" s="633" t="s">
        <v>30304</v>
      </c>
      <c r="C986" s="715" t="s">
        <v>121</v>
      </c>
      <c r="D986" s="716">
        <v>107.22</v>
      </c>
    </row>
    <row r="987" spans="1:4" ht="70">
      <c r="A987" s="715">
        <v>105596</v>
      </c>
      <c r="B987" s="633" t="s">
        <v>30306</v>
      </c>
      <c r="C987" s="715" t="s">
        <v>121</v>
      </c>
      <c r="D987" s="716">
        <v>105.78</v>
      </c>
    </row>
    <row r="988" spans="1:4" ht="70">
      <c r="A988" s="715">
        <v>105591</v>
      </c>
      <c r="B988" s="633" t="s">
        <v>33154</v>
      </c>
      <c r="C988" s="715" t="s">
        <v>121</v>
      </c>
      <c r="D988" s="716">
        <v>137.85</v>
      </c>
    </row>
    <row r="989" spans="1:4" ht="70">
      <c r="A989" s="715">
        <v>105724</v>
      </c>
      <c r="B989" s="633" t="s">
        <v>33155</v>
      </c>
      <c r="C989" s="715" t="s">
        <v>121</v>
      </c>
      <c r="D989" s="716">
        <v>129.35</v>
      </c>
    </row>
    <row r="990" spans="1:4" ht="70">
      <c r="A990" s="715">
        <v>105726</v>
      </c>
      <c r="B990" s="633" t="s">
        <v>33156</v>
      </c>
      <c r="C990" s="715" t="s">
        <v>121</v>
      </c>
      <c r="D990" s="716">
        <v>129.85</v>
      </c>
    </row>
    <row r="991" spans="1:4" ht="70">
      <c r="A991" s="715">
        <v>105567</v>
      </c>
      <c r="B991" s="633" t="s">
        <v>30281</v>
      </c>
      <c r="C991" s="715" t="s">
        <v>121</v>
      </c>
      <c r="D991" s="716">
        <v>16.86</v>
      </c>
    </row>
    <row r="992" spans="1:4" ht="70">
      <c r="A992" s="715">
        <v>105568</v>
      </c>
      <c r="B992" s="633" t="s">
        <v>30282</v>
      </c>
      <c r="C992" s="715" t="s">
        <v>121</v>
      </c>
      <c r="D992" s="716">
        <v>13.43</v>
      </c>
    </row>
    <row r="993" spans="1:4" ht="70">
      <c r="A993" s="715">
        <v>105570</v>
      </c>
      <c r="B993" s="633" t="s">
        <v>30284</v>
      </c>
      <c r="C993" s="715" t="s">
        <v>121</v>
      </c>
      <c r="D993" s="716">
        <v>11.09</v>
      </c>
    </row>
    <row r="994" spans="1:4" ht="28">
      <c r="A994" s="715">
        <v>100575</v>
      </c>
      <c r="B994" s="633" t="s">
        <v>30277</v>
      </c>
      <c r="C994" s="715" t="s">
        <v>509</v>
      </c>
      <c r="D994" s="716">
        <v>0.66</v>
      </c>
    </row>
    <row r="995" spans="1:4" ht="42">
      <c r="A995" s="715">
        <v>100577</v>
      </c>
      <c r="B995" s="633" t="s">
        <v>30253</v>
      </c>
      <c r="C995" s="715" t="s">
        <v>509</v>
      </c>
      <c r="D995" s="716">
        <v>1.64</v>
      </c>
    </row>
    <row r="996" spans="1:4" ht="42">
      <c r="A996" s="715">
        <v>105598</v>
      </c>
      <c r="B996" s="633" t="s">
        <v>30255</v>
      </c>
      <c r="C996" s="715" t="s">
        <v>509</v>
      </c>
      <c r="D996" s="716">
        <v>2.19</v>
      </c>
    </row>
    <row r="997" spans="1:4" ht="42">
      <c r="A997" s="715">
        <v>100576</v>
      </c>
      <c r="B997" s="633" t="s">
        <v>30252</v>
      </c>
      <c r="C997" s="715" t="s">
        <v>509</v>
      </c>
      <c r="D997" s="716">
        <v>3.23</v>
      </c>
    </row>
    <row r="998" spans="1:4" ht="42">
      <c r="A998" s="715">
        <v>105597</v>
      </c>
      <c r="B998" s="633" t="s">
        <v>30254</v>
      </c>
      <c r="C998" s="715" t="s">
        <v>509</v>
      </c>
      <c r="D998" s="716">
        <v>4.42</v>
      </c>
    </row>
    <row r="999" spans="1:4" ht="28">
      <c r="A999" s="715">
        <v>102730</v>
      </c>
      <c r="B999" s="633" t="s">
        <v>25171</v>
      </c>
      <c r="C999" s="715" t="s">
        <v>207</v>
      </c>
      <c r="D999" s="716">
        <v>10.59</v>
      </c>
    </row>
    <row r="1000" spans="1:4" ht="28">
      <c r="A1000" s="715">
        <v>102731</v>
      </c>
      <c r="B1000" s="633" t="s">
        <v>25172</v>
      </c>
      <c r="C1000" s="715" t="s">
        <v>207</v>
      </c>
      <c r="D1000" s="716">
        <v>8.75</v>
      </c>
    </row>
    <row r="1001" spans="1:4" ht="28">
      <c r="A1001" s="715">
        <v>102732</v>
      </c>
      <c r="B1001" s="633" t="s">
        <v>25173</v>
      </c>
      <c r="C1001" s="715" t="s">
        <v>207</v>
      </c>
      <c r="D1001" s="716">
        <v>7.95</v>
      </c>
    </row>
    <row r="1002" spans="1:4" ht="28">
      <c r="A1002" s="715">
        <v>102733</v>
      </c>
      <c r="B1002" s="633" t="s">
        <v>25174</v>
      </c>
      <c r="C1002" s="715" t="s">
        <v>207</v>
      </c>
      <c r="D1002" s="716">
        <v>8.5299999999999994</v>
      </c>
    </row>
    <row r="1003" spans="1:4" ht="28">
      <c r="A1003" s="715">
        <v>102728</v>
      </c>
      <c r="B1003" s="633" t="s">
        <v>25169</v>
      </c>
      <c r="C1003" s="715" t="s">
        <v>207</v>
      </c>
      <c r="D1003" s="716">
        <v>13.92</v>
      </c>
    </row>
    <row r="1004" spans="1:4" ht="28">
      <c r="A1004" s="715">
        <v>102729</v>
      </c>
      <c r="B1004" s="633" t="s">
        <v>25170</v>
      </c>
      <c r="C1004" s="715" t="s">
        <v>207</v>
      </c>
      <c r="D1004" s="716">
        <v>12.31</v>
      </c>
    </row>
    <row r="1005" spans="1:4" ht="28">
      <c r="A1005" s="715">
        <v>102734</v>
      </c>
      <c r="B1005" s="633" t="s">
        <v>25175</v>
      </c>
      <c r="C1005" s="715" t="s">
        <v>207</v>
      </c>
      <c r="D1005" s="716">
        <v>12.61</v>
      </c>
    </row>
    <row r="1006" spans="1:4" ht="28">
      <c r="A1006" s="715">
        <v>102735</v>
      </c>
      <c r="B1006" s="633" t="s">
        <v>25176</v>
      </c>
      <c r="C1006" s="715" t="s">
        <v>207</v>
      </c>
      <c r="D1006" s="716">
        <v>11.2</v>
      </c>
    </row>
    <row r="1007" spans="1:4" ht="42">
      <c r="A1007" s="715">
        <v>102765</v>
      </c>
      <c r="B1007" s="633" t="s">
        <v>25206</v>
      </c>
      <c r="C1007" s="715" t="s">
        <v>103</v>
      </c>
      <c r="D1007" s="716">
        <v>16032.8</v>
      </c>
    </row>
    <row r="1008" spans="1:4" ht="42">
      <c r="A1008" s="715">
        <v>102795</v>
      </c>
      <c r="B1008" s="633" t="s">
        <v>25236</v>
      </c>
      <c r="C1008" s="715" t="s">
        <v>103</v>
      </c>
      <c r="D1008" s="716">
        <v>33324.15</v>
      </c>
    </row>
    <row r="1009" spans="1:4" ht="42">
      <c r="A1009" s="715">
        <v>102766</v>
      </c>
      <c r="B1009" s="633" t="s">
        <v>25207</v>
      </c>
      <c r="C1009" s="715" t="s">
        <v>103</v>
      </c>
      <c r="D1009" s="716">
        <v>23904.11</v>
      </c>
    </row>
    <row r="1010" spans="1:4" ht="42">
      <c r="A1010" s="715">
        <v>102796</v>
      </c>
      <c r="B1010" s="633" t="s">
        <v>25237</v>
      </c>
      <c r="C1010" s="715" t="s">
        <v>103</v>
      </c>
      <c r="D1010" s="716">
        <v>53404.05</v>
      </c>
    </row>
    <row r="1011" spans="1:4" ht="42">
      <c r="A1011" s="715">
        <v>102767</v>
      </c>
      <c r="B1011" s="633" t="s">
        <v>25208</v>
      </c>
      <c r="C1011" s="715" t="s">
        <v>103</v>
      </c>
      <c r="D1011" s="716">
        <v>33193.68</v>
      </c>
    </row>
    <row r="1012" spans="1:4" ht="42">
      <c r="A1012" s="715">
        <v>102797</v>
      </c>
      <c r="B1012" s="633" t="s">
        <v>25238</v>
      </c>
      <c r="C1012" s="715" t="s">
        <v>103</v>
      </c>
      <c r="D1012" s="716">
        <v>75566.77</v>
      </c>
    </row>
    <row r="1013" spans="1:4" ht="42">
      <c r="A1013" s="715">
        <v>102768</v>
      </c>
      <c r="B1013" s="633" t="s">
        <v>25209</v>
      </c>
      <c r="C1013" s="715" t="s">
        <v>103</v>
      </c>
      <c r="D1013" s="716">
        <v>45897.14</v>
      </c>
    </row>
    <row r="1014" spans="1:4" ht="42">
      <c r="A1014" s="715">
        <v>102798</v>
      </c>
      <c r="B1014" s="633" t="s">
        <v>25239</v>
      </c>
      <c r="C1014" s="715" t="s">
        <v>103</v>
      </c>
      <c r="D1014" s="716">
        <v>92299.24</v>
      </c>
    </row>
    <row r="1015" spans="1:4" ht="42">
      <c r="A1015" s="715">
        <v>102744</v>
      </c>
      <c r="B1015" s="633" t="s">
        <v>25185</v>
      </c>
      <c r="C1015" s="715" t="s">
        <v>103</v>
      </c>
      <c r="D1015" s="716">
        <v>6640.6</v>
      </c>
    </row>
    <row r="1016" spans="1:4" ht="42">
      <c r="A1016" s="715">
        <v>102755</v>
      </c>
      <c r="B1016" s="633" t="s">
        <v>25196</v>
      </c>
      <c r="C1016" s="715" t="s">
        <v>103</v>
      </c>
      <c r="D1016" s="716">
        <v>10185.66</v>
      </c>
    </row>
    <row r="1017" spans="1:4" ht="42">
      <c r="A1017" s="715">
        <v>102782</v>
      </c>
      <c r="B1017" s="633" t="s">
        <v>25223</v>
      </c>
      <c r="C1017" s="715" t="s">
        <v>103</v>
      </c>
      <c r="D1017" s="716">
        <v>16278.25</v>
      </c>
    </row>
    <row r="1018" spans="1:4" ht="42">
      <c r="A1018" s="715">
        <v>102745</v>
      </c>
      <c r="B1018" s="633" t="s">
        <v>25186</v>
      </c>
      <c r="C1018" s="715" t="s">
        <v>103</v>
      </c>
      <c r="D1018" s="716">
        <v>9295.84</v>
      </c>
    </row>
    <row r="1019" spans="1:4" ht="42">
      <c r="A1019" s="715">
        <v>102756</v>
      </c>
      <c r="B1019" s="633" t="s">
        <v>25197</v>
      </c>
      <c r="C1019" s="715" t="s">
        <v>103</v>
      </c>
      <c r="D1019" s="716">
        <v>15051.43</v>
      </c>
    </row>
    <row r="1020" spans="1:4" ht="42">
      <c r="A1020" s="715">
        <v>102783</v>
      </c>
      <c r="B1020" s="633" t="s">
        <v>25224</v>
      </c>
      <c r="C1020" s="715" t="s">
        <v>103</v>
      </c>
      <c r="D1020" s="716">
        <v>21580.3</v>
      </c>
    </row>
    <row r="1021" spans="1:4" ht="42">
      <c r="A1021" s="715">
        <v>102746</v>
      </c>
      <c r="B1021" s="633" t="s">
        <v>25187</v>
      </c>
      <c r="C1021" s="715" t="s">
        <v>103</v>
      </c>
      <c r="D1021" s="716">
        <v>16051.04</v>
      </c>
    </row>
    <row r="1022" spans="1:4" ht="42">
      <c r="A1022" s="715">
        <v>102757</v>
      </c>
      <c r="B1022" s="633" t="s">
        <v>25198</v>
      </c>
      <c r="C1022" s="715" t="s">
        <v>103</v>
      </c>
      <c r="D1022" s="716">
        <v>27882.12</v>
      </c>
    </row>
    <row r="1023" spans="1:4" ht="42">
      <c r="A1023" s="715">
        <v>102784</v>
      </c>
      <c r="B1023" s="633" t="s">
        <v>25225</v>
      </c>
      <c r="C1023" s="715" t="s">
        <v>103</v>
      </c>
      <c r="D1023" s="716">
        <v>32723.02</v>
      </c>
    </row>
    <row r="1024" spans="1:4" ht="42">
      <c r="A1024" s="715">
        <v>102779</v>
      </c>
      <c r="B1024" s="633" t="s">
        <v>25220</v>
      </c>
      <c r="C1024" s="715" t="s">
        <v>103</v>
      </c>
      <c r="D1024" s="716">
        <v>8659.32</v>
      </c>
    </row>
    <row r="1025" spans="1:4" ht="42">
      <c r="A1025" s="715">
        <v>102780</v>
      </c>
      <c r="B1025" s="633" t="s">
        <v>25221</v>
      </c>
      <c r="C1025" s="715" t="s">
        <v>103</v>
      </c>
      <c r="D1025" s="716">
        <v>9967.02</v>
      </c>
    </row>
    <row r="1026" spans="1:4" ht="42">
      <c r="A1026" s="715">
        <v>102743</v>
      </c>
      <c r="B1026" s="633" t="s">
        <v>25184</v>
      </c>
      <c r="C1026" s="715" t="s">
        <v>103</v>
      </c>
      <c r="D1026" s="716">
        <v>4452.7</v>
      </c>
    </row>
    <row r="1027" spans="1:4" ht="42">
      <c r="A1027" s="715">
        <v>102781</v>
      </c>
      <c r="B1027" s="633" t="s">
        <v>25222</v>
      </c>
      <c r="C1027" s="715" t="s">
        <v>103</v>
      </c>
      <c r="D1027" s="716">
        <v>14738.86</v>
      </c>
    </row>
    <row r="1028" spans="1:4" ht="42">
      <c r="A1028" s="715">
        <v>102761</v>
      </c>
      <c r="B1028" s="633" t="s">
        <v>25202</v>
      </c>
      <c r="C1028" s="715" t="s">
        <v>103</v>
      </c>
      <c r="D1028" s="716">
        <v>12836.01</v>
      </c>
    </row>
    <row r="1029" spans="1:4" ht="42">
      <c r="A1029" s="715">
        <v>102791</v>
      </c>
      <c r="B1029" s="633" t="s">
        <v>25232</v>
      </c>
      <c r="C1029" s="715" t="s">
        <v>103</v>
      </c>
      <c r="D1029" s="716">
        <v>31205.72</v>
      </c>
    </row>
    <row r="1030" spans="1:4" ht="42">
      <c r="A1030" s="715">
        <v>102762</v>
      </c>
      <c r="B1030" s="633" t="s">
        <v>25203</v>
      </c>
      <c r="C1030" s="715" t="s">
        <v>103</v>
      </c>
      <c r="D1030" s="716">
        <v>19626.96</v>
      </c>
    </row>
    <row r="1031" spans="1:4" ht="42">
      <c r="A1031" s="715">
        <v>102792</v>
      </c>
      <c r="B1031" s="633" t="s">
        <v>25233</v>
      </c>
      <c r="C1031" s="715" t="s">
        <v>103</v>
      </c>
      <c r="D1031" s="716">
        <v>50480.65</v>
      </c>
    </row>
    <row r="1032" spans="1:4" ht="42">
      <c r="A1032" s="715">
        <v>102763</v>
      </c>
      <c r="B1032" s="633" t="s">
        <v>25204</v>
      </c>
      <c r="C1032" s="715" t="s">
        <v>103</v>
      </c>
      <c r="D1032" s="716">
        <v>27129.62</v>
      </c>
    </row>
    <row r="1033" spans="1:4" ht="42">
      <c r="A1033" s="715">
        <v>102793</v>
      </c>
      <c r="B1033" s="633" t="s">
        <v>25234</v>
      </c>
      <c r="C1033" s="715" t="s">
        <v>103</v>
      </c>
      <c r="D1033" s="716">
        <v>67569.62</v>
      </c>
    </row>
    <row r="1034" spans="1:4" ht="42">
      <c r="A1034" s="715">
        <v>102764</v>
      </c>
      <c r="B1034" s="633" t="s">
        <v>25205</v>
      </c>
      <c r="C1034" s="715" t="s">
        <v>103</v>
      </c>
      <c r="D1034" s="716">
        <v>37873.300000000003</v>
      </c>
    </row>
    <row r="1035" spans="1:4" ht="42">
      <c r="A1035" s="715">
        <v>102794</v>
      </c>
      <c r="B1035" s="633" t="s">
        <v>25235</v>
      </c>
      <c r="C1035" s="715" t="s">
        <v>103</v>
      </c>
      <c r="D1035" s="716">
        <v>96518.16</v>
      </c>
    </row>
    <row r="1036" spans="1:4" ht="42">
      <c r="A1036" s="715">
        <v>102740</v>
      </c>
      <c r="B1036" s="633" t="s">
        <v>25181</v>
      </c>
      <c r="C1036" s="715" t="s">
        <v>103</v>
      </c>
      <c r="D1036" s="716">
        <v>5474.48</v>
      </c>
    </row>
    <row r="1037" spans="1:4" ht="42">
      <c r="A1037" s="715">
        <v>102752</v>
      </c>
      <c r="B1037" s="633" t="s">
        <v>25193</v>
      </c>
      <c r="C1037" s="715" t="s">
        <v>103</v>
      </c>
      <c r="D1037" s="716">
        <v>7308.02</v>
      </c>
    </row>
    <row r="1038" spans="1:4" ht="42">
      <c r="A1038" s="715">
        <v>102776</v>
      </c>
      <c r="B1038" s="633" t="s">
        <v>25217</v>
      </c>
      <c r="C1038" s="715" t="s">
        <v>103</v>
      </c>
      <c r="D1038" s="716">
        <v>12900.96</v>
      </c>
    </row>
    <row r="1039" spans="1:4" ht="42">
      <c r="A1039" s="715">
        <v>102741</v>
      </c>
      <c r="B1039" s="633" t="s">
        <v>25182</v>
      </c>
      <c r="C1039" s="715" t="s">
        <v>103</v>
      </c>
      <c r="D1039" s="716">
        <v>7654.87</v>
      </c>
    </row>
    <row r="1040" spans="1:4" ht="42">
      <c r="A1040" s="715">
        <v>102753</v>
      </c>
      <c r="B1040" s="633" t="s">
        <v>25194</v>
      </c>
      <c r="C1040" s="715" t="s">
        <v>103</v>
      </c>
      <c r="D1040" s="716">
        <v>10765.87</v>
      </c>
    </row>
    <row r="1041" spans="1:4" ht="42">
      <c r="A1041" s="715">
        <v>102777</v>
      </c>
      <c r="B1041" s="633" t="s">
        <v>25218</v>
      </c>
      <c r="C1041" s="715" t="s">
        <v>103</v>
      </c>
      <c r="D1041" s="716">
        <v>19510.71</v>
      </c>
    </row>
    <row r="1042" spans="1:4" ht="42">
      <c r="A1042" s="715">
        <v>102742</v>
      </c>
      <c r="B1042" s="633" t="s">
        <v>25183</v>
      </c>
      <c r="C1042" s="715" t="s">
        <v>103</v>
      </c>
      <c r="D1042" s="716">
        <v>13204.74</v>
      </c>
    </row>
    <row r="1043" spans="1:4" ht="42">
      <c r="A1043" s="715">
        <v>102754</v>
      </c>
      <c r="B1043" s="633" t="s">
        <v>25195</v>
      </c>
      <c r="C1043" s="715" t="s">
        <v>103</v>
      </c>
      <c r="D1043" s="716">
        <v>20380.21</v>
      </c>
    </row>
    <row r="1044" spans="1:4" ht="42">
      <c r="A1044" s="715">
        <v>102778</v>
      </c>
      <c r="B1044" s="633" t="s">
        <v>25219</v>
      </c>
      <c r="C1044" s="715" t="s">
        <v>103</v>
      </c>
      <c r="D1044" s="716">
        <v>28318.92</v>
      </c>
    </row>
    <row r="1045" spans="1:4" ht="42">
      <c r="A1045" s="715">
        <v>102737</v>
      </c>
      <c r="B1045" s="633" t="s">
        <v>25178</v>
      </c>
      <c r="C1045" s="715" t="s">
        <v>103</v>
      </c>
      <c r="D1045" s="716">
        <v>1082.44</v>
      </c>
    </row>
    <row r="1046" spans="1:4" ht="42">
      <c r="A1046" s="715">
        <v>102773</v>
      </c>
      <c r="B1046" s="633" t="s">
        <v>25214</v>
      </c>
      <c r="C1046" s="715" t="s">
        <v>103</v>
      </c>
      <c r="D1046" s="716">
        <v>8659.32</v>
      </c>
    </row>
    <row r="1047" spans="1:4" ht="42">
      <c r="A1047" s="715">
        <v>102738</v>
      </c>
      <c r="B1047" s="633" t="s">
        <v>25179</v>
      </c>
      <c r="C1047" s="715" t="s">
        <v>103</v>
      </c>
      <c r="D1047" s="716">
        <v>2200.31</v>
      </c>
    </row>
    <row r="1048" spans="1:4" ht="42">
      <c r="A1048" s="715">
        <v>102750</v>
      </c>
      <c r="B1048" s="633" t="s">
        <v>25191</v>
      </c>
      <c r="C1048" s="715" t="s">
        <v>103</v>
      </c>
      <c r="D1048" s="716">
        <v>2675.54</v>
      </c>
    </row>
    <row r="1049" spans="1:4" ht="42">
      <c r="A1049" s="715">
        <v>102774</v>
      </c>
      <c r="B1049" s="633" t="s">
        <v>25215</v>
      </c>
      <c r="C1049" s="715" t="s">
        <v>103</v>
      </c>
      <c r="D1049" s="716">
        <v>8659.32</v>
      </c>
    </row>
    <row r="1050" spans="1:4" ht="42">
      <c r="A1050" s="715">
        <v>102739</v>
      </c>
      <c r="B1050" s="633" t="s">
        <v>25180</v>
      </c>
      <c r="C1050" s="715" t="s">
        <v>103</v>
      </c>
      <c r="D1050" s="716">
        <v>3667.61</v>
      </c>
    </row>
    <row r="1051" spans="1:4" ht="42">
      <c r="A1051" s="715">
        <v>102751</v>
      </c>
      <c r="B1051" s="633" t="s">
        <v>25192</v>
      </c>
      <c r="C1051" s="715" t="s">
        <v>103</v>
      </c>
      <c r="D1051" s="716">
        <v>4612.84</v>
      </c>
    </row>
    <row r="1052" spans="1:4" ht="42">
      <c r="A1052" s="715">
        <v>102775</v>
      </c>
      <c r="B1052" s="633" t="s">
        <v>25216</v>
      </c>
      <c r="C1052" s="715" t="s">
        <v>103</v>
      </c>
      <c r="D1052" s="716">
        <v>12900.96</v>
      </c>
    </row>
    <row r="1053" spans="1:4" ht="42">
      <c r="A1053" s="715">
        <v>102769</v>
      </c>
      <c r="B1053" s="633" t="s">
        <v>25210</v>
      </c>
      <c r="C1053" s="715" t="s">
        <v>103</v>
      </c>
      <c r="D1053" s="716">
        <v>18547.04</v>
      </c>
    </row>
    <row r="1054" spans="1:4" ht="42">
      <c r="A1054" s="715">
        <v>102799</v>
      </c>
      <c r="B1054" s="633" t="s">
        <v>25240</v>
      </c>
      <c r="C1054" s="715" t="s">
        <v>103</v>
      </c>
      <c r="D1054" s="716">
        <v>34031.089999999997</v>
      </c>
    </row>
    <row r="1055" spans="1:4" ht="42">
      <c r="A1055" s="715">
        <v>102770</v>
      </c>
      <c r="B1055" s="633" t="s">
        <v>25211</v>
      </c>
      <c r="C1055" s="715" t="s">
        <v>103</v>
      </c>
      <c r="D1055" s="716">
        <v>28223.61</v>
      </c>
    </row>
    <row r="1056" spans="1:4" ht="42">
      <c r="A1056" s="715">
        <v>102800</v>
      </c>
      <c r="B1056" s="633" t="s">
        <v>25241</v>
      </c>
      <c r="C1056" s="715" t="s">
        <v>103</v>
      </c>
      <c r="D1056" s="716">
        <v>58662.33</v>
      </c>
    </row>
    <row r="1057" spans="1:4" ht="42">
      <c r="A1057" s="715">
        <v>102771</v>
      </c>
      <c r="B1057" s="633" t="s">
        <v>25212</v>
      </c>
      <c r="C1057" s="715" t="s">
        <v>103</v>
      </c>
      <c r="D1057" s="716">
        <v>39178.32</v>
      </c>
    </row>
    <row r="1058" spans="1:4" ht="42">
      <c r="A1058" s="715">
        <v>102801</v>
      </c>
      <c r="B1058" s="633" t="s">
        <v>25242</v>
      </c>
      <c r="C1058" s="715" t="s">
        <v>103</v>
      </c>
      <c r="D1058" s="716">
        <v>81908.86</v>
      </c>
    </row>
    <row r="1059" spans="1:4" ht="42">
      <c r="A1059" s="715">
        <v>102772</v>
      </c>
      <c r="B1059" s="633" t="s">
        <v>25213</v>
      </c>
      <c r="C1059" s="715" t="s">
        <v>103</v>
      </c>
      <c r="D1059" s="716">
        <v>54419.199999999997</v>
      </c>
    </row>
    <row r="1060" spans="1:4" ht="42">
      <c r="A1060" s="715">
        <v>102802</v>
      </c>
      <c r="B1060" s="633" t="s">
        <v>25243</v>
      </c>
      <c r="C1060" s="715" t="s">
        <v>103</v>
      </c>
      <c r="D1060" s="716">
        <v>98118.58</v>
      </c>
    </row>
    <row r="1061" spans="1:4" ht="42">
      <c r="A1061" s="715">
        <v>102747</v>
      </c>
      <c r="B1061" s="633" t="s">
        <v>25188</v>
      </c>
      <c r="C1061" s="715" t="s">
        <v>103</v>
      </c>
      <c r="D1061" s="716">
        <v>8238.4500000000007</v>
      </c>
    </row>
    <row r="1062" spans="1:4" ht="42">
      <c r="A1062" s="715">
        <v>102758</v>
      </c>
      <c r="B1062" s="633" t="s">
        <v>25199</v>
      </c>
      <c r="C1062" s="715" t="s">
        <v>103</v>
      </c>
      <c r="D1062" s="716">
        <v>13076.84</v>
      </c>
    </row>
    <row r="1063" spans="1:4" ht="42">
      <c r="A1063" s="715">
        <v>102788</v>
      </c>
      <c r="B1063" s="633" t="s">
        <v>25229</v>
      </c>
      <c r="C1063" s="715" t="s">
        <v>103</v>
      </c>
      <c r="D1063" s="716">
        <v>17761.66</v>
      </c>
    </row>
    <row r="1064" spans="1:4" ht="42">
      <c r="A1064" s="715">
        <v>102748</v>
      </c>
      <c r="B1064" s="633" t="s">
        <v>25189</v>
      </c>
      <c r="C1064" s="715" t="s">
        <v>103</v>
      </c>
      <c r="D1064" s="716">
        <v>11484.21</v>
      </c>
    </row>
    <row r="1065" spans="1:4" ht="42">
      <c r="A1065" s="715">
        <v>102759</v>
      </c>
      <c r="B1065" s="633" t="s">
        <v>25200</v>
      </c>
      <c r="C1065" s="715" t="s">
        <v>103</v>
      </c>
      <c r="D1065" s="716">
        <v>19357.509999999998</v>
      </c>
    </row>
    <row r="1066" spans="1:4" ht="42">
      <c r="A1066" s="715">
        <v>102789</v>
      </c>
      <c r="B1066" s="633" t="s">
        <v>25230</v>
      </c>
      <c r="C1066" s="715" t="s">
        <v>103</v>
      </c>
      <c r="D1066" s="716">
        <v>23314.05</v>
      </c>
    </row>
    <row r="1067" spans="1:4" ht="42">
      <c r="A1067" s="715">
        <v>102749</v>
      </c>
      <c r="B1067" s="633" t="s">
        <v>25190</v>
      </c>
      <c r="C1067" s="715" t="s">
        <v>103</v>
      </c>
      <c r="D1067" s="716">
        <v>19640.810000000001</v>
      </c>
    </row>
    <row r="1068" spans="1:4" ht="42">
      <c r="A1068" s="715">
        <v>102760</v>
      </c>
      <c r="B1068" s="633" t="s">
        <v>25201</v>
      </c>
      <c r="C1068" s="715" t="s">
        <v>103</v>
      </c>
      <c r="D1068" s="716">
        <v>35529.64</v>
      </c>
    </row>
    <row r="1069" spans="1:4" ht="42">
      <c r="A1069" s="715">
        <v>102790</v>
      </c>
      <c r="B1069" s="633" t="s">
        <v>25231</v>
      </c>
      <c r="C1069" s="715" t="s">
        <v>103</v>
      </c>
      <c r="D1069" s="716">
        <v>38060</v>
      </c>
    </row>
    <row r="1070" spans="1:4" ht="42">
      <c r="A1070" s="715">
        <v>102785</v>
      </c>
      <c r="B1070" s="633" t="s">
        <v>25226</v>
      </c>
      <c r="C1070" s="715" t="s">
        <v>103</v>
      </c>
      <c r="D1070" s="716">
        <v>9967.02</v>
      </c>
    </row>
    <row r="1071" spans="1:4" ht="42">
      <c r="A1071" s="715">
        <v>102786</v>
      </c>
      <c r="B1071" s="633" t="s">
        <v>25227</v>
      </c>
      <c r="C1071" s="715" t="s">
        <v>103</v>
      </c>
      <c r="D1071" s="716">
        <v>10976.2</v>
      </c>
    </row>
    <row r="1072" spans="1:4" ht="42">
      <c r="A1072" s="715">
        <v>102787</v>
      </c>
      <c r="B1072" s="633" t="s">
        <v>25228</v>
      </c>
      <c r="C1072" s="715" t="s">
        <v>103</v>
      </c>
      <c r="D1072" s="716">
        <v>16278.25</v>
      </c>
    </row>
    <row r="1073" spans="1:4" ht="42">
      <c r="A1073" s="715">
        <v>102736</v>
      </c>
      <c r="B1073" s="633" t="s">
        <v>25177</v>
      </c>
      <c r="C1073" s="715" t="s">
        <v>121</v>
      </c>
      <c r="D1073" s="716">
        <v>625.54</v>
      </c>
    </row>
    <row r="1074" spans="1:4" ht="56">
      <c r="A1074" s="715">
        <v>102727</v>
      </c>
      <c r="B1074" s="633" t="s">
        <v>25168</v>
      </c>
      <c r="C1074" s="715" t="s">
        <v>509</v>
      </c>
      <c r="D1074" s="716">
        <v>106.73</v>
      </c>
    </row>
    <row r="1075" spans="1:4" ht="42">
      <c r="A1075" s="715">
        <v>102111</v>
      </c>
      <c r="B1075" s="633" t="s">
        <v>42206</v>
      </c>
      <c r="C1075" s="715" t="s">
        <v>103</v>
      </c>
      <c r="D1075" s="716">
        <v>993.08</v>
      </c>
    </row>
    <row r="1076" spans="1:4" ht="42">
      <c r="A1076" s="715">
        <v>102113</v>
      </c>
      <c r="B1076" s="633" t="s">
        <v>42207</v>
      </c>
      <c r="C1076" s="715" t="s">
        <v>103</v>
      </c>
      <c r="D1076" s="716">
        <v>1484.28</v>
      </c>
    </row>
    <row r="1077" spans="1:4" ht="42">
      <c r="A1077" s="715">
        <v>102116</v>
      </c>
      <c r="B1077" s="633" t="s">
        <v>42208</v>
      </c>
      <c r="C1077" s="715" t="s">
        <v>103</v>
      </c>
      <c r="D1077" s="716">
        <v>1576.29</v>
      </c>
    </row>
    <row r="1078" spans="1:4" ht="56">
      <c r="A1078" s="715">
        <v>102132</v>
      </c>
      <c r="B1078" s="633" t="s">
        <v>42209</v>
      </c>
      <c r="C1078" s="715" t="s">
        <v>103</v>
      </c>
      <c r="D1078" s="716">
        <v>0</v>
      </c>
    </row>
    <row r="1079" spans="1:4" ht="42">
      <c r="A1079" s="715">
        <v>102115</v>
      </c>
      <c r="B1079" s="633" t="s">
        <v>42210</v>
      </c>
      <c r="C1079" s="715" t="s">
        <v>103</v>
      </c>
      <c r="D1079" s="716">
        <v>2421.4699999999998</v>
      </c>
    </row>
    <row r="1080" spans="1:4" ht="42">
      <c r="A1080" s="715">
        <v>102122</v>
      </c>
      <c r="B1080" s="633" t="s">
        <v>42211</v>
      </c>
      <c r="C1080" s="715" t="s">
        <v>103</v>
      </c>
      <c r="D1080" s="716">
        <v>6675.4</v>
      </c>
    </row>
    <row r="1081" spans="1:4" ht="42">
      <c r="A1081" s="715">
        <v>102118</v>
      </c>
      <c r="B1081" s="633" t="s">
        <v>42212</v>
      </c>
      <c r="C1081" s="715" t="s">
        <v>103</v>
      </c>
      <c r="D1081" s="716">
        <v>2088.04</v>
      </c>
    </row>
    <row r="1082" spans="1:4" ht="56">
      <c r="A1082" s="715">
        <v>102133</v>
      </c>
      <c r="B1082" s="633" t="s">
        <v>42213</v>
      </c>
      <c r="C1082" s="715" t="s">
        <v>103</v>
      </c>
      <c r="D1082" s="716">
        <v>0</v>
      </c>
    </row>
    <row r="1083" spans="1:4" ht="42">
      <c r="A1083" s="715">
        <v>102126</v>
      </c>
      <c r="B1083" s="633" t="s">
        <v>42214</v>
      </c>
      <c r="C1083" s="715" t="s">
        <v>103</v>
      </c>
      <c r="D1083" s="716">
        <v>11121.96</v>
      </c>
    </row>
    <row r="1084" spans="1:4" ht="28">
      <c r="A1084" s="715">
        <v>102137</v>
      </c>
      <c r="B1084" s="633" t="s">
        <v>42215</v>
      </c>
      <c r="C1084" s="715" t="s">
        <v>103</v>
      </c>
      <c r="D1084" s="716">
        <v>161.58000000000001</v>
      </c>
    </row>
    <row r="1085" spans="1:4" ht="42">
      <c r="A1085" s="715">
        <v>106258</v>
      </c>
      <c r="B1085" s="633" t="s">
        <v>42216</v>
      </c>
      <c r="C1085" s="715" t="s">
        <v>103</v>
      </c>
      <c r="D1085" s="716">
        <v>0</v>
      </c>
    </row>
    <row r="1086" spans="1:4" ht="42">
      <c r="A1086" s="715">
        <v>102112</v>
      </c>
      <c r="B1086" s="633" t="s">
        <v>42217</v>
      </c>
      <c r="C1086" s="715" t="s">
        <v>103</v>
      </c>
      <c r="D1086" s="716">
        <v>283.85000000000002</v>
      </c>
    </row>
    <row r="1087" spans="1:4" ht="42">
      <c r="A1087" s="715">
        <v>102114</v>
      </c>
      <c r="B1087" s="633" t="s">
        <v>42218</v>
      </c>
      <c r="C1087" s="715" t="s">
        <v>103</v>
      </c>
      <c r="D1087" s="716">
        <v>288.75</v>
      </c>
    </row>
    <row r="1088" spans="1:4" ht="28">
      <c r="A1088" s="715">
        <v>102117</v>
      </c>
      <c r="B1088" s="633" t="s">
        <v>42219</v>
      </c>
      <c r="C1088" s="715" t="s">
        <v>103</v>
      </c>
      <c r="D1088" s="716">
        <v>294.68</v>
      </c>
    </row>
    <row r="1089" spans="1:4" ht="42">
      <c r="A1089" s="715">
        <v>102123</v>
      </c>
      <c r="B1089" s="633" t="s">
        <v>42220</v>
      </c>
      <c r="C1089" s="715" t="s">
        <v>103</v>
      </c>
      <c r="D1089" s="716">
        <v>368.52</v>
      </c>
    </row>
    <row r="1090" spans="1:4" ht="42">
      <c r="A1090" s="715">
        <v>102119</v>
      </c>
      <c r="B1090" s="633" t="s">
        <v>42221</v>
      </c>
      <c r="C1090" s="715" t="s">
        <v>103</v>
      </c>
      <c r="D1090" s="716">
        <v>299.8</v>
      </c>
    </row>
    <row r="1091" spans="1:4" ht="42">
      <c r="A1091" s="715">
        <v>102127</v>
      </c>
      <c r="B1091" s="633" t="s">
        <v>42222</v>
      </c>
      <c r="C1091" s="715" t="s">
        <v>103</v>
      </c>
      <c r="D1091" s="716">
        <v>893.84</v>
      </c>
    </row>
    <row r="1092" spans="1:4" ht="42">
      <c r="A1092" s="715">
        <v>102121</v>
      </c>
      <c r="B1092" s="633" t="s">
        <v>42223</v>
      </c>
      <c r="C1092" s="715" t="s">
        <v>103</v>
      </c>
      <c r="D1092" s="716">
        <v>353.28</v>
      </c>
    </row>
    <row r="1093" spans="1:4" ht="28">
      <c r="A1093" s="715">
        <v>102138</v>
      </c>
      <c r="B1093" s="633" t="s">
        <v>42224</v>
      </c>
      <c r="C1093" s="715" t="s">
        <v>103</v>
      </c>
      <c r="D1093" s="716">
        <v>393.31</v>
      </c>
    </row>
    <row r="1094" spans="1:4" ht="28">
      <c r="A1094" s="715">
        <v>102129</v>
      </c>
      <c r="B1094" s="633" t="s">
        <v>42225</v>
      </c>
      <c r="C1094" s="715" t="s">
        <v>103</v>
      </c>
      <c r="D1094" s="716">
        <v>1180.06</v>
      </c>
    </row>
    <row r="1095" spans="1:4" ht="28">
      <c r="A1095" s="715">
        <v>102131</v>
      </c>
      <c r="B1095" s="633" t="s">
        <v>42226</v>
      </c>
      <c r="C1095" s="715" t="s">
        <v>103</v>
      </c>
      <c r="D1095" s="716">
        <v>1289.53</v>
      </c>
    </row>
    <row r="1096" spans="1:4" ht="42">
      <c r="A1096" s="715">
        <v>102120</v>
      </c>
      <c r="B1096" s="633" t="s">
        <v>42227</v>
      </c>
      <c r="C1096" s="715" t="s">
        <v>103</v>
      </c>
      <c r="D1096" s="716">
        <v>0</v>
      </c>
    </row>
    <row r="1097" spans="1:4" ht="28">
      <c r="A1097" s="715">
        <v>102334</v>
      </c>
      <c r="B1097" s="633" t="s">
        <v>42228</v>
      </c>
      <c r="C1097" s="715" t="s">
        <v>103</v>
      </c>
      <c r="D1097" s="716">
        <v>0</v>
      </c>
    </row>
    <row r="1098" spans="1:4" ht="28">
      <c r="A1098" s="715">
        <v>102128</v>
      </c>
      <c r="B1098" s="633" t="s">
        <v>42229</v>
      </c>
      <c r="C1098" s="715" t="s">
        <v>103</v>
      </c>
      <c r="D1098" s="716">
        <v>0</v>
      </c>
    </row>
    <row r="1099" spans="1:4" ht="28">
      <c r="A1099" s="715">
        <v>102130</v>
      </c>
      <c r="B1099" s="633" t="s">
        <v>42230</v>
      </c>
      <c r="C1099" s="715" t="s">
        <v>103</v>
      </c>
      <c r="D1099" s="716">
        <v>0</v>
      </c>
    </row>
    <row r="1100" spans="1:4" ht="56">
      <c r="A1100" s="715">
        <v>104941</v>
      </c>
      <c r="B1100" s="633" t="s">
        <v>33157</v>
      </c>
      <c r="C1100" s="715" t="s">
        <v>509</v>
      </c>
      <c r="D1100" s="716">
        <v>0</v>
      </c>
    </row>
    <row r="1101" spans="1:4" ht="56">
      <c r="A1101" s="715">
        <v>104942</v>
      </c>
      <c r="B1101" s="633" t="s">
        <v>33158</v>
      </c>
      <c r="C1101" s="715" t="s">
        <v>509</v>
      </c>
      <c r="D1101" s="716">
        <v>0</v>
      </c>
    </row>
    <row r="1102" spans="1:4" ht="56">
      <c r="A1102" s="715">
        <v>104940</v>
      </c>
      <c r="B1102" s="633" t="s">
        <v>33159</v>
      </c>
      <c r="C1102" s="715" t="s">
        <v>103</v>
      </c>
      <c r="D1102" s="716">
        <v>0</v>
      </c>
    </row>
    <row r="1103" spans="1:4" ht="70">
      <c r="A1103" s="715">
        <v>104943</v>
      </c>
      <c r="B1103" s="633" t="s">
        <v>33160</v>
      </c>
      <c r="C1103" s="715" t="s">
        <v>509</v>
      </c>
      <c r="D1103" s="716">
        <v>0</v>
      </c>
    </row>
    <row r="1104" spans="1:4" ht="42">
      <c r="A1104" s="715">
        <v>101801</v>
      </c>
      <c r="B1104" s="633" t="s">
        <v>25163</v>
      </c>
      <c r="C1104" s="715" t="s">
        <v>103</v>
      </c>
      <c r="D1104" s="716">
        <v>1134.73</v>
      </c>
    </row>
    <row r="1105" spans="1:4" ht="42">
      <c r="A1105" s="715">
        <v>101800</v>
      </c>
      <c r="B1105" s="633" t="s">
        <v>25162</v>
      </c>
      <c r="C1105" s="715" t="s">
        <v>103</v>
      </c>
      <c r="D1105" s="716">
        <v>1565.83</v>
      </c>
    </row>
    <row r="1106" spans="1:4" ht="56">
      <c r="A1106" s="715">
        <v>98108</v>
      </c>
      <c r="B1106" s="633" t="s">
        <v>26636</v>
      </c>
      <c r="C1106" s="715" t="s">
        <v>103</v>
      </c>
      <c r="D1106" s="716">
        <v>580.29</v>
      </c>
    </row>
    <row r="1107" spans="1:4" ht="56">
      <c r="A1107" s="715">
        <v>98105</v>
      </c>
      <c r="B1107" s="633" t="s">
        <v>26633</v>
      </c>
      <c r="C1107" s="715" t="s">
        <v>103</v>
      </c>
      <c r="D1107" s="716">
        <v>743.37</v>
      </c>
    </row>
    <row r="1108" spans="1:4" ht="70">
      <c r="A1108" s="715">
        <v>98109</v>
      </c>
      <c r="B1108" s="633" t="s">
        <v>26726</v>
      </c>
      <c r="C1108" s="715" t="s">
        <v>103</v>
      </c>
      <c r="D1108" s="716">
        <v>941.21</v>
      </c>
    </row>
    <row r="1109" spans="1:4" ht="70">
      <c r="A1109" s="715">
        <v>98106</v>
      </c>
      <c r="B1109" s="633" t="s">
        <v>26634</v>
      </c>
      <c r="C1109" s="715" t="s">
        <v>103</v>
      </c>
      <c r="D1109" s="716">
        <v>1223.75</v>
      </c>
    </row>
    <row r="1110" spans="1:4" ht="42">
      <c r="A1110" s="715">
        <v>98110</v>
      </c>
      <c r="B1110" s="633" t="s">
        <v>26727</v>
      </c>
      <c r="C1110" s="715" t="s">
        <v>103</v>
      </c>
      <c r="D1110" s="716">
        <v>421.11</v>
      </c>
    </row>
    <row r="1111" spans="1:4" ht="56">
      <c r="A1111" s="715">
        <v>98107</v>
      </c>
      <c r="B1111" s="633" t="s">
        <v>26635</v>
      </c>
      <c r="C1111" s="715" t="s">
        <v>103</v>
      </c>
      <c r="D1111" s="716">
        <v>324.48</v>
      </c>
    </row>
    <row r="1112" spans="1:4" ht="56">
      <c r="A1112" s="715">
        <v>98104</v>
      </c>
      <c r="B1112" s="633" t="s">
        <v>26632</v>
      </c>
      <c r="C1112" s="715" t="s">
        <v>103</v>
      </c>
      <c r="D1112" s="716">
        <v>425.47</v>
      </c>
    </row>
    <row r="1113" spans="1:4" ht="42">
      <c r="A1113" s="715">
        <v>98102</v>
      </c>
      <c r="B1113" s="633" t="s">
        <v>26631</v>
      </c>
      <c r="C1113" s="715" t="s">
        <v>103</v>
      </c>
      <c r="D1113" s="716">
        <v>204.96</v>
      </c>
    </row>
    <row r="1114" spans="1:4" ht="42">
      <c r="A1114" s="715">
        <v>98111</v>
      </c>
      <c r="B1114" s="633" t="s">
        <v>26728</v>
      </c>
      <c r="C1114" s="715" t="s">
        <v>103</v>
      </c>
      <c r="D1114" s="716">
        <v>58.18</v>
      </c>
    </row>
    <row r="1115" spans="1:4" ht="56">
      <c r="A1115" s="715">
        <v>97891</v>
      </c>
      <c r="B1115" s="633" t="s">
        <v>25759</v>
      </c>
      <c r="C1115" s="715" t="s">
        <v>103</v>
      </c>
      <c r="D1115" s="716">
        <v>239.94</v>
      </c>
    </row>
    <row r="1116" spans="1:4" ht="56">
      <c r="A1116" s="715">
        <v>97892</v>
      </c>
      <c r="B1116" s="633" t="s">
        <v>25760</v>
      </c>
      <c r="C1116" s="715" t="s">
        <v>103</v>
      </c>
      <c r="D1116" s="716">
        <v>447.69</v>
      </c>
    </row>
    <row r="1117" spans="1:4" ht="56">
      <c r="A1117" s="715">
        <v>97893</v>
      </c>
      <c r="B1117" s="633" t="s">
        <v>25761</v>
      </c>
      <c r="C1117" s="715" t="s">
        <v>103</v>
      </c>
      <c r="D1117" s="716">
        <v>617.76</v>
      </c>
    </row>
    <row r="1118" spans="1:4" ht="42">
      <c r="A1118" s="715">
        <v>97894</v>
      </c>
      <c r="B1118" s="633" t="s">
        <v>25762</v>
      </c>
      <c r="C1118" s="715" t="s">
        <v>103</v>
      </c>
      <c r="D1118" s="716">
        <v>679.53</v>
      </c>
    </row>
    <row r="1119" spans="1:4" ht="56">
      <c r="A1119" s="715">
        <v>97886</v>
      </c>
      <c r="B1119" s="633" t="s">
        <v>25754</v>
      </c>
      <c r="C1119" s="715" t="s">
        <v>103</v>
      </c>
      <c r="D1119" s="716">
        <v>192.28</v>
      </c>
    </row>
    <row r="1120" spans="1:4" ht="56">
      <c r="A1120" s="715">
        <v>97887</v>
      </c>
      <c r="B1120" s="633" t="s">
        <v>25755</v>
      </c>
      <c r="C1120" s="715" t="s">
        <v>103</v>
      </c>
      <c r="D1120" s="716">
        <v>303.02</v>
      </c>
    </row>
    <row r="1121" spans="1:4" ht="56">
      <c r="A1121" s="715">
        <v>97888</v>
      </c>
      <c r="B1121" s="633" t="s">
        <v>25756</v>
      </c>
      <c r="C1121" s="715" t="s">
        <v>103</v>
      </c>
      <c r="D1121" s="716">
        <v>581.07000000000005</v>
      </c>
    </row>
    <row r="1122" spans="1:4" ht="56">
      <c r="A1122" s="715">
        <v>97889</v>
      </c>
      <c r="B1122" s="633" t="s">
        <v>25757</v>
      </c>
      <c r="C1122" s="715" t="s">
        <v>103</v>
      </c>
      <c r="D1122" s="716">
        <v>787.86</v>
      </c>
    </row>
    <row r="1123" spans="1:4" ht="56">
      <c r="A1123" s="715">
        <v>97890</v>
      </c>
      <c r="B1123" s="633" t="s">
        <v>25758</v>
      </c>
      <c r="C1123" s="715" t="s">
        <v>103</v>
      </c>
      <c r="D1123" s="716">
        <v>885.65</v>
      </c>
    </row>
    <row r="1124" spans="1:4" ht="42">
      <c r="A1124" s="715">
        <v>97881</v>
      </c>
      <c r="B1124" s="633" t="s">
        <v>25749</v>
      </c>
      <c r="C1124" s="715" t="s">
        <v>103</v>
      </c>
      <c r="D1124" s="716">
        <v>156.69</v>
      </c>
    </row>
    <row r="1125" spans="1:4" ht="42">
      <c r="A1125" s="715">
        <v>97882</v>
      </c>
      <c r="B1125" s="633" t="s">
        <v>25750</v>
      </c>
      <c r="C1125" s="715" t="s">
        <v>103</v>
      </c>
      <c r="D1125" s="716">
        <v>248.44</v>
      </c>
    </row>
    <row r="1126" spans="1:4" ht="42">
      <c r="A1126" s="715">
        <v>97883</v>
      </c>
      <c r="B1126" s="633" t="s">
        <v>25751</v>
      </c>
      <c r="C1126" s="715" t="s">
        <v>103</v>
      </c>
      <c r="D1126" s="716">
        <v>478.66</v>
      </c>
    </row>
    <row r="1127" spans="1:4" ht="42">
      <c r="A1127" s="715">
        <v>97884</v>
      </c>
      <c r="B1127" s="633" t="s">
        <v>25752</v>
      </c>
      <c r="C1127" s="715" t="s">
        <v>103</v>
      </c>
      <c r="D1127" s="716">
        <v>940.94</v>
      </c>
    </row>
    <row r="1128" spans="1:4" ht="42">
      <c r="A1128" s="715">
        <v>97885</v>
      </c>
      <c r="B1128" s="633" t="s">
        <v>25753</v>
      </c>
      <c r="C1128" s="715" t="s">
        <v>103</v>
      </c>
      <c r="D1128" s="716">
        <v>1458.5</v>
      </c>
    </row>
    <row r="1129" spans="1:4" ht="56">
      <c r="A1129" s="715">
        <v>99250</v>
      </c>
      <c r="B1129" s="633" t="s">
        <v>26637</v>
      </c>
      <c r="C1129" s="715" t="s">
        <v>103</v>
      </c>
      <c r="D1129" s="716">
        <v>211.62</v>
      </c>
    </row>
    <row r="1130" spans="1:4" ht="56">
      <c r="A1130" s="715">
        <v>97900</v>
      </c>
      <c r="B1130" s="633" t="s">
        <v>26622</v>
      </c>
      <c r="C1130" s="715" t="s">
        <v>103</v>
      </c>
      <c r="D1130" s="716">
        <v>216.18</v>
      </c>
    </row>
    <row r="1131" spans="1:4" ht="56">
      <c r="A1131" s="715">
        <v>99251</v>
      </c>
      <c r="B1131" s="633" t="s">
        <v>26638</v>
      </c>
      <c r="C1131" s="715" t="s">
        <v>103</v>
      </c>
      <c r="D1131" s="716">
        <v>331.33</v>
      </c>
    </row>
    <row r="1132" spans="1:4" ht="56">
      <c r="A1132" s="715">
        <v>97901</v>
      </c>
      <c r="B1132" s="633" t="s">
        <v>26623</v>
      </c>
      <c r="C1132" s="715" t="s">
        <v>103</v>
      </c>
      <c r="D1132" s="716">
        <v>339.17</v>
      </c>
    </row>
    <row r="1133" spans="1:4" ht="56">
      <c r="A1133" s="715">
        <v>99253</v>
      </c>
      <c r="B1133" s="633" t="s">
        <v>26639</v>
      </c>
      <c r="C1133" s="715" t="s">
        <v>103</v>
      </c>
      <c r="D1133" s="716">
        <v>636.29</v>
      </c>
    </row>
    <row r="1134" spans="1:4" ht="56">
      <c r="A1134" s="715">
        <v>97902</v>
      </c>
      <c r="B1134" s="633" t="s">
        <v>26624</v>
      </c>
      <c r="C1134" s="715" t="s">
        <v>103</v>
      </c>
      <c r="D1134" s="716">
        <v>653.89</v>
      </c>
    </row>
    <row r="1135" spans="1:4" ht="56">
      <c r="A1135" s="715">
        <v>99255</v>
      </c>
      <c r="B1135" s="633" t="s">
        <v>26640</v>
      </c>
      <c r="C1135" s="715" t="s">
        <v>103</v>
      </c>
      <c r="D1135" s="716">
        <v>885.68</v>
      </c>
    </row>
    <row r="1136" spans="1:4" ht="56">
      <c r="A1136" s="715">
        <v>97903</v>
      </c>
      <c r="B1136" s="633" t="s">
        <v>26625</v>
      </c>
      <c r="C1136" s="715" t="s">
        <v>103</v>
      </c>
      <c r="D1136" s="716">
        <v>909.81</v>
      </c>
    </row>
    <row r="1137" spans="1:4" ht="56">
      <c r="A1137" s="715">
        <v>99257</v>
      </c>
      <c r="B1137" s="633" t="s">
        <v>26641</v>
      </c>
      <c r="C1137" s="715" t="s">
        <v>103</v>
      </c>
      <c r="D1137" s="716">
        <v>1022.96</v>
      </c>
    </row>
    <row r="1138" spans="1:4" ht="56">
      <c r="A1138" s="715">
        <v>97904</v>
      </c>
      <c r="B1138" s="633" t="s">
        <v>26626</v>
      </c>
      <c r="C1138" s="715" t="s">
        <v>103</v>
      </c>
      <c r="D1138" s="716">
        <v>1054.18</v>
      </c>
    </row>
    <row r="1139" spans="1:4" ht="56">
      <c r="A1139" s="715">
        <v>99258</v>
      </c>
      <c r="B1139" s="633" t="s">
        <v>26642</v>
      </c>
      <c r="C1139" s="715" t="s">
        <v>103</v>
      </c>
      <c r="D1139" s="716">
        <v>278.66000000000003</v>
      </c>
    </row>
    <row r="1140" spans="1:4" ht="56">
      <c r="A1140" s="715">
        <v>97905</v>
      </c>
      <c r="B1140" s="633" t="s">
        <v>26627</v>
      </c>
      <c r="C1140" s="715" t="s">
        <v>103</v>
      </c>
      <c r="D1140" s="716">
        <v>283.64</v>
      </c>
    </row>
    <row r="1141" spans="1:4" ht="56">
      <c r="A1141" s="715">
        <v>99260</v>
      </c>
      <c r="B1141" s="633" t="s">
        <v>26643</v>
      </c>
      <c r="C1141" s="715" t="s">
        <v>103</v>
      </c>
      <c r="D1141" s="716">
        <v>512.30999999999995</v>
      </c>
    </row>
    <row r="1142" spans="1:4" ht="56">
      <c r="A1142" s="715">
        <v>97906</v>
      </c>
      <c r="B1142" s="633" t="s">
        <v>26628</v>
      </c>
      <c r="C1142" s="715" t="s">
        <v>103</v>
      </c>
      <c r="D1142" s="716">
        <v>523.39</v>
      </c>
    </row>
    <row r="1143" spans="1:4" ht="56">
      <c r="A1143" s="715">
        <v>99262</v>
      </c>
      <c r="B1143" s="633" t="s">
        <v>26644</v>
      </c>
      <c r="C1143" s="715" t="s">
        <v>103</v>
      </c>
      <c r="D1143" s="716">
        <v>727.47</v>
      </c>
    </row>
    <row r="1144" spans="1:4" ht="56">
      <c r="A1144" s="715">
        <v>97907</v>
      </c>
      <c r="B1144" s="633" t="s">
        <v>26629</v>
      </c>
      <c r="C1144" s="715" t="s">
        <v>103</v>
      </c>
      <c r="D1144" s="716">
        <v>743.29</v>
      </c>
    </row>
    <row r="1145" spans="1:4" ht="56">
      <c r="A1145" s="715">
        <v>99264</v>
      </c>
      <c r="B1145" s="633" t="s">
        <v>26645</v>
      </c>
      <c r="C1145" s="715" t="s">
        <v>103</v>
      </c>
      <c r="D1145" s="716">
        <v>835.76</v>
      </c>
    </row>
    <row r="1146" spans="1:4" ht="56">
      <c r="A1146" s="715">
        <v>97908</v>
      </c>
      <c r="B1146" s="633" t="s">
        <v>26630</v>
      </c>
      <c r="C1146" s="715" t="s">
        <v>103</v>
      </c>
      <c r="D1146" s="716">
        <v>857.14</v>
      </c>
    </row>
    <row r="1147" spans="1:4" ht="42">
      <c r="A1147" s="715">
        <v>97895</v>
      </c>
      <c r="B1147" s="633" t="s">
        <v>26618</v>
      </c>
      <c r="C1147" s="715" t="s">
        <v>103</v>
      </c>
      <c r="D1147" s="716">
        <v>215.45</v>
      </c>
    </row>
    <row r="1148" spans="1:4" ht="42">
      <c r="A1148" s="715">
        <v>97896</v>
      </c>
      <c r="B1148" s="633" t="s">
        <v>26619</v>
      </c>
      <c r="C1148" s="715" t="s">
        <v>103</v>
      </c>
      <c r="D1148" s="716">
        <v>399.83</v>
      </c>
    </row>
    <row r="1149" spans="1:4" ht="42">
      <c r="A1149" s="715">
        <v>97897</v>
      </c>
      <c r="B1149" s="633" t="s">
        <v>26620</v>
      </c>
      <c r="C1149" s="715" t="s">
        <v>103</v>
      </c>
      <c r="D1149" s="716">
        <v>518.9</v>
      </c>
    </row>
    <row r="1150" spans="1:4" ht="42">
      <c r="A1150" s="715">
        <v>97898</v>
      </c>
      <c r="B1150" s="633" t="s">
        <v>26621</v>
      </c>
      <c r="C1150" s="715" t="s">
        <v>103</v>
      </c>
      <c r="D1150" s="716">
        <v>998.68</v>
      </c>
    </row>
    <row r="1151" spans="1:4" ht="42">
      <c r="A1151" s="715">
        <v>97899</v>
      </c>
      <c r="B1151" s="633" t="s">
        <v>33161</v>
      </c>
      <c r="C1151" s="715" t="s">
        <v>103</v>
      </c>
      <c r="D1151" s="716">
        <v>0</v>
      </c>
    </row>
    <row r="1152" spans="1:4" ht="56">
      <c r="A1152" s="715">
        <v>101795</v>
      </c>
      <c r="B1152" s="633" t="s">
        <v>25867</v>
      </c>
      <c r="C1152" s="715" t="s">
        <v>103</v>
      </c>
      <c r="D1152" s="716">
        <v>667.22</v>
      </c>
    </row>
    <row r="1153" spans="1:4" ht="56">
      <c r="A1153" s="715">
        <v>101796</v>
      </c>
      <c r="B1153" s="633" t="s">
        <v>33162</v>
      </c>
      <c r="C1153" s="715" t="s">
        <v>103</v>
      </c>
      <c r="D1153" s="716">
        <v>0</v>
      </c>
    </row>
    <row r="1154" spans="1:4" ht="56">
      <c r="A1154" s="715">
        <v>101797</v>
      </c>
      <c r="B1154" s="633" t="s">
        <v>33163</v>
      </c>
      <c r="C1154" s="715" t="s">
        <v>103</v>
      </c>
      <c r="D1154" s="716">
        <v>0</v>
      </c>
    </row>
    <row r="1155" spans="1:4" ht="56">
      <c r="A1155" s="715">
        <v>101802</v>
      </c>
      <c r="B1155" s="633" t="s">
        <v>26803</v>
      </c>
      <c r="C1155" s="715" t="s">
        <v>103</v>
      </c>
      <c r="D1155" s="716">
        <v>1940.18</v>
      </c>
    </row>
    <row r="1156" spans="1:4" ht="56">
      <c r="A1156" s="715">
        <v>101803</v>
      </c>
      <c r="B1156" s="633" t="s">
        <v>26804</v>
      </c>
      <c r="C1156" s="715" t="s">
        <v>103</v>
      </c>
      <c r="D1156" s="716">
        <v>1253.8900000000001</v>
      </c>
    </row>
    <row r="1157" spans="1:4" ht="56">
      <c r="A1157" s="715">
        <v>101804</v>
      </c>
      <c r="B1157" s="633" t="s">
        <v>26805</v>
      </c>
      <c r="C1157" s="715" t="s">
        <v>103</v>
      </c>
      <c r="D1157" s="716">
        <v>1557.61</v>
      </c>
    </row>
    <row r="1158" spans="1:4" ht="56">
      <c r="A1158" s="715">
        <v>101805</v>
      </c>
      <c r="B1158" s="633" t="s">
        <v>26806</v>
      </c>
      <c r="C1158" s="715" t="s">
        <v>103</v>
      </c>
      <c r="D1158" s="716">
        <v>1979.17</v>
      </c>
    </row>
    <row r="1159" spans="1:4" ht="42">
      <c r="A1159" s="715">
        <v>98115</v>
      </c>
      <c r="B1159" s="633" t="s">
        <v>26731</v>
      </c>
      <c r="C1159" s="715" t="s">
        <v>103</v>
      </c>
      <c r="D1159" s="716">
        <v>114.77</v>
      </c>
    </row>
    <row r="1160" spans="1:4" ht="42">
      <c r="A1160" s="715">
        <v>98114</v>
      </c>
      <c r="B1160" s="633" t="s">
        <v>26730</v>
      </c>
      <c r="C1160" s="715" t="s">
        <v>103</v>
      </c>
      <c r="D1160" s="716">
        <v>618.73</v>
      </c>
    </row>
    <row r="1161" spans="1:4" ht="28">
      <c r="A1161" s="715">
        <v>98112</v>
      </c>
      <c r="B1161" s="633" t="s">
        <v>26729</v>
      </c>
      <c r="C1161" s="715" t="s">
        <v>103</v>
      </c>
      <c r="D1161" s="716">
        <v>116.66</v>
      </c>
    </row>
    <row r="1162" spans="1:4" ht="28">
      <c r="A1162" s="715">
        <v>100128</v>
      </c>
      <c r="B1162" s="633" t="s">
        <v>26802</v>
      </c>
      <c r="C1162" s="715" t="s">
        <v>103</v>
      </c>
      <c r="D1162" s="716">
        <v>1882.09</v>
      </c>
    </row>
    <row r="1163" spans="1:4" ht="42">
      <c r="A1163" s="715">
        <v>102623</v>
      </c>
      <c r="B1163" s="633" t="s">
        <v>26682</v>
      </c>
      <c r="C1163" s="715" t="s">
        <v>103</v>
      </c>
      <c r="D1163" s="716">
        <v>903.91</v>
      </c>
    </row>
    <row r="1164" spans="1:4" ht="28">
      <c r="A1164" s="715">
        <v>102607</v>
      </c>
      <c r="B1164" s="633" t="s">
        <v>26666</v>
      </c>
      <c r="C1164" s="715" t="s">
        <v>103</v>
      </c>
      <c r="D1164" s="716">
        <v>465.48</v>
      </c>
    </row>
    <row r="1165" spans="1:4" ht="28">
      <c r="A1165" s="715">
        <v>102608</v>
      </c>
      <c r="B1165" s="633" t="s">
        <v>26667</v>
      </c>
      <c r="C1165" s="715" t="s">
        <v>103</v>
      </c>
      <c r="D1165" s="716">
        <v>1063.6300000000001</v>
      </c>
    </row>
    <row r="1166" spans="1:4" ht="28">
      <c r="A1166" s="715">
        <v>102609</v>
      </c>
      <c r="B1166" s="633" t="s">
        <v>26668</v>
      </c>
      <c r="C1166" s="715" t="s">
        <v>103</v>
      </c>
      <c r="D1166" s="716">
        <v>1209.51</v>
      </c>
    </row>
    <row r="1167" spans="1:4" ht="28">
      <c r="A1167" s="715">
        <v>102610</v>
      </c>
      <c r="B1167" s="633" t="s">
        <v>26669</v>
      </c>
      <c r="C1167" s="715" t="s">
        <v>103</v>
      </c>
      <c r="D1167" s="716">
        <v>2075.91</v>
      </c>
    </row>
    <row r="1168" spans="1:4" ht="42">
      <c r="A1168" s="715">
        <v>102622</v>
      </c>
      <c r="B1168" s="633" t="s">
        <v>26681</v>
      </c>
      <c r="C1168" s="715" t="s">
        <v>103</v>
      </c>
      <c r="D1168" s="716">
        <v>663.4</v>
      </c>
    </row>
    <row r="1169" spans="1:4" ht="28">
      <c r="A1169" s="715">
        <v>102605</v>
      </c>
      <c r="B1169" s="633" t="s">
        <v>26664</v>
      </c>
      <c r="C1169" s="715" t="s">
        <v>103</v>
      </c>
      <c r="D1169" s="716">
        <v>282.5</v>
      </c>
    </row>
    <row r="1170" spans="1:4" ht="28">
      <c r="A1170" s="715">
        <v>102606</v>
      </c>
      <c r="B1170" s="633" t="s">
        <v>26665</v>
      </c>
      <c r="C1170" s="715" t="s">
        <v>103</v>
      </c>
      <c r="D1170" s="716">
        <v>434.58</v>
      </c>
    </row>
    <row r="1171" spans="1:4" ht="42">
      <c r="A1171" s="715">
        <v>102613</v>
      </c>
      <c r="B1171" s="633" t="s">
        <v>26672</v>
      </c>
      <c r="C1171" s="715" t="s">
        <v>103</v>
      </c>
      <c r="D1171" s="716">
        <v>651.17999999999995</v>
      </c>
    </row>
    <row r="1172" spans="1:4" ht="42">
      <c r="A1172" s="715">
        <v>102619</v>
      </c>
      <c r="B1172" s="633" t="s">
        <v>26678</v>
      </c>
      <c r="C1172" s="715" t="s">
        <v>103</v>
      </c>
      <c r="D1172" s="716">
        <v>5568.35</v>
      </c>
    </row>
    <row r="1173" spans="1:4" ht="42">
      <c r="A1173" s="715">
        <v>102614</v>
      </c>
      <c r="B1173" s="633" t="s">
        <v>26673</v>
      </c>
      <c r="C1173" s="715" t="s">
        <v>103</v>
      </c>
      <c r="D1173" s="716">
        <v>1000.39</v>
      </c>
    </row>
    <row r="1174" spans="1:4" ht="42">
      <c r="A1174" s="715">
        <v>102620</v>
      </c>
      <c r="B1174" s="633" t="s">
        <v>26679</v>
      </c>
      <c r="C1174" s="715" t="s">
        <v>103</v>
      </c>
      <c r="D1174" s="716">
        <v>8067.69</v>
      </c>
    </row>
    <row r="1175" spans="1:4" ht="42">
      <c r="A1175" s="715">
        <v>102615</v>
      </c>
      <c r="B1175" s="633" t="s">
        <v>26674</v>
      </c>
      <c r="C1175" s="715" t="s">
        <v>103</v>
      </c>
      <c r="D1175" s="716">
        <v>1255.47</v>
      </c>
    </row>
    <row r="1176" spans="1:4" ht="42">
      <c r="A1176" s="715">
        <v>102621</v>
      </c>
      <c r="B1176" s="633" t="s">
        <v>26680</v>
      </c>
      <c r="C1176" s="715" t="s">
        <v>103</v>
      </c>
      <c r="D1176" s="716">
        <v>12374.71</v>
      </c>
    </row>
    <row r="1177" spans="1:4" ht="42">
      <c r="A1177" s="715">
        <v>102616</v>
      </c>
      <c r="B1177" s="633" t="s">
        <v>26675</v>
      </c>
      <c r="C1177" s="715" t="s">
        <v>103</v>
      </c>
      <c r="D1177" s="716">
        <v>1857.55</v>
      </c>
    </row>
    <row r="1178" spans="1:4" ht="42">
      <c r="A1178" s="715">
        <v>102611</v>
      </c>
      <c r="B1178" s="633" t="s">
        <v>26670</v>
      </c>
      <c r="C1178" s="715" t="s">
        <v>103</v>
      </c>
      <c r="D1178" s="716">
        <v>468.01</v>
      </c>
    </row>
    <row r="1179" spans="1:4" ht="42">
      <c r="A1179" s="715">
        <v>102617</v>
      </c>
      <c r="B1179" s="633" t="s">
        <v>26676</v>
      </c>
      <c r="C1179" s="715" t="s">
        <v>103</v>
      </c>
      <c r="D1179" s="716">
        <v>3466.49</v>
      </c>
    </row>
    <row r="1180" spans="1:4" ht="42">
      <c r="A1180" s="715">
        <v>102618</v>
      </c>
      <c r="B1180" s="633" t="s">
        <v>26677</v>
      </c>
      <c r="C1180" s="715" t="s">
        <v>103</v>
      </c>
      <c r="D1180" s="716">
        <v>4160.4399999999996</v>
      </c>
    </row>
    <row r="1181" spans="1:4" ht="42">
      <c r="A1181" s="715">
        <v>102612</v>
      </c>
      <c r="B1181" s="633" t="s">
        <v>26671</v>
      </c>
      <c r="C1181" s="715" t="s">
        <v>103</v>
      </c>
      <c r="D1181" s="716">
        <v>671.06</v>
      </c>
    </row>
    <row r="1182" spans="1:4" ht="28">
      <c r="A1182" s="715">
        <v>102603</v>
      </c>
      <c r="B1182" s="633" t="s">
        <v>26662</v>
      </c>
      <c r="C1182" s="715" t="s">
        <v>103</v>
      </c>
      <c r="D1182" s="716">
        <v>14.91</v>
      </c>
    </row>
    <row r="1183" spans="1:4" ht="28">
      <c r="A1183" s="715">
        <v>102587</v>
      </c>
      <c r="B1183" s="633" t="s">
        <v>26646</v>
      </c>
      <c r="C1183" s="715" t="s">
        <v>103</v>
      </c>
      <c r="D1183" s="716">
        <v>5.1100000000000003</v>
      </c>
    </row>
    <row r="1184" spans="1:4" ht="28">
      <c r="A1184" s="715">
        <v>102589</v>
      </c>
      <c r="B1184" s="633" t="s">
        <v>26648</v>
      </c>
      <c r="C1184" s="715" t="s">
        <v>103</v>
      </c>
      <c r="D1184" s="716">
        <v>5.68</v>
      </c>
    </row>
    <row r="1185" spans="1:4" ht="28">
      <c r="A1185" s="715">
        <v>102591</v>
      </c>
      <c r="B1185" s="633" t="s">
        <v>26650</v>
      </c>
      <c r="C1185" s="715" t="s">
        <v>103</v>
      </c>
      <c r="D1185" s="716">
        <v>6.26</v>
      </c>
    </row>
    <row r="1186" spans="1:4" ht="28">
      <c r="A1186" s="715">
        <v>102593</v>
      </c>
      <c r="B1186" s="633" t="s">
        <v>26652</v>
      </c>
      <c r="C1186" s="715" t="s">
        <v>103</v>
      </c>
      <c r="D1186" s="716">
        <v>7.06</v>
      </c>
    </row>
    <row r="1187" spans="1:4" ht="28">
      <c r="A1187" s="715">
        <v>102595</v>
      </c>
      <c r="B1187" s="633" t="s">
        <v>26654</v>
      </c>
      <c r="C1187" s="715" t="s">
        <v>103</v>
      </c>
      <c r="D1187" s="716">
        <v>7.99</v>
      </c>
    </row>
    <row r="1188" spans="1:4" ht="28">
      <c r="A1188" s="715">
        <v>102597</v>
      </c>
      <c r="B1188" s="633" t="s">
        <v>26656</v>
      </c>
      <c r="C1188" s="715" t="s">
        <v>103</v>
      </c>
      <c r="D1188" s="716">
        <v>9.14</v>
      </c>
    </row>
    <row r="1189" spans="1:4" ht="28">
      <c r="A1189" s="715">
        <v>102599</v>
      </c>
      <c r="B1189" s="633" t="s">
        <v>26658</v>
      </c>
      <c r="C1189" s="715" t="s">
        <v>103</v>
      </c>
      <c r="D1189" s="716">
        <v>10.29</v>
      </c>
    </row>
    <row r="1190" spans="1:4" ht="28">
      <c r="A1190" s="715">
        <v>102601</v>
      </c>
      <c r="B1190" s="633" t="s">
        <v>26660</v>
      </c>
      <c r="C1190" s="715" t="s">
        <v>103</v>
      </c>
      <c r="D1190" s="716">
        <v>12.02</v>
      </c>
    </row>
    <row r="1191" spans="1:4" ht="28">
      <c r="A1191" s="715">
        <v>102604</v>
      </c>
      <c r="B1191" s="633" t="s">
        <v>26663</v>
      </c>
      <c r="C1191" s="715" t="s">
        <v>103</v>
      </c>
      <c r="D1191" s="716">
        <v>17.190000000000001</v>
      </c>
    </row>
    <row r="1192" spans="1:4" ht="28">
      <c r="A1192" s="715">
        <v>102588</v>
      </c>
      <c r="B1192" s="633" t="s">
        <v>26647</v>
      </c>
      <c r="C1192" s="715" t="s">
        <v>103</v>
      </c>
      <c r="D1192" s="716">
        <v>7.39</v>
      </c>
    </row>
    <row r="1193" spans="1:4" ht="28">
      <c r="A1193" s="715">
        <v>102590</v>
      </c>
      <c r="B1193" s="633" t="s">
        <v>26649</v>
      </c>
      <c r="C1193" s="715" t="s">
        <v>103</v>
      </c>
      <c r="D1193" s="716">
        <v>7.97</v>
      </c>
    </row>
    <row r="1194" spans="1:4" ht="28">
      <c r="A1194" s="715">
        <v>102592</v>
      </c>
      <c r="B1194" s="633" t="s">
        <v>26651</v>
      </c>
      <c r="C1194" s="715" t="s">
        <v>103</v>
      </c>
      <c r="D1194" s="716">
        <v>8.5399999999999991</v>
      </c>
    </row>
    <row r="1195" spans="1:4" ht="28">
      <c r="A1195" s="715">
        <v>102594</v>
      </c>
      <c r="B1195" s="633" t="s">
        <v>26653</v>
      </c>
      <c r="C1195" s="715" t="s">
        <v>103</v>
      </c>
      <c r="D1195" s="716">
        <v>9.36</v>
      </c>
    </row>
    <row r="1196" spans="1:4" ht="28">
      <c r="A1196" s="715">
        <v>102596</v>
      </c>
      <c r="B1196" s="633" t="s">
        <v>26655</v>
      </c>
      <c r="C1196" s="715" t="s">
        <v>103</v>
      </c>
      <c r="D1196" s="716">
        <v>10.27</v>
      </c>
    </row>
    <row r="1197" spans="1:4" ht="28">
      <c r="A1197" s="715">
        <v>102598</v>
      </c>
      <c r="B1197" s="633" t="s">
        <v>26657</v>
      </c>
      <c r="C1197" s="715" t="s">
        <v>103</v>
      </c>
      <c r="D1197" s="716">
        <v>11.43</v>
      </c>
    </row>
    <row r="1198" spans="1:4" ht="28">
      <c r="A1198" s="715">
        <v>102600</v>
      </c>
      <c r="B1198" s="633" t="s">
        <v>26659</v>
      </c>
      <c r="C1198" s="715" t="s">
        <v>103</v>
      </c>
      <c r="D1198" s="716">
        <v>12.58</v>
      </c>
    </row>
    <row r="1199" spans="1:4" ht="28">
      <c r="A1199" s="715">
        <v>102602</v>
      </c>
      <c r="B1199" s="633" t="s">
        <v>26661</v>
      </c>
      <c r="C1199" s="715" t="s">
        <v>103</v>
      </c>
      <c r="D1199" s="716">
        <v>14.31</v>
      </c>
    </row>
    <row r="1200" spans="1:4" ht="42">
      <c r="A1200" s="715">
        <v>103005</v>
      </c>
      <c r="B1200" s="633" t="s">
        <v>40162</v>
      </c>
      <c r="C1200" s="715" t="s">
        <v>103</v>
      </c>
      <c r="D1200" s="716">
        <v>652.26</v>
      </c>
    </row>
    <row r="1201" spans="1:4" ht="42">
      <c r="A1201" s="715">
        <v>103006</v>
      </c>
      <c r="B1201" s="633" t="s">
        <v>40163</v>
      </c>
      <c r="C1201" s="715" t="s">
        <v>103</v>
      </c>
      <c r="D1201" s="716">
        <v>827.45</v>
      </c>
    </row>
    <row r="1202" spans="1:4" ht="42">
      <c r="A1202" s="715">
        <v>103007</v>
      </c>
      <c r="B1202" s="633" t="s">
        <v>40164</v>
      </c>
      <c r="C1202" s="715" t="s">
        <v>103</v>
      </c>
      <c r="D1202" s="716">
        <v>1091.94</v>
      </c>
    </row>
    <row r="1203" spans="1:4" ht="42">
      <c r="A1203" s="715">
        <v>103004</v>
      </c>
      <c r="B1203" s="633" t="s">
        <v>40165</v>
      </c>
      <c r="C1203" s="715" t="s">
        <v>165</v>
      </c>
      <c r="D1203" s="716">
        <v>0</v>
      </c>
    </row>
    <row r="1204" spans="1:4" ht="28">
      <c r="A1204" s="715">
        <v>102989</v>
      </c>
      <c r="B1204" s="633" t="s">
        <v>40166</v>
      </c>
      <c r="C1204" s="715" t="s">
        <v>165</v>
      </c>
      <c r="D1204" s="716">
        <v>47.34</v>
      </c>
    </row>
    <row r="1205" spans="1:4" ht="28">
      <c r="A1205" s="715">
        <v>102990</v>
      </c>
      <c r="B1205" s="633" t="s">
        <v>40167</v>
      </c>
      <c r="C1205" s="715" t="s">
        <v>165</v>
      </c>
      <c r="D1205" s="716">
        <v>59.53</v>
      </c>
    </row>
    <row r="1206" spans="1:4" ht="28">
      <c r="A1206" s="715">
        <v>102991</v>
      </c>
      <c r="B1206" s="633" t="s">
        <v>40168</v>
      </c>
      <c r="C1206" s="715" t="s">
        <v>165</v>
      </c>
      <c r="D1206" s="716">
        <v>78.37</v>
      </c>
    </row>
    <row r="1207" spans="1:4" ht="28">
      <c r="A1207" s="715">
        <v>102992</v>
      </c>
      <c r="B1207" s="633" t="s">
        <v>40169</v>
      </c>
      <c r="C1207" s="715" t="s">
        <v>165</v>
      </c>
      <c r="D1207" s="716">
        <v>114.23</v>
      </c>
    </row>
    <row r="1208" spans="1:4" ht="28">
      <c r="A1208" s="715">
        <v>102993</v>
      </c>
      <c r="B1208" s="633" t="s">
        <v>40170</v>
      </c>
      <c r="C1208" s="715" t="s">
        <v>165</v>
      </c>
      <c r="D1208" s="716">
        <v>148.57</v>
      </c>
    </row>
    <row r="1209" spans="1:4" ht="28">
      <c r="A1209" s="715">
        <v>102994</v>
      </c>
      <c r="B1209" s="633" t="s">
        <v>40171</v>
      </c>
      <c r="C1209" s="715" t="s">
        <v>165</v>
      </c>
      <c r="D1209" s="716">
        <v>277.52</v>
      </c>
    </row>
    <row r="1210" spans="1:4" ht="70">
      <c r="A1210" s="715">
        <v>106017</v>
      </c>
      <c r="B1210" s="633" t="s">
        <v>40172</v>
      </c>
      <c r="C1210" s="715" t="s">
        <v>103</v>
      </c>
      <c r="D1210" s="716">
        <v>0</v>
      </c>
    </row>
    <row r="1211" spans="1:4" ht="28">
      <c r="A1211" s="715">
        <v>105944</v>
      </c>
      <c r="B1211" s="633" t="s">
        <v>40173</v>
      </c>
      <c r="C1211" s="715" t="s">
        <v>121</v>
      </c>
      <c r="D1211" s="716">
        <v>833.25</v>
      </c>
    </row>
    <row r="1212" spans="1:4" ht="56">
      <c r="A1212" s="715">
        <v>106004</v>
      </c>
      <c r="B1212" s="633" t="s">
        <v>40174</v>
      </c>
      <c r="C1212" s="715" t="s">
        <v>165</v>
      </c>
      <c r="D1212" s="716">
        <v>191.91</v>
      </c>
    </row>
    <row r="1213" spans="1:4" ht="56">
      <c r="A1213" s="715">
        <v>106005</v>
      </c>
      <c r="B1213" s="633" t="s">
        <v>40175</v>
      </c>
      <c r="C1213" s="715" t="s">
        <v>165</v>
      </c>
      <c r="D1213" s="716">
        <v>227.04</v>
      </c>
    </row>
    <row r="1214" spans="1:4" ht="56">
      <c r="A1214" s="715">
        <v>106006</v>
      </c>
      <c r="B1214" s="633" t="s">
        <v>40176</v>
      </c>
      <c r="C1214" s="715" t="s">
        <v>165</v>
      </c>
      <c r="D1214" s="716">
        <v>270.19</v>
      </c>
    </row>
    <row r="1215" spans="1:4" ht="56">
      <c r="A1215" s="715">
        <v>106007</v>
      </c>
      <c r="B1215" s="633" t="s">
        <v>40177</v>
      </c>
      <c r="C1215" s="715" t="s">
        <v>165</v>
      </c>
      <c r="D1215" s="716">
        <v>308.02</v>
      </c>
    </row>
    <row r="1216" spans="1:4" ht="56">
      <c r="A1216" s="715">
        <v>106008</v>
      </c>
      <c r="B1216" s="633" t="s">
        <v>40178</v>
      </c>
      <c r="C1216" s="715" t="s">
        <v>165</v>
      </c>
      <c r="D1216" s="716">
        <v>345.83</v>
      </c>
    </row>
    <row r="1217" spans="1:4" ht="56">
      <c r="A1217" s="715">
        <v>106009</v>
      </c>
      <c r="B1217" s="633" t="s">
        <v>40179</v>
      </c>
      <c r="C1217" s="715" t="s">
        <v>165</v>
      </c>
      <c r="D1217" s="716">
        <v>426.81</v>
      </c>
    </row>
    <row r="1218" spans="1:4" ht="56">
      <c r="A1218" s="715">
        <v>106010</v>
      </c>
      <c r="B1218" s="633" t="s">
        <v>40180</v>
      </c>
      <c r="C1218" s="715" t="s">
        <v>165</v>
      </c>
      <c r="D1218" s="716">
        <v>499.77</v>
      </c>
    </row>
    <row r="1219" spans="1:4" ht="56">
      <c r="A1219" s="715">
        <v>106011</v>
      </c>
      <c r="B1219" s="633" t="s">
        <v>40181</v>
      </c>
      <c r="C1219" s="715" t="s">
        <v>165</v>
      </c>
      <c r="D1219" s="716">
        <v>861.14</v>
      </c>
    </row>
    <row r="1220" spans="1:4" ht="56">
      <c r="A1220" s="715">
        <v>106013</v>
      </c>
      <c r="B1220" s="633" t="s">
        <v>40182</v>
      </c>
      <c r="C1220" s="715" t="s">
        <v>165</v>
      </c>
      <c r="D1220" s="716">
        <v>1078.28</v>
      </c>
    </row>
    <row r="1221" spans="1:4" ht="56">
      <c r="A1221" s="715">
        <v>106012</v>
      </c>
      <c r="B1221" s="633" t="s">
        <v>40183</v>
      </c>
      <c r="C1221" s="715" t="s">
        <v>165</v>
      </c>
      <c r="D1221" s="716">
        <v>946.91</v>
      </c>
    </row>
    <row r="1222" spans="1:4" ht="56">
      <c r="A1222" s="715">
        <v>106014</v>
      </c>
      <c r="B1222" s="633" t="s">
        <v>40184</v>
      </c>
      <c r="C1222" s="715" t="s">
        <v>165</v>
      </c>
      <c r="D1222" s="716">
        <v>1199.07</v>
      </c>
    </row>
    <row r="1223" spans="1:4" ht="56">
      <c r="A1223" s="715">
        <v>106015</v>
      </c>
      <c r="B1223" s="633" t="s">
        <v>40185</v>
      </c>
      <c r="C1223" s="715" t="s">
        <v>165</v>
      </c>
      <c r="D1223" s="716">
        <v>1441.78</v>
      </c>
    </row>
    <row r="1224" spans="1:4" ht="56">
      <c r="A1224" s="715">
        <v>106016</v>
      </c>
      <c r="B1224" s="633" t="s">
        <v>40186</v>
      </c>
      <c r="C1224" s="715" t="s">
        <v>165</v>
      </c>
      <c r="D1224" s="716">
        <v>1698.23</v>
      </c>
    </row>
    <row r="1225" spans="1:4" ht="70">
      <c r="A1225" s="715">
        <v>106003</v>
      </c>
      <c r="B1225" s="633" t="s">
        <v>41383</v>
      </c>
      <c r="C1225" s="715" t="s">
        <v>165</v>
      </c>
      <c r="D1225" s="716">
        <v>177.77</v>
      </c>
    </row>
    <row r="1226" spans="1:4" ht="56">
      <c r="A1226" s="715">
        <v>105997</v>
      </c>
      <c r="B1226" s="633" t="s">
        <v>41384</v>
      </c>
      <c r="C1226" s="715" t="s">
        <v>165</v>
      </c>
      <c r="D1226" s="716">
        <v>97.32</v>
      </c>
    </row>
    <row r="1227" spans="1:4" ht="56">
      <c r="A1227" s="715">
        <v>105998</v>
      </c>
      <c r="B1227" s="633" t="s">
        <v>41385</v>
      </c>
      <c r="C1227" s="715" t="s">
        <v>165</v>
      </c>
      <c r="D1227" s="716">
        <v>107.84</v>
      </c>
    </row>
    <row r="1228" spans="1:4" ht="56">
      <c r="A1228" s="715">
        <v>105999</v>
      </c>
      <c r="B1228" s="633" t="s">
        <v>41386</v>
      </c>
      <c r="C1228" s="715" t="s">
        <v>165</v>
      </c>
      <c r="D1228" s="716">
        <v>122.68</v>
      </c>
    </row>
    <row r="1229" spans="1:4" ht="56">
      <c r="A1229" s="715">
        <v>106000</v>
      </c>
      <c r="B1229" s="633" t="s">
        <v>41387</v>
      </c>
      <c r="C1229" s="715" t="s">
        <v>165</v>
      </c>
      <c r="D1229" s="716">
        <v>137.55000000000001</v>
      </c>
    </row>
    <row r="1230" spans="1:4" ht="56">
      <c r="A1230" s="715">
        <v>106001</v>
      </c>
      <c r="B1230" s="633" t="s">
        <v>41388</v>
      </c>
      <c r="C1230" s="715" t="s">
        <v>165</v>
      </c>
      <c r="D1230" s="716">
        <v>148.07</v>
      </c>
    </row>
    <row r="1231" spans="1:4" ht="56">
      <c r="A1231" s="715">
        <v>106002</v>
      </c>
      <c r="B1231" s="633" t="s">
        <v>41389</v>
      </c>
      <c r="C1231" s="715" t="s">
        <v>165</v>
      </c>
      <c r="D1231" s="716">
        <v>162.91999999999999</v>
      </c>
    </row>
    <row r="1232" spans="1:4" ht="56">
      <c r="A1232" s="715">
        <v>105992</v>
      </c>
      <c r="B1232" s="633" t="s">
        <v>41390</v>
      </c>
      <c r="C1232" s="715" t="s">
        <v>165</v>
      </c>
      <c r="D1232" s="716">
        <v>108.06</v>
      </c>
    </row>
    <row r="1233" spans="1:4" ht="56">
      <c r="A1233" s="715">
        <v>105993</v>
      </c>
      <c r="B1233" s="633" t="s">
        <v>41391</v>
      </c>
      <c r="C1233" s="715" t="s">
        <v>165</v>
      </c>
      <c r="D1233" s="716">
        <v>129.65</v>
      </c>
    </row>
    <row r="1234" spans="1:4" ht="56">
      <c r="A1234" s="715">
        <v>105994</v>
      </c>
      <c r="B1234" s="633" t="s">
        <v>41392</v>
      </c>
      <c r="C1234" s="715" t="s">
        <v>165</v>
      </c>
      <c r="D1234" s="716">
        <v>158.88999999999999</v>
      </c>
    </row>
    <row r="1235" spans="1:4" ht="56">
      <c r="A1235" s="715">
        <v>105995</v>
      </c>
      <c r="B1235" s="633" t="s">
        <v>41393</v>
      </c>
      <c r="C1235" s="715" t="s">
        <v>165</v>
      </c>
      <c r="D1235" s="716">
        <v>188.23</v>
      </c>
    </row>
    <row r="1236" spans="1:4" ht="56">
      <c r="A1236" s="715">
        <v>105996</v>
      </c>
      <c r="B1236" s="633" t="s">
        <v>41394</v>
      </c>
      <c r="C1236" s="715" t="s">
        <v>165</v>
      </c>
      <c r="D1236" s="716">
        <v>203.51</v>
      </c>
    </row>
    <row r="1237" spans="1:4" ht="56">
      <c r="A1237" s="715">
        <v>105988</v>
      </c>
      <c r="B1237" s="633" t="s">
        <v>41395</v>
      </c>
      <c r="C1237" s="715" t="s">
        <v>165</v>
      </c>
      <c r="D1237" s="716">
        <v>71.16</v>
      </c>
    </row>
    <row r="1238" spans="1:4" ht="56">
      <c r="A1238" s="715">
        <v>105989</v>
      </c>
      <c r="B1238" s="633" t="s">
        <v>41396</v>
      </c>
      <c r="C1238" s="715" t="s">
        <v>165</v>
      </c>
      <c r="D1238" s="716">
        <v>78.81</v>
      </c>
    </row>
    <row r="1239" spans="1:4" ht="56">
      <c r="A1239" s="715">
        <v>105990</v>
      </c>
      <c r="B1239" s="633" t="s">
        <v>41397</v>
      </c>
      <c r="C1239" s="715" t="s">
        <v>165</v>
      </c>
      <c r="D1239" s="716">
        <v>89.6</v>
      </c>
    </row>
    <row r="1240" spans="1:4" ht="56">
      <c r="A1240" s="715">
        <v>105991</v>
      </c>
      <c r="B1240" s="633" t="s">
        <v>41398</v>
      </c>
      <c r="C1240" s="715" t="s">
        <v>165</v>
      </c>
      <c r="D1240" s="716">
        <v>100.41</v>
      </c>
    </row>
    <row r="1241" spans="1:4" ht="56">
      <c r="A1241" s="715">
        <v>105987</v>
      </c>
      <c r="B1241" s="633" t="s">
        <v>41399</v>
      </c>
      <c r="C1241" s="715" t="s">
        <v>165</v>
      </c>
      <c r="D1241" s="716">
        <v>123.32</v>
      </c>
    </row>
    <row r="1242" spans="1:4" ht="56">
      <c r="A1242" s="715">
        <v>105986</v>
      </c>
      <c r="B1242" s="633" t="s">
        <v>41400</v>
      </c>
      <c r="C1242" s="715" t="s">
        <v>165</v>
      </c>
      <c r="D1242" s="716">
        <v>153.91</v>
      </c>
    </row>
    <row r="1243" spans="1:4" ht="28">
      <c r="A1243" s="715">
        <v>106019</v>
      </c>
      <c r="B1243" s="633" t="s">
        <v>40187</v>
      </c>
      <c r="C1243" s="715" t="s">
        <v>103</v>
      </c>
      <c r="D1243" s="716">
        <v>0</v>
      </c>
    </row>
    <row r="1244" spans="1:4" ht="56">
      <c r="A1244" s="715">
        <v>103001</v>
      </c>
      <c r="B1244" s="633" t="s">
        <v>40188</v>
      </c>
      <c r="C1244" s="715" t="s">
        <v>103</v>
      </c>
      <c r="D1244" s="716">
        <v>201.46</v>
      </c>
    </row>
    <row r="1245" spans="1:4" ht="56">
      <c r="A1245" s="715">
        <v>103002</v>
      </c>
      <c r="B1245" s="633" t="s">
        <v>40189</v>
      </c>
      <c r="C1245" s="715" t="s">
        <v>103</v>
      </c>
      <c r="D1245" s="716">
        <v>251.43</v>
      </c>
    </row>
    <row r="1246" spans="1:4" ht="56">
      <c r="A1246" s="715">
        <v>103003</v>
      </c>
      <c r="B1246" s="633" t="s">
        <v>40190</v>
      </c>
      <c r="C1246" s="715" t="s">
        <v>103</v>
      </c>
      <c r="D1246" s="716">
        <v>351.36</v>
      </c>
    </row>
    <row r="1247" spans="1:4" ht="28">
      <c r="A1247" s="715">
        <v>106018</v>
      </c>
      <c r="B1247" s="633" t="s">
        <v>40191</v>
      </c>
      <c r="C1247" s="715" t="s">
        <v>103</v>
      </c>
      <c r="D1247" s="716">
        <v>0</v>
      </c>
    </row>
    <row r="1248" spans="1:4" ht="42">
      <c r="A1248" s="715">
        <v>105945</v>
      </c>
      <c r="B1248" s="633" t="s">
        <v>40192</v>
      </c>
      <c r="C1248" s="715" t="s">
        <v>509</v>
      </c>
      <c r="D1248" s="716">
        <v>9.74</v>
      </c>
    </row>
    <row r="1249" spans="1:4" ht="42">
      <c r="A1249" s="715">
        <v>98522</v>
      </c>
      <c r="B1249" s="633" t="s">
        <v>42231</v>
      </c>
      <c r="C1249" s="715" t="s">
        <v>165</v>
      </c>
      <c r="D1249" s="716">
        <v>178.81</v>
      </c>
    </row>
    <row r="1250" spans="1:4" ht="42">
      <c r="A1250" s="715">
        <v>98523</v>
      </c>
      <c r="B1250" s="633" t="s">
        <v>42232</v>
      </c>
      <c r="C1250" s="715" t="s">
        <v>165</v>
      </c>
      <c r="D1250" s="716">
        <v>0</v>
      </c>
    </row>
    <row r="1251" spans="1:4" ht="84">
      <c r="A1251" s="715">
        <v>102364</v>
      </c>
      <c r="B1251" s="633" t="s">
        <v>42233</v>
      </c>
      <c r="C1251" s="715" t="s">
        <v>509</v>
      </c>
      <c r="D1251" s="716">
        <v>190.59</v>
      </c>
    </row>
    <row r="1252" spans="1:4" ht="84">
      <c r="A1252" s="715">
        <v>102363</v>
      </c>
      <c r="B1252" s="633" t="s">
        <v>42234</v>
      </c>
      <c r="C1252" s="715" t="s">
        <v>509</v>
      </c>
      <c r="D1252" s="716">
        <v>168.1</v>
      </c>
    </row>
    <row r="1253" spans="1:4" ht="84">
      <c r="A1253" s="715">
        <v>102362</v>
      </c>
      <c r="B1253" s="633" t="s">
        <v>42235</v>
      </c>
      <c r="C1253" s="715" t="s">
        <v>509</v>
      </c>
      <c r="D1253" s="716">
        <v>155.36000000000001</v>
      </c>
    </row>
    <row r="1254" spans="1:4" ht="70">
      <c r="A1254" s="715">
        <v>101196</v>
      </c>
      <c r="B1254" s="633" t="s">
        <v>42236</v>
      </c>
      <c r="C1254" s="715" t="s">
        <v>165</v>
      </c>
      <c r="D1254" s="716">
        <v>0</v>
      </c>
    </row>
    <row r="1255" spans="1:4" ht="70">
      <c r="A1255" s="715">
        <v>101195</v>
      </c>
      <c r="B1255" s="633" t="s">
        <v>42237</v>
      </c>
      <c r="C1255" s="715" t="s">
        <v>165</v>
      </c>
      <c r="D1255" s="716">
        <v>0</v>
      </c>
    </row>
    <row r="1256" spans="1:4" ht="56">
      <c r="A1256" s="715">
        <v>101193</v>
      </c>
      <c r="B1256" s="633" t="s">
        <v>42238</v>
      </c>
      <c r="C1256" s="715" t="s">
        <v>165</v>
      </c>
      <c r="D1256" s="716">
        <v>55.91</v>
      </c>
    </row>
    <row r="1257" spans="1:4" ht="56">
      <c r="A1257" s="715">
        <v>106459</v>
      </c>
      <c r="B1257" s="633" t="s">
        <v>42239</v>
      </c>
      <c r="C1257" s="715" t="s">
        <v>165</v>
      </c>
      <c r="D1257" s="716">
        <v>56.06</v>
      </c>
    </row>
    <row r="1258" spans="1:4" ht="56">
      <c r="A1258" s="715">
        <v>101194</v>
      </c>
      <c r="B1258" s="633" t="s">
        <v>42240</v>
      </c>
      <c r="C1258" s="715" t="s">
        <v>165</v>
      </c>
      <c r="D1258" s="716">
        <v>56.24</v>
      </c>
    </row>
    <row r="1259" spans="1:4" ht="56">
      <c r="A1259" s="715">
        <v>101190</v>
      </c>
      <c r="B1259" s="633" t="s">
        <v>42241</v>
      </c>
      <c r="C1259" s="715" t="s">
        <v>165</v>
      </c>
      <c r="D1259" s="716">
        <v>60.92</v>
      </c>
    </row>
    <row r="1260" spans="1:4" ht="56">
      <c r="A1260" s="715">
        <v>106458</v>
      </c>
      <c r="B1260" s="633" t="s">
        <v>42242</v>
      </c>
      <c r="C1260" s="715" t="s">
        <v>165</v>
      </c>
      <c r="D1260" s="716">
        <v>61.07</v>
      </c>
    </row>
    <row r="1261" spans="1:4" ht="56">
      <c r="A1261" s="715">
        <v>101191</v>
      </c>
      <c r="B1261" s="633" t="s">
        <v>42243</v>
      </c>
      <c r="C1261" s="715" t="s">
        <v>165</v>
      </c>
      <c r="D1261" s="716">
        <v>61.25</v>
      </c>
    </row>
    <row r="1262" spans="1:4" ht="70">
      <c r="A1262" s="715">
        <v>101198</v>
      </c>
      <c r="B1262" s="633" t="s">
        <v>42244</v>
      </c>
      <c r="C1262" s="715" t="s">
        <v>165</v>
      </c>
      <c r="D1262" s="716">
        <v>89.43</v>
      </c>
    </row>
    <row r="1263" spans="1:4" ht="56">
      <c r="A1263" s="715">
        <v>106460</v>
      </c>
      <c r="B1263" s="633" t="s">
        <v>42245</v>
      </c>
      <c r="C1263" s="715" t="s">
        <v>165</v>
      </c>
      <c r="D1263" s="716">
        <v>89.82</v>
      </c>
    </row>
    <row r="1264" spans="1:4" ht="56">
      <c r="A1264" s="715">
        <v>101199</v>
      </c>
      <c r="B1264" s="633" t="s">
        <v>42246</v>
      </c>
      <c r="C1264" s="715" t="s">
        <v>165</v>
      </c>
      <c r="D1264" s="716">
        <v>90.25</v>
      </c>
    </row>
    <row r="1265" spans="1:4" ht="70">
      <c r="A1265" s="715">
        <v>101203</v>
      </c>
      <c r="B1265" s="633" t="s">
        <v>42247</v>
      </c>
      <c r="C1265" s="715" t="s">
        <v>165</v>
      </c>
      <c r="D1265" s="716">
        <v>41.02</v>
      </c>
    </row>
    <row r="1266" spans="1:4" ht="70">
      <c r="A1266" s="715">
        <v>101204</v>
      </c>
      <c r="B1266" s="633" t="s">
        <v>42248</v>
      </c>
      <c r="C1266" s="715" t="s">
        <v>165</v>
      </c>
      <c r="D1266" s="716">
        <v>41.35</v>
      </c>
    </row>
    <row r="1267" spans="1:4" ht="70">
      <c r="A1267" s="715">
        <v>106257</v>
      </c>
      <c r="B1267" s="633" t="s">
        <v>42249</v>
      </c>
      <c r="C1267" s="715" t="s">
        <v>165</v>
      </c>
      <c r="D1267" s="716">
        <v>41.2</v>
      </c>
    </row>
    <row r="1268" spans="1:4" ht="70">
      <c r="A1268" s="715">
        <v>106461</v>
      </c>
      <c r="B1268" s="633" t="s">
        <v>42250</v>
      </c>
      <c r="C1268" s="715" t="s">
        <v>165</v>
      </c>
      <c r="D1268" s="716">
        <v>60.26</v>
      </c>
    </row>
    <row r="1269" spans="1:4" ht="70">
      <c r="A1269" s="715">
        <v>106462</v>
      </c>
      <c r="B1269" s="633" t="s">
        <v>42251</v>
      </c>
      <c r="C1269" s="715" t="s">
        <v>165</v>
      </c>
      <c r="D1269" s="716">
        <v>74.27</v>
      </c>
    </row>
    <row r="1270" spans="1:4" ht="56">
      <c r="A1270" s="715">
        <v>106479</v>
      </c>
      <c r="B1270" s="633" t="s">
        <v>42252</v>
      </c>
      <c r="C1270" s="715" t="s">
        <v>165</v>
      </c>
      <c r="D1270" s="716">
        <v>67.05</v>
      </c>
    </row>
    <row r="1271" spans="1:4" ht="42">
      <c r="A1271" s="715">
        <v>106483</v>
      </c>
      <c r="B1271" s="633" t="s">
        <v>42253</v>
      </c>
      <c r="C1271" s="715" t="s">
        <v>103</v>
      </c>
      <c r="D1271" s="716">
        <v>101.59</v>
      </c>
    </row>
    <row r="1272" spans="1:4" ht="42">
      <c r="A1272" s="715">
        <v>106484</v>
      </c>
      <c r="B1272" s="633" t="s">
        <v>42254</v>
      </c>
      <c r="C1272" s="715" t="s">
        <v>103</v>
      </c>
      <c r="D1272" s="716">
        <v>109</v>
      </c>
    </row>
    <row r="1273" spans="1:4" ht="28">
      <c r="A1273" s="715">
        <v>106480</v>
      </c>
      <c r="B1273" s="633" t="s">
        <v>42255</v>
      </c>
      <c r="C1273" s="715" t="s">
        <v>103</v>
      </c>
      <c r="D1273" s="716">
        <v>98.15</v>
      </c>
    </row>
    <row r="1274" spans="1:4" ht="28">
      <c r="A1274" s="715">
        <v>106482</v>
      </c>
      <c r="B1274" s="633" t="s">
        <v>42256</v>
      </c>
      <c r="C1274" s="715" t="s">
        <v>103</v>
      </c>
      <c r="D1274" s="716">
        <v>0</v>
      </c>
    </row>
    <row r="1275" spans="1:4" ht="28">
      <c r="A1275" s="715">
        <v>106481</v>
      </c>
      <c r="B1275" s="633" t="s">
        <v>42257</v>
      </c>
      <c r="C1275" s="715" t="s">
        <v>103</v>
      </c>
      <c r="D1275" s="716">
        <v>110.67</v>
      </c>
    </row>
    <row r="1276" spans="1:4" ht="56">
      <c r="A1276" s="715">
        <v>106467</v>
      </c>
      <c r="B1276" s="633" t="s">
        <v>42258</v>
      </c>
      <c r="C1276" s="715" t="s">
        <v>509</v>
      </c>
      <c r="D1276" s="716">
        <v>0</v>
      </c>
    </row>
    <row r="1277" spans="1:4" ht="56">
      <c r="A1277" s="715">
        <v>106465</v>
      </c>
      <c r="B1277" s="633" t="s">
        <v>42259</v>
      </c>
      <c r="C1277" s="715" t="s">
        <v>509</v>
      </c>
      <c r="D1277" s="716">
        <v>0</v>
      </c>
    </row>
    <row r="1278" spans="1:4" ht="70">
      <c r="A1278" s="715">
        <v>106469</v>
      </c>
      <c r="B1278" s="633" t="s">
        <v>42260</v>
      </c>
      <c r="C1278" s="715" t="s">
        <v>509</v>
      </c>
      <c r="D1278" s="716">
        <v>34.979999999999997</v>
      </c>
    </row>
    <row r="1279" spans="1:4" ht="56">
      <c r="A1279" s="715">
        <v>106468</v>
      </c>
      <c r="B1279" s="633" t="s">
        <v>42261</v>
      </c>
      <c r="C1279" s="715" t="s">
        <v>509</v>
      </c>
      <c r="D1279" s="716">
        <v>22.27</v>
      </c>
    </row>
    <row r="1280" spans="1:4" ht="56">
      <c r="A1280" s="715">
        <v>106466</v>
      </c>
      <c r="B1280" s="633" t="s">
        <v>42262</v>
      </c>
      <c r="C1280" s="715" t="s">
        <v>509</v>
      </c>
      <c r="D1280" s="716">
        <v>47.12</v>
      </c>
    </row>
    <row r="1281" spans="1:4" ht="56">
      <c r="A1281" s="715">
        <v>106464</v>
      </c>
      <c r="B1281" s="633" t="s">
        <v>42263</v>
      </c>
      <c r="C1281" s="715" t="s">
        <v>509</v>
      </c>
      <c r="D1281" s="716">
        <v>61.7</v>
      </c>
    </row>
    <row r="1282" spans="1:4" ht="56">
      <c r="A1282" s="715">
        <v>106476</v>
      </c>
      <c r="B1282" s="633" t="s">
        <v>42264</v>
      </c>
      <c r="C1282" s="715" t="s">
        <v>165</v>
      </c>
      <c r="D1282" s="716">
        <v>62.68</v>
      </c>
    </row>
    <row r="1283" spans="1:4" ht="56">
      <c r="A1283" s="715">
        <v>106477</v>
      </c>
      <c r="B1283" s="633" t="s">
        <v>42265</v>
      </c>
      <c r="C1283" s="715" t="s">
        <v>165</v>
      </c>
      <c r="D1283" s="716">
        <v>53.02</v>
      </c>
    </row>
    <row r="1284" spans="1:4" ht="56">
      <c r="A1284" s="715">
        <v>106478</v>
      </c>
      <c r="B1284" s="633" t="s">
        <v>42266</v>
      </c>
      <c r="C1284" s="715" t="s">
        <v>165</v>
      </c>
      <c r="D1284" s="716">
        <v>112.97</v>
      </c>
    </row>
    <row r="1285" spans="1:4" ht="56">
      <c r="A1285" s="715">
        <v>106471</v>
      </c>
      <c r="B1285" s="633" t="s">
        <v>42267</v>
      </c>
      <c r="C1285" s="715" t="s">
        <v>165</v>
      </c>
      <c r="D1285" s="716">
        <v>144.19</v>
      </c>
    </row>
    <row r="1286" spans="1:4" ht="56">
      <c r="A1286" s="715">
        <v>106470</v>
      </c>
      <c r="B1286" s="633" t="s">
        <v>42268</v>
      </c>
      <c r="C1286" s="715" t="s">
        <v>165</v>
      </c>
      <c r="D1286" s="716">
        <v>125.63</v>
      </c>
    </row>
    <row r="1287" spans="1:4" ht="56">
      <c r="A1287" s="715">
        <v>106472</v>
      </c>
      <c r="B1287" s="633" t="s">
        <v>42269</v>
      </c>
      <c r="C1287" s="715" t="s">
        <v>165</v>
      </c>
      <c r="D1287" s="716">
        <v>177.37</v>
      </c>
    </row>
    <row r="1288" spans="1:4" ht="56">
      <c r="A1288" s="715">
        <v>106475</v>
      </c>
      <c r="B1288" s="633" t="s">
        <v>42270</v>
      </c>
      <c r="C1288" s="715" t="s">
        <v>165</v>
      </c>
      <c r="D1288" s="716">
        <v>142.13999999999999</v>
      </c>
    </row>
    <row r="1289" spans="1:4" ht="56">
      <c r="A1289" s="715">
        <v>106474</v>
      </c>
      <c r="B1289" s="633" t="s">
        <v>42271</v>
      </c>
      <c r="C1289" s="715" t="s">
        <v>165</v>
      </c>
      <c r="D1289" s="716">
        <v>108.72</v>
      </c>
    </row>
    <row r="1290" spans="1:4" ht="56">
      <c r="A1290" s="715">
        <v>106473</v>
      </c>
      <c r="B1290" s="633" t="s">
        <v>42272</v>
      </c>
      <c r="C1290" s="715" t="s">
        <v>165</v>
      </c>
      <c r="D1290" s="716">
        <v>89.97</v>
      </c>
    </row>
    <row r="1291" spans="1:4" ht="56">
      <c r="A1291" s="715">
        <v>101205</v>
      </c>
      <c r="B1291" s="633" t="s">
        <v>42273</v>
      </c>
      <c r="C1291" s="715" t="s">
        <v>165</v>
      </c>
      <c r="D1291" s="716">
        <v>41.2</v>
      </c>
    </row>
    <row r="1292" spans="1:4" ht="42">
      <c r="A1292" s="715">
        <v>106463</v>
      </c>
      <c r="B1292" s="633" t="s">
        <v>42274</v>
      </c>
      <c r="C1292" s="715" t="s">
        <v>509</v>
      </c>
      <c r="D1292" s="716">
        <v>0</v>
      </c>
    </row>
    <row r="1293" spans="1:4" ht="56">
      <c r="A1293" s="715">
        <v>106457</v>
      </c>
      <c r="B1293" s="633" t="s">
        <v>42275</v>
      </c>
      <c r="C1293" s="715" t="s">
        <v>165</v>
      </c>
      <c r="D1293" s="716">
        <v>7.04</v>
      </c>
    </row>
    <row r="1294" spans="1:4" ht="56">
      <c r="A1294" s="715">
        <v>87905</v>
      </c>
      <c r="B1294" s="633" t="s">
        <v>40193</v>
      </c>
      <c r="C1294" s="715" t="s">
        <v>509</v>
      </c>
      <c r="D1294" s="716">
        <v>9.9499999999999993</v>
      </c>
    </row>
    <row r="1295" spans="1:4" ht="56">
      <c r="A1295" s="715">
        <v>87904</v>
      </c>
      <c r="B1295" s="633" t="s">
        <v>40194</v>
      </c>
      <c r="C1295" s="715" t="s">
        <v>509</v>
      </c>
      <c r="D1295" s="716">
        <v>10.64</v>
      </c>
    </row>
    <row r="1296" spans="1:4" ht="70">
      <c r="A1296" s="715">
        <v>87908</v>
      </c>
      <c r="B1296" s="633" t="s">
        <v>40195</v>
      </c>
      <c r="C1296" s="715" t="s">
        <v>509</v>
      </c>
      <c r="D1296" s="716">
        <v>7.3</v>
      </c>
    </row>
    <row r="1297" spans="1:4" ht="56">
      <c r="A1297" s="715">
        <v>87907</v>
      </c>
      <c r="B1297" s="633" t="s">
        <v>40196</v>
      </c>
      <c r="C1297" s="715" t="s">
        <v>509</v>
      </c>
      <c r="D1297" s="716">
        <v>7.99</v>
      </c>
    </row>
    <row r="1298" spans="1:4" ht="70">
      <c r="A1298" s="715">
        <v>87903</v>
      </c>
      <c r="B1298" s="633" t="s">
        <v>40197</v>
      </c>
      <c r="C1298" s="715" t="s">
        <v>509</v>
      </c>
      <c r="D1298" s="716">
        <v>13.03</v>
      </c>
    </row>
    <row r="1299" spans="1:4" ht="56">
      <c r="A1299" s="715">
        <v>87902</v>
      </c>
      <c r="B1299" s="633" t="s">
        <v>40198</v>
      </c>
      <c r="C1299" s="715" t="s">
        <v>509</v>
      </c>
      <c r="D1299" s="716">
        <v>13.56</v>
      </c>
    </row>
    <row r="1300" spans="1:4" ht="70">
      <c r="A1300" s="715">
        <v>87900</v>
      </c>
      <c r="B1300" s="633" t="s">
        <v>40199</v>
      </c>
      <c r="C1300" s="715" t="s">
        <v>509</v>
      </c>
      <c r="D1300" s="716">
        <v>9.68</v>
      </c>
    </row>
    <row r="1301" spans="1:4" ht="70">
      <c r="A1301" s="715">
        <v>87899</v>
      </c>
      <c r="B1301" s="633" t="s">
        <v>40200</v>
      </c>
      <c r="C1301" s="715" t="s">
        <v>509</v>
      </c>
      <c r="D1301" s="716">
        <v>9.91</v>
      </c>
    </row>
    <row r="1302" spans="1:4" ht="56">
      <c r="A1302" s="715">
        <v>87894</v>
      </c>
      <c r="B1302" s="633" t="s">
        <v>40201</v>
      </c>
      <c r="C1302" s="715" t="s">
        <v>509</v>
      </c>
      <c r="D1302" s="716">
        <v>8.43</v>
      </c>
    </row>
    <row r="1303" spans="1:4" ht="56">
      <c r="A1303" s="715">
        <v>87893</v>
      </c>
      <c r="B1303" s="633" t="s">
        <v>40202</v>
      </c>
      <c r="C1303" s="715" t="s">
        <v>509</v>
      </c>
      <c r="D1303" s="716">
        <v>9.1199999999999992</v>
      </c>
    </row>
    <row r="1304" spans="1:4" ht="70">
      <c r="A1304" s="715">
        <v>87897</v>
      </c>
      <c r="B1304" s="633" t="s">
        <v>40203</v>
      </c>
      <c r="C1304" s="715" t="s">
        <v>509</v>
      </c>
      <c r="D1304" s="716">
        <v>5.91</v>
      </c>
    </row>
    <row r="1305" spans="1:4" ht="56">
      <c r="A1305" s="715">
        <v>87896</v>
      </c>
      <c r="B1305" s="633" t="s">
        <v>27248</v>
      </c>
      <c r="C1305" s="715" t="s">
        <v>509</v>
      </c>
      <c r="D1305" s="716">
        <v>6.6</v>
      </c>
    </row>
    <row r="1306" spans="1:4" ht="70">
      <c r="A1306" s="715">
        <v>87892</v>
      </c>
      <c r="B1306" s="633" t="s">
        <v>40204</v>
      </c>
      <c r="C1306" s="715" t="s">
        <v>509</v>
      </c>
      <c r="D1306" s="716">
        <v>12.07</v>
      </c>
    </row>
    <row r="1307" spans="1:4" ht="56">
      <c r="A1307" s="715">
        <v>87891</v>
      </c>
      <c r="B1307" s="633" t="s">
        <v>27247</v>
      </c>
      <c r="C1307" s="715" t="s">
        <v>509</v>
      </c>
      <c r="D1307" s="716">
        <v>12.6</v>
      </c>
    </row>
    <row r="1308" spans="1:4" ht="70">
      <c r="A1308" s="715">
        <v>87889</v>
      </c>
      <c r="B1308" s="633" t="s">
        <v>40205</v>
      </c>
      <c r="C1308" s="715" t="s">
        <v>509</v>
      </c>
      <c r="D1308" s="716">
        <v>8.7200000000000006</v>
      </c>
    </row>
    <row r="1309" spans="1:4" ht="70">
      <c r="A1309" s="715">
        <v>87888</v>
      </c>
      <c r="B1309" s="633" t="s">
        <v>40206</v>
      </c>
      <c r="C1309" s="715" t="s">
        <v>509</v>
      </c>
      <c r="D1309" s="716">
        <v>8.9499999999999993</v>
      </c>
    </row>
    <row r="1310" spans="1:4" ht="56">
      <c r="A1310" s="715">
        <v>104411</v>
      </c>
      <c r="B1310" s="633" t="s">
        <v>40207</v>
      </c>
      <c r="C1310" s="715" t="s">
        <v>509</v>
      </c>
      <c r="D1310" s="716">
        <v>5.19</v>
      </c>
    </row>
    <row r="1311" spans="1:4" ht="56">
      <c r="A1311" s="715">
        <v>104410</v>
      </c>
      <c r="B1311" s="633" t="s">
        <v>40208</v>
      </c>
      <c r="C1311" s="715" t="s">
        <v>509</v>
      </c>
      <c r="D1311" s="716">
        <v>5.98</v>
      </c>
    </row>
    <row r="1312" spans="1:4" ht="56">
      <c r="A1312" s="715">
        <v>87879</v>
      </c>
      <c r="B1312" s="633" t="s">
        <v>40209</v>
      </c>
      <c r="C1312" s="715" t="s">
        <v>509</v>
      </c>
      <c r="D1312" s="716">
        <v>5.22</v>
      </c>
    </row>
    <row r="1313" spans="1:4" ht="56">
      <c r="A1313" s="715">
        <v>87878</v>
      </c>
      <c r="B1313" s="633" t="s">
        <v>40210</v>
      </c>
      <c r="C1313" s="715" t="s">
        <v>509</v>
      </c>
      <c r="D1313" s="716">
        <v>5.91</v>
      </c>
    </row>
    <row r="1314" spans="1:4" ht="56">
      <c r="A1314" s="715">
        <v>87885</v>
      </c>
      <c r="B1314" s="633" t="s">
        <v>27244</v>
      </c>
      <c r="C1314" s="715" t="s">
        <v>509</v>
      </c>
      <c r="D1314" s="716">
        <v>9.91</v>
      </c>
    </row>
    <row r="1315" spans="1:4" ht="56">
      <c r="A1315" s="715">
        <v>87884</v>
      </c>
      <c r="B1315" s="633" t="s">
        <v>27243</v>
      </c>
      <c r="C1315" s="715" t="s">
        <v>509</v>
      </c>
      <c r="D1315" s="716">
        <v>10.44</v>
      </c>
    </row>
    <row r="1316" spans="1:4" ht="70">
      <c r="A1316" s="715">
        <v>87882</v>
      </c>
      <c r="B1316" s="633" t="s">
        <v>27242</v>
      </c>
      <c r="C1316" s="715" t="s">
        <v>509</v>
      </c>
      <c r="D1316" s="716">
        <v>6.56</v>
      </c>
    </row>
    <row r="1317" spans="1:4" ht="56">
      <c r="A1317" s="715">
        <v>87881</v>
      </c>
      <c r="B1317" s="633" t="s">
        <v>27241</v>
      </c>
      <c r="C1317" s="715" t="s">
        <v>509</v>
      </c>
      <c r="D1317" s="716">
        <v>6.79</v>
      </c>
    </row>
    <row r="1318" spans="1:4" ht="56">
      <c r="A1318" s="715">
        <v>87887</v>
      </c>
      <c r="B1318" s="633" t="s">
        <v>27246</v>
      </c>
      <c r="C1318" s="715" t="s">
        <v>509</v>
      </c>
      <c r="D1318" s="716">
        <v>17.690000000000001</v>
      </c>
    </row>
    <row r="1319" spans="1:4" ht="42">
      <c r="A1319" s="715">
        <v>87886</v>
      </c>
      <c r="B1319" s="633" t="s">
        <v>27245</v>
      </c>
      <c r="C1319" s="715" t="s">
        <v>509</v>
      </c>
      <c r="D1319" s="716">
        <v>18.86</v>
      </c>
    </row>
    <row r="1320" spans="1:4" ht="56">
      <c r="A1320" s="715">
        <v>87911</v>
      </c>
      <c r="B1320" s="633" t="s">
        <v>27250</v>
      </c>
      <c r="C1320" s="715" t="s">
        <v>509</v>
      </c>
      <c r="D1320" s="716">
        <v>24.91</v>
      </c>
    </row>
    <row r="1321" spans="1:4" ht="56">
      <c r="A1321" s="715">
        <v>87910</v>
      </c>
      <c r="B1321" s="633" t="s">
        <v>27249</v>
      </c>
      <c r="C1321" s="715" t="s">
        <v>509</v>
      </c>
      <c r="D1321" s="716">
        <v>26.08</v>
      </c>
    </row>
    <row r="1322" spans="1:4" ht="42">
      <c r="A1322" s="715">
        <v>103686</v>
      </c>
      <c r="B1322" s="633" t="s">
        <v>25603</v>
      </c>
      <c r="C1322" s="715" t="s">
        <v>121</v>
      </c>
      <c r="D1322" s="716">
        <v>721.6</v>
      </c>
    </row>
    <row r="1323" spans="1:4" ht="42">
      <c r="A1323" s="715">
        <v>103685</v>
      </c>
      <c r="B1323" s="633" t="s">
        <v>25602</v>
      </c>
      <c r="C1323" s="715" t="s">
        <v>121</v>
      </c>
      <c r="D1323" s="716">
        <v>643.91999999999996</v>
      </c>
    </row>
    <row r="1324" spans="1:4" ht="42">
      <c r="A1324" s="715">
        <v>103669</v>
      </c>
      <c r="B1324" s="633" t="s">
        <v>40211</v>
      </c>
      <c r="C1324" s="715" t="s">
        <v>121</v>
      </c>
      <c r="D1324" s="716">
        <v>1021.86</v>
      </c>
    </row>
    <row r="1325" spans="1:4" ht="42">
      <c r="A1325" s="715">
        <v>103672</v>
      </c>
      <c r="B1325" s="633" t="s">
        <v>25591</v>
      </c>
      <c r="C1325" s="715" t="s">
        <v>121</v>
      </c>
      <c r="D1325" s="716">
        <v>638.34</v>
      </c>
    </row>
    <row r="1326" spans="1:4" ht="42">
      <c r="A1326" s="715">
        <v>103671</v>
      </c>
      <c r="B1326" s="633" t="s">
        <v>25590</v>
      </c>
      <c r="C1326" s="715" t="s">
        <v>121</v>
      </c>
      <c r="D1326" s="716">
        <v>681.77</v>
      </c>
    </row>
    <row r="1327" spans="1:4" ht="42">
      <c r="A1327" s="715">
        <v>103688</v>
      </c>
      <c r="B1327" s="633" t="s">
        <v>25605</v>
      </c>
      <c r="C1327" s="715" t="s">
        <v>121</v>
      </c>
      <c r="D1327" s="716">
        <v>859.13</v>
      </c>
    </row>
    <row r="1328" spans="1:4" ht="42">
      <c r="A1328" s="715">
        <v>103687</v>
      </c>
      <c r="B1328" s="633" t="s">
        <v>25604</v>
      </c>
      <c r="C1328" s="715" t="s">
        <v>121</v>
      </c>
      <c r="D1328" s="716">
        <v>1193.31</v>
      </c>
    </row>
    <row r="1329" spans="1:4" ht="42">
      <c r="A1329" s="715">
        <v>103684</v>
      </c>
      <c r="B1329" s="633" t="s">
        <v>25601</v>
      </c>
      <c r="C1329" s="715" t="s">
        <v>121</v>
      </c>
      <c r="D1329" s="716">
        <v>661.15</v>
      </c>
    </row>
    <row r="1330" spans="1:4" ht="70">
      <c r="A1330" s="715">
        <v>103681</v>
      </c>
      <c r="B1330" s="633" t="s">
        <v>25598</v>
      </c>
      <c r="C1330" s="715" t="s">
        <v>121</v>
      </c>
      <c r="D1330" s="716">
        <v>715.63</v>
      </c>
    </row>
    <row r="1331" spans="1:4" ht="70">
      <c r="A1331" s="715">
        <v>103679</v>
      </c>
      <c r="B1331" s="633" t="s">
        <v>25596</v>
      </c>
      <c r="C1331" s="715" t="s">
        <v>121</v>
      </c>
      <c r="D1331" s="716">
        <v>811.02</v>
      </c>
    </row>
    <row r="1332" spans="1:4" ht="70">
      <c r="A1332" s="715">
        <v>103677</v>
      </c>
      <c r="B1332" s="633" t="s">
        <v>40212</v>
      </c>
      <c r="C1332" s="715" t="s">
        <v>121</v>
      </c>
      <c r="D1332" s="716">
        <v>868.86</v>
      </c>
    </row>
    <row r="1333" spans="1:4" ht="56">
      <c r="A1333" s="715">
        <v>103675</v>
      </c>
      <c r="B1333" s="633" t="s">
        <v>25594</v>
      </c>
      <c r="C1333" s="715" t="s">
        <v>121</v>
      </c>
      <c r="D1333" s="716">
        <v>637.76</v>
      </c>
    </row>
    <row r="1334" spans="1:4" ht="70">
      <c r="A1334" s="715">
        <v>103680</v>
      </c>
      <c r="B1334" s="633" t="s">
        <v>25597</v>
      </c>
      <c r="C1334" s="715" t="s">
        <v>121</v>
      </c>
      <c r="D1334" s="716">
        <v>868.89</v>
      </c>
    </row>
    <row r="1335" spans="1:4" ht="70">
      <c r="A1335" s="715">
        <v>103678</v>
      </c>
      <c r="B1335" s="633" t="s">
        <v>40213</v>
      </c>
      <c r="C1335" s="715" t="s">
        <v>121</v>
      </c>
      <c r="D1335" s="716">
        <v>973.27</v>
      </c>
    </row>
    <row r="1336" spans="1:4" ht="70">
      <c r="A1336" s="715">
        <v>103676</v>
      </c>
      <c r="B1336" s="633" t="s">
        <v>25595</v>
      </c>
      <c r="C1336" s="715" t="s">
        <v>121</v>
      </c>
      <c r="D1336" s="716">
        <v>1103.76</v>
      </c>
    </row>
    <row r="1337" spans="1:4" ht="56">
      <c r="A1337" s="715">
        <v>103674</v>
      </c>
      <c r="B1337" s="633" t="s">
        <v>25593</v>
      </c>
      <c r="C1337" s="715" t="s">
        <v>121</v>
      </c>
      <c r="D1337" s="716">
        <v>664.52</v>
      </c>
    </row>
    <row r="1338" spans="1:4" ht="70">
      <c r="A1338" s="715">
        <v>103683</v>
      </c>
      <c r="B1338" s="633" t="s">
        <v>25600</v>
      </c>
      <c r="C1338" s="715" t="s">
        <v>121</v>
      </c>
      <c r="D1338" s="716">
        <v>1444.01</v>
      </c>
    </row>
    <row r="1339" spans="1:4" ht="56">
      <c r="A1339" s="715">
        <v>103682</v>
      </c>
      <c r="B1339" s="633" t="s">
        <v>25599</v>
      </c>
      <c r="C1339" s="715" t="s">
        <v>121</v>
      </c>
      <c r="D1339" s="716">
        <v>1048.28</v>
      </c>
    </row>
    <row r="1340" spans="1:4" ht="42">
      <c r="A1340" s="715">
        <v>103670</v>
      </c>
      <c r="B1340" s="633" t="s">
        <v>25589</v>
      </c>
      <c r="C1340" s="715" t="s">
        <v>121</v>
      </c>
      <c r="D1340" s="716">
        <v>405.91</v>
      </c>
    </row>
    <row r="1341" spans="1:4" ht="42">
      <c r="A1341" s="715">
        <v>103673</v>
      </c>
      <c r="B1341" s="633" t="s">
        <v>25592</v>
      </c>
      <c r="C1341" s="715" t="s">
        <v>121</v>
      </c>
      <c r="D1341" s="716">
        <v>57.84</v>
      </c>
    </row>
    <row r="1342" spans="1:4" ht="70">
      <c r="A1342" s="715">
        <v>91084</v>
      </c>
      <c r="B1342" s="633" t="s">
        <v>41401</v>
      </c>
      <c r="C1342" s="715" t="s">
        <v>509</v>
      </c>
      <c r="D1342" s="716">
        <v>263.99</v>
      </c>
    </row>
    <row r="1343" spans="1:4" ht="70">
      <c r="A1343" s="715">
        <v>91080</v>
      </c>
      <c r="B1343" s="633" t="s">
        <v>41402</v>
      </c>
      <c r="C1343" s="715" t="s">
        <v>509</v>
      </c>
      <c r="D1343" s="716">
        <v>207.1</v>
      </c>
    </row>
    <row r="1344" spans="1:4" ht="70">
      <c r="A1344" s="715">
        <v>91101</v>
      </c>
      <c r="B1344" s="633" t="s">
        <v>41403</v>
      </c>
      <c r="C1344" s="715" t="s">
        <v>509</v>
      </c>
      <c r="D1344" s="716">
        <v>244.93</v>
      </c>
    </row>
    <row r="1345" spans="1:4" ht="70">
      <c r="A1345" s="715">
        <v>91097</v>
      </c>
      <c r="B1345" s="633" t="s">
        <v>41404</v>
      </c>
      <c r="C1345" s="715" t="s">
        <v>509</v>
      </c>
      <c r="D1345" s="716">
        <v>199.89</v>
      </c>
    </row>
    <row r="1346" spans="1:4" ht="70">
      <c r="A1346" s="715">
        <v>91082</v>
      </c>
      <c r="B1346" s="633" t="s">
        <v>41405</v>
      </c>
      <c r="C1346" s="715" t="s">
        <v>509</v>
      </c>
      <c r="D1346" s="716">
        <v>235.5</v>
      </c>
    </row>
    <row r="1347" spans="1:4" ht="70">
      <c r="A1347" s="715">
        <v>91078</v>
      </c>
      <c r="B1347" s="633" t="s">
        <v>41406</v>
      </c>
      <c r="C1347" s="715" t="s">
        <v>509</v>
      </c>
      <c r="D1347" s="716">
        <v>193.59</v>
      </c>
    </row>
    <row r="1348" spans="1:4" ht="84">
      <c r="A1348" s="715">
        <v>91099</v>
      </c>
      <c r="B1348" s="633" t="s">
        <v>41407</v>
      </c>
      <c r="C1348" s="715" t="s">
        <v>509</v>
      </c>
      <c r="D1348" s="716">
        <v>222.23</v>
      </c>
    </row>
    <row r="1349" spans="1:4" ht="84">
      <c r="A1349" s="715">
        <v>91095</v>
      </c>
      <c r="B1349" s="633" t="s">
        <v>41408</v>
      </c>
      <c r="C1349" s="715" t="s">
        <v>509</v>
      </c>
      <c r="D1349" s="716">
        <v>187.98</v>
      </c>
    </row>
    <row r="1350" spans="1:4" ht="70">
      <c r="A1350" s="715">
        <v>91076</v>
      </c>
      <c r="B1350" s="633" t="s">
        <v>41409</v>
      </c>
      <c r="C1350" s="715" t="s">
        <v>509</v>
      </c>
      <c r="D1350" s="716">
        <v>356.73</v>
      </c>
    </row>
    <row r="1351" spans="1:4" ht="70">
      <c r="A1351" s="715">
        <v>91072</v>
      </c>
      <c r="B1351" s="633" t="s">
        <v>41410</v>
      </c>
      <c r="C1351" s="715" t="s">
        <v>509</v>
      </c>
      <c r="D1351" s="716">
        <v>311.74</v>
      </c>
    </row>
    <row r="1352" spans="1:4" ht="70">
      <c r="A1352" s="715">
        <v>91093</v>
      </c>
      <c r="B1352" s="633" t="s">
        <v>41411</v>
      </c>
      <c r="C1352" s="715" t="s">
        <v>509</v>
      </c>
      <c r="D1352" s="716">
        <v>370.32</v>
      </c>
    </row>
    <row r="1353" spans="1:4" ht="70">
      <c r="A1353" s="715">
        <v>91089</v>
      </c>
      <c r="B1353" s="633" t="s">
        <v>41412</v>
      </c>
      <c r="C1353" s="715" t="s">
        <v>509</v>
      </c>
      <c r="D1353" s="716">
        <v>333.53</v>
      </c>
    </row>
    <row r="1354" spans="1:4" ht="70">
      <c r="A1354" s="715">
        <v>91074</v>
      </c>
      <c r="B1354" s="633" t="s">
        <v>41413</v>
      </c>
      <c r="C1354" s="715" t="s">
        <v>509</v>
      </c>
      <c r="D1354" s="716">
        <v>227.77</v>
      </c>
    </row>
    <row r="1355" spans="1:4" ht="70">
      <c r="A1355" s="715">
        <v>91070</v>
      </c>
      <c r="B1355" s="633" t="s">
        <v>41414</v>
      </c>
      <c r="C1355" s="715" t="s">
        <v>509</v>
      </c>
      <c r="D1355" s="716">
        <v>193.84</v>
      </c>
    </row>
    <row r="1356" spans="1:4" ht="70">
      <c r="A1356" s="715">
        <v>91091</v>
      </c>
      <c r="B1356" s="633" t="s">
        <v>41415</v>
      </c>
      <c r="C1356" s="715" t="s">
        <v>509</v>
      </c>
      <c r="D1356" s="716">
        <v>242.17</v>
      </c>
    </row>
    <row r="1357" spans="1:4" ht="70">
      <c r="A1357" s="715">
        <v>91087</v>
      </c>
      <c r="B1357" s="633" t="s">
        <v>41416</v>
      </c>
      <c r="C1357" s="715" t="s">
        <v>509</v>
      </c>
      <c r="D1357" s="716">
        <v>213.87</v>
      </c>
    </row>
    <row r="1358" spans="1:4" ht="70">
      <c r="A1358" s="715">
        <v>91083</v>
      </c>
      <c r="B1358" s="633" t="s">
        <v>41417</v>
      </c>
      <c r="C1358" s="715" t="s">
        <v>509</v>
      </c>
      <c r="D1358" s="716">
        <v>328.13</v>
      </c>
    </row>
    <row r="1359" spans="1:4" ht="70">
      <c r="A1359" s="715">
        <v>91079</v>
      </c>
      <c r="B1359" s="633" t="s">
        <v>41418</v>
      </c>
      <c r="C1359" s="715" t="s">
        <v>509</v>
      </c>
      <c r="D1359" s="716">
        <v>194.56</v>
      </c>
    </row>
    <row r="1360" spans="1:4" ht="70">
      <c r="A1360" s="715">
        <v>91100</v>
      </c>
      <c r="B1360" s="633" t="s">
        <v>41419</v>
      </c>
      <c r="C1360" s="715" t="s">
        <v>509</v>
      </c>
      <c r="D1360" s="716">
        <v>272.06</v>
      </c>
    </row>
    <row r="1361" spans="1:4" ht="70">
      <c r="A1361" s="715">
        <v>91096</v>
      </c>
      <c r="B1361" s="633" t="s">
        <v>41420</v>
      </c>
      <c r="C1361" s="715" t="s">
        <v>509</v>
      </c>
      <c r="D1361" s="716">
        <v>183.71</v>
      </c>
    </row>
    <row r="1362" spans="1:4" ht="70">
      <c r="A1362" s="715">
        <v>91081</v>
      </c>
      <c r="B1362" s="633" t="s">
        <v>41421</v>
      </c>
      <c r="C1362" s="715" t="s">
        <v>509</v>
      </c>
      <c r="D1362" s="716">
        <v>258.91000000000003</v>
      </c>
    </row>
    <row r="1363" spans="1:4" ht="70">
      <c r="A1363" s="715">
        <v>91077</v>
      </c>
      <c r="B1363" s="633" t="s">
        <v>41422</v>
      </c>
      <c r="C1363" s="715" t="s">
        <v>509</v>
      </c>
      <c r="D1363" s="716">
        <v>177.39</v>
      </c>
    </row>
    <row r="1364" spans="1:4" ht="84">
      <c r="A1364" s="715">
        <v>91098</v>
      </c>
      <c r="B1364" s="633" t="s">
        <v>41423</v>
      </c>
      <c r="C1364" s="715" t="s">
        <v>509</v>
      </c>
      <c r="D1364" s="716">
        <v>227.77</v>
      </c>
    </row>
    <row r="1365" spans="1:4" ht="84">
      <c r="A1365" s="715">
        <v>91094</v>
      </c>
      <c r="B1365" s="633" t="s">
        <v>41424</v>
      </c>
      <c r="C1365" s="715" t="s">
        <v>509</v>
      </c>
      <c r="D1365" s="716">
        <v>169.47</v>
      </c>
    </row>
    <row r="1366" spans="1:4" ht="70">
      <c r="A1366" s="715">
        <v>91075</v>
      </c>
      <c r="B1366" s="633" t="s">
        <v>41425</v>
      </c>
      <c r="C1366" s="715" t="s">
        <v>509</v>
      </c>
      <c r="D1366" s="716">
        <v>390.85</v>
      </c>
    </row>
    <row r="1367" spans="1:4" ht="70">
      <c r="A1367" s="715">
        <v>91071</v>
      </c>
      <c r="B1367" s="633" t="s">
        <v>41426</v>
      </c>
      <c r="C1367" s="715" t="s">
        <v>509</v>
      </c>
      <c r="D1367" s="716">
        <v>304.01</v>
      </c>
    </row>
    <row r="1368" spans="1:4" ht="70">
      <c r="A1368" s="715">
        <v>91092</v>
      </c>
      <c r="B1368" s="633" t="s">
        <v>41427</v>
      </c>
      <c r="C1368" s="715" t="s">
        <v>509</v>
      </c>
      <c r="D1368" s="716">
        <v>385.68</v>
      </c>
    </row>
    <row r="1369" spans="1:4" ht="70">
      <c r="A1369" s="715">
        <v>91088</v>
      </c>
      <c r="B1369" s="633" t="s">
        <v>41428</v>
      </c>
      <c r="C1369" s="715" t="s">
        <v>509</v>
      </c>
      <c r="D1369" s="716">
        <v>323.38</v>
      </c>
    </row>
    <row r="1370" spans="1:4" ht="70">
      <c r="A1370" s="715">
        <v>91073</v>
      </c>
      <c r="B1370" s="633" t="s">
        <v>41429</v>
      </c>
      <c r="C1370" s="715" t="s">
        <v>509</v>
      </c>
      <c r="D1370" s="716">
        <v>241.33</v>
      </c>
    </row>
    <row r="1371" spans="1:4" ht="70">
      <c r="A1371" s="715">
        <v>91069</v>
      </c>
      <c r="B1371" s="633" t="s">
        <v>41430</v>
      </c>
      <c r="C1371" s="715" t="s">
        <v>509</v>
      </c>
      <c r="D1371" s="716">
        <v>183.88</v>
      </c>
    </row>
    <row r="1372" spans="1:4" ht="70">
      <c r="A1372" s="715">
        <v>91090</v>
      </c>
      <c r="B1372" s="633" t="s">
        <v>41431</v>
      </c>
      <c r="C1372" s="715" t="s">
        <v>509</v>
      </c>
      <c r="D1372" s="716">
        <v>245.75</v>
      </c>
    </row>
    <row r="1373" spans="1:4" ht="70">
      <c r="A1373" s="715">
        <v>91086</v>
      </c>
      <c r="B1373" s="633" t="s">
        <v>41432</v>
      </c>
      <c r="C1373" s="715" t="s">
        <v>509</v>
      </c>
      <c r="D1373" s="716">
        <v>202.38</v>
      </c>
    </row>
    <row r="1374" spans="1:4" ht="28">
      <c r="A1374" s="715">
        <v>105522</v>
      </c>
      <c r="B1374" s="633" t="s">
        <v>33164</v>
      </c>
      <c r="C1374" s="715" t="s">
        <v>509</v>
      </c>
      <c r="D1374" s="716">
        <v>0</v>
      </c>
    </row>
    <row r="1375" spans="1:4" ht="28">
      <c r="A1375" s="715">
        <v>104281</v>
      </c>
      <c r="B1375" s="633" t="s">
        <v>33165</v>
      </c>
      <c r="C1375" s="715" t="s">
        <v>103</v>
      </c>
      <c r="D1375" s="716">
        <v>0</v>
      </c>
    </row>
    <row r="1376" spans="1:4" ht="28">
      <c r="A1376" s="715">
        <v>104287</v>
      </c>
      <c r="B1376" s="633" t="s">
        <v>33166</v>
      </c>
      <c r="C1376" s="715" t="s">
        <v>103</v>
      </c>
      <c r="D1376" s="716">
        <v>0</v>
      </c>
    </row>
    <row r="1377" spans="1:4" ht="28">
      <c r="A1377" s="715">
        <v>104286</v>
      </c>
      <c r="B1377" s="633" t="s">
        <v>33167</v>
      </c>
      <c r="C1377" s="715" t="s">
        <v>103</v>
      </c>
      <c r="D1377" s="716">
        <v>0</v>
      </c>
    </row>
    <row r="1378" spans="1:4" ht="28">
      <c r="A1378" s="715">
        <v>104292</v>
      </c>
      <c r="B1378" s="633" t="s">
        <v>33168</v>
      </c>
      <c r="C1378" s="715" t="s">
        <v>103</v>
      </c>
      <c r="D1378" s="716">
        <v>0</v>
      </c>
    </row>
    <row r="1379" spans="1:4" ht="28">
      <c r="A1379" s="715">
        <v>104282</v>
      </c>
      <c r="B1379" s="633" t="s">
        <v>33169</v>
      </c>
      <c r="C1379" s="715" t="s">
        <v>103</v>
      </c>
      <c r="D1379" s="716">
        <v>0</v>
      </c>
    </row>
    <row r="1380" spans="1:4" ht="28">
      <c r="A1380" s="715">
        <v>104288</v>
      </c>
      <c r="B1380" s="633" t="s">
        <v>33170</v>
      </c>
      <c r="C1380" s="715" t="s">
        <v>103</v>
      </c>
      <c r="D1380" s="716">
        <v>0</v>
      </c>
    </row>
    <row r="1381" spans="1:4" ht="28">
      <c r="A1381" s="715">
        <v>104283</v>
      </c>
      <c r="B1381" s="633" t="s">
        <v>33171</v>
      </c>
      <c r="C1381" s="715" t="s">
        <v>103</v>
      </c>
      <c r="D1381" s="716">
        <v>0</v>
      </c>
    </row>
    <row r="1382" spans="1:4" ht="28">
      <c r="A1382" s="715">
        <v>104289</v>
      </c>
      <c r="B1382" s="633" t="s">
        <v>33172</v>
      </c>
      <c r="C1382" s="715" t="s">
        <v>103</v>
      </c>
      <c r="D1382" s="716">
        <v>0</v>
      </c>
    </row>
    <row r="1383" spans="1:4" ht="28">
      <c r="A1383" s="715">
        <v>104284</v>
      </c>
      <c r="B1383" s="633" t="s">
        <v>33173</v>
      </c>
      <c r="C1383" s="715" t="s">
        <v>103</v>
      </c>
      <c r="D1383" s="716">
        <v>0</v>
      </c>
    </row>
    <row r="1384" spans="1:4" ht="28">
      <c r="A1384" s="715">
        <v>104290</v>
      </c>
      <c r="B1384" s="633" t="s">
        <v>33174</v>
      </c>
      <c r="C1384" s="715" t="s">
        <v>103</v>
      </c>
      <c r="D1384" s="716">
        <v>0</v>
      </c>
    </row>
    <row r="1385" spans="1:4" ht="28">
      <c r="A1385" s="715">
        <v>104285</v>
      </c>
      <c r="B1385" s="633" t="s">
        <v>33175</v>
      </c>
      <c r="C1385" s="715" t="s">
        <v>103</v>
      </c>
      <c r="D1385" s="716">
        <v>0</v>
      </c>
    </row>
    <row r="1386" spans="1:4" ht="28">
      <c r="A1386" s="715">
        <v>104291</v>
      </c>
      <c r="B1386" s="633" t="s">
        <v>33176</v>
      </c>
      <c r="C1386" s="715" t="s">
        <v>103</v>
      </c>
      <c r="D1386" s="716">
        <v>0</v>
      </c>
    </row>
    <row r="1387" spans="1:4" ht="28">
      <c r="A1387" s="715">
        <v>104267</v>
      </c>
      <c r="B1387" s="633" t="s">
        <v>33177</v>
      </c>
      <c r="C1387" s="715" t="s">
        <v>103</v>
      </c>
      <c r="D1387" s="716">
        <v>0</v>
      </c>
    </row>
    <row r="1388" spans="1:4" ht="28">
      <c r="A1388" s="715">
        <v>104268</v>
      </c>
      <c r="B1388" s="633" t="s">
        <v>33178</v>
      </c>
      <c r="C1388" s="715" t="s">
        <v>103</v>
      </c>
      <c r="D1388" s="716">
        <v>0</v>
      </c>
    </row>
    <row r="1389" spans="1:4" ht="28">
      <c r="A1389" s="715">
        <v>104269</v>
      </c>
      <c r="B1389" s="633" t="s">
        <v>33179</v>
      </c>
      <c r="C1389" s="715" t="s">
        <v>103</v>
      </c>
      <c r="D1389" s="716">
        <v>0</v>
      </c>
    </row>
    <row r="1390" spans="1:4" ht="28">
      <c r="A1390" s="715">
        <v>104270</v>
      </c>
      <c r="B1390" s="633" t="s">
        <v>33180</v>
      </c>
      <c r="C1390" s="715" t="s">
        <v>103</v>
      </c>
      <c r="D1390" s="716">
        <v>0</v>
      </c>
    </row>
    <row r="1391" spans="1:4" ht="42">
      <c r="A1391" s="715">
        <v>104276</v>
      </c>
      <c r="B1391" s="633" t="s">
        <v>33181</v>
      </c>
      <c r="C1391" s="715" t="s">
        <v>103</v>
      </c>
      <c r="D1391" s="716">
        <v>0</v>
      </c>
    </row>
    <row r="1392" spans="1:4" ht="42">
      <c r="A1392" s="715">
        <v>104280</v>
      </c>
      <c r="B1392" s="633" t="s">
        <v>33182</v>
      </c>
      <c r="C1392" s="715" t="s">
        <v>103</v>
      </c>
      <c r="D1392" s="716">
        <v>0</v>
      </c>
    </row>
    <row r="1393" spans="1:4" ht="42">
      <c r="A1393" s="715">
        <v>104271</v>
      </c>
      <c r="B1393" s="633" t="s">
        <v>33183</v>
      </c>
      <c r="C1393" s="715" t="s">
        <v>103</v>
      </c>
      <c r="D1393" s="716">
        <v>0</v>
      </c>
    </row>
    <row r="1394" spans="1:4" ht="42">
      <c r="A1394" s="715">
        <v>104272</v>
      </c>
      <c r="B1394" s="633" t="s">
        <v>33184</v>
      </c>
      <c r="C1394" s="715" t="s">
        <v>103</v>
      </c>
      <c r="D1394" s="716">
        <v>0</v>
      </c>
    </row>
    <row r="1395" spans="1:4" ht="42">
      <c r="A1395" s="715">
        <v>104273</v>
      </c>
      <c r="B1395" s="633" t="s">
        <v>33185</v>
      </c>
      <c r="C1395" s="715" t="s">
        <v>103</v>
      </c>
      <c r="D1395" s="716">
        <v>0</v>
      </c>
    </row>
    <row r="1396" spans="1:4" ht="42">
      <c r="A1396" s="715">
        <v>104277</v>
      </c>
      <c r="B1396" s="633" t="s">
        <v>33186</v>
      </c>
      <c r="C1396" s="715" t="s">
        <v>103</v>
      </c>
      <c r="D1396" s="716">
        <v>0</v>
      </c>
    </row>
    <row r="1397" spans="1:4" ht="42">
      <c r="A1397" s="715">
        <v>104274</v>
      </c>
      <c r="B1397" s="633" t="s">
        <v>33187</v>
      </c>
      <c r="C1397" s="715" t="s">
        <v>103</v>
      </c>
      <c r="D1397" s="716">
        <v>0</v>
      </c>
    </row>
    <row r="1398" spans="1:4" ht="42">
      <c r="A1398" s="715">
        <v>104278</v>
      </c>
      <c r="B1398" s="633" t="s">
        <v>33188</v>
      </c>
      <c r="C1398" s="715" t="s">
        <v>103</v>
      </c>
      <c r="D1398" s="716">
        <v>0</v>
      </c>
    </row>
    <row r="1399" spans="1:4" ht="42">
      <c r="A1399" s="715">
        <v>104275</v>
      </c>
      <c r="B1399" s="633" t="s">
        <v>33189</v>
      </c>
      <c r="C1399" s="715" t="s">
        <v>103</v>
      </c>
      <c r="D1399" s="716">
        <v>0</v>
      </c>
    </row>
    <row r="1400" spans="1:4" ht="42">
      <c r="A1400" s="715">
        <v>104279</v>
      </c>
      <c r="B1400" s="633" t="s">
        <v>33190</v>
      </c>
      <c r="C1400" s="715" t="s">
        <v>103</v>
      </c>
      <c r="D1400" s="716">
        <v>0</v>
      </c>
    </row>
    <row r="1401" spans="1:4" ht="28">
      <c r="A1401" s="715">
        <v>104265</v>
      </c>
      <c r="B1401" s="633" t="s">
        <v>33191</v>
      </c>
      <c r="C1401" s="715" t="s">
        <v>103</v>
      </c>
      <c r="D1401" s="716">
        <v>0</v>
      </c>
    </row>
    <row r="1402" spans="1:4" ht="28">
      <c r="A1402" s="715">
        <v>104266</v>
      </c>
      <c r="B1402" s="633" t="s">
        <v>33192</v>
      </c>
      <c r="C1402" s="715" t="s">
        <v>103</v>
      </c>
      <c r="D1402" s="716">
        <v>0</v>
      </c>
    </row>
    <row r="1403" spans="1:4" ht="42">
      <c r="A1403" s="715">
        <v>104305</v>
      </c>
      <c r="B1403" s="633" t="s">
        <v>33193</v>
      </c>
      <c r="C1403" s="715" t="s">
        <v>165</v>
      </c>
      <c r="D1403" s="716">
        <v>0</v>
      </c>
    </row>
    <row r="1404" spans="1:4" ht="42">
      <c r="A1404" s="715">
        <v>104306</v>
      </c>
      <c r="B1404" s="633" t="s">
        <v>33194</v>
      </c>
      <c r="C1404" s="715" t="s">
        <v>165</v>
      </c>
      <c r="D1404" s="716">
        <v>0</v>
      </c>
    </row>
    <row r="1405" spans="1:4" ht="42">
      <c r="A1405" s="715">
        <v>104307</v>
      </c>
      <c r="B1405" s="633" t="s">
        <v>33195</v>
      </c>
      <c r="C1405" s="715" t="s">
        <v>165</v>
      </c>
      <c r="D1405" s="716">
        <v>0</v>
      </c>
    </row>
    <row r="1406" spans="1:4" ht="42">
      <c r="A1406" s="715">
        <v>104308</v>
      </c>
      <c r="B1406" s="633" t="s">
        <v>33196</v>
      </c>
      <c r="C1406" s="715" t="s">
        <v>165</v>
      </c>
      <c r="D1406" s="716">
        <v>0</v>
      </c>
    </row>
    <row r="1407" spans="1:4" ht="42">
      <c r="A1407" s="715">
        <v>104309</v>
      </c>
      <c r="B1407" s="633" t="s">
        <v>33197</v>
      </c>
      <c r="C1407" s="715" t="s">
        <v>165</v>
      </c>
      <c r="D1407" s="716">
        <v>0</v>
      </c>
    </row>
    <row r="1408" spans="1:4" ht="42">
      <c r="A1408" s="715">
        <v>104310</v>
      </c>
      <c r="B1408" s="633" t="s">
        <v>33198</v>
      </c>
      <c r="C1408" s="715" t="s">
        <v>165</v>
      </c>
      <c r="D1408" s="716">
        <v>0</v>
      </c>
    </row>
    <row r="1409" spans="1:4" ht="42">
      <c r="A1409" s="715">
        <v>104311</v>
      </c>
      <c r="B1409" s="633" t="s">
        <v>33199</v>
      </c>
      <c r="C1409" s="715" t="s">
        <v>165</v>
      </c>
      <c r="D1409" s="716">
        <v>0</v>
      </c>
    </row>
    <row r="1410" spans="1:4" ht="56">
      <c r="A1410" s="715">
        <v>104301</v>
      </c>
      <c r="B1410" s="633" t="s">
        <v>33200</v>
      </c>
      <c r="C1410" s="715" t="s">
        <v>207</v>
      </c>
      <c r="D1410" s="716">
        <v>0</v>
      </c>
    </row>
    <row r="1411" spans="1:4" ht="56">
      <c r="A1411" s="715">
        <v>104302</v>
      </c>
      <c r="B1411" s="633" t="s">
        <v>33201</v>
      </c>
      <c r="C1411" s="715" t="s">
        <v>207</v>
      </c>
      <c r="D1411" s="716">
        <v>0</v>
      </c>
    </row>
    <row r="1412" spans="1:4" ht="56">
      <c r="A1412" s="715">
        <v>104303</v>
      </c>
      <c r="B1412" s="633" t="s">
        <v>33202</v>
      </c>
      <c r="C1412" s="715" t="s">
        <v>207</v>
      </c>
      <c r="D1412" s="716">
        <v>0</v>
      </c>
    </row>
    <row r="1413" spans="1:4" ht="56">
      <c r="A1413" s="715">
        <v>104304</v>
      </c>
      <c r="B1413" s="633" t="s">
        <v>33203</v>
      </c>
      <c r="C1413" s="715" t="s">
        <v>207</v>
      </c>
      <c r="D1413" s="716">
        <v>0</v>
      </c>
    </row>
    <row r="1414" spans="1:4" ht="42">
      <c r="A1414" s="715">
        <v>104293</v>
      </c>
      <c r="B1414" s="633" t="s">
        <v>33204</v>
      </c>
      <c r="C1414" s="715" t="s">
        <v>207</v>
      </c>
      <c r="D1414" s="716">
        <v>0</v>
      </c>
    </row>
    <row r="1415" spans="1:4" ht="42">
      <c r="A1415" s="715">
        <v>104297</v>
      </c>
      <c r="B1415" s="633" t="s">
        <v>33205</v>
      </c>
      <c r="C1415" s="715" t="s">
        <v>207</v>
      </c>
      <c r="D1415" s="716">
        <v>0</v>
      </c>
    </row>
    <row r="1416" spans="1:4" ht="42">
      <c r="A1416" s="715">
        <v>104295</v>
      </c>
      <c r="B1416" s="633" t="s">
        <v>33206</v>
      </c>
      <c r="C1416" s="715" t="s">
        <v>207</v>
      </c>
      <c r="D1416" s="716">
        <v>0</v>
      </c>
    </row>
    <row r="1417" spans="1:4" ht="42">
      <c r="A1417" s="715">
        <v>104299</v>
      </c>
      <c r="B1417" s="633" t="s">
        <v>33207</v>
      </c>
      <c r="C1417" s="715" t="s">
        <v>207</v>
      </c>
      <c r="D1417" s="716">
        <v>0</v>
      </c>
    </row>
    <row r="1418" spans="1:4" ht="42">
      <c r="A1418" s="715">
        <v>104294</v>
      </c>
      <c r="B1418" s="633" t="s">
        <v>33208</v>
      </c>
      <c r="C1418" s="715" t="s">
        <v>207</v>
      </c>
      <c r="D1418" s="716">
        <v>0</v>
      </c>
    </row>
    <row r="1419" spans="1:4" ht="42">
      <c r="A1419" s="715">
        <v>104298</v>
      </c>
      <c r="B1419" s="633" t="s">
        <v>33209</v>
      </c>
      <c r="C1419" s="715" t="s">
        <v>207</v>
      </c>
      <c r="D1419" s="716">
        <v>0</v>
      </c>
    </row>
    <row r="1420" spans="1:4" ht="42">
      <c r="A1420" s="715">
        <v>104296</v>
      </c>
      <c r="B1420" s="633" t="s">
        <v>33210</v>
      </c>
      <c r="C1420" s="715" t="s">
        <v>207</v>
      </c>
      <c r="D1420" s="716">
        <v>0</v>
      </c>
    </row>
    <row r="1421" spans="1:4" ht="42">
      <c r="A1421" s="715">
        <v>104300</v>
      </c>
      <c r="B1421" s="633" t="s">
        <v>33211</v>
      </c>
      <c r="C1421" s="715" t="s">
        <v>207</v>
      </c>
      <c r="D1421" s="716">
        <v>0</v>
      </c>
    </row>
    <row r="1422" spans="1:4" ht="56">
      <c r="A1422" s="715">
        <v>90944</v>
      </c>
      <c r="B1422" s="633" t="s">
        <v>27235</v>
      </c>
      <c r="C1422" s="715" t="s">
        <v>509</v>
      </c>
      <c r="D1422" s="716">
        <v>205.44</v>
      </c>
    </row>
    <row r="1423" spans="1:4" ht="56">
      <c r="A1423" s="715">
        <v>90934</v>
      </c>
      <c r="B1423" s="633" t="s">
        <v>27231</v>
      </c>
      <c r="C1423" s="715" t="s">
        <v>509</v>
      </c>
      <c r="D1423" s="716">
        <v>190.35</v>
      </c>
    </row>
    <row r="1424" spans="1:4" ht="56">
      <c r="A1424" s="715">
        <v>90954</v>
      </c>
      <c r="B1424" s="633" t="s">
        <v>27239</v>
      </c>
      <c r="C1424" s="715" t="s">
        <v>509</v>
      </c>
      <c r="D1424" s="716">
        <v>233.06</v>
      </c>
    </row>
    <row r="1425" spans="1:4" ht="56">
      <c r="A1425" s="715">
        <v>90933</v>
      </c>
      <c r="B1425" s="633" t="s">
        <v>27230</v>
      </c>
      <c r="C1425" s="715" t="s">
        <v>509</v>
      </c>
      <c r="D1425" s="716">
        <v>171.95</v>
      </c>
    </row>
    <row r="1426" spans="1:4" ht="56">
      <c r="A1426" s="715">
        <v>90943</v>
      </c>
      <c r="B1426" s="633" t="s">
        <v>27234</v>
      </c>
      <c r="C1426" s="715" t="s">
        <v>509</v>
      </c>
      <c r="D1426" s="716">
        <v>185.41</v>
      </c>
    </row>
    <row r="1427" spans="1:4" ht="56">
      <c r="A1427" s="715">
        <v>90953</v>
      </c>
      <c r="B1427" s="633" t="s">
        <v>27238</v>
      </c>
      <c r="C1427" s="715" t="s">
        <v>509</v>
      </c>
      <c r="D1427" s="716">
        <v>210.02</v>
      </c>
    </row>
    <row r="1428" spans="1:4" ht="56">
      <c r="A1428" s="715">
        <v>90932</v>
      </c>
      <c r="B1428" s="633" t="s">
        <v>27229</v>
      </c>
      <c r="C1428" s="715" t="s">
        <v>509</v>
      </c>
      <c r="D1428" s="716">
        <v>96.09</v>
      </c>
    </row>
    <row r="1429" spans="1:4" ht="56">
      <c r="A1429" s="715">
        <v>90942</v>
      </c>
      <c r="B1429" s="633" t="s">
        <v>27233</v>
      </c>
      <c r="C1429" s="715" t="s">
        <v>509</v>
      </c>
      <c r="D1429" s="716">
        <v>102.8</v>
      </c>
    </row>
    <row r="1430" spans="1:4" ht="56">
      <c r="A1430" s="715">
        <v>90952</v>
      </c>
      <c r="B1430" s="633" t="s">
        <v>27237</v>
      </c>
      <c r="C1430" s="715" t="s">
        <v>509</v>
      </c>
      <c r="D1430" s="716">
        <v>115.04</v>
      </c>
    </row>
    <row r="1431" spans="1:4" ht="70">
      <c r="A1431" s="715">
        <v>90930</v>
      </c>
      <c r="B1431" s="633" t="s">
        <v>27228</v>
      </c>
      <c r="C1431" s="715" t="s">
        <v>509</v>
      </c>
      <c r="D1431" s="716">
        <v>85.88</v>
      </c>
    </row>
    <row r="1432" spans="1:4" ht="70">
      <c r="A1432" s="715">
        <v>90940</v>
      </c>
      <c r="B1432" s="633" t="s">
        <v>27232</v>
      </c>
      <c r="C1432" s="715" t="s">
        <v>509</v>
      </c>
      <c r="D1432" s="716">
        <v>91.68</v>
      </c>
    </row>
    <row r="1433" spans="1:4" ht="70">
      <c r="A1433" s="715">
        <v>90950</v>
      </c>
      <c r="B1433" s="633" t="s">
        <v>27236</v>
      </c>
      <c r="C1433" s="715" t="s">
        <v>509</v>
      </c>
      <c r="D1433" s="716">
        <v>102.26</v>
      </c>
    </row>
    <row r="1434" spans="1:4" ht="42">
      <c r="A1434" s="715">
        <v>88476</v>
      </c>
      <c r="B1434" s="633" t="s">
        <v>27225</v>
      </c>
      <c r="C1434" s="715" t="s">
        <v>509</v>
      </c>
      <c r="D1434" s="716">
        <v>21.7</v>
      </c>
    </row>
    <row r="1435" spans="1:4" ht="42">
      <c r="A1435" s="715">
        <v>88477</v>
      </c>
      <c r="B1435" s="633" t="s">
        <v>27226</v>
      </c>
      <c r="C1435" s="715" t="s">
        <v>509</v>
      </c>
      <c r="D1435" s="716">
        <v>30.31</v>
      </c>
    </row>
    <row r="1436" spans="1:4" ht="42">
      <c r="A1436" s="715">
        <v>88478</v>
      </c>
      <c r="B1436" s="633" t="s">
        <v>27227</v>
      </c>
      <c r="C1436" s="715" t="s">
        <v>509</v>
      </c>
      <c r="D1436" s="716">
        <v>37.43</v>
      </c>
    </row>
    <row r="1437" spans="1:4" ht="42">
      <c r="A1437" s="715">
        <v>88470</v>
      </c>
      <c r="B1437" s="633" t="s">
        <v>27222</v>
      </c>
      <c r="C1437" s="715" t="s">
        <v>509</v>
      </c>
      <c r="D1437" s="716">
        <v>26.43</v>
      </c>
    </row>
    <row r="1438" spans="1:4" ht="42">
      <c r="A1438" s="715">
        <v>88471</v>
      </c>
      <c r="B1438" s="633" t="s">
        <v>27223</v>
      </c>
      <c r="C1438" s="715" t="s">
        <v>509</v>
      </c>
      <c r="D1438" s="716">
        <v>33.24</v>
      </c>
    </row>
    <row r="1439" spans="1:4" ht="42">
      <c r="A1439" s="715">
        <v>88472</v>
      </c>
      <c r="B1439" s="633" t="s">
        <v>27224</v>
      </c>
      <c r="C1439" s="715" t="s">
        <v>509</v>
      </c>
      <c r="D1439" s="716">
        <v>38.630000000000003</v>
      </c>
    </row>
    <row r="1440" spans="1:4" ht="56">
      <c r="A1440" s="715">
        <v>87759</v>
      </c>
      <c r="B1440" s="633" t="s">
        <v>27217</v>
      </c>
      <c r="C1440" s="715" t="s">
        <v>509</v>
      </c>
      <c r="D1440" s="716">
        <v>131.32</v>
      </c>
    </row>
    <row r="1441" spans="1:4" ht="56">
      <c r="A1441" s="715">
        <v>87769</v>
      </c>
      <c r="B1441" s="633" t="s">
        <v>27221</v>
      </c>
      <c r="C1441" s="715" t="s">
        <v>509</v>
      </c>
      <c r="D1441" s="716">
        <v>155.87</v>
      </c>
    </row>
    <row r="1442" spans="1:4" ht="56">
      <c r="A1442" s="715">
        <v>87739</v>
      </c>
      <c r="B1442" s="633" t="s">
        <v>27209</v>
      </c>
      <c r="C1442" s="715" t="s">
        <v>509</v>
      </c>
      <c r="D1442" s="716">
        <v>103.01</v>
      </c>
    </row>
    <row r="1443" spans="1:4" ht="56">
      <c r="A1443" s="715">
        <v>87749</v>
      </c>
      <c r="B1443" s="633" t="s">
        <v>27213</v>
      </c>
      <c r="C1443" s="715" t="s">
        <v>509</v>
      </c>
      <c r="D1443" s="716">
        <v>132.91</v>
      </c>
    </row>
    <row r="1444" spans="1:4" ht="56">
      <c r="A1444" s="715">
        <v>87624</v>
      </c>
      <c r="B1444" s="633" t="s">
        <v>28526</v>
      </c>
      <c r="C1444" s="715" t="s">
        <v>509</v>
      </c>
      <c r="D1444" s="716">
        <v>86.81</v>
      </c>
    </row>
    <row r="1445" spans="1:4" ht="56">
      <c r="A1445" s="715">
        <v>87634</v>
      </c>
      <c r="B1445" s="633" t="s">
        <v>27189</v>
      </c>
      <c r="C1445" s="715" t="s">
        <v>509</v>
      </c>
      <c r="D1445" s="716">
        <v>116.69</v>
      </c>
    </row>
    <row r="1446" spans="1:4" ht="56">
      <c r="A1446" s="715">
        <v>87644</v>
      </c>
      <c r="B1446" s="633" t="s">
        <v>27193</v>
      </c>
      <c r="C1446" s="715" t="s">
        <v>509</v>
      </c>
      <c r="D1446" s="716">
        <v>141.18</v>
      </c>
    </row>
    <row r="1447" spans="1:4" ht="56">
      <c r="A1447" s="715">
        <v>87684</v>
      </c>
      <c r="B1447" s="633" t="s">
        <v>27197</v>
      </c>
      <c r="C1447" s="715" t="s">
        <v>509</v>
      </c>
      <c r="D1447" s="716">
        <v>136.6</v>
      </c>
    </row>
    <row r="1448" spans="1:4" ht="56">
      <c r="A1448" s="715">
        <v>87694</v>
      </c>
      <c r="B1448" s="633" t="s">
        <v>27201</v>
      </c>
      <c r="C1448" s="715" t="s">
        <v>509</v>
      </c>
      <c r="D1448" s="716">
        <v>156.49</v>
      </c>
    </row>
    <row r="1449" spans="1:4" ht="56">
      <c r="A1449" s="715">
        <v>87704</v>
      </c>
      <c r="B1449" s="633" t="s">
        <v>27205</v>
      </c>
      <c r="C1449" s="715" t="s">
        <v>509</v>
      </c>
      <c r="D1449" s="716">
        <v>169.83</v>
      </c>
    </row>
    <row r="1450" spans="1:4" ht="70">
      <c r="A1450" s="715">
        <v>87758</v>
      </c>
      <c r="B1450" s="633" t="s">
        <v>27216</v>
      </c>
      <c r="C1450" s="715" t="s">
        <v>509</v>
      </c>
      <c r="D1450" s="716">
        <v>118.26</v>
      </c>
    </row>
    <row r="1451" spans="1:4" ht="70">
      <c r="A1451" s="715">
        <v>87768</v>
      </c>
      <c r="B1451" s="633" t="s">
        <v>27220</v>
      </c>
      <c r="C1451" s="715" t="s">
        <v>509</v>
      </c>
      <c r="D1451" s="716">
        <v>139.81</v>
      </c>
    </row>
    <row r="1452" spans="1:4" ht="70">
      <c r="A1452" s="715">
        <v>87738</v>
      </c>
      <c r="B1452" s="633" t="s">
        <v>27208</v>
      </c>
      <c r="C1452" s="715" t="s">
        <v>509</v>
      </c>
      <c r="D1452" s="716">
        <v>93.62</v>
      </c>
    </row>
    <row r="1453" spans="1:4" ht="70">
      <c r="A1453" s="715">
        <v>87748</v>
      </c>
      <c r="B1453" s="633" t="s">
        <v>27212</v>
      </c>
      <c r="C1453" s="715" t="s">
        <v>509</v>
      </c>
      <c r="D1453" s="716">
        <v>119.85</v>
      </c>
    </row>
    <row r="1454" spans="1:4" ht="56">
      <c r="A1454" s="715">
        <v>87623</v>
      </c>
      <c r="B1454" s="633" t="s">
        <v>27185</v>
      </c>
      <c r="C1454" s="715" t="s">
        <v>509</v>
      </c>
      <c r="D1454" s="716">
        <v>77.42</v>
      </c>
    </row>
    <row r="1455" spans="1:4" ht="56">
      <c r="A1455" s="715">
        <v>87633</v>
      </c>
      <c r="B1455" s="633" t="s">
        <v>27188</v>
      </c>
      <c r="C1455" s="715" t="s">
        <v>509</v>
      </c>
      <c r="D1455" s="716">
        <v>103.63</v>
      </c>
    </row>
    <row r="1456" spans="1:4" ht="56">
      <c r="A1456" s="715">
        <v>87643</v>
      </c>
      <c r="B1456" s="633" t="s">
        <v>27192</v>
      </c>
      <c r="C1456" s="715" t="s">
        <v>509</v>
      </c>
      <c r="D1456" s="716">
        <v>125.12</v>
      </c>
    </row>
    <row r="1457" spans="1:4" ht="70">
      <c r="A1457" s="715">
        <v>87683</v>
      </c>
      <c r="B1457" s="633" t="s">
        <v>27196</v>
      </c>
      <c r="C1457" s="715" t="s">
        <v>509</v>
      </c>
      <c r="D1457" s="716">
        <v>120.54</v>
      </c>
    </row>
    <row r="1458" spans="1:4" ht="70">
      <c r="A1458" s="715">
        <v>87703</v>
      </c>
      <c r="B1458" s="633" t="s">
        <v>27204</v>
      </c>
      <c r="C1458" s="715" t="s">
        <v>509</v>
      </c>
      <c r="D1458" s="716">
        <v>149.80000000000001</v>
      </c>
    </row>
    <row r="1459" spans="1:4" ht="56">
      <c r="A1459" s="715">
        <v>87693</v>
      </c>
      <c r="B1459" s="633" t="s">
        <v>27200</v>
      </c>
      <c r="C1459" s="715" t="s">
        <v>509</v>
      </c>
      <c r="D1459" s="716">
        <v>138.09</v>
      </c>
    </row>
    <row r="1460" spans="1:4" ht="70">
      <c r="A1460" s="715">
        <v>87757</v>
      </c>
      <c r="B1460" s="633" t="s">
        <v>27215</v>
      </c>
      <c r="C1460" s="715" t="s">
        <v>509</v>
      </c>
      <c r="D1460" s="716">
        <v>64.400000000000006</v>
      </c>
    </row>
    <row r="1461" spans="1:4" ht="70">
      <c r="A1461" s="715">
        <v>87767</v>
      </c>
      <c r="B1461" s="633" t="s">
        <v>27219</v>
      </c>
      <c r="C1461" s="715" t="s">
        <v>509</v>
      </c>
      <c r="D1461" s="716">
        <v>73.569999999999993</v>
      </c>
    </row>
    <row r="1462" spans="1:4" ht="56">
      <c r="A1462" s="715">
        <v>87737</v>
      </c>
      <c r="B1462" s="633" t="s">
        <v>27207</v>
      </c>
      <c r="C1462" s="715" t="s">
        <v>509</v>
      </c>
      <c r="D1462" s="716">
        <v>54.87</v>
      </c>
    </row>
    <row r="1463" spans="1:4" ht="56">
      <c r="A1463" s="715">
        <v>87747</v>
      </c>
      <c r="B1463" s="633" t="s">
        <v>27211</v>
      </c>
      <c r="C1463" s="715" t="s">
        <v>509</v>
      </c>
      <c r="D1463" s="716">
        <v>65.989999999999995</v>
      </c>
    </row>
    <row r="1464" spans="1:4" ht="56">
      <c r="A1464" s="715">
        <v>87622</v>
      </c>
      <c r="B1464" s="633" t="s">
        <v>27184</v>
      </c>
      <c r="C1464" s="715" t="s">
        <v>509</v>
      </c>
      <c r="D1464" s="716">
        <v>38.67</v>
      </c>
    </row>
    <row r="1465" spans="1:4" ht="56">
      <c r="A1465" s="715">
        <v>87632</v>
      </c>
      <c r="B1465" s="633" t="s">
        <v>27187</v>
      </c>
      <c r="C1465" s="715" t="s">
        <v>509</v>
      </c>
      <c r="D1465" s="716">
        <v>49.77</v>
      </c>
    </row>
    <row r="1466" spans="1:4" ht="56">
      <c r="A1466" s="715">
        <v>87642</v>
      </c>
      <c r="B1466" s="633" t="s">
        <v>27191</v>
      </c>
      <c r="C1466" s="715" t="s">
        <v>509</v>
      </c>
      <c r="D1466" s="716">
        <v>58.88</v>
      </c>
    </row>
    <row r="1467" spans="1:4" ht="56">
      <c r="A1467" s="715">
        <v>87682</v>
      </c>
      <c r="B1467" s="633" t="s">
        <v>27195</v>
      </c>
      <c r="C1467" s="715" t="s">
        <v>509</v>
      </c>
      <c r="D1467" s="716">
        <v>54.3</v>
      </c>
    </row>
    <row r="1468" spans="1:4" ht="56">
      <c r="A1468" s="715">
        <v>87692</v>
      </c>
      <c r="B1468" s="633" t="s">
        <v>27199</v>
      </c>
      <c r="C1468" s="715" t="s">
        <v>509</v>
      </c>
      <c r="D1468" s="716">
        <v>62.23</v>
      </c>
    </row>
    <row r="1469" spans="1:4" ht="56">
      <c r="A1469" s="715">
        <v>87702</v>
      </c>
      <c r="B1469" s="633" t="s">
        <v>27203</v>
      </c>
      <c r="C1469" s="715" t="s">
        <v>509</v>
      </c>
      <c r="D1469" s="716">
        <v>67.19</v>
      </c>
    </row>
    <row r="1470" spans="1:4" ht="70">
      <c r="A1470" s="715">
        <v>87755</v>
      </c>
      <c r="B1470" s="633" t="s">
        <v>27214</v>
      </c>
      <c r="C1470" s="715" t="s">
        <v>509</v>
      </c>
      <c r="D1470" s="716">
        <v>57.15</v>
      </c>
    </row>
    <row r="1471" spans="1:4" ht="70">
      <c r="A1471" s="715">
        <v>87765</v>
      </c>
      <c r="B1471" s="633" t="s">
        <v>27218</v>
      </c>
      <c r="C1471" s="715" t="s">
        <v>509</v>
      </c>
      <c r="D1471" s="716">
        <v>64.66</v>
      </c>
    </row>
    <row r="1472" spans="1:4" ht="70">
      <c r="A1472" s="715">
        <v>87735</v>
      </c>
      <c r="B1472" s="633" t="s">
        <v>27206</v>
      </c>
      <c r="C1472" s="715" t="s">
        <v>509</v>
      </c>
      <c r="D1472" s="716">
        <v>49.66</v>
      </c>
    </row>
    <row r="1473" spans="1:4" ht="70">
      <c r="A1473" s="715">
        <v>87745</v>
      </c>
      <c r="B1473" s="633" t="s">
        <v>27210</v>
      </c>
      <c r="C1473" s="715" t="s">
        <v>509</v>
      </c>
      <c r="D1473" s="716">
        <v>58.74</v>
      </c>
    </row>
    <row r="1474" spans="1:4" ht="70">
      <c r="A1474" s="715">
        <v>87620</v>
      </c>
      <c r="B1474" s="633" t="s">
        <v>27183</v>
      </c>
      <c r="C1474" s="715" t="s">
        <v>509</v>
      </c>
      <c r="D1474" s="716">
        <v>33.46</v>
      </c>
    </row>
    <row r="1475" spans="1:4" ht="70">
      <c r="A1475" s="715">
        <v>87630</v>
      </c>
      <c r="B1475" s="633" t="s">
        <v>27186</v>
      </c>
      <c r="C1475" s="715" t="s">
        <v>509</v>
      </c>
      <c r="D1475" s="716">
        <v>42.52</v>
      </c>
    </row>
    <row r="1476" spans="1:4" ht="70">
      <c r="A1476" s="715">
        <v>87640</v>
      </c>
      <c r="B1476" s="633" t="s">
        <v>27190</v>
      </c>
      <c r="C1476" s="715" t="s">
        <v>509</v>
      </c>
      <c r="D1476" s="716">
        <v>49.97</v>
      </c>
    </row>
    <row r="1477" spans="1:4" ht="70">
      <c r="A1477" s="715">
        <v>87680</v>
      </c>
      <c r="B1477" s="633" t="s">
        <v>27194</v>
      </c>
      <c r="C1477" s="715" t="s">
        <v>509</v>
      </c>
      <c r="D1477" s="716">
        <v>45.39</v>
      </c>
    </row>
    <row r="1478" spans="1:4" ht="70">
      <c r="A1478" s="715">
        <v>87690</v>
      </c>
      <c r="B1478" s="633" t="s">
        <v>27198</v>
      </c>
      <c r="C1478" s="715" t="s">
        <v>509</v>
      </c>
      <c r="D1478" s="716">
        <v>52.02</v>
      </c>
    </row>
    <row r="1479" spans="1:4" ht="70">
      <c r="A1479" s="715">
        <v>87700</v>
      </c>
      <c r="B1479" s="633" t="s">
        <v>27202</v>
      </c>
      <c r="C1479" s="715" t="s">
        <v>509</v>
      </c>
      <c r="D1479" s="716">
        <v>56.07</v>
      </c>
    </row>
    <row r="1480" spans="1:4" ht="28">
      <c r="A1480" s="715">
        <v>102803</v>
      </c>
      <c r="B1480" s="633" t="s">
        <v>27240</v>
      </c>
      <c r="C1480" s="715" t="s">
        <v>509</v>
      </c>
      <c r="D1480" s="716">
        <v>3.01</v>
      </c>
    </row>
    <row r="1481" spans="1:4" ht="42">
      <c r="A1481" s="715">
        <v>92717</v>
      </c>
      <c r="B1481" s="633" t="s">
        <v>24387</v>
      </c>
      <c r="C1481" s="715" t="s">
        <v>24295</v>
      </c>
      <c r="D1481" s="716">
        <v>0.27</v>
      </c>
    </row>
    <row r="1482" spans="1:4" ht="42">
      <c r="A1482" s="715">
        <v>92716</v>
      </c>
      <c r="B1482" s="633" t="s">
        <v>24256</v>
      </c>
      <c r="C1482" s="715" t="s">
        <v>24162</v>
      </c>
      <c r="D1482" s="716">
        <v>115.27</v>
      </c>
    </row>
    <row r="1483" spans="1:4" ht="56">
      <c r="A1483" s="715">
        <v>103668</v>
      </c>
      <c r="B1483" s="633" t="s">
        <v>33212</v>
      </c>
      <c r="C1483" s="715" t="s">
        <v>24295</v>
      </c>
      <c r="D1483" s="716">
        <v>0</v>
      </c>
    </row>
    <row r="1484" spans="1:4" ht="56">
      <c r="A1484" s="715">
        <v>103667</v>
      </c>
      <c r="B1484" s="633" t="s">
        <v>33213</v>
      </c>
      <c r="C1484" s="715" t="s">
        <v>24162</v>
      </c>
      <c r="D1484" s="716">
        <v>0</v>
      </c>
    </row>
    <row r="1485" spans="1:4" ht="42">
      <c r="A1485" s="715">
        <v>89218</v>
      </c>
      <c r="B1485" s="633" t="s">
        <v>24344</v>
      </c>
      <c r="C1485" s="715" t="s">
        <v>24295</v>
      </c>
      <c r="D1485" s="716">
        <v>117.62</v>
      </c>
    </row>
    <row r="1486" spans="1:4" ht="42">
      <c r="A1486" s="715">
        <v>89843</v>
      </c>
      <c r="B1486" s="633" t="s">
        <v>24221</v>
      </c>
      <c r="C1486" s="715" t="s">
        <v>24162</v>
      </c>
      <c r="D1486" s="716">
        <v>258.23</v>
      </c>
    </row>
    <row r="1487" spans="1:4" ht="42">
      <c r="A1487" s="715">
        <v>87446</v>
      </c>
      <c r="B1487" s="633" t="s">
        <v>24332</v>
      </c>
      <c r="C1487" s="715" t="s">
        <v>24295</v>
      </c>
      <c r="D1487" s="716">
        <v>0.55000000000000004</v>
      </c>
    </row>
    <row r="1488" spans="1:4" ht="42">
      <c r="A1488" s="715">
        <v>87445</v>
      </c>
      <c r="B1488" s="633" t="s">
        <v>24202</v>
      </c>
      <c r="C1488" s="715" t="s">
        <v>24162</v>
      </c>
      <c r="D1488" s="716">
        <v>6.19</v>
      </c>
    </row>
    <row r="1489" spans="1:4" ht="42">
      <c r="A1489" s="715">
        <v>93234</v>
      </c>
      <c r="B1489" s="633" t="s">
        <v>24390</v>
      </c>
      <c r="C1489" s="715" t="s">
        <v>24295</v>
      </c>
      <c r="D1489" s="716">
        <v>0.5</v>
      </c>
    </row>
    <row r="1490" spans="1:4" ht="42">
      <c r="A1490" s="715">
        <v>93233</v>
      </c>
      <c r="B1490" s="633" t="s">
        <v>24259</v>
      </c>
      <c r="C1490" s="715" t="s">
        <v>24162</v>
      </c>
      <c r="D1490" s="716">
        <v>6.13</v>
      </c>
    </row>
    <row r="1491" spans="1:4" ht="42">
      <c r="A1491" s="715">
        <v>102953</v>
      </c>
      <c r="B1491" s="633" t="s">
        <v>33214</v>
      </c>
      <c r="C1491" s="715" t="s">
        <v>24295</v>
      </c>
      <c r="D1491" s="716">
        <v>0</v>
      </c>
    </row>
    <row r="1492" spans="1:4" ht="56">
      <c r="A1492" s="715">
        <v>102952</v>
      </c>
      <c r="B1492" s="633" t="s">
        <v>33215</v>
      </c>
      <c r="C1492" s="715" t="s">
        <v>24162</v>
      </c>
      <c r="D1492" s="716">
        <v>0</v>
      </c>
    </row>
    <row r="1493" spans="1:4" ht="56">
      <c r="A1493" s="715">
        <v>88831</v>
      </c>
      <c r="B1493" s="633" t="s">
        <v>24338</v>
      </c>
      <c r="C1493" s="715" t="s">
        <v>24295</v>
      </c>
      <c r="D1493" s="716">
        <v>0.4</v>
      </c>
    </row>
    <row r="1494" spans="1:4" ht="56">
      <c r="A1494" s="715">
        <v>88830</v>
      </c>
      <c r="B1494" s="633" t="s">
        <v>24208</v>
      </c>
      <c r="C1494" s="715" t="s">
        <v>24162</v>
      </c>
      <c r="D1494" s="716">
        <v>1.83</v>
      </c>
    </row>
    <row r="1495" spans="1:4" ht="56">
      <c r="A1495" s="715">
        <v>89226</v>
      </c>
      <c r="B1495" s="633" t="s">
        <v>24345</v>
      </c>
      <c r="C1495" s="715" t="s">
        <v>24295</v>
      </c>
      <c r="D1495" s="716">
        <v>1.66</v>
      </c>
    </row>
    <row r="1496" spans="1:4" ht="56">
      <c r="A1496" s="715">
        <v>89225</v>
      </c>
      <c r="B1496" s="633" t="s">
        <v>24214</v>
      </c>
      <c r="C1496" s="715" t="s">
        <v>24162</v>
      </c>
      <c r="D1496" s="716">
        <v>5.29</v>
      </c>
    </row>
    <row r="1497" spans="1:4" ht="56">
      <c r="A1497" s="715">
        <v>89279</v>
      </c>
      <c r="B1497" s="633" t="s">
        <v>24351</v>
      </c>
      <c r="C1497" s="715" t="s">
        <v>24295</v>
      </c>
      <c r="D1497" s="716">
        <v>2.0299999999999998</v>
      </c>
    </row>
    <row r="1498" spans="1:4" ht="56">
      <c r="A1498" s="715">
        <v>89278</v>
      </c>
      <c r="B1498" s="633" t="s">
        <v>24220</v>
      </c>
      <c r="C1498" s="715" t="s">
        <v>24162</v>
      </c>
      <c r="D1498" s="716">
        <v>14.25</v>
      </c>
    </row>
    <row r="1499" spans="1:4" ht="56">
      <c r="A1499" s="715">
        <v>90651</v>
      </c>
      <c r="B1499" s="633" t="s">
        <v>24359</v>
      </c>
      <c r="C1499" s="715" t="s">
        <v>24295</v>
      </c>
      <c r="D1499" s="716">
        <v>0.82</v>
      </c>
    </row>
    <row r="1500" spans="1:4" ht="56">
      <c r="A1500" s="715">
        <v>90650</v>
      </c>
      <c r="B1500" s="633" t="s">
        <v>24229</v>
      </c>
      <c r="C1500" s="715" t="s">
        <v>24162</v>
      </c>
      <c r="D1500" s="716">
        <v>9.91</v>
      </c>
    </row>
    <row r="1501" spans="1:4" ht="28">
      <c r="A1501" s="715">
        <v>106101</v>
      </c>
      <c r="B1501" s="633" t="s">
        <v>41433</v>
      </c>
      <c r="C1501" s="715" t="s">
        <v>24295</v>
      </c>
      <c r="D1501" s="716">
        <v>0</v>
      </c>
    </row>
    <row r="1502" spans="1:4" ht="28">
      <c r="A1502" s="715">
        <v>106100</v>
      </c>
      <c r="B1502" s="633" t="s">
        <v>41434</v>
      </c>
      <c r="C1502" s="715" t="s">
        <v>24162</v>
      </c>
      <c r="D1502" s="716">
        <v>0</v>
      </c>
    </row>
    <row r="1503" spans="1:4" ht="28">
      <c r="A1503" s="715">
        <v>90657</v>
      </c>
      <c r="B1503" s="633" t="s">
        <v>24360</v>
      </c>
      <c r="C1503" s="715" t="s">
        <v>24295</v>
      </c>
      <c r="D1503" s="716">
        <v>5</v>
      </c>
    </row>
    <row r="1504" spans="1:4" ht="28">
      <c r="A1504" s="715">
        <v>90656</v>
      </c>
      <c r="B1504" s="633" t="s">
        <v>24230</v>
      </c>
      <c r="C1504" s="715" t="s">
        <v>24162</v>
      </c>
      <c r="D1504" s="716">
        <v>14.94</v>
      </c>
    </row>
    <row r="1505" spans="1:4" ht="28">
      <c r="A1505" s="715">
        <v>90663</v>
      </c>
      <c r="B1505" s="633" t="s">
        <v>24361</v>
      </c>
      <c r="C1505" s="715" t="s">
        <v>24295</v>
      </c>
      <c r="D1505" s="716">
        <v>5.35</v>
      </c>
    </row>
    <row r="1506" spans="1:4" ht="28">
      <c r="A1506" s="715">
        <v>90662</v>
      </c>
      <c r="B1506" s="633" t="s">
        <v>24231</v>
      </c>
      <c r="C1506" s="715" t="s">
        <v>24162</v>
      </c>
      <c r="D1506" s="716">
        <v>15.61</v>
      </c>
    </row>
    <row r="1507" spans="1:4" ht="56">
      <c r="A1507" s="715">
        <v>89022</v>
      </c>
      <c r="B1507" s="633" t="s">
        <v>28861</v>
      </c>
      <c r="C1507" s="715" t="s">
        <v>24295</v>
      </c>
      <c r="D1507" s="716">
        <v>0.5</v>
      </c>
    </row>
    <row r="1508" spans="1:4" ht="56">
      <c r="A1508" s="715">
        <v>89021</v>
      </c>
      <c r="B1508" s="633" t="s">
        <v>28858</v>
      </c>
      <c r="C1508" s="715" t="s">
        <v>24162</v>
      </c>
      <c r="D1508" s="716">
        <v>2.6</v>
      </c>
    </row>
    <row r="1509" spans="1:4" ht="42">
      <c r="A1509" s="715">
        <v>90644</v>
      </c>
      <c r="B1509" s="633" t="s">
        <v>24358</v>
      </c>
      <c r="C1509" s="715" t="s">
        <v>24295</v>
      </c>
      <c r="D1509" s="716">
        <v>7.68</v>
      </c>
    </row>
    <row r="1510" spans="1:4" ht="42">
      <c r="A1510" s="715">
        <v>90643</v>
      </c>
      <c r="B1510" s="633" t="s">
        <v>24228</v>
      </c>
      <c r="C1510" s="715" t="s">
        <v>24162</v>
      </c>
      <c r="D1510" s="716">
        <v>29.75</v>
      </c>
    </row>
    <row r="1511" spans="1:4" ht="28">
      <c r="A1511" s="715">
        <v>102811</v>
      </c>
      <c r="B1511" s="633" t="s">
        <v>33216</v>
      </c>
      <c r="C1511" s="715" t="s">
        <v>24295</v>
      </c>
      <c r="D1511" s="716">
        <v>0</v>
      </c>
    </row>
    <row r="1512" spans="1:4" ht="28">
      <c r="A1512" s="715">
        <v>102810</v>
      </c>
      <c r="B1512" s="633" t="s">
        <v>33217</v>
      </c>
      <c r="C1512" s="715" t="s">
        <v>24162</v>
      </c>
      <c r="D1512" s="716">
        <v>0</v>
      </c>
    </row>
    <row r="1513" spans="1:4" ht="42">
      <c r="A1513" s="715">
        <v>92146</v>
      </c>
      <c r="B1513" s="633" t="s">
        <v>24385</v>
      </c>
      <c r="C1513" s="715" t="s">
        <v>24295</v>
      </c>
      <c r="D1513" s="716">
        <v>40.020000000000003</v>
      </c>
    </row>
    <row r="1514" spans="1:4" ht="42">
      <c r="A1514" s="715">
        <v>92145</v>
      </c>
      <c r="B1514" s="633" t="s">
        <v>24254</v>
      </c>
      <c r="C1514" s="715" t="s">
        <v>24162</v>
      </c>
      <c r="D1514" s="716">
        <v>90.49</v>
      </c>
    </row>
    <row r="1515" spans="1:4" ht="28">
      <c r="A1515" s="715">
        <v>92139</v>
      </c>
      <c r="B1515" s="633" t="s">
        <v>24384</v>
      </c>
      <c r="C1515" s="715" t="s">
        <v>24295</v>
      </c>
      <c r="D1515" s="716">
        <v>52.03</v>
      </c>
    </row>
    <row r="1516" spans="1:4" ht="28">
      <c r="A1516" s="715">
        <v>92138</v>
      </c>
      <c r="B1516" s="633" t="s">
        <v>24253</v>
      </c>
      <c r="C1516" s="715" t="s">
        <v>24162</v>
      </c>
      <c r="D1516" s="716">
        <v>111.32</v>
      </c>
    </row>
    <row r="1517" spans="1:4" ht="70">
      <c r="A1517" s="715">
        <v>91387</v>
      </c>
      <c r="B1517" s="633" t="s">
        <v>24374</v>
      </c>
      <c r="C1517" s="715" t="s">
        <v>24295</v>
      </c>
      <c r="D1517" s="716">
        <v>86.12</v>
      </c>
    </row>
    <row r="1518" spans="1:4" ht="70">
      <c r="A1518" s="715">
        <v>91386</v>
      </c>
      <c r="B1518" s="633" t="s">
        <v>24244</v>
      </c>
      <c r="C1518" s="715" t="s">
        <v>24162</v>
      </c>
      <c r="D1518" s="716">
        <v>312.97000000000003</v>
      </c>
    </row>
    <row r="1519" spans="1:4" ht="56">
      <c r="A1519" s="715">
        <v>96036</v>
      </c>
      <c r="B1519" s="633" t="s">
        <v>24416</v>
      </c>
      <c r="C1519" s="715" t="s">
        <v>24295</v>
      </c>
      <c r="D1519" s="716">
        <v>95.57</v>
      </c>
    </row>
    <row r="1520" spans="1:4" ht="56">
      <c r="A1520" s="715">
        <v>96035</v>
      </c>
      <c r="B1520" s="633" t="s">
        <v>24285</v>
      </c>
      <c r="C1520" s="715" t="s">
        <v>24162</v>
      </c>
      <c r="D1520" s="716">
        <v>328.55</v>
      </c>
    </row>
    <row r="1521" spans="1:4" ht="70">
      <c r="A1521" s="715">
        <v>89877</v>
      </c>
      <c r="B1521" s="633" t="s">
        <v>24352</v>
      </c>
      <c r="C1521" s="715" t="s">
        <v>24295</v>
      </c>
      <c r="D1521" s="716">
        <v>98.72</v>
      </c>
    </row>
    <row r="1522" spans="1:4" ht="70">
      <c r="A1522" s="715">
        <v>89876</v>
      </c>
      <c r="B1522" s="633" t="s">
        <v>24222</v>
      </c>
      <c r="C1522" s="715" t="s">
        <v>24162</v>
      </c>
      <c r="D1522" s="716">
        <v>380.7</v>
      </c>
    </row>
    <row r="1523" spans="1:4" ht="70">
      <c r="A1523" s="715">
        <v>89884</v>
      </c>
      <c r="B1523" s="633" t="s">
        <v>24353</v>
      </c>
      <c r="C1523" s="715" t="s">
        <v>24295</v>
      </c>
      <c r="D1523" s="716">
        <v>102.58</v>
      </c>
    </row>
    <row r="1524" spans="1:4" ht="70">
      <c r="A1524" s="715">
        <v>89883</v>
      </c>
      <c r="B1524" s="633" t="s">
        <v>24223</v>
      </c>
      <c r="C1524" s="715" t="s">
        <v>24162</v>
      </c>
      <c r="D1524" s="716">
        <v>421.58</v>
      </c>
    </row>
    <row r="1525" spans="1:4" ht="70">
      <c r="A1525" s="715">
        <v>67827</v>
      </c>
      <c r="B1525" s="633" t="s">
        <v>24329</v>
      </c>
      <c r="C1525" s="715" t="s">
        <v>24295</v>
      </c>
      <c r="D1525" s="716">
        <v>76.17</v>
      </c>
    </row>
    <row r="1526" spans="1:4" ht="70">
      <c r="A1526" s="715">
        <v>67826</v>
      </c>
      <c r="B1526" s="633" t="s">
        <v>24196</v>
      </c>
      <c r="C1526" s="715" t="s">
        <v>24162</v>
      </c>
      <c r="D1526" s="716">
        <v>218.22</v>
      </c>
    </row>
    <row r="1527" spans="1:4" ht="56">
      <c r="A1527" s="715">
        <v>5961</v>
      </c>
      <c r="B1527" s="633" t="s">
        <v>24323</v>
      </c>
      <c r="C1527" s="715" t="s">
        <v>24295</v>
      </c>
      <c r="D1527" s="716">
        <v>74.89</v>
      </c>
    </row>
    <row r="1528" spans="1:4" ht="56">
      <c r="A1528" s="715">
        <v>5811</v>
      </c>
      <c r="B1528" s="633" t="s">
        <v>24168</v>
      </c>
      <c r="C1528" s="715" t="s">
        <v>24162</v>
      </c>
      <c r="D1528" s="716">
        <v>239.52</v>
      </c>
    </row>
    <row r="1529" spans="1:4" ht="84">
      <c r="A1529" s="715">
        <v>106373</v>
      </c>
      <c r="B1529" s="633" t="s">
        <v>42276</v>
      </c>
      <c r="C1529" s="715" t="s">
        <v>24295</v>
      </c>
      <c r="D1529" s="716">
        <v>0</v>
      </c>
    </row>
    <row r="1530" spans="1:4" ht="84">
      <c r="A1530" s="715">
        <v>106366</v>
      </c>
      <c r="B1530" s="633" t="s">
        <v>42277</v>
      </c>
      <c r="C1530" s="715" t="s">
        <v>24162</v>
      </c>
      <c r="D1530" s="716">
        <v>0</v>
      </c>
    </row>
    <row r="1531" spans="1:4" ht="98">
      <c r="A1531" s="715">
        <v>106371</v>
      </c>
      <c r="B1531" s="633" t="s">
        <v>42278</v>
      </c>
      <c r="C1531" s="715" t="s">
        <v>24295</v>
      </c>
      <c r="D1531" s="716">
        <v>0</v>
      </c>
    </row>
    <row r="1532" spans="1:4" ht="98">
      <c r="A1532" s="715">
        <v>106364</v>
      </c>
      <c r="B1532" s="633" t="s">
        <v>42279</v>
      </c>
      <c r="C1532" s="715" t="s">
        <v>24162</v>
      </c>
      <c r="D1532" s="716">
        <v>0</v>
      </c>
    </row>
    <row r="1533" spans="1:4" ht="70">
      <c r="A1533" s="715">
        <v>92243</v>
      </c>
      <c r="B1533" s="633" t="s">
        <v>24386</v>
      </c>
      <c r="C1533" s="715" t="s">
        <v>24295</v>
      </c>
      <c r="D1533" s="716">
        <v>92.29</v>
      </c>
    </row>
    <row r="1534" spans="1:4" ht="70">
      <c r="A1534" s="715">
        <v>92242</v>
      </c>
      <c r="B1534" s="633" t="s">
        <v>24255</v>
      </c>
      <c r="C1534" s="715" t="s">
        <v>24162</v>
      </c>
      <c r="D1534" s="716">
        <v>480.93</v>
      </c>
    </row>
    <row r="1535" spans="1:4" ht="70">
      <c r="A1535" s="715">
        <v>91646</v>
      </c>
      <c r="B1535" s="633" t="s">
        <v>24378</v>
      </c>
      <c r="C1535" s="715" t="s">
        <v>24295</v>
      </c>
      <c r="D1535" s="716">
        <v>109.77</v>
      </c>
    </row>
    <row r="1536" spans="1:4" ht="70">
      <c r="A1536" s="715">
        <v>91645</v>
      </c>
      <c r="B1536" s="633" t="s">
        <v>24247</v>
      </c>
      <c r="C1536" s="715" t="s">
        <v>24162</v>
      </c>
      <c r="D1536" s="716">
        <v>549.11</v>
      </c>
    </row>
    <row r="1537" spans="1:4" ht="84">
      <c r="A1537" s="715">
        <v>92107</v>
      </c>
      <c r="B1537" s="633" t="s">
        <v>24381</v>
      </c>
      <c r="C1537" s="715" t="s">
        <v>24295</v>
      </c>
      <c r="D1537" s="716">
        <v>106.41</v>
      </c>
    </row>
    <row r="1538" spans="1:4" ht="84">
      <c r="A1538" s="715">
        <v>92106</v>
      </c>
      <c r="B1538" s="633" t="s">
        <v>24250</v>
      </c>
      <c r="C1538" s="715" t="s">
        <v>24162</v>
      </c>
      <c r="D1538" s="716">
        <v>414.66</v>
      </c>
    </row>
    <row r="1539" spans="1:4" ht="70">
      <c r="A1539" s="715">
        <v>5903</v>
      </c>
      <c r="B1539" s="633" t="s">
        <v>24314</v>
      </c>
      <c r="C1539" s="715" t="s">
        <v>24295</v>
      </c>
      <c r="D1539" s="716">
        <v>85.35</v>
      </c>
    </row>
    <row r="1540" spans="1:4" ht="70">
      <c r="A1540" s="715">
        <v>5901</v>
      </c>
      <c r="B1540" s="633" t="s">
        <v>24183</v>
      </c>
      <c r="C1540" s="715" t="s">
        <v>24162</v>
      </c>
      <c r="D1540" s="716">
        <v>373.09</v>
      </c>
    </row>
    <row r="1541" spans="1:4" ht="70">
      <c r="A1541" s="715">
        <v>106252</v>
      </c>
      <c r="B1541" s="633" t="s">
        <v>42280</v>
      </c>
      <c r="C1541" s="715" t="s">
        <v>24295</v>
      </c>
      <c r="D1541" s="716">
        <v>84.89</v>
      </c>
    </row>
    <row r="1542" spans="1:4" ht="70">
      <c r="A1542" s="715">
        <v>106247</v>
      </c>
      <c r="B1542" s="633" t="s">
        <v>42281</v>
      </c>
      <c r="C1542" s="715" t="s">
        <v>24162</v>
      </c>
      <c r="D1542" s="716">
        <v>329.65</v>
      </c>
    </row>
    <row r="1543" spans="1:4" ht="56">
      <c r="A1543" s="715">
        <v>6260</v>
      </c>
      <c r="B1543" s="633" t="s">
        <v>24324</v>
      </c>
      <c r="C1543" s="715" t="s">
        <v>24295</v>
      </c>
      <c r="D1543" s="716">
        <v>72.06</v>
      </c>
    </row>
    <row r="1544" spans="1:4" ht="56">
      <c r="A1544" s="715">
        <v>6259</v>
      </c>
      <c r="B1544" s="633" t="s">
        <v>24191</v>
      </c>
      <c r="C1544" s="715" t="s">
        <v>24162</v>
      </c>
      <c r="D1544" s="716">
        <v>302.70999999999998</v>
      </c>
    </row>
    <row r="1545" spans="1:4" ht="56">
      <c r="A1545" s="715">
        <v>104705</v>
      </c>
      <c r="B1545" s="633" t="s">
        <v>33218</v>
      </c>
      <c r="C1545" s="715" t="s">
        <v>24295</v>
      </c>
      <c r="D1545" s="716">
        <v>0</v>
      </c>
    </row>
    <row r="1546" spans="1:4" ht="56">
      <c r="A1546" s="715">
        <v>104704</v>
      </c>
      <c r="B1546" s="633" t="s">
        <v>33219</v>
      </c>
      <c r="C1546" s="715" t="s">
        <v>24162</v>
      </c>
      <c r="D1546" s="716">
        <v>0</v>
      </c>
    </row>
    <row r="1547" spans="1:4" ht="70">
      <c r="A1547" s="715">
        <v>91395</v>
      </c>
      <c r="B1547" s="633" t="s">
        <v>24375</v>
      </c>
      <c r="C1547" s="715" t="s">
        <v>24295</v>
      </c>
      <c r="D1547" s="716">
        <v>69.52</v>
      </c>
    </row>
    <row r="1548" spans="1:4" ht="70">
      <c r="A1548" s="715">
        <v>73467</v>
      </c>
      <c r="B1548" s="633" t="s">
        <v>24199</v>
      </c>
      <c r="C1548" s="715" t="s">
        <v>24162</v>
      </c>
      <c r="D1548" s="716">
        <v>294.04000000000002</v>
      </c>
    </row>
    <row r="1549" spans="1:4" ht="70">
      <c r="A1549" s="715">
        <v>5826</v>
      </c>
      <c r="B1549" s="633" t="s">
        <v>24300</v>
      </c>
      <c r="C1549" s="715" t="s">
        <v>24295</v>
      </c>
      <c r="D1549" s="716">
        <v>72.540000000000006</v>
      </c>
    </row>
    <row r="1550" spans="1:4" ht="70">
      <c r="A1550" s="715">
        <v>5824</v>
      </c>
      <c r="B1550" s="633" t="s">
        <v>24170</v>
      </c>
      <c r="C1550" s="715" t="s">
        <v>24162</v>
      </c>
      <c r="D1550" s="716">
        <v>254.14</v>
      </c>
    </row>
    <row r="1551" spans="1:4" ht="84">
      <c r="A1551" s="715">
        <v>106369</v>
      </c>
      <c r="B1551" s="633" t="s">
        <v>42282</v>
      </c>
      <c r="C1551" s="715" t="s">
        <v>24295</v>
      </c>
      <c r="D1551" s="716">
        <v>0</v>
      </c>
    </row>
    <row r="1552" spans="1:4" ht="84">
      <c r="A1552" s="715">
        <v>106362</v>
      </c>
      <c r="B1552" s="633" t="s">
        <v>42283</v>
      </c>
      <c r="C1552" s="715" t="s">
        <v>24162</v>
      </c>
      <c r="D1552" s="716">
        <v>0</v>
      </c>
    </row>
    <row r="1553" spans="1:4" ht="70">
      <c r="A1553" s="715">
        <v>106253</v>
      </c>
      <c r="B1553" s="633" t="s">
        <v>42284</v>
      </c>
      <c r="C1553" s="715" t="s">
        <v>24295</v>
      </c>
      <c r="D1553" s="716">
        <v>88.05</v>
      </c>
    </row>
    <row r="1554" spans="1:4" ht="70">
      <c r="A1554" s="715">
        <v>106248</v>
      </c>
      <c r="B1554" s="633" t="s">
        <v>42285</v>
      </c>
      <c r="C1554" s="715" t="s">
        <v>24162</v>
      </c>
      <c r="D1554" s="716">
        <v>338.92</v>
      </c>
    </row>
    <row r="1555" spans="1:4" ht="84">
      <c r="A1555" s="715">
        <v>106372</v>
      </c>
      <c r="B1555" s="633" t="s">
        <v>42286</v>
      </c>
      <c r="C1555" s="715" t="s">
        <v>24295</v>
      </c>
      <c r="D1555" s="716">
        <v>0</v>
      </c>
    </row>
    <row r="1556" spans="1:4" ht="84">
      <c r="A1556" s="715">
        <v>106365</v>
      </c>
      <c r="B1556" s="633" t="s">
        <v>42287</v>
      </c>
      <c r="C1556" s="715" t="s">
        <v>24162</v>
      </c>
      <c r="D1556" s="716">
        <v>0</v>
      </c>
    </row>
    <row r="1557" spans="1:4" ht="84">
      <c r="A1557" s="715">
        <v>106370</v>
      </c>
      <c r="B1557" s="633" t="s">
        <v>42288</v>
      </c>
      <c r="C1557" s="715" t="s">
        <v>24295</v>
      </c>
      <c r="D1557" s="716">
        <v>0</v>
      </c>
    </row>
    <row r="1558" spans="1:4" ht="84">
      <c r="A1558" s="715">
        <v>106363</v>
      </c>
      <c r="B1558" s="633" t="s">
        <v>42289</v>
      </c>
      <c r="C1558" s="715" t="s">
        <v>24162</v>
      </c>
      <c r="D1558" s="716">
        <v>0</v>
      </c>
    </row>
    <row r="1559" spans="1:4" ht="56">
      <c r="A1559" s="715">
        <v>5892</v>
      </c>
      <c r="B1559" s="633" t="s">
        <v>24312</v>
      </c>
      <c r="C1559" s="715" t="s">
        <v>24295</v>
      </c>
      <c r="D1559" s="716">
        <v>67.27</v>
      </c>
    </row>
    <row r="1560" spans="1:4" ht="56">
      <c r="A1560" s="715">
        <v>5890</v>
      </c>
      <c r="B1560" s="633" t="s">
        <v>24181</v>
      </c>
      <c r="C1560" s="715" t="s">
        <v>24162</v>
      </c>
      <c r="D1560" s="716">
        <v>240.28</v>
      </c>
    </row>
    <row r="1561" spans="1:4" ht="56">
      <c r="A1561" s="715">
        <v>5896</v>
      </c>
      <c r="B1561" s="633" t="s">
        <v>24313</v>
      </c>
      <c r="C1561" s="715" t="s">
        <v>24295</v>
      </c>
      <c r="D1561" s="716">
        <v>70.13</v>
      </c>
    </row>
    <row r="1562" spans="1:4" ht="56">
      <c r="A1562" s="715">
        <v>5894</v>
      </c>
      <c r="B1562" s="633" t="s">
        <v>24182</v>
      </c>
      <c r="C1562" s="715" t="s">
        <v>24162</v>
      </c>
      <c r="D1562" s="716">
        <v>249.51</v>
      </c>
    </row>
    <row r="1563" spans="1:4" ht="56">
      <c r="A1563" s="715">
        <v>91032</v>
      </c>
      <c r="B1563" s="633" t="s">
        <v>24371</v>
      </c>
      <c r="C1563" s="715" t="s">
        <v>24295</v>
      </c>
      <c r="D1563" s="716">
        <v>78.62</v>
      </c>
    </row>
    <row r="1564" spans="1:4" ht="56">
      <c r="A1564" s="715">
        <v>91031</v>
      </c>
      <c r="B1564" s="633" t="s">
        <v>24241</v>
      </c>
      <c r="C1564" s="715" t="s">
        <v>24162</v>
      </c>
      <c r="D1564" s="716">
        <v>304.16000000000003</v>
      </c>
    </row>
    <row r="1565" spans="1:4" ht="84">
      <c r="A1565" s="715">
        <v>106255</v>
      </c>
      <c r="B1565" s="633" t="s">
        <v>42290</v>
      </c>
      <c r="C1565" s="715" t="s">
        <v>24295</v>
      </c>
      <c r="D1565" s="716">
        <v>0</v>
      </c>
    </row>
    <row r="1566" spans="1:4" ht="84">
      <c r="A1566" s="715">
        <v>106250</v>
      </c>
      <c r="B1566" s="633" t="s">
        <v>42291</v>
      </c>
      <c r="C1566" s="715" t="s">
        <v>24162</v>
      </c>
      <c r="D1566" s="716">
        <v>0</v>
      </c>
    </row>
    <row r="1567" spans="1:4" ht="70">
      <c r="A1567" s="715">
        <v>106374</v>
      </c>
      <c r="B1567" s="633" t="s">
        <v>42292</v>
      </c>
      <c r="C1567" s="715" t="s">
        <v>24295</v>
      </c>
      <c r="D1567" s="716">
        <v>0</v>
      </c>
    </row>
    <row r="1568" spans="1:4" ht="70">
      <c r="A1568" s="715">
        <v>106367</v>
      </c>
      <c r="B1568" s="633" t="s">
        <v>42293</v>
      </c>
      <c r="C1568" s="715" t="s">
        <v>24162</v>
      </c>
      <c r="D1568" s="716">
        <v>0</v>
      </c>
    </row>
    <row r="1569" spans="1:4" ht="84">
      <c r="A1569" s="715">
        <v>106375</v>
      </c>
      <c r="B1569" s="633" t="s">
        <v>42294</v>
      </c>
      <c r="C1569" s="715" t="s">
        <v>24295</v>
      </c>
      <c r="D1569" s="716">
        <v>0</v>
      </c>
    </row>
    <row r="1570" spans="1:4" ht="84">
      <c r="A1570" s="715">
        <v>106368</v>
      </c>
      <c r="B1570" s="633" t="s">
        <v>42295</v>
      </c>
      <c r="C1570" s="715" t="s">
        <v>24162</v>
      </c>
      <c r="D1570" s="716">
        <v>0</v>
      </c>
    </row>
    <row r="1571" spans="1:4" ht="70">
      <c r="A1571" s="715">
        <v>102817</v>
      </c>
      <c r="B1571" s="633" t="s">
        <v>33220</v>
      </c>
      <c r="C1571" s="715" t="s">
        <v>24295</v>
      </c>
      <c r="D1571" s="716">
        <v>0</v>
      </c>
    </row>
    <row r="1572" spans="1:4" ht="70">
      <c r="A1572" s="715">
        <v>102816</v>
      </c>
      <c r="B1572" s="633" t="s">
        <v>33221</v>
      </c>
      <c r="C1572" s="715" t="s">
        <v>24162</v>
      </c>
      <c r="D1572" s="716">
        <v>0</v>
      </c>
    </row>
    <row r="1573" spans="1:4" ht="42">
      <c r="A1573" s="715">
        <v>91534</v>
      </c>
      <c r="B1573" s="633" t="s">
        <v>24376</v>
      </c>
      <c r="C1573" s="715" t="s">
        <v>24295</v>
      </c>
      <c r="D1573" s="716">
        <v>40.11</v>
      </c>
    </row>
    <row r="1574" spans="1:4" ht="42">
      <c r="A1574" s="715">
        <v>91533</v>
      </c>
      <c r="B1574" s="633" t="s">
        <v>24245</v>
      </c>
      <c r="C1574" s="715" t="s">
        <v>24162</v>
      </c>
      <c r="D1574" s="716">
        <v>47.98</v>
      </c>
    </row>
    <row r="1575" spans="1:4" ht="42">
      <c r="A1575" s="715">
        <v>95265</v>
      </c>
      <c r="B1575" s="633" t="s">
        <v>24406</v>
      </c>
      <c r="C1575" s="715" t="s">
        <v>24295</v>
      </c>
      <c r="D1575" s="716">
        <v>0.85</v>
      </c>
    </row>
    <row r="1576" spans="1:4" ht="42">
      <c r="A1576" s="715">
        <v>95264</v>
      </c>
      <c r="B1576" s="633" t="s">
        <v>24275</v>
      </c>
      <c r="C1576" s="715" t="s">
        <v>24162</v>
      </c>
      <c r="D1576" s="716">
        <v>6.86</v>
      </c>
    </row>
    <row r="1577" spans="1:4" ht="42">
      <c r="A1577" s="715">
        <v>90973</v>
      </c>
      <c r="B1577" s="633" t="s">
        <v>24368</v>
      </c>
      <c r="C1577" s="715" t="s">
        <v>24295</v>
      </c>
      <c r="D1577" s="716">
        <v>8.93</v>
      </c>
    </row>
    <row r="1578" spans="1:4" ht="42">
      <c r="A1578" s="715">
        <v>90972</v>
      </c>
      <c r="B1578" s="633" t="s">
        <v>24238</v>
      </c>
      <c r="C1578" s="715" t="s">
        <v>24162</v>
      </c>
      <c r="D1578" s="716">
        <v>91.28</v>
      </c>
    </row>
    <row r="1579" spans="1:4" ht="42">
      <c r="A1579" s="715">
        <v>91001</v>
      </c>
      <c r="B1579" s="633" t="s">
        <v>24370</v>
      </c>
      <c r="C1579" s="715" t="s">
        <v>24295</v>
      </c>
      <c r="D1579" s="716">
        <v>10.59</v>
      </c>
    </row>
    <row r="1580" spans="1:4" ht="42">
      <c r="A1580" s="715">
        <v>90999</v>
      </c>
      <c r="B1580" s="633" t="s">
        <v>24240</v>
      </c>
      <c r="C1580" s="715" t="s">
        <v>24162</v>
      </c>
      <c r="D1580" s="716">
        <v>120.93</v>
      </c>
    </row>
    <row r="1581" spans="1:4" ht="42">
      <c r="A1581" s="715">
        <v>5954</v>
      </c>
      <c r="B1581" s="633" t="s">
        <v>24322</v>
      </c>
      <c r="C1581" s="715" t="s">
        <v>24295</v>
      </c>
      <c r="D1581" s="716">
        <v>6.67</v>
      </c>
    </row>
    <row r="1582" spans="1:4" ht="42">
      <c r="A1582" s="715">
        <v>5953</v>
      </c>
      <c r="B1582" s="633" t="s">
        <v>24190</v>
      </c>
      <c r="C1582" s="715" t="s">
        <v>24162</v>
      </c>
      <c r="D1582" s="716">
        <v>70.45</v>
      </c>
    </row>
    <row r="1583" spans="1:4" ht="42">
      <c r="A1583" s="715">
        <v>90982</v>
      </c>
      <c r="B1583" s="633" t="s">
        <v>24369</v>
      </c>
      <c r="C1583" s="715" t="s">
        <v>24295</v>
      </c>
      <c r="D1583" s="716">
        <v>22.69</v>
      </c>
    </row>
    <row r="1584" spans="1:4" ht="42">
      <c r="A1584" s="715">
        <v>90979</v>
      </c>
      <c r="B1584" s="633" t="s">
        <v>24239</v>
      </c>
      <c r="C1584" s="715" t="s">
        <v>24162</v>
      </c>
      <c r="D1584" s="716">
        <v>235.87</v>
      </c>
    </row>
    <row r="1585" spans="1:4" ht="42">
      <c r="A1585" s="715">
        <v>90965</v>
      </c>
      <c r="B1585" s="633" t="s">
        <v>24367</v>
      </c>
      <c r="C1585" s="715" t="s">
        <v>24295</v>
      </c>
      <c r="D1585" s="716">
        <v>8.9</v>
      </c>
    </row>
    <row r="1586" spans="1:4" ht="42">
      <c r="A1586" s="715">
        <v>90964</v>
      </c>
      <c r="B1586" s="633" t="s">
        <v>24237</v>
      </c>
      <c r="C1586" s="715" t="s">
        <v>24162</v>
      </c>
      <c r="D1586" s="716">
        <v>35.840000000000003</v>
      </c>
    </row>
    <row r="1587" spans="1:4" ht="56">
      <c r="A1587" s="715">
        <v>102970</v>
      </c>
      <c r="B1587" s="633" t="s">
        <v>40214</v>
      </c>
      <c r="C1587" s="715" t="s">
        <v>24295</v>
      </c>
      <c r="D1587" s="716">
        <v>0.2</v>
      </c>
    </row>
    <row r="1588" spans="1:4" ht="56">
      <c r="A1588" s="715">
        <v>102971</v>
      </c>
      <c r="B1588" s="633" t="s">
        <v>33222</v>
      </c>
      <c r="C1588" s="715" t="s">
        <v>24162</v>
      </c>
      <c r="D1588" s="716">
        <v>0.48</v>
      </c>
    </row>
    <row r="1589" spans="1:4" ht="56">
      <c r="A1589" s="715">
        <v>102822</v>
      </c>
      <c r="B1589" s="633" t="s">
        <v>40215</v>
      </c>
      <c r="C1589" s="715" t="s">
        <v>24295</v>
      </c>
      <c r="D1589" s="716">
        <v>0</v>
      </c>
    </row>
    <row r="1590" spans="1:4" ht="56">
      <c r="A1590" s="715">
        <v>102821</v>
      </c>
      <c r="B1590" s="633" t="s">
        <v>40216</v>
      </c>
      <c r="C1590" s="715" t="s">
        <v>24162</v>
      </c>
      <c r="D1590" s="716">
        <v>0</v>
      </c>
    </row>
    <row r="1591" spans="1:4" ht="42">
      <c r="A1591" s="715">
        <v>102828</v>
      </c>
      <c r="B1591" s="633" t="s">
        <v>33223</v>
      </c>
      <c r="C1591" s="715" t="s">
        <v>24295</v>
      </c>
      <c r="D1591" s="716">
        <v>0</v>
      </c>
    </row>
    <row r="1592" spans="1:4" ht="42">
      <c r="A1592" s="715">
        <v>102827</v>
      </c>
      <c r="B1592" s="633" t="s">
        <v>33224</v>
      </c>
      <c r="C1592" s="715" t="s">
        <v>24162</v>
      </c>
      <c r="D1592" s="716">
        <v>0</v>
      </c>
    </row>
    <row r="1593" spans="1:4" ht="70">
      <c r="A1593" s="715">
        <v>103939</v>
      </c>
      <c r="B1593" s="633" t="s">
        <v>40217</v>
      </c>
      <c r="C1593" s="715" t="s">
        <v>24295</v>
      </c>
      <c r="D1593" s="716">
        <v>0</v>
      </c>
    </row>
    <row r="1594" spans="1:4" ht="70">
      <c r="A1594" s="715">
        <v>103938</v>
      </c>
      <c r="B1594" s="633" t="s">
        <v>40218</v>
      </c>
      <c r="C1594" s="715" t="s">
        <v>24162</v>
      </c>
      <c r="D1594" s="716">
        <v>0</v>
      </c>
    </row>
    <row r="1595" spans="1:4" ht="70">
      <c r="A1595" s="715">
        <v>103945</v>
      </c>
      <c r="B1595" s="633" t="s">
        <v>40219</v>
      </c>
      <c r="C1595" s="715" t="s">
        <v>24295</v>
      </c>
      <c r="D1595" s="716">
        <v>0</v>
      </c>
    </row>
    <row r="1596" spans="1:4" ht="70">
      <c r="A1596" s="715">
        <v>103944</v>
      </c>
      <c r="B1596" s="633" t="s">
        <v>40220</v>
      </c>
      <c r="C1596" s="715" t="s">
        <v>24162</v>
      </c>
      <c r="D1596" s="716">
        <v>0</v>
      </c>
    </row>
    <row r="1597" spans="1:4" ht="56">
      <c r="A1597" s="715">
        <v>106416</v>
      </c>
      <c r="B1597" s="633" t="s">
        <v>42296</v>
      </c>
      <c r="C1597" s="715" t="s">
        <v>24295</v>
      </c>
      <c r="D1597" s="716">
        <v>11.91</v>
      </c>
    </row>
    <row r="1598" spans="1:4" ht="56">
      <c r="A1598" s="715">
        <v>106414</v>
      </c>
      <c r="B1598" s="633" t="s">
        <v>42297</v>
      </c>
      <c r="C1598" s="715" t="s">
        <v>24162</v>
      </c>
      <c r="D1598" s="716">
        <v>22.31</v>
      </c>
    </row>
    <row r="1599" spans="1:4" ht="70">
      <c r="A1599" s="715">
        <v>91285</v>
      </c>
      <c r="B1599" s="633" t="s">
        <v>24373</v>
      </c>
      <c r="C1599" s="715" t="s">
        <v>24295</v>
      </c>
      <c r="D1599" s="716">
        <v>0.48</v>
      </c>
    </row>
    <row r="1600" spans="1:4" ht="70">
      <c r="A1600" s="715">
        <v>91283</v>
      </c>
      <c r="B1600" s="633" t="s">
        <v>24243</v>
      </c>
      <c r="C1600" s="715" t="s">
        <v>24162</v>
      </c>
      <c r="D1600" s="716">
        <v>10.6</v>
      </c>
    </row>
    <row r="1601" spans="1:4" ht="42">
      <c r="A1601" s="715">
        <v>95283</v>
      </c>
      <c r="B1601" s="633" t="s">
        <v>24409</v>
      </c>
      <c r="C1601" s="715" t="s">
        <v>24295</v>
      </c>
      <c r="D1601" s="716">
        <v>0.84</v>
      </c>
    </row>
    <row r="1602" spans="1:4" ht="42">
      <c r="A1602" s="715">
        <v>95282</v>
      </c>
      <c r="B1602" s="633" t="s">
        <v>24278</v>
      </c>
      <c r="C1602" s="715" t="s">
        <v>24162</v>
      </c>
      <c r="D1602" s="716">
        <v>11.08</v>
      </c>
    </row>
    <row r="1603" spans="1:4" ht="42">
      <c r="A1603" s="715">
        <v>95128</v>
      </c>
      <c r="B1603" s="633" t="s">
        <v>24402</v>
      </c>
      <c r="C1603" s="715" t="s">
        <v>24295</v>
      </c>
      <c r="D1603" s="716">
        <v>65.63</v>
      </c>
    </row>
    <row r="1604" spans="1:4" ht="42">
      <c r="A1604" s="715">
        <v>95127</v>
      </c>
      <c r="B1604" s="633" t="s">
        <v>24270</v>
      </c>
      <c r="C1604" s="715" t="s">
        <v>24162</v>
      </c>
      <c r="D1604" s="716">
        <v>266.51</v>
      </c>
    </row>
    <row r="1605" spans="1:4" ht="42">
      <c r="A1605" s="715">
        <v>92044</v>
      </c>
      <c r="B1605" s="633" t="s">
        <v>24380</v>
      </c>
      <c r="C1605" s="715" t="s">
        <v>24295</v>
      </c>
      <c r="D1605" s="716">
        <v>8.8699999999999992</v>
      </c>
    </row>
    <row r="1606" spans="1:4" ht="42">
      <c r="A1606" s="715">
        <v>92043</v>
      </c>
      <c r="B1606" s="633" t="s">
        <v>24249</v>
      </c>
      <c r="C1606" s="715" t="s">
        <v>24162</v>
      </c>
      <c r="D1606" s="716">
        <v>15</v>
      </c>
    </row>
    <row r="1607" spans="1:4" ht="56">
      <c r="A1607" s="715">
        <v>106417</v>
      </c>
      <c r="B1607" s="633" t="s">
        <v>42298</v>
      </c>
      <c r="C1607" s="715" t="s">
        <v>24295</v>
      </c>
      <c r="D1607" s="716">
        <v>6.78</v>
      </c>
    </row>
    <row r="1608" spans="1:4" ht="56">
      <c r="A1608" s="715">
        <v>106415</v>
      </c>
      <c r="B1608" s="633" t="s">
        <v>42299</v>
      </c>
      <c r="C1608" s="715" t="s">
        <v>24162</v>
      </c>
      <c r="D1608" s="716">
        <v>14.17</v>
      </c>
    </row>
    <row r="1609" spans="1:4" ht="28">
      <c r="A1609" s="715">
        <v>102834</v>
      </c>
      <c r="B1609" s="633" t="s">
        <v>33225</v>
      </c>
      <c r="C1609" s="715" t="s">
        <v>24295</v>
      </c>
      <c r="D1609" s="716">
        <v>0</v>
      </c>
    </row>
    <row r="1610" spans="1:4" ht="28">
      <c r="A1610" s="715">
        <v>102833</v>
      </c>
      <c r="B1610" s="633" t="s">
        <v>33226</v>
      </c>
      <c r="C1610" s="715" t="s">
        <v>24162</v>
      </c>
      <c r="D1610" s="716">
        <v>0</v>
      </c>
    </row>
    <row r="1611" spans="1:4" ht="28">
      <c r="A1611" s="715">
        <v>92119</v>
      </c>
      <c r="B1611" s="633" t="s">
        <v>24383</v>
      </c>
      <c r="C1611" s="715" t="s">
        <v>24295</v>
      </c>
      <c r="D1611" s="716">
        <v>0.28999999999999998</v>
      </c>
    </row>
    <row r="1612" spans="1:4" ht="28">
      <c r="A1612" s="715">
        <v>92118</v>
      </c>
      <c r="B1612" s="633" t="s">
        <v>24252</v>
      </c>
      <c r="C1612" s="715" t="s">
        <v>24162</v>
      </c>
      <c r="D1612" s="716">
        <v>0.46</v>
      </c>
    </row>
    <row r="1613" spans="1:4" ht="28">
      <c r="A1613" s="715">
        <v>102917</v>
      </c>
      <c r="B1613" s="633" t="s">
        <v>33227</v>
      </c>
      <c r="C1613" s="715" t="s">
        <v>24295</v>
      </c>
      <c r="D1613" s="716">
        <v>0</v>
      </c>
    </row>
    <row r="1614" spans="1:4" ht="28">
      <c r="A1614" s="715">
        <v>102916</v>
      </c>
      <c r="B1614" s="633" t="s">
        <v>33228</v>
      </c>
      <c r="C1614" s="715" t="s">
        <v>24162</v>
      </c>
      <c r="D1614" s="716">
        <v>0</v>
      </c>
    </row>
    <row r="1615" spans="1:4" ht="70">
      <c r="A1615" s="715">
        <v>95721</v>
      </c>
      <c r="B1615" s="633" t="s">
        <v>24411</v>
      </c>
      <c r="C1615" s="715" t="s">
        <v>24295</v>
      </c>
      <c r="D1615" s="716">
        <v>129.96</v>
      </c>
    </row>
    <row r="1616" spans="1:4" ht="70">
      <c r="A1616" s="715">
        <v>95720</v>
      </c>
      <c r="B1616" s="633" t="s">
        <v>24280</v>
      </c>
      <c r="C1616" s="715" t="s">
        <v>24162</v>
      </c>
      <c r="D1616" s="716">
        <v>321.45999999999998</v>
      </c>
    </row>
    <row r="1617" spans="1:4" ht="56">
      <c r="A1617" s="715">
        <v>104717</v>
      </c>
      <c r="B1617" s="633" t="s">
        <v>30046</v>
      </c>
      <c r="C1617" s="715" t="s">
        <v>24295</v>
      </c>
      <c r="D1617" s="716">
        <v>124.95</v>
      </c>
    </row>
    <row r="1618" spans="1:4" ht="56">
      <c r="A1618" s="715">
        <v>104716</v>
      </c>
      <c r="B1618" s="633" t="s">
        <v>40221</v>
      </c>
      <c r="C1618" s="715" t="s">
        <v>24162</v>
      </c>
      <c r="D1618" s="716">
        <v>311.49</v>
      </c>
    </row>
    <row r="1619" spans="1:4" ht="56">
      <c r="A1619" s="715">
        <v>106399</v>
      </c>
      <c r="B1619" s="633" t="s">
        <v>42300</v>
      </c>
      <c r="C1619" s="715" t="s">
        <v>24295</v>
      </c>
      <c r="D1619" s="716">
        <v>0</v>
      </c>
    </row>
    <row r="1620" spans="1:4" ht="56">
      <c r="A1620" s="715">
        <v>106398</v>
      </c>
      <c r="B1620" s="633" t="s">
        <v>42301</v>
      </c>
      <c r="C1620" s="715" t="s">
        <v>24162</v>
      </c>
      <c r="D1620" s="716">
        <v>0</v>
      </c>
    </row>
    <row r="1621" spans="1:4" ht="84">
      <c r="A1621" s="715">
        <v>106405</v>
      </c>
      <c r="B1621" s="633" t="s">
        <v>42302</v>
      </c>
      <c r="C1621" s="715" t="s">
        <v>24295</v>
      </c>
      <c r="D1621" s="716">
        <v>0</v>
      </c>
    </row>
    <row r="1622" spans="1:4" ht="84">
      <c r="A1622" s="715">
        <v>106404</v>
      </c>
      <c r="B1622" s="633" t="s">
        <v>42303</v>
      </c>
      <c r="C1622" s="715" t="s">
        <v>24162</v>
      </c>
      <c r="D1622" s="716">
        <v>0</v>
      </c>
    </row>
    <row r="1623" spans="1:4" ht="56">
      <c r="A1623" s="715">
        <v>102899</v>
      </c>
      <c r="B1623" s="633" t="s">
        <v>33229</v>
      </c>
      <c r="C1623" s="715" t="s">
        <v>24295</v>
      </c>
      <c r="D1623" s="716">
        <v>0</v>
      </c>
    </row>
    <row r="1624" spans="1:4" ht="56">
      <c r="A1624" s="715">
        <v>102898</v>
      </c>
      <c r="B1624" s="633" t="s">
        <v>33230</v>
      </c>
      <c r="C1624" s="715" t="s">
        <v>24162</v>
      </c>
      <c r="D1624" s="716">
        <v>0</v>
      </c>
    </row>
    <row r="1625" spans="1:4" ht="42">
      <c r="A1625" s="715">
        <v>5632</v>
      </c>
      <c r="B1625" s="633" t="s">
        <v>24294</v>
      </c>
      <c r="C1625" s="715" t="s">
        <v>24295</v>
      </c>
      <c r="D1625" s="716">
        <v>106.81</v>
      </c>
    </row>
    <row r="1626" spans="1:4" ht="42">
      <c r="A1626" s="715">
        <v>5631</v>
      </c>
      <c r="B1626" s="633" t="s">
        <v>24161</v>
      </c>
      <c r="C1626" s="715" t="s">
        <v>24162</v>
      </c>
      <c r="D1626" s="716">
        <v>244.5</v>
      </c>
    </row>
    <row r="1627" spans="1:4" ht="42">
      <c r="A1627" s="715">
        <v>88908</v>
      </c>
      <c r="B1627" s="633" t="s">
        <v>24340</v>
      </c>
      <c r="C1627" s="715" t="s">
        <v>24295</v>
      </c>
      <c r="D1627" s="716">
        <v>114.72</v>
      </c>
    </row>
    <row r="1628" spans="1:4" ht="42">
      <c r="A1628" s="715">
        <v>88907</v>
      </c>
      <c r="B1628" s="633" t="s">
        <v>24210</v>
      </c>
      <c r="C1628" s="715" t="s">
        <v>24162</v>
      </c>
      <c r="D1628" s="716">
        <v>291.14999999999998</v>
      </c>
    </row>
    <row r="1629" spans="1:4" ht="42">
      <c r="A1629" s="715">
        <v>5911</v>
      </c>
      <c r="B1629" s="633" t="s">
        <v>24315</v>
      </c>
      <c r="C1629" s="715" t="s">
        <v>24295</v>
      </c>
      <c r="D1629" s="716">
        <v>36.71</v>
      </c>
    </row>
    <row r="1630" spans="1:4" ht="42">
      <c r="A1630" s="715">
        <v>5909</v>
      </c>
      <c r="B1630" s="633" t="s">
        <v>24184</v>
      </c>
      <c r="C1630" s="715" t="s">
        <v>24162</v>
      </c>
      <c r="D1630" s="716">
        <v>45.16</v>
      </c>
    </row>
    <row r="1631" spans="1:4" ht="70">
      <c r="A1631" s="715">
        <v>91486</v>
      </c>
      <c r="B1631" s="633" t="s">
        <v>40222</v>
      </c>
      <c r="C1631" s="715" t="s">
        <v>24295</v>
      </c>
      <c r="D1631" s="716">
        <v>80.569999999999993</v>
      </c>
    </row>
    <row r="1632" spans="1:4" ht="70">
      <c r="A1632" s="715">
        <v>83362</v>
      </c>
      <c r="B1632" s="633" t="s">
        <v>40223</v>
      </c>
      <c r="C1632" s="715" t="s">
        <v>24162</v>
      </c>
      <c r="D1632" s="716">
        <v>314.14999999999998</v>
      </c>
    </row>
    <row r="1633" spans="1:4" ht="42">
      <c r="A1633" s="715">
        <v>102839</v>
      </c>
      <c r="B1633" s="633" t="s">
        <v>40224</v>
      </c>
      <c r="C1633" s="715" t="s">
        <v>24295</v>
      </c>
      <c r="D1633" s="716">
        <v>0</v>
      </c>
    </row>
    <row r="1634" spans="1:4" ht="42">
      <c r="A1634" s="715">
        <v>102838</v>
      </c>
      <c r="B1634" s="633" t="s">
        <v>40225</v>
      </c>
      <c r="C1634" s="715" t="s">
        <v>24162</v>
      </c>
      <c r="D1634" s="716">
        <v>0</v>
      </c>
    </row>
    <row r="1635" spans="1:4" ht="42">
      <c r="A1635" s="715">
        <v>89235</v>
      </c>
      <c r="B1635" s="633" t="s">
        <v>24346</v>
      </c>
      <c r="C1635" s="715" t="s">
        <v>24295</v>
      </c>
      <c r="D1635" s="716">
        <v>196.52</v>
      </c>
    </row>
    <row r="1636" spans="1:4" ht="42">
      <c r="A1636" s="715">
        <v>89234</v>
      </c>
      <c r="B1636" s="633" t="s">
        <v>24215</v>
      </c>
      <c r="C1636" s="715" t="s">
        <v>24162</v>
      </c>
      <c r="D1636" s="716">
        <v>617.33000000000004</v>
      </c>
    </row>
    <row r="1637" spans="1:4" ht="42">
      <c r="A1637" s="715">
        <v>89243</v>
      </c>
      <c r="B1637" s="633" t="s">
        <v>24347</v>
      </c>
      <c r="C1637" s="715" t="s">
        <v>24295</v>
      </c>
      <c r="D1637" s="716">
        <v>409.83</v>
      </c>
    </row>
    <row r="1638" spans="1:4" ht="42">
      <c r="A1638" s="715">
        <v>89242</v>
      </c>
      <c r="B1638" s="633" t="s">
        <v>24216</v>
      </c>
      <c r="C1638" s="715" t="s">
        <v>24162</v>
      </c>
      <c r="D1638" s="716">
        <v>1455.39</v>
      </c>
    </row>
    <row r="1639" spans="1:4" ht="84">
      <c r="A1639" s="715">
        <v>102935</v>
      </c>
      <c r="B1639" s="633" t="s">
        <v>33231</v>
      </c>
      <c r="C1639" s="715" t="s">
        <v>24295</v>
      </c>
      <c r="D1639" s="716">
        <v>0</v>
      </c>
    </row>
    <row r="1640" spans="1:4" ht="84">
      <c r="A1640" s="715">
        <v>102934</v>
      </c>
      <c r="B1640" s="633" t="s">
        <v>33232</v>
      </c>
      <c r="C1640" s="715" t="s">
        <v>24162</v>
      </c>
      <c r="D1640" s="716">
        <v>0</v>
      </c>
    </row>
    <row r="1641" spans="1:4" ht="42">
      <c r="A1641" s="715">
        <v>93416</v>
      </c>
      <c r="B1641" s="633" t="s">
        <v>24396</v>
      </c>
      <c r="C1641" s="715" t="s">
        <v>24295</v>
      </c>
      <c r="D1641" s="716">
        <v>0.46</v>
      </c>
    </row>
    <row r="1642" spans="1:4" ht="42">
      <c r="A1642" s="715">
        <v>93415</v>
      </c>
      <c r="B1642" s="633" t="s">
        <v>24264</v>
      </c>
      <c r="C1642" s="715" t="s">
        <v>24162</v>
      </c>
      <c r="D1642" s="716">
        <v>12.84</v>
      </c>
    </row>
    <row r="1643" spans="1:4" ht="42">
      <c r="A1643" s="715">
        <v>5689</v>
      </c>
      <c r="B1643" s="633" t="s">
        <v>24166</v>
      </c>
      <c r="C1643" s="715" t="s">
        <v>24162</v>
      </c>
      <c r="D1643" s="716">
        <v>6.69</v>
      </c>
    </row>
    <row r="1644" spans="1:4" ht="42">
      <c r="A1644" s="715">
        <v>5690</v>
      </c>
      <c r="B1644" s="633" t="s">
        <v>28860</v>
      </c>
      <c r="C1644" s="715" t="s">
        <v>24295</v>
      </c>
      <c r="D1644" s="716">
        <v>4.33</v>
      </c>
    </row>
    <row r="1645" spans="1:4" ht="42">
      <c r="A1645" s="715">
        <v>5923</v>
      </c>
      <c r="B1645" s="633" t="s">
        <v>24316</v>
      </c>
      <c r="C1645" s="715" t="s">
        <v>24295</v>
      </c>
      <c r="D1645" s="716">
        <v>3.4</v>
      </c>
    </row>
    <row r="1646" spans="1:4" ht="42">
      <c r="A1646" s="715">
        <v>5921</v>
      </c>
      <c r="B1646" s="633" t="s">
        <v>24185</v>
      </c>
      <c r="C1646" s="715" t="s">
        <v>24162</v>
      </c>
      <c r="D1646" s="716">
        <v>5.25</v>
      </c>
    </row>
    <row r="1647" spans="1:4" ht="42">
      <c r="A1647" s="715">
        <v>95212</v>
      </c>
      <c r="B1647" s="633" t="s">
        <v>24273</v>
      </c>
      <c r="C1647" s="715" t="s">
        <v>24162</v>
      </c>
      <c r="D1647" s="716">
        <v>168.77</v>
      </c>
    </row>
    <row r="1648" spans="1:4" ht="42">
      <c r="A1648" s="715">
        <v>95213</v>
      </c>
      <c r="B1648" s="633" t="s">
        <v>24404</v>
      </c>
      <c r="C1648" s="715" t="s">
        <v>24295</v>
      </c>
      <c r="D1648" s="716">
        <v>101.99</v>
      </c>
    </row>
    <row r="1649" spans="1:4" ht="42">
      <c r="A1649" s="715">
        <v>93272</v>
      </c>
      <c r="B1649" s="633" t="s">
        <v>24260</v>
      </c>
      <c r="C1649" s="715" t="s">
        <v>24162</v>
      </c>
      <c r="D1649" s="716">
        <v>106.48</v>
      </c>
    </row>
    <row r="1650" spans="1:4" ht="42">
      <c r="A1650" s="715">
        <v>93274</v>
      </c>
      <c r="B1650" s="633" t="s">
        <v>24392</v>
      </c>
      <c r="C1650" s="715" t="s">
        <v>24295</v>
      </c>
      <c r="D1650" s="716">
        <v>72.52</v>
      </c>
    </row>
    <row r="1651" spans="1:4" ht="42">
      <c r="A1651" s="715">
        <v>83766</v>
      </c>
      <c r="B1651" s="633" t="s">
        <v>24331</v>
      </c>
      <c r="C1651" s="715" t="s">
        <v>24295</v>
      </c>
      <c r="D1651" s="716">
        <v>56.29</v>
      </c>
    </row>
    <row r="1652" spans="1:4" ht="42">
      <c r="A1652" s="715">
        <v>83765</v>
      </c>
      <c r="B1652" s="633" t="s">
        <v>24201</v>
      </c>
      <c r="C1652" s="715" t="s">
        <v>24162</v>
      </c>
      <c r="D1652" s="716">
        <v>125.61</v>
      </c>
    </row>
    <row r="1653" spans="1:4" ht="42">
      <c r="A1653" s="715">
        <v>95873</v>
      </c>
      <c r="B1653" s="633" t="s">
        <v>24412</v>
      </c>
      <c r="C1653" s="715" t="s">
        <v>24295</v>
      </c>
      <c r="D1653" s="716">
        <v>13.6</v>
      </c>
    </row>
    <row r="1654" spans="1:4" ht="42">
      <c r="A1654" s="715">
        <v>95872</v>
      </c>
      <c r="B1654" s="633" t="s">
        <v>24281</v>
      </c>
      <c r="C1654" s="715" t="s">
        <v>24162</v>
      </c>
      <c r="D1654" s="716">
        <v>353.92</v>
      </c>
    </row>
    <row r="1655" spans="1:4" ht="56">
      <c r="A1655" s="715">
        <v>104689</v>
      </c>
      <c r="B1655" s="633" t="s">
        <v>33233</v>
      </c>
      <c r="C1655" s="715" t="s">
        <v>24295</v>
      </c>
      <c r="D1655" s="716">
        <v>0</v>
      </c>
    </row>
    <row r="1656" spans="1:4" ht="56">
      <c r="A1656" s="715">
        <v>104688</v>
      </c>
      <c r="B1656" s="633" t="s">
        <v>33234</v>
      </c>
      <c r="C1656" s="715" t="s">
        <v>24162</v>
      </c>
      <c r="D1656" s="716">
        <v>0</v>
      </c>
    </row>
    <row r="1657" spans="1:4" ht="28">
      <c r="A1657" s="715">
        <v>73395</v>
      </c>
      <c r="B1657" s="633" t="s">
        <v>24330</v>
      </c>
      <c r="C1657" s="715" t="s">
        <v>24295</v>
      </c>
      <c r="D1657" s="716">
        <v>9.56</v>
      </c>
    </row>
    <row r="1658" spans="1:4" ht="28">
      <c r="A1658" s="715">
        <v>73417</v>
      </c>
      <c r="B1658" s="633" t="s">
        <v>24197</v>
      </c>
      <c r="C1658" s="715" t="s">
        <v>24162</v>
      </c>
      <c r="D1658" s="716">
        <v>229.51</v>
      </c>
    </row>
    <row r="1659" spans="1:4" ht="28">
      <c r="A1659" s="715">
        <v>93428</v>
      </c>
      <c r="B1659" s="633" t="s">
        <v>24398</v>
      </c>
      <c r="C1659" s="715" t="s">
        <v>24295</v>
      </c>
      <c r="D1659" s="716">
        <v>8.51</v>
      </c>
    </row>
    <row r="1660" spans="1:4" ht="28">
      <c r="A1660" s="715">
        <v>93427</v>
      </c>
      <c r="B1660" s="633" t="s">
        <v>24266</v>
      </c>
      <c r="C1660" s="715" t="s">
        <v>24162</v>
      </c>
      <c r="D1660" s="716">
        <v>208.62</v>
      </c>
    </row>
    <row r="1661" spans="1:4" ht="28">
      <c r="A1661" s="715">
        <v>93422</v>
      </c>
      <c r="B1661" s="633" t="s">
        <v>24397</v>
      </c>
      <c r="C1661" s="715" t="s">
        <v>24295</v>
      </c>
      <c r="D1661" s="716">
        <v>6.01</v>
      </c>
    </row>
    <row r="1662" spans="1:4" ht="28">
      <c r="A1662" s="715">
        <v>93421</v>
      </c>
      <c r="B1662" s="633" t="s">
        <v>24265</v>
      </c>
      <c r="C1662" s="715" t="s">
        <v>24162</v>
      </c>
      <c r="D1662" s="716">
        <v>91.36</v>
      </c>
    </row>
    <row r="1663" spans="1:4" ht="42">
      <c r="A1663" s="715">
        <v>93282</v>
      </c>
      <c r="B1663" s="633" t="s">
        <v>24393</v>
      </c>
      <c r="C1663" s="715" t="s">
        <v>24295</v>
      </c>
      <c r="D1663" s="716">
        <v>35.229999999999997</v>
      </c>
    </row>
    <row r="1664" spans="1:4" ht="42">
      <c r="A1664" s="715">
        <v>93281</v>
      </c>
      <c r="B1664" s="633" t="s">
        <v>24261</v>
      </c>
      <c r="C1664" s="715" t="s">
        <v>24162</v>
      </c>
      <c r="D1664" s="716">
        <v>36.119999999999997</v>
      </c>
    </row>
    <row r="1665" spans="1:4" ht="42">
      <c r="A1665" s="715">
        <v>104914</v>
      </c>
      <c r="B1665" s="633" t="s">
        <v>33235</v>
      </c>
      <c r="C1665" s="715" t="s">
        <v>24295</v>
      </c>
      <c r="D1665" s="716">
        <v>0</v>
      </c>
    </row>
    <row r="1666" spans="1:4" ht="42">
      <c r="A1666" s="715">
        <v>104913</v>
      </c>
      <c r="B1666" s="633" t="s">
        <v>33236</v>
      </c>
      <c r="C1666" s="715" t="s">
        <v>24162</v>
      </c>
      <c r="D1666" s="716">
        <v>0</v>
      </c>
    </row>
    <row r="1667" spans="1:4" ht="42">
      <c r="A1667" s="715">
        <v>102845</v>
      </c>
      <c r="B1667" s="633" t="s">
        <v>33237</v>
      </c>
      <c r="C1667" s="715" t="s">
        <v>24295</v>
      </c>
      <c r="D1667" s="716">
        <v>0</v>
      </c>
    </row>
    <row r="1668" spans="1:4" ht="42">
      <c r="A1668" s="715">
        <v>102844</v>
      </c>
      <c r="B1668" s="633" t="s">
        <v>33238</v>
      </c>
      <c r="C1668" s="715" t="s">
        <v>24162</v>
      </c>
      <c r="D1668" s="716">
        <v>0</v>
      </c>
    </row>
    <row r="1669" spans="1:4" ht="56">
      <c r="A1669" s="715">
        <v>89273</v>
      </c>
      <c r="B1669" s="633" t="s">
        <v>24350</v>
      </c>
      <c r="C1669" s="715" t="s">
        <v>24295</v>
      </c>
      <c r="D1669" s="716">
        <v>113.31</v>
      </c>
    </row>
    <row r="1670" spans="1:4" ht="56">
      <c r="A1670" s="715">
        <v>89272</v>
      </c>
      <c r="B1670" s="633" t="s">
        <v>24219</v>
      </c>
      <c r="C1670" s="715" t="s">
        <v>24162</v>
      </c>
      <c r="D1670" s="716">
        <v>231.81</v>
      </c>
    </row>
    <row r="1671" spans="1:4" ht="42">
      <c r="A1671" s="715">
        <v>93288</v>
      </c>
      <c r="B1671" s="633" t="s">
        <v>24394</v>
      </c>
      <c r="C1671" s="715" t="s">
        <v>24295</v>
      </c>
      <c r="D1671" s="716">
        <v>184.81</v>
      </c>
    </row>
    <row r="1672" spans="1:4" ht="42">
      <c r="A1672" s="715">
        <v>93287</v>
      </c>
      <c r="B1672" s="633" t="s">
        <v>24262</v>
      </c>
      <c r="C1672" s="715" t="s">
        <v>24162</v>
      </c>
      <c r="D1672" s="716">
        <v>356.16</v>
      </c>
    </row>
    <row r="1673" spans="1:4" ht="70">
      <c r="A1673" s="715">
        <v>104711</v>
      </c>
      <c r="B1673" s="633" t="s">
        <v>33239</v>
      </c>
      <c r="C1673" s="715" t="s">
        <v>24295</v>
      </c>
      <c r="D1673" s="716">
        <v>0</v>
      </c>
    </row>
    <row r="1674" spans="1:4" ht="70">
      <c r="A1674" s="715">
        <v>104710</v>
      </c>
      <c r="B1674" s="633" t="s">
        <v>33240</v>
      </c>
      <c r="C1674" s="715" t="s">
        <v>24162</v>
      </c>
      <c r="D1674" s="716">
        <v>0</v>
      </c>
    </row>
    <row r="1675" spans="1:4" ht="56">
      <c r="A1675" s="715">
        <v>104908</v>
      </c>
      <c r="B1675" s="633" t="s">
        <v>33241</v>
      </c>
      <c r="C1675" s="715" t="s">
        <v>24295</v>
      </c>
      <c r="D1675" s="716">
        <v>0</v>
      </c>
    </row>
    <row r="1676" spans="1:4" ht="56">
      <c r="A1676" s="715">
        <v>104907</v>
      </c>
      <c r="B1676" s="633" t="s">
        <v>33242</v>
      </c>
      <c r="C1676" s="715" t="s">
        <v>24162</v>
      </c>
      <c r="D1676" s="716">
        <v>0</v>
      </c>
    </row>
    <row r="1677" spans="1:4" ht="42">
      <c r="A1677" s="715">
        <v>102851</v>
      </c>
      <c r="B1677" s="633" t="s">
        <v>33243</v>
      </c>
      <c r="C1677" s="715" t="s">
        <v>24295</v>
      </c>
      <c r="D1677" s="716">
        <v>0</v>
      </c>
    </row>
    <row r="1678" spans="1:4" ht="42">
      <c r="A1678" s="715">
        <v>102850</v>
      </c>
      <c r="B1678" s="633" t="s">
        <v>33244</v>
      </c>
      <c r="C1678" s="715" t="s">
        <v>24162</v>
      </c>
      <c r="D1678" s="716">
        <v>0</v>
      </c>
    </row>
    <row r="1679" spans="1:4" ht="42">
      <c r="A1679" s="715">
        <v>102857</v>
      </c>
      <c r="B1679" s="633" t="s">
        <v>33245</v>
      </c>
      <c r="C1679" s="715" t="s">
        <v>24295</v>
      </c>
      <c r="D1679" s="716">
        <v>0</v>
      </c>
    </row>
    <row r="1680" spans="1:4" ht="42">
      <c r="A1680" s="715">
        <v>102856</v>
      </c>
      <c r="B1680" s="633" t="s">
        <v>33246</v>
      </c>
      <c r="C1680" s="715" t="s">
        <v>24162</v>
      </c>
      <c r="D1680" s="716">
        <v>0</v>
      </c>
    </row>
    <row r="1681" spans="1:4" ht="70">
      <c r="A1681" s="715">
        <v>106256</v>
      </c>
      <c r="B1681" s="633" t="s">
        <v>42304</v>
      </c>
      <c r="C1681" s="715" t="s">
        <v>24295</v>
      </c>
      <c r="D1681" s="716">
        <v>111.28</v>
      </c>
    </row>
    <row r="1682" spans="1:4" ht="70">
      <c r="A1682" s="715">
        <v>106251</v>
      </c>
      <c r="B1682" s="633" t="s">
        <v>42305</v>
      </c>
      <c r="C1682" s="715" t="s">
        <v>24162</v>
      </c>
      <c r="D1682" s="716">
        <v>376.45</v>
      </c>
    </row>
    <row r="1683" spans="1:4" ht="70">
      <c r="A1683" s="715">
        <v>93403</v>
      </c>
      <c r="B1683" s="633" t="s">
        <v>24395</v>
      </c>
      <c r="C1683" s="715" t="s">
        <v>24295</v>
      </c>
      <c r="D1683" s="716">
        <v>81.84</v>
      </c>
    </row>
    <row r="1684" spans="1:4" ht="70">
      <c r="A1684" s="715">
        <v>93402</v>
      </c>
      <c r="B1684" s="633" t="s">
        <v>24263</v>
      </c>
      <c r="C1684" s="715" t="s">
        <v>24162</v>
      </c>
      <c r="D1684" s="716">
        <v>318.79000000000002</v>
      </c>
    </row>
    <row r="1685" spans="1:4" ht="70">
      <c r="A1685" s="715">
        <v>5930</v>
      </c>
      <c r="B1685" s="633" t="s">
        <v>24317</v>
      </c>
      <c r="C1685" s="715" t="s">
        <v>24295</v>
      </c>
      <c r="D1685" s="716">
        <v>84.97</v>
      </c>
    </row>
    <row r="1686" spans="1:4" ht="70">
      <c r="A1686" s="715">
        <v>5928</v>
      </c>
      <c r="B1686" s="633" t="s">
        <v>24186</v>
      </c>
      <c r="C1686" s="715" t="s">
        <v>24162</v>
      </c>
      <c r="D1686" s="716">
        <v>324.77999999999997</v>
      </c>
    </row>
    <row r="1687" spans="1:4" ht="84">
      <c r="A1687" s="715">
        <v>105845</v>
      </c>
      <c r="B1687" s="633" t="s">
        <v>33247</v>
      </c>
      <c r="C1687" s="715" t="s">
        <v>24295</v>
      </c>
      <c r="D1687" s="716">
        <v>0</v>
      </c>
    </row>
    <row r="1688" spans="1:4" ht="84">
      <c r="A1688" s="715">
        <v>105844</v>
      </c>
      <c r="B1688" s="633" t="s">
        <v>33248</v>
      </c>
      <c r="C1688" s="715" t="s">
        <v>24162</v>
      </c>
      <c r="D1688" s="716">
        <v>0</v>
      </c>
    </row>
    <row r="1689" spans="1:4" ht="70">
      <c r="A1689" s="715">
        <v>91635</v>
      </c>
      <c r="B1689" s="633" t="s">
        <v>24377</v>
      </c>
      <c r="C1689" s="715" t="s">
        <v>24295</v>
      </c>
      <c r="D1689" s="716">
        <v>76.239999999999995</v>
      </c>
    </row>
    <row r="1690" spans="1:4" ht="70">
      <c r="A1690" s="715">
        <v>91634</v>
      </c>
      <c r="B1690" s="633" t="s">
        <v>24246</v>
      </c>
      <c r="C1690" s="715" t="s">
        <v>24162</v>
      </c>
      <c r="D1690" s="716">
        <v>277.07</v>
      </c>
    </row>
    <row r="1691" spans="1:4" ht="84">
      <c r="A1691" s="715">
        <v>105985</v>
      </c>
      <c r="B1691" s="633" t="s">
        <v>40226</v>
      </c>
      <c r="C1691" s="715" t="s">
        <v>24295</v>
      </c>
      <c r="D1691" s="716">
        <v>108.54</v>
      </c>
    </row>
    <row r="1692" spans="1:4" ht="84">
      <c r="A1692" s="715">
        <v>105984</v>
      </c>
      <c r="B1692" s="633" t="s">
        <v>40227</v>
      </c>
      <c r="C1692" s="715" t="s">
        <v>24162</v>
      </c>
      <c r="D1692" s="716">
        <v>371.22</v>
      </c>
    </row>
    <row r="1693" spans="1:4" ht="56">
      <c r="A1693" s="715">
        <v>98765</v>
      </c>
      <c r="B1693" s="633" t="s">
        <v>41099</v>
      </c>
      <c r="C1693" s="715" t="s">
        <v>24295</v>
      </c>
      <c r="D1693" s="716">
        <v>7.0000000000000007E-2</v>
      </c>
    </row>
    <row r="1694" spans="1:4" ht="56">
      <c r="A1694" s="715">
        <v>98764</v>
      </c>
      <c r="B1694" s="633" t="s">
        <v>41100</v>
      </c>
      <c r="C1694" s="715" t="s">
        <v>24162</v>
      </c>
      <c r="D1694" s="716">
        <v>5.25</v>
      </c>
    </row>
    <row r="1695" spans="1:4" ht="56">
      <c r="A1695" s="715">
        <v>99834</v>
      </c>
      <c r="B1695" s="633" t="s">
        <v>24420</v>
      </c>
      <c r="C1695" s="715" t="s">
        <v>24295</v>
      </c>
      <c r="D1695" s="716">
        <v>0.19</v>
      </c>
    </row>
    <row r="1696" spans="1:4" ht="56">
      <c r="A1696" s="715">
        <v>99833</v>
      </c>
      <c r="B1696" s="633" t="s">
        <v>24288</v>
      </c>
      <c r="C1696" s="715" t="s">
        <v>24162</v>
      </c>
      <c r="D1696" s="716">
        <v>4.0999999999999996</v>
      </c>
    </row>
    <row r="1697" spans="1:4" ht="42">
      <c r="A1697" s="715">
        <v>104521</v>
      </c>
      <c r="B1697" s="633" t="s">
        <v>33249</v>
      </c>
      <c r="C1697" s="715" t="s">
        <v>24295</v>
      </c>
      <c r="D1697" s="716">
        <v>0</v>
      </c>
    </row>
    <row r="1698" spans="1:4" ht="42">
      <c r="A1698" s="715">
        <v>104520</v>
      </c>
      <c r="B1698" s="633" t="s">
        <v>33250</v>
      </c>
      <c r="C1698" s="715" t="s">
        <v>24162</v>
      </c>
      <c r="D1698" s="716">
        <v>0</v>
      </c>
    </row>
    <row r="1699" spans="1:4" ht="42">
      <c r="A1699" s="715">
        <v>90687</v>
      </c>
      <c r="B1699" s="633" t="s">
        <v>24365</v>
      </c>
      <c r="C1699" s="715" t="s">
        <v>24295</v>
      </c>
      <c r="D1699" s="716">
        <v>83.07</v>
      </c>
    </row>
    <row r="1700" spans="1:4" ht="42">
      <c r="A1700" s="715">
        <v>90686</v>
      </c>
      <c r="B1700" s="633" t="s">
        <v>24235</v>
      </c>
      <c r="C1700" s="715" t="s">
        <v>24162</v>
      </c>
      <c r="D1700" s="716">
        <v>193.17</v>
      </c>
    </row>
    <row r="1701" spans="1:4" ht="28">
      <c r="A1701" s="715">
        <v>5952</v>
      </c>
      <c r="B1701" s="633" t="s">
        <v>24321</v>
      </c>
      <c r="C1701" s="715" t="s">
        <v>24295</v>
      </c>
      <c r="D1701" s="716">
        <v>35.21</v>
      </c>
    </row>
    <row r="1702" spans="1:4" ht="28">
      <c r="A1702" s="715">
        <v>5795</v>
      </c>
      <c r="B1702" s="633" t="s">
        <v>24167</v>
      </c>
      <c r="C1702" s="715" t="s">
        <v>24162</v>
      </c>
      <c r="D1702" s="716">
        <v>35.700000000000003</v>
      </c>
    </row>
    <row r="1703" spans="1:4" ht="28">
      <c r="A1703" s="715">
        <v>104657</v>
      </c>
      <c r="B1703" s="633" t="s">
        <v>33251</v>
      </c>
      <c r="C1703" s="715" t="s">
        <v>24295</v>
      </c>
      <c r="D1703" s="716">
        <v>0</v>
      </c>
    </row>
    <row r="1704" spans="1:4" ht="28">
      <c r="A1704" s="715">
        <v>104656</v>
      </c>
      <c r="B1704" s="633" t="s">
        <v>33252</v>
      </c>
      <c r="C1704" s="715" t="s">
        <v>24162</v>
      </c>
      <c r="D1704" s="716">
        <v>0</v>
      </c>
    </row>
    <row r="1705" spans="1:4" ht="42">
      <c r="A1705" s="715">
        <v>102274</v>
      </c>
      <c r="B1705" s="633" t="s">
        <v>40228</v>
      </c>
      <c r="C1705" s="715" t="s">
        <v>24295</v>
      </c>
      <c r="D1705" s="716">
        <v>35.54</v>
      </c>
    </row>
    <row r="1706" spans="1:4" ht="42">
      <c r="A1706" s="715">
        <v>102275</v>
      </c>
      <c r="B1706" s="633" t="s">
        <v>24291</v>
      </c>
      <c r="C1706" s="715" t="s">
        <v>24162</v>
      </c>
      <c r="D1706" s="716">
        <v>37.83</v>
      </c>
    </row>
    <row r="1707" spans="1:4" ht="28">
      <c r="A1707" s="715">
        <v>95259</v>
      </c>
      <c r="B1707" s="633" t="s">
        <v>24405</v>
      </c>
      <c r="C1707" s="715" t="s">
        <v>24295</v>
      </c>
      <c r="D1707" s="716">
        <v>35.700000000000003</v>
      </c>
    </row>
    <row r="1708" spans="1:4" ht="28">
      <c r="A1708" s="715">
        <v>95258</v>
      </c>
      <c r="B1708" s="633" t="s">
        <v>24274</v>
      </c>
      <c r="C1708" s="715" t="s">
        <v>24162</v>
      </c>
      <c r="D1708" s="716">
        <v>36.69</v>
      </c>
    </row>
    <row r="1709" spans="1:4" ht="28">
      <c r="A1709" s="715">
        <v>105917</v>
      </c>
      <c r="B1709" s="633" t="s">
        <v>33253</v>
      </c>
      <c r="C1709" s="715" t="s">
        <v>24295</v>
      </c>
      <c r="D1709" s="716">
        <v>35.549999999999997</v>
      </c>
    </row>
    <row r="1710" spans="1:4" ht="28">
      <c r="A1710" s="715">
        <v>105916</v>
      </c>
      <c r="B1710" s="633" t="s">
        <v>33254</v>
      </c>
      <c r="C1710" s="715" t="s">
        <v>24162</v>
      </c>
      <c r="D1710" s="716">
        <v>36.39</v>
      </c>
    </row>
    <row r="1711" spans="1:4" ht="84">
      <c r="A1711" s="715">
        <v>103794</v>
      </c>
      <c r="B1711" s="633" t="s">
        <v>33255</v>
      </c>
      <c r="C1711" s="715" t="s">
        <v>24295</v>
      </c>
      <c r="D1711" s="716">
        <v>0</v>
      </c>
    </row>
    <row r="1712" spans="1:4" ht="84">
      <c r="A1712" s="715">
        <v>103793</v>
      </c>
      <c r="B1712" s="633" t="s">
        <v>33256</v>
      </c>
      <c r="C1712" s="715" t="s">
        <v>24162</v>
      </c>
      <c r="D1712" s="716">
        <v>0</v>
      </c>
    </row>
    <row r="1713" spans="1:4" ht="42">
      <c r="A1713" s="715">
        <v>96156</v>
      </c>
      <c r="B1713" s="633" t="s">
        <v>24418</v>
      </c>
      <c r="C1713" s="715" t="s">
        <v>24295</v>
      </c>
      <c r="D1713" s="716">
        <v>76.3</v>
      </c>
    </row>
    <row r="1714" spans="1:4" ht="42">
      <c r="A1714" s="715">
        <v>96158</v>
      </c>
      <c r="B1714" s="633" t="s">
        <v>24287</v>
      </c>
      <c r="C1714" s="715" t="s">
        <v>24162</v>
      </c>
      <c r="D1714" s="716">
        <v>165.57</v>
      </c>
    </row>
    <row r="1715" spans="1:4" ht="42">
      <c r="A1715" s="715">
        <v>90693</v>
      </c>
      <c r="B1715" s="633" t="s">
        <v>24366</v>
      </c>
      <c r="C1715" s="715" t="s">
        <v>24295</v>
      </c>
      <c r="D1715" s="716">
        <v>71.33</v>
      </c>
    </row>
    <row r="1716" spans="1:4" ht="42">
      <c r="A1716" s="715">
        <v>90692</v>
      </c>
      <c r="B1716" s="633" t="s">
        <v>24236</v>
      </c>
      <c r="C1716" s="715" t="s">
        <v>24162</v>
      </c>
      <c r="D1716" s="716">
        <v>155.68</v>
      </c>
    </row>
    <row r="1717" spans="1:4" ht="42">
      <c r="A1717" s="715">
        <v>96246</v>
      </c>
      <c r="B1717" s="633" t="s">
        <v>30036</v>
      </c>
      <c r="C1717" s="715" t="s">
        <v>24295</v>
      </c>
      <c r="D1717" s="716">
        <v>85.31</v>
      </c>
    </row>
    <row r="1718" spans="1:4" ht="42">
      <c r="A1718" s="715">
        <v>96245</v>
      </c>
      <c r="B1718" s="633" t="s">
        <v>30026</v>
      </c>
      <c r="C1718" s="715" t="s">
        <v>24162</v>
      </c>
      <c r="D1718" s="716">
        <v>144.68</v>
      </c>
    </row>
    <row r="1719" spans="1:4" ht="42">
      <c r="A1719" s="715">
        <v>88404</v>
      </c>
      <c r="B1719" s="633" t="s">
        <v>24335</v>
      </c>
      <c r="C1719" s="715" t="s">
        <v>24295</v>
      </c>
      <c r="D1719" s="716">
        <v>1.02</v>
      </c>
    </row>
    <row r="1720" spans="1:4" ht="42">
      <c r="A1720" s="715">
        <v>88399</v>
      </c>
      <c r="B1720" s="633" t="s">
        <v>24205</v>
      </c>
      <c r="C1720" s="715" t="s">
        <v>24162</v>
      </c>
      <c r="D1720" s="716">
        <v>3.54</v>
      </c>
    </row>
    <row r="1721" spans="1:4" ht="42">
      <c r="A1721" s="715">
        <v>88392</v>
      </c>
      <c r="B1721" s="633" t="s">
        <v>24333</v>
      </c>
      <c r="C1721" s="715" t="s">
        <v>24295</v>
      </c>
      <c r="D1721" s="716">
        <v>1.08</v>
      </c>
    </row>
    <row r="1722" spans="1:4" ht="42">
      <c r="A1722" s="715">
        <v>88386</v>
      </c>
      <c r="B1722" s="633" t="s">
        <v>24203</v>
      </c>
      <c r="C1722" s="715" t="s">
        <v>24162</v>
      </c>
      <c r="D1722" s="716">
        <v>4.7300000000000004</v>
      </c>
    </row>
    <row r="1723" spans="1:4" ht="42">
      <c r="A1723" s="715">
        <v>88398</v>
      </c>
      <c r="B1723" s="633" t="s">
        <v>24334</v>
      </c>
      <c r="C1723" s="715" t="s">
        <v>24295</v>
      </c>
      <c r="D1723" s="716">
        <v>1.29</v>
      </c>
    </row>
    <row r="1724" spans="1:4" ht="42">
      <c r="A1724" s="715">
        <v>88393</v>
      </c>
      <c r="B1724" s="633" t="s">
        <v>24204</v>
      </c>
      <c r="C1724" s="715" t="s">
        <v>24162</v>
      </c>
      <c r="D1724" s="716">
        <v>6.47</v>
      </c>
    </row>
    <row r="1725" spans="1:4" ht="70">
      <c r="A1725" s="715">
        <v>90638</v>
      </c>
      <c r="B1725" s="633" t="s">
        <v>24357</v>
      </c>
      <c r="C1725" s="715" t="s">
        <v>24295</v>
      </c>
      <c r="D1725" s="716">
        <v>5.14</v>
      </c>
    </row>
    <row r="1726" spans="1:4" ht="70">
      <c r="A1726" s="715">
        <v>90637</v>
      </c>
      <c r="B1726" s="633" t="s">
        <v>24227</v>
      </c>
      <c r="C1726" s="715" t="s">
        <v>24162</v>
      </c>
      <c r="D1726" s="716">
        <v>15.09</v>
      </c>
    </row>
    <row r="1727" spans="1:4" ht="56">
      <c r="A1727" s="715">
        <v>103243</v>
      </c>
      <c r="B1727" s="633" t="s">
        <v>33257</v>
      </c>
      <c r="C1727" s="715" t="s">
        <v>24295</v>
      </c>
      <c r="D1727" s="716">
        <v>0</v>
      </c>
    </row>
    <row r="1728" spans="1:4" ht="56">
      <c r="A1728" s="715">
        <v>103242</v>
      </c>
      <c r="B1728" s="633" t="s">
        <v>33258</v>
      </c>
      <c r="C1728" s="715" t="s">
        <v>24162</v>
      </c>
      <c r="D1728" s="716">
        <v>0</v>
      </c>
    </row>
    <row r="1729" spans="1:4" ht="56">
      <c r="A1729" s="715">
        <v>5806</v>
      </c>
      <c r="B1729" s="633" t="s">
        <v>24299</v>
      </c>
      <c r="C1729" s="715" t="s">
        <v>24295</v>
      </c>
      <c r="D1729" s="716">
        <v>0.23</v>
      </c>
    </row>
    <row r="1730" spans="1:4" ht="56">
      <c r="A1730" s="715">
        <v>73536</v>
      </c>
      <c r="B1730" s="633" t="s">
        <v>24200</v>
      </c>
      <c r="C1730" s="715" t="s">
        <v>24162</v>
      </c>
      <c r="D1730" s="716">
        <v>23.28</v>
      </c>
    </row>
    <row r="1731" spans="1:4" ht="70">
      <c r="A1731" s="715">
        <v>7043</v>
      </c>
      <c r="B1731" s="633" t="s">
        <v>24327</v>
      </c>
      <c r="C1731" s="715" t="s">
        <v>24295</v>
      </c>
      <c r="D1731" s="716">
        <v>0.28000000000000003</v>
      </c>
    </row>
    <row r="1732" spans="1:4" ht="70">
      <c r="A1732" s="715">
        <v>7042</v>
      </c>
      <c r="B1732" s="633" t="s">
        <v>24194</v>
      </c>
      <c r="C1732" s="715" t="s">
        <v>24162</v>
      </c>
      <c r="D1732" s="716">
        <v>27.48</v>
      </c>
    </row>
    <row r="1733" spans="1:4" ht="56">
      <c r="A1733" s="715">
        <v>5934</v>
      </c>
      <c r="B1733" s="633" t="s">
        <v>24318</v>
      </c>
      <c r="C1733" s="715" t="s">
        <v>24295</v>
      </c>
      <c r="D1733" s="716">
        <v>112.78</v>
      </c>
    </row>
    <row r="1734" spans="1:4" ht="56">
      <c r="A1734" s="715">
        <v>5932</v>
      </c>
      <c r="B1734" s="633" t="s">
        <v>24187</v>
      </c>
      <c r="C1734" s="715" t="s">
        <v>24162</v>
      </c>
      <c r="D1734" s="716">
        <v>291.5</v>
      </c>
    </row>
    <row r="1735" spans="1:4" ht="42">
      <c r="A1735" s="715">
        <v>96159</v>
      </c>
      <c r="B1735" s="633" t="s">
        <v>24419</v>
      </c>
      <c r="C1735" s="715" t="s">
        <v>24295</v>
      </c>
      <c r="D1735" s="716">
        <v>110.99</v>
      </c>
    </row>
    <row r="1736" spans="1:4" ht="42">
      <c r="A1736" s="715">
        <v>95133</v>
      </c>
      <c r="B1736" s="633" t="s">
        <v>24271</v>
      </c>
      <c r="C1736" s="715" t="s">
        <v>24162</v>
      </c>
      <c r="D1736" s="716">
        <v>214.17</v>
      </c>
    </row>
    <row r="1737" spans="1:4" ht="42">
      <c r="A1737" s="715">
        <v>102986</v>
      </c>
      <c r="B1737" s="633" t="s">
        <v>40229</v>
      </c>
      <c r="C1737" s="715" t="s">
        <v>24295</v>
      </c>
      <c r="D1737" s="716">
        <v>0</v>
      </c>
    </row>
    <row r="1738" spans="1:4" ht="42">
      <c r="A1738" s="715">
        <v>102987</v>
      </c>
      <c r="B1738" s="633" t="s">
        <v>40230</v>
      </c>
      <c r="C1738" s="715" t="s">
        <v>24162</v>
      </c>
      <c r="D1738" s="716">
        <v>0</v>
      </c>
    </row>
    <row r="1739" spans="1:4" ht="42">
      <c r="A1739" s="715">
        <v>92961</v>
      </c>
      <c r="B1739" s="633" t="s">
        <v>24388</v>
      </c>
      <c r="C1739" s="715" t="s">
        <v>24295</v>
      </c>
      <c r="D1739" s="716">
        <v>5.61</v>
      </c>
    </row>
    <row r="1740" spans="1:4" ht="42">
      <c r="A1740" s="715">
        <v>92960</v>
      </c>
      <c r="B1740" s="633" t="s">
        <v>24257</v>
      </c>
      <c r="C1740" s="715" t="s">
        <v>24162</v>
      </c>
      <c r="D1740" s="716">
        <v>21.85</v>
      </c>
    </row>
    <row r="1741" spans="1:4" ht="42">
      <c r="A1741" s="715">
        <v>102863</v>
      </c>
      <c r="B1741" s="633" t="s">
        <v>33259</v>
      </c>
      <c r="C1741" s="715" t="s">
        <v>24295</v>
      </c>
      <c r="D1741" s="716">
        <v>0</v>
      </c>
    </row>
    <row r="1742" spans="1:4" ht="42">
      <c r="A1742" s="715">
        <v>102862</v>
      </c>
      <c r="B1742" s="633" t="s">
        <v>33260</v>
      </c>
      <c r="C1742" s="715" t="s">
        <v>24162</v>
      </c>
      <c r="D1742" s="716">
        <v>0</v>
      </c>
    </row>
    <row r="1743" spans="1:4" ht="70">
      <c r="A1743" s="715">
        <v>93409</v>
      </c>
      <c r="B1743" s="633" t="s">
        <v>40231</v>
      </c>
      <c r="C1743" s="715" t="s">
        <v>24295</v>
      </c>
      <c r="D1743" s="716">
        <v>39.22</v>
      </c>
    </row>
    <row r="1744" spans="1:4" ht="70">
      <c r="A1744" s="715">
        <v>93408</v>
      </c>
      <c r="B1744" s="633" t="s">
        <v>40232</v>
      </c>
      <c r="C1744" s="715" t="s">
        <v>24162</v>
      </c>
      <c r="D1744" s="716">
        <v>105.72</v>
      </c>
    </row>
    <row r="1745" spans="1:4" ht="28">
      <c r="A1745" s="715">
        <v>102941</v>
      </c>
      <c r="B1745" s="633" t="s">
        <v>33261</v>
      </c>
      <c r="C1745" s="715" t="s">
        <v>24295</v>
      </c>
      <c r="D1745" s="716">
        <v>0</v>
      </c>
    </row>
    <row r="1746" spans="1:4" ht="28">
      <c r="A1746" s="715">
        <v>102940</v>
      </c>
      <c r="B1746" s="633" t="s">
        <v>33262</v>
      </c>
      <c r="C1746" s="715" t="s">
        <v>24162</v>
      </c>
      <c r="D1746" s="716">
        <v>0</v>
      </c>
    </row>
    <row r="1747" spans="1:4" ht="56">
      <c r="A1747" s="715">
        <v>103164</v>
      </c>
      <c r="B1747" s="633" t="s">
        <v>33263</v>
      </c>
      <c r="C1747" s="715" t="s">
        <v>24295</v>
      </c>
      <c r="D1747" s="716">
        <v>0</v>
      </c>
    </row>
    <row r="1748" spans="1:4" ht="56">
      <c r="A1748" s="715">
        <v>103163</v>
      </c>
      <c r="B1748" s="633" t="s">
        <v>33264</v>
      </c>
      <c r="C1748" s="715" t="s">
        <v>24162</v>
      </c>
      <c r="D1748" s="716">
        <v>0</v>
      </c>
    </row>
    <row r="1749" spans="1:4" ht="56">
      <c r="A1749" s="715">
        <v>103158</v>
      </c>
      <c r="B1749" s="633" t="s">
        <v>33265</v>
      </c>
      <c r="C1749" s="715" t="s">
        <v>24295</v>
      </c>
      <c r="D1749" s="716">
        <v>0</v>
      </c>
    </row>
    <row r="1750" spans="1:4" ht="56">
      <c r="A1750" s="715">
        <v>103157</v>
      </c>
      <c r="B1750" s="633" t="s">
        <v>33266</v>
      </c>
      <c r="C1750" s="715" t="s">
        <v>24162</v>
      </c>
      <c r="D1750" s="716">
        <v>0</v>
      </c>
    </row>
    <row r="1751" spans="1:4" ht="56">
      <c r="A1751" s="715">
        <v>103176</v>
      </c>
      <c r="B1751" s="633" t="s">
        <v>33267</v>
      </c>
      <c r="C1751" s="715" t="s">
        <v>24295</v>
      </c>
      <c r="D1751" s="716">
        <v>0</v>
      </c>
    </row>
    <row r="1752" spans="1:4" ht="56">
      <c r="A1752" s="715">
        <v>103175</v>
      </c>
      <c r="B1752" s="633" t="s">
        <v>33268</v>
      </c>
      <c r="C1752" s="715" t="s">
        <v>24162</v>
      </c>
      <c r="D1752" s="716">
        <v>0</v>
      </c>
    </row>
    <row r="1753" spans="1:4" ht="70">
      <c r="A1753" s="715">
        <v>103182</v>
      </c>
      <c r="B1753" s="633" t="s">
        <v>33269</v>
      </c>
      <c r="C1753" s="715" t="s">
        <v>24295</v>
      </c>
      <c r="D1753" s="716">
        <v>0</v>
      </c>
    </row>
    <row r="1754" spans="1:4" ht="70">
      <c r="A1754" s="715">
        <v>103181</v>
      </c>
      <c r="B1754" s="633" t="s">
        <v>33270</v>
      </c>
      <c r="C1754" s="715" t="s">
        <v>24162</v>
      </c>
      <c r="D1754" s="716">
        <v>0</v>
      </c>
    </row>
    <row r="1755" spans="1:4" ht="56">
      <c r="A1755" s="715">
        <v>103170</v>
      </c>
      <c r="B1755" s="633" t="s">
        <v>33271</v>
      </c>
      <c r="C1755" s="715" t="s">
        <v>24295</v>
      </c>
      <c r="D1755" s="716">
        <v>0</v>
      </c>
    </row>
    <row r="1756" spans="1:4" ht="56">
      <c r="A1756" s="715">
        <v>103169</v>
      </c>
      <c r="B1756" s="633" t="s">
        <v>33272</v>
      </c>
      <c r="C1756" s="715" t="s">
        <v>24162</v>
      </c>
      <c r="D1756" s="716">
        <v>0</v>
      </c>
    </row>
    <row r="1757" spans="1:4" ht="42">
      <c r="A1757" s="715">
        <v>102869</v>
      </c>
      <c r="B1757" s="633" t="s">
        <v>33273</v>
      </c>
      <c r="C1757" s="715" t="s">
        <v>24295</v>
      </c>
      <c r="D1757" s="716">
        <v>0</v>
      </c>
    </row>
    <row r="1758" spans="1:4" ht="42">
      <c r="A1758" s="715">
        <v>102868</v>
      </c>
      <c r="B1758" s="633" t="s">
        <v>33274</v>
      </c>
      <c r="C1758" s="715" t="s">
        <v>24162</v>
      </c>
      <c r="D1758" s="716">
        <v>0</v>
      </c>
    </row>
    <row r="1759" spans="1:4" ht="56">
      <c r="A1759" s="715">
        <v>106326</v>
      </c>
      <c r="B1759" s="633" t="s">
        <v>42306</v>
      </c>
      <c r="C1759" s="715" t="s">
        <v>24295</v>
      </c>
      <c r="D1759" s="716">
        <v>0</v>
      </c>
    </row>
    <row r="1760" spans="1:4" ht="56">
      <c r="A1760" s="715">
        <v>106325</v>
      </c>
      <c r="B1760" s="633" t="s">
        <v>42307</v>
      </c>
      <c r="C1760" s="715" t="s">
        <v>24162</v>
      </c>
      <c r="D1760" s="716">
        <v>0</v>
      </c>
    </row>
    <row r="1761" spans="1:4" ht="42">
      <c r="A1761" s="715">
        <v>92113</v>
      </c>
      <c r="B1761" s="633" t="s">
        <v>24382</v>
      </c>
      <c r="C1761" s="715" t="s">
        <v>24295</v>
      </c>
      <c r="D1761" s="716">
        <v>1.19</v>
      </c>
    </row>
    <row r="1762" spans="1:4" ht="42">
      <c r="A1762" s="715">
        <v>92112</v>
      </c>
      <c r="B1762" s="633" t="s">
        <v>24251</v>
      </c>
      <c r="C1762" s="715" t="s">
        <v>24162</v>
      </c>
      <c r="D1762" s="716">
        <v>3.48</v>
      </c>
    </row>
    <row r="1763" spans="1:4" ht="84">
      <c r="A1763" s="715">
        <v>90675</v>
      </c>
      <c r="B1763" s="633" t="s">
        <v>24363</v>
      </c>
      <c r="C1763" s="715" t="s">
        <v>24295</v>
      </c>
      <c r="D1763" s="716">
        <v>349.65</v>
      </c>
    </row>
    <row r="1764" spans="1:4" ht="84">
      <c r="A1764" s="715">
        <v>90674</v>
      </c>
      <c r="B1764" s="633" t="s">
        <v>24233</v>
      </c>
      <c r="C1764" s="715" t="s">
        <v>24162</v>
      </c>
      <c r="D1764" s="716">
        <v>801.22</v>
      </c>
    </row>
    <row r="1765" spans="1:4" ht="84">
      <c r="A1765" s="715">
        <v>93225</v>
      </c>
      <c r="B1765" s="633" t="s">
        <v>24389</v>
      </c>
      <c r="C1765" s="715" t="s">
        <v>24295</v>
      </c>
      <c r="D1765" s="716">
        <v>515.29999999999995</v>
      </c>
    </row>
    <row r="1766" spans="1:4" ht="84">
      <c r="A1766" s="715">
        <v>93224</v>
      </c>
      <c r="B1766" s="633" t="s">
        <v>24258</v>
      </c>
      <c r="C1766" s="715" t="s">
        <v>24162</v>
      </c>
      <c r="D1766" s="716">
        <v>1174.75</v>
      </c>
    </row>
    <row r="1767" spans="1:4" ht="42">
      <c r="A1767" s="715">
        <v>104696</v>
      </c>
      <c r="B1767" s="633" t="s">
        <v>30045</v>
      </c>
      <c r="C1767" s="715" t="s">
        <v>24295</v>
      </c>
      <c r="D1767" s="716">
        <v>40.25</v>
      </c>
    </row>
    <row r="1768" spans="1:4" ht="42">
      <c r="A1768" s="715">
        <v>104695</v>
      </c>
      <c r="B1768" s="633" t="s">
        <v>30035</v>
      </c>
      <c r="C1768" s="715" t="s">
        <v>24162</v>
      </c>
      <c r="D1768" s="716">
        <v>43.3</v>
      </c>
    </row>
    <row r="1769" spans="1:4" ht="70">
      <c r="A1769" s="715">
        <v>90681</v>
      </c>
      <c r="B1769" s="633" t="s">
        <v>24364</v>
      </c>
      <c r="C1769" s="715" t="s">
        <v>24295</v>
      </c>
      <c r="D1769" s="716">
        <v>182.52</v>
      </c>
    </row>
    <row r="1770" spans="1:4" ht="70">
      <c r="A1770" s="715">
        <v>90680</v>
      </c>
      <c r="B1770" s="633" t="s">
        <v>24234</v>
      </c>
      <c r="C1770" s="715" t="s">
        <v>24162</v>
      </c>
      <c r="D1770" s="716">
        <v>434.88</v>
      </c>
    </row>
    <row r="1771" spans="1:4" ht="56">
      <c r="A1771" s="715">
        <v>102875</v>
      </c>
      <c r="B1771" s="633" t="s">
        <v>30038</v>
      </c>
      <c r="C1771" s="715" t="s">
        <v>24295</v>
      </c>
      <c r="D1771" s="716">
        <v>492.68</v>
      </c>
    </row>
    <row r="1772" spans="1:4" ht="56">
      <c r="A1772" s="715">
        <v>102874</v>
      </c>
      <c r="B1772" s="633" t="s">
        <v>30028</v>
      </c>
      <c r="C1772" s="715" t="s">
        <v>24162</v>
      </c>
      <c r="D1772" s="716">
        <v>1084.73</v>
      </c>
    </row>
    <row r="1773" spans="1:4" ht="56">
      <c r="A1773" s="715">
        <v>102965</v>
      </c>
      <c r="B1773" s="633" t="s">
        <v>30040</v>
      </c>
      <c r="C1773" s="715" t="s">
        <v>24295</v>
      </c>
      <c r="D1773" s="716">
        <v>259.2</v>
      </c>
    </row>
    <row r="1774" spans="1:4" ht="56">
      <c r="A1774" s="715">
        <v>102964</v>
      </c>
      <c r="B1774" s="633" t="s">
        <v>30030</v>
      </c>
      <c r="C1774" s="715" t="s">
        <v>24162</v>
      </c>
      <c r="D1774" s="716">
        <v>524.66</v>
      </c>
    </row>
    <row r="1775" spans="1:4" ht="42">
      <c r="A1775" s="715">
        <v>90626</v>
      </c>
      <c r="B1775" s="633" t="s">
        <v>24355</v>
      </c>
      <c r="C1775" s="715" t="s">
        <v>24295</v>
      </c>
      <c r="D1775" s="716">
        <v>3.05</v>
      </c>
    </row>
    <row r="1776" spans="1:4" ht="42">
      <c r="A1776" s="715">
        <v>90625</v>
      </c>
      <c r="B1776" s="633" t="s">
        <v>24225</v>
      </c>
      <c r="C1776" s="715" t="s">
        <v>24162</v>
      </c>
      <c r="D1776" s="716">
        <v>8.85</v>
      </c>
    </row>
    <row r="1777" spans="1:4" ht="42">
      <c r="A1777" s="715">
        <v>102881</v>
      </c>
      <c r="B1777" s="633" t="s">
        <v>30039</v>
      </c>
      <c r="C1777" s="715" t="s">
        <v>24295</v>
      </c>
      <c r="D1777" s="716">
        <v>669.45</v>
      </c>
    </row>
    <row r="1778" spans="1:4" ht="42">
      <c r="A1778" s="715">
        <v>102880</v>
      </c>
      <c r="B1778" s="633" t="s">
        <v>30029</v>
      </c>
      <c r="C1778" s="715" t="s">
        <v>24162</v>
      </c>
      <c r="D1778" s="716">
        <v>1508.34</v>
      </c>
    </row>
    <row r="1779" spans="1:4" ht="56">
      <c r="A1779" s="715">
        <v>103225</v>
      </c>
      <c r="B1779" s="633" t="s">
        <v>30042</v>
      </c>
      <c r="C1779" s="715" t="s">
        <v>24295</v>
      </c>
      <c r="D1779" s="716">
        <v>231.84</v>
      </c>
    </row>
    <row r="1780" spans="1:4" ht="56">
      <c r="A1780" s="715">
        <v>103224</v>
      </c>
      <c r="B1780" s="633" t="s">
        <v>30032</v>
      </c>
      <c r="C1780" s="715" t="s">
        <v>24162</v>
      </c>
      <c r="D1780" s="716">
        <v>464.32</v>
      </c>
    </row>
    <row r="1781" spans="1:4" ht="56">
      <c r="A1781" s="715">
        <v>103237</v>
      </c>
      <c r="B1781" s="633" t="s">
        <v>30044</v>
      </c>
      <c r="C1781" s="715" t="s">
        <v>24295</v>
      </c>
      <c r="D1781" s="716">
        <v>643.91</v>
      </c>
    </row>
    <row r="1782" spans="1:4" ht="56">
      <c r="A1782" s="715">
        <v>103236</v>
      </c>
      <c r="B1782" s="633" t="s">
        <v>30034</v>
      </c>
      <c r="C1782" s="715" t="s">
        <v>24162</v>
      </c>
      <c r="D1782" s="716">
        <v>1393.88</v>
      </c>
    </row>
    <row r="1783" spans="1:4" ht="56">
      <c r="A1783" s="715">
        <v>103231</v>
      </c>
      <c r="B1783" s="633" t="s">
        <v>30043</v>
      </c>
      <c r="C1783" s="715" t="s">
        <v>24295</v>
      </c>
      <c r="D1783" s="716">
        <v>481.35</v>
      </c>
    </row>
    <row r="1784" spans="1:4" ht="56">
      <c r="A1784" s="715">
        <v>103230</v>
      </c>
      <c r="B1784" s="633" t="s">
        <v>30033</v>
      </c>
      <c r="C1784" s="715" t="s">
        <v>24162</v>
      </c>
      <c r="D1784" s="716">
        <v>1022.74</v>
      </c>
    </row>
    <row r="1785" spans="1:4" ht="42">
      <c r="A1785" s="715">
        <v>102975</v>
      </c>
      <c r="B1785" s="633" t="s">
        <v>30041</v>
      </c>
      <c r="C1785" s="715" t="s">
        <v>24295</v>
      </c>
      <c r="D1785" s="716">
        <v>157.25</v>
      </c>
    </row>
    <row r="1786" spans="1:4" ht="42">
      <c r="A1786" s="715">
        <v>102976</v>
      </c>
      <c r="B1786" s="633" t="s">
        <v>30031</v>
      </c>
      <c r="C1786" s="715" t="s">
        <v>24162</v>
      </c>
      <c r="D1786" s="716">
        <v>303.63</v>
      </c>
    </row>
    <row r="1787" spans="1:4" ht="42">
      <c r="A1787" s="715">
        <v>90632</v>
      </c>
      <c r="B1787" s="633" t="s">
        <v>24356</v>
      </c>
      <c r="C1787" s="715" t="s">
        <v>24295</v>
      </c>
      <c r="D1787" s="716">
        <v>107.9</v>
      </c>
    </row>
    <row r="1788" spans="1:4" ht="42">
      <c r="A1788" s="715">
        <v>90631</v>
      </c>
      <c r="B1788" s="633" t="s">
        <v>24226</v>
      </c>
      <c r="C1788" s="715" t="s">
        <v>24162</v>
      </c>
      <c r="D1788" s="716">
        <v>177.11</v>
      </c>
    </row>
    <row r="1789" spans="1:4" ht="42">
      <c r="A1789" s="715">
        <v>95709</v>
      </c>
      <c r="B1789" s="633" t="s">
        <v>28862</v>
      </c>
      <c r="C1789" s="715" t="s">
        <v>24295</v>
      </c>
      <c r="D1789" s="716">
        <v>108.57</v>
      </c>
    </row>
    <row r="1790" spans="1:4" ht="42">
      <c r="A1790" s="715">
        <v>95708</v>
      </c>
      <c r="B1790" s="633" t="s">
        <v>28859</v>
      </c>
      <c r="C1790" s="715" t="s">
        <v>24162</v>
      </c>
      <c r="D1790" s="716">
        <v>180.68</v>
      </c>
    </row>
    <row r="1791" spans="1:4" ht="42">
      <c r="A1791" s="715">
        <v>91278</v>
      </c>
      <c r="B1791" s="633" t="s">
        <v>24372</v>
      </c>
      <c r="C1791" s="715" t="s">
        <v>24295</v>
      </c>
      <c r="D1791" s="716">
        <v>0.71</v>
      </c>
    </row>
    <row r="1792" spans="1:4" ht="56">
      <c r="A1792" s="715">
        <v>91277</v>
      </c>
      <c r="B1792" s="633" t="s">
        <v>24242</v>
      </c>
      <c r="C1792" s="715" t="s">
        <v>24162</v>
      </c>
      <c r="D1792" s="716">
        <v>10.97</v>
      </c>
    </row>
    <row r="1793" spans="1:4" ht="14">
      <c r="A1793" s="715">
        <v>102887</v>
      </c>
      <c r="B1793" s="633" t="s">
        <v>33275</v>
      </c>
      <c r="C1793" s="715" t="s">
        <v>24295</v>
      </c>
      <c r="D1793" s="716">
        <v>0</v>
      </c>
    </row>
    <row r="1794" spans="1:4" ht="14">
      <c r="A1794" s="715">
        <v>102886</v>
      </c>
      <c r="B1794" s="633" t="s">
        <v>33276</v>
      </c>
      <c r="C1794" s="715" t="s">
        <v>24162</v>
      </c>
      <c r="D1794" s="716">
        <v>0</v>
      </c>
    </row>
    <row r="1795" spans="1:4" ht="42">
      <c r="A1795" s="715">
        <v>95277</v>
      </c>
      <c r="B1795" s="633" t="s">
        <v>24408</v>
      </c>
      <c r="C1795" s="715" t="s">
        <v>24295</v>
      </c>
      <c r="D1795" s="716">
        <v>0.7</v>
      </c>
    </row>
    <row r="1796" spans="1:4" ht="42">
      <c r="A1796" s="715">
        <v>95276</v>
      </c>
      <c r="B1796" s="633" t="s">
        <v>24277</v>
      </c>
      <c r="C1796" s="715" t="s">
        <v>24162</v>
      </c>
      <c r="D1796" s="716">
        <v>3.33</v>
      </c>
    </row>
    <row r="1797" spans="1:4" ht="70">
      <c r="A1797" s="715">
        <v>106254</v>
      </c>
      <c r="B1797" s="633" t="s">
        <v>42308</v>
      </c>
      <c r="C1797" s="715" t="s">
        <v>24295</v>
      </c>
      <c r="D1797" s="716">
        <v>0</v>
      </c>
    </row>
    <row r="1798" spans="1:4" ht="70">
      <c r="A1798" s="715">
        <v>106249</v>
      </c>
      <c r="B1798" s="633" t="s">
        <v>42309</v>
      </c>
      <c r="C1798" s="715" t="s">
        <v>24162</v>
      </c>
      <c r="D1798" s="716">
        <v>0</v>
      </c>
    </row>
    <row r="1799" spans="1:4" ht="42">
      <c r="A1799" s="715">
        <v>88430</v>
      </c>
      <c r="B1799" s="633" t="s">
        <v>24336</v>
      </c>
      <c r="C1799" s="715" t="s">
        <v>24295</v>
      </c>
      <c r="D1799" s="716">
        <v>6.69</v>
      </c>
    </row>
    <row r="1800" spans="1:4" ht="42">
      <c r="A1800" s="715">
        <v>88418</v>
      </c>
      <c r="B1800" s="633" t="s">
        <v>24206</v>
      </c>
      <c r="C1800" s="715" t="s">
        <v>24162</v>
      </c>
      <c r="D1800" s="716">
        <v>14.4</v>
      </c>
    </row>
    <row r="1801" spans="1:4" ht="42">
      <c r="A1801" s="715">
        <v>88438</v>
      </c>
      <c r="B1801" s="633" t="s">
        <v>24337</v>
      </c>
      <c r="C1801" s="715" t="s">
        <v>24295</v>
      </c>
      <c r="D1801" s="716">
        <v>8.8699999999999992</v>
      </c>
    </row>
    <row r="1802" spans="1:4" ht="42">
      <c r="A1802" s="715">
        <v>88433</v>
      </c>
      <c r="B1802" s="633" t="s">
        <v>24207</v>
      </c>
      <c r="C1802" s="715" t="s">
        <v>24162</v>
      </c>
      <c r="D1802" s="716">
        <v>18.79</v>
      </c>
    </row>
    <row r="1803" spans="1:4" ht="70">
      <c r="A1803" s="715">
        <v>90669</v>
      </c>
      <c r="B1803" s="633" t="s">
        <v>24362</v>
      </c>
      <c r="C1803" s="715" t="s">
        <v>24295</v>
      </c>
      <c r="D1803" s="716">
        <v>8.94</v>
      </c>
    </row>
    <row r="1804" spans="1:4" ht="70">
      <c r="A1804" s="715">
        <v>90668</v>
      </c>
      <c r="B1804" s="633" t="s">
        <v>24232</v>
      </c>
      <c r="C1804" s="715" t="s">
        <v>24162</v>
      </c>
      <c r="D1804" s="716">
        <v>35.93</v>
      </c>
    </row>
    <row r="1805" spans="1:4" ht="42">
      <c r="A1805" s="715">
        <v>102980</v>
      </c>
      <c r="B1805" s="633" t="s">
        <v>33277</v>
      </c>
      <c r="C1805" s="715" t="s">
        <v>24295</v>
      </c>
      <c r="D1805" s="716">
        <v>0</v>
      </c>
    </row>
    <row r="1806" spans="1:4" ht="42">
      <c r="A1806" s="715">
        <v>102981</v>
      </c>
      <c r="B1806" s="633" t="s">
        <v>33278</v>
      </c>
      <c r="C1806" s="715" t="s">
        <v>24162</v>
      </c>
      <c r="D1806" s="716">
        <v>0</v>
      </c>
    </row>
    <row r="1807" spans="1:4" ht="42">
      <c r="A1807" s="715">
        <v>5946</v>
      </c>
      <c r="B1807" s="633" t="s">
        <v>24320</v>
      </c>
      <c r="C1807" s="715" t="s">
        <v>24295</v>
      </c>
      <c r="D1807" s="716">
        <v>103.6</v>
      </c>
    </row>
    <row r="1808" spans="1:4" ht="42">
      <c r="A1808" s="715">
        <v>5944</v>
      </c>
      <c r="B1808" s="633" t="s">
        <v>24189</v>
      </c>
      <c r="C1808" s="715" t="s">
        <v>24162</v>
      </c>
      <c r="D1808" s="716">
        <v>254.97</v>
      </c>
    </row>
    <row r="1809" spans="1:4" ht="42">
      <c r="A1809" s="715">
        <v>5942</v>
      </c>
      <c r="B1809" s="633" t="s">
        <v>24319</v>
      </c>
      <c r="C1809" s="715" t="s">
        <v>24295</v>
      </c>
      <c r="D1809" s="716">
        <v>84.99</v>
      </c>
    </row>
    <row r="1810" spans="1:4" ht="42">
      <c r="A1810" s="715">
        <v>5940</v>
      </c>
      <c r="B1810" s="633" t="s">
        <v>24188</v>
      </c>
      <c r="C1810" s="715" t="s">
        <v>24162</v>
      </c>
      <c r="D1810" s="716">
        <v>188.05</v>
      </c>
    </row>
    <row r="1811" spans="1:4" ht="28">
      <c r="A1811" s="715">
        <v>102893</v>
      </c>
      <c r="B1811" s="633" t="s">
        <v>40233</v>
      </c>
      <c r="C1811" s="715" t="s">
        <v>24295</v>
      </c>
      <c r="D1811" s="716">
        <v>0</v>
      </c>
    </row>
    <row r="1812" spans="1:4" ht="28">
      <c r="A1812" s="715">
        <v>102892</v>
      </c>
      <c r="B1812" s="633" t="s">
        <v>40234</v>
      </c>
      <c r="C1812" s="715" t="s">
        <v>24162</v>
      </c>
      <c r="D1812" s="716">
        <v>0</v>
      </c>
    </row>
    <row r="1813" spans="1:4" ht="42">
      <c r="A1813" s="715">
        <v>89251</v>
      </c>
      <c r="B1813" s="633" t="s">
        <v>24348</v>
      </c>
      <c r="C1813" s="715" t="s">
        <v>24295</v>
      </c>
      <c r="D1813" s="716">
        <v>360.94</v>
      </c>
    </row>
    <row r="1814" spans="1:4" ht="42">
      <c r="A1814" s="715">
        <v>89250</v>
      </c>
      <c r="B1814" s="633" t="s">
        <v>24217</v>
      </c>
      <c r="C1814" s="715" t="s">
        <v>24162</v>
      </c>
      <c r="D1814" s="716">
        <v>1260.6099999999999</v>
      </c>
    </row>
    <row r="1815" spans="1:4" ht="70">
      <c r="A1815" s="715">
        <v>102959</v>
      </c>
      <c r="B1815" s="633" t="s">
        <v>40235</v>
      </c>
      <c r="C1815" s="715" t="s">
        <v>24295</v>
      </c>
      <c r="D1815" s="716">
        <v>0</v>
      </c>
    </row>
    <row r="1816" spans="1:4" ht="70">
      <c r="A1816" s="715">
        <v>102958</v>
      </c>
      <c r="B1816" s="633" t="s">
        <v>40236</v>
      </c>
      <c r="C1816" s="715" t="s">
        <v>24162</v>
      </c>
      <c r="D1816" s="716">
        <v>0</v>
      </c>
    </row>
    <row r="1817" spans="1:4" ht="84">
      <c r="A1817" s="715">
        <v>5681</v>
      </c>
      <c r="B1817" s="633" t="s">
        <v>24297</v>
      </c>
      <c r="C1817" s="715" t="s">
        <v>24295</v>
      </c>
      <c r="D1817" s="716">
        <v>76</v>
      </c>
    </row>
    <row r="1818" spans="1:4" ht="84">
      <c r="A1818" s="715">
        <v>5680</v>
      </c>
      <c r="B1818" s="633" t="s">
        <v>24164</v>
      </c>
      <c r="C1818" s="715" t="s">
        <v>24162</v>
      </c>
      <c r="D1818" s="716">
        <v>160.65</v>
      </c>
    </row>
    <row r="1819" spans="1:4" ht="84">
      <c r="A1819" s="715">
        <v>5877</v>
      </c>
      <c r="B1819" s="633" t="s">
        <v>24310</v>
      </c>
      <c r="C1819" s="715" t="s">
        <v>24295</v>
      </c>
      <c r="D1819" s="716">
        <v>78.489999999999995</v>
      </c>
    </row>
    <row r="1820" spans="1:4" ht="84">
      <c r="A1820" s="715">
        <v>5875</v>
      </c>
      <c r="B1820" s="633" t="s">
        <v>24179</v>
      </c>
      <c r="C1820" s="715" t="s">
        <v>24162</v>
      </c>
      <c r="D1820" s="716">
        <v>160.66</v>
      </c>
    </row>
    <row r="1821" spans="1:4" ht="84">
      <c r="A1821" s="715">
        <v>5679</v>
      </c>
      <c r="B1821" s="633" t="s">
        <v>24296</v>
      </c>
      <c r="C1821" s="715" t="s">
        <v>24295</v>
      </c>
      <c r="D1821" s="716">
        <v>79.650000000000006</v>
      </c>
    </row>
    <row r="1822" spans="1:4" ht="84">
      <c r="A1822" s="715">
        <v>5678</v>
      </c>
      <c r="B1822" s="633" t="s">
        <v>24163</v>
      </c>
      <c r="C1822" s="715" t="s">
        <v>24162</v>
      </c>
      <c r="D1822" s="716">
        <v>174.22</v>
      </c>
    </row>
    <row r="1823" spans="1:4" ht="56">
      <c r="A1823" s="715">
        <v>6880</v>
      </c>
      <c r="B1823" s="633" t="s">
        <v>24325</v>
      </c>
      <c r="C1823" s="715" t="s">
        <v>24295</v>
      </c>
      <c r="D1823" s="716">
        <v>97.47</v>
      </c>
    </row>
    <row r="1824" spans="1:4" ht="56">
      <c r="A1824" s="715">
        <v>6879</v>
      </c>
      <c r="B1824" s="633" t="s">
        <v>24192</v>
      </c>
      <c r="C1824" s="715" t="s">
        <v>24162</v>
      </c>
      <c r="D1824" s="716">
        <v>234.95</v>
      </c>
    </row>
    <row r="1825" spans="1:4" ht="56">
      <c r="A1825" s="715">
        <v>96464</v>
      </c>
      <c r="B1825" s="633" t="s">
        <v>30037</v>
      </c>
      <c r="C1825" s="715" t="s">
        <v>24295</v>
      </c>
      <c r="D1825" s="716">
        <v>101.16</v>
      </c>
    </row>
    <row r="1826" spans="1:4" ht="56">
      <c r="A1826" s="715">
        <v>96463</v>
      </c>
      <c r="B1826" s="633" t="s">
        <v>30027</v>
      </c>
      <c r="C1826" s="715" t="s">
        <v>24162</v>
      </c>
      <c r="D1826" s="716">
        <v>241.56</v>
      </c>
    </row>
    <row r="1827" spans="1:4" ht="70">
      <c r="A1827" s="715">
        <v>7050</v>
      </c>
      <c r="B1827" s="633" t="s">
        <v>24328</v>
      </c>
      <c r="C1827" s="715" t="s">
        <v>24295</v>
      </c>
      <c r="D1827" s="716">
        <v>90.75</v>
      </c>
    </row>
    <row r="1828" spans="1:4" ht="70">
      <c r="A1828" s="715">
        <v>7049</v>
      </c>
      <c r="B1828" s="633" t="s">
        <v>24195</v>
      </c>
      <c r="C1828" s="715" t="s">
        <v>24162</v>
      </c>
      <c r="D1828" s="716">
        <v>251.65</v>
      </c>
    </row>
    <row r="1829" spans="1:4" ht="56">
      <c r="A1829" s="715">
        <v>95632</v>
      </c>
      <c r="B1829" s="633" t="s">
        <v>24410</v>
      </c>
      <c r="C1829" s="715" t="s">
        <v>24295</v>
      </c>
      <c r="D1829" s="716">
        <v>94.89</v>
      </c>
    </row>
    <row r="1830" spans="1:4" ht="56">
      <c r="A1830" s="715">
        <v>95631</v>
      </c>
      <c r="B1830" s="633" t="s">
        <v>24279</v>
      </c>
      <c r="C1830" s="715" t="s">
        <v>24162</v>
      </c>
      <c r="D1830" s="716">
        <v>259.95</v>
      </c>
    </row>
    <row r="1831" spans="1:4" ht="70">
      <c r="A1831" s="715">
        <v>5685</v>
      </c>
      <c r="B1831" s="633" t="s">
        <v>24298</v>
      </c>
      <c r="C1831" s="715" t="s">
        <v>24295</v>
      </c>
      <c r="D1831" s="716">
        <v>75.819999999999993</v>
      </c>
    </row>
    <row r="1832" spans="1:4" ht="70">
      <c r="A1832" s="715">
        <v>5684</v>
      </c>
      <c r="B1832" s="633" t="s">
        <v>24165</v>
      </c>
      <c r="C1832" s="715" t="s">
        <v>24162</v>
      </c>
      <c r="D1832" s="716">
        <v>183.09</v>
      </c>
    </row>
    <row r="1833" spans="1:4" ht="56">
      <c r="A1833" s="715">
        <v>93244</v>
      </c>
      <c r="B1833" s="633" t="s">
        <v>24391</v>
      </c>
      <c r="C1833" s="715" t="s">
        <v>24295</v>
      </c>
      <c r="D1833" s="716">
        <v>77.41</v>
      </c>
    </row>
    <row r="1834" spans="1:4" ht="56">
      <c r="A1834" s="715">
        <v>73436</v>
      </c>
      <c r="B1834" s="633" t="s">
        <v>24198</v>
      </c>
      <c r="C1834" s="715" t="s">
        <v>24162</v>
      </c>
      <c r="D1834" s="716">
        <v>186.18</v>
      </c>
    </row>
    <row r="1835" spans="1:4" ht="56">
      <c r="A1835" s="715">
        <v>5881</v>
      </c>
      <c r="B1835" s="633" t="s">
        <v>24311</v>
      </c>
      <c r="C1835" s="715" t="s">
        <v>24295</v>
      </c>
      <c r="D1835" s="716">
        <v>89.91</v>
      </c>
    </row>
    <row r="1836" spans="1:4" ht="56">
      <c r="A1836" s="715">
        <v>5879</v>
      </c>
      <c r="B1836" s="633" t="s">
        <v>24180</v>
      </c>
      <c r="C1836" s="715" t="s">
        <v>24162</v>
      </c>
      <c r="D1836" s="716">
        <v>156.27000000000001</v>
      </c>
    </row>
    <row r="1837" spans="1:4" ht="56">
      <c r="A1837" s="715">
        <v>5865</v>
      </c>
      <c r="B1837" s="633" t="s">
        <v>24308</v>
      </c>
      <c r="C1837" s="715" t="s">
        <v>24295</v>
      </c>
      <c r="D1837" s="716">
        <v>11.6</v>
      </c>
    </row>
    <row r="1838" spans="1:4" ht="56">
      <c r="A1838" s="715">
        <v>5863</v>
      </c>
      <c r="B1838" s="633" t="s">
        <v>24177</v>
      </c>
      <c r="C1838" s="715" t="s">
        <v>24162</v>
      </c>
      <c r="D1838" s="716">
        <v>23.05</v>
      </c>
    </row>
    <row r="1839" spans="1:4" ht="56">
      <c r="A1839" s="715">
        <v>5869</v>
      </c>
      <c r="B1839" s="633" t="s">
        <v>24309</v>
      </c>
      <c r="C1839" s="715" t="s">
        <v>24295</v>
      </c>
      <c r="D1839" s="716">
        <v>84.59</v>
      </c>
    </row>
    <row r="1840" spans="1:4" ht="56">
      <c r="A1840" s="715">
        <v>5867</v>
      </c>
      <c r="B1840" s="633" t="s">
        <v>24178</v>
      </c>
      <c r="C1840" s="715" t="s">
        <v>24162</v>
      </c>
      <c r="D1840" s="716">
        <v>180.75</v>
      </c>
    </row>
    <row r="1841" spans="1:4" ht="42">
      <c r="A1841" s="715">
        <v>95271</v>
      </c>
      <c r="B1841" s="633" t="s">
        <v>24407</v>
      </c>
      <c r="C1841" s="715" t="s">
        <v>24295</v>
      </c>
      <c r="D1841" s="716">
        <v>0.71</v>
      </c>
    </row>
    <row r="1842" spans="1:4" ht="42">
      <c r="A1842" s="715">
        <v>95270</v>
      </c>
      <c r="B1842" s="633" t="s">
        <v>24276</v>
      </c>
      <c r="C1842" s="715" t="s">
        <v>24162</v>
      </c>
      <c r="D1842" s="716">
        <v>10.84</v>
      </c>
    </row>
    <row r="1843" spans="1:4" ht="42">
      <c r="A1843" s="715">
        <v>91693</v>
      </c>
      <c r="B1843" s="633" t="s">
        <v>24379</v>
      </c>
      <c r="C1843" s="715" t="s">
        <v>24295</v>
      </c>
      <c r="D1843" s="716">
        <v>39.159999999999997</v>
      </c>
    </row>
    <row r="1844" spans="1:4" ht="42">
      <c r="A1844" s="715">
        <v>91692</v>
      </c>
      <c r="B1844" s="633" t="s">
        <v>24248</v>
      </c>
      <c r="C1844" s="715" t="s">
        <v>24162</v>
      </c>
      <c r="D1844" s="716">
        <v>40.380000000000003</v>
      </c>
    </row>
    <row r="1845" spans="1:4" ht="56">
      <c r="A1845" s="715">
        <v>102929</v>
      </c>
      <c r="B1845" s="633" t="s">
        <v>33279</v>
      </c>
      <c r="C1845" s="715" t="s">
        <v>24295</v>
      </c>
      <c r="D1845" s="716">
        <v>0</v>
      </c>
    </row>
    <row r="1846" spans="1:4" ht="56">
      <c r="A1846" s="715">
        <v>102928</v>
      </c>
      <c r="B1846" s="633" t="s">
        <v>33280</v>
      </c>
      <c r="C1846" s="715" t="s">
        <v>24162</v>
      </c>
      <c r="D1846" s="716">
        <v>0</v>
      </c>
    </row>
    <row r="1847" spans="1:4" ht="28">
      <c r="A1847" s="715">
        <v>95140</v>
      </c>
      <c r="B1847" s="633" t="s">
        <v>24403</v>
      </c>
      <c r="C1847" s="715" t="s">
        <v>24295</v>
      </c>
      <c r="D1847" s="716">
        <v>0.03</v>
      </c>
    </row>
    <row r="1848" spans="1:4" ht="28">
      <c r="A1848" s="715">
        <v>95139</v>
      </c>
      <c r="B1848" s="633" t="s">
        <v>24272</v>
      </c>
      <c r="C1848" s="715" t="s">
        <v>24162</v>
      </c>
      <c r="D1848" s="716">
        <v>0.05</v>
      </c>
    </row>
    <row r="1849" spans="1:4" ht="28">
      <c r="A1849" s="715">
        <v>89027</v>
      </c>
      <c r="B1849" s="633" t="s">
        <v>24341</v>
      </c>
      <c r="C1849" s="715" t="s">
        <v>24295</v>
      </c>
      <c r="D1849" s="716">
        <v>5.49</v>
      </c>
    </row>
    <row r="1850" spans="1:4" ht="28">
      <c r="A1850" s="715">
        <v>89028</v>
      </c>
      <c r="B1850" s="633" t="s">
        <v>24211</v>
      </c>
      <c r="C1850" s="715" t="s">
        <v>24162</v>
      </c>
      <c r="D1850" s="716">
        <v>218.04</v>
      </c>
    </row>
    <row r="1851" spans="1:4" ht="42">
      <c r="A1851" s="715">
        <v>7031</v>
      </c>
      <c r="B1851" s="633" t="s">
        <v>24326</v>
      </c>
      <c r="C1851" s="715" t="s">
        <v>24295</v>
      </c>
      <c r="D1851" s="716">
        <v>6.76</v>
      </c>
    </row>
    <row r="1852" spans="1:4" ht="42">
      <c r="A1852" s="715">
        <v>7030</v>
      </c>
      <c r="B1852" s="633" t="s">
        <v>24193</v>
      </c>
      <c r="C1852" s="715" t="s">
        <v>24162</v>
      </c>
      <c r="D1852" s="716">
        <v>324.20999999999998</v>
      </c>
    </row>
    <row r="1853" spans="1:4" ht="56">
      <c r="A1853" s="715">
        <v>102947</v>
      </c>
      <c r="B1853" s="633" t="s">
        <v>33281</v>
      </c>
      <c r="C1853" s="715" t="s">
        <v>24295</v>
      </c>
      <c r="D1853" s="716">
        <v>0</v>
      </c>
    </row>
    <row r="1854" spans="1:4" ht="56">
      <c r="A1854" s="715">
        <v>102946</v>
      </c>
      <c r="B1854" s="633" t="s">
        <v>33282</v>
      </c>
      <c r="C1854" s="715" t="s">
        <v>24162</v>
      </c>
      <c r="D1854" s="716">
        <v>0</v>
      </c>
    </row>
    <row r="1855" spans="1:4" ht="42">
      <c r="A1855" s="715">
        <v>104092</v>
      </c>
      <c r="B1855" s="633" t="s">
        <v>24423</v>
      </c>
      <c r="C1855" s="715" t="s">
        <v>24295</v>
      </c>
      <c r="D1855" s="716">
        <v>0.03</v>
      </c>
    </row>
    <row r="1856" spans="1:4" ht="42">
      <c r="A1856" s="715">
        <v>104091</v>
      </c>
      <c r="B1856" s="633" t="s">
        <v>24292</v>
      </c>
      <c r="C1856" s="715" t="s">
        <v>24162</v>
      </c>
      <c r="D1856" s="716">
        <v>0.65</v>
      </c>
    </row>
    <row r="1857" spans="1:4" ht="42">
      <c r="A1857" s="715">
        <v>104098</v>
      </c>
      <c r="B1857" s="633" t="s">
        <v>24424</v>
      </c>
      <c r="C1857" s="715" t="s">
        <v>24295</v>
      </c>
      <c r="D1857" s="716">
        <v>0.05</v>
      </c>
    </row>
    <row r="1858" spans="1:4" ht="42">
      <c r="A1858" s="715">
        <v>104097</v>
      </c>
      <c r="B1858" s="633" t="s">
        <v>24293</v>
      </c>
      <c r="C1858" s="715" t="s">
        <v>24162</v>
      </c>
      <c r="D1858" s="716">
        <v>0.9</v>
      </c>
    </row>
    <row r="1859" spans="1:4" ht="42">
      <c r="A1859" s="715">
        <v>102905</v>
      </c>
      <c r="B1859" s="633" t="s">
        <v>40237</v>
      </c>
      <c r="C1859" s="715" t="s">
        <v>24295</v>
      </c>
      <c r="D1859" s="716">
        <v>0</v>
      </c>
    </row>
    <row r="1860" spans="1:4" ht="42">
      <c r="A1860" s="715">
        <v>102904</v>
      </c>
      <c r="B1860" s="633" t="s">
        <v>40238</v>
      </c>
      <c r="C1860" s="715" t="s">
        <v>24162</v>
      </c>
      <c r="D1860" s="716">
        <v>0</v>
      </c>
    </row>
    <row r="1861" spans="1:4" ht="42">
      <c r="A1861" s="715">
        <v>89031</v>
      </c>
      <c r="B1861" s="633" t="s">
        <v>24342</v>
      </c>
      <c r="C1861" s="715" t="s">
        <v>24295</v>
      </c>
      <c r="D1861" s="716">
        <v>89.16</v>
      </c>
    </row>
    <row r="1862" spans="1:4" ht="42">
      <c r="A1862" s="715">
        <v>89032</v>
      </c>
      <c r="B1862" s="633" t="s">
        <v>24212</v>
      </c>
      <c r="C1862" s="715" t="s">
        <v>24162</v>
      </c>
      <c r="D1862" s="716">
        <v>227.13</v>
      </c>
    </row>
    <row r="1863" spans="1:4" ht="42">
      <c r="A1863" s="715">
        <v>88844</v>
      </c>
      <c r="B1863" s="633" t="s">
        <v>24339</v>
      </c>
      <c r="C1863" s="715" t="s">
        <v>24295</v>
      </c>
      <c r="D1863" s="716">
        <v>91.49</v>
      </c>
    </row>
    <row r="1864" spans="1:4" ht="42">
      <c r="A1864" s="715">
        <v>88843</v>
      </c>
      <c r="B1864" s="633" t="s">
        <v>24209</v>
      </c>
      <c r="C1864" s="715" t="s">
        <v>24162</v>
      </c>
      <c r="D1864" s="716">
        <v>251.38</v>
      </c>
    </row>
    <row r="1865" spans="1:4" ht="42">
      <c r="A1865" s="715">
        <v>5853</v>
      </c>
      <c r="B1865" s="633" t="s">
        <v>24306</v>
      </c>
      <c r="C1865" s="715" t="s">
        <v>24295</v>
      </c>
      <c r="D1865" s="716">
        <v>104.01</v>
      </c>
    </row>
    <row r="1866" spans="1:4" ht="42">
      <c r="A1866" s="715">
        <v>5851</v>
      </c>
      <c r="B1866" s="633" t="s">
        <v>24175</v>
      </c>
      <c r="C1866" s="715" t="s">
        <v>24162</v>
      </c>
      <c r="D1866" s="716">
        <v>298.39</v>
      </c>
    </row>
    <row r="1867" spans="1:4" ht="42">
      <c r="A1867" s="715">
        <v>5849</v>
      </c>
      <c r="B1867" s="633" t="s">
        <v>24305</v>
      </c>
      <c r="C1867" s="715" t="s">
        <v>24295</v>
      </c>
      <c r="D1867" s="716">
        <v>103.61</v>
      </c>
    </row>
    <row r="1868" spans="1:4" ht="42">
      <c r="A1868" s="715">
        <v>5847</v>
      </c>
      <c r="B1868" s="633" t="s">
        <v>24174</v>
      </c>
      <c r="C1868" s="715" t="s">
        <v>24162</v>
      </c>
      <c r="D1868" s="716">
        <v>312.66000000000003</v>
      </c>
    </row>
    <row r="1869" spans="1:4" ht="42">
      <c r="A1869" s="715">
        <v>5857</v>
      </c>
      <c r="B1869" s="633" t="s">
        <v>24307</v>
      </c>
      <c r="C1869" s="715" t="s">
        <v>24295</v>
      </c>
      <c r="D1869" s="716">
        <v>251.83</v>
      </c>
    </row>
    <row r="1870" spans="1:4" ht="42">
      <c r="A1870" s="715">
        <v>5855</v>
      </c>
      <c r="B1870" s="633" t="s">
        <v>24176</v>
      </c>
      <c r="C1870" s="715" t="s">
        <v>24162</v>
      </c>
      <c r="D1870" s="716">
        <v>779</v>
      </c>
    </row>
    <row r="1871" spans="1:4" ht="42">
      <c r="A1871" s="715">
        <v>96021</v>
      </c>
      <c r="B1871" s="633" t="s">
        <v>24414</v>
      </c>
      <c r="C1871" s="715" t="s">
        <v>24295</v>
      </c>
      <c r="D1871" s="716">
        <v>67.5</v>
      </c>
    </row>
    <row r="1872" spans="1:4" ht="42">
      <c r="A1872" s="715">
        <v>96020</v>
      </c>
      <c r="B1872" s="633" t="s">
        <v>24283</v>
      </c>
      <c r="C1872" s="715" t="s">
        <v>24162</v>
      </c>
      <c r="D1872" s="716">
        <v>209.36</v>
      </c>
    </row>
    <row r="1873" spans="1:4" ht="42">
      <c r="A1873" s="715">
        <v>96014</v>
      </c>
      <c r="B1873" s="633" t="s">
        <v>24413</v>
      </c>
      <c r="C1873" s="715" t="s">
        <v>24295</v>
      </c>
      <c r="D1873" s="716">
        <v>67.77</v>
      </c>
    </row>
    <row r="1874" spans="1:4" ht="42">
      <c r="A1874" s="715">
        <v>96013</v>
      </c>
      <c r="B1874" s="633" t="s">
        <v>24282</v>
      </c>
      <c r="C1874" s="715" t="s">
        <v>24162</v>
      </c>
      <c r="D1874" s="716">
        <v>209.86</v>
      </c>
    </row>
    <row r="1875" spans="1:4" ht="42">
      <c r="A1875" s="715">
        <v>96029</v>
      </c>
      <c r="B1875" s="633" t="s">
        <v>24415</v>
      </c>
      <c r="C1875" s="715" t="s">
        <v>24295</v>
      </c>
      <c r="D1875" s="716">
        <v>61.09</v>
      </c>
    </row>
    <row r="1876" spans="1:4" ht="42">
      <c r="A1876" s="715">
        <v>96028</v>
      </c>
      <c r="B1876" s="633" t="s">
        <v>24284</v>
      </c>
      <c r="C1876" s="715" t="s">
        <v>24162</v>
      </c>
      <c r="D1876" s="716">
        <v>161.84</v>
      </c>
    </row>
    <row r="1877" spans="1:4" ht="42">
      <c r="A1877" s="715">
        <v>96155</v>
      </c>
      <c r="B1877" s="633" t="s">
        <v>24417</v>
      </c>
      <c r="C1877" s="715" t="s">
        <v>24295</v>
      </c>
      <c r="D1877" s="716">
        <v>61.36</v>
      </c>
    </row>
    <row r="1878" spans="1:4" ht="42">
      <c r="A1878" s="715">
        <v>96157</v>
      </c>
      <c r="B1878" s="633" t="s">
        <v>24286</v>
      </c>
      <c r="C1878" s="715" t="s">
        <v>24162</v>
      </c>
      <c r="D1878" s="716">
        <v>162.34</v>
      </c>
    </row>
    <row r="1879" spans="1:4" ht="42">
      <c r="A1879" s="715">
        <v>5845</v>
      </c>
      <c r="B1879" s="633" t="s">
        <v>24304</v>
      </c>
      <c r="C1879" s="715" t="s">
        <v>24295</v>
      </c>
      <c r="D1879" s="716">
        <v>63.06</v>
      </c>
    </row>
    <row r="1880" spans="1:4" ht="42">
      <c r="A1880" s="715">
        <v>5843</v>
      </c>
      <c r="B1880" s="633" t="s">
        <v>24173</v>
      </c>
      <c r="C1880" s="715" t="s">
        <v>24162</v>
      </c>
      <c r="D1880" s="716">
        <v>201.06</v>
      </c>
    </row>
    <row r="1881" spans="1:4" ht="42">
      <c r="A1881" s="715">
        <v>89036</v>
      </c>
      <c r="B1881" s="633" t="s">
        <v>24343</v>
      </c>
      <c r="C1881" s="715" t="s">
        <v>24295</v>
      </c>
      <c r="D1881" s="716">
        <v>56.62</v>
      </c>
    </row>
    <row r="1882" spans="1:4" ht="42">
      <c r="A1882" s="715">
        <v>89035</v>
      </c>
      <c r="B1882" s="633" t="s">
        <v>24213</v>
      </c>
      <c r="C1882" s="715" t="s">
        <v>24162</v>
      </c>
      <c r="D1882" s="716">
        <v>153.51</v>
      </c>
    </row>
    <row r="1883" spans="1:4" ht="28">
      <c r="A1883" s="715">
        <v>102911</v>
      </c>
      <c r="B1883" s="633" t="s">
        <v>33283</v>
      </c>
      <c r="C1883" s="715" t="s">
        <v>24295</v>
      </c>
      <c r="D1883" s="716">
        <v>0</v>
      </c>
    </row>
    <row r="1884" spans="1:4" ht="28">
      <c r="A1884" s="715">
        <v>102910</v>
      </c>
      <c r="B1884" s="633" t="s">
        <v>33284</v>
      </c>
      <c r="C1884" s="715" t="s">
        <v>24162</v>
      </c>
      <c r="D1884" s="716">
        <v>0</v>
      </c>
    </row>
    <row r="1885" spans="1:4" ht="42">
      <c r="A1885" s="715">
        <v>93440</v>
      </c>
      <c r="B1885" s="633" t="s">
        <v>24400</v>
      </c>
      <c r="C1885" s="715" t="s">
        <v>24295</v>
      </c>
      <c r="D1885" s="716">
        <v>184.05</v>
      </c>
    </row>
    <row r="1886" spans="1:4" ht="42">
      <c r="A1886" s="715">
        <v>93439</v>
      </c>
      <c r="B1886" s="633" t="s">
        <v>24268</v>
      </c>
      <c r="C1886" s="715" t="s">
        <v>24162</v>
      </c>
      <c r="D1886" s="716">
        <v>330.38</v>
      </c>
    </row>
    <row r="1887" spans="1:4" ht="28">
      <c r="A1887" s="715">
        <v>100648</v>
      </c>
      <c r="B1887" s="633" t="s">
        <v>24422</v>
      </c>
      <c r="C1887" s="715" t="s">
        <v>24295</v>
      </c>
      <c r="D1887" s="716">
        <v>605.82000000000005</v>
      </c>
    </row>
    <row r="1888" spans="1:4" ht="28">
      <c r="A1888" s="715">
        <v>100647</v>
      </c>
      <c r="B1888" s="633" t="s">
        <v>24290</v>
      </c>
      <c r="C1888" s="715" t="s">
        <v>24162</v>
      </c>
      <c r="D1888" s="716">
        <v>7802.99</v>
      </c>
    </row>
    <row r="1889" spans="1:4" ht="28">
      <c r="A1889" s="715">
        <v>5829</v>
      </c>
      <c r="B1889" s="633" t="s">
        <v>24301</v>
      </c>
      <c r="C1889" s="715" t="s">
        <v>24295</v>
      </c>
      <c r="D1889" s="716">
        <v>214.61</v>
      </c>
    </row>
    <row r="1890" spans="1:4" ht="28">
      <c r="A1890" s="715">
        <v>5823</v>
      </c>
      <c r="B1890" s="633" t="s">
        <v>24169</v>
      </c>
      <c r="C1890" s="715" t="s">
        <v>24162</v>
      </c>
      <c r="D1890" s="716">
        <v>270.69</v>
      </c>
    </row>
    <row r="1891" spans="1:4" ht="98">
      <c r="A1891" s="715">
        <v>106095</v>
      </c>
      <c r="B1891" s="633" t="s">
        <v>41435</v>
      </c>
      <c r="C1891" s="715" t="s">
        <v>24295</v>
      </c>
      <c r="D1891" s="716">
        <v>119.3</v>
      </c>
    </row>
    <row r="1892" spans="1:4" ht="98">
      <c r="A1892" s="715">
        <v>106094</v>
      </c>
      <c r="B1892" s="633" t="s">
        <v>41436</v>
      </c>
      <c r="C1892" s="715" t="s">
        <v>24162</v>
      </c>
      <c r="D1892" s="716">
        <v>368.64</v>
      </c>
    </row>
    <row r="1893" spans="1:4" ht="42">
      <c r="A1893" s="715">
        <v>100642</v>
      </c>
      <c r="B1893" s="633" t="s">
        <v>24421</v>
      </c>
      <c r="C1893" s="715" t="s">
        <v>24295</v>
      </c>
      <c r="D1893" s="716">
        <v>311.08999999999997</v>
      </c>
    </row>
    <row r="1894" spans="1:4" ht="42">
      <c r="A1894" s="715">
        <v>100641</v>
      </c>
      <c r="B1894" s="633" t="s">
        <v>24289</v>
      </c>
      <c r="C1894" s="715" t="s">
        <v>24162</v>
      </c>
      <c r="D1894" s="716">
        <v>5790.16</v>
      </c>
    </row>
    <row r="1895" spans="1:4" ht="42">
      <c r="A1895" s="715">
        <v>93434</v>
      </c>
      <c r="B1895" s="633" t="s">
        <v>24399</v>
      </c>
      <c r="C1895" s="715" t="s">
        <v>24295</v>
      </c>
      <c r="D1895" s="716">
        <v>386.31</v>
      </c>
    </row>
    <row r="1896" spans="1:4" ht="42">
      <c r="A1896" s="715">
        <v>93433</v>
      </c>
      <c r="B1896" s="633" t="s">
        <v>24267</v>
      </c>
      <c r="C1896" s="715" t="s">
        <v>24162</v>
      </c>
      <c r="D1896" s="716">
        <v>3204.96</v>
      </c>
    </row>
    <row r="1897" spans="1:4" ht="42">
      <c r="A1897" s="715">
        <v>95122</v>
      </c>
      <c r="B1897" s="633" t="s">
        <v>24401</v>
      </c>
      <c r="C1897" s="715" t="s">
        <v>24295</v>
      </c>
      <c r="D1897" s="716">
        <v>270.38</v>
      </c>
    </row>
    <row r="1898" spans="1:4" ht="42">
      <c r="A1898" s="715">
        <v>95121</v>
      </c>
      <c r="B1898" s="633" t="s">
        <v>24269</v>
      </c>
      <c r="C1898" s="715" t="s">
        <v>24162</v>
      </c>
      <c r="D1898" s="716">
        <v>407.45</v>
      </c>
    </row>
    <row r="1899" spans="1:4" ht="28">
      <c r="A1899" s="715">
        <v>103662</v>
      </c>
      <c r="B1899" s="633" t="s">
        <v>33285</v>
      </c>
      <c r="C1899" s="715" t="s">
        <v>24295</v>
      </c>
      <c r="D1899" s="716">
        <v>0</v>
      </c>
    </row>
    <row r="1900" spans="1:4" ht="28">
      <c r="A1900" s="715">
        <v>103661</v>
      </c>
      <c r="B1900" s="633" t="s">
        <v>33286</v>
      </c>
      <c r="C1900" s="715" t="s">
        <v>24162</v>
      </c>
      <c r="D1900" s="716">
        <v>0</v>
      </c>
    </row>
    <row r="1901" spans="1:4" ht="42">
      <c r="A1901" s="715">
        <v>5841</v>
      </c>
      <c r="B1901" s="633" t="s">
        <v>24303</v>
      </c>
      <c r="C1901" s="715" t="s">
        <v>24295</v>
      </c>
      <c r="D1901" s="716">
        <v>4.97</v>
      </c>
    </row>
    <row r="1902" spans="1:4" ht="42">
      <c r="A1902" s="715">
        <v>5839</v>
      </c>
      <c r="B1902" s="633" t="s">
        <v>24172</v>
      </c>
      <c r="C1902" s="715" t="s">
        <v>24162</v>
      </c>
      <c r="D1902" s="716">
        <v>9.89</v>
      </c>
    </row>
    <row r="1903" spans="1:4" ht="42">
      <c r="A1903" s="715">
        <v>90587</v>
      </c>
      <c r="B1903" s="633" t="s">
        <v>24354</v>
      </c>
      <c r="C1903" s="715" t="s">
        <v>24295</v>
      </c>
      <c r="D1903" s="716">
        <v>0.59</v>
      </c>
    </row>
    <row r="1904" spans="1:4" ht="42">
      <c r="A1904" s="715">
        <v>90586</v>
      </c>
      <c r="B1904" s="633" t="s">
        <v>24224</v>
      </c>
      <c r="C1904" s="715" t="s">
        <v>24162</v>
      </c>
      <c r="D1904" s="716">
        <v>1.4</v>
      </c>
    </row>
    <row r="1905" spans="1:4" ht="42">
      <c r="A1905" s="715">
        <v>106392</v>
      </c>
      <c r="B1905" s="633" t="s">
        <v>42310</v>
      </c>
      <c r="C1905" s="715" t="s">
        <v>24295</v>
      </c>
      <c r="D1905" s="716">
        <v>134.66999999999999</v>
      </c>
    </row>
    <row r="1906" spans="1:4" ht="42">
      <c r="A1906" s="715">
        <v>106389</v>
      </c>
      <c r="B1906" s="633" t="s">
        <v>42311</v>
      </c>
      <c r="C1906" s="715" t="s">
        <v>24162</v>
      </c>
      <c r="D1906" s="716">
        <v>364.12</v>
      </c>
    </row>
    <row r="1907" spans="1:4" ht="42">
      <c r="A1907" s="715">
        <v>106391</v>
      </c>
      <c r="B1907" s="633" t="s">
        <v>42312</v>
      </c>
      <c r="C1907" s="715" t="s">
        <v>24295</v>
      </c>
      <c r="D1907" s="716">
        <v>267.56</v>
      </c>
    </row>
    <row r="1908" spans="1:4" ht="42">
      <c r="A1908" s="715">
        <v>106388</v>
      </c>
      <c r="B1908" s="633" t="s">
        <v>42313</v>
      </c>
      <c r="C1908" s="715" t="s">
        <v>24162</v>
      </c>
      <c r="D1908" s="716">
        <v>679.63</v>
      </c>
    </row>
    <row r="1909" spans="1:4" ht="56">
      <c r="A1909" s="715">
        <v>5837</v>
      </c>
      <c r="B1909" s="633" t="s">
        <v>24302</v>
      </c>
      <c r="C1909" s="715" t="s">
        <v>24295</v>
      </c>
      <c r="D1909" s="716">
        <v>155.37</v>
      </c>
    </row>
    <row r="1910" spans="1:4" ht="56">
      <c r="A1910" s="715">
        <v>5835</v>
      </c>
      <c r="B1910" s="633" t="s">
        <v>24171</v>
      </c>
      <c r="C1910" s="715" t="s">
        <v>24162</v>
      </c>
      <c r="D1910" s="716">
        <v>404.26</v>
      </c>
    </row>
    <row r="1911" spans="1:4" ht="56">
      <c r="A1911" s="715">
        <v>89257</v>
      </c>
      <c r="B1911" s="633" t="s">
        <v>24218</v>
      </c>
      <c r="C1911" s="715" t="s">
        <v>24162</v>
      </c>
      <c r="D1911" s="716">
        <v>352.28</v>
      </c>
    </row>
    <row r="1912" spans="1:4" ht="56">
      <c r="A1912" s="715">
        <v>89258</v>
      </c>
      <c r="B1912" s="633" t="s">
        <v>24349</v>
      </c>
      <c r="C1912" s="715" t="s">
        <v>24295</v>
      </c>
      <c r="D1912" s="716">
        <v>133.97</v>
      </c>
    </row>
    <row r="1913" spans="1:4" ht="56">
      <c r="A1913" s="715">
        <v>106393</v>
      </c>
      <c r="B1913" s="633" t="s">
        <v>42314</v>
      </c>
      <c r="C1913" s="715" t="s">
        <v>24295</v>
      </c>
      <c r="D1913" s="716">
        <v>152.91</v>
      </c>
    </row>
    <row r="1914" spans="1:4" ht="56">
      <c r="A1914" s="715">
        <v>106390</v>
      </c>
      <c r="B1914" s="633" t="s">
        <v>42315</v>
      </c>
      <c r="C1914" s="715" t="s">
        <v>24162</v>
      </c>
      <c r="D1914" s="716">
        <v>385.74</v>
      </c>
    </row>
    <row r="1915" spans="1:4" ht="42">
      <c r="A1915" s="715">
        <v>97621</v>
      </c>
      <c r="B1915" s="633" t="s">
        <v>28415</v>
      </c>
      <c r="C1915" s="715" t="s">
        <v>121</v>
      </c>
      <c r="D1915" s="716">
        <v>165.88</v>
      </c>
    </row>
    <row r="1916" spans="1:4" ht="42">
      <c r="A1916" s="715">
        <v>97622</v>
      </c>
      <c r="B1916" s="633" t="s">
        <v>28416</v>
      </c>
      <c r="C1916" s="715" t="s">
        <v>121</v>
      </c>
      <c r="D1916" s="716">
        <v>80.849999999999994</v>
      </c>
    </row>
    <row r="1917" spans="1:4" ht="42">
      <c r="A1917" s="715">
        <v>97623</v>
      </c>
      <c r="B1917" s="633" t="s">
        <v>28417</v>
      </c>
      <c r="C1917" s="715" t="s">
        <v>121</v>
      </c>
      <c r="D1917" s="716">
        <v>247.65</v>
      </c>
    </row>
    <row r="1918" spans="1:4" ht="42">
      <c r="A1918" s="715">
        <v>97624</v>
      </c>
      <c r="B1918" s="633" t="s">
        <v>28418</v>
      </c>
      <c r="C1918" s="715" t="s">
        <v>121</v>
      </c>
      <c r="D1918" s="716">
        <v>152</v>
      </c>
    </row>
    <row r="1919" spans="1:4" ht="42">
      <c r="A1919" s="715">
        <v>97625</v>
      </c>
      <c r="B1919" s="633" t="s">
        <v>28419</v>
      </c>
      <c r="C1919" s="715" t="s">
        <v>121</v>
      </c>
      <c r="D1919" s="716">
        <v>56.97</v>
      </c>
    </row>
    <row r="1920" spans="1:4" ht="42">
      <c r="A1920" s="715">
        <v>104791</v>
      </c>
      <c r="B1920" s="633" t="s">
        <v>28461</v>
      </c>
      <c r="C1920" s="715" t="s">
        <v>509</v>
      </c>
      <c r="D1920" s="716">
        <v>8.59</v>
      </c>
    </row>
    <row r="1921" spans="1:4" ht="28">
      <c r="A1921" s="715">
        <v>97631</v>
      </c>
      <c r="B1921" s="633" t="s">
        <v>28424</v>
      </c>
      <c r="C1921" s="715" t="s">
        <v>509</v>
      </c>
      <c r="D1921" s="716">
        <v>16.13</v>
      </c>
    </row>
    <row r="1922" spans="1:4" ht="56">
      <c r="A1922" s="715">
        <v>97630</v>
      </c>
      <c r="B1922" s="633" t="s">
        <v>33287</v>
      </c>
      <c r="C1922" s="715" t="s">
        <v>121</v>
      </c>
      <c r="D1922" s="716">
        <v>0</v>
      </c>
    </row>
    <row r="1923" spans="1:4" ht="42">
      <c r="A1923" s="715">
        <v>104796</v>
      </c>
      <c r="B1923" s="633" t="s">
        <v>28466</v>
      </c>
      <c r="C1923" s="715" t="s">
        <v>165</v>
      </c>
      <c r="D1923" s="716">
        <v>17.91</v>
      </c>
    </row>
    <row r="1924" spans="1:4" ht="42">
      <c r="A1924" s="715">
        <v>97628</v>
      </c>
      <c r="B1924" s="633" t="s">
        <v>28422</v>
      </c>
      <c r="C1924" s="715" t="s">
        <v>121</v>
      </c>
      <c r="D1924" s="716">
        <v>378.41</v>
      </c>
    </row>
    <row r="1925" spans="1:4" ht="42">
      <c r="A1925" s="715">
        <v>97629</v>
      </c>
      <c r="B1925" s="633" t="s">
        <v>28423</v>
      </c>
      <c r="C1925" s="715" t="s">
        <v>121</v>
      </c>
      <c r="D1925" s="716">
        <v>120.25</v>
      </c>
    </row>
    <row r="1926" spans="1:4" ht="42">
      <c r="A1926" s="715">
        <v>97626</v>
      </c>
      <c r="B1926" s="633" t="s">
        <v>28420</v>
      </c>
      <c r="C1926" s="715" t="s">
        <v>121</v>
      </c>
      <c r="D1926" s="716">
        <v>812.49</v>
      </c>
    </row>
    <row r="1927" spans="1:4" ht="42">
      <c r="A1927" s="715">
        <v>97627</v>
      </c>
      <c r="B1927" s="633" t="s">
        <v>28421</v>
      </c>
      <c r="C1927" s="715" t="s">
        <v>121</v>
      </c>
      <c r="D1927" s="716">
        <v>258.23</v>
      </c>
    </row>
    <row r="1928" spans="1:4" ht="42">
      <c r="A1928" s="715">
        <v>104789</v>
      </c>
      <c r="B1928" s="633" t="s">
        <v>28459</v>
      </c>
      <c r="C1928" s="715" t="s">
        <v>121</v>
      </c>
      <c r="D1928" s="716">
        <v>284.52999999999997</v>
      </c>
    </row>
    <row r="1929" spans="1:4" ht="42">
      <c r="A1929" s="715">
        <v>104790</v>
      </c>
      <c r="B1929" s="633" t="s">
        <v>28460</v>
      </c>
      <c r="C1929" s="715" t="s">
        <v>121</v>
      </c>
      <c r="D1929" s="716">
        <v>136.16</v>
      </c>
    </row>
    <row r="1930" spans="1:4" ht="28">
      <c r="A1930" s="715">
        <v>97633</v>
      </c>
      <c r="B1930" s="633" t="s">
        <v>28426</v>
      </c>
      <c r="C1930" s="715" t="s">
        <v>509</v>
      </c>
      <c r="D1930" s="716">
        <v>32.229999999999997</v>
      </c>
    </row>
    <row r="1931" spans="1:4" ht="42">
      <c r="A1931" s="715">
        <v>97634</v>
      </c>
      <c r="B1931" s="633" t="s">
        <v>28427</v>
      </c>
      <c r="C1931" s="715" t="s">
        <v>509</v>
      </c>
      <c r="D1931" s="716">
        <v>9.6300000000000008</v>
      </c>
    </row>
    <row r="1932" spans="1:4" ht="28">
      <c r="A1932" s="715">
        <v>97632</v>
      </c>
      <c r="B1932" s="633" t="s">
        <v>28425</v>
      </c>
      <c r="C1932" s="715" t="s">
        <v>165</v>
      </c>
      <c r="D1932" s="716">
        <v>3.69</v>
      </c>
    </row>
    <row r="1933" spans="1:4" ht="42">
      <c r="A1933" s="715">
        <v>97636</v>
      </c>
      <c r="B1933" s="633" t="s">
        <v>28429</v>
      </c>
      <c r="C1933" s="715" t="s">
        <v>509</v>
      </c>
      <c r="D1933" s="716">
        <v>26.85</v>
      </c>
    </row>
    <row r="1934" spans="1:4" ht="42">
      <c r="A1934" s="715">
        <v>104797</v>
      </c>
      <c r="B1934" s="633" t="s">
        <v>28467</v>
      </c>
      <c r="C1934" s="715" t="s">
        <v>165</v>
      </c>
      <c r="D1934" s="716">
        <v>22.4</v>
      </c>
    </row>
    <row r="1935" spans="1:4" ht="28">
      <c r="A1935" s="715">
        <v>104803</v>
      </c>
      <c r="B1935" s="633" t="s">
        <v>28473</v>
      </c>
      <c r="C1935" s="715" t="s">
        <v>165</v>
      </c>
      <c r="D1935" s="716">
        <v>6.35</v>
      </c>
    </row>
    <row r="1936" spans="1:4" ht="28">
      <c r="A1936" s="715">
        <v>97664</v>
      </c>
      <c r="B1936" s="633" t="s">
        <v>28456</v>
      </c>
      <c r="C1936" s="715" t="s">
        <v>103</v>
      </c>
      <c r="D1936" s="716">
        <v>2.2999999999999998</v>
      </c>
    </row>
    <row r="1937" spans="1:4" ht="70">
      <c r="A1937" s="715">
        <v>104801</v>
      </c>
      <c r="B1937" s="633" t="s">
        <v>28471</v>
      </c>
      <c r="C1937" s="715" t="s">
        <v>509</v>
      </c>
      <c r="D1937" s="716">
        <v>19.68</v>
      </c>
    </row>
    <row r="1938" spans="1:4" ht="42">
      <c r="A1938" s="715">
        <v>97661</v>
      </c>
      <c r="B1938" s="633" t="s">
        <v>28453</v>
      </c>
      <c r="C1938" s="715" t="s">
        <v>165</v>
      </c>
      <c r="D1938" s="716">
        <v>1.07</v>
      </c>
    </row>
    <row r="1939" spans="1:4" ht="42">
      <c r="A1939" s="715">
        <v>104794</v>
      </c>
      <c r="B1939" s="633" t="s">
        <v>28464</v>
      </c>
      <c r="C1939" s="715" t="s">
        <v>165</v>
      </c>
      <c r="D1939" s="716">
        <v>1.46</v>
      </c>
    </row>
    <row r="1940" spans="1:4" ht="42">
      <c r="A1940" s="715">
        <v>104795</v>
      </c>
      <c r="B1940" s="633" t="s">
        <v>28465</v>
      </c>
      <c r="C1940" s="715" t="s">
        <v>165</v>
      </c>
      <c r="D1940" s="716">
        <v>2.0499999999999998</v>
      </c>
    </row>
    <row r="1941" spans="1:4" ht="42">
      <c r="A1941" s="715">
        <v>104792</v>
      </c>
      <c r="B1941" s="633" t="s">
        <v>28462</v>
      </c>
      <c r="C1941" s="715" t="s">
        <v>165</v>
      </c>
      <c r="D1941" s="716">
        <v>0.59</v>
      </c>
    </row>
    <row r="1942" spans="1:4" ht="42">
      <c r="A1942" s="715">
        <v>104793</v>
      </c>
      <c r="B1942" s="633" t="s">
        <v>28463</v>
      </c>
      <c r="C1942" s="715" t="s">
        <v>165</v>
      </c>
      <c r="D1942" s="716">
        <v>0.82</v>
      </c>
    </row>
    <row r="1943" spans="1:4" ht="28">
      <c r="A1943" s="715">
        <v>104800</v>
      </c>
      <c r="B1943" s="633" t="s">
        <v>28470</v>
      </c>
      <c r="C1943" s="715" t="s">
        <v>165</v>
      </c>
      <c r="D1943" s="716">
        <v>12.82</v>
      </c>
    </row>
    <row r="1944" spans="1:4" ht="42">
      <c r="A1944" s="715">
        <v>97638</v>
      </c>
      <c r="B1944" s="633" t="s">
        <v>28431</v>
      </c>
      <c r="C1944" s="715" t="s">
        <v>509</v>
      </c>
      <c r="D1944" s="716">
        <v>11.98</v>
      </c>
    </row>
    <row r="1945" spans="1:4" ht="28">
      <c r="A1945" s="715">
        <v>97641</v>
      </c>
      <c r="B1945" s="633" t="s">
        <v>28434</v>
      </c>
      <c r="C1945" s="715" t="s">
        <v>509</v>
      </c>
      <c r="D1945" s="716">
        <v>4.1399999999999997</v>
      </c>
    </row>
    <row r="1946" spans="1:4" ht="42">
      <c r="A1946" s="715">
        <v>97640</v>
      </c>
      <c r="B1946" s="633" t="s">
        <v>28433</v>
      </c>
      <c r="C1946" s="715" t="s">
        <v>509</v>
      </c>
      <c r="D1946" s="716">
        <v>2.79</v>
      </c>
    </row>
    <row r="1947" spans="1:4" ht="42">
      <c r="A1947" s="715">
        <v>97660</v>
      </c>
      <c r="B1947" s="633" t="s">
        <v>28452</v>
      </c>
      <c r="C1947" s="715" t="s">
        <v>103</v>
      </c>
      <c r="D1947" s="716">
        <v>1</v>
      </c>
    </row>
    <row r="1948" spans="1:4" ht="28">
      <c r="A1948" s="715">
        <v>97645</v>
      </c>
      <c r="B1948" s="633" t="s">
        <v>28438</v>
      </c>
      <c r="C1948" s="715" t="s">
        <v>509</v>
      </c>
      <c r="D1948" s="716">
        <v>34.69</v>
      </c>
    </row>
    <row r="1949" spans="1:4" ht="28">
      <c r="A1949" s="715">
        <v>97663</v>
      </c>
      <c r="B1949" s="633" t="s">
        <v>28455</v>
      </c>
      <c r="C1949" s="715" t="s">
        <v>103</v>
      </c>
      <c r="D1949" s="716">
        <v>18.52</v>
      </c>
    </row>
    <row r="1950" spans="1:4" ht="28">
      <c r="A1950" s="715">
        <v>97665</v>
      </c>
      <c r="B1950" s="633" t="s">
        <v>28457</v>
      </c>
      <c r="C1950" s="715" t="s">
        <v>103</v>
      </c>
      <c r="D1950" s="716">
        <v>2.73</v>
      </c>
    </row>
    <row r="1951" spans="1:4" ht="28">
      <c r="A1951" s="715">
        <v>97666</v>
      </c>
      <c r="B1951" s="633" t="s">
        <v>28458</v>
      </c>
      <c r="C1951" s="715" t="s">
        <v>103</v>
      </c>
      <c r="D1951" s="716">
        <v>13.5</v>
      </c>
    </row>
    <row r="1952" spans="1:4" ht="42">
      <c r="A1952" s="715">
        <v>97635</v>
      </c>
      <c r="B1952" s="633" t="s">
        <v>28428</v>
      </c>
      <c r="C1952" s="715" t="s">
        <v>509</v>
      </c>
      <c r="D1952" s="716">
        <v>23.69</v>
      </c>
    </row>
    <row r="1953" spans="1:4" ht="42">
      <c r="A1953" s="715">
        <v>97643</v>
      </c>
      <c r="B1953" s="633" t="s">
        <v>28436</v>
      </c>
      <c r="C1953" s="715" t="s">
        <v>509</v>
      </c>
      <c r="D1953" s="716">
        <v>35.520000000000003</v>
      </c>
    </row>
    <row r="1954" spans="1:4" ht="42">
      <c r="A1954" s="715">
        <v>104799</v>
      </c>
      <c r="B1954" s="633" t="s">
        <v>28469</v>
      </c>
      <c r="C1954" s="715" t="s">
        <v>509</v>
      </c>
      <c r="D1954" s="716">
        <v>15.47</v>
      </c>
    </row>
    <row r="1955" spans="1:4" ht="42">
      <c r="A1955" s="715">
        <v>97639</v>
      </c>
      <c r="B1955" s="633" t="s">
        <v>28432</v>
      </c>
      <c r="C1955" s="715" t="s">
        <v>509</v>
      </c>
      <c r="D1955" s="716">
        <v>29</v>
      </c>
    </row>
    <row r="1956" spans="1:4" ht="28">
      <c r="A1956" s="715">
        <v>97644</v>
      </c>
      <c r="B1956" s="633" t="s">
        <v>28437</v>
      </c>
      <c r="C1956" s="715" t="s">
        <v>509</v>
      </c>
      <c r="D1956" s="716">
        <v>13.43</v>
      </c>
    </row>
    <row r="1957" spans="1:4" ht="42">
      <c r="A1957" s="715">
        <v>97648</v>
      </c>
      <c r="B1957" s="633" t="s">
        <v>28440</v>
      </c>
      <c r="C1957" s="715" t="s">
        <v>509</v>
      </c>
      <c r="D1957" s="716">
        <v>2.88</v>
      </c>
    </row>
    <row r="1958" spans="1:4" ht="42">
      <c r="A1958" s="715">
        <v>104798</v>
      </c>
      <c r="B1958" s="633" t="s">
        <v>28468</v>
      </c>
      <c r="C1958" s="715" t="s">
        <v>103</v>
      </c>
      <c r="D1958" s="716">
        <v>19.7</v>
      </c>
    </row>
    <row r="1959" spans="1:4" ht="42">
      <c r="A1959" s="715">
        <v>97637</v>
      </c>
      <c r="B1959" s="633" t="s">
        <v>28430</v>
      </c>
      <c r="C1959" s="715" t="s">
        <v>509</v>
      </c>
      <c r="D1959" s="716">
        <v>4.12</v>
      </c>
    </row>
    <row r="1960" spans="1:4" ht="56">
      <c r="A1960" s="715">
        <v>104802</v>
      </c>
      <c r="B1960" s="633" t="s">
        <v>28472</v>
      </c>
      <c r="C1960" s="715" t="s">
        <v>509</v>
      </c>
      <c r="D1960" s="716">
        <v>13.09</v>
      </c>
    </row>
    <row r="1961" spans="1:4" ht="42">
      <c r="A1961" s="715">
        <v>97647</v>
      </c>
      <c r="B1961" s="633" t="s">
        <v>28439</v>
      </c>
      <c r="C1961" s="715" t="s">
        <v>509</v>
      </c>
      <c r="D1961" s="716">
        <v>5</v>
      </c>
    </row>
    <row r="1962" spans="1:4" ht="42">
      <c r="A1962" s="715">
        <v>97649</v>
      </c>
      <c r="B1962" s="633" t="s">
        <v>28441</v>
      </c>
      <c r="C1962" s="715" t="s">
        <v>509</v>
      </c>
      <c r="D1962" s="716">
        <v>6.08</v>
      </c>
    </row>
    <row r="1963" spans="1:4" ht="42">
      <c r="A1963" s="715">
        <v>97652</v>
      </c>
      <c r="B1963" s="633" t="s">
        <v>28444</v>
      </c>
      <c r="C1963" s="715" t="s">
        <v>103</v>
      </c>
      <c r="D1963" s="716">
        <v>266.73</v>
      </c>
    </row>
    <row r="1964" spans="1:4" ht="42">
      <c r="A1964" s="715">
        <v>97654</v>
      </c>
      <c r="B1964" s="633" t="s">
        <v>28446</v>
      </c>
      <c r="C1964" s="715" t="s">
        <v>103</v>
      </c>
      <c r="D1964" s="716">
        <v>205.83</v>
      </c>
    </row>
    <row r="1965" spans="1:4" ht="42">
      <c r="A1965" s="715">
        <v>97651</v>
      </c>
      <c r="B1965" s="633" t="s">
        <v>28443</v>
      </c>
      <c r="C1965" s="715" t="s">
        <v>103</v>
      </c>
      <c r="D1965" s="716">
        <v>117.66</v>
      </c>
    </row>
    <row r="1966" spans="1:4" ht="42">
      <c r="A1966" s="715">
        <v>97653</v>
      </c>
      <c r="B1966" s="633" t="s">
        <v>28445</v>
      </c>
      <c r="C1966" s="715" t="s">
        <v>103</v>
      </c>
      <c r="D1966" s="716">
        <v>157.05000000000001</v>
      </c>
    </row>
    <row r="1967" spans="1:4" ht="42">
      <c r="A1967" s="715">
        <v>97657</v>
      </c>
      <c r="B1967" s="633" t="s">
        <v>28449</v>
      </c>
      <c r="C1967" s="715" t="s">
        <v>103</v>
      </c>
      <c r="D1967" s="716">
        <v>842.83</v>
      </c>
    </row>
    <row r="1968" spans="1:4" ht="42">
      <c r="A1968" s="715">
        <v>97659</v>
      </c>
      <c r="B1968" s="633" t="s">
        <v>28451</v>
      </c>
      <c r="C1968" s="715" t="s">
        <v>103</v>
      </c>
      <c r="D1968" s="716">
        <v>367.01</v>
      </c>
    </row>
    <row r="1969" spans="1:4" ht="42">
      <c r="A1969" s="715">
        <v>97656</v>
      </c>
      <c r="B1969" s="633" t="s">
        <v>28448</v>
      </c>
      <c r="C1969" s="715" t="s">
        <v>103</v>
      </c>
      <c r="D1969" s="716">
        <v>425.23</v>
      </c>
    </row>
    <row r="1970" spans="1:4" ht="42">
      <c r="A1970" s="715">
        <v>97658</v>
      </c>
      <c r="B1970" s="633" t="s">
        <v>28450</v>
      </c>
      <c r="C1970" s="715" t="s">
        <v>103</v>
      </c>
      <c r="D1970" s="716">
        <v>256.02999999999997</v>
      </c>
    </row>
    <row r="1971" spans="1:4" ht="42">
      <c r="A1971" s="715">
        <v>97650</v>
      </c>
      <c r="B1971" s="633" t="s">
        <v>28442</v>
      </c>
      <c r="C1971" s="715" t="s">
        <v>509</v>
      </c>
      <c r="D1971" s="716">
        <v>10.8</v>
      </c>
    </row>
    <row r="1972" spans="1:4" ht="42">
      <c r="A1972" s="715">
        <v>97642</v>
      </c>
      <c r="B1972" s="633" t="s">
        <v>28435</v>
      </c>
      <c r="C1972" s="715" t="s">
        <v>509</v>
      </c>
      <c r="D1972" s="716">
        <v>4.01</v>
      </c>
    </row>
    <row r="1973" spans="1:4" ht="42">
      <c r="A1973" s="715">
        <v>97655</v>
      </c>
      <c r="B1973" s="633" t="s">
        <v>28447</v>
      </c>
      <c r="C1973" s="715" t="s">
        <v>509</v>
      </c>
      <c r="D1973" s="716">
        <v>45.88</v>
      </c>
    </row>
    <row r="1974" spans="1:4" ht="42">
      <c r="A1974" s="715">
        <v>97662</v>
      </c>
      <c r="B1974" s="633" t="s">
        <v>28454</v>
      </c>
      <c r="C1974" s="715" t="s">
        <v>165</v>
      </c>
      <c r="D1974" s="716">
        <v>0.74</v>
      </c>
    </row>
    <row r="1975" spans="1:4" ht="42">
      <c r="A1975" s="715">
        <v>97646</v>
      </c>
      <c r="B1975" s="633" t="s">
        <v>33288</v>
      </c>
      <c r="C1975" s="715" t="s">
        <v>509</v>
      </c>
      <c r="D1975" s="716">
        <v>0</v>
      </c>
    </row>
    <row r="1976" spans="1:4" ht="42">
      <c r="A1976" s="715">
        <v>92712</v>
      </c>
      <c r="B1976" s="633" t="s">
        <v>24805</v>
      </c>
      <c r="C1976" s="715" t="s">
        <v>11</v>
      </c>
      <c r="D1976" s="716">
        <v>0.22</v>
      </c>
    </row>
    <row r="1977" spans="1:4" ht="42">
      <c r="A1977" s="715">
        <v>92713</v>
      </c>
      <c r="B1977" s="633" t="s">
        <v>24806</v>
      </c>
      <c r="C1977" s="715" t="s">
        <v>11</v>
      </c>
      <c r="D1977" s="716">
        <v>0.05</v>
      </c>
    </row>
    <row r="1978" spans="1:4" ht="42">
      <c r="A1978" s="715">
        <v>92714</v>
      </c>
      <c r="B1978" s="633" t="s">
        <v>24807</v>
      </c>
      <c r="C1978" s="715" t="s">
        <v>11</v>
      </c>
      <c r="D1978" s="716">
        <v>0.28000000000000003</v>
      </c>
    </row>
    <row r="1979" spans="1:4" ht="42">
      <c r="A1979" s="715">
        <v>92715</v>
      </c>
      <c r="B1979" s="633" t="s">
        <v>24808</v>
      </c>
      <c r="C1979" s="715" t="s">
        <v>11</v>
      </c>
      <c r="D1979" s="716">
        <v>114.72</v>
      </c>
    </row>
    <row r="1980" spans="1:4" ht="56">
      <c r="A1980" s="715">
        <v>103663</v>
      </c>
      <c r="B1980" s="633" t="s">
        <v>33289</v>
      </c>
      <c r="C1980" s="715" t="s">
        <v>11</v>
      </c>
      <c r="D1980" s="716">
        <v>0</v>
      </c>
    </row>
    <row r="1981" spans="1:4" ht="56">
      <c r="A1981" s="715">
        <v>104390</v>
      </c>
      <c r="B1981" s="633" t="s">
        <v>33290</v>
      </c>
      <c r="C1981" s="715" t="s">
        <v>11</v>
      </c>
      <c r="D1981" s="716">
        <v>0</v>
      </c>
    </row>
    <row r="1982" spans="1:4" ht="56">
      <c r="A1982" s="715">
        <v>103664</v>
      </c>
      <c r="B1982" s="633" t="s">
        <v>33291</v>
      </c>
      <c r="C1982" s="715" t="s">
        <v>11</v>
      </c>
      <c r="D1982" s="716">
        <v>0</v>
      </c>
    </row>
    <row r="1983" spans="1:4" ht="56">
      <c r="A1983" s="715">
        <v>104451</v>
      </c>
      <c r="B1983" s="633" t="s">
        <v>33292</v>
      </c>
      <c r="C1983" s="715" t="s">
        <v>11</v>
      </c>
      <c r="D1983" s="716">
        <v>0</v>
      </c>
    </row>
    <row r="1984" spans="1:4" ht="56">
      <c r="A1984" s="715">
        <v>103666</v>
      </c>
      <c r="B1984" s="633" t="s">
        <v>24978</v>
      </c>
      <c r="C1984" s="715" t="s">
        <v>11</v>
      </c>
      <c r="D1984" s="716">
        <v>164.65</v>
      </c>
    </row>
    <row r="1985" spans="1:4" ht="42">
      <c r="A1985" s="715">
        <v>89212</v>
      </c>
      <c r="B1985" s="633" t="s">
        <v>24592</v>
      </c>
      <c r="C1985" s="715" t="s">
        <v>11</v>
      </c>
      <c r="D1985" s="716">
        <v>29.76</v>
      </c>
    </row>
    <row r="1986" spans="1:4" ht="42">
      <c r="A1986" s="715">
        <v>89213</v>
      </c>
      <c r="B1986" s="633" t="s">
        <v>24593</v>
      </c>
      <c r="C1986" s="715" t="s">
        <v>11</v>
      </c>
      <c r="D1986" s="716">
        <v>9.18</v>
      </c>
    </row>
    <row r="1987" spans="1:4" ht="42">
      <c r="A1987" s="715">
        <v>89214</v>
      </c>
      <c r="B1987" s="633" t="s">
        <v>24594</v>
      </c>
      <c r="C1987" s="715" t="s">
        <v>11</v>
      </c>
      <c r="D1987" s="716">
        <v>27.94</v>
      </c>
    </row>
    <row r="1988" spans="1:4" ht="42">
      <c r="A1988" s="715">
        <v>89215</v>
      </c>
      <c r="B1988" s="633" t="s">
        <v>24595</v>
      </c>
      <c r="C1988" s="715" t="s">
        <v>11</v>
      </c>
      <c r="D1988" s="716">
        <v>112.67</v>
      </c>
    </row>
    <row r="1989" spans="1:4" ht="42">
      <c r="A1989" s="715">
        <v>87441</v>
      </c>
      <c r="B1989" s="633" t="s">
        <v>24524</v>
      </c>
      <c r="C1989" s="715" t="s">
        <v>11</v>
      </c>
      <c r="D1989" s="716">
        <v>0.45</v>
      </c>
    </row>
    <row r="1990" spans="1:4" ht="42">
      <c r="A1990" s="715">
        <v>87442</v>
      </c>
      <c r="B1990" s="633" t="s">
        <v>24525</v>
      </c>
      <c r="C1990" s="715" t="s">
        <v>11</v>
      </c>
      <c r="D1990" s="716">
        <v>0.1</v>
      </c>
    </row>
    <row r="1991" spans="1:4" ht="42">
      <c r="A1991" s="715">
        <v>87443</v>
      </c>
      <c r="B1991" s="633" t="s">
        <v>24526</v>
      </c>
      <c r="C1991" s="715" t="s">
        <v>11</v>
      </c>
      <c r="D1991" s="716">
        <v>0.56000000000000005</v>
      </c>
    </row>
    <row r="1992" spans="1:4" ht="56">
      <c r="A1992" s="715">
        <v>87444</v>
      </c>
      <c r="B1992" s="633" t="s">
        <v>24527</v>
      </c>
      <c r="C1992" s="715" t="s">
        <v>11</v>
      </c>
      <c r="D1992" s="716">
        <v>5.08</v>
      </c>
    </row>
    <row r="1993" spans="1:4" ht="42">
      <c r="A1993" s="715">
        <v>93229</v>
      </c>
      <c r="B1993" s="633" t="s">
        <v>24816</v>
      </c>
      <c r="C1993" s="715" t="s">
        <v>11</v>
      </c>
      <c r="D1993" s="716">
        <v>0.41</v>
      </c>
    </row>
    <row r="1994" spans="1:4" ht="42">
      <c r="A1994" s="715">
        <v>93230</v>
      </c>
      <c r="B1994" s="633" t="s">
        <v>24817</v>
      </c>
      <c r="C1994" s="715" t="s">
        <v>11</v>
      </c>
      <c r="D1994" s="716">
        <v>0.09</v>
      </c>
    </row>
    <row r="1995" spans="1:4" ht="42">
      <c r="A1995" s="715">
        <v>93231</v>
      </c>
      <c r="B1995" s="633" t="s">
        <v>24818</v>
      </c>
      <c r="C1995" s="715" t="s">
        <v>11</v>
      </c>
      <c r="D1995" s="716">
        <v>0.52</v>
      </c>
    </row>
    <row r="1996" spans="1:4" ht="56">
      <c r="A1996" s="715">
        <v>93232</v>
      </c>
      <c r="B1996" s="633" t="s">
        <v>24819</v>
      </c>
      <c r="C1996" s="715" t="s">
        <v>11</v>
      </c>
      <c r="D1996" s="716">
        <v>5.1100000000000003</v>
      </c>
    </row>
    <row r="1997" spans="1:4" ht="56">
      <c r="A1997" s="715">
        <v>102948</v>
      </c>
      <c r="B1997" s="633" t="s">
        <v>33293</v>
      </c>
      <c r="C1997" s="715" t="s">
        <v>11</v>
      </c>
      <c r="D1997" s="716">
        <v>0</v>
      </c>
    </row>
    <row r="1998" spans="1:4" ht="42">
      <c r="A1998" s="715">
        <v>102949</v>
      </c>
      <c r="B1998" s="633" t="s">
        <v>33294</v>
      </c>
      <c r="C1998" s="715" t="s">
        <v>11</v>
      </c>
      <c r="D1998" s="716">
        <v>0</v>
      </c>
    </row>
    <row r="1999" spans="1:4" ht="56">
      <c r="A1999" s="715">
        <v>102950</v>
      </c>
      <c r="B1999" s="633" t="s">
        <v>33295</v>
      </c>
      <c r="C1999" s="715" t="s">
        <v>11</v>
      </c>
      <c r="D1999" s="716">
        <v>0</v>
      </c>
    </row>
    <row r="2000" spans="1:4" ht="56">
      <c r="A2000" s="715">
        <v>102951</v>
      </c>
      <c r="B2000" s="633" t="s">
        <v>24964</v>
      </c>
      <c r="C2000" s="715" t="s">
        <v>11</v>
      </c>
      <c r="D2000" s="716">
        <v>0.54</v>
      </c>
    </row>
    <row r="2001" spans="1:4" ht="56">
      <c r="A2001" s="715">
        <v>88826</v>
      </c>
      <c r="B2001" s="633" t="s">
        <v>24550</v>
      </c>
      <c r="C2001" s="715" t="s">
        <v>11</v>
      </c>
      <c r="D2001" s="716">
        <v>0.33</v>
      </c>
    </row>
    <row r="2002" spans="1:4" ht="56">
      <c r="A2002" s="715">
        <v>88827</v>
      </c>
      <c r="B2002" s="633" t="s">
        <v>24551</v>
      </c>
      <c r="C2002" s="715" t="s">
        <v>11</v>
      </c>
      <c r="D2002" s="716">
        <v>7.0000000000000007E-2</v>
      </c>
    </row>
    <row r="2003" spans="1:4" ht="56">
      <c r="A2003" s="715">
        <v>88828</v>
      </c>
      <c r="B2003" s="633" t="s">
        <v>24552</v>
      </c>
      <c r="C2003" s="715" t="s">
        <v>11</v>
      </c>
      <c r="D2003" s="716">
        <v>0.36</v>
      </c>
    </row>
    <row r="2004" spans="1:4" ht="56">
      <c r="A2004" s="715">
        <v>88829</v>
      </c>
      <c r="B2004" s="633" t="s">
        <v>24553</v>
      </c>
      <c r="C2004" s="715" t="s">
        <v>11</v>
      </c>
      <c r="D2004" s="716">
        <v>1.07</v>
      </c>
    </row>
    <row r="2005" spans="1:4" ht="56">
      <c r="A2005" s="715">
        <v>89221</v>
      </c>
      <c r="B2005" s="633" t="s">
        <v>24596</v>
      </c>
      <c r="C2005" s="715" t="s">
        <v>11</v>
      </c>
      <c r="D2005" s="716">
        <v>1.35</v>
      </c>
    </row>
    <row r="2006" spans="1:4" ht="56">
      <c r="A2006" s="715">
        <v>89222</v>
      </c>
      <c r="B2006" s="633" t="s">
        <v>24597</v>
      </c>
      <c r="C2006" s="715" t="s">
        <v>11</v>
      </c>
      <c r="D2006" s="716">
        <v>0.31</v>
      </c>
    </row>
    <row r="2007" spans="1:4" ht="56">
      <c r="A2007" s="715">
        <v>89223</v>
      </c>
      <c r="B2007" s="633" t="s">
        <v>24598</v>
      </c>
      <c r="C2007" s="715" t="s">
        <v>11</v>
      </c>
      <c r="D2007" s="716">
        <v>1.48</v>
      </c>
    </row>
    <row r="2008" spans="1:4" ht="56">
      <c r="A2008" s="715">
        <v>89224</v>
      </c>
      <c r="B2008" s="633" t="s">
        <v>24599</v>
      </c>
      <c r="C2008" s="715" t="s">
        <v>11</v>
      </c>
      <c r="D2008" s="716">
        <v>2.15</v>
      </c>
    </row>
    <row r="2009" spans="1:4" ht="56">
      <c r="A2009" s="715">
        <v>89274</v>
      </c>
      <c r="B2009" s="633" t="s">
        <v>24631</v>
      </c>
      <c r="C2009" s="715" t="s">
        <v>11</v>
      </c>
      <c r="D2009" s="716">
        <v>1.65</v>
      </c>
    </row>
    <row r="2010" spans="1:4" ht="56">
      <c r="A2010" s="715">
        <v>89275</v>
      </c>
      <c r="B2010" s="633" t="s">
        <v>24632</v>
      </c>
      <c r="C2010" s="715" t="s">
        <v>11</v>
      </c>
      <c r="D2010" s="716">
        <v>0.38</v>
      </c>
    </row>
    <row r="2011" spans="1:4" ht="56">
      <c r="A2011" s="715">
        <v>89276</v>
      </c>
      <c r="B2011" s="633" t="s">
        <v>24633</v>
      </c>
      <c r="C2011" s="715" t="s">
        <v>11</v>
      </c>
      <c r="D2011" s="716">
        <v>2.06</v>
      </c>
    </row>
    <row r="2012" spans="1:4" ht="56">
      <c r="A2012" s="715">
        <v>89277</v>
      </c>
      <c r="B2012" s="633" t="s">
        <v>24634</v>
      </c>
      <c r="C2012" s="715" t="s">
        <v>11</v>
      </c>
      <c r="D2012" s="716">
        <v>10.16</v>
      </c>
    </row>
    <row r="2013" spans="1:4" ht="56">
      <c r="A2013" s="715">
        <v>90646</v>
      </c>
      <c r="B2013" s="633" t="s">
        <v>24667</v>
      </c>
      <c r="C2013" s="715" t="s">
        <v>11</v>
      </c>
      <c r="D2013" s="716">
        <v>0.67</v>
      </c>
    </row>
    <row r="2014" spans="1:4" ht="56">
      <c r="A2014" s="715">
        <v>90647</v>
      </c>
      <c r="B2014" s="633" t="s">
        <v>24668</v>
      </c>
      <c r="C2014" s="715" t="s">
        <v>11</v>
      </c>
      <c r="D2014" s="716">
        <v>0.15</v>
      </c>
    </row>
    <row r="2015" spans="1:4" ht="56">
      <c r="A2015" s="715">
        <v>90648</v>
      </c>
      <c r="B2015" s="633" t="s">
        <v>24669</v>
      </c>
      <c r="C2015" s="715" t="s">
        <v>11</v>
      </c>
      <c r="D2015" s="716">
        <v>0.73</v>
      </c>
    </row>
    <row r="2016" spans="1:4" ht="56">
      <c r="A2016" s="715">
        <v>90649</v>
      </c>
      <c r="B2016" s="633" t="s">
        <v>24670</v>
      </c>
      <c r="C2016" s="715" t="s">
        <v>11</v>
      </c>
      <c r="D2016" s="716">
        <v>8.36</v>
      </c>
    </row>
    <row r="2017" spans="1:4" ht="28">
      <c r="A2017" s="715">
        <v>106096</v>
      </c>
      <c r="B2017" s="633" t="s">
        <v>41437</v>
      </c>
      <c r="C2017" s="715" t="s">
        <v>11</v>
      </c>
      <c r="D2017" s="716">
        <v>0</v>
      </c>
    </row>
    <row r="2018" spans="1:4" ht="28">
      <c r="A2018" s="715">
        <v>106097</v>
      </c>
      <c r="B2018" s="633" t="s">
        <v>41438</v>
      </c>
      <c r="C2018" s="715" t="s">
        <v>11</v>
      </c>
      <c r="D2018" s="716">
        <v>0</v>
      </c>
    </row>
    <row r="2019" spans="1:4" ht="28">
      <c r="A2019" s="715">
        <v>106098</v>
      </c>
      <c r="B2019" s="633" t="s">
        <v>41439</v>
      </c>
      <c r="C2019" s="715" t="s">
        <v>11</v>
      </c>
      <c r="D2019" s="716">
        <v>0</v>
      </c>
    </row>
    <row r="2020" spans="1:4" ht="28">
      <c r="A2020" s="715">
        <v>106099</v>
      </c>
      <c r="B2020" s="633" t="s">
        <v>41440</v>
      </c>
      <c r="C2020" s="715" t="s">
        <v>11</v>
      </c>
      <c r="D2020" s="716">
        <v>0.9</v>
      </c>
    </row>
    <row r="2021" spans="1:4" ht="28">
      <c r="A2021" s="715">
        <v>90652</v>
      </c>
      <c r="B2021" s="633" t="s">
        <v>24671</v>
      </c>
      <c r="C2021" s="715" t="s">
        <v>11</v>
      </c>
      <c r="D2021" s="716">
        <v>4.0599999999999996</v>
      </c>
    </row>
    <row r="2022" spans="1:4" ht="28">
      <c r="A2022" s="715">
        <v>90653</v>
      </c>
      <c r="B2022" s="633" t="s">
        <v>24672</v>
      </c>
      <c r="C2022" s="715" t="s">
        <v>11</v>
      </c>
      <c r="D2022" s="716">
        <v>0.94</v>
      </c>
    </row>
    <row r="2023" spans="1:4" ht="28">
      <c r="A2023" s="715">
        <v>90654</v>
      </c>
      <c r="B2023" s="633" t="s">
        <v>24673</v>
      </c>
      <c r="C2023" s="715" t="s">
        <v>11</v>
      </c>
      <c r="D2023" s="716">
        <v>4.4400000000000004</v>
      </c>
    </row>
    <row r="2024" spans="1:4" ht="42">
      <c r="A2024" s="715">
        <v>90655</v>
      </c>
      <c r="B2024" s="633" t="s">
        <v>24674</v>
      </c>
      <c r="C2024" s="715" t="s">
        <v>11</v>
      </c>
      <c r="D2024" s="716">
        <v>5.5</v>
      </c>
    </row>
    <row r="2025" spans="1:4" ht="28">
      <c r="A2025" s="715">
        <v>90658</v>
      </c>
      <c r="B2025" s="633" t="s">
        <v>24675</v>
      </c>
      <c r="C2025" s="715" t="s">
        <v>11</v>
      </c>
      <c r="D2025" s="716">
        <v>4.3499999999999996</v>
      </c>
    </row>
    <row r="2026" spans="1:4" ht="28">
      <c r="A2026" s="715">
        <v>90659</v>
      </c>
      <c r="B2026" s="633" t="s">
        <v>24676</v>
      </c>
      <c r="C2026" s="715" t="s">
        <v>11</v>
      </c>
      <c r="D2026" s="716">
        <v>1</v>
      </c>
    </row>
    <row r="2027" spans="1:4" ht="28">
      <c r="A2027" s="715">
        <v>90660</v>
      </c>
      <c r="B2027" s="633" t="s">
        <v>24677</v>
      </c>
      <c r="C2027" s="715" t="s">
        <v>11</v>
      </c>
      <c r="D2027" s="716">
        <v>4.76</v>
      </c>
    </row>
    <row r="2028" spans="1:4" ht="42">
      <c r="A2028" s="715">
        <v>90661</v>
      </c>
      <c r="B2028" s="633" t="s">
        <v>24678</v>
      </c>
      <c r="C2028" s="715" t="s">
        <v>11</v>
      </c>
      <c r="D2028" s="716">
        <v>5.5</v>
      </c>
    </row>
    <row r="2029" spans="1:4" ht="56">
      <c r="A2029" s="715">
        <v>89019</v>
      </c>
      <c r="B2029" s="633" t="s">
        <v>28868</v>
      </c>
      <c r="C2029" s="715" t="s">
        <v>11</v>
      </c>
      <c r="D2029" s="716">
        <v>0.41</v>
      </c>
    </row>
    <row r="2030" spans="1:4" ht="56">
      <c r="A2030" s="715">
        <v>89020</v>
      </c>
      <c r="B2030" s="633" t="s">
        <v>28869</v>
      </c>
      <c r="C2030" s="715" t="s">
        <v>11</v>
      </c>
      <c r="D2030" s="716">
        <v>0.09</v>
      </c>
    </row>
    <row r="2031" spans="1:4" ht="56">
      <c r="A2031" s="715">
        <v>5800</v>
      </c>
      <c r="B2031" s="633" t="s">
        <v>28864</v>
      </c>
      <c r="C2031" s="715" t="s">
        <v>11</v>
      </c>
      <c r="D2031" s="716">
        <v>0.45</v>
      </c>
    </row>
    <row r="2032" spans="1:4" ht="56">
      <c r="A2032" s="715">
        <v>53866</v>
      </c>
      <c r="B2032" s="633" t="s">
        <v>28865</v>
      </c>
      <c r="C2032" s="715" t="s">
        <v>11</v>
      </c>
      <c r="D2032" s="716">
        <v>1.65</v>
      </c>
    </row>
    <row r="2033" spans="1:4" ht="42">
      <c r="A2033" s="715">
        <v>90639</v>
      </c>
      <c r="B2033" s="633" t="s">
        <v>24663</v>
      </c>
      <c r="C2033" s="715" t="s">
        <v>11</v>
      </c>
      <c r="D2033" s="716">
        <v>6.24</v>
      </c>
    </row>
    <row r="2034" spans="1:4" ht="42">
      <c r="A2034" s="715">
        <v>90640</v>
      </c>
      <c r="B2034" s="633" t="s">
        <v>24664</v>
      </c>
      <c r="C2034" s="715" t="s">
        <v>11</v>
      </c>
      <c r="D2034" s="716">
        <v>1.44</v>
      </c>
    </row>
    <row r="2035" spans="1:4" ht="42">
      <c r="A2035" s="715">
        <v>90641</v>
      </c>
      <c r="B2035" s="633" t="s">
        <v>24665</v>
      </c>
      <c r="C2035" s="715" t="s">
        <v>11</v>
      </c>
      <c r="D2035" s="716">
        <v>6.83</v>
      </c>
    </row>
    <row r="2036" spans="1:4" ht="56">
      <c r="A2036" s="715">
        <v>90642</v>
      </c>
      <c r="B2036" s="633" t="s">
        <v>24666</v>
      </c>
      <c r="C2036" s="715" t="s">
        <v>11</v>
      </c>
      <c r="D2036" s="716">
        <v>15.24</v>
      </c>
    </row>
    <row r="2037" spans="1:4" ht="28">
      <c r="A2037" s="715">
        <v>102806</v>
      </c>
      <c r="B2037" s="633" t="s">
        <v>33296</v>
      </c>
      <c r="C2037" s="715" t="s">
        <v>11</v>
      </c>
      <c r="D2037" s="716">
        <v>0</v>
      </c>
    </row>
    <row r="2038" spans="1:4" ht="28">
      <c r="A2038" s="715">
        <v>102807</v>
      </c>
      <c r="B2038" s="633" t="s">
        <v>33297</v>
      </c>
      <c r="C2038" s="715" t="s">
        <v>11</v>
      </c>
      <c r="D2038" s="716">
        <v>0</v>
      </c>
    </row>
    <row r="2039" spans="1:4" ht="28">
      <c r="A2039" s="715">
        <v>102808</v>
      </c>
      <c r="B2039" s="633" t="s">
        <v>33298</v>
      </c>
      <c r="C2039" s="715" t="s">
        <v>11</v>
      </c>
      <c r="D2039" s="716">
        <v>0</v>
      </c>
    </row>
    <row r="2040" spans="1:4" ht="28">
      <c r="A2040" s="715">
        <v>102809</v>
      </c>
      <c r="B2040" s="633" t="s">
        <v>24946</v>
      </c>
      <c r="C2040" s="715" t="s">
        <v>11</v>
      </c>
      <c r="D2040" s="716">
        <v>19.04</v>
      </c>
    </row>
    <row r="2041" spans="1:4" ht="42">
      <c r="A2041" s="715">
        <v>92140</v>
      </c>
      <c r="B2041" s="633" t="s">
        <v>24795</v>
      </c>
      <c r="C2041" s="715" t="s">
        <v>11</v>
      </c>
      <c r="D2041" s="716">
        <v>4.84</v>
      </c>
    </row>
    <row r="2042" spans="1:4" ht="42">
      <c r="A2042" s="715">
        <v>92142</v>
      </c>
      <c r="B2042" s="633" t="s">
        <v>24797</v>
      </c>
      <c r="C2042" s="715" t="s">
        <v>11</v>
      </c>
      <c r="D2042" s="716">
        <v>0.6</v>
      </c>
    </row>
    <row r="2043" spans="1:4" ht="42">
      <c r="A2043" s="715">
        <v>92141</v>
      </c>
      <c r="B2043" s="633" t="s">
        <v>24796</v>
      </c>
      <c r="C2043" s="715" t="s">
        <v>11</v>
      </c>
      <c r="D2043" s="716">
        <v>1.49</v>
      </c>
    </row>
    <row r="2044" spans="1:4" ht="42">
      <c r="A2044" s="715">
        <v>92143</v>
      </c>
      <c r="B2044" s="633" t="s">
        <v>24798</v>
      </c>
      <c r="C2044" s="715" t="s">
        <v>11</v>
      </c>
      <c r="D2044" s="716">
        <v>6.05</v>
      </c>
    </row>
    <row r="2045" spans="1:4" ht="42">
      <c r="A2045" s="715">
        <v>92144</v>
      </c>
      <c r="B2045" s="633" t="s">
        <v>24799</v>
      </c>
      <c r="C2045" s="715" t="s">
        <v>11</v>
      </c>
      <c r="D2045" s="716">
        <v>44.42</v>
      </c>
    </row>
    <row r="2046" spans="1:4" ht="28">
      <c r="A2046" s="715">
        <v>92133</v>
      </c>
      <c r="B2046" s="633" t="s">
        <v>24790</v>
      </c>
      <c r="C2046" s="715" t="s">
        <v>11</v>
      </c>
      <c r="D2046" s="716">
        <v>13.22</v>
      </c>
    </row>
    <row r="2047" spans="1:4" ht="42">
      <c r="A2047" s="715">
        <v>92135</v>
      </c>
      <c r="B2047" s="633" t="s">
        <v>24792</v>
      </c>
      <c r="C2047" s="715" t="s">
        <v>11</v>
      </c>
      <c r="D2047" s="716">
        <v>1.65</v>
      </c>
    </row>
    <row r="2048" spans="1:4" ht="28">
      <c r="A2048" s="715">
        <v>92134</v>
      </c>
      <c r="B2048" s="633" t="s">
        <v>24791</v>
      </c>
      <c r="C2048" s="715" t="s">
        <v>11</v>
      </c>
      <c r="D2048" s="716">
        <v>4.07</v>
      </c>
    </row>
    <row r="2049" spans="1:4" ht="28">
      <c r="A2049" s="715">
        <v>92136</v>
      </c>
      <c r="B2049" s="633" t="s">
        <v>24793</v>
      </c>
      <c r="C2049" s="715" t="s">
        <v>11</v>
      </c>
      <c r="D2049" s="716">
        <v>16.53</v>
      </c>
    </row>
    <row r="2050" spans="1:4" ht="42">
      <c r="A2050" s="715">
        <v>92137</v>
      </c>
      <c r="B2050" s="633" t="s">
        <v>24794</v>
      </c>
      <c r="C2050" s="715" t="s">
        <v>11</v>
      </c>
      <c r="D2050" s="716">
        <v>42.76</v>
      </c>
    </row>
    <row r="2051" spans="1:4" ht="70">
      <c r="A2051" s="715">
        <v>91380</v>
      </c>
      <c r="B2051" s="633" t="s">
        <v>24743</v>
      </c>
      <c r="C2051" s="715" t="s">
        <v>11</v>
      </c>
      <c r="D2051" s="716">
        <v>30.41</v>
      </c>
    </row>
    <row r="2052" spans="1:4" ht="70">
      <c r="A2052" s="715">
        <v>91382</v>
      </c>
      <c r="B2052" s="633" t="s">
        <v>24745</v>
      </c>
      <c r="C2052" s="715" t="s">
        <v>11</v>
      </c>
      <c r="D2052" s="716">
        <v>4.72</v>
      </c>
    </row>
    <row r="2053" spans="1:4" ht="70">
      <c r="A2053" s="715">
        <v>91381</v>
      </c>
      <c r="B2053" s="633" t="s">
        <v>24744</v>
      </c>
      <c r="C2053" s="715" t="s">
        <v>11</v>
      </c>
      <c r="D2053" s="716">
        <v>11.7</v>
      </c>
    </row>
    <row r="2054" spans="1:4" ht="70">
      <c r="A2054" s="715">
        <v>91383</v>
      </c>
      <c r="B2054" s="633" t="s">
        <v>24746</v>
      </c>
      <c r="C2054" s="715" t="s">
        <v>11</v>
      </c>
      <c r="D2054" s="716">
        <v>54.79</v>
      </c>
    </row>
    <row r="2055" spans="1:4" ht="70">
      <c r="A2055" s="715">
        <v>91384</v>
      </c>
      <c r="B2055" s="633" t="s">
        <v>24747</v>
      </c>
      <c r="C2055" s="715" t="s">
        <v>11</v>
      </c>
      <c r="D2055" s="716">
        <v>172.06</v>
      </c>
    </row>
    <row r="2056" spans="1:4" ht="56">
      <c r="A2056" s="715">
        <v>96030</v>
      </c>
      <c r="B2056" s="633" t="s">
        <v>24916</v>
      </c>
      <c r="C2056" s="715" t="s">
        <v>11</v>
      </c>
      <c r="D2056" s="716">
        <v>37.770000000000003</v>
      </c>
    </row>
    <row r="2057" spans="1:4" ht="56">
      <c r="A2057" s="715">
        <v>96032</v>
      </c>
      <c r="B2057" s="633" t="s">
        <v>24918</v>
      </c>
      <c r="C2057" s="715" t="s">
        <v>11</v>
      </c>
      <c r="D2057" s="716">
        <v>5.3</v>
      </c>
    </row>
    <row r="2058" spans="1:4" ht="56">
      <c r="A2058" s="715">
        <v>96031</v>
      </c>
      <c r="B2058" s="633" t="s">
        <v>24917</v>
      </c>
      <c r="C2058" s="715" t="s">
        <v>11</v>
      </c>
      <c r="D2058" s="716">
        <v>13.21</v>
      </c>
    </row>
    <row r="2059" spans="1:4" ht="56">
      <c r="A2059" s="715">
        <v>96033</v>
      </c>
      <c r="B2059" s="633" t="s">
        <v>24919</v>
      </c>
      <c r="C2059" s="715" t="s">
        <v>11</v>
      </c>
      <c r="D2059" s="716">
        <v>60.92</v>
      </c>
    </row>
    <row r="2060" spans="1:4" ht="56">
      <c r="A2060" s="715">
        <v>96034</v>
      </c>
      <c r="B2060" s="633" t="s">
        <v>24920</v>
      </c>
      <c r="C2060" s="715" t="s">
        <v>11</v>
      </c>
      <c r="D2060" s="716">
        <v>172.06</v>
      </c>
    </row>
    <row r="2061" spans="1:4" ht="70">
      <c r="A2061" s="715">
        <v>89870</v>
      </c>
      <c r="B2061" s="633" t="s">
        <v>24637</v>
      </c>
      <c r="C2061" s="715" t="s">
        <v>11</v>
      </c>
      <c r="D2061" s="716">
        <v>39.82</v>
      </c>
    </row>
    <row r="2062" spans="1:4" ht="70">
      <c r="A2062" s="715">
        <v>89872</v>
      </c>
      <c r="B2062" s="633" t="s">
        <v>24639</v>
      </c>
      <c r="C2062" s="715" t="s">
        <v>11</v>
      </c>
      <c r="D2062" s="716">
        <v>5.64</v>
      </c>
    </row>
    <row r="2063" spans="1:4" ht="70">
      <c r="A2063" s="715">
        <v>89871</v>
      </c>
      <c r="B2063" s="633" t="s">
        <v>24638</v>
      </c>
      <c r="C2063" s="715" t="s">
        <v>11</v>
      </c>
      <c r="D2063" s="716">
        <v>13.97</v>
      </c>
    </row>
    <row r="2064" spans="1:4" ht="70">
      <c r="A2064" s="715">
        <v>89873</v>
      </c>
      <c r="B2064" s="633" t="s">
        <v>24640</v>
      </c>
      <c r="C2064" s="715" t="s">
        <v>11</v>
      </c>
      <c r="D2064" s="716">
        <v>68.03</v>
      </c>
    </row>
    <row r="2065" spans="1:4" ht="70">
      <c r="A2065" s="715">
        <v>89874</v>
      </c>
      <c r="B2065" s="633" t="s">
        <v>24641</v>
      </c>
      <c r="C2065" s="715" t="s">
        <v>11</v>
      </c>
      <c r="D2065" s="716">
        <v>213.95</v>
      </c>
    </row>
    <row r="2066" spans="1:4" ht="70">
      <c r="A2066" s="715">
        <v>89878</v>
      </c>
      <c r="B2066" s="633" t="s">
        <v>24642</v>
      </c>
      <c r="C2066" s="715" t="s">
        <v>11</v>
      </c>
      <c r="D2066" s="716">
        <v>42.65</v>
      </c>
    </row>
    <row r="2067" spans="1:4" ht="70">
      <c r="A2067" s="715">
        <v>89880</v>
      </c>
      <c r="B2067" s="633" t="s">
        <v>24644</v>
      </c>
      <c r="C2067" s="715" t="s">
        <v>11</v>
      </c>
      <c r="D2067" s="716">
        <v>5.93</v>
      </c>
    </row>
    <row r="2068" spans="1:4" ht="70">
      <c r="A2068" s="715">
        <v>89879</v>
      </c>
      <c r="B2068" s="633" t="s">
        <v>24643</v>
      </c>
      <c r="C2068" s="715" t="s">
        <v>11</v>
      </c>
      <c r="D2068" s="716">
        <v>14.71</v>
      </c>
    </row>
    <row r="2069" spans="1:4" ht="70">
      <c r="A2069" s="715">
        <v>89881</v>
      </c>
      <c r="B2069" s="633" t="s">
        <v>24645</v>
      </c>
      <c r="C2069" s="715" t="s">
        <v>11</v>
      </c>
      <c r="D2069" s="716">
        <v>72.16</v>
      </c>
    </row>
    <row r="2070" spans="1:4" ht="70">
      <c r="A2070" s="715">
        <v>89882</v>
      </c>
      <c r="B2070" s="633" t="s">
        <v>24646</v>
      </c>
      <c r="C2070" s="715" t="s">
        <v>11</v>
      </c>
      <c r="D2070" s="716">
        <v>246.84</v>
      </c>
    </row>
    <row r="2071" spans="1:4" ht="70">
      <c r="A2071" s="715">
        <v>7058</v>
      </c>
      <c r="B2071" s="633" t="s">
        <v>24479</v>
      </c>
      <c r="C2071" s="715" t="s">
        <v>11</v>
      </c>
      <c r="D2071" s="716">
        <v>23.92</v>
      </c>
    </row>
    <row r="2072" spans="1:4" ht="70">
      <c r="A2072" s="715">
        <v>91402</v>
      </c>
      <c r="B2072" s="633" t="s">
        <v>24754</v>
      </c>
      <c r="C2072" s="715" t="s">
        <v>11</v>
      </c>
      <c r="D2072" s="716">
        <v>3.73</v>
      </c>
    </row>
    <row r="2073" spans="1:4" ht="56">
      <c r="A2073" s="715">
        <v>7059</v>
      </c>
      <c r="B2073" s="633" t="s">
        <v>24480</v>
      </c>
      <c r="C2073" s="715" t="s">
        <v>11</v>
      </c>
      <c r="D2073" s="716">
        <v>9.23</v>
      </c>
    </row>
    <row r="2074" spans="1:4" ht="70">
      <c r="A2074" s="715">
        <v>7060</v>
      </c>
      <c r="B2074" s="633" t="s">
        <v>24481</v>
      </c>
      <c r="C2074" s="715" t="s">
        <v>11</v>
      </c>
      <c r="D2074" s="716">
        <v>43.17</v>
      </c>
    </row>
    <row r="2075" spans="1:4" ht="70">
      <c r="A2075" s="715">
        <v>7061</v>
      </c>
      <c r="B2075" s="633" t="s">
        <v>24482</v>
      </c>
      <c r="C2075" s="715" t="s">
        <v>11</v>
      </c>
      <c r="D2075" s="716">
        <v>98.88</v>
      </c>
    </row>
    <row r="2076" spans="1:4" ht="56">
      <c r="A2076" s="715">
        <v>91367</v>
      </c>
      <c r="B2076" s="633" t="s">
        <v>24737</v>
      </c>
      <c r="C2076" s="715" t="s">
        <v>11</v>
      </c>
      <c r="D2076" s="716">
        <v>23.11</v>
      </c>
    </row>
    <row r="2077" spans="1:4" ht="70">
      <c r="A2077" s="715">
        <v>91369</v>
      </c>
      <c r="B2077" s="633" t="s">
        <v>24739</v>
      </c>
      <c r="C2077" s="715" t="s">
        <v>11</v>
      </c>
      <c r="D2077" s="716">
        <v>3.59</v>
      </c>
    </row>
    <row r="2078" spans="1:4" ht="56">
      <c r="A2078" s="715">
        <v>91368</v>
      </c>
      <c r="B2078" s="633" t="s">
        <v>24738</v>
      </c>
      <c r="C2078" s="715" t="s">
        <v>11</v>
      </c>
      <c r="D2078" s="716">
        <v>8.9</v>
      </c>
    </row>
    <row r="2079" spans="1:4" ht="56">
      <c r="A2079" s="715">
        <v>5695</v>
      </c>
      <c r="B2079" s="633" t="s">
        <v>24436</v>
      </c>
      <c r="C2079" s="715" t="s">
        <v>11</v>
      </c>
      <c r="D2079" s="716">
        <v>41.72</v>
      </c>
    </row>
    <row r="2080" spans="1:4" ht="70">
      <c r="A2080" s="715">
        <v>53792</v>
      </c>
      <c r="B2080" s="633" t="s">
        <v>24489</v>
      </c>
      <c r="C2080" s="715" t="s">
        <v>11</v>
      </c>
      <c r="D2080" s="716">
        <v>122.91</v>
      </c>
    </row>
    <row r="2081" spans="1:4" ht="84">
      <c r="A2081" s="715">
        <v>106347</v>
      </c>
      <c r="B2081" s="633" t="s">
        <v>42316</v>
      </c>
      <c r="C2081" s="715" t="s">
        <v>11</v>
      </c>
      <c r="D2081" s="716">
        <v>0</v>
      </c>
    </row>
    <row r="2082" spans="1:4" ht="84">
      <c r="A2082" s="715">
        <v>106350</v>
      </c>
      <c r="B2082" s="633" t="s">
        <v>42317</v>
      </c>
      <c r="C2082" s="715" t="s">
        <v>11</v>
      </c>
      <c r="D2082" s="716">
        <v>0</v>
      </c>
    </row>
    <row r="2083" spans="1:4" ht="84">
      <c r="A2083" s="715">
        <v>106348</v>
      </c>
      <c r="B2083" s="633" t="s">
        <v>42318</v>
      </c>
      <c r="C2083" s="715" t="s">
        <v>11</v>
      </c>
      <c r="D2083" s="716">
        <v>0</v>
      </c>
    </row>
    <row r="2084" spans="1:4" ht="84">
      <c r="A2084" s="715">
        <v>106349</v>
      </c>
      <c r="B2084" s="633" t="s">
        <v>42319</v>
      </c>
      <c r="C2084" s="715" t="s">
        <v>11</v>
      </c>
      <c r="D2084" s="716">
        <v>0</v>
      </c>
    </row>
    <row r="2085" spans="1:4" ht="84">
      <c r="A2085" s="715">
        <v>106351</v>
      </c>
      <c r="B2085" s="633" t="s">
        <v>42320</v>
      </c>
      <c r="C2085" s="715" t="s">
        <v>11</v>
      </c>
      <c r="D2085" s="716">
        <v>240.16</v>
      </c>
    </row>
    <row r="2086" spans="1:4" ht="98">
      <c r="A2086" s="715">
        <v>106337</v>
      </c>
      <c r="B2086" s="633" t="s">
        <v>42321</v>
      </c>
      <c r="C2086" s="715" t="s">
        <v>11</v>
      </c>
      <c r="D2086" s="716">
        <v>0</v>
      </c>
    </row>
    <row r="2087" spans="1:4" ht="98">
      <c r="A2087" s="715">
        <v>106340</v>
      </c>
      <c r="B2087" s="633" t="s">
        <v>42322</v>
      </c>
      <c r="C2087" s="715" t="s">
        <v>11</v>
      </c>
      <c r="D2087" s="716">
        <v>0</v>
      </c>
    </row>
    <row r="2088" spans="1:4" ht="98">
      <c r="A2088" s="715">
        <v>106338</v>
      </c>
      <c r="B2088" s="633" t="s">
        <v>42323</v>
      </c>
      <c r="C2088" s="715" t="s">
        <v>11</v>
      </c>
      <c r="D2088" s="716">
        <v>0</v>
      </c>
    </row>
    <row r="2089" spans="1:4" ht="98">
      <c r="A2089" s="715">
        <v>106339</v>
      </c>
      <c r="B2089" s="633" t="s">
        <v>42324</v>
      </c>
      <c r="C2089" s="715" t="s">
        <v>11</v>
      </c>
      <c r="D2089" s="716">
        <v>0</v>
      </c>
    </row>
    <row r="2090" spans="1:4" ht="98">
      <c r="A2090" s="715">
        <v>106341</v>
      </c>
      <c r="B2090" s="633" t="s">
        <v>42325</v>
      </c>
      <c r="C2090" s="715" t="s">
        <v>11</v>
      </c>
      <c r="D2090" s="716">
        <v>325.89999999999998</v>
      </c>
    </row>
    <row r="2091" spans="1:4" ht="70">
      <c r="A2091" s="715">
        <v>92237</v>
      </c>
      <c r="B2091" s="633" t="s">
        <v>24800</v>
      </c>
      <c r="C2091" s="715" t="s">
        <v>11</v>
      </c>
      <c r="D2091" s="716">
        <v>29.95</v>
      </c>
    </row>
    <row r="2092" spans="1:4" ht="70">
      <c r="A2092" s="715">
        <v>92239</v>
      </c>
      <c r="B2092" s="633" t="s">
        <v>24802</v>
      </c>
      <c r="C2092" s="715" t="s">
        <v>11</v>
      </c>
      <c r="D2092" s="716">
        <v>4.8600000000000003</v>
      </c>
    </row>
    <row r="2093" spans="1:4" ht="70">
      <c r="A2093" s="715">
        <v>92238</v>
      </c>
      <c r="B2093" s="633" t="s">
        <v>24801</v>
      </c>
      <c r="C2093" s="715" t="s">
        <v>11</v>
      </c>
      <c r="D2093" s="716">
        <v>12.04</v>
      </c>
    </row>
    <row r="2094" spans="1:4" ht="70">
      <c r="A2094" s="715">
        <v>92240</v>
      </c>
      <c r="B2094" s="633" t="s">
        <v>24803</v>
      </c>
      <c r="C2094" s="715" t="s">
        <v>11</v>
      </c>
      <c r="D2094" s="716">
        <v>53.6</v>
      </c>
    </row>
    <row r="2095" spans="1:4" ht="84">
      <c r="A2095" s="715">
        <v>92241</v>
      </c>
      <c r="B2095" s="633" t="s">
        <v>24804</v>
      </c>
      <c r="C2095" s="715" t="s">
        <v>11</v>
      </c>
      <c r="D2095" s="716">
        <v>335.04</v>
      </c>
    </row>
    <row r="2096" spans="1:4" ht="70">
      <c r="A2096" s="715">
        <v>91640</v>
      </c>
      <c r="B2096" s="633" t="s">
        <v>24766</v>
      </c>
      <c r="C2096" s="715" t="s">
        <v>11</v>
      </c>
      <c r="D2096" s="716">
        <v>41.08</v>
      </c>
    </row>
    <row r="2097" spans="1:4" ht="84">
      <c r="A2097" s="715">
        <v>91642</v>
      </c>
      <c r="B2097" s="633" t="s">
        <v>24768</v>
      </c>
      <c r="C2097" s="715" t="s">
        <v>11</v>
      </c>
      <c r="D2097" s="716">
        <v>6.69</v>
      </c>
    </row>
    <row r="2098" spans="1:4" ht="70">
      <c r="A2098" s="715">
        <v>91641</v>
      </c>
      <c r="B2098" s="633" t="s">
        <v>24767</v>
      </c>
      <c r="C2098" s="715" t="s">
        <v>11</v>
      </c>
      <c r="D2098" s="716">
        <v>16.559999999999999</v>
      </c>
    </row>
    <row r="2099" spans="1:4" ht="70">
      <c r="A2099" s="715">
        <v>91643</v>
      </c>
      <c r="B2099" s="633" t="s">
        <v>24769</v>
      </c>
      <c r="C2099" s="715" t="s">
        <v>11</v>
      </c>
      <c r="D2099" s="716">
        <v>73.88</v>
      </c>
    </row>
    <row r="2100" spans="1:4" ht="84">
      <c r="A2100" s="715">
        <v>91644</v>
      </c>
      <c r="B2100" s="633" t="s">
        <v>24770</v>
      </c>
      <c r="C2100" s="715" t="s">
        <v>11</v>
      </c>
      <c r="D2100" s="716">
        <v>365.46</v>
      </c>
    </row>
    <row r="2101" spans="1:4" ht="84">
      <c r="A2101" s="715">
        <v>92105</v>
      </c>
      <c r="B2101" s="633" t="s">
        <v>24782</v>
      </c>
      <c r="C2101" s="715" t="s">
        <v>11</v>
      </c>
      <c r="D2101" s="716">
        <v>233.48</v>
      </c>
    </row>
    <row r="2102" spans="1:4" ht="84">
      <c r="A2102" s="715">
        <v>92101</v>
      </c>
      <c r="B2102" s="633" t="s">
        <v>24778</v>
      </c>
      <c r="C2102" s="715" t="s">
        <v>11</v>
      </c>
      <c r="D2102" s="716">
        <v>47.45</v>
      </c>
    </row>
    <row r="2103" spans="1:4" ht="84">
      <c r="A2103" s="715">
        <v>92103</v>
      </c>
      <c r="B2103" s="633" t="s">
        <v>24780</v>
      </c>
      <c r="C2103" s="715" t="s">
        <v>11</v>
      </c>
      <c r="D2103" s="716">
        <v>6</v>
      </c>
    </row>
    <row r="2104" spans="1:4" ht="84">
      <c r="A2104" s="715">
        <v>92102</v>
      </c>
      <c r="B2104" s="633" t="s">
        <v>24779</v>
      </c>
      <c r="C2104" s="715" t="s">
        <v>11</v>
      </c>
      <c r="D2104" s="716">
        <v>14.83</v>
      </c>
    </row>
    <row r="2105" spans="1:4" ht="84">
      <c r="A2105" s="715">
        <v>92104</v>
      </c>
      <c r="B2105" s="633" t="s">
        <v>24781</v>
      </c>
      <c r="C2105" s="715" t="s">
        <v>11</v>
      </c>
      <c r="D2105" s="716">
        <v>74.77</v>
      </c>
    </row>
    <row r="2106" spans="1:4" ht="70">
      <c r="A2106" s="715">
        <v>91396</v>
      </c>
      <c r="B2106" s="633" t="s">
        <v>24751</v>
      </c>
      <c r="C2106" s="715" t="s">
        <v>11</v>
      </c>
      <c r="D2106" s="716">
        <v>30.62</v>
      </c>
    </row>
    <row r="2107" spans="1:4" ht="70">
      <c r="A2107" s="715">
        <v>91398</v>
      </c>
      <c r="B2107" s="633" t="s">
        <v>24753</v>
      </c>
      <c r="C2107" s="715" t="s">
        <v>11</v>
      </c>
      <c r="D2107" s="716">
        <v>4.7699999999999996</v>
      </c>
    </row>
    <row r="2108" spans="1:4" ht="70">
      <c r="A2108" s="715">
        <v>91397</v>
      </c>
      <c r="B2108" s="633" t="s">
        <v>24752</v>
      </c>
      <c r="C2108" s="715" t="s">
        <v>11</v>
      </c>
      <c r="D2108" s="716">
        <v>11.83</v>
      </c>
    </row>
    <row r="2109" spans="1:4" ht="70">
      <c r="A2109" s="715">
        <v>5763</v>
      </c>
      <c r="B2109" s="633" t="s">
        <v>24458</v>
      </c>
      <c r="C2109" s="715" t="s">
        <v>11</v>
      </c>
      <c r="D2109" s="716">
        <v>54.26</v>
      </c>
    </row>
    <row r="2110" spans="1:4" ht="70">
      <c r="A2110" s="715">
        <v>53831</v>
      </c>
      <c r="B2110" s="633" t="s">
        <v>24500</v>
      </c>
      <c r="C2110" s="715" t="s">
        <v>11</v>
      </c>
      <c r="D2110" s="716">
        <v>233.48</v>
      </c>
    </row>
    <row r="2111" spans="1:4" ht="70">
      <c r="A2111" s="715">
        <v>106222</v>
      </c>
      <c r="B2111" s="633" t="s">
        <v>42326</v>
      </c>
      <c r="C2111" s="715" t="s">
        <v>11</v>
      </c>
      <c r="D2111" s="716">
        <v>30.48</v>
      </c>
    </row>
    <row r="2112" spans="1:4" ht="70">
      <c r="A2112" s="715">
        <v>106225</v>
      </c>
      <c r="B2112" s="633" t="s">
        <v>42327</v>
      </c>
      <c r="C2112" s="715" t="s">
        <v>11</v>
      </c>
      <c r="D2112" s="716">
        <v>4.6900000000000004</v>
      </c>
    </row>
    <row r="2113" spans="1:4" ht="70">
      <c r="A2113" s="715">
        <v>106223</v>
      </c>
      <c r="B2113" s="633" t="s">
        <v>42328</v>
      </c>
      <c r="C2113" s="715" t="s">
        <v>11</v>
      </c>
      <c r="D2113" s="716">
        <v>11.59</v>
      </c>
    </row>
    <row r="2114" spans="1:4" ht="70">
      <c r="A2114" s="715">
        <v>106224</v>
      </c>
      <c r="B2114" s="633" t="s">
        <v>42329</v>
      </c>
      <c r="C2114" s="715" t="s">
        <v>11</v>
      </c>
      <c r="D2114" s="716">
        <v>53.25</v>
      </c>
    </row>
    <row r="2115" spans="1:4" ht="70">
      <c r="A2115" s="715">
        <v>106226</v>
      </c>
      <c r="B2115" s="633" t="s">
        <v>42330</v>
      </c>
      <c r="C2115" s="715" t="s">
        <v>11</v>
      </c>
      <c r="D2115" s="716">
        <v>191.51</v>
      </c>
    </row>
    <row r="2116" spans="1:4" ht="56">
      <c r="A2116" s="715">
        <v>91359</v>
      </c>
      <c r="B2116" s="633" t="s">
        <v>24734</v>
      </c>
      <c r="C2116" s="715" t="s">
        <v>11</v>
      </c>
      <c r="D2116" s="716">
        <v>22.08</v>
      </c>
    </row>
    <row r="2117" spans="1:4" ht="70">
      <c r="A2117" s="715">
        <v>91361</v>
      </c>
      <c r="B2117" s="633" t="s">
        <v>24736</v>
      </c>
      <c r="C2117" s="715" t="s">
        <v>11</v>
      </c>
      <c r="D2117" s="716">
        <v>3.41</v>
      </c>
    </row>
    <row r="2118" spans="1:4" ht="56">
      <c r="A2118" s="715">
        <v>91360</v>
      </c>
      <c r="B2118" s="633" t="s">
        <v>24735</v>
      </c>
      <c r="C2118" s="715" t="s">
        <v>11</v>
      </c>
      <c r="D2118" s="716">
        <v>8.44</v>
      </c>
    </row>
    <row r="2119" spans="1:4" ht="56">
      <c r="A2119" s="715">
        <v>53882</v>
      </c>
      <c r="B2119" s="633" t="s">
        <v>24509</v>
      </c>
      <c r="C2119" s="715" t="s">
        <v>11</v>
      </c>
      <c r="D2119" s="716">
        <v>38.770000000000003</v>
      </c>
    </row>
    <row r="2120" spans="1:4" ht="70">
      <c r="A2120" s="715">
        <v>5747</v>
      </c>
      <c r="B2120" s="633" t="s">
        <v>24455</v>
      </c>
      <c r="C2120" s="715" t="s">
        <v>11</v>
      </c>
      <c r="D2120" s="716">
        <v>191.88</v>
      </c>
    </row>
    <row r="2121" spans="1:4" ht="56">
      <c r="A2121" s="715">
        <v>104699</v>
      </c>
      <c r="B2121" s="633" t="s">
        <v>33299</v>
      </c>
      <c r="C2121" s="715" t="s">
        <v>11</v>
      </c>
      <c r="D2121" s="716">
        <v>0</v>
      </c>
    </row>
    <row r="2122" spans="1:4" ht="70">
      <c r="A2122" s="715">
        <v>104702</v>
      </c>
      <c r="B2122" s="633" t="s">
        <v>33300</v>
      </c>
      <c r="C2122" s="715" t="s">
        <v>11</v>
      </c>
      <c r="D2122" s="716">
        <v>0</v>
      </c>
    </row>
    <row r="2123" spans="1:4" ht="56">
      <c r="A2123" s="715">
        <v>104700</v>
      </c>
      <c r="B2123" s="633" t="s">
        <v>33301</v>
      </c>
      <c r="C2123" s="715" t="s">
        <v>11</v>
      </c>
      <c r="D2123" s="716">
        <v>0</v>
      </c>
    </row>
    <row r="2124" spans="1:4" ht="56">
      <c r="A2124" s="715">
        <v>104701</v>
      </c>
      <c r="B2124" s="633" t="s">
        <v>33302</v>
      </c>
      <c r="C2124" s="715" t="s">
        <v>11</v>
      </c>
      <c r="D2124" s="716">
        <v>0</v>
      </c>
    </row>
    <row r="2125" spans="1:4" ht="70">
      <c r="A2125" s="715">
        <v>104703</v>
      </c>
      <c r="B2125" s="633" t="s">
        <v>28034</v>
      </c>
      <c r="C2125" s="715" t="s">
        <v>11</v>
      </c>
      <c r="D2125" s="716">
        <v>112.23</v>
      </c>
    </row>
    <row r="2126" spans="1:4" ht="84">
      <c r="A2126" s="715">
        <v>91390</v>
      </c>
      <c r="B2126" s="633" t="s">
        <v>24748</v>
      </c>
      <c r="C2126" s="715" t="s">
        <v>11</v>
      </c>
      <c r="D2126" s="716">
        <v>20.13</v>
      </c>
    </row>
    <row r="2127" spans="1:4" ht="84">
      <c r="A2127" s="715">
        <v>91392</v>
      </c>
      <c r="B2127" s="633" t="s">
        <v>24750</v>
      </c>
      <c r="C2127" s="715" t="s">
        <v>11</v>
      </c>
      <c r="D2127" s="716">
        <v>3.24</v>
      </c>
    </row>
    <row r="2128" spans="1:4" ht="70">
      <c r="A2128" s="715">
        <v>91391</v>
      </c>
      <c r="B2128" s="633" t="s">
        <v>24749</v>
      </c>
      <c r="C2128" s="715" t="s">
        <v>11</v>
      </c>
      <c r="D2128" s="716">
        <v>8.02</v>
      </c>
    </row>
    <row r="2129" spans="1:4" ht="84">
      <c r="A2129" s="715">
        <v>73335</v>
      </c>
      <c r="B2129" s="633" t="s">
        <v>24517</v>
      </c>
      <c r="C2129" s="715" t="s">
        <v>11</v>
      </c>
      <c r="D2129" s="716">
        <v>36.71</v>
      </c>
    </row>
    <row r="2130" spans="1:4" ht="84">
      <c r="A2130" s="715">
        <v>73340</v>
      </c>
      <c r="B2130" s="633" t="s">
        <v>24518</v>
      </c>
      <c r="C2130" s="715" t="s">
        <v>11</v>
      </c>
      <c r="D2130" s="716">
        <v>187.81</v>
      </c>
    </row>
    <row r="2131" spans="1:4" ht="84">
      <c r="A2131" s="715">
        <v>89264</v>
      </c>
      <c r="B2131" s="633" t="s">
        <v>24623</v>
      </c>
      <c r="C2131" s="715" t="s">
        <v>11</v>
      </c>
      <c r="D2131" s="716">
        <v>22.06</v>
      </c>
    </row>
    <row r="2132" spans="1:4" ht="84">
      <c r="A2132" s="715">
        <v>89266</v>
      </c>
      <c r="B2132" s="633" t="s">
        <v>24625</v>
      </c>
      <c r="C2132" s="715" t="s">
        <v>11</v>
      </c>
      <c r="D2132" s="716">
        <v>3.55</v>
      </c>
    </row>
    <row r="2133" spans="1:4" ht="70">
      <c r="A2133" s="715">
        <v>89265</v>
      </c>
      <c r="B2133" s="633" t="s">
        <v>24624</v>
      </c>
      <c r="C2133" s="715" t="s">
        <v>11</v>
      </c>
      <c r="D2133" s="716">
        <v>8.8000000000000007</v>
      </c>
    </row>
    <row r="2134" spans="1:4" ht="70">
      <c r="A2134" s="715">
        <v>5705</v>
      </c>
      <c r="B2134" s="633" t="s">
        <v>24438</v>
      </c>
      <c r="C2134" s="715" t="s">
        <v>11</v>
      </c>
      <c r="D2134" s="716">
        <v>40.25</v>
      </c>
    </row>
    <row r="2135" spans="1:4" ht="84">
      <c r="A2135" s="715">
        <v>53797</v>
      </c>
      <c r="B2135" s="633" t="s">
        <v>24491</v>
      </c>
      <c r="C2135" s="715" t="s">
        <v>11</v>
      </c>
      <c r="D2135" s="716">
        <v>141.35</v>
      </c>
    </row>
    <row r="2136" spans="1:4" ht="84">
      <c r="A2136" s="715">
        <v>106327</v>
      </c>
      <c r="B2136" s="633" t="s">
        <v>42331</v>
      </c>
      <c r="C2136" s="715" t="s">
        <v>11</v>
      </c>
      <c r="D2136" s="716">
        <v>0</v>
      </c>
    </row>
    <row r="2137" spans="1:4" ht="98">
      <c r="A2137" s="715">
        <v>106330</v>
      </c>
      <c r="B2137" s="633" t="s">
        <v>42332</v>
      </c>
      <c r="C2137" s="715" t="s">
        <v>11</v>
      </c>
      <c r="D2137" s="716">
        <v>0</v>
      </c>
    </row>
    <row r="2138" spans="1:4" ht="84">
      <c r="A2138" s="715">
        <v>106328</v>
      </c>
      <c r="B2138" s="633" t="s">
        <v>42333</v>
      </c>
      <c r="C2138" s="715" t="s">
        <v>11</v>
      </c>
      <c r="D2138" s="716">
        <v>0</v>
      </c>
    </row>
    <row r="2139" spans="1:4" ht="84">
      <c r="A2139" s="715">
        <v>106329</v>
      </c>
      <c r="B2139" s="633" t="s">
        <v>42334</v>
      </c>
      <c r="C2139" s="715" t="s">
        <v>11</v>
      </c>
      <c r="D2139" s="716">
        <v>0</v>
      </c>
    </row>
    <row r="2140" spans="1:4" ht="98">
      <c r="A2140" s="715">
        <v>106331</v>
      </c>
      <c r="B2140" s="633" t="s">
        <v>42335</v>
      </c>
      <c r="C2140" s="715" t="s">
        <v>11</v>
      </c>
      <c r="D2140" s="716">
        <v>120.73</v>
      </c>
    </row>
    <row r="2141" spans="1:4" ht="84">
      <c r="A2141" s="715">
        <v>106227</v>
      </c>
      <c r="B2141" s="633" t="s">
        <v>42336</v>
      </c>
      <c r="C2141" s="715" t="s">
        <v>11</v>
      </c>
      <c r="D2141" s="716">
        <v>31.66</v>
      </c>
    </row>
    <row r="2142" spans="1:4" ht="84">
      <c r="A2142" s="715">
        <v>106230</v>
      </c>
      <c r="B2142" s="633" t="s">
        <v>42337</v>
      </c>
      <c r="C2142" s="715" t="s">
        <v>11</v>
      </c>
      <c r="D2142" s="716">
        <v>5.26</v>
      </c>
    </row>
    <row r="2143" spans="1:4" ht="70">
      <c r="A2143" s="715">
        <v>106228</v>
      </c>
      <c r="B2143" s="633" t="s">
        <v>42338</v>
      </c>
      <c r="C2143" s="715" t="s">
        <v>11</v>
      </c>
      <c r="D2143" s="716">
        <v>13</v>
      </c>
    </row>
    <row r="2144" spans="1:4" ht="84">
      <c r="A2144" s="715">
        <v>106229</v>
      </c>
      <c r="B2144" s="633" t="s">
        <v>42339</v>
      </c>
      <c r="C2144" s="715" t="s">
        <v>11</v>
      </c>
      <c r="D2144" s="716">
        <v>59.36</v>
      </c>
    </row>
    <row r="2145" spans="1:4" ht="84">
      <c r="A2145" s="715">
        <v>106231</v>
      </c>
      <c r="B2145" s="633" t="s">
        <v>42340</v>
      </c>
      <c r="C2145" s="715" t="s">
        <v>11</v>
      </c>
      <c r="D2145" s="716">
        <v>191.51</v>
      </c>
    </row>
    <row r="2146" spans="1:4" ht="84">
      <c r="A2146" s="715">
        <v>106342</v>
      </c>
      <c r="B2146" s="633" t="s">
        <v>42341</v>
      </c>
      <c r="C2146" s="715" t="s">
        <v>11</v>
      </c>
      <c r="D2146" s="716">
        <v>0</v>
      </c>
    </row>
    <row r="2147" spans="1:4" ht="84">
      <c r="A2147" s="715">
        <v>106345</v>
      </c>
      <c r="B2147" s="633" t="s">
        <v>42342</v>
      </c>
      <c r="C2147" s="715" t="s">
        <v>11</v>
      </c>
      <c r="D2147" s="716">
        <v>0</v>
      </c>
    </row>
    <row r="2148" spans="1:4" ht="84">
      <c r="A2148" s="715">
        <v>106343</v>
      </c>
      <c r="B2148" s="633" t="s">
        <v>42343</v>
      </c>
      <c r="C2148" s="715" t="s">
        <v>11</v>
      </c>
      <c r="D2148" s="716">
        <v>0</v>
      </c>
    </row>
    <row r="2149" spans="1:4" ht="84">
      <c r="A2149" s="715">
        <v>106344</v>
      </c>
      <c r="B2149" s="633" t="s">
        <v>42344</v>
      </c>
      <c r="C2149" s="715" t="s">
        <v>11</v>
      </c>
      <c r="D2149" s="716">
        <v>0</v>
      </c>
    </row>
    <row r="2150" spans="1:4" ht="84">
      <c r="A2150" s="715">
        <v>106346</v>
      </c>
      <c r="B2150" s="633" t="s">
        <v>42345</v>
      </c>
      <c r="C2150" s="715" t="s">
        <v>11</v>
      </c>
      <c r="D2150" s="716">
        <v>191.51</v>
      </c>
    </row>
    <row r="2151" spans="1:4" ht="84">
      <c r="A2151" s="715">
        <v>106332</v>
      </c>
      <c r="B2151" s="633" t="s">
        <v>42346</v>
      </c>
      <c r="C2151" s="715" t="s">
        <v>11</v>
      </c>
      <c r="D2151" s="716">
        <v>0</v>
      </c>
    </row>
    <row r="2152" spans="1:4" ht="98">
      <c r="A2152" s="715">
        <v>106335</v>
      </c>
      <c r="B2152" s="633" t="s">
        <v>42347</v>
      </c>
      <c r="C2152" s="715" t="s">
        <v>11</v>
      </c>
      <c r="D2152" s="716">
        <v>0</v>
      </c>
    </row>
    <row r="2153" spans="1:4" ht="84">
      <c r="A2153" s="715">
        <v>106333</v>
      </c>
      <c r="B2153" s="633" t="s">
        <v>42348</v>
      </c>
      <c r="C2153" s="715" t="s">
        <v>11</v>
      </c>
      <c r="D2153" s="716">
        <v>0</v>
      </c>
    </row>
    <row r="2154" spans="1:4" ht="84">
      <c r="A2154" s="715">
        <v>106334</v>
      </c>
      <c r="B2154" s="633" t="s">
        <v>42349</v>
      </c>
      <c r="C2154" s="715" t="s">
        <v>11</v>
      </c>
      <c r="D2154" s="716">
        <v>0</v>
      </c>
    </row>
    <row r="2155" spans="1:4" ht="98">
      <c r="A2155" s="715">
        <v>106336</v>
      </c>
      <c r="B2155" s="633" t="s">
        <v>42350</v>
      </c>
      <c r="C2155" s="715" t="s">
        <v>11</v>
      </c>
      <c r="D2155" s="716">
        <v>191.51</v>
      </c>
    </row>
    <row r="2156" spans="1:4" ht="56">
      <c r="A2156" s="715">
        <v>91354</v>
      </c>
      <c r="B2156" s="633" t="s">
        <v>24731</v>
      </c>
      <c r="C2156" s="715" t="s">
        <v>11</v>
      </c>
      <c r="D2156" s="716">
        <v>18.48</v>
      </c>
    </row>
    <row r="2157" spans="1:4" ht="56">
      <c r="A2157" s="715">
        <v>91356</v>
      </c>
      <c r="B2157" s="633" t="s">
        <v>24733</v>
      </c>
      <c r="C2157" s="715" t="s">
        <v>11</v>
      </c>
      <c r="D2157" s="716">
        <v>3.07</v>
      </c>
    </row>
    <row r="2158" spans="1:4" ht="56">
      <c r="A2158" s="715">
        <v>91355</v>
      </c>
      <c r="B2158" s="633" t="s">
        <v>24732</v>
      </c>
      <c r="C2158" s="715" t="s">
        <v>11</v>
      </c>
      <c r="D2158" s="716">
        <v>7.59</v>
      </c>
    </row>
    <row r="2159" spans="1:4" ht="56">
      <c r="A2159" s="715">
        <v>5751</v>
      </c>
      <c r="B2159" s="633" t="s">
        <v>24456</v>
      </c>
      <c r="C2159" s="715" t="s">
        <v>11</v>
      </c>
      <c r="D2159" s="716">
        <v>34.64</v>
      </c>
    </row>
    <row r="2160" spans="1:4" ht="56">
      <c r="A2160" s="715">
        <v>53827</v>
      </c>
      <c r="B2160" s="633" t="s">
        <v>24498</v>
      </c>
      <c r="C2160" s="715" t="s">
        <v>11</v>
      </c>
      <c r="D2160" s="716">
        <v>138.37</v>
      </c>
    </row>
    <row r="2161" spans="1:4" ht="56">
      <c r="A2161" s="715">
        <v>91375</v>
      </c>
      <c r="B2161" s="633" t="s">
        <v>24740</v>
      </c>
      <c r="C2161" s="715" t="s">
        <v>11</v>
      </c>
      <c r="D2161" s="716">
        <v>20.29</v>
      </c>
    </row>
    <row r="2162" spans="1:4" ht="56">
      <c r="A2162" s="715">
        <v>91377</v>
      </c>
      <c r="B2162" s="633" t="s">
        <v>24742</v>
      </c>
      <c r="C2162" s="715" t="s">
        <v>11</v>
      </c>
      <c r="D2162" s="716">
        <v>3.37</v>
      </c>
    </row>
    <row r="2163" spans="1:4" ht="56">
      <c r="A2163" s="715">
        <v>91376</v>
      </c>
      <c r="B2163" s="633" t="s">
        <v>24741</v>
      </c>
      <c r="C2163" s="715" t="s">
        <v>11</v>
      </c>
      <c r="D2163" s="716">
        <v>8.34</v>
      </c>
    </row>
    <row r="2164" spans="1:4" ht="56">
      <c r="A2164" s="715">
        <v>5754</v>
      </c>
      <c r="B2164" s="633" t="s">
        <v>24457</v>
      </c>
      <c r="C2164" s="715" t="s">
        <v>11</v>
      </c>
      <c r="D2164" s="716">
        <v>38.03</v>
      </c>
    </row>
    <row r="2165" spans="1:4" ht="56">
      <c r="A2165" s="715">
        <v>53829</v>
      </c>
      <c r="B2165" s="633" t="s">
        <v>24499</v>
      </c>
      <c r="C2165" s="715" t="s">
        <v>11</v>
      </c>
      <c r="D2165" s="716">
        <v>141.35</v>
      </c>
    </row>
    <row r="2166" spans="1:4" ht="56">
      <c r="A2166" s="715">
        <v>91026</v>
      </c>
      <c r="B2166" s="633" t="s">
        <v>24718</v>
      </c>
      <c r="C2166" s="715" t="s">
        <v>11</v>
      </c>
      <c r="D2166" s="716">
        <v>25.9</v>
      </c>
    </row>
    <row r="2167" spans="1:4" ht="56">
      <c r="A2167" s="715">
        <v>91028</v>
      </c>
      <c r="B2167" s="633" t="s">
        <v>24720</v>
      </c>
      <c r="C2167" s="715" t="s">
        <v>11</v>
      </c>
      <c r="D2167" s="716">
        <v>4.2</v>
      </c>
    </row>
    <row r="2168" spans="1:4" ht="56">
      <c r="A2168" s="715">
        <v>91027</v>
      </c>
      <c r="B2168" s="633" t="s">
        <v>24719</v>
      </c>
      <c r="C2168" s="715" t="s">
        <v>11</v>
      </c>
      <c r="D2168" s="716">
        <v>10.39</v>
      </c>
    </row>
    <row r="2169" spans="1:4" ht="56">
      <c r="A2169" s="715">
        <v>91029</v>
      </c>
      <c r="B2169" s="633" t="s">
        <v>24721</v>
      </c>
      <c r="C2169" s="715" t="s">
        <v>11</v>
      </c>
      <c r="D2169" s="716">
        <v>47.53</v>
      </c>
    </row>
    <row r="2170" spans="1:4" ht="56">
      <c r="A2170" s="715">
        <v>91030</v>
      </c>
      <c r="B2170" s="633" t="s">
        <v>24722</v>
      </c>
      <c r="C2170" s="715" t="s">
        <v>11</v>
      </c>
      <c r="D2170" s="716">
        <v>178.01</v>
      </c>
    </row>
    <row r="2171" spans="1:4" ht="84">
      <c r="A2171" s="715">
        <v>106237</v>
      </c>
      <c r="B2171" s="633" t="s">
        <v>42351</v>
      </c>
      <c r="C2171" s="715" t="s">
        <v>11</v>
      </c>
      <c r="D2171" s="716">
        <v>0</v>
      </c>
    </row>
    <row r="2172" spans="1:4" ht="84">
      <c r="A2172" s="715">
        <v>106240</v>
      </c>
      <c r="B2172" s="633" t="s">
        <v>42352</v>
      </c>
      <c r="C2172" s="715" t="s">
        <v>11</v>
      </c>
      <c r="D2172" s="716">
        <v>0</v>
      </c>
    </row>
    <row r="2173" spans="1:4" ht="84">
      <c r="A2173" s="715">
        <v>106238</v>
      </c>
      <c r="B2173" s="633" t="s">
        <v>42353</v>
      </c>
      <c r="C2173" s="715" t="s">
        <v>11</v>
      </c>
      <c r="D2173" s="716">
        <v>0</v>
      </c>
    </row>
    <row r="2174" spans="1:4" ht="84">
      <c r="A2174" s="715">
        <v>106239</v>
      </c>
      <c r="B2174" s="633" t="s">
        <v>42354</v>
      </c>
      <c r="C2174" s="715" t="s">
        <v>11</v>
      </c>
      <c r="D2174" s="716">
        <v>0</v>
      </c>
    </row>
    <row r="2175" spans="1:4" ht="84">
      <c r="A2175" s="715">
        <v>106241</v>
      </c>
      <c r="B2175" s="633" t="s">
        <v>42355</v>
      </c>
      <c r="C2175" s="715" t="s">
        <v>11</v>
      </c>
      <c r="D2175" s="716">
        <v>269.27</v>
      </c>
    </row>
    <row r="2176" spans="1:4" ht="84">
      <c r="A2176" s="715">
        <v>106352</v>
      </c>
      <c r="B2176" s="633" t="s">
        <v>42356</v>
      </c>
      <c r="C2176" s="715" t="s">
        <v>11</v>
      </c>
      <c r="D2176" s="716">
        <v>0</v>
      </c>
    </row>
    <row r="2177" spans="1:4" ht="84">
      <c r="A2177" s="715">
        <v>106355</v>
      </c>
      <c r="B2177" s="633" t="s">
        <v>42357</v>
      </c>
      <c r="C2177" s="715" t="s">
        <v>11</v>
      </c>
      <c r="D2177" s="716">
        <v>0</v>
      </c>
    </row>
    <row r="2178" spans="1:4" ht="70">
      <c r="A2178" s="715">
        <v>106353</v>
      </c>
      <c r="B2178" s="633" t="s">
        <v>42358</v>
      </c>
      <c r="C2178" s="715" t="s">
        <v>11</v>
      </c>
      <c r="D2178" s="716">
        <v>0</v>
      </c>
    </row>
    <row r="2179" spans="1:4" ht="84">
      <c r="A2179" s="715">
        <v>106354</v>
      </c>
      <c r="B2179" s="633" t="s">
        <v>42359</v>
      </c>
      <c r="C2179" s="715" t="s">
        <v>11</v>
      </c>
      <c r="D2179" s="716">
        <v>0</v>
      </c>
    </row>
    <row r="2180" spans="1:4" ht="84">
      <c r="A2180" s="715">
        <v>106356</v>
      </c>
      <c r="B2180" s="633" t="s">
        <v>42360</v>
      </c>
      <c r="C2180" s="715" t="s">
        <v>11</v>
      </c>
      <c r="D2180" s="716">
        <v>269.27</v>
      </c>
    </row>
    <row r="2181" spans="1:4" ht="84">
      <c r="A2181" s="715">
        <v>106357</v>
      </c>
      <c r="B2181" s="633" t="s">
        <v>42361</v>
      </c>
      <c r="C2181" s="715" t="s">
        <v>11</v>
      </c>
      <c r="D2181" s="716">
        <v>0</v>
      </c>
    </row>
    <row r="2182" spans="1:4" ht="84">
      <c r="A2182" s="715">
        <v>106360</v>
      </c>
      <c r="B2182" s="633" t="s">
        <v>42362</v>
      </c>
      <c r="C2182" s="715" t="s">
        <v>11</v>
      </c>
      <c r="D2182" s="716">
        <v>0</v>
      </c>
    </row>
    <row r="2183" spans="1:4" ht="84">
      <c r="A2183" s="715">
        <v>106358</v>
      </c>
      <c r="B2183" s="633" t="s">
        <v>42363</v>
      </c>
      <c r="C2183" s="715" t="s">
        <v>11</v>
      </c>
      <c r="D2183" s="716">
        <v>0</v>
      </c>
    </row>
    <row r="2184" spans="1:4" ht="84">
      <c r="A2184" s="715">
        <v>106359</v>
      </c>
      <c r="B2184" s="633" t="s">
        <v>42364</v>
      </c>
      <c r="C2184" s="715" t="s">
        <v>11</v>
      </c>
      <c r="D2184" s="716">
        <v>0</v>
      </c>
    </row>
    <row r="2185" spans="1:4" ht="84">
      <c r="A2185" s="715">
        <v>106361</v>
      </c>
      <c r="B2185" s="633" t="s">
        <v>42365</v>
      </c>
      <c r="C2185" s="715" t="s">
        <v>11</v>
      </c>
      <c r="D2185" s="716">
        <v>365.46</v>
      </c>
    </row>
    <row r="2186" spans="1:4" ht="70">
      <c r="A2186" s="715">
        <v>102812</v>
      </c>
      <c r="B2186" s="633" t="s">
        <v>33303</v>
      </c>
      <c r="C2186" s="715" t="s">
        <v>11</v>
      </c>
      <c r="D2186" s="716">
        <v>0</v>
      </c>
    </row>
    <row r="2187" spans="1:4" ht="70">
      <c r="A2187" s="715">
        <v>102813</v>
      </c>
      <c r="B2187" s="633" t="s">
        <v>33304</v>
      </c>
      <c r="C2187" s="715" t="s">
        <v>11</v>
      </c>
      <c r="D2187" s="716">
        <v>0</v>
      </c>
    </row>
    <row r="2188" spans="1:4" ht="70">
      <c r="A2188" s="715">
        <v>102814</v>
      </c>
      <c r="B2188" s="633" t="s">
        <v>33305</v>
      </c>
      <c r="C2188" s="715" t="s">
        <v>11</v>
      </c>
      <c r="D2188" s="716">
        <v>0</v>
      </c>
    </row>
    <row r="2189" spans="1:4" ht="70">
      <c r="A2189" s="715">
        <v>102815</v>
      </c>
      <c r="B2189" s="633" t="s">
        <v>24947</v>
      </c>
      <c r="C2189" s="715" t="s">
        <v>11</v>
      </c>
      <c r="D2189" s="716">
        <v>2.92</v>
      </c>
    </row>
    <row r="2190" spans="1:4" ht="42">
      <c r="A2190" s="715">
        <v>91529</v>
      </c>
      <c r="B2190" s="633" t="s">
        <v>24757</v>
      </c>
      <c r="C2190" s="715" t="s">
        <v>11</v>
      </c>
      <c r="D2190" s="716">
        <v>0.83</v>
      </c>
    </row>
    <row r="2191" spans="1:4" ht="42">
      <c r="A2191" s="715">
        <v>91530</v>
      </c>
      <c r="B2191" s="633" t="s">
        <v>24758</v>
      </c>
      <c r="C2191" s="715" t="s">
        <v>11</v>
      </c>
      <c r="D2191" s="716">
        <v>0.22</v>
      </c>
    </row>
    <row r="2192" spans="1:4" ht="42">
      <c r="A2192" s="715">
        <v>91531</v>
      </c>
      <c r="B2192" s="633" t="s">
        <v>24759</v>
      </c>
      <c r="C2192" s="715" t="s">
        <v>11</v>
      </c>
      <c r="D2192" s="716">
        <v>1.04</v>
      </c>
    </row>
    <row r="2193" spans="1:4" ht="42">
      <c r="A2193" s="715">
        <v>91532</v>
      </c>
      <c r="B2193" s="633" t="s">
        <v>24760</v>
      </c>
      <c r="C2193" s="715" t="s">
        <v>11</v>
      </c>
      <c r="D2193" s="716">
        <v>6.83</v>
      </c>
    </row>
    <row r="2194" spans="1:4" ht="42">
      <c r="A2194" s="715">
        <v>95260</v>
      </c>
      <c r="B2194" s="633" t="s">
        <v>24878</v>
      </c>
      <c r="C2194" s="715" t="s">
        <v>11</v>
      </c>
      <c r="D2194" s="716">
        <v>0.67</v>
      </c>
    </row>
    <row r="2195" spans="1:4" ht="42">
      <c r="A2195" s="715">
        <v>95261</v>
      </c>
      <c r="B2195" s="633" t="s">
        <v>24879</v>
      </c>
      <c r="C2195" s="715" t="s">
        <v>11</v>
      </c>
      <c r="D2195" s="716">
        <v>0.18</v>
      </c>
    </row>
    <row r="2196" spans="1:4" ht="42">
      <c r="A2196" s="715">
        <v>95262</v>
      </c>
      <c r="B2196" s="633" t="s">
        <v>24880</v>
      </c>
      <c r="C2196" s="715" t="s">
        <v>11</v>
      </c>
      <c r="D2196" s="716">
        <v>0.84</v>
      </c>
    </row>
    <row r="2197" spans="1:4" ht="42">
      <c r="A2197" s="715">
        <v>95263</v>
      </c>
      <c r="B2197" s="633" t="s">
        <v>24881</v>
      </c>
      <c r="C2197" s="715" t="s">
        <v>11</v>
      </c>
      <c r="D2197" s="716">
        <v>5.17</v>
      </c>
    </row>
    <row r="2198" spans="1:4" ht="42">
      <c r="A2198" s="715">
        <v>90968</v>
      </c>
      <c r="B2198" s="633" t="s">
        <v>24705</v>
      </c>
      <c r="C2198" s="715" t="s">
        <v>11</v>
      </c>
      <c r="D2198" s="716">
        <v>7.04</v>
      </c>
    </row>
    <row r="2199" spans="1:4" ht="42">
      <c r="A2199" s="715">
        <v>90969</v>
      </c>
      <c r="B2199" s="633" t="s">
        <v>24706</v>
      </c>
      <c r="C2199" s="715" t="s">
        <v>11</v>
      </c>
      <c r="D2199" s="716">
        <v>1.89</v>
      </c>
    </row>
    <row r="2200" spans="1:4" ht="42">
      <c r="A2200" s="715">
        <v>90970</v>
      </c>
      <c r="B2200" s="633" t="s">
        <v>24707</v>
      </c>
      <c r="C2200" s="715" t="s">
        <v>11</v>
      </c>
      <c r="D2200" s="716">
        <v>8.81</v>
      </c>
    </row>
    <row r="2201" spans="1:4" ht="56">
      <c r="A2201" s="715">
        <v>90971</v>
      </c>
      <c r="B2201" s="633" t="s">
        <v>24708</v>
      </c>
      <c r="C2201" s="715" t="s">
        <v>11</v>
      </c>
      <c r="D2201" s="716">
        <v>73.540000000000006</v>
      </c>
    </row>
    <row r="2202" spans="1:4" ht="42">
      <c r="A2202" s="715">
        <v>90992</v>
      </c>
      <c r="B2202" s="633" t="s">
        <v>24713</v>
      </c>
      <c r="C2202" s="715" t="s">
        <v>11</v>
      </c>
      <c r="D2202" s="716">
        <v>8.35</v>
      </c>
    </row>
    <row r="2203" spans="1:4" ht="42">
      <c r="A2203" s="715">
        <v>90993</v>
      </c>
      <c r="B2203" s="633" t="s">
        <v>24714</v>
      </c>
      <c r="C2203" s="715" t="s">
        <v>11</v>
      </c>
      <c r="D2203" s="716">
        <v>2.2400000000000002</v>
      </c>
    </row>
    <row r="2204" spans="1:4" ht="42">
      <c r="A2204" s="715">
        <v>90994</v>
      </c>
      <c r="B2204" s="633" t="s">
        <v>24715</v>
      </c>
      <c r="C2204" s="715" t="s">
        <v>11</v>
      </c>
      <c r="D2204" s="716">
        <v>10.45</v>
      </c>
    </row>
    <row r="2205" spans="1:4" ht="56">
      <c r="A2205" s="715">
        <v>90995</v>
      </c>
      <c r="B2205" s="633" t="s">
        <v>24716</v>
      </c>
      <c r="C2205" s="715" t="s">
        <v>11</v>
      </c>
      <c r="D2205" s="716">
        <v>99.89</v>
      </c>
    </row>
    <row r="2206" spans="1:4" ht="42">
      <c r="A2206" s="715">
        <v>90957</v>
      </c>
      <c r="B2206" s="633" t="s">
        <v>24699</v>
      </c>
      <c r="C2206" s="715" t="s">
        <v>11</v>
      </c>
      <c r="D2206" s="716">
        <v>5.26</v>
      </c>
    </row>
    <row r="2207" spans="1:4" ht="42">
      <c r="A2207" s="715">
        <v>90958</v>
      </c>
      <c r="B2207" s="633" t="s">
        <v>24700</v>
      </c>
      <c r="C2207" s="715" t="s">
        <v>11</v>
      </c>
      <c r="D2207" s="716">
        <v>1.41</v>
      </c>
    </row>
    <row r="2208" spans="1:4" ht="42">
      <c r="A2208" s="715">
        <v>5797</v>
      </c>
      <c r="B2208" s="633" t="s">
        <v>24463</v>
      </c>
      <c r="C2208" s="715" t="s">
        <v>11</v>
      </c>
      <c r="D2208" s="716">
        <v>6.58</v>
      </c>
    </row>
    <row r="2209" spans="1:4" ht="56">
      <c r="A2209" s="715">
        <v>53865</v>
      </c>
      <c r="B2209" s="633" t="s">
        <v>24508</v>
      </c>
      <c r="C2209" s="715" t="s">
        <v>11</v>
      </c>
      <c r="D2209" s="716">
        <v>57.2</v>
      </c>
    </row>
    <row r="2210" spans="1:4" ht="42">
      <c r="A2210" s="715">
        <v>90975</v>
      </c>
      <c r="B2210" s="633" t="s">
        <v>24709</v>
      </c>
      <c r="C2210" s="715" t="s">
        <v>11</v>
      </c>
      <c r="D2210" s="716">
        <v>17.89</v>
      </c>
    </row>
    <row r="2211" spans="1:4" ht="42">
      <c r="A2211" s="715">
        <v>90976</v>
      </c>
      <c r="B2211" s="633" t="s">
        <v>24710</v>
      </c>
      <c r="C2211" s="715" t="s">
        <v>11</v>
      </c>
      <c r="D2211" s="716">
        <v>4.8</v>
      </c>
    </row>
    <row r="2212" spans="1:4" ht="42">
      <c r="A2212" s="715">
        <v>90977</v>
      </c>
      <c r="B2212" s="633" t="s">
        <v>24711</v>
      </c>
      <c r="C2212" s="715" t="s">
        <v>11</v>
      </c>
      <c r="D2212" s="716">
        <v>22.39</v>
      </c>
    </row>
    <row r="2213" spans="1:4" ht="56">
      <c r="A2213" s="715">
        <v>90978</v>
      </c>
      <c r="B2213" s="633" t="s">
        <v>24712</v>
      </c>
      <c r="C2213" s="715" t="s">
        <v>11</v>
      </c>
      <c r="D2213" s="716">
        <v>190.79</v>
      </c>
    </row>
    <row r="2214" spans="1:4" ht="42">
      <c r="A2214" s="715">
        <v>90960</v>
      </c>
      <c r="B2214" s="633" t="s">
        <v>24701</v>
      </c>
      <c r="C2214" s="715" t="s">
        <v>11</v>
      </c>
      <c r="D2214" s="716">
        <v>7.02</v>
      </c>
    </row>
    <row r="2215" spans="1:4" ht="42">
      <c r="A2215" s="715">
        <v>90961</v>
      </c>
      <c r="B2215" s="633" t="s">
        <v>24702</v>
      </c>
      <c r="C2215" s="715" t="s">
        <v>11</v>
      </c>
      <c r="D2215" s="716">
        <v>1.88</v>
      </c>
    </row>
    <row r="2216" spans="1:4" ht="42">
      <c r="A2216" s="715">
        <v>90962</v>
      </c>
      <c r="B2216" s="633" t="s">
        <v>24703</v>
      </c>
      <c r="C2216" s="715" t="s">
        <v>11</v>
      </c>
      <c r="D2216" s="716">
        <v>8.7899999999999991</v>
      </c>
    </row>
    <row r="2217" spans="1:4" ht="56">
      <c r="A2217" s="715">
        <v>90963</v>
      </c>
      <c r="B2217" s="633" t="s">
        <v>24704</v>
      </c>
      <c r="C2217" s="715" t="s">
        <v>11</v>
      </c>
      <c r="D2217" s="716">
        <v>18.149999999999999</v>
      </c>
    </row>
    <row r="2218" spans="1:4" ht="56">
      <c r="A2218" s="715">
        <v>102966</v>
      </c>
      <c r="B2218" s="633" t="s">
        <v>40239</v>
      </c>
      <c r="C2218" s="715" t="s">
        <v>11</v>
      </c>
      <c r="D2218" s="716">
        <v>0.17</v>
      </c>
    </row>
    <row r="2219" spans="1:4" ht="56">
      <c r="A2219" s="715">
        <v>102967</v>
      </c>
      <c r="B2219" s="633" t="s">
        <v>40240</v>
      </c>
      <c r="C2219" s="715" t="s">
        <v>11</v>
      </c>
      <c r="D2219" s="716">
        <v>0.03</v>
      </c>
    </row>
    <row r="2220" spans="1:4" ht="56">
      <c r="A2220" s="715">
        <v>102968</v>
      </c>
      <c r="B2220" s="633" t="s">
        <v>40241</v>
      </c>
      <c r="C2220" s="715" t="s">
        <v>11</v>
      </c>
      <c r="D2220" s="716">
        <v>0.16</v>
      </c>
    </row>
    <row r="2221" spans="1:4" ht="56">
      <c r="A2221" s="715">
        <v>102969</v>
      </c>
      <c r="B2221" s="633" t="s">
        <v>24966</v>
      </c>
      <c r="C2221" s="715" t="s">
        <v>11</v>
      </c>
      <c r="D2221" s="716">
        <v>0.12</v>
      </c>
    </row>
    <row r="2222" spans="1:4" ht="56">
      <c r="A2222" s="715">
        <v>102818</v>
      </c>
      <c r="B2222" s="633" t="s">
        <v>40242</v>
      </c>
      <c r="C2222" s="715" t="s">
        <v>11</v>
      </c>
      <c r="D2222" s="716">
        <v>0</v>
      </c>
    </row>
    <row r="2223" spans="1:4" ht="56">
      <c r="A2223" s="715">
        <v>102819</v>
      </c>
      <c r="B2223" s="633" t="s">
        <v>40243</v>
      </c>
      <c r="C2223" s="715" t="s">
        <v>11</v>
      </c>
      <c r="D2223" s="716">
        <v>0</v>
      </c>
    </row>
    <row r="2224" spans="1:4" ht="56">
      <c r="A2224" s="715">
        <v>102820</v>
      </c>
      <c r="B2224" s="633" t="s">
        <v>40244</v>
      </c>
      <c r="C2224" s="715" t="s">
        <v>11</v>
      </c>
      <c r="D2224" s="716">
        <v>0</v>
      </c>
    </row>
    <row r="2225" spans="1:4" ht="56">
      <c r="A2225" s="715">
        <v>102832</v>
      </c>
      <c r="B2225" s="633" t="s">
        <v>40245</v>
      </c>
      <c r="C2225" s="715" t="s">
        <v>11</v>
      </c>
      <c r="D2225" s="716">
        <v>7.31</v>
      </c>
    </row>
    <row r="2226" spans="1:4" ht="42">
      <c r="A2226" s="715">
        <v>102823</v>
      </c>
      <c r="B2226" s="633" t="s">
        <v>33306</v>
      </c>
      <c r="C2226" s="715" t="s">
        <v>11</v>
      </c>
      <c r="D2226" s="716">
        <v>0</v>
      </c>
    </row>
    <row r="2227" spans="1:4" ht="42">
      <c r="A2227" s="715">
        <v>102824</v>
      </c>
      <c r="B2227" s="633" t="s">
        <v>33307</v>
      </c>
      <c r="C2227" s="715" t="s">
        <v>11</v>
      </c>
      <c r="D2227" s="716">
        <v>0</v>
      </c>
    </row>
    <row r="2228" spans="1:4" ht="42">
      <c r="A2228" s="715">
        <v>102825</v>
      </c>
      <c r="B2228" s="633" t="s">
        <v>33308</v>
      </c>
      <c r="C2228" s="715" t="s">
        <v>11</v>
      </c>
      <c r="D2228" s="716">
        <v>0</v>
      </c>
    </row>
    <row r="2229" spans="1:4" ht="56">
      <c r="A2229" s="715">
        <v>102826</v>
      </c>
      <c r="B2229" s="633" t="s">
        <v>24948</v>
      </c>
      <c r="C2229" s="715" t="s">
        <v>11</v>
      </c>
      <c r="D2229" s="716">
        <v>5.48</v>
      </c>
    </row>
    <row r="2230" spans="1:4" ht="70">
      <c r="A2230" s="715">
        <v>103934</v>
      </c>
      <c r="B2230" s="633" t="s">
        <v>40246</v>
      </c>
      <c r="C2230" s="715" t="s">
        <v>11</v>
      </c>
      <c r="D2230" s="716">
        <v>0</v>
      </c>
    </row>
    <row r="2231" spans="1:4" ht="70">
      <c r="A2231" s="715">
        <v>103935</v>
      </c>
      <c r="B2231" s="633" t="s">
        <v>40247</v>
      </c>
      <c r="C2231" s="715" t="s">
        <v>11</v>
      </c>
      <c r="D2231" s="716">
        <v>0</v>
      </c>
    </row>
    <row r="2232" spans="1:4" ht="70">
      <c r="A2232" s="715">
        <v>103936</v>
      </c>
      <c r="B2232" s="633" t="s">
        <v>40248</v>
      </c>
      <c r="C2232" s="715" t="s">
        <v>11</v>
      </c>
      <c r="D2232" s="716">
        <v>0</v>
      </c>
    </row>
    <row r="2233" spans="1:4" ht="70">
      <c r="A2233" s="715">
        <v>103937</v>
      </c>
      <c r="B2233" s="633" t="s">
        <v>40249</v>
      </c>
      <c r="C2233" s="715" t="s">
        <v>11</v>
      </c>
      <c r="D2233" s="716">
        <v>1.31</v>
      </c>
    </row>
    <row r="2234" spans="1:4" ht="70">
      <c r="A2234" s="715">
        <v>103940</v>
      </c>
      <c r="B2234" s="633" t="s">
        <v>40250</v>
      </c>
      <c r="C2234" s="715" t="s">
        <v>11</v>
      </c>
      <c r="D2234" s="716">
        <v>0</v>
      </c>
    </row>
    <row r="2235" spans="1:4" ht="70">
      <c r="A2235" s="715">
        <v>103941</v>
      </c>
      <c r="B2235" s="633" t="s">
        <v>40251</v>
      </c>
      <c r="C2235" s="715" t="s">
        <v>11</v>
      </c>
      <c r="D2235" s="716">
        <v>0</v>
      </c>
    </row>
    <row r="2236" spans="1:4" ht="70">
      <c r="A2236" s="715">
        <v>103942</v>
      </c>
      <c r="B2236" s="633" t="s">
        <v>40252</v>
      </c>
      <c r="C2236" s="715" t="s">
        <v>11</v>
      </c>
      <c r="D2236" s="716">
        <v>0</v>
      </c>
    </row>
    <row r="2237" spans="1:4" ht="70">
      <c r="A2237" s="715">
        <v>103943</v>
      </c>
      <c r="B2237" s="633" t="s">
        <v>40253</v>
      </c>
      <c r="C2237" s="715" t="s">
        <v>11</v>
      </c>
      <c r="D2237" s="716">
        <v>1.31</v>
      </c>
    </row>
    <row r="2238" spans="1:4" ht="56">
      <c r="A2238" s="715">
        <v>106406</v>
      </c>
      <c r="B2238" s="633" t="s">
        <v>42366</v>
      </c>
      <c r="C2238" s="715" t="s">
        <v>11</v>
      </c>
      <c r="D2238" s="716">
        <v>9.8800000000000008</v>
      </c>
    </row>
    <row r="2239" spans="1:4" ht="56">
      <c r="A2239" s="715">
        <v>106407</v>
      </c>
      <c r="B2239" s="633" t="s">
        <v>42367</v>
      </c>
      <c r="C2239" s="715" t="s">
        <v>11</v>
      </c>
      <c r="D2239" s="716">
        <v>2.0299999999999998</v>
      </c>
    </row>
    <row r="2240" spans="1:4" ht="56">
      <c r="A2240" s="715">
        <v>106408</v>
      </c>
      <c r="B2240" s="633" t="s">
        <v>42368</v>
      </c>
      <c r="C2240" s="715" t="s">
        <v>11</v>
      </c>
      <c r="D2240" s="716">
        <v>6.86</v>
      </c>
    </row>
    <row r="2241" spans="1:4" ht="56">
      <c r="A2241" s="715">
        <v>106409</v>
      </c>
      <c r="B2241" s="633" t="s">
        <v>42369</v>
      </c>
      <c r="C2241" s="715" t="s">
        <v>11</v>
      </c>
      <c r="D2241" s="716">
        <v>3.54</v>
      </c>
    </row>
    <row r="2242" spans="1:4" ht="70">
      <c r="A2242" s="715">
        <v>91279</v>
      </c>
      <c r="B2242" s="633" t="s">
        <v>24727</v>
      </c>
      <c r="C2242" s="715" t="s">
        <v>11</v>
      </c>
      <c r="D2242" s="716">
        <v>0.4</v>
      </c>
    </row>
    <row r="2243" spans="1:4" ht="70">
      <c r="A2243" s="715">
        <v>91280</v>
      </c>
      <c r="B2243" s="633" t="s">
        <v>24728</v>
      </c>
      <c r="C2243" s="715" t="s">
        <v>11</v>
      </c>
      <c r="D2243" s="716">
        <v>0.08</v>
      </c>
    </row>
    <row r="2244" spans="1:4" ht="70">
      <c r="A2244" s="715">
        <v>91281</v>
      </c>
      <c r="B2244" s="633" t="s">
        <v>24729</v>
      </c>
      <c r="C2244" s="715" t="s">
        <v>11</v>
      </c>
      <c r="D2244" s="716">
        <v>0.5</v>
      </c>
    </row>
    <row r="2245" spans="1:4" ht="70">
      <c r="A2245" s="715">
        <v>91282</v>
      </c>
      <c r="B2245" s="633" t="s">
        <v>24730</v>
      </c>
      <c r="C2245" s="715" t="s">
        <v>11</v>
      </c>
      <c r="D2245" s="716">
        <v>9.6199999999999992</v>
      </c>
    </row>
    <row r="2246" spans="1:4" ht="42">
      <c r="A2246" s="715">
        <v>95278</v>
      </c>
      <c r="B2246" s="633" t="s">
        <v>24889</v>
      </c>
      <c r="C2246" s="715" t="s">
        <v>11</v>
      </c>
      <c r="D2246" s="716">
        <v>0.7</v>
      </c>
    </row>
    <row r="2247" spans="1:4" ht="42">
      <c r="A2247" s="715">
        <v>95279</v>
      </c>
      <c r="B2247" s="633" t="s">
        <v>24890</v>
      </c>
      <c r="C2247" s="715" t="s">
        <v>11</v>
      </c>
      <c r="D2247" s="716">
        <v>0.14000000000000001</v>
      </c>
    </row>
    <row r="2248" spans="1:4" ht="42">
      <c r="A2248" s="715">
        <v>95280</v>
      </c>
      <c r="B2248" s="633" t="s">
        <v>24891</v>
      </c>
      <c r="C2248" s="715" t="s">
        <v>11</v>
      </c>
      <c r="D2248" s="716">
        <v>0.68</v>
      </c>
    </row>
    <row r="2249" spans="1:4" ht="42">
      <c r="A2249" s="715">
        <v>95281</v>
      </c>
      <c r="B2249" s="633" t="s">
        <v>40254</v>
      </c>
      <c r="C2249" s="715" t="s">
        <v>11</v>
      </c>
      <c r="D2249" s="716">
        <v>9.56</v>
      </c>
    </row>
    <row r="2250" spans="1:4" ht="28">
      <c r="A2250" s="715">
        <v>95124</v>
      </c>
      <c r="B2250" s="633" t="s">
        <v>24865</v>
      </c>
      <c r="C2250" s="715" t="s">
        <v>11</v>
      </c>
      <c r="D2250" s="716">
        <v>6.26</v>
      </c>
    </row>
    <row r="2251" spans="1:4" ht="42">
      <c r="A2251" s="715">
        <v>95123</v>
      </c>
      <c r="B2251" s="633" t="s">
        <v>24864</v>
      </c>
      <c r="C2251" s="715" t="s">
        <v>11</v>
      </c>
      <c r="D2251" s="716">
        <v>20.309999999999999</v>
      </c>
    </row>
    <row r="2252" spans="1:4" ht="42">
      <c r="A2252" s="715">
        <v>95125</v>
      </c>
      <c r="B2252" s="633" t="s">
        <v>24866</v>
      </c>
      <c r="C2252" s="715" t="s">
        <v>11</v>
      </c>
      <c r="D2252" s="716">
        <v>22.22</v>
      </c>
    </row>
    <row r="2253" spans="1:4" ht="42">
      <c r="A2253" s="715">
        <v>95126</v>
      </c>
      <c r="B2253" s="633" t="s">
        <v>28872</v>
      </c>
      <c r="C2253" s="715" t="s">
        <v>11</v>
      </c>
      <c r="D2253" s="716">
        <v>178.66</v>
      </c>
    </row>
    <row r="2254" spans="1:4" ht="42">
      <c r="A2254" s="715">
        <v>92040</v>
      </c>
      <c r="B2254" s="633" t="s">
        <v>24775</v>
      </c>
      <c r="C2254" s="715" t="s">
        <v>11</v>
      </c>
      <c r="D2254" s="716">
        <v>7.36</v>
      </c>
    </row>
    <row r="2255" spans="1:4" ht="42">
      <c r="A2255" s="715">
        <v>92041</v>
      </c>
      <c r="B2255" s="633" t="s">
        <v>24776</v>
      </c>
      <c r="C2255" s="715" t="s">
        <v>11</v>
      </c>
      <c r="D2255" s="716">
        <v>1.51</v>
      </c>
    </row>
    <row r="2256" spans="1:4" ht="42">
      <c r="A2256" s="715">
        <v>92042</v>
      </c>
      <c r="B2256" s="633" t="s">
        <v>24777</v>
      </c>
      <c r="C2256" s="715" t="s">
        <v>11</v>
      </c>
      <c r="D2256" s="716">
        <v>6.13</v>
      </c>
    </row>
    <row r="2257" spans="1:4" ht="56">
      <c r="A2257" s="715">
        <v>106410</v>
      </c>
      <c r="B2257" s="633" t="s">
        <v>42370</v>
      </c>
      <c r="C2257" s="715" t="s">
        <v>11</v>
      </c>
      <c r="D2257" s="716">
        <v>4.76</v>
      </c>
    </row>
    <row r="2258" spans="1:4" ht="56">
      <c r="A2258" s="715">
        <v>106411</v>
      </c>
      <c r="B2258" s="633" t="s">
        <v>42371</v>
      </c>
      <c r="C2258" s="715" t="s">
        <v>11</v>
      </c>
      <c r="D2258" s="716">
        <v>2.02</v>
      </c>
    </row>
    <row r="2259" spans="1:4" ht="56">
      <c r="A2259" s="715">
        <v>106412</v>
      </c>
      <c r="B2259" s="633" t="s">
        <v>42372</v>
      </c>
      <c r="C2259" s="715" t="s">
        <v>11</v>
      </c>
      <c r="D2259" s="716">
        <v>5.21</v>
      </c>
    </row>
    <row r="2260" spans="1:4" ht="56">
      <c r="A2260" s="715">
        <v>106413</v>
      </c>
      <c r="B2260" s="633" t="s">
        <v>42373</v>
      </c>
      <c r="C2260" s="715" t="s">
        <v>11</v>
      </c>
      <c r="D2260" s="716">
        <v>2.1800000000000002</v>
      </c>
    </row>
    <row r="2261" spans="1:4" ht="28">
      <c r="A2261" s="715">
        <v>102829</v>
      </c>
      <c r="B2261" s="633" t="s">
        <v>33309</v>
      </c>
      <c r="C2261" s="715" t="s">
        <v>11</v>
      </c>
      <c r="D2261" s="716">
        <v>0</v>
      </c>
    </row>
    <row r="2262" spans="1:4" ht="28">
      <c r="A2262" s="715">
        <v>102830</v>
      </c>
      <c r="B2262" s="633" t="s">
        <v>33310</v>
      </c>
      <c r="C2262" s="715" t="s">
        <v>11</v>
      </c>
      <c r="D2262" s="716">
        <v>0</v>
      </c>
    </row>
    <row r="2263" spans="1:4" ht="28">
      <c r="A2263" s="715">
        <v>102831</v>
      </c>
      <c r="B2263" s="633" t="s">
        <v>33311</v>
      </c>
      <c r="C2263" s="715" t="s">
        <v>11</v>
      </c>
      <c r="D2263" s="716">
        <v>0</v>
      </c>
    </row>
    <row r="2264" spans="1:4" ht="28">
      <c r="A2264" s="715">
        <v>92114</v>
      </c>
      <c r="B2264" s="633" t="s">
        <v>24787</v>
      </c>
      <c r="C2264" s="715" t="s">
        <v>11</v>
      </c>
      <c r="D2264" s="716">
        <v>0.24</v>
      </c>
    </row>
    <row r="2265" spans="1:4" ht="28">
      <c r="A2265" s="715">
        <v>92115</v>
      </c>
      <c r="B2265" s="633" t="s">
        <v>24788</v>
      </c>
      <c r="C2265" s="715" t="s">
        <v>11</v>
      </c>
      <c r="D2265" s="716">
        <v>0.05</v>
      </c>
    </row>
    <row r="2266" spans="1:4" ht="28">
      <c r="A2266" s="715">
        <v>92116</v>
      </c>
      <c r="B2266" s="633" t="s">
        <v>24789</v>
      </c>
      <c r="C2266" s="715" t="s">
        <v>11</v>
      </c>
      <c r="D2266" s="716">
        <v>0.17</v>
      </c>
    </row>
    <row r="2267" spans="1:4" ht="28">
      <c r="A2267" s="715">
        <v>102912</v>
      </c>
      <c r="B2267" s="633" t="s">
        <v>33312</v>
      </c>
      <c r="C2267" s="715" t="s">
        <v>11</v>
      </c>
      <c r="D2267" s="716">
        <v>0</v>
      </c>
    </row>
    <row r="2268" spans="1:4" ht="28">
      <c r="A2268" s="715">
        <v>102913</v>
      </c>
      <c r="B2268" s="633" t="s">
        <v>33313</v>
      </c>
      <c r="C2268" s="715" t="s">
        <v>11</v>
      </c>
      <c r="D2268" s="716">
        <v>0</v>
      </c>
    </row>
    <row r="2269" spans="1:4" ht="28">
      <c r="A2269" s="715">
        <v>102914</v>
      </c>
      <c r="B2269" s="633" t="s">
        <v>33314</v>
      </c>
      <c r="C2269" s="715" t="s">
        <v>11</v>
      </c>
      <c r="D2269" s="716">
        <v>0</v>
      </c>
    </row>
    <row r="2270" spans="1:4" ht="28">
      <c r="A2270" s="715">
        <v>102915</v>
      </c>
      <c r="B2270" s="633" t="s">
        <v>24959</v>
      </c>
      <c r="C2270" s="715" t="s">
        <v>11</v>
      </c>
      <c r="D2270" s="716">
        <v>0.54</v>
      </c>
    </row>
    <row r="2271" spans="1:4" ht="70">
      <c r="A2271" s="715">
        <v>95716</v>
      </c>
      <c r="B2271" s="633" t="s">
        <v>24896</v>
      </c>
      <c r="C2271" s="715" t="s">
        <v>11</v>
      </c>
      <c r="D2271" s="716">
        <v>65.91</v>
      </c>
    </row>
    <row r="2272" spans="1:4" ht="70">
      <c r="A2272" s="715">
        <v>95717</v>
      </c>
      <c r="B2272" s="633" t="s">
        <v>24897</v>
      </c>
      <c r="C2272" s="715" t="s">
        <v>11</v>
      </c>
      <c r="D2272" s="716">
        <v>17.420000000000002</v>
      </c>
    </row>
    <row r="2273" spans="1:4" ht="70">
      <c r="A2273" s="715">
        <v>95718</v>
      </c>
      <c r="B2273" s="633" t="s">
        <v>24898</v>
      </c>
      <c r="C2273" s="715" t="s">
        <v>11</v>
      </c>
      <c r="D2273" s="716">
        <v>82.39</v>
      </c>
    </row>
    <row r="2274" spans="1:4" ht="70">
      <c r="A2274" s="715">
        <v>95719</v>
      </c>
      <c r="B2274" s="633" t="s">
        <v>24899</v>
      </c>
      <c r="C2274" s="715" t="s">
        <v>11</v>
      </c>
      <c r="D2274" s="716">
        <v>109.11</v>
      </c>
    </row>
    <row r="2275" spans="1:4" ht="56">
      <c r="A2275" s="715">
        <v>104712</v>
      </c>
      <c r="B2275" s="633" t="s">
        <v>30079</v>
      </c>
      <c r="C2275" s="715" t="s">
        <v>11</v>
      </c>
      <c r="D2275" s="716">
        <v>61.95</v>
      </c>
    </row>
    <row r="2276" spans="1:4" ht="56">
      <c r="A2276" s="715">
        <v>104713</v>
      </c>
      <c r="B2276" s="633" t="s">
        <v>30080</v>
      </c>
      <c r="C2276" s="715" t="s">
        <v>11</v>
      </c>
      <c r="D2276" s="716">
        <v>16.37</v>
      </c>
    </row>
    <row r="2277" spans="1:4" ht="56">
      <c r="A2277" s="715">
        <v>104714</v>
      </c>
      <c r="B2277" s="633" t="s">
        <v>30081</v>
      </c>
      <c r="C2277" s="715" t="s">
        <v>11</v>
      </c>
      <c r="D2277" s="716">
        <v>77.430000000000007</v>
      </c>
    </row>
    <row r="2278" spans="1:4" ht="56">
      <c r="A2278" s="715">
        <v>104715</v>
      </c>
      <c r="B2278" s="633" t="s">
        <v>40255</v>
      </c>
      <c r="C2278" s="715" t="s">
        <v>11</v>
      </c>
      <c r="D2278" s="716">
        <v>109.11</v>
      </c>
    </row>
    <row r="2279" spans="1:4" ht="56">
      <c r="A2279" s="715">
        <v>106394</v>
      </c>
      <c r="B2279" s="633" t="s">
        <v>42374</v>
      </c>
      <c r="C2279" s="715" t="s">
        <v>11</v>
      </c>
      <c r="D2279" s="716">
        <v>0</v>
      </c>
    </row>
    <row r="2280" spans="1:4" ht="56">
      <c r="A2280" s="715">
        <v>106395</v>
      </c>
      <c r="B2280" s="633" t="s">
        <v>42375</v>
      </c>
      <c r="C2280" s="715" t="s">
        <v>11</v>
      </c>
      <c r="D2280" s="716">
        <v>0</v>
      </c>
    </row>
    <row r="2281" spans="1:4" ht="56">
      <c r="A2281" s="715">
        <v>106396</v>
      </c>
      <c r="B2281" s="633" t="s">
        <v>42376</v>
      </c>
      <c r="C2281" s="715" t="s">
        <v>11</v>
      </c>
      <c r="D2281" s="716">
        <v>0</v>
      </c>
    </row>
    <row r="2282" spans="1:4" ht="56">
      <c r="A2282" s="715">
        <v>106397</v>
      </c>
      <c r="B2282" s="633" t="s">
        <v>42377</v>
      </c>
      <c r="C2282" s="715" t="s">
        <v>11</v>
      </c>
      <c r="D2282" s="716">
        <v>109.11</v>
      </c>
    </row>
    <row r="2283" spans="1:4" ht="84">
      <c r="A2283" s="715">
        <v>106400</v>
      </c>
      <c r="B2283" s="633" t="s">
        <v>42378</v>
      </c>
      <c r="C2283" s="715" t="s">
        <v>11</v>
      </c>
      <c r="D2283" s="716">
        <v>0</v>
      </c>
    </row>
    <row r="2284" spans="1:4" ht="84">
      <c r="A2284" s="715">
        <v>106401</v>
      </c>
      <c r="B2284" s="633" t="s">
        <v>42379</v>
      </c>
      <c r="C2284" s="715" t="s">
        <v>11</v>
      </c>
      <c r="D2284" s="716">
        <v>0</v>
      </c>
    </row>
    <row r="2285" spans="1:4" ht="84">
      <c r="A2285" s="715">
        <v>106402</v>
      </c>
      <c r="B2285" s="633" t="s">
        <v>42380</v>
      </c>
      <c r="C2285" s="715" t="s">
        <v>11</v>
      </c>
      <c r="D2285" s="716">
        <v>0</v>
      </c>
    </row>
    <row r="2286" spans="1:4" ht="84">
      <c r="A2286" s="715">
        <v>106403</v>
      </c>
      <c r="B2286" s="633" t="s">
        <v>42381</v>
      </c>
      <c r="C2286" s="715" t="s">
        <v>11</v>
      </c>
      <c r="D2286" s="716">
        <v>109.11</v>
      </c>
    </row>
    <row r="2287" spans="1:4" ht="56">
      <c r="A2287" s="715">
        <v>102894</v>
      </c>
      <c r="B2287" s="633" t="s">
        <v>33315</v>
      </c>
      <c r="C2287" s="715" t="s">
        <v>11</v>
      </c>
      <c r="D2287" s="716">
        <v>0</v>
      </c>
    </row>
    <row r="2288" spans="1:4" ht="56">
      <c r="A2288" s="715">
        <v>104161</v>
      </c>
      <c r="B2288" s="633" t="s">
        <v>33316</v>
      </c>
      <c r="C2288" s="715" t="s">
        <v>11</v>
      </c>
      <c r="D2288" s="716">
        <v>0</v>
      </c>
    </row>
    <row r="2289" spans="1:4" ht="56">
      <c r="A2289" s="715">
        <v>102896</v>
      </c>
      <c r="B2289" s="633" t="s">
        <v>33317</v>
      </c>
      <c r="C2289" s="715" t="s">
        <v>11</v>
      </c>
      <c r="D2289" s="716">
        <v>0</v>
      </c>
    </row>
    <row r="2290" spans="1:4" ht="70">
      <c r="A2290" s="715">
        <v>102897</v>
      </c>
      <c r="B2290" s="633" t="s">
        <v>24957</v>
      </c>
      <c r="C2290" s="715" t="s">
        <v>11</v>
      </c>
      <c r="D2290" s="716">
        <v>109.11</v>
      </c>
    </row>
    <row r="2291" spans="1:4" ht="42">
      <c r="A2291" s="715">
        <v>5627</v>
      </c>
      <c r="B2291" s="633" t="s">
        <v>24426</v>
      </c>
      <c r="C2291" s="715" t="s">
        <v>11</v>
      </c>
      <c r="D2291" s="716">
        <v>47.6</v>
      </c>
    </row>
    <row r="2292" spans="1:4" ht="42">
      <c r="A2292" s="715">
        <v>5628</v>
      </c>
      <c r="B2292" s="633" t="s">
        <v>24427</v>
      </c>
      <c r="C2292" s="715" t="s">
        <v>11</v>
      </c>
      <c r="D2292" s="716">
        <v>12.58</v>
      </c>
    </row>
    <row r="2293" spans="1:4" ht="42">
      <c r="A2293" s="715">
        <v>5629</v>
      </c>
      <c r="B2293" s="633" t="s">
        <v>24428</v>
      </c>
      <c r="C2293" s="715" t="s">
        <v>11</v>
      </c>
      <c r="D2293" s="716">
        <v>59.5</v>
      </c>
    </row>
    <row r="2294" spans="1:4" ht="56">
      <c r="A2294" s="715">
        <v>5630</v>
      </c>
      <c r="B2294" s="633" t="s">
        <v>24429</v>
      </c>
      <c r="C2294" s="715" t="s">
        <v>11</v>
      </c>
      <c r="D2294" s="716">
        <v>78.19</v>
      </c>
    </row>
    <row r="2295" spans="1:4" ht="42">
      <c r="A2295" s="715">
        <v>88900</v>
      </c>
      <c r="B2295" s="633" t="s">
        <v>24564</v>
      </c>
      <c r="C2295" s="715" t="s">
        <v>11</v>
      </c>
      <c r="D2295" s="716">
        <v>53.86</v>
      </c>
    </row>
    <row r="2296" spans="1:4" ht="42">
      <c r="A2296" s="715">
        <v>88902</v>
      </c>
      <c r="B2296" s="633" t="s">
        <v>24565</v>
      </c>
      <c r="C2296" s="715" t="s">
        <v>11</v>
      </c>
      <c r="D2296" s="716">
        <v>14.23</v>
      </c>
    </row>
    <row r="2297" spans="1:4" ht="42">
      <c r="A2297" s="715">
        <v>88903</v>
      </c>
      <c r="B2297" s="633" t="s">
        <v>24566</v>
      </c>
      <c r="C2297" s="715" t="s">
        <v>11</v>
      </c>
      <c r="D2297" s="716">
        <v>67.319999999999993</v>
      </c>
    </row>
    <row r="2298" spans="1:4" ht="56">
      <c r="A2298" s="715">
        <v>88904</v>
      </c>
      <c r="B2298" s="633" t="s">
        <v>24567</v>
      </c>
      <c r="C2298" s="715" t="s">
        <v>11</v>
      </c>
      <c r="D2298" s="716">
        <v>109.11</v>
      </c>
    </row>
    <row r="2299" spans="1:4" ht="56">
      <c r="A2299" s="715">
        <v>88569</v>
      </c>
      <c r="B2299" s="633" t="s">
        <v>24548</v>
      </c>
      <c r="C2299" s="715" t="s">
        <v>11</v>
      </c>
      <c r="D2299" s="716">
        <v>4.21</v>
      </c>
    </row>
    <row r="2300" spans="1:4" ht="42">
      <c r="A2300" s="715">
        <v>88570</v>
      </c>
      <c r="B2300" s="633" t="s">
        <v>24549</v>
      </c>
      <c r="C2300" s="715" t="s">
        <v>11</v>
      </c>
      <c r="D2300" s="716">
        <v>1.46</v>
      </c>
    </row>
    <row r="2301" spans="1:4" ht="56">
      <c r="A2301" s="715">
        <v>5765</v>
      </c>
      <c r="B2301" s="633" t="s">
        <v>24459</v>
      </c>
      <c r="C2301" s="715" t="s">
        <v>11</v>
      </c>
      <c r="D2301" s="716">
        <v>5.27</v>
      </c>
    </row>
    <row r="2302" spans="1:4" ht="56">
      <c r="A2302" s="715">
        <v>5766</v>
      </c>
      <c r="B2302" s="633" t="s">
        <v>24460</v>
      </c>
      <c r="C2302" s="715" t="s">
        <v>11</v>
      </c>
      <c r="D2302" s="716">
        <v>3.18</v>
      </c>
    </row>
    <row r="2303" spans="1:4" ht="70">
      <c r="A2303" s="715">
        <v>91468</v>
      </c>
      <c r="B2303" s="633" t="s">
        <v>40256</v>
      </c>
      <c r="C2303" s="715" t="s">
        <v>11</v>
      </c>
      <c r="D2303" s="716">
        <v>27.43</v>
      </c>
    </row>
    <row r="2304" spans="1:4" ht="70">
      <c r="A2304" s="715">
        <v>91484</v>
      </c>
      <c r="B2304" s="633" t="s">
        <v>40257</v>
      </c>
      <c r="C2304" s="715" t="s">
        <v>11</v>
      </c>
      <c r="D2304" s="716">
        <v>4.32</v>
      </c>
    </row>
    <row r="2305" spans="1:4" ht="70">
      <c r="A2305" s="715">
        <v>91469</v>
      </c>
      <c r="B2305" s="633" t="s">
        <v>40258</v>
      </c>
      <c r="C2305" s="715" t="s">
        <v>11</v>
      </c>
      <c r="D2305" s="716">
        <v>10.69</v>
      </c>
    </row>
    <row r="2306" spans="1:4" ht="70">
      <c r="A2306" s="715">
        <v>83361</v>
      </c>
      <c r="B2306" s="633" t="s">
        <v>40259</v>
      </c>
      <c r="C2306" s="715" t="s">
        <v>11</v>
      </c>
      <c r="D2306" s="716">
        <v>45.77</v>
      </c>
    </row>
    <row r="2307" spans="1:4" ht="84">
      <c r="A2307" s="715">
        <v>91485</v>
      </c>
      <c r="B2307" s="633" t="s">
        <v>40260</v>
      </c>
      <c r="C2307" s="715" t="s">
        <v>11</v>
      </c>
      <c r="D2307" s="716">
        <v>187.81</v>
      </c>
    </row>
    <row r="2308" spans="1:4" ht="56">
      <c r="A2308" s="715">
        <v>102835</v>
      </c>
      <c r="B2308" s="633" t="s">
        <v>40261</v>
      </c>
      <c r="C2308" s="715" t="s">
        <v>11</v>
      </c>
      <c r="D2308" s="716">
        <v>0</v>
      </c>
    </row>
    <row r="2309" spans="1:4" ht="42">
      <c r="A2309" s="715">
        <v>102836</v>
      </c>
      <c r="B2309" s="633" t="s">
        <v>40262</v>
      </c>
      <c r="C2309" s="715" t="s">
        <v>11</v>
      </c>
      <c r="D2309" s="716">
        <v>0</v>
      </c>
    </row>
    <row r="2310" spans="1:4" ht="56">
      <c r="A2310" s="715">
        <v>102837</v>
      </c>
      <c r="B2310" s="633" t="s">
        <v>40263</v>
      </c>
      <c r="C2310" s="715" t="s">
        <v>11</v>
      </c>
      <c r="D2310" s="716">
        <v>0</v>
      </c>
    </row>
    <row r="2311" spans="1:4" ht="42">
      <c r="A2311" s="715">
        <v>89230</v>
      </c>
      <c r="B2311" s="633" t="s">
        <v>24602</v>
      </c>
      <c r="C2311" s="715" t="s">
        <v>11</v>
      </c>
      <c r="D2311" s="716">
        <v>122.24</v>
      </c>
    </row>
    <row r="2312" spans="1:4" ht="42">
      <c r="A2312" s="715">
        <v>89231</v>
      </c>
      <c r="B2312" s="633" t="s">
        <v>24603</v>
      </c>
      <c r="C2312" s="715" t="s">
        <v>11</v>
      </c>
      <c r="D2312" s="716">
        <v>37.43</v>
      </c>
    </row>
    <row r="2313" spans="1:4" ht="42">
      <c r="A2313" s="715">
        <v>89232</v>
      </c>
      <c r="B2313" s="633" t="s">
        <v>24604</v>
      </c>
      <c r="C2313" s="715" t="s">
        <v>11</v>
      </c>
      <c r="D2313" s="716">
        <v>218.04</v>
      </c>
    </row>
    <row r="2314" spans="1:4" ht="42">
      <c r="A2314" s="715">
        <v>89233</v>
      </c>
      <c r="B2314" s="633" t="s">
        <v>24605</v>
      </c>
      <c r="C2314" s="715" t="s">
        <v>11</v>
      </c>
      <c r="D2314" s="716">
        <v>202.77</v>
      </c>
    </row>
    <row r="2315" spans="1:4" ht="42">
      <c r="A2315" s="715">
        <v>89236</v>
      </c>
      <c r="B2315" s="633" t="s">
        <v>24606</v>
      </c>
      <c r="C2315" s="715" t="s">
        <v>11</v>
      </c>
      <c r="D2315" s="716">
        <v>285.55</v>
      </c>
    </row>
    <row r="2316" spans="1:4" ht="42">
      <c r="A2316" s="715">
        <v>89237</v>
      </c>
      <c r="B2316" s="633" t="s">
        <v>24607</v>
      </c>
      <c r="C2316" s="715" t="s">
        <v>11</v>
      </c>
      <c r="D2316" s="716">
        <v>87.43</v>
      </c>
    </row>
    <row r="2317" spans="1:4" ht="42">
      <c r="A2317" s="715">
        <v>89238</v>
      </c>
      <c r="B2317" s="633" t="s">
        <v>24608</v>
      </c>
      <c r="C2317" s="715" t="s">
        <v>11</v>
      </c>
      <c r="D2317" s="716">
        <v>509.34</v>
      </c>
    </row>
    <row r="2318" spans="1:4" ht="42">
      <c r="A2318" s="715">
        <v>89239</v>
      </c>
      <c r="B2318" s="633" t="s">
        <v>24609</v>
      </c>
      <c r="C2318" s="715" t="s">
        <v>11</v>
      </c>
      <c r="D2318" s="716">
        <v>536.22</v>
      </c>
    </row>
    <row r="2319" spans="1:4" ht="84">
      <c r="A2319" s="715">
        <v>102930</v>
      </c>
      <c r="B2319" s="633" t="s">
        <v>33318</v>
      </c>
      <c r="C2319" s="715" t="s">
        <v>11</v>
      </c>
      <c r="D2319" s="716">
        <v>0</v>
      </c>
    </row>
    <row r="2320" spans="1:4" ht="84">
      <c r="A2320" s="715">
        <v>102931</v>
      </c>
      <c r="B2320" s="633" t="s">
        <v>33319</v>
      </c>
      <c r="C2320" s="715" t="s">
        <v>11</v>
      </c>
      <c r="D2320" s="716">
        <v>0</v>
      </c>
    </row>
    <row r="2321" spans="1:4" ht="84">
      <c r="A2321" s="715">
        <v>102932</v>
      </c>
      <c r="B2321" s="633" t="s">
        <v>33320</v>
      </c>
      <c r="C2321" s="715" t="s">
        <v>11</v>
      </c>
      <c r="D2321" s="716">
        <v>0</v>
      </c>
    </row>
    <row r="2322" spans="1:4" ht="84">
      <c r="A2322" s="715">
        <v>102933</v>
      </c>
      <c r="B2322" s="633" t="s">
        <v>24961</v>
      </c>
      <c r="C2322" s="715" t="s">
        <v>11</v>
      </c>
      <c r="D2322" s="716">
        <v>0.8</v>
      </c>
    </row>
    <row r="2323" spans="1:4" ht="42">
      <c r="A2323" s="715">
        <v>93411</v>
      </c>
      <c r="B2323" s="633" t="s">
        <v>24837</v>
      </c>
      <c r="C2323" s="715" t="s">
        <v>11</v>
      </c>
      <c r="D2323" s="716">
        <v>0.34</v>
      </c>
    </row>
    <row r="2324" spans="1:4" ht="42">
      <c r="A2324" s="715">
        <v>93412</v>
      </c>
      <c r="B2324" s="633" t="s">
        <v>24838</v>
      </c>
      <c r="C2324" s="715" t="s">
        <v>11</v>
      </c>
      <c r="D2324" s="716">
        <v>0.12</v>
      </c>
    </row>
    <row r="2325" spans="1:4" ht="42">
      <c r="A2325" s="715">
        <v>93413</v>
      </c>
      <c r="B2325" s="633" t="s">
        <v>24839</v>
      </c>
      <c r="C2325" s="715" t="s">
        <v>11</v>
      </c>
      <c r="D2325" s="716">
        <v>0.3</v>
      </c>
    </row>
    <row r="2326" spans="1:4" ht="42">
      <c r="A2326" s="715">
        <v>93414</v>
      </c>
      <c r="B2326" s="633" t="s">
        <v>24840</v>
      </c>
      <c r="C2326" s="715" t="s">
        <v>11</v>
      </c>
      <c r="D2326" s="716">
        <v>12.08</v>
      </c>
    </row>
    <row r="2327" spans="1:4" ht="42">
      <c r="A2327" s="715">
        <v>88855</v>
      </c>
      <c r="B2327" s="633" t="s">
        <v>28866</v>
      </c>
      <c r="C2327" s="715" t="s">
        <v>11</v>
      </c>
      <c r="D2327" s="716">
        <v>3.4</v>
      </c>
    </row>
    <row r="2328" spans="1:4" ht="42">
      <c r="A2328" s="715">
        <v>88856</v>
      </c>
      <c r="B2328" s="633" t="s">
        <v>28867</v>
      </c>
      <c r="C2328" s="715" t="s">
        <v>11</v>
      </c>
      <c r="D2328" s="716">
        <v>0.93</v>
      </c>
    </row>
    <row r="2329" spans="1:4" ht="42">
      <c r="A2329" s="715">
        <v>5658</v>
      </c>
      <c r="B2329" s="633" t="s">
        <v>28863</v>
      </c>
      <c r="C2329" s="715" t="s">
        <v>11</v>
      </c>
      <c r="D2329" s="716">
        <v>2.36</v>
      </c>
    </row>
    <row r="2330" spans="1:4" ht="42">
      <c r="A2330" s="715">
        <v>53840</v>
      </c>
      <c r="B2330" s="633" t="s">
        <v>24501</v>
      </c>
      <c r="C2330" s="715" t="s">
        <v>11</v>
      </c>
      <c r="D2330" s="716">
        <v>2.67</v>
      </c>
    </row>
    <row r="2331" spans="1:4" ht="42">
      <c r="A2331" s="715">
        <v>87026</v>
      </c>
      <c r="B2331" s="633" t="s">
        <v>24523</v>
      </c>
      <c r="C2331" s="715" t="s">
        <v>11</v>
      </c>
      <c r="D2331" s="716">
        <v>0.73</v>
      </c>
    </row>
    <row r="2332" spans="1:4" ht="42">
      <c r="A2332" s="715">
        <v>53841</v>
      </c>
      <c r="B2332" s="633" t="s">
        <v>24502</v>
      </c>
      <c r="C2332" s="715" t="s">
        <v>11</v>
      </c>
      <c r="D2332" s="716">
        <v>1.85</v>
      </c>
    </row>
    <row r="2333" spans="1:4" ht="28">
      <c r="A2333" s="715">
        <v>95209</v>
      </c>
      <c r="B2333" s="633" t="s">
        <v>40264</v>
      </c>
      <c r="C2333" s="715" t="s">
        <v>11</v>
      </c>
      <c r="D2333" s="716">
        <v>12.42</v>
      </c>
    </row>
    <row r="2334" spans="1:4" ht="42">
      <c r="A2334" s="715">
        <v>95210</v>
      </c>
      <c r="B2334" s="633" t="s">
        <v>40265</v>
      </c>
      <c r="C2334" s="715" t="s">
        <v>11</v>
      </c>
      <c r="D2334" s="716">
        <v>58.74</v>
      </c>
    </row>
    <row r="2335" spans="1:4" ht="42">
      <c r="A2335" s="715">
        <v>95211</v>
      </c>
      <c r="B2335" s="633" t="s">
        <v>40266</v>
      </c>
      <c r="C2335" s="715" t="s">
        <v>11</v>
      </c>
      <c r="D2335" s="716">
        <v>8.0399999999999991</v>
      </c>
    </row>
    <row r="2336" spans="1:4" ht="42">
      <c r="A2336" s="715">
        <v>93267</v>
      </c>
      <c r="B2336" s="633" t="s">
        <v>40267</v>
      </c>
      <c r="C2336" s="715" t="s">
        <v>11</v>
      </c>
      <c r="D2336" s="716">
        <v>26.66</v>
      </c>
    </row>
    <row r="2337" spans="1:4" ht="28">
      <c r="A2337" s="715">
        <v>93269</v>
      </c>
      <c r="B2337" s="633" t="s">
        <v>40268</v>
      </c>
      <c r="C2337" s="715" t="s">
        <v>11</v>
      </c>
      <c r="D2337" s="716">
        <v>10</v>
      </c>
    </row>
    <row r="2338" spans="1:4" ht="42">
      <c r="A2338" s="715">
        <v>93270</v>
      </c>
      <c r="B2338" s="633" t="s">
        <v>40269</v>
      </c>
      <c r="C2338" s="715" t="s">
        <v>11</v>
      </c>
      <c r="D2338" s="716">
        <v>25.92</v>
      </c>
    </row>
    <row r="2339" spans="1:4" ht="42">
      <c r="A2339" s="715">
        <v>93271</v>
      </c>
      <c r="B2339" s="633" t="s">
        <v>40270</v>
      </c>
      <c r="C2339" s="715" t="s">
        <v>11</v>
      </c>
      <c r="D2339" s="716">
        <v>8.0399999999999991</v>
      </c>
    </row>
    <row r="2340" spans="1:4" ht="42">
      <c r="A2340" s="715">
        <v>95208</v>
      </c>
      <c r="B2340" s="633" t="s">
        <v>40271</v>
      </c>
      <c r="C2340" s="715" t="s">
        <v>11</v>
      </c>
      <c r="D2340" s="716">
        <v>53.71</v>
      </c>
    </row>
    <row r="2341" spans="1:4" ht="56">
      <c r="A2341" s="715">
        <v>83761</v>
      </c>
      <c r="B2341" s="633" t="s">
        <v>24519</v>
      </c>
      <c r="C2341" s="715" t="s">
        <v>11</v>
      </c>
      <c r="D2341" s="716">
        <v>9.42</v>
      </c>
    </row>
    <row r="2342" spans="1:4" ht="42">
      <c r="A2342" s="715">
        <v>83764</v>
      </c>
      <c r="B2342" s="633" t="s">
        <v>24522</v>
      </c>
      <c r="C2342" s="715" t="s">
        <v>11</v>
      </c>
      <c r="D2342" s="716">
        <v>3.32</v>
      </c>
    </row>
    <row r="2343" spans="1:4" ht="42">
      <c r="A2343" s="715">
        <v>83762</v>
      </c>
      <c r="B2343" s="633" t="s">
        <v>24520</v>
      </c>
      <c r="C2343" s="715" t="s">
        <v>11</v>
      </c>
      <c r="D2343" s="716">
        <v>8.41</v>
      </c>
    </row>
    <row r="2344" spans="1:4" ht="56">
      <c r="A2344" s="715">
        <v>83763</v>
      </c>
      <c r="B2344" s="633" t="s">
        <v>24521</v>
      </c>
      <c r="C2344" s="715" t="s">
        <v>11</v>
      </c>
      <c r="D2344" s="716">
        <v>60.91</v>
      </c>
    </row>
    <row r="2345" spans="1:4" ht="42">
      <c r="A2345" s="715">
        <v>95874</v>
      </c>
      <c r="B2345" s="633" t="s">
        <v>24903</v>
      </c>
      <c r="C2345" s="715" t="s">
        <v>11</v>
      </c>
      <c r="D2345" s="716">
        <v>10.06</v>
      </c>
    </row>
    <row r="2346" spans="1:4" ht="42">
      <c r="A2346" s="715">
        <v>95869</v>
      </c>
      <c r="B2346" s="633" t="s">
        <v>24900</v>
      </c>
      <c r="C2346" s="715" t="s">
        <v>11</v>
      </c>
      <c r="D2346" s="716">
        <v>3.54</v>
      </c>
    </row>
    <row r="2347" spans="1:4" ht="42">
      <c r="A2347" s="715">
        <v>95870</v>
      </c>
      <c r="B2347" s="633" t="s">
        <v>24901</v>
      </c>
      <c r="C2347" s="715" t="s">
        <v>11</v>
      </c>
      <c r="D2347" s="716">
        <v>8.98</v>
      </c>
    </row>
    <row r="2348" spans="1:4" ht="42">
      <c r="A2348" s="715">
        <v>95871</v>
      </c>
      <c r="B2348" s="633" t="s">
        <v>24902</v>
      </c>
      <c r="C2348" s="715" t="s">
        <v>11</v>
      </c>
      <c r="D2348" s="716">
        <v>331.34</v>
      </c>
    </row>
    <row r="2349" spans="1:4" ht="56">
      <c r="A2349" s="715">
        <v>104684</v>
      </c>
      <c r="B2349" s="633" t="s">
        <v>33321</v>
      </c>
      <c r="C2349" s="715" t="s">
        <v>11</v>
      </c>
      <c r="D2349" s="716">
        <v>0</v>
      </c>
    </row>
    <row r="2350" spans="1:4" ht="56">
      <c r="A2350" s="715">
        <v>104685</v>
      </c>
      <c r="B2350" s="633" t="s">
        <v>33322</v>
      </c>
      <c r="C2350" s="715" t="s">
        <v>11</v>
      </c>
      <c r="D2350" s="716">
        <v>0</v>
      </c>
    </row>
    <row r="2351" spans="1:4" ht="56">
      <c r="A2351" s="715">
        <v>104686</v>
      </c>
      <c r="B2351" s="633" t="s">
        <v>33323</v>
      </c>
      <c r="C2351" s="715" t="s">
        <v>11</v>
      </c>
      <c r="D2351" s="716">
        <v>0</v>
      </c>
    </row>
    <row r="2352" spans="1:4" ht="56">
      <c r="A2352" s="715">
        <v>104687</v>
      </c>
      <c r="B2352" s="633" t="s">
        <v>24989</v>
      </c>
      <c r="C2352" s="715" t="s">
        <v>11</v>
      </c>
      <c r="D2352" s="716">
        <v>545.37</v>
      </c>
    </row>
    <row r="2353" spans="1:4" ht="28">
      <c r="A2353" s="715">
        <v>73303</v>
      </c>
      <c r="B2353" s="633" t="s">
        <v>24511</v>
      </c>
      <c r="C2353" s="715" t="s">
        <v>11</v>
      </c>
      <c r="D2353" s="716">
        <v>7.07</v>
      </c>
    </row>
    <row r="2354" spans="1:4" ht="28">
      <c r="A2354" s="715">
        <v>93235</v>
      </c>
      <c r="B2354" s="633" t="s">
        <v>24820</v>
      </c>
      <c r="C2354" s="715" t="s">
        <v>11</v>
      </c>
      <c r="D2354" s="716">
        <v>2.4900000000000002</v>
      </c>
    </row>
    <row r="2355" spans="1:4" ht="28">
      <c r="A2355" s="715">
        <v>73307</v>
      </c>
      <c r="B2355" s="633" t="s">
        <v>24512</v>
      </c>
      <c r="C2355" s="715" t="s">
        <v>11</v>
      </c>
      <c r="D2355" s="716">
        <v>6.31</v>
      </c>
    </row>
    <row r="2356" spans="1:4" ht="42">
      <c r="A2356" s="715">
        <v>73311</v>
      </c>
      <c r="B2356" s="633" t="s">
        <v>24514</v>
      </c>
      <c r="C2356" s="715" t="s">
        <v>11</v>
      </c>
      <c r="D2356" s="716">
        <v>216.13</v>
      </c>
    </row>
    <row r="2357" spans="1:4" ht="28">
      <c r="A2357" s="715">
        <v>93423</v>
      </c>
      <c r="B2357" s="633" t="s">
        <v>24845</v>
      </c>
      <c r="C2357" s="715" t="s">
        <v>11</v>
      </c>
      <c r="D2357" s="716">
        <v>6.29</v>
      </c>
    </row>
    <row r="2358" spans="1:4" ht="28">
      <c r="A2358" s="715">
        <v>93424</v>
      </c>
      <c r="B2358" s="633" t="s">
        <v>24846</v>
      </c>
      <c r="C2358" s="715" t="s">
        <v>11</v>
      </c>
      <c r="D2358" s="716">
        <v>2.2200000000000002</v>
      </c>
    </row>
    <row r="2359" spans="1:4" ht="28">
      <c r="A2359" s="715">
        <v>93425</v>
      </c>
      <c r="B2359" s="633" t="s">
        <v>24847</v>
      </c>
      <c r="C2359" s="715" t="s">
        <v>11</v>
      </c>
      <c r="D2359" s="716">
        <v>5.62</v>
      </c>
    </row>
    <row r="2360" spans="1:4" ht="42">
      <c r="A2360" s="715">
        <v>93426</v>
      </c>
      <c r="B2360" s="633" t="s">
        <v>24848</v>
      </c>
      <c r="C2360" s="715" t="s">
        <v>11</v>
      </c>
      <c r="D2360" s="716">
        <v>194.49</v>
      </c>
    </row>
    <row r="2361" spans="1:4" ht="28">
      <c r="A2361" s="715">
        <v>93417</v>
      </c>
      <c r="B2361" s="633" t="s">
        <v>24841</v>
      </c>
      <c r="C2361" s="715" t="s">
        <v>11</v>
      </c>
      <c r="D2361" s="716">
        <v>4.45</v>
      </c>
    </row>
    <row r="2362" spans="1:4" ht="28">
      <c r="A2362" s="715">
        <v>93418</v>
      </c>
      <c r="B2362" s="633" t="s">
        <v>24842</v>
      </c>
      <c r="C2362" s="715" t="s">
        <v>11</v>
      </c>
      <c r="D2362" s="716">
        <v>1.56</v>
      </c>
    </row>
    <row r="2363" spans="1:4" ht="28">
      <c r="A2363" s="715">
        <v>93419</v>
      </c>
      <c r="B2363" s="633" t="s">
        <v>24843</v>
      </c>
      <c r="C2363" s="715" t="s">
        <v>11</v>
      </c>
      <c r="D2363" s="716">
        <v>3.97</v>
      </c>
    </row>
    <row r="2364" spans="1:4" ht="42">
      <c r="A2364" s="715">
        <v>93420</v>
      </c>
      <c r="B2364" s="633" t="s">
        <v>24844</v>
      </c>
      <c r="C2364" s="715" t="s">
        <v>11</v>
      </c>
      <c r="D2364" s="716">
        <v>81.38</v>
      </c>
    </row>
    <row r="2365" spans="1:4" ht="42">
      <c r="A2365" s="715">
        <v>93277</v>
      </c>
      <c r="B2365" s="633" t="s">
        <v>24824</v>
      </c>
      <c r="C2365" s="715" t="s">
        <v>11</v>
      </c>
      <c r="D2365" s="716">
        <v>0.24</v>
      </c>
    </row>
    <row r="2366" spans="1:4" ht="42">
      <c r="A2366" s="715">
        <v>93278</v>
      </c>
      <c r="B2366" s="633" t="s">
        <v>24825</v>
      </c>
      <c r="C2366" s="715" t="s">
        <v>11</v>
      </c>
      <c r="D2366" s="716">
        <v>0.05</v>
      </c>
    </row>
    <row r="2367" spans="1:4" ht="42">
      <c r="A2367" s="715">
        <v>93279</v>
      </c>
      <c r="B2367" s="633" t="s">
        <v>24826</v>
      </c>
      <c r="C2367" s="715" t="s">
        <v>11</v>
      </c>
      <c r="D2367" s="716">
        <v>0.22</v>
      </c>
    </row>
    <row r="2368" spans="1:4" ht="42">
      <c r="A2368" s="715">
        <v>93280</v>
      </c>
      <c r="B2368" s="633" t="s">
        <v>24827</v>
      </c>
      <c r="C2368" s="715" t="s">
        <v>11</v>
      </c>
      <c r="D2368" s="716">
        <v>0.67</v>
      </c>
    </row>
    <row r="2369" spans="1:4" ht="42">
      <c r="A2369" s="715">
        <v>104909</v>
      </c>
      <c r="B2369" s="633" t="s">
        <v>33324</v>
      </c>
      <c r="C2369" s="715" t="s">
        <v>11</v>
      </c>
      <c r="D2369" s="716">
        <v>0</v>
      </c>
    </row>
    <row r="2370" spans="1:4" ht="28">
      <c r="A2370" s="715">
        <v>104910</v>
      </c>
      <c r="B2370" s="633" t="s">
        <v>33325</v>
      </c>
      <c r="C2370" s="715" t="s">
        <v>11</v>
      </c>
      <c r="D2370" s="716">
        <v>0</v>
      </c>
    </row>
    <row r="2371" spans="1:4" ht="42">
      <c r="A2371" s="715">
        <v>104911</v>
      </c>
      <c r="B2371" s="633" t="s">
        <v>33326</v>
      </c>
      <c r="C2371" s="715" t="s">
        <v>11</v>
      </c>
      <c r="D2371" s="716">
        <v>0</v>
      </c>
    </row>
    <row r="2372" spans="1:4" ht="42">
      <c r="A2372" s="715">
        <v>104912</v>
      </c>
      <c r="B2372" s="633" t="s">
        <v>28880</v>
      </c>
      <c r="C2372" s="715" t="s">
        <v>11</v>
      </c>
      <c r="D2372" s="716">
        <v>32.89</v>
      </c>
    </row>
    <row r="2373" spans="1:4" ht="56">
      <c r="A2373" s="715">
        <v>102840</v>
      </c>
      <c r="B2373" s="633" t="s">
        <v>33327</v>
      </c>
      <c r="C2373" s="715" t="s">
        <v>11</v>
      </c>
      <c r="D2373" s="716">
        <v>0</v>
      </c>
    </row>
    <row r="2374" spans="1:4" ht="42">
      <c r="A2374" s="715">
        <v>102841</v>
      </c>
      <c r="B2374" s="633" t="s">
        <v>33328</v>
      </c>
      <c r="C2374" s="715" t="s">
        <v>11</v>
      </c>
      <c r="D2374" s="716">
        <v>0</v>
      </c>
    </row>
    <row r="2375" spans="1:4" ht="56">
      <c r="A2375" s="715">
        <v>102842</v>
      </c>
      <c r="B2375" s="633" t="s">
        <v>33329</v>
      </c>
      <c r="C2375" s="715" t="s">
        <v>11</v>
      </c>
      <c r="D2375" s="716">
        <v>0</v>
      </c>
    </row>
    <row r="2376" spans="1:4" ht="56">
      <c r="A2376" s="715">
        <v>102843</v>
      </c>
      <c r="B2376" s="633" t="s">
        <v>24949</v>
      </c>
      <c r="C2376" s="715" t="s">
        <v>11</v>
      </c>
      <c r="D2376" s="716">
        <v>163.35</v>
      </c>
    </row>
    <row r="2377" spans="1:4" ht="56">
      <c r="A2377" s="715">
        <v>89267</v>
      </c>
      <c r="B2377" s="633" t="s">
        <v>24626</v>
      </c>
      <c r="C2377" s="715" t="s">
        <v>11</v>
      </c>
      <c r="D2377" s="716">
        <v>51.81</v>
      </c>
    </row>
    <row r="2378" spans="1:4" ht="56">
      <c r="A2378" s="715">
        <v>89269</v>
      </c>
      <c r="B2378" s="633" t="s">
        <v>24628</v>
      </c>
      <c r="C2378" s="715" t="s">
        <v>11</v>
      </c>
      <c r="D2378" s="716">
        <v>7.38</v>
      </c>
    </row>
    <row r="2379" spans="1:4" ht="42">
      <c r="A2379" s="715">
        <v>89268</v>
      </c>
      <c r="B2379" s="633" t="s">
        <v>24627</v>
      </c>
      <c r="C2379" s="715" t="s">
        <v>11</v>
      </c>
      <c r="D2379" s="716">
        <v>18.260000000000002</v>
      </c>
    </row>
    <row r="2380" spans="1:4" ht="56">
      <c r="A2380" s="715">
        <v>89270</v>
      </c>
      <c r="B2380" s="633" t="s">
        <v>24629</v>
      </c>
      <c r="C2380" s="715" t="s">
        <v>11</v>
      </c>
      <c r="D2380" s="716">
        <v>83.29</v>
      </c>
    </row>
    <row r="2381" spans="1:4" ht="56">
      <c r="A2381" s="715">
        <v>89271</v>
      </c>
      <c r="B2381" s="633" t="s">
        <v>24630</v>
      </c>
      <c r="C2381" s="715" t="s">
        <v>11</v>
      </c>
      <c r="D2381" s="716">
        <v>35.21</v>
      </c>
    </row>
    <row r="2382" spans="1:4" ht="42">
      <c r="A2382" s="715">
        <v>93283</v>
      </c>
      <c r="B2382" s="633" t="s">
        <v>24828</v>
      </c>
      <c r="C2382" s="715" t="s">
        <v>11</v>
      </c>
      <c r="D2382" s="716">
        <v>99.64</v>
      </c>
    </row>
    <row r="2383" spans="1:4" ht="56">
      <c r="A2383" s="715">
        <v>93296</v>
      </c>
      <c r="B2383" s="633" t="s">
        <v>24832</v>
      </c>
      <c r="C2383" s="715" t="s">
        <v>11</v>
      </c>
      <c r="D2383" s="716">
        <v>14.19</v>
      </c>
    </row>
    <row r="2384" spans="1:4" ht="42">
      <c r="A2384" s="715">
        <v>93284</v>
      </c>
      <c r="B2384" s="633" t="s">
        <v>24829</v>
      </c>
      <c r="C2384" s="715" t="s">
        <v>11</v>
      </c>
      <c r="D2384" s="716">
        <v>35.119999999999997</v>
      </c>
    </row>
    <row r="2385" spans="1:4" ht="42">
      <c r="A2385" s="715">
        <v>93285</v>
      </c>
      <c r="B2385" s="633" t="s">
        <v>24830</v>
      </c>
      <c r="C2385" s="715" t="s">
        <v>11</v>
      </c>
      <c r="D2385" s="716">
        <v>160.16999999999999</v>
      </c>
    </row>
    <row r="2386" spans="1:4" ht="56">
      <c r="A2386" s="715">
        <v>93286</v>
      </c>
      <c r="B2386" s="633" t="s">
        <v>24831</v>
      </c>
      <c r="C2386" s="715" t="s">
        <v>11</v>
      </c>
      <c r="D2386" s="716">
        <v>11.18</v>
      </c>
    </row>
    <row r="2387" spans="1:4" ht="70">
      <c r="A2387" s="715">
        <v>104706</v>
      </c>
      <c r="B2387" s="633" t="s">
        <v>33330</v>
      </c>
      <c r="C2387" s="715" t="s">
        <v>11</v>
      </c>
      <c r="D2387" s="716">
        <v>0</v>
      </c>
    </row>
    <row r="2388" spans="1:4" ht="56">
      <c r="A2388" s="715">
        <v>104707</v>
      </c>
      <c r="B2388" s="633" t="s">
        <v>33331</v>
      </c>
      <c r="C2388" s="715" t="s">
        <v>11</v>
      </c>
      <c r="D2388" s="716">
        <v>0</v>
      </c>
    </row>
    <row r="2389" spans="1:4" ht="70">
      <c r="A2389" s="715">
        <v>104708</v>
      </c>
      <c r="B2389" s="633" t="s">
        <v>33332</v>
      </c>
      <c r="C2389" s="715" t="s">
        <v>11</v>
      </c>
      <c r="D2389" s="716">
        <v>0</v>
      </c>
    </row>
    <row r="2390" spans="1:4" ht="70">
      <c r="A2390" s="715">
        <v>104709</v>
      </c>
      <c r="B2390" s="633" t="s">
        <v>28035</v>
      </c>
      <c r="C2390" s="715" t="s">
        <v>11</v>
      </c>
      <c r="D2390" s="716">
        <v>1419.33</v>
      </c>
    </row>
    <row r="2391" spans="1:4" ht="56">
      <c r="A2391" s="715">
        <v>104903</v>
      </c>
      <c r="B2391" s="633" t="s">
        <v>33333</v>
      </c>
      <c r="C2391" s="715" t="s">
        <v>11</v>
      </c>
      <c r="D2391" s="716">
        <v>0</v>
      </c>
    </row>
    <row r="2392" spans="1:4" ht="56">
      <c r="A2392" s="715">
        <v>104904</v>
      </c>
      <c r="B2392" s="633" t="s">
        <v>33334</v>
      </c>
      <c r="C2392" s="715" t="s">
        <v>11</v>
      </c>
      <c r="D2392" s="716">
        <v>0</v>
      </c>
    </row>
    <row r="2393" spans="1:4" ht="56">
      <c r="A2393" s="715">
        <v>104905</v>
      </c>
      <c r="B2393" s="633" t="s">
        <v>33335</v>
      </c>
      <c r="C2393" s="715" t="s">
        <v>11</v>
      </c>
      <c r="D2393" s="716">
        <v>0</v>
      </c>
    </row>
    <row r="2394" spans="1:4" ht="56">
      <c r="A2394" s="715">
        <v>104906</v>
      </c>
      <c r="B2394" s="633" t="s">
        <v>28879</v>
      </c>
      <c r="C2394" s="715" t="s">
        <v>11</v>
      </c>
      <c r="D2394" s="716">
        <v>119.79</v>
      </c>
    </row>
    <row r="2395" spans="1:4" ht="42">
      <c r="A2395" s="715">
        <v>102846</v>
      </c>
      <c r="B2395" s="633" t="s">
        <v>33336</v>
      </c>
      <c r="C2395" s="715" t="s">
        <v>11</v>
      </c>
      <c r="D2395" s="716">
        <v>0</v>
      </c>
    </row>
    <row r="2396" spans="1:4" ht="28">
      <c r="A2396" s="715">
        <v>102847</v>
      </c>
      <c r="B2396" s="633" t="s">
        <v>33337</v>
      </c>
      <c r="C2396" s="715" t="s">
        <v>11</v>
      </c>
      <c r="D2396" s="716">
        <v>0</v>
      </c>
    </row>
    <row r="2397" spans="1:4" ht="42">
      <c r="A2397" s="715">
        <v>102848</v>
      </c>
      <c r="B2397" s="633" t="s">
        <v>33338</v>
      </c>
      <c r="C2397" s="715" t="s">
        <v>11</v>
      </c>
      <c r="D2397" s="716">
        <v>0</v>
      </c>
    </row>
    <row r="2398" spans="1:4" ht="42">
      <c r="A2398" s="715">
        <v>102849</v>
      </c>
      <c r="B2398" s="633" t="s">
        <v>24950</v>
      </c>
      <c r="C2398" s="715" t="s">
        <v>11</v>
      </c>
      <c r="D2398" s="716">
        <v>79.86</v>
      </c>
    </row>
    <row r="2399" spans="1:4" ht="42">
      <c r="A2399" s="715">
        <v>102852</v>
      </c>
      <c r="B2399" s="633" t="s">
        <v>33339</v>
      </c>
      <c r="C2399" s="715" t="s">
        <v>11</v>
      </c>
      <c r="D2399" s="716">
        <v>0</v>
      </c>
    </row>
    <row r="2400" spans="1:4" ht="42">
      <c r="A2400" s="715">
        <v>102853</v>
      </c>
      <c r="B2400" s="633" t="s">
        <v>33340</v>
      </c>
      <c r="C2400" s="715" t="s">
        <v>11</v>
      </c>
      <c r="D2400" s="716">
        <v>0</v>
      </c>
    </row>
    <row r="2401" spans="1:4" ht="42">
      <c r="A2401" s="715">
        <v>102854</v>
      </c>
      <c r="B2401" s="633" t="s">
        <v>33341</v>
      </c>
      <c r="C2401" s="715" t="s">
        <v>11</v>
      </c>
      <c r="D2401" s="716">
        <v>0</v>
      </c>
    </row>
    <row r="2402" spans="1:4" ht="42">
      <c r="A2402" s="715">
        <v>102855</v>
      </c>
      <c r="B2402" s="633" t="s">
        <v>24951</v>
      </c>
      <c r="C2402" s="715" t="s">
        <v>11</v>
      </c>
      <c r="D2402" s="716">
        <v>79.86</v>
      </c>
    </row>
    <row r="2403" spans="1:4" ht="70">
      <c r="A2403" s="715">
        <v>106242</v>
      </c>
      <c r="B2403" s="633" t="s">
        <v>42382</v>
      </c>
      <c r="C2403" s="715" t="s">
        <v>11</v>
      </c>
      <c r="D2403" s="716">
        <v>46.81</v>
      </c>
    </row>
    <row r="2404" spans="1:4" ht="70">
      <c r="A2404" s="715">
        <v>106245</v>
      </c>
      <c r="B2404" s="633" t="s">
        <v>42383</v>
      </c>
      <c r="C2404" s="715" t="s">
        <v>11</v>
      </c>
      <c r="D2404" s="716">
        <v>6.44</v>
      </c>
    </row>
    <row r="2405" spans="1:4" ht="70">
      <c r="A2405" s="715">
        <v>106243</v>
      </c>
      <c r="B2405" s="633" t="s">
        <v>42384</v>
      </c>
      <c r="C2405" s="715" t="s">
        <v>11</v>
      </c>
      <c r="D2405" s="716">
        <v>15.88</v>
      </c>
    </row>
    <row r="2406" spans="1:4" ht="70">
      <c r="A2406" s="715">
        <v>106244</v>
      </c>
      <c r="B2406" s="633" t="s">
        <v>42385</v>
      </c>
      <c r="C2406" s="715" t="s">
        <v>11</v>
      </c>
      <c r="D2406" s="716">
        <v>73.66</v>
      </c>
    </row>
    <row r="2407" spans="1:4" ht="70">
      <c r="A2407" s="715">
        <v>106246</v>
      </c>
      <c r="B2407" s="633" t="s">
        <v>42386</v>
      </c>
      <c r="C2407" s="715" t="s">
        <v>11</v>
      </c>
      <c r="D2407" s="716">
        <v>191.51</v>
      </c>
    </row>
    <row r="2408" spans="1:4" ht="70">
      <c r="A2408" s="715">
        <v>93397</v>
      </c>
      <c r="B2408" s="633" t="s">
        <v>24833</v>
      </c>
      <c r="C2408" s="715" t="s">
        <v>11</v>
      </c>
      <c r="D2408" s="716">
        <v>25.92</v>
      </c>
    </row>
    <row r="2409" spans="1:4" ht="70">
      <c r="A2409" s="715">
        <v>93399</v>
      </c>
      <c r="B2409" s="633" t="s">
        <v>28871</v>
      </c>
      <c r="C2409" s="715" t="s">
        <v>11</v>
      </c>
      <c r="D2409" s="716">
        <v>3.96</v>
      </c>
    </row>
    <row r="2410" spans="1:4" ht="70">
      <c r="A2410" s="715">
        <v>93398</v>
      </c>
      <c r="B2410" s="633" t="s">
        <v>24834</v>
      </c>
      <c r="C2410" s="715" t="s">
        <v>11</v>
      </c>
      <c r="D2410" s="716">
        <v>9.81</v>
      </c>
    </row>
    <row r="2411" spans="1:4" ht="70">
      <c r="A2411" s="715">
        <v>93400</v>
      </c>
      <c r="B2411" s="633" t="s">
        <v>24835</v>
      </c>
      <c r="C2411" s="715" t="s">
        <v>11</v>
      </c>
      <c r="D2411" s="716">
        <v>45.07</v>
      </c>
    </row>
    <row r="2412" spans="1:4" ht="70">
      <c r="A2412" s="715">
        <v>93401</v>
      </c>
      <c r="B2412" s="633" t="s">
        <v>24836</v>
      </c>
      <c r="C2412" s="715" t="s">
        <v>11</v>
      </c>
      <c r="D2412" s="716">
        <v>191.88</v>
      </c>
    </row>
    <row r="2413" spans="1:4" ht="70">
      <c r="A2413" s="715">
        <v>89259</v>
      </c>
      <c r="B2413" s="633" t="s">
        <v>24620</v>
      </c>
      <c r="C2413" s="715" t="s">
        <v>11</v>
      </c>
      <c r="D2413" s="716">
        <v>28.21</v>
      </c>
    </row>
    <row r="2414" spans="1:4" ht="70">
      <c r="A2414" s="715">
        <v>91466</v>
      </c>
      <c r="B2414" s="633" t="s">
        <v>24755</v>
      </c>
      <c r="C2414" s="715" t="s">
        <v>11</v>
      </c>
      <c r="D2414" s="716">
        <v>4.2</v>
      </c>
    </row>
    <row r="2415" spans="1:4" ht="70">
      <c r="A2415" s="715">
        <v>89260</v>
      </c>
      <c r="B2415" s="633" t="s">
        <v>24621</v>
      </c>
      <c r="C2415" s="715" t="s">
        <v>11</v>
      </c>
      <c r="D2415" s="716">
        <v>10.41</v>
      </c>
    </row>
    <row r="2416" spans="1:4" ht="70">
      <c r="A2416" s="715">
        <v>89262</v>
      </c>
      <c r="B2416" s="633" t="s">
        <v>24622</v>
      </c>
      <c r="C2416" s="715" t="s">
        <v>11</v>
      </c>
      <c r="D2416" s="716">
        <v>47.93</v>
      </c>
    </row>
    <row r="2417" spans="1:4" ht="70">
      <c r="A2417" s="715">
        <v>91467</v>
      </c>
      <c r="B2417" s="633" t="s">
        <v>24756</v>
      </c>
      <c r="C2417" s="715" t="s">
        <v>11</v>
      </c>
      <c r="D2417" s="716">
        <v>191.88</v>
      </c>
    </row>
    <row r="2418" spans="1:4" ht="84">
      <c r="A2418" s="715">
        <v>105839</v>
      </c>
      <c r="B2418" s="633" t="s">
        <v>33342</v>
      </c>
      <c r="C2418" s="715" t="s">
        <v>11</v>
      </c>
      <c r="D2418" s="716">
        <v>0</v>
      </c>
    </row>
    <row r="2419" spans="1:4" ht="84">
      <c r="A2419" s="715">
        <v>105842</v>
      </c>
      <c r="B2419" s="633" t="s">
        <v>33343</v>
      </c>
      <c r="C2419" s="715" t="s">
        <v>11</v>
      </c>
      <c r="D2419" s="716">
        <v>0</v>
      </c>
    </row>
    <row r="2420" spans="1:4" ht="84">
      <c r="A2420" s="715">
        <v>105840</v>
      </c>
      <c r="B2420" s="633" t="s">
        <v>33344</v>
      </c>
      <c r="C2420" s="715" t="s">
        <v>11</v>
      </c>
      <c r="D2420" s="716">
        <v>0</v>
      </c>
    </row>
    <row r="2421" spans="1:4" ht="84">
      <c r="A2421" s="715">
        <v>105841</v>
      </c>
      <c r="B2421" s="633" t="s">
        <v>33345</v>
      </c>
      <c r="C2421" s="715" t="s">
        <v>11</v>
      </c>
      <c r="D2421" s="716">
        <v>0</v>
      </c>
    </row>
    <row r="2422" spans="1:4" ht="84">
      <c r="A2422" s="715">
        <v>105843</v>
      </c>
      <c r="B2422" s="633" t="s">
        <v>33346</v>
      </c>
      <c r="C2422" s="715" t="s">
        <v>11</v>
      </c>
      <c r="D2422" s="716">
        <v>100.98</v>
      </c>
    </row>
    <row r="2423" spans="1:4" ht="70">
      <c r="A2423" s="715">
        <v>91629</v>
      </c>
      <c r="B2423" s="633" t="s">
        <v>24761</v>
      </c>
      <c r="C2423" s="715" t="s">
        <v>11</v>
      </c>
      <c r="D2423" s="716">
        <v>22.37</v>
      </c>
    </row>
    <row r="2424" spans="1:4" ht="70">
      <c r="A2424" s="715">
        <v>91631</v>
      </c>
      <c r="B2424" s="633" t="s">
        <v>24763</v>
      </c>
      <c r="C2424" s="715" t="s">
        <v>11</v>
      </c>
      <c r="D2424" s="716">
        <v>3.37</v>
      </c>
    </row>
    <row r="2425" spans="1:4" ht="70">
      <c r="A2425" s="715">
        <v>91630</v>
      </c>
      <c r="B2425" s="633" t="s">
        <v>24762</v>
      </c>
      <c r="C2425" s="715" t="s">
        <v>11</v>
      </c>
      <c r="D2425" s="716">
        <v>8.35</v>
      </c>
    </row>
    <row r="2426" spans="1:4" ht="70">
      <c r="A2426" s="715">
        <v>91632</v>
      </c>
      <c r="B2426" s="633" t="s">
        <v>24764</v>
      </c>
      <c r="C2426" s="715" t="s">
        <v>11</v>
      </c>
      <c r="D2426" s="716">
        <v>38.43</v>
      </c>
    </row>
    <row r="2427" spans="1:4" ht="70">
      <c r="A2427" s="715">
        <v>91633</v>
      </c>
      <c r="B2427" s="633" t="s">
        <v>24765</v>
      </c>
      <c r="C2427" s="715" t="s">
        <v>11</v>
      </c>
      <c r="D2427" s="716">
        <v>162.4</v>
      </c>
    </row>
    <row r="2428" spans="1:4" ht="84">
      <c r="A2428" s="715">
        <v>105979</v>
      </c>
      <c r="B2428" s="633" t="s">
        <v>40272</v>
      </c>
      <c r="C2428" s="715" t="s">
        <v>11</v>
      </c>
      <c r="D2428" s="716">
        <v>44.81</v>
      </c>
    </row>
    <row r="2429" spans="1:4" ht="84">
      <c r="A2429" s="715">
        <v>105982</v>
      </c>
      <c r="B2429" s="633" t="s">
        <v>40273</v>
      </c>
      <c r="C2429" s="715" t="s">
        <v>11</v>
      </c>
      <c r="D2429" s="716">
        <v>6.22</v>
      </c>
    </row>
    <row r="2430" spans="1:4" ht="84">
      <c r="A2430" s="715">
        <v>105980</v>
      </c>
      <c r="B2430" s="633" t="s">
        <v>40274</v>
      </c>
      <c r="C2430" s="715" t="s">
        <v>11</v>
      </c>
      <c r="D2430" s="716">
        <v>15.36</v>
      </c>
    </row>
    <row r="2431" spans="1:4" ht="84">
      <c r="A2431" s="715">
        <v>105981</v>
      </c>
      <c r="B2431" s="633" t="s">
        <v>40275</v>
      </c>
      <c r="C2431" s="715" t="s">
        <v>11</v>
      </c>
      <c r="D2431" s="716">
        <v>71.17</v>
      </c>
    </row>
    <row r="2432" spans="1:4" ht="84">
      <c r="A2432" s="715">
        <v>105983</v>
      </c>
      <c r="B2432" s="633" t="s">
        <v>40276</v>
      </c>
      <c r="C2432" s="715" t="s">
        <v>11</v>
      </c>
      <c r="D2432" s="716">
        <v>191.51</v>
      </c>
    </row>
    <row r="2433" spans="1:4" ht="70">
      <c r="A2433" s="715">
        <v>98760</v>
      </c>
      <c r="B2433" s="633" t="s">
        <v>41101</v>
      </c>
      <c r="C2433" s="715" t="s">
        <v>11</v>
      </c>
      <c r="D2433" s="716">
        <v>0.06</v>
      </c>
    </row>
    <row r="2434" spans="1:4" ht="56">
      <c r="A2434" s="715">
        <v>98761</v>
      </c>
      <c r="B2434" s="633" t="s">
        <v>41102</v>
      </c>
      <c r="C2434" s="715" t="s">
        <v>11</v>
      </c>
      <c r="D2434" s="716">
        <v>0.01</v>
      </c>
    </row>
    <row r="2435" spans="1:4" ht="70">
      <c r="A2435" s="715">
        <v>98762</v>
      </c>
      <c r="B2435" s="633" t="s">
        <v>41103</v>
      </c>
      <c r="C2435" s="715" t="s">
        <v>11</v>
      </c>
      <c r="D2435" s="716">
        <v>7.0000000000000007E-2</v>
      </c>
    </row>
    <row r="2436" spans="1:4" ht="70">
      <c r="A2436" s="715">
        <v>98763</v>
      </c>
      <c r="B2436" s="633" t="s">
        <v>41104</v>
      </c>
      <c r="C2436" s="715" t="s">
        <v>11</v>
      </c>
      <c r="D2436" s="716">
        <v>5.1100000000000003</v>
      </c>
    </row>
    <row r="2437" spans="1:4" ht="56">
      <c r="A2437" s="715">
        <v>99829</v>
      </c>
      <c r="B2437" s="633" t="s">
        <v>24930</v>
      </c>
      <c r="C2437" s="715" t="s">
        <v>11</v>
      </c>
      <c r="D2437" s="716">
        <v>0.16</v>
      </c>
    </row>
    <row r="2438" spans="1:4" ht="56">
      <c r="A2438" s="715">
        <v>99830</v>
      </c>
      <c r="B2438" s="633" t="s">
        <v>24931</v>
      </c>
      <c r="C2438" s="715" t="s">
        <v>11</v>
      </c>
      <c r="D2438" s="716">
        <v>0.03</v>
      </c>
    </row>
    <row r="2439" spans="1:4" ht="56">
      <c r="A2439" s="715">
        <v>99831</v>
      </c>
      <c r="B2439" s="633" t="s">
        <v>24932</v>
      </c>
      <c r="C2439" s="715" t="s">
        <v>11</v>
      </c>
      <c r="D2439" s="716">
        <v>0.11</v>
      </c>
    </row>
    <row r="2440" spans="1:4" ht="56">
      <c r="A2440" s="715">
        <v>99832</v>
      </c>
      <c r="B2440" s="633" t="s">
        <v>24933</v>
      </c>
      <c r="C2440" s="715" t="s">
        <v>11</v>
      </c>
      <c r="D2440" s="716">
        <v>3.8</v>
      </c>
    </row>
    <row r="2441" spans="1:4" ht="56">
      <c r="A2441" s="715">
        <v>104516</v>
      </c>
      <c r="B2441" s="633" t="s">
        <v>33347</v>
      </c>
      <c r="C2441" s="715" t="s">
        <v>11</v>
      </c>
      <c r="D2441" s="716">
        <v>0</v>
      </c>
    </row>
    <row r="2442" spans="1:4" ht="42">
      <c r="A2442" s="715">
        <v>104517</v>
      </c>
      <c r="B2442" s="633" t="s">
        <v>33348</v>
      </c>
      <c r="C2442" s="715" t="s">
        <v>11</v>
      </c>
      <c r="D2442" s="716">
        <v>0</v>
      </c>
    </row>
    <row r="2443" spans="1:4" ht="42">
      <c r="A2443" s="715">
        <v>104518</v>
      </c>
      <c r="B2443" s="633" t="s">
        <v>33349</v>
      </c>
      <c r="C2443" s="715" t="s">
        <v>11</v>
      </c>
      <c r="D2443" s="716">
        <v>0</v>
      </c>
    </row>
    <row r="2444" spans="1:4" ht="56">
      <c r="A2444" s="715">
        <v>104519</v>
      </c>
      <c r="B2444" s="633" t="s">
        <v>24987</v>
      </c>
      <c r="C2444" s="715" t="s">
        <v>11</v>
      </c>
      <c r="D2444" s="716">
        <v>0.55000000000000004</v>
      </c>
    </row>
    <row r="2445" spans="1:4" ht="42">
      <c r="A2445" s="715">
        <v>90682</v>
      </c>
      <c r="B2445" s="633" t="s">
        <v>24691</v>
      </c>
      <c r="C2445" s="715" t="s">
        <v>11</v>
      </c>
      <c r="D2445" s="716">
        <v>37.54</v>
      </c>
    </row>
    <row r="2446" spans="1:4" ht="42">
      <c r="A2446" s="715">
        <v>90683</v>
      </c>
      <c r="B2446" s="633" t="s">
        <v>24692</v>
      </c>
      <c r="C2446" s="715" t="s">
        <v>11</v>
      </c>
      <c r="D2446" s="716">
        <v>8.68</v>
      </c>
    </row>
    <row r="2447" spans="1:4" ht="42">
      <c r="A2447" s="715">
        <v>90684</v>
      </c>
      <c r="B2447" s="633" t="s">
        <v>24693</v>
      </c>
      <c r="C2447" s="715" t="s">
        <v>11</v>
      </c>
      <c r="D2447" s="716">
        <v>41.06</v>
      </c>
    </row>
    <row r="2448" spans="1:4" ht="56">
      <c r="A2448" s="715">
        <v>90685</v>
      </c>
      <c r="B2448" s="633" t="s">
        <v>24694</v>
      </c>
      <c r="C2448" s="715" t="s">
        <v>11</v>
      </c>
      <c r="D2448" s="716">
        <v>69.040000000000006</v>
      </c>
    </row>
    <row r="2449" spans="1:4" ht="28">
      <c r="A2449" s="715">
        <v>95114</v>
      </c>
      <c r="B2449" s="633" t="s">
        <v>24857</v>
      </c>
      <c r="C2449" s="715" t="s">
        <v>11</v>
      </c>
      <c r="D2449" s="716">
        <v>0.39</v>
      </c>
    </row>
    <row r="2450" spans="1:4" ht="28">
      <c r="A2450" s="715">
        <v>95115</v>
      </c>
      <c r="B2450" s="633" t="s">
        <v>24858</v>
      </c>
      <c r="C2450" s="715" t="s">
        <v>11</v>
      </c>
      <c r="D2450" s="716">
        <v>0.09</v>
      </c>
    </row>
    <row r="2451" spans="1:4" ht="28">
      <c r="A2451" s="715">
        <v>53863</v>
      </c>
      <c r="B2451" s="633" t="s">
        <v>24507</v>
      </c>
      <c r="C2451" s="715" t="s">
        <v>11</v>
      </c>
      <c r="D2451" s="716">
        <v>0.49</v>
      </c>
    </row>
    <row r="2452" spans="1:4" ht="28">
      <c r="A2452" s="715">
        <v>104652</v>
      </c>
      <c r="B2452" s="633" t="s">
        <v>33350</v>
      </c>
      <c r="C2452" s="715" t="s">
        <v>11</v>
      </c>
      <c r="D2452" s="716">
        <v>0</v>
      </c>
    </row>
    <row r="2453" spans="1:4" ht="28">
      <c r="A2453" s="715">
        <v>104653</v>
      </c>
      <c r="B2453" s="633" t="s">
        <v>33351</v>
      </c>
      <c r="C2453" s="715" t="s">
        <v>11</v>
      </c>
      <c r="D2453" s="716">
        <v>0</v>
      </c>
    </row>
    <row r="2454" spans="1:4" ht="28">
      <c r="A2454" s="715">
        <v>104654</v>
      </c>
      <c r="B2454" s="633" t="s">
        <v>33352</v>
      </c>
      <c r="C2454" s="715" t="s">
        <v>11</v>
      </c>
      <c r="D2454" s="716">
        <v>0</v>
      </c>
    </row>
    <row r="2455" spans="1:4" ht="42">
      <c r="A2455" s="715">
        <v>104655</v>
      </c>
      <c r="B2455" s="633" t="s">
        <v>24988</v>
      </c>
      <c r="C2455" s="715" t="s">
        <v>11</v>
      </c>
      <c r="D2455" s="716">
        <v>0.57999999999999996</v>
      </c>
    </row>
    <row r="2456" spans="1:4" ht="42">
      <c r="A2456" s="715">
        <v>102270</v>
      </c>
      <c r="B2456" s="633" t="s">
        <v>24942</v>
      </c>
      <c r="C2456" s="715" t="s">
        <v>11</v>
      </c>
      <c r="D2456" s="716">
        <v>0.66</v>
      </c>
    </row>
    <row r="2457" spans="1:4" ht="42">
      <c r="A2457" s="715">
        <v>102271</v>
      </c>
      <c r="B2457" s="633" t="s">
        <v>24943</v>
      </c>
      <c r="C2457" s="715" t="s">
        <v>11</v>
      </c>
      <c r="D2457" s="716">
        <v>0.15</v>
      </c>
    </row>
    <row r="2458" spans="1:4" ht="42">
      <c r="A2458" s="715">
        <v>102272</v>
      </c>
      <c r="B2458" s="633" t="s">
        <v>24944</v>
      </c>
      <c r="C2458" s="715" t="s">
        <v>11</v>
      </c>
      <c r="D2458" s="716">
        <v>0.83</v>
      </c>
    </row>
    <row r="2459" spans="1:4" ht="42">
      <c r="A2459" s="715">
        <v>102273</v>
      </c>
      <c r="B2459" s="633" t="s">
        <v>24945</v>
      </c>
      <c r="C2459" s="715" t="s">
        <v>11</v>
      </c>
      <c r="D2459" s="716">
        <v>1.46</v>
      </c>
    </row>
    <row r="2460" spans="1:4" ht="28">
      <c r="A2460" s="715">
        <v>95255</v>
      </c>
      <c r="B2460" s="633" t="s">
        <v>24875</v>
      </c>
      <c r="C2460" s="715" t="s">
        <v>11</v>
      </c>
      <c r="D2460" s="716">
        <v>0.79</v>
      </c>
    </row>
    <row r="2461" spans="1:4" ht="28">
      <c r="A2461" s="715">
        <v>95256</v>
      </c>
      <c r="B2461" s="633" t="s">
        <v>24876</v>
      </c>
      <c r="C2461" s="715" t="s">
        <v>11</v>
      </c>
      <c r="D2461" s="716">
        <v>0.18</v>
      </c>
    </row>
    <row r="2462" spans="1:4" ht="28">
      <c r="A2462" s="715">
        <v>95257</v>
      </c>
      <c r="B2462" s="633" t="s">
        <v>24877</v>
      </c>
      <c r="C2462" s="715" t="s">
        <v>11</v>
      </c>
      <c r="D2462" s="716">
        <v>0.99</v>
      </c>
    </row>
    <row r="2463" spans="1:4" ht="28">
      <c r="A2463" s="715">
        <v>105913</v>
      </c>
      <c r="B2463" s="633" t="s">
        <v>33353</v>
      </c>
      <c r="C2463" s="715" t="s">
        <v>11</v>
      </c>
      <c r="D2463" s="716">
        <v>0.67</v>
      </c>
    </row>
    <row r="2464" spans="1:4" ht="28">
      <c r="A2464" s="715">
        <v>105914</v>
      </c>
      <c r="B2464" s="633" t="s">
        <v>33354</v>
      </c>
      <c r="C2464" s="715" t="s">
        <v>11</v>
      </c>
      <c r="D2464" s="716">
        <v>0.15</v>
      </c>
    </row>
    <row r="2465" spans="1:4" ht="28">
      <c r="A2465" s="715">
        <v>105915</v>
      </c>
      <c r="B2465" s="633" t="s">
        <v>33355</v>
      </c>
      <c r="C2465" s="715" t="s">
        <v>11</v>
      </c>
      <c r="D2465" s="716">
        <v>0.84</v>
      </c>
    </row>
    <row r="2466" spans="1:4" ht="84">
      <c r="A2466" s="715">
        <v>103792</v>
      </c>
      <c r="B2466" s="633" t="s">
        <v>28878</v>
      </c>
      <c r="C2466" s="715" t="s">
        <v>11</v>
      </c>
      <c r="D2466" s="716">
        <v>4.0199999999999996</v>
      </c>
    </row>
    <row r="2467" spans="1:4" ht="84">
      <c r="A2467" s="715">
        <v>103789</v>
      </c>
      <c r="B2467" s="633" t="s">
        <v>33356</v>
      </c>
      <c r="C2467" s="715" t="s">
        <v>11</v>
      </c>
      <c r="D2467" s="716">
        <v>0</v>
      </c>
    </row>
    <row r="2468" spans="1:4" ht="84">
      <c r="A2468" s="715">
        <v>103790</v>
      </c>
      <c r="B2468" s="633" t="s">
        <v>33357</v>
      </c>
      <c r="C2468" s="715" t="s">
        <v>11</v>
      </c>
      <c r="D2468" s="716">
        <v>0</v>
      </c>
    </row>
    <row r="2469" spans="1:4" ht="84">
      <c r="A2469" s="715">
        <v>103791</v>
      </c>
      <c r="B2469" s="633" t="s">
        <v>33358</v>
      </c>
      <c r="C2469" s="715" t="s">
        <v>11</v>
      </c>
      <c r="D2469" s="716">
        <v>0</v>
      </c>
    </row>
    <row r="2470" spans="1:4" ht="42">
      <c r="A2470" s="715">
        <v>96054</v>
      </c>
      <c r="B2470" s="633" t="s">
        <v>24922</v>
      </c>
      <c r="C2470" s="715" t="s">
        <v>11</v>
      </c>
      <c r="D2470" s="716">
        <v>32.729999999999997</v>
      </c>
    </row>
    <row r="2471" spans="1:4" ht="42">
      <c r="A2471" s="715">
        <v>96060</v>
      </c>
      <c r="B2471" s="633" t="s">
        <v>24926</v>
      </c>
      <c r="C2471" s="715" t="s">
        <v>11</v>
      </c>
      <c r="D2471" s="716">
        <v>6.72</v>
      </c>
    </row>
    <row r="2472" spans="1:4" ht="42">
      <c r="A2472" s="715">
        <v>96061</v>
      </c>
      <c r="B2472" s="633" t="s">
        <v>24927</v>
      </c>
      <c r="C2472" s="715" t="s">
        <v>11</v>
      </c>
      <c r="D2472" s="716">
        <v>40.92</v>
      </c>
    </row>
    <row r="2473" spans="1:4" ht="56">
      <c r="A2473" s="715">
        <v>96062</v>
      </c>
      <c r="B2473" s="633" t="s">
        <v>24928</v>
      </c>
      <c r="C2473" s="715" t="s">
        <v>11</v>
      </c>
      <c r="D2473" s="716">
        <v>48.35</v>
      </c>
    </row>
    <row r="2474" spans="1:4" ht="42">
      <c r="A2474" s="715">
        <v>90688</v>
      </c>
      <c r="B2474" s="633" t="s">
        <v>24695</v>
      </c>
      <c r="C2474" s="715" t="s">
        <v>11</v>
      </c>
      <c r="D2474" s="716">
        <v>28.8</v>
      </c>
    </row>
    <row r="2475" spans="1:4" ht="42">
      <c r="A2475" s="715">
        <v>90689</v>
      </c>
      <c r="B2475" s="633" t="s">
        <v>24696</v>
      </c>
      <c r="C2475" s="715" t="s">
        <v>11</v>
      </c>
      <c r="D2475" s="716">
        <v>5.68</v>
      </c>
    </row>
    <row r="2476" spans="1:4" ht="42">
      <c r="A2476" s="715">
        <v>90690</v>
      </c>
      <c r="B2476" s="633" t="s">
        <v>24697</v>
      </c>
      <c r="C2476" s="715" t="s">
        <v>11</v>
      </c>
      <c r="D2476" s="716">
        <v>36</v>
      </c>
    </row>
    <row r="2477" spans="1:4" ht="56">
      <c r="A2477" s="715">
        <v>90691</v>
      </c>
      <c r="B2477" s="633" t="s">
        <v>24698</v>
      </c>
      <c r="C2477" s="715" t="s">
        <v>11</v>
      </c>
      <c r="D2477" s="716">
        <v>48.35</v>
      </c>
    </row>
    <row r="2478" spans="1:4" ht="42">
      <c r="A2478" s="715">
        <v>96241</v>
      </c>
      <c r="B2478" s="633" t="s">
        <v>30047</v>
      </c>
      <c r="C2478" s="715" t="s">
        <v>11</v>
      </c>
      <c r="D2478" s="716">
        <v>30.6</v>
      </c>
    </row>
    <row r="2479" spans="1:4" ht="42">
      <c r="A2479" s="715">
        <v>96242</v>
      </c>
      <c r="B2479" s="633" t="s">
        <v>30048</v>
      </c>
      <c r="C2479" s="715" t="s">
        <v>11</v>
      </c>
      <c r="D2479" s="716">
        <v>8.08</v>
      </c>
    </row>
    <row r="2480" spans="1:4" ht="42">
      <c r="A2480" s="715">
        <v>96243</v>
      </c>
      <c r="B2480" s="633" t="s">
        <v>30049</v>
      </c>
      <c r="C2480" s="715" t="s">
        <v>11</v>
      </c>
      <c r="D2480" s="716">
        <v>38.25</v>
      </c>
    </row>
    <row r="2481" spans="1:4" ht="42">
      <c r="A2481" s="715">
        <v>96244</v>
      </c>
      <c r="B2481" s="633" t="s">
        <v>30050</v>
      </c>
      <c r="C2481" s="715" t="s">
        <v>11</v>
      </c>
      <c r="D2481" s="716">
        <v>21.12</v>
      </c>
    </row>
    <row r="2482" spans="1:4" ht="42">
      <c r="A2482" s="715">
        <v>88400</v>
      </c>
      <c r="B2482" s="633" t="s">
        <v>24536</v>
      </c>
      <c r="C2482" s="715" t="s">
        <v>11</v>
      </c>
      <c r="D2482" s="716">
        <v>0.83</v>
      </c>
    </row>
    <row r="2483" spans="1:4" ht="42">
      <c r="A2483" s="715">
        <v>88401</v>
      </c>
      <c r="B2483" s="633" t="s">
        <v>24537</v>
      </c>
      <c r="C2483" s="715" t="s">
        <v>11</v>
      </c>
      <c r="D2483" s="716">
        <v>0.19</v>
      </c>
    </row>
    <row r="2484" spans="1:4" ht="42">
      <c r="A2484" s="715">
        <v>88402</v>
      </c>
      <c r="B2484" s="633" t="s">
        <v>24538</v>
      </c>
      <c r="C2484" s="715" t="s">
        <v>11</v>
      </c>
      <c r="D2484" s="716">
        <v>0.91</v>
      </c>
    </row>
    <row r="2485" spans="1:4" ht="56">
      <c r="A2485" s="715">
        <v>88403</v>
      </c>
      <c r="B2485" s="633" t="s">
        <v>24539</v>
      </c>
      <c r="C2485" s="715" t="s">
        <v>11</v>
      </c>
      <c r="D2485" s="716">
        <v>1.61</v>
      </c>
    </row>
    <row r="2486" spans="1:4" ht="42">
      <c r="A2486" s="715">
        <v>88387</v>
      </c>
      <c r="B2486" s="633" t="s">
        <v>24528</v>
      </c>
      <c r="C2486" s="715" t="s">
        <v>11</v>
      </c>
      <c r="D2486" s="716">
        <v>0.88</v>
      </c>
    </row>
    <row r="2487" spans="1:4" ht="42">
      <c r="A2487" s="715">
        <v>88389</v>
      </c>
      <c r="B2487" s="633" t="s">
        <v>24529</v>
      </c>
      <c r="C2487" s="715" t="s">
        <v>11</v>
      </c>
      <c r="D2487" s="716">
        <v>0.2</v>
      </c>
    </row>
    <row r="2488" spans="1:4" ht="42">
      <c r="A2488" s="715">
        <v>88390</v>
      </c>
      <c r="B2488" s="633" t="s">
        <v>24530</v>
      </c>
      <c r="C2488" s="715" t="s">
        <v>11</v>
      </c>
      <c r="D2488" s="716">
        <v>0.96</v>
      </c>
    </row>
    <row r="2489" spans="1:4" ht="56">
      <c r="A2489" s="715">
        <v>88391</v>
      </c>
      <c r="B2489" s="633" t="s">
        <v>24531</v>
      </c>
      <c r="C2489" s="715" t="s">
        <v>11</v>
      </c>
      <c r="D2489" s="716">
        <v>2.69</v>
      </c>
    </row>
    <row r="2490" spans="1:4" ht="42">
      <c r="A2490" s="715">
        <v>88394</v>
      </c>
      <c r="B2490" s="633" t="s">
        <v>24532</v>
      </c>
      <c r="C2490" s="715" t="s">
        <v>11</v>
      </c>
      <c r="D2490" s="716">
        <v>1.05</v>
      </c>
    </row>
    <row r="2491" spans="1:4" ht="42">
      <c r="A2491" s="715">
        <v>88395</v>
      </c>
      <c r="B2491" s="633" t="s">
        <v>24533</v>
      </c>
      <c r="C2491" s="715" t="s">
        <v>11</v>
      </c>
      <c r="D2491" s="716">
        <v>0.24</v>
      </c>
    </row>
    <row r="2492" spans="1:4" ht="42">
      <c r="A2492" s="715">
        <v>88396</v>
      </c>
      <c r="B2492" s="633" t="s">
        <v>24534</v>
      </c>
      <c r="C2492" s="715" t="s">
        <v>11</v>
      </c>
      <c r="D2492" s="716">
        <v>1.1499999999999999</v>
      </c>
    </row>
    <row r="2493" spans="1:4" ht="56">
      <c r="A2493" s="715">
        <v>88397</v>
      </c>
      <c r="B2493" s="633" t="s">
        <v>24535</v>
      </c>
      <c r="C2493" s="715" t="s">
        <v>11</v>
      </c>
      <c r="D2493" s="716">
        <v>4.03</v>
      </c>
    </row>
    <row r="2494" spans="1:4" ht="70">
      <c r="A2494" s="715">
        <v>90633</v>
      </c>
      <c r="B2494" s="633" t="s">
        <v>24659</v>
      </c>
      <c r="C2494" s="715" t="s">
        <v>11</v>
      </c>
      <c r="D2494" s="716">
        <v>4.18</v>
      </c>
    </row>
    <row r="2495" spans="1:4" ht="56">
      <c r="A2495" s="715">
        <v>90634</v>
      </c>
      <c r="B2495" s="633" t="s">
        <v>24660</v>
      </c>
      <c r="C2495" s="715" t="s">
        <v>11</v>
      </c>
      <c r="D2495" s="716">
        <v>0.96</v>
      </c>
    </row>
    <row r="2496" spans="1:4" ht="70">
      <c r="A2496" s="715">
        <v>90635</v>
      </c>
      <c r="B2496" s="633" t="s">
        <v>24661</v>
      </c>
      <c r="C2496" s="715" t="s">
        <v>11</v>
      </c>
      <c r="D2496" s="716">
        <v>4.57</v>
      </c>
    </row>
    <row r="2497" spans="1:4" ht="70">
      <c r="A2497" s="715">
        <v>90636</v>
      </c>
      <c r="B2497" s="633" t="s">
        <v>24662</v>
      </c>
      <c r="C2497" s="715" t="s">
        <v>11</v>
      </c>
      <c r="D2497" s="716">
        <v>5.38</v>
      </c>
    </row>
    <row r="2498" spans="1:4" ht="56">
      <c r="A2498" s="715">
        <v>103238</v>
      </c>
      <c r="B2498" s="633" t="s">
        <v>33359</v>
      </c>
      <c r="C2498" s="715" t="s">
        <v>11</v>
      </c>
      <c r="D2498" s="716">
        <v>0</v>
      </c>
    </row>
    <row r="2499" spans="1:4" ht="56">
      <c r="A2499" s="715">
        <v>103239</v>
      </c>
      <c r="B2499" s="633" t="s">
        <v>33360</v>
      </c>
      <c r="C2499" s="715" t="s">
        <v>11</v>
      </c>
      <c r="D2499" s="716">
        <v>0</v>
      </c>
    </row>
    <row r="2500" spans="1:4" ht="56">
      <c r="A2500" s="715">
        <v>103240</v>
      </c>
      <c r="B2500" s="633" t="s">
        <v>33361</v>
      </c>
      <c r="C2500" s="715" t="s">
        <v>11</v>
      </c>
      <c r="D2500" s="716">
        <v>0</v>
      </c>
    </row>
    <row r="2501" spans="1:4" ht="70">
      <c r="A2501" s="715">
        <v>103241</v>
      </c>
      <c r="B2501" s="633" t="s">
        <v>24976</v>
      </c>
      <c r="C2501" s="715" t="s">
        <v>11</v>
      </c>
      <c r="D2501" s="716">
        <v>10.08</v>
      </c>
    </row>
    <row r="2502" spans="1:4" ht="56">
      <c r="A2502" s="715">
        <v>88853</v>
      </c>
      <c r="B2502" s="633" t="s">
        <v>24558</v>
      </c>
      <c r="C2502" s="715" t="s">
        <v>11</v>
      </c>
      <c r="D2502" s="716">
        <v>0.19</v>
      </c>
    </row>
    <row r="2503" spans="1:4" ht="56">
      <c r="A2503" s="715">
        <v>88854</v>
      </c>
      <c r="B2503" s="633" t="s">
        <v>24559</v>
      </c>
      <c r="C2503" s="715" t="s">
        <v>11</v>
      </c>
      <c r="D2503" s="716">
        <v>0.04</v>
      </c>
    </row>
    <row r="2504" spans="1:4" ht="56">
      <c r="A2504" s="715">
        <v>5692</v>
      </c>
      <c r="B2504" s="633" t="s">
        <v>24434</v>
      </c>
      <c r="C2504" s="715" t="s">
        <v>11</v>
      </c>
      <c r="D2504" s="716">
        <v>0.21</v>
      </c>
    </row>
    <row r="2505" spans="1:4" ht="56">
      <c r="A2505" s="715">
        <v>5693</v>
      </c>
      <c r="B2505" s="633" t="s">
        <v>24435</v>
      </c>
      <c r="C2505" s="715" t="s">
        <v>11</v>
      </c>
      <c r="D2505" s="716">
        <v>22.84</v>
      </c>
    </row>
    <row r="2506" spans="1:4" ht="70">
      <c r="A2506" s="715">
        <v>7044</v>
      </c>
      <c r="B2506" s="633" t="s">
        <v>24471</v>
      </c>
      <c r="C2506" s="715" t="s">
        <v>11</v>
      </c>
      <c r="D2506" s="716">
        <v>0.23</v>
      </c>
    </row>
    <row r="2507" spans="1:4" ht="70">
      <c r="A2507" s="715">
        <v>7045</v>
      </c>
      <c r="B2507" s="633" t="s">
        <v>24472</v>
      </c>
      <c r="C2507" s="715" t="s">
        <v>11</v>
      </c>
      <c r="D2507" s="716">
        <v>0.05</v>
      </c>
    </row>
    <row r="2508" spans="1:4" ht="70">
      <c r="A2508" s="715">
        <v>7046</v>
      </c>
      <c r="B2508" s="633" t="s">
        <v>24473</v>
      </c>
      <c r="C2508" s="715" t="s">
        <v>11</v>
      </c>
      <c r="D2508" s="716">
        <v>0.25</v>
      </c>
    </row>
    <row r="2509" spans="1:4" ht="70">
      <c r="A2509" s="715">
        <v>7047</v>
      </c>
      <c r="B2509" s="633" t="s">
        <v>24474</v>
      </c>
      <c r="C2509" s="715" t="s">
        <v>11</v>
      </c>
      <c r="D2509" s="716">
        <v>26.95</v>
      </c>
    </row>
    <row r="2510" spans="1:4" ht="56">
      <c r="A2510" s="715">
        <v>89228</v>
      </c>
      <c r="B2510" s="633" t="s">
        <v>24600</v>
      </c>
      <c r="C2510" s="715" t="s">
        <v>11</v>
      </c>
      <c r="D2510" s="716">
        <v>48</v>
      </c>
    </row>
    <row r="2511" spans="1:4" ht="42">
      <c r="A2511" s="715">
        <v>89229</v>
      </c>
      <c r="B2511" s="633" t="s">
        <v>24601</v>
      </c>
      <c r="C2511" s="715" t="s">
        <v>11</v>
      </c>
      <c r="D2511" s="716">
        <v>16.920000000000002</v>
      </c>
    </row>
    <row r="2512" spans="1:4" ht="56">
      <c r="A2512" s="715">
        <v>5779</v>
      </c>
      <c r="B2512" s="633" t="s">
        <v>24461</v>
      </c>
      <c r="C2512" s="715" t="s">
        <v>11</v>
      </c>
      <c r="D2512" s="716">
        <v>77.16</v>
      </c>
    </row>
    <row r="2513" spans="1:4" ht="56">
      <c r="A2513" s="715">
        <v>53849</v>
      </c>
      <c r="B2513" s="633" t="s">
        <v>24503</v>
      </c>
      <c r="C2513" s="715" t="s">
        <v>11</v>
      </c>
      <c r="D2513" s="716">
        <v>101.56</v>
      </c>
    </row>
    <row r="2514" spans="1:4" ht="42">
      <c r="A2514" s="715">
        <v>95129</v>
      </c>
      <c r="B2514" s="633" t="s">
        <v>24867</v>
      </c>
      <c r="C2514" s="715" t="s">
        <v>11</v>
      </c>
      <c r="D2514" s="716">
        <v>54.41</v>
      </c>
    </row>
    <row r="2515" spans="1:4" ht="42">
      <c r="A2515" s="715">
        <v>95130</v>
      </c>
      <c r="B2515" s="633" t="s">
        <v>24868</v>
      </c>
      <c r="C2515" s="715" t="s">
        <v>11</v>
      </c>
      <c r="D2515" s="716">
        <v>19.73</v>
      </c>
    </row>
    <row r="2516" spans="1:4" ht="42">
      <c r="A2516" s="715">
        <v>95131</v>
      </c>
      <c r="B2516" s="633" t="s">
        <v>24869</v>
      </c>
      <c r="C2516" s="715" t="s">
        <v>11</v>
      </c>
      <c r="D2516" s="716">
        <v>64.05</v>
      </c>
    </row>
    <row r="2517" spans="1:4" ht="42">
      <c r="A2517" s="715">
        <v>95132</v>
      </c>
      <c r="B2517" s="633" t="s">
        <v>24870</v>
      </c>
      <c r="C2517" s="715" t="s">
        <v>11</v>
      </c>
      <c r="D2517" s="716">
        <v>39.130000000000003</v>
      </c>
    </row>
    <row r="2518" spans="1:4" ht="42">
      <c r="A2518" s="715">
        <v>102982</v>
      </c>
      <c r="B2518" s="633" t="s">
        <v>33362</v>
      </c>
      <c r="C2518" s="715" t="s">
        <v>11</v>
      </c>
      <c r="D2518" s="716">
        <v>0</v>
      </c>
    </row>
    <row r="2519" spans="1:4" ht="42">
      <c r="A2519" s="715">
        <v>102983</v>
      </c>
      <c r="B2519" s="633" t="s">
        <v>33363</v>
      </c>
      <c r="C2519" s="715" t="s">
        <v>11</v>
      </c>
      <c r="D2519" s="716">
        <v>0</v>
      </c>
    </row>
    <row r="2520" spans="1:4" ht="42">
      <c r="A2520" s="715">
        <v>102984</v>
      </c>
      <c r="B2520" s="633" t="s">
        <v>33364</v>
      </c>
      <c r="C2520" s="715" t="s">
        <v>11</v>
      </c>
      <c r="D2520" s="716">
        <v>0</v>
      </c>
    </row>
    <row r="2521" spans="1:4" ht="42">
      <c r="A2521" s="715">
        <v>102985</v>
      </c>
      <c r="B2521" s="633" t="s">
        <v>24967</v>
      </c>
      <c r="C2521" s="715" t="s">
        <v>11</v>
      </c>
      <c r="D2521" s="716">
        <v>18.149999999999999</v>
      </c>
    </row>
    <row r="2522" spans="1:4" ht="42">
      <c r="A2522" s="715">
        <v>92956</v>
      </c>
      <c r="B2522" s="633" t="s">
        <v>24809</v>
      </c>
      <c r="C2522" s="715" t="s">
        <v>11</v>
      </c>
      <c r="D2522" s="716">
        <v>4.5599999999999996</v>
      </c>
    </row>
    <row r="2523" spans="1:4" ht="42">
      <c r="A2523" s="715">
        <v>92957</v>
      </c>
      <c r="B2523" s="633" t="s">
        <v>24810</v>
      </c>
      <c r="C2523" s="715" t="s">
        <v>11</v>
      </c>
      <c r="D2523" s="716">
        <v>1.05</v>
      </c>
    </row>
    <row r="2524" spans="1:4" ht="42">
      <c r="A2524" s="715">
        <v>92958</v>
      </c>
      <c r="B2524" s="633" t="s">
        <v>24811</v>
      </c>
      <c r="C2524" s="715" t="s">
        <v>11</v>
      </c>
      <c r="D2524" s="716">
        <v>4.99</v>
      </c>
    </row>
    <row r="2525" spans="1:4" ht="42">
      <c r="A2525" s="715">
        <v>92959</v>
      </c>
      <c r="B2525" s="633" t="s">
        <v>24812</v>
      </c>
      <c r="C2525" s="715" t="s">
        <v>11</v>
      </c>
      <c r="D2525" s="716">
        <v>11.25</v>
      </c>
    </row>
    <row r="2526" spans="1:4" ht="42">
      <c r="A2526" s="715">
        <v>102858</v>
      </c>
      <c r="B2526" s="633" t="s">
        <v>33365</v>
      </c>
      <c r="C2526" s="715" t="s">
        <v>11</v>
      </c>
      <c r="D2526" s="716">
        <v>0</v>
      </c>
    </row>
    <row r="2527" spans="1:4" ht="42">
      <c r="A2527" s="715">
        <v>102859</v>
      </c>
      <c r="B2527" s="633" t="s">
        <v>33366</v>
      </c>
      <c r="C2527" s="715" t="s">
        <v>11</v>
      </c>
      <c r="D2527" s="716">
        <v>0</v>
      </c>
    </row>
    <row r="2528" spans="1:4" ht="42">
      <c r="A2528" s="715">
        <v>102860</v>
      </c>
      <c r="B2528" s="633" t="s">
        <v>33367</v>
      </c>
      <c r="C2528" s="715" t="s">
        <v>11</v>
      </c>
      <c r="D2528" s="716">
        <v>0</v>
      </c>
    </row>
    <row r="2529" spans="1:4" ht="42">
      <c r="A2529" s="715">
        <v>102861</v>
      </c>
      <c r="B2529" s="633" t="s">
        <v>24952</v>
      </c>
      <c r="C2529" s="715" t="s">
        <v>11</v>
      </c>
      <c r="D2529" s="716">
        <v>1.07</v>
      </c>
    </row>
    <row r="2530" spans="1:4" ht="70">
      <c r="A2530" s="715">
        <v>93404</v>
      </c>
      <c r="B2530" s="633" t="s">
        <v>40277</v>
      </c>
      <c r="C2530" s="715" t="s">
        <v>11</v>
      </c>
      <c r="D2530" s="716">
        <v>7.75</v>
      </c>
    </row>
    <row r="2531" spans="1:4" ht="70">
      <c r="A2531" s="715">
        <v>93405</v>
      </c>
      <c r="B2531" s="633" t="s">
        <v>40278</v>
      </c>
      <c r="C2531" s="715" t="s">
        <v>11</v>
      </c>
      <c r="D2531" s="716">
        <v>1.98</v>
      </c>
    </row>
    <row r="2532" spans="1:4" ht="70">
      <c r="A2532" s="715">
        <v>93406</v>
      </c>
      <c r="B2532" s="633" t="s">
        <v>40279</v>
      </c>
      <c r="C2532" s="715" t="s">
        <v>11</v>
      </c>
      <c r="D2532" s="716">
        <v>9.3000000000000007</v>
      </c>
    </row>
    <row r="2533" spans="1:4" ht="70">
      <c r="A2533" s="715">
        <v>93407</v>
      </c>
      <c r="B2533" s="633" t="s">
        <v>40280</v>
      </c>
      <c r="C2533" s="715" t="s">
        <v>11</v>
      </c>
      <c r="D2533" s="716">
        <v>57.2</v>
      </c>
    </row>
    <row r="2534" spans="1:4" ht="28">
      <c r="A2534" s="715">
        <v>102936</v>
      </c>
      <c r="B2534" s="633" t="s">
        <v>33368</v>
      </c>
      <c r="C2534" s="715" t="s">
        <v>11</v>
      </c>
      <c r="D2534" s="716">
        <v>0</v>
      </c>
    </row>
    <row r="2535" spans="1:4" ht="28">
      <c r="A2535" s="715">
        <v>102937</v>
      </c>
      <c r="B2535" s="633" t="s">
        <v>33369</v>
      </c>
      <c r="C2535" s="715" t="s">
        <v>11</v>
      </c>
      <c r="D2535" s="716">
        <v>0</v>
      </c>
    </row>
    <row r="2536" spans="1:4" ht="28">
      <c r="A2536" s="715">
        <v>102938</v>
      </c>
      <c r="B2536" s="633" t="s">
        <v>33370</v>
      </c>
      <c r="C2536" s="715" t="s">
        <v>11</v>
      </c>
      <c r="D2536" s="716">
        <v>0</v>
      </c>
    </row>
    <row r="2537" spans="1:4" ht="28">
      <c r="A2537" s="715">
        <v>102939</v>
      </c>
      <c r="B2537" s="633" t="s">
        <v>24962</v>
      </c>
      <c r="C2537" s="715" t="s">
        <v>11</v>
      </c>
      <c r="D2537" s="716">
        <v>8.0399999999999991</v>
      </c>
    </row>
    <row r="2538" spans="1:4" ht="56">
      <c r="A2538" s="715">
        <v>103159</v>
      </c>
      <c r="B2538" s="633" t="s">
        <v>33371</v>
      </c>
      <c r="C2538" s="715" t="s">
        <v>11</v>
      </c>
      <c r="D2538" s="716">
        <v>0</v>
      </c>
    </row>
    <row r="2539" spans="1:4" ht="56">
      <c r="A2539" s="715">
        <v>103160</v>
      </c>
      <c r="B2539" s="633" t="s">
        <v>33372</v>
      </c>
      <c r="C2539" s="715" t="s">
        <v>11</v>
      </c>
      <c r="D2539" s="716">
        <v>0</v>
      </c>
    </row>
    <row r="2540" spans="1:4" ht="56">
      <c r="A2540" s="715">
        <v>103161</v>
      </c>
      <c r="B2540" s="633" t="s">
        <v>33373</v>
      </c>
      <c r="C2540" s="715" t="s">
        <v>11</v>
      </c>
      <c r="D2540" s="716">
        <v>0</v>
      </c>
    </row>
    <row r="2541" spans="1:4" ht="56">
      <c r="A2541" s="715">
        <v>103162</v>
      </c>
      <c r="B2541" s="633" t="s">
        <v>24969</v>
      </c>
      <c r="C2541" s="715" t="s">
        <v>11</v>
      </c>
      <c r="D2541" s="716">
        <v>0.56999999999999995</v>
      </c>
    </row>
    <row r="2542" spans="1:4" ht="56">
      <c r="A2542" s="715">
        <v>103153</v>
      </c>
      <c r="B2542" s="633" t="s">
        <v>33374</v>
      </c>
      <c r="C2542" s="715" t="s">
        <v>11</v>
      </c>
      <c r="D2542" s="716">
        <v>0</v>
      </c>
    </row>
    <row r="2543" spans="1:4" ht="56">
      <c r="A2543" s="715">
        <v>103154</v>
      </c>
      <c r="B2543" s="633" t="s">
        <v>33375</v>
      </c>
      <c r="C2543" s="715" t="s">
        <v>11</v>
      </c>
      <c r="D2543" s="716">
        <v>0</v>
      </c>
    </row>
    <row r="2544" spans="1:4" ht="56">
      <c r="A2544" s="715">
        <v>103155</v>
      </c>
      <c r="B2544" s="633" t="s">
        <v>33376</v>
      </c>
      <c r="C2544" s="715" t="s">
        <v>11</v>
      </c>
      <c r="D2544" s="716">
        <v>0</v>
      </c>
    </row>
    <row r="2545" spans="1:4" ht="70">
      <c r="A2545" s="715">
        <v>103156</v>
      </c>
      <c r="B2545" s="633" t="s">
        <v>24968</v>
      </c>
      <c r="C2545" s="715" t="s">
        <v>11</v>
      </c>
      <c r="D2545" s="716">
        <v>2.04</v>
      </c>
    </row>
    <row r="2546" spans="1:4" ht="56">
      <c r="A2546" s="715">
        <v>103171</v>
      </c>
      <c r="B2546" s="633" t="s">
        <v>33377</v>
      </c>
      <c r="C2546" s="715" t="s">
        <v>11</v>
      </c>
      <c r="D2546" s="716">
        <v>0</v>
      </c>
    </row>
    <row r="2547" spans="1:4" ht="56">
      <c r="A2547" s="715">
        <v>103172</v>
      </c>
      <c r="B2547" s="633" t="s">
        <v>33378</v>
      </c>
      <c r="C2547" s="715" t="s">
        <v>11</v>
      </c>
      <c r="D2547" s="716">
        <v>0</v>
      </c>
    </row>
    <row r="2548" spans="1:4" ht="56">
      <c r="A2548" s="715">
        <v>103173</v>
      </c>
      <c r="B2548" s="633" t="s">
        <v>33379</v>
      </c>
      <c r="C2548" s="715" t="s">
        <v>11</v>
      </c>
      <c r="D2548" s="716">
        <v>0</v>
      </c>
    </row>
    <row r="2549" spans="1:4" ht="70">
      <c r="A2549" s="715">
        <v>103174</v>
      </c>
      <c r="B2549" s="633" t="s">
        <v>24971</v>
      </c>
      <c r="C2549" s="715" t="s">
        <v>11</v>
      </c>
      <c r="D2549" s="716">
        <v>1.63</v>
      </c>
    </row>
    <row r="2550" spans="1:4" ht="70">
      <c r="A2550" s="715">
        <v>103177</v>
      </c>
      <c r="B2550" s="633" t="s">
        <v>33380</v>
      </c>
      <c r="C2550" s="715" t="s">
        <v>11</v>
      </c>
      <c r="D2550" s="716">
        <v>0</v>
      </c>
    </row>
    <row r="2551" spans="1:4" ht="70">
      <c r="A2551" s="715">
        <v>103178</v>
      </c>
      <c r="B2551" s="633" t="s">
        <v>33381</v>
      </c>
      <c r="C2551" s="715" t="s">
        <v>11</v>
      </c>
      <c r="D2551" s="716">
        <v>0</v>
      </c>
    </row>
    <row r="2552" spans="1:4" ht="70">
      <c r="A2552" s="715">
        <v>103179</v>
      </c>
      <c r="B2552" s="633" t="s">
        <v>33382</v>
      </c>
      <c r="C2552" s="715" t="s">
        <v>11</v>
      </c>
      <c r="D2552" s="716">
        <v>0</v>
      </c>
    </row>
    <row r="2553" spans="1:4" ht="70">
      <c r="A2553" s="715">
        <v>103180</v>
      </c>
      <c r="B2553" s="633" t="s">
        <v>24972</v>
      </c>
      <c r="C2553" s="715" t="s">
        <v>11</v>
      </c>
      <c r="D2553" s="716">
        <v>3.75</v>
      </c>
    </row>
    <row r="2554" spans="1:4" ht="56">
      <c r="A2554" s="715">
        <v>103165</v>
      </c>
      <c r="B2554" s="633" t="s">
        <v>33383</v>
      </c>
      <c r="C2554" s="715" t="s">
        <v>11</v>
      </c>
      <c r="D2554" s="716">
        <v>0</v>
      </c>
    </row>
    <row r="2555" spans="1:4" ht="56">
      <c r="A2555" s="715">
        <v>103166</v>
      </c>
      <c r="B2555" s="633" t="s">
        <v>33384</v>
      </c>
      <c r="C2555" s="715" t="s">
        <v>11</v>
      </c>
      <c r="D2555" s="716">
        <v>0</v>
      </c>
    </row>
    <row r="2556" spans="1:4" ht="56">
      <c r="A2556" s="715">
        <v>103167</v>
      </c>
      <c r="B2556" s="633" t="s">
        <v>33385</v>
      </c>
      <c r="C2556" s="715" t="s">
        <v>11</v>
      </c>
      <c r="D2556" s="716">
        <v>0</v>
      </c>
    </row>
    <row r="2557" spans="1:4" ht="70">
      <c r="A2557" s="715">
        <v>103168</v>
      </c>
      <c r="B2557" s="633" t="s">
        <v>24970</v>
      </c>
      <c r="C2557" s="715" t="s">
        <v>11</v>
      </c>
      <c r="D2557" s="716">
        <v>0.65</v>
      </c>
    </row>
    <row r="2558" spans="1:4" ht="42">
      <c r="A2558" s="715">
        <v>102864</v>
      </c>
      <c r="B2558" s="633" t="s">
        <v>33386</v>
      </c>
      <c r="C2558" s="715" t="s">
        <v>11</v>
      </c>
      <c r="D2558" s="716">
        <v>0</v>
      </c>
    </row>
    <row r="2559" spans="1:4" ht="42">
      <c r="A2559" s="715">
        <v>102865</v>
      </c>
      <c r="B2559" s="633" t="s">
        <v>33387</v>
      </c>
      <c r="C2559" s="715" t="s">
        <v>11</v>
      </c>
      <c r="D2559" s="716">
        <v>0</v>
      </c>
    </row>
    <row r="2560" spans="1:4" ht="42">
      <c r="A2560" s="715">
        <v>102866</v>
      </c>
      <c r="B2560" s="633" t="s">
        <v>33388</v>
      </c>
      <c r="C2560" s="715" t="s">
        <v>11</v>
      </c>
      <c r="D2560" s="716">
        <v>0</v>
      </c>
    </row>
    <row r="2561" spans="1:4" ht="42">
      <c r="A2561" s="715">
        <v>102867</v>
      </c>
      <c r="B2561" s="633" t="s">
        <v>24953</v>
      </c>
      <c r="C2561" s="715" t="s">
        <v>11</v>
      </c>
      <c r="D2561" s="716">
        <v>0.57999999999999996</v>
      </c>
    </row>
    <row r="2562" spans="1:4" ht="56">
      <c r="A2562" s="715">
        <v>106321</v>
      </c>
      <c r="B2562" s="633" t="s">
        <v>42387</v>
      </c>
      <c r="C2562" s="715" t="s">
        <v>11</v>
      </c>
      <c r="D2562" s="716">
        <v>0</v>
      </c>
    </row>
    <row r="2563" spans="1:4" ht="56">
      <c r="A2563" s="715">
        <v>106322</v>
      </c>
      <c r="B2563" s="633" t="s">
        <v>42388</v>
      </c>
      <c r="C2563" s="715" t="s">
        <v>11</v>
      </c>
      <c r="D2563" s="716">
        <v>0</v>
      </c>
    </row>
    <row r="2564" spans="1:4" ht="56">
      <c r="A2564" s="715">
        <v>106323</v>
      </c>
      <c r="B2564" s="633" t="s">
        <v>42389</v>
      </c>
      <c r="C2564" s="715" t="s">
        <v>11</v>
      </c>
      <c r="D2564" s="716">
        <v>0</v>
      </c>
    </row>
    <row r="2565" spans="1:4" ht="56">
      <c r="A2565" s="715">
        <v>106324</v>
      </c>
      <c r="B2565" s="633" t="s">
        <v>42390</v>
      </c>
      <c r="C2565" s="715" t="s">
        <v>11</v>
      </c>
      <c r="D2565" s="716">
        <v>0.54</v>
      </c>
    </row>
    <row r="2566" spans="1:4" ht="42">
      <c r="A2566" s="715">
        <v>92108</v>
      </c>
      <c r="B2566" s="633" t="s">
        <v>24783</v>
      </c>
      <c r="C2566" s="715" t="s">
        <v>11</v>
      </c>
      <c r="D2566" s="716">
        <v>0.97</v>
      </c>
    </row>
    <row r="2567" spans="1:4" ht="42">
      <c r="A2567" s="715">
        <v>92109</v>
      </c>
      <c r="B2567" s="633" t="s">
        <v>24784</v>
      </c>
      <c r="C2567" s="715" t="s">
        <v>11</v>
      </c>
      <c r="D2567" s="716">
        <v>0.22</v>
      </c>
    </row>
    <row r="2568" spans="1:4" ht="42">
      <c r="A2568" s="715">
        <v>92110</v>
      </c>
      <c r="B2568" s="633" t="s">
        <v>24785</v>
      </c>
      <c r="C2568" s="715" t="s">
        <v>11</v>
      </c>
      <c r="D2568" s="716">
        <v>1.22</v>
      </c>
    </row>
    <row r="2569" spans="1:4" ht="42">
      <c r="A2569" s="715">
        <v>92111</v>
      </c>
      <c r="B2569" s="633" t="s">
        <v>24786</v>
      </c>
      <c r="C2569" s="715" t="s">
        <v>11</v>
      </c>
      <c r="D2569" s="716">
        <v>1.07</v>
      </c>
    </row>
    <row r="2570" spans="1:4" ht="84">
      <c r="A2570" s="715">
        <v>90670</v>
      </c>
      <c r="B2570" s="633" t="s">
        <v>24683</v>
      </c>
      <c r="C2570" s="715" t="s">
        <v>11</v>
      </c>
      <c r="D2570" s="716">
        <v>244.89</v>
      </c>
    </row>
    <row r="2571" spans="1:4" ht="84">
      <c r="A2571" s="715">
        <v>90671</v>
      </c>
      <c r="B2571" s="633" t="s">
        <v>24684</v>
      </c>
      <c r="C2571" s="715" t="s">
        <v>11</v>
      </c>
      <c r="D2571" s="716">
        <v>65.7</v>
      </c>
    </row>
    <row r="2572" spans="1:4" ht="84">
      <c r="A2572" s="715">
        <v>90672</v>
      </c>
      <c r="B2572" s="633" t="s">
        <v>24685</v>
      </c>
      <c r="C2572" s="715" t="s">
        <v>11</v>
      </c>
      <c r="D2572" s="716">
        <v>306.45</v>
      </c>
    </row>
    <row r="2573" spans="1:4" ht="84">
      <c r="A2573" s="715">
        <v>90673</v>
      </c>
      <c r="B2573" s="633" t="s">
        <v>24686</v>
      </c>
      <c r="C2573" s="715" t="s">
        <v>11</v>
      </c>
      <c r="D2573" s="716">
        <v>145.12</v>
      </c>
    </row>
    <row r="2574" spans="1:4" ht="84">
      <c r="A2574" s="715">
        <v>93220</v>
      </c>
      <c r="B2574" s="633" t="s">
        <v>24813</v>
      </c>
      <c r="C2574" s="715" t="s">
        <v>11</v>
      </c>
      <c r="D2574" s="716">
        <v>375.5</v>
      </c>
    </row>
    <row r="2575" spans="1:4" ht="84">
      <c r="A2575" s="715">
        <v>93221</v>
      </c>
      <c r="B2575" s="633" t="s">
        <v>24814</v>
      </c>
      <c r="C2575" s="715" t="s">
        <v>11</v>
      </c>
      <c r="D2575" s="716">
        <v>100.74</v>
      </c>
    </row>
    <row r="2576" spans="1:4" ht="84">
      <c r="A2576" s="715">
        <v>93222</v>
      </c>
      <c r="B2576" s="633" t="s">
        <v>24815</v>
      </c>
      <c r="C2576" s="715" t="s">
        <v>11</v>
      </c>
      <c r="D2576" s="716">
        <v>469.9</v>
      </c>
    </row>
    <row r="2577" spans="1:4" ht="84">
      <c r="A2577" s="715">
        <v>93223</v>
      </c>
      <c r="B2577" s="633" t="s">
        <v>28870</v>
      </c>
      <c r="C2577" s="715" t="s">
        <v>11</v>
      </c>
      <c r="D2577" s="716">
        <v>189.55</v>
      </c>
    </row>
    <row r="2578" spans="1:4" ht="42">
      <c r="A2578" s="715">
        <v>104691</v>
      </c>
      <c r="B2578" s="633" t="s">
        <v>30076</v>
      </c>
      <c r="C2578" s="715" t="s">
        <v>11</v>
      </c>
      <c r="D2578" s="716">
        <v>0.97</v>
      </c>
    </row>
    <row r="2579" spans="1:4" ht="42">
      <c r="A2579" s="715">
        <v>104692</v>
      </c>
      <c r="B2579" s="633" t="s">
        <v>30077</v>
      </c>
      <c r="C2579" s="715" t="s">
        <v>11</v>
      </c>
      <c r="D2579" s="716">
        <v>0.22</v>
      </c>
    </row>
    <row r="2580" spans="1:4" ht="42">
      <c r="A2580" s="715">
        <v>104693</v>
      </c>
      <c r="B2580" s="633" t="s">
        <v>30078</v>
      </c>
      <c r="C2580" s="715" t="s">
        <v>11</v>
      </c>
      <c r="D2580" s="716">
        <v>1.22</v>
      </c>
    </row>
    <row r="2581" spans="1:4" ht="56">
      <c r="A2581" s="715">
        <v>104694</v>
      </c>
      <c r="B2581" s="633" t="s">
        <v>24990</v>
      </c>
      <c r="C2581" s="715" t="s">
        <v>11</v>
      </c>
      <c r="D2581" s="716">
        <v>1.83</v>
      </c>
    </row>
    <row r="2582" spans="1:4" ht="70">
      <c r="A2582" s="715">
        <v>90676</v>
      </c>
      <c r="B2582" s="633" t="s">
        <v>24687</v>
      </c>
      <c r="C2582" s="715" t="s">
        <v>11</v>
      </c>
      <c r="D2582" s="716">
        <v>100.64</v>
      </c>
    </row>
    <row r="2583" spans="1:4" ht="84">
      <c r="A2583" s="715">
        <v>91021</v>
      </c>
      <c r="B2583" s="633" t="s">
        <v>24717</v>
      </c>
      <c r="C2583" s="715" t="s">
        <v>11</v>
      </c>
      <c r="D2583" s="716">
        <v>12.35</v>
      </c>
    </row>
    <row r="2584" spans="1:4" ht="70">
      <c r="A2584" s="715">
        <v>90677</v>
      </c>
      <c r="B2584" s="633" t="s">
        <v>24688</v>
      </c>
      <c r="C2584" s="715" t="s">
        <v>11</v>
      </c>
      <c r="D2584" s="716">
        <v>30.47</v>
      </c>
    </row>
    <row r="2585" spans="1:4" ht="70">
      <c r="A2585" s="715">
        <v>90678</v>
      </c>
      <c r="B2585" s="633" t="s">
        <v>24689</v>
      </c>
      <c r="C2585" s="715" t="s">
        <v>11</v>
      </c>
      <c r="D2585" s="716">
        <v>141.07</v>
      </c>
    </row>
    <row r="2586" spans="1:4" ht="84">
      <c r="A2586" s="715">
        <v>90679</v>
      </c>
      <c r="B2586" s="633" t="s">
        <v>24690</v>
      </c>
      <c r="C2586" s="715" t="s">
        <v>11</v>
      </c>
      <c r="D2586" s="716">
        <v>111.29</v>
      </c>
    </row>
    <row r="2587" spans="1:4" ht="56">
      <c r="A2587" s="715">
        <v>102870</v>
      </c>
      <c r="B2587" s="633" t="s">
        <v>30055</v>
      </c>
      <c r="C2587" s="715" t="s">
        <v>11</v>
      </c>
      <c r="D2587" s="716">
        <v>357.14</v>
      </c>
    </row>
    <row r="2588" spans="1:4" ht="56">
      <c r="A2588" s="715">
        <v>102871</v>
      </c>
      <c r="B2588" s="633" t="s">
        <v>30056</v>
      </c>
      <c r="C2588" s="715" t="s">
        <v>11</v>
      </c>
      <c r="D2588" s="716">
        <v>96.48</v>
      </c>
    </row>
    <row r="2589" spans="1:4" ht="56">
      <c r="A2589" s="715">
        <v>102872</v>
      </c>
      <c r="B2589" s="633" t="s">
        <v>30057</v>
      </c>
      <c r="C2589" s="715" t="s">
        <v>11</v>
      </c>
      <c r="D2589" s="716">
        <v>446.93</v>
      </c>
    </row>
    <row r="2590" spans="1:4" ht="56">
      <c r="A2590" s="715">
        <v>102873</v>
      </c>
      <c r="B2590" s="633" t="s">
        <v>24954</v>
      </c>
      <c r="C2590" s="715" t="s">
        <v>11</v>
      </c>
      <c r="D2590" s="716">
        <v>145.12</v>
      </c>
    </row>
    <row r="2591" spans="1:4" ht="56">
      <c r="A2591" s="715">
        <v>102960</v>
      </c>
      <c r="B2591" s="633" t="s">
        <v>30061</v>
      </c>
      <c r="C2591" s="715" t="s">
        <v>11</v>
      </c>
      <c r="D2591" s="716">
        <v>173.32</v>
      </c>
    </row>
    <row r="2592" spans="1:4" ht="56">
      <c r="A2592" s="715">
        <v>102961</v>
      </c>
      <c r="B2592" s="633" t="s">
        <v>30062</v>
      </c>
      <c r="C2592" s="715" t="s">
        <v>11</v>
      </c>
      <c r="D2592" s="716">
        <v>46.82</v>
      </c>
    </row>
    <row r="2593" spans="1:4" ht="56">
      <c r="A2593" s="715">
        <v>102962</v>
      </c>
      <c r="B2593" s="633" t="s">
        <v>30063</v>
      </c>
      <c r="C2593" s="715" t="s">
        <v>11</v>
      </c>
      <c r="D2593" s="716">
        <v>162.59</v>
      </c>
    </row>
    <row r="2594" spans="1:4" ht="56">
      <c r="A2594" s="715">
        <v>102963</v>
      </c>
      <c r="B2594" s="633" t="s">
        <v>24965</v>
      </c>
      <c r="C2594" s="715" t="s">
        <v>11</v>
      </c>
      <c r="D2594" s="716">
        <v>102.87</v>
      </c>
    </row>
    <row r="2595" spans="1:4" ht="42">
      <c r="A2595" s="715">
        <v>90621</v>
      </c>
      <c r="B2595" s="633" t="s">
        <v>24651</v>
      </c>
      <c r="C2595" s="715" t="s">
        <v>11</v>
      </c>
      <c r="D2595" s="716">
        <v>2.48</v>
      </c>
    </row>
    <row r="2596" spans="1:4" ht="42">
      <c r="A2596" s="715">
        <v>90622</v>
      </c>
      <c r="B2596" s="633" t="s">
        <v>24652</v>
      </c>
      <c r="C2596" s="715" t="s">
        <v>11</v>
      </c>
      <c r="D2596" s="716">
        <v>0.56999999999999995</v>
      </c>
    </row>
    <row r="2597" spans="1:4" ht="42">
      <c r="A2597" s="715">
        <v>90623</v>
      </c>
      <c r="B2597" s="633" t="s">
        <v>24653</v>
      </c>
      <c r="C2597" s="715" t="s">
        <v>11</v>
      </c>
      <c r="D2597" s="716">
        <v>3.11</v>
      </c>
    </row>
    <row r="2598" spans="1:4" ht="42">
      <c r="A2598" s="715">
        <v>90624</v>
      </c>
      <c r="B2598" s="633" t="s">
        <v>24654</v>
      </c>
      <c r="C2598" s="715" t="s">
        <v>11</v>
      </c>
      <c r="D2598" s="716">
        <v>2.69</v>
      </c>
    </row>
    <row r="2599" spans="1:4" ht="42">
      <c r="A2599" s="715">
        <v>102876</v>
      </c>
      <c r="B2599" s="633" t="s">
        <v>30058</v>
      </c>
      <c r="C2599" s="715" t="s">
        <v>11</v>
      </c>
      <c r="D2599" s="716">
        <v>496.31</v>
      </c>
    </row>
    <row r="2600" spans="1:4" ht="42">
      <c r="A2600" s="715">
        <v>102877</v>
      </c>
      <c r="B2600" s="633" t="s">
        <v>30059</v>
      </c>
      <c r="C2600" s="715" t="s">
        <v>11</v>
      </c>
      <c r="D2600" s="716">
        <v>134.08000000000001</v>
      </c>
    </row>
    <row r="2601" spans="1:4" ht="42">
      <c r="A2601" s="715">
        <v>102878</v>
      </c>
      <c r="B2601" s="633" t="s">
        <v>30060</v>
      </c>
      <c r="C2601" s="715" t="s">
        <v>11</v>
      </c>
      <c r="D2601" s="716">
        <v>621.09</v>
      </c>
    </row>
    <row r="2602" spans="1:4" ht="56">
      <c r="A2602" s="715">
        <v>102879</v>
      </c>
      <c r="B2602" s="633" t="s">
        <v>24955</v>
      </c>
      <c r="C2602" s="715" t="s">
        <v>11</v>
      </c>
      <c r="D2602" s="716">
        <v>217.8</v>
      </c>
    </row>
    <row r="2603" spans="1:4" ht="56">
      <c r="A2603" s="715">
        <v>103220</v>
      </c>
      <c r="B2603" s="633" t="s">
        <v>30067</v>
      </c>
      <c r="C2603" s="715" t="s">
        <v>11</v>
      </c>
      <c r="D2603" s="716">
        <v>151.78</v>
      </c>
    </row>
    <row r="2604" spans="1:4" ht="56">
      <c r="A2604" s="715">
        <v>103221</v>
      </c>
      <c r="B2604" s="633" t="s">
        <v>30068</v>
      </c>
      <c r="C2604" s="715" t="s">
        <v>11</v>
      </c>
      <c r="D2604" s="716">
        <v>41</v>
      </c>
    </row>
    <row r="2605" spans="1:4" ht="56">
      <c r="A2605" s="715">
        <v>103222</v>
      </c>
      <c r="B2605" s="633" t="s">
        <v>30069</v>
      </c>
      <c r="C2605" s="715" t="s">
        <v>11</v>
      </c>
      <c r="D2605" s="716">
        <v>189.94</v>
      </c>
    </row>
    <row r="2606" spans="1:4" ht="56">
      <c r="A2606" s="715">
        <v>103223</v>
      </c>
      <c r="B2606" s="633" t="s">
        <v>24973</v>
      </c>
      <c r="C2606" s="715" t="s">
        <v>11</v>
      </c>
      <c r="D2606" s="716">
        <v>42.54</v>
      </c>
    </row>
    <row r="2607" spans="1:4" ht="56">
      <c r="A2607" s="715">
        <v>103232</v>
      </c>
      <c r="B2607" s="633" t="s">
        <v>30073</v>
      </c>
      <c r="C2607" s="715" t="s">
        <v>11</v>
      </c>
      <c r="D2607" s="716">
        <v>476.2</v>
      </c>
    </row>
    <row r="2608" spans="1:4" ht="56">
      <c r="A2608" s="715">
        <v>103233</v>
      </c>
      <c r="B2608" s="633" t="s">
        <v>30074</v>
      </c>
      <c r="C2608" s="715" t="s">
        <v>11</v>
      </c>
      <c r="D2608" s="716">
        <v>128.65</v>
      </c>
    </row>
    <row r="2609" spans="1:4" ht="56">
      <c r="A2609" s="715">
        <v>103234</v>
      </c>
      <c r="B2609" s="633" t="s">
        <v>30075</v>
      </c>
      <c r="C2609" s="715" t="s">
        <v>11</v>
      </c>
      <c r="D2609" s="716">
        <v>625.4</v>
      </c>
    </row>
    <row r="2610" spans="1:4" ht="56">
      <c r="A2610" s="715">
        <v>103235</v>
      </c>
      <c r="B2610" s="633" t="s">
        <v>24975</v>
      </c>
      <c r="C2610" s="715" t="s">
        <v>11</v>
      </c>
      <c r="D2610" s="716">
        <v>124.57</v>
      </c>
    </row>
    <row r="2611" spans="1:4" ht="56">
      <c r="A2611" s="715">
        <v>103228</v>
      </c>
      <c r="B2611" s="633" t="s">
        <v>30072</v>
      </c>
      <c r="C2611" s="715" t="s">
        <v>11</v>
      </c>
      <c r="D2611" s="716">
        <v>435.76</v>
      </c>
    </row>
    <row r="2612" spans="1:4" ht="56">
      <c r="A2612" s="715">
        <v>103226</v>
      </c>
      <c r="B2612" s="633" t="s">
        <v>30070</v>
      </c>
      <c r="C2612" s="715" t="s">
        <v>11</v>
      </c>
      <c r="D2612" s="716">
        <v>348.22</v>
      </c>
    </row>
    <row r="2613" spans="1:4" ht="56">
      <c r="A2613" s="715">
        <v>103227</v>
      </c>
      <c r="B2613" s="633" t="s">
        <v>30071</v>
      </c>
      <c r="C2613" s="715" t="s">
        <v>11</v>
      </c>
      <c r="D2613" s="716">
        <v>94.07</v>
      </c>
    </row>
    <row r="2614" spans="1:4" ht="56">
      <c r="A2614" s="715">
        <v>103229</v>
      </c>
      <c r="B2614" s="633" t="s">
        <v>24974</v>
      </c>
      <c r="C2614" s="715" t="s">
        <v>11</v>
      </c>
      <c r="D2614" s="716">
        <v>105.63</v>
      </c>
    </row>
    <row r="2615" spans="1:4" ht="42">
      <c r="A2615" s="715">
        <v>102972</v>
      </c>
      <c r="B2615" s="633" t="s">
        <v>30064</v>
      </c>
      <c r="C2615" s="715" t="s">
        <v>11</v>
      </c>
      <c r="D2615" s="716">
        <v>92.51</v>
      </c>
    </row>
    <row r="2616" spans="1:4" ht="42">
      <c r="A2616" s="715">
        <v>102973</v>
      </c>
      <c r="B2616" s="633" t="s">
        <v>30065</v>
      </c>
      <c r="C2616" s="715" t="s">
        <v>11</v>
      </c>
      <c r="D2616" s="716">
        <v>25.68</v>
      </c>
    </row>
    <row r="2617" spans="1:4" ht="42">
      <c r="A2617" s="715">
        <v>102974</v>
      </c>
      <c r="B2617" s="633" t="s">
        <v>30066</v>
      </c>
      <c r="C2617" s="715" t="s">
        <v>11</v>
      </c>
      <c r="D2617" s="716">
        <v>86.78</v>
      </c>
    </row>
    <row r="2618" spans="1:4" ht="42">
      <c r="A2618" s="715">
        <v>96301</v>
      </c>
      <c r="B2618" s="633" t="s">
        <v>24929</v>
      </c>
      <c r="C2618" s="715" t="s">
        <v>11</v>
      </c>
      <c r="D2618" s="716">
        <v>59.6</v>
      </c>
    </row>
    <row r="2619" spans="1:4" ht="42">
      <c r="A2619" s="715">
        <v>90627</v>
      </c>
      <c r="B2619" s="633" t="s">
        <v>24655</v>
      </c>
      <c r="C2619" s="715" t="s">
        <v>11</v>
      </c>
      <c r="D2619" s="716">
        <v>54.28</v>
      </c>
    </row>
    <row r="2620" spans="1:4" ht="42">
      <c r="A2620" s="715">
        <v>90628</v>
      </c>
      <c r="B2620" s="633" t="s">
        <v>24656</v>
      </c>
      <c r="C2620" s="715" t="s">
        <v>11</v>
      </c>
      <c r="D2620" s="716">
        <v>14.56</v>
      </c>
    </row>
    <row r="2621" spans="1:4" ht="42">
      <c r="A2621" s="715">
        <v>90629</v>
      </c>
      <c r="B2621" s="633" t="s">
        <v>24657</v>
      </c>
      <c r="C2621" s="715" t="s">
        <v>11</v>
      </c>
      <c r="D2621" s="716">
        <v>67.930000000000007</v>
      </c>
    </row>
    <row r="2622" spans="1:4" ht="56">
      <c r="A2622" s="715">
        <v>90630</v>
      </c>
      <c r="B2622" s="633" t="s">
        <v>24658</v>
      </c>
      <c r="C2622" s="715" t="s">
        <v>11</v>
      </c>
      <c r="D2622" s="716">
        <v>1.28</v>
      </c>
    </row>
    <row r="2623" spans="1:4" ht="42">
      <c r="A2623" s="715">
        <v>95704</v>
      </c>
      <c r="B2623" s="633" t="s">
        <v>28874</v>
      </c>
      <c r="C2623" s="715" t="s">
        <v>11</v>
      </c>
      <c r="D2623" s="716">
        <v>54.81</v>
      </c>
    </row>
    <row r="2624" spans="1:4" ht="42">
      <c r="A2624" s="715">
        <v>95705</v>
      </c>
      <c r="B2624" s="633" t="s">
        <v>28875</v>
      </c>
      <c r="C2624" s="715" t="s">
        <v>11</v>
      </c>
      <c r="D2624" s="716">
        <v>14.7</v>
      </c>
    </row>
    <row r="2625" spans="1:4" ht="42">
      <c r="A2625" s="715">
        <v>95706</v>
      </c>
      <c r="B2625" s="633" t="s">
        <v>28876</v>
      </c>
      <c r="C2625" s="715" t="s">
        <v>11</v>
      </c>
      <c r="D2625" s="716">
        <v>68.59</v>
      </c>
    </row>
    <row r="2626" spans="1:4" ht="42">
      <c r="A2626" s="715">
        <v>95707</v>
      </c>
      <c r="B2626" s="633" t="s">
        <v>28877</v>
      </c>
      <c r="C2626" s="715" t="s">
        <v>11</v>
      </c>
      <c r="D2626" s="716">
        <v>3.52</v>
      </c>
    </row>
    <row r="2627" spans="1:4" ht="56">
      <c r="A2627" s="715">
        <v>91273</v>
      </c>
      <c r="B2627" s="633" t="s">
        <v>24723</v>
      </c>
      <c r="C2627" s="715" t="s">
        <v>11</v>
      </c>
      <c r="D2627" s="716">
        <v>0.56000000000000005</v>
      </c>
    </row>
    <row r="2628" spans="1:4" ht="42">
      <c r="A2628" s="715">
        <v>91274</v>
      </c>
      <c r="B2628" s="633" t="s">
        <v>24724</v>
      </c>
      <c r="C2628" s="715" t="s">
        <v>11</v>
      </c>
      <c r="D2628" s="716">
        <v>0.15</v>
      </c>
    </row>
    <row r="2629" spans="1:4" ht="56">
      <c r="A2629" s="715">
        <v>91275</v>
      </c>
      <c r="B2629" s="633" t="s">
        <v>24725</v>
      </c>
      <c r="C2629" s="715" t="s">
        <v>11</v>
      </c>
      <c r="D2629" s="716">
        <v>0.7</v>
      </c>
    </row>
    <row r="2630" spans="1:4" ht="56">
      <c r="A2630" s="715">
        <v>91276</v>
      </c>
      <c r="B2630" s="633" t="s">
        <v>24726</v>
      </c>
      <c r="C2630" s="715" t="s">
        <v>11</v>
      </c>
      <c r="D2630" s="716">
        <v>9.56</v>
      </c>
    </row>
    <row r="2631" spans="1:4" ht="28">
      <c r="A2631" s="715">
        <v>102882</v>
      </c>
      <c r="B2631" s="633" t="s">
        <v>33389</v>
      </c>
      <c r="C2631" s="715" t="s">
        <v>11</v>
      </c>
      <c r="D2631" s="716">
        <v>0</v>
      </c>
    </row>
    <row r="2632" spans="1:4" ht="14">
      <c r="A2632" s="715">
        <v>102883</v>
      </c>
      <c r="B2632" s="633" t="s">
        <v>33390</v>
      </c>
      <c r="C2632" s="715" t="s">
        <v>11</v>
      </c>
      <c r="D2632" s="716">
        <v>0</v>
      </c>
    </row>
    <row r="2633" spans="1:4" ht="14">
      <c r="A2633" s="715">
        <v>102884</v>
      </c>
      <c r="B2633" s="633" t="s">
        <v>33391</v>
      </c>
      <c r="C2633" s="715" t="s">
        <v>11</v>
      </c>
      <c r="D2633" s="716">
        <v>0</v>
      </c>
    </row>
    <row r="2634" spans="1:4" ht="28">
      <c r="A2634" s="715">
        <v>102885</v>
      </c>
      <c r="B2634" s="633" t="s">
        <v>24956</v>
      </c>
      <c r="C2634" s="715" t="s">
        <v>11</v>
      </c>
      <c r="D2634" s="716">
        <v>1.1000000000000001</v>
      </c>
    </row>
    <row r="2635" spans="1:4" ht="42">
      <c r="A2635" s="715">
        <v>95272</v>
      </c>
      <c r="B2635" s="633" t="s">
        <v>24885</v>
      </c>
      <c r="C2635" s="715" t="s">
        <v>11</v>
      </c>
      <c r="D2635" s="716">
        <v>0.56999999999999995</v>
      </c>
    </row>
    <row r="2636" spans="1:4" ht="42">
      <c r="A2636" s="715">
        <v>95273</v>
      </c>
      <c r="B2636" s="633" t="s">
        <v>24886</v>
      </c>
      <c r="C2636" s="715" t="s">
        <v>11</v>
      </c>
      <c r="D2636" s="716">
        <v>0.13</v>
      </c>
    </row>
    <row r="2637" spans="1:4" ht="42">
      <c r="A2637" s="715">
        <v>95274</v>
      </c>
      <c r="B2637" s="633" t="s">
        <v>24887</v>
      </c>
      <c r="C2637" s="715" t="s">
        <v>11</v>
      </c>
      <c r="D2637" s="716">
        <v>0.45</v>
      </c>
    </row>
    <row r="2638" spans="1:4" ht="42">
      <c r="A2638" s="715">
        <v>95275</v>
      </c>
      <c r="B2638" s="633" t="s">
        <v>24888</v>
      </c>
      <c r="C2638" s="715" t="s">
        <v>11</v>
      </c>
      <c r="D2638" s="716">
        <v>2.1800000000000002</v>
      </c>
    </row>
    <row r="2639" spans="1:4" ht="70">
      <c r="A2639" s="715">
        <v>106232</v>
      </c>
      <c r="B2639" s="633" t="s">
        <v>42391</v>
      </c>
      <c r="C2639" s="715" t="s">
        <v>11</v>
      </c>
      <c r="D2639" s="716">
        <v>0</v>
      </c>
    </row>
    <row r="2640" spans="1:4" ht="70">
      <c r="A2640" s="715">
        <v>106235</v>
      </c>
      <c r="B2640" s="633" t="s">
        <v>42392</v>
      </c>
      <c r="C2640" s="715" t="s">
        <v>11</v>
      </c>
      <c r="D2640" s="716">
        <v>0</v>
      </c>
    </row>
    <row r="2641" spans="1:4" ht="56">
      <c r="A2641" s="715">
        <v>106233</v>
      </c>
      <c r="B2641" s="633" t="s">
        <v>42393</v>
      </c>
      <c r="C2641" s="715" t="s">
        <v>11</v>
      </c>
      <c r="D2641" s="716">
        <v>0</v>
      </c>
    </row>
    <row r="2642" spans="1:4" ht="70">
      <c r="A2642" s="715">
        <v>106234</v>
      </c>
      <c r="B2642" s="633" t="s">
        <v>42394</v>
      </c>
      <c r="C2642" s="715" t="s">
        <v>11</v>
      </c>
      <c r="D2642" s="716">
        <v>0</v>
      </c>
    </row>
    <row r="2643" spans="1:4" ht="70">
      <c r="A2643" s="715">
        <v>106236</v>
      </c>
      <c r="B2643" s="633" t="s">
        <v>42395</v>
      </c>
      <c r="C2643" s="715" t="s">
        <v>11</v>
      </c>
      <c r="D2643" s="716">
        <v>187.81</v>
      </c>
    </row>
    <row r="2644" spans="1:4" ht="56">
      <c r="A2644" s="715">
        <v>88419</v>
      </c>
      <c r="B2644" s="633" t="s">
        <v>24540</v>
      </c>
      <c r="C2644" s="715" t="s">
        <v>11</v>
      </c>
      <c r="D2644" s="716">
        <v>5.44</v>
      </c>
    </row>
    <row r="2645" spans="1:4" ht="42">
      <c r="A2645" s="715">
        <v>88422</v>
      </c>
      <c r="B2645" s="633" t="s">
        <v>24541</v>
      </c>
      <c r="C2645" s="715" t="s">
        <v>11</v>
      </c>
      <c r="D2645" s="716">
        <v>1.25</v>
      </c>
    </row>
    <row r="2646" spans="1:4" ht="56">
      <c r="A2646" s="715">
        <v>88425</v>
      </c>
      <c r="B2646" s="633" t="s">
        <v>24542</v>
      </c>
      <c r="C2646" s="715" t="s">
        <v>11</v>
      </c>
      <c r="D2646" s="716">
        <v>6.8</v>
      </c>
    </row>
    <row r="2647" spans="1:4" ht="56">
      <c r="A2647" s="715">
        <v>88427</v>
      </c>
      <c r="B2647" s="633" t="s">
        <v>24543</v>
      </c>
      <c r="C2647" s="715" t="s">
        <v>11</v>
      </c>
      <c r="D2647" s="716">
        <v>0.91</v>
      </c>
    </row>
    <row r="2648" spans="1:4" ht="56">
      <c r="A2648" s="715">
        <v>88434</v>
      </c>
      <c r="B2648" s="633" t="s">
        <v>24544</v>
      </c>
      <c r="C2648" s="715" t="s">
        <v>11</v>
      </c>
      <c r="D2648" s="716">
        <v>7.21</v>
      </c>
    </row>
    <row r="2649" spans="1:4" ht="42">
      <c r="A2649" s="715">
        <v>88435</v>
      </c>
      <c r="B2649" s="633" t="s">
        <v>24545</v>
      </c>
      <c r="C2649" s="715" t="s">
        <v>11</v>
      </c>
      <c r="D2649" s="716">
        <v>1.66</v>
      </c>
    </row>
    <row r="2650" spans="1:4" ht="56">
      <c r="A2650" s="715">
        <v>88436</v>
      </c>
      <c r="B2650" s="633" t="s">
        <v>24546</v>
      </c>
      <c r="C2650" s="715" t="s">
        <v>11</v>
      </c>
      <c r="D2650" s="716">
        <v>9.01</v>
      </c>
    </row>
    <row r="2651" spans="1:4" ht="56">
      <c r="A2651" s="715">
        <v>88437</v>
      </c>
      <c r="B2651" s="633" t="s">
        <v>24547</v>
      </c>
      <c r="C2651" s="715" t="s">
        <v>11</v>
      </c>
      <c r="D2651" s="716">
        <v>0.91</v>
      </c>
    </row>
    <row r="2652" spans="1:4" ht="70">
      <c r="A2652" s="715">
        <v>90664</v>
      </c>
      <c r="B2652" s="633" t="s">
        <v>24679</v>
      </c>
      <c r="C2652" s="715" t="s">
        <v>11</v>
      </c>
      <c r="D2652" s="716">
        <v>7.06</v>
      </c>
    </row>
    <row r="2653" spans="1:4" ht="70">
      <c r="A2653" s="715">
        <v>90665</v>
      </c>
      <c r="B2653" s="633" t="s">
        <v>24680</v>
      </c>
      <c r="C2653" s="715" t="s">
        <v>11</v>
      </c>
      <c r="D2653" s="716">
        <v>1.88</v>
      </c>
    </row>
    <row r="2654" spans="1:4" ht="70">
      <c r="A2654" s="715">
        <v>90666</v>
      </c>
      <c r="B2654" s="633" t="s">
        <v>24681</v>
      </c>
      <c r="C2654" s="715" t="s">
        <v>11</v>
      </c>
      <c r="D2654" s="716">
        <v>8.84</v>
      </c>
    </row>
    <row r="2655" spans="1:4" ht="70">
      <c r="A2655" s="715">
        <v>90667</v>
      </c>
      <c r="B2655" s="633" t="s">
        <v>24682</v>
      </c>
      <c r="C2655" s="715" t="s">
        <v>11</v>
      </c>
      <c r="D2655" s="716">
        <v>18.149999999999999</v>
      </c>
    </row>
    <row r="2656" spans="1:4" ht="42">
      <c r="A2656" s="715">
        <v>102977</v>
      </c>
      <c r="B2656" s="633" t="s">
        <v>33392</v>
      </c>
      <c r="C2656" s="715" t="s">
        <v>11</v>
      </c>
      <c r="D2656" s="716">
        <v>0</v>
      </c>
    </row>
    <row r="2657" spans="1:4" ht="28">
      <c r="A2657" s="715">
        <v>102978</v>
      </c>
      <c r="B2657" s="633" t="s">
        <v>33393</v>
      </c>
      <c r="C2657" s="715" t="s">
        <v>11</v>
      </c>
      <c r="D2657" s="716">
        <v>0</v>
      </c>
    </row>
    <row r="2658" spans="1:4" ht="42">
      <c r="A2658" s="715">
        <v>102979</v>
      </c>
      <c r="B2658" s="633" t="s">
        <v>33394</v>
      </c>
      <c r="C2658" s="715" t="s">
        <v>11</v>
      </c>
      <c r="D2658" s="716">
        <v>0</v>
      </c>
    </row>
    <row r="2659" spans="1:4" ht="42">
      <c r="A2659" s="715">
        <v>95217</v>
      </c>
      <c r="B2659" s="633" t="s">
        <v>24874</v>
      </c>
      <c r="C2659" s="715" t="s">
        <v>11</v>
      </c>
      <c r="D2659" s="716">
        <v>0.54</v>
      </c>
    </row>
    <row r="2660" spans="1:4" ht="42">
      <c r="A2660" s="715">
        <v>89130</v>
      </c>
      <c r="B2660" s="633" t="s">
        <v>24588</v>
      </c>
      <c r="C2660" s="715" t="s">
        <v>11</v>
      </c>
      <c r="D2660" s="716">
        <v>52.8</v>
      </c>
    </row>
    <row r="2661" spans="1:4" ht="42">
      <c r="A2661" s="715">
        <v>89131</v>
      </c>
      <c r="B2661" s="633" t="s">
        <v>24589</v>
      </c>
      <c r="C2661" s="715" t="s">
        <v>11</v>
      </c>
      <c r="D2661" s="716">
        <v>13.95</v>
      </c>
    </row>
    <row r="2662" spans="1:4" ht="42">
      <c r="A2662" s="715">
        <v>53861</v>
      </c>
      <c r="B2662" s="633" t="s">
        <v>24506</v>
      </c>
      <c r="C2662" s="715" t="s">
        <v>11</v>
      </c>
      <c r="D2662" s="716">
        <v>66</v>
      </c>
    </row>
    <row r="2663" spans="1:4" ht="56">
      <c r="A2663" s="715">
        <v>5787</v>
      </c>
      <c r="B2663" s="633" t="s">
        <v>24462</v>
      </c>
      <c r="C2663" s="715" t="s">
        <v>11</v>
      </c>
      <c r="D2663" s="716">
        <v>85.37</v>
      </c>
    </row>
    <row r="2664" spans="1:4" ht="42">
      <c r="A2664" s="715">
        <v>89128</v>
      </c>
      <c r="B2664" s="633" t="s">
        <v>24586</v>
      </c>
      <c r="C2664" s="715" t="s">
        <v>11</v>
      </c>
      <c r="D2664" s="716">
        <v>38.08</v>
      </c>
    </row>
    <row r="2665" spans="1:4" ht="42">
      <c r="A2665" s="715">
        <v>89129</v>
      </c>
      <c r="B2665" s="633" t="s">
        <v>24587</v>
      </c>
      <c r="C2665" s="715" t="s">
        <v>11</v>
      </c>
      <c r="D2665" s="716">
        <v>10.06</v>
      </c>
    </row>
    <row r="2666" spans="1:4" ht="42">
      <c r="A2666" s="715">
        <v>53857</v>
      </c>
      <c r="B2666" s="633" t="s">
        <v>24504</v>
      </c>
      <c r="C2666" s="715" t="s">
        <v>11</v>
      </c>
      <c r="D2666" s="716">
        <v>47.6</v>
      </c>
    </row>
    <row r="2667" spans="1:4" ht="56">
      <c r="A2667" s="715">
        <v>53858</v>
      </c>
      <c r="B2667" s="633" t="s">
        <v>24505</v>
      </c>
      <c r="C2667" s="715" t="s">
        <v>11</v>
      </c>
      <c r="D2667" s="716">
        <v>55.46</v>
      </c>
    </row>
    <row r="2668" spans="1:4" ht="28">
      <c r="A2668" s="715">
        <v>102888</v>
      </c>
      <c r="B2668" s="633" t="s">
        <v>40281</v>
      </c>
      <c r="C2668" s="715" t="s">
        <v>11</v>
      </c>
      <c r="D2668" s="716">
        <v>0</v>
      </c>
    </row>
    <row r="2669" spans="1:4" ht="28">
      <c r="A2669" s="715">
        <v>102889</v>
      </c>
      <c r="B2669" s="633" t="s">
        <v>40282</v>
      </c>
      <c r="C2669" s="715" t="s">
        <v>11</v>
      </c>
      <c r="D2669" s="716">
        <v>0</v>
      </c>
    </row>
    <row r="2670" spans="1:4" ht="28">
      <c r="A2670" s="715">
        <v>102890</v>
      </c>
      <c r="B2670" s="633" t="s">
        <v>40283</v>
      </c>
      <c r="C2670" s="715" t="s">
        <v>11</v>
      </c>
      <c r="D2670" s="716">
        <v>0</v>
      </c>
    </row>
    <row r="2671" spans="1:4" ht="42">
      <c r="A2671" s="715">
        <v>102891</v>
      </c>
      <c r="B2671" s="633" t="s">
        <v>40284</v>
      </c>
      <c r="C2671" s="715" t="s">
        <v>11</v>
      </c>
      <c r="D2671" s="716">
        <v>1.1000000000000001</v>
      </c>
    </row>
    <row r="2672" spans="1:4" ht="42">
      <c r="A2672" s="715">
        <v>89246</v>
      </c>
      <c r="B2672" s="633" t="s">
        <v>24612</v>
      </c>
      <c r="C2672" s="715" t="s">
        <v>11</v>
      </c>
      <c r="D2672" s="716">
        <v>248.12</v>
      </c>
    </row>
    <row r="2673" spans="1:4" ht="42">
      <c r="A2673" s="715">
        <v>89247</v>
      </c>
      <c r="B2673" s="633" t="s">
        <v>24613</v>
      </c>
      <c r="C2673" s="715" t="s">
        <v>11</v>
      </c>
      <c r="D2673" s="716">
        <v>75.97</v>
      </c>
    </row>
    <row r="2674" spans="1:4" ht="42">
      <c r="A2674" s="715">
        <v>89248</v>
      </c>
      <c r="B2674" s="633" t="s">
        <v>24614</v>
      </c>
      <c r="C2674" s="715" t="s">
        <v>11</v>
      </c>
      <c r="D2674" s="716">
        <v>442.59</v>
      </c>
    </row>
    <row r="2675" spans="1:4" ht="42">
      <c r="A2675" s="715">
        <v>89249</v>
      </c>
      <c r="B2675" s="633" t="s">
        <v>24615</v>
      </c>
      <c r="C2675" s="715" t="s">
        <v>11</v>
      </c>
      <c r="D2675" s="716">
        <v>457.08</v>
      </c>
    </row>
    <row r="2676" spans="1:4" ht="70">
      <c r="A2676" s="715">
        <v>102954</v>
      </c>
      <c r="B2676" s="633" t="s">
        <v>40285</v>
      </c>
      <c r="C2676" s="715" t="s">
        <v>11</v>
      </c>
      <c r="D2676" s="716">
        <v>0</v>
      </c>
    </row>
    <row r="2677" spans="1:4" ht="56">
      <c r="A2677" s="715">
        <v>104727</v>
      </c>
      <c r="B2677" s="633" t="s">
        <v>33395</v>
      </c>
      <c r="C2677" s="715" t="s">
        <v>11</v>
      </c>
      <c r="D2677" s="716">
        <v>0</v>
      </c>
    </row>
    <row r="2678" spans="1:4" ht="70">
      <c r="A2678" s="715">
        <v>102956</v>
      </c>
      <c r="B2678" s="633" t="s">
        <v>40286</v>
      </c>
      <c r="C2678" s="715" t="s">
        <v>11</v>
      </c>
      <c r="D2678" s="716">
        <v>0</v>
      </c>
    </row>
    <row r="2679" spans="1:4" ht="70">
      <c r="A2679" s="715">
        <v>102957</v>
      </c>
      <c r="B2679" s="633" t="s">
        <v>40287</v>
      </c>
      <c r="C2679" s="715" t="s">
        <v>11</v>
      </c>
      <c r="D2679" s="716">
        <v>47.69</v>
      </c>
    </row>
    <row r="2680" spans="1:4" ht="84">
      <c r="A2680" s="715">
        <v>88859</v>
      </c>
      <c r="B2680" s="633" t="s">
        <v>24562</v>
      </c>
      <c r="C2680" s="715" t="s">
        <v>11</v>
      </c>
      <c r="D2680" s="716">
        <v>23.23</v>
      </c>
    </row>
    <row r="2681" spans="1:4" ht="84">
      <c r="A2681" s="715">
        <v>88860</v>
      </c>
      <c r="B2681" s="633" t="s">
        <v>24563</v>
      </c>
      <c r="C2681" s="715" t="s">
        <v>11</v>
      </c>
      <c r="D2681" s="716">
        <v>6.14</v>
      </c>
    </row>
    <row r="2682" spans="1:4" ht="84">
      <c r="A2682" s="715">
        <v>5667</v>
      </c>
      <c r="B2682" s="633" t="s">
        <v>24431</v>
      </c>
      <c r="C2682" s="715" t="s">
        <v>11</v>
      </c>
      <c r="D2682" s="716">
        <v>29.04</v>
      </c>
    </row>
    <row r="2683" spans="1:4" ht="84">
      <c r="A2683" s="715">
        <v>5668</v>
      </c>
      <c r="B2683" s="633" t="s">
        <v>24432</v>
      </c>
      <c r="C2683" s="715" t="s">
        <v>11</v>
      </c>
      <c r="D2683" s="716">
        <v>55.61</v>
      </c>
    </row>
    <row r="2684" spans="1:4" ht="84">
      <c r="A2684" s="715">
        <v>89011</v>
      </c>
      <c r="B2684" s="633" t="s">
        <v>24570</v>
      </c>
      <c r="C2684" s="715" t="s">
        <v>11</v>
      </c>
      <c r="D2684" s="716">
        <v>25.2</v>
      </c>
    </row>
    <row r="2685" spans="1:4" ht="84">
      <c r="A2685" s="715">
        <v>89012</v>
      </c>
      <c r="B2685" s="633" t="s">
        <v>24571</v>
      </c>
      <c r="C2685" s="715" t="s">
        <v>11</v>
      </c>
      <c r="D2685" s="716">
        <v>6.66</v>
      </c>
    </row>
    <row r="2686" spans="1:4" ht="84">
      <c r="A2686" s="715">
        <v>5735</v>
      </c>
      <c r="B2686" s="633" t="s">
        <v>24451</v>
      </c>
      <c r="C2686" s="715" t="s">
        <v>11</v>
      </c>
      <c r="D2686" s="716">
        <v>31.5</v>
      </c>
    </row>
    <row r="2687" spans="1:4" ht="84">
      <c r="A2687" s="715">
        <v>5736</v>
      </c>
      <c r="B2687" s="633" t="s">
        <v>24452</v>
      </c>
      <c r="C2687" s="715" t="s">
        <v>11</v>
      </c>
      <c r="D2687" s="716">
        <v>50.67</v>
      </c>
    </row>
    <row r="2688" spans="1:4" ht="84">
      <c r="A2688" s="715">
        <v>88857</v>
      </c>
      <c r="B2688" s="633" t="s">
        <v>24560</v>
      </c>
      <c r="C2688" s="715" t="s">
        <v>11</v>
      </c>
      <c r="D2688" s="716">
        <v>26.12</v>
      </c>
    </row>
    <row r="2689" spans="1:4" ht="84">
      <c r="A2689" s="715">
        <v>88858</v>
      </c>
      <c r="B2689" s="633" t="s">
        <v>24561</v>
      </c>
      <c r="C2689" s="715" t="s">
        <v>11</v>
      </c>
      <c r="D2689" s="716">
        <v>6.9</v>
      </c>
    </row>
    <row r="2690" spans="1:4" ht="84">
      <c r="A2690" s="715">
        <v>5664</v>
      </c>
      <c r="B2690" s="633" t="s">
        <v>24430</v>
      </c>
      <c r="C2690" s="715" t="s">
        <v>11</v>
      </c>
      <c r="D2690" s="716">
        <v>32.65</v>
      </c>
    </row>
    <row r="2691" spans="1:4" ht="84">
      <c r="A2691" s="715">
        <v>53786</v>
      </c>
      <c r="B2691" s="633" t="s">
        <v>24487</v>
      </c>
      <c r="C2691" s="715" t="s">
        <v>11</v>
      </c>
      <c r="D2691" s="716">
        <v>61.92</v>
      </c>
    </row>
    <row r="2692" spans="1:4" ht="56">
      <c r="A2692" s="715">
        <v>7038</v>
      </c>
      <c r="B2692" s="633" t="s">
        <v>24468</v>
      </c>
      <c r="C2692" s="715" t="s">
        <v>11</v>
      </c>
      <c r="D2692" s="716">
        <v>47.38</v>
      </c>
    </row>
    <row r="2693" spans="1:4" ht="56">
      <c r="A2693" s="715">
        <v>7039</v>
      </c>
      <c r="B2693" s="633" t="s">
        <v>24469</v>
      </c>
      <c r="C2693" s="715" t="s">
        <v>11</v>
      </c>
      <c r="D2693" s="716">
        <v>12.71</v>
      </c>
    </row>
    <row r="2694" spans="1:4" ht="56">
      <c r="A2694" s="715">
        <v>7040</v>
      </c>
      <c r="B2694" s="633" t="s">
        <v>24470</v>
      </c>
      <c r="C2694" s="715" t="s">
        <v>11</v>
      </c>
      <c r="D2694" s="716">
        <v>59.29</v>
      </c>
    </row>
    <row r="2695" spans="1:4" ht="56">
      <c r="A2695" s="715">
        <v>55263</v>
      </c>
      <c r="B2695" s="633" t="s">
        <v>24510</v>
      </c>
      <c r="C2695" s="715" t="s">
        <v>11</v>
      </c>
      <c r="D2695" s="716">
        <v>78.19</v>
      </c>
    </row>
    <row r="2696" spans="1:4" ht="56">
      <c r="A2696" s="715">
        <v>96460</v>
      </c>
      <c r="B2696" s="633" t="s">
        <v>30054</v>
      </c>
      <c r="C2696" s="715" t="s">
        <v>11</v>
      </c>
      <c r="D2696" s="716">
        <v>50.29</v>
      </c>
    </row>
    <row r="2697" spans="1:4" ht="56">
      <c r="A2697" s="715">
        <v>96459</v>
      </c>
      <c r="B2697" s="633" t="s">
        <v>30053</v>
      </c>
      <c r="C2697" s="715" t="s">
        <v>11</v>
      </c>
      <c r="D2697" s="716">
        <v>13.49</v>
      </c>
    </row>
    <row r="2698" spans="1:4" ht="56">
      <c r="A2698" s="715">
        <v>96458</v>
      </c>
      <c r="B2698" s="633" t="s">
        <v>30052</v>
      </c>
      <c r="C2698" s="715" t="s">
        <v>11</v>
      </c>
      <c r="D2698" s="716">
        <v>62.94</v>
      </c>
    </row>
    <row r="2699" spans="1:4" ht="56">
      <c r="A2699" s="715">
        <v>96457</v>
      </c>
      <c r="B2699" s="633" t="s">
        <v>30051</v>
      </c>
      <c r="C2699" s="715" t="s">
        <v>11</v>
      </c>
      <c r="D2699" s="716">
        <v>77.459999999999994</v>
      </c>
    </row>
    <row r="2700" spans="1:4" ht="70">
      <c r="A2700" s="715">
        <v>7051</v>
      </c>
      <c r="B2700" s="633" t="s">
        <v>24475</v>
      </c>
      <c r="C2700" s="715" t="s">
        <v>11</v>
      </c>
      <c r="D2700" s="716">
        <v>42.02</v>
      </c>
    </row>
    <row r="2701" spans="1:4" ht="56">
      <c r="A2701" s="715">
        <v>7052</v>
      </c>
      <c r="B2701" s="633" t="s">
        <v>24476</v>
      </c>
      <c r="C2701" s="715" t="s">
        <v>11</v>
      </c>
      <c r="D2701" s="716">
        <v>11.35</v>
      </c>
    </row>
    <row r="2702" spans="1:4" ht="70">
      <c r="A2702" s="715">
        <v>7053</v>
      </c>
      <c r="B2702" s="633" t="s">
        <v>24477</v>
      </c>
      <c r="C2702" s="715" t="s">
        <v>11</v>
      </c>
      <c r="D2702" s="716">
        <v>52.59</v>
      </c>
    </row>
    <row r="2703" spans="1:4" ht="70">
      <c r="A2703" s="715">
        <v>7054</v>
      </c>
      <c r="B2703" s="633" t="s">
        <v>24478</v>
      </c>
      <c r="C2703" s="715" t="s">
        <v>11</v>
      </c>
      <c r="D2703" s="716">
        <v>108.31</v>
      </c>
    </row>
    <row r="2704" spans="1:4" ht="56">
      <c r="A2704" s="715">
        <v>95627</v>
      </c>
      <c r="B2704" s="633" t="s">
        <v>24892</v>
      </c>
      <c r="C2704" s="715" t="s">
        <v>11</v>
      </c>
      <c r="D2704" s="716">
        <v>45.35</v>
      </c>
    </row>
    <row r="2705" spans="1:4" ht="42">
      <c r="A2705" s="715">
        <v>95628</v>
      </c>
      <c r="B2705" s="633" t="s">
        <v>24893</v>
      </c>
      <c r="C2705" s="715" t="s">
        <v>11</v>
      </c>
      <c r="D2705" s="716">
        <v>12.16</v>
      </c>
    </row>
    <row r="2706" spans="1:4" ht="56">
      <c r="A2706" s="715">
        <v>95629</v>
      </c>
      <c r="B2706" s="633" t="s">
        <v>24894</v>
      </c>
      <c r="C2706" s="715" t="s">
        <v>11</v>
      </c>
      <c r="D2706" s="716">
        <v>56.75</v>
      </c>
    </row>
    <row r="2707" spans="1:4" ht="56">
      <c r="A2707" s="715">
        <v>95630</v>
      </c>
      <c r="B2707" s="633" t="s">
        <v>24895</v>
      </c>
      <c r="C2707" s="715" t="s">
        <v>11</v>
      </c>
      <c r="D2707" s="716">
        <v>108.31</v>
      </c>
    </row>
    <row r="2708" spans="1:4" ht="70">
      <c r="A2708" s="715">
        <v>89210</v>
      </c>
      <c r="B2708" s="633" t="s">
        <v>24590</v>
      </c>
      <c r="C2708" s="715" t="s">
        <v>11</v>
      </c>
      <c r="D2708" s="716">
        <v>30.31</v>
      </c>
    </row>
    <row r="2709" spans="1:4" ht="56">
      <c r="A2709" s="715">
        <v>89211</v>
      </c>
      <c r="B2709" s="633" t="s">
        <v>24591</v>
      </c>
      <c r="C2709" s="715" t="s">
        <v>11</v>
      </c>
      <c r="D2709" s="716">
        <v>8.1300000000000008</v>
      </c>
    </row>
    <row r="2710" spans="1:4" ht="70">
      <c r="A2710" s="715">
        <v>5674</v>
      </c>
      <c r="B2710" s="633" t="s">
        <v>24433</v>
      </c>
      <c r="C2710" s="715" t="s">
        <v>11</v>
      </c>
      <c r="D2710" s="716">
        <v>37.94</v>
      </c>
    </row>
    <row r="2711" spans="1:4" ht="70">
      <c r="A2711" s="715">
        <v>53788</v>
      </c>
      <c r="B2711" s="633" t="s">
        <v>24488</v>
      </c>
      <c r="C2711" s="715" t="s">
        <v>11</v>
      </c>
      <c r="D2711" s="716">
        <v>69.33</v>
      </c>
    </row>
    <row r="2712" spans="1:4" ht="56">
      <c r="A2712" s="715">
        <v>73309</v>
      </c>
      <c r="B2712" s="633" t="s">
        <v>24513</v>
      </c>
      <c r="C2712" s="715" t="s">
        <v>11</v>
      </c>
      <c r="D2712" s="716">
        <v>31.52</v>
      </c>
    </row>
    <row r="2713" spans="1:4" ht="56">
      <c r="A2713" s="715">
        <v>73313</v>
      </c>
      <c r="B2713" s="633" t="s">
        <v>24515</v>
      </c>
      <c r="C2713" s="715" t="s">
        <v>11</v>
      </c>
      <c r="D2713" s="716">
        <v>8.51</v>
      </c>
    </row>
    <row r="2714" spans="1:4" ht="56">
      <c r="A2714" s="715">
        <v>5089</v>
      </c>
      <c r="B2714" s="633" t="s">
        <v>24425</v>
      </c>
      <c r="C2714" s="715" t="s">
        <v>11</v>
      </c>
      <c r="D2714" s="716">
        <v>39.44</v>
      </c>
    </row>
    <row r="2715" spans="1:4" ht="56">
      <c r="A2715" s="715">
        <v>73315</v>
      </c>
      <c r="B2715" s="633" t="s">
        <v>24516</v>
      </c>
      <c r="C2715" s="715" t="s">
        <v>11</v>
      </c>
      <c r="D2715" s="716">
        <v>69.33</v>
      </c>
    </row>
    <row r="2716" spans="1:4" ht="56">
      <c r="A2716" s="715">
        <v>5738</v>
      </c>
      <c r="B2716" s="633" t="s">
        <v>24453</v>
      </c>
      <c r="C2716" s="715" t="s">
        <v>11</v>
      </c>
      <c r="D2716" s="716">
        <v>41.42</v>
      </c>
    </row>
    <row r="2717" spans="1:4" ht="56">
      <c r="A2717" s="715">
        <v>93239</v>
      </c>
      <c r="B2717" s="633" t="s">
        <v>24822</v>
      </c>
      <c r="C2717" s="715" t="s">
        <v>11</v>
      </c>
      <c r="D2717" s="716">
        <v>11.11</v>
      </c>
    </row>
    <row r="2718" spans="1:4" ht="56">
      <c r="A2718" s="715">
        <v>5739</v>
      </c>
      <c r="B2718" s="633" t="s">
        <v>24454</v>
      </c>
      <c r="C2718" s="715" t="s">
        <v>11</v>
      </c>
      <c r="D2718" s="716">
        <v>51.84</v>
      </c>
    </row>
    <row r="2719" spans="1:4" ht="70">
      <c r="A2719" s="715">
        <v>93240</v>
      </c>
      <c r="B2719" s="633" t="s">
        <v>24823</v>
      </c>
      <c r="C2719" s="715" t="s">
        <v>11</v>
      </c>
      <c r="D2719" s="716">
        <v>14.52</v>
      </c>
    </row>
    <row r="2720" spans="1:4" ht="56">
      <c r="A2720" s="715">
        <v>53818</v>
      </c>
      <c r="B2720" s="633" t="s">
        <v>24497</v>
      </c>
      <c r="C2720" s="715" t="s">
        <v>11</v>
      </c>
      <c r="D2720" s="716">
        <v>9.15</v>
      </c>
    </row>
    <row r="2721" spans="1:4" ht="56">
      <c r="A2721" s="715">
        <v>93238</v>
      </c>
      <c r="B2721" s="633" t="s">
        <v>24821</v>
      </c>
      <c r="C2721" s="715" t="s">
        <v>11</v>
      </c>
      <c r="D2721" s="716">
        <v>2.4500000000000002</v>
      </c>
    </row>
    <row r="2722" spans="1:4" ht="56">
      <c r="A2722" s="715">
        <v>5727</v>
      </c>
      <c r="B2722" s="633" t="s">
        <v>24448</v>
      </c>
      <c r="C2722" s="715" t="s">
        <v>11</v>
      </c>
      <c r="D2722" s="716">
        <v>11.45</v>
      </c>
    </row>
    <row r="2723" spans="1:4" ht="56">
      <c r="A2723" s="715">
        <v>89280</v>
      </c>
      <c r="B2723" s="633" t="s">
        <v>24635</v>
      </c>
      <c r="C2723" s="715" t="s">
        <v>11</v>
      </c>
      <c r="D2723" s="716">
        <v>37.229999999999997</v>
      </c>
    </row>
    <row r="2724" spans="1:4" ht="42">
      <c r="A2724" s="715">
        <v>89281</v>
      </c>
      <c r="B2724" s="633" t="s">
        <v>24636</v>
      </c>
      <c r="C2724" s="715" t="s">
        <v>11</v>
      </c>
      <c r="D2724" s="716">
        <v>9.98</v>
      </c>
    </row>
    <row r="2725" spans="1:4" ht="56">
      <c r="A2725" s="715">
        <v>5729</v>
      </c>
      <c r="B2725" s="633" t="s">
        <v>24449</v>
      </c>
      <c r="C2725" s="715" t="s">
        <v>11</v>
      </c>
      <c r="D2725" s="716">
        <v>46.58</v>
      </c>
    </row>
    <row r="2726" spans="1:4" ht="56">
      <c r="A2726" s="715">
        <v>5730</v>
      </c>
      <c r="B2726" s="633" t="s">
        <v>24450</v>
      </c>
      <c r="C2726" s="715" t="s">
        <v>11</v>
      </c>
      <c r="D2726" s="716">
        <v>49.58</v>
      </c>
    </row>
    <row r="2727" spans="1:4" ht="42">
      <c r="A2727" s="715">
        <v>95266</v>
      </c>
      <c r="B2727" s="633" t="s">
        <v>24882</v>
      </c>
      <c r="C2727" s="715" t="s">
        <v>11</v>
      </c>
      <c r="D2727" s="716">
        <v>0.59</v>
      </c>
    </row>
    <row r="2728" spans="1:4" ht="42">
      <c r="A2728" s="715">
        <v>95267</v>
      </c>
      <c r="B2728" s="633" t="s">
        <v>24883</v>
      </c>
      <c r="C2728" s="715" t="s">
        <v>11</v>
      </c>
      <c r="D2728" s="716">
        <v>0.12</v>
      </c>
    </row>
    <row r="2729" spans="1:4" ht="42">
      <c r="A2729" s="715">
        <v>95268</v>
      </c>
      <c r="B2729" s="633" t="s">
        <v>24884</v>
      </c>
      <c r="C2729" s="715" t="s">
        <v>11</v>
      </c>
      <c r="D2729" s="716">
        <v>0.56999999999999995</v>
      </c>
    </row>
    <row r="2730" spans="1:4" ht="56">
      <c r="A2730" s="715">
        <v>95269</v>
      </c>
      <c r="B2730" s="633" t="s">
        <v>28873</v>
      </c>
      <c r="C2730" s="715" t="s">
        <v>11</v>
      </c>
      <c r="D2730" s="716">
        <v>9.56</v>
      </c>
    </row>
    <row r="2731" spans="1:4" ht="42">
      <c r="A2731" s="715">
        <v>91688</v>
      </c>
      <c r="B2731" s="633" t="s">
        <v>24771</v>
      </c>
      <c r="C2731" s="715" t="s">
        <v>11</v>
      </c>
      <c r="D2731" s="716">
        <v>0.09</v>
      </c>
    </row>
    <row r="2732" spans="1:4" ht="42">
      <c r="A2732" s="715">
        <v>91689</v>
      </c>
      <c r="B2732" s="633" t="s">
        <v>24772</v>
      </c>
      <c r="C2732" s="715" t="s">
        <v>11</v>
      </c>
      <c r="D2732" s="716">
        <v>0.01</v>
      </c>
    </row>
    <row r="2733" spans="1:4" ht="42">
      <c r="A2733" s="715">
        <v>91690</v>
      </c>
      <c r="B2733" s="633" t="s">
        <v>24773</v>
      </c>
      <c r="C2733" s="715" t="s">
        <v>11</v>
      </c>
      <c r="D2733" s="716">
        <v>0.06</v>
      </c>
    </row>
    <row r="2734" spans="1:4" ht="42">
      <c r="A2734" s="715">
        <v>91691</v>
      </c>
      <c r="B2734" s="633" t="s">
        <v>24774</v>
      </c>
      <c r="C2734" s="715" t="s">
        <v>11</v>
      </c>
      <c r="D2734" s="716">
        <v>1.1599999999999999</v>
      </c>
    </row>
    <row r="2735" spans="1:4" ht="56">
      <c r="A2735" s="715">
        <v>102924</v>
      </c>
      <c r="B2735" s="633" t="s">
        <v>33396</v>
      </c>
      <c r="C2735" s="715" t="s">
        <v>11</v>
      </c>
      <c r="D2735" s="716">
        <v>0</v>
      </c>
    </row>
    <row r="2736" spans="1:4" ht="56">
      <c r="A2736" s="715">
        <v>102925</v>
      </c>
      <c r="B2736" s="633" t="s">
        <v>33397</v>
      </c>
      <c r="C2736" s="715" t="s">
        <v>11</v>
      </c>
      <c r="D2736" s="716">
        <v>0</v>
      </c>
    </row>
    <row r="2737" spans="1:4" ht="56">
      <c r="A2737" s="715">
        <v>102926</v>
      </c>
      <c r="B2737" s="633" t="s">
        <v>33398</v>
      </c>
      <c r="C2737" s="715" t="s">
        <v>11</v>
      </c>
      <c r="D2737" s="716">
        <v>0</v>
      </c>
    </row>
    <row r="2738" spans="1:4" ht="56">
      <c r="A2738" s="715">
        <v>102927</v>
      </c>
      <c r="B2738" s="633" t="s">
        <v>24960</v>
      </c>
      <c r="C2738" s="715" t="s">
        <v>11</v>
      </c>
      <c r="D2738" s="716">
        <v>0.8</v>
      </c>
    </row>
    <row r="2739" spans="1:4" ht="28">
      <c r="A2739" s="715">
        <v>95136</v>
      </c>
      <c r="B2739" s="633" t="s">
        <v>24871</v>
      </c>
      <c r="C2739" s="715" t="s">
        <v>11</v>
      </c>
      <c r="D2739" s="716">
        <v>0.02</v>
      </c>
    </row>
    <row r="2740" spans="1:4" ht="28">
      <c r="A2740" s="715">
        <v>95137</v>
      </c>
      <c r="B2740" s="633" t="s">
        <v>24872</v>
      </c>
      <c r="C2740" s="715" t="s">
        <v>11</v>
      </c>
      <c r="D2740" s="716">
        <v>0.01</v>
      </c>
    </row>
    <row r="2741" spans="1:4" ht="28">
      <c r="A2741" s="715">
        <v>95138</v>
      </c>
      <c r="B2741" s="633" t="s">
        <v>24873</v>
      </c>
      <c r="C2741" s="715" t="s">
        <v>11</v>
      </c>
      <c r="D2741" s="716">
        <v>0.02</v>
      </c>
    </row>
    <row r="2742" spans="1:4" ht="28">
      <c r="A2742" s="715">
        <v>89023</v>
      </c>
      <c r="B2742" s="633" t="s">
        <v>24578</v>
      </c>
      <c r="C2742" s="715" t="s">
        <v>11</v>
      </c>
      <c r="D2742" s="716">
        <v>4.08</v>
      </c>
    </row>
    <row r="2743" spans="1:4" ht="28">
      <c r="A2743" s="715">
        <v>89024</v>
      </c>
      <c r="B2743" s="633" t="s">
        <v>24579</v>
      </c>
      <c r="C2743" s="715" t="s">
        <v>11</v>
      </c>
      <c r="D2743" s="716">
        <v>1.41</v>
      </c>
    </row>
    <row r="2744" spans="1:4" ht="28">
      <c r="A2744" s="715">
        <v>89025</v>
      </c>
      <c r="B2744" s="633" t="s">
        <v>24580</v>
      </c>
      <c r="C2744" s="715" t="s">
        <v>11</v>
      </c>
      <c r="D2744" s="716">
        <v>5.0999999999999996</v>
      </c>
    </row>
    <row r="2745" spans="1:4" ht="42">
      <c r="A2745" s="715">
        <v>89026</v>
      </c>
      <c r="B2745" s="633" t="s">
        <v>24581</v>
      </c>
      <c r="C2745" s="715" t="s">
        <v>11</v>
      </c>
      <c r="D2745" s="716">
        <v>207.45</v>
      </c>
    </row>
    <row r="2746" spans="1:4" ht="42">
      <c r="A2746" s="715">
        <v>7032</v>
      </c>
      <c r="B2746" s="633" t="s">
        <v>24464</v>
      </c>
      <c r="C2746" s="715" t="s">
        <v>11</v>
      </c>
      <c r="D2746" s="716">
        <v>5.0199999999999996</v>
      </c>
    </row>
    <row r="2747" spans="1:4" ht="42">
      <c r="A2747" s="715">
        <v>7033</v>
      </c>
      <c r="B2747" s="633" t="s">
        <v>24465</v>
      </c>
      <c r="C2747" s="715" t="s">
        <v>11</v>
      </c>
      <c r="D2747" s="716">
        <v>1.74</v>
      </c>
    </row>
    <row r="2748" spans="1:4" ht="42">
      <c r="A2748" s="715">
        <v>7034</v>
      </c>
      <c r="B2748" s="633" t="s">
        <v>24466</v>
      </c>
      <c r="C2748" s="715" t="s">
        <v>11</v>
      </c>
      <c r="D2748" s="716">
        <v>6.27</v>
      </c>
    </row>
    <row r="2749" spans="1:4" ht="42">
      <c r="A2749" s="715">
        <v>7035</v>
      </c>
      <c r="B2749" s="633" t="s">
        <v>24467</v>
      </c>
      <c r="C2749" s="715" t="s">
        <v>11</v>
      </c>
      <c r="D2749" s="716">
        <v>311.18</v>
      </c>
    </row>
    <row r="2750" spans="1:4" ht="56">
      <c r="A2750" s="715">
        <v>102942</v>
      </c>
      <c r="B2750" s="633" t="s">
        <v>33399</v>
      </c>
      <c r="C2750" s="715" t="s">
        <v>11</v>
      </c>
      <c r="D2750" s="716">
        <v>0</v>
      </c>
    </row>
    <row r="2751" spans="1:4" ht="56">
      <c r="A2751" s="715">
        <v>102943</v>
      </c>
      <c r="B2751" s="633" t="s">
        <v>33400</v>
      </c>
      <c r="C2751" s="715" t="s">
        <v>11</v>
      </c>
      <c r="D2751" s="716">
        <v>0</v>
      </c>
    </row>
    <row r="2752" spans="1:4" ht="56">
      <c r="A2752" s="715">
        <v>102944</v>
      </c>
      <c r="B2752" s="633" t="s">
        <v>33401</v>
      </c>
      <c r="C2752" s="715" t="s">
        <v>11</v>
      </c>
      <c r="D2752" s="716">
        <v>0</v>
      </c>
    </row>
    <row r="2753" spans="1:4" ht="56">
      <c r="A2753" s="715">
        <v>102945</v>
      </c>
      <c r="B2753" s="633" t="s">
        <v>24963</v>
      </c>
      <c r="C2753" s="715" t="s">
        <v>11</v>
      </c>
      <c r="D2753" s="716">
        <v>0.01</v>
      </c>
    </row>
    <row r="2754" spans="1:4" ht="42">
      <c r="A2754" s="715">
        <v>104087</v>
      </c>
      <c r="B2754" s="633" t="s">
        <v>24979</v>
      </c>
      <c r="C2754" s="715" t="s">
        <v>11</v>
      </c>
      <c r="D2754" s="716">
        <v>0.03</v>
      </c>
    </row>
    <row r="2755" spans="1:4" ht="42">
      <c r="A2755" s="715">
        <v>104088</v>
      </c>
      <c r="B2755" s="633" t="s">
        <v>24980</v>
      </c>
      <c r="C2755" s="715" t="s">
        <v>11</v>
      </c>
      <c r="D2755" s="716">
        <v>0</v>
      </c>
    </row>
    <row r="2756" spans="1:4" ht="42">
      <c r="A2756" s="715">
        <v>104089</v>
      </c>
      <c r="B2756" s="633" t="s">
        <v>24981</v>
      </c>
      <c r="C2756" s="715" t="s">
        <v>11</v>
      </c>
      <c r="D2756" s="716">
        <v>0.04</v>
      </c>
    </row>
    <row r="2757" spans="1:4" ht="42">
      <c r="A2757" s="715">
        <v>104090</v>
      </c>
      <c r="B2757" s="633" t="s">
        <v>24982</v>
      </c>
      <c r="C2757" s="715" t="s">
        <v>11</v>
      </c>
      <c r="D2757" s="716">
        <v>0.57999999999999996</v>
      </c>
    </row>
    <row r="2758" spans="1:4" ht="42">
      <c r="A2758" s="715">
        <v>104093</v>
      </c>
      <c r="B2758" s="633" t="s">
        <v>24983</v>
      </c>
      <c r="C2758" s="715" t="s">
        <v>11</v>
      </c>
      <c r="D2758" s="716">
        <v>0.04</v>
      </c>
    </row>
    <row r="2759" spans="1:4" ht="42">
      <c r="A2759" s="715">
        <v>104094</v>
      </c>
      <c r="B2759" s="633" t="s">
        <v>24984</v>
      </c>
      <c r="C2759" s="715" t="s">
        <v>11</v>
      </c>
      <c r="D2759" s="716">
        <v>0.01</v>
      </c>
    </row>
    <row r="2760" spans="1:4" ht="42">
      <c r="A2760" s="715">
        <v>104095</v>
      </c>
      <c r="B2760" s="633" t="s">
        <v>24985</v>
      </c>
      <c r="C2760" s="715" t="s">
        <v>11</v>
      </c>
      <c r="D2760" s="716">
        <v>0.05</v>
      </c>
    </row>
    <row r="2761" spans="1:4" ht="56">
      <c r="A2761" s="715">
        <v>104096</v>
      </c>
      <c r="B2761" s="633" t="s">
        <v>24986</v>
      </c>
      <c r="C2761" s="715" t="s">
        <v>11</v>
      </c>
      <c r="D2761" s="716">
        <v>0.8</v>
      </c>
    </row>
    <row r="2762" spans="1:4" ht="42">
      <c r="A2762" s="715">
        <v>102900</v>
      </c>
      <c r="B2762" s="633" t="s">
        <v>40288</v>
      </c>
      <c r="C2762" s="715" t="s">
        <v>11</v>
      </c>
      <c r="D2762" s="716">
        <v>0</v>
      </c>
    </row>
    <row r="2763" spans="1:4" ht="42">
      <c r="A2763" s="715">
        <v>102901</v>
      </c>
      <c r="B2763" s="633" t="s">
        <v>40289</v>
      </c>
      <c r="C2763" s="715" t="s">
        <v>11</v>
      </c>
      <c r="D2763" s="716">
        <v>0</v>
      </c>
    </row>
    <row r="2764" spans="1:4" ht="42">
      <c r="A2764" s="715">
        <v>102902</v>
      </c>
      <c r="B2764" s="633" t="s">
        <v>40290</v>
      </c>
      <c r="C2764" s="715" t="s">
        <v>11</v>
      </c>
      <c r="D2764" s="716">
        <v>0</v>
      </c>
    </row>
    <row r="2765" spans="1:4" ht="42">
      <c r="A2765" s="715">
        <v>102903</v>
      </c>
      <c r="B2765" s="633" t="s">
        <v>40291</v>
      </c>
      <c r="C2765" s="715" t="s">
        <v>11</v>
      </c>
      <c r="D2765" s="716">
        <v>14.15</v>
      </c>
    </row>
    <row r="2766" spans="1:4" ht="42">
      <c r="A2766" s="715">
        <v>89029</v>
      </c>
      <c r="B2766" s="633" t="s">
        <v>24582</v>
      </c>
      <c r="C2766" s="715" t="s">
        <v>11</v>
      </c>
      <c r="D2766" s="716">
        <v>34.78</v>
      </c>
    </row>
    <row r="2767" spans="1:4" ht="42">
      <c r="A2767" s="715">
        <v>89030</v>
      </c>
      <c r="B2767" s="633" t="s">
        <v>24583</v>
      </c>
      <c r="C2767" s="715" t="s">
        <v>11</v>
      </c>
      <c r="D2767" s="716">
        <v>15.32</v>
      </c>
    </row>
    <row r="2768" spans="1:4" ht="42">
      <c r="A2768" s="715">
        <v>5724</v>
      </c>
      <c r="B2768" s="633" t="s">
        <v>24447</v>
      </c>
      <c r="C2768" s="715" t="s">
        <v>11</v>
      </c>
      <c r="D2768" s="716">
        <v>62.18</v>
      </c>
    </row>
    <row r="2769" spans="1:4" ht="42">
      <c r="A2769" s="715">
        <v>53817</v>
      </c>
      <c r="B2769" s="633" t="s">
        <v>24496</v>
      </c>
      <c r="C2769" s="715" t="s">
        <v>11</v>
      </c>
      <c r="D2769" s="716">
        <v>75.790000000000006</v>
      </c>
    </row>
    <row r="2770" spans="1:4" ht="42">
      <c r="A2770" s="715">
        <v>88839</v>
      </c>
      <c r="B2770" s="633" t="s">
        <v>24554</v>
      </c>
      <c r="C2770" s="715" t="s">
        <v>11</v>
      </c>
      <c r="D2770" s="716">
        <v>36.4</v>
      </c>
    </row>
    <row r="2771" spans="1:4" ht="42">
      <c r="A2771" s="715">
        <v>88840</v>
      </c>
      <c r="B2771" s="633" t="s">
        <v>24555</v>
      </c>
      <c r="C2771" s="715" t="s">
        <v>11</v>
      </c>
      <c r="D2771" s="716">
        <v>16.03</v>
      </c>
    </row>
    <row r="2772" spans="1:4" ht="42">
      <c r="A2772" s="715">
        <v>88841</v>
      </c>
      <c r="B2772" s="633" t="s">
        <v>24556</v>
      </c>
      <c r="C2772" s="715" t="s">
        <v>11</v>
      </c>
      <c r="D2772" s="716">
        <v>65.08</v>
      </c>
    </row>
    <row r="2773" spans="1:4" ht="42">
      <c r="A2773" s="715">
        <v>88842</v>
      </c>
      <c r="B2773" s="633" t="s">
        <v>24557</v>
      </c>
      <c r="C2773" s="715" t="s">
        <v>11</v>
      </c>
      <c r="D2773" s="716">
        <v>94.81</v>
      </c>
    </row>
    <row r="2774" spans="1:4" ht="42">
      <c r="A2774" s="715">
        <v>89009</v>
      </c>
      <c r="B2774" s="633" t="s">
        <v>24568</v>
      </c>
      <c r="C2774" s="715" t="s">
        <v>11</v>
      </c>
      <c r="D2774" s="716">
        <v>45.09</v>
      </c>
    </row>
    <row r="2775" spans="1:4" ht="42">
      <c r="A2775" s="715">
        <v>89010</v>
      </c>
      <c r="B2775" s="633" t="s">
        <v>24569</v>
      </c>
      <c r="C2775" s="715" t="s">
        <v>11</v>
      </c>
      <c r="D2775" s="716">
        <v>19.86</v>
      </c>
    </row>
    <row r="2776" spans="1:4" ht="42">
      <c r="A2776" s="715">
        <v>53810</v>
      </c>
      <c r="B2776" s="633" t="s">
        <v>24494</v>
      </c>
      <c r="C2776" s="715" t="s">
        <v>11</v>
      </c>
      <c r="D2776" s="716">
        <v>80.62</v>
      </c>
    </row>
    <row r="2777" spans="1:4" ht="56">
      <c r="A2777" s="715">
        <v>5721</v>
      </c>
      <c r="B2777" s="633" t="s">
        <v>24445</v>
      </c>
      <c r="C2777" s="715" t="s">
        <v>11</v>
      </c>
      <c r="D2777" s="716">
        <v>113.76</v>
      </c>
    </row>
    <row r="2778" spans="1:4" ht="42">
      <c r="A2778" s="715">
        <v>89017</v>
      </c>
      <c r="B2778" s="633" t="s">
        <v>24576</v>
      </c>
      <c r="C2778" s="715" t="s">
        <v>11</v>
      </c>
      <c r="D2778" s="716">
        <v>44.81</v>
      </c>
    </row>
    <row r="2779" spans="1:4" ht="42">
      <c r="A2779" s="715">
        <v>89018</v>
      </c>
      <c r="B2779" s="633" t="s">
        <v>24577</v>
      </c>
      <c r="C2779" s="715" t="s">
        <v>11</v>
      </c>
      <c r="D2779" s="716">
        <v>19.739999999999998</v>
      </c>
    </row>
    <row r="2780" spans="1:4" ht="42">
      <c r="A2780" s="715">
        <v>53806</v>
      </c>
      <c r="B2780" s="633" t="s">
        <v>24493</v>
      </c>
      <c r="C2780" s="715" t="s">
        <v>11</v>
      </c>
      <c r="D2780" s="716">
        <v>80.12</v>
      </c>
    </row>
    <row r="2781" spans="1:4" ht="42">
      <c r="A2781" s="715">
        <v>5718</v>
      </c>
      <c r="B2781" s="633" t="s">
        <v>24444</v>
      </c>
      <c r="C2781" s="715" t="s">
        <v>11</v>
      </c>
      <c r="D2781" s="716">
        <v>128.93</v>
      </c>
    </row>
    <row r="2782" spans="1:4" ht="42">
      <c r="A2782" s="715">
        <v>89013</v>
      </c>
      <c r="B2782" s="633" t="s">
        <v>24572</v>
      </c>
      <c r="C2782" s="715" t="s">
        <v>11</v>
      </c>
      <c r="D2782" s="716">
        <v>147.71</v>
      </c>
    </row>
    <row r="2783" spans="1:4" ht="42">
      <c r="A2783" s="715">
        <v>89014</v>
      </c>
      <c r="B2783" s="633" t="s">
        <v>24573</v>
      </c>
      <c r="C2783" s="715" t="s">
        <v>11</v>
      </c>
      <c r="D2783" s="716">
        <v>65.06</v>
      </c>
    </row>
    <row r="2784" spans="1:4" ht="42">
      <c r="A2784" s="715">
        <v>53814</v>
      </c>
      <c r="B2784" s="633" t="s">
        <v>24495</v>
      </c>
      <c r="C2784" s="715" t="s">
        <v>11</v>
      </c>
      <c r="D2784" s="716">
        <v>264.07</v>
      </c>
    </row>
    <row r="2785" spans="1:4" ht="42">
      <c r="A2785" s="715">
        <v>5722</v>
      </c>
      <c r="B2785" s="633" t="s">
        <v>24446</v>
      </c>
      <c r="C2785" s="715" t="s">
        <v>11</v>
      </c>
      <c r="D2785" s="716">
        <v>263.10000000000002</v>
      </c>
    </row>
    <row r="2786" spans="1:4" ht="42">
      <c r="A2786" s="715">
        <v>96015</v>
      </c>
      <c r="B2786" s="633" t="s">
        <v>24908</v>
      </c>
      <c r="C2786" s="715" t="s">
        <v>11</v>
      </c>
      <c r="D2786" s="716">
        <v>22.43</v>
      </c>
    </row>
    <row r="2787" spans="1:4" ht="42">
      <c r="A2787" s="715">
        <v>96016</v>
      </c>
      <c r="B2787" s="633" t="s">
        <v>24909</v>
      </c>
      <c r="C2787" s="715" t="s">
        <v>11</v>
      </c>
      <c r="D2787" s="716">
        <v>6.01</v>
      </c>
    </row>
    <row r="2788" spans="1:4" ht="42">
      <c r="A2788" s="715">
        <v>96018</v>
      </c>
      <c r="B2788" s="633" t="s">
        <v>24910</v>
      </c>
      <c r="C2788" s="715" t="s">
        <v>11</v>
      </c>
      <c r="D2788" s="716">
        <v>24.54</v>
      </c>
    </row>
    <row r="2789" spans="1:4" ht="42">
      <c r="A2789" s="715">
        <v>96019</v>
      </c>
      <c r="B2789" s="633" t="s">
        <v>24911</v>
      </c>
      <c r="C2789" s="715" t="s">
        <v>11</v>
      </c>
      <c r="D2789" s="716">
        <v>117.32</v>
      </c>
    </row>
    <row r="2790" spans="1:4" ht="42">
      <c r="A2790" s="715">
        <v>96008</v>
      </c>
      <c r="B2790" s="633" t="s">
        <v>24904</v>
      </c>
      <c r="C2790" s="715" t="s">
        <v>11</v>
      </c>
      <c r="D2790" s="716">
        <v>22.64</v>
      </c>
    </row>
    <row r="2791" spans="1:4" ht="42">
      <c r="A2791" s="715">
        <v>96009</v>
      </c>
      <c r="B2791" s="633" t="s">
        <v>24905</v>
      </c>
      <c r="C2791" s="715" t="s">
        <v>11</v>
      </c>
      <c r="D2791" s="716">
        <v>6.07</v>
      </c>
    </row>
    <row r="2792" spans="1:4" ht="42">
      <c r="A2792" s="715">
        <v>96011</v>
      </c>
      <c r="B2792" s="633" t="s">
        <v>24906</v>
      </c>
      <c r="C2792" s="715" t="s">
        <v>11</v>
      </c>
      <c r="D2792" s="716">
        <v>24.77</v>
      </c>
    </row>
    <row r="2793" spans="1:4" ht="42">
      <c r="A2793" s="715">
        <v>96012</v>
      </c>
      <c r="B2793" s="633" t="s">
        <v>24907</v>
      </c>
      <c r="C2793" s="715" t="s">
        <v>11</v>
      </c>
      <c r="D2793" s="716">
        <v>117.32</v>
      </c>
    </row>
    <row r="2794" spans="1:4" ht="42">
      <c r="A2794" s="715">
        <v>96023</v>
      </c>
      <c r="B2794" s="633" t="s">
        <v>24912</v>
      </c>
      <c r="C2794" s="715" t="s">
        <v>11</v>
      </c>
      <c r="D2794" s="716">
        <v>17.38</v>
      </c>
    </row>
    <row r="2795" spans="1:4" ht="42">
      <c r="A2795" s="715">
        <v>96024</v>
      </c>
      <c r="B2795" s="633" t="s">
        <v>24913</v>
      </c>
      <c r="C2795" s="715" t="s">
        <v>11</v>
      </c>
      <c r="D2795" s="716">
        <v>4.6500000000000004</v>
      </c>
    </row>
    <row r="2796" spans="1:4" ht="42">
      <c r="A2796" s="715">
        <v>96026</v>
      </c>
      <c r="B2796" s="633" t="s">
        <v>24914</v>
      </c>
      <c r="C2796" s="715" t="s">
        <v>11</v>
      </c>
      <c r="D2796" s="716">
        <v>19.010000000000002</v>
      </c>
    </row>
    <row r="2797" spans="1:4" ht="42">
      <c r="A2797" s="715">
        <v>96027</v>
      </c>
      <c r="B2797" s="633" t="s">
        <v>24915</v>
      </c>
      <c r="C2797" s="715" t="s">
        <v>11</v>
      </c>
      <c r="D2797" s="716">
        <v>81.739999999999995</v>
      </c>
    </row>
    <row r="2798" spans="1:4" ht="42">
      <c r="A2798" s="715">
        <v>96053</v>
      </c>
      <c r="B2798" s="633" t="s">
        <v>24921</v>
      </c>
      <c r="C2798" s="715" t="s">
        <v>11</v>
      </c>
      <c r="D2798" s="716">
        <v>17.59</v>
      </c>
    </row>
    <row r="2799" spans="1:4" ht="42">
      <c r="A2799" s="715">
        <v>96055</v>
      </c>
      <c r="B2799" s="633" t="s">
        <v>24923</v>
      </c>
      <c r="C2799" s="715" t="s">
        <v>11</v>
      </c>
      <c r="D2799" s="716">
        <v>4.71</v>
      </c>
    </row>
    <row r="2800" spans="1:4" ht="42">
      <c r="A2800" s="715">
        <v>96056</v>
      </c>
      <c r="B2800" s="633" t="s">
        <v>24924</v>
      </c>
      <c r="C2800" s="715" t="s">
        <v>11</v>
      </c>
      <c r="D2800" s="716">
        <v>19.239999999999998</v>
      </c>
    </row>
    <row r="2801" spans="1:4" ht="42">
      <c r="A2801" s="715">
        <v>96057</v>
      </c>
      <c r="B2801" s="633" t="s">
        <v>24925</v>
      </c>
      <c r="C2801" s="715" t="s">
        <v>11</v>
      </c>
      <c r="D2801" s="716">
        <v>81.739999999999995</v>
      </c>
    </row>
    <row r="2802" spans="1:4" ht="42">
      <c r="A2802" s="715">
        <v>7063</v>
      </c>
      <c r="B2802" s="633" t="s">
        <v>24483</v>
      </c>
      <c r="C2802" s="715" t="s">
        <v>11</v>
      </c>
      <c r="D2802" s="716">
        <v>18.899999999999999</v>
      </c>
    </row>
    <row r="2803" spans="1:4" ht="28">
      <c r="A2803" s="715">
        <v>7064</v>
      </c>
      <c r="B2803" s="633" t="s">
        <v>24484</v>
      </c>
      <c r="C2803" s="715" t="s">
        <v>11</v>
      </c>
      <c r="D2803" s="716">
        <v>5.0999999999999996</v>
      </c>
    </row>
    <row r="2804" spans="1:4" ht="42">
      <c r="A2804" s="715">
        <v>7065</v>
      </c>
      <c r="B2804" s="633" t="s">
        <v>24485</v>
      </c>
      <c r="C2804" s="715" t="s">
        <v>11</v>
      </c>
      <c r="D2804" s="716">
        <v>20.68</v>
      </c>
    </row>
    <row r="2805" spans="1:4" ht="42">
      <c r="A2805" s="715">
        <v>7066</v>
      </c>
      <c r="B2805" s="633" t="s">
        <v>24486</v>
      </c>
      <c r="C2805" s="715" t="s">
        <v>11</v>
      </c>
      <c r="D2805" s="716">
        <v>117.32</v>
      </c>
    </row>
    <row r="2806" spans="1:4" ht="42">
      <c r="A2806" s="715">
        <v>89033</v>
      </c>
      <c r="B2806" s="633" t="s">
        <v>24584</v>
      </c>
      <c r="C2806" s="715" t="s">
        <v>11</v>
      </c>
      <c r="D2806" s="716">
        <v>13.85</v>
      </c>
    </row>
    <row r="2807" spans="1:4" ht="28">
      <c r="A2807" s="715">
        <v>89034</v>
      </c>
      <c r="B2807" s="633" t="s">
        <v>24585</v>
      </c>
      <c r="C2807" s="715" t="s">
        <v>11</v>
      </c>
      <c r="D2807" s="716">
        <v>3.71</v>
      </c>
    </row>
    <row r="2808" spans="1:4" ht="42">
      <c r="A2808" s="715">
        <v>5714</v>
      </c>
      <c r="B2808" s="633" t="s">
        <v>24442</v>
      </c>
      <c r="C2808" s="715" t="s">
        <v>11</v>
      </c>
      <c r="D2808" s="716">
        <v>15.15</v>
      </c>
    </row>
    <row r="2809" spans="1:4" ht="42">
      <c r="A2809" s="715">
        <v>5715</v>
      </c>
      <c r="B2809" s="633" t="s">
        <v>24443</v>
      </c>
      <c r="C2809" s="715" t="s">
        <v>11</v>
      </c>
      <c r="D2809" s="716">
        <v>81.739999999999995</v>
      </c>
    </row>
    <row r="2810" spans="1:4" ht="28">
      <c r="A2810" s="715">
        <v>102906</v>
      </c>
      <c r="B2810" s="633" t="s">
        <v>33402</v>
      </c>
      <c r="C2810" s="715" t="s">
        <v>11</v>
      </c>
      <c r="D2810" s="716">
        <v>0</v>
      </c>
    </row>
    <row r="2811" spans="1:4" ht="28">
      <c r="A2811" s="715">
        <v>102907</v>
      </c>
      <c r="B2811" s="633" t="s">
        <v>33403</v>
      </c>
      <c r="C2811" s="715" t="s">
        <v>11</v>
      </c>
      <c r="D2811" s="716">
        <v>0</v>
      </c>
    </row>
    <row r="2812" spans="1:4" ht="28">
      <c r="A2812" s="715">
        <v>102908</v>
      </c>
      <c r="B2812" s="633" t="s">
        <v>33404</v>
      </c>
      <c r="C2812" s="715" t="s">
        <v>11</v>
      </c>
      <c r="D2812" s="716">
        <v>0</v>
      </c>
    </row>
    <row r="2813" spans="1:4" ht="28">
      <c r="A2813" s="715">
        <v>102909</v>
      </c>
      <c r="B2813" s="633" t="s">
        <v>24958</v>
      </c>
      <c r="C2813" s="715" t="s">
        <v>11</v>
      </c>
      <c r="D2813" s="716">
        <v>3.5</v>
      </c>
    </row>
    <row r="2814" spans="1:4" ht="42">
      <c r="A2814" s="715">
        <v>93435</v>
      </c>
      <c r="B2814" s="633" t="s">
        <v>24853</v>
      </c>
      <c r="C2814" s="715" t="s">
        <v>11</v>
      </c>
      <c r="D2814" s="716">
        <v>9.1999999999999993</v>
      </c>
    </row>
    <row r="2815" spans="1:4" ht="42">
      <c r="A2815" s="715">
        <v>93436</v>
      </c>
      <c r="B2815" s="633" t="s">
        <v>24854</v>
      </c>
      <c r="C2815" s="715" t="s">
        <v>11</v>
      </c>
      <c r="D2815" s="716">
        <v>2.83</v>
      </c>
    </row>
    <row r="2816" spans="1:4" ht="42">
      <c r="A2816" s="715">
        <v>93437</v>
      </c>
      <c r="B2816" s="633" t="s">
        <v>24855</v>
      </c>
      <c r="C2816" s="715" t="s">
        <v>11</v>
      </c>
      <c r="D2816" s="716">
        <v>10.06</v>
      </c>
    </row>
    <row r="2817" spans="1:4" ht="42">
      <c r="A2817" s="715">
        <v>93438</v>
      </c>
      <c r="B2817" s="633" t="s">
        <v>24856</v>
      </c>
      <c r="C2817" s="715" t="s">
        <v>11</v>
      </c>
      <c r="D2817" s="716">
        <v>136.27000000000001</v>
      </c>
    </row>
    <row r="2818" spans="1:4" ht="28">
      <c r="A2818" s="715">
        <v>100643</v>
      </c>
      <c r="B2818" s="633" t="s">
        <v>24938</v>
      </c>
      <c r="C2818" s="715" t="s">
        <v>11</v>
      </c>
      <c r="D2818" s="716">
        <v>412.54</v>
      </c>
    </row>
    <row r="2819" spans="1:4" ht="28">
      <c r="A2819" s="715">
        <v>100644</v>
      </c>
      <c r="B2819" s="633" t="s">
        <v>24939</v>
      </c>
      <c r="C2819" s="715" t="s">
        <v>11</v>
      </c>
      <c r="D2819" s="716">
        <v>145.41999999999999</v>
      </c>
    </row>
    <row r="2820" spans="1:4" ht="28">
      <c r="A2820" s="715">
        <v>100645</v>
      </c>
      <c r="B2820" s="633" t="s">
        <v>24940</v>
      </c>
      <c r="C2820" s="715" t="s">
        <v>11</v>
      </c>
      <c r="D2820" s="716">
        <v>663.17</v>
      </c>
    </row>
    <row r="2821" spans="1:4" ht="28">
      <c r="A2821" s="715">
        <v>100646</v>
      </c>
      <c r="B2821" s="633" t="s">
        <v>24941</v>
      </c>
      <c r="C2821" s="715" t="s">
        <v>11</v>
      </c>
      <c r="D2821" s="716">
        <v>6534</v>
      </c>
    </row>
    <row r="2822" spans="1:4" ht="28">
      <c r="A2822" s="715">
        <v>95116</v>
      </c>
      <c r="B2822" s="633" t="s">
        <v>24859</v>
      </c>
      <c r="C2822" s="715" t="s">
        <v>11</v>
      </c>
      <c r="D2822" s="716">
        <v>32.549999999999997</v>
      </c>
    </row>
    <row r="2823" spans="1:4" ht="28">
      <c r="A2823" s="715">
        <v>95117</v>
      </c>
      <c r="B2823" s="633" t="s">
        <v>24860</v>
      </c>
      <c r="C2823" s="715" t="s">
        <v>11</v>
      </c>
      <c r="D2823" s="716">
        <v>10.039999999999999</v>
      </c>
    </row>
    <row r="2824" spans="1:4" ht="28">
      <c r="A2824" s="715">
        <v>53794</v>
      </c>
      <c r="B2824" s="633" t="s">
        <v>24490</v>
      </c>
      <c r="C2824" s="715" t="s">
        <v>11</v>
      </c>
      <c r="D2824" s="716">
        <v>35.619999999999997</v>
      </c>
    </row>
    <row r="2825" spans="1:4" ht="42">
      <c r="A2825" s="715">
        <v>5703</v>
      </c>
      <c r="B2825" s="633" t="s">
        <v>24437</v>
      </c>
      <c r="C2825" s="715" t="s">
        <v>11</v>
      </c>
      <c r="D2825" s="716">
        <v>20.46</v>
      </c>
    </row>
    <row r="2826" spans="1:4" ht="98">
      <c r="A2826" s="715">
        <v>106089</v>
      </c>
      <c r="B2826" s="633" t="s">
        <v>41441</v>
      </c>
      <c r="C2826" s="715" t="s">
        <v>11</v>
      </c>
      <c r="D2826" s="716">
        <v>51.48</v>
      </c>
    </row>
    <row r="2827" spans="1:4" ht="98">
      <c r="A2827" s="715">
        <v>106092</v>
      </c>
      <c r="B2827" s="633" t="s">
        <v>41442</v>
      </c>
      <c r="C2827" s="715" t="s">
        <v>11</v>
      </c>
      <c r="D2827" s="716">
        <v>8.5399999999999991</v>
      </c>
    </row>
    <row r="2828" spans="1:4" ht="98">
      <c r="A2828" s="715">
        <v>106090</v>
      </c>
      <c r="B2828" s="633" t="s">
        <v>41443</v>
      </c>
      <c r="C2828" s="715" t="s">
        <v>11</v>
      </c>
      <c r="D2828" s="716">
        <v>21.15</v>
      </c>
    </row>
    <row r="2829" spans="1:4" ht="98">
      <c r="A2829" s="715">
        <v>106091</v>
      </c>
      <c r="B2829" s="633" t="s">
        <v>41444</v>
      </c>
      <c r="C2829" s="715" t="s">
        <v>11</v>
      </c>
      <c r="D2829" s="716">
        <v>96.52</v>
      </c>
    </row>
    <row r="2830" spans="1:4" ht="112">
      <c r="A2830" s="715">
        <v>106093</v>
      </c>
      <c r="B2830" s="633" t="s">
        <v>41445</v>
      </c>
      <c r="C2830" s="715" t="s">
        <v>11</v>
      </c>
      <c r="D2830" s="716">
        <v>152.82</v>
      </c>
    </row>
    <row r="2831" spans="1:4" ht="42">
      <c r="A2831" s="715">
        <v>100637</v>
      </c>
      <c r="B2831" s="633" t="s">
        <v>24934</v>
      </c>
      <c r="C2831" s="715" t="s">
        <v>11</v>
      </c>
      <c r="D2831" s="716">
        <v>201.34</v>
      </c>
    </row>
    <row r="2832" spans="1:4" ht="42">
      <c r="A2832" s="715">
        <v>100638</v>
      </c>
      <c r="B2832" s="633" t="s">
        <v>24935</v>
      </c>
      <c r="C2832" s="715" t="s">
        <v>11</v>
      </c>
      <c r="D2832" s="716">
        <v>61.89</v>
      </c>
    </row>
    <row r="2833" spans="1:4" ht="42">
      <c r="A2833" s="715">
        <v>100639</v>
      </c>
      <c r="B2833" s="633" t="s">
        <v>24936</v>
      </c>
      <c r="C2833" s="715" t="s">
        <v>11</v>
      </c>
      <c r="D2833" s="716">
        <v>251.87</v>
      </c>
    </row>
    <row r="2834" spans="1:4" ht="42">
      <c r="A2834" s="715">
        <v>100640</v>
      </c>
      <c r="B2834" s="633" t="s">
        <v>24937</v>
      </c>
      <c r="C2834" s="715" t="s">
        <v>11</v>
      </c>
      <c r="D2834" s="716">
        <v>5227.2</v>
      </c>
    </row>
    <row r="2835" spans="1:4" ht="42">
      <c r="A2835" s="715">
        <v>93429</v>
      </c>
      <c r="B2835" s="633" t="s">
        <v>24849</v>
      </c>
      <c r="C2835" s="715" t="s">
        <v>11</v>
      </c>
      <c r="D2835" s="716">
        <v>163.91</v>
      </c>
    </row>
    <row r="2836" spans="1:4" ht="42">
      <c r="A2836" s="715">
        <v>93430</v>
      </c>
      <c r="B2836" s="633" t="s">
        <v>24850</v>
      </c>
      <c r="C2836" s="715" t="s">
        <v>11</v>
      </c>
      <c r="D2836" s="716">
        <v>50.38</v>
      </c>
    </row>
    <row r="2837" spans="1:4" ht="42">
      <c r="A2837" s="715">
        <v>93431</v>
      </c>
      <c r="B2837" s="633" t="s">
        <v>24851</v>
      </c>
      <c r="C2837" s="715" t="s">
        <v>11</v>
      </c>
      <c r="D2837" s="716">
        <v>205.05</v>
      </c>
    </row>
    <row r="2838" spans="1:4" ht="42">
      <c r="A2838" s="715">
        <v>93432</v>
      </c>
      <c r="B2838" s="633" t="s">
        <v>24852</v>
      </c>
      <c r="C2838" s="715" t="s">
        <v>11</v>
      </c>
      <c r="D2838" s="716">
        <v>2613.6</v>
      </c>
    </row>
    <row r="2839" spans="1:4" ht="42">
      <c r="A2839" s="715">
        <v>95118</v>
      </c>
      <c r="B2839" s="633" t="s">
        <v>24861</v>
      </c>
      <c r="C2839" s="715" t="s">
        <v>11</v>
      </c>
      <c r="D2839" s="716">
        <v>75.17</v>
      </c>
    </row>
    <row r="2840" spans="1:4" ht="28">
      <c r="A2840" s="715">
        <v>95119</v>
      </c>
      <c r="B2840" s="633" t="s">
        <v>24862</v>
      </c>
      <c r="C2840" s="715" t="s">
        <v>11</v>
      </c>
      <c r="D2840" s="716">
        <v>23.19</v>
      </c>
    </row>
    <row r="2841" spans="1:4" ht="42">
      <c r="A2841" s="715">
        <v>5707</v>
      </c>
      <c r="B2841" s="633" t="s">
        <v>24439</v>
      </c>
      <c r="C2841" s="715" t="s">
        <v>11</v>
      </c>
      <c r="D2841" s="716">
        <v>82.25</v>
      </c>
    </row>
    <row r="2842" spans="1:4" ht="42">
      <c r="A2842" s="715">
        <v>95120</v>
      </c>
      <c r="B2842" s="633" t="s">
        <v>24863</v>
      </c>
      <c r="C2842" s="715" t="s">
        <v>11</v>
      </c>
      <c r="D2842" s="716">
        <v>54.82</v>
      </c>
    </row>
    <row r="2843" spans="1:4" ht="28">
      <c r="A2843" s="715">
        <v>103657</v>
      </c>
      <c r="B2843" s="633" t="s">
        <v>33405</v>
      </c>
      <c r="C2843" s="715" t="s">
        <v>11</v>
      </c>
      <c r="D2843" s="716">
        <v>0</v>
      </c>
    </row>
    <row r="2844" spans="1:4" ht="28">
      <c r="A2844" s="715">
        <v>103658</v>
      </c>
      <c r="B2844" s="633" t="s">
        <v>33406</v>
      </c>
      <c r="C2844" s="715" t="s">
        <v>11</v>
      </c>
      <c r="D2844" s="716">
        <v>0</v>
      </c>
    </row>
    <row r="2845" spans="1:4" ht="28">
      <c r="A2845" s="715">
        <v>103659</v>
      </c>
      <c r="B2845" s="633" t="s">
        <v>33407</v>
      </c>
      <c r="C2845" s="715" t="s">
        <v>11</v>
      </c>
      <c r="D2845" s="716">
        <v>0</v>
      </c>
    </row>
    <row r="2846" spans="1:4" ht="28">
      <c r="A2846" s="715">
        <v>103660</v>
      </c>
      <c r="B2846" s="633" t="s">
        <v>24977</v>
      </c>
      <c r="C2846" s="715" t="s">
        <v>11</v>
      </c>
      <c r="D2846" s="716">
        <v>12.88</v>
      </c>
    </row>
    <row r="2847" spans="1:4" ht="42">
      <c r="A2847" s="715">
        <v>89015</v>
      </c>
      <c r="B2847" s="633" t="s">
        <v>24574</v>
      </c>
      <c r="C2847" s="715" t="s">
        <v>11</v>
      </c>
      <c r="D2847" s="716">
        <v>3.93</v>
      </c>
    </row>
    <row r="2848" spans="1:4" ht="42">
      <c r="A2848" s="715">
        <v>89016</v>
      </c>
      <c r="B2848" s="633" t="s">
        <v>24575</v>
      </c>
      <c r="C2848" s="715" t="s">
        <v>11</v>
      </c>
      <c r="D2848" s="716">
        <v>1.04</v>
      </c>
    </row>
    <row r="2849" spans="1:4" ht="42">
      <c r="A2849" s="715">
        <v>53804</v>
      </c>
      <c r="B2849" s="633" t="s">
        <v>24492</v>
      </c>
      <c r="C2849" s="715" t="s">
        <v>11</v>
      </c>
      <c r="D2849" s="716">
        <v>4.92</v>
      </c>
    </row>
    <row r="2850" spans="1:4" ht="42">
      <c r="A2850" s="715">
        <v>90582</v>
      </c>
      <c r="B2850" s="633" t="s">
        <v>24647</v>
      </c>
      <c r="C2850" s="715" t="s">
        <v>11</v>
      </c>
      <c r="D2850" s="716">
        <v>0.48</v>
      </c>
    </row>
    <row r="2851" spans="1:4" ht="42">
      <c r="A2851" s="715">
        <v>90583</v>
      </c>
      <c r="B2851" s="633" t="s">
        <v>24648</v>
      </c>
      <c r="C2851" s="715" t="s">
        <v>11</v>
      </c>
      <c r="D2851" s="716">
        <v>0.11</v>
      </c>
    </row>
    <row r="2852" spans="1:4" ht="42">
      <c r="A2852" s="715">
        <v>90584</v>
      </c>
      <c r="B2852" s="633" t="s">
        <v>24649</v>
      </c>
      <c r="C2852" s="715" t="s">
        <v>11</v>
      </c>
      <c r="D2852" s="716">
        <v>0.37</v>
      </c>
    </row>
    <row r="2853" spans="1:4" ht="42">
      <c r="A2853" s="715">
        <v>90585</v>
      </c>
      <c r="B2853" s="633" t="s">
        <v>24650</v>
      </c>
      <c r="C2853" s="715" t="s">
        <v>11</v>
      </c>
      <c r="D2853" s="716">
        <v>0.44</v>
      </c>
    </row>
    <row r="2854" spans="1:4" ht="42">
      <c r="A2854" s="715">
        <v>106380</v>
      </c>
      <c r="B2854" s="633" t="s">
        <v>42396</v>
      </c>
      <c r="C2854" s="715" t="s">
        <v>11</v>
      </c>
      <c r="D2854" s="716">
        <v>72.33</v>
      </c>
    </row>
    <row r="2855" spans="1:4" ht="42">
      <c r="A2855" s="715">
        <v>106381</v>
      </c>
      <c r="B2855" s="633" t="s">
        <v>42397</v>
      </c>
      <c r="C2855" s="715" t="s">
        <v>11</v>
      </c>
      <c r="D2855" s="716">
        <v>25.49</v>
      </c>
    </row>
    <row r="2856" spans="1:4" ht="42">
      <c r="A2856" s="715">
        <v>106382</v>
      </c>
      <c r="B2856" s="633" t="s">
        <v>42398</v>
      </c>
      <c r="C2856" s="715" t="s">
        <v>11</v>
      </c>
      <c r="D2856" s="716">
        <v>116.27</v>
      </c>
    </row>
    <row r="2857" spans="1:4" ht="42">
      <c r="A2857" s="715">
        <v>106383</v>
      </c>
      <c r="B2857" s="633" t="s">
        <v>42399</v>
      </c>
      <c r="C2857" s="715" t="s">
        <v>11</v>
      </c>
      <c r="D2857" s="716">
        <v>113.18</v>
      </c>
    </row>
    <row r="2858" spans="1:4" ht="42">
      <c r="A2858" s="715">
        <v>106376</v>
      </c>
      <c r="B2858" s="633" t="s">
        <v>42400</v>
      </c>
      <c r="C2858" s="715" t="s">
        <v>11</v>
      </c>
      <c r="D2858" s="716">
        <v>170.58</v>
      </c>
    </row>
    <row r="2859" spans="1:4" ht="42">
      <c r="A2859" s="715">
        <v>106377</v>
      </c>
      <c r="B2859" s="633" t="s">
        <v>42401</v>
      </c>
      <c r="C2859" s="715" t="s">
        <v>11</v>
      </c>
      <c r="D2859" s="716">
        <v>60.13</v>
      </c>
    </row>
    <row r="2860" spans="1:4" ht="42">
      <c r="A2860" s="715">
        <v>106378</v>
      </c>
      <c r="B2860" s="633" t="s">
        <v>42402</v>
      </c>
      <c r="C2860" s="715" t="s">
        <v>11</v>
      </c>
      <c r="D2860" s="716">
        <v>274.20999999999998</v>
      </c>
    </row>
    <row r="2861" spans="1:4" ht="42">
      <c r="A2861" s="715">
        <v>106379</v>
      </c>
      <c r="B2861" s="633" t="s">
        <v>42403</v>
      </c>
      <c r="C2861" s="715" t="s">
        <v>11</v>
      </c>
      <c r="D2861" s="716">
        <v>137.86000000000001</v>
      </c>
    </row>
    <row r="2862" spans="1:4" ht="56">
      <c r="A2862" s="715">
        <v>89240</v>
      </c>
      <c r="B2862" s="633" t="s">
        <v>24610</v>
      </c>
      <c r="C2862" s="715" t="s">
        <v>11</v>
      </c>
      <c r="D2862" s="716">
        <v>87.63</v>
      </c>
    </row>
    <row r="2863" spans="1:4" ht="56">
      <c r="A2863" s="715">
        <v>89241</v>
      </c>
      <c r="B2863" s="633" t="s">
        <v>24611</v>
      </c>
      <c r="C2863" s="715" t="s">
        <v>11</v>
      </c>
      <c r="D2863" s="716">
        <v>30.89</v>
      </c>
    </row>
    <row r="2864" spans="1:4" ht="56">
      <c r="A2864" s="715">
        <v>5710</v>
      </c>
      <c r="B2864" s="633" t="s">
        <v>24440</v>
      </c>
      <c r="C2864" s="715" t="s">
        <v>11</v>
      </c>
      <c r="D2864" s="716">
        <v>140.87</v>
      </c>
    </row>
    <row r="2865" spans="1:4" ht="56">
      <c r="A2865" s="715">
        <v>5711</v>
      </c>
      <c r="B2865" s="633" t="s">
        <v>24441</v>
      </c>
      <c r="C2865" s="715" t="s">
        <v>11</v>
      </c>
      <c r="D2865" s="716">
        <v>108.02</v>
      </c>
    </row>
    <row r="2866" spans="1:4" ht="56">
      <c r="A2866" s="715">
        <v>89253</v>
      </c>
      <c r="B2866" s="633" t="s">
        <v>24616</v>
      </c>
      <c r="C2866" s="715" t="s">
        <v>11</v>
      </c>
      <c r="D2866" s="716">
        <v>71.81</v>
      </c>
    </row>
    <row r="2867" spans="1:4" ht="56">
      <c r="A2867" s="715">
        <v>89254</v>
      </c>
      <c r="B2867" s="633" t="s">
        <v>24617</v>
      </c>
      <c r="C2867" s="715" t="s">
        <v>11</v>
      </c>
      <c r="D2867" s="716">
        <v>25.31</v>
      </c>
    </row>
    <row r="2868" spans="1:4" ht="56">
      <c r="A2868" s="715">
        <v>89255</v>
      </c>
      <c r="B2868" s="633" t="s">
        <v>24618</v>
      </c>
      <c r="C2868" s="715" t="s">
        <v>11</v>
      </c>
      <c r="D2868" s="716">
        <v>115.44</v>
      </c>
    </row>
    <row r="2869" spans="1:4" ht="56">
      <c r="A2869" s="715">
        <v>89256</v>
      </c>
      <c r="B2869" s="633" t="s">
        <v>24619</v>
      </c>
      <c r="C2869" s="715" t="s">
        <v>11</v>
      </c>
      <c r="D2869" s="716">
        <v>102.87</v>
      </c>
    </row>
    <row r="2870" spans="1:4" ht="56">
      <c r="A2870" s="715">
        <v>106384</v>
      </c>
      <c r="B2870" s="633" t="s">
        <v>42404</v>
      </c>
      <c r="C2870" s="715" t="s">
        <v>11</v>
      </c>
      <c r="D2870" s="716">
        <v>88.7</v>
      </c>
    </row>
    <row r="2871" spans="1:4" ht="56">
      <c r="A2871" s="715">
        <v>106385</v>
      </c>
      <c r="B2871" s="633" t="s">
        <v>42405</v>
      </c>
      <c r="C2871" s="715" t="s">
        <v>11</v>
      </c>
      <c r="D2871" s="716">
        <v>27.36</v>
      </c>
    </row>
    <row r="2872" spans="1:4" ht="56">
      <c r="A2872" s="715">
        <v>106386</v>
      </c>
      <c r="B2872" s="633" t="s">
        <v>42406</v>
      </c>
      <c r="C2872" s="715" t="s">
        <v>11</v>
      </c>
      <c r="D2872" s="716">
        <v>124.81</v>
      </c>
    </row>
    <row r="2873" spans="1:4" ht="56">
      <c r="A2873" s="715">
        <v>106387</v>
      </c>
      <c r="B2873" s="633" t="s">
        <v>42407</v>
      </c>
      <c r="C2873" s="715" t="s">
        <v>11</v>
      </c>
      <c r="D2873" s="716">
        <v>108.02</v>
      </c>
    </row>
    <row r="2874" spans="1:4" ht="42">
      <c r="A2874" s="715">
        <v>106489</v>
      </c>
      <c r="B2874" s="633" t="s">
        <v>42408</v>
      </c>
      <c r="C2874" s="715" t="s">
        <v>103</v>
      </c>
      <c r="D2874" s="716">
        <v>0</v>
      </c>
    </row>
    <row r="2875" spans="1:4" ht="42">
      <c r="A2875" s="715">
        <v>106491</v>
      </c>
      <c r="B2875" s="633" t="s">
        <v>42409</v>
      </c>
      <c r="C2875" s="715" t="s">
        <v>103</v>
      </c>
      <c r="D2875" s="716">
        <v>0</v>
      </c>
    </row>
    <row r="2876" spans="1:4" ht="42">
      <c r="A2876" s="715">
        <v>106493</v>
      </c>
      <c r="B2876" s="633" t="s">
        <v>42410</v>
      </c>
      <c r="C2876" s="715" t="s">
        <v>103</v>
      </c>
      <c r="D2876" s="716">
        <v>0</v>
      </c>
    </row>
    <row r="2877" spans="1:4" ht="42">
      <c r="A2877" s="715">
        <v>106490</v>
      </c>
      <c r="B2877" s="633" t="s">
        <v>42411</v>
      </c>
      <c r="C2877" s="715" t="s">
        <v>103</v>
      </c>
      <c r="D2877" s="716">
        <v>0</v>
      </c>
    </row>
    <row r="2878" spans="1:4" ht="42">
      <c r="A2878" s="715">
        <v>106492</v>
      </c>
      <c r="B2878" s="633" t="s">
        <v>42412</v>
      </c>
      <c r="C2878" s="715" t="s">
        <v>103</v>
      </c>
      <c r="D2878" s="716">
        <v>0</v>
      </c>
    </row>
    <row r="2879" spans="1:4" ht="42">
      <c r="A2879" s="715">
        <v>106496</v>
      </c>
      <c r="B2879" s="633" t="s">
        <v>42413</v>
      </c>
      <c r="C2879" s="715" t="s">
        <v>103</v>
      </c>
      <c r="D2879" s="716">
        <v>0</v>
      </c>
    </row>
    <row r="2880" spans="1:4" ht="42">
      <c r="A2880" s="715">
        <v>106497</v>
      </c>
      <c r="B2880" s="633" t="s">
        <v>42414</v>
      </c>
      <c r="C2880" s="715" t="s">
        <v>103</v>
      </c>
      <c r="D2880" s="716">
        <v>0</v>
      </c>
    </row>
    <row r="2881" spans="1:4" ht="42">
      <c r="A2881" s="715">
        <v>106495</v>
      </c>
      <c r="B2881" s="633" t="s">
        <v>42415</v>
      </c>
      <c r="C2881" s="715" t="s">
        <v>103</v>
      </c>
      <c r="D2881" s="716">
        <v>0</v>
      </c>
    </row>
    <row r="2882" spans="1:4" ht="42">
      <c r="A2882" s="715">
        <v>106498</v>
      </c>
      <c r="B2882" s="633" t="s">
        <v>42416</v>
      </c>
      <c r="C2882" s="715" t="s">
        <v>103</v>
      </c>
      <c r="D2882" s="716">
        <v>0</v>
      </c>
    </row>
    <row r="2883" spans="1:4" ht="42">
      <c r="A2883" s="715">
        <v>106494</v>
      </c>
      <c r="B2883" s="633" t="s">
        <v>42417</v>
      </c>
      <c r="C2883" s="715" t="s">
        <v>103</v>
      </c>
      <c r="D2883" s="716">
        <v>0</v>
      </c>
    </row>
    <row r="2884" spans="1:4" ht="28">
      <c r="A2884" s="715">
        <v>106485</v>
      </c>
      <c r="B2884" s="633" t="s">
        <v>42418</v>
      </c>
      <c r="C2884" s="715" t="s">
        <v>103</v>
      </c>
      <c r="D2884" s="716">
        <v>0</v>
      </c>
    </row>
    <row r="2885" spans="1:4" ht="28">
      <c r="A2885" s="715">
        <v>106486</v>
      </c>
      <c r="B2885" s="633" t="s">
        <v>42419</v>
      </c>
      <c r="C2885" s="715" t="s">
        <v>103</v>
      </c>
      <c r="D2885" s="716">
        <v>0</v>
      </c>
    </row>
    <row r="2886" spans="1:4" ht="28">
      <c r="A2886" s="715">
        <v>106487</v>
      </c>
      <c r="B2886" s="633" t="s">
        <v>42420</v>
      </c>
      <c r="C2886" s="715" t="s">
        <v>103</v>
      </c>
      <c r="D2886" s="716">
        <v>0</v>
      </c>
    </row>
    <row r="2887" spans="1:4" ht="28">
      <c r="A2887" s="715">
        <v>106488</v>
      </c>
      <c r="B2887" s="633" t="s">
        <v>42421</v>
      </c>
      <c r="C2887" s="715" t="s">
        <v>103</v>
      </c>
      <c r="D2887" s="716">
        <v>0</v>
      </c>
    </row>
    <row r="2888" spans="1:4" ht="28">
      <c r="A2888" s="715">
        <v>103797</v>
      </c>
      <c r="B2888" s="633" t="s">
        <v>29000</v>
      </c>
      <c r="C2888" s="715" t="s">
        <v>207</v>
      </c>
      <c r="D2888" s="716">
        <v>16.79</v>
      </c>
    </row>
    <row r="2889" spans="1:4" ht="70">
      <c r="A2889" s="715">
        <v>103930</v>
      </c>
      <c r="B2889" s="633" t="s">
        <v>25622</v>
      </c>
      <c r="C2889" s="715" t="s">
        <v>121</v>
      </c>
      <c r="D2889" s="716">
        <v>821.95</v>
      </c>
    </row>
    <row r="2890" spans="1:4" ht="70">
      <c r="A2890" s="715">
        <v>103931</v>
      </c>
      <c r="B2890" s="633" t="s">
        <v>25623</v>
      </c>
      <c r="C2890" s="715" t="s">
        <v>121</v>
      </c>
      <c r="D2890" s="716">
        <v>607.61</v>
      </c>
    </row>
    <row r="2891" spans="1:4" ht="70">
      <c r="A2891" s="715">
        <v>103932</v>
      </c>
      <c r="B2891" s="633" t="s">
        <v>25624</v>
      </c>
      <c r="C2891" s="715" t="s">
        <v>121</v>
      </c>
      <c r="D2891" s="716">
        <v>576.20000000000005</v>
      </c>
    </row>
    <row r="2892" spans="1:4" ht="56">
      <c r="A2892" s="715">
        <v>103929</v>
      </c>
      <c r="B2892" s="633" t="s">
        <v>25621</v>
      </c>
      <c r="C2892" s="715" t="s">
        <v>121</v>
      </c>
      <c r="D2892" s="716">
        <v>1319.66</v>
      </c>
    </row>
    <row r="2893" spans="1:4" ht="56">
      <c r="A2893" s="715">
        <v>103928</v>
      </c>
      <c r="B2893" s="633" t="s">
        <v>25620</v>
      </c>
      <c r="C2893" s="715" t="s">
        <v>121</v>
      </c>
      <c r="D2893" s="716">
        <v>560.09</v>
      </c>
    </row>
    <row r="2894" spans="1:4" ht="56">
      <c r="A2894" s="715">
        <v>103798</v>
      </c>
      <c r="B2894" s="633" t="s">
        <v>25616</v>
      </c>
      <c r="C2894" s="715" t="s">
        <v>121</v>
      </c>
      <c r="D2894" s="716">
        <v>650.33000000000004</v>
      </c>
    </row>
    <row r="2895" spans="1:4" ht="70">
      <c r="A2895" s="715">
        <v>103801</v>
      </c>
      <c r="B2895" s="633" t="s">
        <v>25619</v>
      </c>
      <c r="C2895" s="715" t="s">
        <v>121</v>
      </c>
      <c r="D2895" s="716">
        <v>689</v>
      </c>
    </row>
    <row r="2896" spans="1:4" ht="56">
      <c r="A2896" s="715">
        <v>103933</v>
      </c>
      <c r="B2896" s="633" t="s">
        <v>25625</v>
      </c>
      <c r="C2896" s="715" t="s">
        <v>121</v>
      </c>
      <c r="D2896" s="716">
        <v>1580.09</v>
      </c>
    </row>
    <row r="2897" spans="1:4" ht="70">
      <c r="A2897" s="715">
        <v>103925</v>
      </c>
      <c r="B2897" s="633" t="s">
        <v>29001</v>
      </c>
      <c r="C2897" s="715" t="s">
        <v>121</v>
      </c>
      <c r="D2897" s="716">
        <v>1785.62</v>
      </c>
    </row>
    <row r="2898" spans="1:4" ht="84">
      <c r="A2898" s="715">
        <v>103926</v>
      </c>
      <c r="B2898" s="633" t="s">
        <v>29002</v>
      </c>
      <c r="C2898" s="715" t="s">
        <v>121</v>
      </c>
      <c r="D2898" s="716">
        <v>1432.56</v>
      </c>
    </row>
    <row r="2899" spans="1:4" ht="42">
      <c r="A2899" s="715">
        <v>103796</v>
      </c>
      <c r="B2899" s="633" t="s">
        <v>25615</v>
      </c>
      <c r="C2899" s="715" t="s">
        <v>509</v>
      </c>
      <c r="D2899" s="716">
        <v>63.06</v>
      </c>
    </row>
    <row r="2900" spans="1:4" ht="56">
      <c r="A2900" s="715">
        <v>103795</v>
      </c>
      <c r="B2900" s="633" t="s">
        <v>25614</v>
      </c>
      <c r="C2900" s="715" t="s">
        <v>509</v>
      </c>
      <c r="D2900" s="716">
        <v>95.6</v>
      </c>
    </row>
    <row r="2901" spans="1:4" ht="56">
      <c r="A2901" s="715">
        <v>103800</v>
      </c>
      <c r="B2901" s="633" t="s">
        <v>25618</v>
      </c>
      <c r="C2901" s="715" t="s">
        <v>121</v>
      </c>
      <c r="D2901" s="716">
        <v>560.09</v>
      </c>
    </row>
    <row r="2902" spans="1:4" ht="84">
      <c r="A2902" s="715">
        <v>103799</v>
      </c>
      <c r="B2902" s="633" t="s">
        <v>25617</v>
      </c>
      <c r="C2902" s="715" t="s">
        <v>121</v>
      </c>
      <c r="D2902" s="716">
        <v>453.14</v>
      </c>
    </row>
    <row r="2903" spans="1:4" ht="42">
      <c r="A2903" s="715">
        <v>104950</v>
      </c>
      <c r="B2903" s="633" t="s">
        <v>33408</v>
      </c>
      <c r="C2903" s="715" t="s">
        <v>121</v>
      </c>
      <c r="D2903" s="716">
        <v>0</v>
      </c>
    </row>
    <row r="2904" spans="1:4" ht="56">
      <c r="A2904" s="715">
        <v>104948</v>
      </c>
      <c r="B2904" s="633" t="s">
        <v>29371</v>
      </c>
      <c r="C2904" s="715" t="s">
        <v>121</v>
      </c>
      <c r="D2904" s="716">
        <v>6.2</v>
      </c>
    </row>
    <row r="2905" spans="1:4" ht="56">
      <c r="A2905" s="715">
        <v>104949</v>
      </c>
      <c r="B2905" s="633" t="s">
        <v>30142</v>
      </c>
      <c r="C2905" s="715" t="s">
        <v>121</v>
      </c>
      <c r="D2905" s="716">
        <v>11.42</v>
      </c>
    </row>
    <row r="2906" spans="1:4" ht="56">
      <c r="A2906" s="715">
        <v>104947</v>
      </c>
      <c r="B2906" s="633" t="s">
        <v>29370</v>
      </c>
      <c r="C2906" s="715" t="s">
        <v>121</v>
      </c>
      <c r="D2906" s="716">
        <v>14.73</v>
      </c>
    </row>
    <row r="2907" spans="1:4" ht="42">
      <c r="A2907" s="715">
        <v>106545</v>
      </c>
      <c r="B2907" s="633" t="s">
        <v>42422</v>
      </c>
      <c r="C2907" s="715" t="s">
        <v>165</v>
      </c>
      <c r="D2907" s="716">
        <v>11.67</v>
      </c>
    </row>
    <row r="2908" spans="1:4" ht="42">
      <c r="A2908" s="715">
        <v>106543</v>
      </c>
      <c r="B2908" s="633" t="s">
        <v>42423</v>
      </c>
      <c r="C2908" s="715" t="s">
        <v>165</v>
      </c>
      <c r="D2908" s="716">
        <v>24</v>
      </c>
    </row>
    <row r="2909" spans="1:4" ht="42">
      <c r="A2909" s="715">
        <v>106544</v>
      </c>
      <c r="B2909" s="633" t="s">
        <v>42424</v>
      </c>
      <c r="C2909" s="715" t="s">
        <v>165</v>
      </c>
      <c r="D2909" s="716">
        <v>41.18</v>
      </c>
    </row>
    <row r="2910" spans="1:4" ht="42">
      <c r="A2910" s="715">
        <v>106546</v>
      </c>
      <c r="B2910" s="633" t="s">
        <v>42425</v>
      </c>
      <c r="C2910" s="715" t="s">
        <v>165</v>
      </c>
      <c r="D2910" s="716">
        <v>7.31</v>
      </c>
    </row>
    <row r="2911" spans="1:4" ht="42">
      <c r="A2911" s="715">
        <v>106547</v>
      </c>
      <c r="B2911" s="633" t="s">
        <v>42426</v>
      </c>
      <c r="C2911" s="715" t="s">
        <v>103</v>
      </c>
      <c r="D2911" s="716">
        <v>8.4700000000000006</v>
      </c>
    </row>
    <row r="2912" spans="1:4" ht="56">
      <c r="A2912" s="715">
        <v>106542</v>
      </c>
      <c r="B2912" s="633" t="s">
        <v>42427</v>
      </c>
      <c r="C2912" s="715" t="s">
        <v>509</v>
      </c>
      <c r="D2912" s="716">
        <v>0</v>
      </c>
    </row>
    <row r="2913" spans="1:4" ht="42">
      <c r="A2913" s="715">
        <v>106534</v>
      </c>
      <c r="B2913" s="633" t="s">
        <v>42428</v>
      </c>
      <c r="C2913" s="715" t="s">
        <v>509</v>
      </c>
      <c r="D2913" s="716">
        <v>0</v>
      </c>
    </row>
    <row r="2914" spans="1:4" ht="42">
      <c r="A2914" s="715">
        <v>106535</v>
      </c>
      <c r="B2914" s="633" t="s">
        <v>42429</v>
      </c>
      <c r="C2914" s="715" t="s">
        <v>509</v>
      </c>
      <c r="D2914" s="716">
        <v>0</v>
      </c>
    </row>
    <row r="2915" spans="1:4" ht="42">
      <c r="A2915" s="715">
        <v>106537</v>
      </c>
      <c r="B2915" s="633" t="s">
        <v>42430</v>
      </c>
      <c r="C2915" s="715" t="s">
        <v>509</v>
      </c>
      <c r="D2915" s="716">
        <v>0</v>
      </c>
    </row>
    <row r="2916" spans="1:4" ht="42">
      <c r="A2916" s="715">
        <v>106536</v>
      </c>
      <c r="B2916" s="633" t="s">
        <v>42431</v>
      </c>
      <c r="C2916" s="715" t="s">
        <v>509</v>
      </c>
      <c r="D2916" s="716">
        <v>0</v>
      </c>
    </row>
    <row r="2917" spans="1:4" ht="42">
      <c r="A2917" s="715">
        <v>106530</v>
      </c>
      <c r="B2917" s="633" t="s">
        <v>42432</v>
      </c>
      <c r="C2917" s="715" t="s">
        <v>509</v>
      </c>
      <c r="D2917" s="716">
        <v>0</v>
      </c>
    </row>
    <row r="2918" spans="1:4" ht="42">
      <c r="A2918" s="715">
        <v>106531</v>
      </c>
      <c r="B2918" s="633" t="s">
        <v>42433</v>
      </c>
      <c r="C2918" s="715" t="s">
        <v>509</v>
      </c>
      <c r="D2918" s="716">
        <v>0</v>
      </c>
    </row>
    <row r="2919" spans="1:4" ht="42">
      <c r="A2919" s="715">
        <v>106533</v>
      </c>
      <c r="B2919" s="633" t="s">
        <v>42434</v>
      </c>
      <c r="C2919" s="715" t="s">
        <v>509</v>
      </c>
      <c r="D2919" s="716">
        <v>0</v>
      </c>
    </row>
    <row r="2920" spans="1:4" ht="42">
      <c r="A2920" s="715">
        <v>106532</v>
      </c>
      <c r="B2920" s="633" t="s">
        <v>42435</v>
      </c>
      <c r="C2920" s="715" t="s">
        <v>509</v>
      </c>
      <c r="D2920" s="716">
        <v>0</v>
      </c>
    </row>
    <row r="2921" spans="1:4" ht="56">
      <c r="A2921" s="715">
        <v>106538</v>
      </c>
      <c r="B2921" s="633" t="s">
        <v>42436</v>
      </c>
      <c r="C2921" s="715" t="s">
        <v>509</v>
      </c>
      <c r="D2921" s="716">
        <v>0</v>
      </c>
    </row>
    <row r="2922" spans="1:4" ht="56">
      <c r="A2922" s="715">
        <v>106539</v>
      </c>
      <c r="B2922" s="633" t="s">
        <v>42437</v>
      </c>
      <c r="C2922" s="715" t="s">
        <v>509</v>
      </c>
      <c r="D2922" s="716">
        <v>0</v>
      </c>
    </row>
    <row r="2923" spans="1:4" ht="56">
      <c r="A2923" s="715">
        <v>106541</v>
      </c>
      <c r="B2923" s="633" t="s">
        <v>42438</v>
      </c>
      <c r="C2923" s="715" t="s">
        <v>509</v>
      </c>
      <c r="D2923" s="716">
        <v>0</v>
      </c>
    </row>
    <row r="2924" spans="1:4" ht="56">
      <c r="A2924" s="715">
        <v>106540</v>
      </c>
      <c r="B2924" s="633" t="s">
        <v>42439</v>
      </c>
      <c r="C2924" s="715" t="s">
        <v>509</v>
      </c>
      <c r="D2924" s="716">
        <v>0</v>
      </c>
    </row>
    <row r="2925" spans="1:4" ht="28">
      <c r="A2925" s="715">
        <v>104325</v>
      </c>
      <c r="B2925" s="633" t="s">
        <v>33409</v>
      </c>
      <c r="C2925" s="715" t="s">
        <v>103</v>
      </c>
      <c r="D2925" s="716">
        <v>0</v>
      </c>
    </row>
    <row r="2926" spans="1:4" ht="42">
      <c r="A2926" s="715">
        <v>104318</v>
      </c>
      <c r="B2926" s="633" t="s">
        <v>26596</v>
      </c>
      <c r="C2926" s="715" t="s">
        <v>103</v>
      </c>
      <c r="D2926" s="716">
        <v>9.75</v>
      </c>
    </row>
    <row r="2927" spans="1:4" ht="42">
      <c r="A2927" s="715">
        <v>89867</v>
      </c>
      <c r="B2927" s="633" t="s">
        <v>26254</v>
      </c>
      <c r="C2927" s="715" t="s">
        <v>103</v>
      </c>
      <c r="D2927" s="716">
        <v>10.77</v>
      </c>
    </row>
    <row r="2928" spans="1:4" ht="42">
      <c r="A2928" s="715">
        <v>104320</v>
      </c>
      <c r="B2928" s="633" t="s">
        <v>26598</v>
      </c>
      <c r="C2928" s="715" t="s">
        <v>103</v>
      </c>
      <c r="D2928" s="716">
        <v>14.75</v>
      </c>
    </row>
    <row r="2929" spans="1:4" ht="42">
      <c r="A2929" s="715">
        <v>104317</v>
      </c>
      <c r="B2929" s="633" t="s">
        <v>26595</v>
      </c>
      <c r="C2929" s="715" t="s">
        <v>103</v>
      </c>
      <c r="D2929" s="716">
        <v>9.11</v>
      </c>
    </row>
    <row r="2930" spans="1:4" ht="42">
      <c r="A2930" s="715">
        <v>89866</v>
      </c>
      <c r="B2930" s="633" t="s">
        <v>26253</v>
      </c>
      <c r="C2930" s="715" t="s">
        <v>103</v>
      </c>
      <c r="D2930" s="716">
        <v>9.86</v>
      </c>
    </row>
    <row r="2931" spans="1:4" ht="42">
      <c r="A2931" s="715">
        <v>104319</v>
      </c>
      <c r="B2931" s="633" t="s">
        <v>26597</v>
      </c>
      <c r="C2931" s="715" t="s">
        <v>103</v>
      </c>
      <c r="D2931" s="716">
        <v>12.73</v>
      </c>
    </row>
    <row r="2932" spans="1:4" ht="42">
      <c r="A2932" s="715">
        <v>104321</v>
      </c>
      <c r="B2932" s="633" t="s">
        <v>26599</v>
      </c>
      <c r="C2932" s="715" t="s">
        <v>103</v>
      </c>
      <c r="D2932" s="716">
        <v>6.76</v>
      </c>
    </row>
    <row r="2933" spans="1:4" ht="42">
      <c r="A2933" s="715">
        <v>89868</v>
      </c>
      <c r="B2933" s="633" t="s">
        <v>26255</v>
      </c>
      <c r="C2933" s="715" t="s">
        <v>103</v>
      </c>
      <c r="D2933" s="716">
        <v>7.28</v>
      </c>
    </row>
    <row r="2934" spans="1:4" ht="42">
      <c r="A2934" s="715">
        <v>104322</v>
      </c>
      <c r="B2934" s="633" t="s">
        <v>26600</v>
      </c>
      <c r="C2934" s="715" t="s">
        <v>103</v>
      </c>
      <c r="D2934" s="716">
        <v>9.35</v>
      </c>
    </row>
    <row r="2935" spans="1:4" ht="42">
      <c r="A2935" s="715">
        <v>104323</v>
      </c>
      <c r="B2935" s="633" t="s">
        <v>26601</v>
      </c>
      <c r="C2935" s="715" t="s">
        <v>103</v>
      </c>
      <c r="D2935" s="716">
        <v>12.58</v>
      </c>
    </row>
    <row r="2936" spans="1:4" ht="42">
      <c r="A2936" s="715">
        <v>89869</v>
      </c>
      <c r="B2936" s="633" t="s">
        <v>26256</v>
      </c>
      <c r="C2936" s="715" t="s">
        <v>103</v>
      </c>
      <c r="D2936" s="716">
        <v>13.6</v>
      </c>
    </row>
    <row r="2937" spans="1:4" ht="42">
      <c r="A2937" s="715">
        <v>104324</v>
      </c>
      <c r="B2937" s="633" t="s">
        <v>26602</v>
      </c>
      <c r="C2937" s="715" t="s">
        <v>103</v>
      </c>
      <c r="D2937" s="716">
        <v>17.84</v>
      </c>
    </row>
    <row r="2938" spans="1:4" ht="42">
      <c r="A2938" s="715">
        <v>104315</v>
      </c>
      <c r="B2938" s="633" t="s">
        <v>29936</v>
      </c>
      <c r="C2938" s="715" t="s">
        <v>165</v>
      </c>
      <c r="D2938" s="716">
        <v>22.31</v>
      </c>
    </row>
    <row r="2939" spans="1:4" ht="42">
      <c r="A2939" s="715">
        <v>89865</v>
      </c>
      <c r="B2939" s="633" t="s">
        <v>29926</v>
      </c>
      <c r="C2939" s="715" t="s">
        <v>165</v>
      </c>
      <c r="D2939" s="716">
        <v>23.82</v>
      </c>
    </row>
    <row r="2940" spans="1:4" ht="42">
      <c r="A2940" s="715">
        <v>104316</v>
      </c>
      <c r="B2940" s="633" t="s">
        <v>29937</v>
      </c>
      <c r="C2940" s="715" t="s">
        <v>165</v>
      </c>
      <c r="D2940" s="716">
        <v>31.06</v>
      </c>
    </row>
    <row r="2941" spans="1:4" ht="28">
      <c r="A2941" s="715">
        <v>102724</v>
      </c>
      <c r="B2941" s="633" t="s">
        <v>25069</v>
      </c>
      <c r="C2941" s="715" t="s">
        <v>103</v>
      </c>
      <c r="D2941" s="716">
        <v>35.880000000000003</v>
      </c>
    </row>
    <row r="2942" spans="1:4" ht="28">
      <c r="A2942" s="715">
        <v>102726</v>
      </c>
      <c r="B2942" s="633" t="s">
        <v>25071</v>
      </c>
      <c r="C2942" s="715" t="s">
        <v>103</v>
      </c>
      <c r="D2942" s="716">
        <v>32.880000000000003</v>
      </c>
    </row>
    <row r="2943" spans="1:4" ht="28">
      <c r="A2943" s="715">
        <v>102725</v>
      </c>
      <c r="B2943" s="633" t="s">
        <v>25070</v>
      </c>
      <c r="C2943" s="715" t="s">
        <v>103</v>
      </c>
      <c r="D2943" s="716">
        <v>35.15</v>
      </c>
    </row>
    <row r="2944" spans="1:4" ht="56">
      <c r="A2944" s="715">
        <v>102722</v>
      </c>
      <c r="B2944" s="633" t="s">
        <v>25068</v>
      </c>
      <c r="C2944" s="715" t="s">
        <v>165</v>
      </c>
      <c r="D2944" s="716">
        <v>59.14</v>
      </c>
    </row>
    <row r="2945" spans="1:4" ht="56">
      <c r="A2945" s="715">
        <v>102721</v>
      </c>
      <c r="B2945" s="633" t="s">
        <v>33410</v>
      </c>
      <c r="C2945" s="715" t="s">
        <v>165</v>
      </c>
      <c r="D2945" s="716">
        <v>0</v>
      </c>
    </row>
    <row r="2946" spans="1:4" ht="56">
      <c r="A2946" s="715">
        <v>102723</v>
      </c>
      <c r="B2946" s="633" t="s">
        <v>28496</v>
      </c>
      <c r="C2946" s="715" t="s">
        <v>165</v>
      </c>
      <c r="D2946" s="716">
        <v>121.2</v>
      </c>
    </row>
    <row r="2947" spans="1:4" ht="56">
      <c r="A2947" s="715">
        <v>102690</v>
      </c>
      <c r="B2947" s="633" t="s">
        <v>25056</v>
      </c>
      <c r="C2947" s="715" t="s">
        <v>165</v>
      </c>
      <c r="D2947" s="716">
        <v>68.900000000000006</v>
      </c>
    </row>
    <row r="2948" spans="1:4" ht="56">
      <c r="A2948" s="715">
        <v>102688</v>
      </c>
      <c r="B2948" s="633" t="s">
        <v>28489</v>
      </c>
      <c r="C2948" s="715" t="s">
        <v>165</v>
      </c>
      <c r="D2948" s="716">
        <v>45.1</v>
      </c>
    </row>
    <row r="2949" spans="1:4" ht="56">
      <c r="A2949" s="715">
        <v>102689</v>
      </c>
      <c r="B2949" s="633" t="s">
        <v>28490</v>
      </c>
      <c r="C2949" s="715" t="s">
        <v>165</v>
      </c>
      <c r="D2949" s="716">
        <v>108.69</v>
      </c>
    </row>
    <row r="2950" spans="1:4" ht="56">
      <c r="A2950" s="715">
        <v>102693</v>
      </c>
      <c r="B2950" s="633" t="s">
        <v>28491</v>
      </c>
      <c r="C2950" s="715" t="s">
        <v>165</v>
      </c>
      <c r="D2950" s="716">
        <v>132.5</v>
      </c>
    </row>
    <row r="2951" spans="1:4" ht="56">
      <c r="A2951" s="715">
        <v>102694</v>
      </c>
      <c r="B2951" s="633" t="s">
        <v>28492</v>
      </c>
      <c r="C2951" s="715" t="s">
        <v>165</v>
      </c>
      <c r="D2951" s="716">
        <v>81.53</v>
      </c>
    </row>
    <row r="2952" spans="1:4" ht="56">
      <c r="A2952" s="715">
        <v>102697</v>
      </c>
      <c r="B2952" s="633" t="s">
        <v>28494</v>
      </c>
      <c r="C2952" s="715" t="s">
        <v>165</v>
      </c>
      <c r="D2952" s="716">
        <v>113.13</v>
      </c>
    </row>
    <row r="2953" spans="1:4" ht="56">
      <c r="A2953" s="715">
        <v>102696</v>
      </c>
      <c r="B2953" s="633" t="s">
        <v>28493</v>
      </c>
      <c r="C2953" s="715" t="s">
        <v>165</v>
      </c>
      <c r="D2953" s="716">
        <v>145.18</v>
      </c>
    </row>
    <row r="2954" spans="1:4" ht="56">
      <c r="A2954" s="715">
        <v>102703</v>
      </c>
      <c r="B2954" s="633" t="s">
        <v>28495</v>
      </c>
      <c r="C2954" s="715" t="s">
        <v>165</v>
      </c>
      <c r="D2954" s="716">
        <v>176.79</v>
      </c>
    </row>
    <row r="2955" spans="1:4" ht="42">
      <c r="A2955" s="715">
        <v>102678</v>
      </c>
      <c r="B2955" s="633" t="s">
        <v>25048</v>
      </c>
      <c r="C2955" s="715" t="s">
        <v>165</v>
      </c>
      <c r="D2955" s="716">
        <v>136.85</v>
      </c>
    </row>
    <row r="2956" spans="1:4" ht="42">
      <c r="A2956" s="715">
        <v>102679</v>
      </c>
      <c r="B2956" s="633" t="s">
        <v>25049</v>
      </c>
      <c r="C2956" s="715" t="s">
        <v>165</v>
      </c>
      <c r="D2956" s="716">
        <v>147.41</v>
      </c>
    </row>
    <row r="2957" spans="1:4" ht="56">
      <c r="A2957" s="715">
        <v>102673</v>
      </c>
      <c r="B2957" s="633" t="s">
        <v>25044</v>
      </c>
      <c r="C2957" s="715" t="s">
        <v>165</v>
      </c>
      <c r="D2957" s="716">
        <v>178.38</v>
      </c>
    </row>
    <row r="2958" spans="1:4" ht="42">
      <c r="A2958" s="715">
        <v>102677</v>
      </c>
      <c r="B2958" s="633" t="s">
        <v>25047</v>
      </c>
      <c r="C2958" s="715" t="s">
        <v>165</v>
      </c>
      <c r="D2958" s="716">
        <v>160.76</v>
      </c>
    </row>
    <row r="2959" spans="1:4" ht="56">
      <c r="A2959" s="715">
        <v>102683</v>
      </c>
      <c r="B2959" s="633" t="s">
        <v>25052</v>
      </c>
      <c r="C2959" s="715" t="s">
        <v>165</v>
      </c>
      <c r="D2959" s="716">
        <v>200.48</v>
      </c>
    </row>
    <row r="2960" spans="1:4" ht="56">
      <c r="A2960" s="715">
        <v>102687</v>
      </c>
      <c r="B2960" s="633" t="s">
        <v>25055</v>
      </c>
      <c r="C2960" s="715" t="s">
        <v>165</v>
      </c>
      <c r="D2960" s="716">
        <v>205.97</v>
      </c>
    </row>
    <row r="2961" spans="1:4" ht="56">
      <c r="A2961" s="715">
        <v>102670</v>
      </c>
      <c r="B2961" s="633" t="s">
        <v>25042</v>
      </c>
      <c r="C2961" s="715" t="s">
        <v>165</v>
      </c>
      <c r="D2961" s="716">
        <v>106.46</v>
      </c>
    </row>
    <row r="2962" spans="1:4" ht="42">
      <c r="A2962" s="715">
        <v>102674</v>
      </c>
      <c r="B2962" s="633" t="s">
        <v>25045</v>
      </c>
      <c r="C2962" s="715" t="s">
        <v>165</v>
      </c>
      <c r="D2962" s="716">
        <v>115.53</v>
      </c>
    </row>
    <row r="2963" spans="1:4" ht="56">
      <c r="A2963" s="715">
        <v>102680</v>
      </c>
      <c r="B2963" s="633" t="s">
        <v>25050</v>
      </c>
      <c r="C2963" s="715" t="s">
        <v>165</v>
      </c>
      <c r="D2963" s="716">
        <v>150.05000000000001</v>
      </c>
    </row>
    <row r="2964" spans="1:4" ht="56">
      <c r="A2964" s="715">
        <v>102684</v>
      </c>
      <c r="B2964" s="633" t="s">
        <v>25053</v>
      </c>
      <c r="C2964" s="715" t="s">
        <v>165</v>
      </c>
      <c r="D2964" s="716">
        <v>160.6</v>
      </c>
    </row>
    <row r="2965" spans="1:4" ht="56">
      <c r="A2965" s="715">
        <v>102672</v>
      </c>
      <c r="B2965" s="633" t="s">
        <v>25043</v>
      </c>
      <c r="C2965" s="715" t="s">
        <v>165</v>
      </c>
      <c r="D2965" s="716">
        <v>190.95</v>
      </c>
    </row>
    <row r="2966" spans="1:4" ht="42">
      <c r="A2966" s="715">
        <v>102676</v>
      </c>
      <c r="B2966" s="633" t="s">
        <v>25046</v>
      </c>
      <c r="C2966" s="715" t="s">
        <v>165</v>
      </c>
      <c r="D2966" s="716">
        <v>186.97</v>
      </c>
    </row>
    <row r="2967" spans="1:4" ht="56">
      <c r="A2967" s="715">
        <v>102681</v>
      </c>
      <c r="B2967" s="633" t="s">
        <v>25051</v>
      </c>
      <c r="C2967" s="715" t="s">
        <v>165</v>
      </c>
      <c r="D2967" s="716">
        <v>221.5</v>
      </c>
    </row>
    <row r="2968" spans="1:4" ht="56">
      <c r="A2968" s="715">
        <v>102685</v>
      </c>
      <c r="B2968" s="633" t="s">
        <v>25054</v>
      </c>
      <c r="C2968" s="715" t="s">
        <v>165</v>
      </c>
      <c r="D2968" s="716">
        <v>232.05</v>
      </c>
    </row>
    <row r="2969" spans="1:4" ht="42">
      <c r="A2969" s="715">
        <v>102664</v>
      </c>
      <c r="B2969" s="633" t="s">
        <v>25037</v>
      </c>
      <c r="C2969" s="715" t="s">
        <v>165</v>
      </c>
      <c r="D2969" s="716">
        <v>49.43</v>
      </c>
    </row>
    <row r="2970" spans="1:4" ht="28">
      <c r="A2970" s="715">
        <v>102665</v>
      </c>
      <c r="B2970" s="633" t="s">
        <v>25038</v>
      </c>
      <c r="C2970" s="715" t="s">
        <v>165</v>
      </c>
      <c r="D2970" s="716">
        <v>24.67</v>
      </c>
    </row>
    <row r="2971" spans="1:4" ht="42">
      <c r="A2971" s="715">
        <v>102663</v>
      </c>
      <c r="B2971" s="633" t="s">
        <v>25036</v>
      </c>
      <c r="C2971" s="715" t="s">
        <v>165</v>
      </c>
      <c r="D2971" s="716">
        <v>74.650000000000006</v>
      </c>
    </row>
    <row r="2972" spans="1:4" ht="56">
      <c r="A2972" s="715">
        <v>102669</v>
      </c>
      <c r="B2972" s="633" t="s">
        <v>25041</v>
      </c>
      <c r="C2972" s="715" t="s">
        <v>165</v>
      </c>
      <c r="D2972" s="716">
        <v>98.62</v>
      </c>
    </row>
    <row r="2973" spans="1:4" ht="42">
      <c r="A2973" s="715">
        <v>102661</v>
      </c>
      <c r="B2973" s="633" t="s">
        <v>25034</v>
      </c>
      <c r="C2973" s="715" t="s">
        <v>165</v>
      </c>
      <c r="D2973" s="716">
        <v>37.21</v>
      </c>
    </row>
    <row r="2974" spans="1:4" ht="56">
      <c r="A2974" s="715">
        <v>102666</v>
      </c>
      <c r="B2974" s="633" t="s">
        <v>25039</v>
      </c>
      <c r="C2974" s="715" t="s">
        <v>165</v>
      </c>
      <c r="D2974" s="716">
        <v>61.02</v>
      </c>
    </row>
    <row r="2975" spans="1:4" ht="42">
      <c r="A2975" s="715">
        <v>102662</v>
      </c>
      <c r="B2975" s="633" t="s">
        <v>25035</v>
      </c>
      <c r="C2975" s="715" t="s">
        <v>165</v>
      </c>
      <c r="D2975" s="716">
        <v>104.2</v>
      </c>
    </row>
    <row r="2976" spans="1:4" ht="56">
      <c r="A2976" s="715">
        <v>102668</v>
      </c>
      <c r="B2976" s="633" t="s">
        <v>25040</v>
      </c>
      <c r="C2976" s="715" t="s">
        <v>165</v>
      </c>
      <c r="D2976" s="716">
        <v>128.01</v>
      </c>
    </row>
    <row r="2977" spans="1:4" ht="28">
      <c r="A2977" s="715">
        <v>102718</v>
      </c>
      <c r="B2977" s="633" t="s">
        <v>25066</v>
      </c>
      <c r="C2977" s="715" t="s">
        <v>121</v>
      </c>
      <c r="D2977" s="716">
        <v>150.38</v>
      </c>
    </row>
    <row r="2978" spans="1:4" ht="28">
      <c r="A2978" s="715">
        <v>102716</v>
      </c>
      <c r="B2978" s="633" t="s">
        <v>25064</v>
      </c>
      <c r="C2978" s="715" t="s">
        <v>121</v>
      </c>
      <c r="D2978" s="716">
        <v>134.13</v>
      </c>
    </row>
    <row r="2979" spans="1:4" ht="28">
      <c r="A2979" s="715">
        <v>102719</v>
      </c>
      <c r="B2979" s="633" t="s">
        <v>25067</v>
      </c>
      <c r="C2979" s="715" t="s">
        <v>121</v>
      </c>
      <c r="D2979" s="716">
        <v>144.16999999999999</v>
      </c>
    </row>
    <row r="2980" spans="1:4" ht="28">
      <c r="A2980" s="715">
        <v>102717</v>
      </c>
      <c r="B2980" s="633" t="s">
        <v>25065</v>
      </c>
      <c r="C2980" s="715" t="s">
        <v>121</v>
      </c>
      <c r="D2980" s="716">
        <v>127.92</v>
      </c>
    </row>
    <row r="2981" spans="1:4" ht="42">
      <c r="A2981" s="715">
        <v>102720</v>
      </c>
      <c r="B2981" s="633" t="s">
        <v>33411</v>
      </c>
      <c r="C2981" s="715" t="s">
        <v>509</v>
      </c>
      <c r="D2981" s="716">
        <v>0</v>
      </c>
    </row>
    <row r="2982" spans="1:4" ht="56">
      <c r="A2982" s="715">
        <v>102713</v>
      </c>
      <c r="B2982" s="633" t="s">
        <v>25062</v>
      </c>
      <c r="C2982" s="715" t="s">
        <v>509</v>
      </c>
      <c r="D2982" s="716">
        <v>13.31</v>
      </c>
    </row>
    <row r="2983" spans="1:4" ht="56">
      <c r="A2983" s="715">
        <v>102715</v>
      </c>
      <c r="B2983" s="633" t="s">
        <v>25063</v>
      </c>
      <c r="C2983" s="715" t="s">
        <v>509</v>
      </c>
      <c r="D2983" s="716">
        <v>26.2</v>
      </c>
    </row>
    <row r="2984" spans="1:4" ht="56">
      <c r="A2984" s="715">
        <v>103653</v>
      </c>
      <c r="B2984" s="633" t="s">
        <v>25072</v>
      </c>
      <c r="C2984" s="715" t="s">
        <v>509</v>
      </c>
      <c r="D2984" s="716">
        <v>31.26</v>
      </c>
    </row>
    <row r="2985" spans="1:4" ht="56">
      <c r="A2985" s="715">
        <v>102712</v>
      </c>
      <c r="B2985" s="633" t="s">
        <v>25061</v>
      </c>
      <c r="C2985" s="715" t="s">
        <v>509</v>
      </c>
      <c r="D2985" s="716">
        <v>9.73</v>
      </c>
    </row>
    <row r="2986" spans="1:4" ht="56">
      <c r="A2986" s="715">
        <v>102711</v>
      </c>
      <c r="B2986" s="633" t="s">
        <v>40292</v>
      </c>
      <c r="C2986" s="715" t="s">
        <v>103</v>
      </c>
      <c r="D2986" s="716">
        <v>99.65</v>
      </c>
    </row>
    <row r="2987" spans="1:4" ht="42">
      <c r="A2987" s="715">
        <v>102710</v>
      </c>
      <c r="B2987" s="633" t="s">
        <v>25060</v>
      </c>
      <c r="C2987" s="715" t="s">
        <v>103</v>
      </c>
      <c r="D2987" s="716">
        <v>78.17</v>
      </c>
    </row>
    <row r="2988" spans="1:4" ht="28">
      <c r="A2988" s="715">
        <v>102709</v>
      </c>
      <c r="B2988" s="633" t="s">
        <v>40293</v>
      </c>
      <c r="C2988" s="715" t="s">
        <v>103</v>
      </c>
      <c r="D2988" s="716">
        <v>0</v>
      </c>
    </row>
    <row r="2989" spans="1:4" ht="42">
      <c r="A2989" s="715">
        <v>102708</v>
      </c>
      <c r="B2989" s="633" t="s">
        <v>40294</v>
      </c>
      <c r="C2989" s="715" t="s">
        <v>103</v>
      </c>
      <c r="D2989" s="716">
        <v>32.520000000000003</v>
      </c>
    </row>
    <row r="2990" spans="1:4" ht="42">
      <c r="A2990" s="715">
        <v>102707</v>
      </c>
      <c r="B2990" s="633" t="s">
        <v>25059</v>
      </c>
      <c r="C2990" s="715" t="s">
        <v>165</v>
      </c>
      <c r="D2990" s="716">
        <v>53.72</v>
      </c>
    </row>
    <row r="2991" spans="1:4" ht="42">
      <c r="A2991" s="715">
        <v>102704</v>
      </c>
      <c r="B2991" s="633" t="s">
        <v>25057</v>
      </c>
      <c r="C2991" s="715" t="s">
        <v>165</v>
      </c>
      <c r="D2991" s="716">
        <v>12.22</v>
      </c>
    </row>
    <row r="2992" spans="1:4" ht="42">
      <c r="A2992" s="715">
        <v>102705</v>
      </c>
      <c r="B2992" s="633" t="s">
        <v>25058</v>
      </c>
      <c r="C2992" s="715" t="s">
        <v>165</v>
      </c>
      <c r="D2992" s="716">
        <v>74.28</v>
      </c>
    </row>
    <row r="2993" spans="1:4" ht="42">
      <c r="A2993" s="715">
        <v>98333</v>
      </c>
      <c r="B2993" s="633" t="s">
        <v>33412</v>
      </c>
      <c r="C2993" s="715" t="s">
        <v>509</v>
      </c>
      <c r="D2993" s="716">
        <v>0</v>
      </c>
    </row>
    <row r="2994" spans="1:4" ht="42">
      <c r="A2994" s="715">
        <v>98332</v>
      </c>
      <c r="B2994" s="633" t="s">
        <v>33413</v>
      </c>
      <c r="C2994" s="715" t="s">
        <v>509</v>
      </c>
      <c r="D2994" s="716">
        <v>0</v>
      </c>
    </row>
    <row r="2995" spans="1:4" ht="42">
      <c r="A2995" s="715">
        <v>98331</v>
      </c>
      <c r="B2995" s="633" t="s">
        <v>33414</v>
      </c>
      <c r="C2995" s="715" t="s">
        <v>509</v>
      </c>
      <c r="D2995" s="716">
        <v>0</v>
      </c>
    </row>
    <row r="2996" spans="1:4" ht="42">
      <c r="A2996" s="715">
        <v>98327</v>
      </c>
      <c r="B2996" s="633" t="s">
        <v>33415</v>
      </c>
      <c r="C2996" s="715" t="s">
        <v>509</v>
      </c>
      <c r="D2996" s="716">
        <v>0</v>
      </c>
    </row>
    <row r="2997" spans="1:4" ht="42">
      <c r="A2997" s="715">
        <v>98326</v>
      </c>
      <c r="B2997" s="633" t="s">
        <v>33416</v>
      </c>
      <c r="C2997" s="715" t="s">
        <v>509</v>
      </c>
      <c r="D2997" s="716">
        <v>0</v>
      </c>
    </row>
    <row r="2998" spans="1:4" ht="42">
      <c r="A2998" s="715">
        <v>98325</v>
      </c>
      <c r="B2998" s="633" t="s">
        <v>33417</v>
      </c>
      <c r="C2998" s="715" t="s">
        <v>509</v>
      </c>
      <c r="D2998" s="716">
        <v>0</v>
      </c>
    </row>
    <row r="2999" spans="1:4" ht="28">
      <c r="A2999" s="715">
        <v>98370</v>
      </c>
      <c r="B2999" s="633" t="s">
        <v>33418</v>
      </c>
      <c r="C2999" s="715" t="s">
        <v>509</v>
      </c>
      <c r="D2999" s="716">
        <v>0</v>
      </c>
    </row>
    <row r="3000" spans="1:4" ht="42">
      <c r="A3000" s="715">
        <v>98389</v>
      </c>
      <c r="B3000" s="633" t="s">
        <v>33419</v>
      </c>
      <c r="C3000" s="715" t="s">
        <v>103</v>
      </c>
      <c r="D3000" s="716">
        <v>0</v>
      </c>
    </row>
    <row r="3001" spans="1:4" ht="42">
      <c r="A3001" s="715">
        <v>98390</v>
      </c>
      <c r="B3001" s="633" t="s">
        <v>33420</v>
      </c>
      <c r="C3001" s="715" t="s">
        <v>103</v>
      </c>
      <c r="D3001" s="716">
        <v>0</v>
      </c>
    </row>
    <row r="3002" spans="1:4" ht="42">
      <c r="A3002" s="715">
        <v>98391</v>
      </c>
      <c r="B3002" s="633" t="s">
        <v>33421</v>
      </c>
      <c r="C3002" s="715" t="s">
        <v>103</v>
      </c>
      <c r="D3002" s="716">
        <v>0</v>
      </c>
    </row>
    <row r="3003" spans="1:4" ht="42">
      <c r="A3003" s="715">
        <v>98392</v>
      </c>
      <c r="B3003" s="633" t="s">
        <v>33422</v>
      </c>
      <c r="C3003" s="715" t="s">
        <v>103</v>
      </c>
      <c r="D3003" s="716">
        <v>0</v>
      </c>
    </row>
    <row r="3004" spans="1:4" ht="42">
      <c r="A3004" s="715">
        <v>98393</v>
      </c>
      <c r="B3004" s="633" t="s">
        <v>33423</v>
      </c>
      <c r="C3004" s="715" t="s">
        <v>103</v>
      </c>
      <c r="D3004" s="716">
        <v>0</v>
      </c>
    </row>
    <row r="3005" spans="1:4" ht="42">
      <c r="A3005" s="715">
        <v>98394</v>
      </c>
      <c r="B3005" s="633" t="s">
        <v>33424</v>
      </c>
      <c r="C3005" s="715" t="s">
        <v>103</v>
      </c>
      <c r="D3005" s="716">
        <v>0</v>
      </c>
    </row>
    <row r="3006" spans="1:4" ht="42">
      <c r="A3006" s="715">
        <v>98395</v>
      </c>
      <c r="B3006" s="633" t="s">
        <v>33425</v>
      </c>
      <c r="C3006" s="715" t="s">
        <v>103</v>
      </c>
      <c r="D3006" s="716">
        <v>0</v>
      </c>
    </row>
    <row r="3007" spans="1:4" ht="42">
      <c r="A3007" s="715">
        <v>98396</v>
      </c>
      <c r="B3007" s="633" t="s">
        <v>33426</v>
      </c>
      <c r="C3007" s="715" t="s">
        <v>103</v>
      </c>
      <c r="D3007" s="716">
        <v>0</v>
      </c>
    </row>
    <row r="3008" spans="1:4" ht="70">
      <c r="A3008" s="715">
        <v>98369</v>
      </c>
      <c r="B3008" s="633" t="s">
        <v>33427</v>
      </c>
      <c r="C3008" s="715" t="s">
        <v>509</v>
      </c>
      <c r="D3008" s="716">
        <v>0</v>
      </c>
    </row>
    <row r="3009" spans="1:4" ht="70">
      <c r="A3009" s="715">
        <v>98360</v>
      </c>
      <c r="B3009" s="633" t="s">
        <v>33428</v>
      </c>
      <c r="C3009" s="715" t="s">
        <v>509</v>
      </c>
      <c r="D3009" s="716">
        <v>0</v>
      </c>
    </row>
    <row r="3010" spans="1:4" ht="70">
      <c r="A3010" s="715">
        <v>98368</v>
      </c>
      <c r="B3010" s="633" t="s">
        <v>33429</v>
      </c>
      <c r="C3010" s="715" t="s">
        <v>509</v>
      </c>
      <c r="D3010" s="716">
        <v>0</v>
      </c>
    </row>
    <row r="3011" spans="1:4" ht="70">
      <c r="A3011" s="715">
        <v>98359</v>
      </c>
      <c r="B3011" s="633" t="s">
        <v>33430</v>
      </c>
      <c r="C3011" s="715" t="s">
        <v>509</v>
      </c>
      <c r="D3011" s="716">
        <v>0</v>
      </c>
    </row>
    <row r="3012" spans="1:4" ht="70">
      <c r="A3012" s="715">
        <v>98367</v>
      </c>
      <c r="B3012" s="633" t="s">
        <v>33431</v>
      </c>
      <c r="C3012" s="715" t="s">
        <v>509</v>
      </c>
      <c r="D3012" s="716">
        <v>0</v>
      </c>
    </row>
    <row r="3013" spans="1:4" ht="70">
      <c r="A3013" s="715">
        <v>98358</v>
      </c>
      <c r="B3013" s="633" t="s">
        <v>33432</v>
      </c>
      <c r="C3013" s="715" t="s">
        <v>509</v>
      </c>
      <c r="D3013" s="716">
        <v>0</v>
      </c>
    </row>
    <row r="3014" spans="1:4" ht="56">
      <c r="A3014" s="715">
        <v>98352</v>
      </c>
      <c r="B3014" s="633" t="s">
        <v>33433</v>
      </c>
      <c r="C3014" s="715" t="s">
        <v>509</v>
      </c>
      <c r="D3014" s="716">
        <v>0</v>
      </c>
    </row>
    <row r="3015" spans="1:4" ht="56">
      <c r="A3015" s="715">
        <v>98343</v>
      </c>
      <c r="B3015" s="633" t="s">
        <v>33434</v>
      </c>
      <c r="C3015" s="715" t="s">
        <v>509</v>
      </c>
      <c r="D3015" s="716">
        <v>0</v>
      </c>
    </row>
    <row r="3016" spans="1:4" ht="56">
      <c r="A3016" s="715">
        <v>98351</v>
      </c>
      <c r="B3016" s="633" t="s">
        <v>33435</v>
      </c>
      <c r="C3016" s="715" t="s">
        <v>509</v>
      </c>
      <c r="D3016" s="716">
        <v>0</v>
      </c>
    </row>
    <row r="3017" spans="1:4" ht="56">
      <c r="A3017" s="715">
        <v>98342</v>
      </c>
      <c r="B3017" s="633" t="s">
        <v>33436</v>
      </c>
      <c r="C3017" s="715" t="s">
        <v>509</v>
      </c>
      <c r="D3017" s="716">
        <v>0</v>
      </c>
    </row>
    <row r="3018" spans="1:4" ht="56">
      <c r="A3018" s="715">
        <v>98350</v>
      </c>
      <c r="B3018" s="633" t="s">
        <v>33437</v>
      </c>
      <c r="C3018" s="715" t="s">
        <v>509</v>
      </c>
      <c r="D3018" s="716">
        <v>0</v>
      </c>
    </row>
    <row r="3019" spans="1:4" ht="56">
      <c r="A3019" s="715">
        <v>98341</v>
      </c>
      <c r="B3019" s="633" t="s">
        <v>33438</v>
      </c>
      <c r="C3019" s="715" t="s">
        <v>509</v>
      </c>
      <c r="D3019" s="716">
        <v>0</v>
      </c>
    </row>
    <row r="3020" spans="1:4" ht="42">
      <c r="A3020" s="715">
        <v>98381</v>
      </c>
      <c r="B3020" s="633" t="s">
        <v>33439</v>
      </c>
      <c r="C3020" s="715" t="s">
        <v>165</v>
      </c>
      <c r="D3020" s="716">
        <v>0</v>
      </c>
    </row>
    <row r="3021" spans="1:4" ht="42">
      <c r="A3021" s="715">
        <v>98382</v>
      </c>
      <c r="B3021" s="633" t="s">
        <v>33440</v>
      </c>
      <c r="C3021" s="715" t="s">
        <v>165</v>
      </c>
      <c r="D3021" s="716">
        <v>0</v>
      </c>
    </row>
    <row r="3022" spans="1:4" ht="42">
      <c r="A3022" s="715">
        <v>98383</v>
      </c>
      <c r="B3022" s="633" t="s">
        <v>33441</v>
      </c>
      <c r="C3022" s="715" t="s">
        <v>165</v>
      </c>
      <c r="D3022" s="716">
        <v>0</v>
      </c>
    </row>
    <row r="3023" spans="1:4" ht="42">
      <c r="A3023" s="715">
        <v>98384</v>
      </c>
      <c r="B3023" s="633" t="s">
        <v>33442</v>
      </c>
      <c r="C3023" s="715" t="s">
        <v>165</v>
      </c>
      <c r="D3023" s="716">
        <v>0</v>
      </c>
    </row>
    <row r="3024" spans="1:4" ht="42">
      <c r="A3024" s="715">
        <v>98385</v>
      </c>
      <c r="B3024" s="633" t="s">
        <v>33443</v>
      </c>
      <c r="C3024" s="715" t="s">
        <v>165</v>
      </c>
      <c r="D3024" s="716">
        <v>0</v>
      </c>
    </row>
    <row r="3025" spans="1:4" ht="42">
      <c r="A3025" s="715">
        <v>98386</v>
      </c>
      <c r="B3025" s="633" t="s">
        <v>33444</v>
      </c>
      <c r="C3025" s="715" t="s">
        <v>165</v>
      </c>
      <c r="D3025" s="716">
        <v>0</v>
      </c>
    </row>
    <row r="3026" spans="1:4" ht="42">
      <c r="A3026" s="715">
        <v>98387</v>
      </c>
      <c r="B3026" s="633" t="s">
        <v>33445</v>
      </c>
      <c r="C3026" s="715" t="s">
        <v>165</v>
      </c>
      <c r="D3026" s="716">
        <v>0</v>
      </c>
    </row>
    <row r="3027" spans="1:4" ht="42">
      <c r="A3027" s="715">
        <v>98388</v>
      </c>
      <c r="B3027" s="633" t="s">
        <v>33446</v>
      </c>
      <c r="C3027" s="715" t="s">
        <v>165</v>
      </c>
      <c r="D3027" s="716">
        <v>0</v>
      </c>
    </row>
    <row r="3028" spans="1:4" ht="70">
      <c r="A3028" s="715">
        <v>98346</v>
      </c>
      <c r="B3028" s="633" t="s">
        <v>33447</v>
      </c>
      <c r="C3028" s="715" t="s">
        <v>509</v>
      </c>
      <c r="D3028" s="716">
        <v>0</v>
      </c>
    </row>
    <row r="3029" spans="1:4" ht="70">
      <c r="A3029" s="715">
        <v>98363</v>
      </c>
      <c r="B3029" s="633" t="s">
        <v>33448</v>
      </c>
      <c r="C3029" s="715" t="s">
        <v>509</v>
      </c>
      <c r="D3029" s="716">
        <v>0</v>
      </c>
    </row>
    <row r="3030" spans="1:4" ht="70">
      <c r="A3030" s="715">
        <v>98354</v>
      </c>
      <c r="B3030" s="633" t="s">
        <v>33449</v>
      </c>
      <c r="C3030" s="715" t="s">
        <v>509</v>
      </c>
      <c r="D3030" s="716">
        <v>0</v>
      </c>
    </row>
    <row r="3031" spans="1:4" ht="56">
      <c r="A3031" s="715">
        <v>98337</v>
      </c>
      <c r="B3031" s="633" t="s">
        <v>33450</v>
      </c>
      <c r="C3031" s="715" t="s">
        <v>509</v>
      </c>
      <c r="D3031" s="716">
        <v>0</v>
      </c>
    </row>
    <row r="3032" spans="1:4" ht="70">
      <c r="A3032" s="715">
        <v>98345</v>
      </c>
      <c r="B3032" s="633" t="s">
        <v>33451</v>
      </c>
      <c r="C3032" s="715" t="s">
        <v>509</v>
      </c>
      <c r="D3032" s="716">
        <v>0</v>
      </c>
    </row>
    <row r="3033" spans="1:4" ht="70">
      <c r="A3033" s="715">
        <v>98362</v>
      </c>
      <c r="B3033" s="633" t="s">
        <v>33452</v>
      </c>
      <c r="C3033" s="715" t="s">
        <v>509</v>
      </c>
      <c r="D3033" s="716">
        <v>0</v>
      </c>
    </row>
    <row r="3034" spans="1:4" ht="70">
      <c r="A3034" s="715">
        <v>98403</v>
      </c>
      <c r="B3034" s="633" t="s">
        <v>33453</v>
      </c>
      <c r="C3034" s="715" t="s">
        <v>509</v>
      </c>
      <c r="D3034" s="716">
        <v>0</v>
      </c>
    </row>
    <row r="3035" spans="1:4" ht="56">
      <c r="A3035" s="715">
        <v>98335</v>
      </c>
      <c r="B3035" s="633" t="s">
        <v>33454</v>
      </c>
      <c r="C3035" s="715" t="s">
        <v>509</v>
      </c>
      <c r="D3035" s="716">
        <v>0</v>
      </c>
    </row>
    <row r="3036" spans="1:4" ht="70">
      <c r="A3036" s="715">
        <v>98344</v>
      </c>
      <c r="B3036" s="633" t="s">
        <v>33455</v>
      </c>
      <c r="C3036" s="715" t="s">
        <v>509</v>
      </c>
      <c r="D3036" s="716">
        <v>0</v>
      </c>
    </row>
    <row r="3037" spans="1:4" ht="70">
      <c r="A3037" s="715">
        <v>98361</v>
      </c>
      <c r="B3037" s="633" t="s">
        <v>33456</v>
      </c>
      <c r="C3037" s="715" t="s">
        <v>509</v>
      </c>
      <c r="D3037" s="716">
        <v>0</v>
      </c>
    </row>
    <row r="3038" spans="1:4" ht="70">
      <c r="A3038" s="715">
        <v>98353</v>
      </c>
      <c r="B3038" s="633" t="s">
        <v>33457</v>
      </c>
      <c r="C3038" s="715" t="s">
        <v>509</v>
      </c>
      <c r="D3038" s="716">
        <v>0</v>
      </c>
    </row>
    <row r="3039" spans="1:4" ht="56">
      <c r="A3039" s="715">
        <v>98334</v>
      </c>
      <c r="B3039" s="633" t="s">
        <v>33458</v>
      </c>
      <c r="C3039" s="715" t="s">
        <v>509</v>
      </c>
      <c r="D3039" s="716">
        <v>0</v>
      </c>
    </row>
    <row r="3040" spans="1:4" ht="42">
      <c r="A3040" s="715">
        <v>98371</v>
      </c>
      <c r="B3040" s="633" t="s">
        <v>33459</v>
      </c>
      <c r="C3040" s="715" t="s">
        <v>509</v>
      </c>
      <c r="D3040" s="716">
        <v>0</v>
      </c>
    </row>
    <row r="3041" spans="1:4" ht="28">
      <c r="A3041" s="715">
        <v>98397</v>
      </c>
      <c r="B3041" s="633" t="s">
        <v>29037</v>
      </c>
      <c r="C3041" s="715" t="s">
        <v>509</v>
      </c>
      <c r="D3041" s="716">
        <v>15.74</v>
      </c>
    </row>
    <row r="3042" spans="1:4" ht="56">
      <c r="A3042" s="715">
        <v>97280</v>
      </c>
      <c r="B3042" s="633" t="s">
        <v>33460</v>
      </c>
      <c r="C3042" s="715" t="s">
        <v>103</v>
      </c>
      <c r="D3042" s="716">
        <v>0</v>
      </c>
    </row>
    <row r="3043" spans="1:4" ht="56">
      <c r="A3043" s="715">
        <v>97275</v>
      </c>
      <c r="B3043" s="633" t="s">
        <v>33461</v>
      </c>
      <c r="C3043" s="715" t="s">
        <v>103</v>
      </c>
      <c r="D3043" s="716">
        <v>0</v>
      </c>
    </row>
    <row r="3044" spans="1:4" ht="56">
      <c r="A3044" s="715">
        <v>97279</v>
      </c>
      <c r="B3044" s="633" t="s">
        <v>33462</v>
      </c>
      <c r="C3044" s="715" t="s">
        <v>103</v>
      </c>
      <c r="D3044" s="716">
        <v>0</v>
      </c>
    </row>
    <row r="3045" spans="1:4" ht="56">
      <c r="A3045" s="715">
        <v>97285</v>
      </c>
      <c r="B3045" s="633" t="s">
        <v>33463</v>
      </c>
      <c r="C3045" s="715" t="s">
        <v>103</v>
      </c>
      <c r="D3045" s="716">
        <v>0</v>
      </c>
    </row>
    <row r="3046" spans="1:4" ht="56">
      <c r="A3046" s="715">
        <v>97286</v>
      </c>
      <c r="B3046" s="633" t="s">
        <v>33464</v>
      </c>
      <c r="C3046" s="715" t="s">
        <v>103</v>
      </c>
      <c r="D3046" s="716">
        <v>0</v>
      </c>
    </row>
    <row r="3047" spans="1:4" ht="56">
      <c r="A3047" s="715">
        <v>97291</v>
      </c>
      <c r="B3047" s="633" t="s">
        <v>33465</v>
      </c>
      <c r="C3047" s="715" t="s">
        <v>103</v>
      </c>
      <c r="D3047" s="716">
        <v>0</v>
      </c>
    </row>
    <row r="3048" spans="1:4" ht="56">
      <c r="A3048" s="715">
        <v>97292</v>
      </c>
      <c r="B3048" s="633" t="s">
        <v>33466</v>
      </c>
      <c r="C3048" s="715" t="s">
        <v>103</v>
      </c>
      <c r="D3048" s="716">
        <v>0</v>
      </c>
    </row>
    <row r="3049" spans="1:4" ht="56">
      <c r="A3049" s="715">
        <v>97297</v>
      </c>
      <c r="B3049" s="633" t="s">
        <v>33467</v>
      </c>
      <c r="C3049" s="715" t="s">
        <v>103</v>
      </c>
      <c r="D3049" s="716">
        <v>0</v>
      </c>
    </row>
    <row r="3050" spans="1:4" ht="56">
      <c r="A3050" s="715">
        <v>97298</v>
      </c>
      <c r="B3050" s="633" t="s">
        <v>33468</v>
      </c>
      <c r="C3050" s="715" t="s">
        <v>103</v>
      </c>
      <c r="D3050" s="716">
        <v>0</v>
      </c>
    </row>
    <row r="3051" spans="1:4" ht="56">
      <c r="A3051" s="715">
        <v>97303</v>
      </c>
      <c r="B3051" s="633" t="s">
        <v>33469</v>
      </c>
      <c r="C3051" s="715" t="s">
        <v>103</v>
      </c>
      <c r="D3051" s="716">
        <v>0</v>
      </c>
    </row>
    <row r="3052" spans="1:4" ht="56">
      <c r="A3052" s="715">
        <v>97304</v>
      </c>
      <c r="B3052" s="633" t="s">
        <v>33470</v>
      </c>
      <c r="C3052" s="715" t="s">
        <v>103</v>
      </c>
      <c r="D3052" s="716">
        <v>0</v>
      </c>
    </row>
    <row r="3053" spans="1:4" ht="56">
      <c r="A3053" s="715">
        <v>97309</v>
      </c>
      <c r="B3053" s="633" t="s">
        <v>33471</v>
      </c>
      <c r="C3053" s="715" t="s">
        <v>103</v>
      </c>
      <c r="D3053" s="716">
        <v>0</v>
      </c>
    </row>
    <row r="3054" spans="1:4" ht="56">
      <c r="A3054" s="715">
        <v>97310</v>
      </c>
      <c r="B3054" s="633" t="s">
        <v>33472</v>
      </c>
      <c r="C3054" s="715" t="s">
        <v>103</v>
      </c>
      <c r="D3054" s="716">
        <v>0</v>
      </c>
    </row>
    <row r="3055" spans="1:4" ht="56">
      <c r="A3055" s="715">
        <v>97282</v>
      </c>
      <c r="B3055" s="633" t="s">
        <v>33473</v>
      </c>
      <c r="C3055" s="715" t="s">
        <v>103</v>
      </c>
      <c r="D3055" s="716">
        <v>0</v>
      </c>
    </row>
    <row r="3056" spans="1:4" ht="56">
      <c r="A3056" s="715">
        <v>97276</v>
      </c>
      <c r="B3056" s="633" t="s">
        <v>33474</v>
      </c>
      <c r="C3056" s="715" t="s">
        <v>103</v>
      </c>
      <c r="D3056" s="716">
        <v>0</v>
      </c>
    </row>
    <row r="3057" spans="1:4" ht="56">
      <c r="A3057" s="715">
        <v>97281</v>
      </c>
      <c r="B3057" s="633" t="s">
        <v>33475</v>
      </c>
      <c r="C3057" s="715" t="s">
        <v>103</v>
      </c>
      <c r="D3057" s="716">
        <v>0</v>
      </c>
    </row>
    <row r="3058" spans="1:4" ht="56">
      <c r="A3058" s="715">
        <v>97287</v>
      </c>
      <c r="B3058" s="633" t="s">
        <v>33476</v>
      </c>
      <c r="C3058" s="715" t="s">
        <v>103</v>
      </c>
      <c r="D3058" s="716">
        <v>0</v>
      </c>
    </row>
    <row r="3059" spans="1:4" ht="56">
      <c r="A3059" s="715">
        <v>97288</v>
      </c>
      <c r="B3059" s="633" t="s">
        <v>33477</v>
      </c>
      <c r="C3059" s="715" t="s">
        <v>103</v>
      </c>
      <c r="D3059" s="716">
        <v>0</v>
      </c>
    </row>
    <row r="3060" spans="1:4" ht="56">
      <c r="A3060" s="715">
        <v>97293</v>
      </c>
      <c r="B3060" s="633" t="s">
        <v>33478</v>
      </c>
      <c r="C3060" s="715" t="s">
        <v>103</v>
      </c>
      <c r="D3060" s="716">
        <v>0</v>
      </c>
    </row>
    <row r="3061" spans="1:4" ht="56">
      <c r="A3061" s="715">
        <v>97294</v>
      </c>
      <c r="B3061" s="633" t="s">
        <v>33479</v>
      </c>
      <c r="C3061" s="715" t="s">
        <v>103</v>
      </c>
      <c r="D3061" s="716">
        <v>0</v>
      </c>
    </row>
    <row r="3062" spans="1:4" ht="56">
      <c r="A3062" s="715">
        <v>97299</v>
      </c>
      <c r="B3062" s="633" t="s">
        <v>33480</v>
      </c>
      <c r="C3062" s="715" t="s">
        <v>103</v>
      </c>
      <c r="D3062" s="716">
        <v>0</v>
      </c>
    </row>
    <row r="3063" spans="1:4" ht="56">
      <c r="A3063" s="715">
        <v>97300</v>
      </c>
      <c r="B3063" s="633" t="s">
        <v>33481</v>
      </c>
      <c r="C3063" s="715" t="s">
        <v>103</v>
      </c>
      <c r="D3063" s="716">
        <v>0</v>
      </c>
    </row>
    <row r="3064" spans="1:4" ht="56">
      <c r="A3064" s="715">
        <v>97305</v>
      </c>
      <c r="B3064" s="633" t="s">
        <v>33482</v>
      </c>
      <c r="C3064" s="715" t="s">
        <v>103</v>
      </c>
      <c r="D3064" s="716">
        <v>0</v>
      </c>
    </row>
    <row r="3065" spans="1:4" ht="56">
      <c r="A3065" s="715">
        <v>97306</v>
      </c>
      <c r="B3065" s="633" t="s">
        <v>33483</v>
      </c>
      <c r="C3065" s="715" t="s">
        <v>103</v>
      </c>
      <c r="D3065" s="716">
        <v>0</v>
      </c>
    </row>
    <row r="3066" spans="1:4" ht="56">
      <c r="A3066" s="715">
        <v>97311</v>
      </c>
      <c r="B3066" s="633" t="s">
        <v>33484</v>
      </c>
      <c r="C3066" s="715" t="s">
        <v>103</v>
      </c>
      <c r="D3066" s="716">
        <v>0</v>
      </c>
    </row>
    <row r="3067" spans="1:4" ht="56">
      <c r="A3067" s="715">
        <v>97312</v>
      </c>
      <c r="B3067" s="633" t="s">
        <v>33485</v>
      </c>
      <c r="C3067" s="715" t="s">
        <v>103</v>
      </c>
      <c r="D3067" s="716">
        <v>0</v>
      </c>
    </row>
    <row r="3068" spans="1:4" ht="56">
      <c r="A3068" s="715">
        <v>97278</v>
      </c>
      <c r="B3068" s="633" t="s">
        <v>33486</v>
      </c>
      <c r="C3068" s="715" t="s">
        <v>103</v>
      </c>
      <c r="D3068" s="716">
        <v>0</v>
      </c>
    </row>
    <row r="3069" spans="1:4" ht="56">
      <c r="A3069" s="715">
        <v>97274</v>
      </c>
      <c r="B3069" s="633" t="s">
        <v>33487</v>
      </c>
      <c r="C3069" s="715" t="s">
        <v>103</v>
      </c>
      <c r="D3069" s="716">
        <v>0</v>
      </c>
    </row>
    <row r="3070" spans="1:4" ht="56">
      <c r="A3070" s="715">
        <v>97283</v>
      </c>
      <c r="B3070" s="633" t="s">
        <v>33488</v>
      </c>
      <c r="C3070" s="715" t="s">
        <v>103</v>
      </c>
      <c r="D3070" s="716">
        <v>0</v>
      </c>
    </row>
    <row r="3071" spans="1:4" ht="56">
      <c r="A3071" s="715">
        <v>97284</v>
      </c>
      <c r="B3071" s="633" t="s">
        <v>33489</v>
      </c>
      <c r="C3071" s="715" t="s">
        <v>103</v>
      </c>
      <c r="D3071" s="716">
        <v>0</v>
      </c>
    </row>
    <row r="3072" spans="1:4" ht="56">
      <c r="A3072" s="715">
        <v>97289</v>
      </c>
      <c r="B3072" s="633" t="s">
        <v>33490</v>
      </c>
      <c r="C3072" s="715" t="s">
        <v>103</v>
      </c>
      <c r="D3072" s="716">
        <v>0</v>
      </c>
    </row>
    <row r="3073" spans="1:4" ht="56">
      <c r="A3073" s="715">
        <v>97290</v>
      </c>
      <c r="B3073" s="633" t="s">
        <v>33491</v>
      </c>
      <c r="C3073" s="715" t="s">
        <v>103</v>
      </c>
      <c r="D3073" s="716">
        <v>0</v>
      </c>
    </row>
    <row r="3074" spans="1:4" ht="56">
      <c r="A3074" s="715">
        <v>97295</v>
      </c>
      <c r="B3074" s="633" t="s">
        <v>33492</v>
      </c>
      <c r="C3074" s="715" t="s">
        <v>103</v>
      </c>
      <c r="D3074" s="716">
        <v>0</v>
      </c>
    </row>
    <row r="3075" spans="1:4" ht="56">
      <c r="A3075" s="715">
        <v>97296</v>
      </c>
      <c r="B3075" s="633" t="s">
        <v>33493</v>
      </c>
      <c r="C3075" s="715" t="s">
        <v>103</v>
      </c>
      <c r="D3075" s="716">
        <v>0</v>
      </c>
    </row>
    <row r="3076" spans="1:4" ht="56">
      <c r="A3076" s="715">
        <v>97301</v>
      </c>
      <c r="B3076" s="633" t="s">
        <v>33494</v>
      </c>
      <c r="C3076" s="715" t="s">
        <v>103</v>
      </c>
      <c r="D3076" s="716">
        <v>0</v>
      </c>
    </row>
    <row r="3077" spans="1:4" ht="56">
      <c r="A3077" s="715">
        <v>97302</v>
      </c>
      <c r="B3077" s="633" t="s">
        <v>33495</v>
      </c>
      <c r="C3077" s="715" t="s">
        <v>103</v>
      </c>
      <c r="D3077" s="716">
        <v>0</v>
      </c>
    </row>
    <row r="3078" spans="1:4" ht="56">
      <c r="A3078" s="715">
        <v>97307</v>
      </c>
      <c r="B3078" s="633" t="s">
        <v>33496</v>
      </c>
      <c r="C3078" s="715" t="s">
        <v>103</v>
      </c>
      <c r="D3078" s="716">
        <v>0</v>
      </c>
    </row>
    <row r="3079" spans="1:4" ht="56">
      <c r="A3079" s="715">
        <v>97277</v>
      </c>
      <c r="B3079" s="633" t="s">
        <v>33497</v>
      </c>
      <c r="C3079" s="715" t="s">
        <v>103</v>
      </c>
      <c r="D3079" s="716">
        <v>0</v>
      </c>
    </row>
    <row r="3080" spans="1:4" ht="56">
      <c r="A3080" s="715">
        <v>97308</v>
      </c>
      <c r="B3080" s="633" t="s">
        <v>33498</v>
      </c>
      <c r="C3080" s="715" t="s">
        <v>103</v>
      </c>
      <c r="D3080" s="716">
        <v>0</v>
      </c>
    </row>
    <row r="3081" spans="1:4" ht="56">
      <c r="A3081" s="715">
        <v>97238</v>
      </c>
      <c r="B3081" s="633" t="s">
        <v>40295</v>
      </c>
      <c r="C3081" s="715" t="s">
        <v>165</v>
      </c>
      <c r="D3081" s="716">
        <v>0</v>
      </c>
    </row>
    <row r="3082" spans="1:4" ht="56">
      <c r="A3082" s="715">
        <v>97239</v>
      </c>
      <c r="B3082" s="633" t="s">
        <v>33499</v>
      </c>
      <c r="C3082" s="715" t="s">
        <v>165</v>
      </c>
      <c r="D3082" s="716">
        <v>0</v>
      </c>
    </row>
    <row r="3083" spans="1:4" ht="56">
      <c r="A3083" s="715">
        <v>97240</v>
      </c>
      <c r="B3083" s="633" t="s">
        <v>33500</v>
      </c>
      <c r="C3083" s="715" t="s">
        <v>165</v>
      </c>
      <c r="D3083" s="716">
        <v>0</v>
      </c>
    </row>
    <row r="3084" spans="1:4" ht="56">
      <c r="A3084" s="715">
        <v>97241</v>
      </c>
      <c r="B3084" s="633" t="s">
        <v>33501</v>
      </c>
      <c r="C3084" s="715" t="s">
        <v>165</v>
      </c>
      <c r="D3084" s="716">
        <v>0</v>
      </c>
    </row>
    <row r="3085" spans="1:4" ht="56">
      <c r="A3085" s="715">
        <v>97242</v>
      </c>
      <c r="B3085" s="633" t="s">
        <v>33502</v>
      </c>
      <c r="C3085" s="715" t="s">
        <v>165</v>
      </c>
      <c r="D3085" s="716">
        <v>0</v>
      </c>
    </row>
    <row r="3086" spans="1:4" ht="56">
      <c r="A3086" s="715">
        <v>97243</v>
      </c>
      <c r="B3086" s="633" t="s">
        <v>33503</v>
      </c>
      <c r="C3086" s="715" t="s">
        <v>165</v>
      </c>
      <c r="D3086" s="716">
        <v>0</v>
      </c>
    </row>
    <row r="3087" spans="1:4" ht="56">
      <c r="A3087" s="715">
        <v>97244</v>
      </c>
      <c r="B3087" s="633" t="s">
        <v>33504</v>
      </c>
      <c r="C3087" s="715" t="s">
        <v>165</v>
      </c>
      <c r="D3087" s="716">
        <v>0</v>
      </c>
    </row>
    <row r="3088" spans="1:4" ht="56">
      <c r="A3088" s="715">
        <v>97245</v>
      </c>
      <c r="B3088" s="633" t="s">
        <v>33505</v>
      </c>
      <c r="C3088" s="715" t="s">
        <v>165</v>
      </c>
      <c r="D3088" s="716">
        <v>0</v>
      </c>
    </row>
    <row r="3089" spans="1:4" ht="56">
      <c r="A3089" s="715">
        <v>97236</v>
      </c>
      <c r="B3089" s="633" t="s">
        <v>33506</v>
      </c>
      <c r="C3089" s="715" t="s">
        <v>165</v>
      </c>
      <c r="D3089" s="716">
        <v>0</v>
      </c>
    </row>
    <row r="3090" spans="1:4" ht="56">
      <c r="A3090" s="715">
        <v>97246</v>
      </c>
      <c r="B3090" s="633" t="s">
        <v>33507</v>
      </c>
      <c r="C3090" s="715" t="s">
        <v>165</v>
      </c>
      <c r="D3090" s="716">
        <v>0</v>
      </c>
    </row>
    <row r="3091" spans="1:4" ht="56">
      <c r="A3091" s="715">
        <v>97247</v>
      </c>
      <c r="B3091" s="633" t="s">
        <v>33508</v>
      </c>
      <c r="C3091" s="715" t="s">
        <v>165</v>
      </c>
      <c r="D3091" s="716">
        <v>0</v>
      </c>
    </row>
    <row r="3092" spans="1:4" ht="56">
      <c r="A3092" s="715">
        <v>97237</v>
      </c>
      <c r="B3092" s="633" t="s">
        <v>33509</v>
      </c>
      <c r="C3092" s="715" t="s">
        <v>165</v>
      </c>
      <c r="D3092" s="716">
        <v>0</v>
      </c>
    </row>
    <row r="3093" spans="1:4" ht="56">
      <c r="A3093" s="715">
        <v>97248</v>
      </c>
      <c r="B3093" s="633" t="s">
        <v>33510</v>
      </c>
      <c r="C3093" s="715" t="s">
        <v>165</v>
      </c>
      <c r="D3093" s="716">
        <v>0</v>
      </c>
    </row>
    <row r="3094" spans="1:4" ht="42">
      <c r="A3094" s="715">
        <v>97251</v>
      </c>
      <c r="B3094" s="633" t="s">
        <v>33511</v>
      </c>
      <c r="C3094" s="715" t="s">
        <v>103</v>
      </c>
      <c r="D3094" s="716">
        <v>0</v>
      </c>
    </row>
    <row r="3095" spans="1:4" ht="42">
      <c r="A3095" s="715">
        <v>97254</v>
      </c>
      <c r="B3095" s="633" t="s">
        <v>33512</v>
      </c>
      <c r="C3095" s="715" t="s">
        <v>103</v>
      </c>
      <c r="D3095" s="716">
        <v>0</v>
      </c>
    </row>
    <row r="3096" spans="1:4" ht="42">
      <c r="A3096" s="715">
        <v>97255</v>
      </c>
      <c r="B3096" s="633" t="s">
        <v>33513</v>
      </c>
      <c r="C3096" s="715" t="s">
        <v>103</v>
      </c>
      <c r="D3096" s="716">
        <v>0</v>
      </c>
    </row>
    <row r="3097" spans="1:4" ht="42">
      <c r="A3097" s="715">
        <v>97249</v>
      </c>
      <c r="B3097" s="633" t="s">
        <v>33514</v>
      </c>
      <c r="C3097" s="715" t="s">
        <v>103</v>
      </c>
      <c r="D3097" s="716">
        <v>0</v>
      </c>
    </row>
    <row r="3098" spans="1:4" ht="42">
      <c r="A3098" s="715">
        <v>97250</v>
      </c>
      <c r="B3098" s="633" t="s">
        <v>33515</v>
      </c>
      <c r="C3098" s="715" t="s">
        <v>103</v>
      </c>
      <c r="D3098" s="716">
        <v>0</v>
      </c>
    </row>
    <row r="3099" spans="1:4" ht="42">
      <c r="A3099" s="715">
        <v>97258</v>
      </c>
      <c r="B3099" s="633" t="s">
        <v>33516</v>
      </c>
      <c r="C3099" s="715" t="s">
        <v>103</v>
      </c>
      <c r="D3099" s="716">
        <v>0</v>
      </c>
    </row>
    <row r="3100" spans="1:4" ht="42">
      <c r="A3100" s="715">
        <v>97259</v>
      </c>
      <c r="B3100" s="633" t="s">
        <v>33517</v>
      </c>
      <c r="C3100" s="715" t="s">
        <v>103</v>
      </c>
      <c r="D3100" s="716">
        <v>0</v>
      </c>
    </row>
    <row r="3101" spans="1:4" ht="42">
      <c r="A3101" s="715">
        <v>97262</v>
      </c>
      <c r="B3101" s="633" t="s">
        <v>33518</v>
      </c>
      <c r="C3101" s="715" t="s">
        <v>103</v>
      </c>
      <c r="D3101" s="716">
        <v>0</v>
      </c>
    </row>
    <row r="3102" spans="1:4" ht="42">
      <c r="A3102" s="715">
        <v>97263</v>
      </c>
      <c r="B3102" s="633" t="s">
        <v>33519</v>
      </c>
      <c r="C3102" s="715" t="s">
        <v>103</v>
      </c>
      <c r="D3102" s="716">
        <v>0</v>
      </c>
    </row>
    <row r="3103" spans="1:4" ht="42">
      <c r="A3103" s="715">
        <v>97266</v>
      </c>
      <c r="B3103" s="633" t="s">
        <v>33520</v>
      </c>
      <c r="C3103" s="715" t="s">
        <v>103</v>
      </c>
      <c r="D3103" s="716">
        <v>0</v>
      </c>
    </row>
    <row r="3104" spans="1:4" ht="42">
      <c r="A3104" s="715">
        <v>97267</v>
      </c>
      <c r="B3104" s="633" t="s">
        <v>33521</v>
      </c>
      <c r="C3104" s="715" t="s">
        <v>103</v>
      </c>
      <c r="D3104" s="716">
        <v>0</v>
      </c>
    </row>
    <row r="3105" spans="1:4" ht="42">
      <c r="A3105" s="715">
        <v>97270</v>
      </c>
      <c r="B3105" s="633" t="s">
        <v>33522</v>
      </c>
      <c r="C3105" s="715" t="s">
        <v>103</v>
      </c>
      <c r="D3105" s="716">
        <v>0</v>
      </c>
    </row>
    <row r="3106" spans="1:4" ht="42">
      <c r="A3106" s="715">
        <v>97271</v>
      </c>
      <c r="B3106" s="633" t="s">
        <v>33523</v>
      </c>
      <c r="C3106" s="715" t="s">
        <v>103</v>
      </c>
      <c r="D3106" s="716">
        <v>0</v>
      </c>
    </row>
    <row r="3107" spans="1:4" ht="42">
      <c r="A3107" s="715">
        <v>97252</v>
      </c>
      <c r="B3107" s="633" t="s">
        <v>33524</v>
      </c>
      <c r="C3107" s="715" t="s">
        <v>103</v>
      </c>
      <c r="D3107" s="716">
        <v>0</v>
      </c>
    </row>
    <row r="3108" spans="1:4" ht="42">
      <c r="A3108" s="715">
        <v>97257</v>
      </c>
      <c r="B3108" s="633" t="s">
        <v>33525</v>
      </c>
      <c r="C3108" s="715" t="s">
        <v>103</v>
      </c>
      <c r="D3108" s="716">
        <v>0</v>
      </c>
    </row>
    <row r="3109" spans="1:4" ht="42">
      <c r="A3109" s="715">
        <v>97256</v>
      </c>
      <c r="B3109" s="633" t="s">
        <v>33526</v>
      </c>
      <c r="C3109" s="715" t="s">
        <v>103</v>
      </c>
      <c r="D3109" s="716">
        <v>0</v>
      </c>
    </row>
    <row r="3110" spans="1:4" ht="42">
      <c r="A3110" s="715">
        <v>97253</v>
      </c>
      <c r="B3110" s="633" t="s">
        <v>33527</v>
      </c>
      <c r="C3110" s="715" t="s">
        <v>103</v>
      </c>
      <c r="D3110" s="716">
        <v>0</v>
      </c>
    </row>
    <row r="3111" spans="1:4" ht="56">
      <c r="A3111" s="715">
        <v>97261</v>
      </c>
      <c r="B3111" s="633" t="s">
        <v>33528</v>
      </c>
      <c r="C3111" s="715" t="s">
        <v>103</v>
      </c>
      <c r="D3111" s="716">
        <v>0</v>
      </c>
    </row>
    <row r="3112" spans="1:4" ht="56">
      <c r="A3112" s="715">
        <v>97260</v>
      </c>
      <c r="B3112" s="633" t="s">
        <v>33529</v>
      </c>
      <c r="C3112" s="715" t="s">
        <v>103</v>
      </c>
      <c r="D3112" s="716">
        <v>0</v>
      </c>
    </row>
    <row r="3113" spans="1:4" ht="56">
      <c r="A3113" s="715">
        <v>97265</v>
      </c>
      <c r="B3113" s="633" t="s">
        <v>33530</v>
      </c>
      <c r="C3113" s="715" t="s">
        <v>103</v>
      </c>
      <c r="D3113" s="716">
        <v>0</v>
      </c>
    </row>
    <row r="3114" spans="1:4" ht="56">
      <c r="A3114" s="715">
        <v>97264</v>
      </c>
      <c r="B3114" s="633" t="s">
        <v>33531</v>
      </c>
      <c r="C3114" s="715" t="s">
        <v>103</v>
      </c>
      <c r="D3114" s="716">
        <v>0</v>
      </c>
    </row>
    <row r="3115" spans="1:4" ht="56">
      <c r="A3115" s="715">
        <v>97269</v>
      </c>
      <c r="B3115" s="633" t="s">
        <v>33532</v>
      </c>
      <c r="C3115" s="715" t="s">
        <v>103</v>
      </c>
      <c r="D3115" s="716">
        <v>0</v>
      </c>
    </row>
    <row r="3116" spans="1:4" ht="56">
      <c r="A3116" s="715">
        <v>97268</v>
      </c>
      <c r="B3116" s="633" t="s">
        <v>33533</v>
      </c>
      <c r="C3116" s="715" t="s">
        <v>103</v>
      </c>
      <c r="D3116" s="716">
        <v>0</v>
      </c>
    </row>
    <row r="3117" spans="1:4" ht="56">
      <c r="A3117" s="715">
        <v>97273</v>
      </c>
      <c r="B3117" s="633" t="s">
        <v>33534</v>
      </c>
      <c r="C3117" s="715" t="s">
        <v>103</v>
      </c>
      <c r="D3117" s="716">
        <v>0</v>
      </c>
    </row>
    <row r="3118" spans="1:4" ht="56">
      <c r="A3118" s="715">
        <v>97272</v>
      </c>
      <c r="B3118" s="633" t="s">
        <v>33535</v>
      </c>
      <c r="C3118" s="715" t="s">
        <v>103</v>
      </c>
      <c r="D3118" s="716">
        <v>0</v>
      </c>
    </row>
    <row r="3119" spans="1:4" ht="56">
      <c r="A3119" s="715">
        <v>97315</v>
      </c>
      <c r="B3119" s="633" t="s">
        <v>33536</v>
      </c>
      <c r="C3119" s="715" t="s">
        <v>103</v>
      </c>
      <c r="D3119" s="716">
        <v>0</v>
      </c>
    </row>
    <row r="3120" spans="1:4" ht="56">
      <c r="A3120" s="715">
        <v>97316</v>
      </c>
      <c r="B3120" s="633" t="s">
        <v>33537</v>
      </c>
      <c r="C3120" s="715" t="s">
        <v>103</v>
      </c>
      <c r="D3120" s="716">
        <v>0</v>
      </c>
    </row>
    <row r="3121" spans="1:4" ht="56">
      <c r="A3121" s="715">
        <v>97317</v>
      </c>
      <c r="B3121" s="633" t="s">
        <v>33538</v>
      </c>
      <c r="C3121" s="715" t="s">
        <v>103</v>
      </c>
      <c r="D3121" s="716">
        <v>0</v>
      </c>
    </row>
    <row r="3122" spans="1:4" ht="56">
      <c r="A3122" s="715">
        <v>97318</v>
      </c>
      <c r="B3122" s="633" t="s">
        <v>33539</v>
      </c>
      <c r="C3122" s="715" t="s">
        <v>103</v>
      </c>
      <c r="D3122" s="716">
        <v>0</v>
      </c>
    </row>
    <row r="3123" spans="1:4" ht="56">
      <c r="A3123" s="715">
        <v>97319</v>
      </c>
      <c r="B3123" s="633" t="s">
        <v>33540</v>
      </c>
      <c r="C3123" s="715" t="s">
        <v>103</v>
      </c>
      <c r="D3123" s="716">
        <v>0</v>
      </c>
    </row>
    <row r="3124" spans="1:4" ht="56">
      <c r="A3124" s="715">
        <v>97320</v>
      </c>
      <c r="B3124" s="633" t="s">
        <v>33541</v>
      </c>
      <c r="C3124" s="715" t="s">
        <v>103</v>
      </c>
      <c r="D3124" s="716">
        <v>0</v>
      </c>
    </row>
    <row r="3125" spans="1:4" ht="56">
      <c r="A3125" s="715">
        <v>97321</v>
      </c>
      <c r="B3125" s="633" t="s">
        <v>33542</v>
      </c>
      <c r="C3125" s="715" t="s">
        <v>103</v>
      </c>
      <c r="D3125" s="716">
        <v>0</v>
      </c>
    </row>
    <row r="3126" spans="1:4" ht="56">
      <c r="A3126" s="715">
        <v>97322</v>
      </c>
      <c r="B3126" s="633" t="s">
        <v>33543</v>
      </c>
      <c r="C3126" s="715" t="s">
        <v>103</v>
      </c>
      <c r="D3126" s="716">
        <v>0</v>
      </c>
    </row>
    <row r="3127" spans="1:4" ht="56">
      <c r="A3127" s="715">
        <v>97313</v>
      </c>
      <c r="B3127" s="633" t="s">
        <v>33544</v>
      </c>
      <c r="C3127" s="715" t="s">
        <v>103</v>
      </c>
      <c r="D3127" s="716">
        <v>0</v>
      </c>
    </row>
    <row r="3128" spans="1:4" ht="56">
      <c r="A3128" s="715">
        <v>97323</v>
      </c>
      <c r="B3128" s="633" t="s">
        <v>33545</v>
      </c>
      <c r="C3128" s="715" t="s">
        <v>103</v>
      </c>
      <c r="D3128" s="716">
        <v>0</v>
      </c>
    </row>
    <row r="3129" spans="1:4" ht="56">
      <c r="A3129" s="715">
        <v>97324</v>
      </c>
      <c r="B3129" s="633" t="s">
        <v>33546</v>
      </c>
      <c r="C3129" s="715" t="s">
        <v>103</v>
      </c>
      <c r="D3129" s="716">
        <v>0</v>
      </c>
    </row>
    <row r="3130" spans="1:4" ht="56">
      <c r="A3130" s="715">
        <v>97314</v>
      </c>
      <c r="B3130" s="633" t="s">
        <v>33547</v>
      </c>
      <c r="C3130" s="715" t="s">
        <v>103</v>
      </c>
      <c r="D3130" s="716">
        <v>0</v>
      </c>
    </row>
    <row r="3131" spans="1:4" ht="56">
      <c r="A3131" s="715">
        <v>97325</v>
      </c>
      <c r="B3131" s="633" t="s">
        <v>33548</v>
      </c>
      <c r="C3131" s="715" t="s">
        <v>103</v>
      </c>
      <c r="D3131" s="716">
        <v>0</v>
      </c>
    </row>
    <row r="3132" spans="1:4" ht="56">
      <c r="A3132" s="715">
        <v>103518</v>
      </c>
      <c r="B3132" s="633" t="s">
        <v>42440</v>
      </c>
      <c r="C3132" s="715" t="s">
        <v>103</v>
      </c>
      <c r="D3132" s="716">
        <v>0</v>
      </c>
    </row>
    <row r="3133" spans="1:4" ht="70">
      <c r="A3133" s="715">
        <v>103517</v>
      </c>
      <c r="B3133" s="633" t="s">
        <v>42441</v>
      </c>
      <c r="C3133" s="715" t="s">
        <v>103</v>
      </c>
      <c r="D3133" s="716">
        <v>3356.36</v>
      </c>
    </row>
    <row r="3134" spans="1:4" ht="56">
      <c r="A3134" s="715">
        <v>103519</v>
      </c>
      <c r="B3134" s="633" t="s">
        <v>42442</v>
      </c>
      <c r="C3134" s="715" t="s">
        <v>103</v>
      </c>
      <c r="D3134" s="716">
        <v>12.56</v>
      </c>
    </row>
    <row r="3135" spans="1:4" ht="28">
      <c r="A3135" s="715">
        <v>103515</v>
      </c>
      <c r="B3135" s="633" t="s">
        <v>42443</v>
      </c>
      <c r="C3135" s="715" t="s">
        <v>103</v>
      </c>
      <c r="D3135" s="716">
        <v>0</v>
      </c>
    </row>
    <row r="3136" spans="1:4" ht="28">
      <c r="A3136" s="715">
        <v>103502</v>
      </c>
      <c r="B3136" s="633" t="s">
        <v>42444</v>
      </c>
      <c r="C3136" s="715" t="s">
        <v>165</v>
      </c>
      <c r="D3136" s="716">
        <v>0</v>
      </c>
    </row>
    <row r="3137" spans="1:4" ht="28">
      <c r="A3137" s="715">
        <v>103503</v>
      </c>
      <c r="B3137" s="633" t="s">
        <v>42445</v>
      </c>
      <c r="C3137" s="715" t="s">
        <v>165</v>
      </c>
      <c r="D3137" s="716">
        <v>0</v>
      </c>
    </row>
    <row r="3138" spans="1:4" ht="42">
      <c r="A3138" s="715">
        <v>103499</v>
      </c>
      <c r="B3138" s="633" t="s">
        <v>42446</v>
      </c>
      <c r="C3138" s="715" t="s">
        <v>103</v>
      </c>
      <c r="D3138" s="716">
        <v>0</v>
      </c>
    </row>
    <row r="3139" spans="1:4" ht="42">
      <c r="A3139" s="715">
        <v>103501</v>
      </c>
      <c r="B3139" s="633" t="s">
        <v>42447</v>
      </c>
      <c r="C3139" s="715" t="s">
        <v>103</v>
      </c>
      <c r="D3139" s="716">
        <v>0</v>
      </c>
    </row>
    <row r="3140" spans="1:4" ht="42">
      <c r="A3140" s="715">
        <v>103500</v>
      </c>
      <c r="B3140" s="633" t="s">
        <v>42448</v>
      </c>
      <c r="C3140" s="715" t="s">
        <v>103</v>
      </c>
      <c r="D3140" s="716">
        <v>0</v>
      </c>
    </row>
    <row r="3141" spans="1:4" ht="56">
      <c r="A3141" s="715">
        <v>106678</v>
      </c>
      <c r="B3141" s="633" t="s">
        <v>42449</v>
      </c>
      <c r="C3141" s="715" t="s">
        <v>103</v>
      </c>
      <c r="D3141" s="716">
        <v>0</v>
      </c>
    </row>
    <row r="3142" spans="1:4" ht="56">
      <c r="A3142" s="715">
        <v>106680</v>
      </c>
      <c r="B3142" s="633" t="s">
        <v>42450</v>
      </c>
      <c r="C3142" s="715" t="s">
        <v>103</v>
      </c>
      <c r="D3142" s="716">
        <v>0</v>
      </c>
    </row>
    <row r="3143" spans="1:4" ht="56">
      <c r="A3143" s="715">
        <v>106679</v>
      </c>
      <c r="B3143" s="633" t="s">
        <v>42451</v>
      </c>
      <c r="C3143" s="715" t="s">
        <v>103</v>
      </c>
      <c r="D3143" s="716">
        <v>0</v>
      </c>
    </row>
    <row r="3144" spans="1:4" ht="56">
      <c r="A3144" s="715">
        <v>103496</v>
      </c>
      <c r="B3144" s="633" t="s">
        <v>42452</v>
      </c>
      <c r="C3144" s="715" t="s">
        <v>103</v>
      </c>
      <c r="D3144" s="716">
        <v>0</v>
      </c>
    </row>
    <row r="3145" spans="1:4" ht="56">
      <c r="A3145" s="715">
        <v>103498</v>
      </c>
      <c r="B3145" s="633" t="s">
        <v>42453</v>
      </c>
      <c r="C3145" s="715" t="s">
        <v>103</v>
      </c>
      <c r="D3145" s="716">
        <v>0</v>
      </c>
    </row>
    <row r="3146" spans="1:4" ht="56">
      <c r="A3146" s="715">
        <v>103497</v>
      </c>
      <c r="B3146" s="633" t="s">
        <v>42454</v>
      </c>
      <c r="C3146" s="715" t="s">
        <v>103</v>
      </c>
      <c r="D3146" s="716">
        <v>0</v>
      </c>
    </row>
    <row r="3147" spans="1:4" ht="42">
      <c r="A3147" s="715">
        <v>103516</v>
      </c>
      <c r="B3147" s="633" t="s">
        <v>42455</v>
      </c>
      <c r="C3147" s="715" t="s">
        <v>103</v>
      </c>
      <c r="D3147" s="716">
        <v>0</v>
      </c>
    </row>
    <row r="3148" spans="1:4" ht="28">
      <c r="A3148" s="715">
        <v>103506</v>
      </c>
      <c r="B3148" s="633" t="s">
        <v>42456</v>
      </c>
      <c r="C3148" s="715" t="s">
        <v>103</v>
      </c>
      <c r="D3148" s="716">
        <v>0</v>
      </c>
    </row>
    <row r="3149" spans="1:4" ht="28">
      <c r="A3149" s="715">
        <v>106681</v>
      </c>
      <c r="B3149" s="633" t="s">
        <v>42457</v>
      </c>
      <c r="C3149" s="715" t="s">
        <v>103</v>
      </c>
      <c r="D3149" s="716">
        <v>0</v>
      </c>
    </row>
    <row r="3150" spans="1:4" ht="28">
      <c r="A3150" s="715">
        <v>103507</v>
      </c>
      <c r="B3150" s="633" t="s">
        <v>42458</v>
      </c>
      <c r="C3150" s="715" t="s">
        <v>103</v>
      </c>
      <c r="D3150" s="716">
        <v>0</v>
      </c>
    </row>
    <row r="3151" spans="1:4" ht="42">
      <c r="A3151" s="715">
        <v>103493</v>
      </c>
      <c r="B3151" s="633" t="s">
        <v>42459</v>
      </c>
      <c r="C3151" s="715" t="s">
        <v>103</v>
      </c>
      <c r="D3151" s="716">
        <v>0</v>
      </c>
    </row>
    <row r="3152" spans="1:4" ht="42">
      <c r="A3152" s="715">
        <v>103495</v>
      </c>
      <c r="B3152" s="633" t="s">
        <v>42460</v>
      </c>
      <c r="C3152" s="715" t="s">
        <v>103</v>
      </c>
      <c r="D3152" s="716">
        <v>0</v>
      </c>
    </row>
    <row r="3153" spans="1:4" ht="42">
      <c r="A3153" s="715">
        <v>103494</v>
      </c>
      <c r="B3153" s="633" t="s">
        <v>42461</v>
      </c>
      <c r="C3153" s="715" t="s">
        <v>103</v>
      </c>
      <c r="D3153" s="716">
        <v>0</v>
      </c>
    </row>
    <row r="3154" spans="1:4" ht="28">
      <c r="A3154" s="715">
        <v>103513</v>
      </c>
      <c r="B3154" s="633" t="s">
        <v>42462</v>
      </c>
      <c r="C3154" s="715" t="s">
        <v>103</v>
      </c>
      <c r="D3154" s="716">
        <v>0</v>
      </c>
    </row>
    <row r="3155" spans="1:4" ht="56">
      <c r="A3155" s="715">
        <v>103523</v>
      </c>
      <c r="B3155" s="633" t="s">
        <v>42463</v>
      </c>
      <c r="C3155" s="715" t="s">
        <v>103</v>
      </c>
      <c r="D3155" s="716">
        <v>11195.97</v>
      </c>
    </row>
    <row r="3156" spans="1:4" ht="28">
      <c r="A3156" s="715">
        <v>103509</v>
      </c>
      <c r="B3156" s="633" t="s">
        <v>42464</v>
      </c>
      <c r="C3156" s="715" t="s">
        <v>103</v>
      </c>
      <c r="D3156" s="716">
        <v>0</v>
      </c>
    </row>
    <row r="3157" spans="1:4" ht="28">
      <c r="A3157" s="715">
        <v>103514</v>
      </c>
      <c r="B3157" s="633" t="s">
        <v>42465</v>
      </c>
      <c r="C3157" s="715" t="s">
        <v>103</v>
      </c>
      <c r="D3157" s="716">
        <v>0</v>
      </c>
    </row>
    <row r="3158" spans="1:4" ht="28">
      <c r="A3158" s="715">
        <v>103510</v>
      </c>
      <c r="B3158" s="633" t="s">
        <v>42466</v>
      </c>
      <c r="C3158" s="715" t="s">
        <v>103</v>
      </c>
      <c r="D3158" s="716">
        <v>0</v>
      </c>
    </row>
    <row r="3159" spans="1:4" ht="56">
      <c r="A3159" s="715">
        <v>103520</v>
      </c>
      <c r="B3159" s="633" t="s">
        <v>42467</v>
      </c>
      <c r="C3159" s="715" t="s">
        <v>103</v>
      </c>
      <c r="D3159" s="716">
        <v>5522.7</v>
      </c>
    </row>
    <row r="3160" spans="1:4" ht="28">
      <c r="A3160" s="715">
        <v>103511</v>
      </c>
      <c r="B3160" s="633" t="s">
        <v>42468</v>
      </c>
      <c r="C3160" s="715" t="s">
        <v>103</v>
      </c>
      <c r="D3160" s="716">
        <v>0</v>
      </c>
    </row>
    <row r="3161" spans="1:4" ht="56">
      <c r="A3161" s="715">
        <v>103521</v>
      </c>
      <c r="B3161" s="633" t="s">
        <v>42469</v>
      </c>
      <c r="C3161" s="715" t="s">
        <v>103</v>
      </c>
      <c r="D3161" s="716">
        <v>7332.15</v>
      </c>
    </row>
    <row r="3162" spans="1:4" ht="28">
      <c r="A3162" s="715">
        <v>103512</v>
      </c>
      <c r="B3162" s="633" t="s">
        <v>42470</v>
      </c>
      <c r="C3162" s="715" t="s">
        <v>103</v>
      </c>
      <c r="D3162" s="716">
        <v>0</v>
      </c>
    </row>
    <row r="3163" spans="1:4" ht="56">
      <c r="A3163" s="715">
        <v>103522</v>
      </c>
      <c r="B3163" s="633" t="s">
        <v>42471</v>
      </c>
      <c r="C3163" s="715" t="s">
        <v>103</v>
      </c>
      <c r="D3163" s="716">
        <v>7463.75</v>
      </c>
    </row>
    <row r="3164" spans="1:4" ht="28">
      <c r="A3164" s="715">
        <v>103508</v>
      </c>
      <c r="B3164" s="633" t="s">
        <v>42472</v>
      </c>
      <c r="C3164" s="715" t="s">
        <v>103</v>
      </c>
      <c r="D3164" s="716">
        <v>0</v>
      </c>
    </row>
    <row r="3165" spans="1:4" ht="42">
      <c r="A3165" s="715">
        <v>103524</v>
      </c>
      <c r="B3165" s="633" t="s">
        <v>42473</v>
      </c>
      <c r="C3165" s="715" t="s">
        <v>103</v>
      </c>
      <c r="D3165" s="716">
        <v>0</v>
      </c>
    </row>
    <row r="3166" spans="1:4" ht="42">
      <c r="A3166" s="715">
        <v>103526</v>
      </c>
      <c r="B3166" s="633" t="s">
        <v>42474</v>
      </c>
      <c r="C3166" s="715" t="s">
        <v>103</v>
      </c>
      <c r="D3166" s="716">
        <v>0</v>
      </c>
    </row>
    <row r="3167" spans="1:4" ht="42">
      <c r="A3167" s="715">
        <v>103525</v>
      </c>
      <c r="B3167" s="633" t="s">
        <v>42475</v>
      </c>
      <c r="C3167" s="715" t="s">
        <v>103</v>
      </c>
      <c r="D3167" s="716">
        <v>0</v>
      </c>
    </row>
    <row r="3168" spans="1:4" ht="28">
      <c r="A3168" s="715">
        <v>97062</v>
      </c>
      <c r="B3168" s="633" t="s">
        <v>29506</v>
      </c>
      <c r="C3168" s="715" t="s">
        <v>509</v>
      </c>
      <c r="D3168" s="716">
        <v>7.16</v>
      </c>
    </row>
    <row r="3169" spans="1:4" ht="28">
      <c r="A3169" s="715">
        <v>97061</v>
      </c>
      <c r="B3169" s="633" t="s">
        <v>33549</v>
      </c>
      <c r="C3169" s="715" t="s">
        <v>509</v>
      </c>
      <c r="D3169" s="716">
        <v>0</v>
      </c>
    </row>
    <row r="3170" spans="1:4" ht="42">
      <c r="A3170" s="715">
        <v>104988</v>
      </c>
      <c r="B3170" s="633" t="s">
        <v>33550</v>
      </c>
      <c r="C3170" s="715" t="s">
        <v>509</v>
      </c>
      <c r="D3170" s="716">
        <v>0</v>
      </c>
    </row>
    <row r="3171" spans="1:4" ht="42">
      <c r="A3171" s="715">
        <v>104979</v>
      </c>
      <c r="B3171" s="633" t="s">
        <v>33551</v>
      </c>
      <c r="C3171" s="715" t="s">
        <v>509</v>
      </c>
      <c r="D3171" s="716">
        <v>0</v>
      </c>
    </row>
    <row r="3172" spans="1:4" ht="28">
      <c r="A3172" s="715">
        <v>97040</v>
      </c>
      <c r="B3172" s="633" t="s">
        <v>29501</v>
      </c>
      <c r="C3172" s="715" t="s">
        <v>509</v>
      </c>
      <c r="D3172" s="716">
        <v>21.78</v>
      </c>
    </row>
    <row r="3173" spans="1:4" ht="28">
      <c r="A3173" s="715">
        <v>97041</v>
      </c>
      <c r="B3173" s="633" t="s">
        <v>29502</v>
      </c>
      <c r="C3173" s="715" t="s">
        <v>509</v>
      </c>
      <c r="D3173" s="716">
        <v>154.62</v>
      </c>
    </row>
    <row r="3174" spans="1:4" ht="42">
      <c r="A3174" s="715">
        <v>97039</v>
      </c>
      <c r="B3174" s="633" t="s">
        <v>29500</v>
      </c>
      <c r="C3174" s="715" t="s">
        <v>509</v>
      </c>
      <c r="D3174" s="716">
        <v>80.819999999999993</v>
      </c>
    </row>
    <row r="3175" spans="1:4" ht="28">
      <c r="A3175" s="715">
        <v>102655</v>
      </c>
      <c r="B3175" s="633" t="s">
        <v>33552</v>
      </c>
      <c r="C3175" s="715" t="s">
        <v>165</v>
      </c>
      <c r="D3175" s="716">
        <v>0.81</v>
      </c>
    </row>
    <row r="3176" spans="1:4" ht="56">
      <c r="A3176" s="715">
        <v>104987</v>
      </c>
      <c r="B3176" s="633" t="s">
        <v>33553</v>
      </c>
      <c r="C3176" s="715" t="s">
        <v>165</v>
      </c>
      <c r="D3176" s="716">
        <v>0</v>
      </c>
    </row>
    <row r="3177" spans="1:4" ht="56">
      <c r="A3177" s="715">
        <v>104986</v>
      </c>
      <c r="B3177" s="633" t="s">
        <v>33554</v>
      </c>
      <c r="C3177" s="715" t="s">
        <v>165</v>
      </c>
      <c r="D3177" s="716">
        <v>0</v>
      </c>
    </row>
    <row r="3178" spans="1:4" ht="56">
      <c r="A3178" s="715">
        <v>104984</v>
      </c>
      <c r="B3178" s="633" t="s">
        <v>33555</v>
      </c>
      <c r="C3178" s="715" t="s">
        <v>165</v>
      </c>
      <c r="D3178" s="716">
        <v>0</v>
      </c>
    </row>
    <row r="3179" spans="1:4" ht="56">
      <c r="A3179" s="715">
        <v>104985</v>
      </c>
      <c r="B3179" s="633" t="s">
        <v>33556</v>
      </c>
      <c r="C3179" s="715" t="s">
        <v>165</v>
      </c>
      <c r="D3179" s="716">
        <v>0</v>
      </c>
    </row>
    <row r="3180" spans="1:4" ht="56">
      <c r="A3180" s="715">
        <v>97026</v>
      </c>
      <c r="B3180" s="633" t="s">
        <v>33557</v>
      </c>
      <c r="C3180" s="715" t="s">
        <v>165</v>
      </c>
      <c r="D3180" s="716">
        <v>0</v>
      </c>
    </row>
    <row r="3181" spans="1:4" ht="56">
      <c r="A3181" s="715">
        <v>97025</v>
      </c>
      <c r="B3181" s="633" t="s">
        <v>33558</v>
      </c>
      <c r="C3181" s="715" t="s">
        <v>165</v>
      </c>
      <c r="D3181" s="716">
        <v>0</v>
      </c>
    </row>
    <row r="3182" spans="1:4" ht="70">
      <c r="A3182" s="715">
        <v>97032</v>
      </c>
      <c r="B3182" s="633" t="s">
        <v>29497</v>
      </c>
      <c r="C3182" s="715" t="s">
        <v>165</v>
      </c>
      <c r="D3182" s="716">
        <v>69.59</v>
      </c>
    </row>
    <row r="3183" spans="1:4" ht="70">
      <c r="A3183" s="715">
        <v>97031</v>
      </c>
      <c r="B3183" s="633" t="s">
        <v>29496</v>
      </c>
      <c r="C3183" s="715" t="s">
        <v>165</v>
      </c>
      <c r="D3183" s="716">
        <v>112.27</v>
      </c>
    </row>
    <row r="3184" spans="1:4" ht="70">
      <c r="A3184" s="715">
        <v>97036</v>
      </c>
      <c r="B3184" s="633" t="s">
        <v>33559</v>
      </c>
      <c r="C3184" s="715" t="s">
        <v>165</v>
      </c>
      <c r="D3184" s="716">
        <v>0</v>
      </c>
    </row>
    <row r="3185" spans="1:4" ht="70">
      <c r="A3185" s="715">
        <v>97035</v>
      </c>
      <c r="B3185" s="633" t="s">
        <v>33560</v>
      </c>
      <c r="C3185" s="715" t="s">
        <v>165</v>
      </c>
      <c r="D3185" s="716">
        <v>0</v>
      </c>
    </row>
    <row r="3186" spans="1:4" ht="70">
      <c r="A3186" s="715">
        <v>97034</v>
      </c>
      <c r="B3186" s="633" t="s">
        <v>29499</v>
      </c>
      <c r="C3186" s="715" t="s">
        <v>165</v>
      </c>
      <c r="D3186" s="716">
        <v>71.14</v>
      </c>
    </row>
    <row r="3187" spans="1:4" ht="70">
      <c r="A3187" s="715">
        <v>97033</v>
      </c>
      <c r="B3187" s="633" t="s">
        <v>29498</v>
      </c>
      <c r="C3187" s="715" t="s">
        <v>165</v>
      </c>
      <c r="D3187" s="716">
        <v>108.18</v>
      </c>
    </row>
    <row r="3188" spans="1:4" ht="84">
      <c r="A3188" s="715">
        <v>97030</v>
      </c>
      <c r="B3188" s="633" t="s">
        <v>33561</v>
      </c>
      <c r="C3188" s="715" t="s">
        <v>165</v>
      </c>
      <c r="D3188" s="716">
        <v>0</v>
      </c>
    </row>
    <row r="3189" spans="1:4" ht="84">
      <c r="A3189" s="715">
        <v>97029</v>
      </c>
      <c r="B3189" s="633" t="s">
        <v>33562</v>
      </c>
      <c r="C3189" s="715" t="s">
        <v>165</v>
      </c>
      <c r="D3189" s="716">
        <v>0</v>
      </c>
    </row>
    <row r="3190" spans="1:4" ht="84">
      <c r="A3190" s="715">
        <v>97028</v>
      </c>
      <c r="B3190" s="633" t="s">
        <v>33563</v>
      </c>
      <c r="C3190" s="715" t="s">
        <v>165</v>
      </c>
      <c r="D3190" s="716">
        <v>0</v>
      </c>
    </row>
    <row r="3191" spans="1:4" ht="84">
      <c r="A3191" s="715">
        <v>97027</v>
      </c>
      <c r="B3191" s="633" t="s">
        <v>33564</v>
      </c>
      <c r="C3191" s="715" t="s">
        <v>165</v>
      </c>
      <c r="D3191" s="716">
        <v>0</v>
      </c>
    </row>
    <row r="3192" spans="1:4" ht="70">
      <c r="A3192" s="715">
        <v>97038</v>
      </c>
      <c r="B3192" s="633" t="s">
        <v>33565</v>
      </c>
      <c r="C3192" s="715" t="s">
        <v>165</v>
      </c>
      <c r="D3192" s="716">
        <v>0</v>
      </c>
    </row>
    <row r="3193" spans="1:4" ht="70">
      <c r="A3193" s="715">
        <v>97037</v>
      </c>
      <c r="B3193" s="633" t="s">
        <v>33566</v>
      </c>
      <c r="C3193" s="715" t="s">
        <v>165</v>
      </c>
      <c r="D3193" s="716">
        <v>0</v>
      </c>
    </row>
    <row r="3194" spans="1:4" ht="56">
      <c r="A3194" s="715">
        <v>97014</v>
      </c>
      <c r="B3194" s="633" t="s">
        <v>29491</v>
      </c>
      <c r="C3194" s="715" t="s">
        <v>165</v>
      </c>
      <c r="D3194" s="716">
        <v>71.84</v>
      </c>
    </row>
    <row r="3195" spans="1:4" ht="70">
      <c r="A3195" s="715">
        <v>97015</v>
      </c>
      <c r="B3195" s="633" t="s">
        <v>29492</v>
      </c>
      <c r="C3195" s="715" t="s">
        <v>165</v>
      </c>
      <c r="D3195" s="716">
        <v>60.14</v>
      </c>
    </row>
    <row r="3196" spans="1:4" ht="56">
      <c r="A3196" s="715">
        <v>97013</v>
      </c>
      <c r="B3196" s="633" t="s">
        <v>29490</v>
      </c>
      <c r="C3196" s="715" t="s">
        <v>165</v>
      </c>
      <c r="D3196" s="716">
        <v>95.27</v>
      </c>
    </row>
    <row r="3197" spans="1:4" ht="56">
      <c r="A3197" s="715">
        <v>97017</v>
      </c>
      <c r="B3197" s="633" t="s">
        <v>29494</v>
      </c>
      <c r="C3197" s="715" t="s">
        <v>165</v>
      </c>
      <c r="D3197" s="716">
        <v>57.87</v>
      </c>
    </row>
    <row r="3198" spans="1:4" ht="56">
      <c r="A3198" s="715">
        <v>97018</v>
      </c>
      <c r="B3198" s="633" t="s">
        <v>29495</v>
      </c>
      <c r="C3198" s="715" t="s">
        <v>165</v>
      </c>
      <c r="D3198" s="716">
        <v>48.33</v>
      </c>
    </row>
    <row r="3199" spans="1:4" ht="56">
      <c r="A3199" s="715">
        <v>97016</v>
      </c>
      <c r="B3199" s="633" t="s">
        <v>29493</v>
      </c>
      <c r="C3199" s="715" t="s">
        <v>165</v>
      </c>
      <c r="D3199" s="716">
        <v>77.09</v>
      </c>
    </row>
    <row r="3200" spans="1:4" ht="70">
      <c r="A3200" s="715">
        <v>97024</v>
      </c>
      <c r="B3200" s="633" t="s">
        <v>33567</v>
      </c>
      <c r="C3200" s="715" t="s">
        <v>165</v>
      </c>
      <c r="D3200" s="716">
        <v>0</v>
      </c>
    </row>
    <row r="3201" spans="1:4" ht="70">
      <c r="A3201" s="715">
        <v>97023</v>
      </c>
      <c r="B3201" s="633" t="s">
        <v>33568</v>
      </c>
      <c r="C3201" s="715" t="s">
        <v>165</v>
      </c>
      <c r="D3201" s="716">
        <v>0</v>
      </c>
    </row>
    <row r="3202" spans="1:4" ht="70">
      <c r="A3202" s="715">
        <v>105804</v>
      </c>
      <c r="B3202" s="633" t="s">
        <v>33569</v>
      </c>
      <c r="C3202" s="715" t="s">
        <v>165</v>
      </c>
      <c r="D3202" s="716">
        <v>0</v>
      </c>
    </row>
    <row r="3203" spans="1:4" ht="56">
      <c r="A3203" s="715">
        <v>104990</v>
      </c>
      <c r="B3203" s="633" t="s">
        <v>29981</v>
      </c>
      <c r="C3203" s="715" t="s">
        <v>165</v>
      </c>
      <c r="D3203" s="716">
        <v>12.12</v>
      </c>
    </row>
    <row r="3204" spans="1:4" ht="28">
      <c r="A3204" s="715">
        <v>97052</v>
      </c>
      <c r="B3204" s="633" t="s">
        <v>33570</v>
      </c>
      <c r="C3204" s="715" t="s">
        <v>103</v>
      </c>
      <c r="D3204" s="716">
        <v>0</v>
      </c>
    </row>
    <row r="3205" spans="1:4" ht="28">
      <c r="A3205" s="715">
        <v>97054</v>
      </c>
      <c r="B3205" s="633" t="s">
        <v>29505</v>
      </c>
      <c r="C3205" s="715" t="s">
        <v>103</v>
      </c>
      <c r="D3205" s="716">
        <v>30.58</v>
      </c>
    </row>
    <row r="3206" spans="1:4" ht="28">
      <c r="A3206" s="715">
        <v>104981</v>
      </c>
      <c r="B3206" s="633" t="s">
        <v>33571</v>
      </c>
      <c r="C3206" s="715" t="s">
        <v>165</v>
      </c>
      <c r="D3206" s="716">
        <v>0</v>
      </c>
    </row>
    <row r="3207" spans="1:4" ht="28">
      <c r="A3207" s="715">
        <v>104980</v>
      </c>
      <c r="B3207" s="633" t="s">
        <v>33572</v>
      </c>
      <c r="C3207" s="715" t="s">
        <v>165</v>
      </c>
      <c r="D3207" s="716">
        <v>0</v>
      </c>
    </row>
    <row r="3208" spans="1:4" ht="28">
      <c r="A3208" s="715">
        <v>97042</v>
      </c>
      <c r="B3208" s="633" t="s">
        <v>33573</v>
      </c>
      <c r="C3208" s="715" t="s">
        <v>165</v>
      </c>
      <c r="D3208" s="716">
        <v>0</v>
      </c>
    </row>
    <row r="3209" spans="1:4" ht="42">
      <c r="A3209" s="715">
        <v>97045</v>
      </c>
      <c r="B3209" s="633" t="s">
        <v>33574</v>
      </c>
      <c r="C3209" s="715" t="s">
        <v>165</v>
      </c>
      <c r="D3209" s="716">
        <v>0</v>
      </c>
    </row>
    <row r="3210" spans="1:4" ht="42">
      <c r="A3210" s="715">
        <v>97044</v>
      </c>
      <c r="B3210" s="633" t="s">
        <v>33575</v>
      </c>
      <c r="C3210" s="715" t="s">
        <v>165</v>
      </c>
      <c r="D3210" s="716">
        <v>0</v>
      </c>
    </row>
    <row r="3211" spans="1:4" ht="42">
      <c r="A3211" s="715">
        <v>97043</v>
      </c>
      <c r="B3211" s="633" t="s">
        <v>33576</v>
      </c>
      <c r="C3211" s="715" t="s">
        <v>165</v>
      </c>
      <c r="D3211" s="716">
        <v>0</v>
      </c>
    </row>
    <row r="3212" spans="1:4" ht="56">
      <c r="A3212" s="715">
        <v>97063</v>
      </c>
      <c r="B3212" s="633" t="s">
        <v>29507</v>
      </c>
      <c r="C3212" s="715" t="s">
        <v>509</v>
      </c>
      <c r="D3212" s="716">
        <v>26</v>
      </c>
    </row>
    <row r="3213" spans="1:4" ht="42">
      <c r="A3213" s="715">
        <v>97065</v>
      </c>
      <c r="B3213" s="633" t="s">
        <v>29509</v>
      </c>
      <c r="C3213" s="715" t="s">
        <v>121</v>
      </c>
      <c r="D3213" s="716">
        <v>17.63</v>
      </c>
    </row>
    <row r="3214" spans="1:4" ht="42">
      <c r="A3214" s="715">
        <v>97064</v>
      </c>
      <c r="B3214" s="633" t="s">
        <v>29508</v>
      </c>
      <c r="C3214" s="715" t="s">
        <v>165</v>
      </c>
      <c r="D3214" s="716">
        <v>36.630000000000003</v>
      </c>
    </row>
    <row r="3215" spans="1:4" ht="28">
      <c r="A3215" s="715">
        <v>97049</v>
      </c>
      <c r="B3215" s="633" t="s">
        <v>33577</v>
      </c>
      <c r="C3215" s="715" t="s">
        <v>509</v>
      </c>
      <c r="D3215" s="716">
        <v>0</v>
      </c>
    </row>
    <row r="3216" spans="1:4" ht="56">
      <c r="A3216" s="715">
        <v>96997</v>
      </c>
      <c r="B3216" s="633" t="s">
        <v>33578</v>
      </c>
      <c r="C3216" s="715" t="s">
        <v>165</v>
      </c>
      <c r="D3216" s="716">
        <v>0</v>
      </c>
    </row>
    <row r="3217" spans="1:4" ht="56">
      <c r="A3217" s="715">
        <v>96999</v>
      </c>
      <c r="B3217" s="633" t="s">
        <v>33579</v>
      </c>
      <c r="C3217" s="715" t="s">
        <v>165</v>
      </c>
      <c r="D3217" s="716">
        <v>0</v>
      </c>
    </row>
    <row r="3218" spans="1:4" ht="56">
      <c r="A3218" s="715">
        <v>96996</v>
      </c>
      <c r="B3218" s="633" t="s">
        <v>33580</v>
      </c>
      <c r="C3218" s="715" t="s">
        <v>165</v>
      </c>
      <c r="D3218" s="716">
        <v>0</v>
      </c>
    </row>
    <row r="3219" spans="1:4" ht="56">
      <c r="A3219" s="715">
        <v>96998</v>
      </c>
      <c r="B3219" s="633" t="s">
        <v>33581</v>
      </c>
      <c r="C3219" s="715" t="s">
        <v>165</v>
      </c>
      <c r="D3219" s="716">
        <v>0</v>
      </c>
    </row>
    <row r="3220" spans="1:4" ht="56">
      <c r="A3220" s="715">
        <v>97067</v>
      </c>
      <c r="B3220" s="633" t="s">
        <v>29511</v>
      </c>
      <c r="C3220" s="715" t="s">
        <v>165</v>
      </c>
      <c r="D3220" s="716">
        <v>798.02</v>
      </c>
    </row>
    <row r="3221" spans="1:4" ht="56">
      <c r="A3221" s="715">
        <v>97001</v>
      </c>
      <c r="B3221" s="633" t="s">
        <v>33582</v>
      </c>
      <c r="C3221" s="715" t="s">
        <v>165</v>
      </c>
      <c r="D3221" s="716">
        <v>0</v>
      </c>
    </row>
    <row r="3222" spans="1:4" ht="56">
      <c r="A3222" s="715">
        <v>97003</v>
      </c>
      <c r="B3222" s="633" t="s">
        <v>33583</v>
      </c>
      <c r="C3222" s="715" t="s">
        <v>165</v>
      </c>
      <c r="D3222" s="716">
        <v>0</v>
      </c>
    </row>
    <row r="3223" spans="1:4" ht="56">
      <c r="A3223" s="715">
        <v>97005</v>
      </c>
      <c r="B3223" s="633" t="s">
        <v>33584</v>
      </c>
      <c r="C3223" s="715" t="s">
        <v>165</v>
      </c>
      <c r="D3223" s="716">
        <v>0</v>
      </c>
    </row>
    <row r="3224" spans="1:4" ht="56">
      <c r="A3224" s="715">
        <v>97000</v>
      </c>
      <c r="B3224" s="633" t="s">
        <v>33585</v>
      </c>
      <c r="C3224" s="715" t="s">
        <v>165</v>
      </c>
      <c r="D3224" s="716">
        <v>0</v>
      </c>
    </row>
    <row r="3225" spans="1:4" ht="56">
      <c r="A3225" s="715">
        <v>97002</v>
      </c>
      <c r="B3225" s="633" t="s">
        <v>33586</v>
      </c>
      <c r="C3225" s="715" t="s">
        <v>165</v>
      </c>
      <c r="D3225" s="716">
        <v>0</v>
      </c>
    </row>
    <row r="3226" spans="1:4" ht="56">
      <c r="A3226" s="715">
        <v>97004</v>
      </c>
      <c r="B3226" s="633" t="s">
        <v>33587</v>
      </c>
      <c r="C3226" s="715" t="s">
        <v>165</v>
      </c>
      <c r="D3226" s="716">
        <v>0</v>
      </c>
    </row>
    <row r="3227" spans="1:4" ht="56">
      <c r="A3227" s="715">
        <v>97007</v>
      </c>
      <c r="B3227" s="633" t="s">
        <v>33588</v>
      </c>
      <c r="C3227" s="715" t="s">
        <v>165</v>
      </c>
      <c r="D3227" s="716">
        <v>0</v>
      </c>
    </row>
    <row r="3228" spans="1:4" ht="56">
      <c r="A3228" s="715">
        <v>97009</v>
      </c>
      <c r="B3228" s="633" t="s">
        <v>33589</v>
      </c>
      <c r="C3228" s="715" t="s">
        <v>165</v>
      </c>
      <c r="D3228" s="716">
        <v>0</v>
      </c>
    </row>
    <row r="3229" spans="1:4" ht="56">
      <c r="A3229" s="715">
        <v>97006</v>
      </c>
      <c r="B3229" s="633" t="s">
        <v>33590</v>
      </c>
      <c r="C3229" s="715" t="s">
        <v>165</v>
      </c>
      <c r="D3229" s="716">
        <v>0</v>
      </c>
    </row>
    <row r="3230" spans="1:4" ht="56">
      <c r="A3230" s="715">
        <v>97008</v>
      </c>
      <c r="B3230" s="633" t="s">
        <v>33591</v>
      </c>
      <c r="C3230" s="715" t="s">
        <v>165</v>
      </c>
      <c r="D3230" s="716">
        <v>0</v>
      </c>
    </row>
    <row r="3231" spans="1:4" ht="42">
      <c r="A3231" s="715">
        <v>97048</v>
      </c>
      <c r="B3231" s="633" t="s">
        <v>29504</v>
      </c>
      <c r="C3231" s="715" t="s">
        <v>509</v>
      </c>
      <c r="D3231" s="716">
        <v>0.1</v>
      </c>
    </row>
    <row r="3232" spans="1:4" ht="42">
      <c r="A3232" s="715">
        <v>97047</v>
      </c>
      <c r="B3232" s="633" t="s">
        <v>29503</v>
      </c>
      <c r="C3232" s="715" t="s">
        <v>509</v>
      </c>
      <c r="D3232" s="716">
        <v>0.14000000000000001</v>
      </c>
    </row>
    <row r="3233" spans="1:4" ht="28">
      <c r="A3233" s="715">
        <v>97046</v>
      </c>
      <c r="B3233" s="633" t="s">
        <v>30417</v>
      </c>
      <c r="C3233" s="715" t="s">
        <v>509</v>
      </c>
      <c r="D3233" s="716">
        <v>0.37</v>
      </c>
    </row>
    <row r="3234" spans="1:4" ht="42">
      <c r="A3234" s="715">
        <v>104989</v>
      </c>
      <c r="B3234" s="633" t="s">
        <v>29980</v>
      </c>
      <c r="C3234" s="715" t="s">
        <v>103</v>
      </c>
      <c r="D3234" s="716">
        <v>46.53</v>
      </c>
    </row>
    <row r="3235" spans="1:4" ht="28">
      <c r="A3235" s="715">
        <v>97066</v>
      </c>
      <c r="B3235" s="633" t="s">
        <v>29510</v>
      </c>
      <c r="C3235" s="715" t="s">
        <v>509</v>
      </c>
      <c r="D3235" s="716">
        <v>364.62</v>
      </c>
    </row>
    <row r="3236" spans="1:4" ht="28">
      <c r="A3236" s="715">
        <v>104982</v>
      </c>
      <c r="B3236" s="633" t="s">
        <v>33592</v>
      </c>
      <c r="C3236" s="715" t="s">
        <v>165</v>
      </c>
      <c r="D3236" s="716">
        <v>0</v>
      </c>
    </row>
    <row r="3237" spans="1:4" ht="28">
      <c r="A3237" s="715">
        <v>97060</v>
      </c>
      <c r="B3237" s="633" t="s">
        <v>33593</v>
      </c>
      <c r="C3237" s="715" t="s">
        <v>165</v>
      </c>
      <c r="D3237" s="716">
        <v>0</v>
      </c>
    </row>
    <row r="3238" spans="1:4" ht="28">
      <c r="A3238" s="715">
        <v>97059</v>
      </c>
      <c r="B3238" s="633" t="s">
        <v>33594</v>
      </c>
      <c r="C3238" s="715" t="s">
        <v>165</v>
      </c>
      <c r="D3238" s="716">
        <v>0</v>
      </c>
    </row>
    <row r="3239" spans="1:4" ht="28">
      <c r="A3239" s="715">
        <v>97058</v>
      </c>
      <c r="B3239" s="633" t="s">
        <v>33595</v>
      </c>
      <c r="C3239" s="715" t="s">
        <v>165</v>
      </c>
      <c r="D3239" s="716">
        <v>0</v>
      </c>
    </row>
    <row r="3240" spans="1:4" ht="42">
      <c r="A3240" s="715">
        <v>97056</v>
      </c>
      <c r="B3240" s="633" t="s">
        <v>33596</v>
      </c>
      <c r="C3240" s="715" t="s">
        <v>165</v>
      </c>
      <c r="D3240" s="716">
        <v>0</v>
      </c>
    </row>
    <row r="3241" spans="1:4" ht="42">
      <c r="A3241" s="715">
        <v>97057</v>
      </c>
      <c r="B3241" s="633" t="s">
        <v>33597</v>
      </c>
      <c r="C3241" s="715" t="s">
        <v>165</v>
      </c>
      <c r="D3241" s="716">
        <v>0</v>
      </c>
    </row>
    <row r="3242" spans="1:4" ht="42">
      <c r="A3242" s="715">
        <v>97055</v>
      </c>
      <c r="B3242" s="633" t="s">
        <v>33598</v>
      </c>
      <c r="C3242" s="715" t="s">
        <v>165</v>
      </c>
      <c r="D3242" s="716">
        <v>0</v>
      </c>
    </row>
    <row r="3243" spans="1:4" ht="28">
      <c r="A3243" s="715">
        <v>102656</v>
      </c>
      <c r="B3243" s="633" t="s">
        <v>33599</v>
      </c>
      <c r="C3243" s="715" t="s">
        <v>165</v>
      </c>
      <c r="D3243" s="716">
        <v>6.98</v>
      </c>
    </row>
    <row r="3244" spans="1:4" ht="28">
      <c r="A3244" s="715">
        <v>104983</v>
      </c>
      <c r="B3244" s="633" t="s">
        <v>33600</v>
      </c>
      <c r="C3244" s="715" t="s">
        <v>103</v>
      </c>
      <c r="D3244" s="716">
        <v>0</v>
      </c>
    </row>
    <row r="3245" spans="1:4" ht="28">
      <c r="A3245" s="715">
        <v>97050</v>
      </c>
      <c r="B3245" s="633" t="s">
        <v>33601</v>
      </c>
      <c r="C3245" s="715" t="s">
        <v>509</v>
      </c>
      <c r="D3245" s="716">
        <v>0</v>
      </c>
    </row>
    <row r="3246" spans="1:4" ht="42">
      <c r="A3246" s="715">
        <v>95946</v>
      </c>
      <c r="B3246" s="633" t="s">
        <v>25533</v>
      </c>
      <c r="C3246" s="715" t="s">
        <v>207</v>
      </c>
      <c r="D3246" s="716">
        <v>11.66</v>
      </c>
    </row>
    <row r="3247" spans="1:4" ht="42">
      <c r="A3247" s="715">
        <v>95947</v>
      </c>
      <c r="B3247" s="633" t="s">
        <v>25534</v>
      </c>
      <c r="C3247" s="715" t="s">
        <v>207</v>
      </c>
      <c r="D3247" s="716">
        <v>8.44</v>
      </c>
    </row>
    <row r="3248" spans="1:4" ht="42">
      <c r="A3248" s="715">
        <v>95948</v>
      </c>
      <c r="B3248" s="633" t="s">
        <v>25535</v>
      </c>
      <c r="C3248" s="715" t="s">
        <v>207</v>
      </c>
      <c r="D3248" s="716">
        <v>6.85</v>
      </c>
    </row>
    <row r="3249" spans="1:4" ht="42">
      <c r="A3249" s="715">
        <v>95944</v>
      </c>
      <c r="B3249" s="633" t="s">
        <v>25531</v>
      </c>
      <c r="C3249" s="715" t="s">
        <v>207</v>
      </c>
      <c r="D3249" s="716">
        <v>21.08</v>
      </c>
    </row>
    <row r="3250" spans="1:4" ht="42">
      <c r="A3250" s="715">
        <v>95945</v>
      </c>
      <c r="B3250" s="633" t="s">
        <v>25532</v>
      </c>
      <c r="C3250" s="715" t="s">
        <v>207</v>
      </c>
      <c r="D3250" s="716">
        <v>15.75</v>
      </c>
    </row>
    <row r="3251" spans="1:4" ht="42">
      <c r="A3251" s="715">
        <v>95943</v>
      </c>
      <c r="B3251" s="633" t="s">
        <v>25530</v>
      </c>
      <c r="C3251" s="715" t="s">
        <v>207</v>
      </c>
      <c r="D3251" s="716">
        <v>24.33</v>
      </c>
    </row>
    <row r="3252" spans="1:4" ht="56">
      <c r="A3252" s="715">
        <v>102077</v>
      </c>
      <c r="B3252" s="633" t="s">
        <v>33602</v>
      </c>
      <c r="C3252" s="715" t="s">
        <v>121</v>
      </c>
      <c r="D3252" s="716">
        <v>5341.63</v>
      </c>
    </row>
    <row r="3253" spans="1:4" ht="56">
      <c r="A3253" s="715">
        <v>102073</v>
      </c>
      <c r="B3253" s="633" t="s">
        <v>33603</v>
      </c>
      <c r="C3253" s="715" t="s">
        <v>121</v>
      </c>
      <c r="D3253" s="716">
        <v>3930.77</v>
      </c>
    </row>
    <row r="3254" spans="1:4" ht="56">
      <c r="A3254" s="715">
        <v>102079</v>
      </c>
      <c r="B3254" s="633" t="s">
        <v>40296</v>
      </c>
      <c r="C3254" s="715" t="s">
        <v>121</v>
      </c>
      <c r="D3254" s="716">
        <v>5234.63</v>
      </c>
    </row>
    <row r="3255" spans="1:4" ht="56">
      <c r="A3255" s="715">
        <v>102075</v>
      </c>
      <c r="B3255" s="633" t="s">
        <v>40297</v>
      </c>
      <c r="C3255" s="715" t="s">
        <v>121</v>
      </c>
      <c r="D3255" s="716">
        <v>4742.54</v>
      </c>
    </row>
    <row r="3256" spans="1:4" ht="56">
      <c r="A3256" s="715">
        <v>102078</v>
      </c>
      <c r="B3256" s="633" t="s">
        <v>40298</v>
      </c>
      <c r="C3256" s="715" t="s">
        <v>121</v>
      </c>
      <c r="D3256" s="716">
        <v>5495.87</v>
      </c>
    </row>
    <row r="3257" spans="1:4" ht="56">
      <c r="A3257" s="715">
        <v>102074</v>
      </c>
      <c r="B3257" s="633" t="s">
        <v>40299</v>
      </c>
      <c r="C3257" s="715" t="s">
        <v>121</v>
      </c>
      <c r="D3257" s="716">
        <v>4605.71</v>
      </c>
    </row>
    <row r="3258" spans="1:4" ht="56">
      <c r="A3258" s="715">
        <v>102080</v>
      </c>
      <c r="B3258" s="633" t="s">
        <v>40300</v>
      </c>
      <c r="C3258" s="715" t="s">
        <v>121</v>
      </c>
      <c r="D3258" s="716">
        <v>4507.18</v>
      </c>
    </row>
    <row r="3259" spans="1:4" ht="56">
      <c r="A3259" s="715">
        <v>102076</v>
      </c>
      <c r="B3259" s="633" t="s">
        <v>40301</v>
      </c>
      <c r="C3259" s="715" t="s">
        <v>121</v>
      </c>
      <c r="D3259" s="716">
        <v>4851.1899999999996</v>
      </c>
    </row>
    <row r="3260" spans="1:4" ht="42">
      <c r="A3260" s="715">
        <v>102084</v>
      </c>
      <c r="B3260" s="633" t="s">
        <v>33604</v>
      </c>
      <c r="C3260" s="715" t="s">
        <v>165</v>
      </c>
      <c r="D3260" s="716">
        <v>0</v>
      </c>
    </row>
    <row r="3261" spans="1:4" ht="56">
      <c r="A3261" s="715">
        <v>102082</v>
      </c>
      <c r="B3261" s="633" t="s">
        <v>33605</v>
      </c>
      <c r="C3261" s="715" t="s">
        <v>165</v>
      </c>
      <c r="D3261" s="716">
        <v>0</v>
      </c>
    </row>
    <row r="3262" spans="1:4" ht="42">
      <c r="A3262" s="715">
        <v>102081</v>
      </c>
      <c r="B3262" s="633" t="s">
        <v>33606</v>
      </c>
      <c r="C3262" s="715" t="s">
        <v>165</v>
      </c>
      <c r="D3262" s="716">
        <v>0</v>
      </c>
    </row>
    <row r="3263" spans="1:4" ht="56">
      <c r="A3263" s="715">
        <v>102092</v>
      </c>
      <c r="B3263" s="633" t="s">
        <v>33607</v>
      </c>
      <c r="C3263" s="715" t="s">
        <v>165</v>
      </c>
      <c r="D3263" s="716">
        <v>0</v>
      </c>
    </row>
    <row r="3264" spans="1:4" ht="56">
      <c r="A3264" s="715">
        <v>102089</v>
      </c>
      <c r="B3264" s="633" t="s">
        <v>25461</v>
      </c>
      <c r="C3264" s="715" t="s">
        <v>509</v>
      </c>
      <c r="D3264" s="716">
        <v>182.25</v>
      </c>
    </row>
    <row r="3265" spans="1:4" ht="56">
      <c r="A3265" s="715">
        <v>102090</v>
      </c>
      <c r="B3265" s="633" t="s">
        <v>25462</v>
      </c>
      <c r="C3265" s="715" t="s">
        <v>509</v>
      </c>
      <c r="D3265" s="716">
        <v>140.66</v>
      </c>
    </row>
    <row r="3266" spans="1:4" ht="42">
      <c r="A3266" s="715">
        <v>102086</v>
      </c>
      <c r="B3266" s="633" t="s">
        <v>25459</v>
      </c>
      <c r="C3266" s="715" t="s">
        <v>509</v>
      </c>
      <c r="D3266" s="716">
        <v>195.69</v>
      </c>
    </row>
    <row r="3267" spans="1:4" ht="42">
      <c r="A3267" s="715">
        <v>102087</v>
      </c>
      <c r="B3267" s="633" t="s">
        <v>25460</v>
      </c>
      <c r="C3267" s="715" t="s">
        <v>509</v>
      </c>
      <c r="D3267" s="716">
        <v>159.03</v>
      </c>
    </row>
    <row r="3268" spans="1:4" ht="42">
      <c r="A3268" s="715">
        <v>102091</v>
      </c>
      <c r="B3268" s="633" t="s">
        <v>28938</v>
      </c>
      <c r="C3268" s="715" t="s">
        <v>509</v>
      </c>
      <c r="D3268" s="716">
        <v>322.98</v>
      </c>
    </row>
    <row r="3269" spans="1:4" ht="42">
      <c r="A3269" s="715">
        <v>102088</v>
      </c>
      <c r="B3269" s="633" t="s">
        <v>28937</v>
      </c>
      <c r="C3269" s="715" t="s">
        <v>509</v>
      </c>
      <c r="D3269" s="716">
        <v>276.23</v>
      </c>
    </row>
    <row r="3270" spans="1:4" ht="42">
      <c r="A3270" s="715">
        <v>101997</v>
      </c>
      <c r="B3270" s="633" t="s">
        <v>25407</v>
      </c>
      <c r="C3270" s="715" t="s">
        <v>509</v>
      </c>
      <c r="D3270" s="716">
        <v>192.44</v>
      </c>
    </row>
    <row r="3271" spans="1:4" ht="42">
      <c r="A3271" s="715">
        <v>101998</v>
      </c>
      <c r="B3271" s="633" t="s">
        <v>25408</v>
      </c>
      <c r="C3271" s="715" t="s">
        <v>509</v>
      </c>
      <c r="D3271" s="716">
        <v>148.47999999999999</v>
      </c>
    </row>
    <row r="3272" spans="1:4" ht="42">
      <c r="A3272" s="715">
        <v>101999</v>
      </c>
      <c r="B3272" s="633" t="s">
        <v>25409</v>
      </c>
      <c r="C3272" s="715" t="s">
        <v>509</v>
      </c>
      <c r="D3272" s="716">
        <v>381.66</v>
      </c>
    </row>
    <row r="3273" spans="1:4" ht="42">
      <c r="A3273" s="715">
        <v>101994</v>
      </c>
      <c r="B3273" s="633" t="s">
        <v>25404</v>
      </c>
      <c r="C3273" s="715" t="s">
        <v>509</v>
      </c>
      <c r="D3273" s="716">
        <v>203.14</v>
      </c>
    </row>
    <row r="3274" spans="1:4" ht="42">
      <c r="A3274" s="715">
        <v>101995</v>
      </c>
      <c r="B3274" s="633" t="s">
        <v>25405</v>
      </c>
      <c r="C3274" s="715" t="s">
        <v>509</v>
      </c>
      <c r="D3274" s="716">
        <v>163.94</v>
      </c>
    </row>
    <row r="3275" spans="1:4" ht="42">
      <c r="A3275" s="715">
        <v>101996</v>
      </c>
      <c r="B3275" s="633" t="s">
        <v>25406</v>
      </c>
      <c r="C3275" s="715" t="s">
        <v>509</v>
      </c>
      <c r="D3275" s="716">
        <v>296.67</v>
      </c>
    </row>
    <row r="3276" spans="1:4" ht="56">
      <c r="A3276" s="715">
        <v>101991</v>
      </c>
      <c r="B3276" s="633" t="s">
        <v>25401</v>
      </c>
      <c r="C3276" s="715" t="s">
        <v>509</v>
      </c>
      <c r="D3276" s="716">
        <v>193.32</v>
      </c>
    </row>
    <row r="3277" spans="1:4" ht="56">
      <c r="A3277" s="715">
        <v>101992</v>
      </c>
      <c r="B3277" s="633" t="s">
        <v>25402</v>
      </c>
      <c r="C3277" s="715" t="s">
        <v>509</v>
      </c>
      <c r="D3277" s="716">
        <v>150.34</v>
      </c>
    </row>
    <row r="3278" spans="1:4" ht="42">
      <c r="A3278" s="715">
        <v>101993</v>
      </c>
      <c r="B3278" s="633" t="s">
        <v>25403</v>
      </c>
      <c r="C3278" s="715" t="s">
        <v>509</v>
      </c>
      <c r="D3278" s="716">
        <v>356.15</v>
      </c>
    </row>
    <row r="3279" spans="1:4" ht="42">
      <c r="A3279" s="715">
        <v>101988</v>
      </c>
      <c r="B3279" s="633" t="s">
        <v>25398</v>
      </c>
      <c r="C3279" s="715" t="s">
        <v>509</v>
      </c>
      <c r="D3279" s="716">
        <v>193.83</v>
      </c>
    </row>
    <row r="3280" spans="1:4" ht="42">
      <c r="A3280" s="715">
        <v>101989</v>
      </c>
      <c r="B3280" s="633" t="s">
        <v>25399</v>
      </c>
      <c r="C3280" s="715" t="s">
        <v>509</v>
      </c>
      <c r="D3280" s="716">
        <v>158.91</v>
      </c>
    </row>
    <row r="3281" spans="1:4" ht="42">
      <c r="A3281" s="715">
        <v>101990</v>
      </c>
      <c r="B3281" s="633" t="s">
        <v>25400</v>
      </c>
      <c r="C3281" s="715" t="s">
        <v>509</v>
      </c>
      <c r="D3281" s="716">
        <v>276.11</v>
      </c>
    </row>
    <row r="3282" spans="1:4" ht="56">
      <c r="A3282" s="715">
        <v>101985</v>
      </c>
      <c r="B3282" s="633" t="s">
        <v>25395</v>
      </c>
      <c r="C3282" s="715" t="s">
        <v>509</v>
      </c>
      <c r="D3282" s="716">
        <v>190.44</v>
      </c>
    </row>
    <row r="3283" spans="1:4" ht="56">
      <c r="A3283" s="715">
        <v>101986</v>
      </c>
      <c r="B3283" s="633" t="s">
        <v>25396</v>
      </c>
      <c r="C3283" s="715" t="s">
        <v>509</v>
      </c>
      <c r="D3283" s="716">
        <v>145.47999999999999</v>
      </c>
    </row>
    <row r="3284" spans="1:4" ht="42">
      <c r="A3284" s="715">
        <v>101987</v>
      </c>
      <c r="B3284" s="633" t="s">
        <v>25397</v>
      </c>
      <c r="C3284" s="715" t="s">
        <v>509</v>
      </c>
      <c r="D3284" s="716">
        <v>303.3</v>
      </c>
    </row>
    <row r="3285" spans="1:4" ht="42">
      <c r="A3285" s="715">
        <v>101969</v>
      </c>
      <c r="B3285" s="633" t="s">
        <v>25386</v>
      </c>
      <c r="C3285" s="715" t="s">
        <v>509</v>
      </c>
      <c r="D3285" s="716">
        <v>184.27</v>
      </c>
    </row>
    <row r="3286" spans="1:4" ht="42">
      <c r="A3286" s="715">
        <v>101971</v>
      </c>
      <c r="B3286" s="633" t="s">
        <v>25387</v>
      </c>
      <c r="C3286" s="715" t="s">
        <v>509</v>
      </c>
      <c r="D3286" s="716">
        <v>148.9</v>
      </c>
    </row>
    <row r="3287" spans="1:4" ht="42">
      <c r="A3287" s="715">
        <v>101973</v>
      </c>
      <c r="B3287" s="633" t="s">
        <v>25388</v>
      </c>
      <c r="C3287" s="715" t="s">
        <v>509</v>
      </c>
      <c r="D3287" s="716">
        <v>256.44</v>
      </c>
    </row>
    <row r="3288" spans="1:4" ht="56">
      <c r="A3288" s="715">
        <v>102072</v>
      </c>
      <c r="B3288" s="633" t="s">
        <v>25458</v>
      </c>
      <c r="C3288" s="715" t="s">
        <v>509</v>
      </c>
      <c r="D3288" s="716">
        <v>204.39</v>
      </c>
    </row>
    <row r="3289" spans="1:4" ht="56">
      <c r="A3289" s="715">
        <v>102070</v>
      </c>
      <c r="B3289" s="633" t="s">
        <v>25456</v>
      </c>
      <c r="C3289" s="715" t="s">
        <v>509</v>
      </c>
      <c r="D3289" s="716">
        <v>240.09</v>
      </c>
    </row>
    <row r="3290" spans="1:4" ht="56">
      <c r="A3290" s="715">
        <v>102071</v>
      </c>
      <c r="B3290" s="633" t="s">
        <v>25457</v>
      </c>
      <c r="C3290" s="715" t="s">
        <v>509</v>
      </c>
      <c r="D3290" s="716">
        <v>214.04</v>
      </c>
    </row>
    <row r="3291" spans="1:4" ht="56">
      <c r="A3291" s="715">
        <v>102068</v>
      </c>
      <c r="B3291" s="633" t="s">
        <v>25454</v>
      </c>
      <c r="C3291" s="715" t="s">
        <v>509</v>
      </c>
      <c r="D3291" s="716">
        <v>304.95</v>
      </c>
    </row>
    <row r="3292" spans="1:4" ht="56">
      <c r="A3292" s="715">
        <v>102069</v>
      </c>
      <c r="B3292" s="633" t="s">
        <v>25455</v>
      </c>
      <c r="C3292" s="715" t="s">
        <v>509</v>
      </c>
      <c r="D3292" s="716">
        <v>278.02999999999997</v>
      </c>
    </row>
    <row r="3293" spans="1:4" ht="56">
      <c r="A3293" s="715">
        <v>102066</v>
      </c>
      <c r="B3293" s="633" t="s">
        <v>25452</v>
      </c>
      <c r="C3293" s="715" t="s">
        <v>509</v>
      </c>
      <c r="D3293" s="716">
        <v>606.37</v>
      </c>
    </row>
    <row r="3294" spans="1:4" ht="56">
      <c r="A3294" s="715">
        <v>102067</v>
      </c>
      <c r="B3294" s="633" t="s">
        <v>25453</v>
      </c>
      <c r="C3294" s="715" t="s">
        <v>509</v>
      </c>
      <c r="D3294" s="716">
        <v>517.36</v>
      </c>
    </row>
    <row r="3295" spans="1:4" ht="56">
      <c r="A3295" s="715">
        <v>102065</v>
      </c>
      <c r="B3295" s="633" t="s">
        <v>25451</v>
      </c>
      <c r="C3295" s="715" t="s">
        <v>509</v>
      </c>
      <c r="D3295" s="716">
        <v>215.28</v>
      </c>
    </row>
    <row r="3296" spans="1:4" ht="56">
      <c r="A3296" s="715">
        <v>102063</v>
      </c>
      <c r="B3296" s="633" t="s">
        <v>25449</v>
      </c>
      <c r="C3296" s="715" t="s">
        <v>509</v>
      </c>
      <c r="D3296" s="716">
        <v>258.14</v>
      </c>
    </row>
    <row r="3297" spans="1:4" ht="56">
      <c r="A3297" s="715">
        <v>102064</v>
      </c>
      <c r="B3297" s="633" t="s">
        <v>25450</v>
      </c>
      <c r="C3297" s="715" t="s">
        <v>509</v>
      </c>
      <c r="D3297" s="716">
        <v>230.61</v>
      </c>
    </row>
    <row r="3298" spans="1:4" ht="56">
      <c r="A3298" s="715">
        <v>102061</v>
      </c>
      <c r="B3298" s="633" t="s">
        <v>25447</v>
      </c>
      <c r="C3298" s="715" t="s">
        <v>509</v>
      </c>
      <c r="D3298" s="716">
        <v>328.56</v>
      </c>
    </row>
    <row r="3299" spans="1:4" ht="56">
      <c r="A3299" s="715">
        <v>102062</v>
      </c>
      <c r="B3299" s="633" t="s">
        <v>25448</v>
      </c>
      <c r="C3299" s="715" t="s">
        <v>509</v>
      </c>
      <c r="D3299" s="716">
        <v>302.82</v>
      </c>
    </row>
    <row r="3300" spans="1:4" ht="42">
      <c r="A3300" s="715">
        <v>102059</v>
      </c>
      <c r="B3300" s="633" t="s">
        <v>25445</v>
      </c>
      <c r="C3300" s="715" t="s">
        <v>509</v>
      </c>
      <c r="D3300" s="716">
        <v>575.42999999999995</v>
      </c>
    </row>
    <row r="3301" spans="1:4" ht="42">
      <c r="A3301" s="715">
        <v>102060</v>
      </c>
      <c r="B3301" s="633" t="s">
        <v>25446</v>
      </c>
      <c r="C3301" s="715" t="s">
        <v>509</v>
      </c>
      <c r="D3301" s="716">
        <v>481.27</v>
      </c>
    </row>
    <row r="3302" spans="1:4" ht="56">
      <c r="A3302" s="715">
        <v>102052</v>
      </c>
      <c r="B3302" s="633" t="s">
        <v>25444</v>
      </c>
      <c r="C3302" s="715" t="s">
        <v>509</v>
      </c>
      <c r="D3302" s="716">
        <v>211.01</v>
      </c>
    </row>
    <row r="3303" spans="1:4" ht="56">
      <c r="A3303" s="715">
        <v>102050</v>
      </c>
      <c r="B3303" s="633" t="s">
        <v>25442</v>
      </c>
      <c r="C3303" s="715" t="s">
        <v>509</v>
      </c>
      <c r="D3303" s="716">
        <v>255.16</v>
      </c>
    </row>
    <row r="3304" spans="1:4" ht="56">
      <c r="A3304" s="715">
        <v>102051</v>
      </c>
      <c r="B3304" s="633" t="s">
        <v>25443</v>
      </c>
      <c r="C3304" s="715" t="s">
        <v>509</v>
      </c>
      <c r="D3304" s="716">
        <v>226.84</v>
      </c>
    </row>
    <row r="3305" spans="1:4" ht="56">
      <c r="A3305" s="715">
        <v>102048</v>
      </c>
      <c r="B3305" s="633" t="s">
        <v>25440</v>
      </c>
      <c r="C3305" s="715" t="s">
        <v>509</v>
      </c>
      <c r="D3305" s="716">
        <v>334.05</v>
      </c>
    </row>
    <row r="3306" spans="1:4" ht="56">
      <c r="A3306" s="715">
        <v>102049</v>
      </c>
      <c r="B3306" s="633" t="s">
        <v>25441</v>
      </c>
      <c r="C3306" s="715" t="s">
        <v>509</v>
      </c>
      <c r="D3306" s="716">
        <v>295.79000000000002</v>
      </c>
    </row>
    <row r="3307" spans="1:4" ht="42">
      <c r="A3307" s="715">
        <v>102046</v>
      </c>
      <c r="B3307" s="633" t="s">
        <v>25438</v>
      </c>
      <c r="C3307" s="715" t="s">
        <v>509</v>
      </c>
      <c r="D3307" s="716">
        <v>684.53</v>
      </c>
    </row>
    <row r="3308" spans="1:4" ht="42">
      <c r="A3308" s="715">
        <v>102047</v>
      </c>
      <c r="B3308" s="633" t="s">
        <v>25439</v>
      </c>
      <c r="C3308" s="715" t="s">
        <v>509</v>
      </c>
      <c r="D3308" s="716">
        <v>581.14</v>
      </c>
    </row>
    <row r="3309" spans="1:4" ht="56">
      <c r="A3309" s="715">
        <v>102045</v>
      </c>
      <c r="B3309" s="633" t="s">
        <v>25437</v>
      </c>
      <c r="C3309" s="715" t="s">
        <v>509</v>
      </c>
      <c r="D3309" s="716">
        <v>230.02</v>
      </c>
    </row>
    <row r="3310" spans="1:4" ht="56">
      <c r="A3310" s="715">
        <v>102043</v>
      </c>
      <c r="B3310" s="633" t="s">
        <v>25435</v>
      </c>
      <c r="C3310" s="715" t="s">
        <v>509</v>
      </c>
      <c r="D3310" s="716">
        <v>273.95</v>
      </c>
    </row>
    <row r="3311" spans="1:4" ht="56">
      <c r="A3311" s="715">
        <v>102044</v>
      </c>
      <c r="B3311" s="633" t="s">
        <v>25436</v>
      </c>
      <c r="C3311" s="715" t="s">
        <v>509</v>
      </c>
      <c r="D3311" s="716">
        <v>246.48</v>
      </c>
    </row>
    <row r="3312" spans="1:4" ht="56">
      <c r="A3312" s="715">
        <v>102041</v>
      </c>
      <c r="B3312" s="633" t="s">
        <v>25433</v>
      </c>
      <c r="C3312" s="715" t="s">
        <v>509</v>
      </c>
      <c r="D3312" s="716">
        <v>356.29</v>
      </c>
    </row>
    <row r="3313" spans="1:4" ht="56">
      <c r="A3313" s="715">
        <v>102042</v>
      </c>
      <c r="B3313" s="633" t="s">
        <v>25434</v>
      </c>
      <c r="C3313" s="715" t="s">
        <v>509</v>
      </c>
      <c r="D3313" s="716">
        <v>320.35000000000002</v>
      </c>
    </row>
    <row r="3314" spans="1:4" ht="42">
      <c r="A3314" s="715">
        <v>102039</v>
      </c>
      <c r="B3314" s="633" t="s">
        <v>25431</v>
      </c>
      <c r="C3314" s="715" t="s">
        <v>509</v>
      </c>
      <c r="D3314" s="716">
        <v>620.86</v>
      </c>
    </row>
    <row r="3315" spans="1:4" ht="42">
      <c r="A3315" s="715">
        <v>102040</v>
      </c>
      <c r="B3315" s="633" t="s">
        <v>25432</v>
      </c>
      <c r="C3315" s="715" t="s">
        <v>509</v>
      </c>
      <c r="D3315" s="716">
        <v>514.74</v>
      </c>
    </row>
    <row r="3316" spans="1:4" ht="56">
      <c r="A3316" s="715">
        <v>102038</v>
      </c>
      <c r="B3316" s="633" t="s">
        <v>25430</v>
      </c>
      <c r="C3316" s="715" t="s">
        <v>509</v>
      </c>
      <c r="D3316" s="716">
        <v>222.64</v>
      </c>
    </row>
    <row r="3317" spans="1:4" ht="56">
      <c r="A3317" s="715">
        <v>102036</v>
      </c>
      <c r="B3317" s="633" t="s">
        <v>25428</v>
      </c>
      <c r="C3317" s="715" t="s">
        <v>509</v>
      </c>
      <c r="D3317" s="716">
        <v>266.93</v>
      </c>
    </row>
    <row r="3318" spans="1:4" ht="56">
      <c r="A3318" s="715">
        <v>102037</v>
      </c>
      <c r="B3318" s="633" t="s">
        <v>25429</v>
      </c>
      <c r="C3318" s="715" t="s">
        <v>509</v>
      </c>
      <c r="D3318" s="716">
        <v>238.52</v>
      </c>
    </row>
    <row r="3319" spans="1:4" ht="56">
      <c r="A3319" s="715">
        <v>102016</v>
      </c>
      <c r="B3319" s="633" t="s">
        <v>25426</v>
      </c>
      <c r="C3319" s="715" t="s">
        <v>509</v>
      </c>
      <c r="D3319" s="716">
        <v>343.71</v>
      </c>
    </row>
    <row r="3320" spans="1:4" ht="56">
      <c r="A3320" s="715">
        <v>102017</v>
      </c>
      <c r="B3320" s="633" t="s">
        <v>25427</v>
      </c>
      <c r="C3320" s="715" t="s">
        <v>509</v>
      </c>
      <c r="D3320" s="716">
        <v>309.81</v>
      </c>
    </row>
    <row r="3321" spans="1:4" ht="42">
      <c r="A3321" s="715">
        <v>102014</v>
      </c>
      <c r="B3321" s="633" t="s">
        <v>25424</v>
      </c>
      <c r="C3321" s="715" t="s">
        <v>509</v>
      </c>
      <c r="D3321" s="716">
        <v>670.27</v>
      </c>
    </row>
    <row r="3322" spans="1:4" ht="42">
      <c r="A3322" s="715">
        <v>102015</v>
      </c>
      <c r="B3322" s="633" t="s">
        <v>25425</v>
      </c>
      <c r="C3322" s="715" t="s">
        <v>509</v>
      </c>
      <c r="D3322" s="716">
        <v>559.51</v>
      </c>
    </row>
    <row r="3323" spans="1:4" ht="56">
      <c r="A3323" s="715">
        <v>102013</v>
      </c>
      <c r="B3323" s="633" t="s">
        <v>25423</v>
      </c>
      <c r="C3323" s="715" t="s">
        <v>509</v>
      </c>
      <c r="D3323" s="716">
        <v>233.37</v>
      </c>
    </row>
    <row r="3324" spans="1:4" ht="56">
      <c r="A3324" s="715">
        <v>102011</v>
      </c>
      <c r="B3324" s="633" t="s">
        <v>25421</v>
      </c>
      <c r="C3324" s="715" t="s">
        <v>509</v>
      </c>
      <c r="D3324" s="716">
        <v>277.75</v>
      </c>
    </row>
    <row r="3325" spans="1:4" ht="56">
      <c r="A3325" s="715">
        <v>102012</v>
      </c>
      <c r="B3325" s="633" t="s">
        <v>25422</v>
      </c>
      <c r="C3325" s="715" t="s">
        <v>509</v>
      </c>
      <c r="D3325" s="716">
        <v>249.28</v>
      </c>
    </row>
    <row r="3326" spans="1:4" ht="56">
      <c r="A3326" s="715">
        <v>102009</v>
      </c>
      <c r="B3326" s="633" t="s">
        <v>25419</v>
      </c>
      <c r="C3326" s="715" t="s">
        <v>509</v>
      </c>
      <c r="D3326" s="716">
        <v>358.38</v>
      </c>
    </row>
    <row r="3327" spans="1:4" ht="56">
      <c r="A3327" s="715">
        <v>102010</v>
      </c>
      <c r="B3327" s="633" t="s">
        <v>25420</v>
      </c>
      <c r="C3327" s="715" t="s">
        <v>509</v>
      </c>
      <c r="D3327" s="716">
        <v>325.67</v>
      </c>
    </row>
    <row r="3328" spans="1:4" ht="42">
      <c r="A3328" s="715">
        <v>102007</v>
      </c>
      <c r="B3328" s="633" t="s">
        <v>25417</v>
      </c>
      <c r="C3328" s="715" t="s">
        <v>509</v>
      </c>
      <c r="D3328" s="716">
        <v>593.51</v>
      </c>
    </row>
    <row r="3329" spans="1:4" ht="42">
      <c r="A3329" s="715">
        <v>102008</v>
      </c>
      <c r="B3329" s="633" t="s">
        <v>25418</v>
      </c>
      <c r="C3329" s="715" t="s">
        <v>509</v>
      </c>
      <c r="D3329" s="716">
        <v>493.48</v>
      </c>
    </row>
    <row r="3330" spans="1:4" ht="56">
      <c r="A3330" s="715">
        <v>102006</v>
      </c>
      <c r="B3330" s="633" t="s">
        <v>25416</v>
      </c>
      <c r="C3330" s="715" t="s">
        <v>509</v>
      </c>
      <c r="D3330" s="716">
        <v>226.18</v>
      </c>
    </row>
    <row r="3331" spans="1:4" ht="56">
      <c r="A3331" s="715">
        <v>102004</v>
      </c>
      <c r="B3331" s="633" t="s">
        <v>25414</v>
      </c>
      <c r="C3331" s="715" t="s">
        <v>509</v>
      </c>
      <c r="D3331" s="716">
        <v>271.89</v>
      </c>
    </row>
    <row r="3332" spans="1:4" ht="56">
      <c r="A3332" s="715">
        <v>102005</v>
      </c>
      <c r="B3332" s="633" t="s">
        <v>25415</v>
      </c>
      <c r="C3332" s="715" t="s">
        <v>509</v>
      </c>
      <c r="D3332" s="716">
        <v>243.79</v>
      </c>
    </row>
    <row r="3333" spans="1:4" ht="56">
      <c r="A3333" s="715">
        <v>102002</v>
      </c>
      <c r="B3333" s="633" t="s">
        <v>25412</v>
      </c>
      <c r="C3333" s="715" t="s">
        <v>509</v>
      </c>
      <c r="D3333" s="716">
        <v>344.11</v>
      </c>
    </row>
    <row r="3334" spans="1:4" ht="56">
      <c r="A3334" s="715">
        <v>102003</v>
      </c>
      <c r="B3334" s="633" t="s">
        <v>25413</v>
      </c>
      <c r="C3334" s="715" t="s">
        <v>509</v>
      </c>
      <c r="D3334" s="716">
        <v>312.52</v>
      </c>
    </row>
    <row r="3335" spans="1:4" ht="42">
      <c r="A3335" s="715">
        <v>102000</v>
      </c>
      <c r="B3335" s="633" t="s">
        <v>25410</v>
      </c>
      <c r="C3335" s="715" t="s">
        <v>509</v>
      </c>
      <c r="D3335" s="716">
        <v>617.4</v>
      </c>
    </row>
    <row r="3336" spans="1:4" ht="42">
      <c r="A3336" s="715">
        <v>102001</v>
      </c>
      <c r="B3336" s="633" t="s">
        <v>25411</v>
      </c>
      <c r="C3336" s="715" t="s">
        <v>509</v>
      </c>
      <c r="D3336" s="716">
        <v>529.36</v>
      </c>
    </row>
    <row r="3337" spans="1:4" ht="56">
      <c r="A3337" s="715">
        <v>101983</v>
      </c>
      <c r="B3337" s="633" t="s">
        <v>25394</v>
      </c>
      <c r="C3337" s="715" t="s">
        <v>509</v>
      </c>
      <c r="D3337" s="716">
        <v>236.71</v>
      </c>
    </row>
    <row r="3338" spans="1:4" ht="56">
      <c r="A3338" s="715">
        <v>101981</v>
      </c>
      <c r="B3338" s="633" t="s">
        <v>25392</v>
      </c>
      <c r="C3338" s="715" t="s">
        <v>509</v>
      </c>
      <c r="D3338" s="716">
        <v>281.31</v>
      </c>
    </row>
    <row r="3339" spans="1:4" ht="56">
      <c r="A3339" s="715">
        <v>101982</v>
      </c>
      <c r="B3339" s="633" t="s">
        <v>25393</v>
      </c>
      <c r="C3339" s="715" t="s">
        <v>509</v>
      </c>
      <c r="D3339" s="716">
        <v>253.89</v>
      </c>
    </row>
    <row r="3340" spans="1:4" ht="56">
      <c r="A3340" s="715">
        <v>101977</v>
      </c>
      <c r="B3340" s="633" t="s">
        <v>25390</v>
      </c>
      <c r="C3340" s="715" t="s">
        <v>509</v>
      </c>
      <c r="D3340" s="716">
        <v>355.93</v>
      </c>
    </row>
    <row r="3341" spans="1:4" ht="56">
      <c r="A3341" s="715">
        <v>101980</v>
      </c>
      <c r="B3341" s="633" t="s">
        <v>25391</v>
      </c>
      <c r="C3341" s="715" t="s">
        <v>509</v>
      </c>
      <c r="D3341" s="716">
        <v>326.45999999999998</v>
      </c>
    </row>
    <row r="3342" spans="1:4" ht="42">
      <c r="A3342" s="715">
        <v>101974</v>
      </c>
      <c r="B3342" s="633" t="s">
        <v>25389</v>
      </c>
      <c r="C3342" s="715" t="s">
        <v>509</v>
      </c>
      <c r="D3342" s="716">
        <v>598.37</v>
      </c>
    </row>
    <row r="3343" spans="1:4" ht="42">
      <c r="A3343" s="715">
        <v>101975</v>
      </c>
      <c r="B3343" s="633" t="s">
        <v>40302</v>
      </c>
      <c r="C3343" s="715" t="s">
        <v>509</v>
      </c>
      <c r="D3343" s="716">
        <v>506.32</v>
      </c>
    </row>
    <row r="3344" spans="1:4" ht="42">
      <c r="A3344" s="715">
        <v>101114</v>
      </c>
      <c r="B3344" s="633" t="s">
        <v>26843</v>
      </c>
      <c r="C3344" s="715" t="s">
        <v>121</v>
      </c>
      <c r="D3344" s="716">
        <v>5.3</v>
      </c>
    </row>
    <row r="3345" spans="1:4" ht="42">
      <c r="A3345" s="715">
        <v>101118</v>
      </c>
      <c r="B3345" s="633" t="s">
        <v>26847</v>
      </c>
      <c r="C3345" s="715" t="s">
        <v>121</v>
      </c>
      <c r="D3345" s="716">
        <v>4.54</v>
      </c>
    </row>
    <row r="3346" spans="1:4" ht="42">
      <c r="A3346" s="715">
        <v>101115</v>
      </c>
      <c r="B3346" s="633" t="s">
        <v>26844</v>
      </c>
      <c r="C3346" s="715" t="s">
        <v>121</v>
      </c>
      <c r="D3346" s="716">
        <v>4.4000000000000004</v>
      </c>
    </row>
    <row r="3347" spans="1:4" ht="42">
      <c r="A3347" s="715">
        <v>101116</v>
      </c>
      <c r="B3347" s="633" t="s">
        <v>26845</v>
      </c>
      <c r="C3347" s="715" t="s">
        <v>121</v>
      </c>
      <c r="D3347" s="716">
        <v>2.74</v>
      </c>
    </row>
    <row r="3348" spans="1:4" ht="42">
      <c r="A3348" s="715">
        <v>101117</v>
      </c>
      <c r="B3348" s="633" t="s">
        <v>26846</v>
      </c>
      <c r="C3348" s="715" t="s">
        <v>121</v>
      </c>
      <c r="D3348" s="716">
        <v>3.72</v>
      </c>
    </row>
    <row r="3349" spans="1:4" ht="42">
      <c r="A3349" s="715">
        <v>101124</v>
      </c>
      <c r="B3349" s="633" t="s">
        <v>26853</v>
      </c>
      <c r="C3349" s="715" t="s">
        <v>121</v>
      </c>
      <c r="D3349" s="716">
        <v>16.61</v>
      </c>
    </row>
    <row r="3350" spans="1:4" ht="42">
      <c r="A3350" s="715">
        <v>101128</v>
      </c>
      <c r="B3350" s="633" t="s">
        <v>26857</v>
      </c>
      <c r="C3350" s="715" t="s">
        <v>121</v>
      </c>
      <c r="D3350" s="716">
        <v>15.85</v>
      </c>
    </row>
    <row r="3351" spans="1:4" ht="42">
      <c r="A3351" s="715">
        <v>101125</v>
      </c>
      <c r="B3351" s="633" t="s">
        <v>26854</v>
      </c>
      <c r="C3351" s="715" t="s">
        <v>121</v>
      </c>
      <c r="D3351" s="716">
        <v>15.71</v>
      </c>
    </row>
    <row r="3352" spans="1:4" ht="42">
      <c r="A3352" s="715">
        <v>101126</v>
      </c>
      <c r="B3352" s="633" t="s">
        <v>26855</v>
      </c>
      <c r="C3352" s="715" t="s">
        <v>121</v>
      </c>
      <c r="D3352" s="716">
        <v>14.05</v>
      </c>
    </row>
    <row r="3353" spans="1:4" ht="42">
      <c r="A3353" s="715">
        <v>101127</v>
      </c>
      <c r="B3353" s="633" t="s">
        <v>26856</v>
      </c>
      <c r="C3353" s="715" t="s">
        <v>121</v>
      </c>
      <c r="D3353" s="716">
        <v>15.03</v>
      </c>
    </row>
    <row r="3354" spans="1:4" ht="70">
      <c r="A3354" s="715">
        <v>101134</v>
      </c>
      <c r="B3354" s="633" t="s">
        <v>26863</v>
      </c>
      <c r="C3354" s="715" t="s">
        <v>121</v>
      </c>
      <c r="D3354" s="716">
        <v>17.43</v>
      </c>
    </row>
    <row r="3355" spans="1:4" ht="70">
      <c r="A3355" s="715">
        <v>101144</v>
      </c>
      <c r="B3355" s="633" t="s">
        <v>26872</v>
      </c>
      <c r="C3355" s="715" t="s">
        <v>121</v>
      </c>
      <c r="D3355" s="716">
        <v>17.149999999999999</v>
      </c>
    </row>
    <row r="3356" spans="1:4" ht="70">
      <c r="A3356" s="715">
        <v>101138</v>
      </c>
      <c r="B3356" s="633" t="s">
        <v>26867</v>
      </c>
      <c r="C3356" s="715" t="s">
        <v>121</v>
      </c>
      <c r="D3356" s="716">
        <v>16.670000000000002</v>
      </c>
    </row>
    <row r="3357" spans="1:4" ht="70">
      <c r="A3357" s="715">
        <v>101148</v>
      </c>
      <c r="B3357" s="633" t="s">
        <v>26876</v>
      </c>
      <c r="C3357" s="715" t="s">
        <v>121</v>
      </c>
      <c r="D3357" s="716">
        <v>16.39</v>
      </c>
    </row>
    <row r="3358" spans="1:4" ht="70">
      <c r="A3358" s="715">
        <v>101135</v>
      </c>
      <c r="B3358" s="633" t="s">
        <v>26864</v>
      </c>
      <c r="C3358" s="715" t="s">
        <v>121</v>
      </c>
      <c r="D3358" s="716">
        <v>16.53</v>
      </c>
    </row>
    <row r="3359" spans="1:4" ht="70">
      <c r="A3359" s="715">
        <v>101145</v>
      </c>
      <c r="B3359" s="633" t="s">
        <v>26873</v>
      </c>
      <c r="C3359" s="715" t="s">
        <v>121</v>
      </c>
      <c r="D3359" s="716">
        <v>16.25</v>
      </c>
    </row>
    <row r="3360" spans="1:4" ht="70">
      <c r="A3360" s="715">
        <v>101136</v>
      </c>
      <c r="B3360" s="633" t="s">
        <v>26865</v>
      </c>
      <c r="C3360" s="715" t="s">
        <v>121</v>
      </c>
      <c r="D3360" s="716">
        <v>14.87</v>
      </c>
    </row>
    <row r="3361" spans="1:4" ht="70">
      <c r="A3361" s="715">
        <v>101146</v>
      </c>
      <c r="B3361" s="633" t="s">
        <v>26874</v>
      </c>
      <c r="C3361" s="715" t="s">
        <v>121</v>
      </c>
      <c r="D3361" s="716">
        <v>14.59</v>
      </c>
    </row>
    <row r="3362" spans="1:4" ht="70">
      <c r="A3362" s="715">
        <v>101137</v>
      </c>
      <c r="B3362" s="633" t="s">
        <v>26866</v>
      </c>
      <c r="C3362" s="715" t="s">
        <v>121</v>
      </c>
      <c r="D3362" s="716">
        <v>15.85</v>
      </c>
    </row>
    <row r="3363" spans="1:4" ht="70">
      <c r="A3363" s="715">
        <v>101147</v>
      </c>
      <c r="B3363" s="633" t="s">
        <v>26875</v>
      </c>
      <c r="C3363" s="715" t="s">
        <v>121</v>
      </c>
      <c r="D3363" s="716">
        <v>15.57</v>
      </c>
    </row>
    <row r="3364" spans="1:4" ht="42">
      <c r="A3364" s="715">
        <v>101119</v>
      </c>
      <c r="B3364" s="633" t="s">
        <v>26848</v>
      </c>
      <c r="C3364" s="715" t="s">
        <v>121</v>
      </c>
      <c r="D3364" s="716">
        <v>10.11</v>
      </c>
    </row>
    <row r="3365" spans="1:4" ht="42">
      <c r="A3365" s="715">
        <v>101123</v>
      </c>
      <c r="B3365" s="633" t="s">
        <v>26852</v>
      </c>
      <c r="C3365" s="715" t="s">
        <v>121</v>
      </c>
      <c r="D3365" s="716">
        <v>8.68</v>
      </c>
    </row>
    <row r="3366" spans="1:4" ht="42">
      <c r="A3366" s="715">
        <v>101120</v>
      </c>
      <c r="B3366" s="633" t="s">
        <v>26849</v>
      </c>
      <c r="C3366" s="715" t="s">
        <v>121</v>
      </c>
      <c r="D3366" s="716">
        <v>8.42</v>
      </c>
    </row>
    <row r="3367" spans="1:4" ht="42">
      <c r="A3367" s="715">
        <v>101121</v>
      </c>
      <c r="B3367" s="633" t="s">
        <v>26850</v>
      </c>
      <c r="C3367" s="715" t="s">
        <v>121</v>
      </c>
      <c r="D3367" s="716">
        <v>5.26</v>
      </c>
    </row>
    <row r="3368" spans="1:4" ht="42">
      <c r="A3368" s="715">
        <v>101122</v>
      </c>
      <c r="B3368" s="633" t="s">
        <v>26851</v>
      </c>
      <c r="C3368" s="715" t="s">
        <v>121</v>
      </c>
      <c r="D3368" s="716">
        <v>7.1</v>
      </c>
    </row>
    <row r="3369" spans="1:4" ht="56">
      <c r="A3369" s="715">
        <v>101129</v>
      </c>
      <c r="B3369" s="633" t="s">
        <v>26858</v>
      </c>
      <c r="C3369" s="715" t="s">
        <v>121</v>
      </c>
      <c r="D3369" s="716">
        <v>21.87</v>
      </c>
    </row>
    <row r="3370" spans="1:4" ht="56">
      <c r="A3370" s="715">
        <v>101133</v>
      </c>
      <c r="B3370" s="633" t="s">
        <v>26862</v>
      </c>
      <c r="C3370" s="715" t="s">
        <v>121</v>
      </c>
      <c r="D3370" s="716">
        <v>20.440000000000001</v>
      </c>
    </row>
    <row r="3371" spans="1:4" ht="56">
      <c r="A3371" s="715">
        <v>101130</v>
      </c>
      <c r="B3371" s="633" t="s">
        <v>26859</v>
      </c>
      <c r="C3371" s="715" t="s">
        <v>121</v>
      </c>
      <c r="D3371" s="716">
        <v>20.18</v>
      </c>
    </row>
    <row r="3372" spans="1:4" ht="56">
      <c r="A3372" s="715">
        <v>101131</v>
      </c>
      <c r="B3372" s="633" t="s">
        <v>26860</v>
      </c>
      <c r="C3372" s="715" t="s">
        <v>121</v>
      </c>
      <c r="D3372" s="716">
        <v>17.02</v>
      </c>
    </row>
    <row r="3373" spans="1:4" ht="56">
      <c r="A3373" s="715">
        <v>101132</v>
      </c>
      <c r="B3373" s="633" t="s">
        <v>26861</v>
      </c>
      <c r="C3373" s="715" t="s">
        <v>121</v>
      </c>
      <c r="D3373" s="716">
        <v>18.86</v>
      </c>
    </row>
    <row r="3374" spans="1:4" ht="70">
      <c r="A3374" s="715">
        <v>101139</v>
      </c>
      <c r="B3374" s="633" t="s">
        <v>40303</v>
      </c>
      <c r="C3374" s="715" t="s">
        <v>121</v>
      </c>
      <c r="D3374" s="716">
        <v>22.72</v>
      </c>
    </row>
    <row r="3375" spans="1:4" ht="70">
      <c r="A3375" s="715">
        <v>101149</v>
      </c>
      <c r="B3375" s="633" t="s">
        <v>26877</v>
      </c>
      <c r="C3375" s="715" t="s">
        <v>121</v>
      </c>
      <c r="D3375" s="716">
        <v>22.43</v>
      </c>
    </row>
    <row r="3376" spans="1:4" ht="70">
      <c r="A3376" s="715">
        <v>101143</v>
      </c>
      <c r="B3376" s="633" t="s">
        <v>26871</v>
      </c>
      <c r="C3376" s="715" t="s">
        <v>121</v>
      </c>
      <c r="D3376" s="716">
        <v>21.29</v>
      </c>
    </row>
    <row r="3377" spans="1:4" ht="70">
      <c r="A3377" s="715">
        <v>101153</v>
      </c>
      <c r="B3377" s="633" t="s">
        <v>26881</v>
      </c>
      <c r="C3377" s="715" t="s">
        <v>121</v>
      </c>
      <c r="D3377" s="716">
        <v>21</v>
      </c>
    </row>
    <row r="3378" spans="1:4" ht="70">
      <c r="A3378" s="715">
        <v>101140</v>
      </c>
      <c r="B3378" s="633" t="s">
        <v>26868</v>
      </c>
      <c r="C3378" s="715" t="s">
        <v>121</v>
      </c>
      <c r="D3378" s="716">
        <v>21.03</v>
      </c>
    </row>
    <row r="3379" spans="1:4" ht="70">
      <c r="A3379" s="715">
        <v>101150</v>
      </c>
      <c r="B3379" s="633" t="s">
        <v>26878</v>
      </c>
      <c r="C3379" s="715" t="s">
        <v>121</v>
      </c>
      <c r="D3379" s="716">
        <v>20.74</v>
      </c>
    </row>
    <row r="3380" spans="1:4" ht="70">
      <c r="A3380" s="715">
        <v>101141</v>
      </c>
      <c r="B3380" s="633" t="s">
        <v>26869</v>
      </c>
      <c r="C3380" s="715" t="s">
        <v>121</v>
      </c>
      <c r="D3380" s="716">
        <v>17.87</v>
      </c>
    </row>
    <row r="3381" spans="1:4" ht="70">
      <c r="A3381" s="715">
        <v>101151</v>
      </c>
      <c r="B3381" s="633" t="s">
        <v>26879</v>
      </c>
      <c r="C3381" s="715" t="s">
        <v>121</v>
      </c>
      <c r="D3381" s="716">
        <v>17.579999999999998</v>
      </c>
    </row>
    <row r="3382" spans="1:4" ht="70">
      <c r="A3382" s="715">
        <v>101142</v>
      </c>
      <c r="B3382" s="633" t="s">
        <v>26870</v>
      </c>
      <c r="C3382" s="715" t="s">
        <v>121</v>
      </c>
      <c r="D3382" s="716">
        <v>19.71</v>
      </c>
    </row>
    <row r="3383" spans="1:4" ht="70">
      <c r="A3383" s="715">
        <v>101152</v>
      </c>
      <c r="B3383" s="633" t="s">
        <v>26880</v>
      </c>
      <c r="C3383" s="715" t="s">
        <v>121</v>
      </c>
      <c r="D3383" s="716">
        <v>19.420000000000002</v>
      </c>
    </row>
    <row r="3384" spans="1:4" ht="84">
      <c r="A3384" s="715">
        <v>101207</v>
      </c>
      <c r="B3384" s="633" t="s">
        <v>26882</v>
      </c>
      <c r="C3384" s="715" t="s">
        <v>121</v>
      </c>
      <c r="D3384" s="716">
        <v>12.7</v>
      </c>
    </row>
    <row r="3385" spans="1:4" ht="84">
      <c r="A3385" s="715">
        <v>101206</v>
      </c>
      <c r="B3385" s="633" t="s">
        <v>40304</v>
      </c>
      <c r="C3385" s="715" t="s">
        <v>121</v>
      </c>
      <c r="D3385" s="716">
        <v>14.67</v>
      </c>
    </row>
    <row r="3386" spans="1:4" ht="84">
      <c r="A3386" s="715">
        <v>101210</v>
      </c>
      <c r="B3386" s="633" t="s">
        <v>40305</v>
      </c>
      <c r="C3386" s="715" t="s">
        <v>121</v>
      </c>
      <c r="D3386" s="716">
        <v>20.48</v>
      </c>
    </row>
    <row r="3387" spans="1:4" ht="84">
      <c r="A3387" s="715">
        <v>101211</v>
      </c>
      <c r="B3387" s="633" t="s">
        <v>40306</v>
      </c>
      <c r="C3387" s="715" t="s">
        <v>121</v>
      </c>
      <c r="D3387" s="716">
        <v>21.98</v>
      </c>
    </row>
    <row r="3388" spans="1:4" ht="84">
      <c r="A3388" s="715">
        <v>101215</v>
      </c>
      <c r="B3388" s="633" t="s">
        <v>40307</v>
      </c>
      <c r="C3388" s="715" t="s">
        <v>121</v>
      </c>
      <c r="D3388" s="716">
        <v>19.68</v>
      </c>
    </row>
    <row r="3389" spans="1:4" ht="84">
      <c r="A3389" s="715">
        <v>101216</v>
      </c>
      <c r="B3389" s="633" t="s">
        <v>40308</v>
      </c>
      <c r="C3389" s="715" t="s">
        <v>121</v>
      </c>
      <c r="D3389" s="716">
        <v>20.65</v>
      </c>
    </row>
    <row r="3390" spans="1:4" ht="84">
      <c r="A3390" s="715">
        <v>101212</v>
      </c>
      <c r="B3390" s="633" t="s">
        <v>40309</v>
      </c>
      <c r="C3390" s="715" t="s">
        <v>121</v>
      </c>
      <c r="D3390" s="716">
        <v>25.63</v>
      </c>
    </row>
    <row r="3391" spans="1:4" ht="84">
      <c r="A3391" s="715">
        <v>101217</v>
      </c>
      <c r="B3391" s="633" t="s">
        <v>40310</v>
      </c>
      <c r="C3391" s="715" t="s">
        <v>121</v>
      </c>
      <c r="D3391" s="716">
        <v>24.03</v>
      </c>
    </row>
    <row r="3392" spans="1:4" ht="84">
      <c r="A3392" s="715">
        <v>101218</v>
      </c>
      <c r="B3392" s="633" t="s">
        <v>40311</v>
      </c>
      <c r="C3392" s="715" t="s">
        <v>121</v>
      </c>
      <c r="D3392" s="716">
        <v>25.43</v>
      </c>
    </row>
    <row r="3393" spans="1:4" ht="84">
      <c r="A3393" s="715">
        <v>101213</v>
      </c>
      <c r="B3393" s="633" t="s">
        <v>40312</v>
      </c>
      <c r="C3393" s="715" t="s">
        <v>121</v>
      </c>
      <c r="D3393" s="716">
        <v>28.65</v>
      </c>
    </row>
    <row r="3394" spans="1:4" ht="84">
      <c r="A3394" s="715">
        <v>101219</v>
      </c>
      <c r="B3394" s="633" t="s">
        <v>40313</v>
      </c>
      <c r="C3394" s="715" t="s">
        <v>121</v>
      </c>
      <c r="D3394" s="716">
        <v>30.83</v>
      </c>
    </row>
    <row r="3395" spans="1:4" ht="84">
      <c r="A3395" s="715">
        <v>101214</v>
      </c>
      <c r="B3395" s="633" t="s">
        <v>40314</v>
      </c>
      <c r="C3395" s="715" t="s">
        <v>121</v>
      </c>
      <c r="D3395" s="716">
        <v>34.619999999999997</v>
      </c>
    </row>
    <row r="3396" spans="1:4" ht="84">
      <c r="A3396" s="715">
        <v>101254</v>
      </c>
      <c r="B3396" s="633" t="s">
        <v>40315</v>
      </c>
      <c r="C3396" s="715" t="s">
        <v>121</v>
      </c>
      <c r="D3396" s="716">
        <v>15.08</v>
      </c>
    </row>
    <row r="3397" spans="1:4" ht="84">
      <c r="A3397" s="715">
        <v>101256</v>
      </c>
      <c r="B3397" s="633" t="s">
        <v>40316</v>
      </c>
      <c r="C3397" s="715" t="s">
        <v>121</v>
      </c>
      <c r="D3397" s="716">
        <v>23.24</v>
      </c>
    </row>
    <row r="3398" spans="1:4" ht="84">
      <c r="A3398" s="715">
        <v>101257</v>
      </c>
      <c r="B3398" s="633" t="s">
        <v>40317</v>
      </c>
      <c r="C3398" s="715" t="s">
        <v>121</v>
      </c>
      <c r="D3398" s="716">
        <v>24.48</v>
      </c>
    </row>
    <row r="3399" spans="1:4" ht="84">
      <c r="A3399" s="715">
        <v>101258</v>
      </c>
      <c r="B3399" s="633" t="s">
        <v>40318</v>
      </c>
      <c r="C3399" s="715" t="s">
        <v>121</v>
      </c>
      <c r="D3399" s="716">
        <v>28.39</v>
      </c>
    </row>
    <row r="3400" spans="1:4" ht="84">
      <c r="A3400" s="715">
        <v>101259</v>
      </c>
      <c r="B3400" s="633" t="s">
        <v>40319</v>
      </c>
      <c r="C3400" s="715" t="s">
        <v>121</v>
      </c>
      <c r="D3400" s="716">
        <v>31.55</v>
      </c>
    </row>
    <row r="3401" spans="1:4" ht="84">
      <c r="A3401" s="715">
        <v>101260</v>
      </c>
      <c r="B3401" s="633" t="s">
        <v>40320</v>
      </c>
      <c r="C3401" s="715" t="s">
        <v>121</v>
      </c>
      <c r="D3401" s="716">
        <v>39.42</v>
      </c>
    </row>
    <row r="3402" spans="1:4" ht="84">
      <c r="A3402" s="715">
        <v>101208</v>
      </c>
      <c r="B3402" s="633" t="s">
        <v>40321</v>
      </c>
      <c r="C3402" s="715" t="s">
        <v>121</v>
      </c>
      <c r="D3402" s="716">
        <v>12.4</v>
      </c>
    </row>
    <row r="3403" spans="1:4" ht="84">
      <c r="A3403" s="715">
        <v>101209</v>
      </c>
      <c r="B3403" s="633" t="s">
        <v>40322</v>
      </c>
      <c r="C3403" s="715" t="s">
        <v>121</v>
      </c>
      <c r="D3403" s="716">
        <v>11.51</v>
      </c>
    </row>
    <row r="3404" spans="1:4" ht="84">
      <c r="A3404" s="715">
        <v>101220</v>
      </c>
      <c r="B3404" s="633" t="s">
        <v>40323</v>
      </c>
      <c r="C3404" s="715" t="s">
        <v>121</v>
      </c>
      <c r="D3404" s="716">
        <v>19.329999999999998</v>
      </c>
    </row>
    <row r="3405" spans="1:4" ht="84">
      <c r="A3405" s="715">
        <v>101221</v>
      </c>
      <c r="B3405" s="633" t="s">
        <v>40324</v>
      </c>
      <c r="C3405" s="715" t="s">
        <v>121</v>
      </c>
      <c r="D3405" s="716">
        <v>20.420000000000002</v>
      </c>
    </row>
    <row r="3406" spans="1:4" ht="84">
      <c r="A3406" s="715">
        <v>101225</v>
      </c>
      <c r="B3406" s="633" t="s">
        <v>40325</v>
      </c>
      <c r="C3406" s="715" t="s">
        <v>121</v>
      </c>
      <c r="D3406" s="716">
        <v>17.75</v>
      </c>
    </row>
    <row r="3407" spans="1:4" ht="84">
      <c r="A3407" s="715">
        <v>101226</v>
      </c>
      <c r="B3407" s="633" t="s">
        <v>40326</v>
      </c>
      <c r="C3407" s="715" t="s">
        <v>121</v>
      </c>
      <c r="D3407" s="716">
        <v>18.71</v>
      </c>
    </row>
    <row r="3408" spans="1:4" ht="84">
      <c r="A3408" s="715">
        <v>101222</v>
      </c>
      <c r="B3408" s="633" t="s">
        <v>40327</v>
      </c>
      <c r="C3408" s="715" t="s">
        <v>121</v>
      </c>
      <c r="D3408" s="716">
        <v>23.74</v>
      </c>
    </row>
    <row r="3409" spans="1:4" ht="84">
      <c r="A3409" s="715">
        <v>101227</v>
      </c>
      <c r="B3409" s="633" t="s">
        <v>40328</v>
      </c>
      <c r="C3409" s="715" t="s">
        <v>121</v>
      </c>
      <c r="D3409" s="716">
        <v>21.68</v>
      </c>
    </row>
    <row r="3410" spans="1:4" ht="84">
      <c r="A3410" s="715">
        <v>101228</v>
      </c>
      <c r="B3410" s="633" t="s">
        <v>40329</v>
      </c>
      <c r="C3410" s="715" t="s">
        <v>121</v>
      </c>
      <c r="D3410" s="716">
        <v>23.13</v>
      </c>
    </row>
    <row r="3411" spans="1:4" ht="84">
      <c r="A3411" s="715">
        <v>101223</v>
      </c>
      <c r="B3411" s="633" t="s">
        <v>40330</v>
      </c>
      <c r="C3411" s="715" t="s">
        <v>121</v>
      </c>
      <c r="D3411" s="716">
        <v>26.41</v>
      </c>
    </row>
    <row r="3412" spans="1:4" ht="84">
      <c r="A3412" s="715">
        <v>101229</v>
      </c>
      <c r="B3412" s="633" t="s">
        <v>40331</v>
      </c>
      <c r="C3412" s="715" t="s">
        <v>121</v>
      </c>
      <c r="D3412" s="716">
        <v>29.15</v>
      </c>
    </row>
    <row r="3413" spans="1:4" ht="84">
      <c r="A3413" s="715">
        <v>101224</v>
      </c>
      <c r="B3413" s="633" t="s">
        <v>40332</v>
      </c>
      <c r="C3413" s="715" t="s">
        <v>121</v>
      </c>
      <c r="D3413" s="716">
        <v>33.090000000000003</v>
      </c>
    </row>
    <row r="3414" spans="1:4" ht="84">
      <c r="A3414" s="715">
        <v>101265</v>
      </c>
      <c r="B3414" s="633" t="s">
        <v>40333</v>
      </c>
      <c r="C3414" s="715" t="s">
        <v>121</v>
      </c>
      <c r="D3414" s="716">
        <v>37.06</v>
      </c>
    </row>
    <row r="3415" spans="1:4" ht="84">
      <c r="A3415" s="715">
        <v>101255</v>
      </c>
      <c r="B3415" s="633" t="s">
        <v>40334</v>
      </c>
      <c r="C3415" s="715" t="s">
        <v>121</v>
      </c>
      <c r="D3415" s="716">
        <v>13.32</v>
      </c>
    </row>
    <row r="3416" spans="1:4" ht="84">
      <c r="A3416" s="715">
        <v>101261</v>
      </c>
      <c r="B3416" s="633" t="s">
        <v>40335</v>
      </c>
      <c r="C3416" s="715" t="s">
        <v>121</v>
      </c>
      <c r="D3416" s="716">
        <v>21.99</v>
      </c>
    </row>
    <row r="3417" spans="1:4" ht="84">
      <c r="A3417" s="715">
        <v>101262</v>
      </c>
      <c r="B3417" s="633" t="s">
        <v>40336</v>
      </c>
      <c r="C3417" s="715" t="s">
        <v>121</v>
      </c>
      <c r="D3417" s="716">
        <v>23.21</v>
      </c>
    </row>
    <row r="3418" spans="1:4" ht="84">
      <c r="A3418" s="715">
        <v>101263</v>
      </c>
      <c r="B3418" s="633" t="s">
        <v>40337</v>
      </c>
      <c r="C3418" s="715" t="s">
        <v>121</v>
      </c>
      <c r="D3418" s="716">
        <v>26.84</v>
      </c>
    </row>
    <row r="3419" spans="1:4" ht="84">
      <c r="A3419" s="715">
        <v>101264</v>
      </c>
      <c r="B3419" s="633" t="s">
        <v>40338</v>
      </c>
      <c r="C3419" s="715" t="s">
        <v>121</v>
      </c>
      <c r="D3419" s="716">
        <v>29.74</v>
      </c>
    </row>
    <row r="3420" spans="1:4" ht="84">
      <c r="A3420" s="715">
        <v>101230</v>
      </c>
      <c r="B3420" s="633" t="s">
        <v>26883</v>
      </c>
      <c r="C3420" s="715" t="s">
        <v>121</v>
      </c>
      <c r="D3420" s="716">
        <v>12.93</v>
      </c>
    </row>
    <row r="3421" spans="1:4" ht="84">
      <c r="A3421" s="715">
        <v>101231</v>
      </c>
      <c r="B3421" s="633" t="s">
        <v>26884</v>
      </c>
      <c r="C3421" s="715" t="s">
        <v>121</v>
      </c>
      <c r="D3421" s="716">
        <v>12.3</v>
      </c>
    </row>
    <row r="3422" spans="1:4" ht="84">
      <c r="A3422" s="715">
        <v>101272</v>
      </c>
      <c r="B3422" s="633" t="s">
        <v>26913</v>
      </c>
      <c r="C3422" s="715" t="s">
        <v>121</v>
      </c>
      <c r="D3422" s="716">
        <v>37.630000000000003</v>
      </c>
    </row>
    <row r="3423" spans="1:4" ht="84">
      <c r="A3423" s="715">
        <v>101266</v>
      </c>
      <c r="B3423" s="633" t="s">
        <v>26907</v>
      </c>
      <c r="C3423" s="715" t="s">
        <v>121</v>
      </c>
      <c r="D3423" s="716">
        <v>13.38</v>
      </c>
    </row>
    <row r="3424" spans="1:4" ht="84">
      <c r="A3424" s="715">
        <v>101239</v>
      </c>
      <c r="B3424" s="633" t="s">
        <v>26892</v>
      </c>
      <c r="C3424" s="715" t="s">
        <v>121</v>
      </c>
      <c r="D3424" s="716">
        <v>17.649999999999999</v>
      </c>
    </row>
    <row r="3425" spans="1:4" ht="84">
      <c r="A3425" s="715">
        <v>101240</v>
      </c>
      <c r="B3425" s="633" t="s">
        <v>26893</v>
      </c>
      <c r="C3425" s="715" t="s">
        <v>121</v>
      </c>
      <c r="D3425" s="716">
        <v>18.63</v>
      </c>
    </row>
    <row r="3426" spans="1:4" ht="84">
      <c r="A3426" s="715">
        <v>101268</v>
      </c>
      <c r="B3426" s="633" t="s">
        <v>26909</v>
      </c>
      <c r="C3426" s="715" t="s">
        <v>121</v>
      </c>
      <c r="D3426" s="716">
        <v>21.09</v>
      </c>
    </row>
    <row r="3427" spans="1:4" ht="84">
      <c r="A3427" s="715">
        <v>101234</v>
      </c>
      <c r="B3427" s="633" t="s">
        <v>26887</v>
      </c>
      <c r="C3427" s="715" t="s">
        <v>121</v>
      </c>
      <c r="D3427" s="716">
        <v>20.09</v>
      </c>
    </row>
    <row r="3428" spans="1:4" ht="84">
      <c r="A3428" s="715">
        <v>101235</v>
      </c>
      <c r="B3428" s="633" t="s">
        <v>26888</v>
      </c>
      <c r="C3428" s="715" t="s">
        <v>121</v>
      </c>
      <c r="D3428" s="716">
        <v>21.15</v>
      </c>
    </row>
    <row r="3429" spans="1:4" ht="84">
      <c r="A3429" s="715">
        <v>101241</v>
      </c>
      <c r="B3429" s="633" t="s">
        <v>26894</v>
      </c>
      <c r="C3429" s="715" t="s">
        <v>121</v>
      </c>
      <c r="D3429" s="716">
        <v>21.76</v>
      </c>
    </row>
    <row r="3430" spans="1:4" ht="84">
      <c r="A3430" s="715">
        <v>101269</v>
      </c>
      <c r="B3430" s="633" t="s">
        <v>26910</v>
      </c>
      <c r="C3430" s="715" t="s">
        <v>121</v>
      </c>
      <c r="D3430" s="716">
        <v>23.48</v>
      </c>
    </row>
    <row r="3431" spans="1:4" ht="84">
      <c r="A3431" s="715">
        <v>101236</v>
      </c>
      <c r="B3431" s="633" t="s">
        <v>26889</v>
      </c>
      <c r="C3431" s="715" t="s">
        <v>121</v>
      </c>
      <c r="D3431" s="716">
        <v>24.63</v>
      </c>
    </row>
    <row r="3432" spans="1:4" ht="84">
      <c r="A3432" s="715">
        <v>101237</v>
      </c>
      <c r="B3432" s="633" t="s">
        <v>26890</v>
      </c>
      <c r="C3432" s="715" t="s">
        <v>121</v>
      </c>
      <c r="D3432" s="716">
        <v>26.24</v>
      </c>
    </row>
    <row r="3433" spans="1:4" ht="84">
      <c r="A3433" s="715">
        <v>101242</v>
      </c>
      <c r="B3433" s="633" t="s">
        <v>26895</v>
      </c>
      <c r="C3433" s="715" t="s">
        <v>121</v>
      </c>
      <c r="D3433" s="716">
        <v>24.32</v>
      </c>
    </row>
    <row r="3434" spans="1:4" ht="84">
      <c r="A3434" s="715">
        <v>101270</v>
      </c>
      <c r="B3434" s="633" t="s">
        <v>26911</v>
      </c>
      <c r="C3434" s="715" t="s">
        <v>121</v>
      </c>
      <c r="D3434" s="716">
        <v>27.2</v>
      </c>
    </row>
    <row r="3435" spans="1:4" ht="84">
      <c r="A3435" s="715">
        <v>101243</v>
      </c>
      <c r="B3435" s="633" t="s">
        <v>26896</v>
      </c>
      <c r="C3435" s="715" t="s">
        <v>121</v>
      </c>
      <c r="D3435" s="716">
        <v>29.48</v>
      </c>
    </row>
    <row r="3436" spans="1:4" ht="84">
      <c r="A3436" s="715">
        <v>101271</v>
      </c>
      <c r="B3436" s="633" t="s">
        <v>26912</v>
      </c>
      <c r="C3436" s="715" t="s">
        <v>121</v>
      </c>
      <c r="D3436" s="716">
        <v>30.16</v>
      </c>
    </row>
    <row r="3437" spans="1:4" ht="84">
      <c r="A3437" s="715">
        <v>101238</v>
      </c>
      <c r="B3437" s="633" t="s">
        <v>26891</v>
      </c>
      <c r="C3437" s="715" t="s">
        <v>121</v>
      </c>
      <c r="D3437" s="716">
        <v>33.17</v>
      </c>
    </row>
    <row r="3438" spans="1:4" ht="84">
      <c r="A3438" s="715">
        <v>101232</v>
      </c>
      <c r="B3438" s="633" t="s">
        <v>26885</v>
      </c>
      <c r="C3438" s="715" t="s">
        <v>121</v>
      </c>
      <c r="D3438" s="716">
        <v>11.08</v>
      </c>
    </row>
    <row r="3439" spans="1:4" ht="84">
      <c r="A3439" s="715">
        <v>101233</v>
      </c>
      <c r="B3439" s="633" t="s">
        <v>26886</v>
      </c>
      <c r="C3439" s="715" t="s">
        <v>121</v>
      </c>
      <c r="D3439" s="716">
        <v>10.23</v>
      </c>
    </row>
    <row r="3440" spans="1:4" ht="84">
      <c r="A3440" s="715">
        <v>101248</v>
      </c>
      <c r="B3440" s="633" t="s">
        <v>26901</v>
      </c>
      <c r="C3440" s="715" t="s">
        <v>121</v>
      </c>
      <c r="D3440" s="716">
        <v>31.69</v>
      </c>
    </row>
    <row r="3441" spans="1:4" ht="84">
      <c r="A3441" s="715">
        <v>101277</v>
      </c>
      <c r="B3441" s="633" t="s">
        <v>26918</v>
      </c>
      <c r="C3441" s="715" t="s">
        <v>121</v>
      </c>
      <c r="D3441" s="716">
        <v>36.450000000000003</v>
      </c>
    </row>
    <row r="3442" spans="1:4" ht="84">
      <c r="A3442" s="715">
        <v>101267</v>
      </c>
      <c r="B3442" s="633" t="s">
        <v>26908</v>
      </c>
      <c r="C3442" s="715" t="s">
        <v>121</v>
      </c>
      <c r="D3442" s="716">
        <v>12.89</v>
      </c>
    </row>
    <row r="3443" spans="1:4" ht="84">
      <c r="A3443" s="715">
        <v>101249</v>
      </c>
      <c r="B3443" s="633" t="s">
        <v>26902</v>
      </c>
      <c r="C3443" s="715" t="s">
        <v>121</v>
      </c>
      <c r="D3443" s="716">
        <v>16.149999999999999</v>
      </c>
    </row>
    <row r="3444" spans="1:4" ht="84">
      <c r="A3444" s="715">
        <v>101273</v>
      </c>
      <c r="B3444" s="633" t="s">
        <v>26914</v>
      </c>
      <c r="C3444" s="715" t="s">
        <v>121</v>
      </c>
      <c r="D3444" s="716">
        <v>20.18</v>
      </c>
    </row>
    <row r="3445" spans="1:4" ht="84">
      <c r="A3445" s="715">
        <v>101245</v>
      </c>
      <c r="B3445" s="633" t="s">
        <v>26898</v>
      </c>
      <c r="C3445" s="715" t="s">
        <v>121</v>
      </c>
      <c r="D3445" s="716">
        <v>19.649999999999999</v>
      </c>
    </row>
    <row r="3446" spans="1:4" ht="84">
      <c r="A3446" s="715">
        <v>101250</v>
      </c>
      <c r="B3446" s="633" t="s">
        <v>26903</v>
      </c>
      <c r="C3446" s="715" t="s">
        <v>121</v>
      </c>
      <c r="D3446" s="716">
        <v>17.940000000000001</v>
      </c>
    </row>
    <row r="3447" spans="1:4" ht="84">
      <c r="A3447" s="715">
        <v>101251</v>
      </c>
      <c r="B3447" s="633" t="s">
        <v>26904</v>
      </c>
      <c r="C3447" s="715" t="s">
        <v>121</v>
      </c>
      <c r="D3447" s="716">
        <v>20.420000000000002</v>
      </c>
    </row>
    <row r="3448" spans="1:4" ht="84">
      <c r="A3448" s="715">
        <v>101274</v>
      </c>
      <c r="B3448" s="633" t="s">
        <v>26915</v>
      </c>
      <c r="C3448" s="715" t="s">
        <v>121</v>
      </c>
      <c r="D3448" s="716">
        <v>22.31</v>
      </c>
    </row>
    <row r="3449" spans="1:4" ht="84">
      <c r="A3449" s="715">
        <v>101246</v>
      </c>
      <c r="B3449" s="633" t="s">
        <v>26899</v>
      </c>
      <c r="C3449" s="715" t="s">
        <v>121</v>
      </c>
      <c r="D3449" s="716">
        <v>22.82</v>
      </c>
    </row>
    <row r="3450" spans="1:4" ht="84">
      <c r="A3450" s="715">
        <v>101252</v>
      </c>
      <c r="B3450" s="633" t="s">
        <v>26905</v>
      </c>
      <c r="C3450" s="715" t="s">
        <v>121</v>
      </c>
      <c r="D3450" s="716">
        <v>22.17</v>
      </c>
    </row>
    <row r="3451" spans="1:4" ht="84">
      <c r="A3451" s="715">
        <v>101275</v>
      </c>
      <c r="B3451" s="633" t="s">
        <v>26916</v>
      </c>
      <c r="C3451" s="715" t="s">
        <v>121</v>
      </c>
      <c r="D3451" s="716">
        <v>25.81</v>
      </c>
    </row>
    <row r="3452" spans="1:4" ht="84">
      <c r="A3452" s="715">
        <v>101247</v>
      </c>
      <c r="B3452" s="633" t="s">
        <v>26900</v>
      </c>
      <c r="C3452" s="715" t="s">
        <v>121</v>
      </c>
      <c r="D3452" s="716">
        <v>25.32</v>
      </c>
    </row>
    <row r="3453" spans="1:4" ht="84">
      <c r="A3453" s="715">
        <v>101276</v>
      </c>
      <c r="B3453" s="633" t="s">
        <v>26917</v>
      </c>
      <c r="C3453" s="715" t="s">
        <v>121</v>
      </c>
      <c r="D3453" s="716">
        <v>28.52</v>
      </c>
    </row>
    <row r="3454" spans="1:4" ht="84">
      <c r="A3454" s="715">
        <v>101253</v>
      </c>
      <c r="B3454" s="633" t="s">
        <v>26906</v>
      </c>
      <c r="C3454" s="715" t="s">
        <v>121</v>
      </c>
      <c r="D3454" s="716">
        <v>27.91</v>
      </c>
    </row>
    <row r="3455" spans="1:4" ht="84">
      <c r="A3455" s="715">
        <v>101244</v>
      </c>
      <c r="B3455" s="633" t="s">
        <v>26897</v>
      </c>
      <c r="C3455" s="715" t="s">
        <v>121</v>
      </c>
      <c r="D3455" s="716">
        <v>18.559999999999999</v>
      </c>
    </row>
    <row r="3456" spans="1:4" ht="14">
      <c r="A3456" s="715">
        <v>93358</v>
      </c>
      <c r="B3456" s="633" t="s">
        <v>30161</v>
      </c>
      <c r="C3456" s="715" t="s">
        <v>121</v>
      </c>
      <c r="D3456" s="716">
        <v>122.78</v>
      </c>
    </row>
    <row r="3457" spans="1:4" ht="70">
      <c r="A3457" s="715">
        <v>90082</v>
      </c>
      <c r="B3457" s="633" t="s">
        <v>30143</v>
      </c>
      <c r="C3457" s="715" t="s">
        <v>121</v>
      </c>
      <c r="D3457" s="716">
        <v>11.32</v>
      </c>
    </row>
    <row r="3458" spans="1:4" ht="70">
      <c r="A3458" s="715">
        <v>90091</v>
      </c>
      <c r="B3458" s="633" t="s">
        <v>30148</v>
      </c>
      <c r="C3458" s="715" t="s">
        <v>121</v>
      </c>
      <c r="D3458" s="716">
        <v>7.14</v>
      </c>
    </row>
    <row r="3459" spans="1:4" ht="70">
      <c r="A3459" s="715">
        <v>102307</v>
      </c>
      <c r="B3459" s="633" t="s">
        <v>30193</v>
      </c>
      <c r="C3459" s="715" t="s">
        <v>121</v>
      </c>
      <c r="D3459" s="716">
        <v>14.16</v>
      </c>
    </row>
    <row r="3460" spans="1:4" ht="70">
      <c r="A3460" s="715">
        <v>102315</v>
      </c>
      <c r="B3460" s="633" t="s">
        <v>30201</v>
      </c>
      <c r="C3460" s="715" t="s">
        <v>121</v>
      </c>
      <c r="D3460" s="716">
        <v>8.92</v>
      </c>
    </row>
    <row r="3461" spans="1:4" ht="70">
      <c r="A3461" s="715">
        <v>102283</v>
      </c>
      <c r="B3461" s="633" t="s">
        <v>30169</v>
      </c>
      <c r="C3461" s="715" t="s">
        <v>121</v>
      </c>
      <c r="D3461" s="716">
        <v>14.82</v>
      </c>
    </row>
    <row r="3462" spans="1:4" ht="70">
      <c r="A3462" s="715">
        <v>102291</v>
      </c>
      <c r="B3462" s="633" t="s">
        <v>30177</v>
      </c>
      <c r="C3462" s="715" t="s">
        <v>121</v>
      </c>
      <c r="D3462" s="716">
        <v>9.34</v>
      </c>
    </row>
    <row r="3463" spans="1:4" ht="70">
      <c r="A3463" s="715">
        <v>102276</v>
      </c>
      <c r="B3463" s="633" t="s">
        <v>30162</v>
      </c>
      <c r="C3463" s="715" t="s">
        <v>121</v>
      </c>
      <c r="D3463" s="716">
        <v>12.75</v>
      </c>
    </row>
    <row r="3464" spans="1:4" ht="70">
      <c r="A3464" s="715">
        <v>102306</v>
      </c>
      <c r="B3464" s="633" t="s">
        <v>30192</v>
      </c>
      <c r="C3464" s="715" t="s">
        <v>121</v>
      </c>
      <c r="D3464" s="716">
        <v>15.94</v>
      </c>
    </row>
    <row r="3465" spans="1:4" ht="70">
      <c r="A3465" s="715">
        <v>102279</v>
      </c>
      <c r="B3465" s="633" t="s">
        <v>30165</v>
      </c>
      <c r="C3465" s="715" t="s">
        <v>121</v>
      </c>
      <c r="D3465" s="716">
        <v>8.0399999999999991</v>
      </c>
    </row>
    <row r="3466" spans="1:4" ht="70">
      <c r="A3466" s="715">
        <v>102282</v>
      </c>
      <c r="B3466" s="633" t="s">
        <v>30168</v>
      </c>
      <c r="C3466" s="715" t="s">
        <v>121</v>
      </c>
      <c r="D3466" s="716">
        <v>16.690000000000001</v>
      </c>
    </row>
    <row r="3467" spans="1:4" ht="70">
      <c r="A3467" s="715">
        <v>102290</v>
      </c>
      <c r="B3467" s="633" t="s">
        <v>30176</v>
      </c>
      <c r="C3467" s="715" t="s">
        <v>121</v>
      </c>
      <c r="D3467" s="716">
        <v>10.52</v>
      </c>
    </row>
    <row r="3468" spans="1:4" ht="70">
      <c r="A3468" s="715">
        <v>90100</v>
      </c>
      <c r="B3468" s="633" t="s">
        <v>30154</v>
      </c>
      <c r="C3468" s="715" t="s">
        <v>121</v>
      </c>
      <c r="D3468" s="716">
        <v>16.059999999999999</v>
      </c>
    </row>
    <row r="3469" spans="1:4" ht="70">
      <c r="A3469" s="715">
        <v>102323</v>
      </c>
      <c r="B3469" s="633" t="s">
        <v>30209</v>
      </c>
      <c r="C3469" s="715" t="s">
        <v>121</v>
      </c>
      <c r="D3469" s="716">
        <v>20.079999999999998</v>
      </c>
    </row>
    <row r="3470" spans="1:4" ht="70">
      <c r="A3470" s="715">
        <v>102327</v>
      </c>
      <c r="B3470" s="633" t="s">
        <v>30213</v>
      </c>
      <c r="C3470" s="715" t="s">
        <v>121</v>
      </c>
      <c r="D3470" s="716">
        <v>12.65</v>
      </c>
    </row>
    <row r="3471" spans="1:4" ht="70">
      <c r="A3471" s="715">
        <v>102299</v>
      </c>
      <c r="B3471" s="633" t="s">
        <v>30185</v>
      </c>
      <c r="C3471" s="715" t="s">
        <v>121</v>
      </c>
      <c r="D3471" s="716">
        <v>21.01</v>
      </c>
    </row>
    <row r="3472" spans="1:4" ht="70">
      <c r="A3472" s="715">
        <v>102303</v>
      </c>
      <c r="B3472" s="633" t="s">
        <v>30189</v>
      </c>
      <c r="C3472" s="715" t="s">
        <v>121</v>
      </c>
      <c r="D3472" s="716">
        <v>13.24</v>
      </c>
    </row>
    <row r="3473" spans="1:4" ht="70">
      <c r="A3473" s="715">
        <v>90099</v>
      </c>
      <c r="B3473" s="633" t="s">
        <v>30153</v>
      </c>
      <c r="C3473" s="715" t="s">
        <v>121</v>
      </c>
      <c r="D3473" s="716">
        <v>18.739999999999998</v>
      </c>
    </row>
    <row r="3474" spans="1:4" ht="70">
      <c r="A3474" s="715">
        <v>102322</v>
      </c>
      <c r="B3474" s="633" t="s">
        <v>30208</v>
      </c>
      <c r="C3474" s="715" t="s">
        <v>121</v>
      </c>
      <c r="D3474" s="716">
        <v>23.44</v>
      </c>
    </row>
    <row r="3475" spans="1:4" ht="70">
      <c r="A3475" s="715">
        <v>102298</v>
      </c>
      <c r="B3475" s="633" t="s">
        <v>30184</v>
      </c>
      <c r="C3475" s="715" t="s">
        <v>121</v>
      </c>
      <c r="D3475" s="716">
        <v>24.52</v>
      </c>
    </row>
    <row r="3476" spans="1:4" ht="70">
      <c r="A3476" s="715">
        <v>102302</v>
      </c>
      <c r="B3476" s="633" t="s">
        <v>30188</v>
      </c>
      <c r="C3476" s="715" t="s">
        <v>121</v>
      </c>
      <c r="D3476" s="716">
        <v>15.45</v>
      </c>
    </row>
    <row r="3477" spans="1:4" ht="84">
      <c r="A3477" s="715">
        <v>102326</v>
      </c>
      <c r="B3477" s="633" t="s">
        <v>30212</v>
      </c>
      <c r="C3477" s="715" t="s">
        <v>121</v>
      </c>
      <c r="D3477" s="716">
        <v>14.76</v>
      </c>
    </row>
    <row r="3478" spans="1:4" ht="84">
      <c r="A3478" s="715">
        <v>102314</v>
      </c>
      <c r="B3478" s="633" t="s">
        <v>30200</v>
      </c>
      <c r="C3478" s="715" t="s">
        <v>121</v>
      </c>
      <c r="D3478" s="716">
        <v>10.050000000000001</v>
      </c>
    </row>
    <row r="3479" spans="1:4" ht="84">
      <c r="A3479" s="715">
        <v>102312</v>
      </c>
      <c r="B3479" s="633" t="s">
        <v>30198</v>
      </c>
      <c r="C3479" s="715" t="s">
        <v>121</v>
      </c>
      <c r="D3479" s="716">
        <v>12.69</v>
      </c>
    </row>
    <row r="3480" spans="1:4" ht="70">
      <c r="A3480" s="715">
        <v>102288</v>
      </c>
      <c r="B3480" s="633" t="s">
        <v>30174</v>
      </c>
      <c r="C3480" s="715" t="s">
        <v>121</v>
      </c>
      <c r="D3480" s="716">
        <v>13.29</v>
      </c>
    </row>
    <row r="3481" spans="1:4" ht="84">
      <c r="A3481" s="715">
        <v>90087</v>
      </c>
      <c r="B3481" s="633" t="s">
        <v>30146</v>
      </c>
      <c r="C3481" s="715" t="s">
        <v>121</v>
      </c>
      <c r="D3481" s="716">
        <v>10.16</v>
      </c>
    </row>
    <row r="3482" spans="1:4" ht="84">
      <c r="A3482" s="715">
        <v>102308</v>
      </c>
      <c r="B3482" s="633" t="s">
        <v>30194</v>
      </c>
      <c r="C3482" s="715" t="s">
        <v>121</v>
      </c>
      <c r="D3482" s="716">
        <v>13.72</v>
      </c>
    </row>
    <row r="3483" spans="1:4" ht="84">
      <c r="A3483" s="715">
        <v>90084</v>
      </c>
      <c r="B3483" s="633" t="s">
        <v>30144</v>
      </c>
      <c r="C3483" s="715" t="s">
        <v>121</v>
      </c>
      <c r="D3483" s="716">
        <v>10.97</v>
      </c>
    </row>
    <row r="3484" spans="1:4" ht="84">
      <c r="A3484" s="715">
        <v>102284</v>
      </c>
      <c r="B3484" s="633" t="s">
        <v>30170</v>
      </c>
      <c r="C3484" s="715" t="s">
        <v>121</v>
      </c>
      <c r="D3484" s="716">
        <v>14.35</v>
      </c>
    </row>
    <row r="3485" spans="1:4" ht="84">
      <c r="A3485" s="715">
        <v>102325</v>
      </c>
      <c r="B3485" s="633" t="s">
        <v>30211</v>
      </c>
      <c r="C3485" s="715" t="s">
        <v>121</v>
      </c>
      <c r="D3485" s="716">
        <v>18.16</v>
      </c>
    </row>
    <row r="3486" spans="1:4" ht="84">
      <c r="A3486" s="715">
        <v>102329</v>
      </c>
      <c r="B3486" s="633" t="s">
        <v>30215</v>
      </c>
      <c r="C3486" s="715" t="s">
        <v>121</v>
      </c>
      <c r="D3486" s="716">
        <v>11.44</v>
      </c>
    </row>
    <row r="3487" spans="1:4" ht="84">
      <c r="A3487" s="715">
        <v>102301</v>
      </c>
      <c r="B3487" s="633" t="s">
        <v>30187</v>
      </c>
      <c r="C3487" s="715" t="s">
        <v>121</v>
      </c>
      <c r="D3487" s="716">
        <v>19.010000000000002</v>
      </c>
    </row>
    <row r="3488" spans="1:4" ht="84">
      <c r="A3488" s="715">
        <v>102305</v>
      </c>
      <c r="B3488" s="633" t="s">
        <v>30191</v>
      </c>
      <c r="C3488" s="715" t="s">
        <v>121</v>
      </c>
      <c r="D3488" s="716">
        <v>11.97</v>
      </c>
    </row>
    <row r="3489" spans="1:4" ht="84">
      <c r="A3489" s="715">
        <v>90101</v>
      </c>
      <c r="B3489" s="633" t="s">
        <v>30155</v>
      </c>
      <c r="C3489" s="715" t="s">
        <v>121</v>
      </c>
      <c r="D3489" s="716">
        <v>15.87</v>
      </c>
    </row>
    <row r="3490" spans="1:4" ht="84">
      <c r="A3490" s="715">
        <v>102324</v>
      </c>
      <c r="B3490" s="633" t="s">
        <v>30210</v>
      </c>
      <c r="C3490" s="715" t="s">
        <v>121</v>
      </c>
      <c r="D3490" s="716">
        <v>19.84</v>
      </c>
    </row>
    <row r="3491" spans="1:4" ht="84">
      <c r="A3491" s="715">
        <v>102300</v>
      </c>
      <c r="B3491" s="633" t="s">
        <v>30186</v>
      </c>
      <c r="C3491" s="715" t="s">
        <v>121</v>
      </c>
      <c r="D3491" s="716">
        <v>20.76</v>
      </c>
    </row>
    <row r="3492" spans="1:4" ht="84">
      <c r="A3492" s="715">
        <v>90102</v>
      </c>
      <c r="B3492" s="633" t="s">
        <v>30156</v>
      </c>
      <c r="C3492" s="715" t="s">
        <v>121</v>
      </c>
      <c r="D3492" s="716">
        <v>14.52</v>
      </c>
    </row>
    <row r="3493" spans="1:4" ht="84">
      <c r="A3493" s="715">
        <v>102328</v>
      </c>
      <c r="B3493" s="633" t="s">
        <v>30214</v>
      </c>
      <c r="C3493" s="715" t="s">
        <v>121</v>
      </c>
      <c r="D3493" s="716">
        <v>12.5</v>
      </c>
    </row>
    <row r="3494" spans="1:4" ht="84">
      <c r="A3494" s="715">
        <v>102304</v>
      </c>
      <c r="B3494" s="633" t="s">
        <v>30190</v>
      </c>
      <c r="C3494" s="715" t="s">
        <v>121</v>
      </c>
      <c r="D3494" s="716">
        <v>13.09</v>
      </c>
    </row>
    <row r="3495" spans="1:4" ht="84">
      <c r="A3495" s="715">
        <v>102295</v>
      </c>
      <c r="B3495" s="633" t="s">
        <v>30181</v>
      </c>
      <c r="C3495" s="715" t="s">
        <v>121</v>
      </c>
      <c r="D3495" s="716">
        <v>8.6999999999999993</v>
      </c>
    </row>
    <row r="3496" spans="1:4" ht="84">
      <c r="A3496" s="715">
        <v>102281</v>
      </c>
      <c r="B3496" s="633" t="s">
        <v>30167</v>
      </c>
      <c r="C3496" s="715" t="s">
        <v>121</v>
      </c>
      <c r="D3496" s="716">
        <v>6.65</v>
      </c>
    </row>
    <row r="3497" spans="1:4" ht="84">
      <c r="A3497" s="715">
        <v>102311</v>
      </c>
      <c r="B3497" s="633" t="s">
        <v>30197</v>
      </c>
      <c r="C3497" s="715" t="s">
        <v>121</v>
      </c>
      <c r="D3497" s="716">
        <v>13.2</v>
      </c>
    </row>
    <row r="3498" spans="1:4" ht="84">
      <c r="A3498" s="715">
        <v>102319</v>
      </c>
      <c r="B3498" s="633" t="s">
        <v>30205</v>
      </c>
      <c r="C3498" s="715" t="s">
        <v>121</v>
      </c>
      <c r="D3498" s="716">
        <v>8.32</v>
      </c>
    </row>
    <row r="3499" spans="1:4" ht="84">
      <c r="A3499" s="715">
        <v>102287</v>
      </c>
      <c r="B3499" s="633" t="s">
        <v>30173</v>
      </c>
      <c r="C3499" s="715" t="s">
        <v>121</v>
      </c>
      <c r="D3499" s="716">
        <v>13.82</v>
      </c>
    </row>
    <row r="3500" spans="1:4" ht="84">
      <c r="A3500" s="715">
        <v>102316</v>
      </c>
      <c r="B3500" s="633" t="s">
        <v>30202</v>
      </c>
      <c r="C3500" s="715" t="s">
        <v>121</v>
      </c>
      <c r="D3500" s="716">
        <v>8.64</v>
      </c>
    </row>
    <row r="3501" spans="1:4" ht="84">
      <c r="A3501" s="715">
        <v>102292</v>
      </c>
      <c r="B3501" s="633" t="s">
        <v>30178</v>
      </c>
      <c r="C3501" s="715" t="s">
        <v>121</v>
      </c>
      <c r="D3501" s="716">
        <v>9.0399999999999991</v>
      </c>
    </row>
    <row r="3502" spans="1:4" ht="84">
      <c r="A3502" s="715">
        <v>90092</v>
      </c>
      <c r="B3502" s="633" t="s">
        <v>30149</v>
      </c>
      <c r="C3502" s="715" t="s">
        <v>121</v>
      </c>
      <c r="D3502" s="716">
        <v>6.91</v>
      </c>
    </row>
    <row r="3503" spans="1:4" ht="84">
      <c r="A3503" s="715">
        <v>102278</v>
      </c>
      <c r="B3503" s="633" t="s">
        <v>30164</v>
      </c>
      <c r="C3503" s="715" t="s">
        <v>121</v>
      </c>
      <c r="D3503" s="716">
        <v>10.56</v>
      </c>
    </row>
    <row r="3504" spans="1:4" ht="84">
      <c r="A3504" s="715">
        <v>90094</v>
      </c>
      <c r="B3504" s="633" t="s">
        <v>30150</v>
      </c>
      <c r="C3504" s="715" t="s">
        <v>121</v>
      </c>
      <c r="D3504" s="716">
        <v>6.53</v>
      </c>
    </row>
    <row r="3505" spans="1:4" ht="84">
      <c r="A3505" s="715">
        <v>102309</v>
      </c>
      <c r="B3505" s="633" t="s">
        <v>30195</v>
      </c>
      <c r="C3505" s="715" t="s">
        <v>121</v>
      </c>
      <c r="D3505" s="716">
        <v>12.97</v>
      </c>
    </row>
    <row r="3506" spans="1:4" ht="84">
      <c r="A3506" s="715">
        <v>102285</v>
      </c>
      <c r="B3506" s="633" t="s">
        <v>30171</v>
      </c>
      <c r="C3506" s="715" t="s">
        <v>121</v>
      </c>
      <c r="D3506" s="716">
        <v>13.58</v>
      </c>
    </row>
    <row r="3507" spans="1:4" ht="84">
      <c r="A3507" s="715">
        <v>90095</v>
      </c>
      <c r="B3507" s="633" t="s">
        <v>30151</v>
      </c>
      <c r="C3507" s="715" t="s">
        <v>121</v>
      </c>
      <c r="D3507" s="716">
        <v>6.4</v>
      </c>
    </row>
    <row r="3508" spans="1:4" ht="84">
      <c r="A3508" s="715">
        <v>102320</v>
      </c>
      <c r="B3508" s="633" t="s">
        <v>30206</v>
      </c>
      <c r="C3508" s="715" t="s">
        <v>121</v>
      </c>
      <c r="D3508" s="716">
        <v>7.99</v>
      </c>
    </row>
    <row r="3509" spans="1:4" ht="84">
      <c r="A3509" s="715">
        <v>102296</v>
      </c>
      <c r="B3509" s="633" t="s">
        <v>30182</v>
      </c>
      <c r="C3509" s="715" t="s">
        <v>121</v>
      </c>
      <c r="D3509" s="716">
        <v>8.3699999999999992</v>
      </c>
    </row>
    <row r="3510" spans="1:4" ht="84">
      <c r="A3510" s="715">
        <v>90086</v>
      </c>
      <c r="B3510" s="633" t="s">
        <v>30145</v>
      </c>
      <c r="C3510" s="715" t="s">
        <v>121</v>
      </c>
      <c r="D3510" s="716">
        <v>10.38</v>
      </c>
    </row>
    <row r="3511" spans="1:4" ht="84">
      <c r="A3511" s="715">
        <v>102277</v>
      </c>
      <c r="B3511" s="633" t="s">
        <v>30163</v>
      </c>
      <c r="C3511" s="715" t="s">
        <v>121</v>
      </c>
      <c r="D3511" s="716">
        <v>10.08</v>
      </c>
    </row>
    <row r="3512" spans="1:4" ht="84">
      <c r="A3512" s="715">
        <v>102286</v>
      </c>
      <c r="B3512" s="633" t="s">
        <v>30172</v>
      </c>
      <c r="C3512" s="715" t="s">
        <v>121</v>
      </c>
      <c r="D3512" s="716">
        <v>13.19</v>
      </c>
    </row>
    <row r="3513" spans="1:4" ht="84">
      <c r="A3513" s="715">
        <v>90098</v>
      </c>
      <c r="B3513" s="633" t="s">
        <v>30152</v>
      </c>
      <c r="C3513" s="715" t="s">
        <v>121</v>
      </c>
      <c r="D3513" s="716">
        <v>6.26</v>
      </c>
    </row>
    <row r="3514" spans="1:4" ht="84">
      <c r="A3514" s="715">
        <v>102313</v>
      </c>
      <c r="B3514" s="633" t="s">
        <v>30199</v>
      </c>
      <c r="C3514" s="715" t="s">
        <v>121</v>
      </c>
      <c r="D3514" s="716">
        <v>12.44</v>
      </c>
    </row>
    <row r="3515" spans="1:4" ht="84">
      <c r="A3515" s="715">
        <v>102321</v>
      </c>
      <c r="B3515" s="633" t="s">
        <v>30207</v>
      </c>
      <c r="C3515" s="715" t="s">
        <v>121</v>
      </c>
      <c r="D3515" s="716">
        <v>7.84</v>
      </c>
    </row>
    <row r="3516" spans="1:4" ht="84">
      <c r="A3516" s="715">
        <v>102289</v>
      </c>
      <c r="B3516" s="633" t="s">
        <v>30175</v>
      </c>
      <c r="C3516" s="715" t="s">
        <v>121</v>
      </c>
      <c r="D3516" s="716">
        <v>13.02</v>
      </c>
    </row>
    <row r="3517" spans="1:4" ht="84">
      <c r="A3517" s="715">
        <v>102297</v>
      </c>
      <c r="B3517" s="633" t="s">
        <v>30183</v>
      </c>
      <c r="C3517" s="715" t="s">
        <v>121</v>
      </c>
      <c r="D3517" s="716">
        <v>8.1999999999999993</v>
      </c>
    </row>
    <row r="3518" spans="1:4" ht="84">
      <c r="A3518" s="715">
        <v>102280</v>
      </c>
      <c r="B3518" s="633" t="s">
        <v>30166</v>
      </c>
      <c r="C3518" s="715" t="s">
        <v>121</v>
      </c>
      <c r="D3518" s="716">
        <v>6.34</v>
      </c>
    </row>
    <row r="3519" spans="1:4" ht="84">
      <c r="A3519" s="715">
        <v>102294</v>
      </c>
      <c r="B3519" s="633" t="s">
        <v>30180</v>
      </c>
      <c r="C3519" s="715" t="s">
        <v>121</v>
      </c>
      <c r="D3519" s="716">
        <v>8.31</v>
      </c>
    </row>
    <row r="3520" spans="1:4" ht="84">
      <c r="A3520" s="715">
        <v>90090</v>
      </c>
      <c r="B3520" s="633" t="s">
        <v>30147</v>
      </c>
      <c r="C3520" s="715" t="s">
        <v>121</v>
      </c>
      <c r="D3520" s="716">
        <v>9.9499999999999993</v>
      </c>
    </row>
    <row r="3521" spans="1:4" ht="84">
      <c r="A3521" s="715">
        <v>102317</v>
      </c>
      <c r="B3521" s="633" t="s">
        <v>30203</v>
      </c>
      <c r="C3521" s="715" t="s">
        <v>121</v>
      </c>
      <c r="D3521" s="716">
        <v>8.18</v>
      </c>
    </row>
    <row r="3522" spans="1:4" ht="84">
      <c r="A3522" s="715">
        <v>102293</v>
      </c>
      <c r="B3522" s="633" t="s">
        <v>30179</v>
      </c>
      <c r="C3522" s="715" t="s">
        <v>121</v>
      </c>
      <c r="D3522" s="716">
        <v>8.5500000000000007</v>
      </c>
    </row>
    <row r="3523" spans="1:4" ht="84">
      <c r="A3523" s="715">
        <v>102310</v>
      </c>
      <c r="B3523" s="633" t="s">
        <v>30196</v>
      </c>
      <c r="C3523" s="715" t="s">
        <v>121</v>
      </c>
      <c r="D3523" s="716">
        <v>12.61</v>
      </c>
    </row>
    <row r="3524" spans="1:4" ht="84">
      <c r="A3524" s="715">
        <v>102318</v>
      </c>
      <c r="B3524" s="633" t="s">
        <v>30204</v>
      </c>
      <c r="C3524" s="715" t="s">
        <v>121</v>
      </c>
      <c r="D3524" s="716">
        <v>7.94</v>
      </c>
    </row>
    <row r="3525" spans="1:4" ht="84">
      <c r="A3525" s="715">
        <v>90106</v>
      </c>
      <c r="B3525" s="633" t="s">
        <v>30158</v>
      </c>
      <c r="C3525" s="715" t="s">
        <v>121</v>
      </c>
      <c r="D3525" s="716">
        <v>10.11</v>
      </c>
    </row>
    <row r="3526" spans="1:4" ht="84">
      <c r="A3526" s="715">
        <v>90105</v>
      </c>
      <c r="B3526" s="633" t="s">
        <v>30157</v>
      </c>
      <c r="C3526" s="715" t="s">
        <v>121</v>
      </c>
      <c r="D3526" s="716">
        <v>11.13</v>
      </c>
    </row>
    <row r="3527" spans="1:4" ht="84">
      <c r="A3527" s="715">
        <v>90108</v>
      </c>
      <c r="B3527" s="633" t="s">
        <v>30160</v>
      </c>
      <c r="C3527" s="715" t="s">
        <v>121</v>
      </c>
      <c r="D3527" s="716">
        <v>9.15</v>
      </c>
    </row>
    <row r="3528" spans="1:4" ht="84">
      <c r="A3528" s="715">
        <v>90107</v>
      </c>
      <c r="B3528" s="633" t="s">
        <v>30159</v>
      </c>
      <c r="C3528" s="715" t="s">
        <v>121</v>
      </c>
      <c r="D3528" s="716">
        <v>10</v>
      </c>
    </row>
    <row r="3529" spans="1:4" ht="56">
      <c r="A3529" s="715">
        <v>102354</v>
      </c>
      <c r="B3529" s="633" t="s">
        <v>29381</v>
      </c>
      <c r="C3529" s="715" t="s">
        <v>121</v>
      </c>
      <c r="D3529" s="716">
        <v>191.44</v>
      </c>
    </row>
    <row r="3530" spans="1:4" ht="56">
      <c r="A3530" s="715">
        <v>102355</v>
      </c>
      <c r="B3530" s="633" t="s">
        <v>40339</v>
      </c>
      <c r="C3530" s="715" t="s">
        <v>121</v>
      </c>
      <c r="D3530" s="716">
        <v>226.67</v>
      </c>
    </row>
    <row r="3531" spans="1:4" ht="42">
      <c r="A3531" s="715">
        <v>102356</v>
      </c>
      <c r="B3531" s="633" t="s">
        <v>33608</v>
      </c>
      <c r="C3531" s="715" t="s">
        <v>121</v>
      </c>
      <c r="D3531" s="716">
        <v>0</v>
      </c>
    </row>
    <row r="3532" spans="1:4" ht="42">
      <c r="A3532" s="715">
        <v>102357</v>
      </c>
      <c r="B3532" s="633" t="s">
        <v>33609</v>
      </c>
      <c r="C3532" s="715" t="s">
        <v>121</v>
      </c>
      <c r="D3532" s="716">
        <v>0</v>
      </c>
    </row>
    <row r="3533" spans="1:4" ht="42">
      <c r="A3533" s="715">
        <v>102358</v>
      </c>
      <c r="B3533" s="633" t="s">
        <v>33610</v>
      </c>
      <c r="C3533" s="715" t="s">
        <v>121</v>
      </c>
      <c r="D3533" s="716">
        <v>0</v>
      </c>
    </row>
    <row r="3534" spans="1:4" ht="56">
      <c r="A3534" s="715">
        <v>102359</v>
      </c>
      <c r="B3534" s="633" t="s">
        <v>40340</v>
      </c>
      <c r="C3534" s="715" t="s">
        <v>121</v>
      </c>
      <c r="D3534" s="716">
        <v>0</v>
      </c>
    </row>
    <row r="3535" spans="1:4" ht="70">
      <c r="A3535" s="715">
        <v>102348</v>
      </c>
      <c r="B3535" s="633" t="s">
        <v>33611</v>
      </c>
      <c r="C3535" s="715" t="s">
        <v>121</v>
      </c>
      <c r="D3535" s="716">
        <v>0</v>
      </c>
    </row>
    <row r="3536" spans="1:4" ht="70">
      <c r="A3536" s="715">
        <v>102346</v>
      </c>
      <c r="B3536" s="633" t="s">
        <v>33612</v>
      </c>
      <c r="C3536" s="715" t="s">
        <v>121</v>
      </c>
      <c r="D3536" s="716">
        <v>0</v>
      </c>
    </row>
    <row r="3537" spans="1:4" ht="70">
      <c r="A3537" s="715">
        <v>102347</v>
      </c>
      <c r="B3537" s="633" t="s">
        <v>33613</v>
      </c>
      <c r="C3537" s="715" t="s">
        <v>121</v>
      </c>
      <c r="D3537" s="716">
        <v>0</v>
      </c>
    </row>
    <row r="3538" spans="1:4" ht="70">
      <c r="A3538" s="715">
        <v>102350</v>
      </c>
      <c r="B3538" s="633" t="s">
        <v>33614</v>
      </c>
      <c r="C3538" s="715" t="s">
        <v>121</v>
      </c>
      <c r="D3538" s="716">
        <v>0</v>
      </c>
    </row>
    <row r="3539" spans="1:4" ht="70">
      <c r="A3539" s="715">
        <v>102351</v>
      </c>
      <c r="B3539" s="633" t="s">
        <v>33615</v>
      </c>
      <c r="C3539" s="715" t="s">
        <v>121</v>
      </c>
      <c r="D3539" s="716">
        <v>0</v>
      </c>
    </row>
    <row r="3540" spans="1:4" ht="70">
      <c r="A3540" s="715">
        <v>102352</v>
      </c>
      <c r="B3540" s="633" t="s">
        <v>33616</v>
      </c>
      <c r="C3540" s="715" t="s">
        <v>121</v>
      </c>
      <c r="D3540" s="716">
        <v>0</v>
      </c>
    </row>
    <row r="3541" spans="1:4" ht="70">
      <c r="A3541" s="715">
        <v>102353</v>
      </c>
      <c r="B3541" s="633" t="s">
        <v>33617</v>
      </c>
      <c r="C3541" s="715" t="s">
        <v>121</v>
      </c>
      <c r="D3541" s="716">
        <v>0</v>
      </c>
    </row>
    <row r="3542" spans="1:4" ht="70">
      <c r="A3542" s="715">
        <v>102349</v>
      </c>
      <c r="B3542" s="633" t="s">
        <v>33618</v>
      </c>
      <c r="C3542" s="715" t="s">
        <v>121</v>
      </c>
      <c r="D3542" s="716">
        <v>0</v>
      </c>
    </row>
    <row r="3543" spans="1:4" ht="56">
      <c r="A3543" s="715">
        <v>102360</v>
      </c>
      <c r="B3543" s="633" t="s">
        <v>26919</v>
      </c>
      <c r="C3543" s="715" t="s">
        <v>121</v>
      </c>
      <c r="D3543" s="716">
        <v>29.02</v>
      </c>
    </row>
    <row r="3544" spans="1:4" ht="56">
      <c r="A3544" s="715">
        <v>102361</v>
      </c>
      <c r="B3544" s="633" t="s">
        <v>26920</v>
      </c>
      <c r="C3544" s="715" t="s">
        <v>121</v>
      </c>
      <c r="D3544" s="716">
        <v>45.68</v>
      </c>
    </row>
    <row r="3545" spans="1:4" ht="56">
      <c r="A3545" s="715">
        <v>101595</v>
      </c>
      <c r="B3545" s="633" t="s">
        <v>42476</v>
      </c>
      <c r="C3545" s="715" t="s">
        <v>509</v>
      </c>
      <c r="D3545" s="716">
        <v>0</v>
      </c>
    </row>
    <row r="3546" spans="1:4" ht="56">
      <c r="A3546" s="715">
        <v>101601</v>
      </c>
      <c r="B3546" s="633" t="s">
        <v>42477</v>
      </c>
      <c r="C3546" s="715" t="s">
        <v>509</v>
      </c>
      <c r="D3546" s="716">
        <v>28.28</v>
      </c>
    </row>
    <row r="3547" spans="1:4" ht="56">
      <c r="A3547" s="715">
        <v>101594</v>
      </c>
      <c r="B3547" s="633" t="s">
        <v>42478</v>
      </c>
      <c r="C3547" s="715" t="s">
        <v>509</v>
      </c>
      <c r="D3547" s="716">
        <v>0</v>
      </c>
    </row>
    <row r="3548" spans="1:4" ht="42">
      <c r="A3548" s="715">
        <v>101600</v>
      </c>
      <c r="B3548" s="633" t="s">
        <v>42479</v>
      </c>
      <c r="C3548" s="715" t="s">
        <v>509</v>
      </c>
      <c r="D3548" s="716">
        <v>19.95</v>
      </c>
    </row>
    <row r="3549" spans="1:4" ht="56">
      <c r="A3549" s="715">
        <v>101597</v>
      </c>
      <c r="B3549" s="633" t="s">
        <v>42480</v>
      </c>
      <c r="C3549" s="715" t="s">
        <v>509</v>
      </c>
      <c r="D3549" s="716">
        <v>0</v>
      </c>
    </row>
    <row r="3550" spans="1:4" ht="56">
      <c r="A3550" s="715">
        <v>101603</v>
      </c>
      <c r="B3550" s="633" t="s">
        <v>42481</v>
      </c>
      <c r="C3550" s="715" t="s">
        <v>509</v>
      </c>
      <c r="D3550" s="716">
        <v>23.59</v>
      </c>
    </row>
    <row r="3551" spans="1:4" ht="56">
      <c r="A3551" s="715">
        <v>101596</v>
      </c>
      <c r="B3551" s="633" t="s">
        <v>42482</v>
      </c>
      <c r="C3551" s="715" t="s">
        <v>509</v>
      </c>
      <c r="D3551" s="716">
        <v>0</v>
      </c>
    </row>
    <row r="3552" spans="1:4" ht="42">
      <c r="A3552" s="715">
        <v>101602</v>
      </c>
      <c r="B3552" s="633" t="s">
        <v>42483</v>
      </c>
      <c r="C3552" s="715" t="s">
        <v>509</v>
      </c>
      <c r="D3552" s="716">
        <v>15.27</v>
      </c>
    </row>
    <row r="3553" spans="1:4" ht="56">
      <c r="A3553" s="715">
        <v>101599</v>
      </c>
      <c r="B3553" s="633" t="s">
        <v>42484</v>
      </c>
      <c r="C3553" s="715" t="s">
        <v>509</v>
      </c>
      <c r="D3553" s="716">
        <v>0</v>
      </c>
    </row>
    <row r="3554" spans="1:4" ht="56">
      <c r="A3554" s="715">
        <v>101605</v>
      </c>
      <c r="B3554" s="633" t="s">
        <v>42485</v>
      </c>
      <c r="C3554" s="715" t="s">
        <v>509</v>
      </c>
      <c r="D3554" s="716">
        <v>18.95</v>
      </c>
    </row>
    <row r="3555" spans="1:4" ht="56">
      <c r="A3555" s="715">
        <v>101598</v>
      </c>
      <c r="B3555" s="633" t="s">
        <v>42486</v>
      </c>
      <c r="C3555" s="715" t="s">
        <v>509</v>
      </c>
      <c r="D3555" s="716">
        <v>0</v>
      </c>
    </row>
    <row r="3556" spans="1:4" ht="42">
      <c r="A3556" s="715">
        <v>101604</v>
      </c>
      <c r="B3556" s="633" t="s">
        <v>42487</v>
      </c>
      <c r="C3556" s="715" t="s">
        <v>509</v>
      </c>
      <c r="D3556" s="716">
        <v>10.62</v>
      </c>
    </row>
    <row r="3557" spans="1:4" ht="42">
      <c r="A3557" s="715">
        <v>101588</v>
      </c>
      <c r="B3557" s="633" t="s">
        <v>42488</v>
      </c>
      <c r="C3557" s="715" t="s">
        <v>509</v>
      </c>
      <c r="D3557" s="716">
        <v>128.05000000000001</v>
      </c>
    </row>
    <row r="3558" spans="1:4" ht="56">
      <c r="A3558" s="715">
        <v>101591</v>
      </c>
      <c r="B3558" s="633" t="s">
        <v>42489</v>
      </c>
      <c r="C3558" s="715" t="s">
        <v>509</v>
      </c>
      <c r="D3558" s="716">
        <v>150.82</v>
      </c>
    </row>
    <row r="3559" spans="1:4" ht="42">
      <c r="A3559" s="715">
        <v>101590</v>
      </c>
      <c r="B3559" s="633" t="s">
        <v>42490</v>
      </c>
      <c r="C3559" s="715" t="s">
        <v>509</v>
      </c>
      <c r="D3559" s="716">
        <v>99.79</v>
      </c>
    </row>
    <row r="3560" spans="1:4" ht="56">
      <c r="A3560" s="715">
        <v>101593</v>
      </c>
      <c r="B3560" s="633" t="s">
        <v>42491</v>
      </c>
      <c r="C3560" s="715" t="s">
        <v>509</v>
      </c>
      <c r="D3560" s="716">
        <v>125.19</v>
      </c>
    </row>
    <row r="3561" spans="1:4" ht="42">
      <c r="A3561" s="715">
        <v>101592</v>
      </c>
      <c r="B3561" s="633" t="s">
        <v>42492</v>
      </c>
      <c r="C3561" s="715" t="s">
        <v>509</v>
      </c>
      <c r="D3561" s="716">
        <v>73.930000000000007</v>
      </c>
    </row>
    <row r="3562" spans="1:4" ht="42">
      <c r="A3562" s="715">
        <v>101583</v>
      </c>
      <c r="B3562" s="633" t="s">
        <v>42493</v>
      </c>
      <c r="C3562" s="715" t="s">
        <v>509</v>
      </c>
      <c r="D3562" s="716">
        <v>106.51</v>
      </c>
    </row>
    <row r="3563" spans="1:4" ht="42">
      <c r="A3563" s="715">
        <v>101582</v>
      </c>
      <c r="B3563" s="633" t="s">
        <v>42494</v>
      </c>
      <c r="C3563" s="715" t="s">
        <v>509</v>
      </c>
      <c r="D3563" s="716">
        <v>86.84</v>
      </c>
    </row>
    <row r="3564" spans="1:4" ht="42">
      <c r="A3564" s="715">
        <v>101585</v>
      </c>
      <c r="B3564" s="633" t="s">
        <v>42495</v>
      </c>
      <c r="C3564" s="715" t="s">
        <v>509</v>
      </c>
      <c r="D3564" s="716">
        <v>91.63</v>
      </c>
    </row>
    <row r="3565" spans="1:4" ht="42">
      <c r="A3565" s="715">
        <v>101584</v>
      </c>
      <c r="B3565" s="633" t="s">
        <v>42496</v>
      </c>
      <c r="C3565" s="715" t="s">
        <v>509</v>
      </c>
      <c r="D3565" s="716">
        <v>71.959999999999994</v>
      </c>
    </row>
    <row r="3566" spans="1:4" ht="42">
      <c r="A3566" s="715">
        <v>101587</v>
      </c>
      <c r="B3566" s="633" t="s">
        <v>42497</v>
      </c>
      <c r="C3566" s="715" t="s">
        <v>509</v>
      </c>
      <c r="D3566" s="716">
        <v>82.28</v>
      </c>
    </row>
    <row r="3567" spans="1:4" ht="42">
      <c r="A3567" s="715">
        <v>101586</v>
      </c>
      <c r="B3567" s="633" t="s">
        <v>42498</v>
      </c>
      <c r="C3567" s="715" t="s">
        <v>509</v>
      </c>
      <c r="D3567" s="716">
        <v>62.39</v>
      </c>
    </row>
    <row r="3568" spans="1:4" ht="42">
      <c r="A3568" s="715">
        <v>101577</v>
      </c>
      <c r="B3568" s="633" t="s">
        <v>42499</v>
      </c>
      <c r="C3568" s="715" t="s">
        <v>509</v>
      </c>
      <c r="D3568" s="716">
        <v>65.66</v>
      </c>
    </row>
    <row r="3569" spans="1:4" ht="42">
      <c r="A3569" s="715">
        <v>101576</v>
      </c>
      <c r="B3569" s="633" t="s">
        <v>42500</v>
      </c>
      <c r="C3569" s="715" t="s">
        <v>509</v>
      </c>
      <c r="D3569" s="716">
        <v>53.01</v>
      </c>
    </row>
    <row r="3570" spans="1:4" ht="42">
      <c r="A3570" s="715">
        <v>101579</v>
      </c>
      <c r="B3570" s="633" t="s">
        <v>42501</v>
      </c>
      <c r="C3570" s="715" t="s">
        <v>509</v>
      </c>
      <c r="D3570" s="716">
        <v>56.82</v>
      </c>
    </row>
    <row r="3571" spans="1:4" ht="42">
      <c r="A3571" s="715">
        <v>101578</v>
      </c>
      <c r="B3571" s="633" t="s">
        <v>42502</v>
      </c>
      <c r="C3571" s="715" t="s">
        <v>509</v>
      </c>
      <c r="D3571" s="716">
        <v>44.16</v>
      </c>
    </row>
    <row r="3572" spans="1:4" ht="42">
      <c r="A3572" s="715">
        <v>101581</v>
      </c>
      <c r="B3572" s="633" t="s">
        <v>42503</v>
      </c>
      <c r="C3572" s="715" t="s">
        <v>509</v>
      </c>
      <c r="D3572" s="716">
        <v>52.05</v>
      </c>
    </row>
    <row r="3573" spans="1:4" ht="42">
      <c r="A3573" s="715">
        <v>101580</v>
      </c>
      <c r="B3573" s="633" t="s">
        <v>42504</v>
      </c>
      <c r="C3573" s="715" t="s">
        <v>509</v>
      </c>
      <c r="D3573" s="716">
        <v>39.18</v>
      </c>
    </row>
    <row r="3574" spans="1:4" ht="42">
      <c r="A3574" s="715">
        <v>101606</v>
      </c>
      <c r="B3574" s="633" t="s">
        <v>42505</v>
      </c>
      <c r="C3574" s="715" t="s">
        <v>509</v>
      </c>
      <c r="D3574" s="716">
        <v>0</v>
      </c>
    </row>
    <row r="3575" spans="1:4" ht="42">
      <c r="A3575" s="715">
        <v>101607</v>
      </c>
      <c r="B3575" s="633" t="s">
        <v>42506</v>
      </c>
      <c r="C3575" s="715" t="s">
        <v>509</v>
      </c>
      <c r="D3575" s="716">
        <v>0</v>
      </c>
    </row>
    <row r="3576" spans="1:4" ht="42">
      <c r="A3576" s="715">
        <v>101608</v>
      </c>
      <c r="B3576" s="633" t="s">
        <v>42507</v>
      </c>
      <c r="C3576" s="715" t="s">
        <v>509</v>
      </c>
      <c r="D3576" s="716">
        <v>0</v>
      </c>
    </row>
    <row r="3577" spans="1:4" ht="42">
      <c r="A3577" s="715">
        <v>101571</v>
      </c>
      <c r="B3577" s="633" t="s">
        <v>42508</v>
      </c>
      <c r="C3577" s="715" t="s">
        <v>509</v>
      </c>
      <c r="D3577" s="716">
        <v>39.18</v>
      </c>
    </row>
    <row r="3578" spans="1:4" ht="42">
      <c r="A3578" s="715">
        <v>101570</v>
      </c>
      <c r="B3578" s="633" t="s">
        <v>42509</v>
      </c>
      <c r="C3578" s="715" t="s">
        <v>509</v>
      </c>
      <c r="D3578" s="716">
        <v>29.62</v>
      </c>
    </row>
    <row r="3579" spans="1:4" ht="42">
      <c r="A3579" s="715">
        <v>101573</v>
      </c>
      <c r="B3579" s="633" t="s">
        <v>42510</v>
      </c>
      <c r="C3579" s="715" t="s">
        <v>509</v>
      </c>
      <c r="D3579" s="716">
        <v>33.22</v>
      </c>
    </row>
    <row r="3580" spans="1:4" ht="42">
      <c r="A3580" s="715">
        <v>101572</v>
      </c>
      <c r="B3580" s="633" t="s">
        <v>42511</v>
      </c>
      <c r="C3580" s="715" t="s">
        <v>509</v>
      </c>
      <c r="D3580" s="716">
        <v>23.66</v>
      </c>
    </row>
    <row r="3581" spans="1:4" ht="42">
      <c r="A3581" s="715">
        <v>101575</v>
      </c>
      <c r="B3581" s="633" t="s">
        <v>42512</v>
      </c>
      <c r="C3581" s="715" t="s">
        <v>509</v>
      </c>
      <c r="D3581" s="716">
        <v>28.36</v>
      </c>
    </row>
    <row r="3582" spans="1:4" ht="42">
      <c r="A3582" s="715">
        <v>101574</v>
      </c>
      <c r="B3582" s="633" t="s">
        <v>42513</v>
      </c>
      <c r="C3582" s="715" t="s">
        <v>509</v>
      </c>
      <c r="D3582" s="716">
        <v>18.59</v>
      </c>
    </row>
    <row r="3583" spans="1:4" ht="56">
      <c r="A3583" s="715">
        <v>101589</v>
      </c>
      <c r="B3583" s="633" t="s">
        <v>42514</v>
      </c>
      <c r="C3583" s="715" t="s">
        <v>509</v>
      </c>
      <c r="D3583" s="716">
        <v>179.07</v>
      </c>
    </row>
    <row r="3584" spans="1:4" ht="56">
      <c r="A3584" s="715">
        <v>106673</v>
      </c>
      <c r="B3584" s="633" t="s">
        <v>42515</v>
      </c>
      <c r="C3584" s="715" t="s">
        <v>509</v>
      </c>
      <c r="D3584" s="716">
        <v>8.0399999999999991</v>
      </c>
    </row>
    <row r="3585" spans="1:4" ht="56">
      <c r="A3585" s="715">
        <v>101617</v>
      </c>
      <c r="B3585" s="633" t="s">
        <v>42516</v>
      </c>
      <c r="C3585" s="715" t="s">
        <v>509</v>
      </c>
      <c r="D3585" s="716">
        <v>4.6399999999999997</v>
      </c>
    </row>
    <row r="3586" spans="1:4" ht="42">
      <c r="A3586" s="715">
        <v>101620</v>
      </c>
      <c r="B3586" s="633" t="s">
        <v>42517</v>
      </c>
      <c r="C3586" s="715" t="s">
        <v>121</v>
      </c>
      <c r="D3586" s="716">
        <v>233.5</v>
      </c>
    </row>
    <row r="3587" spans="1:4" ht="42">
      <c r="A3587" s="715">
        <v>101625</v>
      </c>
      <c r="B3587" s="633" t="s">
        <v>42518</v>
      </c>
      <c r="C3587" s="715" t="s">
        <v>121</v>
      </c>
      <c r="D3587" s="716">
        <v>209.61</v>
      </c>
    </row>
    <row r="3588" spans="1:4" ht="42">
      <c r="A3588" s="715">
        <v>101621</v>
      </c>
      <c r="B3588" s="633" t="s">
        <v>42519</v>
      </c>
      <c r="C3588" s="715" t="s">
        <v>121</v>
      </c>
      <c r="D3588" s="716">
        <v>264.77</v>
      </c>
    </row>
    <row r="3589" spans="1:4" ht="42">
      <c r="A3589" s="715">
        <v>101624</v>
      </c>
      <c r="B3589" s="633" t="s">
        <v>42520</v>
      </c>
      <c r="C3589" s="715" t="s">
        <v>121</v>
      </c>
      <c r="D3589" s="716">
        <v>236.76</v>
      </c>
    </row>
    <row r="3590" spans="1:4" ht="42">
      <c r="A3590" s="715">
        <v>106672</v>
      </c>
      <c r="B3590" s="633" t="s">
        <v>42521</v>
      </c>
      <c r="C3590" s="715" t="s">
        <v>509</v>
      </c>
      <c r="D3590" s="716">
        <v>13.62</v>
      </c>
    </row>
    <row r="3591" spans="1:4" ht="42">
      <c r="A3591" s="715">
        <v>101616</v>
      </c>
      <c r="B3591" s="633" t="s">
        <v>42522</v>
      </c>
      <c r="C3591" s="715" t="s">
        <v>509</v>
      </c>
      <c r="D3591" s="716">
        <v>10.23</v>
      </c>
    </row>
    <row r="3592" spans="1:4" ht="42">
      <c r="A3592" s="715">
        <v>101618</v>
      </c>
      <c r="B3592" s="633" t="s">
        <v>42523</v>
      </c>
      <c r="C3592" s="715" t="s">
        <v>121</v>
      </c>
      <c r="D3592" s="716">
        <v>267.33</v>
      </c>
    </row>
    <row r="3593" spans="1:4" ht="42">
      <c r="A3593" s="715">
        <v>101622</v>
      </c>
      <c r="B3593" s="633" t="s">
        <v>42524</v>
      </c>
      <c r="C3593" s="715" t="s">
        <v>121</v>
      </c>
      <c r="D3593" s="716">
        <v>276.48</v>
      </c>
    </row>
    <row r="3594" spans="1:4" ht="42">
      <c r="A3594" s="715">
        <v>101619</v>
      </c>
      <c r="B3594" s="633" t="s">
        <v>42525</v>
      </c>
      <c r="C3594" s="715" t="s">
        <v>121</v>
      </c>
      <c r="D3594" s="716">
        <v>298.62</v>
      </c>
    </row>
    <row r="3595" spans="1:4" ht="42">
      <c r="A3595" s="715">
        <v>101623</v>
      </c>
      <c r="B3595" s="633" t="s">
        <v>42526</v>
      </c>
      <c r="C3595" s="715" t="s">
        <v>121</v>
      </c>
      <c r="D3595" s="716">
        <v>309.01</v>
      </c>
    </row>
    <row r="3596" spans="1:4" ht="28">
      <c r="A3596" s="715">
        <v>104482</v>
      </c>
      <c r="B3596" s="633" t="s">
        <v>25029</v>
      </c>
      <c r="C3596" s="715" t="s">
        <v>11</v>
      </c>
      <c r="D3596" s="716">
        <v>46.55</v>
      </c>
    </row>
    <row r="3597" spans="1:4" ht="56">
      <c r="A3597" s="715">
        <v>104189</v>
      </c>
      <c r="B3597" s="633" t="s">
        <v>25032</v>
      </c>
      <c r="C3597" s="715" t="s">
        <v>121</v>
      </c>
      <c r="D3597" s="716">
        <v>156.25</v>
      </c>
    </row>
    <row r="3598" spans="1:4" ht="70">
      <c r="A3598" s="715">
        <v>104465</v>
      </c>
      <c r="B3598" s="633" t="s">
        <v>33619</v>
      </c>
      <c r="C3598" s="715" t="s">
        <v>165</v>
      </c>
      <c r="D3598" s="716">
        <v>0</v>
      </c>
    </row>
    <row r="3599" spans="1:4" ht="70">
      <c r="A3599" s="715">
        <v>104188</v>
      </c>
      <c r="B3599" s="633" t="s">
        <v>33620</v>
      </c>
      <c r="C3599" s="715" t="s">
        <v>165</v>
      </c>
      <c r="D3599" s="716">
        <v>0</v>
      </c>
    </row>
    <row r="3600" spans="1:4" ht="70">
      <c r="A3600" s="715">
        <v>104185</v>
      </c>
      <c r="B3600" s="633" t="s">
        <v>25031</v>
      </c>
      <c r="C3600" s="715" t="s">
        <v>103</v>
      </c>
      <c r="D3600" s="716">
        <v>39.28</v>
      </c>
    </row>
    <row r="3601" spans="1:4" ht="42">
      <c r="A3601" s="715">
        <v>104182</v>
      </c>
      <c r="B3601" s="633" t="s">
        <v>33621</v>
      </c>
      <c r="C3601" s="715" t="s">
        <v>165</v>
      </c>
      <c r="D3601" s="716">
        <v>0</v>
      </c>
    </row>
    <row r="3602" spans="1:4" ht="42">
      <c r="A3602" s="715">
        <v>104184</v>
      </c>
      <c r="B3602" s="633" t="s">
        <v>25030</v>
      </c>
      <c r="C3602" s="715" t="s">
        <v>103</v>
      </c>
      <c r="D3602" s="716">
        <v>43.94</v>
      </c>
    </row>
    <row r="3603" spans="1:4" ht="56">
      <c r="A3603" s="715">
        <v>104190</v>
      </c>
      <c r="B3603" s="633" t="s">
        <v>25033</v>
      </c>
      <c r="C3603" s="715" t="s">
        <v>103</v>
      </c>
      <c r="D3603" s="716">
        <v>1015.56</v>
      </c>
    </row>
    <row r="3604" spans="1:4" ht="70">
      <c r="A3604" s="715">
        <v>104463</v>
      </c>
      <c r="B3604" s="633" t="s">
        <v>33622</v>
      </c>
      <c r="C3604" s="715" t="s">
        <v>103</v>
      </c>
      <c r="D3604" s="716">
        <v>0</v>
      </c>
    </row>
    <row r="3605" spans="1:4" ht="70">
      <c r="A3605" s="715">
        <v>104464</v>
      </c>
      <c r="B3605" s="633" t="s">
        <v>33623</v>
      </c>
      <c r="C3605" s="715" t="s">
        <v>103</v>
      </c>
      <c r="D3605" s="716">
        <v>0</v>
      </c>
    </row>
    <row r="3606" spans="1:4" ht="56">
      <c r="A3606" s="715">
        <v>104183</v>
      </c>
      <c r="B3606" s="633" t="s">
        <v>33624</v>
      </c>
      <c r="C3606" s="715" t="s">
        <v>165</v>
      </c>
      <c r="D3606" s="716">
        <v>263.35000000000002</v>
      </c>
    </row>
    <row r="3607" spans="1:4" ht="70">
      <c r="A3607" s="715">
        <v>104187</v>
      </c>
      <c r="B3607" s="633" t="s">
        <v>30083</v>
      </c>
      <c r="C3607" s="715" t="s">
        <v>165</v>
      </c>
      <c r="D3607" s="716">
        <v>1576.51</v>
      </c>
    </row>
    <row r="3608" spans="1:4" ht="56">
      <c r="A3608" s="715">
        <v>104186</v>
      </c>
      <c r="B3608" s="633" t="s">
        <v>30082</v>
      </c>
      <c r="C3608" s="715" t="s">
        <v>165</v>
      </c>
      <c r="D3608" s="716">
        <v>302.48</v>
      </c>
    </row>
    <row r="3609" spans="1:4" ht="70">
      <c r="A3609" s="715">
        <v>104180</v>
      </c>
      <c r="B3609" s="633" t="s">
        <v>33625</v>
      </c>
      <c r="C3609" s="715" t="s">
        <v>165</v>
      </c>
      <c r="D3609" s="716">
        <v>0</v>
      </c>
    </row>
    <row r="3610" spans="1:4" ht="70">
      <c r="A3610" s="715">
        <v>104181</v>
      </c>
      <c r="B3610" s="633" t="s">
        <v>33626</v>
      </c>
      <c r="C3610" s="715" t="s">
        <v>165</v>
      </c>
      <c r="D3610" s="716">
        <v>0</v>
      </c>
    </row>
    <row r="3611" spans="1:4" ht="70">
      <c r="A3611" s="715">
        <v>100674</v>
      </c>
      <c r="B3611" s="633" t="s">
        <v>33627</v>
      </c>
      <c r="C3611" s="715" t="s">
        <v>509</v>
      </c>
      <c r="D3611" s="716">
        <v>801.31</v>
      </c>
    </row>
    <row r="3612" spans="1:4" ht="84">
      <c r="A3612" s="715">
        <v>100664</v>
      </c>
      <c r="B3612" s="633" t="s">
        <v>33628</v>
      </c>
      <c r="C3612" s="715" t="s">
        <v>509</v>
      </c>
      <c r="D3612" s="716">
        <v>0</v>
      </c>
    </row>
    <row r="3613" spans="1:4" ht="42">
      <c r="A3613" s="715">
        <v>94589</v>
      </c>
      <c r="B3613" s="633" t="s">
        <v>30097</v>
      </c>
      <c r="C3613" s="715" t="s">
        <v>165</v>
      </c>
      <c r="D3613" s="716">
        <v>24.51</v>
      </c>
    </row>
    <row r="3614" spans="1:4" ht="42">
      <c r="A3614" s="715">
        <v>94590</v>
      </c>
      <c r="B3614" s="633" t="s">
        <v>30098</v>
      </c>
      <c r="C3614" s="715" t="s">
        <v>165</v>
      </c>
      <c r="D3614" s="716">
        <v>32.22</v>
      </c>
    </row>
    <row r="3615" spans="1:4" ht="28">
      <c r="A3615" s="715">
        <v>94587</v>
      </c>
      <c r="B3615" s="633" t="s">
        <v>30095</v>
      </c>
      <c r="C3615" s="715" t="s">
        <v>165</v>
      </c>
      <c r="D3615" s="716">
        <v>73.459999999999994</v>
      </c>
    </row>
    <row r="3616" spans="1:4" ht="28">
      <c r="A3616" s="715">
        <v>94588</v>
      </c>
      <c r="B3616" s="633" t="s">
        <v>30096</v>
      </c>
      <c r="C3616" s="715" t="s">
        <v>165</v>
      </c>
      <c r="D3616" s="716">
        <v>86.82</v>
      </c>
    </row>
    <row r="3617" spans="1:8" ht="14">
      <c r="A3617" s="715">
        <v>105812</v>
      </c>
      <c r="B3617" s="633" t="s">
        <v>33629</v>
      </c>
      <c r="C3617" s="715" t="s">
        <v>165</v>
      </c>
      <c r="D3617" s="716">
        <v>32.799999999999997</v>
      </c>
    </row>
    <row r="3618" spans="1:8" ht="98">
      <c r="A3618" s="715">
        <v>94571</v>
      </c>
      <c r="B3618" s="633" t="s">
        <v>33630</v>
      </c>
      <c r="C3618" s="715" t="s">
        <v>509</v>
      </c>
      <c r="D3618" s="716">
        <v>0</v>
      </c>
      <c r="G3618" s="634">
        <v>7.0685834705770348E-2</v>
      </c>
      <c r="H3618" s="317">
        <v>5.9400000000000001E-2</v>
      </c>
    </row>
    <row r="3619" spans="1:8" ht="98">
      <c r="A3619" s="715">
        <v>94570</v>
      </c>
      <c r="B3619" s="633" t="s">
        <v>33631</v>
      </c>
      <c r="C3619" s="715" t="s">
        <v>509</v>
      </c>
      <c r="D3619" s="716">
        <v>367.98</v>
      </c>
      <c r="G3619" s="634">
        <v>0.19634954084936207</v>
      </c>
    </row>
    <row r="3620" spans="1:8" ht="98">
      <c r="A3620" s="715">
        <v>105811</v>
      </c>
      <c r="B3620" s="633" t="s">
        <v>33632</v>
      </c>
      <c r="C3620" s="715" t="s">
        <v>509</v>
      </c>
      <c r="D3620" s="716">
        <v>0</v>
      </c>
    </row>
    <row r="3621" spans="1:8" ht="98">
      <c r="A3621" s="715">
        <v>94572</v>
      </c>
      <c r="B3621" s="633" t="s">
        <v>33633</v>
      </c>
      <c r="C3621" s="715" t="s">
        <v>509</v>
      </c>
      <c r="D3621" s="716">
        <v>527.12</v>
      </c>
      <c r="G3621" s="317">
        <v>0.16500000000000001</v>
      </c>
    </row>
    <row r="3622" spans="1:8" ht="98">
      <c r="A3622" s="715">
        <v>94573</v>
      </c>
      <c r="B3622" s="633" t="s">
        <v>33634</v>
      </c>
      <c r="C3622" s="715" t="s">
        <v>509</v>
      </c>
      <c r="D3622" s="716">
        <v>409.83</v>
      </c>
    </row>
    <row r="3623" spans="1:8" ht="98">
      <c r="A3623" s="715">
        <v>105809</v>
      </c>
      <c r="B3623" s="633" t="s">
        <v>33635</v>
      </c>
      <c r="C3623" s="715" t="s">
        <v>509</v>
      </c>
      <c r="D3623" s="716">
        <v>0</v>
      </c>
    </row>
    <row r="3624" spans="1:8" ht="84">
      <c r="A3624" s="715">
        <v>94569</v>
      </c>
      <c r="B3624" s="633" t="s">
        <v>33636</v>
      </c>
      <c r="C3624" s="715" t="s">
        <v>509</v>
      </c>
      <c r="D3624" s="716">
        <v>699.73</v>
      </c>
    </row>
    <row r="3625" spans="1:8" ht="84">
      <c r="A3625" s="715">
        <v>105810</v>
      </c>
      <c r="B3625" s="633" t="s">
        <v>33637</v>
      </c>
      <c r="C3625" s="715" t="s">
        <v>509</v>
      </c>
      <c r="D3625" s="716">
        <v>0</v>
      </c>
    </row>
    <row r="3626" spans="1:8" ht="98">
      <c r="A3626" s="715">
        <v>94561</v>
      </c>
      <c r="B3626" s="633" t="s">
        <v>33638</v>
      </c>
      <c r="C3626" s="715" t="s">
        <v>509</v>
      </c>
      <c r="D3626" s="716">
        <v>0</v>
      </c>
    </row>
    <row r="3627" spans="1:8" ht="84">
      <c r="A3627" s="715">
        <v>94562</v>
      </c>
      <c r="B3627" s="633" t="s">
        <v>33639</v>
      </c>
      <c r="C3627" s="715" t="s">
        <v>509</v>
      </c>
      <c r="D3627" s="716">
        <v>548.01</v>
      </c>
    </row>
    <row r="3628" spans="1:8" ht="84">
      <c r="A3628" s="715">
        <v>105813</v>
      </c>
      <c r="B3628" s="633" t="s">
        <v>33640</v>
      </c>
      <c r="C3628" s="715" t="s">
        <v>509</v>
      </c>
      <c r="D3628" s="716">
        <v>972.13</v>
      </c>
    </row>
    <row r="3629" spans="1:8" ht="98">
      <c r="A3629" s="715">
        <v>94559</v>
      </c>
      <c r="B3629" s="633" t="s">
        <v>33641</v>
      </c>
      <c r="C3629" s="715" t="s">
        <v>509</v>
      </c>
      <c r="D3629" s="716">
        <v>703.69</v>
      </c>
    </row>
    <row r="3630" spans="1:8" ht="112">
      <c r="A3630" s="715">
        <v>100668</v>
      </c>
      <c r="B3630" s="633" t="s">
        <v>33642</v>
      </c>
      <c r="C3630" s="715" t="s">
        <v>509</v>
      </c>
      <c r="D3630" s="716">
        <v>1368.33</v>
      </c>
    </row>
    <row r="3631" spans="1:8" ht="126">
      <c r="A3631" s="715">
        <v>100670</v>
      </c>
      <c r="B3631" s="633" t="s">
        <v>41446</v>
      </c>
      <c r="C3631" s="715" t="s">
        <v>509</v>
      </c>
      <c r="D3631" s="716">
        <v>1006.18</v>
      </c>
    </row>
    <row r="3632" spans="1:8" ht="112">
      <c r="A3632" s="715">
        <v>100665</v>
      </c>
      <c r="B3632" s="633" t="s">
        <v>33643</v>
      </c>
      <c r="C3632" s="715" t="s">
        <v>509</v>
      </c>
      <c r="D3632" s="716">
        <v>849.23</v>
      </c>
    </row>
    <row r="3633" spans="1:4" ht="112">
      <c r="A3633" s="715">
        <v>100924</v>
      </c>
      <c r="B3633" s="633" t="s">
        <v>33644</v>
      </c>
      <c r="C3633" s="715" t="s">
        <v>509</v>
      </c>
      <c r="D3633" s="716">
        <v>0</v>
      </c>
    </row>
    <row r="3634" spans="1:4" ht="112">
      <c r="A3634" s="715">
        <v>100671</v>
      </c>
      <c r="B3634" s="633" t="s">
        <v>33645</v>
      </c>
      <c r="C3634" s="715" t="s">
        <v>509</v>
      </c>
      <c r="D3634" s="716">
        <v>1233.5899999999999</v>
      </c>
    </row>
    <row r="3635" spans="1:4" ht="112">
      <c r="A3635" s="715">
        <v>100667</v>
      </c>
      <c r="B3635" s="633" t="s">
        <v>33646</v>
      </c>
      <c r="C3635" s="715" t="s">
        <v>509</v>
      </c>
      <c r="D3635" s="716">
        <v>1073.0999999999999</v>
      </c>
    </row>
    <row r="3636" spans="1:4" ht="112">
      <c r="A3636" s="715">
        <v>100669</v>
      </c>
      <c r="B3636" s="633" t="s">
        <v>33647</v>
      </c>
      <c r="C3636" s="715" t="s">
        <v>509</v>
      </c>
      <c r="D3636" s="716">
        <v>1027.7</v>
      </c>
    </row>
    <row r="3637" spans="1:4" ht="126">
      <c r="A3637" s="715">
        <v>100672</v>
      </c>
      <c r="B3637" s="633" t="s">
        <v>33648</v>
      </c>
      <c r="C3637" s="715" t="s">
        <v>509</v>
      </c>
      <c r="D3637" s="716">
        <v>818.4</v>
      </c>
    </row>
    <row r="3638" spans="1:4" ht="112">
      <c r="A3638" s="715">
        <v>100666</v>
      </c>
      <c r="B3638" s="633" t="s">
        <v>33649</v>
      </c>
      <c r="C3638" s="715" t="s">
        <v>509</v>
      </c>
      <c r="D3638" s="716">
        <v>690.88</v>
      </c>
    </row>
    <row r="3639" spans="1:4" ht="98">
      <c r="A3639" s="715">
        <v>100663</v>
      </c>
      <c r="B3639" s="633" t="s">
        <v>33650</v>
      </c>
      <c r="C3639" s="715" t="s">
        <v>509</v>
      </c>
      <c r="D3639" s="716">
        <v>0</v>
      </c>
    </row>
    <row r="3640" spans="1:4" ht="98">
      <c r="A3640" s="715">
        <v>100662</v>
      </c>
      <c r="B3640" s="633" t="s">
        <v>33651</v>
      </c>
      <c r="C3640" s="715" t="s">
        <v>509</v>
      </c>
      <c r="D3640" s="716">
        <v>0</v>
      </c>
    </row>
    <row r="3641" spans="1:4" ht="84">
      <c r="A3641" s="715">
        <v>100661</v>
      </c>
      <c r="B3641" s="633" t="s">
        <v>33652</v>
      </c>
      <c r="C3641" s="715" t="s">
        <v>509</v>
      </c>
      <c r="D3641" s="716">
        <v>0</v>
      </c>
    </row>
    <row r="3642" spans="1:4" ht="28">
      <c r="A3642" s="715">
        <v>105925</v>
      </c>
      <c r="B3642" s="633" t="s">
        <v>42527</v>
      </c>
      <c r="C3642" s="715" t="s">
        <v>165</v>
      </c>
      <c r="D3642" s="716">
        <v>3.16</v>
      </c>
    </row>
    <row r="3643" spans="1:4" ht="42">
      <c r="A3643" s="715">
        <v>100659</v>
      </c>
      <c r="B3643" s="633" t="s">
        <v>42528</v>
      </c>
      <c r="C3643" s="715" t="s">
        <v>165</v>
      </c>
      <c r="D3643" s="716">
        <v>14.99</v>
      </c>
    </row>
    <row r="3644" spans="1:4" ht="42">
      <c r="A3644" s="715">
        <v>100660</v>
      </c>
      <c r="B3644" s="633" t="s">
        <v>42529</v>
      </c>
      <c r="C3644" s="715" t="s">
        <v>165</v>
      </c>
      <c r="D3644" s="716">
        <v>10.210000000000001</v>
      </c>
    </row>
    <row r="3645" spans="1:4" ht="56">
      <c r="A3645" s="715">
        <v>100711</v>
      </c>
      <c r="B3645" s="633" t="s">
        <v>42530</v>
      </c>
      <c r="C3645" s="715" t="s">
        <v>165</v>
      </c>
      <c r="D3645" s="716">
        <v>0</v>
      </c>
    </row>
    <row r="3646" spans="1:4" ht="28">
      <c r="A3646" s="715">
        <v>100676</v>
      </c>
      <c r="B3646" s="633" t="s">
        <v>42531</v>
      </c>
      <c r="C3646" s="715" t="s">
        <v>103</v>
      </c>
      <c r="D3646" s="716">
        <v>284.51</v>
      </c>
    </row>
    <row r="3647" spans="1:4" ht="42">
      <c r="A3647" s="715">
        <v>90806</v>
      </c>
      <c r="B3647" s="633" t="s">
        <v>42532</v>
      </c>
      <c r="C3647" s="715" t="s">
        <v>103</v>
      </c>
      <c r="D3647" s="716">
        <v>584.11</v>
      </c>
    </row>
    <row r="3648" spans="1:4" ht="42">
      <c r="A3648" s="715">
        <v>91292</v>
      </c>
      <c r="B3648" s="633" t="s">
        <v>42533</v>
      </c>
      <c r="C3648" s="715" t="s">
        <v>103</v>
      </c>
      <c r="D3648" s="716">
        <v>477.52</v>
      </c>
    </row>
    <row r="3649" spans="1:4" ht="28">
      <c r="A3649" s="715">
        <v>90801</v>
      </c>
      <c r="B3649" s="633" t="s">
        <v>42534</v>
      </c>
      <c r="C3649" s="715" t="s">
        <v>103</v>
      </c>
      <c r="D3649" s="716">
        <v>453.69</v>
      </c>
    </row>
    <row r="3650" spans="1:4" ht="28">
      <c r="A3650" s="715">
        <v>91287</v>
      </c>
      <c r="B3650" s="633" t="s">
        <v>42535</v>
      </c>
      <c r="C3650" s="715" t="s">
        <v>103</v>
      </c>
      <c r="D3650" s="716">
        <v>347.1</v>
      </c>
    </row>
    <row r="3651" spans="1:4" ht="28">
      <c r="A3651" s="715">
        <v>100706</v>
      </c>
      <c r="B3651" s="633" t="s">
        <v>42536</v>
      </c>
      <c r="C3651" s="715" t="s">
        <v>103</v>
      </c>
      <c r="D3651" s="716">
        <v>103.16</v>
      </c>
    </row>
    <row r="3652" spans="1:4" ht="42">
      <c r="A3652" s="715">
        <v>100709</v>
      </c>
      <c r="B3652" s="633" t="s">
        <v>42537</v>
      </c>
      <c r="C3652" s="715" t="s">
        <v>103</v>
      </c>
      <c r="D3652" s="716">
        <v>75.319999999999993</v>
      </c>
    </row>
    <row r="3653" spans="1:4" ht="28">
      <c r="A3653" s="715">
        <v>100710</v>
      </c>
      <c r="B3653" s="633" t="s">
        <v>42538</v>
      </c>
      <c r="C3653" s="715" t="s">
        <v>103</v>
      </c>
      <c r="D3653" s="716">
        <v>167.22</v>
      </c>
    </row>
    <row r="3654" spans="1:4" ht="56">
      <c r="A3654" s="715">
        <v>90830</v>
      </c>
      <c r="B3654" s="633" t="s">
        <v>42539</v>
      </c>
      <c r="C3654" s="715" t="s">
        <v>103</v>
      </c>
      <c r="D3654" s="716">
        <v>223.2</v>
      </c>
    </row>
    <row r="3655" spans="1:4" ht="56">
      <c r="A3655" s="715">
        <v>91304</v>
      </c>
      <c r="B3655" s="633" t="s">
        <v>42540</v>
      </c>
      <c r="C3655" s="715" t="s">
        <v>103</v>
      </c>
      <c r="D3655" s="716">
        <v>144.43</v>
      </c>
    </row>
    <row r="3656" spans="1:4" ht="56">
      <c r="A3656" s="715">
        <v>90831</v>
      </c>
      <c r="B3656" s="633" t="s">
        <v>42541</v>
      </c>
      <c r="C3656" s="715" t="s">
        <v>103</v>
      </c>
      <c r="D3656" s="716">
        <v>193.28</v>
      </c>
    </row>
    <row r="3657" spans="1:4" ht="56">
      <c r="A3657" s="715">
        <v>91305</v>
      </c>
      <c r="B3657" s="633" t="s">
        <v>42542</v>
      </c>
      <c r="C3657" s="715" t="s">
        <v>103</v>
      </c>
      <c r="D3657" s="716">
        <v>139.09</v>
      </c>
    </row>
    <row r="3658" spans="1:4" ht="56">
      <c r="A3658" s="715">
        <v>91306</v>
      </c>
      <c r="B3658" s="633" t="s">
        <v>42543</v>
      </c>
      <c r="C3658" s="715" t="s">
        <v>103</v>
      </c>
      <c r="D3658" s="716">
        <v>193.28</v>
      </c>
    </row>
    <row r="3659" spans="1:4" ht="56">
      <c r="A3659" s="715">
        <v>91307</v>
      </c>
      <c r="B3659" s="633" t="s">
        <v>42544</v>
      </c>
      <c r="C3659" s="715" t="s">
        <v>103</v>
      </c>
      <c r="D3659" s="716">
        <v>120.81</v>
      </c>
    </row>
    <row r="3660" spans="1:4" ht="14">
      <c r="A3660" s="715">
        <v>100707</v>
      </c>
      <c r="B3660" s="633" t="s">
        <v>42545</v>
      </c>
      <c r="C3660" s="715" t="s">
        <v>103</v>
      </c>
      <c r="D3660" s="716">
        <v>175.91</v>
      </c>
    </row>
    <row r="3661" spans="1:4" ht="14">
      <c r="A3661" s="715">
        <v>100708</v>
      </c>
      <c r="B3661" s="633" t="s">
        <v>42546</v>
      </c>
      <c r="C3661" s="715" t="s">
        <v>103</v>
      </c>
      <c r="D3661" s="716">
        <v>215.76</v>
      </c>
    </row>
    <row r="3662" spans="1:4" ht="70">
      <c r="A3662" s="715">
        <v>91328</v>
      </c>
      <c r="B3662" s="633" t="s">
        <v>42547</v>
      </c>
      <c r="C3662" s="715" t="s">
        <v>103</v>
      </c>
      <c r="D3662" s="716">
        <v>1146.6500000000001</v>
      </c>
    </row>
    <row r="3663" spans="1:4" ht="84">
      <c r="A3663" s="715">
        <v>100687</v>
      </c>
      <c r="B3663" s="633" t="s">
        <v>42548</v>
      </c>
      <c r="C3663" s="715" t="s">
        <v>103</v>
      </c>
      <c r="D3663" s="716">
        <v>1339.93</v>
      </c>
    </row>
    <row r="3664" spans="1:4" ht="84">
      <c r="A3664" s="715">
        <v>100681</v>
      </c>
      <c r="B3664" s="633" t="s">
        <v>42549</v>
      </c>
      <c r="C3664" s="715" t="s">
        <v>103</v>
      </c>
      <c r="D3664" s="716">
        <v>1372.93</v>
      </c>
    </row>
    <row r="3665" spans="1:4" ht="70">
      <c r="A3665" s="715">
        <v>91330</v>
      </c>
      <c r="B3665" s="633" t="s">
        <v>42550</v>
      </c>
      <c r="C3665" s="715" t="s">
        <v>103</v>
      </c>
      <c r="D3665" s="716">
        <v>1179.6500000000001</v>
      </c>
    </row>
    <row r="3666" spans="1:4" ht="84">
      <c r="A3666" s="715">
        <v>100689</v>
      </c>
      <c r="B3666" s="633" t="s">
        <v>42551</v>
      </c>
      <c r="C3666" s="715" t="s">
        <v>103</v>
      </c>
      <c r="D3666" s="716">
        <v>1449.16</v>
      </c>
    </row>
    <row r="3667" spans="1:4" ht="70">
      <c r="A3667" s="715">
        <v>91332</v>
      </c>
      <c r="B3667" s="633" t="s">
        <v>42552</v>
      </c>
      <c r="C3667" s="715" t="s">
        <v>103</v>
      </c>
      <c r="D3667" s="716">
        <v>1225.96</v>
      </c>
    </row>
    <row r="3668" spans="1:4" ht="84">
      <c r="A3668" s="715">
        <v>100688</v>
      </c>
      <c r="B3668" s="633" t="s">
        <v>42553</v>
      </c>
      <c r="C3668" s="715" t="s">
        <v>103</v>
      </c>
      <c r="D3668" s="716">
        <v>1133.26</v>
      </c>
    </row>
    <row r="3669" spans="1:4" ht="70">
      <c r="A3669" s="715">
        <v>91329</v>
      </c>
      <c r="B3669" s="633" t="s">
        <v>42554</v>
      </c>
      <c r="C3669" s="715" t="s">
        <v>103</v>
      </c>
      <c r="D3669" s="716">
        <v>994.17</v>
      </c>
    </row>
    <row r="3670" spans="1:4" ht="84">
      <c r="A3670" s="715">
        <v>100682</v>
      </c>
      <c r="B3670" s="633" t="s">
        <v>42555</v>
      </c>
      <c r="C3670" s="715" t="s">
        <v>103</v>
      </c>
      <c r="D3670" s="716">
        <v>1147.02</v>
      </c>
    </row>
    <row r="3671" spans="1:4" ht="70">
      <c r="A3671" s="715">
        <v>91331</v>
      </c>
      <c r="B3671" s="633" t="s">
        <v>42556</v>
      </c>
      <c r="C3671" s="715" t="s">
        <v>103</v>
      </c>
      <c r="D3671" s="716">
        <v>1026.21</v>
      </c>
    </row>
    <row r="3672" spans="1:4" ht="84">
      <c r="A3672" s="715">
        <v>100690</v>
      </c>
      <c r="B3672" s="633" t="s">
        <v>42557</v>
      </c>
      <c r="C3672" s="715" t="s">
        <v>103</v>
      </c>
      <c r="D3672" s="716">
        <v>1216</v>
      </c>
    </row>
    <row r="3673" spans="1:4" ht="70">
      <c r="A3673" s="715">
        <v>91333</v>
      </c>
      <c r="B3673" s="633" t="s">
        <v>42558</v>
      </c>
      <c r="C3673" s="715" t="s">
        <v>103</v>
      </c>
      <c r="D3673" s="716">
        <v>1071.57</v>
      </c>
    </row>
    <row r="3674" spans="1:4" ht="84">
      <c r="A3674" s="715">
        <v>90845</v>
      </c>
      <c r="B3674" s="633" t="s">
        <v>42559</v>
      </c>
      <c r="C3674" s="715" t="s">
        <v>103</v>
      </c>
      <c r="D3674" s="716">
        <v>1694.49</v>
      </c>
    </row>
    <row r="3675" spans="1:4" ht="84">
      <c r="A3675" s="715">
        <v>90846</v>
      </c>
      <c r="B3675" s="633" t="s">
        <v>42560</v>
      </c>
      <c r="C3675" s="715" t="s">
        <v>103</v>
      </c>
      <c r="D3675" s="716">
        <v>1777.82</v>
      </c>
    </row>
    <row r="3676" spans="1:4" ht="84">
      <c r="A3676" s="715">
        <v>91316</v>
      </c>
      <c r="B3676" s="633" t="s">
        <v>42561</v>
      </c>
      <c r="C3676" s="715" t="s">
        <v>103</v>
      </c>
      <c r="D3676" s="716">
        <v>1461.33</v>
      </c>
    </row>
    <row r="3677" spans="1:4" ht="84">
      <c r="A3677" s="715">
        <v>91317</v>
      </c>
      <c r="B3677" s="633" t="s">
        <v>42562</v>
      </c>
      <c r="C3677" s="715" t="s">
        <v>103</v>
      </c>
      <c r="D3677" s="716">
        <v>1543.71</v>
      </c>
    </row>
    <row r="3678" spans="1:4" ht="84">
      <c r="A3678" s="715">
        <v>90841</v>
      </c>
      <c r="B3678" s="633" t="s">
        <v>42563</v>
      </c>
      <c r="C3678" s="715" t="s">
        <v>103</v>
      </c>
      <c r="D3678" s="716">
        <v>1317.11</v>
      </c>
    </row>
    <row r="3679" spans="1:4" ht="84">
      <c r="A3679" s="715">
        <v>90847</v>
      </c>
      <c r="B3679" s="633" t="s">
        <v>42564</v>
      </c>
      <c r="C3679" s="715" t="s">
        <v>103</v>
      </c>
      <c r="D3679" s="716">
        <v>1123.83</v>
      </c>
    </row>
    <row r="3680" spans="1:4" ht="84">
      <c r="A3680" s="715">
        <v>90842</v>
      </c>
      <c r="B3680" s="633" t="s">
        <v>42565</v>
      </c>
      <c r="C3680" s="715" t="s">
        <v>103</v>
      </c>
      <c r="D3680" s="716">
        <v>1330.53</v>
      </c>
    </row>
    <row r="3681" spans="1:4" ht="84">
      <c r="A3681" s="715">
        <v>90848</v>
      </c>
      <c r="B3681" s="633" t="s">
        <v>42566</v>
      </c>
      <c r="C3681" s="715" t="s">
        <v>103</v>
      </c>
      <c r="D3681" s="716">
        <v>1137.25</v>
      </c>
    </row>
    <row r="3682" spans="1:4" ht="84">
      <c r="A3682" s="715">
        <v>90843</v>
      </c>
      <c r="B3682" s="633" t="s">
        <v>42567</v>
      </c>
      <c r="C3682" s="715" t="s">
        <v>103</v>
      </c>
      <c r="D3682" s="716">
        <v>1392.45</v>
      </c>
    </row>
    <row r="3683" spans="1:4" ht="84">
      <c r="A3683" s="715">
        <v>90849</v>
      </c>
      <c r="B3683" s="633" t="s">
        <v>42568</v>
      </c>
      <c r="C3683" s="715" t="s">
        <v>103</v>
      </c>
      <c r="D3683" s="716">
        <v>1169.25</v>
      </c>
    </row>
    <row r="3684" spans="1:4" ht="84">
      <c r="A3684" s="715">
        <v>90844</v>
      </c>
      <c r="B3684" s="633" t="s">
        <v>42569</v>
      </c>
      <c r="C3684" s="715" t="s">
        <v>103</v>
      </c>
      <c r="D3684" s="716">
        <v>1485.53</v>
      </c>
    </row>
    <row r="3685" spans="1:4" ht="84">
      <c r="A3685" s="715">
        <v>90850</v>
      </c>
      <c r="B3685" s="633" t="s">
        <v>42570</v>
      </c>
      <c r="C3685" s="715" t="s">
        <v>103</v>
      </c>
      <c r="D3685" s="716">
        <v>1262.33</v>
      </c>
    </row>
    <row r="3686" spans="1:4" ht="84">
      <c r="A3686" s="715">
        <v>91312</v>
      </c>
      <c r="B3686" s="633" t="s">
        <v>42571</v>
      </c>
      <c r="C3686" s="715" t="s">
        <v>103</v>
      </c>
      <c r="D3686" s="716">
        <v>1110.44</v>
      </c>
    </row>
    <row r="3687" spans="1:4" ht="84">
      <c r="A3687" s="715">
        <v>91318</v>
      </c>
      <c r="B3687" s="633" t="s">
        <v>42572</v>
      </c>
      <c r="C3687" s="715" t="s">
        <v>103</v>
      </c>
      <c r="D3687" s="716">
        <v>971.35</v>
      </c>
    </row>
    <row r="3688" spans="1:4" ht="84">
      <c r="A3688" s="715">
        <v>91313</v>
      </c>
      <c r="B3688" s="633" t="s">
        <v>42573</v>
      </c>
      <c r="C3688" s="715" t="s">
        <v>103</v>
      </c>
      <c r="D3688" s="716">
        <v>1104.6199999999999</v>
      </c>
    </row>
    <row r="3689" spans="1:4" ht="84">
      <c r="A3689" s="715">
        <v>91319</v>
      </c>
      <c r="B3689" s="633" t="s">
        <v>42574</v>
      </c>
      <c r="C3689" s="715" t="s">
        <v>103</v>
      </c>
      <c r="D3689" s="716">
        <v>983.81</v>
      </c>
    </row>
    <row r="3690" spans="1:4" ht="84">
      <c r="A3690" s="715">
        <v>91314</v>
      </c>
      <c r="B3690" s="633" t="s">
        <v>42575</v>
      </c>
      <c r="C3690" s="715" t="s">
        <v>103</v>
      </c>
      <c r="D3690" s="716">
        <v>1159.29</v>
      </c>
    </row>
    <row r="3691" spans="1:4" ht="84">
      <c r="A3691" s="715">
        <v>91320</v>
      </c>
      <c r="B3691" s="633" t="s">
        <v>42576</v>
      </c>
      <c r="C3691" s="715" t="s">
        <v>103</v>
      </c>
      <c r="D3691" s="716">
        <v>1014.86</v>
      </c>
    </row>
    <row r="3692" spans="1:4" ht="84">
      <c r="A3692" s="715">
        <v>91315</v>
      </c>
      <c r="B3692" s="633" t="s">
        <v>42577</v>
      </c>
      <c r="C3692" s="715" t="s">
        <v>103</v>
      </c>
      <c r="D3692" s="716">
        <v>1251.42</v>
      </c>
    </row>
    <row r="3693" spans="1:4" ht="84">
      <c r="A3693" s="715">
        <v>91321</v>
      </c>
      <c r="B3693" s="633" t="s">
        <v>42578</v>
      </c>
      <c r="C3693" s="715" t="s">
        <v>103</v>
      </c>
      <c r="D3693" s="716">
        <v>1106.99</v>
      </c>
    </row>
    <row r="3694" spans="1:4" ht="84">
      <c r="A3694" s="715">
        <v>90851</v>
      </c>
      <c r="B3694" s="633" t="s">
        <v>42579</v>
      </c>
      <c r="C3694" s="715" t="s">
        <v>103</v>
      </c>
      <c r="D3694" s="716">
        <v>1471.29</v>
      </c>
    </row>
    <row r="3695" spans="1:4" ht="84">
      <c r="A3695" s="715">
        <v>90852</v>
      </c>
      <c r="B3695" s="633" t="s">
        <v>42580</v>
      </c>
      <c r="C3695" s="715" t="s">
        <v>103</v>
      </c>
      <c r="D3695" s="716">
        <v>1554.62</v>
      </c>
    </row>
    <row r="3696" spans="1:4" ht="84">
      <c r="A3696" s="715">
        <v>91322</v>
      </c>
      <c r="B3696" s="633" t="s">
        <v>42581</v>
      </c>
      <c r="C3696" s="715" t="s">
        <v>103</v>
      </c>
      <c r="D3696" s="716">
        <v>1316.9</v>
      </c>
    </row>
    <row r="3697" spans="1:4" ht="84">
      <c r="A3697" s="715">
        <v>91323</v>
      </c>
      <c r="B3697" s="633" t="s">
        <v>42582</v>
      </c>
      <c r="C3697" s="715" t="s">
        <v>103</v>
      </c>
      <c r="D3697" s="716">
        <v>1399.28</v>
      </c>
    </row>
    <row r="3698" spans="1:4" ht="84">
      <c r="A3698" s="715">
        <v>100678</v>
      </c>
      <c r="B3698" s="633" t="s">
        <v>42583</v>
      </c>
      <c r="C3698" s="715" t="s">
        <v>103</v>
      </c>
      <c r="D3698" s="716">
        <v>1329.34</v>
      </c>
    </row>
    <row r="3699" spans="1:4" ht="84">
      <c r="A3699" s="715">
        <v>91013</v>
      </c>
      <c r="B3699" s="633" t="s">
        <v>42584</v>
      </c>
      <c r="C3699" s="715" t="s">
        <v>103</v>
      </c>
      <c r="D3699" s="716">
        <v>1136.06</v>
      </c>
    </row>
    <row r="3700" spans="1:4" ht="84">
      <c r="A3700" s="715">
        <v>100680</v>
      </c>
      <c r="B3700" s="633" t="s">
        <v>42585</v>
      </c>
      <c r="C3700" s="715" t="s">
        <v>103</v>
      </c>
      <c r="D3700" s="716">
        <v>1343.34</v>
      </c>
    </row>
    <row r="3701" spans="1:4" ht="84">
      <c r="A3701" s="715">
        <v>91014</v>
      </c>
      <c r="B3701" s="633" t="s">
        <v>42586</v>
      </c>
      <c r="C3701" s="715" t="s">
        <v>103</v>
      </c>
      <c r="D3701" s="716">
        <v>1150.06</v>
      </c>
    </row>
    <row r="3702" spans="1:4" ht="84">
      <c r="A3702" s="715">
        <v>100683</v>
      </c>
      <c r="B3702" s="633" t="s">
        <v>42587</v>
      </c>
      <c r="C3702" s="715" t="s">
        <v>103</v>
      </c>
      <c r="D3702" s="716">
        <v>1442.1</v>
      </c>
    </row>
    <row r="3703" spans="1:4" ht="84">
      <c r="A3703" s="715">
        <v>91015</v>
      </c>
      <c r="B3703" s="633" t="s">
        <v>42588</v>
      </c>
      <c r="C3703" s="715" t="s">
        <v>103</v>
      </c>
      <c r="D3703" s="716">
        <v>1218.9000000000001</v>
      </c>
    </row>
    <row r="3704" spans="1:4" ht="84">
      <c r="A3704" s="715">
        <v>100685</v>
      </c>
      <c r="B3704" s="633" t="s">
        <v>42589</v>
      </c>
      <c r="C3704" s="715" t="s">
        <v>103</v>
      </c>
      <c r="D3704" s="716">
        <v>1496.37</v>
      </c>
    </row>
    <row r="3705" spans="1:4" ht="84">
      <c r="A3705" s="715">
        <v>91016</v>
      </c>
      <c r="B3705" s="633" t="s">
        <v>42590</v>
      </c>
      <c r="C3705" s="715" t="s">
        <v>103</v>
      </c>
      <c r="D3705" s="716">
        <v>1273.17</v>
      </c>
    </row>
    <row r="3706" spans="1:4" ht="84">
      <c r="A3706" s="715">
        <v>100679</v>
      </c>
      <c r="B3706" s="633" t="s">
        <v>42591</v>
      </c>
      <c r="C3706" s="715" t="s">
        <v>103</v>
      </c>
      <c r="D3706" s="716">
        <v>1122.67</v>
      </c>
    </row>
    <row r="3707" spans="1:4" ht="84">
      <c r="A3707" s="715">
        <v>91324</v>
      </c>
      <c r="B3707" s="633" t="s">
        <v>42592</v>
      </c>
      <c r="C3707" s="715" t="s">
        <v>103</v>
      </c>
      <c r="D3707" s="716">
        <v>983.58</v>
      </c>
    </row>
    <row r="3708" spans="1:4" ht="84">
      <c r="A3708" s="715">
        <v>100712</v>
      </c>
      <c r="B3708" s="633" t="s">
        <v>42593</v>
      </c>
      <c r="C3708" s="715" t="s">
        <v>103</v>
      </c>
      <c r="D3708" s="716">
        <v>1117.43</v>
      </c>
    </row>
    <row r="3709" spans="1:4" ht="84">
      <c r="A3709" s="715">
        <v>91325</v>
      </c>
      <c r="B3709" s="633" t="s">
        <v>42594</v>
      </c>
      <c r="C3709" s="715" t="s">
        <v>103</v>
      </c>
      <c r="D3709" s="716">
        <v>996.62</v>
      </c>
    </row>
    <row r="3710" spans="1:4" ht="84">
      <c r="A3710" s="715">
        <v>100684</v>
      </c>
      <c r="B3710" s="633" t="s">
        <v>42595</v>
      </c>
      <c r="C3710" s="715" t="s">
        <v>103</v>
      </c>
      <c r="D3710" s="716">
        <v>1208.94</v>
      </c>
    </row>
    <row r="3711" spans="1:4" ht="84">
      <c r="A3711" s="715">
        <v>91326</v>
      </c>
      <c r="B3711" s="633" t="s">
        <v>42596</v>
      </c>
      <c r="C3711" s="715" t="s">
        <v>103</v>
      </c>
      <c r="D3711" s="716">
        <v>1064.51</v>
      </c>
    </row>
    <row r="3712" spans="1:4" ht="84">
      <c r="A3712" s="715">
        <v>100686</v>
      </c>
      <c r="B3712" s="633" t="s">
        <v>42597</v>
      </c>
      <c r="C3712" s="715" t="s">
        <v>103</v>
      </c>
      <c r="D3712" s="716">
        <v>1262.26</v>
      </c>
    </row>
    <row r="3713" spans="1:4" ht="84">
      <c r="A3713" s="715">
        <v>91327</v>
      </c>
      <c r="B3713" s="633" t="s">
        <v>42598</v>
      </c>
      <c r="C3713" s="715" t="s">
        <v>103</v>
      </c>
      <c r="D3713" s="716">
        <v>1117.83</v>
      </c>
    </row>
    <row r="3714" spans="1:4" ht="84">
      <c r="A3714" s="715">
        <v>100693</v>
      </c>
      <c r="B3714" s="633" t="s">
        <v>42599</v>
      </c>
      <c r="C3714" s="715" t="s">
        <v>103</v>
      </c>
      <c r="D3714" s="716">
        <v>2283.2199999999998</v>
      </c>
    </row>
    <row r="3715" spans="1:4" ht="84">
      <c r="A3715" s="715">
        <v>91336</v>
      </c>
      <c r="B3715" s="633" t="s">
        <v>42600</v>
      </c>
      <c r="C3715" s="715" t="s">
        <v>103</v>
      </c>
      <c r="D3715" s="716">
        <v>2060.02</v>
      </c>
    </row>
    <row r="3716" spans="1:4" ht="84">
      <c r="A3716" s="715">
        <v>100694</v>
      </c>
      <c r="B3716" s="633" t="s">
        <v>42601</v>
      </c>
      <c r="C3716" s="715" t="s">
        <v>103</v>
      </c>
      <c r="D3716" s="716">
        <v>2050.06</v>
      </c>
    </row>
    <row r="3717" spans="1:4" ht="84">
      <c r="A3717" s="715">
        <v>91337</v>
      </c>
      <c r="B3717" s="633" t="s">
        <v>42602</v>
      </c>
      <c r="C3717" s="715" t="s">
        <v>103</v>
      </c>
      <c r="D3717" s="716">
        <v>1905.63</v>
      </c>
    </row>
    <row r="3718" spans="1:4" ht="84">
      <c r="A3718" s="715">
        <v>100691</v>
      </c>
      <c r="B3718" s="633" t="s">
        <v>42603</v>
      </c>
      <c r="C3718" s="715" t="s">
        <v>103</v>
      </c>
      <c r="D3718" s="716">
        <v>1910.43</v>
      </c>
    </row>
    <row r="3719" spans="1:4" ht="84">
      <c r="A3719" s="715">
        <v>100692</v>
      </c>
      <c r="B3719" s="633" t="s">
        <v>42604</v>
      </c>
      <c r="C3719" s="715" t="s">
        <v>103</v>
      </c>
      <c r="D3719" s="716">
        <v>1677.27</v>
      </c>
    </row>
    <row r="3720" spans="1:4" ht="70">
      <c r="A3720" s="715">
        <v>91334</v>
      </c>
      <c r="B3720" s="633" t="s">
        <v>42605</v>
      </c>
      <c r="C3720" s="715" t="s">
        <v>103</v>
      </c>
      <c r="D3720" s="716">
        <v>1687.23</v>
      </c>
    </row>
    <row r="3721" spans="1:4" ht="70">
      <c r="A3721" s="715">
        <v>91335</v>
      </c>
      <c r="B3721" s="633" t="s">
        <v>42606</v>
      </c>
      <c r="C3721" s="715" t="s">
        <v>103</v>
      </c>
      <c r="D3721" s="716">
        <v>1532.84</v>
      </c>
    </row>
    <row r="3722" spans="1:4" ht="70">
      <c r="A3722" s="715">
        <v>90788</v>
      </c>
      <c r="B3722" s="633" t="s">
        <v>42607</v>
      </c>
      <c r="C3722" s="715" t="s">
        <v>103</v>
      </c>
      <c r="D3722" s="716">
        <v>939.14</v>
      </c>
    </row>
    <row r="3723" spans="1:4" ht="70">
      <c r="A3723" s="715">
        <v>90789</v>
      </c>
      <c r="B3723" s="633" t="s">
        <v>42608</v>
      </c>
      <c r="C3723" s="715" t="s">
        <v>103</v>
      </c>
      <c r="D3723" s="716">
        <v>941.4</v>
      </c>
    </row>
    <row r="3724" spans="1:4" ht="70">
      <c r="A3724" s="715">
        <v>90790</v>
      </c>
      <c r="B3724" s="633" t="s">
        <v>42609</v>
      </c>
      <c r="C3724" s="715" t="s">
        <v>103</v>
      </c>
      <c r="D3724" s="716">
        <v>970.12</v>
      </c>
    </row>
    <row r="3725" spans="1:4" ht="70">
      <c r="A3725" s="715">
        <v>100675</v>
      </c>
      <c r="B3725" s="633" t="s">
        <v>42610</v>
      </c>
      <c r="C3725" s="715" t="s">
        <v>103</v>
      </c>
      <c r="D3725" s="716">
        <v>1047.1199999999999</v>
      </c>
    </row>
    <row r="3726" spans="1:4" ht="70">
      <c r="A3726" s="715">
        <v>90794</v>
      </c>
      <c r="B3726" s="633" t="s">
        <v>42611</v>
      </c>
      <c r="C3726" s="715" t="s">
        <v>103</v>
      </c>
      <c r="D3726" s="716">
        <v>841.22</v>
      </c>
    </row>
    <row r="3727" spans="1:4" ht="70">
      <c r="A3727" s="715">
        <v>90796</v>
      </c>
      <c r="B3727" s="633" t="s">
        <v>42612</v>
      </c>
      <c r="C3727" s="715" t="s">
        <v>103</v>
      </c>
      <c r="D3727" s="716">
        <v>854.39</v>
      </c>
    </row>
    <row r="3728" spans="1:4" ht="70">
      <c r="A3728" s="715">
        <v>90797</v>
      </c>
      <c r="B3728" s="633" t="s">
        <v>42613</v>
      </c>
      <c r="C3728" s="715" t="s">
        <v>103</v>
      </c>
      <c r="D3728" s="716">
        <v>860.98</v>
      </c>
    </row>
    <row r="3729" spans="1:4" ht="70">
      <c r="A3729" s="715">
        <v>90791</v>
      </c>
      <c r="B3729" s="633" t="s">
        <v>42614</v>
      </c>
      <c r="C3729" s="715" t="s">
        <v>103</v>
      </c>
      <c r="D3729" s="716">
        <v>1135.33</v>
      </c>
    </row>
    <row r="3730" spans="1:4" ht="70">
      <c r="A3730" s="715">
        <v>90793</v>
      </c>
      <c r="B3730" s="633" t="s">
        <v>42615</v>
      </c>
      <c r="C3730" s="715" t="s">
        <v>103</v>
      </c>
      <c r="D3730" s="716">
        <v>1186.75</v>
      </c>
    </row>
    <row r="3731" spans="1:4" ht="70">
      <c r="A3731" s="715">
        <v>90798</v>
      </c>
      <c r="B3731" s="633" t="s">
        <v>42616</v>
      </c>
      <c r="C3731" s="715" t="s">
        <v>103</v>
      </c>
      <c r="D3731" s="716">
        <v>1226.97</v>
      </c>
    </row>
    <row r="3732" spans="1:4" ht="70">
      <c r="A3732" s="715">
        <v>90799</v>
      </c>
      <c r="B3732" s="633" t="s">
        <v>42617</v>
      </c>
      <c r="C3732" s="715" t="s">
        <v>103</v>
      </c>
      <c r="D3732" s="716">
        <v>1262.6400000000001</v>
      </c>
    </row>
    <row r="3733" spans="1:4" ht="42">
      <c r="A3733" s="715">
        <v>100704</v>
      </c>
      <c r="B3733" s="633" t="s">
        <v>42618</v>
      </c>
      <c r="C3733" s="715" t="s">
        <v>103</v>
      </c>
      <c r="D3733" s="716">
        <v>83.11</v>
      </c>
    </row>
    <row r="3734" spans="1:4" ht="28">
      <c r="A3734" s="715">
        <v>106141</v>
      </c>
      <c r="B3734" s="633" t="s">
        <v>42619</v>
      </c>
      <c r="C3734" s="715" t="s">
        <v>103</v>
      </c>
      <c r="D3734" s="716">
        <v>0</v>
      </c>
    </row>
    <row r="3735" spans="1:4" ht="28">
      <c r="A3735" s="715">
        <v>106139</v>
      </c>
      <c r="B3735" s="633" t="s">
        <v>42620</v>
      </c>
      <c r="C3735" s="715" t="s">
        <v>103</v>
      </c>
      <c r="D3735" s="716">
        <v>0</v>
      </c>
    </row>
    <row r="3736" spans="1:4" ht="28">
      <c r="A3736" s="715">
        <v>106140</v>
      </c>
      <c r="B3736" s="633" t="s">
        <v>42621</v>
      </c>
      <c r="C3736" s="715" t="s">
        <v>103</v>
      </c>
      <c r="D3736" s="716">
        <v>0</v>
      </c>
    </row>
    <row r="3737" spans="1:4" ht="28">
      <c r="A3737" s="715">
        <v>90838</v>
      </c>
      <c r="B3737" s="633" t="s">
        <v>42622</v>
      </c>
      <c r="C3737" s="715" t="s">
        <v>103</v>
      </c>
      <c r="D3737" s="716">
        <v>1711.34</v>
      </c>
    </row>
    <row r="3738" spans="1:4" ht="56">
      <c r="A3738" s="715">
        <v>94805</v>
      </c>
      <c r="B3738" s="633" t="s">
        <v>42623</v>
      </c>
      <c r="C3738" s="715" t="s">
        <v>103</v>
      </c>
      <c r="D3738" s="716">
        <v>891.43</v>
      </c>
    </row>
    <row r="3739" spans="1:4" ht="42">
      <c r="A3739" s="715">
        <v>106145</v>
      </c>
      <c r="B3739" s="633" t="s">
        <v>42624</v>
      </c>
      <c r="C3739" s="715" t="s">
        <v>103</v>
      </c>
      <c r="D3739" s="716">
        <v>900.75</v>
      </c>
    </row>
    <row r="3740" spans="1:4" ht="28">
      <c r="A3740" s="715">
        <v>106146</v>
      </c>
      <c r="B3740" s="633" t="s">
        <v>42625</v>
      </c>
      <c r="C3740" s="715" t="s">
        <v>103</v>
      </c>
      <c r="D3740" s="716">
        <v>791.27</v>
      </c>
    </row>
    <row r="3741" spans="1:4" ht="42">
      <c r="A3741" s="715">
        <v>100702</v>
      </c>
      <c r="B3741" s="633" t="s">
        <v>42626</v>
      </c>
      <c r="C3741" s="715" t="s">
        <v>509</v>
      </c>
      <c r="D3741" s="716">
        <v>497.98</v>
      </c>
    </row>
    <row r="3742" spans="1:4" ht="28">
      <c r="A3742" s="715">
        <v>106148</v>
      </c>
      <c r="B3742" s="633" t="s">
        <v>42627</v>
      </c>
      <c r="C3742" s="715" t="s">
        <v>103</v>
      </c>
      <c r="D3742" s="716">
        <v>0</v>
      </c>
    </row>
    <row r="3743" spans="1:4" ht="28">
      <c r="A3743" s="715">
        <v>100701</v>
      </c>
      <c r="B3743" s="633" t="s">
        <v>42628</v>
      </c>
      <c r="C3743" s="715" t="s">
        <v>509</v>
      </c>
      <c r="D3743" s="716">
        <v>696.87</v>
      </c>
    </row>
    <row r="3744" spans="1:4" ht="42">
      <c r="A3744" s="715">
        <v>100700</v>
      </c>
      <c r="B3744" s="633" t="s">
        <v>42629</v>
      </c>
      <c r="C3744" s="715" t="s">
        <v>103</v>
      </c>
      <c r="D3744" s="716">
        <v>1057.1199999999999</v>
      </c>
    </row>
    <row r="3745" spans="1:4" ht="56">
      <c r="A3745" s="715">
        <v>91295</v>
      </c>
      <c r="B3745" s="633" t="s">
        <v>42630</v>
      </c>
      <c r="C3745" s="715" t="s">
        <v>103</v>
      </c>
      <c r="D3745" s="716">
        <v>418.64</v>
      </c>
    </row>
    <row r="3746" spans="1:4" ht="56">
      <c r="A3746" s="715">
        <v>91296</v>
      </c>
      <c r="B3746" s="633" t="s">
        <v>42631</v>
      </c>
      <c r="C3746" s="715" t="s">
        <v>103</v>
      </c>
      <c r="D3746" s="716">
        <v>448.64</v>
      </c>
    </row>
    <row r="3747" spans="1:4" ht="56">
      <c r="A3747" s="715">
        <v>91297</v>
      </c>
      <c r="B3747" s="633" t="s">
        <v>42632</v>
      </c>
      <c r="C3747" s="715" t="s">
        <v>103</v>
      </c>
      <c r="D3747" s="716">
        <v>491.95</v>
      </c>
    </row>
    <row r="3748" spans="1:4" ht="56">
      <c r="A3748" s="715">
        <v>90820</v>
      </c>
      <c r="B3748" s="633" t="s">
        <v>42633</v>
      </c>
      <c r="C3748" s="715" t="s">
        <v>103</v>
      </c>
      <c r="D3748" s="716">
        <v>395.82</v>
      </c>
    </row>
    <row r="3749" spans="1:4" ht="56">
      <c r="A3749" s="715">
        <v>90821</v>
      </c>
      <c r="B3749" s="633" t="s">
        <v>42634</v>
      </c>
      <c r="C3749" s="715" t="s">
        <v>103</v>
      </c>
      <c r="D3749" s="716">
        <v>406.24</v>
      </c>
    </row>
    <row r="3750" spans="1:4" ht="56">
      <c r="A3750" s="715">
        <v>90822</v>
      </c>
      <c r="B3750" s="633" t="s">
        <v>42635</v>
      </c>
      <c r="C3750" s="715" t="s">
        <v>103</v>
      </c>
      <c r="D3750" s="716">
        <v>435.24</v>
      </c>
    </row>
    <row r="3751" spans="1:4" ht="56">
      <c r="A3751" s="715">
        <v>90823</v>
      </c>
      <c r="B3751" s="633" t="s">
        <v>42636</v>
      </c>
      <c r="C3751" s="715" t="s">
        <v>103</v>
      </c>
      <c r="D3751" s="716">
        <v>525.33000000000004</v>
      </c>
    </row>
    <row r="3752" spans="1:4" ht="56">
      <c r="A3752" s="715">
        <v>90824</v>
      </c>
      <c r="B3752" s="633" t="s">
        <v>42637</v>
      </c>
      <c r="C3752" s="715" t="s">
        <v>103</v>
      </c>
      <c r="D3752" s="716">
        <v>737.28</v>
      </c>
    </row>
    <row r="3753" spans="1:4" ht="56">
      <c r="A3753" s="715">
        <v>91009</v>
      </c>
      <c r="B3753" s="633" t="s">
        <v>42638</v>
      </c>
      <c r="C3753" s="715" t="s">
        <v>103</v>
      </c>
      <c r="D3753" s="716">
        <v>408.05</v>
      </c>
    </row>
    <row r="3754" spans="1:4" ht="56">
      <c r="A3754" s="715">
        <v>91010</v>
      </c>
      <c r="B3754" s="633" t="s">
        <v>42639</v>
      </c>
      <c r="C3754" s="715" t="s">
        <v>103</v>
      </c>
      <c r="D3754" s="716">
        <v>419.05</v>
      </c>
    </row>
    <row r="3755" spans="1:4" ht="56">
      <c r="A3755" s="715">
        <v>91011</v>
      </c>
      <c r="B3755" s="633" t="s">
        <v>42640</v>
      </c>
      <c r="C3755" s="715" t="s">
        <v>103</v>
      </c>
      <c r="D3755" s="716">
        <v>484.89</v>
      </c>
    </row>
    <row r="3756" spans="1:4" ht="56">
      <c r="A3756" s="715">
        <v>91012</v>
      </c>
      <c r="B3756" s="633" t="s">
        <v>42641</v>
      </c>
      <c r="C3756" s="715" t="s">
        <v>103</v>
      </c>
      <c r="D3756" s="716">
        <v>536.16999999999996</v>
      </c>
    </row>
    <row r="3757" spans="1:4" ht="42">
      <c r="A3757" s="715">
        <v>91298</v>
      </c>
      <c r="B3757" s="633" t="s">
        <v>42642</v>
      </c>
      <c r="C3757" s="715" t="s">
        <v>103</v>
      </c>
      <c r="D3757" s="716">
        <v>953.22</v>
      </c>
    </row>
    <row r="3758" spans="1:4" ht="56">
      <c r="A3758" s="715">
        <v>90825</v>
      </c>
      <c r="B3758" s="633" t="s">
        <v>42643</v>
      </c>
      <c r="C3758" s="715" t="s">
        <v>103</v>
      </c>
      <c r="D3758" s="716">
        <v>817.62</v>
      </c>
    </row>
    <row r="3759" spans="1:4" ht="56">
      <c r="A3759" s="715">
        <v>91299</v>
      </c>
      <c r="B3759" s="633" t="s">
        <v>42644</v>
      </c>
      <c r="C3759" s="715" t="s">
        <v>103</v>
      </c>
      <c r="D3759" s="716">
        <v>1326.01</v>
      </c>
    </row>
    <row r="3760" spans="1:4" ht="42">
      <c r="A3760" s="715">
        <v>91341</v>
      </c>
      <c r="B3760" s="633" t="s">
        <v>42645</v>
      </c>
      <c r="C3760" s="715" t="s">
        <v>509</v>
      </c>
      <c r="D3760" s="716">
        <v>702.66</v>
      </c>
    </row>
    <row r="3761" spans="1:4" ht="56">
      <c r="A3761" s="715">
        <v>94806</v>
      </c>
      <c r="B3761" s="633" t="s">
        <v>42646</v>
      </c>
      <c r="C3761" s="715" t="s">
        <v>103</v>
      </c>
      <c r="D3761" s="716">
        <v>789.03</v>
      </c>
    </row>
    <row r="3762" spans="1:4" ht="42">
      <c r="A3762" s="715">
        <v>94807</v>
      </c>
      <c r="B3762" s="633" t="s">
        <v>42647</v>
      </c>
      <c r="C3762" s="715" t="s">
        <v>103</v>
      </c>
      <c r="D3762" s="716">
        <v>722.1</v>
      </c>
    </row>
    <row r="3763" spans="1:4" ht="56">
      <c r="A3763" s="715">
        <v>106142</v>
      </c>
      <c r="B3763" s="633" t="s">
        <v>42648</v>
      </c>
      <c r="C3763" s="715" t="s">
        <v>103</v>
      </c>
      <c r="D3763" s="716">
        <v>927.19</v>
      </c>
    </row>
    <row r="3764" spans="1:4" ht="56">
      <c r="A3764" s="715">
        <v>106143</v>
      </c>
      <c r="B3764" s="633" t="s">
        <v>42649</v>
      </c>
      <c r="C3764" s="715" t="s">
        <v>103</v>
      </c>
      <c r="D3764" s="716">
        <v>955.59</v>
      </c>
    </row>
    <row r="3765" spans="1:4" ht="56">
      <c r="A3765" s="715">
        <v>106144</v>
      </c>
      <c r="B3765" s="633" t="s">
        <v>42650</v>
      </c>
      <c r="C3765" s="715" t="s">
        <v>103</v>
      </c>
      <c r="D3765" s="716">
        <v>1123.5</v>
      </c>
    </row>
    <row r="3766" spans="1:4" ht="28">
      <c r="A3766" s="715">
        <v>100703</v>
      </c>
      <c r="B3766" s="633" t="s">
        <v>42651</v>
      </c>
      <c r="C3766" s="715" t="s">
        <v>103</v>
      </c>
      <c r="D3766" s="716">
        <v>35.49</v>
      </c>
    </row>
    <row r="3767" spans="1:4" ht="56">
      <c r="A3767" s="715">
        <v>106147</v>
      </c>
      <c r="B3767" s="633" t="s">
        <v>42652</v>
      </c>
      <c r="C3767" s="715" t="s">
        <v>103</v>
      </c>
      <c r="D3767" s="716">
        <v>144.21</v>
      </c>
    </row>
    <row r="3768" spans="1:4" ht="56">
      <c r="A3768" s="715">
        <v>100695</v>
      </c>
      <c r="B3768" s="633" t="s">
        <v>42653</v>
      </c>
      <c r="C3768" s="715" t="s">
        <v>103</v>
      </c>
      <c r="D3768" s="716">
        <v>100.72</v>
      </c>
    </row>
    <row r="3769" spans="1:4" ht="56">
      <c r="A3769" s="715">
        <v>100696</v>
      </c>
      <c r="B3769" s="633" t="s">
        <v>42654</v>
      </c>
      <c r="C3769" s="715" t="s">
        <v>103</v>
      </c>
      <c r="D3769" s="716">
        <v>111.96</v>
      </c>
    </row>
    <row r="3770" spans="1:4" ht="56">
      <c r="A3770" s="715">
        <v>100697</v>
      </c>
      <c r="B3770" s="633" t="s">
        <v>42655</v>
      </c>
      <c r="C3770" s="715" t="s">
        <v>103</v>
      </c>
      <c r="D3770" s="716">
        <v>123.22</v>
      </c>
    </row>
    <row r="3771" spans="1:4" ht="56">
      <c r="A3771" s="715">
        <v>100698</v>
      </c>
      <c r="B3771" s="633" t="s">
        <v>42656</v>
      </c>
      <c r="C3771" s="715" t="s">
        <v>103</v>
      </c>
      <c r="D3771" s="716">
        <v>134.46</v>
      </c>
    </row>
    <row r="3772" spans="1:4" ht="56">
      <c r="A3772" s="715">
        <v>100699</v>
      </c>
      <c r="B3772" s="633" t="s">
        <v>42657</v>
      </c>
      <c r="C3772" s="715" t="s">
        <v>103</v>
      </c>
      <c r="D3772" s="716">
        <v>161.47999999999999</v>
      </c>
    </row>
    <row r="3773" spans="1:4" ht="28">
      <c r="A3773" s="715">
        <v>100705</v>
      </c>
      <c r="B3773" s="633" t="s">
        <v>42658</v>
      </c>
      <c r="C3773" s="715" t="s">
        <v>103</v>
      </c>
      <c r="D3773" s="716">
        <v>79.67</v>
      </c>
    </row>
    <row r="3774" spans="1:4" ht="42">
      <c r="A3774" s="715">
        <v>101173</v>
      </c>
      <c r="B3774" s="633" t="s">
        <v>25259</v>
      </c>
      <c r="C3774" s="715" t="s">
        <v>165</v>
      </c>
      <c r="D3774" s="716">
        <v>67.62</v>
      </c>
    </row>
    <row r="3775" spans="1:4" ht="42">
      <c r="A3775" s="715">
        <v>101174</v>
      </c>
      <c r="B3775" s="633" t="s">
        <v>25260</v>
      </c>
      <c r="C3775" s="715" t="s">
        <v>165</v>
      </c>
      <c r="D3775" s="716">
        <v>97.77</v>
      </c>
    </row>
    <row r="3776" spans="1:4" ht="42">
      <c r="A3776" s="715">
        <v>101175</v>
      </c>
      <c r="B3776" s="633" t="s">
        <v>25261</v>
      </c>
      <c r="C3776" s="715" t="s">
        <v>165</v>
      </c>
      <c r="D3776" s="716">
        <v>133.38999999999999</v>
      </c>
    </row>
    <row r="3777" spans="1:4" ht="42">
      <c r="A3777" s="715">
        <v>101176</v>
      </c>
      <c r="B3777" s="633" t="s">
        <v>33653</v>
      </c>
      <c r="C3777" s="715" t="s">
        <v>165</v>
      </c>
      <c r="D3777" s="716">
        <v>158.93</v>
      </c>
    </row>
    <row r="3778" spans="1:4" ht="56">
      <c r="A3778" s="715">
        <v>101183</v>
      </c>
      <c r="B3778" s="633" t="s">
        <v>33654</v>
      </c>
      <c r="C3778" s="715" t="s">
        <v>165</v>
      </c>
      <c r="D3778" s="716">
        <v>0</v>
      </c>
    </row>
    <row r="3779" spans="1:4" ht="56">
      <c r="A3779" s="715">
        <v>101184</v>
      </c>
      <c r="B3779" s="633" t="s">
        <v>33655</v>
      </c>
      <c r="C3779" s="715" t="s">
        <v>165</v>
      </c>
      <c r="D3779" s="716">
        <v>0</v>
      </c>
    </row>
    <row r="3780" spans="1:4" ht="56">
      <c r="A3780" s="715">
        <v>101182</v>
      </c>
      <c r="B3780" s="633" t="s">
        <v>33656</v>
      </c>
      <c r="C3780" s="715" t="s">
        <v>165</v>
      </c>
      <c r="D3780" s="716">
        <v>0</v>
      </c>
    </row>
    <row r="3781" spans="1:4" ht="42">
      <c r="A3781" s="715">
        <v>101185</v>
      </c>
      <c r="B3781" s="633" t="s">
        <v>33657</v>
      </c>
      <c r="C3781" s="715" t="s">
        <v>165</v>
      </c>
      <c r="D3781" s="716">
        <v>0</v>
      </c>
    </row>
    <row r="3782" spans="1:4" ht="42">
      <c r="A3782" s="715">
        <v>101186</v>
      </c>
      <c r="B3782" s="633" t="s">
        <v>33658</v>
      </c>
      <c r="C3782" s="715" t="s">
        <v>165</v>
      </c>
      <c r="D3782" s="716">
        <v>0</v>
      </c>
    </row>
    <row r="3783" spans="1:4" ht="42">
      <c r="A3783" s="715">
        <v>101187</v>
      </c>
      <c r="B3783" s="633" t="s">
        <v>33659</v>
      </c>
      <c r="C3783" s="715" t="s">
        <v>165</v>
      </c>
      <c r="D3783" s="716">
        <v>0</v>
      </c>
    </row>
    <row r="3784" spans="1:4" ht="42">
      <c r="A3784" s="715">
        <v>101177</v>
      </c>
      <c r="B3784" s="633" t="s">
        <v>33660</v>
      </c>
      <c r="C3784" s="715" t="s">
        <v>165</v>
      </c>
      <c r="D3784" s="716">
        <v>0</v>
      </c>
    </row>
    <row r="3785" spans="1:4" ht="42">
      <c r="A3785" s="715">
        <v>101178</v>
      </c>
      <c r="B3785" s="633" t="s">
        <v>33661</v>
      </c>
      <c r="C3785" s="715" t="s">
        <v>165</v>
      </c>
      <c r="D3785" s="716">
        <v>0</v>
      </c>
    </row>
    <row r="3786" spans="1:4" ht="42">
      <c r="A3786" s="715">
        <v>101180</v>
      </c>
      <c r="B3786" s="633" t="s">
        <v>33662</v>
      </c>
      <c r="C3786" s="715" t="s">
        <v>165</v>
      </c>
      <c r="D3786" s="716">
        <v>0</v>
      </c>
    </row>
    <row r="3787" spans="1:4" ht="42">
      <c r="A3787" s="715">
        <v>101179</v>
      </c>
      <c r="B3787" s="633" t="s">
        <v>33663</v>
      </c>
      <c r="C3787" s="715" t="s">
        <v>165</v>
      </c>
      <c r="D3787" s="716">
        <v>0</v>
      </c>
    </row>
    <row r="3788" spans="1:4" ht="42">
      <c r="A3788" s="715">
        <v>101181</v>
      </c>
      <c r="B3788" s="633" t="s">
        <v>33664</v>
      </c>
      <c r="C3788" s="715" t="s">
        <v>165</v>
      </c>
      <c r="D3788" s="716">
        <v>0</v>
      </c>
    </row>
    <row r="3789" spans="1:4" ht="56">
      <c r="A3789" s="715">
        <v>100899</v>
      </c>
      <c r="B3789" s="633" t="s">
        <v>33665</v>
      </c>
      <c r="C3789" s="715" t="s">
        <v>165</v>
      </c>
      <c r="D3789" s="716">
        <v>97.98</v>
      </c>
    </row>
    <row r="3790" spans="1:4" ht="56">
      <c r="A3790" s="715">
        <v>100896</v>
      </c>
      <c r="B3790" s="633" t="s">
        <v>33666</v>
      </c>
      <c r="C3790" s="715" t="s">
        <v>165</v>
      </c>
      <c r="D3790" s="716">
        <v>62.42</v>
      </c>
    </row>
    <row r="3791" spans="1:4" ht="56">
      <c r="A3791" s="715">
        <v>100897</v>
      </c>
      <c r="B3791" s="633" t="s">
        <v>33667</v>
      </c>
      <c r="C3791" s="715" t="s">
        <v>165</v>
      </c>
      <c r="D3791" s="716">
        <v>118.89</v>
      </c>
    </row>
    <row r="3792" spans="1:4" ht="70">
      <c r="A3792" s="715">
        <v>100900</v>
      </c>
      <c r="B3792" s="633" t="s">
        <v>33668</v>
      </c>
      <c r="C3792" s="715" t="s">
        <v>165</v>
      </c>
      <c r="D3792" s="716">
        <v>260.51</v>
      </c>
    </row>
    <row r="3793" spans="1:4" ht="56">
      <c r="A3793" s="715">
        <v>100898</v>
      </c>
      <c r="B3793" s="633" t="s">
        <v>33669</v>
      </c>
      <c r="C3793" s="715" t="s">
        <v>165</v>
      </c>
      <c r="D3793" s="716">
        <v>225.16</v>
      </c>
    </row>
    <row r="3794" spans="1:4" ht="42">
      <c r="A3794" s="715">
        <v>100892</v>
      </c>
      <c r="B3794" s="633" t="s">
        <v>25256</v>
      </c>
      <c r="C3794" s="715" t="s">
        <v>207</v>
      </c>
      <c r="D3794" s="716">
        <v>12.87</v>
      </c>
    </row>
    <row r="3795" spans="1:4" ht="42">
      <c r="A3795" s="715">
        <v>100893</v>
      </c>
      <c r="B3795" s="633" t="s">
        <v>25257</v>
      </c>
      <c r="C3795" s="715" t="s">
        <v>207</v>
      </c>
      <c r="D3795" s="716">
        <v>12.61</v>
      </c>
    </row>
    <row r="3796" spans="1:4" ht="42">
      <c r="A3796" s="715">
        <v>100894</v>
      </c>
      <c r="B3796" s="633" t="s">
        <v>25258</v>
      </c>
      <c r="C3796" s="715" t="s">
        <v>207</v>
      </c>
      <c r="D3796" s="716">
        <v>12.44</v>
      </c>
    </row>
    <row r="3797" spans="1:4" ht="42">
      <c r="A3797" s="715">
        <v>100889</v>
      </c>
      <c r="B3797" s="633" t="s">
        <v>25254</v>
      </c>
      <c r="C3797" s="715" t="s">
        <v>207</v>
      </c>
      <c r="D3797" s="716">
        <v>12.24</v>
      </c>
    </row>
    <row r="3798" spans="1:4" ht="42">
      <c r="A3798" s="715">
        <v>100891</v>
      </c>
      <c r="B3798" s="633" t="s">
        <v>33670</v>
      </c>
      <c r="C3798" s="715" t="s">
        <v>207</v>
      </c>
      <c r="D3798" s="716">
        <v>0</v>
      </c>
    </row>
    <row r="3799" spans="1:4" ht="42">
      <c r="A3799" s="715">
        <v>100890</v>
      </c>
      <c r="B3799" s="633" t="s">
        <v>25255</v>
      </c>
      <c r="C3799" s="715" t="s">
        <v>207</v>
      </c>
      <c r="D3799" s="716">
        <v>12.02</v>
      </c>
    </row>
    <row r="3800" spans="1:4" ht="56">
      <c r="A3800" s="715">
        <v>100658</v>
      </c>
      <c r="B3800" s="633" t="s">
        <v>25253</v>
      </c>
      <c r="C3800" s="715" t="s">
        <v>165</v>
      </c>
      <c r="D3800" s="716">
        <v>379.88</v>
      </c>
    </row>
    <row r="3801" spans="1:4" ht="56">
      <c r="A3801" s="715">
        <v>100657</v>
      </c>
      <c r="B3801" s="633" t="s">
        <v>25252</v>
      </c>
      <c r="C3801" s="715" t="s">
        <v>165</v>
      </c>
      <c r="D3801" s="716">
        <v>167.19</v>
      </c>
    </row>
    <row r="3802" spans="1:4" ht="56">
      <c r="A3802" s="715">
        <v>100656</v>
      </c>
      <c r="B3802" s="633" t="s">
        <v>25251</v>
      </c>
      <c r="C3802" s="715" t="s">
        <v>165</v>
      </c>
      <c r="D3802" s="716">
        <v>130.51</v>
      </c>
    </row>
    <row r="3803" spans="1:4" ht="42">
      <c r="A3803" s="715">
        <v>102649</v>
      </c>
      <c r="B3803" s="633" t="s">
        <v>33671</v>
      </c>
      <c r="C3803" s="715" t="s">
        <v>165</v>
      </c>
      <c r="D3803" s="716">
        <v>380.41</v>
      </c>
    </row>
    <row r="3804" spans="1:4" ht="42">
      <c r="A3804" s="715">
        <v>102645</v>
      </c>
      <c r="B3804" s="633" t="s">
        <v>33672</v>
      </c>
      <c r="C3804" s="715" t="s">
        <v>165</v>
      </c>
      <c r="D3804" s="716">
        <v>248.02</v>
      </c>
    </row>
    <row r="3805" spans="1:4" ht="42">
      <c r="A3805" s="715">
        <v>102650</v>
      </c>
      <c r="B3805" s="633" t="s">
        <v>33673</v>
      </c>
      <c r="C3805" s="715" t="s">
        <v>165</v>
      </c>
      <c r="D3805" s="716">
        <v>538.14</v>
      </c>
    </row>
    <row r="3806" spans="1:4" ht="42">
      <c r="A3806" s="715">
        <v>102646</v>
      </c>
      <c r="B3806" s="633" t="s">
        <v>33674</v>
      </c>
      <c r="C3806" s="715" t="s">
        <v>165</v>
      </c>
      <c r="D3806" s="716">
        <v>372.56</v>
      </c>
    </row>
    <row r="3807" spans="1:4" ht="42">
      <c r="A3807" s="715">
        <v>102651</v>
      </c>
      <c r="B3807" s="633" t="s">
        <v>33675</v>
      </c>
      <c r="C3807" s="715" t="s">
        <v>165</v>
      </c>
      <c r="D3807" s="716">
        <v>698.34</v>
      </c>
    </row>
    <row r="3808" spans="1:4" ht="42">
      <c r="A3808" s="715">
        <v>102647</v>
      </c>
      <c r="B3808" s="633" t="s">
        <v>33676</v>
      </c>
      <c r="C3808" s="715" t="s">
        <v>165</v>
      </c>
      <c r="D3808" s="716">
        <v>490.15</v>
      </c>
    </row>
    <row r="3809" spans="1:4" ht="42">
      <c r="A3809" s="715">
        <v>102652</v>
      </c>
      <c r="B3809" s="633" t="s">
        <v>33677</v>
      </c>
      <c r="C3809" s="715" t="s">
        <v>165</v>
      </c>
      <c r="D3809" s="716">
        <v>884.97</v>
      </c>
    </row>
    <row r="3810" spans="1:4" ht="42">
      <c r="A3810" s="715">
        <v>102648</v>
      </c>
      <c r="B3810" s="633" t="s">
        <v>33678</v>
      </c>
      <c r="C3810" s="715" t="s">
        <v>165</v>
      </c>
      <c r="D3810" s="716">
        <v>641.01</v>
      </c>
    </row>
    <row r="3811" spans="1:4" ht="56">
      <c r="A3811" s="715">
        <v>106794</v>
      </c>
      <c r="B3811" s="633" t="s">
        <v>42659</v>
      </c>
      <c r="C3811" s="715" t="s">
        <v>165</v>
      </c>
      <c r="D3811" s="716">
        <v>112.99</v>
      </c>
    </row>
    <row r="3812" spans="1:4" ht="56">
      <c r="A3812" s="715">
        <v>100651</v>
      </c>
      <c r="B3812" s="633" t="s">
        <v>42660</v>
      </c>
      <c r="C3812" s="715" t="s">
        <v>165</v>
      </c>
      <c r="D3812" s="716">
        <v>136.38999999999999</v>
      </c>
    </row>
    <row r="3813" spans="1:4" ht="56">
      <c r="A3813" s="715">
        <v>106804</v>
      </c>
      <c r="B3813" s="633" t="s">
        <v>42661</v>
      </c>
      <c r="C3813" s="715" t="s">
        <v>165</v>
      </c>
      <c r="D3813" s="716">
        <v>116.54</v>
      </c>
    </row>
    <row r="3814" spans="1:4" ht="56">
      <c r="A3814" s="715">
        <v>106799</v>
      </c>
      <c r="B3814" s="633" t="s">
        <v>42662</v>
      </c>
      <c r="C3814" s="715" t="s">
        <v>165</v>
      </c>
      <c r="D3814" s="716">
        <v>139.94</v>
      </c>
    </row>
    <row r="3815" spans="1:4" ht="56">
      <c r="A3815" s="715">
        <v>106795</v>
      </c>
      <c r="B3815" s="633" t="s">
        <v>42663</v>
      </c>
      <c r="C3815" s="715" t="s">
        <v>165</v>
      </c>
      <c r="D3815" s="716">
        <v>214</v>
      </c>
    </row>
    <row r="3816" spans="1:4" ht="56">
      <c r="A3816" s="715">
        <v>100652</v>
      </c>
      <c r="B3816" s="633" t="s">
        <v>42664</v>
      </c>
      <c r="C3816" s="715" t="s">
        <v>165</v>
      </c>
      <c r="D3816" s="716">
        <v>250.21</v>
      </c>
    </row>
    <row r="3817" spans="1:4" ht="56">
      <c r="A3817" s="715">
        <v>106805</v>
      </c>
      <c r="B3817" s="633" t="s">
        <v>42665</v>
      </c>
      <c r="C3817" s="715" t="s">
        <v>165</v>
      </c>
      <c r="D3817" s="716">
        <v>222.81</v>
      </c>
    </row>
    <row r="3818" spans="1:4" ht="56">
      <c r="A3818" s="715">
        <v>106800</v>
      </c>
      <c r="B3818" s="633" t="s">
        <v>42666</v>
      </c>
      <c r="C3818" s="715" t="s">
        <v>165</v>
      </c>
      <c r="D3818" s="716">
        <v>259.02</v>
      </c>
    </row>
    <row r="3819" spans="1:4" ht="56">
      <c r="A3819" s="715">
        <v>106796</v>
      </c>
      <c r="B3819" s="633" t="s">
        <v>42667</v>
      </c>
      <c r="C3819" s="715" t="s">
        <v>165</v>
      </c>
      <c r="D3819" s="716">
        <v>350.15</v>
      </c>
    </row>
    <row r="3820" spans="1:4" ht="56">
      <c r="A3820" s="715">
        <v>100653</v>
      </c>
      <c r="B3820" s="633" t="s">
        <v>42668</v>
      </c>
      <c r="C3820" s="715" t="s">
        <v>165</v>
      </c>
      <c r="D3820" s="716">
        <v>407.91</v>
      </c>
    </row>
    <row r="3821" spans="1:4" ht="56">
      <c r="A3821" s="715">
        <v>106806</v>
      </c>
      <c r="B3821" s="633" t="s">
        <v>42669</v>
      </c>
      <c r="C3821" s="715" t="s">
        <v>165</v>
      </c>
      <c r="D3821" s="716">
        <v>366.34</v>
      </c>
    </row>
    <row r="3822" spans="1:4" ht="56">
      <c r="A3822" s="715">
        <v>106801</v>
      </c>
      <c r="B3822" s="633" t="s">
        <v>42670</v>
      </c>
      <c r="C3822" s="715" t="s">
        <v>165</v>
      </c>
      <c r="D3822" s="716">
        <v>424.1</v>
      </c>
    </row>
    <row r="3823" spans="1:4" ht="56">
      <c r="A3823" s="715">
        <v>106797</v>
      </c>
      <c r="B3823" s="633" t="s">
        <v>42671</v>
      </c>
      <c r="C3823" s="715" t="s">
        <v>165</v>
      </c>
      <c r="D3823" s="716">
        <v>431.45</v>
      </c>
    </row>
    <row r="3824" spans="1:4" ht="56">
      <c r="A3824" s="715">
        <v>100654</v>
      </c>
      <c r="B3824" s="633" t="s">
        <v>42672</v>
      </c>
      <c r="C3824" s="715" t="s">
        <v>165</v>
      </c>
      <c r="D3824" s="716">
        <v>537.88</v>
      </c>
    </row>
    <row r="3825" spans="1:4" ht="56">
      <c r="A3825" s="715">
        <v>106807</v>
      </c>
      <c r="B3825" s="633" t="s">
        <v>42673</v>
      </c>
      <c r="C3825" s="715" t="s">
        <v>165</v>
      </c>
      <c r="D3825" s="716">
        <v>452.06</v>
      </c>
    </row>
    <row r="3826" spans="1:4" ht="56">
      <c r="A3826" s="715">
        <v>106802</v>
      </c>
      <c r="B3826" s="633" t="s">
        <v>42674</v>
      </c>
      <c r="C3826" s="715" t="s">
        <v>165</v>
      </c>
      <c r="D3826" s="716">
        <v>558.49</v>
      </c>
    </row>
    <row r="3827" spans="1:4" ht="56">
      <c r="A3827" s="715">
        <v>106798</v>
      </c>
      <c r="B3827" s="633" t="s">
        <v>42675</v>
      </c>
      <c r="C3827" s="715" t="s">
        <v>165</v>
      </c>
      <c r="D3827" s="716">
        <v>531.70000000000005</v>
      </c>
    </row>
    <row r="3828" spans="1:4" ht="56">
      <c r="A3828" s="715">
        <v>100655</v>
      </c>
      <c r="B3828" s="633" t="s">
        <v>42676</v>
      </c>
      <c r="C3828" s="715" t="s">
        <v>165</v>
      </c>
      <c r="D3828" s="716">
        <v>642.16</v>
      </c>
    </row>
    <row r="3829" spans="1:4" ht="56">
      <c r="A3829" s="715">
        <v>106808</v>
      </c>
      <c r="B3829" s="633" t="s">
        <v>42677</v>
      </c>
      <c r="C3829" s="715" t="s">
        <v>165</v>
      </c>
      <c r="D3829" s="716">
        <v>557.04999999999995</v>
      </c>
    </row>
    <row r="3830" spans="1:4" ht="56">
      <c r="A3830" s="715">
        <v>106803</v>
      </c>
      <c r="B3830" s="633" t="s">
        <v>42678</v>
      </c>
      <c r="C3830" s="715" t="s">
        <v>165</v>
      </c>
      <c r="D3830" s="716">
        <v>667.51</v>
      </c>
    </row>
    <row r="3831" spans="1:4" ht="56">
      <c r="A3831" s="715">
        <v>100364</v>
      </c>
      <c r="B3831" s="633" t="s">
        <v>42679</v>
      </c>
      <c r="C3831" s="715" t="s">
        <v>103</v>
      </c>
      <c r="D3831" s="716">
        <v>3913.12</v>
      </c>
    </row>
    <row r="3832" spans="1:4" ht="70">
      <c r="A3832" s="715">
        <v>100374</v>
      </c>
      <c r="B3832" s="633" t="s">
        <v>42680</v>
      </c>
      <c r="C3832" s="715" t="s">
        <v>103</v>
      </c>
      <c r="D3832" s="716">
        <v>3650.39</v>
      </c>
    </row>
    <row r="3833" spans="1:4" ht="56">
      <c r="A3833" s="715">
        <v>100365</v>
      </c>
      <c r="B3833" s="633" t="s">
        <v>42681</v>
      </c>
      <c r="C3833" s="715" t="s">
        <v>103</v>
      </c>
      <c r="D3833" s="716">
        <v>4551.76</v>
      </c>
    </row>
    <row r="3834" spans="1:4" ht="70">
      <c r="A3834" s="715">
        <v>100375</v>
      </c>
      <c r="B3834" s="633" t="s">
        <v>42682</v>
      </c>
      <c r="C3834" s="715" t="s">
        <v>103</v>
      </c>
      <c r="D3834" s="716">
        <v>4164.68</v>
      </c>
    </row>
    <row r="3835" spans="1:4" ht="56">
      <c r="A3835" s="715">
        <v>100366</v>
      </c>
      <c r="B3835" s="633" t="s">
        <v>42683</v>
      </c>
      <c r="C3835" s="715" t="s">
        <v>103</v>
      </c>
      <c r="D3835" s="716">
        <v>4845.7</v>
      </c>
    </row>
    <row r="3836" spans="1:4" ht="70">
      <c r="A3836" s="715">
        <v>100376</v>
      </c>
      <c r="B3836" s="633" t="s">
        <v>42684</v>
      </c>
      <c r="C3836" s="715" t="s">
        <v>103</v>
      </c>
      <c r="D3836" s="716">
        <v>4280.72</v>
      </c>
    </row>
    <row r="3837" spans="1:4" ht="56">
      <c r="A3837" s="715">
        <v>100357</v>
      </c>
      <c r="B3837" s="633" t="s">
        <v>42685</v>
      </c>
      <c r="C3837" s="715" t="s">
        <v>103</v>
      </c>
      <c r="D3837" s="716">
        <v>1342.38</v>
      </c>
    </row>
    <row r="3838" spans="1:4" ht="70">
      <c r="A3838" s="715">
        <v>100367</v>
      </c>
      <c r="B3838" s="633" t="s">
        <v>42686</v>
      </c>
      <c r="C3838" s="715" t="s">
        <v>103</v>
      </c>
      <c r="D3838" s="716">
        <v>1305.3399999999999</v>
      </c>
    </row>
    <row r="3839" spans="1:4" ht="56">
      <c r="A3839" s="715">
        <v>100358</v>
      </c>
      <c r="B3839" s="633" t="s">
        <v>42687</v>
      </c>
      <c r="C3839" s="715" t="s">
        <v>103</v>
      </c>
      <c r="D3839" s="716">
        <v>1876</v>
      </c>
    </row>
    <row r="3840" spans="1:4" ht="70">
      <c r="A3840" s="715">
        <v>100368</v>
      </c>
      <c r="B3840" s="633" t="s">
        <v>42688</v>
      </c>
      <c r="C3840" s="715" t="s">
        <v>103</v>
      </c>
      <c r="D3840" s="716">
        <v>1830.14</v>
      </c>
    </row>
    <row r="3841" spans="1:4" ht="56">
      <c r="A3841" s="715">
        <v>100359</v>
      </c>
      <c r="B3841" s="633" t="s">
        <v>42689</v>
      </c>
      <c r="C3841" s="715" t="s">
        <v>103</v>
      </c>
      <c r="D3841" s="716">
        <v>1966.22</v>
      </c>
    </row>
    <row r="3842" spans="1:4" ht="70">
      <c r="A3842" s="715">
        <v>100369</v>
      </c>
      <c r="B3842" s="633" t="s">
        <v>42690</v>
      </c>
      <c r="C3842" s="715" t="s">
        <v>103</v>
      </c>
      <c r="D3842" s="716">
        <v>1919.79</v>
      </c>
    </row>
    <row r="3843" spans="1:4" ht="56">
      <c r="A3843" s="715">
        <v>100360</v>
      </c>
      <c r="B3843" s="633" t="s">
        <v>42691</v>
      </c>
      <c r="C3843" s="715" t="s">
        <v>103</v>
      </c>
      <c r="D3843" s="716">
        <v>2192.02</v>
      </c>
    </row>
    <row r="3844" spans="1:4" ht="70">
      <c r="A3844" s="715">
        <v>100370</v>
      </c>
      <c r="B3844" s="633" t="s">
        <v>42692</v>
      </c>
      <c r="C3844" s="715" t="s">
        <v>103</v>
      </c>
      <c r="D3844" s="716">
        <v>2279.9899999999998</v>
      </c>
    </row>
    <row r="3845" spans="1:4" ht="56">
      <c r="A3845" s="715">
        <v>100361</v>
      </c>
      <c r="B3845" s="633" t="s">
        <v>42693</v>
      </c>
      <c r="C3845" s="715" t="s">
        <v>103</v>
      </c>
      <c r="D3845" s="716">
        <v>2764.84</v>
      </c>
    </row>
    <row r="3846" spans="1:4" ht="70">
      <c r="A3846" s="715">
        <v>100371</v>
      </c>
      <c r="B3846" s="633" t="s">
        <v>42694</v>
      </c>
      <c r="C3846" s="715" t="s">
        <v>103</v>
      </c>
      <c r="D3846" s="716">
        <v>2644.64</v>
      </c>
    </row>
    <row r="3847" spans="1:4" ht="56">
      <c r="A3847" s="715">
        <v>100362</v>
      </c>
      <c r="B3847" s="633" t="s">
        <v>42695</v>
      </c>
      <c r="C3847" s="715" t="s">
        <v>103</v>
      </c>
      <c r="D3847" s="716">
        <v>3471.61</v>
      </c>
    </row>
    <row r="3848" spans="1:4" ht="70">
      <c r="A3848" s="715">
        <v>100372</v>
      </c>
      <c r="B3848" s="633" t="s">
        <v>42696</v>
      </c>
      <c r="C3848" s="715" t="s">
        <v>103</v>
      </c>
      <c r="D3848" s="716">
        <v>3267.95</v>
      </c>
    </row>
    <row r="3849" spans="1:4" ht="56">
      <c r="A3849" s="715">
        <v>100363</v>
      </c>
      <c r="B3849" s="633" t="s">
        <v>42697</v>
      </c>
      <c r="C3849" s="715" t="s">
        <v>103</v>
      </c>
      <c r="D3849" s="716">
        <v>3581.02</v>
      </c>
    </row>
    <row r="3850" spans="1:4" ht="70">
      <c r="A3850" s="715">
        <v>100373</v>
      </c>
      <c r="B3850" s="633" t="s">
        <v>42698</v>
      </c>
      <c r="C3850" s="715" t="s">
        <v>103</v>
      </c>
      <c r="D3850" s="716">
        <v>3376.82</v>
      </c>
    </row>
    <row r="3851" spans="1:4" ht="84">
      <c r="A3851" s="715">
        <v>106154</v>
      </c>
      <c r="B3851" s="633" t="s">
        <v>42699</v>
      </c>
      <c r="C3851" s="715" t="s">
        <v>509</v>
      </c>
      <c r="D3851" s="716">
        <v>0</v>
      </c>
    </row>
    <row r="3852" spans="1:4" ht="84">
      <c r="A3852" s="715">
        <v>106153</v>
      </c>
      <c r="B3852" s="633" t="s">
        <v>42700</v>
      </c>
      <c r="C3852" s="715" t="s">
        <v>509</v>
      </c>
      <c r="D3852" s="716">
        <v>0</v>
      </c>
    </row>
    <row r="3853" spans="1:4" ht="84">
      <c r="A3853" s="715">
        <v>106152</v>
      </c>
      <c r="B3853" s="633" t="s">
        <v>42701</v>
      </c>
      <c r="C3853" s="715" t="s">
        <v>509</v>
      </c>
      <c r="D3853" s="716">
        <v>0</v>
      </c>
    </row>
    <row r="3854" spans="1:4" ht="84">
      <c r="A3854" s="715">
        <v>106157</v>
      </c>
      <c r="B3854" s="633" t="s">
        <v>42702</v>
      </c>
      <c r="C3854" s="715" t="s">
        <v>509</v>
      </c>
      <c r="D3854" s="716">
        <v>0</v>
      </c>
    </row>
    <row r="3855" spans="1:4" ht="84">
      <c r="A3855" s="715">
        <v>106156</v>
      </c>
      <c r="B3855" s="633" t="s">
        <v>42703</v>
      </c>
      <c r="C3855" s="715" t="s">
        <v>509</v>
      </c>
      <c r="D3855" s="716">
        <v>0</v>
      </c>
    </row>
    <row r="3856" spans="1:4" ht="84">
      <c r="A3856" s="715">
        <v>106155</v>
      </c>
      <c r="B3856" s="633" t="s">
        <v>42704</v>
      </c>
      <c r="C3856" s="715" t="s">
        <v>509</v>
      </c>
      <c r="D3856" s="716">
        <v>0</v>
      </c>
    </row>
    <row r="3857" spans="1:4" ht="84">
      <c r="A3857" s="715">
        <v>106160</v>
      </c>
      <c r="B3857" s="633" t="s">
        <v>42705</v>
      </c>
      <c r="C3857" s="715" t="s">
        <v>509</v>
      </c>
      <c r="D3857" s="716">
        <v>0</v>
      </c>
    </row>
    <row r="3858" spans="1:4" ht="84">
      <c r="A3858" s="715">
        <v>106159</v>
      </c>
      <c r="B3858" s="633" t="s">
        <v>42706</v>
      </c>
      <c r="C3858" s="715" t="s">
        <v>509</v>
      </c>
      <c r="D3858" s="716">
        <v>0</v>
      </c>
    </row>
    <row r="3859" spans="1:4" ht="84">
      <c r="A3859" s="715">
        <v>106158</v>
      </c>
      <c r="B3859" s="633" t="s">
        <v>42707</v>
      </c>
      <c r="C3859" s="715" t="s">
        <v>509</v>
      </c>
      <c r="D3859" s="716">
        <v>0</v>
      </c>
    </row>
    <row r="3860" spans="1:4" ht="84">
      <c r="A3860" s="715">
        <v>106163</v>
      </c>
      <c r="B3860" s="633" t="s">
        <v>42708</v>
      </c>
      <c r="C3860" s="715" t="s">
        <v>509</v>
      </c>
      <c r="D3860" s="716">
        <v>0</v>
      </c>
    </row>
    <row r="3861" spans="1:4" ht="84">
      <c r="A3861" s="715">
        <v>106162</v>
      </c>
      <c r="B3861" s="633" t="s">
        <v>42709</v>
      </c>
      <c r="C3861" s="715" t="s">
        <v>509</v>
      </c>
      <c r="D3861" s="716">
        <v>0</v>
      </c>
    </row>
    <row r="3862" spans="1:4" ht="84">
      <c r="A3862" s="715">
        <v>106161</v>
      </c>
      <c r="B3862" s="633" t="s">
        <v>42710</v>
      </c>
      <c r="C3862" s="715" t="s">
        <v>509</v>
      </c>
      <c r="D3862" s="716">
        <v>0</v>
      </c>
    </row>
    <row r="3863" spans="1:4" ht="84">
      <c r="A3863" s="715">
        <v>100381</v>
      </c>
      <c r="B3863" s="633" t="s">
        <v>42711</v>
      </c>
      <c r="C3863" s="715" t="s">
        <v>509</v>
      </c>
      <c r="D3863" s="716">
        <v>76.5</v>
      </c>
    </row>
    <row r="3864" spans="1:4" ht="84">
      <c r="A3864" s="715">
        <v>100380</v>
      </c>
      <c r="B3864" s="633" t="s">
        <v>42712</v>
      </c>
      <c r="C3864" s="715" t="s">
        <v>509</v>
      </c>
      <c r="D3864" s="716">
        <v>66.27</v>
      </c>
    </row>
    <row r="3865" spans="1:4" ht="84">
      <c r="A3865" s="715">
        <v>100379</v>
      </c>
      <c r="B3865" s="633" t="s">
        <v>42713</v>
      </c>
      <c r="C3865" s="715" t="s">
        <v>509</v>
      </c>
      <c r="D3865" s="716">
        <v>49.27</v>
      </c>
    </row>
    <row r="3866" spans="1:4" ht="84">
      <c r="A3866" s="715">
        <v>100384</v>
      </c>
      <c r="B3866" s="633" t="s">
        <v>42714</v>
      </c>
      <c r="C3866" s="715" t="s">
        <v>509</v>
      </c>
      <c r="D3866" s="716">
        <v>35.35</v>
      </c>
    </row>
    <row r="3867" spans="1:4" ht="84">
      <c r="A3867" s="715">
        <v>100383</v>
      </c>
      <c r="B3867" s="633" t="s">
        <v>42715</v>
      </c>
      <c r="C3867" s="715" t="s">
        <v>509</v>
      </c>
      <c r="D3867" s="716">
        <v>32.479999999999997</v>
      </c>
    </row>
    <row r="3868" spans="1:4" ht="84">
      <c r="A3868" s="715">
        <v>100382</v>
      </c>
      <c r="B3868" s="633" t="s">
        <v>42716</v>
      </c>
      <c r="C3868" s="715" t="s">
        <v>509</v>
      </c>
      <c r="D3868" s="716">
        <v>30.23</v>
      </c>
    </row>
    <row r="3869" spans="1:4" ht="84">
      <c r="A3869" s="715">
        <v>100387</v>
      </c>
      <c r="B3869" s="633" t="s">
        <v>42717</v>
      </c>
      <c r="C3869" s="715" t="s">
        <v>509</v>
      </c>
      <c r="D3869" s="716">
        <v>71.58</v>
      </c>
    </row>
    <row r="3870" spans="1:4" ht="70">
      <c r="A3870" s="715">
        <v>100386</v>
      </c>
      <c r="B3870" s="633" t="s">
        <v>42718</v>
      </c>
      <c r="C3870" s="715" t="s">
        <v>509</v>
      </c>
      <c r="D3870" s="716">
        <v>56.69</v>
      </c>
    </row>
    <row r="3871" spans="1:4" ht="84">
      <c r="A3871" s="715">
        <v>100385</v>
      </c>
      <c r="B3871" s="633" t="s">
        <v>42719</v>
      </c>
      <c r="C3871" s="715" t="s">
        <v>509</v>
      </c>
      <c r="D3871" s="716">
        <v>43.58</v>
      </c>
    </row>
    <row r="3872" spans="1:4" ht="56">
      <c r="A3872" s="715">
        <v>100377</v>
      </c>
      <c r="B3872" s="633" t="s">
        <v>42720</v>
      </c>
      <c r="C3872" s="715" t="s">
        <v>207</v>
      </c>
      <c r="D3872" s="716">
        <v>14.4</v>
      </c>
    </row>
    <row r="3873" spans="1:4" ht="56">
      <c r="A3873" s="715">
        <v>100378</v>
      </c>
      <c r="B3873" s="633" t="s">
        <v>42721</v>
      </c>
      <c r="C3873" s="715" t="s">
        <v>207</v>
      </c>
      <c r="D3873" s="716">
        <v>12.96</v>
      </c>
    </row>
    <row r="3874" spans="1:4" ht="56">
      <c r="A3874" s="715">
        <v>92596</v>
      </c>
      <c r="B3874" s="633" t="s">
        <v>42722</v>
      </c>
      <c r="C3874" s="715" t="s">
        <v>103</v>
      </c>
      <c r="D3874" s="716">
        <v>2233.85</v>
      </c>
    </row>
    <row r="3875" spans="1:4" ht="70">
      <c r="A3875" s="715">
        <v>92616</v>
      </c>
      <c r="B3875" s="633" t="s">
        <v>42723</v>
      </c>
      <c r="C3875" s="715" t="s">
        <v>103</v>
      </c>
      <c r="D3875" s="716">
        <v>2069.58</v>
      </c>
    </row>
    <row r="3876" spans="1:4" ht="56">
      <c r="A3876" s="715">
        <v>92598</v>
      </c>
      <c r="B3876" s="633" t="s">
        <v>42724</v>
      </c>
      <c r="C3876" s="715" t="s">
        <v>103</v>
      </c>
      <c r="D3876" s="716">
        <v>2375.92</v>
      </c>
    </row>
    <row r="3877" spans="1:4" ht="70">
      <c r="A3877" s="715">
        <v>92618</v>
      </c>
      <c r="B3877" s="633" t="s">
        <v>42725</v>
      </c>
      <c r="C3877" s="715" t="s">
        <v>103</v>
      </c>
      <c r="D3877" s="716">
        <v>2249.02</v>
      </c>
    </row>
    <row r="3878" spans="1:4" ht="56">
      <c r="A3878" s="715">
        <v>92600</v>
      </c>
      <c r="B3878" s="633" t="s">
        <v>42726</v>
      </c>
      <c r="C3878" s="715" t="s">
        <v>103</v>
      </c>
      <c r="D3878" s="716">
        <v>2520.5500000000002</v>
      </c>
    </row>
    <row r="3879" spans="1:4" ht="70">
      <c r="A3879" s="715">
        <v>92620</v>
      </c>
      <c r="B3879" s="633" t="s">
        <v>42727</v>
      </c>
      <c r="C3879" s="715" t="s">
        <v>103</v>
      </c>
      <c r="D3879" s="716">
        <v>2329.1799999999998</v>
      </c>
    </row>
    <row r="3880" spans="1:4" ht="56">
      <c r="A3880" s="715">
        <v>92582</v>
      </c>
      <c r="B3880" s="633" t="s">
        <v>42728</v>
      </c>
      <c r="C3880" s="715" t="s">
        <v>103</v>
      </c>
      <c r="D3880" s="716">
        <v>705.64</v>
      </c>
    </row>
    <row r="3881" spans="1:4" ht="70">
      <c r="A3881" s="715">
        <v>92602</v>
      </c>
      <c r="B3881" s="633" t="s">
        <v>42729</v>
      </c>
      <c r="C3881" s="715" t="s">
        <v>103</v>
      </c>
      <c r="D3881" s="716">
        <v>684.05</v>
      </c>
    </row>
    <row r="3882" spans="1:4" ht="56">
      <c r="A3882" s="715">
        <v>92584</v>
      </c>
      <c r="B3882" s="633" t="s">
        <v>42730</v>
      </c>
      <c r="C3882" s="715" t="s">
        <v>103</v>
      </c>
      <c r="D3882" s="716">
        <v>828.87</v>
      </c>
    </row>
    <row r="3883" spans="1:4" ht="70">
      <c r="A3883" s="715">
        <v>92604</v>
      </c>
      <c r="B3883" s="633" t="s">
        <v>42731</v>
      </c>
      <c r="C3883" s="715" t="s">
        <v>103</v>
      </c>
      <c r="D3883" s="716">
        <v>798.66</v>
      </c>
    </row>
    <row r="3884" spans="1:4" ht="56">
      <c r="A3884" s="715">
        <v>92586</v>
      </c>
      <c r="B3884" s="633" t="s">
        <v>42732</v>
      </c>
      <c r="C3884" s="715" t="s">
        <v>103</v>
      </c>
      <c r="D3884" s="716">
        <v>948.59</v>
      </c>
    </row>
    <row r="3885" spans="1:4" ht="70">
      <c r="A3885" s="715">
        <v>92606</v>
      </c>
      <c r="B3885" s="633" t="s">
        <v>42733</v>
      </c>
      <c r="C3885" s="715" t="s">
        <v>103</v>
      </c>
      <c r="D3885" s="716">
        <v>913.89</v>
      </c>
    </row>
    <row r="3886" spans="1:4" ht="56">
      <c r="A3886" s="715">
        <v>92588</v>
      </c>
      <c r="B3886" s="633" t="s">
        <v>42734</v>
      </c>
      <c r="C3886" s="715" t="s">
        <v>103</v>
      </c>
      <c r="D3886" s="716">
        <v>1283.54</v>
      </c>
    </row>
    <row r="3887" spans="1:4" ht="70">
      <c r="A3887" s="715">
        <v>92608</v>
      </c>
      <c r="B3887" s="633" t="s">
        <v>42735</v>
      </c>
      <c r="C3887" s="715" t="s">
        <v>103</v>
      </c>
      <c r="D3887" s="716">
        <v>1219.43</v>
      </c>
    </row>
    <row r="3888" spans="1:4" ht="56">
      <c r="A3888" s="715">
        <v>92590</v>
      </c>
      <c r="B3888" s="633" t="s">
        <v>42736</v>
      </c>
      <c r="C3888" s="715" t="s">
        <v>103</v>
      </c>
      <c r="D3888" s="716">
        <v>1415.08</v>
      </c>
    </row>
    <row r="3889" spans="1:4" ht="70">
      <c r="A3889" s="715">
        <v>92610</v>
      </c>
      <c r="B3889" s="633" t="s">
        <v>42737</v>
      </c>
      <c r="C3889" s="715" t="s">
        <v>103</v>
      </c>
      <c r="D3889" s="716">
        <v>1342.35</v>
      </c>
    </row>
    <row r="3890" spans="1:4" ht="56">
      <c r="A3890" s="715">
        <v>92592</v>
      </c>
      <c r="B3890" s="633" t="s">
        <v>42738</v>
      </c>
      <c r="C3890" s="715" t="s">
        <v>103</v>
      </c>
      <c r="D3890" s="716">
        <v>1644.61</v>
      </c>
    </row>
    <row r="3891" spans="1:4" ht="70">
      <c r="A3891" s="715">
        <v>92612</v>
      </c>
      <c r="B3891" s="633" t="s">
        <v>42739</v>
      </c>
      <c r="C3891" s="715" t="s">
        <v>103</v>
      </c>
      <c r="D3891" s="716">
        <v>1595.22</v>
      </c>
    </row>
    <row r="3892" spans="1:4" ht="56">
      <c r="A3892" s="715">
        <v>92594</v>
      </c>
      <c r="B3892" s="633" t="s">
        <v>42740</v>
      </c>
      <c r="C3892" s="715" t="s">
        <v>103</v>
      </c>
      <c r="D3892" s="716">
        <v>1912.79</v>
      </c>
    </row>
    <row r="3893" spans="1:4" ht="70">
      <c r="A3893" s="715">
        <v>92614</v>
      </c>
      <c r="B3893" s="633" t="s">
        <v>42741</v>
      </c>
      <c r="C3893" s="715" t="s">
        <v>103</v>
      </c>
      <c r="D3893" s="716">
        <v>1778.04</v>
      </c>
    </row>
    <row r="3894" spans="1:4" ht="56">
      <c r="A3894" s="715">
        <v>92552</v>
      </c>
      <c r="B3894" s="633" t="s">
        <v>42742</v>
      </c>
      <c r="C3894" s="715" t="s">
        <v>103</v>
      </c>
      <c r="D3894" s="716">
        <v>3292.77</v>
      </c>
    </row>
    <row r="3895" spans="1:4" ht="70">
      <c r="A3895" s="715">
        <v>92562</v>
      </c>
      <c r="B3895" s="633" t="s">
        <v>42743</v>
      </c>
      <c r="C3895" s="715" t="s">
        <v>103</v>
      </c>
      <c r="D3895" s="716">
        <v>3212.54</v>
      </c>
    </row>
    <row r="3896" spans="1:4" ht="56">
      <c r="A3896" s="715">
        <v>92553</v>
      </c>
      <c r="B3896" s="633" t="s">
        <v>42744</v>
      </c>
      <c r="C3896" s="715" t="s">
        <v>103</v>
      </c>
      <c r="D3896" s="716">
        <v>3827.27</v>
      </c>
    </row>
    <row r="3897" spans="1:4" ht="70">
      <c r="A3897" s="715">
        <v>92563</v>
      </c>
      <c r="B3897" s="633" t="s">
        <v>42745</v>
      </c>
      <c r="C3897" s="715" t="s">
        <v>103</v>
      </c>
      <c r="D3897" s="716">
        <v>3740.13</v>
      </c>
    </row>
    <row r="3898" spans="1:4" ht="56">
      <c r="A3898" s="715">
        <v>92554</v>
      </c>
      <c r="B3898" s="633" t="s">
        <v>42746</v>
      </c>
      <c r="C3898" s="715" t="s">
        <v>103</v>
      </c>
      <c r="D3898" s="716">
        <v>3956.6</v>
      </c>
    </row>
    <row r="3899" spans="1:4" ht="70">
      <c r="A3899" s="715">
        <v>92564</v>
      </c>
      <c r="B3899" s="633" t="s">
        <v>42747</v>
      </c>
      <c r="C3899" s="715" t="s">
        <v>103</v>
      </c>
      <c r="D3899" s="716">
        <v>3849.86</v>
      </c>
    </row>
    <row r="3900" spans="1:4" ht="56">
      <c r="A3900" s="715">
        <v>92545</v>
      </c>
      <c r="B3900" s="633" t="s">
        <v>42748</v>
      </c>
      <c r="C3900" s="715" t="s">
        <v>103</v>
      </c>
      <c r="D3900" s="716">
        <v>1271.56</v>
      </c>
    </row>
    <row r="3901" spans="1:4" ht="56">
      <c r="A3901" s="715">
        <v>92555</v>
      </c>
      <c r="B3901" s="633" t="s">
        <v>42749</v>
      </c>
      <c r="C3901" s="715" t="s">
        <v>103</v>
      </c>
      <c r="D3901" s="716">
        <v>1269.8399999999999</v>
      </c>
    </row>
    <row r="3902" spans="1:4" ht="56">
      <c r="A3902" s="715">
        <v>92546</v>
      </c>
      <c r="B3902" s="633" t="s">
        <v>42750</v>
      </c>
      <c r="C3902" s="715" t="s">
        <v>103</v>
      </c>
      <c r="D3902" s="716">
        <v>1611.34</v>
      </c>
    </row>
    <row r="3903" spans="1:4" ht="56">
      <c r="A3903" s="715">
        <v>92556</v>
      </c>
      <c r="B3903" s="633" t="s">
        <v>42751</v>
      </c>
      <c r="C3903" s="715" t="s">
        <v>103</v>
      </c>
      <c r="D3903" s="716">
        <v>1578.1</v>
      </c>
    </row>
    <row r="3904" spans="1:4" ht="56">
      <c r="A3904" s="715">
        <v>92547</v>
      </c>
      <c r="B3904" s="633" t="s">
        <v>42752</v>
      </c>
      <c r="C3904" s="715" t="s">
        <v>103</v>
      </c>
      <c r="D3904" s="716">
        <v>1698.41</v>
      </c>
    </row>
    <row r="3905" spans="1:4" ht="56">
      <c r="A3905" s="715">
        <v>92557</v>
      </c>
      <c r="B3905" s="633" t="s">
        <v>42753</v>
      </c>
      <c r="C3905" s="715" t="s">
        <v>103</v>
      </c>
      <c r="D3905" s="716">
        <v>1664.6</v>
      </c>
    </row>
    <row r="3906" spans="1:4" ht="56">
      <c r="A3906" s="715">
        <v>92548</v>
      </c>
      <c r="B3906" s="633" t="s">
        <v>42754</v>
      </c>
      <c r="C3906" s="715" t="s">
        <v>103</v>
      </c>
      <c r="D3906" s="716">
        <v>1904.61</v>
      </c>
    </row>
    <row r="3907" spans="1:4" ht="56">
      <c r="A3907" s="715">
        <v>92558</v>
      </c>
      <c r="B3907" s="633" t="s">
        <v>42755</v>
      </c>
      <c r="C3907" s="715" t="s">
        <v>103</v>
      </c>
      <c r="D3907" s="716">
        <v>1883.52</v>
      </c>
    </row>
    <row r="3908" spans="1:4" ht="56">
      <c r="A3908" s="715">
        <v>92549</v>
      </c>
      <c r="B3908" s="633" t="s">
        <v>42756</v>
      </c>
      <c r="C3908" s="715" t="s">
        <v>103</v>
      </c>
      <c r="D3908" s="716">
        <v>2430.6999999999998</v>
      </c>
    </row>
    <row r="3909" spans="1:4" ht="56">
      <c r="A3909" s="715">
        <v>92559</v>
      </c>
      <c r="B3909" s="633" t="s">
        <v>42757</v>
      </c>
      <c r="C3909" s="715" t="s">
        <v>103</v>
      </c>
      <c r="D3909" s="716">
        <v>2393.81</v>
      </c>
    </row>
    <row r="3910" spans="1:4" ht="56">
      <c r="A3910" s="715">
        <v>92550</v>
      </c>
      <c r="B3910" s="633" t="s">
        <v>42758</v>
      </c>
      <c r="C3910" s="715" t="s">
        <v>103</v>
      </c>
      <c r="D3910" s="716">
        <v>2891.52</v>
      </c>
    </row>
    <row r="3911" spans="1:4" ht="56">
      <c r="A3911" s="715">
        <v>92560</v>
      </c>
      <c r="B3911" s="633" t="s">
        <v>42759</v>
      </c>
      <c r="C3911" s="715" t="s">
        <v>103</v>
      </c>
      <c r="D3911" s="716">
        <v>2842.17</v>
      </c>
    </row>
    <row r="3912" spans="1:4" ht="56">
      <c r="A3912" s="715">
        <v>92551</v>
      </c>
      <c r="B3912" s="633" t="s">
        <v>42760</v>
      </c>
      <c r="C3912" s="715" t="s">
        <v>103</v>
      </c>
      <c r="D3912" s="716">
        <v>3004.12</v>
      </c>
    </row>
    <row r="3913" spans="1:4" ht="56">
      <c r="A3913" s="715">
        <v>92561</v>
      </c>
      <c r="B3913" s="633" t="s">
        <v>42761</v>
      </c>
      <c r="C3913" s="715" t="s">
        <v>103</v>
      </c>
      <c r="D3913" s="716">
        <v>2955.41</v>
      </c>
    </row>
    <row r="3914" spans="1:4" ht="56">
      <c r="A3914" s="715">
        <v>92262</v>
      </c>
      <c r="B3914" s="633" t="s">
        <v>42762</v>
      </c>
      <c r="C3914" s="715" t="s">
        <v>103</v>
      </c>
      <c r="D3914" s="716">
        <v>907.95</v>
      </c>
    </row>
    <row r="3915" spans="1:4" ht="56">
      <c r="A3915" s="715">
        <v>106149</v>
      </c>
      <c r="B3915" s="633" t="s">
        <v>42763</v>
      </c>
      <c r="C3915" s="715" t="s">
        <v>103</v>
      </c>
      <c r="D3915" s="716">
        <v>1061.71</v>
      </c>
    </row>
    <row r="3916" spans="1:4" ht="56">
      <c r="A3916" s="715">
        <v>106150</v>
      </c>
      <c r="B3916" s="633" t="s">
        <v>42764</v>
      </c>
      <c r="C3916" s="715" t="s">
        <v>103</v>
      </c>
      <c r="D3916" s="716">
        <v>1240.08</v>
      </c>
    </row>
    <row r="3917" spans="1:4" ht="56">
      <c r="A3917" s="715">
        <v>106151</v>
      </c>
      <c r="B3917" s="633" t="s">
        <v>42765</v>
      </c>
      <c r="C3917" s="715" t="s">
        <v>103</v>
      </c>
      <c r="D3917" s="716">
        <v>1443.04</v>
      </c>
    </row>
    <row r="3918" spans="1:4" ht="56">
      <c r="A3918" s="715">
        <v>92259</v>
      </c>
      <c r="B3918" s="633" t="s">
        <v>42766</v>
      </c>
      <c r="C3918" s="715" t="s">
        <v>103</v>
      </c>
      <c r="D3918" s="716">
        <v>549.69000000000005</v>
      </c>
    </row>
    <row r="3919" spans="1:4" ht="56">
      <c r="A3919" s="715">
        <v>92260</v>
      </c>
      <c r="B3919" s="633" t="s">
        <v>42767</v>
      </c>
      <c r="C3919" s="715" t="s">
        <v>103</v>
      </c>
      <c r="D3919" s="716">
        <v>651.16</v>
      </c>
    </row>
    <row r="3920" spans="1:4" ht="56">
      <c r="A3920" s="715">
        <v>92261</v>
      </c>
      <c r="B3920" s="633" t="s">
        <v>42768</v>
      </c>
      <c r="C3920" s="715" t="s">
        <v>103</v>
      </c>
      <c r="D3920" s="716">
        <v>749.57</v>
      </c>
    </row>
    <row r="3921" spans="1:4" ht="56">
      <c r="A3921" s="715">
        <v>92258</v>
      </c>
      <c r="B3921" s="633" t="s">
        <v>42769</v>
      </c>
      <c r="C3921" s="715" t="s">
        <v>103</v>
      </c>
      <c r="D3921" s="716">
        <v>590.08000000000004</v>
      </c>
    </row>
    <row r="3922" spans="1:4" ht="56">
      <c r="A3922" s="715">
        <v>92255</v>
      </c>
      <c r="B3922" s="633" t="s">
        <v>42770</v>
      </c>
      <c r="C3922" s="715" t="s">
        <v>103</v>
      </c>
      <c r="D3922" s="716">
        <v>239.04</v>
      </c>
    </row>
    <row r="3923" spans="1:4" ht="56">
      <c r="A3923" s="715">
        <v>92256</v>
      </c>
      <c r="B3923" s="633" t="s">
        <v>42771</v>
      </c>
      <c r="C3923" s="715" t="s">
        <v>103</v>
      </c>
      <c r="D3923" s="716">
        <v>338.48</v>
      </c>
    </row>
    <row r="3924" spans="1:4" ht="56">
      <c r="A3924" s="715">
        <v>92257</v>
      </c>
      <c r="B3924" s="633" t="s">
        <v>42772</v>
      </c>
      <c r="C3924" s="715" t="s">
        <v>103</v>
      </c>
      <c r="D3924" s="716">
        <v>434.9</v>
      </c>
    </row>
    <row r="3925" spans="1:4" ht="56">
      <c r="A3925" s="715">
        <v>100393</v>
      </c>
      <c r="B3925" s="633" t="s">
        <v>42773</v>
      </c>
      <c r="C3925" s="715" t="s">
        <v>509</v>
      </c>
      <c r="D3925" s="716">
        <v>25.54</v>
      </c>
    </row>
    <row r="3926" spans="1:4" ht="56">
      <c r="A3926" s="715">
        <v>100389</v>
      </c>
      <c r="B3926" s="633" t="s">
        <v>42774</v>
      </c>
      <c r="C3926" s="715" t="s">
        <v>509</v>
      </c>
      <c r="D3926" s="716">
        <v>21.21</v>
      </c>
    </row>
    <row r="3927" spans="1:4" ht="56">
      <c r="A3927" s="715">
        <v>100395</v>
      </c>
      <c r="B3927" s="633" t="s">
        <v>42775</v>
      </c>
      <c r="C3927" s="715" t="s">
        <v>509</v>
      </c>
      <c r="D3927" s="716">
        <v>28.18</v>
      </c>
    </row>
    <row r="3928" spans="1:4" ht="56">
      <c r="A3928" s="715">
        <v>100391</v>
      </c>
      <c r="B3928" s="633" t="s">
        <v>42776</v>
      </c>
      <c r="C3928" s="715" t="s">
        <v>509</v>
      </c>
      <c r="D3928" s="716">
        <v>23.48</v>
      </c>
    </row>
    <row r="3929" spans="1:4" ht="56">
      <c r="A3929" s="715">
        <v>100392</v>
      </c>
      <c r="B3929" s="633" t="s">
        <v>42777</v>
      </c>
      <c r="C3929" s="715" t="s">
        <v>509</v>
      </c>
      <c r="D3929" s="716">
        <v>21.4</v>
      </c>
    </row>
    <row r="3930" spans="1:4" ht="56">
      <c r="A3930" s="715">
        <v>100388</v>
      </c>
      <c r="B3930" s="633" t="s">
        <v>42778</v>
      </c>
      <c r="C3930" s="715" t="s">
        <v>509</v>
      </c>
      <c r="D3930" s="716">
        <v>27.28</v>
      </c>
    </row>
    <row r="3931" spans="1:4" ht="56">
      <c r="A3931" s="715">
        <v>100394</v>
      </c>
      <c r="B3931" s="633" t="s">
        <v>42779</v>
      </c>
      <c r="C3931" s="715" t="s">
        <v>509</v>
      </c>
      <c r="D3931" s="716">
        <v>25.16</v>
      </c>
    </row>
    <row r="3932" spans="1:4" ht="56">
      <c r="A3932" s="715">
        <v>100390</v>
      </c>
      <c r="B3932" s="633" t="s">
        <v>42780</v>
      </c>
      <c r="C3932" s="715" t="s">
        <v>509</v>
      </c>
      <c r="D3932" s="716">
        <v>32.11</v>
      </c>
    </row>
    <row r="3933" spans="1:4" ht="56">
      <c r="A3933" s="715">
        <v>92575</v>
      </c>
      <c r="B3933" s="633" t="s">
        <v>42781</v>
      </c>
      <c r="C3933" s="715" t="s">
        <v>509</v>
      </c>
      <c r="D3933" s="716">
        <v>66.540000000000006</v>
      </c>
    </row>
    <row r="3934" spans="1:4" ht="70">
      <c r="A3934" s="715">
        <v>92569</v>
      </c>
      <c r="B3934" s="633" t="s">
        <v>42782</v>
      </c>
      <c r="C3934" s="715" t="s">
        <v>509</v>
      </c>
      <c r="D3934" s="716">
        <v>72.400000000000006</v>
      </c>
    </row>
    <row r="3935" spans="1:4" ht="56">
      <c r="A3935" s="715">
        <v>92578</v>
      </c>
      <c r="B3935" s="633" t="s">
        <v>42783</v>
      </c>
      <c r="C3935" s="715" t="s">
        <v>509</v>
      </c>
      <c r="D3935" s="716">
        <v>70.099999999999994</v>
      </c>
    </row>
    <row r="3936" spans="1:4" ht="70">
      <c r="A3936" s="715">
        <v>92572</v>
      </c>
      <c r="B3936" s="633" t="s">
        <v>42784</v>
      </c>
      <c r="C3936" s="715" t="s">
        <v>509</v>
      </c>
      <c r="D3936" s="716">
        <v>76.03</v>
      </c>
    </row>
    <row r="3937" spans="1:4" ht="56">
      <c r="A3937" s="715">
        <v>92576</v>
      </c>
      <c r="B3937" s="633" t="s">
        <v>42785</v>
      </c>
      <c r="C3937" s="715" t="s">
        <v>509</v>
      </c>
      <c r="D3937" s="716">
        <v>35.76</v>
      </c>
    </row>
    <row r="3938" spans="1:4" ht="70">
      <c r="A3938" s="715">
        <v>92570</v>
      </c>
      <c r="B3938" s="633" t="s">
        <v>42786</v>
      </c>
      <c r="C3938" s="715" t="s">
        <v>509</v>
      </c>
      <c r="D3938" s="716">
        <v>45.26</v>
      </c>
    </row>
    <row r="3939" spans="1:4" ht="56">
      <c r="A3939" s="715">
        <v>92579</v>
      </c>
      <c r="B3939" s="633" t="s">
        <v>42787</v>
      </c>
      <c r="C3939" s="715" t="s">
        <v>509</v>
      </c>
      <c r="D3939" s="716">
        <v>37.89</v>
      </c>
    </row>
    <row r="3940" spans="1:4" ht="70">
      <c r="A3940" s="715">
        <v>92573</v>
      </c>
      <c r="B3940" s="633" t="s">
        <v>42788</v>
      </c>
      <c r="C3940" s="715" t="s">
        <v>509</v>
      </c>
      <c r="D3940" s="716">
        <v>47.94</v>
      </c>
    </row>
    <row r="3941" spans="1:4" ht="56">
      <c r="A3941" s="715">
        <v>92574</v>
      </c>
      <c r="B3941" s="633" t="s">
        <v>42789</v>
      </c>
      <c r="C3941" s="715" t="s">
        <v>509</v>
      </c>
      <c r="D3941" s="716">
        <v>135.34</v>
      </c>
    </row>
    <row r="3942" spans="1:4" ht="70">
      <c r="A3942" s="715">
        <v>92568</v>
      </c>
      <c r="B3942" s="633" t="s">
        <v>42790</v>
      </c>
      <c r="C3942" s="715" t="s">
        <v>509</v>
      </c>
      <c r="D3942" s="716">
        <v>143.63999999999999</v>
      </c>
    </row>
    <row r="3943" spans="1:4" ht="56">
      <c r="A3943" s="715">
        <v>92577</v>
      </c>
      <c r="B3943" s="633" t="s">
        <v>42791</v>
      </c>
      <c r="C3943" s="715" t="s">
        <v>509</v>
      </c>
      <c r="D3943" s="716">
        <v>152.30000000000001</v>
      </c>
    </row>
    <row r="3944" spans="1:4" ht="70">
      <c r="A3944" s="715">
        <v>92571</v>
      </c>
      <c r="B3944" s="633" t="s">
        <v>42792</v>
      </c>
      <c r="C3944" s="715" t="s">
        <v>509</v>
      </c>
      <c r="D3944" s="716">
        <v>149.1</v>
      </c>
    </row>
    <row r="3945" spans="1:4" ht="56">
      <c r="A3945" s="715">
        <v>92581</v>
      </c>
      <c r="B3945" s="633" t="s">
        <v>42793</v>
      </c>
      <c r="C3945" s="715" t="s">
        <v>509</v>
      </c>
      <c r="D3945" s="716">
        <v>53.89</v>
      </c>
    </row>
    <row r="3946" spans="1:4" ht="70">
      <c r="A3946" s="715">
        <v>104314</v>
      </c>
      <c r="B3946" s="633" t="s">
        <v>42794</v>
      </c>
      <c r="C3946" s="715" t="s">
        <v>207</v>
      </c>
      <c r="D3946" s="716">
        <v>12.08</v>
      </c>
    </row>
    <row r="3947" spans="1:4" ht="70">
      <c r="A3947" s="715">
        <v>92580</v>
      </c>
      <c r="B3947" s="633" t="s">
        <v>42795</v>
      </c>
      <c r="C3947" s="715" t="s">
        <v>509</v>
      </c>
      <c r="D3947" s="716">
        <v>52.41</v>
      </c>
    </row>
    <row r="3948" spans="1:4" ht="56">
      <c r="A3948" s="715">
        <v>92539</v>
      </c>
      <c r="B3948" s="633" t="s">
        <v>42796</v>
      </c>
      <c r="C3948" s="715" t="s">
        <v>509</v>
      </c>
      <c r="D3948" s="716">
        <v>109.31</v>
      </c>
    </row>
    <row r="3949" spans="1:4" ht="56">
      <c r="A3949" s="715">
        <v>92540</v>
      </c>
      <c r="B3949" s="633" t="s">
        <v>42797</v>
      </c>
      <c r="C3949" s="715" t="s">
        <v>509</v>
      </c>
      <c r="D3949" s="716">
        <v>122.62</v>
      </c>
    </row>
    <row r="3950" spans="1:4" ht="56">
      <c r="A3950" s="715">
        <v>92544</v>
      </c>
      <c r="B3950" s="633" t="s">
        <v>42798</v>
      </c>
      <c r="C3950" s="715" t="s">
        <v>509</v>
      </c>
      <c r="D3950" s="716">
        <v>26.69</v>
      </c>
    </row>
    <row r="3951" spans="1:4" ht="70">
      <c r="A3951" s="715">
        <v>92543</v>
      </c>
      <c r="B3951" s="633" t="s">
        <v>42799</v>
      </c>
      <c r="C3951" s="715" t="s">
        <v>509</v>
      </c>
      <c r="D3951" s="716">
        <v>33.33</v>
      </c>
    </row>
    <row r="3952" spans="1:4" ht="42">
      <c r="A3952" s="715">
        <v>97725</v>
      </c>
      <c r="B3952" s="633" t="s">
        <v>33679</v>
      </c>
      <c r="C3952" s="715" t="s">
        <v>121</v>
      </c>
      <c r="D3952" s="716">
        <v>0</v>
      </c>
    </row>
    <row r="3953" spans="1:4" ht="42">
      <c r="A3953" s="715">
        <v>97721</v>
      </c>
      <c r="B3953" s="633" t="s">
        <v>33680</v>
      </c>
      <c r="C3953" s="715" t="s">
        <v>121</v>
      </c>
      <c r="D3953" s="716">
        <v>0</v>
      </c>
    </row>
    <row r="3954" spans="1:4" ht="42">
      <c r="A3954" s="715">
        <v>97722</v>
      </c>
      <c r="B3954" s="633" t="s">
        <v>41447</v>
      </c>
      <c r="C3954" s="715" t="s">
        <v>121</v>
      </c>
      <c r="D3954" s="716">
        <v>0</v>
      </c>
    </row>
    <row r="3955" spans="1:4" ht="42">
      <c r="A3955" s="715">
        <v>97724</v>
      </c>
      <c r="B3955" s="633" t="s">
        <v>33681</v>
      </c>
      <c r="C3955" s="715" t="s">
        <v>121</v>
      </c>
      <c r="D3955" s="716">
        <v>0</v>
      </c>
    </row>
    <row r="3956" spans="1:4" ht="42">
      <c r="A3956" s="715">
        <v>97719</v>
      </c>
      <c r="B3956" s="633" t="s">
        <v>33682</v>
      </c>
      <c r="C3956" s="715" t="s">
        <v>121</v>
      </c>
      <c r="D3956" s="716">
        <v>0</v>
      </c>
    </row>
    <row r="3957" spans="1:4" ht="42">
      <c r="A3957" s="715">
        <v>97723</v>
      </c>
      <c r="B3957" s="633" t="s">
        <v>33683</v>
      </c>
      <c r="C3957" s="715" t="s">
        <v>121</v>
      </c>
      <c r="D3957" s="716">
        <v>0</v>
      </c>
    </row>
    <row r="3958" spans="1:4" ht="42">
      <c r="A3958" s="715">
        <v>104946</v>
      </c>
      <c r="B3958" s="633" t="s">
        <v>33684</v>
      </c>
      <c r="C3958" s="715" t="s">
        <v>121</v>
      </c>
      <c r="D3958" s="716">
        <v>0</v>
      </c>
    </row>
    <row r="3959" spans="1:4" ht="42">
      <c r="A3959" s="715">
        <v>104944</v>
      </c>
      <c r="B3959" s="633" t="s">
        <v>33685</v>
      </c>
      <c r="C3959" s="715" t="s">
        <v>121</v>
      </c>
      <c r="D3959" s="716">
        <v>0</v>
      </c>
    </row>
    <row r="3960" spans="1:4" ht="42">
      <c r="A3960" s="715">
        <v>104945</v>
      </c>
      <c r="B3960" s="633" t="s">
        <v>33686</v>
      </c>
      <c r="C3960" s="715" t="s">
        <v>121</v>
      </c>
      <c r="D3960" s="716">
        <v>0</v>
      </c>
    </row>
    <row r="3961" spans="1:4" ht="42">
      <c r="A3961" s="715">
        <v>97720</v>
      </c>
      <c r="B3961" s="633" t="s">
        <v>33687</v>
      </c>
      <c r="C3961" s="715" t="s">
        <v>121</v>
      </c>
      <c r="D3961" s="716">
        <v>0</v>
      </c>
    </row>
    <row r="3962" spans="1:4" ht="42">
      <c r="A3962" s="715">
        <v>97740</v>
      </c>
      <c r="B3962" s="633" t="s">
        <v>28999</v>
      </c>
      <c r="C3962" s="715" t="s">
        <v>121</v>
      </c>
      <c r="D3962" s="716">
        <v>2124.56</v>
      </c>
    </row>
    <row r="3963" spans="1:4" ht="56">
      <c r="A3963" s="715">
        <v>97738</v>
      </c>
      <c r="B3963" s="633" t="s">
        <v>28997</v>
      </c>
      <c r="C3963" s="715" t="s">
        <v>121</v>
      </c>
      <c r="D3963" s="716">
        <v>4579.32</v>
      </c>
    </row>
    <row r="3964" spans="1:4" ht="42">
      <c r="A3964" s="715">
        <v>97739</v>
      </c>
      <c r="B3964" s="633" t="s">
        <v>28998</v>
      </c>
      <c r="C3964" s="715" t="s">
        <v>121</v>
      </c>
      <c r="D3964" s="716">
        <v>3239.51</v>
      </c>
    </row>
    <row r="3965" spans="1:4" ht="42">
      <c r="A3965" s="715">
        <v>97736</v>
      </c>
      <c r="B3965" s="633" t="s">
        <v>28996</v>
      </c>
      <c r="C3965" s="715" t="s">
        <v>121</v>
      </c>
      <c r="D3965" s="716">
        <v>1557.74</v>
      </c>
    </row>
    <row r="3966" spans="1:4" ht="42">
      <c r="A3966" s="715">
        <v>97734</v>
      </c>
      <c r="B3966" s="633" t="s">
        <v>28994</v>
      </c>
      <c r="C3966" s="715" t="s">
        <v>121</v>
      </c>
      <c r="D3966" s="716">
        <v>3531.92</v>
      </c>
    </row>
    <row r="3967" spans="1:4" ht="42">
      <c r="A3967" s="715">
        <v>97735</v>
      </c>
      <c r="B3967" s="633" t="s">
        <v>28995</v>
      </c>
      <c r="C3967" s="715" t="s">
        <v>121</v>
      </c>
      <c r="D3967" s="716">
        <v>2822.55</v>
      </c>
    </row>
    <row r="3968" spans="1:4" ht="42">
      <c r="A3968" s="715">
        <v>97737</v>
      </c>
      <c r="B3968" s="633" t="s">
        <v>30128</v>
      </c>
      <c r="C3968" s="715" t="s">
        <v>121</v>
      </c>
      <c r="D3968" s="716">
        <v>3582.14</v>
      </c>
    </row>
    <row r="3969" spans="1:4" ht="42">
      <c r="A3969" s="715">
        <v>97733</v>
      </c>
      <c r="B3969" s="633" t="s">
        <v>28993</v>
      </c>
      <c r="C3969" s="715" t="s">
        <v>121</v>
      </c>
      <c r="D3969" s="716">
        <v>3989.55</v>
      </c>
    </row>
    <row r="3970" spans="1:4" ht="42">
      <c r="A3970" s="715">
        <v>98616</v>
      </c>
      <c r="B3970" s="633" t="s">
        <v>33688</v>
      </c>
      <c r="C3970" s="715" t="s">
        <v>509</v>
      </c>
      <c r="D3970" s="716">
        <v>246.09</v>
      </c>
    </row>
    <row r="3971" spans="1:4" ht="42">
      <c r="A3971" s="715">
        <v>98619</v>
      </c>
      <c r="B3971" s="633" t="s">
        <v>33689</v>
      </c>
      <c r="C3971" s="715" t="s">
        <v>509</v>
      </c>
      <c r="D3971" s="716">
        <v>265.77</v>
      </c>
    </row>
    <row r="3972" spans="1:4" ht="42">
      <c r="A3972" s="715">
        <v>98622</v>
      </c>
      <c r="B3972" s="633" t="s">
        <v>33690</v>
      </c>
      <c r="C3972" s="715" t="s">
        <v>509</v>
      </c>
      <c r="D3972" s="716">
        <v>403.57</v>
      </c>
    </row>
    <row r="3973" spans="1:4" ht="42">
      <c r="A3973" s="715">
        <v>98625</v>
      </c>
      <c r="B3973" s="633" t="s">
        <v>33691</v>
      </c>
      <c r="C3973" s="715" t="s">
        <v>509</v>
      </c>
      <c r="D3973" s="716">
        <v>420.23</v>
      </c>
    </row>
    <row r="3974" spans="1:4" ht="42">
      <c r="A3974" s="715">
        <v>105918</v>
      </c>
      <c r="B3974" s="633" t="s">
        <v>33692</v>
      </c>
      <c r="C3974" s="715" t="s">
        <v>509</v>
      </c>
      <c r="D3974" s="716">
        <v>0</v>
      </c>
    </row>
    <row r="3975" spans="1:4" ht="42">
      <c r="A3975" s="715">
        <v>98631</v>
      </c>
      <c r="B3975" s="633" t="s">
        <v>33693</v>
      </c>
      <c r="C3975" s="715" t="s">
        <v>509</v>
      </c>
      <c r="D3975" s="716">
        <v>0</v>
      </c>
    </row>
    <row r="3976" spans="1:4" ht="42">
      <c r="A3976" s="715">
        <v>98637</v>
      </c>
      <c r="B3976" s="633" t="s">
        <v>33694</v>
      </c>
      <c r="C3976" s="715" t="s">
        <v>121</v>
      </c>
      <c r="D3976" s="716">
        <v>0</v>
      </c>
    </row>
    <row r="3977" spans="1:4" ht="42">
      <c r="A3977" s="715">
        <v>98641</v>
      </c>
      <c r="B3977" s="633" t="s">
        <v>33695</v>
      </c>
      <c r="C3977" s="715" t="s">
        <v>121</v>
      </c>
      <c r="D3977" s="716">
        <v>0</v>
      </c>
    </row>
    <row r="3978" spans="1:4" ht="42">
      <c r="A3978" s="715">
        <v>98645</v>
      </c>
      <c r="B3978" s="633" t="s">
        <v>33696</v>
      </c>
      <c r="C3978" s="715" t="s">
        <v>121</v>
      </c>
      <c r="D3978" s="716">
        <v>0</v>
      </c>
    </row>
    <row r="3979" spans="1:4" ht="42">
      <c r="A3979" s="715">
        <v>98649</v>
      </c>
      <c r="B3979" s="633" t="s">
        <v>33697</v>
      </c>
      <c r="C3979" s="715" t="s">
        <v>121</v>
      </c>
      <c r="D3979" s="716">
        <v>0</v>
      </c>
    </row>
    <row r="3980" spans="1:4" ht="42">
      <c r="A3980" s="715">
        <v>98653</v>
      </c>
      <c r="B3980" s="633" t="s">
        <v>33698</v>
      </c>
      <c r="C3980" s="715" t="s">
        <v>121</v>
      </c>
      <c r="D3980" s="716">
        <v>0</v>
      </c>
    </row>
    <row r="3981" spans="1:4" ht="42">
      <c r="A3981" s="715">
        <v>98657</v>
      </c>
      <c r="B3981" s="633" t="s">
        <v>33699</v>
      </c>
      <c r="C3981" s="715" t="s">
        <v>165</v>
      </c>
      <c r="D3981" s="716">
        <v>720.5</v>
      </c>
    </row>
    <row r="3982" spans="1:4" ht="42">
      <c r="A3982" s="715">
        <v>100344</v>
      </c>
      <c r="B3982" s="633" t="s">
        <v>30088</v>
      </c>
      <c r="C3982" s="715" t="s">
        <v>207</v>
      </c>
      <c r="D3982" s="716">
        <v>11.15</v>
      </c>
    </row>
    <row r="3983" spans="1:4" ht="42">
      <c r="A3983" s="715">
        <v>100345</v>
      </c>
      <c r="B3983" s="633" t="s">
        <v>30089</v>
      </c>
      <c r="C3983" s="715" t="s">
        <v>207</v>
      </c>
      <c r="D3983" s="716">
        <v>8.32</v>
      </c>
    </row>
    <row r="3984" spans="1:4" ht="42">
      <c r="A3984" s="715">
        <v>100346</v>
      </c>
      <c r="B3984" s="633" t="s">
        <v>30090</v>
      </c>
      <c r="C3984" s="715" t="s">
        <v>207</v>
      </c>
      <c r="D3984" s="716">
        <v>7.78</v>
      </c>
    </row>
    <row r="3985" spans="1:4" ht="42">
      <c r="A3985" s="715">
        <v>100347</v>
      </c>
      <c r="B3985" s="633" t="s">
        <v>30091</v>
      </c>
      <c r="C3985" s="715" t="s">
        <v>207</v>
      </c>
      <c r="D3985" s="716">
        <v>8.56</v>
      </c>
    </row>
    <row r="3986" spans="1:4" ht="42">
      <c r="A3986" s="715">
        <v>100348</v>
      </c>
      <c r="B3986" s="633" t="s">
        <v>30092</v>
      </c>
      <c r="C3986" s="715" t="s">
        <v>207</v>
      </c>
      <c r="D3986" s="716">
        <v>8.35</v>
      </c>
    </row>
    <row r="3987" spans="1:4" ht="42">
      <c r="A3987" s="715">
        <v>100342</v>
      </c>
      <c r="B3987" s="633" t="s">
        <v>30086</v>
      </c>
      <c r="C3987" s="715" t="s">
        <v>207</v>
      </c>
      <c r="D3987" s="716">
        <v>16.89</v>
      </c>
    </row>
    <row r="3988" spans="1:4" ht="42">
      <c r="A3988" s="715">
        <v>100343</v>
      </c>
      <c r="B3988" s="633" t="s">
        <v>30087</v>
      </c>
      <c r="C3988" s="715" t="s">
        <v>207</v>
      </c>
      <c r="D3988" s="716">
        <v>14.24</v>
      </c>
    </row>
    <row r="3989" spans="1:4" ht="42">
      <c r="A3989" s="715">
        <v>100349</v>
      </c>
      <c r="B3989" s="633" t="s">
        <v>30093</v>
      </c>
      <c r="C3989" s="715" t="s">
        <v>121</v>
      </c>
      <c r="D3989" s="716">
        <v>636.70000000000005</v>
      </c>
    </row>
    <row r="3990" spans="1:4" ht="56">
      <c r="A3990" s="715">
        <v>100336</v>
      </c>
      <c r="B3990" s="633" t="s">
        <v>33700</v>
      </c>
      <c r="C3990" s="715" t="s">
        <v>509</v>
      </c>
      <c r="D3990" s="716">
        <v>0</v>
      </c>
    </row>
    <row r="3991" spans="1:4" ht="56">
      <c r="A3991" s="715">
        <v>100337</v>
      </c>
      <c r="B3991" s="633" t="s">
        <v>33701</v>
      </c>
      <c r="C3991" s="715" t="s">
        <v>509</v>
      </c>
      <c r="D3991" s="716">
        <v>0</v>
      </c>
    </row>
    <row r="3992" spans="1:4" ht="56">
      <c r="A3992" s="715">
        <v>100339</v>
      </c>
      <c r="B3992" s="633" t="s">
        <v>33702</v>
      </c>
      <c r="C3992" s="715" t="s">
        <v>509</v>
      </c>
      <c r="D3992" s="716">
        <v>0</v>
      </c>
    </row>
    <row r="3993" spans="1:4" ht="56">
      <c r="A3993" s="715">
        <v>100340</v>
      </c>
      <c r="B3993" s="633" t="s">
        <v>33703</v>
      </c>
      <c r="C3993" s="715" t="s">
        <v>509</v>
      </c>
      <c r="D3993" s="716">
        <v>0</v>
      </c>
    </row>
    <row r="3994" spans="1:4" ht="42">
      <c r="A3994" s="715">
        <v>105805</v>
      </c>
      <c r="B3994" s="633" t="s">
        <v>33704</v>
      </c>
      <c r="C3994" s="715" t="s">
        <v>509</v>
      </c>
      <c r="D3994" s="716">
        <v>885.25</v>
      </c>
    </row>
    <row r="3995" spans="1:4" ht="42">
      <c r="A3995" s="715">
        <v>105806</v>
      </c>
      <c r="B3995" s="633" t="s">
        <v>33705</v>
      </c>
      <c r="C3995" s="715" t="s">
        <v>509</v>
      </c>
      <c r="D3995" s="716">
        <v>557.91999999999996</v>
      </c>
    </row>
    <row r="3996" spans="1:4" ht="42">
      <c r="A3996" s="715">
        <v>105807</v>
      </c>
      <c r="B3996" s="633" t="s">
        <v>33706</v>
      </c>
      <c r="C3996" s="715" t="s">
        <v>509</v>
      </c>
      <c r="D3996" s="716">
        <v>705.36</v>
      </c>
    </row>
    <row r="3997" spans="1:4" ht="42">
      <c r="A3997" s="715">
        <v>105808</v>
      </c>
      <c r="B3997" s="633" t="s">
        <v>33707</v>
      </c>
      <c r="C3997" s="715" t="s">
        <v>509</v>
      </c>
      <c r="D3997" s="716">
        <v>459.86</v>
      </c>
    </row>
    <row r="3998" spans="1:4" ht="56">
      <c r="A3998" s="715">
        <v>100341</v>
      </c>
      <c r="B3998" s="633" t="s">
        <v>30085</v>
      </c>
      <c r="C3998" s="715" t="s">
        <v>509</v>
      </c>
      <c r="D3998" s="716">
        <v>45.61</v>
      </c>
    </row>
    <row r="3999" spans="1:4" ht="56">
      <c r="A3999" s="715">
        <v>100351</v>
      </c>
      <c r="B3999" s="633" t="s">
        <v>33708</v>
      </c>
      <c r="C3999" s="715" t="s">
        <v>509</v>
      </c>
      <c r="D3999" s="716">
        <v>0</v>
      </c>
    </row>
    <row r="4000" spans="1:4" ht="56">
      <c r="A4000" s="715">
        <v>100353</v>
      </c>
      <c r="B4000" s="633" t="s">
        <v>33709</v>
      </c>
      <c r="C4000" s="715" t="s">
        <v>509</v>
      </c>
      <c r="D4000" s="716">
        <v>0</v>
      </c>
    </row>
    <row r="4001" spans="1:4" ht="42">
      <c r="A4001" s="715">
        <v>100350</v>
      </c>
      <c r="B4001" s="633" t="s">
        <v>33710</v>
      </c>
      <c r="C4001" s="715" t="s">
        <v>509</v>
      </c>
      <c r="D4001" s="716">
        <v>0</v>
      </c>
    </row>
    <row r="4002" spans="1:4" ht="56">
      <c r="A4002" s="715">
        <v>105043</v>
      </c>
      <c r="B4002" s="633" t="s">
        <v>33711</v>
      </c>
      <c r="C4002" s="715" t="s">
        <v>165</v>
      </c>
      <c r="D4002" s="716">
        <v>0</v>
      </c>
    </row>
    <row r="4003" spans="1:4" ht="56">
      <c r="A4003" s="715">
        <v>105047</v>
      </c>
      <c r="B4003" s="633" t="s">
        <v>33712</v>
      </c>
      <c r="C4003" s="715" t="s">
        <v>165</v>
      </c>
      <c r="D4003" s="716">
        <v>0</v>
      </c>
    </row>
    <row r="4004" spans="1:4" ht="56">
      <c r="A4004" s="715">
        <v>105044</v>
      </c>
      <c r="B4004" s="633" t="s">
        <v>33713</v>
      </c>
      <c r="C4004" s="715" t="s">
        <v>165</v>
      </c>
      <c r="D4004" s="716">
        <v>0</v>
      </c>
    </row>
    <row r="4005" spans="1:4" ht="56">
      <c r="A4005" s="715">
        <v>105094</v>
      </c>
      <c r="B4005" s="633" t="s">
        <v>33714</v>
      </c>
      <c r="C4005" s="715" t="s">
        <v>165</v>
      </c>
      <c r="D4005" s="716">
        <v>0</v>
      </c>
    </row>
    <row r="4006" spans="1:4" ht="56">
      <c r="A4006" s="715">
        <v>105096</v>
      </c>
      <c r="B4006" s="633" t="s">
        <v>33715</v>
      </c>
      <c r="C4006" s="715" t="s">
        <v>165</v>
      </c>
      <c r="D4006" s="716">
        <v>0</v>
      </c>
    </row>
    <row r="4007" spans="1:4" ht="56">
      <c r="A4007" s="715">
        <v>105048</v>
      </c>
      <c r="B4007" s="633" t="s">
        <v>33716</v>
      </c>
      <c r="C4007" s="715" t="s">
        <v>165</v>
      </c>
      <c r="D4007" s="716">
        <v>0</v>
      </c>
    </row>
    <row r="4008" spans="1:4" ht="56">
      <c r="A4008" s="715">
        <v>105097</v>
      </c>
      <c r="B4008" s="633" t="s">
        <v>33717</v>
      </c>
      <c r="C4008" s="715" t="s">
        <v>165</v>
      </c>
      <c r="D4008" s="716">
        <v>0</v>
      </c>
    </row>
    <row r="4009" spans="1:4" ht="56">
      <c r="A4009" s="715">
        <v>105049</v>
      </c>
      <c r="B4009" s="633" t="s">
        <v>33718</v>
      </c>
      <c r="C4009" s="715" t="s">
        <v>165</v>
      </c>
      <c r="D4009" s="716">
        <v>0</v>
      </c>
    </row>
    <row r="4010" spans="1:4" ht="56">
      <c r="A4010" s="715">
        <v>105051</v>
      </c>
      <c r="B4010" s="633" t="s">
        <v>33719</v>
      </c>
      <c r="C4010" s="715" t="s">
        <v>165</v>
      </c>
      <c r="D4010" s="716">
        <v>0</v>
      </c>
    </row>
    <row r="4011" spans="1:4" ht="56">
      <c r="A4011" s="715">
        <v>105054</v>
      </c>
      <c r="B4011" s="633" t="s">
        <v>33720</v>
      </c>
      <c r="C4011" s="715" t="s">
        <v>165</v>
      </c>
      <c r="D4011" s="716">
        <v>0</v>
      </c>
    </row>
    <row r="4012" spans="1:4" ht="56">
      <c r="A4012" s="715">
        <v>105052</v>
      </c>
      <c r="B4012" s="633" t="s">
        <v>33721</v>
      </c>
      <c r="C4012" s="715" t="s">
        <v>165</v>
      </c>
      <c r="D4012" s="716">
        <v>0</v>
      </c>
    </row>
    <row r="4013" spans="1:4" ht="56">
      <c r="A4013" s="715">
        <v>105055</v>
      </c>
      <c r="B4013" s="633" t="s">
        <v>33722</v>
      </c>
      <c r="C4013" s="715" t="s">
        <v>165</v>
      </c>
      <c r="D4013" s="716">
        <v>0</v>
      </c>
    </row>
    <row r="4014" spans="1:4" ht="56">
      <c r="A4014" s="715">
        <v>105065</v>
      </c>
      <c r="B4014" s="633" t="s">
        <v>33723</v>
      </c>
      <c r="C4014" s="715" t="s">
        <v>165</v>
      </c>
      <c r="D4014" s="716">
        <v>0</v>
      </c>
    </row>
    <row r="4015" spans="1:4" ht="56">
      <c r="A4015" s="715">
        <v>105059</v>
      </c>
      <c r="B4015" s="633" t="s">
        <v>33724</v>
      </c>
      <c r="C4015" s="715" t="s">
        <v>165</v>
      </c>
      <c r="D4015" s="716">
        <v>0</v>
      </c>
    </row>
    <row r="4016" spans="1:4" ht="56">
      <c r="A4016" s="715">
        <v>105057</v>
      </c>
      <c r="B4016" s="633" t="s">
        <v>33725</v>
      </c>
      <c r="C4016" s="715" t="s">
        <v>165</v>
      </c>
      <c r="D4016" s="716">
        <v>0</v>
      </c>
    </row>
    <row r="4017" spans="1:4" ht="56">
      <c r="A4017" s="715">
        <v>105060</v>
      </c>
      <c r="B4017" s="633" t="s">
        <v>33726</v>
      </c>
      <c r="C4017" s="715" t="s">
        <v>165</v>
      </c>
      <c r="D4017" s="716">
        <v>0</v>
      </c>
    </row>
    <row r="4018" spans="1:4" ht="56">
      <c r="A4018" s="715">
        <v>105042</v>
      </c>
      <c r="B4018" s="633" t="s">
        <v>29004</v>
      </c>
      <c r="C4018" s="715" t="s">
        <v>165</v>
      </c>
      <c r="D4018" s="716">
        <v>75.790000000000006</v>
      </c>
    </row>
    <row r="4019" spans="1:4" ht="56">
      <c r="A4019" s="715">
        <v>105046</v>
      </c>
      <c r="B4019" s="633" t="s">
        <v>29006</v>
      </c>
      <c r="C4019" s="715" t="s">
        <v>165</v>
      </c>
      <c r="D4019" s="716">
        <v>63</v>
      </c>
    </row>
    <row r="4020" spans="1:4" ht="56">
      <c r="A4020" s="715">
        <v>105095</v>
      </c>
      <c r="B4020" s="633" t="s">
        <v>29031</v>
      </c>
      <c r="C4020" s="715" t="s">
        <v>165</v>
      </c>
      <c r="D4020" s="716">
        <v>111.49</v>
      </c>
    </row>
    <row r="4021" spans="1:4" ht="56">
      <c r="A4021" s="715">
        <v>105098</v>
      </c>
      <c r="B4021" s="633" t="s">
        <v>29032</v>
      </c>
      <c r="C4021" s="715" t="s">
        <v>165</v>
      </c>
      <c r="D4021" s="716">
        <v>98.72</v>
      </c>
    </row>
    <row r="4022" spans="1:4" ht="56">
      <c r="A4022" s="715">
        <v>105050</v>
      </c>
      <c r="B4022" s="633" t="s">
        <v>29007</v>
      </c>
      <c r="C4022" s="715" t="s">
        <v>165</v>
      </c>
      <c r="D4022" s="716">
        <v>228.23</v>
      </c>
    </row>
    <row r="4023" spans="1:4" ht="56">
      <c r="A4023" s="715">
        <v>105053</v>
      </c>
      <c r="B4023" s="633" t="s">
        <v>29008</v>
      </c>
      <c r="C4023" s="715" t="s">
        <v>165</v>
      </c>
      <c r="D4023" s="716">
        <v>215.63</v>
      </c>
    </row>
    <row r="4024" spans="1:4" ht="56">
      <c r="A4024" s="715">
        <v>105056</v>
      </c>
      <c r="B4024" s="633" t="s">
        <v>29009</v>
      </c>
      <c r="C4024" s="715" t="s">
        <v>165</v>
      </c>
      <c r="D4024" s="716">
        <v>314.16000000000003</v>
      </c>
    </row>
    <row r="4025" spans="1:4" ht="56">
      <c r="A4025" s="715">
        <v>105058</v>
      </c>
      <c r="B4025" s="633" t="s">
        <v>29010</v>
      </c>
      <c r="C4025" s="715" t="s">
        <v>165</v>
      </c>
      <c r="D4025" s="716">
        <v>302.49</v>
      </c>
    </row>
    <row r="4026" spans="1:4" ht="70">
      <c r="A4026" s="715">
        <v>105062</v>
      </c>
      <c r="B4026" s="633" t="s">
        <v>33727</v>
      </c>
      <c r="C4026" s="715" t="s">
        <v>165</v>
      </c>
      <c r="D4026" s="716">
        <v>0</v>
      </c>
    </row>
    <row r="4027" spans="1:4" ht="70">
      <c r="A4027" s="715">
        <v>105066</v>
      </c>
      <c r="B4027" s="633" t="s">
        <v>33728</v>
      </c>
      <c r="C4027" s="715" t="s">
        <v>165</v>
      </c>
      <c r="D4027" s="716">
        <v>0</v>
      </c>
    </row>
    <row r="4028" spans="1:4" ht="70">
      <c r="A4028" s="715">
        <v>105063</v>
      </c>
      <c r="B4028" s="633" t="s">
        <v>33729</v>
      </c>
      <c r="C4028" s="715" t="s">
        <v>165</v>
      </c>
      <c r="D4028" s="716">
        <v>0</v>
      </c>
    </row>
    <row r="4029" spans="1:4" ht="70">
      <c r="A4029" s="715">
        <v>105067</v>
      </c>
      <c r="B4029" s="633" t="s">
        <v>33730</v>
      </c>
      <c r="C4029" s="715" t="s">
        <v>165</v>
      </c>
      <c r="D4029" s="716">
        <v>0</v>
      </c>
    </row>
    <row r="4030" spans="1:4" ht="70">
      <c r="A4030" s="715">
        <v>105069</v>
      </c>
      <c r="B4030" s="633" t="s">
        <v>33731</v>
      </c>
      <c r="C4030" s="715" t="s">
        <v>165</v>
      </c>
      <c r="D4030" s="716">
        <v>0</v>
      </c>
    </row>
    <row r="4031" spans="1:4" ht="70">
      <c r="A4031" s="715">
        <v>105072</v>
      </c>
      <c r="B4031" s="633" t="s">
        <v>33732</v>
      </c>
      <c r="C4031" s="715" t="s">
        <v>165</v>
      </c>
      <c r="D4031" s="716">
        <v>0</v>
      </c>
    </row>
    <row r="4032" spans="1:4" ht="70">
      <c r="A4032" s="715">
        <v>105070</v>
      </c>
      <c r="B4032" s="633" t="s">
        <v>33733</v>
      </c>
      <c r="C4032" s="715" t="s">
        <v>165</v>
      </c>
      <c r="D4032" s="716">
        <v>0</v>
      </c>
    </row>
    <row r="4033" spans="1:4" ht="70">
      <c r="A4033" s="715">
        <v>105073</v>
      </c>
      <c r="B4033" s="633" t="s">
        <v>33734</v>
      </c>
      <c r="C4033" s="715" t="s">
        <v>165</v>
      </c>
      <c r="D4033" s="716">
        <v>0</v>
      </c>
    </row>
    <row r="4034" spans="1:4" ht="70">
      <c r="A4034" s="715">
        <v>105075</v>
      </c>
      <c r="B4034" s="633" t="s">
        <v>33735</v>
      </c>
      <c r="C4034" s="715" t="s">
        <v>165</v>
      </c>
      <c r="D4034" s="716">
        <v>0</v>
      </c>
    </row>
    <row r="4035" spans="1:4" ht="70">
      <c r="A4035" s="715">
        <v>105078</v>
      </c>
      <c r="B4035" s="633" t="s">
        <v>33736</v>
      </c>
      <c r="C4035" s="715" t="s">
        <v>165</v>
      </c>
      <c r="D4035" s="716">
        <v>0</v>
      </c>
    </row>
    <row r="4036" spans="1:4" ht="70">
      <c r="A4036" s="715">
        <v>105076</v>
      </c>
      <c r="B4036" s="633" t="s">
        <v>33737</v>
      </c>
      <c r="C4036" s="715" t="s">
        <v>165</v>
      </c>
      <c r="D4036" s="716">
        <v>0</v>
      </c>
    </row>
    <row r="4037" spans="1:4" ht="70">
      <c r="A4037" s="715">
        <v>105079</v>
      </c>
      <c r="B4037" s="633" t="s">
        <v>33738</v>
      </c>
      <c r="C4037" s="715" t="s">
        <v>165</v>
      </c>
      <c r="D4037" s="716">
        <v>0</v>
      </c>
    </row>
    <row r="4038" spans="1:4" ht="70">
      <c r="A4038" s="715">
        <v>105061</v>
      </c>
      <c r="B4038" s="633" t="s">
        <v>29011</v>
      </c>
      <c r="C4038" s="715" t="s">
        <v>165</v>
      </c>
      <c r="D4038" s="716">
        <v>117.75</v>
      </c>
    </row>
    <row r="4039" spans="1:4" ht="70">
      <c r="A4039" s="715">
        <v>105064</v>
      </c>
      <c r="B4039" s="633" t="s">
        <v>29012</v>
      </c>
      <c r="C4039" s="715" t="s">
        <v>165</v>
      </c>
      <c r="D4039" s="716">
        <v>101.2</v>
      </c>
    </row>
    <row r="4040" spans="1:4" ht="70">
      <c r="A4040" s="715">
        <v>105068</v>
      </c>
      <c r="B4040" s="633" t="s">
        <v>29013</v>
      </c>
      <c r="C4040" s="715" t="s">
        <v>165</v>
      </c>
      <c r="D4040" s="716">
        <v>195.78</v>
      </c>
    </row>
    <row r="4041" spans="1:4" ht="70">
      <c r="A4041" s="715">
        <v>105071</v>
      </c>
      <c r="B4041" s="633" t="s">
        <v>29014</v>
      </c>
      <c r="C4041" s="715" t="s">
        <v>165</v>
      </c>
      <c r="D4041" s="716">
        <v>179.25</v>
      </c>
    </row>
    <row r="4042" spans="1:4" ht="70">
      <c r="A4042" s="715">
        <v>105074</v>
      </c>
      <c r="B4042" s="633" t="s">
        <v>29015</v>
      </c>
      <c r="C4042" s="715" t="s">
        <v>165</v>
      </c>
      <c r="D4042" s="716">
        <v>304.97000000000003</v>
      </c>
    </row>
    <row r="4043" spans="1:4" ht="70">
      <c r="A4043" s="715">
        <v>105077</v>
      </c>
      <c r="B4043" s="633" t="s">
        <v>29016</v>
      </c>
      <c r="C4043" s="715" t="s">
        <v>165</v>
      </c>
      <c r="D4043" s="716">
        <v>288.52999999999997</v>
      </c>
    </row>
    <row r="4044" spans="1:4" ht="28">
      <c r="A4044" s="715">
        <v>105090</v>
      </c>
      <c r="B4044" s="633" t="s">
        <v>29027</v>
      </c>
      <c r="C4044" s="715" t="s">
        <v>509</v>
      </c>
      <c r="D4044" s="716">
        <v>593.85</v>
      </c>
    </row>
    <row r="4045" spans="1:4" ht="42">
      <c r="A4045" s="715">
        <v>105099</v>
      </c>
      <c r="B4045" s="633" t="s">
        <v>29033</v>
      </c>
      <c r="C4045" s="715" t="s">
        <v>165</v>
      </c>
      <c r="D4045" s="716">
        <v>91.34</v>
      </c>
    </row>
    <row r="4046" spans="1:4" ht="42">
      <c r="A4046" s="715">
        <v>105100</v>
      </c>
      <c r="B4046" s="633" t="s">
        <v>29034</v>
      </c>
      <c r="C4046" s="715" t="s">
        <v>165</v>
      </c>
      <c r="D4046" s="716">
        <v>130.66</v>
      </c>
    </row>
    <row r="4047" spans="1:4" ht="42">
      <c r="A4047" s="715">
        <v>105101</v>
      </c>
      <c r="B4047" s="633" t="s">
        <v>29035</v>
      </c>
      <c r="C4047" s="715" t="s">
        <v>165</v>
      </c>
      <c r="D4047" s="716">
        <v>255</v>
      </c>
    </row>
    <row r="4048" spans="1:4" ht="42">
      <c r="A4048" s="715">
        <v>105102</v>
      </c>
      <c r="B4048" s="633" t="s">
        <v>29036</v>
      </c>
      <c r="C4048" s="715" t="s">
        <v>165</v>
      </c>
      <c r="D4048" s="716">
        <v>350.79</v>
      </c>
    </row>
    <row r="4049" spans="1:4" ht="42">
      <c r="A4049" s="715">
        <v>105080</v>
      </c>
      <c r="B4049" s="633" t="s">
        <v>29017</v>
      </c>
      <c r="C4049" s="715" t="s">
        <v>165</v>
      </c>
      <c r="D4049" s="716">
        <v>74.209999999999994</v>
      </c>
    </row>
    <row r="4050" spans="1:4" ht="42">
      <c r="A4050" s="715">
        <v>105081</v>
      </c>
      <c r="B4050" s="633" t="s">
        <v>29018</v>
      </c>
      <c r="C4050" s="715" t="s">
        <v>165</v>
      </c>
      <c r="D4050" s="716">
        <v>86.6</v>
      </c>
    </row>
    <row r="4051" spans="1:4" ht="42">
      <c r="A4051" s="715">
        <v>105091</v>
      </c>
      <c r="B4051" s="633" t="s">
        <v>29028</v>
      </c>
      <c r="C4051" s="715" t="s">
        <v>165</v>
      </c>
      <c r="D4051" s="716">
        <v>154.38999999999999</v>
      </c>
    </row>
    <row r="4052" spans="1:4" ht="42">
      <c r="A4052" s="715">
        <v>105089</v>
      </c>
      <c r="B4052" s="633" t="s">
        <v>29026</v>
      </c>
      <c r="C4052" s="715" t="s">
        <v>165</v>
      </c>
      <c r="D4052" s="716">
        <v>196.02</v>
      </c>
    </row>
    <row r="4053" spans="1:4" ht="42">
      <c r="A4053" s="715">
        <v>105082</v>
      </c>
      <c r="B4053" s="633" t="s">
        <v>29019</v>
      </c>
      <c r="C4053" s="715" t="s">
        <v>165</v>
      </c>
      <c r="D4053" s="716">
        <v>77.540000000000006</v>
      </c>
    </row>
    <row r="4054" spans="1:4" ht="42">
      <c r="A4054" s="715">
        <v>105083</v>
      </c>
      <c r="B4054" s="633" t="s">
        <v>29020</v>
      </c>
      <c r="C4054" s="715" t="s">
        <v>165</v>
      </c>
      <c r="D4054" s="716">
        <v>88.12</v>
      </c>
    </row>
    <row r="4055" spans="1:4" ht="42">
      <c r="A4055" s="715">
        <v>105084</v>
      </c>
      <c r="B4055" s="633" t="s">
        <v>29021</v>
      </c>
      <c r="C4055" s="715" t="s">
        <v>165</v>
      </c>
      <c r="D4055" s="716">
        <v>110.55</v>
      </c>
    </row>
    <row r="4056" spans="1:4" ht="42">
      <c r="A4056" s="715">
        <v>105086</v>
      </c>
      <c r="B4056" s="633" t="s">
        <v>29023</v>
      </c>
      <c r="C4056" s="715" t="s">
        <v>165</v>
      </c>
      <c r="D4056" s="716">
        <v>102.48</v>
      </c>
    </row>
    <row r="4057" spans="1:4" ht="42">
      <c r="A4057" s="715">
        <v>105087</v>
      </c>
      <c r="B4057" s="633" t="s">
        <v>29024</v>
      </c>
      <c r="C4057" s="715" t="s">
        <v>165</v>
      </c>
      <c r="D4057" s="716">
        <v>115.69</v>
      </c>
    </row>
    <row r="4058" spans="1:4" ht="42">
      <c r="A4058" s="715">
        <v>105088</v>
      </c>
      <c r="B4058" s="633" t="s">
        <v>29025</v>
      </c>
      <c r="C4058" s="715" t="s">
        <v>165</v>
      </c>
      <c r="D4058" s="716">
        <v>212.74</v>
      </c>
    </row>
    <row r="4059" spans="1:4" ht="42">
      <c r="A4059" s="715">
        <v>105092</v>
      </c>
      <c r="B4059" s="633" t="s">
        <v>29029</v>
      </c>
      <c r="C4059" s="715" t="s">
        <v>165</v>
      </c>
      <c r="D4059" s="716">
        <v>168.32</v>
      </c>
    </row>
    <row r="4060" spans="1:4" ht="42">
      <c r="A4060" s="715">
        <v>105085</v>
      </c>
      <c r="B4060" s="633" t="s">
        <v>29022</v>
      </c>
      <c r="C4060" s="715" t="s">
        <v>165</v>
      </c>
      <c r="D4060" s="716">
        <v>115.76</v>
      </c>
    </row>
    <row r="4061" spans="1:4" ht="42">
      <c r="A4061" s="715">
        <v>105093</v>
      </c>
      <c r="B4061" s="633" t="s">
        <v>29030</v>
      </c>
      <c r="C4061" s="715" t="s">
        <v>165</v>
      </c>
      <c r="D4061" s="716">
        <v>170.96</v>
      </c>
    </row>
    <row r="4062" spans="1:4" ht="42">
      <c r="A4062" s="715">
        <v>105041</v>
      </c>
      <c r="B4062" s="633" t="s">
        <v>29003</v>
      </c>
      <c r="C4062" s="715" t="s">
        <v>165</v>
      </c>
      <c r="D4062" s="716">
        <v>56.49</v>
      </c>
    </row>
    <row r="4063" spans="1:4" ht="42">
      <c r="A4063" s="715">
        <v>105045</v>
      </c>
      <c r="B4063" s="633" t="s">
        <v>29005</v>
      </c>
      <c r="C4063" s="715" t="s">
        <v>165</v>
      </c>
      <c r="D4063" s="716">
        <v>64.489999999999995</v>
      </c>
    </row>
    <row r="4064" spans="1:4" ht="56">
      <c r="A4064" s="715">
        <v>93961</v>
      </c>
      <c r="B4064" s="633" t="s">
        <v>29910</v>
      </c>
      <c r="C4064" s="715" t="s">
        <v>165</v>
      </c>
      <c r="D4064" s="716">
        <v>244.41</v>
      </c>
    </row>
    <row r="4065" spans="1:4" ht="56">
      <c r="A4065" s="715">
        <v>93971</v>
      </c>
      <c r="B4065" s="633" t="s">
        <v>30084</v>
      </c>
      <c r="C4065" s="715" t="s">
        <v>165</v>
      </c>
      <c r="D4065" s="716">
        <v>203.68</v>
      </c>
    </row>
    <row r="4066" spans="1:4" ht="70">
      <c r="A4066" s="715">
        <v>93959</v>
      </c>
      <c r="B4066" s="633" t="s">
        <v>29909</v>
      </c>
      <c r="C4066" s="715" t="s">
        <v>165</v>
      </c>
      <c r="D4066" s="716">
        <v>274.10000000000002</v>
      </c>
    </row>
    <row r="4067" spans="1:4" ht="70">
      <c r="A4067" s="715">
        <v>93969</v>
      </c>
      <c r="B4067" s="633" t="s">
        <v>29912</v>
      </c>
      <c r="C4067" s="715" t="s">
        <v>165</v>
      </c>
      <c r="D4067" s="716">
        <v>227.67</v>
      </c>
    </row>
    <row r="4068" spans="1:4" ht="56">
      <c r="A4068" s="715">
        <v>93957</v>
      </c>
      <c r="B4068" s="633" t="s">
        <v>29908</v>
      </c>
      <c r="C4068" s="715" t="s">
        <v>165</v>
      </c>
      <c r="D4068" s="716">
        <v>344.88</v>
      </c>
    </row>
    <row r="4069" spans="1:4" ht="56">
      <c r="A4069" s="715">
        <v>93967</v>
      </c>
      <c r="B4069" s="633" t="s">
        <v>29911</v>
      </c>
      <c r="C4069" s="715" t="s">
        <v>165</v>
      </c>
      <c r="D4069" s="716">
        <v>286.8</v>
      </c>
    </row>
    <row r="4070" spans="1:4" ht="42">
      <c r="A4070" s="715">
        <v>104878</v>
      </c>
      <c r="B4070" s="633" t="s">
        <v>28515</v>
      </c>
      <c r="C4070" s="715" t="s">
        <v>103</v>
      </c>
      <c r="D4070" s="716">
        <v>2379.11</v>
      </c>
    </row>
    <row r="4071" spans="1:4" ht="42">
      <c r="A4071" s="715">
        <v>104877</v>
      </c>
      <c r="B4071" s="633" t="s">
        <v>28514</v>
      </c>
      <c r="C4071" s="715" t="s">
        <v>103</v>
      </c>
      <c r="D4071" s="716">
        <v>676.71</v>
      </c>
    </row>
    <row r="4072" spans="1:4" ht="70">
      <c r="A4072" s="715">
        <v>104841</v>
      </c>
      <c r="B4072" s="633" t="s">
        <v>28498</v>
      </c>
      <c r="C4072" s="715" t="s">
        <v>165</v>
      </c>
      <c r="D4072" s="716">
        <v>96.46</v>
      </c>
    </row>
    <row r="4073" spans="1:4" ht="70">
      <c r="A4073" s="715">
        <v>104849</v>
      </c>
      <c r="B4073" s="633" t="s">
        <v>28506</v>
      </c>
      <c r="C4073" s="715" t="s">
        <v>165</v>
      </c>
      <c r="D4073" s="716">
        <v>65.83</v>
      </c>
    </row>
    <row r="4074" spans="1:4" ht="70">
      <c r="A4074" s="715">
        <v>104887</v>
      </c>
      <c r="B4074" s="633" t="s">
        <v>28519</v>
      </c>
      <c r="C4074" s="715" t="s">
        <v>165</v>
      </c>
      <c r="D4074" s="716">
        <v>48.63</v>
      </c>
    </row>
    <row r="4075" spans="1:4" ht="70">
      <c r="A4075" s="715">
        <v>104844</v>
      </c>
      <c r="B4075" s="633" t="s">
        <v>28501</v>
      </c>
      <c r="C4075" s="715" t="s">
        <v>165</v>
      </c>
      <c r="D4075" s="716">
        <v>107.07</v>
      </c>
    </row>
    <row r="4076" spans="1:4" ht="70">
      <c r="A4076" s="715">
        <v>104852</v>
      </c>
      <c r="B4076" s="633" t="s">
        <v>28509</v>
      </c>
      <c r="C4076" s="715" t="s">
        <v>165</v>
      </c>
      <c r="D4076" s="716">
        <v>73.14</v>
      </c>
    </row>
    <row r="4077" spans="1:4" ht="70">
      <c r="A4077" s="715">
        <v>104846</v>
      </c>
      <c r="B4077" s="633" t="s">
        <v>28503</v>
      </c>
      <c r="C4077" s="715" t="s">
        <v>165</v>
      </c>
      <c r="D4077" s="716">
        <v>122.79</v>
      </c>
    </row>
    <row r="4078" spans="1:4" ht="70">
      <c r="A4078" s="715">
        <v>104854</v>
      </c>
      <c r="B4078" s="633" t="s">
        <v>28511</v>
      </c>
      <c r="C4078" s="715" t="s">
        <v>165</v>
      </c>
      <c r="D4078" s="716">
        <v>83.99</v>
      </c>
    </row>
    <row r="4079" spans="1:4" ht="70">
      <c r="A4079" s="715">
        <v>104890</v>
      </c>
      <c r="B4079" s="633" t="s">
        <v>28522</v>
      </c>
      <c r="C4079" s="715" t="s">
        <v>165</v>
      </c>
      <c r="D4079" s="716">
        <v>56.6</v>
      </c>
    </row>
    <row r="4080" spans="1:4" ht="70">
      <c r="A4080" s="715">
        <v>104842</v>
      </c>
      <c r="B4080" s="633" t="s">
        <v>28499</v>
      </c>
      <c r="C4080" s="715" t="s">
        <v>165</v>
      </c>
      <c r="D4080" s="716">
        <v>81.59</v>
      </c>
    </row>
    <row r="4081" spans="1:4" ht="70">
      <c r="A4081" s="715">
        <v>104850</v>
      </c>
      <c r="B4081" s="633" t="s">
        <v>28507</v>
      </c>
      <c r="C4081" s="715" t="s">
        <v>165</v>
      </c>
      <c r="D4081" s="716">
        <v>57.94</v>
      </c>
    </row>
    <row r="4082" spans="1:4" ht="70">
      <c r="A4082" s="715">
        <v>104888</v>
      </c>
      <c r="B4082" s="633" t="s">
        <v>28520</v>
      </c>
      <c r="C4082" s="715" t="s">
        <v>165</v>
      </c>
      <c r="D4082" s="716">
        <v>43.64</v>
      </c>
    </row>
    <row r="4083" spans="1:4" ht="70">
      <c r="A4083" s="715">
        <v>104879</v>
      </c>
      <c r="B4083" s="633" t="s">
        <v>28516</v>
      </c>
      <c r="C4083" s="715" t="s">
        <v>165</v>
      </c>
      <c r="D4083" s="716">
        <v>90.45</v>
      </c>
    </row>
    <row r="4084" spans="1:4" ht="70">
      <c r="A4084" s="715">
        <v>104853</v>
      </c>
      <c r="B4084" s="633" t="s">
        <v>28510</v>
      </c>
      <c r="C4084" s="715" t="s">
        <v>165</v>
      </c>
      <c r="D4084" s="716">
        <v>64.06</v>
      </c>
    </row>
    <row r="4085" spans="1:4" ht="70">
      <c r="A4085" s="715">
        <v>104847</v>
      </c>
      <c r="B4085" s="633" t="s">
        <v>28504</v>
      </c>
      <c r="C4085" s="715" t="s">
        <v>165</v>
      </c>
      <c r="D4085" s="716">
        <v>103.54</v>
      </c>
    </row>
    <row r="4086" spans="1:4" ht="70">
      <c r="A4086" s="715">
        <v>104855</v>
      </c>
      <c r="B4086" s="633" t="s">
        <v>28512</v>
      </c>
      <c r="C4086" s="715" t="s">
        <v>165</v>
      </c>
      <c r="D4086" s="716">
        <v>73.069999999999993</v>
      </c>
    </row>
    <row r="4087" spans="1:4" ht="70">
      <c r="A4087" s="715">
        <v>104891</v>
      </c>
      <c r="B4087" s="633" t="s">
        <v>28523</v>
      </c>
      <c r="C4087" s="715" t="s">
        <v>165</v>
      </c>
      <c r="D4087" s="716">
        <v>50.35</v>
      </c>
    </row>
    <row r="4088" spans="1:4" ht="70">
      <c r="A4088" s="715">
        <v>104892</v>
      </c>
      <c r="B4088" s="633" t="s">
        <v>28524</v>
      </c>
      <c r="C4088" s="715" t="s">
        <v>165</v>
      </c>
      <c r="D4088" s="716">
        <v>121.27</v>
      </c>
    </row>
    <row r="4089" spans="1:4" ht="70">
      <c r="A4089" s="715">
        <v>104848</v>
      </c>
      <c r="B4089" s="633" t="s">
        <v>28505</v>
      </c>
      <c r="C4089" s="715" t="s">
        <v>165</v>
      </c>
      <c r="D4089" s="716">
        <v>77.63</v>
      </c>
    </row>
    <row r="4090" spans="1:4" ht="70">
      <c r="A4090" s="715">
        <v>104886</v>
      </c>
      <c r="B4090" s="633" t="s">
        <v>28518</v>
      </c>
      <c r="C4090" s="715" t="s">
        <v>165</v>
      </c>
      <c r="D4090" s="716">
        <v>56.05</v>
      </c>
    </row>
    <row r="4091" spans="1:4" ht="70">
      <c r="A4091" s="715">
        <v>104843</v>
      </c>
      <c r="B4091" s="633" t="s">
        <v>28500</v>
      </c>
      <c r="C4091" s="715" t="s">
        <v>165</v>
      </c>
      <c r="D4091" s="716">
        <v>134.47</v>
      </c>
    </row>
    <row r="4092" spans="1:4" ht="70">
      <c r="A4092" s="715">
        <v>104851</v>
      </c>
      <c r="B4092" s="633" t="s">
        <v>28508</v>
      </c>
      <c r="C4092" s="715" t="s">
        <v>165</v>
      </c>
      <c r="D4092" s="716">
        <v>86.72</v>
      </c>
    </row>
    <row r="4093" spans="1:4" ht="70">
      <c r="A4093" s="715">
        <v>104845</v>
      </c>
      <c r="B4093" s="633" t="s">
        <v>28502</v>
      </c>
      <c r="C4093" s="715" t="s">
        <v>165</v>
      </c>
      <c r="D4093" s="716">
        <v>154.07</v>
      </c>
    </row>
    <row r="4094" spans="1:4" ht="70">
      <c r="A4094" s="715">
        <v>104880</v>
      </c>
      <c r="B4094" s="633" t="s">
        <v>28517</v>
      </c>
      <c r="C4094" s="715" t="s">
        <v>165</v>
      </c>
      <c r="D4094" s="716">
        <v>100.22</v>
      </c>
    </row>
    <row r="4095" spans="1:4" ht="70">
      <c r="A4095" s="715">
        <v>104889</v>
      </c>
      <c r="B4095" s="633" t="s">
        <v>28521</v>
      </c>
      <c r="C4095" s="715" t="s">
        <v>165</v>
      </c>
      <c r="D4095" s="716">
        <v>65.94</v>
      </c>
    </row>
    <row r="4096" spans="1:4" ht="42">
      <c r="A4096" s="715">
        <v>95108</v>
      </c>
      <c r="B4096" s="633" t="s">
        <v>28497</v>
      </c>
      <c r="C4096" s="715" t="s">
        <v>103</v>
      </c>
      <c r="D4096" s="716">
        <v>46.99</v>
      </c>
    </row>
    <row r="4097" spans="1:4" ht="70">
      <c r="A4097" s="715">
        <v>104857</v>
      </c>
      <c r="B4097" s="633" t="s">
        <v>33739</v>
      </c>
      <c r="C4097" s="715" t="s">
        <v>165</v>
      </c>
      <c r="D4097" s="716">
        <v>0</v>
      </c>
    </row>
    <row r="4098" spans="1:4" ht="70">
      <c r="A4098" s="715">
        <v>104859</v>
      </c>
      <c r="B4098" s="633" t="s">
        <v>33740</v>
      </c>
      <c r="C4098" s="715" t="s">
        <v>165</v>
      </c>
      <c r="D4098" s="716">
        <v>0</v>
      </c>
    </row>
    <row r="4099" spans="1:4" ht="70">
      <c r="A4099" s="715">
        <v>104861</v>
      </c>
      <c r="B4099" s="633" t="s">
        <v>33741</v>
      </c>
      <c r="C4099" s="715" t="s">
        <v>165</v>
      </c>
      <c r="D4099" s="716">
        <v>0</v>
      </c>
    </row>
    <row r="4100" spans="1:4" ht="70">
      <c r="A4100" s="715">
        <v>104856</v>
      </c>
      <c r="B4100" s="633" t="s">
        <v>33742</v>
      </c>
      <c r="C4100" s="715" t="s">
        <v>165</v>
      </c>
      <c r="D4100" s="716">
        <v>0</v>
      </c>
    </row>
    <row r="4101" spans="1:4" ht="70">
      <c r="A4101" s="715">
        <v>104858</v>
      </c>
      <c r="B4101" s="633" t="s">
        <v>33743</v>
      </c>
      <c r="C4101" s="715" t="s">
        <v>165</v>
      </c>
      <c r="D4101" s="716">
        <v>0</v>
      </c>
    </row>
    <row r="4102" spans="1:4" ht="70">
      <c r="A4102" s="715">
        <v>104860</v>
      </c>
      <c r="B4102" s="633" t="s">
        <v>33744</v>
      </c>
      <c r="C4102" s="715" t="s">
        <v>165</v>
      </c>
      <c r="D4102" s="716">
        <v>0</v>
      </c>
    </row>
    <row r="4103" spans="1:4" ht="56">
      <c r="A4103" s="715">
        <v>104871</v>
      </c>
      <c r="B4103" s="633" t="s">
        <v>33745</v>
      </c>
      <c r="C4103" s="715" t="s">
        <v>165</v>
      </c>
      <c r="D4103" s="716">
        <v>0</v>
      </c>
    </row>
    <row r="4104" spans="1:4" ht="56">
      <c r="A4104" s="715">
        <v>104883</v>
      </c>
      <c r="B4104" s="633" t="s">
        <v>33746</v>
      </c>
      <c r="C4104" s="715" t="s">
        <v>165</v>
      </c>
      <c r="D4104" s="716">
        <v>0</v>
      </c>
    </row>
    <row r="4105" spans="1:4" ht="56">
      <c r="A4105" s="715">
        <v>104865</v>
      </c>
      <c r="B4105" s="633" t="s">
        <v>33747</v>
      </c>
      <c r="C4105" s="715" t="s">
        <v>165</v>
      </c>
      <c r="D4105" s="716">
        <v>0</v>
      </c>
    </row>
    <row r="4106" spans="1:4" ht="56">
      <c r="A4106" s="715">
        <v>104872</v>
      </c>
      <c r="B4106" s="633" t="s">
        <v>33748</v>
      </c>
      <c r="C4106" s="715" t="s">
        <v>165</v>
      </c>
      <c r="D4106" s="716">
        <v>0</v>
      </c>
    </row>
    <row r="4107" spans="1:4" ht="56">
      <c r="A4107" s="715">
        <v>104884</v>
      </c>
      <c r="B4107" s="633" t="s">
        <v>33749</v>
      </c>
      <c r="C4107" s="715" t="s">
        <v>165</v>
      </c>
      <c r="D4107" s="716">
        <v>0</v>
      </c>
    </row>
    <row r="4108" spans="1:4" ht="56">
      <c r="A4108" s="715">
        <v>104866</v>
      </c>
      <c r="B4108" s="633" t="s">
        <v>33750</v>
      </c>
      <c r="C4108" s="715" t="s">
        <v>165</v>
      </c>
      <c r="D4108" s="716">
        <v>0</v>
      </c>
    </row>
    <row r="4109" spans="1:4" ht="56">
      <c r="A4109" s="715">
        <v>104873</v>
      </c>
      <c r="B4109" s="633" t="s">
        <v>33751</v>
      </c>
      <c r="C4109" s="715" t="s">
        <v>165</v>
      </c>
      <c r="D4109" s="716">
        <v>0</v>
      </c>
    </row>
    <row r="4110" spans="1:4" ht="56">
      <c r="A4110" s="715">
        <v>104885</v>
      </c>
      <c r="B4110" s="633" t="s">
        <v>33752</v>
      </c>
      <c r="C4110" s="715" t="s">
        <v>165</v>
      </c>
      <c r="D4110" s="716">
        <v>0</v>
      </c>
    </row>
    <row r="4111" spans="1:4" ht="56">
      <c r="A4111" s="715">
        <v>104867</v>
      </c>
      <c r="B4111" s="633" t="s">
        <v>33753</v>
      </c>
      <c r="C4111" s="715" t="s">
        <v>165</v>
      </c>
      <c r="D4111" s="716">
        <v>0</v>
      </c>
    </row>
    <row r="4112" spans="1:4" ht="56">
      <c r="A4112" s="715">
        <v>104868</v>
      </c>
      <c r="B4112" s="633" t="s">
        <v>33754</v>
      </c>
      <c r="C4112" s="715" t="s">
        <v>165</v>
      </c>
      <c r="D4112" s="716">
        <v>0</v>
      </c>
    </row>
    <row r="4113" spans="1:4" ht="56">
      <c r="A4113" s="715">
        <v>104874</v>
      </c>
      <c r="B4113" s="633" t="s">
        <v>33755</v>
      </c>
      <c r="C4113" s="715" t="s">
        <v>165</v>
      </c>
      <c r="D4113" s="716">
        <v>0</v>
      </c>
    </row>
    <row r="4114" spans="1:4" ht="56">
      <c r="A4114" s="715">
        <v>104862</v>
      </c>
      <c r="B4114" s="633" t="s">
        <v>33756</v>
      </c>
      <c r="C4114" s="715" t="s">
        <v>165</v>
      </c>
      <c r="D4114" s="716">
        <v>0</v>
      </c>
    </row>
    <row r="4115" spans="1:4" ht="56">
      <c r="A4115" s="715">
        <v>104869</v>
      </c>
      <c r="B4115" s="633" t="s">
        <v>33757</v>
      </c>
      <c r="C4115" s="715" t="s">
        <v>165</v>
      </c>
      <c r="D4115" s="716">
        <v>0</v>
      </c>
    </row>
    <row r="4116" spans="1:4" ht="56">
      <c r="A4116" s="715">
        <v>104881</v>
      </c>
      <c r="B4116" s="633" t="s">
        <v>33758</v>
      </c>
      <c r="C4116" s="715" t="s">
        <v>165</v>
      </c>
      <c r="D4116" s="716">
        <v>0</v>
      </c>
    </row>
    <row r="4117" spans="1:4" ht="56">
      <c r="A4117" s="715">
        <v>104863</v>
      </c>
      <c r="B4117" s="633" t="s">
        <v>33759</v>
      </c>
      <c r="C4117" s="715" t="s">
        <v>165</v>
      </c>
      <c r="D4117" s="716">
        <v>0</v>
      </c>
    </row>
    <row r="4118" spans="1:4" ht="56">
      <c r="A4118" s="715">
        <v>104870</v>
      </c>
      <c r="B4118" s="633" t="s">
        <v>33760</v>
      </c>
      <c r="C4118" s="715" t="s">
        <v>165</v>
      </c>
      <c r="D4118" s="716">
        <v>0</v>
      </c>
    </row>
    <row r="4119" spans="1:4" ht="56">
      <c r="A4119" s="715">
        <v>104882</v>
      </c>
      <c r="B4119" s="633" t="s">
        <v>33761</v>
      </c>
      <c r="C4119" s="715" t="s">
        <v>165</v>
      </c>
      <c r="D4119" s="716">
        <v>0</v>
      </c>
    </row>
    <row r="4120" spans="1:4" ht="56">
      <c r="A4120" s="715">
        <v>104864</v>
      </c>
      <c r="B4120" s="633" t="s">
        <v>33762</v>
      </c>
      <c r="C4120" s="715" t="s">
        <v>165</v>
      </c>
      <c r="D4120" s="716">
        <v>0</v>
      </c>
    </row>
    <row r="4121" spans="1:4" ht="28">
      <c r="A4121" s="715">
        <v>104876</v>
      </c>
      <c r="B4121" s="633" t="s">
        <v>28513</v>
      </c>
      <c r="C4121" s="715" t="s">
        <v>103</v>
      </c>
      <c r="D4121" s="716">
        <v>31.17</v>
      </c>
    </row>
    <row r="4122" spans="1:4" ht="28">
      <c r="A4122" s="715">
        <v>104875</v>
      </c>
      <c r="B4122" s="633" t="s">
        <v>30094</v>
      </c>
      <c r="C4122" s="715" t="s">
        <v>165</v>
      </c>
      <c r="D4122" s="716">
        <v>161.07</v>
      </c>
    </row>
    <row r="4123" spans="1:4" ht="28">
      <c r="A4123" s="715">
        <v>105942</v>
      </c>
      <c r="B4123" s="633" t="s">
        <v>33763</v>
      </c>
      <c r="C4123" s="715" t="s">
        <v>165</v>
      </c>
      <c r="D4123" s="716">
        <v>0</v>
      </c>
    </row>
    <row r="4124" spans="1:4" ht="28">
      <c r="A4124" s="715">
        <v>105943</v>
      </c>
      <c r="B4124" s="633" t="s">
        <v>33764</v>
      </c>
      <c r="C4124" s="715" t="s">
        <v>165</v>
      </c>
      <c r="D4124" s="716">
        <v>0</v>
      </c>
    </row>
    <row r="4125" spans="1:4" ht="42">
      <c r="A4125" s="715">
        <v>105941</v>
      </c>
      <c r="B4125" s="633" t="s">
        <v>33765</v>
      </c>
      <c r="C4125" s="715" t="s">
        <v>509</v>
      </c>
      <c r="D4125" s="716">
        <v>0</v>
      </c>
    </row>
    <row r="4126" spans="1:4" ht="56">
      <c r="A4126" s="715">
        <v>105940</v>
      </c>
      <c r="B4126" s="633" t="s">
        <v>33766</v>
      </c>
      <c r="C4126" s="715" t="s">
        <v>509</v>
      </c>
      <c r="D4126" s="716">
        <v>0</v>
      </c>
    </row>
    <row r="4127" spans="1:4" ht="56">
      <c r="A4127" s="715">
        <v>105938</v>
      </c>
      <c r="B4127" s="633" t="s">
        <v>33767</v>
      </c>
      <c r="C4127" s="715" t="s">
        <v>509</v>
      </c>
      <c r="D4127" s="716">
        <v>0</v>
      </c>
    </row>
    <row r="4128" spans="1:4" ht="56">
      <c r="A4128" s="715">
        <v>105939</v>
      </c>
      <c r="B4128" s="633" t="s">
        <v>33768</v>
      </c>
      <c r="C4128" s="715" t="s">
        <v>509</v>
      </c>
      <c r="D4128" s="716">
        <v>0</v>
      </c>
    </row>
    <row r="4129" spans="1:4" ht="28">
      <c r="A4129" s="715">
        <v>96120</v>
      </c>
      <c r="B4129" s="633" t="s">
        <v>28407</v>
      </c>
      <c r="C4129" s="715" t="s">
        <v>165</v>
      </c>
      <c r="D4129" s="716">
        <v>3.56</v>
      </c>
    </row>
    <row r="4130" spans="1:4" ht="28">
      <c r="A4130" s="715">
        <v>96123</v>
      </c>
      <c r="B4130" s="633" t="s">
        <v>28408</v>
      </c>
      <c r="C4130" s="715" t="s">
        <v>165</v>
      </c>
      <c r="D4130" s="716">
        <v>30.18</v>
      </c>
    </row>
    <row r="4131" spans="1:4" ht="28">
      <c r="A4131" s="715">
        <v>96122</v>
      </c>
      <c r="B4131" s="633" t="s">
        <v>28401</v>
      </c>
      <c r="C4131" s="715" t="s">
        <v>165</v>
      </c>
      <c r="D4131" s="716">
        <v>55.02</v>
      </c>
    </row>
    <row r="4132" spans="1:4" ht="28">
      <c r="A4132" s="715">
        <v>96121</v>
      </c>
      <c r="B4132" s="633" t="s">
        <v>28412</v>
      </c>
      <c r="C4132" s="715" t="s">
        <v>165</v>
      </c>
      <c r="D4132" s="716">
        <v>14.13</v>
      </c>
    </row>
    <row r="4133" spans="1:4" ht="28">
      <c r="A4133" s="715">
        <v>99054</v>
      </c>
      <c r="B4133" s="633" t="s">
        <v>28409</v>
      </c>
      <c r="C4133" s="715" t="s">
        <v>509</v>
      </c>
      <c r="D4133" s="716">
        <v>72.83</v>
      </c>
    </row>
    <row r="4134" spans="1:4" ht="42">
      <c r="A4134" s="715">
        <v>96110</v>
      </c>
      <c r="B4134" s="633" t="s">
        <v>28404</v>
      </c>
      <c r="C4134" s="715" t="s">
        <v>509</v>
      </c>
      <c r="D4134" s="716">
        <v>79.33</v>
      </c>
    </row>
    <row r="4135" spans="1:4" ht="42">
      <c r="A4135" s="715">
        <v>96114</v>
      </c>
      <c r="B4135" s="633" t="s">
        <v>28406</v>
      </c>
      <c r="C4135" s="715" t="s">
        <v>509</v>
      </c>
      <c r="D4135" s="716">
        <v>78.25</v>
      </c>
    </row>
    <row r="4136" spans="1:4" ht="42">
      <c r="A4136" s="715">
        <v>104757</v>
      </c>
      <c r="B4136" s="633" t="s">
        <v>42800</v>
      </c>
      <c r="C4136" s="715" t="s">
        <v>509</v>
      </c>
      <c r="D4136" s="716">
        <v>126.6</v>
      </c>
    </row>
    <row r="4137" spans="1:4" ht="42">
      <c r="A4137" s="715">
        <v>104756</v>
      </c>
      <c r="B4137" s="633" t="s">
        <v>28402</v>
      </c>
      <c r="C4137" s="715" t="s">
        <v>509</v>
      </c>
      <c r="D4137" s="716">
        <v>228</v>
      </c>
    </row>
    <row r="4138" spans="1:4" ht="42">
      <c r="A4138" s="715">
        <v>96112</v>
      </c>
      <c r="B4138" s="633" t="s">
        <v>28400</v>
      </c>
      <c r="C4138" s="715" t="s">
        <v>509</v>
      </c>
      <c r="D4138" s="716">
        <v>168.87</v>
      </c>
    </row>
    <row r="4139" spans="1:4" ht="28">
      <c r="A4139" s="715">
        <v>96113</v>
      </c>
      <c r="B4139" s="633" t="s">
        <v>28405</v>
      </c>
      <c r="C4139" s="715" t="s">
        <v>509</v>
      </c>
      <c r="D4139" s="716">
        <v>56.28</v>
      </c>
    </row>
    <row r="4140" spans="1:4" ht="28">
      <c r="A4140" s="715">
        <v>96109</v>
      </c>
      <c r="B4140" s="633" t="s">
        <v>28403</v>
      </c>
      <c r="C4140" s="715" t="s">
        <v>509</v>
      </c>
      <c r="D4140" s="716">
        <v>62.99</v>
      </c>
    </row>
    <row r="4141" spans="1:4" ht="42">
      <c r="A4141" s="715">
        <v>96116</v>
      </c>
      <c r="B4141" s="633" t="s">
        <v>28411</v>
      </c>
      <c r="C4141" s="715" t="s">
        <v>509</v>
      </c>
      <c r="D4141" s="716">
        <v>69.319999999999993</v>
      </c>
    </row>
    <row r="4142" spans="1:4" ht="42">
      <c r="A4142" s="715">
        <v>96111</v>
      </c>
      <c r="B4142" s="633" t="s">
        <v>28410</v>
      </c>
      <c r="C4142" s="715" t="s">
        <v>509</v>
      </c>
      <c r="D4142" s="716">
        <v>68.7</v>
      </c>
    </row>
    <row r="4143" spans="1:4" ht="42">
      <c r="A4143" s="715">
        <v>96486</v>
      </c>
      <c r="B4143" s="633" t="s">
        <v>28414</v>
      </c>
      <c r="C4143" s="715" t="s">
        <v>509</v>
      </c>
      <c r="D4143" s="716">
        <v>80.42</v>
      </c>
    </row>
    <row r="4144" spans="1:4" ht="42">
      <c r="A4144" s="715">
        <v>96485</v>
      </c>
      <c r="B4144" s="633" t="s">
        <v>28413</v>
      </c>
      <c r="C4144" s="715" t="s">
        <v>509</v>
      </c>
      <c r="D4144" s="716">
        <v>79.8</v>
      </c>
    </row>
    <row r="4145" spans="1:4" ht="28">
      <c r="A4145" s="715">
        <v>97557</v>
      </c>
      <c r="B4145" s="633" t="s">
        <v>33769</v>
      </c>
      <c r="C4145" s="715" t="s">
        <v>509</v>
      </c>
      <c r="D4145" s="716">
        <v>0</v>
      </c>
    </row>
    <row r="4146" spans="1:4" ht="56">
      <c r="A4146" s="715">
        <v>101807</v>
      </c>
      <c r="B4146" s="633" t="s">
        <v>25165</v>
      </c>
      <c r="C4146" s="715" t="s">
        <v>103</v>
      </c>
      <c r="D4146" s="716">
        <v>593.1</v>
      </c>
    </row>
    <row r="4147" spans="1:4" ht="56">
      <c r="A4147" s="715">
        <v>101806</v>
      </c>
      <c r="B4147" s="633" t="s">
        <v>25164</v>
      </c>
      <c r="C4147" s="715" t="s">
        <v>103</v>
      </c>
      <c r="D4147" s="716">
        <v>637.45000000000005</v>
      </c>
    </row>
    <row r="4148" spans="1:4" ht="56">
      <c r="A4148" s="715">
        <v>101808</v>
      </c>
      <c r="B4148" s="633" t="s">
        <v>25166</v>
      </c>
      <c r="C4148" s="715" t="s">
        <v>103</v>
      </c>
      <c r="D4148" s="716">
        <v>631.66</v>
      </c>
    </row>
    <row r="4149" spans="1:4" ht="56">
      <c r="A4149" s="715">
        <v>98058</v>
      </c>
      <c r="B4149" s="633" t="s">
        <v>33770</v>
      </c>
      <c r="C4149" s="715" t="s">
        <v>103</v>
      </c>
      <c r="D4149" s="716">
        <v>1996.87</v>
      </c>
    </row>
    <row r="4150" spans="1:4" ht="56">
      <c r="A4150" s="715">
        <v>98059</v>
      </c>
      <c r="B4150" s="633" t="s">
        <v>33771</v>
      </c>
      <c r="C4150" s="715" t="s">
        <v>103</v>
      </c>
      <c r="D4150" s="716">
        <v>4209.2299999999996</v>
      </c>
    </row>
    <row r="4151" spans="1:4" ht="56">
      <c r="A4151" s="715">
        <v>98060</v>
      </c>
      <c r="B4151" s="633" t="s">
        <v>33772</v>
      </c>
      <c r="C4151" s="715" t="s">
        <v>103</v>
      </c>
      <c r="D4151" s="716">
        <v>5843.75</v>
      </c>
    </row>
    <row r="4152" spans="1:4" ht="56">
      <c r="A4152" s="715">
        <v>98061</v>
      </c>
      <c r="B4152" s="633" t="s">
        <v>33773</v>
      </c>
      <c r="C4152" s="715" t="s">
        <v>103</v>
      </c>
      <c r="D4152" s="716">
        <v>8133.9</v>
      </c>
    </row>
    <row r="4153" spans="1:4" ht="56">
      <c r="A4153" s="715">
        <v>98088</v>
      </c>
      <c r="B4153" s="633" t="s">
        <v>26716</v>
      </c>
      <c r="C4153" s="715" t="s">
        <v>103</v>
      </c>
      <c r="D4153" s="716">
        <v>3556.1</v>
      </c>
    </row>
    <row r="4154" spans="1:4" ht="56">
      <c r="A4154" s="715">
        <v>98089</v>
      </c>
      <c r="B4154" s="633" t="s">
        <v>26717</v>
      </c>
      <c r="C4154" s="715" t="s">
        <v>103</v>
      </c>
      <c r="D4154" s="716">
        <v>5624.53</v>
      </c>
    </row>
    <row r="4155" spans="1:4" ht="56">
      <c r="A4155" s="715">
        <v>98090</v>
      </c>
      <c r="B4155" s="633" t="s">
        <v>26718</v>
      </c>
      <c r="C4155" s="715" t="s">
        <v>103</v>
      </c>
      <c r="D4155" s="716">
        <v>8833.1</v>
      </c>
    </row>
    <row r="4156" spans="1:4" ht="56">
      <c r="A4156" s="715">
        <v>98091</v>
      </c>
      <c r="B4156" s="633" t="s">
        <v>26719</v>
      </c>
      <c r="C4156" s="715" t="s">
        <v>103</v>
      </c>
      <c r="D4156" s="716">
        <v>11536.6</v>
      </c>
    </row>
    <row r="4157" spans="1:4" ht="56">
      <c r="A4157" s="715">
        <v>98092</v>
      </c>
      <c r="B4157" s="633" t="s">
        <v>26720</v>
      </c>
      <c r="C4157" s="715" t="s">
        <v>103</v>
      </c>
      <c r="D4157" s="716">
        <v>13394.89</v>
      </c>
    </row>
    <row r="4158" spans="1:4" ht="56">
      <c r="A4158" s="715">
        <v>98093</v>
      </c>
      <c r="B4158" s="633" t="s">
        <v>26721</v>
      </c>
      <c r="C4158" s="715" t="s">
        <v>103</v>
      </c>
      <c r="D4158" s="716">
        <v>15809.69</v>
      </c>
    </row>
    <row r="4159" spans="1:4" ht="56">
      <c r="A4159" s="715">
        <v>98072</v>
      </c>
      <c r="B4159" s="633" t="s">
        <v>26700</v>
      </c>
      <c r="C4159" s="715" t="s">
        <v>103</v>
      </c>
      <c r="D4159" s="716">
        <v>4270.6400000000003</v>
      </c>
    </row>
    <row r="4160" spans="1:4" ht="56">
      <c r="A4160" s="715">
        <v>98073</v>
      </c>
      <c r="B4160" s="633" t="s">
        <v>26701</v>
      </c>
      <c r="C4160" s="715" t="s">
        <v>103</v>
      </c>
      <c r="D4160" s="716">
        <v>6714.38</v>
      </c>
    </row>
    <row r="4161" spans="1:4" ht="56">
      <c r="A4161" s="715">
        <v>98074</v>
      </c>
      <c r="B4161" s="633" t="s">
        <v>26702</v>
      </c>
      <c r="C4161" s="715" t="s">
        <v>103</v>
      </c>
      <c r="D4161" s="716">
        <v>10468.86</v>
      </c>
    </row>
    <row r="4162" spans="1:4" ht="56">
      <c r="A4162" s="715">
        <v>98075</v>
      </c>
      <c r="B4162" s="633" t="s">
        <v>26703</v>
      </c>
      <c r="C4162" s="715" t="s">
        <v>103</v>
      </c>
      <c r="D4162" s="716">
        <v>13633.32</v>
      </c>
    </row>
    <row r="4163" spans="1:4" ht="56">
      <c r="A4163" s="715">
        <v>98076</v>
      </c>
      <c r="B4163" s="633" t="s">
        <v>26704</v>
      </c>
      <c r="C4163" s="715" t="s">
        <v>103</v>
      </c>
      <c r="D4163" s="716">
        <v>15738.23</v>
      </c>
    </row>
    <row r="4164" spans="1:4" ht="56">
      <c r="A4164" s="715">
        <v>98077</v>
      </c>
      <c r="B4164" s="633" t="s">
        <v>26705</v>
      </c>
      <c r="C4164" s="715" t="s">
        <v>103</v>
      </c>
      <c r="D4164" s="716">
        <v>18542.52</v>
      </c>
    </row>
    <row r="4165" spans="1:4" ht="56">
      <c r="A4165" s="715">
        <v>98062</v>
      </c>
      <c r="B4165" s="633" t="s">
        <v>33774</v>
      </c>
      <c r="C4165" s="715" t="s">
        <v>103</v>
      </c>
      <c r="D4165" s="716">
        <v>3448.55</v>
      </c>
    </row>
    <row r="4166" spans="1:4" ht="56">
      <c r="A4166" s="715">
        <v>98063</v>
      </c>
      <c r="B4166" s="633" t="s">
        <v>33775</v>
      </c>
      <c r="C4166" s="715" t="s">
        <v>103</v>
      </c>
      <c r="D4166" s="716">
        <v>5266.42</v>
      </c>
    </row>
    <row r="4167" spans="1:4" ht="56">
      <c r="A4167" s="715">
        <v>98064</v>
      </c>
      <c r="B4167" s="633" t="s">
        <v>33776</v>
      </c>
      <c r="C4167" s="715" t="s">
        <v>103</v>
      </c>
      <c r="D4167" s="716">
        <v>6114.78</v>
      </c>
    </row>
    <row r="4168" spans="1:4" ht="56">
      <c r="A4168" s="715">
        <v>98065</v>
      </c>
      <c r="B4168" s="633" t="s">
        <v>33777</v>
      </c>
      <c r="C4168" s="715" t="s">
        <v>103</v>
      </c>
      <c r="D4168" s="716">
        <v>8488.7000000000007</v>
      </c>
    </row>
    <row r="4169" spans="1:4" ht="56">
      <c r="A4169" s="715">
        <v>98094</v>
      </c>
      <c r="B4169" s="633" t="s">
        <v>26722</v>
      </c>
      <c r="C4169" s="715" t="s">
        <v>103</v>
      </c>
      <c r="D4169" s="716">
        <v>2998.51</v>
      </c>
    </row>
    <row r="4170" spans="1:4" ht="56">
      <c r="A4170" s="715">
        <v>98099</v>
      </c>
      <c r="B4170" s="633" t="s">
        <v>26723</v>
      </c>
      <c r="C4170" s="715" t="s">
        <v>103</v>
      </c>
      <c r="D4170" s="716">
        <v>5130.68</v>
      </c>
    </row>
    <row r="4171" spans="1:4" ht="56">
      <c r="A4171" s="715">
        <v>98100</v>
      </c>
      <c r="B4171" s="633" t="s">
        <v>26724</v>
      </c>
      <c r="C4171" s="715" t="s">
        <v>103</v>
      </c>
      <c r="D4171" s="716">
        <v>6719.01</v>
      </c>
    </row>
    <row r="4172" spans="1:4" ht="56">
      <c r="A4172" s="715">
        <v>98101</v>
      </c>
      <c r="B4172" s="633" t="s">
        <v>26725</v>
      </c>
      <c r="C4172" s="715" t="s">
        <v>103</v>
      </c>
      <c r="D4172" s="716">
        <v>9938.7000000000007</v>
      </c>
    </row>
    <row r="4173" spans="1:4" ht="56">
      <c r="A4173" s="715">
        <v>98078</v>
      </c>
      <c r="B4173" s="633" t="s">
        <v>26706</v>
      </c>
      <c r="C4173" s="715" t="s">
        <v>103</v>
      </c>
      <c r="D4173" s="716">
        <v>4617.7</v>
      </c>
    </row>
    <row r="4174" spans="1:4" ht="56">
      <c r="A4174" s="715">
        <v>98079</v>
      </c>
      <c r="B4174" s="633" t="s">
        <v>26707</v>
      </c>
      <c r="C4174" s="715" t="s">
        <v>103</v>
      </c>
      <c r="D4174" s="716">
        <v>8098.89</v>
      </c>
    </row>
    <row r="4175" spans="1:4" ht="56">
      <c r="A4175" s="715">
        <v>98080</v>
      </c>
      <c r="B4175" s="633" t="s">
        <v>26708</v>
      </c>
      <c r="C4175" s="715" t="s">
        <v>103</v>
      </c>
      <c r="D4175" s="716">
        <v>10436.77</v>
      </c>
    </row>
    <row r="4176" spans="1:4" ht="56">
      <c r="A4176" s="715">
        <v>98081</v>
      </c>
      <c r="B4176" s="633" t="s">
        <v>26709</v>
      </c>
      <c r="C4176" s="715" t="s">
        <v>103</v>
      </c>
      <c r="D4176" s="716">
        <v>15479.36</v>
      </c>
    </row>
    <row r="4177" spans="1:4" ht="56">
      <c r="A4177" s="715">
        <v>98052</v>
      </c>
      <c r="B4177" s="633" t="s">
        <v>33778</v>
      </c>
      <c r="C4177" s="715" t="s">
        <v>103</v>
      </c>
      <c r="D4177" s="716">
        <v>2368.1799999999998</v>
      </c>
    </row>
    <row r="4178" spans="1:4" ht="56">
      <c r="A4178" s="715">
        <v>98053</v>
      </c>
      <c r="B4178" s="633" t="s">
        <v>33779</v>
      </c>
      <c r="C4178" s="715" t="s">
        <v>103</v>
      </c>
      <c r="D4178" s="716">
        <v>3251.35</v>
      </c>
    </row>
    <row r="4179" spans="1:4" ht="56">
      <c r="A4179" s="715">
        <v>98054</v>
      </c>
      <c r="B4179" s="633" t="s">
        <v>33780</v>
      </c>
      <c r="C4179" s="715" t="s">
        <v>103</v>
      </c>
      <c r="D4179" s="716">
        <v>5242.7700000000004</v>
      </c>
    </row>
    <row r="4180" spans="1:4" ht="56">
      <c r="A4180" s="715">
        <v>98055</v>
      </c>
      <c r="B4180" s="633" t="s">
        <v>33781</v>
      </c>
      <c r="C4180" s="715" t="s">
        <v>103</v>
      </c>
      <c r="D4180" s="716">
        <v>7110.19</v>
      </c>
    </row>
    <row r="4181" spans="1:4" ht="56">
      <c r="A4181" s="715">
        <v>98056</v>
      </c>
      <c r="B4181" s="633" t="s">
        <v>33782</v>
      </c>
      <c r="C4181" s="715" t="s">
        <v>103</v>
      </c>
      <c r="D4181" s="716">
        <v>8326.31</v>
      </c>
    </row>
    <row r="4182" spans="1:4" ht="56">
      <c r="A4182" s="715">
        <v>98057</v>
      </c>
      <c r="B4182" s="633" t="s">
        <v>33783</v>
      </c>
      <c r="C4182" s="715" t="s">
        <v>103</v>
      </c>
      <c r="D4182" s="716">
        <v>9873.7900000000009</v>
      </c>
    </row>
    <row r="4183" spans="1:4" ht="56">
      <c r="A4183" s="715">
        <v>98082</v>
      </c>
      <c r="B4183" s="633" t="s">
        <v>26710</v>
      </c>
      <c r="C4183" s="715" t="s">
        <v>103</v>
      </c>
      <c r="D4183" s="716">
        <v>4125.96</v>
      </c>
    </row>
    <row r="4184" spans="1:4" ht="56">
      <c r="A4184" s="715">
        <v>98083</v>
      </c>
      <c r="B4184" s="633" t="s">
        <v>26711</v>
      </c>
      <c r="C4184" s="715" t="s">
        <v>103</v>
      </c>
      <c r="D4184" s="716">
        <v>5450.34</v>
      </c>
    </row>
    <row r="4185" spans="1:4" ht="56">
      <c r="A4185" s="715">
        <v>98084</v>
      </c>
      <c r="B4185" s="633" t="s">
        <v>26712</v>
      </c>
      <c r="C4185" s="715" t="s">
        <v>103</v>
      </c>
      <c r="D4185" s="716">
        <v>7652.89</v>
      </c>
    </row>
    <row r="4186" spans="1:4" ht="56">
      <c r="A4186" s="715">
        <v>98085</v>
      </c>
      <c r="B4186" s="633" t="s">
        <v>26713</v>
      </c>
      <c r="C4186" s="715" t="s">
        <v>103</v>
      </c>
      <c r="D4186" s="716">
        <v>10377.959999999999</v>
      </c>
    </row>
    <row r="4187" spans="1:4" ht="56">
      <c r="A4187" s="715">
        <v>98087</v>
      </c>
      <c r="B4187" s="633" t="s">
        <v>26715</v>
      </c>
      <c r="C4187" s="715" t="s">
        <v>103</v>
      </c>
      <c r="D4187" s="716">
        <v>12536.44</v>
      </c>
    </row>
    <row r="4188" spans="1:4" ht="56">
      <c r="A4188" s="715">
        <v>98086</v>
      </c>
      <c r="B4188" s="633" t="s">
        <v>26714</v>
      </c>
      <c r="C4188" s="715" t="s">
        <v>103</v>
      </c>
      <c r="D4188" s="716">
        <v>11726.53</v>
      </c>
    </row>
    <row r="4189" spans="1:4" ht="56">
      <c r="A4189" s="715">
        <v>98066</v>
      </c>
      <c r="B4189" s="633" t="s">
        <v>26694</v>
      </c>
      <c r="C4189" s="715" t="s">
        <v>103</v>
      </c>
      <c r="D4189" s="716">
        <v>5064.92</v>
      </c>
    </row>
    <row r="4190" spans="1:4" ht="56">
      <c r="A4190" s="715">
        <v>98067</v>
      </c>
      <c r="B4190" s="633" t="s">
        <v>26695</v>
      </c>
      <c r="C4190" s="715" t="s">
        <v>103</v>
      </c>
      <c r="D4190" s="716">
        <v>6755.17</v>
      </c>
    </row>
    <row r="4191" spans="1:4" ht="56">
      <c r="A4191" s="715">
        <v>98068</v>
      </c>
      <c r="B4191" s="633" t="s">
        <v>26696</v>
      </c>
      <c r="C4191" s="715" t="s">
        <v>103</v>
      </c>
      <c r="D4191" s="716">
        <v>9550.02</v>
      </c>
    </row>
    <row r="4192" spans="1:4" ht="56">
      <c r="A4192" s="715">
        <v>98069</v>
      </c>
      <c r="B4192" s="633" t="s">
        <v>26697</v>
      </c>
      <c r="C4192" s="715" t="s">
        <v>103</v>
      </c>
      <c r="D4192" s="716">
        <v>12862.01</v>
      </c>
    </row>
    <row r="4193" spans="1:4" ht="56">
      <c r="A4193" s="715">
        <v>98071</v>
      </c>
      <c r="B4193" s="633" t="s">
        <v>26699</v>
      </c>
      <c r="C4193" s="715" t="s">
        <v>103</v>
      </c>
      <c r="D4193" s="716">
        <v>16002.82</v>
      </c>
    </row>
    <row r="4194" spans="1:4" ht="56">
      <c r="A4194" s="715">
        <v>98070</v>
      </c>
      <c r="B4194" s="633" t="s">
        <v>26698</v>
      </c>
      <c r="C4194" s="715" t="s">
        <v>103</v>
      </c>
      <c r="D4194" s="716">
        <v>14687.51</v>
      </c>
    </row>
    <row r="4195" spans="1:4" ht="28">
      <c r="A4195" s="715">
        <v>104915</v>
      </c>
      <c r="B4195" s="633" t="s">
        <v>28949</v>
      </c>
      <c r="C4195" s="715" t="s">
        <v>207</v>
      </c>
      <c r="D4195" s="716">
        <v>8.19</v>
      </c>
    </row>
    <row r="4196" spans="1:4" ht="28">
      <c r="A4196" s="715">
        <v>96546</v>
      </c>
      <c r="B4196" s="633" t="s">
        <v>28948</v>
      </c>
      <c r="C4196" s="715" t="s">
        <v>207</v>
      </c>
      <c r="D4196" s="716">
        <v>13.42</v>
      </c>
    </row>
    <row r="4197" spans="1:4" ht="28">
      <c r="A4197" s="715">
        <v>96544</v>
      </c>
      <c r="B4197" s="633" t="s">
        <v>28946</v>
      </c>
      <c r="C4197" s="715" t="s">
        <v>207</v>
      </c>
      <c r="D4197" s="716">
        <v>18.43</v>
      </c>
    </row>
    <row r="4198" spans="1:4" ht="28">
      <c r="A4198" s="715">
        <v>96545</v>
      </c>
      <c r="B4198" s="633" t="s">
        <v>28947</v>
      </c>
      <c r="C4198" s="715" t="s">
        <v>207</v>
      </c>
      <c r="D4198" s="716">
        <v>15.83</v>
      </c>
    </row>
    <row r="4199" spans="1:4" ht="28">
      <c r="A4199" s="715">
        <v>96543</v>
      </c>
      <c r="B4199" s="633" t="s">
        <v>28936</v>
      </c>
      <c r="C4199" s="715" t="s">
        <v>207</v>
      </c>
      <c r="D4199" s="716">
        <v>21.6</v>
      </c>
    </row>
    <row r="4200" spans="1:4" ht="42">
      <c r="A4200" s="715">
        <v>104922</v>
      </c>
      <c r="B4200" s="633" t="s">
        <v>28955</v>
      </c>
      <c r="C4200" s="715" t="s">
        <v>207</v>
      </c>
      <c r="D4200" s="716">
        <v>9.5299999999999994</v>
      </c>
    </row>
    <row r="4201" spans="1:4" ht="42">
      <c r="A4201" s="715">
        <v>104920</v>
      </c>
      <c r="B4201" s="633" t="s">
        <v>28953</v>
      </c>
      <c r="C4201" s="715" t="s">
        <v>207</v>
      </c>
      <c r="D4201" s="716">
        <v>9.82</v>
      </c>
    </row>
    <row r="4202" spans="1:4" ht="42">
      <c r="A4202" s="715">
        <v>104921</v>
      </c>
      <c r="B4202" s="633" t="s">
        <v>28954</v>
      </c>
      <c r="C4202" s="715" t="s">
        <v>207</v>
      </c>
      <c r="D4202" s="716">
        <v>8.9700000000000006</v>
      </c>
    </row>
    <row r="4203" spans="1:4" ht="42">
      <c r="A4203" s="715">
        <v>104919</v>
      </c>
      <c r="B4203" s="633" t="s">
        <v>28952</v>
      </c>
      <c r="C4203" s="715" t="s">
        <v>207</v>
      </c>
      <c r="D4203" s="716">
        <v>11.72</v>
      </c>
    </row>
    <row r="4204" spans="1:4" ht="42">
      <c r="A4204" s="715">
        <v>104917</v>
      </c>
      <c r="B4204" s="633" t="s">
        <v>28950</v>
      </c>
      <c r="C4204" s="715" t="s">
        <v>207</v>
      </c>
      <c r="D4204" s="716">
        <v>15.23</v>
      </c>
    </row>
    <row r="4205" spans="1:4" ht="42">
      <c r="A4205" s="715">
        <v>104918</v>
      </c>
      <c r="B4205" s="633" t="s">
        <v>28951</v>
      </c>
      <c r="C4205" s="715" t="s">
        <v>207</v>
      </c>
      <c r="D4205" s="716">
        <v>13.5</v>
      </c>
    </row>
    <row r="4206" spans="1:4" ht="42">
      <c r="A4206" s="715">
        <v>104916</v>
      </c>
      <c r="B4206" s="633" t="s">
        <v>28960</v>
      </c>
      <c r="C4206" s="715" t="s">
        <v>207</v>
      </c>
      <c r="D4206" s="716">
        <v>17.37</v>
      </c>
    </row>
    <row r="4207" spans="1:4" ht="56">
      <c r="A4207" s="715">
        <v>96557</v>
      </c>
      <c r="B4207" s="633" t="s">
        <v>28958</v>
      </c>
      <c r="C4207" s="715" t="s">
        <v>121</v>
      </c>
      <c r="D4207" s="716">
        <v>694.95</v>
      </c>
    </row>
    <row r="4208" spans="1:4" ht="56">
      <c r="A4208" s="715">
        <v>96555</v>
      </c>
      <c r="B4208" s="633" t="s">
        <v>28956</v>
      </c>
      <c r="C4208" s="715" t="s">
        <v>121</v>
      </c>
      <c r="D4208" s="716">
        <v>755.9</v>
      </c>
    </row>
    <row r="4209" spans="1:4" ht="42">
      <c r="A4209" s="715">
        <v>104924</v>
      </c>
      <c r="B4209" s="633" t="s">
        <v>28962</v>
      </c>
      <c r="C4209" s="715" t="s">
        <v>121</v>
      </c>
      <c r="D4209" s="716">
        <v>720</v>
      </c>
    </row>
    <row r="4210" spans="1:4" ht="42">
      <c r="A4210" s="715">
        <v>104923</v>
      </c>
      <c r="B4210" s="633" t="s">
        <v>28961</v>
      </c>
      <c r="C4210" s="715" t="s">
        <v>121</v>
      </c>
      <c r="D4210" s="716">
        <v>824.87</v>
      </c>
    </row>
    <row r="4211" spans="1:4" ht="42">
      <c r="A4211" s="715">
        <v>96558</v>
      </c>
      <c r="B4211" s="633" t="s">
        <v>28959</v>
      </c>
      <c r="C4211" s="715" t="s">
        <v>121</v>
      </c>
      <c r="D4211" s="716">
        <v>732.21</v>
      </c>
    </row>
    <row r="4212" spans="1:4" ht="42">
      <c r="A4212" s="715">
        <v>96556</v>
      </c>
      <c r="B4212" s="633" t="s">
        <v>28957</v>
      </c>
      <c r="C4212" s="715" t="s">
        <v>121</v>
      </c>
      <c r="D4212" s="716">
        <v>953.49</v>
      </c>
    </row>
    <row r="4213" spans="1:4" ht="42">
      <c r="A4213" s="715">
        <v>96523</v>
      </c>
      <c r="B4213" s="633" t="s">
        <v>29375</v>
      </c>
      <c r="C4213" s="715" t="s">
        <v>121</v>
      </c>
      <c r="D4213" s="716">
        <v>131.68</v>
      </c>
    </row>
    <row r="4214" spans="1:4" ht="42">
      <c r="A4214" s="715">
        <v>96522</v>
      </c>
      <c r="B4214" s="633" t="s">
        <v>29374</v>
      </c>
      <c r="C4214" s="715" t="s">
        <v>121</v>
      </c>
      <c r="D4214" s="716">
        <v>198.2</v>
      </c>
    </row>
    <row r="4215" spans="1:4" ht="42">
      <c r="A4215" s="715">
        <v>96527</v>
      </c>
      <c r="B4215" s="633" t="s">
        <v>29379</v>
      </c>
      <c r="C4215" s="715" t="s">
        <v>121</v>
      </c>
      <c r="D4215" s="716">
        <v>145.11000000000001</v>
      </c>
    </row>
    <row r="4216" spans="1:4" ht="42">
      <c r="A4216" s="715">
        <v>96526</v>
      </c>
      <c r="B4216" s="633" t="s">
        <v>29378</v>
      </c>
      <c r="C4216" s="715" t="s">
        <v>121</v>
      </c>
      <c r="D4216" s="716">
        <v>282.41000000000003</v>
      </c>
    </row>
    <row r="4217" spans="1:4" ht="56">
      <c r="A4217" s="715">
        <v>96521</v>
      </c>
      <c r="B4217" s="633" t="s">
        <v>29373</v>
      </c>
      <c r="C4217" s="715" t="s">
        <v>121</v>
      </c>
      <c r="D4217" s="716">
        <v>50</v>
      </c>
    </row>
    <row r="4218" spans="1:4" ht="56">
      <c r="A4218" s="715">
        <v>96520</v>
      </c>
      <c r="B4218" s="633" t="s">
        <v>29372</v>
      </c>
      <c r="C4218" s="715" t="s">
        <v>121</v>
      </c>
      <c r="D4218" s="716">
        <v>116.3</v>
      </c>
    </row>
    <row r="4219" spans="1:4" ht="56">
      <c r="A4219" s="715">
        <v>96525</v>
      </c>
      <c r="B4219" s="633" t="s">
        <v>29377</v>
      </c>
      <c r="C4219" s="715" t="s">
        <v>121</v>
      </c>
      <c r="D4219" s="716">
        <v>68.739999999999995</v>
      </c>
    </row>
    <row r="4220" spans="1:4" ht="56">
      <c r="A4220" s="715">
        <v>96524</v>
      </c>
      <c r="B4220" s="633" t="s">
        <v>29376</v>
      </c>
      <c r="C4220" s="715" t="s">
        <v>121</v>
      </c>
      <c r="D4220" s="716">
        <v>199.34</v>
      </c>
    </row>
    <row r="4221" spans="1:4" ht="56">
      <c r="A4221" s="715">
        <v>96537</v>
      </c>
      <c r="B4221" s="633" t="s">
        <v>28930</v>
      </c>
      <c r="C4221" s="715" t="s">
        <v>509</v>
      </c>
      <c r="D4221" s="716">
        <v>205.82</v>
      </c>
    </row>
    <row r="4222" spans="1:4" ht="56">
      <c r="A4222" s="715">
        <v>96540</v>
      </c>
      <c r="B4222" s="633" t="s">
        <v>28933</v>
      </c>
      <c r="C4222" s="715" t="s">
        <v>509</v>
      </c>
      <c r="D4222" s="716">
        <v>150.69</v>
      </c>
    </row>
    <row r="4223" spans="1:4" ht="42">
      <c r="A4223" s="715">
        <v>96528</v>
      </c>
      <c r="B4223" s="633" t="s">
        <v>29380</v>
      </c>
      <c r="C4223" s="715" t="s">
        <v>509</v>
      </c>
      <c r="D4223" s="716">
        <v>176.01</v>
      </c>
    </row>
    <row r="4224" spans="1:4" ht="42">
      <c r="A4224" s="715">
        <v>96531</v>
      </c>
      <c r="B4224" s="633" t="s">
        <v>28924</v>
      </c>
      <c r="C4224" s="715" t="s">
        <v>509</v>
      </c>
      <c r="D4224" s="716">
        <v>121.51</v>
      </c>
    </row>
    <row r="4225" spans="1:4" ht="42">
      <c r="A4225" s="715">
        <v>96534</v>
      </c>
      <c r="B4225" s="633" t="s">
        <v>28927</v>
      </c>
      <c r="C4225" s="715" t="s">
        <v>509</v>
      </c>
      <c r="D4225" s="716">
        <v>93.15</v>
      </c>
    </row>
    <row r="4226" spans="1:4" ht="56">
      <c r="A4226" s="715">
        <v>104928</v>
      </c>
      <c r="B4226" s="633" t="s">
        <v>28942</v>
      </c>
      <c r="C4226" s="715" t="s">
        <v>509</v>
      </c>
      <c r="D4226" s="716">
        <v>168.02</v>
      </c>
    </row>
    <row r="4227" spans="1:4" ht="56">
      <c r="A4227" s="715">
        <v>104929</v>
      </c>
      <c r="B4227" s="633" t="s">
        <v>28943</v>
      </c>
      <c r="C4227" s="715" t="s">
        <v>509</v>
      </c>
      <c r="D4227" s="716">
        <v>102.34</v>
      </c>
    </row>
    <row r="4228" spans="1:4" ht="42">
      <c r="A4228" s="715">
        <v>104925</v>
      </c>
      <c r="B4228" s="633" t="s">
        <v>28939</v>
      </c>
      <c r="C4228" s="715" t="s">
        <v>509</v>
      </c>
      <c r="D4228" s="716">
        <v>178.38</v>
      </c>
    </row>
    <row r="4229" spans="1:4" ht="42">
      <c r="A4229" s="715">
        <v>104926</v>
      </c>
      <c r="B4229" s="633" t="s">
        <v>28940</v>
      </c>
      <c r="C4229" s="715" t="s">
        <v>509</v>
      </c>
      <c r="D4229" s="716">
        <v>117.1</v>
      </c>
    </row>
    <row r="4230" spans="1:4" ht="42">
      <c r="A4230" s="715">
        <v>104927</v>
      </c>
      <c r="B4230" s="633" t="s">
        <v>28941</v>
      </c>
      <c r="C4230" s="715" t="s">
        <v>509</v>
      </c>
      <c r="D4230" s="716">
        <v>85.23</v>
      </c>
    </row>
    <row r="4231" spans="1:4" ht="42">
      <c r="A4231" s="715">
        <v>96538</v>
      </c>
      <c r="B4231" s="633" t="s">
        <v>28931</v>
      </c>
      <c r="C4231" s="715" t="s">
        <v>509</v>
      </c>
      <c r="D4231" s="716">
        <v>285.67</v>
      </c>
    </row>
    <row r="4232" spans="1:4" ht="42">
      <c r="A4232" s="715">
        <v>96541</v>
      </c>
      <c r="B4232" s="633" t="s">
        <v>28934</v>
      </c>
      <c r="C4232" s="715" t="s">
        <v>509</v>
      </c>
      <c r="D4232" s="716">
        <v>215.54</v>
      </c>
    </row>
    <row r="4233" spans="1:4" ht="42">
      <c r="A4233" s="715">
        <v>96529</v>
      </c>
      <c r="B4233" s="633" t="s">
        <v>28922</v>
      </c>
      <c r="C4233" s="715" t="s">
        <v>509</v>
      </c>
      <c r="D4233" s="716">
        <v>304.68</v>
      </c>
    </row>
    <row r="4234" spans="1:4" ht="42">
      <c r="A4234" s="715">
        <v>96532</v>
      </c>
      <c r="B4234" s="633" t="s">
        <v>28925</v>
      </c>
      <c r="C4234" s="715" t="s">
        <v>509</v>
      </c>
      <c r="D4234" s="716">
        <v>210.9</v>
      </c>
    </row>
    <row r="4235" spans="1:4" ht="42">
      <c r="A4235" s="715">
        <v>96535</v>
      </c>
      <c r="B4235" s="633" t="s">
        <v>28928</v>
      </c>
      <c r="C4235" s="715" t="s">
        <v>509</v>
      </c>
      <c r="D4235" s="716">
        <v>162.12</v>
      </c>
    </row>
    <row r="4236" spans="1:4" ht="56">
      <c r="A4236" s="715">
        <v>96539</v>
      </c>
      <c r="B4236" s="633" t="s">
        <v>28932</v>
      </c>
      <c r="C4236" s="715" t="s">
        <v>509</v>
      </c>
      <c r="D4236" s="716">
        <v>146.54</v>
      </c>
    </row>
    <row r="4237" spans="1:4" ht="56">
      <c r="A4237" s="715">
        <v>96542</v>
      </c>
      <c r="B4237" s="633" t="s">
        <v>28935</v>
      </c>
      <c r="C4237" s="715" t="s">
        <v>509</v>
      </c>
      <c r="D4237" s="716">
        <v>113.26</v>
      </c>
    </row>
    <row r="4238" spans="1:4" ht="42">
      <c r="A4238" s="715">
        <v>96530</v>
      </c>
      <c r="B4238" s="633" t="s">
        <v>28923</v>
      </c>
      <c r="C4238" s="715" t="s">
        <v>509</v>
      </c>
      <c r="D4238" s="716">
        <v>159.47999999999999</v>
      </c>
    </row>
    <row r="4239" spans="1:4" ht="42">
      <c r="A4239" s="715">
        <v>96533</v>
      </c>
      <c r="B4239" s="633" t="s">
        <v>28926</v>
      </c>
      <c r="C4239" s="715" t="s">
        <v>509</v>
      </c>
      <c r="D4239" s="716">
        <v>107.1</v>
      </c>
    </row>
    <row r="4240" spans="1:4" ht="42">
      <c r="A4240" s="715">
        <v>96536</v>
      </c>
      <c r="B4240" s="633" t="s">
        <v>28929</v>
      </c>
      <c r="C4240" s="715" t="s">
        <v>509</v>
      </c>
      <c r="D4240" s="716">
        <v>79.819999999999993</v>
      </c>
    </row>
    <row r="4241" spans="1:4" ht="56">
      <c r="A4241" s="715">
        <v>105518</v>
      </c>
      <c r="B4241" s="633" t="s">
        <v>33784</v>
      </c>
      <c r="C4241" s="715" t="s">
        <v>509</v>
      </c>
      <c r="D4241" s="716">
        <v>0</v>
      </c>
    </row>
    <row r="4242" spans="1:4" ht="56">
      <c r="A4242" s="715">
        <v>105517</v>
      </c>
      <c r="B4242" s="633" t="s">
        <v>33785</v>
      </c>
      <c r="C4242" s="715" t="s">
        <v>509</v>
      </c>
      <c r="D4242" s="716">
        <v>0</v>
      </c>
    </row>
    <row r="4243" spans="1:4" ht="56">
      <c r="A4243" s="715">
        <v>105520</v>
      </c>
      <c r="B4243" s="633" t="s">
        <v>33786</v>
      </c>
      <c r="C4243" s="715" t="s">
        <v>509</v>
      </c>
      <c r="D4243" s="716">
        <v>0</v>
      </c>
    </row>
    <row r="4244" spans="1:4" ht="56">
      <c r="A4244" s="715">
        <v>105519</v>
      </c>
      <c r="B4244" s="633" t="s">
        <v>33787</v>
      </c>
      <c r="C4244" s="715" t="s">
        <v>509</v>
      </c>
      <c r="D4244" s="716">
        <v>0</v>
      </c>
    </row>
    <row r="4245" spans="1:4" ht="42">
      <c r="A4245" s="715">
        <v>101793</v>
      </c>
      <c r="B4245" s="633" t="s">
        <v>25385</v>
      </c>
      <c r="C4245" s="715" t="s">
        <v>121</v>
      </c>
      <c r="D4245" s="716">
        <v>29.65</v>
      </c>
    </row>
    <row r="4246" spans="1:4" ht="42">
      <c r="A4246" s="715">
        <v>101792</v>
      </c>
      <c r="B4246" s="633" t="s">
        <v>25384</v>
      </c>
      <c r="C4246" s="715" t="s">
        <v>121</v>
      </c>
      <c r="D4246" s="716">
        <v>19.88</v>
      </c>
    </row>
    <row r="4247" spans="1:4" ht="28">
      <c r="A4247" s="715">
        <v>92272</v>
      </c>
      <c r="B4247" s="633" t="s">
        <v>25299</v>
      </c>
      <c r="C4247" s="715" t="s">
        <v>165</v>
      </c>
      <c r="D4247" s="716">
        <v>37.53</v>
      </c>
    </row>
    <row r="4248" spans="1:4" ht="28">
      <c r="A4248" s="715">
        <v>101791</v>
      </c>
      <c r="B4248" s="633" t="s">
        <v>25383</v>
      </c>
      <c r="C4248" s="715" t="s">
        <v>165</v>
      </c>
      <c r="D4248" s="716">
        <v>26.74</v>
      </c>
    </row>
    <row r="4249" spans="1:4" ht="28">
      <c r="A4249" s="715">
        <v>92273</v>
      </c>
      <c r="B4249" s="633" t="s">
        <v>25300</v>
      </c>
      <c r="C4249" s="715" t="s">
        <v>165</v>
      </c>
      <c r="D4249" s="716">
        <v>16.39</v>
      </c>
    </row>
    <row r="4250" spans="1:4" ht="42">
      <c r="A4250" s="715">
        <v>92268</v>
      </c>
      <c r="B4250" s="633" t="s">
        <v>25295</v>
      </c>
      <c r="C4250" s="715" t="s">
        <v>509</v>
      </c>
      <c r="D4250" s="716">
        <v>77.08</v>
      </c>
    </row>
    <row r="4251" spans="1:4" ht="42">
      <c r="A4251" s="715">
        <v>92267</v>
      </c>
      <c r="B4251" s="633" t="s">
        <v>25294</v>
      </c>
      <c r="C4251" s="715" t="s">
        <v>509</v>
      </c>
      <c r="D4251" s="716">
        <v>46.08</v>
      </c>
    </row>
    <row r="4252" spans="1:4" ht="28">
      <c r="A4252" s="715">
        <v>92271</v>
      </c>
      <c r="B4252" s="633" t="s">
        <v>25298</v>
      </c>
      <c r="C4252" s="715" t="s">
        <v>509</v>
      </c>
      <c r="D4252" s="716">
        <v>133.47</v>
      </c>
    </row>
    <row r="4253" spans="1:4" ht="42">
      <c r="A4253" s="715">
        <v>92264</v>
      </c>
      <c r="B4253" s="633" t="s">
        <v>25291</v>
      </c>
      <c r="C4253" s="715" t="s">
        <v>509</v>
      </c>
      <c r="D4253" s="716">
        <v>206.66</v>
      </c>
    </row>
    <row r="4254" spans="1:4" ht="42">
      <c r="A4254" s="715">
        <v>92263</v>
      </c>
      <c r="B4254" s="633" t="s">
        <v>25290</v>
      </c>
      <c r="C4254" s="715" t="s">
        <v>509</v>
      </c>
      <c r="D4254" s="716">
        <v>167.22</v>
      </c>
    </row>
    <row r="4255" spans="1:4" ht="42">
      <c r="A4255" s="715">
        <v>92269</v>
      </c>
      <c r="B4255" s="633" t="s">
        <v>25296</v>
      </c>
      <c r="C4255" s="715" t="s">
        <v>509</v>
      </c>
      <c r="D4255" s="716">
        <v>139.1</v>
      </c>
    </row>
    <row r="4256" spans="1:4" ht="28">
      <c r="A4256" s="715">
        <v>92270</v>
      </c>
      <c r="B4256" s="633" t="s">
        <v>25297</v>
      </c>
      <c r="C4256" s="715" t="s">
        <v>509</v>
      </c>
      <c r="D4256" s="716">
        <v>211.62</v>
      </c>
    </row>
    <row r="4257" spans="1:4" ht="42">
      <c r="A4257" s="715">
        <v>92266</v>
      </c>
      <c r="B4257" s="633" t="s">
        <v>25293</v>
      </c>
      <c r="C4257" s="715" t="s">
        <v>509</v>
      </c>
      <c r="D4257" s="716">
        <v>155.85</v>
      </c>
    </row>
    <row r="4258" spans="1:4" ht="42">
      <c r="A4258" s="715">
        <v>92265</v>
      </c>
      <c r="B4258" s="633" t="s">
        <v>25292</v>
      </c>
      <c r="C4258" s="715" t="s">
        <v>509</v>
      </c>
      <c r="D4258" s="716">
        <v>122.02</v>
      </c>
    </row>
    <row r="4259" spans="1:4" ht="56">
      <c r="A4259" s="715">
        <v>92524</v>
      </c>
      <c r="B4259" s="633" t="s">
        <v>25375</v>
      </c>
      <c r="C4259" s="715" t="s">
        <v>509</v>
      </c>
      <c r="D4259" s="716">
        <v>88.8</v>
      </c>
    </row>
    <row r="4260" spans="1:4" ht="56">
      <c r="A4260" s="715">
        <v>92528</v>
      </c>
      <c r="B4260" s="633" t="s">
        <v>25377</v>
      </c>
      <c r="C4260" s="715" t="s">
        <v>509</v>
      </c>
      <c r="D4260" s="716">
        <v>85.01</v>
      </c>
    </row>
    <row r="4261" spans="1:4" ht="56">
      <c r="A4261" s="715">
        <v>92532</v>
      </c>
      <c r="B4261" s="633" t="s">
        <v>25379</v>
      </c>
      <c r="C4261" s="715" t="s">
        <v>509</v>
      </c>
      <c r="D4261" s="716">
        <v>81.680000000000007</v>
      </c>
    </row>
    <row r="4262" spans="1:4" ht="56">
      <c r="A4262" s="715">
        <v>92536</v>
      </c>
      <c r="B4262" s="633" t="s">
        <v>25381</v>
      </c>
      <c r="C4262" s="715" t="s">
        <v>509</v>
      </c>
      <c r="D4262" s="716">
        <v>75.38</v>
      </c>
    </row>
    <row r="4263" spans="1:4" ht="42">
      <c r="A4263" s="715">
        <v>92508</v>
      </c>
      <c r="B4263" s="633" t="s">
        <v>25367</v>
      </c>
      <c r="C4263" s="715" t="s">
        <v>509</v>
      </c>
      <c r="D4263" s="716">
        <v>118.15</v>
      </c>
    </row>
    <row r="4264" spans="1:4" ht="42">
      <c r="A4264" s="715">
        <v>92512</v>
      </c>
      <c r="B4264" s="633" t="s">
        <v>25369</v>
      </c>
      <c r="C4264" s="715" t="s">
        <v>509</v>
      </c>
      <c r="D4264" s="716">
        <v>103.59</v>
      </c>
    </row>
    <row r="4265" spans="1:4" ht="42">
      <c r="A4265" s="715">
        <v>92515</v>
      </c>
      <c r="B4265" s="633" t="s">
        <v>25371</v>
      </c>
      <c r="C4265" s="715" t="s">
        <v>509</v>
      </c>
      <c r="D4265" s="716">
        <v>95.74</v>
      </c>
    </row>
    <row r="4266" spans="1:4" ht="42">
      <c r="A4266" s="715">
        <v>92520</v>
      </c>
      <c r="B4266" s="633" t="s">
        <v>25373</v>
      </c>
      <c r="C4266" s="715" t="s">
        <v>509</v>
      </c>
      <c r="D4266" s="716">
        <v>90.27</v>
      </c>
    </row>
    <row r="4267" spans="1:4" ht="56">
      <c r="A4267" s="715">
        <v>92526</v>
      </c>
      <c r="B4267" s="633" t="s">
        <v>25376</v>
      </c>
      <c r="C4267" s="715" t="s">
        <v>509</v>
      </c>
      <c r="D4267" s="716">
        <v>46.79</v>
      </c>
    </row>
    <row r="4268" spans="1:4" ht="56">
      <c r="A4268" s="715">
        <v>92530</v>
      </c>
      <c r="B4268" s="633" t="s">
        <v>25378</v>
      </c>
      <c r="C4268" s="715" t="s">
        <v>509</v>
      </c>
      <c r="D4268" s="716">
        <v>44.14</v>
      </c>
    </row>
    <row r="4269" spans="1:4" ht="56">
      <c r="A4269" s="715">
        <v>92534</v>
      </c>
      <c r="B4269" s="633" t="s">
        <v>25380</v>
      </c>
      <c r="C4269" s="715" t="s">
        <v>509</v>
      </c>
      <c r="D4269" s="716">
        <v>41.86</v>
      </c>
    </row>
    <row r="4270" spans="1:4" ht="56">
      <c r="A4270" s="715">
        <v>92538</v>
      </c>
      <c r="B4270" s="633" t="s">
        <v>25382</v>
      </c>
      <c r="C4270" s="715" t="s">
        <v>509</v>
      </c>
      <c r="D4270" s="716">
        <v>37.4</v>
      </c>
    </row>
    <row r="4271" spans="1:4" ht="56">
      <c r="A4271" s="715">
        <v>103760</v>
      </c>
      <c r="B4271" s="633" t="s">
        <v>25463</v>
      </c>
      <c r="C4271" s="715" t="s">
        <v>509</v>
      </c>
      <c r="D4271" s="716">
        <v>131.79</v>
      </c>
    </row>
    <row r="4272" spans="1:4" ht="56">
      <c r="A4272" s="715">
        <v>103761</v>
      </c>
      <c r="B4272" s="633" t="s">
        <v>25464</v>
      </c>
      <c r="C4272" s="715" t="s">
        <v>509</v>
      </c>
      <c r="D4272" s="716">
        <v>90.16</v>
      </c>
    </row>
    <row r="4273" spans="1:4" ht="56">
      <c r="A4273" s="715">
        <v>103762</v>
      </c>
      <c r="B4273" s="633" t="s">
        <v>25465</v>
      </c>
      <c r="C4273" s="715" t="s">
        <v>509</v>
      </c>
      <c r="D4273" s="716">
        <v>77.78</v>
      </c>
    </row>
    <row r="4274" spans="1:4" ht="56">
      <c r="A4274" s="715">
        <v>103763</v>
      </c>
      <c r="B4274" s="633" t="s">
        <v>25466</v>
      </c>
      <c r="C4274" s="715" t="s">
        <v>509</v>
      </c>
      <c r="D4274" s="716">
        <v>68.77</v>
      </c>
    </row>
    <row r="4275" spans="1:4" ht="42">
      <c r="A4275" s="715">
        <v>92510</v>
      </c>
      <c r="B4275" s="633" t="s">
        <v>25368</v>
      </c>
      <c r="C4275" s="715" t="s">
        <v>509</v>
      </c>
      <c r="D4275" s="716">
        <v>70.55</v>
      </c>
    </row>
    <row r="4276" spans="1:4" ht="42">
      <c r="A4276" s="715">
        <v>92514</v>
      </c>
      <c r="B4276" s="633" t="s">
        <v>25370</v>
      </c>
      <c r="C4276" s="715" t="s">
        <v>509</v>
      </c>
      <c r="D4276" s="716">
        <v>57.52</v>
      </c>
    </row>
    <row r="4277" spans="1:4" ht="42">
      <c r="A4277" s="715">
        <v>92518</v>
      </c>
      <c r="B4277" s="633" t="s">
        <v>25372</v>
      </c>
      <c r="C4277" s="715" t="s">
        <v>509</v>
      </c>
      <c r="D4277" s="716">
        <v>51.14</v>
      </c>
    </row>
    <row r="4278" spans="1:4" ht="42">
      <c r="A4278" s="715">
        <v>92522</v>
      </c>
      <c r="B4278" s="633" t="s">
        <v>25374</v>
      </c>
      <c r="C4278" s="715" t="s">
        <v>509</v>
      </c>
      <c r="D4278" s="716">
        <v>47</v>
      </c>
    </row>
    <row r="4279" spans="1:4" ht="42">
      <c r="A4279" s="715">
        <v>92482</v>
      </c>
      <c r="B4279" s="633" t="s">
        <v>25354</v>
      </c>
      <c r="C4279" s="715" t="s">
        <v>509</v>
      </c>
      <c r="D4279" s="716">
        <v>413.75</v>
      </c>
    </row>
    <row r="4280" spans="1:4" ht="42">
      <c r="A4280" s="715">
        <v>92484</v>
      </c>
      <c r="B4280" s="633" t="s">
        <v>25355</v>
      </c>
      <c r="C4280" s="715" t="s">
        <v>509</v>
      </c>
      <c r="D4280" s="716">
        <v>285.83999999999997</v>
      </c>
    </row>
    <row r="4281" spans="1:4" ht="42">
      <c r="A4281" s="715">
        <v>92486</v>
      </c>
      <c r="B4281" s="633" t="s">
        <v>25356</v>
      </c>
      <c r="C4281" s="715" t="s">
        <v>509</v>
      </c>
      <c r="D4281" s="716">
        <v>204.07</v>
      </c>
    </row>
    <row r="4282" spans="1:4" ht="56">
      <c r="A4282" s="715">
        <v>92492</v>
      </c>
      <c r="B4282" s="633" t="s">
        <v>25359</v>
      </c>
      <c r="C4282" s="715" t="s">
        <v>509</v>
      </c>
      <c r="D4282" s="716">
        <v>122.91</v>
      </c>
    </row>
    <row r="4283" spans="1:4" ht="56">
      <c r="A4283" s="715">
        <v>92496</v>
      </c>
      <c r="B4283" s="633" t="s">
        <v>25361</v>
      </c>
      <c r="C4283" s="715" t="s">
        <v>509</v>
      </c>
      <c r="D4283" s="716">
        <v>117.37</v>
      </c>
    </row>
    <row r="4284" spans="1:4" ht="56">
      <c r="A4284" s="715">
        <v>92500</v>
      </c>
      <c r="B4284" s="633" t="s">
        <v>25363</v>
      </c>
      <c r="C4284" s="715" t="s">
        <v>509</v>
      </c>
      <c r="D4284" s="716">
        <v>112.71</v>
      </c>
    </row>
    <row r="4285" spans="1:4" ht="56">
      <c r="A4285" s="715">
        <v>92504</v>
      </c>
      <c r="B4285" s="633" t="s">
        <v>25365</v>
      </c>
      <c r="C4285" s="715" t="s">
        <v>509</v>
      </c>
      <c r="D4285" s="716">
        <v>104.33</v>
      </c>
    </row>
    <row r="4286" spans="1:4" ht="56">
      <c r="A4286" s="715">
        <v>92488</v>
      </c>
      <c r="B4286" s="633" t="s">
        <v>25357</v>
      </c>
      <c r="C4286" s="715" t="s">
        <v>509</v>
      </c>
      <c r="D4286" s="716">
        <v>129.4</v>
      </c>
    </row>
    <row r="4287" spans="1:4" ht="56">
      <c r="A4287" s="715">
        <v>92494</v>
      </c>
      <c r="B4287" s="633" t="s">
        <v>25360</v>
      </c>
      <c r="C4287" s="715" t="s">
        <v>509</v>
      </c>
      <c r="D4287" s="716">
        <v>79.22</v>
      </c>
    </row>
    <row r="4288" spans="1:4" ht="56">
      <c r="A4288" s="715">
        <v>92498</v>
      </c>
      <c r="B4288" s="633" t="s">
        <v>25362</v>
      </c>
      <c r="C4288" s="715" t="s">
        <v>509</v>
      </c>
      <c r="D4288" s="716">
        <v>74.89</v>
      </c>
    </row>
    <row r="4289" spans="1:4" ht="56">
      <c r="A4289" s="715">
        <v>92502</v>
      </c>
      <c r="B4289" s="633" t="s">
        <v>25364</v>
      </c>
      <c r="C4289" s="715" t="s">
        <v>509</v>
      </c>
      <c r="D4289" s="716">
        <v>71.42</v>
      </c>
    </row>
    <row r="4290" spans="1:4" ht="56">
      <c r="A4290" s="715">
        <v>92506</v>
      </c>
      <c r="B4290" s="633" t="s">
        <v>25366</v>
      </c>
      <c r="C4290" s="715" t="s">
        <v>509</v>
      </c>
      <c r="D4290" s="716">
        <v>65.09</v>
      </c>
    </row>
    <row r="4291" spans="1:4" ht="56">
      <c r="A4291" s="715">
        <v>92490</v>
      </c>
      <c r="B4291" s="633" t="s">
        <v>25358</v>
      </c>
      <c r="C4291" s="715" t="s">
        <v>509</v>
      </c>
      <c r="D4291" s="716">
        <v>84.29</v>
      </c>
    </row>
    <row r="4292" spans="1:4" ht="56">
      <c r="A4292" s="715">
        <v>92433</v>
      </c>
      <c r="B4292" s="633" t="s">
        <v>25313</v>
      </c>
      <c r="C4292" s="715" t="s">
        <v>509</v>
      </c>
      <c r="D4292" s="716">
        <v>87.64</v>
      </c>
    </row>
    <row r="4293" spans="1:4" ht="56">
      <c r="A4293" s="715">
        <v>92437</v>
      </c>
      <c r="B4293" s="633" t="s">
        <v>25315</v>
      </c>
      <c r="C4293" s="715" t="s">
        <v>509</v>
      </c>
      <c r="D4293" s="716">
        <v>83.83</v>
      </c>
    </row>
    <row r="4294" spans="1:4" ht="56">
      <c r="A4294" s="715">
        <v>92441</v>
      </c>
      <c r="B4294" s="633" t="s">
        <v>25317</v>
      </c>
      <c r="C4294" s="715" t="s">
        <v>509</v>
      </c>
      <c r="D4294" s="716">
        <v>81.11</v>
      </c>
    </row>
    <row r="4295" spans="1:4" ht="56">
      <c r="A4295" s="715">
        <v>92445</v>
      </c>
      <c r="B4295" s="633" t="s">
        <v>25319</v>
      </c>
      <c r="C4295" s="715" t="s">
        <v>509</v>
      </c>
      <c r="D4295" s="716">
        <v>75.680000000000007</v>
      </c>
    </row>
    <row r="4296" spans="1:4" ht="56">
      <c r="A4296" s="715">
        <v>92417</v>
      </c>
      <c r="B4296" s="633" t="s">
        <v>25305</v>
      </c>
      <c r="C4296" s="715" t="s">
        <v>509</v>
      </c>
      <c r="D4296" s="716">
        <v>185.3</v>
      </c>
    </row>
    <row r="4297" spans="1:4" ht="56">
      <c r="A4297" s="715">
        <v>92421</v>
      </c>
      <c r="B4297" s="633" t="s">
        <v>25307</v>
      </c>
      <c r="C4297" s="715" t="s">
        <v>509</v>
      </c>
      <c r="D4297" s="716">
        <v>123.82</v>
      </c>
    </row>
    <row r="4298" spans="1:4" ht="56">
      <c r="A4298" s="715">
        <v>92425</v>
      </c>
      <c r="B4298" s="633" t="s">
        <v>25309</v>
      </c>
      <c r="C4298" s="715" t="s">
        <v>509</v>
      </c>
      <c r="D4298" s="716">
        <v>103.59</v>
      </c>
    </row>
    <row r="4299" spans="1:4" ht="56">
      <c r="A4299" s="715">
        <v>92429</v>
      </c>
      <c r="B4299" s="633" t="s">
        <v>25311</v>
      </c>
      <c r="C4299" s="715" t="s">
        <v>509</v>
      </c>
      <c r="D4299" s="716">
        <v>93.41</v>
      </c>
    </row>
    <row r="4300" spans="1:4" ht="70">
      <c r="A4300" s="715">
        <v>92431</v>
      </c>
      <c r="B4300" s="633" t="s">
        <v>25312</v>
      </c>
      <c r="C4300" s="715" t="s">
        <v>509</v>
      </c>
      <c r="D4300" s="716">
        <v>70.06</v>
      </c>
    </row>
    <row r="4301" spans="1:4" ht="70">
      <c r="A4301" s="715">
        <v>92435</v>
      </c>
      <c r="B4301" s="633" t="s">
        <v>25314</v>
      </c>
      <c r="C4301" s="715" t="s">
        <v>509</v>
      </c>
      <c r="D4301" s="716">
        <v>66.849999999999994</v>
      </c>
    </row>
    <row r="4302" spans="1:4" ht="70">
      <c r="A4302" s="715">
        <v>92439</v>
      </c>
      <c r="B4302" s="633" t="s">
        <v>25316</v>
      </c>
      <c r="C4302" s="715" t="s">
        <v>509</v>
      </c>
      <c r="D4302" s="716">
        <v>64.53</v>
      </c>
    </row>
    <row r="4303" spans="1:4" ht="70">
      <c r="A4303" s="715">
        <v>92443</v>
      </c>
      <c r="B4303" s="633" t="s">
        <v>25318</v>
      </c>
      <c r="C4303" s="715" t="s">
        <v>509</v>
      </c>
      <c r="D4303" s="716">
        <v>59.7</v>
      </c>
    </row>
    <row r="4304" spans="1:4" ht="56">
      <c r="A4304" s="715">
        <v>92415</v>
      </c>
      <c r="B4304" s="633" t="s">
        <v>25304</v>
      </c>
      <c r="C4304" s="715" t="s">
        <v>509</v>
      </c>
      <c r="D4304" s="716">
        <v>155.31</v>
      </c>
    </row>
    <row r="4305" spans="1:4" ht="56">
      <c r="A4305" s="715">
        <v>92419</v>
      </c>
      <c r="B4305" s="633" t="s">
        <v>25306</v>
      </c>
      <c r="C4305" s="715" t="s">
        <v>509</v>
      </c>
      <c r="D4305" s="716">
        <v>100.83</v>
      </c>
    </row>
    <row r="4306" spans="1:4" ht="56">
      <c r="A4306" s="715">
        <v>92423</v>
      </c>
      <c r="B4306" s="633" t="s">
        <v>25308</v>
      </c>
      <c r="C4306" s="715" t="s">
        <v>509</v>
      </c>
      <c r="D4306" s="716">
        <v>83.6</v>
      </c>
    </row>
    <row r="4307" spans="1:4" ht="56">
      <c r="A4307" s="715">
        <v>92427</v>
      </c>
      <c r="B4307" s="633" t="s">
        <v>25310</v>
      </c>
      <c r="C4307" s="715" t="s">
        <v>509</v>
      </c>
      <c r="D4307" s="716">
        <v>74.88</v>
      </c>
    </row>
    <row r="4308" spans="1:4" ht="56">
      <c r="A4308" s="715">
        <v>92409</v>
      </c>
      <c r="B4308" s="633" t="s">
        <v>25301</v>
      </c>
      <c r="C4308" s="715" t="s">
        <v>509</v>
      </c>
      <c r="D4308" s="716">
        <v>266.93</v>
      </c>
    </row>
    <row r="4309" spans="1:4" ht="56">
      <c r="A4309" s="715">
        <v>92411</v>
      </c>
      <c r="B4309" s="633" t="s">
        <v>25302</v>
      </c>
      <c r="C4309" s="715" t="s">
        <v>509</v>
      </c>
      <c r="D4309" s="716">
        <v>184.14</v>
      </c>
    </row>
    <row r="4310" spans="1:4" ht="56">
      <c r="A4310" s="715">
        <v>92413</v>
      </c>
      <c r="B4310" s="633" t="s">
        <v>25303</v>
      </c>
      <c r="C4310" s="715" t="s">
        <v>509</v>
      </c>
      <c r="D4310" s="716">
        <v>123.28</v>
      </c>
    </row>
    <row r="4311" spans="1:4" ht="56">
      <c r="A4311" s="715">
        <v>92465</v>
      </c>
      <c r="B4311" s="633" t="s">
        <v>25338</v>
      </c>
      <c r="C4311" s="715" t="s">
        <v>509</v>
      </c>
      <c r="D4311" s="716">
        <v>165.55</v>
      </c>
    </row>
    <row r="4312" spans="1:4" ht="56">
      <c r="A4312" s="715">
        <v>92469</v>
      </c>
      <c r="B4312" s="633" t="s">
        <v>25342</v>
      </c>
      <c r="C4312" s="715" t="s">
        <v>509</v>
      </c>
      <c r="D4312" s="716">
        <v>151.08000000000001</v>
      </c>
    </row>
    <row r="4313" spans="1:4" ht="56">
      <c r="A4313" s="715">
        <v>92473</v>
      </c>
      <c r="B4313" s="633" t="s">
        <v>25346</v>
      </c>
      <c r="C4313" s="715" t="s">
        <v>509</v>
      </c>
      <c r="D4313" s="716">
        <v>139.26</v>
      </c>
    </row>
    <row r="4314" spans="1:4" ht="56">
      <c r="A4314" s="715">
        <v>92477</v>
      </c>
      <c r="B4314" s="633" t="s">
        <v>25350</v>
      </c>
      <c r="C4314" s="715" t="s">
        <v>509</v>
      </c>
      <c r="D4314" s="716">
        <v>114.32</v>
      </c>
    </row>
    <row r="4315" spans="1:4" ht="56">
      <c r="A4315" s="715">
        <v>92449</v>
      </c>
      <c r="B4315" s="633" t="s">
        <v>25323</v>
      </c>
      <c r="C4315" s="715" t="s">
        <v>509</v>
      </c>
      <c r="D4315" s="716">
        <v>298.19</v>
      </c>
    </row>
    <row r="4316" spans="1:4" ht="56">
      <c r="A4316" s="715">
        <v>92453</v>
      </c>
      <c r="B4316" s="633" t="s">
        <v>25327</v>
      </c>
      <c r="C4316" s="715" t="s">
        <v>509</v>
      </c>
      <c r="D4316" s="716">
        <v>255.56</v>
      </c>
    </row>
    <row r="4317" spans="1:4" ht="56">
      <c r="A4317" s="715">
        <v>92457</v>
      </c>
      <c r="B4317" s="633" t="s">
        <v>25331</v>
      </c>
      <c r="C4317" s="715" t="s">
        <v>509</v>
      </c>
      <c r="D4317" s="716">
        <v>223.12</v>
      </c>
    </row>
    <row r="4318" spans="1:4" ht="56">
      <c r="A4318" s="715">
        <v>92461</v>
      </c>
      <c r="B4318" s="633" t="s">
        <v>25334</v>
      </c>
      <c r="C4318" s="715" t="s">
        <v>509</v>
      </c>
      <c r="D4318" s="716">
        <v>206.11</v>
      </c>
    </row>
    <row r="4319" spans="1:4" ht="56">
      <c r="A4319" s="715">
        <v>92467</v>
      </c>
      <c r="B4319" s="633" t="s">
        <v>25340</v>
      </c>
      <c r="C4319" s="715" t="s">
        <v>509</v>
      </c>
      <c r="D4319" s="716">
        <v>106.78</v>
      </c>
    </row>
    <row r="4320" spans="1:4" ht="56">
      <c r="A4320" s="715">
        <v>92471</v>
      </c>
      <c r="B4320" s="633" t="s">
        <v>25344</v>
      </c>
      <c r="C4320" s="715" t="s">
        <v>509</v>
      </c>
      <c r="D4320" s="716">
        <v>97.57</v>
      </c>
    </row>
    <row r="4321" spans="1:4" ht="56">
      <c r="A4321" s="715">
        <v>92475</v>
      </c>
      <c r="B4321" s="633" t="s">
        <v>25348</v>
      </c>
      <c r="C4321" s="715" t="s">
        <v>509</v>
      </c>
      <c r="D4321" s="716">
        <v>90.02</v>
      </c>
    </row>
    <row r="4322" spans="1:4" ht="56">
      <c r="A4322" s="715">
        <v>92479</v>
      </c>
      <c r="B4322" s="633" t="s">
        <v>25352</v>
      </c>
      <c r="C4322" s="715" t="s">
        <v>509</v>
      </c>
      <c r="D4322" s="716">
        <v>74.08</v>
      </c>
    </row>
    <row r="4323" spans="1:4" ht="56">
      <c r="A4323" s="715">
        <v>92451</v>
      </c>
      <c r="B4323" s="633" t="s">
        <v>25325</v>
      </c>
      <c r="C4323" s="715" t="s">
        <v>509</v>
      </c>
      <c r="D4323" s="716">
        <v>202.59</v>
      </c>
    </row>
    <row r="4324" spans="1:4" ht="56">
      <c r="A4324" s="715">
        <v>92455</v>
      </c>
      <c r="B4324" s="633" t="s">
        <v>25329</v>
      </c>
      <c r="C4324" s="715" t="s">
        <v>509</v>
      </c>
      <c r="D4324" s="716">
        <v>166.54</v>
      </c>
    </row>
    <row r="4325" spans="1:4" ht="56">
      <c r="A4325" s="715">
        <v>92459</v>
      </c>
      <c r="B4325" s="633" t="s">
        <v>25332</v>
      </c>
      <c r="C4325" s="715" t="s">
        <v>509</v>
      </c>
      <c r="D4325" s="716">
        <v>142.33000000000001</v>
      </c>
    </row>
    <row r="4326" spans="1:4" ht="56">
      <c r="A4326" s="715">
        <v>92463</v>
      </c>
      <c r="B4326" s="633" t="s">
        <v>25336</v>
      </c>
      <c r="C4326" s="715" t="s">
        <v>509</v>
      </c>
      <c r="D4326" s="716">
        <v>129.31</v>
      </c>
    </row>
    <row r="4327" spans="1:4" ht="56">
      <c r="A4327" s="715">
        <v>92446</v>
      </c>
      <c r="B4327" s="633" t="s">
        <v>25320</v>
      </c>
      <c r="C4327" s="715" t="s">
        <v>509</v>
      </c>
      <c r="D4327" s="716">
        <v>368.23</v>
      </c>
    </row>
    <row r="4328" spans="1:4" ht="56">
      <c r="A4328" s="715">
        <v>92447</v>
      </c>
      <c r="B4328" s="633" t="s">
        <v>25321</v>
      </c>
      <c r="C4328" s="715" t="s">
        <v>509</v>
      </c>
      <c r="D4328" s="716">
        <v>255.3</v>
      </c>
    </row>
    <row r="4329" spans="1:4" ht="56">
      <c r="A4329" s="715">
        <v>92448</v>
      </c>
      <c r="B4329" s="633" t="s">
        <v>25322</v>
      </c>
      <c r="C4329" s="715" t="s">
        <v>509</v>
      </c>
      <c r="D4329" s="716">
        <v>197.69</v>
      </c>
    </row>
    <row r="4330" spans="1:4" ht="56">
      <c r="A4330" s="715">
        <v>92466</v>
      </c>
      <c r="B4330" s="633" t="s">
        <v>25339</v>
      </c>
      <c r="C4330" s="715" t="s">
        <v>509</v>
      </c>
      <c r="D4330" s="716">
        <v>291.5</v>
      </c>
    </row>
    <row r="4331" spans="1:4" ht="56">
      <c r="A4331" s="715">
        <v>92470</v>
      </c>
      <c r="B4331" s="633" t="s">
        <v>25343</v>
      </c>
      <c r="C4331" s="715" t="s">
        <v>509</v>
      </c>
      <c r="D4331" s="716">
        <v>283.49</v>
      </c>
    </row>
    <row r="4332" spans="1:4" ht="56">
      <c r="A4332" s="715">
        <v>92474</v>
      </c>
      <c r="B4332" s="633" t="s">
        <v>25347</v>
      </c>
      <c r="C4332" s="715" t="s">
        <v>509</v>
      </c>
      <c r="D4332" s="716">
        <v>276.52</v>
      </c>
    </row>
    <row r="4333" spans="1:4" ht="56">
      <c r="A4333" s="715">
        <v>92478</v>
      </c>
      <c r="B4333" s="633" t="s">
        <v>25351</v>
      </c>
      <c r="C4333" s="715" t="s">
        <v>509</v>
      </c>
      <c r="D4333" s="716">
        <v>262.97000000000003</v>
      </c>
    </row>
    <row r="4334" spans="1:4" ht="56">
      <c r="A4334" s="715">
        <v>92450</v>
      </c>
      <c r="B4334" s="633" t="s">
        <v>25324</v>
      </c>
      <c r="C4334" s="715" t="s">
        <v>509</v>
      </c>
      <c r="D4334" s="716">
        <v>368.44</v>
      </c>
    </row>
    <row r="4335" spans="1:4" ht="56">
      <c r="A4335" s="715">
        <v>92454</v>
      </c>
      <c r="B4335" s="633" t="s">
        <v>25328</v>
      </c>
      <c r="C4335" s="715" t="s">
        <v>509</v>
      </c>
      <c r="D4335" s="716">
        <v>335.26</v>
      </c>
    </row>
    <row r="4336" spans="1:4" ht="56">
      <c r="A4336" s="715">
        <v>92458</v>
      </c>
      <c r="B4336" s="633" t="s">
        <v>28919</v>
      </c>
      <c r="C4336" s="715" t="s">
        <v>509</v>
      </c>
      <c r="D4336" s="716">
        <v>314.14999999999998</v>
      </c>
    </row>
    <row r="4337" spans="1:4" ht="56">
      <c r="A4337" s="715">
        <v>92462</v>
      </c>
      <c r="B4337" s="633" t="s">
        <v>25335</v>
      </c>
      <c r="C4337" s="715" t="s">
        <v>509</v>
      </c>
      <c r="D4337" s="716">
        <v>300.41000000000003</v>
      </c>
    </row>
    <row r="4338" spans="1:4" ht="56">
      <c r="A4338" s="715">
        <v>92468</v>
      </c>
      <c r="B4338" s="633" t="s">
        <v>25341</v>
      </c>
      <c r="C4338" s="715" t="s">
        <v>509</v>
      </c>
      <c r="D4338" s="716">
        <v>134.94999999999999</v>
      </c>
    </row>
    <row r="4339" spans="1:4" ht="56">
      <c r="A4339" s="715">
        <v>92472</v>
      </c>
      <c r="B4339" s="633" t="s">
        <v>25345</v>
      </c>
      <c r="C4339" s="715" t="s">
        <v>509</v>
      </c>
      <c r="D4339" s="716">
        <v>128.07</v>
      </c>
    </row>
    <row r="4340" spans="1:4" ht="56">
      <c r="A4340" s="715">
        <v>92476</v>
      </c>
      <c r="B4340" s="633" t="s">
        <v>25349</v>
      </c>
      <c r="C4340" s="715" t="s">
        <v>509</v>
      </c>
      <c r="D4340" s="716">
        <v>122.18</v>
      </c>
    </row>
    <row r="4341" spans="1:4" ht="56">
      <c r="A4341" s="715">
        <v>92480</v>
      </c>
      <c r="B4341" s="633" t="s">
        <v>25353</v>
      </c>
      <c r="C4341" s="715" t="s">
        <v>509</v>
      </c>
      <c r="D4341" s="716">
        <v>110.58</v>
      </c>
    </row>
    <row r="4342" spans="1:4" ht="56">
      <c r="A4342" s="715">
        <v>92452</v>
      </c>
      <c r="B4342" s="633" t="s">
        <v>25326</v>
      </c>
      <c r="C4342" s="715" t="s">
        <v>509</v>
      </c>
      <c r="D4342" s="716">
        <v>209.6</v>
      </c>
    </row>
    <row r="4343" spans="1:4" ht="56">
      <c r="A4343" s="715">
        <v>92456</v>
      </c>
      <c r="B4343" s="633" t="s">
        <v>25330</v>
      </c>
      <c r="C4343" s="715" t="s">
        <v>509</v>
      </c>
      <c r="D4343" s="716">
        <v>176.53</v>
      </c>
    </row>
    <row r="4344" spans="1:4" ht="56">
      <c r="A4344" s="715">
        <v>92460</v>
      </c>
      <c r="B4344" s="633" t="s">
        <v>25333</v>
      </c>
      <c r="C4344" s="715" t="s">
        <v>509</v>
      </c>
      <c r="D4344" s="716">
        <v>149.54</v>
      </c>
    </row>
    <row r="4345" spans="1:4" ht="56">
      <c r="A4345" s="715">
        <v>92464</v>
      </c>
      <c r="B4345" s="633" t="s">
        <v>25337</v>
      </c>
      <c r="C4345" s="715" t="s">
        <v>509</v>
      </c>
      <c r="D4345" s="716">
        <v>143.13999999999999</v>
      </c>
    </row>
    <row r="4346" spans="1:4" ht="42">
      <c r="A4346" s="715">
        <v>105403</v>
      </c>
      <c r="B4346" s="633" t="s">
        <v>28944</v>
      </c>
      <c r="C4346" s="715" t="s">
        <v>509</v>
      </c>
      <c r="D4346" s="716">
        <v>179.08</v>
      </c>
    </row>
    <row r="4347" spans="1:4" ht="42">
      <c r="A4347" s="715">
        <v>96252</v>
      </c>
      <c r="B4347" s="633" t="s">
        <v>28920</v>
      </c>
      <c r="C4347" s="715" t="s">
        <v>509</v>
      </c>
      <c r="D4347" s="716">
        <v>149.69999999999999</v>
      </c>
    </row>
    <row r="4348" spans="1:4" ht="42">
      <c r="A4348" s="715">
        <v>96254</v>
      </c>
      <c r="B4348" s="633" t="s">
        <v>33788</v>
      </c>
      <c r="C4348" s="715" t="s">
        <v>165</v>
      </c>
      <c r="D4348" s="716">
        <v>0</v>
      </c>
    </row>
    <row r="4349" spans="1:4" ht="42">
      <c r="A4349" s="715">
        <v>96253</v>
      </c>
      <c r="B4349" s="633" t="s">
        <v>33789</v>
      </c>
      <c r="C4349" s="715" t="s">
        <v>165</v>
      </c>
      <c r="D4349" s="716">
        <v>0</v>
      </c>
    </row>
    <row r="4350" spans="1:4" ht="42">
      <c r="A4350" s="715">
        <v>105406</v>
      </c>
      <c r="B4350" s="633" t="s">
        <v>28945</v>
      </c>
      <c r="C4350" s="715" t="s">
        <v>509</v>
      </c>
      <c r="D4350" s="716">
        <v>216.59</v>
      </c>
    </row>
    <row r="4351" spans="1:4" ht="42">
      <c r="A4351" s="715">
        <v>96264</v>
      </c>
      <c r="B4351" s="633" t="s">
        <v>33790</v>
      </c>
      <c r="C4351" s="715" t="s">
        <v>509</v>
      </c>
      <c r="D4351" s="716">
        <v>0</v>
      </c>
    </row>
    <row r="4352" spans="1:4" ht="42">
      <c r="A4352" s="715">
        <v>105405</v>
      </c>
      <c r="B4352" s="633" t="s">
        <v>33791</v>
      </c>
      <c r="C4352" s="715" t="s">
        <v>509</v>
      </c>
      <c r="D4352" s="716">
        <v>0</v>
      </c>
    </row>
    <row r="4353" spans="1:4" ht="42">
      <c r="A4353" s="715">
        <v>96258</v>
      </c>
      <c r="B4353" s="633" t="s">
        <v>28921</v>
      </c>
      <c r="C4353" s="715" t="s">
        <v>509</v>
      </c>
      <c r="D4353" s="716">
        <v>156.1</v>
      </c>
    </row>
    <row r="4354" spans="1:4" ht="42">
      <c r="A4354" s="715">
        <v>96262</v>
      </c>
      <c r="B4354" s="633" t="s">
        <v>33792</v>
      </c>
      <c r="C4354" s="715" t="s">
        <v>509</v>
      </c>
      <c r="D4354" s="716">
        <v>0</v>
      </c>
    </row>
    <row r="4355" spans="1:4" ht="42">
      <c r="A4355" s="715">
        <v>105404</v>
      </c>
      <c r="B4355" s="633" t="s">
        <v>33793</v>
      </c>
      <c r="C4355" s="715" t="s">
        <v>509</v>
      </c>
      <c r="D4355" s="716">
        <v>0</v>
      </c>
    </row>
    <row r="4356" spans="1:4" ht="56">
      <c r="A4356" s="715">
        <v>92751</v>
      </c>
      <c r="B4356" s="633" t="s">
        <v>28889</v>
      </c>
      <c r="C4356" s="715" t="s">
        <v>121</v>
      </c>
      <c r="D4356" s="716">
        <v>2025.83</v>
      </c>
    </row>
    <row r="4357" spans="1:4" ht="56">
      <c r="A4357" s="715">
        <v>92752</v>
      </c>
      <c r="B4357" s="633" t="s">
        <v>28890</v>
      </c>
      <c r="C4357" s="715" t="s">
        <v>121</v>
      </c>
      <c r="D4357" s="716">
        <v>2402.56</v>
      </c>
    </row>
    <row r="4358" spans="1:4" ht="56">
      <c r="A4358" s="715">
        <v>92750</v>
      </c>
      <c r="B4358" s="633" t="s">
        <v>28888</v>
      </c>
      <c r="C4358" s="715" t="s">
        <v>121</v>
      </c>
      <c r="D4358" s="716">
        <v>1645.99</v>
      </c>
    </row>
    <row r="4359" spans="1:4" ht="56">
      <c r="A4359" s="715">
        <v>92749</v>
      </c>
      <c r="B4359" s="633" t="s">
        <v>28887</v>
      </c>
      <c r="C4359" s="715" t="s">
        <v>121</v>
      </c>
      <c r="D4359" s="716">
        <v>996.39</v>
      </c>
    </row>
    <row r="4360" spans="1:4" ht="70">
      <c r="A4360" s="715">
        <v>92745</v>
      </c>
      <c r="B4360" s="633" t="s">
        <v>28883</v>
      </c>
      <c r="C4360" s="715" t="s">
        <v>121</v>
      </c>
      <c r="D4360" s="716">
        <v>856.84</v>
      </c>
    </row>
    <row r="4361" spans="1:4" ht="70">
      <c r="A4361" s="715">
        <v>92747</v>
      </c>
      <c r="B4361" s="633" t="s">
        <v>28885</v>
      </c>
      <c r="C4361" s="715" t="s">
        <v>121</v>
      </c>
      <c r="D4361" s="716">
        <v>951.68</v>
      </c>
    </row>
    <row r="4362" spans="1:4" ht="70">
      <c r="A4362" s="715">
        <v>92743</v>
      </c>
      <c r="B4362" s="633" t="s">
        <v>28881</v>
      </c>
      <c r="C4362" s="715" t="s">
        <v>121</v>
      </c>
      <c r="D4362" s="716">
        <v>706.94</v>
      </c>
    </row>
    <row r="4363" spans="1:4" ht="70">
      <c r="A4363" s="715">
        <v>92746</v>
      </c>
      <c r="B4363" s="633" t="s">
        <v>28884</v>
      </c>
      <c r="C4363" s="715" t="s">
        <v>121</v>
      </c>
      <c r="D4363" s="716">
        <v>757.68</v>
      </c>
    </row>
    <row r="4364" spans="1:4" ht="70">
      <c r="A4364" s="715">
        <v>92748</v>
      </c>
      <c r="B4364" s="633" t="s">
        <v>28886</v>
      </c>
      <c r="C4364" s="715" t="s">
        <v>121</v>
      </c>
      <c r="D4364" s="716">
        <v>834.01</v>
      </c>
    </row>
    <row r="4365" spans="1:4" ht="70">
      <c r="A4365" s="715">
        <v>92744</v>
      </c>
      <c r="B4365" s="633" t="s">
        <v>28882</v>
      </c>
      <c r="C4365" s="715" t="s">
        <v>121</v>
      </c>
      <c r="D4365" s="716">
        <v>632.30999999999995</v>
      </c>
    </row>
    <row r="4366" spans="1:4" ht="84">
      <c r="A4366" s="715">
        <v>92754</v>
      </c>
      <c r="B4366" s="633" t="s">
        <v>28892</v>
      </c>
      <c r="C4366" s="715" t="s">
        <v>121</v>
      </c>
      <c r="D4366" s="716">
        <v>688.43</v>
      </c>
    </row>
    <row r="4367" spans="1:4" ht="70">
      <c r="A4367" s="715">
        <v>92753</v>
      </c>
      <c r="B4367" s="633" t="s">
        <v>28891</v>
      </c>
      <c r="C4367" s="715" t="s">
        <v>121</v>
      </c>
      <c r="D4367" s="716">
        <v>698.13</v>
      </c>
    </row>
    <row r="4368" spans="1:4" ht="56">
      <c r="A4368" s="715">
        <v>92755</v>
      </c>
      <c r="B4368" s="633" t="s">
        <v>28893</v>
      </c>
      <c r="C4368" s="715" t="s">
        <v>509</v>
      </c>
      <c r="D4368" s="716">
        <v>261.23</v>
      </c>
    </row>
    <row r="4369" spans="1:4" ht="56">
      <c r="A4369" s="715">
        <v>92756</v>
      </c>
      <c r="B4369" s="633" t="s">
        <v>28894</v>
      </c>
      <c r="C4369" s="715" t="s">
        <v>509</v>
      </c>
      <c r="D4369" s="716">
        <v>300.38</v>
      </c>
    </row>
    <row r="4370" spans="1:4" ht="56">
      <c r="A4370" s="715">
        <v>92757</v>
      </c>
      <c r="B4370" s="633" t="s">
        <v>28895</v>
      </c>
      <c r="C4370" s="715" t="s">
        <v>509</v>
      </c>
      <c r="D4370" s="716">
        <v>347.2</v>
      </c>
    </row>
    <row r="4371" spans="1:4" ht="56">
      <c r="A4371" s="715">
        <v>92758</v>
      </c>
      <c r="B4371" s="633" t="s">
        <v>28896</v>
      </c>
      <c r="C4371" s="715" t="s">
        <v>121</v>
      </c>
      <c r="D4371" s="716">
        <v>686.8</v>
      </c>
    </row>
    <row r="4372" spans="1:4" ht="84">
      <c r="A4372" s="715">
        <v>104500</v>
      </c>
      <c r="B4372" s="633" t="s">
        <v>40341</v>
      </c>
      <c r="C4372" s="715" t="s">
        <v>165</v>
      </c>
      <c r="D4372" s="716">
        <v>0</v>
      </c>
    </row>
    <row r="4373" spans="1:4" ht="84">
      <c r="A4373" s="715">
        <v>104503</v>
      </c>
      <c r="B4373" s="633" t="s">
        <v>40342</v>
      </c>
      <c r="C4373" s="715" t="s">
        <v>165</v>
      </c>
      <c r="D4373" s="716">
        <v>0</v>
      </c>
    </row>
    <row r="4374" spans="1:4" ht="84">
      <c r="A4374" s="715">
        <v>104504</v>
      </c>
      <c r="B4374" s="633" t="s">
        <v>40343</v>
      </c>
      <c r="C4374" s="715" t="s">
        <v>165</v>
      </c>
      <c r="D4374" s="716">
        <v>0</v>
      </c>
    </row>
    <row r="4375" spans="1:4" ht="84">
      <c r="A4375" s="715">
        <v>104507</v>
      </c>
      <c r="B4375" s="633" t="s">
        <v>40344</v>
      </c>
      <c r="C4375" s="715" t="s">
        <v>165</v>
      </c>
      <c r="D4375" s="716">
        <v>0</v>
      </c>
    </row>
    <row r="4376" spans="1:4" ht="84">
      <c r="A4376" s="715">
        <v>104508</v>
      </c>
      <c r="B4376" s="633" t="s">
        <v>40345</v>
      </c>
      <c r="C4376" s="715" t="s">
        <v>165</v>
      </c>
      <c r="D4376" s="716">
        <v>0</v>
      </c>
    </row>
    <row r="4377" spans="1:4" ht="84">
      <c r="A4377" s="715">
        <v>104509</v>
      </c>
      <c r="B4377" s="633" t="s">
        <v>40346</v>
      </c>
      <c r="C4377" s="715" t="s">
        <v>165</v>
      </c>
      <c r="D4377" s="716">
        <v>0</v>
      </c>
    </row>
    <row r="4378" spans="1:4" ht="84">
      <c r="A4378" s="715">
        <v>104512</v>
      </c>
      <c r="B4378" s="633" t="s">
        <v>40347</v>
      </c>
      <c r="C4378" s="715" t="s">
        <v>165</v>
      </c>
      <c r="D4378" s="716">
        <v>0</v>
      </c>
    </row>
    <row r="4379" spans="1:4" ht="84">
      <c r="A4379" s="715">
        <v>104513</v>
      </c>
      <c r="B4379" s="633" t="s">
        <v>40348</v>
      </c>
      <c r="C4379" s="715" t="s">
        <v>165</v>
      </c>
      <c r="D4379" s="716">
        <v>0</v>
      </c>
    </row>
    <row r="4380" spans="1:4" ht="84">
      <c r="A4380" s="715">
        <v>104514</v>
      </c>
      <c r="B4380" s="633" t="s">
        <v>40349</v>
      </c>
      <c r="C4380" s="715" t="s">
        <v>165</v>
      </c>
      <c r="D4380" s="716">
        <v>0</v>
      </c>
    </row>
    <row r="4381" spans="1:4" ht="84">
      <c r="A4381" s="715">
        <v>104501</v>
      </c>
      <c r="B4381" s="633" t="s">
        <v>40350</v>
      </c>
      <c r="C4381" s="715" t="s">
        <v>165</v>
      </c>
      <c r="D4381" s="716">
        <v>0</v>
      </c>
    </row>
    <row r="4382" spans="1:4" ht="84">
      <c r="A4382" s="715">
        <v>104502</v>
      </c>
      <c r="B4382" s="633" t="s">
        <v>40351</v>
      </c>
      <c r="C4382" s="715" t="s">
        <v>165</v>
      </c>
      <c r="D4382" s="716">
        <v>0</v>
      </c>
    </row>
    <row r="4383" spans="1:4" ht="84">
      <c r="A4383" s="715">
        <v>104505</v>
      </c>
      <c r="B4383" s="633" t="s">
        <v>40352</v>
      </c>
      <c r="C4383" s="715" t="s">
        <v>165</v>
      </c>
      <c r="D4383" s="716">
        <v>0</v>
      </c>
    </row>
    <row r="4384" spans="1:4" ht="84">
      <c r="A4384" s="715">
        <v>104506</v>
      </c>
      <c r="B4384" s="633" t="s">
        <v>40353</v>
      </c>
      <c r="C4384" s="715" t="s">
        <v>165</v>
      </c>
      <c r="D4384" s="716">
        <v>0</v>
      </c>
    </row>
    <row r="4385" spans="1:4" ht="84">
      <c r="A4385" s="715">
        <v>104510</v>
      </c>
      <c r="B4385" s="633" t="s">
        <v>40354</v>
      </c>
      <c r="C4385" s="715" t="s">
        <v>165</v>
      </c>
      <c r="D4385" s="716">
        <v>0</v>
      </c>
    </row>
    <row r="4386" spans="1:4" ht="84">
      <c r="A4386" s="715">
        <v>104511</v>
      </c>
      <c r="B4386" s="633" t="s">
        <v>40355</v>
      </c>
      <c r="C4386" s="715" t="s">
        <v>165</v>
      </c>
      <c r="D4386" s="716">
        <v>0</v>
      </c>
    </row>
    <row r="4387" spans="1:4" ht="84">
      <c r="A4387" s="715">
        <v>104491</v>
      </c>
      <c r="B4387" s="633" t="s">
        <v>40356</v>
      </c>
      <c r="C4387" s="715" t="s">
        <v>165</v>
      </c>
      <c r="D4387" s="716">
        <v>4624.22</v>
      </c>
    </row>
    <row r="4388" spans="1:4" ht="84">
      <c r="A4388" s="715">
        <v>104492</v>
      </c>
      <c r="B4388" s="633" t="s">
        <v>40357</v>
      </c>
      <c r="C4388" s="715" t="s">
        <v>165</v>
      </c>
      <c r="D4388" s="716">
        <v>5782.17</v>
      </c>
    </row>
    <row r="4389" spans="1:4" ht="84">
      <c r="A4389" s="715">
        <v>104493</v>
      </c>
      <c r="B4389" s="633" t="s">
        <v>40358</v>
      </c>
      <c r="C4389" s="715" t="s">
        <v>165</v>
      </c>
      <c r="D4389" s="716">
        <v>0</v>
      </c>
    </row>
    <row r="4390" spans="1:4" ht="84">
      <c r="A4390" s="715">
        <v>104494</v>
      </c>
      <c r="B4390" s="633" t="s">
        <v>40359</v>
      </c>
      <c r="C4390" s="715" t="s">
        <v>165</v>
      </c>
      <c r="D4390" s="716">
        <v>7809.06</v>
      </c>
    </row>
    <row r="4391" spans="1:4" ht="84">
      <c r="A4391" s="715">
        <v>104495</v>
      </c>
      <c r="B4391" s="633" t="s">
        <v>40360</v>
      </c>
      <c r="C4391" s="715" t="s">
        <v>165</v>
      </c>
      <c r="D4391" s="716">
        <v>0</v>
      </c>
    </row>
    <row r="4392" spans="1:4" ht="84">
      <c r="A4392" s="715">
        <v>104496</v>
      </c>
      <c r="B4392" s="633" t="s">
        <v>40361</v>
      </c>
      <c r="C4392" s="715" t="s">
        <v>165</v>
      </c>
      <c r="D4392" s="716">
        <v>0</v>
      </c>
    </row>
    <row r="4393" spans="1:4" ht="84">
      <c r="A4393" s="715">
        <v>104497</v>
      </c>
      <c r="B4393" s="633" t="s">
        <v>40362</v>
      </c>
      <c r="C4393" s="715" t="s">
        <v>165</v>
      </c>
      <c r="D4393" s="716">
        <v>9343.81</v>
      </c>
    </row>
    <row r="4394" spans="1:4" ht="84">
      <c r="A4394" s="715">
        <v>104498</v>
      </c>
      <c r="B4394" s="633" t="s">
        <v>40363</v>
      </c>
      <c r="C4394" s="715" t="s">
        <v>165</v>
      </c>
      <c r="D4394" s="716">
        <v>0</v>
      </c>
    </row>
    <row r="4395" spans="1:4" ht="84">
      <c r="A4395" s="715">
        <v>104499</v>
      </c>
      <c r="B4395" s="633" t="s">
        <v>40364</v>
      </c>
      <c r="C4395" s="715" t="s">
        <v>165</v>
      </c>
      <c r="D4395" s="716">
        <v>0</v>
      </c>
    </row>
    <row r="4396" spans="1:4" ht="42">
      <c r="A4396" s="715">
        <v>104515</v>
      </c>
      <c r="B4396" s="633" t="s">
        <v>25167</v>
      </c>
      <c r="C4396" s="715" t="s">
        <v>509</v>
      </c>
      <c r="D4396" s="716">
        <v>27</v>
      </c>
    </row>
    <row r="4397" spans="1:4" ht="42">
      <c r="A4397" s="715">
        <v>106549</v>
      </c>
      <c r="B4397" s="633" t="s">
        <v>42801</v>
      </c>
      <c r="C4397" s="715" t="s">
        <v>165</v>
      </c>
      <c r="D4397" s="716">
        <v>0</v>
      </c>
    </row>
    <row r="4398" spans="1:4" ht="28">
      <c r="A4398" s="715">
        <v>106548</v>
      </c>
      <c r="B4398" s="633" t="s">
        <v>42802</v>
      </c>
      <c r="C4398" s="715" t="s">
        <v>165</v>
      </c>
      <c r="D4398" s="716">
        <v>0</v>
      </c>
    </row>
    <row r="4399" spans="1:4" ht="28">
      <c r="A4399" s="715">
        <v>106550</v>
      </c>
      <c r="B4399" s="633" t="s">
        <v>42803</v>
      </c>
      <c r="C4399" s="715" t="s">
        <v>165</v>
      </c>
      <c r="D4399" s="716">
        <v>5.05</v>
      </c>
    </row>
    <row r="4400" spans="1:4" ht="56">
      <c r="A4400" s="715">
        <v>87430</v>
      </c>
      <c r="B4400" s="633" t="s">
        <v>27261</v>
      </c>
      <c r="C4400" s="715" t="s">
        <v>509</v>
      </c>
      <c r="D4400" s="716">
        <v>22.8</v>
      </c>
    </row>
    <row r="4401" spans="1:4" ht="56">
      <c r="A4401" s="715">
        <v>87433</v>
      </c>
      <c r="B4401" s="633" t="s">
        <v>27262</v>
      </c>
      <c r="C4401" s="715" t="s">
        <v>509</v>
      </c>
      <c r="D4401" s="716">
        <v>32.29</v>
      </c>
    </row>
    <row r="4402" spans="1:4" ht="56">
      <c r="A4402" s="715">
        <v>87436</v>
      </c>
      <c r="B4402" s="633" t="s">
        <v>27263</v>
      </c>
      <c r="C4402" s="715" t="s">
        <v>509</v>
      </c>
      <c r="D4402" s="716">
        <v>37.22</v>
      </c>
    </row>
    <row r="4403" spans="1:4" ht="56">
      <c r="A4403" s="715">
        <v>87439</v>
      </c>
      <c r="B4403" s="633" t="s">
        <v>27264</v>
      </c>
      <c r="C4403" s="715" t="s">
        <v>509</v>
      </c>
      <c r="D4403" s="716">
        <v>45.31</v>
      </c>
    </row>
    <row r="4404" spans="1:4" ht="42">
      <c r="A4404" s="715">
        <v>104633</v>
      </c>
      <c r="B4404" s="633" t="s">
        <v>27368</v>
      </c>
      <c r="C4404" s="715" t="s">
        <v>509</v>
      </c>
      <c r="D4404" s="716">
        <v>31.9</v>
      </c>
    </row>
    <row r="4405" spans="1:4" ht="42">
      <c r="A4405" s="715">
        <v>104634</v>
      </c>
      <c r="B4405" s="633" t="s">
        <v>27369</v>
      </c>
      <c r="C4405" s="715" t="s">
        <v>509</v>
      </c>
      <c r="D4405" s="716">
        <v>46.24</v>
      </c>
    </row>
    <row r="4406" spans="1:4" ht="42">
      <c r="A4406" s="715">
        <v>87418</v>
      </c>
      <c r="B4406" s="633" t="s">
        <v>27257</v>
      </c>
      <c r="C4406" s="715" t="s">
        <v>509</v>
      </c>
      <c r="D4406" s="716">
        <v>22.42</v>
      </c>
    </row>
    <row r="4407" spans="1:4" ht="42">
      <c r="A4407" s="715">
        <v>87421</v>
      </c>
      <c r="B4407" s="633" t="s">
        <v>27258</v>
      </c>
      <c r="C4407" s="715" t="s">
        <v>509</v>
      </c>
      <c r="D4407" s="716">
        <v>33.630000000000003</v>
      </c>
    </row>
    <row r="4408" spans="1:4" ht="56">
      <c r="A4408" s="715">
        <v>104628</v>
      </c>
      <c r="B4408" s="633" t="s">
        <v>27363</v>
      </c>
      <c r="C4408" s="715" t="s">
        <v>509</v>
      </c>
      <c r="D4408" s="716">
        <v>36.53</v>
      </c>
    </row>
    <row r="4409" spans="1:4" ht="56">
      <c r="A4409" s="715">
        <v>104631</v>
      </c>
      <c r="B4409" s="633" t="s">
        <v>27366</v>
      </c>
      <c r="C4409" s="715" t="s">
        <v>509</v>
      </c>
      <c r="D4409" s="716">
        <v>48.73</v>
      </c>
    </row>
    <row r="4410" spans="1:4" ht="56">
      <c r="A4410" s="715">
        <v>104627</v>
      </c>
      <c r="B4410" s="633" t="s">
        <v>27362</v>
      </c>
      <c r="C4410" s="715" t="s">
        <v>509</v>
      </c>
      <c r="D4410" s="716">
        <v>22.4</v>
      </c>
    </row>
    <row r="4411" spans="1:4" ht="56">
      <c r="A4411" s="715">
        <v>104630</v>
      </c>
      <c r="B4411" s="633" t="s">
        <v>27365</v>
      </c>
      <c r="C4411" s="715" t="s">
        <v>509</v>
      </c>
      <c r="D4411" s="716">
        <v>34.6</v>
      </c>
    </row>
    <row r="4412" spans="1:4" ht="56">
      <c r="A4412" s="715">
        <v>104629</v>
      </c>
      <c r="B4412" s="633" t="s">
        <v>27364</v>
      </c>
      <c r="C4412" s="715" t="s">
        <v>509</v>
      </c>
      <c r="D4412" s="716">
        <v>44.65</v>
      </c>
    </row>
    <row r="4413" spans="1:4" ht="56">
      <c r="A4413" s="715">
        <v>104632</v>
      </c>
      <c r="B4413" s="633" t="s">
        <v>27367</v>
      </c>
      <c r="C4413" s="715" t="s">
        <v>509</v>
      </c>
      <c r="D4413" s="716">
        <v>56.85</v>
      </c>
    </row>
    <row r="4414" spans="1:4" ht="42">
      <c r="A4414" s="715">
        <v>87412</v>
      </c>
      <c r="B4414" s="633" t="s">
        <v>27252</v>
      </c>
      <c r="C4414" s="715" t="s">
        <v>509</v>
      </c>
      <c r="D4414" s="716">
        <v>29.86</v>
      </c>
    </row>
    <row r="4415" spans="1:4" ht="42">
      <c r="A4415" s="715">
        <v>87415</v>
      </c>
      <c r="B4415" s="633" t="s">
        <v>27255</v>
      </c>
      <c r="C4415" s="715" t="s">
        <v>509</v>
      </c>
      <c r="D4415" s="716">
        <v>40.57</v>
      </c>
    </row>
    <row r="4416" spans="1:4" ht="42">
      <c r="A4416" s="715">
        <v>87411</v>
      </c>
      <c r="B4416" s="633" t="s">
        <v>27251</v>
      </c>
      <c r="C4416" s="715" t="s">
        <v>509</v>
      </c>
      <c r="D4416" s="716">
        <v>18.97</v>
      </c>
    </row>
    <row r="4417" spans="1:4" ht="42">
      <c r="A4417" s="715">
        <v>87414</v>
      </c>
      <c r="B4417" s="633" t="s">
        <v>27254</v>
      </c>
      <c r="C4417" s="715" t="s">
        <v>509</v>
      </c>
      <c r="D4417" s="716">
        <v>29.67</v>
      </c>
    </row>
    <row r="4418" spans="1:4" ht="42">
      <c r="A4418" s="715">
        <v>87413</v>
      </c>
      <c r="B4418" s="633" t="s">
        <v>27253</v>
      </c>
      <c r="C4418" s="715" t="s">
        <v>509</v>
      </c>
      <c r="D4418" s="716">
        <v>36.119999999999997</v>
      </c>
    </row>
    <row r="4419" spans="1:4" ht="42">
      <c r="A4419" s="715">
        <v>87416</v>
      </c>
      <c r="B4419" s="633" t="s">
        <v>27256</v>
      </c>
      <c r="C4419" s="715" t="s">
        <v>509</v>
      </c>
      <c r="D4419" s="716">
        <v>46.82</v>
      </c>
    </row>
    <row r="4420" spans="1:4" ht="42">
      <c r="A4420" s="715">
        <v>104635</v>
      </c>
      <c r="B4420" s="633" t="s">
        <v>27370</v>
      </c>
      <c r="C4420" s="715" t="s">
        <v>509</v>
      </c>
      <c r="D4420" s="716">
        <v>65.92</v>
      </c>
    </row>
    <row r="4421" spans="1:4" ht="42">
      <c r="A4421" s="715">
        <v>104636</v>
      </c>
      <c r="B4421" s="633" t="s">
        <v>27371</v>
      </c>
      <c r="C4421" s="715" t="s">
        <v>509</v>
      </c>
      <c r="D4421" s="716">
        <v>75.900000000000006</v>
      </c>
    </row>
    <row r="4422" spans="1:4" ht="42">
      <c r="A4422" s="715">
        <v>87424</v>
      </c>
      <c r="B4422" s="633" t="s">
        <v>27259</v>
      </c>
      <c r="C4422" s="715" t="s">
        <v>509</v>
      </c>
      <c r="D4422" s="716">
        <v>45.79</v>
      </c>
    </row>
    <row r="4423" spans="1:4" ht="42">
      <c r="A4423" s="715">
        <v>87427</v>
      </c>
      <c r="B4423" s="633" t="s">
        <v>27260</v>
      </c>
      <c r="C4423" s="715" t="s">
        <v>509</v>
      </c>
      <c r="D4423" s="716">
        <v>53.6</v>
      </c>
    </row>
    <row r="4424" spans="1:4" ht="28">
      <c r="A4424" s="715">
        <v>89998</v>
      </c>
      <c r="B4424" s="633" t="s">
        <v>25469</v>
      </c>
      <c r="C4424" s="715" t="s">
        <v>207</v>
      </c>
      <c r="D4424" s="716">
        <v>8.98</v>
      </c>
    </row>
    <row r="4425" spans="1:4" ht="28">
      <c r="A4425" s="715">
        <v>102920</v>
      </c>
      <c r="B4425" s="633" t="s">
        <v>25536</v>
      </c>
      <c r="C4425" s="715" t="s">
        <v>207</v>
      </c>
      <c r="D4425" s="716">
        <v>7.15</v>
      </c>
    </row>
    <row r="4426" spans="1:4" ht="28">
      <c r="A4426" s="715">
        <v>102923</v>
      </c>
      <c r="B4426" s="633" t="s">
        <v>25539</v>
      </c>
      <c r="C4426" s="715" t="s">
        <v>207</v>
      </c>
      <c r="D4426" s="716">
        <v>6.45</v>
      </c>
    </row>
    <row r="4427" spans="1:4" ht="28">
      <c r="A4427" s="715">
        <v>90000</v>
      </c>
      <c r="B4427" s="633" t="s">
        <v>25471</v>
      </c>
      <c r="C4427" s="715" t="s">
        <v>207</v>
      </c>
      <c r="D4427" s="716">
        <v>12.8</v>
      </c>
    </row>
    <row r="4428" spans="1:4" ht="28">
      <c r="A4428" s="715">
        <v>103088</v>
      </c>
      <c r="B4428" s="633" t="s">
        <v>25540</v>
      </c>
      <c r="C4428" s="715" t="s">
        <v>207</v>
      </c>
      <c r="D4428" s="716">
        <v>9.59</v>
      </c>
    </row>
    <row r="4429" spans="1:4" ht="28">
      <c r="A4429" s="715">
        <v>102922</v>
      </c>
      <c r="B4429" s="633" t="s">
        <v>25538</v>
      </c>
      <c r="C4429" s="715" t="s">
        <v>207</v>
      </c>
      <c r="D4429" s="716">
        <v>7.93</v>
      </c>
    </row>
    <row r="4430" spans="1:4" ht="28">
      <c r="A4430" s="715">
        <v>89999</v>
      </c>
      <c r="B4430" s="633" t="s">
        <v>25470</v>
      </c>
      <c r="C4430" s="715" t="s">
        <v>207</v>
      </c>
      <c r="D4430" s="716">
        <v>16.91</v>
      </c>
    </row>
    <row r="4431" spans="1:4" ht="28">
      <c r="A4431" s="715">
        <v>89996</v>
      </c>
      <c r="B4431" s="633" t="s">
        <v>25467</v>
      </c>
      <c r="C4431" s="715" t="s">
        <v>207</v>
      </c>
      <c r="D4431" s="716">
        <v>9.7200000000000006</v>
      </c>
    </row>
    <row r="4432" spans="1:4" ht="28">
      <c r="A4432" s="715">
        <v>89997</v>
      </c>
      <c r="B4432" s="633" t="s">
        <v>25468</v>
      </c>
      <c r="C4432" s="715" t="s">
        <v>207</v>
      </c>
      <c r="D4432" s="716">
        <v>7.62</v>
      </c>
    </row>
    <row r="4433" spans="1:4" ht="28">
      <c r="A4433" s="715">
        <v>102921</v>
      </c>
      <c r="B4433" s="633" t="s">
        <v>25537</v>
      </c>
      <c r="C4433" s="715" t="s">
        <v>207</v>
      </c>
      <c r="D4433" s="716">
        <v>6.73</v>
      </c>
    </row>
    <row r="4434" spans="1:4" ht="56">
      <c r="A4434" s="715">
        <v>90278</v>
      </c>
      <c r="B4434" s="633" t="s">
        <v>25552</v>
      </c>
      <c r="C4434" s="715" t="s">
        <v>121</v>
      </c>
      <c r="D4434" s="716">
        <v>509.86</v>
      </c>
    </row>
    <row r="4435" spans="1:4" ht="56">
      <c r="A4435" s="715">
        <v>90282</v>
      </c>
      <c r="B4435" s="633" t="s">
        <v>25556</v>
      </c>
      <c r="C4435" s="715" t="s">
        <v>121</v>
      </c>
      <c r="D4435" s="716">
        <v>497.92</v>
      </c>
    </row>
    <row r="4436" spans="1:4" ht="56">
      <c r="A4436" s="715">
        <v>90279</v>
      </c>
      <c r="B4436" s="633" t="s">
        <v>25553</v>
      </c>
      <c r="C4436" s="715" t="s">
        <v>121</v>
      </c>
      <c r="D4436" s="716">
        <v>563.94000000000005</v>
      </c>
    </row>
    <row r="4437" spans="1:4" ht="56">
      <c r="A4437" s="715">
        <v>90283</v>
      </c>
      <c r="B4437" s="633" t="s">
        <v>25557</v>
      </c>
      <c r="C4437" s="715" t="s">
        <v>121</v>
      </c>
      <c r="D4437" s="716">
        <v>551.9</v>
      </c>
    </row>
    <row r="4438" spans="1:4" ht="56">
      <c r="A4438" s="715">
        <v>90280</v>
      </c>
      <c r="B4438" s="633" t="s">
        <v>25554</v>
      </c>
      <c r="C4438" s="715" t="s">
        <v>121</v>
      </c>
      <c r="D4438" s="716">
        <v>620.95000000000005</v>
      </c>
    </row>
    <row r="4439" spans="1:4" ht="56">
      <c r="A4439" s="715">
        <v>90284</v>
      </c>
      <c r="B4439" s="633" t="s">
        <v>25558</v>
      </c>
      <c r="C4439" s="715" t="s">
        <v>121</v>
      </c>
      <c r="D4439" s="716">
        <v>613.01</v>
      </c>
    </row>
    <row r="4440" spans="1:4" ht="56">
      <c r="A4440" s="715">
        <v>90281</v>
      </c>
      <c r="B4440" s="633" t="s">
        <v>25555</v>
      </c>
      <c r="C4440" s="715" t="s">
        <v>121</v>
      </c>
      <c r="D4440" s="716">
        <v>714.81</v>
      </c>
    </row>
    <row r="4441" spans="1:4" ht="56">
      <c r="A4441" s="715">
        <v>90285</v>
      </c>
      <c r="B4441" s="633" t="s">
        <v>25559</v>
      </c>
      <c r="C4441" s="715" t="s">
        <v>121</v>
      </c>
      <c r="D4441" s="716">
        <v>713.14</v>
      </c>
    </row>
    <row r="4442" spans="1:4" ht="42">
      <c r="A4442" s="715">
        <v>89994</v>
      </c>
      <c r="B4442" s="633" t="s">
        <v>25550</v>
      </c>
      <c r="C4442" s="715" t="s">
        <v>121</v>
      </c>
      <c r="D4442" s="716">
        <v>952.55</v>
      </c>
    </row>
    <row r="4443" spans="1:4" ht="28">
      <c r="A4443" s="715">
        <v>89995</v>
      </c>
      <c r="B4443" s="633" t="s">
        <v>25551</v>
      </c>
      <c r="C4443" s="715" t="s">
        <v>121</v>
      </c>
      <c r="D4443" s="716">
        <v>1097.8</v>
      </c>
    </row>
    <row r="4444" spans="1:4" ht="28">
      <c r="A4444" s="715">
        <v>89993</v>
      </c>
      <c r="B4444" s="633" t="s">
        <v>25549</v>
      </c>
      <c r="C4444" s="715" t="s">
        <v>121</v>
      </c>
      <c r="D4444" s="716">
        <v>1147.72</v>
      </c>
    </row>
    <row r="4445" spans="1:4" ht="56">
      <c r="A4445" s="715">
        <v>106212</v>
      </c>
      <c r="B4445" s="633" t="s">
        <v>42804</v>
      </c>
      <c r="C4445" s="715" t="s">
        <v>165</v>
      </c>
      <c r="D4445" s="716">
        <v>0</v>
      </c>
    </row>
    <row r="4446" spans="1:4" ht="56">
      <c r="A4446" s="715">
        <v>106216</v>
      </c>
      <c r="B4446" s="633" t="s">
        <v>42805</v>
      </c>
      <c r="C4446" s="715" t="s">
        <v>165</v>
      </c>
      <c r="D4446" s="716">
        <v>0</v>
      </c>
    </row>
    <row r="4447" spans="1:4" ht="28">
      <c r="A4447" s="715">
        <v>99860</v>
      </c>
      <c r="B4447" s="633" t="s">
        <v>42806</v>
      </c>
      <c r="C4447" s="715" t="s">
        <v>165</v>
      </c>
      <c r="D4447" s="716">
        <v>0</v>
      </c>
    </row>
    <row r="4448" spans="1:4" ht="28">
      <c r="A4448" s="715">
        <v>99858</v>
      </c>
      <c r="B4448" s="633" t="s">
        <v>42807</v>
      </c>
      <c r="C4448" s="715" t="s">
        <v>165</v>
      </c>
      <c r="D4448" s="716">
        <v>0</v>
      </c>
    </row>
    <row r="4449" spans="1:4" ht="28">
      <c r="A4449" s="715">
        <v>99859</v>
      </c>
      <c r="B4449" s="633" t="s">
        <v>42808</v>
      </c>
      <c r="C4449" s="715" t="s">
        <v>165</v>
      </c>
      <c r="D4449" s="716">
        <v>0</v>
      </c>
    </row>
    <row r="4450" spans="1:4" ht="56">
      <c r="A4450" s="715">
        <v>106211</v>
      </c>
      <c r="B4450" s="633" t="s">
        <v>42809</v>
      </c>
      <c r="C4450" s="715" t="s">
        <v>165</v>
      </c>
      <c r="D4450" s="716">
        <v>0</v>
      </c>
    </row>
    <row r="4451" spans="1:4" ht="56">
      <c r="A4451" s="715">
        <v>106215</v>
      </c>
      <c r="B4451" s="633" t="s">
        <v>42810</v>
      </c>
      <c r="C4451" s="715" t="s">
        <v>165</v>
      </c>
      <c r="D4451" s="716">
        <v>0</v>
      </c>
    </row>
    <row r="4452" spans="1:4" ht="28">
      <c r="A4452" s="715">
        <v>99857</v>
      </c>
      <c r="B4452" s="633" t="s">
        <v>42811</v>
      </c>
      <c r="C4452" s="715" t="s">
        <v>165</v>
      </c>
      <c r="D4452" s="716">
        <v>69.849999999999994</v>
      </c>
    </row>
    <row r="4453" spans="1:4" ht="42">
      <c r="A4453" s="715">
        <v>99855</v>
      </c>
      <c r="B4453" s="633" t="s">
        <v>42812</v>
      </c>
      <c r="C4453" s="715" t="s">
        <v>165</v>
      </c>
      <c r="D4453" s="716">
        <v>95.16</v>
      </c>
    </row>
    <row r="4454" spans="1:4" ht="28">
      <c r="A4454" s="715">
        <v>99856</v>
      </c>
      <c r="B4454" s="633" t="s">
        <v>42813</v>
      </c>
      <c r="C4454" s="715" t="s">
        <v>165</v>
      </c>
      <c r="D4454" s="716">
        <v>0</v>
      </c>
    </row>
    <row r="4455" spans="1:4" ht="56">
      <c r="A4455" s="715">
        <v>106210</v>
      </c>
      <c r="B4455" s="633" t="s">
        <v>42814</v>
      </c>
      <c r="C4455" s="715" t="s">
        <v>165</v>
      </c>
      <c r="D4455" s="716">
        <v>0</v>
      </c>
    </row>
    <row r="4456" spans="1:4" ht="56">
      <c r="A4456" s="715">
        <v>106214</v>
      </c>
      <c r="B4456" s="633" t="s">
        <v>42815</v>
      </c>
      <c r="C4456" s="715" t="s">
        <v>165</v>
      </c>
      <c r="D4456" s="716">
        <v>0</v>
      </c>
    </row>
    <row r="4457" spans="1:4" ht="28">
      <c r="A4457" s="715">
        <v>99862</v>
      </c>
      <c r="B4457" s="633" t="s">
        <v>42816</v>
      </c>
      <c r="C4457" s="715" t="s">
        <v>509</v>
      </c>
      <c r="D4457" s="716">
        <v>532.66999999999996</v>
      </c>
    </row>
    <row r="4458" spans="1:4" ht="42">
      <c r="A4458" s="715">
        <v>99861</v>
      </c>
      <c r="B4458" s="633" t="s">
        <v>42817</v>
      </c>
      <c r="C4458" s="715" t="s">
        <v>509</v>
      </c>
      <c r="D4458" s="716">
        <v>602.45000000000005</v>
      </c>
    </row>
    <row r="4459" spans="1:4" ht="84">
      <c r="A4459" s="715">
        <v>106213</v>
      </c>
      <c r="B4459" s="633" t="s">
        <v>42818</v>
      </c>
      <c r="C4459" s="715" t="s">
        <v>165</v>
      </c>
      <c r="D4459" s="716">
        <v>0</v>
      </c>
    </row>
    <row r="4460" spans="1:4" ht="98">
      <c r="A4460" s="715">
        <v>106220</v>
      </c>
      <c r="B4460" s="633" t="s">
        <v>42819</v>
      </c>
      <c r="C4460" s="715" t="s">
        <v>165</v>
      </c>
      <c r="D4460" s="716">
        <v>0</v>
      </c>
    </row>
    <row r="4461" spans="1:4" ht="84">
      <c r="A4461" s="715">
        <v>106221</v>
      </c>
      <c r="B4461" s="633" t="s">
        <v>42820</v>
      </c>
      <c r="C4461" s="715" t="s">
        <v>165</v>
      </c>
      <c r="D4461" s="716">
        <v>0</v>
      </c>
    </row>
    <row r="4462" spans="1:4" ht="70">
      <c r="A4462" s="715">
        <v>99853</v>
      </c>
      <c r="B4462" s="633" t="s">
        <v>42821</v>
      </c>
      <c r="C4462" s="715" t="s">
        <v>165</v>
      </c>
      <c r="D4462" s="716">
        <v>0</v>
      </c>
    </row>
    <row r="4463" spans="1:4" ht="84">
      <c r="A4463" s="715">
        <v>99851</v>
      </c>
      <c r="B4463" s="633" t="s">
        <v>42822</v>
      </c>
      <c r="C4463" s="715" t="s">
        <v>165</v>
      </c>
      <c r="D4463" s="716">
        <v>0</v>
      </c>
    </row>
    <row r="4464" spans="1:4" ht="84">
      <c r="A4464" s="715">
        <v>99854</v>
      </c>
      <c r="B4464" s="633" t="s">
        <v>42823</v>
      </c>
      <c r="C4464" s="715" t="s">
        <v>165</v>
      </c>
      <c r="D4464" s="716">
        <v>0</v>
      </c>
    </row>
    <row r="4465" spans="1:4" ht="84">
      <c r="A4465" s="715">
        <v>99852</v>
      </c>
      <c r="B4465" s="633" t="s">
        <v>42824</v>
      </c>
      <c r="C4465" s="715" t="s">
        <v>165</v>
      </c>
      <c r="D4465" s="716">
        <v>0</v>
      </c>
    </row>
    <row r="4466" spans="1:4" ht="70">
      <c r="A4466" s="715">
        <v>99844</v>
      </c>
      <c r="B4466" s="633" t="s">
        <v>42825</v>
      </c>
      <c r="C4466" s="715" t="s">
        <v>165</v>
      </c>
      <c r="D4466" s="716">
        <v>0</v>
      </c>
    </row>
    <row r="4467" spans="1:4" ht="84">
      <c r="A4467" s="715">
        <v>99842</v>
      </c>
      <c r="B4467" s="633" t="s">
        <v>42826</v>
      </c>
      <c r="C4467" s="715" t="s">
        <v>165</v>
      </c>
      <c r="D4467" s="716">
        <v>559.85</v>
      </c>
    </row>
    <row r="4468" spans="1:4" ht="84">
      <c r="A4468" s="715">
        <v>99845</v>
      </c>
      <c r="B4468" s="633" t="s">
        <v>42827</v>
      </c>
      <c r="C4468" s="715" t="s">
        <v>165</v>
      </c>
      <c r="D4468" s="716">
        <v>0</v>
      </c>
    </row>
    <row r="4469" spans="1:4" ht="84">
      <c r="A4469" s="715">
        <v>99843</v>
      </c>
      <c r="B4469" s="633" t="s">
        <v>42828</v>
      </c>
      <c r="C4469" s="715" t="s">
        <v>165</v>
      </c>
      <c r="D4469" s="716">
        <v>0</v>
      </c>
    </row>
    <row r="4470" spans="1:4" ht="84">
      <c r="A4470" s="715">
        <v>106217</v>
      </c>
      <c r="B4470" s="633" t="s">
        <v>42829</v>
      </c>
      <c r="C4470" s="715" t="s">
        <v>165</v>
      </c>
      <c r="D4470" s="716">
        <v>0</v>
      </c>
    </row>
    <row r="4471" spans="1:4" ht="42">
      <c r="A4471" s="715">
        <v>106218</v>
      </c>
      <c r="B4471" s="633" t="s">
        <v>42830</v>
      </c>
      <c r="C4471" s="715" t="s">
        <v>165</v>
      </c>
      <c r="D4471" s="716">
        <v>0</v>
      </c>
    </row>
    <row r="4472" spans="1:4" ht="70">
      <c r="A4472" s="715">
        <v>106219</v>
      </c>
      <c r="B4472" s="633" t="s">
        <v>42831</v>
      </c>
      <c r="C4472" s="715" t="s">
        <v>165</v>
      </c>
      <c r="D4472" s="716">
        <v>0</v>
      </c>
    </row>
    <row r="4473" spans="1:4" ht="70">
      <c r="A4473" s="715">
        <v>99846</v>
      </c>
      <c r="B4473" s="633" t="s">
        <v>42832</v>
      </c>
      <c r="C4473" s="715" t="s">
        <v>165</v>
      </c>
      <c r="D4473" s="716">
        <v>0</v>
      </c>
    </row>
    <row r="4474" spans="1:4" ht="70">
      <c r="A4474" s="715">
        <v>94276</v>
      </c>
      <c r="B4474" s="633" t="s">
        <v>28900</v>
      </c>
      <c r="C4474" s="715" t="s">
        <v>165</v>
      </c>
      <c r="D4474" s="716">
        <v>46.41</v>
      </c>
    </row>
    <row r="4475" spans="1:4" ht="70">
      <c r="A4475" s="715">
        <v>94274</v>
      </c>
      <c r="B4475" s="633" t="s">
        <v>28898</v>
      </c>
      <c r="C4475" s="715" t="s">
        <v>165</v>
      </c>
      <c r="D4475" s="716">
        <v>50.59</v>
      </c>
    </row>
    <row r="4476" spans="1:4" ht="84">
      <c r="A4476" s="715">
        <v>94280</v>
      </c>
      <c r="B4476" s="633" t="s">
        <v>28904</v>
      </c>
      <c r="C4476" s="715" t="s">
        <v>165</v>
      </c>
      <c r="D4476" s="716">
        <v>48.21</v>
      </c>
    </row>
    <row r="4477" spans="1:4" ht="70">
      <c r="A4477" s="715">
        <v>94278</v>
      </c>
      <c r="B4477" s="633" t="s">
        <v>28902</v>
      </c>
      <c r="C4477" s="715" t="s">
        <v>165</v>
      </c>
      <c r="D4477" s="716">
        <v>41.63</v>
      </c>
    </row>
    <row r="4478" spans="1:4" ht="56">
      <c r="A4478" s="715">
        <v>94275</v>
      </c>
      <c r="B4478" s="633" t="s">
        <v>28899</v>
      </c>
      <c r="C4478" s="715" t="s">
        <v>165</v>
      </c>
      <c r="D4478" s="716">
        <v>42.64</v>
      </c>
    </row>
    <row r="4479" spans="1:4" ht="56">
      <c r="A4479" s="715">
        <v>94273</v>
      </c>
      <c r="B4479" s="633" t="s">
        <v>28897</v>
      </c>
      <c r="C4479" s="715" t="s">
        <v>165</v>
      </c>
      <c r="D4479" s="716">
        <v>46.82</v>
      </c>
    </row>
    <row r="4480" spans="1:4" ht="84">
      <c r="A4480" s="715">
        <v>94279</v>
      </c>
      <c r="B4480" s="633" t="s">
        <v>28903</v>
      </c>
      <c r="C4480" s="715" t="s">
        <v>165</v>
      </c>
      <c r="D4480" s="716">
        <v>44.45</v>
      </c>
    </row>
    <row r="4481" spans="1:4" ht="56">
      <c r="A4481" s="715">
        <v>94277</v>
      </c>
      <c r="B4481" s="633" t="s">
        <v>28901</v>
      </c>
      <c r="C4481" s="715" t="s">
        <v>165</v>
      </c>
      <c r="D4481" s="716">
        <v>37.869999999999997</v>
      </c>
    </row>
    <row r="4482" spans="1:4" ht="84">
      <c r="A4482" s="715">
        <v>104930</v>
      </c>
      <c r="B4482" s="633" t="s">
        <v>33794</v>
      </c>
      <c r="C4482" s="715" t="s">
        <v>165</v>
      </c>
      <c r="D4482" s="716">
        <v>0</v>
      </c>
    </row>
    <row r="4483" spans="1:4" ht="84">
      <c r="A4483" s="715">
        <v>104931</v>
      </c>
      <c r="B4483" s="633" t="s">
        <v>33795</v>
      </c>
      <c r="C4483" s="715" t="s">
        <v>165</v>
      </c>
      <c r="D4483" s="716">
        <v>0</v>
      </c>
    </row>
    <row r="4484" spans="1:4" ht="28">
      <c r="A4484" s="715">
        <v>94294</v>
      </c>
      <c r="B4484" s="633" t="s">
        <v>28905</v>
      </c>
      <c r="C4484" s="715" t="s">
        <v>165</v>
      </c>
      <c r="D4484" s="716">
        <v>8.3699999999999992</v>
      </c>
    </row>
    <row r="4485" spans="1:4" ht="42">
      <c r="A4485" s="715">
        <v>94288</v>
      </c>
      <c r="B4485" s="633" t="s">
        <v>40365</v>
      </c>
      <c r="C4485" s="715" t="s">
        <v>165</v>
      </c>
      <c r="D4485" s="716">
        <v>44.79</v>
      </c>
    </row>
    <row r="4486" spans="1:4" ht="42">
      <c r="A4486" s="715">
        <v>94282</v>
      </c>
      <c r="B4486" s="633" t="s">
        <v>40366</v>
      </c>
      <c r="C4486" s="715" t="s">
        <v>165</v>
      </c>
      <c r="D4486" s="716">
        <v>56.48</v>
      </c>
    </row>
    <row r="4487" spans="1:4" ht="42">
      <c r="A4487" s="715">
        <v>94290</v>
      </c>
      <c r="B4487" s="633" t="s">
        <v>40367</v>
      </c>
      <c r="C4487" s="715" t="s">
        <v>165</v>
      </c>
      <c r="D4487" s="716">
        <v>54.46</v>
      </c>
    </row>
    <row r="4488" spans="1:4" ht="42">
      <c r="A4488" s="715">
        <v>94284</v>
      </c>
      <c r="B4488" s="633" t="s">
        <v>40368</v>
      </c>
      <c r="C4488" s="715" t="s">
        <v>165</v>
      </c>
      <c r="D4488" s="716">
        <v>72.11</v>
      </c>
    </row>
    <row r="4489" spans="1:4" ht="42">
      <c r="A4489" s="715">
        <v>94292</v>
      </c>
      <c r="B4489" s="633" t="s">
        <v>40369</v>
      </c>
      <c r="C4489" s="715" t="s">
        <v>165</v>
      </c>
      <c r="D4489" s="716">
        <v>64.77</v>
      </c>
    </row>
    <row r="4490" spans="1:4" ht="42">
      <c r="A4490" s="715">
        <v>94286</v>
      </c>
      <c r="B4490" s="633" t="s">
        <v>40370</v>
      </c>
      <c r="C4490" s="715" t="s">
        <v>165</v>
      </c>
      <c r="D4490" s="716">
        <v>90.83</v>
      </c>
    </row>
    <row r="4491" spans="1:4" ht="42">
      <c r="A4491" s="715">
        <v>94287</v>
      </c>
      <c r="B4491" s="633" t="s">
        <v>40371</v>
      </c>
      <c r="C4491" s="715" t="s">
        <v>165</v>
      </c>
      <c r="D4491" s="716">
        <v>35.93</v>
      </c>
    </row>
    <row r="4492" spans="1:4" ht="42">
      <c r="A4492" s="715">
        <v>94281</v>
      </c>
      <c r="B4492" s="633" t="s">
        <v>40372</v>
      </c>
      <c r="C4492" s="715" t="s">
        <v>165</v>
      </c>
      <c r="D4492" s="716">
        <v>46.52</v>
      </c>
    </row>
    <row r="4493" spans="1:4" ht="42">
      <c r="A4493" s="715">
        <v>94289</v>
      </c>
      <c r="B4493" s="633" t="s">
        <v>40373</v>
      </c>
      <c r="C4493" s="715" t="s">
        <v>165</v>
      </c>
      <c r="D4493" s="716">
        <v>45.59</v>
      </c>
    </row>
    <row r="4494" spans="1:4" ht="42">
      <c r="A4494" s="715">
        <v>94283</v>
      </c>
      <c r="B4494" s="633" t="s">
        <v>40374</v>
      </c>
      <c r="C4494" s="715" t="s">
        <v>165</v>
      </c>
      <c r="D4494" s="716">
        <v>62.13</v>
      </c>
    </row>
    <row r="4495" spans="1:4" ht="42">
      <c r="A4495" s="715">
        <v>94291</v>
      </c>
      <c r="B4495" s="633" t="s">
        <v>40375</v>
      </c>
      <c r="C4495" s="715" t="s">
        <v>165</v>
      </c>
      <c r="D4495" s="716">
        <v>55.91</v>
      </c>
    </row>
    <row r="4496" spans="1:4" ht="42">
      <c r="A4496" s="715">
        <v>94285</v>
      </c>
      <c r="B4496" s="633" t="s">
        <v>40376</v>
      </c>
      <c r="C4496" s="715" t="s">
        <v>165</v>
      </c>
      <c r="D4496" s="716">
        <v>80.86</v>
      </c>
    </row>
    <row r="4497" spans="1:4" ht="42">
      <c r="A4497" s="715">
        <v>94293</v>
      </c>
      <c r="B4497" s="633" t="s">
        <v>40377</v>
      </c>
      <c r="C4497" s="715" t="s">
        <v>165</v>
      </c>
      <c r="D4497" s="716">
        <v>181.1</v>
      </c>
    </row>
    <row r="4498" spans="1:4" ht="42">
      <c r="A4498" s="715">
        <v>94264</v>
      </c>
      <c r="B4498" s="633" t="s">
        <v>40378</v>
      </c>
      <c r="C4498" s="715" t="s">
        <v>165</v>
      </c>
      <c r="D4498" s="716">
        <v>46.13</v>
      </c>
    </row>
    <row r="4499" spans="1:4" ht="42">
      <c r="A4499" s="715">
        <v>94266</v>
      </c>
      <c r="B4499" s="633" t="s">
        <v>40379</v>
      </c>
      <c r="C4499" s="715" t="s">
        <v>165</v>
      </c>
      <c r="D4499" s="716">
        <v>59.51</v>
      </c>
    </row>
    <row r="4500" spans="1:4" ht="42">
      <c r="A4500" s="715">
        <v>94263</v>
      </c>
      <c r="B4500" s="633" t="s">
        <v>40380</v>
      </c>
      <c r="C4500" s="715" t="s">
        <v>165</v>
      </c>
      <c r="D4500" s="716">
        <v>39.909999999999997</v>
      </c>
    </row>
    <row r="4501" spans="1:4" ht="42">
      <c r="A4501" s="715">
        <v>94265</v>
      </c>
      <c r="B4501" s="633" t="s">
        <v>40381</v>
      </c>
      <c r="C4501" s="715" t="s">
        <v>165</v>
      </c>
      <c r="D4501" s="716">
        <v>52.38</v>
      </c>
    </row>
    <row r="4502" spans="1:4" ht="56">
      <c r="A4502" s="715">
        <v>94268</v>
      </c>
      <c r="B4502" s="633" t="s">
        <v>40382</v>
      </c>
      <c r="C4502" s="715" t="s">
        <v>165</v>
      </c>
      <c r="D4502" s="716">
        <v>69.72</v>
      </c>
    </row>
    <row r="4503" spans="1:4" ht="56">
      <c r="A4503" s="715">
        <v>94270</v>
      </c>
      <c r="B4503" s="633" t="s">
        <v>40383</v>
      </c>
      <c r="C4503" s="715" t="s">
        <v>165</v>
      </c>
      <c r="D4503" s="716">
        <v>98.11</v>
      </c>
    </row>
    <row r="4504" spans="1:4" ht="56">
      <c r="A4504" s="715">
        <v>94272</v>
      </c>
      <c r="B4504" s="633" t="s">
        <v>40384</v>
      </c>
      <c r="C4504" s="715" t="s">
        <v>165</v>
      </c>
      <c r="D4504" s="716">
        <v>121.03</v>
      </c>
    </row>
    <row r="4505" spans="1:4" ht="56">
      <c r="A4505" s="715">
        <v>94267</v>
      </c>
      <c r="B4505" s="633" t="s">
        <v>40385</v>
      </c>
      <c r="C4505" s="715" t="s">
        <v>165</v>
      </c>
      <c r="D4505" s="716">
        <v>61.86</v>
      </c>
    </row>
    <row r="4506" spans="1:4" ht="56">
      <c r="A4506" s="715">
        <v>94269</v>
      </c>
      <c r="B4506" s="633" t="s">
        <v>40386</v>
      </c>
      <c r="C4506" s="715" t="s">
        <v>165</v>
      </c>
      <c r="D4506" s="716">
        <v>87.18</v>
      </c>
    </row>
    <row r="4507" spans="1:4" ht="56">
      <c r="A4507" s="715">
        <v>94271</v>
      </c>
      <c r="B4507" s="633" t="s">
        <v>40387</v>
      </c>
      <c r="C4507" s="715" t="s">
        <v>165</v>
      </c>
      <c r="D4507" s="716">
        <v>106.41</v>
      </c>
    </row>
    <row r="4508" spans="1:4" ht="42">
      <c r="A4508" s="715">
        <v>105555</v>
      </c>
      <c r="B4508" s="633" t="s">
        <v>33796</v>
      </c>
      <c r="C4508" s="715" t="s">
        <v>103</v>
      </c>
      <c r="D4508" s="716">
        <v>0</v>
      </c>
    </row>
    <row r="4509" spans="1:4" ht="42">
      <c r="A4509" s="715">
        <v>97603</v>
      </c>
      <c r="B4509" s="633" t="s">
        <v>33797</v>
      </c>
      <c r="C4509" s="715" t="s">
        <v>103</v>
      </c>
      <c r="D4509" s="716">
        <v>0</v>
      </c>
    </row>
    <row r="4510" spans="1:4" ht="42">
      <c r="A4510" s="715">
        <v>97602</v>
      </c>
      <c r="B4510" s="633" t="s">
        <v>33798</v>
      </c>
      <c r="C4510" s="715" t="s">
        <v>103</v>
      </c>
      <c r="D4510" s="716">
        <v>0</v>
      </c>
    </row>
    <row r="4511" spans="1:4" ht="42">
      <c r="A4511" s="715">
        <v>97604</v>
      </c>
      <c r="B4511" s="633" t="s">
        <v>33799</v>
      </c>
      <c r="C4511" s="715" t="s">
        <v>103</v>
      </c>
      <c r="D4511" s="716">
        <v>0</v>
      </c>
    </row>
    <row r="4512" spans="1:4" ht="28">
      <c r="A4512" s="715">
        <v>105553</v>
      </c>
      <c r="B4512" s="633" t="s">
        <v>33800</v>
      </c>
      <c r="C4512" s="715" t="s">
        <v>103</v>
      </c>
      <c r="D4512" s="716">
        <v>0</v>
      </c>
    </row>
    <row r="4513" spans="1:4" ht="28">
      <c r="A4513" s="715">
        <v>105552</v>
      </c>
      <c r="B4513" s="633" t="s">
        <v>33801</v>
      </c>
      <c r="C4513" s="715" t="s">
        <v>103</v>
      </c>
      <c r="D4513" s="716">
        <v>0</v>
      </c>
    </row>
    <row r="4514" spans="1:4" ht="28">
      <c r="A4514" s="715">
        <v>105550</v>
      </c>
      <c r="B4514" s="633" t="s">
        <v>33802</v>
      </c>
      <c r="C4514" s="715" t="s">
        <v>103</v>
      </c>
      <c r="D4514" s="716">
        <v>0</v>
      </c>
    </row>
    <row r="4515" spans="1:4" ht="28">
      <c r="A4515" s="715">
        <v>105551</v>
      </c>
      <c r="B4515" s="633" t="s">
        <v>33803</v>
      </c>
      <c r="C4515" s="715" t="s">
        <v>103</v>
      </c>
      <c r="D4515" s="716">
        <v>0</v>
      </c>
    </row>
    <row r="4516" spans="1:4" ht="28">
      <c r="A4516" s="715">
        <v>105549</v>
      </c>
      <c r="B4516" s="633" t="s">
        <v>33804</v>
      </c>
      <c r="C4516" s="715" t="s">
        <v>103</v>
      </c>
      <c r="D4516" s="716">
        <v>0</v>
      </c>
    </row>
    <row r="4517" spans="1:4" ht="14">
      <c r="A4517" s="715">
        <v>105547</v>
      </c>
      <c r="B4517" s="633" t="s">
        <v>33805</v>
      </c>
      <c r="C4517" s="715" t="s">
        <v>165</v>
      </c>
      <c r="D4517" s="716">
        <v>0</v>
      </c>
    </row>
    <row r="4518" spans="1:4" ht="42">
      <c r="A4518" s="715">
        <v>97605</v>
      </c>
      <c r="B4518" s="633" t="s">
        <v>30140</v>
      </c>
      <c r="C4518" s="715" t="s">
        <v>103</v>
      </c>
      <c r="D4518" s="716">
        <v>75.349999999999994</v>
      </c>
    </row>
    <row r="4519" spans="1:4" ht="42">
      <c r="A4519" s="715">
        <v>97607</v>
      </c>
      <c r="B4519" s="633" t="s">
        <v>30141</v>
      </c>
      <c r="C4519" s="715" t="s">
        <v>103</v>
      </c>
      <c r="D4519" s="716">
        <v>98.12</v>
      </c>
    </row>
    <row r="4520" spans="1:4" ht="42">
      <c r="A4520" s="715">
        <v>97599</v>
      </c>
      <c r="B4520" s="633" t="s">
        <v>30133</v>
      </c>
      <c r="C4520" s="715" t="s">
        <v>103</v>
      </c>
      <c r="D4520" s="716">
        <v>20.65</v>
      </c>
    </row>
    <row r="4521" spans="1:4" ht="42">
      <c r="A4521" s="715">
        <v>105542</v>
      </c>
      <c r="B4521" s="633" t="s">
        <v>33806</v>
      </c>
      <c r="C4521" s="715" t="s">
        <v>103</v>
      </c>
      <c r="D4521" s="716">
        <v>0</v>
      </c>
    </row>
    <row r="4522" spans="1:4" ht="42">
      <c r="A4522" s="715">
        <v>105543</v>
      </c>
      <c r="B4522" s="633" t="s">
        <v>33807</v>
      </c>
      <c r="C4522" s="715" t="s">
        <v>103</v>
      </c>
      <c r="D4522" s="716">
        <v>0</v>
      </c>
    </row>
    <row r="4523" spans="1:4" ht="42">
      <c r="A4523" s="715">
        <v>105544</v>
      </c>
      <c r="B4523" s="633" t="s">
        <v>33808</v>
      </c>
      <c r="C4523" s="715" t="s">
        <v>103</v>
      </c>
      <c r="D4523" s="716">
        <v>0</v>
      </c>
    </row>
    <row r="4524" spans="1:4" ht="42">
      <c r="A4524" s="715">
        <v>100913</v>
      </c>
      <c r="B4524" s="633" t="s">
        <v>33809</v>
      </c>
      <c r="C4524" s="715" t="s">
        <v>103</v>
      </c>
      <c r="D4524" s="716">
        <v>0</v>
      </c>
    </row>
    <row r="4525" spans="1:4" ht="42">
      <c r="A4525" s="715">
        <v>100916</v>
      </c>
      <c r="B4525" s="633" t="s">
        <v>33810</v>
      </c>
      <c r="C4525" s="715" t="s">
        <v>103</v>
      </c>
      <c r="D4525" s="716">
        <v>0</v>
      </c>
    </row>
    <row r="4526" spans="1:4" ht="42">
      <c r="A4526" s="715">
        <v>100918</v>
      </c>
      <c r="B4526" s="633" t="s">
        <v>33811</v>
      </c>
      <c r="C4526" s="715" t="s">
        <v>103</v>
      </c>
      <c r="D4526" s="716">
        <v>0</v>
      </c>
    </row>
    <row r="4527" spans="1:4" ht="42">
      <c r="A4527" s="715">
        <v>100914</v>
      </c>
      <c r="B4527" s="633" t="s">
        <v>33812</v>
      </c>
      <c r="C4527" s="715" t="s">
        <v>103</v>
      </c>
      <c r="D4527" s="716">
        <v>0</v>
      </c>
    </row>
    <row r="4528" spans="1:4" ht="56">
      <c r="A4528" s="715">
        <v>100917</v>
      </c>
      <c r="B4528" s="633" t="s">
        <v>33813</v>
      </c>
      <c r="C4528" s="715" t="s">
        <v>103</v>
      </c>
      <c r="D4528" s="716">
        <v>0</v>
      </c>
    </row>
    <row r="4529" spans="1:4" ht="42">
      <c r="A4529" s="715">
        <v>100907</v>
      </c>
      <c r="B4529" s="633" t="s">
        <v>33814</v>
      </c>
      <c r="C4529" s="715" t="s">
        <v>103</v>
      </c>
      <c r="D4529" s="716">
        <v>0</v>
      </c>
    </row>
    <row r="4530" spans="1:4" ht="42">
      <c r="A4530" s="715">
        <v>102467</v>
      </c>
      <c r="B4530" s="633" t="s">
        <v>33815</v>
      </c>
      <c r="C4530" s="715" t="s">
        <v>103</v>
      </c>
      <c r="D4530" s="716">
        <v>0</v>
      </c>
    </row>
    <row r="4531" spans="1:4" ht="42">
      <c r="A4531" s="715">
        <v>100910</v>
      </c>
      <c r="B4531" s="633" t="s">
        <v>33816</v>
      </c>
      <c r="C4531" s="715" t="s">
        <v>103</v>
      </c>
      <c r="D4531" s="716">
        <v>0</v>
      </c>
    </row>
    <row r="4532" spans="1:4" ht="42">
      <c r="A4532" s="715">
        <v>105541</v>
      </c>
      <c r="B4532" s="633" t="s">
        <v>33817</v>
      </c>
      <c r="C4532" s="715" t="s">
        <v>103</v>
      </c>
      <c r="D4532" s="716">
        <v>0</v>
      </c>
    </row>
    <row r="4533" spans="1:4" ht="42">
      <c r="A4533" s="715">
        <v>100908</v>
      </c>
      <c r="B4533" s="633" t="s">
        <v>33818</v>
      </c>
      <c r="C4533" s="715" t="s">
        <v>103</v>
      </c>
      <c r="D4533" s="716">
        <v>0</v>
      </c>
    </row>
    <row r="4534" spans="1:4" ht="56">
      <c r="A4534" s="715">
        <v>100911</v>
      </c>
      <c r="B4534" s="633" t="s">
        <v>33819</v>
      </c>
      <c r="C4534" s="715" t="s">
        <v>103</v>
      </c>
      <c r="D4534" s="716">
        <v>0</v>
      </c>
    </row>
    <row r="4535" spans="1:4" ht="42">
      <c r="A4535" s="715">
        <v>103782</v>
      </c>
      <c r="B4535" s="633" t="s">
        <v>30138</v>
      </c>
      <c r="C4535" s="715" t="s">
        <v>103</v>
      </c>
      <c r="D4535" s="716">
        <v>36.950000000000003</v>
      </c>
    </row>
    <row r="4536" spans="1:4" ht="42">
      <c r="A4536" s="715">
        <v>103786</v>
      </c>
      <c r="B4536" s="633" t="s">
        <v>33820</v>
      </c>
      <c r="C4536" s="715" t="s">
        <v>103</v>
      </c>
      <c r="D4536" s="716">
        <v>0</v>
      </c>
    </row>
    <row r="4537" spans="1:4" ht="42">
      <c r="A4537" s="715">
        <v>103787</v>
      </c>
      <c r="B4537" s="633" t="s">
        <v>33821</v>
      </c>
      <c r="C4537" s="715" t="s">
        <v>103</v>
      </c>
      <c r="D4537" s="716">
        <v>0</v>
      </c>
    </row>
    <row r="4538" spans="1:4" ht="42">
      <c r="A4538" s="715">
        <v>103788</v>
      </c>
      <c r="B4538" s="633" t="s">
        <v>33822</v>
      </c>
      <c r="C4538" s="715" t="s">
        <v>103</v>
      </c>
      <c r="D4538" s="716">
        <v>0</v>
      </c>
    </row>
    <row r="4539" spans="1:4" ht="42">
      <c r="A4539" s="715">
        <v>103783</v>
      </c>
      <c r="B4539" s="633" t="s">
        <v>33823</v>
      </c>
      <c r="C4539" s="715" t="s">
        <v>103</v>
      </c>
      <c r="D4539" s="716">
        <v>0</v>
      </c>
    </row>
    <row r="4540" spans="1:4" ht="42">
      <c r="A4540" s="715">
        <v>103784</v>
      </c>
      <c r="B4540" s="633" t="s">
        <v>33824</v>
      </c>
      <c r="C4540" s="715" t="s">
        <v>103</v>
      </c>
      <c r="D4540" s="716">
        <v>0</v>
      </c>
    </row>
    <row r="4541" spans="1:4" ht="42">
      <c r="A4541" s="715">
        <v>103785</v>
      </c>
      <c r="B4541" s="633" t="s">
        <v>33825</v>
      </c>
      <c r="C4541" s="715" t="s">
        <v>103</v>
      </c>
      <c r="D4541" s="716">
        <v>0</v>
      </c>
    </row>
    <row r="4542" spans="1:4" ht="42">
      <c r="A4542" s="715">
        <v>105546</v>
      </c>
      <c r="B4542" s="633" t="s">
        <v>33826</v>
      </c>
      <c r="C4542" s="715" t="s">
        <v>103</v>
      </c>
      <c r="D4542" s="716">
        <v>0</v>
      </c>
    </row>
    <row r="4543" spans="1:4" ht="42">
      <c r="A4543" s="715">
        <v>105545</v>
      </c>
      <c r="B4543" s="633" t="s">
        <v>33827</v>
      </c>
      <c r="C4543" s="715" t="s">
        <v>103</v>
      </c>
      <c r="D4543" s="716">
        <v>0</v>
      </c>
    </row>
    <row r="4544" spans="1:4" ht="28">
      <c r="A4544" s="715">
        <v>97610</v>
      </c>
      <c r="B4544" s="633" t="s">
        <v>30135</v>
      </c>
      <c r="C4544" s="715" t="s">
        <v>103</v>
      </c>
      <c r="D4544" s="716">
        <v>16.600000000000001</v>
      </c>
    </row>
    <row r="4545" spans="1:4" ht="28">
      <c r="A4545" s="715">
        <v>97609</v>
      </c>
      <c r="B4545" s="633" t="s">
        <v>30134</v>
      </c>
      <c r="C4545" s="715" t="s">
        <v>103</v>
      </c>
      <c r="D4545" s="716">
        <v>16.04</v>
      </c>
    </row>
    <row r="4546" spans="1:4" ht="28">
      <c r="A4546" s="715">
        <v>105554</v>
      </c>
      <c r="B4546" s="633" t="s">
        <v>30139</v>
      </c>
      <c r="C4546" s="715" t="s">
        <v>103</v>
      </c>
      <c r="D4546" s="716">
        <v>19.149999999999999</v>
      </c>
    </row>
    <row r="4547" spans="1:4" ht="42">
      <c r="A4547" s="715">
        <v>100903</v>
      </c>
      <c r="B4547" s="633" t="s">
        <v>30137</v>
      </c>
      <c r="C4547" s="715" t="s">
        <v>103</v>
      </c>
      <c r="D4547" s="716">
        <v>37.04</v>
      </c>
    </row>
    <row r="4548" spans="1:4" ht="42">
      <c r="A4548" s="715">
        <v>100902</v>
      </c>
      <c r="B4548" s="633" t="s">
        <v>30136</v>
      </c>
      <c r="C4548" s="715" t="s">
        <v>103</v>
      </c>
      <c r="D4548" s="716">
        <v>34.56</v>
      </c>
    </row>
    <row r="4549" spans="1:4" ht="28">
      <c r="A4549" s="715">
        <v>105548</v>
      </c>
      <c r="B4549" s="633" t="s">
        <v>33828</v>
      </c>
      <c r="C4549" s="715" t="s">
        <v>165</v>
      </c>
      <c r="D4549" s="716">
        <v>0</v>
      </c>
    </row>
    <row r="4550" spans="1:4" ht="42">
      <c r="A4550" s="715">
        <v>97595</v>
      </c>
      <c r="B4550" s="633" t="s">
        <v>30129</v>
      </c>
      <c r="C4550" s="715" t="s">
        <v>103</v>
      </c>
      <c r="D4550" s="716">
        <v>95.41</v>
      </c>
    </row>
    <row r="4551" spans="1:4" ht="28">
      <c r="A4551" s="715">
        <v>97597</v>
      </c>
      <c r="B4551" s="633" t="s">
        <v>30131</v>
      </c>
      <c r="C4551" s="715" t="s">
        <v>103</v>
      </c>
      <c r="D4551" s="716">
        <v>67.73</v>
      </c>
    </row>
    <row r="4552" spans="1:4" ht="42">
      <c r="A4552" s="715">
        <v>97596</v>
      </c>
      <c r="B4552" s="633" t="s">
        <v>30130</v>
      </c>
      <c r="C4552" s="715" t="s">
        <v>103</v>
      </c>
      <c r="D4552" s="716">
        <v>72.45</v>
      </c>
    </row>
    <row r="4553" spans="1:4" ht="28">
      <c r="A4553" s="715">
        <v>97598</v>
      </c>
      <c r="B4553" s="633" t="s">
        <v>30132</v>
      </c>
      <c r="C4553" s="715" t="s">
        <v>103</v>
      </c>
      <c r="D4553" s="716">
        <v>64.8</v>
      </c>
    </row>
    <row r="4554" spans="1:4" ht="42">
      <c r="A4554" s="715">
        <v>98549</v>
      </c>
      <c r="B4554" s="633" t="s">
        <v>33829</v>
      </c>
      <c r="C4554" s="715" t="s">
        <v>509</v>
      </c>
      <c r="D4554" s="716">
        <v>0</v>
      </c>
    </row>
    <row r="4555" spans="1:4" ht="42">
      <c r="A4555" s="715">
        <v>98562</v>
      </c>
      <c r="B4555" s="633" t="s">
        <v>28234</v>
      </c>
      <c r="C4555" s="715" t="s">
        <v>509</v>
      </c>
      <c r="D4555" s="716">
        <v>59</v>
      </c>
    </row>
    <row r="4556" spans="1:4" ht="42">
      <c r="A4556" s="715">
        <v>98555</v>
      </c>
      <c r="B4556" s="633" t="s">
        <v>28235</v>
      </c>
      <c r="C4556" s="715" t="s">
        <v>509</v>
      </c>
      <c r="D4556" s="716">
        <v>37.340000000000003</v>
      </c>
    </row>
    <row r="4557" spans="1:4" ht="56">
      <c r="A4557" s="715">
        <v>98556</v>
      </c>
      <c r="B4557" s="633" t="s">
        <v>42833</v>
      </c>
      <c r="C4557" s="715" t="s">
        <v>509</v>
      </c>
      <c r="D4557" s="716">
        <v>68.23</v>
      </c>
    </row>
    <row r="4558" spans="1:4" ht="28">
      <c r="A4558" s="715">
        <v>98557</v>
      </c>
      <c r="B4558" s="633" t="s">
        <v>28240</v>
      </c>
      <c r="C4558" s="715" t="s">
        <v>509</v>
      </c>
      <c r="D4558" s="716">
        <v>45.2</v>
      </c>
    </row>
    <row r="4559" spans="1:4" ht="42">
      <c r="A4559" s="715">
        <v>98548</v>
      </c>
      <c r="B4559" s="633" t="s">
        <v>33830</v>
      </c>
      <c r="C4559" s="715" t="s">
        <v>509</v>
      </c>
      <c r="D4559" s="716">
        <v>0</v>
      </c>
    </row>
    <row r="4560" spans="1:4" ht="42">
      <c r="A4560" s="715">
        <v>98547</v>
      </c>
      <c r="B4560" s="633" t="s">
        <v>28237</v>
      </c>
      <c r="C4560" s="715" t="s">
        <v>509</v>
      </c>
      <c r="D4560" s="716">
        <v>229.85</v>
      </c>
    </row>
    <row r="4561" spans="1:4" ht="42">
      <c r="A4561" s="715">
        <v>98546</v>
      </c>
      <c r="B4561" s="633" t="s">
        <v>28236</v>
      </c>
      <c r="C4561" s="715" t="s">
        <v>509</v>
      </c>
      <c r="D4561" s="716">
        <v>136.22999999999999</v>
      </c>
    </row>
    <row r="4562" spans="1:4" ht="28">
      <c r="A4562" s="715">
        <v>98552</v>
      </c>
      <c r="B4562" s="633" t="s">
        <v>33831</v>
      </c>
      <c r="C4562" s="715" t="s">
        <v>509</v>
      </c>
      <c r="D4562" s="716">
        <v>0</v>
      </c>
    </row>
    <row r="4563" spans="1:4" ht="28">
      <c r="A4563" s="715">
        <v>98553</v>
      </c>
      <c r="B4563" s="633" t="s">
        <v>28238</v>
      </c>
      <c r="C4563" s="715" t="s">
        <v>509</v>
      </c>
      <c r="D4563" s="716">
        <v>182.45</v>
      </c>
    </row>
    <row r="4564" spans="1:4" ht="28">
      <c r="A4564" s="715">
        <v>98554</v>
      </c>
      <c r="B4564" s="633" t="s">
        <v>28239</v>
      </c>
      <c r="C4564" s="715" t="s">
        <v>509</v>
      </c>
      <c r="D4564" s="716">
        <v>52.09</v>
      </c>
    </row>
    <row r="4565" spans="1:4" ht="42">
      <c r="A4565" s="715">
        <v>98565</v>
      </c>
      <c r="B4565" s="633" t="s">
        <v>28243</v>
      </c>
      <c r="C4565" s="715" t="s">
        <v>509</v>
      </c>
      <c r="D4565" s="716">
        <v>62.5</v>
      </c>
    </row>
    <row r="4566" spans="1:4" ht="42">
      <c r="A4566" s="715">
        <v>98567</v>
      </c>
      <c r="B4566" s="633" t="s">
        <v>28245</v>
      </c>
      <c r="C4566" s="715" t="s">
        <v>509</v>
      </c>
      <c r="D4566" s="716">
        <v>80.5</v>
      </c>
    </row>
    <row r="4567" spans="1:4" ht="42">
      <c r="A4567" s="715">
        <v>98569</v>
      </c>
      <c r="B4567" s="633" t="s">
        <v>28247</v>
      </c>
      <c r="C4567" s="715" t="s">
        <v>509</v>
      </c>
      <c r="D4567" s="716">
        <v>99.38</v>
      </c>
    </row>
    <row r="4568" spans="1:4" ht="28">
      <c r="A4568" s="715">
        <v>98571</v>
      </c>
      <c r="B4568" s="633" t="s">
        <v>28249</v>
      </c>
      <c r="C4568" s="715" t="s">
        <v>509</v>
      </c>
      <c r="D4568" s="716">
        <v>50.89</v>
      </c>
    </row>
    <row r="4569" spans="1:4" ht="28">
      <c r="A4569" s="715">
        <v>98572</v>
      </c>
      <c r="B4569" s="633" t="s">
        <v>28250</v>
      </c>
      <c r="C4569" s="715" t="s">
        <v>509</v>
      </c>
      <c r="D4569" s="716">
        <v>62.55</v>
      </c>
    </row>
    <row r="4570" spans="1:4" ht="42">
      <c r="A4570" s="715">
        <v>98563</v>
      </c>
      <c r="B4570" s="633" t="s">
        <v>28241</v>
      </c>
      <c r="C4570" s="715" t="s">
        <v>509</v>
      </c>
      <c r="D4570" s="716">
        <v>43.62</v>
      </c>
    </row>
    <row r="4571" spans="1:4" ht="42">
      <c r="A4571" s="715">
        <v>98564</v>
      </c>
      <c r="B4571" s="633" t="s">
        <v>28242</v>
      </c>
      <c r="C4571" s="715" t="s">
        <v>509</v>
      </c>
      <c r="D4571" s="716">
        <v>57.83</v>
      </c>
    </row>
    <row r="4572" spans="1:4" ht="42">
      <c r="A4572" s="715">
        <v>98566</v>
      </c>
      <c r="B4572" s="633" t="s">
        <v>28244</v>
      </c>
      <c r="C4572" s="715" t="s">
        <v>509</v>
      </c>
      <c r="D4572" s="716">
        <v>76.709999999999994</v>
      </c>
    </row>
    <row r="4573" spans="1:4" ht="42">
      <c r="A4573" s="715">
        <v>98568</v>
      </c>
      <c r="B4573" s="633" t="s">
        <v>28246</v>
      </c>
      <c r="C4573" s="715" t="s">
        <v>509</v>
      </c>
      <c r="D4573" s="716">
        <v>94.71</v>
      </c>
    </row>
    <row r="4574" spans="1:4" ht="42">
      <c r="A4574" s="715">
        <v>98570</v>
      </c>
      <c r="B4574" s="633" t="s">
        <v>28248</v>
      </c>
      <c r="C4574" s="715" t="s">
        <v>509</v>
      </c>
      <c r="D4574" s="716">
        <v>113.6</v>
      </c>
    </row>
    <row r="4575" spans="1:4" ht="28">
      <c r="A4575" s="715">
        <v>98573</v>
      </c>
      <c r="B4575" s="633" t="s">
        <v>28251</v>
      </c>
      <c r="C4575" s="715" t="s">
        <v>509</v>
      </c>
      <c r="D4575" s="716">
        <v>76.010000000000005</v>
      </c>
    </row>
    <row r="4576" spans="1:4" ht="28">
      <c r="A4576" s="715">
        <v>98576</v>
      </c>
      <c r="B4576" s="633" t="s">
        <v>28232</v>
      </c>
      <c r="C4576" s="715" t="s">
        <v>165</v>
      </c>
      <c r="D4576" s="716">
        <v>24.72</v>
      </c>
    </row>
    <row r="4577" spans="1:4" ht="56">
      <c r="A4577" s="715">
        <v>98575</v>
      </c>
      <c r="B4577" s="633" t="s">
        <v>28231</v>
      </c>
      <c r="C4577" s="715" t="s">
        <v>165</v>
      </c>
      <c r="D4577" s="716">
        <v>82.18</v>
      </c>
    </row>
    <row r="4578" spans="1:4" ht="42">
      <c r="A4578" s="715">
        <v>98577</v>
      </c>
      <c r="B4578" s="633" t="s">
        <v>28233</v>
      </c>
      <c r="C4578" s="715" t="s">
        <v>165</v>
      </c>
      <c r="D4578" s="716">
        <v>58.39</v>
      </c>
    </row>
    <row r="4579" spans="1:4" ht="42">
      <c r="A4579" s="715">
        <v>98558</v>
      </c>
      <c r="B4579" s="633" t="s">
        <v>42834</v>
      </c>
      <c r="C4579" s="715" t="s">
        <v>103</v>
      </c>
      <c r="D4579" s="716">
        <v>11.05</v>
      </c>
    </row>
    <row r="4580" spans="1:4" ht="42">
      <c r="A4580" s="715">
        <v>106110</v>
      </c>
      <c r="B4580" s="633" t="s">
        <v>33832</v>
      </c>
      <c r="C4580" s="715" t="s">
        <v>103</v>
      </c>
      <c r="D4580" s="716">
        <v>0</v>
      </c>
    </row>
    <row r="4581" spans="1:4" ht="42">
      <c r="A4581" s="715">
        <v>98551</v>
      </c>
      <c r="B4581" s="633" t="s">
        <v>33833</v>
      </c>
      <c r="C4581" s="715" t="s">
        <v>165</v>
      </c>
      <c r="D4581" s="716">
        <v>0</v>
      </c>
    </row>
    <row r="4582" spans="1:4" ht="28">
      <c r="A4582" s="715">
        <v>98559</v>
      </c>
      <c r="B4582" s="633" t="s">
        <v>42835</v>
      </c>
      <c r="C4582" s="715" t="s">
        <v>165</v>
      </c>
      <c r="D4582" s="716">
        <v>5.75</v>
      </c>
    </row>
    <row r="4583" spans="1:4" ht="42">
      <c r="A4583" s="715">
        <v>91925</v>
      </c>
      <c r="B4583" s="633" t="s">
        <v>25712</v>
      </c>
      <c r="C4583" s="715" t="s">
        <v>165</v>
      </c>
      <c r="D4583" s="716">
        <v>4.6100000000000003</v>
      </c>
    </row>
    <row r="4584" spans="1:4" ht="42">
      <c r="A4584" s="715">
        <v>91924</v>
      </c>
      <c r="B4584" s="633" t="s">
        <v>25711</v>
      </c>
      <c r="C4584" s="715" t="s">
        <v>165</v>
      </c>
      <c r="D4584" s="716">
        <v>3.9</v>
      </c>
    </row>
    <row r="4585" spans="1:4" ht="42">
      <c r="A4585" s="715">
        <v>91933</v>
      </c>
      <c r="B4585" s="633" t="s">
        <v>25720</v>
      </c>
      <c r="C4585" s="715" t="s">
        <v>165</v>
      </c>
      <c r="D4585" s="716">
        <v>20.07</v>
      </c>
    </row>
    <row r="4586" spans="1:4" ht="42">
      <c r="A4586" s="715">
        <v>91932</v>
      </c>
      <c r="B4586" s="633" t="s">
        <v>25719</v>
      </c>
      <c r="C4586" s="715" t="s">
        <v>165</v>
      </c>
      <c r="D4586" s="716">
        <v>20.75</v>
      </c>
    </row>
    <row r="4587" spans="1:4" ht="42">
      <c r="A4587" s="715">
        <v>91935</v>
      </c>
      <c r="B4587" s="633" t="s">
        <v>25722</v>
      </c>
      <c r="C4587" s="715" t="s">
        <v>165</v>
      </c>
      <c r="D4587" s="716">
        <v>31.36</v>
      </c>
    </row>
    <row r="4588" spans="1:4" ht="42">
      <c r="A4588" s="715">
        <v>91934</v>
      </c>
      <c r="B4588" s="633" t="s">
        <v>25721</v>
      </c>
      <c r="C4588" s="715" t="s">
        <v>165</v>
      </c>
      <c r="D4588" s="716">
        <v>30.05</v>
      </c>
    </row>
    <row r="4589" spans="1:4" ht="42">
      <c r="A4589" s="715">
        <v>91927</v>
      </c>
      <c r="B4589" s="633" t="s">
        <v>25714</v>
      </c>
      <c r="C4589" s="715" t="s">
        <v>165</v>
      </c>
      <c r="D4589" s="716">
        <v>6.17</v>
      </c>
    </row>
    <row r="4590" spans="1:4" ht="42">
      <c r="A4590" s="715">
        <v>91926</v>
      </c>
      <c r="B4590" s="633" t="s">
        <v>25713</v>
      </c>
      <c r="C4590" s="715" t="s">
        <v>165</v>
      </c>
      <c r="D4590" s="716">
        <v>5.58</v>
      </c>
    </row>
    <row r="4591" spans="1:4" ht="42">
      <c r="A4591" s="715">
        <v>91929</v>
      </c>
      <c r="B4591" s="633" t="s">
        <v>25716</v>
      </c>
      <c r="C4591" s="715" t="s">
        <v>165</v>
      </c>
      <c r="D4591" s="716">
        <v>9</v>
      </c>
    </row>
    <row r="4592" spans="1:4" ht="42">
      <c r="A4592" s="715">
        <v>91928</v>
      </c>
      <c r="B4592" s="633" t="s">
        <v>25715</v>
      </c>
      <c r="C4592" s="715" t="s">
        <v>165</v>
      </c>
      <c r="D4592" s="716">
        <v>8.48</v>
      </c>
    </row>
    <row r="4593" spans="1:4" ht="42">
      <c r="A4593" s="715">
        <v>91931</v>
      </c>
      <c r="B4593" s="633" t="s">
        <v>25718</v>
      </c>
      <c r="C4593" s="715" t="s">
        <v>165</v>
      </c>
      <c r="D4593" s="716">
        <v>12.63</v>
      </c>
    </row>
    <row r="4594" spans="1:4" ht="42">
      <c r="A4594" s="715">
        <v>91930</v>
      </c>
      <c r="B4594" s="633" t="s">
        <v>25717</v>
      </c>
      <c r="C4594" s="715" t="s">
        <v>165</v>
      </c>
      <c r="D4594" s="716">
        <v>11.78</v>
      </c>
    </row>
    <row r="4595" spans="1:4" ht="42">
      <c r="A4595" s="715">
        <v>104620</v>
      </c>
      <c r="B4595" s="633" t="s">
        <v>33834</v>
      </c>
      <c r="C4595" s="715" t="s">
        <v>103</v>
      </c>
      <c r="D4595" s="716">
        <v>0</v>
      </c>
    </row>
    <row r="4596" spans="1:4" ht="42">
      <c r="A4596" s="715">
        <v>104624</v>
      </c>
      <c r="B4596" s="633" t="s">
        <v>33835</v>
      </c>
      <c r="C4596" s="715" t="s">
        <v>103</v>
      </c>
      <c r="D4596" s="716">
        <v>0</v>
      </c>
    </row>
    <row r="4597" spans="1:4" ht="42">
      <c r="A4597" s="715">
        <v>104622</v>
      </c>
      <c r="B4597" s="633" t="s">
        <v>33836</v>
      </c>
      <c r="C4597" s="715" t="s">
        <v>103</v>
      </c>
      <c r="D4597" s="716">
        <v>0</v>
      </c>
    </row>
    <row r="4598" spans="1:4" ht="42">
      <c r="A4598" s="715">
        <v>104621</v>
      </c>
      <c r="B4598" s="633" t="s">
        <v>33837</v>
      </c>
      <c r="C4598" s="715" t="s">
        <v>103</v>
      </c>
      <c r="D4598" s="716">
        <v>0</v>
      </c>
    </row>
    <row r="4599" spans="1:4" ht="42">
      <c r="A4599" s="715">
        <v>104625</v>
      </c>
      <c r="B4599" s="633" t="s">
        <v>33838</v>
      </c>
      <c r="C4599" s="715" t="s">
        <v>103</v>
      </c>
      <c r="D4599" s="716">
        <v>0</v>
      </c>
    </row>
    <row r="4600" spans="1:4" ht="42">
      <c r="A4600" s="715">
        <v>104623</v>
      </c>
      <c r="B4600" s="633" t="s">
        <v>33839</v>
      </c>
      <c r="C4600" s="715" t="s">
        <v>103</v>
      </c>
      <c r="D4600" s="716">
        <v>0</v>
      </c>
    </row>
    <row r="4601" spans="1:4" ht="28">
      <c r="A4601" s="715">
        <v>91937</v>
      </c>
      <c r="B4601" s="633" t="s">
        <v>25734</v>
      </c>
      <c r="C4601" s="715" t="s">
        <v>103</v>
      </c>
      <c r="D4601" s="716">
        <v>21.25</v>
      </c>
    </row>
    <row r="4602" spans="1:4" ht="28">
      <c r="A4602" s="715">
        <v>92865</v>
      </c>
      <c r="B4602" s="633" t="s">
        <v>25741</v>
      </c>
      <c r="C4602" s="715" t="s">
        <v>103</v>
      </c>
      <c r="D4602" s="716">
        <v>20.61</v>
      </c>
    </row>
    <row r="4603" spans="1:4" ht="28">
      <c r="A4603" s="715">
        <v>91936</v>
      </c>
      <c r="B4603" s="633" t="s">
        <v>25733</v>
      </c>
      <c r="C4603" s="715" t="s">
        <v>103</v>
      </c>
      <c r="D4603" s="716">
        <v>22.86</v>
      </c>
    </row>
    <row r="4604" spans="1:4" ht="42">
      <c r="A4604" s="715">
        <v>92867</v>
      </c>
      <c r="B4604" s="633" t="s">
        <v>25743</v>
      </c>
      <c r="C4604" s="715" t="s">
        <v>103</v>
      </c>
      <c r="D4604" s="716">
        <v>45.77</v>
      </c>
    </row>
    <row r="4605" spans="1:4" ht="42">
      <c r="A4605" s="715">
        <v>91939</v>
      </c>
      <c r="B4605" s="633" t="s">
        <v>25735</v>
      </c>
      <c r="C4605" s="715" t="s">
        <v>103</v>
      </c>
      <c r="D4605" s="716">
        <v>46.39</v>
      </c>
    </row>
    <row r="4606" spans="1:4" ht="42">
      <c r="A4606" s="715">
        <v>92869</v>
      </c>
      <c r="B4606" s="633" t="s">
        <v>25745</v>
      </c>
      <c r="C4606" s="715" t="s">
        <v>103</v>
      </c>
      <c r="D4606" s="716">
        <v>15.06</v>
      </c>
    </row>
    <row r="4607" spans="1:4" ht="42">
      <c r="A4607" s="715">
        <v>91941</v>
      </c>
      <c r="B4607" s="633" t="s">
        <v>25737</v>
      </c>
      <c r="C4607" s="715" t="s">
        <v>103</v>
      </c>
      <c r="D4607" s="716">
        <v>15.68</v>
      </c>
    </row>
    <row r="4608" spans="1:4" ht="42">
      <c r="A4608" s="715">
        <v>92868</v>
      </c>
      <c r="B4608" s="633" t="s">
        <v>25744</v>
      </c>
      <c r="C4608" s="715" t="s">
        <v>103</v>
      </c>
      <c r="D4608" s="716">
        <v>25.16</v>
      </c>
    </row>
    <row r="4609" spans="1:4" ht="42">
      <c r="A4609" s="715">
        <v>91940</v>
      </c>
      <c r="B4609" s="633" t="s">
        <v>25736</v>
      </c>
      <c r="C4609" s="715" t="s">
        <v>103</v>
      </c>
      <c r="D4609" s="716">
        <v>25.78</v>
      </c>
    </row>
    <row r="4610" spans="1:4" ht="42">
      <c r="A4610" s="715">
        <v>92870</v>
      </c>
      <c r="B4610" s="633" t="s">
        <v>25746</v>
      </c>
      <c r="C4610" s="715" t="s">
        <v>103</v>
      </c>
      <c r="D4610" s="716">
        <v>49.05</v>
      </c>
    </row>
    <row r="4611" spans="1:4" ht="42">
      <c r="A4611" s="715">
        <v>91942</v>
      </c>
      <c r="B4611" s="633" t="s">
        <v>25738</v>
      </c>
      <c r="C4611" s="715" t="s">
        <v>103</v>
      </c>
      <c r="D4611" s="716">
        <v>50.09</v>
      </c>
    </row>
    <row r="4612" spans="1:4" ht="42">
      <c r="A4612" s="715">
        <v>92872</v>
      </c>
      <c r="B4612" s="633" t="s">
        <v>25748</v>
      </c>
      <c r="C4612" s="715" t="s">
        <v>103</v>
      </c>
      <c r="D4612" s="716">
        <v>17.239999999999998</v>
      </c>
    </row>
    <row r="4613" spans="1:4" ht="42">
      <c r="A4613" s="715">
        <v>91944</v>
      </c>
      <c r="B4613" s="633" t="s">
        <v>25740</v>
      </c>
      <c r="C4613" s="715" t="s">
        <v>103</v>
      </c>
      <c r="D4613" s="716">
        <v>18.28</v>
      </c>
    </row>
    <row r="4614" spans="1:4" ht="42">
      <c r="A4614" s="715">
        <v>92871</v>
      </c>
      <c r="B4614" s="633" t="s">
        <v>25747</v>
      </c>
      <c r="C4614" s="715" t="s">
        <v>103</v>
      </c>
      <c r="D4614" s="716">
        <v>27.74</v>
      </c>
    </row>
    <row r="4615" spans="1:4" ht="42">
      <c r="A4615" s="715">
        <v>91943</v>
      </c>
      <c r="B4615" s="633" t="s">
        <v>25739</v>
      </c>
      <c r="C4615" s="715" t="s">
        <v>103</v>
      </c>
      <c r="D4615" s="716">
        <v>28.78</v>
      </c>
    </row>
    <row r="4616" spans="1:4" ht="28">
      <c r="A4616" s="715">
        <v>92866</v>
      </c>
      <c r="B4616" s="633" t="s">
        <v>25742</v>
      </c>
      <c r="C4616" s="715" t="s">
        <v>103</v>
      </c>
      <c r="D4616" s="716">
        <v>19</v>
      </c>
    </row>
    <row r="4617" spans="1:4" ht="42">
      <c r="A4617" s="715">
        <v>91987</v>
      </c>
      <c r="B4617" s="633" t="s">
        <v>25804</v>
      </c>
      <c r="C4617" s="715" t="s">
        <v>103</v>
      </c>
      <c r="D4617" s="716">
        <v>64.34</v>
      </c>
    </row>
    <row r="4618" spans="1:4" ht="42">
      <c r="A4618" s="715">
        <v>91986</v>
      </c>
      <c r="B4618" s="633" t="s">
        <v>25803</v>
      </c>
      <c r="C4618" s="715" t="s">
        <v>103</v>
      </c>
      <c r="D4618" s="716">
        <v>49.24</v>
      </c>
    </row>
    <row r="4619" spans="1:4" ht="56">
      <c r="A4619" s="715">
        <v>97559</v>
      </c>
      <c r="B4619" s="633" t="s">
        <v>25708</v>
      </c>
      <c r="C4619" s="715" t="s">
        <v>103</v>
      </c>
      <c r="D4619" s="716">
        <v>18.52</v>
      </c>
    </row>
    <row r="4620" spans="1:4" ht="56">
      <c r="A4620" s="715">
        <v>97562</v>
      </c>
      <c r="B4620" s="633" t="s">
        <v>25709</v>
      </c>
      <c r="C4620" s="715" t="s">
        <v>103</v>
      </c>
      <c r="D4620" s="716">
        <v>15.02</v>
      </c>
    </row>
    <row r="4621" spans="1:4" ht="56">
      <c r="A4621" s="715">
        <v>97564</v>
      </c>
      <c r="B4621" s="633" t="s">
        <v>25710</v>
      </c>
      <c r="C4621" s="715" t="s">
        <v>103</v>
      </c>
      <c r="D4621" s="716">
        <v>25.61</v>
      </c>
    </row>
    <row r="4622" spans="1:4" ht="56">
      <c r="A4622" s="715">
        <v>91889</v>
      </c>
      <c r="B4622" s="633" t="s">
        <v>25675</v>
      </c>
      <c r="C4622" s="715" t="s">
        <v>103</v>
      </c>
      <c r="D4622" s="716">
        <v>16.52</v>
      </c>
    </row>
    <row r="4623" spans="1:4" ht="56">
      <c r="A4623" s="715">
        <v>91901</v>
      </c>
      <c r="B4623" s="633" t="s">
        <v>25683</v>
      </c>
      <c r="C4623" s="715" t="s">
        <v>103</v>
      </c>
      <c r="D4623" s="716">
        <v>13.03</v>
      </c>
    </row>
    <row r="4624" spans="1:4" ht="56">
      <c r="A4624" s="715">
        <v>91913</v>
      </c>
      <c r="B4624" s="633" t="s">
        <v>25691</v>
      </c>
      <c r="C4624" s="715" t="s">
        <v>103</v>
      </c>
      <c r="D4624" s="716">
        <v>23.68</v>
      </c>
    </row>
    <row r="4625" spans="1:4" ht="56">
      <c r="A4625" s="715">
        <v>91892</v>
      </c>
      <c r="B4625" s="633" t="s">
        <v>25677</v>
      </c>
      <c r="C4625" s="715" t="s">
        <v>103</v>
      </c>
      <c r="D4625" s="716">
        <v>20.38</v>
      </c>
    </row>
    <row r="4626" spans="1:4" ht="56">
      <c r="A4626" s="715">
        <v>91904</v>
      </c>
      <c r="B4626" s="633" t="s">
        <v>25685</v>
      </c>
      <c r="C4626" s="715" t="s">
        <v>103</v>
      </c>
      <c r="D4626" s="716">
        <v>16.88</v>
      </c>
    </row>
    <row r="4627" spans="1:4" ht="56">
      <c r="A4627" s="715">
        <v>91916</v>
      </c>
      <c r="B4627" s="633" t="s">
        <v>25693</v>
      </c>
      <c r="C4627" s="715" t="s">
        <v>103</v>
      </c>
      <c r="D4627" s="716">
        <v>27.47</v>
      </c>
    </row>
    <row r="4628" spans="1:4" ht="56">
      <c r="A4628" s="715">
        <v>91895</v>
      </c>
      <c r="B4628" s="633" t="s">
        <v>25679</v>
      </c>
      <c r="C4628" s="715" t="s">
        <v>103</v>
      </c>
      <c r="D4628" s="716">
        <v>24.32</v>
      </c>
    </row>
    <row r="4629" spans="1:4" ht="56">
      <c r="A4629" s="715">
        <v>91907</v>
      </c>
      <c r="B4629" s="633" t="s">
        <v>25687</v>
      </c>
      <c r="C4629" s="715" t="s">
        <v>103</v>
      </c>
      <c r="D4629" s="716">
        <v>20.82</v>
      </c>
    </row>
    <row r="4630" spans="1:4" ht="56">
      <c r="A4630" s="715">
        <v>91919</v>
      </c>
      <c r="B4630" s="633" t="s">
        <v>25695</v>
      </c>
      <c r="C4630" s="715" t="s">
        <v>103</v>
      </c>
      <c r="D4630" s="716">
        <v>31.32</v>
      </c>
    </row>
    <row r="4631" spans="1:4" ht="56">
      <c r="A4631" s="715">
        <v>91898</v>
      </c>
      <c r="B4631" s="633" t="s">
        <v>25681</v>
      </c>
      <c r="C4631" s="715" t="s">
        <v>103</v>
      </c>
      <c r="D4631" s="716">
        <v>27.92</v>
      </c>
    </row>
    <row r="4632" spans="1:4" ht="56">
      <c r="A4632" s="715">
        <v>91910</v>
      </c>
      <c r="B4632" s="633" t="s">
        <v>25689</v>
      </c>
      <c r="C4632" s="715" t="s">
        <v>103</v>
      </c>
      <c r="D4632" s="716">
        <v>24.5</v>
      </c>
    </row>
    <row r="4633" spans="1:4" ht="56">
      <c r="A4633" s="715">
        <v>91922</v>
      </c>
      <c r="B4633" s="633" t="s">
        <v>25697</v>
      </c>
      <c r="C4633" s="715" t="s">
        <v>103</v>
      </c>
      <c r="D4633" s="716">
        <v>34.840000000000003</v>
      </c>
    </row>
    <row r="4634" spans="1:4" ht="56">
      <c r="A4634" s="715">
        <v>91887</v>
      </c>
      <c r="B4634" s="633" t="s">
        <v>25674</v>
      </c>
      <c r="C4634" s="715" t="s">
        <v>103</v>
      </c>
      <c r="D4634" s="716">
        <v>16.77</v>
      </c>
    </row>
    <row r="4635" spans="1:4" ht="56">
      <c r="A4635" s="715">
        <v>91899</v>
      </c>
      <c r="B4635" s="633" t="s">
        <v>25682</v>
      </c>
      <c r="C4635" s="715" t="s">
        <v>103</v>
      </c>
      <c r="D4635" s="716">
        <v>13.28</v>
      </c>
    </row>
    <row r="4636" spans="1:4" ht="56">
      <c r="A4636" s="715">
        <v>91911</v>
      </c>
      <c r="B4636" s="633" t="s">
        <v>25690</v>
      </c>
      <c r="C4636" s="715" t="s">
        <v>103</v>
      </c>
      <c r="D4636" s="716">
        <v>23.93</v>
      </c>
    </row>
    <row r="4637" spans="1:4" ht="56">
      <c r="A4637" s="715">
        <v>91890</v>
      </c>
      <c r="B4637" s="633" t="s">
        <v>25676</v>
      </c>
      <c r="C4637" s="715" t="s">
        <v>103</v>
      </c>
      <c r="D4637" s="716">
        <v>18.71</v>
      </c>
    </row>
    <row r="4638" spans="1:4" ht="56">
      <c r="A4638" s="715">
        <v>91902</v>
      </c>
      <c r="B4638" s="633" t="s">
        <v>25684</v>
      </c>
      <c r="C4638" s="715" t="s">
        <v>103</v>
      </c>
      <c r="D4638" s="716">
        <v>15.21</v>
      </c>
    </row>
    <row r="4639" spans="1:4" ht="56">
      <c r="A4639" s="715">
        <v>91914</v>
      </c>
      <c r="B4639" s="633" t="s">
        <v>25692</v>
      </c>
      <c r="C4639" s="715" t="s">
        <v>103</v>
      </c>
      <c r="D4639" s="716">
        <v>25.8</v>
      </c>
    </row>
    <row r="4640" spans="1:4" ht="56">
      <c r="A4640" s="715">
        <v>91893</v>
      </c>
      <c r="B4640" s="633" t="s">
        <v>25678</v>
      </c>
      <c r="C4640" s="715" t="s">
        <v>103</v>
      </c>
      <c r="D4640" s="716">
        <v>22.62</v>
      </c>
    </row>
    <row r="4641" spans="1:4" ht="56">
      <c r="A4641" s="715">
        <v>91905</v>
      </c>
      <c r="B4641" s="633" t="s">
        <v>25686</v>
      </c>
      <c r="C4641" s="715" t="s">
        <v>103</v>
      </c>
      <c r="D4641" s="716">
        <v>19.12</v>
      </c>
    </row>
    <row r="4642" spans="1:4" ht="56">
      <c r="A4642" s="715">
        <v>91917</v>
      </c>
      <c r="B4642" s="633" t="s">
        <v>25694</v>
      </c>
      <c r="C4642" s="715" t="s">
        <v>103</v>
      </c>
      <c r="D4642" s="716">
        <v>29.62</v>
      </c>
    </row>
    <row r="4643" spans="1:4" ht="56">
      <c r="A4643" s="715">
        <v>91896</v>
      </c>
      <c r="B4643" s="633" t="s">
        <v>25680</v>
      </c>
      <c r="C4643" s="715" t="s">
        <v>103</v>
      </c>
      <c r="D4643" s="716">
        <v>26.1</v>
      </c>
    </row>
    <row r="4644" spans="1:4" ht="56">
      <c r="A4644" s="715">
        <v>91908</v>
      </c>
      <c r="B4644" s="633" t="s">
        <v>25688</v>
      </c>
      <c r="C4644" s="715" t="s">
        <v>103</v>
      </c>
      <c r="D4644" s="716">
        <v>22.68</v>
      </c>
    </row>
    <row r="4645" spans="1:4" ht="56">
      <c r="A4645" s="715">
        <v>91920</v>
      </c>
      <c r="B4645" s="633" t="s">
        <v>25696</v>
      </c>
      <c r="C4645" s="715" t="s">
        <v>103</v>
      </c>
      <c r="D4645" s="716">
        <v>33.020000000000003</v>
      </c>
    </row>
    <row r="4646" spans="1:4" ht="42">
      <c r="A4646" s="715">
        <v>91983</v>
      </c>
      <c r="B4646" s="633" t="s">
        <v>25800</v>
      </c>
      <c r="C4646" s="715" t="s">
        <v>103</v>
      </c>
      <c r="D4646" s="716">
        <v>118.85</v>
      </c>
    </row>
    <row r="4647" spans="1:4" ht="42">
      <c r="A4647" s="715">
        <v>91982</v>
      </c>
      <c r="B4647" s="633" t="s">
        <v>25799</v>
      </c>
      <c r="C4647" s="715" t="s">
        <v>103</v>
      </c>
      <c r="D4647" s="716">
        <v>103.75</v>
      </c>
    </row>
    <row r="4648" spans="1:4" ht="56">
      <c r="A4648" s="715">
        <v>91833</v>
      </c>
      <c r="B4648" s="633" t="s">
        <v>33840</v>
      </c>
      <c r="C4648" s="715" t="s">
        <v>165</v>
      </c>
      <c r="D4648" s="716">
        <v>21.37</v>
      </c>
    </row>
    <row r="4649" spans="1:4" ht="56">
      <c r="A4649" s="715">
        <v>91843</v>
      </c>
      <c r="B4649" s="633" t="s">
        <v>25626</v>
      </c>
      <c r="C4649" s="715" t="s">
        <v>165</v>
      </c>
      <c r="D4649" s="716">
        <v>7.87</v>
      </c>
    </row>
    <row r="4650" spans="1:4" ht="56">
      <c r="A4650" s="715">
        <v>91853</v>
      </c>
      <c r="B4650" s="633" t="s">
        <v>25633</v>
      </c>
      <c r="C4650" s="715" t="s">
        <v>165</v>
      </c>
      <c r="D4650" s="716">
        <v>12.62</v>
      </c>
    </row>
    <row r="4651" spans="1:4" ht="56">
      <c r="A4651" s="715">
        <v>91835</v>
      </c>
      <c r="B4651" s="633" t="s">
        <v>33841</v>
      </c>
      <c r="C4651" s="715" t="s">
        <v>165</v>
      </c>
      <c r="D4651" s="716">
        <v>23.29</v>
      </c>
    </row>
    <row r="4652" spans="1:4" ht="56">
      <c r="A4652" s="715">
        <v>91845</v>
      </c>
      <c r="B4652" s="633" t="s">
        <v>25627</v>
      </c>
      <c r="C4652" s="715" t="s">
        <v>165</v>
      </c>
      <c r="D4652" s="716">
        <v>9.7200000000000006</v>
      </c>
    </row>
    <row r="4653" spans="1:4" ht="56">
      <c r="A4653" s="715">
        <v>91855</v>
      </c>
      <c r="B4653" s="633" t="s">
        <v>25635</v>
      </c>
      <c r="C4653" s="715" t="s">
        <v>165</v>
      </c>
      <c r="D4653" s="716">
        <v>14.4</v>
      </c>
    </row>
    <row r="4654" spans="1:4" ht="56">
      <c r="A4654" s="715">
        <v>91837</v>
      </c>
      <c r="B4654" s="633" t="s">
        <v>33842</v>
      </c>
      <c r="C4654" s="715" t="s">
        <v>165</v>
      </c>
      <c r="D4654" s="716">
        <v>28.17</v>
      </c>
    </row>
    <row r="4655" spans="1:4" ht="56">
      <c r="A4655" s="715">
        <v>91847</v>
      </c>
      <c r="B4655" s="633" t="s">
        <v>25628</v>
      </c>
      <c r="C4655" s="715" t="s">
        <v>165</v>
      </c>
      <c r="D4655" s="716">
        <v>14.68</v>
      </c>
    </row>
    <row r="4656" spans="1:4" ht="56">
      <c r="A4656" s="715">
        <v>91857</v>
      </c>
      <c r="B4656" s="633" t="s">
        <v>25637</v>
      </c>
      <c r="C4656" s="715" t="s">
        <v>165</v>
      </c>
      <c r="D4656" s="716">
        <v>19.059999999999999</v>
      </c>
    </row>
    <row r="4657" spans="1:4" ht="42">
      <c r="A4657" s="715">
        <v>91838</v>
      </c>
      <c r="B4657" s="633" t="s">
        <v>33843</v>
      </c>
      <c r="C4657" s="715" t="s">
        <v>165</v>
      </c>
      <c r="D4657" s="716">
        <v>0</v>
      </c>
    </row>
    <row r="4658" spans="1:4" ht="42">
      <c r="A4658" s="715">
        <v>91848</v>
      </c>
      <c r="B4658" s="633" t="s">
        <v>33844</v>
      </c>
      <c r="C4658" s="715" t="s">
        <v>165</v>
      </c>
      <c r="D4658" s="716">
        <v>0</v>
      </c>
    </row>
    <row r="4659" spans="1:4" ht="42">
      <c r="A4659" s="715">
        <v>91858</v>
      </c>
      <c r="B4659" s="633" t="s">
        <v>33845</v>
      </c>
      <c r="C4659" s="715" t="s">
        <v>165</v>
      </c>
      <c r="D4659" s="716">
        <v>0</v>
      </c>
    </row>
    <row r="4660" spans="1:4" ht="42">
      <c r="A4660" s="715">
        <v>91840</v>
      </c>
      <c r="B4660" s="633" t="s">
        <v>33846</v>
      </c>
      <c r="C4660" s="715" t="s">
        <v>165</v>
      </c>
      <c r="D4660" s="716">
        <v>26.45</v>
      </c>
    </row>
    <row r="4661" spans="1:4" ht="42">
      <c r="A4661" s="715">
        <v>91850</v>
      </c>
      <c r="B4661" s="633" t="s">
        <v>25630</v>
      </c>
      <c r="C4661" s="715" t="s">
        <v>165</v>
      </c>
      <c r="D4661" s="716">
        <v>12.88</v>
      </c>
    </row>
    <row r="4662" spans="1:4" ht="42">
      <c r="A4662" s="715">
        <v>91860</v>
      </c>
      <c r="B4662" s="633" t="s">
        <v>25639</v>
      </c>
      <c r="C4662" s="715" t="s">
        <v>165</v>
      </c>
      <c r="D4662" s="716">
        <v>17.5</v>
      </c>
    </row>
    <row r="4663" spans="1:4" ht="42">
      <c r="A4663" s="715">
        <v>91831</v>
      </c>
      <c r="B4663" s="633" t="s">
        <v>33847</v>
      </c>
      <c r="C4663" s="715" t="s">
        <v>165</v>
      </c>
      <c r="D4663" s="716">
        <v>20.82</v>
      </c>
    </row>
    <row r="4664" spans="1:4" ht="42">
      <c r="A4664" s="715">
        <v>91852</v>
      </c>
      <c r="B4664" s="633" t="s">
        <v>25632</v>
      </c>
      <c r="C4664" s="715" t="s">
        <v>165</v>
      </c>
      <c r="D4664" s="716">
        <v>12.11</v>
      </c>
    </row>
    <row r="4665" spans="1:4" ht="42">
      <c r="A4665" s="715">
        <v>91834</v>
      </c>
      <c r="B4665" s="633" t="s">
        <v>33848</v>
      </c>
      <c r="C4665" s="715" t="s">
        <v>165</v>
      </c>
      <c r="D4665" s="716">
        <v>21.9</v>
      </c>
    </row>
    <row r="4666" spans="1:4" ht="42">
      <c r="A4666" s="715">
        <v>91854</v>
      </c>
      <c r="B4666" s="633" t="s">
        <v>25634</v>
      </c>
      <c r="C4666" s="715" t="s">
        <v>165</v>
      </c>
      <c r="D4666" s="716">
        <v>13.11</v>
      </c>
    </row>
    <row r="4667" spans="1:4" ht="42">
      <c r="A4667" s="715">
        <v>91836</v>
      </c>
      <c r="B4667" s="633" t="s">
        <v>33849</v>
      </c>
      <c r="C4667" s="715" t="s">
        <v>165</v>
      </c>
      <c r="D4667" s="716">
        <v>24.91</v>
      </c>
    </row>
    <row r="4668" spans="1:4" ht="42">
      <c r="A4668" s="715">
        <v>91856</v>
      </c>
      <c r="B4668" s="633" t="s">
        <v>25636</v>
      </c>
      <c r="C4668" s="715" t="s">
        <v>165</v>
      </c>
      <c r="D4668" s="716">
        <v>16.05</v>
      </c>
    </row>
    <row r="4669" spans="1:4" ht="42">
      <c r="A4669" s="715">
        <v>91839</v>
      </c>
      <c r="B4669" s="633" t="s">
        <v>33850</v>
      </c>
      <c r="C4669" s="715" t="s">
        <v>165</v>
      </c>
      <c r="D4669" s="716">
        <v>23.44</v>
      </c>
    </row>
    <row r="4670" spans="1:4" ht="42">
      <c r="A4670" s="715">
        <v>91849</v>
      </c>
      <c r="B4670" s="633" t="s">
        <v>25629</v>
      </c>
      <c r="C4670" s="715" t="s">
        <v>165</v>
      </c>
      <c r="D4670" s="716">
        <v>9.9499999999999993</v>
      </c>
    </row>
    <row r="4671" spans="1:4" ht="42">
      <c r="A4671" s="715">
        <v>91859</v>
      </c>
      <c r="B4671" s="633" t="s">
        <v>25638</v>
      </c>
      <c r="C4671" s="715" t="s">
        <v>165</v>
      </c>
      <c r="D4671" s="716">
        <v>14.68</v>
      </c>
    </row>
    <row r="4672" spans="1:4" ht="42">
      <c r="A4672" s="715">
        <v>91841</v>
      </c>
      <c r="B4672" s="633" t="s">
        <v>33851</v>
      </c>
      <c r="C4672" s="715" t="s">
        <v>165</v>
      </c>
      <c r="D4672" s="716">
        <v>25.73</v>
      </c>
    </row>
    <row r="4673" spans="1:4" ht="42">
      <c r="A4673" s="715">
        <v>91851</v>
      </c>
      <c r="B4673" s="633" t="s">
        <v>25631</v>
      </c>
      <c r="C4673" s="715" t="s">
        <v>165</v>
      </c>
      <c r="D4673" s="716">
        <v>12.16</v>
      </c>
    </row>
    <row r="4674" spans="1:4" ht="42">
      <c r="A4674" s="715">
        <v>91861</v>
      </c>
      <c r="B4674" s="633" t="s">
        <v>25640</v>
      </c>
      <c r="C4674" s="715" t="s">
        <v>165</v>
      </c>
      <c r="D4674" s="716">
        <v>16.84</v>
      </c>
    </row>
    <row r="4675" spans="1:4" ht="42">
      <c r="A4675" s="715">
        <v>91862</v>
      </c>
      <c r="B4675" s="633" t="s">
        <v>25641</v>
      </c>
      <c r="C4675" s="715" t="s">
        <v>165</v>
      </c>
      <c r="D4675" s="716">
        <v>12.11</v>
      </c>
    </row>
    <row r="4676" spans="1:4" ht="42">
      <c r="A4676" s="715">
        <v>91866</v>
      </c>
      <c r="B4676" s="633" t="s">
        <v>25645</v>
      </c>
      <c r="C4676" s="715" t="s">
        <v>165</v>
      </c>
      <c r="D4676" s="716">
        <v>10.15</v>
      </c>
    </row>
    <row r="4677" spans="1:4" ht="42">
      <c r="A4677" s="715">
        <v>91870</v>
      </c>
      <c r="B4677" s="633" t="s">
        <v>25649</v>
      </c>
      <c r="C4677" s="715" t="s">
        <v>165</v>
      </c>
      <c r="D4677" s="716">
        <v>16.72</v>
      </c>
    </row>
    <row r="4678" spans="1:4" ht="42">
      <c r="A4678" s="715">
        <v>91863</v>
      </c>
      <c r="B4678" s="633" t="s">
        <v>25642</v>
      </c>
      <c r="C4678" s="715" t="s">
        <v>165</v>
      </c>
      <c r="D4678" s="716">
        <v>14.12</v>
      </c>
    </row>
    <row r="4679" spans="1:4" ht="42">
      <c r="A4679" s="715">
        <v>91867</v>
      </c>
      <c r="B4679" s="633" t="s">
        <v>25646</v>
      </c>
      <c r="C4679" s="715" t="s">
        <v>165</v>
      </c>
      <c r="D4679" s="716">
        <v>12.16</v>
      </c>
    </row>
    <row r="4680" spans="1:4" ht="42">
      <c r="A4680" s="715">
        <v>91871</v>
      </c>
      <c r="B4680" s="633" t="s">
        <v>25650</v>
      </c>
      <c r="C4680" s="715" t="s">
        <v>165</v>
      </c>
      <c r="D4680" s="716">
        <v>18.73</v>
      </c>
    </row>
    <row r="4681" spans="1:4" ht="42">
      <c r="A4681" s="715">
        <v>91864</v>
      </c>
      <c r="B4681" s="633" t="s">
        <v>25643</v>
      </c>
      <c r="C4681" s="715" t="s">
        <v>165</v>
      </c>
      <c r="D4681" s="716">
        <v>18.36</v>
      </c>
    </row>
    <row r="4682" spans="1:4" ht="42">
      <c r="A4682" s="715">
        <v>91868</v>
      </c>
      <c r="B4682" s="633" t="s">
        <v>25647</v>
      </c>
      <c r="C4682" s="715" t="s">
        <v>165</v>
      </c>
      <c r="D4682" s="716">
        <v>16.420000000000002</v>
      </c>
    </row>
    <row r="4683" spans="1:4" ht="42">
      <c r="A4683" s="715">
        <v>91872</v>
      </c>
      <c r="B4683" s="633" t="s">
        <v>25651</v>
      </c>
      <c r="C4683" s="715" t="s">
        <v>165</v>
      </c>
      <c r="D4683" s="716">
        <v>22.97</v>
      </c>
    </row>
    <row r="4684" spans="1:4" ht="42">
      <c r="A4684" s="715">
        <v>91865</v>
      </c>
      <c r="B4684" s="633" t="s">
        <v>25644</v>
      </c>
      <c r="C4684" s="715" t="s">
        <v>165</v>
      </c>
      <c r="D4684" s="716">
        <v>22.61</v>
      </c>
    </row>
    <row r="4685" spans="1:4" ht="42">
      <c r="A4685" s="715">
        <v>91869</v>
      </c>
      <c r="B4685" s="633" t="s">
        <v>25648</v>
      </c>
      <c r="C4685" s="715" t="s">
        <v>165</v>
      </c>
      <c r="D4685" s="716">
        <v>20.59</v>
      </c>
    </row>
    <row r="4686" spans="1:4" ht="42">
      <c r="A4686" s="715">
        <v>91873</v>
      </c>
      <c r="B4686" s="633" t="s">
        <v>25652</v>
      </c>
      <c r="C4686" s="715" t="s">
        <v>165</v>
      </c>
      <c r="D4686" s="716">
        <v>27.15</v>
      </c>
    </row>
    <row r="4687" spans="1:4" ht="42">
      <c r="A4687" s="715">
        <v>91981</v>
      </c>
      <c r="B4687" s="633" t="s">
        <v>25798</v>
      </c>
      <c r="C4687" s="715" t="s">
        <v>103</v>
      </c>
      <c r="D4687" s="716">
        <v>66.92</v>
      </c>
    </row>
    <row r="4688" spans="1:4" ht="42">
      <c r="A4688" s="715">
        <v>91980</v>
      </c>
      <c r="B4688" s="633" t="s">
        <v>25797</v>
      </c>
      <c r="C4688" s="715" t="s">
        <v>103</v>
      </c>
      <c r="D4688" s="716">
        <v>51.82</v>
      </c>
    </row>
    <row r="4689" spans="1:4" ht="42">
      <c r="A4689" s="715">
        <v>91979</v>
      </c>
      <c r="B4689" s="633" t="s">
        <v>25796</v>
      </c>
      <c r="C4689" s="715" t="s">
        <v>103</v>
      </c>
      <c r="D4689" s="716">
        <v>68.260000000000005</v>
      </c>
    </row>
    <row r="4690" spans="1:4" ht="42">
      <c r="A4690" s="715">
        <v>91978</v>
      </c>
      <c r="B4690" s="633" t="s">
        <v>25795</v>
      </c>
      <c r="C4690" s="715" t="s">
        <v>103</v>
      </c>
      <c r="D4690" s="716">
        <v>53.16</v>
      </c>
    </row>
    <row r="4691" spans="1:4" ht="42">
      <c r="A4691" s="715">
        <v>92029</v>
      </c>
      <c r="B4691" s="633" t="s">
        <v>25846</v>
      </c>
      <c r="C4691" s="715" t="s">
        <v>103</v>
      </c>
      <c r="D4691" s="716">
        <v>79.28</v>
      </c>
    </row>
    <row r="4692" spans="1:4" ht="42">
      <c r="A4692" s="715">
        <v>92028</v>
      </c>
      <c r="B4692" s="633" t="s">
        <v>25845</v>
      </c>
      <c r="C4692" s="715" t="s">
        <v>103</v>
      </c>
      <c r="D4692" s="716">
        <v>64.180000000000007</v>
      </c>
    </row>
    <row r="4693" spans="1:4" ht="42">
      <c r="A4693" s="715">
        <v>92031</v>
      </c>
      <c r="B4693" s="633" t="s">
        <v>25848</v>
      </c>
      <c r="C4693" s="715" t="s">
        <v>103</v>
      </c>
      <c r="D4693" s="716">
        <v>108.2</v>
      </c>
    </row>
    <row r="4694" spans="1:4" ht="42">
      <c r="A4694" s="715">
        <v>92030</v>
      </c>
      <c r="B4694" s="633" t="s">
        <v>25847</v>
      </c>
      <c r="C4694" s="715" t="s">
        <v>103</v>
      </c>
      <c r="D4694" s="716">
        <v>93.1</v>
      </c>
    </row>
    <row r="4695" spans="1:4" ht="42">
      <c r="A4695" s="715">
        <v>91955</v>
      </c>
      <c r="B4695" s="633" t="s">
        <v>25772</v>
      </c>
      <c r="C4695" s="715" t="s">
        <v>103</v>
      </c>
      <c r="D4695" s="716">
        <v>50.28</v>
      </c>
    </row>
    <row r="4696" spans="1:4" ht="42">
      <c r="A4696" s="715">
        <v>91954</v>
      </c>
      <c r="B4696" s="633" t="s">
        <v>25771</v>
      </c>
      <c r="C4696" s="715" t="s">
        <v>103</v>
      </c>
      <c r="D4696" s="716">
        <v>35.18</v>
      </c>
    </row>
    <row r="4697" spans="1:4" ht="42">
      <c r="A4697" s="715">
        <v>92033</v>
      </c>
      <c r="B4697" s="633" t="s">
        <v>25850</v>
      </c>
      <c r="C4697" s="715" t="s">
        <v>103</v>
      </c>
      <c r="D4697" s="716">
        <v>109.46</v>
      </c>
    </row>
    <row r="4698" spans="1:4" ht="42">
      <c r="A4698" s="715">
        <v>92032</v>
      </c>
      <c r="B4698" s="633" t="s">
        <v>25849</v>
      </c>
      <c r="C4698" s="715" t="s">
        <v>103</v>
      </c>
      <c r="D4698" s="716">
        <v>94.36</v>
      </c>
    </row>
    <row r="4699" spans="1:4" ht="42">
      <c r="A4699" s="715">
        <v>91961</v>
      </c>
      <c r="B4699" s="633" t="s">
        <v>25778</v>
      </c>
      <c r="C4699" s="715" t="s">
        <v>103</v>
      </c>
      <c r="D4699" s="716">
        <v>80.540000000000006</v>
      </c>
    </row>
    <row r="4700" spans="1:4" ht="42">
      <c r="A4700" s="715">
        <v>91960</v>
      </c>
      <c r="B4700" s="633" t="s">
        <v>25777</v>
      </c>
      <c r="C4700" s="715" t="s">
        <v>103</v>
      </c>
      <c r="D4700" s="716">
        <v>65.44</v>
      </c>
    </row>
    <row r="4701" spans="1:4" ht="42">
      <c r="A4701" s="715">
        <v>91969</v>
      </c>
      <c r="B4701" s="633" t="s">
        <v>25786</v>
      </c>
      <c r="C4701" s="715" t="s">
        <v>103</v>
      </c>
      <c r="D4701" s="716">
        <v>110.72</v>
      </c>
    </row>
    <row r="4702" spans="1:4" ht="42">
      <c r="A4702" s="715">
        <v>91968</v>
      </c>
      <c r="B4702" s="633" t="s">
        <v>25785</v>
      </c>
      <c r="C4702" s="715" t="s">
        <v>103</v>
      </c>
      <c r="D4702" s="716">
        <v>95.62</v>
      </c>
    </row>
    <row r="4703" spans="1:4" ht="42">
      <c r="A4703" s="715">
        <v>91985</v>
      </c>
      <c r="B4703" s="633" t="s">
        <v>25802</v>
      </c>
      <c r="C4703" s="715" t="s">
        <v>103</v>
      </c>
      <c r="D4703" s="716">
        <v>39.96</v>
      </c>
    </row>
    <row r="4704" spans="1:4" ht="42">
      <c r="A4704" s="715">
        <v>91984</v>
      </c>
      <c r="B4704" s="633" t="s">
        <v>25801</v>
      </c>
      <c r="C4704" s="715" t="s">
        <v>103</v>
      </c>
      <c r="D4704" s="716">
        <v>24.86</v>
      </c>
    </row>
    <row r="4705" spans="1:4" ht="42">
      <c r="A4705" s="715">
        <v>91989</v>
      </c>
      <c r="B4705" s="633" t="s">
        <v>25806</v>
      </c>
      <c r="C4705" s="715" t="s">
        <v>103</v>
      </c>
      <c r="D4705" s="716">
        <v>44.47</v>
      </c>
    </row>
    <row r="4706" spans="1:4" ht="42">
      <c r="A4706" s="715">
        <v>91988</v>
      </c>
      <c r="B4706" s="633" t="s">
        <v>25805</v>
      </c>
      <c r="C4706" s="715" t="s">
        <v>103</v>
      </c>
      <c r="D4706" s="716">
        <v>29.37</v>
      </c>
    </row>
    <row r="4707" spans="1:4" ht="42">
      <c r="A4707" s="715">
        <v>92023</v>
      </c>
      <c r="B4707" s="633" t="s">
        <v>25840</v>
      </c>
      <c r="C4707" s="715" t="s">
        <v>103</v>
      </c>
      <c r="D4707" s="716">
        <v>70.12</v>
      </c>
    </row>
    <row r="4708" spans="1:4" ht="42">
      <c r="A4708" s="715">
        <v>92022</v>
      </c>
      <c r="B4708" s="633" t="s">
        <v>25839</v>
      </c>
      <c r="C4708" s="715" t="s">
        <v>103</v>
      </c>
      <c r="D4708" s="716">
        <v>55.02</v>
      </c>
    </row>
    <row r="4709" spans="1:4" ht="42">
      <c r="A4709" s="715">
        <v>92025</v>
      </c>
      <c r="B4709" s="633" t="s">
        <v>25842</v>
      </c>
      <c r="C4709" s="715" t="s">
        <v>103</v>
      </c>
      <c r="D4709" s="716">
        <v>99.12</v>
      </c>
    </row>
    <row r="4710" spans="1:4" ht="42">
      <c r="A4710" s="715">
        <v>92024</v>
      </c>
      <c r="B4710" s="633" t="s">
        <v>25841</v>
      </c>
      <c r="C4710" s="715" t="s">
        <v>103</v>
      </c>
      <c r="D4710" s="716">
        <v>84.02</v>
      </c>
    </row>
    <row r="4711" spans="1:4" ht="56">
      <c r="A4711" s="715">
        <v>91957</v>
      </c>
      <c r="B4711" s="633" t="s">
        <v>25774</v>
      </c>
      <c r="C4711" s="715" t="s">
        <v>103</v>
      </c>
      <c r="D4711" s="716">
        <v>71.38</v>
      </c>
    </row>
    <row r="4712" spans="1:4" ht="56">
      <c r="A4712" s="715">
        <v>91956</v>
      </c>
      <c r="B4712" s="633" t="s">
        <v>25773</v>
      </c>
      <c r="C4712" s="715" t="s">
        <v>103</v>
      </c>
      <c r="D4712" s="716">
        <v>56.28</v>
      </c>
    </row>
    <row r="4713" spans="1:4" ht="56">
      <c r="A4713" s="715">
        <v>91963</v>
      </c>
      <c r="B4713" s="633" t="s">
        <v>25780</v>
      </c>
      <c r="C4713" s="715" t="s">
        <v>103</v>
      </c>
      <c r="D4713" s="716">
        <v>101.64</v>
      </c>
    </row>
    <row r="4714" spans="1:4" ht="56">
      <c r="A4714" s="715">
        <v>91962</v>
      </c>
      <c r="B4714" s="633" t="s">
        <v>25779</v>
      </c>
      <c r="C4714" s="715" t="s">
        <v>103</v>
      </c>
      <c r="D4714" s="716">
        <v>86.54</v>
      </c>
    </row>
    <row r="4715" spans="1:4" ht="42">
      <c r="A4715" s="715">
        <v>91953</v>
      </c>
      <c r="B4715" s="633" t="s">
        <v>25770</v>
      </c>
      <c r="C4715" s="715" t="s">
        <v>103</v>
      </c>
      <c r="D4715" s="716">
        <v>41.2</v>
      </c>
    </row>
    <row r="4716" spans="1:4" ht="42">
      <c r="A4716" s="715">
        <v>91952</v>
      </c>
      <c r="B4716" s="633" t="s">
        <v>25769</v>
      </c>
      <c r="C4716" s="715" t="s">
        <v>103</v>
      </c>
      <c r="D4716" s="716">
        <v>26.1</v>
      </c>
    </row>
    <row r="4717" spans="1:4" ht="56">
      <c r="A4717" s="715">
        <v>92035</v>
      </c>
      <c r="B4717" s="633" t="s">
        <v>25852</v>
      </c>
      <c r="C4717" s="715" t="s">
        <v>103</v>
      </c>
      <c r="D4717" s="716">
        <v>100.38</v>
      </c>
    </row>
    <row r="4718" spans="1:4" ht="56">
      <c r="A4718" s="715">
        <v>92034</v>
      </c>
      <c r="B4718" s="633" t="s">
        <v>25851</v>
      </c>
      <c r="C4718" s="715" t="s">
        <v>103</v>
      </c>
      <c r="D4718" s="716">
        <v>85.28</v>
      </c>
    </row>
    <row r="4719" spans="1:4" ht="42">
      <c r="A4719" s="715">
        <v>92027</v>
      </c>
      <c r="B4719" s="633" t="s">
        <v>25844</v>
      </c>
      <c r="C4719" s="715" t="s">
        <v>103</v>
      </c>
      <c r="D4719" s="716">
        <v>91.3</v>
      </c>
    </row>
    <row r="4720" spans="1:4" ht="42">
      <c r="A4720" s="715">
        <v>92026</v>
      </c>
      <c r="B4720" s="633" t="s">
        <v>25843</v>
      </c>
      <c r="C4720" s="715" t="s">
        <v>103</v>
      </c>
      <c r="D4720" s="716">
        <v>76.2</v>
      </c>
    </row>
    <row r="4721" spans="1:4" ht="56">
      <c r="A4721" s="715">
        <v>91965</v>
      </c>
      <c r="B4721" s="633" t="s">
        <v>25782</v>
      </c>
      <c r="C4721" s="715" t="s">
        <v>103</v>
      </c>
      <c r="D4721" s="716">
        <v>92.56</v>
      </c>
    </row>
    <row r="4722" spans="1:4" ht="56">
      <c r="A4722" s="715">
        <v>91964</v>
      </c>
      <c r="B4722" s="633" t="s">
        <v>25781</v>
      </c>
      <c r="C4722" s="715" t="s">
        <v>103</v>
      </c>
      <c r="D4722" s="716">
        <v>77.459999999999994</v>
      </c>
    </row>
    <row r="4723" spans="1:4" ht="56">
      <c r="A4723" s="715">
        <v>91973</v>
      </c>
      <c r="B4723" s="633" t="s">
        <v>25790</v>
      </c>
      <c r="C4723" s="715" t="s">
        <v>103</v>
      </c>
      <c r="D4723" s="716">
        <v>129.63999999999999</v>
      </c>
    </row>
    <row r="4724" spans="1:4" ht="56">
      <c r="A4724" s="715">
        <v>91972</v>
      </c>
      <c r="B4724" s="633" t="s">
        <v>25789</v>
      </c>
      <c r="C4724" s="715" t="s">
        <v>103</v>
      </c>
      <c r="D4724" s="716">
        <v>108.36</v>
      </c>
    </row>
    <row r="4725" spans="1:4" ht="42">
      <c r="A4725" s="715">
        <v>91959</v>
      </c>
      <c r="B4725" s="633" t="s">
        <v>25776</v>
      </c>
      <c r="C4725" s="715" t="s">
        <v>103</v>
      </c>
      <c r="D4725" s="716">
        <v>62.38</v>
      </c>
    </row>
    <row r="4726" spans="1:4" ht="42">
      <c r="A4726" s="715">
        <v>91958</v>
      </c>
      <c r="B4726" s="633" t="s">
        <v>25775</v>
      </c>
      <c r="C4726" s="715" t="s">
        <v>103</v>
      </c>
      <c r="D4726" s="716">
        <v>47.28</v>
      </c>
    </row>
    <row r="4727" spans="1:4" ht="56">
      <c r="A4727" s="715">
        <v>91971</v>
      </c>
      <c r="B4727" s="633" t="s">
        <v>25788</v>
      </c>
      <c r="C4727" s="715" t="s">
        <v>103</v>
      </c>
      <c r="D4727" s="716">
        <v>120.48</v>
      </c>
    </row>
    <row r="4728" spans="1:4" ht="56">
      <c r="A4728" s="715">
        <v>91970</v>
      </c>
      <c r="B4728" s="633" t="s">
        <v>25787</v>
      </c>
      <c r="C4728" s="715" t="s">
        <v>103</v>
      </c>
      <c r="D4728" s="716">
        <v>99.2</v>
      </c>
    </row>
    <row r="4729" spans="1:4" ht="42">
      <c r="A4729" s="715">
        <v>91967</v>
      </c>
      <c r="B4729" s="633" t="s">
        <v>25784</v>
      </c>
      <c r="C4729" s="715" t="s">
        <v>103</v>
      </c>
      <c r="D4729" s="716">
        <v>83.56</v>
      </c>
    </row>
    <row r="4730" spans="1:4" ht="42">
      <c r="A4730" s="715">
        <v>91966</v>
      </c>
      <c r="B4730" s="633" t="s">
        <v>25783</v>
      </c>
      <c r="C4730" s="715" t="s">
        <v>103</v>
      </c>
      <c r="D4730" s="716">
        <v>68.459999999999994</v>
      </c>
    </row>
    <row r="4731" spans="1:4" ht="42">
      <c r="A4731" s="715">
        <v>91975</v>
      </c>
      <c r="B4731" s="633" t="s">
        <v>25792</v>
      </c>
      <c r="C4731" s="715" t="s">
        <v>103</v>
      </c>
      <c r="D4731" s="716">
        <v>111.4</v>
      </c>
    </row>
    <row r="4732" spans="1:4" ht="42">
      <c r="A4732" s="715">
        <v>91974</v>
      </c>
      <c r="B4732" s="633" t="s">
        <v>25791</v>
      </c>
      <c r="C4732" s="715" t="s">
        <v>103</v>
      </c>
      <c r="D4732" s="716">
        <v>90.12</v>
      </c>
    </row>
    <row r="4733" spans="1:4" ht="42">
      <c r="A4733" s="715">
        <v>91977</v>
      </c>
      <c r="B4733" s="633" t="s">
        <v>25794</v>
      </c>
      <c r="C4733" s="715" t="s">
        <v>103</v>
      </c>
      <c r="D4733" s="716">
        <v>153.84</v>
      </c>
    </row>
    <row r="4734" spans="1:4" ht="42">
      <c r="A4734" s="715">
        <v>91976</v>
      </c>
      <c r="B4734" s="633" t="s">
        <v>25793</v>
      </c>
      <c r="C4734" s="715" t="s">
        <v>103</v>
      </c>
      <c r="D4734" s="716">
        <v>132.56</v>
      </c>
    </row>
    <row r="4735" spans="1:4" ht="42">
      <c r="A4735" s="715">
        <v>91874</v>
      </c>
      <c r="B4735" s="633" t="s">
        <v>25662</v>
      </c>
      <c r="C4735" s="715" t="s">
        <v>103</v>
      </c>
      <c r="D4735" s="716">
        <v>10.29</v>
      </c>
    </row>
    <row r="4736" spans="1:4" ht="42">
      <c r="A4736" s="715">
        <v>91878</v>
      </c>
      <c r="B4736" s="633" t="s">
        <v>25666</v>
      </c>
      <c r="C4736" s="715" t="s">
        <v>103</v>
      </c>
      <c r="D4736" s="716">
        <v>7.98</v>
      </c>
    </row>
    <row r="4737" spans="1:4" ht="42">
      <c r="A4737" s="715">
        <v>91882</v>
      </c>
      <c r="B4737" s="633" t="s">
        <v>25670</v>
      </c>
      <c r="C4737" s="715" t="s">
        <v>103</v>
      </c>
      <c r="D4737" s="716">
        <v>15.07</v>
      </c>
    </row>
    <row r="4738" spans="1:4" ht="42">
      <c r="A4738" s="715">
        <v>91875</v>
      </c>
      <c r="B4738" s="633" t="s">
        <v>25663</v>
      </c>
      <c r="C4738" s="715" t="s">
        <v>103</v>
      </c>
      <c r="D4738" s="716">
        <v>11.89</v>
      </c>
    </row>
    <row r="4739" spans="1:4" ht="42">
      <c r="A4739" s="715">
        <v>91879</v>
      </c>
      <c r="B4739" s="633" t="s">
        <v>25667</v>
      </c>
      <c r="C4739" s="715" t="s">
        <v>103</v>
      </c>
      <c r="D4739" s="716">
        <v>9.59</v>
      </c>
    </row>
    <row r="4740" spans="1:4" ht="42">
      <c r="A4740" s="715">
        <v>91884</v>
      </c>
      <c r="B4740" s="633" t="s">
        <v>25671</v>
      </c>
      <c r="C4740" s="715" t="s">
        <v>103</v>
      </c>
      <c r="D4740" s="716">
        <v>16.66</v>
      </c>
    </row>
    <row r="4741" spans="1:4" ht="42">
      <c r="A4741" s="715">
        <v>91876</v>
      </c>
      <c r="B4741" s="633" t="s">
        <v>25664</v>
      </c>
      <c r="C4741" s="715" t="s">
        <v>103</v>
      </c>
      <c r="D4741" s="716">
        <v>14.13</v>
      </c>
    </row>
    <row r="4742" spans="1:4" ht="42">
      <c r="A4742" s="715">
        <v>91880</v>
      </c>
      <c r="B4742" s="633" t="s">
        <v>25668</v>
      </c>
      <c r="C4742" s="715" t="s">
        <v>103</v>
      </c>
      <c r="D4742" s="716">
        <v>11.82</v>
      </c>
    </row>
    <row r="4743" spans="1:4" ht="42">
      <c r="A4743" s="715">
        <v>91885</v>
      </c>
      <c r="B4743" s="633" t="s">
        <v>25672</v>
      </c>
      <c r="C4743" s="715" t="s">
        <v>103</v>
      </c>
      <c r="D4743" s="716">
        <v>18.82</v>
      </c>
    </row>
    <row r="4744" spans="1:4" ht="42">
      <c r="A4744" s="715">
        <v>91877</v>
      </c>
      <c r="B4744" s="633" t="s">
        <v>25665</v>
      </c>
      <c r="C4744" s="715" t="s">
        <v>103</v>
      </c>
      <c r="D4744" s="716">
        <v>16.98</v>
      </c>
    </row>
    <row r="4745" spans="1:4" ht="42">
      <c r="A4745" s="715">
        <v>91881</v>
      </c>
      <c r="B4745" s="633" t="s">
        <v>25669</v>
      </c>
      <c r="C4745" s="715" t="s">
        <v>103</v>
      </c>
      <c r="D4745" s="716">
        <v>14.67</v>
      </c>
    </row>
    <row r="4746" spans="1:4" ht="42">
      <c r="A4746" s="715">
        <v>91886</v>
      </c>
      <c r="B4746" s="633" t="s">
        <v>25673</v>
      </c>
      <c r="C4746" s="715" t="s">
        <v>103</v>
      </c>
      <c r="D4746" s="716">
        <v>21.59</v>
      </c>
    </row>
    <row r="4747" spans="1:4" ht="42">
      <c r="A4747" s="715">
        <v>91945</v>
      </c>
      <c r="B4747" s="633" t="s">
        <v>25763</v>
      </c>
      <c r="C4747" s="715" t="s">
        <v>103</v>
      </c>
      <c r="D4747" s="716">
        <v>19.79</v>
      </c>
    </row>
    <row r="4748" spans="1:4" ht="42">
      <c r="A4748" s="715">
        <v>91947</v>
      </c>
      <c r="B4748" s="633" t="s">
        <v>25765</v>
      </c>
      <c r="C4748" s="715" t="s">
        <v>103</v>
      </c>
      <c r="D4748" s="716">
        <v>12.16</v>
      </c>
    </row>
    <row r="4749" spans="1:4" ht="42">
      <c r="A4749" s="715">
        <v>91946</v>
      </c>
      <c r="B4749" s="633" t="s">
        <v>25764</v>
      </c>
      <c r="C4749" s="715" t="s">
        <v>103</v>
      </c>
      <c r="D4749" s="716">
        <v>15.1</v>
      </c>
    </row>
    <row r="4750" spans="1:4" ht="42">
      <c r="A4750" s="715">
        <v>91949</v>
      </c>
      <c r="B4750" s="633" t="s">
        <v>25766</v>
      </c>
      <c r="C4750" s="715" t="s">
        <v>103</v>
      </c>
      <c r="D4750" s="716">
        <v>27</v>
      </c>
    </row>
    <row r="4751" spans="1:4" ht="42">
      <c r="A4751" s="715">
        <v>91951</v>
      </c>
      <c r="B4751" s="633" t="s">
        <v>25768</v>
      </c>
      <c r="C4751" s="715" t="s">
        <v>103</v>
      </c>
      <c r="D4751" s="716">
        <v>17.86</v>
      </c>
    </row>
    <row r="4752" spans="1:4" ht="42">
      <c r="A4752" s="715">
        <v>91950</v>
      </c>
      <c r="B4752" s="633" t="s">
        <v>25767</v>
      </c>
      <c r="C4752" s="715" t="s">
        <v>103</v>
      </c>
      <c r="D4752" s="716">
        <v>21.28</v>
      </c>
    </row>
    <row r="4753" spans="1:4" ht="42">
      <c r="A4753" s="715">
        <v>91992</v>
      </c>
      <c r="B4753" s="633" t="s">
        <v>25809</v>
      </c>
      <c r="C4753" s="715" t="s">
        <v>103</v>
      </c>
      <c r="D4753" s="716">
        <v>64.45</v>
      </c>
    </row>
    <row r="4754" spans="1:4" ht="42">
      <c r="A4754" s="715">
        <v>91990</v>
      </c>
      <c r="B4754" s="633" t="s">
        <v>25807</v>
      </c>
      <c r="C4754" s="715" t="s">
        <v>103</v>
      </c>
      <c r="D4754" s="716">
        <v>49.35</v>
      </c>
    </row>
    <row r="4755" spans="1:4" ht="42">
      <c r="A4755" s="715">
        <v>91993</v>
      </c>
      <c r="B4755" s="633" t="s">
        <v>25810</v>
      </c>
      <c r="C4755" s="715" t="s">
        <v>103</v>
      </c>
      <c r="D4755" s="716">
        <v>66.89</v>
      </c>
    </row>
    <row r="4756" spans="1:4" ht="42">
      <c r="A4756" s="715">
        <v>91991</v>
      </c>
      <c r="B4756" s="633" t="s">
        <v>25808</v>
      </c>
      <c r="C4756" s="715" t="s">
        <v>103</v>
      </c>
      <c r="D4756" s="716">
        <v>51.79</v>
      </c>
    </row>
    <row r="4757" spans="1:4" ht="42">
      <c r="A4757" s="715">
        <v>92000</v>
      </c>
      <c r="B4757" s="633" t="s">
        <v>25817</v>
      </c>
      <c r="C4757" s="715" t="s">
        <v>103</v>
      </c>
      <c r="D4757" s="716">
        <v>43.05</v>
      </c>
    </row>
    <row r="4758" spans="1:4" ht="42">
      <c r="A4758" s="715">
        <v>91998</v>
      </c>
      <c r="B4758" s="633" t="s">
        <v>25815</v>
      </c>
      <c r="C4758" s="715" t="s">
        <v>103</v>
      </c>
      <c r="D4758" s="716">
        <v>27.95</v>
      </c>
    </row>
    <row r="4759" spans="1:4" ht="42">
      <c r="A4759" s="715">
        <v>92001</v>
      </c>
      <c r="B4759" s="633" t="s">
        <v>25818</v>
      </c>
      <c r="C4759" s="715" t="s">
        <v>103</v>
      </c>
      <c r="D4759" s="716">
        <v>45.49</v>
      </c>
    </row>
    <row r="4760" spans="1:4" ht="42">
      <c r="A4760" s="715">
        <v>91999</v>
      </c>
      <c r="B4760" s="633" t="s">
        <v>25816</v>
      </c>
      <c r="C4760" s="715" t="s">
        <v>103</v>
      </c>
      <c r="D4760" s="716">
        <v>30.39</v>
      </c>
    </row>
    <row r="4761" spans="1:4" ht="42">
      <c r="A4761" s="715">
        <v>92008</v>
      </c>
      <c r="B4761" s="633" t="s">
        <v>25825</v>
      </c>
      <c r="C4761" s="715" t="s">
        <v>103</v>
      </c>
      <c r="D4761" s="716">
        <v>66.010000000000005</v>
      </c>
    </row>
    <row r="4762" spans="1:4" ht="42">
      <c r="A4762" s="715">
        <v>92006</v>
      </c>
      <c r="B4762" s="633" t="s">
        <v>25823</v>
      </c>
      <c r="C4762" s="715" t="s">
        <v>103</v>
      </c>
      <c r="D4762" s="716">
        <v>50.91</v>
      </c>
    </row>
    <row r="4763" spans="1:4" ht="42">
      <c r="A4763" s="715">
        <v>92009</v>
      </c>
      <c r="B4763" s="633" t="s">
        <v>25826</v>
      </c>
      <c r="C4763" s="715" t="s">
        <v>103</v>
      </c>
      <c r="D4763" s="716">
        <v>70.89</v>
      </c>
    </row>
    <row r="4764" spans="1:4" ht="42">
      <c r="A4764" s="715">
        <v>92007</v>
      </c>
      <c r="B4764" s="633" t="s">
        <v>25824</v>
      </c>
      <c r="C4764" s="715" t="s">
        <v>103</v>
      </c>
      <c r="D4764" s="716">
        <v>55.79</v>
      </c>
    </row>
    <row r="4765" spans="1:4" ht="42">
      <c r="A4765" s="715">
        <v>92016</v>
      </c>
      <c r="B4765" s="633" t="s">
        <v>25833</v>
      </c>
      <c r="C4765" s="715" t="s">
        <v>103</v>
      </c>
      <c r="D4765" s="716">
        <v>88.97</v>
      </c>
    </row>
    <row r="4766" spans="1:4" ht="42">
      <c r="A4766" s="715">
        <v>92014</v>
      </c>
      <c r="B4766" s="633" t="s">
        <v>25831</v>
      </c>
      <c r="C4766" s="715" t="s">
        <v>103</v>
      </c>
      <c r="D4766" s="716">
        <v>73.87</v>
      </c>
    </row>
    <row r="4767" spans="1:4" ht="42">
      <c r="A4767" s="715">
        <v>92017</v>
      </c>
      <c r="B4767" s="633" t="s">
        <v>25834</v>
      </c>
      <c r="C4767" s="715" t="s">
        <v>103</v>
      </c>
      <c r="D4767" s="716">
        <v>96.29</v>
      </c>
    </row>
    <row r="4768" spans="1:4" ht="42">
      <c r="A4768" s="715">
        <v>92015</v>
      </c>
      <c r="B4768" s="633" t="s">
        <v>25832</v>
      </c>
      <c r="C4768" s="715" t="s">
        <v>103</v>
      </c>
      <c r="D4768" s="716">
        <v>81.19</v>
      </c>
    </row>
    <row r="4769" spans="1:4" ht="42">
      <c r="A4769" s="715">
        <v>92019</v>
      </c>
      <c r="B4769" s="633" t="s">
        <v>25836</v>
      </c>
      <c r="C4769" s="715" t="s">
        <v>103</v>
      </c>
      <c r="D4769" s="716">
        <v>118.98</v>
      </c>
    </row>
    <row r="4770" spans="1:4" ht="42">
      <c r="A4770" s="715">
        <v>92018</v>
      </c>
      <c r="B4770" s="633" t="s">
        <v>25835</v>
      </c>
      <c r="C4770" s="715" t="s">
        <v>103</v>
      </c>
      <c r="D4770" s="716">
        <v>97.7</v>
      </c>
    </row>
    <row r="4771" spans="1:4" ht="42">
      <c r="A4771" s="715">
        <v>92021</v>
      </c>
      <c r="B4771" s="633" t="s">
        <v>25838</v>
      </c>
      <c r="C4771" s="715" t="s">
        <v>103</v>
      </c>
      <c r="D4771" s="716">
        <v>165.29</v>
      </c>
    </row>
    <row r="4772" spans="1:4" ht="42">
      <c r="A4772" s="715">
        <v>92020</v>
      </c>
      <c r="B4772" s="633" t="s">
        <v>25837</v>
      </c>
      <c r="C4772" s="715" t="s">
        <v>103</v>
      </c>
      <c r="D4772" s="716">
        <v>144.01</v>
      </c>
    </row>
    <row r="4773" spans="1:4" ht="42">
      <c r="A4773" s="715">
        <v>91996</v>
      </c>
      <c r="B4773" s="633" t="s">
        <v>25813</v>
      </c>
      <c r="C4773" s="715" t="s">
        <v>103</v>
      </c>
      <c r="D4773" s="716">
        <v>49.02</v>
      </c>
    </row>
    <row r="4774" spans="1:4" ht="42">
      <c r="A4774" s="715">
        <v>91994</v>
      </c>
      <c r="B4774" s="633" t="s">
        <v>25811</v>
      </c>
      <c r="C4774" s="715" t="s">
        <v>103</v>
      </c>
      <c r="D4774" s="716">
        <v>33.92</v>
      </c>
    </row>
    <row r="4775" spans="1:4" ht="42">
      <c r="A4775" s="715">
        <v>91997</v>
      </c>
      <c r="B4775" s="633" t="s">
        <v>25814</v>
      </c>
      <c r="C4775" s="715" t="s">
        <v>103</v>
      </c>
      <c r="D4775" s="716">
        <v>51.46</v>
      </c>
    </row>
    <row r="4776" spans="1:4" ht="42">
      <c r="A4776" s="715">
        <v>91995</v>
      </c>
      <c r="B4776" s="633" t="s">
        <v>25812</v>
      </c>
      <c r="C4776" s="715" t="s">
        <v>103</v>
      </c>
      <c r="D4776" s="716">
        <v>36.36</v>
      </c>
    </row>
    <row r="4777" spans="1:4" ht="42">
      <c r="A4777" s="715">
        <v>92004</v>
      </c>
      <c r="B4777" s="633" t="s">
        <v>25821</v>
      </c>
      <c r="C4777" s="715" t="s">
        <v>103</v>
      </c>
      <c r="D4777" s="716">
        <v>78.02</v>
      </c>
    </row>
    <row r="4778" spans="1:4" ht="42">
      <c r="A4778" s="715">
        <v>92002</v>
      </c>
      <c r="B4778" s="633" t="s">
        <v>25819</v>
      </c>
      <c r="C4778" s="715" t="s">
        <v>103</v>
      </c>
      <c r="D4778" s="716">
        <v>62.92</v>
      </c>
    </row>
    <row r="4779" spans="1:4" ht="42">
      <c r="A4779" s="715">
        <v>92005</v>
      </c>
      <c r="B4779" s="633" t="s">
        <v>25822</v>
      </c>
      <c r="C4779" s="715" t="s">
        <v>103</v>
      </c>
      <c r="D4779" s="716">
        <v>82.9</v>
      </c>
    </row>
    <row r="4780" spans="1:4" ht="42">
      <c r="A4780" s="715">
        <v>92003</v>
      </c>
      <c r="B4780" s="633" t="s">
        <v>25820</v>
      </c>
      <c r="C4780" s="715" t="s">
        <v>103</v>
      </c>
      <c r="D4780" s="716">
        <v>67.8</v>
      </c>
    </row>
    <row r="4781" spans="1:4" ht="42">
      <c r="A4781" s="715">
        <v>92012</v>
      </c>
      <c r="B4781" s="633" t="s">
        <v>25829</v>
      </c>
      <c r="C4781" s="715" t="s">
        <v>103</v>
      </c>
      <c r="D4781" s="716">
        <v>106.94</v>
      </c>
    </row>
    <row r="4782" spans="1:4" ht="42">
      <c r="A4782" s="715">
        <v>92010</v>
      </c>
      <c r="B4782" s="633" t="s">
        <v>25827</v>
      </c>
      <c r="C4782" s="715" t="s">
        <v>103</v>
      </c>
      <c r="D4782" s="716">
        <v>91.84</v>
      </c>
    </row>
    <row r="4783" spans="1:4" ht="42">
      <c r="A4783" s="715">
        <v>92013</v>
      </c>
      <c r="B4783" s="633" t="s">
        <v>25830</v>
      </c>
      <c r="C4783" s="715" t="s">
        <v>103</v>
      </c>
      <c r="D4783" s="716">
        <v>114.26</v>
      </c>
    </row>
    <row r="4784" spans="1:4" ht="42">
      <c r="A4784" s="715">
        <v>92011</v>
      </c>
      <c r="B4784" s="633" t="s">
        <v>25828</v>
      </c>
      <c r="C4784" s="715" t="s">
        <v>103</v>
      </c>
      <c r="D4784" s="716">
        <v>99.16</v>
      </c>
    </row>
    <row r="4785" spans="1:4" ht="42">
      <c r="A4785" s="715">
        <v>95777</v>
      </c>
      <c r="B4785" s="633" t="s">
        <v>42836</v>
      </c>
      <c r="C4785" s="715" t="s">
        <v>103</v>
      </c>
      <c r="D4785" s="716">
        <v>31.79</v>
      </c>
    </row>
    <row r="4786" spans="1:4" ht="42">
      <c r="A4786" s="715">
        <v>95780</v>
      </c>
      <c r="B4786" s="633" t="s">
        <v>42837</v>
      </c>
      <c r="C4786" s="715" t="s">
        <v>103</v>
      </c>
      <c r="D4786" s="716">
        <v>36.33</v>
      </c>
    </row>
    <row r="4787" spans="1:4" ht="42">
      <c r="A4787" s="715">
        <v>95783</v>
      </c>
      <c r="B4787" s="633" t="s">
        <v>42838</v>
      </c>
      <c r="C4787" s="715" t="s">
        <v>103</v>
      </c>
      <c r="D4787" s="716">
        <v>0</v>
      </c>
    </row>
    <row r="4788" spans="1:4" ht="42">
      <c r="A4788" s="715">
        <v>95778</v>
      </c>
      <c r="B4788" s="633" t="s">
        <v>42839</v>
      </c>
      <c r="C4788" s="715" t="s">
        <v>103</v>
      </c>
      <c r="D4788" s="716">
        <v>37.270000000000003</v>
      </c>
    </row>
    <row r="4789" spans="1:4" ht="42">
      <c r="A4789" s="715">
        <v>95781</v>
      </c>
      <c r="B4789" s="633" t="s">
        <v>42840</v>
      </c>
      <c r="C4789" s="715" t="s">
        <v>103</v>
      </c>
      <c r="D4789" s="716">
        <v>41.8</v>
      </c>
    </row>
    <row r="4790" spans="1:4" ht="42">
      <c r="A4790" s="715">
        <v>95784</v>
      </c>
      <c r="B4790" s="633" t="s">
        <v>42841</v>
      </c>
      <c r="C4790" s="715" t="s">
        <v>103</v>
      </c>
      <c r="D4790" s="716">
        <v>0</v>
      </c>
    </row>
    <row r="4791" spans="1:4" ht="42">
      <c r="A4791" s="715">
        <v>95782</v>
      </c>
      <c r="B4791" s="633" t="s">
        <v>42842</v>
      </c>
      <c r="C4791" s="715" t="s">
        <v>103</v>
      </c>
      <c r="D4791" s="716">
        <v>38.81</v>
      </c>
    </row>
    <row r="4792" spans="1:4" ht="42">
      <c r="A4792" s="715">
        <v>95779</v>
      </c>
      <c r="B4792" s="633" t="s">
        <v>42843</v>
      </c>
      <c r="C4792" s="715" t="s">
        <v>103</v>
      </c>
      <c r="D4792" s="716">
        <v>29.62</v>
      </c>
    </row>
    <row r="4793" spans="1:4" ht="42">
      <c r="A4793" s="715">
        <v>95785</v>
      </c>
      <c r="B4793" s="633" t="s">
        <v>42844</v>
      </c>
      <c r="C4793" s="715" t="s">
        <v>103</v>
      </c>
      <c r="D4793" s="716">
        <v>44.14</v>
      </c>
    </row>
    <row r="4794" spans="1:4" ht="56">
      <c r="A4794" s="715">
        <v>95792</v>
      </c>
      <c r="B4794" s="633" t="s">
        <v>42845</v>
      </c>
      <c r="C4794" s="715" t="s">
        <v>103</v>
      </c>
      <c r="D4794" s="716">
        <v>0</v>
      </c>
    </row>
    <row r="4795" spans="1:4" ht="56">
      <c r="A4795" s="715">
        <v>95793</v>
      </c>
      <c r="B4795" s="633" t="s">
        <v>42846</v>
      </c>
      <c r="C4795" s="715" t="s">
        <v>103</v>
      </c>
      <c r="D4795" s="716">
        <v>0</v>
      </c>
    </row>
    <row r="4796" spans="1:4" ht="56">
      <c r="A4796" s="715">
        <v>95794</v>
      </c>
      <c r="B4796" s="633" t="s">
        <v>42847</v>
      </c>
      <c r="C4796" s="715" t="s">
        <v>103</v>
      </c>
      <c r="D4796" s="716">
        <v>0</v>
      </c>
    </row>
    <row r="4797" spans="1:4" ht="56">
      <c r="A4797" s="715">
        <v>95786</v>
      </c>
      <c r="B4797" s="633" t="s">
        <v>42848</v>
      </c>
      <c r="C4797" s="715" t="s">
        <v>103</v>
      </c>
      <c r="D4797" s="716">
        <v>0</v>
      </c>
    </row>
    <row r="4798" spans="1:4" ht="56">
      <c r="A4798" s="715">
        <v>95788</v>
      </c>
      <c r="B4798" s="633" t="s">
        <v>42849</v>
      </c>
      <c r="C4798" s="715" t="s">
        <v>103</v>
      </c>
      <c r="D4798" s="716">
        <v>0</v>
      </c>
    </row>
    <row r="4799" spans="1:4" ht="56">
      <c r="A4799" s="715">
        <v>95790</v>
      </c>
      <c r="B4799" s="633" t="s">
        <v>42850</v>
      </c>
      <c r="C4799" s="715" t="s">
        <v>103</v>
      </c>
      <c r="D4799" s="716">
        <v>0</v>
      </c>
    </row>
    <row r="4800" spans="1:4" ht="56">
      <c r="A4800" s="715">
        <v>95787</v>
      </c>
      <c r="B4800" s="633" t="s">
        <v>42851</v>
      </c>
      <c r="C4800" s="715" t="s">
        <v>103</v>
      </c>
      <c r="D4800" s="716">
        <v>39.17</v>
      </c>
    </row>
    <row r="4801" spans="1:4" ht="56">
      <c r="A4801" s="715">
        <v>95789</v>
      </c>
      <c r="B4801" s="633" t="s">
        <v>42852</v>
      </c>
      <c r="C4801" s="715" t="s">
        <v>103</v>
      </c>
      <c r="D4801" s="716">
        <v>47.66</v>
      </c>
    </row>
    <row r="4802" spans="1:4" ht="56">
      <c r="A4802" s="715">
        <v>95791</v>
      </c>
      <c r="B4802" s="633" t="s">
        <v>42853</v>
      </c>
      <c r="C4802" s="715" t="s">
        <v>103</v>
      </c>
      <c r="D4802" s="716">
        <v>60.37</v>
      </c>
    </row>
    <row r="4803" spans="1:4" ht="42">
      <c r="A4803" s="715">
        <v>95795</v>
      </c>
      <c r="B4803" s="633" t="s">
        <v>42854</v>
      </c>
      <c r="C4803" s="715" t="s">
        <v>103</v>
      </c>
      <c r="D4803" s="716">
        <v>45.82</v>
      </c>
    </row>
    <row r="4804" spans="1:4" ht="42">
      <c r="A4804" s="715">
        <v>95796</v>
      </c>
      <c r="B4804" s="633" t="s">
        <v>42855</v>
      </c>
      <c r="C4804" s="715" t="s">
        <v>103</v>
      </c>
      <c r="D4804" s="716">
        <v>56.34</v>
      </c>
    </row>
    <row r="4805" spans="1:4" ht="42">
      <c r="A4805" s="715">
        <v>95797</v>
      </c>
      <c r="B4805" s="633" t="s">
        <v>42856</v>
      </c>
      <c r="C4805" s="715" t="s">
        <v>103</v>
      </c>
      <c r="D4805" s="716">
        <v>69.92</v>
      </c>
    </row>
    <row r="4806" spans="1:4" ht="56">
      <c r="A4806" s="715">
        <v>95798</v>
      </c>
      <c r="B4806" s="633" t="s">
        <v>42857</v>
      </c>
      <c r="C4806" s="715" t="s">
        <v>103</v>
      </c>
      <c r="D4806" s="716">
        <v>0</v>
      </c>
    </row>
    <row r="4807" spans="1:4" ht="56">
      <c r="A4807" s="715">
        <v>95799</v>
      </c>
      <c r="B4807" s="633" t="s">
        <v>42858</v>
      </c>
      <c r="C4807" s="715" t="s">
        <v>103</v>
      </c>
      <c r="D4807" s="716">
        <v>0</v>
      </c>
    </row>
    <row r="4808" spans="1:4" ht="56">
      <c r="A4808" s="715">
        <v>95800</v>
      </c>
      <c r="B4808" s="633" t="s">
        <v>42859</v>
      </c>
      <c r="C4808" s="715" t="s">
        <v>103</v>
      </c>
      <c r="D4808" s="716">
        <v>0</v>
      </c>
    </row>
    <row r="4809" spans="1:4" ht="42">
      <c r="A4809" s="715">
        <v>95801</v>
      </c>
      <c r="B4809" s="633" t="s">
        <v>42860</v>
      </c>
      <c r="C4809" s="715" t="s">
        <v>103</v>
      </c>
      <c r="D4809" s="716">
        <v>55.42</v>
      </c>
    </row>
    <row r="4810" spans="1:4" ht="42">
      <c r="A4810" s="715">
        <v>95802</v>
      </c>
      <c r="B4810" s="633" t="s">
        <v>42861</v>
      </c>
      <c r="C4810" s="715" t="s">
        <v>103</v>
      </c>
      <c r="D4810" s="716">
        <v>60.04</v>
      </c>
    </row>
    <row r="4811" spans="1:4" ht="42">
      <c r="A4811" s="715">
        <v>95803</v>
      </c>
      <c r="B4811" s="633" t="s">
        <v>42862</v>
      </c>
      <c r="C4811" s="715" t="s">
        <v>103</v>
      </c>
      <c r="D4811" s="716">
        <v>77.19</v>
      </c>
    </row>
    <row r="4812" spans="1:4" ht="42">
      <c r="A4812" s="715">
        <v>95804</v>
      </c>
      <c r="B4812" s="633" t="s">
        <v>42863</v>
      </c>
      <c r="C4812" s="715" t="s">
        <v>103</v>
      </c>
      <c r="D4812" s="716">
        <v>22.48</v>
      </c>
    </row>
    <row r="4813" spans="1:4" ht="42">
      <c r="A4813" s="715">
        <v>95805</v>
      </c>
      <c r="B4813" s="633" t="s">
        <v>42864</v>
      </c>
      <c r="C4813" s="715" t="s">
        <v>103</v>
      </c>
      <c r="D4813" s="716">
        <v>22.71</v>
      </c>
    </row>
    <row r="4814" spans="1:4" ht="42">
      <c r="A4814" s="715">
        <v>95806</v>
      </c>
      <c r="B4814" s="633" t="s">
        <v>42865</v>
      </c>
      <c r="C4814" s="715" t="s">
        <v>103</v>
      </c>
      <c r="D4814" s="716">
        <v>23.42</v>
      </c>
    </row>
    <row r="4815" spans="1:4" ht="42">
      <c r="A4815" s="715">
        <v>104401</v>
      </c>
      <c r="B4815" s="633" t="s">
        <v>42866</v>
      </c>
      <c r="C4815" s="715" t="s">
        <v>103</v>
      </c>
      <c r="D4815" s="716">
        <v>25.45</v>
      </c>
    </row>
    <row r="4816" spans="1:4" ht="42">
      <c r="A4816" s="715">
        <v>104402</v>
      </c>
      <c r="B4816" s="633" t="s">
        <v>42867</v>
      </c>
      <c r="C4816" s="715" t="s">
        <v>103</v>
      </c>
      <c r="D4816" s="716">
        <v>24.88</v>
      </c>
    </row>
    <row r="4817" spans="1:4" ht="42">
      <c r="A4817" s="715">
        <v>104403</v>
      </c>
      <c r="B4817" s="633" t="s">
        <v>42868</v>
      </c>
      <c r="C4817" s="715" t="s">
        <v>103</v>
      </c>
      <c r="D4817" s="716">
        <v>27.66</v>
      </c>
    </row>
    <row r="4818" spans="1:4" ht="42">
      <c r="A4818" s="715">
        <v>104395</v>
      </c>
      <c r="B4818" s="633" t="s">
        <v>42869</v>
      </c>
      <c r="C4818" s="715" t="s">
        <v>103</v>
      </c>
      <c r="D4818" s="716">
        <v>22.09</v>
      </c>
    </row>
    <row r="4819" spans="1:4" ht="42">
      <c r="A4819" s="715">
        <v>104396</v>
      </c>
      <c r="B4819" s="633" t="s">
        <v>42870</v>
      </c>
      <c r="C4819" s="715" t="s">
        <v>103</v>
      </c>
      <c r="D4819" s="716">
        <v>21.67</v>
      </c>
    </row>
    <row r="4820" spans="1:4" ht="42">
      <c r="A4820" s="715">
        <v>104397</v>
      </c>
      <c r="B4820" s="633" t="s">
        <v>42871</v>
      </c>
      <c r="C4820" s="715" t="s">
        <v>103</v>
      </c>
      <c r="D4820" s="716">
        <v>23.92</v>
      </c>
    </row>
    <row r="4821" spans="1:4" ht="42">
      <c r="A4821" s="715">
        <v>95810</v>
      </c>
      <c r="B4821" s="633" t="s">
        <v>42872</v>
      </c>
      <c r="C4821" s="715" t="s">
        <v>103</v>
      </c>
      <c r="D4821" s="716">
        <v>15.71</v>
      </c>
    </row>
    <row r="4822" spans="1:4" ht="42">
      <c r="A4822" s="715">
        <v>95811</v>
      </c>
      <c r="B4822" s="633" t="s">
        <v>42873</v>
      </c>
      <c r="C4822" s="715" t="s">
        <v>103</v>
      </c>
      <c r="D4822" s="716">
        <v>16.399999999999999</v>
      </c>
    </row>
    <row r="4823" spans="1:4" ht="42">
      <c r="A4823" s="715">
        <v>95812</v>
      </c>
      <c r="B4823" s="633" t="s">
        <v>42874</v>
      </c>
      <c r="C4823" s="715" t="s">
        <v>103</v>
      </c>
      <c r="D4823" s="716">
        <v>18.899999999999999</v>
      </c>
    </row>
    <row r="4824" spans="1:4" ht="42">
      <c r="A4824" s="715">
        <v>95807</v>
      </c>
      <c r="B4824" s="633" t="s">
        <v>42875</v>
      </c>
      <c r="C4824" s="715" t="s">
        <v>103</v>
      </c>
      <c r="D4824" s="716">
        <v>27.58</v>
      </c>
    </row>
    <row r="4825" spans="1:4" ht="42">
      <c r="A4825" s="715">
        <v>95808</v>
      </c>
      <c r="B4825" s="633" t="s">
        <v>42876</v>
      </c>
      <c r="C4825" s="715" t="s">
        <v>103</v>
      </c>
      <c r="D4825" s="716">
        <v>28.28</v>
      </c>
    </row>
    <row r="4826" spans="1:4" ht="42">
      <c r="A4826" s="715">
        <v>95809</v>
      </c>
      <c r="B4826" s="633" t="s">
        <v>42877</v>
      </c>
      <c r="C4826" s="715" t="s">
        <v>103</v>
      </c>
      <c r="D4826" s="716">
        <v>30.77</v>
      </c>
    </row>
    <row r="4827" spans="1:4" ht="42">
      <c r="A4827" s="715">
        <v>104398</v>
      </c>
      <c r="B4827" s="633" t="s">
        <v>42878</v>
      </c>
      <c r="C4827" s="715" t="s">
        <v>103</v>
      </c>
      <c r="D4827" s="716">
        <v>27.57</v>
      </c>
    </row>
    <row r="4828" spans="1:4" ht="42">
      <c r="A4828" s="715">
        <v>104399</v>
      </c>
      <c r="B4828" s="633" t="s">
        <v>42879</v>
      </c>
      <c r="C4828" s="715" t="s">
        <v>103</v>
      </c>
      <c r="D4828" s="716">
        <v>27.23</v>
      </c>
    </row>
    <row r="4829" spans="1:4" ht="42">
      <c r="A4829" s="715">
        <v>104400</v>
      </c>
      <c r="B4829" s="633" t="s">
        <v>42880</v>
      </c>
      <c r="C4829" s="715" t="s">
        <v>103</v>
      </c>
      <c r="D4829" s="716">
        <v>30.32</v>
      </c>
    </row>
    <row r="4830" spans="1:4" ht="42">
      <c r="A4830" s="715">
        <v>104404</v>
      </c>
      <c r="B4830" s="633" t="s">
        <v>42881</v>
      </c>
      <c r="C4830" s="715" t="s">
        <v>103</v>
      </c>
      <c r="D4830" s="716">
        <v>31.26</v>
      </c>
    </row>
    <row r="4831" spans="1:4" ht="42">
      <c r="A4831" s="715">
        <v>104405</v>
      </c>
      <c r="B4831" s="633" t="s">
        <v>42882</v>
      </c>
      <c r="C4831" s="715" t="s">
        <v>103</v>
      </c>
      <c r="D4831" s="716">
        <v>36.17</v>
      </c>
    </row>
    <row r="4832" spans="1:4" ht="42">
      <c r="A4832" s="715">
        <v>95813</v>
      </c>
      <c r="B4832" s="633" t="s">
        <v>42883</v>
      </c>
      <c r="C4832" s="715" t="s">
        <v>103</v>
      </c>
      <c r="D4832" s="716">
        <v>18.79</v>
      </c>
    </row>
    <row r="4833" spans="1:4" ht="42">
      <c r="A4833" s="715">
        <v>95814</v>
      </c>
      <c r="B4833" s="633" t="s">
        <v>42884</v>
      </c>
      <c r="C4833" s="715" t="s">
        <v>103</v>
      </c>
      <c r="D4833" s="716">
        <v>19.71</v>
      </c>
    </row>
    <row r="4834" spans="1:4" ht="42">
      <c r="A4834" s="715">
        <v>95815</v>
      </c>
      <c r="B4834" s="633" t="s">
        <v>42885</v>
      </c>
      <c r="C4834" s="715" t="s">
        <v>103</v>
      </c>
      <c r="D4834" s="716">
        <v>24.3</v>
      </c>
    </row>
    <row r="4835" spans="1:4" ht="42">
      <c r="A4835" s="715">
        <v>95816</v>
      </c>
      <c r="B4835" s="633" t="s">
        <v>42886</v>
      </c>
      <c r="C4835" s="715" t="s">
        <v>103</v>
      </c>
      <c r="D4835" s="716">
        <v>33.97</v>
      </c>
    </row>
    <row r="4836" spans="1:4" ht="42">
      <c r="A4836" s="715">
        <v>95817</v>
      </c>
      <c r="B4836" s="633" t="s">
        <v>42887</v>
      </c>
      <c r="C4836" s="715" t="s">
        <v>103</v>
      </c>
      <c r="D4836" s="716">
        <v>34.74</v>
      </c>
    </row>
    <row r="4837" spans="1:4" ht="42">
      <c r="A4837" s="715">
        <v>95818</v>
      </c>
      <c r="B4837" s="633" t="s">
        <v>42888</v>
      </c>
      <c r="C4837" s="715" t="s">
        <v>103</v>
      </c>
      <c r="D4837" s="716">
        <v>40.79</v>
      </c>
    </row>
    <row r="4838" spans="1:4" ht="56">
      <c r="A4838" s="715">
        <v>106668</v>
      </c>
      <c r="B4838" s="633" t="s">
        <v>42889</v>
      </c>
      <c r="C4838" s="715" t="s">
        <v>103</v>
      </c>
      <c r="D4838" s="716">
        <v>0</v>
      </c>
    </row>
    <row r="4839" spans="1:4" ht="56">
      <c r="A4839" s="715">
        <v>106667</v>
      </c>
      <c r="B4839" s="633" t="s">
        <v>42890</v>
      </c>
      <c r="C4839" s="715" t="s">
        <v>103</v>
      </c>
      <c r="D4839" s="716">
        <v>0</v>
      </c>
    </row>
    <row r="4840" spans="1:4" ht="56">
      <c r="A4840" s="715">
        <v>106666</v>
      </c>
      <c r="B4840" s="633" t="s">
        <v>42891</v>
      </c>
      <c r="C4840" s="715" t="s">
        <v>103</v>
      </c>
      <c r="D4840" s="716">
        <v>0</v>
      </c>
    </row>
    <row r="4841" spans="1:4" ht="42">
      <c r="A4841" s="715">
        <v>104391</v>
      </c>
      <c r="B4841" s="633" t="s">
        <v>42892</v>
      </c>
      <c r="C4841" s="715" t="s">
        <v>103</v>
      </c>
      <c r="D4841" s="716">
        <v>23.04</v>
      </c>
    </row>
    <row r="4842" spans="1:4" ht="42">
      <c r="A4842" s="715">
        <v>104392</v>
      </c>
      <c r="B4842" s="633" t="s">
        <v>42893</v>
      </c>
      <c r="C4842" s="715" t="s">
        <v>103</v>
      </c>
      <c r="D4842" s="716">
        <v>27.79</v>
      </c>
    </row>
    <row r="4843" spans="1:4" ht="42">
      <c r="A4843" s="715">
        <v>104393</v>
      </c>
      <c r="B4843" s="633" t="s">
        <v>42894</v>
      </c>
      <c r="C4843" s="715" t="s">
        <v>103</v>
      </c>
      <c r="D4843" s="716">
        <v>42.28</v>
      </c>
    </row>
    <row r="4844" spans="1:4" ht="42">
      <c r="A4844" s="715">
        <v>104394</v>
      </c>
      <c r="B4844" s="633" t="s">
        <v>42895</v>
      </c>
      <c r="C4844" s="715" t="s">
        <v>103</v>
      </c>
      <c r="D4844" s="716">
        <v>55.81</v>
      </c>
    </row>
    <row r="4845" spans="1:4" ht="42">
      <c r="A4845" s="715">
        <v>95761</v>
      </c>
      <c r="B4845" s="633" t="s">
        <v>42896</v>
      </c>
      <c r="C4845" s="715" t="s">
        <v>103</v>
      </c>
      <c r="D4845" s="716">
        <v>21.75</v>
      </c>
    </row>
    <row r="4846" spans="1:4" ht="42">
      <c r="A4846" s="715">
        <v>95763</v>
      </c>
      <c r="B4846" s="633" t="s">
        <v>42897</v>
      </c>
      <c r="C4846" s="715" t="s">
        <v>103</v>
      </c>
      <c r="D4846" s="716">
        <v>24.46</v>
      </c>
    </row>
    <row r="4847" spans="1:4" ht="42">
      <c r="A4847" s="715">
        <v>95765</v>
      </c>
      <c r="B4847" s="633" t="s">
        <v>42898</v>
      </c>
      <c r="C4847" s="715" t="s">
        <v>103</v>
      </c>
      <c r="D4847" s="716">
        <v>0</v>
      </c>
    </row>
    <row r="4848" spans="1:4" ht="42">
      <c r="A4848" s="715">
        <v>95767</v>
      </c>
      <c r="B4848" s="633" t="s">
        <v>42899</v>
      </c>
      <c r="C4848" s="715" t="s">
        <v>103</v>
      </c>
      <c r="D4848" s="716">
        <v>43.88</v>
      </c>
    </row>
    <row r="4849" spans="1:4" ht="42">
      <c r="A4849" s="715">
        <v>95762</v>
      </c>
      <c r="B4849" s="633" t="s">
        <v>42900</v>
      </c>
      <c r="C4849" s="715" t="s">
        <v>103</v>
      </c>
      <c r="D4849" s="716">
        <v>21.81</v>
      </c>
    </row>
    <row r="4850" spans="1:4" ht="42">
      <c r="A4850" s="715">
        <v>95764</v>
      </c>
      <c r="B4850" s="633" t="s">
        <v>42901</v>
      </c>
      <c r="C4850" s="715" t="s">
        <v>103</v>
      </c>
      <c r="D4850" s="716">
        <v>24.76</v>
      </c>
    </row>
    <row r="4851" spans="1:4" ht="42">
      <c r="A4851" s="715">
        <v>95766</v>
      </c>
      <c r="B4851" s="633" t="s">
        <v>42902</v>
      </c>
      <c r="C4851" s="715" t="s">
        <v>103</v>
      </c>
      <c r="D4851" s="716">
        <v>36.94</v>
      </c>
    </row>
    <row r="4852" spans="1:4" ht="42">
      <c r="A4852" s="715">
        <v>95768</v>
      </c>
      <c r="B4852" s="633" t="s">
        <v>42903</v>
      </c>
      <c r="C4852" s="715" t="s">
        <v>103</v>
      </c>
      <c r="D4852" s="716">
        <v>44.45</v>
      </c>
    </row>
    <row r="4853" spans="1:4" ht="42">
      <c r="A4853" s="715">
        <v>95739</v>
      </c>
      <c r="B4853" s="633" t="s">
        <v>42904</v>
      </c>
      <c r="C4853" s="715" t="s">
        <v>103</v>
      </c>
      <c r="D4853" s="716">
        <v>0</v>
      </c>
    </row>
    <row r="4854" spans="1:4" ht="42">
      <c r="A4854" s="715">
        <v>95740</v>
      </c>
      <c r="B4854" s="633" t="s">
        <v>42905</v>
      </c>
      <c r="C4854" s="715" t="s">
        <v>103</v>
      </c>
      <c r="D4854" s="716">
        <v>0</v>
      </c>
    </row>
    <row r="4855" spans="1:4" ht="42">
      <c r="A4855" s="715">
        <v>95741</v>
      </c>
      <c r="B4855" s="633" t="s">
        <v>42906</v>
      </c>
      <c r="C4855" s="715" t="s">
        <v>103</v>
      </c>
      <c r="D4855" s="716">
        <v>0</v>
      </c>
    </row>
    <row r="4856" spans="1:4" ht="42">
      <c r="A4856" s="715">
        <v>106671</v>
      </c>
      <c r="B4856" s="633" t="s">
        <v>42907</v>
      </c>
      <c r="C4856" s="715" t="s">
        <v>165</v>
      </c>
      <c r="D4856" s="716">
        <v>24.04</v>
      </c>
    </row>
    <row r="4857" spans="1:4" ht="42">
      <c r="A4857" s="715">
        <v>106670</v>
      </c>
      <c r="B4857" s="633" t="s">
        <v>42908</v>
      </c>
      <c r="C4857" s="715" t="s">
        <v>165</v>
      </c>
      <c r="D4857" s="716">
        <v>16.54</v>
      </c>
    </row>
    <row r="4858" spans="1:4" ht="42">
      <c r="A4858" s="715">
        <v>106669</v>
      </c>
      <c r="B4858" s="633" t="s">
        <v>42909</v>
      </c>
      <c r="C4858" s="715" t="s">
        <v>165</v>
      </c>
      <c r="D4858" s="716">
        <v>12.95</v>
      </c>
    </row>
    <row r="4859" spans="1:4" ht="42">
      <c r="A4859" s="715">
        <v>95726</v>
      </c>
      <c r="B4859" s="633" t="s">
        <v>42910</v>
      </c>
      <c r="C4859" s="715" t="s">
        <v>165</v>
      </c>
      <c r="D4859" s="716">
        <v>19.920000000000002</v>
      </c>
    </row>
    <row r="4860" spans="1:4" ht="42">
      <c r="A4860" s="715">
        <v>95727</v>
      </c>
      <c r="B4860" s="633" t="s">
        <v>42911</v>
      </c>
      <c r="C4860" s="715" t="s">
        <v>165</v>
      </c>
      <c r="D4860" s="716">
        <v>21.11</v>
      </c>
    </row>
    <row r="4861" spans="1:4" ht="42">
      <c r="A4861" s="715">
        <v>95728</v>
      </c>
      <c r="B4861" s="633" t="s">
        <v>42912</v>
      </c>
      <c r="C4861" s="715" t="s">
        <v>165</v>
      </c>
      <c r="D4861" s="716">
        <v>23.52</v>
      </c>
    </row>
    <row r="4862" spans="1:4" ht="42">
      <c r="A4862" s="715">
        <v>104409</v>
      </c>
      <c r="B4862" s="633" t="s">
        <v>42913</v>
      </c>
      <c r="C4862" s="715" t="s">
        <v>165</v>
      </c>
      <c r="D4862" s="716">
        <v>0</v>
      </c>
    </row>
    <row r="4863" spans="1:4" ht="42">
      <c r="A4863" s="715">
        <v>104408</v>
      </c>
      <c r="B4863" s="633" t="s">
        <v>42914</v>
      </c>
      <c r="C4863" s="715" t="s">
        <v>165</v>
      </c>
      <c r="D4863" s="716">
        <v>0</v>
      </c>
    </row>
    <row r="4864" spans="1:4" ht="42">
      <c r="A4864" s="715">
        <v>104407</v>
      </c>
      <c r="B4864" s="633" t="s">
        <v>42915</v>
      </c>
      <c r="C4864" s="715" t="s">
        <v>165</v>
      </c>
      <c r="D4864" s="716">
        <v>0</v>
      </c>
    </row>
    <row r="4865" spans="1:4" ht="42">
      <c r="A4865" s="715">
        <v>104406</v>
      </c>
      <c r="B4865" s="633" t="s">
        <v>42916</v>
      </c>
      <c r="C4865" s="715" t="s">
        <v>165</v>
      </c>
      <c r="D4865" s="716">
        <v>0</v>
      </c>
    </row>
    <row r="4866" spans="1:4" ht="42">
      <c r="A4866" s="715">
        <v>104452</v>
      </c>
      <c r="B4866" s="633" t="s">
        <v>42917</v>
      </c>
      <c r="C4866" s="715" t="s">
        <v>103</v>
      </c>
      <c r="D4866" s="716">
        <v>10.85</v>
      </c>
    </row>
    <row r="4867" spans="1:4" ht="42">
      <c r="A4867" s="715">
        <v>104448</v>
      </c>
      <c r="B4867" s="633" t="s">
        <v>42918</v>
      </c>
      <c r="C4867" s="715" t="s">
        <v>103</v>
      </c>
      <c r="D4867" s="716">
        <v>11.61</v>
      </c>
    </row>
    <row r="4868" spans="1:4" ht="42">
      <c r="A4868" s="715">
        <v>104449</v>
      </c>
      <c r="B4868" s="633" t="s">
        <v>42919</v>
      </c>
      <c r="C4868" s="715" t="s">
        <v>103</v>
      </c>
      <c r="D4868" s="716">
        <v>13.83</v>
      </c>
    </row>
    <row r="4869" spans="1:4" ht="42">
      <c r="A4869" s="715">
        <v>104450</v>
      </c>
      <c r="B4869" s="633" t="s">
        <v>42920</v>
      </c>
      <c r="C4869" s="715" t="s">
        <v>103</v>
      </c>
      <c r="D4869" s="716">
        <v>16.190000000000001</v>
      </c>
    </row>
    <row r="4870" spans="1:4" ht="42">
      <c r="A4870" s="715">
        <v>104445</v>
      </c>
      <c r="B4870" s="633" t="s">
        <v>42921</v>
      </c>
      <c r="C4870" s="715" t="s">
        <v>103</v>
      </c>
      <c r="D4870" s="716">
        <v>0</v>
      </c>
    </row>
    <row r="4871" spans="1:4" ht="42">
      <c r="A4871" s="715">
        <v>104446</v>
      </c>
      <c r="B4871" s="633" t="s">
        <v>42922</v>
      </c>
      <c r="C4871" s="715" t="s">
        <v>103</v>
      </c>
      <c r="D4871" s="716">
        <v>0</v>
      </c>
    </row>
    <row r="4872" spans="1:4" ht="42">
      <c r="A4872" s="715">
        <v>104447</v>
      </c>
      <c r="B4872" s="633" t="s">
        <v>42923</v>
      </c>
      <c r="C4872" s="715" t="s">
        <v>103</v>
      </c>
      <c r="D4872" s="716">
        <v>0</v>
      </c>
    </row>
    <row r="4873" spans="1:4" ht="56">
      <c r="A4873" s="715">
        <v>101884</v>
      </c>
      <c r="B4873" s="633" t="s">
        <v>41105</v>
      </c>
      <c r="C4873" s="715" t="s">
        <v>165</v>
      </c>
      <c r="D4873" s="716">
        <v>12.44</v>
      </c>
    </row>
    <row r="4874" spans="1:4" ht="56">
      <c r="A4874" s="715">
        <v>101886</v>
      </c>
      <c r="B4874" s="633" t="s">
        <v>41106</v>
      </c>
      <c r="C4874" s="715" t="s">
        <v>165</v>
      </c>
      <c r="D4874" s="716">
        <v>17.87</v>
      </c>
    </row>
    <row r="4875" spans="1:4" ht="56">
      <c r="A4875" s="715">
        <v>101888</v>
      </c>
      <c r="B4875" s="633" t="s">
        <v>41107</v>
      </c>
      <c r="C4875" s="715" t="s">
        <v>165</v>
      </c>
      <c r="D4875" s="716">
        <v>28.73</v>
      </c>
    </row>
    <row r="4876" spans="1:4" ht="28">
      <c r="A4876" s="715">
        <v>101938</v>
      </c>
      <c r="B4876" s="633" t="s">
        <v>41108</v>
      </c>
      <c r="C4876" s="715" t="s">
        <v>103</v>
      </c>
      <c r="D4876" s="716">
        <v>170.6</v>
      </c>
    </row>
    <row r="4877" spans="1:4" ht="28">
      <c r="A4877" s="715">
        <v>101904</v>
      </c>
      <c r="B4877" s="633" t="s">
        <v>41109</v>
      </c>
      <c r="C4877" s="715" t="s">
        <v>103</v>
      </c>
      <c r="D4877" s="716">
        <v>1329.01</v>
      </c>
    </row>
    <row r="4878" spans="1:4" ht="28">
      <c r="A4878" s="715">
        <v>101901</v>
      </c>
      <c r="B4878" s="633" t="s">
        <v>41110</v>
      </c>
      <c r="C4878" s="715" t="s">
        <v>103</v>
      </c>
      <c r="D4878" s="716">
        <v>140.09</v>
      </c>
    </row>
    <row r="4879" spans="1:4" ht="28">
      <c r="A4879" s="715">
        <v>101902</v>
      </c>
      <c r="B4879" s="633" t="s">
        <v>41111</v>
      </c>
      <c r="C4879" s="715" t="s">
        <v>103</v>
      </c>
      <c r="D4879" s="716">
        <v>172.8</v>
      </c>
    </row>
    <row r="4880" spans="1:4" ht="28">
      <c r="A4880" s="715">
        <v>101903</v>
      </c>
      <c r="B4880" s="633" t="s">
        <v>41112</v>
      </c>
      <c r="C4880" s="715" t="s">
        <v>103</v>
      </c>
      <c r="D4880" s="716">
        <v>358.13</v>
      </c>
    </row>
    <row r="4881" spans="1:4" ht="28">
      <c r="A4881" s="715">
        <v>97414</v>
      </c>
      <c r="B4881" s="633" t="s">
        <v>41113</v>
      </c>
      <c r="C4881" s="715" t="s">
        <v>103</v>
      </c>
      <c r="D4881" s="716">
        <v>0</v>
      </c>
    </row>
    <row r="4882" spans="1:4" ht="28">
      <c r="A4882" s="715">
        <v>97415</v>
      </c>
      <c r="B4882" s="633" t="s">
        <v>41114</v>
      </c>
      <c r="C4882" s="715" t="s">
        <v>103</v>
      </c>
      <c r="D4882" s="716">
        <v>0</v>
      </c>
    </row>
    <row r="4883" spans="1:4" ht="28">
      <c r="A4883" s="715">
        <v>97416</v>
      </c>
      <c r="B4883" s="633" t="s">
        <v>41115</v>
      </c>
      <c r="C4883" s="715" t="s">
        <v>103</v>
      </c>
      <c r="D4883" s="716">
        <v>0</v>
      </c>
    </row>
    <row r="4884" spans="1:4" ht="28">
      <c r="A4884" s="715">
        <v>97417</v>
      </c>
      <c r="B4884" s="633" t="s">
        <v>41116</v>
      </c>
      <c r="C4884" s="715" t="s">
        <v>103</v>
      </c>
      <c r="D4884" s="716">
        <v>0</v>
      </c>
    </row>
    <row r="4885" spans="1:4" ht="28">
      <c r="A4885" s="715">
        <v>97418</v>
      </c>
      <c r="B4885" s="633" t="s">
        <v>41117</v>
      </c>
      <c r="C4885" s="715" t="s">
        <v>103</v>
      </c>
      <c r="D4885" s="716">
        <v>0</v>
      </c>
    </row>
    <row r="4886" spans="1:4" ht="28">
      <c r="A4886" s="715">
        <v>97409</v>
      </c>
      <c r="B4886" s="633" t="s">
        <v>41118</v>
      </c>
      <c r="C4886" s="715" t="s">
        <v>103</v>
      </c>
      <c r="D4886" s="716">
        <v>0</v>
      </c>
    </row>
    <row r="4887" spans="1:4" ht="28">
      <c r="A4887" s="715">
        <v>97410</v>
      </c>
      <c r="B4887" s="633" t="s">
        <v>41119</v>
      </c>
      <c r="C4887" s="715" t="s">
        <v>103</v>
      </c>
      <c r="D4887" s="716">
        <v>0</v>
      </c>
    </row>
    <row r="4888" spans="1:4" ht="28">
      <c r="A4888" s="715">
        <v>97411</v>
      </c>
      <c r="B4888" s="633" t="s">
        <v>41120</v>
      </c>
      <c r="C4888" s="715" t="s">
        <v>103</v>
      </c>
      <c r="D4888" s="716">
        <v>0</v>
      </c>
    </row>
    <row r="4889" spans="1:4" ht="28">
      <c r="A4889" s="715">
        <v>97412</v>
      </c>
      <c r="B4889" s="633" t="s">
        <v>41121</v>
      </c>
      <c r="C4889" s="715" t="s">
        <v>103</v>
      </c>
      <c r="D4889" s="716">
        <v>0</v>
      </c>
    </row>
    <row r="4890" spans="1:4" ht="28">
      <c r="A4890" s="715">
        <v>97413</v>
      </c>
      <c r="B4890" s="633" t="s">
        <v>41122</v>
      </c>
      <c r="C4890" s="715" t="s">
        <v>103</v>
      </c>
      <c r="D4890" s="716">
        <v>0</v>
      </c>
    </row>
    <row r="4891" spans="1:4" ht="42">
      <c r="A4891" s="715">
        <v>101900</v>
      </c>
      <c r="B4891" s="633" t="s">
        <v>41123</v>
      </c>
      <c r="C4891" s="715" t="s">
        <v>103</v>
      </c>
      <c r="D4891" s="716">
        <v>4039.42</v>
      </c>
    </row>
    <row r="4892" spans="1:4" ht="28">
      <c r="A4892" s="715">
        <v>106030</v>
      </c>
      <c r="B4892" s="633" t="s">
        <v>41124</v>
      </c>
      <c r="C4892" s="715" t="s">
        <v>103</v>
      </c>
      <c r="D4892" s="716">
        <v>164.75</v>
      </c>
    </row>
    <row r="4893" spans="1:4" ht="28">
      <c r="A4893" s="715">
        <v>93660</v>
      </c>
      <c r="B4893" s="633" t="s">
        <v>41125</v>
      </c>
      <c r="C4893" s="715" t="s">
        <v>103</v>
      </c>
      <c r="D4893" s="716">
        <v>53.04</v>
      </c>
    </row>
    <row r="4894" spans="1:4" ht="28">
      <c r="A4894" s="715">
        <v>93661</v>
      </c>
      <c r="B4894" s="633" t="s">
        <v>41126</v>
      </c>
      <c r="C4894" s="715" t="s">
        <v>103</v>
      </c>
      <c r="D4894" s="716">
        <v>53.04</v>
      </c>
    </row>
    <row r="4895" spans="1:4" ht="28">
      <c r="A4895" s="715">
        <v>93662</v>
      </c>
      <c r="B4895" s="633" t="s">
        <v>41127</v>
      </c>
      <c r="C4895" s="715" t="s">
        <v>103</v>
      </c>
      <c r="D4895" s="716">
        <v>55.48</v>
      </c>
    </row>
    <row r="4896" spans="1:4" ht="28">
      <c r="A4896" s="715">
        <v>93663</v>
      </c>
      <c r="B4896" s="633" t="s">
        <v>41128</v>
      </c>
      <c r="C4896" s="715" t="s">
        <v>103</v>
      </c>
      <c r="D4896" s="716">
        <v>58.2</v>
      </c>
    </row>
    <row r="4897" spans="1:4" ht="28">
      <c r="A4897" s="715">
        <v>93664</v>
      </c>
      <c r="B4897" s="633" t="s">
        <v>41129</v>
      </c>
      <c r="C4897" s="715" t="s">
        <v>103</v>
      </c>
      <c r="D4897" s="716">
        <v>62.38</v>
      </c>
    </row>
    <row r="4898" spans="1:4" ht="28">
      <c r="A4898" s="715">
        <v>93665</v>
      </c>
      <c r="B4898" s="633" t="s">
        <v>41130</v>
      </c>
      <c r="C4898" s="715" t="s">
        <v>103</v>
      </c>
      <c r="D4898" s="716">
        <v>68.349999999999994</v>
      </c>
    </row>
    <row r="4899" spans="1:4" ht="28">
      <c r="A4899" s="715">
        <v>93666</v>
      </c>
      <c r="B4899" s="633" t="s">
        <v>41131</v>
      </c>
      <c r="C4899" s="715" t="s">
        <v>103</v>
      </c>
      <c r="D4899" s="716">
        <v>76.87</v>
      </c>
    </row>
    <row r="4900" spans="1:4" ht="28">
      <c r="A4900" s="715">
        <v>93674</v>
      </c>
      <c r="B4900" s="633" t="s">
        <v>41132</v>
      </c>
      <c r="C4900" s="715" t="s">
        <v>103</v>
      </c>
      <c r="D4900" s="716">
        <v>134.62</v>
      </c>
    </row>
    <row r="4901" spans="1:4" ht="28">
      <c r="A4901" s="715">
        <v>93675</v>
      </c>
      <c r="B4901" s="633" t="s">
        <v>41133</v>
      </c>
      <c r="C4901" s="715" t="s">
        <v>103</v>
      </c>
      <c r="D4901" s="716">
        <v>147.63</v>
      </c>
    </row>
    <row r="4902" spans="1:4" ht="42">
      <c r="A4902" s="715">
        <v>101892</v>
      </c>
      <c r="B4902" s="633" t="s">
        <v>41134</v>
      </c>
      <c r="C4902" s="715" t="s">
        <v>103</v>
      </c>
      <c r="D4902" s="716">
        <v>67.989999999999995</v>
      </c>
    </row>
    <row r="4903" spans="1:4" ht="42">
      <c r="A4903" s="715">
        <v>93653</v>
      </c>
      <c r="B4903" s="633" t="s">
        <v>41135</v>
      </c>
      <c r="C4903" s="715" t="s">
        <v>103</v>
      </c>
      <c r="D4903" s="716">
        <v>11.76</v>
      </c>
    </row>
    <row r="4904" spans="1:4" ht="42">
      <c r="A4904" s="715">
        <v>93654</v>
      </c>
      <c r="B4904" s="633" t="s">
        <v>41136</v>
      </c>
      <c r="C4904" s="715" t="s">
        <v>103</v>
      </c>
      <c r="D4904" s="716">
        <v>11.76</v>
      </c>
    </row>
    <row r="4905" spans="1:4" ht="42">
      <c r="A4905" s="715">
        <v>93655</v>
      </c>
      <c r="B4905" s="633" t="s">
        <v>41137</v>
      </c>
      <c r="C4905" s="715" t="s">
        <v>103</v>
      </c>
      <c r="D4905" s="716">
        <v>12.98</v>
      </c>
    </row>
    <row r="4906" spans="1:4" ht="42">
      <c r="A4906" s="715">
        <v>93656</v>
      </c>
      <c r="B4906" s="633" t="s">
        <v>41138</v>
      </c>
      <c r="C4906" s="715" t="s">
        <v>103</v>
      </c>
      <c r="D4906" s="716">
        <v>14.34</v>
      </c>
    </row>
    <row r="4907" spans="1:4" ht="42">
      <c r="A4907" s="715">
        <v>93657</v>
      </c>
      <c r="B4907" s="633" t="s">
        <v>41139</v>
      </c>
      <c r="C4907" s="715" t="s">
        <v>103</v>
      </c>
      <c r="D4907" s="716">
        <v>16.5</v>
      </c>
    </row>
    <row r="4908" spans="1:4" ht="42">
      <c r="A4908" s="715">
        <v>93658</v>
      </c>
      <c r="B4908" s="633" t="s">
        <v>41140</v>
      </c>
      <c r="C4908" s="715" t="s">
        <v>103</v>
      </c>
      <c r="D4908" s="716">
        <v>23.58</v>
      </c>
    </row>
    <row r="4909" spans="1:4" ht="42">
      <c r="A4909" s="715">
        <v>93659</v>
      </c>
      <c r="B4909" s="633" t="s">
        <v>41141</v>
      </c>
      <c r="C4909" s="715" t="s">
        <v>103</v>
      </c>
      <c r="D4909" s="716">
        <v>27.84</v>
      </c>
    </row>
    <row r="4910" spans="1:4" ht="42">
      <c r="A4910" s="715">
        <v>101890</v>
      </c>
      <c r="B4910" s="633" t="s">
        <v>41142</v>
      </c>
      <c r="C4910" s="715" t="s">
        <v>103</v>
      </c>
      <c r="D4910" s="716">
        <v>15.32</v>
      </c>
    </row>
    <row r="4911" spans="1:4" ht="42">
      <c r="A4911" s="715">
        <v>101891</v>
      </c>
      <c r="B4911" s="633" t="s">
        <v>41143</v>
      </c>
      <c r="C4911" s="715" t="s">
        <v>103</v>
      </c>
      <c r="D4911" s="716">
        <v>29.04</v>
      </c>
    </row>
    <row r="4912" spans="1:4" ht="42">
      <c r="A4912" s="715">
        <v>101895</v>
      </c>
      <c r="B4912" s="633" t="s">
        <v>41144</v>
      </c>
      <c r="C4912" s="715" t="s">
        <v>103</v>
      </c>
      <c r="D4912" s="716">
        <v>417.03</v>
      </c>
    </row>
    <row r="4913" spans="1:4" ht="42">
      <c r="A4913" s="715">
        <v>101896</v>
      </c>
      <c r="B4913" s="633" t="s">
        <v>41145</v>
      </c>
      <c r="C4913" s="715" t="s">
        <v>103</v>
      </c>
      <c r="D4913" s="716">
        <v>605.42999999999995</v>
      </c>
    </row>
    <row r="4914" spans="1:4" ht="42">
      <c r="A4914" s="715">
        <v>101897</v>
      </c>
      <c r="B4914" s="633" t="s">
        <v>41146</v>
      </c>
      <c r="C4914" s="715" t="s">
        <v>103</v>
      </c>
      <c r="D4914" s="716">
        <v>941.33</v>
      </c>
    </row>
    <row r="4915" spans="1:4" ht="42">
      <c r="A4915" s="715">
        <v>101898</v>
      </c>
      <c r="B4915" s="633" t="s">
        <v>41147</v>
      </c>
      <c r="C4915" s="715" t="s">
        <v>103</v>
      </c>
      <c r="D4915" s="716">
        <v>1243.05</v>
      </c>
    </row>
    <row r="4916" spans="1:4" ht="42">
      <c r="A4916" s="715">
        <v>101899</v>
      </c>
      <c r="B4916" s="633" t="s">
        <v>41148</v>
      </c>
      <c r="C4916" s="715" t="s">
        <v>103</v>
      </c>
      <c r="D4916" s="716">
        <v>1960.72</v>
      </c>
    </row>
    <row r="4917" spans="1:4" ht="42">
      <c r="A4917" s="715">
        <v>93676</v>
      </c>
      <c r="B4917" s="633" t="s">
        <v>41149</v>
      </c>
      <c r="C4917" s="715" t="s">
        <v>103</v>
      </c>
      <c r="D4917" s="716">
        <v>164.47</v>
      </c>
    </row>
    <row r="4918" spans="1:4" ht="42">
      <c r="A4918" s="715">
        <v>97711</v>
      </c>
      <c r="B4918" s="633" t="s">
        <v>41150</v>
      </c>
      <c r="C4918" s="715" t="s">
        <v>103</v>
      </c>
      <c r="D4918" s="716">
        <v>186.28</v>
      </c>
    </row>
    <row r="4919" spans="1:4" ht="28">
      <c r="A4919" s="715">
        <v>106020</v>
      </c>
      <c r="B4919" s="633" t="s">
        <v>41151</v>
      </c>
      <c r="C4919" s="715" t="s">
        <v>103</v>
      </c>
      <c r="D4919" s="716">
        <v>114.71</v>
      </c>
    </row>
    <row r="4920" spans="1:4" ht="28">
      <c r="A4920" s="715">
        <v>106031</v>
      </c>
      <c r="B4920" s="633" t="s">
        <v>41152</v>
      </c>
      <c r="C4920" s="715" t="s">
        <v>103</v>
      </c>
      <c r="D4920" s="716">
        <v>0</v>
      </c>
    </row>
    <row r="4921" spans="1:4" ht="28">
      <c r="A4921" s="715">
        <v>93667</v>
      </c>
      <c r="B4921" s="633" t="s">
        <v>41153</v>
      </c>
      <c r="C4921" s="715" t="s">
        <v>103</v>
      </c>
      <c r="D4921" s="716">
        <v>67.11</v>
      </c>
    </row>
    <row r="4922" spans="1:4" ht="28">
      <c r="A4922" s="715">
        <v>93668</v>
      </c>
      <c r="B4922" s="633" t="s">
        <v>41154</v>
      </c>
      <c r="C4922" s="715" t="s">
        <v>103</v>
      </c>
      <c r="D4922" s="716">
        <v>67.11</v>
      </c>
    </row>
    <row r="4923" spans="1:4" ht="28">
      <c r="A4923" s="715">
        <v>93669</v>
      </c>
      <c r="B4923" s="633" t="s">
        <v>41155</v>
      </c>
      <c r="C4923" s="715" t="s">
        <v>103</v>
      </c>
      <c r="D4923" s="716">
        <v>70.760000000000005</v>
      </c>
    </row>
    <row r="4924" spans="1:4" ht="28">
      <c r="A4924" s="715">
        <v>93670</v>
      </c>
      <c r="B4924" s="633" t="s">
        <v>41156</v>
      </c>
      <c r="C4924" s="715" t="s">
        <v>103</v>
      </c>
      <c r="D4924" s="716">
        <v>74.849999999999994</v>
      </c>
    </row>
    <row r="4925" spans="1:4" ht="28">
      <c r="A4925" s="715">
        <v>93671</v>
      </c>
      <c r="B4925" s="633" t="s">
        <v>41157</v>
      </c>
      <c r="C4925" s="715" t="s">
        <v>103</v>
      </c>
      <c r="D4925" s="716">
        <v>81.11</v>
      </c>
    </row>
    <row r="4926" spans="1:4" ht="28">
      <c r="A4926" s="715">
        <v>93672</v>
      </c>
      <c r="B4926" s="633" t="s">
        <v>41158</v>
      </c>
      <c r="C4926" s="715" t="s">
        <v>103</v>
      </c>
      <c r="D4926" s="716">
        <v>91.12</v>
      </c>
    </row>
    <row r="4927" spans="1:4" ht="28">
      <c r="A4927" s="715">
        <v>93673</v>
      </c>
      <c r="B4927" s="633" t="s">
        <v>41159</v>
      </c>
      <c r="C4927" s="715" t="s">
        <v>103</v>
      </c>
      <c r="D4927" s="716">
        <v>103.91</v>
      </c>
    </row>
    <row r="4928" spans="1:4" ht="42">
      <c r="A4928" s="715">
        <v>101893</v>
      </c>
      <c r="B4928" s="633" t="s">
        <v>41160</v>
      </c>
      <c r="C4928" s="715" t="s">
        <v>103</v>
      </c>
      <c r="D4928" s="716">
        <v>88.07</v>
      </c>
    </row>
    <row r="4929" spans="1:4" ht="42">
      <c r="A4929" s="715">
        <v>101894</v>
      </c>
      <c r="B4929" s="633" t="s">
        <v>41161</v>
      </c>
      <c r="C4929" s="715" t="s">
        <v>103</v>
      </c>
      <c r="D4929" s="716">
        <v>163.34</v>
      </c>
    </row>
    <row r="4930" spans="1:4" ht="28">
      <c r="A4930" s="715">
        <v>106027</v>
      </c>
      <c r="B4930" s="633" t="s">
        <v>41162</v>
      </c>
      <c r="C4930" s="715" t="s">
        <v>103</v>
      </c>
      <c r="D4930" s="716">
        <v>71.319999999999993</v>
      </c>
    </row>
    <row r="4931" spans="1:4" ht="28">
      <c r="A4931" s="715">
        <v>106028</v>
      </c>
      <c r="B4931" s="633" t="s">
        <v>41163</v>
      </c>
      <c r="C4931" s="715" t="s">
        <v>103</v>
      </c>
      <c r="D4931" s="716">
        <v>0</v>
      </c>
    </row>
    <row r="4932" spans="1:4" ht="28">
      <c r="A4932" s="715">
        <v>106029</v>
      </c>
      <c r="B4932" s="633" t="s">
        <v>41164</v>
      </c>
      <c r="C4932" s="715" t="s">
        <v>103</v>
      </c>
      <c r="D4932" s="716">
        <v>0</v>
      </c>
    </row>
    <row r="4933" spans="1:4" ht="28">
      <c r="A4933" s="715">
        <v>97421</v>
      </c>
      <c r="B4933" s="633" t="s">
        <v>41165</v>
      </c>
      <c r="C4933" s="715" t="s">
        <v>103</v>
      </c>
      <c r="D4933" s="716">
        <v>0</v>
      </c>
    </row>
    <row r="4934" spans="1:4" ht="28">
      <c r="A4934" s="715">
        <v>97373</v>
      </c>
      <c r="B4934" s="633" t="s">
        <v>41166</v>
      </c>
      <c r="C4934" s="715" t="s">
        <v>165</v>
      </c>
      <c r="D4934" s="716">
        <v>0</v>
      </c>
    </row>
    <row r="4935" spans="1:4" ht="28">
      <c r="A4935" s="715">
        <v>97374</v>
      </c>
      <c r="B4935" s="633" t="s">
        <v>41167</v>
      </c>
      <c r="C4935" s="715" t="s">
        <v>165</v>
      </c>
      <c r="D4935" s="716">
        <v>0</v>
      </c>
    </row>
    <row r="4936" spans="1:4" ht="28">
      <c r="A4936" s="715">
        <v>97375</v>
      </c>
      <c r="B4936" s="633" t="s">
        <v>41168</v>
      </c>
      <c r="C4936" s="715" t="s">
        <v>165</v>
      </c>
      <c r="D4936" s="716">
        <v>0</v>
      </c>
    </row>
    <row r="4937" spans="1:4" ht="28">
      <c r="A4937" s="715">
        <v>97376</v>
      </c>
      <c r="B4937" s="633" t="s">
        <v>41169</v>
      </c>
      <c r="C4937" s="715" t="s">
        <v>165</v>
      </c>
      <c r="D4937" s="716">
        <v>0</v>
      </c>
    </row>
    <row r="4938" spans="1:4" ht="28">
      <c r="A4938" s="715">
        <v>97377</v>
      </c>
      <c r="B4938" s="633" t="s">
        <v>41170</v>
      </c>
      <c r="C4938" s="715" t="s">
        <v>165</v>
      </c>
      <c r="D4938" s="716">
        <v>0</v>
      </c>
    </row>
    <row r="4939" spans="1:4" ht="28">
      <c r="A4939" s="715">
        <v>97368</v>
      </c>
      <c r="B4939" s="633" t="s">
        <v>41171</v>
      </c>
      <c r="C4939" s="715" t="s">
        <v>165</v>
      </c>
      <c r="D4939" s="716">
        <v>0</v>
      </c>
    </row>
    <row r="4940" spans="1:4" ht="28">
      <c r="A4940" s="715">
        <v>97369</v>
      </c>
      <c r="B4940" s="633" t="s">
        <v>41172</v>
      </c>
      <c r="C4940" s="715" t="s">
        <v>165</v>
      </c>
      <c r="D4940" s="716">
        <v>0</v>
      </c>
    </row>
    <row r="4941" spans="1:4" ht="28">
      <c r="A4941" s="715">
        <v>97370</v>
      </c>
      <c r="B4941" s="633" t="s">
        <v>41173</v>
      </c>
      <c r="C4941" s="715" t="s">
        <v>165</v>
      </c>
      <c r="D4941" s="716">
        <v>0</v>
      </c>
    </row>
    <row r="4942" spans="1:4" ht="28">
      <c r="A4942" s="715">
        <v>97371</v>
      </c>
      <c r="B4942" s="633" t="s">
        <v>41174</v>
      </c>
      <c r="C4942" s="715" t="s">
        <v>165</v>
      </c>
      <c r="D4942" s="716">
        <v>0</v>
      </c>
    </row>
    <row r="4943" spans="1:4" ht="28">
      <c r="A4943" s="715">
        <v>97372</v>
      </c>
      <c r="B4943" s="633" t="s">
        <v>41175</v>
      </c>
      <c r="C4943" s="715" t="s">
        <v>165</v>
      </c>
      <c r="D4943" s="716">
        <v>0</v>
      </c>
    </row>
    <row r="4944" spans="1:4" ht="56">
      <c r="A4944" s="715">
        <v>101875</v>
      </c>
      <c r="B4944" s="633" t="s">
        <v>41176</v>
      </c>
      <c r="C4944" s="715" t="s">
        <v>103</v>
      </c>
      <c r="D4944" s="716">
        <v>442.42</v>
      </c>
    </row>
    <row r="4945" spans="1:4" ht="56">
      <c r="A4945" s="715">
        <v>101883</v>
      </c>
      <c r="B4945" s="633" t="s">
        <v>41177</v>
      </c>
      <c r="C4945" s="715" t="s">
        <v>103</v>
      </c>
      <c r="D4945" s="716">
        <v>587.45000000000005</v>
      </c>
    </row>
    <row r="4946" spans="1:4" ht="56">
      <c r="A4946" s="715">
        <v>101879</v>
      </c>
      <c r="B4946" s="633" t="s">
        <v>41178</v>
      </c>
      <c r="C4946" s="715" t="s">
        <v>103</v>
      </c>
      <c r="D4946" s="716">
        <v>611.21</v>
      </c>
    </row>
    <row r="4947" spans="1:4" ht="56">
      <c r="A4947" s="715">
        <v>106021</v>
      </c>
      <c r="B4947" s="633" t="s">
        <v>41179</v>
      </c>
      <c r="C4947" s="715" t="s">
        <v>103</v>
      </c>
      <c r="D4947" s="716">
        <v>0</v>
      </c>
    </row>
    <row r="4948" spans="1:4" ht="56">
      <c r="A4948" s="715">
        <v>101880</v>
      </c>
      <c r="B4948" s="633" t="s">
        <v>41180</v>
      </c>
      <c r="C4948" s="715" t="s">
        <v>103</v>
      </c>
      <c r="D4948" s="716">
        <v>713.92</v>
      </c>
    </row>
    <row r="4949" spans="1:4" ht="56">
      <c r="A4949" s="715">
        <v>101882</v>
      </c>
      <c r="B4949" s="633" t="s">
        <v>41181</v>
      </c>
      <c r="C4949" s="715" t="s">
        <v>103</v>
      </c>
      <c r="D4949" s="716">
        <v>1311.33</v>
      </c>
    </row>
    <row r="4950" spans="1:4" ht="56">
      <c r="A4950" s="715">
        <v>106022</v>
      </c>
      <c r="B4950" s="633" t="s">
        <v>41182</v>
      </c>
      <c r="C4950" s="715" t="s">
        <v>103</v>
      </c>
      <c r="D4950" s="716">
        <v>0</v>
      </c>
    </row>
    <row r="4951" spans="1:4" ht="56">
      <c r="A4951" s="715">
        <v>101881</v>
      </c>
      <c r="B4951" s="633" t="s">
        <v>41183</v>
      </c>
      <c r="C4951" s="715" t="s">
        <v>103</v>
      </c>
      <c r="D4951" s="716">
        <v>966.24</v>
      </c>
    </row>
    <row r="4952" spans="1:4" ht="56">
      <c r="A4952" s="715">
        <v>106023</v>
      </c>
      <c r="B4952" s="633" t="s">
        <v>41184</v>
      </c>
      <c r="C4952" s="715" t="s">
        <v>103</v>
      </c>
      <c r="D4952" s="716">
        <v>0</v>
      </c>
    </row>
    <row r="4953" spans="1:4" ht="56">
      <c r="A4953" s="715">
        <v>101878</v>
      </c>
      <c r="B4953" s="633" t="s">
        <v>41185</v>
      </c>
      <c r="C4953" s="715" t="s">
        <v>103</v>
      </c>
      <c r="D4953" s="716">
        <v>437.83</v>
      </c>
    </row>
    <row r="4954" spans="1:4" ht="56">
      <c r="A4954" s="715">
        <v>106024</v>
      </c>
      <c r="B4954" s="633" t="s">
        <v>41186</v>
      </c>
      <c r="C4954" s="715" t="s">
        <v>103</v>
      </c>
      <c r="D4954" s="716">
        <v>0</v>
      </c>
    </row>
    <row r="4955" spans="1:4" ht="56">
      <c r="A4955" s="715">
        <v>106025</v>
      </c>
      <c r="B4955" s="633" t="s">
        <v>41187</v>
      </c>
      <c r="C4955" s="715" t="s">
        <v>103</v>
      </c>
      <c r="D4955" s="716">
        <v>0</v>
      </c>
    </row>
    <row r="4956" spans="1:4" ht="56">
      <c r="A4956" s="715">
        <v>106026</v>
      </c>
      <c r="B4956" s="633" t="s">
        <v>41188</v>
      </c>
      <c r="C4956" s="715" t="s">
        <v>103</v>
      </c>
      <c r="D4956" s="716">
        <v>0</v>
      </c>
    </row>
    <row r="4957" spans="1:4" ht="42">
      <c r="A4957" s="715">
        <v>101877</v>
      </c>
      <c r="B4957" s="633" t="s">
        <v>41189</v>
      </c>
      <c r="C4957" s="715" t="s">
        <v>103</v>
      </c>
      <c r="D4957" s="716">
        <v>95.31</v>
      </c>
    </row>
    <row r="4958" spans="1:4" ht="42">
      <c r="A4958" s="715">
        <v>101876</v>
      </c>
      <c r="B4958" s="633" t="s">
        <v>41190</v>
      </c>
      <c r="C4958" s="715" t="s">
        <v>103</v>
      </c>
      <c r="D4958" s="716">
        <v>127.03</v>
      </c>
    </row>
    <row r="4959" spans="1:4" ht="42">
      <c r="A4959" s="715">
        <v>101873</v>
      </c>
      <c r="B4959" s="633" t="s">
        <v>41191</v>
      </c>
      <c r="C4959" s="715" t="s">
        <v>103</v>
      </c>
      <c r="D4959" s="716">
        <v>0</v>
      </c>
    </row>
    <row r="4960" spans="1:4" ht="42">
      <c r="A4960" s="715">
        <v>101874</v>
      </c>
      <c r="B4960" s="633" t="s">
        <v>41192</v>
      </c>
      <c r="C4960" s="715" t="s">
        <v>103</v>
      </c>
      <c r="D4960" s="716">
        <v>0</v>
      </c>
    </row>
    <row r="4961" spans="1:4" ht="42">
      <c r="A4961" s="715">
        <v>101871</v>
      </c>
      <c r="B4961" s="633" t="s">
        <v>41193</v>
      </c>
      <c r="C4961" s="715" t="s">
        <v>103</v>
      </c>
      <c r="D4961" s="716">
        <v>0</v>
      </c>
    </row>
    <row r="4962" spans="1:4" ht="42">
      <c r="A4962" s="715">
        <v>101872</v>
      </c>
      <c r="B4962" s="633" t="s">
        <v>41194</v>
      </c>
      <c r="C4962" s="715" t="s">
        <v>103</v>
      </c>
      <c r="D4962" s="716">
        <v>0</v>
      </c>
    </row>
    <row r="4963" spans="1:4" ht="42">
      <c r="A4963" s="715">
        <v>97360</v>
      </c>
      <c r="B4963" s="633" t="s">
        <v>41195</v>
      </c>
      <c r="C4963" s="715" t="s">
        <v>103</v>
      </c>
      <c r="D4963" s="716">
        <v>6419.16</v>
      </c>
    </row>
    <row r="4964" spans="1:4" ht="42">
      <c r="A4964" s="715">
        <v>97361</v>
      </c>
      <c r="B4964" s="633" t="s">
        <v>41196</v>
      </c>
      <c r="C4964" s="715" t="s">
        <v>103</v>
      </c>
      <c r="D4964" s="716">
        <v>8558.89</v>
      </c>
    </row>
    <row r="4965" spans="1:4" ht="42">
      <c r="A4965" s="715">
        <v>97359</v>
      </c>
      <c r="B4965" s="633" t="s">
        <v>41197</v>
      </c>
      <c r="C4965" s="715" t="s">
        <v>103</v>
      </c>
      <c r="D4965" s="716">
        <v>3355.78</v>
      </c>
    </row>
    <row r="4966" spans="1:4" ht="42">
      <c r="A4966" s="715">
        <v>101946</v>
      </c>
      <c r="B4966" s="633" t="s">
        <v>41198</v>
      </c>
      <c r="C4966" s="715" t="s">
        <v>103</v>
      </c>
      <c r="D4966" s="716">
        <v>116.92</v>
      </c>
    </row>
    <row r="4967" spans="1:4" ht="42">
      <c r="A4967" s="715">
        <v>97362</v>
      </c>
      <c r="B4967" s="633" t="s">
        <v>41199</v>
      </c>
      <c r="C4967" s="715" t="s">
        <v>103</v>
      </c>
      <c r="D4967" s="716">
        <v>1634.37</v>
      </c>
    </row>
    <row r="4968" spans="1:4" ht="42">
      <c r="A4968" s="715">
        <v>101553</v>
      </c>
      <c r="B4968" s="633" t="s">
        <v>42924</v>
      </c>
      <c r="C4968" s="715" t="s">
        <v>103</v>
      </c>
      <c r="D4968" s="716">
        <v>16.97</v>
      </c>
    </row>
    <row r="4969" spans="1:4" ht="42">
      <c r="A4969" s="715">
        <v>101554</v>
      </c>
      <c r="B4969" s="633" t="s">
        <v>42925</v>
      </c>
      <c r="C4969" s="715" t="s">
        <v>103</v>
      </c>
      <c r="D4969" s="716">
        <v>13.17</v>
      </c>
    </row>
    <row r="4970" spans="1:4" ht="42">
      <c r="A4970" s="715">
        <v>101555</v>
      </c>
      <c r="B4970" s="633" t="s">
        <v>42926</v>
      </c>
      <c r="C4970" s="715" t="s">
        <v>103</v>
      </c>
      <c r="D4970" s="716">
        <v>9.7100000000000009</v>
      </c>
    </row>
    <row r="4971" spans="1:4" ht="42">
      <c r="A4971" s="715">
        <v>101556</v>
      </c>
      <c r="B4971" s="633" t="s">
        <v>42927</v>
      </c>
      <c r="C4971" s="715" t="s">
        <v>103</v>
      </c>
      <c r="D4971" s="716">
        <v>9.16</v>
      </c>
    </row>
    <row r="4972" spans="1:4" ht="42">
      <c r="A4972" s="715">
        <v>101537</v>
      </c>
      <c r="B4972" s="633" t="s">
        <v>42928</v>
      </c>
      <c r="C4972" s="715" t="s">
        <v>103</v>
      </c>
      <c r="D4972" s="716">
        <v>110.04</v>
      </c>
    </row>
    <row r="4973" spans="1:4" ht="28">
      <c r="A4973" s="715">
        <v>101538</v>
      </c>
      <c r="B4973" s="633" t="s">
        <v>42929</v>
      </c>
      <c r="C4973" s="715" t="s">
        <v>103</v>
      </c>
      <c r="D4973" s="716">
        <v>47.34</v>
      </c>
    </row>
    <row r="4974" spans="1:4" ht="42">
      <c r="A4974" s="715">
        <v>101542</v>
      </c>
      <c r="B4974" s="633" t="s">
        <v>42930</v>
      </c>
      <c r="C4974" s="715" t="s">
        <v>103</v>
      </c>
      <c r="D4974" s="716">
        <v>36.590000000000003</v>
      </c>
    </row>
    <row r="4975" spans="1:4" ht="42">
      <c r="A4975" s="715">
        <v>101539</v>
      </c>
      <c r="B4975" s="633" t="s">
        <v>42931</v>
      </c>
      <c r="C4975" s="715" t="s">
        <v>103</v>
      </c>
      <c r="D4975" s="716">
        <v>81.33</v>
      </c>
    </row>
    <row r="4976" spans="1:4" ht="42">
      <c r="A4976" s="715">
        <v>101543</v>
      </c>
      <c r="B4976" s="633" t="s">
        <v>42932</v>
      </c>
      <c r="C4976" s="715" t="s">
        <v>103</v>
      </c>
      <c r="D4976" s="716">
        <v>66.72</v>
      </c>
    </row>
    <row r="4977" spans="1:4" ht="42">
      <c r="A4977" s="715">
        <v>101540</v>
      </c>
      <c r="B4977" s="633" t="s">
        <v>42933</v>
      </c>
      <c r="C4977" s="715" t="s">
        <v>103</v>
      </c>
      <c r="D4977" s="716">
        <v>133.88</v>
      </c>
    </row>
    <row r="4978" spans="1:4" ht="42">
      <c r="A4978" s="715">
        <v>101544</v>
      </c>
      <c r="B4978" s="633" t="s">
        <v>42934</v>
      </c>
      <c r="C4978" s="715" t="s">
        <v>103</v>
      </c>
      <c r="D4978" s="716">
        <v>105.24</v>
      </c>
    </row>
    <row r="4979" spans="1:4" ht="42">
      <c r="A4979" s="715">
        <v>101541</v>
      </c>
      <c r="B4979" s="633" t="s">
        <v>42935</v>
      </c>
      <c r="C4979" s="715" t="s">
        <v>103</v>
      </c>
      <c r="D4979" s="716">
        <v>175.39</v>
      </c>
    </row>
    <row r="4980" spans="1:4" ht="42">
      <c r="A4980" s="715">
        <v>101545</v>
      </c>
      <c r="B4980" s="633" t="s">
        <v>42936</v>
      </c>
      <c r="C4980" s="715" t="s">
        <v>103</v>
      </c>
      <c r="D4980" s="716">
        <v>150.08000000000001</v>
      </c>
    </row>
    <row r="4981" spans="1:4" ht="56">
      <c r="A4981" s="715">
        <v>106502</v>
      </c>
      <c r="B4981" s="633" t="s">
        <v>42937</v>
      </c>
      <c r="C4981" s="715" t="s">
        <v>165</v>
      </c>
      <c r="D4981" s="716">
        <v>13.03</v>
      </c>
    </row>
    <row r="4982" spans="1:4" ht="56">
      <c r="A4982" s="715">
        <v>106503</v>
      </c>
      <c r="B4982" s="633" t="s">
        <v>42938</v>
      </c>
      <c r="C4982" s="715" t="s">
        <v>165</v>
      </c>
      <c r="D4982" s="716">
        <v>8.2200000000000006</v>
      </c>
    </row>
    <row r="4983" spans="1:4" ht="56">
      <c r="A4983" s="715">
        <v>106504</v>
      </c>
      <c r="B4983" s="633" t="s">
        <v>42939</v>
      </c>
      <c r="C4983" s="715" t="s">
        <v>165</v>
      </c>
      <c r="D4983" s="716">
        <v>16.43</v>
      </c>
    </row>
    <row r="4984" spans="1:4" ht="56">
      <c r="A4984" s="715">
        <v>106505</v>
      </c>
      <c r="B4984" s="633" t="s">
        <v>42940</v>
      </c>
      <c r="C4984" s="715" t="s">
        <v>165</v>
      </c>
      <c r="D4984" s="716">
        <v>5.34</v>
      </c>
    </row>
    <row r="4985" spans="1:4" ht="56">
      <c r="A4985" s="715">
        <v>106526</v>
      </c>
      <c r="B4985" s="633" t="s">
        <v>42941</v>
      </c>
      <c r="C4985" s="715" t="s">
        <v>165</v>
      </c>
      <c r="D4985" s="716">
        <v>0</v>
      </c>
    </row>
    <row r="4986" spans="1:4" ht="56">
      <c r="A4986" s="715">
        <v>106506</v>
      </c>
      <c r="B4986" s="633" t="s">
        <v>42942</v>
      </c>
      <c r="C4986" s="715" t="s">
        <v>165</v>
      </c>
      <c r="D4986" s="716">
        <v>10.050000000000001</v>
      </c>
    </row>
    <row r="4987" spans="1:4" ht="56">
      <c r="A4987" s="715">
        <v>106507</v>
      </c>
      <c r="B4987" s="633" t="s">
        <v>42943</v>
      </c>
      <c r="C4987" s="715" t="s">
        <v>165</v>
      </c>
      <c r="D4987" s="716">
        <v>6.45</v>
      </c>
    </row>
    <row r="4988" spans="1:4" ht="56">
      <c r="A4988" s="715">
        <v>106508</v>
      </c>
      <c r="B4988" s="633" t="s">
        <v>42944</v>
      </c>
      <c r="C4988" s="715" t="s">
        <v>165</v>
      </c>
      <c r="D4988" s="716">
        <v>12.7</v>
      </c>
    </row>
    <row r="4989" spans="1:4" ht="56">
      <c r="A4989" s="715">
        <v>106509</v>
      </c>
      <c r="B4989" s="633" t="s">
        <v>42945</v>
      </c>
      <c r="C4989" s="715" t="s">
        <v>165</v>
      </c>
      <c r="D4989" s="716">
        <v>4.21</v>
      </c>
    </row>
    <row r="4990" spans="1:4" ht="56">
      <c r="A4990" s="715">
        <v>106527</v>
      </c>
      <c r="B4990" s="633" t="s">
        <v>42946</v>
      </c>
      <c r="C4990" s="715" t="s">
        <v>165</v>
      </c>
      <c r="D4990" s="716">
        <v>0</v>
      </c>
    </row>
    <row r="4991" spans="1:4" ht="56">
      <c r="A4991" s="715">
        <v>106499</v>
      </c>
      <c r="B4991" s="633" t="s">
        <v>42947</v>
      </c>
      <c r="C4991" s="715" t="s">
        <v>165</v>
      </c>
      <c r="D4991" s="716">
        <v>0</v>
      </c>
    </row>
    <row r="4992" spans="1:4" ht="56">
      <c r="A4992" s="715">
        <v>106500</v>
      </c>
      <c r="B4992" s="633" t="s">
        <v>42948</v>
      </c>
      <c r="C4992" s="715" t="s">
        <v>165</v>
      </c>
      <c r="D4992" s="716">
        <v>0</v>
      </c>
    </row>
    <row r="4993" spans="1:4" ht="56">
      <c r="A4993" s="715">
        <v>106501</v>
      </c>
      <c r="B4993" s="633" t="s">
        <v>42949</v>
      </c>
      <c r="C4993" s="715" t="s">
        <v>165</v>
      </c>
      <c r="D4993" s="716">
        <v>0</v>
      </c>
    </row>
    <row r="4994" spans="1:4" ht="56">
      <c r="A4994" s="715">
        <v>101560</v>
      </c>
      <c r="B4994" s="633" t="s">
        <v>42950</v>
      </c>
      <c r="C4994" s="715" t="s">
        <v>165</v>
      </c>
      <c r="D4994" s="716">
        <v>11.81</v>
      </c>
    </row>
    <row r="4995" spans="1:4" ht="56">
      <c r="A4995" s="715">
        <v>101568</v>
      </c>
      <c r="B4995" s="633" t="s">
        <v>42951</v>
      </c>
      <c r="C4995" s="715" t="s">
        <v>165</v>
      </c>
      <c r="D4995" s="716">
        <v>143.38999999999999</v>
      </c>
    </row>
    <row r="4996" spans="1:4" ht="56">
      <c r="A4996" s="715">
        <v>101561</v>
      </c>
      <c r="B4996" s="633" t="s">
        <v>42952</v>
      </c>
      <c r="C4996" s="715" t="s">
        <v>165</v>
      </c>
      <c r="D4996" s="716">
        <v>18.72</v>
      </c>
    </row>
    <row r="4997" spans="1:4" ht="56">
      <c r="A4997" s="715">
        <v>101562</v>
      </c>
      <c r="B4997" s="633" t="s">
        <v>42953</v>
      </c>
      <c r="C4997" s="715" t="s">
        <v>165</v>
      </c>
      <c r="D4997" s="716">
        <v>28.98</v>
      </c>
    </row>
    <row r="4998" spans="1:4" ht="56">
      <c r="A4998" s="715">
        <v>101563</v>
      </c>
      <c r="B4998" s="633" t="s">
        <v>42954</v>
      </c>
      <c r="C4998" s="715" t="s">
        <v>165</v>
      </c>
      <c r="D4998" s="716">
        <v>40.909999999999997</v>
      </c>
    </row>
    <row r="4999" spans="1:4" ht="56">
      <c r="A4999" s="715">
        <v>101564</v>
      </c>
      <c r="B4999" s="633" t="s">
        <v>42955</v>
      </c>
      <c r="C4999" s="715" t="s">
        <v>165</v>
      </c>
      <c r="D4999" s="716">
        <v>60.43</v>
      </c>
    </row>
    <row r="5000" spans="1:4" ht="56">
      <c r="A5000" s="715">
        <v>101565</v>
      </c>
      <c r="B5000" s="633" t="s">
        <v>42956</v>
      </c>
      <c r="C5000" s="715" t="s">
        <v>165</v>
      </c>
      <c r="D5000" s="716">
        <v>84.49</v>
      </c>
    </row>
    <row r="5001" spans="1:4" ht="56">
      <c r="A5001" s="715">
        <v>101567</v>
      </c>
      <c r="B5001" s="633" t="s">
        <v>42957</v>
      </c>
      <c r="C5001" s="715" t="s">
        <v>165</v>
      </c>
      <c r="D5001" s="716">
        <v>109.68</v>
      </c>
    </row>
    <row r="5002" spans="1:4" ht="28">
      <c r="A5002" s="715">
        <v>106524</v>
      </c>
      <c r="B5002" s="633" t="s">
        <v>42958</v>
      </c>
      <c r="C5002" s="715" t="s">
        <v>165</v>
      </c>
      <c r="D5002" s="716">
        <v>0</v>
      </c>
    </row>
    <row r="5003" spans="1:4" ht="56">
      <c r="A5003" s="715">
        <v>106525</v>
      </c>
      <c r="B5003" s="633" t="s">
        <v>42959</v>
      </c>
      <c r="C5003" s="715" t="s">
        <v>103</v>
      </c>
      <c r="D5003" s="716">
        <v>0</v>
      </c>
    </row>
    <row r="5004" spans="1:4" ht="42">
      <c r="A5004" s="715">
        <v>101551</v>
      </c>
      <c r="B5004" s="633" t="s">
        <v>42960</v>
      </c>
      <c r="C5004" s="715" t="s">
        <v>103</v>
      </c>
      <c r="D5004" s="716">
        <v>0</v>
      </c>
    </row>
    <row r="5005" spans="1:4" ht="42">
      <c r="A5005" s="715">
        <v>101552</v>
      </c>
      <c r="B5005" s="633" t="s">
        <v>42961</v>
      </c>
      <c r="C5005" s="715" t="s">
        <v>103</v>
      </c>
      <c r="D5005" s="716">
        <v>0</v>
      </c>
    </row>
    <row r="5006" spans="1:4" ht="42">
      <c r="A5006" s="715">
        <v>101550</v>
      </c>
      <c r="B5006" s="633" t="s">
        <v>42962</v>
      </c>
      <c r="C5006" s="715" t="s">
        <v>103</v>
      </c>
      <c r="D5006" s="716">
        <v>0</v>
      </c>
    </row>
    <row r="5007" spans="1:4" ht="56">
      <c r="A5007" s="715">
        <v>101501</v>
      </c>
      <c r="B5007" s="633" t="s">
        <v>42963</v>
      </c>
      <c r="C5007" s="715" t="s">
        <v>103</v>
      </c>
      <c r="D5007" s="716">
        <v>2059.4499999999998</v>
      </c>
    </row>
    <row r="5008" spans="1:4" ht="56">
      <c r="A5008" s="715">
        <v>101502</v>
      </c>
      <c r="B5008" s="633" t="s">
        <v>42964</v>
      </c>
      <c r="C5008" s="715" t="s">
        <v>103</v>
      </c>
      <c r="D5008" s="716">
        <v>2247.4299999999998</v>
      </c>
    </row>
    <row r="5009" spans="1:4" ht="56">
      <c r="A5009" s="715">
        <v>101503</v>
      </c>
      <c r="B5009" s="633" t="s">
        <v>42965</v>
      </c>
      <c r="C5009" s="715" t="s">
        <v>103</v>
      </c>
      <c r="D5009" s="716">
        <v>2275.23</v>
      </c>
    </row>
    <row r="5010" spans="1:4" ht="56">
      <c r="A5010" s="715">
        <v>101504</v>
      </c>
      <c r="B5010" s="633" t="s">
        <v>42966</v>
      </c>
      <c r="C5010" s="715" t="s">
        <v>103</v>
      </c>
      <c r="D5010" s="716">
        <v>2515.6799999999998</v>
      </c>
    </row>
    <row r="5011" spans="1:4" ht="56">
      <c r="A5011" s="715">
        <v>101497</v>
      </c>
      <c r="B5011" s="633" t="s">
        <v>42967</v>
      </c>
      <c r="C5011" s="715" t="s">
        <v>103</v>
      </c>
      <c r="D5011" s="716">
        <v>2075.38</v>
      </c>
    </row>
    <row r="5012" spans="1:4" ht="56">
      <c r="A5012" s="715">
        <v>101498</v>
      </c>
      <c r="B5012" s="633" t="s">
        <v>42968</v>
      </c>
      <c r="C5012" s="715" t="s">
        <v>103</v>
      </c>
      <c r="D5012" s="716">
        <v>2263.36</v>
      </c>
    </row>
    <row r="5013" spans="1:4" ht="56">
      <c r="A5013" s="715">
        <v>101499</v>
      </c>
      <c r="B5013" s="633" t="s">
        <v>42969</v>
      </c>
      <c r="C5013" s="715" t="s">
        <v>103</v>
      </c>
      <c r="D5013" s="716">
        <v>2291.16</v>
      </c>
    </row>
    <row r="5014" spans="1:4" ht="56">
      <c r="A5014" s="715">
        <v>101500</v>
      </c>
      <c r="B5014" s="633" t="s">
        <v>42970</v>
      </c>
      <c r="C5014" s="715" t="s">
        <v>103</v>
      </c>
      <c r="D5014" s="716">
        <v>2531.61</v>
      </c>
    </row>
    <row r="5015" spans="1:4" ht="56">
      <c r="A5015" s="715">
        <v>101493</v>
      </c>
      <c r="B5015" s="633" t="s">
        <v>42971</v>
      </c>
      <c r="C5015" s="715" t="s">
        <v>103</v>
      </c>
      <c r="D5015" s="716">
        <v>1784.53</v>
      </c>
    </row>
    <row r="5016" spans="1:4" ht="56">
      <c r="A5016" s="715">
        <v>101494</v>
      </c>
      <c r="B5016" s="633" t="s">
        <v>42972</v>
      </c>
      <c r="C5016" s="715" t="s">
        <v>103</v>
      </c>
      <c r="D5016" s="716">
        <v>1908.72</v>
      </c>
    </row>
    <row r="5017" spans="1:4" ht="56">
      <c r="A5017" s="715">
        <v>101495</v>
      </c>
      <c r="B5017" s="633" t="s">
        <v>42973</v>
      </c>
      <c r="C5017" s="715" t="s">
        <v>103</v>
      </c>
      <c r="D5017" s="716">
        <v>1927.09</v>
      </c>
    </row>
    <row r="5018" spans="1:4" ht="56">
      <c r="A5018" s="715">
        <v>101496</v>
      </c>
      <c r="B5018" s="633" t="s">
        <v>42974</v>
      </c>
      <c r="C5018" s="715" t="s">
        <v>103</v>
      </c>
      <c r="D5018" s="716">
        <v>2097.81</v>
      </c>
    </row>
    <row r="5019" spans="1:4" ht="56">
      <c r="A5019" s="715">
        <v>101489</v>
      </c>
      <c r="B5019" s="633" t="s">
        <v>42975</v>
      </c>
      <c r="C5019" s="715" t="s">
        <v>103</v>
      </c>
      <c r="D5019" s="716">
        <v>1810.01</v>
      </c>
    </row>
    <row r="5020" spans="1:4" ht="56">
      <c r="A5020" s="715">
        <v>101490</v>
      </c>
      <c r="B5020" s="633" t="s">
        <v>42976</v>
      </c>
      <c r="C5020" s="715" t="s">
        <v>103</v>
      </c>
      <c r="D5020" s="716">
        <v>1934.2</v>
      </c>
    </row>
    <row r="5021" spans="1:4" ht="56">
      <c r="A5021" s="715">
        <v>101491</v>
      </c>
      <c r="B5021" s="633" t="s">
        <v>42977</v>
      </c>
      <c r="C5021" s="715" t="s">
        <v>103</v>
      </c>
      <c r="D5021" s="716">
        <v>1952.57</v>
      </c>
    </row>
    <row r="5022" spans="1:4" ht="56">
      <c r="A5022" s="715">
        <v>101492</v>
      </c>
      <c r="B5022" s="633" t="s">
        <v>42978</v>
      </c>
      <c r="C5022" s="715" t="s">
        <v>103</v>
      </c>
      <c r="D5022" s="716">
        <v>2123.29</v>
      </c>
    </row>
    <row r="5023" spans="1:4" ht="56">
      <c r="A5023" s="715">
        <v>101509</v>
      </c>
      <c r="B5023" s="633" t="s">
        <v>42979</v>
      </c>
      <c r="C5023" s="715" t="s">
        <v>103</v>
      </c>
      <c r="D5023" s="716">
        <v>2260.06</v>
      </c>
    </row>
    <row r="5024" spans="1:4" ht="56">
      <c r="A5024" s="715">
        <v>101510</v>
      </c>
      <c r="B5024" s="633" t="s">
        <v>42980</v>
      </c>
      <c r="C5024" s="715" t="s">
        <v>103</v>
      </c>
      <c r="D5024" s="716">
        <v>2510.6999999999998</v>
      </c>
    </row>
    <row r="5025" spans="1:4" ht="56">
      <c r="A5025" s="715">
        <v>101511</v>
      </c>
      <c r="B5025" s="633" t="s">
        <v>42981</v>
      </c>
      <c r="C5025" s="715" t="s">
        <v>103</v>
      </c>
      <c r="D5025" s="716">
        <v>2547.77</v>
      </c>
    </row>
    <row r="5026" spans="1:4" ht="56">
      <c r="A5026" s="715">
        <v>101512</v>
      </c>
      <c r="B5026" s="633" t="s">
        <v>42982</v>
      </c>
      <c r="C5026" s="715" t="s">
        <v>103</v>
      </c>
      <c r="D5026" s="716">
        <v>2856.7</v>
      </c>
    </row>
    <row r="5027" spans="1:4" ht="56">
      <c r="A5027" s="715">
        <v>101505</v>
      </c>
      <c r="B5027" s="633" t="s">
        <v>42983</v>
      </c>
      <c r="C5027" s="715" t="s">
        <v>103</v>
      </c>
      <c r="D5027" s="716">
        <v>2213.81</v>
      </c>
    </row>
    <row r="5028" spans="1:4" ht="56">
      <c r="A5028" s="715">
        <v>101506</v>
      </c>
      <c r="B5028" s="633" t="s">
        <v>42984</v>
      </c>
      <c r="C5028" s="715" t="s">
        <v>103</v>
      </c>
      <c r="D5028" s="716">
        <v>2464.4499999999998</v>
      </c>
    </row>
    <row r="5029" spans="1:4" ht="56">
      <c r="A5029" s="715">
        <v>101507</v>
      </c>
      <c r="B5029" s="633" t="s">
        <v>42985</v>
      </c>
      <c r="C5029" s="715" t="s">
        <v>103</v>
      </c>
      <c r="D5029" s="716">
        <v>2501.52</v>
      </c>
    </row>
    <row r="5030" spans="1:4" ht="56">
      <c r="A5030" s="715">
        <v>101508</v>
      </c>
      <c r="B5030" s="633" t="s">
        <v>42986</v>
      </c>
      <c r="C5030" s="715" t="s">
        <v>103</v>
      </c>
      <c r="D5030" s="716">
        <v>2810.45</v>
      </c>
    </row>
    <row r="5031" spans="1:4" ht="56">
      <c r="A5031" s="715">
        <v>101525</v>
      </c>
      <c r="B5031" s="633" t="s">
        <v>42987</v>
      </c>
      <c r="C5031" s="715" t="s">
        <v>103</v>
      </c>
      <c r="D5031" s="716">
        <v>1185.3399999999999</v>
      </c>
    </row>
    <row r="5032" spans="1:4" ht="56">
      <c r="A5032" s="715">
        <v>101526</v>
      </c>
      <c r="B5032" s="633" t="s">
        <v>42988</v>
      </c>
      <c r="C5032" s="715" t="s">
        <v>103</v>
      </c>
      <c r="D5032" s="716">
        <v>1408.88</v>
      </c>
    </row>
    <row r="5033" spans="1:4" ht="56">
      <c r="A5033" s="715">
        <v>101527</v>
      </c>
      <c r="B5033" s="633" t="s">
        <v>42989</v>
      </c>
      <c r="C5033" s="715" t="s">
        <v>103</v>
      </c>
      <c r="D5033" s="716">
        <v>1441.95</v>
      </c>
    </row>
    <row r="5034" spans="1:4" ht="56">
      <c r="A5034" s="715">
        <v>101528</v>
      </c>
      <c r="B5034" s="633" t="s">
        <v>42990</v>
      </c>
      <c r="C5034" s="715" t="s">
        <v>103</v>
      </c>
      <c r="D5034" s="716">
        <v>1686.28</v>
      </c>
    </row>
    <row r="5035" spans="1:4" ht="56">
      <c r="A5035" s="715">
        <v>101521</v>
      </c>
      <c r="B5035" s="633" t="s">
        <v>42991</v>
      </c>
      <c r="C5035" s="715" t="s">
        <v>103</v>
      </c>
      <c r="D5035" s="716">
        <v>1201.28</v>
      </c>
    </row>
    <row r="5036" spans="1:4" ht="56">
      <c r="A5036" s="715">
        <v>101522</v>
      </c>
      <c r="B5036" s="633" t="s">
        <v>42992</v>
      </c>
      <c r="C5036" s="715" t="s">
        <v>103</v>
      </c>
      <c r="D5036" s="716">
        <v>1424.82</v>
      </c>
    </row>
    <row r="5037" spans="1:4" ht="56">
      <c r="A5037" s="715">
        <v>101523</v>
      </c>
      <c r="B5037" s="633" t="s">
        <v>42993</v>
      </c>
      <c r="C5037" s="715" t="s">
        <v>103</v>
      </c>
      <c r="D5037" s="716">
        <v>1457.89</v>
      </c>
    </row>
    <row r="5038" spans="1:4" ht="56">
      <c r="A5038" s="715">
        <v>101524</v>
      </c>
      <c r="B5038" s="633" t="s">
        <v>42994</v>
      </c>
      <c r="C5038" s="715" t="s">
        <v>103</v>
      </c>
      <c r="D5038" s="716">
        <v>1702.22</v>
      </c>
    </row>
    <row r="5039" spans="1:4" ht="56">
      <c r="A5039" s="715">
        <v>101517</v>
      </c>
      <c r="B5039" s="633" t="s">
        <v>42995</v>
      </c>
      <c r="C5039" s="715" t="s">
        <v>103</v>
      </c>
      <c r="D5039" s="716">
        <v>891.35</v>
      </c>
    </row>
    <row r="5040" spans="1:4" ht="56">
      <c r="A5040" s="715">
        <v>101518</v>
      </c>
      <c r="B5040" s="633" t="s">
        <v>42996</v>
      </c>
      <c r="C5040" s="715" t="s">
        <v>103</v>
      </c>
      <c r="D5040" s="716">
        <v>1040.3800000000001</v>
      </c>
    </row>
    <row r="5041" spans="1:4" ht="56">
      <c r="A5041" s="715">
        <v>101519</v>
      </c>
      <c r="B5041" s="633" t="s">
        <v>42997</v>
      </c>
      <c r="C5041" s="715" t="s">
        <v>103</v>
      </c>
      <c r="D5041" s="716">
        <v>1062.42</v>
      </c>
    </row>
    <row r="5042" spans="1:4" ht="56">
      <c r="A5042" s="715">
        <v>101520</v>
      </c>
      <c r="B5042" s="633" t="s">
        <v>42998</v>
      </c>
      <c r="C5042" s="715" t="s">
        <v>103</v>
      </c>
      <c r="D5042" s="716">
        <v>1225.31</v>
      </c>
    </row>
    <row r="5043" spans="1:4" ht="56">
      <c r="A5043" s="715">
        <v>101513</v>
      </c>
      <c r="B5043" s="633" t="s">
        <v>42999</v>
      </c>
      <c r="C5043" s="715" t="s">
        <v>103</v>
      </c>
      <c r="D5043" s="716">
        <v>916.84</v>
      </c>
    </row>
    <row r="5044" spans="1:4" ht="56">
      <c r="A5044" s="715">
        <v>101514</v>
      </c>
      <c r="B5044" s="633" t="s">
        <v>43000</v>
      </c>
      <c r="C5044" s="715" t="s">
        <v>103</v>
      </c>
      <c r="D5044" s="716">
        <v>1065.8699999999999</v>
      </c>
    </row>
    <row r="5045" spans="1:4" ht="56">
      <c r="A5045" s="715">
        <v>101515</v>
      </c>
      <c r="B5045" s="633" t="s">
        <v>43001</v>
      </c>
      <c r="C5045" s="715" t="s">
        <v>103</v>
      </c>
      <c r="D5045" s="716">
        <v>1087.9100000000001</v>
      </c>
    </row>
    <row r="5046" spans="1:4" ht="56">
      <c r="A5046" s="715">
        <v>101516</v>
      </c>
      <c r="B5046" s="633" t="s">
        <v>43002</v>
      </c>
      <c r="C5046" s="715" t="s">
        <v>103</v>
      </c>
      <c r="D5046" s="716">
        <v>1250.8</v>
      </c>
    </row>
    <row r="5047" spans="1:4" ht="56">
      <c r="A5047" s="715">
        <v>101533</v>
      </c>
      <c r="B5047" s="633" t="s">
        <v>43003</v>
      </c>
      <c r="C5047" s="715" t="s">
        <v>103</v>
      </c>
      <c r="D5047" s="716">
        <v>1407.02</v>
      </c>
    </row>
    <row r="5048" spans="1:4" ht="56">
      <c r="A5048" s="715">
        <v>101534</v>
      </c>
      <c r="B5048" s="633" t="s">
        <v>43004</v>
      </c>
      <c r="C5048" s="715" t="s">
        <v>103</v>
      </c>
      <c r="D5048" s="716">
        <v>1705.08</v>
      </c>
    </row>
    <row r="5049" spans="1:4" ht="56">
      <c r="A5049" s="715">
        <v>101535</v>
      </c>
      <c r="B5049" s="633" t="s">
        <v>43005</v>
      </c>
      <c r="C5049" s="715" t="s">
        <v>103</v>
      </c>
      <c r="D5049" s="716">
        <v>1749.17</v>
      </c>
    </row>
    <row r="5050" spans="1:4" ht="56">
      <c r="A5050" s="715">
        <v>101536</v>
      </c>
      <c r="B5050" s="633" t="s">
        <v>43006</v>
      </c>
      <c r="C5050" s="715" t="s">
        <v>103</v>
      </c>
      <c r="D5050" s="716">
        <v>2074.94</v>
      </c>
    </row>
    <row r="5051" spans="1:4" ht="56">
      <c r="A5051" s="715">
        <v>101529</v>
      </c>
      <c r="B5051" s="633" t="s">
        <v>43007</v>
      </c>
      <c r="C5051" s="715" t="s">
        <v>103</v>
      </c>
      <c r="D5051" s="716">
        <v>1360.78</v>
      </c>
    </row>
    <row r="5052" spans="1:4" ht="56">
      <c r="A5052" s="715">
        <v>101530</v>
      </c>
      <c r="B5052" s="633" t="s">
        <v>43008</v>
      </c>
      <c r="C5052" s="715" t="s">
        <v>103</v>
      </c>
      <c r="D5052" s="716">
        <v>1658.84</v>
      </c>
    </row>
    <row r="5053" spans="1:4" ht="56">
      <c r="A5053" s="715">
        <v>101531</v>
      </c>
      <c r="B5053" s="633" t="s">
        <v>43009</v>
      </c>
      <c r="C5053" s="715" t="s">
        <v>103</v>
      </c>
      <c r="D5053" s="716">
        <v>1702.93</v>
      </c>
    </row>
    <row r="5054" spans="1:4" ht="56">
      <c r="A5054" s="715">
        <v>101532</v>
      </c>
      <c r="B5054" s="633" t="s">
        <v>43010</v>
      </c>
      <c r="C5054" s="715" t="s">
        <v>103</v>
      </c>
      <c r="D5054" s="716">
        <v>2028.7</v>
      </c>
    </row>
    <row r="5055" spans="1:4" ht="28">
      <c r="A5055" s="715">
        <v>106510</v>
      </c>
      <c r="B5055" s="633" t="s">
        <v>43011</v>
      </c>
      <c r="C5055" s="715" t="s">
        <v>103</v>
      </c>
      <c r="D5055" s="716">
        <v>0</v>
      </c>
    </row>
    <row r="5056" spans="1:4" ht="28">
      <c r="A5056" s="715">
        <v>106514</v>
      </c>
      <c r="B5056" s="633" t="s">
        <v>43012</v>
      </c>
      <c r="C5056" s="715" t="s">
        <v>103</v>
      </c>
      <c r="D5056" s="716">
        <v>0</v>
      </c>
    </row>
    <row r="5057" spans="1:4" ht="28">
      <c r="A5057" s="715">
        <v>106511</v>
      </c>
      <c r="B5057" s="633" t="s">
        <v>43013</v>
      </c>
      <c r="C5057" s="715" t="s">
        <v>103</v>
      </c>
      <c r="D5057" s="716">
        <v>0</v>
      </c>
    </row>
    <row r="5058" spans="1:4" ht="28">
      <c r="A5058" s="715">
        <v>106515</v>
      </c>
      <c r="B5058" s="633" t="s">
        <v>43014</v>
      </c>
      <c r="C5058" s="715" t="s">
        <v>103</v>
      </c>
      <c r="D5058" s="716">
        <v>0</v>
      </c>
    </row>
    <row r="5059" spans="1:4" ht="28">
      <c r="A5059" s="715">
        <v>106512</v>
      </c>
      <c r="B5059" s="633" t="s">
        <v>43015</v>
      </c>
      <c r="C5059" s="715" t="s">
        <v>103</v>
      </c>
      <c r="D5059" s="716">
        <v>0</v>
      </c>
    </row>
    <row r="5060" spans="1:4" ht="28">
      <c r="A5060" s="715">
        <v>106516</v>
      </c>
      <c r="B5060" s="633" t="s">
        <v>43016</v>
      </c>
      <c r="C5060" s="715" t="s">
        <v>103</v>
      </c>
      <c r="D5060" s="716">
        <v>0</v>
      </c>
    </row>
    <row r="5061" spans="1:4" ht="28">
      <c r="A5061" s="715">
        <v>106513</v>
      </c>
      <c r="B5061" s="633" t="s">
        <v>43017</v>
      </c>
      <c r="C5061" s="715" t="s">
        <v>103</v>
      </c>
      <c r="D5061" s="716">
        <v>0</v>
      </c>
    </row>
    <row r="5062" spans="1:4" ht="28">
      <c r="A5062" s="715">
        <v>106517</v>
      </c>
      <c r="B5062" s="633" t="s">
        <v>43018</v>
      </c>
      <c r="C5062" s="715" t="s">
        <v>103</v>
      </c>
      <c r="D5062" s="716">
        <v>0</v>
      </c>
    </row>
    <row r="5063" spans="1:4" ht="28">
      <c r="A5063" s="715">
        <v>106518</v>
      </c>
      <c r="B5063" s="633" t="s">
        <v>43019</v>
      </c>
      <c r="C5063" s="715" t="s">
        <v>103</v>
      </c>
      <c r="D5063" s="716">
        <v>0</v>
      </c>
    </row>
    <row r="5064" spans="1:4" ht="28">
      <c r="A5064" s="715">
        <v>106519</v>
      </c>
      <c r="B5064" s="633" t="s">
        <v>43020</v>
      </c>
      <c r="C5064" s="715" t="s">
        <v>103</v>
      </c>
      <c r="D5064" s="716">
        <v>0</v>
      </c>
    </row>
    <row r="5065" spans="1:4" ht="28">
      <c r="A5065" s="715">
        <v>106520</v>
      </c>
      <c r="B5065" s="633" t="s">
        <v>43021</v>
      </c>
      <c r="C5065" s="715" t="s">
        <v>103</v>
      </c>
      <c r="D5065" s="716">
        <v>0</v>
      </c>
    </row>
    <row r="5066" spans="1:4" ht="28">
      <c r="A5066" s="715">
        <v>106521</v>
      </c>
      <c r="B5066" s="633" t="s">
        <v>43022</v>
      </c>
      <c r="C5066" s="715" t="s">
        <v>103</v>
      </c>
      <c r="D5066" s="716">
        <v>0</v>
      </c>
    </row>
    <row r="5067" spans="1:4" ht="28">
      <c r="A5067" s="715">
        <v>106522</v>
      </c>
      <c r="B5067" s="633" t="s">
        <v>43023</v>
      </c>
      <c r="C5067" s="715" t="s">
        <v>103</v>
      </c>
      <c r="D5067" s="716">
        <v>0</v>
      </c>
    </row>
    <row r="5068" spans="1:4" ht="28">
      <c r="A5068" s="715">
        <v>106523</v>
      </c>
      <c r="B5068" s="633" t="s">
        <v>43024</v>
      </c>
      <c r="C5068" s="715" t="s">
        <v>103</v>
      </c>
      <c r="D5068" s="716">
        <v>0</v>
      </c>
    </row>
    <row r="5069" spans="1:4" ht="42">
      <c r="A5069" s="715">
        <v>101549</v>
      </c>
      <c r="B5069" s="633" t="s">
        <v>43025</v>
      </c>
      <c r="C5069" s="715" t="s">
        <v>103</v>
      </c>
      <c r="D5069" s="716">
        <v>22.58</v>
      </c>
    </row>
    <row r="5070" spans="1:4" ht="28">
      <c r="A5070" s="715">
        <v>101547</v>
      </c>
      <c r="B5070" s="633" t="s">
        <v>43026</v>
      </c>
      <c r="C5070" s="715" t="s">
        <v>103</v>
      </c>
      <c r="D5070" s="716">
        <v>88.98</v>
      </c>
    </row>
    <row r="5071" spans="1:4" ht="28">
      <c r="A5071" s="715">
        <v>101546</v>
      </c>
      <c r="B5071" s="633" t="s">
        <v>43027</v>
      </c>
      <c r="C5071" s="715" t="s">
        <v>103</v>
      </c>
      <c r="D5071" s="716">
        <v>29.25</v>
      </c>
    </row>
    <row r="5072" spans="1:4" ht="28">
      <c r="A5072" s="715">
        <v>101548</v>
      </c>
      <c r="B5072" s="633" t="s">
        <v>43028</v>
      </c>
      <c r="C5072" s="715" t="s">
        <v>103</v>
      </c>
      <c r="D5072" s="716">
        <v>8.18</v>
      </c>
    </row>
    <row r="5073" spans="1:4" ht="14">
      <c r="A5073" s="715">
        <v>106528</v>
      </c>
      <c r="B5073" s="633" t="s">
        <v>43029</v>
      </c>
      <c r="C5073" s="715" t="s">
        <v>103</v>
      </c>
      <c r="D5073" s="716">
        <v>0</v>
      </c>
    </row>
    <row r="5074" spans="1:4" ht="56">
      <c r="A5074" s="715">
        <v>94764</v>
      </c>
      <c r="B5074" s="633" t="s">
        <v>29185</v>
      </c>
      <c r="C5074" s="715" t="s">
        <v>103</v>
      </c>
      <c r="D5074" s="716">
        <v>40.07</v>
      </c>
    </row>
    <row r="5075" spans="1:4" ht="56">
      <c r="A5075" s="715">
        <v>94765</v>
      </c>
      <c r="B5075" s="633" t="s">
        <v>29186</v>
      </c>
      <c r="C5075" s="715" t="s">
        <v>103</v>
      </c>
      <c r="D5075" s="716">
        <v>43.89</v>
      </c>
    </row>
    <row r="5076" spans="1:4" ht="56">
      <c r="A5076" s="715">
        <v>94766</v>
      </c>
      <c r="B5076" s="633" t="s">
        <v>29187</v>
      </c>
      <c r="C5076" s="715" t="s">
        <v>103</v>
      </c>
      <c r="D5076" s="716">
        <v>48.77</v>
      </c>
    </row>
    <row r="5077" spans="1:4" ht="56">
      <c r="A5077" s="715">
        <v>94767</v>
      </c>
      <c r="B5077" s="633" t="s">
        <v>29188</v>
      </c>
      <c r="C5077" s="715" t="s">
        <v>103</v>
      </c>
      <c r="D5077" s="716">
        <v>71.23</v>
      </c>
    </row>
    <row r="5078" spans="1:4" ht="56">
      <c r="A5078" s="715">
        <v>94768</v>
      </c>
      <c r="B5078" s="633" t="s">
        <v>29189</v>
      </c>
      <c r="C5078" s="715" t="s">
        <v>103</v>
      </c>
      <c r="D5078" s="716">
        <v>80.38</v>
      </c>
    </row>
    <row r="5079" spans="1:4" ht="56">
      <c r="A5079" s="715">
        <v>94769</v>
      </c>
      <c r="B5079" s="633" t="s">
        <v>29190</v>
      </c>
      <c r="C5079" s="715" t="s">
        <v>103</v>
      </c>
      <c r="D5079" s="716">
        <v>106.58</v>
      </c>
    </row>
    <row r="5080" spans="1:4" ht="56">
      <c r="A5080" s="715">
        <v>94783</v>
      </c>
      <c r="B5080" s="633" t="s">
        <v>40388</v>
      </c>
      <c r="C5080" s="715" t="s">
        <v>103</v>
      </c>
      <c r="D5080" s="716">
        <v>23.18</v>
      </c>
    </row>
    <row r="5081" spans="1:4" ht="56">
      <c r="A5081" s="715">
        <v>94703</v>
      </c>
      <c r="B5081" s="633" t="s">
        <v>40389</v>
      </c>
      <c r="C5081" s="715" t="s">
        <v>103</v>
      </c>
      <c r="D5081" s="716">
        <v>24.69</v>
      </c>
    </row>
    <row r="5082" spans="1:4" ht="56">
      <c r="A5082" s="715">
        <v>94704</v>
      </c>
      <c r="B5082" s="633" t="s">
        <v>29145</v>
      </c>
      <c r="C5082" s="715" t="s">
        <v>103</v>
      </c>
      <c r="D5082" s="716">
        <v>32.409999999999997</v>
      </c>
    </row>
    <row r="5083" spans="1:4" ht="56">
      <c r="A5083" s="715">
        <v>94705</v>
      </c>
      <c r="B5083" s="633" t="s">
        <v>29146</v>
      </c>
      <c r="C5083" s="715" t="s">
        <v>103</v>
      </c>
      <c r="D5083" s="716">
        <v>43.7</v>
      </c>
    </row>
    <row r="5084" spans="1:4" ht="56">
      <c r="A5084" s="715">
        <v>94706</v>
      </c>
      <c r="B5084" s="633" t="s">
        <v>29147</v>
      </c>
      <c r="C5084" s="715" t="s">
        <v>103</v>
      </c>
      <c r="D5084" s="716">
        <v>42.7</v>
      </c>
    </row>
    <row r="5085" spans="1:4" ht="56">
      <c r="A5085" s="715">
        <v>94707</v>
      </c>
      <c r="B5085" s="633" t="s">
        <v>29148</v>
      </c>
      <c r="C5085" s="715" t="s">
        <v>103</v>
      </c>
      <c r="D5085" s="716">
        <v>66.48</v>
      </c>
    </row>
    <row r="5086" spans="1:4" ht="42">
      <c r="A5086" s="715">
        <v>94715</v>
      </c>
      <c r="B5086" s="633" t="s">
        <v>29151</v>
      </c>
      <c r="C5086" s="715" t="s">
        <v>103</v>
      </c>
      <c r="D5086" s="716">
        <v>339.53</v>
      </c>
    </row>
    <row r="5087" spans="1:4" ht="56">
      <c r="A5087" s="715">
        <v>94713</v>
      </c>
      <c r="B5087" s="633" t="s">
        <v>29149</v>
      </c>
      <c r="C5087" s="715" t="s">
        <v>103</v>
      </c>
      <c r="D5087" s="716">
        <v>272.77</v>
      </c>
    </row>
    <row r="5088" spans="1:4" ht="42">
      <c r="A5088" s="715">
        <v>94714</v>
      </c>
      <c r="B5088" s="633" t="s">
        <v>29150</v>
      </c>
      <c r="C5088" s="715" t="s">
        <v>103</v>
      </c>
      <c r="D5088" s="716">
        <v>381.65</v>
      </c>
    </row>
    <row r="5089" spans="1:4" ht="56">
      <c r="A5089" s="715">
        <v>94670</v>
      </c>
      <c r="B5089" s="633" t="s">
        <v>29117</v>
      </c>
      <c r="C5089" s="715" t="s">
        <v>103</v>
      </c>
      <c r="D5089" s="716">
        <v>82.53</v>
      </c>
    </row>
    <row r="5090" spans="1:4" ht="56">
      <c r="A5090" s="715">
        <v>94656</v>
      </c>
      <c r="B5090" s="633" t="s">
        <v>40390</v>
      </c>
      <c r="C5090" s="715" t="s">
        <v>103</v>
      </c>
      <c r="D5090" s="716">
        <v>4.38</v>
      </c>
    </row>
    <row r="5091" spans="1:4" ht="56">
      <c r="A5091" s="715">
        <v>94658</v>
      </c>
      <c r="B5091" s="633" t="s">
        <v>29105</v>
      </c>
      <c r="C5091" s="715" t="s">
        <v>103</v>
      </c>
      <c r="D5091" s="716">
        <v>6.49</v>
      </c>
    </row>
    <row r="5092" spans="1:4" ht="56">
      <c r="A5092" s="715">
        <v>94660</v>
      </c>
      <c r="B5092" s="633" t="s">
        <v>29107</v>
      </c>
      <c r="C5092" s="715" t="s">
        <v>103</v>
      </c>
      <c r="D5092" s="716">
        <v>10.16</v>
      </c>
    </row>
    <row r="5093" spans="1:4" ht="56">
      <c r="A5093" s="715">
        <v>94662</v>
      </c>
      <c r="B5093" s="633" t="s">
        <v>29109</v>
      </c>
      <c r="C5093" s="715" t="s">
        <v>103</v>
      </c>
      <c r="D5093" s="716">
        <v>13.4</v>
      </c>
    </row>
    <row r="5094" spans="1:4" ht="56">
      <c r="A5094" s="715">
        <v>94664</v>
      </c>
      <c r="B5094" s="633" t="s">
        <v>29111</v>
      </c>
      <c r="C5094" s="715" t="s">
        <v>103</v>
      </c>
      <c r="D5094" s="716">
        <v>24.08</v>
      </c>
    </row>
    <row r="5095" spans="1:4" ht="56">
      <c r="A5095" s="715">
        <v>94666</v>
      </c>
      <c r="B5095" s="633" t="s">
        <v>29113</v>
      </c>
      <c r="C5095" s="715" t="s">
        <v>103</v>
      </c>
      <c r="D5095" s="716">
        <v>38.97</v>
      </c>
    </row>
    <row r="5096" spans="1:4" ht="56">
      <c r="A5096" s="715">
        <v>94668</v>
      </c>
      <c r="B5096" s="633" t="s">
        <v>29115</v>
      </c>
      <c r="C5096" s="715" t="s">
        <v>103</v>
      </c>
      <c r="D5096" s="716">
        <v>51.69</v>
      </c>
    </row>
    <row r="5097" spans="1:4" ht="42">
      <c r="A5097" s="715">
        <v>105215</v>
      </c>
      <c r="B5097" s="633" t="s">
        <v>29304</v>
      </c>
      <c r="C5097" s="715" t="s">
        <v>103</v>
      </c>
      <c r="D5097" s="716">
        <v>9.84</v>
      </c>
    </row>
    <row r="5098" spans="1:4" ht="42">
      <c r="A5098" s="715">
        <v>105216</v>
      </c>
      <c r="B5098" s="633" t="s">
        <v>29305</v>
      </c>
      <c r="C5098" s="715" t="s">
        <v>103</v>
      </c>
      <c r="D5098" s="716">
        <v>36.270000000000003</v>
      </c>
    </row>
    <row r="5099" spans="1:4" ht="42">
      <c r="A5099" s="715">
        <v>105217</v>
      </c>
      <c r="B5099" s="633" t="s">
        <v>29306</v>
      </c>
      <c r="C5099" s="715" t="s">
        <v>103</v>
      </c>
      <c r="D5099" s="716">
        <v>40.880000000000003</v>
      </c>
    </row>
    <row r="5100" spans="1:4" ht="42">
      <c r="A5100" s="715">
        <v>105214</v>
      </c>
      <c r="B5100" s="633" t="s">
        <v>29303</v>
      </c>
      <c r="C5100" s="715" t="s">
        <v>103</v>
      </c>
      <c r="D5100" s="716">
        <v>42.97</v>
      </c>
    </row>
    <row r="5101" spans="1:4" ht="42">
      <c r="A5101" s="715">
        <v>105218</v>
      </c>
      <c r="B5101" s="633" t="s">
        <v>29307</v>
      </c>
      <c r="C5101" s="715" t="s">
        <v>103</v>
      </c>
      <c r="D5101" s="716">
        <v>70.930000000000007</v>
      </c>
    </row>
    <row r="5102" spans="1:4" ht="42">
      <c r="A5102" s="715">
        <v>105213</v>
      </c>
      <c r="B5102" s="633" t="s">
        <v>29302</v>
      </c>
      <c r="C5102" s="715" t="s">
        <v>103</v>
      </c>
      <c r="D5102" s="716">
        <v>201.67</v>
      </c>
    </row>
    <row r="5103" spans="1:4" ht="42">
      <c r="A5103" s="715">
        <v>105233</v>
      </c>
      <c r="B5103" s="633" t="s">
        <v>29322</v>
      </c>
      <c r="C5103" s="715" t="s">
        <v>103</v>
      </c>
      <c r="D5103" s="716">
        <v>9.3800000000000008</v>
      </c>
    </row>
    <row r="5104" spans="1:4" ht="42">
      <c r="A5104" s="715">
        <v>105234</v>
      </c>
      <c r="B5104" s="633" t="s">
        <v>29323</v>
      </c>
      <c r="C5104" s="715" t="s">
        <v>103</v>
      </c>
      <c r="D5104" s="716">
        <v>11.46</v>
      </c>
    </row>
    <row r="5105" spans="1:4" ht="42">
      <c r="A5105" s="715">
        <v>105228</v>
      </c>
      <c r="B5105" s="633" t="s">
        <v>29317</v>
      </c>
      <c r="C5105" s="715" t="s">
        <v>103</v>
      </c>
      <c r="D5105" s="716">
        <v>13.78</v>
      </c>
    </row>
    <row r="5106" spans="1:4" ht="42">
      <c r="A5106" s="715">
        <v>105138</v>
      </c>
      <c r="B5106" s="633" t="s">
        <v>29060</v>
      </c>
      <c r="C5106" s="715" t="s">
        <v>103</v>
      </c>
      <c r="D5106" s="716">
        <v>20</v>
      </c>
    </row>
    <row r="5107" spans="1:4" ht="42">
      <c r="A5107" s="715">
        <v>105139</v>
      </c>
      <c r="B5107" s="633" t="s">
        <v>29061</v>
      </c>
      <c r="C5107" s="715" t="s">
        <v>103</v>
      </c>
      <c r="D5107" s="716">
        <v>23.49</v>
      </c>
    </row>
    <row r="5108" spans="1:4" ht="42">
      <c r="A5108" s="715">
        <v>105140</v>
      </c>
      <c r="B5108" s="633" t="s">
        <v>29062</v>
      </c>
      <c r="C5108" s="715" t="s">
        <v>103</v>
      </c>
      <c r="D5108" s="716">
        <v>30.17</v>
      </c>
    </row>
    <row r="5109" spans="1:4" ht="42">
      <c r="A5109" s="715">
        <v>105141</v>
      </c>
      <c r="B5109" s="633" t="s">
        <v>29063</v>
      </c>
      <c r="C5109" s="715" t="s">
        <v>103</v>
      </c>
      <c r="D5109" s="716">
        <v>35.93</v>
      </c>
    </row>
    <row r="5110" spans="1:4" ht="56">
      <c r="A5110" s="715">
        <v>105172</v>
      </c>
      <c r="B5110" s="633" t="s">
        <v>29267</v>
      </c>
      <c r="C5110" s="715" t="s">
        <v>103</v>
      </c>
      <c r="D5110" s="716">
        <v>96.75</v>
      </c>
    </row>
    <row r="5111" spans="1:4" ht="56">
      <c r="A5111" s="715">
        <v>105169</v>
      </c>
      <c r="B5111" s="633" t="s">
        <v>29265</v>
      </c>
      <c r="C5111" s="715" t="s">
        <v>103</v>
      </c>
      <c r="D5111" s="716">
        <v>97.18</v>
      </c>
    </row>
    <row r="5112" spans="1:4" ht="42">
      <c r="A5112" s="715">
        <v>105230</v>
      </c>
      <c r="B5112" s="633" t="s">
        <v>29319</v>
      </c>
      <c r="C5112" s="715" t="s">
        <v>103</v>
      </c>
      <c r="D5112" s="716">
        <v>9.75</v>
      </c>
    </row>
    <row r="5113" spans="1:4" ht="42">
      <c r="A5113" s="715">
        <v>105231</v>
      </c>
      <c r="B5113" s="633" t="s">
        <v>29320</v>
      </c>
      <c r="C5113" s="715" t="s">
        <v>103</v>
      </c>
      <c r="D5113" s="716">
        <v>11.41</v>
      </c>
    </row>
    <row r="5114" spans="1:4" ht="42">
      <c r="A5114" s="715">
        <v>105232</v>
      </c>
      <c r="B5114" s="633" t="s">
        <v>29321</v>
      </c>
      <c r="C5114" s="715" t="s">
        <v>103</v>
      </c>
      <c r="D5114" s="716">
        <v>20.91</v>
      </c>
    </row>
    <row r="5115" spans="1:4" ht="42">
      <c r="A5115" s="715">
        <v>105229</v>
      </c>
      <c r="B5115" s="633" t="s">
        <v>29318</v>
      </c>
      <c r="C5115" s="715" t="s">
        <v>103</v>
      </c>
      <c r="D5115" s="716">
        <v>32.659999999999997</v>
      </c>
    </row>
    <row r="5116" spans="1:4" ht="42">
      <c r="A5116" s="715">
        <v>105146</v>
      </c>
      <c r="B5116" s="633" t="s">
        <v>29244</v>
      </c>
      <c r="C5116" s="715" t="s">
        <v>103</v>
      </c>
      <c r="D5116" s="716">
        <v>26.71</v>
      </c>
    </row>
    <row r="5117" spans="1:4" ht="56">
      <c r="A5117" s="715">
        <v>94613</v>
      </c>
      <c r="B5117" s="633" t="s">
        <v>33852</v>
      </c>
      <c r="C5117" s="715" t="s">
        <v>103</v>
      </c>
      <c r="D5117" s="716">
        <v>0</v>
      </c>
    </row>
    <row r="5118" spans="1:4" ht="56">
      <c r="A5118" s="715">
        <v>94607</v>
      </c>
      <c r="B5118" s="633" t="s">
        <v>33853</v>
      </c>
      <c r="C5118" s="715" t="s">
        <v>103</v>
      </c>
      <c r="D5118" s="716">
        <v>0</v>
      </c>
    </row>
    <row r="5119" spans="1:4" ht="56">
      <c r="A5119" s="715">
        <v>94609</v>
      </c>
      <c r="B5119" s="633" t="s">
        <v>33854</v>
      </c>
      <c r="C5119" s="715" t="s">
        <v>103</v>
      </c>
      <c r="D5119" s="716">
        <v>0</v>
      </c>
    </row>
    <row r="5120" spans="1:4" ht="56">
      <c r="A5120" s="715">
        <v>94611</v>
      </c>
      <c r="B5120" s="633" t="s">
        <v>33855</v>
      </c>
      <c r="C5120" s="715" t="s">
        <v>103</v>
      </c>
      <c r="D5120" s="716">
        <v>0</v>
      </c>
    </row>
    <row r="5121" spans="1:4" ht="42">
      <c r="A5121" s="715">
        <v>96738</v>
      </c>
      <c r="B5121" s="633" t="s">
        <v>29194</v>
      </c>
      <c r="C5121" s="715" t="s">
        <v>103</v>
      </c>
      <c r="D5121" s="716">
        <v>27.18</v>
      </c>
    </row>
    <row r="5122" spans="1:4" ht="42">
      <c r="A5122" s="715">
        <v>96740</v>
      </c>
      <c r="B5122" s="633" t="s">
        <v>29196</v>
      </c>
      <c r="C5122" s="715" t="s">
        <v>103</v>
      </c>
      <c r="D5122" s="716">
        <v>37.4</v>
      </c>
    </row>
    <row r="5123" spans="1:4" ht="42">
      <c r="A5123" s="715">
        <v>94738</v>
      </c>
      <c r="B5123" s="633" t="s">
        <v>29165</v>
      </c>
      <c r="C5123" s="715" t="s">
        <v>103</v>
      </c>
      <c r="D5123" s="716">
        <v>1681.39</v>
      </c>
    </row>
    <row r="5124" spans="1:4" ht="42">
      <c r="A5124" s="715">
        <v>94724</v>
      </c>
      <c r="B5124" s="633" t="s">
        <v>29152</v>
      </c>
      <c r="C5124" s="715" t="s">
        <v>103</v>
      </c>
      <c r="D5124" s="716">
        <v>26.98</v>
      </c>
    </row>
    <row r="5125" spans="1:4" ht="42">
      <c r="A5125" s="715">
        <v>94726</v>
      </c>
      <c r="B5125" s="633" t="s">
        <v>29154</v>
      </c>
      <c r="C5125" s="715" t="s">
        <v>103</v>
      </c>
      <c r="D5125" s="716">
        <v>34.729999999999997</v>
      </c>
    </row>
    <row r="5126" spans="1:4" ht="42">
      <c r="A5126" s="715">
        <v>94728</v>
      </c>
      <c r="B5126" s="633" t="s">
        <v>29156</v>
      </c>
      <c r="C5126" s="715" t="s">
        <v>103</v>
      </c>
      <c r="D5126" s="716">
        <v>54.08</v>
      </c>
    </row>
    <row r="5127" spans="1:4" ht="42">
      <c r="A5127" s="715">
        <v>94730</v>
      </c>
      <c r="B5127" s="633" t="s">
        <v>29158</v>
      </c>
      <c r="C5127" s="715" t="s">
        <v>103</v>
      </c>
      <c r="D5127" s="716">
        <v>66.38</v>
      </c>
    </row>
    <row r="5128" spans="1:4" ht="42">
      <c r="A5128" s="715">
        <v>94732</v>
      </c>
      <c r="B5128" s="633" t="s">
        <v>29160</v>
      </c>
      <c r="C5128" s="715" t="s">
        <v>103</v>
      </c>
      <c r="D5128" s="716">
        <v>106.43</v>
      </c>
    </row>
    <row r="5129" spans="1:4" ht="42">
      <c r="A5129" s="715">
        <v>94734</v>
      </c>
      <c r="B5129" s="633" t="s">
        <v>29162</v>
      </c>
      <c r="C5129" s="715" t="s">
        <v>103</v>
      </c>
      <c r="D5129" s="716">
        <v>385.41</v>
      </c>
    </row>
    <row r="5130" spans="1:4" ht="42">
      <c r="A5130" s="715">
        <v>94736</v>
      </c>
      <c r="B5130" s="633" t="s">
        <v>29163</v>
      </c>
      <c r="C5130" s="715" t="s">
        <v>103</v>
      </c>
      <c r="D5130" s="716">
        <v>560.13</v>
      </c>
    </row>
    <row r="5131" spans="1:4" ht="70">
      <c r="A5131" s="715">
        <v>94483</v>
      </c>
      <c r="B5131" s="633" t="s">
        <v>29369</v>
      </c>
      <c r="C5131" s="715" t="s">
        <v>103</v>
      </c>
      <c r="D5131" s="716">
        <v>1546.88</v>
      </c>
    </row>
    <row r="5132" spans="1:4" ht="70">
      <c r="A5132" s="715">
        <v>94482</v>
      </c>
      <c r="B5132" s="633" t="s">
        <v>29368</v>
      </c>
      <c r="C5132" s="715" t="s">
        <v>103</v>
      </c>
      <c r="D5132" s="716">
        <v>1823.87</v>
      </c>
    </row>
    <row r="5133" spans="1:4" ht="70">
      <c r="A5133" s="715">
        <v>94481</v>
      </c>
      <c r="B5133" s="633" t="s">
        <v>29367</v>
      </c>
      <c r="C5133" s="715" t="s">
        <v>103</v>
      </c>
      <c r="D5133" s="716">
        <v>2293.1799999999998</v>
      </c>
    </row>
    <row r="5134" spans="1:4" ht="70">
      <c r="A5134" s="715">
        <v>94480</v>
      </c>
      <c r="B5134" s="633" t="s">
        <v>29366</v>
      </c>
      <c r="C5134" s="715" t="s">
        <v>103</v>
      </c>
      <c r="D5134" s="716">
        <v>3185.96</v>
      </c>
    </row>
    <row r="5135" spans="1:4" ht="56">
      <c r="A5135" s="715">
        <v>94472</v>
      </c>
      <c r="B5135" s="633" t="s">
        <v>29083</v>
      </c>
      <c r="C5135" s="715" t="s">
        <v>103</v>
      </c>
      <c r="D5135" s="716">
        <v>89.41</v>
      </c>
    </row>
    <row r="5136" spans="1:4" ht="56">
      <c r="A5136" s="715">
        <v>94474</v>
      </c>
      <c r="B5136" s="633" t="s">
        <v>29085</v>
      </c>
      <c r="C5136" s="715" t="s">
        <v>103</v>
      </c>
      <c r="D5136" s="716">
        <v>146.13</v>
      </c>
    </row>
    <row r="5137" spans="1:4" ht="56">
      <c r="A5137" s="715">
        <v>94476</v>
      </c>
      <c r="B5137" s="633" t="s">
        <v>29087</v>
      </c>
      <c r="C5137" s="715" t="s">
        <v>103</v>
      </c>
      <c r="D5137" s="716">
        <v>202.07</v>
      </c>
    </row>
    <row r="5138" spans="1:4" ht="56">
      <c r="A5138" s="715">
        <v>94471</v>
      </c>
      <c r="B5138" s="633" t="s">
        <v>29082</v>
      </c>
      <c r="C5138" s="715" t="s">
        <v>103</v>
      </c>
      <c r="D5138" s="716">
        <v>87.03</v>
      </c>
    </row>
    <row r="5139" spans="1:4" ht="56">
      <c r="A5139" s="715">
        <v>94473</v>
      </c>
      <c r="B5139" s="633" t="s">
        <v>29084</v>
      </c>
      <c r="C5139" s="715" t="s">
        <v>103</v>
      </c>
      <c r="D5139" s="716">
        <v>135.63999999999999</v>
      </c>
    </row>
    <row r="5140" spans="1:4" ht="56">
      <c r="A5140" s="715">
        <v>94475</v>
      </c>
      <c r="B5140" s="633" t="s">
        <v>29086</v>
      </c>
      <c r="C5140" s="715" t="s">
        <v>103</v>
      </c>
      <c r="D5140" s="716">
        <v>181.87</v>
      </c>
    </row>
    <row r="5141" spans="1:4" ht="56">
      <c r="A5141" s="715">
        <v>105194</v>
      </c>
      <c r="B5141" s="633" t="s">
        <v>29283</v>
      </c>
      <c r="C5141" s="715" t="s">
        <v>103</v>
      </c>
      <c r="D5141" s="716">
        <v>95.95</v>
      </c>
    </row>
    <row r="5142" spans="1:4" ht="56">
      <c r="A5142" s="715">
        <v>105195</v>
      </c>
      <c r="B5142" s="633" t="s">
        <v>29284</v>
      </c>
      <c r="C5142" s="715" t="s">
        <v>103</v>
      </c>
      <c r="D5142" s="716">
        <v>236.11</v>
      </c>
    </row>
    <row r="5143" spans="1:4" ht="56">
      <c r="A5143" s="715">
        <v>105178</v>
      </c>
      <c r="B5143" s="633" t="s">
        <v>29273</v>
      </c>
      <c r="C5143" s="715" t="s">
        <v>103</v>
      </c>
      <c r="D5143" s="716">
        <v>150.35</v>
      </c>
    </row>
    <row r="5144" spans="1:4" ht="56">
      <c r="A5144" s="715">
        <v>94620</v>
      </c>
      <c r="B5144" s="633" t="s">
        <v>29100</v>
      </c>
      <c r="C5144" s="715" t="s">
        <v>103</v>
      </c>
      <c r="D5144" s="716">
        <v>907.22</v>
      </c>
    </row>
    <row r="5145" spans="1:4" ht="56">
      <c r="A5145" s="715">
        <v>94614</v>
      </c>
      <c r="B5145" s="633" t="s">
        <v>29095</v>
      </c>
      <c r="C5145" s="715" t="s">
        <v>103</v>
      </c>
      <c r="D5145" s="716">
        <v>154.44999999999999</v>
      </c>
    </row>
    <row r="5146" spans="1:4" ht="56">
      <c r="A5146" s="715">
        <v>94616</v>
      </c>
      <c r="B5146" s="633" t="s">
        <v>29097</v>
      </c>
      <c r="C5146" s="715" t="s">
        <v>103</v>
      </c>
      <c r="D5146" s="716">
        <v>410.92</v>
      </c>
    </row>
    <row r="5147" spans="1:4" ht="56">
      <c r="A5147" s="715">
        <v>94618</v>
      </c>
      <c r="B5147" s="633" t="s">
        <v>29099</v>
      </c>
      <c r="C5147" s="715" t="s">
        <v>103</v>
      </c>
      <c r="D5147" s="716">
        <v>400.37</v>
      </c>
    </row>
    <row r="5148" spans="1:4" ht="56">
      <c r="A5148" s="715">
        <v>105193</v>
      </c>
      <c r="B5148" s="633" t="s">
        <v>29282</v>
      </c>
      <c r="C5148" s="715" t="s">
        <v>103</v>
      </c>
      <c r="D5148" s="716">
        <v>164.43</v>
      </c>
    </row>
    <row r="5149" spans="1:4" ht="56">
      <c r="A5149" s="715">
        <v>105197</v>
      </c>
      <c r="B5149" s="633" t="s">
        <v>29286</v>
      </c>
      <c r="C5149" s="715" t="s">
        <v>103</v>
      </c>
      <c r="D5149" s="716">
        <v>173.51</v>
      </c>
    </row>
    <row r="5150" spans="1:4" ht="56">
      <c r="A5150" s="715">
        <v>105196</v>
      </c>
      <c r="B5150" s="633" t="s">
        <v>29285</v>
      </c>
      <c r="C5150" s="715" t="s">
        <v>103</v>
      </c>
      <c r="D5150" s="716">
        <v>249.63</v>
      </c>
    </row>
    <row r="5151" spans="1:4" ht="56">
      <c r="A5151" s="715">
        <v>105198</v>
      </c>
      <c r="B5151" s="633" t="s">
        <v>29287</v>
      </c>
      <c r="C5151" s="715" t="s">
        <v>103</v>
      </c>
      <c r="D5151" s="716">
        <v>351.79</v>
      </c>
    </row>
    <row r="5152" spans="1:4" ht="56">
      <c r="A5152" s="715">
        <v>105200</v>
      </c>
      <c r="B5152" s="633" t="s">
        <v>29289</v>
      </c>
      <c r="C5152" s="715" t="s">
        <v>103</v>
      </c>
      <c r="D5152" s="716">
        <v>138.61000000000001</v>
      </c>
    </row>
    <row r="5153" spans="1:4" ht="56">
      <c r="A5153" s="715">
        <v>105199</v>
      </c>
      <c r="B5153" s="633" t="s">
        <v>29288</v>
      </c>
      <c r="C5153" s="715" t="s">
        <v>103</v>
      </c>
      <c r="D5153" s="716">
        <v>227.75</v>
      </c>
    </row>
    <row r="5154" spans="1:4" ht="56">
      <c r="A5154" s="715">
        <v>105201</v>
      </c>
      <c r="B5154" s="633" t="s">
        <v>29290</v>
      </c>
      <c r="C5154" s="715" t="s">
        <v>103</v>
      </c>
      <c r="D5154" s="716">
        <v>309.85000000000002</v>
      </c>
    </row>
    <row r="5155" spans="1:4" ht="42">
      <c r="A5155" s="715">
        <v>94755</v>
      </c>
      <c r="B5155" s="633" t="s">
        <v>33856</v>
      </c>
      <c r="C5155" s="715" t="s">
        <v>103</v>
      </c>
      <c r="D5155" s="716">
        <v>0</v>
      </c>
    </row>
    <row r="5156" spans="1:4" ht="42">
      <c r="A5156" s="715">
        <v>94741</v>
      </c>
      <c r="B5156" s="633" t="s">
        <v>29168</v>
      </c>
      <c r="C5156" s="715" t="s">
        <v>103</v>
      </c>
      <c r="D5156" s="716">
        <v>13.63</v>
      </c>
    </row>
    <row r="5157" spans="1:4" ht="42">
      <c r="A5157" s="715">
        <v>94743</v>
      </c>
      <c r="B5157" s="633" t="s">
        <v>29170</v>
      </c>
      <c r="C5157" s="715" t="s">
        <v>103</v>
      </c>
      <c r="D5157" s="716">
        <v>22.01</v>
      </c>
    </row>
    <row r="5158" spans="1:4" ht="42">
      <c r="A5158" s="715">
        <v>94745</v>
      </c>
      <c r="B5158" s="633" t="s">
        <v>33857</v>
      </c>
      <c r="C5158" s="715" t="s">
        <v>103</v>
      </c>
      <c r="D5158" s="716">
        <v>0</v>
      </c>
    </row>
    <row r="5159" spans="1:4" ht="42">
      <c r="A5159" s="715">
        <v>94747</v>
      </c>
      <c r="B5159" s="633" t="s">
        <v>33858</v>
      </c>
      <c r="C5159" s="715" t="s">
        <v>103</v>
      </c>
      <c r="D5159" s="716">
        <v>0</v>
      </c>
    </row>
    <row r="5160" spans="1:4" ht="42">
      <c r="A5160" s="715">
        <v>94749</v>
      </c>
      <c r="B5160" s="633" t="s">
        <v>33859</v>
      </c>
      <c r="C5160" s="715" t="s">
        <v>103</v>
      </c>
      <c r="D5160" s="716">
        <v>0</v>
      </c>
    </row>
    <row r="5161" spans="1:4" ht="42">
      <c r="A5161" s="715">
        <v>94751</v>
      </c>
      <c r="B5161" s="633" t="s">
        <v>33860</v>
      </c>
      <c r="C5161" s="715" t="s">
        <v>103</v>
      </c>
      <c r="D5161" s="716">
        <v>0</v>
      </c>
    </row>
    <row r="5162" spans="1:4" ht="42">
      <c r="A5162" s="715">
        <v>94753</v>
      </c>
      <c r="B5162" s="633" t="s">
        <v>33861</v>
      </c>
      <c r="C5162" s="715" t="s">
        <v>103</v>
      </c>
      <c r="D5162" s="716">
        <v>0</v>
      </c>
    </row>
    <row r="5163" spans="1:4" ht="56">
      <c r="A5163" s="715">
        <v>105209</v>
      </c>
      <c r="B5163" s="633" t="s">
        <v>29298</v>
      </c>
      <c r="C5163" s="715" t="s">
        <v>103</v>
      </c>
      <c r="D5163" s="716">
        <v>168.29</v>
      </c>
    </row>
    <row r="5164" spans="1:4" ht="56">
      <c r="A5164" s="715">
        <v>105208</v>
      </c>
      <c r="B5164" s="633" t="s">
        <v>29297</v>
      </c>
      <c r="C5164" s="715" t="s">
        <v>103</v>
      </c>
      <c r="D5164" s="716">
        <v>338.82</v>
      </c>
    </row>
    <row r="5165" spans="1:4" ht="56">
      <c r="A5165" s="715">
        <v>105210</v>
      </c>
      <c r="B5165" s="633" t="s">
        <v>29299</v>
      </c>
      <c r="C5165" s="715" t="s">
        <v>103</v>
      </c>
      <c r="D5165" s="716">
        <v>436.26</v>
      </c>
    </row>
    <row r="5166" spans="1:4" ht="56">
      <c r="A5166" s="715">
        <v>105203</v>
      </c>
      <c r="B5166" s="633" t="s">
        <v>29292</v>
      </c>
      <c r="C5166" s="715" t="s">
        <v>103</v>
      </c>
      <c r="D5166" s="716">
        <v>172.79</v>
      </c>
    </row>
    <row r="5167" spans="1:4" ht="56">
      <c r="A5167" s="715">
        <v>105202</v>
      </c>
      <c r="B5167" s="633" t="s">
        <v>29291</v>
      </c>
      <c r="C5167" s="715" t="s">
        <v>103</v>
      </c>
      <c r="D5167" s="716">
        <v>280.07</v>
      </c>
    </row>
    <row r="5168" spans="1:4" ht="56">
      <c r="A5168" s="715">
        <v>105204</v>
      </c>
      <c r="B5168" s="633" t="s">
        <v>29293</v>
      </c>
      <c r="C5168" s="715" t="s">
        <v>103</v>
      </c>
      <c r="D5168" s="716">
        <v>371.08</v>
      </c>
    </row>
    <row r="5169" spans="1:4" ht="56">
      <c r="A5169" s="715">
        <v>105206</v>
      </c>
      <c r="B5169" s="633" t="s">
        <v>29295</v>
      </c>
      <c r="C5169" s="715" t="s">
        <v>103</v>
      </c>
      <c r="D5169" s="716">
        <v>165.04</v>
      </c>
    </row>
    <row r="5170" spans="1:4" ht="56">
      <c r="A5170" s="715">
        <v>105205</v>
      </c>
      <c r="B5170" s="633" t="s">
        <v>29294</v>
      </c>
      <c r="C5170" s="715" t="s">
        <v>103</v>
      </c>
      <c r="D5170" s="716">
        <v>259.43</v>
      </c>
    </row>
    <row r="5171" spans="1:4" ht="56">
      <c r="A5171" s="715">
        <v>105207</v>
      </c>
      <c r="B5171" s="633" t="s">
        <v>29296</v>
      </c>
      <c r="C5171" s="715" t="s">
        <v>103</v>
      </c>
      <c r="D5171" s="716">
        <v>360.76</v>
      </c>
    </row>
    <row r="5172" spans="1:4" ht="42">
      <c r="A5172" s="715">
        <v>94687</v>
      </c>
      <c r="B5172" s="633" t="s">
        <v>29132</v>
      </c>
      <c r="C5172" s="715" t="s">
        <v>103</v>
      </c>
      <c r="D5172" s="716">
        <v>264.52</v>
      </c>
    </row>
    <row r="5173" spans="1:4" ht="42">
      <c r="A5173" s="715">
        <v>94673</v>
      </c>
      <c r="B5173" s="633" t="s">
        <v>40391</v>
      </c>
      <c r="C5173" s="715" t="s">
        <v>103</v>
      </c>
      <c r="D5173" s="716">
        <v>8.6300000000000008</v>
      </c>
    </row>
    <row r="5174" spans="1:4" ht="42">
      <c r="A5174" s="715">
        <v>94675</v>
      </c>
      <c r="B5174" s="633" t="s">
        <v>29120</v>
      </c>
      <c r="C5174" s="715" t="s">
        <v>103</v>
      </c>
      <c r="D5174" s="716">
        <v>14.32</v>
      </c>
    </row>
    <row r="5175" spans="1:4" ht="42">
      <c r="A5175" s="715">
        <v>94677</v>
      </c>
      <c r="B5175" s="633" t="s">
        <v>29122</v>
      </c>
      <c r="C5175" s="715" t="s">
        <v>103</v>
      </c>
      <c r="D5175" s="716">
        <v>23.05</v>
      </c>
    </row>
    <row r="5176" spans="1:4" ht="42">
      <c r="A5176" s="715">
        <v>94679</v>
      </c>
      <c r="B5176" s="633" t="s">
        <v>29124</v>
      </c>
      <c r="C5176" s="715" t="s">
        <v>103</v>
      </c>
      <c r="D5176" s="716">
        <v>27.95</v>
      </c>
    </row>
    <row r="5177" spans="1:4" ht="42">
      <c r="A5177" s="715">
        <v>94681</v>
      </c>
      <c r="B5177" s="633" t="s">
        <v>29126</v>
      </c>
      <c r="C5177" s="715" t="s">
        <v>103</v>
      </c>
      <c r="D5177" s="716">
        <v>56.99</v>
      </c>
    </row>
    <row r="5178" spans="1:4" ht="42">
      <c r="A5178" s="715">
        <v>94683</v>
      </c>
      <c r="B5178" s="633" t="s">
        <v>29128</v>
      </c>
      <c r="C5178" s="715" t="s">
        <v>103</v>
      </c>
      <c r="D5178" s="716">
        <v>86.51</v>
      </c>
    </row>
    <row r="5179" spans="1:4" ht="42">
      <c r="A5179" s="715">
        <v>94685</v>
      </c>
      <c r="B5179" s="633" t="s">
        <v>29130</v>
      </c>
      <c r="C5179" s="715" t="s">
        <v>103</v>
      </c>
      <c r="D5179" s="716">
        <v>110.14</v>
      </c>
    </row>
    <row r="5180" spans="1:4" ht="56">
      <c r="A5180" s="715">
        <v>94621</v>
      </c>
      <c r="B5180" s="633" t="s">
        <v>33862</v>
      </c>
      <c r="C5180" s="715" t="s">
        <v>103</v>
      </c>
      <c r="D5180" s="716">
        <v>0</v>
      </c>
    </row>
    <row r="5181" spans="1:4" ht="56">
      <c r="A5181" s="715">
        <v>94615</v>
      </c>
      <c r="B5181" s="633" t="s">
        <v>29096</v>
      </c>
      <c r="C5181" s="715" t="s">
        <v>103</v>
      </c>
      <c r="D5181" s="716">
        <v>173.67</v>
      </c>
    </row>
    <row r="5182" spans="1:4" ht="56">
      <c r="A5182" s="715">
        <v>94617</v>
      </c>
      <c r="B5182" s="633" t="s">
        <v>29098</v>
      </c>
      <c r="C5182" s="715" t="s">
        <v>103</v>
      </c>
      <c r="D5182" s="716">
        <v>344.09</v>
      </c>
    </row>
    <row r="5183" spans="1:4" ht="56">
      <c r="A5183" s="715">
        <v>94619</v>
      </c>
      <c r="B5183" s="633" t="s">
        <v>33863</v>
      </c>
      <c r="C5183" s="715" t="s">
        <v>103</v>
      </c>
      <c r="D5183" s="716">
        <v>0</v>
      </c>
    </row>
    <row r="5184" spans="1:4" ht="42">
      <c r="A5184" s="715">
        <v>105147</v>
      </c>
      <c r="B5184" s="633" t="s">
        <v>29245</v>
      </c>
      <c r="C5184" s="715" t="s">
        <v>103</v>
      </c>
      <c r="D5184" s="716">
        <v>18.95</v>
      </c>
    </row>
    <row r="5185" spans="1:4" ht="42">
      <c r="A5185" s="715">
        <v>105148</v>
      </c>
      <c r="B5185" s="633" t="s">
        <v>29246</v>
      </c>
      <c r="C5185" s="715" t="s">
        <v>103</v>
      </c>
      <c r="D5185" s="716">
        <v>26.69</v>
      </c>
    </row>
    <row r="5186" spans="1:4" ht="42">
      <c r="A5186" s="715">
        <v>105154</v>
      </c>
      <c r="B5186" s="633" t="s">
        <v>29251</v>
      </c>
      <c r="C5186" s="715" t="s">
        <v>103</v>
      </c>
      <c r="D5186" s="716">
        <v>8.01</v>
      </c>
    </row>
    <row r="5187" spans="1:4" ht="42">
      <c r="A5187" s="715">
        <v>105155</v>
      </c>
      <c r="B5187" s="633" t="s">
        <v>29252</v>
      </c>
      <c r="C5187" s="715" t="s">
        <v>103</v>
      </c>
      <c r="D5187" s="716">
        <v>11.99</v>
      </c>
    </row>
    <row r="5188" spans="1:4" ht="42">
      <c r="A5188" s="715">
        <v>105156</v>
      </c>
      <c r="B5188" s="633" t="s">
        <v>29253</v>
      </c>
      <c r="C5188" s="715" t="s">
        <v>103</v>
      </c>
      <c r="D5188" s="716">
        <v>15.31</v>
      </c>
    </row>
    <row r="5189" spans="1:4" ht="42">
      <c r="A5189" s="715">
        <v>105157</v>
      </c>
      <c r="B5189" s="633" t="s">
        <v>29254</v>
      </c>
      <c r="C5189" s="715" t="s">
        <v>103</v>
      </c>
      <c r="D5189" s="716">
        <v>23.53</v>
      </c>
    </row>
    <row r="5190" spans="1:4" ht="42">
      <c r="A5190" s="715">
        <v>105158</v>
      </c>
      <c r="B5190" s="633" t="s">
        <v>29255</v>
      </c>
      <c r="C5190" s="715" t="s">
        <v>103</v>
      </c>
      <c r="D5190" s="716">
        <v>34.56</v>
      </c>
    </row>
    <row r="5191" spans="1:4" ht="42">
      <c r="A5191" s="715">
        <v>105159</v>
      </c>
      <c r="B5191" s="633" t="s">
        <v>29256</v>
      </c>
      <c r="C5191" s="715" t="s">
        <v>103</v>
      </c>
      <c r="D5191" s="716">
        <v>61.42</v>
      </c>
    </row>
    <row r="5192" spans="1:4" ht="42">
      <c r="A5192" s="715">
        <v>105160</v>
      </c>
      <c r="B5192" s="633" t="s">
        <v>29257</v>
      </c>
      <c r="C5192" s="715" t="s">
        <v>103</v>
      </c>
      <c r="D5192" s="716">
        <v>75.8</v>
      </c>
    </row>
    <row r="5193" spans="1:4" ht="42">
      <c r="A5193" s="715">
        <v>94634</v>
      </c>
      <c r="B5193" s="633" t="s">
        <v>33864</v>
      </c>
      <c r="C5193" s="715" t="s">
        <v>103</v>
      </c>
      <c r="D5193" s="716">
        <v>0</v>
      </c>
    </row>
    <row r="5194" spans="1:4" ht="42">
      <c r="A5194" s="715">
        <v>94631</v>
      </c>
      <c r="B5194" s="633" t="s">
        <v>33865</v>
      </c>
      <c r="C5194" s="715" t="s">
        <v>103</v>
      </c>
      <c r="D5194" s="716">
        <v>0</v>
      </c>
    </row>
    <row r="5195" spans="1:4" ht="42">
      <c r="A5195" s="715">
        <v>94632</v>
      </c>
      <c r="B5195" s="633" t="s">
        <v>33866</v>
      </c>
      <c r="C5195" s="715" t="s">
        <v>103</v>
      </c>
      <c r="D5195" s="716">
        <v>0</v>
      </c>
    </row>
    <row r="5196" spans="1:4" ht="42">
      <c r="A5196" s="715">
        <v>94633</v>
      </c>
      <c r="B5196" s="633" t="s">
        <v>33867</v>
      </c>
      <c r="C5196" s="715" t="s">
        <v>103</v>
      </c>
      <c r="D5196" s="716">
        <v>0</v>
      </c>
    </row>
    <row r="5197" spans="1:4" ht="56">
      <c r="A5197" s="715">
        <v>94672</v>
      </c>
      <c r="B5197" s="633" t="s">
        <v>40392</v>
      </c>
      <c r="C5197" s="715" t="s">
        <v>103</v>
      </c>
      <c r="D5197" s="716">
        <v>7.59</v>
      </c>
    </row>
    <row r="5198" spans="1:4" ht="42">
      <c r="A5198" s="715">
        <v>94754</v>
      </c>
      <c r="B5198" s="633" t="s">
        <v>29176</v>
      </c>
      <c r="C5198" s="715" t="s">
        <v>103</v>
      </c>
      <c r="D5198" s="716">
        <v>300.10000000000002</v>
      </c>
    </row>
    <row r="5199" spans="1:4" ht="42">
      <c r="A5199" s="715">
        <v>94740</v>
      </c>
      <c r="B5199" s="633" t="s">
        <v>29167</v>
      </c>
      <c r="C5199" s="715" t="s">
        <v>103</v>
      </c>
      <c r="D5199" s="716">
        <v>10.63</v>
      </c>
    </row>
    <row r="5200" spans="1:4" ht="42">
      <c r="A5200" s="715">
        <v>94742</v>
      </c>
      <c r="B5200" s="633" t="s">
        <v>29169</v>
      </c>
      <c r="C5200" s="715" t="s">
        <v>103</v>
      </c>
      <c r="D5200" s="716">
        <v>17.489999999999998</v>
      </c>
    </row>
    <row r="5201" spans="1:4" ht="42">
      <c r="A5201" s="715">
        <v>94744</v>
      </c>
      <c r="B5201" s="633" t="s">
        <v>29171</v>
      </c>
      <c r="C5201" s="715" t="s">
        <v>103</v>
      </c>
      <c r="D5201" s="716">
        <v>27.48</v>
      </c>
    </row>
    <row r="5202" spans="1:4" ht="42">
      <c r="A5202" s="715">
        <v>94746</v>
      </c>
      <c r="B5202" s="633" t="s">
        <v>29172</v>
      </c>
      <c r="C5202" s="715" t="s">
        <v>103</v>
      </c>
      <c r="D5202" s="716">
        <v>39.380000000000003</v>
      </c>
    </row>
    <row r="5203" spans="1:4" ht="42">
      <c r="A5203" s="715">
        <v>94748</v>
      </c>
      <c r="B5203" s="633" t="s">
        <v>29173</v>
      </c>
      <c r="C5203" s="715" t="s">
        <v>103</v>
      </c>
      <c r="D5203" s="716">
        <v>85.92</v>
      </c>
    </row>
    <row r="5204" spans="1:4" ht="42">
      <c r="A5204" s="715">
        <v>94750</v>
      </c>
      <c r="B5204" s="633" t="s">
        <v>29174</v>
      </c>
      <c r="C5204" s="715" t="s">
        <v>103</v>
      </c>
      <c r="D5204" s="716">
        <v>173.51</v>
      </c>
    </row>
    <row r="5205" spans="1:4" ht="42">
      <c r="A5205" s="715">
        <v>94752</v>
      </c>
      <c r="B5205" s="633" t="s">
        <v>29175</v>
      </c>
      <c r="C5205" s="715" t="s">
        <v>103</v>
      </c>
      <c r="D5205" s="716">
        <v>209.07</v>
      </c>
    </row>
    <row r="5206" spans="1:4" ht="42">
      <c r="A5206" s="715">
        <v>96755</v>
      </c>
      <c r="B5206" s="633" t="s">
        <v>29211</v>
      </c>
      <c r="C5206" s="715" t="s">
        <v>103</v>
      </c>
      <c r="D5206" s="716">
        <v>385.45</v>
      </c>
    </row>
    <row r="5207" spans="1:4" ht="42">
      <c r="A5207" s="715">
        <v>96747</v>
      </c>
      <c r="B5207" s="633" t="s">
        <v>29203</v>
      </c>
      <c r="C5207" s="715" t="s">
        <v>103</v>
      </c>
      <c r="D5207" s="716">
        <v>9.5299999999999994</v>
      </c>
    </row>
    <row r="5208" spans="1:4" ht="42">
      <c r="A5208" s="715">
        <v>96748</v>
      </c>
      <c r="B5208" s="633" t="s">
        <v>29204</v>
      </c>
      <c r="C5208" s="715" t="s">
        <v>103</v>
      </c>
      <c r="D5208" s="716">
        <v>10.99</v>
      </c>
    </row>
    <row r="5209" spans="1:4" ht="42">
      <c r="A5209" s="715">
        <v>96749</v>
      </c>
      <c r="B5209" s="633" t="s">
        <v>29205</v>
      </c>
      <c r="C5209" s="715" t="s">
        <v>103</v>
      </c>
      <c r="D5209" s="716">
        <v>13.78</v>
      </c>
    </row>
    <row r="5210" spans="1:4" ht="42">
      <c r="A5210" s="715">
        <v>96750</v>
      </c>
      <c r="B5210" s="633" t="s">
        <v>29206</v>
      </c>
      <c r="C5210" s="715" t="s">
        <v>103</v>
      </c>
      <c r="D5210" s="716">
        <v>21.07</v>
      </c>
    </row>
    <row r="5211" spans="1:4" ht="42">
      <c r="A5211" s="715">
        <v>96751</v>
      </c>
      <c r="B5211" s="633" t="s">
        <v>29207</v>
      </c>
      <c r="C5211" s="715" t="s">
        <v>103</v>
      </c>
      <c r="D5211" s="716">
        <v>30.42</v>
      </c>
    </row>
    <row r="5212" spans="1:4" ht="42">
      <c r="A5212" s="715">
        <v>96752</v>
      </c>
      <c r="B5212" s="633" t="s">
        <v>29208</v>
      </c>
      <c r="C5212" s="715" t="s">
        <v>103</v>
      </c>
      <c r="D5212" s="716">
        <v>45.27</v>
      </c>
    </row>
    <row r="5213" spans="1:4" ht="42">
      <c r="A5213" s="715">
        <v>96753</v>
      </c>
      <c r="B5213" s="633" t="s">
        <v>29209</v>
      </c>
      <c r="C5213" s="715" t="s">
        <v>103</v>
      </c>
      <c r="D5213" s="716">
        <v>100.67</v>
      </c>
    </row>
    <row r="5214" spans="1:4" ht="42">
      <c r="A5214" s="715">
        <v>96754</v>
      </c>
      <c r="B5214" s="633" t="s">
        <v>29210</v>
      </c>
      <c r="C5214" s="715" t="s">
        <v>103</v>
      </c>
      <c r="D5214" s="716">
        <v>129.37</v>
      </c>
    </row>
    <row r="5215" spans="1:4" ht="42">
      <c r="A5215" s="715">
        <v>94686</v>
      </c>
      <c r="B5215" s="633" t="s">
        <v>29131</v>
      </c>
      <c r="C5215" s="715" t="s">
        <v>103</v>
      </c>
      <c r="D5215" s="716">
        <v>291.76</v>
      </c>
    </row>
    <row r="5216" spans="1:4" ht="42">
      <c r="A5216" s="715">
        <v>94674</v>
      </c>
      <c r="B5216" s="633" t="s">
        <v>29119</v>
      </c>
      <c r="C5216" s="715" t="s">
        <v>103</v>
      </c>
      <c r="D5216" s="716">
        <v>9.59</v>
      </c>
    </row>
    <row r="5217" spans="1:4" ht="42">
      <c r="A5217" s="715">
        <v>94676</v>
      </c>
      <c r="B5217" s="633" t="s">
        <v>29121</v>
      </c>
      <c r="C5217" s="715" t="s">
        <v>103</v>
      </c>
      <c r="D5217" s="716">
        <v>15.87</v>
      </c>
    </row>
    <row r="5218" spans="1:4" ht="42">
      <c r="A5218" s="715">
        <v>94678</v>
      </c>
      <c r="B5218" s="633" t="s">
        <v>29123</v>
      </c>
      <c r="C5218" s="715" t="s">
        <v>103</v>
      </c>
      <c r="D5218" s="716">
        <v>18.510000000000002</v>
      </c>
    </row>
    <row r="5219" spans="1:4" ht="42">
      <c r="A5219" s="715">
        <v>94680</v>
      </c>
      <c r="B5219" s="633" t="s">
        <v>29125</v>
      </c>
      <c r="C5219" s="715" t="s">
        <v>103</v>
      </c>
      <c r="D5219" s="716">
        <v>50.95</v>
      </c>
    </row>
    <row r="5220" spans="1:4" ht="42">
      <c r="A5220" s="715">
        <v>94682</v>
      </c>
      <c r="B5220" s="633" t="s">
        <v>29127</v>
      </c>
      <c r="C5220" s="715" t="s">
        <v>103</v>
      </c>
      <c r="D5220" s="716">
        <v>125.23</v>
      </c>
    </row>
    <row r="5221" spans="1:4" ht="42">
      <c r="A5221" s="715">
        <v>94684</v>
      </c>
      <c r="B5221" s="633" t="s">
        <v>29129</v>
      </c>
      <c r="C5221" s="715" t="s">
        <v>103</v>
      </c>
      <c r="D5221" s="716">
        <v>151.18</v>
      </c>
    </row>
    <row r="5222" spans="1:4" ht="42">
      <c r="A5222" s="715">
        <v>105219</v>
      </c>
      <c r="B5222" s="633" t="s">
        <v>29308</v>
      </c>
      <c r="C5222" s="715" t="s">
        <v>103</v>
      </c>
      <c r="D5222" s="716">
        <v>12.3</v>
      </c>
    </row>
    <row r="5223" spans="1:4" ht="42">
      <c r="A5223" s="715">
        <v>105220</v>
      </c>
      <c r="B5223" s="633" t="s">
        <v>29309</v>
      </c>
      <c r="C5223" s="715" t="s">
        <v>103</v>
      </c>
      <c r="D5223" s="716">
        <v>16.8</v>
      </c>
    </row>
    <row r="5224" spans="1:4" ht="42">
      <c r="A5224" s="715">
        <v>105221</v>
      </c>
      <c r="B5224" s="633" t="s">
        <v>29310</v>
      </c>
      <c r="C5224" s="715" t="s">
        <v>103</v>
      </c>
      <c r="D5224" s="716">
        <v>25.77</v>
      </c>
    </row>
    <row r="5225" spans="1:4" ht="42">
      <c r="A5225" s="715">
        <v>105166</v>
      </c>
      <c r="B5225" s="633" t="s">
        <v>29263</v>
      </c>
      <c r="C5225" s="715" t="s">
        <v>103</v>
      </c>
      <c r="D5225" s="716">
        <v>38.96</v>
      </c>
    </row>
    <row r="5226" spans="1:4" ht="42">
      <c r="A5226" s="715">
        <v>105222</v>
      </c>
      <c r="B5226" s="633" t="s">
        <v>29311</v>
      </c>
      <c r="C5226" s="715" t="s">
        <v>103</v>
      </c>
      <c r="D5226" s="716">
        <v>73.459999999999994</v>
      </c>
    </row>
    <row r="5227" spans="1:4" ht="42">
      <c r="A5227" s="715">
        <v>105223</v>
      </c>
      <c r="B5227" s="633" t="s">
        <v>29312</v>
      </c>
      <c r="C5227" s="715" t="s">
        <v>103</v>
      </c>
      <c r="D5227" s="716">
        <v>167.87</v>
      </c>
    </row>
    <row r="5228" spans="1:4" ht="42">
      <c r="A5228" s="715">
        <v>105224</v>
      </c>
      <c r="B5228" s="633" t="s">
        <v>29313</v>
      </c>
      <c r="C5228" s="715" t="s">
        <v>103</v>
      </c>
      <c r="D5228" s="716">
        <v>244.14</v>
      </c>
    </row>
    <row r="5229" spans="1:4" ht="42">
      <c r="A5229" s="715">
        <v>105149</v>
      </c>
      <c r="B5229" s="633" t="s">
        <v>29247</v>
      </c>
      <c r="C5229" s="715" t="s">
        <v>103</v>
      </c>
      <c r="D5229" s="716">
        <v>9.8000000000000007</v>
      </c>
    </row>
    <row r="5230" spans="1:4" ht="42">
      <c r="A5230" s="715">
        <v>105150</v>
      </c>
      <c r="B5230" s="633" t="s">
        <v>29248</v>
      </c>
      <c r="C5230" s="715" t="s">
        <v>103</v>
      </c>
      <c r="D5230" s="716">
        <v>11.43</v>
      </c>
    </row>
    <row r="5231" spans="1:4" ht="42">
      <c r="A5231" s="715">
        <v>105151</v>
      </c>
      <c r="B5231" s="633" t="s">
        <v>29249</v>
      </c>
      <c r="C5231" s="715" t="s">
        <v>103</v>
      </c>
      <c r="D5231" s="716">
        <v>27.12</v>
      </c>
    </row>
    <row r="5232" spans="1:4" ht="42">
      <c r="A5232" s="715">
        <v>105152</v>
      </c>
      <c r="B5232" s="633" t="s">
        <v>29250</v>
      </c>
      <c r="C5232" s="715" t="s">
        <v>103</v>
      </c>
      <c r="D5232" s="716">
        <v>40</v>
      </c>
    </row>
    <row r="5233" spans="1:4" ht="42">
      <c r="A5233" s="715">
        <v>105153</v>
      </c>
      <c r="B5233" s="633" t="s">
        <v>29068</v>
      </c>
      <c r="C5233" s="715" t="s">
        <v>103</v>
      </c>
      <c r="D5233" s="716">
        <v>62.36</v>
      </c>
    </row>
    <row r="5234" spans="1:4" ht="42">
      <c r="A5234" s="715">
        <v>105161</v>
      </c>
      <c r="B5234" s="633" t="s">
        <v>29258</v>
      </c>
      <c r="C5234" s="715" t="s">
        <v>103</v>
      </c>
      <c r="D5234" s="716">
        <v>111.1</v>
      </c>
    </row>
    <row r="5235" spans="1:4" ht="42">
      <c r="A5235" s="715">
        <v>105162</v>
      </c>
      <c r="B5235" s="633" t="s">
        <v>29259</v>
      </c>
      <c r="C5235" s="715" t="s">
        <v>103</v>
      </c>
      <c r="D5235" s="716">
        <v>188.46</v>
      </c>
    </row>
    <row r="5236" spans="1:4" ht="42">
      <c r="A5236" s="715">
        <v>105163</v>
      </c>
      <c r="B5236" s="633" t="s">
        <v>29260</v>
      </c>
      <c r="C5236" s="715" t="s">
        <v>103</v>
      </c>
      <c r="D5236" s="716">
        <v>17.5</v>
      </c>
    </row>
    <row r="5237" spans="1:4" ht="42">
      <c r="A5237" s="715">
        <v>105170</v>
      </c>
      <c r="B5237" s="633" t="s">
        <v>29266</v>
      </c>
      <c r="C5237" s="715" t="s">
        <v>103</v>
      </c>
      <c r="D5237" s="716">
        <v>6.89</v>
      </c>
    </row>
    <row r="5238" spans="1:4" ht="42">
      <c r="A5238" s="715">
        <v>105179</v>
      </c>
      <c r="B5238" s="633" t="s">
        <v>29274</v>
      </c>
      <c r="C5238" s="715" t="s">
        <v>103</v>
      </c>
      <c r="D5238" s="716">
        <v>11.61</v>
      </c>
    </row>
    <row r="5239" spans="1:4" ht="42">
      <c r="A5239" s="715">
        <v>105180</v>
      </c>
      <c r="B5239" s="633" t="s">
        <v>29275</v>
      </c>
      <c r="C5239" s="715" t="s">
        <v>103</v>
      </c>
      <c r="D5239" s="716">
        <v>15.94</v>
      </c>
    </row>
    <row r="5240" spans="1:4" ht="42">
      <c r="A5240" s="715">
        <v>105181</v>
      </c>
      <c r="B5240" s="633" t="s">
        <v>29276</v>
      </c>
      <c r="C5240" s="715" t="s">
        <v>103</v>
      </c>
      <c r="D5240" s="716">
        <v>21.43</v>
      </c>
    </row>
    <row r="5241" spans="1:4" ht="42">
      <c r="A5241" s="715">
        <v>105182</v>
      </c>
      <c r="B5241" s="633" t="s">
        <v>29277</v>
      </c>
      <c r="C5241" s="715" t="s">
        <v>103</v>
      </c>
      <c r="D5241" s="716">
        <v>48.91</v>
      </c>
    </row>
    <row r="5242" spans="1:4" ht="42">
      <c r="A5242" s="715">
        <v>105183</v>
      </c>
      <c r="B5242" s="633" t="s">
        <v>29278</v>
      </c>
      <c r="C5242" s="715" t="s">
        <v>103</v>
      </c>
      <c r="D5242" s="716">
        <v>101.59</v>
      </c>
    </row>
    <row r="5243" spans="1:4" ht="42">
      <c r="A5243" s="715">
        <v>105184</v>
      </c>
      <c r="B5243" s="633" t="s">
        <v>29279</v>
      </c>
      <c r="C5243" s="715" t="s">
        <v>103</v>
      </c>
      <c r="D5243" s="716">
        <v>125.87</v>
      </c>
    </row>
    <row r="5244" spans="1:4" ht="42">
      <c r="A5244" s="715">
        <v>94612</v>
      </c>
      <c r="B5244" s="633" t="s">
        <v>29094</v>
      </c>
      <c r="C5244" s="715" t="s">
        <v>103</v>
      </c>
      <c r="D5244" s="716">
        <v>443.26</v>
      </c>
    </row>
    <row r="5245" spans="1:4" ht="42">
      <c r="A5245" s="715">
        <v>105142</v>
      </c>
      <c r="B5245" s="633" t="s">
        <v>29064</v>
      </c>
      <c r="C5245" s="715" t="s">
        <v>103</v>
      </c>
      <c r="D5245" s="716">
        <v>7.97</v>
      </c>
    </row>
    <row r="5246" spans="1:4" ht="42">
      <c r="A5246" s="715">
        <v>105143</v>
      </c>
      <c r="B5246" s="633" t="s">
        <v>29065</v>
      </c>
      <c r="C5246" s="715" t="s">
        <v>103</v>
      </c>
      <c r="D5246" s="716">
        <v>11.93</v>
      </c>
    </row>
    <row r="5247" spans="1:4" ht="42">
      <c r="A5247" s="715">
        <v>105144</v>
      </c>
      <c r="B5247" s="633" t="s">
        <v>29066</v>
      </c>
      <c r="C5247" s="715" t="s">
        <v>103</v>
      </c>
      <c r="D5247" s="716">
        <v>25.16</v>
      </c>
    </row>
    <row r="5248" spans="1:4" ht="56">
      <c r="A5248" s="715">
        <v>105173</v>
      </c>
      <c r="B5248" s="633" t="s">
        <v>29268</v>
      </c>
      <c r="C5248" s="715" t="s">
        <v>103</v>
      </c>
      <c r="D5248" s="716">
        <v>96.91</v>
      </c>
    </row>
    <row r="5249" spans="1:4" ht="56">
      <c r="A5249" s="715">
        <v>105175</v>
      </c>
      <c r="B5249" s="633" t="s">
        <v>29270</v>
      </c>
      <c r="C5249" s="715" t="s">
        <v>103</v>
      </c>
      <c r="D5249" s="716">
        <v>136.72999999999999</v>
      </c>
    </row>
    <row r="5250" spans="1:4" ht="56">
      <c r="A5250" s="715">
        <v>105174</v>
      </c>
      <c r="B5250" s="633" t="s">
        <v>29269</v>
      </c>
      <c r="C5250" s="715" t="s">
        <v>103</v>
      </c>
      <c r="D5250" s="716">
        <v>138.74</v>
      </c>
    </row>
    <row r="5251" spans="1:4" ht="42">
      <c r="A5251" s="715">
        <v>105145</v>
      </c>
      <c r="B5251" s="633" t="s">
        <v>29067</v>
      </c>
      <c r="C5251" s="715" t="s">
        <v>103</v>
      </c>
      <c r="D5251" s="716">
        <v>13.79</v>
      </c>
    </row>
    <row r="5252" spans="1:4" ht="42">
      <c r="A5252" s="715">
        <v>94606</v>
      </c>
      <c r="B5252" s="633" t="s">
        <v>29091</v>
      </c>
      <c r="C5252" s="715" t="s">
        <v>103</v>
      </c>
      <c r="D5252" s="716">
        <v>91.53</v>
      </c>
    </row>
    <row r="5253" spans="1:4" ht="42">
      <c r="A5253" s="715">
        <v>94608</v>
      </c>
      <c r="B5253" s="633" t="s">
        <v>29092</v>
      </c>
      <c r="C5253" s="715" t="s">
        <v>103</v>
      </c>
      <c r="D5253" s="716">
        <v>217.18</v>
      </c>
    </row>
    <row r="5254" spans="1:4" ht="42">
      <c r="A5254" s="715">
        <v>94610</v>
      </c>
      <c r="B5254" s="633" t="s">
        <v>29093</v>
      </c>
      <c r="C5254" s="715" t="s">
        <v>103</v>
      </c>
      <c r="D5254" s="716">
        <v>314.05</v>
      </c>
    </row>
    <row r="5255" spans="1:4" ht="42">
      <c r="A5255" s="715">
        <v>94657</v>
      </c>
      <c r="B5255" s="633" t="s">
        <v>40393</v>
      </c>
      <c r="C5255" s="715" t="s">
        <v>103</v>
      </c>
      <c r="D5255" s="716">
        <v>4.6900000000000004</v>
      </c>
    </row>
    <row r="5256" spans="1:4" ht="42">
      <c r="A5256" s="715">
        <v>94659</v>
      </c>
      <c r="B5256" s="633" t="s">
        <v>29106</v>
      </c>
      <c r="C5256" s="715" t="s">
        <v>103</v>
      </c>
      <c r="D5256" s="716">
        <v>7.27</v>
      </c>
    </row>
    <row r="5257" spans="1:4" ht="42">
      <c r="A5257" s="715">
        <v>94739</v>
      </c>
      <c r="B5257" s="633" t="s">
        <v>29166</v>
      </c>
      <c r="C5257" s="715" t="s">
        <v>103</v>
      </c>
      <c r="D5257" s="716">
        <v>242.5</v>
      </c>
    </row>
    <row r="5258" spans="1:4" ht="42">
      <c r="A5258" s="715">
        <v>94725</v>
      </c>
      <c r="B5258" s="633" t="s">
        <v>29153</v>
      </c>
      <c r="C5258" s="715" t="s">
        <v>103</v>
      </c>
      <c r="D5258" s="716">
        <v>7.36</v>
      </c>
    </row>
    <row r="5259" spans="1:4" ht="42">
      <c r="A5259" s="715">
        <v>94727</v>
      </c>
      <c r="B5259" s="633" t="s">
        <v>29155</v>
      </c>
      <c r="C5259" s="715" t="s">
        <v>103</v>
      </c>
      <c r="D5259" s="716">
        <v>11.86</v>
      </c>
    </row>
    <row r="5260" spans="1:4" ht="42">
      <c r="A5260" s="715">
        <v>94729</v>
      </c>
      <c r="B5260" s="633" t="s">
        <v>29157</v>
      </c>
      <c r="C5260" s="715" t="s">
        <v>103</v>
      </c>
      <c r="D5260" s="716">
        <v>20.47</v>
      </c>
    </row>
    <row r="5261" spans="1:4" ht="42">
      <c r="A5261" s="715">
        <v>94731</v>
      </c>
      <c r="B5261" s="633" t="s">
        <v>29159</v>
      </c>
      <c r="C5261" s="715" t="s">
        <v>103</v>
      </c>
      <c r="D5261" s="716">
        <v>27.18</v>
      </c>
    </row>
    <row r="5262" spans="1:4" ht="42">
      <c r="A5262" s="715">
        <v>94733</v>
      </c>
      <c r="B5262" s="633" t="s">
        <v>29161</v>
      </c>
      <c r="C5262" s="715" t="s">
        <v>103</v>
      </c>
      <c r="D5262" s="716">
        <v>47.75</v>
      </c>
    </row>
    <row r="5263" spans="1:4" ht="42">
      <c r="A5263" s="715">
        <v>94863</v>
      </c>
      <c r="B5263" s="633" t="s">
        <v>29191</v>
      </c>
      <c r="C5263" s="715" t="s">
        <v>103</v>
      </c>
      <c r="D5263" s="716">
        <v>164.8</v>
      </c>
    </row>
    <row r="5264" spans="1:4" ht="42">
      <c r="A5264" s="715">
        <v>94737</v>
      </c>
      <c r="B5264" s="633" t="s">
        <v>29164</v>
      </c>
      <c r="C5264" s="715" t="s">
        <v>103</v>
      </c>
      <c r="D5264" s="716">
        <v>196.63</v>
      </c>
    </row>
    <row r="5265" spans="1:4" ht="56">
      <c r="A5265" s="715">
        <v>94465</v>
      </c>
      <c r="B5265" s="633" t="s">
        <v>29076</v>
      </c>
      <c r="C5265" s="715" t="s">
        <v>103</v>
      </c>
      <c r="D5265" s="716">
        <v>60.17</v>
      </c>
    </row>
    <row r="5266" spans="1:4" ht="56">
      <c r="A5266" s="715">
        <v>94467</v>
      </c>
      <c r="B5266" s="633" t="s">
        <v>29078</v>
      </c>
      <c r="C5266" s="715" t="s">
        <v>103</v>
      </c>
      <c r="D5266" s="716">
        <v>94.39</v>
      </c>
    </row>
    <row r="5267" spans="1:4" ht="56">
      <c r="A5267" s="715">
        <v>94469</v>
      </c>
      <c r="B5267" s="633" t="s">
        <v>29080</v>
      </c>
      <c r="C5267" s="715" t="s">
        <v>103</v>
      </c>
      <c r="D5267" s="716">
        <v>133.33000000000001</v>
      </c>
    </row>
    <row r="5268" spans="1:4" ht="42">
      <c r="A5268" s="715">
        <v>96746</v>
      </c>
      <c r="B5268" s="633" t="s">
        <v>29202</v>
      </c>
      <c r="C5268" s="715" t="s">
        <v>103</v>
      </c>
      <c r="D5268" s="716">
        <v>129.82</v>
      </c>
    </row>
    <row r="5269" spans="1:4" ht="42">
      <c r="A5269" s="715">
        <v>96736</v>
      </c>
      <c r="B5269" s="633" t="s">
        <v>29192</v>
      </c>
      <c r="C5269" s="715" t="s">
        <v>103</v>
      </c>
      <c r="D5269" s="716">
        <v>7.6</v>
      </c>
    </row>
    <row r="5270" spans="1:4" ht="42">
      <c r="A5270" s="715">
        <v>96737</v>
      </c>
      <c r="B5270" s="633" t="s">
        <v>29193</v>
      </c>
      <c r="C5270" s="715" t="s">
        <v>103</v>
      </c>
      <c r="D5270" s="716">
        <v>7.86</v>
      </c>
    </row>
    <row r="5271" spans="1:4" ht="42">
      <c r="A5271" s="715">
        <v>96739</v>
      </c>
      <c r="B5271" s="633" t="s">
        <v>29195</v>
      </c>
      <c r="C5271" s="715" t="s">
        <v>103</v>
      </c>
      <c r="D5271" s="716">
        <v>10.64</v>
      </c>
    </row>
    <row r="5272" spans="1:4" ht="42">
      <c r="A5272" s="715">
        <v>96741</v>
      </c>
      <c r="B5272" s="633" t="s">
        <v>29197</v>
      </c>
      <c r="C5272" s="715" t="s">
        <v>103</v>
      </c>
      <c r="D5272" s="716">
        <v>19.96</v>
      </c>
    </row>
    <row r="5273" spans="1:4" ht="42">
      <c r="A5273" s="715">
        <v>96742</v>
      </c>
      <c r="B5273" s="633" t="s">
        <v>29198</v>
      </c>
      <c r="C5273" s="715" t="s">
        <v>103</v>
      </c>
      <c r="D5273" s="716">
        <v>24.55</v>
      </c>
    </row>
    <row r="5274" spans="1:4" ht="42">
      <c r="A5274" s="715">
        <v>96743</v>
      </c>
      <c r="B5274" s="633" t="s">
        <v>29199</v>
      </c>
      <c r="C5274" s="715" t="s">
        <v>103</v>
      </c>
      <c r="D5274" s="716">
        <v>37.97</v>
      </c>
    </row>
    <row r="5275" spans="1:4" ht="42">
      <c r="A5275" s="715">
        <v>96744</v>
      </c>
      <c r="B5275" s="633" t="s">
        <v>29200</v>
      </c>
      <c r="C5275" s="715" t="s">
        <v>103</v>
      </c>
      <c r="D5275" s="716">
        <v>63.25</v>
      </c>
    </row>
    <row r="5276" spans="1:4" ht="42">
      <c r="A5276" s="715">
        <v>96745</v>
      </c>
      <c r="B5276" s="633" t="s">
        <v>29201</v>
      </c>
      <c r="C5276" s="715" t="s">
        <v>103</v>
      </c>
      <c r="D5276" s="716">
        <v>98.52</v>
      </c>
    </row>
    <row r="5277" spans="1:4" ht="42">
      <c r="A5277" s="715">
        <v>94671</v>
      </c>
      <c r="B5277" s="633" t="s">
        <v>29118</v>
      </c>
      <c r="C5277" s="715" t="s">
        <v>103</v>
      </c>
      <c r="D5277" s="716">
        <v>122.83</v>
      </c>
    </row>
    <row r="5278" spans="1:4" ht="42">
      <c r="A5278" s="715">
        <v>94661</v>
      </c>
      <c r="B5278" s="633" t="s">
        <v>29108</v>
      </c>
      <c r="C5278" s="715" t="s">
        <v>103</v>
      </c>
      <c r="D5278" s="716">
        <v>11.49</v>
      </c>
    </row>
    <row r="5279" spans="1:4" ht="42">
      <c r="A5279" s="715">
        <v>94663</v>
      </c>
      <c r="B5279" s="633" t="s">
        <v>29110</v>
      </c>
      <c r="C5279" s="715" t="s">
        <v>103</v>
      </c>
      <c r="D5279" s="716">
        <v>14.35</v>
      </c>
    </row>
    <row r="5280" spans="1:4" ht="42">
      <c r="A5280" s="715">
        <v>94665</v>
      </c>
      <c r="B5280" s="633" t="s">
        <v>29112</v>
      </c>
      <c r="C5280" s="715" t="s">
        <v>103</v>
      </c>
      <c r="D5280" s="716">
        <v>28.07</v>
      </c>
    </row>
    <row r="5281" spans="1:4" ht="42">
      <c r="A5281" s="715">
        <v>94667</v>
      </c>
      <c r="B5281" s="633" t="s">
        <v>29114</v>
      </c>
      <c r="C5281" s="715" t="s">
        <v>103</v>
      </c>
      <c r="D5281" s="716">
        <v>41.25</v>
      </c>
    </row>
    <row r="5282" spans="1:4" ht="42">
      <c r="A5282" s="715">
        <v>94669</v>
      </c>
      <c r="B5282" s="633" t="s">
        <v>29116</v>
      </c>
      <c r="C5282" s="715" t="s">
        <v>103</v>
      </c>
      <c r="D5282" s="716">
        <v>74.44</v>
      </c>
    </row>
    <row r="5283" spans="1:4" ht="56">
      <c r="A5283" s="715">
        <v>105177</v>
      </c>
      <c r="B5283" s="633" t="s">
        <v>29272</v>
      </c>
      <c r="C5283" s="715" t="s">
        <v>103</v>
      </c>
      <c r="D5283" s="716">
        <v>153.36000000000001</v>
      </c>
    </row>
    <row r="5284" spans="1:4" ht="56">
      <c r="A5284" s="715">
        <v>105176</v>
      </c>
      <c r="B5284" s="633" t="s">
        <v>29271</v>
      </c>
      <c r="C5284" s="715" t="s">
        <v>103</v>
      </c>
      <c r="D5284" s="716">
        <v>171.94</v>
      </c>
    </row>
    <row r="5285" spans="1:4" ht="56">
      <c r="A5285" s="715">
        <v>94466</v>
      </c>
      <c r="B5285" s="633" t="s">
        <v>29077</v>
      </c>
      <c r="C5285" s="715" t="s">
        <v>103</v>
      </c>
      <c r="D5285" s="716">
        <v>60.2</v>
      </c>
    </row>
    <row r="5286" spans="1:4" ht="56">
      <c r="A5286" s="715">
        <v>94468</v>
      </c>
      <c r="B5286" s="633" t="s">
        <v>29079</v>
      </c>
      <c r="C5286" s="715" t="s">
        <v>103</v>
      </c>
      <c r="D5286" s="716">
        <v>83.68</v>
      </c>
    </row>
    <row r="5287" spans="1:4" ht="56">
      <c r="A5287" s="715">
        <v>94470</v>
      </c>
      <c r="B5287" s="633" t="s">
        <v>29081</v>
      </c>
      <c r="C5287" s="715" t="s">
        <v>103</v>
      </c>
      <c r="D5287" s="716">
        <v>123.8</v>
      </c>
    </row>
    <row r="5288" spans="1:4" ht="42">
      <c r="A5288" s="715">
        <v>105225</v>
      </c>
      <c r="B5288" s="633" t="s">
        <v>29314</v>
      </c>
      <c r="C5288" s="715" t="s">
        <v>103</v>
      </c>
      <c r="D5288" s="716">
        <v>18.239999999999998</v>
      </c>
    </row>
    <row r="5289" spans="1:4" ht="42">
      <c r="A5289" s="715">
        <v>105226</v>
      </c>
      <c r="B5289" s="633" t="s">
        <v>29315</v>
      </c>
      <c r="C5289" s="715" t="s">
        <v>103</v>
      </c>
      <c r="D5289" s="716">
        <v>41.91</v>
      </c>
    </row>
    <row r="5290" spans="1:4" ht="42">
      <c r="A5290" s="715">
        <v>105227</v>
      </c>
      <c r="B5290" s="633" t="s">
        <v>29316</v>
      </c>
      <c r="C5290" s="715" t="s">
        <v>103</v>
      </c>
      <c r="D5290" s="716">
        <v>59.94</v>
      </c>
    </row>
    <row r="5291" spans="1:4" ht="56">
      <c r="A5291" s="715">
        <v>105212</v>
      </c>
      <c r="B5291" s="633" t="s">
        <v>29301</v>
      </c>
      <c r="C5291" s="715" t="s">
        <v>103</v>
      </c>
      <c r="D5291" s="716">
        <v>262.85000000000002</v>
      </c>
    </row>
    <row r="5292" spans="1:4" ht="56">
      <c r="A5292" s="715">
        <v>105211</v>
      </c>
      <c r="B5292" s="633" t="s">
        <v>29300</v>
      </c>
      <c r="C5292" s="715" t="s">
        <v>103</v>
      </c>
      <c r="D5292" s="716">
        <v>265.51</v>
      </c>
    </row>
    <row r="5293" spans="1:4" ht="42">
      <c r="A5293" s="715">
        <v>105189</v>
      </c>
      <c r="B5293" s="633" t="s">
        <v>29280</v>
      </c>
      <c r="C5293" s="715" t="s">
        <v>103</v>
      </c>
      <c r="D5293" s="716">
        <v>25.78</v>
      </c>
    </row>
    <row r="5294" spans="1:4" ht="42">
      <c r="A5294" s="715">
        <v>105190</v>
      </c>
      <c r="B5294" s="633" t="s">
        <v>29281</v>
      </c>
      <c r="C5294" s="715" t="s">
        <v>103</v>
      </c>
      <c r="D5294" s="716">
        <v>31.93</v>
      </c>
    </row>
    <row r="5295" spans="1:4" ht="42">
      <c r="A5295" s="715">
        <v>94625</v>
      </c>
      <c r="B5295" s="633" t="s">
        <v>29104</v>
      </c>
      <c r="C5295" s="715" t="s">
        <v>103</v>
      </c>
      <c r="D5295" s="716">
        <v>1574.21</v>
      </c>
    </row>
    <row r="5296" spans="1:4" ht="42">
      <c r="A5296" s="715">
        <v>94622</v>
      </c>
      <c r="B5296" s="633" t="s">
        <v>29101</v>
      </c>
      <c r="C5296" s="715" t="s">
        <v>103</v>
      </c>
      <c r="D5296" s="716">
        <v>223.75</v>
      </c>
    </row>
    <row r="5297" spans="1:4" ht="42">
      <c r="A5297" s="715">
        <v>94623</v>
      </c>
      <c r="B5297" s="633" t="s">
        <v>29102</v>
      </c>
      <c r="C5297" s="715" t="s">
        <v>103</v>
      </c>
      <c r="D5297" s="716">
        <v>510.18</v>
      </c>
    </row>
    <row r="5298" spans="1:4" ht="42">
      <c r="A5298" s="715">
        <v>94624</v>
      </c>
      <c r="B5298" s="633" t="s">
        <v>29103</v>
      </c>
      <c r="C5298" s="715" t="s">
        <v>103</v>
      </c>
      <c r="D5298" s="716">
        <v>760.4</v>
      </c>
    </row>
    <row r="5299" spans="1:4" ht="42">
      <c r="A5299" s="715">
        <v>94763</v>
      </c>
      <c r="B5299" s="633" t="s">
        <v>29184</v>
      </c>
      <c r="C5299" s="715" t="s">
        <v>103</v>
      </c>
      <c r="D5299" s="716">
        <v>374.03</v>
      </c>
    </row>
    <row r="5300" spans="1:4" ht="42">
      <c r="A5300" s="715">
        <v>94756</v>
      </c>
      <c r="B5300" s="633" t="s">
        <v>29177</v>
      </c>
      <c r="C5300" s="715" t="s">
        <v>103</v>
      </c>
      <c r="D5300" s="716">
        <v>13.65</v>
      </c>
    </row>
    <row r="5301" spans="1:4" ht="42">
      <c r="A5301" s="715">
        <v>94757</v>
      </c>
      <c r="B5301" s="633" t="s">
        <v>29178</v>
      </c>
      <c r="C5301" s="715" t="s">
        <v>103</v>
      </c>
      <c r="D5301" s="716">
        <v>21.24</v>
      </c>
    </row>
    <row r="5302" spans="1:4" ht="42">
      <c r="A5302" s="715">
        <v>94758</v>
      </c>
      <c r="B5302" s="633" t="s">
        <v>29179</v>
      </c>
      <c r="C5302" s="715" t="s">
        <v>103</v>
      </c>
      <c r="D5302" s="716">
        <v>53.09</v>
      </c>
    </row>
    <row r="5303" spans="1:4" ht="42">
      <c r="A5303" s="715">
        <v>94759</v>
      </c>
      <c r="B5303" s="633" t="s">
        <v>29180</v>
      </c>
      <c r="C5303" s="715" t="s">
        <v>103</v>
      </c>
      <c r="D5303" s="716">
        <v>67.7</v>
      </c>
    </row>
    <row r="5304" spans="1:4" ht="42">
      <c r="A5304" s="715">
        <v>94760</v>
      </c>
      <c r="B5304" s="633" t="s">
        <v>29181</v>
      </c>
      <c r="C5304" s="715" t="s">
        <v>103</v>
      </c>
      <c r="D5304" s="716">
        <v>107.99</v>
      </c>
    </row>
    <row r="5305" spans="1:4" ht="42">
      <c r="A5305" s="715">
        <v>94761</v>
      </c>
      <c r="B5305" s="633" t="s">
        <v>29182</v>
      </c>
      <c r="C5305" s="715" t="s">
        <v>103</v>
      </c>
      <c r="D5305" s="716">
        <v>233.18</v>
      </c>
    </row>
    <row r="5306" spans="1:4" ht="42">
      <c r="A5306" s="715">
        <v>94762</v>
      </c>
      <c r="B5306" s="633" t="s">
        <v>29183</v>
      </c>
      <c r="C5306" s="715" t="s">
        <v>103</v>
      </c>
      <c r="D5306" s="716">
        <v>283.44</v>
      </c>
    </row>
    <row r="5307" spans="1:4" ht="56">
      <c r="A5307" s="715">
        <v>94462</v>
      </c>
      <c r="B5307" s="633" t="s">
        <v>29045</v>
      </c>
      <c r="C5307" s="715" t="s">
        <v>165</v>
      </c>
      <c r="D5307" s="716">
        <v>104.57</v>
      </c>
    </row>
    <row r="5308" spans="1:4" ht="56">
      <c r="A5308" s="715">
        <v>94463</v>
      </c>
      <c r="B5308" s="633" t="s">
        <v>29046</v>
      </c>
      <c r="C5308" s="715" t="s">
        <v>165</v>
      </c>
      <c r="D5308" s="716">
        <v>127.77</v>
      </c>
    </row>
    <row r="5309" spans="1:4" ht="56">
      <c r="A5309" s="715">
        <v>94464</v>
      </c>
      <c r="B5309" s="633" t="s">
        <v>29047</v>
      </c>
      <c r="C5309" s="715" t="s">
        <v>165</v>
      </c>
      <c r="D5309" s="716">
        <v>166.59</v>
      </c>
    </row>
    <row r="5310" spans="1:4" ht="42">
      <c r="A5310" s="715">
        <v>94605</v>
      </c>
      <c r="B5310" s="633" t="s">
        <v>29051</v>
      </c>
      <c r="C5310" s="715" t="s">
        <v>165</v>
      </c>
      <c r="D5310" s="716">
        <v>671.96</v>
      </c>
    </row>
    <row r="5311" spans="1:4" ht="42">
      <c r="A5311" s="715">
        <v>94602</v>
      </c>
      <c r="B5311" s="633" t="s">
        <v>29048</v>
      </c>
      <c r="C5311" s="715" t="s">
        <v>165</v>
      </c>
      <c r="D5311" s="716">
        <v>243.39</v>
      </c>
    </row>
    <row r="5312" spans="1:4" ht="42">
      <c r="A5312" s="715">
        <v>94603</v>
      </c>
      <c r="B5312" s="633" t="s">
        <v>29049</v>
      </c>
      <c r="C5312" s="715" t="s">
        <v>165</v>
      </c>
      <c r="D5312" s="716">
        <v>329.66</v>
      </c>
    </row>
    <row r="5313" spans="1:4" ht="42">
      <c r="A5313" s="715">
        <v>94604</v>
      </c>
      <c r="B5313" s="633" t="s">
        <v>29050</v>
      </c>
      <c r="C5313" s="715" t="s">
        <v>165</v>
      </c>
      <c r="D5313" s="716">
        <v>466.18</v>
      </c>
    </row>
    <row r="5314" spans="1:4" ht="42">
      <c r="A5314" s="715">
        <v>94723</v>
      </c>
      <c r="B5314" s="633" t="s">
        <v>29059</v>
      </c>
      <c r="C5314" s="715" t="s">
        <v>165</v>
      </c>
      <c r="D5314" s="716">
        <v>476.9</v>
      </c>
    </row>
    <row r="5315" spans="1:4" ht="42">
      <c r="A5315" s="715">
        <v>94716</v>
      </c>
      <c r="B5315" s="633" t="s">
        <v>29052</v>
      </c>
      <c r="C5315" s="715" t="s">
        <v>165</v>
      </c>
      <c r="D5315" s="716">
        <v>23.74</v>
      </c>
    </row>
    <row r="5316" spans="1:4" ht="42">
      <c r="A5316" s="715">
        <v>94717</v>
      </c>
      <c r="B5316" s="633" t="s">
        <v>29053</v>
      </c>
      <c r="C5316" s="715" t="s">
        <v>165</v>
      </c>
      <c r="D5316" s="716">
        <v>39.49</v>
      </c>
    </row>
    <row r="5317" spans="1:4" ht="42">
      <c r="A5317" s="715">
        <v>94718</v>
      </c>
      <c r="B5317" s="633" t="s">
        <v>29054</v>
      </c>
      <c r="C5317" s="715" t="s">
        <v>165</v>
      </c>
      <c r="D5317" s="716">
        <v>51.57</v>
      </c>
    </row>
    <row r="5318" spans="1:4" ht="42">
      <c r="A5318" s="715">
        <v>94719</v>
      </c>
      <c r="B5318" s="633" t="s">
        <v>29055</v>
      </c>
      <c r="C5318" s="715" t="s">
        <v>165</v>
      </c>
      <c r="D5318" s="716">
        <v>68.77</v>
      </c>
    </row>
    <row r="5319" spans="1:4" ht="42">
      <c r="A5319" s="715">
        <v>94720</v>
      </c>
      <c r="B5319" s="633" t="s">
        <v>29056</v>
      </c>
      <c r="C5319" s="715" t="s">
        <v>165</v>
      </c>
      <c r="D5319" s="716">
        <v>100.71</v>
      </c>
    </row>
    <row r="5320" spans="1:4" ht="42">
      <c r="A5320" s="715">
        <v>94721</v>
      </c>
      <c r="B5320" s="633" t="s">
        <v>29057</v>
      </c>
      <c r="C5320" s="715" t="s">
        <v>165</v>
      </c>
      <c r="D5320" s="716">
        <v>163.35</v>
      </c>
    </row>
    <row r="5321" spans="1:4" ht="42">
      <c r="A5321" s="715">
        <v>94722</v>
      </c>
      <c r="B5321" s="633" t="s">
        <v>29058</v>
      </c>
      <c r="C5321" s="715" t="s">
        <v>165</v>
      </c>
      <c r="D5321" s="716">
        <v>254.24</v>
      </c>
    </row>
    <row r="5322" spans="1:4" ht="42">
      <c r="A5322" s="715">
        <v>96726</v>
      </c>
      <c r="B5322" s="633" t="s">
        <v>40394</v>
      </c>
      <c r="C5322" s="715" t="s">
        <v>165</v>
      </c>
      <c r="D5322" s="716">
        <v>190.79</v>
      </c>
    </row>
    <row r="5323" spans="1:4" ht="42">
      <c r="A5323" s="715">
        <v>96735</v>
      </c>
      <c r="B5323" s="633" t="s">
        <v>40395</v>
      </c>
      <c r="C5323" s="715" t="s">
        <v>165</v>
      </c>
      <c r="D5323" s="716">
        <v>356.56</v>
      </c>
    </row>
    <row r="5324" spans="1:4" ht="42">
      <c r="A5324" s="715">
        <v>96718</v>
      </c>
      <c r="B5324" s="633" t="s">
        <v>40396</v>
      </c>
      <c r="C5324" s="715" t="s">
        <v>165</v>
      </c>
      <c r="D5324" s="716">
        <v>17.579999999999998</v>
      </c>
    </row>
    <row r="5325" spans="1:4" ht="42">
      <c r="A5325" s="715">
        <v>96727</v>
      </c>
      <c r="B5325" s="633" t="s">
        <v>40397</v>
      </c>
      <c r="C5325" s="715" t="s">
        <v>165</v>
      </c>
      <c r="D5325" s="716">
        <v>20.100000000000001</v>
      </c>
    </row>
    <row r="5326" spans="1:4" ht="42">
      <c r="A5326" s="715">
        <v>96719</v>
      </c>
      <c r="B5326" s="633" t="s">
        <v>40398</v>
      </c>
      <c r="C5326" s="715" t="s">
        <v>165</v>
      </c>
      <c r="D5326" s="716">
        <v>22.31</v>
      </c>
    </row>
    <row r="5327" spans="1:4" ht="42">
      <c r="A5327" s="715">
        <v>96728</v>
      </c>
      <c r="B5327" s="633" t="s">
        <v>40399</v>
      </c>
      <c r="C5327" s="715" t="s">
        <v>165</v>
      </c>
      <c r="D5327" s="716">
        <v>25.72</v>
      </c>
    </row>
    <row r="5328" spans="1:4" ht="42">
      <c r="A5328" s="715">
        <v>96720</v>
      </c>
      <c r="B5328" s="633" t="s">
        <v>40400</v>
      </c>
      <c r="C5328" s="715" t="s">
        <v>165</v>
      </c>
      <c r="D5328" s="716">
        <v>20.52</v>
      </c>
    </row>
    <row r="5329" spans="1:4" ht="42">
      <c r="A5329" s="715">
        <v>96729</v>
      </c>
      <c r="B5329" s="633" t="s">
        <v>40401</v>
      </c>
      <c r="C5329" s="715" t="s">
        <v>165</v>
      </c>
      <c r="D5329" s="716">
        <v>32.97</v>
      </c>
    </row>
    <row r="5330" spans="1:4" ht="42">
      <c r="A5330" s="715">
        <v>96721</v>
      </c>
      <c r="B5330" s="633" t="s">
        <v>40402</v>
      </c>
      <c r="C5330" s="715" t="s">
        <v>165</v>
      </c>
      <c r="D5330" s="716">
        <v>26.54</v>
      </c>
    </row>
    <row r="5331" spans="1:4" ht="42">
      <c r="A5331" s="715">
        <v>96730</v>
      </c>
      <c r="B5331" s="633" t="s">
        <v>40403</v>
      </c>
      <c r="C5331" s="715" t="s">
        <v>165</v>
      </c>
      <c r="D5331" s="716">
        <v>45.3</v>
      </c>
    </row>
    <row r="5332" spans="1:4" ht="42">
      <c r="A5332" s="715">
        <v>96722</v>
      </c>
      <c r="B5332" s="633" t="s">
        <v>40404</v>
      </c>
      <c r="C5332" s="715" t="s">
        <v>165</v>
      </c>
      <c r="D5332" s="716">
        <v>40.28</v>
      </c>
    </row>
    <row r="5333" spans="1:4" ht="42">
      <c r="A5333" s="715">
        <v>96731</v>
      </c>
      <c r="B5333" s="633" t="s">
        <v>40405</v>
      </c>
      <c r="C5333" s="715" t="s">
        <v>165</v>
      </c>
      <c r="D5333" s="716">
        <v>67.989999999999995</v>
      </c>
    </row>
    <row r="5334" spans="1:4" ht="42">
      <c r="A5334" s="715">
        <v>96723</v>
      </c>
      <c r="B5334" s="633" t="s">
        <v>40406</v>
      </c>
      <c r="C5334" s="715" t="s">
        <v>165</v>
      </c>
      <c r="D5334" s="716">
        <v>62.09</v>
      </c>
    </row>
    <row r="5335" spans="1:4" ht="42">
      <c r="A5335" s="715">
        <v>96732</v>
      </c>
      <c r="B5335" s="633" t="s">
        <v>40407</v>
      </c>
      <c r="C5335" s="715" t="s">
        <v>165</v>
      </c>
      <c r="D5335" s="716">
        <v>113.66</v>
      </c>
    </row>
    <row r="5336" spans="1:4" ht="42">
      <c r="A5336" s="715">
        <v>96724</v>
      </c>
      <c r="B5336" s="633" t="s">
        <v>40408</v>
      </c>
      <c r="C5336" s="715" t="s">
        <v>165</v>
      </c>
      <c r="D5336" s="716">
        <v>79.680000000000007</v>
      </c>
    </row>
    <row r="5337" spans="1:4" ht="42">
      <c r="A5337" s="715">
        <v>96733</v>
      </c>
      <c r="B5337" s="633" t="s">
        <v>40409</v>
      </c>
      <c r="C5337" s="715" t="s">
        <v>165</v>
      </c>
      <c r="D5337" s="716">
        <v>154.58000000000001</v>
      </c>
    </row>
    <row r="5338" spans="1:4" ht="42">
      <c r="A5338" s="715">
        <v>96725</v>
      </c>
      <c r="B5338" s="633" t="s">
        <v>40410</v>
      </c>
      <c r="C5338" s="715" t="s">
        <v>165</v>
      </c>
      <c r="D5338" s="716">
        <v>129.33000000000001</v>
      </c>
    </row>
    <row r="5339" spans="1:4" ht="42">
      <c r="A5339" s="715">
        <v>96734</v>
      </c>
      <c r="B5339" s="633" t="s">
        <v>40411</v>
      </c>
      <c r="C5339" s="715" t="s">
        <v>165</v>
      </c>
      <c r="D5339" s="716">
        <v>256.33999999999997</v>
      </c>
    </row>
    <row r="5340" spans="1:4" ht="42">
      <c r="A5340" s="715">
        <v>94655</v>
      </c>
      <c r="B5340" s="633" t="s">
        <v>29933</v>
      </c>
      <c r="C5340" s="715" t="s">
        <v>165</v>
      </c>
      <c r="D5340" s="716">
        <v>145.96</v>
      </c>
    </row>
    <row r="5341" spans="1:4" ht="42">
      <c r="A5341" s="715">
        <v>94648</v>
      </c>
      <c r="B5341" s="633" t="s">
        <v>40412</v>
      </c>
      <c r="C5341" s="715" t="s">
        <v>165</v>
      </c>
      <c r="D5341" s="716">
        <v>8.5</v>
      </c>
    </row>
    <row r="5342" spans="1:4" ht="42">
      <c r="A5342" s="715">
        <v>94649</v>
      </c>
      <c r="B5342" s="633" t="s">
        <v>29927</v>
      </c>
      <c r="C5342" s="715" t="s">
        <v>165</v>
      </c>
      <c r="D5342" s="716">
        <v>15.45</v>
      </c>
    </row>
    <row r="5343" spans="1:4" ht="42">
      <c r="A5343" s="715">
        <v>94650</v>
      </c>
      <c r="B5343" s="633" t="s">
        <v>29928</v>
      </c>
      <c r="C5343" s="715" t="s">
        <v>165</v>
      </c>
      <c r="D5343" s="716">
        <v>23.24</v>
      </c>
    </row>
    <row r="5344" spans="1:4" ht="42">
      <c r="A5344" s="715">
        <v>94651</v>
      </c>
      <c r="B5344" s="633" t="s">
        <v>29929</v>
      </c>
      <c r="C5344" s="715" t="s">
        <v>165</v>
      </c>
      <c r="D5344" s="716">
        <v>27.27</v>
      </c>
    </row>
    <row r="5345" spans="1:4" ht="42">
      <c r="A5345" s="715">
        <v>94652</v>
      </c>
      <c r="B5345" s="633" t="s">
        <v>29930</v>
      </c>
      <c r="C5345" s="715" t="s">
        <v>165</v>
      </c>
      <c r="D5345" s="716">
        <v>42.37</v>
      </c>
    </row>
    <row r="5346" spans="1:4" ht="42">
      <c r="A5346" s="715">
        <v>94653</v>
      </c>
      <c r="B5346" s="633" t="s">
        <v>29931</v>
      </c>
      <c r="C5346" s="715" t="s">
        <v>165</v>
      </c>
      <c r="D5346" s="716">
        <v>68.19</v>
      </c>
    </row>
    <row r="5347" spans="1:4" ht="42">
      <c r="A5347" s="715">
        <v>94654</v>
      </c>
      <c r="B5347" s="633" t="s">
        <v>29932</v>
      </c>
      <c r="C5347" s="715" t="s">
        <v>165</v>
      </c>
      <c r="D5347" s="716">
        <v>92.58</v>
      </c>
    </row>
    <row r="5348" spans="1:4" ht="56">
      <c r="A5348" s="715">
        <v>94689</v>
      </c>
      <c r="B5348" s="633" t="s">
        <v>40413</v>
      </c>
      <c r="C5348" s="715" t="s">
        <v>103</v>
      </c>
      <c r="D5348" s="716">
        <v>11.57</v>
      </c>
    </row>
    <row r="5349" spans="1:4" ht="42">
      <c r="A5349" s="715">
        <v>94702</v>
      </c>
      <c r="B5349" s="633" t="s">
        <v>29144</v>
      </c>
      <c r="C5349" s="715" t="s">
        <v>103</v>
      </c>
      <c r="D5349" s="716">
        <v>219.37</v>
      </c>
    </row>
    <row r="5350" spans="1:4" ht="42">
      <c r="A5350" s="715">
        <v>94691</v>
      </c>
      <c r="B5350" s="633" t="s">
        <v>40414</v>
      </c>
      <c r="C5350" s="715" t="s">
        <v>103</v>
      </c>
      <c r="D5350" s="716">
        <v>16.25</v>
      </c>
    </row>
    <row r="5351" spans="1:4" ht="42">
      <c r="A5351" s="715">
        <v>94693</v>
      </c>
      <c r="B5351" s="633" t="s">
        <v>29135</v>
      </c>
      <c r="C5351" s="715" t="s">
        <v>103</v>
      </c>
      <c r="D5351" s="716">
        <v>21.3</v>
      </c>
    </row>
    <row r="5352" spans="1:4" ht="42">
      <c r="A5352" s="715">
        <v>94695</v>
      </c>
      <c r="B5352" s="633" t="s">
        <v>29137</v>
      </c>
      <c r="C5352" s="715" t="s">
        <v>103</v>
      </c>
      <c r="D5352" s="716">
        <v>36.79</v>
      </c>
    </row>
    <row r="5353" spans="1:4" ht="42">
      <c r="A5353" s="715">
        <v>94698</v>
      </c>
      <c r="B5353" s="633" t="s">
        <v>29140</v>
      </c>
      <c r="C5353" s="715" t="s">
        <v>103</v>
      </c>
      <c r="D5353" s="716">
        <v>78.569999999999993</v>
      </c>
    </row>
    <row r="5354" spans="1:4" ht="42">
      <c r="A5354" s="715">
        <v>94700</v>
      </c>
      <c r="B5354" s="633" t="s">
        <v>29142</v>
      </c>
      <c r="C5354" s="715" t="s">
        <v>103</v>
      </c>
      <c r="D5354" s="716">
        <v>151.82</v>
      </c>
    </row>
    <row r="5355" spans="1:4" ht="42">
      <c r="A5355" s="715">
        <v>94477</v>
      </c>
      <c r="B5355" s="633" t="s">
        <v>29088</v>
      </c>
      <c r="C5355" s="715" t="s">
        <v>103</v>
      </c>
      <c r="D5355" s="716">
        <v>115.95</v>
      </c>
    </row>
    <row r="5356" spans="1:4" ht="56">
      <c r="A5356" s="715">
        <v>94478</v>
      </c>
      <c r="B5356" s="633" t="s">
        <v>29089</v>
      </c>
      <c r="C5356" s="715" t="s">
        <v>103</v>
      </c>
      <c r="D5356" s="716">
        <v>186.1</v>
      </c>
    </row>
    <row r="5357" spans="1:4" ht="42">
      <c r="A5357" s="715">
        <v>94479</v>
      </c>
      <c r="B5357" s="633" t="s">
        <v>29090</v>
      </c>
      <c r="C5357" s="715" t="s">
        <v>103</v>
      </c>
      <c r="D5357" s="716">
        <v>240.52</v>
      </c>
    </row>
    <row r="5358" spans="1:4" ht="42">
      <c r="A5358" s="715">
        <v>96764</v>
      </c>
      <c r="B5358" s="633" t="s">
        <v>29218</v>
      </c>
      <c r="C5358" s="715" t="s">
        <v>103</v>
      </c>
      <c r="D5358" s="716">
        <v>354.5</v>
      </c>
    </row>
    <row r="5359" spans="1:4" ht="42">
      <c r="A5359" s="715">
        <v>105164</v>
      </c>
      <c r="B5359" s="633" t="s">
        <v>29261</v>
      </c>
      <c r="C5359" s="715" t="s">
        <v>103</v>
      </c>
      <c r="D5359" s="716">
        <v>13.94</v>
      </c>
    </row>
    <row r="5360" spans="1:4" ht="42">
      <c r="A5360" s="715">
        <v>105165</v>
      </c>
      <c r="B5360" s="633" t="s">
        <v>29262</v>
      </c>
      <c r="C5360" s="715" t="s">
        <v>103</v>
      </c>
      <c r="D5360" s="716">
        <v>14.35</v>
      </c>
    </row>
    <row r="5361" spans="1:4" ht="42">
      <c r="A5361" s="715">
        <v>96758</v>
      </c>
      <c r="B5361" s="633" t="s">
        <v>29212</v>
      </c>
      <c r="C5361" s="715" t="s">
        <v>103</v>
      </c>
      <c r="D5361" s="716">
        <v>21.27</v>
      </c>
    </row>
    <row r="5362" spans="1:4" ht="42">
      <c r="A5362" s="715">
        <v>96759</v>
      </c>
      <c r="B5362" s="633" t="s">
        <v>29213</v>
      </c>
      <c r="C5362" s="715" t="s">
        <v>103</v>
      </c>
      <c r="D5362" s="716">
        <v>30.91</v>
      </c>
    </row>
    <row r="5363" spans="1:4" ht="42">
      <c r="A5363" s="715">
        <v>96760</v>
      </c>
      <c r="B5363" s="633" t="s">
        <v>29214</v>
      </c>
      <c r="C5363" s="715" t="s">
        <v>103</v>
      </c>
      <c r="D5363" s="716">
        <v>49.46</v>
      </c>
    </row>
    <row r="5364" spans="1:4" ht="42">
      <c r="A5364" s="715">
        <v>96761</v>
      </c>
      <c r="B5364" s="633" t="s">
        <v>29215</v>
      </c>
      <c r="C5364" s="715" t="s">
        <v>103</v>
      </c>
      <c r="D5364" s="716">
        <v>73.260000000000005</v>
      </c>
    </row>
    <row r="5365" spans="1:4" ht="42">
      <c r="A5365" s="715">
        <v>96762</v>
      </c>
      <c r="B5365" s="633" t="s">
        <v>29216</v>
      </c>
      <c r="C5365" s="715" t="s">
        <v>103</v>
      </c>
      <c r="D5365" s="716">
        <v>135.41</v>
      </c>
    </row>
    <row r="5366" spans="1:4" ht="42">
      <c r="A5366" s="715">
        <v>96763</v>
      </c>
      <c r="B5366" s="633" t="s">
        <v>29217</v>
      </c>
      <c r="C5366" s="715" t="s">
        <v>103</v>
      </c>
      <c r="D5366" s="716">
        <v>181.32</v>
      </c>
    </row>
    <row r="5367" spans="1:4" ht="42">
      <c r="A5367" s="715">
        <v>94701</v>
      </c>
      <c r="B5367" s="633" t="s">
        <v>29143</v>
      </c>
      <c r="C5367" s="715" t="s">
        <v>103</v>
      </c>
      <c r="D5367" s="716">
        <v>263.61</v>
      </c>
    </row>
    <row r="5368" spans="1:4" ht="42">
      <c r="A5368" s="715">
        <v>94688</v>
      </c>
      <c r="B5368" s="633" t="s">
        <v>40415</v>
      </c>
      <c r="C5368" s="715" t="s">
        <v>103</v>
      </c>
      <c r="D5368" s="716">
        <v>8.42</v>
      </c>
    </row>
    <row r="5369" spans="1:4" ht="42">
      <c r="A5369" s="715">
        <v>94690</v>
      </c>
      <c r="B5369" s="633" t="s">
        <v>29133</v>
      </c>
      <c r="C5369" s="715" t="s">
        <v>103</v>
      </c>
      <c r="D5369" s="716">
        <v>13.65</v>
      </c>
    </row>
    <row r="5370" spans="1:4" ht="42">
      <c r="A5370" s="715">
        <v>94692</v>
      </c>
      <c r="B5370" s="633" t="s">
        <v>29134</v>
      </c>
      <c r="C5370" s="715" t="s">
        <v>103</v>
      </c>
      <c r="D5370" s="716">
        <v>23.03</v>
      </c>
    </row>
    <row r="5371" spans="1:4" ht="42">
      <c r="A5371" s="715">
        <v>94694</v>
      </c>
      <c r="B5371" s="633" t="s">
        <v>29136</v>
      </c>
      <c r="C5371" s="715" t="s">
        <v>103</v>
      </c>
      <c r="D5371" s="716">
        <v>28.58</v>
      </c>
    </row>
    <row r="5372" spans="1:4" ht="42">
      <c r="A5372" s="715">
        <v>94696</v>
      </c>
      <c r="B5372" s="633" t="s">
        <v>29138</v>
      </c>
      <c r="C5372" s="715" t="s">
        <v>103</v>
      </c>
      <c r="D5372" s="716">
        <v>59.51</v>
      </c>
    </row>
    <row r="5373" spans="1:4" ht="42">
      <c r="A5373" s="715">
        <v>94697</v>
      </c>
      <c r="B5373" s="633" t="s">
        <v>29139</v>
      </c>
      <c r="C5373" s="715" t="s">
        <v>103</v>
      </c>
      <c r="D5373" s="716">
        <v>101.65</v>
      </c>
    </row>
    <row r="5374" spans="1:4" ht="42">
      <c r="A5374" s="715">
        <v>94699</v>
      </c>
      <c r="B5374" s="633" t="s">
        <v>29141</v>
      </c>
      <c r="C5374" s="715" t="s">
        <v>103</v>
      </c>
      <c r="D5374" s="716">
        <v>134.58000000000001</v>
      </c>
    </row>
    <row r="5375" spans="1:4" ht="42">
      <c r="A5375" s="715">
        <v>105167</v>
      </c>
      <c r="B5375" s="633" t="s">
        <v>29264</v>
      </c>
      <c r="C5375" s="715" t="s">
        <v>103</v>
      </c>
      <c r="D5375" s="716">
        <v>260.23</v>
      </c>
    </row>
    <row r="5376" spans="1:4" ht="42">
      <c r="A5376" s="715">
        <v>105168</v>
      </c>
      <c r="B5376" s="633" t="s">
        <v>33868</v>
      </c>
      <c r="C5376" s="715" t="s">
        <v>103</v>
      </c>
      <c r="D5376" s="716">
        <v>0</v>
      </c>
    </row>
    <row r="5377" spans="1:4" ht="42">
      <c r="A5377" s="715">
        <v>105171</v>
      </c>
      <c r="B5377" s="633" t="s">
        <v>33869</v>
      </c>
      <c r="C5377" s="715" t="s">
        <v>103</v>
      </c>
      <c r="D5377" s="716">
        <v>0</v>
      </c>
    </row>
    <row r="5378" spans="1:4" ht="42">
      <c r="A5378" s="715">
        <v>105191</v>
      </c>
      <c r="B5378" s="633" t="s">
        <v>33870</v>
      </c>
      <c r="C5378" s="715" t="s">
        <v>103</v>
      </c>
      <c r="D5378" s="716">
        <v>0</v>
      </c>
    </row>
    <row r="5379" spans="1:4" ht="42">
      <c r="A5379" s="715">
        <v>105192</v>
      </c>
      <c r="B5379" s="633" t="s">
        <v>33871</v>
      </c>
      <c r="C5379" s="715" t="s">
        <v>103</v>
      </c>
      <c r="D5379" s="716">
        <v>0</v>
      </c>
    </row>
    <row r="5380" spans="1:4" ht="56">
      <c r="A5380" s="715">
        <v>96809</v>
      </c>
      <c r="B5380" s="633" t="s">
        <v>26377</v>
      </c>
      <c r="C5380" s="715" t="s">
        <v>103</v>
      </c>
      <c r="D5380" s="716">
        <v>22.59</v>
      </c>
    </row>
    <row r="5381" spans="1:4" ht="56">
      <c r="A5381" s="715">
        <v>96812</v>
      </c>
      <c r="B5381" s="633" t="s">
        <v>26380</v>
      </c>
      <c r="C5381" s="715" t="s">
        <v>103</v>
      </c>
      <c r="D5381" s="716">
        <v>23.64</v>
      </c>
    </row>
    <row r="5382" spans="1:4" ht="56">
      <c r="A5382" s="715">
        <v>96813</v>
      </c>
      <c r="B5382" s="633" t="s">
        <v>26381</v>
      </c>
      <c r="C5382" s="715" t="s">
        <v>103</v>
      </c>
      <c r="D5382" s="716">
        <v>26.84</v>
      </c>
    </row>
    <row r="5383" spans="1:4" ht="56">
      <c r="A5383" s="715">
        <v>96817</v>
      </c>
      <c r="B5383" s="633" t="s">
        <v>26385</v>
      </c>
      <c r="C5383" s="715" t="s">
        <v>103</v>
      </c>
      <c r="D5383" s="716">
        <v>39.29</v>
      </c>
    </row>
    <row r="5384" spans="1:4" ht="56">
      <c r="A5384" s="715">
        <v>96816</v>
      </c>
      <c r="B5384" s="633" t="s">
        <v>26384</v>
      </c>
      <c r="C5384" s="715" t="s">
        <v>103</v>
      </c>
      <c r="D5384" s="716">
        <v>30.11</v>
      </c>
    </row>
    <row r="5385" spans="1:4" ht="56">
      <c r="A5385" s="715">
        <v>96821</v>
      </c>
      <c r="B5385" s="633" t="s">
        <v>26389</v>
      </c>
      <c r="C5385" s="715" t="s">
        <v>103</v>
      </c>
      <c r="D5385" s="716">
        <v>43.61</v>
      </c>
    </row>
    <row r="5386" spans="1:4" ht="56">
      <c r="A5386" s="715">
        <v>96824</v>
      </c>
      <c r="B5386" s="633" t="s">
        <v>26392</v>
      </c>
      <c r="C5386" s="715" t="s">
        <v>103</v>
      </c>
      <c r="D5386" s="716">
        <v>21.02</v>
      </c>
    </row>
    <row r="5387" spans="1:4" ht="56">
      <c r="A5387" s="715">
        <v>96827</v>
      </c>
      <c r="B5387" s="633" t="s">
        <v>26394</v>
      </c>
      <c r="C5387" s="715" t="s">
        <v>103</v>
      </c>
      <c r="D5387" s="716">
        <v>22.81</v>
      </c>
    </row>
    <row r="5388" spans="1:4" ht="56">
      <c r="A5388" s="715">
        <v>96828</v>
      </c>
      <c r="B5388" s="633" t="s">
        <v>26395</v>
      </c>
      <c r="C5388" s="715" t="s">
        <v>103</v>
      </c>
      <c r="D5388" s="716">
        <v>27.81</v>
      </c>
    </row>
    <row r="5389" spans="1:4" ht="56">
      <c r="A5389" s="715">
        <v>96832</v>
      </c>
      <c r="B5389" s="633" t="s">
        <v>26398</v>
      </c>
      <c r="C5389" s="715" t="s">
        <v>103</v>
      </c>
      <c r="D5389" s="716">
        <v>34.299999999999997</v>
      </c>
    </row>
    <row r="5390" spans="1:4" ht="56">
      <c r="A5390" s="715">
        <v>104525</v>
      </c>
      <c r="B5390" s="633" t="s">
        <v>33872</v>
      </c>
      <c r="C5390" s="715" t="s">
        <v>103</v>
      </c>
      <c r="D5390" s="716">
        <v>0</v>
      </c>
    </row>
    <row r="5391" spans="1:4" ht="56">
      <c r="A5391" s="715">
        <v>104563</v>
      </c>
      <c r="B5391" s="633" t="s">
        <v>33873</v>
      </c>
      <c r="C5391" s="715" t="s">
        <v>103</v>
      </c>
      <c r="D5391" s="716">
        <v>0</v>
      </c>
    </row>
    <row r="5392" spans="1:4" ht="56">
      <c r="A5392" s="715">
        <v>104531</v>
      </c>
      <c r="B5392" s="633" t="s">
        <v>33874</v>
      </c>
      <c r="C5392" s="715" t="s">
        <v>103</v>
      </c>
      <c r="D5392" s="716">
        <v>0</v>
      </c>
    </row>
    <row r="5393" spans="1:4" ht="56">
      <c r="A5393" s="715">
        <v>104527</v>
      </c>
      <c r="B5393" s="633" t="s">
        <v>33875</v>
      </c>
      <c r="C5393" s="715" t="s">
        <v>103</v>
      </c>
      <c r="D5393" s="716">
        <v>0</v>
      </c>
    </row>
    <row r="5394" spans="1:4" ht="42">
      <c r="A5394" s="715">
        <v>104529</v>
      </c>
      <c r="B5394" s="633" t="s">
        <v>33876</v>
      </c>
      <c r="C5394" s="715" t="s">
        <v>103</v>
      </c>
      <c r="D5394" s="716">
        <v>0</v>
      </c>
    </row>
    <row r="5395" spans="1:4" ht="56">
      <c r="A5395" s="715">
        <v>104564</v>
      </c>
      <c r="B5395" s="633" t="s">
        <v>33877</v>
      </c>
      <c r="C5395" s="715" t="s">
        <v>103</v>
      </c>
      <c r="D5395" s="716">
        <v>0</v>
      </c>
    </row>
    <row r="5396" spans="1:4" ht="56">
      <c r="A5396" s="715">
        <v>104533</v>
      </c>
      <c r="B5396" s="633" t="s">
        <v>33878</v>
      </c>
      <c r="C5396" s="715" t="s">
        <v>103</v>
      </c>
      <c r="D5396" s="716">
        <v>0</v>
      </c>
    </row>
    <row r="5397" spans="1:4" ht="42">
      <c r="A5397" s="715">
        <v>104535</v>
      </c>
      <c r="B5397" s="633" t="s">
        <v>33879</v>
      </c>
      <c r="C5397" s="715" t="s">
        <v>103</v>
      </c>
      <c r="D5397" s="716">
        <v>0</v>
      </c>
    </row>
    <row r="5398" spans="1:4" ht="56">
      <c r="A5398" s="715">
        <v>96810</v>
      </c>
      <c r="B5398" s="633" t="s">
        <v>26378</v>
      </c>
      <c r="C5398" s="715" t="s">
        <v>103</v>
      </c>
      <c r="D5398" s="716">
        <v>24.62</v>
      </c>
    </row>
    <row r="5399" spans="1:4" ht="56">
      <c r="A5399" s="715">
        <v>104524</v>
      </c>
      <c r="B5399" s="633" t="s">
        <v>33880</v>
      </c>
      <c r="C5399" s="715" t="s">
        <v>103</v>
      </c>
      <c r="D5399" s="716">
        <v>0</v>
      </c>
    </row>
    <row r="5400" spans="1:4" ht="56">
      <c r="A5400" s="715">
        <v>104530</v>
      </c>
      <c r="B5400" s="633" t="s">
        <v>33881</v>
      </c>
      <c r="C5400" s="715" t="s">
        <v>103</v>
      </c>
      <c r="D5400" s="716">
        <v>0</v>
      </c>
    </row>
    <row r="5401" spans="1:4" ht="56">
      <c r="A5401" s="715">
        <v>104526</v>
      </c>
      <c r="B5401" s="633" t="s">
        <v>33882</v>
      </c>
      <c r="C5401" s="715" t="s">
        <v>103</v>
      </c>
      <c r="D5401" s="716">
        <v>0</v>
      </c>
    </row>
    <row r="5402" spans="1:4" ht="42">
      <c r="A5402" s="715">
        <v>104528</v>
      </c>
      <c r="B5402" s="633" t="s">
        <v>33883</v>
      </c>
      <c r="C5402" s="715" t="s">
        <v>103</v>
      </c>
      <c r="D5402" s="716">
        <v>0</v>
      </c>
    </row>
    <row r="5403" spans="1:4" ht="56">
      <c r="A5403" s="715">
        <v>104532</v>
      </c>
      <c r="B5403" s="633" t="s">
        <v>33884</v>
      </c>
      <c r="C5403" s="715" t="s">
        <v>103</v>
      </c>
      <c r="D5403" s="716">
        <v>0</v>
      </c>
    </row>
    <row r="5404" spans="1:4" ht="42">
      <c r="A5404" s="715">
        <v>104534</v>
      </c>
      <c r="B5404" s="633" t="s">
        <v>33885</v>
      </c>
      <c r="C5404" s="715" t="s">
        <v>103</v>
      </c>
      <c r="D5404" s="716">
        <v>0</v>
      </c>
    </row>
    <row r="5405" spans="1:4" ht="56">
      <c r="A5405" s="715">
        <v>96873</v>
      </c>
      <c r="B5405" s="633" t="s">
        <v>26432</v>
      </c>
      <c r="C5405" s="715" t="s">
        <v>103</v>
      </c>
      <c r="D5405" s="716">
        <v>73.069999999999993</v>
      </c>
    </row>
    <row r="5406" spans="1:4" ht="56">
      <c r="A5406" s="715">
        <v>96872</v>
      </c>
      <c r="B5406" s="633" t="s">
        <v>26431</v>
      </c>
      <c r="C5406" s="715" t="s">
        <v>103</v>
      </c>
      <c r="D5406" s="716">
        <v>55.88</v>
      </c>
    </row>
    <row r="5407" spans="1:4" ht="56">
      <c r="A5407" s="715">
        <v>96876</v>
      </c>
      <c r="B5407" s="633" t="s">
        <v>26435</v>
      </c>
      <c r="C5407" s="715" t="s">
        <v>103</v>
      </c>
      <c r="D5407" s="716">
        <v>190.09</v>
      </c>
    </row>
    <row r="5408" spans="1:4" ht="56">
      <c r="A5408" s="715">
        <v>96878</v>
      </c>
      <c r="B5408" s="633" t="s">
        <v>26436</v>
      </c>
      <c r="C5408" s="715" t="s">
        <v>103</v>
      </c>
      <c r="D5408" s="716">
        <v>213.18</v>
      </c>
    </row>
    <row r="5409" spans="1:4" ht="56">
      <c r="A5409" s="715">
        <v>96875</v>
      </c>
      <c r="B5409" s="633" t="s">
        <v>26434</v>
      </c>
      <c r="C5409" s="715" t="s">
        <v>103</v>
      </c>
      <c r="D5409" s="716">
        <v>87.24</v>
      </c>
    </row>
    <row r="5410" spans="1:4" ht="56">
      <c r="A5410" s="715">
        <v>96874</v>
      </c>
      <c r="B5410" s="633" t="s">
        <v>26433</v>
      </c>
      <c r="C5410" s="715" t="s">
        <v>103</v>
      </c>
      <c r="D5410" s="716">
        <v>67.7</v>
      </c>
    </row>
    <row r="5411" spans="1:4" ht="56">
      <c r="A5411" s="715">
        <v>96879</v>
      </c>
      <c r="B5411" s="633" t="s">
        <v>26437</v>
      </c>
      <c r="C5411" s="715" t="s">
        <v>103</v>
      </c>
      <c r="D5411" s="716">
        <v>206.96</v>
      </c>
    </row>
    <row r="5412" spans="1:4" ht="56">
      <c r="A5412" s="715">
        <v>96881</v>
      </c>
      <c r="B5412" s="633" t="s">
        <v>26438</v>
      </c>
      <c r="C5412" s="715" t="s">
        <v>103</v>
      </c>
      <c r="D5412" s="716">
        <v>244.95</v>
      </c>
    </row>
    <row r="5413" spans="1:4" ht="56">
      <c r="A5413" s="715">
        <v>96837</v>
      </c>
      <c r="B5413" s="633" t="s">
        <v>26402</v>
      </c>
      <c r="C5413" s="715" t="s">
        <v>103</v>
      </c>
      <c r="D5413" s="716">
        <v>25.19</v>
      </c>
    </row>
    <row r="5414" spans="1:4" ht="56">
      <c r="A5414" s="715">
        <v>96840</v>
      </c>
      <c r="B5414" s="633" t="s">
        <v>26405</v>
      </c>
      <c r="C5414" s="715" t="s">
        <v>103</v>
      </c>
      <c r="D5414" s="716">
        <v>30.33</v>
      </c>
    </row>
    <row r="5415" spans="1:4" ht="56">
      <c r="A5415" s="715">
        <v>96845</v>
      </c>
      <c r="B5415" s="633" t="s">
        <v>26410</v>
      </c>
      <c r="C5415" s="715" t="s">
        <v>103</v>
      </c>
      <c r="D5415" s="716">
        <v>46.16</v>
      </c>
    </row>
    <row r="5416" spans="1:4" ht="56">
      <c r="A5416" s="715">
        <v>96848</v>
      </c>
      <c r="B5416" s="633" t="s">
        <v>26413</v>
      </c>
      <c r="C5416" s="715" t="s">
        <v>103</v>
      </c>
      <c r="D5416" s="716">
        <v>60.76</v>
      </c>
    </row>
    <row r="5417" spans="1:4" ht="42">
      <c r="A5417" s="715">
        <v>96849</v>
      </c>
      <c r="B5417" s="633" t="s">
        <v>26414</v>
      </c>
      <c r="C5417" s="715" t="s">
        <v>103</v>
      </c>
      <c r="D5417" s="716">
        <v>19.73</v>
      </c>
    </row>
    <row r="5418" spans="1:4" ht="42">
      <c r="A5418" s="715">
        <v>96852</v>
      </c>
      <c r="B5418" s="633" t="s">
        <v>26416</v>
      </c>
      <c r="C5418" s="715" t="s">
        <v>103</v>
      </c>
      <c r="D5418" s="716">
        <v>24.9</v>
      </c>
    </row>
    <row r="5419" spans="1:4" ht="42">
      <c r="A5419" s="715">
        <v>96855</v>
      </c>
      <c r="B5419" s="633" t="s">
        <v>26419</v>
      </c>
      <c r="C5419" s="715" t="s">
        <v>103</v>
      </c>
      <c r="D5419" s="716">
        <v>37.96</v>
      </c>
    </row>
    <row r="5420" spans="1:4" ht="56">
      <c r="A5420" s="715">
        <v>96838</v>
      </c>
      <c r="B5420" s="633" t="s">
        <v>26403</v>
      </c>
      <c r="C5420" s="715" t="s">
        <v>103</v>
      </c>
      <c r="D5420" s="716">
        <v>30.81</v>
      </c>
    </row>
    <row r="5421" spans="1:4" ht="56">
      <c r="A5421" s="715">
        <v>96841</v>
      </c>
      <c r="B5421" s="633" t="s">
        <v>26406</v>
      </c>
      <c r="C5421" s="715" t="s">
        <v>103</v>
      </c>
      <c r="D5421" s="716">
        <v>34.01</v>
      </c>
    </row>
    <row r="5422" spans="1:4" ht="56">
      <c r="A5422" s="715">
        <v>96842</v>
      </c>
      <c r="B5422" s="633" t="s">
        <v>26407</v>
      </c>
      <c r="C5422" s="715" t="s">
        <v>103</v>
      </c>
      <c r="D5422" s="716">
        <v>38.770000000000003</v>
      </c>
    </row>
    <row r="5423" spans="1:4" ht="56">
      <c r="A5423" s="715">
        <v>96846</v>
      </c>
      <c r="B5423" s="633" t="s">
        <v>26411</v>
      </c>
      <c r="C5423" s="715" t="s">
        <v>103</v>
      </c>
      <c r="D5423" s="716">
        <v>44.67</v>
      </c>
    </row>
    <row r="5424" spans="1:4" ht="56">
      <c r="A5424" s="715">
        <v>96850</v>
      </c>
      <c r="B5424" s="633" t="s">
        <v>26415</v>
      </c>
      <c r="C5424" s="715" t="s">
        <v>103</v>
      </c>
      <c r="D5424" s="716">
        <v>28.51</v>
      </c>
    </row>
    <row r="5425" spans="1:4" ht="56">
      <c r="A5425" s="715">
        <v>96853</v>
      </c>
      <c r="B5425" s="633" t="s">
        <v>26417</v>
      </c>
      <c r="C5425" s="715" t="s">
        <v>103</v>
      </c>
      <c r="D5425" s="716">
        <v>30.56</v>
      </c>
    </row>
    <row r="5426" spans="1:4" ht="56">
      <c r="A5426" s="715">
        <v>96854</v>
      </c>
      <c r="B5426" s="633" t="s">
        <v>26418</v>
      </c>
      <c r="C5426" s="715" t="s">
        <v>103</v>
      </c>
      <c r="D5426" s="716">
        <v>37.159999999999997</v>
      </c>
    </row>
    <row r="5427" spans="1:4" ht="56">
      <c r="A5427" s="715">
        <v>104571</v>
      </c>
      <c r="B5427" s="633" t="s">
        <v>33886</v>
      </c>
      <c r="C5427" s="715" t="s">
        <v>103</v>
      </c>
      <c r="D5427" s="716">
        <v>0</v>
      </c>
    </row>
    <row r="5428" spans="1:4" ht="56">
      <c r="A5428" s="715">
        <v>96856</v>
      </c>
      <c r="B5428" s="633" t="s">
        <v>26420</v>
      </c>
      <c r="C5428" s="715" t="s">
        <v>103</v>
      </c>
      <c r="D5428" s="716">
        <v>41.62</v>
      </c>
    </row>
    <row r="5429" spans="1:4" ht="56">
      <c r="A5429" s="715">
        <v>104566</v>
      </c>
      <c r="B5429" s="633" t="s">
        <v>33887</v>
      </c>
      <c r="C5429" s="715" t="s">
        <v>103</v>
      </c>
      <c r="D5429" s="716">
        <v>0</v>
      </c>
    </row>
    <row r="5430" spans="1:4" ht="56">
      <c r="A5430" s="715">
        <v>104536</v>
      </c>
      <c r="B5430" s="633" t="s">
        <v>33888</v>
      </c>
      <c r="C5430" s="715" t="s">
        <v>103</v>
      </c>
      <c r="D5430" s="716">
        <v>0</v>
      </c>
    </row>
    <row r="5431" spans="1:4" ht="56">
      <c r="A5431" s="715">
        <v>104537</v>
      </c>
      <c r="B5431" s="633" t="s">
        <v>33889</v>
      </c>
      <c r="C5431" s="715" t="s">
        <v>103</v>
      </c>
      <c r="D5431" s="716">
        <v>0</v>
      </c>
    </row>
    <row r="5432" spans="1:4" ht="56">
      <c r="A5432" s="715">
        <v>104572</v>
      </c>
      <c r="B5432" s="633" t="s">
        <v>33890</v>
      </c>
      <c r="C5432" s="715" t="s">
        <v>103</v>
      </c>
      <c r="D5432" s="716">
        <v>0</v>
      </c>
    </row>
    <row r="5433" spans="1:4" ht="56">
      <c r="A5433" s="715">
        <v>104568</v>
      </c>
      <c r="B5433" s="633" t="s">
        <v>33891</v>
      </c>
      <c r="C5433" s="715" t="s">
        <v>103</v>
      </c>
      <c r="D5433" s="716">
        <v>0</v>
      </c>
    </row>
    <row r="5434" spans="1:4" ht="56">
      <c r="A5434" s="715">
        <v>104538</v>
      </c>
      <c r="B5434" s="633" t="s">
        <v>33892</v>
      </c>
      <c r="C5434" s="715" t="s">
        <v>103</v>
      </c>
      <c r="D5434" s="716">
        <v>0</v>
      </c>
    </row>
    <row r="5435" spans="1:4" ht="56">
      <c r="A5435" s="715">
        <v>104570</v>
      </c>
      <c r="B5435" s="633" t="s">
        <v>33893</v>
      </c>
      <c r="C5435" s="715" t="s">
        <v>103</v>
      </c>
      <c r="D5435" s="716">
        <v>0</v>
      </c>
    </row>
    <row r="5436" spans="1:4" ht="56">
      <c r="A5436" s="715">
        <v>104565</v>
      </c>
      <c r="B5436" s="633" t="s">
        <v>33894</v>
      </c>
      <c r="C5436" s="715" t="s">
        <v>103</v>
      </c>
      <c r="D5436" s="716">
        <v>0</v>
      </c>
    </row>
    <row r="5437" spans="1:4" ht="56">
      <c r="A5437" s="715">
        <v>104567</v>
      </c>
      <c r="B5437" s="633" t="s">
        <v>33895</v>
      </c>
      <c r="C5437" s="715" t="s">
        <v>103</v>
      </c>
      <c r="D5437" s="716">
        <v>0</v>
      </c>
    </row>
    <row r="5438" spans="1:4" ht="56">
      <c r="A5438" s="715">
        <v>104569</v>
      </c>
      <c r="B5438" s="633" t="s">
        <v>33896</v>
      </c>
      <c r="C5438" s="715" t="s">
        <v>103</v>
      </c>
      <c r="D5438" s="716">
        <v>0</v>
      </c>
    </row>
    <row r="5439" spans="1:4" ht="56">
      <c r="A5439" s="715">
        <v>96843</v>
      </c>
      <c r="B5439" s="633" t="s">
        <v>26408</v>
      </c>
      <c r="C5439" s="715" t="s">
        <v>103</v>
      </c>
      <c r="D5439" s="716">
        <v>35.21</v>
      </c>
    </row>
    <row r="5440" spans="1:4" ht="56">
      <c r="A5440" s="715">
        <v>96847</v>
      </c>
      <c r="B5440" s="633" t="s">
        <v>26412</v>
      </c>
      <c r="C5440" s="715" t="s">
        <v>103</v>
      </c>
      <c r="D5440" s="716">
        <v>44.14</v>
      </c>
    </row>
    <row r="5441" spans="1:4" ht="56">
      <c r="A5441" s="715">
        <v>96844</v>
      </c>
      <c r="B5441" s="633" t="s">
        <v>26409</v>
      </c>
      <c r="C5441" s="715" t="s">
        <v>103</v>
      </c>
      <c r="D5441" s="716">
        <v>40.32</v>
      </c>
    </row>
    <row r="5442" spans="1:4" ht="56">
      <c r="A5442" s="715">
        <v>96839</v>
      </c>
      <c r="B5442" s="633" t="s">
        <v>26404</v>
      </c>
      <c r="C5442" s="715" t="s">
        <v>103</v>
      </c>
      <c r="D5442" s="716">
        <v>31.7</v>
      </c>
    </row>
    <row r="5443" spans="1:4" ht="56">
      <c r="A5443" s="715">
        <v>104574</v>
      </c>
      <c r="B5443" s="633" t="s">
        <v>33897</v>
      </c>
      <c r="C5443" s="715" t="s">
        <v>103</v>
      </c>
      <c r="D5443" s="716">
        <v>0</v>
      </c>
    </row>
    <row r="5444" spans="1:4" ht="56">
      <c r="A5444" s="715">
        <v>104575</v>
      </c>
      <c r="B5444" s="633" t="s">
        <v>33898</v>
      </c>
      <c r="C5444" s="715" t="s">
        <v>103</v>
      </c>
      <c r="D5444" s="716">
        <v>0</v>
      </c>
    </row>
    <row r="5445" spans="1:4" ht="56">
      <c r="A5445" s="715">
        <v>104573</v>
      </c>
      <c r="B5445" s="633" t="s">
        <v>33899</v>
      </c>
      <c r="C5445" s="715" t="s">
        <v>103</v>
      </c>
      <c r="D5445" s="716">
        <v>0</v>
      </c>
    </row>
    <row r="5446" spans="1:4" ht="56">
      <c r="A5446" s="715">
        <v>96805</v>
      </c>
      <c r="B5446" s="633" t="s">
        <v>26373</v>
      </c>
      <c r="C5446" s="715" t="s">
        <v>103</v>
      </c>
      <c r="D5446" s="716">
        <v>232.97</v>
      </c>
    </row>
    <row r="5447" spans="1:4" ht="56">
      <c r="A5447" s="715">
        <v>96802</v>
      </c>
      <c r="B5447" s="633" t="s">
        <v>26370</v>
      </c>
      <c r="C5447" s="715" t="s">
        <v>103</v>
      </c>
      <c r="D5447" s="716">
        <v>439.49</v>
      </c>
    </row>
    <row r="5448" spans="1:4" ht="56">
      <c r="A5448" s="715">
        <v>96806</v>
      </c>
      <c r="B5448" s="633" t="s">
        <v>26374</v>
      </c>
      <c r="C5448" s="715" t="s">
        <v>103</v>
      </c>
      <c r="D5448" s="716">
        <v>94.28</v>
      </c>
    </row>
    <row r="5449" spans="1:4" ht="56">
      <c r="A5449" s="715">
        <v>96803</v>
      </c>
      <c r="B5449" s="633" t="s">
        <v>26371</v>
      </c>
      <c r="C5449" s="715" t="s">
        <v>103</v>
      </c>
      <c r="D5449" s="716">
        <v>84.61</v>
      </c>
    </row>
    <row r="5450" spans="1:4" ht="70">
      <c r="A5450" s="715">
        <v>96807</v>
      </c>
      <c r="B5450" s="633" t="s">
        <v>26375</v>
      </c>
      <c r="C5450" s="715" t="s">
        <v>103</v>
      </c>
      <c r="D5450" s="716">
        <v>154.37</v>
      </c>
    </row>
    <row r="5451" spans="1:4" ht="70">
      <c r="A5451" s="715">
        <v>96804</v>
      </c>
      <c r="B5451" s="633" t="s">
        <v>26372</v>
      </c>
      <c r="C5451" s="715" t="s">
        <v>103</v>
      </c>
      <c r="D5451" s="716">
        <v>140.66</v>
      </c>
    </row>
    <row r="5452" spans="1:4" ht="42">
      <c r="A5452" s="715">
        <v>96829</v>
      </c>
      <c r="B5452" s="633" t="s">
        <v>26396</v>
      </c>
      <c r="C5452" s="715" t="s">
        <v>103</v>
      </c>
      <c r="D5452" s="716">
        <v>20.8</v>
      </c>
    </row>
    <row r="5453" spans="1:4" ht="42">
      <c r="A5453" s="715">
        <v>96833</v>
      </c>
      <c r="B5453" s="633" t="s">
        <v>26399</v>
      </c>
      <c r="C5453" s="715" t="s">
        <v>103</v>
      </c>
      <c r="D5453" s="716">
        <v>26.22</v>
      </c>
    </row>
    <row r="5454" spans="1:4" ht="42">
      <c r="A5454" s="715">
        <v>96836</v>
      </c>
      <c r="B5454" s="633" t="s">
        <v>26401</v>
      </c>
      <c r="C5454" s="715" t="s">
        <v>103</v>
      </c>
      <c r="D5454" s="716">
        <v>37.28</v>
      </c>
    </row>
    <row r="5455" spans="1:4" ht="42">
      <c r="A5455" s="715">
        <v>104576</v>
      </c>
      <c r="B5455" s="633" t="s">
        <v>28290</v>
      </c>
      <c r="C5455" s="715" t="s">
        <v>103</v>
      </c>
      <c r="D5455" s="716">
        <v>19.190000000000001</v>
      </c>
    </row>
    <row r="5456" spans="1:4" ht="42">
      <c r="A5456" s="715">
        <v>104577</v>
      </c>
      <c r="B5456" s="633" t="s">
        <v>28291</v>
      </c>
      <c r="C5456" s="715" t="s">
        <v>103</v>
      </c>
      <c r="D5456" s="716">
        <v>25.19</v>
      </c>
    </row>
    <row r="5457" spans="1:4" ht="42">
      <c r="A5457" s="715">
        <v>104578</v>
      </c>
      <c r="B5457" s="633" t="s">
        <v>28292</v>
      </c>
      <c r="C5457" s="715" t="s">
        <v>103</v>
      </c>
      <c r="D5457" s="716">
        <v>27.02</v>
      </c>
    </row>
    <row r="5458" spans="1:4" ht="56">
      <c r="A5458" s="715">
        <v>104580</v>
      </c>
      <c r="B5458" s="633" t="s">
        <v>33900</v>
      </c>
      <c r="C5458" s="715" t="s">
        <v>103</v>
      </c>
      <c r="D5458" s="716">
        <v>23.25</v>
      </c>
    </row>
    <row r="5459" spans="1:4" ht="42">
      <c r="A5459" s="715">
        <v>104579</v>
      </c>
      <c r="B5459" s="633" t="s">
        <v>28293</v>
      </c>
      <c r="C5459" s="715" t="s">
        <v>103</v>
      </c>
      <c r="D5459" s="716">
        <v>35.17</v>
      </c>
    </row>
    <row r="5460" spans="1:4" ht="42">
      <c r="A5460" s="715">
        <v>96823</v>
      </c>
      <c r="B5460" s="633" t="s">
        <v>26391</v>
      </c>
      <c r="C5460" s="715" t="s">
        <v>103</v>
      </c>
      <c r="D5460" s="716">
        <v>13.33</v>
      </c>
    </row>
    <row r="5461" spans="1:4" ht="42">
      <c r="A5461" s="715">
        <v>96826</v>
      </c>
      <c r="B5461" s="633" t="s">
        <v>26393</v>
      </c>
      <c r="C5461" s="715" t="s">
        <v>103</v>
      </c>
      <c r="D5461" s="716">
        <v>15.49</v>
      </c>
    </row>
    <row r="5462" spans="1:4" ht="42">
      <c r="A5462" s="715">
        <v>96830</v>
      </c>
      <c r="B5462" s="633" t="s">
        <v>26397</v>
      </c>
      <c r="C5462" s="715" t="s">
        <v>103</v>
      </c>
      <c r="D5462" s="716">
        <v>23.68</v>
      </c>
    </row>
    <row r="5463" spans="1:4" ht="42">
      <c r="A5463" s="715">
        <v>96834</v>
      </c>
      <c r="B5463" s="633" t="s">
        <v>26400</v>
      </c>
      <c r="C5463" s="715" t="s">
        <v>103</v>
      </c>
      <c r="D5463" s="716">
        <v>31.8</v>
      </c>
    </row>
    <row r="5464" spans="1:4" ht="42">
      <c r="A5464" s="715">
        <v>104581</v>
      </c>
      <c r="B5464" s="633" t="s">
        <v>40416</v>
      </c>
      <c r="C5464" s="715" t="s">
        <v>103</v>
      </c>
      <c r="D5464" s="716">
        <v>17.53</v>
      </c>
    </row>
    <row r="5465" spans="1:4" ht="42">
      <c r="A5465" s="715">
        <v>104582</v>
      </c>
      <c r="B5465" s="633" t="s">
        <v>40417</v>
      </c>
      <c r="C5465" s="715" t="s">
        <v>103</v>
      </c>
      <c r="D5465" s="716">
        <v>22.15</v>
      </c>
    </row>
    <row r="5466" spans="1:4" ht="42">
      <c r="A5466" s="715">
        <v>104583</v>
      </c>
      <c r="B5466" s="633" t="s">
        <v>40418</v>
      </c>
      <c r="C5466" s="715" t="s">
        <v>103</v>
      </c>
      <c r="D5466" s="716">
        <v>34.42</v>
      </c>
    </row>
    <row r="5467" spans="1:4" ht="42">
      <c r="A5467" s="715">
        <v>104584</v>
      </c>
      <c r="B5467" s="633" t="s">
        <v>40419</v>
      </c>
      <c r="C5467" s="715" t="s">
        <v>103</v>
      </c>
      <c r="D5467" s="716">
        <v>41.38</v>
      </c>
    </row>
    <row r="5468" spans="1:4" ht="42">
      <c r="A5468" s="715">
        <v>104585</v>
      </c>
      <c r="B5468" s="633" t="s">
        <v>33901</v>
      </c>
      <c r="C5468" s="715" t="s">
        <v>103</v>
      </c>
      <c r="D5468" s="716">
        <v>0</v>
      </c>
    </row>
    <row r="5469" spans="1:4" ht="42">
      <c r="A5469" s="715">
        <v>104587</v>
      </c>
      <c r="B5469" s="633" t="s">
        <v>33902</v>
      </c>
      <c r="C5469" s="715" t="s">
        <v>103</v>
      </c>
      <c r="D5469" s="716">
        <v>0</v>
      </c>
    </row>
    <row r="5470" spans="1:4" ht="42">
      <c r="A5470" s="715">
        <v>104586</v>
      </c>
      <c r="B5470" s="633" t="s">
        <v>33903</v>
      </c>
      <c r="C5470" s="715" t="s">
        <v>103</v>
      </c>
      <c r="D5470" s="716">
        <v>0</v>
      </c>
    </row>
    <row r="5471" spans="1:4" ht="42">
      <c r="A5471" s="715">
        <v>96798</v>
      </c>
      <c r="B5471" s="633" t="s">
        <v>25944</v>
      </c>
      <c r="C5471" s="715" t="s">
        <v>165</v>
      </c>
      <c r="D5471" s="716">
        <v>9.73</v>
      </c>
    </row>
    <row r="5472" spans="1:4" ht="42">
      <c r="A5472" s="715">
        <v>96799</v>
      </c>
      <c r="B5472" s="633" t="s">
        <v>25945</v>
      </c>
      <c r="C5472" s="715" t="s">
        <v>165</v>
      </c>
      <c r="D5472" s="716">
        <v>12.44</v>
      </c>
    </row>
    <row r="5473" spans="1:4" ht="42">
      <c r="A5473" s="715">
        <v>96800</v>
      </c>
      <c r="B5473" s="633" t="s">
        <v>25946</v>
      </c>
      <c r="C5473" s="715" t="s">
        <v>165</v>
      </c>
      <c r="D5473" s="716">
        <v>16.82</v>
      </c>
    </row>
    <row r="5474" spans="1:4" ht="42">
      <c r="A5474" s="715">
        <v>96801</v>
      </c>
      <c r="B5474" s="633" t="s">
        <v>25947</v>
      </c>
      <c r="C5474" s="715" t="s">
        <v>165</v>
      </c>
      <c r="D5474" s="716">
        <v>25.12</v>
      </c>
    </row>
    <row r="5475" spans="1:4" ht="42">
      <c r="A5475" s="715">
        <v>104539</v>
      </c>
      <c r="B5475" s="633" t="s">
        <v>33904</v>
      </c>
      <c r="C5475" s="715" t="s">
        <v>103</v>
      </c>
      <c r="D5475" s="716">
        <v>0</v>
      </c>
    </row>
    <row r="5476" spans="1:4" ht="42">
      <c r="A5476" s="715">
        <v>104541</v>
      </c>
      <c r="B5476" s="633" t="s">
        <v>33905</v>
      </c>
      <c r="C5476" s="715" t="s">
        <v>103</v>
      </c>
      <c r="D5476" s="716">
        <v>0</v>
      </c>
    </row>
    <row r="5477" spans="1:4" ht="42">
      <c r="A5477" s="715">
        <v>104540</v>
      </c>
      <c r="B5477" s="633" t="s">
        <v>33906</v>
      </c>
      <c r="C5477" s="715" t="s">
        <v>103</v>
      </c>
      <c r="D5477" s="716">
        <v>0</v>
      </c>
    </row>
    <row r="5478" spans="1:4" ht="42">
      <c r="A5478" s="715">
        <v>104543</v>
      </c>
      <c r="B5478" s="633" t="s">
        <v>33907</v>
      </c>
      <c r="C5478" s="715" t="s">
        <v>103</v>
      </c>
      <c r="D5478" s="716">
        <v>0</v>
      </c>
    </row>
    <row r="5479" spans="1:4" ht="42">
      <c r="A5479" s="715">
        <v>104544</v>
      </c>
      <c r="B5479" s="633" t="s">
        <v>33908</v>
      </c>
      <c r="C5479" s="715" t="s">
        <v>103</v>
      </c>
      <c r="D5479" s="716">
        <v>0</v>
      </c>
    </row>
    <row r="5480" spans="1:4" ht="42">
      <c r="A5480" s="715">
        <v>104545</v>
      </c>
      <c r="B5480" s="633" t="s">
        <v>33909</v>
      </c>
      <c r="C5480" s="715" t="s">
        <v>103</v>
      </c>
      <c r="D5480" s="716">
        <v>0</v>
      </c>
    </row>
    <row r="5481" spans="1:4" ht="42">
      <c r="A5481" s="715">
        <v>104542</v>
      </c>
      <c r="B5481" s="633" t="s">
        <v>33910</v>
      </c>
      <c r="C5481" s="715" t="s">
        <v>103</v>
      </c>
      <c r="D5481" s="716">
        <v>0</v>
      </c>
    </row>
    <row r="5482" spans="1:4" ht="42">
      <c r="A5482" s="715">
        <v>104592</v>
      </c>
      <c r="B5482" s="633" t="s">
        <v>33911</v>
      </c>
      <c r="C5482" s="715" t="s">
        <v>103</v>
      </c>
      <c r="D5482" s="716">
        <v>0</v>
      </c>
    </row>
    <row r="5483" spans="1:4" ht="42">
      <c r="A5483" s="715">
        <v>104548</v>
      </c>
      <c r="B5483" s="633" t="s">
        <v>33912</v>
      </c>
      <c r="C5483" s="715" t="s">
        <v>103</v>
      </c>
      <c r="D5483" s="716">
        <v>0</v>
      </c>
    </row>
    <row r="5484" spans="1:4" ht="42">
      <c r="A5484" s="715">
        <v>104546</v>
      </c>
      <c r="B5484" s="633" t="s">
        <v>33913</v>
      </c>
      <c r="C5484" s="715" t="s">
        <v>103</v>
      </c>
      <c r="D5484" s="716">
        <v>0</v>
      </c>
    </row>
    <row r="5485" spans="1:4" ht="42">
      <c r="A5485" s="715">
        <v>104549</v>
      </c>
      <c r="B5485" s="633" t="s">
        <v>33914</v>
      </c>
      <c r="C5485" s="715" t="s">
        <v>103</v>
      </c>
      <c r="D5485" s="716">
        <v>0</v>
      </c>
    </row>
    <row r="5486" spans="1:4" ht="42">
      <c r="A5486" s="715">
        <v>104550</v>
      </c>
      <c r="B5486" s="633" t="s">
        <v>33915</v>
      </c>
      <c r="C5486" s="715" t="s">
        <v>103</v>
      </c>
      <c r="D5486" s="716">
        <v>0</v>
      </c>
    </row>
    <row r="5487" spans="1:4" ht="42">
      <c r="A5487" s="715">
        <v>104552</v>
      </c>
      <c r="B5487" s="633" t="s">
        <v>33916</v>
      </c>
      <c r="C5487" s="715" t="s">
        <v>103</v>
      </c>
      <c r="D5487" s="716">
        <v>0</v>
      </c>
    </row>
    <row r="5488" spans="1:4" ht="42">
      <c r="A5488" s="715">
        <v>104551</v>
      </c>
      <c r="B5488" s="633" t="s">
        <v>33917</v>
      </c>
      <c r="C5488" s="715" t="s">
        <v>103</v>
      </c>
      <c r="D5488" s="716">
        <v>0</v>
      </c>
    </row>
    <row r="5489" spans="1:4" ht="42">
      <c r="A5489" s="715">
        <v>104553</v>
      </c>
      <c r="B5489" s="633" t="s">
        <v>33918</v>
      </c>
      <c r="C5489" s="715" t="s">
        <v>103</v>
      </c>
      <c r="D5489" s="716">
        <v>0</v>
      </c>
    </row>
    <row r="5490" spans="1:4" ht="42">
      <c r="A5490" s="715">
        <v>104554</v>
      </c>
      <c r="B5490" s="633" t="s">
        <v>33919</v>
      </c>
      <c r="C5490" s="715" t="s">
        <v>103</v>
      </c>
      <c r="D5490" s="716">
        <v>0</v>
      </c>
    </row>
    <row r="5491" spans="1:4" ht="42">
      <c r="A5491" s="715">
        <v>104555</v>
      </c>
      <c r="B5491" s="633" t="s">
        <v>33920</v>
      </c>
      <c r="C5491" s="715" t="s">
        <v>103</v>
      </c>
      <c r="D5491" s="716">
        <v>0</v>
      </c>
    </row>
    <row r="5492" spans="1:4" ht="42">
      <c r="A5492" s="715">
        <v>104556</v>
      </c>
      <c r="B5492" s="633" t="s">
        <v>33921</v>
      </c>
      <c r="C5492" s="715" t="s">
        <v>103</v>
      </c>
      <c r="D5492" s="716">
        <v>0</v>
      </c>
    </row>
    <row r="5493" spans="1:4" ht="42">
      <c r="A5493" s="715">
        <v>104558</v>
      </c>
      <c r="B5493" s="633" t="s">
        <v>33922</v>
      </c>
      <c r="C5493" s="715" t="s">
        <v>103</v>
      </c>
      <c r="D5493" s="716">
        <v>0</v>
      </c>
    </row>
    <row r="5494" spans="1:4" ht="42">
      <c r="A5494" s="715">
        <v>104559</v>
      </c>
      <c r="B5494" s="633" t="s">
        <v>33923</v>
      </c>
      <c r="C5494" s="715" t="s">
        <v>103</v>
      </c>
      <c r="D5494" s="716">
        <v>0</v>
      </c>
    </row>
    <row r="5495" spans="1:4" ht="42">
      <c r="A5495" s="715">
        <v>104560</v>
      </c>
      <c r="B5495" s="633" t="s">
        <v>33924</v>
      </c>
      <c r="C5495" s="715" t="s">
        <v>103</v>
      </c>
      <c r="D5495" s="716">
        <v>0</v>
      </c>
    </row>
    <row r="5496" spans="1:4" ht="42">
      <c r="A5496" s="715">
        <v>104557</v>
      </c>
      <c r="B5496" s="633" t="s">
        <v>33925</v>
      </c>
      <c r="C5496" s="715" t="s">
        <v>103</v>
      </c>
      <c r="D5496" s="716">
        <v>0</v>
      </c>
    </row>
    <row r="5497" spans="1:4" ht="42">
      <c r="A5497" s="715">
        <v>104561</v>
      </c>
      <c r="B5497" s="633" t="s">
        <v>33926</v>
      </c>
      <c r="C5497" s="715" t="s">
        <v>103</v>
      </c>
      <c r="D5497" s="716">
        <v>0</v>
      </c>
    </row>
    <row r="5498" spans="1:4" ht="42">
      <c r="A5498" s="715">
        <v>104562</v>
      </c>
      <c r="B5498" s="633" t="s">
        <v>33927</v>
      </c>
      <c r="C5498" s="715" t="s">
        <v>103</v>
      </c>
      <c r="D5498" s="716">
        <v>0</v>
      </c>
    </row>
    <row r="5499" spans="1:4" ht="42">
      <c r="A5499" s="715">
        <v>96860</v>
      </c>
      <c r="B5499" s="633" t="s">
        <v>26421</v>
      </c>
      <c r="C5499" s="715" t="s">
        <v>103</v>
      </c>
      <c r="D5499" s="716">
        <v>35.69</v>
      </c>
    </row>
    <row r="5500" spans="1:4" ht="42">
      <c r="A5500" s="715">
        <v>96862</v>
      </c>
      <c r="B5500" s="633" t="s">
        <v>26422</v>
      </c>
      <c r="C5500" s="715" t="s">
        <v>103</v>
      </c>
      <c r="D5500" s="716">
        <v>43.66</v>
      </c>
    </row>
    <row r="5501" spans="1:4" ht="42">
      <c r="A5501" s="715">
        <v>96864</v>
      </c>
      <c r="B5501" s="633" t="s">
        <v>26424</v>
      </c>
      <c r="C5501" s="715" t="s">
        <v>103</v>
      </c>
      <c r="D5501" s="716">
        <v>60.46</v>
      </c>
    </row>
    <row r="5502" spans="1:4" ht="42">
      <c r="A5502" s="715">
        <v>96866</v>
      </c>
      <c r="B5502" s="633" t="s">
        <v>26426</v>
      </c>
      <c r="C5502" s="715" t="s">
        <v>103</v>
      </c>
      <c r="D5502" s="716">
        <v>78.17</v>
      </c>
    </row>
    <row r="5503" spans="1:4" ht="42">
      <c r="A5503" s="715">
        <v>96868</v>
      </c>
      <c r="B5503" s="633" t="s">
        <v>26427</v>
      </c>
      <c r="C5503" s="715" t="s">
        <v>103</v>
      </c>
      <c r="D5503" s="716">
        <v>23.52</v>
      </c>
    </row>
    <row r="5504" spans="1:4" ht="42">
      <c r="A5504" s="715">
        <v>96869</v>
      </c>
      <c r="B5504" s="633" t="s">
        <v>26428</v>
      </c>
      <c r="C5504" s="715" t="s">
        <v>103</v>
      </c>
      <c r="D5504" s="716">
        <v>34.89</v>
      </c>
    </row>
    <row r="5505" spans="1:4" ht="42">
      <c r="A5505" s="715">
        <v>96870</v>
      </c>
      <c r="B5505" s="633" t="s">
        <v>26429</v>
      </c>
      <c r="C5505" s="715" t="s">
        <v>103</v>
      </c>
      <c r="D5505" s="716">
        <v>51.19</v>
      </c>
    </row>
    <row r="5506" spans="1:4" ht="42">
      <c r="A5506" s="715">
        <v>96871</v>
      </c>
      <c r="B5506" s="633" t="s">
        <v>26430</v>
      </c>
      <c r="C5506" s="715" t="s">
        <v>103</v>
      </c>
      <c r="D5506" s="716">
        <v>58.92</v>
      </c>
    </row>
    <row r="5507" spans="1:4" ht="56">
      <c r="A5507" s="715">
        <v>96861</v>
      </c>
      <c r="B5507" s="633" t="s">
        <v>29219</v>
      </c>
      <c r="C5507" s="715" t="s">
        <v>103</v>
      </c>
      <c r="D5507" s="716">
        <v>44.92</v>
      </c>
    </row>
    <row r="5508" spans="1:4" ht="56">
      <c r="A5508" s="715">
        <v>96863</v>
      </c>
      <c r="B5508" s="633" t="s">
        <v>26423</v>
      </c>
      <c r="C5508" s="715" t="s">
        <v>103</v>
      </c>
      <c r="D5508" s="716">
        <v>46.47</v>
      </c>
    </row>
    <row r="5509" spans="1:4" ht="56">
      <c r="A5509" s="715">
        <v>96865</v>
      </c>
      <c r="B5509" s="633" t="s">
        <v>26425</v>
      </c>
      <c r="C5509" s="715" t="s">
        <v>103</v>
      </c>
      <c r="D5509" s="716">
        <v>54.91</v>
      </c>
    </row>
    <row r="5510" spans="1:4" ht="56">
      <c r="A5510" s="715">
        <v>96814</v>
      </c>
      <c r="B5510" s="633" t="s">
        <v>26382</v>
      </c>
      <c r="C5510" s="715" t="s">
        <v>103</v>
      </c>
      <c r="D5510" s="716">
        <v>19.190000000000001</v>
      </c>
    </row>
    <row r="5511" spans="1:4" ht="56">
      <c r="A5511" s="715">
        <v>96818</v>
      </c>
      <c r="B5511" s="633" t="s">
        <v>26386</v>
      </c>
      <c r="C5511" s="715" t="s">
        <v>103</v>
      </c>
      <c r="D5511" s="716">
        <v>25.19</v>
      </c>
    </row>
    <row r="5512" spans="1:4" ht="56">
      <c r="A5512" s="715">
        <v>96819</v>
      </c>
      <c r="B5512" s="633" t="s">
        <v>26387</v>
      </c>
      <c r="C5512" s="715" t="s">
        <v>103</v>
      </c>
      <c r="D5512" s="716">
        <v>27.02</v>
      </c>
    </row>
    <row r="5513" spans="1:4" ht="56">
      <c r="A5513" s="715">
        <v>96822</v>
      </c>
      <c r="B5513" s="633" t="s">
        <v>26390</v>
      </c>
      <c r="C5513" s="715" t="s">
        <v>103</v>
      </c>
      <c r="D5513" s="716">
        <v>35.17</v>
      </c>
    </row>
    <row r="5514" spans="1:4" ht="42">
      <c r="A5514" s="715">
        <v>96808</v>
      </c>
      <c r="B5514" s="633" t="s">
        <v>26376</v>
      </c>
      <c r="C5514" s="715" t="s">
        <v>103</v>
      </c>
      <c r="D5514" s="716">
        <v>20.77</v>
      </c>
    </row>
    <row r="5515" spans="1:4" ht="42">
      <c r="A5515" s="715">
        <v>96811</v>
      </c>
      <c r="B5515" s="633" t="s">
        <v>26379</v>
      </c>
      <c r="C5515" s="715" t="s">
        <v>103</v>
      </c>
      <c r="D5515" s="716">
        <v>25.99</v>
      </c>
    </row>
    <row r="5516" spans="1:4" ht="42">
      <c r="A5516" s="715">
        <v>96815</v>
      </c>
      <c r="B5516" s="633" t="s">
        <v>26383</v>
      </c>
      <c r="C5516" s="715" t="s">
        <v>103</v>
      </c>
      <c r="D5516" s="716">
        <v>39.01</v>
      </c>
    </row>
    <row r="5517" spans="1:4" ht="42">
      <c r="A5517" s="715">
        <v>96820</v>
      </c>
      <c r="B5517" s="633" t="s">
        <v>26388</v>
      </c>
      <c r="C5517" s="715" t="s">
        <v>103</v>
      </c>
      <c r="D5517" s="716">
        <v>47.02</v>
      </c>
    </row>
    <row r="5518" spans="1:4" ht="42">
      <c r="A5518" s="715">
        <v>96702</v>
      </c>
      <c r="B5518" s="633" t="s">
        <v>40420</v>
      </c>
      <c r="C5518" s="715" t="s">
        <v>103</v>
      </c>
      <c r="D5518" s="716">
        <v>14.98</v>
      </c>
    </row>
    <row r="5519" spans="1:4" ht="42">
      <c r="A5519" s="715">
        <v>96662</v>
      </c>
      <c r="B5519" s="633" t="s">
        <v>40421</v>
      </c>
      <c r="C5519" s="715" t="s">
        <v>103</v>
      </c>
      <c r="D5519" s="716">
        <v>11.8</v>
      </c>
    </row>
    <row r="5520" spans="1:4" ht="42">
      <c r="A5520" s="715">
        <v>96704</v>
      </c>
      <c r="B5520" s="633" t="s">
        <v>40422</v>
      </c>
      <c r="C5520" s="715" t="s">
        <v>103</v>
      </c>
      <c r="D5520" s="716">
        <v>24.93</v>
      </c>
    </row>
    <row r="5521" spans="1:4" ht="42">
      <c r="A5521" s="715">
        <v>96664</v>
      </c>
      <c r="B5521" s="633" t="s">
        <v>40423</v>
      </c>
      <c r="C5521" s="715" t="s">
        <v>103</v>
      </c>
      <c r="D5521" s="716">
        <v>20.85</v>
      </c>
    </row>
    <row r="5522" spans="1:4" ht="42">
      <c r="A5522" s="715">
        <v>104191</v>
      </c>
      <c r="B5522" s="633" t="s">
        <v>26585</v>
      </c>
      <c r="C5522" s="715" t="s">
        <v>103</v>
      </c>
      <c r="D5522" s="716">
        <v>13.63</v>
      </c>
    </row>
    <row r="5523" spans="1:4" ht="42">
      <c r="A5523" s="715">
        <v>96700</v>
      </c>
      <c r="B5523" s="633" t="s">
        <v>40424</v>
      </c>
      <c r="C5523" s="715" t="s">
        <v>103</v>
      </c>
      <c r="D5523" s="716">
        <v>20.64</v>
      </c>
    </row>
    <row r="5524" spans="1:4" ht="42">
      <c r="A5524" s="715">
        <v>96658</v>
      </c>
      <c r="B5524" s="633" t="s">
        <v>40425</v>
      </c>
      <c r="C5524" s="715" t="s">
        <v>103</v>
      </c>
      <c r="D5524" s="716">
        <v>18.22</v>
      </c>
    </row>
    <row r="5525" spans="1:4" ht="42">
      <c r="A5525" s="715">
        <v>96641</v>
      </c>
      <c r="B5525" s="633" t="s">
        <v>40426</v>
      </c>
      <c r="C5525" s="715" t="s">
        <v>103</v>
      </c>
      <c r="D5525" s="716">
        <v>21.21</v>
      </c>
    </row>
    <row r="5526" spans="1:4" ht="42">
      <c r="A5526" s="715">
        <v>96661</v>
      </c>
      <c r="B5526" s="633" t="s">
        <v>40427</v>
      </c>
      <c r="C5526" s="715" t="s">
        <v>103</v>
      </c>
      <c r="D5526" s="716">
        <v>36.97</v>
      </c>
    </row>
    <row r="5527" spans="1:4" ht="42">
      <c r="A5527" s="715">
        <v>96699</v>
      </c>
      <c r="B5527" s="633" t="s">
        <v>40428</v>
      </c>
      <c r="C5527" s="715" t="s">
        <v>103</v>
      </c>
      <c r="D5527" s="716">
        <v>30.21</v>
      </c>
    </row>
    <row r="5528" spans="1:4" ht="42">
      <c r="A5528" s="715">
        <v>96657</v>
      </c>
      <c r="B5528" s="633" t="s">
        <v>40429</v>
      </c>
      <c r="C5528" s="715" t="s">
        <v>103</v>
      </c>
      <c r="D5528" s="716">
        <v>27.79</v>
      </c>
    </row>
    <row r="5529" spans="1:4" ht="42">
      <c r="A5529" s="715">
        <v>96640</v>
      </c>
      <c r="B5529" s="633" t="s">
        <v>40430</v>
      </c>
      <c r="C5529" s="715" t="s">
        <v>103</v>
      </c>
      <c r="D5529" s="716">
        <v>30.78</v>
      </c>
    </row>
    <row r="5530" spans="1:4" ht="42">
      <c r="A5530" s="715">
        <v>96660</v>
      </c>
      <c r="B5530" s="633" t="s">
        <v>40431</v>
      </c>
      <c r="C5530" s="715" t="s">
        <v>103</v>
      </c>
      <c r="D5530" s="716">
        <v>37.31</v>
      </c>
    </row>
    <row r="5531" spans="1:4" ht="42">
      <c r="A5531" s="715">
        <v>104196</v>
      </c>
      <c r="B5531" s="633" t="s">
        <v>26588</v>
      </c>
      <c r="C5531" s="715" t="s">
        <v>103</v>
      </c>
      <c r="D5531" s="716">
        <v>19.57</v>
      </c>
    </row>
    <row r="5532" spans="1:4" ht="42">
      <c r="A5532" s="715">
        <v>104197</v>
      </c>
      <c r="B5532" s="633" t="s">
        <v>26589</v>
      </c>
      <c r="C5532" s="715" t="s">
        <v>103</v>
      </c>
      <c r="D5532" s="716">
        <v>37.69</v>
      </c>
    </row>
    <row r="5533" spans="1:4" ht="42">
      <c r="A5533" s="715">
        <v>104198</v>
      </c>
      <c r="B5533" s="633" t="s">
        <v>26590</v>
      </c>
      <c r="C5533" s="715" t="s">
        <v>103</v>
      </c>
      <c r="D5533" s="716">
        <v>10.42</v>
      </c>
    </row>
    <row r="5534" spans="1:4" ht="42">
      <c r="A5534" s="715">
        <v>96685</v>
      </c>
      <c r="B5534" s="633" t="s">
        <v>40432</v>
      </c>
      <c r="C5534" s="715" t="s">
        <v>103</v>
      </c>
      <c r="D5534" s="716">
        <v>16.02</v>
      </c>
    </row>
    <row r="5535" spans="1:4" ht="42">
      <c r="A5535" s="715">
        <v>96651</v>
      </c>
      <c r="B5535" s="633" t="s">
        <v>40433</v>
      </c>
      <c r="C5535" s="715" t="s">
        <v>103</v>
      </c>
      <c r="D5535" s="716">
        <v>12.41</v>
      </c>
    </row>
    <row r="5536" spans="1:4" ht="42">
      <c r="A5536" s="715">
        <v>96638</v>
      </c>
      <c r="B5536" s="633" t="s">
        <v>40434</v>
      </c>
      <c r="C5536" s="715" t="s">
        <v>103</v>
      </c>
      <c r="D5536" s="716">
        <v>22.43</v>
      </c>
    </row>
    <row r="5537" spans="1:4" ht="42">
      <c r="A5537" s="715">
        <v>96687</v>
      </c>
      <c r="B5537" s="633" t="s">
        <v>40435</v>
      </c>
      <c r="C5537" s="715" t="s">
        <v>103</v>
      </c>
      <c r="D5537" s="716">
        <v>23.6</v>
      </c>
    </row>
    <row r="5538" spans="1:4" ht="42">
      <c r="A5538" s="715">
        <v>96653</v>
      </c>
      <c r="B5538" s="633" t="s">
        <v>26367</v>
      </c>
      <c r="C5538" s="715" t="s">
        <v>103</v>
      </c>
      <c r="D5538" s="716">
        <v>17.66</v>
      </c>
    </row>
    <row r="5539" spans="1:4" ht="42">
      <c r="A5539" s="715">
        <v>96689</v>
      </c>
      <c r="B5539" s="633" t="s">
        <v>40436</v>
      </c>
      <c r="C5539" s="715" t="s">
        <v>103</v>
      </c>
      <c r="D5539" s="716">
        <v>34.549999999999997</v>
      </c>
    </row>
    <row r="5540" spans="1:4" ht="42">
      <c r="A5540" s="715">
        <v>96655</v>
      </c>
      <c r="B5540" s="633" t="s">
        <v>26369</v>
      </c>
      <c r="C5540" s="715" t="s">
        <v>103</v>
      </c>
      <c r="D5540" s="716">
        <v>25.97</v>
      </c>
    </row>
    <row r="5541" spans="1:4" ht="42">
      <c r="A5541" s="715">
        <v>96691</v>
      </c>
      <c r="B5541" s="633" t="s">
        <v>40437</v>
      </c>
      <c r="C5541" s="715" t="s">
        <v>103</v>
      </c>
      <c r="D5541" s="716">
        <v>48.51</v>
      </c>
    </row>
    <row r="5542" spans="1:4" ht="42">
      <c r="A5542" s="715">
        <v>96693</v>
      </c>
      <c r="B5542" s="633" t="s">
        <v>40438</v>
      </c>
      <c r="C5542" s="715" t="s">
        <v>103</v>
      </c>
      <c r="D5542" s="716">
        <v>71.3</v>
      </c>
    </row>
    <row r="5543" spans="1:4" ht="42">
      <c r="A5543" s="715">
        <v>96695</v>
      </c>
      <c r="B5543" s="633" t="s">
        <v>40439</v>
      </c>
      <c r="C5543" s="715" t="s">
        <v>103</v>
      </c>
      <c r="D5543" s="716">
        <v>119.49</v>
      </c>
    </row>
    <row r="5544" spans="1:4" ht="42">
      <c r="A5544" s="715">
        <v>104193</v>
      </c>
      <c r="B5544" s="633" t="s">
        <v>26587</v>
      </c>
      <c r="C5544" s="715" t="s">
        <v>103</v>
      </c>
      <c r="D5544" s="716">
        <v>194.82</v>
      </c>
    </row>
    <row r="5545" spans="1:4" ht="42">
      <c r="A5545" s="715">
        <v>96697</v>
      </c>
      <c r="B5545" s="633" t="s">
        <v>40440</v>
      </c>
      <c r="C5545" s="715" t="s">
        <v>103</v>
      </c>
      <c r="D5545" s="716">
        <v>386.86</v>
      </c>
    </row>
    <row r="5546" spans="1:4" ht="42">
      <c r="A5546" s="715">
        <v>104199</v>
      </c>
      <c r="B5546" s="633" t="s">
        <v>26591</v>
      </c>
      <c r="C5546" s="715" t="s">
        <v>103</v>
      </c>
      <c r="D5546" s="716">
        <v>10.15</v>
      </c>
    </row>
    <row r="5547" spans="1:4" ht="42">
      <c r="A5547" s="715">
        <v>96684</v>
      </c>
      <c r="B5547" s="633" t="s">
        <v>40441</v>
      </c>
      <c r="C5547" s="715" t="s">
        <v>103</v>
      </c>
      <c r="D5547" s="716">
        <v>15.58</v>
      </c>
    </row>
    <row r="5548" spans="1:4" ht="42">
      <c r="A5548" s="715">
        <v>96650</v>
      </c>
      <c r="B5548" s="633" t="s">
        <v>40442</v>
      </c>
      <c r="C5548" s="715" t="s">
        <v>103</v>
      </c>
      <c r="D5548" s="716">
        <v>11.97</v>
      </c>
    </row>
    <row r="5549" spans="1:4" ht="42">
      <c r="A5549" s="715">
        <v>96637</v>
      </c>
      <c r="B5549" s="633" t="s">
        <v>40443</v>
      </c>
      <c r="C5549" s="715" t="s">
        <v>103</v>
      </c>
      <c r="D5549" s="716">
        <v>21.99</v>
      </c>
    </row>
    <row r="5550" spans="1:4" ht="42">
      <c r="A5550" s="715">
        <v>96686</v>
      </c>
      <c r="B5550" s="633" t="s">
        <v>40444</v>
      </c>
      <c r="C5550" s="715" t="s">
        <v>103</v>
      </c>
      <c r="D5550" s="716">
        <v>19.88</v>
      </c>
    </row>
    <row r="5551" spans="1:4" ht="42">
      <c r="A5551" s="715">
        <v>96652</v>
      </c>
      <c r="B5551" s="633" t="s">
        <v>26366</v>
      </c>
      <c r="C5551" s="715" t="s">
        <v>103</v>
      </c>
      <c r="D5551" s="716">
        <v>13.94</v>
      </c>
    </row>
    <row r="5552" spans="1:4" ht="42">
      <c r="A5552" s="715">
        <v>96688</v>
      </c>
      <c r="B5552" s="633" t="s">
        <v>40445</v>
      </c>
      <c r="C5552" s="715" t="s">
        <v>103</v>
      </c>
      <c r="D5552" s="716">
        <v>28.5</v>
      </c>
    </row>
    <row r="5553" spans="1:4" ht="42">
      <c r="A5553" s="715">
        <v>96654</v>
      </c>
      <c r="B5553" s="633" t="s">
        <v>26368</v>
      </c>
      <c r="C5553" s="715" t="s">
        <v>103</v>
      </c>
      <c r="D5553" s="716">
        <v>19.920000000000002</v>
      </c>
    </row>
    <row r="5554" spans="1:4" ht="42">
      <c r="A5554" s="715">
        <v>96690</v>
      </c>
      <c r="B5554" s="633" t="s">
        <v>40446</v>
      </c>
      <c r="C5554" s="715" t="s">
        <v>103</v>
      </c>
      <c r="D5554" s="716">
        <v>38.93</v>
      </c>
    </row>
    <row r="5555" spans="1:4" ht="42">
      <c r="A5555" s="715">
        <v>96692</v>
      </c>
      <c r="B5555" s="633" t="s">
        <v>40447</v>
      </c>
      <c r="C5555" s="715" t="s">
        <v>103</v>
      </c>
      <c r="D5555" s="716">
        <v>54.21</v>
      </c>
    </row>
    <row r="5556" spans="1:4" ht="42">
      <c r="A5556" s="715">
        <v>96694</v>
      </c>
      <c r="B5556" s="633" t="s">
        <v>40448</v>
      </c>
      <c r="C5556" s="715" t="s">
        <v>103</v>
      </c>
      <c r="D5556" s="716">
        <v>109.06</v>
      </c>
    </row>
    <row r="5557" spans="1:4" ht="42">
      <c r="A5557" s="715">
        <v>96696</v>
      </c>
      <c r="B5557" s="633" t="s">
        <v>40449</v>
      </c>
      <c r="C5557" s="715" t="s">
        <v>103</v>
      </c>
      <c r="D5557" s="716">
        <v>135.72999999999999</v>
      </c>
    </row>
    <row r="5558" spans="1:4" ht="42">
      <c r="A5558" s="715">
        <v>96709</v>
      </c>
      <c r="B5558" s="633" t="s">
        <v>40450</v>
      </c>
      <c r="C5558" s="715" t="s">
        <v>103</v>
      </c>
      <c r="D5558" s="716">
        <v>130.75</v>
      </c>
    </row>
    <row r="5559" spans="1:4" ht="42">
      <c r="A5559" s="715">
        <v>104200</v>
      </c>
      <c r="B5559" s="633" t="s">
        <v>26592</v>
      </c>
      <c r="C5559" s="715" t="s">
        <v>103</v>
      </c>
      <c r="D5559" s="716">
        <v>8.02</v>
      </c>
    </row>
    <row r="5560" spans="1:4" ht="42">
      <c r="A5560" s="715">
        <v>96698</v>
      </c>
      <c r="B5560" s="633" t="s">
        <v>40451</v>
      </c>
      <c r="C5560" s="715" t="s">
        <v>103</v>
      </c>
      <c r="D5560" s="716">
        <v>10.93</v>
      </c>
    </row>
    <row r="5561" spans="1:4" ht="42">
      <c r="A5561" s="715">
        <v>96656</v>
      </c>
      <c r="B5561" s="633" t="s">
        <v>40452</v>
      </c>
      <c r="C5561" s="715" t="s">
        <v>103</v>
      </c>
      <c r="D5561" s="716">
        <v>8.51</v>
      </c>
    </row>
    <row r="5562" spans="1:4" ht="42">
      <c r="A5562" s="715">
        <v>96639</v>
      </c>
      <c r="B5562" s="633" t="s">
        <v>40453</v>
      </c>
      <c r="C5562" s="715" t="s">
        <v>103</v>
      </c>
      <c r="D5562" s="716">
        <v>15.2</v>
      </c>
    </row>
    <row r="5563" spans="1:4" ht="42">
      <c r="A5563" s="715">
        <v>96701</v>
      </c>
      <c r="B5563" s="633" t="s">
        <v>40454</v>
      </c>
      <c r="C5563" s="715" t="s">
        <v>103</v>
      </c>
      <c r="D5563" s="716">
        <v>14.72</v>
      </c>
    </row>
    <row r="5564" spans="1:4" ht="42">
      <c r="A5564" s="715">
        <v>96659</v>
      </c>
      <c r="B5564" s="633" t="s">
        <v>40455</v>
      </c>
      <c r="C5564" s="715" t="s">
        <v>103</v>
      </c>
      <c r="D5564" s="716">
        <v>10.75</v>
      </c>
    </row>
    <row r="5565" spans="1:4" ht="42">
      <c r="A5565" s="715">
        <v>96703</v>
      </c>
      <c r="B5565" s="633" t="s">
        <v>40456</v>
      </c>
      <c r="C5565" s="715" t="s">
        <v>103</v>
      </c>
      <c r="D5565" s="716">
        <v>24.91</v>
      </c>
    </row>
    <row r="5566" spans="1:4" ht="42">
      <c r="A5566" s="715">
        <v>96663</v>
      </c>
      <c r="B5566" s="633" t="s">
        <v>40457</v>
      </c>
      <c r="C5566" s="715" t="s">
        <v>103</v>
      </c>
      <c r="D5566" s="716">
        <v>19.2</v>
      </c>
    </row>
    <row r="5567" spans="1:4" ht="42">
      <c r="A5567" s="715">
        <v>96705</v>
      </c>
      <c r="B5567" s="633" t="s">
        <v>40458</v>
      </c>
      <c r="C5567" s="715" t="s">
        <v>103</v>
      </c>
      <c r="D5567" s="716">
        <v>30.24</v>
      </c>
    </row>
    <row r="5568" spans="1:4" ht="42">
      <c r="A5568" s="715">
        <v>96706</v>
      </c>
      <c r="B5568" s="633" t="s">
        <v>40459</v>
      </c>
      <c r="C5568" s="715" t="s">
        <v>103</v>
      </c>
      <c r="D5568" s="716">
        <v>43.95</v>
      </c>
    </row>
    <row r="5569" spans="1:4" ht="42">
      <c r="A5569" s="715">
        <v>96707</v>
      </c>
      <c r="B5569" s="633" t="s">
        <v>40460</v>
      </c>
      <c r="C5569" s="715" t="s">
        <v>103</v>
      </c>
      <c r="D5569" s="716">
        <v>68.849999999999994</v>
      </c>
    </row>
    <row r="5570" spans="1:4" ht="42">
      <c r="A5570" s="715">
        <v>96708</v>
      </c>
      <c r="B5570" s="633" t="s">
        <v>40461</v>
      </c>
      <c r="C5570" s="715" t="s">
        <v>103</v>
      </c>
      <c r="D5570" s="716">
        <v>102.76</v>
      </c>
    </row>
    <row r="5571" spans="1:4" ht="42">
      <c r="A5571" s="715">
        <v>96675</v>
      </c>
      <c r="B5571" s="633" t="s">
        <v>40462</v>
      </c>
      <c r="C5571" s="715" t="s">
        <v>165</v>
      </c>
      <c r="D5571" s="716">
        <v>180.22</v>
      </c>
    </row>
    <row r="5572" spans="1:4" ht="42">
      <c r="A5572" s="715">
        <v>96683</v>
      </c>
      <c r="B5572" s="633" t="s">
        <v>40463</v>
      </c>
      <c r="C5572" s="715" t="s">
        <v>165</v>
      </c>
      <c r="D5572" s="716">
        <v>347.1</v>
      </c>
    </row>
    <row r="5573" spans="1:4" ht="42">
      <c r="A5573" s="715">
        <v>104194</v>
      </c>
      <c r="B5573" s="633" t="s">
        <v>25985</v>
      </c>
      <c r="C5573" s="715" t="s">
        <v>165</v>
      </c>
      <c r="D5573" s="716">
        <v>28.25</v>
      </c>
    </row>
    <row r="5574" spans="1:4" ht="42">
      <c r="A5574" s="715">
        <v>104195</v>
      </c>
      <c r="B5574" s="633" t="s">
        <v>25986</v>
      </c>
      <c r="C5574" s="715" t="s">
        <v>165</v>
      </c>
      <c r="D5574" s="716">
        <v>29.88</v>
      </c>
    </row>
    <row r="5575" spans="1:4" ht="42">
      <c r="A5575" s="715">
        <v>96668</v>
      </c>
      <c r="B5575" s="633" t="s">
        <v>40464</v>
      </c>
      <c r="C5575" s="715" t="s">
        <v>165</v>
      </c>
      <c r="D5575" s="716">
        <v>21.14</v>
      </c>
    </row>
    <row r="5576" spans="1:4" ht="42">
      <c r="A5576" s="715">
        <v>96644</v>
      </c>
      <c r="B5576" s="633" t="s">
        <v>40465</v>
      </c>
      <c r="C5576" s="715" t="s">
        <v>165</v>
      </c>
      <c r="D5576" s="716">
        <v>28.33</v>
      </c>
    </row>
    <row r="5577" spans="1:4" ht="42">
      <c r="A5577" s="715">
        <v>96635</v>
      </c>
      <c r="B5577" s="633" t="s">
        <v>40466</v>
      </c>
      <c r="C5577" s="715" t="s">
        <v>165</v>
      </c>
      <c r="D5577" s="716">
        <v>55.35</v>
      </c>
    </row>
    <row r="5578" spans="1:4" ht="42">
      <c r="A5578" s="715">
        <v>96636</v>
      </c>
      <c r="B5578" s="633" t="s">
        <v>40467</v>
      </c>
      <c r="C5578" s="715" t="s">
        <v>165</v>
      </c>
      <c r="D5578" s="716">
        <v>58.42</v>
      </c>
    </row>
    <row r="5579" spans="1:4" ht="42">
      <c r="A5579" s="715">
        <v>96676</v>
      </c>
      <c r="B5579" s="633" t="s">
        <v>40468</v>
      </c>
      <c r="C5579" s="715" t="s">
        <v>165</v>
      </c>
      <c r="D5579" s="716">
        <v>27.32</v>
      </c>
    </row>
    <row r="5580" spans="1:4" ht="42">
      <c r="A5580" s="715">
        <v>96647</v>
      </c>
      <c r="B5580" s="633" t="s">
        <v>40469</v>
      </c>
      <c r="C5580" s="715" t="s">
        <v>165</v>
      </c>
      <c r="D5580" s="716">
        <v>30.61</v>
      </c>
    </row>
    <row r="5581" spans="1:4" ht="42">
      <c r="A5581" s="715">
        <v>96669</v>
      </c>
      <c r="B5581" s="633" t="s">
        <v>40470</v>
      </c>
      <c r="C5581" s="715" t="s">
        <v>165</v>
      </c>
      <c r="D5581" s="716">
        <v>21.55</v>
      </c>
    </row>
    <row r="5582" spans="1:4" ht="42">
      <c r="A5582" s="715">
        <v>96645</v>
      </c>
      <c r="B5582" s="633" t="s">
        <v>40471</v>
      </c>
      <c r="C5582" s="715" t="s">
        <v>165</v>
      </c>
      <c r="D5582" s="716">
        <v>25.38</v>
      </c>
    </row>
    <row r="5583" spans="1:4" ht="42">
      <c r="A5583" s="715">
        <v>96677</v>
      </c>
      <c r="B5583" s="633" t="s">
        <v>40472</v>
      </c>
      <c r="C5583" s="715" t="s">
        <v>165</v>
      </c>
      <c r="D5583" s="716">
        <v>35.42</v>
      </c>
    </row>
    <row r="5584" spans="1:4" ht="42">
      <c r="A5584" s="715">
        <v>96648</v>
      </c>
      <c r="B5584" s="633" t="s">
        <v>40473</v>
      </c>
      <c r="C5584" s="715" t="s">
        <v>165</v>
      </c>
      <c r="D5584" s="716">
        <v>37.26</v>
      </c>
    </row>
    <row r="5585" spans="1:4" ht="42">
      <c r="A5585" s="715">
        <v>96670</v>
      </c>
      <c r="B5585" s="633" t="s">
        <v>40474</v>
      </c>
      <c r="C5585" s="715" t="s">
        <v>165</v>
      </c>
      <c r="D5585" s="716">
        <v>27.85</v>
      </c>
    </row>
    <row r="5586" spans="1:4" ht="42">
      <c r="A5586" s="715">
        <v>96646</v>
      </c>
      <c r="B5586" s="633" t="s">
        <v>40475</v>
      </c>
      <c r="C5586" s="715" t="s">
        <v>165</v>
      </c>
      <c r="D5586" s="716">
        <v>30.6</v>
      </c>
    </row>
    <row r="5587" spans="1:4" ht="42">
      <c r="A5587" s="715">
        <v>96678</v>
      </c>
      <c r="B5587" s="633" t="s">
        <v>40476</v>
      </c>
      <c r="C5587" s="715" t="s">
        <v>165</v>
      </c>
      <c r="D5587" s="716">
        <v>48.32</v>
      </c>
    </row>
    <row r="5588" spans="1:4" ht="42">
      <c r="A5588" s="715">
        <v>96649</v>
      </c>
      <c r="B5588" s="633" t="s">
        <v>40477</v>
      </c>
      <c r="C5588" s="715" t="s">
        <v>165</v>
      </c>
      <c r="D5588" s="716">
        <v>48.52</v>
      </c>
    </row>
    <row r="5589" spans="1:4" ht="42">
      <c r="A5589" s="715">
        <v>96671</v>
      </c>
      <c r="B5589" s="633" t="s">
        <v>40478</v>
      </c>
      <c r="C5589" s="715" t="s">
        <v>165</v>
      </c>
      <c r="D5589" s="716">
        <v>41.45</v>
      </c>
    </row>
    <row r="5590" spans="1:4" ht="42">
      <c r="A5590" s="715">
        <v>96679</v>
      </c>
      <c r="B5590" s="633" t="s">
        <v>40479</v>
      </c>
      <c r="C5590" s="715" t="s">
        <v>165</v>
      </c>
      <c r="D5590" s="716">
        <v>71.150000000000006</v>
      </c>
    </row>
    <row r="5591" spans="1:4" ht="42">
      <c r="A5591" s="715">
        <v>96672</v>
      </c>
      <c r="B5591" s="633" t="s">
        <v>40480</v>
      </c>
      <c r="C5591" s="715" t="s">
        <v>165</v>
      </c>
      <c r="D5591" s="716">
        <v>62.31</v>
      </c>
    </row>
    <row r="5592" spans="1:4" ht="42">
      <c r="A5592" s="715">
        <v>96680</v>
      </c>
      <c r="B5592" s="633" t="s">
        <v>40481</v>
      </c>
      <c r="C5592" s="715" t="s">
        <v>165</v>
      </c>
      <c r="D5592" s="716">
        <v>116.04</v>
      </c>
    </row>
    <row r="5593" spans="1:4" ht="42">
      <c r="A5593" s="715">
        <v>96673</v>
      </c>
      <c r="B5593" s="633" t="s">
        <v>40482</v>
      </c>
      <c r="C5593" s="715" t="s">
        <v>165</v>
      </c>
      <c r="D5593" s="716">
        <v>78.260000000000005</v>
      </c>
    </row>
    <row r="5594" spans="1:4" ht="42">
      <c r="A5594" s="715">
        <v>96681</v>
      </c>
      <c r="B5594" s="633" t="s">
        <v>40483</v>
      </c>
      <c r="C5594" s="715" t="s">
        <v>165</v>
      </c>
      <c r="D5594" s="716">
        <v>155.28</v>
      </c>
    </row>
    <row r="5595" spans="1:4" ht="42">
      <c r="A5595" s="715">
        <v>96674</v>
      </c>
      <c r="B5595" s="633" t="s">
        <v>40484</v>
      </c>
      <c r="C5595" s="715" t="s">
        <v>165</v>
      </c>
      <c r="D5595" s="716">
        <v>124.77</v>
      </c>
    </row>
    <row r="5596" spans="1:4" ht="42">
      <c r="A5596" s="715">
        <v>96682</v>
      </c>
      <c r="B5596" s="633" t="s">
        <v>40485</v>
      </c>
      <c r="C5596" s="715" t="s">
        <v>165</v>
      </c>
      <c r="D5596" s="716">
        <v>253.65</v>
      </c>
    </row>
    <row r="5597" spans="1:4" ht="42">
      <c r="A5597" s="715">
        <v>96643</v>
      </c>
      <c r="B5597" s="633" t="s">
        <v>40486</v>
      </c>
      <c r="C5597" s="715" t="s">
        <v>103</v>
      </c>
      <c r="D5597" s="716">
        <v>54.44</v>
      </c>
    </row>
    <row r="5598" spans="1:4" ht="42">
      <c r="A5598" s="715">
        <v>104201</v>
      </c>
      <c r="B5598" s="633" t="s">
        <v>26593</v>
      </c>
      <c r="C5598" s="715" t="s">
        <v>103</v>
      </c>
      <c r="D5598" s="716">
        <v>24.33</v>
      </c>
    </row>
    <row r="5599" spans="1:4" ht="42">
      <c r="A5599" s="715">
        <v>104192</v>
      </c>
      <c r="B5599" s="633" t="s">
        <v>26586</v>
      </c>
      <c r="C5599" s="715" t="s">
        <v>103</v>
      </c>
      <c r="D5599" s="716">
        <v>36.35</v>
      </c>
    </row>
    <row r="5600" spans="1:4" ht="42">
      <c r="A5600" s="715">
        <v>104202</v>
      </c>
      <c r="B5600" s="633" t="s">
        <v>26594</v>
      </c>
      <c r="C5600" s="715" t="s">
        <v>103</v>
      </c>
      <c r="D5600" s="716">
        <v>14.77</v>
      </c>
    </row>
    <row r="5601" spans="1:4" ht="42">
      <c r="A5601" s="715">
        <v>96717</v>
      </c>
      <c r="B5601" s="633" t="s">
        <v>40487</v>
      </c>
      <c r="C5601" s="715" t="s">
        <v>103</v>
      </c>
      <c r="D5601" s="716">
        <v>356.34</v>
      </c>
    </row>
    <row r="5602" spans="1:4" ht="42">
      <c r="A5602" s="715">
        <v>96710</v>
      </c>
      <c r="B5602" s="633" t="s">
        <v>40488</v>
      </c>
      <c r="C5602" s="715" t="s">
        <v>103</v>
      </c>
      <c r="D5602" s="716">
        <v>20.47</v>
      </c>
    </row>
    <row r="5603" spans="1:4" ht="42">
      <c r="A5603" s="715">
        <v>96665</v>
      </c>
      <c r="B5603" s="633" t="s">
        <v>40489</v>
      </c>
      <c r="C5603" s="715" t="s">
        <v>103</v>
      </c>
      <c r="D5603" s="716">
        <v>15.65</v>
      </c>
    </row>
    <row r="5604" spans="1:4" ht="42">
      <c r="A5604" s="715">
        <v>96642</v>
      </c>
      <c r="B5604" s="633" t="s">
        <v>40490</v>
      </c>
      <c r="C5604" s="715" t="s">
        <v>103</v>
      </c>
      <c r="D5604" s="716">
        <v>29.02</v>
      </c>
    </row>
    <row r="5605" spans="1:4" ht="42">
      <c r="A5605" s="715">
        <v>96711</v>
      </c>
      <c r="B5605" s="633" t="s">
        <v>40491</v>
      </c>
      <c r="C5605" s="715" t="s">
        <v>103</v>
      </c>
      <c r="D5605" s="716">
        <v>29.4</v>
      </c>
    </row>
    <row r="5606" spans="1:4" ht="42">
      <c r="A5606" s="715">
        <v>96666</v>
      </c>
      <c r="B5606" s="633" t="s">
        <v>40492</v>
      </c>
      <c r="C5606" s="715" t="s">
        <v>103</v>
      </c>
      <c r="D5606" s="716">
        <v>21.48</v>
      </c>
    </row>
    <row r="5607" spans="1:4" ht="42">
      <c r="A5607" s="715">
        <v>96712</v>
      </c>
      <c r="B5607" s="633" t="s">
        <v>40493</v>
      </c>
      <c r="C5607" s="715" t="s">
        <v>103</v>
      </c>
      <c r="D5607" s="716">
        <v>40.81</v>
      </c>
    </row>
    <row r="5608" spans="1:4" ht="42">
      <c r="A5608" s="715">
        <v>96667</v>
      </c>
      <c r="B5608" s="633" t="s">
        <v>40494</v>
      </c>
      <c r="C5608" s="715" t="s">
        <v>103</v>
      </c>
      <c r="D5608" s="716">
        <v>29.36</v>
      </c>
    </row>
    <row r="5609" spans="1:4" ht="42">
      <c r="A5609" s="715">
        <v>96713</v>
      </c>
      <c r="B5609" s="633" t="s">
        <v>40495</v>
      </c>
      <c r="C5609" s="715" t="s">
        <v>103</v>
      </c>
      <c r="D5609" s="716">
        <v>60.81</v>
      </c>
    </row>
    <row r="5610" spans="1:4" ht="42">
      <c r="A5610" s="715">
        <v>96714</v>
      </c>
      <c r="B5610" s="633" t="s">
        <v>40496</v>
      </c>
      <c r="C5610" s="715" t="s">
        <v>103</v>
      </c>
      <c r="D5610" s="716">
        <v>85.18</v>
      </c>
    </row>
    <row r="5611" spans="1:4" ht="42">
      <c r="A5611" s="715">
        <v>96715</v>
      </c>
      <c r="B5611" s="633" t="s">
        <v>40497</v>
      </c>
      <c r="C5611" s="715" t="s">
        <v>103</v>
      </c>
      <c r="D5611" s="716">
        <v>146.6</v>
      </c>
    </row>
    <row r="5612" spans="1:4" ht="42">
      <c r="A5612" s="715">
        <v>96716</v>
      </c>
      <c r="B5612" s="633" t="s">
        <v>40498</v>
      </c>
      <c r="C5612" s="715" t="s">
        <v>103</v>
      </c>
      <c r="D5612" s="716">
        <v>189.81</v>
      </c>
    </row>
    <row r="5613" spans="1:4" ht="56">
      <c r="A5613" s="715">
        <v>104328</v>
      </c>
      <c r="B5613" s="633" t="s">
        <v>26692</v>
      </c>
      <c r="C5613" s="715" t="s">
        <v>103</v>
      </c>
      <c r="D5613" s="716">
        <v>82.94</v>
      </c>
    </row>
    <row r="5614" spans="1:4" ht="56">
      <c r="A5614" s="715">
        <v>104329</v>
      </c>
      <c r="B5614" s="633" t="s">
        <v>26693</v>
      </c>
      <c r="C5614" s="715" t="s">
        <v>103</v>
      </c>
      <c r="D5614" s="716">
        <v>92.68</v>
      </c>
    </row>
    <row r="5615" spans="1:4" ht="56">
      <c r="A5615" s="715">
        <v>89707</v>
      </c>
      <c r="B5615" s="633" t="s">
        <v>26686</v>
      </c>
      <c r="C5615" s="715" t="s">
        <v>103</v>
      </c>
      <c r="D5615" s="716">
        <v>59.07</v>
      </c>
    </row>
    <row r="5616" spans="1:4" ht="56">
      <c r="A5616" s="715">
        <v>89708</v>
      </c>
      <c r="B5616" s="633" t="s">
        <v>26687</v>
      </c>
      <c r="C5616" s="715" t="s">
        <v>103</v>
      </c>
      <c r="D5616" s="716">
        <v>118.22</v>
      </c>
    </row>
    <row r="5617" spans="1:4" ht="56">
      <c r="A5617" s="715">
        <v>104330</v>
      </c>
      <c r="B5617" s="633" t="s">
        <v>33928</v>
      </c>
      <c r="C5617" s="715" t="s">
        <v>103</v>
      </c>
      <c r="D5617" s="716">
        <v>0</v>
      </c>
    </row>
    <row r="5618" spans="1:4" ht="56">
      <c r="A5618" s="715">
        <v>104326</v>
      </c>
      <c r="B5618" s="633" t="s">
        <v>26690</v>
      </c>
      <c r="C5618" s="715" t="s">
        <v>103</v>
      </c>
      <c r="D5618" s="716">
        <v>24.59</v>
      </c>
    </row>
    <row r="5619" spans="1:4" ht="42">
      <c r="A5619" s="715">
        <v>89710</v>
      </c>
      <c r="B5619" s="633" t="s">
        <v>26689</v>
      </c>
      <c r="C5619" s="715" t="s">
        <v>103</v>
      </c>
      <c r="D5619" s="716">
        <v>22.9</v>
      </c>
    </row>
    <row r="5620" spans="1:4" ht="56">
      <c r="A5620" s="715">
        <v>104327</v>
      </c>
      <c r="B5620" s="633" t="s">
        <v>26691</v>
      </c>
      <c r="C5620" s="715" t="s">
        <v>103</v>
      </c>
      <c r="D5620" s="716">
        <v>23.59</v>
      </c>
    </row>
    <row r="5621" spans="1:4" ht="56">
      <c r="A5621" s="715">
        <v>89709</v>
      </c>
      <c r="B5621" s="633" t="s">
        <v>26688</v>
      </c>
      <c r="C5621" s="715" t="s">
        <v>103</v>
      </c>
      <c r="D5621" s="716">
        <v>25.63</v>
      </c>
    </row>
    <row r="5622" spans="1:4" ht="70">
      <c r="A5622" s="715">
        <v>104341</v>
      </c>
      <c r="B5622" s="633" t="s">
        <v>26603</v>
      </c>
      <c r="C5622" s="715" t="s">
        <v>103</v>
      </c>
      <c r="D5622" s="716">
        <v>12.92</v>
      </c>
    </row>
    <row r="5623" spans="1:4" ht="56">
      <c r="A5623" s="715">
        <v>104357</v>
      </c>
      <c r="B5623" s="633" t="s">
        <v>26617</v>
      </c>
      <c r="C5623" s="715" t="s">
        <v>103</v>
      </c>
      <c r="D5623" s="716">
        <v>22.19</v>
      </c>
    </row>
    <row r="5624" spans="1:4" ht="56">
      <c r="A5624" s="715">
        <v>89811</v>
      </c>
      <c r="B5624" s="633" t="s">
        <v>26228</v>
      </c>
      <c r="C5624" s="715" t="s">
        <v>103</v>
      </c>
      <c r="D5624" s="716">
        <v>51.57</v>
      </c>
    </row>
    <row r="5625" spans="1:4" ht="56">
      <c r="A5625" s="715">
        <v>89748</v>
      </c>
      <c r="B5625" s="633" t="s">
        <v>26191</v>
      </c>
      <c r="C5625" s="715" t="s">
        <v>103</v>
      </c>
      <c r="D5625" s="716">
        <v>49.77</v>
      </c>
    </row>
    <row r="5626" spans="1:4" ht="56">
      <c r="A5626" s="715">
        <v>89852</v>
      </c>
      <c r="B5626" s="633" t="s">
        <v>26245</v>
      </c>
      <c r="C5626" s="715" t="s">
        <v>103</v>
      </c>
      <c r="D5626" s="716">
        <v>55.97</v>
      </c>
    </row>
    <row r="5627" spans="1:4" ht="56">
      <c r="A5627" s="715">
        <v>89728</v>
      </c>
      <c r="B5627" s="633" t="s">
        <v>26179</v>
      </c>
      <c r="C5627" s="715" t="s">
        <v>103</v>
      </c>
      <c r="D5627" s="716">
        <v>16.88</v>
      </c>
    </row>
    <row r="5628" spans="1:4" ht="56">
      <c r="A5628" s="715">
        <v>89803</v>
      </c>
      <c r="B5628" s="633" t="s">
        <v>26220</v>
      </c>
      <c r="C5628" s="715" t="s">
        <v>103</v>
      </c>
      <c r="D5628" s="716">
        <v>20.3</v>
      </c>
    </row>
    <row r="5629" spans="1:4" ht="56">
      <c r="A5629" s="715">
        <v>89733</v>
      </c>
      <c r="B5629" s="633" t="s">
        <v>26183</v>
      </c>
      <c r="C5629" s="715" t="s">
        <v>103</v>
      </c>
      <c r="D5629" s="716">
        <v>27.88</v>
      </c>
    </row>
    <row r="5630" spans="1:4" ht="56">
      <c r="A5630" s="715">
        <v>89807</v>
      </c>
      <c r="B5630" s="633" t="s">
        <v>26224</v>
      </c>
      <c r="C5630" s="715" t="s">
        <v>103</v>
      </c>
      <c r="D5630" s="716">
        <v>43.9</v>
      </c>
    </row>
    <row r="5631" spans="1:4" ht="56">
      <c r="A5631" s="715">
        <v>89742</v>
      </c>
      <c r="B5631" s="633" t="s">
        <v>26187</v>
      </c>
      <c r="C5631" s="715" t="s">
        <v>103</v>
      </c>
      <c r="D5631" s="716">
        <v>46.78</v>
      </c>
    </row>
    <row r="5632" spans="1:4" ht="56">
      <c r="A5632" s="715">
        <v>89812</v>
      </c>
      <c r="B5632" s="633" t="s">
        <v>26229</v>
      </c>
      <c r="C5632" s="715" t="s">
        <v>103</v>
      </c>
      <c r="D5632" s="716">
        <v>93.62</v>
      </c>
    </row>
    <row r="5633" spans="1:4" ht="56">
      <c r="A5633" s="715">
        <v>89750</v>
      </c>
      <c r="B5633" s="633" t="s">
        <v>26192</v>
      </c>
      <c r="C5633" s="715" t="s">
        <v>103</v>
      </c>
      <c r="D5633" s="716">
        <v>91.82</v>
      </c>
    </row>
    <row r="5634" spans="1:4" ht="56">
      <c r="A5634" s="715">
        <v>89853</v>
      </c>
      <c r="B5634" s="633" t="s">
        <v>26246</v>
      </c>
      <c r="C5634" s="715" t="s">
        <v>103</v>
      </c>
      <c r="D5634" s="716">
        <v>98.02</v>
      </c>
    </row>
    <row r="5635" spans="1:4" ht="56">
      <c r="A5635" s="715">
        <v>89730</v>
      </c>
      <c r="B5635" s="633" t="s">
        <v>26180</v>
      </c>
      <c r="C5635" s="715" t="s">
        <v>103</v>
      </c>
      <c r="D5635" s="716">
        <v>19.16</v>
      </c>
    </row>
    <row r="5636" spans="1:4" ht="56">
      <c r="A5636" s="715">
        <v>89804</v>
      </c>
      <c r="B5636" s="633" t="s">
        <v>26221</v>
      </c>
      <c r="C5636" s="715" t="s">
        <v>103</v>
      </c>
      <c r="D5636" s="716">
        <v>22.92</v>
      </c>
    </row>
    <row r="5637" spans="1:4" ht="56">
      <c r="A5637" s="715">
        <v>89735</v>
      </c>
      <c r="B5637" s="633" t="s">
        <v>26184</v>
      </c>
      <c r="C5637" s="715" t="s">
        <v>103</v>
      </c>
      <c r="D5637" s="716">
        <v>30.5</v>
      </c>
    </row>
    <row r="5638" spans="1:4" ht="56">
      <c r="A5638" s="715">
        <v>89808</v>
      </c>
      <c r="B5638" s="633" t="s">
        <v>26225</v>
      </c>
      <c r="C5638" s="715" t="s">
        <v>103</v>
      </c>
      <c r="D5638" s="716">
        <v>68.599999999999994</v>
      </c>
    </row>
    <row r="5639" spans="1:4" ht="56">
      <c r="A5639" s="715">
        <v>89743</v>
      </c>
      <c r="B5639" s="633" t="s">
        <v>26188</v>
      </c>
      <c r="C5639" s="715" t="s">
        <v>103</v>
      </c>
      <c r="D5639" s="716">
        <v>71.48</v>
      </c>
    </row>
    <row r="5640" spans="1:4" ht="56">
      <c r="A5640" s="715">
        <v>89810</v>
      </c>
      <c r="B5640" s="633" t="s">
        <v>26227</v>
      </c>
      <c r="C5640" s="715" t="s">
        <v>103</v>
      </c>
      <c r="D5640" s="716">
        <v>34.520000000000003</v>
      </c>
    </row>
    <row r="5641" spans="1:4" ht="56">
      <c r="A5641" s="715">
        <v>89746</v>
      </c>
      <c r="B5641" s="633" t="s">
        <v>26190</v>
      </c>
      <c r="C5641" s="715" t="s">
        <v>103</v>
      </c>
      <c r="D5641" s="716">
        <v>32.72</v>
      </c>
    </row>
    <row r="5642" spans="1:4" ht="56">
      <c r="A5642" s="715">
        <v>89851</v>
      </c>
      <c r="B5642" s="633" t="s">
        <v>26244</v>
      </c>
      <c r="C5642" s="715" t="s">
        <v>103</v>
      </c>
      <c r="D5642" s="716">
        <v>38.92</v>
      </c>
    </row>
    <row r="5643" spans="1:4" ht="56">
      <c r="A5643" s="715">
        <v>89855</v>
      </c>
      <c r="B5643" s="633" t="s">
        <v>26248</v>
      </c>
      <c r="C5643" s="715" t="s">
        <v>103</v>
      </c>
      <c r="D5643" s="716">
        <v>126.44</v>
      </c>
    </row>
    <row r="5644" spans="1:4" ht="56">
      <c r="A5644" s="715">
        <v>89726</v>
      </c>
      <c r="B5644" s="633" t="s">
        <v>26178</v>
      </c>
      <c r="C5644" s="715" t="s">
        <v>103</v>
      </c>
      <c r="D5644" s="716">
        <v>13.65</v>
      </c>
    </row>
    <row r="5645" spans="1:4" ht="56">
      <c r="A5645" s="715">
        <v>89802</v>
      </c>
      <c r="B5645" s="633" t="s">
        <v>26219</v>
      </c>
      <c r="C5645" s="715" t="s">
        <v>103</v>
      </c>
      <c r="D5645" s="716">
        <v>11.03</v>
      </c>
    </row>
    <row r="5646" spans="1:4" ht="56">
      <c r="A5646" s="715">
        <v>89732</v>
      </c>
      <c r="B5646" s="633" t="s">
        <v>26182</v>
      </c>
      <c r="C5646" s="715" t="s">
        <v>103</v>
      </c>
      <c r="D5646" s="716">
        <v>18.61</v>
      </c>
    </row>
    <row r="5647" spans="1:4" ht="56">
      <c r="A5647" s="715">
        <v>89806</v>
      </c>
      <c r="B5647" s="633" t="s">
        <v>26223</v>
      </c>
      <c r="C5647" s="715" t="s">
        <v>103</v>
      </c>
      <c r="D5647" s="716">
        <v>24.58</v>
      </c>
    </row>
    <row r="5648" spans="1:4" ht="56">
      <c r="A5648" s="715">
        <v>89739</v>
      </c>
      <c r="B5648" s="633" t="s">
        <v>26186</v>
      </c>
      <c r="C5648" s="715" t="s">
        <v>103</v>
      </c>
      <c r="D5648" s="716">
        <v>27.46</v>
      </c>
    </row>
    <row r="5649" spans="1:4" ht="56">
      <c r="A5649" s="715">
        <v>89809</v>
      </c>
      <c r="B5649" s="633" t="s">
        <v>26226</v>
      </c>
      <c r="C5649" s="715" t="s">
        <v>103</v>
      </c>
      <c r="D5649" s="716">
        <v>33.520000000000003</v>
      </c>
    </row>
    <row r="5650" spans="1:4" ht="56">
      <c r="A5650" s="715">
        <v>89744</v>
      </c>
      <c r="B5650" s="633" t="s">
        <v>26189</v>
      </c>
      <c r="C5650" s="715" t="s">
        <v>103</v>
      </c>
      <c r="D5650" s="716">
        <v>31.72</v>
      </c>
    </row>
    <row r="5651" spans="1:4" ht="56">
      <c r="A5651" s="715">
        <v>89850</v>
      </c>
      <c r="B5651" s="633" t="s">
        <v>26243</v>
      </c>
      <c r="C5651" s="715" t="s">
        <v>103</v>
      </c>
      <c r="D5651" s="716">
        <v>37.92</v>
      </c>
    </row>
    <row r="5652" spans="1:4" ht="56">
      <c r="A5652" s="715">
        <v>89854</v>
      </c>
      <c r="B5652" s="633" t="s">
        <v>26247</v>
      </c>
      <c r="C5652" s="715" t="s">
        <v>103</v>
      </c>
      <c r="D5652" s="716">
        <v>120.18</v>
      </c>
    </row>
    <row r="5653" spans="1:4" ht="56">
      <c r="A5653" s="715">
        <v>89724</v>
      </c>
      <c r="B5653" s="633" t="s">
        <v>26177</v>
      </c>
      <c r="C5653" s="715" t="s">
        <v>103</v>
      </c>
      <c r="D5653" s="716">
        <v>13.38</v>
      </c>
    </row>
    <row r="5654" spans="1:4" ht="56">
      <c r="A5654" s="715">
        <v>89801</v>
      </c>
      <c r="B5654" s="633" t="s">
        <v>26218</v>
      </c>
      <c r="C5654" s="715" t="s">
        <v>103</v>
      </c>
      <c r="D5654" s="716">
        <v>10.15</v>
      </c>
    </row>
    <row r="5655" spans="1:4" ht="56">
      <c r="A5655" s="715">
        <v>89731</v>
      </c>
      <c r="B5655" s="633" t="s">
        <v>26181</v>
      </c>
      <c r="C5655" s="715" t="s">
        <v>103</v>
      </c>
      <c r="D5655" s="716">
        <v>17.73</v>
      </c>
    </row>
    <row r="5656" spans="1:4" ht="56">
      <c r="A5656" s="715">
        <v>89805</v>
      </c>
      <c r="B5656" s="633" t="s">
        <v>26222</v>
      </c>
      <c r="C5656" s="715" t="s">
        <v>103</v>
      </c>
      <c r="D5656" s="716">
        <v>23.41</v>
      </c>
    </row>
    <row r="5657" spans="1:4" ht="56">
      <c r="A5657" s="715">
        <v>89737</v>
      </c>
      <c r="B5657" s="633" t="s">
        <v>26185</v>
      </c>
      <c r="C5657" s="715" t="s">
        <v>103</v>
      </c>
      <c r="D5657" s="716">
        <v>26.29</v>
      </c>
    </row>
    <row r="5658" spans="1:4" ht="56">
      <c r="A5658" s="715">
        <v>104355</v>
      </c>
      <c r="B5658" s="633" t="s">
        <v>26615</v>
      </c>
      <c r="C5658" s="715" t="s">
        <v>103</v>
      </c>
      <c r="D5658" s="716">
        <v>55.47</v>
      </c>
    </row>
    <row r="5659" spans="1:4" ht="56">
      <c r="A5659" s="715">
        <v>104347</v>
      </c>
      <c r="B5659" s="633" t="s">
        <v>26608</v>
      </c>
      <c r="C5659" s="715" t="s">
        <v>103</v>
      </c>
      <c r="D5659" s="716">
        <v>55.15</v>
      </c>
    </row>
    <row r="5660" spans="1:4" ht="56">
      <c r="A5660" s="715">
        <v>104353</v>
      </c>
      <c r="B5660" s="633" t="s">
        <v>26613</v>
      </c>
      <c r="C5660" s="715" t="s">
        <v>103</v>
      </c>
      <c r="D5660" s="716">
        <v>47.8</v>
      </c>
    </row>
    <row r="5661" spans="1:4" ht="56">
      <c r="A5661" s="715">
        <v>104345</v>
      </c>
      <c r="B5661" s="633" t="s">
        <v>26606</v>
      </c>
      <c r="C5661" s="715" t="s">
        <v>103</v>
      </c>
      <c r="D5661" s="716">
        <v>49.58</v>
      </c>
    </row>
    <row r="5662" spans="1:4" ht="56">
      <c r="A5662" s="715">
        <v>104350</v>
      </c>
      <c r="B5662" s="633" t="s">
        <v>26610</v>
      </c>
      <c r="C5662" s="715" t="s">
        <v>103</v>
      </c>
      <c r="D5662" s="716">
        <v>33.520000000000003</v>
      </c>
    </row>
    <row r="5663" spans="1:4" ht="56">
      <c r="A5663" s="715">
        <v>104343</v>
      </c>
      <c r="B5663" s="633" t="s">
        <v>26604</v>
      </c>
      <c r="C5663" s="715" t="s">
        <v>103</v>
      </c>
      <c r="D5663" s="716">
        <v>39.46</v>
      </c>
    </row>
    <row r="5664" spans="1:4" ht="56">
      <c r="A5664" s="715">
        <v>89834</v>
      </c>
      <c r="B5664" s="633" t="s">
        <v>26242</v>
      </c>
      <c r="C5664" s="715" t="s">
        <v>103</v>
      </c>
      <c r="D5664" s="716">
        <v>61.54</v>
      </c>
    </row>
    <row r="5665" spans="1:4" ht="56">
      <c r="A5665" s="715">
        <v>89797</v>
      </c>
      <c r="B5665" s="633" t="s">
        <v>26217</v>
      </c>
      <c r="C5665" s="715" t="s">
        <v>103</v>
      </c>
      <c r="D5665" s="716">
        <v>59.13</v>
      </c>
    </row>
    <row r="5666" spans="1:4" ht="56">
      <c r="A5666" s="715">
        <v>89861</v>
      </c>
      <c r="B5666" s="633" t="s">
        <v>26252</v>
      </c>
      <c r="C5666" s="715" t="s">
        <v>103</v>
      </c>
      <c r="D5666" s="716">
        <v>67.400000000000006</v>
      </c>
    </row>
    <row r="5667" spans="1:4" ht="56">
      <c r="A5667" s="715">
        <v>89783</v>
      </c>
      <c r="B5667" s="633" t="s">
        <v>26211</v>
      </c>
      <c r="C5667" s="715" t="s">
        <v>103</v>
      </c>
      <c r="D5667" s="716">
        <v>19.260000000000002</v>
      </c>
    </row>
    <row r="5668" spans="1:4" ht="56">
      <c r="A5668" s="715">
        <v>89827</v>
      </c>
      <c r="B5668" s="633" t="s">
        <v>26237</v>
      </c>
      <c r="C5668" s="715" t="s">
        <v>103</v>
      </c>
      <c r="D5668" s="716">
        <v>21.13</v>
      </c>
    </row>
    <row r="5669" spans="1:4" ht="56">
      <c r="A5669" s="715">
        <v>89785</v>
      </c>
      <c r="B5669" s="633" t="s">
        <v>26213</v>
      </c>
      <c r="C5669" s="715" t="s">
        <v>103</v>
      </c>
      <c r="D5669" s="716">
        <v>31.24</v>
      </c>
    </row>
    <row r="5670" spans="1:4" ht="56">
      <c r="A5670" s="715">
        <v>89830</v>
      </c>
      <c r="B5670" s="633" t="s">
        <v>26239</v>
      </c>
      <c r="C5670" s="715" t="s">
        <v>103</v>
      </c>
      <c r="D5670" s="716">
        <v>43.49</v>
      </c>
    </row>
    <row r="5671" spans="1:4" ht="56">
      <c r="A5671" s="715">
        <v>89795</v>
      </c>
      <c r="B5671" s="633" t="s">
        <v>26215</v>
      </c>
      <c r="C5671" s="715" t="s">
        <v>103</v>
      </c>
      <c r="D5671" s="716">
        <v>47.35</v>
      </c>
    </row>
    <row r="5672" spans="1:4" ht="56">
      <c r="A5672" s="715">
        <v>89823</v>
      </c>
      <c r="B5672" s="633" t="s">
        <v>26235</v>
      </c>
      <c r="C5672" s="715" t="s">
        <v>103</v>
      </c>
      <c r="D5672" s="716">
        <v>40.42</v>
      </c>
    </row>
    <row r="5673" spans="1:4" ht="56">
      <c r="A5673" s="715">
        <v>89779</v>
      </c>
      <c r="B5673" s="633" t="s">
        <v>26208</v>
      </c>
      <c r="C5673" s="715" t="s">
        <v>103</v>
      </c>
      <c r="D5673" s="716">
        <v>39.22</v>
      </c>
    </row>
    <row r="5674" spans="1:4" ht="56">
      <c r="A5674" s="715">
        <v>89857</v>
      </c>
      <c r="B5674" s="633" t="s">
        <v>26250</v>
      </c>
      <c r="C5674" s="715" t="s">
        <v>103</v>
      </c>
      <c r="D5674" s="716">
        <v>43.35</v>
      </c>
    </row>
    <row r="5675" spans="1:4" ht="56">
      <c r="A5675" s="715">
        <v>89814</v>
      </c>
      <c r="B5675" s="633" t="s">
        <v>26231</v>
      </c>
      <c r="C5675" s="715" t="s">
        <v>103</v>
      </c>
      <c r="D5675" s="716">
        <v>19.16</v>
      </c>
    </row>
    <row r="5676" spans="1:4" ht="56">
      <c r="A5676" s="715">
        <v>89754</v>
      </c>
      <c r="B5676" s="633" t="s">
        <v>26195</v>
      </c>
      <c r="C5676" s="715" t="s">
        <v>103</v>
      </c>
      <c r="D5676" s="716">
        <v>24.22</v>
      </c>
    </row>
    <row r="5677" spans="1:4" ht="56">
      <c r="A5677" s="715">
        <v>89819</v>
      </c>
      <c r="B5677" s="633" t="s">
        <v>26233</v>
      </c>
      <c r="C5677" s="715" t="s">
        <v>103</v>
      </c>
      <c r="D5677" s="716">
        <v>27</v>
      </c>
    </row>
    <row r="5678" spans="1:4" ht="56">
      <c r="A5678" s="715">
        <v>89776</v>
      </c>
      <c r="B5678" s="633" t="s">
        <v>26206</v>
      </c>
      <c r="C5678" s="715" t="s">
        <v>103</v>
      </c>
      <c r="D5678" s="716">
        <v>28.93</v>
      </c>
    </row>
    <row r="5679" spans="1:4" ht="56">
      <c r="A5679" s="715">
        <v>89821</v>
      </c>
      <c r="B5679" s="633" t="s">
        <v>26234</v>
      </c>
      <c r="C5679" s="715" t="s">
        <v>103</v>
      </c>
      <c r="D5679" s="716">
        <v>22.49</v>
      </c>
    </row>
    <row r="5680" spans="1:4" ht="56">
      <c r="A5680" s="715">
        <v>89778</v>
      </c>
      <c r="B5680" s="633" t="s">
        <v>26207</v>
      </c>
      <c r="C5680" s="715" t="s">
        <v>103</v>
      </c>
      <c r="D5680" s="716">
        <v>21.29</v>
      </c>
    </row>
    <row r="5681" spans="1:4" ht="56">
      <c r="A5681" s="715">
        <v>89856</v>
      </c>
      <c r="B5681" s="633" t="s">
        <v>26249</v>
      </c>
      <c r="C5681" s="715" t="s">
        <v>103</v>
      </c>
      <c r="D5681" s="716">
        <v>25.42</v>
      </c>
    </row>
    <row r="5682" spans="1:4" ht="56">
      <c r="A5682" s="715">
        <v>89752</v>
      </c>
      <c r="B5682" s="633" t="s">
        <v>26193</v>
      </c>
      <c r="C5682" s="715" t="s">
        <v>103</v>
      </c>
      <c r="D5682" s="716">
        <v>9.66</v>
      </c>
    </row>
    <row r="5683" spans="1:4" ht="56">
      <c r="A5683" s="715">
        <v>89813</v>
      </c>
      <c r="B5683" s="633" t="s">
        <v>26230</v>
      </c>
      <c r="C5683" s="715" t="s">
        <v>103</v>
      </c>
      <c r="D5683" s="716">
        <v>6.77</v>
      </c>
    </row>
    <row r="5684" spans="1:4" ht="56">
      <c r="A5684" s="715">
        <v>89753</v>
      </c>
      <c r="B5684" s="633" t="s">
        <v>26194</v>
      </c>
      <c r="C5684" s="715" t="s">
        <v>103</v>
      </c>
      <c r="D5684" s="716">
        <v>11.91</v>
      </c>
    </row>
    <row r="5685" spans="1:4" ht="56">
      <c r="A5685" s="715">
        <v>89817</v>
      </c>
      <c r="B5685" s="633" t="s">
        <v>26232</v>
      </c>
      <c r="C5685" s="715" t="s">
        <v>103</v>
      </c>
      <c r="D5685" s="716">
        <v>16.91</v>
      </c>
    </row>
    <row r="5686" spans="1:4" ht="56">
      <c r="A5686" s="715">
        <v>89774</v>
      </c>
      <c r="B5686" s="633" t="s">
        <v>26205</v>
      </c>
      <c r="C5686" s="715" t="s">
        <v>103</v>
      </c>
      <c r="D5686" s="716">
        <v>18.88</v>
      </c>
    </row>
    <row r="5687" spans="1:4" ht="56">
      <c r="A5687" s="715">
        <v>95693</v>
      </c>
      <c r="B5687" s="633" t="s">
        <v>26363</v>
      </c>
      <c r="C5687" s="715" t="s">
        <v>103</v>
      </c>
      <c r="D5687" s="716">
        <v>62.05</v>
      </c>
    </row>
    <row r="5688" spans="1:4" ht="56">
      <c r="A5688" s="715">
        <v>89833</v>
      </c>
      <c r="B5688" s="633" t="s">
        <v>26241</v>
      </c>
      <c r="C5688" s="715" t="s">
        <v>103</v>
      </c>
      <c r="D5688" s="716">
        <v>51.89</v>
      </c>
    </row>
    <row r="5689" spans="1:4" ht="56">
      <c r="A5689" s="715">
        <v>89796</v>
      </c>
      <c r="B5689" s="633" t="s">
        <v>26216</v>
      </c>
      <c r="C5689" s="715" t="s">
        <v>103</v>
      </c>
      <c r="D5689" s="716">
        <v>49.48</v>
      </c>
    </row>
    <row r="5690" spans="1:4" ht="56">
      <c r="A5690" s="715">
        <v>89860</v>
      </c>
      <c r="B5690" s="633" t="s">
        <v>26251</v>
      </c>
      <c r="C5690" s="715" t="s">
        <v>103</v>
      </c>
      <c r="D5690" s="716">
        <v>57.75</v>
      </c>
    </row>
    <row r="5691" spans="1:4" ht="56">
      <c r="A5691" s="715">
        <v>89782</v>
      </c>
      <c r="B5691" s="633" t="s">
        <v>26210</v>
      </c>
      <c r="C5691" s="715" t="s">
        <v>103</v>
      </c>
      <c r="D5691" s="716">
        <v>19.14</v>
      </c>
    </row>
    <row r="5692" spans="1:4" ht="56">
      <c r="A5692" s="715">
        <v>89825</v>
      </c>
      <c r="B5692" s="633" t="s">
        <v>26236</v>
      </c>
      <c r="C5692" s="715" t="s">
        <v>103</v>
      </c>
      <c r="D5692" s="716">
        <v>18.309999999999999</v>
      </c>
    </row>
    <row r="5693" spans="1:4" ht="56">
      <c r="A5693" s="715">
        <v>89784</v>
      </c>
      <c r="B5693" s="633" t="s">
        <v>26212</v>
      </c>
      <c r="C5693" s="715" t="s">
        <v>103</v>
      </c>
      <c r="D5693" s="716">
        <v>28.42</v>
      </c>
    </row>
    <row r="5694" spans="1:4" ht="56">
      <c r="A5694" s="715">
        <v>89829</v>
      </c>
      <c r="B5694" s="633" t="s">
        <v>26238</v>
      </c>
      <c r="C5694" s="715" t="s">
        <v>103</v>
      </c>
      <c r="D5694" s="716">
        <v>41.01</v>
      </c>
    </row>
    <row r="5695" spans="1:4" ht="56">
      <c r="A5695" s="715">
        <v>89786</v>
      </c>
      <c r="B5695" s="633" t="s">
        <v>26214</v>
      </c>
      <c r="C5695" s="715" t="s">
        <v>103</v>
      </c>
      <c r="D5695" s="716">
        <v>44.87</v>
      </c>
    </row>
    <row r="5696" spans="1:4" ht="56">
      <c r="A5696" s="715">
        <v>104352</v>
      </c>
      <c r="B5696" s="633" t="s">
        <v>26612</v>
      </c>
      <c r="C5696" s="715" t="s">
        <v>103</v>
      </c>
      <c r="D5696" s="716">
        <v>45.31</v>
      </c>
    </row>
    <row r="5697" spans="1:4" ht="56">
      <c r="A5697" s="715">
        <v>104344</v>
      </c>
      <c r="B5697" s="633" t="s">
        <v>26605</v>
      </c>
      <c r="C5697" s="715" t="s">
        <v>103</v>
      </c>
      <c r="D5697" s="716">
        <v>47.09</v>
      </c>
    </row>
    <row r="5698" spans="1:4" ht="56">
      <c r="A5698" s="715">
        <v>104354</v>
      </c>
      <c r="B5698" s="633" t="s">
        <v>26614</v>
      </c>
      <c r="C5698" s="715" t="s">
        <v>103</v>
      </c>
      <c r="D5698" s="716">
        <v>52.27</v>
      </c>
    </row>
    <row r="5699" spans="1:4" ht="56">
      <c r="A5699" s="715">
        <v>104346</v>
      </c>
      <c r="B5699" s="633" t="s">
        <v>26607</v>
      </c>
      <c r="C5699" s="715" t="s">
        <v>103</v>
      </c>
      <c r="D5699" s="716">
        <v>51.95</v>
      </c>
    </row>
    <row r="5700" spans="1:4" ht="56">
      <c r="A5700" s="715">
        <v>104356</v>
      </c>
      <c r="B5700" s="633" t="s">
        <v>26616</v>
      </c>
      <c r="C5700" s="715" t="s">
        <v>103</v>
      </c>
      <c r="D5700" s="716">
        <v>35.68</v>
      </c>
    </row>
    <row r="5701" spans="1:4" ht="56">
      <c r="A5701" s="715">
        <v>104348</v>
      </c>
      <c r="B5701" s="633" t="s">
        <v>26609</v>
      </c>
      <c r="C5701" s="715" t="s">
        <v>103</v>
      </c>
      <c r="D5701" s="716">
        <v>12.93</v>
      </c>
    </row>
    <row r="5702" spans="1:4" ht="56">
      <c r="A5702" s="715">
        <v>104351</v>
      </c>
      <c r="B5702" s="633" t="s">
        <v>26611</v>
      </c>
      <c r="C5702" s="715" t="s">
        <v>103</v>
      </c>
      <c r="D5702" s="716">
        <v>26.88</v>
      </c>
    </row>
    <row r="5703" spans="1:4" ht="42">
      <c r="A5703" s="715">
        <v>89800</v>
      </c>
      <c r="B5703" s="633" t="s">
        <v>25917</v>
      </c>
      <c r="C5703" s="715" t="s">
        <v>165</v>
      </c>
      <c r="D5703" s="716">
        <v>38.18</v>
      </c>
    </row>
    <row r="5704" spans="1:4" ht="56">
      <c r="A5704" s="715">
        <v>89714</v>
      </c>
      <c r="B5704" s="633" t="s">
        <v>25912</v>
      </c>
      <c r="C5704" s="715" t="s">
        <v>165</v>
      </c>
      <c r="D5704" s="716">
        <v>51.46</v>
      </c>
    </row>
    <row r="5705" spans="1:4" ht="42">
      <c r="A5705" s="715">
        <v>89848</v>
      </c>
      <c r="B5705" s="633" t="s">
        <v>25918</v>
      </c>
      <c r="C5705" s="715" t="s">
        <v>165</v>
      </c>
      <c r="D5705" s="716">
        <v>36.450000000000003</v>
      </c>
    </row>
    <row r="5706" spans="1:4" ht="42">
      <c r="A5706" s="715">
        <v>89849</v>
      </c>
      <c r="B5706" s="633" t="s">
        <v>25919</v>
      </c>
      <c r="C5706" s="715" t="s">
        <v>165</v>
      </c>
      <c r="D5706" s="716">
        <v>72.22</v>
      </c>
    </row>
    <row r="5707" spans="1:4" ht="56">
      <c r="A5707" s="715">
        <v>89711</v>
      </c>
      <c r="B5707" s="633" t="s">
        <v>25909</v>
      </c>
      <c r="C5707" s="715" t="s">
        <v>165</v>
      </c>
      <c r="D5707" s="716">
        <v>29.71</v>
      </c>
    </row>
    <row r="5708" spans="1:4" ht="42">
      <c r="A5708" s="715">
        <v>89798</v>
      </c>
      <c r="B5708" s="633" t="s">
        <v>25915</v>
      </c>
      <c r="C5708" s="715" t="s">
        <v>165</v>
      </c>
      <c r="D5708" s="716">
        <v>16.7</v>
      </c>
    </row>
    <row r="5709" spans="1:4" ht="56">
      <c r="A5709" s="715">
        <v>89712</v>
      </c>
      <c r="B5709" s="633" t="s">
        <v>25910</v>
      </c>
      <c r="C5709" s="715" t="s">
        <v>165</v>
      </c>
      <c r="D5709" s="716">
        <v>36.94</v>
      </c>
    </row>
    <row r="5710" spans="1:4" ht="42">
      <c r="A5710" s="715">
        <v>89799</v>
      </c>
      <c r="B5710" s="633" t="s">
        <v>25916</v>
      </c>
      <c r="C5710" s="715" t="s">
        <v>165</v>
      </c>
      <c r="D5710" s="716">
        <v>29.05</v>
      </c>
    </row>
    <row r="5711" spans="1:4" ht="56">
      <c r="A5711" s="715">
        <v>89713</v>
      </c>
      <c r="B5711" s="633" t="s">
        <v>25911</v>
      </c>
      <c r="C5711" s="715" t="s">
        <v>165</v>
      </c>
      <c r="D5711" s="716">
        <v>45.83</v>
      </c>
    </row>
    <row r="5712" spans="1:4" ht="56">
      <c r="A5712" s="715">
        <v>89376</v>
      </c>
      <c r="B5712" s="633" t="s">
        <v>40499</v>
      </c>
      <c r="C5712" s="715" t="s">
        <v>103</v>
      </c>
      <c r="D5712" s="716">
        <v>7.56</v>
      </c>
    </row>
    <row r="5713" spans="1:4" ht="56">
      <c r="A5713" s="715">
        <v>89429</v>
      </c>
      <c r="B5713" s="633" t="s">
        <v>40500</v>
      </c>
      <c r="C5713" s="715" t="s">
        <v>103</v>
      </c>
      <c r="D5713" s="716">
        <v>8.06</v>
      </c>
    </row>
    <row r="5714" spans="1:4" ht="56">
      <c r="A5714" s="715">
        <v>89383</v>
      </c>
      <c r="B5714" s="633" t="s">
        <v>40501</v>
      </c>
      <c r="C5714" s="715" t="s">
        <v>103</v>
      </c>
      <c r="D5714" s="716">
        <v>8.8000000000000007</v>
      </c>
    </row>
    <row r="5715" spans="1:4" ht="56">
      <c r="A5715" s="715">
        <v>89553</v>
      </c>
      <c r="B5715" s="633" t="s">
        <v>40502</v>
      </c>
      <c r="C5715" s="715" t="s">
        <v>103</v>
      </c>
      <c r="D5715" s="716">
        <v>7.03</v>
      </c>
    </row>
    <row r="5716" spans="1:4" ht="56">
      <c r="A5716" s="715">
        <v>89436</v>
      </c>
      <c r="B5716" s="633" t="s">
        <v>40503</v>
      </c>
      <c r="C5716" s="715" t="s">
        <v>103</v>
      </c>
      <c r="D5716" s="716">
        <v>10.53</v>
      </c>
    </row>
    <row r="5717" spans="1:4" ht="56">
      <c r="A5717" s="715">
        <v>89391</v>
      </c>
      <c r="B5717" s="633" t="s">
        <v>40504</v>
      </c>
      <c r="C5717" s="715" t="s">
        <v>103</v>
      </c>
      <c r="D5717" s="716">
        <v>11.4</v>
      </c>
    </row>
    <row r="5718" spans="1:4" ht="56">
      <c r="A5718" s="715">
        <v>103994</v>
      </c>
      <c r="B5718" s="633" t="s">
        <v>29233</v>
      </c>
      <c r="C5718" s="715" t="s">
        <v>103</v>
      </c>
      <c r="D5718" s="716">
        <v>17.43</v>
      </c>
    </row>
    <row r="5719" spans="1:4" ht="56">
      <c r="A5719" s="715">
        <v>89570</v>
      </c>
      <c r="B5719" s="633" t="s">
        <v>40505</v>
      </c>
      <c r="C5719" s="715" t="s">
        <v>103</v>
      </c>
      <c r="D5719" s="716">
        <v>13.56</v>
      </c>
    </row>
    <row r="5720" spans="1:4" ht="56">
      <c r="A5720" s="715">
        <v>103992</v>
      </c>
      <c r="B5720" s="633" t="s">
        <v>29232</v>
      </c>
      <c r="C5720" s="715" t="s">
        <v>103</v>
      </c>
      <c r="D5720" s="716">
        <v>14.48</v>
      </c>
    </row>
    <row r="5721" spans="1:4" ht="56">
      <c r="A5721" s="715">
        <v>89572</v>
      </c>
      <c r="B5721" s="633" t="s">
        <v>40506</v>
      </c>
      <c r="C5721" s="715" t="s">
        <v>103</v>
      </c>
      <c r="D5721" s="716">
        <v>10.43</v>
      </c>
    </row>
    <row r="5722" spans="1:4" ht="56">
      <c r="A5722" s="715">
        <v>104001</v>
      </c>
      <c r="B5722" s="633" t="s">
        <v>29235</v>
      </c>
      <c r="C5722" s="715" t="s">
        <v>103</v>
      </c>
      <c r="D5722" s="716">
        <v>17.13</v>
      </c>
    </row>
    <row r="5723" spans="1:4" ht="56">
      <c r="A5723" s="715">
        <v>89596</v>
      </c>
      <c r="B5723" s="633" t="s">
        <v>40507</v>
      </c>
      <c r="C5723" s="715" t="s">
        <v>103</v>
      </c>
      <c r="D5723" s="716">
        <v>12.44</v>
      </c>
    </row>
    <row r="5724" spans="1:4" ht="56">
      <c r="A5724" s="715">
        <v>104002</v>
      </c>
      <c r="B5724" s="633" t="s">
        <v>29236</v>
      </c>
      <c r="C5724" s="715" t="s">
        <v>103</v>
      </c>
      <c r="D5724" s="716">
        <v>21.32</v>
      </c>
    </row>
    <row r="5725" spans="1:4" ht="56">
      <c r="A5725" s="715">
        <v>89595</v>
      </c>
      <c r="B5725" s="633" t="s">
        <v>40508</v>
      </c>
      <c r="C5725" s="715" t="s">
        <v>103</v>
      </c>
      <c r="D5725" s="716">
        <v>16.91</v>
      </c>
    </row>
    <row r="5726" spans="1:4" ht="56">
      <c r="A5726" s="715">
        <v>89610</v>
      </c>
      <c r="B5726" s="633" t="s">
        <v>40509</v>
      </c>
      <c r="C5726" s="715" t="s">
        <v>103</v>
      </c>
      <c r="D5726" s="716">
        <v>22.67</v>
      </c>
    </row>
    <row r="5727" spans="1:4" ht="56">
      <c r="A5727" s="715">
        <v>89613</v>
      </c>
      <c r="B5727" s="633" t="s">
        <v>29069</v>
      </c>
      <c r="C5727" s="715" t="s">
        <v>103</v>
      </c>
      <c r="D5727" s="716">
        <v>34.94</v>
      </c>
    </row>
    <row r="5728" spans="1:4" ht="56">
      <c r="A5728" s="715">
        <v>89616</v>
      </c>
      <c r="B5728" s="633" t="s">
        <v>40510</v>
      </c>
      <c r="C5728" s="715" t="s">
        <v>103</v>
      </c>
      <c r="D5728" s="716">
        <v>46.35</v>
      </c>
    </row>
    <row r="5729" spans="1:4" ht="42">
      <c r="A5729" s="715">
        <v>103952</v>
      </c>
      <c r="B5729" s="633" t="s">
        <v>26524</v>
      </c>
      <c r="C5729" s="715" t="s">
        <v>103</v>
      </c>
      <c r="D5729" s="716">
        <v>7.71</v>
      </c>
    </row>
    <row r="5730" spans="1:4" ht="42">
      <c r="A5730" s="715">
        <v>103947</v>
      </c>
      <c r="B5730" s="633" t="s">
        <v>26519</v>
      </c>
      <c r="C5730" s="715" t="s">
        <v>103</v>
      </c>
      <c r="D5730" s="716">
        <v>8.4499999999999993</v>
      </c>
    </row>
    <row r="5731" spans="1:4" ht="42">
      <c r="A5731" s="715">
        <v>103957</v>
      </c>
      <c r="B5731" s="633" t="s">
        <v>26529</v>
      </c>
      <c r="C5731" s="715" t="s">
        <v>103</v>
      </c>
      <c r="D5731" s="716">
        <v>6.05</v>
      </c>
    </row>
    <row r="5732" spans="1:4" ht="42">
      <c r="A5732" s="715">
        <v>103953</v>
      </c>
      <c r="B5732" s="633" t="s">
        <v>26525</v>
      </c>
      <c r="C5732" s="715" t="s">
        <v>103</v>
      </c>
      <c r="D5732" s="716">
        <v>9.5500000000000007</v>
      </c>
    </row>
    <row r="5733" spans="1:4" ht="42">
      <c r="A5733" s="715">
        <v>103948</v>
      </c>
      <c r="B5733" s="633" t="s">
        <v>26520</v>
      </c>
      <c r="C5733" s="715" t="s">
        <v>103</v>
      </c>
      <c r="D5733" s="716">
        <v>10.42</v>
      </c>
    </row>
    <row r="5734" spans="1:4" ht="42">
      <c r="A5734" s="715">
        <v>103958</v>
      </c>
      <c r="B5734" s="633" t="s">
        <v>26530</v>
      </c>
      <c r="C5734" s="715" t="s">
        <v>103</v>
      </c>
      <c r="D5734" s="716">
        <v>11.93</v>
      </c>
    </row>
    <row r="5735" spans="1:4" ht="42">
      <c r="A5735" s="715">
        <v>104009</v>
      </c>
      <c r="B5735" s="633" t="s">
        <v>26562</v>
      </c>
      <c r="C5735" s="715" t="s">
        <v>103</v>
      </c>
      <c r="D5735" s="716">
        <v>16.64</v>
      </c>
    </row>
    <row r="5736" spans="1:4" ht="42">
      <c r="A5736" s="715">
        <v>103959</v>
      </c>
      <c r="B5736" s="633" t="s">
        <v>26531</v>
      </c>
      <c r="C5736" s="715" t="s">
        <v>103</v>
      </c>
      <c r="D5736" s="716">
        <v>17.57</v>
      </c>
    </row>
    <row r="5737" spans="1:4" ht="42">
      <c r="A5737" s="715">
        <v>103962</v>
      </c>
      <c r="B5737" s="633" t="s">
        <v>26532</v>
      </c>
      <c r="C5737" s="715" t="s">
        <v>103</v>
      </c>
      <c r="D5737" s="716">
        <v>7.74</v>
      </c>
    </row>
    <row r="5738" spans="1:4" ht="42">
      <c r="A5738" s="715">
        <v>103954</v>
      </c>
      <c r="B5738" s="633" t="s">
        <v>26526</v>
      </c>
      <c r="C5738" s="715" t="s">
        <v>103</v>
      </c>
      <c r="D5738" s="716">
        <v>11.12</v>
      </c>
    </row>
    <row r="5739" spans="1:4" ht="42">
      <c r="A5739" s="715">
        <v>103949</v>
      </c>
      <c r="B5739" s="633" t="s">
        <v>26521</v>
      </c>
      <c r="C5739" s="715" t="s">
        <v>103</v>
      </c>
      <c r="D5739" s="716">
        <v>11.94</v>
      </c>
    </row>
    <row r="5740" spans="1:4" ht="42">
      <c r="A5740" s="715">
        <v>103964</v>
      </c>
      <c r="B5740" s="633" t="s">
        <v>26533</v>
      </c>
      <c r="C5740" s="715" t="s">
        <v>103</v>
      </c>
      <c r="D5740" s="716">
        <v>9.7899999999999991</v>
      </c>
    </row>
    <row r="5741" spans="1:4" ht="42">
      <c r="A5741" s="715">
        <v>104014</v>
      </c>
      <c r="B5741" s="633" t="s">
        <v>26565</v>
      </c>
      <c r="C5741" s="715" t="s">
        <v>103</v>
      </c>
      <c r="D5741" s="716">
        <v>13.59</v>
      </c>
    </row>
    <row r="5742" spans="1:4" ht="42">
      <c r="A5742" s="715">
        <v>103966</v>
      </c>
      <c r="B5742" s="633" t="s">
        <v>26534</v>
      </c>
      <c r="C5742" s="715" t="s">
        <v>103</v>
      </c>
      <c r="D5742" s="716">
        <v>11.47</v>
      </c>
    </row>
    <row r="5743" spans="1:4" ht="42">
      <c r="A5743" s="715">
        <v>103999</v>
      </c>
      <c r="B5743" s="633" t="s">
        <v>26556</v>
      </c>
      <c r="C5743" s="715" t="s">
        <v>103</v>
      </c>
      <c r="D5743" s="716">
        <v>15.62</v>
      </c>
    </row>
    <row r="5744" spans="1:4" ht="42">
      <c r="A5744" s="715">
        <v>103967</v>
      </c>
      <c r="B5744" s="633" t="s">
        <v>40511</v>
      </c>
      <c r="C5744" s="715" t="s">
        <v>103</v>
      </c>
      <c r="D5744" s="716">
        <v>13.74</v>
      </c>
    </row>
    <row r="5745" spans="1:4" ht="42">
      <c r="A5745" s="715">
        <v>104003</v>
      </c>
      <c r="B5745" s="633" t="s">
        <v>40512</v>
      </c>
      <c r="C5745" s="715" t="s">
        <v>103</v>
      </c>
      <c r="D5745" s="716">
        <v>18.149999999999999</v>
      </c>
    </row>
    <row r="5746" spans="1:4" ht="42">
      <c r="A5746" s="715">
        <v>103968</v>
      </c>
      <c r="B5746" s="633" t="s">
        <v>26535</v>
      </c>
      <c r="C5746" s="715" t="s">
        <v>103</v>
      </c>
      <c r="D5746" s="716">
        <v>19.39</v>
      </c>
    </row>
    <row r="5747" spans="1:4" ht="42">
      <c r="A5747" s="715">
        <v>103969</v>
      </c>
      <c r="B5747" s="633" t="s">
        <v>26536</v>
      </c>
      <c r="C5747" s="715" t="s">
        <v>103</v>
      </c>
      <c r="D5747" s="716">
        <v>22.83</v>
      </c>
    </row>
    <row r="5748" spans="1:4" ht="42">
      <c r="A5748" s="715">
        <v>103971</v>
      </c>
      <c r="B5748" s="633" t="s">
        <v>26537</v>
      </c>
      <c r="C5748" s="715" t="s">
        <v>103</v>
      </c>
      <c r="D5748" s="716">
        <v>28.92</v>
      </c>
    </row>
    <row r="5749" spans="1:4" ht="42">
      <c r="A5749" s="715">
        <v>103972</v>
      </c>
      <c r="B5749" s="633" t="s">
        <v>26538</v>
      </c>
      <c r="C5749" s="715" t="s">
        <v>103</v>
      </c>
      <c r="D5749" s="716">
        <v>33.31</v>
      </c>
    </row>
    <row r="5750" spans="1:4" ht="42">
      <c r="A5750" s="715">
        <v>103993</v>
      </c>
      <c r="B5750" s="633" t="s">
        <v>26552</v>
      </c>
      <c r="C5750" s="715" t="s">
        <v>103</v>
      </c>
      <c r="D5750" s="716">
        <v>12.61</v>
      </c>
    </row>
    <row r="5751" spans="1:4" ht="42">
      <c r="A5751" s="715">
        <v>89407</v>
      </c>
      <c r="B5751" s="633" t="s">
        <v>26019</v>
      </c>
      <c r="C5751" s="715" t="s">
        <v>103</v>
      </c>
      <c r="D5751" s="716">
        <v>11.84</v>
      </c>
    </row>
    <row r="5752" spans="1:4" ht="42">
      <c r="A5752" s="715">
        <v>89361</v>
      </c>
      <c r="B5752" s="633" t="s">
        <v>25990</v>
      </c>
      <c r="C5752" s="715" t="s">
        <v>103</v>
      </c>
      <c r="D5752" s="716">
        <v>12.87</v>
      </c>
    </row>
    <row r="5753" spans="1:4" ht="42">
      <c r="A5753" s="715">
        <v>89490</v>
      </c>
      <c r="B5753" s="633" t="s">
        <v>26047</v>
      </c>
      <c r="C5753" s="715" t="s">
        <v>103</v>
      </c>
      <c r="D5753" s="716">
        <v>8.9700000000000006</v>
      </c>
    </row>
    <row r="5754" spans="1:4" ht="42">
      <c r="A5754" s="715">
        <v>89411</v>
      </c>
      <c r="B5754" s="633" t="s">
        <v>26023</v>
      </c>
      <c r="C5754" s="715" t="s">
        <v>103</v>
      </c>
      <c r="D5754" s="716">
        <v>13.81</v>
      </c>
    </row>
    <row r="5755" spans="1:4" ht="42">
      <c r="A5755" s="715">
        <v>89365</v>
      </c>
      <c r="B5755" s="633" t="s">
        <v>25994</v>
      </c>
      <c r="C5755" s="715" t="s">
        <v>103</v>
      </c>
      <c r="D5755" s="716">
        <v>14.99</v>
      </c>
    </row>
    <row r="5756" spans="1:4" ht="42">
      <c r="A5756" s="715">
        <v>89496</v>
      </c>
      <c r="B5756" s="633" t="s">
        <v>26051</v>
      </c>
      <c r="C5756" s="715" t="s">
        <v>103</v>
      </c>
      <c r="D5756" s="716">
        <v>12.8</v>
      </c>
    </row>
    <row r="5757" spans="1:4" ht="42">
      <c r="A5757" s="715">
        <v>89416</v>
      </c>
      <c r="B5757" s="633" t="s">
        <v>26027</v>
      </c>
      <c r="C5757" s="715" t="s">
        <v>103</v>
      </c>
      <c r="D5757" s="716">
        <v>18.420000000000002</v>
      </c>
    </row>
    <row r="5758" spans="1:4" ht="42">
      <c r="A5758" s="715">
        <v>89370</v>
      </c>
      <c r="B5758" s="633" t="s">
        <v>25998</v>
      </c>
      <c r="C5758" s="715" t="s">
        <v>103</v>
      </c>
      <c r="D5758" s="716">
        <v>19.829999999999998</v>
      </c>
    </row>
    <row r="5759" spans="1:4" ht="42">
      <c r="A5759" s="715">
        <v>89500</v>
      </c>
      <c r="B5759" s="633" t="s">
        <v>26055</v>
      </c>
      <c r="C5759" s="715" t="s">
        <v>103</v>
      </c>
      <c r="D5759" s="716">
        <v>15.63</v>
      </c>
    </row>
    <row r="5760" spans="1:4" ht="42">
      <c r="A5760" s="715">
        <v>103983</v>
      </c>
      <c r="B5760" s="633" t="s">
        <v>26545</v>
      </c>
      <c r="C5760" s="715" t="s">
        <v>103</v>
      </c>
      <c r="D5760" s="716">
        <v>22.09</v>
      </c>
    </row>
    <row r="5761" spans="1:4" ht="42">
      <c r="A5761" s="715">
        <v>89504</v>
      </c>
      <c r="B5761" s="633" t="s">
        <v>26059</v>
      </c>
      <c r="C5761" s="715" t="s">
        <v>103</v>
      </c>
      <c r="D5761" s="716">
        <v>22.59</v>
      </c>
    </row>
    <row r="5762" spans="1:4" ht="42">
      <c r="A5762" s="715">
        <v>103987</v>
      </c>
      <c r="B5762" s="633" t="s">
        <v>26549</v>
      </c>
      <c r="C5762" s="715" t="s">
        <v>103</v>
      </c>
      <c r="D5762" s="716">
        <v>30.15</v>
      </c>
    </row>
    <row r="5763" spans="1:4" ht="42">
      <c r="A5763" s="715">
        <v>89510</v>
      </c>
      <c r="B5763" s="633" t="s">
        <v>26063</v>
      </c>
      <c r="C5763" s="715" t="s">
        <v>103</v>
      </c>
      <c r="D5763" s="716">
        <v>31.79</v>
      </c>
    </row>
    <row r="5764" spans="1:4" ht="42">
      <c r="A5764" s="715">
        <v>89519</v>
      </c>
      <c r="B5764" s="633" t="s">
        <v>26070</v>
      </c>
      <c r="C5764" s="715" t="s">
        <v>103</v>
      </c>
      <c r="D5764" s="716">
        <v>54.62</v>
      </c>
    </row>
    <row r="5765" spans="1:4" ht="42">
      <c r="A5765" s="715">
        <v>89527</v>
      </c>
      <c r="B5765" s="633" t="s">
        <v>26078</v>
      </c>
      <c r="C5765" s="715" t="s">
        <v>103</v>
      </c>
      <c r="D5765" s="716">
        <v>65.48</v>
      </c>
    </row>
    <row r="5766" spans="1:4" ht="42">
      <c r="A5766" s="715">
        <v>89406</v>
      </c>
      <c r="B5766" s="633" t="s">
        <v>26018</v>
      </c>
      <c r="C5766" s="715" t="s">
        <v>103</v>
      </c>
      <c r="D5766" s="716">
        <v>11.76</v>
      </c>
    </row>
    <row r="5767" spans="1:4" ht="42">
      <c r="A5767" s="715">
        <v>89360</v>
      </c>
      <c r="B5767" s="633" t="s">
        <v>25989</v>
      </c>
      <c r="C5767" s="715" t="s">
        <v>103</v>
      </c>
      <c r="D5767" s="716">
        <v>12.79</v>
      </c>
    </row>
    <row r="5768" spans="1:4" ht="42">
      <c r="A5768" s="715">
        <v>89489</v>
      </c>
      <c r="B5768" s="633" t="s">
        <v>26046</v>
      </c>
      <c r="C5768" s="715" t="s">
        <v>103</v>
      </c>
      <c r="D5768" s="716">
        <v>9.59</v>
      </c>
    </row>
    <row r="5769" spans="1:4" ht="42">
      <c r="A5769" s="715">
        <v>89410</v>
      </c>
      <c r="B5769" s="633" t="s">
        <v>26022</v>
      </c>
      <c r="C5769" s="715" t="s">
        <v>103</v>
      </c>
      <c r="D5769" s="716">
        <v>14.43</v>
      </c>
    </row>
    <row r="5770" spans="1:4" ht="42">
      <c r="A5770" s="715">
        <v>89364</v>
      </c>
      <c r="B5770" s="633" t="s">
        <v>25993</v>
      </c>
      <c r="C5770" s="715" t="s">
        <v>103</v>
      </c>
      <c r="D5770" s="716">
        <v>15.61</v>
      </c>
    </row>
    <row r="5771" spans="1:4" ht="42">
      <c r="A5771" s="715">
        <v>89494</v>
      </c>
      <c r="B5771" s="633" t="s">
        <v>26050</v>
      </c>
      <c r="C5771" s="715" t="s">
        <v>103</v>
      </c>
      <c r="D5771" s="716">
        <v>15.13</v>
      </c>
    </row>
    <row r="5772" spans="1:4" ht="42">
      <c r="A5772" s="715">
        <v>89415</v>
      </c>
      <c r="B5772" s="633" t="s">
        <v>26026</v>
      </c>
      <c r="C5772" s="715" t="s">
        <v>103</v>
      </c>
      <c r="D5772" s="716">
        <v>20.75</v>
      </c>
    </row>
    <row r="5773" spans="1:4" ht="42">
      <c r="A5773" s="715">
        <v>89369</v>
      </c>
      <c r="B5773" s="633" t="s">
        <v>25997</v>
      </c>
      <c r="C5773" s="715" t="s">
        <v>103</v>
      </c>
      <c r="D5773" s="716">
        <v>22.16</v>
      </c>
    </row>
    <row r="5774" spans="1:4" ht="42">
      <c r="A5774" s="715">
        <v>89499</v>
      </c>
      <c r="B5774" s="633" t="s">
        <v>26054</v>
      </c>
      <c r="C5774" s="715" t="s">
        <v>103</v>
      </c>
      <c r="D5774" s="716">
        <v>23.37</v>
      </c>
    </row>
    <row r="5775" spans="1:4" ht="42">
      <c r="A5775" s="715">
        <v>103982</v>
      </c>
      <c r="B5775" s="633" t="s">
        <v>26544</v>
      </c>
      <c r="C5775" s="715" t="s">
        <v>103</v>
      </c>
      <c r="D5775" s="716">
        <v>29.83</v>
      </c>
    </row>
    <row r="5776" spans="1:4" ht="42">
      <c r="A5776" s="715">
        <v>89503</v>
      </c>
      <c r="B5776" s="633" t="s">
        <v>26058</v>
      </c>
      <c r="C5776" s="715" t="s">
        <v>103</v>
      </c>
      <c r="D5776" s="716">
        <v>27.01</v>
      </c>
    </row>
    <row r="5777" spans="1:4" ht="42">
      <c r="A5777" s="715">
        <v>103986</v>
      </c>
      <c r="B5777" s="633" t="s">
        <v>26548</v>
      </c>
      <c r="C5777" s="715" t="s">
        <v>103</v>
      </c>
      <c r="D5777" s="716">
        <v>34.57</v>
      </c>
    </row>
    <row r="5778" spans="1:4" ht="42">
      <c r="A5778" s="715">
        <v>89507</v>
      </c>
      <c r="B5778" s="633" t="s">
        <v>26062</v>
      </c>
      <c r="C5778" s="715" t="s">
        <v>103</v>
      </c>
      <c r="D5778" s="716">
        <v>54.22</v>
      </c>
    </row>
    <row r="5779" spans="1:4" ht="42">
      <c r="A5779" s="715">
        <v>89517</v>
      </c>
      <c r="B5779" s="633" t="s">
        <v>26068</v>
      </c>
      <c r="C5779" s="715" t="s">
        <v>103</v>
      </c>
      <c r="D5779" s="716">
        <v>79.709999999999994</v>
      </c>
    </row>
    <row r="5780" spans="1:4" ht="42">
      <c r="A5780" s="715">
        <v>89525</v>
      </c>
      <c r="B5780" s="633" t="s">
        <v>26076</v>
      </c>
      <c r="C5780" s="715" t="s">
        <v>103</v>
      </c>
      <c r="D5780" s="716">
        <v>99.82</v>
      </c>
    </row>
    <row r="5781" spans="1:4" ht="42">
      <c r="A5781" s="715">
        <v>89423</v>
      </c>
      <c r="B5781" s="633" t="s">
        <v>40513</v>
      </c>
      <c r="C5781" s="715" t="s">
        <v>103</v>
      </c>
      <c r="D5781" s="716">
        <v>12.19</v>
      </c>
    </row>
    <row r="5782" spans="1:4" ht="42">
      <c r="A5782" s="715">
        <v>89377</v>
      </c>
      <c r="B5782" s="633" t="s">
        <v>26004</v>
      </c>
      <c r="C5782" s="715" t="s">
        <v>103</v>
      </c>
      <c r="D5782" s="716">
        <v>12.89</v>
      </c>
    </row>
    <row r="5783" spans="1:4" ht="42">
      <c r="A5783" s="715">
        <v>89540</v>
      </c>
      <c r="B5783" s="633" t="s">
        <v>40514</v>
      </c>
      <c r="C5783" s="715" t="s">
        <v>103</v>
      </c>
      <c r="D5783" s="716">
        <v>12.22</v>
      </c>
    </row>
    <row r="5784" spans="1:4" ht="42">
      <c r="A5784" s="715">
        <v>89430</v>
      </c>
      <c r="B5784" s="633" t="s">
        <v>40515</v>
      </c>
      <c r="C5784" s="715" t="s">
        <v>103</v>
      </c>
      <c r="D5784" s="716">
        <v>15.45</v>
      </c>
    </row>
    <row r="5785" spans="1:4" ht="42">
      <c r="A5785" s="715">
        <v>89384</v>
      </c>
      <c r="B5785" s="633" t="s">
        <v>40516</v>
      </c>
      <c r="C5785" s="715" t="s">
        <v>103</v>
      </c>
      <c r="D5785" s="716">
        <v>16.25</v>
      </c>
    </row>
    <row r="5786" spans="1:4" ht="42">
      <c r="A5786" s="715">
        <v>89555</v>
      </c>
      <c r="B5786" s="633" t="s">
        <v>40517</v>
      </c>
      <c r="C5786" s="715" t="s">
        <v>103</v>
      </c>
      <c r="D5786" s="716">
        <v>24.84</v>
      </c>
    </row>
    <row r="5787" spans="1:4" ht="42">
      <c r="A5787" s="715">
        <v>89437</v>
      </c>
      <c r="B5787" s="633" t="s">
        <v>40518</v>
      </c>
      <c r="C5787" s="715" t="s">
        <v>103</v>
      </c>
      <c r="D5787" s="716">
        <v>28.58</v>
      </c>
    </row>
    <row r="5788" spans="1:4" ht="42">
      <c r="A5788" s="715">
        <v>89392</v>
      </c>
      <c r="B5788" s="633" t="s">
        <v>40519</v>
      </c>
      <c r="C5788" s="715" t="s">
        <v>103</v>
      </c>
      <c r="D5788" s="716">
        <v>29.52</v>
      </c>
    </row>
    <row r="5789" spans="1:4" ht="42">
      <c r="A5789" s="715">
        <v>89405</v>
      </c>
      <c r="B5789" s="633" t="s">
        <v>26017</v>
      </c>
      <c r="C5789" s="715" t="s">
        <v>103</v>
      </c>
      <c r="D5789" s="716">
        <v>10.61</v>
      </c>
    </row>
    <row r="5790" spans="1:4" ht="42">
      <c r="A5790" s="715">
        <v>89359</v>
      </c>
      <c r="B5790" s="633" t="s">
        <v>25988</v>
      </c>
      <c r="C5790" s="715" t="s">
        <v>103</v>
      </c>
      <c r="D5790" s="716">
        <v>11.64</v>
      </c>
    </row>
    <row r="5791" spans="1:4" ht="42">
      <c r="A5791" s="715">
        <v>89485</v>
      </c>
      <c r="B5791" s="633" t="s">
        <v>26045</v>
      </c>
      <c r="C5791" s="715" t="s">
        <v>103</v>
      </c>
      <c r="D5791" s="716">
        <v>7.85</v>
      </c>
    </row>
    <row r="5792" spans="1:4" ht="42">
      <c r="A5792" s="715">
        <v>89409</v>
      </c>
      <c r="B5792" s="633" t="s">
        <v>26021</v>
      </c>
      <c r="C5792" s="715" t="s">
        <v>103</v>
      </c>
      <c r="D5792" s="716">
        <v>12.69</v>
      </c>
    </row>
    <row r="5793" spans="1:4" ht="42">
      <c r="A5793" s="715">
        <v>89363</v>
      </c>
      <c r="B5793" s="633" t="s">
        <v>25992</v>
      </c>
      <c r="C5793" s="715" t="s">
        <v>103</v>
      </c>
      <c r="D5793" s="716">
        <v>13.87</v>
      </c>
    </row>
    <row r="5794" spans="1:4" ht="42">
      <c r="A5794" s="715">
        <v>89493</v>
      </c>
      <c r="B5794" s="633" t="s">
        <v>26049</v>
      </c>
      <c r="C5794" s="715" t="s">
        <v>103</v>
      </c>
      <c r="D5794" s="716">
        <v>12.42</v>
      </c>
    </row>
    <row r="5795" spans="1:4" ht="42">
      <c r="A5795" s="715">
        <v>89414</v>
      </c>
      <c r="B5795" s="633" t="s">
        <v>26025</v>
      </c>
      <c r="C5795" s="715" t="s">
        <v>103</v>
      </c>
      <c r="D5795" s="716">
        <v>18.04</v>
      </c>
    </row>
    <row r="5796" spans="1:4" ht="42">
      <c r="A5796" s="715">
        <v>89368</v>
      </c>
      <c r="B5796" s="633" t="s">
        <v>25996</v>
      </c>
      <c r="C5796" s="715" t="s">
        <v>103</v>
      </c>
      <c r="D5796" s="716">
        <v>19.45</v>
      </c>
    </row>
    <row r="5797" spans="1:4" ht="42">
      <c r="A5797" s="715">
        <v>89498</v>
      </c>
      <c r="B5797" s="633" t="s">
        <v>26053</v>
      </c>
      <c r="C5797" s="715" t="s">
        <v>103</v>
      </c>
      <c r="D5797" s="716">
        <v>16.260000000000002</v>
      </c>
    </row>
    <row r="5798" spans="1:4" ht="42">
      <c r="A5798" s="715">
        <v>103981</v>
      </c>
      <c r="B5798" s="633" t="s">
        <v>26543</v>
      </c>
      <c r="C5798" s="715" t="s">
        <v>103</v>
      </c>
      <c r="D5798" s="716">
        <v>22.72</v>
      </c>
    </row>
    <row r="5799" spans="1:4" ht="42">
      <c r="A5799" s="715">
        <v>89502</v>
      </c>
      <c r="B5799" s="633" t="s">
        <v>26057</v>
      </c>
      <c r="C5799" s="715" t="s">
        <v>103</v>
      </c>
      <c r="D5799" s="716">
        <v>20.49</v>
      </c>
    </row>
    <row r="5800" spans="1:4" ht="42">
      <c r="A5800" s="715">
        <v>103985</v>
      </c>
      <c r="B5800" s="633" t="s">
        <v>26547</v>
      </c>
      <c r="C5800" s="715" t="s">
        <v>103</v>
      </c>
      <c r="D5800" s="716">
        <v>28.05</v>
      </c>
    </row>
    <row r="5801" spans="1:4" ht="42">
      <c r="A5801" s="715">
        <v>89506</v>
      </c>
      <c r="B5801" s="633" t="s">
        <v>26061</v>
      </c>
      <c r="C5801" s="715" t="s">
        <v>103</v>
      </c>
      <c r="D5801" s="716">
        <v>46.14</v>
      </c>
    </row>
    <row r="5802" spans="1:4" ht="42">
      <c r="A5802" s="715">
        <v>89515</v>
      </c>
      <c r="B5802" s="633" t="s">
        <v>26066</v>
      </c>
      <c r="C5802" s="715" t="s">
        <v>103</v>
      </c>
      <c r="D5802" s="716">
        <v>94.79</v>
      </c>
    </row>
    <row r="5803" spans="1:4" ht="42">
      <c r="A5803" s="715">
        <v>89523</v>
      </c>
      <c r="B5803" s="633" t="s">
        <v>26074</v>
      </c>
      <c r="C5803" s="715" t="s">
        <v>103</v>
      </c>
      <c r="D5803" s="716">
        <v>115.55</v>
      </c>
    </row>
    <row r="5804" spans="1:4" ht="56">
      <c r="A5804" s="715">
        <v>90373</v>
      </c>
      <c r="B5804" s="633" t="s">
        <v>40520</v>
      </c>
      <c r="C5804" s="715" t="s">
        <v>103</v>
      </c>
      <c r="D5804" s="716">
        <v>16.73</v>
      </c>
    </row>
    <row r="5805" spans="1:4" ht="56">
      <c r="A5805" s="715">
        <v>89366</v>
      </c>
      <c r="B5805" s="633" t="s">
        <v>40521</v>
      </c>
      <c r="C5805" s="715" t="s">
        <v>103</v>
      </c>
      <c r="D5805" s="716">
        <v>20.66</v>
      </c>
    </row>
    <row r="5806" spans="1:4" ht="42">
      <c r="A5806" s="715">
        <v>89404</v>
      </c>
      <c r="B5806" s="633" t="s">
        <v>26016</v>
      </c>
      <c r="C5806" s="715" t="s">
        <v>103</v>
      </c>
      <c r="D5806" s="716">
        <v>9.9700000000000006</v>
      </c>
    </row>
    <row r="5807" spans="1:4" ht="42">
      <c r="A5807" s="715">
        <v>89358</v>
      </c>
      <c r="B5807" s="633" t="s">
        <v>25987</v>
      </c>
      <c r="C5807" s="715" t="s">
        <v>103</v>
      </c>
      <c r="D5807" s="716">
        <v>11</v>
      </c>
    </row>
    <row r="5808" spans="1:4" ht="42">
      <c r="A5808" s="715">
        <v>89481</v>
      </c>
      <c r="B5808" s="633" t="s">
        <v>26044</v>
      </c>
      <c r="C5808" s="715" t="s">
        <v>103</v>
      </c>
      <c r="D5808" s="716">
        <v>6.94</v>
      </c>
    </row>
    <row r="5809" spans="1:4" ht="42">
      <c r="A5809" s="715">
        <v>89408</v>
      </c>
      <c r="B5809" s="633" t="s">
        <v>26020</v>
      </c>
      <c r="C5809" s="715" t="s">
        <v>103</v>
      </c>
      <c r="D5809" s="716">
        <v>11.78</v>
      </c>
    </row>
    <row r="5810" spans="1:4" ht="42">
      <c r="A5810" s="715">
        <v>89362</v>
      </c>
      <c r="B5810" s="633" t="s">
        <v>25991</v>
      </c>
      <c r="C5810" s="715" t="s">
        <v>103</v>
      </c>
      <c r="D5810" s="716">
        <v>12.96</v>
      </c>
    </row>
    <row r="5811" spans="1:4" ht="42">
      <c r="A5811" s="715">
        <v>89412</v>
      </c>
      <c r="B5811" s="633" t="s">
        <v>40522</v>
      </c>
      <c r="C5811" s="715" t="s">
        <v>103</v>
      </c>
      <c r="D5811" s="716">
        <v>12.95</v>
      </c>
    </row>
    <row r="5812" spans="1:4" ht="42">
      <c r="A5812" s="715">
        <v>89492</v>
      </c>
      <c r="B5812" s="633" t="s">
        <v>26048</v>
      </c>
      <c r="C5812" s="715" t="s">
        <v>103</v>
      </c>
      <c r="D5812" s="716">
        <v>10.4</v>
      </c>
    </row>
    <row r="5813" spans="1:4" ht="42">
      <c r="A5813" s="715">
        <v>89413</v>
      </c>
      <c r="B5813" s="633" t="s">
        <v>26024</v>
      </c>
      <c r="C5813" s="715" t="s">
        <v>103</v>
      </c>
      <c r="D5813" s="716">
        <v>16.02</v>
      </c>
    </row>
    <row r="5814" spans="1:4" ht="42">
      <c r="A5814" s="715">
        <v>89367</v>
      </c>
      <c r="B5814" s="633" t="s">
        <v>25995</v>
      </c>
      <c r="C5814" s="715" t="s">
        <v>103</v>
      </c>
      <c r="D5814" s="716">
        <v>17.43</v>
      </c>
    </row>
    <row r="5815" spans="1:4" ht="42">
      <c r="A5815" s="715">
        <v>89497</v>
      </c>
      <c r="B5815" s="633" t="s">
        <v>26052</v>
      </c>
      <c r="C5815" s="715" t="s">
        <v>103</v>
      </c>
      <c r="D5815" s="716">
        <v>16.190000000000001</v>
      </c>
    </row>
    <row r="5816" spans="1:4" ht="42">
      <c r="A5816" s="715">
        <v>103980</v>
      </c>
      <c r="B5816" s="633" t="s">
        <v>26542</v>
      </c>
      <c r="C5816" s="715" t="s">
        <v>103</v>
      </c>
      <c r="D5816" s="716">
        <v>22.65</v>
      </c>
    </row>
    <row r="5817" spans="1:4" ht="42">
      <c r="A5817" s="715">
        <v>89501</v>
      </c>
      <c r="B5817" s="633" t="s">
        <v>26056</v>
      </c>
      <c r="C5817" s="715" t="s">
        <v>103</v>
      </c>
      <c r="D5817" s="716">
        <v>17.57</v>
      </c>
    </row>
    <row r="5818" spans="1:4" ht="42">
      <c r="A5818" s="715">
        <v>103984</v>
      </c>
      <c r="B5818" s="633" t="s">
        <v>26546</v>
      </c>
      <c r="C5818" s="715" t="s">
        <v>103</v>
      </c>
      <c r="D5818" s="716">
        <v>25.13</v>
      </c>
    </row>
    <row r="5819" spans="1:4" ht="42">
      <c r="A5819" s="715">
        <v>89505</v>
      </c>
      <c r="B5819" s="633" t="s">
        <v>26060</v>
      </c>
      <c r="C5819" s="715" t="s">
        <v>103</v>
      </c>
      <c r="D5819" s="716">
        <v>48.18</v>
      </c>
    </row>
    <row r="5820" spans="1:4" ht="42">
      <c r="A5820" s="715">
        <v>89513</v>
      </c>
      <c r="B5820" s="633" t="s">
        <v>26064</v>
      </c>
      <c r="C5820" s="715" t="s">
        <v>103</v>
      </c>
      <c r="D5820" s="716">
        <v>118.43</v>
      </c>
    </row>
    <row r="5821" spans="1:4" ht="42">
      <c r="A5821" s="715">
        <v>89521</v>
      </c>
      <c r="B5821" s="633" t="s">
        <v>26072</v>
      </c>
      <c r="C5821" s="715" t="s">
        <v>103</v>
      </c>
      <c r="D5821" s="716">
        <v>140.86000000000001</v>
      </c>
    </row>
    <row r="5822" spans="1:4" ht="56">
      <c r="A5822" s="715">
        <v>103955</v>
      </c>
      <c r="B5822" s="633" t="s">
        <v>26527</v>
      </c>
      <c r="C5822" s="715" t="s">
        <v>103</v>
      </c>
      <c r="D5822" s="716">
        <v>13.31</v>
      </c>
    </row>
    <row r="5823" spans="1:4" ht="42">
      <c r="A5823" s="715">
        <v>103950</v>
      </c>
      <c r="B5823" s="633" t="s">
        <v>26522</v>
      </c>
      <c r="C5823" s="715" t="s">
        <v>103</v>
      </c>
      <c r="D5823" s="716">
        <v>14.41</v>
      </c>
    </row>
    <row r="5824" spans="1:4" ht="42">
      <c r="A5824" s="715">
        <v>103974</v>
      </c>
      <c r="B5824" s="633" t="s">
        <v>26539</v>
      </c>
      <c r="C5824" s="715" t="s">
        <v>103</v>
      </c>
      <c r="D5824" s="716">
        <v>12.89</v>
      </c>
    </row>
    <row r="5825" spans="1:4" ht="56">
      <c r="A5825" s="715">
        <v>103956</v>
      </c>
      <c r="B5825" s="633" t="s">
        <v>26528</v>
      </c>
      <c r="C5825" s="715" t="s">
        <v>103</v>
      </c>
      <c r="D5825" s="716">
        <v>18.13</v>
      </c>
    </row>
    <row r="5826" spans="1:4" ht="42">
      <c r="A5826" s="715">
        <v>103951</v>
      </c>
      <c r="B5826" s="633" t="s">
        <v>26523</v>
      </c>
      <c r="C5826" s="715" t="s">
        <v>103</v>
      </c>
      <c r="D5826" s="716">
        <v>19.43</v>
      </c>
    </row>
    <row r="5827" spans="1:4" ht="42">
      <c r="A5827" s="715">
        <v>89374</v>
      </c>
      <c r="B5827" s="633" t="s">
        <v>26002</v>
      </c>
      <c r="C5827" s="715" t="s">
        <v>103</v>
      </c>
      <c r="D5827" s="716">
        <v>12.67</v>
      </c>
    </row>
    <row r="5828" spans="1:4" ht="42">
      <c r="A5828" s="715">
        <v>89427</v>
      </c>
      <c r="B5828" s="633" t="s">
        <v>40523</v>
      </c>
      <c r="C5828" s="715" t="s">
        <v>103</v>
      </c>
      <c r="D5828" s="716">
        <v>14.72</v>
      </c>
    </row>
    <row r="5829" spans="1:4" ht="42">
      <c r="A5829" s="715">
        <v>89381</v>
      </c>
      <c r="B5829" s="633" t="s">
        <v>40524</v>
      </c>
      <c r="C5829" s="715" t="s">
        <v>103</v>
      </c>
      <c r="D5829" s="716">
        <v>15.46</v>
      </c>
    </row>
    <row r="5830" spans="1:4" ht="42">
      <c r="A5830" s="715">
        <v>95237</v>
      </c>
      <c r="B5830" s="633" t="s">
        <v>40525</v>
      </c>
      <c r="C5830" s="715" t="s">
        <v>103</v>
      </c>
      <c r="D5830" s="716">
        <v>28.8</v>
      </c>
    </row>
    <row r="5831" spans="1:4" ht="42">
      <c r="A5831" s="715">
        <v>89979</v>
      </c>
      <c r="B5831" s="633" t="s">
        <v>40526</v>
      </c>
      <c r="C5831" s="715" t="s">
        <v>103</v>
      </c>
      <c r="D5831" s="716">
        <v>29.67</v>
      </c>
    </row>
    <row r="5832" spans="1:4" ht="42">
      <c r="A5832" s="715">
        <v>103991</v>
      </c>
      <c r="B5832" s="633" t="s">
        <v>29231</v>
      </c>
      <c r="C5832" s="715" t="s">
        <v>103</v>
      </c>
      <c r="D5832" s="716">
        <v>22.25</v>
      </c>
    </row>
    <row r="5833" spans="1:4" ht="42">
      <c r="A5833" s="715">
        <v>89564</v>
      </c>
      <c r="B5833" s="633" t="s">
        <v>40527</v>
      </c>
      <c r="C5833" s="715" t="s">
        <v>103</v>
      </c>
      <c r="D5833" s="716">
        <v>18.2</v>
      </c>
    </row>
    <row r="5834" spans="1:4" ht="42">
      <c r="A5834" s="715">
        <v>104000</v>
      </c>
      <c r="B5834" s="633" t="s">
        <v>29234</v>
      </c>
      <c r="C5834" s="715" t="s">
        <v>103</v>
      </c>
      <c r="D5834" s="716">
        <v>33.32</v>
      </c>
    </row>
    <row r="5835" spans="1:4" ht="42">
      <c r="A5835" s="715">
        <v>89593</v>
      </c>
      <c r="B5835" s="633" t="s">
        <v>40528</v>
      </c>
      <c r="C5835" s="715" t="s">
        <v>103</v>
      </c>
      <c r="D5835" s="716">
        <v>28.63</v>
      </c>
    </row>
    <row r="5836" spans="1:4" ht="42">
      <c r="A5836" s="715">
        <v>89418</v>
      </c>
      <c r="B5836" s="633" t="s">
        <v>26029</v>
      </c>
      <c r="C5836" s="715" t="s">
        <v>103</v>
      </c>
      <c r="D5836" s="716">
        <v>18.850000000000001</v>
      </c>
    </row>
    <row r="5837" spans="1:4" ht="42">
      <c r="A5837" s="715">
        <v>89372</v>
      </c>
      <c r="B5837" s="633" t="s">
        <v>26000</v>
      </c>
      <c r="C5837" s="715" t="s">
        <v>103</v>
      </c>
      <c r="D5837" s="716">
        <v>19.55</v>
      </c>
    </row>
    <row r="5838" spans="1:4" ht="42">
      <c r="A5838" s="715">
        <v>89530</v>
      </c>
      <c r="B5838" s="633" t="s">
        <v>26081</v>
      </c>
      <c r="C5838" s="715" t="s">
        <v>103</v>
      </c>
      <c r="D5838" s="716">
        <v>18.850000000000001</v>
      </c>
    </row>
    <row r="5839" spans="1:4" ht="42">
      <c r="A5839" s="715">
        <v>89425</v>
      </c>
      <c r="B5839" s="633" t="s">
        <v>26033</v>
      </c>
      <c r="C5839" s="715" t="s">
        <v>103</v>
      </c>
      <c r="D5839" s="716">
        <v>22.08</v>
      </c>
    </row>
    <row r="5840" spans="1:4" ht="42">
      <c r="A5840" s="715">
        <v>89379</v>
      </c>
      <c r="B5840" s="633" t="s">
        <v>26006</v>
      </c>
      <c r="C5840" s="715" t="s">
        <v>103</v>
      </c>
      <c r="D5840" s="716">
        <v>22.88</v>
      </c>
    </row>
    <row r="5841" spans="1:4" ht="42">
      <c r="A5841" s="715">
        <v>89542</v>
      </c>
      <c r="B5841" s="633" t="s">
        <v>26087</v>
      </c>
      <c r="C5841" s="715" t="s">
        <v>103</v>
      </c>
      <c r="D5841" s="716">
        <v>31.18</v>
      </c>
    </row>
    <row r="5842" spans="1:4" ht="42">
      <c r="A5842" s="715">
        <v>89432</v>
      </c>
      <c r="B5842" s="633" t="s">
        <v>40529</v>
      </c>
      <c r="C5842" s="715" t="s">
        <v>103</v>
      </c>
      <c r="D5842" s="716">
        <v>34.92</v>
      </c>
    </row>
    <row r="5843" spans="1:4" ht="42">
      <c r="A5843" s="715">
        <v>89387</v>
      </c>
      <c r="B5843" s="633" t="s">
        <v>40530</v>
      </c>
      <c r="C5843" s="715" t="s">
        <v>103</v>
      </c>
      <c r="D5843" s="716">
        <v>35.86</v>
      </c>
    </row>
    <row r="5844" spans="1:4" ht="42">
      <c r="A5844" s="715">
        <v>89560</v>
      </c>
      <c r="B5844" s="633" t="s">
        <v>40531</v>
      </c>
      <c r="C5844" s="715" t="s">
        <v>103</v>
      </c>
      <c r="D5844" s="716">
        <v>39.89</v>
      </c>
    </row>
    <row r="5845" spans="1:4" ht="42">
      <c r="A5845" s="715">
        <v>104159</v>
      </c>
      <c r="B5845" s="633" t="s">
        <v>29243</v>
      </c>
      <c r="C5845" s="715" t="s">
        <v>103</v>
      </c>
      <c r="D5845" s="716">
        <v>44.26</v>
      </c>
    </row>
    <row r="5846" spans="1:4" ht="42">
      <c r="A5846" s="715">
        <v>89577</v>
      </c>
      <c r="B5846" s="633" t="s">
        <v>26113</v>
      </c>
      <c r="C5846" s="715" t="s">
        <v>103</v>
      </c>
      <c r="D5846" s="716">
        <v>42.1</v>
      </c>
    </row>
    <row r="5847" spans="1:4" ht="42">
      <c r="A5847" s="715">
        <v>103996</v>
      </c>
      <c r="B5847" s="633" t="s">
        <v>26554</v>
      </c>
      <c r="C5847" s="715" t="s">
        <v>103</v>
      </c>
      <c r="D5847" s="716">
        <v>47.17</v>
      </c>
    </row>
    <row r="5848" spans="1:4" ht="42">
      <c r="A5848" s="715">
        <v>89598</v>
      </c>
      <c r="B5848" s="633" t="s">
        <v>40532</v>
      </c>
      <c r="C5848" s="715" t="s">
        <v>103</v>
      </c>
      <c r="D5848" s="716">
        <v>56.56</v>
      </c>
    </row>
    <row r="5849" spans="1:4" ht="42">
      <c r="A5849" s="715">
        <v>89419</v>
      </c>
      <c r="B5849" s="633" t="s">
        <v>26030</v>
      </c>
      <c r="C5849" s="715" t="s">
        <v>103</v>
      </c>
      <c r="D5849" s="716">
        <v>8.66</v>
      </c>
    </row>
    <row r="5850" spans="1:4" ht="42">
      <c r="A5850" s="715">
        <v>89373</v>
      </c>
      <c r="B5850" s="633" t="s">
        <v>26001</v>
      </c>
      <c r="C5850" s="715" t="s">
        <v>103</v>
      </c>
      <c r="D5850" s="716">
        <v>9.4</v>
      </c>
    </row>
    <row r="5851" spans="1:4" ht="42">
      <c r="A5851" s="715">
        <v>89532</v>
      </c>
      <c r="B5851" s="633" t="s">
        <v>26083</v>
      </c>
      <c r="C5851" s="715" t="s">
        <v>103</v>
      </c>
      <c r="D5851" s="716">
        <v>8.57</v>
      </c>
    </row>
    <row r="5852" spans="1:4" ht="42">
      <c r="A5852" s="715">
        <v>89426</v>
      </c>
      <c r="B5852" s="633" t="s">
        <v>26034</v>
      </c>
      <c r="C5852" s="715" t="s">
        <v>103</v>
      </c>
      <c r="D5852" s="716">
        <v>12.07</v>
      </c>
    </row>
    <row r="5853" spans="1:4" ht="42">
      <c r="A5853" s="715">
        <v>89380</v>
      </c>
      <c r="B5853" s="633" t="s">
        <v>26007</v>
      </c>
      <c r="C5853" s="715" t="s">
        <v>103</v>
      </c>
      <c r="D5853" s="716">
        <v>12.94</v>
      </c>
    </row>
    <row r="5854" spans="1:4" ht="42">
      <c r="A5854" s="715">
        <v>89562</v>
      </c>
      <c r="B5854" s="633" t="s">
        <v>26102</v>
      </c>
      <c r="C5854" s="715" t="s">
        <v>103</v>
      </c>
      <c r="D5854" s="716">
        <v>12.3</v>
      </c>
    </row>
    <row r="5855" spans="1:4" ht="42">
      <c r="A5855" s="715">
        <v>89433</v>
      </c>
      <c r="B5855" s="633" t="s">
        <v>26037</v>
      </c>
      <c r="C5855" s="715" t="s">
        <v>103</v>
      </c>
      <c r="D5855" s="716">
        <v>16.350000000000001</v>
      </c>
    </row>
    <row r="5856" spans="1:4" ht="42">
      <c r="A5856" s="715">
        <v>89579</v>
      </c>
      <c r="B5856" s="633" t="s">
        <v>40533</v>
      </c>
      <c r="C5856" s="715" t="s">
        <v>103</v>
      </c>
      <c r="D5856" s="716">
        <v>13.8</v>
      </c>
    </row>
    <row r="5857" spans="1:4" ht="42">
      <c r="A5857" s="715">
        <v>103998</v>
      </c>
      <c r="B5857" s="633" t="s">
        <v>40534</v>
      </c>
      <c r="C5857" s="715" t="s">
        <v>103</v>
      </c>
      <c r="D5857" s="716">
        <v>17.95</v>
      </c>
    </row>
    <row r="5858" spans="1:4" ht="42">
      <c r="A5858" s="715">
        <v>89605</v>
      </c>
      <c r="B5858" s="633" t="s">
        <v>26127</v>
      </c>
      <c r="C5858" s="715" t="s">
        <v>103</v>
      </c>
      <c r="D5858" s="716">
        <v>23.91</v>
      </c>
    </row>
    <row r="5859" spans="1:4" ht="42">
      <c r="A5859" s="715">
        <v>89981</v>
      </c>
      <c r="B5859" s="633" t="s">
        <v>40535</v>
      </c>
      <c r="C5859" s="715" t="s">
        <v>103</v>
      </c>
      <c r="D5859" s="716">
        <v>25.3</v>
      </c>
    </row>
    <row r="5860" spans="1:4" ht="42">
      <c r="A5860" s="715">
        <v>89385</v>
      </c>
      <c r="B5860" s="633" t="s">
        <v>40536</v>
      </c>
      <c r="C5860" s="715" t="s">
        <v>103</v>
      </c>
      <c r="D5860" s="716">
        <v>9.5399999999999991</v>
      </c>
    </row>
    <row r="5861" spans="1:4" ht="42">
      <c r="A5861" s="715">
        <v>89551</v>
      </c>
      <c r="B5861" s="633" t="s">
        <v>40537</v>
      </c>
      <c r="C5861" s="715" t="s">
        <v>103</v>
      </c>
      <c r="D5861" s="716">
        <v>10.210000000000001</v>
      </c>
    </row>
    <row r="5862" spans="1:4" ht="42">
      <c r="A5862" s="715">
        <v>89434</v>
      </c>
      <c r="B5862" s="633" t="s">
        <v>40538</v>
      </c>
      <c r="C5862" s="715" t="s">
        <v>103</v>
      </c>
      <c r="D5862" s="716">
        <v>13.71</v>
      </c>
    </row>
    <row r="5863" spans="1:4" ht="42">
      <c r="A5863" s="715">
        <v>89389</v>
      </c>
      <c r="B5863" s="633" t="s">
        <v>40539</v>
      </c>
      <c r="C5863" s="715" t="s">
        <v>103</v>
      </c>
      <c r="D5863" s="716">
        <v>14.58</v>
      </c>
    </row>
    <row r="5864" spans="1:4" ht="42">
      <c r="A5864" s="715">
        <v>89417</v>
      </c>
      <c r="B5864" s="633" t="s">
        <v>26028</v>
      </c>
      <c r="C5864" s="715" t="s">
        <v>103</v>
      </c>
      <c r="D5864" s="716">
        <v>7.32</v>
      </c>
    </row>
    <row r="5865" spans="1:4" ht="42">
      <c r="A5865" s="715">
        <v>89371</v>
      </c>
      <c r="B5865" s="633" t="s">
        <v>25999</v>
      </c>
      <c r="C5865" s="715" t="s">
        <v>103</v>
      </c>
      <c r="D5865" s="716">
        <v>8.02</v>
      </c>
    </row>
    <row r="5866" spans="1:4" ht="42">
      <c r="A5866" s="715">
        <v>89528</v>
      </c>
      <c r="B5866" s="633" t="s">
        <v>26079</v>
      </c>
      <c r="C5866" s="715" t="s">
        <v>103</v>
      </c>
      <c r="D5866" s="716">
        <v>5.34</v>
      </c>
    </row>
    <row r="5867" spans="1:4" ht="42">
      <c r="A5867" s="715">
        <v>89424</v>
      </c>
      <c r="B5867" s="633" t="s">
        <v>26032</v>
      </c>
      <c r="C5867" s="715" t="s">
        <v>103</v>
      </c>
      <c r="D5867" s="716">
        <v>8.57</v>
      </c>
    </row>
    <row r="5868" spans="1:4" ht="42">
      <c r="A5868" s="715">
        <v>89378</v>
      </c>
      <c r="B5868" s="633" t="s">
        <v>26005</v>
      </c>
      <c r="C5868" s="715" t="s">
        <v>103</v>
      </c>
      <c r="D5868" s="716">
        <v>9.3699999999999992</v>
      </c>
    </row>
    <row r="5869" spans="1:4" ht="42">
      <c r="A5869" s="715">
        <v>89541</v>
      </c>
      <c r="B5869" s="633" t="s">
        <v>26086</v>
      </c>
      <c r="C5869" s="715" t="s">
        <v>103</v>
      </c>
      <c r="D5869" s="716">
        <v>7.83</v>
      </c>
    </row>
    <row r="5870" spans="1:4" ht="42">
      <c r="A5870" s="715">
        <v>89431</v>
      </c>
      <c r="B5870" s="633" t="s">
        <v>26036</v>
      </c>
      <c r="C5870" s="715" t="s">
        <v>103</v>
      </c>
      <c r="D5870" s="716">
        <v>11.57</v>
      </c>
    </row>
    <row r="5871" spans="1:4" ht="42">
      <c r="A5871" s="715">
        <v>89386</v>
      </c>
      <c r="B5871" s="633" t="s">
        <v>26009</v>
      </c>
      <c r="C5871" s="715" t="s">
        <v>103</v>
      </c>
      <c r="D5871" s="716">
        <v>12.51</v>
      </c>
    </row>
    <row r="5872" spans="1:4" ht="42">
      <c r="A5872" s="715">
        <v>89558</v>
      </c>
      <c r="B5872" s="633" t="s">
        <v>26099</v>
      </c>
      <c r="C5872" s="715" t="s">
        <v>103</v>
      </c>
      <c r="D5872" s="716">
        <v>11.67</v>
      </c>
    </row>
    <row r="5873" spans="1:4" ht="42">
      <c r="A5873" s="715">
        <v>103988</v>
      </c>
      <c r="B5873" s="633" t="s">
        <v>26550</v>
      </c>
      <c r="C5873" s="715" t="s">
        <v>103</v>
      </c>
      <c r="D5873" s="716">
        <v>16.04</v>
      </c>
    </row>
    <row r="5874" spans="1:4" ht="42">
      <c r="A5874" s="715">
        <v>89575</v>
      </c>
      <c r="B5874" s="633" t="s">
        <v>26112</v>
      </c>
      <c r="C5874" s="715" t="s">
        <v>103</v>
      </c>
      <c r="D5874" s="716">
        <v>13.72</v>
      </c>
    </row>
    <row r="5875" spans="1:4" ht="42">
      <c r="A5875" s="715">
        <v>103995</v>
      </c>
      <c r="B5875" s="633" t="s">
        <v>26553</v>
      </c>
      <c r="C5875" s="715" t="s">
        <v>103</v>
      </c>
      <c r="D5875" s="716">
        <v>18.79</v>
      </c>
    </row>
    <row r="5876" spans="1:4" ht="42">
      <c r="A5876" s="715">
        <v>89597</v>
      </c>
      <c r="B5876" s="633" t="s">
        <v>26124</v>
      </c>
      <c r="C5876" s="715" t="s">
        <v>103</v>
      </c>
      <c r="D5876" s="716">
        <v>26.19</v>
      </c>
    </row>
    <row r="5877" spans="1:4" ht="42">
      <c r="A5877" s="715">
        <v>89611</v>
      </c>
      <c r="B5877" s="633" t="s">
        <v>26129</v>
      </c>
      <c r="C5877" s="715" t="s">
        <v>103</v>
      </c>
      <c r="D5877" s="716">
        <v>36.65</v>
      </c>
    </row>
    <row r="5878" spans="1:4" ht="42">
      <c r="A5878" s="715">
        <v>89614</v>
      </c>
      <c r="B5878" s="633" t="s">
        <v>26131</v>
      </c>
      <c r="C5878" s="715" t="s">
        <v>103</v>
      </c>
      <c r="D5878" s="716">
        <v>67.52</v>
      </c>
    </row>
    <row r="5879" spans="1:4" ht="42">
      <c r="A5879" s="715">
        <v>103975</v>
      </c>
      <c r="B5879" s="633" t="s">
        <v>26540</v>
      </c>
      <c r="C5879" s="715" t="s">
        <v>103</v>
      </c>
      <c r="D5879" s="716">
        <v>21.39</v>
      </c>
    </row>
    <row r="5880" spans="1:4" ht="42">
      <c r="A5880" s="715">
        <v>104007</v>
      </c>
      <c r="B5880" s="633" t="s">
        <v>26560</v>
      </c>
      <c r="C5880" s="715" t="s">
        <v>103</v>
      </c>
      <c r="D5880" s="716">
        <v>27.53</v>
      </c>
    </row>
    <row r="5881" spans="1:4" ht="42">
      <c r="A5881" s="715">
        <v>103976</v>
      </c>
      <c r="B5881" s="633" t="s">
        <v>26541</v>
      </c>
      <c r="C5881" s="715" t="s">
        <v>103</v>
      </c>
      <c r="D5881" s="716">
        <v>30.54</v>
      </c>
    </row>
    <row r="5882" spans="1:4" ht="42">
      <c r="A5882" s="715">
        <v>104008</v>
      </c>
      <c r="B5882" s="633" t="s">
        <v>26561</v>
      </c>
      <c r="C5882" s="715" t="s">
        <v>103</v>
      </c>
      <c r="D5882" s="716">
        <v>39.31</v>
      </c>
    </row>
    <row r="5883" spans="1:4" ht="42">
      <c r="A5883" s="715">
        <v>89630</v>
      </c>
      <c r="B5883" s="633" t="s">
        <v>26143</v>
      </c>
      <c r="C5883" s="715" t="s">
        <v>103</v>
      </c>
      <c r="D5883" s="716">
        <v>70.569999999999993</v>
      </c>
    </row>
    <row r="5884" spans="1:4" ht="42">
      <c r="A5884" s="715">
        <v>89632</v>
      </c>
      <c r="B5884" s="633" t="s">
        <v>26145</v>
      </c>
      <c r="C5884" s="715" t="s">
        <v>103</v>
      </c>
      <c r="D5884" s="716">
        <v>139.78</v>
      </c>
    </row>
    <row r="5885" spans="1:4" ht="42">
      <c r="A5885" s="715">
        <v>89438</v>
      </c>
      <c r="B5885" s="633" t="s">
        <v>26039</v>
      </c>
      <c r="C5885" s="715" t="s">
        <v>103</v>
      </c>
      <c r="D5885" s="716">
        <v>13.74</v>
      </c>
    </row>
    <row r="5886" spans="1:4" ht="42">
      <c r="A5886" s="715">
        <v>89393</v>
      </c>
      <c r="B5886" s="633" t="s">
        <v>26011</v>
      </c>
      <c r="C5886" s="715" t="s">
        <v>103</v>
      </c>
      <c r="D5886" s="716">
        <v>15.1</v>
      </c>
    </row>
    <row r="5887" spans="1:4" ht="42">
      <c r="A5887" s="715">
        <v>89617</v>
      </c>
      <c r="B5887" s="633" t="s">
        <v>26133</v>
      </c>
      <c r="C5887" s="715" t="s">
        <v>103</v>
      </c>
      <c r="D5887" s="716">
        <v>9.7100000000000009</v>
      </c>
    </row>
    <row r="5888" spans="1:4" ht="42">
      <c r="A5888" s="715">
        <v>89440</v>
      </c>
      <c r="B5888" s="633" t="s">
        <v>26040</v>
      </c>
      <c r="C5888" s="715" t="s">
        <v>103</v>
      </c>
      <c r="D5888" s="716">
        <v>16.16</v>
      </c>
    </row>
    <row r="5889" spans="1:4" ht="42">
      <c r="A5889" s="715">
        <v>89395</v>
      </c>
      <c r="B5889" s="633" t="s">
        <v>26012</v>
      </c>
      <c r="C5889" s="715" t="s">
        <v>103</v>
      </c>
      <c r="D5889" s="716">
        <v>17.739999999999998</v>
      </c>
    </row>
    <row r="5890" spans="1:4" ht="42">
      <c r="A5890" s="715">
        <v>89620</v>
      </c>
      <c r="B5890" s="633" t="s">
        <v>26134</v>
      </c>
      <c r="C5890" s="715" t="s">
        <v>103</v>
      </c>
      <c r="D5890" s="716">
        <v>14.77</v>
      </c>
    </row>
    <row r="5891" spans="1:4" ht="42">
      <c r="A5891" s="715">
        <v>89443</v>
      </c>
      <c r="B5891" s="633" t="s">
        <v>26042</v>
      </c>
      <c r="C5891" s="715" t="s">
        <v>103</v>
      </c>
      <c r="D5891" s="716">
        <v>22.23</v>
      </c>
    </row>
    <row r="5892" spans="1:4" ht="42">
      <c r="A5892" s="715">
        <v>89398</v>
      </c>
      <c r="B5892" s="633" t="s">
        <v>26014</v>
      </c>
      <c r="C5892" s="715" t="s">
        <v>103</v>
      </c>
      <c r="D5892" s="716">
        <v>24.1</v>
      </c>
    </row>
    <row r="5893" spans="1:4" ht="42">
      <c r="A5893" s="715">
        <v>89623</v>
      </c>
      <c r="B5893" s="633" t="s">
        <v>26136</v>
      </c>
      <c r="C5893" s="715" t="s">
        <v>103</v>
      </c>
      <c r="D5893" s="716">
        <v>23.48</v>
      </c>
    </row>
    <row r="5894" spans="1:4" ht="42">
      <c r="A5894" s="715">
        <v>104011</v>
      </c>
      <c r="B5894" s="633" t="s">
        <v>26563</v>
      </c>
      <c r="C5894" s="715" t="s">
        <v>103</v>
      </c>
      <c r="D5894" s="716">
        <v>32.07</v>
      </c>
    </row>
    <row r="5895" spans="1:4" ht="42">
      <c r="A5895" s="715">
        <v>89625</v>
      </c>
      <c r="B5895" s="633" t="s">
        <v>26138</v>
      </c>
      <c r="C5895" s="715" t="s">
        <v>103</v>
      </c>
      <c r="D5895" s="716">
        <v>27.32</v>
      </c>
    </row>
    <row r="5896" spans="1:4" ht="42">
      <c r="A5896" s="715">
        <v>104004</v>
      </c>
      <c r="B5896" s="633" t="s">
        <v>26557</v>
      </c>
      <c r="C5896" s="715" t="s">
        <v>103</v>
      </c>
      <c r="D5896" s="716">
        <v>37.43</v>
      </c>
    </row>
    <row r="5897" spans="1:4" ht="42">
      <c r="A5897" s="715">
        <v>89628</v>
      </c>
      <c r="B5897" s="633" t="s">
        <v>26141</v>
      </c>
      <c r="C5897" s="715" t="s">
        <v>103</v>
      </c>
      <c r="D5897" s="716">
        <v>55.77</v>
      </c>
    </row>
    <row r="5898" spans="1:4" ht="42">
      <c r="A5898" s="715">
        <v>89629</v>
      </c>
      <c r="B5898" s="633" t="s">
        <v>26142</v>
      </c>
      <c r="C5898" s="715" t="s">
        <v>103</v>
      </c>
      <c r="D5898" s="716">
        <v>92.55</v>
      </c>
    </row>
    <row r="5899" spans="1:4" ht="42">
      <c r="A5899" s="715">
        <v>89631</v>
      </c>
      <c r="B5899" s="633" t="s">
        <v>26144</v>
      </c>
      <c r="C5899" s="715" t="s">
        <v>103</v>
      </c>
      <c r="D5899" s="716">
        <v>120.82</v>
      </c>
    </row>
    <row r="5900" spans="1:4" ht="42">
      <c r="A5900" s="715">
        <v>89401</v>
      </c>
      <c r="B5900" s="633" t="s">
        <v>29916</v>
      </c>
      <c r="C5900" s="715" t="s">
        <v>165</v>
      </c>
      <c r="D5900" s="716">
        <v>14.59</v>
      </c>
    </row>
    <row r="5901" spans="1:4" ht="42">
      <c r="A5901" s="715">
        <v>89355</v>
      </c>
      <c r="B5901" s="633" t="s">
        <v>29913</v>
      </c>
      <c r="C5901" s="715" t="s">
        <v>165</v>
      </c>
      <c r="D5901" s="716">
        <v>28.69</v>
      </c>
    </row>
    <row r="5902" spans="1:4" ht="42">
      <c r="A5902" s="715">
        <v>89446</v>
      </c>
      <c r="B5902" s="633" t="s">
        <v>29919</v>
      </c>
      <c r="C5902" s="715" t="s">
        <v>165</v>
      </c>
      <c r="D5902" s="716">
        <v>6.54</v>
      </c>
    </row>
    <row r="5903" spans="1:4" ht="42">
      <c r="A5903" s="715">
        <v>89402</v>
      </c>
      <c r="B5903" s="633" t="s">
        <v>29917</v>
      </c>
      <c r="C5903" s="715" t="s">
        <v>165</v>
      </c>
      <c r="D5903" s="716">
        <v>16.8</v>
      </c>
    </row>
    <row r="5904" spans="1:4" ht="42">
      <c r="A5904" s="715">
        <v>89356</v>
      </c>
      <c r="B5904" s="633" t="s">
        <v>29914</v>
      </c>
      <c r="C5904" s="715" t="s">
        <v>165</v>
      </c>
      <c r="D5904" s="716">
        <v>33.11</v>
      </c>
    </row>
    <row r="5905" spans="1:4" ht="42">
      <c r="A5905" s="715">
        <v>89447</v>
      </c>
      <c r="B5905" s="633" t="s">
        <v>29920</v>
      </c>
      <c r="C5905" s="715" t="s">
        <v>165</v>
      </c>
      <c r="D5905" s="716">
        <v>12.74</v>
      </c>
    </row>
    <row r="5906" spans="1:4" ht="42">
      <c r="A5906" s="715">
        <v>89403</v>
      </c>
      <c r="B5906" s="633" t="s">
        <v>29918</v>
      </c>
      <c r="C5906" s="715" t="s">
        <v>165</v>
      </c>
      <c r="D5906" s="716">
        <v>24.94</v>
      </c>
    </row>
    <row r="5907" spans="1:4" ht="42">
      <c r="A5907" s="715">
        <v>89357</v>
      </c>
      <c r="B5907" s="633" t="s">
        <v>29915</v>
      </c>
      <c r="C5907" s="715" t="s">
        <v>165</v>
      </c>
      <c r="D5907" s="716">
        <v>44.4</v>
      </c>
    </row>
    <row r="5908" spans="1:4" ht="42">
      <c r="A5908" s="715">
        <v>89448</v>
      </c>
      <c r="B5908" s="633" t="s">
        <v>29921</v>
      </c>
      <c r="C5908" s="715" t="s">
        <v>165</v>
      </c>
      <c r="D5908" s="716">
        <v>19.38</v>
      </c>
    </row>
    <row r="5909" spans="1:4" ht="42">
      <c r="A5909" s="715">
        <v>103978</v>
      </c>
      <c r="B5909" s="633" t="s">
        <v>29934</v>
      </c>
      <c r="C5909" s="715" t="s">
        <v>165</v>
      </c>
      <c r="D5909" s="716">
        <v>33.75</v>
      </c>
    </row>
    <row r="5910" spans="1:4" ht="42">
      <c r="A5910" s="715">
        <v>89449</v>
      </c>
      <c r="B5910" s="633" t="s">
        <v>29922</v>
      </c>
      <c r="C5910" s="715" t="s">
        <v>165</v>
      </c>
      <c r="D5910" s="716">
        <v>21.49</v>
      </c>
    </row>
    <row r="5911" spans="1:4" ht="42">
      <c r="A5911" s="715">
        <v>103979</v>
      </c>
      <c r="B5911" s="633" t="s">
        <v>29935</v>
      </c>
      <c r="C5911" s="715" t="s">
        <v>165</v>
      </c>
      <c r="D5911" s="716">
        <v>38.630000000000003</v>
      </c>
    </row>
    <row r="5912" spans="1:4" ht="42">
      <c r="A5912" s="715">
        <v>89450</v>
      </c>
      <c r="B5912" s="633" t="s">
        <v>29923</v>
      </c>
      <c r="C5912" s="715" t="s">
        <v>165</v>
      </c>
      <c r="D5912" s="716">
        <v>34.17</v>
      </c>
    </row>
    <row r="5913" spans="1:4" ht="42">
      <c r="A5913" s="715">
        <v>89451</v>
      </c>
      <c r="B5913" s="633" t="s">
        <v>29924</v>
      </c>
      <c r="C5913" s="715" t="s">
        <v>165</v>
      </c>
      <c r="D5913" s="716">
        <v>55.4</v>
      </c>
    </row>
    <row r="5914" spans="1:4" ht="42">
      <c r="A5914" s="715">
        <v>89452</v>
      </c>
      <c r="B5914" s="633" t="s">
        <v>29925</v>
      </c>
      <c r="C5914" s="715" t="s">
        <v>165</v>
      </c>
      <c r="D5914" s="716">
        <v>76.099999999999994</v>
      </c>
    </row>
    <row r="5915" spans="1:4" ht="56">
      <c r="A5915" s="715">
        <v>89394</v>
      </c>
      <c r="B5915" s="633" t="s">
        <v>40540</v>
      </c>
      <c r="C5915" s="715" t="s">
        <v>103</v>
      </c>
      <c r="D5915" s="716">
        <v>23.58</v>
      </c>
    </row>
    <row r="5916" spans="1:4" ht="56">
      <c r="A5916" s="715">
        <v>89396</v>
      </c>
      <c r="B5916" s="633" t="s">
        <v>40541</v>
      </c>
      <c r="C5916" s="715" t="s">
        <v>103</v>
      </c>
      <c r="D5916" s="716">
        <v>25.8</v>
      </c>
    </row>
    <row r="5917" spans="1:4" ht="56">
      <c r="A5917" s="715">
        <v>90374</v>
      </c>
      <c r="B5917" s="633" t="s">
        <v>40542</v>
      </c>
      <c r="C5917" s="715" t="s">
        <v>103</v>
      </c>
      <c r="D5917" s="716">
        <v>28.01</v>
      </c>
    </row>
    <row r="5918" spans="1:4" ht="56">
      <c r="A5918" s="715">
        <v>89444</v>
      </c>
      <c r="B5918" s="633" t="s">
        <v>40543</v>
      </c>
      <c r="C5918" s="715" t="s">
        <v>103</v>
      </c>
      <c r="D5918" s="716">
        <v>30.19</v>
      </c>
    </row>
    <row r="5919" spans="1:4" ht="56">
      <c r="A5919" s="715">
        <v>89399</v>
      </c>
      <c r="B5919" s="633" t="s">
        <v>40544</v>
      </c>
      <c r="C5919" s="715" t="s">
        <v>103</v>
      </c>
      <c r="D5919" s="716">
        <v>31.1</v>
      </c>
    </row>
    <row r="5920" spans="1:4" ht="42">
      <c r="A5920" s="715">
        <v>89442</v>
      </c>
      <c r="B5920" s="633" t="s">
        <v>26041</v>
      </c>
      <c r="C5920" s="715" t="s">
        <v>103</v>
      </c>
      <c r="D5920" s="716">
        <v>18.12</v>
      </c>
    </row>
    <row r="5921" spans="1:4" ht="42">
      <c r="A5921" s="715">
        <v>89397</v>
      </c>
      <c r="B5921" s="633" t="s">
        <v>26013</v>
      </c>
      <c r="C5921" s="715" t="s">
        <v>103</v>
      </c>
      <c r="D5921" s="716">
        <v>19.59</v>
      </c>
    </row>
    <row r="5922" spans="1:4" ht="42">
      <c r="A5922" s="715">
        <v>89622</v>
      </c>
      <c r="B5922" s="633" t="s">
        <v>26135</v>
      </c>
      <c r="C5922" s="715" t="s">
        <v>103</v>
      </c>
      <c r="D5922" s="716">
        <v>17.170000000000002</v>
      </c>
    </row>
    <row r="5923" spans="1:4" ht="42">
      <c r="A5923" s="715">
        <v>89445</v>
      </c>
      <c r="B5923" s="633" t="s">
        <v>26043</v>
      </c>
      <c r="C5923" s="715" t="s">
        <v>103</v>
      </c>
      <c r="D5923" s="716">
        <v>24.13</v>
      </c>
    </row>
    <row r="5924" spans="1:4" ht="42">
      <c r="A5924" s="715">
        <v>89400</v>
      </c>
      <c r="B5924" s="633" t="s">
        <v>26015</v>
      </c>
      <c r="C5924" s="715" t="s">
        <v>103</v>
      </c>
      <c r="D5924" s="716">
        <v>25.85</v>
      </c>
    </row>
    <row r="5925" spans="1:4" ht="42">
      <c r="A5925" s="715">
        <v>89624</v>
      </c>
      <c r="B5925" s="633" t="s">
        <v>26137</v>
      </c>
      <c r="C5925" s="715" t="s">
        <v>103</v>
      </c>
      <c r="D5925" s="716">
        <v>21.69</v>
      </c>
    </row>
    <row r="5926" spans="1:4" ht="42">
      <c r="A5926" s="715">
        <v>104012</v>
      </c>
      <c r="B5926" s="633" t="s">
        <v>26564</v>
      </c>
      <c r="C5926" s="715" t="s">
        <v>103</v>
      </c>
      <c r="D5926" s="716">
        <v>29.7</v>
      </c>
    </row>
    <row r="5927" spans="1:4" ht="42">
      <c r="A5927" s="715">
        <v>89627</v>
      </c>
      <c r="B5927" s="633" t="s">
        <v>26140</v>
      </c>
      <c r="C5927" s="715" t="s">
        <v>103</v>
      </c>
      <c r="D5927" s="716">
        <v>24.1</v>
      </c>
    </row>
    <row r="5928" spans="1:4" ht="42">
      <c r="A5928" s="715">
        <v>104006</v>
      </c>
      <c r="B5928" s="633" t="s">
        <v>26559</v>
      </c>
      <c r="C5928" s="715" t="s">
        <v>103</v>
      </c>
      <c r="D5928" s="716">
        <v>31.48</v>
      </c>
    </row>
    <row r="5929" spans="1:4" ht="42">
      <c r="A5929" s="715">
        <v>89626</v>
      </c>
      <c r="B5929" s="633" t="s">
        <v>26139</v>
      </c>
      <c r="C5929" s="715" t="s">
        <v>103</v>
      </c>
      <c r="D5929" s="716">
        <v>35.56</v>
      </c>
    </row>
    <row r="5930" spans="1:4" ht="42">
      <c r="A5930" s="715">
        <v>104005</v>
      </c>
      <c r="B5930" s="633" t="s">
        <v>26558</v>
      </c>
      <c r="C5930" s="715" t="s">
        <v>103</v>
      </c>
      <c r="D5930" s="716">
        <v>44.91</v>
      </c>
    </row>
    <row r="5931" spans="1:4" ht="56">
      <c r="A5931" s="715">
        <v>89439</v>
      </c>
      <c r="B5931" s="633" t="s">
        <v>40545</v>
      </c>
      <c r="C5931" s="715" t="s">
        <v>103</v>
      </c>
      <c r="D5931" s="716">
        <v>15.48</v>
      </c>
    </row>
    <row r="5932" spans="1:4" ht="42">
      <c r="A5932" s="715">
        <v>89421</v>
      </c>
      <c r="B5932" s="633" t="s">
        <v>26031</v>
      </c>
      <c r="C5932" s="715" t="s">
        <v>103</v>
      </c>
      <c r="D5932" s="716">
        <v>14.19</v>
      </c>
    </row>
    <row r="5933" spans="1:4" ht="42">
      <c r="A5933" s="715">
        <v>89375</v>
      </c>
      <c r="B5933" s="633" t="s">
        <v>26003</v>
      </c>
      <c r="C5933" s="715" t="s">
        <v>103</v>
      </c>
      <c r="D5933" s="716">
        <v>14.89</v>
      </c>
    </row>
    <row r="5934" spans="1:4" ht="42">
      <c r="A5934" s="715">
        <v>89536</v>
      </c>
      <c r="B5934" s="633" t="s">
        <v>26085</v>
      </c>
      <c r="C5934" s="715" t="s">
        <v>103</v>
      </c>
      <c r="D5934" s="716">
        <v>13.75</v>
      </c>
    </row>
    <row r="5935" spans="1:4" ht="42">
      <c r="A5935" s="715">
        <v>89428</v>
      </c>
      <c r="B5935" s="633" t="s">
        <v>26035</v>
      </c>
      <c r="C5935" s="715" t="s">
        <v>103</v>
      </c>
      <c r="D5935" s="716">
        <v>16.98</v>
      </c>
    </row>
    <row r="5936" spans="1:4" ht="42">
      <c r="A5936" s="715">
        <v>89382</v>
      </c>
      <c r="B5936" s="633" t="s">
        <v>26008</v>
      </c>
      <c r="C5936" s="715" t="s">
        <v>103</v>
      </c>
      <c r="D5936" s="716">
        <v>17.78</v>
      </c>
    </row>
    <row r="5937" spans="1:4" ht="42">
      <c r="A5937" s="715">
        <v>89552</v>
      </c>
      <c r="B5937" s="633" t="s">
        <v>26095</v>
      </c>
      <c r="C5937" s="715" t="s">
        <v>103</v>
      </c>
      <c r="D5937" s="716">
        <v>21.27</v>
      </c>
    </row>
    <row r="5938" spans="1:4" ht="42">
      <c r="A5938" s="715">
        <v>89435</v>
      </c>
      <c r="B5938" s="633" t="s">
        <v>26038</v>
      </c>
      <c r="C5938" s="715" t="s">
        <v>103</v>
      </c>
      <c r="D5938" s="716">
        <v>25.01</v>
      </c>
    </row>
    <row r="5939" spans="1:4" ht="42">
      <c r="A5939" s="715">
        <v>89390</v>
      </c>
      <c r="B5939" s="633" t="s">
        <v>26010</v>
      </c>
      <c r="C5939" s="715" t="s">
        <v>103</v>
      </c>
      <c r="D5939" s="716">
        <v>25.95</v>
      </c>
    </row>
    <row r="5940" spans="1:4" ht="42">
      <c r="A5940" s="715">
        <v>89568</v>
      </c>
      <c r="B5940" s="633" t="s">
        <v>26107</v>
      </c>
      <c r="C5940" s="715" t="s">
        <v>103</v>
      </c>
      <c r="D5940" s="716">
        <v>37.03</v>
      </c>
    </row>
    <row r="5941" spans="1:4" ht="42">
      <c r="A5941" s="715">
        <v>103990</v>
      </c>
      <c r="B5941" s="633" t="s">
        <v>26551</v>
      </c>
      <c r="C5941" s="715" t="s">
        <v>103</v>
      </c>
      <c r="D5941" s="716">
        <v>41.4</v>
      </c>
    </row>
    <row r="5942" spans="1:4" ht="42">
      <c r="A5942" s="715">
        <v>89594</v>
      </c>
      <c r="B5942" s="633" t="s">
        <v>26123</v>
      </c>
      <c r="C5942" s="715" t="s">
        <v>103</v>
      </c>
      <c r="D5942" s="716">
        <v>41.01</v>
      </c>
    </row>
    <row r="5943" spans="1:4" ht="42">
      <c r="A5943" s="715">
        <v>103997</v>
      </c>
      <c r="B5943" s="633" t="s">
        <v>26555</v>
      </c>
      <c r="C5943" s="715" t="s">
        <v>103</v>
      </c>
      <c r="D5943" s="716">
        <v>46.08</v>
      </c>
    </row>
    <row r="5944" spans="1:4" ht="42">
      <c r="A5944" s="715">
        <v>89609</v>
      </c>
      <c r="B5944" s="633" t="s">
        <v>26128</v>
      </c>
      <c r="C5944" s="715" t="s">
        <v>103</v>
      </c>
      <c r="D5944" s="716">
        <v>94.84</v>
      </c>
    </row>
    <row r="5945" spans="1:4" ht="42">
      <c r="A5945" s="715">
        <v>89612</v>
      </c>
      <c r="B5945" s="633" t="s">
        <v>26130</v>
      </c>
      <c r="C5945" s="715" t="s">
        <v>103</v>
      </c>
      <c r="D5945" s="716">
        <v>185.45</v>
      </c>
    </row>
    <row r="5946" spans="1:4" ht="42">
      <c r="A5946" s="715">
        <v>89615</v>
      </c>
      <c r="B5946" s="633" t="s">
        <v>26132</v>
      </c>
      <c r="C5946" s="715" t="s">
        <v>103</v>
      </c>
      <c r="D5946" s="716">
        <v>218.82</v>
      </c>
    </row>
    <row r="5947" spans="1:4" ht="42">
      <c r="A5947" s="715">
        <v>89747</v>
      </c>
      <c r="B5947" s="633" t="s">
        <v>40546</v>
      </c>
      <c r="C5947" s="715" t="s">
        <v>103</v>
      </c>
      <c r="D5947" s="716">
        <v>32.270000000000003</v>
      </c>
    </row>
    <row r="5948" spans="1:4" ht="42">
      <c r="A5948" s="715">
        <v>89656</v>
      </c>
      <c r="B5948" s="633" t="s">
        <v>40547</v>
      </c>
      <c r="C5948" s="715" t="s">
        <v>103</v>
      </c>
      <c r="D5948" s="716">
        <v>24.75</v>
      </c>
    </row>
    <row r="5949" spans="1:4" ht="42">
      <c r="A5949" s="715">
        <v>89663</v>
      </c>
      <c r="B5949" s="633" t="s">
        <v>40548</v>
      </c>
      <c r="C5949" s="715" t="s">
        <v>103</v>
      </c>
      <c r="D5949" s="716">
        <v>32.99</v>
      </c>
    </row>
    <row r="5950" spans="1:4" ht="42">
      <c r="A5950" s="715">
        <v>89759</v>
      </c>
      <c r="B5950" s="633" t="s">
        <v>26196</v>
      </c>
      <c r="C5950" s="715" t="s">
        <v>103</v>
      </c>
      <c r="D5950" s="716">
        <v>13.64</v>
      </c>
    </row>
    <row r="5951" spans="1:4" ht="42">
      <c r="A5951" s="715">
        <v>89832</v>
      </c>
      <c r="B5951" s="633" t="s">
        <v>26240</v>
      </c>
      <c r="C5951" s="715" t="s">
        <v>103</v>
      </c>
      <c r="D5951" s="716">
        <v>44.92</v>
      </c>
    </row>
    <row r="5952" spans="1:4" ht="42">
      <c r="A5952" s="715">
        <v>89666</v>
      </c>
      <c r="B5952" s="633" t="s">
        <v>40549</v>
      </c>
      <c r="C5952" s="715" t="s">
        <v>103</v>
      </c>
      <c r="D5952" s="716">
        <v>9.27</v>
      </c>
    </row>
    <row r="5953" spans="1:4" ht="42">
      <c r="A5953" s="715">
        <v>89678</v>
      </c>
      <c r="B5953" s="633" t="s">
        <v>40550</v>
      </c>
      <c r="C5953" s="715" t="s">
        <v>103</v>
      </c>
      <c r="D5953" s="716">
        <v>14.43</v>
      </c>
    </row>
    <row r="5954" spans="1:4" ht="42">
      <c r="A5954" s="715">
        <v>89764</v>
      </c>
      <c r="B5954" s="633" t="s">
        <v>26200</v>
      </c>
      <c r="C5954" s="715" t="s">
        <v>103</v>
      </c>
      <c r="D5954" s="716">
        <v>40.47</v>
      </c>
    </row>
    <row r="5955" spans="1:4" ht="42">
      <c r="A5955" s="715">
        <v>89689</v>
      </c>
      <c r="B5955" s="633" t="s">
        <v>40551</v>
      </c>
      <c r="C5955" s="715" t="s">
        <v>103</v>
      </c>
      <c r="D5955" s="716">
        <v>41.38</v>
      </c>
    </row>
    <row r="5956" spans="1:4" ht="42">
      <c r="A5956" s="715">
        <v>89655</v>
      </c>
      <c r="B5956" s="633" t="s">
        <v>40552</v>
      </c>
      <c r="C5956" s="715" t="s">
        <v>103</v>
      </c>
      <c r="D5956" s="716">
        <v>26.46</v>
      </c>
    </row>
    <row r="5957" spans="1:4" ht="42">
      <c r="A5957" s="715">
        <v>89662</v>
      </c>
      <c r="B5957" s="633" t="s">
        <v>40553</v>
      </c>
      <c r="C5957" s="715" t="s">
        <v>103</v>
      </c>
      <c r="D5957" s="716">
        <v>33.99</v>
      </c>
    </row>
    <row r="5958" spans="1:4" ht="42">
      <c r="A5958" s="715">
        <v>89758</v>
      </c>
      <c r="B5958" s="633" t="s">
        <v>40554</v>
      </c>
      <c r="C5958" s="715" t="s">
        <v>103</v>
      </c>
      <c r="D5958" s="716">
        <v>39.979999999999997</v>
      </c>
    </row>
    <row r="5959" spans="1:4" ht="42">
      <c r="A5959" s="715">
        <v>89676</v>
      </c>
      <c r="B5959" s="633" t="s">
        <v>40555</v>
      </c>
      <c r="C5959" s="715" t="s">
        <v>103</v>
      </c>
      <c r="D5959" s="716">
        <v>40.39</v>
      </c>
    </row>
    <row r="5960" spans="1:4" ht="42">
      <c r="A5960" s="715">
        <v>89818</v>
      </c>
      <c r="B5960" s="633" t="s">
        <v>40556</v>
      </c>
      <c r="C5960" s="715" t="s">
        <v>103</v>
      </c>
      <c r="D5960" s="716">
        <v>56.21</v>
      </c>
    </row>
    <row r="5961" spans="1:4" ht="42">
      <c r="A5961" s="715">
        <v>89763</v>
      </c>
      <c r="B5961" s="633" t="s">
        <v>40557</v>
      </c>
      <c r="C5961" s="715" t="s">
        <v>103</v>
      </c>
      <c r="D5961" s="716">
        <v>60</v>
      </c>
    </row>
    <row r="5962" spans="1:4" ht="42">
      <c r="A5962" s="715">
        <v>89686</v>
      </c>
      <c r="B5962" s="633" t="s">
        <v>40558</v>
      </c>
      <c r="C5962" s="715" t="s">
        <v>103</v>
      </c>
      <c r="D5962" s="716">
        <v>60.97</v>
      </c>
    </row>
    <row r="5963" spans="1:4" ht="42">
      <c r="A5963" s="715">
        <v>104029</v>
      </c>
      <c r="B5963" s="633" t="s">
        <v>29242</v>
      </c>
      <c r="C5963" s="715" t="s">
        <v>103</v>
      </c>
      <c r="D5963" s="716">
        <v>72.05</v>
      </c>
    </row>
    <row r="5964" spans="1:4" ht="42">
      <c r="A5964" s="715">
        <v>89831</v>
      </c>
      <c r="B5964" s="633" t="s">
        <v>40559</v>
      </c>
      <c r="C5964" s="715" t="s">
        <v>103</v>
      </c>
      <c r="D5964" s="716">
        <v>67.92</v>
      </c>
    </row>
    <row r="5965" spans="1:4" ht="42">
      <c r="A5965" s="715">
        <v>89668</v>
      </c>
      <c r="B5965" s="633" t="s">
        <v>29074</v>
      </c>
      <c r="C5965" s="715" t="s">
        <v>103</v>
      </c>
      <c r="D5965" s="716">
        <v>32.18</v>
      </c>
    </row>
    <row r="5966" spans="1:4" ht="42">
      <c r="A5966" s="715">
        <v>89639</v>
      </c>
      <c r="B5966" s="633" t="s">
        <v>26148</v>
      </c>
      <c r="C5966" s="715" t="s">
        <v>103</v>
      </c>
      <c r="D5966" s="716">
        <v>14.93</v>
      </c>
    </row>
    <row r="5967" spans="1:4" ht="42">
      <c r="A5967" s="715">
        <v>89721</v>
      </c>
      <c r="B5967" s="633" t="s">
        <v>26176</v>
      </c>
      <c r="C5967" s="715" t="s">
        <v>103</v>
      </c>
      <c r="D5967" s="716">
        <v>19</v>
      </c>
    </row>
    <row r="5968" spans="1:4" ht="42">
      <c r="A5968" s="715">
        <v>89643</v>
      </c>
      <c r="B5968" s="633" t="s">
        <v>26151</v>
      </c>
      <c r="C5968" s="715" t="s">
        <v>103</v>
      </c>
      <c r="D5968" s="716">
        <v>20.079999999999998</v>
      </c>
    </row>
    <row r="5969" spans="1:4" ht="42">
      <c r="A5969" s="715">
        <v>89727</v>
      </c>
      <c r="B5969" s="633" t="s">
        <v>40560</v>
      </c>
      <c r="C5969" s="715" t="s">
        <v>103</v>
      </c>
      <c r="D5969" s="716">
        <v>28.05</v>
      </c>
    </row>
    <row r="5970" spans="1:4" ht="42">
      <c r="A5970" s="715">
        <v>89648</v>
      </c>
      <c r="B5970" s="633" t="s">
        <v>40561</v>
      </c>
      <c r="C5970" s="715" t="s">
        <v>103</v>
      </c>
      <c r="D5970" s="716">
        <v>29.31</v>
      </c>
    </row>
    <row r="5971" spans="1:4" ht="42">
      <c r="A5971" s="715">
        <v>89749</v>
      </c>
      <c r="B5971" s="633" t="s">
        <v>40562</v>
      </c>
      <c r="C5971" s="715" t="s">
        <v>103</v>
      </c>
      <c r="D5971" s="716">
        <v>18.87</v>
      </c>
    </row>
    <row r="5972" spans="1:4" ht="42">
      <c r="A5972" s="715">
        <v>89657</v>
      </c>
      <c r="B5972" s="633" t="s">
        <v>40563</v>
      </c>
      <c r="C5972" s="715" t="s">
        <v>103</v>
      </c>
      <c r="D5972" s="716">
        <v>15.88</v>
      </c>
    </row>
    <row r="5973" spans="1:4" ht="42">
      <c r="A5973" s="715">
        <v>89664</v>
      </c>
      <c r="B5973" s="633" t="s">
        <v>40564</v>
      </c>
      <c r="C5973" s="715" t="s">
        <v>103</v>
      </c>
      <c r="D5973" s="716">
        <v>19.59</v>
      </c>
    </row>
    <row r="5974" spans="1:4" ht="42">
      <c r="A5974" s="715">
        <v>89638</v>
      </c>
      <c r="B5974" s="633" t="s">
        <v>26147</v>
      </c>
      <c r="C5974" s="715" t="s">
        <v>103</v>
      </c>
      <c r="D5974" s="716">
        <v>14.26</v>
      </c>
    </row>
    <row r="5975" spans="1:4" ht="42">
      <c r="A5975" s="715">
        <v>89720</v>
      </c>
      <c r="B5975" s="633" t="s">
        <v>40565</v>
      </c>
      <c r="C5975" s="715" t="s">
        <v>103</v>
      </c>
      <c r="D5975" s="716">
        <v>17.670000000000002</v>
      </c>
    </row>
    <row r="5976" spans="1:4" ht="42">
      <c r="A5976" s="715">
        <v>89642</v>
      </c>
      <c r="B5976" s="633" t="s">
        <v>26150</v>
      </c>
      <c r="C5976" s="715" t="s">
        <v>103</v>
      </c>
      <c r="D5976" s="716">
        <v>18.75</v>
      </c>
    </row>
    <row r="5977" spans="1:4" ht="42">
      <c r="A5977" s="715">
        <v>89725</v>
      </c>
      <c r="B5977" s="633" t="s">
        <v>40566</v>
      </c>
      <c r="C5977" s="715" t="s">
        <v>103</v>
      </c>
      <c r="D5977" s="716">
        <v>22.84</v>
      </c>
    </row>
    <row r="5978" spans="1:4" ht="42">
      <c r="A5978" s="715">
        <v>89647</v>
      </c>
      <c r="B5978" s="633" t="s">
        <v>40567</v>
      </c>
      <c r="C5978" s="715" t="s">
        <v>103</v>
      </c>
      <c r="D5978" s="716">
        <v>24.1</v>
      </c>
    </row>
    <row r="5979" spans="1:4" ht="42">
      <c r="A5979" s="715">
        <v>89780</v>
      </c>
      <c r="B5979" s="633" t="s">
        <v>26209</v>
      </c>
      <c r="C5979" s="715" t="s">
        <v>103</v>
      </c>
      <c r="D5979" s="716">
        <v>26.42</v>
      </c>
    </row>
    <row r="5980" spans="1:4" ht="42">
      <c r="A5980" s="715">
        <v>89734</v>
      </c>
      <c r="B5980" s="633" t="s">
        <v>40568</v>
      </c>
      <c r="C5980" s="715" t="s">
        <v>103</v>
      </c>
      <c r="D5980" s="716">
        <v>32.299999999999997</v>
      </c>
    </row>
    <row r="5981" spans="1:4" ht="42">
      <c r="A5981" s="715">
        <v>89650</v>
      </c>
      <c r="B5981" s="633" t="s">
        <v>40569</v>
      </c>
      <c r="C5981" s="715" t="s">
        <v>103</v>
      </c>
      <c r="D5981" s="716">
        <v>33.79</v>
      </c>
    </row>
    <row r="5982" spans="1:4" ht="42">
      <c r="A5982" s="715">
        <v>89787</v>
      </c>
      <c r="B5982" s="633" t="s">
        <v>40570</v>
      </c>
      <c r="C5982" s="715" t="s">
        <v>103</v>
      </c>
      <c r="D5982" s="716">
        <v>39.08</v>
      </c>
    </row>
    <row r="5983" spans="1:4" ht="42">
      <c r="A5983" s="715">
        <v>104024</v>
      </c>
      <c r="B5983" s="633" t="s">
        <v>29238</v>
      </c>
      <c r="C5983" s="715" t="s">
        <v>103</v>
      </c>
      <c r="D5983" s="716">
        <v>45.67</v>
      </c>
    </row>
    <row r="5984" spans="1:4" ht="42">
      <c r="A5984" s="715">
        <v>89789</v>
      </c>
      <c r="B5984" s="633" t="s">
        <v>40571</v>
      </c>
      <c r="C5984" s="715" t="s">
        <v>103</v>
      </c>
      <c r="D5984" s="716">
        <v>71.86</v>
      </c>
    </row>
    <row r="5985" spans="1:4" ht="42">
      <c r="A5985" s="715">
        <v>89791</v>
      </c>
      <c r="B5985" s="633" t="s">
        <v>40572</v>
      </c>
      <c r="C5985" s="715" t="s">
        <v>103</v>
      </c>
      <c r="D5985" s="716">
        <v>161.69</v>
      </c>
    </row>
    <row r="5986" spans="1:4" ht="42">
      <c r="A5986" s="715">
        <v>89793</v>
      </c>
      <c r="B5986" s="633" t="s">
        <v>40573</v>
      </c>
      <c r="C5986" s="715" t="s">
        <v>103</v>
      </c>
      <c r="D5986" s="716">
        <v>232.28</v>
      </c>
    </row>
    <row r="5987" spans="1:4" ht="42">
      <c r="A5987" s="715">
        <v>89637</v>
      </c>
      <c r="B5987" s="633" t="s">
        <v>26146</v>
      </c>
      <c r="C5987" s="715" t="s">
        <v>103</v>
      </c>
      <c r="D5987" s="716">
        <v>13.31</v>
      </c>
    </row>
    <row r="5988" spans="1:4" ht="42">
      <c r="A5988" s="715">
        <v>89719</v>
      </c>
      <c r="B5988" s="633" t="s">
        <v>40574</v>
      </c>
      <c r="C5988" s="715" t="s">
        <v>103</v>
      </c>
      <c r="D5988" s="716">
        <v>16</v>
      </c>
    </row>
    <row r="5989" spans="1:4" ht="42">
      <c r="A5989" s="715">
        <v>89641</v>
      </c>
      <c r="B5989" s="633" t="s">
        <v>26149</v>
      </c>
      <c r="C5989" s="715" t="s">
        <v>103</v>
      </c>
      <c r="D5989" s="716">
        <v>17.079999999999998</v>
      </c>
    </row>
    <row r="5990" spans="1:4" ht="42">
      <c r="A5990" s="715">
        <v>89723</v>
      </c>
      <c r="B5990" s="633" t="s">
        <v>40575</v>
      </c>
      <c r="C5990" s="715" t="s">
        <v>103</v>
      </c>
      <c r="D5990" s="716">
        <v>23.53</v>
      </c>
    </row>
    <row r="5991" spans="1:4" ht="42">
      <c r="A5991" s="715">
        <v>89646</v>
      </c>
      <c r="B5991" s="633" t="s">
        <v>26152</v>
      </c>
      <c r="C5991" s="715" t="s">
        <v>103</v>
      </c>
      <c r="D5991" s="716">
        <v>24.79</v>
      </c>
    </row>
    <row r="5992" spans="1:4" ht="42">
      <c r="A5992" s="715">
        <v>89777</v>
      </c>
      <c r="B5992" s="633" t="s">
        <v>40576</v>
      </c>
      <c r="C5992" s="715" t="s">
        <v>103</v>
      </c>
      <c r="D5992" s="716">
        <v>28.13</v>
      </c>
    </row>
    <row r="5993" spans="1:4" ht="42">
      <c r="A5993" s="715">
        <v>89729</v>
      </c>
      <c r="B5993" s="633" t="s">
        <v>40577</v>
      </c>
      <c r="C5993" s="715" t="s">
        <v>103</v>
      </c>
      <c r="D5993" s="716">
        <v>34.01</v>
      </c>
    </row>
    <row r="5994" spans="1:4" ht="42">
      <c r="A5994" s="715">
        <v>89649</v>
      </c>
      <c r="B5994" s="633" t="s">
        <v>40578</v>
      </c>
      <c r="C5994" s="715" t="s">
        <v>103</v>
      </c>
      <c r="D5994" s="716">
        <v>35.5</v>
      </c>
    </row>
    <row r="5995" spans="1:4" ht="42">
      <c r="A5995" s="715">
        <v>89781</v>
      </c>
      <c r="B5995" s="633" t="s">
        <v>40579</v>
      </c>
      <c r="C5995" s="715" t="s">
        <v>103</v>
      </c>
      <c r="D5995" s="716">
        <v>39.5</v>
      </c>
    </row>
    <row r="5996" spans="1:4" ht="42">
      <c r="A5996" s="715">
        <v>104023</v>
      </c>
      <c r="B5996" s="633" t="s">
        <v>29237</v>
      </c>
      <c r="C5996" s="715" t="s">
        <v>103</v>
      </c>
      <c r="D5996" s="716">
        <v>46.09</v>
      </c>
    </row>
    <row r="5997" spans="1:4" ht="42">
      <c r="A5997" s="715">
        <v>89788</v>
      </c>
      <c r="B5997" s="633" t="s">
        <v>40580</v>
      </c>
      <c r="C5997" s="715" t="s">
        <v>103</v>
      </c>
      <c r="D5997" s="716">
        <v>84.32</v>
      </c>
    </row>
    <row r="5998" spans="1:4" ht="42">
      <c r="A5998" s="715">
        <v>89790</v>
      </c>
      <c r="B5998" s="633" t="s">
        <v>40581</v>
      </c>
      <c r="C5998" s="715" t="s">
        <v>103</v>
      </c>
      <c r="D5998" s="716">
        <v>167.33</v>
      </c>
    </row>
    <row r="5999" spans="1:4" ht="42">
      <c r="A5999" s="715">
        <v>89792</v>
      </c>
      <c r="B5999" s="633" t="s">
        <v>40582</v>
      </c>
      <c r="C5999" s="715" t="s">
        <v>103</v>
      </c>
      <c r="D5999" s="716">
        <v>197.21</v>
      </c>
    </row>
    <row r="6000" spans="1:4" ht="42">
      <c r="A6000" s="715">
        <v>89640</v>
      </c>
      <c r="B6000" s="633" t="s">
        <v>29070</v>
      </c>
      <c r="C6000" s="715" t="s">
        <v>103</v>
      </c>
      <c r="D6000" s="716">
        <v>22.15</v>
      </c>
    </row>
    <row r="6001" spans="1:4" ht="42">
      <c r="A6001" s="715">
        <v>89644</v>
      </c>
      <c r="B6001" s="633" t="s">
        <v>29071</v>
      </c>
      <c r="C6001" s="715" t="s">
        <v>103</v>
      </c>
      <c r="D6001" s="716">
        <v>26.8</v>
      </c>
    </row>
    <row r="6002" spans="1:4" ht="42">
      <c r="A6002" s="715">
        <v>89645</v>
      </c>
      <c r="B6002" s="633" t="s">
        <v>29072</v>
      </c>
      <c r="C6002" s="715" t="s">
        <v>103</v>
      </c>
      <c r="D6002" s="716">
        <v>36.6</v>
      </c>
    </row>
    <row r="6003" spans="1:4" ht="42">
      <c r="A6003" s="715">
        <v>89652</v>
      </c>
      <c r="B6003" s="633" t="s">
        <v>40583</v>
      </c>
      <c r="C6003" s="715" t="s">
        <v>103</v>
      </c>
      <c r="D6003" s="716">
        <v>14.18</v>
      </c>
    </row>
    <row r="6004" spans="1:4" ht="42">
      <c r="A6004" s="715">
        <v>89738</v>
      </c>
      <c r="B6004" s="633" t="s">
        <v>40584</v>
      </c>
      <c r="C6004" s="715" t="s">
        <v>103</v>
      </c>
      <c r="D6004" s="716">
        <v>18.940000000000001</v>
      </c>
    </row>
    <row r="6005" spans="1:4" ht="42">
      <c r="A6005" s="715">
        <v>89659</v>
      </c>
      <c r="B6005" s="633" t="s">
        <v>40585</v>
      </c>
      <c r="C6005" s="715" t="s">
        <v>103</v>
      </c>
      <c r="D6005" s="716">
        <v>19.66</v>
      </c>
    </row>
    <row r="6006" spans="1:4" ht="42">
      <c r="A6006" s="715">
        <v>89756</v>
      </c>
      <c r="B6006" s="633" t="s">
        <v>40586</v>
      </c>
      <c r="C6006" s="715" t="s">
        <v>103</v>
      </c>
      <c r="D6006" s="716">
        <v>25.86</v>
      </c>
    </row>
    <row r="6007" spans="1:4" ht="42">
      <c r="A6007" s="715">
        <v>89672</v>
      </c>
      <c r="B6007" s="633" t="s">
        <v>40587</v>
      </c>
      <c r="C6007" s="715" t="s">
        <v>103</v>
      </c>
      <c r="D6007" s="716">
        <v>26.7</v>
      </c>
    </row>
    <row r="6008" spans="1:4" ht="42">
      <c r="A6008" s="715">
        <v>89815</v>
      </c>
      <c r="B6008" s="633" t="s">
        <v>40588</v>
      </c>
      <c r="C6008" s="715" t="s">
        <v>103</v>
      </c>
      <c r="D6008" s="716">
        <v>30.32</v>
      </c>
    </row>
    <row r="6009" spans="1:4" ht="42">
      <c r="A6009" s="715">
        <v>89761</v>
      </c>
      <c r="B6009" s="633" t="s">
        <v>26198</v>
      </c>
      <c r="C6009" s="715" t="s">
        <v>103</v>
      </c>
      <c r="D6009" s="716">
        <v>34.21</v>
      </c>
    </row>
    <row r="6010" spans="1:4" ht="42">
      <c r="A6010" s="715">
        <v>89682</v>
      </c>
      <c r="B6010" s="633" t="s">
        <v>40589</v>
      </c>
      <c r="C6010" s="715" t="s">
        <v>103</v>
      </c>
      <c r="D6010" s="716">
        <v>35.200000000000003</v>
      </c>
    </row>
    <row r="6011" spans="1:4" ht="42">
      <c r="A6011" s="715">
        <v>89824</v>
      </c>
      <c r="B6011" s="633" t="s">
        <v>40590</v>
      </c>
      <c r="C6011" s="715" t="s">
        <v>103</v>
      </c>
      <c r="D6011" s="716">
        <v>41.07</v>
      </c>
    </row>
    <row r="6012" spans="1:4" ht="42">
      <c r="A6012" s="715">
        <v>104026</v>
      </c>
      <c r="B6012" s="633" t="s">
        <v>29240</v>
      </c>
      <c r="C6012" s="715" t="s">
        <v>103</v>
      </c>
      <c r="D6012" s="716">
        <v>45.47</v>
      </c>
    </row>
    <row r="6013" spans="1:4" ht="42">
      <c r="A6013" s="715">
        <v>89740</v>
      </c>
      <c r="B6013" s="633" t="s">
        <v>40591</v>
      </c>
      <c r="C6013" s="715" t="s">
        <v>103</v>
      </c>
      <c r="D6013" s="716">
        <v>11.18</v>
      </c>
    </row>
    <row r="6014" spans="1:4" ht="42">
      <c r="A6014" s="715">
        <v>89836</v>
      </c>
      <c r="B6014" s="633" t="s">
        <v>40592</v>
      </c>
      <c r="C6014" s="715" t="s">
        <v>103</v>
      </c>
      <c r="D6014" s="716">
        <v>208.4</v>
      </c>
    </row>
    <row r="6015" spans="1:4" ht="42">
      <c r="A6015" s="715">
        <v>89653</v>
      </c>
      <c r="B6015" s="633" t="s">
        <v>29073</v>
      </c>
      <c r="C6015" s="715" t="s">
        <v>103</v>
      </c>
      <c r="D6015" s="716">
        <v>19.559999999999999</v>
      </c>
    </row>
    <row r="6016" spans="1:4" ht="42">
      <c r="A6016" s="715">
        <v>89660</v>
      </c>
      <c r="B6016" s="633" t="s">
        <v>26154</v>
      </c>
      <c r="C6016" s="715" t="s">
        <v>103</v>
      </c>
      <c r="D6016" s="716">
        <v>11.93</v>
      </c>
    </row>
    <row r="6017" spans="1:4" ht="42">
      <c r="A6017" s="715">
        <v>104028</v>
      </c>
      <c r="B6017" s="633" t="s">
        <v>29241</v>
      </c>
      <c r="C6017" s="715" t="s">
        <v>103</v>
      </c>
      <c r="D6017" s="716">
        <v>136.82</v>
      </c>
    </row>
    <row r="6018" spans="1:4" ht="42">
      <c r="A6018" s="715">
        <v>89826</v>
      </c>
      <c r="B6018" s="633" t="s">
        <v>40593</v>
      </c>
      <c r="C6018" s="715" t="s">
        <v>103</v>
      </c>
      <c r="D6018" s="716">
        <v>132.69</v>
      </c>
    </row>
    <row r="6019" spans="1:4" ht="42">
      <c r="A6019" s="715">
        <v>89651</v>
      </c>
      <c r="B6019" s="633" t="s">
        <v>26153</v>
      </c>
      <c r="C6019" s="715" t="s">
        <v>103</v>
      </c>
      <c r="D6019" s="716">
        <v>8.8800000000000008</v>
      </c>
    </row>
    <row r="6020" spans="1:4" ht="42">
      <c r="A6020" s="715">
        <v>89736</v>
      </c>
      <c r="B6020" s="633" t="s">
        <v>40594</v>
      </c>
      <c r="C6020" s="715" t="s">
        <v>103</v>
      </c>
      <c r="D6020" s="716">
        <v>10.94</v>
      </c>
    </row>
    <row r="6021" spans="1:4" ht="42">
      <c r="A6021" s="715">
        <v>89658</v>
      </c>
      <c r="B6021" s="633" t="s">
        <v>40595</v>
      </c>
      <c r="C6021" s="715" t="s">
        <v>103</v>
      </c>
      <c r="D6021" s="716">
        <v>11.66</v>
      </c>
    </row>
    <row r="6022" spans="1:4" ht="42">
      <c r="A6022" s="715">
        <v>89755</v>
      </c>
      <c r="B6022" s="633" t="s">
        <v>40596</v>
      </c>
      <c r="C6022" s="715" t="s">
        <v>103</v>
      </c>
      <c r="D6022" s="716">
        <v>15.9</v>
      </c>
    </row>
    <row r="6023" spans="1:4" ht="42">
      <c r="A6023" s="715">
        <v>89670</v>
      </c>
      <c r="B6023" s="633" t="s">
        <v>40597</v>
      </c>
      <c r="C6023" s="715" t="s">
        <v>103</v>
      </c>
      <c r="D6023" s="716">
        <v>16.739999999999998</v>
      </c>
    </row>
    <row r="6024" spans="1:4" ht="42">
      <c r="A6024" s="715">
        <v>89794</v>
      </c>
      <c r="B6024" s="633" t="s">
        <v>40598</v>
      </c>
      <c r="C6024" s="715" t="s">
        <v>103</v>
      </c>
      <c r="D6024" s="716">
        <v>20.93</v>
      </c>
    </row>
    <row r="6025" spans="1:4" ht="42">
      <c r="A6025" s="715">
        <v>89760</v>
      </c>
      <c r="B6025" s="633" t="s">
        <v>26197</v>
      </c>
      <c r="C6025" s="715" t="s">
        <v>103</v>
      </c>
      <c r="D6025" s="716">
        <v>24.82</v>
      </c>
    </row>
    <row r="6026" spans="1:4" ht="42">
      <c r="A6026" s="715">
        <v>89680</v>
      </c>
      <c r="B6026" s="633" t="s">
        <v>40599</v>
      </c>
      <c r="C6026" s="715" t="s">
        <v>103</v>
      </c>
      <c r="D6026" s="716">
        <v>25.81</v>
      </c>
    </row>
    <row r="6027" spans="1:4" ht="42">
      <c r="A6027" s="715">
        <v>89822</v>
      </c>
      <c r="B6027" s="633" t="s">
        <v>40600</v>
      </c>
      <c r="C6027" s="715" t="s">
        <v>103</v>
      </c>
      <c r="D6027" s="716">
        <v>27.26</v>
      </c>
    </row>
    <row r="6028" spans="1:4" ht="42">
      <c r="A6028" s="715">
        <v>104025</v>
      </c>
      <c r="B6028" s="633" t="s">
        <v>29239</v>
      </c>
      <c r="C6028" s="715" t="s">
        <v>103</v>
      </c>
      <c r="D6028" s="716">
        <v>31.66</v>
      </c>
    </row>
    <row r="6029" spans="1:4" ht="42">
      <c r="A6029" s="715">
        <v>89835</v>
      </c>
      <c r="B6029" s="633" t="s">
        <v>40601</v>
      </c>
      <c r="C6029" s="715" t="s">
        <v>103</v>
      </c>
      <c r="D6029" s="716">
        <v>46.65</v>
      </c>
    </row>
    <row r="6030" spans="1:4" ht="42">
      <c r="A6030" s="715">
        <v>89838</v>
      </c>
      <c r="B6030" s="633" t="s">
        <v>40602</v>
      </c>
      <c r="C6030" s="715" t="s">
        <v>103</v>
      </c>
      <c r="D6030" s="716">
        <v>160.68</v>
      </c>
    </row>
    <row r="6031" spans="1:4" ht="42">
      <c r="A6031" s="715">
        <v>89840</v>
      </c>
      <c r="B6031" s="633" t="s">
        <v>40603</v>
      </c>
      <c r="C6031" s="715" t="s">
        <v>103</v>
      </c>
      <c r="D6031" s="716">
        <v>188.75</v>
      </c>
    </row>
    <row r="6032" spans="1:4" ht="42">
      <c r="A6032" s="715">
        <v>104015</v>
      </c>
      <c r="B6032" s="633" t="s">
        <v>26566</v>
      </c>
      <c r="C6032" s="715" t="s">
        <v>103</v>
      </c>
      <c r="D6032" s="716">
        <v>20.45</v>
      </c>
    </row>
    <row r="6033" spans="1:4" ht="42">
      <c r="A6033" s="715">
        <v>104018</v>
      </c>
      <c r="B6033" s="633" t="s">
        <v>28525</v>
      </c>
      <c r="C6033" s="715" t="s">
        <v>103</v>
      </c>
      <c r="D6033" s="716">
        <v>25.43</v>
      </c>
    </row>
    <row r="6034" spans="1:4" ht="42">
      <c r="A6034" s="715">
        <v>104016</v>
      </c>
      <c r="B6034" s="633" t="s">
        <v>26567</v>
      </c>
      <c r="C6034" s="715" t="s">
        <v>103</v>
      </c>
      <c r="D6034" s="716">
        <v>27</v>
      </c>
    </row>
    <row r="6035" spans="1:4" ht="42">
      <c r="A6035" s="715">
        <v>104019</v>
      </c>
      <c r="B6035" s="633" t="s">
        <v>26569</v>
      </c>
      <c r="C6035" s="715" t="s">
        <v>103</v>
      </c>
      <c r="D6035" s="716">
        <v>49.78</v>
      </c>
    </row>
    <row r="6036" spans="1:4" ht="42">
      <c r="A6036" s="715">
        <v>104017</v>
      </c>
      <c r="B6036" s="633" t="s">
        <v>26568</v>
      </c>
      <c r="C6036" s="715" t="s">
        <v>103</v>
      </c>
      <c r="D6036" s="716">
        <v>51.62</v>
      </c>
    </row>
    <row r="6037" spans="1:4" ht="42">
      <c r="A6037" s="715">
        <v>104020</v>
      </c>
      <c r="B6037" s="633" t="s">
        <v>26570</v>
      </c>
      <c r="C6037" s="715" t="s">
        <v>103</v>
      </c>
      <c r="D6037" s="716">
        <v>59.91</v>
      </c>
    </row>
    <row r="6038" spans="1:4" ht="42">
      <c r="A6038" s="715">
        <v>104030</v>
      </c>
      <c r="B6038" s="633" t="s">
        <v>26571</v>
      </c>
      <c r="C6038" s="715" t="s">
        <v>103</v>
      </c>
      <c r="D6038" s="716">
        <v>68.19</v>
      </c>
    </row>
    <row r="6039" spans="1:4" ht="42">
      <c r="A6039" s="715">
        <v>89694</v>
      </c>
      <c r="B6039" s="633" t="s">
        <v>40604</v>
      </c>
      <c r="C6039" s="715" t="s">
        <v>103</v>
      </c>
      <c r="D6039" s="716">
        <v>24</v>
      </c>
    </row>
    <row r="6040" spans="1:4" ht="42">
      <c r="A6040" s="715">
        <v>89700</v>
      </c>
      <c r="B6040" s="633" t="s">
        <v>40605</v>
      </c>
      <c r="C6040" s="715" t="s">
        <v>103</v>
      </c>
      <c r="D6040" s="716">
        <v>27.38</v>
      </c>
    </row>
    <row r="6041" spans="1:4" ht="42">
      <c r="A6041" s="715">
        <v>89703</v>
      </c>
      <c r="B6041" s="633" t="s">
        <v>29075</v>
      </c>
      <c r="C6041" s="715" t="s">
        <v>103</v>
      </c>
      <c r="D6041" s="716">
        <v>53.43</v>
      </c>
    </row>
    <row r="6042" spans="1:4" ht="42">
      <c r="A6042" s="715">
        <v>89691</v>
      </c>
      <c r="B6042" s="633" t="s">
        <v>26167</v>
      </c>
      <c r="C6042" s="715" t="s">
        <v>103</v>
      </c>
      <c r="D6042" s="716">
        <v>17.2</v>
      </c>
    </row>
    <row r="6043" spans="1:4" ht="42">
      <c r="A6043" s="715">
        <v>89765</v>
      </c>
      <c r="B6043" s="633" t="s">
        <v>26201</v>
      </c>
      <c r="C6043" s="715" t="s">
        <v>103</v>
      </c>
      <c r="D6043" s="716">
        <v>20.8</v>
      </c>
    </row>
    <row r="6044" spans="1:4" ht="42">
      <c r="A6044" s="715">
        <v>89697</v>
      </c>
      <c r="B6044" s="633" t="s">
        <v>26171</v>
      </c>
      <c r="C6044" s="715" t="s">
        <v>103</v>
      </c>
      <c r="D6044" s="716">
        <v>22.25</v>
      </c>
    </row>
    <row r="6045" spans="1:4" ht="42">
      <c r="A6045" s="715">
        <v>89844</v>
      </c>
      <c r="B6045" s="633" t="s">
        <v>40606</v>
      </c>
      <c r="C6045" s="715" t="s">
        <v>103</v>
      </c>
      <c r="D6045" s="716">
        <v>67.88</v>
      </c>
    </row>
    <row r="6046" spans="1:4" ht="42">
      <c r="A6046" s="715">
        <v>104022</v>
      </c>
      <c r="B6046" s="633" t="s">
        <v>40607</v>
      </c>
      <c r="C6046" s="715" t="s">
        <v>103</v>
      </c>
      <c r="D6046" s="716">
        <v>76.66</v>
      </c>
    </row>
    <row r="6047" spans="1:4" ht="42">
      <c r="A6047" s="715">
        <v>89633</v>
      </c>
      <c r="B6047" s="633" t="s">
        <v>25906</v>
      </c>
      <c r="C6047" s="715" t="s">
        <v>165</v>
      </c>
      <c r="D6047" s="716">
        <v>33.130000000000003</v>
      </c>
    </row>
    <row r="6048" spans="1:4" ht="42">
      <c r="A6048" s="715">
        <v>89716</v>
      </c>
      <c r="B6048" s="633" t="s">
        <v>25913</v>
      </c>
      <c r="C6048" s="715" t="s">
        <v>165</v>
      </c>
      <c r="D6048" s="716">
        <v>31.36</v>
      </c>
    </row>
    <row r="6049" spans="1:4" ht="42">
      <c r="A6049" s="715">
        <v>89634</v>
      </c>
      <c r="B6049" s="633" t="s">
        <v>25907</v>
      </c>
      <c r="C6049" s="715" t="s">
        <v>165</v>
      </c>
      <c r="D6049" s="716">
        <v>46.24</v>
      </c>
    </row>
    <row r="6050" spans="1:4" ht="42">
      <c r="A6050" s="715">
        <v>89717</v>
      </c>
      <c r="B6050" s="633" t="s">
        <v>25914</v>
      </c>
      <c r="C6050" s="715" t="s">
        <v>165</v>
      </c>
      <c r="D6050" s="716">
        <v>48.24</v>
      </c>
    </row>
    <row r="6051" spans="1:4" ht="42">
      <c r="A6051" s="715">
        <v>89635</v>
      </c>
      <c r="B6051" s="633" t="s">
        <v>25908</v>
      </c>
      <c r="C6051" s="715" t="s">
        <v>165</v>
      </c>
      <c r="D6051" s="716">
        <v>65.78</v>
      </c>
    </row>
    <row r="6052" spans="1:4" ht="42">
      <c r="A6052" s="715">
        <v>89770</v>
      </c>
      <c r="B6052" s="633" t="s">
        <v>40608</v>
      </c>
      <c r="C6052" s="715" t="s">
        <v>165</v>
      </c>
      <c r="D6052" s="716">
        <v>48.44</v>
      </c>
    </row>
    <row r="6053" spans="1:4" ht="42">
      <c r="A6053" s="715">
        <v>89718</v>
      </c>
      <c r="B6053" s="633" t="s">
        <v>40609</v>
      </c>
      <c r="C6053" s="715" t="s">
        <v>165</v>
      </c>
      <c r="D6053" s="716">
        <v>61.42</v>
      </c>
    </row>
    <row r="6054" spans="1:4" ht="42">
      <c r="A6054" s="715">
        <v>89636</v>
      </c>
      <c r="B6054" s="633" t="s">
        <v>40610</v>
      </c>
      <c r="C6054" s="715" t="s">
        <v>165</v>
      </c>
      <c r="D6054" s="716">
        <v>82.06</v>
      </c>
    </row>
    <row r="6055" spans="1:4" ht="42">
      <c r="A6055" s="715">
        <v>89771</v>
      </c>
      <c r="B6055" s="633" t="s">
        <v>40611</v>
      </c>
      <c r="C6055" s="715" t="s">
        <v>165</v>
      </c>
      <c r="D6055" s="716">
        <v>64.58</v>
      </c>
    </row>
    <row r="6056" spans="1:4" ht="42">
      <c r="A6056" s="715">
        <v>104021</v>
      </c>
      <c r="B6056" s="633" t="s">
        <v>25983</v>
      </c>
      <c r="C6056" s="715" t="s">
        <v>165</v>
      </c>
      <c r="D6056" s="716">
        <v>79.459999999999994</v>
      </c>
    </row>
    <row r="6057" spans="1:4" ht="42">
      <c r="A6057" s="715">
        <v>89772</v>
      </c>
      <c r="B6057" s="633" t="s">
        <v>40612</v>
      </c>
      <c r="C6057" s="715" t="s">
        <v>165</v>
      </c>
      <c r="D6057" s="716">
        <v>94.05</v>
      </c>
    </row>
    <row r="6058" spans="1:4" ht="42">
      <c r="A6058" s="715">
        <v>89773</v>
      </c>
      <c r="B6058" s="633" t="s">
        <v>40613</v>
      </c>
      <c r="C6058" s="715" t="s">
        <v>165</v>
      </c>
      <c r="D6058" s="716">
        <v>151.29</v>
      </c>
    </row>
    <row r="6059" spans="1:4" ht="42">
      <c r="A6059" s="715">
        <v>89775</v>
      </c>
      <c r="B6059" s="633" t="s">
        <v>40614</v>
      </c>
      <c r="C6059" s="715" t="s">
        <v>165</v>
      </c>
      <c r="D6059" s="716">
        <v>236.16</v>
      </c>
    </row>
    <row r="6060" spans="1:4" ht="42">
      <c r="A6060" s="715">
        <v>89767</v>
      </c>
      <c r="B6060" s="633" t="s">
        <v>26202</v>
      </c>
      <c r="C6060" s="715" t="s">
        <v>103</v>
      </c>
      <c r="D6060" s="716">
        <v>25.26</v>
      </c>
    </row>
    <row r="6061" spans="1:4" ht="42">
      <c r="A6061" s="715">
        <v>89695</v>
      </c>
      <c r="B6061" s="633" t="s">
        <v>40615</v>
      </c>
      <c r="C6061" s="715" t="s">
        <v>103</v>
      </c>
      <c r="D6061" s="716">
        <v>20.86</v>
      </c>
    </row>
    <row r="6062" spans="1:4" ht="42">
      <c r="A6062" s="715">
        <v>89702</v>
      </c>
      <c r="B6062" s="633" t="s">
        <v>40616</v>
      </c>
      <c r="C6062" s="715" t="s">
        <v>103</v>
      </c>
      <c r="D6062" s="716">
        <v>26.71</v>
      </c>
    </row>
    <row r="6063" spans="1:4" ht="42">
      <c r="A6063" s="715">
        <v>89768</v>
      </c>
      <c r="B6063" s="633" t="s">
        <v>26203</v>
      </c>
      <c r="C6063" s="715" t="s">
        <v>103</v>
      </c>
      <c r="D6063" s="716">
        <v>29.31</v>
      </c>
    </row>
    <row r="6064" spans="1:4" ht="42">
      <c r="A6064" s="715">
        <v>89842</v>
      </c>
      <c r="B6064" s="633" t="s">
        <v>40617</v>
      </c>
      <c r="C6064" s="715" t="s">
        <v>103</v>
      </c>
      <c r="D6064" s="716">
        <v>54.03</v>
      </c>
    </row>
    <row r="6065" spans="1:4" ht="42">
      <c r="A6065" s="715">
        <v>89845</v>
      </c>
      <c r="B6065" s="633" t="s">
        <v>40618</v>
      </c>
      <c r="C6065" s="715" t="s">
        <v>103</v>
      </c>
      <c r="D6065" s="716">
        <v>105.88</v>
      </c>
    </row>
    <row r="6066" spans="1:4" ht="42">
      <c r="A6066" s="715">
        <v>89846</v>
      </c>
      <c r="B6066" s="633" t="s">
        <v>40619</v>
      </c>
      <c r="C6066" s="715" t="s">
        <v>103</v>
      </c>
      <c r="D6066" s="716">
        <v>224.93</v>
      </c>
    </row>
    <row r="6067" spans="1:4" ht="42">
      <c r="A6067" s="715">
        <v>89847</v>
      </c>
      <c r="B6067" s="633" t="s">
        <v>40620</v>
      </c>
      <c r="C6067" s="715" t="s">
        <v>103</v>
      </c>
      <c r="D6067" s="716">
        <v>267.60000000000002</v>
      </c>
    </row>
    <row r="6068" spans="1:4" ht="42">
      <c r="A6068" s="715">
        <v>89705</v>
      </c>
      <c r="B6068" s="633" t="s">
        <v>40621</v>
      </c>
      <c r="C6068" s="715" t="s">
        <v>103</v>
      </c>
      <c r="D6068" s="716">
        <v>31</v>
      </c>
    </row>
    <row r="6069" spans="1:4" ht="42">
      <c r="A6069" s="715">
        <v>89769</v>
      </c>
      <c r="B6069" s="633" t="s">
        <v>26204</v>
      </c>
      <c r="C6069" s="715" t="s">
        <v>103</v>
      </c>
      <c r="D6069" s="716">
        <v>61.81</v>
      </c>
    </row>
    <row r="6070" spans="1:4" ht="42">
      <c r="A6070" s="715">
        <v>89706</v>
      </c>
      <c r="B6070" s="633" t="s">
        <v>40622</v>
      </c>
      <c r="C6070" s="715" t="s">
        <v>103</v>
      </c>
      <c r="D6070" s="716">
        <v>63.79</v>
      </c>
    </row>
    <row r="6071" spans="1:4" ht="42">
      <c r="A6071" s="715">
        <v>89741</v>
      </c>
      <c r="B6071" s="633" t="s">
        <v>40623</v>
      </c>
      <c r="C6071" s="715" t="s">
        <v>103</v>
      </c>
      <c r="D6071" s="716">
        <v>25.52</v>
      </c>
    </row>
    <row r="6072" spans="1:4" ht="42">
      <c r="A6072" s="715">
        <v>89757</v>
      </c>
      <c r="B6072" s="633" t="s">
        <v>40624</v>
      </c>
      <c r="C6072" s="715" t="s">
        <v>103</v>
      </c>
      <c r="D6072" s="716">
        <v>33.06</v>
      </c>
    </row>
    <row r="6073" spans="1:4" ht="42">
      <c r="A6073" s="715">
        <v>104027</v>
      </c>
      <c r="B6073" s="633" t="s">
        <v>40625</v>
      </c>
      <c r="C6073" s="715" t="s">
        <v>103</v>
      </c>
      <c r="D6073" s="716">
        <v>67.989999999999995</v>
      </c>
    </row>
    <row r="6074" spans="1:4" ht="42">
      <c r="A6074" s="715">
        <v>89837</v>
      </c>
      <c r="B6074" s="633" t="s">
        <v>40626</v>
      </c>
      <c r="C6074" s="715" t="s">
        <v>103</v>
      </c>
      <c r="D6074" s="716">
        <v>140.03</v>
      </c>
    </row>
    <row r="6075" spans="1:4" ht="42">
      <c r="A6075" s="715">
        <v>89839</v>
      </c>
      <c r="B6075" s="633" t="s">
        <v>40627</v>
      </c>
      <c r="C6075" s="715" t="s">
        <v>103</v>
      </c>
      <c r="D6075" s="716">
        <v>182.06</v>
      </c>
    </row>
    <row r="6076" spans="1:4" ht="42">
      <c r="A6076" s="715">
        <v>89841</v>
      </c>
      <c r="B6076" s="633" t="s">
        <v>40628</v>
      </c>
      <c r="C6076" s="715" t="s">
        <v>103</v>
      </c>
      <c r="D6076" s="716">
        <v>275.47000000000003</v>
      </c>
    </row>
    <row r="6077" spans="1:4" ht="42">
      <c r="A6077" s="715">
        <v>89654</v>
      </c>
      <c r="B6077" s="633" t="s">
        <v>40629</v>
      </c>
      <c r="C6077" s="715" t="s">
        <v>103</v>
      </c>
      <c r="D6077" s="716">
        <v>22.43</v>
      </c>
    </row>
    <row r="6078" spans="1:4" ht="42">
      <c r="A6078" s="715">
        <v>89661</v>
      </c>
      <c r="B6078" s="633" t="s">
        <v>40630</v>
      </c>
      <c r="C6078" s="715" t="s">
        <v>103</v>
      </c>
      <c r="D6078" s="716">
        <v>26.24</v>
      </c>
    </row>
    <row r="6079" spans="1:4" ht="42">
      <c r="A6079" s="715">
        <v>89674</v>
      </c>
      <c r="B6079" s="633" t="s">
        <v>40631</v>
      </c>
      <c r="C6079" s="715" t="s">
        <v>103</v>
      </c>
      <c r="D6079" s="716">
        <v>33.9</v>
      </c>
    </row>
    <row r="6080" spans="1:4" ht="42">
      <c r="A6080" s="715">
        <v>89816</v>
      </c>
      <c r="B6080" s="633" t="s">
        <v>40632</v>
      </c>
      <c r="C6080" s="715" t="s">
        <v>103</v>
      </c>
      <c r="D6080" s="716">
        <v>43.78</v>
      </c>
    </row>
    <row r="6081" spans="1:4" ht="42">
      <c r="A6081" s="715">
        <v>89762</v>
      </c>
      <c r="B6081" s="633" t="s">
        <v>26199</v>
      </c>
      <c r="C6081" s="715" t="s">
        <v>103</v>
      </c>
      <c r="D6081" s="716">
        <v>47.67</v>
      </c>
    </row>
    <row r="6082" spans="1:4" ht="42">
      <c r="A6082" s="715">
        <v>89684</v>
      </c>
      <c r="B6082" s="633" t="s">
        <v>40633</v>
      </c>
      <c r="C6082" s="715" t="s">
        <v>103</v>
      </c>
      <c r="D6082" s="716">
        <v>48.66</v>
      </c>
    </row>
    <row r="6083" spans="1:4" ht="42">
      <c r="A6083" s="715">
        <v>89828</v>
      </c>
      <c r="B6083" s="633" t="s">
        <v>40634</v>
      </c>
      <c r="C6083" s="715" t="s">
        <v>103</v>
      </c>
      <c r="D6083" s="716">
        <v>63.59</v>
      </c>
    </row>
    <row r="6084" spans="1:4" ht="56">
      <c r="A6084" s="715">
        <v>89546</v>
      </c>
      <c r="B6084" s="633" t="s">
        <v>26090</v>
      </c>
      <c r="C6084" s="715" t="s">
        <v>103</v>
      </c>
      <c r="D6084" s="716">
        <v>12.23</v>
      </c>
    </row>
    <row r="6085" spans="1:4" ht="42">
      <c r="A6085" s="715">
        <v>89482</v>
      </c>
      <c r="B6085" s="633" t="s">
        <v>26683</v>
      </c>
      <c r="C6085" s="715" t="s">
        <v>103</v>
      </c>
      <c r="D6085" s="716">
        <v>45.8</v>
      </c>
    </row>
    <row r="6086" spans="1:4" ht="42">
      <c r="A6086" s="715">
        <v>89491</v>
      </c>
      <c r="B6086" s="633" t="s">
        <v>26684</v>
      </c>
      <c r="C6086" s="715" t="s">
        <v>103</v>
      </c>
      <c r="D6086" s="716">
        <v>110.84</v>
      </c>
    </row>
    <row r="6087" spans="1:4" ht="42">
      <c r="A6087" s="715">
        <v>104178</v>
      </c>
      <c r="B6087" s="633" t="s">
        <v>26583</v>
      </c>
      <c r="C6087" s="715" t="s">
        <v>103</v>
      </c>
      <c r="D6087" s="716">
        <v>24.44</v>
      </c>
    </row>
    <row r="6088" spans="1:4" ht="42">
      <c r="A6088" s="715">
        <v>104179</v>
      </c>
      <c r="B6088" s="633" t="s">
        <v>26584</v>
      </c>
      <c r="C6088" s="715" t="s">
        <v>103</v>
      </c>
      <c r="D6088" s="716">
        <v>93.4</v>
      </c>
    </row>
    <row r="6089" spans="1:4" ht="56">
      <c r="A6089" s="715">
        <v>89587</v>
      </c>
      <c r="B6089" s="633" t="s">
        <v>26119</v>
      </c>
      <c r="C6089" s="715" t="s">
        <v>103</v>
      </c>
      <c r="D6089" s="716">
        <v>58.31</v>
      </c>
    </row>
    <row r="6090" spans="1:4" ht="56">
      <c r="A6090" s="715">
        <v>89535</v>
      </c>
      <c r="B6090" s="633" t="s">
        <v>26084</v>
      </c>
      <c r="C6090" s="715" t="s">
        <v>103</v>
      </c>
      <c r="D6090" s="716">
        <v>47.76</v>
      </c>
    </row>
    <row r="6091" spans="1:4" ht="56">
      <c r="A6091" s="715">
        <v>89592</v>
      </c>
      <c r="B6091" s="633" t="s">
        <v>26122</v>
      </c>
      <c r="C6091" s="715" t="s">
        <v>103</v>
      </c>
      <c r="D6091" s="716">
        <v>180.63</v>
      </c>
    </row>
    <row r="6092" spans="1:4" ht="56">
      <c r="A6092" s="715">
        <v>104169</v>
      </c>
      <c r="B6092" s="633" t="s">
        <v>26574</v>
      </c>
      <c r="C6092" s="715" t="s">
        <v>103</v>
      </c>
      <c r="D6092" s="716">
        <v>165.18</v>
      </c>
    </row>
    <row r="6093" spans="1:4" ht="56">
      <c r="A6093" s="715">
        <v>89583</v>
      </c>
      <c r="B6093" s="633" t="s">
        <v>26116</v>
      </c>
      <c r="C6093" s="715" t="s">
        <v>103</v>
      </c>
      <c r="D6093" s="716">
        <v>49.82</v>
      </c>
    </row>
    <row r="6094" spans="1:4" ht="56">
      <c r="A6094" s="715">
        <v>89526</v>
      </c>
      <c r="B6094" s="633" t="s">
        <v>26077</v>
      </c>
      <c r="C6094" s="715" t="s">
        <v>103</v>
      </c>
      <c r="D6094" s="716">
        <v>44.01</v>
      </c>
    </row>
    <row r="6095" spans="1:4" ht="56">
      <c r="A6095" s="715">
        <v>95695</v>
      </c>
      <c r="B6095" s="633" t="s">
        <v>26365</v>
      </c>
      <c r="C6095" s="715" t="s">
        <v>103</v>
      </c>
      <c r="D6095" s="716">
        <v>71.09</v>
      </c>
    </row>
    <row r="6096" spans="1:4" ht="42">
      <c r="A6096" s="715">
        <v>95694</v>
      </c>
      <c r="B6096" s="633" t="s">
        <v>26364</v>
      </c>
      <c r="C6096" s="715" t="s">
        <v>103</v>
      </c>
      <c r="D6096" s="716">
        <v>60.54</v>
      </c>
    </row>
    <row r="6097" spans="1:4" ht="56">
      <c r="A6097" s="715">
        <v>89585</v>
      </c>
      <c r="B6097" s="633" t="s">
        <v>26118</v>
      </c>
      <c r="C6097" s="715" t="s">
        <v>103</v>
      </c>
      <c r="D6097" s="716">
        <v>53.02</v>
      </c>
    </row>
    <row r="6098" spans="1:4" ht="42">
      <c r="A6098" s="715">
        <v>89531</v>
      </c>
      <c r="B6098" s="633" t="s">
        <v>26082</v>
      </c>
      <c r="C6098" s="715" t="s">
        <v>103</v>
      </c>
      <c r="D6098" s="716">
        <v>42.47</v>
      </c>
    </row>
    <row r="6099" spans="1:4" ht="56">
      <c r="A6099" s="715">
        <v>89591</v>
      </c>
      <c r="B6099" s="633" t="s">
        <v>26121</v>
      </c>
      <c r="C6099" s="715" t="s">
        <v>103</v>
      </c>
      <c r="D6099" s="716">
        <v>147.49</v>
      </c>
    </row>
    <row r="6100" spans="1:4" ht="42">
      <c r="A6100" s="715">
        <v>104168</v>
      </c>
      <c r="B6100" s="633" t="s">
        <v>26573</v>
      </c>
      <c r="C6100" s="715" t="s">
        <v>103</v>
      </c>
      <c r="D6100" s="716">
        <v>132.04</v>
      </c>
    </row>
    <row r="6101" spans="1:4" ht="42">
      <c r="A6101" s="715">
        <v>89516</v>
      </c>
      <c r="B6101" s="633" t="s">
        <v>26067</v>
      </c>
      <c r="C6101" s="715" t="s">
        <v>103</v>
      </c>
      <c r="D6101" s="716">
        <v>9.9</v>
      </c>
    </row>
    <row r="6102" spans="1:4" ht="42">
      <c r="A6102" s="715">
        <v>89520</v>
      </c>
      <c r="B6102" s="633" t="s">
        <v>26071</v>
      </c>
      <c r="C6102" s="715" t="s">
        <v>103</v>
      </c>
      <c r="D6102" s="716">
        <v>17.329999999999998</v>
      </c>
    </row>
    <row r="6103" spans="1:4" ht="56">
      <c r="A6103" s="715">
        <v>89582</v>
      </c>
      <c r="B6103" s="633" t="s">
        <v>26115</v>
      </c>
      <c r="C6103" s="715" t="s">
        <v>103</v>
      </c>
      <c r="D6103" s="716">
        <v>39.700000000000003</v>
      </c>
    </row>
    <row r="6104" spans="1:4" ht="42">
      <c r="A6104" s="715">
        <v>89524</v>
      </c>
      <c r="B6104" s="633" t="s">
        <v>26075</v>
      </c>
      <c r="C6104" s="715" t="s">
        <v>103</v>
      </c>
      <c r="D6104" s="716">
        <v>33.89</v>
      </c>
    </row>
    <row r="6105" spans="1:4" ht="56">
      <c r="A6105" s="715">
        <v>89584</v>
      </c>
      <c r="B6105" s="633" t="s">
        <v>26117</v>
      </c>
      <c r="C6105" s="715" t="s">
        <v>103</v>
      </c>
      <c r="D6105" s="716">
        <v>51.79</v>
      </c>
    </row>
    <row r="6106" spans="1:4" ht="42">
      <c r="A6106" s="715">
        <v>89529</v>
      </c>
      <c r="B6106" s="633" t="s">
        <v>26080</v>
      </c>
      <c r="C6106" s="715" t="s">
        <v>103</v>
      </c>
      <c r="D6106" s="716">
        <v>41.24</v>
      </c>
    </row>
    <row r="6107" spans="1:4" ht="56">
      <c r="A6107" s="715">
        <v>89590</v>
      </c>
      <c r="B6107" s="633" t="s">
        <v>26120</v>
      </c>
      <c r="C6107" s="715" t="s">
        <v>103</v>
      </c>
      <c r="D6107" s="716">
        <v>151.26</v>
      </c>
    </row>
    <row r="6108" spans="1:4" ht="42">
      <c r="A6108" s="715">
        <v>104167</v>
      </c>
      <c r="B6108" s="633" t="s">
        <v>26572</v>
      </c>
      <c r="C6108" s="715" t="s">
        <v>103</v>
      </c>
      <c r="D6108" s="716">
        <v>135.81</v>
      </c>
    </row>
    <row r="6109" spans="1:4" ht="42">
      <c r="A6109" s="715">
        <v>89514</v>
      </c>
      <c r="B6109" s="633" t="s">
        <v>26065</v>
      </c>
      <c r="C6109" s="715" t="s">
        <v>103</v>
      </c>
      <c r="D6109" s="716">
        <v>9.8000000000000007</v>
      </c>
    </row>
    <row r="6110" spans="1:4" ht="42">
      <c r="A6110" s="715">
        <v>89518</v>
      </c>
      <c r="B6110" s="633" t="s">
        <v>26069</v>
      </c>
      <c r="C6110" s="715" t="s">
        <v>103</v>
      </c>
      <c r="D6110" s="716">
        <v>16.46</v>
      </c>
    </row>
    <row r="6111" spans="1:4" ht="56">
      <c r="A6111" s="715">
        <v>89581</v>
      </c>
      <c r="B6111" s="633" t="s">
        <v>26114</v>
      </c>
      <c r="C6111" s="715" t="s">
        <v>103</v>
      </c>
      <c r="D6111" s="716">
        <v>39.15</v>
      </c>
    </row>
    <row r="6112" spans="1:4" ht="42">
      <c r="A6112" s="715">
        <v>89522</v>
      </c>
      <c r="B6112" s="633" t="s">
        <v>26073</v>
      </c>
      <c r="C6112" s="715" t="s">
        <v>103</v>
      </c>
      <c r="D6112" s="716">
        <v>33.340000000000003</v>
      </c>
    </row>
    <row r="6113" spans="1:4" ht="56">
      <c r="A6113" s="715">
        <v>89574</v>
      </c>
      <c r="B6113" s="633" t="s">
        <v>26111</v>
      </c>
      <c r="C6113" s="715" t="s">
        <v>103</v>
      </c>
      <c r="D6113" s="716">
        <v>176.8</v>
      </c>
    </row>
    <row r="6114" spans="1:4" ht="56">
      <c r="A6114" s="715">
        <v>89690</v>
      </c>
      <c r="B6114" s="633" t="s">
        <v>26166</v>
      </c>
      <c r="C6114" s="715" t="s">
        <v>103</v>
      </c>
      <c r="D6114" s="716">
        <v>104.48</v>
      </c>
    </row>
    <row r="6115" spans="1:4" ht="56">
      <c r="A6115" s="715">
        <v>89567</v>
      </c>
      <c r="B6115" s="633" t="s">
        <v>26106</v>
      </c>
      <c r="C6115" s="715" t="s">
        <v>103</v>
      </c>
      <c r="D6115" s="716">
        <v>90.43</v>
      </c>
    </row>
    <row r="6116" spans="1:4" ht="56">
      <c r="A6116" s="715">
        <v>89692</v>
      </c>
      <c r="B6116" s="633" t="s">
        <v>26168</v>
      </c>
      <c r="C6116" s="715" t="s">
        <v>103</v>
      </c>
      <c r="D6116" s="716">
        <v>118.33</v>
      </c>
    </row>
    <row r="6117" spans="1:4" ht="56">
      <c r="A6117" s="715">
        <v>89569</v>
      </c>
      <c r="B6117" s="633" t="s">
        <v>26108</v>
      </c>
      <c r="C6117" s="715" t="s">
        <v>103</v>
      </c>
      <c r="D6117" s="716">
        <v>106.38</v>
      </c>
    </row>
    <row r="6118" spans="1:4" ht="56">
      <c r="A6118" s="715">
        <v>89699</v>
      </c>
      <c r="B6118" s="633" t="s">
        <v>26173</v>
      </c>
      <c r="C6118" s="715" t="s">
        <v>103</v>
      </c>
      <c r="D6118" s="716">
        <v>228.64</v>
      </c>
    </row>
    <row r="6119" spans="1:4" ht="56">
      <c r="A6119" s="715">
        <v>104174</v>
      </c>
      <c r="B6119" s="633" t="s">
        <v>26579</v>
      </c>
      <c r="C6119" s="715" t="s">
        <v>103</v>
      </c>
      <c r="D6119" s="716">
        <v>212.38</v>
      </c>
    </row>
    <row r="6120" spans="1:4" ht="56">
      <c r="A6120" s="715">
        <v>89698</v>
      </c>
      <c r="B6120" s="633" t="s">
        <v>26172</v>
      </c>
      <c r="C6120" s="715" t="s">
        <v>103</v>
      </c>
      <c r="D6120" s="716">
        <v>301.91000000000003</v>
      </c>
    </row>
    <row r="6121" spans="1:4" ht="56">
      <c r="A6121" s="715">
        <v>104176</v>
      </c>
      <c r="B6121" s="633" t="s">
        <v>26581</v>
      </c>
      <c r="C6121" s="715" t="s">
        <v>103</v>
      </c>
      <c r="D6121" s="716">
        <v>281.31</v>
      </c>
    </row>
    <row r="6122" spans="1:4" ht="42">
      <c r="A6122" s="715">
        <v>89561</v>
      </c>
      <c r="B6122" s="633" t="s">
        <v>26101</v>
      </c>
      <c r="C6122" s="715" t="s">
        <v>103</v>
      </c>
      <c r="D6122" s="716">
        <v>17.34</v>
      </c>
    </row>
    <row r="6123" spans="1:4" ht="42">
      <c r="A6123" s="715">
        <v>89563</v>
      </c>
      <c r="B6123" s="633" t="s">
        <v>26103</v>
      </c>
      <c r="C6123" s="715" t="s">
        <v>103</v>
      </c>
      <c r="D6123" s="716">
        <v>38.4</v>
      </c>
    </row>
    <row r="6124" spans="1:4" ht="56">
      <c r="A6124" s="715">
        <v>89685</v>
      </c>
      <c r="B6124" s="633" t="s">
        <v>26164</v>
      </c>
      <c r="C6124" s="715" t="s">
        <v>103</v>
      </c>
      <c r="D6124" s="716">
        <v>70.680000000000007</v>
      </c>
    </row>
    <row r="6125" spans="1:4" ht="42">
      <c r="A6125" s="715">
        <v>89565</v>
      </c>
      <c r="B6125" s="633" t="s">
        <v>26104</v>
      </c>
      <c r="C6125" s="715" t="s">
        <v>103</v>
      </c>
      <c r="D6125" s="716">
        <v>62.91</v>
      </c>
    </row>
    <row r="6126" spans="1:4" ht="56">
      <c r="A6126" s="715">
        <v>89671</v>
      </c>
      <c r="B6126" s="633" t="s">
        <v>26157</v>
      </c>
      <c r="C6126" s="715" t="s">
        <v>103</v>
      </c>
      <c r="D6126" s="716">
        <v>51.24</v>
      </c>
    </row>
    <row r="6127" spans="1:4" ht="42">
      <c r="A6127" s="715">
        <v>89556</v>
      </c>
      <c r="B6127" s="633" t="s">
        <v>26097</v>
      </c>
      <c r="C6127" s="715" t="s">
        <v>103</v>
      </c>
      <c r="D6127" s="716">
        <v>44.21</v>
      </c>
    </row>
    <row r="6128" spans="1:4" ht="56">
      <c r="A6128" s="715">
        <v>89679</v>
      </c>
      <c r="B6128" s="633" t="s">
        <v>26161</v>
      </c>
      <c r="C6128" s="715" t="s">
        <v>103</v>
      </c>
      <c r="D6128" s="716">
        <v>137.09</v>
      </c>
    </row>
    <row r="6129" spans="1:4" ht="42">
      <c r="A6129" s="715">
        <v>104171</v>
      </c>
      <c r="B6129" s="633" t="s">
        <v>26576</v>
      </c>
      <c r="C6129" s="715" t="s">
        <v>103</v>
      </c>
      <c r="D6129" s="716">
        <v>111.15</v>
      </c>
    </row>
    <row r="6130" spans="1:4" ht="56">
      <c r="A6130" s="715">
        <v>89600</v>
      </c>
      <c r="B6130" s="633" t="s">
        <v>26126</v>
      </c>
      <c r="C6130" s="715" t="s">
        <v>103</v>
      </c>
      <c r="D6130" s="716">
        <v>28.83</v>
      </c>
    </row>
    <row r="6131" spans="1:4" ht="42">
      <c r="A6131" s="715">
        <v>89548</v>
      </c>
      <c r="B6131" s="633" t="s">
        <v>26092</v>
      </c>
      <c r="C6131" s="715" t="s">
        <v>103</v>
      </c>
      <c r="D6131" s="716">
        <v>24.94</v>
      </c>
    </row>
    <row r="6132" spans="1:4" ht="56">
      <c r="A6132" s="715">
        <v>89669</v>
      </c>
      <c r="B6132" s="633" t="s">
        <v>26156</v>
      </c>
      <c r="C6132" s="715" t="s">
        <v>103</v>
      </c>
      <c r="D6132" s="716">
        <v>37.99</v>
      </c>
    </row>
    <row r="6133" spans="1:4" ht="42">
      <c r="A6133" s="715">
        <v>89554</v>
      </c>
      <c r="B6133" s="633" t="s">
        <v>26096</v>
      </c>
      <c r="C6133" s="715" t="s">
        <v>103</v>
      </c>
      <c r="D6133" s="716">
        <v>30.92</v>
      </c>
    </row>
    <row r="6134" spans="1:4" ht="56">
      <c r="A6134" s="715">
        <v>89677</v>
      </c>
      <c r="B6134" s="633" t="s">
        <v>26160</v>
      </c>
      <c r="C6134" s="715" t="s">
        <v>103</v>
      </c>
      <c r="D6134" s="716">
        <v>87.33</v>
      </c>
    </row>
    <row r="6135" spans="1:4" ht="42">
      <c r="A6135" s="715">
        <v>104170</v>
      </c>
      <c r="B6135" s="633" t="s">
        <v>26575</v>
      </c>
      <c r="C6135" s="715" t="s">
        <v>103</v>
      </c>
      <c r="D6135" s="716">
        <v>76.81</v>
      </c>
    </row>
    <row r="6136" spans="1:4" ht="42">
      <c r="A6136" s="715">
        <v>89544</v>
      </c>
      <c r="B6136" s="633" t="s">
        <v>26088</v>
      </c>
      <c r="C6136" s="715" t="s">
        <v>103</v>
      </c>
      <c r="D6136" s="716">
        <v>9.83</v>
      </c>
    </row>
    <row r="6137" spans="1:4" ht="42">
      <c r="A6137" s="715">
        <v>89545</v>
      </c>
      <c r="B6137" s="633" t="s">
        <v>26089</v>
      </c>
      <c r="C6137" s="715" t="s">
        <v>103</v>
      </c>
      <c r="D6137" s="716">
        <v>18.71</v>
      </c>
    </row>
    <row r="6138" spans="1:4" ht="56">
      <c r="A6138" s="715">
        <v>89599</v>
      </c>
      <c r="B6138" s="633" t="s">
        <v>26125</v>
      </c>
      <c r="C6138" s="715" t="s">
        <v>103</v>
      </c>
      <c r="D6138" s="716">
        <v>28.5</v>
      </c>
    </row>
    <row r="6139" spans="1:4" ht="42">
      <c r="A6139" s="715">
        <v>89547</v>
      </c>
      <c r="B6139" s="633" t="s">
        <v>26091</v>
      </c>
      <c r="C6139" s="715" t="s">
        <v>103</v>
      </c>
      <c r="D6139" s="716">
        <v>24.6</v>
      </c>
    </row>
    <row r="6140" spans="1:4" ht="42">
      <c r="A6140" s="715">
        <v>89495</v>
      </c>
      <c r="B6140" s="633" t="s">
        <v>26685</v>
      </c>
      <c r="C6140" s="715" t="s">
        <v>103</v>
      </c>
      <c r="D6140" s="716">
        <v>21.69</v>
      </c>
    </row>
    <row r="6141" spans="1:4" ht="56">
      <c r="A6141" s="715">
        <v>89673</v>
      </c>
      <c r="B6141" s="633" t="s">
        <v>26158</v>
      </c>
      <c r="C6141" s="715" t="s">
        <v>103</v>
      </c>
      <c r="D6141" s="716">
        <v>40.4</v>
      </c>
    </row>
    <row r="6142" spans="1:4" ht="56">
      <c r="A6142" s="715">
        <v>89557</v>
      </c>
      <c r="B6142" s="633" t="s">
        <v>26098</v>
      </c>
      <c r="C6142" s="715" t="s">
        <v>103</v>
      </c>
      <c r="D6142" s="716">
        <v>34.94</v>
      </c>
    </row>
    <row r="6143" spans="1:4" ht="56">
      <c r="A6143" s="715">
        <v>89681</v>
      </c>
      <c r="B6143" s="633" t="s">
        <v>26162</v>
      </c>
      <c r="C6143" s="715" t="s">
        <v>103</v>
      </c>
      <c r="D6143" s="716">
        <v>100.88</v>
      </c>
    </row>
    <row r="6144" spans="1:4" ht="56">
      <c r="A6144" s="715">
        <v>104173</v>
      </c>
      <c r="B6144" s="633" t="s">
        <v>26578</v>
      </c>
      <c r="C6144" s="715" t="s">
        <v>103</v>
      </c>
      <c r="D6144" s="716">
        <v>93.83</v>
      </c>
    </row>
    <row r="6145" spans="1:4" ht="56">
      <c r="A6145" s="715">
        <v>89549</v>
      </c>
      <c r="B6145" s="633" t="s">
        <v>26093</v>
      </c>
      <c r="C6145" s="715" t="s">
        <v>103</v>
      </c>
      <c r="D6145" s="716">
        <v>20.5</v>
      </c>
    </row>
    <row r="6146" spans="1:4" ht="42">
      <c r="A6146" s="715">
        <v>89578</v>
      </c>
      <c r="B6146" s="633" t="s">
        <v>25904</v>
      </c>
      <c r="C6146" s="715" t="s">
        <v>165</v>
      </c>
      <c r="D6146" s="716">
        <v>40.56</v>
      </c>
    </row>
    <row r="6147" spans="1:4" ht="42">
      <c r="A6147" s="715">
        <v>89512</v>
      </c>
      <c r="B6147" s="633" t="s">
        <v>25902</v>
      </c>
      <c r="C6147" s="715" t="s">
        <v>165</v>
      </c>
      <c r="D6147" s="716">
        <v>64.41</v>
      </c>
    </row>
    <row r="6148" spans="1:4" ht="42">
      <c r="A6148" s="715">
        <v>89580</v>
      </c>
      <c r="B6148" s="633" t="s">
        <v>25905</v>
      </c>
      <c r="C6148" s="715" t="s">
        <v>165</v>
      </c>
      <c r="D6148" s="716">
        <v>83.52</v>
      </c>
    </row>
    <row r="6149" spans="1:4" ht="42">
      <c r="A6149" s="715">
        <v>104166</v>
      </c>
      <c r="B6149" s="633" t="s">
        <v>25984</v>
      </c>
      <c r="C6149" s="715" t="s">
        <v>165</v>
      </c>
      <c r="D6149" s="716">
        <v>92.34</v>
      </c>
    </row>
    <row r="6150" spans="1:4" ht="42">
      <c r="A6150" s="715">
        <v>89508</v>
      </c>
      <c r="B6150" s="633" t="s">
        <v>25899</v>
      </c>
      <c r="C6150" s="715" t="s">
        <v>165</v>
      </c>
      <c r="D6150" s="716">
        <v>22.18</v>
      </c>
    </row>
    <row r="6151" spans="1:4" ht="42">
      <c r="A6151" s="715">
        <v>89509</v>
      </c>
      <c r="B6151" s="633" t="s">
        <v>25900</v>
      </c>
      <c r="C6151" s="715" t="s">
        <v>165</v>
      </c>
      <c r="D6151" s="716">
        <v>29.84</v>
      </c>
    </row>
    <row r="6152" spans="1:4" ht="42">
      <c r="A6152" s="715">
        <v>89576</v>
      </c>
      <c r="B6152" s="633" t="s">
        <v>25903</v>
      </c>
      <c r="C6152" s="715" t="s">
        <v>165</v>
      </c>
      <c r="D6152" s="716">
        <v>32.5</v>
      </c>
    </row>
    <row r="6153" spans="1:4" ht="42">
      <c r="A6153" s="715">
        <v>89511</v>
      </c>
      <c r="B6153" s="633" t="s">
        <v>25901</v>
      </c>
      <c r="C6153" s="715" t="s">
        <v>165</v>
      </c>
      <c r="D6153" s="716">
        <v>50.45</v>
      </c>
    </row>
    <row r="6154" spans="1:4" ht="56">
      <c r="A6154" s="715">
        <v>89675</v>
      </c>
      <c r="B6154" s="633" t="s">
        <v>26159</v>
      </c>
      <c r="C6154" s="715" t="s">
        <v>103</v>
      </c>
      <c r="D6154" s="716">
        <v>82.57</v>
      </c>
    </row>
    <row r="6155" spans="1:4" ht="42">
      <c r="A6155" s="715">
        <v>89559</v>
      </c>
      <c r="B6155" s="633" t="s">
        <v>26100</v>
      </c>
      <c r="C6155" s="715" t="s">
        <v>103</v>
      </c>
      <c r="D6155" s="716">
        <v>75.540000000000006</v>
      </c>
    </row>
    <row r="6156" spans="1:4" ht="42">
      <c r="A6156" s="715">
        <v>104172</v>
      </c>
      <c r="B6156" s="633" t="s">
        <v>26577</v>
      </c>
      <c r="C6156" s="715" t="s">
        <v>103</v>
      </c>
      <c r="D6156" s="716">
        <v>312.66000000000003</v>
      </c>
    </row>
    <row r="6157" spans="1:4" ht="56">
      <c r="A6157" s="715">
        <v>89683</v>
      </c>
      <c r="B6157" s="633" t="s">
        <v>26163</v>
      </c>
      <c r="C6157" s="715" t="s">
        <v>103</v>
      </c>
      <c r="D6157" s="716">
        <v>322.97000000000003</v>
      </c>
    </row>
    <row r="6158" spans="1:4" ht="56">
      <c r="A6158" s="715">
        <v>89667</v>
      </c>
      <c r="B6158" s="633" t="s">
        <v>26155</v>
      </c>
      <c r="C6158" s="715" t="s">
        <v>103</v>
      </c>
      <c r="D6158" s="716">
        <v>50.03</v>
      </c>
    </row>
    <row r="6159" spans="1:4" ht="42">
      <c r="A6159" s="715">
        <v>89550</v>
      </c>
      <c r="B6159" s="633" t="s">
        <v>26094</v>
      </c>
      <c r="C6159" s="715" t="s">
        <v>103</v>
      </c>
      <c r="D6159" s="716">
        <v>46.14</v>
      </c>
    </row>
    <row r="6160" spans="1:4" ht="56">
      <c r="A6160" s="715">
        <v>89693</v>
      </c>
      <c r="B6160" s="633" t="s">
        <v>26169</v>
      </c>
      <c r="C6160" s="715" t="s">
        <v>103</v>
      </c>
      <c r="D6160" s="716">
        <v>91.97</v>
      </c>
    </row>
    <row r="6161" spans="1:4" ht="42">
      <c r="A6161" s="715">
        <v>89571</v>
      </c>
      <c r="B6161" s="633" t="s">
        <v>26109</v>
      </c>
      <c r="C6161" s="715" t="s">
        <v>103</v>
      </c>
      <c r="D6161" s="716">
        <v>77.92</v>
      </c>
    </row>
    <row r="6162" spans="1:4" ht="56">
      <c r="A6162" s="715">
        <v>89696</v>
      </c>
      <c r="B6162" s="633" t="s">
        <v>26170</v>
      </c>
      <c r="C6162" s="715" t="s">
        <v>103</v>
      </c>
      <c r="D6162" s="716">
        <v>98.07</v>
      </c>
    </row>
    <row r="6163" spans="1:4" ht="42">
      <c r="A6163" s="715">
        <v>89573</v>
      </c>
      <c r="B6163" s="633" t="s">
        <v>26110</v>
      </c>
      <c r="C6163" s="715" t="s">
        <v>103</v>
      </c>
      <c r="D6163" s="716">
        <v>86.12</v>
      </c>
    </row>
    <row r="6164" spans="1:4" ht="56">
      <c r="A6164" s="715">
        <v>89704</v>
      </c>
      <c r="B6164" s="633" t="s">
        <v>26175</v>
      </c>
      <c r="C6164" s="715" t="s">
        <v>103</v>
      </c>
      <c r="D6164" s="716">
        <v>172</v>
      </c>
    </row>
    <row r="6165" spans="1:4" ht="42">
      <c r="A6165" s="715">
        <v>104175</v>
      </c>
      <c r="B6165" s="633" t="s">
        <v>26580</v>
      </c>
      <c r="C6165" s="715" t="s">
        <v>103</v>
      </c>
      <c r="D6165" s="716">
        <v>155.74</v>
      </c>
    </row>
    <row r="6166" spans="1:4" ht="56">
      <c r="A6166" s="715">
        <v>89701</v>
      </c>
      <c r="B6166" s="633" t="s">
        <v>26174</v>
      </c>
      <c r="C6166" s="715" t="s">
        <v>103</v>
      </c>
      <c r="D6166" s="716">
        <v>221.56</v>
      </c>
    </row>
    <row r="6167" spans="1:4" ht="42">
      <c r="A6167" s="715">
        <v>104177</v>
      </c>
      <c r="B6167" s="633" t="s">
        <v>26582</v>
      </c>
      <c r="C6167" s="715" t="s">
        <v>103</v>
      </c>
      <c r="D6167" s="716">
        <v>200.96</v>
      </c>
    </row>
    <row r="6168" spans="1:4" ht="42">
      <c r="A6168" s="715">
        <v>89566</v>
      </c>
      <c r="B6168" s="633" t="s">
        <v>26105</v>
      </c>
      <c r="C6168" s="715" t="s">
        <v>103</v>
      </c>
      <c r="D6168" s="716">
        <v>52.97</v>
      </c>
    </row>
    <row r="6169" spans="1:4" ht="56">
      <c r="A6169" s="715">
        <v>89687</v>
      </c>
      <c r="B6169" s="633" t="s">
        <v>26165</v>
      </c>
      <c r="C6169" s="715" t="s">
        <v>103</v>
      </c>
      <c r="D6169" s="716">
        <v>60.74</v>
      </c>
    </row>
    <row r="6170" spans="1:4" ht="42">
      <c r="A6170" s="715">
        <v>102450</v>
      </c>
      <c r="B6170" s="633" t="s">
        <v>43030</v>
      </c>
      <c r="C6170" s="715" t="s">
        <v>509</v>
      </c>
      <c r="D6170" s="716">
        <v>0</v>
      </c>
    </row>
    <row r="6171" spans="1:4" ht="42">
      <c r="A6171" s="715">
        <v>102250</v>
      </c>
      <c r="B6171" s="633" t="s">
        <v>43031</v>
      </c>
      <c r="C6171" s="715" t="s">
        <v>509</v>
      </c>
      <c r="D6171" s="716">
        <v>0</v>
      </c>
    </row>
    <row r="6172" spans="1:4" ht="42">
      <c r="A6172" s="715">
        <v>102240</v>
      </c>
      <c r="B6172" s="633" t="s">
        <v>43032</v>
      </c>
      <c r="C6172" s="715" t="s">
        <v>509</v>
      </c>
      <c r="D6172" s="716">
        <v>0</v>
      </c>
    </row>
    <row r="6173" spans="1:4" ht="42">
      <c r="A6173" s="715">
        <v>102449</v>
      </c>
      <c r="B6173" s="633" t="s">
        <v>43033</v>
      </c>
      <c r="C6173" s="715" t="s">
        <v>509</v>
      </c>
      <c r="D6173" s="716">
        <v>0</v>
      </c>
    </row>
    <row r="6174" spans="1:4" ht="42">
      <c r="A6174" s="715">
        <v>102249</v>
      </c>
      <c r="B6174" s="633" t="s">
        <v>43034</v>
      </c>
      <c r="C6174" s="715" t="s">
        <v>509</v>
      </c>
      <c r="D6174" s="716">
        <v>0</v>
      </c>
    </row>
    <row r="6175" spans="1:4" ht="28">
      <c r="A6175" s="715">
        <v>102238</v>
      </c>
      <c r="B6175" s="633" t="s">
        <v>43035</v>
      </c>
      <c r="C6175" s="715" t="s">
        <v>509</v>
      </c>
      <c r="D6175" s="716">
        <v>0</v>
      </c>
    </row>
    <row r="6176" spans="1:4" ht="42">
      <c r="A6176" s="715">
        <v>102448</v>
      </c>
      <c r="B6176" s="633" t="s">
        <v>43036</v>
      </c>
      <c r="C6176" s="715" t="s">
        <v>509</v>
      </c>
      <c r="D6176" s="716">
        <v>0</v>
      </c>
    </row>
    <row r="6177" spans="1:4" ht="28">
      <c r="A6177" s="715">
        <v>102248</v>
      </c>
      <c r="B6177" s="633" t="s">
        <v>43037</v>
      </c>
      <c r="C6177" s="715" t="s">
        <v>509</v>
      </c>
      <c r="D6177" s="716">
        <v>0</v>
      </c>
    </row>
    <row r="6178" spans="1:4" ht="42">
      <c r="A6178" s="715">
        <v>102253</v>
      </c>
      <c r="B6178" s="633" t="s">
        <v>43038</v>
      </c>
      <c r="C6178" s="715" t="s">
        <v>509</v>
      </c>
      <c r="D6178" s="716">
        <v>975.75</v>
      </c>
    </row>
    <row r="6179" spans="1:4" ht="42">
      <c r="A6179" s="715">
        <v>102254</v>
      </c>
      <c r="B6179" s="633" t="s">
        <v>43039</v>
      </c>
      <c r="C6179" s="715" t="s">
        <v>509</v>
      </c>
      <c r="D6179" s="716">
        <v>1101.82</v>
      </c>
    </row>
    <row r="6180" spans="1:4" ht="42">
      <c r="A6180" s="715">
        <v>102257</v>
      </c>
      <c r="B6180" s="633" t="s">
        <v>43040</v>
      </c>
      <c r="C6180" s="715" t="s">
        <v>509</v>
      </c>
      <c r="D6180" s="716">
        <v>416.49</v>
      </c>
    </row>
    <row r="6181" spans="1:4" ht="28">
      <c r="A6181" s="715">
        <v>102239</v>
      </c>
      <c r="B6181" s="633" t="s">
        <v>43041</v>
      </c>
      <c r="C6181" s="715" t="s">
        <v>509</v>
      </c>
      <c r="D6181" s="716">
        <v>0</v>
      </c>
    </row>
    <row r="6182" spans="1:4" ht="28">
      <c r="A6182" s="715">
        <v>102236</v>
      </c>
      <c r="B6182" s="633" t="s">
        <v>43042</v>
      </c>
      <c r="C6182" s="715" t="s">
        <v>509</v>
      </c>
      <c r="D6182" s="716">
        <v>0</v>
      </c>
    </row>
    <row r="6183" spans="1:4" ht="28">
      <c r="A6183" s="715">
        <v>102235</v>
      </c>
      <c r="B6183" s="633" t="s">
        <v>43043</v>
      </c>
      <c r="C6183" s="715" t="s">
        <v>509</v>
      </c>
      <c r="D6183" s="716">
        <v>533.89</v>
      </c>
    </row>
    <row r="6184" spans="1:4" ht="42">
      <c r="A6184" s="715">
        <v>106164</v>
      </c>
      <c r="B6184" s="633" t="s">
        <v>43044</v>
      </c>
      <c r="C6184" s="715" t="s">
        <v>509</v>
      </c>
      <c r="D6184" s="716">
        <v>0</v>
      </c>
    </row>
    <row r="6185" spans="1:4" ht="42">
      <c r="A6185" s="715">
        <v>102260</v>
      </c>
      <c r="B6185" s="633" t="s">
        <v>43045</v>
      </c>
      <c r="C6185" s="715" t="s">
        <v>509</v>
      </c>
      <c r="D6185" s="716">
        <v>0</v>
      </c>
    </row>
    <row r="6186" spans="1:4" ht="42">
      <c r="A6186" s="715">
        <v>102259</v>
      </c>
      <c r="B6186" s="633" t="s">
        <v>43046</v>
      </c>
      <c r="C6186" s="715" t="s">
        <v>509</v>
      </c>
      <c r="D6186" s="716">
        <v>0</v>
      </c>
    </row>
    <row r="6187" spans="1:4" ht="42">
      <c r="A6187" s="715">
        <v>102262</v>
      </c>
      <c r="B6187" s="633" t="s">
        <v>43047</v>
      </c>
      <c r="C6187" s="715" t="s">
        <v>103</v>
      </c>
      <c r="D6187" s="716">
        <v>0</v>
      </c>
    </row>
    <row r="6188" spans="1:4" ht="56">
      <c r="A6188" s="715">
        <v>102242</v>
      </c>
      <c r="B6188" s="633" t="s">
        <v>43048</v>
      </c>
      <c r="C6188" s="715" t="s">
        <v>509</v>
      </c>
      <c r="D6188" s="716">
        <v>0</v>
      </c>
    </row>
    <row r="6189" spans="1:4" ht="28">
      <c r="A6189" s="715">
        <v>106165</v>
      </c>
      <c r="B6189" s="633" t="s">
        <v>43049</v>
      </c>
      <c r="C6189" s="715" t="s">
        <v>103</v>
      </c>
      <c r="D6189" s="716">
        <v>0</v>
      </c>
    </row>
    <row r="6190" spans="1:4" ht="56">
      <c r="A6190" s="715">
        <v>102246</v>
      </c>
      <c r="B6190" s="633" t="s">
        <v>43050</v>
      </c>
      <c r="C6190" s="715" t="s">
        <v>509</v>
      </c>
      <c r="D6190" s="716">
        <v>0</v>
      </c>
    </row>
    <row r="6191" spans="1:4" ht="42">
      <c r="A6191" s="715">
        <v>102252</v>
      </c>
      <c r="B6191" s="633" t="s">
        <v>43051</v>
      </c>
      <c r="C6191" s="715" t="s">
        <v>509</v>
      </c>
      <c r="D6191" s="716">
        <v>0</v>
      </c>
    </row>
    <row r="6192" spans="1:4" ht="70">
      <c r="A6192" s="715">
        <v>101912</v>
      </c>
      <c r="B6192" s="633" t="s">
        <v>43052</v>
      </c>
      <c r="C6192" s="715" t="s">
        <v>103</v>
      </c>
      <c r="D6192" s="716">
        <v>2006.22</v>
      </c>
    </row>
    <row r="6193" spans="1:4" ht="70">
      <c r="A6193" s="715">
        <v>96765</v>
      </c>
      <c r="B6193" s="633" t="s">
        <v>43053</v>
      </c>
      <c r="C6193" s="715" t="s">
        <v>103</v>
      </c>
      <c r="D6193" s="716">
        <v>2096.0500000000002</v>
      </c>
    </row>
    <row r="6194" spans="1:4" ht="42">
      <c r="A6194" s="715">
        <v>97430</v>
      </c>
      <c r="B6194" s="633" t="s">
        <v>43054</v>
      </c>
      <c r="C6194" s="715" t="s">
        <v>103</v>
      </c>
      <c r="D6194" s="716">
        <v>48.94</v>
      </c>
    </row>
    <row r="6195" spans="1:4" ht="42">
      <c r="A6195" s="715">
        <v>97431</v>
      </c>
      <c r="B6195" s="633" t="s">
        <v>43055</v>
      </c>
      <c r="C6195" s="715" t="s">
        <v>103</v>
      </c>
      <c r="D6195" s="716">
        <v>51.69</v>
      </c>
    </row>
    <row r="6196" spans="1:4" ht="42">
      <c r="A6196" s="715">
        <v>97432</v>
      </c>
      <c r="B6196" s="633" t="s">
        <v>43056</v>
      </c>
      <c r="C6196" s="715" t="s">
        <v>103</v>
      </c>
      <c r="D6196" s="716">
        <v>55.41</v>
      </c>
    </row>
    <row r="6197" spans="1:4" ht="28">
      <c r="A6197" s="715">
        <v>101913</v>
      </c>
      <c r="B6197" s="633" t="s">
        <v>43057</v>
      </c>
      <c r="C6197" s="715" t="s">
        <v>103</v>
      </c>
      <c r="D6197" s="716">
        <v>524.38</v>
      </c>
    </row>
    <row r="6198" spans="1:4" ht="28">
      <c r="A6198" s="715">
        <v>101914</v>
      </c>
      <c r="B6198" s="633" t="s">
        <v>43058</v>
      </c>
      <c r="C6198" s="715" t="s">
        <v>103</v>
      </c>
      <c r="D6198" s="716">
        <v>637.20000000000005</v>
      </c>
    </row>
    <row r="6199" spans="1:4" ht="56">
      <c r="A6199" s="715">
        <v>101915</v>
      </c>
      <c r="B6199" s="633" t="s">
        <v>43059</v>
      </c>
      <c r="C6199" s="715" t="s">
        <v>103</v>
      </c>
      <c r="D6199" s="716">
        <v>398.2</v>
      </c>
    </row>
    <row r="6200" spans="1:4" ht="42">
      <c r="A6200" s="715">
        <v>97433</v>
      </c>
      <c r="B6200" s="633" t="s">
        <v>43060</v>
      </c>
      <c r="C6200" s="715" t="s">
        <v>103</v>
      </c>
      <c r="D6200" s="716">
        <v>101.91</v>
      </c>
    </row>
    <row r="6201" spans="1:4" ht="42">
      <c r="A6201" s="715">
        <v>97435</v>
      </c>
      <c r="B6201" s="633" t="s">
        <v>43061</v>
      </c>
      <c r="C6201" s="715" t="s">
        <v>103</v>
      </c>
      <c r="D6201" s="716">
        <v>113.84</v>
      </c>
    </row>
    <row r="6202" spans="1:4" ht="42">
      <c r="A6202" s="715">
        <v>97437</v>
      </c>
      <c r="B6202" s="633" t="s">
        <v>43062</v>
      </c>
      <c r="C6202" s="715" t="s">
        <v>103</v>
      </c>
      <c r="D6202" s="716">
        <v>125.64</v>
      </c>
    </row>
    <row r="6203" spans="1:4" ht="42">
      <c r="A6203" s="715">
        <v>97546</v>
      </c>
      <c r="B6203" s="633" t="s">
        <v>43063</v>
      </c>
      <c r="C6203" s="715" t="s">
        <v>103</v>
      </c>
      <c r="D6203" s="716">
        <v>39.93</v>
      </c>
    </row>
    <row r="6204" spans="1:4" ht="42">
      <c r="A6204" s="715">
        <v>97548</v>
      </c>
      <c r="B6204" s="633" t="s">
        <v>43064</v>
      </c>
      <c r="C6204" s="715" t="s">
        <v>103</v>
      </c>
      <c r="D6204" s="716">
        <v>60.44</v>
      </c>
    </row>
    <row r="6205" spans="1:4" ht="42">
      <c r="A6205" s="715">
        <v>97550</v>
      </c>
      <c r="B6205" s="633" t="s">
        <v>43065</v>
      </c>
      <c r="C6205" s="715" t="s">
        <v>103</v>
      </c>
      <c r="D6205" s="716">
        <v>102.84</v>
      </c>
    </row>
    <row r="6206" spans="1:4" ht="56">
      <c r="A6206" s="715">
        <v>97479</v>
      </c>
      <c r="B6206" s="633" t="s">
        <v>43066</v>
      </c>
      <c r="C6206" s="715" t="s">
        <v>103</v>
      </c>
      <c r="D6206" s="716">
        <v>63.79</v>
      </c>
    </row>
    <row r="6207" spans="1:4" ht="56">
      <c r="A6207" s="715">
        <v>97517</v>
      </c>
      <c r="B6207" s="633" t="s">
        <v>43067</v>
      </c>
      <c r="C6207" s="715" t="s">
        <v>103</v>
      </c>
      <c r="D6207" s="716">
        <v>58.99</v>
      </c>
    </row>
    <row r="6208" spans="1:4" ht="56">
      <c r="A6208" s="715">
        <v>97481</v>
      </c>
      <c r="B6208" s="633" t="s">
        <v>43068</v>
      </c>
      <c r="C6208" s="715" t="s">
        <v>103</v>
      </c>
      <c r="D6208" s="716">
        <v>91.08</v>
      </c>
    </row>
    <row r="6209" spans="1:4" ht="56">
      <c r="A6209" s="715">
        <v>97519</v>
      </c>
      <c r="B6209" s="633" t="s">
        <v>43069</v>
      </c>
      <c r="C6209" s="715" t="s">
        <v>103</v>
      </c>
      <c r="D6209" s="716">
        <v>82.61</v>
      </c>
    </row>
    <row r="6210" spans="1:4" ht="56">
      <c r="A6210" s="715">
        <v>97483</v>
      </c>
      <c r="B6210" s="633" t="s">
        <v>43070</v>
      </c>
      <c r="C6210" s="715" t="s">
        <v>103</v>
      </c>
      <c r="D6210" s="716">
        <v>126.08</v>
      </c>
    </row>
    <row r="6211" spans="1:4" ht="56">
      <c r="A6211" s="715">
        <v>97521</v>
      </c>
      <c r="B6211" s="633" t="s">
        <v>43071</v>
      </c>
      <c r="C6211" s="715" t="s">
        <v>103</v>
      </c>
      <c r="D6211" s="716">
        <v>113.41</v>
      </c>
    </row>
    <row r="6212" spans="1:4" ht="42">
      <c r="A6212" s="715">
        <v>97452</v>
      </c>
      <c r="B6212" s="633" t="s">
        <v>43072</v>
      </c>
      <c r="C6212" s="715" t="s">
        <v>103</v>
      </c>
      <c r="D6212" s="716">
        <v>210.95</v>
      </c>
    </row>
    <row r="6213" spans="1:4" ht="56">
      <c r="A6213" s="715">
        <v>97485</v>
      </c>
      <c r="B6213" s="633" t="s">
        <v>43073</v>
      </c>
      <c r="C6213" s="715" t="s">
        <v>103</v>
      </c>
      <c r="D6213" s="716">
        <v>172.44</v>
      </c>
    </row>
    <row r="6214" spans="1:4" ht="56">
      <c r="A6214" s="715">
        <v>97523</v>
      </c>
      <c r="B6214" s="633" t="s">
        <v>43074</v>
      </c>
      <c r="C6214" s="715" t="s">
        <v>103</v>
      </c>
      <c r="D6214" s="716">
        <v>154.53</v>
      </c>
    </row>
    <row r="6215" spans="1:4" ht="42">
      <c r="A6215" s="715">
        <v>97454</v>
      </c>
      <c r="B6215" s="633" t="s">
        <v>43075</v>
      </c>
      <c r="C6215" s="715" t="s">
        <v>103</v>
      </c>
      <c r="D6215" s="716">
        <v>338.37</v>
      </c>
    </row>
    <row r="6216" spans="1:4" ht="56">
      <c r="A6216" s="715">
        <v>97487</v>
      </c>
      <c r="B6216" s="633" t="s">
        <v>43076</v>
      </c>
      <c r="C6216" s="715" t="s">
        <v>103</v>
      </c>
      <c r="D6216" s="716">
        <v>311.13</v>
      </c>
    </row>
    <row r="6217" spans="1:4" ht="56">
      <c r="A6217" s="715">
        <v>97525</v>
      </c>
      <c r="B6217" s="633" t="s">
        <v>43077</v>
      </c>
      <c r="C6217" s="715" t="s">
        <v>103</v>
      </c>
      <c r="D6217" s="716">
        <v>285.37</v>
      </c>
    </row>
    <row r="6218" spans="1:4" ht="42">
      <c r="A6218" s="715">
        <v>97456</v>
      </c>
      <c r="B6218" s="633" t="s">
        <v>43078</v>
      </c>
      <c r="C6218" s="715" t="s">
        <v>103</v>
      </c>
      <c r="D6218" s="716">
        <v>737.26</v>
      </c>
    </row>
    <row r="6219" spans="1:4" ht="56">
      <c r="A6219" s="715">
        <v>97489</v>
      </c>
      <c r="B6219" s="633" t="s">
        <v>43079</v>
      </c>
      <c r="C6219" s="715" t="s">
        <v>103</v>
      </c>
      <c r="D6219" s="716">
        <v>721.34</v>
      </c>
    </row>
    <row r="6220" spans="1:4" ht="56">
      <c r="A6220" s="715">
        <v>97527</v>
      </c>
      <c r="B6220" s="633" t="s">
        <v>43080</v>
      </c>
      <c r="C6220" s="715" t="s">
        <v>103</v>
      </c>
      <c r="D6220" s="716">
        <v>687.7</v>
      </c>
    </row>
    <row r="6221" spans="1:4" ht="42">
      <c r="A6221" s="715">
        <v>97434</v>
      </c>
      <c r="B6221" s="633" t="s">
        <v>43081</v>
      </c>
      <c r="C6221" s="715" t="s">
        <v>103</v>
      </c>
      <c r="D6221" s="716">
        <v>103.47</v>
      </c>
    </row>
    <row r="6222" spans="1:4" ht="42">
      <c r="A6222" s="715">
        <v>97436</v>
      </c>
      <c r="B6222" s="633" t="s">
        <v>43082</v>
      </c>
      <c r="C6222" s="715" t="s">
        <v>103</v>
      </c>
      <c r="D6222" s="716">
        <v>116.84</v>
      </c>
    </row>
    <row r="6223" spans="1:4" ht="42">
      <c r="A6223" s="715">
        <v>97438</v>
      </c>
      <c r="B6223" s="633" t="s">
        <v>43083</v>
      </c>
      <c r="C6223" s="715" t="s">
        <v>103</v>
      </c>
      <c r="D6223" s="716">
        <v>128.85</v>
      </c>
    </row>
    <row r="6224" spans="1:4" ht="42">
      <c r="A6224" s="715">
        <v>97547</v>
      </c>
      <c r="B6224" s="633" t="s">
        <v>43084</v>
      </c>
      <c r="C6224" s="715" t="s">
        <v>103</v>
      </c>
      <c r="D6224" s="716">
        <v>39.93</v>
      </c>
    </row>
    <row r="6225" spans="1:4" ht="42">
      <c r="A6225" s="715">
        <v>97549</v>
      </c>
      <c r="B6225" s="633" t="s">
        <v>43085</v>
      </c>
      <c r="C6225" s="715" t="s">
        <v>103</v>
      </c>
      <c r="D6225" s="716">
        <v>60.44</v>
      </c>
    </row>
    <row r="6226" spans="1:4" ht="42">
      <c r="A6226" s="715">
        <v>97551</v>
      </c>
      <c r="B6226" s="633" t="s">
        <v>43086</v>
      </c>
      <c r="C6226" s="715" t="s">
        <v>103</v>
      </c>
      <c r="D6226" s="716">
        <v>102.84</v>
      </c>
    </row>
    <row r="6227" spans="1:4" ht="56">
      <c r="A6227" s="715">
        <v>97480</v>
      </c>
      <c r="B6227" s="633" t="s">
        <v>43087</v>
      </c>
      <c r="C6227" s="715" t="s">
        <v>103</v>
      </c>
      <c r="D6227" s="716">
        <v>63.79</v>
      </c>
    </row>
    <row r="6228" spans="1:4" ht="56">
      <c r="A6228" s="715">
        <v>97518</v>
      </c>
      <c r="B6228" s="633" t="s">
        <v>43088</v>
      </c>
      <c r="C6228" s="715" t="s">
        <v>103</v>
      </c>
      <c r="D6228" s="716">
        <v>58.99</v>
      </c>
    </row>
    <row r="6229" spans="1:4" ht="56">
      <c r="A6229" s="715">
        <v>97482</v>
      </c>
      <c r="B6229" s="633" t="s">
        <v>43089</v>
      </c>
      <c r="C6229" s="715" t="s">
        <v>103</v>
      </c>
      <c r="D6229" s="716">
        <v>91.08</v>
      </c>
    </row>
    <row r="6230" spans="1:4" ht="56">
      <c r="A6230" s="715">
        <v>97520</v>
      </c>
      <c r="B6230" s="633" t="s">
        <v>43090</v>
      </c>
      <c r="C6230" s="715" t="s">
        <v>103</v>
      </c>
      <c r="D6230" s="716">
        <v>82.61</v>
      </c>
    </row>
    <row r="6231" spans="1:4" ht="56">
      <c r="A6231" s="715">
        <v>97484</v>
      </c>
      <c r="B6231" s="633" t="s">
        <v>43091</v>
      </c>
      <c r="C6231" s="715" t="s">
        <v>103</v>
      </c>
      <c r="D6231" s="716">
        <v>126.08</v>
      </c>
    </row>
    <row r="6232" spans="1:4" ht="56">
      <c r="A6232" s="715">
        <v>97522</v>
      </c>
      <c r="B6232" s="633" t="s">
        <v>43092</v>
      </c>
      <c r="C6232" s="715" t="s">
        <v>103</v>
      </c>
      <c r="D6232" s="716">
        <v>113.41</v>
      </c>
    </row>
    <row r="6233" spans="1:4" ht="42">
      <c r="A6233" s="715">
        <v>97453</v>
      </c>
      <c r="B6233" s="633" t="s">
        <v>43093</v>
      </c>
      <c r="C6233" s="715" t="s">
        <v>103</v>
      </c>
      <c r="D6233" s="716">
        <v>222.46</v>
      </c>
    </row>
    <row r="6234" spans="1:4" ht="56">
      <c r="A6234" s="715">
        <v>97486</v>
      </c>
      <c r="B6234" s="633" t="s">
        <v>43094</v>
      </c>
      <c r="C6234" s="715" t="s">
        <v>103</v>
      </c>
      <c r="D6234" s="716">
        <v>183.95</v>
      </c>
    </row>
    <row r="6235" spans="1:4" ht="56">
      <c r="A6235" s="715">
        <v>97524</v>
      </c>
      <c r="B6235" s="633" t="s">
        <v>43095</v>
      </c>
      <c r="C6235" s="715" t="s">
        <v>103</v>
      </c>
      <c r="D6235" s="716">
        <v>166.04</v>
      </c>
    </row>
    <row r="6236" spans="1:4" ht="42">
      <c r="A6236" s="715">
        <v>97455</v>
      </c>
      <c r="B6236" s="633" t="s">
        <v>43096</v>
      </c>
      <c r="C6236" s="715" t="s">
        <v>103</v>
      </c>
      <c r="D6236" s="716">
        <v>356.78</v>
      </c>
    </row>
    <row r="6237" spans="1:4" ht="56">
      <c r="A6237" s="715">
        <v>97488</v>
      </c>
      <c r="B6237" s="633" t="s">
        <v>43097</v>
      </c>
      <c r="C6237" s="715" t="s">
        <v>103</v>
      </c>
      <c r="D6237" s="716">
        <v>329.54</v>
      </c>
    </row>
    <row r="6238" spans="1:4" ht="56">
      <c r="A6238" s="715">
        <v>97526</v>
      </c>
      <c r="B6238" s="633" t="s">
        <v>43098</v>
      </c>
      <c r="C6238" s="715" t="s">
        <v>103</v>
      </c>
      <c r="D6238" s="716">
        <v>303.77999999999997</v>
      </c>
    </row>
    <row r="6239" spans="1:4" ht="42">
      <c r="A6239" s="715">
        <v>97457</v>
      </c>
      <c r="B6239" s="633" t="s">
        <v>43099</v>
      </c>
      <c r="C6239" s="715" t="s">
        <v>103</v>
      </c>
      <c r="D6239" s="716">
        <v>654.67999999999995</v>
      </c>
    </row>
    <row r="6240" spans="1:4" ht="56">
      <c r="A6240" s="715">
        <v>97490</v>
      </c>
      <c r="B6240" s="633" t="s">
        <v>43100</v>
      </c>
      <c r="C6240" s="715" t="s">
        <v>103</v>
      </c>
      <c r="D6240" s="716">
        <v>638.76</v>
      </c>
    </row>
    <row r="6241" spans="1:4" ht="56">
      <c r="A6241" s="715">
        <v>97528</v>
      </c>
      <c r="B6241" s="633" t="s">
        <v>43101</v>
      </c>
      <c r="C6241" s="715" t="s">
        <v>103</v>
      </c>
      <c r="D6241" s="716">
        <v>605.12</v>
      </c>
    </row>
    <row r="6242" spans="1:4" ht="42">
      <c r="A6242" s="715">
        <v>101906</v>
      </c>
      <c r="B6242" s="633" t="s">
        <v>43102</v>
      </c>
      <c r="C6242" s="715" t="s">
        <v>103</v>
      </c>
      <c r="D6242" s="716">
        <v>669.62</v>
      </c>
    </row>
    <row r="6243" spans="1:4" ht="42">
      <c r="A6243" s="715">
        <v>101907</v>
      </c>
      <c r="B6243" s="633" t="s">
        <v>43103</v>
      </c>
      <c r="C6243" s="715" t="s">
        <v>103</v>
      </c>
      <c r="D6243" s="716">
        <v>722.7</v>
      </c>
    </row>
    <row r="6244" spans="1:4" ht="42">
      <c r="A6244" s="715">
        <v>101911</v>
      </c>
      <c r="B6244" s="633" t="s">
        <v>43104</v>
      </c>
      <c r="C6244" s="715" t="s">
        <v>103</v>
      </c>
      <c r="D6244" s="716">
        <v>351.16</v>
      </c>
    </row>
    <row r="6245" spans="1:4" ht="42">
      <c r="A6245" s="715">
        <v>101908</v>
      </c>
      <c r="B6245" s="633" t="s">
        <v>43105</v>
      </c>
      <c r="C6245" s="715" t="s">
        <v>103</v>
      </c>
      <c r="D6245" s="716">
        <v>227.31</v>
      </c>
    </row>
    <row r="6246" spans="1:4" ht="42">
      <c r="A6246" s="715">
        <v>101909</v>
      </c>
      <c r="B6246" s="633" t="s">
        <v>43106</v>
      </c>
      <c r="C6246" s="715" t="s">
        <v>103</v>
      </c>
      <c r="D6246" s="716">
        <v>262.7</v>
      </c>
    </row>
    <row r="6247" spans="1:4" ht="42">
      <c r="A6247" s="715">
        <v>101910</v>
      </c>
      <c r="B6247" s="633" t="s">
        <v>43107</v>
      </c>
      <c r="C6247" s="715" t="s">
        <v>103</v>
      </c>
      <c r="D6247" s="716">
        <v>306.93</v>
      </c>
    </row>
    <row r="6248" spans="1:4" ht="42">
      <c r="A6248" s="715">
        <v>101905</v>
      </c>
      <c r="B6248" s="633" t="s">
        <v>43108</v>
      </c>
      <c r="C6248" s="715" t="s">
        <v>103</v>
      </c>
      <c r="D6248" s="716">
        <v>233.95</v>
      </c>
    </row>
    <row r="6249" spans="1:4" ht="56">
      <c r="A6249" s="715">
        <v>92698</v>
      </c>
      <c r="B6249" s="633" t="s">
        <v>43109</v>
      </c>
      <c r="C6249" s="715" t="s">
        <v>103</v>
      </c>
      <c r="D6249" s="716">
        <v>26.72</v>
      </c>
    </row>
    <row r="6250" spans="1:4" ht="56">
      <c r="A6250" s="715">
        <v>92700</v>
      </c>
      <c r="B6250" s="633" t="s">
        <v>43110</v>
      </c>
      <c r="C6250" s="715" t="s">
        <v>103</v>
      </c>
      <c r="D6250" s="716">
        <v>43.86</v>
      </c>
    </row>
    <row r="6251" spans="1:4" ht="56">
      <c r="A6251" s="715">
        <v>92702</v>
      </c>
      <c r="B6251" s="633" t="s">
        <v>43111</v>
      </c>
      <c r="C6251" s="715" t="s">
        <v>103</v>
      </c>
      <c r="D6251" s="716">
        <v>69.06</v>
      </c>
    </row>
    <row r="6252" spans="1:4" ht="56">
      <c r="A6252" s="715">
        <v>92669</v>
      </c>
      <c r="B6252" s="633" t="s">
        <v>43112</v>
      </c>
      <c r="C6252" s="715" t="s">
        <v>103</v>
      </c>
      <c r="D6252" s="716">
        <v>50.05</v>
      </c>
    </row>
    <row r="6253" spans="1:4" ht="56">
      <c r="A6253" s="715">
        <v>92671</v>
      </c>
      <c r="B6253" s="633" t="s">
        <v>43113</v>
      </c>
      <c r="C6253" s="715" t="s">
        <v>103</v>
      </c>
      <c r="D6253" s="716">
        <v>65.010000000000005</v>
      </c>
    </row>
    <row r="6254" spans="1:4" ht="56">
      <c r="A6254" s="715">
        <v>92673</v>
      </c>
      <c r="B6254" s="633" t="s">
        <v>43114</v>
      </c>
      <c r="C6254" s="715" t="s">
        <v>103</v>
      </c>
      <c r="D6254" s="716">
        <v>75.48</v>
      </c>
    </row>
    <row r="6255" spans="1:4" ht="56">
      <c r="A6255" s="715">
        <v>92675</v>
      </c>
      <c r="B6255" s="633" t="s">
        <v>43115</v>
      </c>
      <c r="C6255" s="715" t="s">
        <v>103</v>
      </c>
      <c r="D6255" s="716">
        <v>97.03</v>
      </c>
    </row>
    <row r="6256" spans="1:4" ht="56">
      <c r="A6256" s="715">
        <v>92677</v>
      </c>
      <c r="B6256" s="633" t="s">
        <v>43116</v>
      </c>
      <c r="C6256" s="715" t="s">
        <v>103</v>
      </c>
      <c r="D6256" s="716">
        <v>154.6</v>
      </c>
    </row>
    <row r="6257" spans="1:4" ht="56">
      <c r="A6257" s="715">
        <v>92635</v>
      </c>
      <c r="B6257" s="633" t="s">
        <v>43117</v>
      </c>
      <c r="C6257" s="715" t="s">
        <v>103</v>
      </c>
      <c r="D6257" s="716">
        <v>244.84</v>
      </c>
    </row>
    <row r="6258" spans="1:4" ht="56">
      <c r="A6258" s="715">
        <v>92679</v>
      </c>
      <c r="B6258" s="633" t="s">
        <v>43118</v>
      </c>
      <c r="C6258" s="715" t="s">
        <v>103</v>
      </c>
      <c r="D6258" s="716">
        <v>209.95</v>
      </c>
    </row>
    <row r="6259" spans="1:4" ht="56">
      <c r="A6259" s="715">
        <v>92381</v>
      </c>
      <c r="B6259" s="633" t="s">
        <v>43119</v>
      </c>
      <c r="C6259" s="715" t="s">
        <v>103</v>
      </c>
      <c r="D6259" s="716">
        <v>66.87</v>
      </c>
    </row>
    <row r="6260" spans="1:4" ht="56">
      <c r="A6260" s="715">
        <v>92383</v>
      </c>
      <c r="B6260" s="633" t="s">
        <v>43120</v>
      </c>
      <c r="C6260" s="715" t="s">
        <v>103</v>
      </c>
      <c r="D6260" s="716">
        <v>84.11</v>
      </c>
    </row>
    <row r="6261" spans="1:4" ht="56">
      <c r="A6261" s="715">
        <v>92385</v>
      </c>
      <c r="B6261" s="633" t="s">
        <v>43121</v>
      </c>
      <c r="C6261" s="715" t="s">
        <v>103</v>
      </c>
      <c r="D6261" s="716">
        <v>97.22</v>
      </c>
    </row>
    <row r="6262" spans="1:4" ht="56">
      <c r="A6262" s="715">
        <v>92350</v>
      </c>
      <c r="B6262" s="633" t="s">
        <v>43122</v>
      </c>
      <c r="C6262" s="715" t="s">
        <v>103</v>
      </c>
      <c r="D6262" s="716">
        <v>128.94</v>
      </c>
    </row>
    <row r="6263" spans="1:4" ht="56">
      <c r="A6263" s="715">
        <v>92387</v>
      </c>
      <c r="B6263" s="633" t="s">
        <v>43123</v>
      </c>
      <c r="C6263" s="715" t="s">
        <v>103</v>
      </c>
      <c r="D6263" s="716">
        <v>122.06</v>
      </c>
    </row>
    <row r="6264" spans="1:4" ht="56">
      <c r="A6264" s="715">
        <v>92352</v>
      </c>
      <c r="B6264" s="633" t="s">
        <v>43124</v>
      </c>
      <c r="C6264" s="715" t="s">
        <v>103</v>
      </c>
      <c r="D6264" s="716">
        <v>184.69</v>
      </c>
    </row>
    <row r="6265" spans="1:4" ht="56">
      <c r="A6265" s="715">
        <v>92389</v>
      </c>
      <c r="B6265" s="633" t="s">
        <v>43125</v>
      </c>
      <c r="C6265" s="715" t="s">
        <v>103</v>
      </c>
      <c r="D6265" s="716">
        <v>184.56</v>
      </c>
    </row>
    <row r="6266" spans="1:4" ht="56">
      <c r="A6266" s="715">
        <v>92354</v>
      </c>
      <c r="B6266" s="633" t="s">
        <v>43126</v>
      </c>
      <c r="C6266" s="715" t="s">
        <v>103</v>
      </c>
      <c r="D6266" s="716">
        <v>238.23</v>
      </c>
    </row>
    <row r="6267" spans="1:4" ht="56">
      <c r="A6267" s="715">
        <v>92699</v>
      </c>
      <c r="B6267" s="633" t="s">
        <v>43127</v>
      </c>
      <c r="C6267" s="715" t="s">
        <v>103</v>
      </c>
      <c r="D6267" s="716">
        <v>25.33</v>
      </c>
    </row>
    <row r="6268" spans="1:4" ht="56">
      <c r="A6268" s="715">
        <v>92701</v>
      </c>
      <c r="B6268" s="633" t="s">
        <v>43128</v>
      </c>
      <c r="C6268" s="715" t="s">
        <v>103</v>
      </c>
      <c r="D6268" s="716">
        <v>41.78</v>
      </c>
    </row>
    <row r="6269" spans="1:4" ht="56">
      <c r="A6269" s="715">
        <v>92703</v>
      </c>
      <c r="B6269" s="633" t="s">
        <v>43129</v>
      </c>
      <c r="C6269" s="715" t="s">
        <v>103</v>
      </c>
      <c r="D6269" s="716">
        <v>66.510000000000005</v>
      </c>
    </row>
    <row r="6270" spans="1:4" ht="56">
      <c r="A6270" s="715">
        <v>92670</v>
      </c>
      <c r="B6270" s="633" t="s">
        <v>43130</v>
      </c>
      <c r="C6270" s="715" t="s">
        <v>103</v>
      </c>
      <c r="D6270" s="716">
        <v>47.5</v>
      </c>
    </row>
    <row r="6271" spans="1:4" ht="56">
      <c r="A6271" s="715">
        <v>92672</v>
      </c>
      <c r="B6271" s="633" t="s">
        <v>43131</v>
      </c>
      <c r="C6271" s="715" t="s">
        <v>103</v>
      </c>
      <c r="D6271" s="716">
        <v>59.92</v>
      </c>
    </row>
    <row r="6272" spans="1:4" ht="56">
      <c r="A6272" s="715">
        <v>92674</v>
      </c>
      <c r="B6272" s="633" t="s">
        <v>43132</v>
      </c>
      <c r="C6272" s="715" t="s">
        <v>103</v>
      </c>
      <c r="D6272" s="716">
        <v>71.98</v>
      </c>
    </row>
    <row r="6273" spans="1:4" ht="56">
      <c r="A6273" s="715">
        <v>92676</v>
      </c>
      <c r="B6273" s="633" t="s">
        <v>43133</v>
      </c>
      <c r="C6273" s="715" t="s">
        <v>103</v>
      </c>
      <c r="D6273" s="716">
        <v>94.65</v>
      </c>
    </row>
    <row r="6274" spans="1:4" ht="56">
      <c r="A6274" s="715">
        <v>92678</v>
      </c>
      <c r="B6274" s="633" t="s">
        <v>43134</v>
      </c>
      <c r="C6274" s="715" t="s">
        <v>103</v>
      </c>
      <c r="D6274" s="716">
        <v>144.11000000000001</v>
      </c>
    </row>
    <row r="6275" spans="1:4" ht="56">
      <c r="A6275" s="715">
        <v>92636</v>
      </c>
      <c r="B6275" s="633" t="s">
        <v>43135</v>
      </c>
      <c r="C6275" s="715" t="s">
        <v>103</v>
      </c>
      <c r="D6275" s="716">
        <v>224.64</v>
      </c>
    </row>
    <row r="6276" spans="1:4" ht="56">
      <c r="A6276" s="715">
        <v>92680</v>
      </c>
      <c r="B6276" s="633" t="s">
        <v>43136</v>
      </c>
      <c r="C6276" s="715" t="s">
        <v>103</v>
      </c>
      <c r="D6276" s="716">
        <v>189.75</v>
      </c>
    </row>
    <row r="6277" spans="1:4" ht="56">
      <c r="A6277" s="715">
        <v>92382</v>
      </c>
      <c r="B6277" s="633" t="s">
        <v>43137</v>
      </c>
      <c r="C6277" s="715" t="s">
        <v>103</v>
      </c>
      <c r="D6277" s="716">
        <v>64.319999999999993</v>
      </c>
    </row>
    <row r="6278" spans="1:4" ht="56">
      <c r="A6278" s="715">
        <v>92384</v>
      </c>
      <c r="B6278" s="633" t="s">
        <v>43138</v>
      </c>
      <c r="C6278" s="715" t="s">
        <v>103</v>
      </c>
      <c r="D6278" s="716">
        <v>79.02</v>
      </c>
    </row>
    <row r="6279" spans="1:4" ht="56">
      <c r="A6279" s="715">
        <v>92386</v>
      </c>
      <c r="B6279" s="633" t="s">
        <v>43139</v>
      </c>
      <c r="C6279" s="715" t="s">
        <v>103</v>
      </c>
      <c r="D6279" s="716">
        <v>93.72</v>
      </c>
    </row>
    <row r="6280" spans="1:4" ht="56">
      <c r="A6280" s="715">
        <v>92351</v>
      </c>
      <c r="B6280" s="633" t="s">
        <v>43140</v>
      </c>
      <c r="C6280" s="715" t="s">
        <v>103</v>
      </c>
      <c r="D6280" s="716">
        <v>126.56</v>
      </c>
    </row>
    <row r="6281" spans="1:4" ht="56">
      <c r="A6281" s="715">
        <v>92388</v>
      </c>
      <c r="B6281" s="633" t="s">
        <v>43141</v>
      </c>
      <c r="C6281" s="715" t="s">
        <v>103</v>
      </c>
      <c r="D6281" s="716">
        <v>119.68</v>
      </c>
    </row>
    <row r="6282" spans="1:4" ht="56">
      <c r="A6282" s="715">
        <v>92353</v>
      </c>
      <c r="B6282" s="633" t="s">
        <v>43142</v>
      </c>
      <c r="C6282" s="715" t="s">
        <v>103</v>
      </c>
      <c r="D6282" s="716">
        <v>174.2</v>
      </c>
    </row>
    <row r="6283" spans="1:4" ht="56">
      <c r="A6283" s="715">
        <v>92390</v>
      </c>
      <c r="B6283" s="633" t="s">
        <v>43143</v>
      </c>
      <c r="C6283" s="715" t="s">
        <v>103</v>
      </c>
      <c r="D6283" s="716">
        <v>174.07</v>
      </c>
    </row>
    <row r="6284" spans="1:4" ht="56">
      <c r="A6284" s="715">
        <v>92355</v>
      </c>
      <c r="B6284" s="633" t="s">
        <v>43144</v>
      </c>
      <c r="C6284" s="715" t="s">
        <v>103</v>
      </c>
      <c r="D6284" s="716">
        <v>218.03</v>
      </c>
    </row>
    <row r="6285" spans="1:4" ht="42">
      <c r="A6285" s="715">
        <v>101925</v>
      </c>
      <c r="B6285" s="633" t="s">
        <v>43145</v>
      </c>
      <c r="C6285" s="715" t="s">
        <v>103</v>
      </c>
      <c r="D6285" s="716">
        <v>345.11</v>
      </c>
    </row>
    <row r="6286" spans="1:4" ht="56">
      <c r="A6286" s="715">
        <v>101934</v>
      </c>
      <c r="B6286" s="633" t="s">
        <v>43146</v>
      </c>
      <c r="C6286" s="715" t="s">
        <v>103</v>
      </c>
      <c r="D6286" s="716">
        <v>360.72</v>
      </c>
    </row>
    <row r="6287" spans="1:4" ht="56">
      <c r="A6287" s="715">
        <v>97541</v>
      </c>
      <c r="B6287" s="633" t="s">
        <v>43147</v>
      </c>
      <c r="C6287" s="715" t="s">
        <v>103</v>
      </c>
      <c r="D6287" s="716">
        <v>29.93</v>
      </c>
    </row>
    <row r="6288" spans="1:4" ht="56">
      <c r="A6288" s="715">
        <v>97462</v>
      </c>
      <c r="B6288" s="633" t="s">
        <v>43148</v>
      </c>
      <c r="C6288" s="715" t="s">
        <v>103</v>
      </c>
      <c r="D6288" s="716">
        <v>32.369999999999997</v>
      </c>
    </row>
    <row r="6289" spans="1:4" ht="56">
      <c r="A6289" s="715">
        <v>97544</v>
      </c>
      <c r="B6289" s="633" t="s">
        <v>43149</v>
      </c>
      <c r="C6289" s="715" t="s">
        <v>103</v>
      </c>
      <c r="D6289" s="716">
        <v>49.71</v>
      </c>
    </row>
    <row r="6290" spans="1:4" ht="56">
      <c r="A6290" s="715">
        <v>97500</v>
      </c>
      <c r="B6290" s="633" t="s">
        <v>43150</v>
      </c>
      <c r="C6290" s="715" t="s">
        <v>103</v>
      </c>
      <c r="D6290" s="716">
        <v>30.04</v>
      </c>
    </row>
    <row r="6291" spans="1:4" ht="56">
      <c r="A6291" s="715">
        <v>97465</v>
      </c>
      <c r="B6291" s="633" t="s">
        <v>43151</v>
      </c>
      <c r="C6291" s="715" t="s">
        <v>103</v>
      </c>
      <c r="D6291" s="716">
        <v>64.319999999999993</v>
      </c>
    </row>
    <row r="6292" spans="1:4" ht="56">
      <c r="A6292" s="715">
        <v>97503</v>
      </c>
      <c r="B6292" s="633" t="s">
        <v>43152</v>
      </c>
      <c r="C6292" s="715" t="s">
        <v>103</v>
      </c>
      <c r="D6292" s="716">
        <v>59.9</v>
      </c>
    </row>
    <row r="6293" spans="1:4" ht="56">
      <c r="A6293" s="715">
        <v>97468</v>
      </c>
      <c r="B6293" s="633" t="s">
        <v>43153</v>
      </c>
      <c r="C6293" s="715" t="s">
        <v>103</v>
      </c>
      <c r="D6293" s="716">
        <v>81.75</v>
      </c>
    </row>
    <row r="6294" spans="1:4" ht="56">
      <c r="A6294" s="715">
        <v>97506</v>
      </c>
      <c r="B6294" s="633" t="s">
        <v>43154</v>
      </c>
      <c r="C6294" s="715" t="s">
        <v>103</v>
      </c>
      <c r="D6294" s="716">
        <v>74.709999999999994</v>
      </c>
    </row>
    <row r="6295" spans="1:4" ht="42">
      <c r="A6295" s="715">
        <v>97444</v>
      </c>
      <c r="B6295" s="633" t="s">
        <v>43155</v>
      </c>
      <c r="C6295" s="715" t="s">
        <v>103</v>
      </c>
      <c r="D6295" s="716">
        <v>149.18</v>
      </c>
    </row>
    <row r="6296" spans="1:4" ht="56">
      <c r="A6296" s="715">
        <v>97471</v>
      </c>
      <c r="B6296" s="633" t="s">
        <v>43156</v>
      </c>
      <c r="C6296" s="715" t="s">
        <v>103</v>
      </c>
      <c r="D6296" s="716">
        <v>120.98</v>
      </c>
    </row>
    <row r="6297" spans="1:4" ht="56">
      <c r="A6297" s="715">
        <v>97509</v>
      </c>
      <c r="B6297" s="633" t="s">
        <v>43157</v>
      </c>
      <c r="C6297" s="715" t="s">
        <v>103</v>
      </c>
      <c r="D6297" s="716">
        <v>110.8</v>
      </c>
    </row>
    <row r="6298" spans="1:4" ht="42">
      <c r="A6298" s="715">
        <v>97447</v>
      </c>
      <c r="B6298" s="633" t="s">
        <v>43158</v>
      </c>
      <c r="C6298" s="715" t="s">
        <v>103</v>
      </c>
      <c r="D6298" s="716">
        <v>243.85</v>
      </c>
    </row>
    <row r="6299" spans="1:4" ht="56">
      <c r="A6299" s="715">
        <v>97475</v>
      </c>
      <c r="B6299" s="633" t="s">
        <v>43159</v>
      </c>
      <c r="C6299" s="715" t="s">
        <v>103</v>
      </c>
      <c r="D6299" s="716">
        <v>221.93</v>
      </c>
    </row>
    <row r="6300" spans="1:4" ht="56">
      <c r="A6300" s="715">
        <v>97512</v>
      </c>
      <c r="B6300" s="633" t="s">
        <v>43160</v>
      </c>
      <c r="C6300" s="715" t="s">
        <v>103</v>
      </c>
      <c r="D6300" s="716">
        <v>207.37</v>
      </c>
    </row>
    <row r="6301" spans="1:4" ht="42">
      <c r="A6301" s="715">
        <v>97450</v>
      </c>
      <c r="B6301" s="633" t="s">
        <v>43161</v>
      </c>
      <c r="C6301" s="715" t="s">
        <v>103</v>
      </c>
      <c r="D6301" s="716">
        <v>311.31</v>
      </c>
    </row>
    <row r="6302" spans="1:4" ht="56">
      <c r="A6302" s="715">
        <v>97478</v>
      </c>
      <c r="B6302" s="633" t="s">
        <v>43162</v>
      </c>
      <c r="C6302" s="715" t="s">
        <v>103</v>
      </c>
      <c r="D6302" s="716">
        <v>296.92</v>
      </c>
    </row>
    <row r="6303" spans="1:4" ht="56">
      <c r="A6303" s="715">
        <v>97515</v>
      </c>
      <c r="B6303" s="633" t="s">
        <v>43163</v>
      </c>
      <c r="C6303" s="715" t="s">
        <v>103</v>
      </c>
      <c r="D6303" s="716">
        <v>277.12</v>
      </c>
    </row>
    <row r="6304" spans="1:4" ht="56">
      <c r="A6304" s="715">
        <v>92928</v>
      </c>
      <c r="B6304" s="633" t="s">
        <v>43164</v>
      </c>
      <c r="C6304" s="715" t="s">
        <v>103</v>
      </c>
      <c r="D6304" s="716">
        <v>63.36</v>
      </c>
    </row>
    <row r="6305" spans="1:4" ht="56">
      <c r="A6305" s="715">
        <v>92943</v>
      </c>
      <c r="B6305" s="633" t="s">
        <v>43165</v>
      </c>
      <c r="C6305" s="715" t="s">
        <v>103</v>
      </c>
      <c r="D6305" s="716">
        <v>49.74</v>
      </c>
    </row>
    <row r="6306" spans="1:4" ht="56">
      <c r="A6306" s="715">
        <v>92929</v>
      </c>
      <c r="B6306" s="633" t="s">
        <v>43166</v>
      </c>
      <c r="C6306" s="715" t="s">
        <v>103</v>
      </c>
      <c r="D6306" s="716">
        <v>61.51</v>
      </c>
    </row>
    <row r="6307" spans="1:4" ht="56">
      <c r="A6307" s="715">
        <v>92944</v>
      </c>
      <c r="B6307" s="633" t="s">
        <v>43167</v>
      </c>
      <c r="C6307" s="715" t="s">
        <v>103</v>
      </c>
      <c r="D6307" s="716">
        <v>48.65</v>
      </c>
    </row>
    <row r="6308" spans="1:4" ht="56">
      <c r="A6308" s="715">
        <v>92930</v>
      </c>
      <c r="B6308" s="633" t="s">
        <v>43168</v>
      </c>
      <c r="C6308" s="715" t="s">
        <v>103</v>
      </c>
      <c r="D6308" s="716">
        <v>60.18</v>
      </c>
    </row>
    <row r="6309" spans="1:4" ht="56">
      <c r="A6309" s="715">
        <v>92945</v>
      </c>
      <c r="B6309" s="633" t="s">
        <v>43169</v>
      </c>
      <c r="C6309" s="715" t="s">
        <v>103</v>
      </c>
      <c r="D6309" s="716">
        <v>47.87</v>
      </c>
    </row>
    <row r="6310" spans="1:4" ht="56">
      <c r="A6310" s="715">
        <v>92925</v>
      </c>
      <c r="B6310" s="633" t="s">
        <v>43170</v>
      </c>
      <c r="C6310" s="715" t="s">
        <v>103</v>
      </c>
      <c r="D6310" s="716">
        <v>54.98</v>
      </c>
    </row>
    <row r="6311" spans="1:4" ht="56">
      <c r="A6311" s="715">
        <v>92940</v>
      </c>
      <c r="B6311" s="633" t="s">
        <v>43171</v>
      </c>
      <c r="C6311" s="715" t="s">
        <v>103</v>
      </c>
      <c r="D6311" s="716">
        <v>43</v>
      </c>
    </row>
    <row r="6312" spans="1:4" ht="56">
      <c r="A6312" s="715">
        <v>92926</v>
      </c>
      <c r="B6312" s="633" t="s">
        <v>43172</v>
      </c>
      <c r="C6312" s="715" t="s">
        <v>103</v>
      </c>
      <c r="D6312" s="716">
        <v>52.33</v>
      </c>
    </row>
    <row r="6313" spans="1:4" ht="56">
      <c r="A6313" s="715">
        <v>92941</v>
      </c>
      <c r="B6313" s="633" t="s">
        <v>43173</v>
      </c>
      <c r="C6313" s="715" t="s">
        <v>103</v>
      </c>
      <c r="D6313" s="716">
        <v>41.45</v>
      </c>
    </row>
    <row r="6314" spans="1:4" ht="56">
      <c r="A6314" s="715">
        <v>92927</v>
      </c>
      <c r="B6314" s="633" t="s">
        <v>43174</v>
      </c>
      <c r="C6314" s="715" t="s">
        <v>103</v>
      </c>
      <c r="D6314" s="716">
        <v>53.65</v>
      </c>
    </row>
    <row r="6315" spans="1:4" ht="56">
      <c r="A6315" s="715">
        <v>92942</v>
      </c>
      <c r="B6315" s="633" t="s">
        <v>43175</v>
      </c>
      <c r="C6315" s="715" t="s">
        <v>103</v>
      </c>
      <c r="D6315" s="716">
        <v>42.23</v>
      </c>
    </row>
    <row r="6316" spans="1:4" ht="56">
      <c r="A6316" s="715">
        <v>92918</v>
      </c>
      <c r="B6316" s="633" t="s">
        <v>43176</v>
      </c>
      <c r="C6316" s="715" t="s">
        <v>103</v>
      </c>
      <c r="D6316" s="716">
        <v>43.34</v>
      </c>
    </row>
    <row r="6317" spans="1:4" ht="56">
      <c r="A6317" s="715">
        <v>92938</v>
      </c>
      <c r="B6317" s="633" t="s">
        <v>43177</v>
      </c>
      <c r="C6317" s="715" t="s">
        <v>103</v>
      </c>
      <c r="D6317" s="716">
        <v>33.22</v>
      </c>
    </row>
    <row r="6318" spans="1:4" ht="56">
      <c r="A6318" s="715">
        <v>92920</v>
      </c>
      <c r="B6318" s="633" t="s">
        <v>43178</v>
      </c>
      <c r="C6318" s="715" t="s">
        <v>103</v>
      </c>
      <c r="D6318" s="716">
        <v>44.93</v>
      </c>
    </row>
    <row r="6319" spans="1:4" ht="56">
      <c r="A6319" s="715">
        <v>92939</v>
      </c>
      <c r="B6319" s="633" t="s">
        <v>43179</v>
      </c>
      <c r="C6319" s="715" t="s">
        <v>103</v>
      </c>
      <c r="D6319" s="716">
        <v>34.270000000000003</v>
      </c>
    </row>
    <row r="6320" spans="1:4" ht="56">
      <c r="A6320" s="715">
        <v>92910</v>
      </c>
      <c r="B6320" s="633" t="s">
        <v>43180</v>
      </c>
      <c r="C6320" s="715" t="s">
        <v>103</v>
      </c>
      <c r="D6320" s="716">
        <v>121.78</v>
      </c>
    </row>
    <row r="6321" spans="1:4" ht="56">
      <c r="A6321" s="715">
        <v>92934</v>
      </c>
      <c r="B6321" s="633" t="s">
        <v>43181</v>
      </c>
      <c r="C6321" s="715" t="s">
        <v>103</v>
      </c>
      <c r="D6321" s="716">
        <v>117.95</v>
      </c>
    </row>
    <row r="6322" spans="1:4" ht="56">
      <c r="A6322" s="715">
        <v>92949</v>
      </c>
      <c r="B6322" s="633" t="s">
        <v>43182</v>
      </c>
      <c r="C6322" s="715" t="s">
        <v>103</v>
      </c>
      <c r="D6322" s="716">
        <v>100.72</v>
      </c>
    </row>
    <row r="6323" spans="1:4" ht="42">
      <c r="A6323" s="715">
        <v>92911</v>
      </c>
      <c r="B6323" s="633" t="s">
        <v>43183</v>
      </c>
      <c r="C6323" s="715" t="s">
        <v>103</v>
      </c>
      <c r="D6323" s="716">
        <v>122.93</v>
      </c>
    </row>
    <row r="6324" spans="1:4" ht="56">
      <c r="A6324" s="715">
        <v>92935</v>
      </c>
      <c r="B6324" s="633" t="s">
        <v>43184</v>
      </c>
      <c r="C6324" s="715" t="s">
        <v>103</v>
      </c>
      <c r="D6324" s="716">
        <v>120.59</v>
      </c>
    </row>
    <row r="6325" spans="1:4" ht="56">
      <c r="A6325" s="715">
        <v>92950</v>
      </c>
      <c r="B6325" s="633" t="s">
        <v>43185</v>
      </c>
      <c r="C6325" s="715" t="s">
        <v>103</v>
      </c>
      <c r="D6325" s="716">
        <v>102.26</v>
      </c>
    </row>
    <row r="6326" spans="1:4" ht="56">
      <c r="A6326" s="715">
        <v>92907</v>
      </c>
      <c r="B6326" s="633" t="s">
        <v>43186</v>
      </c>
      <c r="C6326" s="715" t="s">
        <v>103</v>
      </c>
      <c r="D6326" s="716">
        <v>89.44</v>
      </c>
    </row>
    <row r="6327" spans="1:4" ht="56">
      <c r="A6327" s="715">
        <v>92931</v>
      </c>
      <c r="B6327" s="633" t="s">
        <v>43187</v>
      </c>
      <c r="C6327" s="715" t="s">
        <v>103</v>
      </c>
      <c r="D6327" s="716">
        <v>83.36</v>
      </c>
    </row>
    <row r="6328" spans="1:4" ht="56">
      <c r="A6328" s="715">
        <v>92946</v>
      </c>
      <c r="B6328" s="633" t="s">
        <v>43188</v>
      </c>
      <c r="C6328" s="715" t="s">
        <v>103</v>
      </c>
      <c r="D6328" s="716">
        <v>67.77</v>
      </c>
    </row>
    <row r="6329" spans="1:4" ht="56">
      <c r="A6329" s="715">
        <v>92908</v>
      </c>
      <c r="B6329" s="633" t="s">
        <v>43189</v>
      </c>
      <c r="C6329" s="715" t="s">
        <v>103</v>
      </c>
      <c r="D6329" s="716">
        <v>88.54</v>
      </c>
    </row>
    <row r="6330" spans="1:4" ht="56">
      <c r="A6330" s="715">
        <v>92932</v>
      </c>
      <c r="B6330" s="633" t="s">
        <v>43190</v>
      </c>
      <c r="C6330" s="715" t="s">
        <v>103</v>
      </c>
      <c r="D6330" s="716">
        <v>81.260000000000005</v>
      </c>
    </row>
    <row r="6331" spans="1:4" ht="56">
      <c r="A6331" s="715">
        <v>92947</v>
      </c>
      <c r="B6331" s="633" t="s">
        <v>43191</v>
      </c>
      <c r="C6331" s="715" t="s">
        <v>103</v>
      </c>
      <c r="D6331" s="716">
        <v>66.55</v>
      </c>
    </row>
    <row r="6332" spans="1:4" ht="42">
      <c r="A6332" s="715">
        <v>92909</v>
      </c>
      <c r="B6332" s="633" t="s">
        <v>43192</v>
      </c>
      <c r="C6332" s="715" t="s">
        <v>103</v>
      </c>
      <c r="D6332" s="716">
        <v>87.74</v>
      </c>
    </row>
    <row r="6333" spans="1:4" ht="56">
      <c r="A6333" s="715">
        <v>92933</v>
      </c>
      <c r="B6333" s="633" t="s">
        <v>43193</v>
      </c>
      <c r="C6333" s="715" t="s">
        <v>103</v>
      </c>
      <c r="D6333" s="716">
        <v>79.41</v>
      </c>
    </row>
    <row r="6334" spans="1:4" ht="56">
      <c r="A6334" s="715">
        <v>92948</v>
      </c>
      <c r="B6334" s="633" t="s">
        <v>43194</v>
      </c>
      <c r="C6334" s="715" t="s">
        <v>103</v>
      </c>
      <c r="D6334" s="716">
        <v>65.459999999999994</v>
      </c>
    </row>
    <row r="6335" spans="1:4" ht="56">
      <c r="A6335" s="715">
        <v>92912</v>
      </c>
      <c r="B6335" s="633" t="s">
        <v>43195</v>
      </c>
      <c r="C6335" s="715" t="s">
        <v>103</v>
      </c>
      <c r="D6335" s="716">
        <v>160.81</v>
      </c>
    </row>
    <row r="6336" spans="1:4" ht="56">
      <c r="A6336" s="715">
        <v>92913</v>
      </c>
      <c r="B6336" s="633" t="s">
        <v>43196</v>
      </c>
      <c r="C6336" s="715" t="s">
        <v>103</v>
      </c>
      <c r="D6336" s="716">
        <v>163.65</v>
      </c>
    </row>
    <row r="6337" spans="1:4" ht="56">
      <c r="A6337" s="715">
        <v>92936</v>
      </c>
      <c r="B6337" s="633" t="s">
        <v>43197</v>
      </c>
      <c r="C6337" s="715" t="s">
        <v>103</v>
      </c>
      <c r="D6337" s="716">
        <v>165.81</v>
      </c>
    </row>
    <row r="6338" spans="1:4" ht="56">
      <c r="A6338" s="715">
        <v>92951</v>
      </c>
      <c r="B6338" s="633" t="s">
        <v>43198</v>
      </c>
      <c r="C6338" s="715" t="s">
        <v>103</v>
      </c>
      <c r="D6338" s="716">
        <v>144.19999999999999</v>
      </c>
    </row>
    <row r="6339" spans="1:4" ht="42">
      <c r="A6339" s="715">
        <v>92914</v>
      </c>
      <c r="B6339" s="633" t="s">
        <v>43199</v>
      </c>
      <c r="C6339" s="715" t="s">
        <v>103</v>
      </c>
      <c r="D6339" s="716">
        <v>161.94999999999999</v>
      </c>
    </row>
    <row r="6340" spans="1:4" ht="56">
      <c r="A6340" s="715">
        <v>92937</v>
      </c>
      <c r="B6340" s="633" t="s">
        <v>43200</v>
      </c>
      <c r="C6340" s="715" t="s">
        <v>103</v>
      </c>
      <c r="D6340" s="716">
        <v>161.86000000000001</v>
      </c>
    </row>
    <row r="6341" spans="1:4" ht="56">
      <c r="A6341" s="715">
        <v>92952</v>
      </c>
      <c r="B6341" s="633" t="s">
        <v>43201</v>
      </c>
      <c r="C6341" s="715" t="s">
        <v>103</v>
      </c>
      <c r="D6341" s="716">
        <v>141.88999999999999</v>
      </c>
    </row>
    <row r="6342" spans="1:4" ht="56">
      <c r="A6342" s="715">
        <v>92953</v>
      </c>
      <c r="B6342" s="633" t="s">
        <v>43202</v>
      </c>
      <c r="C6342" s="715" t="s">
        <v>103</v>
      </c>
      <c r="D6342" s="716">
        <v>26.42</v>
      </c>
    </row>
    <row r="6343" spans="1:4" ht="56">
      <c r="A6343" s="715">
        <v>101921</v>
      </c>
      <c r="B6343" s="633" t="s">
        <v>43203</v>
      </c>
      <c r="C6343" s="715" t="s">
        <v>103</v>
      </c>
      <c r="D6343" s="716">
        <v>244.89</v>
      </c>
    </row>
    <row r="6344" spans="1:4" ht="56">
      <c r="A6344" s="715">
        <v>101930</v>
      </c>
      <c r="B6344" s="633" t="s">
        <v>43204</v>
      </c>
      <c r="C6344" s="715" t="s">
        <v>103</v>
      </c>
      <c r="D6344" s="716">
        <v>250.05</v>
      </c>
    </row>
    <row r="6345" spans="1:4" ht="42">
      <c r="A6345" s="715">
        <v>101922</v>
      </c>
      <c r="B6345" s="633" t="s">
        <v>43205</v>
      </c>
      <c r="C6345" s="715" t="s">
        <v>103</v>
      </c>
      <c r="D6345" s="716">
        <v>243.19</v>
      </c>
    </row>
    <row r="6346" spans="1:4" ht="56">
      <c r="A6346" s="715">
        <v>101931</v>
      </c>
      <c r="B6346" s="633" t="s">
        <v>43206</v>
      </c>
      <c r="C6346" s="715" t="s">
        <v>103</v>
      </c>
      <c r="D6346" s="716">
        <v>246.1</v>
      </c>
    </row>
    <row r="6347" spans="1:4" ht="42">
      <c r="A6347" s="715">
        <v>101923</v>
      </c>
      <c r="B6347" s="633" t="s">
        <v>43207</v>
      </c>
      <c r="C6347" s="715" t="s">
        <v>103</v>
      </c>
      <c r="D6347" s="716">
        <v>246.57</v>
      </c>
    </row>
    <row r="6348" spans="1:4" ht="56">
      <c r="A6348" s="715">
        <v>101932</v>
      </c>
      <c r="B6348" s="633" t="s">
        <v>43208</v>
      </c>
      <c r="C6348" s="715" t="s">
        <v>103</v>
      </c>
      <c r="D6348" s="716">
        <v>253.98</v>
      </c>
    </row>
    <row r="6349" spans="1:4" ht="42">
      <c r="A6349" s="715">
        <v>97537</v>
      </c>
      <c r="B6349" s="633" t="s">
        <v>43209</v>
      </c>
      <c r="C6349" s="715" t="s">
        <v>103</v>
      </c>
      <c r="D6349" s="716">
        <v>28.38</v>
      </c>
    </row>
    <row r="6350" spans="1:4" ht="42">
      <c r="A6350" s="715">
        <v>97540</v>
      </c>
      <c r="B6350" s="633" t="s">
        <v>43210</v>
      </c>
      <c r="C6350" s="715" t="s">
        <v>103</v>
      </c>
      <c r="D6350" s="716">
        <v>39.380000000000003</v>
      </c>
    </row>
    <row r="6351" spans="1:4" ht="42">
      <c r="A6351" s="715">
        <v>97543</v>
      </c>
      <c r="B6351" s="633" t="s">
        <v>43211</v>
      </c>
      <c r="C6351" s="715" t="s">
        <v>103</v>
      </c>
      <c r="D6351" s="716">
        <v>65.94</v>
      </c>
    </row>
    <row r="6352" spans="1:4" ht="56">
      <c r="A6352" s="715">
        <v>97461</v>
      </c>
      <c r="B6352" s="633" t="s">
        <v>43212</v>
      </c>
      <c r="C6352" s="715" t="s">
        <v>103</v>
      </c>
      <c r="D6352" s="716">
        <v>39.92</v>
      </c>
    </row>
    <row r="6353" spans="1:4" ht="56">
      <c r="A6353" s="715">
        <v>97499</v>
      </c>
      <c r="B6353" s="633" t="s">
        <v>43213</v>
      </c>
      <c r="C6353" s="715" t="s">
        <v>103</v>
      </c>
      <c r="D6353" s="716">
        <v>36.72</v>
      </c>
    </row>
    <row r="6354" spans="1:4" ht="56">
      <c r="A6354" s="715">
        <v>97464</v>
      </c>
      <c r="B6354" s="633" t="s">
        <v>43214</v>
      </c>
      <c r="C6354" s="715" t="s">
        <v>103</v>
      </c>
      <c r="D6354" s="716">
        <v>56.61</v>
      </c>
    </row>
    <row r="6355" spans="1:4" ht="56">
      <c r="A6355" s="715">
        <v>97502</v>
      </c>
      <c r="B6355" s="633" t="s">
        <v>43215</v>
      </c>
      <c r="C6355" s="715" t="s">
        <v>103</v>
      </c>
      <c r="D6355" s="716">
        <v>50.96</v>
      </c>
    </row>
    <row r="6356" spans="1:4" ht="56">
      <c r="A6356" s="715">
        <v>97467</v>
      </c>
      <c r="B6356" s="633" t="s">
        <v>43216</v>
      </c>
      <c r="C6356" s="715" t="s">
        <v>103</v>
      </c>
      <c r="D6356" s="716">
        <v>71.52</v>
      </c>
    </row>
    <row r="6357" spans="1:4" ht="56">
      <c r="A6357" s="715">
        <v>97505</v>
      </c>
      <c r="B6357" s="633" t="s">
        <v>43217</v>
      </c>
      <c r="C6357" s="715" t="s">
        <v>103</v>
      </c>
      <c r="D6357" s="716">
        <v>63.07</v>
      </c>
    </row>
    <row r="6358" spans="1:4" ht="42">
      <c r="A6358" s="715">
        <v>97443</v>
      </c>
      <c r="B6358" s="633" t="s">
        <v>43218</v>
      </c>
      <c r="C6358" s="715" t="s">
        <v>103</v>
      </c>
      <c r="D6358" s="716">
        <v>129.76</v>
      </c>
    </row>
    <row r="6359" spans="1:4" ht="56">
      <c r="A6359" s="715">
        <v>97470</v>
      </c>
      <c r="B6359" s="633" t="s">
        <v>43219</v>
      </c>
      <c r="C6359" s="715" t="s">
        <v>103</v>
      </c>
      <c r="D6359" s="716">
        <v>104.07</v>
      </c>
    </row>
    <row r="6360" spans="1:4" ht="56">
      <c r="A6360" s="715">
        <v>97508</v>
      </c>
      <c r="B6360" s="633" t="s">
        <v>43220</v>
      </c>
      <c r="C6360" s="715" t="s">
        <v>103</v>
      </c>
      <c r="D6360" s="716">
        <v>92.14</v>
      </c>
    </row>
    <row r="6361" spans="1:4" ht="42">
      <c r="A6361" s="715">
        <v>97446</v>
      </c>
      <c r="B6361" s="633" t="s">
        <v>43221</v>
      </c>
      <c r="C6361" s="715" t="s">
        <v>103</v>
      </c>
      <c r="D6361" s="716">
        <v>204.49</v>
      </c>
    </row>
    <row r="6362" spans="1:4" ht="56">
      <c r="A6362" s="715">
        <v>97474</v>
      </c>
      <c r="B6362" s="633" t="s">
        <v>43222</v>
      </c>
      <c r="C6362" s="715" t="s">
        <v>103</v>
      </c>
      <c r="D6362" s="716">
        <v>186.34</v>
      </c>
    </row>
    <row r="6363" spans="1:4" ht="56">
      <c r="A6363" s="715">
        <v>97511</v>
      </c>
      <c r="B6363" s="633" t="s">
        <v>43223</v>
      </c>
      <c r="C6363" s="715" t="s">
        <v>103</v>
      </c>
      <c r="D6363" s="716">
        <v>169.16</v>
      </c>
    </row>
    <row r="6364" spans="1:4" ht="42">
      <c r="A6364" s="715">
        <v>97449</v>
      </c>
      <c r="B6364" s="633" t="s">
        <v>43224</v>
      </c>
      <c r="C6364" s="715" t="s">
        <v>103</v>
      </c>
      <c r="D6364" s="716">
        <v>257.64999999999998</v>
      </c>
    </row>
    <row r="6365" spans="1:4" ht="56">
      <c r="A6365" s="715">
        <v>97477</v>
      </c>
      <c r="B6365" s="633" t="s">
        <v>43225</v>
      </c>
      <c r="C6365" s="715" t="s">
        <v>103</v>
      </c>
      <c r="D6365" s="716">
        <v>247.03</v>
      </c>
    </row>
    <row r="6366" spans="1:4" ht="56">
      <c r="A6366" s="715">
        <v>97514</v>
      </c>
      <c r="B6366" s="633" t="s">
        <v>43226</v>
      </c>
      <c r="C6366" s="715" t="s">
        <v>103</v>
      </c>
      <c r="D6366" s="716">
        <v>224.6</v>
      </c>
    </row>
    <row r="6367" spans="1:4" ht="42">
      <c r="A6367" s="715">
        <v>101920</v>
      </c>
      <c r="B6367" s="633" t="s">
        <v>43227</v>
      </c>
      <c r="C6367" s="715" t="s">
        <v>103</v>
      </c>
      <c r="D6367" s="716">
        <v>220.12</v>
      </c>
    </row>
    <row r="6368" spans="1:4" ht="56">
      <c r="A6368" s="715">
        <v>101929</v>
      </c>
      <c r="B6368" s="633" t="s">
        <v>43228</v>
      </c>
      <c r="C6368" s="715" t="s">
        <v>103</v>
      </c>
      <c r="D6368" s="716">
        <v>230.53</v>
      </c>
    </row>
    <row r="6369" spans="1:4" ht="56">
      <c r="A6369" s="715">
        <v>92693</v>
      </c>
      <c r="B6369" s="633" t="s">
        <v>43229</v>
      </c>
      <c r="C6369" s="715" t="s">
        <v>103</v>
      </c>
      <c r="D6369" s="716">
        <v>18.440000000000001</v>
      </c>
    </row>
    <row r="6370" spans="1:4" ht="56">
      <c r="A6370" s="715">
        <v>92695</v>
      </c>
      <c r="B6370" s="633" t="s">
        <v>43230</v>
      </c>
      <c r="C6370" s="715" t="s">
        <v>103</v>
      </c>
      <c r="D6370" s="716">
        <v>29.33</v>
      </c>
    </row>
    <row r="6371" spans="1:4" ht="56">
      <c r="A6371" s="715">
        <v>92697</v>
      </c>
      <c r="B6371" s="633" t="s">
        <v>43231</v>
      </c>
      <c r="C6371" s="715" t="s">
        <v>103</v>
      </c>
      <c r="D6371" s="716">
        <v>47.6</v>
      </c>
    </row>
    <row r="6372" spans="1:4" ht="56">
      <c r="A6372" s="715">
        <v>92658</v>
      </c>
      <c r="B6372" s="633" t="s">
        <v>43232</v>
      </c>
      <c r="C6372" s="715" t="s">
        <v>103</v>
      </c>
      <c r="D6372" s="716">
        <v>34.93</v>
      </c>
    </row>
    <row r="6373" spans="1:4" ht="56">
      <c r="A6373" s="715">
        <v>92660</v>
      </c>
      <c r="B6373" s="633" t="s">
        <v>43233</v>
      </c>
      <c r="C6373" s="715" t="s">
        <v>103</v>
      </c>
      <c r="D6373" s="716">
        <v>42.66</v>
      </c>
    </row>
    <row r="6374" spans="1:4" ht="56">
      <c r="A6374" s="715">
        <v>92662</v>
      </c>
      <c r="B6374" s="633" t="s">
        <v>43234</v>
      </c>
      <c r="C6374" s="715" t="s">
        <v>103</v>
      </c>
      <c r="D6374" s="716">
        <v>49.47</v>
      </c>
    </row>
    <row r="6375" spans="1:4" ht="56">
      <c r="A6375" s="715">
        <v>92664</v>
      </c>
      <c r="B6375" s="633" t="s">
        <v>43235</v>
      </c>
      <c r="C6375" s="715" t="s">
        <v>103</v>
      </c>
      <c r="D6375" s="716">
        <v>65.260000000000005</v>
      </c>
    </row>
    <row r="6376" spans="1:4" ht="56">
      <c r="A6376" s="715">
        <v>92666</v>
      </c>
      <c r="B6376" s="633" t="s">
        <v>43236</v>
      </c>
      <c r="C6376" s="715" t="s">
        <v>103</v>
      </c>
      <c r="D6376" s="716">
        <v>100.04</v>
      </c>
    </row>
    <row r="6377" spans="1:4" ht="56">
      <c r="A6377" s="715">
        <v>92668</v>
      </c>
      <c r="B6377" s="633" t="s">
        <v>43237</v>
      </c>
      <c r="C6377" s="715" t="s">
        <v>103</v>
      </c>
      <c r="D6377" s="716">
        <v>138.58000000000001</v>
      </c>
    </row>
    <row r="6378" spans="1:4" ht="56">
      <c r="A6378" s="715">
        <v>92370</v>
      </c>
      <c r="B6378" s="633" t="s">
        <v>43238</v>
      </c>
      <c r="C6378" s="715" t="s">
        <v>103</v>
      </c>
      <c r="D6378" s="716">
        <v>46.14</v>
      </c>
    </row>
    <row r="6379" spans="1:4" ht="56">
      <c r="A6379" s="715">
        <v>92372</v>
      </c>
      <c r="B6379" s="633" t="s">
        <v>43239</v>
      </c>
      <c r="C6379" s="715" t="s">
        <v>103</v>
      </c>
      <c r="D6379" s="716">
        <v>55.4</v>
      </c>
    </row>
    <row r="6380" spans="1:4" ht="56">
      <c r="A6380" s="715">
        <v>92374</v>
      </c>
      <c r="B6380" s="633" t="s">
        <v>43240</v>
      </c>
      <c r="C6380" s="715" t="s">
        <v>103</v>
      </c>
      <c r="D6380" s="716">
        <v>63.97</v>
      </c>
    </row>
    <row r="6381" spans="1:4" ht="42">
      <c r="A6381" s="715">
        <v>92345</v>
      </c>
      <c r="B6381" s="633" t="s">
        <v>43241</v>
      </c>
      <c r="C6381" s="715" t="s">
        <v>103</v>
      </c>
      <c r="D6381" s="716">
        <v>86.53</v>
      </c>
    </row>
    <row r="6382" spans="1:4" ht="56">
      <c r="A6382" s="715">
        <v>92376</v>
      </c>
      <c r="B6382" s="633" t="s">
        <v>43242</v>
      </c>
      <c r="C6382" s="715" t="s">
        <v>103</v>
      </c>
      <c r="D6382" s="716">
        <v>81.94</v>
      </c>
    </row>
    <row r="6383" spans="1:4" ht="42">
      <c r="A6383" s="715">
        <v>92347</v>
      </c>
      <c r="B6383" s="633" t="s">
        <v>43243</v>
      </c>
      <c r="C6383" s="715" t="s">
        <v>103</v>
      </c>
      <c r="D6383" s="716">
        <v>120.1</v>
      </c>
    </row>
    <row r="6384" spans="1:4" ht="56">
      <c r="A6384" s="715">
        <v>92378</v>
      </c>
      <c r="B6384" s="633" t="s">
        <v>43244</v>
      </c>
      <c r="C6384" s="715" t="s">
        <v>103</v>
      </c>
      <c r="D6384" s="716">
        <v>120.01</v>
      </c>
    </row>
    <row r="6385" spans="1:4" ht="42">
      <c r="A6385" s="715">
        <v>92349</v>
      </c>
      <c r="B6385" s="633" t="s">
        <v>43245</v>
      </c>
      <c r="C6385" s="715" t="s">
        <v>103</v>
      </c>
      <c r="D6385" s="716">
        <v>157.41999999999999</v>
      </c>
    </row>
    <row r="6386" spans="1:4" ht="56">
      <c r="A6386" s="715">
        <v>92380</v>
      </c>
      <c r="B6386" s="633" t="s">
        <v>43246</v>
      </c>
      <c r="C6386" s="715" t="s">
        <v>103</v>
      </c>
      <c r="D6386" s="716">
        <v>161.84</v>
      </c>
    </row>
    <row r="6387" spans="1:4" ht="28">
      <c r="A6387" s="715">
        <v>101917</v>
      </c>
      <c r="B6387" s="633" t="s">
        <v>43247</v>
      </c>
      <c r="C6387" s="715" t="s">
        <v>103</v>
      </c>
      <c r="D6387" s="716">
        <v>199.92</v>
      </c>
    </row>
    <row r="6388" spans="1:4" ht="42">
      <c r="A6388" s="715">
        <v>101924</v>
      </c>
      <c r="B6388" s="633" t="s">
        <v>43248</v>
      </c>
      <c r="C6388" s="715" t="s">
        <v>103</v>
      </c>
      <c r="D6388" s="716">
        <v>208.09</v>
      </c>
    </row>
    <row r="6389" spans="1:4" ht="56">
      <c r="A6389" s="715">
        <v>101933</v>
      </c>
      <c r="B6389" s="633" t="s">
        <v>43249</v>
      </c>
      <c r="C6389" s="715" t="s">
        <v>103</v>
      </c>
      <c r="D6389" s="716">
        <v>218.5</v>
      </c>
    </row>
    <row r="6390" spans="1:4" ht="56">
      <c r="A6390" s="715">
        <v>92692</v>
      </c>
      <c r="B6390" s="633" t="s">
        <v>43250</v>
      </c>
      <c r="C6390" s="715" t="s">
        <v>103</v>
      </c>
      <c r="D6390" s="716">
        <v>18.02</v>
      </c>
    </row>
    <row r="6391" spans="1:4" ht="56">
      <c r="A6391" s="715">
        <v>92694</v>
      </c>
      <c r="B6391" s="633" t="s">
        <v>43251</v>
      </c>
      <c r="C6391" s="715" t="s">
        <v>103</v>
      </c>
      <c r="D6391" s="716">
        <v>28.9</v>
      </c>
    </row>
    <row r="6392" spans="1:4" ht="56">
      <c r="A6392" s="715">
        <v>92696</v>
      </c>
      <c r="B6392" s="633" t="s">
        <v>43252</v>
      </c>
      <c r="C6392" s="715" t="s">
        <v>103</v>
      </c>
      <c r="D6392" s="716">
        <v>45.68</v>
      </c>
    </row>
    <row r="6393" spans="1:4" ht="56">
      <c r="A6393" s="715">
        <v>92657</v>
      </c>
      <c r="B6393" s="633" t="s">
        <v>43253</v>
      </c>
      <c r="C6393" s="715" t="s">
        <v>103</v>
      </c>
      <c r="D6393" s="716">
        <v>33.01</v>
      </c>
    </row>
    <row r="6394" spans="1:4" ht="56">
      <c r="A6394" s="715">
        <v>92659</v>
      </c>
      <c r="B6394" s="633" t="s">
        <v>43254</v>
      </c>
      <c r="C6394" s="715" t="s">
        <v>103</v>
      </c>
      <c r="D6394" s="716">
        <v>40.869999999999997</v>
      </c>
    </row>
    <row r="6395" spans="1:4" ht="56">
      <c r="A6395" s="715">
        <v>92661</v>
      </c>
      <c r="B6395" s="633" t="s">
        <v>43255</v>
      </c>
      <c r="C6395" s="715" t="s">
        <v>103</v>
      </c>
      <c r="D6395" s="716">
        <v>49.12</v>
      </c>
    </row>
    <row r="6396" spans="1:4" ht="56">
      <c r="A6396" s="715">
        <v>92663</v>
      </c>
      <c r="B6396" s="633" t="s">
        <v>43256</v>
      </c>
      <c r="C6396" s="715" t="s">
        <v>103</v>
      </c>
      <c r="D6396" s="716">
        <v>65.290000000000006</v>
      </c>
    </row>
    <row r="6397" spans="1:4" ht="56">
      <c r="A6397" s="715">
        <v>92665</v>
      </c>
      <c r="B6397" s="633" t="s">
        <v>43257</v>
      </c>
      <c r="C6397" s="715" t="s">
        <v>103</v>
      </c>
      <c r="D6397" s="716">
        <v>89.33</v>
      </c>
    </row>
    <row r="6398" spans="1:4" ht="56">
      <c r="A6398" s="715">
        <v>92667</v>
      </c>
      <c r="B6398" s="633" t="s">
        <v>43258</v>
      </c>
      <c r="C6398" s="715" t="s">
        <v>103</v>
      </c>
      <c r="D6398" s="716">
        <v>129.05000000000001</v>
      </c>
    </row>
    <row r="6399" spans="1:4" ht="56">
      <c r="A6399" s="715">
        <v>92369</v>
      </c>
      <c r="B6399" s="633" t="s">
        <v>43259</v>
      </c>
      <c r="C6399" s="715" t="s">
        <v>103</v>
      </c>
      <c r="D6399" s="716">
        <v>44.22</v>
      </c>
    </row>
    <row r="6400" spans="1:4" ht="56">
      <c r="A6400" s="715">
        <v>92371</v>
      </c>
      <c r="B6400" s="633" t="s">
        <v>43260</v>
      </c>
      <c r="C6400" s="715" t="s">
        <v>103</v>
      </c>
      <c r="D6400" s="716">
        <v>53.61</v>
      </c>
    </row>
    <row r="6401" spans="1:4" ht="56">
      <c r="A6401" s="715">
        <v>92373</v>
      </c>
      <c r="B6401" s="633" t="s">
        <v>43261</v>
      </c>
      <c r="C6401" s="715" t="s">
        <v>103</v>
      </c>
      <c r="D6401" s="716">
        <v>63.62</v>
      </c>
    </row>
    <row r="6402" spans="1:4" ht="42">
      <c r="A6402" s="715">
        <v>92344</v>
      </c>
      <c r="B6402" s="633" t="s">
        <v>43262</v>
      </c>
      <c r="C6402" s="715" t="s">
        <v>103</v>
      </c>
      <c r="D6402" s="716">
        <v>86.56</v>
      </c>
    </row>
    <row r="6403" spans="1:4" ht="56">
      <c r="A6403" s="715">
        <v>92375</v>
      </c>
      <c r="B6403" s="633" t="s">
        <v>43263</v>
      </c>
      <c r="C6403" s="715" t="s">
        <v>103</v>
      </c>
      <c r="D6403" s="716">
        <v>81.97</v>
      </c>
    </row>
    <row r="6404" spans="1:4" ht="42">
      <c r="A6404" s="715">
        <v>92346</v>
      </c>
      <c r="B6404" s="633" t="s">
        <v>43264</v>
      </c>
      <c r="C6404" s="715" t="s">
        <v>103</v>
      </c>
      <c r="D6404" s="716">
        <v>109.39</v>
      </c>
    </row>
    <row r="6405" spans="1:4" ht="56">
      <c r="A6405" s="715">
        <v>92377</v>
      </c>
      <c r="B6405" s="633" t="s">
        <v>43265</v>
      </c>
      <c r="C6405" s="715" t="s">
        <v>103</v>
      </c>
      <c r="D6405" s="716">
        <v>109.3</v>
      </c>
    </row>
    <row r="6406" spans="1:4" ht="42">
      <c r="A6406" s="715">
        <v>92348</v>
      </c>
      <c r="B6406" s="633" t="s">
        <v>43266</v>
      </c>
      <c r="C6406" s="715" t="s">
        <v>103</v>
      </c>
      <c r="D6406" s="716">
        <v>147.88999999999999</v>
      </c>
    </row>
    <row r="6407" spans="1:4" ht="56">
      <c r="A6407" s="715">
        <v>92379</v>
      </c>
      <c r="B6407" s="633" t="s">
        <v>43267</v>
      </c>
      <c r="C6407" s="715" t="s">
        <v>103</v>
      </c>
      <c r="D6407" s="716">
        <v>152.31</v>
      </c>
    </row>
    <row r="6408" spans="1:4" ht="42">
      <c r="A6408" s="715">
        <v>106677</v>
      </c>
      <c r="B6408" s="633" t="s">
        <v>43268</v>
      </c>
      <c r="C6408" s="715" t="s">
        <v>103</v>
      </c>
      <c r="D6408" s="716">
        <v>1107.71</v>
      </c>
    </row>
    <row r="6409" spans="1:4" ht="42">
      <c r="A6409" s="715">
        <v>95696</v>
      </c>
      <c r="B6409" s="633" t="s">
        <v>43269</v>
      </c>
      <c r="C6409" s="715" t="s">
        <v>103</v>
      </c>
      <c r="D6409" s="716">
        <v>49.53</v>
      </c>
    </row>
    <row r="6410" spans="1:4" ht="56">
      <c r="A6410" s="715">
        <v>92335</v>
      </c>
      <c r="B6410" s="633" t="s">
        <v>43270</v>
      </c>
      <c r="C6410" s="715" t="s">
        <v>165</v>
      </c>
      <c r="D6410" s="716">
        <v>97.56</v>
      </c>
    </row>
    <row r="6411" spans="1:4" ht="56">
      <c r="A6411" s="715">
        <v>92336</v>
      </c>
      <c r="B6411" s="633" t="s">
        <v>43271</v>
      </c>
      <c r="C6411" s="715" t="s">
        <v>165</v>
      </c>
      <c r="D6411" s="716">
        <v>116.75</v>
      </c>
    </row>
    <row r="6412" spans="1:4" ht="56">
      <c r="A6412" s="715">
        <v>92337</v>
      </c>
      <c r="B6412" s="633" t="s">
        <v>43272</v>
      </c>
      <c r="C6412" s="715" t="s">
        <v>165</v>
      </c>
      <c r="D6412" s="716">
        <v>150.38</v>
      </c>
    </row>
    <row r="6413" spans="1:4" ht="56">
      <c r="A6413" s="715">
        <v>92687</v>
      </c>
      <c r="B6413" s="633" t="s">
        <v>43273</v>
      </c>
      <c r="C6413" s="715" t="s">
        <v>165</v>
      </c>
      <c r="D6413" s="716">
        <v>31.24</v>
      </c>
    </row>
    <row r="6414" spans="1:4" ht="56">
      <c r="A6414" s="715">
        <v>92688</v>
      </c>
      <c r="B6414" s="633" t="s">
        <v>43274</v>
      </c>
      <c r="C6414" s="715" t="s">
        <v>165</v>
      </c>
      <c r="D6414" s="716">
        <v>44.9</v>
      </c>
    </row>
    <row r="6415" spans="1:4" ht="56">
      <c r="A6415" s="715">
        <v>97536</v>
      </c>
      <c r="B6415" s="633" t="s">
        <v>43275</v>
      </c>
      <c r="C6415" s="715" t="s">
        <v>165</v>
      </c>
      <c r="D6415" s="716">
        <v>69.56</v>
      </c>
    </row>
    <row r="6416" spans="1:4" ht="56">
      <c r="A6416" s="715">
        <v>97535</v>
      </c>
      <c r="B6416" s="633" t="s">
        <v>43276</v>
      </c>
      <c r="C6416" s="715" t="s">
        <v>165</v>
      </c>
      <c r="D6416" s="716">
        <v>54.1</v>
      </c>
    </row>
    <row r="6417" spans="1:4" ht="70">
      <c r="A6417" s="715">
        <v>92652</v>
      </c>
      <c r="B6417" s="633" t="s">
        <v>43277</v>
      </c>
      <c r="C6417" s="715" t="s">
        <v>165</v>
      </c>
      <c r="D6417" s="716">
        <v>65.36</v>
      </c>
    </row>
    <row r="6418" spans="1:4" ht="70">
      <c r="A6418" s="715">
        <v>92653</v>
      </c>
      <c r="B6418" s="633" t="s">
        <v>43278</v>
      </c>
      <c r="C6418" s="715" t="s">
        <v>165</v>
      </c>
      <c r="D6418" s="716">
        <v>74.790000000000006</v>
      </c>
    </row>
    <row r="6419" spans="1:4" ht="56">
      <c r="A6419" s="715">
        <v>92654</v>
      </c>
      <c r="B6419" s="633" t="s">
        <v>43279</v>
      </c>
      <c r="C6419" s="715" t="s">
        <v>165</v>
      </c>
      <c r="D6419" s="716">
        <v>100.85</v>
      </c>
    </row>
    <row r="6420" spans="1:4" ht="70">
      <c r="A6420" s="715">
        <v>92655</v>
      </c>
      <c r="B6420" s="633" t="s">
        <v>43280</v>
      </c>
      <c r="C6420" s="715" t="s">
        <v>165</v>
      </c>
      <c r="D6420" s="716">
        <v>123.16</v>
      </c>
    </row>
    <row r="6421" spans="1:4" ht="56">
      <c r="A6421" s="715">
        <v>92656</v>
      </c>
      <c r="B6421" s="633" t="s">
        <v>43281</v>
      </c>
      <c r="C6421" s="715" t="s">
        <v>165</v>
      </c>
      <c r="D6421" s="716">
        <v>159.88999999999999</v>
      </c>
    </row>
    <row r="6422" spans="1:4" ht="56">
      <c r="A6422" s="715">
        <v>101918</v>
      </c>
      <c r="B6422" s="633" t="s">
        <v>43282</v>
      </c>
      <c r="C6422" s="715" t="s">
        <v>165</v>
      </c>
      <c r="D6422" s="716">
        <v>220.77</v>
      </c>
    </row>
    <row r="6423" spans="1:4" ht="56">
      <c r="A6423" s="715">
        <v>101927</v>
      </c>
      <c r="B6423" s="633" t="s">
        <v>43283</v>
      </c>
      <c r="C6423" s="715" t="s">
        <v>165</v>
      </c>
      <c r="D6423" s="716">
        <v>202.02</v>
      </c>
    </row>
    <row r="6424" spans="1:4" ht="56">
      <c r="A6424" s="715">
        <v>97498</v>
      </c>
      <c r="B6424" s="633" t="s">
        <v>43284</v>
      </c>
      <c r="C6424" s="715" t="s">
        <v>165</v>
      </c>
      <c r="D6424" s="716">
        <v>47.89</v>
      </c>
    </row>
    <row r="6425" spans="1:4" ht="70">
      <c r="A6425" s="715">
        <v>92364</v>
      </c>
      <c r="B6425" s="633" t="s">
        <v>43285</v>
      </c>
      <c r="C6425" s="715" t="s">
        <v>165</v>
      </c>
      <c r="D6425" s="716">
        <v>58.68</v>
      </c>
    </row>
    <row r="6426" spans="1:4" ht="70">
      <c r="A6426" s="715">
        <v>92365</v>
      </c>
      <c r="B6426" s="633" t="s">
        <v>43286</v>
      </c>
      <c r="C6426" s="715" t="s">
        <v>165</v>
      </c>
      <c r="D6426" s="716">
        <v>67.58</v>
      </c>
    </row>
    <row r="6427" spans="1:4" ht="56">
      <c r="A6427" s="715">
        <v>92341</v>
      </c>
      <c r="B6427" s="633" t="s">
        <v>43287</v>
      </c>
      <c r="C6427" s="715" t="s">
        <v>165</v>
      </c>
      <c r="D6427" s="716">
        <v>113.14</v>
      </c>
    </row>
    <row r="6428" spans="1:4" ht="56">
      <c r="A6428" s="715">
        <v>92366</v>
      </c>
      <c r="B6428" s="633" t="s">
        <v>43288</v>
      </c>
      <c r="C6428" s="715" t="s">
        <v>165</v>
      </c>
      <c r="D6428" s="716">
        <v>92.96</v>
      </c>
    </row>
    <row r="6429" spans="1:4" ht="56">
      <c r="A6429" s="715">
        <v>92342</v>
      </c>
      <c r="B6429" s="633" t="s">
        <v>43289</v>
      </c>
      <c r="C6429" s="715" t="s">
        <v>165</v>
      </c>
      <c r="D6429" s="716">
        <v>134</v>
      </c>
    </row>
    <row r="6430" spans="1:4" ht="70">
      <c r="A6430" s="715">
        <v>92367</v>
      </c>
      <c r="B6430" s="633" t="s">
        <v>43290</v>
      </c>
      <c r="C6430" s="715" t="s">
        <v>165</v>
      </c>
      <c r="D6430" s="716">
        <v>114.25</v>
      </c>
    </row>
    <row r="6431" spans="1:4" ht="56">
      <c r="A6431" s="715">
        <v>92343</v>
      </c>
      <c r="B6431" s="633" t="s">
        <v>43291</v>
      </c>
      <c r="C6431" s="715" t="s">
        <v>165</v>
      </c>
      <c r="D6431" s="716">
        <v>169.28</v>
      </c>
    </row>
    <row r="6432" spans="1:4" ht="56">
      <c r="A6432" s="715">
        <v>92368</v>
      </c>
      <c r="B6432" s="633" t="s">
        <v>43292</v>
      </c>
      <c r="C6432" s="715" t="s">
        <v>165</v>
      </c>
      <c r="D6432" s="716">
        <v>149.96</v>
      </c>
    </row>
    <row r="6433" spans="1:4" ht="56">
      <c r="A6433" s="715">
        <v>92689</v>
      </c>
      <c r="B6433" s="633" t="s">
        <v>43293</v>
      </c>
      <c r="C6433" s="715" t="s">
        <v>165</v>
      </c>
      <c r="D6433" s="716">
        <v>54.78</v>
      </c>
    </row>
    <row r="6434" spans="1:4" ht="56">
      <c r="A6434" s="715">
        <v>92690</v>
      </c>
      <c r="B6434" s="633" t="s">
        <v>43294</v>
      </c>
      <c r="C6434" s="715" t="s">
        <v>165</v>
      </c>
      <c r="D6434" s="716">
        <v>79.14</v>
      </c>
    </row>
    <row r="6435" spans="1:4" ht="56">
      <c r="A6435" s="715">
        <v>92691</v>
      </c>
      <c r="B6435" s="633" t="s">
        <v>43295</v>
      </c>
      <c r="C6435" s="715" t="s">
        <v>165</v>
      </c>
      <c r="D6435" s="716">
        <v>106.74</v>
      </c>
    </row>
    <row r="6436" spans="1:4" ht="56">
      <c r="A6436" s="715">
        <v>92359</v>
      </c>
      <c r="B6436" s="633" t="s">
        <v>43296</v>
      </c>
      <c r="C6436" s="715" t="s">
        <v>165</v>
      </c>
      <c r="D6436" s="716">
        <v>70.61</v>
      </c>
    </row>
    <row r="6437" spans="1:4" ht="56">
      <c r="A6437" s="715">
        <v>92645</v>
      </c>
      <c r="B6437" s="633" t="s">
        <v>43297</v>
      </c>
      <c r="C6437" s="715" t="s">
        <v>165</v>
      </c>
      <c r="D6437" s="716">
        <v>75.790000000000006</v>
      </c>
    </row>
    <row r="6438" spans="1:4" ht="56">
      <c r="A6438" s="715">
        <v>92360</v>
      </c>
      <c r="B6438" s="633" t="s">
        <v>43298</v>
      </c>
      <c r="C6438" s="715" t="s">
        <v>165</v>
      </c>
      <c r="D6438" s="716">
        <v>94.19</v>
      </c>
    </row>
    <row r="6439" spans="1:4" ht="56">
      <c r="A6439" s="715">
        <v>92646</v>
      </c>
      <c r="B6439" s="633" t="s">
        <v>43299</v>
      </c>
      <c r="C6439" s="715" t="s">
        <v>165</v>
      </c>
      <c r="D6439" s="716">
        <v>99.38</v>
      </c>
    </row>
    <row r="6440" spans="1:4" ht="56">
      <c r="A6440" s="715">
        <v>95697</v>
      </c>
      <c r="B6440" s="633" t="s">
        <v>43300</v>
      </c>
      <c r="C6440" s="715" t="s">
        <v>165</v>
      </c>
      <c r="D6440" s="716">
        <v>103.75</v>
      </c>
    </row>
    <row r="6441" spans="1:4" ht="56">
      <c r="A6441" s="715">
        <v>92648</v>
      </c>
      <c r="B6441" s="633" t="s">
        <v>43301</v>
      </c>
      <c r="C6441" s="715" t="s">
        <v>165</v>
      </c>
      <c r="D6441" s="716">
        <v>108.94</v>
      </c>
    </row>
    <row r="6442" spans="1:4" ht="42">
      <c r="A6442" s="715">
        <v>92338</v>
      </c>
      <c r="B6442" s="633" t="s">
        <v>43302</v>
      </c>
      <c r="C6442" s="715" t="s">
        <v>165</v>
      </c>
      <c r="D6442" s="716">
        <v>158.15</v>
      </c>
    </row>
    <row r="6443" spans="1:4" ht="56">
      <c r="A6443" s="715">
        <v>92361</v>
      </c>
      <c r="B6443" s="633" t="s">
        <v>43303</v>
      </c>
      <c r="C6443" s="715" t="s">
        <v>165</v>
      </c>
      <c r="D6443" s="716">
        <v>127.46</v>
      </c>
    </row>
    <row r="6444" spans="1:4" ht="56">
      <c r="A6444" s="715">
        <v>92649</v>
      </c>
      <c r="B6444" s="633" t="s">
        <v>43304</v>
      </c>
      <c r="C6444" s="715" t="s">
        <v>165</v>
      </c>
      <c r="D6444" s="716">
        <v>132.63999999999999</v>
      </c>
    </row>
    <row r="6445" spans="1:4" ht="42">
      <c r="A6445" s="715">
        <v>92339</v>
      </c>
      <c r="B6445" s="633" t="s">
        <v>43305</v>
      </c>
      <c r="C6445" s="715" t="s">
        <v>165</v>
      </c>
      <c r="D6445" s="716">
        <v>231.31</v>
      </c>
    </row>
    <row r="6446" spans="1:4" ht="56">
      <c r="A6446" s="715">
        <v>92362</v>
      </c>
      <c r="B6446" s="633" t="s">
        <v>43306</v>
      </c>
      <c r="C6446" s="715" t="s">
        <v>165</v>
      </c>
      <c r="D6446" s="716">
        <v>202.79</v>
      </c>
    </row>
    <row r="6447" spans="1:4" ht="56">
      <c r="A6447" s="715">
        <v>92650</v>
      </c>
      <c r="B6447" s="633" t="s">
        <v>43307</v>
      </c>
      <c r="C6447" s="715" t="s">
        <v>165</v>
      </c>
      <c r="D6447" s="716">
        <v>207.98</v>
      </c>
    </row>
    <row r="6448" spans="1:4" ht="42">
      <c r="A6448" s="715">
        <v>106674</v>
      </c>
      <c r="B6448" s="633" t="s">
        <v>43308</v>
      </c>
      <c r="C6448" s="715" t="s">
        <v>165</v>
      </c>
      <c r="D6448" s="716">
        <v>281.2</v>
      </c>
    </row>
    <row r="6449" spans="1:4" ht="56">
      <c r="A6449" s="715">
        <v>106675</v>
      </c>
      <c r="B6449" s="633" t="s">
        <v>43309</v>
      </c>
      <c r="C6449" s="715" t="s">
        <v>165</v>
      </c>
      <c r="D6449" s="716">
        <v>254.85</v>
      </c>
    </row>
    <row r="6450" spans="1:4" ht="56">
      <c r="A6450" s="715">
        <v>106676</v>
      </c>
      <c r="B6450" s="633" t="s">
        <v>43310</v>
      </c>
      <c r="C6450" s="715" t="s">
        <v>165</v>
      </c>
      <c r="D6450" s="716">
        <v>260.04000000000002</v>
      </c>
    </row>
    <row r="6451" spans="1:4" ht="42">
      <c r="A6451" s="715">
        <v>97439</v>
      </c>
      <c r="B6451" s="633" t="s">
        <v>43311</v>
      </c>
      <c r="C6451" s="715" t="s">
        <v>103</v>
      </c>
      <c r="D6451" s="716">
        <v>150.88</v>
      </c>
    </row>
    <row r="6452" spans="1:4" ht="42">
      <c r="A6452" s="715">
        <v>97440</v>
      </c>
      <c r="B6452" s="633" t="s">
        <v>43312</v>
      </c>
      <c r="C6452" s="715" t="s">
        <v>103</v>
      </c>
      <c r="D6452" s="716">
        <v>172.93</v>
      </c>
    </row>
    <row r="6453" spans="1:4" ht="42">
      <c r="A6453" s="715">
        <v>97442</v>
      </c>
      <c r="B6453" s="633" t="s">
        <v>43313</v>
      </c>
      <c r="C6453" s="715" t="s">
        <v>103</v>
      </c>
      <c r="D6453" s="716">
        <v>186.2</v>
      </c>
    </row>
    <row r="6454" spans="1:4" ht="42">
      <c r="A6454" s="715">
        <v>97552</v>
      </c>
      <c r="B6454" s="633" t="s">
        <v>43314</v>
      </c>
      <c r="C6454" s="715" t="s">
        <v>103</v>
      </c>
      <c r="D6454" s="716">
        <v>57.55</v>
      </c>
    </row>
    <row r="6455" spans="1:4" ht="42">
      <c r="A6455" s="715">
        <v>97553</v>
      </c>
      <c r="B6455" s="633" t="s">
        <v>43315</v>
      </c>
      <c r="C6455" s="715" t="s">
        <v>103</v>
      </c>
      <c r="D6455" s="716">
        <v>84.88</v>
      </c>
    </row>
    <row r="6456" spans="1:4" ht="42">
      <c r="A6456" s="715">
        <v>97554</v>
      </c>
      <c r="B6456" s="633" t="s">
        <v>43316</v>
      </c>
      <c r="C6456" s="715" t="s">
        <v>103</v>
      </c>
      <c r="D6456" s="716">
        <v>149.43</v>
      </c>
    </row>
    <row r="6457" spans="1:4" ht="56">
      <c r="A6457" s="715">
        <v>97491</v>
      </c>
      <c r="B6457" s="633" t="s">
        <v>43317</v>
      </c>
      <c r="C6457" s="715" t="s">
        <v>103</v>
      </c>
      <c r="D6457" s="716">
        <v>97.38</v>
      </c>
    </row>
    <row r="6458" spans="1:4" ht="56">
      <c r="A6458" s="715">
        <v>97529</v>
      </c>
      <c r="B6458" s="633" t="s">
        <v>43318</v>
      </c>
      <c r="C6458" s="715" t="s">
        <v>103</v>
      </c>
      <c r="D6458" s="716">
        <v>90.97</v>
      </c>
    </row>
    <row r="6459" spans="1:4" ht="56">
      <c r="A6459" s="715">
        <v>97492</v>
      </c>
      <c r="B6459" s="633" t="s">
        <v>43319</v>
      </c>
      <c r="C6459" s="715" t="s">
        <v>103</v>
      </c>
      <c r="D6459" s="716">
        <v>140.72</v>
      </c>
    </row>
    <row r="6460" spans="1:4" ht="56">
      <c r="A6460" s="715">
        <v>97530</v>
      </c>
      <c r="B6460" s="633" t="s">
        <v>43320</v>
      </c>
      <c r="C6460" s="715" t="s">
        <v>103</v>
      </c>
      <c r="D6460" s="716">
        <v>129.41999999999999</v>
      </c>
    </row>
    <row r="6461" spans="1:4" ht="56">
      <c r="A6461" s="715">
        <v>97493</v>
      </c>
      <c r="B6461" s="633" t="s">
        <v>43321</v>
      </c>
      <c r="C6461" s="715" t="s">
        <v>103</v>
      </c>
      <c r="D6461" s="716">
        <v>180.65</v>
      </c>
    </row>
    <row r="6462" spans="1:4" ht="56">
      <c r="A6462" s="715">
        <v>97531</v>
      </c>
      <c r="B6462" s="633" t="s">
        <v>43322</v>
      </c>
      <c r="C6462" s="715" t="s">
        <v>103</v>
      </c>
      <c r="D6462" s="716">
        <v>163.75</v>
      </c>
    </row>
    <row r="6463" spans="1:4" ht="42">
      <c r="A6463" s="715">
        <v>97458</v>
      </c>
      <c r="B6463" s="633" t="s">
        <v>43323</v>
      </c>
      <c r="C6463" s="715" t="s">
        <v>103</v>
      </c>
      <c r="D6463" s="716">
        <v>327.52999999999997</v>
      </c>
    </row>
    <row r="6464" spans="1:4" ht="56">
      <c r="A6464" s="715">
        <v>97494</v>
      </c>
      <c r="B6464" s="633" t="s">
        <v>43324</v>
      </c>
      <c r="C6464" s="715" t="s">
        <v>103</v>
      </c>
      <c r="D6464" s="716">
        <v>276.16000000000003</v>
      </c>
    </row>
    <row r="6465" spans="1:4" ht="56">
      <c r="A6465" s="715">
        <v>97532</v>
      </c>
      <c r="B6465" s="633" t="s">
        <v>43325</v>
      </c>
      <c r="C6465" s="715" t="s">
        <v>103</v>
      </c>
      <c r="D6465" s="716">
        <v>252.29</v>
      </c>
    </row>
    <row r="6466" spans="1:4" ht="42">
      <c r="A6466" s="715">
        <v>97459</v>
      </c>
      <c r="B6466" s="633" t="s">
        <v>43326</v>
      </c>
      <c r="C6466" s="715" t="s">
        <v>103</v>
      </c>
      <c r="D6466" s="716">
        <v>533.92999999999995</v>
      </c>
    </row>
    <row r="6467" spans="1:4" ht="56">
      <c r="A6467" s="715">
        <v>97495</v>
      </c>
      <c r="B6467" s="633" t="s">
        <v>43327</v>
      </c>
      <c r="C6467" s="715" t="s">
        <v>103</v>
      </c>
      <c r="D6467" s="716">
        <v>497.62</v>
      </c>
    </row>
    <row r="6468" spans="1:4" ht="56">
      <c r="A6468" s="715">
        <v>97533</v>
      </c>
      <c r="B6468" s="633" t="s">
        <v>43328</v>
      </c>
      <c r="C6468" s="715" t="s">
        <v>103</v>
      </c>
      <c r="D6468" s="716">
        <v>463.26</v>
      </c>
    </row>
    <row r="6469" spans="1:4" ht="42">
      <c r="A6469" s="715">
        <v>97460</v>
      </c>
      <c r="B6469" s="633" t="s">
        <v>43329</v>
      </c>
      <c r="C6469" s="715" t="s">
        <v>103</v>
      </c>
      <c r="D6469" s="716">
        <v>801.04</v>
      </c>
    </row>
    <row r="6470" spans="1:4" ht="56">
      <c r="A6470" s="715">
        <v>97496</v>
      </c>
      <c r="B6470" s="633" t="s">
        <v>43330</v>
      </c>
      <c r="C6470" s="715" t="s">
        <v>103</v>
      </c>
      <c r="D6470" s="716">
        <v>779.81</v>
      </c>
    </row>
    <row r="6471" spans="1:4" ht="56">
      <c r="A6471" s="715">
        <v>97534</v>
      </c>
      <c r="B6471" s="633" t="s">
        <v>43331</v>
      </c>
      <c r="C6471" s="715" t="s">
        <v>103</v>
      </c>
      <c r="D6471" s="716">
        <v>734.95</v>
      </c>
    </row>
    <row r="6472" spans="1:4" ht="42">
      <c r="A6472" s="715">
        <v>101926</v>
      </c>
      <c r="B6472" s="633" t="s">
        <v>43332</v>
      </c>
      <c r="C6472" s="715" t="s">
        <v>103</v>
      </c>
      <c r="D6472" s="716">
        <v>446.05</v>
      </c>
    </row>
    <row r="6473" spans="1:4" ht="56">
      <c r="A6473" s="715">
        <v>101935</v>
      </c>
      <c r="B6473" s="633" t="s">
        <v>43333</v>
      </c>
      <c r="C6473" s="715" t="s">
        <v>103</v>
      </c>
      <c r="D6473" s="716">
        <v>466.87</v>
      </c>
    </row>
    <row r="6474" spans="1:4" ht="42">
      <c r="A6474" s="715">
        <v>92704</v>
      </c>
      <c r="B6474" s="633" t="s">
        <v>43334</v>
      </c>
      <c r="C6474" s="715" t="s">
        <v>103</v>
      </c>
      <c r="D6474" s="716">
        <v>34</v>
      </c>
    </row>
    <row r="6475" spans="1:4" ht="42">
      <c r="A6475" s="715">
        <v>92705</v>
      </c>
      <c r="B6475" s="633" t="s">
        <v>43335</v>
      </c>
      <c r="C6475" s="715" t="s">
        <v>103</v>
      </c>
      <c r="D6475" s="716">
        <v>55.32</v>
      </c>
    </row>
    <row r="6476" spans="1:4" ht="42">
      <c r="A6476" s="715">
        <v>92706</v>
      </c>
      <c r="B6476" s="633" t="s">
        <v>43336</v>
      </c>
      <c r="C6476" s="715" t="s">
        <v>103</v>
      </c>
      <c r="D6476" s="716">
        <v>89.62</v>
      </c>
    </row>
    <row r="6477" spans="1:4" ht="56">
      <c r="A6477" s="715">
        <v>92637</v>
      </c>
      <c r="B6477" s="633" t="s">
        <v>43337</v>
      </c>
      <c r="C6477" s="715" t="s">
        <v>103</v>
      </c>
      <c r="D6477" s="716">
        <v>128.47</v>
      </c>
    </row>
    <row r="6478" spans="1:4" ht="56">
      <c r="A6478" s="715">
        <v>92681</v>
      </c>
      <c r="B6478" s="633" t="s">
        <v>43338</v>
      </c>
      <c r="C6478" s="715" t="s">
        <v>103</v>
      </c>
      <c r="D6478" s="716">
        <v>64.28</v>
      </c>
    </row>
    <row r="6479" spans="1:4" ht="56">
      <c r="A6479" s="715">
        <v>92638</v>
      </c>
      <c r="B6479" s="633" t="s">
        <v>43339</v>
      </c>
      <c r="C6479" s="715" t="s">
        <v>103</v>
      </c>
      <c r="D6479" s="716">
        <v>170.29</v>
      </c>
    </row>
    <row r="6480" spans="1:4" ht="56">
      <c r="A6480" s="715">
        <v>92682</v>
      </c>
      <c r="B6480" s="633" t="s">
        <v>43340</v>
      </c>
      <c r="C6480" s="715" t="s">
        <v>103</v>
      </c>
      <c r="D6480" s="716">
        <v>80.5</v>
      </c>
    </row>
    <row r="6481" spans="1:4" ht="56">
      <c r="A6481" s="715">
        <v>92639</v>
      </c>
      <c r="B6481" s="633" t="s">
        <v>43341</v>
      </c>
      <c r="C6481" s="715" t="s">
        <v>103</v>
      </c>
      <c r="D6481" s="716">
        <v>208.55</v>
      </c>
    </row>
    <row r="6482" spans="1:4" ht="56">
      <c r="A6482" s="715">
        <v>92683</v>
      </c>
      <c r="B6482" s="633" t="s">
        <v>43342</v>
      </c>
      <c r="C6482" s="715" t="s">
        <v>103</v>
      </c>
      <c r="D6482" s="716">
        <v>94.53</v>
      </c>
    </row>
    <row r="6483" spans="1:4" ht="56">
      <c r="A6483" s="715">
        <v>92640</v>
      </c>
      <c r="B6483" s="633" t="s">
        <v>43343</v>
      </c>
      <c r="C6483" s="715" t="s">
        <v>103</v>
      </c>
      <c r="D6483" s="716">
        <v>159.49</v>
      </c>
    </row>
    <row r="6484" spans="1:4" ht="56">
      <c r="A6484" s="715">
        <v>92684</v>
      </c>
      <c r="B6484" s="633" t="s">
        <v>43344</v>
      </c>
      <c r="C6484" s="715" t="s">
        <v>103</v>
      </c>
      <c r="D6484" s="716">
        <v>126.12</v>
      </c>
    </row>
    <row r="6485" spans="1:4" ht="56">
      <c r="A6485" s="715">
        <v>92642</v>
      </c>
      <c r="B6485" s="633" t="s">
        <v>43345</v>
      </c>
      <c r="C6485" s="715" t="s">
        <v>103</v>
      </c>
      <c r="D6485" s="716">
        <v>237.34</v>
      </c>
    </row>
    <row r="6486" spans="1:4" ht="56">
      <c r="A6486" s="715">
        <v>92685</v>
      </c>
      <c r="B6486" s="633" t="s">
        <v>43346</v>
      </c>
      <c r="C6486" s="715" t="s">
        <v>103</v>
      </c>
      <c r="D6486" s="716">
        <v>197.4</v>
      </c>
    </row>
    <row r="6487" spans="1:4" ht="56">
      <c r="A6487" s="715">
        <v>92644</v>
      </c>
      <c r="B6487" s="633" t="s">
        <v>43347</v>
      </c>
      <c r="C6487" s="715" t="s">
        <v>103</v>
      </c>
      <c r="D6487" s="716">
        <v>297.55</v>
      </c>
    </row>
    <row r="6488" spans="1:4" ht="56">
      <c r="A6488" s="715">
        <v>92686</v>
      </c>
      <c r="B6488" s="633" t="s">
        <v>43348</v>
      </c>
      <c r="C6488" s="715" t="s">
        <v>103</v>
      </c>
      <c r="D6488" s="716">
        <v>251.03</v>
      </c>
    </row>
    <row r="6489" spans="1:4" ht="42">
      <c r="A6489" s="715">
        <v>92356</v>
      </c>
      <c r="B6489" s="633" t="s">
        <v>43349</v>
      </c>
      <c r="C6489" s="715" t="s">
        <v>103</v>
      </c>
      <c r="D6489" s="716">
        <v>168.66</v>
      </c>
    </row>
    <row r="6490" spans="1:4" ht="42">
      <c r="A6490" s="715">
        <v>92357</v>
      </c>
      <c r="B6490" s="633" t="s">
        <v>43350</v>
      </c>
      <c r="C6490" s="715" t="s">
        <v>103</v>
      </c>
      <c r="D6490" s="716">
        <v>237.52</v>
      </c>
    </row>
    <row r="6491" spans="1:4" ht="42">
      <c r="A6491" s="715">
        <v>92358</v>
      </c>
      <c r="B6491" s="633" t="s">
        <v>43351</v>
      </c>
      <c r="C6491" s="715" t="s">
        <v>103</v>
      </c>
      <c r="D6491" s="716">
        <v>288.72000000000003</v>
      </c>
    </row>
    <row r="6492" spans="1:4" ht="42">
      <c r="A6492" s="715">
        <v>101919</v>
      </c>
      <c r="B6492" s="633" t="s">
        <v>43352</v>
      </c>
      <c r="C6492" s="715" t="s">
        <v>103</v>
      </c>
      <c r="D6492" s="716">
        <v>443.26</v>
      </c>
    </row>
    <row r="6493" spans="1:4" ht="56">
      <c r="A6493" s="715">
        <v>101928</v>
      </c>
      <c r="B6493" s="633" t="s">
        <v>43353</v>
      </c>
      <c r="C6493" s="715" t="s">
        <v>103</v>
      </c>
      <c r="D6493" s="716">
        <v>453.67</v>
      </c>
    </row>
    <row r="6494" spans="1:4" ht="56">
      <c r="A6494" s="715">
        <v>92904</v>
      </c>
      <c r="B6494" s="633" t="s">
        <v>43354</v>
      </c>
      <c r="C6494" s="715" t="s">
        <v>103</v>
      </c>
      <c r="D6494" s="716">
        <v>37.44</v>
      </c>
    </row>
    <row r="6495" spans="1:4" ht="56">
      <c r="A6495" s="715">
        <v>92905</v>
      </c>
      <c r="B6495" s="633" t="s">
        <v>43355</v>
      </c>
      <c r="C6495" s="715" t="s">
        <v>103</v>
      </c>
      <c r="D6495" s="716">
        <v>54.26</v>
      </c>
    </row>
    <row r="6496" spans="1:4" ht="56">
      <c r="A6496" s="715">
        <v>92906</v>
      </c>
      <c r="B6496" s="633" t="s">
        <v>43356</v>
      </c>
      <c r="C6496" s="715" t="s">
        <v>103</v>
      </c>
      <c r="D6496" s="716">
        <v>68.3</v>
      </c>
    </row>
    <row r="6497" spans="1:4" ht="56">
      <c r="A6497" s="715">
        <v>92898</v>
      </c>
      <c r="B6497" s="633" t="s">
        <v>43357</v>
      </c>
      <c r="C6497" s="715" t="s">
        <v>103</v>
      </c>
      <c r="D6497" s="716">
        <v>55.63</v>
      </c>
    </row>
    <row r="6498" spans="1:4" ht="56">
      <c r="A6498" s="715">
        <v>92899</v>
      </c>
      <c r="B6498" s="633" t="s">
        <v>43358</v>
      </c>
      <c r="C6498" s="715" t="s">
        <v>103</v>
      </c>
      <c r="D6498" s="716">
        <v>81.14</v>
      </c>
    </row>
    <row r="6499" spans="1:4" ht="56">
      <c r="A6499" s="715">
        <v>92900</v>
      </c>
      <c r="B6499" s="633" t="s">
        <v>43359</v>
      </c>
      <c r="C6499" s="715" t="s">
        <v>103</v>
      </c>
      <c r="D6499" s="716">
        <v>97.76</v>
      </c>
    </row>
    <row r="6500" spans="1:4" ht="56">
      <c r="A6500" s="715">
        <v>92901</v>
      </c>
      <c r="B6500" s="633" t="s">
        <v>43360</v>
      </c>
      <c r="C6500" s="715" t="s">
        <v>103</v>
      </c>
      <c r="D6500" s="716">
        <v>134.82</v>
      </c>
    </row>
    <row r="6501" spans="1:4" ht="56">
      <c r="A6501" s="715">
        <v>92902</v>
      </c>
      <c r="B6501" s="633" t="s">
        <v>43361</v>
      </c>
      <c r="C6501" s="715" t="s">
        <v>103</v>
      </c>
      <c r="D6501" s="716">
        <v>208.91</v>
      </c>
    </row>
    <row r="6502" spans="1:4" ht="56">
      <c r="A6502" s="715">
        <v>92903</v>
      </c>
      <c r="B6502" s="633" t="s">
        <v>43362</v>
      </c>
      <c r="C6502" s="715" t="s">
        <v>103</v>
      </c>
      <c r="D6502" s="716">
        <v>309.95999999999998</v>
      </c>
    </row>
    <row r="6503" spans="1:4" ht="56">
      <c r="A6503" s="715">
        <v>92892</v>
      </c>
      <c r="B6503" s="633" t="s">
        <v>43363</v>
      </c>
      <c r="C6503" s="715" t="s">
        <v>103</v>
      </c>
      <c r="D6503" s="716">
        <v>66.84</v>
      </c>
    </row>
    <row r="6504" spans="1:4" ht="56">
      <c r="A6504" s="715">
        <v>92893</v>
      </c>
      <c r="B6504" s="633" t="s">
        <v>43364</v>
      </c>
      <c r="C6504" s="715" t="s">
        <v>103</v>
      </c>
      <c r="D6504" s="716">
        <v>93.88</v>
      </c>
    </row>
    <row r="6505" spans="1:4" ht="56">
      <c r="A6505" s="715">
        <v>92894</v>
      </c>
      <c r="B6505" s="633" t="s">
        <v>43365</v>
      </c>
      <c r="C6505" s="715" t="s">
        <v>103</v>
      </c>
      <c r="D6505" s="716">
        <v>112.26</v>
      </c>
    </row>
    <row r="6506" spans="1:4" ht="42">
      <c r="A6506" s="715">
        <v>92889</v>
      </c>
      <c r="B6506" s="633" t="s">
        <v>43366</v>
      </c>
      <c r="C6506" s="715" t="s">
        <v>103</v>
      </c>
      <c r="D6506" s="716">
        <v>156.09</v>
      </c>
    </row>
    <row r="6507" spans="1:4" ht="56">
      <c r="A6507" s="715">
        <v>92895</v>
      </c>
      <c r="B6507" s="633" t="s">
        <v>43367</v>
      </c>
      <c r="C6507" s="715" t="s">
        <v>103</v>
      </c>
      <c r="D6507" s="716">
        <v>151.5</v>
      </c>
    </row>
    <row r="6508" spans="1:4" ht="42">
      <c r="A6508" s="715">
        <v>92890</v>
      </c>
      <c r="B6508" s="633" t="s">
        <v>43368</v>
      </c>
      <c r="C6508" s="715" t="s">
        <v>103</v>
      </c>
      <c r="D6508" s="716">
        <v>228.97</v>
      </c>
    </row>
    <row r="6509" spans="1:4" ht="56">
      <c r="A6509" s="715">
        <v>92896</v>
      </c>
      <c r="B6509" s="633" t="s">
        <v>43369</v>
      </c>
      <c r="C6509" s="715" t="s">
        <v>103</v>
      </c>
      <c r="D6509" s="716">
        <v>228.88</v>
      </c>
    </row>
    <row r="6510" spans="1:4" ht="42">
      <c r="A6510" s="715">
        <v>92891</v>
      </c>
      <c r="B6510" s="633" t="s">
        <v>43370</v>
      </c>
      <c r="C6510" s="715" t="s">
        <v>103</v>
      </c>
      <c r="D6510" s="716">
        <v>328.8</v>
      </c>
    </row>
    <row r="6511" spans="1:4" ht="56">
      <c r="A6511" s="715">
        <v>92897</v>
      </c>
      <c r="B6511" s="633" t="s">
        <v>43371</v>
      </c>
      <c r="C6511" s="715" t="s">
        <v>103</v>
      </c>
      <c r="D6511" s="716">
        <v>333.22</v>
      </c>
    </row>
    <row r="6512" spans="1:4" ht="56">
      <c r="A6512" s="715">
        <v>100822</v>
      </c>
      <c r="B6512" s="633" t="s">
        <v>40635</v>
      </c>
      <c r="C6512" s="715" t="s">
        <v>103</v>
      </c>
      <c r="D6512" s="716">
        <v>0</v>
      </c>
    </row>
    <row r="6513" spans="1:4" ht="56">
      <c r="A6513" s="715">
        <v>100823</v>
      </c>
      <c r="B6513" s="633" t="s">
        <v>40636</v>
      </c>
      <c r="C6513" s="715" t="s">
        <v>103</v>
      </c>
      <c r="D6513" s="716">
        <v>0</v>
      </c>
    </row>
    <row r="6514" spans="1:4" ht="56">
      <c r="A6514" s="715">
        <v>100824</v>
      </c>
      <c r="B6514" s="633" t="s">
        <v>40637</v>
      </c>
      <c r="C6514" s="715" t="s">
        <v>103</v>
      </c>
      <c r="D6514" s="716">
        <v>0</v>
      </c>
    </row>
    <row r="6515" spans="1:4" ht="56">
      <c r="A6515" s="715">
        <v>100825</v>
      </c>
      <c r="B6515" s="633" t="s">
        <v>40638</v>
      </c>
      <c r="C6515" s="715" t="s">
        <v>103</v>
      </c>
      <c r="D6515" s="716">
        <v>0</v>
      </c>
    </row>
    <row r="6516" spans="1:4" ht="56">
      <c r="A6516" s="715">
        <v>100818</v>
      </c>
      <c r="B6516" s="633" t="s">
        <v>33929</v>
      </c>
      <c r="C6516" s="715" t="s">
        <v>103</v>
      </c>
      <c r="D6516" s="716">
        <v>0</v>
      </c>
    </row>
    <row r="6517" spans="1:4" ht="56">
      <c r="A6517" s="715">
        <v>100819</v>
      </c>
      <c r="B6517" s="633" t="s">
        <v>40639</v>
      </c>
      <c r="C6517" s="715" t="s">
        <v>103</v>
      </c>
      <c r="D6517" s="716">
        <v>0</v>
      </c>
    </row>
    <row r="6518" spans="1:4" ht="56">
      <c r="A6518" s="715">
        <v>100820</v>
      </c>
      <c r="B6518" s="633" t="s">
        <v>40640</v>
      </c>
      <c r="C6518" s="715" t="s">
        <v>103</v>
      </c>
      <c r="D6518" s="716">
        <v>0</v>
      </c>
    </row>
    <row r="6519" spans="1:4" ht="56">
      <c r="A6519" s="715">
        <v>100821</v>
      </c>
      <c r="B6519" s="633" t="s">
        <v>40641</v>
      </c>
      <c r="C6519" s="715" t="s">
        <v>103</v>
      </c>
      <c r="D6519" s="716">
        <v>0</v>
      </c>
    </row>
    <row r="6520" spans="1:4" ht="70">
      <c r="A6520" s="715">
        <v>100846</v>
      </c>
      <c r="B6520" s="633" t="s">
        <v>33930</v>
      </c>
      <c r="C6520" s="715" t="s">
        <v>103</v>
      </c>
      <c r="D6520" s="716">
        <v>0</v>
      </c>
    </row>
    <row r="6521" spans="1:4" ht="42">
      <c r="A6521" s="715">
        <v>100834</v>
      </c>
      <c r="B6521" s="633" t="s">
        <v>33931</v>
      </c>
      <c r="C6521" s="715" t="s">
        <v>103</v>
      </c>
      <c r="D6521" s="716">
        <v>0</v>
      </c>
    </row>
    <row r="6522" spans="1:4" ht="42">
      <c r="A6522" s="715">
        <v>100835</v>
      </c>
      <c r="B6522" s="633" t="s">
        <v>33932</v>
      </c>
      <c r="C6522" s="715" t="s">
        <v>103</v>
      </c>
      <c r="D6522" s="716">
        <v>0</v>
      </c>
    </row>
    <row r="6523" spans="1:4" ht="42">
      <c r="A6523" s="715">
        <v>100836</v>
      </c>
      <c r="B6523" s="633" t="s">
        <v>33933</v>
      </c>
      <c r="C6523" s="715" t="s">
        <v>103</v>
      </c>
      <c r="D6523" s="716">
        <v>0</v>
      </c>
    </row>
    <row r="6524" spans="1:4" ht="42">
      <c r="A6524" s="715">
        <v>100837</v>
      </c>
      <c r="B6524" s="633" t="s">
        <v>33934</v>
      </c>
      <c r="C6524" s="715" t="s">
        <v>103</v>
      </c>
      <c r="D6524" s="716">
        <v>0</v>
      </c>
    </row>
    <row r="6525" spans="1:4" ht="56">
      <c r="A6525" s="715">
        <v>100826</v>
      </c>
      <c r="B6525" s="633" t="s">
        <v>33935</v>
      </c>
      <c r="C6525" s="715" t="s">
        <v>103</v>
      </c>
      <c r="D6525" s="716">
        <v>0</v>
      </c>
    </row>
    <row r="6526" spans="1:4" ht="56">
      <c r="A6526" s="715">
        <v>100827</v>
      </c>
      <c r="B6526" s="633" t="s">
        <v>33936</v>
      </c>
      <c r="C6526" s="715" t="s">
        <v>103</v>
      </c>
      <c r="D6526" s="716">
        <v>0</v>
      </c>
    </row>
    <row r="6527" spans="1:4" ht="56">
      <c r="A6527" s="715">
        <v>100828</v>
      </c>
      <c r="B6527" s="633" t="s">
        <v>33937</v>
      </c>
      <c r="C6527" s="715" t="s">
        <v>103</v>
      </c>
      <c r="D6527" s="716">
        <v>0</v>
      </c>
    </row>
    <row r="6528" spans="1:4" ht="56">
      <c r="A6528" s="715">
        <v>100829</v>
      </c>
      <c r="B6528" s="633" t="s">
        <v>33938</v>
      </c>
      <c r="C6528" s="715" t="s">
        <v>103</v>
      </c>
      <c r="D6528" s="716">
        <v>0</v>
      </c>
    </row>
    <row r="6529" spans="1:4" ht="56">
      <c r="A6529" s="715">
        <v>100830</v>
      </c>
      <c r="B6529" s="633" t="s">
        <v>33939</v>
      </c>
      <c r="C6529" s="715" t="s">
        <v>103</v>
      </c>
      <c r="D6529" s="716">
        <v>0</v>
      </c>
    </row>
    <row r="6530" spans="1:4" ht="56">
      <c r="A6530" s="715">
        <v>100831</v>
      </c>
      <c r="B6530" s="633" t="s">
        <v>33940</v>
      </c>
      <c r="C6530" s="715" t="s">
        <v>103</v>
      </c>
      <c r="D6530" s="716">
        <v>0</v>
      </c>
    </row>
    <row r="6531" spans="1:4" ht="56">
      <c r="A6531" s="715">
        <v>100832</v>
      </c>
      <c r="B6531" s="633" t="s">
        <v>33941</v>
      </c>
      <c r="C6531" s="715" t="s">
        <v>103</v>
      </c>
      <c r="D6531" s="716">
        <v>0</v>
      </c>
    </row>
    <row r="6532" spans="1:4" ht="56">
      <c r="A6532" s="715">
        <v>100833</v>
      </c>
      <c r="B6532" s="633" t="s">
        <v>33942</v>
      </c>
      <c r="C6532" s="715" t="s">
        <v>103</v>
      </c>
      <c r="D6532" s="716">
        <v>0</v>
      </c>
    </row>
    <row r="6533" spans="1:4" ht="56">
      <c r="A6533" s="715">
        <v>100790</v>
      </c>
      <c r="B6533" s="633" t="s">
        <v>33943</v>
      </c>
      <c r="C6533" s="715" t="s">
        <v>103</v>
      </c>
      <c r="D6533" s="716">
        <v>0</v>
      </c>
    </row>
    <row r="6534" spans="1:4" ht="56">
      <c r="A6534" s="715">
        <v>100789</v>
      </c>
      <c r="B6534" s="633" t="s">
        <v>33944</v>
      </c>
      <c r="C6534" s="715" t="s">
        <v>103</v>
      </c>
      <c r="D6534" s="716">
        <v>0</v>
      </c>
    </row>
    <row r="6535" spans="1:4" ht="56">
      <c r="A6535" s="715">
        <v>100788</v>
      </c>
      <c r="B6535" s="633" t="s">
        <v>25954</v>
      </c>
      <c r="C6535" s="715" t="s">
        <v>103</v>
      </c>
      <c r="D6535" s="716">
        <v>765.48</v>
      </c>
    </row>
    <row r="6536" spans="1:4" ht="56">
      <c r="A6536" s="715">
        <v>100811</v>
      </c>
      <c r="B6536" s="633" t="s">
        <v>33945</v>
      </c>
      <c r="C6536" s="715" t="s">
        <v>103</v>
      </c>
      <c r="D6536" s="716">
        <v>0</v>
      </c>
    </row>
    <row r="6537" spans="1:4" ht="56">
      <c r="A6537" s="715">
        <v>100812</v>
      </c>
      <c r="B6537" s="633" t="s">
        <v>33946</v>
      </c>
      <c r="C6537" s="715" t="s">
        <v>103</v>
      </c>
      <c r="D6537" s="716">
        <v>0</v>
      </c>
    </row>
    <row r="6538" spans="1:4" ht="56">
      <c r="A6538" s="715">
        <v>100813</v>
      </c>
      <c r="B6538" s="633" t="s">
        <v>33947</v>
      </c>
      <c r="C6538" s="715" t="s">
        <v>103</v>
      </c>
      <c r="D6538" s="716">
        <v>0</v>
      </c>
    </row>
    <row r="6539" spans="1:4" ht="42">
      <c r="A6539" s="715">
        <v>100814</v>
      </c>
      <c r="B6539" s="633" t="s">
        <v>33948</v>
      </c>
      <c r="C6539" s="715" t="s">
        <v>103</v>
      </c>
      <c r="D6539" s="716">
        <v>0</v>
      </c>
    </row>
    <row r="6540" spans="1:4" ht="42">
      <c r="A6540" s="715">
        <v>100815</v>
      </c>
      <c r="B6540" s="633" t="s">
        <v>33949</v>
      </c>
      <c r="C6540" s="715" t="s">
        <v>103</v>
      </c>
      <c r="D6540" s="716">
        <v>0</v>
      </c>
    </row>
    <row r="6541" spans="1:4" ht="42">
      <c r="A6541" s="715">
        <v>100816</v>
      </c>
      <c r="B6541" s="633" t="s">
        <v>33950</v>
      </c>
      <c r="C6541" s="715" t="s">
        <v>103</v>
      </c>
      <c r="D6541" s="716">
        <v>0</v>
      </c>
    </row>
    <row r="6542" spans="1:4" ht="42">
      <c r="A6542" s="715">
        <v>100817</v>
      </c>
      <c r="B6542" s="633" t="s">
        <v>33951</v>
      </c>
      <c r="C6542" s="715" t="s">
        <v>103</v>
      </c>
      <c r="D6542" s="716">
        <v>0</v>
      </c>
    </row>
    <row r="6543" spans="1:4" ht="42">
      <c r="A6543" s="715">
        <v>100795</v>
      </c>
      <c r="B6543" s="633" t="s">
        <v>33952</v>
      </c>
      <c r="C6543" s="715" t="s">
        <v>165</v>
      </c>
      <c r="D6543" s="716">
        <v>0</v>
      </c>
    </row>
    <row r="6544" spans="1:4" ht="42">
      <c r="A6544" s="715">
        <v>100842</v>
      </c>
      <c r="B6544" s="633" t="s">
        <v>33953</v>
      </c>
      <c r="C6544" s="715" t="s">
        <v>165</v>
      </c>
      <c r="D6544" s="716">
        <v>0</v>
      </c>
    </row>
    <row r="6545" spans="1:4" ht="42">
      <c r="A6545" s="715">
        <v>100796</v>
      </c>
      <c r="B6545" s="633" t="s">
        <v>33954</v>
      </c>
      <c r="C6545" s="715" t="s">
        <v>165</v>
      </c>
      <c r="D6545" s="716">
        <v>0</v>
      </c>
    </row>
    <row r="6546" spans="1:4" ht="42">
      <c r="A6546" s="715">
        <v>100843</v>
      </c>
      <c r="B6546" s="633" t="s">
        <v>33955</v>
      </c>
      <c r="C6546" s="715" t="s">
        <v>165</v>
      </c>
      <c r="D6546" s="716">
        <v>0</v>
      </c>
    </row>
    <row r="6547" spans="1:4" ht="42">
      <c r="A6547" s="715">
        <v>100844</v>
      </c>
      <c r="B6547" s="633" t="s">
        <v>33956</v>
      </c>
      <c r="C6547" s="715" t="s">
        <v>165</v>
      </c>
      <c r="D6547" s="716">
        <v>0</v>
      </c>
    </row>
    <row r="6548" spans="1:4" ht="42">
      <c r="A6548" s="715">
        <v>100797</v>
      </c>
      <c r="B6548" s="633" t="s">
        <v>33957</v>
      </c>
      <c r="C6548" s="715" t="s">
        <v>165</v>
      </c>
      <c r="D6548" s="716">
        <v>0</v>
      </c>
    </row>
    <row r="6549" spans="1:4" ht="42">
      <c r="A6549" s="715">
        <v>100798</v>
      </c>
      <c r="B6549" s="633" t="s">
        <v>33958</v>
      </c>
      <c r="C6549" s="715" t="s">
        <v>165</v>
      </c>
      <c r="D6549" s="716">
        <v>0</v>
      </c>
    </row>
    <row r="6550" spans="1:4" ht="42">
      <c r="A6550" s="715">
        <v>100845</v>
      </c>
      <c r="B6550" s="633" t="s">
        <v>33959</v>
      </c>
      <c r="C6550" s="715" t="s">
        <v>165</v>
      </c>
      <c r="D6550" s="716">
        <v>0</v>
      </c>
    </row>
    <row r="6551" spans="1:4" ht="42">
      <c r="A6551" s="715">
        <v>100799</v>
      </c>
      <c r="B6551" s="633" t="s">
        <v>25959</v>
      </c>
      <c r="C6551" s="715" t="s">
        <v>165</v>
      </c>
      <c r="D6551" s="716">
        <v>22.36</v>
      </c>
    </row>
    <row r="6552" spans="1:4" ht="42">
      <c r="A6552" s="715">
        <v>100807</v>
      </c>
      <c r="B6552" s="633" t="s">
        <v>25967</v>
      </c>
      <c r="C6552" s="715" t="s">
        <v>165</v>
      </c>
      <c r="D6552" s="716">
        <v>30.8</v>
      </c>
    </row>
    <row r="6553" spans="1:4" ht="42">
      <c r="A6553" s="715">
        <v>100800</v>
      </c>
      <c r="B6553" s="633" t="s">
        <v>25960</v>
      </c>
      <c r="C6553" s="715" t="s">
        <v>165</v>
      </c>
      <c r="D6553" s="716">
        <v>31.01</v>
      </c>
    </row>
    <row r="6554" spans="1:4" ht="42">
      <c r="A6554" s="715">
        <v>100808</v>
      </c>
      <c r="B6554" s="633" t="s">
        <v>25968</v>
      </c>
      <c r="C6554" s="715" t="s">
        <v>165</v>
      </c>
      <c r="D6554" s="716">
        <v>41.04</v>
      </c>
    </row>
    <row r="6555" spans="1:4" ht="42">
      <c r="A6555" s="715">
        <v>100801</v>
      </c>
      <c r="B6555" s="633" t="s">
        <v>25961</v>
      </c>
      <c r="C6555" s="715" t="s">
        <v>165</v>
      </c>
      <c r="D6555" s="716">
        <v>40.119999999999997</v>
      </c>
    </row>
    <row r="6556" spans="1:4" ht="42">
      <c r="A6556" s="715">
        <v>100809</v>
      </c>
      <c r="B6556" s="633" t="s">
        <v>25969</v>
      </c>
      <c r="C6556" s="715" t="s">
        <v>165</v>
      </c>
      <c r="D6556" s="716">
        <v>52.11</v>
      </c>
    </row>
    <row r="6557" spans="1:4" ht="42">
      <c r="A6557" s="715">
        <v>100802</v>
      </c>
      <c r="B6557" s="633" t="s">
        <v>25962</v>
      </c>
      <c r="C6557" s="715" t="s">
        <v>165</v>
      </c>
      <c r="D6557" s="716">
        <v>52.99</v>
      </c>
    </row>
    <row r="6558" spans="1:4" ht="42">
      <c r="A6558" s="715">
        <v>100810</v>
      </c>
      <c r="B6558" s="633" t="s">
        <v>25970</v>
      </c>
      <c r="C6558" s="715" t="s">
        <v>165</v>
      </c>
      <c r="D6558" s="716">
        <v>67.739999999999995</v>
      </c>
    </row>
    <row r="6559" spans="1:4" ht="42">
      <c r="A6559" s="715">
        <v>100791</v>
      </c>
      <c r="B6559" s="633" t="s">
        <v>25955</v>
      </c>
      <c r="C6559" s="715" t="s">
        <v>165</v>
      </c>
      <c r="D6559" s="716">
        <v>21.63</v>
      </c>
    </row>
    <row r="6560" spans="1:4" ht="42">
      <c r="A6560" s="715">
        <v>100803</v>
      </c>
      <c r="B6560" s="633" t="s">
        <v>25963</v>
      </c>
      <c r="C6560" s="715" t="s">
        <v>165</v>
      </c>
      <c r="D6560" s="716">
        <v>20.14</v>
      </c>
    </row>
    <row r="6561" spans="1:4" ht="42">
      <c r="A6561" s="715">
        <v>100792</v>
      </c>
      <c r="B6561" s="633" t="s">
        <v>25956</v>
      </c>
      <c r="C6561" s="715" t="s">
        <v>165</v>
      </c>
      <c r="D6561" s="716">
        <v>30.28</v>
      </c>
    </row>
    <row r="6562" spans="1:4" ht="42">
      <c r="A6562" s="715">
        <v>100804</v>
      </c>
      <c r="B6562" s="633" t="s">
        <v>25964</v>
      </c>
      <c r="C6562" s="715" t="s">
        <v>165</v>
      </c>
      <c r="D6562" s="716">
        <v>28.52</v>
      </c>
    </row>
    <row r="6563" spans="1:4" ht="42">
      <c r="A6563" s="715">
        <v>100793</v>
      </c>
      <c r="B6563" s="633" t="s">
        <v>25957</v>
      </c>
      <c r="C6563" s="715" t="s">
        <v>165</v>
      </c>
      <c r="D6563" s="716">
        <v>39.39</v>
      </c>
    </row>
    <row r="6564" spans="1:4" ht="42">
      <c r="A6564" s="715">
        <v>100805</v>
      </c>
      <c r="B6564" s="633" t="s">
        <v>25965</v>
      </c>
      <c r="C6564" s="715" t="s">
        <v>165</v>
      </c>
      <c r="D6564" s="716">
        <v>37.29</v>
      </c>
    </row>
    <row r="6565" spans="1:4" ht="42">
      <c r="A6565" s="715">
        <v>100794</v>
      </c>
      <c r="B6565" s="633" t="s">
        <v>25958</v>
      </c>
      <c r="C6565" s="715" t="s">
        <v>165</v>
      </c>
      <c r="D6565" s="716">
        <v>52.26</v>
      </c>
    </row>
    <row r="6566" spans="1:4" ht="42">
      <c r="A6566" s="715">
        <v>100806</v>
      </c>
      <c r="B6566" s="633" t="s">
        <v>25966</v>
      </c>
      <c r="C6566" s="715" t="s">
        <v>165</v>
      </c>
      <c r="D6566" s="716">
        <v>49.68</v>
      </c>
    </row>
    <row r="6567" spans="1:4" ht="42">
      <c r="A6567" s="715">
        <v>100838</v>
      </c>
      <c r="B6567" s="633" t="s">
        <v>33960</v>
      </c>
      <c r="C6567" s="715" t="s">
        <v>103</v>
      </c>
      <c r="D6567" s="716">
        <v>0</v>
      </c>
    </row>
    <row r="6568" spans="1:4" ht="42">
      <c r="A6568" s="715">
        <v>100839</v>
      </c>
      <c r="B6568" s="633" t="s">
        <v>33961</v>
      </c>
      <c r="C6568" s="715" t="s">
        <v>103</v>
      </c>
      <c r="D6568" s="716">
        <v>0</v>
      </c>
    </row>
    <row r="6569" spans="1:4" ht="42">
      <c r="A6569" s="715">
        <v>100840</v>
      </c>
      <c r="B6569" s="633" t="s">
        <v>33962</v>
      </c>
      <c r="C6569" s="715" t="s">
        <v>103</v>
      </c>
      <c r="D6569" s="716">
        <v>0</v>
      </c>
    </row>
    <row r="6570" spans="1:4" ht="42">
      <c r="A6570" s="715">
        <v>100841</v>
      </c>
      <c r="B6570" s="633" t="s">
        <v>33963</v>
      </c>
      <c r="C6570" s="715" t="s">
        <v>103</v>
      </c>
      <c r="D6570" s="716">
        <v>0</v>
      </c>
    </row>
    <row r="6571" spans="1:4" ht="28">
      <c r="A6571" s="715">
        <v>103283</v>
      </c>
      <c r="B6571" s="633" t="s">
        <v>33964</v>
      </c>
      <c r="C6571" s="715" t="s">
        <v>103</v>
      </c>
      <c r="D6571" s="716">
        <v>0</v>
      </c>
    </row>
    <row r="6572" spans="1:4" ht="28">
      <c r="A6572" s="715">
        <v>103284</v>
      </c>
      <c r="B6572" s="633" t="s">
        <v>33965</v>
      </c>
      <c r="C6572" s="715" t="s">
        <v>103</v>
      </c>
      <c r="D6572" s="716">
        <v>0</v>
      </c>
    </row>
    <row r="6573" spans="1:4" ht="28">
      <c r="A6573" s="715">
        <v>103282</v>
      </c>
      <c r="B6573" s="633" t="s">
        <v>33966</v>
      </c>
      <c r="C6573" s="715" t="s">
        <v>103</v>
      </c>
      <c r="D6573" s="716">
        <v>0</v>
      </c>
    </row>
    <row r="6574" spans="1:4" ht="42">
      <c r="A6574" s="715">
        <v>103279</v>
      </c>
      <c r="B6574" s="633" t="s">
        <v>33967</v>
      </c>
      <c r="C6574" s="715" t="s">
        <v>103</v>
      </c>
      <c r="D6574" s="716">
        <v>0</v>
      </c>
    </row>
    <row r="6575" spans="1:4" ht="42">
      <c r="A6575" s="715">
        <v>103280</v>
      </c>
      <c r="B6575" s="633" t="s">
        <v>33968</v>
      </c>
      <c r="C6575" s="715" t="s">
        <v>103</v>
      </c>
      <c r="D6575" s="716">
        <v>0</v>
      </c>
    </row>
    <row r="6576" spans="1:4" ht="42">
      <c r="A6576" s="715">
        <v>103281</v>
      </c>
      <c r="B6576" s="633" t="s">
        <v>33969</v>
      </c>
      <c r="C6576" s="715" t="s">
        <v>103</v>
      </c>
      <c r="D6576" s="716">
        <v>0</v>
      </c>
    </row>
    <row r="6577" spans="1:4" ht="42">
      <c r="A6577" s="715">
        <v>103247</v>
      </c>
      <c r="B6577" s="633" t="s">
        <v>25873</v>
      </c>
      <c r="C6577" s="715" t="s">
        <v>103</v>
      </c>
      <c r="D6577" s="716">
        <v>2632.54</v>
      </c>
    </row>
    <row r="6578" spans="1:4" ht="42">
      <c r="A6578" s="715">
        <v>103250</v>
      </c>
      <c r="B6578" s="633" t="s">
        <v>25876</v>
      </c>
      <c r="C6578" s="715" t="s">
        <v>103</v>
      </c>
      <c r="D6578" s="716">
        <v>3805.05</v>
      </c>
    </row>
    <row r="6579" spans="1:4" ht="42">
      <c r="A6579" s="715">
        <v>103253</v>
      </c>
      <c r="B6579" s="633" t="s">
        <v>25879</v>
      </c>
      <c r="C6579" s="715" t="s">
        <v>103</v>
      </c>
      <c r="D6579" s="716">
        <v>5169.03</v>
      </c>
    </row>
    <row r="6580" spans="1:4" ht="42">
      <c r="A6580" s="715">
        <v>103244</v>
      </c>
      <c r="B6580" s="633" t="s">
        <v>25870</v>
      </c>
      <c r="C6580" s="715" t="s">
        <v>103</v>
      </c>
      <c r="D6580" s="716">
        <v>2377.0700000000002</v>
      </c>
    </row>
    <row r="6581" spans="1:4" ht="42">
      <c r="A6581" s="715">
        <v>103256</v>
      </c>
      <c r="B6581" s="633" t="s">
        <v>29038</v>
      </c>
      <c r="C6581" s="715" t="s">
        <v>103</v>
      </c>
      <c r="D6581" s="716">
        <v>9579.02</v>
      </c>
    </row>
    <row r="6582" spans="1:4" ht="42">
      <c r="A6582" s="715">
        <v>103258</v>
      </c>
      <c r="B6582" s="633" t="s">
        <v>29040</v>
      </c>
      <c r="C6582" s="715" t="s">
        <v>103</v>
      </c>
      <c r="D6582" s="716">
        <v>10700.9</v>
      </c>
    </row>
    <row r="6583" spans="1:4" ht="42">
      <c r="A6583" s="715">
        <v>103260</v>
      </c>
      <c r="B6583" s="633" t="s">
        <v>29042</v>
      </c>
      <c r="C6583" s="715" t="s">
        <v>103</v>
      </c>
      <c r="D6583" s="716">
        <v>5965.53</v>
      </c>
    </row>
    <row r="6584" spans="1:4" ht="42">
      <c r="A6584" s="715">
        <v>103261</v>
      </c>
      <c r="B6584" s="633" t="s">
        <v>29043</v>
      </c>
      <c r="C6584" s="715" t="s">
        <v>103</v>
      </c>
      <c r="D6584" s="716">
        <v>12069.64</v>
      </c>
    </row>
    <row r="6585" spans="1:4" ht="42">
      <c r="A6585" s="715">
        <v>103263</v>
      </c>
      <c r="B6585" s="633" t="s">
        <v>25882</v>
      </c>
      <c r="C6585" s="715" t="s">
        <v>103</v>
      </c>
      <c r="D6585" s="716">
        <v>16753.77</v>
      </c>
    </row>
    <row r="6586" spans="1:4" ht="42">
      <c r="A6586" s="715">
        <v>103265</v>
      </c>
      <c r="B6586" s="633" t="s">
        <v>25884</v>
      </c>
      <c r="C6586" s="715" t="s">
        <v>103</v>
      </c>
      <c r="D6586" s="716">
        <v>20169.07</v>
      </c>
    </row>
    <row r="6587" spans="1:4" ht="42">
      <c r="A6587" s="715">
        <v>103268</v>
      </c>
      <c r="B6587" s="633" t="s">
        <v>25887</v>
      </c>
      <c r="C6587" s="715" t="s">
        <v>103</v>
      </c>
      <c r="D6587" s="716">
        <v>7131.88</v>
      </c>
    </row>
    <row r="6588" spans="1:4" ht="42">
      <c r="A6588" s="715">
        <v>103270</v>
      </c>
      <c r="B6588" s="633" t="s">
        <v>25889</v>
      </c>
      <c r="C6588" s="715" t="s">
        <v>103</v>
      </c>
      <c r="D6588" s="716">
        <v>7662.2</v>
      </c>
    </row>
    <row r="6589" spans="1:4" ht="42">
      <c r="A6589" s="715">
        <v>103272</v>
      </c>
      <c r="B6589" s="633" t="s">
        <v>25891</v>
      </c>
      <c r="C6589" s="715" t="s">
        <v>103</v>
      </c>
      <c r="D6589" s="716">
        <v>11182.24</v>
      </c>
    </row>
    <row r="6590" spans="1:4" ht="42">
      <c r="A6590" s="715">
        <v>103274</v>
      </c>
      <c r="B6590" s="633" t="s">
        <v>25893</v>
      </c>
      <c r="C6590" s="715" t="s">
        <v>103</v>
      </c>
      <c r="D6590" s="716">
        <v>13191.64</v>
      </c>
    </row>
    <row r="6591" spans="1:4" ht="42">
      <c r="A6591" s="715">
        <v>103276</v>
      </c>
      <c r="B6591" s="633" t="s">
        <v>25895</v>
      </c>
      <c r="C6591" s="715" t="s">
        <v>103</v>
      </c>
      <c r="D6591" s="716">
        <v>13764.64</v>
      </c>
    </row>
    <row r="6592" spans="1:4" ht="42">
      <c r="A6592" s="715">
        <v>103267</v>
      </c>
      <c r="B6592" s="633" t="s">
        <v>25886</v>
      </c>
      <c r="C6592" s="715" t="s">
        <v>103</v>
      </c>
      <c r="D6592" s="716">
        <v>6023.28</v>
      </c>
    </row>
    <row r="6593" spans="1:4" ht="42">
      <c r="A6593" s="715">
        <v>103269</v>
      </c>
      <c r="B6593" s="633" t="s">
        <v>25888</v>
      </c>
      <c r="C6593" s="715" t="s">
        <v>103</v>
      </c>
      <c r="D6593" s="716">
        <v>7385.25</v>
      </c>
    </row>
    <row r="6594" spans="1:4" ht="42">
      <c r="A6594" s="715">
        <v>103271</v>
      </c>
      <c r="B6594" s="633" t="s">
        <v>25890</v>
      </c>
      <c r="C6594" s="715" t="s">
        <v>103</v>
      </c>
      <c r="D6594" s="716">
        <v>10830.06</v>
      </c>
    </row>
    <row r="6595" spans="1:4" ht="42">
      <c r="A6595" s="715">
        <v>103273</v>
      </c>
      <c r="B6595" s="633" t="s">
        <v>25892</v>
      </c>
      <c r="C6595" s="715" t="s">
        <v>103</v>
      </c>
      <c r="D6595" s="716">
        <v>11535.28</v>
      </c>
    </row>
    <row r="6596" spans="1:4" ht="42">
      <c r="A6596" s="715">
        <v>103275</v>
      </c>
      <c r="B6596" s="633" t="s">
        <v>25894</v>
      </c>
      <c r="C6596" s="715" t="s">
        <v>103</v>
      </c>
      <c r="D6596" s="716">
        <v>13124.02</v>
      </c>
    </row>
    <row r="6597" spans="1:4" ht="42">
      <c r="A6597" s="715">
        <v>103248</v>
      </c>
      <c r="B6597" s="633" t="s">
        <v>25874</v>
      </c>
      <c r="C6597" s="715" t="s">
        <v>103</v>
      </c>
      <c r="D6597" s="716">
        <v>2160.77</v>
      </c>
    </row>
    <row r="6598" spans="1:4" ht="42">
      <c r="A6598" s="715">
        <v>103249</v>
      </c>
      <c r="B6598" s="633" t="s">
        <v>25875</v>
      </c>
      <c r="C6598" s="715" t="s">
        <v>103</v>
      </c>
      <c r="D6598" s="716">
        <v>2317.5300000000002</v>
      </c>
    </row>
    <row r="6599" spans="1:4" ht="42">
      <c r="A6599" s="715">
        <v>103251</v>
      </c>
      <c r="B6599" s="633" t="s">
        <v>25877</v>
      </c>
      <c r="C6599" s="715" t="s">
        <v>103</v>
      </c>
      <c r="D6599" s="716">
        <v>3017.11</v>
      </c>
    </row>
    <row r="6600" spans="1:4" ht="42">
      <c r="A6600" s="715">
        <v>103252</v>
      </c>
      <c r="B6600" s="633" t="s">
        <v>25878</v>
      </c>
      <c r="C6600" s="715" t="s">
        <v>103</v>
      </c>
      <c r="D6600" s="716">
        <v>3334.87</v>
      </c>
    </row>
    <row r="6601" spans="1:4" ht="42">
      <c r="A6601" s="715">
        <v>103254</v>
      </c>
      <c r="B6601" s="633" t="s">
        <v>25880</v>
      </c>
      <c r="C6601" s="715" t="s">
        <v>103</v>
      </c>
      <c r="D6601" s="716">
        <v>3880.84</v>
      </c>
    </row>
    <row r="6602" spans="1:4" ht="42">
      <c r="A6602" s="715">
        <v>103255</v>
      </c>
      <c r="B6602" s="633" t="s">
        <v>25881</v>
      </c>
      <c r="C6602" s="715" t="s">
        <v>103</v>
      </c>
      <c r="D6602" s="716">
        <v>4335.3500000000004</v>
      </c>
    </row>
    <row r="6603" spans="1:4" ht="42">
      <c r="A6603" s="715">
        <v>103245</v>
      </c>
      <c r="B6603" s="633" t="s">
        <v>25871</v>
      </c>
      <c r="C6603" s="715" t="s">
        <v>103</v>
      </c>
      <c r="D6603" s="716">
        <v>1885.9</v>
      </c>
    </row>
    <row r="6604" spans="1:4" ht="42">
      <c r="A6604" s="715">
        <v>103246</v>
      </c>
      <c r="B6604" s="633" t="s">
        <v>25872</v>
      </c>
      <c r="C6604" s="715" t="s">
        <v>103</v>
      </c>
      <c r="D6604" s="716">
        <v>2052.0100000000002</v>
      </c>
    </row>
    <row r="6605" spans="1:4" ht="42">
      <c r="A6605" s="715">
        <v>103257</v>
      </c>
      <c r="B6605" s="633" t="s">
        <v>29039</v>
      </c>
      <c r="C6605" s="715" t="s">
        <v>103</v>
      </c>
      <c r="D6605" s="716">
        <v>5513.25</v>
      </c>
    </row>
    <row r="6606" spans="1:4" ht="42">
      <c r="A6606" s="715">
        <v>103259</v>
      </c>
      <c r="B6606" s="633" t="s">
        <v>29041</v>
      </c>
      <c r="C6606" s="715" t="s">
        <v>103</v>
      </c>
      <c r="D6606" s="716">
        <v>5809.88</v>
      </c>
    </row>
    <row r="6607" spans="1:4" ht="42">
      <c r="A6607" s="715">
        <v>103262</v>
      </c>
      <c r="B6607" s="633" t="s">
        <v>29044</v>
      </c>
      <c r="C6607" s="715" t="s">
        <v>103</v>
      </c>
      <c r="D6607" s="716">
        <v>7613.26</v>
      </c>
    </row>
    <row r="6608" spans="1:4" ht="42">
      <c r="A6608" s="715">
        <v>103264</v>
      </c>
      <c r="B6608" s="633" t="s">
        <v>25883</v>
      </c>
      <c r="C6608" s="715" t="s">
        <v>103</v>
      </c>
      <c r="D6608" s="716">
        <v>9457.4</v>
      </c>
    </row>
    <row r="6609" spans="1:4" ht="42">
      <c r="A6609" s="715">
        <v>103266</v>
      </c>
      <c r="B6609" s="633" t="s">
        <v>25885</v>
      </c>
      <c r="C6609" s="715" t="s">
        <v>103</v>
      </c>
      <c r="D6609" s="716">
        <v>10545.76</v>
      </c>
    </row>
    <row r="6610" spans="1:4" ht="28">
      <c r="A6610" s="715">
        <v>103277</v>
      </c>
      <c r="B6610" s="633" t="s">
        <v>25896</v>
      </c>
      <c r="C6610" s="715" t="s">
        <v>103</v>
      </c>
      <c r="D6610" s="716">
        <v>25322.720000000001</v>
      </c>
    </row>
    <row r="6611" spans="1:4" ht="28">
      <c r="A6611" s="715">
        <v>103278</v>
      </c>
      <c r="B6611" s="633" t="s">
        <v>25897</v>
      </c>
      <c r="C6611" s="715" t="s">
        <v>103</v>
      </c>
      <c r="D6611" s="716">
        <v>32366.13</v>
      </c>
    </row>
    <row r="6612" spans="1:4" ht="42">
      <c r="A6612" s="715">
        <v>103285</v>
      </c>
      <c r="B6612" s="633" t="s">
        <v>33970</v>
      </c>
      <c r="C6612" s="715" t="s">
        <v>103</v>
      </c>
      <c r="D6612" s="716">
        <v>0</v>
      </c>
    </row>
    <row r="6613" spans="1:4" ht="42">
      <c r="A6613" s="715">
        <v>103286</v>
      </c>
      <c r="B6613" s="633" t="s">
        <v>33971</v>
      </c>
      <c r="C6613" s="715" t="s">
        <v>103</v>
      </c>
      <c r="D6613" s="716">
        <v>0</v>
      </c>
    </row>
    <row r="6614" spans="1:4" ht="42">
      <c r="A6614" s="715">
        <v>103287</v>
      </c>
      <c r="B6614" s="633" t="s">
        <v>33972</v>
      </c>
      <c r="C6614" s="715" t="s">
        <v>103</v>
      </c>
      <c r="D6614" s="716">
        <v>0</v>
      </c>
    </row>
    <row r="6615" spans="1:4" ht="42">
      <c r="A6615" s="715">
        <v>103288</v>
      </c>
      <c r="B6615" s="633" t="s">
        <v>25898</v>
      </c>
      <c r="C6615" s="715" t="s">
        <v>103</v>
      </c>
      <c r="D6615" s="716">
        <v>21.17</v>
      </c>
    </row>
    <row r="6616" spans="1:4" ht="42">
      <c r="A6616" s="715">
        <v>103291</v>
      </c>
      <c r="B6616" s="633" t="s">
        <v>33973</v>
      </c>
      <c r="C6616" s="715" t="s">
        <v>165</v>
      </c>
      <c r="D6616" s="716">
        <v>64.099999999999994</v>
      </c>
    </row>
    <row r="6617" spans="1:4" ht="42">
      <c r="A6617" s="715">
        <v>103289</v>
      </c>
      <c r="B6617" s="633" t="s">
        <v>33974</v>
      </c>
      <c r="C6617" s="715" t="s">
        <v>165</v>
      </c>
      <c r="D6617" s="716">
        <v>33.22</v>
      </c>
    </row>
    <row r="6618" spans="1:4" ht="42">
      <c r="A6618" s="715">
        <v>103290</v>
      </c>
      <c r="B6618" s="633" t="s">
        <v>33975</v>
      </c>
      <c r="C6618" s="715" t="s">
        <v>165</v>
      </c>
      <c r="D6618" s="716">
        <v>50.92</v>
      </c>
    </row>
    <row r="6619" spans="1:4" ht="42">
      <c r="A6619" s="715">
        <v>103292</v>
      </c>
      <c r="B6619" s="633" t="s">
        <v>33976</v>
      </c>
      <c r="C6619" s="715" t="s">
        <v>165</v>
      </c>
      <c r="D6619" s="716">
        <v>77.56</v>
      </c>
    </row>
    <row r="6620" spans="1:4" ht="56">
      <c r="A6620" s="715">
        <v>106044</v>
      </c>
      <c r="B6620" s="633" t="s">
        <v>41200</v>
      </c>
      <c r="C6620" s="715" t="s">
        <v>103</v>
      </c>
      <c r="D6620" s="716">
        <v>75.319999999999993</v>
      </c>
    </row>
    <row r="6621" spans="1:4" ht="56">
      <c r="A6621" s="715">
        <v>106045</v>
      </c>
      <c r="B6621" s="633" t="s">
        <v>41201</v>
      </c>
      <c r="C6621" s="715" t="s">
        <v>103</v>
      </c>
      <c r="D6621" s="716">
        <v>154.54</v>
      </c>
    </row>
    <row r="6622" spans="1:4" ht="56">
      <c r="A6622" s="715">
        <v>106042</v>
      </c>
      <c r="B6622" s="633" t="s">
        <v>41202</v>
      </c>
      <c r="C6622" s="715" t="s">
        <v>103</v>
      </c>
      <c r="D6622" s="716">
        <v>77.2</v>
      </c>
    </row>
    <row r="6623" spans="1:4" ht="56">
      <c r="A6623" s="715">
        <v>106043</v>
      </c>
      <c r="B6623" s="633" t="s">
        <v>41203</v>
      </c>
      <c r="C6623" s="715" t="s">
        <v>103</v>
      </c>
      <c r="D6623" s="716">
        <v>137.19</v>
      </c>
    </row>
    <row r="6624" spans="1:4" ht="56">
      <c r="A6624" s="715">
        <v>106046</v>
      </c>
      <c r="B6624" s="633" t="s">
        <v>41204</v>
      </c>
      <c r="C6624" s="715" t="s">
        <v>103</v>
      </c>
      <c r="D6624" s="716">
        <v>49.87</v>
      </c>
    </row>
    <row r="6625" spans="1:4" ht="56">
      <c r="A6625" s="715">
        <v>106047</v>
      </c>
      <c r="B6625" s="633" t="s">
        <v>41205</v>
      </c>
      <c r="C6625" s="715" t="s">
        <v>103</v>
      </c>
      <c r="D6625" s="716">
        <v>83.67</v>
      </c>
    </row>
    <row r="6626" spans="1:4" ht="42">
      <c r="A6626" s="715">
        <v>106038</v>
      </c>
      <c r="B6626" s="633" t="s">
        <v>41206</v>
      </c>
      <c r="C6626" s="715" t="s">
        <v>103</v>
      </c>
      <c r="D6626" s="716">
        <v>75.02</v>
      </c>
    </row>
    <row r="6627" spans="1:4" ht="42">
      <c r="A6627" s="715">
        <v>106039</v>
      </c>
      <c r="B6627" s="633" t="s">
        <v>41207</v>
      </c>
      <c r="C6627" s="715" t="s">
        <v>103</v>
      </c>
      <c r="D6627" s="716">
        <v>98.26</v>
      </c>
    </row>
    <row r="6628" spans="1:4" ht="56">
      <c r="A6628" s="715">
        <v>106040</v>
      </c>
      <c r="B6628" s="633" t="s">
        <v>41208</v>
      </c>
      <c r="C6628" s="715" t="s">
        <v>103</v>
      </c>
      <c r="D6628" s="716">
        <v>101.16</v>
      </c>
    </row>
    <row r="6629" spans="1:4" ht="56">
      <c r="A6629" s="715">
        <v>106041</v>
      </c>
      <c r="B6629" s="633" t="s">
        <v>41209</v>
      </c>
      <c r="C6629" s="715" t="s">
        <v>103</v>
      </c>
      <c r="D6629" s="716">
        <v>175.25</v>
      </c>
    </row>
    <row r="6630" spans="1:4" ht="56">
      <c r="A6630" s="715">
        <v>97329</v>
      </c>
      <c r="B6630" s="633" t="s">
        <v>41210</v>
      </c>
      <c r="C6630" s="715" t="s">
        <v>165</v>
      </c>
      <c r="D6630" s="716">
        <v>59.13</v>
      </c>
    </row>
    <row r="6631" spans="1:4" ht="56">
      <c r="A6631" s="715">
        <v>97327</v>
      </c>
      <c r="B6631" s="633" t="s">
        <v>41211</v>
      </c>
      <c r="C6631" s="715" t="s">
        <v>165</v>
      </c>
      <c r="D6631" s="716">
        <v>28.25</v>
      </c>
    </row>
    <row r="6632" spans="1:4" ht="56">
      <c r="A6632" s="715">
        <v>106034</v>
      </c>
      <c r="B6632" s="633" t="s">
        <v>41212</v>
      </c>
      <c r="C6632" s="715" t="s">
        <v>165</v>
      </c>
      <c r="D6632" s="716">
        <v>123.39</v>
      </c>
    </row>
    <row r="6633" spans="1:4" ht="56">
      <c r="A6633" s="715">
        <v>97328</v>
      </c>
      <c r="B6633" s="633" t="s">
        <v>41213</v>
      </c>
      <c r="C6633" s="715" t="s">
        <v>165</v>
      </c>
      <c r="D6633" s="716">
        <v>45.95</v>
      </c>
    </row>
    <row r="6634" spans="1:4" ht="56">
      <c r="A6634" s="715">
        <v>97330</v>
      </c>
      <c r="B6634" s="633" t="s">
        <v>41214</v>
      </c>
      <c r="C6634" s="715" t="s">
        <v>165</v>
      </c>
      <c r="D6634" s="716">
        <v>72.59</v>
      </c>
    </row>
    <row r="6635" spans="1:4" ht="56">
      <c r="A6635" s="715">
        <v>106035</v>
      </c>
      <c r="B6635" s="633" t="s">
        <v>41215</v>
      </c>
      <c r="C6635" s="715" t="s">
        <v>165</v>
      </c>
      <c r="D6635" s="716">
        <v>0</v>
      </c>
    </row>
    <row r="6636" spans="1:4" ht="56">
      <c r="A6636" s="715">
        <v>106036</v>
      </c>
      <c r="B6636" s="633" t="s">
        <v>41216</v>
      </c>
      <c r="C6636" s="715" t="s">
        <v>165</v>
      </c>
      <c r="D6636" s="716">
        <v>0</v>
      </c>
    </row>
    <row r="6637" spans="1:4" ht="56">
      <c r="A6637" s="715">
        <v>106037</v>
      </c>
      <c r="B6637" s="633" t="s">
        <v>41217</v>
      </c>
      <c r="C6637" s="715" t="s">
        <v>165</v>
      </c>
      <c r="D6637" s="716">
        <v>0</v>
      </c>
    </row>
    <row r="6638" spans="1:4" ht="56">
      <c r="A6638" s="715">
        <v>93085</v>
      </c>
      <c r="B6638" s="633" t="s">
        <v>26324</v>
      </c>
      <c r="C6638" s="715" t="s">
        <v>103</v>
      </c>
      <c r="D6638" s="716">
        <v>19.41</v>
      </c>
    </row>
    <row r="6639" spans="1:4" ht="56">
      <c r="A6639" s="715">
        <v>103892</v>
      </c>
      <c r="B6639" s="633" t="s">
        <v>26507</v>
      </c>
      <c r="C6639" s="715" t="s">
        <v>103</v>
      </c>
      <c r="D6639" s="716">
        <v>20.86</v>
      </c>
    </row>
    <row r="6640" spans="1:4" ht="56">
      <c r="A6640" s="715">
        <v>103823</v>
      </c>
      <c r="B6640" s="633" t="s">
        <v>26454</v>
      </c>
      <c r="C6640" s="715" t="s">
        <v>103</v>
      </c>
      <c r="D6640" s="716">
        <v>23.84</v>
      </c>
    </row>
    <row r="6641" spans="1:4" ht="56">
      <c r="A6641" s="715">
        <v>103856</v>
      </c>
      <c r="B6641" s="633" t="s">
        <v>26477</v>
      </c>
      <c r="C6641" s="715" t="s">
        <v>103</v>
      </c>
      <c r="D6641" s="716">
        <v>20.84</v>
      </c>
    </row>
    <row r="6642" spans="1:4" ht="56">
      <c r="A6642" s="715">
        <v>93108</v>
      </c>
      <c r="B6642" s="633" t="s">
        <v>26345</v>
      </c>
      <c r="C6642" s="715" t="s">
        <v>103</v>
      </c>
      <c r="D6642" s="716">
        <v>17.14</v>
      </c>
    </row>
    <row r="6643" spans="1:4" ht="56">
      <c r="A6643" s="715">
        <v>93091</v>
      </c>
      <c r="B6643" s="633" t="s">
        <v>26330</v>
      </c>
      <c r="C6643" s="715" t="s">
        <v>103</v>
      </c>
      <c r="D6643" s="716">
        <v>20.27</v>
      </c>
    </row>
    <row r="6644" spans="1:4" ht="56">
      <c r="A6644" s="715">
        <v>103900</v>
      </c>
      <c r="B6644" s="633" t="s">
        <v>26515</v>
      </c>
      <c r="C6644" s="715" t="s">
        <v>103</v>
      </c>
      <c r="D6644" s="716">
        <v>26.45</v>
      </c>
    </row>
    <row r="6645" spans="1:4" ht="56">
      <c r="A6645" s="715">
        <v>103831</v>
      </c>
      <c r="B6645" s="633" t="s">
        <v>26459</v>
      </c>
      <c r="C6645" s="715" t="s">
        <v>103</v>
      </c>
      <c r="D6645" s="716">
        <v>35.56</v>
      </c>
    </row>
    <row r="6646" spans="1:4" ht="56">
      <c r="A6646" s="715">
        <v>103864</v>
      </c>
      <c r="B6646" s="633" t="s">
        <v>26485</v>
      </c>
      <c r="C6646" s="715" t="s">
        <v>103</v>
      </c>
      <c r="D6646" s="716">
        <v>28.1</v>
      </c>
    </row>
    <row r="6647" spans="1:4" ht="56">
      <c r="A6647" s="715">
        <v>93133</v>
      </c>
      <c r="B6647" s="633" t="s">
        <v>26362</v>
      </c>
      <c r="C6647" s="715" t="s">
        <v>103</v>
      </c>
      <c r="D6647" s="716">
        <v>24.51</v>
      </c>
    </row>
    <row r="6648" spans="1:4" ht="56">
      <c r="A6648" s="715">
        <v>93057</v>
      </c>
      <c r="B6648" s="633" t="s">
        <v>26297</v>
      </c>
      <c r="C6648" s="715" t="s">
        <v>103</v>
      </c>
      <c r="D6648" s="716">
        <v>16.309999999999999</v>
      </c>
    </row>
    <row r="6649" spans="1:4" ht="56">
      <c r="A6649" s="715">
        <v>93062</v>
      </c>
      <c r="B6649" s="633" t="s">
        <v>26302</v>
      </c>
      <c r="C6649" s="715" t="s">
        <v>103</v>
      </c>
      <c r="D6649" s="716">
        <v>30.47</v>
      </c>
    </row>
    <row r="6650" spans="1:4" ht="56">
      <c r="A6650" s="715">
        <v>93065</v>
      </c>
      <c r="B6650" s="633" t="s">
        <v>26305</v>
      </c>
      <c r="C6650" s="715" t="s">
        <v>103</v>
      </c>
      <c r="D6650" s="716">
        <v>49.07</v>
      </c>
    </row>
    <row r="6651" spans="1:4" ht="56">
      <c r="A6651" s="715">
        <v>93068</v>
      </c>
      <c r="B6651" s="633" t="s">
        <v>26308</v>
      </c>
      <c r="C6651" s="715" t="s">
        <v>103</v>
      </c>
      <c r="D6651" s="716">
        <v>68.75</v>
      </c>
    </row>
    <row r="6652" spans="1:4" ht="56">
      <c r="A6652" s="715">
        <v>93071</v>
      </c>
      <c r="B6652" s="633" t="s">
        <v>26311</v>
      </c>
      <c r="C6652" s="715" t="s">
        <v>103</v>
      </c>
      <c r="D6652" s="716">
        <v>183.54</v>
      </c>
    </row>
    <row r="6653" spans="1:4" ht="56">
      <c r="A6653" s="715">
        <v>93081</v>
      </c>
      <c r="B6653" s="633" t="s">
        <v>26320</v>
      </c>
      <c r="C6653" s="715" t="s">
        <v>103</v>
      </c>
      <c r="D6653" s="716">
        <v>21.56</v>
      </c>
    </row>
    <row r="6654" spans="1:4" ht="56">
      <c r="A6654" s="715">
        <v>103887</v>
      </c>
      <c r="B6654" s="633" t="s">
        <v>26502</v>
      </c>
      <c r="C6654" s="715" t="s">
        <v>103</v>
      </c>
      <c r="D6654" s="716">
        <v>23.9</v>
      </c>
    </row>
    <row r="6655" spans="1:4" ht="56">
      <c r="A6655" s="715">
        <v>103818</v>
      </c>
      <c r="B6655" s="633" t="s">
        <v>29223</v>
      </c>
      <c r="C6655" s="715" t="s">
        <v>103</v>
      </c>
      <c r="D6655" s="716">
        <v>23.87</v>
      </c>
    </row>
    <row r="6656" spans="1:4" ht="56">
      <c r="A6656" s="715">
        <v>103851</v>
      </c>
      <c r="B6656" s="633" t="s">
        <v>29230</v>
      </c>
      <c r="C6656" s="715" t="s">
        <v>103</v>
      </c>
      <c r="D6656" s="716">
        <v>23.53</v>
      </c>
    </row>
    <row r="6657" spans="1:4" ht="56">
      <c r="A6657" s="715">
        <v>93104</v>
      </c>
      <c r="B6657" s="633" t="s">
        <v>26341</v>
      </c>
      <c r="C6657" s="715" t="s">
        <v>103</v>
      </c>
      <c r="D6657" s="716">
        <v>21.69</v>
      </c>
    </row>
    <row r="6658" spans="1:4" ht="56">
      <c r="A6658" s="715">
        <v>98602</v>
      </c>
      <c r="B6658" s="633" t="s">
        <v>26439</v>
      </c>
      <c r="C6658" s="715" t="s">
        <v>103</v>
      </c>
      <c r="D6658" s="716">
        <v>20.61</v>
      </c>
    </row>
    <row r="6659" spans="1:4" ht="56">
      <c r="A6659" s="715">
        <v>93087</v>
      </c>
      <c r="B6659" s="633" t="s">
        <v>26326</v>
      </c>
      <c r="C6659" s="715" t="s">
        <v>103</v>
      </c>
      <c r="D6659" s="716">
        <v>22.68</v>
      </c>
    </row>
    <row r="6660" spans="1:4" ht="56">
      <c r="A6660" s="715">
        <v>103893</v>
      </c>
      <c r="B6660" s="633" t="s">
        <v>26508</v>
      </c>
      <c r="C6660" s="715" t="s">
        <v>103</v>
      </c>
      <c r="D6660" s="716">
        <v>25.53</v>
      </c>
    </row>
    <row r="6661" spans="1:4" ht="56">
      <c r="A6661" s="715">
        <v>103824</v>
      </c>
      <c r="B6661" s="633" t="s">
        <v>29224</v>
      </c>
      <c r="C6661" s="715" t="s">
        <v>103</v>
      </c>
      <c r="D6661" s="716">
        <v>28.71</v>
      </c>
    </row>
    <row r="6662" spans="1:4" ht="56">
      <c r="A6662" s="715">
        <v>103857</v>
      </c>
      <c r="B6662" s="633" t="s">
        <v>26478</v>
      </c>
      <c r="C6662" s="715" t="s">
        <v>103</v>
      </c>
      <c r="D6662" s="716">
        <v>25.95</v>
      </c>
    </row>
    <row r="6663" spans="1:4" ht="56">
      <c r="A6663" s="715">
        <v>93110</v>
      </c>
      <c r="B6663" s="633" t="s">
        <v>26347</v>
      </c>
      <c r="C6663" s="715" t="s">
        <v>103</v>
      </c>
      <c r="D6663" s="716">
        <v>24.19</v>
      </c>
    </row>
    <row r="6664" spans="1:4" ht="56">
      <c r="A6664" s="715">
        <v>93054</v>
      </c>
      <c r="B6664" s="633" t="s">
        <v>26294</v>
      </c>
      <c r="C6664" s="715" t="s">
        <v>103</v>
      </c>
      <c r="D6664" s="716">
        <v>25.63</v>
      </c>
    </row>
    <row r="6665" spans="1:4" ht="56">
      <c r="A6665" s="715">
        <v>93088</v>
      </c>
      <c r="B6665" s="633" t="s">
        <v>26327</v>
      </c>
      <c r="C6665" s="715" t="s">
        <v>103</v>
      </c>
      <c r="D6665" s="716">
        <v>28.03</v>
      </c>
    </row>
    <row r="6666" spans="1:4" ht="56">
      <c r="A6666" s="715">
        <v>103894</v>
      </c>
      <c r="B6666" s="633" t="s">
        <v>26509</v>
      </c>
      <c r="C6666" s="715" t="s">
        <v>103</v>
      </c>
      <c r="D6666" s="716">
        <v>30.56</v>
      </c>
    </row>
    <row r="6667" spans="1:4" ht="56">
      <c r="A6667" s="715">
        <v>103825</v>
      </c>
      <c r="B6667" s="633" t="s">
        <v>29225</v>
      </c>
      <c r="C6667" s="715" t="s">
        <v>103</v>
      </c>
      <c r="D6667" s="716">
        <v>33.74</v>
      </c>
    </row>
    <row r="6668" spans="1:4" ht="56">
      <c r="A6668" s="715">
        <v>103858</v>
      </c>
      <c r="B6668" s="633" t="s">
        <v>26479</v>
      </c>
      <c r="C6668" s="715" t="s">
        <v>103</v>
      </c>
      <c r="D6668" s="716">
        <v>30.97</v>
      </c>
    </row>
    <row r="6669" spans="1:4" ht="56">
      <c r="A6669" s="715">
        <v>93111</v>
      </c>
      <c r="B6669" s="633" t="s">
        <v>26348</v>
      </c>
      <c r="C6669" s="715" t="s">
        <v>103</v>
      </c>
      <c r="D6669" s="716">
        <v>29.21</v>
      </c>
    </row>
    <row r="6670" spans="1:4" ht="56">
      <c r="A6670" s="715">
        <v>93059</v>
      </c>
      <c r="B6670" s="633" t="s">
        <v>26299</v>
      </c>
      <c r="C6670" s="715" t="s">
        <v>103</v>
      </c>
      <c r="D6670" s="716">
        <v>32.700000000000003</v>
      </c>
    </row>
    <row r="6671" spans="1:4" ht="56">
      <c r="A6671" s="715">
        <v>93093</v>
      </c>
      <c r="B6671" s="633" t="s">
        <v>26332</v>
      </c>
      <c r="C6671" s="715" t="s">
        <v>103</v>
      </c>
      <c r="D6671" s="716">
        <v>34.590000000000003</v>
      </c>
    </row>
    <row r="6672" spans="1:4" ht="56">
      <c r="A6672" s="715">
        <v>103899</v>
      </c>
      <c r="B6672" s="633" t="s">
        <v>26514</v>
      </c>
      <c r="C6672" s="715" t="s">
        <v>103</v>
      </c>
      <c r="D6672" s="716">
        <v>37.909999999999997</v>
      </c>
    </row>
    <row r="6673" spans="1:4" ht="56">
      <c r="A6673" s="715">
        <v>103830</v>
      </c>
      <c r="B6673" s="633" t="s">
        <v>29226</v>
      </c>
      <c r="C6673" s="715" t="s">
        <v>103</v>
      </c>
      <c r="D6673" s="716">
        <v>43.59</v>
      </c>
    </row>
    <row r="6674" spans="1:4" ht="56">
      <c r="A6674" s="715">
        <v>103863</v>
      </c>
      <c r="B6674" s="633" t="s">
        <v>26484</v>
      </c>
      <c r="C6674" s="715" t="s">
        <v>103</v>
      </c>
      <c r="D6674" s="716">
        <v>39.01</v>
      </c>
    </row>
    <row r="6675" spans="1:4" ht="56">
      <c r="A6675" s="715">
        <v>93114</v>
      </c>
      <c r="B6675" s="633" t="s">
        <v>26350</v>
      </c>
      <c r="C6675" s="715" t="s">
        <v>103</v>
      </c>
      <c r="D6675" s="716">
        <v>37.32</v>
      </c>
    </row>
    <row r="6676" spans="1:4" ht="70">
      <c r="A6676" s="715">
        <v>93075</v>
      </c>
      <c r="B6676" s="633" t="s">
        <v>26314</v>
      </c>
      <c r="C6676" s="715" t="s">
        <v>103</v>
      </c>
      <c r="D6676" s="716">
        <v>23.29</v>
      </c>
    </row>
    <row r="6677" spans="1:4" ht="56">
      <c r="A6677" s="715">
        <v>103876</v>
      </c>
      <c r="B6677" s="633" t="s">
        <v>26491</v>
      </c>
      <c r="C6677" s="715" t="s">
        <v>103</v>
      </c>
      <c r="D6677" s="716">
        <v>26.8</v>
      </c>
    </row>
    <row r="6678" spans="1:4" ht="70">
      <c r="A6678" s="715">
        <v>103807</v>
      </c>
      <c r="B6678" s="633" t="s">
        <v>29220</v>
      </c>
      <c r="C6678" s="715" t="s">
        <v>103</v>
      </c>
      <c r="D6678" s="716">
        <v>26.74</v>
      </c>
    </row>
    <row r="6679" spans="1:4" ht="70">
      <c r="A6679" s="715">
        <v>103840</v>
      </c>
      <c r="B6679" s="633" t="s">
        <v>29227</v>
      </c>
      <c r="C6679" s="715" t="s">
        <v>103</v>
      </c>
      <c r="D6679" s="716">
        <v>26.21</v>
      </c>
    </row>
    <row r="6680" spans="1:4" ht="56">
      <c r="A6680" s="715">
        <v>93098</v>
      </c>
      <c r="B6680" s="633" t="s">
        <v>26335</v>
      </c>
      <c r="C6680" s="715" t="s">
        <v>103</v>
      </c>
      <c r="D6680" s="716">
        <v>23.48</v>
      </c>
    </row>
    <row r="6681" spans="1:4" ht="56">
      <c r="A6681" s="715">
        <v>93120</v>
      </c>
      <c r="B6681" s="633" t="s">
        <v>26356</v>
      </c>
      <c r="C6681" s="715" t="s">
        <v>103</v>
      </c>
      <c r="D6681" s="716">
        <v>29.14</v>
      </c>
    </row>
    <row r="6682" spans="1:4" ht="70">
      <c r="A6682" s="715">
        <v>93077</v>
      </c>
      <c r="B6682" s="633" t="s">
        <v>26316</v>
      </c>
      <c r="C6682" s="715" t="s">
        <v>103</v>
      </c>
      <c r="D6682" s="716">
        <v>32.22</v>
      </c>
    </row>
    <row r="6683" spans="1:4" ht="56">
      <c r="A6683" s="715">
        <v>103879</v>
      </c>
      <c r="B6683" s="633" t="s">
        <v>26494</v>
      </c>
      <c r="C6683" s="715" t="s">
        <v>103</v>
      </c>
      <c r="D6683" s="716">
        <v>36.51</v>
      </c>
    </row>
    <row r="6684" spans="1:4" ht="70">
      <c r="A6684" s="715">
        <v>103810</v>
      </c>
      <c r="B6684" s="633" t="s">
        <v>29221</v>
      </c>
      <c r="C6684" s="715" t="s">
        <v>103</v>
      </c>
      <c r="D6684" s="716">
        <v>41.23</v>
      </c>
    </row>
    <row r="6685" spans="1:4" ht="70">
      <c r="A6685" s="715">
        <v>103843</v>
      </c>
      <c r="B6685" s="633" t="s">
        <v>29228</v>
      </c>
      <c r="C6685" s="715" t="s">
        <v>103</v>
      </c>
      <c r="D6685" s="716">
        <v>37.11</v>
      </c>
    </row>
    <row r="6686" spans="1:4" ht="56">
      <c r="A6686" s="715">
        <v>93100</v>
      </c>
      <c r="B6686" s="633" t="s">
        <v>26337</v>
      </c>
      <c r="C6686" s="715" t="s">
        <v>103</v>
      </c>
      <c r="D6686" s="716">
        <v>34.49</v>
      </c>
    </row>
    <row r="6687" spans="1:4" ht="56">
      <c r="A6687" s="715">
        <v>93121</v>
      </c>
      <c r="B6687" s="633" t="s">
        <v>26357</v>
      </c>
      <c r="C6687" s="715" t="s">
        <v>103</v>
      </c>
      <c r="D6687" s="716">
        <v>33.26</v>
      </c>
    </row>
    <row r="6688" spans="1:4" ht="70">
      <c r="A6688" s="715">
        <v>93078</v>
      </c>
      <c r="B6688" s="633" t="s">
        <v>26317</v>
      </c>
      <c r="C6688" s="715" t="s">
        <v>103</v>
      </c>
      <c r="D6688" s="716">
        <v>36.340000000000003</v>
      </c>
    </row>
    <row r="6689" spans="1:4" ht="56">
      <c r="A6689" s="715">
        <v>103880</v>
      </c>
      <c r="B6689" s="633" t="s">
        <v>26495</v>
      </c>
      <c r="C6689" s="715" t="s">
        <v>103</v>
      </c>
      <c r="D6689" s="716">
        <v>40.630000000000003</v>
      </c>
    </row>
    <row r="6690" spans="1:4" ht="70">
      <c r="A6690" s="715">
        <v>103811</v>
      </c>
      <c r="B6690" s="633" t="s">
        <v>29222</v>
      </c>
      <c r="C6690" s="715" t="s">
        <v>103</v>
      </c>
      <c r="D6690" s="716">
        <v>45.35</v>
      </c>
    </row>
    <row r="6691" spans="1:4" ht="70">
      <c r="A6691" s="715">
        <v>103844</v>
      </c>
      <c r="B6691" s="633" t="s">
        <v>29229</v>
      </c>
      <c r="C6691" s="715" t="s">
        <v>103</v>
      </c>
      <c r="D6691" s="716">
        <v>41.23</v>
      </c>
    </row>
    <row r="6692" spans="1:4" ht="56">
      <c r="A6692" s="715">
        <v>93101</v>
      </c>
      <c r="B6692" s="633" t="s">
        <v>26338</v>
      </c>
      <c r="C6692" s="715" t="s">
        <v>103</v>
      </c>
      <c r="D6692" s="716">
        <v>38.61</v>
      </c>
    </row>
    <row r="6693" spans="1:4" ht="56">
      <c r="A6693" s="715">
        <v>92311</v>
      </c>
      <c r="B6693" s="633" t="s">
        <v>40642</v>
      </c>
      <c r="C6693" s="715" t="s">
        <v>103</v>
      </c>
      <c r="D6693" s="716">
        <v>16.670000000000002</v>
      </c>
    </row>
    <row r="6694" spans="1:4" ht="56">
      <c r="A6694" s="715">
        <v>103874</v>
      </c>
      <c r="B6694" s="633" t="s">
        <v>26489</v>
      </c>
      <c r="C6694" s="715" t="s">
        <v>103</v>
      </c>
      <c r="D6694" s="716">
        <v>24.43</v>
      </c>
    </row>
    <row r="6695" spans="1:4" ht="56">
      <c r="A6695" s="715">
        <v>103805</v>
      </c>
      <c r="B6695" s="633" t="s">
        <v>26440</v>
      </c>
      <c r="C6695" s="715" t="s">
        <v>103</v>
      </c>
      <c r="D6695" s="716">
        <v>24.31</v>
      </c>
    </row>
    <row r="6696" spans="1:4" ht="56">
      <c r="A6696" s="715">
        <v>103838</v>
      </c>
      <c r="B6696" s="633" t="s">
        <v>26463</v>
      </c>
      <c r="C6696" s="715" t="s">
        <v>103</v>
      </c>
      <c r="D6696" s="716">
        <v>23.26</v>
      </c>
    </row>
    <row r="6697" spans="1:4" ht="56">
      <c r="A6697" s="715">
        <v>92326</v>
      </c>
      <c r="B6697" s="633" t="s">
        <v>26283</v>
      </c>
      <c r="C6697" s="715" t="s">
        <v>103</v>
      </c>
      <c r="D6697" s="716">
        <v>17.78</v>
      </c>
    </row>
    <row r="6698" spans="1:4" ht="56">
      <c r="A6698" s="715">
        <v>92287</v>
      </c>
      <c r="B6698" s="633" t="s">
        <v>26257</v>
      </c>
      <c r="C6698" s="715" t="s">
        <v>103</v>
      </c>
      <c r="D6698" s="716">
        <v>20.5</v>
      </c>
    </row>
    <row r="6699" spans="1:4" ht="56">
      <c r="A6699" s="715">
        <v>92312</v>
      </c>
      <c r="B6699" s="633" t="s">
        <v>26275</v>
      </c>
      <c r="C6699" s="715" t="s">
        <v>103</v>
      </c>
      <c r="D6699" s="716">
        <v>26.65</v>
      </c>
    </row>
    <row r="6700" spans="1:4" ht="56">
      <c r="A6700" s="715">
        <v>103877</v>
      </c>
      <c r="B6700" s="633" t="s">
        <v>26492</v>
      </c>
      <c r="C6700" s="715" t="s">
        <v>103</v>
      </c>
      <c r="D6700" s="716">
        <v>35.24</v>
      </c>
    </row>
    <row r="6701" spans="1:4" ht="56">
      <c r="A6701" s="715">
        <v>103808</v>
      </c>
      <c r="B6701" s="633" t="s">
        <v>26442</v>
      </c>
      <c r="C6701" s="715" t="s">
        <v>103</v>
      </c>
      <c r="D6701" s="716">
        <v>44.68</v>
      </c>
    </row>
    <row r="6702" spans="1:4" ht="56">
      <c r="A6702" s="715">
        <v>103841</v>
      </c>
      <c r="B6702" s="633" t="s">
        <v>26465</v>
      </c>
      <c r="C6702" s="715" t="s">
        <v>103</v>
      </c>
      <c r="D6702" s="716">
        <v>36.42</v>
      </c>
    </row>
    <row r="6703" spans="1:4" ht="56">
      <c r="A6703" s="715">
        <v>92327</v>
      </c>
      <c r="B6703" s="633" t="s">
        <v>26284</v>
      </c>
      <c r="C6703" s="715" t="s">
        <v>103</v>
      </c>
      <c r="D6703" s="716">
        <v>31.2</v>
      </c>
    </row>
    <row r="6704" spans="1:4" ht="56">
      <c r="A6704" s="715">
        <v>92288</v>
      </c>
      <c r="B6704" s="633" t="s">
        <v>26258</v>
      </c>
      <c r="C6704" s="715" t="s">
        <v>103</v>
      </c>
      <c r="D6704" s="716">
        <v>31.82</v>
      </c>
    </row>
    <row r="6705" spans="1:4" ht="56">
      <c r="A6705" s="715">
        <v>92313</v>
      </c>
      <c r="B6705" s="633" t="s">
        <v>26276</v>
      </c>
      <c r="C6705" s="715" t="s">
        <v>103</v>
      </c>
      <c r="D6705" s="716">
        <v>37.5</v>
      </c>
    </row>
    <row r="6706" spans="1:4" ht="56">
      <c r="A6706" s="715">
        <v>103881</v>
      </c>
      <c r="B6706" s="633" t="s">
        <v>26496</v>
      </c>
      <c r="C6706" s="715" t="s">
        <v>103</v>
      </c>
      <c r="D6706" s="716">
        <v>47.44</v>
      </c>
    </row>
    <row r="6707" spans="1:4" ht="56">
      <c r="A6707" s="715">
        <v>103812</v>
      </c>
      <c r="B6707" s="633" t="s">
        <v>26444</v>
      </c>
      <c r="C6707" s="715" t="s">
        <v>103</v>
      </c>
      <c r="D6707" s="716">
        <v>65.08</v>
      </c>
    </row>
    <row r="6708" spans="1:4" ht="56">
      <c r="A6708" s="715">
        <v>103845</v>
      </c>
      <c r="B6708" s="633" t="s">
        <v>26467</v>
      </c>
      <c r="C6708" s="715" t="s">
        <v>103</v>
      </c>
      <c r="D6708" s="716">
        <v>50.65</v>
      </c>
    </row>
    <row r="6709" spans="1:4" ht="56">
      <c r="A6709" s="715">
        <v>92328</v>
      </c>
      <c r="B6709" s="633" t="s">
        <v>26285</v>
      </c>
      <c r="C6709" s="715" t="s">
        <v>103</v>
      </c>
      <c r="D6709" s="716">
        <v>45.62</v>
      </c>
    </row>
    <row r="6710" spans="1:4" ht="56">
      <c r="A6710" s="715">
        <v>92289</v>
      </c>
      <c r="B6710" s="633" t="s">
        <v>26259</v>
      </c>
      <c r="C6710" s="715" t="s">
        <v>103</v>
      </c>
      <c r="D6710" s="716">
        <v>55.21</v>
      </c>
    </row>
    <row r="6711" spans="1:4" ht="56">
      <c r="A6711" s="715">
        <v>92290</v>
      </c>
      <c r="B6711" s="633" t="s">
        <v>26260</v>
      </c>
      <c r="C6711" s="715" t="s">
        <v>103</v>
      </c>
      <c r="D6711" s="716">
        <v>82.75</v>
      </c>
    </row>
    <row r="6712" spans="1:4" ht="56">
      <c r="A6712" s="715">
        <v>92291</v>
      </c>
      <c r="B6712" s="633" t="s">
        <v>26261</v>
      </c>
      <c r="C6712" s="715" t="s">
        <v>103</v>
      </c>
      <c r="D6712" s="716">
        <v>127.33</v>
      </c>
    </row>
    <row r="6713" spans="1:4" ht="56">
      <c r="A6713" s="715">
        <v>92292</v>
      </c>
      <c r="B6713" s="633" t="s">
        <v>26262</v>
      </c>
      <c r="C6713" s="715" t="s">
        <v>103</v>
      </c>
      <c r="D6713" s="716">
        <v>385.99</v>
      </c>
    </row>
    <row r="6714" spans="1:4" ht="70">
      <c r="A6714" s="715">
        <v>93082</v>
      </c>
      <c r="B6714" s="633" t="s">
        <v>26321</v>
      </c>
      <c r="C6714" s="715" t="s">
        <v>103</v>
      </c>
      <c r="D6714" s="716">
        <v>27.68</v>
      </c>
    </row>
    <row r="6715" spans="1:4" ht="56">
      <c r="A6715" s="715">
        <v>103885</v>
      </c>
      <c r="B6715" s="633" t="s">
        <v>26500</v>
      </c>
      <c r="C6715" s="715" t="s">
        <v>103</v>
      </c>
      <c r="D6715" s="716">
        <v>32.36</v>
      </c>
    </row>
    <row r="6716" spans="1:4" ht="70">
      <c r="A6716" s="715">
        <v>103816</v>
      </c>
      <c r="B6716" s="633" t="s">
        <v>26448</v>
      </c>
      <c r="C6716" s="715" t="s">
        <v>103</v>
      </c>
      <c r="D6716" s="716">
        <v>32.299999999999997</v>
      </c>
    </row>
    <row r="6717" spans="1:4" ht="70">
      <c r="A6717" s="715">
        <v>103849</v>
      </c>
      <c r="B6717" s="633" t="s">
        <v>26471</v>
      </c>
      <c r="C6717" s="715" t="s">
        <v>103</v>
      </c>
      <c r="D6717" s="716">
        <v>31.6</v>
      </c>
    </row>
    <row r="6718" spans="1:4" ht="56">
      <c r="A6718" s="715">
        <v>93105</v>
      </c>
      <c r="B6718" s="633" t="s">
        <v>26342</v>
      </c>
      <c r="C6718" s="715" t="s">
        <v>103</v>
      </c>
      <c r="D6718" s="716">
        <v>27.94</v>
      </c>
    </row>
    <row r="6719" spans="1:4" ht="56">
      <c r="A6719" s="715">
        <v>93055</v>
      </c>
      <c r="B6719" s="633" t="s">
        <v>26295</v>
      </c>
      <c r="C6719" s="715" t="s">
        <v>103</v>
      </c>
      <c r="D6719" s="716">
        <v>49.06</v>
      </c>
    </row>
    <row r="6720" spans="1:4" ht="70">
      <c r="A6720" s="715">
        <v>93089</v>
      </c>
      <c r="B6720" s="633" t="s">
        <v>26328</v>
      </c>
      <c r="C6720" s="715" t="s">
        <v>103</v>
      </c>
      <c r="D6720" s="716">
        <v>53.17</v>
      </c>
    </row>
    <row r="6721" spans="1:4" ht="56">
      <c r="A6721" s="715">
        <v>103891</v>
      </c>
      <c r="B6721" s="633" t="s">
        <v>26506</v>
      </c>
      <c r="C6721" s="715" t="s">
        <v>103</v>
      </c>
      <c r="D6721" s="716">
        <v>58.9</v>
      </c>
    </row>
    <row r="6722" spans="1:4" ht="70">
      <c r="A6722" s="715">
        <v>103822</v>
      </c>
      <c r="B6722" s="633" t="s">
        <v>26453</v>
      </c>
      <c r="C6722" s="715" t="s">
        <v>103</v>
      </c>
      <c r="D6722" s="716">
        <v>65.260000000000005</v>
      </c>
    </row>
    <row r="6723" spans="1:4" ht="70">
      <c r="A6723" s="715">
        <v>103855</v>
      </c>
      <c r="B6723" s="633" t="s">
        <v>26476</v>
      </c>
      <c r="C6723" s="715" t="s">
        <v>103</v>
      </c>
      <c r="D6723" s="716">
        <v>59.73</v>
      </c>
    </row>
    <row r="6724" spans="1:4" ht="56">
      <c r="A6724" s="715">
        <v>93112</v>
      </c>
      <c r="B6724" s="633" t="s">
        <v>26349</v>
      </c>
      <c r="C6724" s="715" t="s">
        <v>103</v>
      </c>
      <c r="D6724" s="716">
        <v>56.23</v>
      </c>
    </row>
    <row r="6725" spans="1:4" ht="56">
      <c r="A6725" s="715">
        <v>93060</v>
      </c>
      <c r="B6725" s="633" t="s">
        <v>26300</v>
      </c>
      <c r="C6725" s="715" t="s">
        <v>103</v>
      </c>
      <c r="D6725" s="716">
        <v>85.41</v>
      </c>
    </row>
    <row r="6726" spans="1:4" ht="70">
      <c r="A6726" s="715">
        <v>93094</v>
      </c>
      <c r="B6726" s="633" t="s">
        <v>26333</v>
      </c>
      <c r="C6726" s="715" t="s">
        <v>103</v>
      </c>
      <c r="D6726" s="716">
        <v>89.21</v>
      </c>
    </row>
    <row r="6727" spans="1:4" ht="56">
      <c r="A6727" s="715">
        <v>103897</v>
      </c>
      <c r="B6727" s="633" t="s">
        <v>26512</v>
      </c>
      <c r="C6727" s="715" t="s">
        <v>103</v>
      </c>
      <c r="D6727" s="716">
        <v>95.84</v>
      </c>
    </row>
    <row r="6728" spans="1:4" ht="70">
      <c r="A6728" s="715">
        <v>103828</v>
      </c>
      <c r="B6728" s="633" t="s">
        <v>26457</v>
      </c>
      <c r="C6728" s="715" t="s">
        <v>103</v>
      </c>
      <c r="D6728" s="716">
        <v>107.18</v>
      </c>
    </row>
    <row r="6729" spans="1:4" ht="70">
      <c r="A6729" s="715">
        <v>103861</v>
      </c>
      <c r="B6729" s="633" t="s">
        <v>26482</v>
      </c>
      <c r="C6729" s="715" t="s">
        <v>103</v>
      </c>
      <c r="D6729" s="716">
        <v>98.02</v>
      </c>
    </row>
    <row r="6730" spans="1:4" ht="56">
      <c r="A6730" s="715">
        <v>93115</v>
      </c>
      <c r="B6730" s="633" t="s">
        <v>26351</v>
      </c>
      <c r="C6730" s="715" t="s">
        <v>103</v>
      </c>
      <c r="D6730" s="716">
        <v>94.65</v>
      </c>
    </row>
    <row r="6731" spans="1:4" ht="56">
      <c r="A6731" s="715">
        <v>93074</v>
      </c>
      <c r="B6731" s="633" t="s">
        <v>26313</v>
      </c>
      <c r="C6731" s="715" t="s">
        <v>103</v>
      </c>
      <c r="D6731" s="716">
        <v>17.39</v>
      </c>
    </row>
    <row r="6732" spans="1:4" ht="56">
      <c r="A6732" s="715">
        <v>103875</v>
      </c>
      <c r="B6732" s="633" t="s">
        <v>26490</v>
      </c>
      <c r="C6732" s="715" t="s">
        <v>103</v>
      </c>
      <c r="D6732" s="716">
        <v>24.4</v>
      </c>
    </row>
    <row r="6733" spans="1:4" ht="56">
      <c r="A6733" s="715">
        <v>103806</v>
      </c>
      <c r="B6733" s="633" t="s">
        <v>26441</v>
      </c>
      <c r="C6733" s="715" t="s">
        <v>103</v>
      </c>
      <c r="D6733" s="716">
        <v>24.28</v>
      </c>
    </row>
    <row r="6734" spans="1:4" ht="56">
      <c r="A6734" s="715">
        <v>103839</v>
      </c>
      <c r="B6734" s="633" t="s">
        <v>26464</v>
      </c>
      <c r="C6734" s="715" t="s">
        <v>103</v>
      </c>
      <c r="D6734" s="716">
        <v>23.23</v>
      </c>
    </row>
    <row r="6735" spans="1:4" ht="56">
      <c r="A6735" s="715">
        <v>93097</v>
      </c>
      <c r="B6735" s="633" t="s">
        <v>26334</v>
      </c>
      <c r="C6735" s="715" t="s">
        <v>103</v>
      </c>
      <c r="D6735" s="716">
        <v>17.77</v>
      </c>
    </row>
    <row r="6736" spans="1:4" ht="56">
      <c r="A6736" s="715">
        <v>93119</v>
      </c>
      <c r="B6736" s="633" t="s">
        <v>26355</v>
      </c>
      <c r="C6736" s="715" t="s">
        <v>103</v>
      </c>
      <c r="D6736" s="716">
        <v>20.190000000000001</v>
      </c>
    </row>
    <row r="6737" spans="1:4" ht="56">
      <c r="A6737" s="715">
        <v>93076</v>
      </c>
      <c r="B6737" s="633" t="s">
        <v>26315</v>
      </c>
      <c r="C6737" s="715" t="s">
        <v>103</v>
      </c>
      <c r="D6737" s="716">
        <v>26.34</v>
      </c>
    </row>
    <row r="6738" spans="1:4" ht="56">
      <c r="A6738" s="715">
        <v>103878</v>
      </c>
      <c r="B6738" s="633" t="s">
        <v>26493</v>
      </c>
      <c r="C6738" s="715" t="s">
        <v>103</v>
      </c>
      <c r="D6738" s="716">
        <v>34.93</v>
      </c>
    </row>
    <row r="6739" spans="1:4" ht="56">
      <c r="A6739" s="715">
        <v>103809</v>
      </c>
      <c r="B6739" s="633" t="s">
        <v>26443</v>
      </c>
      <c r="C6739" s="715" t="s">
        <v>103</v>
      </c>
      <c r="D6739" s="716">
        <v>44.37</v>
      </c>
    </row>
    <row r="6740" spans="1:4" ht="56">
      <c r="A6740" s="715">
        <v>103842</v>
      </c>
      <c r="B6740" s="633" t="s">
        <v>26466</v>
      </c>
      <c r="C6740" s="715" t="s">
        <v>103</v>
      </c>
      <c r="D6740" s="716">
        <v>36.11</v>
      </c>
    </row>
    <row r="6741" spans="1:4" ht="56">
      <c r="A6741" s="715">
        <v>93099</v>
      </c>
      <c r="B6741" s="633" t="s">
        <v>26336</v>
      </c>
      <c r="C6741" s="715" t="s">
        <v>103</v>
      </c>
      <c r="D6741" s="716">
        <v>30.89</v>
      </c>
    </row>
    <row r="6742" spans="1:4" ht="56">
      <c r="A6742" s="715">
        <v>93122</v>
      </c>
      <c r="B6742" s="633" t="s">
        <v>26358</v>
      </c>
      <c r="C6742" s="715" t="s">
        <v>103</v>
      </c>
      <c r="D6742" s="716">
        <v>29.94</v>
      </c>
    </row>
    <row r="6743" spans="1:4" ht="56">
      <c r="A6743" s="715">
        <v>93079</v>
      </c>
      <c r="B6743" s="633" t="s">
        <v>26318</v>
      </c>
      <c r="C6743" s="715" t="s">
        <v>103</v>
      </c>
      <c r="D6743" s="716">
        <v>35.619999999999997</v>
      </c>
    </row>
    <row r="6744" spans="1:4" ht="56">
      <c r="A6744" s="715">
        <v>103882</v>
      </c>
      <c r="B6744" s="633" t="s">
        <v>26497</v>
      </c>
      <c r="C6744" s="715" t="s">
        <v>103</v>
      </c>
      <c r="D6744" s="716">
        <v>45.56</v>
      </c>
    </row>
    <row r="6745" spans="1:4" ht="56">
      <c r="A6745" s="715">
        <v>103813</v>
      </c>
      <c r="B6745" s="633" t="s">
        <v>26445</v>
      </c>
      <c r="C6745" s="715" t="s">
        <v>103</v>
      </c>
      <c r="D6745" s="716">
        <v>63.2</v>
      </c>
    </row>
    <row r="6746" spans="1:4" ht="56">
      <c r="A6746" s="715">
        <v>103846</v>
      </c>
      <c r="B6746" s="633" t="s">
        <v>26468</v>
      </c>
      <c r="C6746" s="715" t="s">
        <v>103</v>
      </c>
      <c r="D6746" s="716">
        <v>48.77</v>
      </c>
    </row>
    <row r="6747" spans="1:4" ht="56">
      <c r="A6747" s="715">
        <v>93102</v>
      </c>
      <c r="B6747" s="633" t="s">
        <v>26339</v>
      </c>
      <c r="C6747" s="715" t="s">
        <v>103</v>
      </c>
      <c r="D6747" s="716">
        <v>43.74</v>
      </c>
    </row>
    <row r="6748" spans="1:4" ht="56">
      <c r="A6748" s="715">
        <v>93123</v>
      </c>
      <c r="B6748" s="633" t="s">
        <v>40643</v>
      </c>
      <c r="C6748" s="715" t="s">
        <v>103</v>
      </c>
      <c r="D6748" s="716">
        <v>64.45</v>
      </c>
    </row>
    <row r="6749" spans="1:4" ht="56">
      <c r="A6749" s="715">
        <v>93124</v>
      </c>
      <c r="B6749" s="633" t="s">
        <v>26359</v>
      </c>
      <c r="C6749" s="715" t="s">
        <v>103</v>
      </c>
      <c r="D6749" s="716">
        <v>100.1</v>
      </c>
    </row>
    <row r="6750" spans="1:4" ht="56">
      <c r="A6750" s="715">
        <v>93125</v>
      </c>
      <c r="B6750" s="633" t="s">
        <v>26360</v>
      </c>
      <c r="C6750" s="715" t="s">
        <v>103</v>
      </c>
      <c r="D6750" s="716">
        <v>146.55000000000001</v>
      </c>
    </row>
    <row r="6751" spans="1:4" ht="56">
      <c r="A6751" s="715">
        <v>93126</v>
      </c>
      <c r="B6751" s="633" t="s">
        <v>26361</v>
      </c>
      <c r="C6751" s="715" t="s">
        <v>103</v>
      </c>
      <c r="D6751" s="716">
        <v>319.16000000000003</v>
      </c>
    </row>
    <row r="6752" spans="1:4" ht="56">
      <c r="A6752" s="715">
        <v>93063</v>
      </c>
      <c r="B6752" s="633" t="s">
        <v>26303</v>
      </c>
      <c r="C6752" s="715" t="s">
        <v>103</v>
      </c>
      <c r="D6752" s="716">
        <v>699.24</v>
      </c>
    </row>
    <row r="6753" spans="1:4" ht="56">
      <c r="A6753" s="715">
        <v>93066</v>
      </c>
      <c r="B6753" s="633" t="s">
        <v>26306</v>
      </c>
      <c r="C6753" s="715" t="s">
        <v>103</v>
      </c>
      <c r="D6753" s="716">
        <v>877.41</v>
      </c>
    </row>
    <row r="6754" spans="1:4" ht="56">
      <c r="A6754" s="715">
        <v>93069</v>
      </c>
      <c r="B6754" s="633" t="s">
        <v>26309</v>
      </c>
      <c r="C6754" s="715" t="s">
        <v>103</v>
      </c>
      <c r="D6754" s="716">
        <v>1216</v>
      </c>
    </row>
    <row r="6755" spans="1:4" ht="56">
      <c r="A6755" s="715">
        <v>93072</v>
      </c>
      <c r="B6755" s="633" t="s">
        <v>26312</v>
      </c>
      <c r="C6755" s="715" t="s">
        <v>103</v>
      </c>
      <c r="D6755" s="716">
        <v>1604.52</v>
      </c>
    </row>
    <row r="6756" spans="1:4" ht="56">
      <c r="A6756" s="715">
        <v>93083</v>
      </c>
      <c r="B6756" s="633" t="s">
        <v>26322</v>
      </c>
      <c r="C6756" s="715" t="s">
        <v>103</v>
      </c>
      <c r="D6756" s="716">
        <v>481.01</v>
      </c>
    </row>
    <row r="6757" spans="1:4" ht="56">
      <c r="A6757" s="715">
        <v>103886</v>
      </c>
      <c r="B6757" s="633" t="s">
        <v>26501</v>
      </c>
      <c r="C6757" s="715" t="s">
        <v>103</v>
      </c>
      <c r="D6757" s="716">
        <v>485.69</v>
      </c>
    </row>
    <row r="6758" spans="1:4" ht="56">
      <c r="A6758" s="715">
        <v>103817</v>
      </c>
      <c r="B6758" s="633" t="s">
        <v>26449</v>
      </c>
      <c r="C6758" s="715" t="s">
        <v>103</v>
      </c>
      <c r="D6758" s="716">
        <v>485.63</v>
      </c>
    </row>
    <row r="6759" spans="1:4" ht="56">
      <c r="A6759" s="715">
        <v>103850</v>
      </c>
      <c r="B6759" s="633" t="s">
        <v>26472</v>
      </c>
      <c r="C6759" s="715" t="s">
        <v>103</v>
      </c>
      <c r="D6759" s="716">
        <v>484.93</v>
      </c>
    </row>
    <row r="6760" spans="1:4" ht="56">
      <c r="A6760" s="715">
        <v>93106</v>
      </c>
      <c r="B6760" s="633" t="s">
        <v>26343</v>
      </c>
      <c r="C6760" s="715" t="s">
        <v>103</v>
      </c>
      <c r="D6760" s="716">
        <v>481.27</v>
      </c>
    </row>
    <row r="6761" spans="1:4" ht="42">
      <c r="A6761" s="715">
        <v>93052</v>
      </c>
      <c r="B6761" s="633" t="s">
        <v>26293</v>
      </c>
      <c r="C6761" s="715" t="s">
        <v>103</v>
      </c>
      <c r="D6761" s="716">
        <v>554.29</v>
      </c>
    </row>
    <row r="6762" spans="1:4" ht="56">
      <c r="A6762" s="715">
        <v>93086</v>
      </c>
      <c r="B6762" s="633" t="s">
        <v>26325</v>
      </c>
      <c r="C6762" s="715" t="s">
        <v>103</v>
      </c>
      <c r="D6762" s="716">
        <v>558.4</v>
      </c>
    </row>
    <row r="6763" spans="1:4" ht="56">
      <c r="A6763" s="715">
        <v>103890</v>
      </c>
      <c r="B6763" s="633" t="s">
        <v>26505</v>
      </c>
      <c r="C6763" s="715" t="s">
        <v>103</v>
      </c>
      <c r="D6763" s="716">
        <v>564.13</v>
      </c>
    </row>
    <row r="6764" spans="1:4" ht="56">
      <c r="A6764" s="715">
        <v>103821</v>
      </c>
      <c r="B6764" s="633" t="s">
        <v>26452</v>
      </c>
      <c r="C6764" s="715" t="s">
        <v>103</v>
      </c>
      <c r="D6764" s="716">
        <v>570.49</v>
      </c>
    </row>
    <row r="6765" spans="1:4" ht="56">
      <c r="A6765" s="715">
        <v>103854</v>
      </c>
      <c r="B6765" s="633" t="s">
        <v>26475</v>
      </c>
      <c r="C6765" s="715" t="s">
        <v>103</v>
      </c>
      <c r="D6765" s="716">
        <v>564.96</v>
      </c>
    </row>
    <row r="6766" spans="1:4" ht="56">
      <c r="A6766" s="715">
        <v>93109</v>
      </c>
      <c r="B6766" s="633" t="s">
        <v>26346</v>
      </c>
      <c r="C6766" s="715" t="s">
        <v>103</v>
      </c>
      <c r="D6766" s="716">
        <v>561.46</v>
      </c>
    </row>
    <row r="6767" spans="1:4" ht="42">
      <c r="A6767" s="715">
        <v>93058</v>
      </c>
      <c r="B6767" s="633" t="s">
        <v>26298</v>
      </c>
      <c r="C6767" s="715" t="s">
        <v>103</v>
      </c>
      <c r="D6767" s="716">
        <v>610.04</v>
      </c>
    </row>
    <row r="6768" spans="1:4" ht="56">
      <c r="A6768" s="715">
        <v>93092</v>
      </c>
      <c r="B6768" s="633" t="s">
        <v>26331</v>
      </c>
      <c r="C6768" s="715" t="s">
        <v>103</v>
      </c>
      <c r="D6768" s="716">
        <v>613.84</v>
      </c>
    </row>
    <row r="6769" spans="1:4" ht="56">
      <c r="A6769" s="715">
        <v>103898</v>
      </c>
      <c r="B6769" s="633" t="s">
        <v>26513</v>
      </c>
      <c r="C6769" s="715" t="s">
        <v>103</v>
      </c>
      <c r="D6769" s="716">
        <v>620.47</v>
      </c>
    </row>
    <row r="6770" spans="1:4" ht="56">
      <c r="A6770" s="715">
        <v>103829</v>
      </c>
      <c r="B6770" s="633" t="s">
        <v>26458</v>
      </c>
      <c r="C6770" s="715" t="s">
        <v>103</v>
      </c>
      <c r="D6770" s="716">
        <v>631.80999999999995</v>
      </c>
    </row>
    <row r="6771" spans="1:4" ht="56">
      <c r="A6771" s="715">
        <v>103862</v>
      </c>
      <c r="B6771" s="633" t="s">
        <v>26483</v>
      </c>
      <c r="C6771" s="715" t="s">
        <v>103</v>
      </c>
      <c r="D6771" s="716">
        <v>622.65</v>
      </c>
    </row>
    <row r="6772" spans="1:4" ht="56">
      <c r="A6772" s="715">
        <v>93116</v>
      </c>
      <c r="B6772" s="633" t="s">
        <v>26352</v>
      </c>
      <c r="C6772" s="715" t="s">
        <v>103</v>
      </c>
      <c r="D6772" s="716">
        <v>619.28</v>
      </c>
    </row>
    <row r="6773" spans="1:4" ht="56">
      <c r="A6773" s="715">
        <v>92314</v>
      </c>
      <c r="B6773" s="633" t="s">
        <v>26277</v>
      </c>
      <c r="C6773" s="715" t="s">
        <v>103</v>
      </c>
      <c r="D6773" s="716">
        <v>11.34</v>
      </c>
    </row>
    <row r="6774" spans="1:4" ht="42">
      <c r="A6774" s="715">
        <v>103883</v>
      </c>
      <c r="B6774" s="633" t="s">
        <v>26498</v>
      </c>
      <c r="C6774" s="715" t="s">
        <v>103</v>
      </c>
      <c r="D6774" s="716">
        <v>16.02</v>
      </c>
    </row>
    <row r="6775" spans="1:4" ht="56">
      <c r="A6775" s="715">
        <v>103814</v>
      </c>
      <c r="B6775" s="633" t="s">
        <v>26446</v>
      </c>
      <c r="C6775" s="715" t="s">
        <v>103</v>
      </c>
      <c r="D6775" s="716">
        <v>15.96</v>
      </c>
    </row>
    <row r="6776" spans="1:4" ht="56">
      <c r="A6776" s="715">
        <v>103847</v>
      </c>
      <c r="B6776" s="633" t="s">
        <v>26469</v>
      </c>
      <c r="C6776" s="715" t="s">
        <v>103</v>
      </c>
      <c r="D6776" s="716">
        <v>15.26</v>
      </c>
    </row>
    <row r="6777" spans="1:4" ht="42">
      <c r="A6777" s="715">
        <v>92329</v>
      </c>
      <c r="B6777" s="633" t="s">
        <v>26286</v>
      </c>
      <c r="C6777" s="715" t="s">
        <v>103</v>
      </c>
      <c r="D6777" s="716">
        <v>11.6</v>
      </c>
    </row>
    <row r="6778" spans="1:4" ht="42">
      <c r="A6778" s="715">
        <v>92293</v>
      </c>
      <c r="B6778" s="633" t="s">
        <v>26263</v>
      </c>
      <c r="C6778" s="715" t="s">
        <v>103</v>
      </c>
      <c r="D6778" s="716">
        <v>11.82</v>
      </c>
    </row>
    <row r="6779" spans="1:4" ht="56">
      <c r="A6779" s="715">
        <v>92315</v>
      </c>
      <c r="B6779" s="633" t="s">
        <v>26278</v>
      </c>
      <c r="C6779" s="715" t="s">
        <v>103</v>
      </c>
      <c r="D6779" s="716">
        <v>15.93</v>
      </c>
    </row>
    <row r="6780" spans="1:4" ht="42">
      <c r="A6780" s="715">
        <v>103888</v>
      </c>
      <c r="B6780" s="633" t="s">
        <v>26503</v>
      </c>
      <c r="C6780" s="715" t="s">
        <v>103</v>
      </c>
      <c r="D6780" s="716">
        <v>21.66</v>
      </c>
    </row>
    <row r="6781" spans="1:4" ht="56">
      <c r="A6781" s="715">
        <v>103819</v>
      </c>
      <c r="B6781" s="633" t="s">
        <v>26450</v>
      </c>
      <c r="C6781" s="715" t="s">
        <v>103</v>
      </c>
      <c r="D6781" s="716">
        <v>28.02</v>
      </c>
    </row>
    <row r="6782" spans="1:4" ht="56">
      <c r="A6782" s="715">
        <v>103852</v>
      </c>
      <c r="B6782" s="633" t="s">
        <v>26473</v>
      </c>
      <c r="C6782" s="715" t="s">
        <v>103</v>
      </c>
      <c r="D6782" s="716">
        <v>22.49</v>
      </c>
    </row>
    <row r="6783" spans="1:4" ht="42">
      <c r="A6783" s="715">
        <v>92330</v>
      </c>
      <c r="B6783" s="633" t="s">
        <v>26287</v>
      </c>
      <c r="C6783" s="715" t="s">
        <v>103</v>
      </c>
      <c r="D6783" s="716">
        <v>18.989999999999998</v>
      </c>
    </row>
    <row r="6784" spans="1:4" ht="42">
      <c r="A6784" s="715">
        <v>92294</v>
      </c>
      <c r="B6784" s="633" t="s">
        <v>26264</v>
      </c>
      <c r="C6784" s="715" t="s">
        <v>103</v>
      </c>
      <c r="D6784" s="716">
        <v>19.53</v>
      </c>
    </row>
    <row r="6785" spans="1:4" ht="56">
      <c r="A6785" s="715">
        <v>92316</v>
      </c>
      <c r="B6785" s="633" t="s">
        <v>26279</v>
      </c>
      <c r="C6785" s="715" t="s">
        <v>103</v>
      </c>
      <c r="D6785" s="716">
        <v>23.33</v>
      </c>
    </row>
    <row r="6786" spans="1:4" ht="42">
      <c r="A6786" s="715">
        <v>103895</v>
      </c>
      <c r="B6786" s="633" t="s">
        <v>26510</v>
      </c>
      <c r="C6786" s="715" t="s">
        <v>103</v>
      </c>
      <c r="D6786" s="716">
        <v>29.96</v>
      </c>
    </row>
    <row r="6787" spans="1:4" ht="56">
      <c r="A6787" s="715">
        <v>103826</v>
      </c>
      <c r="B6787" s="633" t="s">
        <v>26455</v>
      </c>
      <c r="C6787" s="715" t="s">
        <v>103</v>
      </c>
      <c r="D6787" s="716">
        <v>41.3</v>
      </c>
    </row>
    <row r="6788" spans="1:4" ht="56">
      <c r="A6788" s="715">
        <v>103859</v>
      </c>
      <c r="B6788" s="633" t="s">
        <v>26480</v>
      </c>
      <c r="C6788" s="715" t="s">
        <v>103</v>
      </c>
      <c r="D6788" s="716">
        <v>32.14</v>
      </c>
    </row>
    <row r="6789" spans="1:4" ht="42">
      <c r="A6789" s="715">
        <v>92331</v>
      </c>
      <c r="B6789" s="633" t="s">
        <v>26288</v>
      </c>
      <c r="C6789" s="715" t="s">
        <v>103</v>
      </c>
      <c r="D6789" s="716">
        <v>28.77</v>
      </c>
    </row>
    <row r="6790" spans="1:4" ht="42">
      <c r="A6790" s="715">
        <v>92295</v>
      </c>
      <c r="B6790" s="633" t="s">
        <v>26265</v>
      </c>
      <c r="C6790" s="715" t="s">
        <v>103</v>
      </c>
      <c r="D6790" s="716">
        <v>35.86</v>
      </c>
    </row>
    <row r="6791" spans="1:4" ht="42">
      <c r="A6791" s="715">
        <v>92296</v>
      </c>
      <c r="B6791" s="633" t="s">
        <v>26266</v>
      </c>
      <c r="C6791" s="715" t="s">
        <v>103</v>
      </c>
      <c r="D6791" s="716">
        <v>47.28</v>
      </c>
    </row>
    <row r="6792" spans="1:4" ht="42">
      <c r="A6792" s="715">
        <v>92297</v>
      </c>
      <c r="B6792" s="633" t="s">
        <v>26267</v>
      </c>
      <c r="C6792" s="715" t="s">
        <v>103</v>
      </c>
      <c r="D6792" s="716">
        <v>72.760000000000005</v>
      </c>
    </row>
    <row r="6793" spans="1:4" ht="42">
      <c r="A6793" s="715">
        <v>92298</v>
      </c>
      <c r="B6793" s="633" t="s">
        <v>26268</v>
      </c>
      <c r="C6793" s="715" t="s">
        <v>103</v>
      </c>
      <c r="D6793" s="716">
        <v>199.69</v>
      </c>
    </row>
    <row r="6794" spans="1:4" ht="56">
      <c r="A6794" s="715">
        <v>93080</v>
      </c>
      <c r="B6794" s="633" t="s">
        <v>26319</v>
      </c>
      <c r="C6794" s="715" t="s">
        <v>103</v>
      </c>
      <c r="D6794" s="716">
        <v>11.37</v>
      </c>
    </row>
    <row r="6795" spans="1:4" ht="56">
      <c r="A6795" s="715">
        <v>103884</v>
      </c>
      <c r="B6795" s="633" t="s">
        <v>26499</v>
      </c>
      <c r="C6795" s="715" t="s">
        <v>103</v>
      </c>
      <c r="D6795" s="716">
        <v>16.05</v>
      </c>
    </row>
    <row r="6796" spans="1:4" ht="56">
      <c r="A6796" s="715">
        <v>103815</v>
      </c>
      <c r="B6796" s="633" t="s">
        <v>26447</v>
      </c>
      <c r="C6796" s="715" t="s">
        <v>103</v>
      </c>
      <c r="D6796" s="716">
        <v>15.99</v>
      </c>
    </row>
    <row r="6797" spans="1:4" ht="56">
      <c r="A6797" s="715">
        <v>103848</v>
      </c>
      <c r="B6797" s="633" t="s">
        <v>26470</v>
      </c>
      <c r="C6797" s="715" t="s">
        <v>103</v>
      </c>
      <c r="D6797" s="716">
        <v>15.29</v>
      </c>
    </row>
    <row r="6798" spans="1:4" ht="56">
      <c r="A6798" s="715">
        <v>93103</v>
      </c>
      <c r="B6798" s="633" t="s">
        <v>26340</v>
      </c>
      <c r="C6798" s="715" t="s">
        <v>103</v>
      </c>
      <c r="D6798" s="716">
        <v>11.63</v>
      </c>
    </row>
    <row r="6799" spans="1:4" ht="42">
      <c r="A6799" s="715">
        <v>93050</v>
      </c>
      <c r="B6799" s="633" t="s">
        <v>26292</v>
      </c>
      <c r="C6799" s="715" t="s">
        <v>103</v>
      </c>
      <c r="D6799" s="716">
        <v>13.22</v>
      </c>
    </row>
    <row r="6800" spans="1:4" ht="56">
      <c r="A6800" s="715">
        <v>93084</v>
      </c>
      <c r="B6800" s="633" t="s">
        <v>26323</v>
      </c>
      <c r="C6800" s="715" t="s">
        <v>103</v>
      </c>
      <c r="D6800" s="716">
        <v>17.329999999999998</v>
      </c>
    </row>
    <row r="6801" spans="1:4" ht="56">
      <c r="A6801" s="715">
        <v>103889</v>
      </c>
      <c r="B6801" s="633" t="s">
        <v>26504</v>
      </c>
      <c r="C6801" s="715" t="s">
        <v>103</v>
      </c>
      <c r="D6801" s="716">
        <v>23.06</v>
      </c>
    </row>
    <row r="6802" spans="1:4" ht="56">
      <c r="A6802" s="715">
        <v>103820</v>
      </c>
      <c r="B6802" s="633" t="s">
        <v>26451</v>
      </c>
      <c r="C6802" s="715" t="s">
        <v>103</v>
      </c>
      <c r="D6802" s="716">
        <v>29.42</v>
      </c>
    </row>
    <row r="6803" spans="1:4" ht="56">
      <c r="A6803" s="715">
        <v>103853</v>
      </c>
      <c r="B6803" s="633" t="s">
        <v>26474</v>
      </c>
      <c r="C6803" s="715" t="s">
        <v>103</v>
      </c>
      <c r="D6803" s="716">
        <v>23.89</v>
      </c>
    </row>
    <row r="6804" spans="1:4" ht="56">
      <c r="A6804" s="715">
        <v>93107</v>
      </c>
      <c r="B6804" s="633" t="s">
        <v>26344</v>
      </c>
      <c r="C6804" s="715" t="s">
        <v>103</v>
      </c>
      <c r="D6804" s="716">
        <v>20.39</v>
      </c>
    </row>
    <row r="6805" spans="1:4" ht="42">
      <c r="A6805" s="715">
        <v>93056</v>
      </c>
      <c r="B6805" s="633" t="s">
        <v>26296</v>
      </c>
      <c r="C6805" s="715" t="s">
        <v>103</v>
      </c>
      <c r="D6805" s="716">
        <v>19.53</v>
      </c>
    </row>
    <row r="6806" spans="1:4" ht="56">
      <c r="A6806" s="715">
        <v>93090</v>
      </c>
      <c r="B6806" s="633" t="s">
        <v>26329</v>
      </c>
      <c r="C6806" s="715" t="s">
        <v>103</v>
      </c>
      <c r="D6806" s="716">
        <v>23.33</v>
      </c>
    </row>
    <row r="6807" spans="1:4" ht="56">
      <c r="A6807" s="715">
        <v>103896</v>
      </c>
      <c r="B6807" s="633" t="s">
        <v>26511</v>
      </c>
      <c r="C6807" s="715" t="s">
        <v>103</v>
      </c>
      <c r="D6807" s="716">
        <v>29.96</v>
      </c>
    </row>
    <row r="6808" spans="1:4" ht="56">
      <c r="A6808" s="715">
        <v>103827</v>
      </c>
      <c r="B6808" s="633" t="s">
        <v>26456</v>
      </c>
      <c r="C6808" s="715" t="s">
        <v>103</v>
      </c>
      <c r="D6808" s="716">
        <v>41.3</v>
      </c>
    </row>
    <row r="6809" spans="1:4" ht="56">
      <c r="A6809" s="715">
        <v>103860</v>
      </c>
      <c r="B6809" s="633" t="s">
        <v>26481</v>
      </c>
      <c r="C6809" s="715" t="s">
        <v>103</v>
      </c>
      <c r="D6809" s="716">
        <v>32.14</v>
      </c>
    </row>
    <row r="6810" spans="1:4" ht="56">
      <c r="A6810" s="715">
        <v>93113</v>
      </c>
      <c r="B6810" s="633" t="s">
        <v>40644</v>
      </c>
      <c r="C6810" s="715" t="s">
        <v>103</v>
      </c>
      <c r="D6810" s="716">
        <v>28.77</v>
      </c>
    </row>
    <row r="6811" spans="1:4" ht="42">
      <c r="A6811" s="715">
        <v>93061</v>
      </c>
      <c r="B6811" s="633" t="s">
        <v>26301</v>
      </c>
      <c r="C6811" s="715" t="s">
        <v>103</v>
      </c>
      <c r="D6811" s="716">
        <v>36</v>
      </c>
    </row>
    <row r="6812" spans="1:4" ht="42">
      <c r="A6812" s="715">
        <v>93064</v>
      </c>
      <c r="B6812" s="633" t="s">
        <v>26304</v>
      </c>
      <c r="C6812" s="715" t="s">
        <v>103</v>
      </c>
      <c r="D6812" s="716">
        <v>54.59</v>
      </c>
    </row>
    <row r="6813" spans="1:4" ht="42">
      <c r="A6813" s="715">
        <v>93067</v>
      </c>
      <c r="B6813" s="633" t="s">
        <v>26307</v>
      </c>
      <c r="C6813" s="715" t="s">
        <v>103</v>
      </c>
      <c r="D6813" s="716">
        <v>80.72</v>
      </c>
    </row>
    <row r="6814" spans="1:4" ht="42">
      <c r="A6814" s="715">
        <v>93070</v>
      </c>
      <c r="B6814" s="633" t="s">
        <v>26310</v>
      </c>
      <c r="C6814" s="715" t="s">
        <v>103</v>
      </c>
      <c r="D6814" s="716">
        <v>199.69</v>
      </c>
    </row>
    <row r="6815" spans="1:4" ht="70">
      <c r="A6815" s="715">
        <v>93117</v>
      </c>
      <c r="B6815" s="633" t="s">
        <v>26353</v>
      </c>
      <c r="C6815" s="715" t="s">
        <v>103</v>
      </c>
      <c r="D6815" s="716">
        <v>64.739999999999995</v>
      </c>
    </row>
    <row r="6816" spans="1:4" ht="70">
      <c r="A6816" s="715">
        <v>93118</v>
      </c>
      <c r="B6816" s="633" t="s">
        <v>26354</v>
      </c>
      <c r="C6816" s="715" t="s">
        <v>103</v>
      </c>
      <c r="D6816" s="716">
        <v>95.58</v>
      </c>
    </row>
    <row r="6817" spans="1:4" ht="56">
      <c r="A6817" s="715">
        <v>92317</v>
      </c>
      <c r="B6817" s="633" t="s">
        <v>26280</v>
      </c>
      <c r="C6817" s="715" t="s">
        <v>103</v>
      </c>
      <c r="D6817" s="716">
        <v>23.55</v>
      </c>
    </row>
    <row r="6818" spans="1:4" ht="42">
      <c r="A6818" s="715">
        <v>92332</v>
      </c>
      <c r="B6818" s="633" t="s">
        <v>26289</v>
      </c>
      <c r="C6818" s="715" t="s">
        <v>103</v>
      </c>
      <c r="D6818" s="716">
        <v>24.06</v>
      </c>
    </row>
    <row r="6819" spans="1:4" ht="42">
      <c r="A6819" s="715">
        <v>92299</v>
      </c>
      <c r="B6819" s="633" t="s">
        <v>26269</v>
      </c>
      <c r="C6819" s="715" t="s">
        <v>103</v>
      </c>
      <c r="D6819" s="716">
        <v>27.02</v>
      </c>
    </row>
    <row r="6820" spans="1:4" ht="56">
      <c r="A6820" s="715">
        <v>92318</v>
      </c>
      <c r="B6820" s="633" t="s">
        <v>26281</v>
      </c>
      <c r="C6820" s="715" t="s">
        <v>103</v>
      </c>
      <c r="D6820" s="716">
        <v>35.229999999999997</v>
      </c>
    </row>
    <row r="6821" spans="1:4" ht="56">
      <c r="A6821" s="715">
        <v>103833</v>
      </c>
      <c r="B6821" s="633" t="s">
        <v>26461</v>
      </c>
      <c r="C6821" s="715" t="s">
        <v>103</v>
      </c>
      <c r="D6821" s="716">
        <v>59.3</v>
      </c>
    </row>
    <row r="6822" spans="1:4" ht="42">
      <c r="A6822" s="715">
        <v>92333</v>
      </c>
      <c r="B6822" s="633" t="s">
        <v>26290</v>
      </c>
      <c r="C6822" s="715" t="s">
        <v>103</v>
      </c>
      <c r="D6822" s="716">
        <v>41.29</v>
      </c>
    </row>
    <row r="6823" spans="1:4" ht="42">
      <c r="A6823" s="715">
        <v>92300</v>
      </c>
      <c r="B6823" s="633" t="s">
        <v>26270</v>
      </c>
      <c r="C6823" s="715" t="s">
        <v>103</v>
      </c>
      <c r="D6823" s="716">
        <v>40.590000000000003</v>
      </c>
    </row>
    <row r="6824" spans="1:4" ht="56">
      <c r="A6824" s="715">
        <v>92319</v>
      </c>
      <c r="B6824" s="633" t="s">
        <v>26282</v>
      </c>
      <c r="C6824" s="715" t="s">
        <v>103</v>
      </c>
      <c r="D6824" s="716">
        <v>48.19</v>
      </c>
    </row>
    <row r="6825" spans="1:4" ht="42">
      <c r="A6825" s="715">
        <v>92334</v>
      </c>
      <c r="B6825" s="633" t="s">
        <v>26291</v>
      </c>
      <c r="C6825" s="715" t="s">
        <v>103</v>
      </c>
      <c r="D6825" s="716">
        <v>59.01</v>
      </c>
    </row>
    <row r="6826" spans="1:4" ht="42">
      <c r="A6826" s="715">
        <v>92301</v>
      </c>
      <c r="B6826" s="633" t="s">
        <v>26271</v>
      </c>
      <c r="C6826" s="715" t="s">
        <v>103</v>
      </c>
      <c r="D6826" s="716">
        <v>78.150000000000006</v>
      </c>
    </row>
    <row r="6827" spans="1:4" ht="42">
      <c r="A6827" s="715">
        <v>92302</v>
      </c>
      <c r="B6827" s="633" t="s">
        <v>26272</v>
      </c>
      <c r="C6827" s="715" t="s">
        <v>103</v>
      </c>
      <c r="D6827" s="716">
        <v>102.83</v>
      </c>
    </row>
    <row r="6828" spans="1:4" ht="42">
      <c r="A6828" s="715">
        <v>92303</v>
      </c>
      <c r="B6828" s="633" t="s">
        <v>26273</v>
      </c>
      <c r="C6828" s="715" t="s">
        <v>103</v>
      </c>
      <c r="D6828" s="716">
        <v>186.21</v>
      </c>
    </row>
    <row r="6829" spans="1:4" ht="42">
      <c r="A6829" s="715">
        <v>92304</v>
      </c>
      <c r="B6829" s="633" t="s">
        <v>26274</v>
      </c>
      <c r="C6829" s="715" t="s">
        <v>103</v>
      </c>
      <c r="D6829" s="716">
        <v>475.18</v>
      </c>
    </row>
    <row r="6830" spans="1:4" ht="56">
      <c r="A6830" s="715">
        <v>103835</v>
      </c>
      <c r="B6830" s="633" t="s">
        <v>25974</v>
      </c>
      <c r="C6830" s="715" t="s">
        <v>165</v>
      </c>
      <c r="D6830" s="716">
        <v>72.930000000000007</v>
      </c>
    </row>
    <row r="6831" spans="1:4" ht="56">
      <c r="A6831" s="715">
        <v>92308</v>
      </c>
      <c r="B6831" s="633" t="s">
        <v>25935</v>
      </c>
      <c r="C6831" s="715" t="s">
        <v>165</v>
      </c>
      <c r="D6831" s="716">
        <v>59.24</v>
      </c>
    </row>
    <row r="6832" spans="1:4" ht="56">
      <c r="A6832" s="715">
        <v>103871</v>
      </c>
      <c r="B6832" s="633" t="s">
        <v>25980</v>
      </c>
      <c r="C6832" s="715" t="s">
        <v>165</v>
      </c>
      <c r="D6832" s="716">
        <v>72.87</v>
      </c>
    </row>
    <row r="6833" spans="1:4" ht="56">
      <c r="A6833" s="715">
        <v>92323</v>
      </c>
      <c r="B6833" s="633" t="s">
        <v>25941</v>
      </c>
      <c r="C6833" s="715" t="s">
        <v>165</v>
      </c>
      <c r="D6833" s="716">
        <v>72.12</v>
      </c>
    </row>
    <row r="6834" spans="1:4" ht="56">
      <c r="A6834" s="715">
        <v>92305</v>
      </c>
      <c r="B6834" s="633" t="s">
        <v>25932</v>
      </c>
      <c r="C6834" s="715" t="s">
        <v>165</v>
      </c>
      <c r="D6834" s="716">
        <v>43.31</v>
      </c>
    </row>
    <row r="6835" spans="1:4" ht="56">
      <c r="A6835" s="715">
        <v>103868</v>
      </c>
      <c r="B6835" s="633" t="s">
        <v>25977</v>
      </c>
      <c r="C6835" s="715" t="s">
        <v>165</v>
      </c>
      <c r="D6835" s="716">
        <v>61.17</v>
      </c>
    </row>
    <row r="6836" spans="1:4" ht="56">
      <c r="A6836" s="715">
        <v>103802</v>
      </c>
      <c r="B6836" s="633" t="s">
        <v>25971</v>
      </c>
      <c r="C6836" s="715" t="s">
        <v>165</v>
      </c>
      <c r="D6836" s="716">
        <v>46.55</v>
      </c>
    </row>
    <row r="6837" spans="1:4" ht="56">
      <c r="A6837" s="715">
        <v>92320</v>
      </c>
      <c r="B6837" s="633" t="s">
        <v>25938</v>
      </c>
      <c r="C6837" s="715" t="s">
        <v>165</v>
      </c>
      <c r="D6837" s="716">
        <v>60.26</v>
      </c>
    </row>
    <row r="6838" spans="1:4" ht="56">
      <c r="A6838" s="715">
        <v>97335</v>
      </c>
      <c r="B6838" s="633" t="s">
        <v>25948</v>
      </c>
      <c r="C6838" s="715" t="s">
        <v>165</v>
      </c>
      <c r="D6838" s="716">
        <v>86.8</v>
      </c>
    </row>
    <row r="6839" spans="1:4" ht="56">
      <c r="A6839" s="715">
        <v>103836</v>
      </c>
      <c r="B6839" s="633" t="s">
        <v>25975</v>
      </c>
      <c r="C6839" s="715" t="s">
        <v>165</v>
      </c>
      <c r="D6839" s="716">
        <v>111.95</v>
      </c>
    </row>
    <row r="6840" spans="1:4" ht="56">
      <c r="A6840" s="715">
        <v>92281</v>
      </c>
      <c r="B6840" s="633" t="s">
        <v>25926</v>
      </c>
      <c r="C6840" s="715" t="s">
        <v>165</v>
      </c>
      <c r="D6840" s="716">
        <v>113.09</v>
      </c>
    </row>
    <row r="6841" spans="1:4" ht="56">
      <c r="A6841" s="715">
        <v>92309</v>
      </c>
      <c r="B6841" s="633" t="s">
        <v>25936</v>
      </c>
      <c r="C6841" s="715" t="s">
        <v>165</v>
      </c>
      <c r="D6841" s="716">
        <v>125.46</v>
      </c>
    </row>
    <row r="6842" spans="1:4" ht="56">
      <c r="A6842" s="715">
        <v>103872</v>
      </c>
      <c r="B6842" s="633" t="s">
        <v>25981</v>
      </c>
      <c r="C6842" s="715" t="s">
        <v>165</v>
      </c>
      <c r="D6842" s="716">
        <v>142.6</v>
      </c>
    </row>
    <row r="6843" spans="1:4" ht="56">
      <c r="A6843" s="715">
        <v>92324</v>
      </c>
      <c r="B6843" s="633" t="s">
        <v>25942</v>
      </c>
      <c r="C6843" s="715" t="s">
        <v>165</v>
      </c>
      <c r="D6843" s="716">
        <v>150.59</v>
      </c>
    </row>
    <row r="6844" spans="1:4" ht="56">
      <c r="A6844" s="715">
        <v>92275</v>
      </c>
      <c r="B6844" s="633" t="s">
        <v>25920</v>
      </c>
      <c r="C6844" s="715" t="s">
        <v>165</v>
      </c>
      <c r="D6844" s="716">
        <v>60.61</v>
      </c>
    </row>
    <row r="6845" spans="1:4" ht="56">
      <c r="A6845" s="715">
        <v>92306</v>
      </c>
      <c r="B6845" s="633" t="s">
        <v>25933</v>
      </c>
      <c r="C6845" s="715" t="s">
        <v>165</v>
      </c>
      <c r="D6845" s="716">
        <v>68.86</v>
      </c>
    </row>
    <row r="6846" spans="1:4" ht="56">
      <c r="A6846" s="715">
        <v>103869</v>
      </c>
      <c r="B6846" s="633" t="s">
        <v>25978</v>
      </c>
      <c r="C6846" s="715" t="s">
        <v>165</v>
      </c>
      <c r="D6846" s="716">
        <v>90.25</v>
      </c>
    </row>
    <row r="6847" spans="1:4" ht="56">
      <c r="A6847" s="715">
        <v>103803</v>
      </c>
      <c r="B6847" s="633" t="s">
        <v>25972</v>
      </c>
      <c r="C6847" s="715" t="s">
        <v>165</v>
      </c>
      <c r="D6847" s="716">
        <v>80.010000000000005</v>
      </c>
    </row>
    <row r="6848" spans="1:4" ht="56">
      <c r="A6848" s="715">
        <v>92321</v>
      </c>
      <c r="B6848" s="633" t="s">
        <v>25939</v>
      </c>
      <c r="C6848" s="715" t="s">
        <v>165</v>
      </c>
      <c r="D6848" s="716">
        <v>98.07</v>
      </c>
    </row>
    <row r="6849" spans="1:4" ht="56">
      <c r="A6849" s="715">
        <v>97336</v>
      </c>
      <c r="B6849" s="633" t="s">
        <v>25949</v>
      </c>
      <c r="C6849" s="715" t="s">
        <v>165</v>
      </c>
      <c r="D6849" s="716">
        <v>110.49</v>
      </c>
    </row>
    <row r="6850" spans="1:4" ht="56">
      <c r="A6850" s="715">
        <v>103837</v>
      </c>
      <c r="B6850" s="633" t="s">
        <v>25976</v>
      </c>
      <c r="C6850" s="715" t="s">
        <v>165</v>
      </c>
      <c r="D6850" s="716">
        <v>140.78</v>
      </c>
    </row>
    <row r="6851" spans="1:4" ht="56">
      <c r="A6851" s="715">
        <v>92282</v>
      </c>
      <c r="B6851" s="633" t="s">
        <v>25927</v>
      </c>
      <c r="C6851" s="715" t="s">
        <v>165</v>
      </c>
      <c r="D6851" s="716">
        <v>131.57</v>
      </c>
    </row>
    <row r="6852" spans="1:4" ht="56">
      <c r="A6852" s="715">
        <v>92310</v>
      </c>
      <c r="B6852" s="633" t="s">
        <v>25937</v>
      </c>
      <c r="C6852" s="715" t="s">
        <v>165</v>
      </c>
      <c r="D6852" s="716">
        <v>144.31</v>
      </c>
    </row>
    <row r="6853" spans="1:4" ht="56">
      <c r="A6853" s="715">
        <v>103873</v>
      </c>
      <c r="B6853" s="633" t="s">
        <v>25982</v>
      </c>
      <c r="C6853" s="715" t="s">
        <v>165</v>
      </c>
      <c r="D6853" s="716">
        <v>164.47</v>
      </c>
    </row>
    <row r="6854" spans="1:4" ht="56">
      <c r="A6854" s="715">
        <v>92325</v>
      </c>
      <c r="B6854" s="633" t="s">
        <v>25943</v>
      </c>
      <c r="C6854" s="715" t="s">
        <v>165</v>
      </c>
      <c r="D6854" s="716">
        <v>179.94</v>
      </c>
    </row>
    <row r="6855" spans="1:4" ht="56">
      <c r="A6855" s="715">
        <v>92276</v>
      </c>
      <c r="B6855" s="633" t="s">
        <v>25921</v>
      </c>
      <c r="C6855" s="715" t="s">
        <v>165</v>
      </c>
      <c r="D6855" s="716">
        <v>76.989999999999995</v>
      </c>
    </row>
    <row r="6856" spans="1:4" ht="56">
      <c r="A6856" s="715">
        <v>92307</v>
      </c>
      <c r="B6856" s="633" t="s">
        <v>25934</v>
      </c>
      <c r="C6856" s="715" t="s">
        <v>165</v>
      </c>
      <c r="D6856" s="716">
        <v>85.62</v>
      </c>
    </row>
    <row r="6857" spans="1:4" ht="56">
      <c r="A6857" s="715">
        <v>103870</v>
      </c>
      <c r="B6857" s="633" t="s">
        <v>25979</v>
      </c>
      <c r="C6857" s="715" t="s">
        <v>165</v>
      </c>
      <c r="D6857" s="716">
        <v>110.02</v>
      </c>
    </row>
    <row r="6858" spans="1:4" ht="56">
      <c r="A6858" s="715">
        <v>103804</v>
      </c>
      <c r="B6858" s="633" t="s">
        <v>25973</v>
      </c>
      <c r="C6858" s="715" t="s">
        <v>165</v>
      </c>
      <c r="D6858" s="716">
        <v>95.46</v>
      </c>
    </row>
    <row r="6859" spans="1:4" ht="56">
      <c r="A6859" s="715">
        <v>92322</v>
      </c>
      <c r="B6859" s="633" t="s">
        <v>25940</v>
      </c>
      <c r="C6859" s="715" t="s">
        <v>165</v>
      </c>
      <c r="D6859" s="716">
        <v>125.33</v>
      </c>
    </row>
    <row r="6860" spans="1:4" ht="56">
      <c r="A6860" s="715">
        <v>97337</v>
      </c>
      <c r="B6860" s="633" t="s">
        <v>25950</v>
      </c>
      <c r="C6860" s="715" t="s">
        <v>165</v>
      </c>
      <c r="D6860" s="716">
        <v>165.86</v>
      </c>
    </row>
    <row r="6861" spans="1:4" ht="56">
      <c r="A6861" s="715">
        <v>92283</v>
      </c>
      <c r="B6861" s="633" t="s">
        <v>25928</v>
      </c>
      <c r="C6861" s="715" t="s">
        <v>165</v>
      </c>
      <c r="D6861" s="716">
        <v>179.77</v>
      </c>
    </row>
    <row r="6862" spans="1:4" ht="56">
      <c r="A6862" s="715">
        <v>92277</v>
      </c>
      <c r="B6862" s="633" t="s">
        <v>25922</v>
      </c>
      <c r="C6862" s="715" t="s">
        <v>165</v>
      </c>
      <c r="D6862" s="716">
        <v>111.02</v>
      </c>
    </row>
    <row r="6863" spans="1:4" ht="56">
      <c r="A6863" s="715">
        <v>97338</v>
      </c>
      <c r="B6863" s="633" t="s">
        <v>25951</v>
      </c>
      <c r="C6863" s="715" t="s">
        <v>165</v>
      </c>
      <c r="D6863" s="716">
        <v>199.58</v>
      </c>
    </row>
    <row r="6864" spans="1:4" ht="56">
      <c r="A6864" s="715">
        <v>92284</v>
      </c>
      <c r="B6864" s="633" t="s">
        <v>25929</v>
      </c>
      <c r="C6864" s="715" t="s">
        <v>165</v>
      </c>
      <c r="D6864" s="716">
        <v>227.44</v>
      </c>
    </row>
    <row r="6865" spans="1:4" ht="56">
      <c r="A6865" s="715">
        <v>92278</v>
      </c>
      <c r="B6865" s="633" t="s">
        <v>25923</v>
      </c>
      <c r="C6865" s="715" t="s">
        <v>165</v>
      </c>
      <c r="D6865" s="716">
        <v>149.19</v>
      </c>
    </row>
    <row r="6866" spans="1:4" ht="56">
      <c r="A6866" s="715">
        <v>97339</v>
      </c>
      <c r="B6866" s="633" t="s">
        <v>25952</v>
      </c>
      <c r="C6866" s="715" t="s">
        <v>165</v>
      </c>
      <c r="D6866" s="716">
        <v>283.17</v>
      </c>
    </row>
    <row r="6867" spans="1:4" ht="56">
      <c r="A6867" s="715">
        <v>92285</v>
      </c>
      <c r="B6867" s="633" t="s">
        <v>25930</v>
      </c>
      <c r="C6867" s="715" t="s">
        <v>165</v>
      </c>
      <c r="D6867" s="716">
        <v>308.74</v>
      </c>
    </row>
    <row r="6868" spans="1:4" ht="56">
      <c r="A6868" s="715">
        <v>92279</v>
      </c>
      <c r="B6868" s="633" t="s">
        <v>25924</v>
      </c>
      <c r="C6868" s="715" t="s">
        <v>165</v>
      </c>
      <c r="D6868" s="716">
        <v>215.38</v>
      </c>
    </row>
    <row r="6869" spans="1:4" ht="56">
      <c r="A6869" s="715">
        <v>97340</v>
      </c>
      <c r="B6869" s="633" t="s">
        <v>25953</v>
      </c>
      <c r="C6869" s="715" t="s">
        <v>165</v>
      </c>
      <c r="D6869" s="716">
        <v>365.79</v>
      </c>
    </row>
    <row r="6870" spans="1:4" ht="56">
      <c r="A6870" s="715">
        <v>92286</v>
      </c>
      <c r="B6870" s="633" t="s">
        <v>25931</v>
      </c>
      <c r="C6870" s="715" t="s">
        <v>165</v>
      </c>
      <c r="D6870" s="716">
        <v>396.6</v>
      </c>
    </row>
    <row r="6871" spans="1:4" ht="56">
      <c r="A6871" s="715">
        <v>92280</v>
      </c>
      <c r="B6871" s="633" t="s">
        <v>25925</v>
      </c>
      <c r="C6871" s="715" t="s">
        <v>165</v>
      </c>
      <c r="D6871" s="716">
        <v>301.95</v>
      </c>
    </row>
    <row r="6872" spans="1:4" ht="42">
      <c r="A6872" s="715">
        <v>103901</v>
      </c>
      <c r="B6872" s="633" t="s">
        <v>26516</v>
      </c>
      <c r="C6872" s="715" t="s">
        <v>103</v>
      </c>
      <c r="D6872" s="716">
        <v>32.9</v>
      </c>
    </row>
    <row r="6873" spans="1:4" ht="56">
      <c r="A6873" s="715">
        <v>103832</v>
      </c>
      <c r="B6873" s="633" t="s">
        <v>26460</v>
      </c>
      <c r="C6873" s="715" t="s">
        <v>103</v>
      </c>
      <c r="D6873" s="716">
        <v>32.770000000000003</v>
      </c>
    </row>
    <row r="6874" spans="1:4" ht="56">
      <c r="A6874" s="715">
        <v>103865</v>
      </c>
      <c r="B6874" s="633" t="s">
        <v>26486</v>
      </c>
      <c r="C6874" s="715" t="s">
        <v>103</v>
      </c>
      <c r="D6874" s="716">
        <v>31.35</v>
      </c>
    </row>
    <row r="6875" spans="1:4" ht="42">
      <c r="A6875" s="715">
        <v>103902</v>
      </c>
      <c r="B6875" s="633" t="s">
        <v>26517</v>
      </c>
      <c r="C6875" s="715" t="s">
        <v>103</v>
      </c>
      <c r="D6875" s="716">
        <v>46.68</v>
      </c>
    </row>
    <row r="6876" spans="1:4" ht="56">
      <c r="A6876" s="715">
        <v>103866</v>
      </c>
      <c r="B6876" s="633" t="s">
        <v>26487</v>
      </c>
      <c r="C6876" s="715" t="s">
        <v>103</v>
      </c>
      <c r="D6876" s="716">
        <v>48.28</v>
      </c>
    </row>
    <row r="6877" spans="1:4" ht="42">
      <c r="A6877" s="715">
        <v>103903</v>
      </c>
      <c r="B6877" s="633" t="s">
        <v>26518</v>
      </c>
      <c r="C6877" s="715" t="s">
        <v>103</v>
      </c>
      <c r="D6877" s="716">
        <v>61.44</v>
      </c>
    </row>
    <row r="6878" spans="1:4" ht="56">
      <c r="A6878" s="715">
        <v>103834</v>
      </c>
      <c r="B6878" s="633" t="s">
        <v>26462</v>
      </c>
      <c r="C6878" s="715" t="s">
        <v>103</v>
      </c>
      <c r="D6878" s="716">
        <v>85.01</v>
      </c>
    </row>
    <row r="6879" spans="1:4" ht="56">
      <c r="A6879" s="715">
        <v>103867</v>
      </c>
      <c r="B6879" s="633" t="s">
        <v>26488</v>
      </c>
      <c r="C6879" s="715" t="s">
        <v>103</v>
      </c>
      <c r="D6879" s="716">
        <v>65.73</v>
      </c>
    </row>
    <row r="6880" spans="1:4" ht="42">
      <c r="A6880" s="715">
        <v>105113</v>
      </c>
      <c r="B6880" s="633" t="s">
        <v>28850</v>
      </c>
      <c r="C6880" s="715" t="s">
        <v>103</v>
      </c>
      <c r="D6880" s="716">
        <v>8469.67</v>
      </c>
    </row>
    <row r="6881" spans="1:4" ht="42">
      <c r="A6881" s="715">
        <v>98461</v>
      </c>
      <c r="B6881" s="633" t="s">
        <v>29906</v>
      </c>
      <c r="C6881" s="715" t="s">
        <v>103</v>
      </c>
      <c r="D6881" s="716">
        <v>6415.96</v>
      </c>
    </row>
    <row r="6882" spans="1:4" ht="42">
      <c r="A6882" s="715">
        <v>98462</v>
      </c>
      <c r="B6882" s="633" t="s">
        <v>29907</v>
      </c>
      <c r="C6882" s="715" t="s">
        <v>103</v>
      </c>
      <c r="D6882" s="716">
        <v>10934.6</v>
      </c>
    </row>
    <row r="6883" spans="1:4" ht="28">
      <c r="A6883" s="715">
        <v>105130</v>
      </c>
      <c r="B6883" s="633" t="s">
        <v>28857</v>
      </c>
      <c r="C6883" s="715" t="s">
        <v>165</v>
      </c>
      <c r="D6883" s="716">
        <v>33.76</v>
      </c>
    </row>
    <row r="6884" spans="1:4" ht="28">
      <c r="A6884" s="715">
        <v>105114</v>
      </c>
      <c r="B6884" s="633" t="s">
        <v>28851</v>
      </c>
      <c r="C6884" s="715" t="s">
        <v>121</v>
      </c>
      <c r="D6884" s="716">
        <v>2045.11</v>
      </c>
    </row>
    <row r="6885" spans="1:4" ht="14">
      <c r="A6885" s="715">
        <v>105129</v>
      </c>
      <c r="B6885" s="633" t="s">
        <v>33977</v>
      </c>
      <c r="C6885" s="715" t="s">
        <v>103</v>
      </c>
      <c r="D6885" s="716">
        <v>0</v>
      </c>
    </row>
    <row r="6886" spans="1:4" ht="28">
      <c r="A6886" s="715">
        <v>105127</v>
      </c>
      <c r="B6886" s="633" t="s">
        <v>28855</v>
      </c>
      <c r="C6886" s="715" t="s">
        <v>165</v>
      </c>
      <c r="D6886" s="716">
        <v>28.78</v>
      </c>
    </row>
    <row r="6887" spans="1:4" ht="28">
      <c r="A6887" s="715">
        <v>105128</v>
      </c>
      <c r="B6887" s="633" t="s">
        <v>28856</v>
      </c>
      <c r="C6887" s="715" t="s">
        <v>165</v>
      </c>
      <c r="D6887" s="716">
        <v>98.39</v>
      </c>
    </row>
    <row r="6888" spans="1:4" ht="28">
      <c r="A6888" s="715">
        <v>105126</v>
      </c>
      <c r="B6888" s="633" t="s">
        <v>28854</v>
      </c>
      <c r="C6888" s="715" t="s">
        <v>165</v>
      </c>
      <c r="D6888" s="716">
        <v>32.380000000000003</v>
      </c>
    </row>
    <row r="6889" spans="1:4" ht="42">
      <c r="A6889" s="715">
        <v>105116</v>
      </c>
      <c r="B6889" s="633" t="s">
        <v>28853</v>
      </c>
      <c r="C6889" s="715" t="s">
        <v>103</v>
      </c>
      <c r="D6889" s="716">
        <v>15.39</v>
      </c>
    </row>
    <row r="6890" spans="1:4" ht="42">
      <c r="A6890" s="715">
        <v>105115</v>
      </c>
      <c r="B6890" s="633" t="s">
        <v>28852</v>
      </c>
      <c r="C6890" s="715" t="s">
        <v>103</v>
      </c>
      <c r="D6890" s="716">
        <v>155.52000000000001</v>
      </c>
    </row>
    <row r="6891" spans="1:4" ht="56">
      <c r="A6891" s="715">
        <v>98453</v>
      </c>
      <c r="B6891" s="633" t="s">
        <v>28843</v>
      </c>
      <c r="C6891" s="715" t="s">
        <v>509</v>
      </c>
      <c r="D6891" s="716">
        <v>159.96</v>
      </c>
    </row>
    <row r="6892" spans="1:4" ht="56">
      <c r="A6892" s="715">
        <v>98454</v>
      </c>
      <c r="B6892" s="633" t="s">
        <v>28844</v>
      </c>
      <c r="C6892" s="715" t="s">
        <v>509</v>
      </c>
      <c r="D6892" s="716">
        <v>206.41</v>
      </c>
    </row>
    <row r="6893" spans="1:4" ht="42">
      <c r="A6893" s="715">
        <v>98449</v>
      </c>
      <c r="B6893" s="633" t="s">
        <v>28841</v>
      </c>
      <c r="C6893" s="715" t="s">
        <v>509</v>
      </c>
      <c r="D6893" s="716">
        <v>135.58000000000001</v>
      </c>
    </row>
    <row r="6894" spans="1:4" ht="56">
      <c r="A6894" s="715">
        <v>98455</v>
      </c>
      <c r="B6894" s="633" t="s">
        <v>28845</v>
      </c>
      <c r="C6894" s="715" t="s">
        <v>509</v>
      </c>
      <c r="D6894" s="716">
        <v>124.89</v>
      </c>
    </row>
    <row r="6895" spans="1:4" ht="56">
      <c r="A6895" s="715">
        <v>98456</v>
      </c>
      <c r="B6895" s="633" t="s">
        <v>28846</v>
      </c>
      <c r="C6895" s="715" t="s">
        <v>509</v>
      </c>
      <c r="D6895" s="716">
        <v>163.85</v>
      </c>
    </row>
    <row r="6896" spans="1:4" ht="42">
      <c r="A6896" s="715">
        <v>98451</v>
      </c>
      <c r="B6896" s="633" t="s">
        <v>28842</v>
      </c>
      <c r="C6896" s="715" t="s">
        <v>509</v>
      </c>
      <c r="D6896" s="716">
        <v>105.89</v>
      </c>
    </row>
    <row r="6897" spans="1:4" ht="56">
      <c r="A6897" s="715">
        <v>98445</v>
      </c>
      <c r="B6897" s="633" t="s">
        <v>28837</v>
      </c>
      <c r="C6897" s="715" t="s">
        <v>509</v>
      </c>
      <c r="D6897" s="716">
        <v>120.08</v>
      </c>
    </row>
    <row r="6898" spans="1:4" ht="56">
      <c r="A6898" s="715">
        <v>98446</v>
      </c>
      <c r="B6898" s="633" t="s">
        <v>28838</v>
      </c>
      <c r="C6898" s="715" t="s">
        <v>509</v>
      </c>
      <c r="D6898" s="716">
        <v>156.69999999999999</v>
      </c>
    </row>
    <row r="6899" spans="1:4" ht="42">
      <c r="A6899" s="715">
        <v>98441</v>
      </c>
      <c r="B6899" s="633" t="s">
        <v>28835</v>
      </c>
      <c r="C6899" s="715" t="s">
        <v>509</v>
      </c>
      <c r="D6899" s="716">
        <v>100.82</v>
      </c>
    </row>
    <row r="6900" spans="1:4" ht="56">
      <c r="A6900" s="715">
        <v>98447</v>
      </c>
      <c r="B6900" s="633" t="s">
        <v>28839</v>
      </c>
      <c r="C6900" s="715" t="s">
        <v>509</v>
      </c>
      <c r="D6900" s="716">
        <v>89.75</v>
      </c>
    </row>
    <row r="6901" spans="1:4" ht="56">
      <c r="A6901" s="715">
        <v>98448</v>
      </c>
      <c r="B6901" s="633" t="s">
        <v>28840</v>
      </c>
      <c r="C6901" s="715" t="s">
        <v>509</v>
      </c>
      <c r="D6901" s="716">
        <v>118.38</v>
      </c>
    </row>
    <row r="6902" spans="1:4" ht="42">
      <c r="A6902" s="715">
        <v>98443</v>
      </c>
      <c r="B6902" s="633" t="s">
        <v>28836</v>
      </c>
      <c r="C6902" s="715" t="s">
        <v>509</v>
      </c>
      <c r="D6902" s="716">
        <v>74.78</v>
      </c>
    </row>
    <row r="6903" spans="1:4" ht="56">
      <c r="A6903" s="715">
        <v>105122</v>
      </c>
      <c r="B6903" s="633" t="s">
        <v>33978</v>
      </c>
      <c r="C6903" s="715" t="s">
        <v>509</v>
      </c>
      <c r="D6903" s="716">
        <v>0</v>
      </c>
    </row>
    <row r="6904" spans="1:4" ht="42">
      <c r="A6904" s="715">
        <v>105125</v>
      </c>
      <c r="B6904" s="633" t="s">
        <v>33979</v>
      </c>
      <c r="C6904" s="715" t="s">
        <v>509</v>
      </c>
      <c r="D6904" s="716">
        <v>0</v>
      </c>
    </row>
    <row r="6905" spans="1:4" ht="42">
      <c r="A6905" s="715">
        <v>105133</v>
      </c>
      <c r="B6905" s="633" t="s">
        <v>33980</v>
      </c>
      <c r="C6905" s="715" t="s">
        <v>509</v>
      </c>
      <c r="D6905" s="716">
        <v>0</v>
      </c>
    </row>
    <row r="6906" spans="1:4" ht="42">
      <c r="A6906" s="715">
        <v>105123</v>
      </c>
      <c r="B6906" s="633" t="s">
        <v>33981</v>
      </c>
      <c r="C6906" s="715" t="s">
        <v>509</v>
      </c>
      <c r="D6906" s="716">
        <v>0</v>
      </c>
    </row>
    <row r="6907" spans="1:4" ht="42">
      <c r="A6907" s="715">
        <v>105124</v>
      </c>
      <c r="B6907" s="633" t="s">
        <v>33982</v>
      </c>
      <c r="C6907" s="715" t="s">
        <v>509</v>
      </c>
      <c r="D6907" s="716">
        <v>0</v>
      </c>
    </row>
    <row r="6908" spans="1:4" ht="42">
      <c r="A6908" s="715">
        <v>105134</v>
      </c>
      <c r="B6908" s="633" t="s">
        <v>33983</v>
      </c>
      <c r="C6908" s="715" t="s">
        <v>509</v>
      </c>
      <c r="D6908" s="716">
        <v>0</v>
      </c>
    </row>
    <row r="6909" spans="1:4" ht="56">
      <c r="A6909" s="715">
        <v>105117</v>
      </c>
      <c r="B6909" s="633" t="s">
        <v>33984</v>
      </c>
      <c r="C6909" s="715" t="s">
        <v>509</v>
      </c>
      <c r="D6909" s="716">
        <v>0</v>
      </c>
    </row>
    <row r="6910" spans="1:4" ht="42">
      <c r="A6910" s="715">
        <v>105119</v>
      </c>
      <c r="B6910" s="633" t="s">
        <v>33985</v>
      </c>
      <c r="C6910" s="715" t="s">
        <v>509</v>
      </c>
      <c r="D6910" s="716">
        <v>0</v>
      </c>
    </row>
    <row r="6911" spans="1:4" ht="42">
      <c r="A6911" s="715">
        <v>105131</v>
      </c>
      <c r="B6911" s="633" t="s">
        <v>33986</v>
      </c>
      <c r="C6911" s="715" t="s">
        <v>509</v>
      </c>
      <c r="D6911" s="716">
        <v>0</v>
      </c>
    </row>
    <row r="6912" spans="1:4" ht="42">
      <c r="A6912" s="715">
        <v>105120</v>
      </c>
      <c r="B6912" s="633" t="s">
        <v>33987</v>
      </c>
      <c r="C6912" s="715" t="s">
        <v>509</v>
      </c>
      <c r="D6912" s="716">
        <v>0</v>
      </c>
    </row>
    <row r="6913" spans="1:4" ht="42">
      <c r="A6913" s="715">
        <v>105121</v>
      </c>
      <c r="B6913" s="633" t="s">
        <v>33988</v>
      </c>
      <c r="C6913" s="715" t="s">
        <v>509</v>
      </c>
      <c r="D6913" s="716">
        <v>0</v>
      </c>
    </row>
    <row r="6914" spans="1:4" ht="42">
      <c r="A6914" s="715">
        <v>105132</v>
      </c>
      <c r="B6914" s="633" t="s">
        <v>33989</v>
      </c>
      <c r="C6914" s="715" t="s">
        <v>509</v>
      </c>
      <c r="D6914" s="716">
        <v>0</v>
      </c>
    </row>
    <row r="6915" spans="1:4" ht="28">
      <c r="A6915" s="715">
        <v>98460</v>
      </c>
      <c r="B6915" s="633" t="s">
        <v>28849</v>
      </c>
      <c r="C6915" s="715" t="s">
        <v>509</v>
      </c>
      <c r="D6915" s="716">
        <v>74.319999999999993</v>
      </c>
    </row>
    <row r="6916" spans="1:4" ht="14">
      <c r="A6916" s="715">
        <v>98457</v>
      </c>
      <c r="B6916" s="633" t="s">
        <v>33990</v>
      </c>
      <c r="C6916" s="715" t="s">
        <v>509</v>
      </c>
      <c r="D6916" s="716">
        <v>0</v>
      </c>
    </row>
    <row r="6917" spans="1:4" ht="14">
      <c r="A6917" s="715">
        <v>98458</v>
      </c>
      <c r="B6917" s="633" t="s">
        <v>28847</v>
      </c>
      <c r="C6917" s="715" t="s">
        <v>509</v>
      </c>
      <c r="D6917" s="716">
        <v>100.25</v>
      </c>
    </row>
    <row r="6918" spans="1:4" ht="14">
      <c r="A6918" s="715">
        <v>98459</v>
      </c>
      <c r="B6918" s="633" t="s">
        <v>28848</v>
      </c>
      <c r="C6918" s="715" t="s">
        <v>509</v>
      </c>
      <c r="D6918" s="716">
        <v>98.52</v>
      </c>
    </row>
    <row r="6919" spans="1:4" ht="14">
      <c r="A6919" s="715">
        <v>105118</v>
      </c>
      <c r="B6919" s="633" t="s">
        <v>33991</v>
      </c>
      <c r="C6919" s="715" t="s">
        <v>509</v>
      </c>
      <c r="D6919" s="716">
        <v>0</v>
      </c>
    </row>
    <row r="6920" spans="1:4" ht="70">
      <c r="A6920" s="715">
        <v>106056</v>
      </c>
      <c r="B6920" s="633" t="s">
        <v>41448</v>
      </c>
      <c r="C6920" s="715" t="s">
        <v>509</v>
      </c>
      <c r="D6920" s="716">
        <v>186.66</v>
      </c>
    </row>
    <row r="6921" spans="1:4" ht="70">
      <c r="A6921" s="715">
        <v>106057</v>
      </c>
      <c r="B6921" s="633" t="s">
        <v>41449</v>
      </c>
      <c r="C6921" s="715" t="s">
        <v>509</v>
      </c>
      <c r="D6921" s="716">
        <v>193.78</v>
      </c>
    </row>
    <row r="6922" spans="1:4" ht="70">
      <c r="A6922" s="715">
        <v>104690</v>
      </c>
      <c r="B6922" s="633" t="s">
        <v>41450</v>
      </c>
      <c r="C6922" s="715" t="s">
        <v>509</v>
      </c>
      <c r="D6922" s="716">
        <v>196.64</v>
      </c>
    </row>
    <row r="6923" spans="1:4" ht="70">
      <c r="A6923" s="715">
        <v>101958</v>
      </c>
      <c r="B6923" s="633" t="s">
        <v>41451</v>
      </c>
      <c r="C6923" s="715" t="s">
        <v>509</v>
      </c>
      <c r="D6923" s="716">
        <v>233.79</v>
      </c>
    </row>
    <row r="6924" spans="1:4" ht="70">
      <c r="A6924" s="715">
        <v>106065</v>
      </c>
      <c r="B6924" s="633" t="s">
        <v>41452</v>
      </c>
      <c r="C6924" s="715" t="s">
        <v>509</v>
      </c>
      <c r="D6924" s="716">
        <v>250.87</v>
      </c>
    </row>
    <row r="6925" spans="1:4" ht="70">
      <c r="A6925" s="715">
        <v>101959</v>
      </c>
      <c r="B6925" s="633" t="s">
        <v>41453</v>
      </c>
      <c r="C6925" s="715" t="s">
        <v>509</v>
      </c>
      <c r="D6925" s="716">
        <v>170.68</v>
      </c>
    </row>
    <row r="6926" spans="1:4" ht="70">
      <c r="A6926" s="715">
        <v>101960</v>
      </c>
      <c r="B6926" s="633" t="s">
        <v>41454</v>
      </c>
      <c r="C6926" s="715" t="s">
        <v>509</v>
      </c>
      <c r="D6926" s="716">
        <v>184.49</v>
      </c>
    </row>
    <row r="6927" spans="1:4" ht="70">
      <c r="A6927" s="715">
        <v>106058</v>
      </c>
      <c r="B6927" s="633" t="s">
        <v>41455</v>
      </c>
      <c r="C6927" s="715" t="s">
        <v>509</v>
      </c>
      <c r="D6927" s="716">
        <v>192.95</v>
      </c>
    </row>
    <row r="6928" spans="1:4" ht="70">
      <c r="A6928" s="715">
        <v>101962</v>
      </c>
      <c r="B6928" s="633" t="s">
        <v>41456</v>
      </c>
      <c r="C6928" s="715" t="s">
        <v>509</v>
      </c>
      <c r="D6928" s="716">
        <v>220.07</v>
      </c>
    </row>
    <row r="6929" spans="1:4" ht="70">
      <c r="A6929" s="715">
        <v>106066</v>
      </c>
      <c r="B6929" s="633" t="s">
        <v>41457</v>
      </c>
      <c r="C6929" s="715" t="s">
        <v>509</v>
      </c>
      <c r="D6929" s="716">
        <v>238.83</v>
      </c>
    </row>
    <row r="6930" spans="1:4" ht="70">
      <c r="A6930" s="715">
        <v>106048</v>
      </c>
      <c r="B6930" s="633" t="s">
        <v>41458</v>
      </c>
      <c r="C6930" s="715" t="s">
        <v>509</v>
      </c>
      <c r="D6930" s="716">
        <v>153.71</v>
      </c>
    </row>
    <row r="6931" spans="1:4" ht="70">
      <c r="A6931" s="715">
        <v>106049</v>
      </c>
      <c r="B6931" s="633" t="s">
        <v>41459</v>
      </c>
      <c r="C6931" s="715" t="s">
        <v>509</v>
      </c>
      <c r="D6931" s="716">
        <v>160.83000000000001</v>
      </c>
    </row>
    <row r="6932" spans="1:4" ht="70">
      <c r="A6932" s="715">
        <v>106050</v>
      </c>
      <c r="B6932" s="633" t="s">
        <v>41460</v>
      </c>
      <c r="C6932" s="715" t="s">
        <v>509</v>
      </c>
      <c r="D6932" s="716">
        <v>171.83</v>
      </c>
    </row>
    <row r="6933" spans="1:4" ht="70">
      <c r="A6933" s="715">
        <v>106051</v>
      </c>
      <c r="B6933" s="633" t="s">
        <v>41461</v>
      </c>
      <c r="C6933" s="715" t="s">
        <v>509</v>
      </c>
      <c r="D6933" s="716">
        <v>208.98</v>
      </c>
    </row>
    <row r="6934" spans="1:4" ht="70">
      <c r="A6934" s="715">
        <v>106063</v>
      </c>
      <c r="B6934" s="633" t="s">
        <v>41462</v>
      </c>
      <c r="C6934" s="715" t="s">
        <v>509</v>
      </c>
      <c r="D6934" s="716">
        <v>226.06</v>
      </c>
    </row>
    <row r="6935" spans="1:4" ht="70">
      <c r="A6935" s="715">
        <v>106052</v>
      </c>
      <c r="B6935" s="633" t="s">
        <v>41463</v>
      </c>
      <c r="C6935" s="715" t="s">
        <v>509</v>
      </c>
      <c r="D6935" s="716">
        <v>135.33000000000001</v>
      </c>
    </row>
    <row r="6936" spans="1:4" ht="70">
      <c r="A6936" s="715">
        <v>106053</v>
      </c>
      <c r="B6936" s="633" t="s">
        <v>41464</v>
      </c>
      <c r="C6936" s="715" t="s">
        <v>509</v>
      </c>
      <c r="D6936" s="716">
        <v>149.13999999999999</v>
      </c>
    </row>
    <row r="6937" spans="1:4" ht="70">
      <c r="A6937" s="715">
        <v>106054</v>
      </c>
      <c r="B6937" s="633" t="s">
        <v>41465</v>
      </c>
      <c r="C6937" s="715" t="s">
        <v>509</v>
      </c>
      <c r="D6937" s="716">
        <v>165.23</v>
      </c>
    </row>
    <row r="6938" spans="1:4" ht="70">
      <c r="A6938" s="715">
        <v>106055</v>
      </c>
      <c r="B6938" s="633" t="s">
        <v>41466</v>
      </c>
      <c r="C6938" s="715" t="s">
        <v>509</v>
      </c>
      <c r="D6938" s="716">
        <v>192.35</v>
      </c>
    </row>
    <row r="6939" spans="1:4" ht="70">
      <c r="A6939" s="715">
        <v>106064</v>
      </c>
      <c r="B6939" s="633" t="s">
        <v>41467</v>
      </c>
      <c r="C6939" s="715" t="s">
        <v>509</v>
      </c>
      <c r="D6939" s="716">
        <v>211.11</v>
      </c>
    </row>
    <row r="6940" spans="1:4" ht="56">
      <c r="A6940" s="715">
        <v>106067</v>
      </c>
      <c r="B6940" s="633" t="s">
        <v>41468</v>
      </c>
      <c r="C6940" s="715" t="s">
        <v>509</v>
      </c>
      <c r="D6940" s="716">
        <v>286.88</v>
      </c>
    </row>
    <row r="6941" spans="1:4" ht="56">
      <c r="A6941" s="715">
        <v>106070</v>
      </c>
      <c r="B6941" s="633" t="s">
        <v>41469</v>
      </c>
      <c r="C6941" s="715" t="s">
        <v>509</v>
      </c>
      <c r="D6941" s="716">
        <v>317.52</v>
      </c>
    </row>
    <row r="6942" spans="1:4" ht="56">
      <c r="A6942" s="715">
        <v>106071</v>
      </c>
      <c r="B6942" s="633" t="s">
        <v>41470</v>
      </c>
      <c r="C6942" s="715" t="s">
        <v>509</v>
      </c>
      <c r="D6942" s="716">
        <v>366.9</v>
      </c>
    </row>
    <row r="6943" spans="1:4" ht="56">
      <c r="A6943" s="715">
        <v>106072</v>
      </c>
      <c r="B6943" s="633" t="s">
        <v>41471</v>
      </c>
      <c r="C6943" s="715" t="s">
        <v>509</v>
      </c>
      <c r="D6943" s="716">
        <v>395.03</v>
      </c>
    </row>
    <row r="6944" spans="1:4" ht="56">
      <c r="A6944" s="715">
        <v>106073</v>
      </c>
      <c r="B6944" s="633" t="s">
        <v>41472</v>
      </c>
      <c r="C6944" s="715" t="s">
        <v>509</v>
      </c>
      <c r="D6944" s="716">
        <v>477.53</v>
      </c>
    </row>
    <row r="6945" spans="1:4" ht="70">
      <c r="A6945" s="715">
        <v>106068</v>
      </c>
      <c r="B6945" s="633" t="s">
        <v>41473</v>
      </c>
      <c r="C6945" s="715" t="s">
        <v>509</v>
      </c>
      <c r="D6945" s="716">
        <v>289.89</v>
      </c>
    </row>
    <row r="6946" spans="1:4" ht="70">
      <c r="A6946" s="715">
        <v>106069</v>
      </c>
      <c r="B6946" s="633" t="s">
        <v>41474</v>
      </c>
      <c r="C6946" s="715" t="s">
        <v>509</v>
      </c>
      <c r="D6946" s="716">
        <v>317.66000000000003</v>
      </c>
    </row>
    <row r="6947" spans="1:4" ht="70">
      <c r="A6947" s="715">
        <v>106074</v>
      </c>
      <c r="B6947" s="633" t="s">
        <v>41475</v>
      </c>
      <c r="C6947" s="715" t="s">
        <v>509</v>
      </c>
      <c r="D6947" s="716">
        <v>341.12</v>
      </c>
    </row>
    <row r="6948" spans="1:4" ht="70">
      <c r="A6948" s="715">
        <v>106075</v>
      </c>
      <c r="B6948" s="633" t="s">
        <v>41476</v>
      </c>
      <c r="C6948" s="715" t="s">
        <v>509</v>
      </c>
      <c r="D6948" s="716">
        <v>374.63</v>
      </c>
    </row>
    <row r="6949" spans="1:4" ht="70">
      <c r="A6949" s="715">
        <v>106076</v>
      </c>
      <c r="B6949" s="633" t="s">
        <v>41477</v>
      </c>
      <c r="C6949" s="715" t="s">
        <v>509</v>
      </c>
      <c r="D6949" s="716">
        <v>435.41</v>
      </c>
    </row>
    <row r="6950" spans="1:4" ht="56">
      <c r="A6950" s="715">
        <v>101964</v>
      </c>
      <c r="B6950" s="633" t="s">
        <v>41478</v>
      </c>
      <c r="C6950" s="715" t="s">
        <v>509</v>
      </c>
      <c r="D6950" s="716">
        <v>188.95</v>
      </c>
    </row>
    <row r="6951" spans="1:4" ht="56">
      <c r="A6951" s="715">
        <v>106059</v>
      </c>
      <c r="B6951" s="633" t="s">
        <v>41479</v>
      </c>
      <c r="C6951" s="715" t="s">
        <v>509</v>
      </c>
      <c r="D6951" s="716">
        <v>202.11</v>
      </c>
    </row>
    <row r="6952" spans="1:4" ht="56">
      <c r="A6952" s="715">
        <v>101963</v>
      </c>
      <c r="B6952" s="633" t="s">
        <v>41480</v>
      </c>
      <c r="C6952" s="715" t="s">
        <v>509</v>
      </c>
      <c r="D6952" s="716">
        <v>208.16</v>
      </c>
    </row>
    <row r="6953" spans="1:4" ht="56">
      <c r="A6953" s="715">
        <v>101947</v>
      </c>
      <c r="B6953" s="633" t="s">
        <v>41481</v>
      </c>
      <c r="C6953" s="715" t="s">
        <v>509</v>
      </c>
      <c r="D6953" s="716">
        <v>212.85</v>
      </c>
    </row>
    <row r="6954" spans="1:4" ht="56">
      <c r="A6954" s="715">
        <v>101948</v>
      </c>
      <c r="B6954" s="633" t="s">
        <v>41482</v>
      </c>
      <c r="C6954" s="715" t="s">
        <v>509</v>
      </c>
      <c r="D6954" s="716">
        <v>224.52</v>
      </c>
    </row>
    <row r="6955" spans="1:4" ht="56">
      <c r="A6955" s="715">
        <v>101949</v>
      </c>
      <c r="B6955" s="633" t="s">
        <v>41483</v>
      </c>
      <c r="C6955" s="715" t="s">
        <v>509</v>
      </c>
      <c r="D6955" s="716">
        <v>233.58</v>
      </c>
    </row>
    <row r="6956" spans="1:4" ht="56">
      <c r="A6956" s="715">
        <v>101950</v>
      </c>
      <c r="B6956" s="633" t="s">
        <v>41484</v>
      </c>
      <c r="C6956" s="715" t="s">
        <v>509</v>
      </c>
      <c r="D6956" s="716">
        <v>266.07</v>
      </c>
    </row>
    <row r="6957" spans="1:4" ht="56">
      <c r="A6957" s="715">
        <v>106061</v>
      </c>
      <c r="B6957" s="633" t="s">
        <v>41485</v>
      </c>
      <c r="C6957" s="715" t="s">
        <v>509</v>
      </c>
      <c r="D6957" s="716">
        <v>300.14999999999998</v>
      </c>
    </row>
    <row r="6958" spans="1:4" ht="56">
      <c r="A6958" s="715">
        <v>101951</v>
      </c>
      <c r="B6958" s="633" t="s">
        <v>41486</v>
      </c>
      <c r="C6958" s="715" t="s">
        <v>509</v>
      </c>
      <c r="D6958" s="716">
        <v>212.06</v>
      </c>
    </row>
    <row r="6959" spans="1:4" ht="56">
      <c r="A6959" s="715">
        <v>101952</v>
      </c>
      <c r="B6959" s="633" t="s">
        <v>41487</v>
      </c>
      <c r="C6959" s="715" t="s">
        <v>509</v>
      </c>
      <c r="D6959" s="716">
        <v>227.8</v>
      </c>
    </row>
    <row r="6960" spans="1:4" ht="56">
      <c r="A6960" s="715">
        <v>101953</v>
      </c>
      <c r="B6960" s="633" t="s">
        <v>41488</v>
      </c>
      <c r="C6960" s="715" t="s">
        <v>509</v>
      </c>
      <c r="D6960" s="716">
        <v>242.37</v>
      </c>
    </row>
    <row r="6961" spans="1:4" ht="56">
      <c r="A6961" s="715">
        <v>101954</v>
      </c>
      <c r="B6961" s="633" t="s">
        <v>41489</v>
      </c>
      <c r="C6961" s="715" t="s">
        <v>509</v>
      </c>
      <c r="D6961" s="716">
        <v>273.69</v>
      </c>
    </row>
    <row r="6962" spans="1:4" ht="56">
      <c r="A6962" s="715">
        <v>106062</v>
      </c>
      <c r="B6962" s="633" t="s">
        <v>41490</v>
      </c>
      <c r="C6962" s="715" t="s">
        <v>509</v>
      </c>
      <c r="D6962" s="716">
        <v>296.52999999999997</v>
      </c>
    </row>
    <row r="6963" spans="1:4" ht="42">
      <c r="A6963" s="715">
        <v>100323</v>
      </c>
      <c r="B6963" s="633" t="s">
        <v>28917</v>
      </c>
      <c r="C6963" s="715" t="s">
        <v>121</v>
      </c>
      <c r="D6963" s="716">
        <v>186.15</v>
      </c>
    </row>
    <row r="6964" spans="1:4" ht="56">
      <c r="A6964" s="715">
        <v>100324</v>
      </c>
      <c r="B6964" s="633" t="s">
        <v>28918</v>
      </c>
      <c r="C6964" s="715" t="s">
        <v>121</v>
      </c>
      <c r="D6964" s="716">
        <v>180.58</v>
      </c>
    </row>
    <row r="6965" spans="1:4" ht="42">
      <c r="A6965" s="715">
        <v>96624</v>
      </c>
      <c r="B6965" s="633" t="s">
        <v>28915</v>
      </c>
      <c r="C6965" s="715" t="s">
        <v>121</v>
      </c>
      <c r="D6965" s="716">
        <v>180.86</v>
      </c>
    </row>
    <row r="6966" spans="1:4" ht="42">
      <c r="A6966" s="715">
        <v>100322</v>
      </c>
      <c r="B6966" s="633" t="s">
        <v>28916</v>
      </c>
      <c r="C6966" s="715" t="s">
        <v>121</v>
      </c>
      <c r="D6966" s="716">
        <v>174.57</v>
      </c>
    </row>
    <row r="6967" spans="1:4" ht="42">
      <c r="A6967" s="715">
        <v>96623</v>
      </c>
      <c r="B6967" s="633" t="s">
        <v>28914</v>
      </c>
      <c r="C6967" s="715" t="s">
        <v>121</v>
      </c>
      <c r="D6967" s="716">
        <v>200.14</v>
      </c>
    </row>
    <row r="6968" spans="1:4" ht="42">
      <c r="A6968" s="715">
        <v>96622</v>
      </c>
      <c r="B6968" s="633" t="s">
        <v>28913</v>
      </c>
      <c r="C6968" s="715" t="s">
        <v>121</v>
      </c>
      <c r="D6968" s="716">
        <v>214.59</v>
      </c>
    </row>
    <row r="6969" spans="1:4" ht="42">
      <c r="A6969" s="715">
        <v>96621</v>
      </c>
      <c r="B6969" s="633" t="s">
        <v>28912</v>
      </c>
      <c r="C6969" s="715" t="s">
        <v>121</v>
      </c>
      <c r="D6969" s="716">
        <v>233.87</v>
      </c>
    </row>
    <row r="6970" spans="1:4" ht="42">
      <c r="A6970" s="715">
        <v>96617</v>
      </c>
      <c r="B6970" s="633" t="s">
        <v>28909</v>
      </c>
      <c r="C6970" s="715" t="s">
        <v>509</v>
      </c>
      <c r="D6970" s="716">
        <v>21.54</v>
      </c>
    </row>
    <row r="6971" spans="1:4" ht="42">
      <c r="A6971" s="715">
        <v>96619</v>
      </c>
      <c r="B6971" s="633" t="s">
        <v>28910</v>
      </c>
      <c r="C6971" s="715" t="s">
        <v>509</v>
      </c>
      <c r="D6971" s="716">
        <v>43.02</v>
      </c>
    </row>
    <row r="6972" spans="1:4" ht="28">
      <c r="A6972" s="715">
        <v>96616</v>
      </c>
      <c r="B6972" s="633" t="s">
        <v>28908</v>
      </c>
      <c r="C6972" s="715" t="s">
        <v>121</v>
      </c>
      <c r="D6972" s="716">
        <v>860.66</v>
      </c>
    </row>
    <row r="6973" spans="1:4" ht="42">
      <c r="A6973" s="715">
        <v>95240</v>
      </c>
      <c r="B6973" s="633" t="s">
        <v>28906</v>
      </c>
      <c r="C6973" s="715" t="s">
        <v>509</v>
      </c>
      <c r="D6973" s="716">
        <v>20.51</v>
      </c>
    </row>
    <row r="6974" spans="1:4" ht="42">
      <c r="A6974" s="715">
        <v>95241</v>
      </c>
      <c r="B6974" s="633" t="s">
        <v>28907</v>
      </c>
      <c r="C6974" s="715" t="s">
        <v>509</v>
      </c>
      <c r="D6974" s="716">
        <v>39.020000000000003</v>
      </c>
    </row>
    <row r="6975" spans="1:4" ht="28">
      <c r="A6975" s="715">
        <v>96620</v>
      </c>
      <c r="B6975" s="633" t="s">
        <v>28911</v>
      </c>
      <c r="C6975" s="715" t="s">
        <v>121</v>
      </c>
      <c r="D6975" s="716">
        <v>780.66</v>
      </c>
    </row>
    <row r="6976" spans="1:4" ht="42">
      <c r="A6976" s="715">
        <v>104043</v>
      </c>
      <c r="B6976" s="633" t="s">
        <v>26814</v>
      </c>
      <c r="C6976" s="715" t="s">
        <v>103</v>
      </c>
      <c r="D6976" s="716">
        <v>10.47</v>
      </c>
    </row>
    <row r="6977" spans="1:4" ht="42">
      <c r="A6977" s="715">
        <v>104044</v>
      </c>
      <c r="B6977" s="633" t="s">
        <v>26815</v>
      </c>
      <c r="C6977" s="715" t="s">
        <v>103</v>
      </c>
      <c r="D6977" s="716">
        <v>11.24</v>
      </c>
    </row>
    <row r="6978" spans="1:4" ht="42">
      <c r="A6978" s="715">
        <v>104045</v>
      </c>
      <c r="B6978" s="633" t="s">
        <v>26816</v>
      </c>
      <c r="C6978" s="715" t="s">
        <v>103</v>
      </c>
      <c r="D6978" s="716">
        <v>17.190000000000001</v>
      </c>
    </row>
    <row r="6979" spans="1:4" ht="28">
      <c r="A6979" s="715">
        <v>104049</v>
      </c>
      <c r="B6979" s="633" t="s">
        <v>26820</v>
      </c>
      <c r="C6979" s="715" t="s">
        <v>103</v>
      </c>
      <c r="D6979" s="716">
        <v>7.53</v>
      </c>
    </row>
    <row r="6980" spans="1:4" ht="28">
      <c r="A6980" s="715">
        <v>104050</v>
      </c>
      <c r="B6980" s="633" t="s">
        <v>26821</v>
      </c>
      <c r="C6980" s="715" t="s">
        <v>103</v>
      </c>
      <c r="D6980" s="716">
        <v>11.18</v>
      </c>
    </row>
    <row r="6981" spans="1:4" ht="28">
      <c r="A6981" s="715">
        <v>104084</v>
      </c>
      <c r="B6981" s="633" t="s">
        <v>26840</v>
      </c>
      <c r="C6981" s="715" t="s">
        <v>103</v>
      </c>
      <c r="D6981" s="716">
        <v>93.6</v>
      </c>
    </row>
    <row r="6982" spans="1:4" ht="42">
      <c r="A6982" s="715">
        <v>104037</v>
      </c>
      <c r="B6982" s="633" t="s">
        <v>33992</v>
      </c>
      <c r="C6982" s="715" t="s">
        <v>103</v>
      </c>
      <c r="D6982" s="716">
        <v>0</v>
      </c>
    </row>
    <row r="6983" spans="1:4" ht="42">
      <c r="A6983" s="715">
        <v>104035</v>
      </c>
      <c r="B6983" s="633" t="s">
        <v>26811</v>
      </c>
      <c r="C6983" s="715" t="s">
        <v>103</v>
      </c>
      <c r="D6983" s="716">
        <v>47.7</v>
      </c>
    </row>
    <row r="6984" spans="1:4" ht="42">
      <c r="A6984" s="715">
        <v>104036</v>
      </c>
      <c r="B6984" s="633" t="s">
        <v>26812</v>
      </c>
      <c r="C6984" s="715" t="s">
        <v>103</v>
      </c>
      <c r="D6984" s="716">
        <v>49.24</v>
      </c>
    </row>
    <row r="6985" spans="1:4" ht="42">
      <c r="A6985" s="715">
        <v>104034</v>
      </c>
      <c r="B6985" s="633" t="s">
        <v>26810</v>
      </c>
      <c r="C6985" s="715" t="s">
        <v>103</v>
      </c>
      <c r="D6985" s="716">
        <v>37.1</v>
      </c>
    </row>
    <row r="6986" spans="1:4" ht="42">
      <c r="A6986" s="715">
        <v>104031</v>
      </c>
      <c r="B6986" s="633" t="s">
        <v>26807</v>
      </c>
      <c r="C6986" s="715" t="s">
        <v>103</v>
      </c>
      <c r="D6986" s="716">
        <v>25.15</v>
      </c>
    </row>
    <row r="6987" spans="1:4" ht="42">
      <c r="A6987" s="715">
        <v>104032</v>
      </c>
      <c r="B6987" s="633" t="s">
        <v>26808</v>
      </c>
      <c r="C6987" s="715" t="s">
        <v>103</v>
      </c>
      <c r="D6987" s="716">
        <v>31.35</v>
      </c>
    </row>
    <row r="6988" spans="1:4" ht="42">
      <c r="A6988" s="715">
        <v>104033</v>
      </c>
      <c r="B6988" s="633" t="s">
        <v>26809</v>
      </c>
      <c r="C6988" s="715" t="s">
        <v>103</v>
      </c>
      <c r="D6988" s="716">
        <v>28.72</v>
      </c>
    </row>
    <row r="6989" spans="1:4" ht="42">
      <c r="A6989" s="715">
        <v>104038</v>
      </c>
      <c r="B6989" s="633" t="s">
        <v>33993</v>
      </c>
      <c r="C6989" s="715" t="s">
        <v>103</v>
      </c>
      <c r="D6989" s="716">
        <v>0</v>
      </c>
    </row>
    <row r="6990" spans="1:4" ht="42">
      <c r="A6990" s="715">
        <v>104051</v>
      </c>
      <c r="B6990" s="633" t="s">
        <v>26822</v>
      </c>
      <c r="C6990" s="715" t="s">
        <v>103</v>
      </c>
      <c r="D6990" s="716">
        <v>9.39</v>
      </c>
    </row>
    <row r="6991" spans="1:4" ht="42">
      <c r="A6991" s="715">
        <v>104052</v>
      </c>
      <c r="B6991" s="633" t="s">
        <v>26823</v>
      </c>
      <c r="C6991" s="715" t="s">
        <v>103</v>
      </c>
      <c r="D6991" s="716">
        <v>13.13</v>
      </c>
    </row>
    <row r="6992" spans="1:4" ht="42">
      <c r="A6992" s="715">
        <v>104046</v>
      </c>
      <c r="B6992" s="633" t="s">
        <v>26817</v>
      </c>
      <c r="C6992" s="715" t="s">
        <v>103</v>
      </c>
      <c r="D6992" s="716">
        <v>10.039999999999999</v>
      </c>
    </row>
    <row r="6993" spans="1:4" ht="42">
      <c r="A6993" s="715">
        <v>104047</v>
      </c>
      <c r="B6993" s="633" t="s">
        <v>26818</v>
      </c>
      <c r="C6993" s="715" t="s">
        <v>103</v>
      </c>
      <c r="D6993" s="716">
        <v>11.68</v>
      </c>
    </row>
    <row r="6994" spans="1:4" ht="42">
      <c r="A6994" s="715">
        <v>104048</v>
      </c>
      <c r="B6994" s="633" t="s">
        <v>26819</v>
      </c>
      <c r="C6994" s="715" t="s">
        <v>103</v>
      </c>
      <c r="D6994" s="716">
        <v>16.809999999999999</v>
      </c>
    </row>
    <row r="6995" spans="1:4" ht="42">
      <c r="A6995" s="715">
        <v>104063</v>
      </c>
      <c r="B6995" s="633" t="s">
        <v>26833</v>
      </c>
      <c r="C6995" s="715" t="s">
        <v>103</v>
      </c>
      <c r="D6995" s="716">
        <v>80.87</v>
      </c>
    </row>
    <row r="6996" spans="1:4" ht="42">
      <c r="A6996" s="715">
        <v>104065</v>
      </c>
      <c r="B6996" s="633" t="s">
        <v>26835</v>
      </c>
      <c r="C6996" s="715" t="s">
        <v>103</v>
      </c>
      <c r="D6996" s="716">
        <v>173.01</v>
      </c>
    </row>
    <row r="6997" spans="1:4" ht="42">
      <c r="A6997" s="715">
        <v>104062</v>
      </c>
      <c r="B6997" s="633" t="s">
        <v>26832</v>
      </c>
      <c r="C6997" s="715" t="s">
        <v>103</v>
      </c>
      <c r="D6997" s="716">
        <v>85.11</v>
      </c>
    </row>
    <row r="6998" spans="1:4" ht="42">
      <c r="A6998" s="715">
        <v>104064</v>
      </c>
      <c r="B6998" s="633" t="s">
        <v>26834</v>
      </c>
      <c r="C6998" s="715" t="s">
        <v>103</v>
      </c>
      <c r="D6998" s="716">
        <v>204.89</v>
      </c>
    </row>
    <row r="6999" spans="1:4" ht="28">
      <c r="A6999" s="715">
        <v>104059</v>
      </c>
      <c r="B6999" s="633" t="s">
        <v>26829</v>
      </c>
      <c r="C6999" s="715" t="s">
        <v>103</v>
      </c>
      <c r="D6999" s="716">
        <v>13.55</v>
      </c>
    </row>
    <row r="7000" spans="1:4" ht="28">
      <c r="A7000" s="715">
        <v>104058</v>
      </c>
      <c r="B7000" s="633" t="s">
        <v>26828</v>
      </c>
      <c r="C7000" s="715" t="s">
        <v>103</v>
      </c>
      <c r="D7000" s="716">
        <v>9.52</v>
      </c>
    </row>
    <row r="7001" spans="1:4" ht="28">
      <c r="A7001" s="715">
        <v>104082</v>
      </c>
      <c r="B7001" s="633" t="s">
        <v>26838</v>
      </c>
      <c r="C7001" s="715" t="s">
        <v>103</v>
      </c>
      <c r="D7001" s="716">
        <v>34.380000000000003</v>
      </c>
    </row>
    <row r="7002" spans="1:4" ht="28">
      <c r="A7002" s="715">
        <v>104083</v>
      </c>
      <c r="B7002" s="633" t="s">
        <v>26839</v>
      </c>
      <c r="C7002" s="715" t="s">
        <v>103</v>
      </c>
      <c r="D7002" s="716">
        <v>81.58</v>
      </c>
    </row>
    <row r="7003" spans="1:4" ht="28">
      <c r="A7003" s="715">
        <v>104057</v>
      </c>
      <c r="B7003" s="633" t="s">
        <v>33994</v>
      </c>
      <c r="C7003" s="715" t="s">
        <v>103</v>
      </c>
      <c r="D7003" s="716">
        <v>0</v>
      </c>
    </row>
    <row r="7004" spans="1:4" ht="28">
      <c r="A7004" s="715">
        <v>104056</v>
      </c>
      <c r="B7004" s="633" t="s">
        <v>26827</v>
      </c>
      <c r="C7004" s="715" t="s">
        <v>103</v>
      </c>
      <c r="D7004" s="716">
        <v>26.09</v>
      </c>
    </row>
    <row r="7005" spans="1:4" ht="42">
      <c r="A7005" s="715">
        <v>104055</v>
      </c>
      <c r="B7005" s="633" t="s">
        <v>26826</v>
      </c>
      <c r="C7005" s="715" t="s">
        <v>103</v>
      </c>
      <c r="D7005" s="716">
        <v>17.68</v>
      </c>
    </row>
    <row r="7006" spans="1:4" ht="42">
      <c r="A7006" s="715">
        <v>104076</v>
      </c>
      <c r="B7006" s="633" t="s">
        <v>26837</v>
      </c>
      <c r="C7006" s="715" t="s">
        <v>103</v>
      </c>
      <c r="D7006" s="716">
        <v>56.15</v>
      </c>
    </row>
    <row r="7007" spans="1:4" ht="28">
      <c r="A7007" s="715">
        <v>104060</v>
      </c>
      <c r="B7007" s="633" t="s">
        <v>26830</v>
      </c>
      <c r="C7007" s="715" t="s">
        <v>165</v>
      </c>
      <c r="D7007" s="716">
        <v>10.46</v>
      </c>
    </row>
    <row r="7008" spans="1:4" ht="28">
      <c r="A7008" s="715">
        <v>104061</v>
      </c>
      <c r="B7008" s="633" t="s">
        <v>26831</v>
      </c>
      <c r="C7008" s="715" t="s">
        <v>165</v>
      </c>
      <c r="D7008" s="716">
        <v>18.47</v>
      </c>
    </row>
    <row r="7009" spans="1:4" ht="28">
      <c r="A7009" s="715">
        <v>104085</v>
      </c>
      <c r="B7009" s="633" t="s">
        <v>26841</v>
      </c>
      <c r="C7009" s="715" t="s">
        <v>165</v>
      </c>
      <c r="D7009" s="716">
        <v>65.7</v>
      </c>
    </row>
    <row r="7010" spans="1:4" ht="28">
      <c r="A7010" s="715">
        <v>104086</v>
      </c>
      <c r="B7010" s="633" t="s">
        <v>26842</v>
      </c>
      <c r="C7010" s="715" t="s">
        <v>165</v>
      </c>
      <c r="D7010" s="716">
        <v>116.39</v>
      </c>
    </row>
    <row r="7011" spans="1:4" ht="42">
      <c r="A7011" s="715">
        <v>104073</v>
      </c>
      <c r="B7011" s="633" t="s">
        <v>33995</v>
      </c>
      <c r="C7011" s="715" t="s">
        <v>103</v>
      </c>
      <c r="D7011" s="716">
        <v>0</v>
      </c>
    </row>
    <row r="7012" spans="1:4" ht="42">
      <c r="A7012" s="715">
        <v>104074</v>
      </c>
      <c r="B7012" s="633" t="s">
        <v>33996</v>
      </c>
      <c r="C7012" s="715" t="s">
        <v>103</v>
      </c>
      <c r="D7012" s="716">
        <v>0</v>
      </c>
    </row>
    <row r="7013" spans="1:4" ht="42">
      <c r="A7013" s="715">
        <v>104075</v>
      </c>
      <c r="B7013" s="633" t="s">
        <v>33997</v>
      </c>
      <c r="C7013" s="715" t="s">
        <v>103</v>
      </c>
      <c r="D7013" s="716">
        <v>0</v>
      </c>
    </row>
    <row r="7014" spans="1:4" ht="42">
      <c r="A7014" s="715">
        <v>104039</v>
      </c>
      <c r="B7014" s="633" t="s">
        <v>26813</v>
      </c>
      <c r="C7014" s="715" t="s">
        <v>103</v>
      </c>
      <c r="D7014" s="716">
        <v>87.76</v>
      </c>
    </row>
    <row r="7015" spans="1:4" ht="42">
      <c r="A7015" s="715">
        <v>104040</v>
      </c>
      <c r="B7015" s="633" t="s">
        <v>33998</v>
      </c>
      <c r="C7015" s="715" t="s">
        <v>103</v>
      </c>
      <c r="D7015" s="716">
        <v>0</v>
      </c>
    </row>
    <row r="7016" spans="1:4" ht="42">
      <c r="A7016" s="715">
        <v>104041</v>
      </c>
      <c r="B7016" s="633" t="s">
        <v>33999</v>
      </c>
      <c r="C7016" s="715" t="s">
        <v>103</v>
      </c>
      <c r="D7016" s="716">
        <v>0</v>
      </c>
    </row>
    <row r="7017" spans="1:4" ht="42">
      <c r="A7017" s="715">
        <v>104042</v>
      </c>
      <c r="B7017" s="633" t="s">
        <v>34000</v>
      </c>
      <c r="C7017" s="715" t="s">
        <v>103</v>
      </c>
      <c r="D7017" s="716">
        <v>0</v>
      </c>
    </row>
    <row r="7018" spans="1:4" ht="28">
      <c r="A7018" s="715">
        <v>104072</v>
      </c>
      <c r="B7018" s="633" t="s">
        <v>26836</v>
      </c>
      <c r="C7018" s="715" t="s">
        <v>103</v>
      </c>
      <c r="D7018" s="716">
        <v>307.07</v>
      </c>
    </row>
    <row r="7019" spans="1:4" ht="28">
      <c r="A7019" s="715">
        <v>104053</v>
      </c>
      <c r="B7019" s="633" t="s">
        <v>26824</v>
      </c>
      <c r="C7019" s="715" t="s">
        <v>103</v>
      </c>
      <c r="D7019" s="716">
        <v>10.8</v>
      </c>
    </row>
    <row r="7020" spans="1:4" ht="28">
      <c r="A7020" s="715">
        <v>104054</v>
      </c>
      <c r="B7020" s="633" t="s">
        <v>26825</v>
      </c>
      <c r="C7020" s="715" t="s">
        <v>103</v>
      </c>
      <c r="D7020" s="716">
        <v>20.88</v>
      </c>
    </row>
    <row r="7021" spans="1:4" ht="42">
      <c r="A7021" s="715">
        <v>99818</v>
      </c>
      <c r="B7021" s="633" t="s">
        <v>43372</v>
      </c>
      <c r="C7021" s="715" t="s">
        <v>103</v>
      </c>
      <c r="D7021" s="716">
        <v>7.13</v>
      </c>
    </row>
    <row r="7022" spans="1:4" ht="28">
      <c r="A7022" s="715">
        <v>99819</v>
      </c>
      <c r="B7022" s="633" t="s">
        <v>43373</v>
      </c>
      <c r="C7022" s="715" t="s">
        <v>509</v>
      </c>
      <c r="D7022" s="716">
        <v>23.8</v>
      </c>
    </row>
    <row r="7023" spans="1:4" ht="42">
      <c r="A7023" s="715">
        <v>99817</v>
      </c>
      <c r="B7023" s="633" t="s">
        <v>43374</v>
      </c>
      <c r="C7023" s="715" t="s">
        <v>103</v>
      </c>
      <c r="D7023" s="716">
        <v>8.2100000000000009</v>
      </c>
    </row>
    <row r="7024" spans="1:4" ht="42">
      <c r="A7024" s="715">
        <v>99815</v>
      </c>
      <c r="B7024" s="633" t="s">
        <v>43375</v>
      </c>
      <c r="C7024" s="715" t="s">
        <v>103</v>
      </c>
      <c r="D7024" s="716">
        <v>11.73</v>
      </c>
    </row>
    <row r="7025" spans="1:4" ht="28">
      <c r="A7025" s="715">
        <v>99811</v>
      </c>
      <c r="B7025" s="633" t="s">
        <v>43376</v>
      </c>
      <c r="C7025" s="715" t="s">
        <v>509</v>
      </c>
      <c r="D7025" s="716">
        <v>0.88</v>
      </c>
    </row>
    <row r="7026" spans="1:4" ht="28">
      <c r="A7026" s="715">
        <v>99826</v>
      </c>
      <c r="B7026" s="633" t="s">
        <v>43377</v>
      </c>
      <c r="C7026" s="715" t="s">
        <v>509</v>
      </c>
      <c r="D7026" s="716">
        <v>2.1800000000000002</v>
      </c>
    </row>
    <row r="7027" spans="1:4" ht="14">
      <c r="A7027" s="715">
        <v>106170</v>
      </c>
      <c r="B7027" s="633" t="s">
        <v>43378</v>
      </c>
      <c r="C7027" s="715" t="s">
        <v>509</v>
      </c>
      <c r="D7027" s="716">
        <v>8.9700000000000006</v>
      </c>
    </row>
    <row r="7028" spans="1:4" ht="28">
      <c r="A7028" s="715">
        <v>99821</v>
      </c>
      <c r="B7028" s="633" t="s">
        <v>43379</v>
      </c>
      <c r="C7028" s="715" t="s">
        <v>509</v>
      </c>
      <c r="D7028" s="716">
        <v>6.35</v>
      </c>
    </row>
    <row r="7029" spans="1:4" ht="28">
      <c r="A7029" s="715">
        <v>99820</v>
      </c>
      <c r="B7029" s="633" t="s">
        <v>43380</v>
      </c>
      <c r="C7029" s="715" t="s">
        <v>509</v>
      </c>
      <c r="D7029" s="716">
        <v>3.41</v>
      </c>
    </row>
    <row r="7030" spans="1:4" ht="42">
      <c r="A7030" s="715">
        <v>99805</v>
      </c>
      <c r="B7030" s="633" t="s">
        <v>43381</v>
      </c>
      <c r="C7030" s="715" t="s">
        <v>509</v>
      </c>
      <c r="D7030" s="716">
        <v>14.67</v>
      </c>
    </row>
    <row r="7031" spans="1:4" ht="28">
      <c r="A7031" s="715">
        <v>99803</v>
      </c>
      <c r="B7031" s="633" t="s">
        <v>43382</v>
      </c>
      <c r="C7031" s="715" t="s">
        <v>509</v>
      </c>
      <c r="D7031" s="716">
        <v>5.29</v>
      </c>
    </row>
    <row r="7032" spans="1:4" ht="28">
      <c r="A7032" s="715">
        <v>99802</v>
      </c>
      <c r="B7032" s="633" t="s">
        <v>43383</v>
      </c>
      <c r="C7032" s="715" t="s">
        <v>509</v>
      </c>
      <c r="D7032" s="716">
        <v>0.72</v>
      </c>
    </row>
    <row r="7033" spans="1:4" ht="42">
      <c r="A7033" s="715">
        <v>99810</v>
      </c>
      <c r="B7033" s="633" t="s">
        <v>43384</v>
      </c>
      <c r="C7033" s="715" t="s">
        <v>509</v>
      </c>
      <c r="D7033" s="716">
        <v>8.66</v>
      </c>
    </row>
    <row r="7034" spans="1:4" ht="28">
      <c r="A7034" s="715">
        <v>99809</v>
      </c>
      <c r="B7034" s="633" t="s">
        <v>43385</v>
      </c>
      <c r="C7034" s="715" t="s">
        <v>509</v>
      </c>
      <c r="D7034" s="716">
        <v>9.14</v>
      </c>
    </row>
    <row r="7035" spans="1:4" ht="28">
      <c r="A7035" s="715">
        <v>99801</v>
      </c>
      <c r="B7035" s="633" t="s">
        <v>43386</v>
      </c>
      <c r="C7035" s="715" t="s">
        <v>509</v>
      </c>
      <c r="D7035" s="716">
        <v>0</v>
      </c>
    </row>
    <row r="7036" spans="1:4" ht="28">
      <c r="A7036" s="715">
        <v>106166</v>
      </c>
      <c r="B7036" s="633" t="s">
        <v>43387</v>
      </c>
      <c r="C7036" s="715" t="s">
        <v>509</v>
      </c>
      <c r="D7036" s="716">
        <v>1.81</v>
      </c>
    </row>
    <row r="7037" spans="1:4" ht="14">
      <c r="A7037" s="715">
        <v>99822</v>
      </c>
      <c r="B7037" s="633" t="s">
        <v>43388</v>
      </c>
      <c r="C7037" s="715" t="s">
        <v>509</v>
      </c>
      <c r="D7037" s="716">
        <v>1.42</v>
      </c>
    </row>
    <row r="7038" spans="1:4" ht="28">
      <c r="A7038" s="715">
        <v>99825</v>
      </c>
      <c r="B7038" s="633" t="s">
        <v>43389</v>
      </c>
      <c r="C7038" s="715" t="s">
        <v>509</v>
      </c>
      <c r="D7038" s="716">
        <v>6.09</v>
      </c>
    </row>
    <row r="7039" spans="1:4" ht="14">
      <c r="A7039" s="715">
        <v>99824</v>
      </c>
      <c r="B7039" s="633" t="s">
        <v>43390</v>
      </c>
      <c r="C7039" s="715" t="s">
        <v>509</v>
      </c>
      <c r="D7039" s="716">
        <v>3.57</v>
      </c>
    </row>
    <row r="7040" spans="1:4" ht="28">
      <c r="A7040" s="715">
        <v>99823</v>
      </c>
      <c r="B7040" s="633" t="s">
        <v>43391</v>
      </c>
      <c r="C7040" s="715" t="s">
        <v>509</v>
      </c>
      <c r="D7040" s="716">
        <v>3.14</v>
      </c>
    </row>
    <row r="7041" spans="1:4" ht="28">
      <c r="A7041" s="715">
        <v>99806</v>
      </c>
      <c r="B7041" s="633" t="s">
        <v>43392</v>
      </c>
      <c r="C7041" s="715" t="s">
        <v>509</v>
      </c>
      <c r="D7041" s="716">
        <v>3.79</v>
      </c>
    </row>
    <row r="7042" spans="1:4" ht="42">
      <c r="A7042" s="715">
        <v>99813</v>
      </c>
      <c r="B7042" s="633" t="s">
        <v>43393</v>
      </c>
      <c r="C7042" s="715" t="s">
        <v>509</v>
      </c>
      <c r="D7042" s="716">
        <v>3.99</v>
      </c>
    </row>
    <row r="7043" spans="1:4" ht="28">
      <c r="A7043" s="715">
        <v>106169</v>
      </c>
      <c r="B7043" s="633" t="s">
        <v>43394</v>
      </c>
      <c r="C7043" s="715" t="s">
        <v>103</v>
      </c>
      <c r="D7043" s="716">
        <v>4.68</v>
      </c>
    </row>
    <row r="7044" spans="1:4" ht="14">
      <c r="A7044" s="715">
        <v>106167</v>
      </c>
      <c r="B7044" s="633" t="s">
        <v>43395</v>
      </c>
      <c r="C7044" s="715" t="s">
        <v>509</v>
      </c>
      <c r="D7044" s="716">
        <v>0.09</v>
      </c>
    </row>
    <row r="7045" spans="1:4" ht="28">
      <c r="A7045" s="715">
        <v>106168</v>
      </c>
      <c r="B7045" s="633" t="s">
        <v>43396</v>
      </c>
      <c r="C7045" s="715" t="s">
        <v>509</v>
      </c>
      <c r="D7045" s="716">
        <v>0.81</v>
      </c>
    </row>
    <row r="7046" spans="1:4" ht="28">
      <c r="A7046" s="715">
        <v>99814</v>
      </c>
      <c r="B7046" s="633" t="s">
        <v>43397</v>
      </c>
      <c r="C7046" s="715" t="s">
        <v>509</v>
      </c>
      <c r="D7046" s="716">
        <v>2.16</v>
      </c>
    </row>
    <row r="7047" spans="1:4" ht="42">
      <c r="A7047" s="715">
        <v>99816</v>
      </c>
      <c r="B7047" s="633" t="s">
        <v>43398</v>
      </c>
      <c r="C7047" s="715" t="s">
        <v>103</v>
      </c>
      <c r="D7047" s="716">
        <v>11.28</v>
      </c>
    </row>
    <row r="7048" spans="1:4" ht="14">
      <c r="A7048" s="715">
        <v>106171</v>
      </c>
      <c r="B7048" s="633" t="s">
        <v>43399</v>
      </c>
      <c r="C7048" s="715" t="s">
        <v>509</v>
      </c>
      <c r="D7048" s="716">
        <v>2.2000000000000002</v>
      </c>
    </row>
    <row r="7049" spans="1:4" ht="28">
      <c r="A7049" s="715">
        <v>88238</v>
      </c>
      <c r="B7049" s="633" t="s">
        <v>27547</v>
      </c>
      <c r="C7049" s="715" t="s">
        <v>11</v>
      </c>
      <c r="D7049" s="716">
        <v>33.380000000000003</v>
      </c>
    </row>
    <row r="7050" spans="1:4" ht="28">
      <c r="A7050" s="715">
        <v>101374</v>
      </c>
      <c r="B7050" s="633" t="s">
        <v>27547</v>
      </c>
      <c r="C7050" s="715" t="s">
        <v>27629</v>
      </c>
      <c r="D7050" s="716">
        <v>5716.11</v>
      </c>
    </row>
    <row r="7051" spans="1:4" ht="28">
      <c r="A7051" s="715">
        <v>88239</v>
      </c>
      <c r="B7051" s="633" t="s">
        <v>27548</v>
      </c>
      <c r="C7051" s="715" t="s">
        <v>11</v>
      </c>
      <c r="D7051" s="716">
        <v>33</v>
      </c>
    </row>
    <row r="7052" spans="1:4" ht="28">
      <c r="A7052" s="715">
        <v>101375</v>
      </c>
      <c r="B7052" s="633" t="s">
        <v>27821</v>
      </c>
      <c r="C7052" s="715" t="s">
        <v>27629</v>
      </c>
      <c r="D7052" s="716">
        <v>5718.06</v>
      </c>
    </row>
    <row r="7053" spans="1:4" ht="28">
      <c r="A7053" s="715">
        <v>88240</v>
      </c>
      <c r="B7053" s="633" t="s">
        <v>27549</v>
      </c>
      <c r="C7053" s="715" t="s">
        <v>11</v>
      </c>
      <c r="D7053" s="716">
        <v>32.119999999999997</v>
      </c>
    </row>
    <row r="7054" spans="1:4" ht="28">
      <c r="A7054" s="715">
        <v>101376</v>
      </c>
      <c r="B7054" s="633" t="s">
        <v>27822</v>
      </c>
      <c r="C7054" s="715" t="s">
        <v>27629</v>
      </c>
      <c r="D7054" s="716">
        <v>5507.65</v>
      </c>
    </row>
    <row r="7055" spans="1:4" ht="28">
      <c r="A7055" s="715">
        <v>88241</v>
      </c>
      <c r="B7055" s="633" t="s">
        <v>27550</v>
      </c>
      <c r="C7055" s="715" t="s">
        <v>11</v>
      </c>
      <c r="D7055" s="716">
        <v>30.92</v>
      </c>
    </row>
    <row r="7056" spans="1:4" ht="28">
      <c r="A7056" s="715">
        <v>101377</v>
      </c>
      <c r="B7056" s="633" t="s">
        <v>27550</v>
      </c>
      <c r="C7056" s="715" t="s">
        <v>27629</v>
      </c>
      <c r="D7056" s="716">
        <v>5291.74</v>
      </c>
    </row>
    <row r="7057" spans="1:4" ht="28">
      <c r="A7057" s="715">
        <v>88242</v>
      </c>
      <c r="B7057" s="633" t="s">
        <v>27551</v>
      </c>
      <c r="C7057" s="715" t="s">
        <v>11</v>
      </c>
      <c r="D7057" s="716">
        <v>33.46</v>
      </c>
    </row>
    <row r="7058" spans="1:4" ht="28">
      <c r="A7058" s="715">
        <v>100301</v>
      </c>
      <c r="B7058" s="633" t="s">
        <v>27738</v>
      </c>
      <c r="C7058" s="715" t="s">
        <v>11</v>
      </c>
      <c r="D7058" s="716">
        <v>35.21</v>
      </c>
    </row>
    <row r="7059" spans="1:4" ht="28">
      <c r="A7059" s="715">
        <v>101378</v>
      </c>
      <c r="B7059" s="633" t="s">
        <v>27738</v>
      </c>
      <c r="C7059" s="715" t="s">
        <v>27629</v>
      </c>
      <c r="D7059" s="716">
        <v>6006.46</v>
      </c>
    </row>
    <row r="7060" spans="1:4" ht="28">
      <c r="A7060" s="715">
        <v>101379</v>
      </c>
      <c r="B7060" s="633" t="s">
        <v>27823</v>
      </c>
      <c r="C7060" s="715" t="s">
        <v>27629</v>
      </c>
      <c r="D7060" s="716">
        <v>5716.11</v>
      </c>
    </row>
    <row r="7061" spans="1:4" ht="28">
      <c r="A7061" s="715">
        <v>88243</v>
      </c>
      <c r="B7061" s="633" t="s">
        <v>27552</v>
      </c>
      <c r="C7061" s="715" t="s">
        <v>11</v>
      </c>
      <c r="D7061" s="716">
        <v>32.35</v>
      </c>
    </row>
    <row r="7062" spans="1:4" ht="28">
      <c r="A7062" s="715">
        <v>101380</v>
      </c>
      <c r="B7062" s="633" t="s">
        <v>27552</v>
      </c>
      <c r="C7062" s="715" t="s">
        <v>27629</v>
      </c>
      <c r="D7062" s="716">
        <v>5539.48</v>
      </c>
    </row>
    <row r="7063" spans="1:4" ht="14">
      <c r="A7063" s="715">
        <v>90766</v>
      </c>
      <c r="B7063" s="633" t="s">
        <v>27615</v>
      </c>
      <c r="C7063" s="715" t="s">
        <v>11</v>
      </c>
      <c r="D7063" s="716">
        <v>45.18</v>
      </c>
    </row>
    <row r="7064" spans="1:4" ht="14">
      <c r="A7064" s="715">
        <v>93563</v>
      </c>
      <c r="B7064" s="633" t="s">
        <v>27615</v>
      </c>
      <c r="C7064" s="715" t="s">
        <v>27629</v>
      </c>
      <c r="D7064" s="716">
        <v>7809.42</v>
      </c>
    </row>
    <row r="7065" spans="1:4" ht="28">
      <c r="A7065" s="715">
        <v>90767</v>
      </c>
      <c r="B7065" s="633" t="s">
        <v>27616</v>
      </c>
      <c r="C7065" s="715" t="s">
        <v>11</v>
      </c>
      <c r="D7065" s="716">
        <v>47.16</v>
      </c>
    </row>
    <row r="7066" spans="1:4" ht="28">
      <c r="A7066" s="715">
        <v>93564</v>
      </c>
      <c r="B7066" s="633" t="s">
        <v>27616</v>
      </c>
      <c r="C7066" s="715" t="s">
        <v>27629</v>
      </c>
      <c r="D7066" s="716">
        <v>8047.91</v>
      </c>
    </row>
    <row r="7067" spans="1:4" ht="14">
      <c r="A7067" s="715">
        <v>88245</v>
      </c>
      <c r="B7067" s="633" t="s">
        <v>27553</v>
      </c>
      <c r="C7067" s="715" t="s">
        <v>11</v>
      </c>
      <c r="D7067" s="716">
        <v>35.619999999999997</v>
      </c>
    </row>
    <row r="7068" spans="1:4" ht="14">
      <c r="A7068" s="715">
        <v>101381</v>
      </c>
      <c r="B7068" s="633" t="s">
        <v>27553</v>
      </c>
      <c r="C7068" s="715" t="s">
        <v>27629</v>
      </c>
      <c r="D7068" s="716">
        <v>6103.15</v>
      </c>
    </row>
    <row r="7069" spans="1:4" ht="28">
      <c r="A7069" s="715">
        <v>90768</v>
      </c>
      <c r="B7069" s="633" t="s">
        <v>27617</v>
      </c>
      <c r="C7069" s="715" t="s">
        <v>11</v>
      </c>
      <c r="D7069" s="716">
        <v>138.47999999999999</v>
      </c>
    </row>
    <row r="7070" spans="1:4" ht="28">
      <c r="A7070" s="715">
        <v>90769</v>
      </c>
      <c r="B7070" s="633" t="s">
        <v>27618</v>
      </c>
      <c r="C7070" s="715" t="s">
        <v>11</v>
      </c>
      <c r="D7070" s="716">
        <v>145.72</v>
      </c>
    </row>
    <row r="7071" spans="1:4" ht="28">
      <c r="A7071" s="715">
        <v>90770</v>
      </c>
      <c r="B7071" s="633" t="s">
        <v>27619</v>
      </c>
      <c r="C7071" s="715" t="s">
        <v>11</v>
      </c>
      <c r="D7071" s="716">
        <v>155.31</v>
      </c>
    </row>
    <row r="7072" spans="1:4" ht="28">
      <c r="A7072" s="715">
        <v>93569</v>
      </c>
      <c r="B7072" s="633" t="s">
        <v>27630</v>
      </c>
      <c r="C7072" s="715" t="s">
        <v>27629</v>
      </c>
      <c r="D7072" s="716">
        <v>24005.77</v>
      </c>
    </row>
    <row r="7073" spans="1:4" ht="28">
      <c r="A7073" s="715">
        <v>93570</v>
      </c>
      <c r="B7073" s="633" t="s">
        <v>27631</v>
      </c>
      <c r="C7073" s="715" t="s">
        <v>27629</v>
      </c>
      <c r="D7073" s="716">
        <v>25263.29</v>
      </c>
    </row>
    <row r="7074" spans="1:4" ht="28">
      <c r="A7074" s="715">
        <v>93571</v>
      </c>
      <c r="B7074" s="633" t="s">
        <v>27632</v>
      </c>
      <c r="C7074" s="715" t="s">
        <v>27629</v>
      </c>
      <c r="D7074" s="716">
        <v>26928.58</v>
      </c>
    </row>
    <row r="7075" spans="1:4" ht="28">
      <c r="A7075" s="715">
        <v>101382</v>
      </c>
      <c r="B7075" s="633" t="s">
        <v>27824</v>
      </c>
      <c r="C7075" s="715" t="s">
        <v>27629</v>
      </c>
      <c r="D7075" s="716">
        <v>5493.09</v>
      </c>
    </row>
    <row r="7076" spans="1:4" ht="28">
      <c r="A7076" s="715">
        <v>88246</v>
      </c>
      <c r="B7076" s="633" t="s">
        <v>27554</v>
      </c>
      <c r="C7076" s="715" t="s">
        <v>11</v>
      </c>
      <c r="D7076" s="716">
        <v>32.11</v>
      </c>
    </row>
    <row r="7077" spans="1:4" ht="28">
      <c r="A7077" s="715">
        <v>100303</v>
      </c>
      <c r="B7077" s="633" t="s">
        <v>27739</v>
      </c>
      <c r="C7077" s="715" t="s">
        <v>11</v>
      </c>
      <c r="D7077" s="716">
        <v>30.99</v>
      </c>
    </row>
    <row r="7078" spans="1:4" ht="28">
      <c r="A7078" s="715">
        <v>101383</v>
      </c>
      <c r="B7078" s="633" t="s">
        <v>27739</v>
      </c>
      <c r="C7078" s="715" t="s">
        <v>27629</v>
      </c>
      <c r="D7078" s="716">
        <v>5291.52</v>
      </c>
    </row>
    <row r="7079" spans="1:4" ht="28">
      <c r="A7079" s="715">
        <v>88247</v>
      </c>
      <c r="B7079" s="633" t="s">
        <v>27555</v>
      </c>
      <c r="C7079" s="715" t="s">
        <v>11</v>
      </c>
      <c r="D7079" s="716">
        <v>34</v>
      </c>
    </row>
    <row r="7080" spans="1:4" ht="28">
      <c r="A7080" s="715">
        <v>88248</v>
      </c>
      <c r="B7080" s="633" t="s">
        <v>27556</v>
      </c>
      <c r="C7080" s="715" t="s">
        <v>11</v>
      </c>
      <c r="D7080" s="716">
        <v>32.979999999999997</v>
      </c>
    </row>
    <row r="7081" spans="1:4" ht="28">
      <c r="A7081" s="715">
        <v>101384</v>
      </c>
      <c r="B7081" s="633" t="s">
        <v>27556</v>
      </c>
      <c r="C7081" s="715" t="s">
        <v>27629</v>
      </c>
      <c r="D7081" s="716">
        <v>5625.28</v>
      </c>
    </row>
    <row r="7082" spans="1:4" ht="28">
      <c r="A7082" s="715">
        <v>90772</v>
      </c>
      <c r="B7082" s="633" t="s">
        <v>27620</v>
      </c>
      <c r="C7082" s="715" t="s">
        <v>11</v>
      </c>
      <c r="D7082" s="716">
        <v>39.869999999999997</v>
      </c>
    </row>
    <row r="7083" spans="1:4" ht="28">
      <c r="A7083" s="715">
        <v>93566</v>
      </c>
      <c r="B7083" s="633" t="s">
        <v>27620</v>
      </c>
      <c r="C7083" s="715" t="s">
        <v>27629</v>
      </c>
      <c r="D7083" s="716">
        <v>6886.66</v>
      </c>
    </row>
    <row r="7084" spans="1:4" ht="28">
      <c r="A7084" s="715">
        <v>101385</v>
      </c>
      <c r="B7084" s="633" t="s">
        <v>27825</v>
      </c>
      <c r="C7084" s="715" t="s">
        <v>27629</v>
      </c>
      <c r="D7084" s="716">
        <v>8395.76</v>
      </c>
    </row>
    <row r="7085" spans="1:4" ht="28">
      <c r="A7085" s="715">
        <v>88249</v>
      </c>
      <c r="B7085" s="633" t="s">
        <v>27557</v>
      </c>
      <c r="C7085" s="715" t="s">
        <v>11</v>
      </c>
      <c r="D7085" s="716">
        <v>48.66</v>
      </c>
    </row>
    <row r="7086" spans="1:4" ht="28">
      <c r="A7086" s="715">
        <v>88250</v>
      </c>
      <c r="B7086" s="633" t="s">
        <v>27558</v>
      </c>
      <c r="C7086" s="715" t="s">
        <v>11</v>
      </c>
      <c r="D7086" s="716">
        <v>32.119999999999997</v>
      </c>
    </row>
    <row r="7087" spans="1:4" ht="28">
      <c r="A7087" s="715">
        <v>101386</v>
      </c>
      <c r="B7087" s="633" t="s">
        <v>27558</v>
      </c>
      <c r="C7087" s="715" t="s">
        <v>27629</v>
      </c>
      <c r="D7087" s="716">
        <v>5507.65</v>
      </c>
    </row>
    <row r="7088" spans="1:4" ht="28">
      <c r="A7088" s="715">
        <v>101387</v>
      </c>
      <c r="B7088" s="633" t="s">
        <v>27826</v>
      </c>
      <c r="C7088" s="715" t="s">
        <v>27629</v>
      </c>
      <c r="D7088" s="716">
        <v>5716.11</v>
      </c>
    </row>
    <row r="7089" spans="1:4" ht="28">
      <c r="A7089" s="715">
        <v>88251</v>
      </c>
      <c r="B7089" s="633" t="s">
        <v>27559</v>
      </c>
      <c r="C7089" s="715" t="s">
        <v>11</v>
      </c>
      <c r="D7089" s="716">
        <v>33.380000000000003</v>
      </c>
    </row>
    <row r="7090" spans="1:4" ht="28">
      <c r="A7090" s="715">
        <v>88252</v>
      </c>
      <c r="B7090" s="633" t="s">
        <v>27560</v>
      </c>
      <c r="C7090" s="715" t="s">
        <v>11</v>
      </c>
      <c r="D7090" s="716">
        <v>30.83</v>
      </c>
    </row>
    <row r="7091" spans="1:4" ht="28">
      <c r="A7091" s="715">
        <v>101388</v>
      </c>
      <c r="B7091" s="633" t="s">
        <v>27560</v>
      </c>
      <c r="C7091" s="715" t="s">
        <v>27629</v>
      </c>
      <c r="D7091" s="716">
        <v>5274.57</v>
      </c>
    </row>
    <row r="7092" spans="1:4" ht="28">
      <c r="A7092" s="715">
        <v>88253</v>
      </c>
      <c r="B7092" s="633" t="s">
        <v>27561</v>
      </c>
      <c r="C7092" s="715" t="s">
        <v>11</v>
      </c>
      <c r="D7092" s="716">
        <v>44.38</v>
      </c>
    </row>
    <row r="7093" spans="1:4" ht="28">
      <c r="A7093" s="715">
        <v>101389</v>
      </c>
      <c r="B7093" s="633" t="s">
        <v>27561</v>
      </c>
      <c r="C7093" s="715" t="s">
        <v>27629</v>
      </c>
      <c r="D7093" s="716">
        <v>7649.26</v>
      </c>
    </row>
    <row r="7094" spans="1:4" ht="28">
      <c r="A7094" s="715">
        <v>101390</v>
      </c>
      <c r="B7094" s="633" t="s">
        <v>27827</v>
      </c>
      <c r="C7094" s="715" t="s">
        <v>27629</v>
      </c>
      <c r="D7094" s="716">
        <v>8189.31</v>
      </c>
    </row>
    <row r="7095" spans="1:4" ht="28">
      <c r="A7095" s="715">
        <v>88255</v>
      </c>
      <c r="B7095" s="633" t="s">
        <v>27562</v>
      </c>
      <c r="C7095" s="715" t="s">
        <v>11</v>
      </c>
      <c r="D7095" s="716">
        <v>47.48</v>
      </c>
    </row>
    <row r="7096" spans="1:4" ht="28">
      <c r="A7096" s="715">
        <v>88256</v>
      </c>
      <c r="B7096" s="633" t="s">
        <v>27828</v>
      </c>
      <c r="C7096" s="715" t="s">
        <v>11</v>
      </c>
      <c r="D7096" s="716">
        <v>35.700000000000003</v>
      </c>
    </row>
    <row r="7097" spans="1:4" ht="28">
      <c r="A7097" s="715">
        <v>101391</v>
      </c>
      <c r="B7097" s="633" t="s">
        <v>27828</v>
      </c>
      <c r="C7097" s="715" t="s">
        <v>27629</v>
      </c>
      <c r="D7097" s="716">
        <v>6103.15</v>
      </c>
    </row>
    <row r="7098" spans="1:4" ht="28">
      <c r="A7098" s="715">
        <v>88257</v>
      </c>
      <c r="B7098" s="633" t="s">
        <v>27563</v>
      </c>
      <c r="C7098" s="715" t="s">
        <v>11</v>
      </c>
      <c r="D7098" s="716">
        <v>40.65</v>
      </c>
    </row>
    <row r="7099" spans="1:4" ht="28">
      <c r="A7099" s="715">
        <v>101392</v>
      </c>
      <c r="B7099" s="633" t="s">
        <v>27829</v>
      </c>
      <c r="C7099" s="715" t="s">
        <v>27629</v>
      </c>
      <c r="D7099" s="716">
        <v>6951.08</v>
      </c>
    </row>
    <row r="7100" spans="1:4" ht="14">
      <c r="A7100" s="715">
        <v>88260</v>
      </c>
      <c r="B7100" s="633" t="s">
        <v>27564</v>
      </c>
      <c r="C7100" s="715" t="s">
        <v>11</v>
      </c>
      <c r="D7100" s="716">
        <v>35.6</v>
      </c>
    </row>
    <row r="7101" spans="1:4" ht="14">
      <c r="A7101" s="715">
        <v>101394</v>
      </c>
      <c r="B7101" s="633" t="s">
        <v>27564</v>
      </c>
      <c r="C7101" s="715" t="s">
        <v>27629</v>
      </c>
      <c r="D7101" s="716">
        <v>6103.12</v>
      </c>
    </row>
    <row r="7102" spans="1:4" ht="28">
      <c r="A7102" s="715">
        <v>101395</v>
      </c>
      <c r="B7102" s="633" t="s">
        <v>27830</v>
      </c>
      <c r="C7102" s="715" t="s">
        <v>27629</v>
      </c>
      <c r="D7102" s="716">
        <v>5639.16</v>
      </c>
    </row>
    <row r="7103" spans="1:4" ht="28">
      <c r="A7103" s="715">
        <v>88261</v>
      </c>
      <c r="B7103" s="633" t="s">
        <v>27831</v>
      </c>
      <c r="C7103" s="715" t="s">
        <v>11</v>
      </c>
      <c r="D7103" s="716">
        <v>35.24</v>
      </c>
    </row>
    <row r="7104" spans="1:4" ht="28">
      <c r="A7104" s="715">
        <v>101396</v>
      </c>
      <c r="B7104" s="633" t="s">
        <v>27831</v>
      </c>
      <c r="C7104" s="715" t="s">
        <v>27629</v>
      </c>
      <c r="D7104" s="716">
        <v>6026.2</v>
      </c>
    </row>
    <row r="7105" spans="1:4" ht="28">
      <c r="A7105" s="715">
        <v>88262</v>
      </c>
      <c r="B7105" s="633" t="s">
        <v>27565</v>
      </c>
      <c r="C7105" s="715" t="s">
        <v>11</v>
      </c>
      <c r="D7105" s="716">
        <v>35.159999999999997</v>
      </c>
    </row>
    <row r="7106" spans="1:4" ht="28">
      <c r="A7106" s="715">
        <v>101397</v>
      </c>
      <c r="B7106" s="633" t="s">
        <v>27565</v>
      </c>
      <c r="C7106" s="715" t="s">
        <v>27629</v>
      </c>
      <c r="D7106" s="716">
        <v>6026.2</v>
      </c>
    </row>
    <row r="7107" spans="1:4" ht="28">
      <c r="A7107" s="715">
        <v>101398</v>
      </c>
      <c r="B7107" s="633" t="s">
        <v>27832</v>
      </c>
      <c r="C7107" s="715" t="s">
        <v>27629</v>
      </c>
      <c r="D7107" s="716">
        <v>8101.89</v>
      </c>
    </row>
    <row r="7108" spans="1:4" ht="42">
      <c r="A7108" s="715">
        <v>88263</v>
      </c>
      <c r="B7108" s="633" t="s">
        <v>27566</v>
      </c>
      <c r="C7108" s="715" t="s">
        <v>11</v>
      </c>
      <c r="D7108" s="716">
        <v>47.1</v>
      </c>
    </row>
    <row r="7109" spans="1:4" ht="28">
      <c r="A7109" s="715">
        <v>95308</v>
      </c>
      <c r="B7109" s="633" t="s">
        <v>27634</v>
      </c>
      <c r="C7109" s="715" t="s">
        <v>11</v>
      </c>
      <c r="D7109" s="716">
        <v>0.27</v>
      </c>
    </row>
    <row r="7110" spans="1:4" ht="42">
      <c r="A7110" s="715">
        <v>101286</v>
      </c>
      <c r="B7110" s="633" t="s">
        <v>27747</v>
      </c>
      <c r="C7110" s="715" t="s">
        <v>27629</v>
      </c>
      <c r="D7110" s="716">
        <v>36.26</v>
      </c>
    </row>
    <row r="7111" spans="1:4" ht="42">
      <c r="A7111" s="715">
        <v>95309</v>
      </c>
      <c r="B7111" s="633" t="s">
        <v>27635</v>
      </c>
      <c r="C7111" s="715" t="s">
        <v>11</v>
      </c>
      <c r="D7111" s="716">
        <v>0.35</v>
      </c>
    </row>
    <row r="7112" spans="1:4" ht="42">
      <c r="A7112" s="715">
        <v>101287</v>
      </c>
      <c r="B7112" s="633" t="s">
        <v>27748</v>
      </c>
      <c r="C7112" s="715" t="s">
        <v>27629</v>
      </c>
      <c r="D7112" s="716">
        <v>117.31</v>
      </c>
    </row>
    <row r="7113" spans="1:4" ht="42">
      <c r="A7113" s="715">
        <v>95310</v>
      </c>
      <c r="B7113" s="633" t="s">
        <v>27636</v>
      </c>
      <c r="C7113" s="715" t="s">
        <v>11</v>
      </c>
      <c r="D7113" s="716">
        <v>0.27</v>
      </c>
    </row>
    <row r="7114" spans="1:4" ht="42">
      <c r="A7114" s="715">
        <v>101288</v>
      </c>
      <c r="B7114" s="633" t="s">
        <v>27749</v>
      </c>
      <c r="C7114" s="715" t="s">
        <v>27629</v>
      </c>
      <c r="D7114" s="716">
        <v>36.26</v>
      </c>
    </row>
    <row r="7115" spans="1:4" ht="42">
      <c r="A7115" s="715">
        <v>95311</v>
      </c>
      <c r="B7115" s="633" t="s">
        <v>27637</v>
      </c>
      <c r="C7115" s="715" t="s">
        <v>11</v>
      </c>
      <c r="D7115" s="716">
        <v>0.24</v>
      </c>
    </row>
    <row r="7116" spans="1:4" ht="42">
      <c r="A7116" s="715">
        <v>101289</v>
      </c>
      <c r="B7116" s="633" t="s">
        <v>27750</v>
      </c>
      <c r="C7116" s="715" t="s">
        <v>27629</v>
      </c>
      <c r="D7116" s="716">
        <v>32.58</v>
      </c>
    </row>
    <row r="7117" spans="1:4" ht="28">
      <c r="A7117" s="715">
        <v>95312</v>
      </c>
      <c r="B7117" s="633" t="s">
        <v>27638</v>
      </c>
      <c r="C7117" s="715" t="s">
        <v>11</v>
      </c>
      <c r="D7117" s="716">
        <v>0.35</v>
      </c>
    </row>
    <row r="7118" spans="1:4" ht="28">
      <c r="A7118" s="715">
        <v>100291</v>
      </c>
      <c r="B7118" s="633" t="s">
        <v>27733</v>
      </c>
      <c r="C7118" s="715" t="s">
        <v>11</v>
      </c>
      <c r="D7118" s="716">
        <v>0.35</v>
      </c>
    </row>
    <row r="7119" spans="1:4" ht="28">
      <c r="A7119" s="715">
        <v>101290</v>
      </c>
      <c r="B7119" s="633" t="s">
        <v>27751</v>
      </c>
      <c r="C7119" s="715" t="s">
        <v>27629</v>
      </c>
      <c r="D7119" s="716">
        <v>46.4</v>
      </c>
    </row>
    <row r="7120" spans="1:4" ht="42">
      <c r="A7120" s="715">
        <v>101291</v>
      </c>
      <c r="B7120" s="633" t="s">
        <v>27752</v>
      </c>
      <c r="C7120" s="715" t="s">
        <v>27629</v>
      </c>
      <c r="D7120" s="716">
        <v>36.26</v>
      </c>
    </row>
    <row r="7121" spans="1:4" ht="42">
      <c r="A7121" s="715">
        <v>95313</v>
      </c>
      <c r="B7121" s="633" t="s">
        <v>27639</v>
      </c>
      <c r="C7121" s="715" t="s">
        <v>11</v>
      </c>
      <c r="D7121" s="716">
        <v>0.26</v>
      </c>
    </row>
    <row r="7122" spans="1:4" ht="42">
      <c r="A7122" s="715">
        <v>101292</v>
      </c>
      <c r="B7122" s="633" t="s">
        <v>27753</v>
      </c>
      <c r="C7122" s="715" t="s">
        <v>27629</v>
      </c>
      <c r="D7122" s="716">
        <v>34.86</v>
      </c>
    </row>
    <row r="7123" spans="1:4" ht="28">
      <c r="A7123" s="715">
        <v>95392</v>
      </c>
      <c r="B7123" s="633" t="s">
        <v>27705</v>
      </c>
      <c r="C7123" s="715" t="s">
        <v>11</v>
      </c>
      <c r="D7123" s="716">
        <v>0.18</v>
      </c>
    </row>
    <row r="7124" spans="1:4" ht="28">
      <c r="A7124" s="715">
        <v>95413</v>
      </c>
      <c r="B7124" s="633" t="s">
        <v>27719</v>
      </c>
      <c r="C7124" s="715" t="s">
        <v>27629</v>
      </c>
      <c r="D7124" s="716">
        <v>24.89</v>
      </c>
    </row>
    <row r="7125" spans="1:4" ht="42">
      <c r="A7125" s="715">
        <v>95393</v>
      </c>
      <c r="B7125" s="633" t="s">
        <v>27706</v>
      </c>
      <c r="C7125" s="715" t="s">
        <v>11</v>
      </c>
      <c r="D7125" s="716">
        <v>0.81</v>
      </c>
    </row>
    <row r="7126" spans="1:4" ht="42">
      <c r="A7126" s="715">
        <v>95414</v>
      </c>
      <c r="B7126" s="633" t="s">
        <v>27720</v>
      </c>
      <c r="C7126" s="715" t="s">
        <v>27629</v>
      </c>
      <c r="D7126" s="716">
        <v>107.61</v>
      </c>
    </row>
    <row r="7127" spans="1:4" ht="28">
      <c r="A7127" s="715">
        <v>95314</v>
      </c>
      <c r="B7127" s="633" t="s">
        <v>27640</v>
      </c>
      <c r="C7127" s="715" t="s">
        <v>11</v>
      </c>
      <c r="D7127" s="716">
        <v>0.3</v>
      </c>
    </row>
    <row r="7128" spans="1:4" ht="28">
      <c r="A7128" s="715">
        <v>101293</v>
      </c>
      <c r="B7128" s="633" t="s">
        <v>27754</v>
      </c>
      <c r="C7128" s="715" t="s">
        <v>27629</v>
      </c>
      <c r="D7128" s="716">
        <v>39.630000000000003</v>
      </c>
    </row>
    <row r="7129" spans="1:4" ht="28">
      <c r="A7129" s="715">
        <v>95394</v>
      </c>
      <c r="B7129" s="633" t="s">
        <v>27707</v>
      </c>
      <c r="C7129" s="715" t="s">
        <v>11</v>
      </c>
      <c r="D7129" s="716">
        <v>1.08</v>
      </c>
    </row>
    <row r="7130" spans="1:4" ht="28">
      <c r="A7130" s="715">
        <v>95395</v>
      </c>
      <c r="B7130" s="633" t="s">
        <v>27708</v>
      </c>
      <c r="C7130" s="715" t="s">
        <v>11</v>
      </c>
      <c r="D7130" s="716">
        <v>1.1399999999999999</v>
      </c>
    </row>
    <row r="7131" spans="1:4" ht="28">
      <c r="A7131" s="715">
        <v>95396</v>
      </c>
      <c r="B7131" s="633" t="s">
        <v>27709</v>
      </c>
      <c r="C7131" s="715" t="s">
        <v>11</v>
      </c>
      <c r="D7131" s="716">
        <v>1.22</v>
      </c>
    </row>
    <row r="7132" spans="1:4" ht="28">
      <c r="A7132" s="715">
        <v>95419</v>
      </c>
      <c r="B7132" s="633" t="s">
        <v>27725</v>
      </c>
      <c r="C7132" s="715" t="s">
        <v>27629</v>
      </c>
      <c r="D7132" s="716">
        <v>143.04</v>
      </c>
    </row>
    <row r="7133" spans="1:4" ht="28">
      <c r="A7133" s="715">
        <v>95420</v>
      </c>
      <c r="B7133" s="633" t="s">
        <v>27726</v>
      </c>
      <c r="C7133" s="715" t="s">
        <v>27629</v>
      </c>
      <c r="D7133" s="716">
        <v>150.91</v>
      </c>
    </row>
    <row r="7134" spans="1:4" ht="28">
      <c r="A7134" s="715">
        <v>95421</v>
      </c>
      <c r="B7134" s="633" t="s">
        <v>27727</v>
      </c>
      <c r="C7134" s="715" t="s">
        <v>27629</v>
      </c>
      <c r="D7134" s="716">
        <v>161.33000000000001</v>
      </c>
    </row>
    <row r="7135" spans="1:4" ht="42">
      <c r="A7135" s="715">
        <v>101294</v>
      </c>
      <c r="B7135" s="633" t="s">
        <v>27755</v>
      </c>
      <c r="C7135" s="715" t="s">
        <v>27629</v>
      </c>
      <c r="D7135" s="716">
        <v>46.24</v>
      </c>
    </row>
    <row r="7136" spans="1:4" ht="28">
      <c r="A7136" s="715">
        <v>95315</v>
      </c>
      <c r="B7136" s="633" t="s">
        <v>27641</v>
      </c>
      <c r="C7136" s="715" t="s">
        <v>11</v>
      </c>
      <c r="D7136" s="716">
        <v>0.35</v>
      </c>
    </row>
    <row r="7137" spans="1:4" ht="42">
      <c r="A7137" s="715">
        <v>100293</v>
      </c>
      <c r="B7137" s="633" t="s">
        <v>27734</v>
      </c>
      <c r="C7137" s="715" t="s">
        <v>11</v>
      </c>
      <c r="D7137" s="716">
        <v>0.31</v>
      </c>
    </row>
    <row r="7138" spans="1:4" ht="42">
      <c r="A7138" s="715">
        <v>101295</v>
      </c>
      <c r="B7138" s="633" t="s">
        <v>27756</v>
      </c>
      <c r="C7138" s="715" t="s">
        <v>27629</v>
      </c>
      <c r="D7138" s="716">
        <v>41.68</v>
      </c>
    </row>
    <row r="7139" spans="1:4" ht="42">
      <c r="A7139" s="715">
        <v>95316</v>
      </c>
      <c r="B7139" s="633" t="s">
        <v>27642</v>
      </c>
      <c r="C7139" s="715" t="s">
        <v>11</v>
      </c>
      <c r="D7139" s="716">
        <v>0.88</v>
      </c>
    </row>
    <row r="7140" spans="1:4" ht="42">
      <c r="A7140" s="715">
        <v>95317</v>
      </c>
      <c r="B7140" s="633" t="s">
        <v>27643</v>
      </c>
      <c r="C7140" s="715" t="s">
        <v>11</v>
      </c>
      <c r="D7140" s="716">
        <v>0.42</v>
      </c>
    </row>
    <row r="7141" spans="1:4" ht="42">
      <c r="A7141" s="715">
        <v>101296</v>
      </c>
      <c r="B7141" s="633" t="s">
        <v>27757</v>
      </c>
      <c r="C7141" s="715" t="s">
        <v>27629</v>
      </c>
      <c r="D7141" s="716">
        <v>56.5</v>
      </c>
    </row>
    <row r="7142" spans="1:4" ht="42">
      <c r="A7142" s="715">
        <v>95398</v>
      </c>
      <c r="B7142" s="633" t="s">
        <v>27710</v>
      </c>
      <c r="C7142" s="715" t="s">
        <v>11</v>
      </c>
      <c r="D7142" s="716">
        <v>0.16</v>
      </c>
    </row>
    <row r="7143" spans="1:4" ht="42">
      <c r="A7143" s="715">
        <v>95416</v>
      </c>
      <c r="B7143" s="633" t="s">
        <v>27722</v>
      </c>
      <c r="C7143" s="715" t="s">
        <v>27629</v>
      </c>
      <c r="D7143" s="716">
        <v>21.36</v>
      </c>
    </row>
    <row r="7144" spans="1:4" ht="42">
      <c r="A7144" s="715">
        <v>101297</v>
      </c>
      <c r="B7144" s="633" t="s">
        <v>41218</v>
      </c>
      <c r="C7144" s="715" t="s">
        <v>27629</v>
      </c>
      <c r="D7144" s="716">
        <v>44.36</v>
      </c>
    </row>
    <row r="7145" spans="1:4" ht="42">
      <c r="A7145" s="715">
        <v>95318</v>
      </c>
      <c r="B7145" s="633" t="s">
        <v>27644</v>
      </c>
      <c r="C7145" s="715" t="s">
        <v>11</v>
      </c>
      <c r="D7145" s="716">
        <v>0.33</v>
      </c>
    </row>
    <row r="7146" spans="1:4" ht="42">
      <c r="A7146" s="715">
        <v>101298</v>
      </c>
      <c r="B7146" s="633" t="s">
        <v>27758</v>
      </c>
      <c r="C7146" s="715" t="s">
        <v>27629</v>
      </c>
      <c r="D7146" s="716">
        <v>36.26</v>
      </c>
    </row>
    <row r="7147" spans="1:4" ht="28">
      <c r="A7147" s="715">
        <v>95319</v>
      </c>
      <c r="B7147" s="633" t="s">
        <v>27645</v>
      </c>
      <c r="C7147" s="715" t="s">
        <v>11</v>
      </c>
      <c r="D7147" s="716">
        <v>0.27</v>
      </c>
    </row>
    <row r="7148" spans="1:4" ht="42">
      <c r="A7148" s="715">
        <v>101299</v>
      </c>
      <c r="B7148" s="633" t="s">
        <v>27759</v>
      </c>
      <c r="C7148" s="715" t="s">
        <v>27629</v>
      </c>
      <c r="D7148" s="716">
        <v>46.4</v>
      </c>
    </row>
    <row r="7149" spans="1:4" ht="42">
      <c r="A7149" s="715">
        <v>95320</v>
      </c>
      <c r="B7149" s="633" t="s">
        <v>27646</v>
      </c>
      <c r="C7149" s="715" t="s">
        <v>11</v>
      </c>
      <c r="D7149" s="716">
        <v>0.27</v>
      </c>
    </row>
    <row r="7150" spans="1:4" ht="42">
      <c r="A7150" s="715">
        <v>95321</v>
      </c>
      <c r="B7150" s="633" t="s">
        <v>27647</v>
      </c>
      <c r="C7150" s="715" t="s">
        <v>11</v>
      </c>
      <c r="D7150" s="716">
        <v>0.24</v>
      </c>
    </row>
    <row r="7151" spans="1:4" ht="42">
      <c r="A7151" s="715">
        <v>101300</v>
      </c>
      <c r="B7151" s="633" t="s">
        <v>27760</v>
      </c>
      <c r="C7151" s="715" t="s">
        <v>27629</v>
      </c>
      <c r="D7151" s="716">
        <v>32.56</v>
      </c>
    </row>
    <row r="7152" spans="1:4" ht="42">
      <c r="A7152" s="715">
        <v>95322</v>
      </c>
      <c r="B7152" s="633" t="s">
        <v>27648</v>
      </c>
      <c r="C7152" s="715" t="s">
        <v>11</v>
      </c>
      <c r="D7152" s="716">
        <v>0.3</v>
      </c>
    </row>
    <row r="7153" spans="1:4" ht="42">
      <c r="A7153" s="715">
        <v>101301</v>
      </c>
      <c r="B7153" s="633" t="s">
        <v>27761</v>
      </c>
      <c r="C7153" s="715" t="s">
        <v>27629</v>
      </c>
      <c r="D7153" s="716">
        <v>39.65</v>
      </c>
    </row>
    <row r="7154" spans="1:4" ht="42">
      <c r="A7154" s="715">
        <v>95323</v>
      </c>
      <c r="B7154" s="633" t="s">
        <v>27649</v>
      </c>
      <c r="C7154" s="715" t="s">
        <v>11</v>
      </c>
      <c r="D7154" s="716">
        <v>0.32</v>
      </c>
    </row>
    <row r="7155" spans="1:4" ht="42">
      <c r="A7155" s="715">
        <v>101302</v>
      </c>
      <c r="B7155" s="633" t="s">
        <v>27762</v>
      </c>
      <c r="C7155" s="715" t="s">
        <v>27629</v>
      </c>
      <c r="D7155" s="716">
        <v>42.92</v>
      </c>
    </row>
    <row r="7156" spans="1:4" ht="42">
      <c r="A7156" s="715">
        <v>95324</v>
      </c>
      <c r="B7156" s="633" t="s">
        <v>41219</v>
      </c>
      <c r="C7156" s="715" t="s">
        <v>11</v>
      </c>
      <c r="D7156" s="716">
        <v>0.38</v>
      </c>
    </row>
    <row r="7157" spans="1:4" ht="42">
      <c r="A7157" s="715">
        <v>101304</v>
      </c>
      <c r="B7157" s="633" t="s">
        <v>41220</v>
      </c>
      <c r="C7157" s="715" t="s">
        <v>27629</v>
      </c>
      <c r="D7157" s="716">
        <v>50.71</v>
      </c>
    </row>
    <row r="7158" spans="1:4" ht="42">
      <c r="A7158" s="715">
        <v>95325</v>
      </c>
      <c r="B7158" s="633" t="s">
        <v>27650</v>
      </c>
      <c r="C7158" s="715" t="s">
        <v>11</v>
      </c>
      <c r="D7158" s="716">
        <v>0.56999999999999995</v>
      </c>
    </row>
    <row r="7159" spans="1:4" ht="42">
      <c r="A7159" s="715">
        <v>101305</v>
      </c>
      <c r="B7159" s="633" t="s">
        <v>27764</v>
      </c>
      <c r="C7159" s="715" t="s">
        <v>27629</v>
      </c>
      <c r="D7159" s="716">
        <v>76.05</v>
      </c>
    </row>
    <row r="7160" spans="1:4" ht="28">
      <c r="A7160" s="715">
        <v>95328</v>
      </c>
      <c r="B7160" s="633" t="s">
        <v>27651</v>
      </c>
      <c r="C7160" s="715" t="s">
        <v>11</v>
      </c>
      <c r="D7160" s="716">
        <v>0.3</v>
      </c>
    </row>
    <row r="7161" spans="1:4" ht="28">
      <c r="A7161" s="715">
        <v>101307</v>
      </c>
      <c r="B7161" s="633" t="s">
        <v>27765</v>
      </c>
      <c r="C7161" s="715" t="s">
        <v>27629</v>
      </c>
      <c r="D7161" s="716">
        <v>39.630000000000003</v>
      </c>
    </row>
    <row r="7162" spans="1:4" ht="42">
      <c r="A7162" s="715">
        <v>101309</v>
      </c>
      <c r="B7162" s="633" t="s">
        <v>27767</v>
      </c>
      <c r="C7162" s="715" t="s">
        <v>27629</v>
      </c>
      <c r="D7162" s="716">
        <v>46.4</v>
      </c>
    </row>
    <row r="7163" spans="1:4" ht="42">
      <c r="A7163" s="715">
        <v>95329</v>
      </c>
      <c r="B7163" s="633" t="s">
        <v>27652</v>
      </c>
      <c r="C7163" s="715" t="s">
        <v>11</v>
      </c>
      <c r="D7163" s="716">
        <v>0.38</v>
      </c>
    </row>
    <row r="7164" spans="1:4" ht="42">
      <c r="A7164" s="715">
        <v>101310</v>
      </c>
      <c r="B7164" s="633" t="s">
        <v>27768</v>
      </c>
      <c r="C7164" s="715" t="s">
        <v>27629</v>
      </c>
      <c r="D7164" s="716">
        <v>50.71</v>
      </c>
    </row>
    <row r="7165" spans="1:4" ht="42">
      <c r="A7165" s="715">
        <v>101311</v>
      </c>
      <c r="B7165" s="633" t="s">
        <v>27769</v>
      </c>
      <c r="C7165" s="715" t="s">
        <v>27629</v>
      </c>
      <c r="D7165" s="716">
        <v>39.630000000000003</v>
      </c>
    </row>
    <row r="7166" spans="1:4" ht="28">
      <c r="A7166" s="715">
        <v>95330</v>
      </c>
      <c r="B7166" s="633" t="s">
        <v>27653</v>
      </c>
      <c r="C7166" s="715" t="s">
        <v>11</v>
      </c>
      <c r="D7166" s="716">
        <v>0.3</v>
      </c>
    </row>
    <row r="7167" spans="1:4" ht="42">
      <c r="A7167" s="715">
        <v>101312</v>
      </c>
      <c r="B7167" s="633" t="s">
        <v>27770</v>
      </c>
      <c r="C7167" s="715" t="s">
        <v>27629</v>
      </c>
      <c r="D7167" s="716">
        <v>58.81</v>
      </c>
    </row>
    <row r="7168" spans="1:4" ht="42">
      <c r="A7168" s="715">
        <v>95331</v>
      </c>
      <c r="B7168" s="633" t="s">
        <v>27654</v>
      </c>
      <c r="C7168" s="715" t="s">
        <v>11</v>
      </c>
      <c r="D7168" s="716">
        <v>0.44</v>
      </c>
    </row>
    <row r="7169" spans="1:4" ht="42">
      <c r="A7169" s="715">
        <v>95400</v>
      </c>
      <c r="B7169" s="633" t="s">
        <v>27711</v>
      </c>
      <c r="C7169" s="715" t="s">
        <v>11</v>
      </c>
      <c r="D7169" s="716">
        <v>0.32</v>
      </c>
    </row>
    <row r="7170" spans="1:4" ht="42">
      <c r="A7170" s="715">
        <v>95411</v>
      </c>
      <c r="B7170" s="633" t="s">
        <v>27718</v>
      </c>
      <c r="C7170" s="715" t="s">
        <v>27629</v>
      </c>
      <c r="D7170" s="716">
        <v>43.38</v>
      </c>
    </row>
    <row r="7171" spans="1:4" ht="28">
      <c r="A7171" s="715">
        <v>95332</v>
      </c>
      <c r="B7171" s="633" t="s">
        <v>27655</v>
      </c>
      <c r="C7171" s="715" t="s">
        <v>11</v>
      </c>
      <c r="D7171" s="716">
        <v>1.3</v>
      </c>
    </row>
    <row r="7172" spans="1:4" ht="28">
      <c r="A7172" s="715">
        <v>101313</v>
      </c>
      <c r="B7172" s="633" t="s">
        <v>27771</v>
      </c>
      <c r="C7172" s="715" t="s">
        <v>27629</v>
      </c>
      <c r="D7172" s="716">
        <v>172.02</v>
      </c>
    </row>
    <row r="7173" spans="1:4" ht="28">
      <c r="A7173" s="715">
        <v>95334</v>
      </c>
      <c r="B7173" s="633" t="s">
        <v>27656</v>
      </c>
      <c r="C7173" s="715" t="s">
        <v>11</v>
      </c>
      <c r="D7173" s="716">
        <v>1.26</v>
      </c>
    </row>
    <row r="7174" spans="1:4" ht="28">
      <c r="A7174" s="715">
        <v>101315</v>
      </c>
      <c r="B7174" s="633" t="s">
        <v>27772</v>
      </c>
      <c r="C7174" s="715" t="s">
        <v>27629</v>
      </c>
      <c r="D7174" s="716">
        <v>167.42</v>
      </c>
    </row>
    <row r="7175" spans="1:4" ht="42">
      <c r="A7175" s="715">
        <v>95335</v>
      </c>
      <c r="B7175" s="633" t="s">
        <v>27657</v>
      </c>
      <c r="C7175" s="715" t="s">
        <v>11</v>
      </c>
      <c r="D7175" s="716">
        <v>0.55000000000000004</v>
      </c>
    </row>
    <row r="7176" spans="1:4" ht="42">
      <c r="A7176" s="715">
        <v>101316</v>
      </c>
      <c r="B7176" s="633" t="s">
        <v>27773</v>
      </c>
      <c r="C7176" s="715" t="s">
        <v>27629</v>
      </c>
      <c r="D7176" s="716">
        <v>73.27</v>
      </c>
    </row>
    <row r="7177" spans="1:4" ht="28">
      <c r="A7177" s="715">
        <v>95401</v>
      </c>
      <c r="B7177" s="633" t="s">
        <v>27712</v>
      </c>
      <c r="C7177" s="715" t="s">
        <v>11</v>
      </c>
      <c r="D7177" s="716">
        <v>0.97</v>
      </c>
    </row>
    <row r="7178" spans="1:4" ht="42">
      <c r="A7178" s="715">
        <v>95422</v>
      </c>
      <c r="B7178" s="633" t="s">
        <v>27728</v>
      </c>
      <c r="C7178" s="715" t="s">
        <v>27629</v>
      </c>
      <c r="D7178" s="716">
        <v>128.69999999999999</v>
      </c>
    </row>
    <row r="7179" spans="1:4" ht="42">
      <c r="A7179" s="715">
        <v>95402</v>
      </c>
      <c r="B7179" s="633" t="s">
        <v>27713</v>
      </c>
      <c r="C7179" s="715" t="s">
        <v>11</v>
      </c>
      <c r="D7179" s="716">
        <v>1.98</v>
      </c>
    </row>
    <row r="7180" spans="1:4" ht="42">
      <c r="A7180" s="715">
        <v>95415</v>
      </c>
      <c r="B7180" s="633" t="s">
        <v>27721</v>
      </c>
      <c r="C7180" s="715" t="s">
        <v>27629</v>
      </c>
      <c r="D7180" s="716">
        <v>262.27</v>
      </c>
    </row>
    <row r="7181" spans="1:4" ht="42">
      <c r="A7181" s="715">
        <v>95403</v>
      </c>
      <c r="B7181" s="633" t="s">
        <v>27714</v>
      </c>
      <c r="C7181" s="715" t="s">
        <v>11</v>
      </c>
      <c r="D7181" s="716">
        <v>2.02</v>
      </c>
    </row>
    <row r="7182" spans="1:4" ht="42">
      <c r="A7182" s="715">
        <v>95417</v>
      </c>
      <c r="B7182" s="633" t="s">
        <v>27723</v>
      </c>
      <c r="C7182" s="715" t="s">
        <v>27629</v>
      </c>
      <c r="D7182" s="716">
        <v>266.8</v>
      </c>
    </row>
    <row r="7183" spans="1:4" ht="42">
      <c r="A7183" s="715">
        <v>95404</v>
      </c>
      <c r="B7183" s="633" t="s">
        <v>27715</v>
      </c>
      <c r="C7183" s="715" t="s">
        <v>11</v>
      </c>
      <c r="D7183" s="716">
        <v>2.83</v>
      </c>
    </row>
    <row r="7184" spans="1:4" ht="42">
      <c r="A7184" s="715">
        <v>95418</v>
      </c>
      <c r="B7184" s="633" t="s">
        <v>27724</v>
      </c>
      <c r="C7184" s="715" t="s">
        <v>27629</v>
      </c>
      <c r="D7184" s="716">
        <v>373.74</v>
      </c>
    </row>
    <row r="7185" spans="1:4" ht="28">
      <c r="A7185" s="715">
        <v>95337</v>
      </c>
      <c r="B7185" s="633" t="s">
        <v>27658</v>
      </c>
      <c r="C7185" s="715" t="s">
        <v>11</v>
      </c>
      <c r="D7185" s="716">
        <v>0.3</v>
      </c>
    </row>
    <row r="7186" spans="1:4" ht="28">
      <c r="A7186" s="715">
        <v>101322</v>
      </c>
      <c r="B7186" s="633" t="s">
        <v>27775</v>
      </c>
      <c r="C7186" s="715" t="s">
        <v>27629</v>
      </c>
      <c r="D7186" s="716">
        <v>39.630000000000003</v>
      </c>
    </row>
    <row r="7187" spans="1:4" ht="28">
      <c r="A7187" s="715">
        <v>95338</v>
      </c>
      <c r="B7187" s="633" t="s">
        <v>27659</v>
      </c>
      <c r="C7187" s="715" t="s">
        <v>11</v>
      </c>
      <c r="D7187" s="716">
        <v>0.55000000000000004</v>
      </c>
    </row>
    <row r="7188" spans="1:4" ht="28">
      <c r="A7188" s="715">
        <v>101323</v>
      </c>
      <c r="B7188" s="633" t="s">
        <v>27776</v>
      </c>
      <c r="C7188" s="715" t="s">
        <v>27629</v>
      </c>
      <c r="D7188" s="716">
        <v>72.83</v>
      </c>
    </row>
    <row r="7189" spans="1:4" ht="28">
      <c r="A7189" s="715">
        <v>102918</v>
      </c>
      <c r="B7189" s="633" t="s">
        <v>34001</v>
      </c>
      <c r="C7189" s="715" t="s">
        <v>11</v>
      </c>
      <c r="D7189" s="716">
        <v>0</v>
      </c>
    </row>
    <row r="7190" spans="1:4" ht="42">
      <c r="A7190" s="715">
        <v>101325</v>
      </c>
      <c r="B7190" s="633" t="s">
        <v>27778</v>
      </c>
      <c r="C7190" s="715" t="s">
        <v>27629</v>
      </c>
      <c r="D7190" s="716">
        <v>66</v>
      </c>
    </row>
    <row r="7191" spans="1:4" ht="28">
      <c r="A7191" s="715">
        <v>95390</v>
      </c>
      <c r="B7191" s="633" t="s">
        <v>27704</v>
      </c>
      <c r="C7191" s="715" t="s">
        <v>11</v>
      </c>
      <c r="D7191" s="716">
        <v>0.11</v>
      </c>
    </row>
    <row r="7192" spans="1:4" ht="28">
      <c r="A7192" s="715">
        <v>101326</v>
      </c>
      <c r="B7192" s="633" t="s">
        <v>27779</v>
      </c>
      <c r="C7192" s="715" t="s">
        <v>27629</v>
      </c>
      <c r="D7192" s="716">
        <v>15.38</v>
      </c>
    </row>
    <row r="7193" spans="1:4" ht="28">
      <c r="A7193" s="715">
        <v>95340</v>
      </c>
      <c r="B7193" s="633" t="s">
        <v>27661</v>
      </c>
      <c r="C7193" s="715" t="s">
        <v>11</v>
      </c>
      <c r="D7193" s="716">
        <v>0.38</v>
      </c>
    </row>
    <row r="7194" spans="1:4" ht="28">
      <c r="A7194" s="715">
        <v>101330</v>
      </c>
      <c r="B7194" s="633" t="s">
        <v>27782</v>
      </c>
      <c r="C7194" s="715" t="s">
        <v>27629</v>
      </c>
      <c r="D7194" s="716">
        <v>50.71</v>
      </c>
    </row>
    <row r="7195" spans="1:4" ht="42">
      <c r="A7195" s="715">
        <v>101331</v>
      </c>
      <c r="B7195" s="633" t="s">
        <v>27783</v>
      </c>
      <c r="C7195" s="715" t="s">
        <v>27629</v>
      </c>
      <c r="D7195" s="716">
        <v>52.55</v>
      </c>
    </row>
    <row r="7196" spans="1:4" ht="42">
      <c r="A7196" s="715">
        <v>95341</v>
      </c>
      <c r="B7196" s="633" t="s">
        <v>27662</v>
      </c>
      <c r="C7196" s="715" t="s">
        <v>11</v>
      </c>
      <c r="D7196" s="716">
        <v>0.39</v>
      </c>
    </row>
    <row r="7197" spans="1:4" ht="28">
      <c r="A7197" s="715">
        <v>95339</v>
      </c>
      <c r="B7197" s="633" t="s">
        <v>27660</v>
      </c>
      <c r="C7197" s="715" t="s">
        <v>11</v>
      </c>
      <c r="D7197" s="716">
        <v>0.56999999999999995</v>
      </c>
    </row>
    <row r="7198" spans="1:4" ht="28">
      <c r="A7198" s="715">
        <v>101329</v>
      </c>
      <c r="B7198" s="633" t="s">
        <v>27781</v>
      </c>
      <c r="C7198" s="715" t="s">
        <v>27629</v>
      </c>
      <c r="D7198" s="716">
        <v>76.150000000000006</v>
      </c>
    </row>
    <row r="7199" spans="1:4" ht="42">
      <c r="A7199" s="715">
        <v>95342</v>
      </c>
      <c r="B7199" s="633" t="s">
        <v>27663</v>
      </c>
      <c r="C7199" s="715" t="s">
        <v>11</v>
      </c>
      <c r="D7199" s="716">
        <v>0.34</v>
      </c>
    </row>
    <row r="7200" spans="1:4" ht="42">
      <c r="A7200" s="715">
        <v>101333</v>
      </c>
      <c r="B7200" s="633" t="s">
        <v>27785</v>
      </c>
      <c r="C7200" s="715" t="s">
        <v>27629</v>
      </c>
      <c r="D7200" s="716">
        <v>45.72</v>
      </c>
    </row>
    <row r="7201" spans="1:4" ht="42">
      <c r="A7201" s="715">
        <v>100298</v>
      </c>
      <c r="B7201" s="633" t="s">
        <v>27736</v>
      </c>
      <c r="C7201" s="715" t="s">
        <v>11</v>
      </c>
      <c r="D7201" s="716">
        <v>0.96</v>
      </c>
    </row>
    <row r="7202" spans="1:4" ht="42">
      <c r="A7202" s="715">
        <v>101334</v>
      </c>
      <c r="B7202" s="633" t="s">
        <v>27786</v>
      </c>
      <c r="C7202" s="715" t="s">
        <v>27629</v>
      </c>
      <c r="D7202" s="716">
        <v>127.56</v>
      </c>
    </row>
    <row r="7203" spans="1:4" ht="28">
      <c r="A7203" s="715">
        <v>95405</v>
      </c>
      <c r="B7203" s="633" t="s">
        <v>27716</v>
      </c>
      <c r="C7203" s="715" t="s">
        <v>11</v>
      </c>
      <c r="D7203" s="716">
        <v>1.59</v>
      </c>
    </row>
    <row r="7204" spans="1:4" ht="28">
      <c r="A7204" s="715">
        <v>95423</v>
      </c>
      <c r="B7204" s="633" t="s">
        <v>27729</v>
      </c>
      <c r="C7204" s="715" t="s">
        <v>27629</v>
      </c>
      <c r="D7204" s="716">
        <v>209.94</v>
      </c>
    </row>
    <row r="7205" spans="1:4" ht="42">
      <c r="A7205" s="715">
        <v>100295</v>
      </c>
      <c r="B7205" s="633" t="s">
        <v>27735</v>
      </c>
      <c r="C7205" s="715" t="s">
        <v>11</v>
      </c>
      <c r="D7205" s="716">
        <v>1.06</v>
      </c>
    </row>
    <row r="7206" spans="1:4" ht="42">
      <c r="A7206" s="715">
        <v>101303</v>
      </c>
      <c r="B7206" s="633" t="s">
        <v>27763</v>
      </c>
      <c r="C7206" s="715" t="s">
        <v>27629</v>
      </c>
      <c r="D7206" s="716">
        <v>140.56</v>
      </c>
    </row>
    <row r="7207" spans="1:4" ht="42">
      <c r="A7207" s="715">
        <v>95344</v>
      </c>
      <c r="B7207" s="633" t="s">
        <v>27664</v>
      </c>
      <c r="C7207" s="715" t="s">
        <v>11</v>
      </c>
      <c r="D7207" s="716">
        <v>0.3</v>
      </c>
    </row>
    <row r="7208" spans="1:4" ht="42">
      <c r="A7208" s="715">
        <v>101308</v>
      </c>
      <c r="B7208" s="633" t="s">
        <v>27766</v>
      </c>
      <c r="C7208" s="715" t="s">
        <v>27629</v>
      </c>
      <c r="D7208" s="716">
        <v>40.33</v>
      </c>
    </row>
    <row r="7209" spans="1:4" ht="42">
      <c r="A7209" s="715">
        <v>105536</v>
      </c>
      <c r="B7209" s="633" t="s">
        <v>34002</v>
      </c>
      <c r="C7209" s="715" t="s">
        <v>11</v>
      </c>
      <c r="D7209" s="716">
        <v>0</v>
      </c>
    </row>
    <row r="7210" spans="1:4" ht="42">
      <c r="A7210" s="715">
        <v>101320</v>
      </c>
      <c r="B7210" s="633" t="s">
        <v>27774</v>
      </c>
      <c r="C7210" s="715" t="s">
        <v>27629</v>
      </c>
      <c r="D7210" s="716">
        <v>34.81</v>
      </c>
    </row>
    <row r="7211" spans="1:4" ht="42">
      <c r="A7211" s="715">
        <v>95343</v>
      </c>
      <c r="B7211" s="633" t="s">
        <v>40645</v>
      </c>
      <c r="C7211" s="715" t="s">
        <v>11</v>
      </c>
      <c r="D7211" s="716">
        <v>0.5</v>
      </c>
    </row>
    <row r="7212" spans="1:4" ht="42">
      <c r="A7212" s="715">
        <v>95345</v>
      </c>
      <c r="B7212" s="633" t="s">
        <v>27665</v>
      </c>
      <c r="C7212" s="715" t="s">
        <v>11</v>
      </c>
      <c r="D7212" s="716">
        <v>0.97</v>
      </c>
    </row>
    <row r="7213" spans="1:4" ht="42">
      <c r="A7213" s="715">
        <v>95346</v>
      </c>
      <c r="B7213" s="633" t="s">
        <v>27666</v>
      </c>
      <c r="C7213" s="715" t="s">
        <v>11</v>
      </c>
      <c r="D7213" s="716">
        <v>0.15</v>
      </c>
    </row>
    <row r="7214" spans="1:4" ht="42">
      <c r="A7214" s="715">
        <v>101324</v>
      </c>
      <c r="B7214" s="633" t="s">
        <v>27777</v>
      </c>
      <c r="C7214" s="715" t="s">
        <v>27629</v>
      </c>
      <c r="D7214" s="716">
        <v>20.87</v>
      </c>
    </row>
    <row r="7215" spans="1:4" ht="42">
      <c r="A7215" s="715">
        <v>101328</v>
      </c>
      <c r="B7215" s="633" t="s">
        <v>27780</v>
      </c>
      <c r="C7215" s="715" t="s">
        <v>27629</v>
      </c>
      <c r="D7215" s="716">
        <v>24.99</v>
      </c>
    </row>
    <row r="7216" spans="1:4" ht="28">
      <c r="A7216" s="715">
        <v>95347</v>
      </c>
      <c r="B7216" s="633" t="s">
        <v>27667</v>
      </c>
      <c r="C7216" s="715" t="s">
        <v>11</v>
      </c>
      <c r="D7216" s="716">
        <v>0.15</v>
      </c>
    </row>
    <row r="7217" spans="1:4" ht="42">
      <c r="A7217" s="715">
        <v>95408</v>
      </c>
      <c r="B7217" s="633" t="s">
        <v>40646</v>
      </c>
      <c r="C7217" s="715" t="s">
        <v>27629</v>
      </c>
      <c r="D7217" s="716">
        <v>20.09</v>
      </c>
    </row>
    <row r="7218" spans="1:4" ht="42">
      <c r="A7218" s="715">
        <v>95348</v>
      </c>
      <c r="B7218" s="633" t="s">
        <v>27668</v>
      </c>
      <c r="C7218" s="715" t="s">
        <v>11</v>
      </c>
      <c r="D7218" s="716">
        <v>0.18</v>
      </c>
    </row>
    <row r="7219" spans="1:4" ht="42">
      <c r="A7219" s="715">
        <v>101332</v>
      </c>
      <c r="B7219" s="633" t="s">
        <v>27784</v>
      </c>
      <c r="C7219" s="715" t="s">
        <v>27629</v>
      </c>
      <c r="D7219" s="716">
        <v>16.73</v>
      </c>
    </row>
    <row r="7220" spans="1:4" ht="42">
      <c r="A7220" s="715">
        <v>95349</v>
      </c>
      <c r="B7220" s="633" t="s">
        <v>27669</v>
      </c>
      <c r="C7220" s="715" t="s">
        <v>11</v>
      </c>
      <c r="D7220" s="716">
        <v>0.12</v>
      </c>
    </row>
    <row r="7221" spans="1:4" ht="42">
      <c r="A7221" s="715">
        <v>101336</v>
      </c>
      <c r="B7221" s="633" t="s">
        <v>27787</v>
      </c>
      <c r="C7221" s="715" t="s">
        <v>27629</v>
      </c>
      <c r="D7221" s="716">
        <v>72.53</v>
      </c>
    </row>
    <row r="7222" spans="1:4" ht="42">
      <c r="A7222" s="715">
        <v>95351</v>
      </c>
      <c r="B7222" s="633" t="s">
        <v>27670</v>
      </c>
      <c r="C7222" s="715" t="s">
        <v>11</v>
      </c>
      <c r="D7222" s="716">
        <v>0.54</v>
      </c>
    </row>
    <row r="7223" spans="1:4" ht="28">
      <c r="A7223" s="715">
        <v>95352</v>
      </c>
      <c r="B7223" s="633" t="s">
        <v>27671</v>
      </c>
      <c r="C7223" s="715" t="s">
        <v>11</v>
      </c>
      <c r="D7223" s="716">
        <v>0.19</v>
      </c>
    </row>
    <row r="7224" spans="1:4" ht="28">
      <c r="A7224" s="715">
        <v>101337</v>
      </c>
      <c r="B7224" s="633" t="s">
        <v>27788</v>
      </c>
      <c r="C7224" s="715" t="s">
        <v>27629</v>
      </c>
      <c r="D7224" s="716">
        <v>26.12</v>
      </c>
    </row>
    <row r="7225" spans="1:4" ht="42">
      <c r="A7225" s="715">
        <v>101338</v>
      </c>
      <c r="B7225" s="633" t="s">
        <v>27789</v>
      </c>
      <c r="C7225" s="715" t="s">
        <v>27629</v>
      </c>
      <c r="D7225" s="716">
        <v>34.07</v>
      </c>
    </row>
    <row r="7226" spans="1:4" ht="42">
      <c r="A7226" s="715">
        <v>95354</v>
      </c>
      <c r="B7226" s="633" t="s">
        <v>27672</v>
      </c>
      <c r="C7226" s="715" t="s">
        <v>11</v>
      </c>
      <c r="D7226" s="716">
        <v>0.23</v>
      </c>
    </row>
    <row r="7227" spans="1:4" ht="42">
      <c r="A7227" s="715">
        <v>101339</v>
      </c>
      <c r="B7227" s="633" t="s">
        <v>27790</v>
      </c>
      <c r="C7227" s="715" t="s">
        <v>27629</v>
      </c>
      <c r="D7227" s="716">
        <v>31.36</v>
      </c>
    </row>
    <row r="7228" spans="1:4" ht="42">
      <c r="A7228" s="715">
        <v>101340</v>
      </c>
      <c r="B7228" s="633" t="s">
        <v>27791</v>
      </c>
      <c r="C7228" s="715" t="s">
        <v>27629</v>
      </c>
      <c r="D7228" s="716">
        <v>28.44</v>
      </c>
    </row>
    <row r="7229" spans="1:4" ht="42">
      <c r="A7229" s="715">
        <v>95389</v>
      </c>
      <c r="B7229" s="633" t="s">
        <v>27703</v>
      </c>
      <c r="C7229" s="715" t="s">
        <v>11</v>
      </c>
      <c r="D7229" s="716">
        <v>0.21</v>
      </c>
    </row>
    <row r="7230" spans="1:4" ht="42">
      <c r="A7230" s="715">
        <v>101341</v>
      </c>
      <c r="B7230" s="633" t="s">
        <v>27792</v>
      </c>
      <c r="C7230" s="715" t="s">
        <v>27629</v>
      </c>
      <c r="D7230" s="716">
        <v>26.63</v>
      </c>
    </row>
    <row r="7231" spans="1:4" ht="42">
      <c r="A7231" s="715">
        <v>95355</v>
      </c>
      <c r="B7231" s="633" t="s">
        <v>27673</v>
      </c>
      <c r="C7231" s="715" t="s">
        <v>11</v>
      </c>
      <c r="D7231" s="716">
        <v>0.2</v>
      </c>
    </row>
    <row r="7232" spans="1:4" ht="42">
      <c r="A7232" s="715">
        <v>95356</v>
      </c>
      <c r="B7232" s="633" t="s">
        <v>27674</v>
      </c>
      <c r="C7232" s="715" t="s">
        <v>11</v>
      </c>
      <c r="D7232" s="716">
        <v>0.23</v>
      </c>
    </row>
    <row r="7233" spans="1:4" ht="42">
      <c r="A7233" s="715">
        <v>101342</v>
      </c>
      <c r="B7233" s="633" t="s">
        <v>27793</v>
      </c>
      <c r="C7233" s="715" t="s">
        <v>27629</v>
      </c>
      <c r="D7233" s="716">
        <v>31.36</v>
      </c>
    </row>
    <row r="7234" spans="1:4" ht="42">
      <c r="A7234" s="715">
        <v>95357</v>
      </c>
      <c r="B7234" s="633" t="s">
        <v>27675</v>
      </c>
      <c r="C7234" s="715" t="s">
        <v>11</v>
      </c>
      <c r="D7234" s="716">
        <v>0.44</v>
      </c>
    </row>
    <row r="7235" spans="1:4" ht="42">
      <c r="A7235" s="715">
        <v>101343</v>
      </c>
      <c r="B7235" s="633" t="s">
        <v>27794</v>
      </c>
      <c r="C7235" s="715" t="s">
        <v>27629</v>
      </c>
      <c r="D7235" s="716">
        <v>58.08</v>
      </c>
    </row>
    <row r="7236" spans="1:4" ht="28">
      <c r="A7236" s="715">
        <v>95358</v>
      </c>
      <c r="B7236" s="633" t="s">
        <v>27676</v>
      </c>
      <c r="C7236" s="715" t="s">
        <v>11</v>
      </c>
      <c r="D7236" s="716">
        <v>0.43</v>
      </c>
    </row>
    <row r="7237" spans="1:4" ht="42">
      <c r="A7237" s="715">
        <v>101344</v>
      </c>
      <c r="B7237" s="633" t="s">
        <v>27795</v>
      </c>
      <c r="C7237" s="715" t="s">
        <v>27629</v>
      </c>
      <c r="D7237" s="716">
        <v>57.22</v>
      </c>
    </row>
    <row r="7238" spans="1:4" ht="42">
      <c r="A7238" s="715">
        <v>95359</v>
      </c>
      <c r="B7238" s="633" t="s">
        <v>27677</v>
      </c>
      <c r="C7238" s="715" t="s">
        <v>11</v>
      </c>
      <c r="D7238" s="716">
        <v>0.44</v>
      </c>
    </row>
    <row r="7239" spans="1:4" ht="42">
      <c r="A7239" s="715">
        <v>101345</v>
      </c>
      <c r="B7239" s="633" t="s">
        <v>27796</v>
      </c>
      <c r="C7239" s="715" t="s">
        <v>27629</v>
      </c>
      <c r="D7239" s="716">
        <v>59.19</v>
      </c>
    </row>
    <row r="7240" spans="1:4" ht="42">
      <c r="A7240" s="715">
        <v>101346</v>
      </c>
      <c r="B7240" s="633" t="s">
        <v>27797</v>
      </c>
      <c r="C7240" s="715" t="s">
        <v>27629</v>
      </c>
      <c r="D7240" s="716">
        <v>32.32</v>
      </c>
    </row>
    <row r="7241" spans="1:4" ht="42">
      <c r="A7241" s="715">
        <v>101347</v>
      </c>
      <c r="B7241" s="633" t="s">
        <v>27798</v>
      </c>
      <c r="C7241" s="715" t="s">
        <v>27629</v>
      </c>
      <c r="D7241" s="716">
        <v>46.72</v>
      </c>
    </row>
    <row r="7242" spans="1:4" ht="42">
      <c r="A7242" s="715">
        <v>95361</v>
      </c>
      <c r="B7242" s="633" t="s">
        <v>27679</v>
      </c>
      <c r="C7242" s="715" t="s">
        <v>11</v>
      </c>
      <c r="D7242" s="716">
        <v>0.22</v>
      </c>
    </row>
    <row r="7243" spans="1:4" ht="42">
      <c r="A7243" s="715">
        <v>101348</v>
      </c>
      <c r="B7243" s="633" t="s">
        <v>27799</v>
      </c>
      <c r="C7243" s="715" t="s">
        <v>27629</v>
      </c>
      <c r="D7243" s="716">
        <v>29.05</v>
      </c>
    </row>
    <row r="7244" spans="1:4" ht="42">
      <c r="A7244" s="715">
        <v>101349</v>
      </c>
      <c r="B7244" s="633" t="s">
        <v>27800</v>
      </c>
      <c r="C7244" s="715" t="s">
        <v>27629</v>
      </c>
      <c r="D7244" s="716">
        <v>43.35</v>
      </c>
    </row>
    <row r="7245" spans="1:4" ht="42">
      <c r="A7245" s="715">
        <v>95362</v>
      </c>
      <c r="B7245" s="633" t="s">
        <v>27680</v>
      </c>
      <c r="C7245" s="715" t="s">
        <v>11</v>
      </c>
      <c r="D7245" s="716">
        <v>0.32</v>
      </c>
    </row>
    <row r="7246" spans="1:4" ht="42">
      <c r="A7246" s="715">
        <v>95363</v>
      </c>
      <c r="B7246" s="633" t="s">
        <v>27681</v>
      </c>
      <c r="C7246" s="715" t="s">
        <v>11</v>
      </c>
      <c r="D7246" s="716">
        <v>0.32</v>
      </c>
    </row>
    <row r="7247" spans="1:4" ht="42">
      <c r="A7247" s="715">
        <v>101350</v>
      </c>
      <c r="B7247" s="633" t="s">
        <v>27801</v>
      </c>
      <c r="C7247" s="715" t="s">
        <v>27629</v>
      </c>
      <c r="D7247" s="716">
        <v>43.35</v>
      </c>
    </row>
    <row r="7248" spans="1:4" ht="42">
      <c r="A7248" s="715">
        <v>95360</v>
      </c>
      <c r="B7248" s="633" t="s">
        <v>27678</v>
      </c>
      <c r="C7248" s="715" t="s">
        <v>11</v>
      </c>
      <c r="D7248" s="716">
        <v>0.35</v>
      </c>
    </row>
    <row r="7249" spans="1:4" ht="42">
      <c r="A7249" s="715">
        <v>101351</v>
      </c>
      <c r="B7249" s="633" t="s">
        <v>27802</v>
      </c>
      <c r="C7249" s="715" t="s">
        <v>27629</v>
      </c>
      <c r="D7249" s="716">
        <v>31.36</v>
      </c>
    </row>
    <row r="7250" spans="1:4" ht="42">
      <c r="A7250" s="715">
        <v>95365</v>
      </c>
      <c r="B7250" s="633" t="s">
        <v>27683</v>
      </c>
      <c r="C7250" s="715" t="s">
        <v>11</v>
      </c>
      <c r="D7250" s="716">
        <v>0.23</v>
      </c>
    </row>
    <row r="7251" spans="1:4" ht="42">
      <c r="A7251" s="715">
        <v>101352</v>
      </c>
      <c r="B7251" s="633" t="s">
        <v>27803</v>
      </c>
      <c r="C7251" s="715" t="s">
        <v>27629</v>
      </c>
      <c r="D7251" s="716">
        <v>31.36</v>
      </c>
    </row>
    <row r="7252" spans="1:4" ht="42">
      <c r="A7252" s="715">
        <v>95364</v>
      </c>
      <c r="B7252" s="633" t="s">
        <v>27682</v>
      </c>
      <c r="C7252" s="715" t="s">
        <v>11</v>
      </c>
      <c r="D7252" s="716">
        <v>0.23</v>
      </c>
    </row>
    <row r="7253" spans="1:4" ht="42">
      <c r="A7253" s="715">
        <v>95366</v>
      </c>
      <c r="B7253" s="633" t="s">
        <v>27684</v>
      </c>
      <c r="C7253" s="715" t="s">
        <v>11</v>
      </c>
      <c r="D7253" s="716">
        <v>0.24</v>
      </c>
    </row>
    <row r="7254" spans="1:4" ht="42">
      <c r="A7254" s="715">
        <v>101353</v>
      </c>
      <c r="B7254" s="633" t="s">
        <v>27804</v>
      </c>
      <c r="C7254" s="715" t="s">
        <v>27629</v>
      </c>
      <c r="D7254" s="716">
        <v>31.92</v>
      </c>
    </row>
    <row r="7255" spans="1:4" ht="42">
      <c r="A7255" s="715">
        <v>95367</v>
      </c>
      <c r="B7255" s="633" t="s">
        <v>27685</v>
      </c>
      <c r="C7255" s="715" t="s">
        <v>11</v>
      </c>
      <c r="D7255" s="716">
        <v>0.32</v>
      </c>
    </row>
    <row r="7256" spans="1:4" ht="42">
      <c r="A7256" s="715">
        <v>101355</v>
      </c>
      <c r="B7256" s="633" t="s">
        <v>27805</v>
      </c>
      <c r="C7256" s="715" t="s">
        <v>27629</v>
      </c>
      <c r="D7256" s="716">
        <v>43.35</v>
      </c>
    </row>
    <row r="7257" spans="1:4" ht="42">
      <c r="A7257" s="715">
        <v>95368</v>
      </c>
      <c r="B7257" s="633" t="s">
        <v>27686</v>
      </c>
      <c r="C7257" s="715" t="s">
        <v>11</v>
      </c>
      <c r="D7257" s="716">
        <v>0.24</v>
      </c>
    </row>
    <row r="7258" spans="1:4" ht="42">
      <c r="A7258" s="715">
        <v>95369</v>
      </c>
      <c r="B7258" s="633" t="s">
        <v>27687</v>
      </c>
      <c r="C7258" s="715" t="s">
        <v>11</v>
      </c>
      <c r="D7258" s="716">
        <v>0.25</v>
      </c>
    </row>
    <row r="7259" spans="1:4" ht="28">
      <c r="A7259" s="715">
        <v>95370</v>
      </c>
      <c r="B7259" s="633" t="s">
        <v>27688</v>
      </c>
      <c r="C7259" s="715" t="s">
        <v>11</v>
      </c>
      <c r="D7259" s="716">
        <v>0.38</v>
      </c>
    </row>
    <row r="7260" spans="1:4" ht="28">
      <c r="A7260" s="715">
        <v>101356</v>
      </c>
      <c r="B7260" s="633" t="s">
        <v>27806</v>
      </c>
      <c r="C7260" s="715" t="s">
        <v>27629</v>
      </c>
      <c r="D7260" s="716">
        <v>50.71</v>
      </c>
    </row>
    <row r="7261" spans="1:4" ht="28">
      <c r="A7261" s="715">
        <v>95371</v>
      </c>
      <c r="B7261" s="633" t="s">
        <v>27689</v>
      </c>
      <c r="C7261" s="715" t="s">
        <v>11</v>
      </c>
      <c r="D7261" s="716">
        <v>0.55000000000000004</v>
      </c>
    </row>
    <row r="7262" spans="1:4" ht="28">
      <c r="A7262" s="715">
        <v>101357</v>
      </c>
      <c r="B7262" s="633" t="s">
        <v>27807</v>
      </c>
      <c r="C7262" s="715" t="s">
        <v>27629</v>
      </c>
      <c r="D7262" s="716">
        <v>72.83</v>
      </c>
    </row>
    <row r="7263" spans="1:4" ht="28">
      <c r="A7263" s="715">
        <v>95372</v>
      </c>
      <c r="B7263" s="633" t="s">
        <v>27690</v>
      </c>
      <c r="C7263" s="715" t="s">
        <v>11</v>
      </c>
      <c r="D7263" s="716">
        <v>0.38</v>
      </c>
    </row>
    <row r="7264" spans="1:4" ht="28">
      <c r="A7264" s="715">
        <v>101358</v>
      </c>
      <c r="B7264" s="633" t="s">
        <v>27808</v>
      </c>
      <c r="C7264" s="715" t="s">
        <v>27629</v>
      </c>
      <c r="D7264" s="716">
        <v>50.71</v>
      </c>
    </row>
    <row r="7265" spans="1:4" ht="28">
      <c r="A7265" s="715">
        <v>95373</v>
      </c>
      <c r="B7265" s="633" t="s">
        <v>27691</v>
      </c>
      <c r="C7265" s="715" t="s">
        <v>11</v>
      </c>
      <c r="D7265" s="716">
        <v>0.35</v>
      </c>
    </row>
    <row r="7266" spans="1:4" ht="28">
      <c r="A7266" s="715">
        <v>101359</v>
      </c>
      <c r="B7266" s="633" t="s">
        <v>27809</v>
      </c>
      <c r="C7266" s="715" t="s">
        <v>27629</v>
      </c>
      <c r="D7266" s="716">
        <v>46.76</v>
      </c>
    </row>
    <row r="7267" spans="1:4" ht="28">
      <c r="A7267" s="715">
        <v>101360</v>
      </c>
      <c r="B7267" s="633" t="s">
        <v>27810</v>
      </c>
      <c r="C7267" s="715" t="s">
        <v>27629</v>
      </c>
      <c r="D7267" s="716">
        <v>50.71</v>
      </c>
    </row>
    <row r="7268" spans="1:4" ht="28">
      <c r="A7268" s="715">
        <v>95374</v>
      </c>
      <c r="B7268" s="633" t="s">
        <v>27692</v>
      </c>
      <c r="C7268" s="715" t="s">
        <v>11</v>
      </c>
      <c r="D7268" s="716">
        <v>0.38</v>
      </c>
    </row>
    <row r="7269" spans="1:4" ht="28">
      <c r="A7269" s="715">
        <v>95375</v>
      </c>
      <c r="B7269" s="633" t="s">
        <v>27693</v>
      </c>
      <c r="C7269" s="715" t="s">
        <v>11</v>
      </c>
      <c r="D7269" s="716">
        <v>0.56000000000000005</v>
      </c>
    </row>
    <row r="7270" spans="1:4" ht="42">
      <c r="A7270" s="715">
        <v>101361</v>
      </c>
      <c r="B7270" s="633" t="s">
        <v>27811</v>
      </c>
      <c r="C7270" s="715" t="s">
        <v>27629</v>
      </c>
      <c r="D7270" s="716">
        <v>74.12</v>
      </c>
    </row>
    <row r="7271" spans="1:4" ht="28">
      <c r="A7271" s="715">
        <v>95376</v>
      </c>
      <c r="B7271" s="633" t="s">
        <v>27694</v>
      </c>
      <c r="C7271" s="715" t="s">
        <v>11</v>
      </c>
      <c r="D7271" s="716">
        <v>0.13</v>
      </c>
    </row>
    <row r="7272" spans="1:4" ht="28">
      <c r="A7272" s="715">
        <v>95377</v>
      </c>
      <c r="B7272" s="633" t="s">
        <v>27695</v>
      </c>
      <c r="C7272" s="715" t="s">
        <v>11</v>
      </c>
      <c r="D7272" s="716">
        <v>0.3</v>
      </c>
    </row>
    <row r="7273" spans="1:4" ht="28">
      <c r="A7273" s="715">
        <v>101363</v>
      </c>
      <c r="B7273" s="633" t="s">
        <v>27812</v>
      </c>
      <c r="C7273" s="715" t="s">
        <v>27629</v>
      </c>
      <c r="D7273" s="716">
        <v>40.69</v>
      </c>
    </row>
    <row r="7274" spans="1:4" ht="28">
      <c r="A7274" s="715">
        <v>95378</v>
      </c>
      <c r="B7274" s="633" t="s">
        <v>27696</v>
      </c>
      <c r="C7274" s="715" t="s">
        <v>11</v>
      </c>
      <c r="D7274" s="716">
        <v>0.45</v>
      </c>
    </row>
    <row r="7275" spans="1:4" ht="28">
      <c r="A7275" s="715">
        <v>101364</v>
      </c>
      <c r="B7275" s="633" t="s">
        <v>27813</v>
      </c>
      <c r="C7275" s="715" t="s">
        <v>27629</v>
      </c>
      <c r="D7275" s="716">
        <v>59.84</v>
      </c>
    </row>
    <row r="7276" spans="1:4" ht="28">
      <c r="A7276" s="715">
        <v>95379</v>
      </c>
      <c r="B7276" s="633" t="s">
        <v>27697</v>
      </c>
      <c r="C7276" s="715" t="s">
        <v>11</v>
      </c>
      <c r="D7276" s="716">
        <v>0.37</v>
      </c>
    </row>
    <row r="7277" spans="1:4" ht="28">
      <c r="A7277" s="715">
        <v>101365</v>
      </c>
      <c r="B7277" s="633" t="s">
        <v>27814</v>
      </c>
      <c r="C7277" s="715" t="s">
        <v>27629</v>
      </c>
      <c r="D7277" s="716">
        <v>49.64</v>
      </c>
    </row>
    <row r="7278" spans="1:4" ht="42">
      <c r="A7278" s="715">
        <v>95380</v>
      </c>
      <c r="B7278" s="633" t="s">
        <v>40647</v>
      </c>
      <c r="C7278" s="715" t="s">
        <v>11</v>
      </c>
      <c r="D7278" s="716">
        <v>0.4</v>
      </c>
    </row>
    <row r="7279" spans="1:4" ht="28">
      <c r="A7279" s="715">
        <v>101366</v>
      </c>
      <c r="B7279" s="633" t="s">
        <v>27815</v>
      </c>
      <c r="C7279" s="715" t="s">
        <v>27629</v>
      </c>
      <c r="D7279" s="716">
        <v>53.5</v>
      </c>
    </row>
    <row r="7280" spans="1:4" ht="42">
      <c r="A7280" s="715">
        <v>100535</v>
      </c>
      <c r="B7280" s="633" t="s">
        <v>27745</v>
      </c>
      <c r="C7280" s="715" t="s">
        <v>11</v>
      </c>
      <c r="D7280" s="716">
        <v>1.1399999999999999</v>
      </c>
    </row>
    <row r="7281" spans="1:4" ht="42">
      <c r="A7281" s="715">
        <v>100536</v>
      </c>
      <c r="B7281" s="633" t="s">
        <v>27746</v>
      </c>
      <c r="C7281" s="715" t="s">
        <v>27629</v>
      </c>
      <c r="D7281" s="716">
        <v>150.6</v>
      </c>
    </row>
    <row r="7282" spans="1:4" ht="42">
      <c r="A7282" s="715">
        <v>101368</v>
      </c>
      <c r="B7282" s="633" t="s">
        <v>27816</v>
      </c>
      <c r="C7282" s="715" t="s">
        <v>27629</v>
      </c>
      <c r="D7282" s="716">
        <v>65.06</v>
      </c>
    </row>
    <row r="7283" spans="1:4" ht="42">
      <c r="A7283" s="715">
        <v>101369</v>
      </c>
      <c r="B7283" s="633" t="s">
        <v>27817</v>
      </c>
      <c r="C7283" s="715" t="s">
        <v>27629</v>
      </c>
      <c r="D7283" s="716">
        <v>51.05</v>
      </c>
    </row>
    <row r="7284" spans="1:4" ht="28">
      <c r="A7284" s="715">
        <v>95385</v>
      </c>
      <c r="B7284" s="633" t="s">
        <v>27700</v>
      </c>
      <c r="C7284" s="715" t="s">
        <v>11</v>
      </c>
      <c r="D7284" s="716">
        <v>0.3</v>
      </c>
    </row>
    <row r="7285" spans="1:4" ht="28">
      <c r="A7285" s="715">
        <v>101370</v>
      </c>
      <c r="B7285" s="633" t="s">
        <v>27818</v>
      </c>
      <c r="C7285" s="715" t="s">
        <v>27629</v>
      </c>
      <c r="D7285" s="716">
        <v>39.630000000000003</v>
      </c>
    </row>
    <row r="7286" spans="1:4" ht="28">
      <c r="A7286" s="715">
        <v>95406</v>
      </c>
      <c r="B7286" s="633" t="s">
        <v>27717</v>
      </c>
      <c r="C7286" s="715" t="s">
        <v>11</v>
      </c>
      <c r="D7286" s="716">
        <v>0.66</v>
      </c>
    </row>
    <row r="7287" spans="1:4" ht="28">
      <c r="A7287" s="715">
        <v>95424</v>
      </c>
      <c r="B7287" s="633" t="s">
        <v>27730</v>
      </c>
      <c r="C7287" s="715" t="s">
        <v>27629</v>
      </c>
      <c r="D7287" s="716">
        <v>88.12</v>
      </c>
    </row>
    <row r="7288" spans="1:4" ht="28">
      <c r="A7288" s="715">
        <v>95386</v>
      </c>
      <c r="B7288" s="633" t="s">
        <v>27701</v>
      </c>
      <c r="C7288" s="715" t="s">
        <v>11</v>
      </c>
      <c r="D7288" s="716">
        <v>0.35</v>
      </c>
    </row>
    <row r="7289" spans="1:4" ht="42">
      <c r="A7289" s="715">
        <v>95383</v>
      </c>
      <c r="B7289" s="633" t="s">
        <v>27698</v>
      </c>
      <c r="C7289" s="715" t="s">
        <v>11</v>
      </c>
      <c r="D7289" s="716">
        <v>0.49</v>
      </c>
    </row>
    <row r="7290" spans="1:4" ht="42">
      <c r="A7290" s="715">
        <v>95384</v>
      </c>
      <c r="B7290" s="633" t="s">
        <v>27699</v>
      </c>
      <c r="C7290" s="715" t="s">
        <v>11</v>
      </c>
      <c r="D7290" s="716">
        <v>0.38</v>
      </c>
    </row>
    <row r="7291" spans="1:4" ht="42">
      <c r="A7291" s="715">
        <v>100299</v>
      </c>
      <c r="B7291" s="633" t="s">
        <v>27737</v>
      </c>
      <c r="C7291" s="715" t="s">
        <v>11</v>
      </c>
      <c r="D7291" s="716">
        <v>1.3</v>
      </c>
    </row>
    <row r="7292" spans="1:4" ht="42">
      <c r="A7292" s="715">
        <v>100315</v>
      </c>
      <c r="B7292" s="633" t="s">
        <v>27743</v>
      </c>
      <c r="C7292" s="715" t="s">
        <v>27629</v>
      </c>
      <c r="D7292" s="716">
        <v>171.71</v>
      </c>
    </row>
    <row r="7293" spans="1:4" ht="28">
      <c r="A7293" s="715">
        <v>95387</v>
      </c>
      <c r="B7293" s="633" t="s">
        <v>27702</v>
      </c>
      <c r="C7293" s="715" t="s">
        <v>11</v>
      </c>
      <c r="D7293" s="716">
        <v>0.31</v>
      </c>
    </row>
    <row r="7294" spans="1:4" ht="28">
      <c r="A7294" s="715">
        <v>101371</v>
      </c>
      <c r="B7294" s="633" t="s">
        <v>27819</v>
      </c>
      <c r="C7294" s="715" t="s">
        <v>27629</v>
      </c>
      <c r="D7294" s="716">
        <v>41.69</v>
      </c>
    </row>
    <row r="7295" spans="1:4" ht="28">
      <c r="A7295" s="715">
        <v>100288</v>
      </c>
      <c r="B7295" s="633" t="s">
        <v>27731</v>
      </c>
      <c r="C7295" s="715" t="s">
        <v>11</v>
      </c>
      <c r="D7295" s="716">
        <v>0.12</v>
      </c>
    </row>
    <row r="7296" spans="1:4" ht="28">
      <c r="A7296" s="715">
        <v>101372</v>
      </c>
      <c r="B7296" s="633" t="s">
        <v>27820</v>
      </c>
      <c r="C7296" s="715" t="s">
        <v>27629</v>
      </c>
      <c r="D7296" s="716">
        <v>16.059999999999999</v>
      </c>
    </row>
    <row r="7297" spans="1:4" ht="28">
      <c r="A7297" s="715">
        <v>90775</v>
      </c>
      <c r="B7297" s="633" t="s">
        <v>27621</v>
      </c>
      <c r="C7297" s="715" t="s">
        <v>11</v>
      </c>
      <c r="D7297" s="716">
        <v>72.89</v>
      </c>
    </row>
    <row r="7298" spans="1:4" ht="28">
      <c r="A7298" s="715">
        <v>93561</v>
      </c>
      <c r="B7298" s="633" t="s">
        <v>27621</v>
      </c>
      <c r="C7298" s="715" t="s">
        <v>27629</v>
      </c>
      <c r="D7298" s="716">
        <v>12640.75</v>
      </c>
    </row>
    <row r="7299" spans="1:4" ht="14">
      <c r="A7299" s="715">
        <v>88264</v>
      </c>
      <c r="B7299" s="633" t="s">
        <v>27567</v>
      </c>
      <c r="C7299" s="715" t="s">
        <v>11</v>
      </c>
      <c r="D7299" s="716">
        <v>45.53</v>
      </c>
    </row>
    <row r="7300" spans="1:4" ht="14">
      <c r="A7300" s="715">
        <v>101399</v>
      </c>
      <c r="B7300" s="633" t="s">
        <v>27567</v>
      </c>
      <c r="C7300" s="715" t="s">
        <v>27629</v>
      </c>
      <c r="D7300" s="716">
        <v>7664.21</v>
      </c>
    </row>
    <row r="7301" spans="1:4" ht="14">
      <c r="A7301" s="715">
        <v>88266</v>
      </c>
      <c r="B7301" s="633" t="s">
        <v>27568</v>
      </c>
      <c r="C7301" s="715" t="s">
        <v>11</v>
      </c>
      <c r="D7301" s="716">
        <v>51.66</v>
      </c>
    </row>
    <row r="7302" spans="1:4" ht="14">
      <c r="A7302" s="715">
        <v>101401</v>
      </c>
      <c r="B7302" s="633" t="s">
        <v>27568</v>
      </c>
      <c r="C7302" s="715" t="s">
        <v>27629</v>
      </c>
      <c r="D7302" s="716">
        <v>8745.66</v>
      </c>
    </row>
    <row r="7303" spans="1:4" ht="28">
      <c r="A7303" s="715">
        <v>88267</v>
      </c>
      <c r="B7303" s="633" t="s">
        <v>27569</v>
      </c>
      <c r="C7303" s="715" t="s">
        <v>11</v>
      </c>
      <c r="D7303" s="716">
        <v>40.18</v>
      </c>
    </row>
    <row r="7304" spans="1:4" ht="28">
      <c r="A7304" s="715">
        <v>101402</v>
      </c>
      <c r="B7304" s="633" t="s">
        <v>27569</v>
      </c>
      <c r="C7304" s="715" t="s">
        <v>27629</v>
      </c>
      <c r="D7304" s="716">
        <v>6863.43</v>
      </c>
    </row>
    <row r="7305" spans="1:4" ht="28">
      <c r="A7305" s="715">
        <v>90776</v>
      </c>
      <c r="B7305" s="633" t="s">
        <v>27622</v>
      </c>
      <c r="C7305" s="715" t="s">
        <v>11</v>
      </c>
      <c r="D7305" s="716">
        <v>55.46</v>
      </c>
    </row>
    <row r="7306" spans="1:4" ht="28">
      <c r="A7306" s="715">
        <v>93572</v>
      </c>
      <c r="B7306" s="633" t="s">
        <v>27633</v>
      </c>
      <c r="C7306" s="715" t="s">
        <v>27629</v>
      </c>
      <c r="D7306" s="716">
        <v>9468.2099999999991</v>
      </c>
    </row>
    <row r="7307" spans="1:4" ht="28">
      <c r="A7307" s="715">
        <v>90777</v>
      </c>
      <c r="B7307" s="633" t="s">
        <v>27623</v>
      </c>
      <c r="C7307" s="715" t="s">
        <v>11</v>
      </c>
      <c r="D7307" s="716">
        <v>143.6</v>
      </c>
    </row>
    <row r="7308" spans="1:4" ht="28">
      <c r="A7308" s="715">
        <v>93565</v>
      </c>
      <c r="B7308" s="633" t="s">
        <v>27623</v>
      </c>
      <c r="C7308" s="715" t="s">
        <v>27629</v>
      </c>
      <c r="D7308" s="716">
        <v>24741.89</v>
      </c>
    </row>
    <row r="7309" spans="1:4" ht="28">
      <c r="A7309" s="715">
        <v>90778</v>
      </c>
      <c r="B7309" s="633" t="s">
        <v>27624</v>
      </c>
      <c r="C7309" s="715" t="s">
        <v>11</v>
      </c>
      <c r="D7309" s="716">
        <v>145.96</v>
      </c>
    </row>
    <row r="7310" spans="1:4" ht="28">
      <c r="A7310" s="715">
        <v>93567</v>
      </c>
      <c r="B7310" s="633" t="s">
        <v>27624</v>
      </c>
      <c r="C7310" s="715" t="s">
        <v>27629</v>
      </c>
      <c r="D7310" s="716">
        <v>25149.06</v>
      </c>
    </row>
    <row r="7311" spans="1:4" ht="28">
      <c r="A7311" s="715">
        <v>90779</v>
      </c>
      <c r="B7311" s="633" t="s">
        <v>27625</v>
      </c>
      <c r="C7311" s="715" t="s">
        <v>11</v>
      </c>
      <c r="D7311" s="716">
        <v>201.66</v>
      </c>
    </row>
    <row r="7312" spans="1:4" ht="28">
      <c r="A7312" s="715">
        <v>93568</v>
      </c>
      <c r="B7312" s="633" t="s">
        <v>27625</v>
      </c>
      <c r="C7312" s="715" t="s">
        <v>27629</v>
      </c>
      <c r="D7312" s="716">
        <v>34765.53</v>
      </c>
    </row>
    <row r="7313" spans="1:4" ht="14">
      <c r="A7313" s="715">
        <v>88269</v>
      </c>
      <c r="B7313" s="633" t="s">
        <v>27570</v>
      </c>
      <c r="C7313" s="715" t="s">
        <v>11</v>
      </c>
      <c r="D7313" s="716">
        <v>35.619999999999997</v>
      </c>
    </row>
    <row r="7314" spans="1:4" ht="14">
      <c r="A7314" s="715">
        <v>101407</v>
      </c>
      <c r="B7314" s="633" t="s">
        <v>27570</v>
      </c>
      <c r="C7314" s="715" t="s">
        <v>27629</v>
      </c>
      <c r="D7314" s="716">
        <v>6103.15</v>
      </c>
    </row>
    <row r="7315" spans="1:4" ht="28">
      <c r="A7315" s="715">
        <v>88270</v>
      </c>
      <c r="B7315" s="633" t="s">
        <v>27571</v>
      </c>
      <c r="C7315" s="715" t="s">
        <v>11</v>
      </c>
      <c r="D7315" s="716">
        <v>35.869999999999997</v>
      </c>
    </row>
    <row r="7316" spans="1:4" ht="28">
      <c r="A7316" s="715">
        <v>101408</v>
      </c>
      <c r="B7316" s="633" t="s">
        <v>27571</v>
      </c>
      <c r="C7316" s="715" t="s">
        <v>27629</v>
      </c>
      <c r="D7316" s="716">
        <v>6103.15</v>
      </c>
    </row>
    <row r="7317" spans="1:4" ht="28">
      <c r="A7317" s="715">
        <v>102919</v>
      </c>
      <c r="B7317" s="633" t="s">
        <v>34003</v>
      </c>
      <c r="C7317" s="715" t="s">
        <v>11</v>
      </c>
      <c r="D7317" s="716">
        <v>0</v>
      </c>
    </row>
    <row r="7318" spans="1:4" ht="28">
      <c r="A7318" s="715">
        <v>101409</v>
      </c>
      <c r="B7318" s="633" t="s">
        <v>27833</v>
      </c>
      <c r="C7318" s="715" t="s">
        <v>27629</v>
      </c>
      <c r="D7318" s="716">
        <v>7269.49</v>
      </c>
    </row>
    <row r="7319" spans="1:4" ht="14">
      <c r="A7319" s="715">
        <v>88441</v>
      </c>
      <c r="B7319" s="633" t="s">
        <v>27614</v>
      </c>
      <c r="C7319" s="715" t="s">
        <v>11</v>
      </c>
      <c r="D7319" s="716">
        <v>32.32</v>
      </c>
    </row>
    <row r="7320" spans="1:4" ht="14">
      <c r="A7320" s="715">
        <v>101410</v>
      </c>
      <c r="B7320" s="633" t="s">
        <v>27614</v>
      </c>
      <c r="C7320" s="715" t="s">
        <v>27629</v>
      </c>
      <c r="D7320" s="716">
        <v>5559.71</v>
      </c>
    </row>
    <row r="7321" spans="1:4" ht="14">
      <c r="A7321" s="715">
        <v>88272</v>
      </c>
      <c r="B7321" s="633" t="s">
        <v>27572</v>
      </c>
      <c r="C7321" s="715" t="s">
        <v>11</v>
      </c>
      <c r="D7321" s="716">
        <v>43.24</v>
      </c>
    </row>
    <row r="7322" spans="1:4" ht="14">
      <c r="A7322" s="715">
        <v>88273</v>
      </c>
      <c r="B7322" s="633" t="s">
        <v>27573</v>
      </c>
      <c r="C7322" s="715" t="s">
        <v>11</v>
      </c>
      <c r="D7322" s="716">
        <v>35.24</v>
      </c>
    </row>
    <row r="7323" spans="1:4" ht="14">
      <c r="A7323" s="715">
        <v>101413</v>
      </c>
      <c r="B7323" s="633" t="s">
        <v>27573</v>
      </c>
      <c r="C7323" s="715" t="s">
        <v>27629</v>
      </c>
      <c r="D7323" s="716">
        <v>6026.2</v>
      </c>
    </row>
    <row r="7324" spans="1:4" ht="28">
      <c r="A7324" s="715">
        <v>101414</v>
      </c>
      <c r="B7324" s="633" t="s">
        <v>27835</v>
      </c>
      <c r="C7324" s="715" t="s">
        <v>27629</v>
      </c>
      <c r="D7324" s="716">
        <v>6268.46</v>
      </c>
    </row>
    <row r="7325" spans="1:4" ht="28">
      <c r="A7325" s="715">
        <v>88274</v>
      </c>
      <c r="B7325" s="633" t="s">
        <v>27574</v>
      </c>
      <c r="C7325" s="715" t="s">
        <v>11</v>
      </c>
      <c r="D7325" s="716">
        <v>36.64</v>
      </c>
    </row>
    <row r="7326" spans="1:4" ht="14">
      <c r="A7326" s="715">
        <v>101412</v>
      </c>
      <c r="B7326" s="633" t="s">
        <v>27834</v>
      </c>
      <c r="C7326" s="715" t="s">
        <v>27629</v>
      </c>
      <c r="D7326" s="716">
        <v>7378.94</v>
      </c>
    </row>
    <row r="7327" spans="1:4" ht="28">
      <c r="A7327" s="715">
        <v>101415</v>
      </c>
      <c r="B7327" s="633" t="s">
        <v>27836</v>
      </c>
      <c r="C7327" s="715" t="s">
        <v>27629</v>
      </c>
      <c r="D7327" s="716">
        <v>8638.23</v>
      </c>
    </row>
    <row r="7328" spans="1:4" ht="28">
      <c r="A7328" s="715">
        <v>100308</v>
      </c>
      <c r="B7328" s="633" t="s">
        <v>27741</v>
      </c>
      <c r="C7328" s="715" t="s">
        <v>11</v>
      </c>
      <c r="D7328" s="716">
        <v>45.22</v>
      </c>
    </row>
    <row r="7329" spans="1:4" ht="28">
      <c r="A7329" s="715">
        <v>101416</v>
      </c>
      <c r="B7329" s="633" t="s">
        <v>27741</v>
      </c>
      <c r="C7329" s="715" t="s">
        <v>27629</v>
      </c>
      <c r="D7329" s="716">
        <v>7671.55</v>
      </c>
    </row>
    <row r="7330" spans="1:4" ht="28">
      <c r="A7330" s="715">
        <v>88275</v>
      </c>
      <c r="B7330" s="633" t="s">
        <v>27575</v>
      </c>
      <c r="C7330" s="715" t="s">
        <v>11</v>
      </c>
      <c r="D7330" s="716">
        <v>50.06</v>
      </c>
    </row>
    <row r="7331" spans="1:4" ht="28">
      <c r="A7331" s="715">
        <v>90780</v>
      </c>
      <c r="B7331" s="633" t="s">
        <v>27626</v>
      </c>
      <c r="C7331" s="715" t="s">
        <v>11</v>
      </c>
      <c r="D7331" s="716">
        <v>85.1</v>
      </c>
    </row>
    <row r="7332" spans="1:4" ht="28">
      <c r="A7332" s="715">
        <v>94295</v>
      </c>
      <c r="B7332" s="633" t="s">
        <v>27626</v>
      </c>
      <c r="C7332" s="715" t="s">
        <v>27629</v>
      </c>
      <c r="D7332" s="716">
        <v>14555.49</v>
      </c>
    </row>
    <row r="7333" spans="1:4" ht="28">
      <c r="A7333" s="715">
        <v>88277</v>
      </c>
      <c r="B7333" s="633" t="s">
        <v>27576</v>
      </c>
      <c r="C7333" s="715" t="s">
        <v>11</v>
      </c>
      <c r="D7333" s="716">
        <v>42.41</v>
      </c>
    </row>
    <row r="7334" spans="1:4" ht="28">
      <c r="A7334" s="715">
        <v>100307</v>
      </c>
      <c r="B7334" s="633" t="s">
        <v>27740</v>
      </c>
      <c r="C7334" s="715" t="s">
        <v>11</v>
      </c>
      <c r="D7334" s="716">
        <v>44.86</v>
      </c>
    </row>
    <row r="7335" spans="1:4" ht="28">
      <c r="A7335" s="715">
        <v>101417</v>
      </c>
      <c r="B7335" s="633" t="s">
        <v>27740</v>
      </c>
      <c r="C7335" s="715" t="s">
        <v>27629</v>
      </c>
      <c r="D7335" s="716">
        <v>7590.47</v>
      </c>
    </row>
    <row r="7336" spans="1:4" ht="28">
      <c r="A7336" s="715">
        <v>88278</v>
      </c>
      <c r="B7336" s="633" t="s">
        <v>27837</v>
      </c>
      <c r="C7336" s="715" t="s">
        <v>11</v>
      </c>
      <c r="D7336" s="716">
        <v>34.81</v>
      </c>
    </row>
    <row r="7337" spans="1:4" ht="28">
      <c r="A7337" s="715">
        <v>101418</v>
      </c>
      <c r="B7337" s="633" t="s">
        <v>27837</v>
      </c>
      <c r="C7337" s="715" t="s">
        <v>27629</v>
      </c>
      <c r="D7337" s="716">
        <v>5975.34</v>
      </c>
    </row>
    <row r="7338" spans="1:4" ht="28">
      <c r="A7338" s="715">
        <v>105535</v>
      </c>
      <c r="B7338" s="633" t="s">
        <v>34004</v>
      </c>
      <c r="C7338" s="715" t="s">
        <v>11</v>
      </c>
      <c r="D7338" s="716">
        <v>0</v>
      </c>
    </row>
    <row r="7339" spans="1:4" ht="28">
      <c r="A7339" s="715">
        <v>101419</v>
      </c>
      <c r="B7339" s="633" t="s">
        <v>27838</v>
      </c>
      <c r="C7339" s="715" t="s">
        <v>27629</v>
      </c>
      <c r="D7339" s="716">
        <v>7106.13</v>
      </c>
    </row>
    <row r="7340" spans="1:4" ht="28">
      <c r="A7340" s="715">
        <v>88279</v>
      </c>
      <c r="B7340" s="633" t="s">
        <v>41221</v>
      </c>
      <c r="C7340" s="715" t="s">
        <v>11</v>
      </c>
      <c r="D7340" s="716">
        <v>42</v>
      </c>
    </row>
    <row r="7341" spans="1:4" ht="28">
      <c r="A7341" s="715">
        <v>88281</v>
      </c>
      <c r="B7341" s="633" t="s">
        <v>27577</v>
      </c>
      <c r="C7341" s="715" t="s">
        <v>11</v>
      </c>
      <c r="D7341" s="716">
        <v>39.29</v>
      </c>
    </row>
    <row r="7342" spans="1:4" ht="28">
      <c r="A7342" s="715">
        <v>93558</v>
      </c>
      <c r="B7342" s="633" t="s">
        <v>27628</v>
      </c>
      <c r="C7342" s="715" t="s">
        <v>27629</v>
      </c>
      <c r="D7342" s="716">
        <v>6580.1</v>
      </c>
    </row>
    <row r="7343" spans="1:4" ht="28">
      <c r="A7343" s="715">
        <v>101420</v>
      </c>
      <c r="B7343" s="633" t="s">
        <v>27839</v>
      </c>
      <c r="C7343" s="715" t="s">
        <v>27629</v>
      </c>
      <c r="D7343" s="716">
        <v>6785.75</v>
      </c>
    </row>
    <row r="7344" spans="1:4" ht="28">
      <c r="A7344" s="715">
        <v>101421</v>
      </c>
      <c r="B7344" s="633" t="s">
        <v>27840</v>
      </c>
      <c r="C7344" s="715" t="s">
        <v>27629</v>
      </c>
      <c r="D7344" s="716">
        <v>7859.19</v>
      </c>
    </row>
    <row r="7345" spans="1:4" ht="28">
      <c r="A7345" s="715">
        <v>88282</v>
      </c>
      <c r="B7345" s="633" t="s">
        <v>27578</v>
      </c>
      <c r="C7345" s="715" t="s">
        <v>11</v>
      </c>
      <c r="D7345" s="716">
        <v>38.130000000000003</v>
      </c>
    </row>
    <row r="7346" spans="1:4" ht="28">
      <c r="A7346" s="715">
        <v>88283</v>
      </c>
      <c r="B7346" s="633" t="s">
        <v>27579</v>
      </c>
      <c r="C7346" s="715" t="s">
        <v>11</v>
      </c>
      <c r="D7346" s="716">
        <v>45.44</v>
      </c>
    </row>
    <row r="7347" spans="1:4" ht="28">
      <c r="A7347" s="715">
        <v>101422</v>
      </c>
      <c r="B7347" s="633" t="s">
        <v>27841</v>
      </c>
      <c r="C7347" s="715" t="s">
        <v>27629</v>
      </c>
      <c r="D7347" s="716">
        <v>5703.88</v>
      </c>
    </row>
    <row r="7348" spans="1:4" ht="28">
      <c r="A7348" s="715">
        <v>88284</v>
      </c>
      <c r="B7348" s="633" t="s">
        <v>28474</v>
      </c>
      <c r="C7348" s="715" t="s">
        <v>11</v>
      </c>
      <c r="D7348" s="716">
        <v>33.090000000000003</v>
      </c>
    </row>
    <row r="7349" spans="1:4" ht="28">
      <c r="A7349" s="715">
        <v>101424</v>
      </c>
      <c r="B7349" s="633" t="s">
        <v>27842</v>
      </c>
      <c r="C7349" s="715" t="s">
        <v>27629</v>
      </c>
      <c r="D7349" s="716">
        <v>7216.82</v>
      </c>
    </row>
    <row r="7350" spans="1:4" ht="28">
      <c r="A7350" s="715">
        <v>88286</v>
      </c>
      <c r="B7350" s="633" t="s">
        <v>27580</v>
      </c>
      <c r="C7350" s="715" t="s">
        <v>11</v>
      </c>
      <c r="D7350" s="716">
        <v>42.15</v>
      </c>
    </row>
    <row r="7351" spans="1:4" ht="14">
      <c r="A7351" s="715">
        <v>88288</v>
      </c>
      <c r="B7351" s="633" t="s">
        <v>27581</v>
      </c>
      <c r="C7351" s="715" t="s">
        <v>11</v>
      </c>
      <c r="D7351" s="716">
        <v>31.93</v>
      </c>
    </row>
    <row r="7352" spans="1:4" ht="14">
      <c r="A7352" s="715">
        <v>101425</v>
      </c>
      <c r="B7352" s="633" t="s">
        <v>27581</v>
      </c>
      <c r="C7352" s="715" t="s">
        <v>27629</v>
      </c>
      <c r="D7352" s="716">
        <v>5487.66</v>
      </c>
    </row>
    <row r="7353" spans="1:4" ht="28">
      <c r="A7353" s="715">
        <v>101426</v>
      </c>
      <c r="B7353" s="633" t="s">
        <v>27843</v>
      </c>
      <c r="C7353" s="715" t="s">
        <v>27629</v>
      </c>
      <c r="D7353" s="716">
        <v>6776.94</v>
      </c>
    </row>
    <row r="7354" spans="1:4" ht="28">
      <c r="A7354" s="715">
        <v>88291</v>
      </c>
      <c r="B7354" s="633" t="s">
        <v>27582</v>
      </c>
      <c r="C7354" s="715" t="s">
        <v>11</v>
      </c>
      <c r="D7354" s="716">
        <v>36.85</v>
      </c>
    </row>
    <row r="7355" spans="1:4" ht="28">
      <c r="A7355" s="715">
        <v>101427</v>
      </c>
      <c r="B7355" s="633" t="s">
        <v>27582</v>
      </c>
      <c r="C7355" s="715" t="s">
        <v>27629</v>
      </c>
      <c r="D7355" s="716">
        <v>6344.96</v>
      </c>
    </row>
    <row r="7356" spans="1:4" ht="28">
      <c r="A7356" s="715">
        <v>101428</v>
      </c>
      <c r="B7356" s="633" t="s">
        <v>27844</v>
      </c>
      <c r="C7356" s="715" t="s">
        <v>27629</v>
      </c>
      <c r="D7356" s="716">
        <v>5877.76</v>
      </c>
    </row>
    <row r="7357" spans="1:4" ht="42">
      <c r="A7357" s="715">
        <v>88377</v>
      </c>
      <c r="B7357" s="633" t="s">
        <v>27613</v>
      </c>
      <c r="C7357" s="715" t="s">
        <v>11</v>
      </c>
      <c r="D7357" s="716">
        <v>34.17</v>
      </c>
    </row>
    <row r="7358" spans="1:4" ht="42">
      <c r="A7358" s="715">
        <v>101429</v>
      </c>
      <c r="B7358" s="633" t="s">
        <v>27845</v>
      </c>
      <c r="C7358" s="715" t="s">
        <v>27629</v>
      </c>
      <c r="D7358" s="716">
        <v>5588.66</v>
      </c>
    </row>
    <row r="7359" spans="1:4" ht="28">
      <c r="A7359" s="715">
        <v>88292</v>
      </c>
      <c r="B7359" s="633" t="s">
        <v>27583</v>
      </c>
      <c r="C7359" s="715" t="s">
        <v>11</v>
      </c>
      <c r="D7359" s="716">
        <v>32.5</v>
      </c>
    </row>
    <row r="7360" spans="1:4" ht="28">
      <c r="A7360" s="715">
        <v>88293</v>
      </c>
      <c r="B7360" s="633" t="s">
        <v>27584</v>
      </c>
      <c r="C7360" s="715" t="s">
        <v>11</v>
      </c>
      <c r="D7360" s="716">
        <v>36.85</v>
      </c>
    </row>
    <row r="7361" spans="1:4" ht="28">
      <c r="A7361" s="715">
        <v>101430</v>
      </c>
      <c r="B7361" s="633" t="s">
        <v>27846</v>
      </c>
      <c r="C7361" s="715" t="s">
        <v>27629</v>
      </c>
      <c r="D7361" s="716">
        <v>6344.96</v>
      </c>
    </row>
    <row r="7362" spans="1:4" ht="28">
      <c r="A7362" s="715">
        <v>88294</v>
      </c>
      <c r="B7362" s="633" t="s">
        <v>27585</v>
      </c>
      <c r="C7362" s="715" t="s">
        <v>11</v>
      </c>
      <c r="D7362" s="716">
        <v>46.63</v>
      </c>
    </row>
    <row r="7363" spans="1:4" ht="28">
      <c r="A7363" s="715">
        <v>101431</v>
      </c>
      <c r="B7363" s="633" t="s">
        <v>27585</v>
      </c>
      <c r="C7363" s="715" t="s">
        <v>27629</v>
      </c>
      <c r="D7363" s="716">
        <v>8018.69</v>
      </c>
    </row>
    <row r="7364" spans="1:4" ht="28">
      <c r="A7364" s="715">
        <v>88295</v>
      </c>
      <c r="B7364" s="633" t="s">
        <v>27586</v>
      </c>
      <c r="C7364" s="715" t="s">
        <v>11</v>
      </c>
      <c r="D7364" s="716">
        <v>34.94</v>
      </c>
    </row>
    <row r="7365" spans="1:4" ht="28">
      <c r="A7365" s="715">
        <v>101432</v>
      </c>
      <c r="B7365" s="633" t="s">
        <v>27847</v>
      </c>
      <c r="C7365" s="715" t="s">
        <v>27629</v>
      </c>
      <c r="D7365" s="716">
        <v>5975.34</v>
      </c>
    </row>
    <row r="7366" spans="1:4" ht="28">
      <c r="A7366" s="715">
        <v>88296</v>
      </c>
      <c r="B7366" s="633" t="s">
        <v>27587</v>
      </c>
      <c r="C7366" s="715" t="s">
        <v>11</v>
      </c>
      <c r="D7366" s="716">
        <v>35.86</v>
      </c>
    </row>
    <row r="7367" spans="1:4" ht="28">
      <c r="A7367" s="715">
        <v>101433</v>
      </c>
      <c r="B7367" s="633" t="s">
        <v>27587</v>
      </c>
      <c r="C7367" s="715" t="s">
        <v>27629</v>
      </c>
      <c r="D7367" s="716">
        <v>6134.93</v>
      </c>
    </row>
    <row r="7368" spans="1:4" ht="28">
      <c r="A7368" s="715">
        <v>101434</v>
      </c>
      <c r="B7368" s="633" t="s">
        <v>27848</v>
      </c>
      <c r="C7368" s="715" t="s">
        <v>27629</v>
      </c>
      <c r="D7368" s="716">
        <v>5053.6000000000004</v>
      </c>
    </row>
    <row r="7369" spans="1:4" ht="28">
      <c r="A7369" s="715">
        <v>88298</v>
      </c>
      <c r="B7369" s="633" t="s">
        <v>27589</v>
      </c>
      <c r="C7369" s="715" t="s">
        <v>11</v>
      </c>
      <c r="D7369" s="716">
        <v>34.729999999999997</v>
      </c>
    </row>
    <row r="7370" spans="1:4" ht="28">
      <c r="A7370" s="715">
        <v>101436</v>
      </c>
      <c r="B7370" s="633" t="s">
        <v>27589</v>
      </c>
      <c r="C7370" s="715" t="s">
        <v>27629</v>
      </c>
      <c r="D7370" s="716">
        <v>5975.34</v>
      </c>
    </row>
    <row r="7371" spans="1:4" ht="28">
      <c r="A7371" s="715">
        <v>101437</v>
      </c>
      <c r="B7371" s="633" t="s">
        <v>27850</v>
      </c>
      <c r="C7371" s="715" t="s">
        <v>27629</v>
      </c>
      <c r="D7371" s="716">
        <v>8259.65</v>
      </c>
    </row>
    <row r="7372" spans="1:4" ht="28">
      <c r="A7372" s="715">
        <v>88299</v>
      </c>
      <c r="B7372" s="633" t="s">
        <v>27590</v>
      </c>
      <c r="C7372" s="715" t="s">
        <v>11</v>
      </c>
      <c r="D7372" s="716">
        <v>47.86</v>
      </c>
    </row>
    <row r="7373" spans="1:4" ht="28">
      <c r="A7373" s="715">
        <v>88300</v>
      </c>
      <c r="B7373" s="633" t="s">
        <v>27591</v>
      </c>
      <c r="C7373" s="715" t="s">
        <v>11</v>
      </c>
      <c r="D7373" s="716">
        <v>47.86</v>
      </c>
    </row>
    <row r="7374" spans="1:4" ht="28">
      <c r="A7374" s="715">
        <v>101438</v>
      </c>
      <c r="B7374" s="633" t="s">
        <v>27591</v>
      </c>
      <c r="C7374" s="715" t="s">
        <v>27629</v>
      </c>
      <c r="D7374" s="716">
        <v>8259.65</v>
      </c>
    </row>
    <row r="7375" spans="1:4" ht="28">
      <c r="A7375" s="715">
        <v>88297</v>
      </c>
      <c r="B7375" s="633" t="s">
        <v>27588</v>
      </c>
      <c r="C7375" s="715" t="s">
        <v>11</v>
      </c>
      <c r="D7375" s="716">
        <v>39.06</v>
      </c>
    </row>
    <row r="7376" spans="1:4" ht="28">
      <c r="A7376" s="715">
        <v>101435</v>
      </c>
      <c r="B7376" s="633" t="s">
        <v>27849</v>
      </c>
      <c r="C7376" s="715" t="s">
        <v>27629</v>
      </c>
      <c r="D7376" s="716">
        <v>6710.57</v>
      </c>
    </row>
    <row r="7377" spans="1:4" ht="42">
      <c r="A7377" s="715">
        <v>101440</v>
      </c>
      <c r="B7377" s="633" t="s">
        <v>27851</v>
      </c>
      <c r="C7377" s="715" t="s">
        <v>27629</v>
      </c>
      <c r="D7377" s="716">
        <v>6344.96</v>
      </c>
    </row>
    <row r="7378" spans="1:4" ht="28">
      <c r="A7378" s="715">
        <v>88302</v>
      </c>
      <c r="B7378" s="633" t="s">
        <v>27593</v>
      </c>
      <c r="C7378" s="715" t="s">
        <v>11</v>
      </c>
      <c r="D7378" s="716">
        <v>36.85</v>
      </c>
    </row>
    <row r="7379" spans="1:4" ht="28">
      <c r="A7379" s="715">
        <v>88301</v>
      </c>
      <c r="B7379" s="633" t="s">
        <v>27592</v>
      </c>
      <c r="C7379" s="715" t="s">
        <v>11</v>
      </c>
      <c r="D7379" s="716">
        <v>36.85</v>
      </c>
    </row>
    <row r="7380" spans="1:4" ht="28">
      <c r="A7380" s="715">
        <v>101439</v>
      </c>
      <c r="B7380" s="633" t="s">
        <v>27592</v>
      </c>
      <c r="C7380" s="715" t="s">
        <v>27629</v>
      </c>
      <c r="D7380" s="716">
        <v>6344.96</v>
      </c>
    </row>
    <row r="7381" spans="1:4" ht="28">
      <c r="A7381" s="715">
        <v>88303</v>
      </c>
      <c r="B7381" s="633" t="s">
        <v>27594</v>
      </c>
      <c r="C7381" s="715" t="s">
        <v>11</v>
      </c>
      <c r="D7381" s="716">
        <v>37.380000000000003</v>
      </c>
    </row>
    <row r="7382" spans="1:4" ht="28">
      <c r="A7382" s="715">
        <v>101441</v>
      </c>
      <c r="B7382" s="633" t="s">
        <v>27594</v>
      </c>
      <c r="C7382" s="715" t="s">
        <v>27629</v>
      </c>
      <c r="D7382" s="716">
        <v>6433.96</v>
      </c>
    </row>
    <row r="7383" spans="1:4" ht="28">
      <c r="A7383" s="715">
        <v>88304</v>
      </c>
      <c r="B7383" s="633" t="s">
        <v>27595</v>
      </c>
      <c r="C7383" s="715" t="s">
        <v>11</v>
      </c>
      <c r="D7383" s="716">
        <v>47.86</v>
      </c>
    </row>
    <row r="7384" spans="1:4" ht="28">
      <c r="A7384" s="715">
        <v>101443</v>
      </c>
      <c r="B7384" s="633" t="s">
        <v>27595</v>
      </c>
      <c r="C7384" s="715" t="s">
        <v>27629</v>
      </c>
      <c r="D7384" s="716">
        <v>8259.65</v>
      </c>
    </row>
    <row r="7385" spans="1:4" ht="28">
      <c r="A7385" s="715">
        <v>88306</v>
      </c>
      <c r="B7385" s="633" t="s">
        <v>27596</v>
      </c>
      <c r="C7385" s="715" t="s">
        <v>11</v>
      </c>
      <c r="D7385" s="716">
        <v>29.49</v>
      </c>
    </row>
    <row r="7386" spans="1:4" ht="28">
      <c r="A7386" s="715">
        <v>88307</v>
      </c>
      <c r="B7386" s="633" t="s">
        <v>27597</v>
      </c>
      <c r="C7386" s="715" t="s">
        <v>11</v>
      </c>
      <c r="D7386" s="716">
        <v>39.340000000000003</v>
      </c>
    </row>
    <row r="7387" spans="1:4" ht="14">
      <c r="A7387" s="715">
        <v>88308</v>
      </c>
      <c r="B7387" s="633" t="s">
        <v>27598</v>
      </c>
      <c r="C7387" s="715" t="s">
        <v>11</v>
      </c>
      <c r="D7387" s="716">
        <v>35.700000000000003</v>
      </c>
    </row>
    <row r="7388" spans="1:4" ht="14">
      <c r="A7388" s="715">
        <v>101444</v>
      </c>
      <c r="B7388" s="633" t="s">
        <v>27598</v>
      </c>
      <c r="C7388" s="715" t="s">
        <v>27629</v>
      </c>
      <c r="D7388" s="716">
        <v>6103.15</v>
      </c>
    </row>
    <row r="7389" spans="1:4" ht="14">
      <c r="A7389" s="715">
        <v>88309</v>
      </c>
      <c r="B7389" s="633" t="s">
        <v>27599</v>
      </c>
      <c r="C7389" s="715" t="s">
        <v>11</v>
      </c>
      <c r="D7389" s="716">
        <v>35.869999999999997</v>
      </c>
    </row>
    <row r="7390" spans="1:4" ht="14">
      <c r="A7390" s="715">
        <v>101445</v>
      </c>
      <c r="B7390" s="633" t="s">
        <v>27599</v>
      </c>
      <c r="C7390" s="715" t="s">
        <v>27629</v>
      </c>
      <c r="D7390" s="716">
        <v>6103.15</v>
      </c>
    </row>
    <row r="7391" spans="1:4" ht="14">
      <c r="A7391" s="715">
        <v>88310</v>
      </c>
      <c r="B7391" s="633" t="s">
        <v>27600</v>
      </c>
      <c r="C7391" s="715" t="s">
        <v>11</v>
      </c>
      <c r="D7391" s="716">
        <v>37.450000000000003</v>
      </c>
    </row>
    <row r="7392" spans="1:4" ht="14">
      <c r="A7392" s="715">
        <v>101446</v>
      </c>
      <c r="B7392" s="633" t="s">
        <v>27600</v>
      </c>
      <c r="C7392" s="715" t="s">
        <v>27629</v>
      </c>
      <c r="D7392" s="716">
        <v>6393.5</v>
      </c>
    </row>
    <row r="7393" spans="1:4" ht="28">
      <c r="A7393" s="715">
        <v>88311</v>
      </c>
      <c r="B7393" s="633" t="s">
        <v>27601</v>
      </c>
      <c r="C7393" s="715" t="s">
        <v>11</v>
      </c>
      <c r="D7393" s="716">
        <v>35.380000000000003</v>
      </c>
    </row>
    <row r="7394" spans="1:4" ht="28">
      <c r="A7394" s="715">
        <v>101447</v>
      </c>
      <c r="B7394" s="633" t="s">
        <v>27601</v>
      </c>
      <c r="C7394" s="715" t="s">
        <v>27629</v>
      </c>
      <c r="D7394" s="716">
        <v>6038.71</v>
      </c>
    </row>
    <row r="7395" spans="1:4" ht="28">
      <c r="A7395" s="715">
        <v>88312</v>
      </c>
      <c r="B7395" s="633" t="s">
        <v>27602</v>
      </c>
      <c r="C7395" s="715" t="s">
        <v>11</v>
      </c>
      <c r="D7395" s="716">
        <v>37.450000000000003</v>
      </c>
    </row>
    <row r="7396" spans="1:4" ht="28">
      <c r="A7396" s="715">
        <v>101448</v>
      </c>
      <c r="B7396" s="633" t="s">
        <v>27602</v>
      </c>
      <c r="C7396" s="715" t="s">
        <v>27629</v>
      </c>
      <c r="D7396" s="716">
        <v>6393.5</v>
      </c>
    </row>
    <row r="7397" spans="1:4" ht="28">
      <c r="A7397" s="715">
        <v>101449</v>
      </c>
      <c r="B7397" s="633" t="s">
        <v>27852</v>
      </c>
      <c r="C7397" s="715" t="s">
        <v>27629</v>
      </c>
      <c r="D7397" s="716">
        <v>5975.34</v>
      </c>
    </row>
    <row r="7398" spans="1:4" ht="14">
      <c r="A7398" s="715">
        <v>88313</v>
      </c>
      <c r="B7398" s="633" t="s">
        <v>27603</v>
      </c>
      <c r="C7398" s="715" t="s">
        <v>11</v>
      </c>
      <c r="D7398" s="716">
        <v>35.07</v>
      </c>
    </row>
    <row r="7399" spans="1:4" ht="14">
      <c r="A7399" s="715">
        <v>88314</v>
      </c>
      <c r="B7399" s="633" t="s">
        <v>27604</v>
      </c>
      <c r="C7399" s="715" t="s">
        <v>11</v>
      </c>
      <c r="D7399" s="716">
        <v>34.17</v>
      </c>
    </row>
    <row r="7400" spans="1:4" ht="14">
      <c r="A7400" s="715">
        <v>88315</v>
      </c>
      <c r="B7400" s="633" t="s">
        <v>27605</v>
      </c>
      <c r="C7400" s="715" t="s">
        <v>11</v>
      </c>
      <c r="D7400" s="716">
        <v>36.31</v>
      </c>
    </row>
    <row r="7401" spans="1:4" ht="14">
      <c r="A7401" s="715">
        <v>101451</v>
      </c>
      <c r="B7401" s="633" t="s">
        <v>27605</v>
      </c>
      <c r="C7401" s="715" t="s">
        <v>27629</v>
      </c>
      <c r="D7401" s="716">
        <v>6225.94</v>
      </c>
    </row>
    <row r="7402" spans="1:4" ht="14">
      <c r="A7402" s="715">
        <v>88316</v>
      </c>
      <c r="B7402" s="633" t="s">
        <v>27606</v>
      </c>
      <c r="C7402" s="715" t="s">
        <v>11</v>
      </c>
      <c r="D7402" s="716">
        <v>31.04</v>
      </c>
    </row>
    <row r="7403" spans="1:4" ht="28">
      <c r="A7403" s="715">
        <v>101452</v>
      </c>
      <c r="B7403" s="633" t="s">
        <v>27853</v>
      </c>
      <c r="C7403" s="715" t="s">
        <v>27629</v>
      </c>
      <c r="D7403" s="716">
        <v>5274.57</v>
      </c>
    </row>
    <row r="7404" spans="1:4" ht="28">
      <c r="A7404" s="715">
        <v>88318</v>
      </c>
      <c r="B7404" s="633" t="s">
        <v>27608</v>
      </c>
      <c r="C7404" s="715" t="s">
        <v>11</v>
      </c>
      <c r="D7404" s="716">
        <v>46.1</v>
      </c>
    </row>
    <row r="7405" spans="1:4" ht="14">
      <c r="A7405" s="715">
        <v>88317</v>
      </c>
      <c r="B7405" s="633" t="s">
        <v>27607</v>
      </c>
      <c r="C7405" s="715" t="s">
        <v>11</v>
      </c>
      <c r="D7405" s="716">
        <v>43.55</v>
      </c>
    </row>
    <row r="7406" spans="1:4" ht="14">
      <c r="A7406" s="715">
        <v>101453</v>
      </c>
      <c r="B7406" s="633" t="s">
        <v>27607</v>
      </c>
      <c r="C7406" s="715" t="s">
        <v>27629</v>
      </c>
      <c r="D7406" s="716">
        <v>7467.56</v>
      </c>
    </row>
    <row r="7407" spans="1:4" ht="28">
      <c r="A7407" s="715">
        <v>101454</v>
      </c>
      <c r="B7407" s="633" t="s">
        <v>27854</v>
      </c>
      <c r="C7407" s="715" t="s">
        <v>27629</v>
      </c>
      <c r="D7407" s="716">
        <v>7911.29</v>
      </c>
    </row>
    <row r="7408" spans="1:4" ht="28">
      <c r="A7408" s="715">
        <v>100533</v>
      </c>
      <c r="B7408" s="633" t="s">
        <v>27744</v>
      </c>
      <c r="C7408" s="715" t="s">
        <v>11</v>
      </c>
      <c r="D7408" s="716">
        <v>72.55</v>
      </c>
    </row>
    <row r="7409" spans="1:4" ht="28">
      <c r="A7409" s="715">
        <v>100534</v>
      </c>
      <c r="B7409" s="633" t="s">
        <v>27744</v>
      </c>
      <c r="C7409" s="715" t="s">
        <v>27629</v>
      </c>
      <c r="D7409" s="716">
        <v>12432.12</v>
      </c>
    </row>
    <row r="7410" spans="1:4" ht="14">
      <c r="A7410" s="715">
        <v>88323</v>
      </c>
      <c r="B7410" s="633" t="s">
        <v>27610</v>
      </c>
      <c r="C7410" s="715" t="s">
        <v>11</v>
      </c>
      <c r="D7410" s="716">
        <v>35.159999999999997</v>
      </c>
    </row>
    <row r="7411" spans="1:4" ht="14">
      <c r="A7411" s="715">
        <v>101458</v>
      </c>
      <c r="B7411" s="633" t="s">
        <v>27857</v>
      </c>
      <c r="C7411" s="715" t="s">
        <v>27629</v>
      </c>
      <c r="D7411" s="716">
        <v>6026.2</v>
      </c>
    </row>
    <row r="7412" spans="1:4" ht="14">
      <c r="A7412" s="715">
        <v>90781</v>
      </c>
      <c r="B7412" s="633" t="s">
        <v>27627</v>
      </c>
      <c r="C7412" s="715" t="s">
        <v>11</v>
      </c>
      <c r="D7412" s="716">
        <v>88.95</v>
      </c>
    </row>
    <row r="7413" spans="1:4" ht="14">
      <c r="A7413" s="715">
        <v>94296</v>
      </c>
      <c r="B7413" s="633" t="s">
        <v>27627</v>
      </c>
      <c r="C7413" s="715" t="s">
        <v>27629</v>
      </c>
      <c r="D7413" s="716">
        <v>15391.28</v>
      </c>
    </row>
    <row r="7414" spans="1:4" ht="14">
      <c r="A7414" s="715">
        <v>88324</v>
      </c>
      <c r="B7414" s="633" t="s">
        <v>27611</v>
      </c>
      <c r="C7414" s="715" t="s">
        <v>11</v>
      </c>
      <c r="D7414" s="716">
        <v>39.06</v>
      </c>
    </row>
    <row r="7415" spans="1:4" ht="28">
      <c r="A7415" s="715">
        <v>88321</v>
      </c>
      <c r="B7415" s="633" t="s">
        <v>27609</v>
      </c>
      <c r="C7415" s="715" t="s">
        <v>11</v>
      </c>
      <c r="D7415" s="716">
        <v>67.7</v>
      </c>
    </row>
    <row r="7416" spans="1:4" ht="28">
      <c r="A7416" s="715">
        <v>101456</v>
      </c>
      <c r="B7416" s="633" t="s">
        <v>27855</v>
      </c>
      <c r="C7416" s="715" t="s">
        <v>27629</v>
      </c>
      <c r="D7416" s="716">
        <v>11702.95</v>
      </c>
    </row>
    <row r="7417" spans="1:4" ht="28">
      <c r="A7417" s="715">
        <v>100309</v>
      </c>
      <c r="B7417" s="633" t="s">
        <v>27742</v>
      </c>
      <c r="C7417" s="715" t="s">
        <v>11</v>
      </c>
      <c r="D7417" s="716">
        <v>81.58</v>
      </c>
    </row>
    <row r="7418" spans="1:4" ht="28">
      <c r="A7418" s="715">
        <v>100321</v>
      </c>
      <c r="B7418" s="633" t="s">
        <v>27742</v>
      </c>
      <c r="C7418" s="715" t="s">
        <v>27629</v>
      </c>
      <c r="D7418" s="716">
        <v>13991.42</v>
      </c>
    </row>
    <row r="7419" spans="1:4" ht="28">
      <c r="A7419" s="715">
        <v>88322</v>
      </c>
      <c r="B7419" s="633" t="s">
        <v>27856</v>
      </c>
      <c r="C7419" s="715" t="s">
        <v>11</v>
      </c>
      <c r="D7419" s="716">
        <v>41.95</v>
      </c>
    </row>
    <row r="7420" spans="1:4" ht="28">
      <c r="A7420" s="715">
        <v>101457</v>
      </c>
      <c r="B7420" s="633" t="s">
        <v>27856</v>
      </c>
      <c r="C7420" s="715" t="s">
        <v>27629</v>
      </c>
      <c r="D7420" s="716">
        <v>7209.15</v>
      </c>
    </row>
    <row r="7421" spans="1:4" ht="14">
      <c r="A7421" s="715">
        <v>88325</v>
      </c>
      <c r="B7421" s="633" t="s">
        <v>27612</v>
      </c>
      <c r="C7421" s="715" t="s">
        <v>11</v>
      </c>
      <c r="D7421" s="716">
        <v>30.99</v>
      </c>
    </row>
    <row r="7422" spans="1:4" ht="14">
      <c r="A7422" s="715">
        <v>101459</v>
      </c>
      <c r="B7422" s="633" t="s">
        <v>27612</v>
      </c>
      <c r="C7422" s="715" t="s">
        <v>27629</v>
      </c>
      <c r="D7422" s="716">
        <v>5291.84</v>
      </c>
    </row>
    <row r="7423" spans="1:4" ht="14">
      <c r="A7423" s="715">
        <v>100289</v>
      </c>
      <c r="B7423" s="633" t="s">
        <v>27732</v>
      </c>
      <c r="C7423" s="715" t="s">
        <v>11</v>
      </c>
      <c r="D7423" s="716">
        <v>33.25</v>
      </c>
    </row>
    <row r="7424" spans="1:4" ht="14">
      <c r="A7424" s="715">
        <v>101460</v>
      </c>
      <c r="B7424" s="633" t="s">
        <v>27732</v>
      </c>
      <c r="C7424" s="715" t="s">
        <v>27629</v>
      </c>
      <c r="D7424" s="716">
        <v>5721.76</v>
      </c>
    </row>
    <row r="7425" spans="1:4" ht="28">
      <c r="A7425" s="715">
        <v>105011</v>
      </c>
      <c r="B7425" s="633" t="s">
        <v>29525</v>
      </c>
      <c r="C7425" s="715" t="s">
        <v>165</v>
      </c>
      <c r="D7425" s="716">
        <v>0.71</v>
      </c>
    </row>
    <row r="7426" spans="1:4" ht="28">
      <c r="A7426" s="715">
        <v>99061</v>
      </c>
      <c r="B7426" s="633" t="s">
        <v>29521</v>
      </c>
      <c r="C7426" s="715" t="s">
        <v>103</v>
      </c>
      <c r="D7426" s="716">
        <v>149.97</v>
      </c>
    </row>
    <row r="7427" spans="1:4" ht="28">
      <c r="A7427" s="715">
        <v>99060</v>
      </c>
      <c r="B7427" s="633" t="s">
        <v>29520</v>
      </c>
      <c r="C7427" s="715" t="s">
        <v>103</v>
      </c>
      <c r="D7427" s="716">
        <v>243.13</v>
      </c>
    </row>
    <row r="7428" spans="1:4" ht="28">
      <c r="A7428" s="715">
        <v>105008</v>
      </c>
      <c r="B7428" s="633" t="s">
        <v>34005</v>
      </c>
      <c r="C7428" s="715" t="s">
        <v>103</v>
      </c>
      <c r="D7428" s="716">
        <v>0</v>
      </c>
    </row>
    <row r="7429" spans="1:4" ht="42">
      <c r="A7429" s="715">
        <v>105009</v>
      </c>
      <c r="B7429" s="633" t="s">
        <v>40648</v>
      </c>
      <c r="C7429" s="715" t="s">
        <v>165</v>
      </c>
      <c r="D7429" s="716">
        <v>98.84</v>
      </c>
    </row>
    <row r="7430" spans="1:4" ht="42">
      <c r="A7430" s="715">
        <v>99059</v>
      </c>
      <c r="B7430" s="633" t="s">
        <v>40649</v>
      </c>
      <c r="C7430" s="715" t="s">
        <v>165</v>
      </c>
      <c r="D7430" s="716">
        <v>80.11</v>
      </c>
    </row>
    <row r="7431" spans="1:4" ht="14">
      <c r="A7431" s="715">
        <v>105137</v>
      </c>
      <c r="B7431" s="633" t="s">
        <v>34006</v>
      </c>
      <c r="C7431" s="715" t="s">
        <v>165</v>
      </c>
      <c r="D7431" s="716">
        <v>0</v>
      </c>
    </row>
    <row r="7432" spans="1:4" ht="28">
      <c r="A7432" s="715">
        <v>105136</v>
      </c>
      <c r="B7432" s="633" t="s">
        <v>34007</v>
      </c>
      <c r="C7432" s="715" t="s">
        <v>103</v>
      </c>
      <c r="D7432" s="716">
        <v>0</v>
      </c>
    </row>
    <row r="7433" spans="1:4" ht="28">
      <c r="A7433" s="715">
        <v>105007</v>
      </c>
      <c r="B7433" s="633" t="s">
        <v>29524</v>
      </c>
      <c r="C7433" s="715" t="s">
        <v>103</v>
      </c>
      <c r="D7433" s="716">
        <v>50.32</v>
      </c>
    </row>
    <row r="7434" spans="1:4" ht="14">
      <c r="A7434" s="715">
        <v>99063</v>
      </c>
      <c r="B7434" s="633" t="s">
        <v>29523</v>
      </c>
      <c r="C7434" s="715" t="s">
        <v>165</v>
      </c>
      <c r="D7434" s="716">
        <v>11.89</v>
      </c>
    </row>
    <row r="7435" spans="1:4" ht="28">
      <c r="A7435" s="715">
        <v>105010</v>
      </c>
      <c r="B7435" s="633" t="s">
        <v>34008</v>
      </c>
      <c r="C7435" s="715" t="s">
        <v>103</v>
      </c>
      <c r="D7435" s="716">
        <v>0</v>
      </c>
    </row>
    <row r="7436" spans="1:4" ht="28">
      <c r="A7436" s="715">
        <v>99062</v>
      </c>
      <c r="B7436" s="633" t="s">
        <v>29522</v>
      </c>
      <c r="C7436" s="715" t="s">
        <v>103</v>
      </c>
      <c r="D7436" s="716">
        <v>2.7</v>
      </c>
    </row>
    <row r="7437" spans="1:4" ht="28">
      <c r="A7437" s="715">
        <v>100857</v>
      </c>
      <c r="B7437" s="633" t="s">
        <v>43400</v>
      </c>
      <c r="C7437" s="715" t="s">
        <v>103</v>
      </c>
      <c r="D7437" s="716">
        <v>474.53</v>
      </c>
    </row>
    <row r="7438" spans="1:4" ht="42">
      <c r="A7438" s="715">
        <v>86905</v>
      </c>
      <c r="B7438" s="633" t="s">
        <v>43401</v>
      </c>
      <c r="C7438" s="715" t="s">
        <v>103</v>
      </c>
      <c r="D7438" s="716">
        <v>370.31</v>
      </c>
    </row>
    <row r="7439" spans="1:4" ht="42">
      <c r="A7439" s="715">
        <v>86908</v>
      </c>
      <c r="B7439" s="633" t="s">
        <v>43402</v>
      </c>
      <c r="C7439" s="715" t="s">
        <v>103</v>
      </c>
      <c r="D7439" s="716">
        <v>435.14</v>
      </c>
    </row>
    <row r="7440" spans="1:4" ht="28">
      <c r="A7440" s="715">
        <v>100849</v>
      </c>
      <c r="B7440" s="633" t="s">
        <v>43403</v>
      </c>
      <c r="C7440" s="715" t="s">
        <v>103</v>
      </c>
      <c r="D7440" s="716">
        <v>46.12</v>
      </c>
    </row>
    <row r="7441" spans="1:4" ht="28">
      <c r="A7441" s="715">
        <v>100851</v>
      </c>
      <c r="B7441" s="633" t="s">
        <v>43404</v>
      </c>
      <c r="C7441" s="715" t="s">
        <v>103</v>
      </c>
      <c r="D7441" s="716">
        <v>91.47</v>
      </c>
    </row>
    <row r="7442" spans="1:4" ht="28">
      <c r="A7442" s="715">
        <v>100850</v>
      </c>
      <c r="B7442" s="633" t="s">
        <v>43405</v>
      </c>
      <c r="C7442" s="715" t="s">
        <v>103</v>
      </c>
      <c r="D7442" s="716">
        <v>0</v>
      </c>
    </row>
    <row r="7443" spans="1:4" ht="28">
      <c r="A7443" s="715">
        <v>86888</v>
      </c>
      <c r="B7443" s="633" t="s">
        <v>43406</v>
      </c>
      <c r="C7443" s="715" t="s">
        <v>103</v>
      </c>
      <c r="D7443" s="716">
        <v>530.85</v>
      </c>
    </row>
    <row r="7444" spans="1:4" ht="56">
      <c r="A7444" s="715">
        <v>86932</v>
      </c>
      <c r="B7444" s="633" t="s">
        <v>43407</v>
      </c>
      <c r="C7444" s="715" t="s">
        <v>103</v>
      </c>
      <c r="D7444" s="716">
        <v>584.71</v>
      </c>
    </row>
    <row r="7445" spans="1:4" ht="56">
      <c r="A7445" s="715">
        <v>86931</v>
      </c>
      <c r="B7445" s="633" t="s">
        <v>43408</v>
      </c>
      <c r="C7445" s="715" t="s">
        <v>103</v>
      </c>
      <c r="D7445" s="716">
        <v>546.39</v>
      </c>
    </row>
    <row r="7446" spans="1:4" ht="56">
      <c r="A7446" s="715">
        <v>106771</v>
      </c>
      <c r="B7446" s="633" t="s">
        <v>43409</v>
      </c>
      <c r="C7446" s="715" t="s">
        <v>103</v>
      </c>
      <c r="D7446" s="716">
        <v>0</v>
      </c>
    </row>
    <row r="7447" spans="1:4" ht="42">
      <c r="A7447" s="715">
        <v>100878</v>
      </c>
      <c r="B7447" s="633" t="s">
        <v>43410</v>
      </c>
      <c r="C7447" s="715" t="s">
        <v>103</v>
      </c>
      <c r="D7447" s="716">
        <v>720.67</v>
      </c>
    </row>
    <row r="7448" spans="1:4" ht="56">
      <c r="A7448" s="715">
        <v>95471</v>
      </c>
      <c r="B7448" s="633" t="s">
        <v>43411</v>
      </c>
      <c r="C7448" s="715" t="s">
        <v>103</v>
      </c>
      <c r="D7448" s="716">
        <v>864.63</v>
      </c>
    </row>
    <row r="7449" spans="1:4" ht="42">
      <c r="A7449" s="715">
        <v>95469</v>
      </c>
      <c r="B7449" s="633" t="s">
        <v>43412</v>
      </c>
      <c r="C7449" s="715" t="s">
        <v>103</v>
      </c>
      <c r="D7449" s="716">
        <v>342.91</v>
      </c>
    </row>
    <row r="7450" spans="1:4" ht="42">
      <c r="A7450" s="715">
        <v>100848</v>
      </c>
      <c r="B7450" s="633" t="s">
        <v>43413</v>
      </c>
      <c r="C7450" s="715" t="s">
        <v>103</v>
      </c>
      <c r="D7450" s="716">
        <v>617.55999999999995</v>
      </c>
    </row>
    <row r="7451" spans="1:4" ht="42">
      <c r="A7451" s="715">
        <v>86895</v>
      </c>
      <c r="B7451" s="633" t="s">
        <v>43414</v>
      </c>
      <c r="C7451" s="715" t="s">
        <v>103</v>
      </c>
      <c r="D7451" s="716">
        <v>369.03</v>
      </c>
    </row>
    <row r="7452" spans="1:4" ht="42">
      <c r="A7452" s="715">
        <v>86889</v>
      </c>
      <c r="B7452" s="633" t="s">
        <v>43415</v>
      </c>
      <c r="C7452" s="715" t="s">
        <v>103</v>
      </c>
      <c r="D7452" s="716">
        <v>836.89</v>
      </c>
    </row>
    <row r="7453" spans="1:4" ht="42">
      <c r="A7453" s="715">
        <v>106780</v>
      </c>
      <c r="B7453" s="633" t="s">
        <v>43416</v>
      </c>
      <c r="C7453" s="715" t="s">
        <v>103</v>
      </c>
      <c r="D7453" s="716">
        <v>1101.74</v>
      </c>
    </row>
    <row r="7454" spans="1:4" ht="42">
      <c r="A7454" s="715">
        <v>106781</v>
      </c>
      <c r="B7454" s="633" t="s">
        <v>43417</v>
      </c>
      <c r="C7454" s="715" t="s">
        <v>103</v>
      </c>
      <c r="D7454" s="716">
        <v>1626.12</v>
      </c>
    </row>
    <row r="7455" spans="1:4" ht="42">
      <c r="A7455" s="715">
        <v>86899</v>
      </c>
      <c r="B7455" s="633" t="s">
        <v>43418</v>
      </c>
      <c r="C7455" s="715" t="s">
        <v>103</v>
      </c>
      <c r="D7455" s="716">
        <v>373</v>
      </c>
    </row>
    <row r="7456" spans="1:4" ht="42">
      <c r="A7456" s="715">
        <v>86893</v>
      </c>
      <c r="B7456" s="633" t="s">
        <v>43419</v>
      </c>
      <c r="C7456" s="715" t="s">
        <v>103</v>
      </c>
      <c r="D7456" s="716">
        <v>847.47</v>
      </c>
    </row>
    <row r="7457" spans="1:4" ht="84">
      <c r="A7457" s="715">
        <v>86934</v>
      </c>
      <c r="B7457" s="633" t="s">
        <v>43420</v>
      </c>
      <c r="C7457" s="715" t="s">
        <v>103</v>
      </c>
      <c r="D7457" s="716">
        <v>511.62</v>
      </c>
    </row>
    <row r="7458" spans="1:4" ht="84">
      <c r="A7458" s="715">
        <v>86933</v>
      </c>
      <c r="B7458" s="633" t="s">
        <v>43421</v>
      </c>
      <c r="C7458" s="715" t="s">
        <v>103</v>
      </c>
      <c r="D7458" s="716">
        <v>523.97</v>
      </c>
    </row>
    <row r="7459" spans="1:4" ht="42">
      <c r="A7459" s="715">
        <v>86894</v>
      </c>
      <c r="B7459" s="633" t="s">
        <v>43422</v>
      </c>
      <c r="C7459" s="715" t="s">
        <v>103</v>
      </c>
      <c r="D7459" s="716">
        <v>386.91</v>
      </c>
    </row>
    <row r="7460" spans="1:4" ht="84">
      <c r="A7460" s="715">
        <v>93441</v>
      </c>
      <c r="B7460" s="633" t="s">
        <v>43423</v>
      </c>
      <c r="C7460" s="715" t="s">
        <v>103</v>
      </c>
      <c r="D7460" s="716">
        <v>1421.39</v>
      </c>
    </row>
    <row r="7461" spans="1:4" ht="84">
      <c r="A7461" s="715">
        <v>93396</v>
      </c>
      <c r="B7461" s="633" t="s">
        <v>43424</v>
      </c>
      <c r="C7461" s="715" t="s">
        <v>103</v>
      </c>
      <c r="D7461" s="716">
        <v>926.29</v>
      </c>
    </row>
    <row r="7462" spans="1:4" ht="84">
      <c r="A7462" s="715">
        <v>93442</v>
      </c>
      <c r="B7462" s="633" t="s">
        <v>43425</v>
      </c>
      <c r="C7462" s="715" t="s">
        <v>103</v>
      </c>
      <c r="D7462" s="716">
        <v>1685.55</v>
      </c>
    </row>
    <row r="7463" spans="1:4" ht="84">
      <c r="A7463" s="715">
        <v>86947</v>
      </c>
      <c r="B7463" s="633" t="s">
        <v>43426</v>
      </c>
      <c r="C7463" s="715" t="s">
        <v>103</v>
      </c>
      <c r="D7463" s="716">
        <v>1571</v>
      </c>
    </row>
    <row r="7464" spans="1:4" ht="42">
      <c r="A7464" s="715">
        <v>100875</v>
      </c>
      <c r="B7464" s="633" t="s">
        <v>43427</v>
      </c>
      <c r="C7464" s="715" t="s">
        <v>103</v>
      </c>
      <c r="D7464" s="716">
        <v>1064.8399999999999</v>
      </c>
    </row>
    <row r="7465" spans="1:4" ht="42">
      <c r="A7465" s="715">
        <v>100863</v>
      </c>
      <c r="B7465" s="633" t="s">
        <v>43428</v>
      </c>
      <c r="C7465" s="715" t="s">
        <v>103</v>
      </c>
      <c r="D7465" s="716">
        <v>609.13</v>
      </c>
    </row>
    <row r="7466" spans="1:4" ht="42">
      <c r="A7466" s="715">
        <v>100864</v>
      </c>
      <c r="B7466" s="633" t="s">
        <v>43429</v>
      </c>
      <c r="C7466" s="715" t="s">
        <v>103</v>
      </c>
      <c r="D7466" s="716">
        <v>665.59</v>
      </c>
    </row>
    <row r="7467" spans="1:4" ht="42">
      <c r="A7467" s="715">
        <v>100865</v>
      </c>
      <c r="B7467" s="633" t="s">
        <v>43430</v>
      </c>
      <c r="C7467" s="715" t="s">
        <v>103</v>
      </c>
      <c r="D7467" s="716">
        <v>575.58000000000004</v>
      </c>
    </row>
    <row r="7468" spans="1:4" ht="42">
      <c r="A7468" s="715">
        <v>100870</v>
      </c>
      <c r="B7468" s="633" t="s">
        <v>43431</v>
      </c>
      <c r="C7468" s="715" t="s">
        <v>103</v>
      </c>
      <c r="D7468" s="716">
        <v>324.43</v>
      </c>
    </row>
    <row r="7469" spans="1:4" ht="42">
      <c r="A7469" s="715">
        <v>100871</v>
      </c>
      <c r="B7469" s="633" t="s">
        <v>43432</v>
      </c>
      <c r="C7469" s="715" t="s">
        <v>103</v>
      </c>
      <c r="D7469" s="716">
        <v>349.85</v>
      </c>
    </row>
    <row r="7470" spans="1:4" ht="42">
      <c r="A7470" s="715">
        <v>100872</v>
      </c>
      <c r="B7470" s="633" t="s">
        <v>43433</v>
      </c>
      <c r="C7470" s="715" t="s">
        <v>103</v>
      </c>
      <c r="D7470" s="716">
        <v>366.07</v>
      </c>
    </row>
    <row r="7471" spans="1:4" ht="42">
      <c r="A7471" s="715">
        <v>100873</v>
      </c>
      <c r="B7471" s="633" t="s">
        <v>43434</v>
      </c>
      <c r="C7471" s="715" t="s">
        <v>103</v>
      </c>
      <c r="D7471" s="716">
        <v>376.2</v>
      </c>
    </row>
    <row r="7472" spans="1:4" ht="42">
      <c r="A7472" s="715">
        <v>106770</v>
      </c>
      <c r="B7472" s="633" t="s">
        <v>43435</v>
      </c>
      <c r="C7472" s="715" t="s">
        <v>103</v>
      </c>
      <c r="D7472" s="716">
        <v>0</v>
      </c>
    </row>
    <row r="7473" spans="1:4" ht="42">
      <c r="A7473" s="715">
        <v>100866</v>
      </c>
      <c r="B7473" s="633" t="s">
        <v>43436</v>
      </c>
      <c r="C7473" s="715" t="s">
        <v>103</v>
      </c>
      <c r="D7473" s="716">
        <v>319.51</v>
      </c>
    </row>
    <row r="7474" spans="1:4" ht="42">
      <c r="A7474" s="715">
        <v>100867</v>
      </c>
      <c r="B7474" s="633" t="s">
        <v>43437</v>
      </c>
      <c r="C7474" s="715" t="s">
        <v>103</v>
      </c>
      <c r="D7474" s="716">
        <v>338.13</v>
      </c>
    </row>
    <row r="7475" spans="1:4" ht="42">
      <c r="A7475" s="715">
        <v>100868</v>
      </c>
      <c r="B7475" s="633" t="s">
        <v>43438</v>
      </c>
      <c r="C7475" s="715" t="s">
        <v>103</v>
      </c>
      <c r="D7475" s="716">
        <v>350.52</v>
      </c>
    </row>
    <row r="7476" spans="1:4" ht="42">
      <c r="A7476" s="715">
        <v>100869</v>
      </c>
      <c r="B7476" s="633" t="s">
        <v>43439</v>
      </c>
      <c r="C7476" s="715" t="s">
        <v>103</v>
      </c>
      <c r="D7476" s="716">
        <v>360.02</v>
      </c>
    </row>
    <row r="7477" spans="1:4" ht="28">
      <c r="A7477" s="715">
        <v>106764</v>
      </c>
      <c r="B7477" s="633" t="s">
        <v>43440</v>
      </c>
      <c r="C7477" s="715" t="s">
        <v>103</v>
      </c>
      <c r="D7477" s="716">
        <v>50.84</v>
      </c>
    </row>
    <row r="7478" spans="1:4" ht="28">
      <c r="A7478" s="715">
        <v>100860</v>
      </c>
      <c r="B7478" s="633" t="s">
        <v>43441</v>
      </c>
      <c r="C7478" s="715" t="s">
        <v>103</v>
      </c>
      <c r="D7478" s="716">
        <v>179.62</v>
      </c>
    </row>
    <row r="7479" spans="1:4" ht="56">
      <c r="A7479" s="715">
        <v>86936</v>
      </c>
      <c r="B7479" s="633" t="s">
        <v>43442</v>
      </c>
      <c r="C7479" s="715" t="s">
        <v>103</v>
      </c>
      <c r="D7479" s="716">
        <v>472.81</v>
      </c>
    </row>
    <row r="7480" spans="1:4" ht="56">
      <c r="A7480" s="715">
        <v>86935</v>
      </c>
      <c r="B7480" s="633" t="s">
        <v>43443</v>
      </c>
      <c r="C7480" s="715" t="s">
        <v>103</v>
      </c>
      <c r="D7480" s="716">
        <v>288.27</v>
      </c>
    </row>
    <row r="7481" spans="1:4" ht="56">
      <c r="A7481" s="715">
        <v>86938</v>
      </c>
      <c r="B7481" s="633" t="s">
        <v>43444</v>
      </c>
      <c r="C7481" s="715" t="s">
        <v>103</v>
      </c>
      <c r="D7481" s="716">
        <v>427.71</v>
      </c>
    </row>
    <row r="7482" spans="1:4" ht="56">
      <c r="A7482" s="715">
        <v>86937</v>
      </c>
      <c r="B7482" s="633" t="s">
        <v>43445</v>
      </c>
      <c r="C7482" s="715" t="s">
        <v>103</v>
      </c>
      <c r="D7482" s="716">
        <v>243.17</v>
      </c>
    </row>
    <row r="7483" spans="1:4" ht="42">
      <c r="A7483" s="715">
        <v>86901</v>
      </c>
      <c r="B7483" s="633" t="s">
        <v>43446</v>
      </c>
      <c r="C7483" s="715" t="s">
        <v>103</v>
      </c>
      <c r="D7483" s="716">
        <v>161.91999999999999</v>
      </c>
    </row>
    <row r="7484" spans="1:4" ht="42">
      <c r="A7484" s="715">
        <v>106773</v>
      </c>
      <c r="B7484" s="633" t="s">
        <v>43447</v>
      </c>
      <c r="C7484" s="715" t="s">
        <v>103</v>
      </c>
      <c r="D7484" s="716">
        <v>0</v>
      </c>
    </row>
    <row r="7485" spans="1:4" ht="42">
      <c r="A7485" s="715">
        <v>86900</v>
      </c>
      <c r="B7485" s="633" t="s">
        <v>43448</v>
      </c>
      <c r="C7485" s="715" t="s">
        <v>103</v>
      </c>
      <c r="D7485" s="716">
        <v>202.09</v>
      </c>
    </row>
    <row r="7486" spans="1:4" ht="42">
      <c r="A7486" s="715">
        <v>100852</v>
      </c>
      <c r="B7486" s="633" t="s">
        <v>43449</v>
      </c>
      <c r="C7486" s="715" t="s">
        <v>103</v>
      </c>
      <c r="D7486" s="716">
        <v>220.77</v>
      </c>
    </row>
    <row r="7487" spans="1:4" ht="56">
      <c r="A7487" s="715">
        <v>106769</v>
      </c>
      <c r="B7487" s="633" t="s">
        <v>43450</v>
      </c>
      <c r="C7487" s="715" t="s">
        <v>103</v>
      </c>
      <c r="D7487" s="716">
        <v>0</v>
      </c>
    </row>
    <row r="7488" spans="1:4" ht="42">
      <c r="A7488" s="715">
        <v>106768</v>
      </c>
      <c r="B7488" s="633" t="s">
        <v>43451</v>
      </c>
      <c r="C7488" s="715" t="s">
        <v>103</v>
      </c>
      <c r="D7488" s="716">
        <v>0</v>
      </c>
    </row>
    <row r="7489" spans="1:4" ht="28">
      <c r="A7489" s="715">
        <v>106766</v>
      </c>
      <c r="B7489" s="633" t="s">
        <v>43452</v>
      </c>
      <c r="C7489" s="715" t="s">
        <v>103</v>
      </c>
      <c r="D7489" s="716">
        <v>89.51</v>
      </c>
    </row>
    <row r="7490" spans="1:4" ht="28">
      <c r="A7490" s="715">
        <v>106765</v>
      </c>
      <c r="B7490" s="633" t="s">
        <v>43453</v>
      </c>
      <c r="C7490" s="715" t="s">
        <v>103</v>
      </c>
      <c r="D7490" s="716">
        <v>89.51</v>
      </c>
    </row>
    <row r="7491" spans="1:4" ht="42">
      <c r="A7491" s="715">
        <v>106774</v>
      </c>
      <c r="B7491" s="633" t="s">
        <v>43454</v>
      </c>
      <c r="C7491" s="715" t="s">
        <v>103</v>
      </c>
      <c r="D7491" s="716">
        <v>0</v>
      </c>
    </row>
    <row r="7492" spans="1:4" ht="28">
      <c r="A7492" s="715">
        <v>86886</v>
      </c>
      <c r="B7492" s="633" t="s">
        <v>43455</v>
      </c>
      <c r="C7492" s="715" t="s">
        <v>103</v>
      </c>
      <c r="D7492" s="716">
        <v>49.89</v>
      </c>
    </row>
    <row r="7493" spans="1:4" ht="28">
      <c r="A7493" s="715">
        <v>86887</v>
      </c>
      <c r="B7493" s="633" t="s">
        <v>43456</v>
      </c>
      <c r="C7493" s="715" t="s">
        <v>103</v>
      </c>
      <c r="D7493" s="716">
        <v>53.86</v>
      </c>
    </row>
    <row r="7494" spans="1:4" ht="28">
      <c r="A7494" s="715">
        <v>86884</v>
      </c>
      <c r="B7494" s="633" t="s">
        <v>43457</v>
      </c>
      <c r="C7494" s="715" t="s">
        <v>103</v>
      </c>
      <c r="D7494" s="716">
        <v>13.96</v>
      </c>
    </row>
    <row r="7495" spans="1:4" ht="28">
      <c r="A7495" s="715">
        <v>86885</v>
      </c>
      <c r="B7495" s="633" t="s">
        <v>43458</v>
      </c>
      <c r="C7495" s="715" t="s">
        <v>103</v>
      </c>
      <c r="D7495" s="716">
        <v>15.54</v>
      </c>
    </row>
    <row r="7496" spans="1:4" ht="28">
      <c r="A7496" s="715">
        <v>95546</v>
      </c>
      <c r="B7496" s="633" t="s">
        <v>43459</v>
      </c>
      <c r="C7496" s="715" t="s">
        <v>103</v>
      </c>
      <c r="D7496" s="716">
        <v>238.82</v>
      </c>
    </row>
    <row r="7497" spans="1:4" ht="42">
      <c r="A7497" s="715">
        <v>106775</v>
      </c>
      <c r="B7497" s="633" t="s">
        <v>43460</v>
      </c>
      <c r="C7497" s="715" t="s">
        <v>103</v>
      </c>
      <c r="D7497" s="716">
        <v>0</v>
      </c>
    </row>
    <row r="7498" spans="1:4" ht="42">
      <c r="A7498" s="715">
        <v>86902</v>
      </c>
      <c r="B7498" s="633" t="s">
        <v>43461</v>
      </c>
      <c r="C7498" s="715" t="s">
        <v>103</v>
      </c>
      <c r="D7498" s="716">
        <v>317.60000000000002</v>
      </c>
    </row>
    <row r="7499" spans="1:4" ht="84">
      <c r="A7499" s="715">
        <v>86939</v>
      </c>
      <c r="B7499" s="633" t="s">
        <v>43462</v>
      </c>
      <c r="C7499" s="715" t="s">
        <v>103</v>
      </c>
      <c r="D7499" s="716">
        <v>425.73</v>
      </c>
    </row>
    <row r="7500" spans="1:4" ht="42">
      <c r="A7500" s="715">
        <v>86903</v>
      </c>
      <c r="B7500" s="633" t="s">
        <v>43463</v>
      </c>
      <c r="C7500" s="715" t="s">
        <v>103</v>
      </c>
      <c r="D7500" s="716">
        <v>386.3</v>
      </c>
    </row>
    <row r="7501" spans="1:4" ht="84">
      <c r="A7501" s="715">
        <v>86940</v>
      </c>
      <c r="B7501" s="633" t="s">
        <v>43464</v>
      </c>
      <c r="C7501" s="715" t="s">
        <v>103</v>
      </c>
      <c r="D7501" s="716">
        <v>1130.1199999999999</v>
      </c>
    </row>
    <row r="7502" spans="1:4" ht="84">
      <c r="A7502" s="715">
        <v>86941</v>
      </c>
      <c r="B7502" s="633" t="s">
        <v>43465</v>
      </c>
      <c r="C7502" s="715" t="s">
        <v>103</v>
      </c>
      <c r="D7502" s="716">
        <v>834.9</v>
      </c>
    </row>
    <row r="7503" spans="1:4" ht="42">
      <c r="A7503" s="715">
        <v>86904</v>
      </c>
      <c r="B7503" s="633" t="s">
        <v>43466</v>
      </c>
      <c r="C7503" s="715" t="s">
        <v>103</v>
      </c>
      <c r="D7503" s="716">
        <v>158.94999999999999</v>
      </c>
    </row>
    <row r="7504" spans="1:4" ht="84">
      <c r="A7504" s="715">
        <v>86943</v>
      </c>
      <c r="B7504" s="633" t="s">
        <v>43467</v>
      </c>
      <c r="C7504" s="715" t="s">
        <v>103</v>
      </c>
      <c r="D7504" s="716">
        <v>267.08</v>
      </c>
    </row>
    <row r="7505" spans="1:4" ht="84">
      <c r="A7505" s="715">
        <v>86942</v>
      </c>
      <c r="B7505" s="633" t="s">
        <v>43468</v>
      </c>
      <c r="C7505" s="715" t="s">
        <v>103</v>
      </c>
      <c r="D7505" s="716">
        <v>279.43</v>
      </c>
    </row>
    <row r="7506" spans="1:4" ht="28">
      <c r="A7506" s="715">
        <v>100856</v>
      </c>
      <c r="B7506" s="633" t="s">
        <v>43469</v>
      </c>
      <c r="C7506" s="715" t="s">
        <v>103</v>
      </c>
      <c r="D7506" s="716">
        <v>36.51</v>
      </c>
    </row>
    <row r="7507" spans="1:4" ht="28">
      <c r="A7507" s="715">
        <v>106776</v>
      </c>
      <c r="B7507" s="633" t="s">
        <v>43470</v>
      </c>
      <c r="C7507" s="715" t="s">
        <v>103</v>
      </c>
      <c r="D7507" s="716">
        <v>698.17</v>
      </c>
    </row>
    <row r="7508" spans="1:4" ht="42">
      <c r="A7508" s="715">
        <v>100858</v>
      </c>
      <c r="B7508" s="633" t="s">
        <v>43471</v>
      </c>
      <c r="C7508" s="715" t="s">
        <v>103</v>
      </c>
      <c r="D7508" s="716">
        <v>788.95</v>
      </c>
    </row>
    <row r="7509" spans="1:4" ht="42">
      <c r="A7509" s="715">
        <v>100859</v>
      </c>
      <c r="B7509" s="633" t="s">
        <v>43472</v>
      </c>
      <c r="C7509" s="715" t="s">
        <v>103</v>
      </c>
      <c r="D7509" s="716">
        <v>1117.99</v>
      </c>
    </row>
    <row r="7510" spans="1:4" ht="28">
      <c r="A7510" s="715">
        <v>95544</v>
      </c>
      <c r="B7510" s="633" t="s">
        <v>43473</v>
      </c>
      <c r="C7510" s="715" t="s">
        <v>103</v>
      </c>
      <c r="D7510" s="716">
        <v>66.78</v>
      </c>
    </row>
    <row r="7511" spans="1:4" ht="28">
      <c r="A7511" s="715">
        <v>106772</v>
      </c>
      <c r="B7511" s="633" t="s">
        <v>43474</v>
      </c>
      <c r="C7511" s="715" t="s">
        <v>103</v>
      </c>
      <c r="D7511" s="716">
        <v>333.58</v>
      </c>
    </row>
    <row r="7512" spans="1:4" ht="28">
      <c r="A7512" s="715">
        <v>95543</v>
      </c>
      <c r="B7512" s="633" t="s">
        <v>43475</v>
      </c>
      <c r="C7512" s="715" t="s">
        <v>103</v>
      </c>
      <c r="D7512" s="716">
        <v>95.31</v>
      </c>
    </row>
    <row r="7513" spans="1:4" ht="28">
      <c r="A7513" s="715">
        <v>95542</v>
      </c>
      <c r="B7513" s="633" t="s">
        <v>43476</v>
      </c>
      <c r="C7513" s="715" t="s">
        <v>103</v>
      </c>
      <c r="D7513" s="716">
        <v>55.64</v>
      </c>
    </row>
    <row r="7514" spans="1:4" ht="28">
      <c r="A7514" s="715">
        <v>106767</v>
      </c>
      <c r="B7514" s="633" t="s">
        <v>43477</v>
      </c>
      <c r="C7514" s="715" t="s">
        <v>103</v>
      </c>
      <c r="D7514" s="716">
        <v>0</v>
      </c>
    </row>
    <row r="7515" spans="1:4" ht="28">
      <c r="A7515" s="715">
        <v>100874</v>
      </c>
      <c r="B7515" s="633" t="s">
        <v>43478</v>
      </c>
      <c r="C7515" s="715" t="s">
        <v>103</v>
      </c>
      <c r="D7515" s="716">
        <v>319.51</v>
      </c>
    </row>
    <row r="7516" spans="1:4" ht="28">
      <c r="A7516" s="715">
        <v>95545</v>
      </c>
      <c r="B7516" s="633" t="s">
        <v>43479</v>
      </c>
      <c r="C7516" s="715" t="s">
        <v>103</v>
      </c>
      <c r="D7516" s="716">
        <v>65.59</v>
      </c>
    </row>
    <row r="7517" spans="1:4" ht="42">
      <c r="A7517" s="715">
        <v>95547</v>
      </c>
      <c r="B7517" s="633" t="s">
        <v>43480</v>
      </c>
      <c r="C7517" s="715" t="s">
        <v>103</v>
      </c>
      <c r="D7517" s="716">
        <v>77.349999999999994</v>
      </c>
    </row>
    <row r="7518" spans="1:4" ht="28">
      <c r="A7518" s="715">
        <v>86883</v>
      </c>
      <c r="B7518" s="633" t="s">
        <v>43481</v>
      </c>
      <c r="C7518" s="715" t="s">
        <v>103</v>
      </c>
      <c r="D7518" s="716">
        <v>14.35</v>
      </c>
    </row>
    <row r="7519" spans="1:4" ht="28">
      <c r="A7519" s="715">
        <v>86881</v>
      </c>
      <c r="B7519" s="633" t="s">
        <v>43482</v>
      </c>
      <c r="C7519" s="715" t="s">
        <v>103</v>
      </c>
      <c r="D7519" s="716">
        <v>198.89</v>
      </c>
    </row>
    <row r="7520" spans="1:4" ht="28">
      <c r="A7520" s="715">
        <v>86882</v>
      </c>
      <c r="B7520" s="633" t="s">
        <v>43483</v>
      </c>
      <c r="C7520" s="715" t="s">
        <v>103</v>
      </c>
      <c r="D7520" s="716">
        <v>26.7</v>
      </c>
    </row>
    <row r="7521" spans="1:4" ht="42">
      <c r="A7521" s="715">
        <v>100861</v>
      </c>
      <c r="B7521" s="633" t="s">
        <v>43484</v>
      </c>
      <c r="C7521" s="715" t="s">
        <v>103</v>
      </c>
      <c r="D7521" s="716">
        <v>47.14</v>
      </c>
    </row>
    <row r="7522" spans="1:4" ht="42">
      <c r="A7522" s="715">
        <v>100862</v>
      </c>
      <c r="B7522" s="633" t="s">
        <v>43485</v>
      </c>
      <c r="C7522" s="715" t="s">
        <v>103</v>
      </c>
      <c r="D7522" s="716">
        <v>50.55</v>
      </c>
    </row>
    <row r="7523" spans="1:4" ht="42">
      <c r="A7523" s="715">
        <v>86872</v>
      </c>
      <c r="B7523" s="633" t="s">
        <v>43486</v>
      </c>
      <c r="C7523" s="715" t="s">
        <v>103</v>
      </c>
      <c r="D7523" s="716">
        <v>787.28</v>
      </c>
    </row>
    <row r="7524" spans="1:4" ht="70">
      <c r="A7524" s="715">
        <v>86919</v>
      </c>
      <c r="B7524" s="633" t="s">
        <v>43487</v>
      </c>
      <c r="C7524" s="715" t="s">
        <v>103</v>
      </c>
      <c r="D7524" s="716">
        <v>959.72</v>
      </c>
    </row>
    <row r="7525" spans="1:4" ht="70">
      <c r="A7525" s="715">
        <v>86920</v>
      </c>
      <c r="B7525" s="633" t="s">
        <v>43488</v>
      </c>
      <c r="C7525" s="715" t="s">
        <v>103</v>
      </c>
      <c r="D7525" s="716">
        <v>865.77</v>
      </c>
    </row>
    <row r="7526" spans="1:4" ht="56">
      <c r="A7526" s="715">
        <v>86921</v>
      </c>
      <c r="B7526" s="633" t="s">
        <v>43489</v>
      </c>
      <c r="C7526" s="715" t="s">
        <v>103</v>
      </c>
      <c r="D7526" s="716">
        <v>840.81</v>
      </c>
    </row>
    <row r="7527" spans="1:4" ht="42">
      <c r="A7527" s="715">
        <v>86874</v>
      </c>
      <c r="B7527" s="633" t="s">
        <v>43490</v>
      </c>
      <c r="C7527" s="715" t="s">
        <v>103</v>
      </c>
      <c r="D7527" s="716">
        <v>542.09</v>
      </c>
    </row>
    <row r="7528" spans="1:4" ht="70">
      <c r="A7528" s="715">
        <v>86922</v>
      </c>
      <c r="B7528" s="633" t="s">
        <v>43491</v>
      </c>
      <c r="C7528" s="715" t="s">
        <v>103</v>
      </c>
      <c r="D7528" s="716">
        <v>899.07</v>
      </c>
    </row>
    <row r="7529" spans="1:4" ht="70">
      <c r="A7529" s="715">
        <v>86923</v>
      </c>
      <c r="B7529" s="633" t="s">
        <v>43492</v>
      </c>
      <c r="C7529" s="715" t="s">
        <v>103</v>
      </c>
      <c r="D7529" s="716">
        <v>632.92999999999995</v>
      </c>
    </row>
    <row r="7530" spans="1:4" ht="56">
      <c r="A7530" s="715">
        <v>86924</v>
      </c>
      <c r="B7530" s="633" t="s">
        <v>43493</v>
      </c>
      <c r="C7530" s="715" t="s">
        <v>103</v>
      </c>
      <c r="D7530" s="716">
        <v>607.97</v>
      </c>
    </row>
    <row r="7531" spans="1:4" ht="42">
      <c r="A7531" s="715">
        <v>86875</v>
      </c>
      <c r="B7531" s="633" t="s">
        <v>43494</v>
      </c>
      <c r="C7531" s="715" t="s">
        <v>103</v>
      </c>
      <c r="D7531" s="716">
        <v>680.35</v>
      </c>
    </row>
    <row r="7532" spans="1:4" ht="70">
      <c r="A7532" s="715">
        <v>86925</v>
      </c>
      <c r="B7532" s="633" t="s">
        <v>43495</v>
      </c>
      <c r="C7532" s="715" t="s">
        <v>103</v>
      </c>
      <c r="D7532" s="716">
        <v>758.84</v>
      </c>
    </row>
    <row r="7533" spans="1:4" ht="56">
      <c r="A7533" s="715">
        <v>86926</v>
      </c>
      <c r="B7533" s="633" t="s">
        <v>43496</v>
      </c>
      <c r="C7533" s="715" t="s">
        <v>103</v>
      </c>
      <c r="D7533" s="716">
        <v>733.88</v>
      </c>
    </row>
    <row r="7534" spans="1:4" ht="42">
      <c r="A7534" s="715">
        <v>86876</v>
      </c>
      <c r="B7534" s="633" t="s">
        <v>43497</v>
      </c>
      <c r="C7534" s="715" t="s">
        <v>103</v>
      </c>
      <c r="D7534" s="716">
        <v>385.84</v>
      </c>
    </row>
    <row r="7535" spans="1:4" ht="70">
      <c r="A7535" s="715">
        <v>86929</v>
      </c>
      <c r="B7535" s="633" t="s">
        <v>43498</v>
      </c>
      <c r="C7535" s="715" t="s">
        <v>103</v>
      </c>
      <c r="D7535" s="716">
        <v>464.33</v>
      </c>
    </row>
    <row r="7536" spans="1:4" ht="56">
      <c r="A7536" s="715">
        <v>86930</v>
      </c>
      <c r="B7536" s="633" t="s">
        <v>43499</v>
      </c>
      <c r="C7536" s="715" t="s">
        <v>103</v>
      </c>
      <c r="D7536" s="716">
        <v>439.37</v>
      </c>
    </row>
    <row r="7537" spans="1:4" ht="70">
      <c r="A7537" s="715">
        <v>86927</v>
      </c>
      <c r="B7537" s="633" t="s">
        <v>43500</v>
      </c>
      <c r="C7537" s="715" t="s">
        <v>103</v>
      </c>
      <c r="D7537" s="716">
        <v>476.68</v>
      </c>
    </row>
    <row r="7538" spans="1:4" ht="56">
      <c r="A7538" s="715">
        <v>86928</v>
      </c>
      <c r="B7538" s="633" t="s">
        <v>43501</v>
      </c>
      <c r="C7538" s="715" t="s">
        <v>103</v>
      </c>
      <c r="D7538" s="716">
        <v>451.72</v>
      </c>
    </row>
    <row r="7539" spans="1:4" ht="42">
      <c r="A7539" s="715">
        <v>106777</v>
      </c>
      <c r="B7539" s="633" t="s">
        <v>43502</v>
      </c>
      <c r="C7539" s="715" t="s">
        <v>103</v>
      </c>
      <c r="D7539" s="716">
        <v>0</v>
      </c>
    </row>
    <row r="7540" spans="1:4" ht="42">
      <c r="A7540" s="715">
        <v>86914</v>
      </c>
      <c r="B7540" s="633" t="s">
        <v>43503</v>
      </c>
      <c r="C7540" s="715" t="s">
        <v>103</v>
      </c>
      <c r="D7540" s="716">
        <v>91.19</v>
      </c>
    </row>
    <row r="7541" spans="1:4" ht="42">
      <c r="A7541" s="715">
        <v>86913</v>
      </c>
      <c r="B7541" s="633" t="s">
        <v>43504</v>
      </c>
      <c r="C7541" s="715" t="s">
        <v>103</v>
      </c>
      <c r="D7541" s="716">
        <v>52.65</v>
      </c>
    </row>
    <row r="7542" spans="1:4" ht="42">
      <c r="A7542" s="715">
        <v>106778</v>
      </c>
      <c r="B7542" s="633" t="s">
        <v>43505</v>
      </c>
      <c r="C7542" s="715" t="s">
        <v>103</v>
      </c>
      <c r="D7542" s="716">
        <v>0</v>
      </c>
    </row>
    <row r="7543" spans="1:4" ht="42">
      <c r="A7543" s="715">
        <v>106779</v>
      </c>
      <c r="B7543" s="633" t="s">
        <v>43506</v>
      </c>
      <c r="C7543" s="715" t="s">
        <v>103</v>
      </c>
      <c r="D7543" s="716">
        <v>135.24</v>
      </c>
    </row>
    <row r="7544" spans="1:4" ht="28">
      <c r="A7544" s="715">
        <v>100854</v>
      </c>
      <c r="B7544" s="633" t="s">
        <v>43507</v>
      </c>
      <c r="C7544" s="715" t="s">
        <v>103</v>
      </c>
      <c r="D7544" s="716">
        <v>1594.77</v>
      </c>
    </row>
    <row r="7545" spans="1:4" ht="28">
      <c r="A7545" s="715">
        <v>100853</v>
      </c>
      <c r="B7545" s="633" t="s">
        <v>43508</v>
      </c>
      <c r="C7545" s="715" t="s">
        <v>103</v>
      </c>
      <c r="D7545" s="716">
        <v>316.61</v>
      </c>
    </row>
    <row r="7546" spans="1:4" ht="42">
      <c r="A7546" s="715">
        <v>86915</v>
      </c>
      <c r="B7546" s="633" t="s">
        <v>43509</v>
      </c>
      <c r="C7546" s="715" t="s">
        <v>103</v>
      </c>
      <c r="D7546" s="716">
        <v>128.94999999999999</v>
      </c>
    </row>
    <row r="7547" spans="1:4" ht="42">
      <c r="A7547" s="715">
        <v>86906</v>
      </c>
      <c r="B7547" s="633" t="s">
        <v>43510</v>
      </c>
      <c r="C7547" s="715" t="s">
        <v>103</v>
      </c>
      <c r="D7547" s="716">
        <v>68.33</v>
      </c>
    </row>
    <row r="7548" spans="1:4" ht="42">
      <c r="A7548" s="715">
        <v>86911</v>
      </c>
      <c r="B7548" s="633" t="s">
        <v>43511</v>
      </c>
      <c r="C7548" s="715" t="s">
        <v>103</v>
      </c>
      <c r="D7548" s="716">
        <v>80.7</v>
      </c>
    </row>
    <row r="7549" spans="1:4" ht="42">
      <c r="A7549" s="715">
        <v>86909</v>
      </c>
      <c r="B7549" s="633" t="s">
        <v>43512</v>
      </c>
      <c r="C7549" s="715" t="s">
        <v>103</v>
      </c>
      <c r="D7549" s="716">
        <v>119.51</v>
      </c>
    </row>
    <row r="7550" spans="1:4" ht="42">
      <c r="A7550" s="715">
        <v>86910</v>
      </c>
      <c r="B7550" s="633" t="s">
        <v>43513</v>
      </c>
      <c r="C7550" s="715" t="s">
        <v>103</v>
      </c>
      <c r="D7550" s="716">
        <v>116.47</v>
      </c>
    </row>
    <row r="7551" spans="1:4" ht="28">
      <c r="A7551" s="715">
        <v>86916</v>
      </c>
      <c r="B7551" s="633" t="s">
        <v>43514</v>
      </c>
      <c r="C7551" s="715" t="s">
        <v>103</v>
      </c>
      <c r="D7551" s="716">
        <v>27.69</v>
      </c>
    </row>
    <row r="7552" spans="1:4" ht="42">
      <c r="A7552" s="715">
        <v>86877</v>
      </c>
      <c r="B7552" s="633" t="s">
        <v>43515</v>
      </c>
      <c r="C7552" s="715" t="s">
        <v>103</v>
      </c>
      <c r="D7552" s="716">
        <v>66.900000000000006</v>
      </c>
    </row>
    <row r="7553" spans="1:4" ht="42">
      <c r="A7553" s="715">
        <v>86878</v>
      </c>
      <c r="B7553" s="633" t="s">
        <v>43516</v>
      </c>
      <c r="C7553" s="715" t="s">
        <v>103</v>
      </c>
      <c r="D7553" s="716">
        <v>71.83</v>
      </c>
    </row>
    <row r="7554" spans="1:4" ht="42">
      <c r="A7554" s="715">
        <v>86879</v>
      </c>
      <c r="B7554" s="633" t="s">
        <v>43517</v>
      </c>
      <c r="C7554" s="715" t="s">
        <v>103</v>
      </c>
      <c r="D7554" s="716">
        <v>11.49</v>
      </c>
    </row>
    <row r="7555" spans="1:4" ht="42">
      <c r="A7555" s="715">
        <v>86880</v>
      </c>
      <c r="B7555" s="633" t="s">
        <v>43518</v>
      </c>
      <c r="C7555" s="715" t="s">
        <v>103</v>
      </c>
      <c r="D7555" s="716">
        <v>29.66</v>
      </c>
    </row>
    <row r="7556" spans="1:4" ht="42">
      <c r="A7556" s="715">
        <v>101663</v>
      </c>
      <c r="B7556" s="633" t="s">
        <v>34009</v>
      </c>
      <c r="C7556" s="715" t="s">
        <v>103</v>
      </c>
      <c r="D7556" s="716">
        <v>32.54</v>
      </c>
    </row>
    <row r="7557" spans="1:4" ht="42">
      <c r="A7557" s="715">
        <v>101664</v>
      </c>
      <c r="B7557" s="633" t="s">
        <v>34010</v>
      </c>
      <c r="C7557" s="715" t="s">
        <v>103</v>
      </c>
      <c r="D7557" s="716">
        <v>33.58</v>
      </c>
    </row>
    <row r="7558" spans="1:4" ht="42">
      <c r="A7558" s="715">
        <v>101665</v>
      </c>
      <c r="B7558" s="633" t="s">
        <v>34011</v>
      </c>
      <c r="C7558" s="715" t="s">
        <v>103</v>
      </c>
      <c r="D7558" s="716">
        <v>38.07</v>
      </c>
    </row>
    <row r="7559" spans="1:4" ht="56">
      <c r="A7559" s="715">
        <v>101634</v>
      </c>
      <c r="B7559" s="633" t="s">
        <v>34012</v>
      </c>
      <c r="C7559" s="715" t="s">
        <v>103</v>
      </c>
      <c r="D7559" s="716">
        <v>0</v>
      </c>
    </row>
    <row r="7560" spans="1:4" ht="56">
      <c r="A7560" s="715">
        <v>101635</v>
      </c>
      <c r="B7560" s="633" t="s">
        <v>34013</v>
      </c>
      <c r="C7560" s="715" t="s">
        <v>103</v>
      </c>
      <c r="D7560" s="716">
        <v>0</v>
      </c>
    </row>
    <row r="7561" spans="1:4" ht="56">
      <c r="A7561" s="715">
        <v>101636</v>
      </c>
      <c r="B7561" s="633" t="s">
        <v>34014</v>
      </c>
      <c r="C7561" s="715" t="s">
        <v>103</v>
      </c>
      <c r="D7561" s="716">
        <v>160.79</v>
      </c>
    </row>
    <row r="7562" spans="1:4" ht="56">
      <c r="A7562" s="715">
        <v>101637</v>
      </c>
      <c r="B7562" s="633" t="s">
        <v>34015</v>
      </c>
      <c r="C7562" s="715" t="s">
        <v>103</v>
      </c>
      <c r="D7562" s="716">
        <v>154.65</v>
      </c>
    </row>
    <row r="7563" spans="1:4" ht="56">
      <c r="A7563" s="715">
        <v>101638</v>
      </c>
      <c r="B7563" s="633" t="s">
        <v>34016</v>
      </c>
      <c r="C7563" s="715" t="s">
        <v>103</v>
      </c>
      <c r="D7563" s="716">
        <v>0</v>
      </c>
    </row>
    <row r="7564" spans="1:4" ht="56">
      <c r="A7564" s="715">
        <v>101639</v>
      </c>
      <c r="B7564" s="633" t="s">
        <v>34017</v>
      </c>
      <c r="C7564" s="715" t="s">
        <v>103</v>
      </c>
      <c r="D7564" s="716">
        <v>0</v>
      </c>
    </row>
    <row r="7565" spans="1:4" ht="28">
      <c r="A7565" s="715">
        <v>105919</v>
      </c>
      <c r="B7565" s="633" t="s">
        <v>34018</v>
      </c>
      <c r="C7565" s="715" t="s">
        <v>103</v>
      </c>
      <c r="D7565" s="716">
        <v>0</v>
      </c>
    </row>
    <row r="7566" spans="1:4" ht="42">
      <c r="A7566" s="715">
        <v>101658</v>
      </c>
      <c r="B7566" s="633" t="s">
        <v>34019</v>
      </c>
      <c r="C7566" s="715" t="s">
        <v>103</v>
      </c>
      <c r="D7566" s="716">
        <v>453.35</v>
      </c>
    </row>
    <row r="7567" spans="1:4" ht="42">
      <c r="A7567" s="715">
        <v>101659</v>
      </c>
      <c r="B7567" s="633" t="s">
        <v>34020</v>
      </c>
      <c r="C7567" s="715" t="s">
        <v>103</v>
      </c>
      <c r="D7567" s="716">
        <v>512.65</v>
      </c>
    </row>
    <row r="7568" spans="1:4" ht="42">
      <c r="A7568" s="715">
        <v>101660</v>
      </c>
      <c r="B7568" s="633" t="s">
        <v>34021</v>
      </c>
      <c r="C7568" s="715" t="s">
        <v>103</v>
      </c>
      <c r="D7568" s="716">
        <v>792.58</v>
      </c>
    </row>
    <row r="7569" spans="1:4" ht="42">
      <c r="A7569" s="715">
        <v>101654</v>
      </c>
      <c r="B7569" s="633" t="s">
        <v>34022</v>
      </c>
      <c r="C7569" s="715" t="s">
        <v>103</v>
      </c>
      <c r="D7569" s="716">
        <v>196.64</v>
      </c>
    </row>
    <row r="7570" spans="1:4" ht="42">
      <c r="A7570" s="715">
        <v>101655</v>
      </c>
      <c r="B7570" s="633" t="s">
        <v>34023</v>
      </c>
      <c r="C7570" s="715" t="s">
        <v>103</v>
      </c>
      <c r="D7570" s="716">
        <v>289.87</v>
      </c>
    </row>
    <row r="7571" spans="1:4" ht="42">
      <c r="A7571" s="715">
        <v>101656</v>
      </c>
      <c r="B7571" s="633" t="s">
        <v>34024</v>
      </c>
      <c r="C7571" s="715" t="s">
        <v>103</v>
      </c>
      <c r="D7571" s="716">
        <v>311.64</v>
      </c>
    </row>
    <row r="7572" spans="1:4" ht="42">
      <c r="A7572" s="715">
        <v>101657</v>
      </c>
      <c r="B7572" s="633" t="s">
        <v>34025</v>
      </c>
      <c r="C7572" s="715" t="s">
        <v>103</v>
      </c>
      <c r="D7572" s="716">
        <v>358.01</v>
      </c>
    </row>
    <row r="7573" spans="1:4" ht="42">
      <c r="A7573" s="715">
        <v>105923</v>
      </c>
      <c r="B7573" s="633" t="s">
        <v>34026</v>
      </c>
      <c r="C7573" s="715" t="s">
        <v>103</v>
      </c>
      <c r="D7573" s="716">
        <v>0</v>
      </c>
    </row>
    <row r="7574" spans="1:4" ht="42">
      <c r="A7574" s="715">
        <v>105921</v>
      </c>
      <c r="B7574" s="633" t="s">
        <v>34027</v>
      </c>
      <c r="C7574" s="715" t="s">
        <v>103</v>
      </c>
      <c r="D7574" s="716">
        <v>0</v>
      </c>
    </row>
    <row r="7575" spans="1:4" ht="42">
      <c r="A7575" s="715">
        <v>105920</v>
      </c>
      <c r="B7575" s="633" t="s">
        <v>34028</v>
      </c>
      <c r="C7575" s="715" t="s">
        <v>103</v>
      </c>
      <c r="D7575" s="716">
        <v>0</v>
      </c>
    </row>
    <row r="7576" spans="1:4" ht="42">
      <c r="A7576" s="715">
        <v>105922</v>
      </c>
      <c r="B7576" s="633" t="s">
        <v>34029</v>
      </c>
      <c r="C7576" s="715" t="s">
        <v>103</v>
      </c>
      <c r="D7576" s="716">
        <v>0</v>
      </c>
    </row>
    <row r="7577" spans="1:4" ht="42">
      <c r="A7577" s="715">
        <v>101632</v>
      </c>
      <c r="B7577" s="633" t="s">
        <v>34030</v>
      </c>
      <c r="C7577" s="715" t="s">
        <v>103</v>
      </c>
      <c r="D7577" s="716">
        <v>28.51</v>
      </c>
    </row>
    <row r="7578" spans="1:4" ht="56">
      <c r="A7578" s="715">
        <v>101661</v>
      </c>
      <c r="B7578" s="633" t="s">
        <v>34031</v>
      </c>
      <c r="C7578" s="715" t="s">
        <v>103</v>
      </c>
      <c r="D7578" s="716">
        <v>166.8</v>
      </c>
    </row>
    <row r="7579" spans="1:4" ht="42">
      <c r="A7579" s="715">
        <v>105924</v>
      </c>
      <c r="B7579" s="633" t="s">
        <v>34032</v>
      </c>
      <c r="C7579" s="715" t="s">
        <v>103</v>
      </c>
      <c r="D7579" s="716">
        <v>18.489999999999998</v>
      </c>
    </row>
    <row r="7580" spans="1:4" ht="28">
      <c r="A7580" s="715">
        <v>101651</v>
      </c>
      <c r="B7580" s="633" t="s">
        <v>34033</v>
      </c>
      <c r="C7580" s="715" t="s">
        <v>103</v>
      </c>
      <c r="D7580" s="716">
        <v>73.88</v>
      </c>
    </row>
    <row r="7581" spans="1:4" ht="28">
      <c r="A7581" s="715">
        <v>101630</v>
      </c>
      <c r="B7581" s="633" t="s">
        <v>34034</v>
      </c>
      <c r="C7581" s="715" t="s">
        <v>103</v>
      </c>
      <c r="D7581" s="716">
        <v>89.04</v>
      </c>
    </row>
    <row r="7582" spans="1:4" ht="42">
      <c r="A7582" s="715">
        <v>101633</v>
      </c>
      <c r="B7582" s="633" t="s">
        <v>34035</v>
      </c>
      <c r="C7582" s="715" t="s">
        <v>103</v>
      </c>
      <c r="D7582" s="716">
        <v>98.86</v>
      </c>
    </row>
    <row r="7583" spans="1:4" ht="84">
      <c r="A7583" s="715">
        <v>104219</v>
      </c>
      <c r="B7583" s="633" t="s">
        <v>27320</v>
      </c>
      <c r="C7583" s="715" t="s">
        <v>509</v>
      </c>
      <c r="D7583" s="716">
        <v>95</v>
      </c>
    </row>
    <row r="7584" spans="1:4" ht="84">
      <c r="A7584" s="715">
        <v>104223</v>
      </c>
      <c r="B7584" s="633" t="s">
        <v>27324</v>
      </c>
      <c r="C7584" s="715" t="s">
        <v>509</v>
      </c>
      <c r="D7584" s="716">
        <v>124.42</v>
      </c>
    </row>
    <row r="7585" spans="1:4" ht="84">
      <c r="A7585" s="715">
        <v>104227</v>
      </c>
      <c r="B7585" s="633" t="s">
        <v>27328</v>
      </c>
      <c r="C7585" s="715" t="s">
        <v>509</v>
      </c>
      <c r="D7585" s="716">
        <v>143.62</v>
      </c>
    </row>
    <row r="7586" spans="1:4" ht="84">
      <c r="A7586" s="715">
        <v>104231</v>
      </c>
      <c r="B7586" s="633" t="s">
        <v>27332</v>
      </c>
      <c r="C7586" s="715" t="s">
        <v>509</v>
      </c>
      <c r="D7586" s="716">
        <v>158.49</v>
      </c>
    </row>
    <row r="7587" spans="1:4" ht="84">
      <c r="A7587" s="715">
        <v>104235</v>
      </c>
      <c r="B7587" s="633" t="s">
        <v>27336</v>
      </c>
      <c r="C7587" s="715" t="s">
        <v>509</v>
      </c>
      <c r="D7587" s="716">
        <v>76.930000000000007</v>
      </c>
    </row>
    <row r="7588" spans="1:4" ht="84">
      <c r="A7588" s="715">
        <v>104239</v>
      </c>
      <c r="B7588" s="633" t="s">
        <v>27340</v>
      </c>
      <c r="C7588" s="715" t="s">
        <v>509</v>
      </c>
      <c r="D7588" s="716">
        <v>105.17</v>
      </c>
    </row>
    <row r="7589" spans="1:4" ht="84">
      <c r="A7589" s="715">
        <v>104243</v>
      </c>
      <c r="B7589" s="633" t="s">
        <v>27344</v>
      </c>
      <c r="C7589" s="715" t="s">
        <v>509</v>
      </c>
      <c r="D7589" s="716">
        <v>123.11</v>
      </c>
    </row>
    <row r="7590" spans="1:4" ht="84">
      <c r="A7590" s="715">
        <v>104247</v>
      </c>
      <c r="B7590" s="633" t="s">
        <v>27348</v>
      </c>
      <c r="C7590" s="715" t="s">
        <v>509</v>
      </c>
      <c r="D7590" s="716">
        <v>131.27000000000001</v>
      </c>
    </row>
    <row r="7591" spans="1:4" ht="84">
      <c r="A7591" s="715">
        <v>87795</v>
      </c>
      <c r="B7591" s="633" t="s">
        <v>27278</v>
      </c>
      <c r="C7591" s="715" t="s">
        <v>509</v>
      </c>
      <c r="D7591" s="716">
        <v>79.8</v>
      </c>
    </row>
    <row r="7592" spans="1:4" ht="84">
      <c r="A7592" s="715">
        <v>87800</v>
      </c>
      <c r="B7592" s="633" t="s">
        <v>27281</v>
      </c>
      <c r="C7592" s="715" t="s">
        <v>509</v>
      </c>
      <c r="D7592" s="716">
        <v>109.31</v>
      </c>
    </row>
    <row r="7593" spans="1:4" ht="84">
      <c r="A7593" s="715">
        <v>87804</v>
      </c>
      <c r="B7593" s="633" t="s">
        <v>27284</v>
      </c>
      <c r="C7593" s="715" t="s">
        <v>509</v>
      </c>
      <c r="D7593" s="716">
        <v>127.25</v>
      </c>
    </row>
    <row r="7594" spans="1:4" ht="84">
      <c r="A7594" s="715">
        <v>87808</v>
      </c>
      <c r="B7594" s="633" t="s">
        <v>27287</v>
      </c>
      <c r="C7594" s="715" t="s">
        <v>509</v>
      </c>
      <c r="D7594" s="716">
        <v>135.29</v>
      </c>
    </row>
    <row r="7595" spans="1:4" ht="84">
      <c r="A7595" s="715">
        <v>87778</v>
      </c>
      <c r="B7595" s="633" t="s">
        <v>27267</v>
      </c>
      <c r="C7595" s="715" t="s">
        <v>509</v>
      </c>
      <c r="D7595" s="716">
        <v>99.69</v>
      </c>
    </row>
    <row r="7596" spans="1:4" ht="84">
      <c r="A7596" s="715">
        <v>87783</v>
      </c>
      <c r="B7596" s="633" t="s">
        <v>27270</v>
      </c>
      <c r="C7596" s="715" t="s">
        <v>509</v>
      </c>
      <c r="D7596" s="716">
        <v>130.52000000000001</v>
      </c>
    </row>
    <row r="7597" spans="1:4" ht="84">
      <c r="A7597" s="715">
        <v>87787</v>
      </c>
      <c r="B7597" s="633" t="s">
        <v>27273</v>
      </c>
      <c r="C7597" s="715" t="s">
        <v>509</v>
      </c>
      <c r="D7597" s="716">
        <v>149.72</v>
      </c>
    </row>
    <row r="7598" spans="1:4" ht="84">
      <c r="A7598" s="715">
        <v>87791</v>
      </c>
      <c r="B7598" s="633" t="s">
        <v>27275</v>
      </c>
      <c r="C7598" s="715" t="s">
        <v>509</v>
      </c>
      <c r="D7598" s="716">
        <v>165.18</v>
      </c>
    </row>
    <row r="7599" spans="1:4" ht="84">
      <c r="A7599" s="715">
        <v>87832</v>
      </c>
      <c r="B7599" s="633" t="s">
        <v>27304</v>
      </c>
      <c r="C7599" s="715" t="s">
        <v>509</v>
      </c>
      <c r="D7599" s="716">
        <v>159.35</v>
      </c>
    </row>
    <row r="7600" spans="1:4" ht="84">
      <c r="A7600" s="715">
        <v>87812</v>
      </c>
      <c r="B7600" s="633" t="s">
        <v>27290</v>
      </c>
      <c r="C7600" s="715" t="s">
        <v>509</v>
      </c>
      <c r="D7600" s="716">
        <v>126.48</v>
      </c>
    </row>
    <row r="7601" spans="1:4" ht="84">
      <c r="A7601" s="715">
        <v>87816</v>
      </c>
      <c r="B7601" s="633" t="s">
        <v>27293</v>
      </c>
      <c r="C7601" s="715" t="s">
        <v>509</v>
      </c>
      <c r="D7601" s="716">
        <v>156.07</v>
      </c>
    </row>
    <row r="7602" spans="1:4" ht="84">
      <c r="A7602" s="715">
        <v>87820</v>
      </c>
      <c r="B7602" s="633" t="s">
        <v>27296</v>
      </c>
      <c r="C7602" s="715" t="s">
        <v>509</v>
      </c>
      <c r="D7602" s="716">
        <v>174.01</v>
      </c>
    </row>
    <row r="7603" spans="1:4" ht="84">
      <c r="A7603" s="715">
        <v>87824</v>
      </c>
      <c r="B7603" s="633" t="s">
        <v>27298</v>
      </c>
      <c r="C7603" s="715" t="s">
        <v>509</v>
      </c>
      <c r="D7603" s="716">
        <v>202.92</v>
      </c>
    </row>
    <row r="7604" spans="1:4" ht="84">
      <c r="A7604" s="715">
        <v>87828</v>
      </c>
      <c r="B7604" s="633" t="s">
        <v>27301</v>
      </c>
      <c r="C7604" s="715" t="s">
        <v>509</v>
      </c>
      <c r="D7604" s="716">
        <v>127.56</v>
      </c>
    </row>
    <row r="7605" spans="1:4" ht="84">
      <c r="A7605" s="715">
        <v>104251</v>
      </c>
      <c r="B7605" s="633" t="s">
        <v>29451</v>
      </c>
      <c r="C7605" s="715" t="s">
        <v>509</v>
      </c>
      <c r="D7605" s="716">
        <v>118.05</v>
      </c>
    </row>
    <row r="7606" spans="1:4" ht="84">
      <c r="A7606" s="715">
        <v>104255</v>
      </c>
      <c r="B7606" s="633" t="s">
        <v>29452</v>
      </c>
      <c r="C7606" s="715" t="s">
        <v>509</v>
      </c>
      <c r="D7606" s="716">
        <v>146.30000000000001</v>
      </c>
    </row>
    <row r="7607" spans="1:4" ht="84">
      <c r="A7607" s="715">
        <v>104259</v>
      </c>
      <c r="B7607" s="633" t="s">
        <v>29453</v>
      </c>
      <c r="C7607" s="715" t="s">
        <v>509</v>
      </c>
      <c r="D7607" s="716">
        <v>164.24</v>
      </c>
    </row>
    <row r="7608" spans="1:4" ht="84">
      <c r="A7608" s="715">
        <v>104263</v>
      </c>
      <c r="B7608" s="633" t="s">
        <v>29454</v>
      </c>
      <c r="C7608" s="715" t="s">
        <v>509</v>
      </c>
      <c r="D7608" s="716">
        <v>190.88</v>
      </c>
    </row>
    <row r="7609" spans="1:4" ht="56">
      <c r="A7609" s="715">
        <v>87794</v>
      </c>
      <c r="B7609" s="633" t="s">
        <v>27277</v>
      </c>
      <c r="C7609" s="715" t="s">
        <v>509</v>
      </c>
      <c r="D7609" s="716">
        <v>52.05</v>
      </c>
    </row>
    <row r="7610" spans="1:4" ht="56">
      <c r="A7610" s="715">
        <v>87799</v>
      </c>
      <c r="B7610" s="633" t="s">
        <v>27280</v>
      </c>
      <c r="C7610" s="715" t="s">
        <v>509</v>
      </c>
      <c r="D7610" s="716">
        <v>72.45</v>
      </c>
    </row>
    <row r="7611" spans="1:4" ht="56">
      <c r="A7611" s="715">
        <v>87803</v>
      </c>
      <c r="B7611" s="633" t="s">
        <v>27283</v>
      </c>
      <c r="C7611" s="715" t="s">
        <v>509</v>
      </c>
      <c r="D7611" s="716">
        <v>80.069999999999993</v>
      </c>
    </row>
    <row r="7612" spans="1:4" ht="70">
      <c r="A7612" s="715">
        <v>87807</v>
      </c>
      <c r="B7612" s="633" t="s">
        <v>27286</v>
      </c>
      <c r="C7612" s="715" t="s">
        <v>509</v>
      </c>
      <c r="D7612" s="716">
        <v>87.56</v>
      </c>
    </row>
    <row r="7613" spans="1:4" ht="70">
      <c r="A7613" s="715">
        <v>104218</v>
      </c>
      <c r="B7613" s="633" t="s">
        <v>27319</v>
      </c>
      <c r="C7613" s="715" t="s">
        <v>509</v>
      </c>
      <c r="D7613" s="716">
        <v>66.209999999999994</v>
      </c>
    </row>
    <row r="7614" spans="1:4" ht="56">
      <c r="A7614" s="715">
        <v>87777</v>
      </c>
      <c r="B7614" s="633" t="s">
        <v>27266</v>
      </c>
      <c r="C7614" s="715" t="s">
        <v>509</v>
      </c>
      <c r="D7614" s="716">
        <v>71.430000000000007</v>
      </c>
    </row>
    <row r="7615" spans="1:4" ht="70">
      <c r="A7615" s="715">
        <v>104222</v>
      </c>
      <c r="B7615" s="633" t="s">
        <v>27323</v>
      </c>
      <c r="C7615" s="715" t="s">
        <v>509</v>
      </c>
      <c r="D7615" s="716">
        <v>85.6</v>
      </c>
    </row>
    <row r="7616" spans="1:4" ht="56">
      <c r="A7616" s="715">
        <v>87781</v>
      </c>
      <c r="B7616" s="633" t="s">
        <v>27269</v>
      </c>
      <c r="C7616" s="715" t="s">
        <v>509</v>
      </c>
      <c r="D7616" s="716">
        <v>92.3</v>
      </c>
    </row>
    <row r="7617" spans="1:4" ht="70">
      <c r="A7617" s="715">
        <v>104226</v>
      </c>
      <c r="B7617" s="633" t="s">
        <v>27327</v>
      </c>
      <c r="C7617" s="715" t="s">
        <v>509</v>
      </c>
      <c r="D7617" s="716">
        <v>93.76</v>
      </c>
    </row>
    <row r="7618" spans="1:4" ht="56">
      <c r="A7618" s="715">
        <v>87786</v>
      </c>
      <c r="B7618" s="633" t="s">
        <v>27272</v>
      </c>
      <c r="C7618" s="715" t="s">
        <v>509</v>
      </c>
      <c r="D7618" s="716">
        <v>100.46</v>
      </c>
    </row>
    <row r="7619" spans="1:4" ht="70">
      <c r="A7619" s="715">
        <v>104230</v>
      </c>
      <c r="B7619" s="633" t="s">
        <v>27331</v>
      </c>
      <c r="C7619" s="715" t="s">
        <v>509</v>
      </c>
      <c r="D7619" s="716">
        <v>110.65</v>
      </c>
    </row>
    <row r="7620" spans="1:4" ht="70">
      <c r="A7620" s="715">
        <v>104234</v>
      </c>
      <c r="B7620" s="633" t="s">
        <v>27335</v>
      </c>
      <c r="C7620" s="715" t="s">
        <v>509</v>
      </c>
      <c r="D7620" s="716">
        <v>48.97</v>
      </c>
    </row>
    <row r="7621" spans="1:4" ht="70">
      <c r="A7621" s="715">
        <v>104238</v>
      </c>
      <c r="B7621" s="633" t="s">
        <v>27339</v>
      </c>
      <c r="C7621" s="715" t="s">
        <v>509</v>
      </c>
      <c r="D7621" s="716">
        <v>67.900000000000006</v>
      </c>
    </row>
    <row r="7622" spans="1:4" ht="70">
      <c r="A7622" s="715">
        <v>104242</v>
      </c>
      <c r="B7622" s="633" t="s">
        <v>27343</v>
      </c>
      <c r="C7622" s="715" t="s">
        <v>509</v>
      </c>
      <c r="D7622" s="716">
        <v>75.52</v>
      </c>
    </row>
    <row r="7623" spans="1:4" ht="70">
      <c r="A7623" s="715">
        <v>104246</v>
      </c>
      <c r="B7623" s="633" t="s">
        <v>27347</v>
      </c>
      <c r="C7623" s="715" t="s">
        <v>509</v>
      </c>
      <c r="D7623" s="716">
        <v>82.54</v>
      </c>
    </row>
    <row r="7624" spans="1:4" ht="70">
      <c r="A7624" s="715">
        <v>104250</v>
      </c>
      <c r="B7624" s="633" t="s">
        <v>27351</v>
      </c>
      <c r="C7624" s="715" t="s">
        <v>509</v>
      </c>
      <c r="D7624" s="716">
        <v>94.31</v>
      </c>
    </row>
    <row r="7625" spans="1:4" ht="70">
      <c r="A7625" s="715">
        <v>87811</v>
      </c>
      <c r="B7625" s="633" t="s">
        <v>27289</v>
      </c>
      <c r="C7625" s="715" t="s">
        <v>509</v>
      </c>
      <c r="D7625" s="716">
        <v>103.68</v>
      </c>
    </row>
    <row r="7626" spans="1:4" ht="70">
      <c r="A7626" s="715">
        <v>104254</v>
      </c>
      <c r="B7626" s="633" t="s">
        <v>27354</v>
      </c>
      <c r="C7626" s="715" t="s">
        <v>509</v>
      </c>
      <c r="D7626" s="716">
        <v>113.24</v>
      </c>
    </row>
    <row r="7627" spans="1:4" ht="70">
      <c r="A7627" s="715">
        <v>87815</v>
      </c>
      <c r="B7627" s="633" t="s">
        <v>27292</v>
      </c>
      <c r="C7627" s="715" t="s">
        <v>509</v>
      </c>
      <c r="D7627" s="716">
        <v>124.08</v>
      </c>
    </row>
    <row r="7628" spans="1:4" ht="70">
      <c r="A7628" s="715">
        <v>104258</v>
      </c>
      <c r="B7628" s="633" t="s">
        <v>27357</v>
      </c>
      <c r="C7628" s="715" t="s">
        <v>509</v>
      </c>
      <c r="D7628" s="716">
        <v>120.86</v>
      </c>
    </row>
    <row r="7629" spans="1:4" ht="70">
      <c r="A7629" s="715">
        <v>87819</v>
      </c>
      <c r="B7629" s="633" t="s">
        <v>27295</v>
      </c>
      <c r="C7629" s="715" t="s">
        <v>509</v>
      </c>
      <c r="D7629" s="716">
        <v>131.69999999999999</v>
      </c>
    </row>
    <row r="7630" spans="1:4" ht="70">
      <c r="A7630" s="715">
        <v>104262</v>
      </c>
      <c r="B7630" s="633" t="s">
        <v>27360</v>
      </c>
      <c r="C7630" s="715" t="s">
        <v>509</v>
      </c>
      <c r="D7630" s="716">
        <v>156.66</v>
      </c>
    </row>
    <row r="7631" spans="1:4" ht="84">
      <c r="A7631" s="715">
        <v>87823</v>
      </c>
      <c r="B7631" s="633" t="s">
        <v>28399</v>
      </c>
      <c r="C7631" s="715" t="s">
        <v>509</v>
      </c>
      <c r="D7631" s="716">
        <v>171.45</v>
      </c>
    </row>
    <row r="7632" spans="1:4" ht="70">
      <c r="A7632" s="715">
        <v>87827</v>
      </c>
      <c r="B7632" s="633" t="s">
        <v>27300</v>
      </c>
      <c r="C7632" s="715" t="s">
        <v>509</v>
      </c>
      <c r="D7632" s="716">
        <v>96.73</v>
      </c>
    </row>
    <row r="7633" spans="1:4" ht="70">
      <c r="A7633" s="715">
        <v>87831</v>
      </c>
      <c r="B7633" s="633" t="s">
        <v>27303</v>
      </c>
      <c r="C7633" s="715" t="s">
        <v>509</v>
      </c>
      <c r="D7633" s="716">
        <v>116.93</v>
      </c>
    </row>
    <row r="7634" spans="1:4" ht="84">
      <c r="A7634" s="715">
        <v>104220</v>
      </c>
      <c r="B7634" s="633" t="s">
        <v>27321</v>
      </c>
      <c r="C7634" s="715" t="s">
        <v>509</v>
      </c>
      <c r="D7634" s="716">
        <v>63.77</v>
      </c>
    </row>
    <row r="7635" spans="1:4" ht="84">
      <c r="A7635" s="715">
        <v>104203</v>
      </c>
      <c r="B7635" s="633" t="s">
        <v>27305</v>
      </c>
      <c r="C7635" s="715" t="s">
        <v>509</v>
      </c>
      <c r="D7635" s="716">
        <v>69.09</v>
      </c>
    </row>
    <row r="7636" spans="1:4" ht="84">
      <c r="A7636" s="715">
        <v>104224</v>
      </c>
      <c r="B7636" s="633" t="s">
        <v>27325</v>
      </c>
      <c r="C7636" s="715" t="s">
        <v>509</v>
      </c>
      <c r="D7636" s="716">
        <v>82.36</v>
      </c>
    </row>
    <row r="7637" spans="1:4" ht="84">
      <c r="A7637" s="715">
        <v>104204</v>
      </c>
      <c r="B7637" s="633" t="s">
        <v>27306</v>
      </c>
      <c r="C7637" s="715" t="s">
        <v>509</v>
      </c>
      <c r="D7637" s="716">
        <v>89.27</v>
      </c>
    </row>
    <row r="7638" spans="1:4" ht="84">
      <c r="A7638" s="715">
        <v>104228</v>
      </c>
      <c r="B7638" s="633" t="s">
        <v>27329</v>
      </c>
      <c r="C7638" s="715" t="s">
        <v>509</v>
      </c>
      <c r="D7638" s="716">
        <v>89.37</v>
      </c>
    </row>
    <row r="7639" spans="1:4" ht="84">
      <c r="A7639" s="715">
        <v>104205</v>
      </c>
      <c r="B7639" s="633" t="s">
        <v>27307</v>
      </c>
      <c r="C7639" s="715" t="s">
        <v>509</v>
      </c>
      <c r="D7639" s="716">
        <v>96.29</v>
      </c>
    </row>
    <row r="7640" spans="1:4" ht="84">
      <c r="A7640" s="715">
        <v>104232</v>
      </c>
      <c r="B7640" s="633" t="s">
        <v>27333</v>
      </c>
      <c r="C7640" s="715" t="s">
        <v>509</v>
      </c>
      <c r="D7640" s="716">
        <v>98.92</v>
      </c>
    </row>
    <row r="7641" spans="1:4" ht="84">
      <c r="A7641" s="715">
        <v>104206</v>
      </c>
      <c r="B7641" s="633" t="s">
        <v>27308</v>
      </c>
      <c r="C7641" s="715" t="s">
        <v>509</v>
      </c>
      <c r="D7641" s="716">
        <v>106.5</v>
      </c>
    </row>
    <row r="7642" spans="1:4" ht="84">
      <c r="A7642" s="715">
        <v>104236</v>
      </c>
      <c r="B7642" s="633" t="s">
        <v>27337</v>
      </c>
      <c r="C7642" s="715" t="s">
        <v>509</v>
      </c>
      <c r="D7642" s="716">
        <v>46.3</v>
      </c>
    </row>
    <row r="7643" spans="1:4" ht="84">
      <c r="A7643" s="715">
        <v>104207</v>
      </c>
      <c r="B7643" s="633" t="s">
        <v>27309</v>
      </c>
      <c r="C7643" s="715" t="s">
        <v>509</v>
      </c>
      <c r="D7643" s="716">
        <v>49.56</v>
      </c>
    </row>
    <row r="7644" spans="1:4" ht="84">
      <c r="A7644" s="715">
        <v>104240</v>
      </c>
      <c r="B7644" s="633" t="s">
        <v>27341</v>
      </c>
      <c r="C7644" s="715" t="s">
        <v>509</v>
      </c>
      <c r="D7644" s="716">
        <v>64.569999999999993</v>
      </c>
    </row>
    <row r="7645" spans="1:4" ht="84">
      <c r="A7645" s="715">
        <v>104208</v>
      </c>
      <c r="B7645" s="633" t="s">
        <v>27310</v>
      </c>
      <c r="C7645" s="715" t="s">
        <v>509</v>
      </c>
      <c r="D7645" s="716">
        <v>69.27</v>
      </c>
    </row>
    <row r="7646" spans="1:4" ht="84">
      <c r="A7646" s="715">
        <v>104244</v>
      </c>
      <c r="B7646" s="633" t="s">
        <v>27345</v>
      </c>
      <c r="C7646" s="715" t="s">
        <v>509</v>
      </c>
      <c r="D7646" s="716">
        <v>71.16</v>
      </c>
    </row>
    <row r="7647" spans="1:4" ht="84">
      <c r="A7647" s="715">
        <v>104209</v>
      </c>
      <c r="B7647" s="633" t="s">
        <v>27311</v>
      </c>
      <c r="C7647" s="715" t="s">
        <v>509</v>
      </c>
      <c r="D7647" s="716">
        <v>75.86</v>
      </c>
    </row>
    <row r="7648" spans="1:4" ht="84">
      <c r="A7648" s="715">
        <v>104248</v>
      </c>
      <c r="B7648" s="633" t="s">
        <v>27349</v>
      </c>
      <c r="C7648" s="715" t="s">
        <v>509</v>
      </c>
      <c r="D7648" s="716">
        <v>73.540000000000006</v>
      </c>
    </row>
    <row r="7649" spans="1:4" ht="84">
      <c r="A7649" s="715">
        <v>104210</v>
      </c>
      <c r="B7649" s="633" t="s">
        <v>27312</v>
      </c>
      <c r="C7649" s="715" t="s">
        <v>509</v>
      </c>
      <c r="D7649" s="716">
        <v>78.09</v>
      </c>
    </row>
    <row r="7650" spans="1:4" ht="84">
      <c r="A7650" s="715">
        <v>104252</v>
      </c>
      <c r="B7650" s="633" t="s">
        <v>27352</v>
      </c>
      <c r="C7650" s="715" t="s">
        <v>509</v>
      </c>
      <c r="D7650" s="716">
        <v>93.23</v>
      </c>
    </row>
    <row r="7651" spans="1:4" ht="84">
      <c r="A7651" s="715">
        <v>104211</v>
      </c>
      <c r="B7651" s="633" t="s">
        <v>27313</v>
      </c>
      <c r="C7651" s="715" t="s">
        <v>509</v>
      </c>
      <c r="D7651" s="716">
        <v>102.79</v>
      </c>
    </row>
    <row r="7652" spans="1:4" ht="84">
      <c r="A7652" s="715">
        <v>104212</v>
      </c>
      <c r="B7652" s="633" t="s">
        <v>27314</v>
      </c>
      <c r="C7652" s="715" t="s">
        <v>509</v>
      </c>
      <c r="D7652" s="716">
        <v>122.59</v>
      </c>
    </row>
    <row r="7653" spans="1:4" ht="84">
      <c r="A7653" s="715">
        <v>104213</v>
      </c>
      <c r="B7653" s="633" t="s">
        <v>27315</v>
      </c>
      <c r="C7653" s="715" t="s">
        <v>509</v>
      </c>
      <c r="D7653" s="716">
        <v>129.18</v>
      </c>
    </row>
    <row r="7654" spans="1:4" ht="84">
      <c r="A7654" s="715">
        <v>104214</v>
      </c>
      <c r="B7654" s="633" t="s">
        <v>27316</v>
      </c>
      <c r="C7654" s="715" t="s">
        <v>509</v>
      </c>
      <c r="D7654" s="716">
        <v>155.08000000000001</v>
      </c>
    </row>
    <row r="7655" spans="1:4" ht="70">
      <c r="A7655" s="715">
        <v>104215</v>
      </c>
      <c r="B7655" s="633" t="s">
        <v>40650</v>
      </c>
      <c r="C7655" s="715" t="s">
        <v>509</v>
      </c>
      <c r="D7655" s="716">
        <v>94.43</v>
      </c>
    </row>
    <row r="7656" spans="1:4" ht="70">
      <c r="A7656" s="715">
        <v>104216</v>
      </c>
      <c r="B7656" s="633" t="s">
        <v>27317</v>
      </c>
      <c r="C7656" s="715" t="s">
        <v>509</v>
      </c>
      <c r="D7656" s="716">
        <v>113.53</v>
      </c>
    </row>
    <row r="7657" spans="1:4" ht="70">
      <c r="A7657" s="715">
        <v>104217</v>
      </c>
      <c r="B7657" s="633" t="s">
        <v>27318</v>
      </c>
      <c r="C7657" s="715" t="s">
        <v>509</v>
      </c>
      <c r="D7657" s="716">
        <v>60.55</v>
      </c>
    </row>
    <row r="7658" spans="1:4" ht="70">
      <c r="A7658" s="715">
        <v>104221</v>
      </c>
      <c r="B7658" s="633" t="s">
        <v>27322</v>
      </c>
      <c r="C7658" s="715" t="s">
        <v>509</v>
      </c>
      <c r="D7658" s="716">
        <v>78.010000000000005</v>
      </c>
    </row>
    <row r="7659" spans="1:4" ht="70">
      <c r="A7659" s="715">
        <v>104225</v>
      </c>
      <c r="B7659" s="633" t="s">
        <v>27326</v>
      </c>
      <c r="C7659" s="715" t="s">
        <v>509</v>
      </c>
      <c r="D7659" s="716">
        <v>84.24</v>
      </c>
    </row>
    <row r="7660" spans="1:4" ht="70">
      <c r="A7660" s="715">
        <v>104229</v>
      </c>
      <c r="B7660" s="633" t="s">
        <v>27330</v>
      </c>
      <c r="C7660" s="715" t="s">
        <v>509</v>
      </c>
      <c r="D7660" s="716">
        <v>100.18</v>
      </c>
    </row>
    <row r="7661" spans="1:4" ht="70">
      <c r="A7661" s="715">
        <v>104233</v>
      </c>
      <c r="B7661" s="633" t="s">
        <v>27334</v>
      </c>
      <c r="C7661" s="715" t="s">
        <v>509</v>
      </c>
      <c r="D7661" s="716">
        <v>43.69</v>
      </c>
    </row>
    <row r="7662" spans="1:4" ht="70">
      <c r="A7662" s="715">
        <v>104237</v>
      </c>
      <c r="B7662" s="633" t="s">
        <v>27338</v>
      </c>
      <c r="C7662" s="715" t="s">
        <v>509</v>
      </c>
      <c r="D7662" s="716">
        <v>60.82</v>
      </c>
    </row>
    <row r="7663" spans="1:4" ht="70">
      <c r="A7663" s="715">
        <v>104241</v>
      </c>
      <c r="B7663" s="633" t="s">
        <v>27342</v>
      </c>
      <c r="C7663" s="715" t="s">
        <v>509</v>
      </c>
      <c r="D7663" s="716">
        <v>66.63</v>
      </c>
    </row>
    <row r="7664" spans="1:4" ht="70">
      <c r="A7664" s="715">
        <v>104245</v>
      </c>
      <c r="B7664" s="633" t="s">
        <v>27346</v>
      </c>
      <c r="C7664" s="715" t="s">
        <v>509</v>
      </c>
      <c r="D7664" s="716">
        <v>72.75</v>
      </c>
    </row>
    <row r="7665" spans="1:4" ht="70">
      <c r="A7665" s="715">
        <v>104249</v>
      </c>
      <c r="B7665" s="633" t="s">
        <v>27350</v>
      </c>
      <c r="C7665" s="715" t="s">
        <v>509</v>
      </c>
      <c r="D7665" s="716">
        <v>89.03</v>
      </c>
    </row>
    <row r="7666" spans="1:4" ht="70">
      <c r="A7666" s="715">
        <v>104253</v>
      </c>
      <c r="B7666" s="633" t="s">
        <v>27353</v>
      </c>
      <c r="C7666" s="715" t="s">
        <v>509</v>
      </c>
      <c r="D7666" s="716">
        <v>106.16</v>
      </c>
    </row>
    <row r="7667" spans="1:4" ht="84">
      <c r="A7667" s="715">
        <v>104256</v>
      </c>
      <c r="B7667" s="633" t="s">
        <v>27355</v>
      </c>
      <c r="C7667" s="715" t="s">
        <v>509</v>
      </c>
      <c r="D7667" s="716">
        <v>111.51</v>
      </c>
    </row>
    <row r="7668" spans="1:4" ht="84">
      <c r="A7668" s="715">
        <v>104260</v>
      </c>
      <c r="B7668" s="633" t="s">
        <v>27358</v>
      </c>
      <c r="C7668" s="715" t="s">
        <v>509</v>
      </c>
      <c r="D7668" s="716">
        <v>118.1</v>
      </c>
    </row>
    <row r="7669" spans="1:4" ht="84">
      <c r="A7669" s="715">
        <v>104264</v>
      </c>
      <c r="B7669" s="633" t="s">
        <v>27361</v>
      </c>
      <c r="C7669" s="715" t="s">
        <v>509</v>
      </c>
      <c r="D7669" s="716">
        <v>141.43</v>
      </c>
    </row>
    <row r="7670" spans="1:4" ht="70">
      <c r="A7670" s="715">
        <v>87792</v>
      </c>
      <c r="B7670" s="633" t="s">
        <v>27276</v>
      </c>
      <c r="C7670" s="715" t="s">
        <v>509</v>
      </c>
      <c r="D7670" s="716">
        <v>46.77</v>
      </c>
    </row>
    <row r="7671" spans="1:4" ht="70">
      <c r="A7671" s="715">
        <v>87797</v>
      </c>
      <c r="B7671" s="633" t="s">
        <v>27279</v>
      </c>
      <c r="C7671" s="715" t="s">
        <v>509</v>
      </c>
      <c r="D7671" s="716">
        <v>65.37</v>
      </c>
    </row>
    <row r="7672" spans="1:4" ht="70">
      <c r="A7672" s="715">
        <v>87801</v>
      </c>
      <c r="B7672" s="633" t="s">
        <v>27282</v>
      </c>
      <c r="C7672" s="715" t="s">
        <v>509</v>
      </c>
      <c r="D7672" s="716">
        <v>71.180000000000007</v>
      </c>
    </row>
    <row r="7673" spans="1:4" ht="70">
      <c r="A7673" s="715">
        <v>87805</v>
      </c>
      <c r="B7673" s="633" t="s">
        <v>27285</v>
      </c>
      <c r="C7673" s="715" t="s">
        <v>509</v>
      </c>
      <c r="D7673" s="716">
        <v>77.77</v>
      </c>
    </row>
    <row r="7674" spans="1:4" ht="70">
      <c r="A7674" s="715">
        <v>87775</v>
      </c>
      <c r="B7674" s="633" t="s">
        <v>27265</v>
      </c>
      <c r="C7674" s="715" t="s">
        <v>509</v>
      </c>
      <c r="D7674" s="716">
        <v>65.77</v>
      </c>
    </row>
    <row r="7675" spans="1:4" ht="70">
      <c r="A7675" s="715">
        <v>87779</v>
      </c>
      <c r="B7675" s="633" t="s">
        <v>27268</v>
      </c>
      <c r="C7675" s="715" t="s">
        <v>509</v>
      </c>
      <c r="D7675" s="716">
        <v>84.71</v>
      </c>
    </row>
    <row r="7676" spans="1:4" ht="70">
      <c r="A7676" s="715">
        <v>87784</v>
      </c>
      <c r="B7676" s="633" t="s">
        <v>27271</v>
      </c>
      <c r="C7676" s="715" t="s">
        <v>509</v>
      </c>
      <c r="D7676" s="716">
        <v>90.94</v>
      </c>
    </row>
    <row r="7677" spans="1:4" ht="70">
      <c r="A7677" s="715">
        <v>87788</v>
      </c>
      <c r="B7677" s="633" t="s">
        <v>27274</v>
      </c>
      <c r="C7677" s="715" t="s">
        <v>509</v>
      </c>
      <c r="D7677" s="716">
        <v>108.47</v>
      </c>
    </row>
    <row r="7678" spans="1:4" ht="84">
      <c r="A7678" s="715">
        <v>87809</v>
      </c>
      <c r="B7678" s="633" t="s">
        <v>27288</v>
      </c>
      <c r="C7678" s="715" t="s">
        <v>509</v>
      </c>
      <c r="D7678" s="716">
        <v>98.4</v>
      </c>
    </row>
    <row r="7679" spans="1:4" ht="84">
      <c r="A7679" s="715">
        <v>87813</v>
      </c>
      <c r="B7679" s="633" t="s">
        <v>27291</v>
      </c>
      <c r="C7679" s="715" t="s">
        <v>509</v>
      </c>
      <c r="D7679" s="716">
        <v>117</v>
      </c>
    </row>
    <row r="7680" spans="1:4" ht="70">
      <c r="A7680" s="715">
        <v>104257</v>
      </c>
      <c r="B7680" s="633" t="s">
        <v>27356</v>
      </c>
      <c r="C7680" s="715" t="s">
        <v>509</v>
      </c>
      <c r="D7680" s="716">
        <v>111.97</v>
      </c>
    </row>
    <row r="7681" spans="1:4" ht="84">
      <c r="A7681" s="715">
        <v>87817</v>
      </c>
      <c r="B7681" s="633" t="s">
        <v>27294</v>
      </c>
      <c r="C7681" s="715" t="s">
        <v>509</v>
      </c>
      <c r="D7681" s="716">
        <v>122.81</v>
      </c>
    </row>
    <row r="7682" spans="1:4" ht="70">
      <c r="A7682" s="715">
        <v>104261</v>
      </c>
      <c r="B7682" s="633" t="s">
        <v>27359</v>
      </c>
      <c r="C7682" s="715" t="s">
        <v>509</v>
      </c>
      <c r="D7682" s="716">
        <v>146.87</v>
      </c>
    </row>
    <row r="7683" spans="1:4" ht="84">
      <c r="A7683" s="715">
        <v>87821</v>
      </c>
      <c r="B7683" s="633" t="s">
        <v>27297</v>
      </c>
      <c r="C7683" s="715" t="s">
        <v>509</v>
      </c>
      <c r="D7683" s="716">
        <v>161.66</v>
      </c>
    </row>
    <row r="7684" spans="1:4" ht="84">
      <c r="A7684" s="715">
        <v>87825</v>
      </c>
      <c r="B7684" s="633" t="s">
        <v>27299</v>
      </c>
      <c r="C7684" s="715" t="s">
        <v>509</v>
      </c>
      <c r="D7684" s="716">
        <v>90.26</v>
      </c>
    </row>
    <row r="7685" spans="1:4" ht="84">
      <c r="A7685" s="715">
        <v>87829</v>
      </c>
      <c r="B7685" s="633" t="s">
        <v>27302</v>
      </c>
      <c r="C7685" s="715" t="s">
        <v>509</v>
      </c>
      <c r="D7685" s="716">
        <v>108.27</v>
      </c>
    </row>
    <row r="7686" spans="1:4" ht="70">
      <c r="A7686" s="715">
        <v>87557</v>
      </c>
      <c r="B7686" s="633" t="s">
        <v>29439</v>
      </c>
      <c r="C7686" s="715" t="s">
        <v>509</v>
      </c>
      <c r="D7686" s="716">
        <v>46.62</v>
      </c>
    </row>
    <row r="7687" spans="1:4" ht="70">
      <c r="A7687" s="715">
        <v>87539</v>
      </c>
      <c r="B7687" s="633" t="s">
        <v>29429</v>
      </c>
      <c r="C7687" s="715" t="s">
        <v>509</v>
      </c>
      <c r="D7687" s="716">
        <v>70.06</v>
      </c>
    </row>
    <row r="7688" spans="1:4" ht="70">
      <c r="A7688" s="715">
        <v>104972</v>
      </c>
      <c r="B7688" s="633" t="s">
        <v>29476</v>
      </c>
      <c r="C7688" s="715" t="s">
        <v>509</v>
      </c>
      <c r="D7688" s="716">
        <v>42.38</v>
      </c>
    </row>
    <row r="7689" spans="1:4" ht="70">
      <c r="A7689" s="715">
        <v>104954</v>
      </c>
      <c r="B7689" s="633" t="s">
        <v>29458</v>
      </c>
      <c r="C7689" s="715" t="s">
        <v>509</v>
      </c>
      <c r="D7689" s="716">
        <v>58.2</v>
      </c>
    </row>
    <row r="7690" spans="1:4" ht="70">
      <c r="A7690" s="715">
        <v>104976</v>
      </c>
      <c r="B7690" s="633" t="s">
        <v>29480</v>
      </c>
      <c r="C7690" s="715" t="s">
        <v>509</v>
      </c>
      <c r="D7690" s="716">
        <v>37.11</v>
      </c>
    </row>
    <row r="7691" spans="1:4" ht="70">
      <c r="A7691" s="715">
        <v>104966</v>
      </c>
      <c r="B7691" s="633" t="s">
        <v>29470</v>
      </c>
      <c r="C7691" s="715" t="s">
        <v>509</v>
      </c>
      <c r="D7691" s="716">
        <v>52.93</v>
      </c>
    </row>
    <row r="7692" spans="1:4" ht="70">
      <c r="A7692" s="715">
        <v>104968</v>
      </c>
      <c r="B7692" s="633" t="s">
        <v>29472</v>
      </c>
      <c r="C7692" s="715" t="s">
        <v>509</v>
      </c>
      <c r="D7692" s="716">
        <v>51.24</v>
      </c>
    </row>
    <row r="7693" spans="1:4" ht="70">
      <c r="A7693" s="715">
        <v>104962</v>
      </c>
      <c r="B7693" s="633" t="s">
        <v>29466</v>
      </c>
      <c r="C7693" s="715" t="s">
        <v>509</v>
      </c>
      <c r="D7693" s="716">
        <v>67.06</v>
      </c>
    </row>
    <row r="7694" spans="1:4" ht="56">
      <c r="A7694" s="715">
        <v>87550</v>
      </c>
      <c r="B7694" s="633" t="s">
        <v>29436</v>
      </c>
      <c r="C7694" s="715" t="s">
        <v>509</v>
      </c>
      <c r="D7694" s="716">
        <v>32.590000000000003</v>
      </c>
    </row>
    <row r="7695" spans="1:4" ht="56">
      <c r="A7695" s="715">
        <v>87532</v>
      </c>
      <c r="B7695" s="633" t="s">
        <v>29426</v>
      </c>
      <c r="C7695" s="715" t="s">
        <v>509</v>
      </c>
      <c r="D7695" s="716">
        <v>45.77</v>
      </c>
    </row>
    <row r="7696" spans="1:4" ht="56">
      <c r="A7696" s="715">
        <v>87554</v>
      </c>
      <c r="B7696" s="633" t="s">
        <v>29438</v>
      </c>
      <c r="C7696" s="715" t="s">
        <v>509</v>
      </c>
      <c r="D7696" s="716">
        <v>29.19</v>
      </c>
    </row>
    <row r="7697" spans="1:4" ht="56">
      <c r="A7697" s="715">
        <v>87536</v>
      </c>
      <c r="B7697" s="633" t="s">
        <v>29428</v>
      </c>
      <c r="C7697" s="715" t="s">
        <v>509</v>
      </c>
      <c r="D7697" s="716">
        <v>42.37</v>
      </c>
    </row>
    <row r="7698" spans="1:4" ht="56">
      <c r="A7698" s="715">
        <v>87528</v>
      </c>
      <c r="B7698" s="633" t="s">
        <v>29422</v>
      </c>
      <c r="C7698" s="715" t="s">
        <v>509</v>
      </c>
      <c r="D7698" s="716">
        <v>51.48</v>
      </c>
    </row>
    <row r="7699" spans="1:4" ht="56">
      <c r="A7699" s="715">
        <v>87546</v>
      </c>
      <c r="B7699" s="633" t="s">
        <v>29432</v>
      </c>
      <c r="C7699" s="715" t="s">
        <v>509</v>
      </c>
      <c r="D7699" s="716">
        <v>38.299999999999997</v>
      </c>
    </row>
    <row r="7700" spans="1:4" ht="70">
      <c r="A7700" s="715">
        <v>104971</v>
      </c>
      <c r="B7700" s="633" t="s">
        <v>29475</v>
      </c>
      <c r="C7700" s="715" t="s">
        <v>509</v>
      </c>
      <c r="D7700" s="716">
        <v>38.880000000000003</v>
      </c>
    </row>
    <row r="7701" spans="1:4" ht="70">
      <c r="A7701" s="715">
        <v>104965</v>
      </c>
      <c r="B7701" s="633" t="s">
        <v>29469</v>
      </c>
      <c r="C7701" s="715" t="s">
        <v>509</v>
      </c>
      <c r="D7701" s="716">
        <v>52.73</v>
      </c>
    </row>
    <row r="7702" spans="1:4" ht="70">
      <c r="A7702" s="715">
        <v>104975</v>
      </c>
      <c r="B7702" s="633" t="s">
        <v>29479</v>
      </c>
      <c r="C7702" s="715" t="s">
        <v>509</v>
      </c>
      <c r="D7702" s="716">
        <v>33.61</v>
      </c>
    </row>
    <row r="7703" spans="1:4" ht="70">
      <c r="A7703" s="715">
        <v>104957</v>
      </c>
      <c r="B7703" s="633" t="s">
        <v>29461</v>
      </c>
      <c r="C7703" s="715" t="s">
        <v>509</v>
      </c>
      <c r="D7703" s="716">
        <v>47.46</v>
      </c>
    </row>
    <row r="7704" spans="1:4" ht="70">
      <c r="A7704" s="715">
        <v>104967</v>
      </c>
      <c r="B7704" s="633" t="s">
        <v>29471</v>
      </c>
      <c r="C7704" s="715" t="s">
        <v>509</v>
      </c>
      <c r="D7704" s="716">
        <v>47.74</v>
      </c>
    </row>
    <row r="7705" spans="1:4" ht="70">
      <c r="A7705" s="715">
        <v>104961</v>
      </c>
      <c r="B7705" s="633" t="s">
        <v>29465</v>
      </c>
      <c r="C7705" s="715" t="s">
        <v>509</v>
      </c>
      <c r="D7705" s="716">
        <v>61.59</v>
      </c>
    </row>
    <row r="7706" spans="1:4" ht="56">
      <c r="A7706" s="715">
        <v>87549</v>
      </c>
      <c r="B7706" s="633" t="s">
        <v>29435</v>
      </c>
      <c r="C7706" s="715" t="s">
        <v>509</v>
      </c>
      <c r="D7706" s="716">
        <v>29.09</v>
      </c>
    </row>
    <row r="7707" spans="1:4" ht="56">
      <c r="A7707" s="715">
        <v>87531</v>
      </c>
      <c r="B7707" s="633" t="s">
        <v>29425</v>
      </c>
      <c r="C7707" s="715" t="s">
        <v>509</v>
      </c>
      <c r="D7707" s="716">
        <v>40.299999999999997</v>
      </c>
    </row>
    <row r="7708" spans="1:4" ht="56">
      <c r="A7708" s="715">
        <v>87553</v>
      </c>
      <c r="B7708" s="633" t="s">
        <v>29437</v>
      </c>
      <c r="C7708" s="715" t="s">
        <v>509</v>
      </c>
      <c r="D7708" s="716">
        <v>25.69</v>
      </c>
    </row>
    <row r="7709" spans="1:4" ht="56">
      <c r="A7709" s="715">
        <v>87535</v>
      </c>
      <c r="B7709" s="633" t="s">
        <v>29427</v>
      </c>
      <c r="C7709" s="715" t="s">
        <v>509</v>
      </c>
      <c r="D7709" s="716">
        <v>36.9</v>
      </c>
    </row>
    <row r="7710" spans="1:4" ht="56">
      <c r="A7710" s="715">
        <v>87527</v>
      </c>
      <c r="B7710" s="633" t="s">
        <v>29421</v>
      </c>
      <c r="C7710" s="715" t="s">
        <v>509</v>
      </c>
      <c r="D7710" s="716">
        <v>46.01</v>
      </c>
    </row>
    <row r="7711" spans="1:4" ht="56">
      <c r="A7711" s="715">
        <v>87545</v>
      </c>
      <c r="B7711" s="633" t="s">
        <v>29431</v>
      </c>
      <c r="C7711" s="715" t="s">
        <v>509</v>
      </c>
      <c r="D7711" s="716">
        <v>34.799999999999997</v>
      </c>
    </row>
    <row r="7712" spans="1:4" ht="70">
      <c r="A7712" s="715">
        <v>104960</v>
      </c>
      <c r="B7712" s="633" t="s">
        <v>29464</v>
      </c>
      <c r="C7712" s="715" t="s">
        <v>509</v>
      </c>
      <c r="D7712" s="716">
        <v>44.63</v>
      </c>
    </row>
    <row r="7713" spans="1:4" ht="70">
      <c r="A7713" s="715">
        <v>87561</v>
      </c>
      <c r="B7713" s="633" t="s">
        <v>29440</v>
      </c>
      <c r="C7713" s="715" t="s">
        <v>509</v>
      </c>
      <c r="D7713" s="716">
        <v>45.89</v>
      </c>
    </row>
    <row r="7714" spans="1:4" ht="70">
      <c r="A7714" s="715">
        <v>104953</v>
      </c>
      <c r="B7714" s="633" t="s">
        <v>29457</v>
      </c>
      <c r="C7714" s="715" t="s">
        <v>509</v>
      </c>
      <c r="D7714" s="716">
        <v>68.08</v>
      </c>
    </row>
    <row r="7715" spans="1:4" ht="70">
      <c r="A7715" s="715">
        <v>87543</v>
      </c>
      <c r="B7715" s="633" t="s">
        <v>29430</v>
      </c>
      <c r="C7715" s="715" t="s">
        <v>509</v>
      </c>
      <c r="D7715" s="716">
        <v>27.29</v>
      </c>
    </row>
    <row r="7716" spans="1:4" ht="56">
      <c r="A7716" s="715">
        <v>104959</v>
      </c>
      <c r="B7716" s="633" t="s">
        <v>29463</v>
      </c>
      <c r="C7716" s="715" t="s">
        <v>509</v>
      </c>
      <c r="D7716" s="716">
        <v>30.03</v>
      </c>
    </row>
    <row r="7717" spans="1:4" ht="56">
      <c r="A7717" s="715">
        <v>104958</v>
      </c>
      <c r="B7717" s="633" t="s">
        <v>29462</v>
      </c>
      <c r="C7717" s="715" t="s">
        <v>509</v>
      </c>
      <c r="D7717" s="716">
        <v>26.53</v>
      </c>
    </row>
    <row r="7718" spans="1:4" ht="70">
      <c r="A7718" s="715">
        <v>104970</v>
      </c>
      <c r="B7718" s="633" t="s">
        <v>29474</v>
      </c>
      <c r="C7718" s="715" t="s">
        <v>509</v>
      </c>
      <c r="D7718" s="716">
        <v>44.94</v>
      </c>
    </row>
    <row r="7719" spans="1:4" ht="70">
      <c r="A7719" s="715">
        <v>104964</v>
      </c>
      <c r="B7719" s="633" t="s">
        <v>29468</v>
      </c>
      <c r="C7719" s="715" t="s">
        <v>509</v>
      </c>
      <c r="D7719" s="716">
        <v>60.76</v>
      </c>
    </row>
    <row r="7720" spans="1:4" ht="70">
      <c r="A7720" s="715">
        <v>104956</v>
      </c>
      <c r="B7720" s="633" t="s">
        <v>29460</v>
      </c>
      <c r="C7720" s="715" t="s">
        <v>509</v>
      </c>
      <c r="D7720" s="716">
        <v>54.24</v>
      </c>
    </row>
    <row r="7721" spans="1:4" ht="70">
      <c r="A7721" s="715">
        <v>104974</v>
      </c>
      <c r="B7721" s="633" t="s">
        <v>29478</v>
      </c>
      <c r="C7721" s="715" t="s">
        <v>509</v>
      </c>
      <c r="D7721" s="716">
        <v>38.43</v>
      </c>
    </row>
    <row r="7722" spans="1:4" ht="56">
      <c r="A7722" s="715">
        <v>87548</v>
      </c>
      <c r="B7722" s="633" t="s">
        <v>29434</v>
      </c>
      <c r="C7722" s="715" t="s">
        <v>509</v>
      </c>
      <c r="D7722" s="716">
        <v>34.24</v>
      </c>
    </row>
    <row r="7723" spans="1:4" ht="56">
      <c r="A7723" s="715">
        <v>87530</v>
      </c>
      <c r="B7723" s="633" t="s">
        <v>29424</v>
      </c>
      <c r="C7723" s="715" t="s">
        <v>509</v>
      </c>
      <c r="D7723" s="716">
        <v>47.43</v>
      </c>
    </row>
    <row r="7724" spans="1:4" ht="56">
      <c r="A7724" s="715">
        <v>104952</v>
      </c>
      <c r="B7724" s="633" t="s">
        <v>29456</v>
      </c>
      <c r="C7724" s="715" t="s">
        <v>509</v>
      </c>
      <c r="D7724" s="716">
        <v>43.23</v>
      </c>
    </row>
    <row r="7725" spans="1:4" ht="70">
      <c r="A7725" s="715">
        <v>104969</v>
      </c>
      <c r="B7725" s="633" t="s">
        <v>29473</v>
      </c>
      <c r="C7725" s="715" t="s">
        <v>509</v>
      </c>
      <c r="D7725" s="716">
        <v>41.44</v>
      </c>
    </row>
    <row r="7726" spans="1:4" ht="70">
      <c r="A7726" s="715">
        <v>104963</v>
      </c>
      <c r="B7726" s="633" t="s">
        <v>29467</v>
      </c>
      <c r="C7726" s="715" t="s">
        <v>509</v>
      </c>
      <c r="D7726" s="716">
        <v>55.29</v>
      </c>
    </row>
    <row r="7727" spans="1:4" ht="70">
      <c r="A7727" s="715">
        <v>104955</v>
      </c>
      <c r="B7727" s="633" t="s">
        <v>29459</v>
      </c>
      <c r="C7727" s="715" t="s">
        <v>509</v>
      </c>
      <c r="D7727" s="716">
        <v>48.77</v>
      </c>
    </row>
    <row r="7728" spans="1:4" ht="70">
      <c r="A7728" s="715">
        <v>104973</v>
      </c>
      <c r="B7728" s="633" t="s">
        <v>29477</v>
      </c>
      <c r="C7728" s="715" t="s">
        <v>509</v>
      </c>
      <c r="D7728" s="716">
        <v>34.93</v>
      </c>
    </row>
    <row r="7729" spans="1:4" ht="56">
      <c r="A7729" s="715">
        <v>87547</v>
      </c>
      <c r="B7729" s="633" t="s">
        <v>29433</v>
      </c>
      <c r="C7729" s="715" t="s">
        <v>509</v>
      </c>
      <c r="D7729" s="716">
        <v>30.74</v>
      </c>
    </row>
    <row r="7730" spans="1:4" ht="56">
      <c r="A7730" s="715">
        <v>87529</v>
      </c>
      <c r="B7730" s="633" t="s">
        <v>29423</v>
      </c>
      <c r="C7730" s="715" t="s">
        <v>509</v>
      </c>
      <c r="D7730" s="716">
        <v>41.96</v>
      </c>
    </row>
    <row r="7731" spans="1:4" ht="56">
      <c r="A7731" s="715">
        <v>104951</v>
      </c>
      <c r="B7731" s="633" t="s">
        <v>29455</v>
      </c>
      <c r="C7731" s="715" t="s">
        <v>509</v>
      </c>
      <c r="D7731" s="716">
        <v>37.76</v>
      </c>
    </row>
    <row r="7732" spans="1:4" ht="56">
      <c r="A7732" s="715">
        <v>104978</v>
      </c>
      <c r="B7732" s="633" t="s">
        <v>29482</v>
      </c>
      <c r="C7732" s="715" t="s">
        <v>509</v>
      </c>
      <c r="D7732" s="716">
        <v>44.66</v>
      </c>
    </row>
    <row r="7733" spans="1:4" ht="56">
      <c r="A7733" s="715">
        <v>104977</v>
      </c>
      <c r="B7733" s="633" t="s">
        <v>29481</v>
      </c>
      <c r="C7733" s="715" t="s">
        <v>509</v>
      </c>
      <c r="D7733" s="716">
        <v>58.29</v>
      </c>
    </row>
    <row r="7734" spans="1:4" ht="42">
      <c r="A7734" s="715">
        <v>90408</v>
      </c>
      <c r="B7734" s="633" t="s">
        <v>29450</v>
      </c>
      <c r="C7734" s="715" t="s">
        <v>509</v>
      </c>
      <c r="D7734" s="716">
        <v>38.64</v>
      </c>
    </row>
    <row r="7735" spans="1:4" ht="42">
      <c r="A7735" s="715">
        <v>90406</v>
      </c>
      <c r="B7735" s="633" t="s">
        <v>29449</v>
      </c>
      <c r="C7735" s="715" t="s">
        <v>509</v>
      </c>
      <c r="D7735" s="716">
        <v>50.95</v>
      </c>
    </row>
    <row r="7736" spans="1:4" ht="56">
      <c r="A7736" s="715">
        <v>106626</v>
      </c>
      <c r="B7736" s="633" t="s">
        <v>43519</v>
      </c>
      <c r="C7736" s="715" t="s">
        <v>103</v>
      </c>
      <c r="D7736" s="716">
        <v>0</v>
      </c>
    </row>
    <row r="7737" spans="1:4" ht="56">
      <c r="A7737" s="715">
        <v>106627</v>
      </c>
      <c r="B7737" s="633" t="s">
        <v>43520</v>
      </c>
      <c r="C7737" s="715" t="s">
        <v>103</v>
      </c>
      <c r="D7737" s="716">
        <v>0</v>
      </c>
    </row>
    <row r="7738" spans="1:4" ht="56">
      <c r="A7738" s="715">
        <v>106628</v>
      </c>
      <c r="B7738" s="633" t="s">
        <v>43521</v>
      </c>
      <c r="C7738" s="715" t="s">
        <v>103</v>
      </c>
      <c r="D7738" s="716">
        <v>0</v>
      </c>
    </row>
    <row r="7739" spans="1:4" ht="56">
      <c r="A7739" s="715">
        <v>106629</v>
      </c>
      <c r="B7739" s="633" t="s">
        <v>43522</v>
      </c>
      <c r="C7739" s="715" t="s">
        <v>103</v>
      </c>
      <c r="D7739" s="716">
        <v>0</v>
      </c>
    </row>
    <row r="7740" spans="1:4" ht="56">
      <c r="A7740" s="715">
        <v>106631</v>
      </c>
      <c r="B7740" s="633" t="s">
        <v>43523</v>
      </c>
      <c r="C7740" s="715" t="s">
        <v>103</v>
      </c>
      <c r="D7740" s="716">
        <v>0</v>
      </c>
    </row>
    <row r="7741" spans="1:4" ht="56">
      <c r="A7741" s="715">
        <v>106630</v>
      </c>
      <c r="B7741" s="633" t="s">
        <v>43524</v>
      </c>
      <c r="C7741" s="715" t="s">
        <v>103</v>
      </c>
      <c r="D7741" s="716">
        <v>0</v>
      </c>
    </row>
    <row r="7742" spans="1:4" ht="42">
      <c r="A7742" s="715">
        <v>106633</v>
      </c>
      <c r="B7742" s="633" t="s">
        <v>43525</v>
      </c>
      <c r="C7742" s="715" t="s">
        <v>103</v>
      </c>
      <c r="D7742" s="716">
        <v>0</v>
      </c>
    </row>
    <row r="7743" spans="1:4" ht="42">
      <c r="A7743" s="715">
        <v>106632</v>
      </c>
      <c r="B7743" s="633" t="s">
        <v>43526</v>
      </c>
      <c r="C7743" s="715" t="s">
        <v>103</v>
      </c>
      <c r="D7743" s="716">
        <v>0</v>
      </c>
    </row>
    <row r="7744" spans="1:4" ht="42">
      <c r="A7744" s="715">
        <v>106634</v>
      </c>
      <c r="B7744" s="633" t="s">
        <v>43527</v>
      </c>
      <c r="C7744" s="715" t="s">
        <v>103</v>
      </c>
      <c r="D7744" s="716">
        <v>0</v>
      </c>
    </row>
    <row r="7745" spans="1:4" ht="56">
      <c r="A7745" s="715">
        <v>106636</v>
      </c>
      <c r="B7745" s="633" t="s">
        <v>43528</v>
      </c>
      <c r="C7745" s="715" t="s">
        <v>103</v>
      </c>
      <c r="D7745" s="716">
        <v>0</v>
      </c>
    </row>
    <row r="7746" spans="1:4" ht="56">
      <c r="A7746" s="715">
        <v>106635</v>
      </c>
      <c r="B7746" s="633" t="s">
        <v>43529</v>
      </c>
      <c r="C7746" s="715" t="s">
        <v>103</v>
      </c>
      <c r="D7746" s="716">
        <v>0</v>
      </c>
    </row>
    <row r="7747" spans="1:4" ht="56">
      <c r="A7747" s="715">
        <v>106637</v>
      </c>
      <c r="B7747" s="633" t="s">
        <v>43530</v>
      </c>
      <c r="C7747" s="715" t="s">
        <v>103</v>
      </c>
      <c r="D7747" s="716">
        <v>0</v>
      </c>
    </row>
    <row r="7748" spans="1:4" ht="70">
      <c r="A7748" s="715">
        <v>106639</v>
      </c>
      <c r="B7748" s="633" t="s">
        <v>43531</v>
      </c>
      <c r="C7748" s="715" t="s">
        <v>103</v>
      </c>
      <c r="D7748" s="716">
        <v>0</v>
      </c>
    </row>
    <row r="7749" spans="1:4" ht="70">
      <c r="A7749" s="715">
        <v>106638</v>
      </c>
      <c r="B7749" s="633" t="s">
        <v>43532</v>
      </c>
      <c r="C7749" s="715" t="s">
        <v>103</v>
      </c>
      <c r="D7749" s="716">
        <v>0</v>
      </c>
    </row>
    <row r="7750" spans="1:4" ht="56">
      <c r="A7750" s="715">
        <v>106641</v>
      </c>
      <c r="B7750" s="633" t="s">
        <v>43533</v>
      </c>
      <c r="C7750" s="715" t="s">
        <v>103</v>
      </c>
      <c r="D7750" s="716">
        <v>0</v>
      </c>
    </row>
    <row r="7751" spans="1:4" ht="56">
      <c r="A7751" s="715">
        <v>106640</v>
      </c>
      <c r="B7751" s="633" t="s">
        <v>43534</v>
      </c>
      <c r="C7751" s="715" t="s">
        <v>103</v>
      </c>
      <c r="D7751" s="716">
        <v>0</v>
      </c>
    </row>
    <row r="7752" spans="1:4" ht="56">
      <c r="A7752" s="715">
        <v>106644</v>
      </c>
      <c r="B7752" s="633" t="s">
        <v>43535</v>
      </c>
      <c r="C7752" s="715" t="s">
        <v>103</v>
      </c>
      <c r="D7752" s="716">
        <v>0</v>
      </c>
    </row>
    <row r="7753" spans="1:4" ht="56">
      <c r="A7753" s="715">
        <v>106646</v>
      </c>
      <c r="B7753" s="633" t="s">
        <v>43536</v>
      </c>
      <c r="C7753" s="715" t="s">
        <v>103</v>
      </c>
      <c r="D7753" s="716">
        <v>0</v>
      </c>
    </row>
    <row r="7754" spans="1:4" ht="56">
      <c r="A7754" s="715">
        <v>106645</v>
      </c>
      <c r="B7754" s="633" t="s">
        <v>43537</v>
      </c>
      <c r="C7754" s="715" t="s">
        <v>103</v>
      </c>
      <c r="D7754" s="716">
        <v>0</v>
      </c>
    </row>
    <row r="7755" spans="1:4" ht="56">
      <c r="A7755" s="715">
        <v>106643</v>
      </c>
      <c r="B7755" s="633" t="s">
        <v>43538</v>
      </c>
      <c r="C7755" s="715" t="s">
        <v>103</v>
      </c>
      <c r="D7755" s="716">
        <v>0</v>
      </c>
    </row>
    <row r="7756" spans="1:4" ht="56">
      <c r="A7756" s="715">
        <v>106642</v>
      </c>
      <c r="B7756" s="633" t="s">
        <v>43539</v>
      </c>
      <c r="C7756" s="715" t="s">
        <v>103</v>
      </c>
      <c r="D7756" s="716">
        <v>0</v>
      </c>
    </row>
    <row r="7757" spans="1:4" ht="56">
      <c r="A7757" s="715">
        <v>106649</v>
      </c>
      <c r="B7757" s="633" t="s">
        <v>43540</v>
      </c>
      <c r="C7757" s="715" t="s">
        <v>103</v>
      </c>
      <c r="D7757" s="716">
        <v>0</v>
      </c>
    </row>
    <row r="7758" spans="1:4" ht="56">
      <c r="A7758" s="715">
        <v>106648</v>
      </c>
      <c r="B7758" s="633" t="s">
        <v>43541</v>
      </c>
      <c r="C7758" s="715" t="s">
        <v>103</v>
      </c>
      <c r="D7758" s="716">
        <v>0</v>
      </c>
    </row>
    <row r="7759" spans="1:4" ht="56">
      <c r="A7759" s="715">
        <v>106647</v>
      </c>
      <c r="B7759" s="633" t="s">
        <v>43542</v>
      </c>
      <c r="C7759" s="715" t="s">
        <v>103</v>
      </c>
      <c r="D7759" s="716">
        <v>0</v>
      </c>
    </row>
    <row r="7760" spans="1:4" ht="42">
      <c r="A7760" s="715">
        <v>106652</v>
      </c>
      <c r="B7760" s="633" t="s">
        <v>43543</v>
      </c>
      <c r="C7760" s="715" t="s">
        <v>103</v>
      </c>
      <c r="D7760" s="716">
        <v>0</v>
      </c>
    </row>
    <row r="7761" spans="1:4" ht="42">
      <c r="A7761" s="715">
        <v>106653</v>
      </c>
      <c r="B7761" s="633" t="s">
        <v>43544</v>
      </c>
      <c r="C7761" s="715" t="s">
        <v>103</v>
      </c>
      <c r="D7761" s="716">
        <v>0</v>
      </c>
    </row>
    <row r="7762" spans="1:4" ht="42">
      <c r="A7762" s="715">
        <v>106654</v>
      </c>
      <c r="B7762" s="633" t="s">
        <v>43545</v>
      </c>
      <c r="C7762" s="715" t="s">
        <v>103</v>
      </c>
      <c r="D7762" s="716">
        <v>0</v>
      </c>
    </row>
    <row r="7763" spans="1:4" ht="42">
      <c r="A7763" s="715">
        <v>106651</v>
      </c>
      <c r="B7763" s="633" t="s">
        <v>43546</v>
      </c>
      <c r="C7763" s="715" t="s">
        <v>103</v>
      </c>
      <c r="D7763" s="716">
        <v>0</v>
      </c>
    </row>
    <row r="7764" spans="1:4" ht="42">
      <c r="A7764" s="715">
        <v>106650</v>
      </c>
      <c r="B7764" s="633" t="s">
        <v>43547</v>
      </c>
      <c r="C7764" s="715" t="s">
        <v>103</v>
      </c>
      <c r="D7764" s="716">
        <v>0</v>
      </c>
    </row>
    <row r="7765" spans="1:4" ht="56">
      <c r="A7765" s="715">
        <v>106655</v>
      </c>
      <c r="B7765" s="633" t="s">
        <v>43548</v>
      </c>
      <c r="C7765" s="715" t="s">
        <v>103</v>
      </c>
      <c r="D7765" s="716">
        <v>0</v>
      </c>
    </row>
    <row r="7766" spans="1:4" ht="56">
      <c r="A7766" s="715">
        <v>106657</v>
      </c>
      <c r="B7766" s="633" t="s">
        <v>43549</v>
      </c>
      <c r="C7766" s="715" t="s">
        <v>103</v>
      </c>
      <c r="D7766" s="716">
        <v>0</v>
      </c>
    </row>
    <row r="7767" spans="1:4" ht="56">
      <c r="A7767" s="715">
        <v>106656</v>
      </c>
      <c r="B7767" s="633" t="s">
        <v>43550</v>
      </c>
      <c r="C7767" s="715" t="s">
        <v>103</v>
      </c>
      <c r="D7767" s="716">
        <v>0</v>
      </c>
    </row>
    <row r="7768" spans="1:4" ht="42">
      <c r="A7768" s="715">
        <v>106661</v>
      </c>
      <c r="B7768" s="633" t="s">
        <v>43551</v>
      </c>
      <c r="C7768" s="715" t="s">
        <v>103</v>
      </c>
      <c r="D7768" s="716">
        <v>0</v>
      </c>
    </row>
    <row r="7769" spans="1:4" ht="42">
      <c r="A7769" s="715">
        <v>106660</v>
      </c>
      <c r="B7769" s="633" t="s">
        <v>43552</v>
      </c>
      <c r="C7769" s="715" t="s">
        <v>103</v>
      </c>
      <c r="D7769" s="716">
        <v>0</v>
      </c>
    </row>
    <row r="7770" spans="1:4" ht="56">
      <c r="A7770" s="715">
        <v>106659</v>
      </c>
      <c r="B7770" s="633" t="s">
        <v>43553</v>
      </c>
      <c r="C7770" s="715" t="s">
        <v>103</v>
      </c>
      <c r="D7770" s="716">
        <v>0</v>
      </c>
    </row>
    <row r="7771" spans="1:4" ht="56">
      <c r="A7771" s="715">
        <v>106658</v>
      </c>
      <c r="B7771" s="633" t="s">
        <v>43554</v>
      </c>
      <c r="C7771" s="715" t="s">
        <v>103</v>
      </c>
      <c r="D7771" s="716">
        <v>0</v>
      </c>
    </row>
    <row r="7772" spans="1:4" ht="70">
      <c r="A7772" s="715">
        <v>106663</v>
      </c>
      <c r="B7772" s="633" t="s">
        <v>43555</v>
      </c>
      <c r="C7772" s="715" t="s">
        <v>103</v>
      </c>
      <c r="D7772" s="716">
        <v>0</v>
      </c>
    </row>
    <row r="7773" spans="1:4" ht="70">
      <c r="A7773" s="715">
        <v>106662</v>
      </c>
      <c r="B7773" s="633" t="s">
        <v>43556</v>
      </c>
      <c r="C7773" s="715" t="s">
        <v>103</v>
      </c>
      <c r="D7773" s="716">
        <v>0</v>
      </c>
    </row>
    <row r="7774" spans="1:4" ht="70">
      <c r="A7774" s="715">
        <v>106664</v>
      </c>
      <c r="B7774" s="633" t="s">
        <v>43557</v>
      </c>
      <c r="C7774" s="715" t="s">
        <v>103</v>
      </c>
      <c r="D7774" s="716">
        <v>0</v>
      </c>
    </row>
    <row r="7775" spans="1:4" ht="56">
      <c r="A7775" s="715">
        <v>106602</v>
      </c>
      <c r="B7775" s="633" t="s">
        <v>43558</v>
      </c>
      <c r="C7775" s="715" t="s">
        <v>27520</v>
      </c>
      <c r="D7775" s="716">
        <v>0</v>
      </c>
    </row>
    <row r="7776" spans="1:4" ht="56">
      <c r="A7776" s="715">
        <v>106603</v>
      </c>
      <c r="B7776" s="633" t="s">
        <v>43559</v>
      </c>
      <c r="C7776" s="715" t="s">
        <v>27520</v>
      </c>
      <c r="D7776" s="716">
        <v>0</v>
      </c>
    </row>
    <row r="7777" spans="1:4" ht="56">
      <c r="A7777" s="715">
        <v>106604</v>
      </c>
      <c r="B7777" s="633" t="s">
        <v>43560</v>
      </c>
      <c r="C7777" s="715" t="s">
        <v>27520</v>
      </c>
      <c r="D7777" s="716">
        <v>0</v>
      </c>
    </row>
    <row r="7778" spans="1:4" ht="42">
      <c r="A7778" s="715">
        <v>106598</v>
      </c>
      <c r="B7778" s="633" t="s">
        <v>43561</v>
      </c>
      <c r="C7778" s="715" t="s">
        <v>27520</v>
      </c>
      <c r="D7778" s="716">
        <v>0</v>
      </c>
    </row>
    <row r="7779" spans="1:4" ht="42">
      <c r="A7779" s="715">
        <v>106599</v>
      </c>
      <c r="B7779" s="633" t="s">
        <v>43562</v>
      </c>
      <c r="C7779" s="715" t="s">
        <v>27520</v>
      </c>
      <c r="D7779" s="716">
        <v>0</v>
      </c>
    </row>
    <row r="7780" spans="1:4" ht="56">
      <c r="A7780" s="715">
        <v>106601</v>
      </c>
      <c r="B7780" s="633" t="s">
        <v>43563</v>
      </c>
      <c r="C7780" s="715" t="s">
        <v>27520</v>
      </c>
      <c r="D7780" s="716">
        <v>0</v>
      </c>
    </row>
    <row r="7781" spans="1:4" ht="42">
      <c r="A7781" s="715">
        <v>106600</v>
      </c>
      <c r="B7781" s="633" t="s">
        <v>43564</v>
      </c>
      <c r="C7781" s="715" t="s">
        <v>27520</v>
      </c>
      <c r="D7781" s="716">
        <v>0</v>
      </c>
    </row>
    <row r="7782" spans="1:4" ht="56">
      <c r="A7782" s="715">
        <v>106609</v>
      </c>
      <c r="B7782" s="633" t="s">
        <v>43565</v>
      </c>
      <c r="C7782" s="715" t="s">
        <v>27520</v>
      </c>
      <c r="D7782" s="716">
        <v>0</v>
      </c>
    </row>
    <row r="7783" spans="1:4" ht="56">
      <c r="A7783" s="715">
        <v>106610</v>
      </c>
      <c r="B7783" s="633" t="s">
        <v>43566</v>
      </c>
      <c r="C7783" s="715" t="s">
        <v>27520</v>
      </c>
      <c r="D7783" s="716">
        <v>0</v>
      </c>
    </row>
    <row r="7784" spans="1:4" ht="56">
      <c r="A7784" s="715">
        <v>106611</v>
      </c>
      <c r="B7784" s="633" t="s">
        <v>43567</v>
      </c>
      <c r="C7784" s="715" t="s">
        <v>27520</v>
      </c>
      <c r="D7784" s="716">
        <v>0</v>
      </c>
    </row>
    <row r="7785" spans="1:4" ht="42">
      <c r="A7785" s="715">
        <v>106605</v>
      </c>
      <c r="B7785" s="633" t="s">
        <v>43568</v>
      </c>
      <c r="C7785" s="715" t="s">
        <v>27520</v>
      </c>
      <c r="D7785" s="716">
        <v>0</v>
      </c>
    </row>
    <row r="7786" spans="1:4" ht="42">
      <c r="A7786" s="715">
        <v>106606</v>
      </c>
      <c r="B7786" s="633" t="s">
        <v>43569</v>
      </c>
      <c r="C7786" s="715" t="s">
        <v>27520</v>
      </c>
      <c r="D7786" s="716">
        <v>0</v>
      </c>
    </row>
    <row r="7787" spans="1:4" ht="56">
      <c r="A7787" s="715">
        <v>106608</v>
      </c>
      <c r="B7787" s="633" t="s">
        <v>43570</v>
      </c>
      <c r="C7787" s="715" t="s">
        <v>27520</v>
      </c>
      <c r="D7787" s="716">
        <v>0</v>
      </c>
    </row>
    <row r="7788" spans="1:4" ht="42">
      <c r="A7788" s="715">
        <v>106607</v>
      </c>
      <c r="B7788" s="633" t="s">
        <v>43571</v>
      </c>
      <c r="C7788" s="715" t="s">
        <v>27520</v>
      </c>
      <c r="D7788" s="716">
        <v>0</v>
      </c>
    </row>
    <row r="7789" spans="1:4" ht="56">
      <c r="A7789" s="715">
        <v>106581</v>
      </c>
      <c r="B7789" s="633" t="s">
        <v>43572</v>
      </c>
      <c r="C7789" s="715" t="s">
        <v>27520</v>
      </c>
      <c r="D7789" s="716">
        <v>0</v>
      </c>
    </row>
    <row r="7790" spans="1:4" ht="56">
      <c r="A7790" s="715">
        <v>106582</v>
      </c>
      <c r="B7790" s="633" t="s">
        <v>43573</v>
      </c>
      <c r="C7790" s="715" t="s">
        <v>27520</v>
      </c>
      <c r="D7790" s="716">
        <v>0</v>
      </c>
    </row>
    <row r="7791" spans="1:4" ht="42">
      <c r="A7791" s="715">
        <v>106583</v>
      </c>
      <c r="B7791" s="633" t="s">
        <v>43574</v>
      </c>
      <c r="C7791" s="715" t="s">
        <v>27520</v>
      </c>
      <c r="D7791" s="716">
        <v>0</v>
      </c>
    </row>
    <row r="7792" spans="1:4" ht="42">
      <c r="A7792" s="715">
        <v>106577</v>
      </c>
      <c r="B7792" s="633" t="s">
        <v>43575</v>
      </c>
      <c r="C7792" s="715" t="s">
        <v>27520</v>
      </c>
      <c r="D7792" s="716">
        <v>0</v>
      </c>
    </row>
    <row r="7793" spans="1:4" ht="42">
      <c r="A7793" s="715">
        <v>106578</v>
      </c>
      <c r="B7793" s="633" t="s">
        <v>43576</v>
      </c>
      <c r="C7793" s="715" t="s">
        <v>27520</v>
      </c>
      <c r="D7793" s="716">
        <v>0</v>
      </c>
    </row>
    <row r="7794" spans="1:4" ht="56">
      <c r="A7794" s="715">
        <v>106580</v>
      </c>
      <c r="B7794" s="633" t="s">
        <v>43577</v>
      </c>
      <c r="C7794" s="715" t="s">
        <v>27520</v>
      </c>
      <c r="D7794" s="716">
        <v>0</v>
      </c>
    </row>
    <row r="7795" spans="1:4" ht="42">
      <c r="A7795" s="715">
        <v>106579</v>
      </c>
      <c r="B7795" s="633" t="s">
        <v>43578</v>
      </c>
      <c r="C7795" s="715" t="s">
        <v>27520</v>
      </c>
      <c r="D7795" s="716">
        <v>0</v>
      </c>
    </row>
    <row r="7796" spans="1:4" ht="56">
      <c r="A7796" s="715">
        <v>106588</v>
      </c>
      <c r="B7796" s="633" t="s">
        <v>43579</v>
      </c>
      <c r="C7796" s="715" t="s">
        <v>27520</v>
      </c>
      <c r="D7796" s="716">
        <v>0</v>
      </c>
    </row>
    <row r="7797" spans="1:4" ht="56">
      <c r="A7797" s="715">
        <v>106589</v>
      </c>
      <c r="B7797" s="633" t="s">
        <v>43580</v>
      </c>
      <c r="C7797" s="715" t="s">
        <v>27520</v>
      </c>
      <c r="D7797" s="716">
        <v>0</v>
      </c>
    </row>
    <row r="7798" spans="1:4" ht="42">
      <c r="A7798" s="715">
        <v>106590</v>
      </c>
      <c r="B7798" s="633" t="s">
        <v>43581</v>
      </c>
      <c r="C7798" s="715" t="s">
        <v>27520</v>
      </c>
      <c r="D7798" s="716">
        <v>0</v>
      </c>
    </row>
    <row r="7799" spans="1:4" ht="42">
      <c r="A7799" s="715">
        <v>106584</v>
      </c>
      <c r="B7799" s="633" t="s">
        <v>43582</v>
      </c>
      <c r="C7799" s="715" t="s">
        <v>27520</v>
      </c>
      <c r="D7799" s="716">
        <v>0</v>
      </c>
    </row>
    <row r="7800" spans="1:4" ht="42">
      <c r="A7800" s="715">
        <v>106585</v>
      </c>
      <c r="B7800" s="633" t="s">
        <v>43583</v>
      </c>
      <c r="C7800" s="715" t="s">
        <v>27520</v>
      </c>
      <c r="D7800" s="716">
        <v>0</v>
      </c>
    </row>
    <row r="7801" spans="1:4" ht="56">
      <c r="A7801" s="715">
        <v>106587</v>
      </c>
      <c r="B7801" s="633" t="s">
        <v>43584</v>
      </c>
      <c r="C7801" s="715" t="s">
        <v>27520</v>
      </c>
      <c r="D7801" s="716">
        <v>0</v>
      </c>
    </row>
    <row r="7802" spans="1:4" ht="42">
      <c r="A7802" s="715">
        <v>106586</v>
      </c>
      <c r="B7802" s="633" t="s">
        <v>43585</v>
      </c>
      <c r="C7802" s="715" t="s">
        <v>27520</v>
      </c>
      <c r="D7802" s="716">
        <v>0</v>
      </c>
    </row>
    <row r="7803" spans="1:4" ht="56">
      <c r="A7803" s="715">
        <v>106595</v>
      </c>
      <c r="B7803" s="633" t="s">
        <v>43586</v>
      </c>
      <c r="C7803" s="715" t="s">
        <v>27520</v>
      </c>
      <c r="D7803" s="716">
        <v>0</v>
      </c>
    </row>
    <row r="7804" spans="1:4" ht="56">
      <c r="A7804" s="715">
        <v>106596</v>
      </c>
      <c r="B7804" s="633" t="s">
        <v>43587</v>
      </c>
      <c r="C7804" s="715" t="s">
        <v>27520</v>
      </c>
      <c r="D7804" s="716">
        <v>0</v>
      </c>
    </row>
    <row r="7805" spans="1:4" ht="42">
      <c r="A7805" s="715">
        <v>106597</v>
      </c>
      <c r="B7805" s="633" t="s">
        <v>43588</v>
      </c>
      <c r="C7805" s="715" t="s">
        <v>27520</v>
      </c>
      <c r="D7805" s="716">
        <v>0</v>
      </c>
    </row>
    <row r="7806" spans="1:4" ht="42">
      <c r="A7806" s="715">
        <v>106591</v>
      </c>
      <c r="B7806" s="633" t="s">
        <v>43589</v>
      </c>
      <c r="C7806" s="715" t="s">
        <v>27520</v>
      </c>
      <c r="D7806" s="716">
        <v>0</v>
      </c>
    </row>
    <row r="7807" spans="1:4" ht="42">
      <c r="A7807" s="715">
        <v>106592</v>
      </c>
      <c r="B7807" s="633" t="s">
        <v>43590</v>
      </c>
      <c r="C7807" s="715" t="s">
        <v>27520</v>
      </c>
      <c r="D7807" s="716">
        <v>0</v>
      </c>
    </row>
    <row r="7808" spans="1:4" ht="56">
      <c r="A7808" s="715">
        <v>106594</v>
      </c>
      <c r="B7808" s="633" t="s">
        <v>43591</v>
      </c>
      <c r="C7808" s="715" t="s">
        <v>27520</v>
      </c>
      <c r="D7808" s="716">
        <v>0</v>
      </c>
    </row>
    <row r="7809" spans="1:4" ht="42">
      <c r="A7809" s="715">
        <v>106593</v>
      </c>
      <c r="B7809" s="633" t="s">
        <v>43592</v>
      </c>
      <c r="C7809" s="715" t="s">
        <v>27520</v>
      </c>
      <c r="D7809" s="716">
        <v>0</v>
      </c>
    </row>
    <row r="7810" spans="1:4" ht="56">
      <c r="A7810" s="715">
        <v>106616</v>
      </c>
      <c r="B7810" s="633" t="s">
        <v>43593</v>
      </c>
      <c r="C7810" s="715" t="s">
        <v>27520</v>
      </c>
      <c r="D7810" s="716">
        <v>0</v>
      </c>
    </row>
    <row r="7811" spans="1:4" ht="56">
      <c r="A7811" s="715">
        <v>106617</v>
      </c>
      <c r="B7811" s="633" t="s">
        <v>43594</v>
      </c>
      <c r="C7811" s="715" t="s">
        <v>27520</v>
      </c>
      <c r="D7811" s="716">
        <v>0</v>
      </c>
    </row>
    <row r="7812" spans="1:4" ht="56">
      <c r="A7812" s="715">
        <v>106618</v>
      </c>
      <c r="B7812" s="633" t="s">
        <v>43595</v>
      </c>
      <c r="C7812" s="715" t="s">
        <v>27520</v>
      </c>
      <c r="D7812" s="716">
        <v>0</v>
      </c>
    </row>
    <row r="7813" spans="1:4" ht="42">
      <c r="A7813" s="715">
        <v>106612</v>
      </c>
      <c r="B7813" s="633" t="s">
        <v>43596</v>
      </c>
      <c r="C7813" s="715" t="s">
        <v>27520</v>
      </c>
      <c r="D7813" s="716">
        <v>0</v>
      </c>
    </row>
    <row r="7814" spans="1:4" ht="56">
      <c r="A7814" s="715">
        <v>106613</v>
      </c>
      <c r="B7814" s="633" t="s">
        <v>43597</v>
      </c>
      <c r="C7814" s="715" t="s">
        <v>27520</v>
      </c>
      <c r="D7814" s="716">
        <v>0</v>
      </c>
    </row>
    <row r="7815" spans="1:4" ht="56">
      <c r="A7815" s="715">
        <v>106615</v>
      </c>
      <c r="B7815" s="633" t="s">
        <v>43598</v>
      </c>
      <c r="C7815" s="715" t="s">
        <v>27520</v>
      </c>
      <c r="D7815" s="716">
        <v>0</v>
      </c>
    </row>
    <row r="7816" spans="1:4" ht="56">
      <c r="A7816" s="715">
        <v>106614</v>
      </c>
      <c r="B7816" s="633" t="s">
        <v>43599</v>
      </c>
      <c r="C7816" s="715" t="s">
        <v>27520</v>
      </c>
      <c r="D7816" s="716">
        <v>0</v>
      </c>
    </row>
    <row r="7817" spans="1:4" ht="56">
      <c r="A7817" s="715">
        <v>106623</v>
      </c>
      <c r="B7817" s="633" t="s">
        <v>43600</v>
      </c>
      <c r="C7817" s="715" t="s">
        <v>27520</v>
      </c>
      <c r="D7817" s="716">
        <v>0</v>
      </c>
    </row>
    <row r="7818" spans="1:4" ht="56">
      <c r="A7818" s="715">
        <v>106624</v>
      </c>
      <c r="B7818" s="633" t="s">
        <v>43601</v>
      </c>
      <c r="C7818" s="715" t="s">
        <v>27520</v>
      </c>
      <c r="D7818" s="716">
        <v>0</v>
      </c>
    </row>
    <row r="7819" spans="1:4" ht="56">
      <c r="A7819" s="715">
        <v>106625</v>
      </c>
      <c r="B7819" s="633" t="s">
        <v>43602</v>
      </c>
      <c r="C7819" s="715" t="s">
        <v>27520</v>
      </c>
      <c r="D7819" s="716">
        <v>0</v>
      </c>
    </row>
    <row r="7820" spans="1:4" ht="42">
      <c r="A7820" s="715">
        <v>106619</v>
      </c>
      <c r="B7820" s="633" t="s">
        <v>43603</v>
      </c>
      <c r="C7820" s="715" t="s">
        <v>27520</v>
      </c>
      <c r="D7820" s="716">
        <v>0</v>
      </c>
    </row>
    <row r="7821" spans="1:4" ht="42">
      <c r="A7821" s="715">
        <v>106620</v>
      </c>
      <c r="B7821" s="633" t="s">
        <v>43604</v>
      </c>
      <c r="C7821" s="715" t="s">
        <v>27520</v>
      </c>
      <c r="D7821" s="716">
        <v>0</v>
      </c>
    </row>
    <row r="7822" spans="1:4" ht="56">
      <c r="A7822" s="715">
        <v>106622</v>
      </c>
      <c r="B7822" s="633" t="s">
        <v>43605</v>
      </c>
      <c r="C7822" s="715" t="s">
        <v>27520</v>
      </c>
      <c r="D7822" s="716">
        <v>0</v>
      </c>
    </row>
    <row r="7823" spans="1:4" ht="56">
      <c r="A7823" s="715">
        <v>106621</v>
      </c>
      <c r="B7823" s="633" t="s">
        <v>43606</v>
      </c>
      <c r="C7823" s="715" t="s">
        <v>27520</v>
      </c>
      <c r="D7823" s="716">
        <v>0</v>
      </c>
    </row>
    <row r="7824" spans="1:4" ht="70">
      <c r="A7824" s="715">
        <v>103313</v>
      </c>
      <c r="B7824" s="633" t="s">
        <v>34036</v>
      </c>
      <c r="C7824" s="715" t="s">
        <v>103</v>
      </c>
      <c r="D7824" s="716">
        <v>0</v>
      </c>
    </row>
    <row r="7825" spans="1:4" ht="70">
      <c r="A7825" s="715">
        <v>103309</v>
      </c>
      <c r="B7825" s="633" t="s">
        <v>34037</v>
      </c>
      <c r="C7825" s="715" t="s">
        <v>103</v>
      </c>
      <c r="D7825" s="716">
        <v>0</v>
      </c>
    </row>
    <row r="7826" spans="1:4" ht="56">
      <c r="A7826" s="715">
        <v>103312</v>
      </c>
      <c r="B7826" s="633" t="s">
        <v>34038</v>
      </c>
      <c r="C7826" s="715" t="s">
        <v>103</v>
      </c>
      <c r="D7826" s="716">
        <v>0</v>
      </c>
    </row>
    <row r="7827" spans="1:4" ht="42">
      <c r="A7827" s="715">
        <v>103296</v>
      </c>
      <c r="B7827" s="633" t="s">
        <v>34039</v>
      </c>
      <c r="C7827" s="715" t="s">
        <v>103</v>
      </c>
      <c r="D7827" s="716">
        <v>0</v>
      </c>
    </row>
    <row r="7828" spans="1:4" ht="42">
      <c r="A7828" s="715">
        <v>103300</v>
      </c>
      <c r="B7828" s="633" t="s">
        <v>34040</v>
      </c>
      <c r="C7828" s="715" t="s">
        <v>103</v>
      </c>
      <c r="D7828" s="716">
        <v>0</v>
      </c>
    </row>
    <row r="7829" spans="1:4" ht="28">
      <c r="A7829" s="715">
        <v>103301</v>
      </c>
      <c r="B7829" s="633" t="s">
        <v>34041</v>
      </c>
      <c r="C7829" s="715" t="s">
        <v>103</v>
      </c>
      <c r="D7829" s="716">
        <v>0</v>
      </c>
    </row>
    <row r="7830" spans="1:4" ht="56">
      <c r="A7830" s="715">
        <v>103304</v>
      </c>
      <c r="B7830" s="633" t="s">
        <v>27541</v>
      </c>
      <c r="C7830" s="715" t="s">
        <v>103</v>
      </c>
      <c r="D7830" s="716">
        <v>1262.68</v>
      </c>
    </row>
    <row r="7831" spans="1:4" ht="70">
      <c r="A7831" s="715">
        <v>103305</v>
      </c>
      <c r="B7831" s="633" t="s">
        <v>34042</v>
      </c>
      <c r="C7831" s="715" t="s">
        <v>103</v>
      </c>
      <c r="D7831" s="716">
        <v>0</v>
      </c>
    </row>
    <row r="7832" spans="1:4" ht="56">
      <c r="A7832" s="715">
        <v>103294</v>
      </c>
      <c r="B7832" s="633" t="s">
        <v>34043</v>
      </c>
      <c r="C7832" s="715" t="s">
        <v>103</v>
      </c>
      <c r="D7832" s="716">
        <v>0</v>
      </c>
    </row>
    <row r="7833" spans="1:4" ht="42">
      <c r="A7833" s="715">
        <v>103298</v>
      </c>
      <c r="B7833" s="633" t="s">
        <v>34044</v>
      </c>
      <c r="C7833" s="715" t="s">
        <v>103</v>
      </c>
      <c r="D7833" s="716">
        <v>0</v>
      </c>
    </row>
    <row r="7834" spans="1:4" ht="56">
      <c r="A7834" s="715">
        <v>103293</v>
      </c>
      <c r="B7834" s="633" t="s">
        <v>34045</v>
      </c>
      <c r="C7834" s="715" t="s">
        <v>103</v>
      </c>
      <c r="D7834" s="716">
        <v>0</v>
      </c>
    </row>
    <row r="7835" spans="1:4" ht="42">
      <c r="A7835" s="715">
        <v>103297</v>
      </c>
      <c r="B7835" s="633" t="s">
        <v>34046</v>
      </c>
      <c r="C7835" s="715" t="s">
        <v>103</v>
      </c>
      <c r="D7835" s="716">
        <v>0</v>
      </c>
    </row>
    <row r="7836" spans="1:4" ht="56">
      <c r="A7836" s="715">
        <v>103311</v>
      </c>
      <c r="B7836" s="633" t="s">
        <v>34047</v>
      </c>
      <c r="C7836" s="715" t="s">
        <v>103</v>
      </c>
      <c r="D7836" s="716">
        <v>0</v>
      </c>
    </row>
    <row r="7837" spans="1:4" ht="70">
      <c r="A7837" s="715">
        <v>103306</v>
      </c>
      <c r="B7837" s="633" t="s">
        <v>34048</v>
      </c>
      <c r="C7837" s="715" t="s">
        <v>103</v>
      </c>
      <c r="D7837" s="716">
        <v>0</v>
      </c>
    </row>
    <row r="7838" spans="1:4" ht="70">
      <c r="A7838" s="715">
        <v>103308</v>
      </c>
      <c r="B7838" s="633" t="s">
        <v>34049</v>
      </c>
      <c r="C7838" s="715" t="s">
        <v>103</v>
      </c>
      <c r="D7838" s="716">
        <v>0</v>
      </c>
    </row>
    <row r="7839" spans="1:4" ht="56">
      <c r="A7839" s="715">
        <v>103295</v>
      </c>
      <c r="B7839" s="633" t="s">
        <v>34050</v>
      </c>
      <c r="C7839" s="715" t="s">
        <v>103</v>
      </c>
      <c r="D7839" s="716">
        <v>0</v>
      </c>
    </row>
    <row r="7840" spans="1:4" ht="56">
      <c r="A7840" s="715">
        <v>103299</v>
      </c>
      <c r="B7840" s="633" t="s">
        <v>34051</v>
      </c>
      <c r="C7840" s="715" t="s">
        <v>103</v>
      </c>
      <c r="D7840" s="716">
        <v>0</v>
      </c>
    </row>
    <row r="7841" spans="1:4" ht="42">
      <c r="A7841" s="715">
        <v>103302</v>
      </c>
      <c r="B7841" s="633" t="s">
        <v>34052</v>
      </c>
      <c r="C7841" s="715" t="s">
        <v>103</v>
      </c>
      <c r="D7841" s="716">
        <v>0</v>
      </c>
    </row>
    <row r="7842" spans="1:4" ht="70">
      <c r="A7842" s="715">
        <v>103307</v>
      </c>
      <c r="B7842" s="633" t="s">
        <v>27542</v>
      </c>
      <c r="C7842" s="715" t="s">
        <v>103</v>
      </c>
      <c r="D7842" s="716">
        <v>1367.51</v>
      </c>
    </row>
    <row r="7843" spans="1:4" ht="56">
      <c r="A7843" s="715">
        <v>103310</v>
      </c>
      <c r="B7843" s="633" t="s">
        <v>27543</v>
      </c>
      <c r="C7843" s="715" t="s">
        <v>103</v>
      </c>
      <c r="D7843" s="716">
        <v>1299.28</v>
      </c>
    </row>
    <row r="7844" spans="1:4" ht="28">
      <c r="A7844" s="715">
        <v>103303</v>
      </c>
      <c r="B7844" s="633" t="s">
        <v>34053</v>
      </c>
      <c r="C7844" s="715" t="s">
        <v>103</v>
      </c>
      <c r="D7844" s="716">
        <v>0</v>
      </c>
    </row>
    <row r="7845" spans="1:4" ht="56">
      <c r="A7845" s="715">
        <v>103314</v>
      </c>
      <c r="B7845" s="633" t="s">
        <v>27544</v>
      </c>
      <c r="C7845" s="715" t="s">
        <v>509</v>
      </c>
      <c r="D7845" s="716">
        <v>329.71</v>
      </c>
    </row>
    <row r="7846" spans="1:4" ht="56">
      <c r="A7846" s="715">
        <v>103315</v>
      </c>
      <c r="B7846" s="633" t="s">
        <v>27545</v>
      </c>
      <c r="C7846" s="715" t="s">
        <v>509</v>
      </c>
      <c r="D7846" s="716">
        <v>318.47000000000003</v>
      </c>
    </row>
    <row r="7847" spans="1:4" ht="56">
      <c r="A7847" s="715">
        <v>105188</v>
      </c>
      <c r="B7847" s="633" t="s">
        <v>29486</v>
      </c>
      <c r="C7847" s="715" t="s">
        <v>509</v>
      </c>
      <c r="D7847" s="716">
        <v>152.75</v>
      </c>
    </row>
    <row r="7848" spans="1:4" ht="56">
      <c r="A7848" s="715">
        <v>87841</v>
      </c>
      <c r="B7848" s="633" t="s">
        <v>29444</v>
      </c>
      <c r="C7848" s="715" t="s">
        <v>509</v>
      </c>
      <c r="D7848" s="716">
        <v>138.76</v>
      </c>
    </row>
    <row r="7849" spans="1:4" ht="56">
      <c r="A7849" s="715">
        <v>87853</v>
      </c>
      <c r="B7849" s="633" t="s">
        <v>29448</v>
      </c>
      <c r="C7849" s="715" t="s">
        <v>509</v>
      </c>
      <c r="D7849" s="716">
        <v>155.46</v>
      </c>
    </row>
    <row r="7850" spans="1:4" ht="70">
      <c r="A7850" s="715">
        <v>105187</v>
      </c>
      <c r="B7850" s="633" t="s">
        <v>29485</v>
      </c>
      <c r="C7850" s="715" t="s">
        <v>509</v>
      </c>
      <c r="D7850" s="716">
        <v>207.83</v>
      </c>
    </row>
    <row r="7851" spans="1:4" ht="70">
      <c r="A7851" s="715">
        <v>87840</v>
      </c>
      <c r="B7851" s="633" t="s">
        <v>29443</v>
      </c>
      <c r="C7851" s="715" t="s">
        <v>509</v>
      </c>
      <c r="D7851" s="716">
        <v>193.84</v>
      </c>
    </row>
    <row r="7852" spans="1:4" ht="70">
      <c r="A7852" s="715">
        <v>87852</v>
      </c>
      <c r="B7852" s="633" t="s">
        <v>29447</v>
      </c>
      <c r="C7852" s="715" t="s">
        <v>509</v>
      </c>
      <c r="D7852" s="716">
        <v>210.54</v>
      </c>
    </row>
    <row r="7853" spans="1:4" ht="56">
      <c r="A7853" s="715">
        <v>105186</v>
      </c>
      <c r="B7853" s="633" t="s">
        <v>29484</v>
      </c>
      <c r="C7853" s="715" t="s">
        <v>509</v>
      </c>
      <c r="D7853" s="716">
        <v>160.77000000000001</v>
      </c>
    </row>
    <row r="7854" spans="1:4" ht="56">
      <c r="A7854" s="715">
        <v>87839</v>
      </c>
      <c r="B7854" s="633" t="s">
        <v>29442</v>
      </c>
      <c r="C7854" s="715" t="s">
        <v>509</v>
      </c>
      <c r="D7854" s="716">
        <v>146.97</v>
      </c>
    </row>
    <row r="7855" spans="1:4" ht="56">
      <c r="A7855" s="715">
        <v>87851</v>
      </c>
      <c r="B7855" s="633" t="s">
        <v>29446</v>
      </c>
      <c r="C7855" s="715" t="s">
        <v>509</v>
      </c>
      <c r="D7855" s="716">
        <v>164.4</v>
      </c>
    </row>
    <row r="7856" spans="1:4" ht="56">
      <c r="A7856" s="715">
        <v>105185</v>
      </c>
      <c r="B7856" s="633" t="s">
        <v>29483</v>
      </c>
      <c r="C7856" s="715" t="s">
        <v>509</v>
      </c>
      <c r="D7856" s="716">
        <v>216.22</v>
      </c>
    </row>
    <row r="7857" spans="1:4" ht="56">
      <c r="A7857" s="715">
        <v>87838</v>
      </c>
      <c r="B7857" s="633" t="s">
        <v>29441</v>
      </c>
      <c r="C7857" s="715" t="s">
        <v>509</v>
      </c>
      <c r="D7857" s="716">
        <v>202.49</v>
      </c>
    </row>
    <row r="7858" spans="1:4" ht="56">
      <c r="A7858" s="715">
        <v>87850</v>
      </c>
      <c r="B7858" s="633" t="s">
        <v>29445</v>
      </c>
      <c r="C7858" s="715" t="s">
        <v>509</v>
      </c>
      <c r="D7858" s="716">
        <v>219.92</v>
      </c>
    </row>
    <row r="7859" spans="1:4" ht="14">
      <c r="A7859" s="715">
        <v>105110</v>
      </c>
      <c r="B7859" s="633" t="s">
        <v>29517</v>
      </c>
      <c r="C7859" s="715" t="s">
        <v>165</v>
      </c>
      <c r="D7859" s="716">
        <v>260.95</v>
      </c>
    </row>
    <row r="7860" spans="1:4" ht="14">
      <c r="A7860" s="715">
        <v>105105</v>
      </c>
      <c r="B7860" s="633" t="s">
        <v>29514</v>
      </c>
      <c r="C7860" s="715" t="s">
        <v>165</v>
      </c>
      <c r="D7860" s="716">
        <v>85.09</v>
      </c>
    </row>
    <row r="7861" spans="1:4" ht="28">
      <c r="A7861" s="715">
        <v>105103</v>
      </c>
      <c r="B7861" s="633" t="s">
        <v>29512</v>
      </c>
      <c r="C7861" s="715" t="s">
        <v>165</v>
      </c>
      <c r="D7861" s="716">
        <v>121.16</v>
      </c>
    </row>
    <row r="7862" spans="1:4" ht="14">
      <c r="A7862" s="715">
        <v>105112</v>
      </c>
      <c r="B7862" s="633" t="s">
        <v>29519</v>
      </c>
      <c r="C7862" s="715" t="s">
        <v>165</v>
      </c>
      <c r="D7862" s="716">
        <v>217.91</v>
      </c>
    </row>
    <row r="7863" spans="1:4" ht="42">
      <c r="A7863" s="715">
        <v>105109</v>
      </c>
      <c r="B7863" s="633" t="s">
        <v>34054</v>
      </c>
      <c r="C7863" s="715" t="s">
        <v>103</v>
      </c>
      <c r="D7863" s="716">
        <v>0</v>
      </c>
    </row>
    <row r="7864" spans="1:4" ht="28">
      <c r="A7864" s="715">
        <v>105108</v>
      </c>
      <c r="B7864" s="633" t="s">
        <v>34055</v>
      </c>
      <c r="C7864" s="715" t="s">
        <v>103</v>
      </c>
      <c r="D7864" s="716">
        <v>0</v>
      </c>
    </row>
    <row r="7865" spans="1:4" ht="28">
      <c r="A7865" s="715">
        <v>105104</v>
      </c>
      <c r="B7865" s="633" t="s">
        <v>29513</v>
      </c>
      <c r="C7865" s="715" t="s">
        <v>103</v>
      </c>
      <c r="D7865" s="716">
        <v>5568.91</v>
      </c>
    </row>
    <row r="7866" spans="1:4" ht="42">
      <c r="A7866" s="715">
        <v>105107</v>
      </c>
      <c r="B7866" s="633" t="s">
        <v>29516</v>
      </c>
      <c r="C7866" s="715" t="s">
        <v>103</v>
      </c>
      <c r="D7866" s="716">
        <v>4072.62</v>
      </c>
    </row>
    <row r="7867" spans="1:4" ht="42">
      <c r="A7867" s="715">
        <v>105106</v>
      </c>
      <c r="B7867" s="633" t="s">
        <v>29515</v>
      </c>
      <c r="C7867" s="715" t="s">
        <v>103</v>
      </c>
      <c r="D7867" s="716">
        <v>2758.13</v>
      </c>
    </row>
    <row r="7868" spans="1:4" ht="42">
      <c r="A7868" s="715">
        <v>105111</v>
      </c>
      <c r="B7868" s="633" t="s">
        <v>29518</v>
      </c>
      <c r="C7868" s="715" t="s">
        <v>103</v>
      </c>
      <c r="D7868" s="716">
        <v>19747.650000000001</v>
      </c>
    </row>
    <row r="7869" spans="1:4" ht="14">
      <c r="A7869" s="715">
        <v>98520</v>
      </c>
      <c r="B7869" s="633" t="s">
        <v>29986</v>
      </c>
      <c r="C7869" s="715" t="s">
        <v>509</v>
      </c>
      <c r="D7869" s="716">
        <v>6.98</v>
      </c>
    </row>
    <row r="7870" spans="1:4" ht="28">
      <c r="A7870" s="715">
        <v>98521</v>
      </c>
      <c r="B7870" s="633" t="s">
        <v>29987</v>
      </c>
      <c r="C7870" s="715" t="s">
        <v>509</v>
      </c>
      <c r="D7870" s="716">
        <v>0.46</v>
      </c>
    </row>
    <row r="7871" spans="1:4" ht="28">
      <c r="A7871" s="715">
        <v>105521</v>
      </c>
      <c r="B7871" s="633" t="s">
        <v>29988</v>
      </c>
      <c r="C7871" s="715" t="s">
        <v>509</v>
      </c>
      <c r="D7871" s="716">
        <v>4.8099999999999996</v>
      </c>
    </row>
    <row r="7872" spans="1:4" ht="14">
      <c r="A7872" s="715">
        <v>98509</v>
      </c>
      <c r="B7872" s="633" t="s">
        <v>40651</v>
      </c>
      <c r="C7872" s="715" t="s">
        <v>103</v>
      </c>
      <c r="D7872" s="716">
        <v>49.05</v>
      </c>
    </row>
    <row r="7873" spans="1:4" ht="56">
      <c r="A7873" s="715">
        <v>98507</v>
      </c>
      <c r="B7873" s="633" t="s">
        <v>34056</v>
      </c>
      <c r="C7873" s="715" t="s">
        <v>103</v>
      </c>
      <c r="D7873" s="716">
        <v>0</v>
      </c>
    </row>
    <row r="7874" spans="1:4" ht="42">
      <c r="A7874" s="715">
        <v>98508</v>
      </c>
      <c r="B7874" s="633" t="s">
        <v>34057</v>
      </c>
      <c r="C7874" s="715" t="s">
        <v>103</v>
      </c>
      <c r="D7874" s="716">
        <v>0</v>
      </c>
    </row>
    <row r="7875" spans="1:4" ht="42">
      <c r="A7875" s="715">
        <v>98506</v>
      </c>
      <c r="B7875" s="633" t="s">
        <v>34058</v>
      </c>
      <c r="C7875" s="715" t="s">
        <v>103</v>
      </c>
      <c r="D7875" s="716">
        <v>0</v>
      </c>
    </row>
    <row r="7876" spans="1:4" ht="14">
      <c r="A7876" s="715">
        <v>98505</v>
      </c>
      <c r="B7876" s="633" t="s">
        <v>29991</v>
      </c>
      <c r="C7876" s="715" t="s">
        <v>509</v>
      </c>
      <c r="D7876" s="716">
        <v>75.489999999999995</v>
      </c>
    </row>
    <row r="7877" spans="1:4" ht="14">
      <c r="A7877" s="715">
        <v>98504</v>
      </c>
      <c r="B7877" s="633" t="s">
        <v>29990</v>
      </c>
      <c r="C7877" s="715" t="s">
        <v>509</v>
      </c>
      <c r="D7877" s="716">
        <v>17.260000000000002</v>
      </c>
    </row>
    <row r="7878" spans="1:4" ht="28">
      <c r="A7878" s="715">
        <v>98503</v>
      </c>
      <c r="B7878" s="633" t="s">
        <v>29989</v>
      </c>
      <c r="C7878" s="715" t="s">
        <v>509</v>
      </c>
      <c r="D7878" s="716">
        <v>26.69</v>
      </c>
    </row>
    <row r="7879" spans="1:4" ht="28">
      <c r="A7879" s="715">
        <v>103946</v>
      </c>
      <c r="B7879" s="633" t="s">
        <v>29992</v>
      </c>
      <c r="C7879" s="715" t="s">
        <v>509</v>
      </c>
      <c r="D7879" s="716">
        <v>22.09</v>
      </c>
    </row>
    <row r="7880" spans="1:4" ht="28">
      <c r="A7880" s="715">
        <v>98517</v>
      </c>
      <c r="B7880" s="633" t="s">
        <v>34059</v>
      </c>
      <c r="C7880" s="715" t="s">
        <v>103</v>
      </c>
      <c r="D7880" s="716">
        <v>0</v>
      </c>
    </row>
    <row r="7881" spans="1:4" ht="28">
      <c r="A7881" s="715">
        <v>98518</v>
      </c>
      <c r="B7881" s="633" t="s">
        <v>34060</v>
      </c>
      <c r="C7881" s="715" t="s">
        <v>103</v>
      </c>
      <c r="D7881" s="716">
        <v>0</v>
      </c>
    </row>
    <row r="7882" spans="1:4" ht="28">
      <c r="A7882" s="715">
        <v>98516</v>
      </c>
      <c r="B7882" s="633" t="s">
        <v>29984</v>
      </c>
      <c r="C7882" s="715" t="s">
        <v>103</v>
      </c>
      <c r="D7882" s="716">
        <v>363.89</v>
      </c>
    </row>
    <row r="7883" spans="1:4" ht="42">
      <c r="A7883" s="715">
        <v>98514</v>
      </c>
      <c r="B7883" s="633" t="s">
        <v>34061</v>
      </c>
      <c r="C7883" s="715" t="s">
        <v>103</v>
      </c>
      <c r="D7883" s="716">
        <v>0</v>
      </c>
    </row>
    <row r="7884" spans="1:4" ht="28">
      <c r="A7884" s="715">
        <v>98515</v>
      </c>
      <c r="B7884" s="633" t="s">
        <v>34062</v>
      </c>
      <c r="C7884" s="715" t="s">
        <v>103</v>
      </c>
      <c r="D7884" s="716">
        <v>0</v>
      </c>
    </row>
    <row r="7885" spans="1:4" ht="28">
      <c r="A7885" s="715">
        <v>98513</v>
      </c>
      <c r="B7885" s="633" t="s">
        <v>34063</v>
      </c>
      <c r="C7885" s="715" t="s">
        <v>103</v>
      </c>
      <c r="D7885" s="716">
        <v>0</v>
      </c>
    </row>
    <row r="7886" spans="1:4" ht="42">
      <c r="A7886" s="715">
        <v>98511</v>
      </c>
      <c r="B7886" s="633" t="s">
        <v>29983</v>
      </c>
      <c r="C7886" s="715" t="s">
        <v>103</v>
      </c>
      <c r="D7886" s="716">
        <v>160.69</v>
      </c>
    </row>
    <row r="7887" spans="1:4" ht="28">
      <c r="A7887" s="715">
        <v>98512</v>
      </c>
      <c r="B7887" s="633" t="s">
        <v>34064</v>
      </c>
      <c r="C7887" s="715" t="s">
        <v>103</v>
      </c>
      <c r="D7887" s="716">
        <v>0</v>
      </c>
    </row>
    <row r="7888" spans="1:4" ht="28">
      <c r="A7888" s="715">
        <v>98510</v>
      </c>
      <c r="B7888" s="633" t="s">
        <v>29982</v>
      </c>
      <c r="C7888" s="715" t="s">
        <v>103</v>
      </c>
      <c r="D7888" s="716">
        <v>95.82</v>
      </c>
    </row>
    <row r="7889" spans="1:4" ht="28">
      <c r="A7889" s="715">
        <v>98519</v>
      </c>
      <c r="B7889" s="633" t="s">
        <v>29985</v>
      </c>
      <c r="C7889" s="715" t="s">
        <v>509</v>
      </c>
      <c r="D7889" s="716">
        <v>5.24</v>
      </c>
    </row>
    <row r="7890" spans="1:4" ht="42">
      <c r="A7890" s="715">
        <v>91599</v>
      </c>
      <c r="B7890" s="633" t="s">
        <v>30105</v>
      </c>
      <c r="C7890" s="715" t="s">
        <v>207</v>
      </c>
      <c r="D7890" s="716">
        <v>7.5</v>
      </c>
    </row>
    <row r="7891" spans="1:4" ht="42">
      <c r="A7891" s="715">
        <v>100065</v>
      </c>
      <c r="B7891" s="633" t="s">
        <v>34065</v>
      </c>
      <c r="C7891" s="715" t="s">
        <v>207</v>
      </c>
      <c r="D7891" s="716">
        <v>0</v>
      </c>
    </row>
    <row r="7892" spans="1:4" ht="42">
      <c r="A7892" s="715">
        <v>100069</v>
      </c>
      <c r="B7892" s="633" t="s">
        <v>34066</v>
      </c>
      <c r="C7892" s="715" t="s">
        <v>207</v>
      </c>
      <c r="D7892" s="716">
        <v>0</v>
      </c>
    </row>
    <row r="7893" spans="1:4" ht="42">
      <c r="A7893" s="715">
        <v>100063</v>
      </c>
      <c r="B7893" s="633" t="s">
        <v>34067</v>
      </c>
      <c r="C7893" s="715" t="s">
        <v>207</v>
      </c>
      <c r="D7893" s="716">
        <v>0</v>
      </c>
    </row>
    <row r="7894" spans="1:4" ht="42">
      <c r="A7894" s="715">
        <v>91597</v>
      </c>
      <c r="B7894" s="633" t="s">
        <v>30103</v>
      </c>
      <c r="C7894" s="715" t="s">
        <v>207</v>
      </c>
      <c r="D7894" s="716">
        <v>7.12</v>
      </c>
    </row>
    <row r="7895" spans="1:4" ht="42">
      <c r="A7895" s="715">
        <v>91598</v>
      </c>
      <c r="B7895" s="633" t="s">
        <v>30104</v>
      </c>
      <c r="C7895" s="715" t="s">
        <v>207</v>
      </c>
      <c r="D7895" s="716">
        <v>9.14</v>
      </c>
    </row>
    <row r="7896" spans="1:4" ht="42">
      <c r="A7896" s="715">
        <v>91596</v>
      </c>
      <c r="B7896" s="633" t="s">
        <v>30102</v>
      </c>
      <c r="C7896" s="715" t="s">
        <v>207</v>
      </c>
      <c r="D7896" s="716">
        <v>9.3699999999999992</v>
      </c>
    </row>
    <row r="7897" spans="1:4" ht="42">
      <c r="A7897" s="715">
        <v>100064</v>
      </c>
      <c r="B7897" s="633" t="s">
        <v>30111</v>
      </c>
      <c r="C7897" s="715" t="s">
        <v>207</v>
      </c>
      <c r="D7897" s="716">
        <v>9.2899999999999991</v>
      </c>
    </row>
    <row r="7898" spans="1:4" ht="42">
      <c r="A7898" s="715">
        <v>100066</v>
      </c>
      <c r="B7898" s="633" t="s">
        <v>30112</v>
      </c>
      <c r="C7898" s="715" t="s">
        <v>207</v>
      </c>
      <c r="D7898" s="716">
        <v>9.2799999999999994</v>
      </c>
    </row>
    <row r="7899" spans="1:4" ht="42">
      <c r="A7899" s="715">
        <v>91603</v>
      </c>
      <c r="B7899" s="633" t="s">
        <v>30109</v>
      </c>
      <c r="C7899" s="715" t="s">
        <v>207</v>
      </c>
      <c r="D7899" s="716">
        <v>8.34</v>
      </c>
    </row>
    <row r="7900" spans="1:4" ht="42">
      <c r="A7900" s="715">
        <v>100068</v>
      </c>
      <c r="B7900" s="633" t="s">
        <v>30114</v>
      </c>
      <c r="C7900" s="715" t="s">
        <v>207</v>
      </c>
      <c r="D7900" s="716">
        <v>7.13</v>
      </c>
    </row>
    <row r="7901" spans="1:4" ht="42">
      <c r="A7901" s="715">
        <v>100067</v>
      </c>
      <c r="B7901" s="633" t="s">
        <v>30113</v>
      </c>
      <c r="C7901" s="715" t="s">
        <v>207</v>
      </c>
      <c r="D7901" s="716">
        <v>10.9</v>
      </c>
    </row>
    <row r="7902" spans="1:4" ht="42">
      <c r="A7902" s="715">
        <v>91601</v>
      </c>
      <c r="B7902" s="633" t="s">
        <v>30107</v>
      </c>
      <c r="C7902" s="715" t="s">
        <v>207</v>
      </c>
      <c r="D7902" s="716">
        <v>10.81</v>
      </c>
    </row>
    <row r="7903" spans="1:4" ht="42">
      <c r="A7903" s="715">
        <v>91602</v>
      </c>
      <c r="B7903" s="633" t="s">
        <v>30108</v>
      </c>
      <c r="C7903" s="715" t="s">
        <v>207</v>
      </c>
      <c r="D7903" s="716">
        <v>9.66</v>
      </c>
    </row>
    <row r="7904" spans="1:4" ht="42">
      <c r="A7904" s="715">
        <v>91593</v>
      </c>
      <c r="B7904" s="633" t="s">
        <v>30099</v>
      </c>
      <c r="C7904" s="715" t="s">
        <v>207</v>
      </c>
      <c r="D7904" s="716">
        <v>9.4600000000000009</v>
      </c>
    </row>
    <row r="7905" spans="1:4" ht="42">
      <c r="A7905" s="715">
        <v>105814</v>
      </c>
      <c r="B7905" s="633" t="s">
        <v>30115</v>
      </c>
      <c r="C7905" s="715" t="s">
        <v>207</v>
      </c>
      <c r="D7905" s="716">
        <v>9.09</v>
      </c>
    </row>
    <row r="7906" spans="1:4" ht="56">
      <c r="A7906" s="715">
        <v>91594</v>
      </c>
      <c r="B7906" s="633" t="s">
        <v>30100</v>
      </c>
      <c r="C7906" s="715" t="s">
        <v>207</v>
      </c>
      <c r="D7906" s="716">
        <v>9.4700000000000006</v>
      </c>
    </row>
    <row r="7907" spans="1:4" ht="42">
      <c r="A7907" s="715">
        <v>91595</v>
      </c>
      <c r="B7907" s="633" t="s">
        <v>30101</v>
      </c>
      <c r="C7907" s="715" t="s">
        <v>207</v>
      </c>
      <c r="D7907" s="716">
        <v>9.82</v>
      </c>
    </row>
    <row r="7908" spans="1:4" ht="42">
      <c r="A7908" s="715">
        <v>105815</v>
      </c>
      <c r="B7908" s="633" t="s">
        <v>34068</v>
      </c>
      <c r="C7908" s="715" t="s">
        <v>207</v>
      </c>
      <c r="D7908" s="716">
        <v>0</v>
      </c>
    </row>
    <row r="7909" spans="1:4" ht="42">
      <c r="A7909" s="715">
        <v>91600</v>
      </c>
      <c r="B7909" s="633" t="s">
        <v>30106</v>
      </c>
      <c r="C7909" s="715" t="s">
        <v>207</v>
      </c>
      <c r="D7909" s="716">
        <v>10.93</v>
      </c>
    </row>
    <row r="7910" spans="1:4" ht="56">
      <c r="A7910" s="715">
        <v>99235</v>
      </c>
      <c r="B7910" s="633" t="s">
        <v>30116</v>
      </c>
      <c r="C7910" s="715" t="s">
        <v>121</v>
      </c>
      <c r="D7910" s="716">
        <v>632.99</v>
      </c>
    </row>
    <row r="7911" spans="1:4" ht="70">
      <c r="A7911" s="715">
        <v>105539</v>
      </c>
      <c r="B7911" s="633" t="s">
        <v>34069</v>
      </c>
      <c r="C7911" s="715" t="s">
        <v>121</v>
      </c>
      <c r="D7911" s="716">
        <v>0</v>
      </c>
    </row>
    <row r="7912" spans="1:4" ht="70">
      <c r="A7912" s="715">
        <v>99439</v>
      </c>
      <c r="B7912" s="633" t="s">
        <v>30125</v>
      </c>
      <c r="C7912" s="715" t="s">
        <v>121</v>
      </c>
      <c r="D7912" s="716">
        <v>701.06</v>
      </c>
    </row>
    <row r="7913" spans="1:4" ht="84">
      <c r="A7913" s="715">
        <v>105540</v>
      </c>
      <c r="B7913" s="633" t="s">
        <v>34070</v>
      </c>
      <c r="C7913" s="715" t="s">
        <v>121</v>
      </c>
      <c r="D7913" s="716">
        <v>0</v>
      </c>
    </row>
    <row r="7914" spans="1:4" ht="70">
      <c r="A7914" s="715">
        <v>103184</v>
      </c>
      <c r="B7914" s="633" t="s">
        <v>30127</v>
      </c>
      <c r="C7914" s="715" t="s">
        <v>121</v>
      </c>
      <c r="D7914" s="716">
        <v>660.26</v>
      </c>
    </row>
    <row r="7915" spans="1:4" ht="70">
      <c r="A7915" s="715">
        <v>103183</v>
      </c>
      <c r="B7915" s="633" t="s">
        <v>30126</v>
      </c>
      <c r="C7915" s="715" t="s">
        <v>121</v>
      </c>
      <c r="D7915" s="716">
        <v>796.97</v>
      </c>
    </row>
    <row r="7916" spans="1:4" ht="70">
      <c r="A7916" s="715">
        <v>99434</v>
      </c>
      <c r="B7916" s="633" t="s">
        <v>30120</v>
      </c>
      <c r="C7916" s="715" t="s">
        <v>121</v>
      </c>
      <c r="D7916" s="716">
        <v>714.09</v>
      </c>
    </row>
    <row r="7917" spans="1:4" ht="70">
      <c r="A7917" s="715">
        <v>99431</v>
      </c>
      <c r="B7917" s="633" t="s">
        <v>30117</v>
      </c>
      <c r="C7917" s="715" t="s">
        <v>121</v>
      </c>
      <c r="D7917" s="716">
        <v>709.25</v>
      </c>
    </row>
    <row r="7918" spans="1:4" ht="70">
      <c r="A7918" s="715">
        <v>99435</v>
      </c>
      <c r="B7918" s="633" t="s">
        <v>30121</v>
      </c>
      <c r="C7918" s="715" t="s">
        <v>121</v>
      </c>
      <c r="D7918" s="716">
        <v>696.26</v>
      </c>
    </row>
    <row r="7919" spans="1:4" ht="70">
      <c r="A7919" s="715">
        <v>99432</v>
      </c>
      <c r="B7919" s="633" t="s">
        <v>30118</v>
      </c>
      <c r="C7919" s="715" t="s">
        <v>121</v>
      </c>
      <c r="D7919" s="716">
        <v>692.8</v>
      </c>
    </row>
    <row r="7920" spans="1:4" ht="70">
      <c r="A7920" s="715">
        <v>99438</v>
      </c>
      <c r="B7920" s="633" t="s">
        <v>30124</v>
      </c>
      <c r="C7920" s="715" t="s">
        <v>121</v>
      </c>
      <c r="D7920" s="716">
        <v>683.66</v>
      </c>
    </row>
    <row r="7921" spans="1:4" ht="84">
      <c r="A7921" s="715">
        <v>105538</v>
      </c>
      <c r="B7921" s="633" t="s">
        <v>34071</v>
      </c>
      <c r="C7921" s="715" t="s">
        <v>121</v>
      </c>
      <c r="D7921" s="716">
        <v>0</v>
      </c>
    </row>
    <row r="7922" spans="1:4" ht="70">
      <c r="A7922" s="715">
        <v>99436</v>
      </c>
      <c r="B7922" s="633" t="s">
        <v>30122</v>
      </c>
      <c r="C7922" s="715" t="s">
        <v>121</v>
      </c>
      <c r="D7922" s="716">
        <v>784.22</v>
      </c>
    </row>
    <row r="7923" spans="1:4" ht="70">
      <c r="A7923" s="715">
        <v>99437</v>
      </c>
      <c r="B7923" s="633" t="s">
        <v>30123</v>
      </c>
      <c r="C7923" s="715" t="s">
        <v>121</v>
      </c>
      <c r="D7923" s="716">
        <v>674.67</v>
      </c>
    </row>
    <row r="7924" spans="1:4" ht="84">
      <c r="A7924" s="715">
        <v>105537</v>
      </c>
      <c r="B7924" s="633" t="s">
        <v>34072</v>
      </c>
      <c r="C7924" s="715" t="s">
        <v>121</v>
      </c>
      <c r="D7924" s="716">
        <v>0</v>
      </c>
    </row>
    <row r="7925" spans="1:4" ht="70">
      <c r="A7925" s="715">
        <v>99433</v>
      </c>
      <c r="B7925" s="633" t="s">
        <v>30119</v>
      </c>
      <c r="C7925" s="715" t="s">
        <v>121</v>
      </c>
      <c r="D7925" s="716">
        <v>756.67</v>
      </c>
    </row>
    <row r="7926" spans="1:4" ht="70">
      <c r="A7926" s="715">
        <v>104422</v>
      </c>
      <c r="B7926" s="633" t="s">
        <v>30400</v>
      </c>
      <c r="C7926" s="715" t="s">
        <v>509</v>
      </c>
      <c r="D7926" s="716">
        <v>11.9</v>
      </c>
    </row>
    <row r="7927" spans="1:4" ht="70">
      <c r="A7927" s="715">
        <v>105824</v>
      </c>
      <c r="B7927" s="633" t="s">
        <v>30411</v>
      </c>
      <c r="C7927" s="715" t="s">
        <v>509</v>
      </c>
      <c r="D7927" s="716">
        <v>14.66</v>
      </c>
    </row>
    <row r="7928" spans="1:4" ht="70">
      <c r="A7928" s="715">
        <v>105825</v>
      </c>
      <c r="B7928" s="633" t="s">
        <v>30412</v>
      </c>
      <c r="C7928" s="715" t="s">
        <v>509</v>
      </c>
      <c r="D7928" s="716">
        <v>8.24</v>
      </c>
    </row>
    <row r="7929" spans="1:4" ht="70">
      <c r="A7929" s="715">
        <v>104421</v>
      </c>
      <c r="B7929" s="633" t="s">
        <v>30399</v>
      </c>
      <c r="C7929" s="715" t="s">
        <v>509</v>
      </c>
      <c r="D7929" s="716">
        <v>18.66</v>
      </c>
    </row>
    <row r="7930" spans="1:4" ht="70">
      <c r="A7930" s="715">
        <v>105822</v>
      </c>
      <c r="B7930" s="633" t="s">
        <v>30409</v>
      </c>
      <c r="C7930" s="715" t="s">
        <v>509</v>
      </c>
      <c r="D7930" s="716">
        <v>21.42</v>
      </c>
    </row>
    <row r="7931" spans="1:4" ht="84">
      <c r="A7931" s="715">
        <v>105823</v>
      </c>
      <c r="B7931" s="633" t="s">
        <v>30410</v>
      </c>
      <c r="C7931" s="715" t="s">
        <v>509</v>
      </c>
      <c r="D7931" s="716">
        <v>15</v>
      </c>
    </row>
    <row r="7932" spans="1:4" ht="70">
      <c r="A7932" s="715">
        <v>104423</v>
      </c>
      <c r="B7932" s="633" t="s">
        <v>30401</v>
      </c>
      <c r="C7932" s="715" t="s">
        <v>509</v>
      </c>
      <c r="D7932" s="716">
        <v>16.649999999999999</v>
      </c>
    </row>
    <row r="7933" spans="1:4" ht="70">
      <c r="A7933" s="715">
        <v>105826</v>
      </c>
      <c r="B7933" s="633" t="s">
        <v>30413</v>
      </c>
      <c r="C7933" s="715" t="s">
        <v>509</v>
      </c>
      <c r="D7933" s="716">
        <v>19.41</v>
      </c>
    </row>
    <row r="7934" spans="1:4" ht="84">
      <c r="A7934" s="715">
        <v>105827</v>
      </c>
      <c r="B7934" s="633" t="s">
        <v>30414</v>
      </c>
      <c r="C7934" s="715" t="s">
        <v>509</v>
      </c>
      <c r="D7934" s="716">
        <v>12.99</v>
      </c>
    </row>
    <row r="7935" spans="1:4" ht="56">
      <c r="A7935" s="715">
        <v>104425</v>
      </c>
      <c r="B7935" s="633" t="s">
        <v>30402</v>
      </c>
      <c r="C7935" s="715" t="s">
        <v>509</v>
      </c>
      <c r="D7935" s="716">
        <v>9.85</v>
      </c>
    </row>
    <row r="7936" spans="1:4" ht="56">
      <c r="A7936" s="715">
        <v>105828</v>
      </c>
      <c r="B7936" s="633" t="s">
        <v>30415</v>
      </c>
      <c r="C7936" s="715" t="s">
        <v>509</v>
      </c>
      <c r="D7936" s="716">
        <v>12.61</v>
      </c>
    </row>
    <row r="7937" spans="1:4" ht="70">
      <c r="A7937" s="715">
        <v>105829</v>
      </c>
      <c r="B7937" s="633" t="s">
        <v>30416</v>
      </c>
      <c r="C7937" s="715" t="s">
        <v>509</v>
      </c>
      <c r="D7937" s="716">
        <v>6.19</v>
      </c>
    </row>
    <row r="7938" spans="1:4" ht="70">
      <c r="A7938" s="715">
        <v>91525</v>
      </c>
      <c r="B7938" s="633" t="s">
        <v>30390</v>
      </c>
      <c r="C7938" s="715" t="s">
        <v>509</v>
      </c>
      <c r="D7938" s="716">
        <v>8.49</v>
      </c>
    </row>
    <row r="7939" spans="1:4" ht="70">
      <c r="A7939" s="715">
        <v>105818</v>
      </c>
      <c r="B7939" s="633" t="s">
        <v>30405</v>
      </c>
      <c r="C7939" s="715" t="s">
        <v>509</v>
      </c>
      <c r="D7939" s="716">
        <v>12.93</v>
      </c>
    </row>
    <row r="7940" spans="1:4" ht="70">
      <c r="A7940" s="715">
        <v>105819</v>
      </c>
      <c r="B7940" s="633" t="s">
        <v>30406</v>
      </c>
      <c r="C7940" s="715" t="s">
        <v>509</v>
      </c>
      <c r="D7940" s="716">
        <v>6.55</v>
      </c>
    </row>
    <row r="7941" spans="1:4" ht="70">
      <c r="A7941" s="715">
        <v>104414</v>
      </c>
      <c r="B7941" s="633" t="s">
        <v>30393</v>
      </c>
      <c r="C7941" s="715" t="s">
        <v>509</v>
      </c>
      <c r="D7941" s="716">
        <v>7.43</v>
      </c>
    </row>
    <row r="7942" spans="1:4" ht="70">
      <c r="A7942" s="715">
        <v>105816</v>
      </c>
      <c r="B7942" s="633" t="s">
        <v>30403</v>
      </c>
      <c r="C7942" s="715" t="s">
        <v>509</v>
      </c>
      <c r="D7942" s="716">
        <v>11.87</v>
      </c>
    </row>
    <row r="7943" spans="1:4" ht="70">
      <c r="A7943" s="715">
        <v>105817</v>
      </c>
      <c r="B7943" s="633" t="s">
        <v>30404</v>
      </c>
      <c r="C7943" s="715" t="s">
        <v>509</v>
      </c>
      <c r="D7943" s="716">
        <v>5.49</v>
      </c>
    </row>
    <row r="7944" spans="1:4" ht="70">
      <c r="A7944" s="715">
        <v>104415</v>
      </c>
      <c r="B7944" s="633" t="s">
        <v>30394</v>
      </c>
      <c r="C7944" s="715" t="s">
        <v>509</v>
      </c>
      <c r="D7944" s="716">
        <v>14.06</v>
      </c>
    </row>
    <row r="7945" spans="1:4" ht="70">
      <c r="A7945" s="715">
        <v>105820</v>
      </c>
      <c r="B7945" s="633" t="s">
        <v>30407</v>
      </c>
      <c r="C7945" s="715" t="s">
        <v>509</v>
      </c>
      <c r="D7945" s="716">
        <v>18.5</v>
      </c>
    </row>
    <row r="7946" spans="1:4" ht="70">
      <c r="A7946" s="715">
        <v>105821</v>
      </c>
      <c r="B7946" s="633" t="s">
        <v>30408</v>
      </c>
      <c r="C7946" s="715" t="s">
        <v>509</v>
      </c>
      <c r="D7946" s="716">
        <v>12.12</v>
      </c>
    </row>
    <row r="7947" spans="1:4" ht="70">
      <c r="A7947" s="715">
        <v>104418</v>
      </c>
      <c r="B7947" s="633" t="s">
        <v>30397</v>
      </c>
      <c r="C7947" s="715" t="s">
        <v>509</v>
      </c>
      <c r="D7947" s="716">
        <v>3.36</v>
      </c>
    </row>
    <row r="7948" spans="1:4" ht="70">
      <c r="A7948" s="715">
        <v>91515</v>
      </c>
      <c r="B7948" s="633" t="s">
        <v>30386</v>
      </c>
      <c r="C7948" s="715" t="s">
        <v>509</v>
      </c>
      <c r="D7948" s="716">
        <v>6.17</v>
      </c>
    </row>
    <row r="7949" spans="1:4" ht="70">
      <c r="A7949" s="715">
        <v>104419</v>
      </c>
      <c r="B7949" s="633" t="s">
        <v>30398</v>
      </c>
      <c r="C7949" s="715" t="s">
        <v>509</v>
      </c>
      <c r="D7949" s="716">
        <v>5.35</v>
      </c>
    </row>
    <row r="7950" spans="1:4" ht="56">
      <c r="A7950" s="715">
        <v>91519</v>
      </c>
      <c r="B7950" s="633" t="s">
        <v>30387</v>
      </c>
      <c r="C7950" s="715" t="s">
        <v>509</v>
      </c>
      <c r="D7950" s="716">
        <v>2.56</v>
      </c>
    </row>
    <row r="7951" spans="1:4" ht="70">
      <c r="A7951" s="715">
        <v>91520</v>
      </c>
      <c r="B7951" s="633" t="s">
        <v>30388</v>
      </c>
      <c r="C7951" s="715" t="s">
        <v>509</v>
      </c>
      <c r="D7951" s="716">
        <v>2.6</v>
      </c>
    </row>
    <row r="7952" spans="1:4" ht="70">
      <c r="A7952" s="715">
        <v>104416</v>
      </c>
      <c r="B7952" s="633" t="s">
        <v>30395</v>
      </c>
      <c r="C7952" s="715" t="s">
        <v>509</v>
      </c>
      <c r="D7952" s="716">
        <v>2.15</v>
      </c>
    </row>
    <row r="7953" spans="1:4" ht="70">
      <c r="A7953" s="715">
        <v>104417</v>
      </c>
      <c r="B7953" s="633" t="s">
        <v>30396</v>
      </c>
      <c r="C7953" s="715" t="s">
        <v>509</v>
      </c>
      <c r="D7953" s="716">
        <v>4.87</v>
      </c>
    </row>
    <row r="7954" spans="1:4" ht="56">
      <c r="A7954" s="715">
        <v>91522</v>
      </c>
      <c r="B7954" s="633" t="s">
        <v>30389</v>
      </c>
      <c r="C7954" s="715" t="s">
        <v>509</v>
      </c>
      <c r="D7954" s="716">
        <v>4.38</v>
      </c>
    </row>
    <row r="7955" spans="1:4" ht="56">
      <c r="A7955" s="715">
        <v>104412</v>
      </c>
      <c r="B7955" s="633" t="s">
        <v>30391</v>
      </c>
      <c r="C7955" s="715" t="s">
        <v>509</v>
      </c>
      <c r="D7955" s="716">
        <v>3.92</v>
      </c>
    </row>
    <row r="7956" spans="1:4" ht="56">
      <c r="A7956" s="715">
        <v>104413</v>
      </c>
      <c r="B7956" s="633" t="s">
        <v>30392</v>
      </c>
      <c r="C7956" s="715" t="s">
        <v>509</v>
      </c>
      <c r="D7956" s="716">
        <v>6.69</v>
      </c>
    </row>
    <row r="7957" spans="1:4" ht="42">
      <c r="A7957" s="715">
        <v>102569</v>
      </c>
      <c r="B7957" s="633" t="s">
        <v>34073</v>
      </c>
      <c r="C7957" s="715" t="s">
        <v>509</v>
      </c>
      <c r="D7957" s="716">
        <v>0</v>
      </c>
    </row>
    <row r="7958" spans="1:4" ht="42">
      <c r="A7958" s="715">
        <v>102574</v>
      </c>
      <c r="B7958" s="633" t="s">
        <v>34074</v>
      </c>
      <c r="C7958" s="715" t="s">
        <v>509</v>
      </c>
      <c r="D7958" s="716">
        <v>0</v>
      </c>
    </row>
    <row r="7959" spans="1:4" ht="56">
      <c r="A7959" s="715">
        <v>102573</v>
      </c>
      <c r="B7959" s="633" t="s">
        <v>34075</v>
      </c>
      <c r="C7959" s="715" t="s">
        <v>509</v>
      </c>
      <c r="D7959" s="716">
        <v>0</v>
      </c>
    </row>
    <row r="7960" spans="1:4" ht="42">
      <c r="A7960" s="715">
        <v>102577</v>
      </c>
      <c r="B7960" s="633" t="s">
        <v>34076</v>
      </c>
      <c r="C7960" s="715" t="s">
        <v>509</v>
      </c>
      <c r="D7960" s="716">
        <v>0</v>
      </c>
    </row>
    <row r="7961" spans="1:4" ht="42">
      <c r="A7961" s="715">
        <v>102576</v>
      </c>
      <c r="B7961" s="633" t="s">
        <v>34077</v>
      </c>
      <c r="C7961" s="715" t="s">
        <v>509</v>
      </c>
      <c r="D7961" s="716">
        <v>0</v>
      </c>
    </row>
    <row r="7962" spans="1:4" ht="56">
      <c r="A7962" s="715">
        <v>103083</v>
      </c>
      <c r="B7962" s="633" t="s">
        <v>34078</v>
      </c>
      <c r="C7962" s="715" t="s">
        <v>509</v>
      </c>
      <c r="D7962" s="716">
        <v>0</v>
      </c>
    </row>
    <row r="7963" spans="1:4" ht="56">
      <c r="A7963" s="715">
        <v>103081</v>
      </c>
      <c r="B7963" s="633" t="s">
        <v>34079</v>
      </c>
      <c r="C7963" s="715" t="s">
        <v>509</v>
      </c>
      <c r="D7963" s="716">
        <v>0</v>
      </c>
    </row>
    <row r="7964" spans="1:4" ht="56">
      <c r="A7964" s="715">
        <v>103082</v>
      </c>
      <c r="B7964" s="633" t="s">
        <v>34080</v>
      </c>
      <c r="C7964" s="715" t="s">
        <v>509</v>
      </c>
      <c r="D7964" s="716">
        <v>0</v>
      </c>
    </row>
    <row r="7965" spans="1:4" ht="56">
      <c r="A7965" s="715">
        <v>103086</v>
      </c>
      <c r="B7965" s="633" t="s">
        <v>34081</v>
      </c>
      <c r="C7965" s="715" t="s">
        <v>509</v>
      </c>
      <c r="D7965" s="716">
        <v>0</v>
      </c>
    </row>
    <row r="7966" spans="1:4" ht="56">
      <c r="A7966" s="715">
        <v>103085</v>
      </c>
      <c r="B7966" s="633" t="s">
        <v>34082</v>
      </c>
      <c r="C7966" s="715" t="s">
        <v>509</v>
      </c>
      <c r="D7966" s="716">
        <v>0</v>
      </c>
    </row>
    <row r="7967" spans="1:4" ht="28">
      <c r="A7967" s="715">
        <v>104726</v>
      </c>
      <c r="B7967" s="633" t="s">
        <v>34083</v>
      </c>
      <c r="C7967" s="715" t="s">
        <v>509</v>
      </c>
      <c r="D7967" s="716">
        <v>0</v>
      </c>
    </row>
    <row r="7968" spans="1:4" ht="28">
      <c r="A7968" s="715">
        <v>104725</v>
      </c>
      <c r="B7968" s="633" t="s">
        <v>34084</v>
      </c>
      <c r="C7968" s="715" t="s">
        <v>509</v>
      </c>
      <c r="D7968" s="716">
        <v>0</v>
      </c>
    </row>
    <row r="7969" spans="1:4" ht="28">
      <c r="A7969" s="715">
        <v>96374</v>
      </c>
      <c r="B7969" s="633" t="s">
        <v>28391</v>
      </c>
      <c r="C7969" s="715" t="s">
        <v>165</v>
      </c>
      <c r="D7969" s="716">
        <v>36.93</v>
      </c>
    </row>
    <row r="7970" spans="1:4" ht="28">
      <c r="A7970" s="715">
        <v>96373</v>
      </c>
      <c r="B7970" s="633" t="s">
        <v>28390</v>
      </c>
      <c r="C7970" s="715" t="s">
        <v>165</v>
      </c>
      <c r="D7970" s="716">
        <v>10.58</v>
      </c>
    </row>
    <row r="7971" spans="1:4" ht="56">
      <c r="A7971" s="715">
        <v>96368</v>
      </c>
      <c r="B7971" s="633" t="s">
        <v>28386</v>
      </c>
      <c r="C7971" s="715" t="s">
        <v>509</v>
      </c>
      <c r="D7971" s="716">
        <v>170.27</v>
      </c>
    </row>
    <row r="7972" spans="1:4" ht="56">
      <c r="A7972" s="715">
        <v>96364</v>
      </c>
      <c r="B7972" s="633" t="s">
        <v>28383</v>
      </c>
      <c r="C7972" s="715" t="s">
        <v>509</v>
      </c>
      <c r="D7972" s="716">
        <v>143.38</v>
      </c>
    </row>
    <row r="7973" spans="1:4" ht="70">
      <c r="A7973" s="715">
        <v>96369</v>
      </c>
      <c r="B7973" s="633" t="s">
        <v>28387</v>
      </c>
      <c r="C7973" s="715" t="s">
        <v>509</v>
      </c>
      <c r="D7973" s="716">
        <v>191.32</v>
      </c>
    </row>
    <row r="7974" spans="1:4" ht="70">
      <c r="A7974" s="715">
        <v>104723</v>
      </c>
      <c r="B7974" s="633" t="s">
        <v>28397</v>
      </c>
      <c r="C7974" s="715" t="s">
        <v>509</v>
      </c>
      <c r="D7974" s="716">
        <v>229.24</v>
      </c>
    </row>
    <row r="7975" spans="1:4" ht="70">
      <c r="A7975" s="715">
        <v>96367</v>
      </c>
      <c r="B7975" s="633" t="s">
        <v>28385</v>
      </c>
      <c r="C7975" s="715" t="s">
        <v>509</v>
      </c>
      <c r="D7975" s="716">
        <v>157.49</v>
      </c>
    </row>
    <row r="7976" spans="1:4" ht="70">
      <c r="A7976" s="715">
        <v>104722</v>
      </c>
      <c r="B7976" s="633" t="s">
        <v>28396</v>
      </c>
      <c r="C7976" s="715" t="s">
        <v>509</v>
      </c>
      <c r="D7976" s="716">
        <v>180.11</v>
      </c>
    </row>
    <row r="7977" spans="1:4" ht="56">
      <c r="A7977" s="715">
        <v>96366</v>
      </c>
      <c r="B7977" s="633" t="s">
        <v>28384</v>
      </c>
      <c r="C7977" s="715" t="s">
        <v>509</v>
      </c>
      <c r="D7977" s="716">
        <v>145.35</v>
      </c>
    </row>
    <row r="7978" spans="1:4" ht="70">
      <c r="A7978" s="715">
        <v>96361</v>
      </c>
      <c r="B7978" s="633" t="s">
        <v>28380</v>
      </c>
      <c r="C7978" s="715" t="s">
        <v>509</v>
      </c>
      <c r="D7978" s="716">
        <v>135.97</v>
      </c>
    </row>
    <row r="7979" spans="1:4" ht="70">
      <c r="A7979" s="715">
        <v>104719</v>
      </c>
      <c r="B7979" s="633" t="s">
        <v>28393</v>
      </c>
      <c r="C7979" s="715" t="s">
        <v>509</v>
      </c>
      <c r="D7979" s="716">
        <v>170.66</v>
      </c>
    </row>
    <row r="7980" spans="1:4" ht="56">
      <c r="A7980" s="715">
        <v>96360</v>
      </c>
      <c r="B7980" s="633" t="s">
        <v>28379</v>
      </c>
      <c r="C7980" s="715" t="s">
        <v>509</v>
      </c>
      <c r="D7980" s="716">
        <v>116.53</v>
      </c>
    </row>
    <row r="7981" spans="1:4" ht="70">
      <c r="A7981" s="715">
        <v>96359</v>
      </c>
      <c r="B7981" s="633" t="s">
        <v>28378</v>
      </c>
      <c r="C7981" s="715" t="s">
        <v>509</v>
      </c>
      <c r="D7981" s="716">
        <v>102.18</v>
      </c>
    </row>
    <row r="7982" spans="1:4" ht="70">
      <c r="A7982" s="715">
        <v>104718</v>
      </c>
      <c r="B7982" s="633" t="s">
        <v>28392</v>
      </c>
      <c r="C7982" s="715" t="s">
        <v>509</v>
      </c>
      <c r="D7982" s="716">
        <v>121.53</v>
      </c>
    </row>
    <row r="7983" spans="1:4" ht="56">
      <c r="A7983" s="715">
        <v>96358</v>
      </c>
      <c r="B7983" s="633" t="s">
        <v>28377</v>
      </c>
      <c r="C7983" s="715" t="s">
        <v>509</v>
      </c>
      <c r="D7983" s="716">
        <v>91.65</v>
      </c>
    </row>
    <row r="7984" spans="1:4" ht="70">
      <c r="A7984" s="715">
        <v>96371</v>
      </c>
      <c r="B7984" s="633" t="s">
        <v>28389</v>
      </c>
      <c r="C7984" s="715" t="s">
        <v>509</v>
      </c>
      <c r="D7984" s="716">
        <v>69.58</v>
      </c>
    </row>
    <row r="7985" spans="1:4" ht="70">
      <c r="A7985" s="715">
        <v>104724</v>
      </c>
      <c r="B7985" s="633" t="s">
        <v>28398</v>
      </c>
      <c r="C7985" s="715" t="s">
        <v>509</v>
      </c>
      <c r="D7985" s="716">
        <v>87.31</v>
      </c>
    </row>
    <row r="7986" spans="1:4" ht="56">
      <c r="A7986" s="715">
        <v>96370</v>
      </c>
      <c r="B7986" s="633" t="s">
        <v>28388</v>
      </c>
      <c r="C7986" s="715" t="s">
        <v>509</v>
      </c>
      <c r="D7986" s="716">
        <v>59.9</v>
      </c>
    </row>
    <row r="7987" spans="1:4" ht="70">
      <c r="A7987" s="715">
        <v>96365</v>
      </c>
      <c r="B7987" s="633" t="s">
        <v>40652</v>
      </c>
      <c r="C7987" s="715" t="s">
        <v>509</v>
      </c>
      <c r="D7987" s="716">
        <v>163.65</v>
      </c>
    </row>
    <row r="7988" spans="1:4" ht="70">
      <c r="A7988" s="715">
        <v>104721</v>
      </c>
      <c r="B7988" s="633" t="s">
        <v>28395</v>
      </c>
      <c r="C7988" s="715" t="s">
        <v>509</v>
      </c>
      <c r="D7988" s="716">
        <v>199.94</v>
      </c>
    </row>
    <row r="7989" spans="1:4" ht="70">
      <c r="A7989" s="715">
        <v>96363</v>
      </c>
      <c r="B7989" s="633" t="s">
        <v>28382</v>
      </c>
      <c r="C7989" s="715" t="s">
        <v>509</v>
      </c>
      <c r="D7989" s="716">
        <v>129.83000000000001</v>
      </c>
    </row>
    <row r="7990" spans="1:4" ht="70">
      <c r="A7990" s="715">
        <v>104720</v>
      </c>
      <c r="B7990" s="633" t="s">
        <v>28394</v>
      </c>
      <c r="C7990" s="715" t="s">
        <v>509</v>
      </c>
      <c r="D7990" s="716">
        <v>150.81</v>
      </c>
    </row>
    <row r="7991" spans="1:4" ht="56">
      <c r="A7991" s="715">
        <v>96362</v>
      </c>
      <c r="B7991" s="633" t="s">
        <v>28381</v>
      </c>
      <c r="C7991" s="715" t="s">
        <v>509</v>
      </c>
      <c r="D7991" s="716">
        <v>118.48</v>
      </c>
    </row>
    <row r="7992" spans="1:4" ht="70">
      <c r="A7992" s="715">
        <v>103191</v>
      </c>
      <c r="B7992" s="633" t="s">
        <v>27530</v>
      </c>
      <c r="C7992" s="715" t="s">
        <v>103</v>
      </c>
      <c r="D7992" s="716">
        <v>2402.86</v>
      </c>
    </row>
    <row r="7993" spans="1:4" ht="70">
      <c r="A7993" s="715">
        <v>103206</v>
      </c>
      <c r="B7993" s="633" t="s">
        <v>27536</v>
      </c>
      <c r="C7993" s="715" t="s">
        <v>103</v>
      </c>
      <c r="D7993" s="716">
        <v>2426.5700000000002</v>
      </c>
    </row>
    <row r="7994" spans="1:4" ht="42">
      <c r="A7994" s="715">
        <v>103211</v>
      </c>
      <c r="B7994" s="633" t="s">
        <v>34085</v>
      </c>
      <c r="C7994" s="715" t="s">
        <v>103</v>
      </c>
      <c r="D7994" s="716">
        <v>0</v>
      </c>
    </row>
    <row r="7995" spans="1:4" ht="42">
      <c r="A7995" s="715">
        <v>103196</v>
      </c>
      <c r="B7995" s="633" t="s">
        <v>34086</v>
      </c>
      <c r="C7995" s="715" t="s">
        <v>103</v>
      </c>
      <c r="D7995" s="716">
        <v>0</v>
      </c>
    </row>
    <row r="7996" spans="1:4" ht="56">
      <c r="A7996" s="715">
        <v>103212</v>
      </c>
      <c r="B7996" s="633" t="s">
        <v>34087</v>
      </c>
      <c r="C7996" s="715" t="s">
        <v>103</v>
      </c>
      <c r="D7996" s="716">
        <v>0</v>
      </c>
    </row>
    <row r="7997" spans="1:4" ht="42">
      <c r="A7997" s="715">
        <v>103197</v>
      </c>
      <c r="B7997" s="633" t="s">
        <v>34088</v>
      </c>
      <c r="C7997" s="715" t="s">
        <v>103</v>
      </c>
      <c r="D7997" s="716">
        <v>0</v>
      </c>
    </row>
    <row r="7998" spans="1:4" ht="56">
      <c r="A7998" s="715">
        <v>103217</v>
      </c>
      <c r="B7998" s="633" t="s">
        <v>34089</v>
      </c>
      <c r="C7998" s="715" t="s">
        <v>103</v>
      </c>
      <c r="D7998" s="716">
        <v>0</v>
      </c>
    </row>
    <row r="7999" spans="1:4" ht="42">
      <c r="A7999" s="715">
        <v>103202</v>
      </c>
      <c r="B7999" s="633" t="s">
        <v>34090</v>
      </c>
      <c r="C7999" s="715" t="s">
        <v>103</v>
      </c>
      <c r="D7999" s="716">
        <v>0</v>
      </c>
    </row>
    <row r="8000" spans="1:4" ht="42">
      <c r="A8000" s="715">
        <v>103215</v>
      </c>
      <c r="B8000" s="633" t="s">
        <v>34091</v>
      </c>
      <c r="C8000" s="715" t="s">
        <v>103</v>
      </c>
      <c r="D8000" s="716">
        <v>0</v>
      </c>
    </row>
    <row r="8001" spans="1:4" ht="28">
      <c r="A8001" s="715">
        <v>103200</v>
      </c>
      <c r="B8001" s="633" t="s">
        <v>34092</v>
      </c>
      <c r="C8001" s="715" t="s">
        <v>103</v>
      </c>
      <c r="D8001" s="716">
        <v>0</v>
      </c>
    </row>
    <row r="8002" spans="1:4" ht="42">
      <c r="A8002" s="715">
        <v>103216</v>
      </c>
      <c r="B8002" s="633" t="s">
        <v>34093</v>
      </c>
      <c r="C8002" s="715" t="s">
        <v>103</v>
      </c>
      <c r="D8002" s="716">
        <v>0</v>
      </c>
    </row>
    <row r="8003" spans="1:4" ht="42">
      <c r="A8003" s="715">
        <v>103201</v>
      </c>
      <c r="B8003" s="633" t="s">
        <v>34094</v>
      </c>
      <c r="C8003" s="715" t="s">
        <v>103</v>
      </c>
      <c r="D8003" s="716">
        <v>0</v>
      </c>
    </row>
    <row r="8004" spans="1:4" ht="70">
      <c r="A8004" s="715">
        <v>103185</v>
      </c>
      <c r="B8004" s="633" t="s">
        <v>27524</v>
      </c>
      <c r="C8004" s="715" t="s">
        <v>103</v>
      </c>
      <c r="D8004" s="716">
        <v>6197.39</v>
      </c>
    </row>
    <row r="8005" spans="1:4" ht="42">
      <c r="A8005" s="715">
        <v>103218</v>
      </c>
      <c r="B8005" s="633" t="s">
        <v>34095</v>
      </c>
      <c r="C8005" s="715" t="s">
        <v>103</v>
      </c>
      <c r="D8005" s="716">
        <v>0</v>
      </c>
    </row>
    <row r="8006" spans="1:4" ht="42">
      <c r="A8006" s="715">
        <v>103203</v>
      </c>
      <c r="B8006" s="633" t="s">
        <v>34096</v>
      </c>
      <c r="C8006" s="715" t="s">
        <v>103</v>
      </c>
      <c r="D8006" s="716">
        <v>0</v>
      </c>
    </row>
    <row r="8007" spans="1:4" ht="42">
      <c r="A8007" s="715">
        <v>103213</v>
      </c>
      <c r="B8007" s="633" t="s">
        <v>34097</v>
      </c>
      <c r="C8007" s="715" t="s">
        <v>103</v>
      </c>
      <c r="D8007" s="716">
        <v>0</v>
      </c>
    </row>
    <row r="8008" spans="1:4" ht="28">
      <c r="A8008" s="715">
        <v>103198</v>
      </c>
      <c r="B8008" s="633" t="s">
        <v>34098</v>
      </c>
      <c r="C8008" s="715" t="s">
        <v>103</v>
      </c>
      <c r="D8008" s="716">
        <v>0</v>
      </c>
    </row>
    <row r="8009" spans="1:4" ht="42">
      <c r="A8009" s="715">
        <v>103214</v>
      </c>
      <c r="B8009" s="633" t="s">
        <v>34099</v>
      </c>
      <c r="C8009" s="715" t="s">
        <v>103</v>
      </c>
      <c r="D8009" s="716">
        <v>0</v>
      </c>
    </row>
    <row r="8010" spans="1:4" ht="42">
      <c r="A8010" s="715">
        <v>103199</v>
      </c>
      <c r="B8010" s="633" t="s">
        <v>34100</v>
      </c>
      <c r="C8010" s="715" t="s">
        <v>103</v>
      </c>
      <c r="D8010" s="716">
        <v>0</v>
      </c>
    </row>
    <row r="8011" spans="1:4" ht="42">
      <c r="A8011" s="715">
        <v>103219</v>
      </c>
      <c r="B8011" s="633" t="s">
        <v>34101</v>
      </c>
      <c r="C8011" s="715" t="s">
        <v>103</v>
      </c>
      <c r="D8011" s="716">
        <v>0</v>
      </c>
    </row>
    <row r="8012" spans="1:4" ht="28">
      <c r="A8012" s="715">
        <v>103204</v>
      </c>
      <c r="B8012" s="633" t="s">
        <v>34102</v>
      </c>
      <c r="C8012" s="715" t="s">
        <v>103</v>
      </c>
      <c r="D8012" s="716">
        <v>0</v>
      </c>
    </row>
    <row r="8013" spans="1:4" ht="84">
      <c r="A8013" s="715">
        <v>103186</v>
      </c>
      <c r="B8013" s="633" t="s">
        <v>27525</v>
      </c>
      <c r="C8013" s="715" t="s">
        <v>103</v>
      </c>
      <c r="D8013" s="716">
        <v>6504.8</v>
      </c>
    </row>
    <row r="8014" spans="1:4" ht="70">
      <c r="A8014" s="715">
        <v>103210</v>
      </c>
      <c r="B8014" s="633" t="s">
        <v>27540</v>
      </c>
      <c r="C8014" s="715" t="s">
        <v>103</v>
      </c>
      <c r="D8014" s="716">
        <v>2358.2399999999998</v>
      </c>
    </row>
    <row r="8015" spans="1:4" ht="70">
      <c r="A8015" s="715">
        <v>103195</v>
      </c>
      <c r="B8015" s="633" t="s">
        <v>27534</v>
      </c>
      <c r="C8015" s="715" t="s">
        <v>103</v>
      </c>
      <c r="D8015" s="716">
        <v>2218.37</v>
      </c>
    </row>
    <row r="8016" spans="1:4" ht="70">
      <c r="A8016" s="715">
        <v>103205</v>
      </c>
      <c r="B8016" s="633" t="s">
        <v>27535</v>
      </c>
      <c r="C8016" s="715" t="s">
        <v>103</v>
      </c>
      <c r="D8016" s="716">
        <v>4134.9399999999996</v>
      </c>
    </row>
    <row r="8017" spans="1:4" ht="70">
      <c r="A8017" s="715">
        <v>103190</v>
      </c>
      <c r="B8017" s="633" t="s">
        <v>27529</v>
      </c>
      <c r="C8017" s="715" t="s">
        <v>103</v>
      </c>
      <c r="D8017" s="716">
        <v>4111.22</v>
      </c>
    </row>
    <row r="8018" spans="1:4" ht="84">
      <c r="A8018" s="715">
        <v>103207</v>
      </c>
      <c r="B8018" s="633" t="s">
        <v>27537</v>
      </c>
      <c r="C8018" s="715" t="s">
        <v>103</v>
      </c>
      <c r="D8018" s="716">
        <v>2580.21</v>
      </c>
    </row>
    <row r="8019" spans="1:4" ht="70">
      <c r="A8019" s="715">
        <v>103192</v>
      </c>
      <c r="B8019" s="633" t="s">
        <v>27531</v>
      </c>
      <c r="C8019" s="715" t="s">
        <v>103</v>
      </c>
      <c r="D8019" s="716">
        <v>2556.5</v>
      </c>
    </row>
    <row r="8020" spans="1:4" ht="70">
      <c r="A8020" s="715">
        <v>103208</v>
      </c>
      <c r="B8020" s="633" t="s">
        <v>27538</v>
      </c>
      <c r="C8020" s="715" t="s">
        <v>103</v>
      </c>
      <c r="D8020" s="716">
        <v>1998.94</v>
      </c>
    </row>
    <row r="8021" spans="1:4" ht="70">
      <c r="A8021" s="715">
        <v>103193</v>
      </c>
      <c r="B8021" s="633" t="s">
        <v>27532</v>
      </c>
      <c r="C8021" s="715" t="s">
        <v>103</v>
      </c>
      <c r="D8021" s="716">
        <v>1975.23</v>
      </c>
    </row>
    <row r="8022" spans="1:4" ht="70">
      <c r="A8022" s="715">
        <v>103187</v>
      </c>
      <c r="B8022" s="633" t="s">
        <v>27526</v>
      </c>
      <c r="C8022" s="715" t="s">
        <v>103</v>
      </c>
      <c r="D8022" s="716">
        <v>4907.03</v>
      </c>
    </row>
    <row r="8023" spans="1:4" ht="70">
      <c r="A8023" s="715">
        <v>103188</v>
      </c>
      <c r="B8023" s="633" t="s">
        <v>27527</v>
      </c>
      <c r="C8023" s="715" t="s">
        <v>103</v>
      </c>
      <c r="D8023" s="716">
        <v>5266.03</v>
      </c>
    </row>
    <row r="8024" spans="1:4" ht="70">
      <c r="A8024" s="715">
        <v>103189</v>
      </c>
      <c r="B8024" s="633" t="s">
        <v>27528</v>
      </c>
      <c r="C8024" s="715" t="s">
        <v>103</v>
      </c>
      <c r="D8024" s="716">
        <v>2644.19</v>
      </c>
    </row>
    <row r="8025" spans="1:4" ht="70">
      <c r="A8025" s="715">
        <v>103209</v>
      </c>
      <c r="B8025" s="633" t="s">
        <v>27539</v>
      </c>
      <c r="C8025" s="715" t="s">
        <v>103</v>
      </c>
      <c r="D8025" s="716">
        <v>2856.91</v>
      </c>
    </row>
    <row r="8026" spans="1:4" ht="56">
      <c r="A8026" s="715">
        <v>103194</v>
      </c>
      <c r="B8026" s="633" t="s">
        <v>27533</v>
      </c>
      <c r="C8026" s="715" t="s">
        <v>103</v>
      </c>
      <c r="D8026" s="716">
        <v>2833.2</v>
      </c>
    </row>
    <row r="8027" spans="1:4" ht="42">
      <c r="A8027" s="715">
        <v>95001</v>
      </c>
      <c r="B8027" s="633" t="s">
        <v>34103</v>
      </c>
      <c r="C8027" s="715" t="s">
        <v>509</v>
      </c>
      <c r="D8027" s="716">
        <v>0</v>
      </c>
    </row>
    <row r="8028" spans="1:4" ht="56">
      <c r="A8028" s="715">
        <v>95000</v>
      </c>
      <c r="B8028" s="633" t="s">
        <v>34104</v>
      </c>
      <c r="C8028" s="715" t="s">
        <v>509</v>
      </c>
      <c r="D8028" s="716">
        <v>0</v>
      </c>
    </row>
    <row r="8029" spans="1:4" ht="42">
      <c r="A8029" s="715">
        <v>95005</v>
      </c>
      <c r="B8029" s="633" t="s">
        <v>34105</v>
      </c>
      <c r="C8029" s="715" t="s">
        <v>509</v>
      </c>
      <c r="D8029" s="716">
        <v>0</v>
      </c>
    </row>
    <row r="8030" spans="1:4" ht="56">
      <c r="A8030" s="715">
        <v>95004</v>
      </c>
      <c r="B8030" s="633" t="s">
        <v>34106</v>
      </c>
      <c r="C8030" s="715" t="s">
        <v>509</v>
      </c>
      <c r="D8030" s="716">
        <v>0</v>
      </c>
    </row>
    <row r="8031" spans="1:4" ht="42">
      <c r="A8031" s="715">
        <v>95003</v>
      </c>
      <c r="B8031" s="633" t="s">
        <v>34107</v>
      </c>
      <c r="C8031" s="715" t="s">
        <v>509</v>
      </c>
      <c r="D8031" s="716">
        <v>0</v>
      </c>
    </row>
    <row r="8032" spans="1:4" ht="56">
      <c r="A8032" s="715">
        <v>95002</v>
      </c>
      <c r="B8032" s="633" t="s">
        <v>34108</v>
      </c>
      <c r="C8032" s="715" t="s">
        <v>509</v>
      </c>
      <c r="D8032" s="716">
        <v>0</v>
      </c>
    </row>
    <row r="8033" spans="1:4" ht="42">
      <c r="A8033" s="715">
        <v>95007</v>
      </c>
      <c r="B8033" s="633" t="s">
        <v>34109</v>
      </c>
      <c r="C8033" s="715" t="s">
        <v>509</v>
      </c>
      <c r="D8033" s="716">
        <v>0</v>
      </c>
    </row>
    <row r="8034" spans="1:4" ht="56">
      <c r="A8034" s="715">
        <v>95006</v>
      </c>
      <c r="B8034" s="633" t="s">
        <v>34110</v>
      </c>
      <c r="C8034" s="715" t="s">
        <v>509</v>
      </c>
      <c r="D8034" s="716">
        <v>0</v>
      </c>
    </row>
    <row r="8035" spans="1:4" ht="56">
      <c r="A8035" s="715">
        <v>104313</v>
      </c>
      <c r="B8035" s="633" t="s">
        <v>34111</v>
      </c>
      <c r="C8035" s="715" t="s">
        <v>509</v>
      </c>
      <c r="D8035" s="716">
        <v>0</v>
      </c>
    </row>
    <row r="8036" spans="1:4" ht="56">
      <c r="A8036" s="715">
        <v>104312</v>
      </c>
      <c r="B8036" s="633" t="s">
        <v>34112</v>
      </c>
      <c r="C8036" s="715" t="s">
        <v>509</v>
      </c>
      <c r="D8036" s="716">
        <v>0</v>
      </c>
    </row>
    <row r="8037" spans="1:4" ht="56">
      <c r="A8037" s="715">
        <v>94992</v>
      </c>
      <c r="B8037" s="633" t="s">
        <v>27178</v>
      </c>
      <c r="C8037" s="715" t="s">
        <v>509</v>
      </c>
      <c r="D8037" s="716">
        <v>78.58</v>
      </c>
    </row>
    <row r="8038" spans="1:4" ht="56">
      <c r="A8038" s="715">
        <v>94994</v>
      </c>
      <c r="B8038" s="633" t="s">
        <v>27180</v>
      </c>
      <c r="C8038" s="715" t="s">
        <v>509</v>
      </c>
      <c r="D8038" s="716">
        <v>95.58</v>
      </c>
    </row>
    <row r="8039" spans="1:4" ht="56">
      <c r="A8039" s="715">
        <v>94990</v>
      </c>
      <c r="B8039" s="633" t="s">
        <v>27176</v>
      </c>
      <c r="C8039" s="715" t="s">
        <v>121</v>
      </c>
      <c r="D8039" s="716">
        <v>819.81</v>
      </c>
    </row>
    <row r="8040" spans="1:4" ht="56">
      <c r="A8040" s="715">
        <v>94991</v>
      </c>
      <c r="B8040" s="633" t="s">
        <v>27177</v>
      </c>
      <c r="C8040" s="715" t="s">
        <v>121</v>
      </c>
      <c r="D8040" s="716">
        <v>723.85</v>
      </c>
    </row>
    <row r="8041" spans="1:4" ht="56">
      <c r="A8041" s="715">
        <v>104626</v>
      </c>
      <c r="B8041" s="633" t="s">
        <v>27182</v>
      </c>
      <c r="C8041" s="715" t="s">
        <v>121</v>
      </c>
      <c r="D8041" s="716">
        <v>740.24</v>
      </c>
    </row>
    <row r="8042" spans="1:4" ht="56">
      <c r="A8042" s="715">
        <v>94993</v>
      </c>
      <c r="B8042" s="633" t="s">
        <v>27179</v>
      </c>
      <c r="C8042" s="715" t="s">
        <v>509</v>
      </c>
      <c r="D8042" s="716">
        <v>72.81</v>
      </c>
    </row>
    <row r="8043" spans="1:4" ht="56">
      <c r="A8043" s="715">
        <v>94995</v>
      </c>
      <c r="B8043" s="633" t="s">
        <v>27181</v>
      </c>
      <c r="C8043" s="715" t="s">
        <v>509</v>
      </c>
      <c r="D8043" s="716">
        <v>87.9</v>
      </c>
    </row>
    <row r="8044" spans="1:4" ht="42">
      <c r="A8044" s="715">
        <v>101169</v>
      </c>
      <c r="B8044" s="633" t="s">
        <v>27050</v>
      </c>
      <c r="C8044" s="715" t="s">
        <v>509</v>
      </c>
      <c r="D8044" s="716">
        <v>166.5</v>
      </c>
    </row>
    <row r="8045" spans="1:4" ht="42">
      <c r="A8045" s="715">
        <v>104383</v>
      </c>
      <c r="B8045" s="633" t="s">
        <v>34113</v>
      </c>
      <c r="C8045" s="715" t="s">
        <v>509</v>
      </c>
      <c r="D8045" s="716">
        <v>0</v>
      </c>
    </row>
    <row r="8046" spans="1:4" ht="28">
      <c r="A8046" s="715">
        <v>101167</v>
      </c>
      <c r="B8046" s="633" t="s">
        <v>27049</v>
      </c>
      <c r="C8046" s="715" t="s">
        <v>509</v>
      </c>
      <c r="D8046" s="716">
        <v>150.22999999999999</v>
      </c>
    </row>
    <row r="8047" spans="1:4" ht="42">
      <c r="A8047" s="715">
        <v>101172</v>
      </c>
      <c r="B8047" s="633" t="s">
        <v>27052</v>
      </c>
      <c r="C8047" s="715" t="s">
        <v>509</v>
      </c>
      <c r="D8047" s="716">
        <v>77.209999999999994</v>
      </c>
    </row>
    <row r="8048" spans="1:4" ht="42">
      <c r="A8048" s="715">
        <v>104384</v>
      </c>
      <c r="B8048" s="633" t="s">
        <v>34114</v>
      </c>
      <c r="C8048" s="715" t="s">
        <v>509</v>
      </c>
      <c r="D8048" s="716">
        <v>0</v>
      </c>
    </row>
    <row r="8049" spans="1:4" ht="28">
      <c r="A8049" s="715">
        <v>101170</v>
      </c>
      <c r="B8049" s="633" t="s">
        <v>27051</v>
      </c>
      <c r="C8049" s="715" t="s">
        <v>509</v>
      </c>
      <c r="D8049" s="716">
        <v>49.76</v>
      </c>
    </row>
    <row r="8050" spans="1:4" ht="42">
      <c r="A8050" s="715">
        <v>104438</v>
      </c>
      <c r="B8050" s="633" t="s">
        <v>34115</v>
      </c>
      <c r="C8050" s="715" t="s">
        <v>509</v>
      </c>
      <c r="D8050" s="716">
        <v>0</v>
      </c>
    </row>
    <row r="8051" spans="1:4" ht="42">
      <c r="A8051" s="715">
        <v>92402</v>
      </c>
      <c r="B8051" s="633" t="s">
        <v>27031</v>
      </c>
      <c r="C8051" s="715" t="s">
        <v>509</v>
      </c>
      <c r="D8051" s="716">
        <v>106.32</v>
      </c>
    </row>
    <row r="8052" spans="1:4" ht="42">
      <c r="A8052" s="715">
        <v>104429</v>
      </c>
      <c r="B8052" s="633" t="s">
        <v>34116</v>
      </c>
      <c r="C8052" s="715" t="s">
        <v>509</v>
      </c>
      <c r="D8052" s="716">
        <v>0</v>
      </c>
    </row>
    <row r="8053" spans="1:4" ht="42">
      <c r="A8053" s="715">
        <v>104426</v>
      </c>
      <c r="B8053" s="633" t="s">
        <v>34117</v>
      </c>
      <c r="C8053" s="715" t="s">
        <v>509</v>
      </c>
      <c r="D8053" s="716">
        <v>0</v>
      </c>
    </row>
    <row r="8054" spans="1:4" ht="56">
      <c r="A8054" s="715">
        <v>104436</v>
      </c>
      <c r="B8054" s="633" t="s">
        <v>34118</v>
      </c>
      <c r="C8054" s="715" t="s">
        <v>509</v>
      </c>
      <c r="D8054" s="716">
        <v>0</v>
      </c>
    </row>
    <row r="8055" spans="1:4" ht="56">
      <c r="A8055" s="715">
        <v>104434</v>
      </c>
      <c r="B8055" s="633" t="s">
        <v>34119</v>
      </c>
      <c r="C8055" s="715" t="s">
        <v>509</v>
      </c>
      <c r="D8055" s="716">
        <v>0</v>
      </c>
    </row>
    <row r="8056" spans="1:4" ht="42">
      <c r="A8056" s="715">
        <v>104432</v>
      </c>
      <c r="B8056" s="633" t="s">
        <v>40653</v>
      </c>
      <c r="C8056" s="715" t="s">
        <v>509</v>
      </c>
      <c r="D8056" s="716">
        <v>134.51</v>
      </c>
    </row>
    <row r="8057" spans="1:4" ht="42">
      <c r="A8057" s="715">
        <v>93679</v>
      </c>
      <c r="B8057" s="633" t="s">
        <v>27035</v>
      </c>
      <c r="C8057" s="715" t="s">
        <v>509</v>
      </c>
      <c r="D8057" s="716">
        <v>129.69</v>
      </c>
    </row>
    <row r="8058" spans="1:4" ht="42">
      <c r="A8058" s="715">
        <v>92396</v>
      </c>
      <c r="B8058" s="633" t="s">
        <v>27027</v>
      </c>
      <c r="C8058" s="715" t="s">
        <v>509</v>
      </c>
      <c r="D8058" s="716">
        <v>109.25</v>
      </c>
    </row>
    <row r="8059" spans="1:4" ht="56">
      <c r="A8059" s="715">
        <v>104439</v>
      </c>
      <c r="B8059" s="633" t="s">
        <v>34120</v>
      </c>
      <c r="C8059" s="715" t="s">
        <v>509</v>
      </c>
      <c r="D8059" s="716">
        <v>0</v>
      </c>
    </row>
    <row r="8060" spans="1:4" ht="56">
      <c r="A8060" s="715">
        <v>104440</v>
      </c>
      <c r="B8060" s="633" t="s">
        <v>34121</v>
      </c>
      <c r="C8060" s="715" t="s">
        <v>509</v>
      </c>
      <c r="D8060" s="716">
        <v>0</v>
      </c>
    </row>
    <row r="8061" spans="1:4" ht="42">
      <c r="A8061" s="715">
        <v>92406</v>
      </c>
      <c r="B8061" s="633" t="s">
        <v>27034</v>
      </c>
      <c r="C8061" s="715" t="s">
        <v>509</v>
      </c>
      <c r="D8061" s="716">
        <v>184.63</v>
      </c>
    </row>
    <row r="8062" spans="1:4" ht="42">
      <c r="A8062" s="715">
        <v>92403</v>
      </c>
      <c r="B8062" s="633" t="s">
        <v>27032</v>
      </c>
      <c r="C8062" s="715" t="s">
        <v>509</v>
      </c>
      <c r="D8062" s="716">
        <v>91.96</v>
      </c>
    </row>
    <row r="8063" spans="1:4" ht="42">
      <c r="A8063" s="715">
        <v>92404</v>
      </c>
      <c r="B8063" s="633" t="s">
        <v>27033</v>
      </c>
      <c r="C8063" s="715" t="s">
        <v>509</v>
      </c>
      <c r="D8063" s="716">
        <v>106.74</v>
      </c>
    </row>
    <row r="8064" spans="1:4" ht="56">
      <c r="A8064" s="715">
        <v>104430</v>
      </c>
      <c r="B8064" s="633" t="s">
        <v>34122</v>
      </c>
      <c r="C8064" s="715" t="s">
        <v>509</v>
      </c>
      <c r="D8064" s="716">
        <v>0</v>
      </c>
    </row>
    <row r="8065" spans="1:4" ht="56">
      <c r="A8065" s="715">
        <v>104431</v>
      </c>
      <c r="B8065" s="633" t="s">
        <v>34123</v>
      </c>
      <c r="C8065" s="715" t="s">
        <v>509</v>
      </c>
      <c r="D8065" s="716">
        <v>0</v>
      </c>
    </row>
    <row r="8066" spans="1:4" ht="56">
      <c r="A8066" s="715">
        <v>104427</v>
      </c>
      <c r="B8066" s="633" t="s">
        <v>34124</v>
      </c>
      <c r="C8066" s="715" t="s">
        <v>509</v>
      </c>
      <c r="D8066" s="716">
        <v>0</v>
      </c>
    </row>
    <row r="8067" spans="1:4" ht="56">
      <c r="A8067" s="715">
        <v>104428</v>
      </c>
      <c r="B8067" s="633" t="s">
        <v>34125</v>
      </c>
      <c r="C8067" s="715" t="s">
        <v>509</v>
      </c>
      <c r="D8067" s="716">
        <v>0</v>
      </c>
    </row>
    <row r="8068" spans="1:4" ht="42">
      <c r="A8068" s="715">
        <v>92391</v>
      </c>
      <c r="B8068" s="633" t="s">
        <v>27022</v>
      </c>
      <c r="C8068" s="715" t="s">
        <v>509</v>
      </c>
      <c r="D8068" s="716">
        <v>100.21</v>
      </c>
    </row>
    <row r="8069" spans="1:4" ht="42">
      <c r="A8069" s="715">
        <v>92392</v>
      </c>
      <c r="B8069" s="633" t="s">
        <v>27023</v>
      </c>
      <c r="C8069" s="715" t="s">
        <v>509</v>
      </c>
      <c r="D8069" s="716">
        <v>109.86</v>
      </c>
    </row>
    <row r="8070" spans="1:4" ht="56">
      <c r="A8070" s="715">
        <v>104437</v>
      </c>
      <c r="B8070" s="633" t="s">
        <v>34126</v>
      </c>
      <c r="C8070" s="715" t="s">
        <v>509</v>
      </c>
      <c r="D8070" s="716">
        <v>0</v>
      </c>
    </row>
    <row r="8071" spans="1:4" ht="56">
      <c r="A8071" s="715">
        <v>104435</v>
      </c>
      <c r="B8071" s="633" t="s">
        <v>34127</v>
      </c>
      <c r="C8071" s="715" t="s">
        <v>509</v>
      </c>
      <c r="D8071" s="716">
        <v>0</v>
      </c>
    </row>
    <row r="8072" spans="1:4" ht="42">
      <c r="A8072" s="715">
        <v>104433</v>
      </c>
      <c r="B8072" s="633" t="s">
        <v>40654</v>
      </c>
      <c r="C8072" s="715" t="s">
        <v>509</v>
      </c>
      <c r="D8072" s="716">
        <v>118.39</v>
      </c>
    </row>
    <row r="8073" spans="1:4" ht="42">
      <c r="A8073" s="715">
        <v>93680</v>
      </c>
      <c r="B8073" s="633" t="s">
        <v>27036</v>
      </c>
      <c r="C8073" s="715" t="s">
        <v>509</v>
      </c>
      <c r="D8073" s="716">
        <v>115.27</v>
      </c>
    </row>
    <row r="8074" spans="1:4" ht="42">
      <c r="A8074" s="715">
        <v>93681</v>
      </c>
      <c r="B8074" s="633" t="s">
        <v>27037</v>
      </c>
      <c r="C8074" s="715" t="s">
        <v>509</v>
      </c>
      <c r="D8074" s="716">
        <v>138.02000000000001</v>
      </c>
    </row>
    <row r="8075" spans="1:4" ht="42">
      <c r="A8075" s="715">
        <v>92397</v>
      </c>
      <c r="B8075" s="633" t="s">
        <v>27028</v>
      </c>
      <c r="C8075" s="715" t="s">
        <v>509</v>
      </c>
      <c r="D8075" s="716">
        <v>95.33</v>
      </c>
    </row>
    <row r="8076" spans="1:4" ht="42">
      <c r="A8076" s="715">
        <v>92398</v>
      </c>
      <c r="B8076" s="633" t="s">
        <v>27029</v>
      </c>
      <c r="C8076" s="715" t="s">
        <v>509</v>
      </c>
      <c r="D8076" s="716">
        <v>110.13</v>
      </c>
    </row>
    <row r="8077" spans="1:4" ht="42">
      <c r="A8077" s="715">
        <v>92400</v>
      </c>
      <c r="B8077" s="633" t="s">
        <v>27030</v>
      </c>
      <c r="C8077" s="715" t="s">
        <v>509</v>
      </c>
      <c r="D8077" s="716">
        <v>128.91</v>
      </c>
    </row>
    <row r="8078" spans="1:4" ht="42">
      <c r="A8078" s="715">
        <v>92395</v>
      </c>
      <c r="B8078" s="633" t="s">
        <v>27026</v>
      </c>
      <c r="C8078" s="715" t="s">
        <v>509</v>
      </c>
      <c r="D8078" s="716">
        <v>158.21</v>
      </c>
    </row>
    <row r="8079" spans="1:4" ht="42">
      <c r="A8079" s="715">
        <v>92393</v>
      </c>
      <c r="B8079" s="633" t="s">
        <v>27024</v>
      </c>
      <c r="C8079" s="715" t="s">
        <v>509</v>
      </c>
      <c r="D8079" s="716">
        <v>100.47</v>
      </c>
    </row>
    <row r="8080" spans="1:4" ht="42">
      <c r="A8080" s="715">
        <v>92394</v>
      </c>
      <c r="B8080" s="633" t="s">
        <v>27025</v>
      </c>
      <c r="C8080" s="715" t="s">
        <v>509</v>
      </c>
      <c r="D8080" s="716">
        <v>120.74</v>
      </c>
    </row>
    <row r="8081" spans="1:4" ht="42">
      <c r="A8081" s="715">
        <v>97115</v>
      </c>
      <c r="B8081" s="633" t="s">
        <v>27048</v>
      </c>
      <c r="C8081" s="715" t="s">
        <v>207</v>
      </c>
      <c r="D8081" s="716">
        <v>74.12</v>
      </c>
    </row>
    <row r="8082" spans="1:4" ht="28">
      <c r="A8082" s="715">
        <v>97113</v>
      </c>
      <c r="B8082" s="633" t="s">
        <v>27046</v>
      </c>
      <c r="C8082" s="715" t="s">
        <v>509</v>
      </c>
      <c r="D8082" s="716">
        <v>2.97</v>
      </c>
    </row>
    <row r="8083" spans="1:4" ht="42">
      <c r="A8083" s="715">
        <v>97120</v>
      </c>
      <c r="B8083" s="633" t="s">
        <v>29388</v>
      </c>
      <c r="C8083" s="715" t="s">
        <v>207</v>
      </c>
      <c r="D8083" s="716">
        <v>8.18</v>
      </c>
    </row>
    <row r="8084" spans="1:4" ht="42">
      <c r="A8084" s="715">
        <v>97116</v>
      </c>
      <c r="B8084" s="633" t="s">
        <v>29384</v>
      </c>
      <c r="C8084" s="715" t="s">
        <v>207</v>
      </c>
      <c r="D8084" s="716">
        <v>22.87</v>
      </c>
    </row>
    <row r="8085" spans="1:4" ht="42">
      <c r="A8085" s="715">
        <v>97117</v>
      </c>
      <c r="B8085" s="633" t="s">
        <v>29385</v>
      </c>
      <c r="C8085" s="715" t="s">
        <v>207</v>
      </c>
      <c r="D8085" s="716">
        <v>18.7</v>
      </c>
    </row>
    <row r="8086" spans="1:4" ht="42">
      <c r="A8086" s="715">
        <v>97118</v>
      </c>
      <c r="B8086" s="633" t="s">
        <v>29386</v>
      </c>
      <c r="C8086" s="715" t="s">
        <v>207</v>
      </c>
      <c r="D8086" s="716">
        <v>14.85</v>
      </c>
    </row>
    <row r="8087" spans="1:4" ht="42">
      <c r="A8087" s="715">
        <v>97119</v>
      </c>
      <c r="B8087" s="633" t="s">
        <v>29387</v>
      </c>
      <c r="C8087" s="715" t="s">
        <v>207</v>
      </c>
      <c r="D8087" s="716">
        <v>12.74</v>
      </c>
    </row>
    <row r="8088" spans="1:4" ht="28">
      <c r="A8088" s="715">
        <v>97114</v>
      </c>
      <c r="B8088" s="633" t="s">
        <v>27047</v>
      </c>
      <c r="C8088" s="715" t="s">
        <v>165</v>
      </c>
      <c r="D8088" s="716">
        <v>0.51</v>
      </c>
    </row>
    <row r="8089" spans="1:4" ht="42">
      <c r="A8089" s="715">
        <v>97111</v>
      </c>
      <c r="B8089" s="633" t="s">
        <v>27044</v>
      </c>
      <c r="C8089" s="715" t="s">
        <v>509</v>
      </c>
      <c r="D8089" s="716">
        <v>201.24</v>
      </c>
    </row>
    <row r="8090" spans="1:4" ht="42">
      <c r="A8090" s="715">
        <v>97112</v>
      </c>
      <c r="B8090" s="633" t="s">
        <v>27045</v>
      </c>
      <c r="C8090" s="715" t="s">
        <v>509</v>
      </c>
      <c r="D8090" s="716">
        <v>209.68</v>
      </c>
    </row>
    <row r="8091" spans="1:4" ht="42">
      <c r="A8091" s="715">
        <v>103904</v>
      </c>
      <c r="B8091" s="633" t="s">
        <v>27053</v>
      </c>
      <c r="C8091" s="715" t="s">
        <v>509</v>
      </c>
      <c r="D8091" s="716">
        <v>129.05000000000001</v>
      </c>
    </row>
    <row r="8092" spans="1:4" ht="42">
      <c r="A8092" s="715">
        <v>103905</v>
      </c>
      <c r="B8092" s="633" t="s">
        <v>27054</v>
      </c>
      <c r="C8092" s="715" t="s">
        <v>509</v>
      </c>
      <c r="D8092" s="716">
        <v>136.22999999999999</v>
      </c>
    </row>
    <row r="8093" spans="1:4" ht="42">
      <c r="A8093" s="715">
        <v>103907</v>
      </c>
      <c r="B8093" s="633" t="s">
        <v>27056</v>
      </c>
      <c r="C8093" s="715" t="s">
        <v>509</v>
      </c>
      <c r="D8093" s="716">
        <v>142.80000000000001</v>
      </c>
    </row>
    <row r="8094" spans="1:4" ht="42">
      <c r="A8094" s="715">
        <v>103911</v>
      </c>
      <c r="B8094" s="633" t="s">
        <v>27059</v>
      </c>
      <c r="C8094" s="715" t="s">
        <v>509</v>
      </c>
      <c r="D8094" s="716">
        <v>206.37</v>
      </c>
    </row>
    <row r="8095" spans="1:4" ht="42">
      <c r="A8095" s="715">
        <v>97104</v>
      </c>
      <c r="B8095" s="633" t="s">
        <v>27038</v>
      </c>
      <c r="C8095" s="715" t="s">
        <v>509</v>
      </c>
      <c r="D8095" s="716">
        <v>132.61000000000001</v>
      </c>
    </row>
    <row r="8096" spans="1:4" ht="42">
      <c r="A8096" s="715">
        <v>103906</v>
      </c>
      <c r="B8096" s="633" t="s">
        <v>27055</v>
      </c>
      <c r="C8096" s="715" t="s">
        <v>509</v>
      </c>
      <c r="D8096" s="716">
        <v>171.77</v>
      </c>
    </row>
    <row r="8097" spans="1:4" ht="42">
      <c r="A8097" s="715">
        <v>97105</v>
      </c>
      <c r="B8097" s="633" t="s">
        <v>27039</v>
      </c>
      <c r="C8097" s="715" t="s">
        <v>509</v>
      </c>
      <c r="D8097" s="716">
        <v>149.78</v>
      </c>
    </row>
    <row r="8098" spans="1:4" ht="42">
      <c r="A8098" s="715">
        <v>97106</v>
      </c>
      <c r="B8098" s="633" t="s">
        <v>27040</v>
      </c>
      <c r="C8098" s="715" t="s">
        <v>509</v>
      </c>
      <c r="D8098" s="716">
        <v>165.91</v>
      </c>
    </row>
    <row r="8099" spans="1:4" ht="42">
      <c r="A8099" s="715">
        <v>97107</v>
      </c>
      <c r="B8099" s="633" t="s">
        <v>27041</v>
      </c>
      <c r="C8099" s="715" t="s">
        <v>509</v>
      </c>
      <c r="D8099" s="716">
        <v>188.16</v>
      </c>
    </row>
    <row r="8100" spans="1:4" ht="42">
      <c r="A8100" s="715">
        <v>97108</v>
      </c>
      <c r="B8100" s="633" t="s">
        <v>27042</v>
      </c>
      <c r="C8100" s="715" t="s">
        <v>509</v>
      </c>
      <c r="D8100" s="716">
        <v>212.3</v>
      </c>
    </row>
    <row r="8101" spans="1:4" ht="42">
      <c r="A8101" s="715">
        <v>97109</v>
      </c>
      <c r="B8101" s="633" t="s">
        <v>27043</v>
      </c>
      <c r="C8101" s="715" t="s">
        <v>509</v>
      </c>
      <c r="D8101" s="716">
        <v>233.89</v>
      </c>
    </row>
    <row r="8102" spans="1:4" ht="42">
      <c r="A8102" s="715">
        <v>103913</v>
      </c>
      <c r="B8102" s="633" t="s">
        <v>27061</v>
      </c>
      <c r="C8102" s="715" t="s">
        <v>509</v>
      </c>
      <c r="D8102" s="716">
        <v>117.95</v>
      </c>
    </row>
    <row r="8103" spans="1:4" ht="42">
      <c r="A8103" s="715">
        <v>103914</v>
      </c>
      <c r="B8103" s="633" t="s">
        <v>27062</v>
      </c>
      <c r="C8103" s="715" t="s">
        <v>509</v>
      </c>
      <c r="D8103" s="716">
        <v>136.62</v>
      </c>
    </row>
    <row r="8104" spans="1:4" ht="42">
      <c r="A8104" s="715">
        <v>103915</v>
      </c>
      <c r="B8104" s="633" t="s">
        <v>27063</v>
      </c>
      <c r="C8104" s="715" t="s">
        <v>509</v>
      </c>
      <c r="D8104" s="716">
        <v>148.44</v>
      </c>
    </row>
    <row r="8105" spans="1:4" ht="42">
      <c r="A8105" s="715">
        <v>103916</v>
      </c>
      <c r="B8105" s="633" t="s">
        <v>27064</v>
      </c>
      <c r="C8105" s="715" t="s">
        <v>509</v>
      </c>
      <c r="D8105" s="716">
        <v>170.21</v>
      </c>
    </row>
    <row r="8106" spans="1:4" ht="42">
      <c r="A8106" s="715">
        <v>103917</v>
      </c>
      <c r="B8106" s="633" t="s">
        <v>27065</v>
      </c>
      <c r="C8106" s="715" t="s">
        <v>509</v>
      </c>
      <c r="D8106" s="716">
        <v>194.32</v>
      </c>
    </row>
    <row r="8107" spans="1:4" ht="42">
      <c r="A8107" s="715">
        <v>103918</v>
      </c>
      <c r="B8107" s="633" t="s">
        <v>27066</v>
      </c>
      <c r="C8107" s="715" t="s">
        <v>509</v>
      </c>
      <c r="D8107" s="716">
        <v>206.18</v>
      </c>
    </row>
    <row r="8108" spans="1:4" ht="42">
      <c r="A8108" s="715">
        <v>103919</v>
      </c>
      <c r="B8108" s="633" t="s">
        <v>34128</v>
      </c>
      <c r="C8108" s="715" t="s">
        <v>509</v>
      </c>
      <c r="D8108" s="716">
        <v>0</v>
      </c>
    </row>
    <row r="8109" spans="1:4" ht="42">
      <c r="A8109" s="715">
        <v>103920</v>
      </c>
      <c r="B8109" s="633" t="s">
        <v>34129</v>
      </c>
      <c r="C8109" s="715" t="s">
        <v>509</v>
      </c>
      <c r="D8109" s="716">
        <v>0</v>
      </c>
    </row>
    <row r="8110" spans="1:4" ht="42">
      <c r="A8110" s="715">
        <v>103921</v>
      </c>
      <c r="B8110" s="633" t="s">
        <v>34130</v>
      </c>
      <c r="C8110" s="715" t="s">
        <v>509</v>
      </c>
      <c r="D8110" s="716">
        <v>0</v>
      </c>
    </row>
    <row r="8111" spans="1:4" ht="42">
      <c r="A8111" s="715">
        <v>103922</v>
      </c>
      <c r="B8111" s="633" t="s">
        <v>34131</v>
      </c>
      <c r="C8111" s="715" t="s">
        <v>509</v>
      </c>
      <c r="D8111" s="716">
        <v>0</v>
      </c>
    </row>
    <row r="8112" spans="1:4" ht="42">
      <c r="A8112" s="715">
        <v>103923</v>
      </c>
      <c r="B8112" s="633" t="s">
        <v>34132</v>
      </c>
      <c r="C8112" s="715" t="s">
        <v>509</v>
      </c>
      <c r="D8112" s="716">
        <v>0</v>
      </c>
    </row>
    <row r="8113" spans="1:4" ht="28">
      <c r="A8113" s="715">
        <v>103908</v>
      </c>
      <c r="B8113" s="633" t="s">
        <v>27057</v>
      </c>
      <c r="C8113" s="715" t="s">
        <v>509</v>
      </c>
      <c r="D8113" s="716">
        <v>161.16999999999999</v>
      </c>
    </row>
    <row r="8114" spans="1:4" ht="28">
      <c r="A8114" s="715">
        <v>103909</v>
      </c>
      <c r="B8114" s="633" t="s">
        <v>27058</v>
      </c>
      <c r="C8114" s="715" t="s">
        <v>509</v>
      </c>
      <c r="D8114" s="716">
        <v>182.82</v>
      </c>
    </row>
    <row r="8115" spans="1:4" ht="28">
      <c r="A8115" s="715">
        <v>103912</v>
      </c>
      <c r="B8115" s="633" t="s">
        <v>27060</v>
      </c>
      <c r="C8115" s="715" t="s">
        <v>509</v>
      </c>
      <c r="D8115" s="716">
        <v>227.37</v>
      </c>
    </row>
    <row r="8116" spans="1:4" ht="28">
      <c r="A8116" s="715">
        <v>101979</v>
      </c>
      <c r="B8116" s="633" t="s">
        <v>27381</v>
      </c>
      <c r="C8116" s="715" t="s">
        <v>165</v>
      </c>
      <c r="D8116" s="716">
        <v>41.91</v>
      </c>
    </row>
    <row r="8117" spans="1:4" ht="42">
      <c r="A8117" s="715">
        <v>101970</v>
      </c>
      <c r="B8117" s="633" t="s">
        <v>34133</v>
      </c>
      <c r="C8117" s="715" t="s">
        <v>165</v>
      </c>
      <c r="D8117" s="716">
        <v>0</v>
      </c>
    </row>
    <row r="8118" spans="1:4" ht="56">
      <c r="A8118" s="715">
        <v>101972</v>
      </c>
      <c r="B8118" s="633" t="s">
        <v>34134</v>
      </c>
      <c r="C8118" s="715" t="s">
        <v>165</v>
      </c>
      <c r="D8118" s="716">
        <v>0</v>
      </c>
    </row>
    <row r="8119" spans="1:4" ht="42">
      <c r="A8119" s="715">
        <v>101966</v>
      </c>
      <c r="B8119" s="633" t="s">
        <v>27380</v>
      </c>
      <c r="C8119" s="715" t="s">
        <v>165</v>
      </c>
      <c r="D8119" s="716">
        <v>227.32</v>
      </c>
    </row>
    <row r="8120" spans="1:4" ht="56">
      <c r="A8120" s="715">
        <v>101976</v>
      </c>
      <c r="B8120" s="633" t="s">
        <v>34135</v>
      </c>
      <c r="C8120" s="715" t="s">
        <v>165</v>
      </c>
      <c r="D8120" s="716">
        <v>0</v>
      </c>
    </row>
    <row r="8121" spans="1:4" ht="56">
      <c r="A8121" s="715">
        <v>101978</v>
      </c>
      <c r="B8121" s="633" t="s">
        <v>34136</v>
      </c>
      <c r="C8121" s="715" t="s">
        <v>165</v>
      </c>
      <c r="D8121" s="716">
        <v>0</v>
      </c>
    </row>
    <row r="8122" spans="1:4" ht="42">
      <c r="A8122" s="715">
        <v>101967</v>
      </c>
      <c r="B8122" s="633" t="s">
        <v>34137</v>
      </c>
      <c r="C8122" s="715" t="s">
        <v>165</v>
      </c>
      <c r="D8122" s="716">
        <v>0</v>
      </c>
    </row>
    <row r="8123" spans="1:4" ht="42">
      <c r="A8123" s="715">
        <v>101968</v>
      </c>
      <c r="B8123" s="633" t="s">
        <v>34138</v>
      </c>
      <c r="C8123" s="715" t="s">
        <v>165</v>
      </c>
      <c r="D8123" s="716">
        <v>0</v>
      </c>
    </row>
    <row r="8124" spans="1:4" ht="42">
      <c r="A8124" s="715">
        <v>101965</v>
      </c>
      <c r="B8124" s="633" t="s">
        <v>34139</v>
      </c>
      <c r="C8124" s="715" t="s">
        <v>165</v>
      </c>
      <c r="D8124" s="716">
        <v>180.35</v>
      </c>
    </row>
    <row r="8125" spans="1:4" ht="56">
      <c r="A8125" s="715">
        <v>104100</v>
      </c>
      <c r="B8125" s="633" t="s">
        <v>34140</v>
      </c>
      <c r="C8125" s="715" t="s">
        <v>509</v>
      </c>
      <c r="D8125" s="716">
        <v>0</v>
      </c>
    </row>
    <row r="8126" spans="1:4" ht="56">
      <c r="A8126" s="715">
        <v>104099</v>
      </c>
      <c r="B8126" s="633" t="s">
        <v>34141</v>
      </c>
      <c r="C8126" s="715" t="s">
        <v>509</v>
      </c>
      <c r="D8126" s="716">
        <v>0</v>
      </c>
    </row>
    <row r="8127" spans="1:4" ht="56">
      <c r="A8127" s="715">
        <v>104102</v>
      </c>
      <c r="B8127" s="633" t="s">
        <v>34142</v>
      </c>
      <c r="C8127" s="715" t="s">
        <v>509</v>
      </c>
      <c r="D8127" s="716">
        <v>0</v>
      </c>
    </row>
    <row r="8128" spans="1:4" ht="56">
      <c r="A8128" s="715">
        <v>104101</v>
      </c>
      <c r="B8128" s="633" t="s">
        <v>34143</v>
      </c>
      <c r="C8128" s="715" t="s">
        <v>509</v>
      </c>
      <c r="D8128" s="716">
        <v>0</v>
      </c>
    </row>
    <row r="8129" spans="1:4" ht="56">
      <c r="A8129" s="715">
        <v>104103</v>
      </c>
      <c r="B8129" s="633" t="s">
        <v>40655</v>
      </c>
      <c r="C8129" s="715" t="s">
        <v>509</v>
      </c>
      <c r="D8129" s="716">
        <v>0</v>
      </c>
    </row>
    <row r="8130" spans="1:4" ht="14">
      <c r="A8130" s="715">
        <v>92123</v>
      </c>
      <c r="B8130" s="633" t="s">
        <v>43607</v>
      </c>
      <c r="C8130" s="715" t="s">
        <v>121</v>
      </c>
      <c r="D8130" s="716">
        <v>100.6</v>
      </c>
    </row>
    <row r="8131" spans="1:4" ht="28">
      <c r="A8131" s="715">
        <v>106665</v>
      </c>
      <c r="B8131" s="633" t="s">
        <v>43608</v>
      </c>
      <c r="C8131" s="715" t="s">
        <v>121</v>
      </c>
      <c r="D8131" s="716">
        <v>0</v>
      </c>
    </row>
    <row r="8132" spans="1:4" ht="28">
      <c r="A8132" s="715">
        <v>92122</v>
      </c>
      <c r="B8132" s="633" t="s">
        <v>43609</v>
      </c>
      <c r="C8132" s="715" t="s">
        <v>121</v>
      </c>
      <c r="D8132" s="716">
        <v>101.88</v>
      </c>
    </row>
    <row r="8133" spans="1:4" ht="42">
      <c r="A8133" s="715">
        <v>103615</v>
      </c>
      <c r="B8133" s="633" t="s">
        <v>34144</v>
      </c>
      <c r="C8133" s="715" t="s">
        <v>165</v>
      </c>
      <c r="D8133" s="716">
        <v>0</v>
      </c>
    </row>
    <row r="8134" spans="1:4" ht="42">
      <c r="A8134" s="715">
        <v>103637</v>
      </c>
      <c r="B8134" s="633" t="s">
        <v>34145</v>
      </c>
      <c r="C8134" s="715" t="s">
        <v>165</v>
      </c>
      <c r="D8134" s="716">
        <v>0</v>
      </c>
    </row>
    <row r="8135" spans="1:4" ht="42">
      <c r="A8135" s="715">
        <v>103593</v>
      </c>
      <c r="B8135" s="633" t="s">
        <v>34146</v>
      </c>
      <c r="C8135" s="715" t="s">
        <v>165</v>
      </c>
      <c r="D8135" s="716">
        <v>0</v>
      </c>
    </row>
    <row r="8136" spans="1:4" ht="42">
      <c r="A8136" s="715">
        <v>103616</v>
      </c>
      <c r="B8136" s="633" t="s">
        <v>34147</v>
      </c>
      <c r="C8136" s="715" t="s">
        <v>165</v>
      </c>
      <c r="D8136" s="716">
        <v>0</v>
      </c>
    </row>
    <row r="8137" spans="1:4" ht="42">
      <c r="A8137" s="715">
        <v>103638</v>
      </c>
      <c r="B8137" s="633" t="s">
        <v>34148</v>
      </c>
      <c r="C8137" s="715" t="s">
        <v>165</v>
      </c>
      <c r="D8137" s="716">
        <v>0</v>
      </c>
    </row>
    <row r="8138" spans="1:4" ht="42">
      <c r="A8138" s="715">
        <v>103594</v>
      </c>
      <c r="B8138" s="633" t="s">
        <v>34149</v>
      </c>
      <c r="C8138" s="715" t="s">
        <v>165</v>
      </c>
      <c r="D8138" s="716">
        <v>0</v>
      </c>
    </row>
    <row r="8139" spans="1:4" ht="42">
      <c r="A8139" s="715">
        <v>103617</v>
      </c>
      <c r="B8139" s="633" t="s">
        <v>34150</v>
      </c>
      <c r="C8139" s="715" t="s">
        <v>165</v>
      </c>
      <c r="D8139" s="716">
        <v>0</v>
      </c>
    </row>
    <row r="8140" spans="1:4" ht="42">
      <c r="A8140" s="715">
        <v>103639</v>
      </c>
      <c r="B8140" s="633" t="s">
        <v>34151</v>
      </c>
      <c r="C8140" s="715" t="s">
        <v>165</v>
      </c>
      <c r="D8140" s="716">
        <v>0</v>
      </c>
    </row>
    <row r="8141" spans="1:4" ht="42">
      <c r="A8141" s="715">
        <v>103595</v>
      </c>
      <c r="B8141" s="633" t="s">
        <v>34152</v>
      </c>
      <c r="C8141" s="715" t="s">
        <v>165</v>
      </c>
      <c r="D8141" s="716">
        <v>0</v>
      </c>
    </row>
    <row r="8142" spans="1:4" ht="42">
      <c r="A8142" s="715">
        <v>103609</v>
      </c>
      <c r="B8142" s="633" t="s">
        <v>34153</v>
      </c>
      <c r="C8142" s="715" t="s">
        <v>165</v>
      </c>
      <c r="D8142" s="716">
        <v>0</v>
      </c>
    </row>
    <row r="8143" spans="1:4" ht="42">
      <c r="A8143" s="715">
        <v>103631</v>
      </c>
      <c r="B8143" s="633" t="s">
        <v>34154</v>
      </c>
      <c r="C8143" s="715" t="s">
        <v>165</v>
      </c>
      <c r="D8143" s="716">
        <v>0</v>
      </c>
    </row>
    <row r="8144" spans="1:4" ht="42">
      <c r="A8144" s="715">
        <v>103587</v>
      </c>
      <c r="B8144" s="633" t="s">
        <v>34155</v>
      </c>
      <c r="C8144" s="715" t="s">
        <v>165</v>
      </c>
      <c r="D8144" s="716">
        <v>0</v>
      </c>
    </row>
    <row r="8145" spans="1:4" ht="42">
      <c r="A8145" s="715">
        <v>103618</v>
      </c>
      <c r="B8145" s="633" t="s">
        <v>34156</v>
      </c>
      <c r="C8145" s="715" t="s">
        <v>165</v>
      </c>
      <c r="D8145" s="716">
        <v>0</v>
      </c>
    </row>
    <row r="8146" spans="1:4" ht="42">
      <c r="A8146" s="715">
        <v>103640</v>
      </c>
      <c r="B8146" s="633" t="s">
        <v>34157</v>
      </c>
      <c r="C8146" s="715" t="s">
        <v>165</v>
      </c>
      <c r="D8146" s="716">
        <v>0</v>
      </c>
    </row>
    <row r="8147" spans="1:4" ht="42">
      <c r="A8147" s="715">
        <v>103596</v>
      </c>
      <c r="B8147" s="633" t="s">
        <v>34158</v>
      </c>
      <c r="C8147" s="715" t="s">
        <v>165</v>
      </c>
      <c r="D8147" s="716">
        <v>0</v>
      </c>
    </row>
    <row r="8148" spans="1:4" ht="42">
      <c r="A8148" s="715">
        <v>103619</v>
      </c>
      <c r="B8148" s="633" t="s">
        <v>34159</v>
      </c>
      <c r="C8148" s="715" t="s">
        <v>165</v>
      </c>
      <c r="D8148" s="716">
        <v>0</v>
      </c>
    </row>
    <row r="8149" spans="1:4" ht="42">
      <c r="A8149" s="715">
        <v>103641</v>
      </c>
      <c r="B8149" s="633" t="s">
        <v>34160</v>
      </c>
      <c r="C8149" s="715" t="s">
        <v>165</v>
      </c>
      <c r="D8149" s="716">
        <v>0</v>
      </c>
    </row>
    <row r="8150" spans="1:4" ht="42">
      <c r="A8150" s="715">
        <v>103597</v>
      </c>
      <c r="B8150" s="633" t="s">
        <v>34161</v>
      </c>
      <c r="C8150" s="715" t="s">
        <v>165</v>
      </c>
      <c r="D8150" s="716">
        <v>0</v>
      </c>
    </row>
    <row r="8151" spans="1:4" ht="42">
      <c r="A8151" s="715">
        <v>103620</v>
      </c>
      <c r="B8151" s="633" t="s">
        <v>34162</v>
      </c>
      <c r="C8151" s="715" t="s">
        <v>165</v>
      </c>
      <c r="D8151" s="716">
        <v>0</v>
      </c>
    </row>
    <row r="8152" spans="1:4" ht="42">
      <c r="A8152" s="715">
        <v>103642</v>
      </c>
      <c r="B8152" s="633" t="s">
        <v>34163</v>
      </c>
      <c r="C8152" s="715" t="s">
        <v>165</v>
      </c>
      <c r="D8152" s="716">
        <v>0</v>
      </c>
    </row>
    <row r="8153" spans="1:4" ht="42">
      <c r="A8153" s="715">
        <v>103598</v>
      </c>
      <c r="B8153" s="633" t="s">
        <v>34164</v>
      </c>
      <c r="C8153" s="715" t="s">
        <v>165</v>
      </c>
      <c r="D8153" s="716">
        <v>0</v>
      </c>
    </row>
    <row r="8154" spans="1:4" ht="42">
      <c r="A8154" s="715">
        <v>103621</v>
      </c>
      <c r="B8154" s="633" t="s">
        <v>34165</v>
      </c>
      <c r="C8154" s="715" t="s">
        <v>165</v>
      </c>
      <c r="D8154" s="716">
        <v>0</v>
      </c>
    </row>
    <row r="8155" spans="1:4" ht="42">
      <c r="A8155" s="715">
        <v>103643</v>
      </c>
      <c r="B8155" s="633" t="s">
        <v>34166</v>
      </c>
      <c r="C8155" s="715" t="s">
        <v>165</v>
      </c>
      <c r="D8155" s="716">
        <v>0</v>
      </c>
    </row>
    <row r="8156" spans="1:4" ht="42">
      <c r="A8156" s="715">
        <v>103599</v>
      </c>
      <c r="B8156" s="633" t="s">
        <v>34167</v>
      </c>
      <c r="C8156" s="715" t="s">
        <v>165</v>
      </c>
      <c r="D8156" s="716">
        <v>0</v>
      </c>
    </row>
    <row r="8157" spans="1:4" ht="42">
      <c r="A8157" s="715">
        <v>103622</v>
      </c>
      <c r="B8157" s="633" t="s">
        <v>34168</v>
      </c>
      <c r="C8157" s="715" t="s">
        <v>165</v>
      </c>
      <c r="D8157" s="716">
        <v>0</v>
      </c>
    </row>
    <row r="8158" spans="1:4" ht="42">
      <c r="A8158" s="715">
        <v>103644</v>
      </c>
      <c r="B8158" s="633" t="s">
        <v>34169</v>
      </c>
      <c r="C8158" s="715" t="s">
        <v>165</v>
      </c>
      <c r="D8158" s="716">
        <v>0</v>
      </c>
    </row>
    <row r="8159" spans="1:4" ht="42">
      <c r="A8159" s="715">
        <v>103600</v>
      </c>
      <c r="B8159" s="633" t="s">
        <v>34170</v>
      </c>
      <c r="C8159" s="715" t="s">
        <v>165</v>
      </c>
      <c r="D8159" s="716">
        <v>0</v>
      </c>
    </row>
    <row r="8160" spans="1:4" ht="42">
      <c r="A8160" s="715">
        <v>103610</v>
      </c>
      <c r="B8160" s="633" t="s">
        <v>34171</v>
      </c>
      <c r="C8160" s="715" t="s">
        <v>165</v>
      </c>
      <c r="D8160" s="716">
        <v>0</v>
      </c>
    </row>
    <row r="8161" spans="1:4" ht="42">
      <c r="A8161" s="715">
        <v>103632</v>
      </c>
      <c r="B8161" s="633" t="s">
        <v>34172</v>
      </c>
      <c r="C8161" s="715" t="s">
        <v>165</v>
      </c>
      <c r="D8161" s="716">
        <v>0</v>
      </c>
    </row>
    <row r="8162" spans="1:4" ht="42">
      <c r="A8162" s="715">
        <v>103588</v>
      </c>
      <c r="B8162" s="633" t="s">
        <v>34173</v>
      </c>
      <c r="C8162" s="715" t="s">
        <v>165</v>
      </c>
      <c r="D8162" s="716">
        <v>0</v>
      </c>
    </row>
    <row r="8163" spans="1:4" ht="42">
      <c r="A8163" s="715">
        <v>103623</v>
      </c>
      <c r="B8163" s="633" t="s">
        <v>34174</v>
      </c>
      <c r="C8163" s="715" t="s">
        <v>165</v>
      </c>
      <c r="D8163" s="716">
        <v>0</v>
      </c>
    </row>
    <row r="8164" spans="1:4" ht="42">
      <c r="A8164" s="715">
        <v>103645</v>
      </c>
      <c r="B8164" s="633" t="s">
        <v>34175</v>
      </c>
      <c r="C8164" s="715" t="s">
        <v>165</v>
      </c>
      <c r="D8164" s="716">
        <v>0</v>
      </c>
    </row>
    <row r="8165" spans="1:4" ht="42">
      <c r="A8165" s="715">
        <v>103601</v>
      </c>
      <c r="B8165" s="633" t="s">
        <v>34176</v>
      </c>
      <c r="C8165" s="715" t="s">
        <v>165</v>
      </c>
      <c r="D8165" s="716">
        <v>0</v>
      </c>
    </row>
    <row r="8166" spans="1:4" ht="42">
      <c r="A8166" s="715">
        <v>103624</v>
      </c>
      <c r="B8166" s="633" t="s">
        <v>34177</v>
      </c>
      <c r="C8166" s="715" t="s">
        <v>165</v>
      </c>
      <c r="D8166" s="716">
        <v>0</v>
      </c>
    </row>
    <row r="8167" spans="1:4" ht="42">
      <c r="A8167" s="715">
        <v>103646</v>
      </c>
      <c r="B8167" s="633" t="s">
        <v>34178</v>
      </c>
      <c r="C8167" s="715" t="s">
        <v>165</v>
      </c>
      <c r="D8167" s="716">
        <v>0</v>
      </c>
    </row>
    <row r="8168" spans="1:4" ht="42">
      <c r="A8168" s="715">
        <v>103602</v>
      </c>
      <c r="B8168" s="633" t="s">
        <v>34179</v>
      </c>
      <c r="C8168" s="715" t="s">
        <v>165</v>
      </c>
      <c r="D8168" s="716">
        <v>0</v>
      </c>
    </row>
    <row r="8169" spans="1:4" ht="42">
      <c r="A8169" s="715">
        <v>103625</v>
      </c>
      <c r="B8169" s="633" t="s">
        <v>34180</v>
      </c>
      <c r="C8169" s="715" t="s">
        <v>165</v>
      </c>
      <c r="D8169" s="716">
        <v>0</v>
      </c>
    </row>
    <row r="8170" spans="1:4" ht="42">
      <c r="A8170" s="715">
        <v>103647</v>
      </c>
      <c r="B8170" s="633" t="s">
        <v>34181</v>
      </c>
      <c r="C8170" s="715" t="s">
        <v>165</v>
      </c>
      <c r="D8170" s="716">
        <v>0</v>
      </c>
    </row>
    <row r="8171" spans="1:4" ht="42">
      <c r="A8171" s="715">
        <v>103603</v>
      </c>
      <c r="B8171" s="633" t="s">
        <v>34182</v>
      </c>
      <c r="C8171" s="715" t="s">
        <v>165</v>
      </c>
      <c r="D8171" s="716">
        <v>0</v>
      </c>
    </row>
    <row r="8172" spans="1:4" ht="42">
      <c r="A8172" s="715">
        <v>103611</v>
      </c>
      <c r="B8172" s="633" t="s">
        <v>34183</v>
      </c>
      <c r="C8172" s="715" t="s">
        <v>165</v>
      </c>
      <c r="D8172" s="716">
        <v>0</v>
      </c>
    </row>
    <row r="8173" spans="1:4" ht="42">
      <c r="A8173" s="715">
        <v>103633</v>
      </c>
      <c r="B8173" s="633" t="s">
        <v>34184</v>
      </c>
      <c r="C8173" s="715" t="s">
        <v>165</v>
      </c>
      <c r="D8173" s="716">
        <v>0</v>
      </c>
    </row>
    <row r="8174" spans="1:4" ht="42">
      <c r="A8174" s="715">
        <v>103589</v>
      </c>
      <c r="B8174" s="633" t="s">
        <v>34185</v>
      </c>
      <c r="C8174" s="715" t="s">
        <v>165</v>
      </c>
      <c r="D8174" s="716">
        <v>0</v>
      </c>
    </row>
    <row r="8175" spans="1:4" ht="42">
      <c r="A8175" s="715">
        <v>103626</v>
      </c>
      <c r="B8175" s="633" t="s">
        <v>34186</v>
      </c>
      <c r="C8175" s="715" t="s">
        <v>165</v>
      </c>
      <c r="D8175" s="716">
        <v>0</v>
      </c>
    </row>
    <row r="8176" spans="1:4" ht="42">
      <c r="A8176" s="715">
        <v>103648</v>
      </c>
      <c r="B8176" s="633" t="s">
        <v>34187</v>
      </c>
      <c r="C8176" s="715" t="s">
        <v>165</v>
      </c>
      <c r="D8176" s="716">
        <v>0</v>
      </c>
    </row>
    <row r="8177" spans="1:4" ht="42">
      <c r="A8177" s="715">
        <v>103604</v>
      </c>
      <c r="B8177" s="633" t="s">
        <v>34188</v>
      </c>
      <c r="C8177" s="715" t="s">
        <v>165</v>
      </c>
      <c r="D8177" s="716">
        <v>0</v>
      </c>
    </row>
    <row r="8178" spans="1:4" ht="42">
      <c r="A8178" s="715">
        <v>103627</v>
      </c>
      <c r="B8178" s="633" t="s">
        <v>34189</v>
      </c>
      <c r="C8178" s="715" t="s">
        <v>165</v>
      </c>
      <c r="D8178" s="716">
        <v>0</v>
      </c>
    </row>
    <row r="8179" spans="1:4" ht="42">
      <c r="A8179" s="715">
        <v>103649</v>
      </c>
      <c r="B8179" s="633" t="s">
        <v>34190</v>
      </c>
      <c r="C8179" s="715" t="s">
        <v>165</v>
      </c>
      <c r="D8179" s="716">
        <v>0</v>
      </c>
    </row>
    <row r="8180" spans="1:4" ht="42">
      <c r="A8180" s="715">
        <v>103605</v>
      </c>
      <c r="B8180" s="633" t="s">
        <v>34191</v>
      </c>
      <c r="C8180" s="715" t="s">
        <v>165</v>
      </c>
      <c r="D8180" s="716">
        <v>0</v>
      </c>
    </row>
    <row r="8181" spans="1:4" ht="42">
      <c r="A8181" s="715">
        <v>103612</v>
      </c>
      <c r="B8181" s="633" t="s">
        <v>34192</v>
      </c>
      <c r="C8181" s="715" t="s">
        <v>165</v>
      </c>
      <c r="D8181" s="716">
        <v>0</v>
      </c>
    </row>
    <row r="8182" spans="1:4" ht="42">
      <c r="A8182" s="715">
        <v>103634</v>
      </c>
      <c r="B8182" s="633" t="s">
        <v>34193</v>
      </c>
      <c r="C8182" s="715" t="s">
        <v>165</v>
      </c>
      <c r="D8182" s="716">
        <v>0</v>
      </c>
    </row>
    <row r="8183" spans="1:4" ht="42">
      <c r="A8183" s="715">
        <v>103590</v>
      </c>
      <c r="B8183" s="633" t="s">
        <v>34194</v>
      </c>
      <c r="C8183" s="715" t="s">
        <v>165</v>
      </c>
      <c r="D8183" s="716">
        <v>0</v>
      </c>
    </row>
    <row r="8184" spans="1:4" ht="42">
      <c r="A8184" s="715">
        <v>103628</v>
      </c>
      <c r="B8184" s="633" t="s">
        <v>34195</v>
      </c>
      <c r="C8184" s="715" t="s">
        <v>165</v>
      </c>
      <c r="D8184" s="716">
        <v>0</v>
      </c>
    </row>
    <row r="8185" spans="1:4" ht="42">
      <c r="A8185" s="715">
        <v>103650</v>
      </c>
      <c r="B8185" s="633" t="s">
        <v>34196</v>
      </c>
      <c r="C8185" s="715" t="s">
        <v>165</v>
      </c>
      <c r="D8185" s="716">
        <v>0</v>
      </c>
    </row>
    <row r="8186" spans="1:4" ht="42">
      <c r="A8186" s="715">
        <v>103606</v>
      </c>
      <c r="B8186" s="633" t="s">
        <v>34197</v>
      </c>
      <c r="C8186" s="715" t="s">
        <v>165</v>
      </c>
      <c r="D8186" s="716">
        <v>0</v>
      </c>
    </row>
    <row r="8187" spans="1:4" ht="42">
      <c r="A8187" s="715">
        <v>103629</v>
      </c>
      <c r="B8187" s="633" t="s">
        <v>34198</v>
      </c>
      <c r="C8187" s="715" t="s">
        <v>165</v>
      </c>
      <c r="D8187" s="716">
        <v>0</v>
      </c>
    </row>
    <row r="8188" spans="1:4" ht="42">
      <c r="A8188" s="715">
        <v>103651</v>
      </c>
      <c r="B8188" s="633" t="s">
        <v>34199</v>
      </c>
      <c r="C8188" s="715" t="s">
        <v>165</v>
      </c>
      <c r="D8188" s="716">
        <v>0</v>
      </c>
    </row>
    <row r="8189" spans="1:4" ht="42">
      <c r="A8189" s="715">
        <v>103607</v>
      </c>
      <c r="B8189" s="633" t="s">
        <v>34200</v>
      </c>
      <c r="C8189" s="715" t="s">
        <v>165</v>
      </c>
      <c r="D8189" s="716">
        <v>0</v>
      </c>
    </row>
    <row r="8190" spans="1:4" ht="42">
      <c r="A8190" s="715">
        <v>103613</v>
      </c>
      <c r="B8190" s="633" t="s">
        <v>34201</v>
      </c>
      <c r="C8190" s="715" t="s">
        <v>165</v>
      </c>
      <c r="D8190" s="716">
        <v>0</v>
      </c>
    </row>
    <row r="8191" spans="1:4" ht="42">
      <c r="A8191" s="715">
        <v>103635</v>
      </c>
      <c r="B8191" s="633" t="s">
        <v>34202</v>
      </c>
      <c r="C8191" s="715" t="s">
        <v>165</v>
      </c>
      <c r="D8191" s="716">
        <v>0</v>
      </c>
    </row>
    <row r="8192" spans="1:4" ht="42">
      <c r="A8192" s="715">
        <v>103591</v>
      </c>
      <c r="B8192" s="633" t="s">
        <v>34203</v>
      </c>
      <c r="C8192" s="715" t="s">
        <v>165</v>
      </c>
      <c r="D8192" s="716">
        <v>0</v>
      </c>
    </row>
    <row r="8193" spans="1:4" ht="42">
      <c r="A8193" s="715">
        <v>103630</v>
      </c>
      <c r="B8193" s="633" t="s">
        <v>34204</v>
      </c>
      <c r="C8193" s="715" t="s">
        <v>165</v>
      </c>
      <c r="D8193" s="716">
        <v>0</v>
      </c>
    </row>
    <row r="8194" spans="1:4" ht="42">
      <c r="A8194" s="715">
        <v>103652</v>
      </c>
      <c r="B8194" s="633" t="s">
        <v>34205</v>
      </c>
      <c r="C8194" s="715" t="s">
        <v>165</v>
      </c>
      <c r="D8194" s="716">
        <v>0</v>
      </c>
    </row>
    <row r="8195" spans="1:4" ht="42">
      <c r="A8195" s="715">
        <v>103608</v>
      </c>
      <c r="B8195" s="633" t="s">
        <v>34206</v>
      </c>
      <c r="C8195" s="715" t="s">
        <v>165</v>
      </c>
      <c r="D8195" s="716">
        <v>0</v>
      </c>
    </row>
    <row r="8196" spans="1:4" ht="42">
      <c r="A8196" s="715">
        <v>103614</v>
      </c>
      <c r="B8196" s="633" t="s">
        <v>34207</v>
      </c>
      <c r="C8196" s="715" t="s">
        <v>165</v>
      </c>
      <c r="D8196" s="716">
        <v>0</v>
      </c>
    </row>
    <row r="8197" spans="1:4" ht="42">
      <c r="A8197" s="715">
        <v>103636</v>
      </c>
      <c r="B8197" s="633" t="s">
        <v>34208</v>
      </c>
      <c r="C8197" s="715" t="s">
        <v>165</v>
      </c>
      <c r="D8197" s="716">
        <v>0</v>
      </c>
    </row>
    <row r="8198" spans="1:4" ht="42">
      <c r="A8198" s="715">
        <v>103592</v>
      </c>
      <c r="B8198" s="633" t="s">
        <v>34209</v>
      </c>
      <c r="C8198" s="715" t="s">
        <v>165</v>
      </c>
      <c r="D8198" s="716">
        <v>0</v>
      </c>
    </row>
    <row r="8199" spans="1:4" ht="56">
      <c r="A8199" s="715">
        <v>88412</v>
      </c>
      <c r="B8199" s="633" t="s">
        <v>29390</v>
      </c>
      <c r="C8199" s="715" t="s">
        <v>509</v>
      </c>
      <c r="D8199" s="716">
        <v>4.6500000000000004</v>
      </c>
    </row>
    <row r="8200" spans="1:4" ht="42">
      <c r="A8200" s="715">
        <v>88411</v>
      </c>
      <c r="B8200" s="633" t="s">
        <v>29389</v>
      </c>
      <c r="C8200" s="715" t="s">
        <v>509</v>
      </c>
      <c r="D8200" s="716">
        <v>5.75</v>
      </c>
    </row>
    <row r="8201" spans="1:4" ht="28">
      <c r="A8201" s="715">
        <v>88415</v>
      </c>
      <c r="B8201" s="633" t="s">
        <v>29393</v>
      </c>
      <c r="C8201" s="715" t="s">
        <v>509</v>
      </c>
      <c r="D8201" s="716">
        <v>5.84</v>
      </c>
    </row>
    <row r="8202" spans="1:4" ht="42">
      <c r="A8202" s="715">
        <v>88413</v>
      </c>
      <c r="B8202" s="633" t="s">
        <v>29391</v>
      </c>
      <c r="C8202" s="715" t="s">
        <v>509</v>
      </c>
      <c r="D8202" s="716">
        <v>7.17</v>
      </c>
    </row>
    <row r="8203" spans="1:4" ht="42">
      <c r="A8203" s="715">
        <v>88414</v>
      </c>
      <c r="B8203" s="633" t="s">
        <v>29392</v>
      </c>
      <c r="C8203" s="715" t="s">
        <v>509</v>
      </c>
      <c r="D8203" s="716">
        <v>8.52</v>
      </c>
    </row>
    <row r="8204" spans="1:4" ht="56">
      <c r="A8204" s="715">
        <v>96131</v>
      </c>
      <c r="B8204" s="633" t="s">
        <v>29415</v>
      </c>
      <c r="C8204" s="715" t="s">
        <v>509</v>
      </c>
      <c r="D8204" s="716">
        <v>34.03</v>
      </c>
    </row>
    <row r="8205" spans="1:4" ht="42">
      <c r="A8205" s="715">
        <v>96126</v>
      </c>
      <c r="B8205" s="633" t="s">
        <v>29410</v>
      </c>
      <c r="C8205" s="715" t="s">
        <v>509</v>
      </c>
      <c r="D8205" s="716">
        <v>21.78</v>
      </c>
    </row>
    <row r="8206" spans="1:4" ht="56">
      <c r="A8206" s="715">
        <v>96132</v>
      </c>
      <c r="B8206" s="633" t="s">
        <v>29416</v>
      </c>
      <c r="C8206" s="715" t="s">
        <v>509</v>
      </c>
      <c r="D8206" s="716">
        <v>22.09</v>
      </c>
    </row>
    <row r="8207" spans="1:4" ht="42">
      <c r="A8207" s="715">
        <v>96127</v>
      </c>
      <c r="B8207" s="633" t="s">
        <v>29411</v>
      </c>
      <c r="C8207" s="715" t="s">
        <v>509</v>
      </c>
      <c r="D8207" s="716">
        <v>13.76</v>
      </c>
    </row>
    <row r="8208" spans="1:4" ht="28">
      <c r="A8208" s="715">
        <v>96135</v>
      </c>
      <c r="B8208" s="633" t="s">
        <v>29419</v>
      </c>
      <c r="C8208" s="715" t="s">
        <v>509</v>
      </c>
      <c r="D8208" s="716">
        <v>36.71</v>
      </c>
    </row>
    <row r="8209" spans="1:4" ht="28">
      <c r="A8209" s="715">
        <v>96130</v>
      </c>
      <c r="B8209" s="633" t="s">
        <v>29414</v>
      </c>
      <c r="C8209" s="715" t="s">
        <v>509</v>
      </c>
      <c r="D8209" s="716">
        <v>23.67</v>
      </c>
    </row>
    <row r="8210" spans="1:4" ht="42">
      <c r="A8210" s="715">
        <v>96133</v>
      </c>
      <c r="B8210" s="633" t="s">
        <v>29417</v>
      </c>
      <c r="C8210" s="715" t="s">
        <v>509</v>
      </c>
      <c r="D8210" s="716">
        <v>55.76</v>
      </c>
    </row>
    <row r="8211" spans="1:4" ht="42">
      <c r="A8211" s="715">
        <v>96128</v>
      </c>
      <c r="B8211" s="633" t="s">
        <v>29412</v>
      </c>
      <c r="C8211" s="715" t="s">
        <v>509</v>
      </c>
      <c r="D8211" s="716">
        <v>36.69</v>
      </c>
    </row>
    <row r="8212" spans="1:4" ht="42">
      <c r="A8212" s="715">
        <v>96134</v>
      </c>
      <c r="B8212" s="633" t="s">
        <v>29418</v>
      </c>
      <c r="C8212" s="715" t="s">
        <v>509</v>
      </c>
      <c r="D8212" s="716">
        <v>65.58</v>
      </c>
    </row>
    <row r="8213" spans="1:4" ht="42">
      <c r="A8213" s="715">
        <v>96129</v>
      </c>
      <c r="B8213" s="633" t="s">
        <v>29413</v>
      </c>
      <c r="C8213" s="715" t="s">
        <v>509</v>
      </c>
      <c r="D8213" s="716">
        <v>43.08</v>
      </c>
    </row>
    <row r="8214" spans="1:4" ht="42">
      <c r="A8214" s="715">
        <v>88432</v>
      </c>
      <c r="B8214" s="633" t="s">
        <v>29404</v>
      </c>
      <c r="C8214" s="715" t="s">
        <v>509</v>
      </c>
      <c r="D8214" s="716">
        <v>37.159999999999997</v>
      </c>
    </row>
    <row r="8215" spans="1:4" ht="56">
      <c r="A8215" s="715">
        <v>88426</v>
      </c>
      <c r="B8215" s="633" t="s">
        <v>29400</v>
      </c>
      <c r="C8215" s="715" t="s">
        <v>509</v>
      </c>
      <c r="D8215" s="716">
        <v>22.26</v>
      </c>
    </row>
    <row r="8216" spans="1:4" ht="56">
      <c r="A8216" s="715">
        <v>88417</v>
      </c>
      <c r="B8216" s="633" t="s">
        <v>29395</v>
      </c>
      <c r="C8216" s="715" t="s">
        <v>509</v>
      </c>
      <c r="D8216" s="716">
        <v>19.82</v>
      </c>
    </row>
    <row r="8217" spans="1:4" ht="56">
      <c r="A8217" s="715">
        <v>88424</v>
      </c>
      <c r="B8217" s="633" t="s">
        <v>29399</v>
      </c>
      <c r="C8217" s="715" t="s">
        <v>509</v>
      </c>
      <c r="D8217" s="716">
        <v>28.21</v>
      </c>
    </row>
    <row r="8218" spans="1:4" ht="56">
      <c r="A8218" s="715">
        <v>88416</v>
      </c>
      <c r="B8218" s="633" t="s">
        <v>29394</v>
      </c>
      <c r="C8218" s="715" t="s">
        <v>509</v>
      </c>
      <c r="D8218" s="716">
        <v>23.7</v>
      </c>
    </row>
    <row r="8219" spans="1:4" ht="42">
      <c r="A8219" s="715">
        <v>88431</v>
      </c>
      <c r="B8219" s="633" t="s">
        <v>29403</v>
      </c>
      <c r="C8219" s="715" t="s">
        <v>509</v>
      </c>
      <c r="D8219" s="716">
        <v>28.88</v>
      </c>
    </row>
    <row r="8220" spans="1:4" ht="42">
      <c r="A8220" s="715">
        <v>88423</v>
      </c>
      <c r="B8220" s="633" t="s">
        <v>29398</v>
      </c>
      <c r="C8220" s="715" t="s">
        <v>509</v>
      </c>
      <c r="D8220" s="716">
        <v>23.82</v>
      </c>
    </row>
    <row r="8221" spans="1:4" ht="56">
      <c r="A8221" s="715">
        <v>88428</v>
      </c>
      <c r="B8221" s="633" t="s">
        <v>29401</v>
      </c>
      <c r="C8221" s="715" t="s">
        <v>509</v>
      </c>
      <c r="D8221" s="716">
        <v>36.43</v>
      </c>
    </row>
    <row r="8222" spans="1:4" ht="56">
      <c r="A8222" s="715">
        <v>88420</v>
      </c>
      <c r="B8222" s="633" t="s">
        <v>29396</v>
      </c>
      <c r="C8222" s="715" t="s">
        <v>509</v>
      </c>
      <c r="D8222" s="716">
        <v>27.78</v>
      </c>
    </row>
    <row r="8223" spans="1:4" ht="56">
      <c r="A8223" s="715">
        <v>88429</v>
      </c>
      <c r="B8223" s="633" t="s">
        <v>29402</v>
      </c>
      <c r="C8223" s="715" t="s">
        <v>509</v>
      </c>
      <c r="D8223" s="716">
        <v>43.54</v>
      </c>
    </row>
    <row r="8224" spans="1:4" ht="56">
      <c r="A8224" s="715">
        <v>88421</v>
      </c>
      <c r="B8224" s="633" t="s">
        <v>29397</v>
      </c>
      <c r="C8224" s="715" t="s">
        <v>509</v>
      </c>
      <c r="D8224" s="716">
        <v>33.47</v>
      </c>
    </row>
    <row r="8225" spans="1:4" ht="42">
      <c r="A8225" s="715">
        <v>95622</v>
      </c>
      <c r="B8225" s="633" t="s">
        <v>29405</v>
      </c>
      <c r="C8225" s="715" t="s">
        <v>509</v>
      </c>
      <c r="D8225" s="716">
        <v>17.670000000000002</v>
      </c>
    </row>
    <row r="8226" spans="1:4" ht="42">
      <c r="A8226" s="715">
        <v>95623</v>
      </c>
      <c r="B8226" s="633" t="s">
        <v>29406</v>
      </c>
      <c r="C8226" s="715" t="s">
        <v>509</v>
      </c>
      <c r="D8226" s="716">
        <v>12.12</v>
      </c>
    </row>
    <row r="8227" spans="1:4" ht="42">
      <c r="A8227" s="715">
        <v>95626</v>
      </c>
      <c r="B8227" s="633" t="s">
        <v>29409</v>
      </c>
      <c r="C8227" s="715" t="s">
        <v>509</v>
      </c>
      <c r="D8227" s="716">
        <v>18.8</v>
      </c>
    </row>
    <row r="8228" spans="1:4" ht="42">
      <c r="A8228" s="715">
        <v>95624</v>
      </c>
      <c r="B8228" s="633" t="s">
        <v>29407</v>
      </c>
      <c r="C8228" s="715" t="s">
        <v>509</v>
      </c>
      <c r="D8228" s="716">
        <v>27.33</v>
      </c>
    </row>
    <row r="8229" spans="1:4" ht="42">
      <c r="A8229" s="715">
        <v>95625</v>
      </c>
      <c r="B8229" s="633" t="s">
        <v>29408</v>
      </c>
      <c r="C8229" s="715" t="s">
        <v>509</v>
      </c>
      <c r="D8229" s="716">
        <v>32.26</v>
      </c>
    </row>
    <row r="8230" spans="1:4" ht="42">
      <c r="A8230" s="715">
        <v>88497</v>
      </c>
      <c r="B8230" s="633" t="s">
        <v>27078</v>
      </c>
      <c r="C8230" s="715" t="s">
        <v>509</v>
      </c>
      <c r="D8230" s="716">
        <v>22.52</v>
      </c>
    </row>
    <row r="8231" spans="1:4" ht="42">
      <c r="A8231" s="715">
        <v>104648</v>
      </c>
      <c r="B8231" s="633" t="s">
        <v>34210</v>
      </c>
      <c r="C8231" s="715" t="s">
        <v>509</v>
      </c>
      <c r="D8231" s="716">
        <v>0</v>
      </c>
    </row>
    <row r="8232" spans="1:4" ht="42">
      <c r="A8232" s="715">
        <v>88495</v>
      </c>
      <c r="B8232" s="633" t="s">
        <v>27076</v>
      </c>
      <c r="C8232" s="715" t="s">
        <v>509</v>
      </c>
      <c r="D8232" s="716">
        <v>14.61</v>
      </c>
    </row>
    <row r="8233" spans="1:4" ht="42">
      <c r="A8233" s="715">
        <v>104646</v>
      </c>
      <c r="B8233" s="633" t="s">
        <v>34211</v>
      </c>
      <c r="C8233" s="715" t="s">
        <v>509</v>
      </c>
      <c r="D8233" s="716">
        <v>0</v>
      </c>
    </row>
    <row r="8234" spans="1:4" ht="42">
      <c r="A8234" s="715">
        <v>88496</v>
      </c>
      <c r="B8234" s="633" t="s">
        <v>27077</v>
      </c>
      <c r="C8234" s="715" t="s">
        <v>509</v>
      </c>
      <c r="D8234" s="716">
        <v>40.729999999999997</v>
      </c>
    </row>
    <row r="8235" spans="1:4" ht="42">
      <c r="A8235" s="715">
        <v>104647</v>
      </c>
      <c r="B8235" s="633" t="s">
        <v>34212</v>
      </c>
      <c r="C8235" s="715" t="s">
        <v>509</v>
      </c>
      <c r="D8235" s="716">
        <v>0</v>
      </c>
    </row>
    <row r="8236" spans="1:4" ht="28">
      <c r="A8236" s="715">
        <v>88494</v>
      </c>
      <c r="B8236" s="633" t="s">
        <v>27075</v>
      </c>
      <c r="C8236" s="715" t="s">
        <v>509</v>
      </c>
      <c r="D8236" s="716">
        <v>27.02</v>
      </c>
    </row>
    <row r="8237" spans="1:4" ht="42">
      <c r="A8237" s="715">
        <v>104645</v>
      </c>
      <c r="B8237" s="633" t="s">
        <v>34213</v>
      </c>
      <c r="C8237" s="715" t="s">
        <v>509</v>
      </c>
      <c r="D8237" s="716">
        <v>0</v>
      </c>
    </row>
    <row r="8238" spans="1:4" ht="28">
      <c r="A8238" s="715">
        <v>88485</v>
      </c>
      <c r="B8238" s="633" t="s">
        <v>27072</v>
      </c>
      <c r="C8238" s="715" t="s">
        <v>509</v>
      </c>
      <c r="D8238" s="716">
        <v>5.12</v>
      </c>
    </row>
    <row r="8239" spans="1:4" ht="28">
      <c r="A8239" s="715">
        <v>88484</v>
      </c>
      <c r="B8239" s="633" t="s">
        <v>27071</v>
      </c>
      <c r="C8239" s="715" t="s">
        <v>509</v>
      </c>
      <c r="D8239" s="716">
        <v>6.37</v>
      </c>
    </row>
    <row r="8240" spans="1:4" ht="28">
      <c r="A8240" s="715">
        <v>104638</v>
      </c>
      <c r="B8240" s="633" t="s">
        <v>34214</v>
      </c>
      <c r="C8240" s="715" t="s">
        <v>509</v>
      </c>
      <c r="D8240" s="716">
        <v>0</v>
      </c>
    </row>
    <row r="8241" spans="1:4" ht="28">
      <c r="A8241" s="715">
        <v>104637</v>
      </c>
      <c r="B8241" s="633" t="s">
        <v>34215</v>
      </c>
      <c r="C8241" s="715" t="s">
        <v>509</v>
      </c>
      <c r="D8241" s="716">
        <v>0</v>
      </c>
    </row>
    <row r="8242" spans="1:4" ht="28">
      <c r="A8242" s="715">
        <v>104641</v>
      </c>
      <c r="B8242" s="633" t="s">
        <v>27083</v>
      </c>
      <c r="C8242" s="715" t="s">
        <v>509</v>
      </c>
      <c r="D8242" s="716">
        <v>11.37</v>
      </c>
    </row>
    <row r="8243" spans="1:4" ht="28">
      <c r="A8243" s="715">
        <v>104639</v>
      </c>
      <c r="B8243" s="633" t="s">
        <v>27081</v>
      </c>
      <c r="C8243" s="715" t="s">
        <v>509</v>
      </c>
      <c r="D8243" s="716">
        <v>14.43</v>
      </c>
    </row>
    <row r="8244" spans="1:4" ht="28">
      <c r="A8244" s="715">
        <v>104644</v>
      </c>
      <c r="B8244" s="633" t="s">
        <v>34216</v>
      </c>
      <c r="C8244" s="715" t="s">
        <v>509</v>
      </c>
      <c r="D8244" s="716">
        <v>0</v>
      </c>
    </row>
    <row r="8245" spans="1:4" ht="28">
      <c r="A8245" s="715">
        <v>104643</v>
      </c>
      <c r="B8245" s="633" t="s">
        <v>34217</v>
      </c>
      <c r="C8245" s="715" t="s">
        <v>509</v>
      </c>
      <c r="D8245" s="716">
        <v>0</v>
      </c>
    </row>
    <row r="8246" spans="1:4" ht="28">
      <c r="A8246" s="715">
        <v>88489</v>
      </c>
      <c r="B8246" s="633" t="s">
        <v>27074</v>
      </c>
      <c r="C8246" s="715" t="s">
        <v>509</v>
      </c>
      <c r="D8246" s="716">
        <v>15.12</v>
      </c>
    </row>
    <row r="8247" spans="1:4" ht="28">
      <c r="A8247" s="715">
        <v>88488</v>
      </c>
      <c r="B8247" s="633" t="s">
        <v>27073</v>
      </c>
      <c r="C8247" s="715" t="s">
        <v>509</v>
      </c>
      <c r="D8247" s="716">
        <v>18.18</v>
      </c>
    </row>
    <row r="8248" spans="1:4" ht="28">
      <c r="A8248" s="715">
        <v>104642</v>
      </c>
      <c r="B8248" s="633" t="s">
        <v>27084</v>
      </c>
      <c r="C8248" s="715" t="s">
        <v>509</v>
      </c>
      <c r="D8248" s="716">
        <v>12.76</v>
      </c>
    </row>
    <row r="8249" spans="1:4" ht="28">
      <c r="A8249" s="715">
        <v>104640</v>
      </c>
      <c r="B8249" s="633" t="s">
        <v>27082</v>
      </c>
      <c r="C8249" s="715" t="s">
        <v>509</v>
      </c>
      <c r="D8249" s="716">
        <v>15.82</v>
      </c>
    </row>
    <row r="8250" spans="1:4" ht="28">
      <c r="A8250" s="715">
        <v>95305</v>
      </c>
      <c r="B8250" s="633" t="s">
        <v>27079</v>
      </c>
      <c r="C8250" s="715" t="s">
        <v>509</v>
      </c>
      <c r="D8250" s="716">
        <v>15.85</v>
      </c>
    </row>
    <row r="8251" spans="1:4" ht="28">
      <c r="A8251" s="715">
        <v>95306</v>
      </c>
      <c r="B8251" s="633" t="s">
        <v>27080</v>
      </c>
      <c r="C8251" s="715" t="s">
        <v>509</v>
      </c>
      <c r="D8251" s="716">
        <v>18.72</v>
      </c>
    </row>
    <row r="8252" spans="1:4" ht="42">
      <c r="A8252" s="715">
        <v>102201</v>
      </c>
      <c r="B8252" s="633" t="s">
        <v>27089</v>
      </c>
      <c r="C8252" s="715" t="s">
        <v>509</v>
      </c>
      <c r="D8252" s="716">
        <v>23.42</v>
      </c>
    </row>
    <row r="8253" spans="1:4" ht="42">
      <c r="A8253" s="715">
        <v>102200</v>
      </c>
      <c r="B8253" s="633" t="s">
        <v>27088</v>
      </c>
      <c r="C8253" s="715" t="s">
        <v>509</v>
      </c>
      <c r="D8253" s="716">
        <v>24.75</v>
      </c>
    </row>
    <row r="8254" spans="1:4" ht="42">
      <c r="A8254" s="715">
        <v>102202</v>
      </c>
      <c r="B8254" s="633" t="s">
        <v>27090</v>
      </c>
      <c r="C8254" s="715" t="s">
        <v>509</v>
      </c>
      <c r="D8254" s="716">
        <v>57.21</v>
      </c>
    </row>
    <row r="8255" spans="1:4" ht="28">
      <c r="A8255" s="715">
        <v>102193</v>
      </c>
      <c r="B8255" s="633" t="s">
        <v>27085</v>
      </c>
      <c r="C8255" s="715" t="s">
        <v>509</v>
      </c>
      <c r="D8255" s="716">
        <v>2.54</v>
      </c>
    </row>
    <row r="8256" spans="1:4" ht="14">
      <c r="A8256" s="715">
        <v>102194</v>
      </c>
      <c r="B8256" s="633" t="s">
        <v>27086</v>
      </c>
      <c r="C8256" s="715" t="s">
        <v>509</v>
      </c>
      <c r="D8256" s="716">
        <v>10.4</v>
      </c>
    </row>
    <row r="8257" spans="1:4" ht="28">
      <c r="A8257" s="715">
        <v>102198</v>
      </c>
      <c r="B8257" s="633" t="s">
        <v>34218</v>
      </c>
      <c r="C8257" s="715" t="s">
        <v>509</v>
      </c>
      <c r="D8257" s="716">
        <v>0</v>
      </c>
    </row>
    <row r="8258" spans="1:4" ht="28">
      <c r="A8258" s="715">
        <v>102197</v>
      </c>
      <c r="B8258" s="633" t="s">
        <v>27087</v>
      </c>
      <c r="C8258" s="715" t="s">
        <v>509</v>
      </c>
      <c r="D8258" s="716">
        <v>30.61</v>
      </c>
    </row>
    <row r="8259" spans="1:4" ht="28">
      <c r="A8259" s="715">
        <v>102195</v>
      </c>
      <c r="B8259" s="633" t="s">
        <v>34219</v>
      </c>
      <c r="C8259" s="715" t="s">
        <v>509</v>
      </c>
      <c r="D8259" s="716">
        <v>0</v>
      </c>
    </row>
    <row r="8260" spans="1:4" ht="28">
      <c r="A8260" s="715">
        <v>102199</v>
      </c>
      <c r="B8260" s="633" t="s">
        <v>34220</v>
      </c>
      <c r="C8260" s="715" t="s">
        <v>509</v>
      </c>
      <c r="D8260" s="716">
        <v>0</v>
      </c>
    </row>
    <row r="8261" spans="1:4" ht="28">
      <c r="A8261" s="715">
        <v>102196</v>
      </c>
      <c r="B8261" s="633" t="s">
        <v>34221</v>
      </c>
      <c r="C8261" s="715" t="s">
        <v>509</v>
      </c>
      <c r="D8261" s="716">
        <v>0</v>
      </c>
    </row>
    <row r="8262" spans="1:4" ht="28">
      <c r="A8262" s="715">
        <v>102233</v>
      </c>
      <c r="B8262" s="633" t="s">
        <v>27112</v>
      </c>
      <c r="C8262" s="715" t="s">
        <v>509</v>
      </c>
      <c r="D8262" s="716">
        <v>12.85</v>
      </c>
    </row>
    <row r="8263" spans="1:4" ht="28">
      <c r="A8263" s="715">
        <v>102234</v>
      </c>
      <c r="B8263" s="633" t="s">
        <v>27113</v>
      </c>
      <c r="C8263" s="715" t="s">
        <v>509</v>
      </c>
      <c r="D8263" s="716">
        <v>25.7</v>
      </c>
    </row>
    <row r="8264" spans="1:4" ht="28">
      <c r="A8264" s="715">
        <v>102207</v>
      </c>
      <c r="B8264" s="633" t="s">
        <v>27094</v>
      </c>
      <c r="C8264" s="715" t="s">
        <v>509</v>
      </c>
      <c r="D8264" s="716">
        <v>10.78</v>
      </c>
    </row>
    <row r="8265" spans="1:4" ht="28">
      <c r="A8265" s="715">
        <v>102217</v>
      </c>
      <c r="B8265" s="633" t="s">
        <v>27101</v>
      </c>
      <c r="C8265" s="715" t="s">
        <v>509</v>
      </c>
      <c r="D8265" s="716">
        <v>21.58</v>
      </c>
    </row>
    <row r="8266" spans="1:4" ht="28">
      <c r="A8266" s="715">
        <v>102227</v>
      </c>
      <c r="B8266" s="633" t="s">
        <v>27108</v>
      </c>
      <c r="C8266" s="715" t="s">
        <v>509</v>
      </c>
      <c r="D8266" s="716">
        <v>32.369999999999997</v>
      </c>
    </row>
    <row r="8267" spans="1:4" ht="42">
      <c r="A8267" s="715">
        <v>102211</v>
      </c>
      <c r="B8267" s="633" t="s">
        <v>34222</v>
      </c>
      <c r="C8267" s="715" t="s">
        <v>509</v>
      </c>
      <c r="D8267" s="716">
        <v>0</v>
      </c>
    </row>
    <row r="8268" spans="1:4" ht="42">
      <c r="A8268" s="715">
        <v>102221</v>
      </c>
      <c r="B8268" s="633" t="s">
        <v>34223</v>
      </c>
      <c r="C8268" s="715" t="s">
        <v>509</v>
      </c>
      <c r="D8268" s="716">
        <v>0</v>
      </c>
    </row>
    <row r="8269" spans="1:4" ht="42">
      <c r="A8269" s="715">
        <v>102231</v>
      </c>
      <c r="B8269" s="633" t="s">
        <v>34224</v>
      </c>
      <c r="C8269" s="715" t="s">
        <v>509</v>
      </c>
      <c r="D8269" s="716">
        <v>0</v>
      </c>
    </row>
    <row r="8270" spans="1:4" ht="42">
      <c r="A8270" s="715">
        <v>102209</v>
      </c>
      <c r="B8270" s="633" t="s">
        <v>27096</v>
      </c>
      <c r="C8270" s="715" t="s">
        <v>509</v>
      </c>
      <c r="D8270" s="716">
        <v>10.62</v>
      </c>
    </row>
    <row r="8271" spans="1:4" ht="42">
      <c r="A8271" s="715">
        <v>102219</v>
      </c>
      <c r="B8271" s="633" t="s">
        <v>27103</v>
      </c>
      <c r="C8271" s="715" t="s">
        <v>509</v>
      </c>
      <c r="D8271" s="716">
        <v>21.23</v>
      </c>
    </row>
    <row r="8272" spans="1:4" ht="42">
      <c r="A8272" s="715">
        <v>102229</v>
      </c>
      <c r="B8272" s="633" t="s">
        <v>27110</v>
      </c>
      <c r="C8272" s="715" t="s">
        <v>509</v>
      </c>
      <c r="D8272" s="716">
        <v>31.86</v>
      </c>
    </row>
    <row r="8273" spans="1:4" ht="42">
      <c r="A8273" s="715">
        <v>102210</v>
      </c>
      <c r="B8273" s="633" t="s">
        <v>27097</v>
      </c>
      <c r="C8273" s="715" t="s">
        <v>509</v>
      </c>
      <c r="D8273" s="716">
        <v>10.14</v>
      </c>
    </row>
    <row r="8274" spans="1:4" ht="42">
      <c r="A8274" s="715">
        <v>102220</v>
      </c>
      <c r="B8274" s="633" t="s">
        <v>27104</v>
      </c>
      <c r="C8274" s="715" t="s">
        <v>509</v>
      </c>
      <c r="D8274" s="716">
        <v>20.29</v>
      </c>
    </row>
    <row r="8275" spans="1:4" ht="42">
      <c r="A8275" s="715">
        <v>102230</v>
      </c>
      <c r="B8275" s="633" t="s">
        <v>27111</v>
      </c>
      <c r="C8275" s="715" t="s">
        <v>509</v>
      </c>
      <c r="D8275" s="716">
        <v>30.45</v>
      </c>
    </row>
    <row r="8276" spans="1:4" ht="42">
      <c r="A8276" s="715">
        <v>102208</v>
      </c>
      <c r="B8276" s="633" t="s">
        <v>27095</v>
      </c>
      <c r="C8276" s="715" t="s">
        <v>509</v>
      </c>
      <c r="D8276" s="716">
        <v>10.3</v>
      </c>
    </row>
    <row r="8277" spans="1:4" ht="42">
      <c r="A8277" s="715">
        <v>102218</v>
      </c>
      <c r="B8277" s="633" t="s">
        <v>27102</v>
      </c>
      <c r="C8277" s="715" t="s">
        <v>509</v>
      </c>
      <c r="D8277" s="716">
        <v>20.6</v>
      </c>
    </row>
    <row r="8278" spans="1:4" ht="42">
      <c r="A8278" s="715">
        <v>102228</v>
      </c>
      <c r="B8278" s="633" t="s">
        <v>27109</v>
      </c>
      <c r="C8278" s="715" t="s">
        <v>509</v>
      </c>
      <c r="D8278" s="716">
        <v>30.94</v>
      </c>
    </row>
    <row r="8279" spans="1:4" ht="28">
      <c r="A8279" s="715">
        <v>102212</v>
      </c>
      <c r="B8279" s="633" t="s">
        <v>34225</v>
      </c>
      <c r="C8279" s="715" t="s">
        <v>509</v>
      </c>
      <c r="D8279" s="716">
        <v>0</v>
      </c>
    </row>
    <row r="8280" spans="1:4" ht="28">
      <c r="A8280" s="715">
        <v>102222</v>
      </c>
      <c r="B8280" s="633" t="s">
        <v>34226</v>
      </c>
      <c r="C8280" s="715" t="s">
        <v>509</v>
      </c>
      <c r="D8280" s="716">
        <v>0</v>
      </c>
    </row>
    <row r="8281" spans="1:4" ht="28">
      <c r="A8281" s="715">
        <v>102232</v>
      </c>
      <c r="B8281" s="633" t="s">
        <v>34227</v>
      </c>
      <c r="C8281" s="715" t="s">
        <v>509</v>
      </c>
      <c r="D8281" s="716">
        <v>0</v>
      </c>
    </row>
    <row r="8282" spans="1:4" ht="28">
      <c r="A8282" s="715">
        <v>102203</v>
      </c>
      <c r="B8282" s="633" t="s">
        <v>27091</v>
      </c>
      <c r="C8282" s="715" t="s">
        <v>509</v>
      </c>
      <c r="D8282" s="716">
        <v>12.6</v>
      </c>
    </row>
    <row r="8283" spans="1:4" ht="28">
      <c r="A8283" s="715">
        <v>102213</v>
      </c>
      <c r="B8283" s="633" t="s">
        <v>27098</v>
      </c>
      <c r="C8283" s="715" t="s">
        <v>509</v>
      </c>
      <c r="D8283" s="716">
        <v>25.23</v>
      </c>
    </row>
    <row r="8284" spans="1:4" ht="28">
      <c r="A8284" s="715">
        <v>102223</v>
      </c>
      <c r="B8284" s="633" t="s">
        <v>27105</v>
      </c>
      <c r="C8284" s="715" t="s">
        <v>509</v>
      </c>
      <c r="D8284" s="716">
        <v>37.85</v>
      </c>
    </row>
    <row r="8285" spans="1:4" ht="28">
      <c r="A8285" s="715">
        <v>102204</v>
      </c>
      <c r="B8285" s="633" t="s">
        <v>27092</v>
      </c>
      <c r="C8285" s="715" t="s">
        <v>509</v>
      </c>
      <c r="D8285" s="716">
        <v>12.96</v>
      </c>
    </row>
    <row r="8286" spans="1:4" ht="28">
      <c r="A8286" s="715">
        <v>102214</v>
      </c>
      <c r="B8286" s="633" t="s">
        <v>27099</v>
      </c>
      <c r="C8286" s="715" t="s">
        <v>509</v>
      </c>
      <c r="D8286" s="716">
        <v>25.92</v>
      </c>
    </row>
    <row r="8287" spans="1:4" ht="28">
      <c r="A8287" s="715">
        <v>102224</v>
      </c>
      <c r="B8287" s="633" t="s">
        <v>27106</v>
      </c>
      <c r="C8287" s="715" t="s">
        <v>509</v>
      </c>
      <c r="D8287" s="716">
        <v>38.89</v>
      </c>
    </row>
    <row r="8288" spans="1:4" ht="42">
      <c r="A8288" s="715">
        <v>102205</v>
      </c>
      <c r="B8288" s="633" t="s">
        <v>27093</v>
      </c>
      <c r="C8288" s="715" t="s">
        <v>509</v>
      </c>
      <c r="D8288" s="716">
        <v>11.84</v>
      </c>
    </row>
    <row r="8289" spans="1:4" ht="42">
      <c r="A8289" s="715">
        <v>102215</v>
      </c>
      <c r="B8289" s="633" t="s">
        <v>27100</v>
      </c>
      <c r="C8289" s="715" t="s">
        <v>509</v>
      </c>
      <c r="D8289" s="716">
        <v>23.69</v>
      </c>
    </row>
    <row r="8290" spans="1:4" ht="42">
      <c r="A8290" s="715">
        <v>102225</v>
      </c>
      <c r="B8290" s="633" t="s">
        <v>27107</v>
      </c>
      <c r="C8290" s="715" t="s">
        <v>509</v>
      </c>
      <c r="D8290" s="716">
        <v>35.53</v>
      </c>
    </row>
    <row r="8291" spans="1:4" ht="28">
      <c r="A8291" s="715">
        <v>102206</v>
      </c>
      <c r="B8291" s="633" t="s">
        <v>34228</v>
      </c>
      <c r="C8291" s="715" t="s">
        <v>509</v>
      </c>
      <c r="D8291" s="716">
        <v>0</v>
      </c>
    </row>
    <row r="8292" spans="1:4" ht="28">
      <c r="A8292" s="715">
        <v>102216</v>
      </c>
      <c r="B8292" s="633" t="s">
        <v>34229</v>
      </c>
      <c r="C8292" s="715" t="s">
        <v>509</v>
      </c>
      <c r="D8292" s="716">
        <v>0</v>
      </c>
    </row>
    <row r="8293" spans="1:4" ht="28">
      <c r="A8293" s="715">
        <v>102226</v>
      </c>
      <c r="B8293" s="633" t="s">
        <v>34230</v>
      </c>
      <c r="C8293" s="715" t="s">
        <v>509</v>
      </c>
      <c r="D8293" s="716">
        <v>0</v>
      </c>
    </row>
    <row r="8294" spans="1:4" ht="28">
      <c r="A8294" s="715">
        <v>100718</v>
      </c>
      <c r="B8294" s="633" t="s">
        <v>27116</v>
      </c>
      <c r="C8294" s="715" t="s">
        <v>165</v>
      </c>
      <c r="D8294" s="716">
        <v>1.83</v>
      </c>
    </row>
    <row r="8295" spans="1:4" ht="28">
      <c r="A8295" s="715">
        <v>100716</v>
      </c>
      <c r="B8295" s="633" t="s">
        <v>27114</v>
      </c>
      <c r="C8295" s="715" t="s">
        <v>509</v>
      </c>
      <c r="D8295" s="716">
        <v>25.42</v>
      </c>
    </row>
    <row r="8296" spans="1:4" ht="28">
      <c r="A8296" s="715">
        <v>100717</v>
      </c>
      <c r="B8296" s="633" t="s">
        <v>27115</v>
      </c>
      <c r="C8296" s="715" t="s">
        <v>509</v>
      </c>
      <c r="D8296" s="716">
        <v>12.35</v>
      </c>
    </row>
    <row r="8297" spans="1:4" ht="56">
      <c r="A8297" s="715">
        <v>100754</v>
      </c>
      <c r="B8297" s="633" t="s">
        <v>27146</v>
      </c>
      <c r="C8297" s="715" t="s">
        <v>509</v>
      </c>
      <c r="D8297" s="716">
        <v>37.92</v>
      </c>
    </row>
    <row r="8298" spans="1:4" ht="56">
      <c r="A8298" s="715">
        <v>100736</v>
      </c>
      <c r="B8298" s="633" t="s">
        <v>27132</v>
      </c>
      <c r="C8298" s="715" t="s">
        <v>509</v>
      </c>
      <c r="D8298" s="716">
        <v>18.96</v>
      </c>
    </row>
    <row r="8299" spans="1:4" ht="56">
      <c r="A8299" s="715">
        <v>100753</v>
      </c>
      <c r="B8299" s="633" t="s">
        <v>27145</v>
      </c>
      <c r="C8299" s="715" t="s">
        <v>509</v>
      </c>
      <c r="D8299" s="716">
        <v>28.33</v>
      </c>
    </row>
    <row r="8300" spans="1:4" ht="56">
      <c r="A8300" s="715">
        <v>100735</v>
      </c>
      <c r="B8300" s="633" t="s">
        <v>27131</v>
      </c>
      <c r="C8300" s="715" t="s">
        <v>509</v>
      </c>
      <c r="D8300" s="716">
        <v>14.16</v>
      </c>
    </row>
    <row r="8301" spans="1:4" ht="56">
      <c r="A8301" s="715">
        <v>100734</v>
      </c>
      <c r="B8301" s="633" t="s">
        <v>27130</v>
      </c>
      <c r="C8301" s="715" t="s">
        <v>509</v>
      </c>
      <c r="D8301" s="716">
        <v>20.27</v>
      </c>
    </row>
    <row r="8302" spans="1:4" ht="56">
      <c r="A8302" s="715">
        <v>100733</v>
      </c>
      <c r="B8302" s="633" t="s">
        <v>27129</v>
      </c>
      <c r="C8302" s="715" t="s">
        <v>509</v>
      </c>
      <c r="D8302" s="716">
        <v>15.7</v>
      </c>
    </row>
    <row r="8303" spans="1:4" ht="56">
      <c r="A8303" s="715">
        <v>100740</v>
      </c>
      <c r="B8303" s="633" t="s">
        <v>27134</v>
      </c>
      <c r="C8303" s="715" t="s">
        <v>509</v>
      </c>
      <c r="D8303" s="716">
        <v>14.23</v>
      </c>
    </row>
    <row r="8304" spans="1:4" ht="70">
      <c r="A8304" s="715">
        <v>100758</v>
      </c>
      <c r="B8304" s="633" t="s">
        <v>27148</v>
      </c>
      <c r="C8304" s="715" t="s">
        <v>509</v>
      </c>
      <c r="D8304" s="716">
        <v>63.48</v>
      </c>
    </row>
    <row r="8305" spans="1:4" ht="70">
      <c r="A8305" s="715">
        <v>100742</v>
      </c>
      <c r="B8305" s="633" t="s">
        <v>27136</v>
      </c>
      <c r="C8305" s="715" t="s">
        <v>509</v>
      </c>
      <c r="D8305" s="716">
        <v>31.72</v>
      </c>
    </row>
    <row r="8306" spans="1:4" ht="56">
      <c r="A8306" s="715">
        <v>100739</v>
      </c>
      <c r="B8306" s="633" t="s">
        <v>27133</v>
      </c>
      <c r="C8306" s="715" t="s">
        <v>509</v>
      </c>
      <c r="D8306" s="716">
        <v>13.07</v>
      </c>
    </row>
    <row r="8307" spans="1:4" ht="56">
      <c r="A8307" s="715">
        <v>100757</v>
      </c>
      <c r="B8307" s="633" t="s">
        <v>27147</v>
      </c>
      <c r="C8307" s="715" t="s">
        <v>509</v>
      </c>
      <c r="D8307" s="716">
        <v>62.19</v>
      </c>
    </row>
    <row r="8308" spans="1:4" ht="56">
      <c r="A8308" s="715">
        <v>100741</v>
      </c>
      <c r="B8308" s="633" t="s">
        <v>27135</v>
      </c>
      <c r="C8308" s="715" t="s">
        <v>509</v>
      </c>
      <c r="D8308" s="716">
        <v>31.09</v>
      </c>
    </row>
    <row r="8309" spans="1:4" ht="56">
      <c r="A8309" s="715">
        <v>100744</v>
      </c>
      <c r="B8309" s="633" t="s">
        <v>27137</v>
      </c>
      <c r="C8309" s="715" t="s">
        <v>509</v>
      </c>
      <c r="D8309" s="716">
        <v>14.04</v>
      </c>
    </row>
    <row r="8310" spans="1:4" ht="70">
      <c r="A8310" s="715">
        <v>100760</v>
      </c>
      <c r="B8310" s="633" t="s">
        <v>27150</v>
      </c>
      <c r="C8310" s="715" t="s">
        <v>509</v>
      </c>
      <c r="D8310" s="716">
        <v>63.1</v>
      </c>
    </row>
    <row r="8311" spans="1:4" ht="70">
      <c r="A8311" s="715">
        <v>100746</v>
      </c>
      <c r="B8311" s="633" t="s">
        <v>27138</v>
      </c>
      <c r="C8311" s="715" t="s">
        <v>509</v>
      </c>
      <c r="D8311" s="716">
        <v>31.53</v>
      </c>
    </row>
    <row r="8312" spans="1:4" ht="56">
      <c r="A8312" s="715">
        <v>100743</v>
      </c>
      <c r="B8312" s="633" t="s">
        <v>40656</v>
      </c>
      <c r="C8312" s="715" t="s">
        <v>509</v>
      </c>
      <c r="D8312" s="716">
        <v>12.78</v>
      </c>
    </row>
    <row r="8313" spans="1:4" ht="56">
      <c r="A8313" s="715">
        <v>100759</v>
      </c>
      <c r="B8313" s="633" t="s">
        <v>27149</v>
      </c>
      <c r="C8313" s="715" t="s">
        <v>509</v>
      </c>
      <c r="D8313" s="716">
        <v>61.56</v>
      </c>
    </row>
    <row r="8314" spans="1:4" ht="56">
      <c r="A8314" s="715">
        <v>100745</v>
      </c>
      <c r="B8314" s="633" t="s">
        <v>40657</v>
      </c>
      <c r="C8314" s="715" t="s">
        <v>509</v>
      </c>
      <c r="D8314" s="716">
        <v>30.78</v>
      </c>
    </row>
    <row r="8315" spans="1:4" ht="56">
      <c r="A8315" s="715">
        <v>100748</v>
      </c>
      <c r="B8315" s="633" t="s">
        <v>27140</v>
      </c>
      <c r="C8315" s="715" t="s">
        <v>509</v>
      </c>
      <c r="D8315" s="716">
        <v>14.12</v>
      </c>
    </row>
    <row r="8316" spans="1:4" ht="70">
      <c r="A8316" s="715">
        <v>100762</v>
      </c>
      <c r="B8316" s="633" t="s">
        <v>27152</v>
      </c>
      <c r="C8316" s="715" t="s">
        <v>509</v>
      </c>
      <c r="D8316" s="716">
        <v>63.26</v>
      </c>
    </row>
    <row r="8317" spans="1:4" ht="70">
      <c r="A8317" s="715">
        <v>100750</v>
      </c>
      <c r="B8317" s="633" t="s">
        <v>27142</v>
      </c>
      <c r="C8317" s="715" t="s">
        <v>509</v>
      </c>
      <c r="D8317" s="716">
        <v>31.61</v>
      </c>
    </row>
    <row r="8318" spans="1:4" ht="56">
      <c r="A8318" s="715">
        <v>100747</v>
      </c>
      <c r="B8318" s="633" t="s">
        <v>27139</v>
      </c>
      <c r="C8318" s="715" t="s">
        <v>509</v>
      </c>
      <c r="D8318" s="716">
        <v>12.9</v>
      </c>
    </row>
    <row r="8319" spans="1:4" ht="56">
      <c r="A8319" s="715">
        <v>100761</v>
      </c>
      <c r="B8319" s="633" t="s">
        <v>27151</v>
      </c>
      <c r="C8319" s="715" t="s">
        <v>509</v>
      </c>
      <c r="D8319" s="716">
        <v>61.83</v>
      </c>
    </row>
    <row r="8320" spans="1:4" ht="56">
      <c r="A8320" s="715">
        <v>100749</v>
      </c>
      <c r="B8320" s="633" t="s">
        <v>27141</v>
      </c>
      <c r="C8320" s="715" t="s">
        <v>509</v>
      </c>
      <c r="D8320" s="716">
        <v>30.91</v>
      </c>
    </row>
    <row r="8321" spans="1:4" ht="56">
      <c r="A8321" s="715">
        <v>100720</v>
      </c>
      <c r="B8321" s="633" t="s">
        <v>27118</v>
      </c>
      <c r="C8321" s="715" t="s">
        <v>509</v>
      </c>
      <c r="D8321" s="716">
        <v>13.55</v>
      </c>
    </row>
    <row r="8322" spans="1:4" ht="56">
      <c r="A8322" s="715">
        <v>100722</v>
      </c>
      <c r="B8322" s="633" t="s">
        <v>27120</v>
      </c>
      <c r="C8322" s="715" t="s">
        <v>509</v>
      </c>
      <c r="D8322" s="716">
        <v>31.08</v>
      </c>
    </row>
    <row r="8323" spans="1:4" ht="56">
      <c r="A8323" s="715">
        <v>100719</v>
      </c>
      <c r="B8323" s="633" t="s">
        <v>27117</v>
      </c>
      <c r="C8323" s="715" t="s">
        <v>509</v>
      </c>
      <c r="D8323" s="716">
        <v>13.28</v>
      </c>
    </row>
    <row r="8324" spans="1:4" ht="56">
      <c r="A8324" s="715">
        <v>100721</v>
      </c>
      <c r="B8324" s="633" t="s">
        <v>27119</v>
      </c>
      <c r="C8324" s="715" t="s">
        <v>509</v>
      </c>
      <c r="D8324" s="716">
        <v>31.54</v>
      </c>
    </row>
    <row r="8325" spans="1:4" ht="70">
      <c r="A8325" s="715">
        <v>100724</v>
      </c>
      <c r="B8325" s="633" t="s">
        <v>27122</v>
      </c>
      <c r="C8325" s="715" t="s">
        <v>509</v>
      </c>
      <c r="D8325" s="716">
        <v>17.420000000000002</v>
      </c>
    </row>
    <row r="8326" spans="1:4" ht="70">
      <c r="A8326" s="715">
        <v>100726</v>
      </c>
      <c r="B8326" s="633" t="s">
        <v>27124</v>
      </c>
      <c r="C8326" s="715" t="s">
        <v>509</v>
      </c>
      <c r="D8326" s="716">
        <v>34.83</v>
      </c>
    </row>
    <row r="8327" spans="1:4" ht="56">
      <c r="A8327" s="715">
        <v>100723</v>
      </c>
      <c r="B8327" s="633" t="s">
        <v>27121</v>
      </c>
      <c r="C8327" s="715" t="s">
        <v>509</v>
      </c>
      <c r="D8327" s="716">
        <v>14.24</v>
      </c>
    </row>
    <row r="8328" spans="1:4" ht="70">
      <c r="A8328" s="715">
        <v>100725</v>
      </c>
      <c r="B8328" s="633" t="s">
        <v>27123</v>
      </c>
      <c r="C8328" s="715" t="s">
        <v>509</v>
      </c>
      <c r="D8328" s="716">
        <v>31.85</v>
      </c>
    </row>
    <row r="8329" spans="1:4" ht="56">
      <c r="A8329" s="715">
        <v>100752</v>
      </c>
      <c r="B8329" s="633" t="s">
        <v>27144</v>
      </c>
      <c r="C8329" s="715" t="s">
        <v>509</v>
      </c>
      <c r="D8329" s="716">
        <v>57.82</v>
      </c>
    </row>
    <row r="8330" spans="1:4" ht="56">
      <c r="A8330" s="715">
        <v>100730</v>
      </c>
      <c r="B8330" s="633" t="s">
        <v>27128</v>
      </c>
      <c r="C8330" s="715" t="s">
        <v>509</v>
      </c>
      <c r="D8330" s="716">
        <v>28.91</v>
      </c>
    </row>
    <row r="8331" spans="1:4" ht="42">
      <c r="A8331" s="715">
        <v>100751</v>
      </c>
      <c r="B8331" s="633" t="s">
        <v>27143</v>
      </c>
      <c r="C8331" s="715" t="s">
        <v>509</v>
      </c>
      <c r="D8331" s="716">
        <v>48.84</v>
      </c>
    </row>
    <row r="8332" spans="1:4" ht="42">
      <c r="A8332" s="715">
        <v>100729</v>
      </c>
      <c r="B8332" s="633" t="s">
        <v>27127</v>
      </c>
      <c r="C8332" s="715" t="s">
        <v>509</v>
      </c>
      <c r="D8332" s="716">
        <v>24.42</v>
      </c>
    </row>
    <row r="8333" spans="1:4" ht="42">
      <c r="A8333" s="715">
        <v>100728</v>
      </c>
      <c r="B8333" s="633" t="s">
        <v>27126</v>
      </c>
      <c r="C8333" s="715" t="s">
        <v>509</v>
      </c>
      <c r="D8333" s="716">
        <v>29.36</v>
      </c>
    </row>
    <row r="8334" spans="1:4" ht="56">
      <c r="A8334" s="715">
        <v>100732</v>
      </c>
      <c r="B8334" s="633" t="s">
        <v>34231</v>
      </c>
      <c r="C8334" s="715" t="s">
        <v>509</v>
      </c>
      <c r="D8334" s="716">
        <v>0</v>
      </c>
    </row>
    <row r="8335" spans="1:4" ht="42">
      <c r="A8335" s="715">
        <v>100731</v>
      </c>
      <c r="B8335" s="633" t="s">
        <v>34232</v>
      </c>
      <c r="C8335" s="715" t="s">
        <v>509</v>
      </c>
      <c r="D8335" s="716">
        <v>0</v>
      </c>
    </row>
    <row r="8336" spans="1:4" ht="42">
      <c r="A8336" s="715">
        <v>100727</v>
      </c>
      <c r="B8336" s="633" t="s">
        <v>27125</v>
      </c>
      <c r="C8336" s="715" t="s">
        <v>509</v>
      </c>
      <c r="D8336" s="716">
        <v>32.17</v>
      </c>
    </row>
    <row r="8337" spans="1:4" ht="56">
      <c r="A8337" s="715">
        <v>100756</v>
      </c>
      <c r="B8337" s="633" t="s">
        <v>34233</v>
      </c>
      <c r="C8337" s="715" t="s">
        <v>509</v>
      </c>
      <c r="D8337" s="716">
        <v>0</v>
      </c>
    </row>
    <row r="8338" spans="1:4" ht="56">
      <c r="A8338" s="715">
        <v>100738</v>
      </c>
      <c r="B8338" s="633" t="s">
        <v>34234</v>
      </c>
      <c r="C8338" s="715" t="s">
        <v>509</v>
      </c>
      <c r="D8338" s="716">
        <v>0</v>
      </c>
    </row>
    <row r="8339" spans="1:4" ht="42">
      <c r="A8339" s="715">
        <v>100755</v>
      </c>
      <c r="B8339" s="633" t="s">
        <v>34235</v>
      </c>
      <c r="C8339" s="715" t="s">
        <v>509</v>
      </c>
      <c r="D8339" s="716">
        <v>0</v>
      </c>
    </row>
    <row r="8340" spans="1:4" ht="42">
      <c r="A8340" s="715">
        <v>100737</v>
      </c>
      <c r="B8340" s="633" t="s">
        <v>34236</v>
      </c>
      <c r="C8340" s="715" t="s">
        <v>509</v>
      </c>
      <c r="D8340" s="716">
        <v>0</v>
      </c>
    </row>
    <row r="8341" spans="1:4" ht="14">
      <c r="A8341" s="715">
        <v>102499</v>
      </c>
      <c r="B8341" s="633" t="s">
        <v>27161</v>
      </c>
      <c r="C8341" s="715" t="s">
        <v>509</v>
      </c>
      <c r="D8341" s="716">
        <v>4.33</v>
      </c>
    </row>
    <row r="8342" spans="1:4" ht="42">
      <c r="A8342" s="715">
        <v>102505</v>
      </c>
      <c r="B8342" s="633" t="s">
        <v>27164</v>
      </c>
      <c r="C8342" s="715" t="s">
        <v>165</v>
      </c>
      <c r="D8342" s="716">
        <v>13.65</v>
      </c>
    </row>
    <row r="8343" spans="1:4" ht="42">
      <c r="A8343" s="715">
        <v>102504</v>
      </c>
      <c r="B8343" s="633" t="s">
        <v>27163</v>
      </c>
      <c r="C8343" s="715" t="s">
        <v>165</v>
      </c>
      <c r="D8343" s="716">
        <v>13.08</v>
      </c>
    </row>
    <row r="8344" spans="1:4" ht="42">
      <c r="A8344" s="715">
        <v>102506</v>
      </c>
      <c r="B8344" s="633" t="s">
        <v>27165</v>
      </c>
      <c r="C8344" s="715" t="s">
        <v>165</v>
      </c>
      <c r="D8344" s="716">
        <v>14.31</v>
      </c>
    </row>
    <row r="8345" spans="1:4" ht="28">
      <c r="A8345" s="715">
        <v>102500</v>
      </c>
      <c r="B8345" s="633" t="s">
        <v>27162</v>
      </c>
      <c r="C8345" s="715" t="s">
        <v>165</v>
      </c>
      <c r="D8345" s="716">
        <v>5.68</v>
      </c>
    </row>
    <row r="8346" spans="1:4" ht="42">
      <c r="A8346" s="715">
        <v>102502</v>
      </c>
      <c r="B8346" s="633" t="s">
        <v>34237</v>
      </c>
      <c r="C8346" s="715" t="s">
        <v>165</v>
      </c>
      <c r="D8346" s="716">
        <v>0</v>
      </c>
    </row>
    <row r="8347" spans="1:4" ht="28">
      <c r="A8347" s="715">
        <v>102507</v>
      </c>
      <c r="B8347" s="633" t="s">
        <v>27166</v>
      </c>
      <c r="C8347" s="715" t="s">
        <v>165</v>
      </c>
      <c r="D8347" s="716">
        <v>8.1300000000000008</v>
      </c>
    </row>
    <row r="8348" spans="1:4" ht="70">
      <c r="A8348" s="715">
        <v>102510</v>
      </c>
      <c r="B8348" s="633" t="s">
        <v>40658</v>
      </c>
      <c r="C8348" s="715" t="s">
        <v>165</v>
      </c>
      <c r="D8348" s="716">
        <v>0</v>
      </c>
    </row>
    <row r="8349" spans="1:4" ht="70">
      <c r="A8349" s="715">
        <v>102512</v>
      </c>
      <c r="B8349" s="633" t="s">
        <v>40659</v>
      </c>
      <c r="C8349" s="715" t="s">
        <v>165</v>
      </c>
      <c r="D8349" s="716">
        <v>7.58</v>
      </c>
    </row>
    <row r="8350" spans="1:4" ht="42">
      <c r="A8350" s="715">
        <v>102501</v>
      </c>
      <c r="B8350" s="633" t="s">
        <v>40660</v>
      </c>
      <c r="C8350" s="715" t="s">
        <v>509</v>
      </c>
      <c r="D8350" s="716">
        <v>31.12</v>
      </c>
    </row>
    <row r="8351" spans="1:4" ht="42">
      <c r="A8351" s="715">
        <v>102503</v>
      </c>
      <c r="B8351" s="633" t="s">
        <v>40661</v>
      </c>
      <c r="C8351" s="715" t="s">
        <v>509</v>
      </c>
      <c r="D8351" s="716">
        <v>0</v>
      </c>
    </row>
    <row r="8352" spans="1:4" ht="42">
      <c r="A8352" s="715">
        <v>102508</v>
      </c>
      <c r="B8352" s="633" t="s">
        <v>40662</v>
      </c>
      <c r="C8352" s="715" t="s">
        <v>509</v>
      </c>
      <c r="D8352" s="716">
        <v>56.11</v>
      </c>
    </row>
    <row r="8353" spans="1:4" ht="70">
      <c r="A8353" s="715">
        <v>102511</v>
      </c>
      <c r="B8353" s="633" t="s">
        <v>34238</v>
      </c>
      <c r="C8353" s="715" t="s">
        <v>509</v>
      </c>
      <c r="D8353" s="716">
        <v>0</v>
      </c>
    </row>
    <row r="8354" spans="1:4" ht="56">
      <c r="A8354" s="715">
        <v>102509</v>
      </c>
      <c r="B8354" s="633" t="s">
        <v>27167</v>
      </c>
      <c r="C8354" s="715" t="s">
        <v>509</v>
      </c>
      <c r="D8354" s="716">
        <v>39.78</v>
      </c>
    </row>
    <row r="8355" spans="1:4" ht="28">
      <c r="A8355" s="715">
        <v>102498</v>
      </c>
      <c r="B8355" s="633" t="s">
        <v>27160</v>
      </c>
      <c r="C8355" s="715" t="s">
        <v>165</v>
      </c>
      <c r="D8355" s="716">
        <v>2.0499999999999998</v>
      </c>
    </row>
    <row r="8356" spans="1:4" ht="42">
      <c r="A8356" s="715">
        <v>102519</v>
      </c>
      <c r="B8356" s="633" t="s">
        <v>40663</v>
      </c>
      <c r="C8356" s="715" t="s">
        <v>103</v>
      </c>
      <c r="D8356" s="716">
        <v>0</v>
      </c>
    </row>
    <row r="8357" spans="1:4" ht="42">
      <c r="A8357" s="715">
        <v>102491</v>
      </c>
      <c r="B8357" s="633" t="s">
        <v>27155</v>
      </c>
      <c r="C8357" s="715" t="s">
        <v>509</v>
      </c>
      <c r="D8357" s="716">
        <v>25.06</v>
      </c>
    </row>
    <row r="8358" spans="1:4" ht="42">
      <c r="A8358" s="715">
        <v>102492</v>
      </c>
      <c r="B8358" s="633" t="s">
        <v>27156</v>
      </c>
      <c r="C8358" s="715" t="s">
        <v>509</v>
      </c>
      <c r="D8358" s="716">
        <v>31.89</v>
      </c>
    </row>
    <row r="8359" spans="1:4" ht="42">
      <c r="A8359" s="715">
        <v>102804</v>
      </c>
      <c r="B8359" s="633" t="s">
        <v>34239</v>
      </c>
      <c r="C8359" s="715" t="s">
        <v>509</v>
      </c>
      <c r="D8359" s="716">
        <v>0</v>
      </c>
    </row>
    <row r="8360" spans="1:4" ht="42">
      <c r="A8360" s="715">
        <v>102494</v>
      </c>
      <c r="B8360" s="633" t="s">
        <v>27157</v>
      </c>
      <c r="C8360" s="715" t="s">
        <v>509</v>
      </c>
      <c r="D8360" s="716">
        <v>76.849999999999994</v>
      </c>
    </row>
    <row r="8361" spans="1:4" ht="28">
      <c r="A8361" s="715">
        <v>102805</v>
      </c>
      <c r="B8361" s="633" t="s">
        <v>34240</v>
      </c>
      <c r="C8361" s="715" t="s">
        <v>509</v>
      </c>
      <c r="D8361" s="716">
        <v>0</v>
      </c>
    </row>
    <row r="8362" spans="1:4" ht="42">
      <c r="A8362" s="715">
        <v>102490</v>
      </c>
      <c r="B8362" s="633" t="s">
        <v>34241</v>
      </c>
      <c r="C8362" s="715" t="s">
        <v>509</v>
      </c>
      <c r="D8362" s="716">
        <v>0</v>
      </c>
    </row>
    <row r="8363" spans="1:4" ht="42">
      <c r="A8363" s="715">
        <v>102496</v>
      </c>
      <c r="B8363" s="633" t="s">
        <v>27158</v>
      </c>
      <c r="C8363" s="715" t="s">
        <v>165</v>
      </c>
      <c r="D8363" s="716">
        <v>16.55</v>
      </c>
    </row>
    <row r="8364" spans="1:4" ht="42">
      <c r="A8364" s="715">
        <v>102497</v>
      </c>
      <c r="B8364" s="633" t="s">
        <v>27159</v>
      </c>
      <c r="C8364" s="715" t="s">
        <v>165</v>
      </c>
      <c r="D8364" s="716">
        <v>6.24</v>
      </c>
    </row>
    <row r="8365" spans="1:4" ht="42">
      <c r="A8365" s="715">
        <v>102520</v>
      </c>
      <c r="B8365" s="633" t="s">
        <v>27169</v>
      </c>
      <c r="C8365" s="715" t="s">
        <v>509</v>
      </c>
      <c r="D8365" s="716">
        <v>105.29</v>
      </c>
    </row>
    <row r="8366" spans="1:4" ht="42">
      <c r="A8366" s="715">
        <v>102518</v>
      </c>
      <c r="B8366" s="633" t="s">
        <v>34242</v>
      </c>
      <c r="C8366" s="715" t="s">
        <v>103</v>
      </c>
      <c r="D8366" s="716">
        <v>0</v>
      </c>
    </row>
    <row r="8367" spans="1:4" ht="42">
      <c r="A8367" s="715">
        <v>102514</v>
      </c>
      <c r="B8367" s="633" t="s">
        <v>34243</v>
      </c>
      <c r="C8367" s="715" t="s">
        <v>103</v>
      </c>
      <c r="D8367" s="716">
        <v>0</v>
      </c>
    </row>
    <row r="8368" spans="1:4" ht="42">
      <c r="A8368" s="715">
        <v>102516</v>
      </c>
      <c r="B8368" s="633" t="s">
        <v>34244</v>
      </c>
      <c r="C8368" s="715" t="s">
        <v>103</v>
      </c>
      <c r="D8368" s="716">
        <v>0</v>
      </c>
    </row>
    <row r="8369" spans="1:4" ht="42">
      <c r="A8369" s="715">
        <v>102515</v>
      </c>
      <c r="B8369" s="633" t="s">
        <v>34245</v>
      </c>
      <c r="C8369" s="715" t="s">
        <v>103</v>
      </c>
      <c r="D8369" s="716">
        <v>0</v>
      </c>
    </row>
    <row r="8370" spans="1:4" ht="42">
      <c r="A8370" s="715">
        <v>102517</v>
      </c>
      <c r="B8370" s="633" t="s">
        <v>34246</v>
      </c>
      <c r="C8370" s="715" t="s">
        <v>103</v>
      </c>
      <c r="D8370" s="716">
        <v>0</v>
      </c>
    </row>
    <row r="8371" spans="1:4" ht="42">
      <c r="A8371" s="715">
        <v>102513</v>
      </c>
      <c r="B8371" s="633" t="s">
        <v>27168</v>
      </c>
      <c r="C8371" s="715" t="s">
        <v>509</v>
      </c>
      <c r="D8371" s="716">
        <v>60.94</v>
      </c>
    </row>
    <row r="8372" spans="1:4" ht="28">
      <c r="A8372" s="715">
        <v>102489</v>
      </c>
      <c r="B8372" s="633" t="s">
        <v>27154</v>
      </c>
      <c r="C8372" s="715" t="s">
        <v>509</v>
      </c>
      <c r="D8372" s="716">
        <v>32.119999999999997</v>
      </c>
    </row>
    <row r="8373" spans="1:4" ht="28">
      <c r="A8373" s="715">
        <v>102488</v>
      </c>
      <c r="B8373" s="633" t="s">
        <v>27153</v>
      </c>
      <c r="C8373" s="715" t="s">
        <v>509</v>
      </c>
      <c r="D8373" s="716">
        <v>4.76</v>
      </c>
    </row>
    <row r="8374" spans="1:4" ht="28">
      <c r="A8374" s="715">
        <v>101730</v>
      </c>
      <c r="B8374" s="633" t="s">
        <v>43610</v>
      </c>
      <c r="C8374" s="715" t="s">
        <v>509</v>
      </c>
      <c r="D8374" s="716">
        <v>0</v>
      </c>
    </row>
    <row r="8375" spans="1:4" ht="14">
      <c r="A8375" s="715">
        <v>101746</v>
      </c>
      <c r="B8375" s="633" t="s">
        <v>43611</v>
      </c>
      <c r="C8375" s="715" t="s">
        <v>509</v>
      </c>
      <c r="D8375" s="716">
        <v>605.72</v>
      </c>
    </row>
    <row r="8376" spans="1:4" ht="42">
      <c r="A8376" s="715">
        <v>106788</v>
      </c>
      <c r="B8376" s="633" t="s">
        <v>43612</v>
      </c>
      <c r="C8376" s="715" t="s">
        <v>509</v>
      </c>
      <c r="D8376" s="716">
        <v>34.19</v>
      </c>
    </row>
    <row r="8377" spans="1:4" ht="42">
      <c r="A8377" s="715">
        <v>106789</v>
      </c>
      <c r="B8377" s="633" t="s">
        <v>43613</v>
      </c>
      <c r="C8377" s="715" t="s">
        <v>509</v>
      </c>
      <c r="D8377" s="716">
        <v>31.87</v>
      </c>
    </row>
    <row r="8378" spans="1:4" ht="42">
      <c r="A8378" s="715">
        <v>98679</v>
      </c>
      <c r="B8378" s="633" t="s">
        <v>43614</v>
      </c>
      <c r="C8378" s="715" t="s">
        <v>509</v>
      </c>
      <c r="D8378" s="716">
        <v>38.47</v>
      </c>
    </row>
    <row r="8379" spans="1:4" ht="42">
      <c r="A8379" s="715">
        <v>98680</v>
      </c>
      <c r="B8379" s="633" t="s">
        <v>43615</v>
      </c>
      <c r="C8379" s="715" t="s">
        <v>509</v>
      </c>
      <c r="D8379" s="716">
        <v>46.83</v>
      </c>
    </row>
    <row r="8380" spans="1:4" ht="42">
      <c r="A8380" s="715">
        <v>101749</v>
      </c>
      <c r="B8380" s="633" t="s">
        <v>43616</v>
      </c>
      <c r="C8380" s="715" t="s">
        <v>509</v>
      </c>
      <c r="D8380" s="716">
        <v>53.66</v>
      </c>
    </row>
    <row r="8381" spans="1:4" ht="42">
      <c r="A8381" s="715">
        <v>98681</v>
      </c>
      <c r="B8381" s="633" t="s">
        <v>43617</v>
      </c>
      <c r="C8381" s="715" t="s">
        <v>509</v>
      </c>
      <c r="D8381" s="716">
        <v>33.5</v>
      </c>
    </row>
    <row r="8382" spans="1:4" ht="42">
      <c r="A8382" s="715">
        <v>98682</v>
      </c>
      <c r="B8382" s="633" t="s">
        <v>43618</v>
      </c>
      <c r="C8382" s="715" t="s">
        <v>509</v>
      </c>
      <c r="D8382" s="716">
        <v>41.85</v>
      </c>
    </row>
    <row r="8383" spans="1:4" ht="42">
      <c r="A8383" s="715">
        <v>101750</v>
      </c>
      <c r="B8383" s="633" t="s">
        <v>43619</v>
      </c>
      <c r="C8383" s="715" t="s">
        <v>509</v>
      </c>
      <c r="D8383" s="716">
        <v>48.68</v>
      </c>
    </row>
    <row r="8384" spans="1:4" ht="84">
      <c r="A8384" s="715">
        <v>106787</v>
      </c>
      <c r="B8384" s="633" t="s">
        <v>43620</v>
      </c>
      <c r="C8384" s="715" t="s">
        <v>509</v>
      </c>
      <c r="D8384" s="716">
        <v>0</v>
      </c>
    </row>
    <row r="8385" spans="1:4" ht="28">
      <c r="A8385" s="715">
        <v>101737</v>
      </c>
      <c r="B8385" s="633" t="s">
        <v>43621</v>
      </c>
      <c r="C8385" s="715" t="s">
        <v>509</v>
      </c>
      <c r="D8385" s="716">
        <v>147.01</v>
      </c>
    </row>
    <row r="8386" spans="1:4" ht="28">
      <c r="A8386" s="715">
        <v>101735</v>
      </c>
      <c r="B8386" s="633" t="s">
        <v>43622</v>
      </c>
      <c r="C8386" s="715" t="s">
        <v>509</v>
      </c>
      <c r="D8386" s="716">
        <v>464.79</v>
      </c>
    </row>
    <row r="8387" spans="1:4" ht="28">
      <c r="A8387" s="715">
        <v>101734</v>
      </c>
      <c r="B8387" s="633" t="s">
        <v>43623</v>
      </c>
      <c r="C8387" s="715" t="s">
        <v>509</v>
      </c>
      <c r="D8387" s="716">
        <v>454.02</v>
      </c>
    </row>
    <row r="8388" spans="1:4" ht="28">
      <c r="A8388" s="715">
        <v>101736</v>
      </c>
      <c r="B8388" s="633" t="s">
        <v>43624</v>
      </c>
      <c r="C8388" s="715" t="s">
        <v>509</v>
      </c>
      <c r="D8388" s="716">
        <v>125.69</v>
      </c>
    </row>
    <row r="8389" spans="1:4" ht="42">
      <c r="A8389" s="715">
        <v>101733</v>
      </c>
      <c r="B8389" s="633" t="s">
        <v>43625</v>
      </c>
      <c r="C8389" s="715" t="s">
        <v>509</v>
      </c>
      <c r="D8389" s="716">
        <v>305.48</v>
      </c>
    </row>
    <row r="8390" spans="1:4" ht="42">
      <c r="A8390" s="715">
        <v>98677</v>
      </c>
      <c r="B8390" s="633" t="s">
        <v>43626</v>
      </c>
      <c r="C8390" s="715" t="s">
        <v>509</v>
      </c>
      <c r="D8390" s="716">
        <v>0</v>
      </c>
    </row>
    <row r="8391" spans="1:4" ht="42">
      <c r="A8391" s="715">
        <v>98678</v>
      </c>
      <c r="B8391" s="633" t="s">
        <v>43627</v>
      </c>
      <c r="C8391" s="715" t="s">
        <v>509</v>
      </c>
      <c r="D8391" s="716">
        <v>0</v>
      </c>
    </row>
    <row r="8392" spans="1:4" ht="42">
      <c r="A8392" s="715">
        <v>98676</v>
      </c>
      <c r="B8392" s="633" t="s">
        <v>43628</v>
      </c>
      <c r="C8392" s="715" t="s">
        <v>509</v>
      </c>
      <c r="D8392" s="716">
        <v>0</v>
      </c>
    </row>
    <row r="8393" spans="1:4" ht="42">
      <c r="A8393" s="715">
        <v>98675</v>
      </c>
      <c r="B8393" s="633" t="s">
        <v>43629</v>
      </c>
      <c r="C8393" s="715" t="s">
        <v>509</v>
      </c>
      <c r="D8393" s="716">
        <v>0</v>
      </c>
    </row>
    <row r="8394" spans="1:4" ht="84">
      <c r="A8394" s="715">
        <v>104162</v>
      </c>
      <c r="B8394" s="633" t="s">
        <v>43630</v>
      </c>
      <c r="C8394" s="715" t="s">
        <v>509</v>
      </c>
      <c r="D8394" s="716">
        <v>117.32</v>
      </c>
    </row>
    <row r="8395" spans="1:4" ht="28">
      <c r="A8395" s="715">
        <v>98671</v>
      </c>
      <c r="B8395" s="633" t="s">
        <v>43631</v>
      </c>
      <c r="C8395" s="715" t="s">
        <v>509</v>
      </c>
      <c r="D8395" s="716">
        <v>465.87</v>
      </c>
    </row>
    <row r="8396" spans="1:4" ht="42">
      <c r="A8396" s="715">
        <v>101726</v>
      </c>
      <c r="B8396" s="633" t="s">
        <v>43632</v>
      </c>
      <c r="C8396" s="715" t="s">
        <v>509</v>
      </c>
      <c r="D8396" s="716">
        <v>253.21</v>
      </c>
    </row>
    <row r="8397" spans="1:4" ht="42">
      <c r="A8397" s="715">
        <v>101725</v>
      </c>
      <c r="B8397" s="633" t="s">
        <v>43633</v>
      </c>
      <c r="C8397" s="715" t="s">
        <v>509</v>
      </c>
      <c r="D8397" s="716">
        <v>347.03</v>
      </c>
    </row>
    <row r="8398" spans="1:4" ht="28">
      <c r="A8398" s="715">
        <v>98672</v>
      </c>
      <c r="B8398" s="633" t="s">
        <v>43634</v>
      </c>
      <c r="C8398" s="715" t="s">
        <v>509</v>
      </c>
      <c r="D8398" s="716">
        <v>734.21</v>
      </c>
    </row>
    <row r="8399" spans="1:4" ht="28">
      <c r="A8399" s="715">
        <v>101732</v>
      </c>
      <c r="B8399" s="633" t="s">
        <v>43635</v>
      </c>
      <c r="C8399" s="715" t="s">
        <v>509</v>
      </c>
      <c r="D8399" s="716">
        <v>130.69</v>
      </c>
    </row>
    <row r="8400" spans="1:4" ht="28">
      <c r="A8400" s="715">
        <v>106793</v>
      </c>
      <c r="B8400" s="633" t="s">
        <v>43636</v>
      </c>
      <c r="C8400" s="715" t="s">
        <v>509</v>
      </c>
      <c r="D8400" s="716">
        <v>0</v>
      </c>
    </row>
    <row r="8401" spans="1:4" ht="28">
      <c r="A8401" s="715">
        <v>101731</v>
      </c>
      <c r="B8401" s="633" t="s">
        <v>43637</v>
      </c>
      <c r="C8401" s="715" t="s">
        <v>509</v>
      </c>
      <c r="D8401" s="716">
        <v>396.12</v>
      </c>
    </row>
    <row r="8402" spans="1:4" ht="28">
      <c r="A8402" s="715">
        <v>101751</v>
      </c>
      <c r="B8402" s="633" t="s">
        <v>43638</v>
      </c>
      <c r="C8402" s="715" t="s">
        <v>509</v>
      </c>
      <c r="D8402" s="716">
        <v>420.74</v>
      </c>
    </row>
    <row r="8403" spans="1:4" ht="28">
      <c r="A8403" s="715">
        <v>101729</v>
      </c>
      <c r="B8403" s="633" t="s">
        <v>43639</v>
      </c>
      <c r="C8403" s="715" t="s">
        <v>509</v>
      </c>
      <c r="D8403" s="716">
        <v>417.29</v>
      </c>
    </row>
    <row r="8404" spans="1:4" ht="14">
      <c r="A8404" s="715">
        <v>98683</v>
      </c>
      <c r="B8404" s="633" t="s">
        <v>43640</v>
      </c>
      <c r="C8404" s="715" t="s">
        <v>509</v>
      </c>
      <c r="D8404" s="716">
        <v>0</v>
      </c>
    </row>
    <row r="8405" spans="1:4" ht="28">
      <c r="A8405" s="715">
        <v>106785</v>
      </c>
      <c r="B8405" s="633" t="s">
        <v>43641</v>
      </c>
      <c r="C8405" s="715" t="s">
        <v>165</v>
      </c>
      <c r="D8405" s="716">
        <v>0</v>
      </c>
    </row>
    <row r="8406" spans="1:4" ht="42">
      <c r="A8406" s="715">
        <v>101094</v>
      </c>
      <c r="B8406" s="633" t="s">
        <v>43642</v>
      </c>
      <c r="C8406" s="715" t="s">
        <v>165</v>
      </c>
      <c r="D8406" s="716">
        <v>219.9</v>
      </c>
    </row>
    <row r="8407" spans="1:4" ht="42">
      <c r="A8407" s="715">
        <v>101095</v>
      </c>
      <c r="B8407" s="633" t="s">
        <v>43643</v>
      </c>
      <c r="C8407" s="715" t="s">
        <v>165</v>
      </c>
      <c r="D8407" s="716">
        <v>0</v>
      </c>
    </row>
    <row r="8408" spans="1:4" ht="42">
      <c r="A8408" s="715">
        <v>106786</v>
      </c>
      <c r="B8408" s="633" t="s">
        <v>43644</v>
      </c>
      <c r="C8408" s="715" t="s">
        <v>165</v>
      </c>
      <c r="D8408" s="716">
        <v>0</v>
      </c>
    </row>
    <row r="8409" spans="1:4" ht="28">
      <c r="A8409" s="715">
        <v>106783</v>
      </c>
      <c r="B8409" s="633" t="s">
        <v>43645</v>
      </c>
      <c r="C8409" s="715" t="s">
        <v>509</v>
      </c>
      <c r="D8409" s="716">
        <v>0</v>
      </c>
    </row>
    <row r="8410" spans="1:4" ht="28">
      <c r="A8410" s="715">
        <v>106784</v>
      </c>
      <c r="B8410" s="633" t="s">
        <v>43646</v>
      </c>
      <c r="C8410" s="715" t="s">
        <v>509</v>
      </c>
      <c r="D8410" s="716">
        <v>0</v>
      </c>
    </row>
    <row r="8411" spans="1:4" ht="14">
      <c r="A8411" s="715">
        <v>106782</v>
      </c>
      <c r="B8411" s="633" t="s">
        <v>43647</v>
      </c>
      <c r="C8411" s="715" t="s">
        <v>509</v>
      </c>
      <c r="D8411" s="716">
        <v>0</v>
      </c>
    </row>
    <row r="8412" spans="1:4" ht="28">
      <c r="A8412" s="715">
        <v>101728</v>
      </c>
      <c r="B8412" s="633" t="s">
        <v>43648</v>
      </c>
      <c r="C8412" s="715" t="s">
        <v>509</v>
      </c>
      <c r="D8412" s="716">
        <v>0</v>
      </c>
    </row>
    <row r="8413" spans="1:4" ht="42">
      <c r="A8413" s="715">
        <v>101727</v>
      </c>
      <c r="B8413" s="633" t="s">
        <v>43649</v>
      </c>
      <c r="C8413" s="715" t="s">
        <v>509</v>
      </c>
      <c r="D8413" s="716">
        <v>210.76</v>
      </c>
    </row>
    <row r="8414" spans="1:4" ht="42">
      <c r="A8414" s="715">
        <v>106790</v>
      </c>
      <c r="B8414" s="633" t="s">
        <v>43650</v>
      </c>
      <c r="C8414" s="715" t="s">
        <v>509</v>
      </c>
      <c r="D8414" s="716">
        <v>227</v>
      </c>
    </row>
    <row r="8415" spans="1:4" ht="28">
      <c r="A8415" s="715">
        <v>106792</v>
      </c>
      <c r="B8415" s="633" t="s">
        <v>43651</v>
      </c>
      <c r="C8415" s="715" t="s">
        <v>509</v>
      </c>
      <c r="D8415" s="716">
        <v>4.78</v>
      </c>
    </row>
    <row r="8416" spans="1:4" ht="28">
      <c r="A8416" s="715">
        <v>101748</v>
      </c>
      <c r="B8416" s="633" t="s">
        <v>43652</v>
      </c>
      <c r="C8416" s="715" t="s">
        <v>509</v>
      </c>
      <c r="D8416" s="716">
        <v>4.62</v>
      </c>
    </row>
    <row r="8417" spans="1:4" ht="28">
      <c r="A8417" s="715">
        <v>106791</v>
      </c>
      <c r="B8417" s="633" t="s">
        <v>43653</v>
      </c>
      <c r="C8417" s="715" t="s">
        <v>509</v>
      </c>
      <c r="D8417" s="716">
        <v>441.8</v>
      </c>
    </row>
    <row r="8418" spans="1:4" ht="28">
      <c r="A8418" s="715">
        <v>101742</v>
      </c>
      <c r="B8418" s="633" t="s">
        <v>43654</v>
      </c>
      <c r="C8418" s="715" t="s">
        <v>165</v>
      </c>
      <c r="D8418" s="716">
        <v>63.56</v>
      </c>
    </row>
    <row r="8419" spans="1:4" ht="14">
      <c r="A8419" s="715">
        <v>101740</v>
      </c>
      <c r="B8419" s="633" t="s">
        <v>43655</v>
      </c>
      <c r="C8419" s="715" t="s">
        <v>165</v>
      </c>
      <c r="D8419" s="716">
        <v>64</v>
      </c>
    </row>
    <row r="8420" spans="1:4" ht="14">
      <c r="A8420" s="715">
        <v>98685</v>
      </c>
      <c r="B8420" s="633" t="s">
        <v>43656</v>
      </c>
      <c r="C8420" s="715" t="s">
        <v>165</v>
      </c>
      <c r="D8420" s="716">
        <v>92.51</v>
      </c>
    </row>
    <row r="8421" spans="1:4" ht="28">
      <c r="A8421" s="715">
        <v>98686</v>
      </c>
      <c r="B8421" s="633" t="s">
        <v>43657</v>
      </c>
      <c r="C8421" s="715" t="s">
        <v>165</v>
      </c>
      <c r="D8421" s="716">
        <v>70.42</v>
      </c>
    </row>
    <row r="8422" spans="1:4" ht="28">
      <c r="A8422" s="715">
        <v>101738</v>
      </c>
      <c r="B8422" s="633" t="s">
        <v>43658</v>
      </c>
      <c r="C8422" s="715" t="s">
        <v>165</v>
      </c>
      <c r="D8422" s="716">
        <v>46.32</v>
      </c>
    </row>
    <row r="8423" spans="1:4" ht="28">
      <c r="A8423" s="715">
        <v>101739</v>
      </c>
      <c r="B8423" s="633" t="s">
        <v>43659</v>
      </c>
      <c r="C8423" s="715" t="s">
        <v>165</v>
      </c>
      <c r="D8423" s="716">
        <v>62.81</v>
      </c>
    </row>
    <row r="8424" spans="1:4" ht="28">
      <c r="A8424" s="715">
        <v>101741</v>
      </c>
      <c r="B8424" s="633" t="s">
        <v>43660</v>
      </c>
      <c r="C8424" s="715" t="s">
        <v>165</v>
      </c>
      <c r="D8424" s="716">
        <v>59.07</v>
      </c>
    </row>
    <row r="8425" spans="1:4" ht="14">
      <c r="A8425" s="715">
        <v>98697</v>
      </c>
      <c r="B8425" s="633" t="s">
        <v>43661</v>
      </c>
      <c r="C8425" s="715" t="s">
        <v>165</v>
      </c>
      <c r="D8425" s="716">
        <v>93.01</v>
      </c>
    </row>
    <row r="8426" spans="1:4" ht="14">
      <c r="A8426" s="715">
        <v>98688</v>
      </c>
      <c r="B8426" s="633" t="s">
        <v>43662</v>
      </c>
      <c r="C8426" s="715" t="s">
        <v>165</v>
      </c>
      <c r="D8426" s="716">
        <v>75.06</v>
      </c>
    </row>
    <row r="8427" spans="1:4" ht="28">
      <c r="A8427" s="715">
        <v>98687</v>
      </c>
      <c r="B8427" s="633" t="s">
        <v>43663</v>
      </c>
      <c r="C8427" s="715" t="s">
        <v>165</v>
      </c>
      <c r="D8427" s="716">
        <v>0</v>
      </c>
    </row>
    <row r="8428" spans="1:4" ht="28">
      <c r="A8428" s="715">
        <v>98689</v>
      </c>
      <c r="B8428" s="633" t="s">
        <v>43664</v>
      </c>
      <c r="C8428" s="715" t="s">
        <v>165</v>
      </c>
      <c r="D8428" s="716">
        <v>142.16999999999999</v>
      </c>
    </row>
    <row r="8429" spans="1:4" ht="28">
      <c r="A8429" s="715">
        <v>98695</v>
      </c>
      <c r="B8429" s="633" t="s">
        <v>43665</v>
      </c>
      <c r="C8429" s="715" t="s">
        <v>165</v>
      </c>
      <c r="D8429" s="716">
        <v>149.19999999999999</v>
      </c>
    </row>
    <row r="8430" spans="1:4" ht="70">
      <c r="A8430" s="715">
        <v>100606</v>
      </c>
      <c r="B8430" s="633" t="s">
        <v>40664</v>
      </c>
      <c r="C8430" s="715" t="s">
        <v>103</v>
      </c>
      <c r="D8430" s="716">
        <v>1890.8</v>
      </c>
    </row>
    <row r="8431" spans="1:4" ht="70">
      <c r="A8431" s="715">
        <v>100604</v>
      </c>
      <c r="B8431" s="633" t="s">
        <v>40665</v>
      </c>
      <c r="C8431" s="715" t="s">
        <v>103</v>
      </c>
      <c r="D8431" s="716">
        <v>879.13</v>
      </c>
    </row>
    <row r="8432" spans="1:4" ht="70">
      <c r="A8432" s="715">
        <v>100605</v>
      </c>
      <c r="B8432" s="633" t="s">
        <v>40666</v>
      </c>
      <c r="C8432" s="715" t="s">
        <v>103</v>
      </c>
      <c r="D8432" s="716">
        <v>1295.4000000000001</v>
      </c>
    </row>
    <row r="8433" spans="1:4" ht="70">
      <c r="A8433" s="715">
        <v>100580</v>
      </c>
      <c r="B8433" s="633" t="s">
        <v>40667</v>
      </c>
      <c r="C8433" s="715" t="s">
        <v>103</v>
      </c>
      <c r="D8433" s="716">
        <v>837.22</v>
      </c>
    </row>
    <row r="8434" spans="1:4" ht="70">
      <c r="A8434" s="715">
        <v>100579</v>
      </c>
      <c r="B8434" s="633" t="s">
        <v>40668</v>
      </c>
      <c r="C8434" s="715" t="s">
        <v>103</v>
      </c>
      <c r="D8434" s="716">
        <v>769.05</v>
      </c>
    </row>
    <row r="8435" spans="1:4" ht="70">
      <c r="A8435" s="715">
        <v>100609</v>
      </c>
      <c r="B8435" s="633" t="s">
        <v>40669</v>
      </c>
      <c r="C8435" s="715" t="s">
        <v>103</v>
      </c>
      <c r="D8435" s="716">
        <v>1930.04</v>
      </c>
    </row>
    <row r="8436" spans="1:4" ht="70">
      <c r="A8436" s="715">
        <v>100607</v>
      </c>
      <c r="B8436" s="633" t="s">
        <v>40670</v>
      </c>
      <c r="C8436" s="715" t="s">
        <v>103</v>
      </c>
      <c r="D8436" s="716">
        <v>902.21</v>
      </c>
    </row>
    <row r="8437" spans="1:4" ht="70">
      <c r="A8437" s="715">
        <v>100608</v>
      </c>
      <c r="B8437" s="633" t="s">
        <v>40671</v>
      </c>
      <c r="C8437" s="715" t="s">
        <v>103</v>
      </c>
      <c r="D8437" s="716">
        <v>1324.44</v>
      </c>
    </row>
    <row r="8438" spans="1:4" ht="70">
      <c r="A8438" s="715">
        <v>100582</v>
      </c>
      <c r="B8438" s="633" t="s">
        <v>40672</v>
      </c>
      <c r="C8438" s="715" t="s">
        <v>103</v>
      </c>
      <c r="D8438" s="716">
        <v>918.91</v>
      </c>
    </row>
    <row r="8439" spans="1:4" ht="70">
      <c r="A8439" s="715">
        <v>100581</v>
      </c>
      <c r="B8439" s="633" t="s">
        <v>40673</v>
      </c>
      <c r="C8439" s="715" t="s">
        <v>103</v>
      </c>
      <c r="D8439" s="716">
        <v>797.8</v>
      </c>
    </row>
    <row r="8440" spans="1:4" ht="70">
      <c r="A8440" s="715">
        <v>100613</v>
      </c>
      <c r="B8440" s="633" t="s">
        <v>40674</v>
      </c>
      <c r="C8440" s="715" t="s">
        <v>103</v>
      </c>
      <c r="D8440" s="716">
        <v>1969.07</v>
      </c>
    </row>
    <row r="8441" spans="1:4" ht="70">
      <c r="A8441" s="715">
        <v>100610</v>
      </c>
      <c r="B8441" s="633" t="s">
        <v>40675</v>
      </c>
      <c r="C8441" s="715" t="s">
        <v>103</v>
      </c>
      <c r="D8441" s="716">
        <v>924.81</v>
      </c>
    </row>
    <row r="8442" spans="1:4" ht="70">
      <c r="A8442" s="715">
        <v>100611</v>
      </c>
      <c r="B8442" s="633" t="s">
        <v>40676</v>
      </c>
      <c r="C8442" s="715" t="s">
        <v>103</v>
      </c>
      <c r="D8442" s="716">
        <v>1115.0999999999999</v>
      </c>
    </row>
    <row r="8443" spans="1:4" ht="70">
      <c r="A8443" s="715">
        <v>100612</v>
      </c>
      <c r="B8443" s="633" t="s">
        <v>40677</v>
      </c>
      <c r="C8443" s="715" t="s">
        <v>103</v>
      </c>
      <c r="D8443" s="716">
        <v>1352.96</v>
      </c>
    </row>
    <row r="8444" spans="1:4" ht="70">
      <c r="A8444" s="715">
        <v>100584</v>
      </c>
      <c r="B8444" s="633" t="s">
        <v>40678</v>
      </c>
      <c r="C8444" s="715" t="s">
        <v>103</v>
      </c>
      <c r="D8444" s="716">
        <v>902.5</v>
      </c>
    </row>
    <row r="8445" spans="1:4" ht="70">
      <c r="A8445" s="715">
        <v>100583</v>
      </c>
      <c r="B8445" s="633" t="s">
        <v>40679</v>
      </c>
      <c r="C8445" s="715" t="s">
        <v>103</v>
      </c>
      <c r="D8445" s="716">
        <v>828.58</v>
      </c>
    </row>
    <row r="8446" spans="1:4" ht="70">
      <c r="A8446" s="715">
        <v>100616</v>
      </c>
      <c r="B8446" s="633" t="s">
        <v>40680</v>
      </c>
      <c r="C8446" s="715" t="s">
        <v>103</v>
      </c>
      <c r="D8446" s="716">
        <v>2051.08</v>
      </c>
    </row>
    <row r="8447" spans="1:4" ht="70">
      <c r="A8447" s="715">
        <v>100614</v>
      </c>
      <c r="B8447" s="633" t="s">
        <v>40681</v>
      </c>
      <c r="C8447" s="715" t="s">
        <v>103</v>
      </c>
      <c r="D8447" s="716">
        <v>1165.57</v>
      </c>
    </row>
    <row r="8448" spans="1:4" ht="70">
      <c r="A8448" s="715">
        <v>100615</v>
      </c>
      <c r="B8448" s="633" t="s">
        <v>40682</v>
      </c>
      <c r="C8448" s="715" t="s">
        <v>103</v>
      </c>
      <c r="D8448" s="716">
        <v>1410.03</v>
      </c>
    </row>
    <row r="8449" spans="1:4" ht="70">
      <c r="A8449" s="715">
        <v>100586</v>
      </c>
      <c r="B8449" s="633" t="s">
        <v>40683</v>
      </c>
      <c r="C8449" s="715" t="s">
        <v>103</v>
      </c>
      <c r="D8449" s="716">
        <v>1006.37</v>
      </c>
    </row>
    <row r="8450" spans="1:4" ht="70">
      <c r="A8450" s="715">
        <v>100585</v>
      </c>
      <c r="B8450" s="633" t="s">
        <v>40684</v>
      </c>
      <c r="C8450" s="715" t="s">
        <v>103</v>
      </c>
      <c r="D8450" s="716">
        <v>888.43</v>
      </c>
    </row>
    <row r="8451" spans="1:4" ht="70">
      <c r="A8451" s="715">
        <v>100618</v>
      </c>
      <c r="B8451" s="633" t="s">
        <v>40685</v>
      </c>
      <c r="C8451" s="715" t="s">
        <v>103</v>
      </c>
      <c r="D8451" s="716">
        <v>2134.6799999999998</v>
      </c>
    </row>
    <row r="8452" spans="1:4" ht="70">
      <c r="A8452" s="715">
        <v>100617</v>
      </c>
      <c r="B8452" s="633" t="s">
        <v>40686</v>
      </c>
      <c r="C8452" s="715" t="s">
        <v>103</v>
      </c>
      <c r="D8452" s="716">
        <v>1467.2</v>
      </c>
    </row>
    <row r="8453" spans="1:4" ht="70">
      <c r="A8453" s="715">
        <v>100588</v>
      </c>
      <c r="B8453" s="633" t="s">
        <v>40687</v>
      </c>
      <c r="C8453" s="715" t="s">
        <v>103</v>
      </c>
      <c r="D8453" s="716">
        <v>1042.25</v>
      </c>
    </row>
    <row r="8454" spans="1:4" ht="70">
      <c r="A8454" s="715">
        <v>100587</v>
      </c>
      <c r="B8454" s="633" t="s">
        <v>40688</v>
      </c>
      <c r="C8454" s="715" t="s">
        <v>103</v>
      </c>
      <c r="D8454" s="716">
        <v>950.72</v>
      </c>
    </row>
    <row r="8455" spans="1:4" ht="70">
      <c r="A8455" s="715">
        <v>100590</v>
      </c>
      <c r="B8455" s="633" t="s">
        <v>40689</v>
      </c>
      <c r="C8455" s="715" t="s">
        <v>103</v>
      </c>
      <c r="D8455" s="716">
        <v>1134.7</v>
      </c>
    </row>
    <row r="8456" spans="1:4" ht="70">
      <c r="A8456" s="715">
        <v>100589</v>
      </c>
      <c r="B8456" s="633" t="s">
        <v>40690</v>
      </c>
      <c r="C8456" s="715" t="s">
        <v>103</v>
      </c>
      <c r="D8456" s="716">
        <v>1043.46</v>
      </c>
    </row>
    <row r="8457" spans="1:4" ht="70">
      <c r="A8457" s="715">
        <v>100592</v>
      </c>
      <c r="B8457" s="633" t="s">
        <v>40691</v>
      </c>
      <c r="C8457" s="715" t="s">
        <v>103</v>
      </c>
      <c r="D8457" s="716">
        <v>1112.21</v>
      </c>
    </row>
    <row r="8458" spans="1:4" ht="70">
      <c r="A8458" s="715">
        <v>100591</v>
      </c>
      <c r="B8458" s="633" t="s">
        <v>40692</v>
      </c>
      <c r="C8458" s="715" t="s">
        <v>103</v>
      </c>
      <c r="D8458" s="716">
        <v>1014.59</v>
      </c>
    </row>
    <row r="8459" spans="1:4" ht="70">
      <c r="A8459" s="715">
        <v>100594</v>
      </c>
      <c r="B8459" s="633" t="s">
        <v>40693</v>
      </c>
      <c r="C8459" s="715" t="s">
        <v>103</v>
      </c>
      <c r="D8459" s="716">
        <v>1230.78</v>
      </c>
    </row>
    <row r="8460" spans="1:4" ht="70">
      <c r="A8460" s="715">
        <v>100593</v>
      </c>
      <c r="B8460" s="633" t="s">
        <v>40694</v>
      </c>
      <c r="C8460" s="715" t="s">
        <v>103</v>
      </c>
      <c r="D8460" s="716">
        <v>1102.8599999999999</v>
      </c>
    </row>
    <row r="8461" spans="1:4" ht="70">
      <c r="A8461" s="715">
        <v>100596</v>
      </c>
      <c r="B8461" s="633" t="s">
        <v>40695</v>
      </c>
      <c r="C8461" s="715" t="s">
        <v>103</v>
      </c>
      <c r="D8461" s="716">
        <v>1474.87</v>
      </c>
    </row>
    <row r="8462" spans="1:4" ht="70">
      <c r="A8462" s="715">
        <v>100595</v>
      </c>
      <c r="B8462" s="633" t="s">
        <v>40696</v>
      </c>
      <c r="C8462" s="715" t="s">
        <v>103</v>
      </c>
      <c r="D8462" s="716">
        <v>1302.31</v>
      </c>
    </row>
    <row r="8463" spans="1:4" ht="56">
      <c r="A8463" s="715">
        <v>100598</v>
      </c>
      <c r="B8463" s="633" t="s">
        <v>40697</v>
      </c>
      <c r="C8463" s="715" t="s">
        <v>103</v>
      </c>
      <c r="D8463" s="716">
        <v>1636.73</v>
      </c>
    </row>
    <row r="8464" spans="1:4" ht="70">
      <c r="A8464" s="715">
        <v>100597</v>
      </c>
      <c r="B8464" s="633" t="s">
        <v>40698</v>
      </c>
      <c r="C8464" s="715" t="s">
        <v>103</v>
      </c>
      <c r="D8464" s="716">
        <v>1494.17</v>
      </c>
    </row>
    <row r="8465" spans="1:4" ht="70">
      <c r="A8465" s="715">
        <v>100603</v>
      </c>
      <c r="B8465" s="633" t="s">
        <v>40699</v>
      </c>
      <c r="C8465" s="715" t="s">
        <v>103</v>
      </c>
      <c r="D8465" s="716">
        <v>1817.08</v>
      </c>
    </row>
    <row r="8466" spans="1:4" ht="70">
      <c r="A8466" s="715">
        <v>100599</v>
      </c>
      <c r="B8466" s="633" t="s">
        <v>40700</v>
      </c>
      <c r="C8466" s="715" t="s">
        <v>103</v>
      </c>
      <c r="D8466" s="716">
        <v>720.79</v>
      </c>
    </row>
    <row r="8467" spans="1:4" ht="70">
      <c r="A8467" s="715">
        <v>100600</v>
      </c>
      <c r="B8467" s="633" t="s">
        <v>40701</v>
      </c>
      <c r="C8467" s="715" t="s">
        <v>103</v>
      </c>
      <c r="D8467" s="716">
        <v>832.29</v>
      </c>
    </row>
    <row r="8468" spans="1:4" ht="70">
      <c r="A8468" s="715">
        <v>100601</v>
      </c>
      <c r="B8468" s="633" t="s">
        <v>40702</v>
      </c>
      <c r="C8468" s="715" t="s">
        <v>103</v>
      </c>
      <c r="D8468" s="716">
        <v>1012.02</v>
      </c>
    </row>
    <row r="8469" spans="1:4" ht="70">
      <c r="A8469" s="715">
        <v>100602</v>
      </c>
      <c r="B8469" s="633" t="s">
        <v>40703</v>
      </c>
      <c r="C8469" s="715" t="s">
        <v>103</v>
      </c>
      <c r="D8469" s="716">
        <v>1236.67</v>
      </c>
    </row>
    <row r="8470" spans="1:4" ht="70">
      <c r="A8470" s="715">
        <v>100578</v>
      </c>
      <c r="B8470" s="633" t="s">
        <v>40704</v>
      </c>
      <c r="C8470" s="715" t="s">
        <v>103</v>
      </c>
      <c r="D8470" s="716">
        <v>711.33</v>
      </c>
    </row>
    <row r="8471" spans="1:4" ht="42">
      <c r="A8471" s="715">
        <v>105975</v>
      </c>
      <c r="B8471" s="633" t="s">
        <v>40705</v>
      </c>
      <c r="C8471" s="715" t="s">
        <v>165</v>
      </c>
      <c r="D8471" s="716">
        <v>0</v>
      </c>
    </row>
    <row r="8472" spans="1:4" ht="42">
      <c r="A8472" s="715">
        <v>105976</v>
      </c>
      <c r="B8472" s="633" t="s">
        <v>40706</v>
      </c>
      <c r="C8472" s="715" t="s">
        <v>165</v>
      </c>
      <c r="D8472" s="716">
        <v>0</v>
      </c>
    </row>
    <row r="8473" spans="1:4" ht="42">
      <c r="A8473" s="715">
        <v>105977</v>
      </c>
      <c r="B8473" s="633" t="s">
        <v>40707</v>
      </c>
      <c r="C8473" s="715" t="s">
        <v>165</v>
      </c>
      <c r="D8473" s="716">
        <v>0</v>
      </c>
    </row>
    <row r="8474" spans="1:4" ht="42">
      <c r="A8474" s="715">
        <v>105978</v>
      </c>
      <c r="B8474" s="633" t="s">
        <v>40708</v>
      </c>
      <c r="C8474" s="715" t="s">
        <v>165</v>
      </c>
      <c r="D8474" s="716">
        <v>0</v>
      </c>
    </row>
    <row r="8475" spans="1:4" ht="42">
      <c r="A8475" s="715">
        <v>105970</v>
      </c>
      <c r="B8475" s="633" t="s">
        <v>40709</v>
      </c>
      <c r="C8475" s="715" t="s">
        <v>103</v>
      </c>
      <c r="D8475" s="716">
        <v>0</v>
      </c>
    </row>
    <row r="8476" spans="1:4" ht="42">
      <c r="A8476" s="715">
        <v>105972</v>
      </c>
      <c r="B8476" s="633" t="s">
        <v>40710</v>
      </c>
      <c r="C8476" s="715" t="s">
        <v>103</v>
      </c>
      <c r="D8476" s="716">
        <v>0</v>
      </c>
    </row>
    <row r="8477" spans="1:4" ht="42">
      <c r="A8477" s="715">
        <v>105973</v>
      </c>
      <c r="B8477" s="633" t="s">
        <v>40711</v>
      </c>
      <c r="C8477" s="715" t="s">
        <v>103</v>
      </c>
      <c r="D8477" s="716">
        <v>0</v>
      </c>
    </row>
    <row r="8478" spans="1:4" ht="42">
      <c r="A8478" s="715">
        <v>105974</v>
      </c>
      <c r="B8478" s="633" t="s">
        <v>40712</v>
      </c>
      <c r="C8478" s="715" t="s">
        <v>103</v>
      </c>
      <c r="D8478" s="716">
        <v>0</v>
      </c>
    </row>
    <row r="8479" spans="1:4" ht="42">
      <c r="A8479" s="715">
        <v>105971</v>
      </c>
      <c r="B8479" s="633" t="s">
        <v>40713</v>
      </c>
      <c r="C8479" s="715" t="s">
        <v>103</v>
      </c>
      <c r="D8479" s="716">
        <v>0</v>
      </c>
    </row>
    <row r="8480" spans="1:4" ht="42">
      <c r="A8480" s="715">
        <v>105967</v>
      </c>
      <c r="B8480" s="633" t="s">
        <v>40714</v>
      </c>
      <c r="C8480" s="715" t="s">
        <v>103</v>
      </c>
      <c r="D8480" s="716">
        <v>0</v>
      </c>
    </row>
    <row r="8481" spans="1:4" ht="42">
      <c r="A8481" s="715">
        <v>105968</v>
      </c>
      <c r="B8481" s="633" t="s">
        <v>40715</v>
      </c>
      <c r="C8481" s="715" t="s">
        <v>103</v>
      </c>
      <c r="D8481" s="716">
        <v>0</v>
      </c>
    </row>
    <row r="8482" spans="1:4" ht="42">
      <c r="A8482" s="715">
        <v>105969</v>
      </c>
      <c r="B8482" s="633" t="s">
        <v>40716</v>
      </c>
      <c r="C8482" s="715" t="s">
        <v>103</v>
      </c>
      <c r="D8482" s="716">
        <v>0</v>
      </c>
    </row>
    <row r="8483" spans="1:4" ht="42">
      <c r="A8483" s="715">
        <v>100623</v>
      </c>
      <c r="B8483" s="633" t="s">
        <v>40717</v>
      </c>
      <c r="C8483" s="715" t="s">
        <v>103</v>
      </c>
      <c r="D8483" s="716">
        <v>2599.36</v>
      </c>
    </row>
    <row r="8484" spans="1:4" ht="42">
      <c r="A8484" s="715">
        <v>105964</v>
      </c>
      <c r="B8484" s="633" t="s">
        <v>40718</v>
      </c>
      <c r="C8484" s="715" t="s">
        <v>103</v>
      </c>
      <c r="D8484" s="716">
        <v>0</v>
      </c>
    </row>
    <row r="8485" spans="1:4" ht="42">
      <c r="A8485" s="715">
        <v>105965</v>
      </c>
      <c r="B8485" s="633" t="s">
        <v>40719</v>
      </c>
      <c r="C8485" s="715" t="s">
        <v>103</v>
      </c>
      <c r="D8485" s="716">
        <v>0</v>
      </c>
    </row>
    <row r="8486" spans="1:4" ht="42">
      <c r="A8486" s="715">
        <v>105966</v>
      </c>
      <c r="B8486" s="633" t="s">
        <v>40720</v>
      </c>
      <c r="C8486" s="715" t="s">
        <v>103</v>
      </c>
      <c r="D8486" s="716">
        <v>0</v>
      </c>
    </row>
    <row r="8487" spans="1:4" ht="42">
      <c r="A8487" s="715">
        <v>100621</v>
      </c>
      <c r="B8487" s="633" t="s">
        <v>40721</v>
      </c>
      <c r="C8487" s="715" t="s">
        <v>103</v>
      </c>
      <c r="D8487" s="716">
        <v>3090.08</v>
      </c>
    </row>
    <row r="8488" spans="1:4" ht="42">
      <c r="A8488" s="715">
        <v>105960</v>
      </c>
      <c r="B8488" s="633" t="s">
        <v>40722</v>
      </c>
      <c r="C8488" s="715" t="s">
        <v>103</v>
      </c>
      <c r="D8488" s="716">
        <v>0</v>
      </c>
    </row>
    <row r="8489" spans="1:4" ht="42">
      <c r="A8489" s="715">
        <v>105961</v>
      </c>
      <c r="B8489" s="633" t="s">
        <v>40723</v>
      </c>
      <c r="C8489" s="715" t="s">
        <v>103</v>
      </c>
      <c r="D8489" s="716">
        <v>0</v>
      </c>
    </row>
    <row r="8490" spans="1:4" ht="42">
      <c r="A8490" s="715">
        <v>105962</v>
      </c>
      <c r="B8490" s="633" t="s">
        <v>40724</v>
      </c>
      <c r="C8490" s="715" t="s">
        <v>103</v>
      </c>
      <c r="D8490" s="716">
        <v>0</v>
      </c>
    </row>
    <row r="8491" spans="1:4" ht="42">
      <c r="A8491" s="715">
        <v>105963</v>
      </c>
      <c r="B8491" s="633" t="s">
        <v>40725</v>
      </c>
      <c r="C8491" s="715" t="s">
        <v>103</v>
      </c>
      <c r="D8491" s="716">
        <v>0</v>
      </c>
    </row>
    <row r="8492" spans="1:4" ht="42">
      <c r="A8492" s="715">
        <v>100622</v>
      </c>
      <c r="B8492" s="633" t="s">
        <v>40726</v>
      </c>
      <c r="C8492" s="715" t="s">
        <v>103</v>
      </c>
      <c r="D8492" s="716">
        <v>2528.34</v>
      </c>
    </row>
    <row r="8493" spans="1:4" ht="42">
      <c r="A8493" s="715">
        <v>105956</v>
      </c>
      <c r="B8493" s="633" t="s">
        <v>40727</v>
      </c>
      <c r="C8493" s="715" t="s">
        <v>103</v>
      </c>
      <c r="D8493" s="716">
        <v>0</v>
      </c>
    </row>
    <row r="8494" spans="1:4" ht="42">
      <c r="A8494" s="715">
        <v>105957</v>
      </c>
      <c r="B8494" s="633" t="s">
        <v>40728</v>
      </c>
      <c r="C8494" s="715" t="s">
        <v>103</v>
      </c>
      <c r="D8494" s="716">
        <v>0</v>
      </c>
    </row>
    <row r="8495" spans="1:4" ht="42">
      <c r="A8495" s="715">
        <v>105958</v>
      </c>
      <c r="B8495" s="633" t="s">
        <v>40729</v>
      </c>
      <c r="C8495" s="715" t="s">
        <v>103</v>
      </c>
      <c r="D8495" s="716">
        <v>2138.8200000000002</v>
      </c>
    </row>
    <row r="8496" spans="1:4" ht="42">
      <c r="A8496" s="715">
        <v>105959</v>
      </c>
      <c r="B8496" s="633" t="s">
        <v>40730</v>
      </c>
      <c r="C8496" s="715" t="s">
        <v>103</v>
      </c>
      <c r="D8496" s="716">
        <v>0</v>
      </c>
    </row>
    <row r="8497" spans="1:4" ht="42">
      <c r="A8497" s="715">
        <v>100620</v>
      </c>
      <c r="B8497" s="633" t="s">
        <v>40731</v>
      </c>
      <c r="C8497" s="715" t="s">
        <v>103</v>
      </c>
      <c r="D8497" s="716">
        <v>2753.25</v>
      </c>
    </row>
    <row r="8498" spans="1:4" ht="42">
      <c r="A8498" s="715">
        <v>105951</v>
      </c>
      <c r="B8498" s="633" t="s">
        <v>40732</v>
      </c>
      <c r="C8498" s="715" t="s">
        <v>103</v>
      </c>
      <c r="D8498" s="716">
        <v>0</v>
      </c>
    </row>
    <row r="8499" spans="1:4" ht="42">
      <c r="A8499" s="715">
        <v>105952</v>
      </c>
      <c r="B8499" s="633" t="s">
        <v>40733</v>
      </c>
      <c r="C8499" s="715" t="s">
        <v>103</v>
      </c>
      <c r="D8499" s="716">
        <v>0</v>
      </c>
    </row>
    <row r="8500" spans="1:4" ht="42">
      <c r="A8500" s="715">
        <v>105953</v>
      </c>
      <c r="B8500" s="633" t="s">
        <v>40734</v>
      </c>
      <c r="C8500" s="715" t="s">
        <v>103</v>
      </c>
      <c r="D8500" s="716">
        <v>1977.5</v>
      </c>
    </row>
    <row r="8501" spans="1:4" ht="42">
      <c r="A8501" s="715">
        <v>105954</v>
      </c>
      <c r="B8501" s="633" t="s">
        <v>40735</v>
      </c>
      <c r="C8501" s="715" t="s">
        <v>103</v>
      </c>
      <c r="D8501" s="716">
        <v>0</v>
      </c>
    </row>
    <row r="8502" spans="1:4" ht="42">
      <c r="A8502" s="715">
        <v>105955</v>
      </c>
      <c r="B8502" s="633" t="s">
        <v>40736</v>
      </c>
      <c r="C8502" s="715" t="s">
        <v>103</v>
      </c>
      <c r="D8502" s="716">
        <v>2621.8</v>
      </c>
    </row>
    <row r="8503" spans="1:4" ht="28">
      <c r="A8503" s="715">
        <v>105946</v>
      </c>
      <c r="B8503" s="633" t="s">
        <v>40737</v>
      </c>
      <c r="C8503" s="715" t="s">
        <v>103</v>
      </c>
      <c r="D8503" s="716">
        <v>0</v>
      </c>
    </row>
    <row r="8504" spans="1:4" ht="28">
      <c r="A8504" s="715">
        <v>105947</v>
      </c>
      <c r="B8504" s="633" t="s">
        <v>40738</v>
      </c>
      <c r="C8504" s="715" t="s">
        <v>103</v>
      </c>
      <c r="D8504" s="716">
        <v>0</v>
      </c>
    </row>
    <row r="8505" spans="1:4" ht="28">
      <c r="A8505" s="715">
        <v>105948</v>
      </c>
      <c r="B8505" s="633" t="s">
        <v>40739</v>
      </c>
      <c r="C8505" s="715" t="s">
        <v>103</v>
      </c>
      <c r="D8505" s="716">
        <v>0</v>
      </c>
    </row>
    <row r="8506" spans="1:4" ht="28">
      <c r="A8506" s="715">
        <v>105949</v>
      </c>
      <c r="B8506" s="633" t="s">
        <v>40740</v>
      </c>
      <c r="C8506" s="715" t="s">
        <v>103</v>
      </c>
      <c r="D8506" s="716">
        <v>0</v>
      </c>
    </row>
    <row r="8507" spans="1:4" ht="28">
      <c r="A8507" s="715">
        <v>105950</v>
      </c>
      <c r="B8507" s="633" t="s">
        <v>40741</v>
      </c>
      <c r="C8507" s="715" t="s">
        <v>103</v>
      </c>
      <c r="D8507" s="716">
        <v>0</v>
      </c>
    </row>
    <row r="8508" spans="1:4" ht="42">
      <c r="A8508" s="715">
        <v>100619</v>
      </c>
      <c r="B8508" s="633" t="s">
        <v>40742</v>
      </c>
      <c r="C8508" s="715" t="s">
        <v>103</v>
      </c>
      <c r="D8508" s="716">
        <v>665.69</v>
      </c>
    </row>
    <row r="8509" spans="1:4" ht="42">
      <c r="A8509" s="715">
        <v>99283</v>
      </c>
      <c r="B8509" s="633" t="s">
        <v>25140</v>
      </c>
      <c r="C8509" s="715" t="s">
        <v>165</v>
      </c>
      <c r="D8509" s="716">
        <v>1289.17</v>
      </c>
    </row>
    <row r="8510" spans="1:4" ht="42">
      <c r="A8510" s="715">
        <v>99293</v>
      </c>
      <c r="B8510" s="633" t="s">
        <v>25144</v>
      </c>
      <c r="C8510" s="715" t="s">
        <v>165</v>
      </c>
      <c r="D8510" s="716">
        <v>1562.22</v>
      </c>
    </row>
    <row r="8511" spans="1:4" ht="42">
      <c r="A8511" s="715">
        <v>99243</v>
      </c>
      <c r="B8511" s="633" t="s">
        <v>25126</v>
      </c>
      <c r="C8511" s="715" t="s">
        <v>165</v>
      </c>
      <c r="D8511" s="716">
        <v>1835.24</v>
      </c>
    </row>
    <row r="8512" spans="1:4" ht="42">
      <c r="A8512" s="715">
        <v>99249</v>
      </c>
      <c r="B8512" s="633" t="s">
        <v>25129</v>
      </c>
      <c r="C8512" s="715" t="s">
        <v>165</v>
      </c>
      <c r="D8512" s="716">
        <v>2244.85</v>
      </c>
    </row>
    <row r="8513" spans="1:4" ht="42">
      <c r="A8513" s="715">
        <v>99278</v>
      </c>
      <c r="B8513" s="633" t="s">
        <v>25137</v>
      </c>
      <c r="C8513" s="715" t="s">
        <v>165</v>
      </c>
      <c r="D8513" s="716">
        <v>463.88</v>
      </c>
    </row>
    <row r="8514" spans="1:4" ht="42">
      <c r="A8514" s="715">
        <v>99288</v>
      </c>
      <c r="B8514" s="633" t="s">
        <v>25141</v>
      </c>
      <c r="C8514" s="715" t="s">
        <v>165</v>
      </c>
      <c r="D8514" s="716">
        <v>611.66</v>
      </c>
    </row>
    <row r="8515" spans="1:4" ht="42">
      <c r="A8515" s="715">
        <v>99240</v>
      </c>
      <c r="B8515" s="633" t="s">
        <v>25124</v>
      </c>
      <c r="C8515" s="715" t="s">
        <v>165</v>
      </c>
      <c r="D8515" s="716">
        <v>813.22</v>
      </c>
    </row>
    <row r="8516" spans="1:4" ht="42">
      <c r="A8516" s="715">
        <v>99246</v>
      </c>
      <c r="B8516" s="633" t="s">
        <v>25127</v>
      </c>
      <c r="C8516" s="715" t="s">
        <v>165</v>
      </c>
      <c r="D8516" s="716">
        <v>1113.8900000000001</v>
      </c>
    </row>
    <row r="8517" spans="1:4" ht="42">
      <c r="A8517" s="715">
        <v>97981</v>
      </c>
      <c r="B8517" s="633" t="s">
        <v>25089</v>
      </c>
      <c r="C8517" s="715" t="s">
        <v>165</v>
      </c>
      <c r="D8517" s="716">
        <v>1363.21</v>
      </c>
    </row>
    <row r="8518" spans="1:4" ht="42">
      <c r="A8518" s="715">
        <v>97985</v>
      </c>
      <c r="B8518" s="633" t="s">
        <v>40743</v>
      </c>
      <c r="C8518" s="715" t="s">
        <v>165</v>
      </c>
      <c r="D8518" s="716">
        <v>1645.95</v>
      </c>
    </row>
    <row r="8519" spans="1:4" ht="42">
      <c r="A8519" s="715">
        <v>97989</v>
      </c>
      <c r="B8519" s="633" t="s">
        <v>25092</v>
      </c>
      <c r="C8519" s="715" t="s">
        <v>165</v>
      </c>
      <c r="D8519" s="716">
        <v>1928.65</v>
      </c>
    </row>
    <row r="8520" spans="1:4" ht="42">
      <c r="A8520" s="715">
        <v>97993</v>
      </c>
      <c r="B8520" s="633" t="s">
        <v>40744</v>
      </c>
      <c r="C8520" s="715" t="s">
        <v>165</v>
      </c>
      <c r="D8520" s="716">
        <v>2352.79</v>
      </c>
    </row>
    <row r="8521" spans="1:4" ht="42">
      <c r="A8521" s="715">
        <v>98409</v>
      </c>
      <c r="B8521" s="633" t="s">
        <v>25123</v>
      </c>
      <c r="C8521" s="715" t="s">
        <v>165</v>
      </c>
      <c r="D8521" s="716">
        <v>465.98</v>
      </c>
    </row>
    <row r="8522" spans="1:4" ht="42">
      <c r="A8522" s="715">
        <v>97983</v>
      </c>
      <c r="B8522" s="633" t="s">
        <v>25090</v>
      </c>
      <c r="C8522" s="715" t="s">
        <v>165</v>
      </c>
      <c r="D8522" s="716">
        <v>614.41</v>
      </c>
    </row>
    <row r="8523" spans="1:4" ht="42">
      <c r="A8523" s="715">
        <v>97987</v>
      </c>
      <c r="B8523" s="633" t="s">
        <v>25091</v>
      </c>
      <c r="C8523" s="715" t="s">
        <v>165</v>
      </c>
      <c r="D8523" s="716">
        <v>816.67</v>
      </c>
    </row>
    <row r="8524" spans="1:4" ht="42">
      <c r="A8524" s="715">
        <v>97991</v>
      </c>
      <c r="B8524" s="633" t="s">
        <v>40745</v>
      </c>
      <c r="C8524" s="715" t="s">
        <v>165</v>
      </c>
      <c r="D8524" s="716">
        <v>1118.6099999999999</v>
      </c>
    </row>
    <row r="8525" spans="1:4" ht="56">
      <c r="A8525" s="715">
        <v>99241</v>
      </c>
      <c r="B8525" s="633" t="s">
        <v>25125</v>
      </c>
      <c r="C8525" s="715" t="s">
        <v>165</v>
      </c>
      <c r="D8525" s="716">
        <v>2098.69</v>
      </c>
    </row>
    <row r="8526" spans="1:4" ht="56">
      <c r="A8526" s="715">
        <v>99247</v>
      </c>
      <c r="B8526" s="633" t="s">
        <v>25128</v>
      </c>
      <c r="C8526" s="715" t="s">
        <v>165</v>
      </c>
      <c r="D8526" s="716">
        <v>2394.39</v>
      </c>
    </row>
    <row r="8527" spans="1:4" ht="56">
      <c r="A8527" s="715">
        <v>99263</v>
      </c>
      <c r="B8527" s="633" t="s">
        <v>25132</v>
      </c>
      <c r="C8527" s="715" t="s">
        <v>165</v>
      </c>
      <c r="D8527" s="716">
        <v>2690.15</v>
      </c>
    </row>
    <row r="8528" spans="1:4" ht="56">
      <c r="A8528" s="715">
        <v>99276</v>
      </c>
      <c r="B8528" s="633" t="s">
        <v>25135</v>
      </c>
      <c r="C8528" s="715" t="s">
        <v>165</v>
      </c>
      <c r="D8528" s="716">
        <v>2985.9</v>
      </c>
    </row>
    <row r="8529" spans="1:4" ht="56">
      <c r="A8529" s="715">
        <v>99291</v>
      </c>
      <c r="B8529" s="633" t="s">
        <v>25143</v>
      </c>
      <c r="C8529" s="715" t="s">
        <v>165</v>
      </c>
      <c r="D8529" s="716">
        <v>3281.59</v>
      </c>
    </row>
    <row r="8530" spans="1:4" ht="56">
      <c r="A8530" s="715">
        <v>99297</v>
      </c>
      <c r="B8530" s="633" t="s">
        <v>25146</v>
      </c>
      <c r="C8530" s="715" t="s">
        <v>165</v>
      </c>
      <c r="D8530" s="716">
        <v>3600.84</v>
      </c>
    </row>
    <row r="8531" spans="1:4" ht="56">
      <c r="A8531" s="715">
        <v>99254</v>
      </c>
      <c r="B8531" s="633" t="s">
        <v>25130</v>
      </c>
      <c r="C8531" s="715" t="s">
        <v>165</v>
      </c>
      <c r="D8531" s="716">
        <v>1507.22</v>
      </c>
    </row>
    <row r="8532" spans="1:4" ht="56">
      <c r="A8532" s="715">
        <v>99261</v>
      </c>
      <c r="B8532" s="633" t="s">
        <v>25131</v>
      </c>
      <c r="C8532" s="715" t="s">
        <v>165</v>
      </c>
      <c r="D8532" s="716">
        <v>1802.93</v>
      </c>
    </row>
    <row r="8533" spans="1:4" ht="56">
      <c r="A8533" s="715">
        <v>99266</v>
      </c>
      <c r="B8533" s="633" t="s">
        <v>25133</v>
      </c>
      <c r="C8533" s="715" t="s">
        <v>165</v>
      </c>
      <c r="D8533" s="716">
        <v>2098.69</v>
      </c>
    </row>
    <row r="8534" spans="1:4" ht="56">
      <c r="A8534" s="715">
        <v>99269</v>
      </c>
      <c r="B8534" s="633" t="s">
        <v>25134</v>
      </c>
      <c r="C8534" s="715" t="s">
        <v>165</v>
      </c>
      <c r="D8534" s="716">
        <v>2394.39</v>
      </c>
    </row>
    <row r="8535" spans="1:4" ht="56">
      <c r="A8535" s="715">
        <v>99277</v>
      </c>
      <c r="B8535" s="633" t="s">
        <v>25136</v>
      </c>
      <c r="C8535" s="715" t="s">
        <v>165</v>
      </c>
      <c r="D8535" s="716">
        <v>2690.15</v>
      </c>
    </row>
    <row r="8536" spans="1:4" ht="56">
      <c r="A8536" s="715">
        <v>99281</v>
      </c>
      <c r="B8536" s="633" t="s">
        <v>25138</v>
      </c>
      <c r="C8536" s="715" t="s">
        <v>165</v>
      </c>
      <c r="D8536" s="716">
        <v>2985.9</v>
      </c>
    </row>
    <row r="8537" spans="1:4" ht="56">
      <c r="A8537" s="715">
        <v>99289</v>
      </c>
      <c r="B8537" s="633" t="s">
        <v>25142</v>
      </c>
      <c r="C8537" s="715" t="s">
        <v>165</v>
      </c>
      <c r="D8537" s="716">
        <v>3281.59</v>
      </c>
    </row>
    <row r="8538" spans="1:4" ht="56">
      <c r="A8538" s="715">
        <v>99282</v>
      </c>
      <c r="B8538" s="633" t="s">
        <v>25139</v>
      </c>
      <c r="C8538" s="715" t="s">
        <v>165</v>
      </c>
      <c r="D8538" s="716">
        <v>3310.03</v>
      </c>
    </row>
    <row r="8539" spans="1:4" ht="56">
      <c r="A8539" s="715">
        <v>99296</v>
      </c>
      <c r="B8539" s="633" t="s">
        <v>25145</v>
      </c>
      <c r="C8539" s="715" t="s">
        <v>165</v>
      </c>
      <c r="D8539" s="716">
        <v>3605.74</v>
      </c>
    </row>
    <row r="8540" spans="1:4" ht="56">
      <c r="A8540" s="715">
        <v>99299</v>
      </c>
      <c r="B8540" s="633" t="s">
        <v>25147</v>
      </c>
      <c r="C8540" s="715" t="s">
        <v>165</v>
      </c>
      <c r="D8540" s="716">
        <v>3901.4</v>
      </c>
    </row>
    <row r="8541" spans="1:4" ht="56">
      <c r="A8541" s="715">
        <v>99302</v>
      </c>
      <c r="B8541" s="633" t="s">
        <v>25148</v>
      </c>
      <c r="C8541" s="715" t="s">
        <v>165</v>
      </c>
      <c r="D8541" s="716">
        <v>4201.99</v>
      </c>
    </row>
    <row r="8542" spans="1:4" ht="56">
      <c r="A8542" s="715">
        <v>99307</v>
      </c>
      <c r="B8542" s="633" t="s">
        <v>25151</v>
      </c>
      <c r="C8542" s="715" t="s">
        <v>165</v>
      </c>
      <c r="D8542" s="716">
        <v>2713.69</v>
      </c>
    </row>
    <row r="8543" spans="1:4" ht="56">
      <c r="A8543" s="715">
        <v>99317</v>
      </c>
      <c r="B8543" s="633" t="s">
        <v>25155</v>
      </c>
      <c r="C8543" s="715" t="s">
        <v>165</v>
      </c>
      <c r="D8543" s="716">
        <v>3009.39</v>
      </c>
    </row>
    <row r="8544" spans="1:4" ht="56">
      <c r="A8544" s="715">
        <v>99321</v>
      </c>
      <c r="B8544" s="633" t="s">
        <v>25158</v>
      </c>
      <c r="C8544" s="715" t="s">
        <v>165</v>
      </c>
      <c r="D8544" s="716">
        <v>3305.13</v>
      </c>
    </row>
    <row r="8545" spans="1:4" ht="56">
      <c r="A8545" s="715">
        <v>99323</v>
      </c>
      <c r="B8545" s="633" t="s">
        <v>25159</v>
      </c>
      <c r="C8545" s="715" t="s">
        <v>165</v>
      </c>
      <c r="D8545" s="716">
        <v>3600.84</v>
      </c>
    </row>
    <row r="8546" spans="1:4" ht="56">
      <c r="A8546" s="715">
        <v>99325</v>
      </c>
      <c r="B8546" s="633" t="s">
        <v>25160</v>
      </c>
      <c r="C8546" s="715" t="s">
        <v>165</v>
      </c>
      <c r="D8546" s="716">
        <v>3901.4</v>
      </c>
    </row>
    <row r="8547" spans="1:4" ht="56">
      <c r="A8547" s="715">
        <v>99311</v>
      </c>
      <c r="B8547" s="633" t="s">
        <v>25153</v>
      </c>
      <c r="C8547" s="715" t="s">
        <v>165</v>
      </c>
      <c r="D8547" s="716">
        <v>4502.6499999999996</v>
      </c>
    </row>
    <row r="8548" spans="1:4" ht="56">
      <c r="A8548" s="715">
        <v>99314</v>
      </c>
      <c r="B8548" s="633" t="s">
        <v>25154</v>
      </c>
      <c r="C8548" s="715" t="s">
        <v>165</v>
      </c>
      <c r="D8548" s="716">
        <v>4803.2700000000004</v>
      </c>
    </row>
    <row r="8549" spans="1:4" ht="56">
      <c r="A8549" s="715">
        <v>99304</v>
      </c>
      <c r="B8549" s="633" t="s">
        <v>25149</v>
      </c>
      <c r="C8549" s="715" t="s">
        <v>165</v>
      </c>
      <c r="D8549" s="716">
        <v>3906.3</v>
      </c>
    </row>
    <row r="8550" spans="1:4" ht="56">
      <c r="A8550" s="715">
        <v>99306</v>
      </c>
      <c r="B8550" s="633" t="s">
        <v>25150</v>
      </c>
      <c r="C8550" s="715" t="s">
        <v>165</v>
      </c>
      <c r="D8550" s="716">
        <v>4201.99</v>
      </c>
    </row>
    <row r="8551" spans="1:4" ht="56">
      <c r="A8551" s="715">
        <v>99309</v>
      </c>
      <c r="B8551" s="633" t="s">
        <v>25152</v>
      </c>
      <c r="C8551" s="715" t="s">
        <v>165</v>
      </c>
      <c r="D8551" s="716">
        <v>4502.6499999999996</v>
      </c>
    </row>
    <row r="8552" spans="1:4" ht="56">
      <c r="A8552" s="715">
        <v>99327</v>
      </c>
      <c r="B8552" s="633" t="s">
        <v>25161</v>
      </c>
      <c r="C8552" s="715" t="s">
        <v>165</v>
      </c>
      <c r="D8552" s="716">
        <v>5055.93</v>
      </c>
    </row>
    <row r="8553" spans="1:4" ht="56">
      <c r="A8553" s="715">
        <v>98009</v>
      </c>
      <c r="B8553" s="633" t="s">
        <v>25100</v>
      </c>
      <c r="C8553" s="715" t="s">
        <v>165</v>
      </c>
      <c r="D8553" s="716">
        <v>2171.2199999999998</v>
      </c>
    </row>
    <row r="8554" spans="1:4" ht="56">
      <c r="A8554" s="715">
        <v>98011</v>
      </c>
      <c r="B8554" s="633" t="s">
        <v>25101</v>
      </c>
      <c r="C8554" s="715" t="s">
        <v>165</v>
      </c>
      <c r="D8554" s="716">
        <v>2477.58</v>
      </c>
    </row>
    <row r="8555" spans="1:4" ht="56">
      <c r="A8555" s="715">
        <v>98013</v>
      </c>
      <c r="B8555" s="633" t="s">
        <v>25102</v>
      </c>
      <c r="C8555" s="715" t="s">
        <v>165</v>
      </c>
      <c r="D8555" s="716">
        <v>2784.01</v>
      </c>
    </row>
    <row r="8556" spans="1:4" ht="56">
      <c r="A8556" s="715">
        <v>98015</v>
      </c>
      <c r="B8556" s="633" t="s">
        <v>25103</v>
      </c>
      <c r="C8556" s="715" t="s">
        <v>165</v>
      </c>
      <c r="D8556" s="716">
        <v>3090.44</v>
      </c>
    </row>
    <row r="8557" spans="1:4" ht="56">
      <c r="A8557" s="715">
        <v>98017</v>
      </c>
      <c r="B8557" s="633" t="s">
        <v>25104</v>
      </c>
      <c r="C8557" s="715" t="s">
        <v>165</v>
      </c>
      <c r="D8557" s="716">
        <v>3396.78</v>
      </c>
    </row>
    <row r="8558" spans="1:4" ht="56">
      <c r="A8558" s="715">
        <v>98019</v>
      </c>
      <c r="B8558" s="633" t="s">
        <v>25105</v>
      </c>
      <c r="C8558" s="715" t="s">
        <v>165</v>
      </c>
      <c r="D8558" s="716">
        <v>3729.9</v>
      </c>
    </row>
    <row r="8559" spans="1:4" ht="56">
      <c r="A8559" s="715">
        <v>97995</v>
      </c>
      <c r="B8559" s="633" t="s">
        <v>25093</v>
      </c>
      <c r="C8559" s="715" t="s">
        <v>165</v>
      </c>
      <c r="D8559" s="716">
        <v>1558.42</v>
      </c>
    </row>
    <row r="8560" spans="1:4" ht="56">
      <c r="A8560" s="715">
        <v>97997</v>
      </c>
      <c r="B8560" s="633" t="s">
        <v>25094</v>
      </c>
      <c r="C8560" s="715" t="s">
        <v>165</v>
      </c>
      <c r="D8560" s="716">
        <v>1864.79</v>
      </c>
    </row>
    <row r="8561" spans="1:4" ht="56">
      <c r="A8561" s="715">
        <v>97999</v>
      </c>
      <c r="B8561" s="633" t="s">
        <v>25095</v>
      </c>
      <c r="C8561" s="715" t="s">
        <v>165</v>
      </c>
      <c r="D8561" s="716">
        <v>2171.2199999999998</v>
      </c>
    </row>
    <row r="8562" spans="1:4" ht="56">
      <c r="A8562" s="715">
        <v>98001</v>
      </c>
      <c r="B8562" s="633" t="s">
        <v>25096</v>
      </c>
      <c r="C8562" s="715" t="s">
        <v>165</v>
      </c>
      <c r="D8562" s="716">
        <v>2477.58</v>
      </c>
    </row>
    <row r="8563" spans="1:4" ht="56">
      <c r="A8563" s="715">
        <v>98003</v>
      </c>
      <c r="B8563" s="633" t="s">
        <v>25097</v>
      </c>
      <c r="C8563" s="715" t="s">
        <v>165</v>
      </c>
      <c r="D8563" s="716">
        <v>2784.01</v>
      </c>
    </row>
    <row r="8564" spans="1:4" ht="56">
      <c r="A8564" s="715">
        <v>98005</v>
      </c>
      <c r="B8564" s="633" t="s">
        <v>25098</v>
      </c>
      <c r="C8564" s="715" t="s">
        <v>165</v>
      </c>
      <c r="D8564" s="716">
        <v>3090.44</v>
      </c>
    </row>
    <row r="8565" spans="1:4" ht="56">
      <c r="A8565" s="715">
        <v>98007</v>
      </c>
      <c r="B8565" s="633" t="s">
        <v>25099</v>
      </c>
      <c r="C8565" s="715" t="s">
        <v>165</v>
      </c>
      <c r="D8565" s="716">
        <v>3396.78</v>
      </c>
    </row>
    <row r="8566" spans="1:4" ht="56">
      <c r="A8566" s="715">
        <v>98031</v>
      </c>
      <c r="B8566" s="633" t="s">
        <v>25111</v>
      </c>
      <c r="C8566" s="715" t="s">
        <v>165</v>
      </c>
      <c r="D8566" s="716">
        <v>3429.1</v>
      </c>
    </row>
    <row r="8567" spans="1:4" ht="56">
      <c r="A8567" s="715">
        <v>98033</v>
      </c>
      <c r="B8567" s="633" t="s">
        <v>25112</v>
      </c>
      <c r="C8567" s="715" t="s">
        <v>165</v>
      </c>
      <c r="D8567" s="716">
        <v>3735.48</v>
      </c>
    </row>
    <row r="8568" spans="1:4" ht="56">
      <c r="A8568" s="715">
        <v>98035</v>
      </c>
      <c r="B8568" s="633" t="s">
        <v>25113</v>
      </c>
      <c r="C8568" s="715" t="s">
        <v>165</v>
      </c>
      <c r="D8568" s="716">
        <v>4041.8</v>
      </c>
    </row>
    <row r="8569" spans="1:4" ht="56">
      <c r="A8569" s="715">
        <v>98037</v>
      </c>
      <c r="B8569" s="633" t="s">
        <v>25114</v>
      </c>
      <c r="C8569" s="715" t="s">
        <v>165</v>
      </c>
      <c r="D8569" s="716">
        <v>4353.7299999999996</v>
      </c>
    </row>
    <row r="8570" spans="1:4" ht="56">
      <c r="A8570" s="715">
        <v>98021</v>
      </c>
      <c r="B8570" s="633" t="s">
        <v>25106</v>
      </c>
      <c r="C8570" s="715" t="s">
        <v>165</v>
      </c>
      <c r="D8570" s="716">
        <v>2810.76</v>
      </c>
    </row>
    <row r="8571" spans="1:4" ht="56">
      <c r="A8571" s="715">
        <v>98023</v>
      </c>
      <c r="B8571" s="633" t="s">
        <v>25107</v>
      </c>
      <c r="C8571" s="715" t="s">
        <v>165</v>
      </c>
      <c r="D8571" s="716">
        <v>3117.12</v>
      </c>
    </row>
    <row r="8572" spans="1:4" ht="56">
      <c r="A8572" s="715">
        <v>98025</v>
      </c>
      <c r="B8572" s="633" t="s">
        <v>25108</v>
      </c>
      <c r="C8572" s="715" t="s">
        <v>165</v>
      </c>
      <c r="D8572" s="716">
        <v>3423.53</v>
      </c>
    </row>
    <row r="8573" spans="1:4" ht="56">
      <c r="A8573" s="715">
        <v>98027</v>
      </c>
      <c r="B8573" s="633" t="s">
        <v>25109</v>
      </c>
      <c r="C8573" s="715" t="s">
        <v>165</v>
      </c>
      <c r="D8573" s="716">
        <v>3729.9</v>
      </c>
    </row>
    <row r="8574" spans="1:4" ht="56">
      <c r="A8574" s="715">
        <v>98029</v>
      </c>
      <c r="B8574" s="633" t="s">
        <v>25110</v>
      </c>
      <c r="C8574" s="715" t="s">
        <v>165</v>
      </c>
      <c r="D8574" s="716">
        <v>4041.8</v>
      </c>
    </row>
    <row r="8575" spans="1:4" ht="56">
      <c r="A8575" s="715">
        <v>98045</v>
      </c>
      <c r="B8575" s="633" t="s">
        <v>25118</v>
      </c>
      <c r="C8575" s="715" t="s">
        <v>165</v>
      </c>
      <c r="D8575" s="716">
        <v>4665.7299999999996</v>
      </c>
    </row>
    <row r="8576" spans="1:4" ht="56">
      <c r="A8576" s="715">
        <v>98047</v>
      </c>
      <c r="B8576" s="633" t="s">
        <v>25119</v>
      </c>
      <c r="C8576" s="715" t="s">
        <v>165</v>
      </c>
      <c r="D8576" s="716">
        <v>4977.67</v>
      </c>
    </row>
    <row r="8577" spans="1:4" ht="56">
      <c r="A8577" s="715">
        <v>98039</v>
      </c>
      <c r="B8577" s="633" t="s">
        <v>25115</v>
      </c>
      <c r="C8577" s="715" t="s">
        <v>165</v>
      </c>
      <c r="D8577" s="716">
        <v>4047.37</v>
      </c>
    </row>
    <row r="8578" spans="1:4" ht="56">
      <c r="A8578" s="715">
        <v>98041</v>
      </c>
      <c r="B8578" s="633" t="s">
        <v>25116</v>
      </c>
      <c r="C8578" s="715" t="s">
        <v>165</v>
      </c>
      <c r="D8578" s="716">
        <v>4353.7299999999996</v>
      </c>
    </row>
    <row r="8579" spans="1:4" ht="56">
      <c r="A8579" s="715">
        <v>98043</v>
      </c>
      <c r="B8579" s="633" t="s">
        <v>25117</v>
      </c>
      <c r="C8579" s="715" t="s">
        <v>165</v>
      </c>
      <c r="D8579" s="716">
        <v>4665.7299999999996</v>
      </c>
    </row>
    <row r="8580" spans="1:4" ht="56">
      <c r="A8580" s="715">
        <v>98049</v>
      </c>
      <c r="B8580" s="633" t="s">
        <v>25120</v>
      </c>
      <c r="C8580" s="715" t="s">
        <v>165</v>
      </c>
      <c r="D8580" s="716">
        <v>5235.12</v>
      </c>
    </row>
    <row r="8581" spans="1:4" ht="56">
      <c r="A8581" s="715">
        <v>101809</v>
      </c>
      <c r="B8581" s="633" t="s">
        <v>34247</v>
      </c>
      <c r="C8581" s="715" t="s">
        <v>103</v>
      </c>
      <c r="D8581" s="716">
        <v>3102.11</v>
      </c>
    </row>
    <row r="8582" spans="1:4" ht="70">
      <c r="A8582" s="715">
        <v>99280</v>
      </c>
      <c r="B8582" s="633" t="s">
        <v>34248</v>
      </c>
      <c r="C8582" s="715" t="s">
        <v>103</v>
      </c>
      <c r="D8582" s="716">
        <v>2222.39</v>
      </c>
    </row>
    <row r="8583" spans="1:4" ht="56">
      <c r="A8583" s="715">
        <v>99292</v>
      </c>
      <c r="B8583" s="633" t="s">
        <v>34249</v>
      </c>
      <c r="C8583" s="715" t="s">
        <v>103</v>
      </c>
      <c r="D8583" s="716">
        <v>2733.82</v>
      </c>
    </row>
    <row r="8584" spans="1:4" ht="56">
      <c r="A8584" s="715">
        <v>99242</v>
      </c>
      <c r="B8584" s="633" t="s">
        <v>34250</v>
      </c>
      <c r="C8584" s="715" t="s">
        <v>103</v>
      </c>
      <c r="D8584" s="716">
        <v>3240.3</v>
      </c>
    </row>
    <row r="8585" spans="1:4" ht="70">
      <c r="A8585" s="715">
        <v>99248</v>
      </c>
      <c r="B8585" s="633" t="s">
        <v>34251</v>
      </c>
      <c r="C8585" s="715" t="s">
        <v>103</v>
      </c>
      <c r="D8585" s="716">
        <v>4128.09</v>
      </c>
    </row>
    <row r="8586" spans="1:4" ht="56">
      <c r="A8586" s="715">
        <v>99275</v>
      </c>
      <c r="B8586" s="633" t="s">
        <v>34252</v>
      </c>
      <c r="C8586" s="715" t="s">
        <v>103</v>
      </c>
      <c r="D8586" s="716">
        <v>1105.8699999999999</v>
      </c>
    </row>
    <row r="8587" spans="1:4" ht="56">
      <c r="A8587" s="715">
        <v>99285</v>
      </c>
      <c r="B8587" s="633" t="s">
        <v>34253</v>
      </c>
      <c r="C8587" s="715" t="s">
        <v>103</v>
      </c>
      <c r="D8587" s="716">
        <v>1478.75</v>
      </c>
    </row>
    <row r="8588" spans="1:4" ht="56">
      <c r="A8588" s="715">
        <v>102457</v>
      </c>
      <c r="B8588" s="633" t="s">
        <v>34254</v>
      </c>
      <c r="C8588" s="715" t="s">
        <v>103</v>
      </c>
      <c r="D8588" s="716">
        <v>1844.77</v>
      </c>
    </row>
    <row r="8589" spans="1:4" ht="56">
      <c r="A8589" s="715">
        <v>102142</v>
      </c>
      <c r="B8589" s="633" t="s">
        <v>34255</v>
      </c>
      <c r="C8589" s="715" t="s">
        <v>103</v>
      </c>
      <c r="D8589" s="716">
        <v>2903.22</v>
      </c>
    </row>
    <row r="8590" spans="1:4" ht="56">
      <c r="A8590" s="715">
        <v>97980</v>
      </c>
      <c r="B8590" s="633" t="s">
        <v>40746</v>
      </c>
      <c r="C8590" s="715" t="s">
        <v>103</v>
      </c>
      <c r="D8590" s="716">
        <v>2300.1799999999998</v>
      </c>
    </row>
    <row r="8591" spans="1:4" ht="56">
      <c r="A8591" s="715">
        <v>98405</v>
      </c>
      <c r="B8591" s="633" t="s">
        <v>40747</v>
      </c>
      <c r="C8591" s="715" t="s">
        <v>103</v>
      </c>
      <c r="D8591" s="716">
        <v>2822.51</v>
      </c>
    </row>
    <row r="8592" spans="1:4" ht="56">
      <c r="A8592" s="715">
        <v>97988</v>
      </c>
      <c r="B8592" s="633" t="s">
        <v>40748</v>
      </c>
      <c r="C8592" s="715" t="s">
        <v>103</v>
      </c>
      <c r="D8592" s="716">
        <v>3338.93</v>
      </c>
    </row>
    <row r="8593" spans="1:4" ht="56">
      <c r="A8593" s="715">
        <v>97992</v>
      </c>
      <c r="B8593" s="633" t="s">
        <v>34256</v>
      </c>
      <c r="C8593" s="715" t="s">
        <v>103</v>
      </c>
      <c r="D8593" s="716">
        <v>4247.12</v>
      </c>
    </row>
    <row r="8594" spans="1:4" ht="56">
      <c r="A8594" s="715">
        <v>97978</v>
      </c>
      <c r="B8594" s="633" t="s">
        <v>34257</v>
      </c>
      <c r="C8594" s="715" t="s">
        <v>103</v>
      </c>
      <c r="D8594" s="716">
        <v>1114.54</v>
      </c>
    </row>
    <row r="8595" spans="1:4" ht="56">
      <c r="A8595" s="715">
        <v>98410</v>
      </c>
      <c r="B8595" s="633" t="s">
        <v>34258</v>
      </c>
      <c r="C8595" s="715" t="s">
        <v>103</v>
      </c>
      <c r="D8595" s="716">
        <v>1402.57</v>
      </c>
    </row>
    <row r="8596" spans="1:4" ht="56">
      <c r="A8596" s="715">
        <v>102139</v>
      </c>
      <c r="B8596" s="633" t="s">
        <v>40749</v>
      </c>
      <c r="C8596" s="715" t="s">
        <v>103</v>
      </c>
      <c r="D8596" s="716">
        <v>1917.53</v>
      </c>
    </row>
    <row r="8597" spans="1:4" ht="56">
      <c r="A8597" s="715">
        <v>102141</v>
      </c>
      <c r="B8597" s="633" t="s">
        <v>40750</v>
      </c>
      <c r="C8597" s="715" t="s">
        <v>103</v>
      </c>
      <c r="D8597" s="716">
        <v>2942.35</v>
      </c>
    </row>
    <row r="8598" spans="1:4" ht="70">
      <c r="A8598" s="715">
        <v>99290</v>
      </c>
      <c r="B8598" s="633" t="s">
        <v>34259</v>
      </c>
      <c r="C8598" s="715" t="s">
        <v>103</v>
      </c>
      <c r="D8598" s="716">
        <v>4447.5200000000004</v>
      </c>
    </row>
    <row r="8599" spans="1:4" ht="70">
      <c r="A8599" s="715">
        <v>99244</v>
      </c>
      <c r="B8599" s="633" t="s">
        <v>34260</v>
      </c>
      <c r="C8599" s="715" t="s">
        <v>103</v>
      </c>
      <c r="D8599" s="716">
        <v>5421.51</v>
      </c>
    </row>
    <row r="8600" spans="1:4" ht="70">
      <c r="A8600" s="715">
        <v>99256</v>
      </c>
      <c r="B8600" s="633" t="s">
        <v>34261</v>
      </c>
      <c r="C8600" s="715" t="s">
        <v>103</v>
      </c>
      <c r="D8600" s="716">
        <v>6365.32</v>
      </c>
    </row>
    <row r="8601" spans="1:4" ht="70">
      <c r="A8601" s="715">
        <v>99271</v>
      </c>
      <c r="B8601" s="633" t="s">
        <v>34262</v>
      </c>
      <c r="C8601" s="715" t="s">
        <v>103</v>
      </c>
      <c r="D8601" s="716">
        <v>7309.04</v>
      </c>
    </row>
    <row r="8602" spans="1:4" ht="70">
      <c r="A8602" s="715">
        <v>99284</v>
      </c>
      <c r="B8602" s="633" t="s">
        <v>34263</v>
      </c>
      <c r="C8602" s="715" t="s">
        <v>103</v>
      </c>
      <c r="D8602" s="716">
        <v>8252.8799999999992</v>
      </c>
    </row>
    <row r="8603" spans="1:4" ht="70">
      <c r="A8603" s="715">
        <v>99294</v>
      </c>
      <c r="B8603" s="633" t="s">
        <v>34264</v>
      </c>
      <c r="C8603" s="715" t="s">
        <v>103</v>
      </c>
      <c r="D8603" s="716">
        <v>9196.64</v>
      </c>
    </row>
    <row r="8604" spans="1:4" ht="70">
      <c r="A8604" s="715">
        <v>99252</v>
      </c>
      <c r="B8604" s="633" t="s">
        <v>34265</v>
      </c>
      <c r="C8604" s="715" t="s">
        <v>103</v>
      </c>
      <c r="D8604" s="716">
        <v>2857.15</v>
      </c>
    </row>
    <row r="8605" spans="1:4" ht="70">
      <c r="A8605" s="715">
        <v>99259</v>
      </c>
      <c r="B8605" s="633" t="s">
        <v>34266</v>
      </c>
      <c r="C8605" s="715" t="s">
        <v>103</v>
      </c>
      <c r="D8605" s="716">
        <v>3609.96</v>
      </c>
    </row>
    <row r="8606" spans="1:4" ht="70">
      <c r="A8606" s="715">
        <v>99265</v>
      </c>
      <c r="B8606" s="633" t="s">
        <v>34267</v>
      </c>
      <c r="C8606" s="715" t="s">
        <v>103</v>
      </c>
      <c r="D8606" s="716">
        <v>4362.71</v>
      </c>
    </row>
    <row r="8607" spans="1:4" ht="70">
      <c r="A8607" s="715">
        <v>99267</v>
      </c>
      <c r="B8607" s="633" t="s">
        <v>34268</v>
      </c>
      <c r="C8607" s="715" t="s">
        <v>103</v>
      </c>
      <c r="D8607" s="716">
        <v>5115.5</v>
      </c>
    </row>
    <row r="8608" spans="1:4" ht="70">
      <c r="A8608" s="715">
        <v>99274</v>
      </c>
      <c r="B8608" s="633" t="s">
        <v>34269</v>
      </c>
      <c r="C8608" s="715" t="s">
        <v>103</v>
      </c>
      <c r="D8608" s="716">
        <v>5906.38</v>
      </c>
    </row>
    <row r="8609" spans="1:4" ht="70">
      <c r="A8609" s="715">
        <v>99279</v>
      </c>
      <c r="B8609" s="633" t="s">
        <v>34270</v>
      </c>
      <c r="C8609" s="715" t="s">
        <v>103</v>
      </c>
      <c r="D8609" s="716">
        <v>6663.95</v>
      </c>
    </row>
    <row r="8610" spans="1:4" ht="70">
      <c r="A8610" s="715">
        <v>99286</v>
      </c>
      <c r="B8610" s="633" t="s">
        <v>34271</v>
      </c>
      <c r="C8610" s="715" t="s">
        <v>103</v>
      </c>
      <c r="D8610" s="716">
        <v>7421.6</v>
      </c>
    </row>
    <row r="8611" spans="1:4" ht="70">
      <c r="A8611" s="715">
        <v>99326</v>
      </c>
      <c r="B8611" s="633" t="s">
        <v>34272</v>
      </c>
      <c r="C8611" s="715" t="s">
        <v>103</v>
      </c>
      <c r="D8611" s="716">
        <v>9018.1299999999992</v>
      </c>
    </row>
    <row r="8612" spans="1:4" ht="70">
      <c r="A8612" s="715">
        <v>99287</v>
      </c>
      <c r="B8612" s="633" t="s">
        <v>34273</v>
      </c>
      <c r="C8612" s="715" t="s">
        <v>103</v>
      </c>
      <c r="D8612" s="716">
        <v>10367.629999999999</v>
      </c>
    </row>
    <row r="8613" spans="1:4" ht="70">
      <c r="A8613" s="715">
        <v>99298</v>
      </c>
      <c r="B8613" s="633" t="s">
        <v>34274</v>
      </c>
      <c r="C8613" s="715" t="s">
        <v>103</v>
      </c>
      <c r="D8613" s="716">
        <v>11717.2</v>
      </c>
    </row>
    <row r="8614" spans="1:4" ht="70">
      <c r="A8614" s="715">
        <v>99300</v>
      </c>
      <c r="B8614" s="633" t="s">
        <v>34275</v>
      </c>
      <c r="C8614" s="715" t="s">
        <v>103</v>
      </c>
      <c r="D8614" s="716">
        <v>13066.77</v>
      </c>
    </row>
    <row r="8615" spans="1:4" ht="70">
      <c r="A8615" s="715">
        <v>99301</v>
      </c>
      <c r="B8615" s="633" t="s">
        <v>34276</v>
      </c>
      <c r="C8615" s="715" t="s">
        <v>103</v>
      </c>
      <c r="D8615" s="716">
        <v>6538.16</v>
      </c>
    </row>
    <row r="8616" spans="1:4" ht="70">
      <c r="A8616" s="715">
        <v>99312</v>
      </c>
      <c r="B8616" s="633" t="s">
        <v>34277</v>
      </c>
      <c r="C8616" s="715" t="s">
        <v>103</v>
      </c>
      <c r="D8616" s="716">
        <v>7654.61</v>
      </c>
    </row>
    <row r="8617" spans="1:4" ht="70">
      <c r="A8617" s="715">
        <v>99320</v>
      </c>
      <c r="B8617" s="633" t="s">
        <v>34278</v>
      </c>
      <c r="C8617" s="715" t="s">
        <v>103</v>
      </c>
      <c r="D8617" s="716">
        <v>8837.85</v>
      </c>
    </row>
    <row r="8618" spans="1:4" ht="70">
      <c r="A8618" s="715">
        <v>99322</v>
      </c>
      <c r="B8618" s="633" t="s">
        <v>34279</v>
      </c>
      <c r="C8618" s="715" t="s">
        <v>103</v>
      </c>
      <c r="D8618" s="716">
        <v>9962.73</v>
      </c>
    </row>
    <row r="8619" spans="1:4" ht="70">
      <c r="A8619" s="715">
        <v>99324</v>
      </c>
      <c r="B8619" s="633" t="s">
        <v>34280</v>
      </c>
      <c r="C8619" s="715" t="s">
        <v>103</v>
      </c>
      <c r="D8619" s="716">
        <v>11087.66</v>
      </c>
    </row>
    <row r="8620" spans="1:4" ht="70">
      <c r="A8620" s="715">
        <v>99310</v>
      </c>
      <c r="B8620" s="633" t="s">
        <v>34281</v>
      </c>
      <c r="C8620" s="715" t="s">
        <v>103</v>
      </c>
      <c r="D8620" s="716">
        <v>15296.87</v>
      </c>
    </row>
    <row r="8621" spans="1:4" ht="70">
      <c r="A8621" s="715">
        <v>99313</v>
      </c>
      <c r="B8621" s="633" t="s">
        <v>34282</v>
      </c>
      <c r="C8621" s="715" t="s">
        <v>103</v>
      </c>
      <c r="D8621" s="716">
        <v>17041.68</v>
      </c>
    </row>
    <row r="8622" spans="1:4" ht="70">
      <c r="A8622" s="715">
        <v>99303</v>
      </c>
      <c r="B8622" s="633" t="s">
        <v>34283</v>
      </c>
      <c r="C8622" s="715" t="s">
        <v>103</v>
      </c>
      <c r="D8622" s="716">
        <v>11959.76</v>
      </c>
    </row>
    <row r="8623" spans="1:4" ht="70">
      <c r="A8623" s="715">
        <v>99305</v>
      </c>
      <c r="B8623" s="633" t="s">
        <v>34284</v>
      </c>
      <c r="C8623" s="715" t="s">
        <v>103</v>
      </c>
      <c r="D8623" s="716">
        <v>13507</v>
      </c>
    </row>
    <row r="8624" spans="1:4" ht="70">
      <c r="A8624" s="715">
        <v>99308</v>
      </c>
      <c r="B8624" s="633" t="s">
        <v>34285</v>
      </c>
      <c r="C8624" s="715" t="s">
        <v>103</v>
      </c>
      <c r="D8624" s="716">
        <v>15054.28</v>
      </c>
    </row>
    <row r="8625" spans="1:4" ht="70">
      <c r="A8625" s="715">
        <v>99315</v>
      </c>
      <c r="B8625" s="633" t="s">
        <v>34286</v>
      </c>
      <c r="C8625" s="715" t="s">
        <v>103</v>
      </c>
      <c r="D8625" s="716">
        <v>19029.169999999998</v>
      </c>
    </row>
    <row r="8626" spans="1:4" ht="56">
      <c r="A8626" s="715">
        <v>98008</v>
      </c>
      <c r="B8626" s="633" t="s">
        <v>34287</v>
      </c>
      <c r="C8626" s="715" t="s">
        <v>103</v>
      </c>
      <c r="D8626" s="716">
        <v>4544.6400000000003</v>
      </c>
    </row>
    <row r="8627" spans="1:4" ht="56">
      <c r="A8627" s="715">
        <v>98010</v>
      </c>
      <c r="B8627" s="633" t="s">
        <v>34288</v>
      </c>
      <c r="C8627" s="715" t="s">
        <v>103</v>
      </c>
      <c r="D8627" s="716">
        <v>5540.01</v>
      </c>
    </row>
    <row r="8628" spans="1:4" ht="56">
      <c r="A8628" s="715">
        <v>98012</v>
      </c>
      <c r="B8628" s="633" t="s">
        <v>34289</v>
      </c>
      <c r="C8628" s="715" t="s">
        <v>103</v>
      </c>
      <c r="D8628" s="716">
        <v>6505.18</v>
      </c>
    </row>
    <row r="8629" spans="1:4" ht="56">
      <c r="A8629" s="715">
        <v>98014</v>
      </c>
      <c r="B8629" s="633" t="s">
        <v>34290</v>
      </c>
      <c r="C8629" s="715" t="s">
        <v>103</v>
      </c>
      <c r="D8629" s="716">
        <v>7470.27</v>
      </c>
    </row>
    <row r="8630" spans="1:4" ht="56">
      <c r="A8630" s="715">
        <v>98016</v>
      </c>
      <c r="B8630" s="633" t="s">
        <v>34291</v>
      </c>
      <c r="C8630" s="715" t="s">
        <v>103</v>
      </c>
      <c r="D8630" s="716">
        <v>8435.49</v>
      </c>
    </row>
    <row r="8631" spans="1:4" ht="56">
      <c r="A8631" s="715">
        <v>98018</v>
      </c>
      <c r="B8631" s="633" t="s">
        <v>34292</v>
      </c>
      <c r="C8631" s="715" t="s">
        <v>103</v>
      </c>
      <c r="D8631" s="716">
        <v>9400.61</v>
      </c>
    </row>
    <row r="8632" spans="1:4" ht="56">
      <c r="A8632" s="715">
        <v>97994</v>
      </c>
      <c r="B8632" s="633" t="s">
        <v>40751</v>
      </c>
      <c r="C8632" s="715" t="s">
        <v>103</v>
      </c>
      <c r="D8632" s="716">
        <v>2918.92</v>
      </c>
    </row>
    <row r="8633" spans="1:4" ht="56">
      <c r="A8633" s="715">
        <v>97996</v>
      </c>
      <c r="B8633" s="633" t="s">
        <v>34293</v>
      </c>
      <c r="C8633" s="715" t="s">
        <v>103</v>
      </c>
      <c r="D8633" s="716">
        <v>3688.78</v>
      </c>
    </row>
    <row r="8634" spans="1:4" ht="56">
      <c r="A8634" s="715">
        <v>98407</v>
      </c>
      <c r="B8634" s="633" t="s">
        <v>34294</v>
      </c>
      <c r="C8634" s="715" t="s">
        <v>103</v>
      </c>
      <c r="D8634" s="716">
        <v>4458.5600000000004</v>
      </c>
    </row>
    <row r="8635" spans="1:4" ht="56">
      <c r="A8635" s="715">
        <v>98408</v>
      </c>
      <c r="B8635" s="633" t="s">
        <v>34295</v>
      </c>
      <c r="C8635" s="715" t="s">
        <v>103</v>
      </c>
      <c r="D8635" s="716">
        <v>5228.41</v>
      </c>
    </row>
    <row r="8636" spans="1:4" ht="56">
      <c r="A8636" s="715">
        <v>98002</v>
      </c>
      <c r="B8636" s="633" t="s">
        <v>34296</v>
      </c>
      <c r="C8636" s="715" t="s">
        <v>103</v>
      </c>
      <c r="D8636" s="716">
        <v>6036.33</v>
      </c>
    </row>
    <row r="8637" spans="1:4" ht="56">
      <c r="A8637" s="715">
        <v>98406</v>
      </c>
      <c r="B8637" s="633" t="s">
        <v>34297</v>
      </c>
      <c r="C8637" s="715" t="s">
        <v>103</v>
      </c>
      <c r="D8637" s="716">
        <v>6810.95</v>
      </c>
    </row>
    <row r="8638" spans="1:4" ht="56">
      <c r="A8638" s="715">
        <v>98006</v>
      </c>
      <c r="B8638" s="633" t="s">
        <v>34298</v>
      </c>
      <c r="C8638" s="715" t="s">
        <v>103</v>
      </c>
      <c r="D8638" s="716">
        <v>7585.63</v>
      </c>
    </row>
    <row r="8639" spans="1:4" ht="56">
      <c r="A8639" s="715">
        <v>98030</v>
      </c>
      <c r="B8639" s="633" t="s">
        <v>34299</v>
      </c>
      <c r="C8639" s="715" t="s">
        <v>103</v>
      </c>
      <c r="D8639" s="716">
        <v>9219.31</v>
      </c>
    </row>
    <row r="8640" spans="1:4" ht="56">
      <c r="A8640" s="715">
        <v>98032</v>
      </c>
      <c r="B8640" s="633" t="s">
        <v>34300</v>
      </c>
      <c r="C8640" s="715" t="s">
        <v>103</v>
      </c>
      <c r="D8640" s="716">
        <v>10600.04</v>
      </c>
    </row>
    <row r="8641" spans="1:4" ht="56">
      <c r="A8641" s="715">
        <v>98034</v>
      </c>
      <c r="B8641" s="633" t="s">
        <v>34301</v>
      </c>
      <c r="C8641" s="715" t="s">
        <v>103</v>
      </c>
      <c r="D8641" s="716">
        <v>11980.84</v>
      </c>
    </row>
    <row r="8642" spans="1:4" ht="56">
      <c r="A8642" s="715">
        <v>98036</v>
      </c>
      <c r="B8642" s="633" t="s">
        <v>34302</v>
      </c>
      <c r="C8642" s="715" t="s">
        <v>103</v>
      </c>
      <c r="D8642" s="716">
        <v>13361.63</v>
      </c>
    </row>
    <row r="8643" spans="1:4" ht="56">
      <c r="A8643" s="715">
        <v>98020</v>
      </c>
      <c r="B8643" s="633" t="s">
        <v>34303</v>
      </c>
      <c r="C8643" s="715" t="s">
        <v>103</v>
      </c>
      <c r="D8643" s="716">
        <v>6682.51</v>
      </c>
    </row>
    <row r="8644" spans="1:4" ht="56">
      <c r="A8644" s="715">
        <v>98022</v>
      </c>
      <c r="B8644" s="633" t="s">
        <v>34304</v>
      </c>
      <c r="C8644" s="715" t="s">
        <v>103</v>
      </c>
      <c r="D8644" s="716">
        <v>7824.12</v>
      </c>
    </row>
    <row r="8645" spans="1:4" ht="56">
      <c r="A8645" s="715">
        <v>98024</v>
      </c>
      <c r="B8645" s="633" t="s">
        <v>34305</v>
      </c>
      <c r="C8645" s="715" t="s">
        <v>103</v>
      </c>
      <c r="D8645" s="716">
        <v>9032.5400000000009</v>
      </c>
    </row>
    <row r="8646" spans="1:4" ht="56">
      <c r="A8646" s="715">
        <v>98026</v>
      </c>
      <c r="B8646" s="633" t="s">
        <v>34306</v>
      </c>
      <c r="C8646" s="715" t="s">
        <v>103</v>
      </c>
      <c r="D8646" s="716">
        <v>10182.59</v>
      </c>
    </row>
    <row r="8647" spans="1:4" ht="56">
      <c r="A8647" s="715">
        <v>98028</v>
      </c>
      <c r="B8647" s="633" t="s">
        <v>34307</v>
      </c>
      <c r="C8647" s="715" t="s">
        <v>103</v>
      </c>
      <c r="D8647" s="716">
        <v>11332.71</v>
      </c>
    </row>
    <row r="8648" spans="1:4" ht="56">
      <c r="A8648" s="715">
        <v>98044</v>
      </c>
      <c r="B8648" s="633" t="s">
        <v>34308</v>
      </c>
      <c r="C8648" s="715" t="s">
        <v>103</v>
      </c>
      <c r="D8648" s="716">
        <v>15644.02</v>
      </c>
    </row>
    <row r="8649" spans="1:4" ht="56">
      <c r="A8649" s="715">
        <v>98046</v>
      </c>
      <c r="B8649" s="633" t="s">
        <v>34309</v>
      </c>
      <c r="C8649" s="715" t="s">
        <v>103</v>
      </c>
      <c r="D8649" s="716">
        <v>17429.14</v>
      </c>
    </row>
    <row r="8650" spans="1:4" ht="56">
      <c r="A8650" s="715">
        <v>98038</v>
      </c>
      <c r="B8650" s="633" t="s">
        <v>34310</v>
      </c>
      <c r="C8650" s="715" t="s">
        <v>103</v>
      </c>
      <c r="D8650" s="716">
        <v>12229.36</v>
      </c>
    </row>
    <row r="8651" spans="1:4" ht="56">
      <c r="A8651" s="715">
        <v>98040</v>
      </c>
      <c r="B8651" s="633" t="s">
        <v>34311</v>
      </c>
      <c r="C8651" s="715" t="s">
        <v>103</v>
      </c>
      <c r="D8651" s="716">
        <v>13812.39</v>
      </c>
    </row>
    <row r="8652" spans="1:4" ht="56">
      <c r="A8652" s="715">
        <v>98042</v>
      </c>
      <c r="B8652" s="633" t="s">
        <v>34312</v>
      </c>
      <c r="C8652" s="715" t="s">
        <v>103</v>
      </c>
      <c r="D8652" s="716">
        <v>15395.45</v>
      </c>
    </row>
    <row r="8653" spans="1:4" ht="56">
      <c r="A8653" s="715">
        <v>98048</v>
      </c>
      <c r="B8653" s="633" t="s">
        <v>34313</v>
      </c>
      <c r="C8653" s="715" t="s">
        <v>103</v>
      </c>
      <c r="D8653" s="716">
        <v>19462.93</v>
      </c>
    </row>
    <row r="8654" spans="1:4" ht="42">
      <c r="A8654" s="715">
        <v>97955</v>
      </c>
      <c r="B8654" s="633" t="s">
        <v>25084</v>
      </c>
      <c r="C8654" s="715" t="s">
        <v>103</v>
      </c>
      <c r="D8654" s="716">
        <v>3410.36</v>
      </c>
    </row>
    <row r="8655" spans="1:4" ht="42">
      <c r="A8655" s="715">
        <v>97948</v>
      </c>
      <c r="B8655" s="633" t="s">
        <v>25078</v>
      </c>
      <c r="C8655" s="715" t="s">
        <v>103</v>
      </c>
      <c r="D8655" s="716">
        <v>3723.76</v>
      </c>
    </row>
    <row r="8656" spans="1:4" ht="42">
      <c r="A8656" s="715">
        <v>97934</v>
      </c>
      <c r="B8656" s="633" t="s">
        <v>25074</v>
      </c>
      <c r="C8656" s="715" t="s">
        <v>103</v>
      </c>
      <c r="D8656" s="716">
        <v>2625.8</v>
      </c>
    </row>
    <row r="8657" spans="1:4" ht="42">
      <c r="A8657" s="715">
        <v>97953</v>
      </c>
      <c r="B8657" s="633" t="s">
        <v>25083</v>
      </c>
      <c r="C8657" s="715" t="s">
        <v>103</v>
      </c>
      <c r="D8657" s="716">
        <v>1606.07</v>
      </c>
    </row>
    <row r="8658" spans="1:4" ht="42">
      <c r="A8658" s="715">
        <v>97947</v>
      </c>
      <c r="B8658" s="633" t="s">
        <v>25077</v>
      </c>
      <c r="C8658" s="715" t="s">
        <v>103</v>
      </c>
      <c r="D8658" s="716">
        <v>2017.28</v>
      </c>
    </row>
    <row r="8659" spans="1:4" ht="42">
      <c r="A8659" s="715">
        <v>97933</v>
      </c>
      <c r="B8659" s="633" t="s">
        <v>25073</v>
      </c>
      <c r="C8659" s="715" t="s">
        <v>103</v>
      </c>
      <c r="D8659" s="716">
        <v>1274.6400000000001</v>
      </c>
    </row>
    <row r="8660" spans="1:4" ht="56">
      <c r="A8660" s="715">
        <v>97961</v>
      </c>
      <c r="B8660" s="633" t="s">
        <v>25087</v>
      </c>
      <c r="C8660" s="715" t="s">
        <v>103</v>
      </c>
      <c r="D8660" s="716">
        <v>2749</v>
      </c>
    </row>
    <row r="8661" spans="1:4" ht="56">
      <c r="A8661" s="715">
        <v>97951</v>
      </c>
      <c r="B8661" s="633" t="s">
        <v>25081</v>
      </c>
      <c r="C8661" s="715" t="s">
        <v>103</v>
      </c>
      <c r="D8661" s="716">
        <v>3224.11</v>
      </c>
    </row>
    <row r="8662" spans="1:4" ht="56">
      <c r="A8662" s="715">
        <v>97973</v>
      </c>
      <c r="B8662" s="633" t="s">
        <v>25088</v>
      </c>
      <c r="C8662" s="715" t="s">
        <v>103</v>
      </c>
      <c r="D8662" s="716">
        <v>5104.92</v>
      </c>
    </row>
    <row r="8663" spans="1:4" ht="56">
      <c r="A8663" s="715">
        <v>97952</v>
      </c>
      <c r="B8663" s="633" t="s">
        <v>25082</v>
      </c>
      <c r="C8663" s="715" t="s">
        <v>103</v>
      </c>
      <c r="D8663" s="716">
        <v>5590.05</v>
      </c>
    </row>
    <row r="8664" spans="1:4" ht="42">
      <c r="A8664" s="715">
        <v>97957</v>
      </c>
      <c r="B8664" s="633" t="s">
        <v>25086</v>
      </c>
      <c r="C8664" s="715" t="s">
        <v>103</v>
      </c>
      <c r="D8664" s="716">
        <v>2972.25</v>
      </c>
    </row>
    <row r="8665" spans="1:4" ht="42">
      <c r="A8665" s="715">
        <v>97950</v>
      </c>
      <c r="B8665" s="633" t="s">
        <v>25080</v>
      </c>
      <c r="C8665" s="715" t="s">
        <v>103</v>
      </c>
      <c r="D8665" s="716">
        <v>3488.15</v>
      </c>
    </row>
    <row r="8666" spans="1:4" ht="42">
      <c r="A8666" s="715">
        <v>97936</v>
      </c>
      <c r="B8666" s="633" t="s">
        <v>25076</v>
      </c>
      <c r="C8666" s="715" t="s">
        <v>103</v>
      </c>
      <c r="D8666" s="716">
        <v>2152.56</v>
      </c>
    </row>
    <row r="8667" spans="1:4" ht="42">
      <c r="A8667" s="715">
        <v>97956</v>
      </c>
      <c r="B8667" s="633" t="s">
        <v>25085</v>
      </c>
      <c r="C8667" s="715" t="s">
        <v>103</v>
      </c>
      <c r="D8667" s="716">
        <v>1665.14</v>
      </c>
    </row>
    <row r="8668" spans="1:4" ht="42">
      <c r="A8668" s="715">
        <v>97949</v>
      </c>
      <c r="B8668" s="633" t="s">
        <v>25079</v>
      </c>
      <c r="C8668" s="715" t="s">
        <v>103</v>
      </c>
      <c r="D8668" s="716">
        <v>1983.17</v>
      </c>
    </row>
    <row r="8669" spans="1:4" ht="42">
      <c r="A8669" s="715">
        <v>97935</v>
      </c>
      <c r="B8669" s="633" t="s">
        <v>25075</v>
      </c>
      <c r="C8669" s="715" t="s">
        <v>103</v>
      </c>
      <c r="D8669" s="716">
        <v>1021.46</v>
      </c>
    </row>
    <row r="8670" spans="1:4" ht="42">
      <c r="A8670" s="715">
        <v>99319</v>
      </c>
      <c r="B8670" s="633" t="s">
        <v>25157</v>
      </c>
      <c r="C8670" s="715" t="s">
        <v>165</v>
      </c>
      <c r="D8670" s="716">
        <v>1023.65</v>
      </c>
    </row>
    <row r="8671" spans="1:4" ht="42">
      <c r="A8671" s="715">
        <v>99318</v>
      </c>
      <c r="B8671" s="633" t="s">
        <v>25156</v>
      </c>
      <c r="C8671" s="715" t="s">
        <v>165</v>
      </c>
      <c r="D8671" s="716">
        <v>339.3</v>
      </c>
    </row>
    <row r="8672" spans="1:4" ht="42">
      <c r="A8672" s="715">
        <v>98051</v>
      </c>
      <c r="B8672" s="633" t="s">
        <v>25122</v>
      </c>
      <c r="C8672" s="715" t="s">
        <v>165</v>
      </c>
      <c r="D8672" s="716">
        <v>1085.5899999999999</v>
      </c>
    </row>
    <row r="8673" spans="1:4" ht="42">
      <c r="A8673" s="715">
        <v>98050</v>
      </c>
      <c r="B8673" s="633" t="s">
        <v>25121</v>
      </c>
      <c r="C8673" s="715" t="s">
        <v>165</v>
      </c>
      <c r="D8673" s="716">
        <v>340.25</v>
      </c>
    </row>
    <row r="8674" spans="1:4" ht="56">
      <c r="A8674" s="715">
        <v>99272</v>
      </c>
      <c r="B8674" s="633" t="s">
        <v>34314</v>
      </c>
      <c r="C8674" s="715" t="s">
        <v>103</v>
      </c>
      <c r="D8674" s="716">
        <v>1209.94</v>
      </c>
    </row>
    <row r="8675" spans="1:4" ht="56">
      <c r="A8675" s="715">
        <v>99273</v>
      </c>
      <c r="B8675" s="633" t="s">
        <v>34315</v>
      </c>
      <c r="C8675" s="715" t="s">
        <v>103</v>
      </c>
      <c r="D8675" s="716">
        <v>1726.84</v>
      </c>
    </row>
    <row r="8676" spans="1:4" ht="56">
      <c r="A8676" s="715">
        <v>99268</v>
      </c>
      <c r="B8676" s="633" t="s">
        <v>34316</v>
      </c>
      <c r="C8676" s="715" t="s">
        <v>103</v>
      </c>
      <c r="D8676" s="716">
        <v>557.08000000000004</v>
      </c>
    </row>
    <row r="8677" spans="1:4" ht="56">
      <c r="A8677" s="715">
        <v>99270</v>
      </c>
      <c r="B8677" s="633" t="s">
        <v>34317</v>
      </c>
      <c r="C8677" s="715" t="s">
        <v>103</v>
      </c>
      <c r="D8677" s="716">
        <v>730.81</v>
      </c>
    </row>
    <row r="8678" spans="1:4" ht="56">
      <c r="A8678" s="715">
        <v>97976</v>
      </c>
      <c r="B8678" s="633" t="s">
        <v>34318</v>
      </c>
      <c r="C8678" s="715" t="s">
        <v>103</v>
      </c>
      <c r="D8678" s="716">
        <v>1254.33</v>
      </c>
    </row>
    <row r="8679" spans="1:4" ht="56">
      <c r="A8679" s="715">
        <v>97977</v>
      </c>
      <c r="B8679" s="633" t="s">
        <v>34319</v>
      </c>
      <c r="C8679" s="715" t="s">
        <v>103</v>
      </c>
      <c r="D8679" s="716">
        <v>1805.54</v>
      </c>
    </row>
    <row r="8680" spans="1:4" ht="56">
      <c r="A8680" s="715">
        <v>97974</v>
      </c>
      <c r="B8680" s="633" t="s">
        <v>34320</v>
      </c>
      <c r="C8680" s="715" t="s">
        <v>103</v>
      </c>
      <c r="D8680" s="716">
        <v>561.5</v>
      </c>
    </row>
    <row r="8681" spans="1:4" ht="56">
      <c r="A8681" s="715">
        <v>97975</v>
      </c>
      <c r="B8681" s="633" t="s">
        <v>34321</v>
      </c>
      <c r="C8681" s="715" t="s">
        <v>103</v>
      </c>
      <c r="D8681" s="716">
        <v>735.97</v>
      </c>
    </row>
    <row r="8682" spans="1:4" ht="42">
      <c r="A8682" s="715">
        <v>101798</v>
      </c>
      <c r="B8682" s="633" t="s">
        <v>25868</v>
      </c>
      <c r="C8682" s="715" t="s">
        <v>103</v>
      </c>
      <c r="D8682" s="716">
        <v>337.58</v>
      </c>
    </row>
    <row r="8683" spans="1:4" ht="42">
      <c r="A8683" s="715">
        <v>101799</v>
      </c>
      <c r="B8683" s="633" t="s">
        <v>25869</v>
      </c>
      <c r="C8683" s="715" t="s">
        <v>103</v>
      </c>
      <c r="D8683" s="716">
        <v>800.41</v>
      </c>
    </row>
    <row r="8684" spans="1:4" ht="42">
      <c r="A8684" s="715">
        <v>102487</v>
      </c>
      <c r="B8684" s="633" t="s">
        <v>25588</v>
      </c>
      <c r="C8684" s="715" t="s">
        <v>121</v>
      </c>
      <c r="D8684" s="716">
        <v>652.5</v>
      </c>
    </row>
    <row r="8685" spans="1:4" ht="42">
      <c r="A8685" s="715">
        <v>102486</v>
      </c>
      <c r="B8685" s="633" t="s">
        <v>25587</v>
      </c>
      <c r="C8685" s="715" t="s">
        <v>121</v>
      </c>
      <c r="D8685" s="716">
        <v>638.98</v>
      </c>
    </row>
    <row r="8686" spans="1:4" ht="56">
      <c r="A8686" s="715">
        <v>102474</v>
      </c>
      <c r="B8686" s="633" t="s">
        <v>25575</v>
      </c>
      <c r="C8686" s="715" t="s">
        <v>121</v>
      </c>
      <c r="D8686" s="716">
        <v>564.61</v>
      </c>
    </row>
    <row r="8687" spans="1:4" ht="56">
      <c r="A8687" s="715">
        <v>102480</v>
      </c>
      <c r="B8687" s="633" t="s">
        <v>25581</v>
      </c>
      <c r="C8687" s="715" t="s">
        <v>121</v>
      </c>
      <c r="D8687" s="716">
        <v>553.26</v>
      </c>
    </row>
    <row r="8688" spans="1:4" ht="42">
      <c r="A8688" s="715">
        <v>94975</v>
      </c>
      <c r="B8688" s="633" t="s">
        <v>25573</v>
      </c>
      <c r="C8688" s="715" t="s">
        <v>121</v>
      </c>
      <c r="D8688" s="716">
        <v>513.78</v>
      </c>
    </row>
    <row r="8689" spans="1:4" ht="42">
      <c r="A8689" s="715">
        <v>94963</v>
      </c>
      <c r="B8689" s="633" t="s">
        <v>25561</v>
      </c>
      <c r="C8689" s="715" t="s">
        <v>121</v>
      </c>
      <c r="D8689" s="716">
        <v>439.71</v>
      </c>
    </row>
    <row r="8690" spans="1:4" ht="42">
      <c r="A8690" s="715">
        <v>94969</v>
      </c>
      <c r="B8690" s="633" t="s">
        <v>25567</v>
      </c>
      <c r="C8690" s="715" t="s">
        <v>121</v>
      </c>
      <c r="D8690" s="716">
        <v>427.99</v>
      </c>
    </row>
    <row r="8691" spans="1:4" ht="56">
      <c r="A8691" s="715">
        <v>102475</v>
      </c>
      <c r="B8691" s="633" t="s">
        <v>25576</v>
      </c>
      <c r="C8691" s="715" t="s">
        <v>121</v>
      </c>
      <c r="D8691" s="716">
        <v>612.21</v>
      </c>
    </row>
    <row r="8692" spans="1:4" ht="56">
      <c r="A8692" s="715">
        <v>102481</v>
      </c>
      <c r="B8692" s="633" t="s">
        <v>25582</v>
      </c>
      <c r="C8692" s="715" t="s">
        <v>121</v>
      </c>
      <c r="D8692" s="716">
        <v>590.41999999999996</v>
      </c>
    </row>
    <row r="8693" spans="1:4" ht="42">
      <c r="A8693" s="715">
        <v>94964</v>
      </c>
      <c r="B8693" s="633" t="s">
        <v>25562</v>
      </c>
      <c r="C8693" s="715" t="s">
        <v>121</v>
      </c>
      <c r="D8693" s="716">
        <v>482.02</v>
      </c>
    </row>
    <row r="8694" spans="1:4" ht="42">
      <c r="A8694" s="715">
        <v>94970</v>
      </c>
      <c r="B8694" s="633" t="s">
        <v>25568</v>
      </c>
      <c r="C8694" s="715" t="s">
        <v>121</v>
      </c>
      <c r="D8694" s="716">
        <v>460.11</v>
      </c>
    </row>
    <row r="8695" spans="1:4" ht="56">
      <c r="A8695" s="715">
        <v>102476</v>
      </c>
      <c r="B8695" s="633" t="s">
        <v>25577</v>
      </c>
      <c r="C8695" s="715" t="s">
        <v>121</v>
      </c>
      <c r="D8695" s="716">
        <v>622.72</v>
      </c>
    </row>
    <row r="8696" spans="1:4" ht="56">
      <c r="A8696" s="715">
        <v>102482</v>
      </c>
      <c r="B8696" s="633" t="s">
        <v>25583</v>
      </c>
      <c r="C8696" s="715" t="s">
        <v>121</v>
      </c>
      <c r="D8696" s="716">
        <v>615.47</v>
      </c>
    </row>
    <row r="8697" spans="1:4" ht="42">
      <c r="A8697" s="715">
        <v>94965</v>
      </c>
      <c r="B8697" s="633" t="s">
        <v>25563</v>
      </c>
      <c r="C8697" s="715" t="s">
        <v>121</v>
      </c>
      <c r="D8697" s="716">
        <v>495.45</v>
      </c>
    </row>
    <row r="8698" spans="1:4" ht="42">
      <c r="A8698" s="715">
        <v>94971</v>
      </c>
      <c r="B8698" s="633" t="s">
        <v>25569</v>
      </c>
      <c r="C8698" s="715" t="s">
        <v>121</v>
      </c>
      <c r="D8698" s="716">
        <v>482.94</v>
      </c>
    </row>
    <row r="8699" spans="1:4" ht="56">
      <c r="A8699" s="715">
        <v>102477</v>
      </c>
      <c r="B8699" s="633" t="s">
        <v>25578</v>
      </c>
      <c r="C8699" s="715" t="s">
        <v>121</v>
      </c>
      <c r="D8699" s="716">
        <v>660.83</v>
      </c>
    </row>
    <row r="8700" spans="1:4" ht="56">
      <c r="A8700" s="715">
        <v>102483</v>
      </c>
      <c r="B8700" s="633" t="s">
        <v>25584</v>
      </c>
      <c r="C8700" s="715" t="s">
        <v>121</v>
      </c>
      <c r="D8700" s="716">
        <v>646.28</v>
      </c>
    </row>
    <row r="8701" spans="1:4" ht="42">
      <c r="A8701" s="715">
        <v>94966</v>
      </c>
      <c r="B8701" s="633" t="s">
        <v>25564</v>
      </c>
      <c r="C8701" s="715" t="s">
        <v>121</v>
      </c>
      <c r="D8701" s="716">
        <v>511.04</v>
      </c>
    </row>
    <row r="8702" spans="1:4" ht="42">
      <c r="A8702" s="715">
        <v>94972</v>
      </c>
      <c r="B8702" s="633" t="s">
        <v>25570</v>
      </c>
      <c r="C8702" s="715" t="s">
        <v>121</v>
      </c>
      <c r="D8702" s="716">
        <v>498.59</v>
      </c>
    </row>
    <row r="8703" spans="1:4" ht="56">
      <c r="A8703" s="715">
        <v>102478</v>
      </c>
      <c r="B8703" s="633" t="s">
        <v>25579</v>
      </c>
      <c r="C8703" s="715" t="s">
        <v>121</v>
      </c>
      <c r="D8703" s="716">
        <v>706.24</v>
      </c>
    </row>
    <row r="8704" spans="1:4" ht="56">
      <c r="A8704" s="715">
        <v>102484</v>
      </c>
      <c r="B8704" s="633" t="s">
        <v>25585</v>
      </c>
      <c r="C8704" s="715" t="s">
        <v>121</v>
      </c>
      <c r="D8704" s="716">
        <v>701.98</v>
      </c>
    </row>
    <row r="8705" spans="1:4" ht="42">
      <c r="A8705" s="715">
        <v>94967</v>
      </c>
      <c r="B8705" s="633" t="s">
        <v>25565</v>
      </c>
      <c r="C8705" s="715" t="s">
        <v>121</v>
      </c>
      <c r="D8705" s="716">
        <v>581.80999999999995</v>
      </c>
    </row>
    <row r="8706" spans="1:4" ht="42">
      <c r="A8706" s="715">
        <v>94973</v>
      </c>
      <c r="B8706" s="633" t="s">
        <v>25571</v>
      </c>
      <c r="C8706" s="715" t="s">
        <v>121</v>
      </c>
      <c r="D8706" s="716">
        <v>566.04</v>
      </c>
    </row>
    <row r="8707" spans="1:4" ht="42">
      <c r="A8707" s="715">
        <v>94974</v>
      </c>
      <c r="B8707" s="633" t="s">
        <v>25572</v>
      </c>
      <c r="C8707" s="715" t="s">
        <v>121</v>
      </c>
      <c r="D8707" s="716">
        <v>478.9</v>
      </c>
    </row>
    <row r="8708" spans="1:4" ht="56">
      <c r="A8708" s="715">
        <v>94962</v>
      </c>
      <c r="B8708" s="633" t="s">
        <v>25560</v>
      </c>
      <c r="C8708" s="715" t="s">
        <v>121</v>
      </c>
      <c r="D8708" s="716">
        <v>399.84</v>
      </c>
    </row>
    <row r="8709" spans="1:4" ht="56">
      <c r="A8709" s="715">
        <v>94968</v>
      </c>
      <c r="B8709" s="633" t="s">
        <v>25566</v>
      </c>
      <c r="C8709" s="715" t="s">
        <v>121</v>
      </c>
      <c r="D8709" s="716">
        <v>392.24</v>
      </c>
    </row>
    <row r="8710" spans="1:4" ht="42">
      <c r="A8710" s="715">
        <v>102485</v>
      </c>
      <c r="B8710" s="633" t="s">
        <v>25586</v>
      </c>
      <c r="C8710" s="715" t="s">
        <v>121</v>
      </c>
      <c r="D8710" s="716">
        <v>608.29999999999995</v>
      </c>
    </row>
    <row r="8711" spans="1:4" ht="56">
      <c r="A8711" s="715">
        <v>102473</v>
      </c>
      <c r="B8711" s="633" t="s">
        <v>25574</v>
      </c>
      <c r="C8711" s="715" t="s">
        <v>121</v>
      </c>
      <c r="D8711" s="716">
        <v>527.34</v>
      </c>
    </row>
    <row r="8712" spans="1:4" ht="56">
      <c r="A8712" s="715">
        <v>102479</v>
      </c>
      <c r="B8712" s="633" t="s">
        <v>25580</v>
      </c>
      <c r="C8712" s="715" t="s">
        <v>121</v>
      </c>
      <c r="D8712" s="716">
        <v>520.02</v>
      </c>
    </row>
    <row r="8713" spans="1:4" ht="84">
      <c r="A8713" s="715">
        <v>104835</v>
      </c>
      <c r="B8713" s="633" t="s">
        <v>34322</v>
      </c>
      <c r="C8713" s="715" t="s">
        <v>121</v>
      </c>
      <c r="D8713" s="716">
        <v>0</v>
      </c>
    </row>
    <row r="8714" spans="1:4" ht="84">
      <c r="A8714" s="715">
        <v>104833</v>
      </c>
      <c r="B8714" s="633" t="s">
        <v>34323</v>
      </c>
      <c r="C8714" s="715" t="s">
        <v>121</v>
      </c>
      <c r="D8714" s="716">
        <v>0</v>
      </c>
    </row>
    <row r="8715" spans="1:4" ht="84">
      <c r="A8715" s="715">
        <v>104834</v>
      </c>
      <c r="B8715" s="633" t="s">
        <v>34324</v>
      </c>
      <c r="C8715" s="715" t="s">
        <v>121</v>
      </c>
      <c r="D8715" s="716">
        <v>0</v>
      </c>
    </row>
    <row r="8716" spans="1:4" ht="84">
      <c r="A8716" s="715">
        <v>104836</v>
      </c>
      <c r="B8716" s="633" t="s">
        <v>34325</v>
      </c>
      <c r="C8716" s="715" t="s">
        <v>121</v>
      </c>
      <c r="D8716" s="716">
        <v>0</v>
      </c>
    </row>
    <row r="8717" spans="1:4" ht="70">
      <c r="A8717" s="715">
        <v>104837</v>
      </c>
      <c r="B8717" s="633" t="s">
        <v>34326</v>
      </c>
      <c r="C8717" s="715" t="s">
        <v>121</v>
      </c>
      <c r="D8717" s="716">
        <v>0</v>
      </c>
    </row>
    <row r="8718" spans="1:4" ht="84">
      <c r="A8718" s="715">
        <v>104838</v>
      </c>
      <c r="B8718" s="633" t="s">
        <v>34327</v>
      </c>
      <c r="C8718" s="715" t="s">
        <v>121</v>
      </c>
      <c r="D8718" s="716">
        <v>0</v>
      </c>
    </row>
    <row r="8719" spans="1:4" ht="56">
      <c r="A8719" s="715">
        <v>104839</v>
      </c>
      <c r="B8719" s="633" t="s">
        <v>34328</v>
      </c>
      <c r="C8719" s="715" t="s">
        <v>121</v>
      </c>
      <c r="D8719" s="716">
        <v>0</v>
      </c>
    </row>
    <row r="8720" spans="1:4" ht="70">
      <c r="A8720" s="715">
        <v>104840</v>
      </c>
      <c r="B8720" s="633" t="s">
        <v>34329</v>
      </c>
      <c r="C8720" s="715" t="s">
        <v>121</v>
      </c>
      <c r="D8720" s="716">
        <v>0</v>
      </c>
    </row>
    <row r="8721" spans="1:4" ht="70">
      <c r="A8721" s="715">
        <v>104830</v>
      </c>
      <c r="B8721" s="633" t="s">
        <v>34330</v>
      </c>
      <c r="C8721" s="715" t="s">
        <v>121</v>
      </c>
      <c r="D8721" s="716">
        <v>0</v>
      </c>
    </row>
    <row r="8722" spans="1:4" ht="70">
      <c r="A8722" s="715">
        <v>104829</v>
      </c>
      <c r="B8722" s="633" t="s">
        <v>34331</v>
      </c>
      <c r="C8722" s="715" t="s">
        <v>121</v>
      </c>
      <c r="D8722" s="716">
        <v>0</v>
      </c>
    </row>
    <row r="8723" spans="1:4" ht="56">
      <c r="A8723" s="715">
        <v>104832</v>
      </c>
      <c r="B8723" s="633" t="s">
        <v>34332</v>
      </c>
      <c r="C8723" s="715" t="s">
        <v>121</v>
      </c>
      <c r="D8723" s="716">
        <v>0</v>
      </c>
    </row>
    <row r="8724" spans="1:4" ht="70">
      <c r="A8724" s="715">
        <v>104831</v>
      </c>
      <c r="B8724" s="633" t="s">
        <v>34333</v>
      </c>
      <c r="C8724" s="715" t="s">
        <v>121</v>
      </c>
      <c r="D8724" s="716">
        <v>0</v>
      </c>
    </row>
    <row r="8725" spans="1:4" ht="28">
      <c r="A8725" s="715">
        <v>103773</v>
      </c>
      <c r="B8725" s="633" t="s">
        <v>34334</v>
      </c>
      <c r="C8725" s="715" t="s">
        <v>103</v>
      </c>
      <c r="D8725" s="716">
        <v>0</v>
      </c>
    </row>
    <row r="8726" spans="1:4" ht="28">
      <c r="A8726" s="715">
        <v>103772</v>
      </c>
      <c r="B8726" s="633" t="s">
        <v>34335</v>
      </c>
      <c r="C8726" s="715" t="s">
        <v>103</v>
      </c>
      <c r="D8726" s="716">
        <v>0</v>
      </c>
    </row>
    <row r="8727" spans="1:4" ht="42">
      <c r="A8727" s="715">
        <v>103768</v>
      </c>
      <c r="B8727" s="633" t="s">
        <v>34336</v>
      </c>
      <c r="C8727" s="715" t="s">
        <v>103</v>
      </c>
      <c r="D8727" s="716">
        <v>0</v>
      </c>
    </row>
    <row r="8728" spans="1:4" ht="56">
      <c r="A8728" s="715">
        <v>103767</v>
      </c>
      <c r="B8728" s="633" t="s">
        <v>34337</v>
      </c>
      <c r="C8728" s="715" t="s">
        <v>103</v>
      </c>
      <c r="D8728" s="716">
        <v>0</v>
      </c>
    </row>
    <row r="8729" spans="1:4" ht="56">
      <c r="A8729" s="715">
        <v>103766</v>
      </c>
      <c r="B8729" s="633" t="s">
        <v>34338</v>
      </c>
      <c r="C8729" s="715" t="s">
        <v>103</v>
      </c>
      <c r="D8729" s="716">
        <v>0</v>
      </c>
    </row>
    <row r="8730" spans="1:4" ht="28">
      <c r="A8730" s="715">
        <v>103765</v>
      </c>
      <c r="B8730" s="633" t="s">
        <v>34339</v>
      </c>
      <c r="C8730" s="715" t="s">
        <v>103</v>
      </c>
      <c r="D8730" s="716">
        <v>0</v>
      </c>
    </row>
    <row r="8731" spans="1:4" ht="42">
      <c r="A8731" s="715">
        <v>103771</v>
      </c>
      <c r="B8731" s="633" t="s">
        <v>34340</v>
      </c>
      <c r="C8731" s="715" t="s">
        <v>103</v>
      </c>
      <c r="D8731" s="716">
        <v>0</v>
      </c>
    </row>
    <row r="8732" spans="1:4" ht="42">
      <c r="A8732" s="715">
        <v>103769</v>
      </c>
      <c r="B8732" s="633" t="s">
        <v>27546</v>
      </c>
      <c r="C8732" s="715" t="s">
        <v>103</v>
      </c>
      <c r="D8732" s="716">
        <v>3244.24</v>
      </c>
    </row>
    <row r="8733" spans="1:4" ht="42">
      <c r="A8733" s="715">
        <v>103770</v>
      </c>
      <c r="B8733" s="633" t="s">
        <v>34341</v>
      </c>
      <c r="C8733" s="715" t="s">
        <v>103</v>
      </c>
      <c r="D8733" s="716">
        <v>0</v>
      </c>
    </row>
    <row r="8734" spans="1:4" ht="28">
      <c r="A8734" s="715">
        <v>103764</v>
      </c>
      <c r="B8734" s="633" t="s">
        <v>34342</v>
      </c>
      <c r="C8734" s="715" t="s">
        <v>103</v>
      </c>
      <c r="D8734" s="716">
        <v>0</v>
      </c>
    </row>
    <row r="8735" spans="1:4" ht="28">
      <c r="A8735" s="715">
        <v>103780</v>
      </c>
      <c r="B8735" s="633" t="s">
        <v>34343</v>
      </c>
      <c r="C8735" s="715" t="s">
        <v>509</v>
      </c>
      <c r="D8735" s="716">
        <v>0</v>
      </c>
    </row>
    <row r="8736" spans="1:4" ht="42">
      <c r="A8736" s="715">
        <v>103781</v>
      </c>
      <c r="B8736" s="633" t="s">
        <v>34344</v>
      </c>
      <c r="C8736" s="715" t="s">
        <v>509</v>
      </c>
      <c r="D8736" s="716">
        <v>0</v>
      </c>
    </row>
    <row r="8737" spans="1:4" ht="42">
      <c r="A8737" s="715">
        <v>103779</v>
      </c>
      <c r="B8737" s="633" t="s">
        <v>34345</v>
      </c>
      <c r="C8737" s="715" t="s">
        <v>509</v>
      </c>
      <c r="D8737" s="716">
        <v>0</v>
      </c>
    </row>
    <row r="8738" spans="1:4" ht="42">
      <c r="A8738" s="715">
        <v>103778</v>
      </c>
      <c r="B8738" s="633" t="s">
        <v>34346</v>
      </c>
      <c r="C8738" s="715" t="s">
        <v>509</v>
      </c>
      <c r="D8738" s="716">
        <v>0</v>
      </c>
    </row>
    <row r="8739" spans="1:4" ht="42">
      <c r="A8739" s="715">
        <v>103924</v>
      </c>
      <c r="B8739" s="633" t="s">
        <v>34347</v>
      </c>
      <c r="C8739" s="715" t="s">
        <v>509</v>
      </c>
      <c r="D8739" s="716">
        <v>0</v>
      </c>
    </row>
    <row r="8740" spans="1:4" ht="42">
      <c r="A8740" s="715">
        <v>103776</v>
      </c>
      <c r="B8740" s="633" t="s">
        <v>34348</v>
      </c>
      <c r="C8740" s="715" t="s">
        <v>509</v>
      </c>
      <c r="D8740" s="716">
        <v>0</v>
      </c>
    </row>
    <row r="8741" spans="1:4" ht="42">
      <c r="A8741" s="715">
        <v>103774</v>
      </c>
      <c r="B8741" s="633" t="s">
        <v>34349</v>
      </c>
      <c r="C8741" s="715" t="s">
        <v>509</v>
      </c>
      <c r="D8741" s="716">
        <v>0</v>
      </c>
    </row>
    <row r="8742" spans="1:4" ht="42">
      <c r="A8742" s="715">
        <v>103775</v>
      </c>
      <c r="B8742" s="633" t="s">
        <v>34350</v>
      </c>
      <c r="C8742" s="715" t="s">
        <v>509</v>
      </c>
      <c r="D8742" s="716">
        <v>0</v>
      </c>
    </row>
    <row r="8743" spans="1:4" ht="42">
      <c r="A8743" s="715">
        <v>106266</v>
      </c>
      <c r="B8743" s="633" t="s">
        <v>43666</v>
      </c>
      <c r="C8743" s="715" t="s">
        <v>103</v>
      </c>
      <c r="D8743" s="716">
        <v>0</v>
      </c>
    </row>
    <row r="8744" spans="1:4" ht="42">
      <c r="A8744" s="715">
        <v>106270</v>
      </c>
      <c r="B8744" s="633" t="s">
        <v>43667</v>
      </c>
      <c r="C8744" s="715" t="s">
        <v>103</v>
      </c>
      <c r="D8744" s="716">
        <v>0</v>
      </c>
    </row>
    <row r="8745" spans="1:4" ht="42">
      <c r="A8745" s="715">
        <v>106271</v>
      </c>
      <c r="B8745" s="633" t="s">
        <v>43668</v>
      </c>
      <c r="C8745" s="715" t="s">
        <v>103</v>
      </c>
      <c r="D8745" s="716">
        <v>0</v>
      </c>
    </row>
    <row r="8746" spans="1:4" ht="42">
      <c r="A8746" s="715">
        <v>106267</v>
      </c>
      <c r="B8746" s="633" t="s">
        <v>43669</v>
      </c>
      <c r="C8746" s="715" t="s">
        <v>103</v>
      </c>
      <c r="D8746" s="716">
        <v>0</v>
      </c>
    </row>
    <row r="8747" spans="1:4" ht="42">
      <c r="A8747" s="715">
        <v>106272</v>
      </c>
      <c r="B8747" s="633" t="s">
        <v>43670</v>
      </c>
      <c r="C8747" s="715" t="s">
        <v>103</v>
      </c>
      <c r="D8747" s="716">
        <v>0</v>
      </c>
    </row>
    <row r="8748" spans="1:4" ht="42">
      <c r="A8748" s="715">
        <v>106268</v>
      </c>
      <c r="B8748" s="633" t="s">
        <v>43671</v>
      </c>
      <c r="C8748" s="715" t="s">
        <v>103</v>
      </c>
      <c r="D8748" s="716">
        <v>0</v>
      </c>
    </row>
    <row r="8749" spans="1:4" ht="42">
      <c r="A8749" s="715">
        <v>106269</v>
      </c>
      <c r="B8749" s="633" t="s">
        <v>43672</v>
      </c>
      <c r="C8749" s="715" t="s">
        <v>103</v>
      </c>
      <c r="D8749" s="716">
        <v>0</v>
      </c>
    </row>
    <row r="8750" spans="1:4" ht="42">
      <c r="A8750" s="715">
        <v>106279</v>
      </c>
      <c r="B8750" s="633" t="s">
        <v>43673</v>
      </c>
      <c r="C8750" s="715" t="s">
        <v>103</v>
      </c>
      <c r="D8750" s="716">
        <v>0</v>
      </c>
    </row>
    <row r="8751" spans="1:4" ht="42">
      <c r="A8751" s="715">
        <v>106280</v>
      </c>
      <c r="B8751" s="633" t="s">
        <v>43674</v>
      </c>
      <c r="C8751" s="715" t="s">
        <v>103</v>
      </c>
      <c r="D8751" s="716">
        <v>0</v>
      </c>
    </row>
    <row r="8752" spans="1:4" ht="28">
      <c r="A8752" s="715">
        <v>106265</v>
      </c>
      <c r="B8752" s="633" t="s">
        <v>43675</v>
      </c>
      <c r="C8752" s="715" t="s">
        <v>165</v>
      </c>
      <c r="D8752" s="716">
        <v>0</v>
      </c>
    </row>
    <row r="8753" spans="1:4" ht="42">
      <c r="A8753" s="715">
        <v>106273</v>
      </c>
      <c r="B8753" s="633" t="s">
        <v>43676</v>
      </c>
      <c r="C8753" s="715" t="s">
        <v>103</v>
      </c>
      <c r="D8753" s="716">
        <v>0</v>
      </c>
    </row>
    <row r="8754" spans="1:4" ht="42">
      <c r="A8754" s="715">
        <v>106274</v>
      </c>
      <c r="B8754" s="633" t="s">
        <v>43677</v>
      </c>
      <c r="C8754" s="715" t="s">
        <v>103</v>
      </c>
      <c r="D8754" s="716">
        <v>0</v>
      </c>
    </row>
    <row r="8755" spans="1:4" ht="42">
      <c r="A8755" s="715">
        <v>106275</v>
      </c>
      <c r="B8755" s="633" t="s">
        <v>43678</v>
      </c>
      <c r="C8755" s="715" t="s">
        <v>103</v>
      </c>
      <c r="D8755" s="716">
        <v>0</v>
      </c>
    </row>
    <row r="8756" spans="1:4" ht="42">
      <c r="A8756" s="715">
        <v>106276</v>
      </c>
      <c r="B8756" s="633" t="s">
        <v>43679</v>
      </c>
      <c r="C8756" s="715" t="s">
        <v>103</v>
      </c>
      <c r="D8756" s="716">
        <v>0</v>
      </c>
    </row>
    <row r="8757" spans="1:4" ht="42">
      <c r="A8757" s="715">
        <v>106277</v>
      </c>
      <c r="B8757" s="633" t="s">
        <v>43680</v>
      </c>
      <c r="C8757" s="715" t="s">
        <v>103</v>
      </c>
      <c r="D8757" s="716">
        <v>0</v>
      </c>
    </row>
    <row r="8758" spans="1:4" ht="42">
      <c r="A8758" s="715">
        <v>106278</v>
      </c>
      <c r="B8758" s="633" t="s">
        <v>43681</v>
      </c>
      <c r="C8758" s="715" t="s">
        <v>103</v>
      </c>
      <c r="D8758" s="716">
        <v>0</v>
      </c>
    </row>
    <row r="8759" spans="1:4" ht="56">
      <c r="A8759" s="715">
        <v>106295</v>
      </c>
      <c r="B8759" s="633" t="s">
        <v>43682</v>
      </c>
      <c r="C8759" s="715" t="s">
        <v>103</v>
      </c>
      <c r="D8759" s="716">
        <v>213.73</v>
      </c>
    </row>
    <row r="8760" spans="1:4" ht="56">
      <c r="A8760" s="715">
        <v>106300</v>
      </c>
      <c r="B8760" s="633" t="s">
        <v>43683</v>
      </c>
      <c r="C8760" s="715" t="s">
        <v>103</v>
      </c>
      <c r="D8760" s="716">
        <v>544.52</v>
      </c>
    </row>
    <row r="8761" spans="1:4" ht="56">
      <c r="A8761" s="715">
        <v>106293</v>
      </c>
      <c r="B8761" s="633" t="s">
        <v>43684</v>
      </c>
      <c r="C8761" s="715" t="s">
        <v>103</v>
      </c>
      <c r="D8761" s="716">
        <v>164.57</v>
      </c>
    </row>
    <row r="8762" spans="1:4" ht="56">
      <c r="A8762" s="715">
        <v>106297</v>
      </c>
      <c r="B8762" s="633" t="s">
        <v>43685</v>
      </c>
      <c r="C8762" s="715" t="s">
        <v>103</v>
      </c>
      <c r="D8762" s="716">
        <v>265.55</v>
      </c>
    </row>
    <row r="8763" spans="1:4" ht="56">
      <c r="A8763" s="715">
        <v>106298</v>
      </c>
      <c r="B8763" s="633" t="s">
        <v>43686</v>
      </c>
      <c r="C8763" s="715" t="s">
        <v>103</v>
      </c>
      <c r="D8763" s="716">
        <v>404.72</v>
      </c>
    </row>
    <row r="8764" spans="1:4" ht="56">
      <c r="A8764" s="715">
        <v>106301</v>
      </c>
      <c r="B8764" s="633" t="s">
        <v>43687</v>
      </c>
      <c r="C8764" s="715" t="s">
        <v>103</v>
      </c>
      <c r="D8764" s="716">
        <v>825.11</v>
      </c>
    </row>
    <row r="8765" spans="1:4" ht="56">
      <c r="A8765" s="715">
        <v>106292</v>
      </c>
      <c r="B8765" s="633" t="s">
        <v>43688</v>
      </c>
      <c r="C8765" s="715" t="s">
        <v>103</v>
      </c>
      <c r="D8765" s="716">
        <v>157.08000000000001</v>
      </c>
    </row>
    <row r="8766" spans="1:4" ht="42">
      <c r="A8766" s="715">
        <v>106282</v>
      </c>
      <c r="B8766" s="633" t="s">
        <v>43689</v>
      </c>
      <c r="C8766" s="715" t="s">
        <v>103</v>
      </c>
      <c r="D8766" s="716">
        <v>82.57</v>
      </c>
    </row>
    <row r="8767" spans="1:4" ht="42">
      <c r="A8767" s="715">
        <v>106283</v>
      </c>
      <c r="B8767" s="633" t="s">
        <v>43690</v>
      </c>
      <c r="C8767" s="715" t="s">
        <v>103</v>
      </c>
      <c r="D8767" s="716">
        <v>82.57</v>
      </c>
    </row>
    <row r="8768" spans="1:4" ht="42">
      <c r="A8768" s="715">
        <v>106286</v>
      </c>
      <c r="B8768" s="633" t="s">
        <v>43691</v>
      </c>
      <c r="C8768" s="715" t="s">
        <v>103</v>
      </c>
      <c r="D8768" s="716">
        <v>97.64</v>
      </c>
    </row>
    <row r="8769" spans="1:4" ht="42">
      <c r="A8769" s="715">
        <v>106287</v>
      </c>
      <c r="B8769" s="633" t="s">
        <v>43692</v>
      </c>
      <c r="C8769" s="715" t="s">
        <v>103</v>
      </c>
      <c r="D8769" s="716">
        <v>122.12</v>
      </c>
    </row>
    <row r="8770" spans="1:4" ht="42">
      <c r="A8770" s="715">
        <v>106288</v>
      </c>
      <c r="B8770" s="633" t="s">
        <v>43693</v>
      </c>
      <c r="C8770" s="715" t="s">
        <v>103</v>
      </c>
      <c r="D8770" s="716">
        <v>153.88999999999999</v>
      </c>
    </row>
    <row r="8771" spans="1:4" ht="42">
      <c r="A8771" s="715">
        <v>106289</v>
      </c>
      <c r="B8771" s="633" t="s">
        <v>43694</v>
      </c>
      <c r="C8771" s="715" t="s">
        <v>103</v>
      </c>
      <c r="D8771" s="716">
        <v>214.97</v>
      </c>
    </row>
    <row r="8772" spans="1:4" ht="42">
      <c r="A8772" s="715">
        <v>106290</v>
      </c>
      <c r="B8772" s="633" t="s">
        <v>43695</v>
      </c>
      <c r="C8772" s="715" t="s">
        <v>103</v>
      </c>
      <c r="D8772" s="716">
        <v>307.41000000000003</v>
      </c>
    </row>
    <row r="8773" spans="1:4" ht="42">
      <c r="A8773" s="715">
        <v>106291</v>
      </c>
      <c r="B8773" s="633" t="s">
        <v>43696</v>
      </c>
      <c r="C8773" s="715" t="s">
        <v>103</v>
      </c>
      <c r="D8773" s="716">
        <v>458.7</v>
      </c>
    </row>
    <row r="8774" spans="1:4" ht="42">
      <c r="A8774" s="715">
        <v>102136</v>
      </c>
      <c r="B8774" s="633" t="s">
        <v>43697</v>
      </c>
      <c r="C8774" s="715" t="s">
        <v>103</v>
      </c>
      <c r="D8774" s="716">
        <v>195</v>
      </c>
    </row>
    <row r="8775" spans="1:4" ht="42">
      <c r="A8775" s="715">
        <v>106263</v>
      </c>
      <c r="B8775" s="633" t="s">
        <v>43698</v>
      </c>
      <c r="C8775" s="715" t="s">
        <v>103</v>
      </c>
      <c r="D8775" s="716">
        <v>256.62</v>
      </c>
    </row>
    <row r="8776" spans="1:4" ht="42">
      <c r="A8776" s="715">
        <v>106259</v>
      </c>
      <c r="B8776" s="633" t="s">
        <v>43699</v>
      </c>
      <c r="C8776" s="715" t="s">
        <v>103</v>
      </c>
      <c r="D8776" s="716">
        <v>0</v>
      </c>
    </row>
    <row r="8777" spans="1:4" ht="42">
      <c r="A8777" s="715">
        <v>106261</v>
      </c>
      <c r="B8777" s="633" t="s">
        <v>43700</v>
      </c>
      <c r="C8777" s="715" t="s">
        <v>103</v>
      </c>
      <c r="D8777" s="716">
        <v>0</v>
      </c>
    </row>
    <row r="8778" spans="1:4" ht="42">
      <c r="A8778" s="715">
        <v>106260</v>
      </c>
      <c r="B8778" s="633" t="s">
        <v>43701</v>
      </c>
      <c r="C8778" s="715" t="s">
        <v>103</v>
      </c>
      <c r="D8778" s="716">
        <v>0</v>
      </c>
    </row>
    <row r="8779" spans="1:4" ht="42">
      <c r="A8779" s="715">
        <v>102134</v>
      </c>
      <c r="B8779" s="633" t="s">
        <v>43702</v>
      </c>
      <c r="C8779" s="715" t="s">
        <v>103</v>
      </c>
      <c r="D8779" s="716">
        <v>0</v>
      </c>
    </row>
    <row r="8780" spans="1:4" ht="42">
      <c r="A8780" s="715">
        <v>106262</v>
      </c>
      <c r="B8780" s="633" t="s">
        <v>43703</v>
      </c>
      <c r="C8780" s="715" t="s">
        <v>103</v>
      </c>
      <c r="D8780" s="716">
        <v>0</v>
      </c>
    </row>
    <row r="8781" spans="1:4" ht="42">
      <c r="A8781" s="715">
        <v>102135</v>
      </c>
      <c r="B8781" s="633" t="s">
        <v>43704</v>
      </c>
      <c r="C8781" s="715" t="s">
        <v>103</v>
      </c>
      <c r="D8781" s="716">
        <v>0</v>
      </c>
    </row>
    <row r="8782" spans="1:4" ht="28">
      <c r="A8782" s="715">
        <v>106302</v>
      </c>
      <c r="B8782" s="633" t="s">
        <v>43705</v>
      </c>
      <c r="C8782" s="715" t="s">
        <v>103</v>
      </c>
      <c r="D8782" s="716">
        <v>0</v>
      </c>
    </row>
    <row r="8783" spans="1:4" ht="42">
      <c r="A8783" s="715">
        <v>106284</v>
      </c>
      <c r="B8783" s="633" t="s">
        <v>43706</v>
      </c>
      <c r="C8783" s="715" t="s">
        <v>103</v>
      </c>
      <c r="D8783" s="716">
        <v>0</v>
      </c>
    </row>
    <row r="8784" spans="1:4" ht="42">
      <c r="A8784" s="715">
        <v>106285</v>
      </c>
      <c r="B8784" s="633" t="s">
        <v>43707</v>
      </c>
      <c r="C8784" s="715" t="s">
        <v>103</v>
      </c>
      <c r="D8784" s="716">
        <v>0</v>
      </c>
    </row>
    <row r="8785" spans="1:4" ht="42">
      <c r="A8785" s="715">
        <v>106296</v>
      </c>
      <c r="B8785" s="633" t="s">
        <v>43708</v>
      </c>
      <c r="C8785" s="715" t="s">
        <v>103</v>
      </c>
      <c r="D8785" s="716">
        <v>0</v>
      </c>
    </row>
    <row r="8786" spans="1:4" ht="42">
      <c r="A8786" s="715">
        <v>106299</v>
      </c>
      <c r="B8786" s="633" t="s">
        <v>43709</v>
      </c>
      <c r="C8786" s="715" t="s">
        <v>103</v>
      </c>
      <c r="D8786" s="716">
        <v>261.95999999999998</v>
      </c>
    </row>
    <row r="8787" spans="1:4" ht="42">
      <c r="A8787" s="715">
        <v>106294</v>
      </c>
      <c r="B8787" s="633" t="s">
        <v>43710</v>
      </c>
      <c r="C8787" s="715" t="s">
        <v>103</v>
      </c>
      <c r="D8787" s="716">
        <v>0</v>
      </c>
    </row>
    <row r="8788" spans="1:4" ht="42">
      <c r="A8788" s="715">
        <v>106281</v>
      </c>
      <c r="B8788" s="633" t="s">
        <v>43711</v>
      </c>
      <c r="C8788" s="715" t="s">
        <v>103</v>
      </c>
      <c r="D8788" s="716">
        <v>0</v>
      </c>
    </row>
    <row r="8789" spans="1:4" ht="28">
      <c r="A8789" s="715">
        <v>106264</v>
      </c>
      <c r="B8789" s="633" t="s">
        <v>43712</v>
      </c>
      <c r="C8789" s="715" t="s">
        <v>165</v>
      </c>
      <c r="D8789" s="716">
        <v>0</v>
      </c>
    </row>
    <row r="8790" spans="1:4" ht="42">
      <c r="A8790" s="715">
        <v>97097</v>
      </c>
      <c r="B8790" s="633" t="s">
        <v>25277</v>
      </c>
      <c r="C8790" s="715" t="s">
        <v>509</v>
      </c>
      <c r="D8790" s="716">
        <v>38.22</v>
      </c>
    </row>
    <row r="8791" spans="1:4" ht="42">
      <c r="A8791" s="715">
        <v>97089</v>
      </c>
      <c r="B8791" s="633" t="s">
        <v>25271</v>
      </c>
      <c r="C8791" s="715" t="s">
        <v>207</v>
      </c>
      <c r="D8791" s="716">
        <v>13.38</v>
      </c>
    </row>
    <row r="8792" spans="1:4" ht="42">
      <c r="A8792" s="715">
        <v>97090</v>
      </c>
      <c r="B8792" s="633" t="s">
        <v>25272</v>
      </c>
      <c r="C8792" s="715" t="s">
        <v>207</v>
      </c>
      <c r="D8792" s="716">
        <v>13.04</v>
      </c>
    </row>
    <row r="8793" spans="1:4" ht="42">
      <c r="A8793" s="715">
        <v>97091</v>
      </c>
      <c r="B8793" s="633" t="s">
        <v>25273</v>
      </c>
      <c r="C8793" s="715" t="s">
        <v>207</v>
      </c>
      <c r="D8793" s="716">
        <v>12.58</v>
      </c>
    </row>
    <row r="8794" spans="1:4" ht="42">
      <c r="A8794" s="715">
        <v>97092</v>
      </c>
      <c r="B8794" s="633" t="s">
        <v>25274</v>
      </c>
      <c r="C8794" s="715" t="s">
        <v>207</v>
      </c>
      <c r="D8794" s="716">
        <v>12.11</v>
      </c>
    </row>
    <row r="8795" spans="1:4" ht="42">
      <c r="A8795" s="715">
        <v>103053</v>
      </c>
      <c r="B8795" s="633" t="s">
        <v>34351</v>
      </c>
      <c r="C8795" s="715" t="s">
        <v>207</v>
      </c>
      <c r="D8795" s="716">
        <v>0</v>
      </c>
    </row>
    <row r="8796" spans="1:4" ht="42">
      <c r="A8796" s="715">
        <v>97093</v>
      </c>
      <c r="B8796" s="633" t="s">
        <v>25275</v>
      </c>
      <c r="C8796" s="715" t="s">
        <v>207</v>
      </c>
      <c r="D8796" s="716">
        <v>11.27</v>
      </c>
    </row>
    <row r="8797" spans="1:4" ht="42">
      <c r="A8797" s="715">
        <v>103054</v>
      </c>
      <c r="B8797" s="633" t="s">
        <v>34352</v>
      </c>
      <c r="C8797" s="715" t="s">
        <v>207</v>
      </c>
      <c r="D8797" s="716">
        <v>0</v>
      </c>
    </row>
    <row r="8798" spans="1:4" ht="42">
      <c r="A8798" s="715">
        <v>97088</v>
      </c>
      <c r="B8798" s="633" t="s">
        <v>25270</v>
      </c>
      <c r="C8798" s="715" t="s">
        <v>207</v>
      </c>
      <c r="D8798" s="716">
        <v>14.69</v>
      </c>
    </row>
    <row r="8799" spans="1:4" ht="42">
      <c r="A8799" s="715">
        <v>97087</v>
      </c>
      <c r="B8799" s="633" t="s">
        <v>25269</v>
      </c>
      <c r="C8799" s="715" t="s">
        <v>509</v>
      </c>
      <c r="D8799" s="716">
        <v>3.07</v>
      </c>
    </row>
    <row r="8800" spans="1:4" ht="56">
      <c r="A8800" s="715">
        <v>97083</v>
      </c>
      <c r="B8800" s="633" t="s">
        <v>25266</v>
      </c>
      <c r="C8800" s="715" t="s">
        <v>509</v>
      </c>
      <c r="D8800" s="716">
        <v>4.57</v>
      </c>
    </row>
    <row r="8801" spans="1:4" ht="56">
      <c r="A8801" s="715">
        <v>97084</v>
      </c>
      <c r="B8801" s="633" t="s">
        <v>25267</v>
      </c>
      <c r="C8801" s="715" t="s">
        <v>509</v>
      </c>
      <c r="D8801" s="716">
        <v>0.95</v>
      </c>
    </row>
    <row r="8802" spans="1:4" ht="42">
      <c r="A8802" s="715">
        <v>97096</v>
      </c>
      <c r="B8802" s="633" t="s">
        <v>25276</v>
      </c>
      <c r="C8802" s="715" t="s">
        <v>121</v>
      </c>
      <c r="D8802" s="716">
        <v>602.61</v>
      </c>
    </row>
    <row r="8803" spans="1:4" ht="28">
      <c r="A8803" s="715">
        <v>97082</v>
      </c>
      <c r="B8803" s="633" t="s">
        <v>25265</v>
      </c>
      <c r="C8803" s="715" t="s">
        <v>121</v>
      </c>
      <c r="D8803" s="716">
        <v>90.14</v>
      </c>
    </row>
    <row r="8804" spans="1:4" ht="42">
      <c r="A8804" s="715">
        <v>103076</v>
      </c>
      <c r="B8804" s="633" t="s">
        <v>25285</v>
      </c>
      <c r="C8804" s="715" t="s">
        <v>509</v>
      </c>
      <c r="D8804" s="716">
        <v>147.62</v>
      </c>
    </row>
    <row r="8805" spans="1:4" ht="42">
      <c r="A8805" s="715">
        <v>103067</v>
      </c>
      <c r="B8805" s="633" t="s">
        <v>34353</v>
      </c>
      <c r="C8805" s="715" t="s">
        <v>509</v>
      </c>
      <c r="D8805" s="716">
        <v>0</v>
      </c>
    </row>
    <row r="8806" spans="1:4" ht="42">
      <c r="A8806" s="715">
        <v>103077</v>
      </c>
      <c r="B8806" s="633" t="s">
        <v>25286</v>
      </c>
      <c r="C8806" s="715" t="s">
        <v>509</v>
      </c>
      <c r="D8806" s="716">
        <v>190.33</v>
      </c>
    </row>
    <row r="8807" spans="1:4" ht="42">
      <c r="A8807" s="715">
        <v>103068</v>
      </c>
      <c r="B8807" s="633" t="s">
        <v>34354</v>
      </c>
      <c r="C8807" s="715" t="s">
        <v>509</v>
      </c>
      <c r="D8807" s="716">
        <v>0</v>
      </c>
    </row>
    <row r="8808" spans="1:4" ht="42">
      <c r="A8808" s="715">
        <v>103078</v>
      </c>
      <c r="B8808" s="633" t="s">
        <v>25287</v>
      </c>
      <c r="C8808" s="715" t="s">
        <v>509</v>
      </c>
      <c r="D8808" s="716">
        <v>229.87</v>
      </c>
    </row>
    <row r="8809" spans="1:4" ht="42">
      <c r="A8809" s="715">
        <v>103069</v>
      </c>
      <c r="B8809" s="633" t="s">
        <v>34355</v>
      </c>
      <c r="C8809" s="715" t="s">
        <v>509</v>
      </c>
      <c r="D8809" s="716">
        <v>0</v>
      </c>
    </row>
    <row r="8810" spans="1:4" ht="42">
      <c r="A8810" s="715">
        <v>103079</v>
      </c>
      <c r="B8810" s="633" t="s">
        <v>25288</v>
      </c>
      <c r="C8810" s="715" t="s">
        <v>509</v>
      </c>
      <c r="D8810" s="716">
        <v>275.29000000000002</v>
      </c>
    </row>
    <row r="8811" spans="1:4" ht="42">
      <c r="A8811" s="715">
        <v>103070</v>
      </c>
      <c r="B8811" s="633" t="s">
        <v>34356</v>
      </c>
      <c r="C8811" s="715" t="s">
        <v>509</v>
      </c>
      <c r="D8811" s="716">
        <v>0</v>
      </c>
    </row>
    <row r="8812" spans="1:4" ht="42">
      <c r="A8812" s="715">
        <v>103080</v>
      </c>
      <c r="B8812" s="633" t="s">
        <v>25289</v>
      </c>
      <c r="C8812" s="715" t="s">
        <v>509</v>
      </c>
      <c r="D8812" s="716">
        <v>334.44</v>
      </c>
    </row>
    <row r="8813" spans="1:4" ht="42">
      <c r="A8813" s="715">
        <v>103071</v>
      </c>
      <c r="B8813" s="633" t="s">
        <v>34357</v>
      </c>
      <c r="C8813" s="715" t="s">
        <v>509</v>
      </c>
      <c r="D8813" s="716">
        <v>0</v>
      </c>
    </row>
    <row r="8814" spans="1:4" ht="56">
      <c r="A8814" s="715">
        <v>103075</v>
      </c>
      <c r="B8814" s="633" t="s">
        <v>25284</v>
      </c>
      <c r="C8814" s="715" t="s">
        <v>509</v>
      </c>
      <c r="D8814" s="716">
        <v>208.84</v>
      </c>
    </row>
    <row r="8815" spans="1:4" ht="56">
      <c r="A8815" s="715">
        <v>103062</v>
      </c>
      <c r="B8815" s="633" t="s">
        <v>34358</v>
      </c>
      <c r="C8815" s="715" t="s">
        <v>509</v>
      </c>
      <c r="D8815" s="716">
        <v>0</v>
      </c>
    </row>
    <row r="8816" spans="1:4" ht="56">
      <c r="A8816" s="715">
        <v>103065</v>
      </c>
      <c r="B8816" s="633" t="s">
        <v>34359</v>
      </c>
      <c r="C8816" s="715" t="s">
        <v>509</v>
      </c>
      <c r="D8816" s="716">
        <v>0</v>
      </c>
    </row>
    <row r="8817" spans="1:4" ht="56">
      <c r="A8817" s="715">
        <v>103063</v>
      </c>
      <c r="B8817" s="633" t="s">
        <v>34360</v>
      </c>
      <c r="C8817" s="715" t="s">
        <v>509</v>
      </c>
      <c r="D8817" s="716">
        <v>0</v>
      </c>
    </row>
    <row r="8818" spans="1:4" ht="56">
      <c r="A8818" s="715">
        <v>103066</v>
      </c>
      <c r="B8818" s="633" t="s">
        <v>34361</v>
      </c>
      <c r="C8818" s="715" t="s">
        <v>509</v>
      </c>
      <c r="D8818" s="716">
        <v>0</v>
      </c>
    </row>
    <row r="8819" spans="1:4" ht="56">
      <c r="A8819" s="715">
        <v>103064</v>
      </c>
      <c r="B8819" s="633" t="s">
        <v>34362</v>
      </c>
      <c r="C8819" s="715" t="s">
        <v>509</v>
      </c>
      <c r="D8819" s="716">
        <v>0</v>
      </c>
    </row>
    <row r="8820" spans="1:4" ht="56">
      <c r="A8820" s="715">
        <v>103074</v>
      </c>
      <c r="B8820" s="633" t="s">
        <v>25283</v>
      </c>
      <c r="C8820" s="715" t="s">
        <v>509</v>
      </c>
      <c r="D8820" s="716">
        <v>170.62</v>
      </c>
    </row>
    <row r="8821" spans="1:4" ht="56">
      <c r="A8821" s="715">
        <v>103057</v>
      </c>
      <c r="B8821" s="633" t="s">
        <v>34363</v>
      </c>
      <c r="C8821" s="715" t="s">
        <v>509</v>
      </c>
      <c r="D8821" s="716">
        <v>0</v>
      </c>
    </row>
    <row r="8822" spans="1:4" ht="56">
      <c r="A8822" s="715">
        <v>103060</v>
      </c>
      <c r="B8822" s="633" t="s">
        <v>34364</v>
      </c>
      <c r="C8822" s="715" t="s">
        <v>509</v>
      </c>
      <c r="D8822" s="716">
        <v>0</v>
      </c>
    </row>
    <row r="8823" spans="1:4" ht="56">
      <c r="A8823" s="715">
        <v>103058</v>
      </c>
      <c r="B8823" s="633" t="s">
        <v>34365</v>
      </c>
      <c r="C8823" s="715" t="s">
        <v>509</v>
      </c>
      <c r="D8823" s="716">
        <v>0</v>
      </c>
    </row>
    <row r="8824" spans="1:4" ht="56">
      <c r="A8824" s="715">
        <v>103061</v>
      </c>
      <c r="B8824" s="633" t="s">
        <v>34366</v>
      </c>
      <c r="C8824" s="715" t="s">
        <v>509</v>
      </c>
      <c r="D8824" s="716">
        <v>0</v>
      </c>
    </row>
    <row r="8825" spans="1:4" ht="56">
      <c r="A8825" s="715">
        <v>103059</v>
      </c>
      <c r="B8825" s="633" t="s">
        <v>34367</v>
      </c>
      <c r="C8825" s="715" t="s">
        <v>509</v>
      </c>
      <c r="D8825" s="716">
        <v>0</v>
      </c>
    </row>
    <row r="8826" spans="1:4" ht="42">
      <c r="A8826" s="715">
        <v>97101</v>
      </c>
      <c r="B8826" s="633" t="s">
        <v>25278</v>
      </c>
      <c r="C8826" s="715" t="s">
        <v>509</v>
      </c>
      <c r="D8826" s="716">
        <v>172.59</v>
      </c>
    </row>
    <row r="8827" spans="1:4" ht="28">
      <c r="A8827" s="715">
        <v>97098</v>
      </c>
      <c r="B8827" s="633" t="s">
        <v>34368</v>
      </c>
      <c r="C8827" s="715" t="s">
        <v>509</v>
      </c>
      <c r="D8827" s="716">
        <v>0</v>
      </c>
    </row>
    <row r="8828" spans="1:4" ht="42">
      <c r="A8828" s="715">
        <v>97102</v>
      </c>
      <c r="B8828" s="633" t="s">
        <v>25279</v>
      </c>
      <c r="C8828" s="715" t="s">
        <v>509</v>
      </c>
      <c r="D8828" s="716">
        <v>215.3</v>
      </c>
    </row>
    <row r="8829" spans="1:4" ht="28">
      <c r="A8829" s="715">
        <v>97099</v>
      </c>
      <c r="B8829" s="633" t="s">
        <v>34369</v>
      </c>
      <c r="C8829" s="715" t="s">
        <v>509</v>
      </c>
      <c r="D8829" s="716">
        <v>0</v>
      </c>
    </row>
    <row r="8830" spans="1:4" ht="42">
      <c r="A8830" s="715">
        <v>97103</v>
      </c>
      <c r="B8830" s="633" t="s">
        <v>25280</v>
      </c>
      <c r="C8830" s="715" t="s">
        <v>509</v>
      </c>
      <c r="D8830" s="716">
        <v>254.84</v>
      </c>
    </row>
    <row r="8831" spans="1:4" ht="28">
      <c r="A8831" s="715">
        <v>97100</v>
      </c>
      <c r="B8831" s="633" t="s">
        <v>34370</v>
      </c>
      <c r="C8831" s="715" t="s">
        <v>509</v>
      </c>
      <c r="D8831" s="716">
        <v>0</v>
      </c>
    </row>
    <row r="8832" spans="1:4" ht="42">
      <c r="A8832" s="715">
        <v>103072</v>
      </c>
      <c r="B8832" s="633" t="s">
        <v>25281</v>
      </c>
      <c r="C8832" s="715" t="s">
        <v>509</v>
      </c>
      <c r="D8832" s="716">
        <v>300.26</v>
      </c>
    </row>
    <row r="8833" spans="1:4" ht="28">
      <c r="A8833" s="715">
        <v>103055</v>
      </c>
      <c r="B8833" s="633" t="s">
        <v>34371</v>
      </c>
      <c r="C8833" s="715" t="s">
        <v>509</v>
      </c>
      <c r="D8833" s="716">
        <v>0</v>
      </c>
    </row>
    <row r="8834" spans="1:4" ht="42">
      <c r="A8834" s="715">
        <v>103073</v>
      </c>
      <c r="B8834" s="633" t="s">
        <v>25282</v>
      </c>
      <c r="C8834" s="715" t="s">
        <v>509</v>
      </c>
      <c r="D8834" s="716">
        <v>359.41</v>
      </c>
    </row>
    <row r="8835" spans="1:4" ht="28">
      <c r="A8835" s="715">
        <v>103056</v>
      </c>
      <c r="B8835" s="633" t="s">
        <v>34372</v>
      </c>
      <c r="C8835" s="715" t="s">
        <v>509</v>
      </c>
      <c r="D8835" s="716">
        <v>0</v>
      </c>
    </row>
    <row r="8836" spans="1:4" ht="56">
      <c r="A8836" s="715">
        <v>97086</v>
      </c>
      <c r="B8836" s="633" t="s">
        <v>25268</v>
      </c>
      <c r="C8836" s="715" t="s">
        <v>509</v>
      </c>
      <c r="D8836" s="716">
        <v>168.59</v>
      </c>
    </row>
    <row r="8837" spans="1:4" ht="56">
      <c r="A8837" s="715">
        <v>97085</v>
      </c>
      <c r="B8837" s="633" t="s">
        <v>34373</v>
      </c>
      <c r="C8837" s="715" t="s">
        <v>509</v>
      </c>
      <c r="D8837" s="716">
        <v>0</v>
      </c>
    </row>
    <row r="8838" spans="1:4" ht="42">
      <c r="A8838" s="715">
        <v>104766</v>
      </c>
      <c r="B8838" s="633" t="s">
        <v>28281</v>
      </c>
      <c r="C8838" s="715" t="s">
        <v>165</v>
      </c>
      <c r="D8838" s="716">
        <v>23.01</v>
      </c>
    </row>
    <row r="8839" spans="1:4" ht="56">
      <c r="A8839" s="715">
        <v>90467</v>
      </c>
      <c r="B8839" s="633" t="s">
        <v>28319</v>
      </c>
      <c r="C8839" s="715" t="s">
        <v>165</v>
      </c>
      <c r="D8839" s="716">
        <v>31.46</v>
      </c>
    </row>
    <row r="8840" spans="1:4" ht="56">
      <c r="A8840" s="715">
        <v>90466</v>
      </c>
      <c r="B8840" s="633" t="s">
        <v>28318</v>
      </c>
      <c r="C8840" s="715" t="s">
        <v>165</v>
      </c>
      <c r="D8840" s="716">
        <v>20.97</v>
      </c>
    </row>
    <row r="8841" spans="1:4" ht="56">
      <c r="A8841" s="715">
        <v>90469</v>
      </c>
      <c r="B8841" s="633" t="s">
        <v>28321</v>
      </c>
      <c r="C8841" s="715" t="s">
        <v>165</v>
      </c>
      <c r="D8841" s="716">
        <v>14.61</v>
      </c>
    </row>
    <row r="8842" spans="1:4" ht="56">
      <c r="A8842" s="715">
        <v>90470</v>
      </c>
      <c r="B8842" s="633" t="s">
        <v>28322</v>
      </c>
      <c r="C8842" s="715" t="s">
        <v>165</v>
      </c>
      <c r="D8842" s="716">
        <v>19.2</v>
      </c>
    </row>
    <row r="8843" spans="1:4" ht="56">
      <c r="A8843" s="715">
        <v>90468</v>
      </c>
      <c r="B8843" s="633" t="s">
        <v>28320</v>
      </c>
      <c r="C8843" s="715" t="s">
        <v>165</v>
      </c>
      <c r="D8843" s="716">
        <v>9.66</v>
      </c>
    </row>
    <row r="8844" spans="1:4" ht="42">
      <c r="A8844" s="715">
        <v>91188</v>
      </c>
      <c r="B8844" s="633" t="s">
        <v>40752</v>
      </c>
      <c r="C8844" s="715" t="s">
        <v>103</v>
      </c>
      <c r="D8844" s="716">
        <v>17.27</v>
      </c>
    </row>
    <row r="8845" spans="1:4" ht="42">
      <c r="A8845" s="715">
        <v>91189</v>
      </c>
      <c r="B8845" s="633" t="s">
        <v>40753</v>
      </c>
      <c r="C8845" s="715" t="s">
        <v>103</v>
      </c>
      <c r="D8845" s="716">
        <v>88.27</v>
      </c>
    </row>
    <row r="8846" spans="1:4" ht="42">
      <c r="A8846" s="715">
        <v>91192</v>
      </c>
      <c r="B8846" s="633" t="s">
        <v>28330</v>
      </c>
      <c r="C8846" s="715" t="s">
        <v>103</v>
      </c>
      <c r="D8846" s="716">
        <v>26.11</v>
      </c>
    </row>
    <row r="8847" spans="1:4" ht="28">
      <c r="A8847" s="715">
        <v>91190</v>
      </c>
      <c r="B8847" s="633" t="s">
        <v>28328</v>
      </c>
      <c r="C8847" s="715" t="s">
        <v>103</v>
      </c>
      <c r="D8847" s="716">
        <v>13.75</v>
      </c>
    </row>
    <row r="8848" spans="1:4" ht="28">
      <c r="A8848" s="715">
        <v>91191</v>
      </c>
      <c r="B8848" s="633" t="s">
        <v>28329</v>
      </c>
      <c r="C8848" s="715" t="s">
        <v>103</v>
      </c>
      <c r="D8848" s="716">
        <v>18.170000000000002</v>
      </c>
    </row>
    <row r="8849" spans="1:4" ht="56">
      <c r="A8849" s="715">
        <v>95541</v>
      </c>
      <c r="B8849" s="633" t="s">
        <v>40754</v>
      </c>
      <c r="C8849" s="715" t="s">
        <v>103</v>
      </c>
      <c r="D8849" s="716">
        <v>36.270000000000003</v>
      </c>
    </row>
    <row r="8850" spans="1:4" ht="56">
      <c r="A8850" s="715">
        <v>96564</v>
      </c>
      <c r="B8850" s="633" t="s">
        <v>40755</v>
      </c>
      <c r="C8850" s="715" t="s">
        <v>165</v>
      </c>
      <c r="D8850" s="716">
        <v>0</v>
      </c>
    </row>
    <row r="8851" spans="1:4" ht="56">
      <c r="A8851" s="715">
        <v>104785</v>
      </c>
      <c r="B8851" s="633" t="s">
        <v>28289</v>
      </c>
      <c r="C8851" s="715" t="s">
        <v>165</v>
      </c>
      <c r="D8851" s="716">
        <v>14.73</v>
      </c>
    </row>
    <row r="8852" spans="1:4" ht="56">
      <c r="A8852" s="715">
        <v>91166</v>
      </c>
      <c r="B8852" s="633" t="s">
        <v>28323</v>
      </c>
      <c r="C8852" s="715" t="s">
        <v>165</v>
      </c>
      <c r="D8852" s="716">
        <v>4.97</v>
      </c>
    </row>
    <row r="8853" spans="1:4" ht="56">
      <c r="A8853" s="715">
        <v>91167</v>
      </c>
      <c r="B8853" s="633" t="s">
        <v>29359</v>
      </c>
      <c r="C8853" s="715" t="s">
        <v>165</v>
      </c>
      <c r="D8853" s="716">
        <v>12.01</v>
      </c>
    </row>
    <row r="8854" spans="1:4" ht="70">
      <c r="A8854" s="715">
        <v>91176</v>
      </c>
      <c r="B8854" s="633" t="s">
        <v>40756</v>
      </c>
      <c r="C8854" s="715" t="s">
        <v>165</v>
      </c>
      <c r="D8854" s="716">
        <v>19.489999999999998</v>
      </c>
    </row>
    <row r="8855" spans="1:4" ht="56">
      <c r="A8855" s="715">
        <v>91182</v>
      </c>
      <c r="B8855" s="633" t="s">
        <v>28324</v>
      </c>
      <c r="C8855" s="715" t="s">
        <v>165</v>
      </c>
      <c r="D8855" s="716">
        <v>34.22</v>
      </c>
    </row>
    <row r="8856" spans="1:4" ht="84">
      <c r="A8856" s="715">
        <v>91186</v>
      </c>
      <c r="B8856" s="633" t="s">
        <v>28326</v>
      </c>
      <c r="C8856" s="715" t="s">
        <v>165</v>
      </c>
      <c r="D8856" s="716">
        <v>37.82</v>
      </c>
    </row>
    <row r="8857" spans="1:4" ht="84">
      <c r="A8857" s="715">
        <v>91171</v>
      </c>
      <c r="B8857" s="633" t="s">
        <v>29361</v>
      </c>
      <c r="C8857" s="715" t="s">
        <v>165</v>
      </c>
      <c r="D8857" s="716">
        <v>19.100000000000001</v>
      </c>
    </row>
    <row r="8858" spans="1:4" ht="84">
      <c r="A8858" s="715">
        <v>91187</v>
      </c>
      <c r="B8858" s="633" t="s">
        <v>28327</v>
      </c>
      <c r="C8858" s="715" t="s">
        <v>165</v>
      </c>
      <c r="D8858" s="716">
        <v>34.14</v>
      </c>
    </row>
    <row r="8859" spans="1:4" ht="84">
      <c r="A8859" s="715">
        <v>91172</v>
      </c>
      <c r="B8859" s="633" t="s">
        <v>29362</v>
      </c>
      <c r="C8859" s="715" t="s">
        <v>165</v>
      </c>
      <c r="D8859" s="716">
        <v>22.84</v>
      </c>
    </row>
    <row r="8860" spans="1:4" ht="70">
      <c r="A8860" s="715">
        <v>91185</v>
      </c>
      <c r="B8860" s="633" t="s">
        <v>28325</v>
      </c>
      <c r="C8860" s="715" t="s">
        <v>165</v>
      </c>
      <c r="D8860" s="716">
        <v>34.22</v>
      </c>
    </row>
    <row r="8861" spans="1:4" ht="70">
      <c r="A8861" s="715">
        <v>91170</v>
      </c>
      <c r="B8861" s="633" t="s">
        <v>29360</v>
      </c>
      <c r="C8861" s="715" t="s">
        <v>165</v>
      </c>
      <c r="D8861" s="716">
        <v>12.01</v>
      </c>
    </row>
    <row r="8862" spans="1:4" ht="84">
      <c r="A8862" s="715">
        <v>91180</v>
      </c>
      <c r="B8862" s="633" t="s">
        <v>40757</v>
      </c>
      <c r="C8862" s="715" t="s">
        <v>165</v>
      </c>
      <c r="D8862" s="716">
        <v>26.1</v>
      </c>
    </row>
    <row r="8863" spans="1:4" ht="84">
      <c r="A8863" s="715">
        <v>91181</v>
      </c>
      <c r="B8863" s="633" t="s">
        <v>40758</v>
      </c>
      <c r="C8863" s="715" t="s">
        <v>165</v>
      </c>
      <c r="D8863" s="716">
        <v>27.53</v>
      </c>
    </row>
    <row r="8864" spans="1:4" ht="84">
      <c r="A8864" s="715">
        <v>91179</v>
      </c>
      <c r="B8864" s="633" t="s">
        <v>40759</v>
      </c>
      <c r="C8864" s="715" t="s">
        <v>165</v>
      </c>
      <c r="D8864" s="716">
        <v>19.489999999999998</v>
      </c>
    </row>
    <row r="8865" spans="1:4" ht="84">
      <c r="A8865" s="715">
        <v>91174</v>
      </c>
      <c r="B8865" s="633" t="s">
        <v>29364</v>
      </c>
      <c r="C8865" s="715" t="s">
        <v>165</v>
      </c>
      <c r="D8865" s="716">
        <v>7.62</v>
      </c>
    </row>
    <row r="8866" spans="1:4" ht="84">
      <c r="A8866" s="715">
        <v>91175</v>
      </c>
      <c r="B8866" s="633" t="s">
        <v>29365</v>
      </c>
      <c r="C8866" s="715" t="s">
        <v>165</v>
      </c>
      <c r="D8866" s="716">
        <v>12.33</v>
      </c>
    </row>
    <row r="8867" spans="1:4" ht="70">
      <c r="A8867" s="715">
        <v>91173</v>
      </c>
      <c r="B8867" s="633" t="s">
        <v>29363</v>
      </c>
      <c r="C8867" s="715" t="s">
        <v>165</v>
      </c>
      <c r="D8867" s="716">
        <v>4.4800000000000004</v>
      </c>
    </row>
    <row r="8868" spans="1:4" ht="42">
      <c r="A8868" s="715">
        <v>104759</v>
      </c>
      <c r="B8868" s="633" t="s">
        <v>28274</v>
      </c>
      <c r="C8868" s="715" t="s">
        <v>103</v>
      </c>
      <c r="D8868" s="716">
        <v>64.14</v>
      </c>
    </row>
    <row r="8869" spans="1:4" ht="42">
      <c r="A8869" s="715">
        <v>104760</v>
      </c>
      <c r="B8869" s="633" t="s">
        <v>28275</v>
      </c>
      <c r="C8869" s="715" t="s">
        <v>103</v>
      </c>
      <c r="D8869" s="716">
        <v>93.68</v>
      </c>
    </row>
    <row r="8870" spans="1:4" ht="42">
      <c r="A8870" s="715">
        <v>104758</v>
      </c>
      <c r="B8870" s="633" t="s">
        <v>28273</v>
      </c>
      <c r="C8870" s="715" t="s">
        <v>103</v>
      </c>
      <c r="D8870" s="716">
        <v>24.06</v>
      </c>
    </row>
    <row r="8871" spans="1:4" ht="42">
      <c r="A8871" s="715">
        <v>90437</v>
      </c>
      <c r="B8871" s="633" t="s">
        <v>28295</v>
      </c>
      <c r="C8871" s="715" t="s">
        <v>103</v>
      </c>
      <c r="D8871" s="716">
        <v>57.58</v>
      </c>
    </row>
    <row r="8872" spans="1:4" ht="42">
      <c r="A8872" s="715">
        <v>90438</v>
      </c>
      <c r="B8872" s="633" t="s">
        <v>28296</v>
      </c>
      <c r="C8872" s="715" t="s">
        <v>103</v>
      </c>
      <c r="D8872" s="716">
        <v>84.1</v>
      </c>
    </row>
    <row r="8873" spans="1:4" ht="42">
      <c r="A8873" s="715">
        <v>90436</v>
      </c>
      <c r="B8873" s="633" t="s">
        <v>28294</v>
      </c>
      <c r="C8873" s="715" t="s">
        <v>103</v>
      </c>
      <c r="D8873" s="716">
        <v>21.6</v>
      </c>
    </row>
    <row r="8874" spans="1:4" ht="42">
      <c r="A8874" s="715">
        <v>104770</v>
      </c>
      <c r="B8874" s="633" t="s">
        <v>28283</v>
      </c>
      <c r="C8874" s="715" t="s">
        <v>103</v>
      </c>
      <c r="D8874" s="716">
        <v>2.72</v>
      </c>
    </row>
    <row r="8875" spans="1:4" ht="42">
      <c r="A8875" s="715">
        <v>104772</v>
      </c>
      <c r="B8875" s="633" t="s">
        <v>28284</v>
      </c>
      <c r="C8875" s="715" t="s">
        <v>103</v>
      </c>
      <c r="D8875" s="716">
        <v>3.98</v>
      </c>
    </row>
    <row r="8876" spans="1:4" ht="42">
      <c r="A8876" s="715">
        <v>104768</v>
      </c>
      <c r="B8876" s="633" t="s">
        <v>28282</v>
      </c>
      <c r="C8876" s="715" t="s">
        <v>103</v>
      </c>
      <c r="D8876" s="716">
        <v>1.01</v>
      </c>
    </row>
    <row r="8877" spans="1:4" ht="56">
      <c r="A8877" s="715">
        <v>104769</v>
      </c>
      <c r="B8877" s="633" t="s">
        <v>28337</v>
      </c>
      <c r="C8877" s="715" t="s">
        <v>103</v>
      </c>
      <c r="D8877" s="716">
        <v>2.4300000000000002</v>
      </c>
    </row>
    <row r="8878" spans="1:4" ht="56">
      <c r="A8878" s="715">
        <v>104771</v>
      </c>
      <c r="B8878" s="633" t="s">
        <v>28338</v>
      </c>
      <c r="C8878" s="715" t="s">
        <v>103</v>
      </c>
      <c r="D8878" s="716">
        <v>3.56</v>
      </c>
    </row>
    <row r="8879" spans="1:4" ht="42">
      <c r="A8879" s="715">
        <v>104767</v>
      </c>
      <c r="B8879" s="633" t="s">
        <v>28336</v>
      </c>
      <c r="C8879" s="715" t="s">
        <v>103</v>
      </c>
      <c r="D8879" s="716">
        <v>0.91</v>
      </c>
    </row>
    <row r="8880" spans="1:4" ht="56">
      <c r="A8880" s="715">
        <v>104762</v>
      </c>
      <c r="B8880" s="633" t="s">
        <v>28277</v>
      </c>
      <c r="C8880" s="715" t="s">
        <v>103</v>
      </c>
      <c r="D8880" s="716">
        <v>35.799999999999997</v>
      </c>
    </row>
    <row r="8881" spans="1:4" ht="56">
      <c r="A8881" s="715">
        <v>104763</v>
      </c>
      <c r="B8881" s="633" t="s">
        <v>28278</v>
      </c>
      <c r="C8881" s="715" t="s">
        <v>103</v>
      </c>
      <c r="D8881" s="716">
        <v>52.28</v>
      </c>
    </row>
    <row r="8882" spans="1:4" ht="42">
      <c r="A8882" s="715">
        <v>104761</v>
      </c>
      <c r="B8882" s="633" t="s">
        <v>28276</v>
      </c>
      <c r="C8882" s="715" t="s">
        <v>103</v>
      </c>
      <c r="D8882" s="716">
        <v>13.42</v>
      </c>
    </row>
    <row r="8883" spans="1:4" ht="56">
      <c r="A8883" s="715">
        <v>90440</v>
      </c>
      <c r="B8883" s="633" t="s">
        <v>28298</v>
      </c>
      <c r="C8883" s="715" t="s">
        <v>103</v>
      </c>
      <c r="D8883" s="716">
        <v>35.57</v>
      </c>
    </row>
    <row r="8884" spans="1:4" ht="56">
      <c r="A8884" s="715">
        <v>90441</v>
      </c>
      <c r="B8884" s="633" t="s">
        <v>28299</v>
      </c>
      <c r="C8884" s="715" t="s">
        <v>103</v>
      </c>
      <c r="D8884" s="716">
        <v>51.95</v>
      </c>
    </row>
    <row r="8885" spans="1:4" ht="42">
      <c r="A8885" s="715">
        <v>90439</v>
      </c>
      <c r="B8885" s="633" t="s">
        <v>28297</v>
      </c>
      <c r="C8885" s="715" t="s">
        <v>103</v>
      </c>
      <c r="D8885" s="716">
        <v>13.34</v>
      </c>
    </row>
    <row r="8886" spans="1:4" ht="56">
      <c r="A8886" s="715">
        <v>104776</v>
      </c>
      <c r="B8886" s="633" t="s">
        <v>28286</v>
      </c>
      <c r="C8886" s="715" t="s">
        <v>103</v>
      </c>
      <c r="D8886" s="716">
        <v>9.15</v>
      </c>
    </row>
    <row r="8887" spans="1:4" ht="56">
      <c r="A8887" s="715">
        <v>104778</v>
      </c>
      <c r="B8887" s="633" t="s">
        <v>28287</v>
      </c>
      <c r="C8887" s="715" t="s">
        <v>103</v>
      </c>
      <c r="D8887" s="716">
        <v>13.36</v>
      </c>
    </row>
    <row r="8888" spans="1:4" ht="42">
      <c r="A8888" s="715">
        <v>104774</v>
      </c>
      <c r="B8888" s="633" t="s">
        <v>28285</v>
      </c>
      <c r="C8888" s="715" t="s">
        <v>103</v>
      </c>
      <c r="D8888" s="716">
        <v>3.42</v>
      </c>
    </row>
    <row r="8889" spans="1:4" ht="56">
      <c r="A8889" s="715">
        <v>104775</v>
      </c>
      <c r="B8889" s="633" t="s">
        <v>28340</v>
      </c>
      <c r="C8889" s="715" t="s">
        <v>103</v>
      </c>
      <c r="D8889" s="716">
        <v>8.2899999999999991</v>
      </c>
    </row>
    <row r="8890" spans="1:4" ht="56">
      <c r="A8890" s="715">
        <v>104777</v>
      </c>
      <c r="B8890" s="633" t="s">
        <v>28341</v>
      </c>
      <c r="C8890" s="715" t="s">
        <v>103</v>
      </c>
      <c r="D8890" s="716">
        <v>12.11</v>
      </c>
    </row>
    <row r="8891" spans="1:4" ht="42">
      <c r="A8891" s="715">
        <v>104773</v>
      </c>
      <c r="B8891" s="633" t="s">
        <v>28339</v>
      </c>
      <c r="C8891" s="715" t="s">
        <v>103</v>
      </c>
      <c r="D8891" s="716">
        <v>3.1</v>
      </c>
    </row>
    <row r="8892" spans="1:4" ht="42">
      <c r="A8892" s="715">
        <v>104782</v>
      </c>
      <c r="B8892" s="633" t="s">
        <v>28344</v>
      </c>
      <c r="C8892" s="715" t="s">
        <v>103</v>
      </c>
      <c r="D8892" s="716">
        <v>58.33</v>
      </c>
    </row>
    <row r="8893" spans="1:4" ht="42">
      <c r="A8893" s="715">
        <v>90451</v>
      </c>
      <c r="B8893" s="633" t="s">
        <v>28305</v>
      </c>
      <c r="C8893" s="715" t="s">
        <v>103</v>
      </c>
      <c r="D8893" s="716">
        <v>8.0399999999999991</v>
      </c>
    </row>
    <row r="8894" spans="1:4" ht="42">
      <c r="A8894" s="715">
        <v>90452</v>
      </c>
      <c r="B8894" s="633" t="s">
        <v>28306</v>
      </c>
      <c r="C8894" s="715" t="s">
        <v>103</v>
      </c>
      <c r="D8894" s="716">
        <v>26.3</v>
      </c>
    </row>
    <row r="8895" spans="1:4" ht="42">
      <c r="A8895" s="715">
        <v>90455</v>
      </c>
      <c r="B8895" s="633" t="s">
        <v>28309</v>
      </c>
      <c r="C8895" s="715" t="s">
        <v>103</v>
      </c>
      <c r="D8895" s="716">
        <v>10.72</v>
      </c>
    </row>
    <row r="8896" spans="1:4" ht="42">
      <c r="A8896" s="715">
        <v>104784</v>
      </c>
      <c r="B8896" s="633" t="s">
        <v>28346</v>
      </c>
      <c r="C8896" s="715" t="s">
        <v>103</v>
      </c>
      <c r="D8896" s="716">
        <v>18.03</v>
      </c>
    </row>
    <row r="8897" spans="1:4" ht="42">
      <c r="A8897" s="715">
        <v>90453</v>
      </c>
      <c r="B8897" s="633" t="s">
        <v>28307</v>
      </c>
      <c r="C8897" s="715" t="s">
        <v>103</v>
      </c>
      <c r="D8897" s="716">
        <v>5.0599999999999996</v>
      </c>
    </row>
    <row r="8898" spans="1:4" ht="42">
      <c r="A8898" s="715">
        <v>104783</v>
      </c>
      <c r="B8898" s="633" t="s">
        <v>28345</v>
      </c>
      <c r="C8898" s="715" t="s">
        <v>103</v>
      </c>
      <c r="D8898" s="716">
        <v>6.4</v>
      </c>
    </row>
    <row r="8899" spans="1:4" ht="42">
      <c r="A8899" s="715">
        <v>90454</v>
      </c>
      <c r="B8899" s="633" t="s">
        <v>28308</v>
      </c>
      <c r="C8899" s="715" t="s">
        <v>103</v>
      </c>
      <c r="D8899" s="716">
        <v>8.2100000000000009</v>
      </c>
    </row>
    <row r="8900" spans="1:4" ht="28">
      <c r="A8900" s="715">
        <v>90459</v>
      </c>
      <c r="B8900" s="633" t="s">
        <v>28313</v>
      </c>
      <c r="C8900" s="715" t="s">
        <v>103</v>
      </c>
      <c r="D8900" s="716">
        <v>70.83</v>
      </c>
    </row>
    <row r="8901" spans="1:4" ht="28">
      <c r="A8901" s="715">
        <v>90456</v>
      </c>
      <c r="B8901" s="633" t="s">
        <v>28310</v>
      </c>
      <c r="C8901" s="715" t="s">
        <v>103</v>
      </c>
      <c r="D8901" s="716">
        <v>8.56</v>
      </c>
    </row>
    <row r="8902" spans="1:4" ht="42">
      <c r="A8902" s="715">
        <v>90458</v>
      </c>
      <c r="B8902" s="633" t="s">
        <v>28312</v>
      </c>
      <c r="C8902" s="715" t="s">
        <v>103</v>
      </c>
      <c r="D8902" s="716">
        <v>55.75</v>
      </c>
    </row>
    <row r="8903" spans="1:4" ht="42">
      <c r="A8903" s="715">
        <v>90457</v>
      </c>
      <c r="B8903" s="633" t="s">
        <v>28311</v>
      </c>
      <c r="C8903" s="715" t="s">
        <v>103</v>
      </c>
      <c r="D8903" s="716">
        <v>19.55</v>
      </c>
    </row>
    <row r="8904" spans="1:4" ht="42">
      <c r="A8904" s="715">
        <v>90447</v>
      </c>
      <c r="B8904" s="633" t="s">
        <v>28304</v>
      </c>
      <c r="C8904" s="715" t="s">
        <v>165</v>
      </c>
      <c r="D8904" s="716">
        <v>12.93</v>
      </c>
    </row>
    <row r="8905" spans="1:4" ht="56">
      <c r="A8905" s="715">
        <v>91222</v>
      </c>
      <c r="B8905" s="633" t="s">
        <v>28331</v>
      </c>
      <c r="C8905" s="715" t="s">
        <v>165</v>
      </c>
      <c r="D8905" s="716">
        <v>12.9</v>
      </c>
    </row>
    <row r="8906" spans="1:4" ht="42">
      <c r="A8906" s="715">
        <v>90443</v>
      </c>
      <c r="B8906" s="633" t="s">
        <v>28300</v>
      </c>
      <c r="C8906" s="715" t="s">
        <v>165</v>
      </c>
      <c r="D8906" s="716">
        <v>11.6</v>
      </c>
    </row>
    <row r="8907" spans="1:4" ht="42">
      <c r="A8907" s="715">
        <v>104780</v>
      </c>
      <c r="B8907" s="633" t="s">
        <v>28288</v>
      </c>
      <c r="C8907" s="715" t="s">
        <v>165</v>
      </c>
      <c r="D8907" s="716">
        <v>8.2799999999999994</v>
      </c>
    </row>
    <row r="8908" spans="1:4" ht="56">
      <c r="A8908" s="715">
        <v>104781</v>
      </c>
      <c r="B8908" s="633" t="s">
        <v>28343</v>
      </c>
      <c r="C8908" s="715" t="s">
        <v>165</v>
      </c>
      <c r="D8908" s="716">
        <v>9.51</v>
      </c>
    </row>
    <row r="8909" spans="1:4" ht="56">
      <c r="A8909" s="715">
        <v>104779</v>
      </c>
      <c r="B8909" s="633" t="s">
        <v>28342</v>
      </c>
      <c r="C8909" s="715" t="s">
        <v>165</v>
      </c>
      <c r="D8909" s="716">
        <v>8.23</v>
      </c>
    </row>
    <row r="8910" spans="1:4" ht="56">
      <c r="A8910" s="715">
        <v>104787</v>
      </c>
      <c r="B8910" s="633" t="s">
        <v>28348</v>
      </c>
      <c r="C8910" s="715" t="s">
        <v>165</v>
      </c>
      <c r="D8910" s="716">
        <v>11.77</v>
      </c>
    </row>
    <row r="8911" spans="1:4" ht="56">
      <c r="A8911" s="715">
        <v>104788</v>
      </c>
      <c r="B8911" s="633" t="s">
        <v>28349</v>
      </c>
      <c r="C8911" s="715" t="s">
        <v>165</v>
      </c>
      <c r="D8911" s="716">
        <v>15.64</v>
      </c>
    </row>
    <row r="8912" spans="1:4" ht="56">
      <c r="A8912" s="715">
        <v>104786</v>
      </c>
      <c r="B8912" s="633" t="s">
        <v>28347</v>
      </c>
      <c r="C8912" s="715" t="s">
        <v>165</v>
      </c>
      <c r="D8912" s="716">
        <v>8.8699999999999992</v>
      </c>
    </row>
    <row r="8913" spans="1:4" ht="56">
      <c r="A8913" s="715">
        <v>90445</v>
      </c>
      <c r="B8913" s="633" t="s">
        <v>28302</v>
      </c>
      <c r="C8913" s="715" t="s">
        <v>165</v>
      </c>
      <c r="D8913" s="716">
        <v>24.42</v>
      </c>
    </row>
    <row r="8914" spans="1:4" ht="56">
      <c r="A8914" s="715">
        <v>90446</v>
      </c>
      <c r="B8914" s="633" t="s">
        <v>28303</v>
      </c>
      <c r="C8914" s="715" t="s">
        <v>165</v>
      </c>
      <c r="D8914" s="716">
        <v>32.43</v>
      </c>
    </row>
    <row r="8915" spans="1:4" ht="56">
      <c r="A8915" s="715">
        <v>90444</v>
      </c>
      <c r="B8915" s="633" t="s">
        <v>28301</v>
      </c>
      <c r="C8915" s="715" t="s">
        <v>165</v>
      </c>
      <c r="D8915" s="716">
        <v>18.43</v>
      </c>
    </row>
    <row r="8916" spans="1:4" ht="56">
      <c r="A8916" s="715">
        <v>104764</v>
      </c>
      <c r="B8916" s="633" t="s">
        <v>28279</v>
      </c>
      <c r="C8916" s="715" t="s">
        <v>165</v>
      </c>
      <c r="D8916" s="716">
        <v>24.62</v>
      </c>
    </row>
    <row r="8917" spans="1:4" ht="56">
      <c r="A8917" s="715">
        <v>90460</v>
      </c>
      <c r="B8917" s="633" t="s">
        <v>28314</v>
      </c>
      <c r="C8917" s="715" t="s">
        <v>165</v>
      </c>
      <c r="D8917" s="716">
        <v>27.78</v>
      </c>
    </row>
    <row r="8918" spans="1:4" ht="56">
      <c r="A8918" s="715">
        <v>90462</v>
      </c>
      <c r="B8918" s="633" t="s">
        <v>28316</v>
      </c>
      <c r="C8918" s="715" t="s">
        <v>165</v>
      </c>
      <c r="D8918" s="716">
        <v>4.8600000000000003</v>
      </c>
    </row>
    <row r="8919" spans="1:4" ht="56">
      <c r="A8919" s="715">
        <v>104765</v>
      </c>
      <c r="B8919" s="633" t="s">
        <v>28280</v>
      </c>
      <c r="C8919" s="715" t="s">
        <v>165</v>
      </c>
      <c r="D8919" s="716">
        <v>21.83</v>
      </c>
    </row>
    <row r="8920" spans="1:4" ht="56">
      <c r="A8920" s="715">
        <v>90461</v>
      </c>
      <c r="B8920" s="633" t="s">
        <v>28315</v>
      </c>
      <c r="C8920" s="715" t="s">
        <v>165</v>
      </c>
      <c r="D8920" s="716">
        <v>22.6</v>
      </c>
    </row>
    <row r="8921" spans="1:4" ht="56">
      <c r="A8921" s="715">
        <v>90463</v>
      </c>
      <c r="B8921" s="633" t="s">
        <v>28317</v>
      </c>
      <c r="C8921" s="715" t="s">
        <v>165</v>
      </c>
      <c r="D8921" s="716">
        <v>4.38</v>
      </c>
    </row>
    <row r="8922" spans="1:4" ht="56">
      <c r="A8922" s="715">
        <v>96560</v>
      </c>
      <c r="B8922" s="633" t="s">
        <v>28333</v>
      </c>
      <c r="C8922" s="715" t="s">
        <v>509</v>
      </c>
      <c r="D8922" s="716">
        <v>40.03</v>
      </c>
    </row>
    <row r="8923" spans="1:4" ht="56">
      <c r="A8923" s="715">
        <v>96559</v>
      </c>
      <c r="B8923" s="633" t="s">
        <v>28332</v>
      </c>
      <c r="C8923" s="715" t="s">
        <v>509</v>
      </c>
      <c r="D8923" s="716">
        <v>38.94</v>
      </c>
    </row>
    <row r="8924" spans="1:4" ht="70">
      <c r="A8924" s="715">
        <v>96562</v>
      </c>
      <c r="B8924" s="633" t="s">
        <v>28334</v>
      </c>
      <c r="C8924" s="715" t="s">
        <v>165</v>
      </c>
      <c r="D8924" s="716">
        <v>63.27</v>
      </c>
    </row>
    <row r="8925" spans="1:4" ht="70">
      <c r="A8925" s="715">
        <v>96563</v>
      </c>
      <c r="B8925" s="633" t="s">
        <v>28335</v>
      </c>
      <c r="C8925" s="715" t="s">
        <v>165</v>
      </c>
      <c r="D8925" s="716">
        <v>68.63</v>
      </c>
    </row>
    <row r="8926" spans="1:4" ht="42">
      <c r="A8926" s="715">
        <v>102469</v>
      </c>
      <c r="B8926" s="633" t="s">
        <v>34374</v>
      </c>
      <c r="C8926" s="715" t="s">
        <v>509</v>
      </c>
      <c r="D8926" s="716">
        <v>0</v>
      </c>
    </row>
    <row r="8927" spans="1:4" ht="42">
      <c r="A8927" s="715">
        <v>104388</v>
      </c>
      <c r="B8927" s="633" t="s">
        <v>34375</v>
      </c>
      <c r="C8927" s="715" t="s">
        <v>509</v>
      </c>
      <c r="D8927" s="716">
        <v>0</v>
      </c>
    </row>
    <row r="8928" spans="1:4" ht="42">
      <c r="A8928" s="715">
        <v>104387</v>
      </c>
      <c r="B8928" s="633" t="s">
        <v>34376</v>
      </c>
      <c r="C8928" s="715" t="s">
        <v>121</v>
      </c>
      <c r="D8928" s="716">
        <v>0</v>
      </c>
    </row>
    <row r="8929" spans="1:4" ht="42">
      <c r="A8929" s="715">
        <v>104364</v>
      </c>
      <c r="B8929" s="633" t="s">
        <v>34377</v>
      </c>
      <c r="C8929" s="715" t="s">
        <v>121</v>
      </c>
      <c r="D8929" s="716">
        <v>0</v>
      </c>
    </row>
    <row r="8930" spans="1:4" ht="42">
      <c r="A8930" s="715">
        <v>102097</v>
      </c>
      <c r="B8930" s="633" t="s">
        <v>34378</v>
      </c>
      <c r="C8930" s="715" t="s">
        <v>121</v>
      </c>
      <c r="D8930" s="716">
        <v>0</v>
      </c>
    </row>
    <row r="8931" spans="1:4" ht="42">
      <c r="A8931" s="715">
        <v>104365</v>
      </c>
      <c r="B8931" s="633" t="s">
        <v>34379</v>
      </c>
      <c r="C8931" s="715" t="s">
        <v>121</v>
      </c>
      <c r="D8931" s="716">
        <v>0</v>
      </c>
    </row>
    <row r="8932" spans="1:4" ht="70">
      <c r="A8932" s="715">
        <v>101870</v>
      </c>
      <c r="B8932" s="633" t="s">
        <v>27019</v>
      </c>
      <c r="C8932" s="715" t="s">
        <v>509</v>
      </c>
      <c r="D8932" s="716">
        <v>51.94</v>
      </c>
    </row>
    <row r="8933" spans="1:4" ht="70">
      <c r="A8933" s="715">
        <v>101866</v>
      </c>
      <c r="B8933" s="633" t="s">
        <v>40760</v>
      </c>
      <c r="C8933" s="715" t="s">
        <v>509</v>
      </c>
      <c r="D8933" s="716">
        <v>43.77</v>
      </c>
    </row>
    <row r="8934" spans="1:4" ht="70">
      <c r="A8934" s="715">
        <v>101867</v>
      </c>
      <c r="B8934" s="633" t="s">
        <v>27016</v>
      </c>
      <c r="C8934" s="715" t="s">
        <v>509</v>
      </c>
      <c r="D8934" s="716">
        <v>50.06</v>
      </c>
    </row>
    <row r="8935" spans="1:4" ht="70">
      <c r="A8935" s="715">
        <v>101868</v>
      </c>
      <c r="B8935" s="633" t="s">
        <v>27017</v>
      </c>
      <c r="C8935" s="715" t="s">
        <v>509</v>
      </c>
      <c r="D8935" s="716">
        <v>39.380000000000003</v>
      </c>
    </row>
    <row r="8936" spans="1:4" ht="70">
      <c r="A8936" s="715">
        <v>101869</v>
      </c>
      <c r="B8936" s="633" t="s">
        <v>27018</v>
      </c>
      <c r="C8936" s="715" t="s">
        <v>509</v>
      </c>
      <c r="D8936" s="716">
        <v>45.67</v>
      </c>
    </row>
    <row r="8937" spans="1:4" ht="56">
      <c r="A8937" s="715">
        <v>101856</v>
      </c>
      <c r="B8937" s="633" t="s">
        <v>27007</v>
      </c>
      <c r="C8937" s="715" t="s">
        <v>509</v>
      </c>
      <c r="D8937" s="716">
        <v>35.5</v>
      </c>
    </row>
    <row r="8938" spans="1:4" ht="70">
      <c r="A8938" s="715">
        <v>101865</v>
      </c>
      <c r="B8938" s="633" t="s">
        <v>27015</v>
      </c>
      <c r="C8938" s="715" t="s">
        <v>509</v>
      </c>
      <c r="D8938" s="716">
        <v>49.42</v>
      </c>
    </row>
    <row r="8939" spans="1:4" ht="70">
      <c r="A8939" s="715">
        <v>101861</v>
      </c>
      <c r="B8939" s="633" t="s">
        <v>40761</v>
      </c>
      <c r="C8939" s="715" t="s">
        <v>509</v>
      </c>
      <c r="D8939" s="716">
        <v>43.46</v>
      </c>
    </row>
    <row r="8940" spans="1:4" ht="70">
      <c r="A8940" s="715">
        <v>101862</v>
      </c>
      <c r="B8940" s="633" t="s">
        <v>27012</v>
      </c>
      <c r="C8940" s="715" t="s">
        <v>509</v>
      </c>
      <c r="D8940" s="716">
        <v>47.53</v>
      </c>
    </row>
    <row r="8941" spans="1:4" ht="70">
      <c r="A8941" s="715">
        <v>101863</v>
      </c>
      <c r="B8941" s="633" t="s">
        <v>27013</v>
      </c>
      <c r="C8941" s="715" t="s">
        <v>509</v>
      </c>
      <c r="D8941" s="716">
        <v>36.85</v>
      </c>
    </row>
    <row r="8942" spans="1:4" ht="70">
      <c r="A8942" s="715">
        <v>101864</v>
      </c>
      <c r="B8942" s="633" t="s">
        <v>27014</v>
      </c>
      <c r="C8942" s="715" t="s">
        <v>509</v>
      </c>
      <c r="D8942" s="716">
        <v>43.14</v>
      </c>
    </row>
    <row r="8943" spans="1:4" ht="70">
      <c r="A8943" s="715">
        <v>101860</v>
      </c>
      <c r="B8943" s="633" t="s">
        <v>27011</v>
      </c>
      <c r="C8943" s="715" t="s">
        <v>509</v>
      </c>
      <c r="D8943" s="716">
        <v>46.58</v>
      </c>
    </row>
    <row r="8944" spans="1:4" ht="70">
      <c r="A8944" s="715">
        <v>101857</v>
      </c>
      <c r="B8944" s="633" t="s">
        <v>27008</v>
      </c>
      <c r="C8944" s="715" t="s">
        <v>509</v>
      </c>
      <c r="D8944" s="716">
        <v>44.82</v>
      </c>
    </row>
    <row r="8945" spans="1:4" ht="70">
      <c r="A8945" s="715">
        <v>101858</v>
      </c>
      <c r="B8945" s="633" t="s">
        <v>27009</v>
      </c>
      <c r="C8945" s="715" t="s">
        <v>509</v>
      </c>
      <c r="D8945" s="716">
        <v>36.299999999999997</v>
      </c>
    </row>
    <row r="8946" spans="1:4" ht="70">
      <c r="A8946" s="715">
        <v>101859</v>
      </c>
      <c r="B8946" s="633" t="s">
        <v>27010</v>
      </c>
      <c r="C8946" s="715" t="s">
        <v>509</v>
      </c>
      <c r="D8946" s="716">
        <v>40.299999999999997</v>
      </c>
    </row>
    <row r="8947" spans="1:4" ht="70">
      <c r="A8947" s="715">
        <v>101852</v>
      </c>
      <c r="B8947" s="633" t="s">
        <v>27005</v>
      </c>
      <c r="C8947" s="715" t="s">
        <v>509</v>
      </c>
      <c r="D8947" s="716">
        <v>90.77</v>
      </c>
    </row>
    <row r="8948" spans="1:4" ht="70">
      <c r="A8948" s="715">
        <v>104385</v>
      </c>
      <c r="B8948" s="633" t="s">
        <v>34380</v>
      </c>
      <c r="C8948" s="715" t="s">
        <v>509</v>
      </c>
      <c r="D8948" s="716">
        <v>0</v>
      </c>
    </row>
    <row r="8949" spans="1:4" ht="70">
      <c r="A8949" s="715">
        <v>101850</v>
      </c>
      <c r="B8949" s="633" t="s">
        <v>27004</v>
      </c>
      <c r="C8949" s="715" t="s">
        <v>509</v>
      </c>
      <c r="D8949" s="716">
        <v>74.569999999999993</v>
      </c>
    </row>
    <row r="8950" spans="1:4" ht="70">
      <c r="A8950" s="715">
        <v>101855</v>
      </c>
      <c r="B8950" s="633" t="s">
        <v>27006</v>
      </c>
      <c r="C8950" s="715" t="s">
        <v>509</v>
      </c>
      <c r="D8950" s="716">
        <v>92.38</v>
      </c>
    </row>
    <row r="8951" spans="1:4" ht="70">
      <c r="A8951" s="715">
        <v>104386</v>
      </c>
      <c r="B8951" s="633" t="s">
        <v>34381</v>
      </c>
      <c r="C8951" s="715" t="s">
        <v>509</v>
      </c>
      <c r="D8951" s="716">
        <v>0</v>
      </c>
    </row>
    <row r="8952" spans="1:4" ht="70">
      <c r="A8952" s="715">
        <v>101853</v>
      </c>
      <c r="B8952" s="633" t="s">
        <v>40762</v>
      </c>
      <c r="C8952" s="715" t="s">
        <v>509</v>
      </c>
      <c r="D8952" s="716">
        <v>65.09</v>
      </c>
    </row>
    <row r="8953" spans="1:4" ht="56">
      <c r="A8953" s="715">
        <v>101849</v>
      </c>
      <c r="B8953" s="633" t="s">
        <v>27003</v>
      </c>
      <c r="C8953" s="715" t="s">
        <v>121</v>
      </c>
      <c r="D8953" s="716">
        <v>174.83</v>
      </c>
    </row>
    <row r="8954" spans="1:4" ht="56">
      <c r="A8954" s="715">
        <v>101841</v>
      </c>
      <c r="B8954" s="633" t="s">
        <v>26995</v>
      </c>
      <c r="C8954" s="715" t="s">
        <v>121</v>
      </c>
      <c r="D8954" s="716">
        <v>103.9</v>
      </c>
    </row>
    <row r="8955" spans="1:4" ht="56">
      <c r="A8955" s="715">
        <v>101843</v>
      </c>
      <c r="B8955" s="633" t="s">
        <v>26997</v>
      </c>
      <c r="C8955" s="715" t="s">
        <v>121</v>
      </c>
      <c r="D8955" s="716">
        <v>166.14</v>
      </c>
    </row>
    <row r="8956" spans="1:4" ht="56">
      <c r="A8956" s="715">
        <v>101844</v>
      </c>
      <c r="B8956" s="633" t="s">
        <v>26998</v>
      </c>
      <c r="C8956" s="715" t="s">
        <v>121</v>
      </c>
      <c r="D8956" s="716">
        <v>195.25</v>
      </c>
    </row>
    <row r="8957" spans="1:4" ht="56">
      <c r="A8957" s="715">
        <v>101845</v>
      </c>
      <c r="B8957" s="633" t="s">
        <v>26999</v>
      </c>
      <c r="C8957" s="715" t="s">
        <v>121</v>
      </c>
      <c r="D8957" s="716">
        <v>223.96</v>
      </c>
    </row>
    <row r="8958" spans="1:4" ht="56">
      <c r="A8958" s="715">
        <v>101842</v>
      </c>
      <c r="B8958" s="633" t="s">
        <v>26996</v>
      </c>
      <c r="C8958" s="715" t="s">
        <v>121</v>
      </c>
      <c r="D8958" s="716">
        <v>91.92</v>
      </c>
    </row>
    <row r="8959" spans="1:4" ht="56">
      <c r="A8959" s="715">
        <v>101846</v>
      </c>
      <c r="B8959" s="633" t="s">
        <v>27000</v>
      </c>
      <c r="C8959" s="715" t="s">
        <v>121</v>
      </c>
      <c r="D8959" s="716">
        <v>154.63999999999999</v>
      </c>
    </row>
    <row r="8960" spans="1:4" ht="56">
      <c r="A8960" s="715">
        <v>101847</v>
      </c>
      <c r="B8960" s="633" t="s">
        <v>27001</v>
      </c>
      <c r="C8960" s="715" t="s">
        <v>121</v>
      </c>
      <c r="D8960" s="716">
        <v>183.99</v>
      </c>
    </row>
    <row r="8961" spans="1:4" ht="56">
      <c r="A8961" s="715">
        <v>101848</v>
      </c>
      <c r="B8961" s="633" t="s">
        <v>27002</v>
      </c>
      <c r="C8961" s="715" t="s">
        <v>121</v>
      </c>
      <c r="D8961" s="716">
        <v>212.94</v>
      </c>
    </row>
    <row r="8962" spans="1:4" ht="56">
      <c r="A8962" s="715">
        <v>101839</v>
      </c>
      <c r="B8962" s="633" t="s">
        <v>26993</v>
      </c>
      <c r="C8962" s="715" t="s">
        <v>121</v>
      </c>
      <c r="D8962" s="716">
        <v>127.68</v>
      </c>
    </row>
    <row r="8963" spans="1:4" ht="56">
      <c r="A8963" s="715">
        <v>101840</v>
      </c>
      <c r="B8963" s="633" t="s">
        <v>26994</v>
      </c>
      <c r="C8963" s="715" t="s">
        <v>121</v>
      </c>
      <c r="D8963" s="716">
        <v>218.99</v>
      </c>
    </row>
    <row r="8964" spans="1:4" ht="56">
      <c r="A8964" s="715">
        <v>101837</v>
      </c>
      <c r="B8964" s="633" t="s">
        <v>26991</v>
      </c>
      <c r="C8964" s="715" t="s">
        <v>121</v>
      </c>
      <c r="D8964" s="716">
        <v>65.75</v>
      </c>
    </row>
    <row r="8965" spans="1:4" ht="56">
      <c r="A8965" s="715">
        <v>101838</v>
      </c>
      <c r="B8965" s="633" t="s">
        <v>26992</v>
      </c>
      <c r="C8965" s="715" t="s">
        <v>121</v>
      </c>
      <c r="D8965" s="716">
        <v>97.14</v>
      </c>
    </row>
    <row r="8966" spans="1:4" ht="56">
      <c r="A8966" s="715">
        <v>101836</v>
      </c>
      <c r="B8966" s="633" t="s">
        <v>26990</v>
      </c>
      <c r="C8966" s="715" t="s">
        <v>121</v>
      </c>
      <c r="D8966" s="716">
        <v>32.03</v>
      </c>
    </row>
    <row r="8967" spans="1:4" ht="56">
      <c r="A8967" s="715">
        <v>101835</v>
      </c>
      <c r="B8967" s="633" t="s">
        <v>26989</v>
      </c>
      <c r="C8967" s="715" t="s">
        <v>121</v>
      </c>
      <c r="D8967" s="716">
        <v>316.89</v>
      </c>
    </row>
    <row r="8968" spans="1:4" ht="56">
      <c r="A8968" s="715">
        <v>101827</v>
      </c>
      <c r="B8968" s="633" t="s">
        <v>26981</v>
      </c>
      <c r="C8968" s="715" t="s">
        <v>121</v>
      </c>
      <c r="D8968" s="716">
        <v>245.96</v>
      </c>
    </row>
    <row r="8969" spans="1:4" ht="56">
      <c r="A8969" s="715">
        <v>101829</v>
      </c>
      <c r="B8969" s="633" t="s">
        <v>26983</v>
      </c>
      <c r="C8969" s="715" t="s">
        <v>121</v>
      </c>
      <c r="D8969" s="716">
        <v>308.2</v>
      </c>
    </row>
    <row r="8970" spans="1:4" ht="56">
      <c r="A8970" s="715">
        <v>101830</v>
      </c>
      <c r="B8970" s="633" t="s">
        <v>26984</v>
      </c>
      <c r="C8970" s="715" t="s">
        <v>121</v>
      </c>
      <c r="D8970" s="716">
        <v>337.31</v>
      </c>
    </row>
    <row r="8971" spans="1:4" ht="56">
      <c r="A8971" s="715">
        <v>101831</v>
      </c>
      <c r="B8971" s="633" t="s">
        <v>26985</v>
      </c>
      <c r="C8971" s="715" t="s">
        <v>121</v>
      </c>
      <c r="D8971" s="716">
        <v>366.02</v>
      </c>
    </row>
    <row r="8972" spans="1:4" ht="56">
      <c r="A8972" s="715">
        <v>101828</v>
      </c>
      <c r="B8972" s="633" t="s">
        <v>26982</v>
      </c>
      <c r="C8972" s="715" t="s">
        <v>121</v>
      </c>
      <c r="D8972" s="716">
        <v>233.98</v>
      </c>
    </row>
    <row r="8973" spans="1:4" ht="56">
      <c r="A8973" s="715">
        <v>101832</v>
      </c>
      <c r="B8973" s="633" t="s">
        <v>26986</v>
      </c>
      <c r="C8973" s="715" t="s">
        <v>121</v>
      </c>
      <c r="D8973" s="716">
        <v>296.7</v>
      </c>
    </row>
    <row r="8974" spans="1:4" ht="56">
      <c r="A8974" s="715">
        <v>101833</v>
      </c>
      <c r="B8974" s="633" t="s">
        <v>26987</v>
      </c>
      <c r="C8974" s="715" t="s">
        <v>121</v>
      </c>
      <c r="D8974" s="716">
        <v>326.05</v>
      </c>
    </row>
    <row r="8975" spans="1:4" ht="56">
      <c r="A8975" s="715">
        <v>101834</v>
      </c>
      <c r="B8975" s="633" t="s">
        <v>26988</v>
      </c>
      <c r="C8975" s="715" t="s">
        <v>121</v>
      </c>
      <c r="D8975" s="716">
        <v>355</v>
      </c>
    </row>
    <row r="8976" spans="1:4" ht="56">
      <c r="A8976" s="715">
        <v>101825</v>
      </c>
      <c r="B8976" s="633" t="s">
        <v>26979</v>
      </c>
      <c r="C8976" s="715" t="s">
        <v>121</v>
      </c>
      <c r="D8976" s="716">
        <v>269.75</v>
      </c>
    </row>
    <row r="8977" spans="1:4" ht="56">
      <c r="A8977" s="715">
        <v>101826</v>
      </c>
      <c r="B8977" s="633" t="s">
        <v>26980</v>
      </c>
      <c r="C8977" s="715" t="s">
        <v>121</v>
      </c>
      <c r="D8977" s="716">
        <v>299.89</v>
      </c>
    </row>
    <row r="8978" spans="1:4" ht="56">
      <c r="A8978" s="715">
        <v>101823</v>
      </c>
      <c r="B8978" s="633" t="s">
        <v>26977</v>
      </c>
      <c r="C8978" s="715" t="s">
        <v>121</v>
      </c>
      <c r="D8978" s="716">
        <v>207.81</v>
      </c>
    </row>
    <row r="8979" spans="1:4" ht="56">
      <c r="A8979" s="715">
        <v>101824</v>
      </c>
      <c r="B8979" s="633" t="s">
        <v>26978</v>
      </c>
      <c r="C8979" s="715" t="s">
        <v>121</v>
      </c>
      <c r="D8979" s="716">
        <v>239.2</v>
      </c>
    </row>
    <row r="8980" spans="1:4" ht="56">
      <c r="A8980" s="715">
        <v>101822</v>
      </c>
      <c r="B8980" s="633" t="s">
        <v>26976</v>
      </c>
      <c r="C8980" s="715" t="s">
        <v>121</v>
      </c>
      <c r="D8980" s="716">
        <v>174.09</v>
      </c>
    </row>
    <row r="8981" spans="1:4" ht="84">
      <c r="A8981" s="715">
        <v>101819</v>
      </c>
      <c r="B8981" s="633" t="s">
        <v>26974</v>
      </c>
      <c r="C8981" s="715" t="s">
        <v>509</v>
      </c>
      <c r="D8981" s="716">
        <v>81.42</v>
      </c>
    </row>
    <row r="8982" spans="1:4" ht="84">
      <c r="A8982" s="715">
        <v>104370</v>
      </c>
      <c r="B8982" s="633" t="s">
        <v>34382</v>
      </c>
      <c r="C8982" s="715" t="s">
        <v>509</v>
      </c>
      <c r="D8982" s="716">
        <v>0</v>
      </c>
    </row>
    <row r="8983" spans="1:4" ht="84">
      <c r="A8983" s="715">
        <v>101817</v>
      </c>
      <c r="B8983" s="633" t="s">
        <v>26973</v>
      </c>
      <c r="C8983" s="715" t="s">
        <v>509</v>
      </c>
      <c r="D8983" s="716">
        <v>65.39</v>
      </c>
    </row>
    <row r="8984" spans="1:4" ht="70">
      <c r="A8984" s="715">
        <v>101816</v>
      </c>
      <c r="B8984" s="633" t="s">
        <v>26972</v>
      </c>
      <c r="C8984" s="715" t="s">
        <v>509</v>
      </c>
      <c r="D8984" s="716">
        <v>85.11</v>
      </c>
    </row>
    <row r="8985" spans="1:4" ht="84">
      <c r="A8985" s="715">
        <v>104369</v>
      </c>
      <c r="B8985" s="633" t="s">
        <v>34383</v>
      </c>
      <c r="C8985" s="715" t="s">
        <v>509</v>
      </c>
      <c r="D8985" s="716">
        <v>0</v>
      </c>
    </row>
    <row r="8986" spans="1:4" ht="70">
      <c r="A8986" s="715">
        <v>101820</v>
      </c>
      <c r="B8986" s="633" t="s">
        <v>26975</v>
      </c>
      <c r="C8986" s="715" t="s">
        <v>509</v>
      </c>
      <c r="D8986" s="716">
        <v>57.77</v>
      </c>
    </row>
    <row r="8987" spans="1:4" ht="70">
      <c r="A8987" s="715">
        <v>102988</v>
      </c>
      <c r="B8987" s="633" t="s">
        <v>27021</v>
      </c>
      <c r="C8987" s="715" t="s">
        <v>509</v>
      </c>
      <c r="D8987" s="716">
        <v>77.72</v>
      </c>
    </row>
    <row r="8988" spans="1:4" ht="70">
      <c r="A8988" s="715">
        <v>101814</v>
      </c>
      <c r="B8988" s="633" t="s">
        <v>26971</v>
      </c>
      <c r="C8988" s="715" t="s">
        <v>509</v>
      </c>
      <c r="D8988" s="716">
        <v>57.88</v>
      </c>
    </row>
    <row r="8989" spans="1:4" ht="56">
      <c r="A8989" s="715">
        <v>102098</v>
      </c>
      <c r="B8989" s="633" t="s">
        <v>27020</v>
      </c>
      <c r="C8989" s="715" t="s">
        <v>121</v>
      </c>
      <c r="D8989" s="716">
        <v>2040.93</v>
      </c>
    </row>
    <row r="8990" spans="1:4" ht="56">
      <c r="A8990" s="715">
        <v>104366</v>
      </c>
      <c r="B8990" s="633" t="s">
        <v>34384</v>
      </c>
      <c r="C8990" s="715" t="s">
        <v>121</v>
      </c>
      <c r="D8990" s="716">
        <v>0</v>
      </c>
    </row>
    <row r="8991" spans="1:4" ht="56">
      <c r="A8991" s="715">
        <v>102099</v>
      </c>
      <c r="B8991" s="633" t="s">
        <v>34385</v>
      </c>
      <c r="C8991" s="715" t="s">
        <v>121</v>
      </c>
      <c r="D8991" s="716">
        <v>0</v>
      </c>
    </row>
    <row r="8992" spans="1:4" ht="56">
      <c r="A8992" s="715">
        <v>104367</v>
      </c>
      <c r="B8992" s="633" t="s">
        <v>34386</v>
      </c>
      <c r="C8992" s="715" t="s">
        <v>121</v>
      </c>
      <c r="D8992" s="716">
        <v>0</v>
      </c>
    </row>
    <row r="8993" spans="1:4" ht="56">
      <c r="A8993" s="715">
        <v>92994</v>
      </c>
      <c r="B8993" s="633" t="s">
        <v>25728</v>
      </c>
      <c r="C8993" s="715" t="s">
        <v>165</v>
      </c>
      <c r="D8993" s="716">
        <v>151.36000000000001</v>
      </c>
    </row>
    <row r="8994" spans="1:4" ht="56">
      <c r="A8994" s="715">
        <v>92996</v>
      </c>
      <c r="B8994" s="633" t="s">
        <v>25729</v>
      </c>
      <c r="C8994" s="715" t="s">
        <v>165</v>
      </c>
      <c r="D8994" s="716">
        <v>183.03</v>
      </c>
    </row>
    <row r="8995" spans="1:4" ht="56">
      <c r="A8995" s="715">
        <v>92998</v>
      </c>
      <c r="B8995" s="633" t="s">
        <v>25730</v>
      </c>
      <c r="C8995" s="715" t="s">
        <v>165</v>
      </c>
      <c r="D8995" s="716">
        <v>224.16</v>
      </c>
    </row>
    <row r="8996" spans="1:4" ht="56">
      <c r="A8996" s="715">
        <v>93000</v>
      </c>
      <c r="B8996" s="633" t="s">
        <v>25731</v>
      </c>
      <c r="C8996" s="715" t="s">
        <v>165</v>
      </c>
      <c r="D8996" s="716">
        <v>296.45</v>
      </c>
    </row>
    <row r="8997" spans="1:4" ht="56">
      <c r="A8997" s="715">
        <v>92984</v>
      </c>
      <c r="B8997" s="633" t="s">
        <v>25723</v>
      </c>
      <c r="C8997" s="715" t="s">
        <v>165</v>
      </c>
      <c r="D8997" s="716">
        <v>33.03</v>
      </c>
    </row>
    <row r="8998" spans="1:4" ht="56">
      <c r="A8998" s="715">
        <v>93002</v>
      </c>
      <c r="B8998" s="633" t="s">
        <v>25732</v>
      </c>
      <c r="C8998" s="715" t="s">
        <v>165</v>
      </c>
      <c r="D8998" s="716">
        <v>382.91</v>
      </c>
    </row>
    <row r="8999" spans="1:4" ht="56">
      <c r="A8999" s="715">
        <v>92986</v>
      </c>
      <c r="B8999" s="633" t="s">
        <v>25724</v>
      </c>
      <c r="C8999" s="715" t="s">
        <v>165</v>
      </c>
      <c r="D8999" s="716">
        <v>45.37</v>
      </c>
    </row>
    <row r="9000" spans="1:4" ht="56">
      <c r="A9000" s="715">
        <v>92988</v>
      </c>
      <c r="B9000" s="633" t="s">
        <v>25725</v>
      </c>
      <c r="C9000" s="715" t="s">
        <v>165</v>
      </c>
      <c r="D9000" s="716">
        <v>65.48</v>
      </c>
    </row>
    <row r="9001" spans="1:4" ht="56">
      <c r="A9001" s="715">
        <v>92990</v>
      </c>
      <c r="B9001" s="633" t="s">
        <v>25726</v>
      </c>
      <c r="C9001" s="715" t="s">
        <v>165</v>
      </c>
      <c r="D9001" s="716">
        <v>90.37</v>
      </c>
    </row>
    <row r="9002" spans="1:4" ht="56">
      <c r="A9002" s="715">
        <v>92992</v>
      </c>
      <c r="B9002" s="633" t="s">
        <v>25727</v>
      </c>
      <c r="C9002" s="715" t="s">
        <v>165</v>
      </c>
      <c r="D9002" s="716">
        <v>116.7</v>
      </c>
    </row>
    <row r="9003" spans="1:4" ht="56">
      <c r="A9003" s="715">
        <v>103491</v>
      </c>
      <c r="B9003" s="633" t="s">
        <v>25866</v>
      </c>
      <c r="C9003" s="715" t="s">
        <v>121</v>
      </c>
      <c r="D9003" s="716">
        <v>689.62</v>
      </c>
    </row>
    <row r="9004" spans="1:4" ht="56">
      <c r="A9004" s="715">
        <v>93026</v>
      </c>
      <c r="B9004" s="633" t="s">
        <v>25707</v>
      </c>
      <c r="C9004" s="715" t="s">
        <v>103</v>
      </c>
      <c r="D9004" s="716">
        <v>91.21</v>
      </c>
    </row>
    <row r="9005" spans="1:4" ht="56">
      <c r="A9005" s="715">
        <v>93018</v>
      </c>
      <c r="B9005" s="633" t="s">
        <v>25703</v>
      </c>
      <c r="C9005" s="715" t="s">
        <v>103</v>
      </c>
      <c r="D9005" s="716">
        <v>31.6</v>
      </c>
    </row>
    <row r="9006" spans="1:4" ht="56">
      <c r="A9006" s="715">
        <v>93020</v>
      </c>
      <c r="B9006" s="633" t="s">
        <v>25704</v>
      </c>
      <c r="C9006" s="715" t="s">
        <v>103</v>
      </c>
      <c r="D9006" s="716">
        <v>38.630000000000003</v>
      </c>
    </row>
    <row r="9007" spans="1:4" ht="56">
      <c r="A9007" s="715">
        <v>93022</v>
      </c>
      <c r="B9007" s="633" t="s">
        <v>25705</v>
      </c>
      <c r="C9007" s="715" t="s">
        <v>103</v>
      </c>
      <c r="D9007" s="716">
        <v>56.85</v>
      </c>
    </row>
    <row r="9008" spans="1:4" ht="56">
      <c r="A9008" s="715">
        <v>93024</v>
      </c>
      <c r="B9008" s="633" t="s">
        <v>25706</v>
      </c>
      <c r="C9008" s="715" t="s">
        <v>103</v>
      </c>
      <c r="D9008" s="716">
        <v>60.9</v>
      </c>
    </row>
    <row r="9009" spans="1:4" ht="56">
      <c r="A9009" s="715">
        <v>97670</v>
      </c>
      <c r="B9009" s="633" t="s">
        <v>25661</v>
      </c>
      <c r="C9009" s="715" t="s">
        <v>165</v>
      </c>
      <c r="D9009" s="716">
        <v>28.69</v>
      </c>
    </row>
    <row r="9010" spans="1:4" ht="56">
      <c r="A9010" s="715">
        <v>103486</v>
      </c>
      <c r="B9010" s="633" t="s">
        <v>34387</v>
      </c>
      <c r="C9010" s="715" t="s">
        <v>165</v>
      </c>
      <c r="D9010" s="716">
        <v>0</v>
      </c>
    </row>
    <row r="9011" spans="1:4" ht="56">
      <c r="A9011" s="715">
        <v>103487</v>
      </c>
      <c r="B9011" s="633" t="s">
        <v>34388</v>
      </c>
      <c r="C9011" s="715" t="s">
        <v>165</v>
      </c>
      <c r="D9011" s="716">
        <v>0</v>
      </c>
    </row>
    <row r="9012" spans="1:4" ht="56">
      <c r="A9012" s="715">
        <v>103488</v>
      </c>
      <c r="B9012" s="633" t="s">
        <v>34389</v>
      </c>
      <c r="C9012" s="715" t="s">
        <v>165</v>
      </c>
      <c r="D9012" s="716">
        <v>0</v>
      </c>
    </row>
    <row r="9013" spans="1:4" ht="56">
      <c r="A9013" s="715">
        <v>103489</v>
      </c>
      <c r="B9013" s="633" t="s">
        <v>34390</v>
      </c>
      <c r="C9013" s="715" t="s">
        <v>165</v>
      </c>
      <c r="D9013" s="716">
        <v>0</v>
      </c>
    </row>
    <row r="9014" spans="1:4" ht="56">
      <c r="A9014" s="715">
        <v>97667</v>
      </c>
      <c r="B9014" s="633" t="s">
        <v>25658</v>
      </c>
      <c r="C9014" s="715" t="s">
        <v>165</v>
      </c>
      <c r="D9014" s="716">
        <v>10.68</v>
      </c>
    </row>
    <row r="9015" spans="1:4" ht="56">
      <c r="A9015" s="715">
        <v>97668</v>
      </c>
      <c r="B9015" s="633" t="s">
        <v>25659</v>
      </c>
      <c r="C9015" s="715" t="s">
        <v>165</v>
      </c>
      <c r="D9015" s="716">
        <v>15.19</v>
      </c>
    </row>
    <row r="9016" spans="1:4" ht="56">
      <c r="A9016" s="715">
        <v>97669</v>
      </c>
      <c r="B9016" s="633" t="s">
        <v>25660</v>
      </c>
      <c r="C9016" s="715" t="s">
        <v>165</v>
      </c>
      <c r="D9016" s="716">
        <v>22.76</v>
      </c>
    </row>
    <row r="9017" spans="1:4" ht="56">
      <c r="A9017" s="715">
        <v>93012</v>
      </c>
      <c r="B9017" s="633" t="s">
        <v>25657</v>
      </c>
      <c r="C9017" s="715" t="s">
        <v>165</v>
      </c>
      <c r="D9017" s="716">
        <v>71.52</v>
      </c>
    </row>
    <row r="9018" spans="1:4" ht="56">
      <c r="A9018" s="715">
        <v>93008</v>
      </c>
      <c r="B9018" s="633" t="s">
        <v>25653</v>
      </c>
      <c r="C9018" s="715" t="s">
        <v>165</v>
      </c>
      <c r="D9018" s="716">
        <v>20.49</v>
      </c>
    </row>
    <row r="9019" spans="1:4" ht="56">
      <c r="A9019" s="715">
        <v>93009</v>
      </c>
      <c r="B9019" s="633" t="s">
        <v>25654</v>
      </c>
      <c r="C9019" s="715" t="s">
        <v>165</v>
      </c>
      <c r="D9019" s="716">
        <v>29.19</v>
      </c>
    </row>
    <row r="9020" spans="1:4" ht="56">
      <c r="A9020" s="715">
        <v>93010</v>
      </c>
      <c r="B9020" s="633" t="s">
        <v>25655</v>
      </c>
      <c r="C9020" s="715" t="s">
        <v>165</v>
      </c>
      <c r="D9020" s="716">
        <v>39.89</v>
      </c>
    </row>
    <row r="9021" spans="1:4" ht="56">
      <c r="A9021" s="715">
        <v>93011</v>
      </c>
      <c r="B9021" s="633" t="s">
        <v>25656</v>
      </c>
      <c r="C9021" s="715" t="s">
        <v>165</v>
      </c>
      <c r="D9021" s="716">
        <v>48.24</v>
      </c>
    </row>
    <row r="9022" spans="1:4" ht="42">
      <c r="A9022" s="715">
        <v>103492</v>
      </c>
      <c r="B9022" s="633" t="s">
        <v>34391</v>
      </c>
      <c r="C9022" s="715" t="s">
        <v>165</v>
      </c>
      <c r="D9022" s="716">
        <v>0</v>
      </c>
    </row>
    <row r="9023" spans="1:4" ht="56">
      <c r="A9023" s="715">
        <v>93017</v>
      </c>
      <c r="B9023" s="633" t="s">
        <v>25702</v>
      </c>
      <c r="C9023" s="715" t="s">
        <v>103</v>
      </c>
      <c r="D9023" s="716">
        <v>56.83</v>
      </c>
    </row>
    <row r="9024" spans="1:4" ht="56">
      <c r="A9024" s="715">
        <v>93013</v>
      </c>
      <c r="B9024" s="633" t="s">
        <v>25698</v>
      </c>
      <c r="C9024" s="715" t="s">
        <v>103</v>
      </c>
      <c r="D9024" s="716">
        <v>20.85</v>
      </c>
    </row>
    <row r="9025" spans="1:4" ht="56">
      <c r="A9025" s="715">
        <v>93014</v>
      </c>
      <c r="B9025" s="633" t="s">
        <v>25699</v>
      </c>
      <c r="C9025" s="715" t="s">
        <v>103</v>
      </c>
      <c r="D9025" s="716">
        <v>24.87</v>
      </c>
    </row>
    <row r="9026" spans="1:4" ht="56">
      <c r="A9026" s="715">
        <v>93015</v>
      </c>
      <c r="B9026" s="633" t="s">
        <v>25700</v>
      </c>
      <c r="C9026" s="715" t="s">
        <v>103</v>
      </c>
      <c r="D9026" s="716">
        <v>34.25</v>
      </c>
    </row>
    <row r="9027" spans="1:4" ht="56">
      <c r="A9027" s="715">
        <v>93016</v>
      </c>
      <c r="B9027" s="633" t="s">
        <v>25701</v>
      </c>
      <c r="C9027" s="715" t="s">
        <v>103</v>
      </c>
      <c r="D9027" s="716">
        <v>40.25</v>
      </c>
    </row>
    <row r="9028" spans="1:4" ht="70">
      <c r="A9028" s="715">
        <v>103490</v>
      </c>
      <c r="B9028" s="633" t="s">
        <v>25865</v>
      </c>
      <c r="C9028" s="715" t="s">
        <v>121</v>
      </c>
      <c r="D9028" s="716">
        <v>3774.9</v>
      </c>
    </row>
    <row r="9029" spans="1:4" ht="28">
      <c r="A9029" s="715">
        <v>106082</v>
      </c>
      <c r="B9029" s="633" t="s">
        <v>41491</v>
      </c>
      <c r="C9029" s="715" t="s">
        <v>103</v>
      </c>
      <c r="D9029" s="716">
        <v>19.739999999999998</v>
      </c>
    </row>
    <row r="9030" spans="1:4" ht="28">
      <c r="A9030" s="715">
        <v>98306</v>
      </c>
      <c r="B9030" s="633" t="s">
        <v>41492</v>
      </c>
      <c r="C9030" s="715" t="s">
        <v>103</v>
      </c>
      <c r="D9030" s="716">
        <v>70.41</v>
      </c>
    </row>
    <row r="9031" spans="1:4" ht="28">
      <c r="A9031" s="715">
        <v>100553</v>
      </c>
      <c r="B9031" s="633" t="s">
        <v>41493</v>
      </c>
      <c r="C9031" s="715" t="s">
        <v>165</v>
      </c>
      <c r="D9031" s="716">
        <v>30.76</v>
      </c>
    </row>
    <row r="9032" spans="1:4" ht="28">
      <c r="A9032" s="715">
        <v>100554</v>
      </c>
      <c r="B9032" s="633" t="s">
        <v>41494</v>
      </c>
      <c r="C9032" s="715" t="s">
        <v>165</v>
      </c>
      <c r="D9032" s="716">
        <v>8.86</v>
      </c>
    </row>
    <row r="9033" spans="1:4" ht="28">
      <c r="A9033" s="715">
        <v>98300</v>
      </c>
      <c r="B9033" s="633" t="s">
        <v>41495</v>
      </c>
      <c r="C9033" s="715" t="s">
        <v>165</v>
      </c>
      <c r="D9033" s="716">
        <v>8.94</v>
      </c>
    </row>
    <row r="9034" spans="1:4" ht="42">
      <c r="A9034" s="715">
        <v>98295</v>
      </c>
      <c r="B9034" s="633" t="s">
        <v>41496</v>
      </c>
      <c r="C9034" s="715" t="s">
        <v>165</v>
      </c>
      <c r="D9034" s="716">
        <v>7.16</v>
      </c>
    </row>
    <row r="9035" spans="1:4" ht="42">
      <c r="A9035" s="715">
        <v>98294</v>
      </c>
      <c r="B9035" s="633" t="s">
        <v>41497</v>
      </c>
      <c r="C9035" s="715" t="s">
        <v>165</v>
      </c>
      <c r="D9035" s="716">
        <v>10.26</v>
      </c>
    </row>
    <row r="9036" spans="1:4" ht="42">
      <c r="A9036" s="715">
        <v>98297</v>
      </c>
      <c r="B9036" s="633" t="s">
        <v>41498</v>
      </c>
      <c r="C9036" s="715" t="s">
        <v>165</v>
      </c>
      <c r="D9036" s="716">
        <v>10.029999999999999</v>
      </c>
    </row>
    <row r="9037" spans="1:4" ht="42">
      <c r="A9037" s="715">
        <v>98296</v>
      </c>
      <c r="B9037" s="633" t="s">
        <v>41499</v>
      </c>
      <c r="C9037" s="715" t="s">
        <v>165</v>
      </c>
      <c r="D9037" s="716">
        <v>13.25</v>
      </c>
    </row>
    <row r="9038" spans="1:4" ht="42">
      <c r="A9038" s="715">
        <v>98299</v>
      </c>
      <c r="B9038" s="633" t="s">
        <v>41500</v>
      </c>
      <c r="C9038" s="715" t="s">
        <v>165</v>
      </c>
      <c r="D9038" s="716">
        <v>25.32</v>
      </c>
    </row>
    <row r="9039" spans="1:4" ht="42">
      <c r="A9039" s="715">
        <v>98298</v>
      </c>
      <c r="B9039" s="633" t="s">
        <v>41501</v>
      </c>
      <c r="C9039" s="715" t="s">
        <v>165</v>
      </c>
      <c r="D9039" s="716">
        <v>28.54</v>
      </c>
    </row>
    <row r="9040" spans="1:4" ht="42">
      <c r="A9040" s="715">
        <v>98261</v>
      </c>
      <c r="B9040" s="633" t="s">
        <v>41502</v>
      </c>
      <c r="C9040" s="715" t="s">
        <v>165</v>
      </c>
      <c r="D9040" s="716">
        <v>4.7</v>
      </c>
    </row>
    <row r="9041" spans="1:4" ht="56">
      <c r="A9041" s="715">
        <v>98287</v>
      </c>
      <c r="B9041" s="633" t="s">
        <v>41503</v>
      </c>
      <c r="C9041" s="715" t="s">
        <v>165</v>
      </c>
      <c r="D9041" s="716">
        <v>1.77</v>
      </c>
    </row>
    <row r="9042" spans="1:4" ht="56">
      <c r="A9042" s="715">
        <v>98280</v>
      </c>
      <c r="B9042" s="633" t="s">
        <v>41504</v>
      </c>
      <c r="C9042" s="715" t="s">
        <v>165</v>
      </c>
      <c r="D9042" s="716">
        <v>9.59</v>
      </c>
    </row>
    <row r="9043" spans="1:4" ht="56">
      <c r="A9043" s="715">
        <v>98288</v>
      </c>
      <c r="B9043" s="633" t="s">
        <v>41505</v>
      </c>
      <c r="C9043" s="715" t="s">
        <v>165</v>
      </c>
      <c r="D9043" s="716">
        <v>2.71</v>
      </c>
    </row>
    <row r="9044" spans="1:4" ht="56">
      <c r="A9044" s="715">
        <v>98281</v>
      </c>
      <c r="B9044" s="633" t="s">
        <v>41506</v>
      </c>
      <c r="C9044" s="715" t="s">
        <v>165</v>
      </c>
      <c r="D9044" s="716">
        <v>10.54</v>
      </c>
    </row>
    <row r="9045" spans="1:4" ht="42">
      <c r="A9045" s="715">
        <v>98262</v>
      </c>
      <c r="B9045" s="633" t="s">
        <v>41507</v>
      </c>
      <c r="C9045" s="715" t="s">
        <v>165</v>
      </c>
      <c r="D9045" s="716">
        <v>5.64</v>
      </c>
    </row>
    <row r="9046" spans="1:4" ht="56">
      <c r="A9046" s="715">
        <v>98289</v>
      </c>
      <c r="B9046" s="633" t="s">
        <v>41508</v>
      </c>
      <c r="C9046" s="715" t="s">
        <v>165</v>
      </c>
      <c r="D9046" s="716">
        <v>2.96</v>
      </c>
    </row>
    <row r="9047" spans="1:4" ht="56">
      <c r="A9047" s="715">
        <v>98282</v>
      </c>
      <c r="B9047" s="633" t="s">
        <v>41509</v>
      </c>
      <c r="C9047" s="715" t="s">
        <v>165</v>
      </c>
      <c r="D9047" s="716">
        <v>10.79</v>
      </c>
    </row>
    <row r="9048" spans="1:4" ht="42">
      <c r="A9048" s="715">
        <v>98263</v>
      </c>
      <c r="B9048" s="633" t="s">
        <v>41510</v>
      </c>
      <c r="C9048" s="715" t="s">
        <v>165</v>
      </c>
      <c r="D9048" s="716">
        <v>5.89</v>
      </c>
    </row>
    <row r="9049" spans="1:4" ht="56">
      <c r="A9049" s="715">
        <v>98290</v>
      </c>
      <c r="B9049" s="633" t="s">
        <v>41511</v>
      </c>
      <c r="C9049" s="715" t="s">
        <v>165</v>
      </c>
      <c r="D9049" s="716">
        <v>3.97</v>
      </c>
    </row>
    <row r="9050" spans="1:4" ht="56">
      <c r="A9050" s="715">
        <v>98283</v>
      </c>
      <c r="B9050" s="633" t="s">
        <v>41512</v>
      </c>
      <c r="C9050" s="715" t="s">
        <v>165</v>
      </c>
      <c r="D9050" s="716">
        <v>11.8</v>
      </c>
    </row>
    <row r="9051" spans="1:4" ht="42">
      <c r="A9051" s="715">
        <v>98264</v>
      </c>
      <c r="B9051" s="633" t="s">
        <v>41513</v>
      </c>
      <c r="C9051" s="715" t="s">
        <v>165</v>
      </c>
      <c r="D9051" s="716">
        <v>6.9</v>
      </c>
    </row>
    <row r="9052" spans="1:4" ht="42">
      <c r="A9052" s="715">
        <v>98273</v>
      </c>
      <c r="B9052" s="633" t="s">
        <v>41514</v>
      </c>
      <c r="C9052" s="715" t="s">
        <v>165</v>
      </c>
      <c r="D9052" s="716">
        <v>3.09</v>
      </c>
    </row>
    <row r="9053" spans="1:4" ht="56">
      <c r="A9053" s="715">
        <v>98291</v>
      </c>
      <c r="B9053" s="633" t="s">
        <v>41515</v>
      </c>
      <c r="C9053" s="715" t="s">
        <v>165</v>
      </c>
      <c r="D9053" s="716">
        <v>4.6500000000000004</v>
      </c>
    </row>
    <row r="9054" spans="1:4" ht="56">
      <c r="A9054" s="715">
        <v>98284</v>
      </c>
      <c r="B9054" s="633" t="s">
        <v>41516</v>
      </c>
      <c r="C9054" s="715" t="s">
        <v>165</v>
      </c>
      <c r="D9054" s="716">
        <v>12.49</v>
      </c>
    </row>
    <row r="9055" spans="1:4" ht="42">
      <c r="A9055" s="715">
        <v>98265</v>
      </c>
      <c r="B9055" s="633" t="s">
        <v>41517</v>
      </c>
      <c r="C9055" s="715" t="s">
        <v>165</v>
      </c>
      <c r="D9055" s="716">
        <v>7.59</v>
      </c>
    </row>
    <row r="9056" spans="1:4" ht="42">
      <c r="A9056" s="715">
        <v>98274</v>
      </c>
      <c r="B9056" s="633" t="s">
        <v>41518</v>
      </c>
      <c r="C9056" s="715" t="s">
        <v>165</v>
      </c>
      <c r="D9056" s="716">
        <v>3.78</v>
      </c>
    </row>
    <row r="9057" spans="1:4" ht="56">
      <c r="A9057" s="715">
        <v>98292</v>
      </c>
      <c r="B9057" s="633" t="s">
        <v>41519</v>
      </c>
      <c r="C9057" s="715" t="s">
        <v>165</v>
      </c>
      <c r="D9057" s="716">
        <v>5.55</v>
      </c>
    </row>
    <row r="9058" spans="1:4" ht="56">
      <c r="A9058" s="715">
        <v>98285</v>
      </c>
      <c r="B9058" s="633" t="s">
        <v>41520</v>
      </c>
      <c r="C9058" s="715" t="s">
        <v>165</v>
      </c>
      <c r="D9058" s="716">
        <v>13.38</v>
      </c>
    </row>
    <row r="9059" spans="1:4" ht="42">
      <c r="A9059" s="715">
        <v>98266</v>
      </c>
      <c r="B9059" s="633" t="s">
        <v>41521</v>
      </c>
      <c r="C9059" s="715" t="s">
        <v>165</v>
      </c>
      <c r="D9059" s="716">
        <v>8.49</v>
      </c>
    </row>
    <row r="9060" spans="1:4" ht="42">
      <c r="A9060" s="715">
        <v>98275</v>
      </c>
      <c r="B9060" s="633" t="s">
        <v>41522</v>
      </c>
      <c r="C9060" s="715" t="s">
        <v>165</v>
      </c>
      <c r="D9060" s="716">
        <v>4.68</v>
      </c>
    </row>
    <row r="9061" spans="1:4" ht="42">
      <c r="A9061" s="715">
        <v>98293</v>
      </c>
      <c r="B9061" s="633" t="s">
        <v>41523</v>
      </c>
      <c r="C9061" s="715" t="s">
        <v>165</v>
      </c>
      <c r="D9061" s="716">
        <v>10.220000000000001</v>
      </c>
    </row>
    <row r="9062" spans="1:4" ht="42">
      <c r="A9062" s="715">
        <v>98286</v>
      </c>
      <c r="B9062" s="633" t="s">
        <v>41524</v>
      </c>
      <c r="C9062" s="715" t="s">
        <v>165</v>
      </c>
      <c r="D9062" s="716">
        <v>18.05</v>
      </c>
    </row>
    <row r="9063" spans="1:4" ht="42">
      <c r="A9063" s="715">
        <v>98267</v>
      </c>
      <c r="B9063" s="633" t="s">
        <v>41525</v>
      </c>
      <c r="C9063" s="715" t="s">
        <v>165</v>
      </c>
      <c r="D9063" s="716">
        <v>13.15</v>
      </c>
    </row>
    <row r="9064" spans="1:4" ht="42">
      <c r="A9064" s="715">
        <v>98276</v>
      </c>
      <c r="B9064" s="633" t="s">
        <v>41526</v>
      </c>
      <c r="C9064" s="715" t="s">
        <v>165</v>
      </c>
      <c r="D9064" s="716">
        <v>9.34</v>
      </c>
    </row>
    <row r="9065" spans="1:4" ht="42">
      <c r="A9065" s="715">
        <v>98268</v>
      </c>
      <c r="B9065" s="633" t="s">
        <v>41527</v>
      </c>
      <c r="C9065" s="715" t="s">
        <v>165</v>
      </c>
      <c r="D9065" s="716">
        <v>20.54</v>
      </c>
    </row>
    <row r="9066" spans="1:4" ht="42">
      <c r="A9066" s="715">
        <v>98277</v>
      </c>
      <c r="B9066" s="633" t="s">
        <v>41528</v>
      </c>
      <c r="C9066" s="715" t="s">
        <v>165</v>
      </c>
      <c r="D9066" s="716">
        <v>16.73</v>
      </c>
    </row>
    <row r="9067" spans="1:4" ht="42">
      <c r="A9067" s="715">
        <v>98272</v>
      </c>
      <c r="B9067" s="633" t="s">
        <v>41529</v>
      </c>
      <c r="C9067" s="715" t="s">
        <v>165</v>
      </c>
      <c r="D9067" s="716">
        <v>129.30000000000001</v>
      </c>
    </row>
    <row r="9068" spans="1:4" ht="42">
      <c r="A9068" s="715">
        <v>98269</v>
      </c>
      <c r="B9068" s="633" t="s">
        <v>41530</v>
      </c>
      <c r="C9068" s="715" t="s">
        <v>165</v>
      </c>
      <c r="D9068" s="716">
        <v>27.66</v>
      </c>
    </row>
    <row r="9069" spans="1:4" ht="42">
      <c r="A9069" s="715">
        <v>98278</v>
      </c>
      <c r="B9069" s="633" t="s">
        <v>41531</v>
      </c>
      <c r="C9069" s="715" t="s">
        <v>165</v>
      </c>
      <c r="D9069" s="716">
        <v>23.84</v>
      </c>
    </row>
    <row r="9070" spans="1:4" ht="42">
      <c r="A9070" s="715">
        <v>98270</v>
      </c>
      <c r="B9070" s="633" t="s">
        <v>41532</v>
      </c>
      <c r="C9070" s="715" t="s">
        <v>165</v>
      </c>
      <c r="D9070" s="716">
        <v>41.04</v>
      </c>
    </row>
    <row r="9071" spans="1:4" ht="42">
      <c r="A9071" s="715">
        <v>98279</v>
      </c>
      <c r="B9071" s="633" t="s">
        <v>41533</v>
      </c>
      <c r="C9071" s="715" t="s">
        <v>165</v>
      </c>
      <c r="D9071" s="716">
        <v>37.24</v>
      </c>
    </row>
    <row r="9072" spans="1:4" ht="42">
      <c r="A9072" s="715">
        <v>98271</v>
      </c>
      <c r="B9072" s="633" t="s">
        <v>41534</v>
      </c>
      <c r="C9072" s="715" t="s">
        <v>165</v>
      </c>
      <c r="D9072" s="716">
        <v>57.15</v>
      </c>
    </row>
    <row r="9073" spans="1:4" ht="42">
      <c r="A9073" s="715">
        <v>98400</v>
      </c>
      <c r="B9073" s="633" t="s">
        <v>41535</v>
      </c>
      <c r="C9073" s="715" t="s">
        <v>165</v>
      </c>
      <c r="D9073" s="716">
        <v>15.85</v>
      </c>
    </row>
    <row r="9074" spans="1:4" ht="42">
      <c r="A9074" s="715">
        <v>98401</v>
      </c>
      <c r="B9074" s="633" t="s">
        <v>41536</v>
      </c>
      <c r="C9074" s="715" t="s">
        <v>165</v>
      </c>
      <c r="D9074" s="716">
        <v>24.29</v>
      </c>
    </row>
    <row r="9075" spans="1:4" ht="42">
      <c r="A9075" s="715">
        <v>98402</v>
      </c>
      <c r="B9075" s="633" t="s">
        <v>41537</v>
      </c>
      <c r="C9075" s="715" t="s">
        <v>165</v>
      </c>
      <c r="D9075" s="716">
        <v>28.25</v>
      </c>
    </row>
    <row r="9076" spans="1:4" ht="42">
      <c r="A9076" s="715">
        <v>100556</v>
      </c>
      <c r="B9076" s="633" t="s">
        <v>41538</v>
      </c>
      <c r="C9076" s="715" t="s">
        <v>103</v>
      </c>
      <c r="D9076" s="716">
        <v>35.68</v>
      </c>
    </row>
    <row r="9077" spans="1:4" ht="42">
      <c r="A9077" s="715">
        <v>106083</v>
      </c>
      <c r="B9077" s="633" t="s">
        <v>41539</v>
      </c>
      <c r="C9077" s="715" t="s">
        <v>103</v>
      </c>
      <c r="D9077" s="716">
        <v>0</v>
      </c>
    </row>
    <row r="9078" spans="1:4" ht="42">
      <c r="A9078" s="715">
        <v>100557</v>
      </c>
      <c r="B9078" s="633" t="s">
        <v>41540</v>
      </c>
      <c r="C9078" s="715" t="s">
        <v>103</v>
      </c>
      <c r="D9078" s="716">
        <v>447.24</v>
      </c>
    </row>
    <row r="9079" spans="1:4" ht="42">
      <c r="A9079" s="715">
        <v>106088</v>
      </c>
      <c r="B9079" s="633" t="s">
        <v>41541</v>
      </c>
      <c r="C9079" s="715" t="s">
        <v>103</v>
      </c>
      <c r="D9079" s="716">
        <v>0</v>
      </c>
    </row>
    <row r="9080" spans="1:4" ht="42">
      <c r="A9080" s="715">
        <v>106081</v>
      </c>
      <c r="B9080" s="633" t="s">
        <v>41542</v>
      </c>
      <c r="C9080" s="715" t="s">
        <v>103</v>
      </c>
      <c r="D9080" s="716">
        <v>0</v>
      </c>
    </row>
    <row r="9081" spans="1:4" ht="42">
      <c r="A9081" s="715">
        <v>106080</v>
      </c>
      <c r="B9081" s="633" t="s">
        <v>41543</v>
      </c>
      <c r="C9081" s="715" t="s">
        <v>103</v>
      </c>
      <c r="D9081" s="716">
        <v>0</v>
      </c>
    </row>
    <row r="9082" spans="1:4" ht="28">
      <c r="A9082" s="715">
        <v>98301</v>
      </c>
      <c r="B9082" s="633" t="s">
        <v>41544</v>
      </c>
      <c r="C9082" s="715" t="s">
        <v>103</v>
      </c>
      <c r="D9082" s="716">
        <v>696</v>
      </c>
    </row>
    <row r="9083" spans="1:4" ht="28">
      <c r="A9083" s="715">
        <v>98302</v>
      </c>
      <c r="B9083" s="633" t="s">
        <v>41545</v>
      </c>
      <c r="C9083" s="715" t="s">
        <v>103</v>
      </c>
      <c r="D9083" s="716">
        <v>1174.25</v>
      </c>
    </row>
    <row r="9084" spans="1:4" ht="28">
      <c r="A9084" s="715">
        <v>98593</v>
      </c>
      <c r="B9084" s="633" t="s">
        <v>41546</v>
      </c>
      <c r="C9084" s="715" t="s">
        <v>103</v>
      </c>
      <c r="D9084" s="716">
        <v>2531.77</v>
      </c>
    </row>
    <row r="9085" spans="1:4" ht="28">
      <c r="A9085" s="715">
        <v>98304</v>
      </c>
      <c r="B9085" s="633" t="s">
        <v>41547</v>
      </c>
      <c r="C9085" s="715" t="s">
        <v>103</v>
      </c>
      <c r="D9085" s="716">
        <v>3506.94</v>
      </c>
    </row>
    <row r="9086" spans="1:4" ht="42">
      <c r="A9086" s="715">
        <v>106079</v>
      </c>
      <c r="B9086" s="633" t="s">
        <v>41548</v>
      </c>
      <c r="C9086" s="715" t="s">
        <v>103</v>
      </c>
      <c r="D9086" s="716">
        <v>0</v>
      </c>
    </row>
    <row r="9087" spans="1:4" ht="56">
      <c r="A9087" s="715">
        <v>100561</v>
      </c>
      <c r="B9087" s="633" t="s">
        <v>41549</v>
      </c>
      <c r="C9087" s="715" t="s">
        <v>103</v>
      </c>
      <c r="D9087" s="716">
        <v>164.24</v>
      </c>
    </row>
    <row r="9088" spans="1:4" ht="56">
      <c r="A9088" s="715">
        <v>100562</v>
      </c>
      <c r="B9088" s="633" t="s">
        <v>41550</v>
      </c>
      <c r="C9088" s="715" t="s">
        <v>103</v>
      </c>
      <c r="D9088" s="716">
        <v>257.55</v>
      </c>
    </row>
    <row r="9089" spans="1:4" ht="56">
      <c r="A9089" s="715">
        <v>100560</v>
      </c>
      <c r="B9089" s="633" t="s">
        <v>41551</v>
      </c>
      <c r="C9089" s="715" t="s">
        <v>103</v>
      </c>
      <c r="D9089" s="716">
        <v>87.89</v>
      </c>
    </row>
    <row r="9090" spans="1:4" ht="56">
      <c r="A9090" s="715">
        <v>100563</v>
      </c>
      <c r="B9090" s="633" t="s">
        <v>41552</v>
      </c>
      <c r="C9090" s="715" t="s">
        <v>103</v>
      </c>
      <c r="D9090" s="716">
        <v>374.34</v>
      </c>
    </row>
    <row r="9091" spans="1:4" ht="28">
      <c r="A9091" s="715">
        <v>100555</v>
      </c>
      <c r="B9091" s="633" t="s">
        <v>41553</v>
      </c>
      <c r="C9091" s="715" t="s">
        <v>103</v>
      </c>
      <c r="D9091" s="716">
        <v>1207.78</v>
      </c>
    </row>
    <row r="9092" spans="1:4" ht="42">
      <c r="A9092" s="715">
        <v>106084</v>
      </c>
      <c r="B9092" s="633" t="s">
        <v>41554</v>
      </c>
      <c r="C9092" s="715" t="s">
        <v>103</v>
      </c>
      <c r="D9092" s="716">
        <v>0</v>
      </c>
    </row>
    <row r="9093" spans="1:4" ht="42">
      <c r="A9093" s="715">
        <v>106087</v>
      </c>
      <c r="B9093" s="633" t="s">
        <v>41555</v>
      </c>
      <c r="C9093" s="715" t="s">
        <v>103</v>
      </c>
      <c r="D9093" s="716">
        <v>0</v>
      </c>
    </row>
    <row r="9094" spans="1:4" ht="42">
      <c r="A9094" s="715">
        <v>106085</v>
      </c>
      <c r="B9094" s="633" t="s">
        <v>41556</v>
      </c>
      <c r="C9094" s="715" t="s">
        <v>103</v>
      </c>
      <c r="D9094" s="716">
        <v>0</v>
      </c>
    </row>
    <row r="9095" spans="1:4" ht="42">
      <c r="A9095" s="715">
        <v>106086</v>
      </c>
      <c r="B9095" s="633" t="s">
        <v>41557</v>
      </c>
      <c r="C9095" s="715" t="s">
        <v>103</v>
      </c>
      <c r="D9095" s="716">
        <v>0</v>
      </c>
    </row>
    <row r="9096" spans="1:4" ht="28">
      <c r="A9096" s="715">
        <v>98305</v>
      </c>
      <c r="B9096" s="633" t="s">
        <v>41558</v>
      </c>
      <c r="C9096" s="715" t="s">
        <v>103</v>
      </c>
      <c r="D9096" s="716">
        <v>2387.27</v>
      </c>
    </row>
    <row r="9097" spans="1:4" ht="28">
      <c r="A9097" s="715">
        <v>98307</v>
      </c>
      <c r="B9097" s="633" t="s">
        <v>41559</v>
      </c>
      <c r="C9097" s="715" t="s">
        <v>103</v>
      </c>
      <c r="D9097" s="716">
        <v>70.52</v>
      </c>
    </row>
    <row r="9098" spans="1:4" ht="28">
      <c r="A9098" s="715">
        <v>98308</v>
      </c>
      <c r="B9098" s="633" t="s">
        <v>41560</v>
      </c>
      <c r="C9098" s="715" t="s">
        <v>103</v>
      </c>
      <c r="D9098" s="716">
        <v>53.24</v>
      </c>
    </row>
    <row r="9099" spans="1:4" ht="28">
      <c r="A9099" s="715">
        <v>106077</v>
      </c>
      <c r="B9099" s="633" t="s">
        <v>41561</v>
      </c>
      <c r="C9099" s="715" t="s">
        <v>103</v>
      </c>
      <c r="D9099" s="716">
        <v>0</v>
      </c>
    </row>
    <row r="9100" spans="1:4" ht="28">
      <c r="A9100" s="715">
        <v>106078</v>
      </c>
      <c r="B9100" s="633" t="s">
        <v>41562</v>
      </c>
      <c r="C9100" s="715" t="s">
        <v>103</v>
      </c>
      <c r="D9100" s="716">
        <v>0</v>
      </c>
    </row>
    <row r="9101" spans="1:4" ht="56">
      <c r="A9101" s="715">
        <v>103401</v>
      </c>
      <c r="B9101" s="633" t="s">
        <v>24119</v>
      </c>
      <c r="C9101" s="715" t="s">
        <v>103</v>
      </c>
      <c r="D9101" s="716">
        <v>29.9</v>
      </c>
    </row>
    <row r="9102" spans="1:4" ht="56">
      <c r="A9102" s="715">
        <v>103402</v>
      </c>
      <c r="B9102" s="633" t="s">
        <v>24120</v>
      </c>
      <c r="C9102" s="715" t="s">
        <v>103</v>
      </c>
      <c r="D9102" s="716">
        <v>43.5</v>
      </c>
    </row>
    <row r="9103" spans="1:4" ht="56">
      <c r="A9103" s="715">
        <v>103403</v>
      </c>
      <c r="B9103" s="633" t="s">
        <v>24121</v>
      </c>
      <c r="C9103" s="715" t="s">
        <v>103</v>
      </c>
      <c r="D9103" s="716">
        <v>48.93</v>
      </c>
    </row>
    <row r="9104" spans="1:4" ht="56">
      <c r="A9104" s="715">
        <v>103397</v>
      </c>
      <c r="B9104" s="633" t="s">
        <v>24115</v>
      </c>
      <c r="C9104" s="715" t="s">
        <v>103</v>
      </c>
      <c r="D9104" s="716">
        <v>5.43</v>
      </c>
    </row>
    <row r="9105" spans="1:4" ht="56">
      <c r="A9105" s="715">
        <v>103404</v>
      </c>
      <c r="B9105" s="633" t="s">
        <v>24122</v>
      </c>
      <c r="C9105" s="715" t="s">
        <v>103</v>
      </c>
      <c r="D9105" s="716">
        <v>54.38</v>
      </c>
    </row>
    <row r="9106" spans="1:4" ht="56">
      <c r="A9106" s="715">
        <v>103405</v>
      </c>
      <c r="B9106" s="633" t="s">
        <v>24123</v>
      </c>
      <c r="C9106" s="715" t="s">
        <v>103</v>
      </c>
      <c r="D9106" s="716">
        <v>61.17</v>
      </c>
    </row>
    <row r="9107" spans="1:4" ht="56">
      <c r="A9107" s="715">
        <v>103406</v>
      </c>
      <c r="B9107" s="633" t="s">
        <v>24124</v>
      </c>
      <c r="C9107" s="715" t="s">
        <v>103</v>
      </c>
      <c r="D9107" s="716">
        <v>67.97</v>
      </c>
    </row>
    <row r="9108" spans="1:4" ht="56">
      <c r="A9108" s="715">
        <v>103407</v>
      </c>
      <c r="B9108" s="633" t="s">
        <v>24125</v>
      </c>
      <c r="C9108" s="715" t="s">
        <v>103</v>
      </c>
      <c r="D9108" s="716">
        <v>76.12</v>
      </c>
    </row>
    <row r="9109" spans="1:4" ht="56">
      <c r="A9109" s="715">
        <v>103408</v>
      </c>
      <c r="B9109" s="633" t="s">
        <v>24126</v>
      </c>
      <c r="C9109" s="715" t="s">
        <v>103</v>
      </c>
      <c r="D9109" s="716">
        <v>85.65</v>
      </c>
    </row>
    <row r="9110" spans="1:4" ht="56">
      <c r="A9110" s="715">
        <v>103398</v>
      </c>
      <c r="B9110" s="633" t="s">
        <v>24116</v>
      </c>
      <c r="C9110" s="715" t="s">
        <v>103</v>
      </c>
      <c r="D9110" s="716">
        <v>8.69</v>
      </c>
    </row>
    <row r="9111" spans="1:4" ht="56">
      <c r="A9111" s="715">
        <v>103409</v>
      </c>
      <c r="B9111" s="633" t="s">
        <v>24127</v>
      </c>
      <c r="C9111" s="715" t="s">
        <v>103</v>
      </c>
      <c r="D9111" s="716">
        <v>96.52</v>
      </c>
    </row>
    <row r="9112" spans="1:4" ht="56">
      <c r="A9112" s="715">
        <v>103410</v>
      </c>
      <c r="B9112" s="633" t="s">
        <v>24128</v>
      </c>
      <c r="C9112" s="715" t="s">
        <v>103</v>
      </c>
      <c r="D9112" s="716">
        <v>108.75</v>
      </c>
    </row>
    <row r="9113" spans="1:4" ht="56">
      <c r="A9113" s="715">
        <v>103399</v>
      </c>
      <c r="B9113" s="633" t="s">
        <v>24117</v>
      </c>
      <c r="C9113" s="715" t="s">
        <v>103</v>
      </c>
      <c r="D9113" s="716">
        <v>17.12</v>
      </c>
    </row>
    <row r="9114" spans="1:4" ht="56">
      <c r="A9114" s="715">
        <v>103400</v>
      </c>
      <c r="B9114" s="633" t="s">
        <v>24118</v>
      </c>
      <c r="C9114" s="715" t="s">
        <v>103</v>
      </c>
      <c r="D9114" s="716">
        <v>24.46</v>
      </c>
    </row>
    <row r="9115" spans="1:4" ht="56">
      <c r="A9115" s="715">
        <v>103415</v>
      </c>
      <c r="B9115" s="633" t="s">
        <v>24133</v>
      </c>
      <c r="C9115" s="715" t="s">
        <v>103</v>
      </c>
      <c r="D9115" s="716">
        <v>59.81</v>
      </c>
    </row>
    <row r="9116" spans="1:4" ht="56">
      <c r="A9116" s="715">
        <v>103416</v>
      </c>
      <c r="B9116" s="633" t="s">
        <v>24134</v>
      </c>
      <c r="C9116" s="715" t="s">
        <v>103</v>
      </c>
      <c r="D9116" s="716">
        <v>87</v>
      </c>
    </row>
    <row r="9117" spans="1:4" ht="56">
      <c r="A9117" s="715">
        <v>103417</v>
      </c>
      <c r="B9117" s="633" t="s">
        <v>24135</v>
      </c>
      <c r="C9117" s="715" t="s">
        <v>103</v>
      </c>
      <c r="D9117" s="716">
        <v>97.88</v>
      </c>
    </row>
    <row r="9118" spans="1:4" ht="56">
      <c r="A9118" s="715">
        <v>103411</v>
      </c>
      <c r="B9118" s="633" t="s">
        <v>24129</v>
      </c>
      <c r="C9118" s="715" t="s">
        <v>103</v>
      </c>
      <c r="D9118" s="716">
        <v>10.86</v>
      </c>
    </row>
    <row r="9119" spans="1:4" ht="56">
      <c r="A9119" s="715">
        <v>103418</v>
      </c>
      <c r="B9119" s="633" t="s">
        <v>24136</v>
      </c>
      <c r="C9119" s="715" t="s">
        <v>103</v>
      </c>
      <c r="D9119" s="716">
        <v>108.75</v>
      </c>
    </row>
    <row r="9120" spans="1:4" ht="56">
      <c r="A9120" s="715">
        <v>103419</v>
      </c>
      <c r="B9120" s="633" t="s">
        <v>24137</v>
      </c>
      <c r="C9120" s="715" t="s">
        <v>103</v>
      </c>
      <c r="D9120" s="716">
        <v>122.35</v>
      </c>
    </row>
    <row r="9121" spans="1:4" ht="56">
      <c r="A9121" s="715">
        <v>103420</v>
      </c>
      <c r="B9121" s="633" t="s">
        <v>24138</v>
      </c>
      <c r="C9121" s="715" t="s">
        <v>103</v>
      </c>
      <c r="D9121" s="716">
        <v>135.94</v>
      </c>
    </row>
    <row r="9122" spans="1:4" ht="56">
      <c r="A9122" s="715">
        <v>103421</v>
      </c>
      <c r="B9122" s="633" t="s">
        <v>24139</v>
      </c>
      <c r="C9122" s="715" t="s">
        <v>103</v>
      </c>
      <c r="D9122" s="716">
        <v>152.26</v>
      </c>
    </row>
    <row r="9123" spans="1:4" ht="56">
      <c r="A9123" s="715">
        <v>103422</v>
      </c>
      <c r="B9123" s="633" t="s">
        <v>24140</v>
      </c>
      <c r="C9123" s="715" t="s">
        <v>103</v>
      </c>
      <c r="D9123" s="716">
        <v>171.29</v>
      </c>
    </row>
    <row r="9124" spans="1:4" ht="56">
      <c r="A9124" s="715">
        <v>103412</v>
      </c>
      <c r="B9124" s="633" t="s">
        <v>24130</v>
      </c>
      <c r="C9124" s="715" t="s">
        <v>103</v>
      </c>
      <c r="D9124" s="716">
        <v>17.39</v>
      </c>
    </row>
    <row r="9125" spans="1:4" ht="56">
      <c r="A9125" s="715">
        <v>103423</v>
      </c>
      <c r="B9125" s="633" t="s">
        <v>24141</v>
      </c>
      <c r="C9125" s="715" t="s">
        <v>103</v>
      </c>
      <c r="D9125" s="716">
        <v>193.05</v>
      </c>
    </row>
    <row r="9126" spans="1:4" ht="56">
      <c r="A9126" s="715">
        <v>103424</v>
      </c>
      <c r="B9126" s="633" t="s">
        <v>24142</v>
      </c>
      <c r="C9126" s="715" t="s">
        <v>103</v>
      </c>
      <c r="D9126" s="716">
        <v>217.52</v>
      </c>
    </row>
    <row r="9127" spans="1:4" ht="56">
      <c r="A9127" s="715">
        <v>103413</v>
      </c>
      <c r="B9127" s="633" t="s">
        <v>24131</v>
      </c>
      <c r="C9127" s="715" t="s">
        <v>103</v>
      </c>
      <c r="D9127" s="716">
        <v>34.25</v>
      </c>
    </row>
    <row r="9128" spans="1:4" ht="56">
      <c r="A9128" s="715">
        <v>103414</v>
      </c>
      <c r="B9128" s="633" t="s">
        <v>24132</v>
      </c>
      <c r="C9128" s="715" t="s">
        <v>103</v>
      </c>
      <c r="D9128" s="716">
        <v>48.93</v>
      </c>
    </row>
    <row r="9129" spans="1:4" ht="56">
      <c r="A9129" s="715">
        <v>103432</v>
      </c>
      <c r="B9129" s="633" t="s">
        <v>24150</v>
      </c>
      <c r="C9129" s="715" t="s">
        <v>103</v>
      </c>
      <c r="D9129" s="716">
        <v>1686.58</v>
      </c>
    </row>
    <row r="9130" spans="1:4" ht="56">
      <c r="A9130" s="715">
        <v>103430</v>
      </c>
      <c r="B9130" s="633" t="s">
        <v>24148</v>
      </c>
      <c r="C9130" s="715" t="s">
        <v>103</v>
      </c>
      <c r="D9130" s="716">
        <v>38.03</v>
      </c>
    </row>
    <row r="9131" spans="1:4" ht="56">
      <c r="A9131" s="715">
        <v>103431</v>
      </c>
      <c r="B9131" s="633" t="s">
        <v>24149</v>
      </c>
      <c r="C9131" s="715" t="s">
        <v>103</v>
      </c>
      <c r="D9131" s="716">
        <v>67.2</v>
      </c>
    </row>
    <row r="9132" spans="1:4" ht="56">
      <c r="A9132" s="715">
        <v>103433</v>
      </c>
      <c r="B9132" s="633" t="s">
        <v>24151</v>
      </c>
      <c r="C9132" s="715" t="s">
        <v>103</v>
      </c>
      <c r="D9132" s="716">
        <v>36.71</v>
      </c>
    </row>
    <row r="9133" spans="1:4" ht="56">
      <c r="A9133" s="715">
        <v>103434</v>
      </c>
      <c r="B9133" s="633" t="s">
        <v>24152</v>
      </c>
      <c r="C9133" s="715" t="s">
        <v>103</v>
      </c>
      <c r="D9133" s="716">
        <v>51.13</v>
      </c>
    </row>
    <row r="9134" spans="1:4" ht="56">
      <c r="A9134" s="715">
        <v>103435</v>
      </c>
      <c r="B9134" s="633" t="s">
        <v>24153</v>
      </c>
      <c r="C9134" s="715" t="s">
        <v>103</v>
      </c>
      <c r="D9134" s="716">
        <v>95.4</v>
      </c>
    </row>
    <row r="9135" spans="1:4" ht="70">
      <c r="A9135" s="715">
        <v>103436</v>
      </c>
      <c r="B9135" s="633" t="s">
        <v>24154</v>
      </c>
      <c r="C9135" s="715" t="s">
        <v>103</v>
      </c>
      <c r="D9135" s="716">
        <v>2382.12</v>
      </c>
    </row>
    <row r="9136" spans="1:4" ht="56">
      <c r="A9136" s="715">
        <v>103482</v>
      </c>
      <c r="B9136" s="633" t="s">
        <v>34392</v>
      </c>
      <c r="C9136" s="715" t="s">
        <v>103</v>
      </c>
      <c r="D9136" s="716">
        <v>0</v>
      </c>
    </row>
    <row r="9137" spans="1:4" ht="56">
      <c r="A9137" s="715">
        <v>103465</v>
      </c>
      <c r="B9137" s="633" t="s">
        <v>34393</v>
      </c>
      <c r="C9137" s="715" t="s">
        <v>103</v>
      </c>
      <c r="D9137" s="716">
        <v>0</v>
      </c>
    </row>
    <row r="9138" spans="1:4" ht="56">
      <c r="A9138" s="715">
        <v>103483</v>
      </c>
      <c r="B9138" s="633" t="s">
        <v>34394</v>
      </c>
      <c r="C9138" s="715" t="s">
        <v>103</v>
      </c>
      <c r="D9138" s="716">
        <v>0</v>
      </c>
    </row>
    <row r="9139" spans="1:4" ht="56">
      <c r="A9139" s="715">
        <v>103484</v>
      </c>
      <c r="B9139" s="633" t="s">
        <v>34395</v>
      </c>
      <c r="C9139" s="715" t="s">
        <v>103</v>
      </c>
      <c r="D9139" s="716">
        <v>0</v>
      </c>
    </row>
    <row r="9140" spans="1:4" ht="56">
      <c r="A9140" s="715">
        <v>103466</v>
      </c>
      <c r="B9140" s="633" t="s">
        <v>34396</v>
      </c>
      <c r="C9140" s="715" t="s">
        <v>103</v>
      </c>
      <c r="D9140" s="716">
        <v>0</v>
      </c>
    </row>
    <row r="9141" spans="1:4" ht="56">
      <c r="A9141" s="715">
        <v>103485</v>
      </c>
      <c r="B9141" s="633" t="s">
        <v>34397</v>
      </c>
      <c r="C9141" s="715" t="s">
        <v>103</v>
      </c>
      <c r="D9141" s="716">
        <v>0</v>
      </c>
    </row>
    <row r="9142" spans="1:4" ht="56">
      <c r="A9142" s="715">
        <v>103467</v>
      </c>
      <c r="B9142" s="633" t="s">
        <v>34398</v>
      </c>
      <c r="C9142" s="715" t="s">
        <v>103</v>
      </c>
      <c r="D9142" s="716">
        <v>0</v>
      </c>
    </row>
    <row r="9143" spans="1:4" ht="56">
      <c r="A9143" s="715">
        <v>103461</v>
      </c>
      <c r="B9143" s="633" t="s">
        <v>34399</v>
      </c>
      <c r="C9143" s="715" t="s">
        <v>103</v>
      </c>
      <c r="D9143" s="716">
        <v>0</v>
      </c>
    </row>
    <row r="9144" spans="1:4" ht="56">
      <c r="A9144" s="715">
        <v>103468</v>
      </c>
      <c r="B9144" s="633" t="s">
        <v>34400</v>
      </c>
      <c r="C9144" s="715" t="s">
        <v>103</v>
      </c>
      <c r="D9144" s="716">
        <v>0</v>
      </c>
    </row>
    <row r="9145" spans="1:4" ht="56">
      <c r="A9145" s="715">
        <v>103469</v>
      </c>
      <c r="B9145" s="633" t="s">
        <v>34401</v>
      </c>
      <c r="C9145" s="715" t="s">
        <v>103</v>
      </c>
      <c r="D9145" s="716">
        <v>0</v>
      </c>
    </row>
    <row r="9146" spans="1:4" ht="56">
      <c r="A9146" s="715">
        <v>103470</v>
      </c>
      <c r="B9146" s="633" t="s">
        <v>34402</v>
      </c>
      <c r="C9146" s="715" t="s">
        <v>103</v>
      </c>
      <c r="D9146" s="716">
        <v>0</v>
      </c>
    </row>
    <row r="9147" spans="1:4" ht="56">
      <c r="A9147" s="715">
        <v>103471</v>
      </c>
      <c r="B9147" s="633" t="s">
        <v>34403</v>
      </c>
      <c r="C9147" s="715" t="s">
        <v>103</v>
      </c>
      <c r="D9147" s="716">
        <v>0</v>
      </c>
    </row>
    <row r="9148" spans="1:4" ht="56">
      <c r="A9148" s="715">
        <v>103472</v>
      </c>
      <c r="B9148" s="633" t="s">
        <v>34404</v>
      </c>
      <c r="C9148" s="715" t="s">
        <v>103</v>
      </c>
      <c r="D9148" s="716">
        <v>0</v>
      </c>
    </row>
    <row r="9149" spans="1:4" ht="56">
      <c r="A9149" s="715">
        <v>103462</v>
      </c>
      <c r="B9149" s="633" t="s">
        <v>34405</v>
      </c>
      <c r="C9149" s="715" t="s">
        <v>103</v>
      </c>
      <c r="D9149" s="716">
        <v>0</v>
      </c>
    </row>
    <row r="9150" spans="1:4" ht="56">
      <c r="A9150" s="715">
        <v>103473</v>
      </c>
      <c r="B9150" s="633" t="s">
        <v>34406</v>
      </c>
      <c r="C9150" s="715" t="s">
        <v>103</v>
      </c>
      <c r="D9150" s="716">
        <v>0</v>
      </c>
    </row>
    <row r="9151" spans="1:4" ht="56">
      <c r="A9151" s="715">
        <v>103474</v>
      </c>
      <c r="B9151" s="633" t="s">
        <v>34407</v>
      </c>
      <c r="C9151" s="715" t="s">
        <v>103</v>
      </c>
      <c r="D9151" s="716">
        <v>0</v>
      </c>
    </row>
    <row r="9152" spans="1:4" ht="56">
      <c r="A9152" s="715">
        <v>103475</v>
      </c>
      <c r="B9152" s="633" t="s">
        <v>34408</v>
      </c>
      <c r="C9152" s="715" t="s">
        <v>103</v>
      </c>
      <c r="D9152" s="716">
        <v>0</v>
      </c>
    </row>
    <row r="9153" spans="1:4" ht="56">
      <c r="A9153" s="715">
        <v>103476</v>
      </c>
      <c r="B9153" s="633" t="s">
        <v>34409</v>
      </c>
      <c r="C9153" s="715" t="s">
        <v>103</v>
      </c>
      <c r="D9153" s="716">
        <v>0</v>
      </c>
    </row>
    <row r="9154" spans="1:4" ht="56">
      <c r="A9154" s="715">
        <v>103477</v>
      </c>
      <c r="B9154" s="633" t="s">
        <v>34410</v>
      </c>
      <c r="C9154" s="715" t="s">
        <v>103</v>
      </c>
      <c r="D9154" s="716">
        <v>0</v>
      </c>
    </row>
    <row r="9155" spans="1:4" ht="56">
      <c r="A9155" s="715">
        <v>103463</v>
      </c>
      <c r="B9155" s="633" t="s">
        <v>34411</v>
      </c>
      <c r="C9155" s="715" t="s">
        <v>103</v>
      </c>
      <c r="D9155" s="716">
        <v>0</v>
      </c>
    </row>
    <row r="9156" spans="1:4" ht="56">
      <c r="A9156" s="715">
        <v>103478</v>
      </c>
      <c r="B9156" s="633" t="s">
        <v>34412</v>
      </c>
      <c r="C9156" s="715" t="s">
        <v>103</v>
      </c>
      <c r="D9156" s="716">
        <v>0</v>
      </c>
    </row>
    <row r="9157" spans="1:4" ht="56">
      <c r="A9157" s="715">
        <v>103479</v>
      </c>
      <c r="B9157" s="633" t="s">
        <v>34413</v>
      </c>
      <c r="C9157" s="715" t="s">
        <v>103</v>
      </c>
      <c r="D9157" s="716">
        <v>0</v>
      </c>
    </row>
    <row r="9158" spans="1:4" ht="56">
      <c r="A9158" s="715">
        <v>103480</v>
      </c>
      <c r="B9158" s="633" t="s">
        <v>34414</v>
      </c>
      <c r="C9158" s="715" t="s">
        <v>103</v>
      </c>
      <c r="D9158" s="716">
        <v>0</v>
      </c>
    </row>
    <row r="9159" spans="1:4" ht="56">
      <c r="A9159" s="715">
        <v>103464</v>
      </c>
      <c r="B9159" s="633" t="s">
        <v>34415</v>
      </c>
      <c r="C9159" s="715" t="s">
        <v>103</v>
      </c>
      <c r="D9159" s="716">
        <v>0</v>
      </c>
    </row>
    <row r="9160" spans="1:4" ht="56">
      <c r="A9160" s="715">
        <v>103481</v>
      </c>
      <c r="B9160" s="633" t="s">
        <v>34416</v>
      </c>
      <c r="C9160" s="715" t="s">
        <v>103</v>
      </c>
      <c r="D9160" s="716">
        <v>0</v>
      </c>
    </row>
    <row r="9161" spans="1:4" ht="56">
      <c r="A9161" s="715">
        <v>103459</v>
      </c>
      <c r="B9161" s="633" t="s">
        <v>34417</v>
      </c>
      <c r="C9161" s="715" t="s">
        <v>103</v>
      </c>
      <c r="D9161" s="716">
        <v>0</v>
      </c>
    </row>
    <row r="9162" spans="1:4" ht="56">
      <c r="A9162" s="715">
        <v>103460</v>
      </c>
      <c r="B9162" s="633" t="s">
        <v>34418</v>
      </c>
      <c r="C9162" s="715" t="s">
        <v>103</v>
      </c>
      <c r="D9162" s="716">
        <v>0</v>
      </c>
    </row>
    <row r="9163" spans="1:4" ht="56">
      <c r="A9163" s="715">
        <v>103443</v>
      </c>
      <c r="B9163" s="633" t="s">
        <v>34419</v>
      </c>
      <c r="C9163" s="715" t="s">
        <v>103</v>
      </c>
      <c r="D9163" s="716">
        <v>0</v>
      </c>
    </row>
    <row r="9164" spans="1:4" ht="56">
      <c r="A9164" s="715">
        <v>103444</v>
      </c>
      <c r="B9164" s="633" t="s">
        <v>34420</v>
      </c>
      <c r="C9164" s="715" t="s">
        <v>103</v>
      </c>
      <c r="D9164" s="716">
        <v>0</v>
      </c>
    </row>
    <row r="9165" spans="1:4" ht="56">
      <c r="A9165" s="715">
        <v>103445</v>
      </c>
      <c r="B9165" s="633" t="s">
        <v>34421</v>
      </c>
      <c r="C9165" s="715" t="s">
        <v>103</v>
      </c>
      <c r="D9165" s="716">
        <v>0</v>
      </c>
    </row>
    <row r="9166" spans="1:4" ht="56">
      <c r="A9166" s="715">
        <v>103446</v>
      </c>
      <c r="B9166" s="633" t="s">
        <v>34422</v>
      </c>
      <c r="C9166" s="715" t="s">
        <v>103</v>
      </c>
      <c r="D9166" s="716">
        <v>0</v>
      </c>
    </row>
    <row r="9167" spans="1:4" ht="56">
      <c r="A9167" s="715">
        <v>103447</v>
      </c>
      <c r="B9167" s="633" t="s">
        <v>34423</v>
      </c>
      <c r="C9167" s="715" t="s">
        <v>103</v>
      </c>
      <c r="D9167" s="716">
        <v>0</v>
      </c>
    </row>
    <row r="9168" spans="1:4" ht="56">
      <c r="A9168" s="715">
        <v>103448</v>
      </c>
      <c r="B9168" s="633" t="s">
        <v>34424</v>
      </c>
      <c r="C9168" s="715" t="s">
        <v>103</v>
      </c>
      <c r="D9168" s="716">
        <v>0</v>
      </c>
    </row>
    <row r="9169" spans="1:4" ht="56">
      <c r="A9169" s="715">
        <v>103449</v>
      </c>
      <c r="B9169" s="633" t="s">
        <v>34425</v>
      </c>
      <c r="C9169" s="715" t="s">
        <v>103</v>
      </c>
      <c r="D9169" s="716">
        <v>0</v>
      </c>
    </row>
    <row r="9170" spans="1:4" ht="56">
      <c r="A9170" s="715">
        <v>103450</v>
      </c>
      <c r="B9170" s="633" t="s">
        <v>34426</v>
      </c>
      <c r="C9170" s="715" t="s">
        <v>103</v>
      </c>
      <c r="D9170" s="716">
        <v>0</v>
      </c>
    </row>
    <row r="9171" spans="1:4" ht="56">
      <c r="A9171" s="715">
        <v>103451</v>
      </c>
      <c r="B9171" s="633" t="s">
        <v>34427</v>
      </c>
      <c r="C9171" s="715" t="s">
        <v>103</v>
      </c>
      <c r="D9171" s="716">
        <v>0</v>
      </c>
    </row>
    <row r="9172" spans="1:4" ht="56">
      <c r="A9172" s="715">
        <v>103452</v>
      </c>
      <c r="B9172" s="633" t="s">
        <v>34428</v>
      </c>
      <c r="C9172" s="715" t="s">
        <v>103</v>
      </c>
      <c r="D9172" s="716">
        <v>0</v>
      </c>
    </row>
    <row r="9173" spans="1:4" ht="56">
      <c r="A9173" s="715">
        <v>103453</v>
      </c>
      <c r="B9173" s="633" t="s">
        <v>34429</v>
      </c>
      <c r="C9173" s="715" t="s">
        <v>103</v>
      </c>
      <c r="D9173" s="716">
        <v>0</v>
      </c>
    </row>
    <row r="9174" spans="1:4" ht="56">
      <c r="A9174" s="715">
        <v>103454</v>
      </c>
      <c r="B9174" s="633" t="s">
        <v>34430</v>
      </c>
      <c r="C9174" s="715" t="s">
        <v>103</v>
      </c>
      <c r="D9174" s="716">
        <v>0</v>
      </c>
    </row>
    <row r="9175" spans="1:4" ht="56">
      <c r="A9175" s="715">
        <v>103455</v>
      </c>
      <c r="B9175" s="633" t="s">
        <v>34431</v>
      </c>
      <c r="C9175" s="715" t="s">
        <v>103</v>
      </c>
      <c r="D9175" s="716">
        <v>0</v>
      </c>
    </row>
    <row r="9176" spans="1:4" ht="56">
      <c r="A9176" s="715">
        <v>103456</v>
      </c>
      <c r="B9176" s="633" t="s">
        <v>34432</v>
      </c>
      <c r="C9176" s="715" t="s">
        <v>103</v>
      </c>
      <c r="D9176" s="716">
        <v>0</v>
      </c>
    </row>
    <row r="9177" spans="1:4" ht="56">
      <c r="A9177" s="715">
        <v>103457</v>
      </c>
      <c r="B9177" s="633" t="s">
        <v>34433</v>
      </c>
      <c r="C9177" s="715" t="s">
        <v>103</v>
      </c>
      <c r="D9177" s="716">
        <v>0</v>
      </c>
    </row>
    <row r="9178" spans="1:4" ht="56">
      <c r="A9178" s="715">
        <v>103458</v>
      </c>
      <c r="B9178" s="633" t="s">
        <v>34434</v>
      </c>
      <c r="C9178" s="715" t="s">
        <v>103</v>
      </c>
      <c r="D9178" s="716">
        <v>0</v>
      </c>
    </row>
    <row r="9179" spans="1:4" ht="56">
      <c r="A9179" s="715">
        <v>103425</v>
      </c>
      <c r="B9179" s="633" t="s">
        <v>24143</v>
      </c>
      <c r="C9179" s="715" t="s">
        <v>103</v>
      </c>
      <c r="D9179" s="716">
        <v>18.100000000000001</v>
      </c>
    </row>
    <row r="9180" spans="1:4" ht="56">
      <c r="A9180" s="715">
        <v>103428</v>
      </c>
      <c r="B9180" s="633" t="s">
        <v>24146</v>
      </c>
      <c r="C9180" s="715" t="s">
        <v>103</v>
      </c>
      <c r="D9180" s="716">
        <v>281.01</v>
      </c>
    </row>
    <row r="9181" spans="1:4" ht="56">
      <c r="A9181" s="715">
        <v>103426</v>
      </c>
      <c r="B9181" s="633" t="s">
        <v>24144</v>
      </c>
      <c r="C9181" s="715" t="s">
        <v>103</v>
      </c>
      <c r="D9181" s="716">
        <v>22.34</v>
      </c>
    </row>
    <row r="9182" spans="1:4" ht="56">
      <c r="A9182" s="715">
        <v>103429</v>
      </c>
      <c r="B9182" s="633" t="s">
        <v>24147</v>
      </c>
      <c r="C9182" s="715" t="s">
        <v>103</v>
      </c>
      <c r="D9182" s="716">
        <v>2974.66</v>
      </c>
    </row>
    <row r="9183" spans="1:4" ht="56">
      <c r="A9183" s="715">
        <v>103427</v>
      </c>
      <c r="B9183" s="633" t="s">
        <v>24145</v>
      </c>
      <c r="C9183" s="715" t="s">
        <v>103</v>
      </c>
      <c r="D9183" s="716">
        <v>44.69</v>
      </c>
    </row>
    <row r="9184" spans="1:4" ht="56">
      <c r="A9184" s="715">
        <v>103393</v>
      </c>
      <c r="B9184" s="633" t="s">
        <v>24114</v>
      </c>
      <c r="C9184" s="715" t="s">
        <v>165</v>
      </c>
      <c r="D9184" s="716">
        <v>5555.11</v>
      </c>
    </row>
    <row r="9185" spans="1:4" ht="56">
      <c r="A9185" s="715">
        <v>103376</v>
      </c>
      <c r="B9185" s="633" t="s">
        <v>24105</v>
      </c>
      <c r="C9185" s="715" t="s">
        <v>165</v>
      </c>
      <c r="D9185" s="716">
        <v>136.37</v>
      </c>
    </row>
    <row r="9186" spans="1:4" ht="56">
      <c r="A9186" s="715">
        <v>104804</v>
      </c>
      <c r="B9186" s="633" t="s">
        <v>34435</v>
      </c>
      <c r="C9186" s="715" t="s">
        <v>165</v>
      </c>
      <c r="D9186" s="716">
        <v>0</v>
      </c>
    </row>
    <row r="9187" spans="1:4" ht="56">
      <c r="A9187" s="715">
        <v>104805</v>
      </c>
      <c r="B9187" s="633" t="s">
        <v>34436</v>
      </c>
      <c r="C9187" s="715" t="s">
        <v>165</v>
      </c>
      <c r="D9187" s="716">
        <v>0</v>
      </c>
    </row>
    <row r="9188" spans="1:4" ht="56">
      <c r="A9188" s="715">
        <v>103377</v>
      </c>
      <c r="B9188" s="633" t="s">
        <v>24106</v>
      </c>
      <c r="C9188" s="715" t="s">
        <v>165</v>
      </c>
      <c r="D9188" s="716">
        <v>291.51</v>
      </c>
    </row>
    <row r="9189" spans="1:4" ht="56">
      <c r="A9189" s="715">
        <v>104806</v>
      </c>
      <c r="B9189" s="633" t="s">
        <v>34437</v>
      </c>
      <c r="C9189" s="715" t="s">
        <v>165</v>
      </c>
      <c r="D9189" s="716">
        <v>0</v>
      </c>
    </row>
    <row r="9190" spans="1:4" ht="56">
      <c r="A9190" s="715">
        <v>103378</v>
      </c>
      <c r="B9190" s="633" t="s">
        <v>34438</v>
      </c>
      <c r="C9190" s="715" t="s">
        <v>165</v>
      </c>
      <c r="D9190" s="716">
        <v>0</v>
      </c>
    </row>
    <row r="9191" spans="1:4" ht="56">
      <c r="A9191" s="715">
        <v>103372</v>
      </c>
      <c r="B9191" s="633" t="s">
        <v>24103</v>
      </c>
      <c r="C9191" s="715" t="s">
        <v>165</v>
      </c>
      <c r="D9191" s="716">
        <v>5.9</v>
      </c>
    </row>
    <row r="9192" spans="1:4" ht="56">
      <c r="A9192" s="715">
        <v>103379</v>
      </c>
      <c r="B9192" s="633" t="s">
        <v>24107</v>
      </c>
      <c r="C9192" s="715" t="s">
        <v>165</v>
      </c>
      <c r="D9192" s="716">
        <v>453.65</v>
      </c>
    </row>
    <row r="9193" spans="1:4" ht="56">
      <c r="A9193" s="715">
        <v>103380</v>
      </c>
      <c r="B9193" s="633" t="s">
        <v>34439</v>
      </c>
      <c r="C9193" s="715" t="s">
        <v>165</v>
      </c>
      <c r="D9193" s="716">
        <v>0</v>
      </c>
    </row>
    <row r="9194" spans="1:4" ht="56">
      <c r="A9194" s="715">
        <v>103381</v>
      </c>
      <c r="B9194" s="633" t="s">
        <v>34440</v>
      </c>
      <c r="C9194" s="715" t="s">
        <v>165</v>
      </c>
      <c r="D9194" s="716">
        <v>0</v>
      </c>
    </row>
    <row r="9195" spans="1:4" ht="56">
      <c r="A9195" s="715">
        <v>103382</v>
      </c>
      <c r="B9195" s="633" t="s">
        <v>34441</v>
      </c>
      <c r="C9195" s="715" t="s">
        <v>165</v>
      </c>
      <c r="D9195" s="716">
        <v>0</v>
      </c>
    </row>
    <row r="9196" spans="1:4" ht="56">
      <c r="A9196" s="715">
        <v>103383</v>
      </c>
      <c r="B9196" s="633" t="s">
        <v>24108</v>
      </c>
      <c r="C9196" s="715" t="s">
        <v>165</v>
      </c>
      <c r="D9196" s="716">
        <v>1111.21</v>
      </c>
    </row>
    <row r="9197" spans="1:4" ht="56">
      <c r="A9197" s="715">
        <v>103373</v>
      </c>
      <c r="B9197" s="633" t="s">
        <v>24104</v>
      </c>
      <c r="C9197" s="715" t="s">
        <v>165</v>
      </c>
      <c r="D9197" s="716">
        <v>11.54</v>
      </c>
    </row>
    <row r="9198" spans="1:4" ht="56">
      <c r="A9198" s="715">
        <v>103384</v>
      </c>
      <c r="B9198" s="633" t="s">
        <v>34442</v>
      </c>
      <c r="C9198" s="715" t="s">
        <v>165</v>
      </c>
      <c r="D9198" s="716">
        <v>0</v>
      </c>
    </row>
    <row r="9199" spans="1:4" ht="56">
      <c r="A9199" s="715">
        <v>103385</v>
      </c>
      <c r="B9199" s="633" t="s">
        <v>24109</v>
      </c>
      <c r="C9199" s="715" t="s">
        <v>165</v>
      </c>
      <c r="D9199" s="716">
        <v>1792.01</v>
      </c>
    </row>
    <row r="9200" spans="1:4" ht="56">
      <c r="A9200" s="715">
        <v>103386</v>
      </c>
      <c r="B9200" s="633" t="s">
        <v>34443</v>
      </c>
      <c r="C9200" s="715" t="s">
        <v>165</v>
      </c>
      <c r="D9200" s="716">
        <v>0</v>
      </c>
    </row>
    <row r="9201" spans="1:4" ht="56">
      <c r="A9201" s="715">
        <v>103387</v>
      </c>
      <c r="B9201" s="633" t="s">
        <v>24110</v>
      </c>
      <c r="C9201" s="715" t="s">
        <v>165</v>
      </c>
      <c r="D9201" s="716">
        <v>3143.37</v>
      </c>
    </row>
    <row r="9202" spans="1:4" ht="56">
      <c r="A9202" s="715">
        <v>103388</v>
      </c>
      <c r="B9202" s="633" t="s">
        <v>34444</v>
      </c>
      <c r="C9202" s="715" t="s">
        <v>165</v>
      </c>
      <c r="D9202" s="716">
        <v>0</v>
      </c>
    </row>
    <row r="9203" spans="1:4" ht="56">
      <c r="A9203" s="715">
        <v>103374</v>
      </c>
      <c r="B9203" s="633" t="s">
        <v>34445</v>
      </c>
      <c r="C9203" s="715" t="s">
        <v>165</v>
      </c>
      <c r="D9203" s="716">
        <v>0</v>
      </c>
    </row>
    <row r="9204" spans="1:4" ht="56">
      <c r="A9204" s="715">
        <v>103389</v>
      </c>
      <c r="B9204" s="633" t="s">
        <v>24111</v>
      </c>
      <c r="C9204" s="715" t="s">
        <v>165</v>
      </c>
      <c r="D9204" s="716">
        <v>4674.63</v>
      </c>
    </row>
    <row r="9205" spans="1:4" ht="56">
      <c r="A9205" s="715">
        <v>103390</v>
      </c>
      <c r="B9205" s="633" t="s">
        <v>34446</v>
      </c>
      <c r="C9205" s="715" t="s">
        <v>165</v>
      </c>
      <c r="D9205" s="716">
        <v>0</v>
      </c>
    </row>
    <row r="9206" spans="1:4" ht="56">
      <c r="A9206" s="715">
        <v>103391</v>
      </c>
      <c r="B9206" s="633" t="s">
        <v>24112</v>
      </c>
      <c r="C9206" s="715" t="s">
        <v>165</v>
      </c>
      <c r="D9206" s="716">
        <v>3083.2</v>
      </c>
    </row>
    <row r="9207" spans="1:4" ht="56">
      <c r="A9207" s="715">
        <v>103375</v>
      </c>
      <c r="B9207" s="633" t="s">
        <v>34447</v>
      </c>
      <c r="C9207" s="715" t="s">
        <v>165</v>
      </c>
      <c r="D9207" s="716">
        <v>0</v>
      </c>
    </row>
    <row r="9208" spans="1:4" ht="56">
      <c r="A9208" s="715">
        <v>103392</v>
      </c>
      <c r="B9208" s="633" t="s">
        <v>24113</v>
      </c>
      <c r="C9208" s="715" t="s">
        <v>165</v>
      </c>
      <c r="D9208" s="716">
        <v>5036.25</v>
      </c>
    </row>
    <row r="9209" spans="1:4" ht="56">
      <c r="A9209" s="715">
        <v>103440</v>
      </c>
      <c r="B9209" s="633" t="s">
        <v>24158</v>
      </c>
      <c r="C9209" s="715" t="s">
        <v>103</v>
      </c>
      <c r="D9209" s="716">
        <v>454.52</v>
      </c>
    </row>
    <row r="9210" spans="1:4" ht="56">
      <c r="A9210" s="715">
        <v>103441</v>
      </c>
      <c r="B9210" s="633" t="s">
        <v>24159</v>
      </c>
      <c r="C9210" s="715" t="s">
        <v>103</v>
      </c>
      <c r="D9210" s="716">
        <v>459.93</v>
      </c>
    </row>
    <row r="9211" spans="1:4" ht="56">
      <c r="A9211" s="715">
        <v>103442</v>
      </c>
      <c r="B9211" s="633" t="s">
        <v>24160</v>
      </c>
      <c r="C9211" s="715" t="s">
        <v>103</v>
      </c>
      <c r="D9211" s="716">
        <v>590.45000000000005</v>
      </c>
    </row>
    <row r="9212" spans="1:4" ht="56">
      <c r="A9212" s="715">
        <v>103437</v>
      </c>
      <c r="B9212" s="633" t="s">
        <v>24155</v>
      </c>
      <c r="C9212" s="715" t="s">
        <v>103</v>
      </c>
      <c r="D9212" s="716">
        <v>197.57</v>
      </c>
    </row>
    <row r="9213" spans="1:4" ht="56">
      <c r="A9213" s="715">
        <v>103438</v>
      </c>
      <c r="B9213" s="633" t="s">
        <v>24156</v>
      </c>
      <c r="C9213" s="715" t="s">
        <v>103</v>
      </c>
      <c r="D9213" s="716">
        <v>197.57</v>
      </c>
    </row>
    <row r="9214" spans="1:4" ht="56">
      <c r="A9214" s="715">
        <v>103439</v>
      </c>
      <c r="B9214" s="633" t="s">
        <v>24157</v>
      </c>
      <c r="C9214" s="715" t="s">
        <v>103</v>
      </c>
      <c r="D9214" s="716">
        <v>230.96</v>
      </c>
    </row>
    <row r="9215" spans="1:4" ht="70">
      <c r="A9215" s="715">
        <v>106122</v>
      </c>
      <c r="B9215" s="633" t="s">
        <v>41563</v>
      </c>
      <c r="C9215" s="715" t="s">
        <v>121</v>
      </c>
      <c r="D9215" s="716">
        <v>106.06</v>
      </c>
    </row>
    <row r="9216" spans="1:4" ht="56">
      <c r="A9216" s="715">
        <v>106131</v>
      </c>
      <c r="B9216" s="633" t="s">
        <v>41564</v>
      </c>
      <c r="C9216" s="715" t="s">
        <v>121</v>
      </c>
      <c r="D9216" s="716">
        <v>158.49</v>
      </c>
    </row>
    <row r="9217" spans="1:4" ht="56">
      <c r="A9217" s="715">
        <v>106127</v>
      </c>
      <c r="B9217" s="633" t="s">
        <v>41565</v>
      </c>
      <c r="C9217" s="715" t="s">
        <v>121</v>
      </c>
      <c r="D9217" s="716">
        <v>142.69</v>
      </c>
    </row>
    <row r="9218" spans="1:4" ht="56">
      <c r="A9218" s="715">
        <v>106126</v>
      </c>
      <c r="B9218" s="633" t="s">
        <v>41566</v>
      </c>
      <c r="C9218" s="715" t="s">
        <v>121</v>
      </c>
      <c r="D9218" s="716">
        <v>63.03</v>
      </c>
    </row>
    <row r="9219" spans="1:4" ht="56">
      <c r="A9219" s="715">
        <v>106128</v>
      </c>
      <c r="B9219" s="633" t="s">
        <v>41567</v>
      </c>
      <c r="C9219" s="715" t="s">
        <v>121</v>
      </c>
      <c r="D9219" s="716">
        <v>211.88</v>
      </c>
    </row>
    <row r="9220" spans="1:4" ht="70">
      <c r="A9220" s="715">
        <v>106130</v>
      </c>
      <c r="B9220" s="633" t="s">
        <v>41568</v>
      </c>
      <c r="C9220" s="715" t="s">
        <v>121</v>
      </c>
      <c r="D9220" s="716">
        <v>179.5</v>
      </c>
    </row>
    <row r="9221" spans="1:4" ht="56">
      <c r="A9221" s="715">
        <v>106129</v>
      </c>
      <c r="B9221" s="633" t="s">
        <v>41569</v>
      </c>
      <c r="C9221" s="715" t="s">
        <v>121</v>
      </c>
      <c r="D9221" s="716">
        <v>94.36</v>
      </c>
    </row>
    <row r="9222" spans="1:4" ht="56">
      <c r="A9222" s="715">
        <v>106125</v>
      </c>
      <c r="B9222" s="633" t="s">
        <v>41570</v>
      </c>
      <c r="C9222" s="715" t="s">
        <v>121</v>
      </c>
      <c r="D9222" s="716">
        <v>72.95</v>
      </c>
    </row>
    <row r="9223" spans="1:4" ht="56">
      <c r="A9223" s="715">
        <v>106124</v>
      </c>
      <c r="B9223" s="633" t="s">
        <v>41571</v>
      </c>
      <c r="C9223" s="715" t="s">
        <v>121</v>
      </c>
      <c r="D9223" s="716">
        <v>72.680000000000007</v>
      </c>
    </row>
    <row r="9224" spans="1:4" ht="56">
      <c r="A9224" s="715">
        <v>106123</v>
      </c>
      <c r="B9224" s="633" t="s">
        <v>41572</v>
      </c>
      <c r="C9224" s="715" t="s">
        <v>121</v>
      </c>
      <c r="D9224" s="716">
        <v>212.46</v>
      </c>
    </row>
    <row r="9225" spans="1:4" ht="42">
      <c r="A9225" s="715">
        <v>106445</v>
      </c>
      <c r="B9225" s="633" t="s">
        <v>43713</v>
      </c>
      <c r="C9225" s="715" t="s">
        <v>103</v>
      </c>
      <c r="D9225" s="716">
        <v>0</v>
      </c>
    </row>
    <row r="9226" spans="1:4" ht="42">
      <c r="A9226" s="715">
        <v>106446</v>
      </c>
      <c r="B9226" s="633" t="s">
        <v>43714</v>
      </c>
      <c r="C9226" s="715" t="s">
        <v>103</v>
      </c>
      <c r="D9226" s="716">
        <v>0</v>
      </c>
    </row>
    <row r="9227" spans="1:4" ht="42">
      <c r="A9227" s="715">
        <v>106447</v>
      </c>
      <c r="B9227" s="633" t="s">
        <v>43715</v>
      </c>
      <c r="C9227" s="715" t="s">
        <v>103</v>
      </c>
      <c r="D9227" s="716">
        <v>0</v>
      </c>
    </row>
    <row r="9228" spans="1:4" ht="42">
      <c r="A9228" s="715">
        <v>106448</v>
      </c>
      <c r="B9228" s="633" t="s">
        <v>43716</v>
      </c>
      <c r="C9228" s="715" t="s">
        <v>103</v>
      </c>
      <c r="D9228" s="716">
        <v>0</v>
      </c>
    </row>
    <row r="9229" spans="1:4" ht="42">
      <c r="A9229" s="715">
        <v>106449</v>
      </c>
      <c r="B9229" s="633" t="s">
        <v>43717</v>
      </c>
      <c r="C9229" s="715" t="s">
        <v>103</v>
      </c>
      <c r="D9229" s="716">
        <v>0</v>
      </c>
    </row>
    <row r="9230" spans="1:4" ht="56">
      <c r="A9230" s="715">
        <v>106455</v>
      </c>
      <c r="B9230" s="633" t="s">
        <v>43718</v>
      </c>
      <c r="C9230" s="715" t="s">
        <v>165</v>
      </c>
      <c r="D9230" s="716">
        <v>1226.0899999999999</v>
      </c>
    </row>
    <row r="9231" spans="1:4" ht="42">
      <c r="A9231" s="715">
        <v>106450</v>
      </c>
      <c r="B9231" s="633" t="s">
        <v>43719</v>
      </c>
      <c r="C9231" s="715" t="s">
        <v>103</v>
      </c>
      <c r="D9231" s="716">
        <v>0</v>
      </c>
    </row>
    <row r="9232" spans="1:4" ht="42">
      <c r="A9232" s="715">
        <v>106451</v>
      </c>
      <c r="B9232" s="633" t="s">
        <v>43720</v>
      </c>
      <c r="C9232" s="715" t="s">
        <v>103</v>
      </c>
      <c r="D9232" s="716">
        <v>0</v>
      </c>
    </row>
    <row r="9233" spans="1:4" ht="42">
      <c r="A9233" s="715">
        <v>106452</v>
      </c>
      <c r="B9233" s="633" t="s">
        <v>43721</v>
      </c>
      <c r="C9233" s="715" t="s">
        <v>103</v>
      </c>
      <c r="D9233" s="716">
        <v>0</v>
      </c>
    </row>
    <row r="9234" spans="1:4" ht="42">
      <c r="A9234" s="715">
        <v>106453</v>
      </c>
      <c r="B9234" s="633" t="s">
        <v>43722</v>
      </c>
      <c r="C9234" s="715" t="s">
        <v>103</v>
      </c>
      <c r="D9234" s="716">
        <v>0</v>
      </c>
    </row>
    <row r="9235" spans="1:4" ht="42">
      <c r="A9235" s="715">
        <v>106454</v>
      </c>
      <c r="B9235" s="633" t="s">
        <v>43723</v>
      </c>
      <c r="C9235" s="715" t="s">
        <v>103</v>
      </c>
      <c r="D9235" s="716">
        <v>0</v>
      </c>
    </row>
    <row r="9236" spans="1:4" ht="56">
      <c r="A9236" s="715">
        <v>106456</v>
      </c>
      <c r="B9236" s="633" t="s">
        <v>43724</v>
      </c>
      <c r="C9236" s="715" t="s">
        <v>165</v>
      </c>
      <c r="D9236" s="716">
        <v>1384.31</v>
      </c>
    </row>
    <row r="9237" spans="1:4" ht="42">
      <c r="A9237" s="715">
        <v>106426</v>
      </c>
      <c r="B9237" s="633" t="s">
        <v>43725</v>
      </c>
      <c r="C9237" s="715" t="s">
        <v>103</v>
      </c>
      <c r="D9237" s="716">
        <v>0</v>
      </c>
    </row>
    <row r="9238" spans="1:4" ht="42">
      <c r="A9238" s="715">
        <v>106442</v>
      </c>
      <c r="B9238" s="633" t="s">
        <v>43726</v>
      </c>
      <c r="C9238" s="715" t="s">
        <v>103</v>
      </c>
      <c r="D9238" s="716">
        <v>0</v>
      </c>
    </row>
    <row r="9239" spans="1:4" ht="42">
      <c r="A9239" s="715">
        <v>106427</v>
      </c>
      <c r="B9239" s="633" t="s">
        <v>43727</v>
      </c>
      <c r="C9239" s="715" t="s">
        <v>103</v>
      </c>
      <c r="D9239" s="716">
        <v>0</v>
      </c>
    </row>
    <row r="9240" spans="1:4" ht="42">
      <c r="A9240" s="715">
        <v>106428</v>
      </c>
      <c r="B9240" s="633" t="s">
        <v>43728</v>
      </c>
      <c r="C9240" s="715" t="s">
        <v>103</v>
      </c>
      <c r="D9240" s="716">
        <v>0</v>
      </c>
    </row>
    <row r="9241" spans="1:4" ht="42">
      <c r="A9241" s="715">
        <v>106429</v>
      </c>
      <c r="B9241" s="633" t="s">
        <v>43729</v>
      </c>
      <c r="C9241" s="715" t="s">
        <v>103</v>
      </c>
      <c r="D9241" s="716">
        <v>0</v>
      </c>
    </row>
    <row r="9242" spans="1:4" ht="42">
      <c r="A9242" s="715">
        <v>106430</v>
      </c>
      <c r="B9242" s="633" t="s">
        <v>43730</v>
      </c>
      <c r="C9242" s="715" t="s">
        <v>103</v>
      </c>
      <c r="D9242" s="716">
        <v>0</v>
      </c>
    </row>
    <row r="9243" spans="1:4" ht="42">
      <c r="A9243" s="715">
        <v>106425</v>
      </c>
      <c r="B9243" s="633" t="s">
        <v>43731</v>
      </c>
      <c r="C9243" s="715" t="s">
        <v>103</v>
      </c>
      <c r="D9243" s="716">
        <v>0</v>
      </c>
    </row>
    <row r="9244" spans="1:4" ht="42">
      <c r="A9244" s="715">
        <v>106431</v>
      </c>
      <c r="B9244" s="633" t="s">
        <v>43732</v>
      </c>
      <c r="C9244" s="715" t="s">
        <v>103</v>
      </c>
      <c r="D9244" s="716">
        <v>0</v>
      </c>
    </row>
    <row r="9245" spans="1:4" ht="42">
      <c r="A9245" s="715">
        <v>106441</v>
      </c>
      <c r="B9245" s="633" t="s">
        <v>43733</v>
      </c>
      <c r="C9245" s="715" t="s">
        <v>103</v>
      </c>
      <c r="D9245" s="716">
        <v>0</v>
      </c>
    </row>
    <row r="9246" spans="1:4" ht="42">
      <c r="A9246" s="715">
        <v>106433</v>
      </c>
      <c r="B9246" s="633" t="s">
        <v>43734</v>
      </c>
      <c r="C9246" s="715" t="s">
        <v>103</v>
      </c>
      <c r="D9246" s="716">
        <v>0</v>
      </c>
    </row>
    <row r="9247" spans="1:4" ht="42">
      <c r="A9247" s="715">
        <v>106444</v>
      </c>
      <c r="B9247" s="633" t="s">
        <v>43735</v>
      </c>
      <c r="C9247" s="715" t="s">
        <v>103</v>
      </c>
      <c r="D9247" s="716">
        <v>0</v>
      </c>
    </row>
    <row r="9248" spans="1:4" ht="42">
      <c r="A9248" s="715">
        <v>106434</v>
      </c>
      <c r="B9248" s="633" t="s">
        <v>43736</v>
      </c>
      <c r="C9248" s="715" t="s">
        <v>103</v>
      </c>
      <c r="D9248" s="716">
        <v>0</v>
      </c>
    </row>
    <row r="9249" spans="1:4" ht="42">
      <c r="A9249" s="715">
        <v>106435</v>
      </c>
      <c r="B9249" s="633" t="s">
        <v>43737</v>
      </c>
      <c r="C9249" s="715" t="s">
        <v>103</v>
      </c>
      <c r="D9249" s="716">
        <v>0</v>
      </c>
    </row>
    <row r="9250" spans="1:4" ht="42">
      <c r="A9250" s="715">
        <v>106436</v>
      </c>
      <c r="B9250" s="633" t="s">
        <v>43738</v>
      </c>
      <c r="C9250" s="715" t="s">
        <v>103</v>
      </c>
      <c r="D9250" s="716">
        <v>0</v>
      </c>
    </row>
    <row r="9251" spans="1:4" ht="42">
      <c r="A9251" s="715">
        <v>106437</v>
      </c>
      <c r="B9251" s="633" t="s">
        <v>43739</v>
      </c>
      <c r="C9251" s="715" t="s">
        <v>103</v>
      </c>
      <c r="D9251" s="716">
        <v>0</v>
      </c>
    </row>
    <row r="9252" spans="1:4" ht="42">
      <c r="A9252" s="715">
        <v>106432</v>
      </c>
      <c r="B9252" s="633" t="s">
        <v>43740</v>
      </c>
      <c r="C9252" s="715" t="s">
        <v>103</v>
      </c>
      <c r="D9252" s="716">
        <v>0</v>
      </c>
    </row>
    <row r="9253" spans="1:4" ht="42">
      <c r="A9253" s="715">
        <v>106438</v>
      </c>
      <c r="B9253" s="633" t="s">
        <v>43741</v>
      </c>
      <c r="C9253" s="715" t="s">
        <v>103</v>
      </c>
      <c r="D9253" s="716">
        <v>0</v>
      </c>
    </row>
    <row r="9254" spans="1:4" ht="42">
      <c r="A9254" s="715">
        <v>106443</v>
      </c>
      <c r="B9254" s="633" t="s">
        <v>43742</v>
      </c>
      <c r="C9254" s="715" t="s">
        <v>103</v>
      </c>
      <c r="D9254" s="716">
        <v>0</v>
      </c>
    </row>
    <row r="9255" spans="1:4" ht="42">
      <c r="A9255" s="715">
        <v>106419</v>
      </c>
      <c r="B9255" s="633" t="s">
        <v>43743</v>
      </c>
      <c r="C9255" s="715" t="s">
        <v>103</v>
      </c>
      <c r="D9255" s="716">
        <v>0</v>
      </c>
    </row>
    <row r="9256" spans="1:4" ht="42">
      <c r="A9256" s="715">
        <v>106440</v>
      </c>
      <c r="B9256" s="633" t="s">
        <v>43744</v>
      </c>
      <c r="C9256" s="715" t="s">
        <v>103</v>
      </c>
      <c r="D9256" s="716">
        <v>0</v>
      </c>
    </row>
    <row r="9257" spans="1:4" ht="42">
      <c r="A9257" s="715">
        <v>106420</v>
      </c>
      <c r="B9257" s="633" t="s">
        <v>43745</v>
      </c>
      <c r="C9257" s="715" t="s">
        <v>103</v>
      </c>
      <c r="D9257" s="716">
        <v>0</v>
      </c>
    </row>
    <row r="9258" spans="1:4" ht="42">
      <c r="A9258" s="715">
        <v>106421</v>
      </c>
      <c r="B9258" s="633" t="s">
        <v>43746</v>
      </c>
      <c r="C9258" s="715" t="s">
        <v>103</v>
      </c>
      <c r="D9258" s="716">
        <v>0</v>
      </c>
    </row>
    <row r="9259" spans="1:4" ht="42">
      <c r="A9259" s="715">
        <v>106422</v>
      </c>
      <c r="B9259" s="633" t="s">
        <v>43747</v>
      </c>
      <c r="C9259" s="715" t="s">
        <v>103</v>
      </c>
      <c r="D9259" s="716">
        <v>0</v>
      </c>
    </row>
    <row r="9260" spans="1:4" ht="42">
      <c r="A9260" s="715">
        <v>106423</v>
      </c>
      <c r="B9260" s="633" t="s">
        <v>43748</v>
      </c>
      <c r="C9260" s="715" t="s">
        <v>103</v>
      </c>
      <c r="D9260" s="716">
        <v>0</v>
      </c>
    </row>
    <row r="9261" spans="1:4" ht="42">
      <c r="A9261" s="715">
        <v>106418</v>
      </c>
      <c r="B9261" s="633" t="s">
        <v>43749</v>
      </c>
      <c r="C9261" s="715" t="s">
        <v>103</v>
      </c>
      <c r="D9261" s="716">
        <v>0</v>
      </c>
    </row>
    <row r="9262" spans="1:4" ht="42">
      <c r="A9262" s="715">
        <v>106424</v>
      </c>
      <c r="B9262" s="633" t="s">
        <v>43750</v>
      </c>
      <c r="C9262" s="715" t="s">
        <v>103</v>
      </c>
      <c r="D9262" s="716">
        <v>0</v>
      </c>
    </row>
    <row r="9263" spans="1:4" ht="42">
      <c r="A9263" s="715">
        <v>106439</v>
      </c>
      <c r="B9263" s="633" t="s">
        <v>43751</v>
      </c>
      <c r="C9263" s="715" t="s">
        <v>103</v>
      </c>
      <c r="D9263" s="716">
        <v>0</v>
      </c>
    </row>
    <row r="9264" spans="1:4" ht="56">
      <c r="A9264" s="715">
        <v>88789</v>
      </c>
      <c r="B9264" s="633" t="s">
        <v>27375</v>
      </c>
      <c r="C9264" s="715" t="s">
        <v>509</v>
      </c>
      <c r="D9264" s="716">
        <v>442</v>
      </c>
    </row>
    <row r="9265" spans="1:4" ht="42">
      <c r="A9265" s="715">
        <v>88788</v>
      </c>
      <c r="B9265" s="633" t="s">
        <v>27374</v>
      </c>
      <c r="C9265" s="715" t="s">
        <v>509</v>
      </c>
      <c r="D9265" s="716">
        <v>368.55</v>
      </c>
    </row>
    <row r="9266" spans="1:4" ht="56">
      <c r="A9266" s="715">
        <v>87245</v>
      </c>
      <c r="B9266" s="633" t="s">
        <v>27373</v>
      </c>
      <c r="C9266" s="715" t="s">
        <v>509</v>
      </c>
      <c r="D9266" s="716">
        <v>341.43</v>
      </c>
    </row>
    <row r="9267" spans="1:4" ht="42">
      <c r="A9267" s="715">
        <v>87244</v>
      </c>
      <c r="B9267" s="633" t="s">
        <v>27372</v>
      </c>
      <c r="C9267" s="715" t="s">
        <v>509</v>
      </c>
      <c r="D9267" s="716">
        <v>285.17</v>
      </c>
    </row>
    <row r="9268" spans="1:4" ht="70">
      <c r="A9268" s="715">
        <v>104589</v>
      </c>
      <c r="B9268" s="633" t="s">
        <v>40763</v>
      </c>
      <c r="C9268" s="715" t="s">
        <v>509</v>
      </c>
      <c r="D9268" s="716">
        <v>284.62</v>
      </c>
    </row>
    <row r="9269" spans="1:4" ht="56">
      <c r="A9269" s="715">
        <v>104588</v>
      </c>
      <c r="B9269" s="633" t="s">
        <v>30384</v>
      </c>
      <c r="C9269" s="715" t="s">
        <v>509</v>
      </c>
      <c r="D9269" s="716">
        <v>238.3</v>
      </c>
    </row>
    <row r="9270" spans="1:4" ht="70">
      <c r="A9270" s="715">
        <v>104591</v>
      </c>
      <c r="B9270" s="633" t="s">
        <v>40764</v>
      </c>
      <c r="C9270" s="715" t="s">
        <v>509</v>
      </c>
      <c r="D9270" s="716">
        <v>313.89</v>
      </c>
    </row>
    <row r="9271" spans="1:4" ht="56">
      <c r="A9271" s="715">
        <v>104590</v>
      </c>
      <c r="B9271" s="633" t="s">
        <v>30385</v>
      </c>
      <c r="C9271" s="715" t="s">
        <v>509</v>
      </c>
      <c r="D9271" s="716">
        <v>264.58999999999997</v>
      </c>
    </row>
    <row r="9272" spans="1:4" ht="56">
      <c r="A9272" s="715">
        <v>87267</v>
      </c>
      <c r="B9272" s="633" t="s">
        <v>29969</v>
      </c>
      <c r="C9272" s="715" t="s">
        <v>509</v>
      </c>
      <c r="D9272" s="716">
        <v>70.790000000000006</v>
      </c>
    </row>
    <row r="9273" spans="1:4" ht="56">
      <c r="A9273" s="715">
        <v>104614</v>
      </c>
      <c r="B9273" s="633" t="s">
        <v>29977</v>
      </c>
      <c r="C9273" s="715" t="s">
        <v>509</v>
      </c>
      <c r="D9273" s="716">
        <v>77.11</v>
      </c>
    </row>
    <row r="9274" spans="1:4" ht="56">
      <c r="A9274" s="715">
        <v>104613</v>
      </c>
      <c r="B9274" s="633" t="s">
        <v>29976</v>
      </c>
      <c r="C9274" s="715" t="s">
        <v>509</v>
      </c>
      <c r="D9274" s="716">
        <v>68.510000000000005</v>
      </c>
    </row>
    <row r="9275" spans="1:4" ht="56">
      <c r="A9275" s="715">
        <v>87265</v>
      </c>
      <c r="B9275" s="633" t="s">
        <v>40765</v>
      </c>
      <c r="C9275" s="715" t="s">
        <v>509</v>
      </c>
      <c r="D9275" s="716">
        <v>64.16</v>
      </c>
    </row>
    <row r="9276" spans="1:4" ht="56">
      <c r="A9276" s="715">
        <v>87271</v>
      </c>
      <c r="B9276" s="633" t="s">
        <v>29971</v>
      </c>
      <c r="C9276" s="715" t="s">
        <v>509</v>
      </c>
      <c r="D9276" s="716">
        <v>75.86</v>
      </c>
    </row>
    <row r="9277" spans="1:4" ht="56">
      <c r="A9277" s="715">
        <v>87269</v>
      </c>
      <c r="B9277" s="633" t="s">
        <v>29970</v>
      </c>
      <c r="C9277" s="715" t="s">
        <v>509</v>
      </c>
      <c r="D9277" s="716">
        <v>69.150000000000006</v>
      </c>
    </row>
    <row r="9278" spans="1:4" ht="56">
      <c r="A9278" s="715">
        <v>87275</v>
      </c>
      <c r="B9278" s="633" t="s">
        <v>29973</v>
      </c>
      <c r="C9278" s="715" t="s">
        <v>509</v>
      </c>
      <c r="D9278" s="716">
        <v>81.59</v>
      </c>
    </row>
    <row r="9279" spans="1:4" ht="56">
      <c r="A9279" s="715">
        <v>87273</v>
      </c>
      <c r="B9279" s="633" t="s">
        <v>29972</v>
      </c>
      <c r="C9279" s="715" t="s">
        <v>509</v>
      </c>
      <c r="D9279" s="716">
        <v>72.739999999999995</v>
      </c>
    </row>
    <row r="9280" spans="1:4" ht="56">
      <c r="A9280" s="715">
        <v>104612</v>
      </c>
      <c r="B9280" s="633" t="s">
        <v>29975</v>
      </c>
      <c r="C9280" s="715" t="s">
        <v>509</v>
      </c>
      <c r="D9280" s="716">
        <v>100.19</v>
      </c>
    </row>
    <row r="9281" spans="1:4" ht="56">
      <c r="A9281" s="715">
        <v>104611</v>
      </c>
      <c r="B9281" s="633" t="s">
        <v>29974</v>
      </c>
      <c r="C9281" s="715" t="s">
        <v>509</v>
      </c>
      <c r="D9281" s="716">
        <v>99.13</v>
      </c>
    </row>
    <row r="9282" spans="1:4" ht="56">
      <c r="A9282" s="715">
        <v>104618</v>
      </c>
      <c r="B9282" s="633" t="s">
        <v>27379</v>
      </c>
      <c r="C9282" s="715" t="s">
        <v>509</v>
      </c>
      <c r="D9282" s="716">
        <v>381.38</v>
      </c>
    </row>
    <row r="9283" spans="1:4" ht="56">
      <c r="A9283" s="715">
        <v>104616</v>
      </c>
      <c r="B9283" s="633" t="s">
        <v>27377</v>
      </c>
      <c r="C9283" s="715" t="s">
        <v>509</v>
      </c>
      <c r="D9283" s="716">
        <v>367.88</v>
      </c>
    </row>
    <row r="9284" spans="1:4" ht="56">
      <c r="A9284" s="715">
        <v>104617</v>
      </c>
      <c r="B9284" s="633" t="s">
        <v>27378</v>
      </c>
      <c r="C9284" s="715" t="s">
        <v>509</v>
      </c>
      <c r="D9284" s="716">
        <v>295.08</v>
      </c>
    </row>
    <row r="9285" spans="1:4" ht="56">
      <c r="A9285" s="715">
        <v>104615</v>
      </c>
      <c r="B9285" s="633" t="s">
        <v>27376</v>
      </c>
      <c r="C9285" s="715" t="s">
        <v>509</v>
      </c>
      <c r="D9285" s="716">
        <v>281.58</v>
      </c>
    </row>
    <row r="9286" spans="1:4" ht="56">
      <c r="A9286" s="715">
        <v>87247</v>
      </c>
      <c r="B9286" s="633" t="s">
        <v>29949</v>
      </c>
      <c r="C9286" s="715" t="s">
        <v>509</v>
      </c>
      <c r="D9286" s="716">
        <v>63.73</v>
      </c>
    </row>
    <row r="9287" spans="1:4" ht="56">
      <c r="A9287" s="715">
        <v>87248</v>
      </c>
      <c r="B9287" s="633" t="s">
        <v>29950</v>
      </c>
      <c r="C9287" s="715" t="s">
        <v>509</v>
      </c>
      <c r="D9287" s="716">
        <v>54.29</v>
      </c>
    </row>
    <row r="9288" spans="1:4" ht="56">
      <c r="A9288" s="715">
        <v>87246</v>
      </c>
      <c r="B9288" s="633" t="s">
        <v>29948</v>
      </c>
      <c r="C9288" s="715" t="s">
        <v>509</v>
      </c>
      <c r="D9288" s="716">
        <v>72.569999999999993</v>
      </c>
    </row>
    <row r="9289" spans="1:4" ht="56">
      <c r="A9289" s="715">
        <v>104601</v>
      </c>
      <c r="B9289" s="633" t="s">
        <v>29961</v>
      </c>
      <c r="C9289" s="715" t="s">
        <v>509</v>
      </c>
      <c r="D9289" s="716">
        <v>69.77</v>
      </c>
    </row>
    <row r="9290" spans="1:4" ht="56">
      <c r="A9290" s="715">
        <v>104603</v>
      </c>
      <c r="B9290" s="633" t="s">
        <v>29962</v>
      </c>
      <c r="C9290" s="715" t="s">
        <v>509</v>
      </c>
      <c r="D9290" s="716">
        <v>57.3</v>
      </c>
    </row>
    <row r="9291" spans="1:4" ht="56">
      <c r="A9291" s="715">
        <v>104599</v>
      </c>
      <c r="B9291" s="633" t="s">
        <v>29960</v>
      </c>
      <c r="C9291" s="715" t="s">
        <v>509</v>
      </c>
      <c r="D9291" s="716">
        <v>88.54</v>
      </c>
    </row>
    <row r="9292" spans="1:4" ht="56">
      <c r="A9292" s="715">
        <v>87250</v>
      </c>
      <c r="B9292" s="633" t="s">
        <v>29952</v>
      </c>
      <c r="C9292" s="715" t="s">
        <v>509</v>
      </c>
      <c r="D9292" s="716">
        <v>65.41</v>
      </c>
    </row>
    <row r="9293" spans="1:4" ht="56">
      <c r="A9293" s="715">
        <v>87251</v>
      </c>
      <c r="B9293" s="633" t="s">
        <v>29953</v>
      </c>
      <c r="C9293" s="715" t="s">
        <v>509</v>
      </c>
      <c r="D9293" s="716">
        <v>54.64</v>
      </c>
    </row>
    <row r="9294" spans="1:4" ht="56">
      <c r="A9294" s="715">
        <v>87249</v>
      </c>
      <c r="B9294" s="633" t="s">
        <v>29951</v>
      </c>
      <c r="C9294" s="715" t="s">
        <v>509</v>
      </c>
      <c r="D9294" s="716">
        <v>78.41</v>
      </c>
    </row>
    <row r="9295" spans="1:4" ht="56">
      <c r="A9295" s="715">
        <v>104606</v>
      </c>
      <c r="B9295" s="633" t="s">
        <v>29964</v>
      </c>
      <c r="C9295" s="715" t="s">
        <v>509</v>
      </c>
      <c r="D9295" s="716">
        <v>74.98</v>
      </c>
    </row>
    <row r="9296" spans="1:4" ht="56">
      <c r="A9296" s="715">
        <v>104607</v>
      </c>
      <c r="B9296" s="633" t="s">
        <v>29965</v>
      </c>
      <c r="C9296" s="715" t="s">
        <v>509</v>
      </c>
      <c r="D9296" s="716">
        <v>58.9</v>
      </c>
    </row>
    <row r="9297" spans="1:4" ht="56">
      <c r="A9297" s="715">
        <v>104605</v>
      </c>
      <c r="B9297" s="633" t="s">
        <v>29963</v>
      </c>
      <c r="C9297" s="715" t="s">
        <v>509</v>
      </c>
      <c r="D9297" s="716">
        <v>112.2</v>
      </c>
    </row>
    <row r="9298" spans="1:4" ht="56">
      <c r="A9298" s="715">
        <v>87256</v>
      </c>
      <c r="B9298" s="633" t="s">
        <v>29955</v>
      </c>
      <c r="C9298" s="715" t="s">
        <v>509</v>
      </c>
      <c r="D9298" s="716">
        <v>76.5</v>
      </c>
    </row>
    <row r="9299" spans="1:4" ht="56">
      <c r="A9299" s="715">
        <v>87257</v>
      </c>
      <c r="B9299" s="633" t="s">
        <v>29956</v>
      </c>
      <c r="C9299" s="715" t="s">
        <v>509</v>
      </c>
      <c r="D9299" s="716">
        <v>64.489999999999995</v>
      </c>
    </row>
    <row r="9300" spans="1:4" ht="56">
      <c r="A9300" s="715">
        <v>87255</v>
      </c>
      <c r="B9300" s="633" t="s">
        <v>29954</v>
      </c>
      <c r="C9300" s="715" t="s">
        <v>509</v>
      </c>
      <c r="D9300" s="716">
        <v>90.71</v>
      </c>
    </row>
    <row r="9301" spans="1:4" ht="56">
      <c r="A9301" s="715">
        <v>104594</v>
      </c>
      <c r="B9301" s="633" t="s">
        <v>29958</v>
      </c>
      <c r="C9301" s="715" t="s">
        <v>509</v>
      </c>
      <c r="D9301" s="716">
        <v>79.05</v>
      </c>
    </row>
    <row r="9302" spans="1:4" ht="56">
      <c r="A9302" s="715">
        <v>104595</v>
      </c>
      <c r="B9302" s="633" t="s">
        <v>29959</v>
      </c>
      <c r="C9302" s="715" t="s">
        <v>509</v>
      </c>
      <c r="D9302" s="716">
        <v>65.06</v>
      </c>
    </row>
    <row r="9303" spans="1:4" ht="56">
      <c r="A9303" s="715">
        <v>104593</v>
      </c>
      <c r="B9303" s="633" t="s">
        <v>29957</v>
      </c>
      <c r="C9303" s="715" t="s">
        <v>509</v>
      </c>
      <c r="D9303" s="716">
        <v>94.86</v>
      </c>
    </row>
    <row r="9304" spans="1:4" ht="56">
      <c r="A9304" s="715">
        <v>87262</v>
      </c>
      <c r="B9304" s="633" t="s">
        <v>27171</v>
      </c>
      <c r="C9304" s="715" t="s">
        <v>509</v>
      </c>
      <c r="D9304" s="716">
        <v>128.69999999999999</v>
      </c>
    </row>
    <row r="9305" spans="1:4" ht="56">
      <c r="A9305" s="715">
        <v>87263</v>
      </c>
      <c r="B9305" s="633" t="s">
        <v>27172</v>
      </c>
      <c r="C9305" s="715" t="s">
        <v>509</v>
      </c>
      <c r="D9305" s="716">
        <v>116.24</v>
      </c>
    </row>
    <row r="9306" spans="1:4" ht="56">
      <c r="A9306" s="715">
        <v>87261</v>
      </c>
      <c r="B9306" s="633" t="s">
        <v>27170</v>
      </c>
      <c r="C9306" s="715" t="s">
        <v>509</v>
      </c>
      <c r="D9306" s="716">
        <v>144.08000000000001</v>
      </c>
    </row>
    <row r="9307" spans="1:4" ht="56">
      <c r="A9307" s="715">
        <v>104597</v>
      </c>
      <c r="B9307" s="633" t="s">
        <v>27174</v>
      </c>
      <c r="C9307" s="715" t="s">
        <v>509</v>
      </c>
      <c r="D9307" s="716">
        <v>131.59</v>
      </c>
    </row>
    <row r="9308" spans="1:4" ht="56">
      <c r="A9308" s="715">
        <v>104598</v>
      </c>
      <c r="B9308" s="633" t="s">
        <v>27175</v>
      </c>
      <c r="C9308" s="715" t="s">
        <v>509</v>
      </c>
      <c r="D9308" s="716">
        <v>116.9</v>
      </c>
    </row>
    <row r="9309" spans="1:4" ht="56">
      <c r="A9309" s="715">
        <v>104596</v>
      </c>
      <c r="B9309" s="633" t="s">
        <v>27173</v>
      </c>
      <c r="C9309" s="715" t="s">
        <v>509</v>
      </c>
      <c r="D9309" s="716">
        <v>148.81</v>
      </c>
    </row>
    <row r="9310" spans="1:4" ht="42">
      <c r="A9310" s="715">
        <v>88648</v>
      </c>
      <c r="B9310" s="633" t="s">
        <v>29966</v>
      </c>
      <c r="C9310" s="715" t="s">
        <v>165</v>
      </c>
      <c r="D9310" s="716">
        <v>8.26</v>
      </c>
    </row>
    <row r="9311" spans="1:4" ht="42">
      <c r="A9311" s="715">
        <v>88649</v>
      </c>
      <c r="B9311" s="633" t="s">
        <v>29967</v>
      </c>
      <c r="C9311" s="715" t="s">
        <v>165</v>
      </c>
      <c r="D9311" s="716">
        <v>9.2799999999999994</v>
      </c>
    </row>
    <row r="9312" spans="1:4" ht="42">
      <c r="A9312" s="715">
        <v>88650</v>
      </c>
      <c r="B9312" s="633" t="s">
        <v>29968</v>
      </c>
      <c r="C9312" s="715" t="s">
        <v>165</v>
      </c>
      <c r="D9312" s="716">
        <v>12.39</v>
      </c>
    </row>
    <row r="9313" spans="1:4" ht="42">
      <c r="A9313" s="715">
        <v>104619</v>
      </c>
      <c r="B9313" s="633" t="s">
        <v>29978</v>
      </c>
      <c r="C9313" s="715" t="s">
        <v>165</v>
      </c>
      <c r="D9313" s="716">
        <v>14.59</v>
      </c>
    </row>
    <row r="9314" spans="1:4" ht="28">
      <c r="A9314" s="715">
        <v>103741</v>
      </c>
      <c r="B9314" s="633" t="s">
        <v>34448</v>
      </c>
      <c r="C9314" s="715" t="s">
        <v>103</v>
      </c>
      <c r="D9314" s="716">
        <v>0</v>
      </c>
    </row>
    <row r="9315" spans="1:4" ht="42">
      <c r="A9315" s="715">
        <v>103755</v>
      </c>
      <c r="B9315" s="633" t="s">
        <v>34449</v>
      </c>
      <c r="C9315" s="715" t="s">
        <v>165</v>
      </c>
      <c r="D9315" s="716">
        <v>0</v>
      </c>
    </row>
    <row r="9316" spans="1:4" ht="42">
      <c r="A9316" s="715">
        <v>103753</v>
      </c>
      <c r="B9316" s="633" t="s">
        <v>34450</v>
      </c>
      <c r="C9316" s="715" t="s">
        <v>165</v>
      </c>
      <c r="D9316" s="716">
        <v>0</v>
      </c>
    </row>
    <row r="9317" spans="1:4" ht="42">
      <c r="A9317" s="715">
        <v>103754</v>
      </c>
      <c r="B9317" s="633" t="s">
        <v>34451</v>
      </c>
      <c r="C9317" s="715" t="s">
        <v>165</v>
      </c>
      <c r="D9317" s="716">
        <v>0</v>
      </c>
    </row>
    <row r="9318" spans="1:4" ht="42">
      <c r="A9318" s="715">
        <v>103752</v>
      </c>
      <c r="B9318" s="633" t="s">
        <v>34452</v>
      </c>
      <c r="C9318" s="715" t="s">
        <v>165</v>
      </c>
      <c r="D9318" s="716">
        <v>0</v>
      </c>
    </row>
    <row r="9319" spans="1:4" ht="42">
      <c r="A9319" s="715">
        <v>103759</v>
      </c>
      <c r="B9319" s="633" t="s">
        <v>34453</v>
      </c>
      <c r="C9319" s="715" t="s">
        <v>165</v>
      </c>
      <c r="D9319" s="716">
        <v>0</v>
      </c>
    </row>
    <row r="9320" spans="1:4" ht="28">
      <c r="A9320" s="715">
        <v>103757</v>
      </c>
      <c r="B9320" s="633" t="s">
        <v>34454</v>
      </c>
      <c r="C9320" s="715" t="s">
        <v>165</v>
      </c>
      <c r="D9320" s="716">
        <v>0</v>
      </c>
    </row>
    <row r="9321" spans="1:4" ht="42">
      <c r="A9321" s="715">
        <v>103758</v>
      </c>
      <c r="B9321" s="633" t="s">
        <v>34455</v>
      </c>
      <c r="C9321" s="715" t="s">
        <v>165</v>
      </c>
      <c r="D9321" s="716">
        <v>0</v>
      </c>
    </row>
    <row r="9322" spans="1:4" ht="42">
      <c r="A9322" s="715">
        <v>103756</v>
      </c>
      <c r="B9322" s="633" t="s">
        <v>34456</v>
      </c>
      <c r="C9322" s="715" t="s">
        <v>165</v>
      </c>
      <c r="D9322" s="716">
        <v>0</v>
      </c>
    </row>
    <row r="9323" spans="1:4" ht="28">
      <c r="A9323" s="715">
        <v>103734</v>
      </c>
      <c r="B9323" s="633" t="s">
        <v>34457</v>
      </c>
      <c r="C9323" s="715" t="s">
        <v>103</v>
      </c>
      <c r="D9323" s="716">
        <v>0</v>
      </c>
    </row>
    <row r="9324" spans="1:4" ht="28">
      <c r="A9324" s="715">
        <v>103740</v>
      </c>
      <c r="B9324" s="633" t="s">
        <v>34458</v>
      </c>
      <c r="C9324" s="715" t="s">
        <v>103</v>
      </c>
      <c r="D9324" s="716">
        <v>0</v>
      </c>
    </row>
    <row r="9325" spans="1:4" ht="42">
      <c r="A9325" s="715">
        <v>103747</v>
      </c>
      <c r="B9325" s="633" t="s">
        <v>34459</v>
      </c>
      <c r="C9325" s="715" t="s">
        <v>165</v>
      </c>
      <c r="D9325" s="716">
        <v>0</v>
      </c>
    </row>
    <row r="9326" spans="1:4" ht="42">
      <c r="A9326" s="715">
        <v>103746</v>
      </c>
      <c r="B9326" s="633" t="s">
        <v>34460</v>
      </c>
      <c r="C9326" s="715" t="s">
        <v>165</v>
      </c>
      <c r="D9326" s="716">
        <v>0</v>
      </c>
    </row>
    <row r="9327" spans="1:4" ht="42">
      <c r="A9327" s="715">
        <v>103749</v>
      </c>
      <c r="B9327" s="633" t="s">
        <v>34461</v>
      </c>
      <c r="C9327" s="715" t="s">
        <v>165</v>
      </c>
      <c r="D9327" s="716">
        <v>0</v>
      </c>
    </row>
    <row r="9328" spans="1:4" ht="42">
      <c r="A9328" s="715">
        <v>103744</v>
      </c>
      <c r="B9328" s="633" t="s">
        <v>34462</v>
      </c>
      <c r="C9328" s="715" t="s">
        <v>165</v>
      </c>
      <c r="D9328" s="716">
        <v>0</v>
      </c>
    </row>
    <row r="9329" spans="1:4" ht="42">
      <c r="A9329" s="715">
        <v>103748</v>
      </c>
      <c r="B9329" s="633" t="s">
        <v>34463</v>
      </c>
      <c r="C9329" s="715" t="s">
        <v>165</v>
      </c>
      <c r="D9329" s="716">
        <v>0</v>
      </c>
    </row>
    <row r="9330" spans="1:4" ht="42">
      <c r="A9330" s="715">
        <v>103745</v>
      </c>
      <c r="B9330" s="633" t="s">
        <v>34464</v>
      </c>
      <c r="C9330" s="715" t="s">
        <v>165</v>
      </c>
      <c r="D9330" s="716">
        <v>0</v>
      </c>
    </row>
    <row r="9331" spans="1:4" ht="42">
      <c r="A9331" s="715">
        <v>103751</v>
      </c>
      <c r="B9331" s="633" t="s">
        <v>34465</v>
      </c>
      <c r="C9331" s="715" t="s">
        <v>165</v>
      </c>
      <c r="D9331" s="716">
        <v>0</v>
      </c>
    </row>
    <row r="9332" spans="1:4" ht="42">
      <c r="A9332" s="715">
        <v>103750</v>
      </c>
      <c r="B9332" s="633" t="s">
        <v>34466</v>
      </c>
      <c r="C9332" s="715" t="s">
        <v>165</v>
      </c>
      <c r="D9332" s="716">
        <v>0</v>
      </c>
    </row>
    <row r="9333" spans="1:4" ht="28">
      <c r="A9333" s="715">
        <v>103735</v>
      </c>
      <c r="B9333" s="633" t="s">
        <v>34467</v>
      </c>
      <c r="C9333" s="715" t="s">
        <v>103</v>
      </c>
      <c r="D9333" s="716">
        <v>0</v>
      </c>
    </row>
    <row r="9334" spans="1:4" ht="28">
      <c r="A9334" s="715">
        <v>103738</v>
      </c>
      <c r="B9334" s="633" t="s">
        <v>34468</v>
      </c>
      <c r="C9334" s="715" t="s">
        <v>103</v>
      </c>
      <c r="D9334" s="716">
        <v>0</v>
      </c>
    </row>
    <row r="9335" spans="1:4" ht="28">
      <c r="A9335" s="715">
        <v>103736</v>
      </c>
      <c r="B9335" s="633" t="s">
        <v>34469</v>
      </c>
      <c r="C9335" s="715" t="s">
        <v>103</v>
      </c>
      <c r="D9335" s="716">
        <v>0</v>
      </c>
    </row>
    <row r="9336" spans="1:4" ht="28">
      <c r="A9336" s="715">
        <v>103739</v>
      </c>
      <c r="B9336" s="633" t="s">
        <v>34470</v>
      </c>
      <c r="C9336" s="715" t="s">
        <v>103</v>
      </c>
      <c r="D9336" s="716">
        <v>0</v>
      </c>
    </row>
    <row r="9337" spans="1:4" ht="28">
      <c r="A9337" s="715">
        <v>103737</v>
      </c>
      <c r="B9337" s="633" t="s">
        <v>34471</v>
      </c>
      <c r="C9337" s="715" t="s">
        <v>103</v>
      </c>
      <c r="D9337" s="716">
        <v>0</v>
      </c>
    </row>
    <row r="9338" spans="1:4" ht="42">
      <c r="A9338" s="715">
        <v>103742</v>
      </c>
      <c r="B9338" s="633" t="s">
        <v>34472</v>
      </c>
      <c r="C9338" s="715" t="s">
        <v>103</v>
      </c>
      <c r="D9338" s="716">
        <v>0</v>
      </c>
    </row>
    <row r="9339" spans="1:4" ht="42">
      <c r="A9339" s="715">
        <v>103689</v>
      </c>
      <c r="B9339" s="633" t="s">
        <v>27067</v>
      </c>
      <c r="C9339" s="715" t="s">
        <v>509</v>
      </c>
      <c r="D9339" s="716">
        <v>506.51</v>
      </c>
    </row>
    <row r="9340" spans="1:4" ht="42">
      <c r="A9340" s="715">
        <v>103702</v>
      </c>
      <c r="B9340" s="633" t="s">
        <v>34473</v>
      </c>
      <c r="C9340" s="715" t="s">
        <v>509</v>
      </c>
      <c r="D9340" s="716">
        <v>0</v>
      </c>
    </row>
    <row r="9341" spans="1:4" ht="42">
      <c r="A9341" s="715">
        <v>103700</v>
      </c>
      <c r="B9341" s="633" t="s">
        <v>34474</v>
      </c>
      <c r="C9341" s="715" t="s">
        <v>509</v>
      </c>
      <c r="D9341" s="716">
        <v>0</v>
      </c>
    </row>
    <row r="9342" spans="1:4" ht="42">
      <c r="A9342" s="715">
        <v>103698</v>
      </c>
      <c r="B9342" s="633" t="s">
        <v>34475</v>
      </c>
      <c r="C9342" s="715" t="s">
        <v>509</v>
      </c>
      <c r="D9342" s="716">
        <v>0</v>
      </c>
    </row>
    <row r="9343" spans="1:4" ht="42">
      <c r="A9343" s="715">
        <v>103703</v>
      </c>
      <c r="B9343" s="633" t="s">
        <v>34476</v>
      </c>
      <c r="C9343" s="715" t="s">
        <v>509</v>
      </c>
      <c r="D9343" s="716">
        <v>0</v>
      </c>
    </row>
    <row r="9344" spans="1:4" ht="42">
      <c r="A9344" s="715">
        <v>103701</v>
      </c>
      <c r="B9344" s="633" t="s">
        <v>34477</v>
      </c>
      <c r="C9344" s="715" t="s">
        <v>509</v>
      </c>
      <c r="D9344" s="716">
        <v>0</v>
      </c>
    </row>
    <row r="9345" spans="1:4" ht="42">
      <c r="A9345" s="715">
        <v>103699</v>
      </c>
      <c r="B9345" s="633" t="s">
        <v>34478</v>
      </c>
      <c r="C9345" s="715" t="s">
        <v>509</v>
      </c>
      <c r="D9345" s="716">
        <v>0</v>
      </c>
    </row>
    <row r="9346" spans="1:4" ht="42">
      <c r="A9346" s="715">
        <v>103704</v>
      </c>
      <c r="B9346" s="633" t="s">
        <v>34479</v>
      </c>
      <c r="C9346" s="715" t="s">
        <v>509</v>
      </c>
      <c r="D9346" s="716">
        <v>0</v>
      </c>
    </row>
    <row r="9347" spans="1:4" ht="28">
      <c r="A9347" s="715">
        <v>103706</v>
      </c>
      <c r="B9347" s="633" t="s">
        <v>34480</v>
      </c>
      <c r="C9347" s="715" t="s">
        <v>103</v>
      </c>
      <c r="D9347" s="716">
        <v>0</v>
      </c>
    </row>
    <row r="9348" spans="1:4" ht="28">
      <c r="A9348" s="715">
        <v>103707</v>
      </c>
      <c r="B9348" s="633" t="s">
        <v>34481</v>
      </c>
      <c r="C9348" s="715" t="s">
        <v>103</v>
      </c>
      <c r="D9348" s="716">
        <v>0</v>
      </c>
    </row>
    <row r="9349" spans="1:4" ht="28">
      <c r="A9349" s="715">
        <v>103708</v>
      </c>
      <c r="B9349" s="633" t="s">
        <v>34482</v>
      </c>
      <c r="C9349" s="715" t="s">
        <v>103</v>
      </c>
      <c r="D9349" s="716">
        <v>0</v>
      </c>
    </row>
    <row r="9350" spans="1:4" ht="28">
      <c r="A9350" s="715">
        <v>103709</v>
      </c>
      <c r="B9350" s="633" t="s">
        <v>34483</v>
      </c>
      <c r="C9350" s="715" t="s">
        <v>103</v>
      </c>
      <c r="D9350" s="716">
        <v>0</v>
      </c>
    </row>
    <row r="9351" spans="1:4" ht="28">
      <c r="A9351" s="715">
        <v>103710</v>
      </c>
      <c r="B9351" s="633" t="s">
        <v>34484</v>
      </c>
      <c r="C9351" s="715" t="s">
        <v>103</v>
      </c>
      <c r="D9351" s="716">
        <v>0</v>
      </c>
    </row>
    <row r="9352" spans="1:4" ht="28">
      <c r="A9352" s="715">
        <v>103711</v>
      </c>
      <c r="B9352" s="633" t="s">
        <v>34485</v>
      </c>
      <c r="C9352" s="715" t="s">
        <v>103</v>
      </c>
      <c r="D9352" s="716">
        <v>0</v>
      </c>
    </row>
    <row r="9353" spans="1:4" ht="28">
      <c r="A9353" s="715">
        <v>103712</v>
      </c>
      <c r="B9353" s="633" t="s">
        <v>34486</v>
      </c>
      <c r="C9353" s="715" t="s">
        <v>103</v>
      </c>
      <c r="D9353" s="716">
        <v>0</v>
      </c>
    </row>
    <row r="9354" spans="1:4" ht="28">
      <c r="A9354" s="715">
        <v>103713</v>
      </c>
      <c r="B9354" s="633" t="s">
        <v>34487</v>
      </c>
      <c r="C9354" s="715" t="s">
        <v>103</v>
      </c>
      <c r="D9354" s="716">
        <v>0</v>
      </c>
    </row>
    <row r="9355" spans="1:4" ht="28">
      <c r="A9355" s="715">
        <v>103714</v>
      </c>
      <c r="B9355" s="633" t="s">
        <v>34488</v>
      </c>
      <c r="C9355" s="715" t="s">
        <v>103</v>
      </c>
      <c r="D9355" s="716">
        <v>0</v>
      </c>
    </row>
    <row r="9356" spans="1:4" ht="28">
      <c r="A9356" s="715">
        <v>103715</v>
      </c>
      <c r="B9356" s="633" t="s">
        <v>34489</v>
      </c>
      <c r="C9356" s="715" t="s">
        <v>103</v>
      </c>
      <c r="D9356" s="716">
        <v>0</v>
      </c>
    </row>
    <row r="9357" spans="1:4" ht="28">
      <c r="A9357" s="715">
        <v>103716</v>
      </c>
      <c r="B9357" s="633" t="s">
        <v>34490</v>
      </c>
      <c r="C9357" s="715" t="s">
        <v>103</v>
      </c>
      <c r="D9357" s="716">
        <v>0</v>
      </c>
    </row>
    <row r="9358" spans="1:4" ht="28">
      <c r="A9358" s="715">
        <v>103717</v>
      </c>
      <c r="B9358" s="633" t="s">
        <v>34491</v>
      </c>
      <c r="C9358" s="715" t="s">
        <v>103</v>
      </c>
      <c r="D9358" s="716">
        <v>0</v>
      </c>
    </row>
    <row r="9359" spans="1:4" ht="28">
      <c r="A9359" s="715">
        <v>103718</v>
      </c>
      <c r="B9359" s="633" t="s">
        <v>34492</v>
      </c>
      <c r="C9359" s="715" t="s">
        <v>103</v>
      </c>
      <c r="D9359" s="716">
        <v>0</v>
      </c>
    </row>
    <row r="9360" spans="1:4" ht="28">
      <c r="A9360" s="715">
        <v>103719</v>
      </c>
      <c r="B9360" s="633" t="s">
        <v>34493</v>
      </c>
      <c r="C9360" s="715" t="s">
        <v>103</v>
      </c>
      <c r="D9360" s="716">
        <v>0</v>
      </c>
    </row>
    <row r="9361" spans="1:4" ht="28">
      <c r="A9361" s="715">
        <v>103720</v>
      </c>
      <c r="B9361" s="633" t="s">
        <v>34494</v>
      </c>
      <c r="C9361" s="715" t="s">
        <v>103</v>
      </c>
      <c r="D9361" s="716">
        <v>0</v>
      </c>
    </row>
    <row r="9362" spans="1:4" ht="28">
      <c r="A9362" s="715">
        <v>103721</v>
      </c>
      <c r="B9362" s="633" t="s">
        <v>34495</v>
      </c>
      <c r="C9362" s="715" t="s">
        <v>103</v>
      </c>
      <c r="D9362" s="716">
        <v>0</v>
      </c>
    </row>
    <row r="9363" spans="1:4" ht="28">
      <c r="A9363" s="715">
        <v>103705</v>
      </c>
      <c r="B9363" s="633" t="s">
        <v>34496</v>
      </c>
      <c r="C9363" s="715" t="s">
        <v>103</v>
      </c>
      <c r="D9363" s="716">
        <v>0</v>
      </c>
    </row>
    <row r="9364" spans="1:4" ht="28">
      <c r="A9364" s="715">
        <v>103722</v>
      </c>
      <c r="B9364" s="633" t="s">
        <v>34497</v>
      </c>
      <c r="C9364" s="715" t="s">
        <v>103</v>
      </c>
      <c r="D9364" s="716">
        <v>0</v>
      </c>
    </row>
    <row r="9365" spans="1:4" ht="28">
      <c r="A9365" s="715">
        <v>103723</v>
      </c>
      <c r="B9365" s="633" t="s">
        <v>34498</v>
      </c>
      <c r="C9365" s="715" t="s">
        <v>103</v>
      </c>
      <c r="D9365" s="716">
        <v>0</v>
      </c>
    </row>
    <row r="9366" spans="1:4" ht="28">
      <c r="A9366" s="715">
        <v>103724</v>
      </c>
      <c r="B9366" s="633" t="s">
        <v>34499</v>
      </c>
      <c r="C9366" s="715" t="s">
        <v>103</v>
      </c>
      <c r="D9366" s="716">
        <v>0</v>
      </c>
    </row>
    <row r="9367" spans="1:4" ht="28">
      <c r="A9367" s="715">
        <v>103725</v>
      </c>
      <c r="B9367" s="633" t="s">
        <v>34500</v>
      </c>
      <c r="C9367" s="715" t="s">
        <v>103</v>
      </c>
      <c r="D9367" s="716">
        <v>0</v>
      </c>
    </row>
    <row r="9368" spans="1:4" ht="28">
      <c r="A9368" s="715">
        <v>103726</v>
      </c>
      <c r="B9368" s="633" t="s">
        <v>34501</v>
      </c>
      <c r="C9368" s="715" t="s">
        <v>103</v>
      </c>
      <c r="D9368" s="716">
        <v>0</v>
      </c>
    </row>
    <row r="9369" spans="1:4" ht="28">
      <c r="A9369" s="715">
        <v>103727</v>
      </c>
      <c r="B9369" s="633" t="s">
        <v>34502</v>
      </c>
      <c r="C9369" s="715" t="s">
        <v>103</v>
      </c>
      <c r="D9369" s="716">
        <v>0</v>
      </c>
    </row>
    <row r="9370" spans="1:4" ht="28">
      <c r="A9370" s="715">
        <v>103728</v>
      </c>
      <c r="B9370" s="633" t="s">
        <v>34503</v>
      </c>
      <c r="C9370" s="715" t="s">
        <v>103</v>
      </c>
      <c r="D9370" s="716">
        <v>0</v>
      </c>
    </row>
    <row r="9371" spans="1:4" ht="28">
      <c r="A9371" s="715">
        <v>103729</v>
      </c>
      <c r="B9371" s="633" t="s">
        <v>34504</v>
      </c>
      <c r="C9371" s="715" t="s">
        <v>103</v>
      </c>
      <c r="D9371" s="716">
        <v>0</v>
      </c>
    </row>
    <row r="9372" spans="1:4" ht="28">
      <c r="A9372" s="715">
        <v>103730</v>
      </c>
      <c r="B9372" s="633" t="s">
        <v>34505</v>
      </c>
      <c r="C9372" s="715" t="s">
        <v>103</v>
      </c>
      <c r="D9372" s="716">
        <v>0</v>
      </c>
    </row>
    <row r="9373" spans="1:4" ht="28">
      <c r="A9373" s="715">
        <v>103731</v>
      </c>
      <c r="B9373" s="633" t="s">
        <v>34506</v>
      </c>
      <c r="C9373" s="715" t="s">
        <v>103</v>
      </c>
      <c r="D9373" s="716">
        <v>0</v>
      </c>
    </row>
    <row r="9374" spans="1:4" ht="28">
      <c r="A9374" s="715">
        <v>103732</v>
      </c>
      <c r="B9374" s="633" t="s">
        <v>34507</v>
      </c>
      <c r="C9374" s="715" t="s">
        <v>103</v>
      </c>
      <c r="D9374" s="716">
        <v>0</v>
      </c>
    </row>
    <row r="9375" spans="1:4" ht="28">
      <c r="A9375" s="715">
        <v>103733</v>
      </c>
      <c r="B9375" s="633" t="s">
        <v>34508</v>
      </c>
      <c r="C9375" s="715" t="s">
        <v>103</v>
      </c>
      <c r="D9375" s="716">
        <v>0</v>
      </c>
    </row>
    <row r="9376" spans="1:4" ht="56">
      <c r="A9376" s="715">
        <v>103696</v>
      </c>
      <c r="B9376" s="633" t="s">
        <v>27069</v>
      </c>
      <c r="C9376" s="715" t="s">
        <v>103</v>
      </c>
      <c r="D9376" s="716">
        <v>161.02000000000001</v>
      </c>
    </row>
    <row r="9377" spans="1:4" ht="56">
      <c r="A9377" s="715">
        <v>103697</v>
      </c>
      <c r="B9377" s="633" t="s">
        <v>27070</v>
      </c>
      <c r="C9377" s="715" t="s">
        <v>103</v>
      </c>
      <c r="D9377" s="716">
        <v>148.81</v>
      </c>
    </row>
    <row r="9378" spans="1:4" ht="42">
      <c r="A9378" s="715">
        <v>103695</v>
      </c>
      <c r="B9378" s="633" t="s">
        <v>27068</v>
      </c>
      <c r="C9378" s="715" t="s">
        <v>103</v>
      </c>
      <c r="D9378" s="716">
        <v>110.14</v>
      </c>
    </row>
    <row r="9379" spans="1:4" ht="42">
      <c r="A9379" s="715">
        <v>103694</v>
      </c>
      <c r="B9379" s="633" t="s">
        <v>40766</v>
      </c>
      <c r="C9379" s="715" t="s">
        <v>103</v>
      </c>
      <c r="D9379" s="716">
        <v>122.35</v>
      </c>
    </row>
    <row r="9380" spans="1:4" ht="56">
      <c r="A9380" s="715">
        <v>103690</v>
      </c>
      <c r="B9380" s="633" t="s">
        <v>34509</v>
      </c>
      <c r="C9380" s="715" t="s">
        <v>103</v>
      </c>
      <c r="D9380" s="716">
        <v>0</v>
      </c>
    </row>
    <row r="9381" spans="1:4" ht="56">
      <c r="A9381" s="715">
        <v>103693</v>
      </c>
      <c r="B9381" s="633" t="s">
        <v>34510</v>
      </c>
      <c r="C9381" s="715" t="s">
        <v>103</v>
      </c>
      <c r="D9381" s="716">
        <v>0</v>
      </c>
    </row>
    <row r="9382" spans="1:4" ht="56">
      <c r="A9382" s="715">
        <v>103692</v>
      </c>
      <c r="B9382" s="633" t="s">
        <v>34511</v>
      </c>
      <c r="C9382" s="715" t="s">
        <v>103</v>
      </c>
      <c r="D9382" s="716">
        <v>0</v>
      </c>
    </row>
    <row r="9383" spans="1:4" ht="56">
      <c r="A9383" s="715">
        <v>103691</v>
      </c>
      <c r="B9383" s="633" t="s">
        <v>34512</v>
      </c>
      <c r="C9383" s="715" t="s">
        <v>103</v>
      </c>
      <c r="D9383" s="716">
        <v>0</v>
      </c>
    </row>
    <row r="9384" spans="1:4" ht="28">
      <c r="A9384" s="715">
        <v>96987</v>
      </c>
      <c r="B9384" s="633" t="s">
        <v>40767</v>
      </c>
      <c r="C9384" s="715" t="s">
        <v>103</v>
      </c>
      <c r="D9384" s="716">
        <v>152.53</v>
      </c>
    </row>
    <row r="9385" spans="1:4" ht="28">
      <c r="A9385" s="715">
        <v>96989</v>
      </c>
      <c r="B9385" s="633" t="s">
        <v>28263</v>
      </c>
      <c r="C9385" s="715" t="s">
        <v>103</v>
      </c>
      <c r="D9385" s="716">
        <v>140.19</v>
      </c>
    </row>
    <row r="9386" spans="1:4" ht="56">
      <c r="A9386" s="715">
        <v>104749</v>
      </c>
      <c r="B9386" s="633" t="s">
        <v>28266</v>
      </c>
      <c r="C9386" s="715" t="s">
        <v>103</v>
      </c>
      <c r="D9386" s="716">
        <v>25.15</v>
      </c>
    </row>
    <row r="9387" spans="1:4" ht="56">
      <c r="A9387" s="715">
        <v>104750</v>
      </c>
      <c r="B9387" s="633" t="s">
        <v>28267</v>
      </c>
      <c r="C9387" s="715" t="s">
        <v>103</v>
      </c>
      <c r="D9387" s="716">
        <v>21.22</v>
      </c>
    </row>
    <row r="9388" spans="1:4" ht="42">
      <c r="A9388" s="715">
        <v>104751</v>
      </c>
      <c r="B9388" s="633" t="s">
        <v>28268</v>
      </c>
      <c r="C9388" s="715" t="s">
        <v>103</v>
      </c>
      <c r="D9388" s="716">
        <v>27.96</v>
      </c>
    </row>
    <row r="9389" spans="1:4" ht="28">
      <c r="A9389" s="715">
        <v>104752</v>
      </c>
      <c r="B9389" s="633" t="s">
        <v>28269</v>
      </c>
      <c r="C9389" s="715" t="s">
        <v>103</v>
      </c>
      <c r="D9389" s="716">
        <v>25.48</v>
      </c>
    </row>
    <row r="9390" spans="1:4" ht="28">
      <c r="A9390" s="715">
        <v>104753</v>
      </c>
      <c r="B9390" s="633" t="s">
        <v>28270</v>
      </c>
      <c r="C9390" s="715" t="s">
        <v>103</v>
      </c>
      <c r="D9390" s="716">
        <v>29.78</v>
      </c>
    </row>
    <row r="9391" spans="1:4" ht="28">
      <c r="A9391" s="715">
        <v>104754</v>
      </c>
      <c r="B9391" s="633" t="s">
        <v>28271</v>
      </c>
      <c r="C9391" s="715" t="s">
        <v>103</v>
      </c>
      <c r="D9391" s="716">
        <v>37.159999999999997</v>
      </c>
    </row>
    <row r="9392" spans="1:4" ht="28">
      <c r="A9392" s="715">
        <v>104755</v>
      </c>
      <c r="B9392" s="633" t="s">
        <v>28272</v>
      </c>
      <c r="C9392" s="715" t="s">
        <v>103</v>
      </c>
      <c r="D9392" s="716">
        <v>48.6</v>
      </c>
    </row>
    <row r="9393" spans="1:4" ht="42">
      <c r="A9393" s="715">
        <v>96982</v>
      </c>
      <c r="B9393" s="633" t="s">
        <v>34513</v>
      </c>
      <c r="C9393" s="715" t="s">
        <v>103</v>
      </c>
      <c r="D9393" s="716">
        <v>0</v>
      </c>
    </row>
    <row r="9394" spans="1:4" ht="42">
      <c r="A9394" s="715">
        <v>96993</v>
      </c>
      <c r="B9394" s="633" t="s">
        <v>34514</v>
      </c>
      <c r="C9394" s="715" t="s">
        <v>103</v>
      </c>
      <c r="D9394" s="716">
        <v>0</v>
      </c>
    </row>
    <row r="9395" spans="1:4" ht="42">
      <c r="A9395" s="715">
        <v>96990</v>
      </c>
      <c r="B9395" s="633" t="s">
        <v>34515</v>
      </c>
      <c r="C9395" s="715" t="s">
        <v>103</v>
      </c>
      <c r="D9395" s="716">
        <v>0</v>
      </c>
    </row>
    <row r="9396" spans="1:4" ht="42">
      <c r="A9396" s="715">
        <v>96991</v>
      </c>
      <c r="B9396" s="633" t="s">
        <v>34516</v>
      </c>
      <c r="C9396" s="715" t="s">
        <v>103</v>
      </c>
      <c r="D9396" s="716">
        <v>0</v>
      </c>
    </row>
    <row r="9397" spans="1:4" ht="42">
      <c r="A9397" s="715">
        <v>96992</v>
      </c>
      <c r="B9397" s="633" t="s">
        <v>34517</v>
      </c>
      <c r="C9397" s="715" t="s">
        <v>103</v>
      </c>
      <c r="D9397" s="716">
        <v>0</v>
      </c>
    </row>
    <row r="9398" spans="1:4" ht="70">
      <c r="A9398" s="715">
        <v>96994</v>
      </c>
      <c r="B9398" s="633" t="s">
        <v>34518</v>
      </c>
      <c r="C9398" s="715" t="s">
        <v>103</v>
      </c>
      <c r="D9398" s="716">
        <v>0</v>
      </c>
    </row>
    <row r="9399" spans="1:4" ht="42">
      <c r="A9399" s="715">
        <v>96973</v>
      </c>
      <c r="B9399" s="633" t="s">
        <v>28252</v>
      </c>
      <c r="C9399" s="715" t="s">
        <v>165</v>
      </c>
      <c r="D9399" s="716">
        <v>87.24</v>
      </c>
    </row>
    <row r="9400" spans="1:4" ht="42">
      <c r="A9400" s="715">
        <v>104743</v>
      </c>
      <c r="B9400" s="633" t="s">
        <v>34519</v>
      </c>
      <c r="C9400" s="715" t="s">
        <v>165</v>
      </c>
      <c r="D9400" s="716">
        <v>0</v>
      </c>
    </row>
    <row r="9401" spans="1:4" ht="28">
      <c r="A9401" s="715">
        <v>96977</v>
      </c>
      <c r="B9401" s="633" t="s">
        <v>28256</v>
      </c>
      <c r="C9401" s="715" t="s">
        <v>165</v>
      </c>
      <c r="D9401" s="716">
        <v>66.62</v>
      </c>
    </row>
    <row r="9402" spans="1:4" ht="42">
      <c r="A9402" s="715">
        <v>96974</v>
      </c>
      <c r="B9402" s="633" t="s">
        <v>28253</v>
      </c>
      <c r="C9402" s="715" t="s">
        <v>165</v>
      </c>
      <c r="D9402" s="716">
        <v>111.91</v>
      </c>
    </row>
    <row r="9403" spans="1:4" ht="42">
      <c r="A9403" s="715">
        <v>104744</v>
      </c>
      <c r="B9403" s="633" t="s">
        <v>34520</v>
      </c>
      <c r="C9403" s="715" t="s">
        <v>165</v>
      </c>
      <c r="D9403" s="716">
        <v>0</v>
      </c>
    </row>
    <row r="9404" spans="1:4" ht="28">
      <c r="A9404" s="715">
        <v>96978</v>
      </c>
      <c r="B9404" s="633" t="s">
        <v>28257</v>
      </c>
      <c r="C9404" s="715" t="s">
        <v>165</v>
      </c>
      <c r="D9404" s="716">
        <v>87.73</v>
      </c>
    </row>
    <row r="9405" spans="1:4" ht="42">
      <c r="A9405" s="715">
        <v>96975</v>
      </c>
      <c r="B9405" s="633" t="s">
        <v>28254</v>
      </c>
      <c r="C9405" s="715" t="s">
        <v>165</v>
      </c>
      <c r="D9405" s="716">
        <v>137.75</v>
      </c>
    </row>
    <row r="9406" spans="1:4" ht="42">
      <c r="A9406" s="715">
        <v>104745</v>
      </c>
      <c r="B9406" s="633" t="s">
        <v>34521</v>
      </c>
      <c r="C9406" s="715" t="s">
        <v>165</v>
      </c>
      <c r="D9406" s="716">
        <v>0</v>
      </c>
    </row>
    <row r="9407" spans="1:4" ht="28">
      <c r="A9407" s="715">
        <v>96979</v>
      </c>
      <c r="B9407" s="633" t="s">
        <v>28258</v>
      </c>
      <c r="C9407" s="715" t="s">
        <v>165</v>
      </c>
      <c r="D9407" s="716">
        <v>125.29</v>
      </c>
    </row>
    <row r="9408" spans="1:4" ht="42">
      <c r="A9408" s="715">
        <v>96976</v>
      </c>
      <c r="B9408" s="633" t="s">
        <v>28255</v>
      </c>
      <c r="C9408" s="715" t="s">
        <v>165</v>
      </c>
      <c r="D9408" s="716">
        <v>179.61</v>
      </c>
    </row>
    <row r="9409" spans="1:4" ht="42">
      <c r="A9409" s="715">
        <v>96984</v>
      </c>
      <c r="B9409" s="633" t="s">
        <v>28259</v>
      </c>
      <c r="C9409" s="715" t="s">
        <v>103</v>
      </c>
      <c r="D9409" s="716">
        <v>76.61</v>
      </c>
    </row>
    <row r="9410" spans="1:4" ht="28">
      <c r="A9410" s="715">
        <v>96980</v>
      </c>
      <c r="B9410" s="633" t="s">
        <v>34522</v>
      </c>
      <c r="C9410" s="715" t="s">
        <v>165</v>
      </c>
      <c r="D9410" s="716">
        <v>0</v>
      </c>
    </row>
    <row r="9411" spans="1:4" ht="28">
      <c r="A9411" s="715">
        <v>96986</v>
      </c>
      <c r="B9411" s="633" t="s">
        <v>28261</v>
      </c>
      <c r="C9411" s="715" t="s">
        <v>103</v>
      </c>
      <c r="D9411" s="716">
        <v>130.81</v>
      </c>
    </row>
    <row r="9412" spans="1:4" ht="28">
      <c r="A9412" s="715">
        <v>96985</v>
      </c>
      <c r="B9412" s="633" t="s">
        <v>28260</v>
      </c>
      <c r="C9412" s="715" t="s">
        <v>103</v>
      </c>
      <c r="D9412" s="716">
        <v>87.29</v>
      </c>
    </row>
    <row r="9413" spans="1:4" ht="28">
      <c r="A9413" s="715">
        <v>96988</v>
      </c>
      <c r="B9413" s="633" t="s">
        <v>28262</v>
      </c>
      <c r="C9413" s="715" t="s">
        <v>103</v>
      </c>
      <c r="D9413" s="716">
        <v>167.65</v>
      </c>
    </row>
    <row r="9414" spans="1:4" ht="28">
      <c r="A9414" s="715">
        <v>104746</v>
      </c>
      <c r="B9414" s="633" t="s">
        <v>28265</v>
      </c>
      <c r="C9414" s="715" t="s">
        <v>103</v>
      </c>
      <c r="D9414" s="716">
        <v>31.32</v>
      </c>
    </row>
    <row r="9415" spans="1:4" ht="42">
      <c r="A9415" s="715">
        <v>104747</v>
      </c>
      <c r="B9415" s="633" t="s">
        <v>34523</v>
      </c>
      <c r="C9415" s="715" t="s">
        <v>103</v>
      </c>
      <c r="D9415" s="716">
        <v>0</v>
      </c>
    </row>
    <row r="9416" spans="1:4" ht="28">
      <c r="A9416" s="715">
        <v>96983</v>
      </c>
      <c r="B9416" s="633" t="s">
        <v>34524</v>
      </c>
      <c r="C9416" s="715" t="s">
        <v>103</v>
      </c>
      <c r="D9416" s="716">
        <v>0</v>
      </c>
    </row>
    <row r="9417" spans="1:4" ht="42">
      <c r="A9417" s="715">
        <v>104748</v>
      </c>
      <c r="B9417" s="633" t="s">
        <v>34525</v>
      </c>
      <c r="C9417" s="715" t="s">
        <v>103</v>
      </c>
      <c r="D9417" s="716">
        <v>0</v>
      </c>
    </row>
    <row r="9418" spans="1:4" ht="42">
      <c r="A9418" s="715">
        <v>98463</v>
      </c>
      <c r="B9418" s="633" t="s">
        <v>28264</v>
      </c>
      <c r="C9418" s="715" t="s">
        <v>103</v>
      </c>
      <c r="D9418" s="716">
        <v>33.840000000000003</v>
      </c>
    </row>
    <row r="9419" spans="1:4" ht="42">
      <c r="A9419" s="715">
        <v>104827</v>
      </c>
      <c r="B9419" s="633" t="s">
        <v>34526</v>
      </c>
      <c r="C9419" s="715" t="s">
        <v>103</v>
      </c>
      <c r="D9419" s="716">
        <v>0</v>
      </c>
    </row>
    <row r="9420" spans="1:4" ht="42">
      <c r="A9420" s="715">
        <v>104828</v>
      </c>
      <c r="B9420" s="633" t="s">
        <v>34527</v>
      </c>
      <c r="C9420" s="715" t="s">
        <v>103</v>
      </c>
      <c r="D9420" s="716">
        <v>0</v>
      </c>
    </row>
    <row r="9421" spans="1:4" ht="84">
      <c r="A9421" s="715">
        <v>104824</v>
      </c>
      <c r="B9421" s="633" t="s">
        <v>34528</v>
      </c>
      <c r="C9421" s="715" t="s">
        <v>103</v>
      </c>
      <c r="D9421" s="716">
        <v>0</v>
      </c>
    </row>
    <row r="9422" spans="1:4" ht="84">
      <c r="A9422" s="715">
        <v>104826</v>
      </c>
      <c r="B9422" s="633" t="s">
        <v>34529</v>
      </c>
      <c r="C9422" s="715" t="s">
        <v>103</v>
      </c>
      <c r="D9422" s="716">
        <v>0</v>
      </c>
    </row>
    <row r="9423" spans="1:4" ht="84">
      <c r="A9423" s="715">
        <v>104825</v>
      </c>
      <c r="B9423" s="633" t="s">
        <v>34530</v>
      </c>
      <c r="C9423" s="715" t="s">
        <v>103</v>
      </c>
      <c r="D9423" s="716">
        <v>0</v>
      </c>
    </row>
    <row r="9424" spans="1:4" ht="42">
      <c r="A9424" s="715">
        <v>104993</v>
      </c>
      <c r="B9424" s="633" t="s">
        <v>34531</v>
      </c>
      <c r="C9424" s="715" t="s">
        <v>103</v>
      </c>
      <c r="D9424" s="716">
        <v>0</v>
      </c>
    </row>
    <row r="9425" spans="1:4" ht="42">
      <c r="A9425" s="715">
        <v>104994</v>
      </c>
      <c r="B9425" s="633" t="s">
        <v>34532</v>
      </c>
      <c r="C9425" s="715" t="s">
        <v>103</v>
      </c>
      <c r="D9425" s="716">
        <v>0</v>
      </c>
    </row>
    <row r="9426" spans="1:4" ht="42">
      <c r="A9426" s="715">
        <v>104995</v>
      </c>
      <c r="B9426" s="633" t="s">
        <v>34533</v>
      </c>
      <c r="C9426" s="715" t="s">
        <v>103</v>
      </c>
      <c r="D9426" s="716">
        <v>0</v>
      </c>
    </row>
    <row r="9427" spans="1:4" ht="42">
      <c r="A9427" s="715">
        <v>104996</v>
      </c>
      <c r="B9427" s="633" t="s">
        <v>34534</v>
      </c>
      <c r="C9427" s="715" t="s">
        <v>103</v>
      </c>
      <c r="D9427" s="716">
        <v>0</v>
      </c>
    </row>
    <row r="9428" spans="1:4" ht="42">
      <c r="A9428" s="715">
        <v>95676</v>
      </c>
      <c r="B9428" s="633" t="s">
        <v>29355</v>
      </c>
      <c r="C9428" s="715" t="s">
        <v>103</v>
      </c>
      <c r="D9428" s="716">
        <v>157.13999999999999</v>
      </c>
    </row>
    <row r="9429" spans="1:4" ht="42">
      <c r="A9429" s="715">
        <v>95677</v>
      </c>
      <c r="B9429" s="633" t="s">
        <v>34535</v>
      </c>
      <c r="C9429" s="715" t="s">
        <v>103</v>
      </c>
      <c r="D9429" s="716">
        <v>0</v>
      </c>
    </row>
    <row r="9430" spans="1:4" ht="28">
      <c r="A9430" s="715">
        <v>105135</v>
      </c>
      <c r="B9430" s="633" t="s">
        <v>29358</v>
      </c>
      <c r="C9430" s="715" t="s">
        <v>103</v>
      </c>
      <c r="D9430" s="716">
        <v>1009.64</v>
      </c>
    </row>
    <row r="9431" spans="1:4" ht="28">
      <c r="A9431" s="715">
        <v>104998</v>
      </c>
      <c r="B9431" s="633" t="s">
        <v>29357</v>
      </c>
      <c r="C9431" s="715" t="s">
        <v>103</v>
      </c>
      <c r="D9431" s="716">
        <v>621.92999999999995</v>
      </c>
    </row>
    <row r="9432" spans="1:4" ht="28">
      <c r="A9432" s="715">
        <v>104997</v>
      </c>
      <c r="B9432" s="633" t="s">
        <v>29356</v>
      </c>
      <c r="C9432" s="715" t="s">
        <v>103</v>
      </c>
      <c r="D9432" s="716">
        <v>468.25</v>
      </c>
    </row>
    <row r="9433" spans="1:4" ht="28">
      <c r="A9433" s="715">
        <v>95673</v>
      </c>
      <c r="B9433" s="633" t="s">
        <v>29352</v>
      </c>
      <c r="C9433" s="715" t="s">
        <v>103</v>
      </c>
      <c r="D9433" s="716">
        <v>141.72999999999999</v>
      </c>
    </row>
    <row r="9434" spans="1:4" ht="28">
      <c r="A9434" s="715">
        <v>95674</v>
      </c>
      <c r="B9434" s="633" t="s">
        <v>29353</v>
      </c>
      <c r="C9434" s="715" t="s">
        <v>103</v>
      </c>
      <c r="D9434" s="716">
        <v>149.81</v>
      </c>
    </row>
    <row r="9435" spans="1:4" ht="28">
      <c r="A9435" s="715">
        <v>104992</v>
      </c>
      <c r="B9435" s="633" t="s">
        <v>40768</v>
      </c>
      <c r="C9435" s="715" t="s">
        <v>103</v>
      </c>
      <c r="D9435" s="716">
        <v>1405.47</v>
      </c>
    </row>
    <row r="9436" spans="1:4" ht="28">
      <c r="A9436" s="715">
        <v>95675</v>
      </c>
      <c r="B9436" s="633" t="s">
        <v>29354</v>
      </c>
      <c r="C9436" s="715" t="s">
        <v>103</v>
      </c>
      <c r="D9436" s="716">
        <v>184.87</v>
      </c>
    </row>
    <row r="9437" spans="1:4" ht="56">
      <c r="A9437" s="715">
        <v>95648</v>
      </c>
      <c r="B9437" s="633" t="s">
        <v>29328</v>
      </c>
      <c r="C9437" s="715" t="s">
        <v>103</v>
      </c>
      <c r="D9437" s="716">
        <v>630.11</v>
      </c>
    </row>
    <row r="9438" spans="1:4" ht="56">
      <c r="A9438" s="715">
        <v>95649</v>
      </c>
      <c r="B9438" s="633" t="s">
        <v>29329</v>
      </c>
      <c r="C9438" s="715" t="s">
        <v>103</v>
      </c>
      <c r="D9438" s="716">
        <v>1086.3599999999999</v>
      </c>
    </row>
    <row r="9439" spans="1:4" ht="56">
      <c r="A9439" s="715">
        <v>95650</v>
      </c>
      <c r="B9439" s="633" t="s">
        <v>29330</v>
      </c>
      <c r="C9439" s="715" t="s">
        <v>103</v>
      </c>
      <c r="D9439" s="716">
        <v>1587.54</v>
      </c>
    </row>
    <row r="9440" spans="1:4" ht="56">
      <c r="A9440" s="715">
        <v>95651</v>
      </c>
      <c r="B9440" s="633" t="s">
        <v>29331</v>
      </c>
      <c r="C9440" s="715" t="s">
        <v>103</v>
      </c>
      <c r="D9440" s="716">
        <v>2061.6799999999998</v>
      </c>
    </row>
    <row r="9441" spans="1:4" ht="56">
      <c r="A9441" s="715">
        <v>95652</v>
      </c>
      <c r="B9441" s="633" t="s">
        <v>29332</v>
      </c>
      <c r="C9441" s="715" t="s">
        <v>103</v>
      </c>
      <c r="D9441" s="716">
        <v>774.77</v>
      </c>
    </row>
    <row r="9442" spans="1:4" ht="56">
      <c r="A9442" s="715">
        <v>95653</v>
      </c>
      <c r="B9442" s="633" t="s">
        <v>29333</v>
      </c>
      <c r="C9442" s="715" t="s">
        <v>103</v>
      </c>
      <c r="D9442" s="716">
        <v>1373.64</v>
      </c>
    </row>
    <row r="9443" spans="1:4" ht="56">
      <c r="A9443" s="715">
        <v>95654</v>
      </c>
      <c r="B9443" s="633" t="s">
        <v>29334</v>
      </c>
      <c r="C9443" s="715" t="s">
        <v>103</v>
      </c>
      <c r="D9443" s="716">
        <v>2023.53</v>
      </c>
    </row>
    <row r="9444" spans="1:4" ht="56">
      <c r="A9444" s="715">
        <v>95655</v>
      </c>
      <c r="B9444" s="633" t="s">
        <v>29335</v>
      </c>
      <c r="C9444" s="715" t="s">
        <v>103</v>
      </c>
      <c r="D9444" s="716">
        <v>2638.95</v>
      </c>
    </row>
    <row r="9445" spans="1:4" ht="56">
      <c r="A9445" s="715">
        <v>95657</v>
      </c>
      <c r="B9445" s="633" t="s">
        <v>29336</v>
      </c>
      <c r="C9445" s="715" t="s">
        <v>103</v>
      </c>
      <c r="D9445" s="716">
        <v>378.84</v>
      </c>
    </row>
    <row r="9446" spans="1:4" ht="56">
      <c r="A9446" s="715">
        <v>95658</v>
      </c>
      <c r="B9446" s="633" t="s">
        <v>29337</v>
      </c>
      <c r="C9446" s="715" t="s">
        <v>103</v>
      </c>
      <c r="D9446" s="716">
        <v>685.93</v>
      </c>
    </row>
    <row r="9447" spans="1:4" ht="56">
      <c r="A9447" s="715">
        <v>95659</v>
      </c>
      <c r="B9447" s="633" t="s">
        <v>29338</v>
      </c>
      <c r="C9447" s="715" t="s">
        <v>103</v>
      </c>
      <c r="D9447" s="716">
        <v>1019.92</v>
      </c>
    </row>
    <row r="9448" spans="1:4" ht="56">
      <c r="A9448" s="715">
        <v>95660</v>
      </c>
      <c r="B9448" s="633" t="s">
        <v>29339</v>
      </c>
      <c r="C9448" s="715" t="s">
        <v>103</v>
      </c>
      <c r="D9448" s="716">
        <v>1335.44</v>
      </c>
    </row>
    <row r="9449" spans="1:4" ht="56">
      <c r="A9449" s="715">
        <v>95661</v>
      </c>
      <c r="B9449" s="633" t="s">
        <v>29340</v>
      </c>
      <c r="C9449" s="715" t="s">
        <v>103</v>
      </c>
      <c r="D9449" s="716">
        <v>462.51</v>
      </c>
    </row>
    <row r="9450" spans="1:4" ht="56">
      <c r="A9450" s="715">
        <v>95662</v>
      </c>
      <c r="B9450" s="633" t="s">
        <v>29341</v>
      </c>
      <c r="C9450" s="715" t="s">
        <v>103</v>
      </c>
      <c r="D9450" s="716">
        <v>851.54</v>
      </c>
    </row>
    <row r="9451" spans="1:4" ht="56">
      <c r="A9451" s="715">
        <v>95663</v>
      </c>
      <c r="B9451" s="633" t="s">
        <v>29342</v>
      </c>
      <c r="C9451" s="715" t="s">
        <v>103</v>
      </c>
      <c r="D9451" s="716">
        <v>1272.6099999999999</v>
      </c>
    </row>
    <row r="9452" spans="1:4" ht="56">
      <c r="A9452" s="715">
        <v>95664</v>
      </c>
      <c r="B9452" s="633" t="s">
        <v>29343</v>
      </c>
      <c r="C9452" s="715" t="s">
        <v>103</v>
      </c>
      <c r="D9452" s="716">
        <v>1668.92</v>
      </c>
    </row>
    <row r="9453" spans="1:4" ht="56">
      <c r="A9453" s="715">
        <v>95665</v>
      </c>
      <c r="B9453" s="633" t="s">
        <v>29344</v>
      </c>
      <c r="C9453" s="715" t="s">
        <v>103</v>
      </c>
      <c r="D9453" s="716">
        <v>419.13</v>
      </c>
    </row>
    <row r="9454" spans="1:4" ht="56">
      <c r="A9454" s="715">
        <v>95666</v>
      </c>
      <c r="B9454" s="633" t="s">
        <v>29345</v>
      </c>
      <c r="C9454" s="715" t="s">
        <v>103</v>
      </c>
      <c r="D9454" s="716">
        <v>738.96</v>
      </c>
    </row>
    <row r="9455" spans="1:4" ht="56">
      <c r="A9455" s="715">
        <v>95667</v>
      </c>
      <c r="B9455" s="633" t="s">
        <v>29346</v>
      </c>
      <c r="C9455" s="715" t="s">
        <v>103</v>
      </c>
      <c r="D9455" s="716">
        <v>1093.78</v>
      </c>
    </row>
    <row r="9456" spans="1:4" ht="56">
      <c r="A9456" s="715">
        <v>95668</v>
      </c>
      <c r="B9456" s="633" t="s">
        <v>29347</v>
      </c>
      <c r="C9456" s="715" t="s">
        <v>103</v>
      </c>
      <c r="D9456" s="716">
        <v>1427.51</v>
      </c>
    </row>
    <row r="9457" spans="1:4" ht="56">
      <c r="A9457" s="715">
        <v>95669</v>
      </c>
      <c r="B9457" s="633" t="s">
        <v>29348</v>
      </c>
      <c r="C9457" s="715" t="s">
        <v>103</v>
      </c>
      <c r="D9457" s="716">
        <v>498.67</v>
      </c>
    </row>
    <row r="9458" spans="1:4" ht="56">
      <c r="A9458" s="715">
        <v>95670</v>
      </c>
      <c r="B9458" s="633" t="s">
        <v>29349</v>
      </c>
      <c r="C9458" s="715" t="s">
        <v>103</v>
      </c>
      <c r="D9458" s="716">
        <v>896.55</v>
      </c>
    </row>
    <row r="9459" spans="1:4" ht="56">
      <c r="A9459" s="715">
        <v>95671</v>
      </c>
      <c r="B9459" s="633" t="s">
        <v>29350</v>
      </c>
      <c r="C9459" s="715" t="s">
        <v>103</v>
      </c>
      <c r="D9459" s="716">
        <v>1333.89</v>
      </c>
    </row>
    <row r="9460" spans="1:4" ht="56">
      <c r="A9460" s="715">
        <v>95672</v>
      </c>
      <c r="B9460" s="633" t="s">
        <v>29351</v>
      </c>
      <c r="C9460" s="715" t="s">
        <v>103</v>
      </c>
      <c r="D9460" s="716">
        <v>1744.69</v>
      </c>
    </row>
    <row r="9461" spans="1:4" ht="56">
      <c r="A9461" s="715">
        <v>97741</v>
      </c>
      <c r="B9461" s="633" t="s">
        <v>29947</v>
      </c>
      <c r="C9461" s="715" t="s">
        <v>103</v>
      </c>
      <c r="D9461" s="716">
        <v>204.84</v>
      </c>
    </row>
    <row r="9462" spans="1:4" ht="56">
      <c r="A9462" s="715">
        <v>95641</v>
      </c>
      <c r="B9462" s="633" t="s">
        <v>29940</v>
      </c>
      <c r="C9462" s="715" t="s">
        <v>103</v>
      </c>
      <c r="D9462" s="716">
        <v>362.13</v>
      </c>
    </row>
    <row r="9463" spans="1:4" ht="56">
      <c r="A9463" s="715">
        <v>95642</v>
      </c>
      <c r="B9463" s="633" t="s">
        <v>29941</v>
      </c>
      <c r="C9463" s="715" t="s">
        <v>103</v>
      </c>
      <c r="D9463" s="716">
        <v>535.39</v>
      </c>
    </row>
    <row r="9464" spans="1:4" ht="56">
      <c r="A9464" s="715">
        <v>95643</v>
      </c>
      <c r="B9464" s="633" t="s">
        <v>29942</v>
      </c>
      <c r="C9464" s="715" t="s">
        <v>103</v>
      </c>
      <c r="D9464" s="716">
        <v>698.94</v>
      </c>
    </row>
    <row r="9465" spans="1:4" ht="56">
      <c r="A9465" s="715">
        <v>95644</v>
      </c>
      <c r="B9465" s="633" t="s">
        <v>29943</v>
      </c>
      <c r="C9465" s="715" t="s">
        <v>103</v>
      </c>
      <c r="D9465" s="716">
        <v>261.64</v>
      </c>
    </row>
    <row r="9466" spans="1:4" ht="56">
      <c r="A9466" s="715">
        <v>95645</v>
      </c>
      <c r="B9466" s="633" t="s">
        <v>29944</v>
      </c>
      <c r="C9466" s="715" t="s">
        <v>103</v>
      </c>
      <c r="D9466" s="716">
        <v>474.46</v>
      </c>
    </row>
    <row r="9467" spans="1:4" ht="56">
      <c r="A9467" s="715">
        <v>95646</v>
      </c>
      <c r="B9467" s="633" t="s">
        <v>29945</v>
      </c>
      <c r="C9467" s="715" t="s">
        <v>103</v>
      </c>
      <c r="D9467" s="716">
        <v>707</v>
      </c>
    </row>
    <row r="9468" spans="1:4" ht="56">
      <c r="A9468" s="715">
        <v>95647</v>
      </c>
      <c r="B9468" s="633" t="s">
        <v>29946</v>
      </c>
      <c r="C9468" s="715" t="s">
        <v>103</v>
      </c>
      <c r="D9468" s="716">
        <v>925.28</v>
      </c>
    </row>
    <row r="9469" spans="1:4" ht="56">
      <c r="A9469" s="715">
        <v>95636</v>
      </c>
      <c r="B9469" s="633" t="s">
        <v>29324</v>
      </c>
      <c r="C9469" s="715" t="s">
        <v>103</v>
      </c>
      <c r="D9469" s="716">
        <v>470.64</v>
      </c>
    </row>
    <row r="9470" spans="1:4" ht="56">
      <c r="A9470" s="715">
        <v>95637</v>
      </c>
      <c r="B9470" s="633" t="s">
        <v>29325</v>
      </c>
      <c r="C9470" s="715" t="s">
        <v>103</v>
      </c>
      <c r="D9470" s="716">
        <v>613.91999999999996</v>
      </c>
    </row>
    <row r="9471" spans="1:4" ht="56">
      <c r="A9471" s="715">
        <v>95638</v>
      </c>
      <c r="B9471" s="633" t="s">
        <v>29326</v>
      </c>
      <c r="C9471" s="715" t="s">
        <v>103</v>
      </c>
      <c r="D9471" s="716">
        <v>753.64</v>
      </c>
    </row>
    <row r="9472" spans="1:4" ht="56">
      <c r="A9472" s="715">
        <v>95639</v>
      </c>
      <c r="B9472" s="633" t="s">
        <v>29327</v>
      </c>
      <c r="C9472" s="715" t="s">
        <v>103</v>
      </c>
      <c r="D9472" s="716">
        <v>1015.44</v>
      </c>
    </row>
    <row r="9473" spans="1:4" ht="42">
      <c r="A9473" s="715">
        <v>95634</v>
      </c>
      <c r="B9473" s="633" t="s">
        <v>29938</v>
      </c>
      <c r="C9473" s="715" t="s">
        <v>103</v>
      </c>
      <c r="D9473" s="716">
        <v>258.25</v>
      </c>
    </row>
    <row r="9474" spans="1:4" ht="42">
      <c r="A9474" s="715">
        <v>95635</v>
      </c>
      <c r="B9474" s="633" t="s">
        <v>29939</v>
      </c>
      <c r="C9474" s="715" t="s">
        <v>103</v>
      </c>
      <c r="D9474" s="716">
        <v>273.58999999999997</v>
      </c>
    </row>
    <row r="9475" spans="1:4" ht="28">
      <c r="A9475" s="715">
        <v>98751</v>
      </c>
      <c r="B9475" s="633" t="s">
        <v>25611</v>
      </c>
      <c r="C9475" s="715" t="s">
        <v>165</v>
      </c>
      <c r="D9475" s="716">
        <v>189.4</v>
      </c>
    </row>
    <row r="9476" spans="1:4" ht="28">
      <c r="A9476" s="715">
        <v>98746</v>
      </c>
      <c r="B9476" s="633" t="s">
        <v>25608</v>
      </c>
      <c r="C9476" s="715" t="s">
        <v>165</v>
      </c>
      <c r="D9476" s="716">
        <v>96.89</v>
      </c>
    </row>
    <row r="9477" spans="1:4" ht="28">
      <c r="A9477" s="715">
        <v>98753</v>
      </c>
      <c r="B9477" s="633" t="s">
        <v>25613</v>
      </c>
      <c r="C9477" s="715" t="s">
        <v>165</v>
      </c>
      <c r="D9477" s="716">
        <v>335.48</v>
      </c>
    </row>
    <row r="9478" spans="1:4" ht="28">
      <c r="A9478" s="715">
        <v>98750</v>
      </c>
      <c r="B9478" s="633" t="s">
        <v>25610</v>
      </c>
      <c r="C9478" s="715" t="s">
        <v>165</v>
      </c>
      <c r="D9478" s="716">
        <v>135.07</v>
      </c>
    </row>
    <row r="9479" spans="1:4" ht="28">
      <c r="A9479" s="715">
        <v>98749</v>
      </c>
      <c r="B9479" s="633" t="s">
        <v>25609</v>
      </c>
      <c r="C9479" s="715" t="s">
        <v>165</v>
      </c>
      <c r="D9479" s="716">
        <v>114.24</v>
      </c>
    </row>
    <row r="9480" spans="1:4" ht="28">
      <c r="A9480" s="715">
        <v>98752</v>
      </c>
      <c r="B9480" s="633" t="s">
        <v>25612</v>
      </c>
      <c r="C9480" s="715" t="s">
        <v>165</v>
      </c>
      <c r="D9480" s="716">
        <v>254.59</v>
      </c>
    </row>
    <row r="9481" spans="1:4" ht="42">
      <c r="A9481" s="715">
        <v>98529</v>
      </c>
      <c r="B9481" s="633" t="s">
        <v>29535</v>
      </c>
      <c r="C9481" s="715" t="s">
        <v>103</v>
      </c>
      <c r="D9481" s="716">
        <v>104.59</v>
      </c>
    </row>
    <row r="9482" spans="1:4" ht="42">
      <c r="A9482" s="715">
        <v>98530</v>
      </c>
      <c r="B9482" s="633" t="s">
        <v>29536</v>
      </c>
      <c r="C9482" s="715" t="s">
        <v>103</v>
      </c>
      <c r="D9482" s="716">
        <v>205.27</v>
      </c>
    </row>
    <row r="9483" spans="1:4" ht="28">
      <c r="A9483" s="715">
        <v>98531</v>
      </c>
      <c r="B9483" s="633" t="s">
        <v>29537</v>
      </c>
      <c r="C9483" s="715" t="s">
        <v>103</v>
      </c>
      <c r="D9483" s="716">
        <v>476.63</v>
      </c>
    </row>
    <row r="9484" spans="1:4" ht="28">
      <c r="A9484" s="715">
        <v>98524</v>
      </c>
      <c r="B9484" s="633" t="s">
        <v>29526</v>
      </c>
      <c r="C9484" s="715" t="s">
        <v>509</v>
      </c>
      <c r="D9484" s="716">
        <v>6.61</v>
      </c>
    </row>
    <row r="9485" spans="1:4" ht="56">
      <c r="A9485" s="715">
        <v>98525</v>
      </c>
      <c r="B9485" s="633" t="s">
        <v>29531</v>
      </c>
      <c r="C9485" s="715" t="s">
        <v>509</v>
      </c>
      <c r="D9485" s="716">
        <v>0.77</v>
      </c>
    </row>
    <row r="9486" spans="1:4" ht="42">
      <c r="A9486" s="715">
        <v>98533</v>
      </c>
      <c r="B9486" s="633" t="s">
        <v>29539</v>
      </c>
      <c r="C9486" s="715" t="s">
        <v>103</v>
      </c>
      <c r="D9486" s="716">
        <v>149.82</v>
      </c>
    </row>
    <row r="9487" spans="1:4" ht="42">
      <c r="A9487" s="715">
        <v>98534</v>
      </c>
      <c r="B9487" s="633" t="s">
        <v>29540</v>
      </c>
      <c r="C9487" s="715" t="s">
        <v>103</v>
      </c>
      <c r="D9487" s="716">
        <v>413.59</v>
      </c>
    </row>
    <row r="9488" spans="1:4" ht="28">
      <c r="A9488" s="715">
        <v>98535</v>
      </c>
      <c r="B9488" s="633" t="s">
        <v>29541</v>
      </c>
      <c r="C9488" s="715" t="s">
        <v>103</v>
      </c>
      <c r="D9488" s="716">
        <v>874.87</v>
      </c>
    </row>
    <row r="9489" spans="1:4" ht="28">
      <c r="A9489" s="715">
        <v>98532</v>
      </c>
      <c r="B9489" s="633" t="s">
        <v>29538</v>
      </c>
      <c r="C9489" s="715" t="s">
        <v>103</v>
      </c>
      <c r="D9489" s="716">
        <v>38.86</v>
      </c>
    </row>
    <row r="9490" spans="1:4" ht="42">
      <c r="A9490" s="715">
        <v>98526</v>
      </c>
      <c r="B9490" s="633" t="s">
        <v>29532</v>
      </c>
      <c r="C9490" s="715" t="s">
        <v>103</v>
      </c>
      <c r="D9490" s="716">
        <v>167.19</v>
      </c>
    </row>
    <row r="9491" spans="1:4" ht="42">
      <c r="A9491" s="715">
        <v>98527</v>
      </c>
      <c r="B9491" s="633" t="s">
        <v>29533</v>
      </c>
      <c r="C9491" s="715" t="s">
        <v>103</v>
      </c>
      <c r="D9491" s="716">
        <v>277.45999999999998</v>
      </c>
    </row>
    <row r="9492" spans="1:4" ht="42">
      <c r="A9492" s="715">
        <v>98528</v>
      </c>
      <c r="B9492" s="633" t="s">
        <v>29534</v>
      </c>
      <c r="C9492" s="715" t="s">
        <v>103</v>
      </c>
      <c r="D9492" s="716">
        <v>365.68</v>
      </c>
    </row>
    <row r="9493" spans="1:4" ht="28">
      <c r="A9493" s="715">
        <v>94232</v>
      </c>
      <c r="B9493" s="633" t="s">
        <v>24999</v>
      </c>
      <c r="C9493" s="715" t="s">
        <v>103</v>
      </c>
      <c r="D9493" s="716">
        <v>3.74</v>
      </c>
    </row>
    <row r="9494" spans="1:4" ht="56">
      <c r="A9494" s="715">
        <v>100434</v>
      </c>
      <c r="B9494" s="633" t="s">
        <v>25021</v>
      </c>
      <c r="C9494" s="715" t="s">
        <v>165</v>
      </c>
      <c r="D9494" s="716">
        <v>195.71</v>
      </c>
    </row>
    <row r="9495" spans="1:4" ht="42">
      <c r="A9495" s="715">
        <v>94229</v>
      </c>
      <c r="B9495" s="633" t="s">
        <v>25025</v>
      </c>
      <c r="C9495" s="715" t="s">
        <v>165</v>
      </c>
      <c r="D9495" s="716">
        <v>175.19</v>
      </c>
    </row>
    <row r="9496" spans="1:4" ht="42">
      <c r="A9496" s="715">
        <v>94227</v>
      </c>
      <c r="B9496" s="633" t="s">
        <v>25023</v>
      </c>
      <c r="C9496" s="715" t="s">
        <v>165</v>
      </c>
      <c r="D9496" s="716">
        <v>66.569999999999993</v>
      </c>
    </row>
    <row r="9497" spans="1:4" ht="42">
      <c r="A9497" s="715">
        <v>94228</v>
      </c>
      <c r="B9497" s="633" t="s">
        <v>25024</v>
      </c>
      <c r="C9497" s="715" t="s">
        <v>165</v>
      </c>
      <c r="D9497" s="716">
        <v>91.09</v>
      </c>
    </row>
    <row r="9498" spans="1:4" ht="56">
      <c r="A9498" s="715">
        <v>94219</v>
      </c>
      <c r="B9498" s="633" t="s">
        <v>25013</v>
      </c>
      <c r="C9498" s="715" t="s">
        <v>165</v>
      </c>
      <c r="D9498" s="716">
        <v>55.05</v>
      </c>
    </row>
    <row r="9499" spans="1:4" ht="56">
      <c r="A9499" s="715">
        <v>94220</v>
      </c>
      <c r="B9499" s="633" t="s">
        <v>25014</v>
      </c>
      <c r="C9499" s="715" t="s">
        <v>165</v>
      </c>
      <c r="D9499" s="716">
        <v>64.17</v>
      </c>
    </row>
    <row r="9500" spans="1:4" ht="42">
      <c r="A9500" s="715">
        <v>100326</v>
      </c>
      <c r="B9500" s="633" t="s">
        <v>34536</v>
      </c>
      <c r="C9500" s="715" t="s">
        <v>165</v>
      </c>
      <c r="D9500" s="716">
        <v>0</v>
      </c>
    </row>
    <row r="9501" spans="1:4" ht="56">
      <c r="A9501" s="715">
        <v>94221</v>
      </c>
      <c r="B9501" s="633" t="s">
        <v>25015</v>
      </c>
      <c r="C9501" s="715" t="s">
        <v>165</v>
      </c>
      <c r="D9501" s="716">
        <v>45.71</v>
      </c>
    </row>
    <row r="9502" spans="1:4" ht="56">
      <c r="A9502" s="715">
        <v>94222</v>
      </c>
      <c r="B9502" s="633" t="s">
        <v>25016</v>
      </c>
      <c r="C9502" s="715" t="s">
        <v>165</v>
      </c>
      <c r="D9502" s="716">
        <v>54.83</v>
      </c>
    </row>
    <row r="9503" spans="1:4" ht="42">
      <c r="A9503" s="715">
        <v>94451</v>
      </c>
      <c r="B9503" s="633" t="s">
        <v>25018</v>
      </c>
      <c r="C9503" s="715" t="s">
        <v>165</v>
      </c>
      <c r="D9503" s="716">
        <v>84.82</v>
      </c>
    </row>
    <row r="9504" spans="1:4" ht="42">
      <c r="A9504" s="715">
        <v>94223</v>
      </c>
      <c r="B9504" s="633" t="s">
        <v>25017</v>
      </c>
      <c r="C9504" s="715" t="s">
        <v>165</v>
      </c>
      <c r="D9504" s="716">
        <v>76.209999999999994</v>
      </c>
    </row>
    <row r="9505" spans="1:4" ht="42">
      <c r="A9505" s="715">
        <v>100325</v>
      </c>
      <c r="B9505" s="633" t="s">
        <v>25019</v>
      </c>
      <c r="C9505" s="715" t="s">
        <v>165</v>
      </c>
      <c r="D9505" s="716">
        <v>82.01</v>
      </c>
    </row>
    <row r="9506" spans="1:4" ht="28">
      <c r="A9506" s="715">
        <v>94224</v>
      </c>
      <c r="B9506" s="633" t="s">
        <v>24997</v>
      </c>
      <c r="C9506" s="715" t="s">
        <v>165</v>
      </c>
      <c r="D9506" s="716">
        <v>34.020000000000003</v>
      </c>
    </row>
    <row r="9507" spans="1:4" ht="42">
      <c r="A9507" s="715">
        <v>102653</v>
      </c>
      <c r="B9507" s="633" t="s">
        <v>34537</v>
      </c>
      <c r="C9507" s="715" t="s">
        <v>509</v>
      </c>
      <c r="D9507" s="716">
        <v>0</v>
      </c>
    </row>
    <row r="9508" spans="1:4" ht="42">
      <c r="A9508" s="715">
        <v>100330</v>
      </c>
      <c r="B9508" s="633" t="s">
        <v>40769</v>
      </c>
      <c r="C9508" s="715" t="s">
        <v>509</v>
      </c>
      <c r="D9508" s="716">
        <v>34.53</v>
      </c>
    </row>
    <row r="9509" spans="1:4" ht="42">
      <c r="A9509" s="715">
        <v>100331</v>
      </c>
      <c r="B9509" s="633" t="s">
        <v>40770</v>
      </c>
      <c r="C9509" s="715" t="s">
        <v>509</v>
      </c>
      <c r="D9509" s="716">
        <v>42.61</v>
      </c>
    </row>
    <row r="9510" spans="1:4" ht="42">
      <c r="A9510" s="715">
        <v>100328</v>
      </c>
      <c r="B9510" s="633" t="s">
        <v>40771</v>
      </c>
      <c r="C9510" s="715" t="s">
        <v>509</v>
      </c>
      <c r="D9510" s="716">
        <v>25.42</v>
      </c>
    </row>
    <row r="9511" spans="1:4" ht="42">
      <c r="A9511" s="715">
        <v>100329</v>
      </c>
      <c r="B9511" s="633" t="s">
        <v>40772</v>
      </c>
      <c r="C9511" s="715" t="s">
        <v>509</v>
      </c>
      <c r="D9511" s="716">
        <v>30.16</v>
      </c>
    </row>
    <row r="9512" spans="1:4" ht="42">
      <c r="A9512" s="715">
        <v>94231</v>
      </c>
      <c r="B9512" s="633" t="s">
        <v>25026</v>
      </c>
      <c r="C9512" s="715" t="s">
        <v>165</v>
      </c>
      <c r="D9512" s="716">
        <v>53.67</v>
      </c>
    </row>
    <row r="9513" spans="1:4" ht="42">
      <c r="A9513" s="715">
        <v>100435</v>
      </c>
      <c r="B9513" s="633" t="s">
        <v>25022</v>
      </c>
      <c r="C9513" s="715" t="s">
        <v>165</v>
      </c>
      <c r="D9513" s="716">
        <v>60.11</v>
      </c>
    </row>
    <row r="9514" spans="1:4" ht="42">
      <c r="A9514" s="715">
        <v>100327</v>
      </c>
      <c r="B9514" s="633" t="s">
        <v>25020</v>
      </c>
      <c r="C9514" s="715" t="s">
        <v>165</v>
      </c>
      <c r="D9514" s="716">
        <v>61.32</v>
      </c>
    </row>
    <row r="9515" spans="1:4" ht="42">
      <c r="A9515" s="715">
        <v>94226</v>
      </c>
      <c r="B9515" s="633" t="s">
        <v>24998</v>
      </c>
      <c r="C9515" s="715" t="s">
        <v>509</v>
      </c>
      <c r="D9515" s="716">
        <v>24.15</v>
      </c>
    </row>
    <row r="9516" spans="1:4" ht="42">
      <c r="A9516" s="715">
        <v>94201</v>
      </c>
      <c r="B9516" s="633" t="s">
        <v>24995</v>
      </c>
      <c r="C9516" s="715" t="s">
        <v>509</v>
      </c>
      <c r="D9516" s="716">
        <v>113.42</v>
      </c>
    </row>
    <row r="9517" spans="1:4" ht="42">
      <c r="A9517" s="715">
        <v>94204</v>
      </c>
      <c r="B9517" s="633" t="s">
        <v>24996</v>
      </c>
      <c r="C9517" s="715" t="s">
        <v>509</v>
      </c>
      <c r="D9517" s="716">
        <v>121.47</v>
      </c>
    </row>
    <row r="9518" spans="1:4" ht="42">
      <c r="A9518" s="715">
        <v>94447</v>
      </c>
      <c r="B9518" s="633" t="s">
        <v>25006</v>
      </c>
      <c r="C9518" s="715" t="s">
        <v>509</v>
      </c>
      <c r="D9518" s="716">
        <v>113.42</v>
      </c>
    </row>
    <row r="9519" spans="1:4" ht="42">
      <c r="A9519" s="715">
        <v>94448</v>
      </c>
      <c r="B9519" s="633" t="s">
        <v>25007</v>
      </c>
      <c r="C9519" s="715" t="s">
        <v>509</v>
      </c>
      <c r="D9519" s="716">
        <v>121.47</v>
      </c>
    </row>
    <row r="9520" spans="1:4" ht="42">
      <c r="A9520" s="715">
        <v>94445</v>
      </c>
      <c r="B9520" s="633" t="s">
        <v>25004</v>
      </c>
      <c r="C9520" s="715" t="s">
        <v>509</v>
      </c>
      <c r="D9520" s="716">
        <v>113.42</v>
      </c>
    </row>
    <row r="9521" spans="1:4" ht="42">
      <c r="A9521" s="715">
        <v>94446</v>
      </c>
      <c r="B9521" s="633" t="s">
        <v>25005</v>
      </c>
      <c r="C9521" s="715" t="s">
        <v>509</v>
      </c>
      <c r="D9521" s="716">
        <v>121.47</v>
      </c>
    </row>
    <row r="9522" spans="1:4" ht="42">
      <c r="A9522" s="715">
        <v>94440</v>
      </c>
      <c r="B9522" s="633" t="s">
        <v>25000</v>
      </c>
      <c r="C9522" s="715" t="s">
        <v>509</v>
      </c>
      <c r="D9522" s="716">
        <v>80.73</v>
      </c>
    </row>
    <row r="9523" spans="1:4" ht="42">
      <c r="A9523" s="715">
        <v>94441</v>
      </c>
      <c r="B9523" s="633" t="s">
        <v>25001</v>
      </c>
      <c r="C9523" s="715" t="s">
        <v>509</v>
      </c>
      <c r="D9523" s="716">
        <v>85.45</v>
      </c>
    </row>
    <row r="9524" spans="1:4" ht="42">
      <c r="A9524" s="715">
        <v>94195</v>
      </c>
      <c r="B9524" s="633" t="s">
        <v>24993</v>
      </c>
      <c r="C9524" s="715" t="s">
        <v>509</v>
      </c>
      <c r="D9524" s="716">
        <v>80.73</v>
      </c>
    </row>
    <row r="9525" spans="1:4" ht="42">
      <c r="A9525" s="715">
        <v>94198</v>
      </c>
      <c r="B9525" s="633" t="s">
        <v>24994</v>
      </c>
      <c r="C9525" s="715" t="s">
        <v>509</v>
      </c>
      <c r="D9525" s="716">
        <v>85.45</v>
      </c>
    </row>
    <row r="9526" spans="1:4" ht="42">
      <c r="A9526" s="715">
        <v>94442</v>
      </c>
      <c r="B9526" s="633" t="s">
        <v>25002</v>
      </c>
      <c r="C9526" s="715" t="s">
        <v>509</v>
      </c>
      <c r="D9526" s="716">
        <v>80.73</v>
      </c>
    </row>
    <row r="9527" spans="1:4" ht="42">
      <c r="A9527" s="715">
        <v>94443</v>
      </c>
      <c r="B9527" s="633" t="s">
        <v>25003</v>
      </c>
      <c r="C9527" s="715" t="s">
        <v>509</v>
      </c>
      <c r="D9527" s="716">
        <v>85.45</v>
      </c>
    </row>
    <row r="9528" spans="1:4" ht="42">
      <c r="A9528" s="715">
        <v>94213</v>
      </c>
      <c r="B9528" s="633" t="s">
        <v>25011</v>
      </c>
      <c r="C9528" s="715" t="s">
        <v>509</v>
      </c>
      <c r="D9528" s="716">
        <v>72.8</v>
      </c>
    </row>
    <row r="9529" spans="1:4" ht="42">
      <c r="A9529" s="715">
        <v>94189</v>
      </c>
      <c r="B9529" s="633" t="s">
        <v>24991</v>
      </c>
      <c r="C9529" s="715" t="s">
        <v>509</v>
      </c>
      <c r="D9529" s="716">
        <v>45.06</v>
      </c>
    </row>
    <row r="9530" spans="1:4" ht="42">
      <c r="A9530" s="715">
        <v>94192</v>
      </c>
      <c r="B9530" s="633" t="s">
        <v>24992</v>
      </c>
      <c r="C9530" s="715" t="s">
        <v>509</v>
      </c>
      <c r="D9530" s="716">
        <v>48.64</v>
      </c>
    </row>
    <row r="9531" spans="1:4" ht="42">
      <c r="A9531" s="715">
        <v>94444</v>
      </c>
      <c r="B9531" s="633" t="s">
        <v>25028</v>
      </c>
      <c r="C9531" s="715" t="s">
        <v>509</v>
      </c>
      <c r="D9531" s="716">
        <v>661.66</v>
      </c>
    </row>
    <row r="9532" spans="1:4" ht="42">
      <c r="A9532" s="715">
        <v>94218</v>
      </c>
      <c r="B9532" s="633" t="s">
        <v>25010</v>
      </c>
      <c r="C9532" s="715" t="s">
        <v>509</v>
      </c>
      <c r="D9532" s="716">
        <v>114.79</v>
      </c>
    </row>
    <row r="9533" spans="1:4" ht="42">
      <c r="A9533" s="715">
        <v>94216</v>
      </c>
      <c r="B9533" s="633" t="s">
        <v>25012</v>
      </c>
      <c r="C9533" s="715" t="s">
        <v>509</v>
      </c>
      <c r="D9533" s="716">
        <v>205.29</v>
      </c>
    </row>
    <row r="9534" spans="1:4" ht="56">
      <c r="A9534" s="715">
        <v>94449</v>
      </c>
      <c r="B9534" s="633" t="s">
        <v>25027</v>
      </c>
      <c r="C9534" s="715" t="s">
        <v>509</v>
      </c>
      <c r="D9534" s="716">
        <v>66.36</v>
      </c>
    </row>
    <row r="9535" spans="1:4" ht="70">
      <c r="A9535" s="715">
        <v>94210</v>
      </c>
      <c r="B9535" s="633" t="s">
        <v>25009</v>
      </c>
      <c r="C9535" s="715" t="s">
        <v>509</v>
      </c>
      <c r="D9535" s="716">
        <v>49.41</v>
      </c>
    </row>
    <row r="9536" spans="1:4" ht="70">
      <c r="A9536" s="715">
        <v>94207</v>
      </c>
      <c r="B9536" s="633" t="s">
        <v>25008</v>
      </c>
      <c r="C9536" s="715" t="s">
        <v>509</v>
      </c>
      <c r="D9536" s="716">
        <v>46.4</v>
      </c>
    </row>
    <row r="9537" spans="1:4" ht="42">
      <c r="A9537" s="715">
        <v>102109</v>
      </c>
      <c r="B9537" s="633" t="s">
        <v>25860</v>
      </c>
      <c r="C9537" s="715" t="s">
        <v>103</v>
      </c>
      <c r="D9537" s="716">
        <v>67.67</v>
      </c>
    </row>
    <row r="9538" spans="1:4" ht="42">
      <c r="A9538" s="715">
        <v>102110</v>
      </c>
      <c r="B9538" s="633" t="s">
        <v>25861</v>
      </c>
      <c r="C9538" s="715" t="s">
        <v>103</v>
      </c>
      <c r="D9538" s="716">
        <v>176.57</v>
      </c>
    </row>
    <row r="9539" spans="1:4" ht="56">
      <c r="A9539" s="715">
        <v>103656</v>
      </c>
      <c r="B9539" s="633" t="s">
        <v>25864</v>
      </c>
      <c r="C9539" s="715" t="s">
        <v>103</v>
      </c>
      <c r="D9539" s="716">
        <v>124288.27</v>
      </c>
    </row>
    <row r="9540" spans="1:4" ht="70">
      <c r="A9540" s="715">
        <v>102105</v>
      </c>
      <c r="B9540" s="633" t="s">
        <v>25856</v>
      </c>
      <c r="C9540" s="715" t="s">
        <v>103</v>
      </c>
      <c r="D9540" s="716">
        <v>19853.21</v>
      </c>
    </row>
    <row r="9541" spans="1:4" ht="70">
      <c r="A9541" s="715">
        <v>102106</v>
      </c>
      <c r="B9541" s="633" t="s">
        <v>25857</v>
      </c>
      <c r="C9541" s="715" t="s">
        <v>103</v>
      </c>
      <c r="D9541" s="716">
        <v>24842.54</v>
      </c>
    </row>
    <row r="9542" spans="1:4" ht="70">
      <c r="A9542" s="715">
        <v>102107</v>
      </c>
      <c r="B9542" s="633" t="s">
        <v>25858</v>
      </c>
      <c r="C9542" s="715" t="s">
        <v>103</v>
      </c>
      <c r="D9542" s="716">
        <v>34578.89</v>
      </c>
    </row>
    <row r="9543" spans="1:4" ht="70">
      <c r="A9543" s="715">
        <v>102102</v>
      </c>
      <c r="B9543" s="633" t="s">
        <v>25853</v>
      </c>
      <c r="C9543" s="715" t="s">
        <v>103</v>
      </c>
      <c r="D9543" s="716">
        <v>11405</v>
      </c>
    </row>
    <row r="9544" spans="1:4" ht="70">
      <c r="A9544" s="715">
        <v>102108</v>
      </c>
      <c r="B9544" s="633" t="s">
        <v>25859</v>
      </c>
      <c r="C9544" s="715" t="s">
        <v>103</v>
      </c>
      <c r="D9544" s="716">
        <v>40232.07</v>
      </c>
    </row>
    <row r="9545" spans="1:4" ht="70">
      <c r="A9545" s="715">
        <v>102103</v>
      </c>
      <c r="B9545" s="633" t="s">
        <v>25854</v>
      </c>
      <c r="C9545" s="715" t="s">
        <v>103</v>
      </c>
      <c r="D9545" s="716">
        <v>12670.28</v>
      </c>
    </row>
    <row r="9546" spans="1:4" ht="56">
      <c r="A9546" s="715">
        <v>103654</v>
      </c>
      <c r="B9546" s="633" t="s">
        <v>25862</v>
      </c>
      <c r="C9546" s="715" t="s">
        <v>103</v>
      </c>
      <c r="D9546" s="716">
        <v>64979.32</v>
      </c>
    </row>
    <row r="9547" spans="1:4" ht="70">
      <c r="A9547" s="715">
        <v>102104</v>
      </c>
      <c r="B9547" s="633" t="s">
        <v>25855</v>
      </c>
      <c r="C9547" s="715" t="s">
        <v>103</v>
      </c>
      <c r="D9547" s="716">
        <v>16193.14</v>
      </c>
    </row>
    <row r="9548" spans="1:4" ht="56">
      <c r="A9548" s="715">
        <v>103655</v>
      </c>
      <c r="B9548" s="633" t="s">
        <v>25863</v>
      </c>
      <c r="C9548" s="715" t="s">
        <v>103</v>
      </c>
      <c r="D9548" s="716">
        <v>88956.25</v>
      </c>
    </row>
    <row r="9549" spans="1:4" ht="70">
      <c r="A9549" s="715">
        <v>105473</v>
      </c>
      <c r="B9549" s="633" t="s">
        <v>34538</v>
      </c>
      <c r="C9549" s="715" t="s">
        <v>118</v>
      </c>
      <c r="D9549" s="716">
        <v>0</v>
      </c>
    </row>
    <row r="9550" spans="1:4" ht="70">
      <c r="A9550" s="715">
        <v>105414</v>
      </c>
      <c r="B9550" s="633" t="s">
        <v>34539</v>
      </c>
      <c r="C9550" s="715" t="s">
        <v>118</v>
      </c>
      <c r="D9550" s="716">
        <v>0</v>
      </c>
    </row>
    <row r="9551" spans="1:4" ht="70">
      <c r="A9551" s="715">
        <v>105424</v>
      </c>
      <c r="B9551" s="633" t="s">
        <v>34540</v>
      </c>
      <c r="C9551" s="715" t="s">
        <v>118</v>
      </c>
      <c r="D9551" s="716">
        <v>0</v>
      </c>
    </row>
    <row r="9552" spans="1:4" ht="70">
      <c r="A9552" s="715">
        <v>105448</v>
      </c>
      <c r="B9552" s="633" t="s">
        <v>34541</v>
      </c>
      <c r="C9552" s="715" t="s">
        <v>118</v>
      </c>
      <c r="D9552" s="716">
        <v>0</v>
      </c>
    </row>
    <row r="9553" spans="1:4" ht="56">
      <c r="A9553" s="715">
        <v>105409</v>
      </c>
      <c r="B9553" s="633" t="s">
        <v>34542</v>
      </c>
      <c r="C9553" s="715" t="s">
        <v>118</v>
      </c>
      <c r="D9553" s="716">
        <v>0</v>
      </c>
    </row>
    <row r="9554" spans="1:4" ht="56">
      <c r="A9554" s="715">
        <v>105415</v>
      </c>
      <c r="B9554" s="633" t="s">
        <v>34543</v>
      </c>
      <c r="C9554" s="715" t="s">
        <v>118</v>
      </c>
      <c r="D9554" s="716">
        <v>0</v>
      </c>
    </row>
    <row r="9555" spans="1:4" ht="56">
      <c r="A9555" s="715">
        <v>105487</v>
      </c>
      <c r="B9555" s="633" t="s">
        <v>34544</v>
      </c>
      <c r="C9555" s="715" t="s">
        <v>118</v>
      </c>
      <c r="D9555" s="716">
        <v>0</v>
      </c>
    </row>
    <row r="9556" spans="1:4" ht="56">
      <c r="A9556" s="715">
        <v>105451</v>
      </c>
      <c r="B9556" s="633" t="s">
        <v>34545</v>
      </c>
      <c r="C9556" s="715" t="s">
        <v>118</v>
      </c>
      <c r="D9556" s="716">
        <v>0</v>
      </c>
    </row>
    <row r="9557" spans="1:4" ht="56">
      <c r="A9557" s="715">
        <v>105454</v>
      </c>
      <c r="B9557" s="633" t="s">
        <v>34546</v>
      </c>
      <c r="C9557" s="715" t="s">
        <v>118</v>
      </c>
      <c r="D9557" s="716">
        <v>0</v>
      </c>
    </row>
    <row r="9558" spans="1:4" ht="56">
      <c r="A9558" s="715">
        <v>105411</v>
      </c>
      <c r="B9558" s="633" t="s">
        <v>34547</v>
      </c>
      <c r="C9558" s="715" t="s">
        <v>118</v>
      </c>
      <c r="D9558" s="716">
        <v>0</v>
      </c>
    </row>
    <row r="9559" spans="1:4" ht="56">
      <c r="A9559" s="715">
        <v>105419</v>
      </c>
      <c r="B9559" s="633" t="s">
        <v>34548</v>
      </c>
      <c r="C9559" s="715" t="s">
        <v>118</v>
      </c>
      <c r="D9559" s="716">
        <v>0</v>
      </c>
    </row>
    <row r="9560" spans="1:4" ht="56">
      <c r="A9560" s="715">
        <v>105443</v>
      </c>
      <c r="B9560" s="633" t="s">
        <v>34549</v>
      </c>
      <c r="C9560" s="715" t="s">
        <v>118</v>
      </c>
      <c r="D9560" s="716">
        <v>0</v>
      </c>
    </row>
    <row r="9561" spans="1:4" ht="56">
      <c r="A9561" s="715">
        <v>105455</v>
      </c>
      <c r="B9561" s="633" t="s">
        <v>34550</v>
      </c>
      <c r="C9561" s="715" t="s">
        <v>118</v>
      </c>
      <c r="D9561" s="716">
        <v>0</v>
      </c>
    </row>
    <row r="9562" spans="1:4" ht="56">
      <c r="A9562" s="715">
        <v>105412</v>
      </c>
      <c r="B9562" s="633" t="s">
        <v>34551</v>
      </c>
      <c r="C9562" s="715" t="s">
        <v>118</v>
      </c>
      <c r="D9562" s="716">
        <v>0</v>
      </c>
    </row>
    <row r="9563" spans="1:4" ht="56">
      <c r="A9563" s="715">
        <v>105420</v>
      </c>
      <c r="B9563" s="633" t="s">
        <v>34552</v>
      </c>
      <c r="C9563" s="715" t="s">
        <v>118</v>
      </c>
      <c r="D9563" s="716">
        <v>0</v>
      </c>
    </row>
    <row r="9564" spans="1:4" ht="56">
      <c r="A9564" s="715">
        <v>105444</v>
      </c>
      <c r="B9564" s="633" t="s">
        <v>34553</v>
      </c>
      <c r="C9564" s="715" t="s">
        <v>118</v>
      </c>
      <c r="D9564" s="716">
        <v>0</v>
      </c>
    </row>
    <row r="9565" spans="1:4" ht="42">
      <c r="A9565" s="715">
        <v>105456</v>
      </c>
      <c r="B9565" s="633" t="s">
        <v>34554</v>
      </c>
      <c r="C9565" s="715" t="s">
        <v>118</v>
      </c>
      <c r="D9565" s="716">
        <v>0</v>
      </c>
    </row>
    <row r="9566" spans="1:4" ht="42">
      <c r="A9566" s="715">
        <v>105478</v>
      </c>
      <c r="B9566" s="633" t="s">
        <v>34555</v>
      </c>
      <c r="C9566" s="715" t="s">
        <v>118</v>
      </c>
      <c r="D9566" s="716">
        <v>0</v>
      </c>
    </row>
    <row r="9567" spans="1:4" ht="42">
      <c r="A9567" s="715">
        <v>105421</v>
      </c>
      <c r="B9567" s="633" t="s">
        <v>34556</v>
      </c>
      <c r="C9567" s="715" t="s">
        <v>118</v>
      </c>
      <c r="D9567" s="716">
        <v>0</v>
      </c>
    </row>
    <row r="9568" spans="1:4" ht="42">
      <c r="A9568" s="715">
        <v>105445</v>
      </c>
      <c r="B9568" s="633" t="s">
        <v>34557</v>
      </c>
      <c r="C9568" s="715" t="s">
        <v>118</v>
      </c>
      <c r="D9568" s="716">
        <v>0</v>
      </c>
    </row>
    <row r="9569" spans="1:4" ht="42">
      <c r="A9569" s="715">
        <v>105453</v>
      </c>
      <c r="B9569" s="633" t="s">
        <v>34558</v>
      </c>
      <c r="C9569" s="715" t="s">
        <v>118</v>
      </c>
      <c r="D9569" s="716">
        <v>0</v>
      </c>
    </row>
    <row r="9570" spans="1:4" ht="42">
      <c r="A9570" s="715">
        <v>105497</v>
      </c>
      <c r="B9570" s="633" t="s">
        <v>34559</v>
      </c>
      <c r="C9570" s="715" t="s">
        <v>118</v>
      </c>
      <c r="D9570" s="716">
        <v>0</v>
      </c>
    </row>
    <row r="9571" spans="1:4" ht="42">
      <c r="A9571" s="715">
        <v>105418</v>
      </c>
      <c r="B9571" s="633" t="s">
        <v>34560</v>
      </c>
      <c r="C9571" s="715" t="s">
        <v>118</v>
      </c>
      <c r="D9571" s="716">
        <v>0</v>
      </c>
    </row>
    <row r="9572" spans="1:4" ht="42">
      <c r="A9572" s="715">
        <v>105442</v>
      </c>
      <c r="B9572" s="633" t="s">
        <v>34561</v>
      </c>
      <c r="C9572" s="715" t="s">
        <v>118</v>
      </c>
      <c r="D9572" s="716">
        <v>0</v>
      </c>
    </row>
    <row r="9573" spans="1:4" ht="56">
      <c r="A9573" s="715">
        <v>105410</v>
      </c>
      <c r="B9573" s="633" t="s">
        <v>34562</v>
      </c>
      <c r="C9573" s="715" t="s">
        <v>118</v>
      </c>
      <c r="D9573" s="716">
        <v>0</v>
      </c>
    </row>
    <row r="9574" spans="1:4" ht="56">
      <c r="A9574" s="715">
        <v>105416</v>
      </c>
      <c r="B9574" s="633" t="s">
        <v>34563</v>
      </c>
      <c r="C9574" s="715" t="s">
        <v>118</v>
      </c>
      <c r="D9574" s="716">
        <v>0</v>
      </c>
    </row>
    <row r="9575" spans="1:4" ht="56">
      <c r="A9575" s="715">
        <v>105488</v>
      </c>
      <c r="B9575" s="633" t="s">
        <v>34564</v>
      </c>
      <c r="C9575" s="715" t="s">
        <v>118</v>
      </c>
      <c r="D9575" s="716">
        <v>0</v>
      </c>
    </row>
    <row r="9576" spans="1:4" ht="56">
      <c r="A9576" s="715">
        <v>105452</v>
      </c>
      <c r="B9576" s="633" t="s">
        <v>34565</v>
      </c>
      <c r="C9576" s="715" t="s">
        <v>118</v>
      </c>
      <c r="D9576" s="716">
        <v>0</v>
      </c>
    </row>
    <row r="9577" spans="1:4" ht="70">
      <c r="A9577" s="715">
        <v>105475</v>
      </c>
      <c r="B9577" s="633" t="s">
        <v>34566</v>
      </c>
      <c r="C9577" s="715" t="s">
        <v>118</v>
      </c>
      <c r="D9577" s="716">
        <v>0</v>
      </c>
    </row>
    <row r="9578" spans="1:4" ht="70">
      <c r="A9578" s="715">
        <v>105498</v>
      </c>
      <c r="B9578" s="633" t="s">
        <v>34567</v>
      </c>
      <c r="C9578" s="715" t="s">
        <v>118</v>
      </c>
      <c r="D9578" s="716">
        <v>0</v>
      </c>
    </row>
    <row r="9579" spans="1:4" ht="70">
      <c r="A9579" s="715">
        <v>105486</v>
      </c>
      <c r="B9579" s="633" t="s">
        <v>34568</v>
      </c>
      <c r="C9579" s="715" t="s">
        <v>118</v>
      </c>
      <c r="D9579" s="716">
        <v>0</v>
      </c>
    </row>
    <row r="9580" spans="1:4" ht="70">
      <c r="A9580" s="715">
        <v>105450</v>
      </c>
      <c r="B9580" s="633" t="s">
        <v>34569</v>
      </c>
      <c r="C9580" s="715" t="s">
        <v>118</v>
      </c>
      <c r="D9580" s="716">
        <v>0</v>
      </c>
    </row>
    <row r="9581" spans="1:4" ht="42">
      <c r="A9581" s="715">
        <v>105438</v>
      </c>
      <c r="B9581" s="633" t="s">
        <v>34570</v>
      </c>
      <c r="C9581" s="715" t="s">
        <v>118</v>
      </c>
      <c r="D9581" s="716">
        <v>0</v>
      </c>
    </row>
    <row r="9582" spans="1:4" ht="42">
      <c r="A9582" s="715">
        <v>105463</v>
      </c>
      <c r="B9582" s="633" t="s">
        <v>34571</v>
      </c>
      <c r="C9582" s="715" t="s">
        <v>118</v>
      </c>
      <c r="D9582" s="716">
        <v>0</v>
      </c>
    </row>
    <row r="9583" spans="1:4" ht="42">
      <c r="A9583" s="715">
        <v>105485</v>
      </c>
      <c r="B9583" s="633" t="s">
        <v>34572</v>
      </c>
      <c r="C9583" s="715" t="s">
        <v>118</v>
      </c>
      <c r="D9583" s="716">
        <v>0</v>
      </c>
    </row>
    <row r="9584" spans="1:4" ht="42">
      <c r="A9584" s="715">
        <v>105428</v>
      </c>
      <c r="B9584" s="633" t="s">
        <v>34573</v>
      </c>
      <c r="C9584" s="715" t="s">
        <v>118</v>
      </c>
      <c r="D9584" s="716">
        <v>0</v>
      </c>
    </row>
    <row r="9585" spans="1:4" ht="28">
      <c r="A9585" s="715">
        <v>105426</v>
      </c>
      <c r="B9585" s="633" t="s">
        <v>34574</v>
      </c>
      <c r="C9585" s="715" t="s">
        <v>118</v>
      </c>
      <c r="D9585" s="716">
        <v>0</v>
      </c>
    </row>
    <row r="9586" spans="1:4" ht="28">
      <c r="A9586" s="715">
        <v>105491</v>
      </c>
      <c r="B9586" s="633" t="s">
        <v>34575</v>
      </c>
      <c r="C9586" s="715" t="s">
        <v>118</v>
      </c>
      <c r="D9586" s="716">
        <v>0</v>
      </c>
    </row>
    <row r="9587" spans="1:4" ht="28">
      <c r="A9587" s="715">
        <v>105495</v>
      </c>
      <c r="B9587" s="633" t="s">
        <v>34576</v>
      </c>
      <c r="C9587" s="715" t="s">
        <v>118</v>
      </c>
      <c r="D9587" s="716">
        <v>0</v>
      </c>
    </row>
    <row r="9588" spans="1:4" ht="28">
      <c r="A9588" s="715">
        <v>105407</v>
      </c>
      <c r="B9588" s="633" t="s">
        <v>34577</v>
      </c>
      <c r="C9588" s="715" t="s">
        <v>118</v>
      </c>
      <c r="D9588" s="716">
        <v>0</v>
      </c>
    </row>
    <row r="9589" spans="1:4" ht="28">
      <c r="A9589" s="715">
        <v>105427</v>
      </c>
      <c r="B9589" s="633" t="s">
        <v>34578</v>
      </c>
      <c r="C9589" s="715" t="s">
        <v>118</v>
      </c>
      <c r="D9589" s="716">
        <v>0</v>
      </c>
    </row>
    <row r="9590" spans="1:4" ht="28">
      <c r="A9590" s="715">
        <v>105492</v>
      </c>
      <c r="B9590" s="633" t="s">
        <v>34579</v>
      </c>
      <c r="C9590" s="715" t="s">
        <v>118</v>
      </c>
      <c r="D9590" s="716">
        <v>0</v>
      </c>
    </row>
    <row r="9591" spans="1:4" ht="28">
      <c r="A9591" s="715">
        <v>105496</v>
      </c>
      <c r="B9591" s="633" t="s">
        <v>34580</v>
      </c>
      <c r="C9591" s="715" t="s">
        <v>118</v>
      </c>
      <c r="D9591" s="716">
        <v>0</v>
      </c>
    </row>
    <row r="9592" spans="1:4" ht="28">
      <c r="A9592" s="715">
        <v>105425</v>
      </c>
      <c r="B9592" s="633" t="s">
        <v>34581</v>
      </c>
      <c r="C9592" s="715" t="s">
        <v>118</v>
      </c>
      <c r="D9592" s="716">
        <v>0</v>
      </c>
    </row>
    <row r="9593" spans="1:4" ht="28">
      <c r="A9593" s="715">
        <v>105477</v>
      </c>
      <c r="B9593" s="633" t="s">
        <v>34582</v>
      </c>
      <c r="C9593" s="715" t="s">
        <v>118</v>
      </c>
      <c r="D9593" s="716">
        <v>0</v>
      </c>
    </row>
    <row r="9594" spans="1:4" ht="28">
      <c r="A9594" s="715">
        <v>105490</v>
      </c>
      <c r="B9594" s="633" t="s">
        <v>34583</v>
      </c>
      <c r="C9594" s="715" t="s">
        <v>118</v>
      </c>
      <c r="D9594" s="716">
        <v>0</v>
      </c>
    </row>
    <row r="9595" spans="1:4" ht="28">
      <c r="A9595" s="715">
        <v>105494</v>
      </c>
      <c r="B9595" s="633" t="s">
        <v>34584</v>
      </c>
      <c r="C9595" s="715" t="s">
        <v>118</v>
      </c>
      <c r="D9595" s="716">
        <v>0</v>
      </c>
    </row>
    <row r="9596" spans="1:4" ht="28">
      <c r="A9596" s="715">
        <v>105417</v>
      </c>
      <c r="B9596" s="633" t="s">
        <v>34585</v>
      </c>
      <c r="C9596" s="715" t="s">
        <v>118</v>
      </c>
      <c r="D9596" s="716">
        <v>0</v>
      </c>
    </row>
    <row r="9597" spans="1:4" ht="56">
      <c r="A9597" s="715">
        <v>105461</v>
      </c>
      <c r="B9597" s="633" t="s">
        <v>34586</v>
      </c>
      <c r="C9597" s="715" t="s">
        <v>118</v>
      </c>
      <c r="D9597" s="716">
        <v>0</v>
      </c>
    </row>
    <row r="9598" spans="1:4" ht="56">
      <c r="A9598" s="715">
        <v>105436</v>
      </c>
      <c r="B9598" s="633" t="s">
        <v>34587</v>
      </c>
      <c r="C9598" s="715" t="s">
        <v>118</v>
      </c>
      <c r="D9598" s="716">
        <v>0</v>
      </c>
    </row>
    <row r="9599" spans="1:4" ht="56">
      <c r="A9599" s="715">
        <v>105483</v>
      </c>
      <c r="B9599" s="633" t="s">
        <v>34588</v>
      </c>
      <c r="C9599" s="715" t="s">
        <v>118</v>
      </c>
      <c r="D9599" s="716">
        <v>0</v>
      </c>
    </row>
    <row r="9600" spans="1:4" ht="56">
      <c r="A9600" s="715">
        <v>105505</v>
      </c>
      <c r="B9600" s="633" t="s">
        <v>34589</v>
      </c>
      <c r="C9600" s="715" t="s">
        <v>118</v>
      </c>
      <c r="D9600" s="716">
        <v>0</v>
      </c>
    </row>
    <row r="9601" spans="1:4" ht="42">
      <c r="A9601" s="715">
        <v>105435</v>
      </c>
      <c r="B9601" s="633" t="s">
        <v>34590</v>
      </c>
      <c r="C9601" s="715" t="s">
        <v>118</v>
      </c>
      <c r="D9601" s="716">
        <v>0</v>
      </c>
    </row>
    <row r="9602" spans="1:4" ht="42">
      <c r="A9602" s="715">
        <v>105460</v>
      </c>
      <c r="B9602" s="633" t="s">
        <v>34591</v>
      </c>
      <c r="C9602" s="715" t="s">
        <v>118</v>
      </c>
      <c r="D9602" s="716">
        <v>0</v>
      </c>
    </row>
    <row r="9603" spans="1:4" ht="42">
      <c r="A9603" s="715">
        <v>105470</v>
      </c>
      <c r="B9603" s="633" t="s">
        <v>34592</v>
      </c>
      <c r="C9603" s="715" t="s">
        <v>118</v>
      </c>
      <c r="D9603" s="716">
        <v>0</v>
      </c>
    </row>
    <row r="9604" spans="1:4" ht="42">
      <c r="A9604" s="715">
        <v>105504</v>
      </c>
      <c r="B9604" s="633" t="s">
        <v>34593</v>
      </c>
      <c r="C9604" s="715" t="s">
        <v>118</v>
      </c>
      <c r="D9604" s="716">
        <v>0</v>
      </c>
    </row>
    <row r="9605" spans="1:4" ht="28">
      <c r="A9605" s="715">
        <v>105476</v>
      </c>
      <c r="B9605" s="633" t="s">
        <v>34594</v>
      </c>
      <c r="C9605" s="715" t="s">
        <v>118</v>
      </c>
      <c r="D9605" s="716">
        <v>0</v>
      </c>
    </row>
    <row r="9606" spans="1:4" ht="28">
      <c r="A9606" s="715">
        <v>105471</v>
      </c>
      <c r="B9606" s="633" t="s">
        <v>34595</v>
      </c>
      <c r="C9606" s="715" t="s">
        <v>118</v>
      </c>
      <c r="D9606" s="716">
        <v>0</v>
      </c>
    </row>
    <row r="9607" spans="1:4" ht="28">
      <c r="A9607" s="715">
        <v>105493</v>
      </c>
      <c r="B9607" s="633" t="s">
        <v>34596</v>
      </c>
      <c r="C9607" s="715" t="s">
        <v>118</v>
      </c>
      <c r="D9607" s="716">
        <v>0</v>
      </c>
    </row>
    <row r="9608" spans="1:4" ht="28">
      <c r="A9608" s="715">
        <v>105482</v>
      </c>
      <c r="B9608" s="633" t="s">
        <v>34597</v>
      </c>
      <c r="C9608" s="715" t="s">
        <v>118</v>
      </c>
      <c r="D9608" s="716">
        <v>0</v>
      </c>
    </row>
    <row r="9609" spans="1:4" ht="56">
      <c r="A9609" s="715">
        <v>105430</v>
      </c>
      <c r="B9609" s="633" t="s">
        <v>34598</v>
      </c>
      <c r="C9609" s="715" t="s">
        <v>118</v>
      </c>
      <c r="D9609" s="716">
        <v>0</v>
      </c>
    </row>
    <row r="9610" spans="1:4" ht="56">
      <c r="A9610" s="715">
        <v>105440</v>
      </c>
      <c r="B9610" s="633" t="s">
        <v>34599</v>
      </c>
      <c r="C9610" s="715" t="s">
        <v>118</v>
      </c>
      <c r="D9610" s="716">
        <v>0</v>
      </c>
    </row>
    <row r="9611" spans="1:4" ht="56">
      <c r="A9611" s="715">
        <v>105465</v>
      </c>
      <c r="B9611" s="633" t="s">
        <v>34600</v>
      </c>
      <c r="C9611" s="715" t="s">
        <v>118</v>
      </c>
      <c r="D9611" s="716">
        <v>0</v>
      </c>
    </row>
    <row r="9612" spans="1:4" ht="56">
      <c r="A9612" s="715">
        <v>105499</v>
      </c>
      <c r="B9612" s="633" t="s">
        <v>34601</v>
      </c>
      <c r="C9612" s="715" t="s">
        <v>118</v>
      </c>
      <c r="D9612" s="716">
        <v>0</v>
      </c>
    </row>
    <row r="9613" spans="1:4" ht="56">
      <c r="A9613" s="715">
        <v>105431</v>
      </c>
      <c r="B9613" s="633" t="s">
        <v>34602</v>
      </c>
      <c r="C9613" s="715" t="s">
        <v>118</v>
      </c>
      <c r="D9613" s="716">
        <v>0</v>
      </c>
    </row>
    <row r="9614" spans="1:4" ht="56">
      <c r="A9614" s="715">
        <v>105441</v>
      </c>
      <c r="B9614" s="633" t="s">
        <v>34603</v>
      </c>
      <c r="C9614" s="715" t="s">
        <v>118</v>
      </c>
      <c r="D9614" s="716">
        <v>0</v>
      </c>
    </row>
    <row r="9615" spans="1:4" ht="56">
      <c r="A9615" s="715">
        <v>105466</v>
      </c>
      <c r="B9615" s="633" t="s">
        <v>34604</v>
      </c>
      <c r="C9615" s="715" t="s">
        <v>118</v>
      </c>
      <c r="D9615" s="716">
        <v>0</v>
      </c>
    </row>
    <row r="9616" spans="1:4" ht="56">
      <c r="A9616" s="715">
        <v>105500</v>
      </c>
      <c r="B9616" s="633" t="s">
        <v>34605</v>
      </c>
      <c r="C9616" s="715" t="s">
        <v>118</v>
      </c>
      <c r="D9616" s="716">
        <v>0</v>
      </c>
    </row>
    <row r="9617" spans="1:4" ht="56">
      <c r="A9617" s="715">
        <v>105429</v>
      </c>
      <c r="B9617" s="633" t="s">
        <v>34606</v>
      </c>
      <c r="C9617" s="715" t="s">
        <v>118</v>
      </c>
      <c r="D9617" s="716">
        <v>0</v>
      </c>
    </row>
    <row r="9618" spans="1:4" ht="56">
      <c r="A9618" s="715">
        <v>105439</v>
      </c>
      <c r="B9618" s="633" t="s">
        <v>34607</v>
      </c>
      <c r="C9618" s="715" t="s">
        <v>118</v>
      </c>
      <c r="D9618" s="716">
        <v>0</v>
      </c>
    </row>
    <row r="9619" spans="1:4" ht="56">
      <c r="A9619" s="715">
        <v>105464</v>
      </c>
      <c r="B9619" s="633" t="s">
        <v>34608</v>
      </c>
      <c r="C9619" s="715" t="s">
        <v>118</v>
      </c>
      <c r="D9619" s="716">
        <v>0</v>
      </c>
    </row>
    <row r="9620" spans="1:4" ht="56">
      <c r="A9620" s="715">
        <v>105489</v>
      </c>
      <c r="B9620" s="633" t="s">
        <v>34609</v>
      </c>
      <c r="C9620" s="715" t="s">
        <v>118</v>
      </c>
      <c r="D9620" s="716">
        <v>0</v>
      </c>
    </row>
    <row r="9621" spans="1:4" ht="42">
      <c r="A9621" s="715">
        <v>105437</v>
      </c>
      <c r="B9621" s="633" t="s">
        <v>34610</v>
      </c>
      <c r="C9621" s="715" t="s">
        <v>118</v>
      </c>
      <c r="D9621" s="716">
        <v>0</v>
      </c>
    </row>
    <row r="9622" spans="1:4" ht="42">
      <c r="A9622" s="715">
        <v>105462</v>
      </c>
      <c r="B9622" s="633" t="s">
        <v>34611</v>
      </c>
      <c r="C9622" s="715" t="s">
        <v>118</v>
      </c>
      <c r="D9622" s="716">
        <v>0</v>
      </c>
    </row>
    <row r="9623" spans="1:4" ht="42">
      <c r="A9623" s="715">
        <v>105484</v>
      </c>
      <c r="B9623" s="633" t="s">
        <v>34612</v>
      </c>
      <c r="C9623" s="715" t="s">
        <v>118</v>
      </c>
      <c r="D9623" s="716">
        <v>0</v>
      </c>
    </row>
    <row r="9624" spans="1:4" ht="42">
      <c r="A9624" s="715">
        <v>105506</v>
      </c>
      <c r="B9624" s="633" t="s">
        <v>34613</v>
      </c>
      <c r="C9624" s="715" t="s">
        <v>118</v>
      </c>
      <c r="D9624" s="716">
        <v>0</v>
      </c>
    </row>
    <row r="9625" spans="1:4" ht="42">
      <c r="A9625" s="715">
        <v>105432</v>
      </c>
      <c r="B9625" s="633" t="s">
        <v>34614</v>
      </c>
      <c r="C9625" s="715" t="s">
        <v>118</v>
      </c>
      <c r="D9625" s="716">
        <v>0</v>
      </c>
    </row>
    <row r="9626" spans="1:4" ht="42">
      <c r="A9626" s="715">
        <v>105457</v>
      </c>
      <c r="B9626" s="633" t="s">
        <v>34615</v>
      </c>
      <c r="C9626" s="715" t="s">
        <v>118</v>
      </c>
      <c r="D9626" s="716">
        <v>0</v>
      </c>
    </row>
    <row r="9627" spans="1:4" ht="42">
      <c r="A9627" s="715">
        <v>105467</v>
      </c>
      <c r="B9627" s="633" t="s">
        <v>34616</v>
      </c>
      <c r="C9627" s="715" t="s">
        <v>118</v>
      </c>
      <c r="D9627" s="716">
        <v>0</v>
      </c>
    </row>
    <row r="9628" spans="1:4" ht="42">
      <c r="A9628" s="715">
        <v>105501</v>
      </c>
      <c r="B9628" s="633" t="s">
        <v>34617</v>
      </c>
      <c r="C9628" s="715" t="s">
        <v>118</v>
      </c>
      <c r="D9628" s="716">
        <v>0</v>
      </c>
    </row>
    <row r="9629" spans="1:4" ht="42">
      <c r="A9629" s="715">
        <v>105433</v>
      </c>
      <c r="B9629" s="633" t="s">
        <v>34618</v>
      </c>
      <c r="C9629" s="715" t="s">
        <v>118</v>
      </c>
      <c r="D9629" s="716">
        <v>0</v>
      </c>
    </row>
    <row r="9630" spans="1:4" ht="42">
      <c r="A9630" s="715">
        <v>105458</v>
      </c>
      <c r="B9630" s="633" t="s">
        <v>34619</v>
      </c>
      <c r="C9630" s="715" t="s">
        <v>118</v>
      </c>
      <c r="D9630" s="716">
        <v>0</v>
      </c>
    </row>
    <row r="9631" spans="1:4" ht="42">
      <c r="A9631" s="715">
        <v>105468</v>
      </c>
      <c r="B9631" s="633" t="s">
        <v>34620</v>
      </c>
      <c r="C9631" s="715" t="s">
        <v>118</v>
      </c>
      <c r="D9631" s="716">
        <v>0</v>
      </c>
    </row>
    <row r="9632" spans="1:4" ht="42">
      <c r="A9632" s="715">
        <v>105502</v>
      </c>
      <c r="B9632" s="633" t="s">
        <v>34621</v>
      </c>
      <c r="C9632" s="715" t="s">
        <v>118</v>
      </c>
      <c r="D9632" s="716">
        <v>0</v>
      </c>
    </row>
    <row r="9633" spans="1:4" ht="42">
      <c r="A9633" s="715">
        <v>105434</v>
      </c>
      <c r="B9633" s="633" t="s">
        <v>34622</v>
      </c>
      <c r="C9633" s="715" t="s">
        <v>118</v>
      </c>
      <c r="D9633" s="716">
        <v>0</v>
      </c>
    </row>
    <row r="9634" spans="1:4" ht="42">
      <c r="A9634" s="715">
        <v>105459</v>
      </c>
      <c r="B9634" s="633" t="s">
        <v>34623</v>
      </c>
      <c r="C9634" s="715" t="s">
        <v>118</v>
      </c>
      <c r="D9634" s="716">
        <v>0</v>
      </c>
    </row>
    <row r="9635" spans="1:4" ht="42">
      <c r="A9635" s="715">
        <v>105469</v>
      </c>
      <c r="B9635" s="633" t="s">
        <v>34624</v>
      </c>
      <c r="C9635" s="715" t="s">
        <v>118</v>
      </c>
      <c r="D9635" s="716">
        <v>0</v>
      </c>
    </row>
    <row r="9636" spans="1:4" ht="42">
      <c r="A9636" s="715">
        <v>105503</v>
      </c>
      <c r="B9636" s="633" t="s">
        <v>34625</v>
      </c>
      <c r="C9636" s="715" t="s">
        <v>118</v>
      </c>
      <c r="D9636" s="716">
        <v>0</v>
      </c>
    </row>
    <row r="9637" spans="1:4" ht="56">
      <c r="A9637" s="715">
        <v>105472</v>
      </c>
      <c r="B9637" s="633" t="s">
        <v>34626</v>
      </c>
      <c r="C9637" s="715" t="s">
        <v>118</v>
      </c>
      <c r="D9637" s="716">
        <v>0</v>
      </c>
    </row>
    <row r="9638" spans="1:4" ht="56">
      <c r="A9638" s="715">
        <v>105413</v>
      </c>
      <c r="B9638" s="633" t="s">
        <v>34627</v>
      </c>
      <c r="C9638" s="715" t="s">
        <v>118</v>
      </c>
      <c r="D9638" s="716">
        <v>0</v>
      </c>
    </row>
    <row r="9639" spans="1:4" ht="56">
      <c r="A9639" s="715">
        <v>105423</v>
      </c>
      <c r="B9639" s="633" t="s">
        <v>34628</v>
      </c>
      <c r="C9639" s="715" t="s">
        <v>118</v>
      </c>
      <c r="D9639" s="716">
        <v>0</v>
      </c>
    </row>
    <row r="9640" spans="1:4" ht="56">
      <c r="A9640" s="715">
        <v>105447</v>
      </c>
      <c r="B9640" s="633" t="s">
        <v>34629</v>
      </c>
      <c r="C9640" s="715" t="s">
        <v>118</v>
      </c>
      <c r="D9640" s="716">
        <v>0</v>
      </c>
    </row>
    <row r="9641" spans="1:4" ht="42">
      <c r="A9641" s="715">
        <v>105408</v>
      </c>
      <c r="B9641" s="633" t="s">
        <v>34630</v>
      </c>
      <c r="C9641" s="715" t="s">
        <v>118</v>
      </c>
      <c r="D9641" s="716">
        <v>0</v>
      </c>
    </row>
    <row r="9642" spans="1:4" ht="42">
      <c r="A9642" s="715">
        <v>105479</v>
      </c>
      <c r="B9642" s="633" t="s">
        <v>34631</v>
      </c>
      <c r="C9642" s="715" t="s">
        <v>118</v>
      </c>
      <c r="D9642" s="716">
        <v>0</v>
      </c>
    </row>
    <row r="9643" spans="1:4" ht="42">
      <c r="A9643" s="715">
        <v>105422</v>
      </c>
      <c r="B9643" s="633" t="s">
        <v>34632</v>
      </c>
      <c r="C9643" s="715" t="s">
        <v>118</v>
      </c>
      <c r="D9643" s="716">
        <v>0</v>
      </c>
    </row>
    <row r="9644" spans="1:4" ht="42">
      <c r="A9644" s="715">
        <v>105446</v>
      </c>
      <c r="B9644" s="633" t="s">
        <v>34633</v>
      </c>
      <c r="C9644" s="715" t="s">
        <v>118</v>
      </c>
      <c r="D9644" s="716">
        <v>0</v>
      </c>
    </row>
    <row r="9645" spans="1:4" ht="28">
      <c r="A9645" s="715">
        <v>105474</v>
      </c>
      <c r="B9645" s="633" t="s">
        <v>34634</v>
      </c>
      <c r="C9645" s="715" t="s">
        <v>118</v>
      </c>
      <c r="D9645" s="716">
        <v>0</v>
      </c>
    </row>
    <row r="9646" spans="1:4" ht="28">
      <c r="A9646" s="715">
        <v>105480</v>
      </c>
      <c r="B9646" s="633" t="s">
        <v>34635</v>
      </c>
      <c r="C9646" s="715" t="s">
        <v>118</v>
      </c>
      <c r="D9646" s="716">
        <v>0</v>
      </c>
    </row>
    <row r="9647" spans="1:4" ht="28">
      <c r="A9647" s="715">
        <v>105481</v>
      </c>
      <c r="B9647" s="633" t="s">
        <v>34636</v>
      </c>
      <c r="C9647" s="715" t="s">
        <v>118</v>
      </c>
      <c r="D9647" s="716">
        <v>0</v>
      </c>
    </row>
    <row r="9648" spans="1:4" ht="28">
      <c r="A9648" s="715">
        <v>105449</v>
      </c>
      <c r="B9648" s="633" t="s">
        <v>34637</v>
      </c>
      <c r="C9648" s="715" t="s">
        <v>118</v>
      </c>
      <c r="D9648" s="716">
        <v>0</v>
      </c>
    </row>
    <row r="9649" spans="1:4" ht="56">
      <c r="A9649" s="715">
        <v>105511</v>
      </c>
      <c r="B9649" s="633" t="s">
        <v>34638</v>
      </c>
      <c r="C9649" s="715" t="s">
        <v>26921</v>
      </c>
      <c r="D9649" s="716">
        <v>0</v>
      </c>
    </row>
    <row r="9650" spans="1:4" ht="56">
      <c r="A9650" s="715">
        <v>105507</v>
      </c>
      <c r="B9650" s="633" t="s">
        <v>34639</v>
      </c>
      <c r="C9650" s="715" t="s">
        <v>26921</v>
      </c>
      <c r="D9650" s="716">
        <v>0</v>
      </c>
    </row>
    <row r="9651" spans="1:4" ht="56">
      <c r="A9651" s="715">
        <v>105512</v>
      </c>
      <c r="B9651" s="633" t="s">
        <v>34640</v>
      </c>
      <c r="C9651" s="715" t="s">
        <v>26921</v>
      </c>
      <c r="D9651" s="716">
        <v>0</v>
      </c>
    </row>
    <row r="9652" spans="1:4" ht="56">
      <c r="A9652" s="715">
        <v>105508</v>
      </c>
      <c r="B9652" s="633" t="s">
        <v>34641</v>
      </c>
      <c r="C9652" s="715" t="s">
        <v>26921</v>
      </c>
      <c r="D9652" s="716">
        <v>0</v>
      </c>
    </row>
    <row r="9653" spans="1:4" ht="56">
      <c r="A9653" s="715">
        <v>105513</v>
      </c>
      <c r="B9653" s="633" t="s">
        <v>34642</v>
      </c>
      <c r="C9653" s="715" t="s">
        <v>26921</v>
      </c>
      <c r="D9653" s="716">
        <v>0</v>
      </c>
    </row>
    <row r="9654" spans="1:4" ht="56">
      <c r="A9654" s="715">
        <v>105509</v>
      </c>
      <c r="B9654" s="633" t="s">
        <v>34643</v>
      </c>
      <c r="C9654" s="715" t="s">
        <v>26921</v>
      </c>
      <c r="D9654" s="716">
        <v>0</v>
      </c>
    </row>
    <row r="9655" spans="1:4" ht="56">
      <c r="A9655" s="715">
        <v>105514</v>
      </c>
      <c r="B9655" s="633" t="s">
        <v>34644</v>
      </c>
      <c r="C9655" s="715" t="s">
        <v>26921</v>
      </c>
      <c r="D9655" s="716">
        <v>0</v>
      </c>
    </row>
    <row r="9656" spans="1:4" ht="56">
      <c r="A9656" s="715">
        <v>105510</v>
      </c>
      <c r="B9656" s="633" t="s">
        <v>34645</v>
      </c>
      <c r="C9656" s="715" t="s">
        <v>26921</v>
      </c>
      <c r="D9656" s="716">
        <v>0</v>
      </c>
    </row>
    <row r="9657" spans="1:4" ht="28">
      <c r="A9657" s="715">
        <v>100207</v>
      </c>
      <c r="B9657" s="633" t="s">
        <v>43752</v>
      </c>
      <c r="C9657" s="715" t="s">
        <v>11435</v>
      </c>
      <c r="D9657" s="716">
        <v>1019.99</v>
      </c>
    </row>
    <row r="9658" spans="1:4" ht="42">
      <c r="A9658" s="715">
        <v>100221</v>
      </c>
      <c r="B9658" s="633" t="s">
        <v>43753</v>
      </c>
      <c r="C9658" s="715" t="s">
        <v>27521</v>
      </c>
      <c r="D9658" s="716">
        <v>48.93</v>
      </c>
    </row>
    <row r="9659" spans="1:4" ht="28">
      <c r="A9659" s="715">
        <v>100203</v>
      </c>
      <c r="B9659" s="633" t="s">
        <v>43754</v>
      </c>
      <c r="C9659" s="715" t="s">
        <v>27519</v>
      </c>
      <c r="D9659" s="716">
        <v>1.71</v>
      </c>
    </row>
    <row r="9660" spans="1:4" ht="28">
      <c r="A9660" s="715">
        <v>100202</v>
      </c>
      <c r="B9660" s="633" t="s">
        <v>43755</v>
      </c>
      <c r="C9660" s="715" t="s">
        <v>27519</v>
      </c>
      <c r="D9660" s="716">
        <v>1.45</v>
      </c>
    </row>
    <row r="9661" spans="1:4" ht="28">
      <c r="A9661" s="715">
        <v>100201</v>
      </c>
      <c r="B9661" s="633" t="s">
        <v>43756</v>
      </c>
      <c r="C9661" s="715" t="s">
        <v>27519</v>
      </c>
      <c r="D9661" s="716">
        <v>1.23</v>
      </c>
    </row>
    <row r="9662" spans="1:4" ht="56">
      <c r="A9662" s="715">
        <v>100211</v>
      </c>
      <c r="B9662" s="633" t="s">
        <v>43757</v>
      </c>
      <c r="C9662" s="715" t="s">
        <v>27520</v>
      </c>
      <c r="D9662" s="716">
        <v>10.68</v>
      </c>
    </row>
    <row r="9663" spans="1:4" ht="56">
      <c r="A9663" s="715">
        <v>100210</v>
      </c>
      <c r="B9663" s="633" t="s">
        <v>43758</v>
      </c>
      <c r="C9663" s="715" t="s">
        <v>27520</v>
      </c>
      <c r="D9663" s="716">
        <v>27.68</v>
      </c>
    </row>
    <row r="9664" spans="1:4" ht="56">
      <c r="A9664" s="715">
        <v>100216</v>
      </c>
      <c r="B9664" s="633" t="s">
        <v>43759</v>
      </c>
      <c r="C9664" s="715" t="s">
        <v>27520</v>
      </c>
      <c r="D9664" s="716">
        <v>1.5</v>
      </c>
    </row>
    <row r="9665" spans="1:4" ht="56">
      <c r="A9665" s="715">
        <v>100215</v>
      </c>
      <c r="B9665" s="633" t="s">
        <v>43760</v>
      </c>
      <c r="C9665" s="715" t="s">
        <v>27520</v>
      </c>
      <c r="D9665" s="716">
        <v>5.58</v>
      </c>
    </row>
    <row r="9666" spans="1:4" ht="42">
      <c r="A9666" s="715">
        <v>100214</v>
      </c>
      <c r="B9666" s="633" t="s">
        <v>43761</v>
      </c>
      <c r="C9666" s="715" t="s">
        <v>27520</v>
      </c>
      <c r="D9666" s="716">
        <v>6.51</v>
      </c>
    </row>
    <row r="9667" spans="1:4" ht="42">
      <c r="A9667" s="715">
        <v>100223</v>
      </c>
      <c r="B9667" s="633" t="s">
        <v>43762</v>
      </c>
      <c r="C9667" s="715" t="s">
        <v>27521</v>
      </c>
      <c r="D9667" s="716">
        <v>8.68</v>
      </c>
    </row>
    <row r="9668" spans="1:4" ht="42">
      <c r="A9668" s="715">
        <v>100280</v>
      </c>
      <c r="B9668" s="633" t="s">
        <v>43763</v>
      </c>
      <c r="C9668" s="715" t="s">
        <v>27520</v>
      </c>
      <c r="D9668" s="716">
        <v>28.46</v>
      </c>
    </row>
    <row r="9669" spans="1:4" ht="70">
      <c r="A9669" s="715">
        <v>100270</v>
      </c>
      <c r="B9669" s="633" t="s">
        <v>43764</v>
      </c>
      <c r="C9669" s="715" t="s">
        <v>27520</v>
      </c>
      <c r="D9669" s="716">
        <v>97.11</v>
      </c>
    </row>
    <row r="9670" spans="1:4" ht="42">
      <c r="A9670" s="715">
        <v>100286</v>
      </c>
      <c r="B9670" s="633" t="s">
        <v>43765</v>
      </c>
      <c r="C9670" s="715" t="s">
        <v>27523</v>
      </c>
      <c r="D9670" s="716">
        <v>42.52</v>
      </c>
    </row>
    <row r="9671" spans="1:4" ht="56">
      <c r="A9671" s="715">
        <v>100213</v>
      </c>
      <c r="B9671" s="633" t="s">
        <v>43766</v>
      </c>
      <c r="C9671" s="715" t="s">
        <v>27520</v>
      </c>
      <c r="D9671" s="716">
        <v>4.24</v>
      </c>
    </row>
    <row r="9672" spans="1:4" ht="56">
      <c r="A9672" s="715">
        <v>100212</v>
      </c>
      <c r="B9672" s="633" t="s">
        <v>43767</v>
      </c>
      <c r="C9672" s="715" t="s">
        <v>27520</v>
      </c>
      <c r="D9672" s="716">
        <v>11.8</v>
      </c>
    </row>
    <row r="9673" spans="1:4" ht="42">
      <c r="A9673" s="715">
        <v>100222</v>
      </c>
      <c r="B9673" s="633" t="s">
        <v>43768</v>
      </c>
      <c r="C9673" s="715" t="s">
        <v>27521</v>
      </c>
      <c r="D9673" s="716">
        <v>18.559999999999999</v>
      </c>
    </row>
    <row r="9674" spans="1:4" ht="42">
      <c r="A9674" s="715">
        <v>100226</v>
      </c>
      <c r="B9674" s="633" t="s">
        <v>43769</v>
      </c>
      <c r="C9674" s="715" t="s">
        <v>27522</v>
      </c>
      <c r="D9674" s="716">
        <v>1.06</v>
      </c>
    </row>
    <row r="9675" spans="1:4" ht="42">
      <c r="A9675" s="715">
        <v>100200</v>
      </c>
      <c r="B9675" s="633" t="s">
        <v>43770</v>
      </c>
      <c r="C9675" s="715" t="s">
        <v>27519</v>
      </c>
      <c r="D9675" s="716">
        <v>0.62</v>
      </c>
    </row>
    <row r="9676" spans="1:4" ht="42">
      <c r="A9676" s="715">
        <v>100199</v>
      </c>
      <c r="B9676" s="633" t="s">
        <v>43771</v>
      </c>
      <c r="C9676" s="715" t="s">
        <v>27519</v>
      </c>
      <c r="D9676" s="716">
        <v>0.51</v>
      </c>
    </row>
    <row r="9677" spans="1:4" ht="42">
      <c r="A9677" s="715">
        <v>100198</v>
      </c>
      <c r="B9677" s="633" t="s">
        <v>43772</v>
      </c>
      <c r="C9677" s="715" t="s">
        <v>27519</v>
      </c>
      <c r="D9677" s="716">
        <v>0.42</v>
      </c>
    </row>
    <row r="9678" spans="1:4" ht="42">
      <c r="A9678" s="715">
        <v>100283</v>
      </c>
      <c r="B9678" s="633" t="s">
        <v>43773</v>
      </c>
      <c r="C9678" s="715" t="s">
        <v>27521</v>
      </c>
      <c r="D9678" s="716">
        <v>34.03</v>
      </c>
    </row>
    <row r="9679" spans="1:4" ht="42">
      <c r="A9679" s="715">
        <v>106811</v>
      </c>
      <c r="B9679" s="633" t="s">
        <v>43774</v>
      </c>
      <c r="C9679" s="715" t="s">
        <v>27520</v>
      </c>
      <c r="D9679" s="716">
        <v>2.08</v>
      </c>
    </row>
    <row r="9680" spans="1:4" ht="42">
      <c r="A9680" s="715">
        <v>106810</v>
      </c>
      <c r="B9680" s="633" t="s">
        <v>43775</v>
      </c>
      <c r="C9680" s="715" t="s">
        <v>27520</v>
      </c>
      <c r="D9680" s="716">
        <v>8.94</v>
      </c>
    </row>
    <row r="9681" spans="1:4" ht="42">
      <c r="A9681" s="715">
        <v>106809</v>
      </c>
      <c r="B9681" s="633" t="s">
        <v>43776</v>
      </c>
      <c r="C9681" s="715" t="s">
        <v>27520</v>
      </c>
      <c r="D9681" s="716">
        <v>9.6300000000000008</v>
      </c>
    </row>
    <row r="9682" spans="1:4" ht="42">
      <c r="A9682" s="715">
        <v>106812</v>
      </c>
      <c r="B9682" s="633" t="s">
        <v>43777</v>
      </c>
      <c r="C9682" s="715" t="s">
        <v>27521</v>
      </c>
      <c r="D9682" s="716">
        <v>9.27</v>
      </c>
    </row>
    <row r="9683" spans="1:4" ht="28">
      <c r="A9683" s="715">
        <v>100227</v>
      </c>
      <c r="B9683" s="633" t="s">
        <v>43778</v>
      </c>
      <c r="C9683" s="715" t="s">
        <v>27522</v>
      </c>
      <c r="D9683" s="716">
        <v>1.57</v>
      </c>
    </row>
    <row r="9684" spans="1:4" ht="28">
      <c r="A9684" s="715">
        <v>100205</v>
      </c>
      <c r="B9684" s="633" t="s">
        <v>43779</v>
      </c>
      <c r="C9684" s="715" t="s">
        <v>11435</v>
      </c>
      <c r="D9684" s="716">
        <v>2269.84</v>
      </c>
    </row>
    <row r="9685" spans="1:4" ht="28">
      <c r="A9685" s="715">
        <v>100206</v>
      </c>
      <c r="B9685" s="633" t="s">
        <v>43780</v>
      </c>
      <c r="C9685" s="715" t="s">
        <v>11435</v>
      </c>
      <c r="D9685" s="716">
        <v>1643.46</v>
      </c>
    </row>
    <row r="9686" spans="1:4" ht="56">
      <c r="A9686" s="715">
        <v>100281</v>
      </c>
      <c r="B9686" s="633" t="s">
        <v>43781</v>
      </c>
      <c r="C9686" s="715" t="s">
        <v>27520</v>
      </c>
      <c r="D9686" s="716">
        <v>17.05</v>
      </c>
    </row>
    <row r="9687" spans="1:4" ht="56">
      <c r="A9687" s="715">
        <v>100219</v>
      </c>
      <c r="B9687" s="633" t="s">
        <v>43782</v>
      </c>
      <c r="C9687" s="715" t="s">
        <v>27520</v>
      </c>
      <c r="D9687" s="716">
        <v>1.31</v>
      </c>
    </row>
    <row r="9688" spans="1:4" ht="56">
      <c r="A9688" s="715">
        <v>100218</v>
      </c>
      <c r="B9688" s="633" t="s">
        <v>43783</v>
      </c>
      <c r="C9688" s="715" t="s">
        <v>27520</v>
      </c>
      <c r="D9688" s="716">
        <v>5.8</v>
      </c>
    </row>
    <row r="9689" spans="1:4" ht="42">
      <c r="A9689" s="715">
        <v>100217</v>
      </c>
      <c r="B9689" s="633" t="s">
        <v>43784</v>
      </c>
      <c r="C9689" s="715" t="s">
        <v>27520</v>
      </c>
      <c r="D9689" s="716">
        <v>8.4600000000000009</v>
      </c>
    </row>
    <row r="9690" spans="1:4" ht="42">
      <c r="A9690" s="715">
        <v>100224</v>
      </c>
      <c r="B9690" s="633" t="s">
        <v>43785</v>
      </c>
      <c r="C9690" s="715" t="s">
        <v>27521</v>
      </c>
      <c r="D9690" s="716">
        <v>8.4600000000000009</v>
      </c>
    </row>
    <row r="9691" spans="1:4" ht="42">
      <c r="A9691" s="715">
        <v>100228</v>
      </c>
      <c r="B9691" s="633" t="s">
        <v>43786</v>
      </c>
      <c r="C9691" s="715" t="s">
        <v>27522</v>
      </c>
      <c r="D9691" s="716">
        <v>0.82</v>
      </c>
    </row>
    <row r="9692" spans="1:4" ht="42">
      <c r="A9692" s="715">
        <v>100204</v>
      </c>
      <c r="B9692" s="633" t="s">
        <v>43787</v>
      </c>
      <c r="C9692" s="715" t="s">
        <v>27519</v>
      </c>
      <c r="D9692" s="716">
        <v>0.28999999999999998</v>
      </c>
    </row>
    <row r="9693" spans="1:4" ht="42">
      <c r="A9693" s="715">
        <v>100284</v>
      </c>
      <c r="B9693" s="633" t="s">
        <v>43788</v>
      </c>
      <c r="C9693" s="715" t="s">
        <v>27521</v>
      </c>
      <c r="D9693" s="716">
        <v>43.14</v>
      </c>
    </row>
    <row r="9694" spans="1:4" ht="70">
      <c r="A9694" s="715">
        <v>100277</v>
      </c>
      <c r="B9694" s="633" t="s">
        <v>43789</v>
      </c>
      <c r="C9694" s="715" t="s">
        <v>27521</v>
      </c>
      <c r="D9694" s="716">
        <v>8.76</v>
      </c>
    </row>
    <row r="9695" spans="1:4" ht="42">
      <c r="A9695" s="715">
        <v>100278</v>
      </c>
      <c r="B9695" s="633" t="s">
        <v>43790</v>
      </c>
      <c r="C9695" s="715" t="s">
        <v>27520</v>
      </c>
      <c r="D9695" s="716">
        <v>62.32</v>
      </c>
    </row>
    <row r="9696" spans="1:4" ht="56">
      <c r="A9696" s="715">
        <v>100268</v>
      </c>
      <c r="B9696" s="633" t="s">
        <v>43791</v>
      </c>
      <c r="C9696" s="715" t="s">
        <v>27520</v>
      </c>
      <c r="D9696" s="716">
        <v>130.22999999999999</v>
      </c>
    </row>
    <row r="9697" spans="1:4" ht="28">
      <c r="A9697" s="715">
        <v>100285</v>
      </c>
      <c r="B9697" s="633" t="s">
        <v>43792</v>
      </c>
      <c r="C9697" s="715" t="s">
        <v>27523</v>
      </c>
      <c r="D9697" s="716">
        <v>65.459999999999994</v>
      </c>
    </row>
    <row r="9698" spans="1:4" ht="42">
      <c r="A9698" s="715">
        <v>100209</v>
      </c>
      <c r="B9698" s="633" t="s">
        <v>43793</v>
      </c>
      <c r="C9698" s="715" t="s">
        <v>27520</v>
      </c>
      <c r="D9698" s="716">
        <v>15.11</v>
      </c>
    </row>
    <row r="9699" spans="1:4" ht="42">
      <c r="A9699" s="715">
        <v>100208</v>
      </c>
      <c r="B9699" s="633" t="s">
        <v>43794</v>
      </c>
      <c r="C9699" s="715" t="s">
        <v>27520</v>
      </c>
      <c r="D9699" s="716">
        <v>30.23</v>
      </c>
    </row>
    <row r="9700" spans="1:4" ht="42">
      <c r="A9700" s="715">
        <v>100256</v>
      </c>
      <c r="B9700" s="633" t="s">
        <v>43795</v>
      </c>
      <c r="C9700" s="715" t="s">
        <v>27523</v>
      </c>
      <c r="D9700" s="716">
        <v>13.85</v>
      </c>
    </row>
    <row r="9701" spans="1:4" ht="42">
      <c r="A9701" s="715">
        <v>100220</v>
      </c>
      <c r="B9701" s="633" t="s">
        <v>43796</v>
      </c>
      <c r="C9701" s="715" t="s">
        <v>27521</v>
      </c>
      <c r="D9701" s="716">
        <v>43.41</v>
      </c>
    </row>
    <row r="9702" spans="1:4" ht="42">
      <c r="A9702" s="715">
        <v>100287</v>
      </c>
      <c r="B9702" s="633" t="s">
        <v>43797</v>
      </c>
      <c r="C9702" s="715" t="s">
        <v>27523</v>
      </c>
      <c r="D9702" s="716">
        <v>20.46</v>
      </c>
    </row>
    <row r="9703" spans="1:4" ht="28">
      <c r="A9703" s="715">
        <v>100274</v>
      </c>
      <c r="B9703" s="633" t="s">
        <v>43798</v>
      </c>
      <c r="C9703" s="715" t="s">
        <v>27521</v>
      </c>
      <c r="D9703" s="716">
        <v>43.07</v>
      </c>
    </row>
    <row r="9704" spans="1:4" ht="28">
      <c r="A9704" s="715">
        <v>100264</v>
      </c>
      <c r="B9704" s="633" t="s">
        <v>43799</v>
      </c>
      <c r="C9704" s="715" t="s">
        <v>27521</v>
      </c>
      <c r="D9704" s="716">
        <v>61.24</v>
      </c>
    </row>
    <row r="9705" spans="1:4" ht="28">
      <c r="A9705" s="715">
        <v>100225</v>
      </c>
      <c r="B9705" s="633" t="s">
        <v>43800</v>
      </c>
      <c r="C9705" s="715" t="s">
        <v>27522</v>
      </c>
      <c r="D9705" s="716">
        <v>3.41</v>
      </c>
    </row>
    <row r="9706" spans="1:4" ht="28">
      <c r="A9706" s="715">
        <v>100266</v>
      </c>
      <c r="B9706" s="633" t="s">
        <v>43801</v>
      </c>
      <c r="C9706" s="715" t="s">
        <v>27520</v>
      </c>
      <c r="D9706" s="716">
        <v>130.22999999999999</v>
      </c>
    </row>
    <row r="9707" spans="1:4" ht="42">
      <c r="A9707" s="715">
        <v>100257</v>
      </c>
      <c r="B9707" s="633" t="s">
        <v>43802</v>
      </c>
      <c r="C9707" s="715" t="s">
        <v>27523</v>
      </c>
      <c r="D9707" s="716">
        <v>8.31</v>
      </c>
    </row>
    <row r="9708" spans="1:4" ht="28">
      <c r="A9708" s="715">
        <v>100197</v>
      </c>
      <c r="B9708" s="633" t="s">
        <v>43803</v>
      </c>
      <c r="C9708" s="715" t="s">
        <v>27519</v>
      </c>
      <c r="D9708" s="716">
        <v>3.06</v>
      </c>
    </row>
    <row r="9709" spans="1:4" ht="28">
      <c r="A9709" s="715">
        <v>100196</v>
      </c>
      <c r="B9709" s="633" t="s">
        <v>43804</v>
      </c>
      <c r="C9709" s="715" t="s">
        <v>27519</v>
      </c>
      <c r="D9709" s="716">
        <v>2.04</v>
      </c>
    </row>
    <row r="9710" spans="1:4" ht="28">
      <c r="A9710" s="715">
        <v>100195</v>
      </c>
      <c r="B9710" s="633" t="s">
        <v>43805</v>
      </c>
      <c r="C9710" s="715" t="s">
        <v>27519</v>
      </c>
      <c r="D9710" s="716">
        <v>1.22</v>
      </c>
    </row>
    <row r="9711" spans="1:4" ht="28">
      <c r="A9711" s="715">
        <v>100273</v>
      </c>
      <c r="B9711" s="633" t="s">
        <v>43806</v>
      </c>
      <c r="C9711" s="715" t="s">
        <v>27519</v>
      </c>
      <c r="D9711" s="716">
        <v>5.09</v>
      </c>
    </row>
    <row r="9712" spans="1:4" ht="42">
      <c r="A9712" s="715">
        <v>100282</v>
      </c>
      <c r="B9712" s="633" t="s">
        <v>43807</v>
      </c>
      <c r="C9712" s="715" t="s">
        <v>27521</v>
      </c>
      <c r="D9712" s="716">
        <v>208.5</v>
      </c>
    </row>
    <row r="9713" spans="1:4" ht="56">
      <c r="A9713" s="715">
        <v>100276</v>
      </c>
      <c r="B9713" s="633" t="s">
        <v>43808</v>
      </c>
      <c r="C9713" s="715" t="s">
        <v>27521</v>
      </c>
      <c r="D9713" s="716">
        <v>50.14</v>
      </c>
    </row>
    <row r="9714" spans="1:4" ht="42">
      <c r="A9714" s="715">
        <v>100275</v>
      </c>
      <c r="B9714" s="633" t="s">
        <v>43809</v>
      </c>
      <c r="C9714" s="715" t="s">
        <v>27521</v>
      </c>
      <c r="D9714" s="716">
        <v>27.64</v>
      </c>
    </row>
    <row r="9715" spans="1:4" ht="56">
      <c r="A9715" s="715">
        <v>100254</v>
      </c>
      <c r="B9715" s="633" t="s">
        <v>43810</v>
      </c>
      <c r="C9715" s="715" t="s">
        <v>27523</v>
      </c>
      <c r="D9715" s="716">
        <v>61.39</v>
      </c>
    </row>
    <row r="9716" spans="1:4" ht="56">
      <c r="A9716" s="715">
        <v>100250</v>
      </c>
      <c r="B9716" s="633" t="s">
        <v>43811</v>
      </c>
      <c r="C9716" s="715" t="s">
        <v>27523</v>
      </c>
      <c r="D9716" s="716">
        <v>6.92</v>
      </c>
    </row>
    <row r="9717" spans="1:4" ht="56">
      <c r="A9717" s="715">
        <v>100251</v>
      </c>
      <c r="B9717" s="633" t="s">
        <v>43812</v>
      </c>
      <c r="C9717" s="715" t="s">
        <v>27523</v>
      </c>
      <c r="D9717" s="716">
        <v>20.46</v>
      </c>
    </row>
    <row r="9718" spans="1:4" ht="56">
      <c r="A9718" s="715">
        <v>100252</v>
      </c>
      <c r="B9718" s="633" t="s">
        <v>43813</v>
      </c>
      <c r="C9718" s="715" t="s">
        <v>27523</v>
      </c>
      <c r="D9718" s="716">
        <v>30.69</v>
      </c>
    </row>
    <row r="9719" spans="1:4" ht="56">
      <c r="A9719" s="715">
        <v>100253</v>
      </c>
      <c r="B9719" s="633" t="s">
        <v>43814</v>
      </c>
      <c r="C9719" s="715" t="s">
        <v>27523</v>
      </c>
      <c r="D9719" s="716">
        <v>40.93</v>
      </c>
    </row>
    <row r="9720" spans="1:4" ht="56">
      <c r="A9720" s="715">
        <v>100249</v>
      </c>
      <c r="B9720" s="633" t="s">
        <v>43815</v>
      </c>
      <c r="C9720" s="715" t="s">
        <v>27523</v>
      </c>
      <c r="D9720" s="716">
        <v>4.1500000000000004</v>
      </c>
    </row>
    <row r="9721" spans="1:4" ht="56">
      <c r="A9721" s="715">
        <v>100244</v>
      </c>
      <c r="B9721" s="633" t="s">
        <v>43816</v>
      </c>
      <c r="C9721" s="715" t="s">
        <v>27523</v>
      </c>
      <c r="D9721" s="716">
        <v>6.23</v>
      </c>
    </row>
    <row r="9722" spans="1:4" ht="56">
      <c r="A9722" s="715">
        <v>100245</v>
      </c>
      <c r="B9722" s="633" t="s">
        <v>43817</v>
      </c>
      <c r="C9722" s="715" t="s">
        <v>27523</v>
      </c>
      <c r="D9722" s="716">
        <v>12.46</v>
      </c>
    </row>
    <row r="9723" spans="1:4" ht="42">
      <c r="A9723" s="715">
        <v>100243</v>
      </c>
      <c r="B9723" s="633" t="s">
        <v>43818</v>
      </c>
      <c r="C9723" s="715" t="s">
        <v>27523</v>
      </c>
      <c r="D9723" s="716">
        <v>4.9800000000000004</v>
      </c>
    </row>
    <row r="9724" spans="1:4" ht="42">
      <c r="A9724" s="715">
        <v>100239</v>
      </c>
      <c r="B9724" s="633" t="s">
        <v>43819</v>
      </c>
      <c r="C9724" s="715" t="s">
        <v>27523</v>
      </c>
      <c r="D9724" s="716">
        <v>10.38</v>
      </c>
    </row>
    <row r="9725" spans="1:4" ht="42">
      <c r="A9725" s="715">
        <v>100238</v>
      </c>
      <c r="B9725" s="633" t="s">
        <v>43820</v>
      </c>
      <c r="C9725" s="715" t="s">
        <v>27523</v>
      </c>
      <c r="D9725" s="716">
        <v>8.31</v>
      </c>
    </row>
    <row r="9726" spans="1:4" ht="56">
      <c r="A9726" s="715">
        <v>100241</v>
      </c>
      <c r="B9726" s="633" t="s">
        <v>43821</v>
      </c>
      <c r="C9726" s="715" t="s">
        <v>27523</v>
      </c>
      <c r="D9726" s="716">
        <v>10.38</v>
      </c>
    </row>
    <row r="9727" spans="1:4" ht="56">
      <c r="A9727" s="715">
        <v>100242</v>
      </c>
      <c r="B9727" s="633" t="s">
        <v>43822</v>
      </c>
      <c r="C9727" s="715" t="s">
        <v>27523</v>
      </c>
      <c r="D9727" s="716">
        <v>30.69</v>
      </c>
    </row>
    <row r="9728" spans="1:4" ht="42">
      <c r="A9728" s="715">
        <v>100240</v>
      </c>
      <c r="B9728" s="633" t="s">
        <v>43823</v>
      </c>
      <c r="C9728" s="715" t="s">
        <v>27523</v>
      </c>
      <c r="D9728" s="716">
        <v>6.23</v>
      </c>
    </row>
    <row r="9729" spans="1:4" ht="56">
      <c r="A9729" s="715">
        <v>100237</v>
      </c>
      <c r="B9729" s="633" t="s">
        <v>43824</v>
      </c>
      <c r="C9729" s="715" t="s">
        <v>27523</v>
      </c>
      <c r="D9729" s="716">
        <v>5.19</v>
      </c>
    </row>
    <row r="9730" spans="1:4" ht="42">
      <c r="A9730" s="715">
        <v>100236</v>
      </c>
      <c r="B9730" s="633" t="s">
        <v>43825</v>
      </c>
      <c r="C9730" s="715" t="s">
        <v>27523</v>
      </c>
      <c r="D9730" s="716">
        <v>4.1500000000000004</v>
      </c>
    </row>
    <row r="9731" spans="1:4" ht="70">
      <c r="A9731" s="715">
        <v>100248</v>
      </c>
      <c r="B9731" s="633" t="s">
        <v>43826</v>
      </c>
      <c r="C9731" s="715" t="s">
        <v>27523</v>
      </c>
      <c r="D9731" s="716">
        <v>20.46</v>
      </c>
    </row>
    <row r="9732" spans="1:4" ht="70">
      <c r="A9732" s="715">
        <v>100247</v>
      </c>
      <c r="B9732" s="633" t="s">
        <v>43827</v>
      </c>
      <c r="C9732" s="715" t="s">
        <v>27523</v>
      </c>
      <c r="D9732" s="716">
        <v>5.19</v>
      </c>
    </row>
    <row r="9733" spans="1:4" ht="70">
      <c r="A9733" s="715">
        <v>100246</v>
      </c>
      <c r="B9733" s="633" t="s">
        <v>43828</v>
      </c>
      <c r="C9733" s="715" t="s">
        <v>27523</v>
      </c>
      <c r="D9733" s="716">
        <v>4.1500000000000004</v>
      </c>
    </row>
    <row r="9734" spans="1:4" ht="42">
      <c r="A9734" s="715">
        <v>100255</v>
      </c>
      <c r="B9734" s="633" t="s">
        <v>43829</v>
      </c>
      <c r="C9734" s="715" t="s">
        <v>27523</v>
      </c>
      <c r="D9734" s="716">
        <v>20.77</v>
      </c>
    </row>
    <row r="9735" spans="1:4" ht="42">
      <c r="A9735" s="715">
        <v>100263</v>
      </c>
      <c r="B9735" s="633" t="s">
        <v>43830</v>
      </c>
      <c r="C9735" s="715" t="s">
        <v>27519</v>
      </c>
      <c r="D9735" s="716">
        <v>3.36</v>
      </c>
    </row>
    <row r="9736" spans="1:4" ht="42">
      <c r="A9736" s="715">
        <v>100260</v>
      </c>
      <c r="B9736" s="633" t="s">
        <v>43831</v>
      </c>
      <c r="C9736" s="715" t="s">
        <v>27519</v>
      </c>
      <c r="D9736" s="716">
        <v>13.49</v>
      </c>
    </row>
    <row r="9737" spans="1:4" ht="42">
      <c r="A9737" s="715">
        <v>100261</v>
      </c>
      <c r="B9737" s="633" t="s">
        <v>43832</v>
      </c>
      <c r="C9737" s="715" t="s">
        <v>27519</v>
      </c>
      <c r="D9737" s="716">
        <v>8.48</v>
      </c>
    </row>
    <row r="9738" spans="1:4" ht="42">
      <c r="A9738" s="715">
        <v>100262</v>
      </c>
      <c r="B9738" s="633" t="s">
        <v>43833</v>
      </c>
      <c r="C9738" s="715" t="s">
        <v>27519</v>
      </c>
      <c r="D9738" s="716">
        <v>5.25</v>
      </c>
    </row>
    <row r="9739" spans="1:4" ht="28">
      <c r="A9739" s="715">
        <v>100271</v>
      </c>
      <c r="B9739" s="633" t="s">
        <v>43834</v>
      </c>
      <c r="C9739" s="715" t="s">
        <v>27521</v>
      </c>
      <c r="D9739" s="716">
        <v>97.67</v>
      </c>
    </row>
    <row r="9740" spans="1:4" ht="42">
      <c r="A9740" s="715">
        <v>100258</v>
      </c>
      <c r="B9740" s="633" t="s">
        <v>43835</v>
      </c>
      <c r="C9740" s="715" t="s">
        <v>27523</v>
      </c>
      <c r="D9740" s="716">
        <v>20.77</v>
      </c>
    </row>
    <row r="9741" spans="1:4" ht="42">
      <c r="A9741" s="715">
        <v>100259</v>
      </c>
      <c r="B9741" s="633" t="s">
        <v>43836</v>
      </c>
      <c r="C9741" s="715" t="s">
        <v>27523</v>
      </c>
      <c r="D9741" s="716">
        <v>41.55</v>
      </c>
    </row>
    <row r="9742" spans="1:4" ht="42">
      <c r="A9742" s="715">
        <v>100279</v>
      </c>
      <c r="B9742" s="633" t="s">
        <v>43837</v>
      </c>
      <c r="C9742" s="715" t="s">
        <v>103</v>
      </c>
      <c r="D9742" s="716">
        <v>1.2</v>
      </c>
    </row>
    <row r="9743" spans="1:4" ht="42">
      <c r="A9743" s="715">
        <v>100233</v>
      </c>
      <c r="B9743" s="633" t="s">
        <v>43838</v>
      </c>
      <c r="C9743" s="715" t="s">
        <v>103</v>
      </c>
      <c r="D9743" s="716">
        <v>0.28000000000000003</v>
      </c>
    </row>
    <row r="9744" spans="1:4" ht="42">
      <c r="A9744" s="715">
        <v>100232</v>
      </c>
      <c r="B9744" s="633" t="s">
        <v>43839</v>
      </c>
      <c r="C9744" s="715" t="s">
        <v>103</v>
      </c>
      <c r="D9744" s="716">
        <v>0.56999999999999995</v>
      </c>
    </row>
    <row r="9745" spans="1:4" ht="42">
      <c r="A9745" s="715">
        <v>100234</v>
      </c>
      <c r="B9745" s="633" t="s">
        <v>43840</v>
      </c>
      <c r="C9745" s="715" t="s">
        <v>509</v>
      </c>
      <c r="D9745" s="716">
        <v>0.85</v>
      </c>
    </row>
    <row r="9746" spans="1:4" ht="28">
      <c r="A9746" s="715">
        <v>100265</v>
      </c>
      <c r="B9746" s="633" t="s">
        <v>43841</v>
      </c>
      <c r="C9746" s="715" t="s">
        <v>509</v>
      </c>
      <c r="D9746" s="716">
        <v>1.27</v>
      </c>
    </row>
    <row r="9747" spans="1:4" ht="28">
      <c r="A9747" s="715">
        <v>100235</v>
      </c>
      <c r="B9747" s="633" t="s">
        <v>43842</v>
      </c>
      <c r="C9747" s="715" t="s">
        <v>153</v>
      </c>
      <c r="D9747" s="716">
        <v>0.06</v>
      </c>
    </row>
    <row r="9748" spans="1:4" ht="28">
      <c r="A9748" s="715">
        <v>100267</v>
      </c>
      <c r="B9748" s="633" t="s">
        <v>43843</v>
      </c>
      <c r="C9748" s="715" t="s">
        <v>103</v>
      </c>
      <c r="D9748" s="716">
        <v>2.56</v>
      </c>
    </row>
    <row r="9749" spans="1:4" ht="28">
      <c r="A9749" s="715">
        <v>100231</v>
      </c>
      <c r="B9749" s="633" t="s">
        <v>43844</v>
      </c>
      <c r="C9749" s="715" t="s">
        <v>207</v>
      </c>
      <c r="D9749" s="716">
        <v>0.05</v>
      </c>
    </row>
    <row r="9750" spans="1:4" ht="28">
      <c r="A9750" s="715">
        <v>100230</v>
      </c>
      <c r="B9750" s="633" t="s">
        <v>43845</v>
      </c>
      <c r="C9750" s="715" t="s">
        <v>207</v>
      </c>
      <c r="D9750" s="716">
        <v>0.03</v>
      </c>
    </row>
    <row r="9751" spans="1:4" ht="28">
      <c r="A9751" s="715">
        <v>100229</v>
      </c>
      <c r="B9751" s="633" t="s">
        <v>43846</v>
      </c>
      <c r="C9751" s="715" t="s">
        <v>207</v>
      </c>
      <c r="D9751" s="716">
        <v>0.02</v>
      </c>
    </row>
    <row r="9752" spans="1:4" ht="28">
      <c r="A9752" s="715">
        <v>100272</v>
      </c>
      <c r="B9752" s="633" t="s">
        <v>43847</v>
      </c>
      <c r="C9752" s="715" t="s">
        <v>509</v>
      </c>
      <c r="D9752" s="716">
        <v>1.92</v>
      </c>
    </row>
    <row r="9753" spans="1:4" ht="56">
      <c r="A9753" s="715">
        <v>100269</v>
      </c>
      <c r="B9753" s="633" t="s">
        <v>43848</v>
      </c>
      <c r="C9753" s="715" t="s">
        <v>103</v>
      </c>
      <c r="D9753" s="716">
        <v>2.56</v>
      </c>
    </row>
    <row r="9754" spans="1:4" ht="28">
      <c r="A9754" s="715">
        <v>100986</v>
      </c>
      <c r="B9754" s="633" t="s">
        <v>43849</v>
      </c>
      <c r="C9754" s="715" t="s">
        <v>121</v>
      </c>
      <c r="D9754" s="716">
        <v>10.65</v>
      </c>
    </row>
    <row r="9755" spans="1:4" ht="28">
      <c r="A9755" s="715">
        <v>101002</v>
      </c>
      <c r="B9755" s="633" t="s">
        <v>43850</v>
      </c>
      <c r="C9755" s="715" t="s">
        <v>118</v>
      </c>
      <c r="D9755" s="716">
        <v>7.1</v>
      </c>
    </row>
    <row r="9756" spans="1:4" ht="28">
      <c r="A9756" s="715">
        <v>100987</v>
      </c>
      <c r="B9756" s="633" t="s">
        <v>43851</v>
      </c>
      <c r="C9756" s="715" t="s">
        <v>121</v>
      </c>
      <c r="D9756" s="716">
        <v>12.07</v>
      </c>
    </row>
    <row r="9757" spans="1:4" ht="28">
      <c r="A9757" s="715">
        <v>101003</v>
      </c>
      <c r="B9757" s="633" t="s">
        <v>43852</v>
      </c>
      <c r="C9757" s="715" t="s">
        <v>118</v>
      </c>
      <c r="D9757" s="716">
        <v>8.0500000000000007</v>
      </c>
    </row>
    <row r="9758" spans="1:4" ht="28">
      <c r="A9758" s="715">
        <v>100988</v>
      </c>
      <c r="B9758" s="633" t="s">
        <v>43853</v>
      </c>
      <c r="C9758" s="715" t="s">
        <v>121</v>
      </c>
      <c r="D9758" s="716">
        <v>12.79</v>
      </c>
    </row>
    <row r="9759" spans="1:4" ht="28">
      <c r="A9759" s="715">
        <v>101004</v>
      </c>
      <c r="B9759" s="633" t="s">
        <v>43854</v>
      </c>
      <c r="C9759" s="715" t="s">
        <v>118</v>
      </c>
      <c r="D9759" s="716">
        <v>8.52</v>
      </c>
    </row>
    <row r="9760" spans="1:4" ht="28">
      <c r="A9760" s="715">
        <v>100985</v>
      </c>
      <c r="B9760" s="633" t="s">
        <v>43855</v>
      </c>
      <c r="C9760" s="715" t="s">
        <v>121</v>
      </c>
      <c r="D9760" s="716">
        <v>8.82</v>
      </c>
    </row>
    <row r="9761" spans="1:4" ht="28">
      <c r="A9761" s="715">
        <v>101001</v>
      </c>
      <c r="B9761" s="633" t="s">
        <v>43856</v>
      </c>
      <c r="C9761" s="715" t="s">
        <v>118</v>
      </c>
      <c r="D9761" s="716">
        <v>5.88</v>
      </c>
    </row>
    <row r="9762" spans="1:4" ht="14">
      <c r="A9762" s="715">
        <v>101008</v>
      </c>
      <c r="B9762" s="633" t="s">
        <v>43857</v>
      </c>
      <c r="C9762" s="715" t="s">
        <v>121</v>
      </c>
      <c r="D9762" s="716">
        <v>10.92</v>
      </c>
    </row>
    <row r="9763" spans="1:4" ht="14">
      <c r="A9763" s="715">
        <v>106708</v>
      </c>
      <c r="B9763" s="633" t="s">
        <v>43858</v>
      </c>
      <c r="C9763" s="715" t="s">
        <v>121</v>
      </c>
      <c r="D9763" s="716">
        <v>7.52</v>
      </c>
    </row>
    <row r="9764" spans="1:4" ht="14">
      <c r="A9764" s="715">
        <v>101007</v>
      </c>
      <c r="B9764" s="633" t="s">
        <v>43859</v>
      </c>
      <c r="C9764" s="715" t="s">
        <v>121</v>
      </c>
      <c r="D9764" s="716">
        <v>13.61</v>
      </c>
    </row>
    <row r="9765" spans="1:4" ht="42">
      <c r="A9765" s="715">
        <v>106711</v>
      </c>
      <c r="B9765" s="633" t="s">
        <v>43860</v>
      </c>
      <c r="C9765" s="715" t="s">
        <v>121</v>
      </c>
      <c r="D9765" s="716">
        <v>0</v>
      </c>
    </row>
    <row r="9766" spans="1:4" ht="42">
      <c r="A9766" s="715">
        <v>106709</v>
      </c>
      <c r="B9766" s="633" t="s">
        <v>43861</v>
      </c>
      <c r="C9766" s="715" t="s">
        <v>118</v>
      </c>
      <c r="D9766" s="716">
        <v>0</v>
      </c>
    </row>
    <row r="9767" spans="1:4" ht="42">
      <c r="A9767" s="715">
        <v>106710</v>
      </c>
      <c r="B9767" s="633" t="s">
        <v>43862</v>
      </c>
      <c r="C9767" s="715" t="s">
        <v>118</v>
      </c>
      <c r="D9767" s="716">
        <v>0</v>
      </c>
    </row>
    <row r="9768" spans="1:4" ht="56">
      <c r="A9768" s="715">
        <v>100982</v>
      </c>
      <c r="B9768" s="633" t="s">
        <v>43863</v>
      </c>
      <c r="C9768" s="715" t="s">
        <v>121</v>
      </c>
      <c r="D9768" s="716">
        <v>10.43</v>
      </c>
    </row>
    <row r="9769" spans="1:4" ht="56">
      <c r="A9769" s="715">
        <v>100998</v>
      </c>
      <c r="B9769" s="633" t="s">
        <v>43864</v>
      </c>
      <c r="C9769" s="715" t="s">
        <v>118</v>
      </c>
      <c r="D9769" s="716">
        <v>6.94</v>
      </c>
    </row>
    <row r="9770" spans="1:4" ht="56">
      <c r="A9770" s="715">
        <v>100983</v>
      </c>
      <c r="B9770" s="633" t="s">
        <v>43865</v>
      </c>
      <c r="C9770" s="715" t="s">
        <v>121</v>
      </c>
      <c r="D9770" s="716">
        <v>10.35</v>
      </c>
    </row>
    <row r="9771" spans="1:4" ht="56">
      <c r="A9771" s="715">
        <v>100999</v>
      </c>
      <c r="B9771" s="633" t="s">
        <v>43866</v>
      </c>
      <c r="C9771" s="715" t="s">
        <v>118</v>
      </c>
      <c r="D9771" s="716">
        <v>6.89</v>
      </c>
    </row>
    <row r="9772" spans="1:4" ht="56">
      <c r="A9772" s="715">
        <v>100984</v>
      </c>
      <c r="B9772" s="633" t="s">
        <v>43867</v>
      </c>
      <c r="C9772" s="715" t="s">
        <v>121</v>
      </c>
      <c r="D9772" s="716">
        <v>10.130000000000001</v>
      </c>
    </row>
    <row r="9773" spans="1:4" ht="56">
      <c r="A9773" s="715">
        <v>101000</v>
      </c>
      <c r="B9773" s="633" t="s">
        <v>43868</v>
      </c>
      <c r="C9773" s="715" t="s">
        <v>118</v>
      </c>
      <c r="D9773" s="716">
        <v>6.74</v>
      </c>
    </row>
    <row r="9774" spans="1:4" ht="56">
      <c r="A9774" s="715">
        <v>100981</v>
      </c>
      <c r="B9774" s="633" t="s">
        <v>43869</v>
      </c>
      <c r="C9774" s="715" t="s">
        <v>121</v>
      </c>
      <c r="D9774" s="716">
        <v>10.88</v>
      </c>
    </row>
    <row r="9775" spans="1:4" ht="56">
      <c r="A9775" s="715">
        <v>100997</v>
      </c>
      <c r="B9775" s="633" t="s">
        <v>43870</v>
      </c>
      <c r="C9775" s="715" t="s">
        <v>118</v>
      </c>
      <c r="D9775" s="716">
        <v>7.24</v>
      </c>
    </row>
    <row r="9776" spans="1:4" ht="42">
      <c r="A9776" s="715">
        <v>101010</v>
      </c>
      <c r="B9776" s="633" t="s">
        <v>43871</v>
      </c>
      <c r="C9776" s="715" t="s">
        <v>118</v>
      </c>
      <c r="D9776" s="716">
        <v>31.68</v>
      </c>
    </row>
    <row r="9777" spans="1:4" ht="42">
      <c r="A9777" s="715">
        <v>106721</v>
      </c>
      <c r="B9777" s="633" t="s">
        <v>43872</v>
      </c>
      <c r="C9777" s="715" t="s">
        <v>118</v>
      </c>
      <c r="D9777" s="716">
        <v>35.229999999999997</v>
      </c>
    </row>
    <row r="9778" spans="1:4" ht="42">
      <c r="A9778" s="715">
        <v>101009</v>
      </c>
      <c r="B9778" s="633" t="s">
        <v>43873</v>
      </c>
      <c r="C9778" s="715" t="s">
        <v>118</v>
      </c>
      <c r="D9778" s="716">
        <v>50.15</v>
      </c>
    </row>
    <row r="9779" spans="1:4" ht="42">
      <c r="A9779" s="715">
        <v>106720</v>
      </c>
      <c r="B9779" s="633" t="s">
        <v>43874</v>
      </c>
      <c r="C9779" s="715" t="s">
        <v>118</v>
      </c>
      <c r="D9779" s="716">
        <v>56.68</v>
      </c>
    </row>
    <row r="9780" spans="1:4" ht="70">
      <c r="A9780" s="715">
        <v>100978</v>
      </c>
      <c r="B9780" s="633" t="s">
        <v>43875</v>
      </c>
      <c r="C9780" s="715" t="s">
        <v>121</v>
      </c>
      <c r="D9780" s="716">
        <v>8.01</v>
      </c>
    </row>
    <row r="9781" spans="1:4" ht="70">
      <c r="A9781" s="715">
        <v>100994</v>
      </c>
      <c r="B9781" s="633" t="s">
        <v>43876</v>
      </c>
      <c r="C9781" s="715" t="s">
        <v>118</v>
      </c>
      <c r="D9781" s="716">
        <v>5.32</v>
      </c>
    </row>
    <row r="9782" spans="1:4" ht="70">
      <c r="A9782" s="715">
        <v>100974</v>
      </c>
      <c r="B9782" s="633" t="s">
        <v>43877</v>
      </c>
      <c r="C9782" s="715" t="s">
        <v>121</v>
      </c>
      <c r="D9782" s="716">
        <v>9.0500000000000007</v>
      </c>
    </row>
    <row r="9783" spans="1:4" ht="70">
      <c r="A9783" s="715">
        <v>100990</v>
      </c>
      <c r="B9783" s="633" t="s">
        <v>43878</v>
      </c>
      <c r="C9783" s="715" t="s">
        <v>118</v>
      </c>
      <c r="D9783" s="716">
        <v>6.03</v>
      </c>
    </row>
    <row r="9784" spans="1:4" ht="70">
      <c r="A9784" s="715">
        <v>100979</v>
      </c>
      <c r="B9784" s="633" t="s">
        <v>43879</v>
      </c>
      <c r="C9784" s="715" t="s">
        <v>121</v>
      </c>
      <c r="D9784" s="716">
        <v>7.59</v>
      </c>
    </row>
    <row r="9785" spans="1:4" ht="70">
      <c r="A9785" s="715">
        <v>100995</v>
      </c>
      <c r="B9785" s="633" t="s">
        <v>43880</v>
      </c>
      <c r="C9785" s="715" t="s">
        <v>118</v>
      </c>
      <c r="D9785" s="716">
        <v>5.05</v>
      </c>
    </row>
    <row r="9786" spans="1:4" ht="70">
      <c r="A9786" s="715">
        <v>100975</v>
      </c>
      <c r="B9786" s="633" t="s">
        <v>43881</v>
      </c>
      <c r="C9786" s="715" t="s">
        <v>121</v>
      </c>
      <c r="D9786" s="716">
        <v>8.92</v>
      </c>
    </row>
    <row r="9787" spans="1:4" ht="70">
      <c r="A9787" s="715">
        <v>100991</v>
      </c>
      <c r="B9787" s="633" t="s">
        <v>43882</v>
      </c>
      <c r="C9787" s="715" t="s">
        <v>118</v>
      </c>
      <c r="D9787" s="716">
        <v>5.95</v>
      </c>
    </row>
    <row r="9788" spans="1:4" ht="70">
      <c r="A9788" s="715">
        <v>100980</v>
      </c>
      <c r="B9788" s="633" t="s">
        <v>43883</v>
      </c>
      <c r="C9788" s="715" t="s">
        <v>121</v>
      </c>
      <c r="D9788" s="716">
        <v>7.17</v>
      </c>
    </row>
    <row r="9789" spans="1:4" ht="70">
      <c r="A9789" s="715">
        <v>100996</v>
      </c>
      <c r="B9789" s="633" t="s">
        <v>43884</v>
      </c>
      <c r="C9789" s="715" t="s">
        <v>118</v>
      </c>
      <c r="D9789" s="716">
        <v>4.78</v>
      </c>
    </row>
    <row r="9790" spans="1:4" ht="70">
      <c r="A9790" s="715">
        <v>100976</v>
      </c>
      <c r="B9790" s="633" t="s">
        <v>43885</v>
      </c>
      <c r="C9790" s="715" t="s">
        <v>121</v>
      </c>
      <c r="D9790" s="716">
        <v>8.67</v>
      </c>
    </row>
    <row r="9791" spans="1:4" ht="70">
      <c r="A9791" s="715">
        <v>100992</v>
      </c>
      <c r="B9791" s="633" t="s">
        <v>43886</v>
      </c>
      <c r="C9791" s="715" t="s">
        <v>118</v>
      </c>
      <c r="D9791" s="716">
        <v>5.79</v>
      </c>
    </row>
    <row r="9792" spans="1:4" ht="70">
      <c r="A9792" s="715">
        <v>100977</v>
      </c>
      <c r="B9792" s="633" t="s">
        <v>43887</v>
      </c>
      <c r="C9792" s="715" t="s">
        <v>121</v>
      </c>
      <c r="D9792" s="716">
        <v>8.9</v>
      </c>
    </row>
    <row r="9793" spans="1:4" ht="70">
      <c r="A9793" s="715">
        <v>100993</v>
      </c>
      <c r="B9793" s="633" t="s">
        <v>43888</v>
      </c>
      <c r="C9793" s="715" t="s">
        <v>118</v>
      </c>
      <c r="D9793" s="716">
        <v>5.92</v>
      </c>
    </row>
    <row r="9794" spans="1:4" ht="70">
      <c r="A9794" s="715">
        <v>100973</v>
      </c>
      <c r="B9794" s="633" t="s">
        <v>43889</v>
      </c>
      <c r="C9794" s="715" t="s">
        <v>121</v>
      </c>
      <c r="D9794" s="716">
        <v>9.52</v>
      </c>
    </row>
    <row r="9795" spans="1:4" ht="70">
      <c r="A9795" s="715">
        <v>100989</v>
      </c>
      <c r="B9795" s="633" t="s">
        <v>43890</v>
      </c>
      <c r="C9795" s="715" t="s">
        <v>118</v>
      </c>
      <c r="D9795" s="716">
        <v>6.34</v>
      </c>
    </row>
    <row r="9796" spans="1:4" ht="42">
      <c r="A9796" s="715">
        <v>101467</v>
      </c>
      <c r="B9796" s="633" t="s">
        <v>43891</v>
      </c>
      <c r="C9796" s="715" t="s">
        <v>118</v>
      </c>
      <c r="D9796" s="716">
        <v>24.05</v>
      </c>
    </row>
    <row r="9797" spans="1:4" ht="42">
      <c r="A9797" s="715">
        <v>106729</v>
      </c>
      <c r="B9797" s="633" t="s">
        <v>43892</v>
      </c>
      <c r="C9797" s="715" t="s">
        <v>118</v>
      </c>
      <c r="D9797" s="716">
        <v>24.98</v>
      </c>
    </row>
    <row r="9798" spans="1:4" ht="42">
      <c r="A9798" s="715">
        <v>101468</v>
      </c>
      <c r="B9798" s="633" t="s">
        <v>43893</v>
      </c>
      <c r="C9798" s="715" t="s">
        <v>118</v>
      </c>
      <c r="D9798" s="716">
        <v>21.9</v>
      </c>
    </row>
    <row r="9799" spans="1:4" ht="42">
      <c r="A9799" s="715">
        <v>106730</v>
      </c>
      <c r="B9799" s="633" t="s">
        <v>43894</v>
      </c>
      <c r="C9799" s="715" t="s">
        <v>118</v>
      </c>
      <c r="D9799" s="716">
        <v>22.13</v>
      </c>
    </row>
    <row r="9800" spans="1:4" ht="42">
      <c r="A9800" s="715">
        <v>101014</v>
      </c>
      <c r="B9800" s="633" t="s">
        <v>43895</v>
      </c>
      <c r="C9800" s="715" t="s">
        <v>118</v>
      </c>
      <c r="D9800" s="716">
        <v>55.8</v>
      </c>
    </row>
    <row r="9801" spans="1:4" ht="42">
      <c r="A9801" s="715">
        <v>106723</v>
      </c>
      <c r="B9801" s="633" t="s">
        <v>43896</v>
      </c>
      <c r="C9801" s="715" t="s">
        <v>118</v>
      </c>
      <c r="D9801" s="716">
        <v>61.12</v>
      </c>
    </row>
    <row r="9802" spans="1:4" ht="42">
      <c r="A9802" s="715">
        <v>101015</v>
      </c>
      <c r="B9802" s="633" t="s">
        <v>43897</v>
      </c>
      <c r="C9802" s="715" t="s">
        <v>118</v>
      </c>
      <c r="D9802" s="716">
        <v>45.73</v>
      </c>
    </row>
    <row r="9803" spans="1:4" ht="42">
      <c r="A9803" s="715">
        <v>106724</v>
      </c>
      <c r="B9803" s="633" t="s">
        <v>43898</v>
      </c>
      <c r="C9803" s="715" t="s">
        <v>118</v>
      </c>
      <c r="D9803" s="716">
        <v>49.78</v>
      </c>
    </row>
    <row r="9804" spans="1:4" ht="42">
      <c r="A9804" s="715">
        <v>101463</v>
      </c>
      <c r="B9804" s="633" t="s">
        <v>43899</v>
      </c>
      <c r="C9804" s="715" t="s">
        <v>118</v>
      </c>
      <c r="D9804" s="716">
        <v>61.13</v>
      </c>
    </row>
    <row r="9805" spans="1:4" ht="42">
      <c r="A9805" s="715">
        <v>106725</v>
      </c>
      <c r="B9805" s="633" t="s">
        <v>43900</v>
      </c>
      <c r="C9805" s="715" t="s">
        <v>118</v>
      </c>
      <c r="D9805" s="716">
        <v>67.12</v>
      </c>
    </row>
    <row r="9806" spans="1:4" ht="42">
      <c r="A9806" s="715">
        <v>101464</v>
      </c>
      <c r="B9806" s="633" t="s">
        <v>43901</v>
      </c>
      <c r="C9806" s="715" t="s">
        <v>118</v>
      </c>
      <c r="D9806" s="716">
        <v>46.83</v>
      </c>
    </row>
    <row r="9807" spans="1:4" ht="42">
      <c r="A9807" s="715">
        <v>106726</v>
      </c>
      <c r="B9807" s="633" t="s">
        <v>43902</v>
      </c>
      <c r="C9807" s="715" t="s">
        <v>118</v>
      </c>
      <c r="D9807" s="716">
        <v>51.09</v>
      </c>
    </row>
    <row r="9808" spans="1:4" ht="42">
      <c r="A9808" s="715">
        <v>101465</v>
      </c>
      <c r="B9808" s="633" t="s">
        <v>43903</v>
      </c>
      <c r="C9808" s="715" t="s">
        <v>118</v>
      </c>
      <c r="D9808" s="716">
        <v>35.64</v>
      </c>
    </row>
    <row r="9809" spans="1:4" ht="42">
      <c r="A9809" s="715">
        <v>106727</v>
      </c>
      <c r="B9809" s="633" t="s">
        <v>43904</v>
      </c>
      <c r="C9809" s="715" t="s">
        <v>118</v>
      </c>
      <c r="D9809" s="716">
        <v>38.18</v>
      </c>
    </row>
    <row r="9810" spans="1:4" ht="42">
      <c r="A9810" s="715">
        <v>101466</v>
      </c>
      <c r="B9810" s="633" t="s">
        <v>43905</v>
      </c>
      <c r="C9810" s="715" t="s">
        <v>118</v>
      </c>
      <c r="D9810" s="716">
        <v>28.89</v>
      </c>
    </row>
    <row r="9811" spans="1:4" ht="42">
      <c r="A9811" s="715">
        <v>106728</v>
      </c>
      <c r="B9811" s="633" t="s">
        <v>43906</v>
      </c>
      <c r="C9811" s="715" t="s">
        <v>118</v>
      </c>
      <c r="D9811" s="716">
        <v>30.69</v>
      </c>
    </row>
    <row r="9812" spans="1:4" ht="56">
      <c r="A9812" s="715">
        <v>101013</v>
      </c>
      <c r="B9812" s="633" t="s">
        <v>43907</v>
      </c>
      <c r="C9812" s="715" t="s">
        <v>118</v>
      </c>
      <c r="D9812" s="716">
        <v>60.99</v>
      </c>
    </row>
    <row r="9813" spans="1:4" ht="56">
      <c r="A9813" s="715">
        <v>106722</v>
      </c>
      <c r="B9813" s="633" t="s">
        <v>43908</v>
      </c>
      <c r="C9813" s="715" t="s">
        <v>118</v>
      </c>
      <c r="D9813" s="716">
        <v>67.12</v>
      </c>
    </row>
    <row r="9814" spans="1:4" ht="42">
      <c r="A9814" s="715">
        <v>101477</v>
      </c>
      <c r="B9814" s="633" t="s">
        <v>43909</v>
      </c>
      <c r="C9814" s="715" t="s">
        <v>118</v>
      </c>
      <c r="D9814" s="716">
        <v>17.25</v>
      </c>
    </row>
    <row r="9815" spans="1:4" ht="42">
      <c r="A9815" s="715">
        <v>106742</v>
      </c>
      <c r="B9815" s="633" t="s">
        <v>43910</v>
      </c>
      <c r="C9815" s="715" t="s">
        <v>118</v>
      </c>
      <c r="D9815" s="716">
        <v>17.71</v>
      </c>
    </row>
    <row r="9816" spans="1:4" ht="42">
      <c r="A9816" s="715">
        <v>101478</v>
      </c>
      <c r="B9816" s="633" t="s">
        <v>43911</v>
      </c>
      <c r="C9816" s="715" t="s">
        <v>118</v>
      </c>
      <c r="D9816" s="716">
        <v>14.56</v>
      </c>
    </row>
    <row r="9817" spans="1:4" ht="42">
      <c r="A9817" s="715">
        <v>106743</v>
      </c>
      <c r="B9817" s="633" t="s">
        <v>43912</v>
      </c>
      <c r="C9817" s="715" t="s">
        <v>118</v>
      </c>
      <c r="D9817" s="716">
        <v>14.18</v>
      </c>
    </row>
    <row r="9818" spans="1:4" ht="42">
      <c r="A9818" s="715">
        <v>101017</v>
      </c>
      <c r="B9818" s="633" t="s">
        <v>43913</v>
      </c>
      <c r="C9818" s="715" t="s">
        <v>118</v>
      </c>
      <c r="D9818" s="716">
        <v>40.08</v>
      </c>
    </row>
    <row r="9819" spans="1:4" ht="42">
      <c r="A9819" s="715">
        <v>106732</v>
      </c>
      <c r="B9819" s="633" t="s">
        <v>43914</v>
      </c>
      <c r="C9819" s="715" t="s">
        <v>118</v>
      </c>
      <c r="D9819" s="716">
        <v>43.37</v>
      </c>
    </row>
    <row r="9820" spans="1:4" ht="42">
      <c r="A9820" s="715">
        <v>101018</v>
      </c>
      <c r="B9820" s="633" t="s">
        <v>43915</v>
      </c>
      <c r="C9820" s="715" t="s">
        <v>118</v>
      </c>
      <c r="D9820" s="716">
        <v>32.82</v>
      </c>
    </row>
    <row r="9821" spans="1:4" ht="42">
      <c r="A9821" s="715">
        <v>106733</v>
      </c>
      <c r="B9821" s="633" t="s">
        <v>43916</v>
      </c>
      <c r="C9821" s="715" t="s">
        <v>118</v>
      </c>
      <c r="D9821" s="716">
        <v>35.03</v>
      </c>
    </row>
    <row r="9822" spans="1:4" ht="42">
      <c r="A9822" s="715">
        <v>101469</v>
      </c>
      <c r="B9822" s="633" t="s">
        <v>43917</v>
      </c>
      <c r="C9822" s="715" t="s">
        <v>118</v>
      </c>
      <c r="D9822" s="716">
        <v>49.95</v>
      </c>
    </row>
    <row r="9823" spans="1:4" ht="42">
      <c r="A9823" s="715">
        <v>106734</v>
      </c>
      <c r="B9823" s="633" t="s">
        <v>43918</v>
      </c>
      <c r="C9823" s="715" t="s">
        <v>118</v>
      </c>
      <c r="D9823" s="716">
        <v>54.58</v>
      </c>
    </row>
    <row r="9824" spans="1:4" ht="42">
      <c r="A9824" s="715">
        <v>101470</v>
      </c>
      <c r="B9824" s="633" t="s">
        <v>43919</v>
      </c>
      <c r="C9824" s="715" t="s">
        <v>118</v>
      </c>
      <c r="D9824" s="716">
        <v>39.51</v>
      </c>
    </row>
    <row r="9825" spans="1:4" ht="42">
      <c r="A9825" s="715">
        <v>106735</v>
      </c>
      <c r="B9825" s="633" t="s">
        <v>43920</v>
      </c>
      <c r="C9825" s="715" t="s">
        <v>118</v>
      </c>
      <c r="D9825" s="716">
        <v>42.72</v>
      </c>
    </row>
    <row r="9826" spans="1:4" ht="42">
      <c r="A9826" s="715">
        <v>101471</v>
      </c>
      <c r="B9826" s="633" t="s">
        <v>43921</v>
      </c>
      <c r="C9826" s="715" t="s">
        <v>118</v>
      </c>
      <c r="D9826" s="716">
        <v>33.81</v>
      </c>
    </row>
    <row r="9827" spans="1:4" ht="42">
      <c r="A9827" s="715">
        <v>106736</v>
      </c>
      <c r="B9827" s="633" t="s">
        <v>43922</v>
      </c>
      <c r="C9827" s="715" t="s">
        <v>118</v>
      </c>
      <c r="D9827" s="716">
        <v>36.15</v>
      </c>
    </row>
    <row r="9828" spans="1:4" ht="42">
      <c r="A9828" s="715">
        <v>101472</v>
      </c>
      <c r="B9828" s="633" t="s">
        <v>43923</v>
      </c>
      <c r="C9828" s="715" t="s">
        <v>118</v>
      </c>
      <c r="D9828" s="716">
        <v>26.17</v>
      </c>
    </row>
    <row r="9829" spans="1:4" ht="42">
      <c r="A9829" s="715">
        <v>106737</v>
      </c>
      <c r="B9829" s="633" t="s">
        <v>43924</v>
      </c>
      <c r="C9829" s="715" t="s">
        <v>118</v>
      </c>
      <c r="D9829" s="716">
        <v>27.53</v>
      </c>
    </row>
    <row r="9830" spans="1:4" ht="42">
      <c r="A9830" s="715">
        <v>101473</v>
      </c>
      <c r="B9830" s="633" t="s">
        <v>43925</v>
      </c>
      <c r="C9830" s="715" t="s">
        <v>118</v>
      </c>
      <c r="D9830" s="716">
        <v>37.9</v>
      </c>
    </row>
    <row r="9831" spans="1:4" ht="42">
      <c r="A9831" s="715">
        <v>106738</v>
      </c>
      <c r="B9831" s="633" t="s">
        <v>43926</v>
      </c>
      <c r="C9831" s="715" t="s">
        <v>118</v>
      </c>
      <c r="D9831" s="716">
        <v>40.4</v>
      </c>
    </row>
    <row r="9832" spans="1:4" ht="42">
      <c r="A9832" s="715">
        <v>101474</v>
      </c>
      <c r="B9832" s="633" t="s">
        <v>43927</v>
      </c>
      <c r="C9832" s="715" t="s">
        <v>118</v>
      </c>
      <c r="D9832" s="716">
        <v>26.96</v>
      </c>
    </row>
    <row r="9833" spans="1:4" ht="42">
      <c r="A9833" s="715">
        <v>106739</v>
      </c>
      <c r="B9833" s="633" t="s">
        <v>43928</v>
      </c>
      <c r="C9833" s="715" t="s">
        <v>118</v>
      </c>
      <c r="D9833" s="716">
        <v>28.22</v>
      </c>
    </row>
    <row r="9834" spans="1:4" ht="42">
      <c r="A9834" s="715">
        <v>101475</v>
      </c>
      <c r="B9834" s="633" t="s">
        <v>43929</v>
      </c>
      <c r="C9834" s="715" t="s">
        <v>118</v>
      </c>
      <c r="D9834" s="716">
        <v>23.72</v>
      </c>
    </row>
    <row r="9835" spans="1:4" ht="42">
      <c r="A9835" s="715">
        <v>106740</v>
      </c>
      <c r="B9835" s="633" t="s">
        <v>43930</v>
      </c>
      <c r="C9835" s="715" t="s">
        <v>118</v>
      </c>
      <c r="D9835" s="716">
        <v>23.98</v>
      </c>
    </row>
    <row r="9836" spans="1:4" ht="42">
      <c r="A9836" s="715">
        <v>101476</v>
      </c>
      <c r="B9836" s="633" t="s">
        <v>43931</v>
      </c>
      <c r="C9836" s="715" t="s">
        <v>118</v>
      </c>
      <c r="D9836" s="716">
        <v>21.04</v>
      </c>
    </row>
    <row r="9837" spans="1:4" ht="42">
      <c r="A9837" s="715">
        <v>106741</v>
      </c>
      <c r="B9837" s="633" t="s">
        <v>43932</v>
      </c>
      <c r="C9837" s="715" t="s">
        <v>118</v>
      </c>
      <c r="D9837" s="716">
        <v>20.38</v>
      </c>
    </row>
    <row r="9838" spans="1:4" ht="56">
      <c r="A9838" s="715">
        <v>101016</v>
      </c>
      <c r="B9838" s="633" t="s">
        <v>43933</v>
      </c>
      <c r="C9838" s="715" t="s">
        <v>118</v>
      </c>
      <c r="D9838" s="716">
        <v>53.04</v>
      </c>
    </row>
    <row r="9839" spans="1:4" ht="56">
      <c r="A9839" s="715">
        <v>106731</v>
      </c>
      <c r="B9839" s="633" t="s">
        <v>43934</v>
      </c>
      <c r="C9839" s="715" t="s">
        <v>118</v>
      </c>
      <c r="D9839" s="716">
        <v>58.09</v>
      </c>
    </row>
    <row r="9840" spans="1:4" ht="42">
      <c r="A9840" s="715">
        <v>101487</v>
      </c>
      <c r="B9840" s="633" t="s">
        <v>43935</v>
      </c>
      <c r="C9840" s="715" t="s">
        <v>118</v>
      </c>
      <c r="D9840" s="716">
        <v>130.08000000000001</v>
      </c>
    </row>
    <row r="9841" spans="1:4" ht="42">
      <c r="A9841" s="715">
        <v>106754</v>
      </c>
      <c r="B9841" s="633" t="s">
        <v>43936</v>
      </c>
      <c r="C9841" s="715" t="s">
        <v>118</v>
      </c>
      <c r="D9841" s="716">
        <v>130.87</v>
      </c>
    </row>
    <row r="9842" spans="1:4" ht="42">
      <c r="A9842" s="715">
        <v>101488</v>
      </c>
      <c r="B9842" s="633" t="s">
        <v>43937</v>
      </c>
      <c r="C9842" s="715" t="s">
        <v>118</v>
      </c>
      <c r="D9842" s="716">
        <v>111.92</v>
      </c>
    </row>
    <row r="9843" spans="1:4" ht="42">
      <c r="A9843" s="715">
        <v>106755</v>
      </c>
      <c r="B9843" s="633" t="s">
        <v>43938</v>
      </c>
      <c r="C9843" s="715" t="s">
        <v>118</v>
      </c>
      <c r="D9843" s="716">
        <v>107.77</v>
      </c>
    </row>
    <row r="9844" spans="1:4" ht="42">
      <c r="A9844" s="715">
        <v>101480</v>
      </c>
      <c r="B9844" s="633" t="s">
        <v>43939</v>
      </c>
      <c r="C9844" s="715" t="s">
        <v>118</v>
      </c>
      <c r="D9844" s="716">
        <v>89.82</v>
      </c>
    </row>
    <row r="9845" spans="1:4" ht="42">
      <c r="A9845" s="715">
        <v>106747</v>
      </c>
      <c r="B9845" s="633" t="s">
        <v>43940</v>
      </c>
      <c r="C9845" s="715" t="s">
        <v>118</v>
      </c>
      <c r="D9845" s="716">
        <v>100</v>
      </c>
    </row>
    <row r="9846" spans="1:4" ht="42">
      <c r="A9846" s="715">
        <v>101481</v>
      </c>
      <c r="B9846" s="633" t="s">
        <v>43941</v>
      </c>
      <c r="C9846" s="715" t="s">
        <v>118</v>
      </c>
      <c r="D9846" s="716">
        <v>64.709999999999994</v>
      </c>
    </row>
    <row r="9847" spans="1:4" ht="42">
      <c r="A9847" s="715">
        <v>106748</v>
      </c>
      <c r="B9847" s="633" t="s">
        <v>43942</v>
      </c>
      <c r="C9847" s="715" t="s">
        <v>118</v>
      </c>
      <c r="D9847" s="716">
        <v>71.41</v>
      </c>
    </row>
    <row r="9848" spans="1:4" ht="42">
      <c r="A9848" s="715">
        <v>101482</v>
      </c>
      <c r="B9848" s="633" t="s">
        <v>43943</v>
      </c>
      <c r="C9848" s="715" t="s">
        <v>118</v>
      </c>
      <c r="D9848" s="716">
        <v>48.2</v>
      </c>
    </row>
    <row r="9849" spans="1:4" ht="42">
      <c r="A9849" s="715">
        <v>106749</v>
      </c>
      <c r="B9849" s="633" t="s">
        <v>43944</v>
      </c>
      <c r="C9849" s="715" t="s">
        <v>118</v>
      </c>
      <c r="D9849" s="716">
        <v>52.52</v>
      </c>
    </row>
    <row r="9850" spans="1:4" ht="42">
      <c r="A9850" s="715">
        <v>101483</v>
      </c>
      <c r="B9850" s="633" t="s">
        <v>43945</v>
      </c>
      <c r="C9850" s="715" t="s">
        <v>118</v>
      </c>
      <c r="D9850" s="716">
        <v>50.03</v>
      </c>
    </row>
    <row r="9851" spans="1:4" ht="42">
      <c r="A9851" s="715">
        <v>106750</v>
      </c>
      <c r="B9851" s="633" t="s">
        <v>43946</v>
      </c>
      <c r="C9851" s="715" t="s">
        <v>118</v>
      </c>
      <c r="D9851" s="716">
        <v>54.69</v>
      </c>
    </row>
    <row r="9852" spans="1:4" ht="42">
      <c r="A9852" s="715">
        <v>101484</v>
      </c>
      <c r="B9852" s="633" t="s">
        <v>43947</v>
      </c>
      <c r="C9852" s="715" t="s">
        <v>118</v>
      </c>
      <c r="D9852" s="716">
        <v>260.76</v>
      </c>
    </row>
    <row r="9853" spans="1:4" ht="42">
      <c r="A9853" s="715">
        <v>106751</v>
      </c>
      <c r="B9853" s="633" t="s">
        <v>43948</v>
      </c>
      <c r="C9853" s="715" t="s">
        <v>118</v>
      </c>
      <c r="D9853" s="716">
        <v>286</v>
      </c>
    </row>
    <row r="9854" spans="1:4" ht="42">
      <c r="A9854" s="715">
        <v>101485</v>
      </c>
      <c r="B9854" s="633" t="s">
        <v>43949</v>
      </c>
      <c r="C9854" s="715" t="s">
        <v>118</v>
      </c>
      <c r="D9854" s="716">
        <v>199.03</v>
      </c>
    </row>
    <row r="9855" spans="1:4" ht="42">
      <c r="A9855" s="715">
        <v>106752</v>
      </c>
      <c r="B9855" s="633" t="s">
        <v>43950</v>
      </c>
      <c r="C9855" s="715" t="s">
        <v>118</v>
      </c>
      <c r="D9855" s="716">
        <v>210.86</v>
      </c>
    </row>
    <row r="9856" spans="1:4" ht="42">
      <c r="A9856" s="715">
        <v>101486</v>
      </c>
      <c r="B9856" s="633" t="s">
        <v>43951</v>
      </c>
      <c r="C9856" s="715" t="s">
        <v>118</v>
      </c>
      <c r="D9856" s="716">
        <v>177.68</v>
      </c>
    </row>
    <row r="9857" spans="1:4" ht="42">
      <c r="A9857" s="715">
        <v>106753</v>
      </c>
      <c r="B9857" s="633" t="s">
        <v>43952</v>
      </c>
      <c r="C9857" s="715" t="s">
        <v>118</v>
      </c>
      <c r="D9857" s="716">
        <v>177.84</v>
      </c>
    </row>
    <row r="9858" spans="1:4" ht="28">
      <c r="A9858" s="715">
        <v>101006</v>
      </c>
      <c r="B9858" s="633" t="s">
        <v>43953</v>
      </c>
      <c r="C9858" s="715" t="s">
        <v>121</v>
      </c>
      <c r="D9858" s="716">
        <v>27.73</v>
      </c>
    </row>
    <row r="9859" spans="1:4" ht="28">
      <c r="A9859" s="715">
        <v>106707</v>
      </c>
      <c r="B9859" s="633" t="s">
        <v>43954</v>
      </c>
      <c r="C9859" s="715" t="s">
        <v>121</v>
      </c>
      <c r="D9859" s="716">
        <v>22.01</v>
      </c>
    </row>
    <row r="9860" spans="1:4" ht="28">
      <c r="A9860" s="715">
        <v>101005</v>
      </c>
      <c r="B9860" s="633" t="s">
        <v>43955</v>
      </c>
      <c r="C9860" s="715" t="s">
        <v>121</v>
      </c>
      <c r="D9860" s="716">
        <v>28.4</v>
      </c>
    </row>
    <row r="9861" spans="1:4" ht="42">
      <c r="A9861" s="715">
        <v>106757</v>
      </c>
      <c r="B9861" s="633" t="s">
        <v>43956</v>
      </c>
      <c r="C9861" s="715" t="s">
        <v>118</v>
      </c>
      <c r="D9861" s="716">
        <v>114.94</v>
      </c>
    </row>
    <row r="9862" spans="1:4" ht="42">
      <c r="A9862" s="715">
        <v>106713</v>
      </c>
      <c r="B9862" s="633" t="s">
        <v>43957</v>
      </c>
      <c r="C9862" s="715" t="s">
        <v>118</v>
      </c>
      <c r="D9862" s="716">
        <v>93.85</v>
      </c>
    </row>
    <row r="9863" spans="1:4" ht="42">
      <c r="A9863" s="715">
        <v>106758</v>
      </c>
      <c r="B9863" s="633" t="s">
        <v>43958</v>
      </c>
      <c r="C9863" s="715" t="s">
        <v>118</v>
      </c>
      <c r="D9863" s="716">
        <v>82.99</v>
      </c>
    </row>
    <row r="9864" spans="1:4" ht="42">
      <c r="A9864" s="715">
        <v>106714</v>
      </c>
      <c r="B9864" s="633" t="s">
        <v>43959</v>
      </c>
      <c r="C9864" s="715" t="s">
        <v>118</v>
      </c>
      <c r="D9864" s="716">
        <v>68.239999999999995</v>
      </c>
    </row>
    <row r="9865" spans="1:4" ht="42">
      <c r="A9865" s="715">
        <v>106759</v>
      </c>
      <c r="B9865" s="633" t="s">
        <v>43960</v>
      </c>
      <c r="C9865" s="715" t="s">
        <v>118</v>
      </c>
      <c r="D9865" s="716">
        <v>47.86</v>
      </c>
    </row>
    <row r="9866" spans="1:4" ht="42">
      <c r="A9866" s="715">
        <v>106715</v>
      </c>
      <c r="B9866" s="633" t="s">
        <v>43961</v>
      </c>
      <c r="C9866" s="715" t="s">
        <v>118</v>
      </c>
      <c r="D9866" s="716">
        <v>40.06</v>
      </c>
    </row>
    <row r="9867" spans="1:4" ht="42">
      <c r="A9867" s="715">
        <v>106762</v>
      </c>
      <c r="B9867" s="633" t="s">
        <v>43962</v>
      </c>
      <c r="C9867" s="715" t="s">
        <v>118</v>
      </c>
      <c r="D9867" s="716">
        <v>326.37</v>
      </c>
    </row>
    <row r="9868" spans="1:4" ht="42">
      <c r="A9868" s="715">
        <v>106718</v>
      </c>
      <c r="B9868" s="633" t="s">
        <v>43963</v>
      </c>
      <c r="C9868" s="715" t="s">
        <v>118</v>
      </c>
      <c r="D9868" s="716">
        <v>263.39999999999998</v>
      </c>
    </row>
    <row r="9869" spans="1:4" ht="42">
      <c r="A9869" s="715">
        <v>106761</v>
      </c>
      <c r="B9869" s="633" t="s">
        <v>43964</v>
      </c>
      <c r="C9869" s="715" t="s">
        <v>118</v>
      </c>
      <c r="D9869" s="716">
        <v>407.18</v>
      </c>
    </row>
    <row r="9870" spans="1:4" ht="42">
      <c r="A9870" s="715">
        <v>106717</v>
      </c>
      <c r="B9870" s="633" t="s">
        <v>43965</v>
      </c>
      <c r="C9870" s="715" t="s">
        <v>118</v>
      </c>
      <c r="D9870" s="716">
        <v>328.2</v>
      </c>
    </row>
    <row r="9871" spans="1:4" ht="42">
      <c r="A9871" s="715">
        <v>106760</v>
      </c>
      <c r="B9871" s="633" t="s">
        <v>43966</v>
      </c>
      <c r="C9871" s="715" t="s">
        <v>118</v>
      </c>
      <c r="D9871" s="716">
        <v>164.75</v>
      </c>
    </row>
    <row r="9872" spans="1:4" ht="42">
      <c r="A9872" s="715">
        <v>106716</v>
      </c>
      <c r="B9872" s="633" t="s">
        <v>43967</v>
      </c>
      <c r="C9872" s="715" t="s">
        <v>118</v>
      </c>
      <c r="D9872" s="716">
        <v>133.80000000000001</v>
      </c>
    </row>
    <row r="9873" spans="1:4" ht="28">
      <c r="A9873" s="715">
        <v>106756</v>
      </c>
      <c r="B9873" s="633" t="s">
        <v>43968</v>
      </c>
      <c r="C9873" s="715" t="s">
        <v>118</v>
      </c>
      <c r="D9873" s="716">
        <v>375.83</v>
      </c>
    </row>
    <row r="9874" spans="1:4" ht="28">
      <c r="A9874" s="715">
        <v>106712</v>
      </c>
      <c r="B9874" s="633" t="s">
        <v>43969</v>
      </c>
      <c r="C9874" s="715" t="s">
        <v>118</v>
      </c>
      <c r="D9874" s="716">
        <v>303.07</v>
      </c>
    </row>
    <row r="9875" spans="1:4" ht="42">
      <c r="A9875" s="715">
        <v>106745</v>
      </c>
      <c r="B9875" s="633" t="s">
        <v>43970</v>
      </c>
      <c r="C9875" s="715" t="s">
        <v>118</v>
      </c>
      <c r="D9875" s="716">
        <v>540.49</v>
      </c>
    </row>
    <row r="9876" spans="1:4" ht="42">
      <c r="A9876" s="715">
        <v>102568</v>
      </c>
      <c r="B9876" s="633" t="s">
        <v>43971</v>
      </c>
      <c r="C9876" s="715" t="s">
        <v>118</v>
      </c>
      <c r="D9876" s="716">
        <v>444.45</v>
      </c>
    </row>
    <row r="9877" spans="1:4" ht="42">
      <c r="A9877" s="715">
        <v>106746</v>
      </c>
      <c r="B9877" s="633" t="s">
        <v>43972</v>
      </c>
      <c r="C9877" s="715" t="s">
        <v>118</v>
      </c>
      <c r="D9877" s="716">
        <v>315.68</v>
      </c>
    </row>
    <row r="9878" spans="1:4" ht="42">
      <c r="A9878" s="715">
        <v>101479</v>
      </c>
      <c r="B9878" s="633" t="s">
        <v>43973</v>
      </c>
      <c r="C9878" s="715" t="s">
        <v>118</v>
      </c>
      <c r="D9878" s="716">
        <v>260.39</v>
      </c>
    </row>
    <row r="9879" spans="1:4" ht="42">
      <c r="A9879" s="715">
        <v>106744</v>
      </c>
      <c r="B9879" s="633" t="s">
        <v>43974</v>
      </c>
      <c r="C9879" s="715" t="s">
        <v>118</v>
      </c>
      <c r="D9879" s="716">
        <v>1092.9100000000001</v>
      </c>
    </row>
    <row r="9880" spans="1:4" ht="42">
      <c r="A9880" s="715">
        <v>101019</v>
      </c>
      <c r="B9880" s="633" t="s">
        <v>43975</v>
      </c>
      <c r="C9880" s="715" t="s">
        <v>118</v>
      </c>
      <c r="D9880" s="716">
        <v>896.78</v>
      </c>
    </row>
    <row r="9881" spans="1:4" ht="28">
      <c r="A9881" s="715">
        <v>106763</v>
      </c>
      <c r="B9881" s="633" t="s">
        <v>43976</v>
      </c>
      <c r="C9881" s="715" t="s">
        <v>118</v>
      </c>
      <c r="D9881" s="716">
        <v>103.51</v>
      </c>
    </row>
    <row r="9882" spans="1:4" ht="28">
      <c r="A9882" s="715">
        <v>106719</v>
      </c>
      <c r="B9882" s="633" t="s">
        <v>43977</v>
      </c>
      <c r="C9882" s="715" t="s">
        <v>118</v>
      </c>
      <c r="D9882" s="716">
        <v>92.17</v>
      </c>
    </row>
    <row r="9883" spans="1:4" ht="42">
      <c r="A9883" s="715">
        <v>100938</v>
      </c>
      <c r="B9883" s="633" t="s">
        <v>43978</v>
      </c>
      <c r="C9883" s="715" t="s">
        <v>11435</v>
      </c>
      <c r="D9883" s="716">
        <v>8.6199999999999992</v>
      </c>
    </row>
    <row r="9884" spans="1:4" ht="28">
      <c r="A9884" s="715">
        <v>100942</v>
      </c>
      <c r="B9884" s="633" t="s">
        <v>43979</v>
      </c>
      <c r="C9884" s="715" t="s">
        <v>26921</v>
      </c>
      <c r="D9884" s="716">
        <v>5.74</v>
      </c>
    </row>
    <row r="9885" spans="1:4" ht="42">
      <c r="A9885" s="715">
        <v>93588</v>
      </c>
      <c r="B9885" s="633" t="s">
        <v>43980</v>
      </c>
      <c r="C9885" s="715" t="s">
        <v>11435</v>
      </c>
      <c r="D9885" s="716">
        <v>4.3099999999999996</v>
      </c>
    </row>
    <row r="9886" spans="1:4" ht="42">
      <c r="A9886" s="715">
        <v>93594</v>
      </c>
      <c r="B9886" s="633" t="s">
        <v>43981</v>
      </c>
      <c r="C9886" s="715" t="s">
        <v>26921</v>
      </c>
      <c r="D9886" s="716">
        <v>2.86</v>
      </c>
    </row>
    <row r="9887" spans="1:4" ht="42">
      <c r="A9887" s="715">
        <v>93589</v>
      </c>
      <c r="B9887" s="633" t="s">
        <v>43982</v>
      </c>
      <c r="C9887" s="715" t="s">
        <v>11435</v>
      </c>
      <c r="D9887" s="716">
        <v>3.28</v>
      </c>
    </row>
    <row r="9888" spans="1:4" ht="42">
      <c r="A9888" s="715">
        <v>93595</v>
      </c>
      <c r="B9888" s="633" t="s">
        <v>43983</v>
      </c>
      <c r="C9888" s="715" t="s">
        <v>26921</v>
      </c>
      <c r="D9888" s="716">
        <v>2.1800000000000002</v>
      </c>
    </row>
    <row r="9889" spans="1:4" ht="42">
      <c r="A9889" s="715">
        <v>93590</v>
      </c>
      <c r="B9889" s="633" t="s">
        <v>43984</v>
      </c>
      <c r="C9889" s="715" t="s">
        <v>11435</v>
      </c>
      <c r="D9889" s="716">
        <v>1.1399999999999999</v>
      </c>
    </row>
    <row r="9890" spans="1:4" ht="42">
      <c r="A9890" s="715">
        <v>93596</v>
      </c>
      <c r="B9890" s="633" t="s">
        <v>43985</v>
      </c>
      <c r="C9890" s="715" t="s">
        <v>26921</v>
      </c>
      <c r="D9890" s="716">
        <v>0.76</v>
      </c>
    </row>
    <row r="9891" spans="1:4" ht="42">
      <c r="A9891" s="715">
        <v>95875</v>
      </c>
      <c r="B9891" s="633" t="s">
        <v>43986</v>
      </c>
      <c r="C9891" s="715" t="s">
        <v>11435</v>
      </c>
      <c r="D9891" s="716">
        <v>3</v>
      </c>
    </row>
    <row r="9892" spans="1:4" ht="42">
      <c r="A9892" s="715">
        <v>95878</v>
      </c>
      <c r="B9892" s="633" t="s">
        <v>43987</v>
      </c>
      <c r="C9892" s="715" t="s">
        <v>26921</v>
      </c>
      <c r="D9892" s="716">
        <v>1.99</v>
      </c>
    </row>
    <row r="9893" spans="1:4" ht="42">
      <c r="A9893" s="715">
        <v>100943</v>
      </c>
      <c r="B9893" s="633" t="s">
        <v>43988</v>
      </c>
      <c r="C9893" s="715" t="s">
        <v>26921</v>
      </c>
      <c r="D9893" s="716">
        <v>4.97</v>
      </c>
    </row>
    <row r="9894" spans="1:4" ht="42">
      <c r="A9894" s="715">
        <v>100939</v>
      </c>
      <c r="B9894" s="633" t="s">
        <v>43989</v>
      </c>
      <c r="C9894" s="715" t="s">
        <v>11435</v>
      </c>
      <c r="D9894" s="716">
        <v>7.45</v>
      </c>
    </row>
    <row r="9895" spans="1:4" ht="42">
      <c r="A9895" s="715">
        <v>93591</v>
      </c>
      <c r="B9895" s="633" t="s">
        <v>43990</v>
      </c>
      <c r="C9895" s="715" t="s">
        <v>11435</v>
      </c>
      <c r="D9895" s="716">
        <v>3.72</v>
      </c>
    </row>
    <row r="9896" spans="1:4" ht="42">
      <c r="A9896" s="715">
        <v>93597</v>
      </c>
      <c r="B9896" s="633" t="s">
        <v>43991</v>
      </c>
      <c r="C9896" s="715" t="s">
        <v>26921</v>
      </c>
      <c r="D9896" s="716">
        <v>2.48</v>
      </c>
    </row>
    <row r="9897" spans="1:4" ht="42">
      <c r="A9897" s="715">
        <v>93592</v>
      </c>
      <c r="B9897" s="633" t="s">
        <v>43992</v>
      </c>
      <c r="C9897" s="715" t="s">
        <v>11435</v>
      </c>
      <c r="D9897" s="716">
        <v>2.83</v>
      </c>
    </row>
    <row r="9898" spans="1:4" ht="42">
      <c r="A9898" s="715">
        <v>93598</v>
      </c>
      <c r="B9898" s="633" t="s">
        <v>43993</v>
      </c>
      <c r="C9898" s="715" t="s">
        <v>26921</v>
      </c>
      <c r="D9898" s="716">
        <v>1.88</v>
      </c>
    </row>
    <row r="9899" spans="1:4" ht="42">
      <c r="A9899" s="715">
        <v>93593</v>
      </c>
      <c r="B9899" s="633" t="s">
        <v>43994</v>
      </c>
      <c r="C9899" s="715" t="s">
        <v>11435</v>
      </c>
      <c r="D9899" s="716">
        <v>0.98</v>
      </c>
    </row>
    <row r="9900" spans="1:4" ht="42">
      <c r="A9900" s="715">
        <v>93599</v>
      </c>
      <c r="B9900" s="633" t="s">
        <v>43995</v>
      </c>
      <c r="C9900" s="715" t="s">
        <v>26921</v>
      </c>
      <c r="D9900" s="716">
        <v>0.65</v>
      </c>
    </row>
    <row r="9901" spans="1:4" ht="42">
      <c r="A9901" s="715">
        <v>95876</v>
      </c>
      <c r="B9901" s="633" t="s">
        <v>43996</v>
      </c>
      <c r="C9901" s="715" t="s">
        <v>11435</v>
      </c>
      <c r="D9901" s="716">
        <v>2.59</v>
      </c>
    </row>
    <row r="9902" spans="1:4" ht="42">
      <c r="A9902" s="715">
        <v>95879</v>
      </c>
      <c r="B9902" s="633" t="s">
        <v>43997</v>
      </c>
      <c r="C9902" s="715" t="s">
        <v>26921</v>
      </c>
      <c r="D9902" s="716">
        <v>1.72</v>
      </c>
    </row>
    <row r="9903" spans="1:4" ht="42">
      <c r="A9903" s="715">
        <v>100940</v>
      </c>
      <c r="B9903" s="633" t="s">
        <v>43998</v>
      </c>
      <c r="C9903" s="715" t="s">
        <v>11435</v>
      </c>
      <c r="D9903" s="716">
        <v>6.38</v>
      </c>
    </row>
    <row r="9904" spans="1:4" ht="42">
      <c r="A9904" s="715">
        <v>100944</v>
      </c>
      <c r="B9904" s="633" t="s">
        <v>43999</v>
      </c>
      <c r="C9904" s="715" t="s">
        <v>26921</v>
      </c>
      <c r="D9904" s="716">
        <v>4.25</v>
      </c>
    </row>
    <row r="9905" spans="1:4" ht="42">
      <c r="A9905" s="715">
        <v>95425</v>
      </c>
      <c r="B9905" s="633" t="s">
        <v>44000</v>
      </c>
      <c r="C9905" s="715" t="s">
        <v>11435</v>
      </c>
      <c r="D9905" s="716">
        <v>3.18</v>
      </c>
    </row>
    <row r="9906" spans="1:4" ht="42">
      <c r="A9906" s="715">
        <v>95428</v>
      </c>
      <c r="B9906" s="633" t="s">
        <v>44001</v>
      </c>
      <c r="C9906" s="715" t="s">
        <v>26921</v>
      </c>
      <c r="D9906" s="716">
        <v>2.12</v>
      </c>
    </row>
    <row r="9907" spans="1:4" ht="42">
      <c r="A9907" s="715">
        <v>95426</v>
      </c>
      <c r="B9907" s="633" t="s">
        <v>44002</v>
      </c>
      <c r="C9907" s="715" t="s">
        <v>11435</v>
      </c>
      <c r="D9907" s="716">
        <v>2.4300000000000002</v>
      </c>
    </row>
    <row r="9908" spans="1:4" ht="42">
      <c r="A9908" s="715">
        <v>95429</v>
      </c>
      <c r="B9908" s="633" t="s">
        <v>44003</v>
      </c>
      <c r="C9908" s="715" t="s">
        <v>26921</v>
      </c>
      <c r="D9908" s="716">
        <v>1.61</v>
      </c>
    </row>
    <row r="9909" spans="1:4" ht="42">
      <c r="A9909" s="715">
        <v>95427</v>
      </c>
      <c r="B9909" s="633" t="s">
        <v>44004</v>
      </c>
      <c r="C9909" s="715" t="s">
        <v>11435</v>
      </c>
      <c r="D9909" s="716">
        <v>0.85</v>
      </c>
    </row>
    <row r="9910" spans="1:4" ht="42">
      <c r="A9910" s="715">
        <v>95430</v>
      </c>
      <c r="B9910" s="633" t="s">
        <v>44005</v>
      </c>
      <c r="C9910" s="715" t="s">
        <v>26921</v>
      </c>
      <c r="D9910" s="716">
        <v>0.56000000000000005</v>
      </c>
    </row>
    <row r="9911" spans="1:4" ht="42">
      <c r="A9911" s="715">
        <v>95877</v>
      </c>
      <c r="B9911" s="633" t="s">
        <v>44006</v>
      </c>
      <c r="C9911" s="715" t="s">
        <v>11435</v>
      </c>
      <c r="D9911" s="716">
        <v>2.21</v>
      </c>
    </row>
    <row r="9912" spans="1:4" ht="42">
      <c r="A9912" s="715">
        <v>95880</v>
      </c>
      <c r="B9912" s="633" t="s">
        <v>44007</v>
      </c>
      <c r="C9912" s="715" t="s">
        <v>26921</v>
      </c>
      <c r="D9912" s="716">
        <v>1.47</v>
      </c>
    </row>
    <row r="9913" spans="1:4" ht="42">
      <c r="A9913" s="715">
        <v>100937</v>
      </c>
      <c r="B9913" s="633" t="s">
        <v>44008</v>
      </c>
      <c r="C9913" s="715" t="s">
        <v>11435</v>
      </c>
      <c r="D9913" s="716">
        <v>10.28</v>
      </c>
    </row>
    <row r="9914" spans="1:4" ht="42">
      <c r="A9914" s="715">
        <v>100941</v>
      </c>
      <c r="B9914" s="633" t="s">
        <v>44009</v>
      </c>
      <c r="C9914" s="715" t="s">
        <v>26921</v>
      </c>
      <c r="D9914" s="716">
        <v>6.85</v>
      </c>
    </row>
    <row r="9915" spans="1:4" ht="42">
      <c r="A9915" s="715">
        <v>97912</v>
      </c>
      <c r="B9915" s="633" t="s">
        <v>44010</v>
      </c>
      <c r="C9915" s="715" t="s">
        <v>11435</v>
      </c>
      <c r="D9915" s="716">
        <v>5.13</v>
      </c>
    </row>
    <row r="9916" spans="1:4" ht="42">
      <c r="A9916" s="715">
        <v>97916</v>
      </c>
      <c r="B9916" s="633" t="s">
        <v>44011</v>
      </c>
      <c r="C9916" s="715" t="s">
        <v>26921</v>
      </c>
      <c r="D9916" s="716">
        <v>3.42</v>
      </c>
    </row>
    <row r="9917" spans="1:4" ht="42">
      <c r="A9917" s="715">
        <v>97913</v>
      </c>
      <c r="B9917" s="633" t="s">
        <v>44012</v>
      </c>
      <c r="C9917" s="715" t="s">
        <v>11435</v>
      </c>
      <c r="D9917" s="716">
        <v>3.91</v>
      </c>
    </row>
    <row r="9918" spans="1:4" ht="42">
      <c r="A9918" s="715">
        <v>97917</v>
      </c>
      <c r="B9918" s="633" t="s">
        <v>44013</v>
      </c>
      <c r="C9918" s="715" t="s">
        <v>26921</v>
      </c>
      <c r="D9918" s="716">
        <v>2.6</v>
      </c>
    </row>
    <row r="9919" spans="1:4" ht="42">
      <c r="A9919" s="715">
        <v>97915</v>
      </c>
      <c r="B9919" s="633" t="s">
        <v>44014</v>
      </c>
      <c r="C9919" s="715" t="s">
        <v>11435</v>
      </c>
      <c r="D9919" s="716">
        <v>1.36</v>
      </c>
    </row>
    <row r="9920" spans="1:4" ht="42">
      <c r="A9920" s="715">
        <v>97919</v>
      </c>
      <c r="B9920" s="633" t="s">
        <v>44015</v>
      </c>
      <c r="C9920" s="715" t="s">
        <v>26921</v>
      </c>
      <c r="D9920" s="716">
        <v>0.9</v>
      </c>
    </row>
    <row r="9921" spans="1:4" ht="42">
      <c r="A9921" s="715">
        <v>97914</v>
      </c>
      <c r="B9921" s="633" t="s">
        <v>44016</v>
      </c>
      <c r="C9921" s="715" t="s">
        <v>11435</v>
      </c>
      <c r="D9921" s="716">
        <v>3.57</v>
      </c>
    </row>
    <row r="9922" spans="1:4" ht="42">
      <c r="A9922" s="715">
        <v>97918</v>
      </c>
      <c r="B9922" s="633" t="s">
        <v>44017</v>
      </c>
      <c r="C9922" s="715" t="s">
        <v>26921</v>
      </c>
      <c r="D9922" s="716">
        <v>2.37</v>
      </c>
    </row>
    <row r="9923" spans="1:4" ht="42">
      <c r="A9923" s="715">
        <v>106686</v>
      </c>
      <c r="B9923" s="633" t="s">
        <v>44018</v>
      </c>
      <c r="C9923" s="715" t="s">
        <v>26921</v>
      </c>
      <c r="D9923" s="716">
        <v>6.19</v>
      </c>
    </row>
    <row r="9924" spans="1:4" ht="42">
      <c r="A9924" s="715">
        <v>106682</v>
      </c>
      <c r="B9924" s="633" t="s">
        <v>44019</v>
      </c>
      <c r="C9924" s="715" t="s">
        <v>26921</v>
      </c>
      <c r="D9924" s="716">
        <v>3.09</v>
      </c>
    </row>
    <row r="9925" spans="1:4" ht="42">
      <c r="A9925" s="715">
        <v>106683</v>
      </c>
      <c r="B9925" s="633" t="s">
        <v>44020</v>
      </c>
      <c r="C9925" s="715" t="s">
        <v>26921</v>
      </c>
      <c r="D9925" s="716">
        <v>2.36</v>
      </c>
    </row>
    <row r="9926" spans="1:4" ht="56">
      <c r="A9926" s="715">
        <v>106685</v>
      </c>
      <c r="B9926" s="633" t="s">
        <v>44021</v>
      </c>
      <c r="C9926" s="715" t="s">
        <v>26921</v>
      </c>
      <c r="D9926" s="716">
        <v>0.82</v>
      </c>
    </row>
    <row r="9927" spans="1:4" ht="42">
      <c r="A9927" s="715">
        <v>106684</v>
      </c>
      <c r="B9927" s="633" t="s">
        <v>44022</v>
      </c>
      <c r="C9927" s="715" t="s">
        <v>26921</v>
      </c>
      <c r="D9927" s="716">
        <v>2.15</v>
      </c>
    </row>
    <row r="9928" spans="1:4" ht="42">
      <c r="A9928" s="715">
        <v>100949</v>
      </c>
      <c r="B9928" s="633" t="s">
        <v>44023</v>
      </c>
      <c r="C9928" s="715" t="s">
        <v>26921</v>
      </c>
      <c r="D9928" s="716">
        <v>7.8</v>
      </c>
    </row>
    <row r="9929" spans="1:4" ht="42">
      <c r="A9929" s="715">
        <v>100945</v>
      </c>
      <c r="B9929" s="633" t="s">
        <v>44024</v>
      </c>
      <c r="C9929" s="715" t="s">
        <v>26921</v>
      </c>
      <c r="D9929" s="716">
        <v>3.89</v>
      </c>
    </row>
    <row r="9930" spans="1:4" ht="42">
      <c r="A9930" s="715">
        <v>100946</v>
      </c>
      <c r="B9930" s="633" t="s">
        <v>44025</v>
      </c>
      <c r="C9930" s="715" t="s">
        <v>26921</v>
      </c>
      <c r="D9930" s="716">
        <v>2.96</v>
      </c>
    </row>
    <row r="9931" spans="1:4" ht="42">
      <c r="A9931" s="715">
        <v>100948</v>
      </c>
      <c r="B9931" s="633" t="s">
        <v>44026</v>
      </c>
      <c r="C9931" s="715" t="s">
        <v>26921</v>
      </c>
      <c r="D9931" s="716">
        <v>1.04</v>
      </c>
    </row>
    <row r="9932" spans="1:4" ht="42">
      <c r="A9932" s="715">
        <v>100947</v>
      </c>
      <c r="B9932" s="633" t="s">
        <v>44027</v>
      </c>
      <c r="C9932" s="715" t="s">
        <v>26921</v>
      </c>
      <c r="D9932" s="716">
        <v>2.71</v>
      </c>
    </row>
    <row r="9933" spans="1:4" ht="56">
      <c r="A9933" s="715">
        <v>100954</v>
      </c>
      <c r="B9933" s="633" t="s">
        <v>44028</v>
      </c>
      <c r="C9933" s="715" t="s">
        <v>26921</v>
      </c>
      <c r="D9933" s="716">
        <v>9.9</v>
      </c>
    </row>
    <row r="9934" spans="1:4" ht="56">
      <c r="A9934" s="715">
        <v>100950</v>
      </c>
      <c r="B9934" s="633" t="s">
        <v>44029</v>
      </c>
      <c r="C9934" s="715" t="s">
        <v>26921</v>
      </c>
      <c r="D9934" s="716">
        <v>4.95</v>
      </c>
    </row>
    <row r="9935" spans="1:4" ht="56">
      <c r="A9935" s="715">
        <v>100951</v>
      </c>
      <c r="B9935" s="633" t="s">
        <v>44030</v>
      </c>
      <c r="C9935" s="715" t="s">
        <v>26921</v>
      </c>
      <c r="D9935" s="716">
        <v>3.76</v>
      </c>
    </row>
    <row r="9936" spans="1:4" ht="70">
      <c r="A9936" s="715">
        <v>100953</v>
      </c>
      <c r="B9936" s="633" t="s">
        <v>44031</v>
      </c>
      <c r="C9936" s="715" t="s">
        <v>26921</v>
      </c>
      <c r="D9936" s="716">
        <v>1.31</v>
      </c>
    </row>
    <row r="9937" spans="1:4" ht="56">
      <c r="A9937" s="715">
        <v>100952</v>
      </c>
      <c r="B9937" s="633" t="s">
        <v>44032</v>
      </c>
      <c r="C9937" s="715" t="s">
        <v>26921</v>
      </c>
      <c r="D9937" s="716">
        <v>3.43</v>
      </c>
    </row>
    <row r="9938" spans="1:4" ht="56">
      <c r="A9938" s="715">
        <v>106691</v>
      </c>
      <c r="B9938" s="633" t="s">
        <v>44033</v>
      </c>
      <c r="C9938" s="715" t="s">
        <v>26921</v>
      </c>
      <c r="D9938" s="716">
        <v>6.96</v>
      </c>
    </row>
    <row r="9939" spans="1:4" ht="56">
      <c r="A9939" s="715">
        <v>106687</v>
      </c>
      <c r="B9939" s="633" t="s">
        <v>44034</v>
      </c>
      <c r="C9939" s="715" t="s">
        <v>26921</v>
      </c>
      <c r="D9939" s="716">
        <v>3.47</v>
      </c>
    </row>
    <row r="9940" spans="1:4" ht="56">
      <c r="A9940" s="715">
        <v>106688</v>
      </c>
      <c r="B9940" s="633" t="s">
        <v>44035</v>
      </c>
      <c r="C9940" s="715" t="s">
        <v>26921</v>
      </c>
      <c r="D9940" s="716">
        <v>2.65</v>
      </c>
    </row>
    <row r="9941" spans="1:4" ht="70">
      <c r="A9941" s="715">
        <v>106690</v>
      </c>
      <c r="B9941" s="633" t="s">
        <v>44036</v>
      </c>
      <c r="C9941" s="715" t="s">
        <v>26921</v>
      </c>
      <c r="D9941" s="716">
        <v>0.92</v>
      </c>
    </row>
    <row r="9942" spans="1:4" ht="56">
      <c r="A9942" s="715">
        <v>106689</v>
      </c>
      <c r="B9942" s="633" t="s">
        <v>44037</v>
      </c>
      <c r="C9942" s="715" t="s">
        <v>26921</v>
      </c>
      <c r="D9942" s="716">
        <v>2.42</v>
      </c>
    </row>
    <row r="9943" spans="1:4" ht="42">
      <c r="A9943" s="715">
        <v>100964</v>
      </c>
      <c r="B9943" s="633" t="s">
        <v>44038</v>
      </c>
      <c r="C9943" s="715" t="s">
        <v>11435</v>
      </c>
      <c r="D9943" s="716">
        <v>10.119999999999999</v>
      </c>
    </row>
    <row r="9944" spans="1:4" ht="42">
      <c r="A9944" s="715">
        <v>100960</v>
      </c>
      <c r="B9944" s="633" t="s">
        <v>44039</v>
      </c>
      <c r="C9944" s="715" t="s">
        <v>11435</v>
      </c>
      <c r="D9944" s="716">
        <v>5.0599999999999996</v>
      </c>
    </row>
    <row r="9945" spans="1:4" ht="42">
      <c r="A9945" s="715">
        <v>100961</v>
      </c>
      <c r="B9945" s="633" t="s">
        <v>44040</v>
      </c>
      <c r="C9945" s="715" t="s">
        <v>11435</v>
      </c>
      <c r="D9945" s="716">
        <v>3.85</v>
      </c>
    </row>
    <row r="9946" spans="1:4" ht="42">
      <c r="A9946" s="715">
        <v>100963</v>
      </c>
      <c r="B9946" s="633" t="s">
        <v>44041</v>
      </c>
      <c r="C9946" s="715" t="s">
        <v>11435</v>
      </c>
      <c r="D9946" s="716">
        <v>1.34</v>
      </c>
    </row>
    <row r="9947" spans="1:4" ht="42">
      <c r="A9947" s="715">
        <v>100962</v>
      </c>
      <c r="B9947" s="633" t="s">
        <v>44042</v>
      </c>
      <c r="C9947" s="715" t="s">
        <v>11435</v>
      </c>
      <c r="D9947" s="716">
        <v>3.51</v>
      </c>
    </row>
    <row r="9948" spans="1:4" ht="42">
      <c r="A9948" s="715">
        <v>106696</v>
      </c>
      <c r="B9948" s="633" t="s">
        <v>44043</v>
      </c>
      <c r="C9948" s="715" t="s">
        <v>11435</v>
      </c>
      <c r="D9948" s="716">
        <v>6.44</v>
      </c>
    </row>
    <row r="9949" spans="1:4" ht="42">
      <c r="A9949" s="715">
        <v>106692</v>
      </c>
      <c r="B9949" s="633" t="s">
        <v>44044</v>
      </c>
      <c r="C9949" s="715" t="s">
        <v>11435</v>
      </c>
      <c r="D9949" s="716">
        <v>3.22</v>
      </c>
    </row>
    <row r="9950" spans="1:4" ht="42">
      <c r="A9950" s="715">
        <v>106693</v>
      </c>
      <c r="B9950" s="633" t="s">
        <v>44045</v>
      </c>
      <c r="C9950" s="715" t="s">
        <v>11435</v>
      </c>
      <c r="D9950" s="716">
        <v>2.4500000000000002</v>
      </c>
    </row>
    <row r="9951" spans="1:4" ht="42">
      <c r="A9951" s="715">
        <v>106695</v>
      </c>
      <c r="B9951" s="633" t="s">
        <v>44046</v>
      </c>
      <c r="C9951" s="715" t="s">
        <v>11435</v>
      </c>
      <c r="D9951" s="716">
        <v>0.85</v>
      </c>
    </row>
    <row r="9952" spans="1:4" ht="42">
      <c r="A9952" s="715">
        <v>106694</v>
      </c>
      <c r="B9952" s="633" t="s">
        <v>44047</v>
      </c>
      <c r="C9952" s="715" t="s">
        <v>11435</v>
      </c>
      <c r="D9952" s="716">
        <v>2.23</v>
      </c>
    </row>
    <row r="9953" spans="1:4" ht="42">
      <c r="A9953" s="715">
        <v>100959</v>
      </c>
      <c r="B9953" s="633" t="s">
        <v>44048</v>
      </c>
      <c r="C9953" s="715" t="s">
        <v>11435</v>
      </c>
      <c r="D9953" s="716">
        <v>13.73</v>
      </c>
    </row>
    <row r="9954" spans="1:4" ht="42">
      <c r="A9954" s="715">
        <v>100955</v>
      </c>
      <c r="B9954" s="633" t="s">
        <v>44049</v>
      </c>
      <c r="C9954" s="715" t="s">
        <v>11435</v>
      </c>
      <c r="D9954" s="716">
        <v>6.86</v>
      </c>
    </row>
    <row r="9955" spans="1:4" ht="42">
      <c r="A9955" s="715">
        <v>100956</v>
      </c>
      <c r="B9955" s="633" t="s">
        <v>44050</v>
      </c>
      <c r="C9955" s="715" t="s">
        <v>11435</v>
      </c>
      <c r="D9955" s="716">
        <v>5.22</v>
      </c>
    </row>
    <row r="9956" spans="1:4" ht="42">
      <c r="A9956" s="715">
        <v>100958</v>
      </c>
      <c r="B9956" s="633" t="s">
        <v>44051</v>
      </c>
      <c r="C9956" s="715" t="s">
        <v>11435</v>
      </c>
      <c r="D9956" s="716">
        <v>1.83</v>
      </c>
    </row>
    <row r="9957" spans="1:4" ht="42">
      <c r="A9957" s="715">
        <v>100957</v>
      </c>
      <c r="B9957" s="633" t="s">
        <v>44052</v>
      </c>
      <c r="C9957" s="715" t="s">
        <v>11435</v>
      </c>
      <c r="D9957" s="716">
        <v>4.7699999999999996</v>
      </c>
    </row>
    <row r="9958" spans="1:4" ht="42">
      <c r="A9958" s="715">
        <v>106706</v>
      </c>
      <c r="B9958" s="633" t="s">
        <v>44053</v>
      </c>
      <c r="C9958" s="715" t="s">
        <v>11435</v>
      </c>
      <c r="D9958" s="716">
        <v>0</v>
      </c>
    </row>
    <row r="9959" spans="1:4" ht="42">
      <c r="A9959" s="715">
        <v>106702</v>
      </c>
      <c r="B9959" s="633" t="s">
        <v>44054</v>
      </c>
      <c r="C9959" s="715" t="s">
        <v>11435</v>
      </c>
      <c r="D9959" s="716">
        <v>0</v>
      </c>
    </row>
    <row r="9960" spans="1:4" ht="56">
      <c r="A9960" s="715">
        <v>106703</v>
      </c>
      <c r="B9960" s="633" t="s">
        <v>44055</v>
      </c>
      <c r="C9960" s="715" t="s">
        <v>11435</v>
      </c>
      <c r="D9960" s="716">
        <v>0</v>
      </c>
    </row>
    <row r="9961" spans="1:4" ht="56">
      <c r="A9961" s="715">
        <v>106705</v>
      </c>
      <c r="B9961" s="633" t="s">
        <v>44056</v>
      </c>
      <c r="C9961" s="715" t="s">
        <v>11435</v>
      </c>
      <c r="D9961" s="716">
        <v>0</v>
      </c>
    </row>
    <row r="9962" spans="1:4" ht="42">
      <c r="A9962" s="715">
        <v>106704</v>
      </c>
      <c r="B9962" s="633" t="s">
        <v>44057</v>
      </c>
      <c r="C9962" s="715" t="s">
        <v>11435</v>
      </c>
      <c r="D9962" s="716">
        <v>0</v>
      </c>
    </row>
    <row r="9963" spans="1:4" ht="56">
      <c r="A9963" s="715">
        <v>100969</v>
      </c>
      <c r="B9963" s="633" t="s">
        <v>44058</v>
      </c>
      <c r="C9963" s="715" t="s">
        <v>26921</v>
      </c>
      <c r="D9963" s="716">
        <v>3.21</v>
      </c>
    </row>
    <row r="9964" spans="1:4" ht="56">
      <c r="A9964" s="715">
        <v>100970</v>
      </c>
      <c r="B9964" s="633" t="s">
        <v>44059</v>
      </c>
      <c r="C9964" s="715" t="s">
        <v>26921</v>
      </c>
      <c r="D9964" s="716">
        <v>2.4500000000000002</v>
      </c>
    </row>
    <row r="9965" spans="1:4" ht="56">
      <c r="A9965" s="715">
        <v>102333</v>
      </c>
      <c r="B9965" s="633" t="s">
        <v>44060</v>
      </c>
      <c r="C9965" s="715" t="s">
        <v>26921</v>
      </c>
      <c r="D9965" s="716">
        <v>0.85</v>
      </c>
    </row>
    <row r="9966" spans="1:4" ht="56">
      <c r="A9966" s="715">
        <v>102332</v>
      </c>
      <c r="B9966" s="633" t="s">
        <v>44061</v>
      </c>
      <c r="C9966" s="715" t="s">
        <v>26921</v>
      </c>
      <c r="D9966" s="716">
        <v>2.2400000000000002</v>
      </c>
    </row>
    <row r="9967" spans="1:4" ht="56">
      <c r="A9967" s="715">
        <v>100965</v>
      </c>
      <c r="B9967" s="633" t="s">
        <v>44062</v>
      </c>
      <c r="C9967" s="715" t="s">
        <v>26921</v>
      </c>
      <c r="D9967" s="716">
        <v>2.4500000000000002</v>
      </c>
    </row>
    <row r="9968" spans="1:4" ht="56">
      <c r="A9968" s="715">
        <v>100966</v>
      </c>
      <c r="B9968" s="633" t="s">
        <v>44063</v>
      </c>
      <c r="C9968" s="715" t="s">
        <v>26921</v>
      </c>
      <c r="D9968" s="716">
        <v>1.87</v>
      </c>
    </row>
    <row r="9969" spans="1:4" ht="56">
      <c r="A9969" s="715">
        <v>102331</v>
      </c>
      <c r="B9969" s="633" t="s">
        <v>44064</v>
      </c>
      <c r="C9969" s="715" t="s">
        <v>26921</v>
      </c>
      <c r="D9969" s="716">
        <v>0.65</v>
      </c>
    </row>
    <row r="9970" spans="1:4" ht="56">
      <c r="A9970" s="715">
        <v>102330</v>
      </c>
      <c r="B9970" s="633" t="s">
        <v>44065</v>
      </c>
      <c r="C9970" s="715" t="s">
        <v>26921</v>
      </c>
      <c r="D9970" s="716">
        <v>1.7</v>
      </c>
    </row>
    <row r="9971" spans="1:4" ht="42">
      <c r="A9971" s="715">
        <v>106701</v>
      </c>
      <c r="B9971" s="633" t="s">
        <v>44066</v>
      </c>
      <c r="C9971" s="715" t="s">
        <v>26921</v>
      </c>
      <c r="D9971" s="716">
        <v>0</v>
      </c>
    </row>
    <row r="9972" spans="1:4" ht="42">
      <c r="A9972" s="715">
        <v>106697</v>
      </c>
      <c r="B9972" s="633" t="s">
        <v>44067</v>
      </c>
      <c r="C9972" s="715" t="s">
        <v>26921</v>
      </c>
      <c r="D9972" s="716">
        <v>0</v>
      </c>
    </row>
    <row r="9973" spans="1:4" ht="56">
      <c r="A9973" s="715">
        <v>106698</v>
      </c>
      <c r="B9973" s="633" t="s">
        <v>44068</v>
      </c>
      <c r="C9973" s="715" t="s">
        <v>26921</v>
      </c>
      <c r="D9973" s="716">
        <v>0</v>
      </c>
    </row>
    <row r="9974" spans="1:4" ht="56">
      <c r="A9974" s="715">
        <v>106700</v>
      </c>
      <c r="B9974" s="633" t="s">
        <v>44069</v>
      </c>
      <c r="C9974" s="715" t="s">
        <v>26921</v>
      </c>
      <c r="D9974" s="716">
        <v>0</v>
      </c>
    </row>
    <row r="9975" spans="1:4" ht="42">
      <c r="A9975" s="715">
        <v>106699</v>
      </c>
      <c r="B9975" s="633" t="s">
        <v>44070</v>
      </c>
      <c r="C9975" s="715" t="s">
        <v>26921</v>
      </c>
      <c r="D9975" s="716">
        <v>0</v>
      </c>
    </row>
    <row r="9976" spans="1:4" ht="42">
      <c r="A9976" s="715">
        <v>97804</v>
      </c>
      <c r="B9976" s="633" t="s">
        <v>44071</v>
      </c>
      <c r="C9976" s="715" t="s">
        <v>509</v>
      </c>
      <c r="D9976" s="716">
        <v>0</v>
      </c>
    </row>
    <row r="9977" spans="1:4" ht="42">
      <c r="A9977" s="715">
        <v>106306</v>
      </c>
      <c r="B9977" s="633" t="s">
        <v>44072</v>
      </c>
      <c r="C9977" s="715" t="s">
        <v>509</v>
      </c>
      <c r="D9977" s="716">
        <v>0</v>
      </c>
    </row>
    <row r="9978" spans="1:4" ht="42">
      <c r="A9978" s="715">
        <v>104389</v>
      </c>
      <c r="B9978" s="633" t="s">
        <v>44073</v>
      </c>
      <c r="C9978" s="715" t="s">
        <v>509</v>
      </c>
      <c r="D9978" s="716">
        <v>0</v>
      </c>
    </row>
    <row r="9979" spans="1:4" ht="42">
      <c r="A9979" s="715">
        <v>106307</v>
      </c>
      <c r="B9979" s="633" t="s">
        <v>44074</v>
      </c>
      <c r="C9979" s="715" t="s">
        <v>509</v>
      </c>
      <c r="D9979" s="716">
        <v>0</v>
      </c>
    </row>
    <row r="9980" spans="1:4" ht="42">
      <c r="A9980" s="715">
        <v>104378</v>
      </c>
      <c r="B9980" s="633" t="s">
        <v>44075</v>
      </c>
      <c r="C9980" s="715" t="s">
        <v>509</v>
      </c>
      <c r="D9980" s="716">
        <v>0</v>
      </c>
    </row>
    <row r="9981" spans="1:4" ht="42">
      <c r="A9981" s="715">
        <v>106308</v>
      </c>
      <c r="B9981" s="633" t="s">
        <v>44076</v>
      </c>
      <c r="C9981" s="715" t="s">
        <v>509</v>
      </c>
      <c r="D9981" s="716">
        <v>0</v>
      </c>
    </row>
    <row r="9982" spans="1:4" ht="42">
      <c r="A9982" s="715">
        <v>104379</v>
      </c>
      <c r="B9982" s="633" t="s">
        <v>44077</v>
      </c>
      <c r="C9982" s="715" t="s">
        <v>509</v>
      </c>
      <c r="D9982" s="716">
        <v>0</v>
      </c>
    </row>
    <row r="9983" spans="1:4" ht="42">
      <c r="A9983" s="715">
        <v>106309</v>
      </c>
      <c r="B9983" s="633" t="s">
        <v>44078</v>
      </c>
      <c r="C9983" s="715" t="s">
        <v>509</v>
      </c>
      <c r="D9983" s="716">
        <v>0</v>
      </c>
    </row>
    <row r="9984" spans="1:4" ht="42">
      <c r="A9984" s="715">
        <v>97801</v>
      </c>
      <c r="B9984" s="633" t="s">
        <v>44079</v>
      </c>
      <c r="C9984" s="715" t="s">
        <v>509</v>
      </c>
      <c r="D9984" s="716">
        <v>0</v>
      </c>
    </row>
    <row r="9985" spans="1:4" ht="42">
      <c r="A9985" s="715">
        <v>106303</v>
      </c>
      <c r="B9985" s="633" t="s">
        <v>44080</v>
      </c>
      <c r="C9985" s="715" t="s">
        <v>509</v>
      </c>
      <c r="D9985" s="716">
        <v>0</v>
      </c>
    </row>
    <row r="9986" spans="1:4" ht="42">
      <c r="A9986" s="715">
        <v>104376</v>
      </c>
      <c r="B9986" s="633" t="s">
        <v>44081</v>
      </c>
      <c r="C9986" s="715" t="s">
        <v>509</v>
      </c>
      <c r="D9986" s="716">
        <v>0</v>
      </c>
    </row>
    <row r="9987" spans="1:4" ht="42">
      <c r="A9987" s="715">
        <v>106304</v>
      </c>
      <c r="B9987" s="633" t="s">
        <v>44082</v>
      </c>
      <c r="C9987" s="715" t="s">
        <v>509</v>
      </c>
      <c r="D9987" s="716">
        <v>0</v>
      </c>
    </row>
    <row r="9988" spans="1:4" ht="42">
      <c r="A9988" s="715">
        <v>104377</v>
      </c>
      <c r="B9988" s="633" t="s">
        <v>44083</v>
      </c>
      <c r="C9988" s="715" t="s">
        <v>509</v>
      </c>
      <c r="D9988" s="716">
        <v>0</v>
      </c>
    </row>
    <row r="9989" spans="1:4" ht="42">
      <c r="A9989" s="715">
        <v>106305</v>
      </c>
      <c r="B9989" s="633" t="s">
        <v>44084</v>
      </c>
      <c r="C9989" s="715" t="s">
        <v>509</v>
      </c>
      <c r="D9989" s="716">
        <v>0</v>
      </c>
    </row>
    <row r="9990" spans="1:4" ht="42">
      <c r="A9990" s="715">
        <v>97808</v>
      </c>
      <c r="B9990" s="633" t="s">
        <v>44085</v>
      </c>
      <c r="C9990" s="715" t="s">
        <v>509</v>
      </c>
      <c r="D9990" s="716">
        <v>0</v>
      </c>
    </row>
    <row r="9991" spans="1:4" ht="42">
      <c r="A9991" s="715">
        <v>106310</v>
      </c>
      <c r="B9991" s="633" t="s">
        <v>44086</v>
      </c>
      <c r="C9991" s="715" t="s">
        <v>509</v>
      </c>
      <c r="D9991" s="716">
        <v>0</v>
      </c>
    </row>
    <row r="9992" spans="1:4" ht="42">
      <c r="A9992" s="715">
        <v>104380</v>
      </c>
      <c r="B9992" s="633" t="s">
        <v>44087</v>
      </c>
      <c r="C9992" s="715" t="s">
        <v>509</v>
      </c>
      <c r="D9992" s="716">
        <v>0</v>
      </c>
    </row>
    <row r="9993" spans="1:4" ht="42">
      <c r="A9993" s="715">
        <v>106311</v>
      </c>
      <c r="B9993" s="633" t="s">
        <v>44088</v>
      </c>
      <c r="C9993" s="715" t="s">
        <v>509</v>
      </c>
      <c r="D9993" s="716">
        <v>0</v>
      </c>
    </row>
    <row r="9994" spans="1:4" ht="42">
      <c r="A9994" s="715">
        <v>104381</v>
      </c>
      <c r="B9994" s="633" t="s">
        <v>44089</v>
      </c>
      <c r="C9994" s="715" t="s">
        <v>509</v>
      </c>
      <c r="D9994" s="716">
        <v>0</v>
      </c>
    </row>
    <row r="9995" spans="1:4" ht="42">
      <c r="A9995" s="715">
        <v>106312</v>
      </c>
      <c r="B9995" s="633" t="s">
        <v>44090</v>
      </c>
      <c r="C9995" s="715" t="s">
        <v>509</v>
      </c>
      <c r="D9995" s="716">
        <v>0</v>
      </c>
    </row>
    <row r="9996" spans="1:4" ht="42">
      <c r="A9996" s="715">
        <v>104382</v>
      </c>
      <c r="B9996" s="633" t="s">
        <v>44091</v>
      </c>
      <c r="C9996" s="715" t="s">
        <v>509</v>
      </c>
      <c r="D9996" s="716">
        <v>0</v>
      </c>
    </row>
    <row r="9997" spans="1:4" ht="42">
      <c r="A9997" s="715">
        <v>106313</v>
      </c>
      <c r="B9997" s="633" t="s">
        <v>44092</v>
      </c>
      <c r="C9997" s="715" t="s">
        <v>509</v>
      </c>
      <c r="D9997" s="716">
        <v>0</v>
      </c>
    </row>
    <row r="9998" spans="1:4" ht="56">
      <c r="A9998" s="715">
        <v>103138</v>
      </c>
      <c r="B9998" s="633" t="s">
        <v>40773</v>
      </c>
      <c r="C9998" s="715" t="s">
        <v>103</v>
      </c>
      <c r="D9998" s="716">
        <v>47.17</v>
      </c>
    </row>
    <row r="9999" spans="1:4" ht="56">
      <c r="A9999" s="715">
        <v>103151</v>
      </c>
      <c r="B9999" s="633" t="s">
        <v>40774</v>
      </c>
      <c r="C9999" s="715" t="s">
        <v>103</v>
      </c>
      <c r="D9999" s="716">
        <v>463.67</v>
      </c>
    </row>
    <row r="10000" spans="1:4" ht="56">
      <c r="A10000" s="715">
        <v>103152</v>
      </c>
      <c r="B10000" s="633" t="s">
        <v>40775</v>
      </c>
      <c r="C10000" s="715" t="s">
        <v>103</v>
      </c>
      <c r="D10000" s="716">
        <v>553.05999999999995</v>
      </c>
    </row>
    <row r="10001" spans="1:4" ht="56">
      <c r="A10001" s="715">
        <v>103139</v>
      </c>
      <c r="B10001" s="633" t="s">
        <v>40776</v>
      </c>
      <c r="C10001" s="715" t="s">
        <v>103</v>
      </c>
      <c r="D10001" s="716">
        <v>62.39</v>
      </c>
    </row>
    <row r="10002" spans="1:4" ht="56">
      <c r="A10002" s="715">
        <v>103140</v>
      </c>
      <c r="B10002" s="633" t="s">
        <v>40777</v>
      </c>
      <c r="C10002" s="715" t="s">
        <v>103</v>
      </c>
      <c r="D10002" s="716">
        <v>77.58</v>
      </c>
    </row>
    <row r="10003" spans="1:4" ht="56">
      <c r="A10003" s="715">
        <v>103141</v>
      </c>
      <c r="B10003" s="633" t="s">
        <v>40778</v>
      </c>
      <c r="C10003" s="715" t="s">
        <v>103</v>
      </c>
      <c r="D10003" s="716">
        <v>121.37</v>
      </c>
    </row>
    <row r="10004" spans="1:4" ht="56">
      <c r="A10004" s="715">
        <v>103142</v>
      </c>
      <c r="B10004" s="633" t="s">
        <v>40779</v>
      </c>
      <c r="C10004" s="715" t="s">
        <v>103</v>
      </c>
      <c r="D10004" s="716">
        <v>136.54</v>
      </c>
    </row>
    <row r="10005" spans="1:4" ht="56">
      <c r="A10005" s="715">
        <v>103143</v>
      </c>
      <c r="B10005" s="633" t="s">
        <v>40780</v>
      </c>
      <c r="C10005" s="715" t="s">
        <v>103</v>
      </c>
      <c r="D10005" s="716">
        <v>180.33</v>
      </c>
    </row>
    <row r="10006" spans="1:4" ht="56">
      <c r="A10006" s="715">
        <v>103144</v>
      </c>
      <c r="B10006" s="633" t="s">
        <v>40781</v>
      </c>
      <c r="C10006" s="715" t="s">
        <v>103</v>
      </c>
      <c r="D10006" s="716">
        <v>195.52</v>
      </c>
    </row>
    <row r="10007" spans="1:4" ht="56">
      <c r="A10007" s="715">
        <v>103145</v>
      </c>
      <c r="B10007" s="633" t="s">
        <v>40782</v>
      </c>
      <c r="C10007" s="715" t="s">
        <v>103</v>
      </c>
      <c r="D10007" s="716">
        <v>239.31</v>
      </c>
    </row>
    <row r="10008" spans="1:4" ht="56">
      <c r="A10008" s="715">
        <v>103146</v>
      </c>
      <c r="B10008" s="633" t="s">
        <v>40783</v>
      </c>
      <c r="C10008" s="715" t="s">
        <v>103</v>
      </c>
      <c r="D10008" s="716">
        <v>254.5</v>
      </c>
    </row>
    <row r="10009" spans="1:4" ht="56">
      <c r="A10009" s="715">
        <v>103147</v>
      </c>
      <c r="B10009" s="633" t="s">
        <v>40784</v>
      </c>
      <c r="C10009" s="715" t="s">
        <v>103</v>
      </c>
      <c r="D10009" s="716">
        <v>284.91000000000003</v>
      </c>
    </row>
    <row r="10010" spans="1:4" ht="56">
      <c r="A10010" s="715">
        <v>103148</v>
      </c>
      <c r="B10010" s="633" t="s">
        <v>40785</v>
      </c>
      <c r="C10010" s="715" t="s">
        <v>103</v>
      </c>
      <c r="D10010" s="716">
        <v>343.89</v>
      </c>
    </row>
    <row r="10011" spans="1:4" ht="56">
      <c r="A10011" s="715">
        <v>103137</v>
      </c>
      <c r="B10011" s="633" t="s">
        <v>40786</v>
      </c>
      <c r="C10011" s="715" t="s">
        <v>103</v>
      </c>
      <c r="D10011" s="716">
        <v>41.1</v>
      </c>
    </row>
    <row r="10012" spans="1:4" ht="56">
      <c r="A10012" s="715">
        <v>103149</v>
      </c>
      <c r="B10012" s="633" t="s">
        <v>40787</v>
      </c>
      <c r="C10012" s="715" t="s">
        <v>103</v>
      </c>
      <c r="D10012" s="716">
        <v>374.29</v>
      </c>
    </row>
    <row r="10013" spans="1:4" ht="56">
      <c r="A10013" s="715">
        <v>103150</v>
      </c>
      <c r="B10013" s="633" t="s">
        <v>40788</v>
      </c>
      <c r="C10013" s="715" t="s">
        <v>103</v>
      </c>
      <c r="D10013" s="716">
        <v>433.21</v>
      </c>
    </row>
    <row r="10014" spans="1:4" ht="56">
      <c r="A10014" s="715">
        <v>103106</v>
      </c>
      <c r="B10014" s="633" t="s">
        <v>40789</v>
      </c>
      <c r="C10014" s="715" t="s">
        <v>103</v>
      </c>
      <c r="D10014" s="716">
        <v>72.94</v>
      </c>
    </row>
    <row r="10015" spans="1:4" ht="56">
      <c r="A10015" s="715">
        <v>103119</v>
      </c>
      <c r="B10015" s="633" t="s">
        <v>40790</v>
      </c>
      <c r="C10015" s="715" t="s">
        <v>103</v>
      </c>
      <c r="D10015" s="716">
        <v>905.94</v>
      </c>
    </row>
    <row r="10016" spans="1:4" ht="56">
      <c r="A10016" s="715">
        <v>103120</v>
      </c>
      <c r="B10016" s="633" t="s">
        <v>40791</v>
      </c>
      <c r="C10016" s="715" t="s">
        <v>103</v>
      </c>
      <c r="D10016" s="716">
        <v>1084.71</v>
      </c>
    </row>
    <row r="10017" spans="1:4" ht="56">
      <c r="A10017" s="715">
        <v>103107</v>
      </c>
      <c r="B10017" s="633" t="s">
        <v>40792</v>
      </c>
      <c r="C10017" s="715" t="s">
        <v>103</v>
      </c>
      <c r="D10017" s="716">
        <v>103.32</v>
      </c>
    </row>
    <row r="10018" spans="1:4" ht="56">
      <c r="A10018" s="715">
        <v>103108</v>
      </c>
      <c r="B10018" s="633" t="s">
        <v>40793</v>
      </c>
      <c r="C10018" s="715" t="s">
        <v>103</v>
      </c>
      <c r="D10018" s="716">
        <v>133.74</v>
      </c>
    </row>
    <row r="10019" spans="1:4" ht="56">
      <c r="A10019" s="715">
        <v>103109</v>
      </c>
      <c r="B10019" s="633" t="s">
        <v>40794</v>
      </c>
      <c r="C10019" s="715" t="s">
        <v>103</v>
      </c>
      <c r="D10019" s="716">
        <v>221.29</v>
      </c>
    </row>
    <row r="10020" spans="1:4" ht="56">
      <c r="A10020" s="715">
        <v>103110</v>
      </c>
      <c r="B10020" s="633" t="s">
        <v>40795</v>
      </c>
      <c r="C10020" s="715" t="s">
        <v>103</v>
      </c>
      <c r="D10020" s="716">
        <v>251.68</v>
      </c>
    </row>
    <row r="10021" spans="1:4" ht="56">
      <c r="A10021" s="715">
        <v>103111</v>
      </c>
      <c r="B10021" s="633" t="s">
        <v>40796</v>
      </c>
      <c r="C10021" s="715" t="s">
        <v>103</v>
      </c>
      <c r="D10021" s="716">
        <v>339.24</v>
      </c>
    </row>
    <row r="10022" spans="1:4" ht="56">
      <c r="A10022" s="715">
        <v>103112</v>
      </c>
      <c r="B10022" s="633" t="s">
        <v>40797</v>
      </c>
      <c r="C10022" s="715" t="s">
        <v>103</v>
      </c>
      <c r="D10022" s="716">
        <v>369.65</v>
      </c>
    </row>
    <row r="10023" spans="1:4" ht="56">
      <c r="A10023" s="715">
        <v>103113</v>
      </c>
      <c r="B10023" s="633" t="s">
        <v>40798</v>
      </c>
      <c r="C10023" s="715" t="s">
        <v>103</v>
      </c>
      <c r="D10023" s="716">
        <v>457.18</v>
      </c>
    </row>
    <row r="10024" spans="1:4" ht="56">
      <c r="A10024" s="715">
        <v>103114</v>
      </c>
      <c r="B10024" s="633" t="s">
        <v>40799</v>
      </c>
      <c r="C10024" s="715" t="s">
        <v>103</v>
      </c>
      <c r="D10024" s="716">
        <v>487.6</v>
      </c>
    </row>
    <row r="10025" spans="1:4" ht="56">
      <c r="A10025" s="715">
        <v>103115</v>
      </c>
      <c r="B10025" s="633" t="s">
        <v>40800</v>
      </c>
      <c r="C10025" s="715" t="s">
        <v>103</v>
      </c>
      <c r="D10025" s="716">
        <v>548.41</v>
      </c>
    </row>
    <row r="10026" spans="1:4" ht="56">
      <c r="A10026" s="715">
        <v>103116</v>
      </c>
      <c r="B10026" s="633" t="s">
        <v>40801</v>
      </c>
      <c r="C10026" s="715" t="s">
        <v>103</v>
      </c>
      <c r="D10026" s="716">
        <v>666.36</v>
      </c>
    </row>
    <row r="10027" spans="1:4" ht="56">
      <c r="A10027" s="715">
        <v>103105</v>
      </c>
      <c r="B10027" s="633" t="s">
        <v>40802</v>
      </c>
      <c r="C10027" s="715" t="s">
        <v>103</v>
      </c>
      <c r="D10027" s="716">
        <v>60.76</v>
      </c>
    </row>
    <row r="10028" spans="1:4" ht="56">
      <c r="A10028" s="715">
        <v>103117</v>
      </c>
      <c r="B10028" s="633" t="s">
        <v>40803</v>
      </c>
      <c r="C10028" s="715" t="s">
        <v>103</v>
      </c>
      <c r="D10028" s="716">
        <v>727.18</v>
      </c>
    </row>
    <row r="10029" spans="1:4" ht="56">
      <c r="A10029" s="715">
        <v>103118</v>
      </c>
      <c r="B10029" s="633" t="s">
        <v>40804</v>
      </c>
      <c r="C10029" s="715" t="s">
        <v>103</v>
      </c>
      <c r="D10029" s="716">
        <v>845.12</v>
      </c>
    </row>
    <row r="10030" spans="1:4" ht="56">
      <c r="A10030" s="715">
        <v>103122</v>
      </c>
      <c r="B10030" s="633" t="s">
        <v>40805</v>
      </c>
      <c r="C10030" s="715" t="s">
        <v>103</v>
      </c>
      <c r="D10030" s="716">
        <v>98.69</v>
      </c>
    </row>
    <row r="10031" spans="1:4" ht="56">
      <c r="A10031" s="715">
        <v>103135</v>
      </c>
      <c r="B10031" s="633" t="s">
        <v>40806</v>
      </c>
      <c r="C10031" s="715" t="s">
        <v>103</v>
      </c>
      <c r="D10031" s="716">
        <v>1348.22</v>
      </c>
    </row>
    <row r="10032" spans="1:4" ht="56">
      <c r="A10032" s="715">
        <v>103136</v>
      </c>
      <c r="B10032" s="633" t="s">
        <v>40807</v>
      </c>
      <c r="C10032" s="715" t="s">
        <v>103</v>
      </c>
      <c r="D10032" s="716">
        <v>1616.36</v>
      </c>
    </row>
    <row r="10033" spans="1:4" ht="56">
      <c r="A10033" s="715">
        <v>103123</v>
      </c>
      <c r="B10033" s="633" t="s">
        <v>40808</v>
      </c>
      <c r="C10033" s="715" t="s">
        <v>103</v>
      </c>
      <c r="D10033" s="716">
        <v>144.32</v>
      </c>
    </row>
    <row r="10034" spans="1:4" ht="56">
      <c r="A10034" s="715">
        <v>103124</v>
      </c>
      <c r="B10034" s="633" t="s">
        <v>40809</v>
      </c>
      <c r="C10034" s="715" t="s">
        <v>103</v>
      </c>
      <c r="D10034" s="716">
        <v>189.91</v>
      </c>
    </row>
    <row r="10035" spans="1:4" ht="56">
      <c r="A10035" s="715">
        <v>103125</v>
      </c>
      <c r="B10035" s="633" t="s">
        <v>40810</v>
      </c>
      <c r="C10035" s="715" t="s">
        <v>103</v>
      </c>
      <c r="D10035" s="716">
        <v>321.24</v>
      </c>
    </row>
    <row r="10036" spans="1:4" ht="56">
      <c r="A10036" s="715">
        <v>103126</v>
      </c>
      <c r="B10036" s="633" t="s">
        <v>40811</v>
      </c>
      <c r="C10036" s="715" t="s">
        <v>103</v>
      </c>
      <c r="D10036" s="716">
        <v>366.84</v>
      </c>
    </row>
    <row r="10037" spans="1:4" ht="56">
      <c r="A10037" s="715">
        <v>103127</v>
      </c>
      <c r="B10037" s="633" t="s">
        <v>40812</v>
      </c>
      <c r="C10037" s="715" t="s">
        <v>103</v>
      </c>
      <c r="D10037" s="716">
        <v>498.17</v>
      </c>
    </row>
    <row r="10038" spans="1:4" ht="56">
      <c r="A10038" s="715">
        <v>103128</v>
      </c>
      <c r="B10038" s="633" t="s">
        <v>40813</v>
      </c>
      <c r="C10038" s="715" t="s">
        <v>103</v>
      </c>
      <c r="D10038" s="716">
        <v>543.76</v>
      </c>
    </row>
    <row r="10039" spans="1:4" ht="56">
      <c r="A10039" s="715">
        <v>103129</v>
      </c>
      <c r="B10039" s="633" t="s">
        <v>40814</v>
      </c>
      <c r="C10039" s="715" t="s">
        <v>103</v>
      </c>
      <c r="D10039" s="716">
        <v>675.1</v>
      </c>
    </row>
    <row r="10040" spans="1:4" ht="56">
      <c r="A10040" s="715">
        <v>103130</v>
      </c>
      <c r="B10040" s="633" t="s">
        <v>40815</v>
      </c>
      <c r="C10040" s="715" t="s">
        <v>103</v>
      </c>
      <c r="D10040" s="716">
        <v>720.69</v>
      </c>
    </row>
    <row r="10041" spans="1:4" ht="56">
      <c r="A10041" s="715">
        <v>103131</v>
      </c>
      <c r="B10041" s="633" t="s">
        <v>40816</v>
      </c>
      <c r="C10041" s="715" t="s">
        <v>103</v>
      </c>
      <c r="D10041" s="716">
        <v>811.91</v>
      </c>
    </row>
    <row r="10042" spans="1:4" ht="56">
      <c r="A10042" s="715">
        <v>103132</v>
      </c>
      <c r="B10042" s="633" t="s">
        <v>40817</v>
      </c>
      <c r="C10042" s="715" t="s">
        <v>103</v>
      </c>
      <c r="D10042" s="716">
        <v>988.85</v>
      </c>
    </row>
    <row r="10043" spans="1:4" ht="56">
      <c r="A10043" s="715">
        <v>103121</v>
      </c>
      <c r="B10043" s="633" t="s">
        <v>40818</v>
      </c>
      <c r="C10043" s="715" t="s">
        <v>103</v>
      </c>
      <c r="D10043" s="716">
        <v>80.459999999999994</v>
      </c>
    </row>
    <row r="10044" spans="1:4" ht="56">
      <c r="A10044" s="715">
        <v>103133</v>
      </c>
      <c r="B10044" s="633" t="s">
        <v>40819</v>
      </c>
      <c r="C10044" s="715" t="s">
        <v>103</v>
      </c>
      <c r="D10044" s="716">
        <v>1080.05</v>
      </c>
    </row>
    <row r="10045" spans="1:4" ht="56">
      <c r="A10045" s="715">
        <v>103134</v>
      </c>
      <c r="B10045" s="633" t="s">
        <v>40820</v>
      </c>
      <c r="C10045" s="715" t="s">
        <v>103</v>
      </c>
      <c r="D10045" s="716">
        <v>1256.99</v>
      </c>
    </row>
    <row r="10046" spans="1:4" ht="42">
      <c r="A10046" s="715">
        <v>103090</v>
      </c>
      <c r="B10046" s="633" t="s">
        <v>24088</v>
      </c>
      <c r="C10046" s="715" t="s">
        <v>165</v>
      </c>
      <c r="D10046" s="716">
        <v>17.809999999999999</v>
      </c>
    </row>
    <row r="10047" spans="1:4" ht="42">
      <c r="A10047" s="715">
        <v>103103</v>
      </c>
      <c r="B10047" s="633" t="s">
        <v>24101</v>
      </c>
      <c r="C10047" s="715" t="s">
        <v>165</v>
      </c>
      <c r="D10047" s="716">
        <v>176.8</v>
      </c>
    </row>
    <row r="10048" spans="1:4" ht="42">
      <c r="A10048" s="715">
        <v>103104</v>
      </c>
      <c r="B10048" s="633" t="s">
        <v>24102</v>
      </c>
      <c r="C10048" s="715" t="s">
        <v>165</v>
      </c>
      <c r="D10048" s="716">
        <v>211.48</v>
      </c>
    </row>
    <row r="10049" spans="1:4" ht="42">
      <c r="A10049" s="715">
        <v>103091</v>
      </c>
      <c r="B10049" s="633" t="s">
        <v>24089</v>
      </c>
      <c r="C10049" s="715" t="s">
        <v>165</v>
      </c>
      <c r="D10049" s="716">
        <v>25.14</v>
      </c>
    </row>
    <row r="10050" spans="1:4" ht="42">
      <c r="A10050" s="715">
        <v>103092</v>
      </c>
      <c r="B10050" s="633" t="s">
        <v>24090</v>
      </c>
      <c r="C10050" s="715" t="s">
        <v>165</v>
      </c>
      <c r="D10050" s="716">
        <v>32.479999999999997</v>
      </c>
    </row>
    <row r="10051" spans="1:4" ht="42">
      <c r="A10051" s="715">
        <v>103093</v>
      </c>
      <c r="B10051" s="633" t="s">
        <v>24091</v>
      </c>
      <c r="C10051" s="715" t="s">
        <v>165</v>
      </c>
      <c r="D10051" s="716">
        <v>49.67</v>
      </c>
    </row>
    <row r="10052" spans="1:4" ht="42">
      <c r="A10052" s="715">
        <v>103094</v>
      </c>
      <c r="B10052" s="633" t="s">
        <v>24092</v>
      </c>
      <c r="C10052" s="715" t="s">
        <v>165</v>
      </c>
      <c r="D10052" s="716">
        <v>57.04</v>
      </c>
    </row>
    <row r="10053" spans="1:4" ht="42">
      <c r="A10053" s="715">
        <v>103095</v>
      </c>
      <c r="B10053" s="633" t="s">
        <v>24093</v>
      </c>
      <c r="C10053" s="715" t="s">
        <v>165</v>
      </c>
      <c r="D10053" s="716">
        <v>74.19</v>
      </c>
    </row>
    <row r="10054" spans="1:4" ht="42">
      <c r="A10054" s="715">
        <v>103096</v>
      </c>
      <c r="B10054" s="633" t="s">
        <v>24094</v>
      </c>
      <c r="C10054" s="715" t="s">
        <v>165</v>
      </c>
      <c r="D10054" s="716">
        <v>81.58</v>
      </c>
    </row>
    <row r="10055" spans="1:4" ht="42">
      <c r="A10055" s="715">
        <v>103097</v>
      </c>
      <c r="B10055" s="633" t="s">
        <v>24095</v>
      </c>
      <c r="C10055" s="715" t="s">
        <v>165</v>
      </c>
      <c r="D10055" s="716">
        <v>98.75</v>
      </c>
    </row>
    <row r="10056" spans="1:4" ht="42">
      <c r="A10056" s="715">
        <v>103098</v>
      </c>
      <c r="B10056" s="633" t="s">
        <v>24096</v>
      </c>
      <c r="C10056" s="715" t="s">
        <v>165</v>
      </c>
      <c r="D10056" s="716">
        <v>106.1</v>
      </c>
    </row>
    <row r="10057" spans="1:4" ht="42">
      <c r="A10057" s="715">
        <v>103099</v>
      </c>
      <c r="B10057" s="633" t="s">
        <v>24097</v>
      </c>
      <c r="C10057" s="715" t="s">
        <v>165</v>
      </c>
      <c r="D10057" s="716">
        <v>120.77</v>
      </c>
    </row>
    <row r="10058" spans="1:4" ht="42">
      <c r="A10058" s="715">
        <v>103100</v>
      </c>
      <c r="B10058" s="633" t="s">
        <v>24098</v>
      </c>
      <c r="C10058" s="715" t="s">
        <v>165</v>
      </c>
      <c r="D10058" s="716">
        <v>128.97999999999999</v>
      </c>
    </row>
    <row r="10059" spans="1:4" ht="42">
      <c r="A10059" s="715">
        <v>103089</v>
      </c>
      <c r="B10059" s="633" t="s">
        <v>24087</v>
      </c>
      <c r="C10059" s="715" t="s">
        <v>165</v>
      </c>
      <c r="D10059" s="716">
        <v>14.87</v>
      </c>
    </row>
    <row r="10060" spans="1:4" ht="42">
      <c r="A10060" s="715">
        <v>103101</v>
      </c>
      <c r="B10060" s="633" t="s">
        <v>24099</v>
      </c>
      <c r="C10060" s="715" t="s">
        <v>165</v>
      </c>
      <c r="D10060" s="716">
        <v>142.12</v>
      </c>
    </row>
    <row r="10061" spans="1:4" ht="42">
      <c r="A10061" s="715">
        <v>103102</v>
      </c>
      <c r="B10061" s="633" t="s">
        <v>24100</v>
      </c>
      <c r="C10061" s="715" t="s">
        <v>165</v>
      </c>
      <c r="D10061" s="716">
        <v>163.66</v>
      </c>
    </row>
    <row r="10062" spans="1:4" ht="42">
      <c r="A10062" s="715">
        <v>101112</v>
      </c>
      <c r="B10062" s="633" t="s">
        <v>25244</v>
      </c>
      <c r="C10062" s="715" t="s">
        <v>121</v>
      </c>
      <c r="D10062" s="716">
        <v>1034.17</v>
      </c>
    </row>
    <row r="10063" spans="1:4" ht="56">
      <c r="A10063" s="715">
        <v>101113</v>
      </c>
      <c r="B10063" s="633" t="s">
        <v>25245</v>
      </c>
      <c r="C10063" s="715" t="s">
        <v>121</v>
      </c>
      <c r="D10063" s="716">
        <v>1021.98</v>
      </c>
    </row>
    <row r="10064" spans="1:4" ht="56">
      <c r="A10064" s="715">
        <v>101098</v>
      </c>
      <c r="B10064" s="633" t="s">
        <v>34646</v>
      </c>
      <c r="C10064" s="715" t="s">
        <v>121</v>
      </c>
      <c r="D10064" s="716">
        <v>1240.6300000000001</v>
      </c>
    </row>
    <row r="10065" spans="1:4" ht="70">
      <c r="A10065" s="715">
        <v>101106</v>
      </c>
      <c r="B10065" s="633" t="s">
        <v>34647</v>
      </c>
      <c r="C10065" s="715" t="s">
        <v>121</v>
      </c>
      <c r="D10065" s="716">
        <v>1224.6099999999999</v>
      </c>
    </row>
    <row r="10066" spans="1:4" ht="70">
      <c r="A10066" s="715">
        <v>101102</v>
      </c>
      <c r="B10066" s="633" t="s">
        <v>34648</v>
      </c>
      <c r="C10066" s="715" t="s">
        <v>121</v>
      </c>
      <c r="D10066" s="716">
        <v>884.98</v>
      </c>
    </row>
    <row r="10067" spans="1:4" ht="84">
      <c r="A10067" s="715">
        <v>101110</v>
      </c>
      <c r="B10067" s="633" t="s">
        <v>34649</v>
      </c>
      <c r="C10067" s="715" t="s">
        <v>121</v>
      </c>
      <c r="D10067" s="716">
        <v>862.46</v>
      </c>
    </row>
    <row r="10068" spans="1:4" ht="56">
      <c r="A10068" s="715">
        <v>101099</v>
      </c>
      <c r="B10068" s="633" t="s">
        <v>34650</v>
      </c>
      <c r="C10068" s="715" t="s">
        <v>121</v>
      </c>
      <c r="D10068" s="716">
        <v>1128.4000000000001</v>
      </c>
    </row>
    <row r="10069" spans="1:4" ht="70">
      <c r="A10069" s="715">
        <v>101107</v>
      </c>
      <c r="B10069" s="633" t="s">
        <v>34651</v>
      </c>
      <c r="C10069" s="715" t="s">
        <v>121</v>
      </c>
      <c r="D10069" s="716">
        <v>1113.56</v>
      </c>
    </row>
    <row r="10070" spans="1:4" ht="70">
      <c r="A10070" s="715">
        <v>101103</v>
      </c>
      <c r="B10070" s="633" t="s">
        <v>34652</v>
      </c>
      <c r="C10070" s="715" t="s">
        <v>121</v>
      </c>
      <c r="D10070" s="716">
        <v>834.31</v>
      </c>
    </row>
    <row r="10071" spans="1:4" ht="84">
      <c r="A10071" s="715">
        <v>101111</v>
      </c>
      <c r="B10071" s="633" t="s">
        <v>34653</v>
      </c>
      <c r="C10071" s="715" t="s">
        <v>121</v>
      </c>
      <c r="D10071" s="716">
        <v>813.85</v>
      </c>
    </row>
    <row r="10072" spans="1:4" ht="56">
      <c r="A10072" s="715">
        <v>101096</v>
      </c>
      <c r="B10072" s="633" t="s">
        <v>34654</v>
      </c>
      <c r="C10072" s="715" t="s">
        <v>121</v>
      </c>
      <c r="D10072" s="716">
        <v>1463.25</v>
      </c>
    </row>
    <row r="10073" spans="1:4" ht="70">
      <c r="A10073" s="715">
        <v>101104</v>
      </c>
      <c r="B10073" s="633" t="s">
        <v>34655</v>
      </c>
      <c r="C10073" s="715" t="s">
        <v>121</v>
      </c>
      <c r="D10073" s="716">
        <v>1445.05</v>
      </c>
    </row>
    <row r="10074" spans="1:4" ht="56">
      <c r="A10074" s="715">
        <v>101100</v>
      </c>
      <c r="B10074" s="633" t="s">
        <v>34656</v>
      </c>
      <c r="C10074" s="715" t="s">
        <v>121</v>
      </c>
      <c r="D10074" s="716">
        <v>943.95</v>
      </c>
    </row>
    <row r="10075" spans="1:4" ht="84">
      <c r="A10075" s="715">
        <v>101108</v>
      </c>
      <c r="B10075" s="633" t="s">
        <v>34657</v>
      </c>
      <c r="C10075" s="715" t="s">
        <v>121</v>
      </c>
      <c r="D10075" s="716">
        <v>917.95</v>
      </c>
    </row>
    <row r="10076" spans="1:4" ht="56">
      <c r="A10076" s="715">
        <v>101097</v>
      </c>
      <c r="B10076" s="633" t="s">
        <v>34658</v>
      </c>
      <c r="C10076" s="715" t="s">
        <v>121</v>
      </c>
      <c r="D10076" s="716">
        <v>1367.86</v>
      </c>
    </row>
    <row r="10077" spans="1:4" ht="70">
      <c r="A10077" s="715">
        <v>101105</v>
      </c>
      <c r="B10077" s="633" t="s">
        <v>34659</v>
      </c>
      <c r="C10077" s="715" t="s">
        <v>121</v>
      </c>
      <c r="D10077" s="716">
        <v>1350.28</v>
      </c>
    </row>
    <row r="10078" spans="1:4" ht="70">
      <c r="A10078" s="715">
        <v>101101</v>
      </c>
      <c r="B10078" s="633" t="s">
        <v>34660</v>
      </c>
      <c r="C10078" s="715" t="s">
        <v>121</v>
      </c>
      <c r="D10078" s="716">
        <v>917.45</v>
      </c>
    </row>
    <row r="10079" spans="1:4" ht="84">
      <c r="A10079" s="715">
        <v>101109</v>
      </c>
      <c r="B10079" s="633" t="s">
        <v>34661</v>
      </c>
      <c r="C10079" s="715" t="s">
        <v>121</v>
      </c>
      <c r="D10079" s="716">
        <v>892.48</v>
      </c>
    </row>
    <row r="10080" spans="1:4" ht="42">
      <c r="A10080" s="715">
        <v>106209</v>
      </c>
      <c r="B10080" s="633" t="s">
        <v>44093</v>
      </c>
      <c r="C10080" s="715" t="s">
        <v>103</v>
      </c>
      <c r="D10080" s="716">
        <v>0</v>
      </c>
    </row>
    <row r="10081" spans="1:4" ht="56">
      <c r="A10081" s="715">
        <v>106172</v>
      </c>
      <c r="B10081" s="633" t="s">
        <v>44094</v>
      </c>
      <c r="C10081" s="715" t="s">
        <v>165</v>
      </c>
      <c r="D10081" s="716">
        <v>0</v>
      </c>
    </row>
    <row r="10082" spans="1:4" ht="56">
      <c r="A10082" s="715">
        <v>106173</v>
      </c>
      <c r="B10082" s="633" t="s">
        <v>44095</v>
      </c>
      <c r="C10082" s="715" t="s">
        <v>165</v>
      </c>
      <c r="D10082" s="716">
        <v>0</v>
      </c>
    </row>
    <row r="10083" spans="1:4" ht="56">
      <c r="A10083" s="715">
        <v>106174</v>
      </c>
      <c r="B10083" s="633" t="s">
        <v>44096</v>
      </c>
      <c r="C10083" s="715" t="s">
        <v>165</v>
      </c>
      <c r="D10083" s="716">
        <v>0</v>
      </c>
    </row>
    <row r="10084" spans="1:4" ht="56">
      <c r="A10084" s="715">
        <v>106175</v>
      </c>
      <c r="B10084" s="633" t="s">
        <v>44097</v>
      </c>
      <c r="C10084" s="715" t="s">
        <v>165</v>
      </c>
      <c r="D10084" s="716">
        <v>0</v>
      </c>
    </row>
    <row r="10085" spans="1:4" ht="56">
      <c r="A10085" s="715">
        <v>106176</v>
      </c>
      <c r="B10085" s="633" t="s">
        <v>44098</v>
      </c>
      <c r="C10085" s="715" t="s">
        <v>165</v>
      </c>
      <c r="D10085" s="716">
        <v>0</v>
      </c>
    </row>
    <row r="10086" spans="1:4" ht="56">
      <c r="A10086" s="715">
        <v>106177</v>
      </c>
      <c r="B10086" s="633" t="s">
        <v>44099</v>
      </c>
      <c r="C10086" s="715" t="s">
        <v>165</v>
      </c>
      <c r="D10086" s="716">
        <v>0</v>
      </c>
    </row>
    <row r="10087" spans="1:4" ht="56">
      <c r="A10087" s="715">
        <v>106178</v>
      </c>
      <c r="B10087" s="633" t="s">
        <v>44100</v>
      </c>
      <c r="C10087" s="715" t="s">
        <v>165</v>
      </c>
      <c r="D10087" s="716">
        <v>0</v>
      </c>
    </row>
    <row r="10088" spans="1:4" ht="56">
      <c r="A10088" s="715">
        <v>106179</v>
      </c>
      <c r="B10088" s="633" t="s">
        <v>44101</v>
      </c>
      <c r="C10088" s="715" t="s">
        <v>165</v>
      </c>
      <c r="D10088" s="716">
        <v>0</v>
      </c>
    </row>
    <row r="10089" spans="1:4" ht="56">
      <c r="A10089" s="715">
        <v>106180</v>
      </c>
      <c r="B10089" s="633" t="s">
        <v>44102</v>
      </c>
      <c r="C10089" s="715" t="s">
        <v>165</v>
      </c>
      <c r="D10089" s="716">
        <v>0</v>
      </c>
    </row>
    <row r="10090" spans="1:4" ht="56">
      <c r="A10090" s="715">
        <v>106181</v>
      </c>
      <c r="B10090" s="633" t="s">
        <v>44103</v>
      </c>
      <c r="C10090" s="715" t="s">
        <v>165</v>
      </c>
      <c r="D10090" s="716">
        <v>0</v>
      </c>
    </row>
    <row r="10091" spans="1:4" ht="56">
      <c r="A10091" s="715">
        <v>106182</v>
      </c>
      <c r="B10091" s="633" t="s">
        <v>44104</v>
      </c>
      <c r="C10091" s="715" t="s">
        <v>165</v>
      </c>
      <c r="D10091" s="716">
        <v>0</v>
      </c>
    </row>
    <row r="10092" spans="1:4" ht="56">
      <c r="A10092" s="715">
        <v>106183</v>
      </c>
      <c r="B10092" s="633" t="s">
        <v>44105</v>
      </c>
      <c r="C10092" s="715" t="s">
        <v>165</v>
      </c>
      <c r="D10092" s="716">
        <v>0</v>
      </c>
    </row>
    <row r="10093" spans="1:4" ht="56">
      <c r="A10093" s="715">
        <v>106184</v>
      </c>
      <c r="B10093" s="633" t="s">
        <v>44106</v>
      </c>
      <c r="C10093" s="715" t="s">
        <v>165</v>
      </c>
      <c r="D10093" s="716">
        <v>0</v>
      </c>
    </row>
    <row r="10094" spans="1:4" ht="56">
      <c r="A10094" s="715">
        <v>106185</v>
      </c>
      <c r="B10094" s="633" t="s">
        <v>44107</v>
      </c>
      <c r="C10094" s="715" t="s">
        <v>165</v>
      </c>
      <c r="D10094" s="716">
        <v>0</v>
      </c>
    </row>
    <row r="10095" spans="1:4" ht="56">
      <c r="A10095" s="715">
        <v>106186</v>
      </c>
      <c r="B10095" s="633" t="s">
        <v>44108</v>
      </c>
      <c r="C10095" s="715" t="s">
        <v>165</v>
      </c>
      <c r="D10095" s="716">
        <v>0</v>
      </c>
    </row>
    <row r="10096" spans="1:4" ht="56">
      <c r="A10096" s="715">
        <v>106187</v>
      </c>
      <c r="B10096" s="633" t="s">
        <v>44109</v>
      </c>
      <c r="C10096" s="715" t="s">
        <v>165</v>
      </c>
      <c r="D10096" s="716">
        <v>0</v>
      </c>
    </row>
    <row r="10097" spans="1:4" ht="56">
      <c r="A10097" s="715">
        <v>106188</v>
      </c>
      <c r="B10097" s="633" t="s">
        <v>44110</v>
      </c>
      <c r="C10097" s="715" t="s">
        <v>165</v>
      </c>
      <c r="D10097" s="716">
        <v>0</v>
      </c>
    </row>
    <row r="10098" spans="1:4" ht="56">
      <c r="A10098" s="715">
        <v>106189</v>
      </c>
      <c r="B10098" s="633" t="s">
        <v>44111</v>
      </c>
      <c r="C10098" s="715" t="s">
        <v>165</v>
      </c>
      <c r="D10098" s="716">
        <v>0</v>
      </c>
    </row>
    <row r="10099" spans="1:4" ht="56">
      <c r="A10099" s="715">
        <v>106190</v>
      </c>
      <c r="B10099" s="633" t="s">
        <v>44112</v>
      </c>
      <c r="C10099" s="715" t="s">
        <v>165</v>
      </c>
      <c r="D10099" s="716">
        <v>0</v>
      </c>
    </row>
    <row r="10100" spans="1:4" ht="56">
      <c r="A10100" s="715">
        <v>106191</v>
      </c>
      <c r="B10100" s="633" t="s">
        <v>44113</v>
      </c>
      <c r="C10100" s="715" t="s">
        <v>165</v>
      </c>
      <c r="D10100" s="716">
        <v>0</v>
      </c>
    </row>
    <row r="10101" spans="1:4" ht="56">
      <c r="A10101" s="715">
        <v>106192</v>
      </c>
      <c r="B10101" s="633" t="s">
        <v>44114</v>
      </c>
      <c r="C10101" s="715" t="s">
        <v>165</v>
      </c>
      <c r="D10101" s="716">
        <v>0</v>
      </c>
    </row>
    <row r="10102" spans="1:4" ht="56">
      <c r="A10102" s="715">
        <v>106193</v>
      </c>
      <c r="B10102" s="633" t="s">
        <v>44115</v>
      </c>
      <c r="C10102" s="715" t="s">
        <v>165</v>
      </c>
      <c r="D10102" s="716">
        <v>0</v>
      </c>
    </row>
    <row r="10103" spans="1:4" ht="56">
      <c r="A10103" s="715">
        <v>106194</v>
      </c>
      <c r="B10103" s="633" t="s">
        <v>44116</v>
      </c>
      <c r="C10103" s="715" t="s">
        <v>165</v>
      </c>
      <c r="D10103" s="716">
        <v>0</v>
      </c>
    </row>
    <row r="10104" spans="1:4" ht="56">
      <c r="A10104" s="715">
        <v>106195</v>
      </c>
      <c r="B10104" s="633" t="s">
        <v>44117</v>
      </c>
      <c r="C10104" s="715" t="s">
        <v>165</v>
      </c>
      <c r="D10104" s="716">
        <v>0</v>
      </c>
    </row>
    <row r="10105" spans="1:4" ht="56">
      <c r="A10105" s="715">
        <v>106196</v>
      </c>
      <c r="B10105" s="633" t="s">
        <v>44118</v>
      </c>
      <c r="C10105" s="715" t="s">
        <v>165</v>
      </c>
      <c r="D10105" s="716">
        <v>0</v>
      </c>
    </row>
    <row r="10106" spans="1:4" ht="56">
      <c r="A10106" s="715">
        <v>106197</v>
      </c>
      <c r="B10106" s="633" t="s">
        <v>44119</v>
      </c>
      <c r="C10106" s="715" t="s">
        <v>165</v>
      </c>
      <c r="D10106" s="716">
        <v>0</v>
      </c>
    </row>
    <row r="10107" spans="1:4" ht="56">
      <c r="A10107" s="715">
        <v>106200</v>
      </c>
      <c r="B10107" s="633" t="s">
        <v>44120</v>
      </c>
      <c r="C10107" s="715" t="s">
        <v>165</v>
      </c>
      <c r="D10107" s="716">
        <v>0</v>
      </c>
    </row>
    <row r="10108" spans="1:4" ht="56">
      <c r="A10108" s="715">
        <v>106198</v>
      </c>
      <c r="B10108" s="633" t="s">
        <v>44121</v>
      </c>
      <c r="C10108" s="715" t="s">
        <v>165</v>
      </c>
      <c r="D10108" s="716">
        <v>0</v>
      </c>
    </row>
    <row r="10109" spans="1:4" ht="56">
      <c r="A10109" s="715">
        <v>106199</v>
      </c>
      <c r="B10109" s="633" t="s">
        <v>44122</v>
      </c>
      <c r="C10109" s="715" t="s">
        <v>165</v>
      </c>
      <c r="D10109" s="716">
        <v>0</v>
      </c>
    </row>
    <row r="10110" spans="1:4" ht="56">
      <c r="A10110" s="715">
        <v>106201</v>
      </c>
      <c r="B10110" s="633" t="s">
        <v>44123</v>
      </c>
      <c r="C10110" s="715" t="s">
        <v>165</v>
      </c>
      <c r="D10110" s="716">
        <v>0</v>
      </c>
    </row>
    <row r="10111" spans="1:4" ht="56">
      <c r="A10111" s="715">
        <v>106202</v>
      </c>
      <c r="B10111" s="633" t="s">
        <v>44124</v>
      </c>
      <c r="C10111" s="715" t="s">
        <v>165</v>
      </c>
      <c r="D10111" s="716">
        <v>0</v>
      </c>
    </row>
    <row r="10112" spans="1:4" ht="56">
      <c r="A10112" s="715">
        <v>106203</v>
      </c>
      <c r="B10112" s="633" t="s">
        <v>44125</v>
      </c>
      <c r="C10112" s="715" t="s">
        <v>165</v>
      </c>
      <c r="D10112" s="716">
        <v>0</v>
      </c>
    </row>
    <row r="10113" spans="1:4" ht="56">
      <c r="A10113" s="715">
        <v>106204</v>
      </c>
      <c r="B10113" s="633" t="s">
        <v>44126</v>
      </c>
      <c r="C10113" s="715" t="s">
        <v>165</v>
      </c>
      <c r="D10113" s="716">
        <v>0</v>
      </c>
    </row>
    <row r="10114" spans="1:4" ht="28">
      <c r="A10114" s="715">
        <v>106205</v>
      </c>
      <c r="B10114" s="633" t="s">
        <v>44127</v>
      </c>
      <c r="C10114" s="715" t="s">
        <v>121</v>
      </c>
      <c r="D10114" s="716">
        <v>150.97</v>
      </c>
    </row>
    <row r="10115" spans="1:4" ht="28">
      <c r="A10115" s="715">
        <v>106206</v>
      </c>
      <c r="B10115" s="633" t="s">
        <v>44128</v>
      </c>
      <c r="C10115" s="715" t="s">
        <v>121</v>
      </c>
      <c r="D10115" s="716">
        <v>172.63</v>
      </c>
    </row>
    <row r="10116" spans="1:4" ht="42">
      <c r="A10116" s="715">
        <v>106207</v>
      </c>
      <c r="B10116" s="633" t="s">
        <v>44129</v>
      </c>
      <c r="C10116" s="715" t="s">
        <v>121</v>
      </c>
      <c r="D10116" s="716">
        <v>0</v>
      </c>
    </row>
    <row r="10117" spans="1:4" ht="42">
      <c r="A10117" s="715">
        <v>106208</v>
      </c>
      <c r="B10117" s="633" t="s">
        <v>44130</v>
      </c>
      <c r="C10117" s="715" t="s">
        <v>165</v>
      </c>
      <c r="D10117" s="716">
        <v>0</v>
      </c>
    </row>
    <row r="10118" spans="1:4" ht="14">
      <c r="A10118" s="715">
        <v>96393</v>
      </c>
      <c r="B10118" s="633" t="s">
        <v>41573</v>
      </c>
      <c r="C10118" s="715" t="s">
        <v>121</v>
      </c>
      <c r="D10118" s="716">
        <v>142.80000000000001</v>
      </c>
    </row>
    <row r="10119" spans="1:4" ht="28">
      <c r="A10119" s="715">
        <v>96394</v>
      </c>
      <c r="B10119" s="633" t="s">
        <v>41574</v>
      </c>
      <c r="C10119" s="715" t="s">
        <v>121</v>
      </c>
      <c r="D10119" s="716">
        <v>201.58</v>
      </c>
    </row>
    <row r="10120" spans="1:4" ht="56">
      <c r="A10120" s="715">
        <v>104363</v>
      </c>
      <c r="B10120" s="633" t="s">
        <v>41575</v>
      </c>
      <c r="C10120" s="715" t="s">
        <v>118</v>
      </c>
      <c r="D10120" s="716">
        <v>0</v>
      </c>
    </row>
    <row r="10121" spans="1:4" ht="56">
      <c r="A10121" s="715">
        <v>104360</v>
      </c>
      <c r="B10121" s="633" t="s">
        <v>41576</v>
      </c>
      <c r="C10121" s="715" t="s">
        <v>118</v>
      </c>
      <c r="D10121" s="716">
        <v>0</v>
      </c>
    </row>
    <row r="10122" spans="1:4" ht="56">
      <c r="A10122" s="715">
        <v>104358</v>
      </c>
      <c r="B10122" s="633" t="s">
        <v>41577</v>
      </c>
      <c r="C10122" s="715" t="s">
        <v>118</v>
      </c>
      <c r="D10122" s="716">
        <v>0</v>
      </c>
    </row>
    <row r="10123" spans="1:4" ht="56">
      <c r="A10123" s="715">
        <v>104362</v>
      </c>
      <c r="B10123" s="633" t="s">
        <v>41578</v>
      </c>
      <c r="C10123" s="715" t="s">
        <v>118</v>
      </c>
      <c r="D10123" s="716">
        <v>0</v>
      </c>
    </row>
    <row r="10124" spans="1:4" ht="56">
      <c r="A10124" s="715">
        <v>104361</v>
      </c>
      <c r="B10124" s="633" t="s">
        <v>41579</v>
      </c>
      <c r="C10124" s="715" t="s">
        <v>118</v>
      </c>
      <c r="D10124" s="716">
        <v>0</v>
      </c>
    </row>
    <row r="10125" spans="1:4" ht="56">
      <c r="A10125" s="715">
        <v>104359</v>
      </c>
      <c r="B10125" s="633" t="s">
        <v>41580</v>
      </c>
      <c r="C10125" s="715" t="s">
        <v>118</v>
      </c>
      <c r="D10125" s="716">
        <v>0</v>
      </c>
    </row>
    <row r="10126" spans="1:4" ht="28">
      <c r="A10126" s="715">
        <v>96395</v>
      </c>
      <c r="B10126" s="633" t="s">
        <v>41581</v>
      </c>
      <c r="C10126" s="715" t="s">
        <v>121</v>
      </c>
      <c r="D10126" s="716">
        <v>284.85000000000002</v>
      </c>
    </row>
    <row r="10127" spans="1:4" ht="28">
      <c r="A10127" s="715">
        <v>106102</v>
      </c>
      <c r="B10127" s="633" t="s">
        <v>41582</v>
      </c>
      <c r="C10127" s="715" t="s">
        <v>118</v>
      </c>
      <c r="D10127" s="716">
        <v>0</v>
      </c>
    </row>
    <row r="10128" spans="1:4" ht="28">
      <c r="A10128" s="715">
        <v>106103</v>
      </c>
      <c r="B10128" s="633" t="s">
        <v>41583</v>
      </c>
      <c r="C10128" s="715" t="s">
        <v>118</v>
      </c>
      <c r="D10128" s="716">
        <v>0</v>
      </c>
    </row>
    <row r="10129" spans="1:4" ht="28">
      <c r="A10129" s="715">
        <v>104373</v>
      </c>
      <c r="B10129" s="633" t="s">
        <v>41584</v>
      </c>
      <c r="C10129" s="715" t="s">
        <v>118</v>
      </c>
      <c r="D10129" s="716">
        <v>0</v>
      </c>
    </row>
    <row r="10130" spans="1:4" ht="28">
      <c r="A10130" s="715">
        <v>104374</v>
      </c>
      <c r="B10130" s="633" t="s">
        <v>41585</v>
      </c>
      <c r="C10130" s="715" t="s">
        <v>118</v>
      </c>
      <c r="D10130" s="716">
        <v>0</v>
      </c>
    </row>
    <row r="10131" spans="1:4" ht="28">
      <c r="A10131" s="715">
        <v>105529</v>
      </c>
      <c r="B10131" s="633" t="s">
        <v>41586</v>
      </c>
      <c r="C10131" s="715" t="s">
        <v>121</v>
      </c>
      <c r="D10131" s="716">
        <v>173.96</v>
      </c>
    </row>
    <row r="10132" spans="1:4" ht="28">
      <c r="A10132" s="715">
        <v>105530</v>
      </c>
      <c r="B10132" s="633" t="s">
        <v>41587</v>
      </c>
      <c r="C10132" s="715" t="s">
        <v>121</v>
      </c>
      <c r="D10132" s="716">
        <v>201.15</v>
      </c>
    </row>
    <row r="10133" spans="1:4" ht="28">
      <c r="A10133" s="715">
        <v>105531</v>
      </c>
      <c r="B10133" s="633" t="s">
        <v>41588</v>
      </c>
      <c r="C10133" s="715" t="s">
        <v>121</v>
      </c>
      <c r="D10133" s="716">
        <v>228.35</v>
      </c>
    </row>
    <row r="10134" spans="1:4" ht="28">
      <c r="A10134" s="715">
        <v>105527</v>
      </c>
      <c r="B10134" s="633" t="s">
        <v>41589</v>
      </c>
      <c r="C10134" s="715" t="s">
        <v>121</v>
      </c>
      <c r="D10134" s="716">
        <v>119.57</v>
      </c>
    </row>
    <row r="10135" spans="1:4" ht="28">
      <c r="A10135" s="715">
        <v>105532</v>
      </c>
      <c r="B10135" s="633" t="s">
        <v>41590</v>
      </c>
      <c r="C10135" s="715" t="s">
        <v>121</v>
      </c>
      <c r="D10135" s="716">
        <v>156.47</v>
      </c>
    </row>
    <row r="10136" spans="1:4" ht="28">
      <c r="A10136" s="715">
        <v>105533</v>
      </c>
      <c r="B10136" s="633" t="s">
        <v>41591</v>
      </c>
      <c r="C10136" s="715" t="s">
        <v>121</v>
      </c>
      <c r="D10136" s="716">
        <v>184.02</v>
      </c>
    </row>
    <row r="10137" spans="1:4" ht="28">
      <c r="A10137" s="715">
        <v>105534</v>
      </c>
      <c r="B10137" s="633" t="s">
        <v>41592</v>
      </c>
      <c r="C10137" s="715" t="s">
        <v>121</v>
      </c>
      <c r="D10137" s="716">
        <v>211.58</v>
      </c>
    </row>
    <row r="10138" spans="1:4" ht="28">
      <c r="A10138" s="715">
        <v>105528</v>
      </c>
      <c r="B10138" s="633" t="s">
        <v>41593</v>
      </c>
      <c r="C10138" s="715" t="s">
        <v>121</v>
      </c>
      <c r="D10138" s="716">
        <v>101.36</v>
      </c>
    </row>
    <row r="10139" spans="1:4" ht="28">
      <c r="A10139" s="715">
        <v>105523</v>
      </c>
      <c r="B10139" s="633" t="s">
        <v>41594</v>
      </c>
      <c r="C10139" s="715" t="s">
        <v>121</v>
      </c>
      <c r="D10139" s="716">
        <v>39.67</v>
      </c>
    </row>
    <row r="10140" spans="1:4" ht="28">
      <c r="A10140" s="715">
        <v>105759</v>
      </c>
      <c r="B10140" s="633" t="s">
        <v>41595</v>
      </c>
      <c r="C10140" s="715" t="s">
        <v>121</v>
      </c>
      <c r="D10140" s="716">
        <v>54.36</v>
      </c>
    </row>
    <row r="10141" spans="1:4" ht="28">
      <c r="A10141" s="715">
        <v>105524</v>
      </c>
      <c r="B10141" s="633" t="s">
        <v>41596</v>
      </c>
      <c r="C10141" s="715" t="s">
        <v>121</v>
      </c>
      <c r="D10141" s="716">
        <v>69.040000000000006</v>
      </c>
    </row>
    <row r="10142" spans="1:4" ht="28">
      <c r="A10142" s="715">
        <v>105525</v>
      </c>
      <c r="B10142" s="633" t="s">
        <v>41597</v>
      </c>
      <c r="C10142" s="715" t="s">
        <v>121</v>
      </c>
      <c r="D10142" s="716">
        <v>98.42</v>
      </c>
    </row>
    <row r="10143" spans="1:4" ht="28">
      <c r="A10143" s="715">
        <v>105526</v>
      </c>
      <c r="B10143" s="633" t="s">
        <v>41598</v>
      </c>
      <c r="C10143" s="715" t="s">
        <v>121</v>
      </c>
      <c r="D10143" s="716">
        <v>127.8</v>
      </c>
    </row>
    <row r="10144" spans="1:4" ht="42">
      <c r="A10144" s="715">
        <v>105034</v>
      </c>
      <c r="B10144" s="633" t="s">
        <v>28986</v>
      </c>
      <c r="C10144" s="715" t="s">
        <v>165</v>
      </c>
      <c r="D10144" s="716">
        <v>42.43</v>
      </c>
    </row>
    <row r="10145" spans="1:4" ht="42">
      <c r="A10145" s="715">
        <v>105033</v>
      </c>
      <c r="B10145" s="633" t="s">
        <v>28985</v>
      </c>
      <c r="C10145" s="715" t="s">
        <v>165</v>
      </c>
      <c r="D10145" s="716">
        <v>59.89</v>
      </c>
    </row>
    <row r="10146" spans="1:4" ht="42">
      <c r="A10146" s="715">
        <v>93205</v>
      </c>
      <c r="B10146" s="633" t="s">
        <v>28972</v>
      </c>
      <c r="C10146" s="715" t="s">
        <v>165</v>
      </c>
      <c r="D10146" s="716">
        <v>72.66</v>
      </c>
    </row>
    <row r="10147" spans="1:4" ht="42">
      <c r="A10147" s="715">
        <v>105032</v>
      </c>
      <c r="B10147" s="633" t="s">
        <v>28984</v>
      </c>
      <c r="C10147" s="715" t="s">
        <v>165</v>
      </c>
      <c r="D10147" s="716">
        <v>32.43</v>
      </c>
    </row>
    <row r="10148" spans="1:4" ht="42">
      <c r="A10148" s="715">
        <v>105031</v>
      </c>
      <c r="B10148" s="633" t="s">
        <v>28983</v>
      </c>
      <c r="C10148" s="715" t="s">
        <v>165</v>
      </c>
      <c r="D10148" s="716">
        <v>48.38</v>
      </c>
    </row>
    <row r="10149" spans="1:4" ht="42">
      <c r="A10149" s="715">
        <v>93199</v>
      </c>
      <c r="B10149" s="633" t="s">
        <v>28968</v>
      </c>
      <c r="C10149" s="715" t="s">
        <v>165</v>
      </c>
      <c r="D10149" s="716">
        <v>51.46</v>
      </c>
    </row>
    <row r="10150" spans="1:4" ht="28">
      <c r="A10150" s="715">
        <v>105030</v>
      </c>
      <c r="B10150" s="633" t="s">
        <v>28982</v>
      </c>
      <c r="C10150" s="715" t="s">
        <v>165</v>
      </c>
      <c r="D10150" s="716">
        <v>44.78</v>
      </c>
    </row>
    <row r="10151" spans="1:4" ht="28">
      <c r="A10151" s="715">
        <v>105029</v>
      </c>
      <c r="B10151" s="633" t="s">
        <v>28981</v>
      </c>
      <c r="C10151" s="715" t="s">
        <v>165</v>
      </c>
      <c r="D10151" s="716">
        <v>53.2</v>
      </c>
    </row>
    <row r="10152" spans="1:4" ht="28">
      <c r="A10152" s="715">
        <v>93197</v>
      </c>
      <c r="B10152" s="633" t="s">
        <v>28967</v>
      </c>
      <c r="C10152" s="715" t="s">
        <v>165</v>
      </c>
      <c r="D10152" s="716">
        <v>61.65</v>
      </c>
    </row>
    <row r="10153" spans="1:4" ht="28">
      <c r="A10153" s="715">
        <v>105040</v>
      </c>
      <c r="B10153" s="633" t="s">
        <v>28992</v>
      </c>
      <c r="C10153" s="715" t="s">
        <v>165</v>
      </c>
      <c r="D10153" s="716">
        <v>37.93</v>
      </c>
    </row>
    <row r="10154" spans="1:4" ht="28">
      <c r="A10154" s="715">
        <v>105039</v>
      </c>
      <c r="B10154" s="633" t="s">
        <v>28991</v>
      </c>
      <c r="C10154" s="715" t="s">
        <v>165</v>
      </c>
      <c r="D10154" s="716">
        <v>56.05</v>
      </c>
    </row>
    <row r="10155" spans="1:4" ht="28">
      <c r="A10155" s="715">
        <v>105038</v>
      </c>
      <c r="B10155" s="633" t="s">
        <v>28990</v>
      </c>
      <c r="C10155" s="715" t="s">
        <v>165</v>
      </c>
      <c r="D10155" s="716">
        <v>77.84</v>
      </c>
    </row>
    <row r="10156" spans="1:4" ht="28">
      <c r="A10156" s="715">
        <v>105028</v>
      </c>
      <c r="B10156" s="633" t="s">
        <v>28980</v>
      </c>
      <c r="C10156" s="715" t="s">
        <v>165</v>
      </c>
      <c r="D10156" s="716">
        <v>22.73</v>
      </c>
    </row>
    <row r="10157" spans="1:4" ht="28">
      <c r="A10157" s="715">
        <v>105027</v>
      </c>
      <c r="B10157" s="633" t="s">
        <v>28979</v>
      </c>
      <c r="C10157" s="715" t="s">
        <v>165</v>
      </c>
      <c r="D10157" s="716">
        <v>25.83</v>
      </c>
    </row>
    <row r="10158" spans="1:4" ht="28">
      <c r="A10158" s="715">
        <v>93194</v>
      </c>
      <c r="B10158" s="633" t="s">
        <v>28966</v>
      </c>
      <c r="C10158" s="715" t="s">
        <v>165</v>
      </c>
      <c r="D10158" s="716">
        <v>29.29</v>
      </c>
    </row>
    <row r="10159" spans="1:4" ht="42">
      <c r="A10159" s="715">
        <v>93200</v>
      </c>
      <c r="B10159" s="633" t="s">
        <v>28969</v>
      </c>
      <c r="C10159" s="715" t="s">
        <v>165</v>
      </c>
      <c r="D10159" s="716">
        <v>14.34</v>
      </c>
    </row>
    <row r="10160" spans="1:4" ht="42">
      <c r="A10160" s="715">
        <v>93203</v>
      </c>
      <c r="B10160" s="633" t="s">
        <v>28971</v>
      </c>
      <c r="C10160" s="715" t="s">
        <v>165</v>
      </c>
      <c r="D10160" s="716">
        <v>13.15</v>
      </c>
    </row>
    <row r="10161" spans="1:4" ht="28">
      <c r="A10161" s="715">
        <v>93202</v>
      </c>
      <c r="B10161" s="633" t="s">
        <v>28970</v>
      </c>
      <c r="C10161" s="715" t="s">
        <v>165</v>
      </c>
      <c r="D10161" s="716">
        <v>32.74</v>
      </c>
    </row>
    <row r="10162" spans="1:4" ht="42">
      <c r="A10162" s="715">
        <v>105026</v>
      </c>
      <c r="B10162" s="633" t="s">
        <v>28978</v>
      </c>
      <c r="C10162" s="715" t="s">
        <v>165</v>
      </c>
      <c r="D10162" s="716">
        <v>43.32</v>
      </c>
    </row>
    <row r="10163" spans="1:4" ht="42">
      <c r="A10163" s="715">
        <v>105025</v>
      </c>
      <c r="B10163" s="633" t="s">
        <v>28977</v>
      </c>
      <c r="C10163" s="715" t="s">
        <v>165</v>
      </c>
      <c r="D10163" s="716">
        <v>61.82</v>
      </c>
    </row>
    <row r="10164" spans="1:4" ht="42">
      <c r="A10164" s="715">
        <v>93191</v>
      </c>
      <c r="B10164" s="633" t="s">
        <v>28965</v>
      </c>
      <c r="C10164" s="715" t="s">
        <v>165</v>
      </c>
      <c r="D10164" s="716">
        <v>75.11</v>
      </c>
    </row>
    <row r="10165" spans="1:4" ht="28">
      <c r="A10165" s="715">
        <v>105024</v>
      </c>
      <c r="B10165" s="633" t="s">
        <v>28976</v>
      </c>
      <c r="C10165" s="715" t="s">
        <v>165</v>
      </c>
      <c r="D10165" s="716">
        <v>59.33</v>
      </c>
    </row>
    <row r="10166" spans="1:4" ht="28">
      <c r="A10166" s="715">
        <v>105023</v>
      </c>
      <c r="B10166" s="633" t="s">
        <v>28975</v>
      </c>
      <c r="C10166" s="715" t="s">
        <v>165</v>
      </c>
      <c r="D10166" s="716">
        <v>72.48</v>
      </c>
    </row>
    <row r="10167" spans="1:4" ht="28">
      <c r="A10167" s="715">
        <v>93187</v>
      </c>
      <c r="B10167" s="633" t="s">
        <v>28964</v>
      </c>
      <c r="C10167" s="715" t="s">
        <v>165</v>
      </c>
      <c r="D10167" s="716">
        <v>85.58</v>
      </c>
    </row>
    <row r="10168" spans="1:4" ht="28">
      <c r="A10168" s="715">
        <v>105037</v>
      </c>
      <c r="B10168" s="633" t="s">
        <v>28989</v>
      </c>
      <c r="C10168" s="715" t="s">
        <v>165</v>
      </c>
      <c r="D10168" s="716">
        <v>38.15</v>
      </c>
    </row>
    <row r="10169" spans="1:4" ht="28">
      <c r="A10169" s="715">
        <v>105036</v>
      </c>
      <c r="B10169" s="633" t="s">
        <v>28988</v>
      </c>
      <c r="C10169" s="715" t="s">
        <v>165</v>
      </c>
      <c r="D10169" s="716">
        <v>56.32</v>
      </c>
    </row>
    <row r="10170" spans="1:4" ht="28">
      <c r="A10170" s="715">
        <v>105035</v>
      </c>
      <c r="B10170" s="633" t="s">
        <v>28987</v>
      </c>
      <c r="C10170" s="715" t="s">
        <v>165</v>
      </c>
      <c r="D10170" s="716">
        <v>78.08</v>
      </c>
    </row>
    <row r="10171" spans="1:4" ht="28">
      <c r="A10171" s="715">
        <v>105022</v>
      </c>
      <c r="B10171" s="633" t="s">
        <v>28974</v>
      </c>
      <c r="C10171" s="715" t="s">
        <v>165</v>
      </c>
      <c r="D10171" s="716">
        <v>23.15</v>
      </c>
    </row>
    <row r="10172" spans="1:4" ht="28">
      <c r="A10172" s="715">
        <v>105021</v>
      </c>
      <c r="B10172" s="633" t="s">
        <v>28973</v>
      </c>
      <c r="C10172" s="715" t="s">
        <v>165</v>
      </c>
      <c r="D10172" s="716">
        <v>26.28</v>
      </c>
    </row>
    <row r="10173" spans="1:4" ht="28">
      <c r="A10173" s="715">
        <v>93184</v>
      </c>
      <c r="B10173" s="633" t="s">
        <v>28963</v>
      </c>
      <c r="C10173" s="715" t="s">
        <v>165</v>
      </c>
      <c r="D10173" s="716">
        <v>30.2</v>
      </c>
    </row>
    <row r="10174" spans="1:4" ht="42">
      <c r="A10174" s="715">
        <v>106317</v>
      </c>
      <c r="B10174" s="633" t="s">
        <v>44131</v>
      </c>
      <c r="C10174" s="715" t="s">
        <v>509</v>
      </c>
      <c r="D10174" s="716">
        <v>0</v>
      </c>
    </row>
    <row r="10175" spans="1:4" ht="42">
      <c r="A10175" s="715">
        <v>102237</v>
      </c>
      <c r="B10175" s="633" t="s">
        <v>44132</v>
      </c>
      <c r="C10175" s="715" t="s">
        <v>509</v>
      </c>
      <c r="D10175" s="716">
        <v>0</v>
      </c>
    </row>
    <row r="10176" spans="1:4" ht="56">
      <c r="A10176" s="715">
        <v>102149</v>
      </c>
      <c r="B10176" s="633" t="s">
        <v>44133</v>
      </c>
      <c r="C10176" s="715" t="s">
        <v>509</v>
      </c>
      <c r="D10176" s="716">
        <v>0</v>
      </c>
    </row>
    <row r="10177" spans="1:4" ht="56">
      <c r="A10177" s="715">
        <v>102144</v>
      </c>
      <c r="B10177" s="633" t="s">
        <v>44134</v>
      </c>
      <c r="C10177" s="715" t="s">
        <v>509</v>
      </c>
      <c r="D10177" s="716">
        <v>0</v>
      </c>
    </row>
    <row r="10178" spans="1:4" ht="56">
      <c r="A10178" s="715">
        <v>102150</v>
      </c>
      <c r="B10178" s="633" t="s">
        <v>44135</v>
      </c>
      <c r="C10178" s="715" t="s">
        <v>509</v>
      </c>
      <c r="D10178" s="716">
        <v>0</v>
      </c>
    </row>
    <row r="10179" spans="1:4" ht="56">
      <c r="A10179" s="715">
        <v>102145</v>
      </c>
      <c r="B10179" s="633" t="s">
        <v>44136</v>
      </c>
      <c r="C10179" s="715" t="s">
        <v>509</v>
      </c>
      <c r="D10179" s="716">
        <v>0</v>
      </c>
    </row>
    <row r="10180" spans="1:4" ht="42">
      <c r="A10180" s="715">
        <v>102146</v>
      </c>
      <c r="B10180" s="633" t="s">
        <v>44137</v>
      </c>
      <c r="C10180" s="715" t="s">
        <v>509</v>
      </c>
      <c r="D10180" s="716">
        <v>0</v>
      </c>
    </row>
    <row r="10181" spans="1:4" ht="28">
      <c r="A10181" s="715">
        <v>102147</v>
      </c>
      <c r="B10181" s="633" t="s">
        <v>44138</v>
      </c>
      <c r="C10181" s="715" t="s">
        <v>509</v>
      </c>
      <c r="D10181" s="716">
        <v>0</v>
      </c>
    </row>
    <row r="10182" spans="1:4" ht="42">
      <c r="A10182" s="715">
        <v>102148</v>
      </c>
      <c r="B10182" s="633" t="s">
        <v>44139</v>
      </c>
      <c r="C10182" s="715" t="s">
        <v>509</v>
      </c>
      <c r="D10182" s="716">
        <v>0</v>
      </c>
    </row>
    <row r="10183" spans="1:4" ht="42">
      <c r="A10183" s="715">
        <v>102171</v>
      </c>
      <c r="B10183" s="633" t="s">
        <v>44140</v>
      </c>
      <c r="C10183" s="715" t="s">
        <v>509</v>
      </c>
      <c r="D10183" s="716">
        <v>578.28</v>
      </c>
    </row>
    <row r="10184" spans="1:4" ht="42">
      <c r="A10184" s="715">
        <v>102172</v>
      </c>
      <c r="B10184" s="633" t="s">
        <v>44141</v>
      </c>
      <c r="C10184" s="715" t="s">
        <v>509</v>
      </c>
      <c r="D10184" s="716">
        <v>564.16999999999996</v>
      </c>
    </row>
    <row r="10185" spans="1:4" ht="42">
      <c r="A10185" s="715">
        <v>102170</v>
      </c>
      <c r="B10185" s="633" t="s">
        <v>44142</v>
      </c>
      <c r="C10185" s="715" t="s">
        <v>509</v>
      </c>
      <c r="D10185" s="716">
        <v>307.51</v>
      </c>
    </row>
    <row r="10186" spans="1:4" ht="42">
      <c r="A10186" s="715">
        <v>102160</v>
      </c>
      <c r="B10186" s="633" t="s">
        <v>44143</v>
      </c>
      <c r="C10186" s="715" t="s">
        <v>509</v>
      </c>
      <c r="D10186" s="716">
        <v>199.54</v>
      </c>
    </row>
    <row r="10187" spans="1:4" ht="28">
      <c r="A10187" s="715">
        <v>106315</v>
      </c>
      <c r="B10187" s="633" t="s">
        <v>44144</v>
      </c>
      <c r="C10187" s="715" t="s">
        <v>509</v>
      </c>
      <c r="D10187" s="716">
        <v>0</v>
      </c>
    </row>
    <row r="10188" spans="1:4" ht="28">
      <c r="A10188" s="715">
        <v>102174</v>
      </c>
      <c r="B10188" s="633" t="s">
        <v>44145</v>
      </c>
      <c r="C10188" s="715" t="s">
        <v>509</v>
      </c>
      <c r="D10188" s="716">
        <v>0</v>
      </c>
    </row>
    <row r="10189" spans="1:4" ht="28">
      <c r="A10189" s="715">
        <v>106316</v>
      </c>
      <c r="B10189" s="633" t="s">
        <v>44146</v>
      </c>
      <c r="C10189" s="715" t="s">
        <v>509</v>
      </c>
      <c r="D10189" s="716">
        <v>0</v>
      </c>
    </row>
    <row r="10190" spans="1:4" ht="28">
      <c r="A10190" s="715">
        <v>102175</v>
      </c>
      <c r="B10190" s="633" t="s">
        <v>44147</v>
      </c>
      <c r="C10190" s="715" t="s">
        <v>509</v>
      </c>
      <c r="D10190" s="716">
        <v>0</v>
      </c>
    </row>
    <row r="10191" spans="1:4" ht="28">
      <c r="A10191" s="715">
        <v>106314</v>
      </c>
      <c r="B10191" s="633" t="s">
        <v>44148</v>
      </c>
      <c r="C10191" s="715" t="s">
        <v>509</v>
      </c>
      <c r="D10191" s="716">
        <v>0</v>
      </c>
    </row>
    <row r="10192" spans="1:4" ht="28">
      <c r="A10192" s="715">
        <v>102173</v>
      </c>
      <c r="B10192" s="633" t="s">
        <v>44149</v>
      </c>
      <c r="C10192" s="715" t="s">
        <v>509</v>
      </c>
      <c r="D10192" s="716">
        <v>0</v>
      </c>
    </row>
    <row r="10193" spans="1:4" ht="42">
      <c r="A10193" s="715">
        <v>102163</v>
      </c>
      <c r="B10193" s="633" t="s">
        <v>44150</v>
      </c>
      <c r="C10193" s="715" t="s">
        <v>509</v>
      </c>
      <c r="D10193" s="716">
        <v>397.51</v>
      </c>
    </row>
    <row r="10194" spans="1:4" ht="42">
      <c r="A10194" s="715">
        <v>102153</v>
      </c>
      <c r="B10194" s="633" t="s">
        <v>44151</v>
      </c>
      <c r="C10194" s="715" t="s">
        <v>509</v>
      </c>
      <c r="D10194" s="716">
        <v>289.54000000000002</v>
      </c>
    </row>
    <row r="10195" spans="1:4" ht="42">
      <c r="A10195" s="715">
        <v>102165</v>
      </c>
      <c r="B10195" s="633" t="s">
        <v>44152</v>
      </c>
      <c r="C10195" s="715" t="s">
        <v>509</v>
      </c>
      <c r="D10195" s="716">
        <v>387.35</v>
      </c>
    </row>
    <row r="10196" spans="1:4" ht="42">
      <c r="A10196" s="715">
        <v>102155</v>
      </c>
      <c r="B10196" s="633" t="s">
        <v>44153</v>
      </c>
      <c r="C10196" s="715" t="s">
        <v>509</v>
      </c>
      <c r="D10196" s="716">
        <v>298.89</v>
      </c>
    </row>
    <row r="10197" spans="1:4" ht="42">
      <c r="A10197" s="715">
        <v>102167</v>
      </c>
      <c r="B10197" s="633" t="s">
        <v>44154</v>
      </c>
      <c r="C10197" s="715" t="s">
        <v>509</v>
      </c>
      <c r="D10197" s="716">
        <v>459.18</v>
      </c>
    </row>
    <row r="10198" spans="1:4" ht="42">
      <c r="A10198" s="715">
        <v>102157</v>
      </c>
      <c r="B10198" s="633" t="s">
        <v>44155</v>
      </c>
      <c r="C10198" s="715" t="s">
        <v>509</v>
      </c>
      <c r="D10198" s="716">
        <v>390.53</v>
      </c>
    </row>
    <row r="10199" spans="1:4" ht="42">
      <c r="A10199" s="715">
        <v>102169</v>
      </c>
      <c r="B10199" s="633" t="s">
        <v>44156</v>
      </c>
      <c r="C10199" s="715" t="s">
        <v>509</v>
      </c>
      <c r="D10199" s="716">
        <v>514.09</v>
      </c>
    </row>
    <row r="10200" spans="1:4" ht="42">
      <c r="A10200" s="715">
        <v>102159</v>
      </c>
      <c r="B10200" s="633" t="s">
        <v>44157</v>
      </c>
      <c r="C10200" s="715" t="s">
        <v>509</v>
      </c>
      <c r="D10200" s="716">
        <v>469.83</v>
      </c>
    </row>
    <row r="10201" spans="1:4" ht="42">
      <c r="A10201" s="715">
        <v>102161</v>
      </c>
      <c r="B10201" s="633" t="s">
        <v>44158</v>
      </c>
      <c r="C10201" s="715" t="s">
        <v>509</v>
      </c>
      <c r="D10201" s="716">
        <v>315.02</v>
      </c>
    </row>
    <row r="10202" spans="1:4" ht="42">
      <c r="A10202" s="715">
        <v>102151</v>
      </c>
      <c r="B10202" s="633" t="s">
        <v>44159</v>
      </c>
      <c r="C10202" s="715" t="s">
        <v>509</v>
      </c>
      <c r="D10202" s="716">
        <v>207.05</v>
      </c>
    </row>
    <row r="10203" spans="1:4" ht="42">
      <c r="A10203" s="715">
        <v>102162</v>
      </c>
      <c r="B10203" s="633" t="s">
        <v>44160</v>
      </c>
      <c r="C10203" s="715" t="s">
        <v>509</v>
      </c>
      <c r="D10203" s="716">
        <v>337.52</v>
      </c>
    </row>
    <row r="10204" spans="1:4" ht="42">
      <c r="A10204" s="715">
        <v>102152</v>
      </c>
      <c r="B10204" s="633" t="s">
        <v>44161</v>
      </c>
      <c r="C10204" s="715" t="s">
        <v>509</v>
      </c>
      <c r="D10204" s="716">
        <v>229.55</v>
      </c>
    </row>
    <row r="10205" spans="1:4" ht="42">
      <c r="A10205" s="715">
        <v>102164</v>
      </c>
      <c r="B10205" s="633" t="s">
        <v>44162</v>
      </c>
      <c r="C10205" s="715" t="s">
        <v>509</v>
      </c>
      <c r="D10205" s="716">
        <v>338.28</v>
      </c>
    </row>
    <row r="10206" spans="1:4" ht="42">
      <c r="A10206" s="715">
        <v>102154</v>
      </c>
      <c r="B10206" s="633" t="s">
        <v>44163</v>
      </c>
      <c r="C10206" s="715" t="s">
        <v>509</v>
      </c>
      <c r="D10206" s="716">
        <v>249.82</v>
      </c>
    </row>
    <row r="10207" spans="1:4" ht="42">
      <c r="A10207" s="715">
        <v>102166</v>
      </c>
      <c r="B10207" s="633" t="s">
        <v>44164</v>
      </c>
      <c r="C10207" s="715" t="s">
        <v>509</v>
      </c>
      <c r="D10207" s="716">
        <v>354.18</v>
      </c>
    </row>
    <row r="10208" spans="1:4" ht="42">
      <c r="A10208" s="715">
        <v>102156</v>
      </c>
      <c r="B10208" s="633" t="s">
        <v>44165</v>
      </c>
      <c r="C10208" s="715" t="s">
        <v>509</v>
      </c>
      <c r="D10208" s="716">
        <v>285.52999999999997</v>
      </c>
    </row>
    <row r="10209" spans="1:4" ht="42">
      <c r="A10209" s="715">
        <v>102168</v>
      </c>
      <c r="B10209" s="633" t="s">
        <v>44166</v>
      </c>
      <c r="C10209" s="715" t="s">
        <v>509</v>
      </c>
      <c r="D10209" s="716">
        <v>445.52</v>
      </c>
    </row>
    <row r="10210" spans="1:4" ht="42">
      <c r="A10210" s="715">
        <v>102158</v>
      </c>
      <c r="B10210" s="633" t="s">
        <v>44167</v>
      </c>
      <c r="C10210" s="715" t="s">
        <v>509</v>
      </c>
      <c r="D10210" s="716">
        <v>394.66</v>
      </c>
    </row>
    <row r="10211" spans="1:4" ht="28">
      <c r="A10211" s="715">
        <v>102181</v>
      </c>
      <c r="B10211" s="633" t="s">
        <v>44168</v>
      </c>
      <c r="C10211" s="715" t="s">
        <v>509</v>
      </c>
      <c r="D10211" s="716">
        <v>572.57000000000005</v>
      </c>
    </row>
    <row r="10212" spans="1:4" ht="28">
      <c r="A10212" s="715">
        <v>102179</v>
      </c>
      <c r="B10212" s="633" t="s">
        <v>44169</v>
      </c>
      <c r="C10212" s="715" t="s">
        <v>509</v>
      </c>
      <c r="D10212" s="716">
        <v>405.43</v>
      </c>
    </row>
    <row r="10213" spans="1:4" ht="28">
      <c r="A10213" s="715">
        <v>102180</v>
      </c>
      <c r="B10213" s="633" t="s">
        <v>44170</v>
      </c>
      <c r="C10213" s="715" t="s">
        <v>509</v>
      </c>
      <c r="D10213" s="716">
        <v>477.09</v>
      </c>
    </row>
    <row r="10214" spans="1:4" ht="70">
      <c r="A10214" s="715">
        <v>102189</v>
      </c>
      <c r="B10214" s="633" t="s">
        <v>44171</v>
      </c>
      <c r="C10214" s="715" t="s">
        <v>103</v>
      </c>
      <c r="D10214" s="716">
        <v>291.37</v>
      </c>
    </row>
    <row r="10215" spans="1:4" ht="28">
      <c r="A10215" s="715">
        <v>102188</v>
      </c>
      <c r="B10215" s="633" t="s">
        <v>44172</v>
      </c>
      <c r="C10215" s="715" t="s">
        <v>103</v>
      </c>
      <c r="D10215" s="716">
        <v>1102.43</v>
      </c>
    </row>
    <row r="10216" spans="1:4" ht="42">
      <c r="A10216" s="715">
        <v>106320</v>
      </c>
      <c r="B10216" s="633" t="s">
        <v>44173</v>
      </c>
      <c r="C10216" s="715" t="s">
        <v>103</v>
      </c>
      <c r="D10216" s="716">
        <v>2633.16</v>
      </c>
    </row>
    <row r="10217" spans="1:4" ht="42">
      <c r="A10217" s="715">
        <v>102185</v>
      </c>
      <c r="B10217" s="633" t="s">
        <v>44174</v>
      </c>
      <c r="C10217" s="715" t="s">
        <v>103</v>
      </c>
      <c r="D10217" s="716">
        <v>4624.1099999999997</v>
      </c>
    </row>
    <row r="10218" spans="1:4" ht="42">
      <c r="A10218" s="715">
        <v>106318</v>
      </c>
      <c r="B10218" s="633" t="s">
        <v>44175</v>
      </c>
      <c r="C10218" s="715" t="s">
        <v>103</v>
      </c>
      <c r="D10218" s="716">
        <v>2085.77</v>
      </c>
    </row>
    <row r="10219" spans="1:4" ht="42">
      <c r="A10219" s="715">
        <v>106319</v>
      </c>
      <c r="B10219" s="633" t="s">
        <v>44176</v>
      </c>
      <c r="C10219" s="715" t="s">
        <v>103</v>
      </c>
      <c r="D10219" s="716">
        <v>2195.25</v>
      </c>
    </row>
    <row r="10220" spans="1:4" ht="42">
      <c r="A10220" s="715">
        <v>102184</v>
      </c>
      <c r="B10220" s="633" t="s">
        <v>44177</v>
      </c>
      <c r="C10220" s="715" t="s">
        <v>103</v>
      </c>
      <c r="D10220" s="716">
        <v>2304.7199999999998</v>
      </c>
    </row>
    <row r="10221" spans="1:4" ht="42">
      <c r="A10221" s="715">
        <v>102187</v>
      </c>
      <c r="B10221" s="633" t="s">
        <v>44178</v>
      </c>
      <c r="C10221" s="715" t="s">
        <v>103</v>
      </c>
      <c r="D10221" s="716">
        <v>0</v>
      </c>
    </row>
    <row r="10222" spans="1:4" ht="42">
      <c r="A10222" s="715">
        <v>102186</v>
      </c>
      <c r="B10222" s="633" t="s">
        <v>44179</v>
      </c>
      <c r="C10222" s="715" t="s">
        <v>103</v>
      </c>
      <c r="D10222" s="716">
        <v>0</v>
      </c>
    </row>
    <row r="10223" spans="1:4" ht="42">
      <c r="A10223" s="715">
        <v>102183</v>
      </c>
      <c r="B10223" s="633" t="s">
        <v>44180</v>
      </c>
      <c r="C10223" s="715" t="s">
        <v>103</v>
      </c>
      <c r="D10223" s="716">
        <v>2288.46</v>
      </c>
    </row>
    <row r="10224" spans="1:4" ht="42">
      <c r="A10224" s="715">
        <v>102182</v>
      </c>
      <c r="B10224" s="633" t="s">
        <v>44181</v>
      </c>
      <c r="C10224" s="715" t="s">
        <v>103</v>
      </c>
      <c r="D10224" s="716">
        <v>1229.67</v>
      </c>
    </row>
    <row r="10225" spans="1:4" ht="28">
      <c r="A10225" s="715">
        <v>102191</v>
      </c>
      <c r="B10225" s="633" t="s">
        <v>44182</v>
      </c>
      <c r="C10225" s="715" t="s">
        <v>509</v>
      </c>
      <c r="D10225" s="716">
        <v>24.51</v>
      </c>
    </row>
    <row r="10226" spans="1:4" ht="28">
      <c r="A10226" s="715">
        <v>102190</v>
      </c>
      <c r="B10226" s="633" t="s">
        <v>44183</v>
      </c>
      <c r="C10226" s="715" t="s">
        <v>509</v>
      </c>
      <c r="D10226" s="716">
        <v>22.63</v>
      </c>
    </row>
    <row r="10227" spans="1:4" ht="28">
      <c r="A10227" s="715">
        <v>102192</v>
      </c>
      <c r="B10227" s="633" t="s">
        <v>44184</v>
      </c>
      <c r="C10227" s="715" t="s">
        <v>509</v>
      </c>
      <c r="D10227" s="716">
        <v>21.64</v>
      </c>
    </row>
    <row r="10228" spans="1:4" ht="42">
      <c r="A10228" s="715">
        <v>89354</v>
      </c>
      <c r="B10228" s="633" t="s">
        <v>26735</v>
      </c>
      <c r="C10228" s="715" t="s">
        <v>103</v>
      </c>
      <c r="D10228" s="716">
        <v>501.09</v>
      </c>
    </row>
    <row r="10229" spans="1:4" ht="42">
      <c r="A10229" s="715">
        <v>103041</v>
      </c>
      <c r="B10229" s="633" t="s">
        <v>26796</v>
      </c>
      <c r="C10229" s="715" t="s">
        <v>103</v>
      </c>
      <c r="D10229" s="716">
        <v>22.31</v>
      </c>
    </row>
    <row r="10230" spans="1:4" ht="42">
      <c r="A10230" s="715">
        <v>103042</v>
      </c>
      <c r="B10230" s="633" t="s">
        <v>26797</v>
      </c>
      <c r="C10230" s="715" t="s">
        <v>103</v>
      </c>
      <c r="D10230" s="716">
        <v>28.12</v>
      </c>
    </row>
    <row r="10231" spans="1:4" ht="42">
      <c r="A10231" s="715">
        <v>103043</v>
      </c>
      <c r="B10231" s="633" t="s">
        <v>26798</v>
      </c>
      <c r="C10231" s="715" t="s">
        <v>103</v>
      </c>
      <c r="D10231" s="716">
        <v>25.49</v>
      </c>
    </row>
    <row r="10232" spans="1:4" ht="42">
      <c r="A10232" s="715">
        <v>103044</v>
      </c>
      <c r="B10232" s="633" t="s">
        <v>26799</v>
      </c>
      <c r="C10232" s="715" t="s">
        <v>103</v>
      </c>
      <c r="D10232" s="716">
        <v>34.72</v>
      </c>
    </row>
    <row r="10233" spans="1:4" ht="42">
      <c r="A10233" s="715">
        <v>103039</v>
      </c>
      <c r="B10233" s="633" t="s">
        <v>26794</v>
      </c>
      <c r="C10233" s="715" t="s">
        <v>103</v>
      </c>
      <c r="D10233" s="716">
        <v>77.22</v>
      </c>
    </row>
    <row r="10234" spans="1:4" ht="42">
      <c r="A10234" s="715">
        <v>103038</v>
      </c>
      <c r="B10234" s="633" t="s">
        <v>26793</v>
      </c>
      <c r="C10234" s="715" t="s">
        <v>103</v>
      </c>
      <c r="D10234" s="716">
        <v>69.959999999999994</v>
      </c>
    </row>
    <row r="10235" spans="1:4" ht="42">
      <c r="A10235" s="715">
        <v>103037</v>
      </c>
      <c r="B10235" s="633" t="s">
        <v>26792</v>
      </c>
      <c r="C10235" s="715" t="s">
        <v>103</v>
      </c>
      <c r="D10235" s="716">
        <v>52.18</v>
      </c>
    </row>
    <row r="10236" spans="1:4" ht="42">
      <c r="A10236" s="715">
        <v>103036</v>
      </c>
      <c r="B10236" s="633" t="s">
        <v>26791</v>
      </c>
      <c r="C10236" s="715" t="s">
        <v>103</v>
      </c>
      <c r="D10236" s="716">
        <v>26.41</v>
      </c>
    </row>
    <row r="10237" spans="1:4" ht="42">
      <c r="A10237" s="715">
        <v>103040</v>
      </c>
      <c r="B10237" s="633" t="s">
        <v>26795</v>
      </c>
      <c r="C10237" s="715" t="s">
        <v>103</v>
      </c>
      <c r="D10237" s="716">
        <v>113.48</v>
      </c>
    </row>
    <row r="10238" spans="1:4" ht="42">
      <c r="A10238" s="715">
        <v>90371</v>
      </c>
      <c r="B10238" s="633" t="s">
        <v>26740</v>
      </c>
      <c r="C10238" s="715" t="s">
        <v>103</v>
      </c>
      <c r="D10238" s="716">
        <v>33.42</v>
      </c>
    </row>
    <row r="10239" spans="1:4" ht="42">
      <c r="A10239" s="715">
        <v>103047</v>
      </c>
      <c r="B10239" s="633" t="s">
        <v>40821</v>
      </c>
      <c r="C10239" s="715" t="s">
        <v>103</v>
      </c>
      <c r="D10239" s="716">
        <v>27.15</v>
      </c>
    </row>
    <row r="10240" spans="1:4" ht="42">
      <c r="A10240" s="715">
        <v>94489</v>
      </c>
      <c r="B10240" s="633" t="s">
        <v>40822</v>
      </c>
      <c r="C10240" s="715" t="s">
        <v>103</v>
      </c>
      <c r="D10240" s="716">
        <v>32.75</v>
      </c>
    </row>
    <row r="10241" spans="1:4" ht="42">
      <c r="A10241" s="715">
        <v>94490</v>
      </c>
      <c r="B10241" s="633" t="s">
        <v>40823</v>
      </c>
      <c r="C10241" s="715" t="s">
        <v>103</v>
      </c>
      <c r="D10241" s="716">
        <v>47.77</v>
      </c>
    </row>
    <row r="10242" spans="1:4" ht="42">
      <c r="A10242" s="715">
        <v>94491</v>
      </c>
      <c r="B10242" s="633" t="s">
        <v>40824</v>
      </c>
      <c r="C10242" s="715" t="s">
        <v>103</v>
      </c>
      <c r="D10242" s="716">
        <v>65.08</v>
      </c>
    </row>
    <row r="10243" spans="1:4" ht="42">
      <c r="A10243" s="715">
        <v>94492</v>
      </c>
      <c r="B10243" s="633" t="s">
        <v>40825</v>
      </c>
      <c r="C10243" s="715" t="s">
        <v>103</v>
      </c>
      <c r="D10243" s="716">
        <v>66.86</v>
      </c>
    </row>
    <row r="10244" spans="1:4" ht="42">
      <c r="A10244" s="715">
        <v>94493</v>
      </c>
      <c r="B10244" s="633" t="s">
        <v>40826</v>
      </c>
      <c r="C10244" s="715" t="s">
        <v>103</v>
      </c>
      <c r="D10244" s="716">
        <v>121.71</v>
      </c>
    </row>
    <row r="10245" spans="1:4" ht="28">
      <c r="A10245" s="715">
        <v>94497</v>
      </c>
      <c r="B10245" s="633" t="s">
        <v>26743</v>
      </c>
      <c r="C10245" s="715" t="s">
        <v>103</v>
      </c>
      <c r="D10245" s="716">
        <v>101.83</v>
      </c>
    </row>
    <row r="10246" spans="1:4" ht="42">
      <c r="A10246" s="715">
        <v>94794</v>
      </c>
      <c r="B10246" s="633" t="s">
        <v>26750</v>
      </c>
      <c r="C10246" s="715" t="s">
        <v>103</v>
      </c>
      <c r="D10246" s="716">
        <v>159.22999999999999</v>
      </c>
    </row>
    <row r="10247" spans="1:4" ht="28">
      <c r="A10247" s="715">
        <v>94496</v>
      </c>
      <c r="B10247" s="633" t="s">
        <v>26742</v>
      </c>
      <c r="C10247" s="715" t="s">
        <v>103</v>
      </c>
      <c r="D10247" s="716">
        <v>80.209999999999994</v>
      </c>
    </row>
    <row r="10248" spans="1:4" ht="42">
      <c r="A10248" s="715">
        <v>94793</v>
      </c>
      <c r="B10248" s="633" t="s">
        <v>26749</v>
      </c>
      <c r="C10248" s="715" t="s">
        <v>103</v>
      </c>
      <c r="D10248" s="716">
        <v>148.94</v>
      </c>
    </row>
    <row r="10249" spans="1:4" ht="28">
      <c r="A10249" s="715">
        <v>94495</v>
      </c>
      <c r="B10249" s="633" t="s">
        <v>26741</v>
      </c>
      <c r="C10249" s="715" t="s">
        <v>103</v>
      </c>
      <c r="D10249" s="716">
        <v>58.87</v>
      </c>
    </row>
    <row r="10250" spans="1:4" ht="42">
      <c r="A10250" s="715">
        <v>94792</v>
      </c>
      <c r="B10250" s="633" t="s">
        <v>26748</v>
      </c>
      <c r="C10250" s="715" t="s">
        <v>103</v>
      </c>
      <c r="D10250" s="716">
        <v>109.64</v>
      </c>
    </row>
    <row r="10251" spans="1:4" ht="28">
      <c r="A10251" s="715">
        <v>89352</v>
      </c>
      <c r="B10251" s="633" t="s">
        <v>26733</v>
      </c>
      <c r="C10251" s="715" t="s">
        <v>103</v>
      </c>
      <c r="D10251" s="716">
        <v>34.1</v>
      </c>
    </row>
    <row r="10252" spans="1:4" ht="42">
      <c r="A10252" s="715">
        <v>89986</v>
      </c>
      <c r="B10252" s="633" t="s">
        <v>26738</v>
      </c>
      <c r="C10252" s="715" t="s">
        <v>103</v>
      </c>
      <c r="D10252" s="716">
        <v>79.010000000000005</v>
      </c>
    </row>
    <row r="10253" spans="1:4" ht="28">
      <c r="A10253" s="715">
        <v>94499</v>
      </c>
      <c r="B10253" s="633" t="s">
        <v>26745</v>
      </c>
      <c r="C10253" s="715" t="s">
        <v>103</v>
      </c>
      <c r="D10253" s="716">
        <v>271.39</v>
      </c>
    </row>
    <row r="10254" spans="1:4" ht="28">
      <c r="A10254" s="715">
        <v>94498</v>
      </c>
      <c r="B10254" s="633" t="s">
        <v>26744</v>
      </c>
      <c r="C10254" s="715" t="s">
        <v>103</v>
      </c>
      <c r="D10254" s="716">
        <v>139.83000000000001</v>
      </c>
    </row>
    <row r="10255" spans="1:4" ht="28">
      <c r="A10255" s="715">
        <v>94500</v>
      </c>
      <c r="B10255" s="633" t="s">
        <v>26746</v>
      </c>
      <c r="C10255" s="715" t="s">
        <v>103</v>
      </c>
      <c r="D10255" s="716">
        <v>329.95</v>
      </c>
    </row>
    <row r="10256" spans="1:4" ht="28">
      <c r="A10256" s="715">
        <v>89353</v>
      </c>
      <c r="B10256" s="633" t="s">
        <v>26734</v>
      </c>
      <c r="C10256" s="715" t="s">
        <v>103</v>
      </c>
      <c r="D10256" s="716">
        <v>38.51</v>
      </c>
    </row>
    <row r="10257" spans="1:4" ht="42">
      <c r="A10257" s="715">
        <v>89987</v>
      </c>
      <c r="B10257" s="633" t="s">
        <v>26739</v>
      </c>
      <c r="C10257" s="715" t="s">
        <v>103</v>
      </c>
      <c r="D10257" s="716">
        <v>90.24</v>
      </c>
    </row>
    <row r="10258" spans="1:4" ht="28">
      <c r="A10258" s="715">
        <v>94501</v>
      </c>
      <c r="B10258" s="633" t="s">
        <v>26747</v>
      </c>
      <c r="C10258" s="715" t="s">
        <v>103</v>
      </c>
      <c r="D10258" s="716">
        <v>653.08000000000004</v>
      </c>
    </row>
    <row r="10259" spans="1:4" ht="28">
      <c r="A10259" s="715">
        <v>89349</v>
      </c>
      <c r="B10259" s="633" t="s">
        <v>26732</v>
      </c>
      <c r="C10259" s="715" t="s">
        <v>103</v>
      </c>
      <c r="D10259" s="716">
        <v>25.73</v>
      </c>
    </row>
    <row r="10260" spans="1:4" ht="42">
      <c r="A10260" s="715">
        <v>89984</v>
      </c>
      <c r="B10260" s="633" t="s">
        <v>26736</v>
      </c>
      <c r="C10260" s="715" t="s">
        <v>103</v>
      </c>
      <c r="D10260" s="716">
        <v>80.930000000000007</v>
      </c>
    </row>
    <row r="10261" spans="1:4" ht="42">
      <c r="A10261" s="715">
        <v>89985</v>
      </c>
      <c r="B10261" s="633" t="s">
        <v>26737</v>
      </c>
      <c r="C10261" s="715" t="s">
        <v>103</v>
      </c>
      <c r="D10261" s="716">
        <v>86.04</v>
      </c>
    </row>
    <row r="10262" spans="1:4" ht="28">
      <c r="A10262" s="715">
        <v>89351</v>
      </c>
      <c r="B10262" s="633" t="s">
        <v>40827</v>
      </c>
      <c r="C10262" s="715" t="s">
        <v>103</v>
      </c>
      <c r="D10262" s="716">
        <v>32.520000000000003</v>
      </c>
    </row>
    <row r="10263" spans="1:4" ht="42">
      <c r="A10263" s="715">
        <v>103045</v>
      </c>
      <c r="B10263" s="633" t="s">
        <v>26800</v>
      </c>
      <c r="C10263" s="715" t="s">
        <v>103</v>
      </c>
      <c r="D10263" s="716">
        <v>11.89</v>
      </c>
    </row>
    <row r="10264" spans="1:4" ht="42">
      <c r="A10264" s="715">
        <v>103046</v>
      </c>
      <c r="B10264" s="633" t="s">
        <v>26801</v>
      </c>
      <c r="C10264" s="715" t="s">
        <v>103</v>
      </c>
      <c r="D10264" s="716">
        <v>26.79</v>
      </c>
    </row>
    <row r="10265" spans="1:4" ht="42">
      <c r="A10265" s="715">
        <v>103048</v>
      </c>
      <c r="B10265" s="633" t="s">
        <v>40828</v>
      </c>
      <c r="C10265" s="715" t="s">
        <v>103</v>
      </c>
      <c r="D10265" s="716">
        <v>20.85</v>
      </c>
    </row>
    <row r="10266" spans="1:4" ht="42">
      <c r="A10266" s="715">
        <v>103049</v>
      </c>
      <c r="B10266" s="633" t="s">
        <v>40829</v>
      </c>
      <c r="C10266" s="715" t="s">
        <v>103</v>
      </c>
      <c r="D10266" s="716">
        <v>22.25</v>
      </c>
    </row>
    <row r="10267" spans="1:4" ht="28">
      <c r="A10267" s="715">
        <v>103029</v>
      </c>
      <c r="B10267" s="633" t="s">
        <v>26790</v>
      </c>
      <c r="C10267" s="715" t="s">
        <v>103</v>
      </c>
      <c r="D10267" s="716">
        <v>43.51</v>
      </c>
    </row>
    <row r="10268" spans="1:4" ht="56">
      <c r="A10268" s="715">
        <v>103019</v>
      </c>
      <c r="B10268" s="633" t="s">
        <v>26789</v>
      </c>
      <c r="C10268" s="715" t="s">
        <v>103</v>
      </c>
      <c r="D10268" s="716">
        <v>380.74</v>
      </c>
    </row>
    <row r="10269" spans="1:4" ht="28">
      <c r="A10269" s="715">
        <v>103050</v>
      </c>
      <c r="B10269" s="633" t="s">
        <v>40830</v>
      </c>
      <c r="C10269" s="715" t="s">
        <v>103</v>
      </c>
      <c r="D10269" s="716">
        <v>34.22</v>
      </c>
    </row>
    <row r="10270" spans="1:4" ht="28">
      <c r="A10270" s="715">
        <v>103051</v>
      </c>
      <c r="B10270" s="633" t="s">
        <v>40831</v>
      </c>
      <c r="C10270" s="715" t="s">
        <v>103</v>
      </c>
      <c r="D10270" s="716">
        <v>41.34</v>
      </c>
    </row>
    <row r="10271" spans="1:4" ht="28">
      <c r="A10271" s="715">
        <v>103052</v>
      </c>
      <c r="B10271" s="633" t="s">
        <v>40832</v>
      </c>
      <c r="C10271" s="715" t="s">
        <v>103</v>
      </c>
      <c r="D10271" s="716">
        <v>54.8</v>
      </c>
    </row>
    <row r="10272" spans="1:4" ht="28">
      <c r="A10272" s="715">
        <v>94799</v>
      </c>
      <c r="B10272" s="633" t="s">
        <v>26755</v>
      </c>
      <c r="C10272" s="715" t="s">
        <v>103</v>
      </c>
      <c r="D10272" s="716">
        <v>264.29000000000002</v>
      </c>
    </row>
    <row r="10273" spans="1:4" ht="28">
      <c r="A10273" s="715">
        <v>94798</v>
      </c>
      <c r="B10273" s="633" t="s">
        <v>26754</v>
      </c>
      <c r="C10273" s="715" t="s">
        <v>103</v>
      </c>
      <c r="D10273" s="716">
        <v>215.09</v>
      </c>
    </row>
    <row r="10274" spans="1:4" ht="28">
      <c r="A10274" s="715">
        <v>94797</v>
      </c>
      <c r="B10274" s="633" t="s">
        <v>26753</v>
      </c>
      <c r="C10274" s="715" t="s">
        <v>103</v>
      </c>
      <c r="D10274" s="716">
        <v>130.07</v>
      </c>
    </row>
    <row r="10275" spans="1:4" ht="28">
      <c r="A10275" s="715">
        <v>94795</v>
      </c>
      <c r="B10275" s="633" t="s">
        <v>26751</v>
      </c>
      <c r="C10275" s="715" t="s">
        <v>103</v>
      </c>
      <c r="D10275" s="716">
        <v>54.92</v>
      </c>
    </row>
    <row r="10276" spans="1:4" ht="28">
      <c r="A10276" s="715">
        <v>94800</v>
      </c>
      <c r="B10276" s="633" t="s">
        <v>26756</v>
      </c>
      <c r="C10276" s="715" t="s">
        <v>103</v>
      </c>
      <c r="D10276" s="716">
        <v>339.36</v>
      </c>
    </row>
    <row r="10277" spans="1:4" ht="28">
      <c r="A10277" s="715">
        <v>94796</v>
      </c>
      <c r="B10277" s="633" t="s">
        <v>26752</v>
      </c>
      <c r="C10277" s="715" t="s">
        <v>103</v>
      </c>
      <c r="D10277" s="716">
        <v>63.44</v>
      </c>
    </row>
    <row r="10278" spans="1:4" ht="42">
      <c r="A10278" s="715">
        <v>99635</v>
      </c>
      <c r="B10278" s="633" t="s">
        <v>26777</v>
      </c>
      <c r="C10278" s="715" t="s">
        <v>103</v>
      </c>
      <c r="D10278" s="716">
        <v>426.97</v>
      </c>
    </row>
    <row r="10279" spans="1:4" ht="42">
      <c r="A10279" s="715">
        <v>103018</v>
      </c>
      <c r="B10279" s="633" t="s">
        <v>26788</v>
      </c>
      <c r="C10279" s="715" t="s">
        <v>103</v>
      </c>
      <c r="D10279" s="716">
        <v>349.8</v>
      </c>
    </row>
    <row r="10280" spans="1:4" ht="28">
      <c r="A10280" s="715">
        <v>95252</v>
      </c>
      <c r="B10280" s="633" t="s">
        <v>26761</v>
      </c>
      <c r="C10280" s="715" t="s">
        <v>103</v>
      </c>
      <c r="D10280" s="716">
        <v>140.04</v>
      </c>
    </row>
    <row r="10281" spans="1:4" ht="28">
      <c r="A10281" s="715">
        <v>95251</v>
      </c>
      <c r="B10281" s="633" t="s">
        <v>26760</v>
      </c>
      <c r="C10281" s="715" t="s">
        <v>103</v>
      </c>
      <c r="D10281" s="716">
        <v>115.03</v>
      </c>
    </row>
    <row r="10282" spans="1:4" ht="28">
      <c r="A10282" s="715">
        <v>95250</v>
      </c>
      <c r="B10282" s="633" t="s">
        <v>26759</v>
      </c>
      <c r="C10282" s="715" t="s">
        <v>103</v>
      </c>
      <c r="D10282" s="716">
        <v>78.14</v>
      </c>
    </row>
    <row r="10283" spans="1:4" ht="28">
      <c r="A10283" s="715">
        <v>95248</v>
      </c>
      <c r="B10283" s="633" t="s">
        <v>26757</v>
      </c>
      <c r="C10283" s="715" t="s">
        <v>103</v>
      </c>
      <c r="D10283" s="716">
        <v>48.43</v>
      </c>
    </row>
    <row r="10284" spans="1:4" ht="28">
      <c r="A10284" s="715">
        <v>95253</v>
      </c>
      <c r="B10284" s="633" t="s">
        <v>26762</v>
      </c>
      <c r="C10284" s="715" t="s">
        <v>103</v>
      </c>
      <c r="D10284" s="716">
        <v>211.03</v>
      </c>
    </row>
    <row r="10285" spans="1:4" ht="28">
      <c r="A10285" s="715">
        <v>95249</v>
      </c>
      <c r="B10285" s="633" t="s">
        <v>26758</v>
      </c>
      <c r="C10285" s="715" t="s">
        <v>103</v>
      </c>
      <c r="D10285" s="716">
        <v>57.91</v>
      </c>
    </row>
    <row r="10286" spans="1:4" ht="42">
      <c r="A10286" s="715">
        <v>99622</v>
      </c>
      <c r="B10286" s="633" t="s">
        <v>40833</v>
      </c>
      <c r="C10286" s="715" t="s">
        <v>103</v>
      </c>
      <c r="D10286" s="716">
        <v>370.32</v>
      </c>
    </row>
    <row r="10287" spans="1:4" ht="42">
      <c r="A10287" s="715">
        <v>99621</v>
      </c>
      <c r="B10287" s="633" t="s">
        <v>26765</v>
      </c>
      <c r="C10287" s="715" t="s">
        <v>103</v>
      </c>
      <c r="D10287" s="716">
        <v>328.91</v>
      </c>
    </row>
    <row r="10288" spans="1:4" ht="42">
      <c r="A10288" s="715">
        <v>99620</v>
      </c>
      <c r="B10288" s="633" t="s">
        <v>26764</v>
      </c>
      <c r="C10288" s="715" t="s">
        <v>103</v>
      </c>
      <c r="D10288" s="716">
        <v>220.72</v>
      </c>
    </row>
    <row r="10289" spans="1:4" ht="42">
      <c r="A10289" s="715">
        <v>103008</v>
      </c>
      <c r="B10289" s="633" t="s">
        <v>26778</v>
      </c>
      <c r="C10289" s="715" t="s">
        <v>103</v>
      </c>
      <c r="D10289" s="716">
        <v>132.66999999999999</v>
      </c>
    </row>
    <row r="10290" spans="1:4" ht="42">
      <c r="A10290" s="715">
        <v>99624</v>
      </c>
      <c r="B10290" s="633" t="s">
        <v>26766</v>
      </c>
      <c r="C10290" s="715" t="s">
        <v>103</v>
      </c>
      <c r="D10290" s="716">
        <v>736.48</v>
      </c>
    </row>
    <row r="10291" spans="1:4" ht="42">
      <c r="A10291" s="715">
        <v>99623</v>
      </c>
      <c r="B10291" s="633" t="s">
        <v>40834</v>
      </c>
      <c r="C10291" s="715" t="s">
        <v>103</v>
      </c>
      <c r="D10291" s="716">
        <v>516.66</v>
      </c>
    </row>
    <row r="10292" spans="1:4" ht="42">
      <c r="A10292" s="715">
        <v>99625</v>
      </c>
      <c r="B10292" s="633" t="s">
        <v>26767</v>
      </c>
      <c r="C10292" s="715" t="s">
        <v>103</v>
      </c>
      <c r="D10292" s="716">
        <v>1012.86</v>
      </c>
    </row>
    <row r="10293" spans="1:4" ht="42">
      <c r="A10293" s="715">
        <v>99619</v>
      </c>
      <c r="B10293" s="633" t="s">
        <v>26763</v>
      </c>
      <c r="C10293" s="715" t="s">
        <v>103</v>
      </c>
      <c r="D10293" s="716">
        <v>162.47999999999999</v>
      </c>
    </row>
    <row r="10294" spans="1:4" ht="42">
      <c r="A10294" s="715">
        <v>99626</v>
      </c>
      <c r="B10294" s="633" t="s">
        <v>26768</v>
      </c>
      <c r="C10294" s="715" t="s">
        <v>103</v>
      </c>
      <c r="D10294" s="716">
        <v>1559.04</v>
      </c>
    </row>
    <row r="10295" spans="1:4" ht="42">
      <c r="A10295" s="715">
        <v>99631</v>
      </c>
      <c r="B10295" s="633" t="s">
        <v>26773</v>
      </c>
      <c r="C10295" s="715" t="s">
        <v>103</v>
      </c>
      <c r="D10295" s="716">
        <v>206.29</v>
      </c>
    </row>
    <row r="10296" spans="1:4" ht="42">
      <c r="A10296" s="715">
        <v>99630</v>
      </c>
      <c r="B10296" s="633" t="s">
        <v>26772</v>
      </c>
      <c r="C10296" s="715" t="s">
        <v>103</v>
      </c>
      <c r="D10296" s="716">
        <v>177.14</v>
      </c>
    </row>
    <row r="10297" spans="1:4" ht="42">
      <c r="A10297" s="715">
        <v>99629</v>
      </c>
      <c r="B10297" s="633" t="s">
        <v>26771</v>
      </c>
      <c r="C10297" s="715" t="s">
        <v>103</v>
      </c>
      <c r="D10297" s="716">
        <v>119.1</v>
      </c>
    </row>
    <row r="10298" spans="1:4" ht="42">
      <c r="A10298" s="715">
        <v>99627</v>
      </c>
      <c r="B10298" s="633" t="s">
        <v>26769</v>
      </c>
      <c r="C10298" s="715" t="s">
        <v>103</v>
      </c>
      <c r="D10298" s="716">
        <v>98.04</v>
      </c>
    </row>
    <row r="10299" spans="1:4" ht="42">
      <c r="A10299" s="715">
        <v>103009</v>
      </c>
      <c r="B10299" s="633" t="s">
        <v>26779</v>
      </c>
      <c r="C10299" s="715" t="s">
        <v>103</v>
      </c>
      <c r="D10299" s="716">
        <v>469.73</v>
      </c>
    </row>
    <row r="10300" spans="1:4" ht="42">
      <c r="A10300" s="715">
        <v>99632</v>
      </c>
      <c r="B10300" s="633" t="s">
        <v>26774</v>
      </c>
      <c r="C10300" s="715" t="s">
        <v>103</v>
      </c>
      <c r="D10300" s="716">
        <v>297.32</v>
      </c>
    </row>
    <row r="10301" spans="1:4" ht="42">
      <c r="A10301" s="715">
        <v>99633</v>
      </c>
      <c r="B10301" s="633" t="s">
        <v>26775</v>
      </c>
      <c r="C10301" s="715" t="s">
        <v>103</v>
      </c>
      <c r="D10301" s="716">
        <v>637.6</v>
      </c>
    </row>
    <row r="10302" spans="1:4" ht="42">
      <c r="A10302" s="715">
        <v>99628</v>
      </c>
      <c r="B10302" s="633" t="s">
        <v>26770</v>
      </c>
      <c r="C10302" s="715" t="s">
        <v>103</v>
      </c>
      <c r="D10302" s="716">
        <v>107.11</v>
      </c>
    </row>
    <row r="10303" spans="1:4" ht="42">
      <c r="A10303" s="715">
        <v>99634</v>
      </c>
      <c r="B10303" s="633" t="s">
        <v>26776</v>
      </c>
      <c r="C10303" s="715" t="s">
        <v>103</v>
      </c>
      <c r="D10303" s="716">
        <v>1086.8800000000001</v>
      </c>
    </row>
    <row r="10304" spans="1:4" ht="42">
      <c r="A10304" s="715">
        <v>103013</v>
      </c>
      <c r="B10304" s="633" t="s">
        <v>26783</v>
      </c>
      <c r="C10304" s="715" t="s">
        <v>103</v>
      </c>
      <c r="D10304" s="716">
        <v>190.55</v>
      </c>
    </row>
    <row r="10305" spans="1:4" ht="42">
      <c r="A10305" s="715">
        <v>103012</v>
      </c>
      <c r="B10305" s="633" t="s">
        <v>26782</v>
      </c>
      <c r="C10305" s="715" t="s">
        <v>103</v>
      </c>
      <c r="D10305" s="716">
        <v>176.92</v>
      </c>
    </row>
    <row r="10306" spans="1:4" ht="42">
      <c r="A10306" s="715">
        <v>103011</v>
      </c>
      <c r="B10306" s="633" t="s">
        <v>26781</v>
      </c>
      <c r="C10306" s="715" t="s">
        <v>103</v>
      </c>
      <c r="D10306" s="716">
        <v>112.24</v>
      </c>
    </row>
    <row r="10307" spans="1:4" ht="42">
      <c r="A10307" s="715">
        <v>103015</v>
      </c>
      <c r="B10307" s="633" t="s">
        <v>26785</v>
      </c>
      <c r="C10307" s="715" t="s">
        <v>103</v>
      </c>
      <c r="D10307" s="716">
        <v>506.22</v>
      </c>
    </row>
    <row r="10308" spans="1:4" ht="42">
      <c r="A10308" s="715">
        <v>103014</v>
      </c>
      <c r="B10308" s="633" t="s">
        <v>26784</v>
      </c>
      <c r="C10308" s="715" t="s">
        <v>103</v>
      </c>
      <c r="D10308" s="716">
        <v>286.45</v>
      </c>
    </row>
    <row r="10309" spans="1:4" ht="42">
      <c r="A10309" s="715">
        <v>103016</v>
      </c>
      <c r="B10309" s="633" t="s">
        <v>26786</v>
      </c>
      <c r="C10309" s="715" t="s">
        <v>103</v>
      </c>
      <c r="D10309" s="716">
        <v>691.95</v>
      </c>
    </row>
    <row r="10310" spans="1:4" ht="42">
      <c r="A10310" s="715">
        <v>103010</v>
      </c>
      <c r="B10310" s="633" t="s">
        <v>26780</v>
      </c>
      <c r="C10310" s="715" t="s">
        <v>103</v>
      </c>
      <c r="D10310" s="716">
        <v>100.61</v>
      </c>
    </row>
    <row r="10311" spans="1:4" ht="42">
      <c r="A10311" s="715">
        <v>103017</v>
      </c>
      <c r="B10311" s="633" t="s">
        <v>26787</v>
      </c>
      <c r="C10311" s="715" t="s">
        <v>103</v>
      </c>
      <c r="D10311" s="716">
        <v>1207.43</v>
      </c>
    </row>
    <row r="10312" spans="1:4" ht="28">
      <c r="A10312" s="715">
        <v>103033</v>
      </c>
      <c r="B10312" s="633" t="s">
        <v>34662</v>
      </c>
      <c r="C10312" s="715" t="s">
        <v>103</v>
      </c>
      <c r="D10312" s="716">
        <v>0</v>
      </c>
    </row>
    <row r="10313" spans="1:4" ht="28">
      <c r="A10313" s="715">
        <v>103032</v>
      </c>
      <c r="B10313" s="633" t="s">
        <v>34663</v>
      </c>
      <c r="C10313" s="715" t="s">
        <v>103</v>
      </c>
      <c r="D10313" s="716">
        <v>0</v>
      </c>
    </row>
    <row r="10314" spans="1:4" ht="28">
      <c r="A10314" s="715">
        <v>103030</v>
      </c>
      <c r="B10314" s="633" t="s">
        <v>34664</v>
      </c>
      <c r="C10314" s="715" t="s">
        <v>103</v>
      </c>
      <c r="D10314" s="716">
        <v>0</v>
      </c>
    </row>
    <row r="10315" spans="1:4" ht="28">
      <c r="A10315" s="715">
        <v>103031</v>
      </c>
      <c r="B10315" s="633" t="s">
        <v>34665</v>
      </c>
      <c r="C10315" s="715" t="s">
        <v>103</v>
      </c>
      <c r="D10315" s="716">
        <v>0</v>
      </c>
    </row>
    <row r="10316" spans="1:4" ht="28">
      <c r="A10316" s="715">
        <v>103035</v>
      </c>
      <c r="B10316" s="633" t="s">
        <v>34666</v>
      </c>
      <c r="C10316" s="715" t="s">
        <v>103</v>
      </c>
      <c r="D10316" s="716">
        <v>0</v>
      </c>
    </row>
    <row r="10317" spans="1:4" ht="28">
      <c r="A10317" s="715">
        <v>103034</v>
      </c>
      <c r="B10317" s="633" t="s">
        <v>34667</v>
      </c>
      <c r="C10317" s="715" t="s">
        <v>103</v>
      </c>
      <c r="D10317" s="716">
        <v>0</v>
      </c>
    </row>
    <row r="10318" spans="1:4" ht="42">
      <c r="A10318" s="715">
        <v>103024</v>
      </c>
      <c r="B10318" s="633" t="s">
        <v>34668</v>
      </c>
      <c r="C10318" s="715" t="s">
        <v>103</v>
      </c>
      <c r="D10318" s="716">
        <v>0</v>
      </c>
    </row>
    <row r="10319" spans="1:4" ht="42">
      <c r="A10319" s="715">
        <v>103023</v>
      </c>
      <c r="B10319" s="633" t="s">
        <v>34669</v>
      </c>
      <c r="C10319" s="715" t="s">
        <v>103</v>
      </c>
      <c r="D10319" s="716">
        <v>0</v>
      </c>
    </row>
    <row r="10320" spans="1:4" ht="42">
      <c r="A10320" s="715">
        <v>103022</v>
      </c>
      <c r="B10320" s="633" t="s">
        <v>34670</v>
      </c>
      <c r="C10320" s="715" t="s">
        <v>103</v>
      </c>
      <c r="D10320" s="716">
        <v>0</v>
      </c>
    </row>
    <row r="10321" spans="1:4" ht="42">
      <c r="A10321" s="715">
        <v>103020</v>
      </c>
      <c r="B10321" s="633" t="s">
        <v>34671</v>
      </c>
      <c r="C10321" s="715" t="s">
        <v>103</v>
      </c>
      <c r="D10321" s="716">
        <v>0</v>
      </c>
    </row>
    <row r="10322" spans="1:4" ht="42">
      <c r="A10322" s="715">
        <v>103026</v>
      </c>
      <c r="B10322" s="633" t="s">
        <v>34672</v>
      </c>
      <c r="C10322" s="715" t="s">
        <v>103</v>
      </c>
      <c r="D10322" s="716">
        <v>0</v>
      </c>
    </row>
    <row r="10323" spans="1:4" ht="42">
      <c r="A10323" s="715">
        <v>103025</v>
      </c>
      <c r="B10323" s="633" t="s">
        <v>34673</v>
      </c>
      <c r="C10323" s="715" t="s">
        <v>103</v>
      </c>
      <c r="D10323" s="716">
        <v>0</v>
      </c>
    </row>
    <row r="10324" spans="1:4" ht="42">
      <c r="A10324" s="715">
        <v>103021</v>
      </c>
      <c r="B10324" s="633" t="s">
        <v>34674</v>
      </c>
      <c r="C10324" s="715" t="s">
        <v>103</v>
      </c>
      <c r="D10324" s="716">
        <v>0</v>
      </c>
    </row>
    <row r="10325" spans="1:4" ht="42">
      <c r="A10325" s="715">
        <v>103027</v>
      </c>
      <c r="B10325" s="633" t="s">
        <v>34675</v>
      </c>
      <c r="C10325" s="715" t="s">
        <v>103</v>
      </c>
      <c r="D10325" s="716">
        <v>0</v>
      </c>
    </row>
    <row r="10326" spans="1:4" ht="42">
      <c r="A10326" s="715">
        <v>103028</v>
      </c>
      <c r="B10326" s="633" t="s">
        <v>34676</v>
      </c>
      <c r="C10326" s="715" t="s">
        <v>103</v>
      </c>
      <c r="D10326" s="716">
        <v>0</v>
      </c>
    </row>
    <row r="10327" spans="1:4" ht="42">
      <c r="A10327" s="715">
        <v>103563</v>
      </c>
      <c r="B10327" s="633" t="s">
        <v>34677</v>
      </c>
      <c r="C10327" s="715" t="s">
        <v>103</v>
      </c>
      <c r="D10327" s="716">
        <v>0</v>
      </c>
    </row>
    <row r="10328" spans="1:4" ht="42">
      <c r="A10328" s="715">
        <v>103564</v>
      </c>
      <c r="B10328" s="633" t="s">
        <v>34678</v>
      </c>
      <c r="C10328" s="715" t="s">
        <v>103</v>
      </c>
      <c r="D10328" s="716">
        <v>0</v>
      </c>
    </row>
    <row r="10329" spans="1:4" ht="42">
      <c r="A10329" s="715">
        <v>103565</v>
      </c>
      <c r="B10329" s="633" t="s">
        <v>34679</v>
      </c>
      <c r="C10329" s="715" t="s">
        <v>103</v>
      </c>
      <c r="D10329" s="716">
        <v>0</v>
      </c>
    </row>
    <row r="10330" spans="1:4" ht="42">
      <c r="A10330" s="715">
        <v>103566</v>
      </c>
      <c r="B10330" s="633" t="s">
        <v>34680</v>
      </c>
      <c r="C10330" s="715" t="s">
        <v>103</v>
      </c>
      <c r="D10330" s="716">
        <v>0</v>
      </c>
    </row>
    <row r="10331" spans="1:4" ht="42">
      <c r="A10331" s="715">
        <v>103567</v>
      </c>
      <c r="B10331" s="633" t="s">
        <v>34681</v>
      </c>
      <c r="C10331" s="715" t="s">
        <v>103</v>
      </c>
      <c r="D10331" s="716">
        <v>0</v>
      </c>
    </row>
    <row r="10332" spans="1:4" ht="42">
      <c r="A10332" s="715">
        <v>103568</v>
      </c>
      <c r="B10332" s="633" t="s">
        <v>34682</v>
      </c>
      <c r="C10332" s="715" t="s">
        <v>103</v>
      </c>
      <c r="D10332" s="716">
        <v>0</v>
      </c>
    </row>
    <row r="10333" spans="1:4" ht="42">
      <c r="A10333" s="715">
        <v>103569</v>
      </c>
      <c r="B10333" s="633" t="s">
        <v>34683</v>
      </c>
      <c r="C10333" s="715" t="s">
        <v>103</v>
      </c>
      <c r="D10333" s="716">
        <v>0</v>
      </c>
    </row>
    <row r="10334" spans="1:4" ht="42">
      <c r="A10334" s="715">
        <v>103570</v>
      </c>
      <c r="B10334" s="633" t="s">
        <v>34684</v>
      </c>
      <c r="C10334" s="715" t="s">
        <v>103</v>
      </c>
      <c r="D10334" s="716">
        <v>0</v>
      </c>
    </row>
    <row r="10335" spans="1:4" ht="42">
      <c r="A10335" s="715">
        <v>103571</v>
      </c>
      <c r="B10335" s="633" t="s">
        <v>34685</v>
      </c>
      <c r="C10335" s="715" t="s">
        <v>103</v>
      </c>
      <c r="D10335" s="716">
        <v>0</v>
      </c>
    </row>
    <row r="10336" spans="1:4" ht="42">
      <c r="A10336" s="715">
        <v>103562</v>
      </c>
      <c r="B10336" s="633" t="s">
        <v>34686</v>
      </c>
      <c r="C10336" s="715" t="s">
        <v>103</v>
      </c>
      <c r="D10336" s="716">
        <v>0</v>
      </c>
    </row>
    <row r="10337" spans="1:4" ht="42">
      <c r="A10337" s="715">
        <v>103573</v>
      </c>
      <c r="B10337" s="633" t="s">
        <v>34687</v>
      </c>
      <c r="C10337" s="715" t="s">
        <v>103</v>
      </c>
      <c r="D10337" s="716">
        <v>0</v>
      </c>
    </row>
    <row r="10338" spans="1:4" ht="42">
      <c r="A10338" s="715">
        <v>103585</v>
      </c>
      <c r="B10338" s="633" t="s">
        <v>34688</v>
      </c>
      <c r="C10338" s="715" t="s">
        <v>103</v>
      </c>
      <c r="D10338" s="716">
        <v>0</v>
      </c>
    </row>
    <row r="10339" spans="1:4" ht="42">
      <c r="A10339" s="715">
        <v>103586</v>
      </c>
      <c r="B10339" s="633" t="s">
        <v>34689</v>
      </c>
      <c r="C10339" s="715" t="s">
        <v>103</v>
      </c>
      <c r="D10339" s="716">
        <v>0</v>
      </c>
    </row>
    <row r="10340" spans="1:4" ht="42">
      <c r="A10340" s="715">
        <v>103574</v>
      </c>
      <c r="B10340" s="633" t="s">
        <v>34690</v>
      </c>
      <c r="C10340" s="715" t="s">
        <v>103</v>
      </c>
      <c r="D10340" s="716">
        <v>0</v>
      </c>
    </row>
    <row r="10341" spans="1:4" ht="42">
      <c r="A10341" s="715">
        <v>103575</v>
      </c>
      <c r="B10341" s="633" t="s">
        <v>34691</v>
      </c>
      <c r="C10341" s="715" t="s">
        <v>103</v>
      </c>
      <c r="D10341" s="716">
        <v>0</v>
      </c>
    </row>
    <row r="10342" spans="1:4" ht="42">
      <c r="A10342" s="715">
        <v>103576</v>
      </c>
      <c r="B10342" s="633" t="s">
        <v>34692</v>
      </c>
      <c r="C10342" s="715" t="s">
        <v>103</v>
      </c>
      <c r="D10342" s="716">
        <v>0</v>
      </c>
    </row>
    <row r="10343" spans="1:4" ht="42">
      <c r="A10343" s="715">
        <v>103577</v>
      </c>
      <c r="B10343" s="633" t="s">
        <v>34693</v>
      </c>
      <c r="C10343" s="715" t="s">
        <v>103</v>
      </c>
      <c r="D10343" s="716">
        <v>0</v>
      </c>
    </row>
    <row r="10344" spans="1:4" ht="42">
      <c r="A10344" s="715">
        <v>103578</v>
      </c>
      <c r="B10344" s="633" t="s">
        <v>34694</v>
      </c>
      <c r="C10344" s="715" t="s">
        <v>103</v>
      </c>
      <c r="D10344" s="716">
        <v>0</v>
      </c>
    </row>
    <row r="10345" spans="1:4" ht="42">
      <c r="A10345" s="715">
        <v>103579</v>
      </c>
      <c r="B10345" s="633" t="s">
        <v>34695</v>
      </c>
      <c r="C10345" s="715" t="s">
        <v>103</v>
      </c>
      <c r="D10345" s="716">
        <v>0</v>
      </c>
    </row>
    <row r="10346" spans="1:4" ht="42">
      <c r="A10346" s="715">
        <v>103580</v>
      </c>
      <c r="B10346" s="633" t="s">
        <v>34696</v>
      </c>
      <c r="C10346" s="715" t="s">
        <v>103</v>
      </c>
      <c r="D10346" s="716">
        <v>0</v>
      </c>
    </row>
    <row r="10347" spans="1:4" ht="42">
      <c r="A10347" s="715">
        <v>103581</v>
      </c>
      <c r="B10347" s="633" t="s">
        <v>34697</v>
      </c>
      <c r="C10347" s="715" t="s">
        <v>103</v>
      </c>
      <c r="D10347" s="716">
        <v>0</v>
      </c>
    </row>
    <row r="10348" spans="1:4" ht="42">
      <c r="A10348" s="715">
        <v>103582</v>
      </c>
      <c r="B10348" s="633" t="s">
        <v>34698</v>
      </c>
      <c r="C10348" s="715" t="s">
        <v>103</v>
      </c>
      <c r="D10348" s="716">
        <v>0</v>
      </c>
    </row>
    <row r="10349" spans="1:4" ht="42">
      <c r="A10349" s="715">
        <v>103572</v>
      </c>
      <c r="B10349" s="633" t="s">
        <v>34699</v>
      </c>
      <c r="C10349" s="715" t="s">
        <v>103</v>
      </c>
      <c r="D10349" s="716">
        <v>0</v>
      </c>
    </row>
    <row r="10350" spans="1:4" ht="42">
      <c r="A10350" s="715">
        <v>103583</v>
      </c>
      <c r="B10350" s="633" t="s">
        <v>34700</v>
      </c>
      <c r="C10350" s="715" t="s">
        <v>103</v>
      </c>
      <c r="D10350" s="716">
        <v>0</v>
      </c>
    </row>
    <row r="10351" spans="1:4" ht="42">
      <c r="A10351" s="715">
        <v>103584</v>
      </c>
      <c r="B10351" s="633" t="s">
        <v>34701</v>
      </c>
      <c r="C10351" s="715" t="s">
        <v>103</v>
      </c>
      <c r="D10351" s="716">
        <v>0</v>
      </c>
    </row>
    <row r="10352" spans="1:4" ht="42">
      <c r="A10352" s="715">
        <v>103557</v>
      </c>
      <c r="B10352" s="633" t="s">
        <v>34702</v>
      </c>
      <c r="C10352" s="715" t="s">
        <v>103</v>
      </c>
      <c r="D10352" s="716">
        <v>0</v>
      </c>
    </row>
    <row r="10353" spans="1:4" ht="42">
      <c r="A10353" s="715">
        <v>103558</v>
      </c>
      <c r="B10353" s="633" t="s">
        <v>34703</v>
      </c>
      <c r="C10353" s="715" t="s">
        <v>103</v>
      </c>
      <c r="D10353" s="716">
        <v>0</v>
      </c>
    </row>
    <row r="10354" spans="1:4" ht="42">
      <c r="A10354" s="715">
        <v>103559</v>
      </c>
      <c r="B10354" s="633" t="s">
        <v>34704</v>
      </c>
      <c r="C10354" s="715" t="s">
        <v>103</v>
      </c>
      <c r="D10354" s="716">
        <v>0</v>
      </c>
    </row>
    <row r="10355" spans="1:4" ht="42">
      <c r="A10355" s="715">
        <v>103560</v>
      </c>
      <c r="B10355" s="633" t="s">
        <v>34705</v>
      </c>
      <c r="C10355" s="715" t="s">
        <v>103</v>
      </c>
      <c r="D10355" s="716">
        <v>0</v>
      </c>
    </row>
    <row r="10356" spans="1:4" ht="42">
      <c r="A10356" s="715">
        <v>103561</v>
      </c>
      <c r="B10356" s="633" t="s">
        <v>34706</v>
      </c>
      <c r="C10356" s="715" t="s">
        <v>103</v>
      </c>
      <c r="D10356" s="716">
        <v>0</v>
      </c>
    </row>
    <row r="10357" spans="1:4" ht="42">
      <c r="A10357" s="715">
        <v>103529</v>
      </c>
      <c r="B10357" s="633" t="s">
        <v>34707</v>
      </c>
      <c r="C10357" s="715" t="s">
        <v>103</v>
      </c>
      <c r="D10357" s="716">
        <v>0</v>
      </c>
    </row>
    <row r="10358" spans="1:4" ht="42">
      <c r="A10358" s="715">
        <v>103530</v>
      </c>
      <c r="B10358" s="633" t="s">
        <v>34708</v>
      </c>
      <c r="C10358" s="715" t="s">
        <v>103</v>
      </c>
      <c r="D10358" s="716">
        <v>0</v>
      </c>
    </row>
    <row r="10359" spans="1:4" ht="42">
      <c r="A10359" s="715">
        <v>103531</v>
      </c>
      <c r="B10359" s="633" t="s">
        <v>34709</v>
      </c>
      <c r="C10359" s="715" t="s">
        <v>103</v>
      </c>
      <c r="D10359" s="716">
        <v>0</v>
      </c>
    </row>
    <row r="10360" spans="1:4" ht="42">
      <c r="A10360" s="715">
        <v>103532</v>
      </c>
      <c r="B10360" s="633" t="s">
        <v>34710</v>
      </c>
      <c r="C10360" s="715" t="s">
        <v>103</v>
      </c>
      <c r="D10360" s="716">
        <v>0</v>
      </c>
    </row>
    <row r="10361" spans="1:4" ht="42">
      <c r="A10361" s="715">
        <v>103533</v>
      </c>
      <c r="B10361" s="633" t="s">
        <v>34711</v>
      </c>
      <c r="C10361" s="715" t="s">
        <v>103</v>
      </c>
      <c r="D10361" s="716">
        <v>0</v>
      </c>
    </row>
    <row r="10362" spans="1:4" ht="42">
      <c r="A10362" s="715">
        <v>103534</v>
      </c>
      <c r="B10362" s="633" t="s">
        <v>34712</v>
      </c>
      <c r="C10362" s="715" t="s">
        <v>103</v>
      </c>
      <c r="D10362" s="716">
        <v>0</v>
      </c>
    </row>
    <row r="10363" spans="1:4" ht="42">
      <c r="A10363" s="715">
        <v>103535</v>
      </c>
      <c r="B10363" s="633" t="s">
        <v>34713</v>
      </c>
      <c r="C10363" s="715" t="s">
        <v>103</v>
      </c>
      <c r="D10363" s="716">
        <v>0</v>
      </c>
    </row>
    <row r="10364" spans="1:4" ht="42">
      <c r="A10364" s="715">
        <v>103527</v>
      </c>
      <c r="B10364" s="633" t="s">
        <v>34714</v>
      </c>
      <c r="C10364" s="715" t="s">
        <v>103</v>
      </c>
      <c r="D10364" s="716">
        <v>0</v>
      </c>
    </row>
    <row r="10365" spans="1:4" ht="42">
      <c r="A10365" s="715">
        <v>103536</v>
      </c>
      <c r="B10365" s="633" t="s">
        <v>34715</v>
      </c>
      <c r="C10365" s="715" t="s">
        <v>103</v>
      </c>
      <c r="D10365" s="716">
        <v>0</v>
      </c>
    </row>
    <row r="10366" spans="1:4" ht="42">
      <c r="A10366" s="715">
        <v>103528</v>
      </c>
      <c r="B10366" s="633" t="s">
        <v>34716</v>
      </c>
      <c r="C10366" s="715" t="s">
        <v>103</v>
      </c>
      <c r="D10366" s="716">
        <v>0</v>
      </c>
    </row>
    <row r="10367" spans="1:4" ht="42">
      <c r="A10367" s="715">
        <v>103541</v>
      </c>
      <c r="B10367" s="633" t="s">
        <v>34717</v>
      </c>
      <c r="C10367" s="715" t="s">
        <v>103</v>
      </c>
      <c r="D10367" s="716">
        <v>0</v>
      </c>
    </row>
    <row r="10368" spans="1:4" ht="42">
      <c r="A10368" s="715">
        <v>103539</v>
      </c>
      <c r="B10368" s="633" t="s">
        <v>34718</v>
      </c>
      <c r="C10368" s="715" t="s">
        <v>103</v>
      </c>
      <c r="D10368" s="716">
        <v>0</v>
      </c>
    </row>
    <row r="10369" spans="1:4" ht="42">
      <c r="A10369" s="715">
        <v>103540</v>
      </c>
      <c r="B10369" s="633" t="s">
        <v>34719</v>
      </c>
      <c r="C10369" s="715" t="s">
        <v>103</v>
      </c>
      <c r="D10369" s="716">
        <v>0</v>
      </c>
    </row>
    <row r="10370" spans="1:4" ht="42">
      <c r="A10370" s="715">
        <v>103542</v>
      </c>
      <c r="B10370" s="633" t="s">
        <v>34720</v>
      </c>
      <c r="C10370" s="715" t="s">
        <v>103</v>
      </c>
      <c r="D10370" s="716">
        <v>0</v>
      </c>
    </row>
    <row r="10371" spans="1:4" ht="42">
      <c r="A10371" s="715">
        <v>103543</v>
      </c>
      <c r="B10371" s="633" t="s">
        <v>34721</v>
      </c>
      <c r="C10371" s="715" t="s">
        <v>103</v>
      </c>
      <c r="D10371" s="716">
        <v>0</v>
      </c>
    </row>
    <row r="10372" spans="1:4" ht="42">
      <c r="A10372" s="715">
        <v>103544</v>
      </c>
      <c r="B10372" s="633" t="s">
        <v>34722</v>
      </c>
      <c r="C10372" s="715" t="s">
        <v>103</v>
      </c>
      <c r="D10372" s="716">
        <v>0</v>
      </c>
    </row>
    <row r="10373" spans="1:4" ht="42">
      <c r="A10373" s="715">
        <v>103545</v>
      </c>
      <c r="B10373" s="633" t="s">
        <v>34723</v>
      </c>
      <c r="C10373" s="715" t="s">
        <v>103</v>
      </c>
      <c r="D10373" s="716">
        <v>0</v>
      </c>
    </row>
    <row r="10374" spans="1:4" ht="42">
      <c r="A10374" s="715">
        <v>103537</v>
      </c>
      <c r="B10374" s="633" t="s">
        <v>34724</v>
      </c>
      <c r="C10374" s="715" t="s">
        <v>103</v>
      </c>
      <c r="D10374" s="716">
        <v>0</v>
      </c>
    </row>
    <row r="10375" spans="1:4" ht="42">
      <c r="A10375" s="715">
        <v>103546</v>
      </c>
      <c r="B10375" s="633" t="s">
        <v>34725</v>
      </c>
      <c r="C10375" s="715" t="s">
        <v>103</v>
      </c>
      <c r="D10375" s="716">
        <v>0</v>
      </c>
    </row>
    <row r="10376" spans="1:4" ht="42">
      <c r="A10376" s="715">
        <v>103538</v>
      </c>
      <c r="B10376" s="633" t="s">
        <v>34726</v>
      </c>
      <c r="C10376" s="715" t="s">
        <v>103</v>
      </c>
      <c r="D10376" s="716">
        <v>0</v>
      </c>
    </row>
    <row r="10377" spans="1:4" ht="42">
      <c r="A10377" s="715">
        <v>103549</v>
      </c>
      <c r="B10377" s="633" t="s">
        <v>34727</v>
      </c>
      <c r="C10377" s="715" t="s">
        <v>103</v>
      </c>
      <c r="D10377" s="716">
        <v>0</v>
      </c>
    </row>
    <row r="10378" spans="1:4" ht="42">
      <c r="A10378" s="715">
        <v>103550</v>
      </c>
      <c r="B10378" s="633" t="s">
        <v>34728</v>
      </c>
      <c r="C10378" s="715" t="s">
        <v>103</v>
      </c>
      <c r="D10378" s="716">
        <v>0</v>
      </c>
    </row>
    <row r="10379" spans="1:4" ht="42">
      <c r="A10379" s="715">
        <v>103551</v>
      </c>
      <c r="B10379" s="633" t="s">
        <v>34729</v>
      </c>
      <c r="C10379" s="715" t="s">
        <v>103</v>
      </c>
      <c r="D10379" s="716">
        <v>0</v>
      </c>
    </row>
    <row r="10380" spans="1:4" ht="42">
      <c r="A10380" s="715">
        <v>103552</v>
      </c>
      <c r="B10380" s="633" t="s">
        <v>34730</v>
      </c>
      <c r="C10380" s="715" t="s">
        <v>103</v>
      </c>
      <c r="D10380" s="716">
        <v>0</v>
      </c>
    </row>
    <row r="10381" spans="1:4" ht="42">
      <c r="A10381" s="715">
        <v>103553</v>
      </c>
      <c r="B10381" s="633" t="s">
        <v>34731</v>
      </c>
      <c r="C10381" s="715" t="s">
        <v>103</v>
      </c>
      <c r="D10381" s="716">
        <v>0</v>
      </c>
    </row>
    <row r="10382" spans="1:4" ht="42">
      <c r="A10382" s="715">
        <v>103554</v>
      </c>
      <c r="B10382" s="633" t="s">
        <v>34732</v>
      </c>
      <c r="C10382" s="715" t="s">
        <v>103</v>
      </c>
      <c r="D10382" s="716">
        <v>0</v>
      </c>
    </row>
    <row r="10383" spans="1:4" ht="42">
      <c r="A10383" s="715">
        <v>103555</v>
      </c>
      <c r="B10383" s="633" t="s">
        <v>34733</v>
      </c>
      <c r="C10383" s="715" t="s">
        <v>103</v>
      </c>
      <c r="D10383" s="716">
        <v>0</v>
      </c>
    </row>
    <row r="10384" spans="1:4" ht="42">
      <c r="A10384" s="715">
        <v>103547</v>
      </c>
      <c r="B10384" s="633" t="s">
        <v>34734</v>
      </c>
      <c r="C10384" s="715" t="s">
        <v>103</v>
      </c>
      <c r="D10384" s="716">
        <v>0</v>
      </c>
    </row>
    <row r="10385" spans="1:4" ht="42">
      <c r="A10385" s="715">
        <v>103556</v>
      </c>
      <c r="B10385" s="633" t="s">
        <v>34735</v>
      </c>
      <c r="C10385" s="715" t="s">
        <v>103</v>
      </c>
      <c r="D10385" s="716">
        <v>0</v>
      </c>
    </row>
    <row r="10386" spans="1:4" ht="42">
      <c r="A10386" s="715">
        <v>103548</v>
      </c>
      <c r="B10386" s="633" t="s">
        <v>34736</v>
      </c>
      <c r="C10386" s="715" t="s">
        <v>103</v>
      </c>
      <c r="D10386" s="716">
        <v>0</v>
      </c>
    </row>
  </sheetData>
  <conditionalFormatting sqref="A8:D10003">
    <cfRule type="expression" dxfId="2008" priority="1">
      <formula>ROW()=CELL("lin")</formula>
    </cfRule>
  </conditionalFormatting>
  <printOptions horizontalCentered="1"/>
  <pageMargins left="0.51181102362204722" right="0.51181102362204722" top="0.78740157480314965" bottom="0.78740157480314965" header="0.31496062992125984" footer="0.31496062992125984"/>
  <pageSetup paperSize="9" scale="80" orientation="landscape" horizontalDpi="4294967293" verticalDpi="4294967293" r:id="rId1"/>
  <headerFooter>
    <oddFooter>&amp;R&amp;"Arial,Negrito"&amp;8&amp;P de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
  <dimension ref="A1:G51"/>
  <sheetViews>
    <sheetView showGridLines="0" view="pageBreakPreview" topLeftCell="A2" zoomScaleNormal="100" zoomScaleSheetLayoutView="100" workbookViewId="0">
      <selection activeCell="K17" sqref="K17"/>
    </sheetView>
  </sheetViews>
  <sheetFormatPr baseColWidth="10" defaultColWidth="9.1640625" defaultRowHeight="13"/>
  <cols>
    <col min="1" max="1" width="9.6640625" style="119" customWidth="1"/>
    <col min="2" max="2" width="12.6640625" style="119" bestFit="1" customWidth="1"/>
    <col min="3" max="3" width="47.33203125" style="119" customWidth="1"/>
    <col min="4" max="4" width="5.6640625" style="119" bestFit="1" customWidth="1"/>
    <col min="5" max="5" width="8.5" style="119" bestFit="1" customWidth="1"/>
    <col min="6" max="6" width="11.5" style="119" bestFit="1" customWidth="1"/>
    <col min="7" max="7" width="10.83203125" style="119" bestFit="1" customWidth="1"/>
    <col min="8" max="16384" width="9.1640625" style="119"/>
  </cols>
  <sheetData>
    <row r="1" spans="1:7" ht="12.75" customHeight="1">
      <c r="A1" s="121"/>
      <c r="B1" s="121"/>
      <c r="C1" s="121"/>
      <c r="D1" s="121"/>
      <c r="E1" s="121"/>
      <c r="F1" s="121"/>
      <c r="G1" s="121"/>
    </row>
    <row r="2" spans="1:7" ht="102.75" customHeight="1">
      <c r="A2" s="121"/>
      <c r="B2" s="121"/>
      <c r="C2" s="121"/>
      <c r="D2" s="893"/>
      <c r="E2" s="893"/>
      <c r="F2" s="893"/>
      <c r="G2" s="893"/>
    </row>
    <row r="3" spans="1:7" ht="19.5" customHeight="1">
      <c r="A3" s="894"/>
      <c r="B3" s="894"/>
      <c r="C3" s="894"/>
      <c r="D3" s="894"/>
      <c r="E3" s="894"/>
      <c r="F3" s="894"/>
      <c r="G3" s="894"/>
    </row>
    <row r="4" spans="1:7" ht="19.5" customHeight="1">
      <c r="A4" s="168"/>
      <c r="B4" s="168"/>
      <c r="C4" s="168"/>
      <c r="D4" s="168"/>
      <c r="E4" s="168"/>
      <c r="F4" s="168"/>
      <c r="G4" s="168"/>
    </row>
    <row r="5" spans="1:7" ht="19.5" customHeight="1">
      <c r="A5" s="168"/>
      <c r="B5" s="168"/>
      <c r="C5" s="168"/>
      <c r="D5" s="168"/>
      <c r="E5" s="168"/>
      <c r="F5" s="168"/>
      <c r="G5" s="168"/>
    </row>
    <row r="6" spans="1:7" ht="19.5" customHeight="1">
      <c r="A6" s="168"/>
      <c r="B6" s="168"/>
      <c r="C6" s="168"/>
      <c r="D6" s="168"/>
      <c r="E6" s="168"/>
      <c r="F6" s="168"/>
      <c r="G6" s="168"/>
    </row>
    <row r="7" spans="1:7" ht="13.5" customHeight="1">
      <c r="A7" s="121"/>
      <c r="B7" s="121"/>
      <c r="C7" s="121"/>
      <c r="D7" s="121"/>
      <c r="E7" s="121"/>
      <c r="F7" s="121"/>
      <c r="G7" s="121"/>
    </row>
    <row r="8" spans="1:7" s="122" customFormat="1">
      <c r="A8" s="161"/>
      <c r="B8" s="161"/>
      <c r="C8" s="160"/>
      <c r="D8" s="160"/>
      <c r="E8" s="160"/>
      <c r="F8" s="160"/>
      <c r="G8" s="157"/>
    </row>
    <row r="9" spans="1:7" s="122" customFormat="1">
      <c r="A9" s="158"/>
      <c r="B9" s="158"/>
      <c r="C9" s="158"/>
      <c r="D9" s="158"/>
      <c r="E9" s="158"/>
      <c r="F9" s="158"/>
      <c r="G9" s="158"/>
    </row>
    <row r="10" spans="1:7" s="122" customFormat="1" ht="12.75" customHeight="1">
      <c r="A10" s="157"/>
      <c r="B10" s="167"/>
      <c r="C10" s="167"/>
      <c r="D10" s="167"/>
      <c r="E10" s="167"/>
      <c r="F10" s="167"/>
      <c r="G10" s="153"/>
    </row>
    <row r="11" spans="1:7" s="122" customFormat="1" ht="12.75" customHeight="1">
      <c r="A11" s="157"/>
      <c r="B11" s="895" t="s">
        <v>44547</v>
      </c>
      <c r="C11" s="895"/>
      <c r="D11" s="895"/>
      <c r="E11" s="895"/>
      <c r="F11" s="895"/>
      <c r="G11" s="153"/>
    </row>
    <row r="12" spans="1:7" s="122" customFormat="1" ht="12.75" customHeight="1">
      <c r="A12" s="157"/>
      <c r="B12" s="895"/>
      <c r="C12" s="895"/>
      <c r="D12" s="895"/>
      <c r="E12" s="895"/>
      <c r="F12" s="895"/>
      <c r="G12" s="153"/>
    </row>
    <row r="13" spans="1:7" s="122" customFormat="1" ht="12.75" customHeight="1">
      <c r="A13" s="157"/>
      <c r="B13" s="895"/>
      <c r="C13" s="895"/>
      <c r="D13" s="895"/>
      <c r="E13" s="895"/>
      <c r="F13" s="895"/>
      <c r="G13" s="153"/>
    </row>
    <row r="14" spans="1:7" s="122" customFormat="1" ht="12.75" customHeight="1">
      <c r="A14" s="157"/>
      <c r="B14" s="895"/>
      <c r="C14" s="895"/>
      <c r="D14" s="895"/>
      <c r="E14" s="895"/>
      <c r="F14" s="895"/>
      <c r="G14" s="153"/>
    </row>
    <row r="15" spans="1:7" s="122" customFormat="1" ht="12.75" customHeight="1">
      <c r="A15" s="157"/>
      <c r="B15" s="895"/>
      <c r="C15" s="895"/>
      <c r="D15" s="895"/>
      <c r="E15" s="895"/>
      <c r="F15" s="895"/>
      <c r="G15" s="153"/>
    </row>
    <row r="16" spans="1:7" s="122" customFormat="1" ht="12.75" customHeight="1">
      <c r="A16" s="157"/>
      <c r="B16" s="895"/>
      <c r="C16" s="895"/>
      <c r="D16" s="895"/>
      <c r="E16" s="895"/>
      <c r="F16" s="895"/>
      <c r="G16" s="153"/>
    </row>
    <row r="17" spans="1:7" s="122" customFormat="1" ht="12.75" customHeight="1">
      <c r="A17" s="157"/>
      <c r="B17" s="895"/>
      <c r="C17" s="895"/>
      <c r="D17" s="895"/>
      <c r="E17" s="895"/>
      <c r="F17" s="895"/>
      <c r="G17" s="153"/>
    </row>
    <row r="18" spans="1:7" s="122" customFormat="1" ht="12.75" customHeight="1">
      <c r="A18" s="157"/>
      <c r="B18" s="895"/>
      <c r="C18" s="895"/>
      <c r="D18" s="895"/>
      <c r="E18" s="895"/>
      <c r="F18" s="895"/>
      <c r="G18" s="153"/>
    </row>
    <row r="19" spans="1:7" s="122" customFormat="1" ht="12.75" customHeight="1">
      <c r="A19" s="157"/>
      <c r="B19" s="895"/>
      <c r="C19" s="895"/>
      <c r="D19" s="895"/>
      <c r="E19" s="895"/>
      <c r="F19" s="895"/>
      <c r="G19" s="153"/>
    </row>
    <row r="20" spans="1:7" s="122" customFormat="1" ht="12.75" customHeight="1">
      <c r="A20" s="157"/>
      <c r="B20" s="895"/>
      <c r="C20" s="895"/>
      <c r="D20" s="895"/>
      <c r="E20" s="895"/>
      <c r="F20" s="895"/>
      <c r="G20" s="153"/>
    </row>
    <row r="21" spans="1:7" s="122" customFormat="1" ht="12.75" customHeight="1">
      <c r="A21" s="166"/>
      <c r="B21" s="895"/>
      <c r="C21" s="895"/>
      <c r="D21" s="895"/>
      <c r="E21" s="895"/>
      <c r="F21" s="895"/>
      <c r="G21" s="164"/>
    </row>
    <row r="22" spans="1:7" s="122" customFormat="1" ht="16.5" customHeight="1">
      <c r="A22" s="163"/>
      <c r="B22" s="895"/>
      <c r="C22" s="895"/>
      <c r="D22" s="895"/>
      <c r="E22" s="895"/>
      <c r="F22" s="895"/>
      <c r="G22" s="162"/>
    </row>
    <row r="23" spans="1:7" ht="12.75" customHeight="1">
      <c r="A23" s="121"/>
      <c r="B23" s="167"/>
      <c r="C23" s="167"/>
      <c r="D23" s="167"/>
      <c r="E23" s="167"/>
      <c r="F23" s="167"/>
      <c r="G23" s="121"/>
    </row>
    <row r="24" spans="1:7" s="122" customFormat="1" ht="12.75" customHeight="1">
      <c r="A24" s="161"/>
      <c r="B24" s="167"/>
      <c r="C24" s="167"/>
      <c r="D24" s="167"/>
      <c r="E24" s="167"/>
      <c r="F24" s="167"/>
      <c r="G24" s="157"/>
    </row>
    <row r="25" spans="1:7" s="122" customFormat="1" ht="12.75" customHeight="1">
      <c r="A25" s="158"/>
      <c r="B25" s="167"/>
      <c r="C25" s="167"/>
      <c r="D25" s="167"/>
      <c r="E25" s="167"/>
      <c r="F25" s="167"/>
      <c r="G25" s="158"/>
    </row>
    <row r="26" spans="1:7" s="122" customFormat="1" ht="12.75" customHeight="1">
      <c r="A26" s="158"/>
      <c r="B26" s="167"/>
      <c r="C26" s="167"/>
      <c r="D26" s="167"/>
      <c r="E26" s="167"/>
      <c r="F26" s="167"/>
      <c r="G26" s="158"/>
    </row>
    <row r="27" spans="1:7" s="122" customFormat="1" ht="12.75" customHeight="1">
      <c r="A27" s="158"/>
      <c r="B27" s="167"/>
      <c r="C27" s="167"/>
      <c r="D27" s="167"/>
      <c r="E27" s="167"/>
      <c r="F27" s="167"/>
      <c r="G27" s="158"/>
    </row>
    <row r="28" spans="1:7" s="122" customFormat="1" ht="48.75" customHeight="1">
      <c r="A28" s="157"/>
      <c r="B28" s="896" t="s">
        <v>42027</v>
      </c>
      <c r="C28" s="896"/>
      <c r="D28" s="896"/>
      <c r="E28" s="896"/>
      <c r="F28" s="896"/>
      <c r="G28" s="153"/>
    </row>
    <row r="29" spans="1:7" s="122" customFormat="1" ht="15" customHeight="1">
      <c r="A29" s="157"/>
      <c r="B29" s="897" t="s">
        <v>44548</v>
      </c>
      <c r="C29" s="892"/>
      <c r="D29" s="892"/>
      <c r="E29" s="892"/>
      <c r="F29" s="892"/>
      <c r="G29" s="153"/>
    </row>
    <row r="30" spans="1:7" s="122" customFormat="1" ht="14">
      <c r="A30" s="166"/>
      <c r="B30" s="165"/>
      <c r="C30" s="165"/>
      <c r="D30" s="165"/>
      <c r="E30" s="165"/>
      <c r="F30" s="165"/>
      <c r="G30" s="164"/>
    </row>
    <row r="31" spans="1:7" s="122" customFormat="1" ht="14">
      <c r="A31" s="163"/>
      <c r="B31" s="163"/>
      <c r="C31" s="162"/>
      <c r="D31" s="162"/>
      <c r="E31" s="162"/>
      <c r="F31" s="162"/>
      <c r="G31" s="162"/>
    </row>
    <row r="32" spans="1:7">
      <c r="A32" s="121"/>
      <c r="B32" s="121"/>
      <c r="C32" s="121"/>
      <c r="D32" s="121"/>
      <c r="E32" s="121"/>
      <c r="F32" s="121"/>
      <c r="G32" s="121"/>
    </row>
    <row r="33" spans="1:7" s="122" customFormat="1">
      <c r="A33" s="161"/>
      <c r="B33" s="161"/>
      <c r="C33" s="160"/>
      <c r="D33" s="160"/>
      <c r="E33" s="160"/>
      <c r="F33" s="160"/>
      <c r="G33" s="157"/>
    </row>
    <row r="34" spans="1:7" s="122" customFormat="1">
      <c r="A34" s="158"/>
      <c r="B34" s="158"/>
      <c r="C34" s="158"/>
      <c r="D34" s="158"/>
      <c r="E34" s="158"/>
      <c r="F34" s="158"/>
      <c r="G34" s="158"/>
    </row>
    <row r="35" spans="1:7" s="122" customFormat="1">
      <c r="A35" s="157"/>
      <c r="B35" s="157"/>
      <c r="C35" s="156"/>
      <c r="D35" s="155"/>
      <c r="F35" s="154"/>
      <c r="G35" s="153"/>
    </row>
    <row r="36" spans="1:7" s="122" customFormat="1">
      <c r="A36" s="157"/>
      <c r="B36" s="157"/>
      <c r="C36" s="156"/>
      <c r="D36" s="155"/>
      <c r="F36" s="154"/>
      <c r="G36" s="153"/>
    </row>
    <row r="37" spans="1:7" s="122" customFormat="1">
      <c r="A37" s="157"/>
      <c r="B37" s="157"/>
      <c r="C37" s="156"/>
      <c r="D37" s="155"/>
      <c r="F37" s="154"/>
      <c r="G37" s="153"/>
    </row>
    <row r="38" spans="1:7" s="122" customFormat="1">
      <c r="A38" s="157"/>
      <c r="B38" s="157"/>
      <c r="C38" s="156"/>
      <c r="D38" s="155"/>
      <c r="F38" s="154"/>
      <c r="G38" s="153"/>
    </row>
    <row r="39" spans="1:7" s="122" customFormat="1">
      <c r="A39" s="157"/>
      <c r="B39" s="157"/>
      <c r="C39" s="156"/>
      <c r="D39" s="155"/>
      <c r="F39" s="154"/>
      <c r="G39" s="153"/>
    </row>
    <row r="40" spans="1:7" s="122" customFormat="1">
      <c r="A40" s="157"/>
      <c r="B40" s="157"/>
      <c r="C40" s="156"/>
      <c r="D40" s="155"/>
      <c r="E40" s="891"/>
      <c r="F40" s="891"/>
      <c r="G40" s="153"/>
    </row>
    <row r="41" spans="1:7" s="122" customFormat="1" ht="21">
      <c r="A41" s="157"/>
      <c r="B41" s="157"/>
      <c r="C41" s="156"/>
      <c r="D41" s="155"/>
      <c r="F41" s="159" t="s">
        <v>41233</v>
      </c>
      <c r="G41" s="153"/>
    </row>
    <row r="42" spans="1:7" s="122" customFormat="1">
      <c r="A42" s="157"/>
      <c r="B42" s="157"/>
      <c r="C42" s="156"/>
      <c r="D42" s="155"/>
      <c r="F42" s="154"/>
      <c r="G42" s="153"/>
    </row>
    <row r="43" spans="1:7" s="122" customFormat="1">
      <c r="A43" s="157"/>
      <c r="B43" s="157"/>
      <c r="C43" s="156"/>
      <c r="D43" s="155"/>
      <c r="F43" s="154"/>
      <c r="G43" s="153"/>
    </row>
    <row r="44" spans="1:7" s="122" customFormat="1">
      <c r="A44" s="157"/>
      <c r="B44" s="157"/>
      <c r="C44" s="156"/>
      <c r="D44" s="155"/>
      <c r="F44" s="154"/>
      <c r="G44" s="153"/>
    </row>
    <row r="45" spans="1:7" s="122" customFormat="1">
      <c r="A45" s="157"/>
      <c r="B45" s="157"/>
      <c r="C45" s="156"/>
      <c r="D45" s="155"/>
      <c r="F45" s="154"/>
      <c r="G45" s="153"/>
    </row>
    <row r="46" spans="1:7" s="122" customFormat="1">
      <c r="A46" s="157"/>
      <c r="B46" s="157"/>
      <c r="C46" s="156"/>
      <c r="D46" s="155"/>
      <c r="E46" s="153"/>
      <c r="F46" s="154"/>
      <c r="G46" s="153"/>
    </row>
    <row r="47" spans="1:7" s="122" customFormat="1">
      <c r="A47" s="157"/>
      <c r="B47" s="157"/>
      <c r="C47" s="156"/>
      <c r="D47" s="155"/>
      <c r="F47" s="154"/>
      <c r="G47" s="153"/>
    </row>
    <row r="48" spans="1:7" s="122" customFormat="1">
      <c r="A48" s="157"/>
      <c r="B48" s="157"/>
      <c r="C48" s="156"/>
      <c r="D48" s="155"/>
      <c r="F48" s="154"/>
      <c r="G48" s="153"/>
    </row>
    <row r="49" spans="1:7" s="122" customFormat="1" ht="15" customHeight="1">
      <c r="A49" s="157"/>
      <c r="B49" s="892" t="s">
        <v>27858</v>
      </c>
      <c r="C49" s="892"/>
      <c r="D49" s="892"/>
      <c r="E49" s="892"/>
      <c r="F49" s="892"/>
      <c r="G49" s="153"/>
    </row>
    <row r="50" spans="1:7" s="122" customFormat="1">
      <c r="A50" s="157"/>
      <c r="B50" s="157"/>
      <c r="C50" s="156"/>
      <c r="D50" s="155"/>
      <c r="F50" s="154"/>
      <c r="G50" s="153"/>
    </row>
    <row r="51" spans="1:7">
      <c r="A51" s="121"/>
      <c r="B51" s="121"/>
      <c r="C51" s="121"/>
      <c r="D51" s="121"/>
      <c r="E51" s="121"/>
      <c r="F51" s="121"/>
      <c r="G51" s="121"/>
    </row>
  </sheetData>
  <mergeCells count="7">
    <mergeCell ref="E40:F40"/>
    <mergeCell ref="B49:F49"/>
    <mergeCell ref="D2:G2"/>
    <mergeCell ref="A3:G3"/>
    <mergeCell ref="B11:F22"/>
    <mergeCell ref="B28:F28"/>
    <mergeCell ref="B29:F29"/>
  </mergeCells>
  <printOptions horizontalCentered="1"/>
  <pageMargins left="0.51181102362204722" right="0.51181102362204722" top="0.78740157480314965" bottom="0.78740157480314965" header="0.31496062992125984" footer="0.31496062992125984"/>
  <pageSetup paperSize="9" scale="86" fitToWidth="0" fitToHeight="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7"/>
  <dimension ref="A1:R53"/>
  <sheetViews>
    <sheetView showGridLines="0" view="pageBreakPreview" zoomScaleNormal="100" zoomScaleSheetLayoutView="100" workbookViewId="0">
      <selection activeCell="K17" sqref="K17"/>
    </sheetView>
  </sheetViews>
  <sheetFormatPr baseColWidth="10" defaultColWidth="9.1640625" defaultRowHeight="13"/>
  <cols>
    <col min="1" max="1" width="12.5" style="119" customWidth="1"/>
    <col min="2" max="2" width="47.33203125" style="119" customWidth="1"/>
    <col min="3" max="3" width="5.6640625" style="119" bestFit="1" customWidth="1"/>
    <col min="4" max="4" width="8.5" style="119" bestFit="1" customWidth="1"/>
    <col min="5" max="5" width="15.5" style="119" customWidth="1"/>
    <col min="6" max="6" width="10.83203125" style="119" bestFit="1" customWidth="1"/>
    <col min="7" max="7" width="9.1640625" style="119"/>
    <col min="8" max="8" width="14.5" style="119" bestFit="1" customWidth="1"/>
    <col min="9" max="10" width="9.1640625" style="119" customWidth="1"/>
    <col min="11" max="11" width="19.1640625" style="119" bestFit="1" customWidth="1"/>
    <col min="12" max="12" width="13.6640625" style="119" bestFit="1" customWidth="1"/>
    <col min="13" max="17" width="9.1640625" style="119"/>
    <col min="18" max="18" width="12.33203125" style="119" bestFit="1" customWidth="1"/>
    <col min="19" max="16384" width="9.1640625" style="119"/>
  </cols>
  <sheetData>
    <row r="1" spans="1:12" ht="12.75" customHeight="1">
      <c r="A1" s="922"/>
      <c r="B1" s="923"/>
      <c r="C1" s="923"/>
      <c r="D1" s="923"/>
      <c r="E1" s="923"/>
      <c r="F1" s="924"/>
    </row>
    <row r="2" spans="1:12" ht="102.75" customHeight="1">
      <c r="A2" s="852"/>
      <c r="B2" s="853"/>
      <c r="C2" s="853"/>
      <c r="D2" s="853"/>
      <c r="E2" s="853"/>
      <c r="F2" s="854"/>
    </row>
    <row r="3" spans="1:12" ht="19.5" customHeight="1" thickBot="1">
      <c r="A3" s="849"/>
      <c r="B3" s="850"/>
      <c r="C3" s="850"/>
      <c r="D3" s="850"/>
      <c r="E3" s="850"/>
      <c r="F3" s="851"/>
    </row>
    <row r="4" spans="1:12" ht="15" thickBot="1">
      <c r="A4" s="322"/>
      <c r="B4" s="323"/>
      <c r="C4" s="323"/>
      <c r="D4" s="323"/>
      <c r="E4" s="323"/>
      <c r="F4" s="324"/>
    </row>
    <row r="5" spans="1:12" ht="14">
      <c r="A5" s="325" t="s">
        <v>27896</v>
      </c>
      <c r="B5" s="925" t="str">
        <f>Capa!B28</f>
        <v>DELEGACIA SECCIONAL DE POLÍCIA DE JALES</v>
      </c>
      <c r="C5" s="925"/>
      <c r="D5" s="925"/>
      <c r="E5" s="925"/>
      <c r="F5" s="926"/>
    </row>
    <row r="6" spans="1:12" ht="36.75" customHeight="1">
      <c r="A6" s="695" t="s">
        <v>30005</v>
      </c>
      <c r="B6" s="927" t="str">
        <f>Capa!B11</f>
        <v>ADEQUAÇÃO E AMPLIAÇÃO DE IMÓVEL PARA A INSTALAÇÃO DA DELEGACIA DE DEFESA DA MULHER</v>
      </c>
      <c r="C6" s="927"/>
      <c r="D6" s="927"/>
      <c r="E6" s="927"/>
      <c r="F6" s="928"/>
    </row>
    <row r="7" spans="1:12" ht="15" thickBot="1">
      <c r="A7" s="327" t="s">
        <v>27924</v>
      </c>
      <c r="B7" s="929" t="str">
        <f>Capa!B29</f>
        <v>RUA TRÊS, S/Nº, CENTRO - JALES/SP</v>
      </c>
      <c r="C7" s="929"/>
      <c r="D7" s="929"/>
      <c r="E7" s="929"/>
      <c r="F7" s="930"/>
    </row>
    <row r="8" spans="1:12" ht="14">
      <c r="A8" s="328"/>
      <c r="B8" s="329"/>
      <c r="C8" s="330"/>
      <c r="D8" s="330"/>
      <c r="E8" s="330"/>
      <c r="F8" s="331"/>
    </row>
    <row r="9" spans="1:12" ht="14">
      <c r="A9" s="328"/>
      <c r="B9" s="329"/>
      <c r="C9" s="330"/>
      <c r="D9" s="330"/>
      <c r="E9" s="330"/>
      <c r="F9" s="331"/>
    </row>
    <row r="10" spans="1:12" s="122" customFormat="1" ht="14">
      <c r="A10" s="332"/>
      <c r="B10" s="333"/>
      <c r="C10" s="333"/>
      <c r="D10" s="333"/>
      <c r="E10" s="333"/>
      <c r="F10" s="334"/>
    </row>
    <row r="11" spans="1:12" s="122" customFormat="1" ht="15" thickBot="1">
      <c r="A11" s="335"/>
      <c r="B11" s="336"/>
      <c r="C11" s="336"/>
      <c r="D11" s="336"/>
      <c r="E11" s="336"/>
      <c r="F11" s="337"/>
      <c r="H11" s="342"/>
      <c r="K11" s="346"/>
    </row>
    <row r="12" spans="1:12" s="122" customFormat="1" ht="15" thickBot="1">
      <c r="A12" s="193"/>
      <c r="B12" s="911" t="s">
        <v>30006</v>
      </c>
      <c r="C12" s="912"/>
      <c r="D12" s="912"/>
      <c r="E12" s="913"/>
      <c r="F12" s="338"/>
    </row>
    <row r="13" spans="1:12" s="122" customFormat="1" ht="4.5" customHeight="1">
      <c r="A13" s="193"/>
      <c r="B13" s="339"/>
      <c r="C13" s="902"/>
      <c r="D13" s="902"/>
      <c r="E13" s="340"/>
      <c r="F13" s="338"/>
    </row>
    <row r="14" spans="1:12" s="122" customFormat="1" ht="15">
      <c r="A14" s="193"/>
      <c r="B14" s="341" t="s">
        <v>30007</v>
      </c>
      <c r="C14" s="914">
        <f ca="1">H14</f>
        <v>3319298.84</v>
      </c>
      <c r="D14" s="915"/>
      <c r="E14" s="916"/>
      <c r="F14" s="338"/>
      <c r="H14" s="342">
        <f t="array" ref="H14:I14" ca="1">'Plan Orçamentária'!$X$530:$Y$530</f>
        <v>3319298.84</v>
      </c>
      <c r="I14" s="122">
        <v>0</v>
      </c>
      <c r="K14" s="346"/>
      <c r="L14" s="342"/>
    </row>
    <row r="15" spans="1:12" s="122" customFormat="1" ht="4.5" customHeight="1">
      <c r="A15" s="193"/>
      <c r="B15" s="339"/>
      <c r="C15" s="902"/>
      <c r="D15" s="902"/>
      <c r="E15" s="340"/>
      <c r="F15" s="338"/>
    </row>
    <row r="16" spans="1:12" s="122" customFormat="1" ht="15">
      <c r="A16" s="193"/>
      <c r="B16" s="341" t="s">
        <v>30008</v>
      </c>
      <c r="C16" s="917">
        <v>360</v>
      </c>
      <c r="D16" s="918"/>
      <c r="E16" s="343" t="s">
        <v>30009</v>
      </c>
      <c r="F16" s="338"/>
      <c r="H16" s="122">
        <f>C16</f>
        <v>360</v>
      </c>
    </row>
    <row r="17" spans="1:18" s="122" customFormat="1" ht="4.5" customHeight="1">
      <c r="A17" s="193"/>
      <c r="B17" s="339"/>
      <c r="C17" s="902"/>
      <c r="D17" s="902"/>
      <c r="E17" s="340"/>
      <c r="F17" s="338"/>
    </row>
    <row r="18" spans="1:18" s="122" customFormat="1" ht="14">
      <c r="A18" s="193"/>
      <c r="B18" s="919" t="s">
        <v>30010</v>
      </c>
      <c r="C18" s="921">
        <f>BDI!$D$26</f>
        <v>0.22500000000000001</v>
      </c>
      <c r="D18" s="918"/>
      <c r="E18" s="343" t="s">
        <v>30011</v>
      </c>
      <c r="F18" s="338"/>
    </row>
    <row r="19" spans="1:18" s="122" customFormat="1" ht="14">
      <c r="A19" s="193"/>
      <c r="B19" s="920"/>
      <c r="C19" s="921">
        <f>'BDI DIFE.'!$D$26</f>
        <v>0.14449999999999999</v>
      </c>
      <c r="D19" s="918"/>
      <c r="E19" s="343" t="s">
        <v>30012</v>
      </c>
      <c r="F19" s="338"/>
    </row>
    <row r="20" spans="1:18" s="122" customFormat="1" ht="4.5" customHeight="1">
      <c r="A20" s="193"/>
      <c r="B20" s="339"/>
      <c r="C20" s="902"/>
      <c r="D20" s="902"/>
      <c r="E20" s="340"/>
      <c r="F20" s="338"/>
    </row>
    <row r="21" spans="1:18" s="122" customFormat="1" ht="16" thickBot="1">
      <c r="A21" s="193"/>
      <c r="B21" s="344" t="s">
        <v>30013</v>
      </c>
      <c r="C21" s="908" t="s">
        <v>30419</v>
      </c>
      <c r="D21" s="909"/>
      <c r="E21" s="910"/>
      <c r="F21" s="338"/>
    </row>
    <row r="22" spans="1:18" s="122" customFormat="1" ht="15" thickBot="1">
      <c r="A22" s="193"/>
      <c r="B22" s="345"/>
      <c r="C22" s="345"/>
      <c r="D22" s="345"/>
      <c r="E22" s="345"/>
      <c r="F22" s="338"/>
    </row>
    <row r="23" spans="1:18" s="122" customFormat="1" ht="15" thickBot="1">
      <c r="A23" s="193"/>
      <c r="B23" s="911" t="s">
        <v>30014</v>
      </c>
      <c r="C23" s="912"/>
      <c r="D23" s="912"/>
      <c r="E23" s="913"/>
      <c r="F23" s="338"/>
      <c r="R23" s="346"/>
    </row>
    <row r="24" spans="1:18" s="122" customFormat="1" ht="4.5" customHeight="1">
      <c r="A24" s="193"/>
      <c r="B24" s="339"/>
      <c r="C24" s="902"/>
      <c r="D24" s="902"/>
      <c r="E24" s="340"/>
      <c r="F24" s="338"/>
    </row>
    <row r="25" spans="1:18" s="122" customFormat="1" ht="15">
      <c r="A25" s="347"/>
      <c r="B25" s="341" t="s">
        <v>30015</v>
      </c>
      <c r="C25" s="914">
        <v>3</v>
      </c>
      <c r="D25" s="915"/>
      <c r="E25" s="916"/>
      <c r="F25" s="348"/>
      <c r="K25" s="122" t="s">
        <v>30016</v>
      </c>
    </row>
    <row r="26" spans="1:18" s="122" customFormat="1" ht="4.5" customHeight="1">
      <c r="A26" s="193"/>
      <c r="B26" s="339"/>
      <c r="C26" s="902"/>
      <c r="D26" s="902"/>
      <c r="E26" s="340"/>
      <c r="F26" s="338"/>
      <c r="K26" s="122" t="s">
        <v>30019</v>
      </c>
    </row>
    <row r="27" spans="1:18" s="122" customFormat="1" ht="15">
      <c r="A27" s="332"/>
      <c r="B27" s="341" t="s">
        <v>30017</v>
      </c>
      <c r="C27" s="900">
        <v>3528</v>
      </c>
      <c r="D27" s="901"/>
      <c r="E27" s="343" t="s">
        <v>30018</v>
      </c>
      <c r="F27" s="334"/>
      <c r="K27" s="122" t="s">
        <v>30021</v>
      </c>
    </row>
    <row r="28" spans="1:18" s="122" customFormat="1" ht="4.5" customHeight="1">
      <c r="A28" s="193"/>
      <c r="B28" s="339"/>
      <c r="C28" s="902"/>
      <c r="D28" s="902"/>
      <c r="E28" s="340"/>
      <c r="F28" s="338"/>
    </row>
    <row r="29" spans="1:18" s="122" customFormat="1" ht="15">
      <c r="A29" s="332"/>
      <c r="B29" s="341" t="s">
        <v>30020</v>
      </c>
      <c r="C29" s="900">
        <v>0</v>
      </c>
      <c r="D29" s="901"/>
      <c r="E29" s="343" t="s">
        <v>30018</v>
      </c>
      <c r="F29" s="334"/>
    </row>
    <row r="30" spans="1:18" s="122" customFormat="1" ht="4.5" customHeight="1">
      <c r="A30" s="193"/>
      <c r="B30" s="339"/>
      <c r="C30" s="902"/>
      <c r="D30" s="902"/>
      <c r="E30" s="340"/>
      <c r="F30" s="338"/>
    </row>
    <row r="31" spans="1:18" s="122" customFormat="1" ht="15">
      <c r="A31" s="335"/>
      <c r="B31" s="341" t="s">
        <v>30022</v>
      </c>
      <c r="C31" s="900">
        <f>131.18*2+338</f>
        <v>600.36</v>
      </c>
      <c r="D31" s="901"/>
      <c r="E31" s="343" t="s">
        <v>30018</v>
      </c>
      <c r="F31" s="337"/>
    </row>
    <row r="32" spans="1:18" s="122" customFormat="1" ht="4.5" customHeight="1">
      <c r="A32" s="193"/>
      <c r="B32" s="339"/>
      <c r="C32" s="902"/>
      <c r="D32" s="902"/>
      <c r="E32" s="340"/>
      <c r="F32" s="338"/>
    </row>
    <row r="33" spans="1:8" s="122" customFormat="1" ht="15">
      <c r="A33" s="193"/>
      <c r="B33" s="341" t="s">
        <v>30023</v>
      </c>
      <c r="C33" s="900">
        <v>332.85</v>
      </c>
      <c r="D33" s="901"/>
      <c r="E33" s="343" t="s">
        <v>30018</v>
      </c>
      <c r="F33" s="338"/>
      <c r="H33" s="122" t="s">
        <v>41234</v>
      </c>
    </row>
    <row r="34" spans="1:8" s="122" customFormat="1" ht="4.5" customHeight="1">
      <c r="A34" s="193"/>
      <c r="B34" s="339"/>
      <c r="C34" s="902"/>
      <c r="D34" s="902"/>
      <c r="E34" s="340"/>
      <c r="F34" s="338"/>
    </row>
    <row r="35" spans="1:8" s="122" customFormat="1" ht="15">
      <c r="A35" s="193"/>
      <c r="B35" s="341" t="s">
        <v>30024</v>
      </c>
      <c r="C35" s="900">
        <f>SUM(C33+C31)</f>
        <v>933.21</v>
      </c>
      <c r="D35" s="901"/>
      <c r="E35" s="343" t="s">
        <v>30018</v>
      </c>
      <c r="F35" s="338"/>
      <c r="H35" s="346">
        <f ca="1">H14/C31</f>
        <v>5528.8474248784059</v>
      </c>
    </row>
    <row r="36" spans="1:8" s="122" customFormat="1" ht="4.5" customHeight="1" thickBot="1">
      <c r="A36" s="193"/>
      <c r="B36" s="349"/>
      <c r="C36" s="903"/>
      <c r="D36" s="903"/>
      <c r="E36" s="350"/>
      <c r="F36" s="338"/>
    </row>
    <row r="37" spans="1:8" s="122" customFormat="1" ht="14">
      <c r="A37" s="193"/>
      <c r="B37" s="351"/>
      <c r="C37" s="352"/>
      <c r="D37" s="353"/>
      <c r="E37" s="354"/>
      <c r="F37" s="338"/>
    </row>
    <row r="38" spans="1:8" s="122" customFormat="1" ht="14">
      <c r="A38" s="193"/>
      <c r="B38" s="351"/>
      <c r="C38" s="352"/>
      <c r="D38" s="353"/>
      <c r="E38" s="354"/>
      <c r="F38" s="338"/>
    </row>
    <row r="39" spans="1:8" s="122" customFormat="1" ht="14">
      <c r="A39" s="193"/>
      <c r="B39" s="351"/>
      <c r="C39" s="352"/>
      <c r="D39" s="353"/>
      <c r="E39" s="354"/>
      <c r="F39" s="355" t="str">
        <f>'Plan Orçamentária'!Y533</f>
        <v>JALES-SP, 08 DE JUNHO DE 2025</v>
      </c>
    </row>
    <row r="40" spans="1:8" s="122" customFormat="1" ht="14">
      <c r="A40" s="193"/>
      <c r="B40" s="351"/>
      <c r="C40" s="352"/>
      <c r="D40" s="356"/>
      <c r="E40" s="354"/>
      <c r="F40" s="338"/>
    </row>
    <row r="41" spans="1:8" s="122" customFormat="1" ht="14">
      <c r="A41" s="193"/>
      <c r="B41" s="351"/>
      <c r="C41" s="352"/>
      <c r="D41" s="353"/>
      <c r="E41" s="354"/>
      <c r="F41" s="338"/>
    </row>
    <row r="42" spans="1:8" s="122" customFormat="1" ht="14">
      <c r="A42" s="357"/>
      <c r="B42" s="358"/>
      <c r="C42" s="358"/>
      <c r="D42" s="358"/>
      <c r="E42" s="358"/>
      <c r="F42" s="359"/>
    </row>
    <row r="43" spans="1:8" s="122" customFormat="1" ht="14">
      <c r="A43" s="193"/>
      <c r="B43" s="360"/>
      <c r="C43" s="360"/>
      <c r="D43" s="360"/>
      <c r="E43" s="360"/>
      <c r="F43" s="338"/>
    </row>
    <row r="44" spans="1:8" s="122" customFormat="1" ht="14">
      <c r="A44" s="193"/>
      <c r="B44" s="351"/>
      <c r="C44" s="351"/>
      <c r="D44" s="351"/>
      <c r="E44" s="351"/>
      <c r="F44" s="338"/>
    </row>
    <row r="45" spans="1:8" s="122" customFormat="1" ht="14">
      <c r="A45" s="193"/>
      <c r="B45" s="351"/>
      <c r="C45" s="351"/>
      <c r="D45" s="351"/>
      <c r="E45" s="351"/>
      <c r="F45" s="338"/>
    </row>
    <row r="46" spans="1:8" s="122" customFormat="1" ht="14">
      <c r="A46" s="335"/>
      <c r="B46" s="336"/>
      <c r="C46" s="336"/>
      <c r="D46" s="336"/>
      <c r="E46" s="336"/>
      <c r="F46" s="337"/>
    </row>
    <row r="47" spans="1:8" s="122" customFormat="1" ht="14">
      <c r="A47" s="193"/>
      <c r="B47" s="351"/>
      <c r="C47" s="352"/>
      <c r="D47" s="353"/>
      <c r="E47" s="354"/>
      <c r="F47" s="338"/>
    </row>
    <row r="48" spans="1:8" s="122" customFormat="1" ht="14">
      <c r="A48" s="193"/>
      <c r="B48" s="351"/>
      <c r="C48" s="352"/>
      <c r="D48" s="353"/>
      <c r="E48" s="354"/>
      <c r="F48" s="338"/>
    </row>
    <row r="49" spans="1:11" s="122" customFormat="1" ht="14">
      <c r="A49" s="904" t="s">
        <v>30025</v>
      </c>
      <c r="B49" s="905"/>
      <c r="C49" s="905"/>
      <c r="D49" s="905"/>
      <c r="E49" s="905"/>
      <c r="F49" s="906"/>
    </row>
    <row r="50" spans="1:11" s="122" customFormat="1" ht="14">
      <c r="A50" s="193"/>
      <c r="B50" s="907" t="s">
        <v>27891</v>
      </c>
      <c r="C50" s="907"/>
      <c r="D50" s="907"/>
      <c r="E50" s="907"/>
      <c r="F50" s="338"/>
    </row>
    <row r="51" spans="1:11" s="122" customFormat="1" ht="14">
      <c r="A51" s="193"/>
      <c r="B51" s="898" t="str">
        <f>'Plan Orçamentária'!O541</f>
        <v>JOEL RODRIGO CARDOZO</v>
      </c>
      <c r="C51" s="898"/>
      <c r="D51" s="898"/>
      <c r="E51" s="898"/>
      <c r="F51" s="338"/>
      <c r="K51" s="119"/>
    </row>
    <row r="52" spans="1:11" s="122" customFormat="1" ht="15" thickBot="1">
      <c r="A52" s="361"/>
      <c r="B52" s="899" t="str">
        <f>'Plan Orçamentária'!O542</f>
        <v>CREA 506.404.151-8</v>
      </c>
      <c r="C52" s="899"/>
      <c r="D52" s="899"/>
      <c r="E52" s="899"/>
      <c r="F52" s="362"/>
      <c r="K52" s="119"/>
    </row>
    <row r="53" spans="1:11">
      <c r="A53" s="121"/>
      <c r="B53" s="121"/>
      <c r="C53" s="121"/>
      <c r="D53" s="121"/>
      <c r="E53" s="121"/>
      <c r="F53" s="121"/>
    </row>
  </sheetData>
  <mergeCells count="33">
    <mergeCell ref="C13:D13"/>
    <mergeCell ref="A1:F3"/>
    <mergeCell ref="B5:F5"/>
    <mergeCell ref="B6:F6"/>
    <mergeCell ref="B7:F7"/>
    <mergeCell ref="B12:E12"/>
    <mergeCell ref="C14:E14"/>
    <mergeCell ref="C15:D15"/>
    <mergeCell ref="C16:D16"/>
    <mergeCell ref="C17:D17"/>
    <mergeCell ref="B18:B19"/>
    <mergeCell ref="C18:D18"/>
    <mergeCell ref="C19:D19"/>
    <mergeCell ref="C32:D32"/>
    <mergeCell ref="C20:D20"/>
    <mergeCell ref="C21:E21"/>
    <mergeCell ref="B23:E23"/>
    <mergeCell ref="C24:D24"/>
    <mergeCell ref="C25:E25"/>
    <mergeCell ref="C26:D26"/>
    <mergeCell ref="C27:D27"/>
    <mergeCell ref="C28:D28"/>
    <mergeCell ref="C29:D29"/>
    <mergeCell ref="C30:D30"/>
    <mergeCell ref="C31:D31"/>
    <mergeCell ref="B51:E51"/>
    <mergeCell ref="B52:E52"/>
    <mergeCell ref="C33:D33"/>
    <mergeCell ref="C34:D34"/>
    <mergeCell ref="C35:D35"/>
    <mergeCell ref="C36:D36"/>
    <mergeCell ref="A49:F49"/>
    <mergeCell ref="B50:E50"/>
  </mergeCells>
  <printOptions horizontalCentered="1"/>
  <pageMargins left="0.51181102362204722" right="0.51181102362204722" top="0.78740157480314965" bottom="0.78740157480314965" header="0.31496062992125984" footer="0.31496062992125984"/>
  <pageSetup paperSize="9" scale="8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Drop Down 1">
              <controlPr defaultSize="0" autoLine="0" autoPict="0">
                <anchor moveWithCells="1">
                  <from>
                    <xdr:col>2</xdr:col>
                    <xdr:colOff>25400</xdr:colOff>
                    <xdr:row>24</xdr:row>
                    <xdr:rowOff>25400</xdr:rowOff>
                  </from>
                  <to>
                    <xdr:col>4</xdr:col>
                    <xdr:colOff>1016000</xdr:colOff>
                    <xdr:row>24</xdr:row>
                    <xdr:rowOff>203200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FC265-7619-4F67-942F-99F2EE337F95}">
  <sheetPr codeName="Planilha80"/>
  <dimension ref="A1:R49"/>
  <sheetViews>
    <sheetView showGridLines="0" view="pageBreakPreview" zoomScaleNormal="100" zoomScaleSheetLayoutView="100" workbookViewId="0">
      <selection activeCell="K17" sqref="K17"/>
    </sheetView>
  </sheetViews>
  <sheetFormatPr baseColWidth="10" defaultColWidth="9.1640625" defaultRowHeight="13"/>
  <cols>
    <col min="1" max="1" width="12.5" style="119" customWidth="1"/>
    <col min="2" max="2" width="47.33203125" style="119" customWidth="1"/>
    <col min="3" max="4" width="10.6640625" style="119" customWidth="1"/>
    <col min="5" max="5" width="15.5" style="119" customWidth="1"/>
    <col min="6" max="6" width="10.83203125" style="119" bestFit="1" customWidth="1"/>
    <col min="7" max="7" width="9.1640625" style="119"/>
    <col min="8" max="8" width="14.5" style="119" bestFit="1" customWidth="1"/>
    <col min="9" max="10" width="10.5" style="119" bestFit="1" customWidth="1"/>
    <col min="11" max="11" width="19.1640625" style="119" bestFit="1" customWidth="1"/>
    <col min="12" max="12" width="13.6640625" style="119" bestFit="1" customWidth="1"/>
    <col min="13" max="17" width="9.1640625" style="119"/>
    <col min="18" max="18" width="12.33203125" style="119" bestFit="1" customWidth="1"/>
    <col min="19" max="16384" width="9.1640625" style="119"/>
  </cols>
  <sheetData>
    <row r="1" spans="1:12" ht="12.75" customHeight="1">
      <c r="A1" s="922"/>
      <c r="B1" s="923"/>
      <c r="C1" s="923"/>
      <c r="D1" s="923"/>
      <c r="E1" s="923"/>
      <c r="F1" s="924"/>
    </row>
    <row r="2" spans="1:12" ht="102.75" customHeight="1">
      <c r="A2" s="852"/>
      <c r="B2" s="853"/>
      <c r="C2" s="853"/>
      <c r="D2" s="853"/>
      <c r="E2" s="853"/>
      <c r="F2" s="854"/>
    </row>
    <row r="3" spans="1:12" ht="19.5" customHeight="1" thickBot="1">
      <c r="A3" s="849"/>
      <c r="B3" s="850"/>
      <c r="C3" s="850"/>
      <c r="D3" s="850"/>
      <c r="E3" s="850"/>
      <c r="F3" s="851"/>
    </row>
    <row r="4" spans="1:12" ht="15" thickBot="1">
      <c r="A4" s="322"/>
      <c r="B4" s="323"/>
      <c r="C4" s="323"/>
      <c r="D4" s="323"/>
      <c r="E4" s="323"/>
      <c r="F4" s="324"/>
    </row>
    <row r="5" spans="1:12" ht="14">
      <c r="A5" s="325" t="s">
        <v>27896</v>
      </c>
      <c r="B5" s="925" t="str">
        <f>Capa!B28</f>
        <v>DELEGACIA SECCIONAL DE POLÍCIA DE JALES</v>
      </c>
      <c r="C5" s="925"/>
      <c r="D5" s="925"/>
      <c r="E5" s="925"/>
      <c r="F5" s="926"/>
    </row>
    <row r="6" spans="1:12" ht="14">
      <c r="A6" s="326" t="s">
        <v>30005</v>
      </c>
      <c r="B6" s="941" t="str">
        <f>Capa!B11</f>
        <v>ADEQUAÇÃO E AMPLIAÇÃO DE IMÓVEL PARA A INSTALAÇÃO DA DELEGACIA DE DEFESA DA MULHER</v>
      </c>
      <c r="C6" s="941"/>
      <c r="D6" s="941"/>
      <c r="E6" s="941"/>
      <c r="F6" s="942"/>
    </row>
    <row r="7" spans="1:12" ht="15" thickBot="1">
      <c r="A7" s="327" t="s">
        <v>27924</v>
      </c>
      <c r="B7" s="929" t="str">
        <f>Capa!B29</f>
        <v>RUA TRÊS, S/Nº, CENTRO - JALES/SP</v>
      </c>
      <c r="C7" s="929"/>
      <c r="D7" s="929"/>
      <c r="E7" s="929"/>
      <c r="F7" s="930"/>
    </row>
    <row r="8" spans="1:12" ht="15" thickBot="1">
      <c r="A8" s="328"/>
      <c r="B8" s="329"/>
      <c r="C8" s="330"/>
      <c r="D8" s="330"/>
      <c r="E8" s="330"/>
      <c r="F8" s="331"/>
    </row>
    <row r="9" spans="1:12" ht="16.5" customHeight="1">
      <c r="A9" s="943" t="s">
        <v>41274</v>
      </c>
      <c r="B9" s="944"/>
      <c r="C9" s="944"/>
      <c r="D9" s="944"/>
      <c r="E9" s="944"/>
      <c r="F9" s="945"/>
    </row>
    <row r="10" spans="1:12" s="122" customFormat="1" ht="16.5" customHeight="1" thickBot="1">
      <c r="A10" s="946"/>
      <c r="B10" s="947"/>
      <c r="C10" s="947"/>
      <c r="D10" s="947"/>
      <c r="E10" s="947"/>
      <c r="F10" s="948"/>
    </row>
    <row r="11" spans="1:12" s="122" customFormat="1" ht="15" thickBot="1">
      <c r="A11" s="335"/>
      <c r="B11" s="336"/>
      <c r="C11" s="336"/>
      <c r="D11" s="336"/>
      <c r="E11" s="336"/>
      <c r="F11" s="337"/>
      <c r="H11" s="342"/>
      <c r="K11" s="346"/>
    </row>
    <row r="12" spans="1:12" s="122" customFormat="1" ht="16.5" customHeight="1">
      <c r="A12" s="810" t="s">
        <v>27883</v>
      </c>
      <c r="B12" s="811" t="s">
        <v>10494</v>
      </c>
      <c r="C12" s="949" t="s">
        <v>41272</v>
      </c>
      <c r="D12" s="949"/>
      <c r="E12" s="949" t="s">
        <v>41273</v>
      </c>
      <c r="F12" s="950"/>
      <c r="H12" s="122" t="s">
        <v>41777</v>
      </c>
    </row>
    <row r="13" spans="1:12" s="122" customFormat="1" ht="14">
      <c r="A13" s="650">
        <v>1</v>
      </c>
      <c r="B13" s="809" t="str">
        <f ca="1">VLOOKUP(A13,'Plan Orçamentária'!$O:$Y,4,FALSE)</f>
        <v>SERVIÇOS INICIAIS</v>
      </c>
      <c r="C13" s="931">
        <f ca="1">VLOOKUP(A13,'Plan Orçamentária'!$O:$Y,8,FALSE)</f>
        <v>36058.630000000005</v>
      </c>
      <c r="D13" s="931"/>
      <c r="E13" s="931">
        <f ca="1">VLOOKUP(A13,'Plan Orçamentária'!$O:$Y,11,FALSE)</f>
        <v>44171.420000000006</v>
      </c>
      <c r="F13" s="932"/>
    </row>
    <row r="14" spans="1:12" s="122" customFormat="1" ht="14">
      <c r="A14" s="650">
        <v>2</v>
      </c>
      <c r="B14" s="809" t="str">
        <f ca="1">VLOOKUP(A14,'Plan Orçamentária'!$O:$Y,4,FALSE)</f>
        <v>CANTEIRO DE OBRAS</v>
      </c>
      <c r="C14" s="931">
        <f ca="1">VLOOKUP(A14,'Plan Orçamentária'!$O:$Y,8,FALSE)</f>
        <v>9938.01</v>
      </c>
      <c r="D14" s="931"/>
      <c r="E14" s="931">
        <f ca="1">VLOOKUP(A14,'Plan Orçamentária'!$O:$Y,11,FALSE)</f>
        <v>12171.2</v>
      </c>
      <c r="F14" s="932"/>
      <c r="H14" s="342"/>
      <c r="K14" s="346"/>
      <c r="L14" s="342"/>
    </row>
    <row r="15" spans="1:12" s="122" customFormat="1" ht="14">
      <c r="A15" s="650">
        <v>3</v>
      </c>
      <c r="B15" s="809" t="str">
        <f ca="1">VLOOKUP(A15,'Plan Orçamentária'!$O:$Y,4,FALSE)</f>
        <v>ADMINISTRAÇÃO LOCAL DE OBRA</v>
      </c>
      <c r="C15" s="931">
        <f ca="1">VLOOKUP(A15,'Plan Orçamentária'!$O:$Y,8,FALSE)</f>
        <v>58546.400000000001</v>
      </c>
      <c r="D15" s="931"/>
      <c r="E15" s="931">
        <f ca="1">VLOOKUP(A15,'Plan Orçamentária'!$O:$Y,11,FALSE)</f>
        <v>71715.600000000006</v>
      </c>
      <c r="F15" s="932"/>
      <c r="I15" s="342"/>
    </row>
    <row r="16" spans="1:12" s="122" customFormat="1" ht="14">
      <c r="A16" s="650">
        <v>4</v>
      </c>
      <c r="B16" s="809" t="str">
        <f ca="1">VLOOKUP(A16,'Plan Orçamentária'!$O:$Y,4,FALSE)</f>
        <v>RETIRADAS E DEMOLIÇÕES</v>
      </c>
      <c r="C16" s="931">
        <f ca="1">VLOOKUP(A16,'Plan Orçamentária'!$O:$Y,8,FALSE)</f>
        <v>4750.05</v>
      </c>
      <c r="D16" s="931"/>
      <c r="E16" s="931">
        <f ca="1">VLOOKUP(A16,'Plan Orçamentária'!$O:$Y,11,FALSE)</f>
        <v>5817.7599999999993</v>
      </c>
      <c r="F16" s="932"/>
      <c r="H16" s="342"/>
      <c r="K16" s="346"/>
      <c r="L16" s="342"/>
    </row>
    <row r="17" spans="1:12" s="122" customFormat="1" ht="14">
      <c r="A17" s="650">
        <v>5</v>
      </c>
      <c r="B17" s="809" t="str">
        <f ca="1">VLOOKUP(A17,'Plan Orçamentária'!$O:$Y,4,FALSE)</f>
        <v>EQUIPAMENTOS PARA TRABALHO EM ALTURA</v>
      </c>
      <c r="C17" s="931">
        <f ca="1">VLOOKUP(A17,'Plan Orçamentária'!$O:$Y,8,FALSE)</f>
        <v>59049.78</v>
      </c>
      <c r="D17" s="931"/>
      <c r="E17" s="931">
        <f ca="1">VLOOKUP(A17,'Plan Orçamentária'!$O:$Y,11,FALSE)</f>
        <v>72314.28</v>
      </c>
      <c r="F17" s="932"/>
      <c r="I17" s="342"/>
    </row>
    <row r="18" spans="1:12" s="122" customFormat="1" ht="14">
      <c r="A18" s="650">
        <v>6</v>
      </c>
      <c r="B18" s="809" t="str">
        <f ca="1">VLOOKUP(A18,'Plan Orçamentária'!$O:$Y,4,FALSE)</f>
        <v>LIMPEZA DO TERRENO</v>
      </c>
      <c r="C18" s="931">
        <f ca="1">VLOOKUP(A18,'Plan Orçamentária'!$O:$Y,8,FALSE)</f>
        <v>11169.23</v>
      </c>
      <c r="D18" s="931"/>
      <c r="E18" s="931">
        <f ca="1">VLOOKUP(A18,'Plan Orçamentária'!$O:$Y,11,FALSE)</f>
        <v>13671.29</v>
      </c>
      <c r="F18" s="932"/>
      <c r="H18" s="342"/>
      <c r="K18" s="346"/>
      <c r="L18" s="342"/>
    </row>
    <row r="19" spans="1:12" s="122" customFormat="1" ht="14">
      <c r="A19" s="650">
        <v>7</v>
      </c>
      <c r="B19" s="809" t="str">
        <f ca="1">VLOOKUP(A19,'Plan Orçamentária'!$O:$Y,4,FALSE)</f>
        <v>ESTRUTURA DE CONCRETO</v>
      </c>
      <c r="C19" s="931">
        <f ca="1">VLOOKUP(A19,'Plan Orçamentária'!$O:$Y,8,FALSE)</f>
        <v>292782.51</v>
      </c>
      <c r="D19" s="931"/>
      <c r="E19" s="931">
        <f ca="1">VLOOKUP(A19,'Plan Orçamentária'!$O:$Y,11,FALSE)</f>
        <v>358635.42</v>
      </c>
      <c r="F19" s="932"/>
      <c r="I19" s="342"/>
    </row>
    <row r="20" spans="1:12" s="122" customFormat="1" ht="14">
      <c r="A20" s="650">
        <v>8</v>
      </c>
      <c r="B20" s="809" t="str">
        <f ca="1">VLOOKUP(A20,'Plan Orçamentária'!$O:$Y,4,FALSE)</f>
        <v>COBERTURA E PERGOLADO</v>
      </c>
      <c r="C20" s="931">
        <f ca="1">VLOOKUP(A20,'Plan Orçamentária'!$O:$Y,8,FALSE)</f>
        <v>122872.51</v>
      </c>
      <c r="D20" s="931"/>
      <c r="E20" s="931">
        <f ca="1">VLOOKUP(A20,'Plan Orçamentária'!$O:$Y,11,FALSE)</f>
        <v>150501.62000000002</v>
      </c>
      <c r="F20" s="932"/>
    </row>
    <row r="21" spans="1:12" s="122" customFormat="1" ht="14">
      <c r="A21" s="650">
        <v>9</v>
      </c>
      <c r="B21" s="809" t="str">
        <f ca="1">VLOOKUP(A21,'Plan Orçamentária'!$O:$Y,4,FALSE)</f>
        <v>PAREDES E PAINEIS</v>
      </c>
      <c r="C21" s="931">
        <f ca="1">VLOOKUP(A21,'Plan Orçamentária'!$O:$Y,8,FALSE)</f>
        <v>178886.86000000002</v>
      </c>
      <c r="D21" s="931"/>
      <c r="E21" s="931">
        <f ca="1">VLOOKUP(A21,'Plan Orçamentária'!$O:$Y,11,FALSE)</f>
        <v>219132.59000000003</v>
      </c>
      <c r="F21" s="932"/>
      <c r="H21" s="342"/>
      <c r="K21" s="346"/>
      <c r="L21" s="342"/>
    </row>
    <row r="22" spans="1:12" s="122" customFormat="1" ht="14">
      <c r="A22" s="650">
        <v>10</v>
      </c>
      <c r="B22" s="809" t="str">
        <f ca="1">VLOOKUP(A22,'Plan Orçamentária'!$O:$Y,4,FALSE)</f>
        <v>ESQUADRIAS</v>
      </c>
      <c r="C22" s="931">
        <f ca="1">VLOOKUP(A22,'Plan Orçamentária'!$O:$Y,8,FALSE)</f>
        <v>254749.37</v>
      </c>
      <c r="D22" s="931"/>
      <c r="E22" s="931">
        <f ca="1">VLOOKUP(A22,'Plan Orçamentária'!$O:$Y,11,FALSE)</f>
        <v>312066.77999999997</v>
      </c>
      <c r="F22" s="932"/>
      <c r="I22" s="342"/>
    </row>
    <row r="23" spans="1:12" s="122" customFormat="1" ht="14">
      <c r="A23" s="650">
        <v>11</v>
      </c>
      <c r="B23" s="809" t="str">
        <f ca="1">VLOOKUP(A23,'Plan Orçamentária'!$O:$Y,4,FALSE)</f>
        <v>REVESTIMENTOS DE PAREDES</v>
      </c>
      <c r="C23" s="931">
        <f ca="1">VLOOKUP(A23,'Plan Orçamentária'!$O:$Y,8,FALSE)</f>
        <v>88381.69</v>
      </c>
      <c r="D23" s="931"/>
      <c r="E23" s="931">
        <f ca="1">VLOOKUP(A23,'Plan Orçamentária'!$O:$Y,11,FALSE)</f>
        <v>108249.68999999999</v>
      </c>
      <c r="F23" s="932"/>
      <c r="H23" s="342"/>
      <c r="K23" s="346"/>
      <c r="L23" s="342"/>
    </row>
    <row r="24" spans="1:12" s="122" customFormat="1" ht="14">
      <c r="A24" s="650">
        <v>12</v>
      </c>
      <c r="B24" s="809" t="str">
        <f ca="1">VLOOKUP(A24,'Plan Orçamentária'!$O:$Y,4,FALSE)</f>
        <v>REVESTIMENTOS DE TETO</v>
      </c>
      <c r="C24" s="931">
        <f ca="1">VLOOKUP(A24,'Plan Orçamentária'!$O:$Y,8,FALSE)</f>
        <v>69091.27</v>
      </c>
      <c r="D24" s="931"/>
      <c r="E24" s="931">
        <f ca="1">VLOOKUP(A24,'Plan Orçamentária'!$O:$Y,11,FALSE)</f>
        <v>84633.75</v>
      </c>
      <c r="F24" s="932"/>
      <c r="I24" s="342"/>
    </row>
    <row r="25" spans="1:12" s="122" customFormat="1" ht="14">
      <c r="A25" s="650">
        <v>13</v>
      </c>
      <c r="B25" s="809" t="str">
        <f ca="1">VLOOKUP(A25,'Plan Orçamentária'!$O:$Y,4,FALSE)</f>
        <v xml:space="preserve">PISOS </v>
      </c>
      <c r="C25" s="931">
        <f ca="1">VLOOKUP(A25,'Plan Orçamentária'!$O:$Y,8,FALSE)</f>
        <v>294463.68</v>
      </c>
      <c r="D25" s="931"/>
      <c r="E25" s="931">
        <f ca="1">VLOOKUP(A25,'Plan Orçamentária'!$O:$Y,11,FALSE)</f>
        <v>360705.42</v>
      </c>
      <c r="F25" s="932"/>
      <c r="H25" s="342"/>
      <c r="K25" s="346"/>
      <c r="L25" s="342"/>
    </row>
    <row r="26" spans="1:12" s="122" customFormat="1" ht="14">
      <c r="A26" s="650">
        <v>14</v>
      </c>
      <c r="B26" s="809" t="str">
        <f ca="1">VLOOKUP(A26,'Plan Orçamentária'!$O:$Y,4,FALSE)</f>
        <v>INSTALAÇÕES HIDRÁULICAS</v>
      </c>
      <c r="C26" s="931">
        <f ca="1">VLOOKUP(A26,'Plan Orçamentária'!$O:$Y,8,FALSE)</f>
        <v>137189.85</v>
      </c>
      <c r="D26" s="931"/>
      <c r="E26" s="931">
        <f ca="1">VLOOKUP(A26,'Plan Orçamentária'!$O:$Y,11,FALSE)</f>
        <v>168051.74000000002</v>
      </c>
      <c r="F26" s="932"/>
      <c r="I26" s="342"/>
    </row>
    <row r="27" spans="1:12" s="122" customFormat="1" ht="14">
      <c r="A27" s="650">
        <v>15</v>
      </c>
      <c r="B27" s="809" t="str">
        <f ca="1">VLOOKUP(A27,'Plan Orçamentária'!$O:$Y,4,FALSE)</f>
        <v>INSTALAÇÕES ELÉTRICA</v>
      </c>
      <c r="C27" s="931">
        <f ca="1">VLOOKUP(A27,'Plan Orçamentária'!$O:$Y,8,FALSE)</f>
        <v>313938.44</v>
      </c>
      <c r="D27" s="931"/>
      <c r="E27" s="931">
        <f ca="1">VLOOKUP(A27,'Plan Orçamentária'!$O:$Y,11,FALSE)</f>
        <v>384510.61999999988</v>
      </c>
      <c r="F27" s="932"/>
    </row>
    <row r="28" spans="1:12" s="122" customFormat="1" ht="14">
      <c r="A28" s="650">
        <v>16</v>
      </c>
      <c r="B28" s="809" t="str">
        <f ca="1">VLOOKUP(A28,'Plan Orçamentária'!$O:$Y,4,FALSE)</f>
        <v>PREVENÇÃO E COMBATE Â INCÊNDIO</v>
      </c>
      <c r="C28" s="931">
        <f ca="1">VLOOKUP(A28,'Plan Orçamentária'!$O:$Y,8,FALSE)</f>
        <v>54451.349999999991</v>
      </c>
      <c r="D28" s="931"/>
      <c r="E28" s="931">
        <f ca="1">VLOOKUP(A28,'Plan Orçamentária'!$O:$Y,11,FALSE)</f>
        <v>66701.850000000006</v>
      </c>
      <c r="F28" s="932"/>
      <c r="H28" s="342"/>
      <c r="K28" s="346"/>
      <c r="L28" s="342"/>
    </row>
    <row r="29" spans="1:12" s="122" customFormat="1" ht="14">
      <c r="A29" s="650">
        <v>17</v>
      </c>
      <c r="B29" s="809" t="str">
        <f ca="1">VLOOKUP(A29,'Plan Orçamentária'!$O:$Y,4,FALSE)</f>
        <v>CLIMATIZAÇÃO E VENTILAÇÃO</v>
      </c>
      <c r="C29" s="931">
        <f ca="1">VLOOKUP(A29,'Plan Orçamentária'!$O:$Y,8,FALSE)</f>
        <v>133963.56999999998</v>
      </c>
      <c r="D29" s="931"/>
      <c r="E29" s="931">
        <f ca="1">VLOOKUP(A29,'Plan Orçamentária'!$O:$Y,11,FALSE)</f>
        <v>164097.24000000002</v>
      </c>
      <c r="F29" s="932"/>
      <c r="I29" s="342"/>
    </row>
    <row r="30" spans="1:12" s="122" customFormat="1" ht="14">
      <c r="A30" s="650">
        <v>18</v>
      </c>
      <c r="B30" s="809" t="str">
        <f ca="1">VLOOKUP(A30,'Plan Orçamentária'!$O:$Y,4,FALSE)</f>
        <v>PINTURA</v>
      </c>
      <c r="C30" s="931">
        <f ca="1">VLOOKUP(A30,'Plan Orçamentária'!$O:$Y,8,FALSE)</f>
        <v>213680.29999999996</v>
      </c>
      <c r="D30" s="931"/>
      <c r="E30" s="931">
        <f ca="1">VLOOKUP(A30,'Plan Orçamentária'!$O:$Y,11,FALSE)</f>
        <v>261717.55000000002</v>
      </c>
      <c r="F30" s="932"/>
      <c r="H30" s="342"/>
      <c r="K30" s="346"/>
      <c r="L30" s="342"/>
    </row>
    <row r="31" spans="1:12" s="122" customFormat="1" ht="14">
      <c r="A31" s="650">
        <v>19</v>
      </c>
      <c r="B31" s="809" t="str">
        <f ca="1">VLOOKUP(A31,'Plan Orçamentária'!$O:$Y,4,FALSE)</f>
        <v>COMUNICAÇÃO VISUAL E ACESSIBILIDADE</v>
      </c>
      <c r="C31" s="931">
        <f ca="1">VLOOKUP(A31,'Plan Orçamentária'!$O:$Y,8,FALSE)</f>
        <v>26681.83</v>
      </c>
      <c r="D31" s="931"/>
      <c r="E31" s="931">
        <f ca="1">VLOOKUP(A31,'Plan Orçamentária'!$O:$Y,11,FALSE)</f>
        <v>32683.85</v>
      </c>
      <c r="F31" s="932"/>
      <c r="I31" s="342"/>
    </row>
    <row r="32" spans="1:12" s="122" customFormat="1" ht="14">
      <c r="A32" s="650">
        <v>20</v>
      </c>
      <c r="B32" s="809" t="str">
        <f ca="1">VLOOKUP(A32,'Plan Orçamentária'!$O:$Y,4,FALSE)</f>
        <v>DELEGACIA SECCIONAL DE POLICIA</v>
      </c>
      <c r="C32" s="931">
        <f ca="1">VLOOKUP(A32,'Plan Orçamentária'!$O:$Y,8,FALSE)</f>
        <v>120538.21999999997</v>
      </c>
      <c r="D32" s="931"/>
      <c r="E32" s="931">
        <f ca="1">VLOOKUP(A32,'Plan Orçamentária'!$O:$Y,11,FALSE)</f>
        <v>147655.49000000002</v>
      </c>
      <c r="F32" s="932"/>
      <c r="H32" s="342"/>
      <c r="K32" s="346"/>
      <c r="L32" s="342"/>
    </row>
    <row r="33" spans="1:18" s="122" customFormat="1" ht="14">
      <c r="A33" s="650">
        <v>21</v>
      </c>
      <c r="B33" s="809" t="str">
        <f ca="1">VLOOKUP(A33,'Plan Orçamentária'!$O:$Y,4,FALSE)</f>
        <v>SERVIÇOS COMPLEMENTARES</v>
      </c>
      <c r="C33" s="931">
        <f ca="1">VLOOKUP(A33,'Plan Orçamentária'!$O:$Y,8,FALSE)</f>
        <v>228655.92999999996</v>
      </c>
      <c r="D33" s="931"/>
      <c r="E33" s="931">
        <f ca="1">VLOOKUP(A33,'Plan Orçamentária'!$O:$Y,11,FALSE)</f>
        <v>280093.68</v>
      </c>
      <c r="F33" s="932"/>
      <c r="I33" s="342"/>
    </row>
    <row r="34" spans="1:18" s="122" customFormat="1" ht="15" thickBot="1">
      <c r="A34" s="939" t="s">
        <v>27889</v>
      </c>
      <c r="B34" s="940"/>
      <c r="C34" s="934">
        <f ca="1">SUM(C13:D33)</f>
        <v>2709839.48</v>
      </c>
      <c r="D34" s="934"/>
      <c r="E34" s="934">
        <f ca="1">SUM(E13:F33)</f>
        <v>3319298.8400000003</v>
      </c>
      <c r="F34" s="935"/>
      <c r="H34" s="672" cm="1">
        <f t="array" ref="H34:I34">'FOLHA RESUMO'!C35:D35</f>
        <v>933.21</v>
      </c>
      <c r="I34" s="122">
        <v>0</v>
      </c>
      <c r="R34" s="346"/>
    </row>
    <row r="35" spans="1:18" s="122" customFormat="1" ht="15" thickBot="1">
      <c r="A35" s="937" t="s">
        <v>41778</v>
      </c>
      <c r="B35" s="938"/>
      <c r="C35" s="933">
        <f ca="1">C34/H34</f>
        <v>2903.7831570600401</v>
      </c>
      <c r="D35" s="933"/>
      <c r="E35" s="933">
        <f ca="1">E34/H34</f>
        <v>3556.8616281437194</v>
      </c>
      <c r="F35" s="936"/>
    </row>
    <row r="36" spans="1:18" s="122" customFormat="1" ht="14">
      <c r="A36" s="193"/>
      <c r="B36" s="351"/>
      <c r="C36" s="352"/>
      <c r="D36" s="353"/>
      <c r="E36" s="354"/>
      <c r="F36" s="338"/>
    </row>
    <row r="37" spans="1:18" s="122" customFormat="1" ht="14">
      <c r="A37" s="193"/>
      <c r="B37" s="351"/>
      <c r="C37" s="352"/>
      <c r="D37" s="353"/>
      <c r="E37" s="354"/>
      <c r="F37" s="355" t="str">
        <f>'Plan Orçamentária'!Y533</f>
        <v>JALES-SP, 08 DE JUNHO DE 2025</v>
      </c>
    </row>
    <row r="38" spans="1:18" s="122" customFormat="1" ht="14">
      <c r="A38" s="357"/>
      <c r="B38" s="358"/>
      <c r="C38" s="358"/>
      <c r="D38" s="358"/>
      <c r="E38" s="358"/>
      <c r="F38" s="359"/>
    </row>
    <row r="39" spans="1:18" s="122" customFormat="1" ht="14">
      <c r="A39" s="193"/>
      <c r="B39" s="360"/>
      <c r="C39" s="360"/>
      <c r="D39" s="360"/>
      <c r="E39" s="360"/>
      <c r="F39" s="338"/>
    </row>
    <row r="40" spans="1:18" s="122" customFormat="1" ht="14">
      <c r="A40" s="193"/>
      <c r="B40" s="351"/>
      <c r="C40" s="351"/>
      <c r="D40" s="351"/>
      <c r="E40" s="351"/>
      <c r="F40" s="338"/>
    </row>
    <row r="41" spans="1:18" s="122" customFormat="1" ht="14">
      <c r="A41" s="193"/>
      <c r="B41" s="351"/>
      <c r="C41" s="351"/>
      <c r="D41" s="351"/>
      <c r="E41" s="351"/>
      <c r="F41" s="338"/>
    </row>
    <row r="42" spans="1:18" s="122" customFormat="1" ht="14">
      <c r="A42" s="335"/>
      <c r="B42" s="336"/>
      <c r="C42" s="336"/>
      <c r="D42" s="336"/>
      <c r="E42" s="336"/>
      <c r="F42" s="337"/>
    </row>
    <row r="43" spans="1:18" s="122" customFormat="1" ht="14">
      <c r="A43" s="193"/>
      <c r="B43" s="351"/>
      <c r="C43" s="352"/>
      <c r="D43" s="353"/>
      <c r="E43" s="354"/>
      <c r="F43" s="338"/>
    </row>
    <row r="44" spans="1:18" s="122" customFormat="1" ht="14">
      <c r="A44" s="193"/>
      <c r="B44" s="351"/>
      <c r="C44" s="352"/>
      <c r="D44" s="353"/>
      <c r="E44" s="354"/>
      <c r="F44" s="338"/>
    </row>
    <row r="45" spans="1:18" s="122" customFormat="1" ht="14">
      <c r="A45" s="904" t="s">
        <v>30025</v>
      </c>
      <c r="B45" s="905"/>
      <c r="C45" s="905"/>
      <c r="D45" s="905"/>
      <c r="E45" s="905"/>
      <c r="F45" s="906"/>
    </row>
    <row r="46" spans="1:18" s="122" customFormat="1" ht="14">
      <c r="A46" s="193"/>
      <c r="B46" s="907" t="s">
        <v>27891</v>
      </c>
      <c r="C46" s="907"/>
      <c r="D46" s="907"/>
      <c r="E46" s="907"/>
      <c r="F46" s="338"/>
    </row>
    <row r="47" spans="1:18" s="122" customFormat="1" ht="14">
      <c r="A47" s="193"/>
      <c r="B47" s="898" t="str">
        <f>'Plan Orçamentária'!O541</f>
        <v>JOEL RODRIGO CARDOZO</v>
      </c>
      <c r="C47" s="898"/>
      <c r="D47" s="898"/>
      <c r="E47" s="898"/>
      <c r="F47" s="338"/>
      <c r="K47" s="119"/>
    </row>
    <row r="48" spans="1:18" s="122" customFormat="1" ht="15" thickBot="1">
      <c r="A48" s="361"/>
      <c r="B48" s="899" t="str">
        <f>'Plan Orçamentária'!O542</f>
        <v>CREA 506.404.151-8</v>
      </c>
      <c r="C48" s="899"/>
      <c r="D48" s="899"/>
      <c r="E48" s="899"/>
      <c r="F48" s="362"/>
      <c r="K48" s="119"/>
    </row>
    <row r="49" spans="1:6">
      <c r="A49" s="121"/>
      <c r="B49" s="121"/>
      <c r="C49" s="121"/>
      <c r="D49" s="121"/>
      <c r="E49" s="121"/>
      <c r="F49" s="121"/>
    </row>
  </sheetData>
  <mergeCells count="59">
    <mergeCell ref="A1:F3"/>
    <mergeCell ref="B5:F5"/>
    <mergeCell ref="B6:F6"/>
    <mergeCell ref="B7:F7"/>
    <mergeCell ref="C27:D27"/>
    <mergeCell ref="A9:F10"/>
    <mergeCell ref="C12:D12"/>
    <mergeCell ref="E12:F12"/>
    <mergeCell ref="E27:F27"/>
    <mergeCell ref="C20:D20"/>
    <mergeCell ref="E20:F20"/>
    <mergeCell ref="C21:D21"/>
    <mergeCell ref="E21:F21"/>
    <mergeCell ref="C22:D22"/>
    <mergeCell ref="E22:F22"/>
    <mergeCell ref="C23:D23"/>
    <mergeCell ref="B48:E48"/>
    <mergeCell ref="C32:D32"/>
    <mergeCell ref="E32:F32"/>
    <mergeCell ref="C33:D33"/>
    <mergeCell ref="E33:F33"/>
    <mergeCell ref="B47:E47"/>
    <mergeCell ref="A45:F45"/>
    <mergeCell ref="B46:E46"/>
    <mergeCell ref="C35:D35"/>
    <mergeCell ref="C34:D34"/>
    <mergeCell ref="E34:F34"/>
    <mergeCell ref="E35:F35"/>
    <mergeCell ref="A35:B35"/>
    <mergeCell ref="A34:B34"/>
    <mergeCell ref="C28:D28"/>
    <mergeCell ref="E28:F28"/>
    <mergeCell ref="C31:D31"/>
    <mergeCell ref="E31:F31"/>
    <mergeCell ref="C29:D29"/>
    <mergeCell ref="E29:F29"/>
    <mergeCell ref="C30:D30"/>
    <mergeCell ref="E30:F30"/>
    <mergeCell ref="E23:F23"/>
    <mergeCell ref="C24:D24"/>
    <mergeCell ref="E24:F24"/>
    <mergeCell ref="C25:D25"/>
    <mergeCell ref="E25:F25"/>
    <mergeCell ref="C26:D26"/>
    <mergeCell ref="E26:F26"/>
    <mergeCell ref="C13:D13"/>
    <mergeCell ref="E13:F13"/>
    <mergeCell ref="C14:D14"/>
    <mergeCell ref="E14:F14"/>
    <mergeCell ref="C15:D15"/>
    <mergeCell ref="E15:F15"/>
    <mergeCell ref="C16:D16"/>
    <mergeCell ref="E16:F16"/>
    <mergeCell ref="C17:D17"/>
    <mergeCell ref="E17:F17"/>
    <mergeCell ref="C18:D18"/>
    <mergeCell ref="E18:F18"/>
    <mergeCell ref="C19:D19"/>
    <mergeCell ref="E19:F19"/>
  </mergeCells>
  <phoneticPr fontId="36" type="noConversion"/>
  <printOptions horizontalCentered="1"/>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7">
    <pageSetUpPr fitToPage="1"/>
  </sheetPr>
  <dimension ref="A1:AC547"/>
  <sheetViews>
    <sheetView showGridLines="0" tabSelected="1" view="pageBreakPreview" topLeftCell="A501" zoomScaleNormal="80" zoomScaleSheetLayoutView="100" workbookViewId="0">
      <selection activeCell="M513" sqref="M513"/>
    </sheetView>
  </sheetViews>
  <sheetFormatPr baseColWidth="10" defaultColWidth="9.1640625" defaultRowHeight="15" outlineLevelCol="1"/>
  <cols>
    <col min="1" max="1" width="1.5" customWidth="1"/>
    <col min="2" max="12" width="9.1640625" hidden="1" customWidth="1" outlineLevel="1"/>
    <col min="13" max="13" width="10.83203125" customWidth="1" collapsed="1"/>
    <col min="14" max="14" width="0.83203125" customWidth="1"/>
    <col min="15" max="15" width="12.6640625" customWidth="1"/>
    <col min="16" max="16" width="11.5" style="1" customWidth="1"/>
    <col min="17" max="17" width="11.33203125" style="7" customWidth="1"/>
    <col min="18" max="18" width="55.1640625" style="2" customWidth="1"/>
    <col min="19" max="19" width="7.5" style="1" customWidth="1"/>
    <col min="20" max="20" width="11" style="3" customWidth="1"/>
    <col min="21" max="21" width="14" style="8" bestFit="1" customWidth="1"/>
    <col min="22" max="22" width="15.5" style="8" customWidth="1"/>
    <col min="23" max="23" width="10" style="8" bestFit="1" customWidth="1"/>
    <col min="24" max="24" width="13.83203125" style="8" bestFit="1" customWidth="1"/>
    <col min="25" max="25" width="16.1640625" style="8" customWidth="1"/>
    <col min="26" max="26" width="1.5" customWidth="1"/>
    <col min="27" max="27" width="9.5" customWidth="1"/>
    <col min="28" max="28" width="20.1640625" style="2" bestFit="1" customWidth="1"/>
    <col min="29" max="29" width="16.83203125" bestFit="1" customWidth="1"/>
  </cols>
  <sheetData>
    <row r="1" spans="1:29" ht="19" thickBot="1">
      <c r="B1" s="171" t="s">
        <v>27859</v>
      </c>
      <c r="D1" t="s">
        <v>28036</v>
      </c>
      <c r="O1" s="978" t="s">
        <v>27860</v>
      </c>
      <c r="P1" s="979"/>
      <c r="Q1" s="979"/>
      <c r="R1" s="979"/>
      <c r="S1" s="979"/>
      <c r="T1" s="979"/>
      <c r="U1" s="969"/>
      <c r="V1" s="970"/>
      <c r="W1" s="970"/>
      <c r="X1" s="970"/>
      <c r="Y1" s="971"/>
      <c r="AC1" s="171"/>
    </row>
    <row r="2" spans="1:29" ht="17" thickBot="1">
      <c r="B2" s="171" t="s">
        <v>27861</v>
      </c>
      <c r="O2" s="229"/>
      <c r="P2" s="230"/>
      <c r="Q2" s="230"/>
      <c r="R2" s="230"/>
      <c r="S2" s="230"/>
      <c r="T2" s="230"/>
      <c r="U2" s="972"/>
      <c r="V2" s="973"/>
      <c r="W2" s="973"/>
      <c r="X2" s="973"/>
      <c r="Y2" s="974"/>
      <c r="AC2" s="171"/>
    </row>
    <row r="3" spans="1:29" s="17" customFormat="1" ht="16">
      <c r="B3" s="171" t="s">
        <v>27862</v>
      </c>
      <c r="D3" s="17" t="s">
        <v>28044</v>
      </c>
      <c r="O3" s="231" t="s">
        <v>27863</v>
      </c>
      <c r="P3" s="980" t="str">
        <f>Capa!B28</f>
        <v>DELEGACIA SECCIONAL DE POLÍCIA DE JALES</v>
      </c>
      <c r="Q3" s="981"/>
      <c r="R3" s="981"/>
      <c r="S3" s="981"/>
      <c r="T3" s="981"/>
      <c r="U3" s="972"/>
      <c r="V3" s="973"/>
      <c r="W3" s="973"/>
      <c r="X3" s="973"/>
      <c r="Y3" s="974"/>
      <c r="AB3" s="639"/>
      <c r="AC3" s="171"/>
    </row>
    <row r="4" spans="1:29" s="17" customFormat="1" ht="16">
      <c r="B4" s="171" t="s">
        <v>27864</v>
      </c>
      <c r="D4" s="17" t="s">
        <v>28024</v>
      </c>
      <c r="O4" s="391" t="s">
        <v>27865</v>
      </c>
      <c r="P4" s="982" t="str">
        <f>Capa!B11</f>
        <v>ADEQUAÇÃO E AMPLIAÇÃO DE IMÓVEL PARA A INSTALAÇÃO DA DELEGACIA DE DEFESA DA MULHER</v>
      </c>
      <c r="Q4" s="983"/>
      <c r="R4" s="983"/>
      <c r="S4" s="983"/>
      <c r="T4" s="983"/>
      <c r="U4" s="972"/>
      <c r="V4" s="973"/>
      <c r="W4" s="973"/>
      <c r="X4" s="973"/>
      <c r="Y4" s="974"/>
      <c r="AB4" s="639"/>
      <c r="AC4" s="171"/>
    </row>
    <row r="5" spans="1:29" s="17" customFormat="1" ht="16">
      <c r="B5" s="171" t="s">
        <v>27866</v>
      </c>
      <c r="O5" s="391" t="s">
        <v>27867</v>
      </c>
      <c r="P5" s="982" t="str">
        <f>Capa!B29</f>
        <v>RUA TRÊS, S/Nº, CENTRO - JALES/SP</v>
      </c>
      <c r="Q5" s="983"/>
      <c r="R5" s="983"/>
      <c r="S5" s="983"/>
      <c r="T5" s="983"/>
      <c r="U5" s="972"/>
      <c r="V5" s="973"/>
      <c r="W5" s="973"/>
      <c r="X5" s="973"/>
      <c r="Y5" s="974"/>
      <c r="AB5" s="639"/>
      <c r="AC5" s="171"/>
    </row>
    <row r="6" spans="1:29" s="17" customFormat="1" ht="50.25" customHeight="1" thickBot="1">
      <c r="B6" s="171" t="s">
        <v>27868</v>
      </c>
      <c r="O6" s="200" t="s">
        <v>41600</v>
      </c>
      <c r="P6" s="984" t="s">
        <v>44287</v>
      </c>
      <c r="Q6" s="985"/>
      <c r="R6" s="985"/>
      <c r="S6" s="985"/>
      <c r="T6" s="985"/>
      <c r="U6" s="975"/>
      <c r="V6" s="976"/>
      <c r="W6" s="976"/>
      <c r="X6" s="976"/>
      <c r="Y6" s="977"/>
      <c r="AB6" s="639"/>
      <c r="AC6" s="171"/>
    </row>
    <row r="7" spans="1:29" s="17" customFormat="1" ht="17" thickBot="1">
      <c r="B7" s="171" t="s">
        <v>27868</v>
      </c>
      <c r="O7" s="986"/>
      <c r="P7" s="987"/>
      <c r="Q7" s="987"/>
      <c r="R7" s="987"/>
      <c r="S7" s="987"/>
      <c r="T7" s="987"/>
      <c r="U7" s="987"/>
      <c r="V7" s="987"/>
      <c r="W7" s="987"/>
      <c r="X7" s="987"/>
      <c r="Y7" s="988"/>
      <c r="AB7" s="639"/>
      <c r="AC7" s="171"/>
    </row>
    <row r="8" spans="1:29" ht="16" thickBot="1">
      <c r="A8" s="169"/>
      <c r="B8" s="169"/>
      <c r="C8" s="169"/>
      <c r="D8" s="169"/>
      <c r="E8" s="169"/>
      <c r="F8" s="169"/>
      <c r="G8" s="169"/>
      <c r="H8" s="169"/>
      <c r="I8" s="169"/>
      <c r="J8" s="169"/>
      <c r="K8" s="169"/>
      <c r="L8" s="169"/>
      <c r="M8" s="562" t="s">
        <v>27870</v>
      </c>
      <c r="N8" s="169"/>
      <c r="O8" s="998" t="s">
        <v>27883</v>
      </c>
      <c r="P8" s="989" t="s">
        <v>27884</v>
      </c>
      <c r="Q8" s="989" t="s">
        <v>10493</v>
      </c>
      <c r="R8" s="996" t="s">
        <v>27885</v>
      </c>
      <c r="S8" s="996" t="s">
        <v>27886</v>
      </c>
      <c r="T8" s="994" t="s">
        <v>27887</v>
      </c>
      <c r="U8" s="991" t="s">
        <v>28039</v>
      </c>
      <c r="V8" s="992"/>
      <c r="W8" s="993"/>
      <c r="X8" s="991" t="s">
        <v>41235</v>
      </c>
      <c r="Y8" s="993"/>
    </row>
    <row r="9" spans="1:29" s="76" customFormat="1" ht="33" thickBot="1">
      <c r="A9" s="169"/>
      <c r="B9" s="170" t="s">
        <v>27871</v>
      </c>
      <c r="C9" s="170" t="s">
        <v>27872</v>
      </c>
      <c r="D9" s="170" t="s">
        <v>27873</v>
      </c>
      <c r="E9" s="170" t="s">
        <v>27874</v>
      </c>
      <c r="F9" s="170" t="s">
        <v>27875</v>
      </c>
      <c r="G9" s="170" t="s">
        <v>27876</v>
      </c>
      <c r="H9" s="170" t="s">
        <v>27877</v>
      </c>
      <c r="I9" s="170" t="s">
        <v>27878</v>
      </c>
      <c r="J9" s="170" t="s">
        <v>27879</v>
      </c>
      <c r="K9" s="170" t="s">
        <v>27880</v>
      </c>
      <c r="L9" s="170" t="s">
        <v>27881</v>
      </c>
      <c r="M9" s="563" t="s">
        <v>27882</v>
      </c>
      <c r="N9" s="169"/>
      <c r="O9" s="999"/>
      <c r="P9" s="990"/>
      <c r="Q9" s="990"/>
      <c r="R9" s="997"/>
      <c r="S9" s="997"/>
      <c r="T9" s="995"/>
      <c r="U9" s="198" t="s">
        <v>28038</v>
      </c>
      <c r="V9" s="174" t="s">
        <v>28039</v>
      </c>
      <c r="W9" s="175" t="s">
        <v>28036</v>
      </c>
      <c r="X9" s="199" t="s">
        <v>28040</v>
      </c>
      <c r="Y9" s="175" t="s">
        <v>28037</v>
      </c>
      <c r="AA9" s="210" t="s">
        <v>28043</v>
      </c>
      <c r="AB9" s="640" t="s">
        <v>41260</v>
      </c>
    </row>
    <row r="10" spans="1:29" s="75" customFormat="1" ht="16" thickBot="1">
      <c r="B10" s="75" t="str">
        <f t="shared" ref="B10:B12" ca="1" si="0">IF(C10="S",IF(OFFSET(C10,-1,0)="S", OFFSET(B10,-1,0), OFFSET(B10,-1,0) +1 ), C10)</f>
        <v>1</v>
      </c>
      <c r="C10" s="75" t="str">
        <f t="shared" ref="C10:C89" si="1">IF(RIGHT($M10) = "o", "S", RIGHT($M10))</f>
        <v>1</v>
      </c>
      <c r="D10" s="75">
        <f t="shared" ref="D10:D89" ca="1" si="2">IF($C10="1",OFFSET(D10,-2,0) +1,OFFSET(D10,-1,0))</f>
        <v>1</v>
      </c>
      <c r="E10" s="75" t="str">
        <f t="shared" ref="E10:E12" ca="1" si="3">IF($C10="2",OFFSET(E10,-1,0) +1,IF(OFFSET(D10,-1,0)&lt;&gt;D10,"0",IF(OFFSET(E10,-1,0)="","0",OFFSET(E10,-1,0))))</f>
        <v>0</v>
      </c>
      <c r="F10" s="75" t="str">
        <f t="shared" ref="F10:F12" ca="1" si="4">IF($C10="3",OFFSET(F10,-1,0) +1,IF(OFFSET(E10,-1,0)&lt;&gt;E10,"0",IF(OFFSET(F10,-1,0)="","0",OFFSET(F10,-1,0))))</f>
        <v>0</v>
      </c>
      <c r="G10" s="75" t="str">
        <f t="shared" ref="G10:G12" ca="1" si="5">IF($C10="4",OFFSET(G10,-1,0) +1,IF(OFFSET(F10,-1,0)&lt;&gt;F10,"0",IF(OFFSET(G10,-1,0)="","0",OFFSET(G10,-1,0))))</f>
        <v>0</v>
      </c>
      <c r="H10" s="75" t="str">
        <f t="shared" ref="H10:H12" ca="1" si="6">IF($C10="5",OFFSET(H10,-1,0) +1,IF(OFFSET(G10,-1,0)&lt;&gt;G10,"0",IF(OFFSET(H10,-1,0)="","0",OFFSET(H10,-1,0))))</f>
        <v>0</v>
      </c>
      <c r="I10" s="75" t="str">
        <f t="shared" ref="I10:I12" ca="1" si="7">IF($C10="6",OFFSET(I10,-1,0) +1,IF(OFFSET(H10,-1,0)&lt;&gt;H10,"0",IF(OFFSET(I10,-1,0)="","0", OFFSET(I10,-1,0))))</f>
        <v>0</v>
      </c>
      <c r="J10" s="75" t="str">
        <f t="shared" ref="J10:J89" ca="1" si="8">IF($C10="S",OFFSET(J10,-1,0)+1,"0")</f>
        <v>0</v>
      </c>
      <c r="K10" s="75">
        <f t="shared" ref="K10:K12" ca="1" si="9">IF(C10="S","NÃO", IF(C10="1", D10, IF(C10="2", D10 &amp; "." &amp; E10,IF(C10="3", D10 &amp; "." &amp; E10 &amp; "." &amp; F10, IF(C10="4", D10 &amp; "." &amp; E10 &amp; "." &amp; F10 &amp; "." &amp; G10, IF(C10="5", D10 &amp; "." &amp; E10 &amp; "." &amp; F10 &amp; "." &amp; G10 &amp; "." &amp; H10, IF(C10="6", D10 &amp; "." &amp; E10 &amp; "." &amp; F10 &amp; "." &amp; G10 &amp; "." &amp; H10 &amp; "." &amp; I10)))))))</f>
        <v>1</v>
      </c>
      <c r="L10" s="75">
        <f t="shared" ref="L10:L12" ca="1" si="10">IF(K10="NÃO",IF($B10=2,D10&amp;"."&amp;J10,IF($B10=3,D10&amp;"."&amp;E10&amp;"."&amp;J10,IF($B10=4,D10&amp;"."&amp;E10&amp;"."&amp;F10&amp;"."&amp;J10,IF($B10=5,D10&amp;"."&amp;E10&amp;"."&amp;F10&amp;"."&amp;G10&amp;"."&amp;J10,IF($B10=6,D10&amp;"."&amp;E10&amp;"."&amp;F10&amp;"."&amp;G10&amp;"."&amp;H10&amp;"."&amp;J10,IF($B10=7,D10&amp;"."&amp;E10&amp;"."&amp;F10&amp;"."&amp;G10&amp;"."&amp;H10&amp;"."&amp;I10&amp;"."&amp;J10,"FALHA")))))),K10)</f>
        <v>1</v>
      </c>
      <c r="M10" s="55" t="s">
        <v>27859</v>
      </c>
      <c r="O10" s="191">
        <f ca="1">L10</f>
        <v>1</v>
      </c>
      <c r="P10" s="172"/>
      <c r="Q10" s="172"/>
      <c r="R10" s="621" t="s">
        <v>28045</v>
      </c>
      <c r="S10" s="172"/>
      <c r="T10" s="194"/>
      <c r="U10" s="195"/>
      <c r="V10" s="196">
        <f ca="1">IF(VALUE(C10)=1,SUMIFS(V:V,D:D,D10,M:M,"Serviço"),IF(VALUE(C10)=2,SUMIFS(V:V,D:D,D10,E:E,E10,M:M,"Serviço"),IF(VALUE(C10)=3,SUMIFS(V:V,D:D,D10,E:E,E10,F:F,F10,M:M,"Serviço"),IF(VALUE(C10)=4,SUMIFS(V:V,D:D,D10,E:E,E10,F:F,F10,G:G,G10,M:M,"Serviço"),"ERRO"))))</f>
        <v>36058.630000000005</v>
      </c>
      <c r="W10" s="197"/>
      <c r="X10" s="205"/>
      <c r="Y10" s="173">
        <f ca="1">IF(VALUE(C10)=1,SUMIFS(Y:Y,D:D,D10,M:M,"Serviço"),IF(VALUE(C10)=2,SUMIFS(Y:Y,D:D,D10,E:E,E10,M:M,"Serviço"),IF(VALUE(C10)=3,SUMIFS(Y:Y,D:D,D10,E:E,E10,F:F,F10,M:M,"Serviço"),IF(VALUE(C10)=4,SUMIFS(Y:Y,D:D,D10,E:E,E10,F:F,F10,G:G,G10,M:M,"Serviço"),"ERRO"))))</f>
        <v>44171.420000000006</v>
      </c>
      <c r="AB10" s="641"/>
    </row>
    <row r="11" spans="1:29" s="75" customFormat="1" ht="16" thickBot="1">
      <c r="B11" s="75" t="str">
        <f t="shared" ref="B11" ca="1" si="11">IF(C11="S",IF(OFFSET(C11,-1,0)="S", OFFSET(B11,-1,0), OFFSET(B11,-1,0) +1 ), C11)</f>
        <v>2</v>
      </c>
      <c r="C11" s="75" t="str">
        <f t="shared" si="1"/>
        <v>2</v>
      </c>
      <c r="D11" s="75">
        <f t="shared" ca="1" si="2"/>
        <v>1</v>
      </c>
      <c r="E11" s="75">
        <f t="shared" ref="E11" ca="1" si="12">IF($C11="2",OFFSET(E11,-1,0) +1,IF(OFFSET(D11,-1,0)&lt;&gt;D11,"0",IF(OFFSET(E11,-1,0)="","0",OFFSET(E11,-1,0))))</f>
        <v>1</v>
      </c>
      <c r="F11" s="75" t="str">
        <f t="shared" ref="F11" ca="1" si="13">IF($C11="3",OFFSET(F11,-1,0) +1,IF(OFFSET(E11,-1,0)&lt;&gt;E11,"0",IF(OFFSET(F11,-1,0)="","0",OFFSET(F11,-1,0))))</f>
        <v>0</v>
      </c>
      <c r="G11" s="75" t="str">
        <f t="shared" ref="G11" ca="1" si="14">IF($C11="4",OFFSET(G11,-1,0) +1,IF(OFFSET(F11,-1,0)&lt;&gt;F11,"0",IF(OFFSET(G11,-1,0)="","0",OFFSET(G11,-1,0))))</f>
        <v>0</v>
      </c>
      <c r="H11" s="75" t="str">
        <f t="shared" ref="H11" ca="1" si="15">IF($C11="5",OFFSET(H11,-1,0) +1,IF(OFFSET(G11,-1,0)&lt;&gt;G11,"0",IF(OFFSET(H11,-1,0)="","0",OFFSET(H11,-1,0))))</f>
        <v>0</v>
      </c>
      <c r="I11" s="75" t="str">
        <f t="shared" ref="I11" ca="1" si="16">IF($C11="6",OFFSET(I11,-1,0) +1,IF(OFFSET(H11,-1,0)&lt;&gt;H11,"0",IF(OFFSET(I11,-1,0)="","0", OFFSET(I11,-1,0))))</f>
        <v>0</v>
      </c>
      <c r="J11" s="75" t="str">
        <f t="shared" ca="1" si="8"/>
        <v>0</v>
      </c>
      <c r="K11" s="75" t="str">
        <f t="shared" ref="K11" ca="1" si="17">IF(C11="S","NÃO", IF(C11="1", D11, IF(C11="2", D11 &amp; "." &amp; E11,IF(C11="3", D11 &amp; "." &amp; E11 &amp; "." &amp; F11, IF(C11="4", D11 &amp; "." &amp; E11 &amp; "." &amp; F11 &amp; "." &amp; G11, IF(C11="5", D11 &amp; "." &amp; E11 &amp; "." &amp; F11 &amp; "." &amp; G11 &amp; "." &amp; H11, IF(C11="6", D11 &amp; "." &amp; E11 &amp; "." &amp; F11 &amp; "." &amp; G11 &amp; "." &amp; H11 &amp; "." &amp; I11)))))))</f>
        <v>1.1</v>
      </c>
      <c r="L11" s="75" t="str">
        <f t="shared" ref="L11" ca="1" si="18">IF(K11="NÃO",IF($B11=2,D11&amp;"."&amp;J11,IF($B11=3,D11&amp;"."&amp;E11&amp;"."&amp;J11,IF($B11=4,D11&amp;"."&amp;E11&amp;"."&amp;F11&amp;"."&amp;J11,IF($B11=5,D11&amp;"."&amp;E11&amp;"."&amp;F11&amp;"."&amp;G11&amp;"."&amp;J11,IF($B11=6,D11&amp;"."&amp;E11&amp;"."&amp;F11&amp;"."&amp;G11&amp;"."&amp;H11&amp;"."&amp;J11,IF($B11=7,D11&amp;"."&amp;E11&amp;"."&amp;F11&amp;"."&amp;G11&amp;"."&amp;H11&amp;"."&amp;I11&amp;"."&amp;J11,"FALHA")))))),K11)</f>
        <v>1.1</v>
      </c>
      <c r="M11" s="55" t="s">
        <v>27861</v>
      </c>
      <c r="O11" s="191" t="str">
        <f ca="1">L11</f>
        <v>1.1</v>
      </c>
      <c r="P11" s="172"/>
      <c r="Q11" s="172"/>
      <c r="R11" s="621" t="s">
        <v>41254</v>
      </c>
      <c r="S11" s="172"/>
      <c r="T11" s="194"/>
      <c r="U11" s="195"/>
      <c r="V11" s="196">
        <f ca="1">IF(VALUE(C11)=1,SUMIFS(V:V,D:D,D11,M:M,"Serviço"),IF(VALUE(C11)=2,SUMIFS(V:V,D:D,D11,E:E,E11,M:M,"Serviço"),IF(VALUE(C11)=3,SUMIFS(V:V,D:D,D11,E:E,E11,F:F,F11,M:M,"Serviço"),IF(VALUE(C11)=4,SUMIFS(V:V,D:D,D11,E:E,E11,F:F,F11,G:G,G11,M:M,"Serviço"),"ERRO"))))</f>
        <v>1234.6199999999999</v>
      </c>
      <c r="W11" s="197"/>
      <c r="X11" s="205"/>
      <c r="Y11" s="173">
        <f ca="1">IF(VALUE(C11)=1,SUMIFS(Y:Y,D:D,D11,M:M,"Serviço"),IF(VALUE(C11)=2,SUMIFS(Y:Y,D:D,D11,E:E,E11,M:M,"Serviço"),IF(VALUE(C11)=3,SUMIFS(Y:Y,D:D,D11,E:E,E11,F:F,F11,M:M,"Serviço"),IF(VALUE(C11)=4,SUMIFS(Y:Y,D:D,D11,E:E,E11,F:F,F11,G:G,G11,M:M,"Serviço"),"ERRO"))))</f>
        <v>1512.36</v>
      </c>
      <c r="AB11" s="641"/>
    </row>
    <row r="12" spans="1:29" s="55" customFormat="1" ht="31" thickBot="1">
      <c r="B12" s="378">
        <f t="shared" ca="1" si="0"/>
        <v>3</v>
      </c>
      <c r="C12" s="378" t="str">
        <f t="shared" si="1"/>
        <v>S</v>
      </c>
      <c r="D12" s="378">
        <f t="shared" ca="1" si="2"/>
        <v>1</v>
      </c>
      <c r="E12" s="378">
        <f t="shared" ca="1" si="3"/>
        <v>1</v>
      </c>
      <c r="F12" s="378" t="str">
        <f t="shared" ca="1" si="4"/>
        <v>0</v>
      </c>
      <c r="G12" s="378" t="str">
        <f t="shared" ca="1" si="5"/>
        <v>0</v>
      </c>
      <c r="H12" s="378" t="str">
        <f t="shared" ca="1" si="6"/>
        <v>0</v>
      </c>
      <c r="I12" s="378" t="str">
        <f t="shared" ca="1" si="7"/>
        <v>0</v>
      </c>
      <c r="J12" s="378">
        <f t="shared" ca="1" si="8"/>
        <v>1</v>
      </c>
      <c r="K12" s="378" t="str">
        <f t="shared" si="9"/>
        <v>NÃO</v>
      </c>
      <c r="L12" s="378" t="str">
        <f t="shared" ca="1" si="10"/>
        <v>1.1.1</v>
      </c>
      <c r="M12" s="55" t="s">
        <v>27868</v>
      </c>
      <c r="O12" s="392" t="str">
        <f ca="1">L12</f>
        <v>1.1.1</v>
      </c>
      <c r="P12" s="413" t="s">
        <v>29901</v>
      </c>
      <c r="Q12" s="414" t="s">
        <v>10894</v>
      </c>
      <c r="R12" s="415" t="str">
        <f>UPPER(IF(P12="CDHU",VLOOKUP(Q12,'CDHU 201-SD'!$A$1:$J$28014,2,FALSE),IF(P12="FDE",VLOOKUP(Q12,'FDE 01-26-SD'!$A$1:$J$280013,2,FALSE),IF(P12="PRÓPRIA",VLOOKUP(Q12,COMPOSIÇÃO!$1:$1048576,3,FALSE),VLOOKUP(Q12,'SINAPI 04-26-SD'!$A$1:$H$272700,2,FALSE)))))</f>
        <v>PLACA EM LONA COM IMPRESSÃO DIGITAL E ESTRUTURA EM MADEIRA</v>
      </c>
      <c r="S12" s="414" t="str">
        <f>UPPER(IF(P12="CDHU",VLOOKUP(Q12,'CDHU 201-SD'!$A$1:$J$28014,3,FALSE),IF(P12="FDE",VLOOKUP(Q12,'FDE 01-26-SD'!$A$1:$J$280013,3,FALSE),IF(P12="PRÓPRIA",VLOOKUP(Q12,COMPOSIÇÃO!$1:$1048576,7,FALSE),VLOOKUP(Q12,'SINAPI 04-26-SD'!$A$1:$H$272700,3,FALSE)))))</f>
        <v>M2</v>
      </c>
      <c r="T12" s="393">
        <f>VLOOKUP(Q12,'SERVIÇOS INICIAIS'!$1:$1048576,12,FALSE)</f>
        <v>6</v>
      </c>
      <c r="U12" s="394">
        <f>TRUNC(IF(P12="CDHU",VLOOKUP(Q12,'CDHU 201-SD'!$A$1:$J$28014,6,FALSE),IF(P12="FDE",VLOOKUP(Q12,'FDE 01-26-SD'!$A$1:$J$280013,6,FALSE),IF(P12="PRÓPRIA",VLOOKUP(Q12,COMPOSIÇÃO!$1:$1048576,10,FALSE),VLOOKUP(Q12,'SINAPI 04-26-SD'!$A$1:$H$272700,4,FALSE)))),2)</f>
        <v>205.77</v>
      </c>
      <c r="V12" s="416">
        <f>TRUNC(U12*T12,2)</f>
        <v>1234.6199999999999</v>
      </c>
      <c r="W12" s="395">
        <f>IF($AA12="N",BDI!$D$26,IF($AA12="D",'BDI DIFE.'!$D$26,"ERRO"))</f>
        <v>0.22500000000000001</v>
      </c>
      <c r="X12" s="379">
        <f>TRUNC(U12*(1+W12),2)</f>
        <v>252.06</v>
      </c>
      <c r="Y12" s="380">
        <f>TRUNC(T12*X12,2)</f>
        <v>1512.36</v>
      </c>
      <c r="Z12" s="381"/>
      <c r="AA12" s="378" t="s">
        <v>28044</v>
      </c>
      <c r="AB12" s="642"/>
    </row>
    <row r="13" spans="1:29" s="55" customFormat="1" ht="16" thickBot="1">
      <c r="B13" s="378" t="str">
        <f t="shared" ref="B13:B16" ca="1" si="19">IF(C13="S",IF(OFFSET(C13,-1,0)="S", OFFSET(B13,-1,0), OFFSET(B13,-1,0) +1 ), C13)</f>
        <v/>
      </c>
      <c r="C13" s="378" t="str">
        <f>IF(RIGHT($M13) = "o", "S", RIGHT($M13))</f>
        <v/>
      </c>
      <c r="D13" s="378">
        <f t="shared" ca="1" si="2"/>
        <v>1</v>
      </c>
      <c r="E13" s="378">
        <f t="shared" ref="E13:E16" ca="1" si="20">IF($C13="2",OFFSET(E13,-1,0) +1,IF(OFFSET(D13,-1,0)&lt;&gt;D13,"0",IF(OFFSET(E13,-1,0)="","0",OFFSET(E13,-1,0))))</f>
        <v>1</v>
      </c>
      <c r="F13" s="378" t="str">
        <f t="shared" ref="F13:F16" ca="1" si="21">IF($C13="3",OFFSET(F13,-1,0) +1,IF(OFFSET(E13,-1,0)&lt;&gt;E13,"0",IF(OFFSET(F13,-1,0)="","0",OFFSET(F13,-1,0))))</f>
        <v>0</v>
      </c>
      <c r="G13" s="378" t="str">
        <f t="shared" ref="G13:G16" ca="1" si="22">IF($C13="4",OFFSET(G13,-1,0) +1,IF(OFFSET(F13,-1,0)&lt;&gt;F13,"0",IF(OFFSET(G13,-1,0)="","0",OFFSET(G13,-1,0))))</f>
        <v>0</v>
      </c>
      <c r="H13" s="378" t="str">
        <f t="shared" ref="H13:H16" ca="1" si="23">IF($C13="5",OFFSET(H13,-1,0) +1,IF(OFFSET(G13,-1,0)&lt;&gt;G13,"0",IF(OFFSET(H13,-1,0)="","0",OFFSET(H13,-1,0))))</f>
        <v>0</v>
      </c>
      <c r="I13" s="378" t="str">
        <f t="shared" ref="I13:I16" ca="1" si="24">IF($C13="6",OFFSET(I13,-1,0) +1,IF(OFFSET(H13,-1,0)&lt;&gt;H13,"0",IF(OFFSET(I13,-1,0)="","0", OFFSET(I13,-1,0))))</f>
        <v>0</v>
      </c>
      <c r="J13" s="378" t="str">
        <f t="shared" ca="1" si="8"/>
        <v>0</v>
      </c>
      <c r="K13" s="378" t="b">
        <f t="shared" ref="K13:K16" si="25">IF(C13="S","NÃO", IF(C13="1", D13, IF(C13="2", D13 &amp; "." &amp; E13,IF(C13="3", D13 &amp; "." &amp; E13 &amp; "." &amp; F13, IF(C13="4", D13 &amp; "." &amp; E13 &amp; "." &amp; F13 &amp; "." &amp; G13, IF(C13="5", D13 &amp; "." &amp; E13 &amp; "." &amp; F13 &amp; "." &amp; G13 &amp; "." &amp; H13, IF(C13="6", D13 &amp; "." &amp; E13 &amp; "." &amp; F13 &amp; "." &amp; G13 &amp; "." &amp; H13 &amp; "." &amp; I13)))))))</f>
        <v>0</v>
      </c>
      <c r="L13" s="378" t="b">
        <f t="shared" ref="L13:L16" si="26">IF(K13="NÃO",IF($B13=2,D13&amp;"."&amp;J13,IF($B13=3,D13&amp;"."&amp;E13&amp;"."&amp;J13,IF($B13=4,D13&amp;"."&amp;E13&amp;"."&amp;F13&amp;"."&amp;J13,IF($B13=5,D13&amp;"."&amp;E13&amp;"."&amp;F13&amp;"."&amp;G13&amp;"."&amp;J13,IF($B13=6,D13&amp;"."&amp;E13&amp;"."&amp;F13&amp;"."&amp;G13&amp;"."&amp;H13&amp;"."&amp;J13,IF($B13=7,D13&amp;"."&amp;E13&amp;"."&amp;F13&amp;"."&amp;G13&amp;"."&amp;H13&amp;"."&amp;I13&amp;"."&amp;J13,"FALHA")))))),K13)</f>
        <v>0</v>
      </c>
      <c r="O13" s="192"/>
      <c r="P13" s="387"/>
      <c r="Q13" s="387"/>
      <c r="R13" s="377"/>
      <c r="S13" s="387"/>
      <c r="T13" s="363"/>
      <c r="U13" s="388"/>
      <c r="V13" s="389"/>
      <c r="W13" s="389"/>
      <c r="X13" s="389"/>
      <c r="Y13" s="390"/>
      <c r="AA13" s="378"/>
      <c r="AB13" s="642"/>
    </row>
    <row r="14" spans="1:29" s="75" customFormat="1" ht="16" thickBot="1">
      <c r="B14" s="75" t="str">
        <f t="shared" ca="1" si="19"/>
        <v>2</v>
      </c>
      <c r="C14" s="75" t="str">
        <f t="shared" si="1"/>
        <v>2</v>
      </c>
      <c r="D14" s="75">
        <f t="shared" ca="1" si="2"/>
        <v>1</v>
      </c>
      <c r="E14" s="75">
        <f t="shared" ca="1" si="20"/>
        <v>2</v>
      </c>
      <c r="F14" s="75" t="str">
        <f t="shared" ca="1" si="21"/>
        <v>0</v>
      </c>
      <c r="G14" s="75" t="str">
        <f t="shared" ca="1" si="22"/>
        <v>0</v>
      </c>
      <c r="H14" s="75" t="str">
        <f t="shared" ca="1" si="23"/>
        <v>0</v>
      </c>
      <c r="I14" s="75" t="str">
        <f t="shared" ca="1" si="24"/>
        <v>0</v>
      </c>
      <c r="J14" s="75" t="str">
        <f t="shared" ca="1" si="8"/>
        <v>0</v>
      </c>
      <c r="K14" s="75" t="str">
        <f t="shared" ca="1" si="25"/>
        <v>1.2</v>
      </c>
      <c r="L14" s="75" t="str">
        <f t="shared" ca="1" si="26"/>
        <v>1.2</v>
      </c>
      <c r="M14" s="55" t="s">
        <v>27861</v>
      </c>
      <c r="O14" s="191" t="str">
        <f ca="1">L14</f>
        <v>1.2</v>
      </c>
      <c r="P14" s="172"/>
      <c r="Q14" s="172"/>
      <c r="R14" s="621" t="s">
        <v>44289</v>
      </c>
      <c r="S14" s="172"/>
      <c r="T14" s="194"/>
      <c r="U14" s="195"/>
      <c r="V14" s="196">
        <f ca="1">IF(VALUE(C14)=1,SUMIFS(V:V,D:D,D14,M:M,"Serviço"),IF(VALUE(C14)=2,SUMIFS(V:V,D:D,D14,E:E,E14,M:M,"Serviço"),IF(VALUE(C14)=3,SUMIFS(V:V,D:D,D14,E:E,E14,F:F,F14,M:M,"Serviço"),IF(VALUE(C14)=4,SUMIFS(V:V,D:D,D14,E:E,E14,F:F,F14,G:G,G14,M:M,"Serviço"),"ERRO"))))</f>
        <v>26561.64</v>
      </c>
      <c r="W14" s="197"/>
      <c r="X14" s="205"/>
      <c r="Y14" s="173">
        <f ca="1">IF(VALUE(C14)=1,SUMIFS(Y:Y,D:D,D14,M:M,"Serviço"),IF(VALUE(C14)=2,SUMIFS(Y:Y,D:D,D14,E:E,E14,M:M,"Serviço"),IF(VALUE(C14)=3,SUMIFS(Y:Y,D:D,D14,E:E,E14,F:F,F14,M:M,"Serviço"),IF(VALUE(C14)=4,SUMIFS(Y:Y,D:D,D14,E:E,E14,F:F,F14,G:G,G14,M:M,"Serviço"),"ERRO"))))</f>
        <v>32537.88</v>
      </c>
      <c r="AB14" s="641"/>
    </row>
    <row r="15" spans="1:29" s="55" customFormat="1" ht="30">
      <c r="B15" s="378">
        <f t="shared" ref="B15" ca="1" si="27">IF(C15="S",IF(OFFSET(C15,-1,0)="S", OFFSET(B15,-1,0), OFFSET(B15,-1,0) +1 ), C15)</f>
        <v>3</v>
      </c>
      <c r="C15" s="378" t="str">
        <f t="shared" si="1"/>
        <v>S</v>
      </c>
      <c r="D15" s="378">
        <f t="shared" ca="1" si="2"/>
        <v>1</v>
      </c>
      <c r="E15" s="378">
        <f t="shared" ref="E15" ca="1" si="28">IF($C15="2",OFFSET(E15,-1,0) +1,IF(OFFSET(D15,-1,0)&lt;&gt;D15,"0",IF(OFFSET(E15,-1,0)="","0",OFFSET(E15,-1,0))))</f>
        <v>2</v>
      </c>
      <c r="F15" s="378" t="str">
        <f t="shared" ref="F15" ca="1" si="29">IF($C15="3",OFFSET(F15,-1,0) +1,IF(OFFSET(E15,-1,0)&lt;&gt;E15,"0",IF(OFFSET(F15,-1,0)="","0",OFFSET(F15,-1,0))))</f>
        <v>0</v>
      </c>
      <c r="G15" s="378" t="str">
        <f t="shared" ref="G15" ca="1" si="30">IF($C15="4",OFFSET(G15,-1,0) +1,IF(OFFSET(F15,-1,0)&lt;&gt;F15,"0",IF(OFFSET(G15,-1,0)="","0",OFFSET(G15,-1,0))))</f>
        <v>0</v>
      </c>
      <c r="H15" s="378" t="str">
        <f t="shared" ref="H15" ca="1" si="31">IF($C15="5",OFFSET(H15,-1,0) +1,IF(OFFSET(G15,-1,0)&lt;&gt;G15,"0",IF(OFFSET(H15,-1,0)="","0",OFFSET(H15,-1,0))))</f>
        <v>0</v>
      </c>
      <c r="I15" s="378" t="str">
        <f t="shared" ref="I15" ca="1" si="32">IF($C15="6",OFFSET(I15,-1,0) +1,IF(OFFSET(H15,-1,0)&lt;&gt;H15,"0",IF(OFFSET(I15,-1,0)="","0", OFFSET(I15,-1,0))))</f>
        <v>0</v>
      </c>
      <c r="J15" s="378">
        <f t="shared" ca="1" si="8"/>
        <v>1</v>
      </c>
      <c r="K15" s="378" t="str">
        <f t="shared" ref="K15" si="33">IF(C15="S","NÃO", IF(C15="1", D15, IF(C15="2", D15 &amp; "." &amp; E15,IF(C15="3", D15 &amp; "." &amp; E15 &amp; "." &amp; F15, IF(C15="4", D15 &amp; "." &amp; E15 &amp; "." &amp; F15 &amp; "." &amp; G15, IF(C15="5", D15 &amp; "." &amp; E15 &amp; "." &amp; F15 &amp; "." &amp; G15 &amp; "." &amp; H15, IF(C15="6", D15 &amp; "." &amp; E15 &amp; "." &amp; F15 &amp; "." &amp; G15 &amp; "." &amp; H15 &amp; "." &amp; I15)))))))</f>
        <v>NÃO</v>
      </c>
      <c r="L15" s="378" t="str">
        <f t="shared" ref="L15" ca="1" si="34">IF(K15="NÃO",IF($B15=2,D15&amp;"."&amp;J15,IF($B15=3,D15&amp;"."&amp;E15&amp;"."&amp;J15,IF($B15=4,D15&amp;"."&amp;E15&amp;"."&amp;F15&amp;"."&amp;J15,IF($B15=5,D15&amp;"."&amp;E15&amp;"."&amp;F15&amp;"."&amp;G15&amp;"."&amp;J15,IF($B15=6,D15&amp;"."&amp;E15&amp;"."&amp;F15&amp;"."&amp;G15&amp;"."&amp;H15&amp;"."&amp;J15,IF($B15=7,D15&amp;"."&amp;E15&amp;"."&amp;F15&amp;"."&amp;G15&amp;"."&amp;H15&amp;"."&amp;I15&amp;"."&amp;J15,"FALHA")))))),K15)</f>
        <v>1.2.1</v>
      </c>
      <c r="M15" s="55" t="s">
        <v>27868</v>
      </c>
      <c r="O15" s="392" t="str">
        <f ca="1">L15</f>
        <v>1.2.1</v>
      </c>
      <c r="P15" s="413" t="s">
        <v>29901</v>
      </c>
      <c r="Q15" s="414" t="s">
        <v>10839</v>
      </c>
      <c r="R15" s="415" t="str">
        <f>UPPER(IF(P15="CDHU",VLOOKUP(Q15,'CDHU 201-SD'!$A$1:$J$28014,2,FALSE),IF(P15="FDE",VLOOKUP(Q15,'FDE 01-26-SD'!$A$1:$J$280013,2,FALSE),IF(P15="PRÓPRIA",VLOOKUP(Q15,COMPOSIÇÃO!$1:$1048576,3,FALSE),VLOOKUP(Q15,'SINAPI 04-26-SD'!$A$1:$H$272700,2,FALSE)))))</f>
        <v>LOCAÇÃO DE CONTAINER TIPO DEPÓSITO - ÁREA MÍNIMA DE 13,80 M²</v>
      </c>
      <c r="S15" s="414" t="str">
        <f>UPPER(IF(P15="CDHU",VLOOKUP(Q15,'CDHU 201-SD'!$A$1:$J$28014,3,FALSE),IF(P15="FDE",VLOOKUP(Q15,'FDE 01-26-SD'!$A$1:$J$280013,3,FALSE),IF(P15="PRÓPRIA",VLOOKUP(Q15,COMPOSIÇÃO!$1:$1048576,7,FALSE),VLOOKUP(Q15,'SINAPI 04-26-SD'!$A$1:$H$272700,3,FALSE)))))</f>
        <v>UNMES</v>
      </c>
      <c r="T15" s="393">
        <f>VLOOKUP(Q15,'SERVIÇOS INICIAIS'!$1:$1048576,12,FALSE)</f>
        <v>12</v>
      </c>
      <c r="U15" s="394">
        <f>TRUNC(IF(P15="CDHU",VLOOKUP(Q15,'CDHU 201-SD'!$A$1:$J$28014,6,FALSE),IF(P15="FDE",VLOOKUP(Q15,'FDE 01-26-SD'!$A$1:$J$280013,6,FALSE),IF(P15="PRÓPRIA",VLOOKUP(Q15,COMPOSIÇÃO!$1:$1048576,10,FALSE),VLOOKUP(Q15,'SINAPI 04-26-SD'!$A$1:$H$272700,4,FALSE)))),2)</f>
        <v>999.48</v>
      </c>
      <c r="V15" s="416">
        <f>TRUNC(U15*T15,2)</f>
        <v>11993.76</v>
      </c>
      <c r="W15" s="395">
        <f>IF($AA15="N",BDI!$D$26,IF($AA15="D",'BDI DIFE.'!$D$26,"ERRO"))</f>
        <v>0.22500000000000001</v>
      </c>
      <c r="X15" s="379">
        <f>TRUNC(U15*(1+W15),2)</f>
        <v>1224.3599999999999</v>
      </c>
      <c r="Y15" s="380">
        <f>TRUNC(T15*X15,2)</f>
        <v>14692.32</v>
      </c>
      <c r="Z15" s="381"/>
      <c r="AA15" s="378" t="s">
        <v>28044</v>
      </c>
      <c r="AB15" s="642"/>
    </row>
    <row r="16" spans="1:29" s="55" customFormat="1" ht="31" thickBot="1">
      <c r="B16" s="378">
        <f t="shared" ca="1" si="19"/>
        <v>3</v>
      </c>
      <c r="C16" s="378" t="str">
        <f t="shared" si="1"/>
        <v>S</v>
      </c>
      <c r="D16" s="378">
        <f t="shared" ca="1" si="2"/>
        <v>1</v>
      </c>
      <c r="E16" s="378">
        <f t="shared" ca="1" si="20"/>
        <v>2</v>
      </c>
      <c r="F16" s="378" t="str">
        <f t="shared" ca="1" si="21"/>
        <v>0</v>
      </c>
      <c r="G16" s="378" t="str">
        <f t="shared" ca="1" si="22"/>
        <v>0</v>
      </c>
      <c r="H16" s="378" t="str">
        <f t="shared" ca="1" si="23"/>
        <v>0</v>
      </c>
      <c r="I16" s="378" t="str">
        <f t="shared" ca="1" si="24"/>
        <v>0</v>
      </c>
      <c r="J16" s="378">
        <f t="shared" ca="1" si="8"/>
        <v>2</v>
      </c>
      <c r="K16" s="378" t="str">
        <f t="shared" si="25"/>
        <v>NÃO</v>
      </c>
      <c r="L16" s="378" t="str">
        <f t="shared" ca="1" si="26"/>
        <v>1.2.2</v>
      </c>
      <c r="M16" s="55" t="s">
        <v>27868</v>
      </c>
      <c r="O16" s="392" t="str">
        <f ca="1">L16</f>
        <v>1.2.2</v>
      </c>
      <c r="P16" s="413" t="s">
        <v>29901</v>
      </c>
      <c r="Q16" s="414" t="s">
        <v>10827</v>
      </c>
      <c r="R16" s="415" t="str">
        <f>UPPER(IF(P16="CDHU",VLOOKUP(Q16,'CDHU 201-SD'!$A$1:$J$28014,2,FALSE),IF(P16="FDE",VLOOKUP(Q16,'FDE 01-26-SD'!$A$1:$J$280013,2,FALSE),IF(P16="PRÓPRIA",VLOOKUP(Q16,COMPOSIÇÃO!$1:$1048576,3,FALSE),VLOOKUP(Q16,'SINAPI 04-26-SD'!$A$1:$H$272700,2,FALSE)))))</f>
        <v>BANHEIRO QUÍMICO MODELO STANDARD, COM MANUTENÇÃO CONFORME EXIGÊNCIAS DA CETESB</v>
      </c>
      <c r="S16" s="414" t="str">
        <f>UPPER(IF(P16="CDHU",VLOOKUP(Q16,'CDHU 201-SD'!$A$1:$J$28014,3,FALSE),IF(P16="FDE",VLOOKUP(Q16,'FDE 01-26-SD'!$A$1:$J$280013,3,FALSE),IF(P16="PRÓPRIA",VLOOKUP(Q16,COMPOSIÇÃO!$1:$1048576,7,FALSE),VLOOKUP(Q16,'SINAPI 04-26-SD'!$A$1:$H$272700,3,FALSE)))))</f>
        <v>UNMES</v>
      </c>
      <c r="T16" s="393">
        <f>VLOOKUP(Q16,'SERVIÇOS INICIAIS'!$1:$1048576,12,FALSE)</f>
        <v>12</v>
      </c>
      <c r="U16" s="394">
        <f>TRUNC(IF(P16="CDHU",VLOOKUP(Q16,'CDHU 201-SD'!$A$1:$J$28014,6,FALSE),IF(P16="FDE",VLOOKUP(Q16,'FDE 01-26-SD'!$A$1:$J$280013,6,FALSE),IF(P16="PRÓPRIA",VLOOKUP(Q16,COMPOSIÇÃO!$1:$1048576,10,FALSE),VLOOKUP(Q16,'SINAPI 04-26-SD'!$A$1:$H$272700,4,FALSE)))),2)</f>
        <v>1213.99</v>
      </c>
      <c r="V16" s="416">
        <f>TRUNC(U16*T16,2)</f>
        <v>14567.88</v>
      </c>
      <c r="W16" s="395">
        <f>IF($AA16="N",BDI!$D$26,IF($AA16="D",'BDI DIFE.'!$D$26,"ERRO"))</f>
        <v>0.22500000000000001</v>
      </c>
      <c r="X16" s="379">
        <f>TRUNC(U16*(1+W16),2)</f>
        <v>1487.13</v>
      </c>
      <c r="Y16" s="380">
        <f>TRUNC(T16*X16,2)</f>
        <v>17845.560000000001</v>
      </c>
      <c r="Z16" s="381"/>
      <c r="AA16" s="378" t="s">
        <v>28044</v>
      </c>
      <c r="AB16" s="642"/>
    </row>
    <row r="17" spans="2:29" s="55" customFormat="1" ht="16" thickBot="1">
      <c r="B17" s="378" t="str">
        <f t="shared" ref="B17:B40" ca="1" si="35">IF(C17="S",IF(OFFSET(C17,-1,0)="S", OFFSET(B17,-1,0), OFFSET(B17,-1,0) +1 ), C17)</f>
        <v/>
      </c>
      <c r="C17" s="378" t="str">
        <f>IF(RIGHT($M17) = "o", "S", RIGHT($M17))</f>
        <v/>
      </c>
      <c r="D17" s="378">
        <f t="shared" ca="1" si="2"/>
        <v>1</v>
      </c>
      <c r="E17" s="378">
        <f t="shared" ref="E17:E40" ca="1" si="36">IF($C17="2",OFFSET(E17,-1,0) +1,IF(OFFSET(D17,-1,0)&lt;&gt;D17,"0",IF(OFFSET(E17,-1,0)="","0",OFFSET(E17,-1,0))))</f>
        <v>2</v>
      </c>
      <c r="F17" s="378" t="str">
        <f t="shared" ref="F17:F40" ca="1" si="37">IF($C17="3",OFFSET(F17,-1,0) +1,IF(OFFSET(E17,-1,0)&lt;&gt;E17,"0",IF(OFFSET(F17,-1,0)="","0",OFFSET(F17,-1,0))))</f>
        <v>0</v>
      </c>
      <c r="G17" s="378" t="str">
        <f t="shared" ref="G17:G40" ca="1" si="38">IF($C17="4",OFFSET(G17,-1,0) +1,IF(OFFSET(F17,-1,0)&lt;&gt;F17,"0",IF(OFFSET(G17,-1,0)="","0",OFFSET(G17,-1,0))))</f>
        <v>0</v>
      </c>
      <c r="H17" s="378" t="str">
        <f t="shared" ref="H17:H40" ca="1" si="39">IF($C17="5",OFFSET(H17,-1,0) +1,IF(OFFSET(G17,-1,0)&lt;&gt;G17,"0",IF(OFFSET(H17,-1,0)="","0",OFFSET(H17,-1,0))))</f>
        <v>0</v>
      </c>
      <c r="I17" s="378" t="str">
        <f t="shared" ref="I17:I40" ca="1" si="40">IF($C17="6",OFFSET(I17,-1,0) +1,IF(OFFSET(H17,-1,0)&lt;&gt;H17,"0",IF(OFFSET(I17,-1,0)="","0", OFFSET(I17,-1,0))))</f>
        <v>0</v>
      </c>
      <c r="J17" s="378" t="str">
        <f t="shared" ca="1" si="8"/>
        <v>0</v>
      </c>
      <c r="K17" s="378" t="b">
        <f t="shared" ref="K17:K40" si="41">IF(C17="S","NÃO", IF(C17="1", D17, IF(C17="2", D17 &amp; "." &amp; E17,IF(C17="3", D17 &amp; "." &amp; E17 &amp; "." &amp; F17, IF(C17="4", D17 &amp; "." &amp; E17 &amp; "." &amp; F17 &amp; "." &amp; G17, IF(C17="5", D17 &amp; "." &amp; E17 &amp; "." &amp; F17 &amp; "." &amp; G17 &amp; "." &amp; H17, IF(C17="6", D17 &amp; "." &amp; E17 &amp; "." &amp; F17 &amp; "." &amp; G17 &amp; "." &amp; H17 &amp; "." &amp; I17)))))))</f>
        <v>0</v>
      </c>
      <c r="L17" s="378" t="b">
        <f t="shared" ref="L17:L40" si="42">IF(K17="NÃO",IF($B17=2,D17&amp;"."&amp;J17,IF($B17=3,D17&amp;"."&amp;E17&amp;"."&amp;J17,IF($B17=4,D17&amp;"."&amp;E17&amp;"."&amp;F17&amp;"."&amp;J17,IF($B17=5,D17&amp;"."&amp;E17&amp;"."&amp;F17&amp;"."&amp;G17&amp;"."&amp;J17,IF($B17=6,D17&amp;"."&amp;E17&amp;"."&amp;F17&amp;"."&amp;G17&amp;"."&amp;H17&amp;"."&amp;J17,IF($B17=7,D17&amp;"."&amp;E17&amp;"."&amp;F17&amp;"."&amp;G17&amp;"."&amp;H17&amp;"."&amp;I17&amp;"."&amp;J17,"FALHA")))))),K17)</f>
        <v>0</v>
      </c>
      <c r="O17" s="192"/>
      <c r="P17" s="387"/>
      <c r="Q17" s="387"/>
      <c r="R17" s="377"/>
      <c r="S17" s="387"/>
      <c r="T17" s="363"/>
      <c r="U17" s="388"/>
      <c r="V17" s="389"/>
      <c r="W17" s="389"/>
      <c r="X17" s="389"/>
      <c r="Y17" s="390"/>
      <c r="AA17" s="378"/>
      <c r="AB17" s="642"/>
    </row>
    <row r="18" spans="2:29" s="75" customFormat="1" ht="16" thickBot="1">
      <c r="B18" s="75" t="str">
        <f t="shared" ca="1" si="35"/>
        <v>2</v>
      </c>
      <c r="C18" s="75" t="str">
        <f t="shared" si="1"/>
        <v>2</v>
      </c>
      <c r="D18" s="75">
        <f t="shared" ca="1" si="2"/>
        <v>1</v>
      </c>
      <c r="E18" s="75">
        <f t="shared" ca="1" si="36"/>
        <v>3</v>
      </c>
      <c r="F18" s="75" t="str">
        <f t="shared" ca="1" si="37"/>
        <v>0</v>
      </c>
      <c r="G18" s="75" t="str">
        <f t="shared" ca="1" si="38"/>
        <v>0</v>
      </c>
      <c r="H18" s="75" t="str">
        <f t="shared" ca="1" si="39"/>
        <v>0</v>
      </c>
      <c r="I18" s="75" t="str">
        <f t="shared" ca="1" si="40"/>
        <v>0</v>
      </c>
      <c r="J18" s="75" t="str">
        <f t="shared" ca="1" si="8"/>
        <v>0</v>
      </c>
      <c r="K18" s="75" t="str">
        <f t="shared" ca="1" si="41"/>
        <v>1.3</v>
      </c>
      <c r="L18" s="75" t="str">
        <f t="shared" ca="1" si="42"/>
        <v>1.3</v>
      </c>
      <c r="M18" s="55" t="s">
        <v>27861</v>
      </c>
      <c r="O18" s="191" t="str">
        <f ca="1">L18</f>
        <v>1.3</v>
      </c>
      <c r="P18" s="172"/>
      <c r="Q18" s="172"/>
      <c r="R18" s="621" t="s">
        <v>41780</v>
      </c>
      <c r="S18" s="172"/>
      <c r="T18" s="194"/>
      <c r="U18" s="195"/>
      <c r="V18" s="196">
        <f ca="1">IF(VALUE(C18)=1,SUMIFS(V:V,D:D,D18,M:M,"Serviço"),IF(VALUE(C18)=2,SUMIFS(V:V,D:D,D18,E:E,E18,M:M,"Serviço"),IF(VALUE(C18)=3,SUMIFS(V:V,D:D,D18,E:E,E18,F:F,F18,M:M,"Serviço"),IF(VALUE(C18)=4,SUMIFS(V:V,D:D,D18,E:E,E18,F:F,F18,G:G,G18,M:M,"Serviço"),"ERRO"))))</f>
        <v>8262.3700000000008</v>
      </c>
      <c r="W18" s="197"/>
      <c r="X18" s="205"/>
      <c r="Y18" s="173">
        <f ca="1">IF(VALUE(C18)=1,SUMIFS(Y:Y,D:D,D18,M:M,"Serviço"),IF(VALUE(C18)=2,SUMIFS(Y:Y,D:D,D18,E:E,E18,M:M,"Serviço"),IF(VALUE(C18)=3,SUMIFS(Y:Y,D:D,D18,E:E,E18,F:F,F18,M:M,"Serviço"),IF(VALUE(C18)=4,SUMIFS(Y:Y,D:D,D18,E:E,E18,F:F,F18,G:G,G18,M:M,"Serviço"),"ERRO"))))</f>
        <v>10121.18</v>
      </c>
      <c r="AB18" s="641"/>
    </row>
    <row r="19" spans="2:29" s="55" customFormat="1" ht="16" thickBot="1">
      <c r="B19" s="378">
        <f t="shared" ca="1" si="35"/>
        <v>3</v>
      </c>
      <c r="C19" s="378" t="str">
        <f t="shared" si="1"/>
        <v>S</v>
      </c>
      <c r="D19" s="378">
        <f t="shared" ca="1" si="2"/>
        <v>1</v>
      </c>
      <c r="E19" s="378">
        <f t="shared" ca="1" si="36"/>
        <v>3</v>
      </c>
      <c r="F19" s="378" t="str">
        <f t="shared" ca="1" si="37"/>
        <v>0</v>
      </c>
      <c r="G19" s="378" t="str">
        <f t="shared" ca="1" si="38"/>
        <v>0</v>
      </c>
      <c r="H19" s="378" t="str">
        <f t="shared" ca="1" si="39"/>
        <v>0</v>
      </c>
      <c r="I19" s="378" t="str">
        <f t="shared" ca="1" si="40"/>
        <v>0</v>
      </c>
      <c r="J19" s="378">
        <f t="shared" ca="1" si="8"/>
        <v>1</v>
      </c>
      <c r="K19" s="378" t="str">
        <f t="shared" si="41"/>
        <v>NÃO</v>
      </c>
      <c r="L19" s="378" t="str">
        <f t="shared" ca="1" si="42"/>
        <v>1.3.1</v>
      </c>
      <c r="M19" s="55" t="s">
        <v>27868</v>
      </c>
      <c r="O19" s="392" t="str">
        <f ca="1">L19</f>
        <v>1.3.1</v>
      </c>
      <c r="P19" s="413" t="s">
        <v>29901</v>
      </c>
      <c r="Q19" s="414" t="s">
        <v>10853</v>
      </c>
      <c r="R19" s="415" t="str">
        <f>UPPER(IF(P19="CDHU",VLOOKUP(Q19,'CDHU 201-SD'!$A$1:$J$28014,2,FALSE),IF(P19="FDE",VLOOKUP(Q19,'FDE 01-26-SD'!$A$1:$J$280013,2,FALSE),IF(P19="PRÓPRIA",VLOOKUP(Q19,COMPOSIÇÃO!$1:$1048576,3,FALSE),VLOOKUP(Q19,'SINAPI 04-26-SD'!$A$1:$H$272700,2,FALSE)))))</f>
        <v>TAPUME FIXO PARA FECHAMENTO DE ÁREAS, COM PORTÃO</v>
      </c>
      <c r="S19" s="414" t="str">
        <f>UPPER(IF(P19="CDHU",VLOOKUP(Q19,'CDHU 201-SD'!$A$1:$J$28014,3,FALSE),IF(P19="FDE",VLOOKUP(Q19,'FDE 01-26-SD'!$A$1:$J$280013,3,FALSE),IF(P19="PRÓPRIA",VLOOKUP(Q19,COMPOSIÇÃO!$1:$1048576,7,FALSE),VLOOKUP(Q19,'SINAPI 04-26-SD'!$A$1:$H$272700,3,FALSE)))))</f>
        <v>M2</v>
      </c>
      <c r="T19" s="393">
        <f>VLOOKUP(Q19,'SERVIÇOS INICIAIS'!$1:$1048576,12,FALSE)</f>
        <v>75.746000000000024</v>
      </c>
      <c r="U19" s="394">
        <f>TRUNC(IF(P19="CDHU",VLOOKUP(Q19,'CDHU 201-SD'!$A$1:$J$28014,6,FALSE),IF(P19="FDE",VLOOKUP(Q19,'FDE 01-26-SD'!$A$1:$J$280013,6,FALSE),IF(P19="PRÓPRIA",VLOOKUP(Q19,COMPOSIÇÃO!$1:$1048576,10,FALSE),VLOOKUP(Q19,'SINAPI 04-26-SD'!$A$1:$H$272700,4,FALSE)))),2)</f>
        <v>109.08</v>
      </c>
      <c r="V19" s="416">
        <f>TRUNC(U19*T19,2)</f>
        <v>8262.3700000000008</v>
      </c>
      <c r="W19" s="395">
        <f>IF($AA19="N",BDI!$D$26,IF($AA19="D",'BDI DIFE.'!$D$26,"ERRO"))</f>
        <v>0.22500000000000001</v>
      </c>
      <c r="X19" s="379">
        <f>TRUNC(U19*(1+W19),2)</f>
        <v>133.62</v>
      </c>
      <c r="Y19" s="380">
        <f>TRUNC(T19*X19,2)</f>
        <v>10121.18</v>
      </c>
      <c r="Z19" s="381"/>
      <c r="AA19" s="378" t="s">
        <v>28044</v>
      </c>
      <c r="AB19" s="642"/>
    </row>
    <row r="20" spans="2:29" s="55" customFormat="1" ht="16" thickBot="1">
      <c r="B20" s="378" t="str">
        <f t="shared" ref="B20:B24" ca="1" si="43">IF(C20="S",IF(OFFSET(C20,-1,0)="S", OFFSET(B20,-1,0), OFFSET(B20,-1,0) +1 ), C20)</f>
        <v/>
      </c>
      <c r="C20" s="378" t="str">
        <f>IF(RIGHT($M20) = "o", "S", RIGHT($M20))</f>
        <v/>
      </c>
      <c r="D20" s="378">
        <f t="shared" ca="1" si="2"/>
        <v>1</v>
      </c>
      <c r="E20" s="378">
        <f t="shared" ref="E20:E24" ca="1" si="44">IF($C20="2",OFFSET(E20,-1,0) +1,IF(OFFSET(D20,-1,0)&lt;&gt;D20,"0",IF(OFFSET(E20,-1,0)="","0",OFFSET(E20,-1,0))))</f>
        <v>3</v>
      </c>
      <c r="F20" s="378" t="str">
        <f t="shared" ref="F20:F24" ca="1" si="45">IF($C20="3",OFFSET(F20,-1,0) +1,IF(OFFSET(E20,-1,0)&lt;&gt;E20,"0",IF(OFFSET(F20,-1,0)="","0",OFFSET(F20,-1,0))))</f>
        <v>0</v>
      </c>
      <c r="G20" s="378" t="str">
        <f t="shared" ref="G20:G24" ca="1" si="46">IF($C20="4",OFFSET(G20,-1,0) +1,IF(OFFSET(F20,-1,0)&lt;&gt;F20,"0",IF(OFFSET(G20,-1,0)="","0",OFFSET(G20,-1,0))))</f>
        <v>0</v>
      </c>
      <c r="H20" s="378" t="str">
        <f t="shared" ref="H20:H24" ca="1" si="47">IF($C20="5",OFFSET(H20,-1,0) +1,IF(OFFSET(G20,-1,0)&lt;&gt;G20,"0",IF(OFFSET(H20,-1,0)="","0",OFFSET(H20,-1,0))))</f>
        <v>0</v>
      </c>
      <c r="I20" s="378" t="str">
        <f t="shared" ref="I20:I24" ca="1" si="48">IF($C20="6",OFFSET(I20,-1,0) +1,IF(OFFSET(H20,-1,0)&lt;&gt;H20,"0",IF(OFFSET(I20,-1,0)="","0", OFFSET(I20,-1,0))))</f>
        <v>0</v>
      </c>
      <c r="J20" s="378" t="str">
        <f t="shared" ca="1" si="8"/>
        <v>0</v>
      </c>
      <c r="K20" s="378" t="b">
        <f t="shared" ref="K20:K24" si="49">IF(C20="S","NÃO", IF(C20="1", D20, IF(C20="2", D20 &amp; "." &amp; E20,IF(C20="3", D20 &amp; "." &amp; E20 &amp; "." &amp; F20, IF(C20="4", D20 &amp; "." &amp; E20 &amp; "." &amp; F20 &amp; "." &amp; G20, IF(C20="5", D20 &amp; "." &amp; E20 &amp; "." &amp; F20 &amp; "." &amp; G20 &amp; "." &amp; H20, IF(C20="6", D20 &amp; "." &amp; E20 &amp; "." &amp; F20 &amp; "." &amp; G20 &amp; "." &amp; H20 &amp; "." &amp; I20)))))))</f>
        <v>0</v>
      </c>
      <c r="L20" s="378" t="b">
        <f t="shared" ref="L20:L24" si="50">IF(K20="NÃO",IF($B20=2,D20&amp;"."&amp;J20,IF($B20=3,D20&amp;"."&amp;E20&amp;"."&amp;J20,IF($B20=4,D20&amp;"."&amp;E20&amp;"."&amp;F20&amp;"."&amp;J20,IF($B20=5,D20&amp;"."&amp;E20&amp;"."&amp;F20&amp;"."&amp;G20&amp;"."&amp;J20,IF($B20=6,D20&amp;"."&amp;E20&amp;"."&amp;F20&amp;"."&amp;G20&amp;"."&amp;H20&amp;"."&amp;J20,IF($B20=7,D20&amp;"."&amp;E20&amp;"."&amp;F20&amp;"."&amp;G20&amp;"."&amp;H20&amp;"."&amp;I20&amp;"."&amp;J20,"FALHA")))))),K20)</f>
        <v>0</v>
      </c>
      <c r="O20" s="192"/>
      <c r="P20" s="387"/>
      <c r="Q20" s="387"/>
      <c r="R20" s="377"/>
      <c r="S20" s="387"/>
      <c r="T20" s="363"/>
      <c r="U20" s="388"/>
      <c r="V20" s="389"/>
      <c r="W20" s="389"/>
      <c r="X20" s="389"/>
      <c r="Y20" s="390"/>
      <c r="AA20" s="378"/>
      <c r="AB20" s="642"/>
    </row>
    <row r="21" spans="2:29" s="75" customFormat="1" ht="16" thickBot="1">
      <c r="B21" s="75" t="str">
        <f t="shared" ca="1" si="43"/>
        <v>1</v>
      </c>
      <c r="C21" s="75" t="str">
        <f t="shared" si="1"/>
        <v>1</v>
      </c>
      <c r="D21" s="75">
        <f t="shared" ca="1" si="2"/>
        <v>2</v>
      </c>
      <c r="E21" s="75" t="str">
        <f t="shared" ca="1" si="44"/>
        <v>0</v>
      </c>
      <c r="F21" s="75" t="str">
        <f t="shared" ca="1" si="45"/>
        <v>0</v>
      </c>
      <c r="G21" s="75" t="str">
        <f t="shared" ca="1" si="46"/>
        <v>0</v>
      </c>
      <c r="H21" s="75" t="str">
        <f t="shared" ca="1" si="47"/>
        <v>0</v>
      </c>
      <c r="I21" s="75" t="str">
        <f t="shared" ca="1" si="48"/>
        <v>0</v>
      </c>
      <c r="J21" s="75" t="str">
        <f t="shared" ca="1" si="8"/>
        <v>0</v>
      </c>
      <c r="K21" s="75">
        <f t="shared" ca="1" si="49"/>
        <v>2</v>
      </c>
      <c r="L21" s="75">
        <f t="shared" ca="1" si="50"/>
        <v>2</v>
      </c>
      <c r="M21" s="55" t="s">
        <v>27859</v>
      </c>
      <c r="O21" s="191">
        <f t="shared" ref="O21:O24" ca="1" si="51">L21</f>
        <v>2</v>
      </c>
      <c r="P21" s="172"/>
      <c r="Q21" s="172"/>
      <c r="R21" s="621" t="s">
        <v>41254</v>
      </c>
      <c r="S21" s="172"/>
      <c r="T21" s="194"/>
      <c r="U21" s="195"/>
      <c r="V21" s="196">
        <f ca="1">IF(VALUE(C21)=1,SUMIFS(V:V,D:D,D21,M:M,"Serviço"),IF(VALUE(C21)=2,SUMIFS(V:V,D:D,D21,E:E,E21,M:M,"Serviço"),IF(VALUE(C21)=3,SUMIFS(V:V,D:D,D21,E:E,E21,F:F,F21,M:M,"Serviço"),IF(VALUE(C21)=4,SUMIFS(V:V,D:D,D21,E:E,E21,F:F,F21,G:G,G21,M:M,"Serviço"),"ERRO"))))</f>
        <v>9938.01</v>
      </c>
      <c r="W21" s="197"/>
      <c r="X21" s="205"/>
      <c r="Y21" s="173">
        <f ca="1">IF(VALUE(C21)=1,SUMIFS(Y:Y,D:D,D21,M:M,"Serviço"),IF(VALUE(C21)=2,SUMIFS(Y:Y,D:D,D21,E:E,E21,M:M,"Serviço"),IF(VALUE(C21)=3,SUMIFS(Y:Y,D:D,D21,E:E,E21,F:F,F21,M:M,"Serviço"),IF(VALUE(C21)=4,SUMIFS(Y:Y,D:D,D21,E:E,E21,F:F,F21,G:G,G21,M:M,"Serviço"),"ERRO"))))</f>
        <v>12171.2</v>
      </c>
      <c r="AB21" s="641"/>
    </row>
    <row r="22" spans="2:29" s="75" customFormat="1" ht="16" thickBot="1">
      <c r="B22" s="75" t="str">
        <f t="shared" ca="1" si="43"/>
        <v>2</v>
      </c>
      <c r="C22" s="75" t="str">
        <f t="shared" si="1"/>
        <v>2</v>
      </c>
      <c r="D22" s="75">
        <f t="shared" ca="1" si="2"/>
        <v>2</v>
      </c>
      <c r="E22" s="75">
        <f t="shared" ca="1" si="44"/>
        <v>1</v>
      </c>
      <c r="F22" s="75" t="str">
        <f t="shared" ca="1" si="45"/>
        <v>0</v>
      </c>
      <c r="G22" s="75" t="str">
        <f t="shared" ca="1" si="46"/>
        <v>0</v>
      </c>
      <c r="H22" s="75" t="str">
        <f t="shared" ca="1" si="47"/>
        <v>0</v>
      </c>
      <c r="I22" s="75" t="str">
        <f t="shared" ca="1" si="48"/>
        <v>0</v>
      </c>
      <c r="J22" s="75" t="str">
        <f t="shared" ca="1" si="8"/>
        <v>0</v>
      </c>
      <c r="K22" s="75" t="str">
        <f t="shared" ca="1" si="49"/>
        <v>2.1</v>
      </c>
      <c r="L22" s="75" t="str">
        <f t="shared" ca="1" si="50"/>
        <v>2.1</v>
      </c>
      <c r="M22" s="55" t="s">
        <v>27861</v>
      </c>
      <c r="O22" s="191" t="str">
        <f t="shared" ca="1" si="51"/>
        <v>2.1</v>
      </c>
      <c r="P22" s="172"/>
      <c r="Q22" s="172"/>
      <c r="R22" s="621" t="s">
        <v>44293</v>
      </c>
      <c r="S22" s="172"/>
      <c r="T22" s="194"/>
      <c r="U22" s="195"/>
      <c r="V22" s="196">
        <f ca="1">IF(VALUE(C22)=1,SUMIFS(V:V,D:D,D22,M:M,"Serviço"),IF(VALUE(C22)=2,SUMIFS(V:V,D:D,D22,E:E,E22,M:M,"Serviço"),IF(VALUE(C22)=3,SUMIFS(V:V,D:D,D22,E:E,E22,F:F,F22,M:M,"Serviço"),IF(VALUE(C22)=4,SUMIFS(V:V,D:D,D22,E:E,E22,F:F,F22,G:G,G22,M:M,"Serviço"),"ERRO"))))</f>
        <v>9938.01</v>
      </c>
      <c r="W22" s="197"/>
      <c r="X22" s="205"/>
      <c r="Y22" s="173">
        <f ca="1">IF(VALUE(C22)=1,SUMIFS(Y:Y,D:D,D22,M:M,"Serviço"),IF(VALUE(C22)=2,SUMIFS(Y:Y,D:D,D22,E:E,E22,M:M,"Serviço"),IF(VALUE(C22)=3,SUMIFS(Y:Y,D:D,D22,E:E,E22,F:F,F22,M:M,"Serviço"),IF(VALUE(C22)=4,SUMIFS(Y:Y,D:D,D22,E:E,E22,F:F,F22,G:G,G22,M:M,"Serviço"),"ERRO"))))</f>
        <v>12171.2</v>
      </c>
      <c r="AB22" s="641"/>
    </row>
    <row r="23" spans="2:29" s="55" customFormat="1" ht="45">
      <c r="B23" s="378">
        <f t="shared" ca="1" si="43"/>
        <v>3</v>
      </c>
      <c r="C23" s="378" t="str">
        <f t="shared" si="1"/>
        <v>S</v>
      </c>
      <c r="D23" s="378">
        <f t="shared" ca="1" si="2"/>
        <v>2</v>
      </c>
      <c r="E23" s="378">
        <f t="shared" ca="1" si="44"/>
        <v>1</v>
      </c>
      <c r="F23" s="378" t="str">
        <f t="shared" ca="1" si="45"/>
        <v>0</v>
      </c>
      <c r="G23" s="378" t="str">
        <f t="shared" ca="1" si="46"/>
        <v>0</v>
      </c>
      <c r="H23" s="378" t="str">
        <f t="shared" ca="1" si="47"/>
        <v>0</v>
      </c>
      <c r="I23" s="378" t="str">
        <f t="shared" ca="1" si="48"/>
        <v>0</v>
      </c>
      <c r="J23" s="378">
        <f t="shared" ca="1" si="8"/>
        <v>1</v>
      </c>
      <c r="K23" s="378" t="str">
        <f t="shared" si="49"/>
        <v>NÃO</v>
      </c>
      <c r="L23" s="378" t="str">
        <f t="shared" ca="1" si="50"/>
        <v>2.1.1</v>
      </c>
      <c r="M23" s="55" t="s">
        <v>27868</v>
      </c>
      <c r="O23" s="392" t="str">
        <f t="shared" ca="1" si="51"/>
        <v>2.1.1</v>
      </c>
      <c r="P23" s="413" t="s">
        <v>29901</v>
      </c>
      <c r="Q23" s="414" t="s">
        <v>11415</v>
      </c>
      <c r="R23" s="415" t="str">
        <f>UPPER(IF(P23="CDHU",VLOOKUP(Q23,'CDHU 201-SD'!$A$1:$J$28014,2,FALSE),IF(P23="FDE",VLOOKUP(Q23,'FDE 01-26-SD'!$A$1:$J$280013,2,FALSE),IF(P23="PRÓPRIA",VLOOKUP(Q23,COMPOSIÇÃO!$1:$1048576,3,FALSE),VLOOKUP(Q23,'SINAPI 04-26-SD'!$A$1:$H$272700,2,FALSE)))))</f>
        <v>REMOÇÃO DE ENTULHO SEPARADO DE OBRA COM CAÇAMBA METÁLICA - TERRA, ALVENARIA, CONCRETO, ARGAMASSA, MADEIRA, PAPEL, PLÁSTICO OU METAL</v>
      </c>
      <c r="S23" s="414" t="str">
        <f>UPPER(IF(P23="CDHU",VLOOKUP(Q23,'CDHU 201-SD'!$A$1:$J$28014,3,FALSE),IF(P23="FDE",VLOOKUP(Q23,'FDE 01-26-SD'!$A$1:$J$280013,3,FALSE),IF(P23="PRÓPRIA",VLOOKUP(Q23,COMPOSIÇÃO!$1:$1048576,7,FALSE),VLOOKUP(Q23,'SINAPI 04-26-SD'!$A$1:$H$272700,3,FALSE)))))</f>
        <v>M3</v>
      </c>
      <c r="T23" s="393">
        <f>VLOOKUP(Q23,'SERVIÇOS INICIAIS'!$1:$1048576,12,FALSE)</f>
        <v>34.995375000000003</v>
      </c>
      <c r="U23" s="394">
        <f>TRUNC(IF(P23="CDHU",VLOOKUP(Q23,'CDHU 201-SD'!$A$1:$J$28014,6,FALSE),IF(P23="FDE",VLOOKUP(Q23,'FDE 01-26-SD'!$A$1:$J$280013,6,FALSE),IF(P23="PRÓPRIA",VLOOKUP(Q23,COMPOSIÇÃO!$1:$1048576,10,FALSE),VLOOKUP(Q23,'SINAPI 04-26-SD'!$A$1:$H$272700,4,FALSE)))),2)</f>
        <v>112.66</v>
      </c>
      <c r="V23" s="416">
        <f t="shared" ref="V23:V24" si="52">TRUNC(U23*T23,2)</f>
        <v>3942.57</v>
      </c>
      <c r="W23" s="395">
        <f>IF($AA23="N",BDI!$D$26,IF($AA23="D",'BDI DIFE.'!$D$26,"ERRO"))</f>
        <v>0.22500000000000001</v>
      </c>
      <c r="X23" s="379">
        <f t="shared" ref="X23:X24" si="53">TRUNC(U23*(1+W23),2)</f>
        <v>138</v>
      </c>
      <c r="Y23" s="380">
        <f t="shared" ref="Y23:Y24" si="54">TRUNC(T23*X23,2)</f>
        <v>4829.3599999999997</v>
      </c>
      <c r="Z23" s="381"/>
      <c r="AA23" s="378" t="s">
        <v>28044</v>
      </c>
      <c r="AB23" s="642"/>
    </row>
    <row r="24" spans="2:29" s="55" customFormat="1" ht="31" thickBot="1">
      <c r="B24" s="378">
        <f t="shared" ca="1" si="43"/>
        <v>3</v>
      </c>
      <c r="C24" s="378" t="str">
        <f t="shared" si="1"/>
        <v>S</v>
      </c>
      <c r="D24" s="378">
        <f t="shared" ca="1" si="2"/>
        <v>2</v>
      </c>
      <c r="E24" s="378">
        <f t="shared" ca="1" si="44"/>
        <v>1</v>
      </c>
      <c r="F24" s="378" t="str">
        <f t="shared" ca="1" si="45"/>
        <v>0</v>
      </c>
      <c r="G24" s="378" t="str">
        <f t="shared" ca="1" si="46"/>
        <v>0</v>
      </c>
      <c r="H24" s="378" t="str">
        <f t="shared" ca="1" si="47"/>
        <v>0</v>
      </c>
      <c r="I24" s="378" t="str">
        <f t="shared" ca="1" si="48"/>
        <v>0</v>
      </c>
      <c r="J24" s="378">
        <f t="shared" ca="1" si="8"/>
        <v>2</v>
      </c>
      <c r="K24" s="378" t="str">
        <f t="shared" si="49"/>
        <v>NÃO</v>
      </c>
      <c r="L24" s="378" t="str">
        <f t="shared" ca="1" si="50"/>
        <v>2.1.2</v>
      </c>
      <c r="M24" s="55" t="s">
        <v>27868</v>
      </c>
      <c r="O24" s="392" t="str">
        <f t="shared" ca="1" si="51"/>
        <v>2.1.2</v>
      </c>
      <c r="P24" s="413" t="s">
        <v>41227</v>
      </c>
      <c r="Q24" s="414" t="s">
        <v>44294</v>
      </c>
      <c r="R24" s="415" t="str">
        <f>UPPER(IF(P24="CDHU",VLOOKUP(Q24,'CDHU 201-SD'!$A$1:$J$28014,2,FALSE),IF(P24="FDE",VLOOKUP(Q24,'FDE 01-26-SD'!$A$1:$J$280013,2,FALSE),IF(P24="PRÓPRIA",VLOOKUP(Q24,COMPOSIÇÃO!$1:$1048576,3,FALSE),VLOOKUP(Q24,'SINAPI 04-26-SD'!$A$1:$H$272700,2,FALSE)))))</f>
        <v>SERVENTE COM ENCARGOS COMPLEMENTARES PARA LIMPEZA E ORGANIZAÇÃO DE CANTEIRO DE OBRAS</v>
      </c>
      <c r="S24" s="414" t="str">
        <f>UPPER(IF(P24="CDHU",VLOOKUP(Q24,'CDHU 201-SD'!$A$1:$J$28014,3,FALSE),IF(P24="FDE",VLOOKUP(Q24,'FDE 01-26-SD'!$A$1:$J$280013,3,FALSE),IF(P24="PRÓPRIA",VLOOKUP(Q24,COMPOSIÇÃO!$1:$1048576,7,FALSE),VLOOKUP(Q24,'SINAPI 04-26-SD'!$A$1:$H$272700,3,FALSE)))))</f>
        <v>H</v>
      </c>
      <c r="T24" s="393">
        <f>VLOOKUP(Q24,'SERVIÇOS INICIAIS'!$1:$1048576,12,FALSE)</f>
        <v>264</v>
      </c>
      <c r="U24" s="394">
        <f>TRUNC(IF(P24="CDHU",VLOOKUP(Q24,'CDHU 201-SD'!$A$1:$J$28014,6,FALSE),IF(P24="FDE",VLOOKUP(Q24,'FDE 01-26-SD'!$A$1:$J$280013,6,FALSE),IF(P24="PRÓPRIA",VLOOKUP(Q24,COMPOSIÇÃO!$1:$1048576,10,FALSE),VLOOKUP(Q24,'SINAPI 04-26-SD'!$A$1:$H$272700,4,FALSE)))),2)</f>
        <v>22.71</v>
      </c>
      <c r="V24" s="416">
        <f t="shared" si="52"/>
        <v>5995.44</v>
      </c>
      <c r="W24" s="395">
        <f>IF($AA24="N",BDI!$D$26,IF($AA24="D",'BDI DIFE.'!$D$26,"ERRO"))</f>
        <v>0.22500000000000001</v>
      </c>
      <c r="X24" s="379">
        <f t="shared" si="53"/>
        <v>27.81</v>
      </c>
      <c r="Y24" s="380">
        <f t="shared" si="54"/>
        <v>7341.84</v>
      </c>
      <c r="Z24" s="381"/>
      <c r="AA24" s="378" t="s">
        <v>28044</v>
      </c>
      <c r="AB24" s="644"/>
      <c r="AC24" s="645"/>
    </row>
    <row r="25" spans="2:29" s="55" customFormat="1" ht="16" thickBot="1">
      <c r="B25" s="378" t="str">
        <f t="shared" ref="B25:B30" ca="1" si="55">IF(C25="S",IF(OFFSET(C25,-1,0)="S", OFFSET(B25,-1,0), OFFSET(B25,-1,0) +1 ), C25)</f>
        <v/>
      </c>
      <c r="C25" s="378" t="str">
        <f>IF(RIGHT($M25) = "o", "S", RIGHT($M25))</f>
        <v/>
      </c>
      <c r="D25" s="378">
        <f t="shared" ca="1" si="2"/>
        <v>2</v>
      </c>
      <c r="E25" s="378">
        <f t="shared" ref="E25:E30" ca="1" si="56">IF($C25="2",OFFSET(E25,-1,0) +1,IF(OFFSET(D25,-1,0)&lt;&gt;D25,"0",IF(OFFSET(E25,-1,0)="","0",OFFSET(E25,-1,0))))</f>
        <v>1</v>
      </c>
      <c r="F25" s="378" t="str">
        <f t="shared" ref="F25:F30" ca="1" si="57">IF($C25="3",OFFSET(F25,-1,0) +1,IF(OFFSET(E25,-1,0)&lt;&gt;E25,"0",IF(OFFSET(F25,-1,0)="","0",OFFSET(F25,-1,0))))</f>
        <v>0</v>
      </c>
      <c r="G25" s="378" t="str">
        <f t="shared" ref="G25:G30" ca="1" si="58">IF($C25="4",OFFSET(G25,-1,0) +1,IF(OFFSET(F25,-1,0)&lt;&gt;F25,"0",IF(OFFSET(G25,-1,0)="","0",OFFSET(G25,-1,0))))</f>
        <v>0</v>
      </c>
      <c r="H25" s="378" t="str">
        <f t="shared" ref="H25:H30" ca="1" si="59">IF($C25="5",OFFSET(H25,-1,0) +1,IF(OFFSET(G25,-1,0)&lt;&gt;G25,"0",IF(OFFSET(H25,-1,0)="","0",OFFSET(H25,-1,0))))</f>
        <v>0</v>
      </c>
      <c r="I25" s="378" t="str">
        <f t="shared" ref="I25:I30" ca="1" si="60">IF($C25="6",OFFSET(I25,-1,0) +1,IF(OFFSET(H25,-1,0)&lt;&gt;H25,"0",IF(OFFSET(I25,-1,0)="","0", OFFSET(I25,-1,0))))</f>
        <v>0</v>
      </c>
      <c r="J25" s="378" t="str">
        <f t="shared" ca="1" si="8"/>
        <v>0</v>
      </c>
      <c r="K25" s="378" t="b">
        <f t="shared" ref="K25:K30" si="61">IF(C25="S","NÃO", IF(C25="1", D25, IF(C25="2", D25 &amp; "." &amp; E25,IF(C25="3", D25 &amp; "." &amp; E25 &amp; "." &amp; F25, IF(C25="4", D25 &amp; "." &amp; E25 &amp; "." &amp; F25 &amp; "." &amp; G25, IF(C25="5", D25 &amp; "." &amp; E25 &amp; "." &amp; F25 &amp; "." &amp; G25 &amp; "." &amp; H25, IF(C25="6", D25 &amp; "." &amp; E25 &amp; "." &amp; F25 &amp; "." &amp; G25 &amp; "." &amp; H25 &amp; "." &amp; I25)))))))</f>
        <v>0</v>
      </c>
      <c r="L25" s="378" t="b">
        <f t="shared" ref="L25:L30" si="62">IF(K25="NÃO",IF($B25=2,D25&amp;"."&amp;J25,IF($B25=3,D25&amp;"."&amp;E25&amp;"."&amp;J25,IF($B25=4,D25&amp;"."&amp;E25&amp;"."&amp;F25&amp;"."&amp;J25,IF($B25=5,D25&amp;"."&amp;E25&amp;"."&amp;F25&amp;"."&amp;G25&amp;"."&amp;J25,IF($B25=6,D25&amp;"."&amp;E25&amp;"."&amp;F25&amp;"."&amp;G25&amp;"."&amp;H25&amp;"."&amp;J25,IF($B25=7,D25&amp;"."&amp;E25&amp;"."&amp;F25&amp;"."&amp;G25&amp;"."&amp;H25&amp;"."&amp;I25&amp;"."&amp;J25,"FALHA")))))),K25)</f>
        <v>0</v>
      </c>
      <c r="O25" s="192"/>
      <c r="P25" s="387"/>
      <c r="Q25" s="387"/>
      <c r="R25" s="377"/>
      <c r="S25" s="387"/>
      <c r="T25" s="363"/>
      <c r="U25" s="388"/>
      <c r="V25" s="389"/>
      <c r="W25" s="389"/>
      <c r="X25" s="389"/>
      <c r="Y25" s="390"/>
      <c r="AA25" s="378"/>
      <c r="AB25" s="642"/>
    </row>
    <row r="26" spans="2:29" s="75" customFormat="1" ht="16" thickBot="1">
      <c r="B26" s="75" t="str">
        <f t="shared" ca="1" si="55"/>
        <v>1</v>
      </c>
      <c r="C26" s="75" t="str">
        <f t="shared" si="1"/>
        <v>1</v>
      </c>
      <c r="D26" s="75">
        <f t="shared" ca="1" si="2"/>
        <v>3</v>
      </c>
      <c r="E26" s="75" t="str">
        <f t="shared" ca="1" si="56"/>
        <v>0</v>
      </c>
      <c r="F26" s="75" t="str">
        <f t="shared" ca="1" si="57"/>
        <v>0</v>
      </c>
      <c r="G26" s="75" t="str">
        <f t="shared" ca="1" si="58"/>
        <v>0</v>
      </c>
      <c r="H26" s="75" t="str">
        <f t="shared" ca="1" si="59"/>
        <v>0</v>
      </c>
      <c r="I26" s="75" t="str">
        <f t="shared" ca="1" si="60"/>
        <v>0</v>
      </c>
      <c r="J26" s="75" t="str">
        <f t="shared" ca="1" si="8"/>
        <v>0</v>
      </c>
      <c r="K26" s="75">
        <f t="shared" ca="1" si="61"/>
        <v>3</v>
      </c>
      <c r="L26" s="75">
        <f t="shared" ca="1" si="62"/>
        <v>3</v>
      </c>
      <c r="M26" s="55" t="s">
        <v>27859</v>
      </c>
      <c r="O26" s="191">
        <f t="shared" ref="O26:O27" ca="1" si="63">L26</f>
        <v>3</v>
      </c>
      <c r="P26" s="172"/>
      <c r="Q26" s="172"/>
      <c r="R26" s="621" t="s">
        <v>44307</v>
      </c>
      <c r="S26" s="172"/>
      <c r="T26" s="194"/>
      <c r="U26" s="195"/>
      <c r="V26" s="196">
        <f ca="1">IF(VALUE(C26)=1,SUMIFS(V:V,D:D,D26,M:M,"Serviço"),IF(VALUE(C26)=2,SUMIFS(V:V,D:D,D26,E:E,E26,M:M,"Serviço"),IF(VALUE(C26)=3,SUMIFS(V:V,D:D,D26,E:E,E26,F:F,F26,M:M,"Serviço"),IF(VALUE(C26)=4,SUMIFS(V:V,D:D,D26,E:E,E26,F:F,F26,G:G,G26,M:M,"Serviço"),"ERRO"))))</f>
        <v>58546.400000000001</v>
      </c>
      <c r="W26" s="197"/>
      <c r="X26" s="205"/>
      <c r="Y26" s="173">
        <f ca="1">IF(VALUE(C26)=1,SUMIFS(Y:Y,D:D,D26,M:M,"Serviço"),IF(VALUE(C26)=2,SUMIFS(Y:Y,D:D,D26,E:E,E26,M:M,"Serviço"),IF(VALUE(C26)=3,SUMIFS(Y:Y,D:D,D26,E:E,E26,F:F,F26,M:M,"Serviço"),IF(VALUE(C26)=4,SUMIFS(Y:Y,D:D,D26,E:E,E26,F:F,F26,G:G,G26,M:M,"Serviço"),"ERRO"))))</f>
        <v>71715.600000000006</v>
      </c>
      <c r="AB26" s="641" t="s">
        <v>44313</v>
      </c>
      <c r="AC26" s="75" t="s">
        <v>44298</v>
      </c>
    </row>
    <row r="27" spans="2:29" s="55" customFormat="1" ht="31" thickBot="1">
      <c r="B27" s="378">
        <f t="shared" ca="1" si="55"/>
        <v>2</v>
      </c>
      <c r="C27" s="378" t="str">
        <f t="shared" si="1"/>
        <v>S</v>
      </c>
      <c r="D27" s="378">
        <f t="shared" ca="1" si="2"/>
        <v>3</v>
      </c>
      <c r="E27" s="378" t="str">
        <f t="shared" ca="1" si="56"/>
        <v>0</v>
      </c>
      <c r="F27" s="378" t="str">
        <f t="shared" ca="1" si="57"/>
        <v>0</v>
      </c>
      <c r="G27" s="378" t="str">
        <f t="shared" ca="1" si="58"/>
        <v>0</v>
      </c>
      <c r="H27" s="378" t="str">
        <f t="shared" ca="1" si="59"/>
        <v>0</v>
      </c>
      <c r="I27" s="378" t="str">
        <f t="shared" ca="1" si="60"/>
        <v>0</v>
      </c>
      <c r="J27" s="378">
        <f t="shared" ca="1" si="8"/>
        <v>1</v>
      </c>
      <c r="K27" s="378" t="str">
        <f t="shared" si="61"/>
        <v>NÃO</v>
      </c>
      <c r="L27" s="378" t="str">
        <f t="shared" ca="1" si="62"/>
        <v>3.1</v>
      </c>
      <c r="M27" s="55" t="s">
        <v>27868</v>
      </c>
      <c r="O27" s="392" t="str">
        <f t="shared" ca="1" si="63"/>
        <v>3.1</v>
      </c>
      <c r="P27" s="413" t="s">
        <v>44308</v>
      </c>
      <c r="Q27" s="414" t="s">
        <v>44309</v>
      </c>
      <c r="R27" s="415" t="str">
        <f>UPPER(IF(P27="CDHU",VLOOKUP(Q27,'CDHU 201-SD'!$A$1:$J$28014,2,FALSE),IF(P27="FDE",VLOOKUP(Q27,'FDE 01-26-SD'!$A$1:$J$280013,2,FALSE),IF(P27="ALO",VLOOKUP(Q27,COMPOSIÇÃO!$1:$1048576,3,FALSE),VLOOKUP(Q27,'SINAPI 04-26-SD'!$A$1:$H$272700,2,FALSE)))))</f>
        <v>ENGENHEIRO CIVIL JUNIOR COM ENCARGOS COMPLEMENTARES - ESPECIALIZADO EM OBRAS DE REFORMA E AMPLIAÇÃO</v>
      </c>
      <c r="S27" s="414" t="str">
        <f>UPPER(IF(P27="CDHU",VLOOKUP(Q27,'CDHU 201-SD'!$A$1:$J$28014,3,FALSE),IF(P27="FDE",VLOOKUP(Q27,'FDE 01-26-SD'!$A$1:$J$280013,3,FALSE),IF(P27="ALO",VLOOKUP(Q27,COMPOSIÇÃO!$1:$1048576,7,FALSE),VLOOKUP(Q27,'SINAPI 04-26-SD'!$A$1:$H$272700,3,FALSE)))))</f>
        <v>H</v>
      </c>
      <c r="T27" s="393">
        <f>VLOOKUP(Q27,'ADM LOCAL DE OBRA'!$1:$1048576,12,FALSE)</f>
        <v>440</v>
      </c>
      <c r="U27" s="394">
        <f>TRUNC(IF(P27="CDHU",VLOOKUP(Q27,'CDHU 201-SD'!$A$1:$J$28014,6,FALSE),IF(P27="FDE",VLOOKUP(Q27,'FDE 01-26-SD'!$A$1:$J$280013,6,FALSE),IF(P27="ALO",VLOOKUP(Q27,COMPOSIÇÃO!$1:$1048576,10,FALSE),VLOOKUP(Q27,'SINAPI 04-26-SD'!$A$1:$H$272700,4,FALSE)))),2)</f>
        <v>133.06</v>
      </c>
      <c r="V27" s="416">
        <f t="shared" ref="V27" si="64">TRUNC(U27*T27,2)</f>
        <v>58546.400000000001</v>
      </c>
      <c r="W27" s="395">
        <f>IF($AA27="N",BDI!$D$26,IF($AA27="D",'BDI DIFE.'!$D$26,"ERRO"))</f>
        <v>0.22500000000000001</v>
      </c>
      <c r="X27" s="379">
        <f t="shared" ref="X27" si="65">TRUNC(U27*(1+W27),2)</f>
        <v>162.99</v>
      </c>
      <c r="Y27" s="380">
        <f t="shared" ref="Y27" si="66">TRUNC(T27*X27,2)</f>
        <v>71715.600000000006</v>
      </c>
      <c r="Z27" s="381"/>
      <c r="AA27" s="378" t="s">
        <v>28044</v>
      </c>
      <c r="AB27" s="644">
        <f ca="1">X530-Y26</f>
        <v>3247583.2399999998</v>
      </c>
      <c r="AC27" s="781">
        <f ca="1">Y27/AB27</f>
        <v>2.2082759609265631E-2</v>
      </c>
    </row>
    <row r="28" spans="2:29" s="55" customFormat="1" ht="16" thickBot="1">
      <c r="B28" s="378" t="str">
        <f t="shared" ca="1" si="55"/>
        <v/>
      </c>
      <c r="C28" s="378" t="str">
        <f>IF(RIGHT($M28) = "o", "S", RIGHT($M28))</f>
        <v/>
      </c>
      <c r="D28" s="378">
        <f t="shared" ca="1" si="2"/>
        <v>3</v>
      </c>
      <c r="E28" s="378" t="str">
        <f t="shared" ca="1" si="56"/>
        <v>0</v>
      </c>
      <c r="F28" s="378" t="str">
        <f t="shared" ca="1" si="57"/>
        <v>0</v>
      </c>
      <c r="G28" s="378" t="str">
        <f t="shared" ca="1" si="58"/>
        <v>0</v>
      </c>
      <c r="H28" s="378" t="str">
        <f t="shared" ca="1" si="59"/>
        <v>0</v>
      </c>
      <c r="I28" s="378" t="str">
        <f t="shared" ca="1" si="60"/>
        <v>0</v>
      </c>
      <c r="J28" s="378" t="str">
        <f t="shared" ca="1" si="8"/>
        <v>0</v>
      </c>
      <c r="K28" s="378" t="b">
        <f t="shared" si="61"/>
        <v>0</v>
      </c>
      <c r="L28" s="378" t="b">
        <f t="shared" si="62"/>
        <v>0</v>
      </c>
      <c r="O28" s="192"/>
      <c r="P28" s="387"/>
      <c r="Q28" s="387"/>
      <c r="R28" s="377"/>
      <c r="S28" s="387"/>
      <c r="T28" s="363"/>
      <c r="U28" s="388"/>
      <c r="V28" s="389"/>
      <c r="W28" s="389"/>
      <c r="X28" s="389"/>
      <c r="Y28" s="390"/>
      <c r="AA28" s="378"/>
      <c r="AB28" s="642"/>
    </row>
    <row r="29" spans="2:29" s="75" customFormat="1" ht="16" thickBot="1">
      <c r="B29" s="75" t="str">
        <f t="shared" ca="1" si="55"/>
        <v>1</v>
      </c>
      <c r="C29" s="75" t="str">
        <f t="shared" si="1"/>
        <v>1</v>
      </c>
      <c r="D29" s="75">
        <f t="shared" ca="1" si="2"/>
        <v>4</v>
      </c>
      <c r="E29" s="75" t="str">
        <f t="shared" ca="1" si="56"/>
        <v>0</v>
      </c>
      <c r="F29" s="75" t="str">
        <f t="shared" ca="1" si="57"/>
        <v>0</v>
      </c>
      <c r="G29" s="75" t="str">
        <f t="shared" ca="1" si="58"/>
        <v>0</v>
      </c>
      <c r="H29" s="75" t="str">
        <f t="shared" ca="1" si="59"/>
        <v>0</v>
      </c>
      <c r="I29" s="75" t="str">
        <f t="shared" ca="1" si="60"/>
        <v>0</v>
      </c>
      <c r="J29" s="75" t="str">
        <f t="shared" ca="1" si="8"/>
        <v>0</v>
      </c>
      <c r="K29" s="75">
        <f t="shared" ca="1" si="61"/>
        <v>4</v>
      </c>
      <c r="L29" s="75">
        <f t="shared" ca="1" si="62"/>
        <v>4</v>
      </c>
      <c r="M29" s="55" t="s">
        <v>27859</v>
      </c>
      <c r="O29" s="191">
        <f t="shared" ref="O29:O30" ca="1" si="67">L29</f>
        <v>4</v>
      </c>
      <c r="P29" s="172"/>
      <c r="Q29" s="172"/>
      <c r="R29" s="621" t="s">
        <v>44314</v>
      </c>
      <c r="S29" s="172"/>
      <c r="T29" s="194"/>
      <c r="U29" s="195"/>
      <c r="V29" s="196">
        <f ca="1">IF(VALUE(C29)=1,SUMIFS(V:V,D:D,D29,M:M,"Serviço"),IF(VALUE(C29)=2,SUMIFS(V:V,D:D,D29,E:E,E29,M:M,"Serviço"),IF(VALUE(C29)=3,SUMIFS(V:V,D:D,D29,E:E,E29,F:F,F29,M:M,"Serviço"),IF(VALUE(C29)=4,SUMIFS(V:V,D:D,D29,E:E,E29,F:F,F29,G:G,G29,M:M,"Serviço"),"ERRO"))))</f>
        <v>4750.05</v>
      </c>
      <c r="W29" s="197"/>
      <c r="X29" s="205"/>
      <c r="Y29" s="173">
        <f ca="1">IF(VALUE(C29)=1,SUMIFS(Y:Y,D:D,D29,M:M,"Serviço"),IF(VALUE(C29)=2,SUMIFS(Y:Y,D:D,D29,E:E,E29,M:M,"Serviço"),IF(VALUE(C29)=3,SUMIFS(Y:Y,D:D,D29,E:E,E29,F:F,F29,M:M,"Serviço"),IF(VALUE(C29)=4,SUMIFS(Y:Y,D:D,D29,E:E,E29,F:F,F29,G:G,G29,M:M,"Serviço"),"ERRO"))))</f>
        <v>5817.7599999999993</v>
      </c>
      <c r="AB29" s="641"/>
    </row>
    <row r="30" spans="2:29" s="55" customFormat="1" ht="30">
      <c r="B30" s="378">
        <f t="shared" ca="1" si="55"/>
        <v>2</v>
      </c>
      <c r="C30" s="378" t="str">
        <f t="shared" si="1"/>
        <v>S</v>
      </c>
      <c r="D30" s="378">
        <f t="shared" ca="1" si="2"/>
        <v>4</v>
      </c>
      <c r="E30" s="378" t="str">
        <f t="shared" ca="1" si="56"/>
        <v>0</v>
      </c>
      <c r="F30" s="378" t="str">
        <f t="shared" ca="1" si="57"/>
        <v>0</v>
      </c>
      <c r="G30" s="378" t="str">
        <f t="shared" ca="1" si="58"/>
        <v>0</v>
      </c>
      <c r="H30" s="378" t="str">
        <f t="shared" ca="1" si="59"/>
        <v>0</v>
      </c>
      <c r="I30" s="378" t="str">
        <f t="shared" ca="1" si="60"/>
        <v>0</v>
      </c>
      <c r="J30" s="378">
        <f t="shared" ca="1" si="8"/>
        <v>1</v>
      </c>
      <c r="K30" s="378" t="str">
        <f t="shared" si="61"/>
        <v>NÃO</v>
      </c>
      <c r="L30" s="378" t="str">
        <f t="shared" ca="1" si="62"/>
        <v>4.1</v>
      </c>
      <c r="M30" s="55" t="s">
        <v>27868</v>
      </c>
      <c r="O30" s="392" t="str">
        <f t="shared" ca="1" si="67"/>
        <v>4.1</v>
      </c>
      <c r="P30" s="413" t="s">
        <v>29901</v>
      </c>
      <c r="Q30" s="414" t="s">
        <v>10948</v>
      </c>
      <c r="R30" s="415" t="str">
        <f>UPPER(IF(P30="CDHU",VLOOKUP(Q30,'CDHU 201-SD'!$A$1:$J$28014,2,FALSE),IF(P30="FDE",VLOOKUP(Q30,'FDE 01-26-SD'!$A$1:$J$280013,2,FALSE),IF(P30="PRÓPRIA",VLOOKUP(Q30,COMPOSIÇÃO!$1:$1048576,3,FALSE),VLOOKUP(Q30,'SINAPI 04-26-SD'!$A$1:$H$272700,2,FALSE)))))</f>
        <v>DEMOLIÇÃO MANUAL DE ALVENARIA DE ELEVAÇÃO OU ELEMENTO VAZADO, INCLUINDO REVESTIMENTO</v>
      </c>
      <c r="S30" s="414" t="str">
        <f>UPPER(IF(P30="CDHU",VLOOKUP(Q30,'CDHU 201-SD'!$A$1:$J$28014,3,FALSE),IF(P30="FDE",VLOOKUP(Q30,'FDE 01-26-SD'!$A$1:$J$280013,3,FALSE),IF(P30="PRÓPRIA",VLOOKUP(Q30,COMPOSIÇÃO!$1:$1048576,7,FALSE),VLOOKUP(Q30,'SINAPI 04-26-SD'!$A$1:$H$272700,3,FALSE)))))</f>
        <v>M3</v>
      </c>
      <c r="T30" s="393">
        <f>VLOOKUP(Q30,'RETIRADAS E DEMOLIÇÕES'!$1:$1048576,12,FALSE)</f>
        <v>14.381999999999998</v>
      </c>
      <c r="U30" s="394">
        <f>TRUNC(IF(P30="CDHU",VLOOKUP(Q30,'CDHU 201-SD'!$A$1:$J$28014,6,FALSE),IF(P30="FDE",VLOOKUP(Q30,'FDE 01-26-SD'!$A$1:$J$280013,6,FALSE),IF(P30="PRÓPRIA",VLOOKUP(Q30,COMPOSIÇÃO!$1:$1048576,10,FALSE),VLOOKUP(Q30,'SINAPI 04-26-SD'!$A$1:$H$272700,4,FALSE)))),2)</f>
        <v>90.84</v>
      </c>
      <c r="V30" s="416">
        <f t="shared" ref="V30" si="68">TRUNC(U30*T30,2)</f>
        <v>1306.46</v>
      </c>
      <c r="W30" s="395">
        <f>IF($AA30="N",BDI!$D$26,IF($AA30="D",'BDI DIFE.'!$D$26,"ERRO"))</f>
        <v>0.22500000000000001</v>
      </c>
      <c r="X30" s="379">
        <f t="shared" ref="X30" si="69">TRUNC(U30*(1+W30),2)</f>
        <v>111.27</v>
      </c>
      <c r="Y30" s="380">
        <f t="shared" ref="Y30" si="70">TRUNC(T30*X30,2)</f>
        <v>1600.28</v>
      </c>
      <c r="Z30" s="381"/>
      <c r="AA30" s="378" t="s">
        <v>28044</v>
      </c>
      <c r="AB30" s="642"/>
    </row>
    <row r="31" spans="2:29" s="55" customFormat="1">
      <c r="B31" s="378">
        <f t="shared" ref="B31" ca="1" si="71">IF(C31="S",IF(OFFSET(C31,-1,0)="S", OFFSET(B31,-1,0), OFFSET(B31,-1,0) +1 ), C31)</f>
        <v>2</v>
      </c>
      <c r="C31" s="378" t="str">
        <f t="shared" si="1"/>
        <v>S</v>
      </c>
      <c r="D31" s="378">
        <f t="shared" ca="1" si="2"/>
        <v>4</v>
      </c>
      <c r="E31" s="378" t="str">
        <f t="shared" ref="E31" ca="1" si="72">IF($C31="2",OFFSET(E31,-1,0) +1,IF(OFFSET(D31,-1,0)&lt;&gt;D31,"0",IF(OFFSET(E31,-1,0)="","0",OFFSET(E31,-1,0))))</f>
        <v>0</v>
      </c>
      <c r="F31" s="378" t="str">
        <f t="shared" ref="F31" ca="1" si="73">IF($C31="3",OFFSET(F31,-1,0) +1,IF(OFFSET(E31,-1,0)&lt;&gt;E31,"0",IF(OFFSET(F31,-1,0)="","0",OFFSET(F31,-1,0))))</f>
        <v>0</v>
      </c>
      <c r="G31" s="378" t="str">
        <f t="shared" ref="G31" ca="1" si="74">IF($C31="4",OFFSET(G31,-1,0) +1,IF(OFFSET(F31,-1,0)&lt;&gt;F31,"0",IF(OFFSET(G31,-1,0)="","0",OFFSET(G31,-1,0))))</f>
        <v>0</v>
      </c>
      <c r="H31" s="378" t="str">
        <f t="shared" ref="H31" ca="1" si="75">IF($C31="5",OFFSET(H31,-1,0) +1,IF(OFFSET(G31,-1,0)&lt;&gt;G31,"0",IF(OFFSET(H31,-1,0)="","0",OFFSET(H31,-1,0))))</f>
        <v>0</v>
      </c>
      <c r="I31" s="378" t="str">
        <f t="shared" ref="I31" ca="1" si="76">IF($C31="6",OFFSET(I31,-1,0) +1,IF(OFFSET(H31,-1,0)&lt;&gt;H31,"0",IF(OFFSET(I31,-1,0)="","0", OFFSET(I31,-1,0))))</f>
        <v>0</v>
      </c>
      <c r="J31" s="378">
        <f t="shared" ca="1" si="8"/>
        <v>2</v>
      </c>
      <c r="K31" s="378" t="str">
        <f t="shared" ref="K31" si="77">IF(C31="S","NÃO", IF(C31="1", D31, IF(C31="2", D31 &amp; "." &amp; E31,IF(C31="3", D31 &amp; "." &amp; E31 &amp; "." &amp; F31, IF(C31="4", D31 &amp; "." &amp; E31 &amp; "." &amp; F31 &amp; "." &amp; G31, IF(C31="5", D31 &amp; "." &amp; E31 &amp; "." &amp; F31 &amp; "." &amp; G31 &amp; "." &amp; H31, IF(C31="6", D31 &amp; "." &amp; E31 &amp; "." &amp; F31 &amp; "." &amp; G31 &amp; "." &amp; H31 &amp; "." &amp; I31)))))))</f>
        <v>NÃO</v>
      </c>
      <c r="L31" s="378" t="str">
        <f t="shared" ref="L31" ca="1" si="78">IF(K31="NÃO",IF($B31=2,D31&amp;"."&amp;J31,IF($B31=3,D31&amp;"."&amp;E31&amp;"."&amp;J31,IF($B31=4,D31&amp;"."&amp;E31&amp;"."&amp;F31&amp;"."&amp;J31,IF($B31=5,D31&amp;"."&amp;E31&amp;"."&amp;F31&amp;"."&amp;G31&amp;"."&amp;J31,IF($B31=6,D31&amp;"."&amp;E31&amp;"."&amp;F31&amp;"."&amp;G31&amp;"."&amp;H31&amp;"."&amp;J31,IF($B31=7,D31&amp;"."&amp;E31&amp;"."&amp;F31&amp;"."&amp;G31&amp;"."&amp;H31&amp;"."&amp;I31&amp;"."&amp;J31,"FALHA")))))),K31)</f>
        <v>4.2</v>
      </c>
      <c r="M31" s="55" t="s">
        <v>27868</v>
      </c>
      <c r="O31" s="392" t="str">
        <f t="shared" ref="O31" ca="1" si="79">L31</f>
        <v>4.2</v>
      </c>
      <c r="P31" s="413" t="s">
        <v>29901</v>
      </c>
      <c r="Q31" s="414" t="s">
        <v>10922</v>
      </c>
      <c r="R31" s="415" t="str">
        <f>UPPER(IF(P31="CDHU",VLOOKUP(Q31,'CDHU 201-SD'!$A$1:$J$28014,2,FALSE),IF(P31="FDE",VLOOKUP(Q31,'FDE 01-26-SD'!$A$1:$J$280013,2,FALSE),IF(P31="PRÓPRIA",VLOOKUP(Q31,COMPOSIÇÃO!$1:$1048576,3,FALSE),VLOOKUP(Q31,'SINAPI 04-26-SD'!$A$1:$H$272700,2,FALSE)))))</f>
        <v>DEMOLIÇÃO MANUAL DE CONCRETO SIMPLES</v>
      </c>
      <c r="S31" s="414" t="str">
        <f>UPPER(IF(P31="CDHU",VLOOKUP(Q31,'CDHU 201-SD'!$A$1:$J$28014,3,FALSE),IF(P31="FDE",VLOOKUP(Q31,'FDE 01-26-SD'!$A$1:$J$280013,3,FALSE),IF(P31="PRÓPRIA",VLOOKUP(Q31,COMPOSIÇÃO!$1:$1048576,7,FALSE),VLOOKUP(Q31,'SINAPI 04-26-SD'!$A$1:$H$272700,3,FALSE)))))</f>
        <v>M3</v>
      </c>
      <c r="T31" s="393">
        <f>VLOOKUP(Q31,'RETIRADAS E DEMOLIÇÕES'!$1:$1048576,12,FALSE)</f>
        <v>2.4302399999999995</v>
      </c>
      <c r="U31" s="394">
        <f>TRUNC(IF(P31="CDHU",VLOOKUP(Q31,'CDHU 201-SD'!$A$1:$J$28014,6,FALSE),IF(P31="FDE",VLOOKUP(Q31,'FDE 01-26-SD'!$A$1:$J$280013,6,FALSE),IF(P31="PRÓPRIA",VLOOKUP(Q31,COMPOSIÇÃO!$1:$1048576,10,FALSE),VLOOKUP(Q31,'SINAPI 04-26-SD'!$A$1:$H$272700,4,FALSE)))),2)</f>
        <v>249.8</v>
      </c>
      <c r="V31" s="416">
        <f t="shared" ref="V31" si="80">TRUNC(U31*T31,2)</f>
        <v>607.07000000000005</v>
      </c>
      <c r="W31" s="395">
        <f>IF($AA31="N",BDI!$D$26,IF($AA31="D",'BDI DIFE.'!$D$26,"ERRO"))</f>
        <v>0.22500000000000001</v>
      </c>
      <c r="X31" s="379">
        <f t="shared" ref="X31" si="81">TRUNC(U31*(1+W31),2)</f>
        <v>306</v>
      </c>
      <c r="Y31" s="380">
        <f t="shared" ref="Y31" si="82">TRUNC(T31*X31,2)</f>
        <v>743.65</v>
      </c>
      <c r="Z31" s="381"/>
      <c r="AA31" s="378" t="s">
        <v>28044</v>
      </c>
      <c r="AB31" s="642"/>
    </row>
    <row r="32" spans="2:29" s="55" customFormat="1">
      <c r="B32" s="378">
        <f t="shared" ref="B32" ca="1" si="83">IF(C32="S",IF(OFFSET(C32,-1,0)="S", OFFSET(B32,-1,0), OFFSET(B32,-1,0) +1 ), C32)</f>
        <v>2</v>
      </c>
      <c r="C32" s="378" t="str">
        <f t="shared" si="1"/>
        <v>S</v>
      </c>
      <c r="D32" s="378">
        <f t="shared" ca="1" si="2"/>
        <v>4</v>
      </c>
      <c r="E32" s="378" t="str">
        <f t="shared" ref="E32" ca="1" si="84">IF($C32="2",OFFSET(E32,-1,0) +1,IF(OFFSET(D32,-1,0)&lt;&gt;D32,"0",IF(OFFSET(E32,-1,0)="","0",OFFSET(E32,-1,0))))</f>
        <v>0</v>
      </c>
      <c r="F32" s="378" t="str">
        <f t="shared" ref="F32" ca="1" si="85">IF($C32="3",OFFSET(F32,-1,0) +1,IF(OFFSET(E32,-1,0)&lt;&gt;E32,"0",IF(OFFSET(F32,-1,0)="","0",OFFSET(F32,-1,0))))</f>
        <v>0</v>
      </c>
      <c r="G32" s="378" t="str">
        <f t="shared" ref="G32" ca="1" si="86">IF($C32="4",OFFSET(G32,-1,0) +1,IF(OFFSET(F32,-1,0)&lt;&gt;F32,"0",IF(OFFSET(G32,-1,0)="","0",OFFSET(G32,-1,0))))</f>
        <v>0</v>
      </c>
      <c r="H32" s="378" t="str">
        <f t="shared" ref="H32" ca="1" si="87">IF($C32="5",OFFSET(H32,-1,0) +1,IF(OFFSET(G32,-1,0)&lt;&gt;G32,"0",IF(OFFSET(H32,-1,0)="","0",OFFSET(H32,-1,0))))</f>
        <v>0</v>
      </c>
      <c r="I32" s="378" t="str">
        <f t="shared" ref="I32" ca="1" si="88">IF($C32="6",OFFSET(I32,-1,0) +1,IF(OFFSET(H32,-1,0)&lt;&gt;H32,"0",IF(OFFSET(I32,-1,0)="","0", OFFSET(I32,-1,0))))</f>
        <v>0</v>
      </c>
      <c r="J32" s="378">
        <f t="shared" ca="1" si="8"/>
        <v>3</v>
      </c>
      <c r="K32" s="378" t="str">
        <f t="shared" ref="K32" si="89">IF(C32="S","NÃO", IF(C32="1", D32, IF(C32="2", D32 &amp; "." &amp; E32,IF(C32="3", D32 &amp; "." &amp; E32 &amp; "." &amp; F32, IF(C32="4", D32 &amp; "." &amp; E32 &amp; "." &amp; F32 &amp; "." &amp; G32, IF(C32="5", D32 &amp; "." &amp; E32 &amp; "." &amp; F32 &amp; "." &amp; G32 &amp; "." &amp; H32, IF(C32="6", D32 &amp; "." &amp; E32 &amp; "." &amp; F32 &amp; "." &amp; G32 &amp; "." &amp; H32 &amp; "." &amp; I32)))))))</f>
        <v>NÃO</v>
      </c>
      <c r="L32" s="378" t="str">
        <f t="shared" ref="L32" ca="1" si="90">IF(K32="NÃO",IF($B32=2,D32&amp;"."&amp;J32,IF($B32=3,D32&amp;"."&amp;E32&amp;"."&amp;J32,IF($B32=4,D32&amp;"."&amp;E32&amp;"."&amp;F32&amp;"."&amp;J32,IF($B32=5,D32&amp;"."&amp;E32&amp;"."&amp;F32&amp;"."&amp;G32&amp;"."&amp;J32,IF($B32=6,D32&amp;"."&amp;E32&amp;"."&amp;F32&amp;"."&amp;G32&amp;"."&amp;H32&amp;"."&amp;J32,IF($B32=7,D32&amp;"."&amp;E32&amp;"."&amp;F32&amp;"."&amp;G32&amp;"."&amp;H32&amp;"."&amp;I32&amp;"."&amp;J32,"FALHA")))))),K32)</f>
        <v>4.3</v>
      </c>
      <c r="M32" s="55" t="s">
        <v>27868</v>
      </c>
      <c r="O32" s="392" t="str">
        <f t="shared" ref="O32" ca="1" si="91">L32</f>
        <v>4.3</v>
      </c>
      <c r="P32" s="413" t="s">
        <v>29901</v>
      </c>
      <c r="Q32" s="414" t="s">
        <v>11129</v>
      </c>
      <c r="R32" s="415" t="str">
        <f>UPPER(IF(P32="CDHU",VLOOKUP(Q32,'CDHU 201-SD'!$A$1:$J$28014,2,FALSE),IF(P32="FDE",VLOOKUP(Q32,'FDE 01-26-SD'!$A$1:$J$280013,2,FALSE),IF(P32="PRÓPRIA",VLOOKUP(Q32,COMPOSIÇÃO!$1:$1048576,3,FALSE),VLOOKUP(Q32,'SINAPI 04-26-SD'!$A$1:$H$272700,2,FALSE)))))</f>
        <v>RETIRADA DE ESQUADRIA METÁLICA EM GERAL</v>
      </c>
      <c r="S32" s="414" t="str">
        <f>UPPER(IF(P32="CDHU",VLOOKUP(Q32,'CDHU 201-SD'!$A$1:$J$28014,3,FALSE),IF(P32="FDE",VLOOKUP(Q32,'FDE 01-26-SD'!$A$1:$J$280013,3,FALSE),IF(P32="PRÓPRIA",VLOOKUP(Q32,COMPOSIÇÃO!$1:$1048576,7,FALSE),VLOOKUP(Q32,'SINAPI 04-26-SD'!$A$1:$H$272700,3,FALSE)))))</f>
        <v>M2</v>
      </c>
      <c r="T32" s="393">
        <f>VLOOKUP(Q32,'RETIRADAS E DEMOLIÇÕES'!$1:$1048576,12,FALSE)</f>
        <v>5.8800000000000008</v>
      </c>
      <c r="U32" s="394">
        <f>TRUNC(IF(P32="CDHU",VLOOKUP(Q32,'CDHU 201-SD'!$A$1:$J$28014,6,FALSE),IF(P32="FDE",VLOOKUP(Q32,'FDE 01-26-SD'!$A$1:$J$280013,6,FALSE),IF(P32="PRÓPRIA",VLOOKUP(Q32,COMPOSIÇÃO!$1:$1048576,10,FALSE),VLOOKUP(Q32,'SINAPI 04-26-SD'!$A$1:$H$272700,4,FALSE)))),2)</f>
        <v>35.26</v>
      </c>
      <c r="V32" s="416">
        <f t="shared" ref="V32" si="92">TRUNC(U32*T32,2)</f>
        <v>207.32</v>
      </c>
      <c r="W32" s="395">
        <f>IF($AA32="N",BDI!$D$26,IF($AA32="D",'BDI DIFE.'!$D$26,"ERRO"))</f>
        <v>0.22500000000000001</v>
      </c>
      <c r="X32" s="379">
        <f t="shared" ref="X32" si="93">TRUNC(U32*(1+W32),2)</f>
        <v>43.19</v>
      </c>
      <c r="Y32" s="380">
        <f t="shared" ref="Y32" si="94">TRUNC(T32*X32,2)</f>
        <v>253.95</v>
      </c>
      <c r="Z32" s="381"/>
      <c r="AA32" s="378" t="s">
        <v>28044</v>
      </c>
      <c r="AB32" s="644"/>
      <c r="AC32" s="645"/>
    </row>
    <row r="33" spans="2:29" s="55" customFormat="1" ht="45">
      <c r="B33" s="378">
        <f t="shared" ref="B33:B39" ca="1" si="95">IF(C33="S",IF(OFFSET(C33,-1,0)="S", OFFSET(B33,-1,0), OFFSET(B33,-1,0) +1 ), C33)</f>
        <v>2</v>
      </c>
      <c r="C33" s="378" t="str">
        <f t="shared" si="1"/>
        <v>S</v>
      </c>
      <c r="D33" s="378">
        <f t="shared" ca="1" si="2"/>
        <v>4</v>
      </c>
      <c r="E33" s="378" t="str">
        <f t="shared" ref="E33:E39" ca="1" si="96">IF($C33="2",OFFSET(E33,-1,0) +1,IF(OFFSET(D33,-1,0)&lt;&gt;D33,"0",IF(OFFSET(E33,-1,0)="","0",OFFSET(E33,-1,0))))</f>
        <v>0</v>
      </c>
      <c r="F33" s="378" t="str">
        <f t="shared" ref="F33:F39" ca="1" si="97">IF($C33="3",OFFSET(F33,-1,0) +1,IF(OFFSET(E33,-1,0)&lt;&gt;E33,"0",IF(OFFSET(F33,-1,0)="","0",OFFSET(F33,-1,0))))</f>
        <v>0</v>
      </c>
      <c r="G33" s="378" t="str">
        <f t="shared" ref="G33:G39" ca="1" si="98">IF($C33="4",OFFSET(G33,-1,0) +1,IF(OFFSET(F33,-1,0)&lt;&gt;F33,"0",IF(OFFSET(G33,-1,0)="","0",OFFSET(G33,-1,0))))</f>
        <v>0</v>
      </c>
      <c r="H33" s="378" t="str">
        <f t="shared" ref="H33:H39" ca="1" si="99">IF($C33="5",OFFSET(H33,-1,0) +1,IF(OFFSET(G33,-1,0)&lt;&gt;G33,"0",IF(OFFSET(H33,-1,0)="","0",OFFSET(H33,-1,0))))</f>
        <v>0</v>
      </c>
      <c r="I33" s="378" t="str">
        <f t="shared" ref="I33:I39" ca="1" si="100">IF($C33="6",OFFSET(I33,-1,0) +1,IF(OFFSET(H33,-1,0)&lt;&gt;H33,"0",IF(OFFSET(I33,-1,0)="","0", OFFSET(I33,-1,0))))</f>
        <v>0</v>
      </c>
      <c r="J33" s="378">
        <f t="shared" ca="1" si="8"/>
        <v>4</v>
      </c>
      <c r="K33" s="378" t="str">
        <f t="shared" ref="K33:K39" si="101">IF(C33="S","NÃO", IF(C33="1", D33, IF(C33="2", D33 &amp; "." &amp; E33,IF(C33="3", D33 &amp; "." &amp; E33 &amp; "." &amp; F33, IF(C33="4", D33 &amp; "." &amp; E33 &amp; "." &amp; F33 &amp; "." &amp; G33, IF(C33="5", D33 &amp; "." &amp; E33 &amp; "." &amp; F33 &amp; "." &amp; G33 &amp; "." &amp; H33, IF(C33="6", D33 &amp; "." &amp; E33 &amp; "." &amp; F33 &amp; "." &amp; G33 &amp; "." &amp; H33 &amp; "." &amp; I33)))))))</f>
        <v>NÃO</v>
      </c>
      <c r="L33" s="378" t="str">
        <f t="shared" ref="L33:L39" ca="1" si="102">IF(K33="NÃO",IF($B33=2,D33&amp;"."&amp;J33,IF($B33=3,D33&amp;"."&amp;E33&amp;"."&amp;J33,IF($B33=4,D33&amp;"."&amp;E33&amp;"."&amp;F33&amp;"."&amp;J33,IF($B33=5,D33&amp;"."&amp;E33&amp;"."&amp;F33&amp;"."&amp;G33&amp;"."&amp;J33,IF($B33=6,D33&amp;"."&amp;E33&amp;"."&amp;F33&amp;"."&amp;G33&amp;"."&amp;H33&amp;"."&amp;J33,IF($B33=7,D33&amp;"."&amp;E33&amp;"."&amp;F33&amp;"."&amp;G33&amp;"."&amp;H33&amp;"."&amp;I33&amp;"."&amp;J33,"FALHA")))))),K33)</f>
        <v>4.4</v>
      </c>
      <c r="M33" s="55" t="s">
        <v>27868</v>
      </c>
      <c r="O33" s="392" t="str">
        <f t="shared" ref="O33" ca="1" si="103">L33</f>
        <v>4.4</v>
      </c>
      <c r="P33" s="413" t="s">
        <v>29901</v>
      </c>
      <c r="Q33" s="414" t="s">
        <v>11415</v>
      </c>
      <c r="R33" s="415" t="str">
        <f>UPPER(IF(P33="CDHU",VLOOKUP(Q33,'CDHU 201-SD'!$A$1:$J$28014,2,FALSE),IF(P33="FDE",VLOOKUP(Q33,'FDE 01-26-SD'!$A$1:$J$280013,2,FALSE),IF(P33="PRÓPRIA",VLOOKUP(Q33,COMPOSIÇÃO!$1:$1048576,3,FALSE),VLOOKUP(Q33,'SINAPI 04-26-SD'!$A$1:$H$272700,2,FALSE)))))</f>
        <v>REMOÇÃO DE ENTULHO SEPARADO DE OBRA COM CAÇAMBA METÁLICA - TERRA, ALVENARIA, CONCRETO, ARGAMASSA, MADEIRA, PAPEL, PLÁSTICO OU METAL</v>
      </c>
      <c r="S33" s="414" t="str">
        <f>UPPER(IF(P33="CDHU",VLOOKUP(Q33,'CDHU 201-SD'!$A$1:$J$28014,3,FALSE),IF(P33="FDE",VLOOKUP(Q33,'FDE 01-26-SD'!$A$1:$J$280013,3,FALSE),IF(P33="PRÓPRIA",VLOOKUP(Q33,COMPOSIÇÃO!$1:$1048576,7,FALSE),VLOOKUP(Q33,'SINAPI 04-26-SD'!$A$1:$H$272700,3,FALSE)))))</f>
        <v>M3</v>
      </c>
      <c r="T33" s="393">
        <f>VLOOKUP(Q33,'RETIRADAS E DEMOLIÇÕES'!$1:$1048576,12,FALSE)</f>
        <v>22.620311999999995</v>
      </c>
      <c r="U33" s="394">
        <f>TRUNC(IF(P33="CDHU",VLOOKUP(Q33,'CDHU 201-SD'!$A$1:$J$28014,6,FALSE),IF(P33="FDE",VLOOKUP(Q33,'FDE 01-26-SD'!$A$1:$J$280013,6,FALSE),IF(P33="PRÓPRIA",VLOOKUP(Q33,COMPOSIÇÃO!$1:$1048576,10,FALSE),VLOOKUP(Q33,'SINAPI 04-26-SD'!$A$1:$H$272700,4,FALSE)))),2)</f>
        <v>112.66</v>
      </c>
      <c r="V33" s="416">
        <f t="shared" ref="V33" si="104">TRUNC(U33*T33,2)</f>
        <v>2548.4</v>
      </c>
      <c r="W33" s="395">
        <f>IF($AA33="N",BDI!$D$26,IF($AA33="D",'BDI DIFE.'!$D$26,"ERRO"))</f>
        <v>0.22500000000000001</v>
      </c>
      <c r="X33" s="379">
        <f t="shared" ref="X33" si="105">TRUNC(U33*(1+W33),2)</f>
        <v>138</v>
      </c>
      <c r="Y33" s="380">
        <f t="shared" ref="Y33" si="106">TRUNC(T33*X33,2)</f>
        <v>3121.6</v>
      </c>
      <c r="Z33" s="381"/>
      <c r="AA33" s="378" t="s">
        <v>28044</v>
      </c>
      <c r="AB33" s="644"/>
      <c r="AC33" s="645"/>
    </row>
    <row r="34" spans="2:29" s="55" customFormat="1" ht="31" thickBot="1">
      <c r="B34" s="378">
        <f t="shared" ref="B34" ca="1" si="107">IF(C34="S",IF(OFFSET(C34,-1,0)="S", OFFSET(B34,-1,0), OFFSET(B34,-1,0) +1 ), C34)</f>
        <v>2</v>
      </c>
      <c r="C34" s="378" t="str">
        <f t="shared" si="1"/>
        <v>S</v>
      </c>
      <c r="D34" s="378">
        <f t="shared" ca="1" si="2"/>
        <v>4</v>
      </c>
      <c r="E34" s="378" t="str">
        <f t="shared" ref="E34" ca="1" si="108">IF($C34="2",OFFSET(E34,-1,0) +1,IF(OFFSET(D34,-1,0)&lt;&gt;D34,"0",IF(OFFSET(E34,-1,0)="","0",OFFSET(E34,-1,0))))</f>
        <v>0</v>
      </c>
      <c r="F34" s="378" t="str">
        <f t="shared" ref="F34" ca="1" si="109">IF($C34="3",OFFSET(F34,-1,0) +1,IF(OFFSET(E34,-1,0)&lt;&gt;E34,"0",IF(OFFSET(F34,-1,0)="","0",OFFSET(F34,-1,0))))</f>
        <v>0</v>
      </c>
      <c r="G34" s="378" t="str">
        <f t="shared" ref="G34" ca="1" si="110">IF($C34="4",OFFSET(G34,-1,0) +1,IF(OFFSET(F34,-1,0)&lt;&gt;F34,"0",IF(OFFSET(G34,-1,0)="","0",OFFSET(G34,-1,0))))</f>
        <v>0</v>
      </c>
      <c r="H34" s="378" t="str">
        <f t="shared" ref="H34" ca="1" si="111">IF($C34="5",OFFSET(H34,-1,0) +1,IF(OFFSET(G34,-1,0)&lt;&gt;G34,"0",IF(OFFSET(H34,-1,0)="","0",OFFSET(H34,-1,0))))</f>
        <v>0</v>
      </c>
      <c r="I34" s="378" t="str">
        <f t="shared" ref="I34" ca="1" si="112">IF($C34="6",OFFSET(I34,-1,0) +1,IF(OFFSET(H34,-1,0)&lt;&gt;H34,"0",IF(OFFSET(I34,-1,0)="","0", OFFSET(I34,-1,0))))</f>
        <v>0</v>
      </c>
      <c r="J34" s="378">
        <f t="shared" ca="1" si="8"/>
        <v>5</v>
      </c>
      <c r="K34" s="378" t="str">
        <f t="shared" ref="K34" si="113">IF(C34="S","NÃO", IF(C34="1", D34, IF(C34="2", D34 &amp; "." &amp; E34,IF(C34="3", D34 &amp; "." &amp; E34 &amp; "." &amp; F34, IF(C34="4", D34 &amp; "." &amp; E34 &amp; "." &amp; F34 &amp; "." &amp; G34, IF(C34="5", D34 &amp; "." &amp; E34 &amp; "." &amp; F34 &amp; "." &amp; G34 &amp; "." &amp; H34, IF(C34="6", D34 &amp; "." &amp; E34 &amp; "." &amp; F34 &amp; "." &amp; G34 &amp; "." &amp; H34 &amp; "." &amp; I34)))))))</f>
        <v>NÃO</v>
      </c>
      <c r="L34" s="378" t="str">
        <f t="shared" ref="L34" ca="1" si="114">IF(K34="NÃO",IF($B34=2,D34&amp;"."&amp;J34,IF($B34=3,D34&amp;"."&amp;E34&amp;"."&amp;J34,IF($B34=4,D34&amp;"."&amp;E34&amp;"."&amp;F34&amp;"."&amp;J34,IF($B34=5,D34&amp;"."&amp;E34&amp;"."&amp;F34&amp;"."&amp;G34&amp;"."&amp;J34,IF($B34=6,D34&amp;"."&amp;E34&amp;"."&amp;F34&amp;"."&amp;G34&amp;"."&amp;H34&amp;"."&amp;J34,IF($B34=7,D34&amp;"."&amp;E34&amp;"."&amp;F34&amp;"."&amp;G34&amp;"."&amp;H34&amp;"."&amp;I34&amp;"."&amp;J34,"FALHA")))))),K34)</f>
        <v>4.5</v>
      </c>
      <c r="M34" s="55" t="s">
        <v>27868</v>
      </c>
      <c r="O34" s="392" t="str">
        <f t="shared" ref="O34" ca="1" si="115">L34</f>
        <v>4.5</v>
      </c>
      <c r="P34" s="413" t="s">
        <v>27888</v>
      </c>
      <c r="Q34" s="414">
        <v>97662</v>
      </c>
      <c r="R34" s="415" t="str">
        <f>UPPER(IF(P34="CDHU",VLOOKUP(Q34,'CDHU 201-SD'!$A$1:$J$28014,2,FALSE),IF(P34="FDE",VLOOKUP(Q34,'FDE 01-26-SD'!$A$1:$J$280013,2,FALSE),IF(P34="PRÓPRIA",VLOOKUP(Q34,COMPOSIÇÃO!$1:$1048576,3,FALSE),VLOOKUP(Q34,'SINAPI 04-26-SD'!$A$1:$H$272700,2,FALSE)))))</f>
        <v>REMOÇÃO DE TUBULAÇÕES (TUBOS E CONEXÕES) DE ÁGUA FRIA, DE FORMA MANUAL, SEM REAPROVEITAMENTO. AF_09/2023</v>
      </c>
      <c r="S34" s="414" t="str">
        <f>UPPER(IF(P34="CDHU",VLOOKUP(Q34,'CDHU 201-SD'!$A$1:$J$28014,3,FALSE),IF(P34="FDE",VLOOKUP(Q34,'FDE 01-26-SD'!$A$1:$J$280013,3,FALSE),IF(P34="PRÓPRIA",VLOOKUP(Q34,COMPOSIÇÃO!$1:$1048576,7,FALSE),VLOOKUP(Q34,'SINAPI 04-26-SD'!$A$1:$H$272700,3,FALSE)))))</f>
        <v>M</v>
      </c>
      <c r="T34" s="393">
        <f>'RETIRADAS E DEMOLIÇÕES'!B85</f>
        <v>109.19999999999999</v>
      </c>
      <c r="U34" s="394">
        <f>TRUNC(IF(P34="CDHU",VLOOKUP(Q34,'CDHU 201-SD'!$A$1:$J$28014,6,FALSE),IF(P34="FDE",VLOOKUP(Q34,'FDE 01-26-SD'!$A$1:$J$280013,6,FALSE),IF(P34="PRÓPRIA",VLOOKUP(Q34,COMPOSIÇÃO!$1:$1048576,10,FALSE),VLOOKUP(Q34,'SINAPI 04-26-SD'!$A$1:$H$272700,4,FALSE)))),2)</f>
        <v>0.74</v>
      </c>
      <c r="V34" s="416">
        <f t="shared" ref="V34" si="116">TRUNC(U34*T34,2)</f>
        <v>80.8</v>
      </c>
      <c r="W34" s="395">
        <f>IF($AA34="N",BDI!$D$26,IF($AA34="D",'BDI DIFE.'!$D$26,"ERRO"))</f>
        <v>0.22500000000000001</v>
      </c>
      <c r="X34" s="379">
        <f t="shared" ref="X34" si="117">TRUNC(U34*(1+W34),2)</f>
        <v>0.9</v>
      </c>
      <c r="Y34" s="380">
        <f t="shared" ref="Y34" si="118">TRUNC(T34*X34,2)</f>
        <v>98.28</v>
      </c>
      <c r="Z34" s="381"/>
      <c r="AA34" s="378" t="s">
        <v>28044</v>
      </c>
      <c r="AB34" s="644"/>
      <c r="AC34" s="645"/>
    </row>
    <row r="35" spans="2:29" s="55" customFormat="1" ht="16" thickBot="1">
      <c r="B35" s="378" t="str">
        <f t="shared" ca="1" si="95"/>
        <v/>
      </c>
      <c r="C35" s="378" t="str">
        <f>IF(RIGHT($M35) = "o", "S", RIGHT($M35))</f>
        <v/>
      </c>
      <c r="D35" s="378">
        <f t="shared" ca="1" si="2"/>
        <v>4</v>
      </c>
      <c r="E35" s="378" t="str">
        <f t="shared" ca="1" si="96"/>
        <v>0</v>
      </c>
      <c r="F35" s="378" t="str">
        <f t="shared" ca="1" si="97"/>
        <v>0</v>
      </c>
      <c r="G35" s="378" t="str">
        <f t="shared" ca="1" si="98"/>
        <v>0</v>
      </c>
      <c r="H35" s="378" t="str">
        <f t="shared" ca="1" si="99"/>
        <v>0</v>
      </c>
      <c r="I35" s="378" t="str">
        <f t="shared" ca="1" si="100"/>
        <v>0</v>
      </c>
      <c r="J35" s="378" t="str">
        <f t="shared" ca="1" si="8"/>
        <v>0</v>
      </c>
      <c r="K35" s="378" t="b">
        <f t="shared" si="101"/>
        <v>0</v>
      </c>
      <c r="L35" s="378" t="b">
        <f t="shared" si="102"/>
        <v>0</v>
      </c>
      <c r="O35" s="192"/>
      <c r="P35" s="387"/>
      <c r="Q35" s="387"/>
      <c r="R35" s="377"/>
      <c r="S35" s="387"/>
      <c r="T35" s="363"/>
      <c r="U35" s="388"/>
      <c r="V35" s="389"/>
      <c r="W35" s="389"/>
      <c r="X35" s="389"/>
      <c r="Y35" s="390"/>
      <c r="AA35" s="378"/>
      <c r="AB35" s="642"/>
    </row>
    <row r="36" spans="2:29" s="75" customFormat="1" ht="16" thickBot="1">
      <c r="B36" s="75" t="str">
        <f t="shared" ca="1" si="95"/>
        <v>1</v>
      </c>
      <c r="C36" s="75" t="str">
        <f t="shared" si="1"/>
        <v>1</v>
      </c>
      <c r="D36" s="75">
        <f t="shared" ca="1" si="2"/>
        <v>5</v>
      </c>
      <c r="E36" s="75" t="str">
        <f t="shared" ca="1" si="96"/>
        <v>0</v>
      </c>
      <c r="F36" s="75" t="str">
        <f t="shared" ca="1" si="97"/>
        <v>0</v>
      </c>
      <c r="G36" s="75" t="str">
        <f t="shared" ca="1" si="98"/>
        <v>0</v>
      </c>
      <c r="H36" s="75" t="str">
        <f t="shared" ca="1" si="99"/>
        <v>0</v>
      </c>
      <c r="I36" s="75" t="str">
        <f t="shared" ca="1" si="100"/>
        <v>0</v>
      </c>
      <c r="J36" s="75" t="str">
        <f t="shared" ca="1" si="8"/>
        <v>0</v>
      </c>
      <c r="K36" s="75">
        <f t="shared" ca="1" si="101"/>
        <v>5</v>
      </c>
      <c r="L36" s="75">
        <f t="shared" ca="1" si="102"/>
        <v>5</v>
      </c>
      <c r="M36" s="55" t="s">
        <v>27859</v>
      </c>
      <c r="O36" s="191">
        <f t="shared" ref="O36:O39" ca="1" si="119">L36</f>
        <v>5</v>
      </c>
      <c r="P36" s="172"/>
      <c r="Q36" s="172"/>
      <c r="R36" s="621" t="s">
        <v>44315</v>
      </c>
      <c r="S36" s="172"/>
      <c r="T36" s="194"/>
      <c r="U36" s="195"/>
      <c r="V36" s="196">
        <f ca="1">IF(VALUE(C36)=1,SUMIFS(V:V,D:D,D36,M:M,"Serviço"),IF(VALUE(C36)=2,SUMIFS(V:V,D:D,D36,E:E,E36,M:M,"Serviço"),IF(VALUE(C36)=3,SUMIFS(V:V,D:D,D36,E:E,E36,F:F,F36,M:M,"Serviço"),IF(VALUE(C36)=4,SUMIFS(V:V,D:D,D36,E:E,E36,F:F,F36,G:G,G36,M:M,"Serviço"),"ERRO"))))</f>
        <v>59049.78</v>
      </c>
      <c r="W36" s="197"/>
      <c r="X36" s="205"/>
      <c r="Y36" s="173">
        <f ca="1">IF(VALUE(C36)=1,SUMIFS(Y:Y,D:D,D36,M:M,"Serviço"),IF(VALUE(C36)=2,SUMIFS(Y:Y,D:D,D36,E:E,E36,M:M,"Serviço"),IF(VALUE(C36)=3,SUMIFS(Y:Y,D:D,D36,E:E,E36,F:F,F36,M:M,"Serviço"),IF(VALUE(C36)=4,SUMIFS(Y:Y,D:D,D36,E:E,E36,F:F,F36,G:G,G36,M:M,"Serviço"),"ERRO"))))</f>
        <v>72314.28</v>
      </c>
      <c r="AB36" s="641"/>
    </row>
    <row r="37" spans="2:29" s="75" customFormat="1" ht="16" thickBot="1">
      <c r="B37" s="75" t="str">
        <f t="shared" ref="B37" ca="1" si="120">IF(C37="S",IF(OFFSET(C37,-1,0)="S", OFFSET(B37,-1,0), OFFSET(B37,-1,0) +1 ), C37)</f>
        <v>2</v>
      </c>
      <c r="C37" s="75" t="str">
        <f t="shared" si="1"/>
        <v>2</v>
      </c>
      <c r="D37" s="75">
        <f t="shared" ca="1" si="2"/>
        <v>5</v>
      </c>
      <c r="E37" s="75">
        <f t="shared" ref="E37" ca="1" si="121">IF($C37="2",OFFSET(E37,-1,0) +1,IF(OFFSET(D37,-1,0)&lt;&gt;D37,"0",IF(OFFSET(E37,-1,0)="","0",OFFSET(E37,-1,0))))</f>
        <v>1</v>
      </c>
      <c r="F37" s="75" t="str">
        <f t="shared" ref="F37" ca="1" si="122">IF($C37="3",OFFSET(F37,-1,0) +1,IF(OFFSET(E37,-1,0)&lt;&gt;E37,"0",IF(OFFSET(F37,-1,0)="","0",OFFSET(F37,-1,0))))</f>
        <v>0</v>
      </c>
      <c r="G37" s="75" t="str">
        <f t="shared" ref="G37" ca="1" si="123">IF($C37="4",OFFSET(G37,-1,0) +1,IF(OFFSET(F37,-1,0)&lt;&gt;F37,"0",IF(OFFSET(G37,-1,0)="","0",OFFSET(G37,-1,0))))</f>
        <v>0</v>
      </c>
      <c r="H37" s="75" t="str">
        <f t="shared" ref="H37" ca="1" si="124">IF($C37="5",OFFSET(H37,-1,0) +1,IF(OFFSET(G37,-1,0)&lt;&gt;G37,"0",IF(OFFSET(H37,-1,0)="","0",OFFSET(H37,-1,0))))</f>
        <v>0</v>
      </c>
      <c r="I37" s="75" t="str">
        <f t="shared" ref="I37" ca="1" si="125">IF($C37="6",OFFSET(I37,-1,0) +1,IF(OFFSET(H37,-1,0)&lt;&gt;H37,"0",IF(OFFSET(I37,-1,0)="","0", OFFSET(I37,-1,0))))</f>
        <v>0</v>
      </c>
      <c r="J37" s="75" t="str">
        <f t="shared" ca="1" si="8"/>
        <v>0</v>
      </c>
      <c r="K37" s="75" t="str">
        <f t="shared" ref="K37" ca="1" si="126">IF(C37="S","NÃO", IF(C37="1", D37, IF(C37="2", D37 &amp; "." &amp; E37,IF(C37="3", D37 &amp; "." &amp; E37 &amp; "." &amp; F37, IF(C37="4", D37 &amp; "." &amp; E37 &amp; "." &amp; F37 &amp; "." &amp; G37, IF(C37="5", D37 &amp; "." &amp; E37 &amp; "." &amp; F37 &amp; "." &amp; G37 &amp; "." &amp; H37, IF(C37="6", D37 &amp; "." &amp; E37 &amp; "." &amp; F37 &amp; "." &amp; G37 &amp; "." &amp; H37 &amp; "." &amp; I37)))))))</f>
        <v>5.1</v>
      </c>
      <c r="L37" s="75" t="str">
        <f t="shared" ref="L37" ca="1" si="127">IF(K37="NÃO",IF($B37=2,D37&amp;"."&amp;J37,IF($B37=3,D37&amp;"."&amp;E37&amp;"."&amp;J37,IF($B37=4,D37&amp;"."&amp;E37&amp;"."&amp;F37&amp;"."&amp;J37,IF($B37=5,D37&amp;"."&amp;E37&amp;"."&amp;F37&amp;"."&amp;G37&amp;"."&amp;J37,IF($B37=6,D37&amp;"."&amp;E37&amp;"."&amp;F37&amp;"."&amp;G37&amp;"."&amp;H37&amp;"."&amp;J37,IF($B37=7,D37&amp;"."&amp;E37&amp;"."&amp;F37&amp;"."&amp;G37&amp;"."&amp;H37&amp;"."&amp;I37&amp;"."&amp;J37,"FALHA")))))),K37)</f>
        <v>5.1</v>
      </c>
      <c r="M37" s="55" t="s">
        <v>27861</v>
      </c>
      <c r="O37" s="191" t="str">
        <f t="shared" ref="O37" ca="1" si="128">L37</f>
        <v>5.1</v>
      </c>
      <c r="P37" s="172"/>
      <c r="Q37" s="172"/>
      <c r="R37" s="621" t="s">
        <v>44316</v>
      </c>
      <c r="S37" s="172"/>
      <c r="T37" s="194"/>
      <c r="U37" s="195"/>
      <c r="V37" s="196">
        <f ca="1">IF(VALUE(C37)=1,SUMIFS(V:V,D:D,D37,M:M,"Serviço"),IF(VALUE(C37)=2,SUMIFS(V:V,D:D,D37,E:E,E37,M:M,"Serviço"),IF(VALUE(C37)=3,SUMIFS(V:V,D:D,D37,E:E,E37,F:F,F37,M:M,"Serviço"),IF(VALUE(C37)=4,SUMIFS(V:V,D:D,D37,E:E,E37,F:F,F37,G:G,G37,M:M,"Serviço"),"ERRO"))))</f>
        <v>59049.78</v>
      </c>
      <c r="W37" s="197"/>
      <c r="X37" s="205"/>
      <c r="Y37" s="173">
        <f ca="1">IF(VALUE(C37)=1,SUMIFS(Y:Y,D:D,D37,M:M,"Serviço"),IF(VALUE(C37)=2,SUMIFS(Y:Y,D:D,D37,E:E,E37,M:M,"Serviço"),IF(VALUE(C37)=3,SUMIFS(Y:Y,D:D,D37,E:E,E37,F:F,F37,M:M,"Serviço"),IF(VALUE(C37)=4,SUMIFS(Y:Y,D:D,D37,E:E,E37,F:F,F37,G:G,G37,M:M,"Serviço"),"ERRO"))))</f>
        <v>72314.28</v>
      </c>
      <c r="AB37" s="641"/>
    </row>
    <row r="38" spans="2:29" s="55" customFormat="1">
      <c r="B38" s="378">
        <f t="shared" ca="1" si="95"/>
        <v>3</v>
      </c>
      <c r="C38" s="378" t="str">
        <f t="shared" si="1"/>
        <v>S</v>
      </c>
      <c r="D38" s="378">
        <f t="shared" ca="1" si="2"/>
        <v>5</v>
      </c>
      <c r="E38" s="378">
        <f t="shared" ca="1" si="96"/>
        <v>1</v>
      </c>
      <c r="F38" s="378" t="str">
        <f t="shared" ca="1" si="97"/>
        <v>0</v>
      </c>
      <c r="G38" s="378" t="str">
        <f t="shared" ca="1" si="98"/>
        <v>0</v>
      </c>
      <c r="H38" s="378" t="str">
        <f t="shared" ca="1" si="99"/>
        <v>0</v>
      </c>
      <c r="I38" s="378" t="str">
        <f t="shared" ca="1" si="100"/>
        <v>0</v>
      </c>
      <c r="J38" s="378">
        <f t="shared" ca="1" si="8"/>
        <v>1</v>
      </c>
      <c r="K38" s="378" t="str">
        <f t="shared" si="101"/>
        <v>NÃO</v>
      </c>
      <c r="L38" s="378" t="str">
        <f t="shared" ca="1" si="102"/>
        <v>5.1.1</v>
      </c>
      <c r="M38" s="55" t="s">
        <v>27868</v>
      </c>
      <c r="O38" s="392" t="str">
        <f t="shared" ca="1" si="119"/>
        <v>5.1.1</v>
      </c>
      <c r="P38" s="413" t="s">
        <v>29901</v>
      </c>
      <c r="Q38" s="414" t="s">
        <v>10878</v>
      </c>
      <c r="R38" s="415" t="str">
        <f>UPPER(IF(P38="CDHU",VLOOKUP(Q38,'CDHU 201-SD'!$A$1:$J$28014,2,FALSE),IF(P38="FDE",VLOOKUP(Q38,'FDE 01-26-SD'!$A$1:$J$280013,2,FALSE),IF(P38="PRÓPRIA",VLOOKUP(Q38,COMPOSIÇÃO!$1:$1048576,3,FALSE),VLOOKUP(Q38,'SINAPI 04-26-SD'!$A$1:$H$272700,2,FALSE)))))</f>
        <v>ANDAIME TORRE METÁLICO (1,5 X 1,5 M) COM PISO METÁLICO</v>
      </c>
      <c r="S38" s="414" t="str">
        <f>UPPER(IF(P38="CDHU",VLOOKUP(Q38,'CDHU 201-SD'!$A$1:$J$28014,3,FALSE),IF(P38="FDE",VLOOKUP(Q38,'FDE 01-26-SD'!$A$1:$J$280013,3,FALSE),IF(P38="PRÓPRIA",VLOOKUP(Q38,COMPOSIÇÃO!$1:$1048576,7,FALSE),VLOOKUP(Q38,'SINAPI 04-26-SD'!$A$1:$H$272700,3,FALSE)))))</f>
        <v>MXMES</v>
      </c>
      <c r="T38" s="393">
        <f>VLOOKUP(Q38,ANDAIMES!$1:$1048576,12,FALSE)</f>
        <v>1110</v>
      </c>
      <c r="U38" s="394">
        <f>TRUNC(IF(P38="CDHU",VLOOKUP(Q38,'CDHU 201-SD'!$A$1:$J$28014,6,FALSE),IF(P38="FDE",VLOOKUP(Q38,'FDE 01-26-SD'!$A$1:$J$280013,6,FALSE),IF(P38="PRÓPRIA",VLOOKUP(Q38,COMPOSIÇÃO!$1:$1048576,10,FALSE),VLOOKUP(Q38,'SINAPI 04-26-SD'!$A$1:$H$272700,4,FALSE)))),2)</f>
        <v>28.34</v>
      </c>
      <c r="V38" s="416">
        <f t="shared" ref="V38:V39" si="129">TRUNC(U38*T38,2)</f>
        <v>31457.4</v>
      </c>
      <c r="W38" s="395">
        <f>IF($AA38="N",BDI!$D$26,IF($AA38="D",'BDI DIFE.'!$D$26,"ERRO"))</f>
        <v>0.22500000000000001</v>
      </c>
      <c r="X38" s="379">
        <f t="shared" ref="X38:X39" si="130">TRUNC(U38*(1+W38),2)</f>
        <v>34.71</v>
      </c>
      <c r="Y38" s="380">
        <f t="shared" ref="Y38:Y39" si="131">TRUNC(T38*X38,2)</f>
        <v>38528.1</v>
      </c>
      <c r="Z38" s="381"/>
      <c r="AA38" s="378" t="s">
        <v>28044</v>
      </c>
      <c r="AB38" s="642"/>
    </row>
    <row r="39" spans="2:29" s="55" customFormat="1" ht="31" thickBot="1">
      <c r="B39" s="378">
        <f t="shared" ca="1" si="95"/>
        <v>3</v>
      </c>
      <c r="C39" s="378" t="str">
        <f t="shared" si="1"/>
        <v>S</v>
      </c>
      <c r="D39" s="378">
        <f t="shared" ca="1" si="2"/>
        <v>5</v>
      </c>
      <c r="E39" s="378">
        <f t="shared" ca="1" si="96"/>
        <v>1</v>
      </c>
      <c r="F39" s="378" t="str">
        <f t="shared" ca="1" si="97"/>
        <v>0</v>
      </c>
      <c r="G39" s="378" t="str">
        <f t="shared" ca="1" si="98"/>
        <v>0</v>
      </c>
      <c r="H39" s="378" t="str">
        <f t="shared" ca="1" si="99"/>
        <v>0</v>
      </c>
      <c r="I39" s="378" t="str">
        <f t="shared" ca="1" si="100"/>
        <v>0</v>
      </c>
      <c r="J39" s="378">
        <f t="shared" ca="1" si="8"/>
        <v>2</v>
      </c>
      <c r="K39" s="378" t="str">
        <f t="shared" si="101"/>
        <v>NÃO</v>
      </c>
      <c r="L39" s="378" t="str">
        <f t="shared" ca="1" si="102"/>
        <v>5.1.2</v>
      </c>
      <c r="M39" s="55" t="s">
        <v>27868</v>
      </c>
      <c r="O39" s="392" t="str">
        <f t="shared" ca="1" si="119"/>
        <v>5.1.2</v>
      </c>
      <c r="P39" s="413" t="s">
        <v>29901</v>
      </c>
      <c r="Q39" s="414" t="s">
        <v>10868</v>
      </c>
      <c r="R39" s="415" t="str">
        <f>UPPER(IF(P39="CDHU",VLOOKUP(Q39,'CDHU 201-SD'!$A$1:$J$28014,2,FALSE),IF(P39="FDE",VLOOKUP(Q39,'FDE 01-26-SD'!$A$1:$J$280013,2,FALSE),IF(P39="PRÓPRIA",VLOOKUP(Q39,COMPOSIÇÃO!$1:$1048576,3,FALSE),VLOOKUP(Q39,'SINAPI 04-26-SD'!$A$1:$H$272700,2,FALSE)))))</f>
        <v>MONTAGEM E DESMONTAGEM DE ANDAIME TORRE METÁLICA COM ALTURA ATÉ 10 M</v>
      </c>
      <c r="S39" s="414" t="str">
        <f>UPPER(IF(P39="CDHU",VLOOKUP(Q39,'CDHU 201-SD'!$A$1:$J$28014,3,FALSE),IF(P39="FDE",VLOOKUP(Q39,'FDE 01-26-SD'!$A$1:$J$280013,3,FALSE),IF(P39="PRÓPRIA",VLOOKUP(Q39,COMPOSIÇÃO!$1:$1048576,7,FALSE),VLOOKUP(Q39,'SINAPI 04-26-SD'!$A$1:$H$272700,3,FALSE)))))</f>
        <v>M</v>
      </c>
      <c r="T39" s="393">
        <f>VLOOKUP(Q39,ANDAIMES!$1:$1048576,12,FALSE)</f>
        <v>1998</v>
      </c>
      <c r="U39" s="394">
        <f>TRUNC(IF(P39="CDHU",VLOOKUP(Q39,'CDHU 201-SD'!$A$1:$J$28014,6,FALSE),IF(P39="FDE",VLOOKUP(Q39,'FDE 01-26-SD'!$A$1:$J$280013,6,FALSE),IF(P39="PRÓPRIA",VLOOKUP(Q39,COMPOSIÇÃO!$1:$1048576,10,FALSE),VLOOKUP(Q39,'SINAPI 04-26-SD'!$A$1:$H$272700,4,FALSE)))),2)</f>
        <v>13.81</v>
      </c>
      <c r="V39" s="416">
        <f t="shared" si="129"/>
        <v>27592.38</v>
      </c>
      <c r="W39" s="395">
        <f>IF($AA39="N",BDI!$D$26,IF($AA39="D",'BDI DIFE.'!$D$26,"ERRO"))</f>
        <v>0.22500000000000001</v>
      </c>
      <c r="X39" s="379">
        <f t="shared" si="130"/>
        <v>16.91</v>
      </c>
      <c r="Y39" s="380">
        <f t="shared" si="131"/>
        <v>33786.18</v>
      </c>
      <c r="Z39" s="381"/>
      <c r="AA39" s="378" t="s">
        <v>28044</v>
      </c>
      <c r="AB39" s="644"/>
      <c r="AC39" s="645"/>
    </row>
    <row r="40" spans="2:29" s="55" customFormat="1" ht="16" thickBot="1">
      <c r="B40" s="378" t="str">
        <f t="shared" ca="1" si="35"/>
        <v/>
      </c>
      <c r="C40" s="378" t="str">
        <f>IF(RIGHT($M40) = "o", "S", RIGHT($M40))</f>
        <v/>
      </c>
      <c r="D40" s="378">
        <f t="shared" ca="1" si="2"/>
        <v>5</v>
      </c>
      <c r="E40" s="378">
        <f t="shared" ca="1" si="36"/>
        <v>1</v>
      </c>
      <c r="F40" s="378" t="str">
        <f t="shared" ca="1" si="37"/>
        <v>0</v>
      </c>
      <c r="G40" s="378" t="str">
        <f t="shared" ca="1" si="38"/>
        <v>0</v>
      </c>
      <c r="H40" s="378" t="str">
        <f t="shared" ca="1" si="39"/>
        <v>0</v>
      </c>
      <c r="I40" s="378" t="str">
        <f t="shared" ca="1" si="40"/>
        <v>0</v>
      </c>
      <c r="J40" s="378" t="str">
        <f t="shared" ca="1" si="8"/>
        <v>0</v>
      </c>
      <c r="K40" s="378" t="b">
        <f t="shared" si="41"/>
        <v>0</v>
      </c>
      <c r="L40" s="378" t="b">
        <f t="shared" si="42"/>
        <v>0</v>
      </c>
      <c r="O40" s="192"/>
      <c r="P40" s="387"/>
      <c r="Q40" s="387"/>
      <c r="R40" s="377"/>
      <c r="S40" s="387"/>
      <c r="T40" s="363"/>
      <c r="U40" s="388"/>
      <c r="V40" s="389"/>
      <c r="W40" s="389"/>
      <c r="X40" s="389"/>
      <c r="Y40" s="390"/>
      <c r="AA40" s="378"/>
      <c r="AB40" s="642"/>
    </row>
    <row r="41" spans="2:29" s="75" customFormat="1" ht="16" thickBot="1">
      <c r="B41" s="75" t="str">
        <f t="shared" ref="B41" ca="1" si="132">IF(C41="S",IF(OFFSET(C41,-1,0)="S", OFFSET(B41,-1,0), OFFSET(B41,-1,0) +1 ), C41)</f>
        <v>1</v>
      </c>
      <c r="C41" s="75" t="str">
        <f t="shared" si="1"/>
        <v>1</v>
      </c>
      <c r="D41" s="75">
        <f t="shared" ca="1" si="2"/>
        <v>6</v>
      </c>
      <c r="E41" s="75" t="str">
        <f t="shared" ref="E41" ca="1" si="133">IF($C41="2",OFFSET(E41,-1,0) +1,IF(OFFSET(D41,-1,0)&lt;&gt;D41,"0",IF(OFFSET(E41,-1,0)="","0",OFFSET(E41,-1,0))))</f>
        <v>0</v>
      </c>
      <c r="F41" s="75" t="str">
        <f t="shared" ref="F41" ca="1" si="134">IF($C41="3",OFFSET(F41,-1,0) +1,IF(OFFSET(E41,-1,0)&lt;&gt;E41,"0",IF(OFFSET(F41,-1,0)="","0",OFFSET(F41,-1,0))))</f>
        <v>0</v>
      </c>
      <c r="G41" s="75" t="str">
        <f t="shared" ref="G41" ca="1" si="135">IF($C41="4",OFFSET(G41,-1,0) +1,IF(OFFSET(F41,-1,0)&lt;&gt;F41,"0",IF(OFFSET(G41,-1,0)="","0",OFFSET(G41,-1,0))))</f>
        <v>0</v>
      </c>
      <c r="H41" s="75" t="str">
        <f t="shared" ref="H41" ca="1" si="136">IF($C41="5",OFFSET(H41,-1,0) +1,IF(OFFSET(G41,-1,0)&lt;&gt;G41,"0",IF(OFFSET(H41,-1,0)="","0",OFFSET(H41,-1,0))))</f>
        <v>0</v>
      </c>
      <c r="I41" s="75" t="str">
        <f t="shared" ref="I41" ca="1" si="137">IF($C41="6",OFFSET(I41,-1,0) +1,IF(OFFSET(H41,-1,0)&lt;&gt;H41,"0",IF(OFFSET(I41,-1,0)="","0", OFFSET(I41,-1,0))))</f>
        <v>0</v>
      </c>
      <c r="J41" s="75" t="str">
        <f t="shared" ca="1" si="8"/>
        <v>0</v>
      </c>
      <c r="K41" s="75">
        <f t="shared" ref="K41" ca="1" si="138">IF(C41="S","NÃO", IF(C41="1", D41, IF(C41="2", D41 &amp; "." &amp; E41,IF(C41="3", D41 &amp; "." &amp; E41 &amp; "." &amp; F41, IF(C41="4", D41 &amp; "." &amp; E41 &amp; "." &amp; F41 &amp; "." &amp; G41, IF(C41="5", D41 &amp; "." &amp; E41 &amp; "." &amp; F41 &amp; "." &amp; G41 &amp; "." &amp; H41, IF(C41="6", D41 &amp; "." &amp; E41 &amp; "." &amp; F41 &amp; "." &amp; G41 &amp; "." &amp; H41 &amp; "." &amp; I41)))))))</f>
        <v>6</v>
      </c>
      <c r="L41" s="75">
        <f t="shared" ref="L41" ca="1" si="139">IF(K41="NÃO",IF($B41=2,D41&amp;"."&amp;J41,IF($B41=3,D41&amp;"."&amp;E41&amp;"."&amp;J41,IF($B41=4,D41&amp;"."&amp;E41&amp;"."&amp;F41&amp;"."&amp;J41,IF($B41=5,D41&amp;"."&amp;E41&amp;"."&amp;F41&amp;"."&amp;G41&amp;"."&amp;J41,IF($B41=6,D41&amp;"."&amp;E41&amp;"."&amp;F41&amp;"."&amp;G41&amp;"."&amp;H41&amp;"."&amp;J41,IF($B41=7,D41&amp;"."&amp;E41&amp;"."&amp;F41&amp;"."&amp;G41&amp;"."&amp;H41&amp;"."&amp;I41&amp;"."&amp;J41,"FALHA")))))),K41)</f>
        <v>6</v>
      </c>
      <c r="M41" s="55" t="s">
        <v>27859</v>
      </c>
      <c r="O41" s="191">
        <f t="shared" ref="O41" ca="1" si="140">L41</f>
        <v>6</v>
      </c>
      <c r="P41" s="172"/>
      <c r="Q41" s="172"/>
      <c r="R41" s="621" t="s">
        <v>40902</v>
      </c>
      <c r="S41" s="172"/>
      <c r="T41" s="194"/>
      <c r="U41" s="195"/>
      <c r="V41" s="196">
        <f ca="1">IF(VALUE(C41)=1,SUMIFS(V:V,D:D,D41,M:M,"Serviço"),IF(VALUE(C41)=2,SUMIFS(V:V,D:D,D41,E:E,E41,M:M,"Serviço"),IF(VALUE(C41)=3,SUMIFS(V:V,D:D,D41,E:E,E41,F:F,F41,M:M,"Serviço"),IF(VALUE(C41)=4,SUMIFS(V:V,D:D,D41,E:E,E41,F:F,F41,G:G,G41,M:M,"Serviço"),"ERRO"))))</f>
        <v>11169.23</v>
      </c>
      <c r="W41" s="197"/>
      <c r="X41" s="205"/>
      <c r="Y41" s="173">
        <f ca="1">IF(VALUE(C41)=1,SUMIFS(Y:Y,D:D,D41,M:M,"Serviço"),IF(VALUE(C41)=2,SUMIFS(Y:Y,D:D,D41,E:E,E41,M:M,"Serviço"),IF(VALUE(C41)=3,SUMIFS(Y:Y,D:D,D41,E:E,E41,F:F,F41,M:M,"Serviço"),IF(VALUE(C41)=4,SUMIFS(Y:Y,D:D,D41,E:E,E41,F:F,F41,G:G,G41,M:M,"Serviço"),"ERRO"))))</f>
        <v>13671.29</v>
      </c>
      <c r="AB41" s="641"/>
    </row>
    <row r="42" spans="2:29" s="55" customFormat="1" ht="45">
      <c r="B42" s="378">
        <f t="shared" ref="B42:B43" ca="1" si="141">IF(C42="S",IF(OFFSET(C42,-1,0)="S", OFFSET(B42,-1,0), OFFSET(B42,-1,0) +1 ), C42)</f>
        <v>2</v>
      </c>
      <c r="C42" s="378" t="str">
        <f t="shared" si="1"/>
        <v>S</v>
      </c>
      <c r="D42" s="378">
        <f t="shared" ca="1" si="2"/>
        <v>6</v>
      </c>
      <c r="E42" s="378" t="str">
        <f t="shared" ref="E42:E43" ca="1" si="142">IF($C42="2",OFFSET(E42,-1,0) +1,IF(OFFSET(D42,-1,0)&lt;&gt;D42,"0",IF(OFFSET(E42,-1,0)="","0",OFFSET(E42,-1,0))))</f>
        <v>0</v>
      </c>
      <c r="F42" s="378" t="str">
        <f t="shared" ref="F42:F43" ca="1" si="143">IF($C42="3",OFFSET(F42,-1,0) +1,IF(OFFSET(E42,-1,0)&lt;&gt;E42,"0",IF(OFFSET(F42,-1,0)="","0",OFFSET(F42,-1,0))))</f>
        <v>0</v>
      </c>
      <c r="G42" s="378" t="str">
        <f t="shared" ref="G42:G43" ca="1" si="144">IF($C42="4",OFFSET(G42,-1,0) +1,IF(OFFSET(F42,-1,0)&lt;&gt;F42,"0",IF(OFFSET(G42,-1,0)="","0",OFFSET(G42,-1,0))))</f>
        <v>0</v>
      </c>
      <c r="H42" s="378" t="str">
        <f t="shared" ref="H42:H43" ca="1" si="145">IF($C42="5",OFFSET(H42,-1,0) +1,IF(OFFSET(G42,-1,0)&lt;&gt;G42,"0",IF(OFFSET(H42,-1,0)="","0",OFFSET(H42,-1,0))))</f>
        <v>0</v>
      </c>
      <c r="I42" s="378" t="str">
        <f t="shared" ref="I42:I43" ca="1" si="146">IF($C42="6",OFFSET(I42,-1,0) +1,IF(OFFSET(H42,-1,0)&lt;&gt;H42,"0",IF(OFFSET(I42,-1,0)="","0", OFFSET(I42,-1,0))))</f>
        <v>0</v>
      </c>
      <c r="J42" s="378">
        <f t="shared" ca="1" si="8"/>
        <v>1</v>
      </c>
      <c r="K42" s="378" t="str">
        <f t="shared" ref="K42:K43" si="147">IF(C42="S","NÃO", IF(C42="1", D42, IF(C42="2", D42 &amp; "." &amp; E42,IF(C42="3", D42 &amp; "." &amp; E42 &amp; "." &amp; F42, IF(C42="4", D42 &amp; "." &amp; E42 &amp; "." &amp; F42 &amp; "." &amp; G42, IF(C42="5", D42 &amp; "." &amp; E42 &amp; "." &amp; F42 &amp; "." &amp; G42 &amp; "." &amp; H42, IF(C42="6", D42 &amp; "." &amp; E42 &amp; "." &amp; F42 &amp; "." &amp; G42 &amp; "." &amp; H42 &amp; "." &amp; I42)))))))</f>
        <v>NÃO</v>
      </c>
      <c r="L42" s="378" t="str">
        <f t="shared" ref="L42:L43" ca="1" si="148">IF(K42="NÃO",IF($B42=2,D42&amp;"."&amp;J42,IF($B42=3,D42&amp;"."&amp;E42&amp;"."&amp;J42,IF($B42=4,D42&amp;"."&amp;E42&amp;"."&amp;F42&amp;"."&amp;J42,IF($B42=5,D42&amp;"."&amp;E42&amp;"."&amp;F42&amp;"."&amp;G42&amp;"."&amp;J42,IF($B42=6,D42&amp;"."&amp;E42&amp;"."&amp;F42&amp;"."&amp;G42&amp;"."&amp;H42&amp;"."&amp;J42,IF($B42=7,D42&amp;"."&amp;E42&amp;"."&amp;F42&amp;"."&amp;G42&amp;"."&amp;H42&amp;"."&amp;I42&amp;"."&amp;J42,"FALHA")))))),K42)</f>
        <v>6.1</v>
      </c>
      <c r="M42" s="55" t="s">
        <v>27868</v>
      </c>
      <c r="O42" s="392" t="str">
        <f t="shared" ref="O42" ca="1" si="149">L42</f>
        <v>6.1</v>
      </c>
      <c r="P42" s="413" t="s">
        <v>29901</v>
      </c>
      <c r="Q42" s="414" t="s">
        <v>10902</v>
      </c>
      <c r="R42" s="415" t="str">
        <f>UPPER(IF(P42="CDHU",VLOOKUP(Q42,'CDHU 201-SD'!$A$1:$J$28014,2,FALSE),IF(P42="FDE",VLOOKUP(Q42,'FDE 01-26-SD'!$A$1:$J$280013,2,FALSE),IF(P42="PRÓPRIA",VLOOKUP(Q42,COMPOSIÇÃO!$1:$1048576,3,FALSE),VLOOKUP(Q42,'SINAPI 04-26-SD'!$A$1:$H$272700,2,FALSE)))))</f>
        <v>LIMPEZA MECANIZADA DO TERRENO, INCLUSIVE TRONCOS COM DIÂMETRO ACIMA DE 15 CM ATÉ 50 CM, COM CAMINHÃO À DISPOSIÇÃO DENTRO DA OBRA, ATÉ O RAIO DE 1 KM</v>
      </c>
      <c r="S42" s="414" t="str">
        <f>UPPER(IF(P42="CDHU",VLOOKUP(Q42,'CDHU 201-SD'!$A$1:$J$28014,3,FALSE),IF(P42="FDE",VLOOKUP(Q42,'FDE 01-26-SD'!$A$1:$J$280013,3,FALSE),IF(P42="PRÓPRIA",VLOOKUP(Q42,COMPOSIÇÃO!$1:$1048576,7,FALSE),VLOOKUP(Q42,'SINAPI 04-26-SD'!$A$1:$H$272700,3,FALSE)))))</f>
        <v>M2</v>
      </c>
      <c r="T42" s="393">
        <f>VLOOKUP(Q42,'LIMPEZA DO TERRENO'!$1:$1048576,12,FALSE)</f>
        <v>1428.11</v>
      </c>
      <c r="U42" s="394">
        <f>TRUNC(IF(P42="CDHU",VLOOKUP(Q42,'CDHU 201-SD'!$A$1:$J$28014,6,FALSE),IF(P42="FDE",VLOOKUP(Q42,'FDE 01-26-SD'!$A$1:$J$280013,6,FALSE),IF(P42="PRÓPRIA",VLOOKUP(Q42,COMPOSIÇÃO!$1:$1048576,10,FALSE),VLOOKUP(Q42,'SINAPI 04-26-SD'!$A$1:$H$272700,4,FALSE)))),2)</f>
        <v>5.9</v>
      </c>
      <c r="V42" s="416">
        <f t="shared" ref="V42" si="150">TRUNC(U42*T42,2)</f>
        <v>8425.84</v>
      </c>
      <c r="W42" s="395">
        <f>IF($AA42="N",BDI!$D$26,IF($AA42="D",'BDI DIFE.'!$D$26,"ERRO"))</f>
        <v>0.22500000000000001</v>
      </c>
      <c r="X42" s="379">
        <f t="shared" ref="X42" si="151">TRUNC(U42*(1+W42),2)</f>
        <v>7.22</v>
      </c>
      <c r="Y42" s="380">
        <f t="shared" ref="Y42" si="152">TRUNC(T42*X42,2)</f>
        <v>10310.950000000001</v>
      </c>
      <c r="Z42" s="381"/>
      <c r="AA42" s="378" t="s">
        <v>28044</v>
      </c>
      <c r="AB42" s="642"/>
    </row>
    <row r="43" spans="2:29" s="55" customFormat="1" ht="31" thickBot="1">
      <c r="B43" s="378">
        <f t="shared" ca="1" si="141"/>
        <v>2</v>
      </c>
      <c r="C43" s="378" t="str">
        <f t="shared" si="1"/>
        <v>S</v>
      </c>
      <c r="D43" s="378">
        <f t="shared" ca="1" si="2"/>
        <v>6</v>
      </c>
      <c r="E43" s="378" t="str">
        <f t="shared" ca="1" si="142"/>
        <v>0</v>
      </c>
      <c r="F43" s="378" t="str">
        <f t="shared" ca="1" si="143"/>
        <v>0</v>
      </c>
      <c r="G43" s="378" t="str">
        <f t="shared" ca="1" si="144"/>
        <v>0</v>
      </c>
      <c r="H43" s="378" t="str">
        <f t="shared" ca="1" si="145"/>
        <v>0</v>
      </c>
      <c r="I43" s="378" t="str">
        <f t="shared" ca="1" si="146"/>
        <v>0</v>
      </c>
      <c r="J43" s="378">
        <f t="shared" ca="1" si="8"/>
        <v>2</v>
      </c>
      <c r="K43" s="378" t="str">
        <f t="shared" si="147"/>
        <v>NÃO</v>
      </c>
      <c r="L43" s="378" t="str">
        <f t="shared" ca="1" si="148"/>
        <v>6.2</v>
      </c>
      <c r="M43" s="55" t="s">
        <v>27868</v>
      </c>
      <c r="O43" s="392" t="str">
        <f t="shared" ref="O43" ca="1" si="153">L43</f>
        <v>6.2</v>
      </c>
      <c r="P43" s="413" t="s">
        <v>29901</v>
      </c>
      <c r="Q43" s="414" t="s">
        <v>11453</v>
      </c>
      <c r="R43" s="415" t="str">
        <f>UPPER(IF(P43="CDHU",VLOOKUP(Q43,'CDHU 201-SD'!$A$1:$J$28014,2,FALSE),IF(P43="FDE",VLOOKUP(Q43,'FDE 01-26-SD'!$A$1:$J$280013,2,FALSE),IF(P43="PRÓPRIA",VLOOKUP(Q43,COMPOSIÇÃO!$1:$1048576,3,FALSE),VLOOKUP(Q43,'SINAPI 04-26-SD'!$A$1:$H$272700,2,FALSE)))))</f>
        <v>TRANSPORTE DE SOLO DE 1ª E 2ª CATEGORIA POR CAMINHÃO PARA DISTÂNCIAS SUPERIORES AO 5° KM ATÉ O 10° KM</v>
      </c>
      <c r="S43" s="414" t="str">
        <f>UPPER(IF(P43="CDHU",VLOOKUP(Q43,'CDHU 201-SD'!$A$1:$J$28014,3,FALSE),IF(P43="FDE",VLOOKUP(Q43,'FDE 01-26-SD'!$A$1:$J$280013,3,FALSE),IF(P43="PRÓPRIA",VLOOKUP(Q43,COMPOSIÇÃO!$1:$1048576,7,FALSE),VLOOKUP(Q43,'SINAPI 04-26-SD'!$A$1:$H$272700,3,FALSE)))))</f>
        <v>M3</v>
      </c>
      <c r="T43" s="393">
        <f>VLOOKUP(Q43,'LIMPEZA DO TERRENO'!$1:$1048576,12,FALSE)</f>
        <v>142.81100000000001</v>
      </c>
      <c r="U43" s="394">
        <f>TRUNC(IF(P43="CDHU",VLOOKUP(Q43,'CDHU 201-SD'!$A$1:$J$28014,6,FALSE),IF(P43="FDE",VLOOKUP(Q43,'FDE 01-26-SD'!$A$1:$J$280013,6,FALSE),IF(P43="PRÓPRIA",VLOOKUP(Q43,COMPOSIÇÃO!$1:$1048576,10,FALSE),VLOOKUP(Q43,'SINAPI 04-26-SD'!$A$1:$H$272700,4,FALSE)))),2)</f>
        <v>19.21</v>
      </c>
      <c r="V43" s="416">
        <f t="shared" ref="V43" si="154">TRUNC(U43*T43,2)</f>
        <v>2743.39</v>
      </c>
      <c r="W43" s="395">
        <f>IF($AA43="N",BDI!$D$26,IF($AA43="D",'BDI DIFE.'!$D$26,"ERRO"))</f>
        <v>0.22500000000000001</v>
      </c>
      <c r="X43" s="379">
        <f t="shared" ref="X43" si="155">TRUNC(U43*(1+W43),2)</f>
        <v>23.53</v>
      </c>
      <c r="Y43" s="380">
        <f t="shared" ref="Y43" si="156">TRUNC(T43*X43,2)</f>
        <v>3360.34</v>
      </c>
      <c r="Z43" s="381"/>
      <c r="AA43" s="378" t="s">
        <v>28044</v>
      </c>
      <c r="AB43" s="644"/>
      <c r="AC43" s="645"/>
    </row>
    <row r="44" spans="2:29" s="55" customFormat="1" ht="16" thickBot="1">
      <c r="B44" s="378" t="str">
        <f t="shared" ref="B44" ca="1" si="157">IF(C44="S",IF(OFFSET(C44,-1,0)="S", OFFSET(B44,-1,0), OFFSET(B44,-1,0) +1 ), C44)</f>
        <v/>
      </c>
      <c r="C44" s="378" t="str">
        <f>IF(RIGHT($M44) = "o", "S", RIGHT($M44))</f>
        <v/>
      </c>
      <c r="D44" s="378">
        <f t="shared" ca="1" si="2"/>
        <v>6</v>
      </c>
      <c r="E44" s="378" t="str">
        <f t="shared" ref="E44" ca="1" si="158">IF($C44="2",OFFSET(E44,-1,0) +1,IF(OFFSET(D44,-1,0)&lt;&gt;D44,"0",IF(OFFSET(E44,-1,0)="","0",OFFSET(E44,-1,0))))</f>
        <v>0</v>
      </c>
      <c r="F44" s="378" t="str">
        <f t="shared" ref="F44" ca="1" si="159">IF($C44="3",OFFSET(F44,-1,0) +1,IF(OFFSET(E44,-1,0)&lt;&gt;E44,"0",IF(OFFSET(F44,-1,0)="","0",OFFSET(F44,-1,0))))</f>
        <v>0</v>
      </c>
      <c r="G44" s="378" t="str">
        <f t="shared" ref="G44" ca="1" si="160">IF($C44="4",OFFSET(G44,-1,0) +1,IF(OFFSET(F44,-1,0)&lt;&gt;F44,"0",IF(OFFSET(G44,-1,0)="","0",OFFSET(G44,-1,0))))</f>
        <v>0</v>
      </c>
      <c r="H44" s="378" t="str">
        <f t="shared" ref="H44" ca="1" si="161">IF($C44="5",OFFSET(H44,-1,0) +1,IF(OFFSET(G44,-1,0)&lt;&gt;G44,"0",IF(OFFSET(H44,-1,0)="","0",OFFSET(H44,-1,0))))</f>
        <v>0</v>
      </c>
      <c r="I44" s="378" t="str">
        <f t="shared" ref="I44" ca="1" si="162">IF($C44="6",OFFSET(I44,-1,0) +1,IF(OFFSET(H44,-1,0)&lt;&gt;H44,"0",IF(OFFSET(I44,-1,0)="","0", OFFSET(I44,-1,0))))</f>
        <v>0</v>
      </c>
      <c r="J44" s="378" t="str">
        <f t="shared" ca="1" si="8"/>
        <v>0</v>
      </c>
      <c r="K44" s="378" t="b">
        <f t="shared" ref="K44" si="163">IF(C44="S","NÃO", IF(C44="1", D44, IF(C44="2", D44 &amp; "." &amp; E44,IF(C44="3", D44 &amp; "." &amp; E44 &amp; "." &amp; F44, IF(C44="4", D44 &amp; "." &amp; E44 &amp; "." &amp; F44 &amp; "." &amp; G44, IF(C44="5", D44 &amp; "." &amp; E44 &amp; "." &amp; F44 &amp; "." &amp; G44 &amp; "." &amp; H44, IF(C44="6", D44 &amp; "." &amp; E44 &amp; "." &amp; F44 &amp; "." &amp; G44 &amp; "." &amp; H44 &amp; "." &amp; I44)))))))</f>
        <v>0</v>
      </c>
      <c r="L44" s="378" t="b">
        <f t="shared" ref="L44" si="164">IF(K44="NÃO",IF($B44=2,D44&amp;"."&amp;J44,IF($B44=3,D44&amp;"."&amp;E44&amp;"."&amp;J44,IF($B44=4,D44&amp;"."&amp;E44&amp;"."&amp;F44&amp;"."&amp;J44,IF($B44=5,D44&amp;"."&amp;E44&amp;"."&amp;F44&amp;"."&amp;G44&amp;"."&amp;J44,IF($B44=6,D44&amp;"."&amp;E44&amp;"."&amp;F44&amp;"."&amp;G44&amp;"."&amp;H44&amp;"."&amp;J44,IF($B44=7,D44&amp;"."&amp;E44&amp;"."&amp;F44&amp;"."&amp;G44&amp;"."&amp;H44&amp;"."&amp;I44&amp;"."&amp;J44,"FALHA")))))),K44)</f>
        <v>0</v>
      </c>
      <c r="O44" s="192"/>
      <c r="P44" s="387"/>
      <c r="Q44" s="387"/>
      <c r="R44" s="377"/>
      <c r="S44" s="387"/>
      <c r="T44" s="363"/>
      <c r="U44" s="388"/>
      <c r="V44" s="389"/>
      <c r="W44" s="389"/>
      <c r="X44" s="389"/>
      <c r="Y44" s="390"/>
      <c r="AA44" s="378"/>
      <c r="AB44" s="642"/>
    </row>
    <row r="45" spans="2:29" s="75" customFormat="1" ht="16" thickBot="1">
      <c r="B45" s="75" t="str">
        <f t="shared" ref="B45:B48" ca="1" si="165">IF(C45="S",IF(OFFSET(C45,-1,0)="S", OFFSET(B45,-1,0), OFFSET(B45,-1,0) +1 ), C45)</f>
        <v>1</v>
      </c>
      <c r="C45" s="75" t="str">
        <f t="shared" si="1"/>
        <v>1</v>
      </c>
      <c r="D45" s="75">
        <f t="shared" ca="1" si="2"/>
        <v>7</v>
      </c>
      <c r="E45" s="75" t="str">
        <f t="shared" ref="E45:E48" ca="1" si="166">IF($C45="2",OFFSET(E45,-1,0) +1,IF(OFFSET(D45,-1,0)&lt;&gt;D45,"0",IF(OFFSET(E45,-1,0)="","0",OFFSET(E45,-1,0))))</f>
        <v>0</v>
      </c>
      <c r="F45" s="75" t="str">
        <f t="shared" ref="F45:F48" ca="1" si="167">IF($C45="3",OFFSET(F45,-1,0) +1,IF(OFFSET(E45,-1,0)&lt;&gt;E45,"0",IF(OFFSET(F45,-1,0)="","0",OFFSET(F45,-1,0))))</f>
        <v>0</v>
      </c>
      <c r="G45" s="75" t="str">
        <f t="shared" ref="G45:G48" ca="1" si="168">IF($C45="4",OFFSET(G45,-1,0) +1,IF(OFFSET(F45,-1,0)&lt;&gt;F45,"0",IF(OFFSET(G45,-1,0)="","0",OFFSET(G45,-1,0))))</f>
        <v>0</v>
      </c>
      <c r="H45" s="75" t="str">
        <f t="shared" ref="H45:H48" ca="1" si="169">IF($C45="5",OFFSET(H45,-1,0) +1,IF(OFFSET(G45,-1,0)&lt;&gt;G45,"0",IF(OFFSET(H45,-1,0)="","0",OFFSET(H45,-1,0))))</f>
        <v>0</v>
      </c>
      <c r="I45" s="75" t="str">
        <f t="shared" ref="I45:I48" ca="1" si="170">IF($C45="6",OFFSET(I45,-1,0) +1,IF(OFFSET(H45,-1,0)&lt;&gt;H45,"0",IF(OFFSET(I45,-1,0)="","0", OFFSET(I45,-1,0))))</f>
        <v>0</v>
      </c>
      <c r="J45" s="75" t="str">
        <f t="shared" ca="1" si="8"/>
        <v>0</v>
      </c>
      <c r="K45" s="75">
        <f t="shared" ref="K45:K48" ca="1" si="171">IF(C45="S","NÃO", IF(C45="1", D45, IF(C45="2", D45 &amp; "." &amp; E45,IF(C45="3", D45 &amp; "." &amp; E45 &amp; "." &amp; F45, IF(C45="4", D45 &amp; "." &amp; E45 &amp; "." &amp; F45 &amp; "." &amp; G45, IF(C45="5", D45 &amp; "." &amp; E45 &amp; "." &amp; F45 &amp; "." &amp; G45 &amp; "." &amp; H45, IF(C45="6", D45 &amp; "." &amp; E45 &amp; "." &amp; F45 &amp; "." &amp; G45 &amp; "." &amp; H45 &amp; "." &amp; I45)))))))</f>
        <v>7</v>
      </c>
      <c r="L45" s="75">
        <f t="shared" ref="L45:L48" ca="1" si="172">IF(K45="NÃO",IF($B45=2,D45&amp;"."&amp;J45,IF($B45=3,D45&amp;"."&amp;E45&amp;"."&amp;J45,IF($B45=4,D45&amp;"."&amp;E45&amp;"."&amp;F45&amp;"."&amp;J45,IF($B45=5,D45&amp;"."&amp;E45&amp;"."&amp;F45&amp;"."&amp;G45&amp;"."&amp;J45,IF($B45=6,D45&amp;"."&amp;E45&amp;"."&amp;F45&amp;"."&amp;G45&amp;"."&amp;H45&amp;"."&amp;J45,IF($B45=7,D45&amp;"."&amp;E45&amp;"."&amp;F45&amp;"."&amp;G45&amp;"."&amp;H45&amp;"."&amp;I45&amp;"."&amp;J45,"FALHA")))))),K45)</f>
        <v>7</v>
      </c>
      <c r="M45" s="55" t="s">
        <v>27859</v>
      </c>
      <c r="O45" s="191">
        <f t="shared" ref="O45:O48" ca="1" si="173">L45</f>
        <v>7</v>
      </c>
      <c r="P45" s="172"/>
      <c r="Q45" s="172"/>
      <c r="R45" s="621" t="s">
        <v>41781</v>
      </c>
      <c r="S45" s="172"/>
      <c r="T45" s="194"/>
      <c r="U45" s="195"/>
      <c r="V45" s="196">
        <f ca="1">IF(VALUE(C45)=1,SUMIFS(V:V,D:D,D45,M:M,"Serviço"),IF(VALUE(C45)=2,SUMIFS(V:V,D:D,D45,E:E,E45,M:M,"Serviço"),IF(VALUE(C45)=3,SUMIFS(V:V,D:D,D45,E:E,E45,F:F,F45,M:M,"Serviço"),IF(VALUE(C45)=4,SUMIFS(V:V,D:D,D45,E:E,E45,F:F,F45,G:G,G45,M:M,"Serviço"),"ERRO"))))</f>
        <v>292782.51</v>
      </c>
      <c r="W45" s="197"/>
      <c r="X45" s="205"/>
      <c r="Y45" s="173">
        <f ca="1">IF(VALUE(C45)=1,SUMIFS(Y:Y,D:D,D45,M:M,"Serviço"),IF(VALUE(C45)=2,SUMIFS(Y:Y,D:D,D45,E:E,E45,M:M,"Serviço"),IF(VALUE(C45)=3,SUMIFS(Y:Y,D:D,D45,E:E,E45,F:F,F45,M:M,"Serviço"),IF(VALUE(C45)=4,SUMIFS(Y:Y,D:D,D45,E:E,E45,F:F,F45,G:G,G45,M:M,"Serviço"),"ERRO"))))</f>
        <v>358635.42</v>
      </c>
      <c r="AB45" s="641"/>
    </row>
    <row r="46" spans="2:29" s="75" customFormat="1" ht="16" thickBot="1">
      <c r="B46" s="75" t="str">
        <f t="shared" ca="1" si="165"/>
        <v>2</v>
      </c>
      <c r="C46" s="75" t="str">
        <f t="shared" si="1"/>
        <v>2</v>
      </c>
      <c r="D46" s="75">
        <f t="shared" ca="1" si="2"/>
        <v>7</v>
      </c>
      <c r="E46" s="75">
        <f t="shared" ca="1" si="166"/>
        <v>1</v>
      </c>
      <c r="F46" s="75" t="str">
        <f t="shared" ca="1" si="167"/>
        <v>0</v>
      </c>
      <c r="G46" s="75" t="str">
        <f t="shared" ca="1" si="168"/>
        <v>0</v>
      </c>
      <c r="H46" s="75" t="str">
        <f t="shared" ca="1" si="169"/>
        <v>0</v>
      </c>
      <c r="I46" s="75" t="str">
        <f t="shared" ca="1" si="170"/>
        <v>0</v>
      </c>
      <c r="J46" s="75" t="str">
        <f t="shared" ca="1" si="8"/>
        <v>0</v>
      </c>
      <c r="K46" s="75" t="str">
        <f t="shared" ca="1" si="171"/>
        <v>7.1</v>
      </c>
      <c r="L46" s="75" t="str">
        <f t="shared" ca="1" si="172"/>
        <v>7.1</v>
      </c>
      <c r="M46" s="55" t="s">
        <v>27861</v>
      </c>
      <c r="O46" s="191" t="str">
        <f t="shared" ca="1" si="173"/>
        <v>7.1</v>
      </c>
      <c r="P46" s="172"/>
      <c r="Q46" s="172"/>
      <c r="R46" s="621" t="s">
        <v>41834</v>
      </c>
      <c r="S46" s="172"/>
      <c r="T46" s="194"/>
      <c r="U46" s="195"/>
      <c r="V46" s="196">
        <f ca="1">IF(VALUE(C46)=1,SUMIFS(V:V,D:D,D46,M:M,"Serviço"),IF(VALUE(C46)=2,SUMIFS(V:V,D:D,D46,E:E,E46,M:M,"Serviço"),IF(VALUE(C46)=3,SUMIFS(V:V,D:D,D46,E:E,E46,F:F,F46,M:M,"Serviço"),IF(VALUE(C46)=4,SUMIFS(V:V,D:D,D46,E:E,E46,F:F,F46,G:G,G46,M:M,"Serviço"),"ERRO"))))</f>
        <v>15042.6</v>
      </c>
      <c r="W46" s="197"/>
      <c r="X46" s="205"/>
      <c r="Y46" s="173">
        <f ca="1">IF(VALUE(C46)=1,SUMIFS(Y:Y,D:D,D46,M:M,"Serviço"),IF(VALUE(C46)=2,SUMIFS(Y:Y,D:D,D46,E:E,E46,M:M,"Serviço"),IF(VALUE(C46)=3,SUMIFS(Y:Y,D:D,D46,E:E,E46,F:F,F46,M:M,"Serviço"),IF(VALUE(C46)=4,SUMIFS(Y:Y,D:D,D46,E:E,E46,F:F,F46,G:G,G46,M:M,"Serviço"),"ERRO"))))</f>
        <v>18426.400000000001</v>
      </c>
      <c r="AB46" s="641"/>
    </row>
    <row r="47" spans="2:29" s="55" customFormat="1" ht="45">
      <c r="B47" s="378">
        <f t="shared" ca="1" si="165"/>
        <v>3</v>
      </c>
      <c r="C47" s="378" t="str">
        <f t="shared" si="1"/>
        <v>S</v>
      </c>
      <c r="D47" s="378">
        <f t="shared" ca="1" si="2"/>
        <v>7</v>
      </c>
      <c r="E47" s="378">
        <f t="shared" ca="1" si="166"/>
        <v>1</v>
      </c>
      <c r="F47" s="378" t="str">
        <f t="shared" ca="1" si="167"/>
        <v>0</v>
      </c>
      <c r="G47" s="378" t="str">
        <f t="shared" ca="1" si="168"/>
        <v>0</v>
      </c>
      <c r="H47" s="378" t="str">
        <f t="shared" ca="1" si="169"/>
        <v>0</v>
      </c>
      <c r="I47" s="378" t="str">
        <f t="shared" ca="1" si="170"/>
        <v>0</v>
      </c>
      <c r="J47" s="378">
        <f t="shared" ca="1" si="8"/>
        <v>1</v>
      </c>
      <c r="K47" s="378" t="str">
        <f t="shared" si="171"/>
        <v>NÃO</v>
      </c>
      <c r="L47" s="378" t="str">
        <f t="shared" ca="1" si="172"/>
        <v>7.1.1</v>
      </c>
      <c r="M47" s="55" t="s">
        <v>27868</v>
      </c>
      <c r="O47" s="392" t="str">
        <f t="shared" ca="1" si="173"/>
        <v>7.1.1</v>
      </c>
      <c r="P47" s="673" t="s">
        <v>27888</v>
      </c>
      <c r="Q47" s="671">
        <v>99059</v>
      </c>
      <c r="R47" s="415" t="str">
        <f>UPPER(IF(P47="CDHU",VLOOKUP(Q47,'CDHU 201-SD'!$A$1:$J$28014,2,FALSE),IF(P47="FDE",VLOOKUP(Q47,'FDE 01-26-SD'!$A$1:$J$280013,2,FALSE),IF(P47="PRÓPRIA",VLOOKUP(Q47,COMPOSIÇÃO!$1:$1048576,3,FALSE),VLOOKUP(Q47,'SINAPI 04-26-SD'!$A$1:$H$272700,2,FALSE)))))</f>
        <v>LOCAÇÃO CONVENCIONAL DE OBRA, UTILIZANDO GABARITO DE TÁBUAS CORRIDAS PONTALETADAS A CADA 2,00M - 2 UTILIZAÇÕES. AF_03/2024</v>
      </c>
      <c r="S47" s="414" t="str">
        <f>UPPER(IF(P47="CDHU",VLOOKUP(Q47,'CDHU 201-SD'!$A$1:$J$28014,3,FALSE),IF(P47="FDE",VLOOKUP(Q47,'FDE 01-26-SD'!$A$1:$J$280013,3,FALSE),IF(P47="PRÓPRIA",VLOOKUP(Q47,COMPOSIÇÃO!$1:$1048576,7,FALSE),VLOOKUP(Q47,'SINAPI 04-26-SD'!$A$1:$H$272700,3,FALSE)))))</f>
        <v>M</v>
      </c>
      <c r="T47" s="393">
        <f>VLOOKUP(Q47,LOCAÇÃO!$1:$1048576,12,FALSE)</f>
        <v>110.05</v>
      </c>
      <c r="U47" s="394">
        <f>TRUNC(IF(P47="CDHU",VLOOKUP(Q47,'CDHU 201-SD'!$A$1:$J$28014,6,FALSE),IF(P47="FDE",VLOOKUP(Q47,'FDE 01-26-SD'!$A$1:$J$280013,6,FALSE),IF(P47="PRÓPRIA",VLOOKUP(Q47,COMPOSIÇÃO!$1:$1048576,10,FALSE),VLOOKUP(Q47,'SINAPI 04-26-SD'!$A$1:$H$272700,4,FALSE)))),2)</f>
        <v>80.11</v>
      </c>
      <c r="V47" s="416">
        <f>TRUNC(U47*T47,2)</f>
        <v>8816.1</v>
      </c>
      <c r="W47" s="395">
        <f>IF($AA47="N",BDI!$D$26,IF($AA47="D",'BDI DIFE.'!$D$26,"ERRO"))</f>
        <v>0.22500000000000001</v>
      </c>
      <c r="X47" s="379">
        <f>TRUNC(U47*(1+W47),2)</f>
        <v>98.13</v>
      </c>
      <c r="Y47" s="380">
        <f>TRUNC(T47*X47,2)</f>
        <v>10799.2</v>
      </c>
      <c r="Z47" s="381"/>
      <c r="AA47" s="378" t="s">
        <v>28044</v>
      </c>
      <c r="AB47" s="642"/>
    </row>
    <row r="48" spans="2:29" s="55" customFormat="1" ht="16" thickBot="1">
      <c r="B48" s="378">
        <f t="shared" ca="1" si="165"/>
        <v>3</v>
      </c>
      <c r="C48" s="378" t="str">
        <f t="shared" si="1"/>
        <v>S</v>
      </c>
      <c r="D48" s="378">
        <f t="shared" ca="1" si="2"/>
        <v>7</v>
      </c>
      <c r="E48" s="378">
        <f t="shared" ca="1" si="166"/>
        <v>1</v>
      </c>
      <c r="F48" s="378" t="str">
        <f t="shared" ca="1" si="167"/>
        <v>0</v>
      </c>
      <c r="G48" s="378" t="str">
        <f t="shared" ca="1" si="168"/>
        <v>0</v>
      </c>
      <c r="H48" s="378" t="str">
        <f t="shared" ca="1" si="169"/>
        <v>0</v>
      </c>
      <c r="I48" s="378" t="str">
        <f t="shared" ca="1" si="170"/>
        <v>0</v>
      </c>
      <c r="J48" s="378">
        <f t="shared" ca="1" si="8"/>
        <v>2</v>
      </c>
      <c r="K48" s="378" t="str">
        <f t="shared" si="171"/>
        <v>NÃO</v>
      </c>
      <c r="L48" s="378" t="str">
        <f t="shared" ca="1" si="172"/>
        <v>7.1.2</v>
      </c>
      <c r="M48" s="55" t="s">
        <v>27868</v>
      </c>
      <c r="O48" s="392" t="str">
        <f t="shared" ca="1" si="173"/>
        <v>7.1.2</v>
      </c>
      <c r="P48" s="673" t="s">
        <v>27888</v>
      </c>
      <c r="Q48" s="671">
        <v>90781</v>
      </c>
      <c r="R48" s="415" t="str">
        <f>UPPER(IF(P48="CDHU",VLOOKUP(Q48,'CDHU 201-SD'!$A$1:$J$28014,2,FALSE),IF(P48="FDE",VLOOKUP(Q48,'FDE 01-26-SD'!$A$1:$J$280013,2,FALSE),IF(P48="PRÓPRIA",VLOOKUP(Q48,COMPOSIÇÃO!$1:$1048576,3,FALSE),VLOOKUP(Q48,'SINAPI 04-26-SD'!$A$1:$H$272700,2,FALSE)))))</f>
        <v>TOPOGRAFO COM ENCARGOS COMPLEMENTARES</v>
      </c>
      <c r="S48" s="414" t="str">
        <f>UPPER(IF(P48="CDHU",VLOOKUP(Q48,'CDHU 201-SD'!$A$1:$J$28014,3,FALSE),IF(P48="FDE",VLOOKUP(Q48,'FDE 01-26-SD'!$A$1:$J$280013,3,FALSE),IF(P48="PRÓPRIA",VLOOKUP(Q48,COMPOSIÇÃO!$1:$1048576,7,FALSE),VLOOKUP(Q48,'SINAPI 04-26-SD'!$A$1:$H$272700,3,FALSE)))))</f>
        <v>H</v>
      </c>
      <c r="T48" s="393">
        <f>VLOOKUP(Q48,LOCAÇÃO!$1:$1048576,12,FALSE)</f>
        <v>70</v>
      </c>
      <c r="U48" s="394">
        <f>TRUNC(IF(P48="CDHU",VLOOKUP(Q48,'CDHU 201-SD'!$A$1:$J$28014,6,FALSE),IF(P48="FDE",VLOOKUP(Q48,'FDE 01-26-SD'!$A$1:$J$280013,6,FALSE),IF(P48="PRÓPRIA",VLOOKUP(Q48,COMPOSIÇÃO!$1:$1048576,10,FALSE),VLOOKUP(Q48,'SINAPI 04-26-SD'!$A$1:$H$272700,4,FALSE)))),2)</f>
        <v>88.95</v>
      </c>
      <c r="V48" s="416">
        <f>TRUNC(U48*T48,2)</f>
        <v>6226.5</v>
      </c>
      <c r="W48" s="395">
        <f>IF($AA48="N",BDI!$D$26,IF($AA48="D",'BDI DIFE.'!$D$26,"ERRO"))</f>
        <v>0.22500000000000001</v>
      </c>
      <c r="X48" s="379">
        <f>TRUNC(U48*(1+W48),2)</f>
        <v>108.96</v>
      </c>
      <c r="Y48" s="380">
        <f>TRUNC(T48*X48,2)</f>
        <v>7627.2</v>
      </c>
      <c r="Z48" s="381"/>
      <c r="AA48" s="378" t="s">
        <v>28044</v>
      </c>
      <c r="AB48" s="644"/>
      <c r="AC48" s="645"/>
    </row>
    <row r="49" spans="2:29" s="55" customFormat="1" ht="16" thickBot="1">
      <c r="B49" s="378" t="str">
        <f t="shared" ref="B49" ca="1" si="174">IF(C49="S",IF(OFFSET(C49,-1,0)="S", OFFSET(B49,-1,0), OFFSET(B49,-1,0) +1 ), C49)</f>
        <v/>
      </c>
      <c r="C49" s="378" t="str">
        <f>IF(RIGHT($M49) = "o", "S", RIGHT($M49))</f>
        <v/>
      </c>
      <c r="D49" s="378">
        <f t="shared" ca="1" si="2"/>
        <v>7</v>
      </c>
      <c r="E49" s="378">
        <f t="shared" ref="E49" ca="1" si="175">IF($C49="2",OFFSET(E49,-1,0) +1,IF(OFFSET(D49,-1,0)&lt;&gt;D49,"0",IF(OFFSET(E49,-1,0)="","0",OFFSET(E49,-1,0))))</f>
        <v>1</v>
      </c>
      <c r="F49" s="378" t="str">
        <f t="shared" ref="F49" ca="1" si="176">IF($C49="3",OFFSET(F49,-1,0) +1,IF(OFFSET(E49,-1,0)&lt;&gt;E49,"0",IF(OFFSET(F49,-1,0)="","0",OFFSET(F49,-1,0))))</f>
        <v>0</v>
      </c>
      <c r="G49" s="378" t="str">
        <f t="shared" ref="G49" ca="1" si="177">IF($C49="4",OFFSET(G49,-1,0) +1,IF(OFFSET(F49,-1,0)&lt;&gt;F49,"0",IF(OFFSET(G49,-1,0)="","0",OFFSET(G49,-1,0))))</f>
        <v>0</v>
      </c>
      <c r="H49" s="378" t="str">
        <f t="shared" ref="H49" ca="1" si="178">IF($C49="5",OFFSET(H49,-1,0) +1,IF(OFFSET(G49,-1,0)&lt;&gt;G49,"0",IF(OFFSET(H49,-1,0)="","0",OFFSET(H49,-1,0))))</f>
        <v>0</v>
      </c>
      <c r="I49" s="378" t="str">
        <f t="shared" ref="I49" ca="1" si="179">IF($C49="6",OFFSET(I49,-1,0) +1,IF(OFFSET(H49,-1,0)&lt;&gt;H49,"0",IF(OFFSET(I49,-1,0)="","0", OFFSET(I49,-1,0))))</f>
        <v>0</v>
      </c>
      <c r="J49" s="378" t="str">
        <f t="shared" ca="1" si="8"/>
        <v>0</v>
      </c>
      <c r="K49" s="378" t="b">
        <f t="shared" ref="K49" si="180">IF(C49="S","NÃO", IF(C49="1", D49, IF(C49="2", D49 &amp; "." &amp; E49,IF(C49="3", D49 &amp; "." &amp; E49 &amp; "." &amp; F49, IF(C49="4", D49 &amp; "." &amp; E49 &amp; "." &amp; F49 &amp; "." &amp; G49, IF(C49="5", D49 &amp; "." &amp; E49 &amp; "." &amp; F49 &amp; "." &amp; G49 &amp; "." &amp; H49, IF(C49="6", D49 &amp; "." &amp; E49 &amp; "." &amp; F49 &amp; "." &amp; G49 &amp; "." &amp; H49 &amp; "." &amp; I49)))))))</f>
        <v>0</v>
      </c>
      <c r="L49" s="378" t="b">
        <f t="shared" ref="L49" si="181">IF(K49="NÃO",IF($B49=2,D49&amp;"."&amp;J49,IF($B49=3,D49&amp;"."&amp;E49&amp;"."&amp;J49,IF($B49=4,D49&amp;"."&amp;E49&amp;"."&amp;F49&amp;"."&amp;J49,IF($B49=5,D49&amp;"."&amp;E49&amp;"."&amp;F49&amp;"."&amp;G49&amp;"."&amp;J49,IF($B49=6,D49&amp;"."&amp;E49&amp;"."&amp;F49&amp;"."&amp;G49&amp;"."&amp;H49&amp;"."&amp;J49,IF($B49=7,D49&amp;"."&amp;E49&amp;"."&amp;F49&amp;"."&amp;G49&amp;"."&amp;H49&amp;"."&amp;I49&amp;"."&amp;J49,"FALHA")))))),K49)</f>
        <v>0</v>
      </c>
      <c r="O49" s="192"/>
      <c r="P49" s="387"/>
      <c r="Q49" s="387"/>
      <c r="R49" s="377"/>
      <c r="S49" s="387"/>
      <c r="T49" s="363"/>
      <c r="U49" s="388"/>
      <c r="V49" s="389"/>
      <c r="W49" s="389"/>
      <c r="X49" s="389"/>
      <c r="Y49" s="390"/>
      <c r="AA49" s="378"/>
      <c r="AB49" s="642"/>
    </row>
    <row r="50" spans="2:29" s="75" customFormat="1" ht="16" thickBot="1">
      <c r="B50" s="75" t="str">
        <f t="shared" ref="B50:B56" ca="1" si="182">IF(C50="S",IF(OFFSET(C50,-1,0)="S", OFFSET(B50,-1,0), OFFSET(B50,-1,0) +1 ), C50)</f>
        <v>2</v>
      </c>
      <c r="C50" s="75" t="str">
        <f t="shared" si="1"/>
        <v>2</v>
      </c>
      <c r="D50" s="75">
        <f t="shared" ca="1" si="2"/>
        <v>7</v>
      </c>
      <c r="E50" s="75">
        <f t="shared" ref="E50:E56" ca="1" si="183">IF($C50="2",OFFSET(E50,-1,0) +1,IF(OFFSET(D50,-1,0)&lt;&gt;D50,"0",IF(OFFSET(E50,-1,0)="","0",OFFSET(E50,-1,0))))</f>
        <v>2</v>
      </c>
      <c r="F50" s="75" t="str">
        <f t="shared" ref="F50:F56" ca="1" si="184">IF($C50="3",OFFSET(F50,-1,0) +1,IF(OFFSET(E50,-1,0)&lt;&gt;E50,"0",IF(OFFSET(F50,-1,0)="","0",OFFSET(F50,-1,0))))</f>
        <v>0</v>
      </c>
      <c r="G50" s="75" t="str">
        <f t="shared" ref="G50:G56" ca="1" si="185">IF($C50="4",OFFSET(G50,-1,0) +1,IF(OFFSET(F50,-1,0)&lt;&gt;F50,"0",IF(OFFSET(G50,-1,0)="","0",OFFSET(G50,-1,0))))</f>
        <v>0</v>
      </c>
      <c r="H50" s="75" t="str">
        <f t="shared" ref="H50:H56" ca="1" si="186">IF($C50="5",OFFSET(H50,-1,0) +1,IF(OFFSET(G50,-1,0)&lt;&gt;G50,"0",IF(OFFSET(H50,-1,0)="","0",OFFSET(H50,-1,0))))</f>
        <v>0</v>
      </c>
      <c r="I50" s="75" t="str">
        <f t="shared" ref="I50:I56" ca="1" si="187">IF($C50="6",OFFSET(I50,-1,0) +1,IF(OFFSET(H50,-1,0)&lt;&gt;H50,"0",IF(OFFSET(I50,-1,0)="","0", OFFSET(I50,-1,0))))</f>
        <v>0</v>
      </c>
      <c r="J50" s="75" t="str">
        <f t="shared" ca="1" si="8"/>
        <v>0</v>
      </c>
      <c r="K50" s="75" t="str">
        <f t="shared" ref="K50:K56" ca="1" si="188">IF(C50="S","NÃO", IF(C50="1", D50, IF(C50="2", D50 &amp; "." &amp; E50,IF(C50="3", D50 &amp; "." &amp; E50 &amp; "." &amp; F50, IF(C50="4", D50 &amp; "." &amp; E50 &amp; "." &amp; F50 &amp; "." &amp; G50, IF(C50="5", D50 &amp; "." &amp; E50 &amp; "." &amp; F50 &amp; "." &amp; G50 &amp; "." &amp; H50, IF(C50="6", D50 &amp; "." &amp; E50 &amp; "." &amp; F50 &amp; "." &amp; G50 &amp; "." &amp; H50 &amp; "." &amp; I50)))))))</f>
        <v>7.2</v>
      </c>
      <c r="L50" s="75" t="str">
        <f t="shared" ref="L50:L56" ca="1" si="189">IF(K50="NÃO",IF($B50=2,D50&amp;"."&amp;J50,IF($B50=3,D50&amp;"."&amp;E50&amp;"."&amp;J50,IF($B50=4,D50&amp;"."&amp;E50&amp;"."&amp;F50&amp;"."&amp;J50,IF($B50=5,D50&amp;"."&amp;E50&amp;"."&amp;F50&amp;"."&amp;G50&amp;"."&amp;J50,IF($B50=6,D50&amp;"."&amp;E50&amp;"."&amp;F50&amp;"."&amp;G50&amp;"."&amp;H50&amp;"."&amp;J50,IF($B50=7,D50&amp;"."&amp;E50&amp;"."&amp;F50&amp;"."&amp;G50&amp;"."&amp;H50&amp;"."&amp;I50&amp;"."&amp;J50,"FALHA")))))),K50)</f>
        <v>7.2</v>
      </c>
      <c r="M50" s="55" t="s">
        <v>27861</v>
      </c>
      <c r="O50" s="191" t="str">
        <f t="shared" ref="O50:O56" ca="1" si="190">L50</f>
        <v>7.2</v>
      </c>
      <c r="P50" s="172"/>
      <c r="Q50" s="172"/>
      <c r="R50" s="621" t="s">
        <v>41782</v>
      </c>
      <c r="S50" s="172"/>
      <c r="T50" s="194"/>
      <c r="U50" s="195"/>
      <c r="V50" s="196">
        <f ca="1">IF(VALUE(C50)=1,SUMIFS(V:V,D:D,D50,M:M,"Serviço"),IF(VALUE(C50)=2,SUMIFS(V:V,D:D,D50,E:E,E50,M:M,"Serviço"),IF(VALUE(C50)=3,SUMIFS(V:V,D:D,D50,E:E,E50,F:F,F50,M:M,"Serviço"),IF(VALUE(C50)=4,SUMIFS(V:V,D:D,D50,E:E,E50,F:F,F50,G:G,G50,M:M,"Serviço"),"ERRO"))))</f>
        <v>40149.22</v>
      </c>
      <c r="W50" s="197"/>
      <c r="X50" s="205"/>
      <c r="Y50" s="173">
        <f ca="1">IF(VALUE(C50)=1,SUMIFS(Y:Y,D:D,D50,M:M,"Serviço"),IF(VALUE(C50)=2,SUMIFS(Y:Y,D:D,D50,E:E,E50,M:M,"Serviço"),IF(VALUE(C50)=3,SUMIFS(Y:Y,D:D,D50,E:E,E50,F:F,F50,M:M,"Serviço"),IF(VALUE(C50)=4,SUMIFS(Y:Y,D:D,D50,E:E,E50,F:F,F50,G:G,G50,M:M,"Serviço"),"ERRO"))))</f>
        <v>49179.58</v>
      </c>
      <c r="AB50" s="641"/>
    </row>
    <row r="51" spans="2:29" s="55" customFormat="1" ht="30">
      <c r="B51" s="378">
        <f t="shared" ca="1" si="182"/>
        <v>3</v>
      </c>
      <c r="C51" s="378" t="str">
        <f t="shared" si="1"/>
        <v>S</v>
      </c>
      <c r="D51" s="378">
        <f t="shared" ca="1" si="2"/>
        <v>7</v>
      </c>
      <c r="E51" s="378">
        <f t="shared" ca="1" si="183"/>
        <v>2</v>
      </c>
      <c r="F51" s="378" t="str">
        <f t="shared" ca="1" si="184"/>
        <v>0</v>
      </c>
      <c r="G51" s="378" t="str">
        <f t="shared" ca="1" si="185"/>
        <v>0</v>
      </c>
      <c r="H51" s="378" t="str">
        <f t="shared" ca="1" si="186"/>
        <v>0</v>
      </c>
      <c r="I51" s="378" t="str">
        <f t="shared" ca="1" si="187"/>
        <v>0</v>
      </c>
      <c r="J51" s="378">
        <f t="shared" ca="1" si="8"/>
        <v>1</v>
      </c>
      <c r="K51" s="378" t="str">
        <f t="shared" si="188"/>
        <v>NÃO</v>
      </c>
      <c r="L51" s="378" t="str">
        <f t="shared" ca="1" si="189"/>
        <v>7.2.1</v>
      </c>
      <c r="M51" s="55" t="s">
        <v>27868</v>
      </c>
      <c r="O51" s="392" t="str">
        <f t="shared" ca="1" si="190"/>
        <v>7.2.1</v>
      </c>
      <c r="P51" s="413" t="s">
        <v>29901</v>
      </c>
      <c r="Q51" s="414" t="s">
        <v>11840</v>
      </c>
      <c r="R51" s="415" t="str">
        <f>UPPER(IF(P51="CDHU",VLOOKUP(Q51,'CDHU 201-SD'!$A$1:$J$28014,2,FALSE),IF(P51="FDE",VLOOKUP(Q51,'FDE 01-26-SD'!$A$1:$J$280013,2,FALSE),IF(P51="PRÓPRIA",VLOOKUP(Q51,COMPOSIÇÃO!$1:$1048576,3,FALSE),VLOOKUP(Q51,'SINAPI 04-26-SD'!$A$1:$H$272700,2,FALSE)))))</f>
        <v>TAXA DE MOBILIZAÇÃO E DESMOBILIZAÇÃO DE EQUIPAMENTOS PARA EXECUÇÃO DE ESTACA TIPO STRAUSS</v>
      </c>
      <c r="S51" s="414" t="str">
        <f>UPPER(IF(P51="CDHU",VLOOKUP(Q51,'CDHU 201-SD'!$A$1:$J$28014,3,FALSE),IF(P51="FDE",VLOOKUP(Q51,'FDE 01-26-SD'!$A$1:$J$280013,3,FALSE),IF(P51="PRÓPRIA",VLOOKUP(Q51,COMPOSIÇÃO!$1:$1048576,7,FALSE),VLOOKUP(Q51,'SINAPI 04-26-SD'!$A$1:$H$272700,3,FALSE)))))</f>
        <v>TX</v>
      </c>
      <c r="T51" s="393">
        <f>VLOOKUP(Q51,ESTACAS!$1:$1048576,12,FALSE)</f>
        <v>1</v>
      </c>
      <c r="U51" s="394">
        <f>TRUNC(IF(P51="CDHU",VLOOKUP(Q51,'CDHU 201-SD'!$A$1:$J$28014,6,FALSE),IF(P51="FDE",VLOOKUP(Q51,'FDE 01-26-SD'!$A$1:$J$280013,6,FALSE),IF(P51="PRÓPRIA",VLOOKUP(Q51,COMPOSIÇÃO!$1:$1048576,10,FALSE),VLOOKUP(Q51,'SINAPI 04-26-SD'!$A$1:$H$272700,4,FALSE)))),2)</f>
        <v>3099.83</v>
      </c>
      <c r="V51" s="416">
        <f t="shared" ref="V51:V54" si="191">TRUNC(U51*T51,2)</f>
        <v>3099.83</v>
      </c>
      <c r="W51" s="395">
        <f>IF($AA51="N",BDI!$D$26,IF($AA51="D",'BDI DIFE.'!$D$26,"ERRO"))</f>
        <v>0.22500000000000001</v>
      </c>
      <c r="X51" s="379">
        <f t="shared" ref="X51:X54" si="192">TRUNC(U51*(1+W51),2)</f>
        <v>3797.29</v>
      </c>
      <c r="Y51" s="380">
        <f t="shared" ref="Y51:Y54" si="193">TRUNC(T51*X51,2)</f>
        <v>3797.29</v>
      </c>
      <c r="Z51" s="381"/>
      <c r="AA51" s="378" t="s">
        <v>28044</v>
      </c>
      <c r="AB51" s="642"/>
    </row>
    <row r="52" spans="2:29" s="55" customFormat="1">
      <c r="B52" s="378">
        <f t="shared" ca="1" si="182"/>
        <v>3</v>
      </c>
      <c r="C52" s="378" t="str">
        <f t="shared" si="1"/>
        <v>S</v>
      </c>
      <c r="D52" s="378">
        <f t="shared" ca="1" si="2"/>
        <v>7</v>
      </c>
      <c r="E52" s="378">
        <f t="shared" ca="1" si="183"/>
        <v>2</v>
      </c>
      <c r="F52" s="378" t="str">
        <f t="shared" ca="1" si="184"/>
        <v>0</v>
      </c>
      <c r="G52" s="378" t="str">
        <f t="shared" ca="1" si="185"/>
        <v>0</v>
      </c>
      <c r="H52" s="378" t="str">
        <f t="shared" ca="1" si="186"/>
        <v>0</v>
      </c>
      <c r="I52" s="378" t="str">
        <f t="shared" ca="1" si="187"/>
        <v>0</v>
      </c>
      <c r="J52" s="378">
        <f t="shared" ca="1" si="8"/>
        <v>2</v>
      </c>
      <c r="K52" s="378" t="str">
        <f t="shared" si="188"/>
        <v>NÃO</v>
      </c>
      <c r="L52" s="378" t="str">
        <f t="shared" ca="1" si="189"/>
        <v>7.2.2</v>
      </c>
      <c r="M52" s="55" t="s">
        <v>27868</v>
      </c>
      <c r="O52" s="392" t="str">
        <f t="shared" ca="1" si="190"/>
        <v>7.2.2</v>
      </c>
      <c r="P52" s="413" t="s">
        <v>29901</v>
      </c>
      <c r="Q52" s="414" t="s">
        <v>11841</v>
      </c>
      <c r="R52" s="415" t="str">
        <f>UPPER(IF(P52="CDHU",VLOOKUP(Q52,'CDHU 201-SD'!$A$1:$J$28014,2,FALSE),IF(P52="FDE",VLOOKUP(Q52,'FDE 01-26-SD'!$A$1:$J$280013,2,FALSE),IF(P52="PRÓPRIA",VLOOKUP(Q52,COMPOSIÇÃO!$1:$1048576,3,FALSE),VLOOKUP(Q52,'SINAPI 04-26-SD'!$A$1:$H$272700,2,FALSE)))))</f>
        <v>ESTACA TIPO STRAUSS, DIÂMETRO DE 25 CM ATÉ 20 T</v>
      </c>
      <c r="S52" s="414" t="str">
        <f>UPPER(IF(P52="CDHU",VLOOKUP(Q52,'CDHU 201-SD'!$A$1:$J$28014,3,FALSE),IF(P52="FDE",VLOOKUP(Q52,'FDE 01-26-SD'!$A$1:$J$280013,3,FALSE),IF(P52="PRÓPRIA",VLOOKUP(Q52,COMPOSIÇÃO!$1:$1048576,7,FALSE),VLOOKUP(Q52,'SINAPI 04-26-SD'!$A$1:$H$272700,3,FALSE)))))</f>
        <v>M</v>
      </c>
      <c r="T52" s="393">
        <f>VLOOKUP(Q52,ESTACAS!$1:$1048576,12,FALSE)</f>
        <v>357</v>
      </c>
      <c r="U52" s="394">
        <f>TRUNC(IF(P52="CDHU",VLOOKUP(Q52,'CDHU 201-SD'!$A$1:$J$28014,6,FALSE),IF(P52="FDE",VLOOKUP(Q52,'FDE 01-26-SD'!$A$1:$J$280013,6,FALSE),IF(P52="PRÓPRIA",VLOOKUP(Q52,COMPOSIÇÃO!$1:$1048576,10,FALSE),VLOOKUP(Q52,'SINAPI 04-26-SD'!$A$1:$H$272700,4,FALSE)))),2)</f>
        <v>77.84</v>
      </c>
      <c r="V52" s="416">
        <f t="shared" si="191"/>
        <v>27788.880000000001</v>
      </c>
      <c r="W52" s="395">
        <f>IF($AA52="N",BDI!$D$26,IF($AA52="D",'BDI DIFE.'!$D$26,"ERRO"))</f>
        <v>0.22500000000000001</v>
      </c>
      <c r="X52" s="379">
        <f t="shared" si="192"/>
        <v>95.35</v>
      </c>
      <c r="Y52" s="380">
        <f t="shared" si="193"/>
        <v>34039.949999999997</v>
      </c>
      <c r="Z52" s="381"/>
      <c r="AA52" s="378" t="s">
        <v>28044</v>
      </c>
      <c r="AB52" s="644"/>
      <c r="AC52" s="645"/>
    </row>
    <row r="53" spans="2:29" s="55" customFormat="1">
      <c r="B53" s="378">
        <f ca="1">IF(C53="S",IF(OFFSET(C53,-1,0)="S", OFFSET(B53,-1,0), OFFSET(B53,-1,0) +1 ), C53)</f>
        <v>3</v>
      </c>
      <c r="C53" s="378" t="str">
        <f>IF(RIGHT($M53) = "o", "S", RIGHT($M53))</f>
        <v>S</v>
      </c>
      <c r="D53" s="378">
        <f ca="1">IF($C53="1",OFFSET(D53,-2,0) +1,OFFSET(D53,-1,0))</f>
        <v>7</v>
      </c>
      <c r="E53" s="378">
        <f ca="1">IF($C53="2",OFFSET(E53,-1,0) +1,IF(OFFSET(D53,-1,0)&lt;&gt;D53,"0",IF(OFFSET(E53,-1,0)="","0",OFFSET(E53,-1,0))))</f>
        <v>2</v>
      </c>
      <c r="F53" s="378" t="str">
        <f ca="1">IF($C53="3",OFFSET(F53,-1,0) +1,IF(OFFSET(E53,-1,0)&lt;&gt;E53,"0",IF(OFFSET(F53,-1,0)="","0",OFFSET(F53,-1,0))))</f>
        <v>0</v>
      </c>
      <c r="G53" s="378" t="str">
        <f ca="1">IF($C53="4",OFFSET(G53,-1,0) +1,IF(OFFSET(F53,-1,0)&lt;&gt;F53,"0",IF(OFFSET(G53,-1,0)="","0",OFFSET(G53,-1,0))))</f>
        <v>0</v>
      </c>
      <c r="H53" s="378" t="str">
        <f ca="1">IF($C53="5",OFFSET(H53,-1,0) +1,IF(OFFSET(G53,-1,0)&lt;&gt;G53,"0",IF(OFFSET(H53,-1,0)="","0",OFFSET(H53,-1,0))))</f>
        <v>0</v>
      </c>
      <c r="I53" s="378" t="str">
        <f ca="1">IF($C53="6",OFFSET(I53,-1,0) +1,IF(OFFSET(H53,-1,0)&lt;&gt;H53,"0",IF(OFFSET(I53,-1,0)="","0", OFFSET(I53,-1,0))))</f>
        <v>0</v>
      </c>
      <c r="J53" s="378">
        <f ca="1">IF($C53="S",OFFSET(J53,-1,0)+1,"0")</f>
        <v>3</v>
      </c>
      <c r="K53" s="378" t="str">
        <f>IF(C53="S","NÃO", IF(C53="1", D53, IF(C53="2", D53 &amp; "." &amp; E53,IF(C53="3", D53 &amp; "." &amp; E53 &amp; "." &amp; F53, IF(C53="4", D53 &amp; "." &amp; E53 &amp; "." &amp; F53 &amp; "." &amp; G53, IF(C53="5", D53 &amp; "." &amp; E53 &amp; "." &amp; F53 &amp; "." &amp; G53 &amp; "." &amp; H53, IF(C53="6", D53 &amp; "." &amp; E53 &amp; "." &amp; F53 &amp; "." &amp; G53 &amp; "." &amp; H53 &amp; "." &amp; I53)))))))</f>
        <v>NÃO</v>
      </c>
      <c r="L53" s="378" t="str">
        <f ca="1">IF(K53="NÃO",IF($B53=2,D53&amp;"."&amp;J53,IF($B53=3,D53&amp;"."&amp;E53&amp;"."&amp;J53,IF($B53=4,D53&amp;"."&amp;E53&amp;"."&amp;F53&amp;"."&amp;J53,IF($B53=5,D53&amp;"."&amp;E53&amp;"."&amp;F53&amp;"."&amp;G53&amp;"."&amp;J53,IF($B53=6,D53&amp;"."&amp;E53&amp;"."&amp;F53&amp;"."&amp;G53&amp;"."&amp;H53&amp;"."&amp;J53,IF($B53=7,D53&amp;"."&amp;E53&amp;"."&amp;F53&amp;"."&amp;G53&amp;"."&amp;H53&amp;"."&amp;I53&amp;"."&amp;J53,"FALHA")))))),K53)</f>
        <v>7.2.3</v>
      </c>
      <c r="M53" s="55" t="s">
        <v>27868</v>
      </c>
      <c r="O53" s="392" t="str">
        <f ca="1">L53</f>
        <v>7.2.3</v>
      </c>
      <c r="P53" s="413" t="s">
        <v>29901</v>
      </c>
      <c r="Q53" s="414" t="s">
        <v>11685</v>
      </c>
      <c r="R53" s="415" t="str">
        <f>UPPER(IF(P53="CDHU",VLOOKUP(Q53,'CDHU 201-SD'!$A$1:$J$28014,2,FALSE),IF(P53="FDE",VLOOKUP(Q53,'FDE 01-26-SD'!$A$1:$J$280013,2,FALSE),IF(P53="PRÓPRIA",VLOOKUP(Q53,COMPOSIÇÃO!$1:$1048576,3,FALSE),VLOOKUP(Q53,'SINAPI 04-26-SD'!$A$1:$H$272700,2,FALSE)))))</f>
        <v>ARMADURA EM BARRA DE AÇO CA-50 (A OU B) FYK = 500 MPA</v>
      </c>
      <c r="S53" s="414" t="str">
        <f>UPPER(IF(P53="CDHU",VLOOKUP(Q53,'CDHU 201-SD'!$A$1:$J$28014,3,FALSE),IF(P53="FDE",VLOOKUP(Q53,'FDE 01-26-SD'!$A$1:$J$280013,3,FALSE),IF(P53="PRÓPRIA",VLOOKUP(Q53,COMPOSIÇÃO!$1:$1048576,7,FALSE),VLOOKUP(Q53,'SINAPI 04-26-SD'!$A$1:$H$272700,3,FALSE)))))</f>
        <v>KG</v>
      </c>
      <c r="T53" s="393">
        <f>VLOOKUP(Q53,ESTACAS!$1:$1048576,12,FALSE)</f>
        <v>614.1</v>
      </c>
      <c r="U53" s="394">
        <f>TRUNC(IF(P53="CDHU",VLOOKUP(Q53,'CDHU 201-SD'!$A$1:$J$28014,6,FALSE),IF(P53="FDE",VLOOKUP(Q53,'FDE 01-26-SD'!$A$1:$J$280013,6,FALSE),IF(P53="PRÓPRIA",VLOOKUP(Q53,COMPOSIÇÃO!$1:$1048576,10,FALSE),VLOOKUP(Q53,'SINAPI 04-26-SD'!$A$1:$H$272700,4,FALSE)))),2)</f>
        <v>10.14</v>
      </c>
      <c r="V53" s="416">
        <f t="shared" si="191"/>
        <v>6226.97</v>
      </c>
      <c r="W53" s="395">
        <f>IF($AA53="N",BDI!$D$26,IF($AA53="D",'BDI DIFE.'!$D$26,"ERRO"))</f>
        <v>0.22500000000000001</v>
      </c>
      <c r="X53" s="379">
        <f t="shared" si="192"/>
        <v>12.42</v>
      </c>
      <c r="Y53" s="380">
        <f t="shared" si="193"/>
        <v>7627.12</v>
      </c>
      <c r="Z53" s="381"/>
      <c r="AA53" s="378" t="s">
        <v>28044</v>
      </c>
      <c r="AB53" s="644"/>
      <c r="AC53" s="645"/>
    </row>
    <row r="54" spans="2:29" s="55" customFormat="1">
      <c r="B54" s="378">
        <f ca="1">IF(C54="S",IF(OFFSET(C54,-1,0)="S", OFFSET(B54,-1,0), OFFSET(B54,-1,0) +1 ), C54)</f>
        <v>3</v>
      </c>
      <c r="C54" s="378" t="str">
        <f>IF(RIGHT($M54) = "o", "S", RIGHT($M54))</f>
        <v>S</v>
      </c>
      <c r="D54" s="378">
        <f ca="1">IF($C54="1",OFFSET(D54,-2,0) +1,OFFSET(D54,-1,0))</f>
        <v>7</v>
      </c>
      <c r="E54" s="378">
        <f ca="1">IF($C54="2",OFFSET(E54,-1,0) +1,IF(OFFSET(D54,-1,0)&lt;&gt;D54,"0",IF(OFFSET(E54,-1,0)="","0",OFFSET(E54,-1,0))))</f>
        <v>2</v>
      </c>
      <c r="F54" s="378" t="str">
        <f ca="1">IF($C54="3",OFFSET(F54,-1,0) +1,IF(OFFSET(E54,-1,0)&lt;&gt;E54,"0",IF(OFFSET(F54,-1,0)="","0",OFFSET(F54,-1,0))))</f>
        <v>0</v>
      </c>
      <c r="G54" s="378" t="str">
        <f ca="1">IF($C54="4",OFFSET(G54,-1,0) +1,IF(OFFSET(F54,-1,0)&lt;&gt;F54,"0",IF(OFFSET(G54,-1,0)="","0",OFFSET(G54,-1,0))))</f>
        <v>0</v>
      </c>
      <c r="H54" s="378" t="str">
        <f ca="1">IF($C54="5",OFFSET(H54,-1,0) +1,IF(OFFSET(G54,-1,0)&lt;&gt;G54,"0",IF(OFFSET(H54,-1,0)="","0",OFFSET(H54,-1,0))))</f>
        <v>0</v>
      </c>
      <c r="I54" s="378" t="str">
        <f ca="1">IF($C54="6",OFFSET(I54,-1,0) +1,IF(OFFSET(H54,-1,0)&lt;&gt;H54,"0",IF(OFFSET(I54,-1,0)="","0", OFFSET(I54,-1,0))))</f>
        <v>0</v>
      </c>
      <c r="J54" s="378">
        <f ca="1">IF($C54="S",OFFSET(J54,-1,0)+1,"0")</f>
        <v>4</v>
      </c>
      <c r="K54" s="378" t="str">
        <f>IF(C54="S","NÃO", IF(C54="1", D54, IF(C54="2", D54 &amp; "." &amp; E54,IF(C54="3", D54 &amp; "." &amp; E54 &amp; "." &amp; F54, IF(C54="4", D54 &amp; "." &amp; E54 &amp; "." &amp; F54 &amp; "." &amp; G54, IF(C54="5", D54 &amp; "." &amp; E54 &amp; "." &amp; F54 &amp; "." &amp; G54 &amp; "." &amp; H54, IF(C54="6", D54 &amp; "." &amp; E54 &amp; "." &amp; F54 &amp; "." &amp; G54 &amp; "." &amp; H54 &amp; "." &amp; I54)))))))</f>
        <v>NÃO</v>
      </c>
      <c r="L54" s="378" t="str">
        <f ca="1">IF(K54="NÃO",IF($B54=2,D54&amp;"."&amp;J54,IF($B54=3,D54&amp;"."&amp;E54&amp;"."&amp;J54,IF($B54=4,D54&amp;"."&amp;E54&amp;"."&amp;F54&amp;"."&amp;J54,IF($B54=5,D54&amp;"."&amp;E54&amp;"."&amp;F54&amp;"."&amp;G54&amp;"."&amp;J54,IF($B54=6,D54&amp;"."&amp;E54&amp;"."&amp;F54&amp;"."&amp;G54&amp;"."&amp;H54&amp;"."&amp;J54,IF($B54=7,D54&amp;"."&amp;E54&amp;"."&amp;F54&amp;"."&amp;G54&amp;"."&amp;H54&amp;"."&amp;I54&amp;"."&amp;J54,"FALHA")))))),K54)</f>
        <v>7.2.4</v>
      </c>
      <c r="M54" s="55" t="s">
        <v>27868</v>
      </c>
      <c r="O54" s="392" t="str">
        <f ca="1">L54</f>
        <v>7.2.4</v>
      </c>
      <c r="P54" s="413" t="s">
        <v>29901</v>
      </c>
      <c r="Q54" s="414" t="s">
        <v>11687</v>
      </c>
      <c r="R54" s="415" t="str">
        <f>UPPER(IF(P54="CDHU",VLOOKUP(Q54,'CDHU 201-SD'!$A$1:$J$28014,2,FALSE),IF(P54="FDE",VLOOKUP(Q54,'FDE 01-26-SD'!$A$1:$J$280013,2,FALSE),IF(P54="PRÓPRIA",VLOOKUP(Q54,COMPOSIÇÃO!$1:$1048576,3,FALSE),VLOOKUP(Q54,'SINAPI 04-26-SD'!$A$1:$H$272700,2,FALSE)))))</f>
        <v>ARMADURA EM BARRA DE AÇO CA-60 (A OU B) FYK = 600 MPA</v>
      </c>
      <c r="S54" s="414" t="str">
        <f>UPPER(IF(P54="CDHU",VLOOKUP(Q54,'CDHU 201-SD'!$A$1:$J$28014,3,FALSE),IF(P54="FDE",VLOOKUP(Q54,'FDE 01-26-SD'!$A$1:$J$280013,3,FALSE),IF(P54="PRÓPRIA",VLOOKUP(Q54,COMPOSIÇÃO!$1:$1048576,7,FALSE),VLOOKUP(Q54,'SINAPI 04-26-SD'!$A$1:$H$272700,3,FALSE)))))</f>
        <v>KG</v>
      </c>
      <c r="T54" s="393">
        <f>VLOOKUP(Q54,ESTACAS!$1:$1048576,12,FALSE)</f>
        <v>104.7</v>
      </c>
      <c r="U54" s="394">
        <f>TRUNC(IF(P54="CDHU",VLOOKUP(Q54,'CDHU 201-SD'!$A$1:$J$28014,6,FALSE),IF(P54="FDE",VLOOKUP(Q54,'FDE 01-26-SD'!$A$1:$J$280013,6,FALSE),IF(P54="PRÓPRIA",VLOOKUP(Q54,COMPOSIÇÃO!$1:$1048576,10,FALSE),VLOOKUP(Q54,'SINAPI 04-26-SD'!$A$1:$H$272700,4,FALSE)))),2)</f>
        <v>10.79</v>
      </c>
      <c r="V54" s="416">
        <f t="shared" si="191"/>
        <v>1129.71</v>
      </c>
      <c r="W54" s="395">
        <f>IF($AA54="N",BDI!$D$26,IF($AA54="D",'BDI DIFE.'!$D$26,"ERRO"))</f>
        <v>0.22500000000000001</v>
      </c>
      <c r="X54" s="379">
        <f t="shared" si="192"/>
        <v>13.21</v>
      </c>
      <c r="Y54" s="380">
        <f t="shared" si="193"/>
        <v>1383.08</v>
      </c>
      <c r="Z54" s="381"/>
      <c r="AA54" s="378" t="s">
        <v>28044</v>
      </c>
      <c r="AB54" s="644"/>
      <c r="AC54" s="645"/>
    </row>
    <row r="55" spans="2:29" s="55" customFormat="1">
      <c r="B55" s="378">
        <f t="shared" ref="B55" ca="1" si="194">IF(C55="S",IF(OFFSET(C55,-1,0)="S", OFFSET(B55,-1,0), OFFSET(B55,-1,0) +1 ), C55)</f>
        <v>3</v>
      </c>
      <c r="C55" s="378" t="str">
        <f t="shared" si="1"/>
        <v>S</v>
      </c>
      <c r="D55" s="378">
        <f t="shared" ca="1" si="2"/>
        <v>7</v>
      </c>
      <c r="E55" s="378">
        <f t="shared" ref="E55" ca="1" si="195">IF($C55="2",OFFSET(E55,-1,0) +1,IF(OFFSET(D55,-1,0)&lt;&gt;D55,"0",IF(OFFSET(E55,-1,0)="","0",OFFSET(E55,-1,0))))</f>
        <v>2</v>
      </c>
      <c r="F55" s="378" t="str">
        <f t="shared" ref="F55" ca="1" si="196">IF($C55="3",OFFSET(F55,-1,0) +1,IF(OFFSET(E55,-1,0)&lt;&gt;E55,"0",IF(OFFSET(F55,-1,0)="","0",OFFSET(F55,-1,0))))</f>
        <v>0</v>
      </c>
      <c r="G55" s="378" t="str">
        <f t="shared" ref="G55" ca="1" si="197">IF($C55="4",OFFSET(G55,-1,0) +1,IF(OFFSET(F55,-1,0)&lt;&gt;F55,"0",IF(OFFSET(G55,-1,0)="","0",OFFSET(G55,-1,0))))</f>
        <v>0</v>
      </c>
      <c r="H55" s="378" t="str">
        <f t="shared" ref="H55" ca="1" si="198">IF($C55="5",OFFSET(H55,-1,0) +1,IF(OFFSET(G55,-1,0)&lt;&gt;G55,"0",IF(OFFSET(H55,-1,0)="","0",OFFSET(H55,-1,0))))</f>
        <v>0</v>
      </c>
      <c r="I55" s="378" t="str">
        <f t="shared" ref="I55" ca="1" si="199">IF($C55="6",OFFSET(I55,-1,0) +1,IF(OFFSET(H55,-1,0)&lt;&gt;H55,"0",IF(OFFSET(I55,-1,0)="","0", OFFSET(I55,-1,0))))</f>
        <v>0</v>
      </c>
      <c r="J55" s="378">
        <f t="shared" ca="1" si="8"/>
        <v>5</v>
      </c>
      <c r="K55" s="378" t="str">
        <f t="shared" ref="K55" si="200">IF(C55="S","NÃO", IF(C55="1", D55, IF(C55="2", D55 &amp; "." &amp; E55,IF(C55="3", D55 &amp; "." &amp; E55 &amp; "." &amp; F55, IF(C55="4", D55 &amp; "." &amp; E55 &amp; "." &amp; F55 &amp; "." &amp; G55, IF(C55="5", D55 &amp; "." &amp; E55 &amp; "." &amp; F55 &amp; "." &amp; G55 &amp; "." &amp; H55, IF(C55="6", D55 &amp; "." &amp; E55 &amp; "." &amp; F55 &amp; "." &amp; G55 &amp; "." &amp; H55 &amp; "." &amp; I55)))))))</f>
        <v>NÃO</v>
      </c>
      <c r="L55" s="378" t="str">
        <f t="shared" ref="L55" ca="1" si="201">IF(K55="NÃO",IF($B55=2,D55&amp;"."&amp;J55,IF($B55=3,D55&amp;"."&amp;E55&amp;"."&amp;J55,IF($B55=4,D55&amp;"."&amp;E55&amp;"."&amp;F55&amp;"."&amp;J55,IF($B55=5,D55&amp;"."&amp;E55&amp;"."&amp;F55&amp;"."&amp;G55&amp;"."&amp;J55,IF($B55=6,D55&amp;"."&amp;E55&amp;"."&amp;F55&amp;"."&amp;G55&amp;"."&amp;H55&amp;"."&amp;J55,IF($B55=7,D55&amp;"."&amp;E55&amp;"."&amp;F55&amp;"."&amp;G55&amp;"."&amp;H55&amp;"."&amp;I55&amp;"."&amp;J55,"FALHA")))))),K55)</f>
        <v>7.2.5</v>
      </c>
      <c r="M55" s="55" t="s">
        <v>27868</v>
      </c>
      <c r="O55" s="392" t="str">
        <f t="shared" ref="O55" ca="1" si="202">L55</f>
        <v>7.2.5</v>
      </c>
      <c r="P55" s="413" t="s">
        <v>41227</v>
      </c>
      <c r="Q55" s="414" t="s">
        <v>41804</v>
      </c>
      <c r="R55" s="415" t="str">
        <f>UPPER(IF(P55="CDHU",VLOOKUP(Q55,'CDHU 201-SD'!$A$1:$J$28014,2,FALSE),IF(P55="FDE",VLOOKUP(Q55,'FDE 01-26-SD'!$A$1:$J$280013,2,FALSE),IF(P55="PRÓPRIA",VLOOKUP(Q55,COMPOSIÇÃO!$1:$1048576,3,FALSE),VLOOKUP(Q55,'SINAPI 04-26-SD'!$A$1:$H$272700,2,FALSE)))))</f>
        <v>CONTROLE TECNOLOGICO DE CONCRETOS</v>
      </c>
      <c r="S55" s="414" t="str">
        <f>UPPER(IF(P55="CDHU",VLOOKUP(Q55,'CDHU 201-SD'!$A$1:$J$28014,3,FALSE),IF(P55="FDE",VLOOKUP(Q55,'FDE 01-26-SD'!$A$1:$J$280013,3,FALSE),IF(P55="PRÓPRIA",VLOOKUP(Q55,COMPOSIÇÃO!$1:$1048576,7,FALSE),VLOOKUP(Q55,'SINAPI 04-26-SD'!$A$1:$H$272700,3,FALSE)))))</f>
        <v>M3</v>
      </c>
      <c r="T55" s="393">
        <f>VLOOKUP(Q55,ESTACAS!$1:$1048576,12,FALSE)</f>
        <v>15.21</v>
      </c>
      <c r="U55" s="394">
        <f>TRUNC(IF(P55="CDHU",VLOOKUP(Q55,'CDHU 201-SD'!$A$1:$J$28014,6,FALSE),IF(P55="FDE",VLOOKUP(Q55,'FDE 01-26-SD'!$A$1:$J$280013,6,FALSE),IF(P55="PRÓPRIA",VLOOKUP(Q55,COMPOSIÇÃO!$1:$1048576,10,FALSE),VLOOKUP(Q55,'SINAPI 04-26-SD'!$A$1:$H$272700,4,FALSE)))),2)</f>
        <v>105.96</v>
      </c>
      <c r="V55" s="416">
        <f t="shared" ref="V55" si="203">TRUNC(U55*T55,2)</f>
        <v>1611.65</v>
      </c>
      <c r="W55" s="395">
        <f>IF($AA55="N",BDI!$D$26,IF($AA55="D",'BDI DIFE.'!$D$26,"ERRO"))</f>
        <v>0.22500000000000001</v>
      </c>
      <c r="X55" s="379">
        <f t="shared" ref="X55" si="204">TRUNC(U55*(1+W55),2)</f>
        <v>129.80000000000001</v>
      </c>
      <c r="Y55" s="380">
        <f t="shared" ref="Y55" si="205">TRUNC(T55*X55,2)</f>
        <v>1974.25</v>
      </c>
      <c r="Z55" s="381"/>
      <c r="AA55" s="378" t="s">
        <v>28044</v>
      </c>
      <c r="AB55" s="644"/>
      <c r="AC55" s="645"/>
    </row>
    <row r="56" spans="2:29" s="55" customFormat="1" ht="31" thickBot="1">
      <c r="B56" s="378">
        <f t="shared" ca="1" si="182"/>
        <v>3</v>
      </c>
      <c r="C56" s="378" t="str">
        <f t="shared" si="1"/>
        <v>S</v>
      </c>
      <c r="D56" s="378">
        <f t="shared" ca="1" si="2"/>
        <v>7</v>
      </c>
      <c r="E56" s="378">
        <f t="shared" ca="1" si="183"/>
        <v>2</v>
      </c>
      <c r="F56" s="378" t="str">
        <f t="shared" ca="1" si="184"/>
        <v>0</v>
      </c>
      <c r="G56" s="378" t="str">
        <f t="shared" ca="1" si="185"/>
        <v>0</v>
      </c>
      <c r="H56" s="378" t="str">
        <f t="shared" ca="1" si="186"/>
        <v>0</v>
      </c>
      <c r="I56" s="378" t="str">
        <f t="shared" ca="1" si="187"/>
        <v>0</v>
      </c>
      <c r="J56" s="378">
        <f t="shared" ca="1" si="8"/>
        <v>6</v>
      </c>
      <c r="K56" s="378" t="str">
        <f t="shared" si="188"/>
        <v>NÃO</v>
      </c>
      <c r="L56" s="378" t="str">
        <f t="shared" ca="1" si="189"/>
        <v>7.2.6</v>
      </c>
      <c r="M56" s="55" t="s">
        <v>27868</v>
      </c>
      <c r="O56" s="392" t="str">
        <f t="shared" ca="1" si="190"/>
        <v>7.2.6</v>
      </c>
      <c r="P56" s="413" t="s">
        <v>29901</v>
      </c>
      <c r="Q56" s="414" t="s">
        <v>11453</v>
      </c>
      <c r="R56" s="415" t="str">
        <f>UPPER(IF(P56="CDHU",VLOOKUP(Q56,'CDHU 201-SD'!$A$1:$J$28014,2,FALSE),IF(P56="FDE",VLOOKUP(Q56,'FDE 01-26-SD'!$A$1:$J$280013,2,FALSE),IF(P56="PRÓPRIA",VLOOKUP(Q56,COMPOSIÇÃO!$1:$1048576,3,FALSE),VLOOKUP(Q56,'SINAPI 04-26-SD'!$A$1:$H$272700,2,FALSE)))))</f>
        <v>TRANSPORTE DE SOLO DE 1ª E 2ª CATEGORIA POR CAMINHÃO PARA DISTÂNCIAS SUPERIORES AO 5° KM ATÉ O 10° KM</v>
      </c>
      <c r="S56" s="414" t="str">
        <f>UPPER(IF(P56="CDHU",VLOOKUP(Q56,'CDHU 201-SD'!$A$1:$J$28014,3,FALSE),IF(P56="FDE",VLOOKUP(Q56,'FDE 01-26-SD'!$A$1:$J$280013,3,FALSE),IF(P56="PRÓPRIA",VLOOKUP(Q56,COMPOSIÇÃO!$1:$1048576,7,FALSE),VLOOKUP(Q56,'SINAPI 04-26-SD'!$A$1:$H$272700,3,FALSE)))))</f>
        <v>M3</v>
      </c>
      <c r="T56" s="393">
        <f>VLOOKUP(Q56,ESTACAS!$1:$1048576,12,FALSE)</f>
        <v>15.21</v>
      </c>
      <c r="U56" s="394">
        <f>TRUNC(IF(P56="CDHU",VLOOKUP(Q56,'CDHU 201-SD'!$A$1:$J$28014,6,FALSE),IF(P56="FDE",VLOOKUP(Q56,'FDE 01-26-SD'!$A$1:$J$280013,6,FALSE),IF(P56="PRÓPRIA",VLOOKUP(Q56,COMPOSIÇÃO!$1:$1048576,10,FALSE),VLOOKUP(Q56,'SINAPI 04-26-SD'!$A$1:$H$272700,4,FALSE)))),2)</f>
        <v>19.21</v>
      </c>
      <c r="V56" s="416">
        <f>TRUNC(U56*T56,2)</f>
        <v>292.18</v>
      </c>
      <c r="W56" s="395">
        <f>IF($AA56="N",BDI!$D$26,IF($AA56="D",'BDI DIFE.'!$D$26,"ERRO"))</f>
        <v>0.22500000000000001</v>
      </c>
      <c r="X56" s="379">
        <f>TRUNC(U56*(1+W56),2)</f>
        <v>23.53</v>
      </c>
      <c r="Y56" s="380">
        <f>TRUNC(T56*X56,2)</f>
        <v>357.89</v>
      </c>
      <c r="Z56" s="381"/>
      <c r="AA56" s="378" t="s">
        <v>28044</v>
      </c>
      <c r="AB56" s="644"/>
      <c r="AC56" s="645"/>
    </row>
    <row r="57" spans="2:29" s="55" customFormat="1" ht="16" thickBot="1">
      <c r="B57" s="378" t="str">
        <f t="shared" ref="B57" ca="1" si="206">IF(C57="S",IF(OFFSET(C57,-1,0)="S", OFFSET(B57,-1,0), OFFSET(B57,-1,0) +1 ), C57)</f>
        <v/>
      </c>
      <c r="C57" s="378" t="str">
        <f>IF(RIGHT($M57) = "o", "S", RIGHT($M57))</f>
        <v/>
      </c>
      <c r="D57" s="378">
        <f t="shared" ca="1" si="2"/>
        <v>7</v>
      </c>
      <c r="E57" s="378">
        <f t="shared" ref="E57" ca="1" si="207">IF($C57="2",OFFSET(E57,-1,0) +1,IF(OFFSET(D57,-1,0)&lt;&gt;D57,"0",IF(OFFSET(E57,-1,0)="","0",OFFSET(E57,-1,0))))</f>
        <v>2</v>
      </c>
      <c r="F57" s="378" t="str">
        <f t="shared" ref="F57" ca="1" si="208">IF($C57="3",OFFSET(F57,-1,0) +1,IF(OFFSET(E57,-1,0)&lt;&gt;E57,"0",IF(OFFSET(F57,-1,0)="","0",OFFSET(F57,-1,0))))</f>
        <v>0</v>
      </c>
      <c r="G57" s="378" t="str">
        <f t="shared" ref="G57" ca="1" si="209">IF($C57="4",OFFSET(G57,-1,0) +1,IF(OFFSET(F57,-1,0)&lt;&gt;F57,"0",IF(OFFSET(G57,-1,0)="","0",OFFSET(G57,-1,0))))</f>
        <v>0</v>
      </c>
      <c r="H57" s="378" t="str">
        <f t="shared" ref="H57" ca="1" si="210">IF($C57="5",OFFSET(H57,-1,0) +1,IF(OFFSET(G57,-1,0)&lt;&gt;G57,"0",IF(OFFSET(H57,-1,0)="","0",OFFSET(H57,-1,0))))</f>
        <v>0</v>
      </c>
      <c r="I57" s="378" t="str">
        <f t="shared" ref="I57" ca="1" si="211">IF($C57="6",OFFSET(I57,-1,0) +1,IF(OFFSET(H57,-1,0)&lt;&gt;H57,"0",IF(OFFSET(I57,-1,0)="","0", OFFSET(I57,-1,0))))</f>
        <v>0</v>
      </c>
      <c r="J57" s="378" t="str">
        <f t="shared" ca="1" si="8"/>
        <v>0</v>
      </c>
      <c r="K57" s="378" t="b">
        <f t="shared" ref="K57" si="212">IF(C57="S","NÃO", IF(C57="1", D57, IF(C57="2", D57 &amp; "." &amp; E57,IF(C57="3", D57 &amp; "." &amp; E57 &amp; "." &amp; F57, IF(C57="4", D57 &amp; "." &amp; E57 &amp; "." &amp; F57 &amp; "." &amp; G57, IF(C57="5", D57 &amp; "." &amp; E57 &amp; "." &amp; F57 &amp; "." &amp; G57 &amp; "." &amp; H57, IF(C57="6", D57 &amp; "." &amp; E57 &amp; "." &amp; F57 &amp; "." &amp; G57 &amp; "." &amp; H57 &amp; "." &amp; I57)))))))</f>
        <v>0</v>
      </c>
      <c r="L57" s="378" t="b">
        <f t="shared" ref="L57" si="213">IF(K57="NÃO",IF($B57=2,D57&amp;"."&amp;J57,IF($B57=3,D57&amp;"."&amp;E57&amp;"."&amp;J57,IF($B57=4,D57&amp;"."&amp;E57&amp;"."&amp;F57&amp;"."&amp;J57,IF($B57=5,D57&amp;"."&amp;E57&amp;"."&amp;F57&amp;"."&amp;G57&amp;"."&amp;J57,IF($B57=6,D57&amp;"."&amp;E57&amp;"."&amp;F57&amp;"."&amp;G57&amp;"."&amp;H57&amp;"."&amp;J57,IF($B57=7,D57&amp;"."&amp;E57&amp;"."&amp;F57&amp;"."&amp;G57&amp;"."&amp;H57&amp;"."&amp;I57&amp;"."&amp;J57,"FALHA")))))),K57)</f>
        <v>0</v>
      </c>
      <c r="O57" s="192"/>
      <c r="P57" s="387"/>
      <c r="Q57" s="387"/>
      <c r="R57" s="377"/>
      <c r="S57" s="387"/>
      <c r="T57" s="363"/>
      <c r="U57" s="388"/>
      <c r="V57" s="389"/>
      <c r="W57" s="389"/>
      <c r="X57" s="389"/>
      <c r="Y57" s="390"/>
      <c r="AA57" s="378"/>
      <c r="AB57" s="642"/>
    </row>
    <row r="58" spans="2:29" s="75" customFormat="1" ht="16" thickBot="1">
      <c r="B58" s="75" t="str">
        <f t="shared" ref="B58:B85" ca="1" si="214">IF(C58="S",IF(OFFSET(C58,-1,0)="S", OFFSET(B58,-1,0), OFFSET(B58,-1,0) +1 ), C58)</f>
        <v>2</v>
      </c>
      <c r="C58" s="75" t="str">
        <f t="shared" si="1"/>
        <v>2</v>
      </c>
      <c r="D58" s="75">
        <f t="shared" ca="1" si="2"/>
        <v>7</v>
      </c>
      <c r="E58" s="75">
        <f t="shared" ref="E58:E85" ca="1" si="215">IF($C58="2",OFFSET(E58,-1,0) +1,IF(OFFSET(D58,-1,0)&lt;&gt;D58,"0",IF(OFFSET(E58,-1,0)="","0",OFFSET(E58,-1,0))))</f>
        <v>3</v>
      </c>
      <c r="F58" s="75" t="str">
        <f t="shared" ref="F58:F85" ca="1" si="216">IF($C58="3",OFFSET(F58,-1,0) +1,IF(OFFSET(E58,-1,0)&lt;&gt;E58,"0",IF(OFFSET(F58,-1,0)="","0",OFFSET(F58,-1,0))))</f>
        <v>0</v>
      </c>
      <c r="G58" s="75" t="str">
        <f t="shared" ref="G58:G85" ca="1" si="217">IF($C58="4",OFFSET(G58,-1,0) +1,IF(OFFSET(F58,-1,0)&lt;&gt;F58,"0",IF(OFFSET(G58,-1,0)="","0",OFFSET(G58,-1,0))))</f>
        <v>0</v>
      </c>
      <c r="H58" s="75" t="str">
        <f t="shared" ref="H58:H85" ca="1" si="218">IF($C58="5",OFFSET(H58,-1,0) +1,IF(OFFSET(G58,-1,0)&lt;&gt;G58,"0",IF(OFFSET(H58,-1,0)="","0",OFFSET(H58,-1,0))))</f>
        <v>0</v>
      </c>
      <c r="I58" s="75" t="str">
        <f t="shared" ref="I58:I85" ca="1" si="219">IF($C58="6",OFFSET(I58,-1,0) +1,IF(OFFSET(H58,-1,0)&lt;&gt;H58,"0",IF(OFFSET(I58,-1,0)="","0", OFFSET(I58,-1,0))))</f>
        <v>0</v>
      </c>
      <c r="J58" s="75" t="str">
        <f t="shared" ca="1" si="8"/>
        <v>0</v>
      </c>
      <c r="K58" s="75" t="str">
        <f t="shared" ref="K58:K85" ca="1" si="220">IF(C58="S","NÃO", IF(C58="1", D58, IF(C58="2", D58 &amp; "." &amp; E58,IF(C58="3", D58 &amp; "." &amp; E58 &amp; "." &amp; F58, IF(C58="4", D58 &amp; "." &amp; E58 &amp; "." &amp; F58 &amp; "." &amp; G58, IF(C58="5", D58 &amp; "." &amp; E58 &amp; "." &amp; F58 &amp; "." &amp; G58 &amp; "." &amp; H58, IF(C58="6", D58 &amp; "." &amp; E58 &amp; "." &amp; F58 &amp; "." &amp; G58 &amp; "." &amp; H58 &amp; "." &amp; I58)))))))</f>
        <v>7.3</v>
      </c>
      <c r="L58" s="75" t="str">
        <f t="shared" ref="L58:L85" ca="1" si="221">IF(K58="NÃO",IF($B58=2,D58&amp;"."&amp;J58,IF($B58=3,D58&amp;"."&amp;E58&amp;"."&amp;J58,IF($B58=4,D58&amp;"."&amp;E58&amp;"."&amp;F58&amp;"."&amp;J58,IF($B58=5,D58&amp;"."&amp;E58&amp;"."&amp;F58&amp;"."&amp;G58&amp;"."&amp;J58,IF($B58=6,D58&amp;"."&amp;E58&amp;"."&amp;F58&amp;"."&amp;G58&amp;"."&amp;H58&amp;"."&amp;J58,IF($B58=7,D58&amp;"."&amp;E58&amp;"."&amp;F58&amp;"."&amp;G58&amp;"."&amp;H58&amp;"."&amp;I58&amp;"."&amp;J58,"FALHA")))))),K58)</f>
        <v>7.3</v>
      </c>
      <c r="M58" s="55" t="s">
        <v>27861</v>
      </c>
      <c r="O58" s="191" t="str">
        <f t="shared" ref="O58:O68" ca="1" si="222">L58</f>
        <v>7.3</v>
      </c>
      <c r="P58" s="172"/>
      <c r="Q58" s="172"/>
      <c r="R58" s="621" t="s">
        <v>41783</v>
      </c>
      <c r="S58" s="172"/>
      <c r="T58" s="194"/>
      <c r="U58" s="195"/>
      <c r="V58" s="196">
        <f ca="1">IF(VALUE(C58)=1,SUMIFS(V:V,D:D,D58,M:M,"Serviço"),IF(VALUE(C58)=2,SUMIFS(V:V,D:D,D58,E:E,E58,M:M,"Serviço"),IF(VALUE(C58)=3,SUMIFS(V:V,D:D,D58,E:E,E58,F:F,F58,M:M,"Serviço"),IF(VALUE(C58)=4,SUMIFS(V:V,D:D,D58,E:E,E58,F:F,F58,G:G,G58,M:M,"Serviço"),"ERRO"))))</f>
        <v>15428.33</v>
      </c>
      <c r="W58" s="197"/>
      <c r="X58" s="205"/>
      <c r="Y58" s="173">
        <f ca="1">IF(VALUE(C58)=1,SUMIFS(Y:Y,D:D,D58,M:M,"Serviço"),IF(VALUE(C58)=2,SUMIFS(Y:Y,D:D,D58,E:E,E58,M:M,"Serviço"),IF(VALUE(C58)=3,SUMIFS(Y:Y,D:D,D58,E:E,E58,F:F,F58,M:M,"Serviço"),IF(VALUE(C58)=4,SUMIFS(Y:Y,D:D,D58,E:E,E58,F:F,F58,G:G,G58,M:M,"Serviço"),"ERRO"))))</f>
        <v>18897.829999999998</v>
      </c>
      <c r="AB58" s="641"/>
    </row>
    <row r="59" spans="2:29" s="55" customFormat="1" ht="30">
      <c r="B59" s="378">
        <f t="shared" ca="1" si="214"/>
        <v>3</v>
      </c>
      <c r="C59" s="378" t="str">
        <f t="shared" si="1"/>
        <v>S</v>
      </c>
      <c r="D59" s="378">
        <f t="shared" ca="1" si="2"/>
        <v>7</v>
      </c>
      <c r="E59" s="378">
        <f t="shared" ca="1" si="215"/>
        <v>3</v>
      </c>
      <c r="F59" s="378" t="str">
        <f t="shared" ca="1" si="216"/>
        <v>0</v>
      </c>
      <c r="G59" s="378" t="str">
        <f t="shared" ca="1" si="217"/>
        <v>0</v>
      </c>
      <c r="H59" s="378" t="str">
        <f t="shared" ca="1" si="218"/>
        <v>0</v>
      </c>
      <c r="I59" s="378" t="str">
        <f t="shared" ca="1" si="219"/>
        <v>0</v>
      </c>
      <c r="J59" s="378">
        <f t="shared" ca="1" si="8"/>
        <v>1</v>
      </c>
      <c r="K59" s="378" t="str">
        <f t="shared" si="220"/>
        <v>NÃO</v>
      </c>
      <c r="L59" s="378" t="str">
        <f t="shared" ca="1" si="221"/>
        <v>7.3.1</v>
      </c>
      <c r="M59" s="55" t="s">
        <v>27868</v>
      </c>
      <c r="O59" s="392" t="str">
        <f t="shared" ca="1" si="222"/>
        <v>7.3.1</v>
      </c>
      <c r="P59" s="413" t="s">
        <v>29901</v>
      </c>
      <c r="Q59" s="414" t="s">
        <v>11519</v>
      </c>
      <c r="R59" s="415" t="str">
        <f>UPPER(IF(P59="CDHU",VLOOKUP(Q59,'CDHU 201-SD'!$A$1:$J$28014,2,FALSE),IF(P59="FDE",VLOOKUP(Q59,'FDE 01-26-SD'!$A$1:$J$280013,2,FALSE),IF(P59="PRÓPRIA",VLOOKUP(Q59,COMPOSIÇÃO!$1:$1048576,3,FALSE),VLOOKUP(Q59,'SINAPI 04-26-SD'!$A$1:$H$272700,2,FALSE)))))</f>
        <v>ESCAVAÇÃO MECANIZADA DE VALAS OU CAVAS COM PROFUNDIDADE DE ATÉ 2 M</v>
      </c>
      <c r="S59" s="414" t="str">
        <f>UPPER(IF(P59="CDHU",VLOOKUP(Q59,'CDHU 201-SD'!$A$1:$J$28014,3,FALSE),IF(P59="FDE",VLOOKUP(Q59,'FDE 01-26-SD'!$A$1:$J$280013,3,FALSE),IF(P59="PRÓPRIA",VLOOKUP(Q59,COMPOSIÇÃO!$1:$1048576,7,FALSE),VLOOKUP(Q59,'SINAPI 04-26-SD'!$A$1:$H$272700,3,FALSE)))))</f>
        <v>M3</v>
      </c>
      <c r="T59" s="393">
        <f>VLOOKUP(Q59,'BLOCOS DE FUNDAÇÃO'!$1:$1048576,12,FALSE)</f>
        <v>38.379125000000002</v>
      </c>
      <c r="U59" s="394">
        <f>TRUNC(IF(P59="CDHU",VLOOKUP(Q59,'CDHU 201-SD'!$A$1:$J$28014,6,FALSE),IF(P59="FDE",VLOOKUP(Q59,'FDE 01-26-SD'!$A$1:$J$280013,6,FALSE),IF(P59="PRÓPRIA",VLOOKUP(Q59,COMPOSIÇÃO!$1:$1048576,10,FALSE),VLOOKUP(Q59,'SINAPI 04-26-SD'!$A$1:$H$272700,4,FALSE)))),2)</f>
        <v>11.64</v>
      </c>
      <c r="V59" s="416">
        <f t="shared" ref="V59:V68" si="223">TRUNC(U59*T59,2)</f>
        <v>446.73</v>
      </c>
      <c r="W59" s="395">
        <f>IF($AA59="N",BDI!$D$26,IF($AA59="D",'BDI DIFE.'!$D$26,"ERRO"))</f>
        <v>0.22500000000000001</v>
      </c>
      <c r="X59" s="379">
        <f t="shared" ref="X59:X68" si="224">TRUNC(U59*(1+W59),2)</f>
        <v>14.25</v>
      </c>
      <c r="Y59" s="380">
        <f t="shared" ref="Y59:Y68" si="225">TRUNC(T59*X59,2)</f>
        <v>546.9</v>
      </c>
      <c r="Z59" s="381"/>
      <c r="AA59" s="378" t="s">
        <v>28044</v>
      </c>
      <c r="AB59" s="642"/>
    </row>
    <row r="60" spans="2:29" s="55" customFormat="1">
      <c r="B60" s="378">
        <f t="shared" ca="1" si="214"/>
        <v>3</v>
      </c>
      <c r="C60" s="378" t="str">
        <f t="shared" si="1"/>
        <v>S</v>
      </c>
      <c r="D60" s="378">
        <f t="shared" ca="1" si="2"/>
        <v>7</v>
      </c>
      <c r="E60" s="378">
        <f t="shared" ca="1" si="215"/>
        <v>3</v>
      </c>
      <c r="F60" s="378" t="str">
        <f t="shared" ca="1" si="216"/>
        <v>0</v>
      </c>
      <c r="G60" s="378" t="str">
        <f t="shared" ca="1" si="217"/>
        <v>0</v>
      </c>
      <c r="H60" s="378" t="str">
        <f t="shared" ca="1" si="218"/>
        <v>0</v>
      </c>
      <c r="I60" s="378" t="str">
        <f t="shared" ca="1" si="219"/>
        <v>0</v>
      </c>
      <c r="J60" s="378">
        <f t="shared" ca="1" si="8"/>
        <v>2</v>
      </c>
      <c r="K60" s="378" t="str">
        <f t="shared" si="220"/>
        <v>NÃO</v>
      </c>
      <c r="L60" s="378" t="str">
        <f t="shared" ca="1" si="221"/>
        <v>7.3.2</v>
      </c>
      <c r="M60" s="55" t="s">
        <v>27868</v>
      </c>
      <c r="O60" s="392" t="str">
        <f t="shared" ca="1" si="222"/>
        <v>7.3.2</v>
      </c>
      <c r="P60" s="413" t="s">
        <v>29901</v>
      </c>
      <c r="Q60" s="414" t="s">
        <v>11779</v>
      </c>
      <c r="R60" s="415" t="str">
        <f>UPPER(IF(P60="CDHU",VLOOKUP(Q60,'CDHU 201-SD'!$A$1:$J$28014,2,FALSE),IF(P60="FDE",VLOOKUP(Q60,'FDE 01-26-SD'!$A$1:$J$280013,2,FALSE),IF(P60="PRÓPRIA",VLOOKUP(Q60,COMPOSIÇÃO!$1:$1048576,3,FALSE),VLOOKUP(Q60,'SINAPI 04-26-SD'!$A$1:$H$272700,2,FALSE)))))</f>
        <v>LASTRO DE PEDRA BRITADA</v>
      </c>
      <c r="S60" s="414" t="str">
        <f>UPPER(IF(P60="CDHU",VLOOKUP(Q60,'CDHU 201-SD'!$A$1:$J$28014,3,FALSE),IF(P60="FDE",VLOOKUP(Q60,'FDE 01-26-SD'!$A$1:$J$280013,3,FALSE),IF(P60="PRÓPRIA",VLOOKUP(Q60,COMPOSIÇÃO!$1:$1048576,7,FALSE),VLOOKUP(Q60,'SINAPI 04-26-SD'!$A$1:$H$272700,3,FALSE)))))</f>
        <v>M3</v>
      </c>
      <c r="T60" s="393">
        <f>VLOOKUP(Q60,'BLOCOS DE FUNDAÇÃO'!$1:$1048576,12,FALSE)</f>
        <v>0.63237500000000013</v>
      </c>
      <c r="U60" s="394">
        <f>TRUNC(IF(P60="CDHU",VLOOKUP(Q60,'CDHU 201-SD'!$A$1:$J$28014,6,FALSE),IF(P60="FDE",VLOOKUP(Q60,'FDE 01-26-SD'!$A$1:$J$280013,6,FALSE),IF(P60="PRÓPRIA",VLOOKUP(Q60,COMPOSIÇÃO!$1:$1048576,10,FALSE),VLOOKUP(Q60,'SINAPI 04-26-SD'!$A$1:$H$272700,4,FALSE)))),2)</f>
        <v>221.55</v>
      </c>
      <c r="V60" s="416">
        <f t="shared" si="223"/>
        <v>140.1</v>
      </c>
      <c r="W60" s="395">
        <f>IF($AA60="N",BDI!$D$26,IF($AA60="D",'BDI DIFE.'!$D$26,"ERRO"))</f>
        <v>0.22500000000000001</v>
      </c>
      <c r="X60" s="379">
        <f t="shared" si="224"/>
        <v>271.39</v>
      </c>
      <c r="Y60" s="380">
        <f t="shared" si="225"/>
        <v>171.62</v>
      </c>
      <c r="Z60" s="381"/>
      <c r="AA60" s="378" t="s">
        <v>28044</v>
      </c>
      <c r="AB60" s="644"/>
      <c r="AC60" s="645"/>
    </row>
    <row r="61" spans="2:29" s="55" customFormat="1">
      <c r="B61" s="378">
        <f t="shared" ca="1" si="214"/>
        <v>3</v>
      </c>
      <c r="C61" s="378" t="str">
        <f t="shared" si="1"/>
        <v>S</v>
      </c>
      <c r="D61" s="378">
        <f t="shared" ca="1" si="2"/>
        <v>7</v>
      </c>
      <c r="E61" s="378">
        <f t="shared" ca="1" si="215"/>
        <v>3</v>
      </c>
      <c r="F61" s="378" t="str">
        <f t="shared" ca="1" si="216"/>
        <v>0</v>
      </c>
      <c r="G61" s="378" t="str">
        <f t="shared" ca="1" si="217"/>
        <v>0</v>
      </c>
      <c r="H61" s="378" t="str">
        <f t="shared" ca="1" si="218"/>
        <v>0</v>
      </c>
      <c r="I61" s="378" t="str">
        <f t="shared" ca="1" si="219"/>
        <v>0</v>
      </c>
      <c r="J61" s="378">
        <f t="shared" ca="1" si="8"/>
        <v>3</v>
      </c>
      <c r="K61" s="378" t="str">
        <f t="shared" si="220"/>
        <v>NÃO</v>
      </c>
      <c r="L61" s="378" t="str">
        <f t="shared" ca="1" si="221"/>
        <v>7.3.3</v>
      </c>
      <c r="M61" s="55" t="s">
        <v>27868</v>
      </c>
      <c r="O61" s="392" t="str">
        <f t="shared" ca="1" si="222"/>
        <v>7.3.3</v>
      </c>
      <c r="P61" s="413" t="s">
        <v>29901</v>
      </c>
      <c r="Q61" s="414" t="s">
        <v>11632</v>
      </c>
      <c r="R61" s="415" t="str">
        <f>UPPER(IF(P61="CDHU",VLOOKUP(Q61,'CDHU 201-SD'!$A$1:$J$28014,2,FALSE),IF(P61="FDE",VLOOKUP(Q61,'FDE 01-26-SD'!$A$1:$J$280013,2,FALSE),IF(P61="PRÓPRIA",VLOOKUP(Q61,COMPOSIÇÃO!$1:$1048576,3,FALSE),VLOOKUP(Q61,'SINAPI 04-26-SD'!$A$1:$H$272700,2,FALSE)))))</f>
        <v>FORMA EM MADEIRA COMUM PARA FUNDAÇÃO</v>
      </c>
      <c r="S61" s="414" t="str">
        <f>UPPER(IF(P61="CDHU",VLOOKUP(Q61,'CDHU 201-SD'!$A$1:$J$28014,3,FALSE),IF(P61="FDE",VLOOKUP(Q61,'FDE 01-26-SD'!$A$1:$J$280013,3,FALSE),IF(P61="PRÓPRIA",VLOOKUP(Q61,COMPOSIÇÃO!$1:$1048576,7,FALSE),VLOOKUP(Q61,'SINAPI 04-26-SD'!$A$1:$H$272700,3,FALSE)))))</f>
        <v>M2</v>
      </c>
      <c r="T61" s="393">
        <f>VLOOKUP(Q61,'BLOCOS DE FUNDAÇÃO'!$1:$1048576,12,FALSE)</f>
        <v>35.15</v>
      </c>
      <c r="U61" s="394">
        <f>TRUNC(IF(P61="CDHU",VLOOKUP(Q61,'CDHU 201-SD'!$A$1:$J$28014,6,FALSE),IF(P61="FDE",VLOOKUP(Q61,'FDE 01-26-SD'!$A$1:$J$280013,6,FALSE),IF(P61="PRÓPRIA",VLOOKUP(Q61,COMPOSIÇÃO!$1:$1048576,10,FALSE),VLOOKUP(Q61,'SINAPI 04-26-SD'!$A$1:$H$272700,4,FALSE)))),2)</f>
        <v>109.61</v>
      </c>
      <c r="V61" s="416">
        <f t="shared" si="223"/>
        <v>3852.79</v>
      </c>
      <c r="W61" s="395">
        <f>IF($AA61="N",BDI!$D$26,IF($AA61="D",'BDI DIFE.'!$D$26,"ERRO"))</f>
        <v>0.22500000000000001</v>
      </c>
      <c r="X61" s="379">
        <f t="shared" si="224"/>
        <v>134.27000000000001</v>
      </c>
      <c r="Y61" s="380">
        <f t="shared" si="225"/>
        <v>4719.59</v>
      </c>
      <c r="Z61" s="381"/>
      <c r="AA61" s="378" t="s">
        <v>28044</v>
      </c>
      <c r="AB61" s="644"/>
      <c r="AC61" s="645"/>
    </row>
    <row r="62" spans="2:29" s="55" customFormat="1">
      <c r="B62" s="378">
        <f t="shared" ca="1" si="214"/>
        <v>3</v>
      </c>
      <c r="C62" s="378" t="str">
        <f t="shared" si="1"/>
        <v>S</v>
      </c>
      <c r="D62" s="378">
        <f t="shared" ca="1" si="2"/>
        <v>7</v>
      </c>
      <c r="E62" s="378">
        <f t="shared" ca="1" si="215"/>
        <v>3</v>
      </c>
      <c r="F62" s="378" t="str">
        <f t="shared" ca="1" si="216"/>
        <v>0</v>
      </c>
      <c r="G62" s="378" t="str">
        <f t="shared" ca="1" si="217"/>
        <v>0</v>
      </c>
      <c r="H62" s="378" t="str">
        <f t="shared" ca="1" si="218"/>
        <v>0</v>
      </c>
      <c r="I62" s="378" t="str">
        <f t="shared" ca="1" si="219"/>
        <v>0</v>
      </c>
      <c r="J62" s="378">
        <f t="shared" ca="1" si="8"/>
        <v>4</v>
      </c>
      <c r="K62" s="378" t="str">
        <f t="shared" si="220"/>
        <v>NÃO</v>
      </c>
      <c r="L62" s="378" t="str">
        <f t="shared" ca="1" si="221"/>
        <v>7.3.4</v>
      </c>
      <c r="M62" s="55" t="s">
        <v>27868</v>
      </c>
      <c r="O62" s="392" t="str">
        <f t="shared" ref="O62" ca="1" si="226">L62</f>
        <v>7.3.4</v>
      </c>
      <c r="P62" s="413" t="s">
        <v>29901</v>
      </c>
      <c r="Q62" s="414" t="s">
        <v>11685</v>
      </c>
      <c r="R62" s="415" t="str">
        <f>UPPER(IF(P62="CDHU",VLOOKUP(Q62,'CDHU 201-SD'!$A$1:$J$28014,2,FALSE),IF(P62="FDE",VLOOKUP(Q62,'FDE 01-26-SD'!$A$1:$J$280013,2,FALSE),IF(P62="PRÓPRIA",VLOOKUP(Q62,COMPOSIÇÃO!$1:$1048576,3,FALSE),VLOOKUP(Q62,'SINAPI 04-26-SD'!$A$1:$H$272700,2,FALSE)))))</f>
        <v>ARMADURA EM BARRA DE AÇO CA-50 (A OU B) FYK = 500 MPA</v>
      </c>
      <c r="S62" s="414" t="str">
        <f>UPPER(IF(P62="CDHU",VLOOKUP(Q62,'CDHU 201-SD'!$A$1:$J$28014,3,FALSE),IF(P62="FDE",VLOOKUP(Q62,'FDE 01-26-SD'!$A$1:$J$280013,3,FALSE),IF(P62="PRÓPRIA",VLOOKUP(Q62,COMPOSIÇÃO!$1:$1048576,7,FALSE),VLOOKUP(Q62,'SINAPI 04-26-SD'!$A$1:$H$272700,3,FALSE)))))</f>
        <v>KG</v>
      </c>
      <c r="T62" s="393">
        <f>VLOOKUP(Q62,'BLOCOS DE FUNDAÇÃO'!$1:$1048576,12,FALSE)</f>
        <v>329</v>
      </c>
      <c r="U62" s="394">
        <f>TRUNC(IF(P62="CDHU",VLOOKUP(Q62,'CDHU 201-SD'!$A$1:$J$28014,6,FALSE),IF(P62="FDE",VLOOKUP(Q62,'FDE 01-26-SD'!$A$1:$J$280013,6,FALSE),IF(P62="PRÓPRIA",VLOOKUP(Q62,COMPOSIÇÃO!$1:$1048576,10,FALSE),VLOOKUP(Q62,'SINAPI 04-26-SD'!$A$1:$H$272700,4,FALSE)))),2)</f>
        <v>10.14</v>
      </c>
      <c r="V62" s="416">
        <f t="shared" ref="V62" si="227">TRUNC(U62*T62,2)</f>
        <v>3336.06</v>
      </c>
      <c r="W62" s="395">
        <f>IF($AA62="N",BDI!$D$26,IF($AA62="D",'BDI DIFE.'!$D$26,"ERRO"))</f>
        <v>0.22500000000000001</v>
      </c>
      <c r="X62" s="379">
        <f t="shared" ref="X62" si="228">TRUNC(U62*(1+W62),2)</f>
        <v>12.42</v>
      </c>
      <c r="Y62" s="380">
        <f t="shared" ref="Y62" si="229">TRUNC(T62*X62,2)</f>
        <v>4086.18</v>
      </c>
      <c r="Z62" s="381"/>
      <c r="AA62" s="378" t="s">
        <v>28044</v>
      </c>
      <c r="AB62" s="644"/>
      <c r="AC62" s="645"/>
    </row>
    <row r="63" spans="2:29" s="55" customFormat="1">
      <c r="B63" s="378">
        <f t="shared" ref="B63:B66" ca="1" si="230">IF(C63="S",IF(OFFSET(C63,-1,0)="S", OFFSET(B63,-1,0), OFFSET(B63,-1,0) +1 ), C63)</f>
        <v>3</v>
      </c>
      <c r="C63" s="378" t="str">
        <f t="shared" si="1"/>
        <v>S</v>
      </c>
      <c r="D63" s="378">
        <f t="shared" ca="1" si="2"/>
        <v>7</v>
      </c>
      <c r="E63" s="378">
        <f t="shared" ref="E63:E66" ca="1" si="231">IF($C63="2",OFFSET(E63,-1,0) +1,IF(OFFSET(D63,-1,0)&lt;&gt;D63,"0",IF(OFFSET(E63,-1,0)="","0",OFFSET(E63,-1,0))))</f>
        <v>3</v>
      </c>
      <c r="F63" s="378" t="str">
        <f t="shared" ref="F63:F66" ca="1" si="232">IF($C63="3",OFFSET(F63,-1,0) +1,IF(OFFSET(E63,-1,0)&lt;&gt;E63,"0",IF(OFFSET(F63,-1,0)="","0",OFFSET(F63,-1,0))))</f>
        <v>0</v>
      </c>
      <c r="G63" s="378" t="str">
        <f t="shared" ref="G63:G66" ca="1" si="233">IF($C63="4",OFFSET(G63,-1,0) +1,IF(OFFSET(F63,-1,0)&lt;&gt;F63,"0",IF(OFFSET(G63,-1,0)="","0",OFFSET(G63,-1,0))))</f>
        <v>0</v>
      </c>
      <c r="H63" s="378" t="str">
        <f t="shared" ref="H63:H66" ca="1" si="234">IF($C63="5",OFFSET(H63,-1,0) +1,IF(OFFSET(G63,-1,0)&lt;&gt;G63,"0",IF(OFFSET(H63,-1,0)="","0",OFFSET(H63,-1,0))))</f>
        <v>0</v>
      </c>
      <c r="I63" s="378" t="str">
        <f t="shared" ref="I63:I66" ca="1" si="235">IF($C63="6",OFFSET(I63,-1,0) +1,IF(OFFSET(H63,-1,0)&lt;&gt;H63,"0",IF(OFFSET(I63,-1,0)="","0", OFFSET(I63,-1,0))))</f>
        <v>0</v>
      </c>
      <c r="J63" s="378">
        <f t="shared" ca="1" si="8"/>
        <v>5</v>
      </c>
      <c r="K63" s="378" t="str">
        <f t="shared" ref="K63:K66" si="236">IF(C63="S","NÃO", IF(C63="1", D63, IF(C63="2", D63 &amp; "." &amp; E63,IF(C63="3", D63 &amp; "." &amp; E63 &amp; "." &amp; F63, IF(C63="4", D63 &amp; "." &amp; E63 &amp; "." &amp; F63 &amp; "." &amp; G63, IF(C63="5", D63 &amp; "." &amp; E63 &amp; "." &amp; F63 &amp; "." &amp; G63 &amp; "." &amp; H63, IF(C63="6", D63 &amp; "." &amp; E63 &amp; "." &amp; F63 &amp; "." &amp; G63 &amp; "." &amp; H63 &amp; "." &amp; I63)))))))</f>
        <v>NÃO</v>
      </c>
      <c r="L63" s="378" t="str">
        <f t="shared" ref="L63:L66" ca="1" si="237">IF(K63="NÃO",IF($B63=2,D63&amp;"."&amp;J63,IF($B63=3,D63&amp;"."&amp;E63&amp;"."&amp;J63,IF($B63=4,D63&amp;"."&amp;E63&amp;"."&amp;F63&amp;"."&amp;J63,IF($B63=5,D63&amp;"."&amp;E63&amp;"."&amp;F63&amp;"."&amp;G63&amp;"."&amp;J63,IF($B63=6,D63&amp;"."&amp;E63&amp;"."&amp;F63&amp;"."&amp;G63&amp;"."&amp;H63&amp;"."&amp;J63,IF($B63=7,D63&amp;"."&amp;E63&amp;"."&amp;F63&amp;"."&amp;G63&amp;"."&amp;H63&amp;"."&amp;I63&amp;"."&amp;J63,"FALHA")))))),K63)</f>
        <v>7.3.5</v>
      </c>
      <c r="M63" s="55" t="s">
        <v>27868</v>
      </c>
      <c r="O63" s="392" t="str">
        <f t="shared" ca="1" si="222"/>
        <v>7.3.5</v>
      </c>
      <c r="P63" s="413" t="s">
        <v>29901</v>
      </c>
      <c r="Q63" s="414" t="s">
        <v>11687</v>
      </c>
      <c r="R63" s="415" t="str">
        <f>UPPER(IF(P63="CDHU",VLOOKUP(Q63,'CDHU 201-SD'!$A$1:$J$28014,2,FALSE),IF(P63="FDE",VLOOKUP(Q63,'FDE 01-26-SD'!$A$1:$J$280013,2,FALSE),IF(P63="PRÓPRIA",VLOOKUP(Q63,COMPOSIÇÃO!$1:$1048576,3,FALSE),VLOOKUP(Q63,'SINAPI 04-26-SD'!$A$1:$H$272700,2,FALSE)))))</f>
        <v>ARMADURA EM BARRA DE AÇO CA-60 (A OU B) FYK = 600 MPA</v>
      </c>
      <c r="S63" s="414" t="str">
        <f>UPPER(IF(P63="CDHU",VLOOKUP(Q63,'CDHU 201-SD'!$A$1:$J$28014,3,FALSE),IF(P63="FDE",VLOOKUP(Q63,'FDE 01-26-SD'!$A$1:$J$280013,3,FALSE),IF(P63="PRÓPRIA",VLOOKUP(Q63,COMPOSIÇÃO!$1:$1048576,7,FALSE),VLOOKUP(Q63,'SINAPI 04-26-SD'!$A$1:$H$272700,3,FALSE)))))</f>
        <v>KG</v>
      </c>
      <c r="T63" s="393">
        <f>VLOOKUP(Q63,'BLOCOS DE FUNDAÇÃO'!$1:$1048576,12,FALSE)</f>
        <v>97</v>
      </c>
      <c r="U63" s="394">
        <f>TRUNC(IF(P63="CDHU",VLOOKUP(Q63,'CDHU 201-SD'!$A$1:$J$28014,6,FALSE),IF(P63="FDE",VLOOKUP(Q63,'FDE 01-26-SD'!$A$1:$J$280013,6,FALSE),IF(P63="PRÓPRIA",VLOOKUP(Q63,COMPOSIÇÃO!$1:$1048576,10,FALSE),VLOOKUP(Q63,'SINAPI 04-26-SD'!$A$1:$H$272700,4,FALSE)))),2)</f>
        <v>10.79</v>
      </c>
      <c r="V63" s="416">
        <f t="shared" si="223"/>
        <v>1046.6300000000001</v>
      </c>
      <c r="W63" s="395">
        <f>IF($AA63="N",BDI!$D$26,IF($AA63="D",'BDI DIFE.'!$D$26,"ERRO"))</f>
        <v>0.22500000000000001</v>
      </c>
      <c r="X63" s="379">
        <f t="shared" si="224"/>
        <v>13.21</v>
      </c>
      <c r="Y63" s="380">
        <f t="shared" si="225"/>
        <v>1281.3699999999999</v>
      </c>
      <c r="Z63" s="381"/>
      <c r="AA63" s="378" t="s">
        <v>28044</v>
      </c>
      <c r="AB63" s="644"/>
      <c r="AC63" s="645"/>
    </row>
    <row r="64" spans="2:29" s="55" customFormat="1">
      <c r="B64" s="378">
        <f t="shared" ca="1" si="230"/>
        <v>3</v>
      </c>
      <c r="C64" s="378" t="str">
        <f t="shared" si="1"/>
        <v>S</v>
      </c>
      <c r="D64" s="378">
        <f t="shared" ca="1" si="2"/>
        <v>7</v>
      </c>
      <c r="E64" s="378">
        <f t="shared" ca="1" si="231"/>
        <v>3</v>
      </c>
      <c r="F64" s="378" t="str">
        <f t="shared" ca="1" si="232"/>
        <v>0</v>
      </c>
      <c r="G64" s="378" t="str">
        <f t="shared" ca="1" si="233"/>
        <v>0</v>
      </c>
      <c r="H64" s="378" t="str">
        <f t="shared" ca="1" si="234"/>
        <v>0</v>
      </c>
      <c r="I64" s="378" t="str">
        <f t="shared" ca="1" si="235"/>
        <v>0</v>
      </c>
      <c r="J64" s="378">
        <f t="shared" ca="1" si="8"/>
        <v>6</v>
      </c>
      <c r="K64" s="378" t="str">
        <f t="shared" si="236"/>
        <v>NÃO</v>
      </c>
      <c r="L64" s="378" t="str">
        <f t="shared" ca="1" si="237"/>
        <v>7.3.6</v>
      </c>
      <c r="M64" s="55" t="s">
        <v>27868</v>
      </c>
      <c r="O64" s="392" t="str">
        <f t="shared" ca="1" si="222"/>
        <v>7.3.6</v>
      </c>
      <c r="P64" s="413" t="s">
        <v>29901</v>
      </c>
      <c r="Q64" s="414" t="s">
        <v>11705</v>
      </c>
      <c r="R64" s="415" t="str">
        <f>UPPER(IF(P64="CDHU",VLOOKUP(Q64,'CDHU 201-SD'!$A$1:$J$28014,2,FALSE),IF(P64="FDE",VLOOKUP(Q64,'FDE 01-26-SD'!$A$1:$J$280013,2,FALSE),IF(P64="PRÓPRIA",VLOOKUP(Q64,COMPOSIÇÃO!$1:$1048576,3,FALSE),VLOOKUP(Q64,'SINAPI 04-26-SD'!$A$1:$H$272700,2,FALSE)))))</f>
        <v>CONCRETO USINADO, FCK = 30 MPA</v>
      </c>
      <c r="S64" s="414" t="str">
        <f>UPPER(IF(P64="CDHU",VLOOKUP(Q64,'CDHU 201-SD'!$A$1:$J$28014,3,FALSE),IF(P64="FDE",VLOOKUP(Q64,'FDE 01-26-SD'!$A$1:$J$280013,3,FALSE),IF(P64="PRÓPRIA",VLOOKUP(Q64,COMPOSIÇÃO!$1:$1048576,7,FALSE),VLOOKUP(Q64,'SINAPI 04-26-SD'!$A$1:$H$272700,3,FALSE)))))</f>
        <v>M3</v>
      </c>
      <c r="T64" s="393">
        <f>VLOOKUP(Q64,'BLOCOS DE FUNDAÇÃO'!$1:$1048576,12,FALSE)</f>
        <v>7.41</v>
      </c>
      <c r="U64" s="394">
        <f>TRUNC(IF(P64="CDHU",VLOOKUP(Q64,'CDHU 201-SD'!$A$1:$J$28014,6,FALSE),IF(P64="FDE",VLOOKUP(Q64,'FDE 01-26-SD'!$A$1:$J$280013,6,FALSE),IF(P64="PRÓPRIA",VLOOKUP(Q64,COMPOSIÇÃO!$1:$1048576,10,FALSE),VLOOKUP(Q64,'SINAPI 04-26-SD'!$A$1:$H$272700,4,FALSE)))),2)</f>
        <v>541.64</v>
      </c>
      <c r="V64" s="416">
        <f t="shared" si="223"/>
        <v>4013.55</v>
      </c>
      <c r="W64" s="395">
        <f>IF($AA64="N",BDI!$D$26,IF($AA64="D",'BDI DIFE.'!$D$26,"ERRO"))</f>
        <v>0.22500000000000001</v>
      </c>
      <c r="X64" s="379">
        <f t="shared" si="224"/>
        <v>663.5</v>
      </c>
      <c r="Y64" s="380">
        <f t="shared" si="225"/>
        <v>4916.53</v>
      </c>
      <c r="Z64" s="381"/>
      <c r="AA64" s="378" t="s">
        <v>28044</v>
      </c>
      <c r="AB64" s="644"/>
      <c r="AC64" s="645"/>
    </row>
    <row r="65" spans="2:29" s="55" customFormat="1">
      <c r="B65" s="378">
        <f t="shared" ca="1" si="230"/>
        <v>3</v>
      </c>
      <c r="C65" s="378" t="str">
        <f t="shared" si="1"/>
        <v>S</v>
      </c>
      <c r="D65" s="378">
        <f t="shared" ca="1" si="2"/>
        <v>7</v>
      </c>
      <c r="E65" s="378">
        <f t="shared" ca="1" si="231"/>
        <v>3</v>
      </c>
      <c r="F65" s="378" t="str">
        <f t="shared" ca="1" si="232"/>
        <v>0</v>
      </c>
      <c r="G65" s="378" t="str">
        <f t="shared" ca="1" si="233"/>
        <v>0</v>
      </c>
      <c r="H65" s="378" t="str">
        <f t="shared" ca="1" si="234"/>
        <v>0</v>
      </c>
      <c r="I65" s="378" t="str">
        <f t="shared" ca="1" si="235"/>
        <v>0</v>
      </c>
      <c r="J65" s="378">
        <f t="shared" ca="1" si="8"/>
        <v>7</v>
      </c>
      <c r="K65" s="378" t="str">
        <f t="shared" si="236"/>
        <v>NÃO</v>
      </c>
      <c r="L65" s="378" t="str">
        <f t="shared" ca="1" si="237"/>
        <v>7.3.7</v>
      </c>
      <c r="M65" s="55" t="s">
        <v>27868</v>
      </c>
      <c r="O65" s="392" t="str">
        <f t="shared" ca="1" si="222"/>
        <v>7.3.7</v>
      </c>
      <c r="P65" s="413" t="s">
        <v>41227</v>
      </c>
      <c r="Q65" s="414" t="s">
        <v>41804</v>
      </c>
      <c r="R65" s="415" t="str">
        <f>UPPER(IF(P65="CDHU",VLOOKUP(Q65,'CDHU 201-SD'!$A$1:$J$28014,2,FALSE),IF(P65="FDE",VLOOKUP(Q65,'FDE 01-26-SD'!$A$1:$J$280013,2,FALSE),IF(P65="PRÓPRIA",VLOOKUP(Q65,COMPOSIÇÃO!$1:$1048576,3,FALSE),VLOOKUP(Q65,'SINAPI 04-26-SD'!$A$1:$H$272700,2,FALSE)))))</f>
        <v>CONTROLE TECNOLOGICO DE CONCRETOS</v>
      </c>
      <c r="S65" s="414" t="str">
        <f>UPPER(IF(P65="CDHU",VLOOKUP(Q65,'CDHU 201-SD'!$A$1:$J$28014,3,FALSE),IF(P65="FDE",VLOOKUP(Q65,'FDE 01-26-SD'!$A$1:$J$280013,3,FALSE),IF(P65="PRÓPRIA",VLOOKUP(Q65,COMPOSIÇÃO!$1:$1048576,7,FALSE),VLOOKUP(Q65,'SINAPI 04-26-SD'!$A$1:$H$272700,3,FALSE)))))</f>
        <v>M3</v>
      </c>
      <c r="T65" s="393">
        <f>VLOOKUP(Q65,'BLOCOS DE FUNDAÇÃO'!$1:$1048576,12,FALSE)</f>
        <v>7.41</v>
      </c>
      <c r="U65" s="394">
        <f>TRUNC(IF(P65="CDHU",VLOOKUP(Q65,'CDHU 201-SD'!$A$1:$J$28014,6,FALSE),IF(P65="FDE",VLOOKUP(Q65,'FDE 01-26-SD'!$A$1:$J$280013,6,FALSE),IF(P65="PRÓPRIA",VLOOKUP(Q65,COMPOSIÇÃO!$1:$1048576,10,FALSE),VLOOKUP(Q65,'SINAPI 04-26-SD'!$A$1:$H$272700,4,FALSE)))),2)</f>
        <v>105.96</v>
      </c>
      <c r="V65" s="416">
        <f t="shared" si="223"/>
        <v>785.16</v>
      </c>
      <c r="W65" s="395">
        <f>IF($AA65="N",BDI!$D$26,IF($AA65="D",'BDI DIFE.'!$D$26,"ERRO"))</f>
        <v>0.22500000000000001</v>
      </c>
      <c r="X65" s="379">
        <f t="shared" si="224"/>
        <v>129.80000000000001</v>
      </c>
      <c r="Y65" s="380">
        <f t="shared" si="225"/>
        <v>961.81</v>
      </c>
      <c r="Z65" s="381"/>
      <c r="AA65" s="378" t="s">
        <v>28044</v>
      </c>
      <c r="AB65" s="644"/>
      <c r="AC65" s="645"/>
    </row>
    <row r="66" spans="2:29" s="55" customFormat="1" ht="30">
      <c r="B66" s="378">
        <f t="shared" ca="1" si="230"/>
        <v>3</v>
      </c>
      <c r="C66" s="378" t="str">
        <f t="shared" si="1"/>
        <v>S</v>
      </c>
      <c r="D66" s="378">
        <f t="shared" ca="1" si="2"/>
        <v>7</v>
      </c>
      <c r="E66" s="378">
        <f t="shared" ca="1" si="231"/>
        <v>3</v>
      </c>
      <c r="F66" s="378" t="str">
        <f t="shared" ca="1" si="232"/>
        <v>0</v>
      </c>
      <c r="G66" s="378" t="str">
        <f t="shared" ca="1" si="233"/>
        <v>0</v>
      </c>
      <c r="H66" s="378" t="str">
        <f t="shared" ca="1" si="234"/>
        <v>0</v>
      </c>
      <c r="I66" s="378" t="str">
        <f t="shared" ca="1" si="235"/>
        <v>0</v>
      </c>
      <c r="J66" s="378">
        <f t="shared" ca="1" si="8"/>
        <v>8</v>
      </c>
      <c r="K66" s="378" t="str">
        <f t="shared" si="236"/>
        <v>NÃO</v>
      </c>
      <c r="L66" s="378" t="str">
        <f t="shared" ca="1" si="237"/>
        <v>7.3.8</v>
      </c>
      <c r="M66" s="55" t="s">
        <v>27868</v>
      </c>
      <c r="O66" s="392" t="str">
        <f t="shared" ca="1" si="222"/>
        <v>7.3.8</v>
      </c>
      <c r="P66" s="413" t="s">
        <v>29901</v>
      </c>
      <c r="Q66" s="414" t="s">
        <v>11767</v>
      </c>
      <c r="R66" s="415" t="str">
        <f>UPPER(IF(P66="CDHU",VLOOKUP(Q66,'CDHU 201-SD'!$A$1:$J$28014,2,FALSE),IF(P66="FDE",VLOOKUP(Q66,'FDE 01-26-SD'!$A$1:$J$280013,2,FALSE),IF(P66="PRÓPRIA",VLOOKUP(Q66,COMPOSIÇÃO!$1:$1048576,3,FALSE),VLOOKUP(Q66,'SINAPI 04-26-SD'!$A$1:$H$272700,2,FALSE)))))</f>
        <v>LANÇAMENTO E ADENSAMENTO DE CONCRETO OU MASSA EM FUNDAÇÃO</v>
      </c>
      <c r="S66" s="414" t="str">
        <f>UPPER(IF(P66="CDHU",VLOOKUP(Q66,'CDHU 201-SD'!$A$1:$J$28014,3,FALSE),IF(P66="FDE",VLOOKUP(Q66,'FDE 01-26-SD'!$A$1:$J$280013,3,FALSE),IF(P66="PRÓPRIA",VLOOKUP(Q66,COMPOSIÇÃO!$1:$1048576,7,FALSE),VLOOKUP(Q66,'SINAPI 04-26-SD'!$A$1:$H$272700,3,FALSE)))))</f>
        <v>M3</v>
      </c>
      <c r="T66" s="393">
        <f>VLOOKUP(Q66,'BLOCOS DE FUNDAÇÃO'!$1:$1048576,12,FALSE)</f>
        <v>7.41</v>
      </c>
      <c r="U66" s="394">
        <f>TRUNC(IF(P66="CDHU",VLOOKUP(Q66,'CDHU 201-SD'!$A$1:$J$28014,6,FALSE),IF(P66="FDE",VLOOKUP(Q66,'FDE 01-26-SD'!$A$1:$J$280013,6,FALSE),IF(P66="PRÓPRIA",VLOOKUP(Q66,COMPOSIÇÃO!$1:$1048576,10,FALSE),VLOOKUP(Q66,'SINAPI 04-26-SD'!$A$1:$H$272700,4,FALSE)))),2)</f>
        <v>191.53</v>
      </c>
      <c r="V66" s="416">
        <f t="shared" si="223"/>
        <v>1419.23</v>
      </c>
      <c r="W66" s="395">
        <f>IF($AA66="N",BDI!$D$26,IF($AA66="D",'BDI DIFE.'!$D$26,"ERRO"))</f>
        <v>0.22500000000000001</v>
      </c>
      <c r="X66" s="379">
        <f t="shared" si="224"/>
        <v>234.62</v>
      </c>
      <c r="Y66" s="380">
        <f t="shared" si="225"/>
        <v>1738.53</v>
      </c>
      <c r="Z66" s="381"/>
      <c r="AA66" s="378" t="s">
        <v>28044</v>
      </c>
      <c r="AB66" s="644"/>
      <c r="AC66" s="645"/>
    </row>
    <row r="67" spans="2:29" s="55" customFormat="1" ht="30">
      <c r="B67" s="378">
        <f t="shared" ca="1" si="214"/>
        <v>3</v>
      </c>
      <c r="C67" s="378" t="str">
        <f t="shared" si="1"/>
        <v>S</v>
      </c>
      <c r="D67" s="378">
        <f t="shared" ca="1" si="2"/>
        <v>7</v>
      </c>
      <c r="E67" s="378">
        <f t="shared" ca="1" si="215"/>
        <v>3</v>
      </c>
      <c r="F67" s="378" t="str">
        <f t="shared" ca="1" si="216"/>
        <v>0</v>
      </c>
      <c r="G67" s="378" t="str">
        <f t="shared" ca="1" si="217"/>
        <v>0</v>
      </c>
      <c r="H67" s="378" t="str">
        <f t="shared" ca="1" si="218"/>
        <v>0</v>
      </c>
      <c r="I67" s="378" t="str">
        <f t="shared" ca="1" si="219"/>
        <v>0</v>
      </c>
      <c r="J67" s="378">
        <f t="shared" ca="1" si="8"/>
        <v>9</v>
      </c>
      <c r="K67" s="378" t="str">
        <f t="shared" si="220"/>
        <v>NÃO</v>
      </c>
      <c r="L67" s="378" t="str">
        <f t="shared" ca="1" si="221"/>
        <v>7.3.9</v>
      </c>
      <c r="M67" s="55" t="s">
        <v>27868</v>
      </c>
      <c r="O67" s="392" t="str">
        <f t="shared" ca="1" si="222"/>
        <v>7.3.9</v>
      </c>
      <c r="P67" s="413" t="s">
        <v>29901</v>
      </c>
      <c r="Q67" s="414" t="s">
        <v>11543</v>
      </c>
      <c r="R67" s="415" t="str">
        <f>UPPER(IF(P67="CDHU",VLOOKUP(Q67,'CDHU 201-SD'!$A$1:$J$28014,2,FALSE),IF(P67="FDE",VLOOKUP(Q67,'FDE 01-26-SD'!$A$1:$J$280013,2,FALSE),IF(P67="PRÓPRIA",VLOOKUP(Q67,COMPOSIÇÃO!$1:$1048576,3,FALSE),VLOOKUP(Q67,'SINAPI 04-26-SD'!$A$1:$H$272700,2,FALSE)))))</f>
        <v>REATERRO COMPACTADO MECANIZADO DE VALA OU CAVA COM COMPACTADOR</v>
      </c>
      <c r="S67" s="414" t="str">
        <f>UPPER(IF(P67="CDHU",VLOOKUP(Q67,'CDHU 201-SD'!$A$1:$J$28014,3,FALSE),IF(P67="FDE",VLOOKUP(Q67,'FDE 01-26-SD'!$A$1:$J$280013,3,FALSE),IF(P67="PRÓPRIA",VLOOKUP(Q67,COMPOSIÇÃO!$1:$1048576,7,FALSE),VLOOKUP(Q67,'SINAPI 04-26-SD'!$A$1:$H$272700,3,FALSE)))))</f>
        <v>M3</v>
      </c>
      <c r="T67" s="393">
        <f>VLOOKUP(Q67,'BLOCOS DE FUNDAÇÃO'!$1:$1048576,12,FALSE)</f>
        <v>30.336749999999999</v>
      </c>
      <c r="U67" s="394">
        <f>TRUNC(IF(P67="CDHU",VLOOKUP(Q67,'CDHU 201-SD'!$A$1:$J$28014,6,FALSE),IF(P67="FDE",VLOOKUP(Q67,'FDE 01-26-SD'!$A$1:$J$280013,6,FALSE),IF(P67="PRÓPRIA",VLOOKUP(Q67,COMPOSIÇÃO!$1:$1048576,10,FALSE),VLOOKUP(Q67,'SINAPI 04-26-SD'!$A$1:$H$272700,4,FALSE)))),2)</f>
        <v>7.7</v>
      </c>
      <c r="V67" s="416">
        <f t="shared" si="223"/>
        <v>233.59</v>
      </c>
      <c r="W67" s="395">
        <f>IF($AA67="N",BDI!$D$26,IF($AA67="D",'BDI DIFE.'!$D$26,"ERRO"))</f>
        <v>0.22500000000000001</v>
      </c>
      <c r="X67" s="379">
        <f t="shared" si="224"/>
        <v>9.43</v>
      </c>
      <c r="Y67" s="380">
        <f t="shared" si="225"/>
        <v>286.07</v>
      </c>
      <c r="Z67" s="381"/>
      <c r="AA67" s="378" t="s">
        <v>28044</v>
      </c>
      <c r="AB67" s="644"/>
      <c r="AC67" s="645"/>
    </row>
    <row r="68" spans="2:29" s="55" customFormat="1" ht="31" thickBot="1">
      <c r="B68" s="378">
        <f t="shared" ca="1" si="214"/>
        <v>3</v>
      </c>
      <c r="C68" s="378" t="str">
        <f t="shared" si="1"/>
        <v>S</v>
      </c>
      <c r="D68" s="378">
        <f t="shared" ca="1" si="2"/>
        <v>7</v>
      </c>
      <c r="E68" s="378">
        <f t="shared" ca="1" si="215"/>
        <v>3</v>
      </c>
      <c r="F68" s="378" t="str">
        <f t="shared" ca="1" si="216"/>
        <v>0</v>
      </c>
      <c r="G68" s="378" t="str">
        <f t="shared" ca="1" si="217"/>
        <v>0</v>
      </c>
      <c r="H68" s="378" t="str">
        <f t="shared" ca="1" si="218"/>
        <v>0</v>
      </c>
      <c r="I68" s="378" t="str">
        <f t="shared" ca="1" si="219"/>
        <v>0</v>
      </c>
      <c r="J68" s="378">
        <f t="shared" ca="1" si="8"/>
        <v>10</v>
      </c>
      <c r="K68" s="378" t="str">
        <f t="shared" si="220"/>
        <v>NÃO</v>
      </c>
      <c r="L68" s="378" t="str">
        <f t="shared" ca="1" si="221"/>
        <v>7.3.10</v>
      </c>
      <c r="M68" s="55" t="s">
        <v>27868</v>
      </c>
      <c r="O68" s="392" t="str">
        <f t="shared" ca="1" si="222"/>
        <v>7.3.10</v>
      </c>
      <c r="P68" s="413" t="s">
        <v>29901</v>
      </c>
      <c r="Q68" s="414" t="s">
        <v>11453</v>
      </c>
      <c r="R68" s="415" t="str">
        <f>UPPER(IF(P68="CDHU",VLOOKUP(Q68,'CDHU 201-SD'!$A$1:$J$28014,2,FALSE),IF(P68="FDE",VLOOKUP(Q68,'FDE 01-26-SD'!$A$1:$J$280013,2,FALSE),IF(P68="PRÓPRIA",VLOOKUP(Q68,COMPOSIÇÃO!$1:$1048576,3,FALSE),VLOOKUP(Q68,'SINAPI 04-26-SD'!$A$1:$H$272700,2,FALSE)))))</f>
        <v>TRANSPORTE DE SOLO DE 1ª E 2ª CATEGORIA POR CAMINHÃO PARA DISTÂNCIAS SUPERIORES AO 5° KM ATÉ O 10° KM</v>
      </c>
      <c r="S68" s="414" t="str">
        <f>UPPER(IF(P68="CDHU",VLOOKUP(Q68,'CDHU 201-SD'!$A$1:$J$28014,3,FALSE),IF(P68="FDE",VLOOKUP(Q68,'FDE 01-26-SD'!$A$1:$J$280013,3,FALSE),IF(P68="PRÓPRIA",VLOOKUP(Q68,COMPOSIÇÃO!$1:$1048576,7,FALSE),VLOOKUP(Q68,'SINAPI 04-26-SD'!$A$1:$H$272700,3,FALSE)))))</f>
        <v>M3</v>
      </c>
      <c r="T68" s="393">
        <f>VLOOKUP(Q68,'BLOCOS DE FUNDAÇÃO'!$1:$1048576,12,FALSE)</f>
        <v>8.0423750000000034</v>
      </c>
      <c r="U68" s="394">
        <f>TRUNC(IF(P68="CDHU",VLOOKUP(Q68,'CDHU 201-SD'!$A$1:$J$28014,6,FALSE),IF(P68="FDE",VLOOKUP(Q68,'FDE 01-26-SD'!$A$1:$J$280013,6,FALSE),IF(P68="PRÓPRIA",VLOOKUP(Q68,COMPOSIÇÃO!$1:$1048576,10,FALSE),VLOOKUP(Q68,'SINAPI 04-26-SD'!$A$1:$H$272700,4,FALSE)))),2)</f>
        <v>19.21</v>
      </c>
      <c r="V68" s="416">
        <f t="shared" si="223"/>
        <v>154.49</v>
      </c>
      <c r="W68" s="395">
        <f>IF($AA68="N",BDI!$D$26,IF($AA68="D",'BDI DIFE.'!$D$26,"ERRO"))</f>
        <v>0.22500000000000001</v>
      </c>
      <c r="X68" s="379">
        <f t="shared" si="224"/>
        <v>23.53</v>
      </c>
      <c r="Y68" s="380">
        <f t="shared" si="225"/>
        <v>189.23</v>
      </c>
      <c r="Z68" s="381"/>
      <c r="AA68" s="378" t="s">
        <v>28044</v>
      </c>
      <c r="AB68" s="644"/>
      <c r="AC68" s="645"/>
    </row>
    <row r="69" spans="2:29" s="55" customFormat="1" ht="16" thickBot="1">
      <c r="B69" s="378" t="str">
        <f t="shared" ca="1" si="214"/>
        <v/>
      </c>
      <c r="C69" s="378" t="str">
        <f>IF(RIGHT($M69) = "o", "S", RIGHT($M69))</f>
        <v/>
      </c>
      <c r="D69" s="378">
        <f t="shared" ca="1" si="2"/>
        <v>7</v>
      </c>
      <c r="E69" s="378">
        <f t="shared" ca="1" si="215"/>
        <v>3</v>
      </c>
      <c r="F69" s="378" t="str">
        <f t="shared" ca="1" si="216"/>
        <v>0</v>
      </c>
      <c r="G69" s="378" t="str">
        <f t="shared" ca="1" si="217"/>
        <v>0</v>
      </c>
      <c r="H69" s="378" t="str">
        <f t="shared" ca="1" si="218"/>
        <v>0</v>
      </c>
      <c r="I69" s="378" t="str">
        <f t="shared" ca="1" si="219"/>
        <v>0</v>
      </c>
      <c r="J69" s="378" t="str">
        <f t="shared" ca="1" si="8"/>
        <v>0</v>
      </c>
      <c r="K69" s="378" t="b">
        <f t="shared" si="220"/>
        <v>0</v>
      </c>
      <c r="L69" s="378" t="b">
        <f t="shared" si="221"/>
        <v>0</v>
      </c>
      <c r="O69" s="192"/>
      <c r="P69" s="387"/>
      <c r="Q69" s="387"/>
      <c r="R69" s="377"/>
      <c r="S69" s="387"/>
      <c r="T69" s="363"/>
      <c r="U69" s="388"/>
      <c r="V69" s="389"/>
      <c r="W69" s="389"/>
      <c r="X69" s="389"/>
      <c r="Y69" s="390"/>
      <c r="AA69" s="378"/>
      <c r="AB69" s="642"/>
    </row>
    <row r="70" spans="2:29" s="75" customFormat="1" ht="16" thickBot="1">
      <c r="B70" s="75" t="str">
        <f t="shared" ref="B70:B84" ca="1" si="238">IF(C70="S",IF(OFFSET(C70,-1,0)="S", OFFSET(B70,-1,0), OFFSET(B70,-1,0) +1 ), C70)</f>
        <v>2</v>
      </c>
      <c r="C70" s="75" t="str">
        <f t="shared" si="1"/>
        <v>2</v>
      </c>
      <c r="D70" s="75">
        <f t="shared" ca="1" si="2"/>
        <v>7</v>
      </c>
      <c r="E70" s="75">
        <f t="shared" ref="E70:E84" ca="1" si="239">IF($C70="2",OFFSET(E70,-1,0) +1,IF(OFFSET(D70,-1,0)&lt;&gt;D70,"0",IF(OFFSET(E70,-1,0)="","0",OFFSET(E70,-1,0))))</f>
        <v>4</v>
      </c>
      <c r="F70" s="75" t="str">
        <f t="shared" ref="F70:F84" ca="1" si="240">IF($C70="3",OFFSET(F70,-1,0) +1,IF(OFFSET(E70,-1,0)&lt;&gt;E70,"0",IF(OFFSET(F70,-1,0)="","0",OFFSET(F70,-1,0))))</f>
        <v>0</v>
      </c>
      <c r="G70" s="75" t="str">
        <f t="shared" ref="G70:G84" ca="1" si="241">IF($C70="4",OFFSET(G70,-1,0) +1,IF(OFFSET(F70,-1,0)&lt;&gt;F70,"0",IF(OFFSET(G70,-1,0)="","0",OFFSET(G70,-1,0))))</f>
        <v>0</v>
      </c>
      <c r="H70" s="75" t="str">
        <f t="shared" ref="H70:H84" ca="1" si="242">IF($C70="5",OFFSET(H70,-1,0) +1,IF(OFFSET(G70,-1,0)&lt;&gt;G70,"0",IF(OFFSET(H70,-1,0)="","0",OFFSET(H70,-1,0))))</f>
        <v>0</v>
      </c>
      <c r="I70" s="75" t="str">
        <f t="shared" ref="I70:I84" ca="1" si="243">IF($C70="6",OFFSET(I70,-1,0) +1,IF(OFFSET(H70,-1,0)&lt;&gt;H70,"0",IF(OFFSET(I70,-1,0)="","0", OFFSET(I70,-1,0))))</f>
        <v>0</v>
      </c>
      <c r="J70" s="75" t="str">
        <f t="shared" ca="1" si="8"/>
        <v>0</v>
      </c>
      <c r="K70" s="75" t="str">
        <f t="shared" ref="K70:K84" ca="1" si="244">IF(C70="S","NÃO", IF(C70="1", D70, IF(C70="2", D70 &amp; "." &amp; E70,IF(C70="3", D70 &amp; "." &amp; E70 &amp; "." &amp; F70, IF(C70="4", D70 &amp; "." &amp; E70 &amp; "." &amp; F70 &amp; "." &amp; G70, IF(C70="5", D70 &amp; "." &amp; E70 &amp; "." &amp; F70 &amp; "." &amp; G70 &amp; "." &amp; H70, IF(C70="6", D70 &amp; "." &amp; E70 &amp; "." &amp; F70 &amp; "." &amp; G70 &amp; "." &amp; H70 &amp; "." &amp; I70)))))))</f>
        <v>7.4</v>
      </c>
      <c r="L70" s="75" t="str">
        <f t="shared" ref="L70:L84" ca="1" si="245">IF(K70="NÃO",IF($B70=2,D70&amp;"."&amp;J70,IF($B70=3,D70&amp;"."&amp;E70&amp;"."&amp;J70,IF($B70=4,D70&amp;"."&amp;E70&amp;"."&amp;F70&amp;"."&amp;J70,IF($B70=5,D70&amp;"."&amp;E70&amp;"."&amp;F70&amp;"."&amp;G70&amp;"."&amp;J70,IF($B70=6,D70&amp;"."&amp;E70&amp;"."&amp;F70&amp;"."&amp;G70&amp;"."&amp;H70&amp;"."&amp;J70,IF($B70=7,D70&amp;"."&amp;E70&amp;"."&amp;F70&amp;"."&amp;G70&amp;"."&amp;H70&amp;"."&amp;I70&amp;"."&amp;J70,"FALHA")))))),K70)</f>
        <v>7.4</v>
      </c>
      <c r="M70" s="55" t="s">
        <v>27861</v>
      </c>
      <c r="O70" s="191" t="str">
        <f t="shared" ref="O70:O84" ca="1" si="246">L70</f>
        <v>7.4</v>
      </c>
      <c r="P70" s="172"/>
      <c r="Q70" s="172"/>
      <c r="R70" s="621" t="s">
        <v>44549</v>
      </c>
      <c r="S70" s="172"/>
      <c r="T70" s="194"/>
      <c r="U70" s="195"/>
      <c r="V70" s="196">
        <f ca="1">IF(VALUE(C70)=1,SUMIFS(V:V,D:D,D70,M:M,"Serviço"),IF(VALUE(C70)=2,SUMIFS(V:V,D:D,D70,E:E,E70,M:M,"Serviço"),IF(VALUE(C70)=3,SUMIFS(V:V,D:D,D70,E:E,E70,F:F,F70,M:M,"Serviço"),IF(VALUE(C70)=4,SUMIFS(V:V,D:D,D70,E:E,E70,F:F,F70,G:G,G70,M:M,"Serviço"),"ERRO"))))</f>
        <v>42673.289999999994</v>
      </c>
      <c r="W70" s="197"/>
      <c r="X70" s="205"/>
      <c r="Y70" s="173">
        <f ca="1">IF(VALUE(C70)=1,SUMIFS(Y:Y,D:D,D70,M:M,"Serviço"),IF(VALUE(C70)=2,SUMIFS(Y:Y,D:D,D70,E:E,E70,M:M,"Serviço"),IF(VALUE(C70)=3,SUMIFS(Y:Y,D:D,D70,E:E,E70,F:F,F70,M:M,"Serviço"),IF(VALUE(C70)=4,SUMIFS(Y:Y,D:D,D70,E:E,E70,F:F,F70,G:G,G70,M:M,"Serviço"),"ERRO"))))</f>
        <v>52271.51</v>
      </c>
      <c r="AB70" s="641"/>
    </row>
    <row r="71" spans="2:29" s="55" customFormat="1" ht="30">
      <c r="B71" s="378">
        <f t="shared" ca="1" si="238"/>
        <v>3</v>
      </c>
      <c r="C71" s="378" t="str">
        <f t="shared" si="1"/>
        <v>S</v>
      </c>
      <c r="D71" s="378">
        <f t="shared" ca="1" si="2"/>
        <v>7</v>
      </c>
      <c r="E71" s="378">
        <f t="shared" ca="1" si="239"/>
        <v>4</v>
      </c>
      <c r="F71" s="378" t="str">
        <f t="shared" ca="1" si="240"/>
        <v>0</v>
      </c>
      <c r="G71" s="378" t="str">
        <f t="shared" ca="1" si="241"/>
        <v>0</v>
      </c>
      <c r="H71" s="378" t="str">
        <f t="shared" ca="1" si="242"/>
        <v>0</v>
      </c>
      <c r="I71" s="378" t="str">
        <f t="shared" ca="1" si="243"/>
        <v>0</v>
      </c>
      <c r="J71" s="378">
        <f t="shared" ca="1" si="8"/>
        <v>1</v>
      </c>
      <c r="K71" s="378" t="str">
        <f t="shared" si="244"/>
        <v>NÃO</v>
      </c>
      <c r="L71" s="378" t="str">
        <f t="shared" ca="1" si="245"/>
        <v>7.4.1</v>
      </c>
      <c r="M71" s="55" t="s">
        <v>27868</v>
      </c>
      <c r="O71" s="392" t="str">
        <f t="shared" ca="1" si="246"/>
        <v>7.4.1</v>
      </c>
      <c r="P71" s="413" t="s">
        <v>29901</v>
      </c>
      <c r="Q71" s="414" t="s">
        <v>11519</v>
      </c>
      <c r="R71" s="415" t="str">
        <f>UPPER(IF(P71="CDHU",VLOOKUP(Q71,'CDHU 201-SD'!$A$1:$J$28014,2,FALSE),IF(P71="FDE",VLOOKUP(Q71,'FDE 01-26-SD'!$A$1:$J$280013,2,FALSE),IF(P71="PRÓPRIA",VLOOKUP(Q71,COMPOSIÇÃO!$1:$1048576,3,FALSE),VLOOKUP(Q71,'SINAPI 04-26-SD'!$A$1:$H$272700,2,FALSE)))))</f>
        <v>ESCAVAÇÃO MECANIZADA DE VALAS OU CAVAS COM PROFUNDIDADE DE ATÉ 2 M</v>
      </c>
      <c r="S71" s="414" t="str">
        <f>UPPER(IF(P71="CDHU",VLOOKUP(Q71,'CDHU 201-SD'!$A$1:$J$28014,3,FALSE),IF(P71="FDE",VLOOKUP(Q71,'FDE 01-26-SD'!$A$1:$J$280013,3,FALSE),IF(P71="PRÓPRIA",VLOOKUP(Q71,COMPOSIÇÃO!$1:$1048576,7,FALSE),VLOOKUP(Q71,'SINAPI 04-26-SD'!$A$1:$H$272700,3,FALSE)))))</f>
        <v>M3</v>
      </c>
      <c r="T71" s="393">
        <f>124*0.6*0.35</f>
        <v>26.039999999999996</v>
      </c>
      <c r="U71" s="394">
        <f>TRUNC(IF(P71="CDHU",VLOOKUP(Q71,'CDHU 201-SD'!$A$1:$J$28014,6,FALSE),IF(P71="FDE",VLOOKUP(Q71,'FDE 01-26-SD'!$A$1:$J$280013,6,FALSE),IF(P71="PRÓPRIA",VLOOKUP(Q71,COMPOSIÇÃO!$1:$1048576,10,FALSE),VLOOKUP(Q71,'SINAPI 04-26-SD'!$A$1:$H$272700,4,FALSE)))),2)</f>
        <v>11.64</v>
      </c>
      <c r="V71" s="416">
        <f t="shared" ref="V71:V84" si="247">TRUNC(U71*T71,2)</f>
        <v>303.10000000000002</v>
      </c>
      <c r="W71" s="395">
        <f>IF($AA71="N",BDI!$D$26,IF($AA71="D",'BDI DIFE.'!$D$26,"ERRO"))</f>
        <v>0.22500000000000001</v>
      </c>
      <c r="X71" s="379">
        <f t="shared" ref="X71:X84" si="248">TRUNC(U71*(1+W71),2)</f>
        <v>14.25</v>
      </c>
      <c r="Y71" s="380">
        <f t="shared" ref="Y71:Y84" si="249">TRUNC(T71*X71,2)</f>
        <v>371.07</v>
      </c>
      <c r="Z71" s="381"/>
      <c r="AA71" s="378" t="s">
        <v>28044</v>
      </c>
      <c r="AB71" s="642"/>
    </row>
    <row r="72" spans="2:29" s="55" customFormat="1">
      <c r="B72" s="378">
        <f t="shared" ca="1" si="238"/>
        <v>3</v>
      </c>
      <c r="C72" s="378" t="str">
        <f t="shared" si="1"/>
        <v>S</v>
      </c>
      <c r="D72" s="378">
        <f t="shared" ca="1" si="2"/>
        <v>7</v>
      </c>
      <c r="E72" s="378">
        <f t="shared" ca="1" si="239"/>
        <v>4</v>
      </c>
      <c r="F72" s="378" t="str">
        <f t="shared" ca="1" si="240"/>
        <v>0</v>
      </c>
      <c r="G72" s="378" t="str">
        <f t="shared" ca="1" si="241"/>
        <v>0</v>
      </c>
      <c r="H72" s="378" t="str">
        <f t="shared" ca="1" si="242"/>
        <v>0</v>
      </c>
      <c r="I72" s="378" t="str">
        <f t="shared" ca="1" si="243"/>
        <v>0</v>
      </c>
      <c r="J72" s="378">
        <f t="shared" ca="1" si="8"/>
        <v>2</v>
      </c>
      <c r="K72" s="378" t="str">
        <f t="shared" si="244"/>
        <v>NÃO</v>
      </c>
      <c r="L72" s="378" t="str">
        <f t="shared" ca="1" si="245"/>
        <v>7.4.2</v>
      </c>
      <c r="M72" s="55" t="s">
        <v>27868</v>
      </c>
      <c r="O72" s="392" t="str">
        <f t="shared" ca="1" si="246"/>
        <v>7.4.2</v>
      </c>
      <c r="P72" s="413" t="s">
        <v>29901</v>
      </c>
      <c r="Q72" s="414" t="s">
        <v>11779</v>
      </c>
      <c r="R72" s="415" t="str">
        <f>UPPER(IF(P72="CDHU",VLOOKUP(Q72,'CDHU 201-SD'!$A$1:$J$28014,2,FALSE),IF(P72="FDE",VLOOKUP(Q72,'FDE 01-26-SD'!$A$1:$J$280013,2,FALSE),IF(P72="PRÓPRIA",VLOOKUP(Q72,COMPOSIÇÃO!$1:$1048576,3,FALSE),VLOOKUP(Q72,'SINAPI 04-26-SD'!$A$1:$H$272700,2,FALSE)))))</f>
        <v>LASTRO DE PEDRA BRITADA</v>
      </c>
      <c r="S72" s="414" t="str">
        <f>UPPER(IF(P72="CDHU",VLOOKUP(Q72,'CDHU 201-SD'!$A$1:$J$28014,3,FALSE),IF(P72="FDE",VLOOKUP(Q72,'FDE 01-26-SD'!$A$1:$J$280013,3,FALSE),IF(P72="PRÓPRIA",VLOOKUP(Q72,COMPOSIÇÃO!$1:$1048576,7,FALSE),VLOOKUP(Q72,'SINAPI 04-26-SD'!$A$1:$H$272700,3,FALSE)))))</f>
        <v>M3</v>
      </c>
      <c r="T72" s="393">
        <f>124*0.2*0.05</f>
        <v>1.2400000000000002</v>
      </c>
      <c r="U72" s="394">
        <f>TRUNC(IF(P72="CDHU",VLOOKUP(Q72,'CDHU 201-SD'!$A$1:$J$28014,6,FALSE),IF(P72="FDE",VLOOKUP(Q72,'FDE 01-26-SD'!$A$1:$J$280013,6,FALSE),IF(P72="PRÓPRIA",VLOOKUP(Q72,COMPOSIÇÃO!$1:$1048576,10,FALSE),VLOOKUP(Q72,'SINAPI 04-26-SD'!$A$1:$H$272700,4,FALSE)))),2)</f>
        <v>221.55</v>
      </c>
      <c r="V72" s="416">
        <f t="shared" si="247"/>
        <v>274.72000000000003</v>
      </c>
      <c r="W72" s="395">
        <f>IF($AA72="N",BDI!$D$26,IF($AA72="D",'BDI DIFE.'!$D$26,"ERRO"))</f>
        <v>0.22500000000000001</v>
      </c>
      <c r="X72" s="379">
        <f t="shared" si="248"/>
        <v>271.39</v>
      </c>
      <c r="Y72" s="380">
        <f t="shared" si="249"/>
        <v>336.52</v>
      </c>
      <c r="Z72" s="381"/>
      <c r="AA72" s="378" t="s">
        <v>28044</v>
      </c>
      <c r="AB72" s="644"/>
      <c r="AC72" s="645"/>
    </row>
    <row r="73" spans="2:29" s="55" customFormat="1">
      <c r="B73" s="378">
        <f t="shared" ca="1" si="238"/>
        <v>3</v>
      </c>
      <c r="C73" s="378" t="str">
        <f t="shared" si="1"/>
        <v>S</v>
      </c>
      <c r="D73" s="378">
        <f t="shared" ca="1" si="2"/>
        <v>7</v>
      </c>
      <c r="E73" s="378">
        <f t="shared" ca="1" si="239"/>
        <v>4</v>
      </c>
      <c r="F73" s="378" t="str">
        <f t="shared" ca="1" si="240"/>
        <v>0</v>
      </c>
      <c r="G73" s="378" t="str">
        <f t="shared" ca="1" si="241"/>
        <v>0</v>
      </c>
      <c r="H73" s="378" t="str">
        <f t="shared" ca="1" si="242"/>
        <v>0</v>
      </c>
      <c r="I73" s="378" t="str">
        <f t="shared" ca="1" si="243"/>
        <v>0</v>
      </c>
      <c r="J73" s="378">
        <f t="shared" ca="1" si="8"/>
        <v>3</v>
      </c>
      <c r="K73" s="378" t="str">
        <f t="shared" si="244"/>
        <v>NÃO</v>
      </c>
      <c r="L73" s="378" t="str">
        <f t="shared" ca="1" si="245"/>
        <v>7.4.3</v>
      </c>
      <c r="M73" s="55" t="s">
        <v>27868</v>
      </c>
      <c r="O73" s="392" t="str">
        <f t="shared" ca="1" si="246"/>
        <v>7.4.3</v>
      </c>
      <c r="P73" s="413" t="s">
        <v>29901</v>
      </c>
      <c r="Q73" s="414" t="s">
        <v>11632</v>
      </c>
      <c r="R73" s="415" t="str">
        <f>UPPER(IF(P73="CDHU",VLOOKUP(Q73,'CDHU 201-SD'!$A$1:$J$28014,2,FALSE),IF(P73="FDE",VLOOKUP(Q73,'FDE 01-26-SD'!$A$1:$J$280013,2,FALSE),IF(P73="PRÓPRIA",VLOOKUP(Q73,COMPOSIÇÃO!$1:$1048576,3,FALSE),VLOOKUP(Q73,'SINAPI 04-26-SD'!$A$1:$H$272700,2,FALSE)))))</f>
        <v>FORMA EM MADEIRA COMUM PARA FUNDAÇÃO</v>
      </c>
      <c r="S73" s="414" t="str">
        <f>UPPER(IF(P73="CDHU",VLOOKUP(Q73,'CDHU 201-SD'!$A$1:$J$28014,3,FALSE),IF(P73="FDE",VLOOKUP(Q73,'FDE 01-26-SD'!$A$1:$J$280013,3,FALSE),IF(P73="PRÓPRIA",VLOOKUP(Q73,COMPOSIÇÃO!$1:$1048576,7,FALSE),VLOOKUP(Q73,'SINAPI 04-26-SD'!$A$1:$H$272700,3,FALSE)))))</f>
        <v>M2</v>
      </c>
      <c r="T73" s="393">
        <f>73.14+48.62</f>
        <v>121.75999999999999</v>
      </c>
      <c r="U73" s="394">
        <f>TRUNC(IF(P73="CDHU",VLOOKUP(Q73,'CDHU 201-SD'!$A$1:$J$28014,6,FALSE),IF(P73="FDE",VLOOKUP(Q73,'FDE 01-26-SD'!$A$1:$J$280013,6,FALSE),IF(P73="PRÓPRIA",VLOOKUP(Q73,COMPOSIÇÃO!$1:$1048576,10,FALSE),VLOOKUP(Q73,'SINAPI 04-26-SD'!$A$1:$H$272700,4,FALSE)))),2)</f>
        <v>109.61</v>
      </c>
      <c r="V73" s="416">
        <f t="shared" si="247"/>
        <v>13346.11</v>
      </c>
      <c r="W73" s="395">
        <f>IF($AA73="N",BDI!$D$26,IF($AA73="D",'BDI DIFE.'!$D$26,"ERRO"))</f>
        <v>0.22500000000000001</v>
      </c>
      <c r="X73" s="379">
        <f t="shared" si="248"/>
        <v>134.27000000000001</v>
      </c>
      <c r="Y73" s="380">
        <f t="shared" si="249"/>
        <v>16348.71</v>
      </c>
      <c r="Z73" s="381"/>
      <c r="AA73" s="378" t="s">
        <v>28044</v>
      </c>
      <c r="AB73" s="644"/>
      <c r="AC73" s="645"/>
    </row>
    <row r="74" spans="2:29" s="55" customFormat="1">
      <c r="B74" s="378">
        <f t="shared" ca="1" si="238"/>
        <v>3</v>
      </c>
      <c r="C74" s="378" t="str">
        <f t="shared" si="1"/>
        <v>S</v>
      </c>
      <c r="D74" s="378">
        <f t="shared" ca="1" si="2"/>
        <v>7</v>
      </c>
      <c r="E74" s="378">
        <f t="shared" ca="1" si="239"/>
        <v>4</v>
      </c>
      <c r="F74" s="378" t="str">
        <f t="shared" ca="1" si="240"/>
        <v>0</v>
      </c>
      <c r="G74" s="378" t="str">
        <f t="shared" ca="1" si="241"/>
        <v>0</v>
      </c>
      <c r="H74" s="378" t="str">
        <f t="shared" ca="1" si="242"/>
        <v>0</v>
      </c>
      <c r="I74" s="378" t="str">
        <f t="shared" ca="1" si="243"/>
        <v>0</v>
      </c>
      <c r="J74" s="378">
        <f t="shared" ca="1" si="8"/>
        <v>4</v>
      </c>
      <c r="K74" s="378" t="str">
        <f t="shared" si="244"/>
        <v>NÃO</v>
      </c>
      <c r="L74" s="378" t="str">
        <f t="shared" ca="1" si="245"/>
        <v>7.4.4</v>
      </c>
      <c r="M74" s="55" t="s">
        <v>27868</v>
      </c>
      <c r="O74" s="392" t="str">
        <f t="shared" ca="1" si="246"/>
        <v>7.4.4</v>
      </c>
      <c r="P74" s="413" t="s">
        <v>29901</v>
      </c>
      <c r="Q74" s="414" t="s">
        <v>11685</v>
      </c>
      <c r="R74" s="415" t="str">
        <f>UPPER(IF(P74="CDHU",VLOOKUP(Q74,'CDHU 201-SD'!$A$1:$J$28014,2,FALSE),IF(P74="FDE",VLOOKUP(Q74,'FDE 01-26-SD'!$A$1:$J$280013,2,FALSE),IF(P74="PRÓPRIA",VLOOKUP(Q74,COMPOSIÇÃO!$1:$1048576,3,FALSE),VLOOKUP(Q74,'SINAPI 04-26-SD'!$A$1:$H$272700,2,FALSE)))))</f>
        <v>ARMADURA EM BARRA DE AÇO CA-50 (A OU B) FYK = 500 MPA</v>
      </c>
      <c r="S74" s="414" t="str">
        <f>UPPER(IF(P74="CDHU",VLOOKUP(Q74,'CDHU 201-SD'!$A$1:$J$28014,3,FALSE),IF(P74="FDE",VLOOKUP(Q74,'FDE 01-26-SD'!$A$1:$J$280013,3,FALSE),IF(P74="PRÓPRIA",VLOOKUP(Q74,COMPOSIÇÃO!$1:$1048576,7,FALSE),VLOOKUP(Q74,'SINAPI 04-26-SD'!$A$1:$H$272700,3,FALSE)))))</f>
        <v>KG</v>
      </c>
      <c r="T74" s="393">
        <f>348.7+184.2</f>
        <v>532.9</v>
      </c>
      <c r="U74" s="394">
        <f>TRUNC(IF(P74="CDHU",VLOOKUP(Q74,'CDHU 201-SD'!$A$1:$J$28014,6,FALSE),IF(P74="FDE",VLOOKUP(Q74,'FDE 01-26-SD'!$A$1:$J$280013,6,FALSE),IF(P74="PRÓPRIA",VLOOKUP(Q74,COMPOSIÇÃO!$1:$1048576,10,FALSE),VLOOKUP(Q74,'SINAPI 04-26-SD'!$A$1:$H$272700,4,FALSE)))),2)</f>
        <v>10.14</v>
      </c>
      <c r="V74" s="416">
        <f t="shared" si="247"/>
        <v>5403.6</v>
      </c>
      <c r="W74" s="395">
        <f>IF($AA74="N",BDI!$D$26,IF($AA74="D",'BDI DIFE.'!$D$26,"ERRO"))</f>
        <v>0.22500000000000001</v>
      </c>
      <c r="X74" s="379">
        <f t="shared" si="248"/>
        <v>12.42</v>
      </c>
      <c r="Y74" s="380">
        <f t="shared" si="249"/>
        <v>6618.61</v>
      </c>
      <c r="Z74" s="381"/>
      <c r="AA74" s="378" t="s">
        <v>28044</v>
      </c>
      <c r="AB74" s="644"/>
      <c r="AC74" s="645"/>
    </row>
    <row r="75" spans="2:29" s="55" customFormat="1">
      <c r="B75" s="378">
        <f t="shared" ca="1" si="238"/>
        <v>3</v>
      </c>
      <c r="C75" s="378" t="str">
        <f t="shared" si="1"/>
        <v>S</v>
      </c>
      <c r="D75" s="378">
        <f t="shared" ca="1" si="2"/>
        <v>7</v>
      </c>
      <c r="E75" s="378">
        <f t="shared" ca="1" si="239"/>
        <v>4</v>
      </c>
      <c r="F75" s="378" t="str">
        <f t="shared" ca="1" si="240"/>
        <v>0</v>
      </c>
      <c r="G75" s="378" t="str">
        <f t="shared" ca="1" si="241"/>
        <v>0</v>
      </c>
      <c r="H75" s="378" t="str">
        <f t="shared" ca="1" si="242"/>
        <v>0</v>
      </c>
      <c r="I75" s="378" t="str">
        <f t="shared" ca="1" si="243"/>
        <v>0</v>
      </c>
      <c r="J75" s="378">
        <f t="shared" ca="1" si="8"/>
        <v>5</v>
      </c>
      <c r="K75" s="378" t="str">
        <f t="shared" si="244"/>
        <v>NÃO</v>
      </c>
      <c r="L75" s="378" t="str">
        <f t="shared" ca="1" si="245"/>
        <v>7.4.5</v>
      </c>
      <c r="M75" s="55" t="s">
        <v>27868</v>
      </c>
      <c r="O75" s="392" t="str">
        <f t="shared" ca="1" si="246"/>
        <v>7.4.5</v>
      </c>
      <c r="P75" s="413" t="s">
        <v>29901</v>
      </c>
      <c r="Q75" s="414" t="s">
        <v>11687</v>
      </c>
      <c r="R75" s="415" t="str">
        <f>UPPER(IF(P75="CDHU",VLOOKUP(Q75,'CDHU 201-SD'!$A$1:$J$28014,2,FALSE),IF(P75="FDE",VLOOKUP(Q75,'FDE 01-26-SD'!$A$1:$J$280013,2,FALSE),IF(P75="PRÓPRIA",VLOOKUP(Q75,COMPOSIÇÃO!$1:$1048576,3,FALSE),VLOOKUP(Q75,'SINAPI 04-26-SD'!$A$1:$H$272700,2,FALSE)))))</f>
        <v>ARMADURA EM BARRA DE AÇO CA-60 (A OU B) FYK = 600 MPA</v>
      </c>
      <c r="S75" s="414" t="str">
        <f>UPPER(IF(P75="CDHU",VLOOKUP(Q75,'CDHU 201-SD'!$A$1:$J$28014,3,FALSE),IF(P75="FDE",VLOOKUP(Q75,'FDE 01-26-SD'!$A$1:$J$280013,3,FALSE),IF(P75="PRÓPRIA",VLOOKUP(Q75,COMPOSIÇÃO!$1:$1048576,7,FALSE),VLOOKUP(Q75,'SINAPI 04-26-SD'!$A$1:$H$272700,3,FALSE)))))</f>
        <v>KG</v>
      </c>
      <c r="T75" s="393">
        <f>47.3+72.1</f>
        <v>119.39999999999999</v>
      </c>
      <c r="U75" s="394">
        <f>TRUNC(IF(P75="CDHU",VLOOKUP(Q75,'CDHU 201-SD'!$A$1:$J$28014,6,FALSE),IF(P75="FDE",VLOOKUP(Q75,'FDE 01-26-SD'!$A$1:$J$280013,6,FALSE),IF(P75="PRÓPRIA",VLOOKUP(Q75,COMPOSIÇÃO!$1:$1048576,10,FALSE),VLOOKUP(Q75,'SINAPI 04-26-SD'!$A$1:$H$272700,4,FALSE)))),2)</f>
        <v>10.79</v>
      </c>
      <c r="V75" s="416">
        <f t="shared" si="247"/>
        <v>1288.32</v>
      </c>
      <c r="W75" s="395">
        <f>IF($AA75="N",BDI!$D$26,IF($AA75="D",'BDI DIFE.'!$D$26,"ERRO"))</f>
        <v>0.22500000000000001</v>
      </c>
      <c r="X75" s="379">
        <f t="shared" si="248"/>
        <v>13.21</v>
      </c>
      <c r="Y75" s="380">
        <f t="shared" si="249"/>
        <v>1577.27</v>
      </c>
      <c r="Z75" s="381"/>
      <c r="AA75" s="378" t="s">
        <v>28044</v>
      </c>
      <c r="AB75" s="644"/>
      <c r="AC75" s="645"/>
    </row>
    <row r="76" spans="2:29" s="55" customFormat="1">
      <c r="B76" s="378">
        <f t="shared" ca="1" si="238"/>
        <v>3</v>
      </c>
      <c r="C76" s="378" t="str">
        <f t="shared" si="1"/>
        <v>S</v>
      </c>
      <c r="D76" s="378">
        <f t="shared" ca="1" si="2"/>
        <v>7</v>
      </c>
      <c r="E76" s="378">
        <f t="shared" ca="1" si="239"/>
        <v>4</v>
      </c>
      <c r="F76" s="378" t="str">
        <f t="shared" ca="1" si="240"/>
        <v>0</v>
      </c>
      <c r="G76" s="378" t="str">
        <f t="shared" ca="1" si="241"/>
        <v>0</v>
      </c>
      <c r="H76" s="378" t="str">
        <f t="shared" ca="1" si="242"/>
        <v>0</v>
      </c>
      <c r="I76" s="378" t="str">
        <f t="shared" ca="1" si="243"/>
        <v>0</v>
      </c>
      <c r="J76" s="378">
        <f t="shared" ca="1" si="8"/>
        <v>6</v>
      </c>
      <c r="K76" s="378" t="str">
        <f t="shared" si="244"/>
        <v>NÃO</v>
      </c>
      <c r="L76" s="378" t="str">
        <f t="shared" ca="1" si="245"/>
        <v>7.4.6</v>
      </c>
      <c r="M76" s="55" t="s">
        <v>27868</v>
      </c>
      <c r="O76" s="392" t="str">
        <f t="shared" ca="1" si="246"/>
        <v>7.4.6</v>
      </c>
      <c r="P76" s="413" t="s">
        <v>29901</v>
      </c>
      <c r="Q76" s="414" t="s">
        <v>11705</v>
      </c>
      <c r="R76" s="415" t="str">
        <f>UPPER(IF(P76="CDHU",VLOOKUP(Q76,'CDHU 201-SD'!$A$1:$J$28014,2,FALSE),IF(P76="FDE",VLOOKUP(Q76,'FDE 01-26-SD'!$A$1:$J$280013,2,FALSE),IF(P76="PRÓPRIA",VLOOKUP(Q76,COMPOSIÇÃO!$1:$1048576,3,FALSE),VLOOKUP(Q76,'SINAPI 04-26-SD'!$A$1:$H$272700,2,FALSE)))))</f>
        <v>CONCRETO USINADO, FCK = 30 MPA</v>
      </c>
      <c r="S76" s="414" t="str">
        <f>UPPER(IF(P76="CDHU",VLOOKUP(Q76,'CDHU 201-SD'!$A$1:$J$28014,3,FALSE),IF(P76="FDE",VLOOKUP(Q76,'FDE 01-26-SD'!$A$1:$J$280013,3,FALSE),IF(P76="PRÓPRIA",VLOOKUP(Q76,COMPOSIÇÃO!$1:$1048576,7,FALSE),VLOOKUP(Q76,'SINAPI 04-26-SD'!$A$1:$H$272700,3,FALSE)))))</f>
        <v>M3</v>
      </c>
      <c r="T76" s="393">
        <f>5.51+3.59</f>
        <v>9.1</v>
      </c>
      <c r="U76" s="394">
        <f>TRUNC(IF(P76="CDHU",VLOOKUP(Q76,'CDHU 201-SD'!$A$1:$J$28014,6,FALSE),IF(P76="FDE",VLOOKUP(Q76,'FDE 01-26-SD'!$A$1:$J$280013,6,FALSE),IF(P76="PRÓPRIA",VLOOKUP(Q76,COMPOSIÇÃO!$1:$1048576,10,FALSE),VLOOKUP(Q76,'SINAPI 04-26-SD'!$A$1:$H$272700,4,FALSE)))),2)</f>
        <v>541.64</v>
      </c>
      <c r="V76" s="416">
        <f t="shared" si="247"/>
        <v>4928.92</v>
      </c>
      <c r="W76" s="395">
        <f>IF($AA76="N",BDI!$D$26,IF($AA76="D",'BDI DIFE.'!$D$26,"ERRO"))</f>
        <v>0.22500000000000001</v>
      </c>
      <c r="X76" s="379">
        <f t="shared" si="248"/>
        <v>663.5</v>
      </c>
      <c r="Y76" s="380">
        <f t="shared" si="249"/>
        <v>6037.85</v>
      </c>
      <c r="Z76" s="381"/>
      <c r="AA76" s="378" t="s">
        <v>28044</v>
      </c>
      <c r="AB76" s="644"/>
      <c r="AC76" s="645"/>
    </row>
    <row r="77" spans="2:29" s="55" customFormat="1">
      <c r="B77" s="378">
        <f t="shared" ca="1" si="238"/>
        <v>3</v>
      </c>
      <c r="C77" s="378" t="str">
        <f t="shared" si="1"/>
        <v>S</v>
      </c>
      <c r="D77" s="378">
        <f t="shared" ca="1" si="2"/>
        <v>7</v>
      </c>
      <c r="E77" s="378">
        <f t="shared" ca="1" si="239"/>
        <v>4</v>
      </c>
      <c r="F77" s="378" t="str">
        <f t="shared" ca="1" si="240"/>
        <v>0</v>
      </c>
      <c r="G77" s="378" t="str">
        <f t="shared" ca="1" si="241"/>
        <v>0</v>
      </c>
      <c r="H77" s="378" t="str">
        <f t="shared" ca="1" si="242"/>
        <v>0</v>
      </c>
      <c r="I77" s="378" t="str">
        <f t="shared" ca="1" si="243"/>
        <v>0</v>
      </c>
      <c r="J77" s="378">
        <f t="shared" ca="1" si="8"/>
        <v>7</v>
      </c>
      <c r="K77" s="378" t="str">
        <f t="shared" si="244"/>
        <v>NÃO</v>
      </c>
      <c r="L77" s="378" t="str">
        <f t="shared" ca="1" si="245"/>
        <v>7.4.7</v>
      </c>
      <c r="M77" s="55" t="s">
        <v>27868</v>
      </c>
      <c r="O77" s="392" t="str">
        <f t="shared" ca="1" si="246"/>
        <v>7.4.7</v>
      </c>
      <c r="P77" s="413" t="s">
        <v>41227</v>
      </c>
      <c r="Q77" s="414" t="s">
        <v>41804</v>
      </c>
      <c r="R77" s="415" t="str">
        <f>UPPER(IF(P77="CDHU",VLOOKUP(Q77,'CDHU 201-SD'!$A$1:$J$28014,2,FALSE),IF(P77="FDE",VLOOKUP(Q77,'FDE 01-26-SD'!$A$1:$J$280013,2,FALSE),IF(P77="PRÓPRIA",VLOOKUP(Q77,COMPOSIÇÃO!$1:$1048576,3,FALSE),VLOOKUP(Q77,'SINAPI 04-26-SD'!$A$1:$H$272700,2,FALSE)))))</f>
        <v>CONTROLE TECNOLOGICO DE CONCRETOS</v>
      </c>
      <c r="S77" s="414" t="str">
        <f>UPPER(IF(P77="CDHU",VLOOKUP(Q77,'CDHU 201-SD'!$A$1:$J$28014,3,FALSE),IF(P77="FDE",VLOOKUP(Q77,'FDE 01-26-SD'!$A$1:$J$280013,3,FALSE),IF(P77="PRÓPRIA",VLOOKUP(Q77,COMPOSIÇÃO!$1:$1048576,7,FALSE),VLOOKUP(Q77,'SINAPI 04-26-SD'!$A$1:$H$272700,3,FALSE)))))</f>
        <v>M3</v>
      </c>
      <c r="T77" s="393">
        <f>T76</f>
        <v>9.1</v>
      </c>
      <c r="U77" s="394">
        <f>TRUNC(IF(P77="CDHU",VLOOKUP(Q77,'CDHU 201-SD'!$A$1:$J$28014,6,FALSE),IF(P77="FDE",VLOOKUP(Q77,'FDE 01-26-SD'!$A$1:$J$280013,6,FALSE),IF(P77="PRÓPRIA",VLOOKUP(Q77,COMPOSIÇÃO!$1:$1048576,10,FALSE),VLOOKUP(Q77,'SINAPI 04-26-SD'!$A$1:$H$272700,4,FALSE)))),2)</f>
        <v>105.96</v>
      </c>
      <c r="V77" s="416">
        <f t="shared" si="247"/>
        <v>964.23</v>
      </c>
      <c r="W77" s="395">
        <f>IF($AA77="N",BDI!$D$26,IF($AA77="D",'BDI DIFE.'!$D$26,"ERRO"))</f>
        <v>0.22500000000000001</v>
      </c>
      <c r="X77" s="379">
        <f t="shared" si="248"/>
        <v>129.80000000000001</v>
      </c>
      <c r="Y77" s="380">
        <f t="shared" si="249"/>
        <v>1181.18</v>
      </c>
      <c r="Z77" s="381"/>
      <c r="AA77" s="378" t="s">
        <v>28044</v>
      </c>
      <c r="AB77" s="644"/>
      <c r="AC77" s="645"/>
    </row>
    <row r="78" spans="2:29" s="55" customFormat="1" ht="30">
      <c r="B78" s="378">
        <f t="shared" ca="1" si="238"/>
        <v>3</v>
      </c>
      <c r="C78" s="378" t="str">
        <f t="shared" si="1"/>
        <v>S</v>
      </c>
      <c r="D78" s="378">
        <f t="shared" ca="1" si="2"/>
        <v>7</v>
      </c>
      <c r="E78" s="378">
        <f t="shared" ca="1" si="239"/>
        <v>4</v>
      </c>
      <c r="F78" s="378" t="str">
        <f t="shared" ca="1" si="240"/>
        <v>0</v>
      </c>
      <c r="G78" s="378" t="str">
        <f t="shared" ca="1" si="241"/>
        <v>0</v>
      </c>
      <c r="H78" s="378" t="str">
        <f t="shared" ca="1" si="242"/>
        <v>0</v>
      </c>
      <c r="I78" s="378" t="str">
        <f t="shared" ca="1" si="243"/>
        <v>0</v>
      </c>
      <c r="J78" s="378">
        <f t="shared" ca="1" si="8"/>
        <v>8</v>
      </c>
      <c r="K78" s="378" t="str">
        <f t="shared" si="244"/>
        <v>NÃO</v>
      </c>
      <c r="L78" s="378" t="str">
        <f t="shared" ca="1" si="245"/>
        <v>7.4.8</v>
      </c>
      <c r="M78" s="55" t="s">
        <v>27868</v>
      </c>
      <c r="O78" s="392" t="str">
        <f t="shared" ca="1" si="246"/>
        <v>7.4.8</v>
      </c>
      <c r="P78" s="413" t="s">
        <v>29901</v>
      </c>
      <c r="Q78" s="414" t="s">
        <v>11767</v>
      </c>
      <c r="R78" s="415" t="str">
        <f>UPPER(IF(P78="CDHU",VLOOKUP(Q78,'CDHU 201-SD'!$A$1:$J$28014,2,FALSE),IF(P78="FDE",VLOOKUP(Q78,'FDE 01-26-SD'!$A$1:$J$280013,2,FALSE),IF(P78="PRÓPRIA",VLOOKUP(Q78,COMPOSIÇÃO!$1:$1048576,3,FALSE),VLOOKUP(Q78,'SINAPI 04-26-SD'!$A$1:$H$272700,2,FALSE)))))</f>
        <v>LANÇAMENTO E ADENSAMENTO DE CONCRETO OU MASSA EM FUNDAÇÃO</v>
      </c>
      <c r="S78" s="414" t="str">
        <f>UPPER(IF(P78="CDHU",VLOOKUP(Q78,'CDHU 201-SD'!$A$1:$J$28014,3,FALSE),IF(P78="FDE",VLOOKUP(Q78,'FDE 01-26-SD'!$A$1:$J$280013,3,FALSE),IF(P78="PRÓPRIA",VLOOKUP(Q78,COMPOSIÇÃO!$1:$1048576,7,FALSE),VLOOKUP(Q78,'SINAPI 04-26-SD'!$A$1:$H$272700,3,FALSE)))))</f>
        <v>M3</v>
      </c>
      <c r="T78" s="393">
        <f>T77</f>
        <v>9.1</v>
      </c>
      <c r="U78" s="394">
        <f>TRUNC(IF(P78="CDHU",VLOOKUP(Q78,'CDHU 201-SD'!$A$1:$J$28014,6,FALSE),IF(P78="FDE",VLOOKUP(Q78,'FDE 01-26-SD'!$A$1:$J$280013,6,FALSE),IF(P78="PRÓPRIA",VLOOKUP(Q78,COMPOSIÇÃO!$1:$1048576,10,FALSE),VLOOKUP(Q78,'SINAPI 04-26-SD'!$A$1:$H$272700,4,FALSE)))),2)</f>
        <v>191.53</v>
      </c>
      <c r="V78" s="416">
        <f t="shared" si="247"/>
        <v>1742.92</v>
      </c>
      <c r="W78" s="395">
        <f>IF($AA78="N",BDI!$D$26,IF($AA78="D",'BDI DIFE.'!$D$26,"ERRO"))</f>
        <v>0.22500000000000001</v>
      </c>
      <c r="X78" s="379">
        <f t="shared" si="248"/>
        <v>234.62</v>
      </c>
      <c r="Y78" s="380">
        <f t="shared" si="249"/>
        <v>2135.04</v>
      </c>
      <c r="Z78" s="381"/>
      <c r="AA78" s="378" t="s">
        <v>28044</v>
      </c>
      <c r="AB78" s="644"/>
      <c r="AC78" s="645"/>
    </row>
    <row r="79" spans="2:29" s="55" customFormat="1">
      <c r="B79" s="378">
        <f t="shared" ref="B79:B80" ca="1" si="250">IF(C79="S",IF(OFFSET(C79,-1,0)="S", OFFSET(B79,-1,0), OFFSET(B79,-1,0) +1 ), C79)</f>
        <v>3</v>
      </c>
      <c r="C79" s="378" t="str">
        <f t="shared" si="1"/>
        <v>S</v>
      </c>
      <c r="D79" s="378">
        <f t="shared" ca="1" si="2"/>
        <v>7</v>
      </c>
      <c r="E79" s="378">
        <f t="shared" ref="E79:E80" ca="1" si="251">IF($C79="2",OFFSET(E79,-1,0) +1,IF(OFFSET(D79,-1,0)&lt;&gt;D79,"0",IF(OFFSET(E79,-1,0)="","0",OFFSET(E79,-1,0))))</f>
        <v>4</v>
      </c>
      <c r="F79" s="378" t="str">
        <f t="shared" ref="F79:F80" ca="1" si="252">IF($C79="3",OFFSET(F79,-1,0) +1,IF(OFFSET(E79,-1,0)&lt;&gt;E79,"0",IF(OFFSET(F79,-1,0)="","0",OFFSET(F79,-1,0))))</f>
        <v>0</v>
      </c>
      <c r="G79" s="378" t="str">
        <f t="shared" ref="G79:G80" ca="1" si="253">IF($C79="4",OFFSET(G79,-1,0) +1,IF(OFFSET(F79,-1,0)&lt;&gt;F79,"0",IF(OFFSET(G79,-1,0)="","0",OFFSET(G79,-1,0))))</f>
        <v>0</v>
      </c>
      <c r="H79" s="378" t="str">
        <f t="shared" ref="H79:H80" ca="1" si="254">IF($C79="5",OFFSET(H79,-1,0) +1,IF(OFFSET(G79,-1,0)&lt;&gt;G79,"0",IF(OFFSET(H79,-1,0)="","0",OFFSET(H79,-1,0))))</f>
        <v>0</v>
      </c>
      <c r="I79" s="378" t="str">
        <f t="shared" ref="I79:I80" ca="1" si="255">IF($C79="6",OFFSET(I79,-1,0) +1,IF(OFFSET(H79,-1,0)&lt;&gt;H79,"0",IF(OFFSET(I79,-1,0)="","0", OFFSET(I79,-1,0))))</f>
        <v>0</v>
      </c>
      <c r="J79" s="378">
        <f t="shared" ca="1" si="8"/>
        <v>9</v>
      </c>
      <c r="K79" s="378" t="str">
        <f t="shared" ref="K79:K80" si="256">IF(C79="S","NÃO", IF(C79="1", D79, IF(C79="2", D79 &amp; "." &amp; E79,IF(C79="3", D79 &amp; "." &amp; E79 &amp; "." &amp; F79, IF(C79="4", D79 &amp; "." &amp; E79 &amp; "." &amp; F79 &amp; "." &amp; G79, IF(C79="5", D79 &amp; "." &amp; E79 &amp; "." &amp; F79 &amp; "." &amp; G79 &amp; "." &amp; H79, IF(C79="6", D79 &amp; "." &amp; E79 &amp; "." &amp; F79 &amp; "." &amp; G79 &amp; "." &amp; H79 &amp; "." &amp; I79)))))))</f>
        <v>NÃO</v>
      </c>
      <c r="L79" s="378" t="str">
        <f t="shared" ref="L79:L80" ca="1" si="257">IF(K79="NÃO",IF($B79=2,D79&amp;"."&amp;J79,IF($B79=3,D79&amp;"."&amp;E79&amp;"."&amp;J79,IF($B79=4,D79&amp;"."&amp;E79&amp;"."&amp;F79&amp;"."&amp;J79,IF($B79=5,D79&amp;"."&amp;E79&amp;"."&amp;F79&amp;"."&amp;G79&amp;"."&amp;J79,IF($B79=6,D79&amp;"."&amp;E79&amp;"."&amp;F79&amp;"."&amp;G79&amp;"."&amp;H79&amp;"."&amp;J79,IF($B79=7,D79&amp;"."&amp;E79&amp;"."&amp;F79&amp;"."&amp;G79&amp;"."&amp;H79&amp;"."&amp;I79&amp;"."&amp;J79,"FALHA")))))),K79)</f>
        <v>7.4.9</v>
      </c>
      <c r="M79" s="55" t="s">
        <v>27868</v>
      </c>
      <c r="O79" s="392" t="str">
        <f t="shared" ref="O79:O80" ca="1" si="258">L79</f>
        <v>7.4.9</v>
      </c>
      <c r="P79" s="413" t="s">
        <v>29901</v>
      </c>
      <c r="Q79" s="414" t="s">
        <v>11961</v>
      </c>
      <c r="R79" s="415" t="str">
        <f>UPPER(IF(P79="CDHU",VLOOKUP(Q79,'CDHU 201-SD'!$A$1:$J$28014,2,FALSE),IF(P79="FDE",VLOOKUP(Q79,'FDE 01-26-SD'!$A$1:$J$280013,2,FALSE),IF(P79="PRÓPRIA",VLOOKUP(Q79,COMPOSIÇÃO!$1:$1048576,3,FALSE),VLOOKUP(Q79,'SINAPI 04-26-SD'!$A$1:$H$272700,2,FALSE)))))</f>
        <v>ALVENARIA DE EMBASAMENTO EM TIJOLO MACIÇO COMUM</v>
      </c>
      <c r="S79" s="414" t="str">
        <f>UPPER(IF(P79="CDHU",VLOOKUP(Q79,'CDHU 201-SD'!$A$1:$J$28014,3,FALSE),IF(P79="FDE",VLOOKUP(Q79,'FDE 01-26-SD'!$A$1:$J$280013,3,FALSE),IF(P79="PRÓPRIA",VLOOKUP(Q79,COMPOSIÇÃO!$1:$1048576,7,FALSE),VLOOKUP(Q79,'SINAPI 04-26-SD'!$A$1:$H$272700,3,FALSE)))))</f>
        <v>M3</v>
      </c>
      <c r="T79" s="393">
        <f>124*0.2*0.3</f>
        <v>7.4399999999999995</v>
      </c>
      <c r="U79" s="394">
        <f>TRUNC(IF(P79="CDHU",VLOOKUP(Q79,'CDHU 201-SD'!$A$1:$J$28014,6,FALSE),IF(P79="FDE",VLOOKUP(Q79,'FDE 01-26-SD'!$A$1:$J$280013,6,FALSE),IF(P79="PRÓPRIA",VLOOKUP(Q79,COMPOSIÇÃO!$1:$1048576,10,FALSE),VLOOKUP(Q79,'SINAPI 04-26-SD'!$A$1:$H$272700,4,FALSE)))),2)</f>
        <v>1105.8599999999999</v>
      </c>
      <c r="V79" s="416">
        <f t="shared" ref="V79:V80" si="259">TRUNC(U79*T79,2)</f>
        <v>8227.59</v>
      </c>
      <c r="W79" s="395">
        <f>IF($AA79="N",BDI!$D$26,IF($AA79="D",'BDI DIFE.'!$D$26,"ERRO"))</f>
        <v>0.22500000000000001</v>
      </c>
      <c r="X79" s="379">
        <f t="shared" ref="X79:X80" si="260">TRUNC(U79*(1+W79),2)</f>
        <v>1354.67</v>
      </c>
      <c r="Y79" s="380">
        <f t="shared" ref="Y79:Y80" si="261">TRUNC(T79*X79,2)</f>
        <v>10078.74</v>
      </c>
      <c r="Z79" s="381"/>
      <c r="AA79" s="378" t="s">
        <v>28044</v>
      </c>
      <c r="AB79" s="644"/>
      <c r="AC79" s="645"/>
    </row>
    <row r="80" spans="2:29" s="55" customFormat="1" ht="30">
      <c r="B80" s="378">
        <f t="shared" ca="1" si="250"/>
        <v>3</v>
      </c>
      <c r="C80" s="378" t="str">
        <f t="shared" si="1"/>
        <v>S</v>
      </c>
      <c r="D80" s="378">
        <f t="shared" ca="1" si="2"/>
        <v>7</v>
      </c>
      <c r="E80" s="378">
        <f t="shared" ca="1" si="251"/>
        <v>4</v>
      </c>
      <c r="F80" s="378" t="str">
        <f t="shared" ca="1" si="252"/>
        <v>0</v>
      </c>
      <c r="G80" s="378" t="str">
        <f t="shared" ca="1" si="253"/>
        <v>0</v>
      </c>
      <c r="H80" s="378" t="str">
        <f t="shared" ca="1" si="254"/>
        <v>0</v>
      </c>
      <c r="I80" s="378" t="str">
        <f t="shared" ca="1" si="255"/>
        <v>0</v>
      </c>
      <c r="J80" s="378">
        <f t="shared" ca="1" si="8"/>
        <v>10</v>
      </c>
      <c r="K80" s="378" t="str">
        <f t="shared" si="256"/>
        <v>NÃO</v>
      </c>
      <c r="L80" s="378" t="str">
        <f t="shared" ca="1" si="257"/>
        <v>7.4.10</v>
      </c>
      <c r="M80" s="55" t="s">
        <v>27868</v>
      </c>
      <c r="O80" s="392" t="str">
        <f t="shared" ca="1" si="258"/>
        <v>7.4.10</v>
      </c>
      <c r="P80" s="413" t="s">
        <v>29901</v>
      </c>
      <c r="Q80" s="414" t="s">
        <v>13802</v>
      </c>
      <c r="R80" s="415" t="str">
        <f>UPPER(IF(P80="CDHU",VLOOKUP(Q80,'CDHU 201-SD'!$A$1:$J$28014,2,FALSE),IF(P80="FDE",VLOOKUP(Q80,'FDE 01-26-SD'!$A$1:$J$280013,2,FALSE),IF(P80="PRÓPRIA",VLOOKUP(Q80,COMPOSIÇÃO!$1:$1048576,3,FALSE),VLOOKUP(Q80,'SINAPI 04-26-SD'!$A$1:$H$272700,2,FALSE)))))</f>
        <v>IMPERMEABILIZAÇÃO EM ARGAMASSA IMPERMEÁVEL COM ADITIVO HIDRÓFUGO</v>
      </c>
      <c r="S80" s="414" t="str">
        <f>UPPER(IF(P80="CDHU",VLOOKUP(Q80,'CDHU 201-SD'!$A$1:$J$28014,3,FALSE),IF(P80="FDE",VLOOKUP(Q80,'FDE 01-26-SD'!$A$1:$J$280013,3,FALSE),IF(P80="PRÓPRIA",VLOOKUP(Q80,COMPOSIÇÃO!$1:$1048576,7,FALSE),VLOOKUP(Q80,'SINAPI 04-26-SD'!$A$1:$H$272700,3,FALSE)))))</f>
        <v>M3</v>
      </c>
      <c r="T80" s="393">
        <f>(124*(0.2+0.3+0.3)*0.03)+(16.8*1.65*0.03)</f>
        <v>3.8075999999999999</v>
      </c>
      <c r="U80" s="394">
        <f>TRUNC(IF(P80="CDHU",VLOOKUP(Q80,'CDHU 201-SD'!$A$1:$J$28014,6,FALSE),IF(P80="FDE",VLOOKUP(Q80,'FDE 01-26-SD'!$A$1:$J$280013,6,FALSE),IF(P80="PRÓPRIA",VLOOKUP(Q80,COMPOSIÇÃO!$1:$1048576,10,FALSE),VLOOKUP(Q80,'SINAPI 04-26-SD'!$A$1:$H$272700,4,FALSE)))),2)</f>
        <v>886.24</v>
      </c>
      <c r="V80" s="416">
        <f t="shared" si="259"/>
        <v>3374.44</v>
      </c>
      <c r="W80" s="395">
        <f>IF($AA80="N",BDI!$D$26,IF($AA80="D",'BDI DIFE.'!$D$26,"ERRO"))</f>
        <v>0.22500000000000001</v>
      </c>
      <c r="X80" s="379">
        <f t="shared" si="260"/>
        <v>1085.6400000000001</v>
      </c>
      <c r="Y80" s="380">
        <f t="shared" si="261"/>
        <v>4133.68</v>
      </c>
      <c r="Z80" s="381"/>
      <c r="AA80" s="378" t="s">
        <v>28044</v>
      </c>
      <c r="AB80" s="644"/>
      <c r="AC80" s="645"/>
    </row>
    <row r="81" spans="2:29" s="55" customFormat="1" ht="30">
      <c r="B81" s="378">
        <f t="shared" ca="1" si="238"/>
        <v>3</v>
      </c>
      <c r="C81" s="378" t="str">
        <f t="shared" si="1"/>
        <v>S</v>
      </c>
      <c r="D81" s="378">
        <f t="shared" ca="1" si="2"/>
        <v>7</v>
      </c>
      <c r="E81" s="378">
        <f t="shared" ca="1" si="239"/>
        <v>4</v>
      </c>
      <c r="F81" s="378" t="str">
        <f t="shared" ca="1" si="240"/>
        <v>0</v>
      </c>
      <c r="G81" s="378" t="str">
        <f t="shared" ca="1" si="241"/>
        <v>0</v>
      </c>
      <c r="H81" s="378" t="str">
        <f t="shared" ca="1" si="242"/>
        <v>0</v>
      </c>
      <c r="I81" s="378" t="str">
        <f t="shared" ca="1" si="243"/>
        <v>0</v>
      </c>
      <c r="J81" s="378">
        <f t="shared" ca="1" si="8"/>
        <v>11</v>
      </c>
      <c r="K81" s="378" t="str">
        <f t="shared" si="244"/>
        <v>NÃO</v>
      </c>
      <c r="L81" s="378" t="str">
        <f t="shared" ca="1" si="245"/>
        <v>7.4.11</v>
      </c>
      <c r="M81" s="55" t="s">
        <v>27868</v>
      </c>
      <c r="O81" s="392" t="str">
        <f t="shared" ca="1" si="246"/>
        <v>7.4.11</v>
      </c>
      <c r="P81" s="413" t="s">
        <v>29901</v>
      </c>
      <c r="Q81" s="414" t="s">
        <v>13786</v>
      </c>
      <c r="R81" s="415" t="str">
        <f>UPPER(IF(P81="CDHU",VLOOKUP(Q81,'CDHU 201-SD'!$A$1:$J$28014,2,FALSE),IF(P81="FDE",VLOOKUP(Q81,'FDE 01-26-SD'!$A$1:$J$280013,2,FALSE),IF(P81="PRÓPRIA",VLOOKUP(Q81,COMPOSIÇÃO!$1:$1048576,3,FALSE),VLOOKUP(Q81,'SINAPI 04-26-SD'!$A$1:$H$272700,2,FALSE)))))</f>
        <v>IMPERMEABILIZAÇÃO EM PINTURA DE ASFALTO OXIDADO COM SOLVENTES ORGÂNICOS, SOBRE MASSA</v>
      </c>
      <c r="S81" s="414" t="str">
        <f>UPPER(IF(P81="CDHU",VLOOKUP(Q81,'CDHU 201-SD'!$A$1:$J$28014,3,FALSE),IF(P81="FDE",VLOOKUP(Q81,'FDE 01-26-SD'!$A$1:$J$280013,3,FALSE),IF(P81="PRÓPRIA",VLOOKUP(Q81,COMPOSIÇÃO!$1:$1048576,7,FALSE),VLOOKUP(Q81,'SINAPI 04-26-SD'!$A$1:$H$272700,3,FALSE)))))</f>
        <v>M2</v>
      </c>
      <c r="T81" s="393">
        <f>124*(0.2+0.3+0.3)</f>
        <v>99.2</v>
      </c>
      <c r="U81" s="394">
        <f>TRUNC(IF(P81="CDHU",VLOOKUP(Q81,'CDHU 201-SD'!$A$1:$J$28014,6,FALSE),IF(P81="FDE",VLOOKUP(Q81,'FDE 01-26-SD'!$A$1:$J$280013,6,FALSE),IF(P81="PRÓPRIA",VLOOKUP(Q81,COMPOSIÇÃO!$1:$1048576,10,FALSE),VLOOKUP(Q81,'SINAPI 04-26-SD'!$A$1:$H$272700,4,FALSE)))),2)</f>
        <v>19.72</v>
      </c>
      <c r="V81" s="416">
        <f t="shared" si="247"/>
        <v>1956.22</v>
      </c>
      <c r="W81" s="395">
        <f>IF($AA81="N",BDI!$D$26,IF($AA81="D",'BDI DIFE.'!$D$26,"ERRO"))</f>
        <v>0.22500000000000001</v>
      </c>
      <c r="X81" s="379">
        <f t="shared" si="248"/>
        <v>24.15</v>
      </c>
      <c r="Y81" s="380">
        <f t="shared" si="249"/>
        <v>2395.6799999999998</v>
      </c>
      <c r="Z81" s="381"/>
      <c r="AA81" s="378" t="s">
        <v>28044</v>
      </c>
      <c r="AB81" s="644"/>
      <c r="AC81" s="645"/>
    </row>
    <row r="82" spans="2:29" s="55" customFormat="1" ht="30">
      <c r="B82" s="378">
        <f t="shared" ref="B82" ca="1" si="262">IF(C82="S",IF(OFFSET(C82,-1,0)="S", OFFSET(B82,-1,0), OFFSET(B82,-1,0) +1 ), C82)</f>
        <v>3</v>
      </c>
      <c r="C82" s="378" t="str">
        <f t="shared" si="1"/>
        <v>S</v>
      </c>
      <c r="D82" s="378">
        <f t="shared" ca="1" si="2"/>
        <v>7</v>
      </c>
      <c r="E82" s="378">
        <f t="shared" ref="E82" ca="1" si="263">IF($C82="2",OFFSET(E82,-1,0) +1,IF(OFFSET(D82,-1,0)&lt;&gt;D82,"0",IF(OFFSET(E82,-1,0)="","0",OFFSET(E82,-1,0))))</f>
        <v>4</v>
      </c>
      <c r="F82" s="378" t="str">
        <f t="shared" ref="F82" ca="1" si="264">IF($C82="3",OFFSET(F82,-1,0) +1,IF(OFFSET(E82,-1,0)&lt;&gt;E82,"0",IF(OFFSET(F82,-1,0)="","0",OFFSET(F82,-1,0))))</f>
        <v>0</v>
      </c>
      <c r="G82" s="378" t="str">
        <f t="shared" ref="G82" ca="1" si="265">IF($C82="4",OFFSET(G82,-1,0) +1,IF(OFFSET(F82,-1,0)&lt;&gt;F82,"0",IF(OFFSET(G82,-1,0)="","0",OFFSET(G82,-1,0))))</f>
        <v>0</v>
      </c>
      <c r="H82" s="378" t="str">
        <f t="shared" ref="H82" ca="1" si="266">IF($C82="5",OFFSET(H82,-1,0) +1,IF(OFFSET(G82,-1,0)&lt;&gt;G82,"0",IF(OFFSET(H82,-1,0)="","0",OFFSET(H82,-1,0))))</f>
        <v>0</v>
      </c>
      <c r="I82" s="378" t="str">
        <f t="shared" ref="I82" ca="1" si="267">IF($C82="6",OFFSET(I82,-1,0) +1,IF(OFFSET(H82,-1,0)&lt;&gt;H82,"0",IF(OFFSET(I82,-1,0)="","0", OFFSET(I82,-1,0))))</f>
        <v>0</v>
      </c>
      <c r="J82" s="378">
        <f t="shared" ca="1" si="8"/>
        <v>12</v>
      </c>
      <c r="K82" s="378" t="str">
        <f t="shared" ref="K82" si="268">IF(C82="S","NÃO", IF(C82="1", D82, IF(C82="2", D82 &amp; "." &amp; E82,IF(C82="3", D82 &amp; "." &amp; E82 &amp; "." &amp; F82, IF(C82="4", D82 &amp; "." &amp; E82 &amp; "." &amp; F82 &amp; "." &amp; G82, IF(C82="5", D82 &amp; "." &amp; E82 &amp; "." &amp; F82 &amp; "." &amp; G82 &amp; "." &amp; H82, IF(C82="6", D82 &amp; "." &amp; E82 &amp; "." &amp; F82 &amp; "." &amp; G82 &amp; "." &amp; H82 &amp; "." &amp; I82)))))))</f>
        <v>NÃO</v>
      </c>
      <c r="L82" s="378" t="str">
        <f t="shared" ref="L82" ca="1" si="269">IF(K82="NÃO",IF($B82=2,D82&amp;"."&amp;J82,IF($B82=3,D82&amp;"."&amp;E82&amp;"."&amp;J82,IF($B82=4,D82&amp;"."&amp;E82&amp;"."&amp;F82&amp;"."&amp;J82,IF($B82=5,D82&amp;"."&amp;E82&amp;"."&amp;F82&amp;"."&amp;G82&amp;"."&amp;J82,IF($B82=6,D82&amp;"."&amp;E82&amp;"."&amp;F82&amp;"."&amp;G82&amp;"."&amp;H82&amp;"."&amp;J82,IF($B82=7,D82&amp;"."&amp;E82&amp;"."&amp;F82&amp;"."&amp;G82&amp;"."&amp;H82&amp;"."&amp;I82&amp;"."&amp;J82,"FALHA")))))),K82)</f>
        <v>7.4.12</v>
      </c>
      <c r="M82" s="55" t="s">
        <v>27868</v>
      </c>
      <c r="O82" s="392" t="str">
        <f t="shared" ref="O82" ca="1" si="270">L82</f>
        <v>7.4.12</v>
      </c>
      <c r="P82" s="413" t="s">
        <v>29901</v>
      </c>
      <c r="Q82" s="414" t="s">
        <v>13794</v>
      </c>
      <c r="R82" s="415" t="str">
        <f>UPPER(IF(P82="CDHU",VLOOKUP(Q82,'CDHU 201-SD'!$A$1:$J$28014,2,FALSE),IF(P82="FDE",VLOOKUP(Q82,'FDE 01-26-SD'!$A$1:$J$280013,2,FALSE),IF(P82="PRÓPRIA",VLOOKUP(Q82,COMPOSIÇÃO!$1:$1048576,3,FALSE),VLOOKUP(Q82,'SINAPI 04-26-SD'!$A$1:$H$272700,2,FALSE)))))</f>
        <v>IMPERMEABILIZAÇÃO EM MEMBRANA À BASE DE POLÍMEROS ACRÍLICOS, NA COR BRANCA</v>
      </c>
      <c r="S82" s="414" t="str">
        <f>UPPER(IF(P82="CDHU",VLOOKUP(Q82,'CDHU 201-SD'!$A$1:$J$28014,3,FALSE),IF(P82="FDE",VLOOKUP(Q82,'FDE 01-26-SD'!$A$1:$J$280013,3,FALSE),IF(P82="PRÓPRIA",VLOOKUP(Q82,COMPOSIÇÃO!$1:$1048576,7,FALSE),VLOOKUP(Q82,'SINAPI 04-26-SD'!$A$1:$H$272700,3,FALSE)))))</f>
        <v>M2</v>
      </c>
      <c r="T82" s="393">
        <f>17.32*0.6</f>
        <v>10.391999999999999</v>
      </c>
      <c r="U82" s="394">
        <f>TRUNC(IF(P82="CDHU",VLOOKUP(Q82,'CDHU 201-SD'!$A$1:$J$28014,6,FALSE),IF(P82="FDE",VLOOKUP(Q82,'FDE 01-26-SD'!$A$1:$J$280013,6,FALSE),IF(P82="PRÓPRIA",VLOOKUP(Q82,COMPOSIÇÃO!$1:$1048576,10,FALSE),VLOOKUP(Q82,'SINAPI 04-26-SD'!$A$1:$H$272700,4,FALSE)))),2)</f>
        <v>52.31</v>
      </c>
      <c r="V82" s="416">
        <f t="shared" ref="V82" si="271">TRUNC(U82*T82,2)</f>
        <v>543.6</v>
      </c>
      <c r="W82" s="395">
        <f>IF($AA82="N",BDI!$D$26,IF($AA82="D",'BDI DIFE.'!$D$26,"ERRO"))</f>
        <v>0.22500000000000001</v>
      </c>
      <c r="X82" s="379">
        <f t="shared" ref="X82" si="272">TRUNC(U82*(1+W82),2)</f>
        <v>64.069999999999993</v>
      </c>
      <c r="Y82" s="380">
        <f t="shared" ref="Y82" si="273">TRUNC(T82*X82,2)</f>
        <v>665.81</v>
      </c>
      <c r="Z82" s="381"/>
      <c r="AA82" s="378" t="s">
        <v>28044</v>
      </c>
      <c r="AB82" s="644"/>
      <c r="AC82" s="645"/>
    </row>
    <row r="83" spans="2:29" s="55" customFormat="1" ht="30">
      <c r="B83" s="378">
        <f t="shared" ca="1" si="238"/>
        <v>3</v>
      </c>
      <c r="C83" s="378" t="str">
        <f t="shared" si="1"/>
        <v>S</v>
      </c>
      <c r="D83" s="378">
        <f t="shared" ca="1" si="2"/>
        <v>7</v>
      </c>
      <c r="E83" s="378">
        <f t="shared" ca="1" si="239"/>
        <v>4</v>
      </c>
      <c r="F83" s="378" t="str">
        <f t="shared" ca="1" si="240"/>
        <v>0</v>
      </c>
      <c r="G83" s="378" t="str">
        <f t="shared" ca="1" si="241"/>
        <v>0</v>
      </c>
      <c r="H83" s="378" t="str">
        <f t="shared" ca="1" si="242"/>
        <v>0</v>
      </c>
      <c r="I83" s="378" t="str">
        <f t="shared" ca="1" si="243"/>
        <v>0</v>
      </c>
      <c r="J83" s="378">
        <f t="shared" ca="1" si="8"/>
        <v>13</v>
      </c>
      <c r="K83" s="378" t="str">
        <f t="shared" si="244"/>
        <v>NÃO</v>
      </c>
      <c r="L83" s="378" t="str">
        <f t="shared" ca="1" si="245"/>
        <v>7.4.13</v>
      </c>
      <c r="M83" s="55" t="s">
        <v>27868</v>
      </c>
      <c r="O83" s="392" t="str">
        <f t="shared" ca="1" si="246"/>
        <v>7.4.13</v>
      </c>
      <c r="P83" s="413" t="s">
        <v>29901</v>
      </c>
      <c r="Q83" s="414" t="s">
        <v>11543</v>
      </c>
      <c r="R83" s="415" t="str">
        <f>UPPER(IF(P83="CDHU",VLOOKUP(Q83,'CDHU 201-SD'!$A$1:$J$28014,2,FALSE),IF(P83="FDE",VLOOKUP(Q83,'FDE 01-26-SD'!$A$1:$J$280013,2,FALSE),IF(P83="PRÓPRIA",VLOOKUP(Q83,COMPOSIÇÃO!$1:$1048576,3,FALSE),VLOOKUP(Q83,'SINAPI 04-26-SD'!$A$1:$H$272700,2,FALSE)))))</f>
        <v>REATERRO COMPACTADO MECANIZADO DE VALA OU CAVA COM COMPACTADOR</v>
      </c>
      <c r="S83" s="414" t="str">
        <f>UPPER(IF(P83="CDHU",VLOOKUP(Q83,'CDHU 201-SD'!$A$1:$J$28014,3,FALSE),IF(P83="FDE",VLOOKUP(Q83,'FDE 01-26-SD'!$A$1:$J$280013,3,FALSE),IF(P83="PRÓPRIA",VLOOKUP(Q83,COMPOSIÇÃO!$1:$1048576,7,FALSE),VLOOKUP(Q83,'SINAPI 04-26-SD'!$A$1:$H$272700,3,FALSE)))))</f>
        <v>M3</v>
      </c>
      <c r="T83" s="393">
        <f>T71-T72-T76</f>
        <v>15.699999999999998</v>
      </c>
      <c r="U83" s="394">
        <f>TRUNC(IF(P83="CDHU",VLOOKUP(Q83,'CDHU 201-SD'!$A$1:$J$28014,6,FALSE),IF(P83="FDE",VLOOKUP(Q83,'FDE 01-26-SD'!$A$1:$J$280013,6,FALSE),IF(P83="PRÓPRIA",VLOOKUP(Q83,COMPOSIÇÃO!$1:$1048576,10,FALSE),VLOOKUP(Q83,'SINAPI 04-26-SD'!$A$1:$H$272700,4,FALSE)))),2)</f>
        <v>7.7</v>
      </c>
      <c r="V83" s="416">
        <f t="shared" si="247"/>
        <v>120.89</v>
      </c>
      <c r="W83" s="395">
        <f>IF($AA83="N",BDI!$D$26,IF($AA83="D",'BDI DIFE.'!$D$26,"ERRO"))</f>
        <v>0.22500000000000001</v>
      </c>
      <c r="X83" s="379">
        <f t="shared" si="248"/>
        <v>9.43</v>
      </c>
      <c r="Y83" s="380">
        <f t="shared" si="249"/>
        <v>148.05000000000001</v>
      </c>
      <c r="Z83" s="381"/>
      <c r="AA83" s="378" t="s">
        <v>28044</v>
      </c>
      <c r="AB83" s="644"/>
      <c r="AC83" s="645"/>
    </row>
    <row r="84" spans="2:29" s="55" customFormat="1" ht="31" thickBot="1">
      <c r="B84" s="378">
        <f t="shared" ca="1" si="238"/>
        <v>3</v>
      </c>
      <c r="C84" s="378" t="str">
        <f t="shared" si="1"/>
        <v>S</v>
      </c>
      <c r="D84" s="378">
        <f t="shared" ca="1" si="2"/>
        <v>7</v>
      </c>
      <c r="E84" s="378">
        <f t="shared" ca="1" si="239"/>
        <v>4</v>
      </c>
      <c r="F84" s="378" t="str">
        <f t="shared" ca="1" si="240"/>
        <v>0</v>
      </c>
      <c r="G84" s="378" t="str">
        <f t="shared" ca="1" si="241"/>
        <v>0</v>
      </c>
      <c r="H84" s="378" t="str">
        <f t="shared" ca="1" si="242"/>
        <v>0</v>
      </c>
      <c r="I84" s="378" t="str">
        <f t="shared" ca="1" si="243"/>
        <v>0</v>
      </c>
      <c r="J84" s="378">
        <f t="shared" ca="1" si="8"/>
        <v>14</v>
      </c>
      <c r="K84" s="378" t="str">
        <f t="shared" si="244"/>
        <v>NÃO</v>
      </c>
      <c r="L84" s="378" t="str">
        <f t="shared" ca="1" si="245"/>
        <v>7.4.14</v>
      </c>
      <c r="M84" s="55" t="s">
        <v>27868</v>
      </c>
      <c r="O84" s="392" t="str">
        <f t="shared" ca="1" si="246"/>
        <v>7.4.14</v>
      </c>
      <c r="P84" s="413" t="s">
        <v>29901</v>
      </c>
      <c r="Q84" s="414" t="s">
        <v>11453</v>
      </c>
      <c r="R84" s="415" t="str">
        <f>UPPER(IF(P84="CDHU",VLOOKUP(Q84,'CDHU 201-SD'!$A$1:$J$28014,2,FALSE),IF(P84="FDE",VLOOKUP(Q84,'FDE 01-26-SD'!$A$1:$J$280013,2,FALSE),IF(P84="PRÓPRIA",VLOOKUP(Q84,COMPOSIÇÃO!$1:$1048576,3,FALSE),VLOOKUP(Q84,'SINAPI 04-26-SD'!$A$1:$H$272700,2,FALSE)))))</f>
        <v>TRANSPORTE DE SOLO DE 1ª E 2ª CATEGORIA POR CAMINHÃO PARA DISTÂNCIAS SUPERIORES AO 5° KM ATÉ O 10° KM</v>
      </c>
      <c r="S84" s="414" t="str">
        <f>UPPER(IF(P84="CDHU",VLOOKUP(Q84,'CDHU 201-SD'!$A$1:$J$28014,3,FALSE),IF(P84="FDE",VLOOKUP(Q84,'FDE 01-26-SD'!$A$1:$J$280013,3,FALSE),IF(P84="PRÓPRIA",VLOOKUP(Q84,COMPOSIÇÃO!$1:$1048576,7,FALSE),VLOOKUP(Q84,'SINAPI 04-26-SD'!$A$1:$H$272700,3,FALSE)))))</f>
        <v>M3</v>
      </c>
      <c r="T84" s="393">
        <f>T71-T83</f>
        <v>10.339999999999998</v>
      </c>
      <c r="U84" s="394">
        <f>TRUNC(IF(P84="CDHU",VLOOKUP(Q84,'CDHU 201-SD'!$A$1:$J$28014,6,FALSE),IF(P84="FDE",VLOOKUP(Q84,'FDE 01-26-SD'!$A$1:$J$280013,6,FALSE),IF(P84="PRÓPRIA",VLOOKUP(Q84,COMPOSIÇÃO!$1:$1048576,10,FALSE),VLOOKUP(Q84,'SINAPI 04-26-SD'!$A$1:$H$272700,4,FALSE)))),2)</f>
        <v>19.21</v>
      </c>
      <c r="V84" s="416">
        <f t="shared" si="247"/>
        <v>198.63</v>
      </c>
      <c r="W84" s="395">
        <f>IF($AA84="N",BDI!$D$26,IF($AA84="D",'BDI DIFE.'!$D$26,"ERRO"))</f>
        <v>0.22500000000000001</v>
      </c>
      <c r="X84" s="379">
        <f t="shared" si="248"/>
        <v>23.53</v>
      </c>
      <c r="Y84" s="380">
        <f t="shared" si="249"/>
        <v>243.3</v>
      </c>
      <c r="Z84" s="381"/>
      <c r="AA84" s="378" t="s">
        <v>28044</v>
      </c>
      <c r="AB84" s="644"/>
      <c r="AC84" s="645"/>
    </row>
    <row r="85" spans="2:29" s="55" customFormat="1" ht="16" thickBot="1">
      <c r="B85" s="378" t="str">
        <f t="shared" ca="1" si="214"/>
        <v/>
      </c>
      <c r="C85" s="378" t="str">
        <f>IF(RIGHT($M85) = "o", "S", RIGHT($M85))</f>
        <v/>
      </c>
      <c r="D85" s="378">
        <f t="shared" ca="1" si="2"/>
        <v>7</v>
      </c>
      <c r="E85" s="378">
        <f t="shared" ca="1" si="215"/>
        <v>4</v>
      </c>
      <c r="F85" s="378" t="str">
        <f t="shared" ca="1" si="216"/>
        <v>0</v>
      </c>
      <c r="G85" s="378" t="str">
        <f t="shared" ca="1" si="217"/>
        <v>0</v>
      </c>
      <c r="H85" s="378" t="str">
        <f t="shared" ca="1" si="218"/>
        <v>0</v>
      </c>
      <c r="I85" s="378" t="str">
        <f t="shared" ca="1" si="219"/>
        <v>0</v>
      </c>
      <c r="J85" s="378" t="str">
        <f t="shared" ca="1" si="8"/>
        <v>0</v>
      </c>
      <c r="K85" s="378" t="b">
        <f t="shared" si="220"/>
        <v>0</v>
      </c>
      <c r="L85" s="378" t="b">
        <f t="shared" si="221"/>
        <v>0</v>
      </c>
      <c r="O85" s="192"/>
      <c r="P85" s="387"/>
      <c r="Q85" s="387"/>
      <c r="R85" s="377"/>
      <c r="S85" s="387"/>
      <c r="T85" s="363"/>
      <c r="U85" s="388"/>
      <c r="V85" s="389"/>
      <c r="W85" s="389"/>
      <c r="X85" s="389"/>
      <c r="Y85" s="390"/>
      <c r="AA85" s="378"/>
      <c r="AB85" s="642"/>
    </row>
    <row r="86" spans="2:29" s="75" customFormat="1" ht="16" thickBot="1">
      <c r="B86" s="75" t="str">
        <f t="shared" ref="B86:B106" ca="1" si="274">IF(C86="S",IF(OFFSET(C86,-1,0)="S", OFFSET(B86,-1,0), OFFSET(B86,-1,0) +1 ), C86)</f>
        <v>2</v>
      </c>
      <c r="C86" s="75" t="str">
        <f t="shared" si="1"/>
        <v>2</v>
      </c>
      <c r="D86" s="75">
        <f t="shared" ca="1" si="2"/>
        <v>7</v>
      </c>
      <c r="E86" s="75">
        <f t="shared" ref="E86:E106" ca="1" si="275">IF($C86="2",OFFSET(E86,-1,0) +1,IF(OFFSET(D86,-1,0)&lt;&gt;D86,"0",IF(OFFSET(E86,-1,0)="","0",OFFSET(E86,-1,0))))</f>
        <v>5</v>
      </c>
      <c r="F86" s="75" t="str">
        <f t="shared" ref="F86:F106" ca="1" si="276">IF($C86="3",OFFSET(F86,-1,0) +1,IF(OFFSET(E86,-1,0)&lt;&gt;E86,"0",IF(OFFSET(F86,-1,0)="","0",OFFSET(F86,-1,0))))</f>
        <v>0</v>
      </c>
      <c r="G86" s="75" t="str">
        <f t="shared" ref="G86:G106" ca="1" si="277">IF($C86="4",OFFSET(G86,-1,0) +1,IF(OFFSET(F86,-1,0)&lt;&gt;F86,"0",IF(OFFSET(G86,-1,0)="","0",OFFSET(G86,-1,0))))</f>
        <v>0</v>
      </c>
      <c r="H86" s="75" t="str">
        <f t="shared" ref="H86:H106" ca="1" si="278">IF($C86="5",OFFSET(H86,-1,0) +1,IF(OFFSET(G86,-1,0)&lt;&gt;G86,"0",IF(OFFSET(H86,-1,0)="","0",OFFSET(H86,-1,0))))</f>
        <v>0</v>
      </c>
      <c r="I86" s="75" t="str">
        <f t="shared" ref="I86:I106" ca="1" si="279">IF($C86="6",OFFSET(I86,-1,0) +1,IF(OFFSET(H86,-1,0)&lt;&gt;H86,"0",IF(OFFSET(I86,-1,0)="","0", OFFSET(I86,-1,0))))</f>
        <v>0</v>
      </c>
      <c r="J86" s="75" t="str">
        <f t="shared" ca="1" si="8"/>
        <v>0</v>
      </c>
      <c r="K86" s="75" t="str">
        <f t="shared" ref="K86:K106" ca="1" si="280">IF(C86="S","NÃO", IF(C86="1", D86, IF(C86="2", D86 &amp; "." &amp; E86,IF(C86="3", D86 &amp; "." &amp; E86 &amp; "." &amp; F86, IF(C86="4", D86 &amp; "." &amp; E86 &amp; "." &amp; F86 &amp; "." &amp; G86, IF(C86="5", D86 &amp; "." &amp; E86 &amp; "." &amp; F86 &amp; "." &amp; G86 &amp; "." &amp; H86, IF(C86="6", D86 &amp; "." &amp; E86 &amp; "." &amp; F86 &amp; "." &amp; G86 &amp; "." &amp; H86 &amp; "." &amp; I86)))))))</f>
        <v>7.5</v>
      </c>
      <c r="L86" s="75" t="str">
        <f t="shared" ref="L86:L106" ca="1" si="281">IF(K86="NÃO",IF($B86=2,D86&amp;"."&amp;J86,IF($B86=3,D86&amp;"."&amp;E86&amp;"."&amp;J86,IF($B86=4,D86&amp;"."&amp;E86&amp;"."&amp;F86&amp;"."&amp;J86,IF($B86=5,D86&amp;"."&amp;E86&amp;"."&amp;F86&amp;"."&amp;G86&amp;"."&amp;J86,IF($B86=6,D86&amp;"."&amp;E86&amp;"."&amp;F86&amp;"."&amp;G86&amp;"."&amp;H86&amp;"."&amp;J86,IF($B86=7,D86&amp;"."&amp;E86&amp;"."&amp;F86&amp;"."&amp;G86&amp;"."&amp;H86&amp;"."&amp;I86&amp;"."&amp;J86,"FALHA")))))),K86)</f>
        <v>7.5</v>
      </c>
      <c r="M86" s="55" t="s">
        <v>27861</v>
      </c>
      <c r="O86" s="191" t="str">
        <f t="shared" ref="O86:O98" ca="1" si="282">L86</f>
        <v>7.5</v>
      </c>
      <c r="P86" s="172"/>
      <c r="Q86" s="172"/>
      <c r="R86" s="621" t="s">
        <v>44491</v>
      </c>
      <c r="S86" s="172"/>
      <c r="T86" s="194"/>
      <c r="U86" s="195"/>
      <c r="V86" s="196">
        <f ca="1">IF(VALUE(C86)=1,SUMIFS(V:V,D:D,D86,M:M,"Serviço"),IF(VALUE(C86)=2,SUMIFS(V:V,D:D,D86,E:E,E86,M:M,"Serviço"),IF(VALUE(C86)=3,SUMIFS(V:V,D:D,D86,E:E,E86,F:F,F86,M:M,"Serviço"),IF(VALUE(C86)=4,SUMIFS(V:V,D:D,D86,E:E,E86,F:F,F86,G:G,G86,M:M,"Serviço"),"ERRO"))))</f>
        <v>2282.23</v>
      </c>
      <c r="W86" s="197"/>
      <c r="X86" s="205"/>
      <c r="Y86" s="173">
        <f ca="1">IF(VALUE(C86)=1,SUMIFS(Y:Y,D:D,D86,M:M,"Serviço"),IF(VALUE(C86)=2,SUMIFS(Y:Y,D:D,D86,E:E,E86,M:M,"Serviço"),IF(VALUE(C86)=3,SUMIFS(Y:Y,D:D,D86,E:E,E86,F:F,F86,M:M,"Serviço"),IF(VALUE(C86)=4,SUMIFS(Y:Y,D:D,D86,E:E,E86,F:F,F86,G:G,G86,M:M,"Serviço"),"ERRO"))))</f>
        <v>2795.15</v>
      </c>
      <c r="AB86" s="641"/>
    </row>
    <row r="87" spans="2:29" s="55" customFormat="1" ht="30">
      <c r="B87" s="378">
        <f t="shared" ca="1" si="274"/>
        <v>3</v>
      </c>
      <c r="C87" s="378" t="str">
        <f t="shared" si="1"/>
        <v>S</v>
      </c>
      <c r="D87" s="378">
        <f t="shared" ca="1" si="2"/>
        <v>7</v>
      </c>
      <c r="E87" s="378">
        <f t="shared" ca="1" si="275"/>
        <v>5</v>
      </c>
      <c r="F87" s="378" t="str">
        <f t="shared" ca="1" si="276"/>
        <v>0</v>
      </c>
      <c r="G87" s="378" t="str">
        <f t="shared" ca="1" si="277"/>
        <v>0</v>
      </c>
      <c r="H87" s="378" t="str">
        <f t="shared" ca="1" si="278"/>
        <v>0</v>
      </c>
      <c r="I87" s="378" t="str">
        <f t="shared" ca="1" si="279"/>
        <v>0</v>
      </c>
      <c r="J87" s="378">
        <f t="shared" ca="1" si="8"/>
        <v>1</v>
      </c>
      <c r="K87" s="378" t="str">
        <f t="shared" si="280"/>
        <v>NÃO</v>
      </c>
      <c r="L87" s="378" t="str">
        <f t="shared" ca="1" si="281"/>
        <v>7.5.1</v>
      </c>
      <c r="M87" s="55" t="s">
        <v>27868</v>
      </c>
      <c r="O87" s="392" t="str">
        <f t="shared" ca="1" si="282"/>
        <v>7.5.1</v>
      </c>
      <c r="P87" s="413" t="s">
        <v>29901</v>
      </c>
      <c r="Q87" s="414" t="s">
        <v>11519</v>
      </c>
      <c r="R87" s="415" t="str">
        <f>UPPER(IF(P87="CDHU",VLOOKUP(Q87,'CDHU 201-SD'!$A$1:$J$28014,2,FALSE),IF(P87="FDE",VLOOKUP(Q87,'FDE 01-26-SD'!$A$1:$J$280013,2,FALSE),IF(P87="PRÓPRIA",VLOOKUP(Q87,COMPOSIÇÃO!$1:$1048576,3,FALSE),VLOOKUP(Q87,'SINAPI 04-26-SD'!$A$1:$H$272700,2,FALSE)))))</f>
        <v>ESCAVAÇÃO MECANIZADA DE VALAS OU CAVAS COM PROFUNDIDADE DE ATÉ 2 M</v>
      </c>
      <c r="S87" s="414" t="str">
        <f>UPPER(IF(P87="CDHU",VLOOKUP(Q87,'CDHU 201-SD'!$A$1:$J$28014,3,FALSE),IF(P87="FDE",VLOOKUP(Q87,'FDE 01-26-SD'!$A$1:$J$280013,3,FALSE),IF(P87="PRÓPRIA",VLOOKUP(Q87,COMPOSIÇÃO!$1:$1048576,7,FALSE),VLOOKUP(Q87,'SINAPI 04-26-SD'!$A$1:$H$272700,3,FALSE)))))</f>
        <v>M3</v>
      </c>
      <c r="T87" s="393">
        <f>(2.34+2)*(2.14+2)*(1.65+0.2)</f>
        <v>33.24006</v>
      </c>
      <c r="U87" s="394">
        <f>TRUNC(IF(P87="CDHU",VLOOKUP(Q87,'CDHU 201-SD'!$A$1:$J$28014,6,FALSE),IF(P87="FDE",VLOOKUP(Q87,'FDE 01-26-SD'!$A$1:$J$280013,6,FALSE),IF(P87="PRÓPRIA",VLOOKUP(Q87,COMPOSIÇÃO!$1:$1048576,10,FALSE),VLOOKUP(Q87,'SINAPI 04-26-SD'!$A$1:$H$272700,4,FALSE)))),2)</f>
        <v>11.64</v>
      </c>
      <c r="V87" s="416">
        <f t="shared" ref="V87:V98" si="283">TRUNC(U87*T87,2)</f>
        <v>386.91</v>
      </c>
      <c r="W87" s="395">
        <f>IF($AA87="N",BDI!$D$26,IF($AA87="D",'BDI DIFE.'!$D$26,"ERRO"))</f>
        <v>0.22500000000000001</v>
      </c>
      <c r="X87" s="379">
        <f t="shared" ref="X87:X98" si="284">TRUNC(U87*(1+W87),2)</f>
        <v>14.25</v>
      </c>
      <c r="Y87" s="380">
        <f t="shared" ref="Y87:Y98" si="285">TRUNC(T87*X87,2)</f>
        <v>473.67</v>
      </c>
      <c r="Z87" s="381"/>
      <c r="AA87" s="378" t="s">
        <v>28044</v>
      </c>
      <c r="AB87" s="642"/>
    </row>
    <row r="88" spans="2:29" s="55" customFormat="1">
      <c r="B88" s="378">
        <f t="shared" ca="1" si="274"/>
        <v>3</v>
      </c>
      <c r="C88" s="378" t="str">
        <f t="shared" si="1"/>
        <v>S</v>
      </c>
      <c r="D88" s="378">
        <f t="shared" ca="1" si="2"/>
        <v>7</v>
      </c>
      <c r="E88" s="378">
        <f t="shared" ca="1" si="275"/>
        <v>5</v>
      </c>
      <c r="F88" s="378" t="str">
        <f t="shared" ca="1" si="276"/>
        <v>0</v>
      </c>
      <c r="G88" s="378" t="str">
        <f t="shared" ca="1" si="277"/>
        <v>0</v>
      </c>
      <c r="H88" s="378" t="str">
        <f t="shared" ca="1" si="278"/>
        <v>0</v>
      </c>
      <c r="I88" s="378" t="str">
        <f t="shared" ca="1" si="279"/>
        <v>0</v>
      </c>
      <c r="J88" s="378">
        <f t="shared" ca="1" si="8"/>
        <v>2</v>
      </c>
      <c r="K88" s="378" t="str">
        <f t="shared" si="280"/>
        <v>NÃO</v>
      </c>
      <c r="L88" s="378" t="str">
        <f t="shared" ca="1" si="281"/>
        <v>7.5.2</v>
      </c>
      <c r="M88" s="55" t="s">
        <v>27868</v>
      </c>
      <c r="O88" s="392" t="str">
        <f t="shared" ca="1" si="282"/>
        <v>7.5.2</v>
      </c>
      <c r="P88" s="413" t="s">
        <v>29901</v>
      </c>
      <c r="Q88" s="414" t="s">
        <v>11779</v>
      </c>
      <c r="R88" s="415" t="str">
        <f>UPPER(IF(P88="CDHU",VLOOKUP(Q88,'CDHU 201-SD'!$A$1:$J$28014,2,FALSE),IF(P88="FDE",VLOOKUP(Q88,'FDE 01-26-SD'!$A$1:$J$280013,2,FALSE),IF(P88="PRÓPRIA",VLOOKUP(Q88,COMPOSIÇÃO!$1:$1048576,3,FALSE),VLOOKUP(Q88,'SINAPI 04-26-SD'!$A$1:$H$272700,2,FALSE)))))</f>
        <v>LASTRO DE PEDRA BRITADA</v>
      </c>
      <c r="S88" s="414" t="str">
        <f>UPPER(IF(P88="CDHU",VLOOKUP(Q88,'CDHU 201-SD'!$A$1:$J$28014,3,FALSE),IF(P88="FDE",VLOOKUP(Q88,'FDE 01-26-SD'!$A$1:$J$280013,3,FALSE),IF(P88="PRÓPRIA",VLOOKUP(Q88,COMPOSIÇÃO!$1:$1048576,7,FALSE),VLOOKUP(Q88,'SINAPI 04-26-SD'!$A$1:$H$272700,3,FALSE)))))</f>
        <v>M3</v>
      </c>
      <c r="T88" s="393">
        <v>0.77</v>
      </c>
      <c r="U88" s="394">
        <f>TRUNC(IF(P88="CDHU",VLOOKUP(Q88,'CDHU 201-SD'!$A$1:$J$28014,6,FALSE),IF(P88="FDE",VLOOKUP(Q88,'FDE 01-26-SD'!$A$1:$J$280013,6,FALSE),IF(P88="PRÓPRIA",VLOOKUP(Q88,COMPOSIÇÃO!$1:$1048576,10,FALSE),VLOOKUP(Q88,'SINAPI 04-26-SD'!$A$1:$H$272700,4,FALSE)))),2)</f>
        <v>221.55</v>
      </c>
      <c r="V88" s="416">
        <f t="shared" si="283"/>
        <v>170.59</v>
      </c>
      <c r="W88" s="395">
        <f>IF($AA88="N",BDI!$D$26,IF($AA88="D",'BDI DIFE.'!$D$26,"ERRO"))</f>
        <v>0.22500000000000001</v>
      </c>
      <c r="X88" s="379">
        <f t="shared" si="284"/>
        <v>271.39</v>
      </c>
      <c r="Y88" s="380">
        <f t="shared" si="285"/>
        <v>208.97</v>
      </c>
      <c r="Z88" s="381"/>
      <c r="AA88" s="378" t="s">
        <v>28044</v>
      </c>
      <c r="AB88" s="644"/>
      <c r="AC88" s="645"/>
    </row>
    <row r="89" spans="2:29" s="55" customFormat="1">
      <c r="B89" s="378">
        <f t="shared" ref="B89:B90" ca="1" si="286">IF(C89="S",IF(OFFSET(C89,-1,0)="S", OFFSET(B89,-1,0), OFFSET(B89,-1,0) +1 ), C89)</f>
        <v>3</v>
      </c>
      <c r="C89" s="378" t="str">
        <f t="shared" si="1"/>
        <v>S</v>
      </c>
      <c r="D89" s="378">
        <f t="shared" ca="1" si="2"/>
        <v>7</v>
      </c>
      <c r="E89" s="378">
        <f t="shared" ref="E89:E90" ca="1" si="287">IF($C89="2",OFFSET(E89,-1,0) +1,IF(OFFSET(D89,-1,0)&lt;&gt;D89,"0",IF(OFFSET(E89,-1,0)="","0",OFFSET(E89,-1,0))))</f>
        <v>5</v>
      </c>
      <c r="F89" s="378" t="str">
        <f t="shared" ref="F89:F90" ca="1" si="288">IF($C89="3",OFFSET(F89,-1,0) +1,IF(OFFSET(E89,-1,0)&lt;&gt;E89,"0",IF(OFFSET(F89,-1,0)="","0",OFFSET(F89,-1,0))))</f>
        <v>0</v>
      </c>
      <c r="G89" s="378" t="str">
        <f t="shared" ref="G89:G90" ca="1" si="289">IF($C89="4",OFFSET(G89,-1,0) +1,IF(OFFSET(F89,-1,0)&lt;&gt;F89,"0",IF(OFFSET(G89,-1,0)="","0",OFFSET(G89,-1,0))))</f>
        <v>0</v>
      </c>
      <c r="H89" s="378" t="str">
        <f t="shared" ref="H89:H90" ca="1" si="290">IF($C89="5",OFFSET(H89,-1,0) +1,IF(OFFSET(G89,-1,0)&lt;&gt;G89,"0",IF(OFFSET(H89,-1,0)="","0",OFFSET(H89,-1,0))))</f>
        <v>0</v>
      </c>
      <c r="I89" s="378" t="str">
        <f t="shared" ref="I89:I90" ca="1" si="291">IF($C89="6",OFFSET(I89,-1,0) +1,IF(OFFSET(H89,-1,0)&lt;&gt;H89,"0",IF(OFFSET(I89,-1,0)="","0", OFFSET(I89,-1,0))))</f>
        <v>0</v>
      </c>
      <c r="J89" s="378">
        <f t="shared" ca="1" si="8"/>
        <v>3</v>
      </c>
      <c r="K89" s="378" t="str">
        <f t="shared" ref="K89:K90" si="292">IF(C89="S","NÃO", IF(C89="1", D89, IF(C89="2", D89 &amp; "." &amp; E89,IF(C89="3", D89 &amp; "." &amp; E89 &amp; "." &amp; F89, IF(C89="4", D89 &amp; "." &amp; E89 &amp; "." &amp; F89 &amp; "." &amp; G89, IF(C89="5", D89 &amp; "." &amp; E89 &amp; "." &amp; F89 &amp; "." &amp; G89 &amp; "." &amp; H89, IF(C89="6", D89 &amp; "." &amp; E89 &amp; "." &amp; F89 &amp; "." &amp; G89 &amp; "." &amp; H89 &amp; "." &amp; I89)))))))</f>
        <v>NÃO</v>
      </c>
      <c r="L89" s="378" t="str">
        <f t="shared" ref="L89:L90" ca="1" si="293">IF(K89="NÃO",IF($B89=2,D89&amp;"."&amp;J89,IF($B89=3,D89&amp;"."&amp;E89&amp;"."&amp;J89,IF($B89=4,D89&amp;"."&amp;E89&amp;"."&amp;F89&amp;"."&amp;J89,IF($B89=5,D89&amp;"."&amp;E89&amp;"."&amp;F89&amp;"."&amp;G89&amp;"."&amp;J89,IF($B89=6,D89&amp;"."&amp;E89&amp;"."&amp;F89&amp;"."&amp;G89&amp;"."&amp;H89&amp;"."&amp;J89,IF($B89=7,D89&amp;"."&amp;E89&amp;"."&amp;F89&amp;"."&amp;G89&amp;"."&amp;H89&amp;"."&amp;I89&amp;"."&amp;J89,"FALHA")))))),K89)</f>
        <v>7.5.3</v>
      </c>
      <c r="M89" s="55" t="s">
        <v>27868</v>
      </c>
      <c r="O89" s="392" t="str">
        <f t="shared" ref="O89:O90" ca="1" si="294">L89</f>
        <v>7.5.3</v>
      </c>
      <c r="P89" s="413" t="s">
        <v>29901</v>
      </c>
      <c r="Q89" s="414" t="s">
        <v>11781</v>
      </c>
      <c r="R89" s="415" t="str">
        <f>UPPER(IF(P89="CDHU",VLOOKUP(Q89,'CDHU 201-SD'!$A$1:$J$28014,2,FALSE),IF(P89="FDE",VLOOKUP(Q89,'FDE 01-26-SD'!$A$1:$J$280013,2,FALSE),IF(P89="PRÓPRIA",VLOOKUP(Q89,COMPOSIÇÃO!$1:$1048576,3,FALSE),VLOOKUP(Q89,'SINAPI 04-26-SD'!$A$1:$H$272700,2,FALSE)))))</f>
        <v>LONA PLÁSTICA - 150 MICRON</v>
      </c>
      <c r="S89" s="414" t="str">
        <f>UPPER(IF(P89="CDHU",VLOOKUP(Q89,'CDHU 201-SD'!$A$1:$J$28014,3,FALSE),IF(P89="FDE",VLOOKUP(Q89,'FDE 01-26-SD'!$A$1:$J$280013,3,FALSE),IF(P89="PRÓPRIA",VLOOKUP(Q89,COMPOSIÇÃO!$1:$1048576,7,FALSE),VLOOKUP(Q89,'SINAPI 04-26-SD'!$A$1:$H$272700,3,FALSE)))))</f>
        <v>M2</v>
      </c>
      <c r="T89" s="393">
        <f>(2.34)*(2.14)</f>
        <v>5.0076000000000001</v>
      </c>
      <c r="U89" s="394">
        <f>TRUNC(IF(P89="CDHU",VLOOKUP(Q89,'CDHU 201-SD'!$A$1:$J$28014,6,FALSE),IF(P89="FDE",VLOOKUP(Q89,'FDE 01-26-SD'!$A$1:$J$280013,6,FALSE),IF(P89="PRÓPRIA",VLOOKUP(Q89,COMPOSIÇÃO!$1:$1048576,10,FALSE),VLOOKUP(Q89,'SINAPI 04-26-SD'!$A$1:$H$272700,4,FALSE)))),2)</f>
        <v>2.17</v>
      </c>
      <c r="V89" s="416">
        <f t="shared" ref="V89:V90" si="295">TRUNC(U89*T89,2)</f>
        <v>10.86</v>
      </c>
      <c r="W89" s="395">
        <f>IF($AA89="N",BDI!$D$26,IF($AA89="D",'BDI DIFE.'!$D$26,"ERRO"))</f>
        <v>0.22500000000000001</v>
      </c>
      <c r="X89" s="379">
        <f t="shared" ref="X89:X90" si="296">TRUNC(U89*(1+W89),2)</f>
        <v>2.65</v>
      </c>
      <c r="Y89" s="380">
        <f t="shared" ref="Y89:Y90" si="297">TRUNC(T89*X89,2)</f>
        <v>13.27</v>
      </c>
      <c r="Z89" s="381"/>
      <c r="AA89" s="378" t="s">
        <v>28044</v>
      </c>
      <c r="AB89" s="644"/>
      <c r="AC89" s="645"/>
    </row>
    <row r="90" spans="2:29" s="55" customFormat="1" ht="30">
      <c r="B90" s="378">
        <f t="shared" ca="1" si="286"/>
        <v>3</v>
      </c>
      <c r="C90" s="378" t="str">
        <f t="shared" ref="C90:C98" si="298">IF(RIGHT($M90) = "o", "S", RIGHT($M90))</f>
        <v>S</v>
      </c>
      <c r="D90" s="378">
        <f t="shared" ref="D90:D106" ca="1" si="299">IF($C90="1",OFFSET(D90,-2,0) +1,OFFSET(D90,-1,0))</f>
        <v>7</v>
      </c>
      <c r="E90" s="378">
        <f t="shared" ca="1" si="287"/>
        <v>5</v>
      </c>
      <c r="F90" s="378" t="str">
        <f t="shared" ca="1" si="288"/>
        <v>0</v>
      </c>
      <c r="G90" s="378" t="str">
        <f t="shared" ca="1" si="289"/>
        <v>0</v>
      </c>
      <c r="H90" s="378" t="str">
        <f t="shared" ca="1" si="290"/>
        <v>0</v>
      </c>
      <c r="I90" s="378" t="str">
        <f t="shared" ca="1" si="291"/>
        <v>0</v>
      </c>
      <c r="J90" s="378">
        <f t="shared" ref="J90:J106" ca="1" si="300">IF($C90="S",OFFSET(J90,-1,0)+1,"0")</f>
        <v>4</v>
      </c>
      <c r="K90" s="378" t="str">
        <f t="shared" si="292"/>
        <v>NÃO</v>
      </c>
      <c r="L90" s="378" t="str">
        <f t="shared" ca="1" si="293"/>
        <v>7.5.4</v>
      </c>
      <c r="M90" s="55" t="s">
        <v>27868</v>
      </c>
      <c r="O90" s="392" t="str">
        <f t="shared" ca="1" si="294"/>
        <v>7.5.4</v>
      </c>
      <c r="P90" s="413" t="s">
        <v>29901</v>
      </c>
      <c r="Q90" s="414" t="s">
        <v>11549</v>
      </c>
      <c r="R90" s="415" t="str">
        <f>UPPER(IF(P90="CDHU",VLOOKUP(Q90,'CDHU 201-SD'!$A$1:$J$28014,2,FALSE),IF(P90="FDE",VLOOKUP(Q90,'FDE 01-26-SD'!$A$1:$J$280013,2,FALSE),IF(P90="PRÓPRIA",VLOOKUP(Q90,COMPOSIÇÃO!$1:$1048576,3,FALSE),VLOOKUP(Q90,'SINAPI 04-26-SD'!$A$1:$H$272700,2,FALSE)))))</f>
        <v>COMPACTAÇÃO DE ATERRO MECANIZADO MÍNIMO DE 95% PN, SEM FORNECIMENTO DE SOLO EM ÁREAS FECHADAS</v>
      </c>
      <c r="S90" s="414" t="str">
        <f>UPPER(IF(P90="CDHU",VLOOKUP(Q90,'CDHU 201-SD'!$A$1:$J$28014,3,FALSE),IF(P90="FDE",VLOOKUP(Q90,'FDE 01-26-SD'!$A$1:$J$280013,3,FALSE),IF(P90="PRÓPRIA",VLOOKUP(Q90,COMPOSIÇÃO!$1:$1048576,7,FALSE),VLOOKUP(Q90,'SINAPI 04-26-SD'!$A$1:$H$272700,3,FALSE)))))</f>
        <v>M3</v>
      </c>
      <c r="T90" s="393">
        <v>2.2999999999999998</v>
      </c>
      <c r="U90" s="394">
        <f>TRUNC(IF(P90="CDHU",VLOOKUP(Q90,'CDHU 201-SD'!$A$1:$J$28014,6,FALSE),IF(P90="FDE",VLOOKUP(Q90,'FDE 01-26-SD'!$A$1:$J$280013,6,FALSE),IF(P90="PRÓPRIA",VLOOKUP(Q90,COMPOSIÇÃO!$1:$1048576,10,FALSE),VLOOKUP(Q90,'SINAPI 04-26-SD'!$A$1:$H$272700,4,FALSE)))),2)</f>
        <v>17.63</v>
      </c>
      <c r="V90" s="416">
        <f t="shared" si="295"/>
        <v>40.54</v>
      </c>
      <c r="W90" s="395">
        <f>IF($AA90="N",BDI!$D$26,IF($AA90="D",'BDI DIFE.'!$D$26,"ERRO"))</f>
        <v>0.22500000000000001</v>
      </c>
      <c r="X90" s="379">
        <f t="shared" si="296"/>
        <v>21.59</v>
      </c>
      <c r="Y90" s="380">
        <f t="shared" si="297"/>
        <v>49.65</v>
      </c>
      <c r="Z90" s="381"/>
      <c r="AA90" s="378" t="s">
        <v>28044</v>
      </c>
      <c r="AB90" s="644"/>
      <c r="AC90" s="645"/>
    </row>
    <row r="91" spans="2:29" s="55" customFormat="1">
      <c r="B91" s="378">
        <f t="shared" ca="1" si="274"/>
        <v>3</v>
      </c>
      <c r="C91" s="378" t="str">
        <f t="shared" si="298"/>
        <v>S</v>
      </c>
      <c r="D91" s="378">
        <f t="shared" ca="1" si="299"/>
        <v>7</v>
      </c>
      <c r="E91" s="378">
        <f t="shared" ca="1" si="275"/>
        <v>5</v>
      </c>
      <c r="F91" s="378" t="str">
        <f t="shared" ca="1" si="276"/>
        <v>0</v>
      </c>
      <c r="G91" s="378" t="str">
        <f t="shared" ca="1" si="277"/>
        <v>0</v>
      </c>
      <c r="H91" s="378" t="str">
        <f t="shared" ca="1" si="278"/>
        <v>0</v>
      </c>
      <c r="I91" s="378" t="str">
        <f t="shared" ca="1" si="279"/>
        <v>0</v>
      </c>
      <c r="J91" s="378">
        <f t="shared" ca="1" si="300"/>
        <v>5</v>
      </c>
      <c r="K91" s="378" t="str">
        <f t="shared" si="280"/>
        <v>NÃO</v>
      </c>
      <c r="L91" s="378" t="str">
        <f t="shared" ca="1" si="281"/>
        <v>7.5.5</v>
      </c>
      <c r="M91" s="55" t="s">
        <v>27868</v>
      </c>
      <c r="O91" s="392" t="str">
        <f t="shared" ca="1" si="282"/>
        <v>7.5.5</v>
      </c>
      <c r="P91" s="413" t="s">
        <v>29901</v>
      </c>
      <c r="Q91" s="414" t="s">
        <v>11632</v>
      </c>
      <c r="R91" s="415" t="str">
        <f>UPPER(IF(P91="CDHU",VLOOKUP(Q91,'CDHU 201-SD'!$A$1:$J$28014,2,FALSE),IF(P91="FDE",VLOOKUP(Q91,'FDE 01-26-SD'!$A$1:$J$280013,2,FALSE),IF(P91="PRÓPRIA",VLOOKUP(Q91,COMPOSIÇÃO!$1:$1048576,3,FALSE),VLOOKUP(Q91,'SINAPI 04-26-SD'!$A$1:$H$272700,2,FALSE)))))</f>
        <v>FORMA EM MADEIRA COMUM PARA FUNDAÇÃO</v>
      </c>
      <c r="S91" s="414" t="str">
        <f>UPPER(IF(P91="CDHU",VLOOKUP(Q91,'CDHU 201-SD'!$A$1:$J$28014,3,FALSE),IF(P91="FDE",VLOOKUP(Q91,'FDE 01-26-SD'!$A$1:$J$280013,3,FALSE),IF(P91="PRÓPRIA",VLOOKUP(Q91,COMPOSIÇÃO!$1:$1048576,7,FALSE),VLOOKUP(Q91,'SINAPI 04-26-SD'!$A$1:$H$272700,3,FALSE)))))</f>
        <v>M2</v>
      </c>
      <c r="T91" s="393">
        <v>3.79</v>
      </c>
      <c r="U91" s="394">
        <f>TRUNC(IF(P91="CDHU",VLOOKUP(Q91,'CDHU 201-SD'!$A$1:$J$28014,6,FALSE),IF(P91="FDE",VLOOKUP(Q91,'FDE 01-26-SD'!$A$1:$J$280013,6,FALSE),IF(P91="PRÓPRIA",VLOOKUP(Q91,COMPOSIÇÃO!$1:$1048576,10,FALSE),VLOOKUP(Q91,'SINAPI 04-26-SD'!$A$1:$H$272700,4,FALSE)))),2)</f>
        <v>109.61</v>
      </c>
      <c r="V91" s="416">
        <f t="shared" si="283"/>
        <v>415.42</v>
      </c>
      <c r="W91" s="395">
        <f>IF($AA91="N",BDI!$D$26,IF($AA91="D",'BDI DIFE.'!$D$26,"ERRO"))</f>
        <v>0.22500000000000001</v>
      </c>
      <c r="X91" s="379">
        <f t="shared" si="284"/>
        <v>134.27000000000001</v>
      </c>
      <c r="Y91" s="380">
        <f t="shared" si="285"/>
        <v>508.88</v>
      </c>
      <c r="Z91" s="381"/>
      <c r="AA91" s="378" t="s">
        <v>28044</v>
      </c>
      <c r="AB91" s="644"/>
      <c r="AC91" s="645"/>
    </row>
    <row r="92" spans="2:29" s="55" customFormat="1">
      <c r="B92" s="378">
        <f t="shared" ca="1" si="274"/>
        <v>3</v>
      </c>
      <c r="C92" s="378" t="str">
        <f t="shared" si="298"/>
        <v>S</v>
      </c>
      <c r="D92" s="378">
        <f t="shared" ca="1" si="299"/>
        <v>7</v>
      </c>
      <c r="E92" s="378">
        <f t="shared" ca="1" si="275"/>
        <v>5</v>
      </c>
      <c r="F92" s="378" t="str">
        <f t="shared" ca="1" si="276"/>
        <v>0</v>
      </c>
      <c r="G92" s="378" t="str">
        <f t="shared" ca="1" si="277"/>
        <v>0</v>
      </c>
      <c r="H92" s="378" t="str">
        <f t="shared" ca="1" si="278"/>
        <v>0</v>
      </c>
      <c r="I92" s="378" t="str">
        <f t="shared" ca="1" si="279"/>
        <v>0</v>
      </c>
      <c r="J92" s="378">
        <f t="shared" ca="1" si="300"/>
        <v>6</v>
      </c>
      <c r="K92" s="378" t="str">
        <f t="shared" si="280"/>
        <v>NÃO</v>
      </c>
      <c r="L92" s="378" t="str">
        <f t="shared" ca="1" si="281"/>
        <v>7.5.6</v>
      </c>
      <c r="M92" s="55" t="s">
        <v>27868</v>
      </c>
      <c r="O92" s="392" t="str">
        <f t="shared" ca="1" si="282"/>
        <v>7.5.6</v>
      </c>
      <c r="P92" s="413" t="s">
        <v>29901</v>
      </c>
      <c r="Q92" s="414" t="s">
        <v>11685</v>
      </c>
      <c r="R92" s="415" t="str">
        <f>UPPER(IF(P92="CDHU",VLOOKUP(Q92,'CDHU 201-SD'!$A$1:$J$28014,2,FALSE),IF(P92="FDE",VLOOKUP(Q92,'FDE 01-26-SD'!$A$1:$J$280013,2,FALSE),IF(P92="PRÓPRIA",VLOOKUP(Q92,COMPOSIÇÃO!$1:$1048576,3,FALSE),VLOOKUP(Q92,'SINAPI 04-26-SD'!$A$1:$H$272700,2,FALSE)))))</f>
        <v>ARMADURA EM BARRA DE AÇO CA-50 (A OU B) FYK = 500 MPA</v>
      </c>
      <c r="S92" s="414" t="str">
        <f>UPPER(IF(P92="CDHU",VLOOKUP(Q92,'CDHU 201-SD'!$A$1:$J$28014,3,FALSE),IF(P92="FDE",VLOOKUP(Q92,'FDE 01-26-SD'!$A$1:$J$280013,3,FALSE),IF(P92="PRÓPRIA",VLOOKUP(Q92,COMPOSIÇÃO!$1:$1048576,7,FALSE),VLOOKUP(Q92,'SINAPI 04-26-SD'!$A$1:$H$272700,3,FALSE)))))</f>
        <v>KG</v>
      </c>
      <c r="T92" s="393">
        <v>38.1</v>
      </c>
      <c r="U92" s="394">
        <f>TRUNC(IF(P92="CDHU",VLOOKUP(Q92,'CDHU 201-SD'!$A$1:$J$28014,6,FALSE),IF(P92="FDE",VLOOKUP(Q92,'FDE 01-26-SD'!$A$1:$J$280013,6,FALSE),IF(P92="PRÓPRIA",VLOOKUP(Q92,COMPOSIÇÃO!$1:$1048576,10,FALSE),VLOOKUP(Q92,'SINAPI 04-26-SD'!$A$1:$H$272700,4,FALSE)))),2)</f>
        <v>10.14</v>
      </c>
      <c r="V92" s="416">
        <f t="shared" si="283"/>
        <v>386.33</v>
      </c>
      <c r="W92" s="395">
        <f>IF($AA92="N",BDI!$D$26,IF($AA92="D",'BDI DIFE.'!$D$26,"ERRO"))</f>
        <v>0.22500000000000001</v>
      </c>
      <c r="X92" s="379">
        <f t="shared" si="284"/>
        <v>12.42</v>
      </c>
      <c r="Y92" s="380">
        <f t="shared" si="285"/>
        <v>473.2</v>
      </c>
      <c r="Z92" s="381"/>
      <c r="AA92" s="378" t="s">
        <v>28044</v>
      </c>
      <c r="AB92" s="644"/>
      <c r="AC92" s="645"/>
    </row>
    <row r="93" spans="2:29" s="55" customFormat="1">
      <c r="B93" s="378">
        <f t="shared" ca="1" si="274"/>
        <v>3</v>
      </c>
      <c r="C93" s="378" t="str">
        <f t="shared" si="298"/>
        <v>S</v>
      </c>
      <c r="D93" s="378">
        <f t="shared" ca="1" si="299"/>
        <v>7</v>
      </c>
      <c r="E93" s="378">
        <f t="shared" ca="1" si="275"/>
        <v>5</v>
      </c>
      <c r="F93" s="378" t="str">
        <f t="shared" ca="1" si="276"/>
        <v>0</v>
      </c>
      <c r="G93" s="378" t="str">
        <f t="shared" ca="1" si="277"/>
        <v>0</v>
      </c>
      <c r="H93" s="378" t="str">
        <f t="shared" ca="1" si="278"/>
        <v>0</v>
      </c>
      <c r="I93" s="378" t="str">
        <f t="shared" ca="1" si="279"/>
        <v>0</v>
      </c>
      <c r="J93" s="378">
        <f t="shared" ca="1" si="300"/>
        <v>7</v>
      </c>
      <c r="K93" s="378" t="str">
        <f t="shared" si="280"/>
        <v>NÃO</v>
      </c>
      <c r="L93" s="378" t="str">
        <f t="shared" ca="1" si="281"/>
        <v>7.5.7</v>
      </c>
      <c r="M93" s="55" t="s">
        <v>27868</v>
      </c>
      <c r="O93" s="392" t="str">
        <f t="shared" ca="1" si="282"/>
        <v>7.5.7</v>
      </c>
      <c r="P93" s="413" t="s">
        <v>29901</v>
      </c>
      <c r="Q93" s="414" t="s">
        <v>11687</v>
      </c>
      <c r="R93" s="415" t="str">
        <f>UPPER(IF(P93="CDHU",VLOOKUP(Q93,'CDHU 201-SD'!$A$1:$J$28014,2,FALSE),IF(P93="FDE",VLOOKUP(Q93,'FDE 01-26-SD'!$A$1:$J$280013,2,FALSE),IF(P93="PRÓPRIA",VLOOKUP(Q93,COMPOSIÇÃO!$1:$1048576,3,FALSE),VLOOKUP(Q93,'SINAPI 04-26-SD'!$A$1:$H$272700,2,FALSE)))))</f>
        <v>ARMADURA EM BARRA DE AÇO CA-60 (A OU B) FYK = 600 MPA</v>
      </c>
      <c r="S93" s="414" t="str">
        <f>UPPER(IF(P93="CDHU",VLOOKUP(Q93,'CDHU 201-SD'!$A$1:$J$28014,3,FALSE),IF(P93="FDE",VLOOKUP(Q93,'FDE 01-26-SD'!$A$1:$J$280013,3,FALSE),IF(P93="PRÓPRIA",VLOOKUP(Q93,COMPOSIÇÃO!$1:$1048576,7,FALSE),VLOOKUP(Q93,'SINAPI 04-26-SD'!$A$1:$H$272700,3,FALSE)))))</f>
        <v>KG</v>
      </c>
      <c r="T93" s="393">
        <v>11.3</v>
      </c>
      <c r="U93" s="394">
        <f>TRUNC(IF(P93="CDHU",VLOOKUP(Q93,'CDHU 201-SD'!$A$1:$J$28014,6,FALSE),IF(P93="FDE",VLOOKUP(Q93,'FDE 01-26-SD'!$A$1:$J$280013,6,FALSE),IF(P93="PRÓPRIA",VLOOKUP(Q93,COMPOSIÇÃO!$1:$1048576,10,FALSE),VLOOKUP(Q93,'SINAPI 04-26-SD'!$A$1:$H$272700,4,FALSE)))),2)</f>
        <v>10.79</v>
      </c>
      <c r="V93" s="416">
        <f t="shared" si="283"/>
        <v>121.92</v>
      </c>
      <c r="W93" s="395">
        <f>IF($AA93="N",BDI!$D$26,IF($AA93="D",'BDI DIFE.'!$D$26,"ERRO"))</f>
        <v>0.22500000000000001</v>
      </c>
      <c r="X93" s="379">
        <f t="shared" si="284"/>
        <v>13.21</v>
      </c>
      <c r="Y93" s="380">
        <f t="shared" si="285"/>
        <v>149.27000000000001</v>
      </c>
      <c r="Z93" s="381"/>
      <c r="AA93" s="378" t="s">
        <v>28044</v>
      </c>
      <c r="AB93" s="644"/>
      <c r="AC93" s="645"/>
    </row>
    <row r="94" spans="2:29" s="55" customFormat="1">
      <c r="B94" s="378">
        <f t="shared" ca="1" si="274"/>
        <v>3</v>
      </c>
      <c r="C94" s="378" t="str">
        <f t="shared" si="298"/>
        <v>S</v>
      </c>
      <c r="D94" s="378">
        <f t="shared" ca="1" si="299"/>
        <v>7</v>
      </c>
      <c r="E94" s="378">
        <f t="shared" ca="1" si="275"/>
        <v>5</v>
      </c>
      <c r="F94" s="378" t="str">
        <f t="shared" ca="1" si="276"/>
        <v>0</v>
      </c>
      <c r="G94" s="378" t="str">
        <f t="shared" ca="1" si="277"/>
        <v>0</v>
      </c>
      <c r="H94" s="378" t="str">
        <f t="shared" ca="1" si="278"/>
        <v>0</v>
      </c>
      <c r="I94" s="378" t="str">
        <f t="shared" ca="1" si="279"/>
        <v>0</v>
      </c>
      <c r="J94" s="378">
        <f t="shared" ca="1" si="300"/>
        <v>8</v>
      </c>
      <c r="K94" s="378" t="str">
        <f t="shared" si="280"/>
        <v>NÃO</v>
      </c>
      <c r="L94" s="378" t="str">
        <f t="shared" ca="1" si="281"/>
        <v>7.5.8</v>
      </c>
      <c r="M94" s="55" t="s">
        <v>27868</v>
      </c>
      <c r="O94" s="392" t="str">
        <f t="shared" ca="1" si="282"/>
        <v>7.5.8</v>
      </c>
      <c r="P94" s="413" t="s">
        <v>29901</v>
      </c>
      <c r="Q94" s="414" t="s">
        <v>11705</v>
      </c>
      <c r="R94" s="415" t="str">
        <f>UPPER(IF(P94="CDHU",VLOOKUP(Q94,'CDHU 201-SD'!$A$1:$J$28014,2,FALSE),IF(P94="FDE",VLOOKUP(Q94,'FDE 01-26-SD'!$A$1:$J$280013,2,FALSE),IF(P94="PRÓPRIA",VLOOKUP(Q94,COMPOSIÇÃO!$1:$1048576,3,FALSE),VLOOKUP(Q94,'SINAPI 04-26-SD'!$A$1:$H$272700,2,FALSE)))))</f>
        <v>CONCRETO USINADO, FCK = 30 MPA</v>
      </c>
      <c r="S94" s="414" t="str">
        <f>UPPER(IF(P94="CDHU",VLOOKUP(Q94,'CDHU 201-SD'!$A$1:$J$28014,3,FALSE),IF(P94="FDE",VLOOKUP(Q94,'FDE 01-26-SD'!$A$1:$J$280013,3,FALSE),IF(P94="PRÓPRIA",VLOOKUP(Q94,COMPOSIÇÃO!$1:$1048576,7,FALSE),VLOOKUP(Q94,'SINAPI 04-26-SD'!$A$1:$H$272700,3,FALSE)))))</f>
        <v>M3</v>
      </c>
      <c r="T94" s="393">
        <v>0.56999999999999995</v>
      </c>
      <c r="U94" s="394">
        <f>TRUNC(IF(P94="CDHU",VLOOKUP(Q94,'CDHU 201-SD'!$A$1:$J$28014,6,FALSE),IF(P94="FDE",VLOOKUP(Q94,'FDE 01-26-SD'!$A$1:$J$280013,6,FALSE),IF(P94="PRÓPRIA",VLOOKUP(Q94,COMPOSIÇÃO!$1:$1048576,10,FALSE),VLOOKUP(Q94,'SINAPI 04-26-SD'!$A$1:$H$272700,4,FALSE)))),2)</f>
        <v>541.64</v>
      </c>
      <c r="V94" s="416">
        <f t="shared" si="283"/>
        <v>308.73</v>
      </c>
      <c r="W94" s="395">
        <f>IF($AA94="N",BDI!$D$26,IF($AA94="D",'BDI DIFE.'!$D$26,"ERRO"))</f>
        <v>0.22500000000000001</v>
      </c>
      <c r="X94" s="379">
        <f t="shared" si="284"/>
        <v>663.5</v>
      </c>
      <c r="Y94" s="380">
        <f t="shared" si="285"/>
        <v>378.19</v>
      </c>
      <c r="Z94" s="381"/>
      <c r="AA94" s="378" t="s">
        <v>28044</v>
      </c>
      <c r="AB94" s="644"/>
      <c r="AC94" s="645"/>
    </row>
    <row r="95" spans="2:29" s="55" customFormat="1">
      <c r="B95" s="378">
        <f t="shared" ca="1" si="274"/>
        <v>3</v>
      </c>
      <c r="C95" s="378" t="str">
        <f t="shared" si="298"/>
        <v>S</v>
      </c>
      <c r="D95" s="378">
        <f t="shared" ca="1" si="299"/>
        <v>7</v>
      </c>
      <c r="E95" s="378">
        <f t="shared" ca="1" si="275"/>
        <v>5</v>
      </c>
      <c r="F95" s="378" t="str">
        <f t="shared" ca="1" si="276"/>
        <v>0</v>
      </c>
      <c r="G95" s="378" t="str">
        <f t="shared" ca="1" si="277"/>
        <v>0</v>
      </c>
      <c r="H95" s="378" t="str">
        <f t="shared" ca="1" si="278"/>
        <v>0</v>
      </c>
      <c r="I95" s="378" t="str">
        <f t="shared" ca="1" si="279"/>
        <v>0</v>
      </c>
      <c r="J95" s="378">
        <f t="shared" ca="1" si="300"/>
        <v>9</v>
      </c>
      <c r="K95" s="378" t="str">
        <f t="shared" si="280"/>
        <v>NÃO</v>
      </c>
      <c r="L95" s="378" t="str">
        <f t="shared" ca="1" si="281"/>
        <v>7.5.9</v>
      </c>
      <c r="M95" s="55" t="s">
        <v>27868</v>
      </c>
      <c r="O95" s="392" t="str">
        <f t="shared" ca="1" si="282"/>
        <v>7.5.9</v>
      </c>
      <c r="P95" s="413" t="s">
        <v>41227</v>
      </c>
      <c r="Q95" s="414" t="s">
        <v>41804</v>
      </c>
      <c r="R95" s="415" t="str">
        <f>UPPER(IF(P95="CDHU",VLOOKUP(Q95,'CDHU 201-SD'!$A$1:$J$28014,2,FALSE),IF(P95="FDE",VLOOKUP(Q95,'FDE 01-26-SD'!$A$1:$J$280013,2,FALSE),IF(P95="PRÓPRIA",VLOOKUP(Q95,COMPOSIÇÃO!$1:$1048576,3,FALSE),VLOOKUP(Q95,'SINAPI 04-26-SD'!$A$1:$H$272700,2,FALSE)))))</f>
        <v>CONTROLE TECNOLOGICO DE CONCRETOS</v>
      </c>
      <c r="S95" s="414" t="str">
        <f>UPPER(IF(P95="CDHU",VLOOKUP(Q95,'CDHU 201-SD'!$A$1:$J$28014,3,FALSE),IF(P95="FDE",VLOOKUP(Q95,'FDE 01-26-SD'!$A$1:$J$280013,3,FALSE),IF(P95="PRÓPRIA",VLOOKUP(Q95,COMPOSIÇÃO!$1:$1048576,7,FALSE),VLOOKUP(Q95,'SINAPI 04-26-SD'!$A$1:$H$272700,3,FALSE)))))</f>
        <v>M3</v>
      </c>
      <c r="T95" s="393">
        <v>0.56999999999999995</v>
      </c>
      <c r="U95" s="394">
        <f>TRUNC(IF(P95="CDHU",VLOOKUP(Q95,'CDHU 201-SD'!$A$1:$J$28014,6,FALSE),IF(P95="FDE",VLOOKUP(Q95,'FDE 01-26-SD'!$A$1:$J$280013,6,FALSE),IF(P95="PRÓPRIA",VLOOKUP(Q95,COMPOSIÇÃO!$1:$1048576,10,FALSE),VLOOKUP(Q95,'SINAPI 04-26-SD'!$A$1:$H$272700,4,FALSE)))),2)</f>
        <v>105.96</v>
      </c>
      <c r="V95" s="416">
        <f t="shared" si="283"/>
        <v>60.39</v>
      </c>
      <c r="W95" s="395">
        <f>IF($AA95="N",BDI!$D$26,IF($AA95="D",'BDI DIFE.'!$D$26,"ERRO"))</f>
        <v>0.22500000000000001</v>
      </c>
      <c r="X95" s="379">
        <f t="shared" si="284"/>
        <v>129.80000000000001</v>
      </c>
      <c r="Y95" s="380">
        <f t="shared" si="285"/>
        <v>73.98</v>
      </c>
      <c r="Z95" s="381"/>
      <c r="AA95" s="378" t="s">
        <v>28044</v>
      </c>
      <c r="AB95" s="644"/>
      <c r="AC95" s="645"/>
    </row>
    <row r="96" spans="2:29" s="55" customFormat="1" ht="30">
      <c r="B96" s="378">
        <f t="shared" ca="1" si="274"/>
        <v>3</v>
      </c>
      <c r="C96" s="378" t="str">
        <f t="shared" si="298"/>
        <v>S</v>
      </c>
      <c r="D96" s="378">
        <f t="shared" ca="1" si="299"/>
        <v>7</v>
      </c>
      <c r="E96" s="378">
        <f t="shared" ca="1" si="275"/>
        <v>5</v>
      </c>
      <c r="F96" s="378" t="str">
        <f t="shared" ca="1" si="276"/>
        <v>0</v>
      </c>
      <c r="G96" s="378" t="str">
        <f t="shared" ca="1" si="277"/>
        <v>0</v>
      </c>
      <c r="H96" s="378" t="str">
        <f t="shared" ca="1" si="278"/>
        <v>0</v>
      </c>
      <c r="I96" s="378" t="str">
        <f t="shared" ca="1" si="279"/>
        <v>0</v>
      </c>
      <c r="J96" s="378">
        <f t="shared" ca="1" si="300"/>
        <v>10</v>
      </c>
      <c r="K96" s="378" t="str">
        <f t="shared" si="280"/>
        <v>NÃO</v>
      </c>
      <c r="L96" s="378" t="str">
        <f t="shared" ca="1" si="281"/>
        <v>7.5.10</v>
      </c>
      <c r="M96" s="55" t="s">
        <v>27868</v>
      </c>
      <c r="O96" s="392" t="str">
        <f t="shared" ca="1" si="282"/>
        <v>7.5.10</v>
      </c>
      <c r="P96" s="413" t="s">
        <v>29901</v>
      </c>
      <c r="Q96" s="414" t="s">
        <v>11767</v>
      </c>
      <c r="R96" s="415" t="str">
        <f>UPPER(IF(P96="CDHU",VLOOKUP(Q96,'CDHU 201-SD'!$A$1:$J$28014,2,FALSE),IF(P96="FDE",VLOOKUP(Q96,'FDE 01-26-SD'!$A$1:$J$280013,2,FALSE),IF(P96="PRÓPRIA",VLOOKUP(Q96,COMPOSIÇÃO!$1:$1048576,3,FALSE),VLOOKUP(Q96,'SINAPI 04-26-SD'!$A$1:$H$272700,2,FALSE)))))</f>
        <v>LANÇAMENTO E ADENSAMENTO DE CONCRETO OU MASSA EM FUNDAÇÃO</v>
      </c>
      <c r="S96" s="414" t="str">
        <f>UPPER(IF(P96="CDHU",VLOOKUP(Q96,'CDHU 201-SD'!$A$1:$J$28014,3,FALSE),IF(P96="FDE",VLOOKUP(Q96,'FDE 01-26-SD'!$A$1:$J$280013,3,FALSE),IF(P96="PRÓPRIA",VLOOKUP(Q96,COMPOSIÇÃO!$1:$1048576,7,FALSE),VLOOKUP(Q96,'SINAPI 04-26-SD'!$A$1:$H$272700,3,FALSE)))))</f>
        <v>M3</v>
      </c>
      <c r="T96" s="393">
        <v>0.56999999999999995</v>
      </c>
      <c r="U96" s="394">
        <f>TRUNC(IF(P96="CDHU",VLOOKUP(Q96,'CDHU 201-SD'!$A$1:$J$28014,6,FALSE),IF(P96="FDE",VLOOKUP(Q96,'FDE 01-26-SD'!$A$1:$J$280013,6,FALSE),IF(P96="PRÓPRIA",VLOOKUP(Q96,COMPOSIÇÃO!$1:$1048576,10,FALSE),VLOOKUP(Q96,'SINAPI 04-26-SD'!$A$1:$H$272700,4,FALSE)))),2)</f>
        <v>191.53</v>
      </c>
      <c r="V96" s="416">
        <f t="shared" si="283"/>
        <v>109.17</v>
      </c>
      <c r="W96" s="395">
        <f>IF($AA96="N",BDI!$D$26,IF($AA96="D",'BDI DIFE.'!$D$26,"ERRO"))</f>
        <v>0.22500000000000001</v>
      </c>
      <c r="X96" s="379">
        <f t="shared" si="284"/>
        <v>234.62</v>
      </c>
      <c r="Y96" s="380">
        <f t="shared" si="285"/>
        <v>133.72999999999999</v>
      </c>
      <c r="Z96" s="381"/>
      <c r="AA96" s="378" t="s">
        <v>28044</v>
      </c>
      <c r="AB96" s="644"/>
      <c r="AC96" s="645"/>
    </row>
    <row r="97" spans="2:29" s="55" customFormat="1" ht="30">
      <c r="B97" s="378">
        <f t="shared" ca="1" si="274"/>
        <v>3</v>
      </c>
      <c r="C97" s="378" t="str">
        <f t="shared" si="298"/>
        <v>S</v>
      </c>
      <c r="D97" s="378">
        <f t="shared" ca="1" si="299"/>
        <v>7</v>
      </c>
      <c r="E97" s="378">
        <f t="shared" ca="1" si="275"/>
        <v>5</v>
      </c>
      <c r="F97" s="378" t="str">
        <f t="shared" ca="1" si="276"/>
        <v>0</v>
      </c>
      <c r="G97" s="378" t="str">
        <f t="shared" ca="1" si="277"/>
        <v>0</v>
      </c>
      <c r="H97" s="378" t="str">
        <f t="shared" ca="1" si="278"/>
        <v>0</v>
      </c>
      <c r="I97" s="378" t="str">
        <f t="shared" ca="1" si="279"/>
        <v>0</v>
      </c>
      <c r="J97" s="378">
        <f t="shared" ca="1" si="300"/>
        <v>11</v>
      </c>
      <c r="K97" s="378" t="str">
        <f t="shared" si="280"/>
        <v>NÃO</v>
      </c>
      <c r="L97" s="378" t="str">
        <f t="shared" ca="1" si="281"/>
        <v>7.5.11</v>
      </c>
      <c r="M97" s="55" t="s">
        <v>27868</v>
      </c>
      <c r="O97" s="392" t="str">
        <f t="shared" ca="1" si="282"/>
        <v>7.5.11</v>
      </c>
      <c r="P97" s="413" t="s">
        <v>29901</v>
      </c>
      <c r="Q97" s="414" t="s">
        <v>11543</v>
      </c>
      <c r="R97" s="415" t="str">
        <f>UPPER(IF(P97="CDHU",VLOOKUP(Q97,'CDHU 201-SD'!$A$1:$J$28014,2,FALSE),IF(P97="FDE",VLOOKUP(Q97,'FDE 01-26-SD'!$A$1:$J$280013,2,FALSE),IF(P97="PRÓPRIA",VLOOKUP(Q97,COMPOSIÇÃO!$1:$1048576,3,FALSE),VLOOKUP(Q97,'SINAPI 04-26-SD'!$A$1:$H$272700,2,FALSE)))))</f>
        <v>REATERRO COMPACTADO MECANIZADO DE VALA OU CAVA COM COMPACTADOR</v>
      </c>
      <c r="S97" s="414" t="str">
        <f>UPPER(IF(P97="CDHU",VLOOKUP(Q97,'CDHU 201-SD'!$A$1:$J$28014,3,FALSE),IF(P97="FDE",VLOOKUP(Q97,'FDE 01-26-SD'!$A$1:$J$280013,3,FALSE),IF(P97="PRÓPRIA",VLOOKUP(Q97,COMPOSIÇÃO!$1:$1048576,7,FALSE),VLOOKUP(Q97,'SINAPI 04-26-SD'!$A$1:$H$272700,3,FALSE)))))</f>
        <v>M3</v>
      </c>
      <c r="T97" s="393">
        <f>T87-T88-T94</f>
        <v>31.900059999999996</v>
      </c>
      <c r="U97" s="394">
        <f>TRUNC(IF(P97="CDHU",VLOOKUP(Q97,'CDHU 201-SD'!$A$1:$J$28014,6,FALSE),IF(P97="FDE",VLOOKUP(Q97,'FDE 01-26-SD'!$A$1:$J$280013,6,FALSE),IF(P97="PRÓPRIA",VLOOKUP(Q97,COMPOSIÇÃO!$1:$1048576,10,FALSE),VLOOKUP(Q97,'SINAPI 04-26-SD'!$A$1:$H$272700,4,FALSE)))),2)</f>
        <v>7.7</v>
      </c>
      <c r="V97" s="416">
        <f t="shared" si="283"/>
        <v>245.63</v>
      </c>
      <c r="W97" s="395">
        <f>IF($AA97="N",BDI!$D$26,IF($AA97="D",'BDI DIFE.'!$D$26,"ERRO"))</f>
        <v>0.22500000000000001</v>
      </c>
      <c r="X97" s="379">
        <f t="shared" si="284"/>
        <v>9.43</v>
      </c>
      <c r="Y97" s="380">
        <f t="shared" si="285"/>
        <v>300.81</v>
      </c>
      <c r="Z97" s="381"/>
      <c r="AA97" s="378" t="s">
        <v>28044</v>
      </c>
      <c r="AB97" s="644"/>
      <c r="AC97" s="645"/>
    </row>
    <row r="98" spans="2:29" s="55" customFormat="1" ht="31" thickBot="1">
      <c r="B98" s="378">
        <f t="shared" ca="1" si="274"/>
        <v>3</v>
      </c>
      <c r="C98" s="378" t="str">
        <f t="shared" si="298"/>
        <v>S</v>
      </c>
      <c r="D98" s="378">
        <f t="shared" ca="1" si="299"/>
        <v>7</v>
      </c>
      <c r="E98" s="378">
        <f t="shared" ca="1" si="275"/>
        <v>5</v>
      </c>
      <c r="F98" s="378" t="str">
        <f t="shared" ca="1" si="276"/>
        <v>0</v>
      </c>
      <c r="G98" s="378" t="str">
        <f t="shared" ca="1" si="277"/>
        <v>0</v>
      </c>
      <c r="H98" s="378" t="str">
        <f t="shared" ca="1" si="278"/>
        <v>0</v>
      </c>
      <c r="I98" s="378" t="str">
        <f t="shared" ca="1" si="279"/>
        <v>0</v>
      </c>
      <c r="J98" s="378">
        <f t="shared" ca="1" si="300"/>
        <v>12</v>
      </c>
      <c r="K98" s="378" t="str">
        <f t="shared" si="280"/>
        <v>NÃO</v>
      </c>
      <c r="L98" s="378" t="str">
        <f t="shared" ca="1" si="281"/>
        <v>7.5.12</v>
      </c>
      <c r="M98" s="55" t="s">
        <v>27868</v>
      </c>
      <c r="O98" s="392" t="str">
        <f t="shared" ca="1" si="282"/>
        <v>7.5.12</v>
      </c>
      <c r="P98" s="413" t="s">
        <v>29901</v>
      </c>
      <c r="Q98" s="414" t="s">
        <v>11453</v>
      </c>
      <c r="R98" s="415" t="str">
        <f>UPPER(IF(P98="CDHU",VLOOKUP(Q98,'CDHU 201-SD'!$A$1:$J$28014,2,FALSE),IF(P98="FDE",VLOOKUP(Q98,'FDE 01-26-SD'!$A$1:$J$280013,2,FALSE),IF(P98="PRÓPRIA",VLOOKUP(Q98,COMPOSIÇÃO!$1:$1048576,3,FALSE),VLOOKUP(Q98,'SINAPI 04-26-SD'!$A$1:$H$272700,2,FALSE)))))</f>
        <v>TRANSPORTE DE SOLO DE 1ª E 2ª CATEGORIA POR CAMINHÃO PARA DISTÂNCIAS SUPERIORES AO 5° KM ATÉ O 10° KM</v>
      </c>
      <c r="S98" s="414" t="str">
        <f>UPPER(IF(P98="CDHU",VLOOKUP(Q98,'CDHU 201-SD'!$A$1:$J$28014,3,FALSE),IF(P98="FDE",VLOOKUP(Q98,'FDE 01-26-SD'!$A$1:$J$280013,3,FALSE),IF(P98="PRÓPRIA",VLOOKUP(Q98,COMPOSIÇÃO!$1:$1048576,7,FALSE),VLOOKUP(Q98,'SINAPI 04-26-SD'!$A$1:$H$272700,3,FALSE)))))</f>
        <v>M3</v>
      </c>
      <c r="T98" s="393">
        <f>T87-T97</f>
        <v>1.3400000000000034</v>
      </c>
      <c r="U98" s="394">
        <f>TRUNC(IF(P98="CDHU",VLOOKUP(Q98,'CDHU 201-SD'!$A$1:$J$28014,6,FALSE),IF(P98="FDE",VLOOKUP(Q98,'FDE 01-26-SD'!$A$1:$J$280013,6,FALSE),IF(P98="PRÓPRIA",VLOOKUP(Q98,COMPOSIÇÃO!$1:$1048576,10,FALSE),VLOOKUP(Q98,'SINAPI 04-26-SD'!$A$1:$H$272700,4,FALSE)))),2)</f>
        <v>19.21</v>
      </c>
      <c r="V98" s="416">
        <f t="shared" si="283"/>
        <v>25.74</v>
      </c>
      <c r="W98" s="395">
        <f>IF($AA98="N",BDI!$D$26,IF($AA98="D",'BDI DIFE.'!$D$26,"ERRO"))</f>
        <v>0.22500000000000001</v>
      </c>
      <c r="X98" s="379">
        <f t="shared" si="284"/>
        <v>23.53</v>
      </c>
      <c r="Y98" s="380">
        <f t="shared" si="285"/>
        <v>31.53</v>
      </c>
      <c r="Z98" s="381"/>
      <c r="AA98" s="378" t="s">
        <v>28044</v>
      </c>
      <c r="AB98" s="644"/>
      <c r="AC98" s="645"/>
    </row>
    <row r="99" spans="2:29" s="55" customFormat="1" ht="16" thickBot="1">
      <c r="B99" s="378" t="str">
        <f t="shared" ca="1" si="274"/>
        <v/>
      </c>
      <c r="C99" s="378" t="str">
        <f>IF(RIGHT($M99) = "o", "S", RIGHT($M99))</f>
        <v/>
      </c>
      <c r="D99" s="378">
        <f t="shared" ca="1" si="299"/>
        <v>7</v>
      </c>
      <c r="E99" s="378">
        <f t="shared" ca="1" si="275"/>
        <v>5</v>
      </c>
      <c r="F99" s="378" t="str">
        <f t="shared" ca="1" si="276"/>
        <v>0</v>
      </c>
      <c r="G99" s="378" t="str">
        <f t="shared" ca="1" si="277"/>
        <v>0</v>
      </c>
      <c r="H99" s="378" t="str">
        <f t="shared" ca="1" si="278"/>
        <v>0</v>
      </c>
      <c r="I99" s="378" t="str">
        <f t="shared" ca="1" si="279"/>
        <v>0</v>
      </c>
      <c r="J99" s="378" t="str">
        <f t="shared" ca="1" si="300"/>
        <v>0</v>
      </c>
      <c r="K99" s="378" t="b">
        <f t="shared" si="280"/>
        <v>0</v>
      </c>
      <c r="L99" s="378" t="b">
        <f t="shared" si="281"/>
        <v>0</v>
      </c>
      <c r="O99" s="192"/>
      <c r="P99" s="387"/>
      <c r="Q99" s="387"/>
      <c r="R99" s="377"/>
      <c r="S99" s="387"/>
      <c r="T99" s="363"/>
      <c r="U99" s="388"/>
      <c r="V99" s="389"/>
      <c r="W99" s="389"/>
      <c r="X99" s="389"/>
      <c r="Y99" s="390"/>
      <c r="AA99" s="378"/>
      <c r="AB99" s="642"/>
    </row>
    <row r="100" spans="2:29" s="75" customFormat="1" ht="16" thickBot="1">
      <c r="B100" s="75" t="str">
        <f t="shared" ca="1" si="274"/>
        <v>2</v>
      </c>
      <c r="C100" s="75" t="str">
        <f t="shared" ref="C100:C106" si="301">IF(RIGHT($M100) = "o", "S", RIGHT($M100))</f>
        <v>2</v>
      </c>
      <c r="D100" s="75">
        <f t="shared" ca="1" si="299"/>
        <v>7</v>
      </c>
      <c r="E100" s="75">
        <f t="shared" ca="1" si="275"/>
        <v>6</v>
      </c>
      <c r="F100" s="75" t="str">
        <f t="shared" ca="1" si="276"/>
        <v>0</v>
      </c>
      <c r="G100" s="75" t="str">
        <f t="shared" ca="1" si="277"/>
        <v>0</v>
      </c>
      <c r="H100" s="75" t="str">
        <f t="shared" ca="1" si="278"/>
        <v>0</v>
      </c>
      <c r="I100" s="75" t="str">
        <f t="shared" ca="1" si="279"/>
        <v>0</v>
      </c>
      <c r="J100" s="75" t="str">
        <f t="shared" ca="1" si="300"/>
        <v>0</v>
      </c>
      <c r="K100" s="75" t="str">
        <f t="shared" ca="1" si="280"/>
        <v>7.6</v>
      </c>
      <c r="L100" s="75" t="str">
        <f t="shared" ca="1" si="281"/>
        <v>7.6</v>
      </c>
      <c r="M100" s="55" t="s">
        <v>27861</v>
      </c>
      <c r="O100" s="191" t="str">
        <f t="shared" ref="O100:O106" ca="1" si="302">L100</f>
        <v>7.6</v>
      </c>
      <c r="P100" s="172"/>
      <c r="Q100" s="172"/>
      <c r="R100" s="621" t="s">
        <v>44492</v>
      </c>
      <c r="S100" s="172"/>
      <c r="T100" s="194"/>
      <c r="U100" s="195"/>
      <c r="V100" s="196">
        <f ca="1">IF(VALUE(C100)=1,SUMIFS(V:V,D:D,D100,M:M,"Serviço"),IF(VALUE(C100)=2,SUMIFS(V:V,D:D,D100,E:E,E100,M:M,"Serviço"),IF(VALUE(C100)=3,SUMIFS(V:V,D:D,D100,E:E,E100,F:F,F100,M:M,"Serviço"),IF(VALUE(C100)=4,SUMIFS(V:V,D:D,D100,E:E,E100,F:F,F100,G:G,G100,M:M,"Serviço"),"ERRO"))))</f>
        <v>12651.730000000001</v>
      </c>
      <c r="W100" s="197"/>
      <c r="X100" s="205"/>
      <c r="Y100" s="173">
        <f ca="1">IF(VALUE(C100)=1,SUMIFS(Y:Y,D:D,D100,M:M,"Serviço"),IF(VALUE(C100)=2,SUMIFS(Y:Y,D:D,D100,E:E,E100,M:M,"Serviço"),IF(VALUE(C100)=3,SUMIFS(Y:Y,D:D,D100,E:E,E100,F:F,F100,M:M,"Serviço"),IF(VALUE(C100)=4,SUMIFS(Y:Y,D:D,D100,E:E,E100,F:F,F100,G:G,G100,M:M,"Serviço"),"ERRO"))))</f>
        <v>15497.5</v>
      </c>
      <c r="AB100" s="641"/>
    </row>
    <row r="101" spans="2:29" s="55" customFormat="1" ht="30">
      <c r="B101" s="378">
        <f t="shared" ca="1" si="274"/>
        <v>3</v>
      </c>
      <c r="C101" s="378" t="str">
        <f t="shared" si="301"/>
        <v>S</v>
      </c>
      <c r="D101" s="378">
        <f t="shared" ca="1" si="299"/>
        <v>7</v>
      </c>
      <c r="E101" s="378">
        <f t="shared" ca="1" si="275"/>
        <v>6</v>
      </c>
      <c r="F101" s="378" t="str">
        <f t="shared" ca="1" si="276"/>
        <v>0</v>
      </c>
      <c r="G101" s="378" t="str">
        <f t="shared" ca="1" si="277"/>
        <v>0</v>
      </c>
      <c r="H101" s="378" t="str">
        <f t="shared" ca="1" si="278"/>
        <v>0</v>
      </c>
      <c r="I101" s="378" t="str">
        <f t="shared" ca="1" si="279"/>
        <v>0</v>
      </c>
      <c r="J101" s="378">
        <f t="shared" ca="1" si="300"/>
        <v>1</v>
      </c>
      <c r="K101" s="378" t="str">
        <f t="shared" si="280"/>
        <v>NÃO</v>
      </c>
      <c r="L101" s="378" t="str">
        <f t="shared" ca="1" si="281"/>
        <v>7.6.1</v>
      </c>
      <c r="M101" s="55" t="s">
        <v>27868</v>
      </c>
      <c r="O101" s="392" t="str">
        <f t="shared" ca="1" si="302"/>
        <v>7.6.1</v>
      </c>
      <c r="P101" s="413" t="s">
        <v>29901</v>
      </c>
      <c r="Q101" s="414" t="s">
        <v>11656</v>
      </c>
      <c r="R101" s="415" t="str">
        <f>UPPER(IF(P101="CDHU",VLOOKUP(Q101,'CDHU 201-SD'!$A$1:$J$28014,2,FALSE),IF(P101="FDE",VLOOKUP(Q101,'FDE 01-26-SD'!$A$1:$J$280013,2,FALSE),IF(P101="PRÓPRIA",VLOOKUP(Q101,COMPOSIÇÃO!$1:$1048576,3,FALSE),VLOOKUP(Q101,'SINAPI 04-26-SD'!$A$1:$H$272700,2,FALSE)))))</f>
        <v>FORMA PLANA EM COMPENSADO PARA ESTRUTURA CONVENCIONAL COM CIMBRAMENTO TUBULAR METÁLICO</v>
      </c>
      <c r="S101" s="414" t="str">
        <f>UPPER(IF(P101="CDHU",VLOOKUP(Q101,'CDHU 201-SD'!$A$1:$J$28014,3,FALSE),IF(P101="FDE",VLOOKUP(Q101,'FDE 01-26-SD'!$A$1:$J$280013,3,FALSE),IF(P101="PRÓPRIA",VLOOKUP(Q101,COMPOSIÇÃO!$1:$1048576,7,FALSE),VLOOKUP(Q101,'SINAPI 04-26-SD'!$A$1:$H$272700,3,FALSE)))))</f>
        <v>M2</v>
      </c>
      <c r="T101" s="393">
        <v>50.4</v>
      </c>
      <c r="U101" s="394">
        <f>TRUNC(IF(P101="CDHU",VLOOKUP(Q101,'CDHU 201-SD'!$A$1:$J$28014,6,FALSE),IF(P101="FDE",VLOOKUP(Q101,'FDE 01-26-SD'!$A$1:$J$280013,6,FALSE),IF(P101="PRÓPRIA",VLOOKUP(Q101,COMPOSIÇÃO!$1:$1048576,10,FALSE),VLOOKUP(Q101,'SINAPI 04-26-SD'!$A$1:$H$272700,4,FALSE)))),2)</f>
        <v>153.82</v>
      </c>
      <c r="V101" s="416">
        <f t="shared" ref="V101:V106" si="303">TRUNC(U101*T101,2)</f>
        <v>7752.52</v>
      </c>
      <c r="W101" s="395">
        <f>IF($AA101="N",BDI!$D$26,IF($AA101="D",'BDI DIFE.'!$D$26,"ERRO"))</f>
        <v>0.22500000000000001</v>
      </c>
      <c r="X101" s="379">
        <f t="shared" ref="X101:X106" si="304">TRUNC(U101*(1+W101),2)</f>
        <v>188.42</v>
      </c>
      <c r="Y101" s="380">
        <f t="shared" ref="Y101:Y106" si="305">TRUNC(T101*X101,2)</f>
        <v>9496.36</v>
      </c>
      <c r="Z101" s="381"/>
      <c r="AA101" s="378" t="s">
        <v>28044</v>
      </c>
      <c r="AB101" s="642"/>
    </row>
    <row r="102" spans="2:29" s="55" customFormat="1">
      <c r="B102" s="378">
        <f t="shared" ca="1" si="274"/>
        <v>3</v>
      </c>
      <c r="C102" s="378" t="str">
        <f t="shared" si="301"/>
        <v>S</v>
      </c>
      <c r="D102" s="378">
        <f t="shared" ca="1" si="299"/>
        <v>7</v>
      </c>
      <c r="E102" s="378">
        <f t="shared" ca="1" si="275"/>
        <v>6</v>
      </c>
      <c r="F102" s="378" t="str">
        <f t="shared" ca="1" si="276"/>
        <v>0</v>
      </c>
      <c r="G102" s="378" t="str">
        <f t="shared" ca="1" si="277"/>
        <v>0</v>
      </c>
      <c r="H102" s="378" t="str">
        <f t="shared" ca="1" si="278"/>
        <v>0</v>
      </c>
      <c r="I102" s="378" t="str">
        <f t="shared" ca="1" si="279"/>
        <v>0</v>
      </c>
      <c r="J102" s="378">
        <f t="shared" ca="1" si="300"/>
        <v>2</v>
      </c>
      <c r="K102" s="378" t="str">
        <f t="shared" si="280"/>
        <v>NÃO</v>
      </c>
      <c r="L102" s="378" t="str">
        <f t="shared" ca="1" si="281"/>
        <v>7.6.2</v>
      </c>
      <c r="M102" s="55" t="s">
        <v>27868</v>
      </c>
      <c r="O102" s="392" t="str">
        <f t="shared" ca="1" si="302"/>
        <v>7.6.2</v>
      </c>
      <c r="P102" s="413" t="s">
        <v>29901</v>
      </c>
      <c r="Q102" s="414" t="s">
        <v>11685</v>
      </c>
      <c r="R102" s="415" t="str">
        <f>UPPER(IF(P102="CDHU",VLOOKUP(Q102,'CDHU 201-SD'!$A$1:$J$28014,2,FALSE),IF(P102="FDE",VLOOKUP(Q102,'FDE 01-26-SD'!$A$1:$J$280013,2,FALSE),IF(P102="PRÓPRIA",VLOOKUP(Q102,COMPOSIÇÃO!$1:$1048576,3,FALSE),VLOOKUP(Q102,'SINAPI 04-26-SD'!$A$1:$H$272700,2,FALSE)))))</f>
        <v>ARMADURA EM BARRA DE AÇO CA-50 (A OU B) FYK = 500 MPA</v>
      </c>
      <c r="S102" s="414" t="str">
        <f>UPPER(IF(P102="CDHU",VLOOKUP(Q102,'CDHU 201-SD'!$A$1:$J$28014,3,FALSE),IF(P102="FDE",VLOOKUP(Q102,'FDE 01-26-SD'!$A$1:$J$280013,3,FALSE),IF(P102="PRÓPRIA",VLOOKUP(Q102,COMPOSIÇÃO!$1:$1048576,7,FALSE),VLOOKUP(Q102,'SINAPI 04-26-SD'!$A$1:$H$272700,3,FALSE)))))</f>
        <v>KG</v>
      </c>
      <c r="T102" s="393">
        <v>4.32</v>
      </c>
      <c r="U102" s="394">
        <f>TRUNC(IF(P102="CDHU",VLOOKUP(Q102,'CDHU 201-SD'!$A$1:$J$28014,6,FALSE),IF(P102="FDE",VLOOKUP(Q102,'FDE 01-26-SD'!$A$1:$J$280013,6,FALSE),IF(P102="PRÓPRIA",VLOOKUP(Q102,COMPOSIÇÃO!$1:$1048576,10,FALSE),VLOOKUP(Q102,'SINAPI 04-26-SD'!$A$1:$H$272700,4,FALSE)))),2)</f>
        <v>10.14</v>
      </c>
      <c r="V102" s="416">
        <f t="shared" si="303"/>
        <v>43.8</v>
      </c>
      <c r="W102" s="395">
        <f>IF($AA102="N",BDI!$D$26,IF($AA102="D",'BDI DIFE.'!$D$26,"ERRO"))</f>
        <v>0.22500000000000001</v>
      </c>
      <c r="X102" s="379">
        <f t="shared" si="304"/>
        <v>12.42</v>
      </c>
      <c r="Y102" s="380">
        <f t="shared" si="305"/>
        <v>53.65</v>
      </c>
      <c r="Z102" s="381"/>
      <c r="AA102" s="378" t="s">
        <v>28044</v>
      </c>
      <c r="AB102" s="642"/>
    </row>
    <row r="103" spans="2:29" s="55" customFormat="1">
      <c r="B103" s="378">
        <f t="shared" ca="1" si="274"/>
        <v>3</v>
      </c>
      <c r="C103" s="378" t="str">
        <f t="shared" si="301"/>
        <v>S</v>
      </c>
      <c r="D103" s="378">
        <f t="shared" ca="1" si="299"/>
        <v>7</v>
      </c>
      <c r="E103" s="378">
        <f t="shared" ca="1" si="275"/>
        <v>6</v>
      </c>
      <c r="F103" s="378" t="str">
        <f t="shared" ca="1" si="276"/>
        <v>0</v>
      </c>
      <c r="G103" s="378" t="str">
        <f t="shared" ca="1" si="277"/>
        <v>0</v>
      </c>
      <c r="H103" s="378" t="str">
        <f t="shared" ca="1" si="278"/>
        <v>0</v>
      </c>
      <c r="I103" s="378" t="str">
        <f t="shared" ca="1" si="279"/>
        <v>0</v>
      </c>
      <c r="J103" s="378">
        <f t="shared" ca="1" si="300"/>
        <v>3</v>
      </c>
      <c r="K103" s="378" t="str">
        <f t="shared" si="280"/>
        <v>NÃO</v>
      </c>
      <c r="L103" s="378" t="str">
        <f t="shared" ca="1" si="281"/>
        <v>7.6.3</v>
      </c>
      <c r="M103" s="55" t="s">
        <v>27868</v>
      </c>
      <c r="O103" s="392" t="str">
        <f t="shared" ca="1" si="302"/>
        <v>7.6.3</v>
      </c>
      <c r="P103" s="413" t="s">
        <v>29901</v>
      </c>
      <c r="Q103" s="414" t="s">
        <v>11691</v>
      </c>
      <c r="R103" s="415" t="str">
        <f>UPPER(IF(P103="CDHU",VLOOKUP(Q103,'CDHU 201-SD'!$A$1:$J$28014,2,FALSE),IF(P103="FDE",VLOOKUP(Q103,'FDE 01-26-SD'!$A$1:$J$280013,2,FALSE),IF(P103="PRÓPRIA",VLOOKUP(Q103,COMPOSIÇÃO!$1:$1048576,3,FALSE),VLOOKUP(Q103,'SINAPI 04-26-SD'!$A$1:$H$272700,2,FALSE)))))</f>
        <v>ARMADURA EM TELA SOLDADA DE AÇO</v>
      </c>
      <c r="S103" s="414" t="str">
        <f>UPPER(IF(P103="CDHU",VLOOKUP(Q103,'CDHU 201-SD'!$A$1:$J$28014,3,FALSE),IF(P103="FDE",VLOOKUP(Q103,'FDE 01-26-SD'!$A$1:$J$280013,3,FALSE),IF(P103="PRÓPRIA",VLOOKUP(Q103,COMPOSIÇÃO!$1:$1048576,7,FALSE),VLOOKUP(Q103,'SINAPI 04-26-SD'!$A$1:$H$272700,3,FALSE)))))</f>
        <v>KG</v>
      </c>
      <c r="T103" s="393">
        <v>194.04</v>
      </c>
      <c r="U103" s="394">
        <f>TRUNC(IF(P103="CDHU",VLOOKUP(Q103,'CDHU 201-SD'!$A$1:$J$28014,6,FALSE),IF(P103="FDE",VLOOKUP(Q103,'FDE 01-26-SD'!$A$1:$J$280013,6,FALSE),IF(P103="PRÓPRIA",VLOOKUP(Q103,COMPOSIÇÃO!$1:$1048576,10,FALSE),VLOOKUP(Q103,'SINAPI 04-26-SD'!$A$1:$H$272700,4,FALSE)))),2)</f>
        <v>9.83</v>
      </c>
      <c r="V103" s="416">
        <f t="shared" si="303"/>
        <v>1907.41</v>
      </c>
      <c r="W103" s="395">
        <f>IF($AA103="N",BDI!$D$26,IF($AA103="D",'BDI DIFE.'!$D$26,"ERRO"))</f>
        <v>0.22500000000000001</v>
      </c>
      <c r="X103" s="379">
        <f t="shared" si="304"/>
        <v>12.04</v>
      </c>
      <c r="Y103" s="380">
        <f t="shared" si="305"/>
        <v>2336.2399999999998</v>
      </c>
      <c r="Z103" s="381"/>
      <c r="AA103" s="378" t="s">
        <v>28044</v>
      </c>
      <c r="AB103" s="642"/>
    </row>
    <row r="104" spans="2:29" s="55" customFormat="1">
      <c r="B104" s="378">
        <f t="shared" ca="1" si="274"/>
        <v>3</v>
      </c>
      <c r="C104" s="378" t="str">
        <f t="shared" si="301"/>
        <v>S</v>
      </c>
      <c r="D104" s="378">
        <f t="shared" ca="1" si="299"/>
        <v>7</v>
      </c>
      <c r="E104" s="378">
        <f t="shared" ca="1" si="275"/>
        <v>6</v>
      </c>
      <c r="F104" s="378" t="str">
        <f t="shared" ca="1" si="276"/>
        <v>0</v>
      </c>
      <c r="G104" s="378" t="str">
        <f t="shared" ca="1" si="277"/>
        <v>0</v>
      </c>
      <c r="H104" s="378" t="str">
        <f t="shared" ca="1" si="278"/>
        <v>0</v>
      </c>
      <c r="I104" s="378" t="str">
        <f t="shared" ca="1" si="279"/>
        <v>0</v>
      </c>
      <c r="J104" s="378">
        <f t="shared" ca="1" si="300"/>
        <v>4</v>
      </c>
      <c r="K104" s="378" t="str">
        <f t="shared" si="280"/>
        <v>NÃO</v>
      </c>
      <c r="L104" s="378" t="str">
        <f t="shared" ca="1" si="281"/>
        <v>7.6.4</v>
      </c>
      <c r="M104" s="55" t="s">
        <v>27868</v>
      </c>
      <c r="O104" s="392" t="str">
        <f t="shared" ca="1" si="302"/>
        <v>7.6.4</v>
      </c>
      <c r="P104" s="413" t="s">
        <v>29901</v>
      </c>
      <c r="Q104" s="414" t="s">
        <v>11705</v>
      </c>
      <c r="R104" s="415" t="str">
        <f>UPPER(IF(P104="CDHU",VLOOKUP(Q104,'CDHU 201-SD'!$A$1:$J$28014,2,FALSE),IF(P104="FDE",VLOOKUP(Q104,'FDE 01-26-SD'!$A$1:$J$280013,2,FALSE),IF(P104="PRÓPRIA",VLOOKUP(Q104,COMPOSIÇÃO!$1:$1048576,3,FALSE),VLOOKUP(Q104,'SINAPI 04-26-SD'!$A$1:$H$272700,2,FALSE)))))</f>
        <v>CONCRETO USINADO, FCK = 30 MPA</v>
      </c>
      <c r="S104" s="414" t="str">
        <f>UPPER(IF(P104="CDHU",VLOOKUP(Q104,'CDHU 201-SD'!$A$1:$J$28014,3,FALSE),IF(P104="FDE",VLOOKUP(Q104,'FDE 01-26-SD'!$A$1:$J$280013,3,FALSE),IF(P104="PRÓPRIA",VLOOKUP(Q104,COMPOSIÇÃO!$1:$1048576,7,FALSE),VLOOKUP(Q104,'SINAPI 04-26-SD'!$A$1:$H$272700,3,FALSE)))))</f>
        <v>M3</v>
      </c>
      <c r="T104" s="393">
        <v>3.78</v>
      </c>
      <c r="U104" s="394">
        <f>TRUNC(IF(P104="CDHU",VLOOKUP(Q104,'CDHU 201-SD'!$A$1:$J$28014,6,FALSE),IF(P104="FDE",VLOOKUP(Q104,'FDE 01-26-SD'!$A$1:$J$280013,6,FALSE),IF(P104="PRÓPRIA",VLOOKUP(Q104,COMPOSIÇÃO!$1:$1048576,10,FALSE),VLOOKUP(Q104,'SINAPI 04-26-SD'!$A$1:$H$272700,4,FALSE)))),2)</f>
        <v>541.64</v>
      </c>
      <c r="V104" s="416">
        <f t="shared" si="303"/>
        <v>2047.39</v>
      </c>
      <c r="W104" s="395">
        <f>IF($AA104="N",BDI!$D$26,IF($AA104="D",'BDI DIFE.'!$D$26,"ERRO"))</f>
        <v>0.22500000000000001</v>
      </c>
      <c r="X104" s="379">
        <f t="shared" si="304"/>
        <v>663.5</v>
      </c>
      <c r="Y104" s="380">
        <f t="shared" si="305"/>
        <v>2508.0300000000002</v>
      </c>
      <c r="Z104" s="381"/>
      <c r="AA104" s="378" t="s">
        <v>28044</v>
      </c>
      <c r="AB104" s="642"/>
    </row>
    <row r="105" spans="2:29" s="55" customFormat="1">
      <c r="B105" s="378">
        <f t="shared" ca="1" si="274"/>
        <v>3</v>
      </c>
      <c r="C105" s="378" t="str">
        <f t="shared" si="301"/>
        <v>S</v>
      </c>
      <c r="D105" s="378">
        <f t="shared" ca="1" si="299"/>
        <v>7</v>
      </c>
      <c r="E105" s="378">
        <f t="shared" ca="1" si="275"/>
        <v>6</v>
      </c>
      <c r="F105" s="378" t="str">
        <f t="shared" ca="1" si="276"/>
        <v>0</v>
      </c>
      <c r="G105" s="378" t="str">
        <f t="shared" ca="1" si="277"/>
        <v>0</v>
      </c>
      <c r="H105" s="378" t="str">
        <f t="shared" ca="1" si="278"/>
        <v>0</v>
      </c>
      <c r="I105" s="378" t="str">
        <f t="shared" ca="1" si="279"/>
        <v>0</v>
      </c>
      <c r="J105" s="378">
        <f t="shared" ca="1" si="300"/>
        <v>5</v>
      </c>
      <c r="K105" s="378" t="str">
        <f t="shared" si="280"/>
        <v>NÃO</v>
      </c>
      <c r="L105" s="378" t="str">
        <f t="shared" ca="1" si="281"/>
        <v>7.6.5</v>
      </c>
      <c r="M105" s="55" t="s">
        <v>27868</v>
      </c>
      <c r="O105" s="392" t="str">
        <f t="shared" ca="1" si="302"/>
        <v>7.6.5</v>
      </c>
      <c r="P105" s="413" t="s">
        <v>41227</v>
      </c>
      <c r="Q105" s="414" t="s">
        <v>41804</v>
      </c>
      <c r="R105" s="415" t="str">
        <f>UPPER(IF(P105="CDHU",VLOOKUP(Q105,'CDHU 201-SD'!$A$1:$J$28014,2,FALSE),IF(P105="FDE",VLOOKUP(Q105,'FDE 01-26-SD'!$A$1:$J$280013,2,FALSE),IF(P105="PRÓPRIA",VLOOKUP(Q105,COMPOSIÇÃO!$1:$1048576,3,FALSE),VLOOKUP(Q105,'SINAPI 04-26-SD'!$A$1:$H$272700,2,FALSE)))))</f>
        <v>CONTROLE TECNOLOGICO DE CONCRETOS</v>
      </c>
      <c r="S105" s="414" t="str">
        <f>UPPER(IF(P105="CDHU",VLOOKUP(Q105,'CDHU 201-SD'!$A$1:$J$28014,3,FALSE),IF(P105="FDE",VLOOKUP(Q105,'FDE 01-26-SD'!$A$1:$J$280013,3,FALSE),IF(P105="PRÓPRIA",VLOOKUP(Q105,COMPOSIÇÃO!$1:$1048576,7,FALSE),VLOOKUP(Q105,'SINAPI 04-26-SD'!$A$1:$H$272700,3,FALSE)))))</f>
        <v>M3</v>
      </c>
      <c r="T105" s="393">
        <v>3.78</v>
      </c>
      <c r="U105" s="394">
        <f>TRUNC(IF(P105="CDHU",VLOOKUP(Q105,'CDHU 201-SD'!$A$1:$J$28014,6,FALSE),IF(P105="FDE",VLOOKUP(Q105,'FDE 01-26-SD'!$A$1:$J$280013,6,FALSE),IF(P105="PRÓPRIA",VLOOKUP(Q105,COMPOSIÇÃO!$1:$1048576,10,FALSE),VLOOKUP(Q105,'SINAPI 04-26-SD'!$A$1:$H$272700,4,FALSE)))),2)</f>
        <v>105.96</v>
      </c>
      <c r="V105" s="416">
        <f t="shared" si="303"/>
        <v>400.52</v>
      </c>
      <c r="W105" s="395">
        <f>IF($AA105="N",BDI!$D$26,IF($AA105="D",'BDI DIFE.'!$D$26,"ERRO"))</f>
        <v>0.22500000000000001</v>
      </c>
      <c r="X105" s="379">
        <f t="shared" si="304"/>
        <v>129.80000000000001</v>
      </c>
      <c r="Y105" s="380">
        <f t="shared" si="305"/>
        <v>490.64</v>
      </c>
      <c r="Z105" s="381"/>
      <c r="AA105" s="378" t="s">
        <v>28044</v>
      </c>
      <c r="AB105" s="642"/>
    </row>
    <row r="106" spans="2:29" s="55" customFormat="1" ht="31" thickBot="1">
      <c r="B106" s="378">
        <f t="shared" ca="1" si="274"/>
        <v>3</v>
      </c>
      <c r="C106" s="378" t="str">
        <f t="shared" si="301"/>
        <v>S</v>
      </c>
      <c r="D106" s="378">
        <f t="shared" ca="1" si="299"/>
        <v>7</v>
      </c>
      <c r="E106" s="378">
        <f t="shared" ca="1" si="275"/>
        <v>6</v>
      </c>
      <c r="F106" s="378" t="str">
        <f t="shared" ca="1" si="276"/>
        <v>0</v>
      </c>
      <c r="G106" s="378" t="str">
        <f t="shared" ca="1" si="277"/>
        <v>0</v>
      </c>
      <c r="H106" s="378" t="str">
        <f t="shared" ca="1" si="278"/>
        <v>0</v>
      </c>
      <c r="I106" s="378" t="str">
        <f t="shared" ca="1" si="279"/>
        <v>0</v>
      </c>
      <c r="J106" s="378">
        <f t="shared" ca="1" si="300"/>
        <v>6</v>
      </c>
      <c r="K106" s="378" t="str">
        <f t="shared" si="280"/>
        <v>NÃO</v>
      </c>
      <c r="L106" s="378" t="str">
        <f t="shared" ca="1" si="281"/>
        <v>7.6.6</v>
      </c>
      <c r="M106" s="55" t="s">
        <v>27868</v>
      </c>
      <c r="O106" s="392" t="str">
        <f t="shared" ca="1" si="302"/>
        <v>7.6.6</v>
      </c>
      <c r="P106" s="413" t="s">
        <v>29901</v>
      </c>
      <c r="Q106" s="414" t="s">
        <v>11769</v>
      </c>
      <c r="R106" s="415" t="str">
        <f>UPPER(IF(P106="CDHU",VLOOKUP(Q106,'CDHU 201-SD'!$A$1:$J$28014,2,FALSE),IF(P106="FDE",VLOOKUP(Q106,'FDE 01-26-SD'!$A$1:$J$280013,2,FALSE),IF(P106="PRÓPRIA",VLOOKUP(Q106,COMPOSIÇÃO!$1:$1048576,3,FALSE),VLOOKUP(Q106,'SINAPI 04-26-SD'!$A$1:$H$272700,2,FALSE)))))</f>
        <v>LANÇAMENTO E ADENSAMENTO DE CONCRETO OU MASSA EM ESTRUTURA</v>
      </c>
      <c r="S106" s="414" t="str">
        <f>UPPER(IF(P106="CDHU",VLOOKUP(Q106,'CDHU 201-SD'!$A$1:$J$28014,3,FALSE),IF(P106="FDE",VLOOKUP(Q106,'FDE 01-26-SD'!$A$1:$J$280013,3,FALSE),IF(P106="PRÓPRIA",VLOOKUP(Q106,COMPOSIÇÃO!$1:$1048576,7,FALSE),VLOOKUP(Q106,'SINAPI 04-26-SD'!$A$1:$H$272700,3,FALSE)))))</f>
        <v>M3</v>
      </c>
      <c r="T106" s="393">
        <v>3.78</v>
      </c>
      <c r="U106" s="394">
        <f>TRUNC(IF(P106="CDHU",VLOOKUP(Q106,'CDHU 201-SD'!$A$1:$J$28014,6,FALSE),IF(P106="FDE",VLOOKUP(Q106,'FDE 01-26-SD'!$A$1:$J$280013,6,FALSE),IF(P106="PRÓPRIA",VLOOKUP(Q106,COMPOSIÇÃO!$1:$1048576,10,FALSE),VLOOKUP(Q106,'SINAPI 04-26-SD'!$A$1:$H$272700,4,FALSE)))),2)</f>
        <v>132.30000000000001</v>
      </c>
      <c r="V106" s="416">
        <f t="shared" si="303"/>
        <v>500.09</v>
      </c>
      <c r="W106" s="395">
        <f>IF($AA106="N",BDI!$D$26,IF($AA106="D",'BDI DIFE.'!$D$26,"ERRO"))</f>
        <v>0.22500000000000001</v>
      </c>
      <c r="X106" s="379">
        <f t="shared" si="304"/>
        <v>162.06</v>
      </c>
      <c r="Y106" s="380">
        <f t="shared" si="305"/>
        <v>612.58000000000004</v>
      </c>
      <c r="Z106" s="381"/>
      <c r="AA106" s="378" t="s">
        <v>28044</v>
      </c>
      <c r="AB106" s="642"/>
    </row>
    <row r="107" spans="2:29" s="55" customFormat="1" ht="16" thickBot="1">
      <c r="B107" s="378" t="str">
        <f t="shared" ref="B107" ca="1" si="306">IF(C107="S",IF(OFFSET(C107,-1,0)="S", OFFSET(B107,-1,0), OFFSET(B107,-1,0) +1 ), C107)</f>
        <v/>
      </c>
      <c r="C107" s="378" t="str">
        <f>IF(RIGHT($M107) = "o", "S", RIGHT($M107))</f>
        <v/>
      </c>
      <c r="D107" s="378">
        <f t="shared" ref="D107:D222" ca="1" si="307">IF($C107="1",OFFSET(D107,-2,0) +1,OFFSET(D107,-1,0))</f>
        <v>7</v>
      </c>
      <c r="E107" s="378">
        <f t="shared" ref="E107" ca="1" si="308">IF($C107="2",OFFSET(E107,-1,0) +1,IF(OFFSET(D107,-1,0)&lt;&gt;D107,"0",IF(OFFSET(E107,-1,0)="","0",OFFSET(E107,-1,0))))</f>
        <v>6</v>
      </c>
      <c r="F107" s="378" t="str">
        <f t="shared" ref="F107" ca="1" si="309">IF($C107="3",OFFSET(F107,-1,0) +1,IF(OFFSET(E107,-1,0)&lt;&gt;E107,"0",IF(OFFSET(F107,-1,0)="","0",OFFSET(F107,-1,0))))</f>
        <v>0</v>
      </c>
      <c r="G107" s="378" t="str">
        <f t="shared" ref="G107" ca="1" si="310">IF($C107="4",OFFSET(G107,-1,0) +1,IF(OFFSET(F107,-1,0)&lt;&gt;F107,"0",IF(OFFSET(G107,-1,0)="","0",OFFSET(G107,-1,0))))</f>
        <v>0</v>
      </c>
      <c r="H107" s="378" t="str">
        <f t="shared" ref="H107" ca="1" si="311">IF($C107="5",OFFSET(H107,-1,0) +1,IF(OFFSET(G107,-1,0)&lt;&gt;G107,"0",IF(OFFSET(H107,-1,0)="","0",OFFSET(H107,-1,0))))</f>
        <v>0</v>
      </c>
      <c r="I107" s="378" t="str">
        <f t="shared" ref="I107" ca="1" si="312">IF($C107="6",OFFSET(I107,-1,0) +1,IF(OFFSET(H107,-1,0)&lt;&gt;H107,"0",IF(OFFSET(I107,-1,0)="","0", OFFSET(I107,-1,0))))</f>
        <v>0</v>
      </c>
      <c r="J107" s="378" t="str">
        <f t="shared" ref="J107:J222" ca="1" si="313">IF($C107="S",OFFSET(J107,-1,0)+1,"0")</f>
        <v>0</v>
      </c>
      <c r="K107" s="378" t="b">
        <f t="shared" ref="K107" si="314">IF(C107="S","NÃO", IF(C107="1", D107, IF(C107="2", D107 &amp; "." &amp; E107,IF(C107="3", D107 &amp; "." &amp; E107 &amp; "." &amp; F107, IF(C107="4", D107 &amp; "." &amp; E107 &amp; "." &amp; F107 &amp; "." &amp; G107, IF(C107="5", D107 &amp; "." &amp; E107 &amp; "." &amp; F107 &amp; "." &amp; G107 &amp; "." &amp; H107, IF(C107="6", D107 &amp; "." &amp; E107 &amp; "." &amp; F107 &amp; "." &amp; G107 &amp; "." &amp; H107 &amp; "." &amp; I107)))))))</f>
        <v>0</v>
      </c>
      <c r="L107" s="378" t="b">
        <f t="shared" ref="L107" si="315">IF(K107="NÃO",IF($B107=2,D107&amp;"."&amp;J107,IF($B107=3,D107&amp;"."&amp;E107&amp;"."&amp;J107,IF($B107=4,D107&amp;"."&amp;E107&amp;"."&amp;F107&amp;"."&amp;J107,IF($B107=5,D107&amp;"."&amp;E107&amp;"."&amp;F107&amp;"."&amp;G107&amp;"."&amp;J107,IF($B107=6,D107&amp;"."&amp;E107&amp;"."&amp;F107&amp;"."&amp;G107&amp;"."&amp;H107&amp;"."&amp;J107,IF($B107=7,D107&amp;"."&amp;E107&amp;"."&amp;F107&amp;"."&amp;G107&amp;"."&amp;H107&amp;"."&amp;I107&amp;"."&amp;J107,"FALHA")))))),K107)</f>
        <v>0</v>
      </c>
      <c r="O107" s="192"/>
      <c r="P107" s="387"/>
      <c r="Q107" s="387"/>
      <c r="R107" s="377"/>
      <c r="S107" s="387"/>
      <c r="T107" s="363"/>
      <c r="U107" s="388"/>
      <c r="V107" s="389"/>
      <c r="W107" s="389"/>
      <c r="X107" s="389"/>
      <c r="Y107" s="390"/>
      <c r="AA107" s="378"/>
      <c r="AB107" s="642"/>
    </row>
    <row r="108" spans="2:29" s="75" customFormat="1" ht="16" thickBot="1">
      <c r="B108" s="75" t="str">
        <f t="shared" ref="B108:B142" ca="1" si="316">IF(C108="S",IF(OFFSET(C108,-1,0)="S", OFFSET(B108,-1,0), OFFSET(B108,-1,0) +1 ), C108)</f>
        <v>2</v>
      </c>
      <c r="C108" s="75" t="str">
        <f t="shared" ref="C108:C141" si="317">IF(RIGHT($M108) = "o", "S", RIGHT($M108))</f>
        <v>2</v>
      </c>
      <c r="D108" s="75">
        <f t="shared" ca="1" si="307"/>
        <v>7</v>
      </c>
      <c r="E108" s="75">
        <f t="shared" ref="E108:E142" ca="1" si="318">IF($C108="2",OFFSET(E108,-1,0) +1,IF(OFFSET(D108,-1,0)&lt;&gt;D108,"0",IF(OFFSET(E108,-1,0)="","0",OFFSET(E108,-1,0))))</f>
        <v>7</v>
      </c>
      <c r="F108" s="75" t="str">
        <f t="shared" ref="F108:F142" ca="1" si="319">IF($C108="3",OFFSET(F108,-1,0) +1,IF(OFFSET(E108,-1,0)&lt;&gt;E108,"0",IF(OFFSET(F108,-1,0)="","0",OFFSET(F108,-1,0))))</f>
        <v>0</v>
      </c>
      <c r="G108" s="75" t="str">
        <f t="shared" ref="G108:G142" ca="1" si="320">IF($C108="4",OFFSET(G108,-1,0) +1,IF(OFFSET(F108,-1,0)&lt;&gt;F108,"0",IF(OFFSET(G108,-1,0)="","0",OFFSET(G108,-1,0))))</f>
        <v>0</v>
      </c>
      <c r="H108" s="75" t="str">
        <f t="shared" ref="H108:H142" ca="1" si="321">IF($C108="5",OFFSET(H108,-1,0) +1,IF(OFFSET(G108,-1,0)&lt;&gt;G108,"0",IF(OFFSET(H108,-1,0)="","0",OFFSET(H108,-1,0))))</f>
        <v>0</v>
      </c>
      <c r="I108" s="75" t="str">
        <f t="shared" ref="I108:I142" ca="1" si="322">IF($C108="6",OFFSET(I108,-1,0) +1,IF(OFFSET(H108,-1,0)&lt;&gt;H108,"0",IF(OFFSET(I108,-1,0)="","0", OFFSET(I108,-1,0))))</f>
        <v>0</v>
      </c>
      <c r="J108" s="75" t="str">
        <f t="shared" ca="1" si="313"/>
        <v>0</v>
      </c>
      <c r="K108" s="75" t="str">
        <f t="shared" ref="K108:K142" ca="1" si="323">IF(C108="S","NÃO", IF(C108="1", D108, IF(C108="2", D108 &amp; "." &amp; E108,IF(C108="3", D108 &amp; "." &amp; E108 &amp; "." &amp; F108, IF(C108="4", D108 &amp; "." &amp; E108 &amp; "." &amp; F108 &amp; "." &amp; G108, IF(C108="5", D108 &amp; "." &amp; E108 &amp; "." &amp; F108 &amp; "." &amp; G108 &amp; "." &amp; H108, IF(C108="6", D108 &amp; "." &amp; E108 &amp; "." &amp; F108 &amp; "." &amp; G108 &amp; "." &amp; H108 &amp; "." &amp; I108)))))))</f>
        <v>7.7</v>
      </c>
      <c r="L108" s="75" t="str">
        <f t="shared" ref="L108:L142" ca="1" si="324">IF(K108="NÃO",IF($B108=2,D108&amp;"."&amp;J108,IF($B108=3,D108&amp;"."&amp;E108&amp;"."&amp;J108,IF($B108=4,D108&amp;"."&amp;E108&amp;"."&amp;F108&amp;"."&amp;J108,IF($B108=5,D108&amp;"."&amp;E108&amp;"."&amp;F108&amp;"."&amp;G108&amp;"."&amp;J108,IF($B108=6,D108&amp;"."&amp;E108&amp;"."&amp;F108&amp;"."&amp;G108&amp;"."&amp;H108&amp;"."&amp;J108,IF($B108=7,D108&amp;"."&amp;E108&amp;"."&amp;F108&amp;"."&amp;G108&amp;"."&amp;H108&amp;"."&amp;I108&amp;"."&amp;J108,"FALHA")))))),K108)</f>
        <v>7.7</v>
      </c>
      <c r="M108" s="55" t="s">
        <v>27861</v>
      </c>
      <c r="O108" s="191" t="str">
        <f t="shared" ref="O108:O114" ca="1" si="325">L108</f>
        <v>7.7</v>
      </c>
      <c r="P108" s="172"/>
      <c r="Q108" s="172"/>
      <c r="R108" s="621" t="s">
        <v>44317</v>
      </c>
      <c r="S108" s="172"/>
      <c r="T108" s="194"/>
      <c r="U108" s="195"/>
      <c r="V108" s="196">
        <f ca="1">IF(VALUE(C108)=1,SUMIFS(V:V,D:D,D108,M:M,"Serviço"),IF(VALUE(C108)=2,SUMIFS(V:V,D:D,D108,E:E,E108,M:M,"Serviço"),IF(VALUE(C108)=3,SUMIFS(V:V,D:D,D108,E:E,E108,F:F,F108,M:M,"Serviço"),IF(VALUE(C108)=4,SUMIFS(V:V,D:D,D108,E:E,E108,F:F,F108,G:G,G108,M:M,"Serviço"),"ERRO"))))</f>
        <v>37685.64</v>
      </c>
      <c r="W108" s="197"/>
      <c r="X108" s="205"/>
      <c r="Y108" s="173">
        <f ca="1">IF(VALUE(C108)=1,SUMIFS(Y:Y,D:D,D108,M:M,"Serviço"),IF(VALUE(C108)=2,SUMIFS(Y:Y,D:D,D108,E:E,E108,M:M,"Serviço"),IF(VALUE(C108)=3,SUMIFS(Y:Y,D:D,D108,E:E,E108,F:F,F108,M:M,"Serviço"),IF(VALUE(C108)=4,SUMIFS(Y:Y,D:D,D108,E:E,E108,F:F,F108,G:G,G108,M:M,"Serviço"),"ERRO"))))</f>
        <v>46160.890000000007</v>
      </c>
      <c r="AB108" s="641"/>
    </row>
    <row r="109" spans="2:29" s="55" customFormat="1" ht="30">
      <c r="B109" s="378">
        <f t="shared" ref="B109:B112" ca="1" si="326">IF(C109="S",IF(OFFSET(C109,-1,0)="S", OFFSET(B109,-1,0), OFFSET(B109,-1,0) +1 ), C109)</f>
        <v>3</v>
      </c>
      <c r="C109" s="378" t="str">
        <f t="shared" si="317"/>
        <v>S</v>
      </c>
      <c r="D109" s="378">
        <f t="shared" ca="1" si="307"/>
        <v>7</v>
      </c>
      <c r="E109" s="378">
        <f t="shared" ref="E109:E112" ca="1" si="327">IF($C109="2",OFFSET(E109,-1,0) +1,IF(OFFSET(D109,-1,0)&lt;&gt;D109,"0",IF(OFFSET(E109,-1,0)="","0",OFFSET(E109,-1,0))))</f>
        <v>7</v>
      </c>
      <c r="F109" s="378" t="str">
        <f t="shared" ref="F109:F112" ca="1" si="328">IF($C109="3",OFFSET(F109,-1,0) +1,IF(OFFSET(E109,-1,0)&lt;&gt;E109,"0",IF(OFFSET(F109,-1,0)="","0",OFFSET(F109,-1,0))))</f>
        <v>0</v>
      </c>
      <c r="G109" s="378" t="str">
        <f t="shared" ref="G109:G112" ca="1" si="329">IF($C109="4",OFFSET(G109,-1,0) +1,IF(OFFSET(F109,-1,0)&lt;&gt;F109,"0",IF(OFFSET(G109,-1,0)="","0",OFFSET(G109,-1,0))))</f>
        <v>0</v>
      </c>
      <c r="H109" s="378" t="str">
        <f t="shared" ref="H109:H112" ca="1" si="330">IF($C109="5",OFFSET(H109,-1,0) +1,IF(OFFSET(G109,-1,0)&lt;&gt;G109,"0",IF(OFFSET(H109,-1,0)="","0",OFFSET(H109,-1,0))))</f>
        <v>0</v>
      </c>
      <c r="I109" s="378" t="str">
        <f t="shared" ref="I109:I112" ca="1" si="331">IF($C109="6",OFFSET(I109,-1,0) +1,IF(OFFSET(H109,-1,0)&lt;&gt;H109,"0",IF(OFFSET(I109,-1,0)="","0", OFFSET(I109,-1,0))))</f>
        <v>0</v>
      </c>
      <c r="J109" s="378">
        <f t="shared" ca="1" si="313"/>
        <v>1</v>
      </c>
      <c r="K109" s="378" t="str">
        <f t="shared" ref="K109:K112" si="332">IF(C109="S","NÃO", IF(C109="1", D109, IF(C109="2", D109 &amp; "." &amp; E109,IF(C109="3", D109 &amp; "." &amp; E109 &amp; "." &amp; F109, IF(C109="4", D109 &amp; "." &amp; E109 &amp; "." &amp; F109 &amp; "." &amp; G109, IF(C109="5", D109 &amp; "." &amp; E109 &amp; "." &amp; F109 &amp; "." &amp; G109 &amp; "." &amp; H109, IF(C109="6", D109 &amp; "." &amp; E109 &amp; "." &amp; F109 &amp; "." &amp; G109 &amp; "." &amp; H109 &amp; "." &amp; I109)))))))</f>
        <v>NÃO</v>
      </c>
      <c r="L109" s="378" t="str">
        <f t="shared" ref="L109:L112" ca="1" si="333">IF(K109="NÃO",IF($B109=2,D109&amp;"."&amp;J109,IF($B109=3,D109&amp;"."&amp;E109&amp;"."&amp;J109,IF($B109=4,D109&amp;"."&amp;E109&amp;"."&amp;F109&amp;"."&amp;J109,IF($B109=5,D109&amp;"."&amp;E109&amp;"."&amp;F109&amp;"."&amp;G109&amp;"."&amp;J109,IF($B109=6,D109&amp;"."&amp;E109&amp;"."&amp;F109&amp;"."&amp;G109&amp;"."&amp;H109&amp;"."&amp;J109,IF($B109=7,D109&amp;"."&amp;E109&amp;"."&amp;F109&amp;"."&amp;G109&amp;"."&amp;H109&amp;"."&amp;I109&amp;"."&amp;J109,"FALHA")))))),K109)</f>
        <v>7.7.1</v>
      </c>
      <c r="M109" s="55" t="s">
        <v>27868</v>
      </c>
      <c r="O109" s="392" t="str">
        <f t="shared" ca="1" si="325"/>
        <v>7.7.1</v>
      </c>
      <c r="P109" s="413" t="s">
        <v>29901</v>
      </c>
      <c r="Q109" s="414" t="s">
        <v>11656</v>
      </c>
      <c r="R109" s="415" t="str">
        <f>UPPER(IF(P109="CDHU",VLOOKUP(Q109,'CDHU 201-SD'!$A$1:$J$28014,2,FALSE),IF(P109="FDE",VLOOKUP(Q109,'FDE 01-26-SD'!$A$1:$J$280013,2,FALSE),IF(P109="PRÓPRIA",VLOOKUP(Q109,COMPOSIÇÃO!$1:$1048576,3,FALSE),VLOOKUP(Q109,'SINAPI 04-26-SD'!$A$1:$H$272700,2,FALSE)))))</f>
        <v>FORMA PLANA EM COMPENSADO PARA ESTRUTURA CONVENCIONAL COM CIMBRAMENTO TUBULAR METÁLICO</v>
      </c>
      <c r="S109" s="414" t="str">
        <f>UPPER(IF(P109="CDHU",VLOOKUP(Q109,'CDHU 201-SD'!$A$1:$J$28014,3,FALSE),IF(P109="FDE",VLOOKUP(Q109,'FDE 01-26-SD'!$A$1:$J$280013,3,FALSE),IF(P109="PRÓPRIA",VLOOKUP(Q109,COMPOSIÇÃO!$1:$1048576,7,FALSE),VLOOKUP(Q109,'SINAPI 04-26-SD'!$A$1:$H$272700,3,FALSE)))))</f>
        <v>M2</v>
      </c>
      <c r="T109" s="393">
        <f>VLOOKUP(Q109,PILARES!$1:$1048576,12,FALSE)</f>
        <v>141.49</v>
      </c>
      <c r="U109" s="394">
        <f>TRUNC(IF(P109="CDHU",VLOOKUP(Q109,'CDHU 201-SD'!$A$1:$J$28014,6,FALSE),IF(P109="FDE",VLOOKUP(Q109,'FDE 01-26-SD'!$A$1:$J$280013,6,FALSE),IF(P109="PRÓPRIA",VLOOKUP(Q109,COMPOSIÇÃO!$1:$1048576,10,FALSE),VLOOKUP(Q109,'SINAPI 04-26-SD'!$A$1:$H$272700,4,FALSE)))),2)</f>
        <v>153.82</v>
      </c>
      <c r="V109" s="416">
        <f t="shared" ref="V109:V114" si="334">TRUNC(U109*T109,2)</f>
        <v>21763.99</v>
      </c>
      <c r="W109" s="395">
        <f>IF($AA109="N",BDI!$D$26,IF($AA109="D",'BDI DIFE.'!$D$26,"ERRO"))</f>
        <v>0.22500000000000001</v>
      </c>
      <c r="X109" s="379">
        <f t="shared" ref="X109:X114" si="335">TRUNC(U109*(1+W109),2)</f>
        <v>188.42</v>
      </c>
      <c r="Y109" s="380">
        <f t="shared" ref="Y109:Y114" si="336">TRUNC(T109*X109,2)</f>
        <v>26659.54</v>
      </c>
      <c r="Z109" s="381"/>
      <c r="AA109" s="378" t="s">
        <v>28044</v>
      </c>
      <c r="AB109" s="642"/>
    </row>
    <row r="110" spans="2:29" s="55" customFormat="1">
      <c r="B110" s="378">
        <f t="shared" ca="1" si="326"/>
        <v>3</v>
      </c>
      <c r="C110" s="378" t="str">
        <f t="shared" si="317"/>
        <v>S</v>
      </c>
      <c r="D110" s="378">
        <f t="shared" ca="1" si="307"/>
        <v>7</v>
      </c>
      <c r="E110" s="378">
        <f t="shared" ca="1" si="327"/>
        <v>7</v>
      </c>
      <c r="F110" s="378" t="str">
        <f t="shared" ca="1" si="328"/>
        <v>0</v>
      </c>
      <c r="G110" s="378" t="str">
        <f t="shared" ca="1" si="329"/>
        <v>0</v>
      </c>
      <c r="H110" s="378" t="str">
        <f t="shared" ca="1" si="330"/>
        <v>0</v>
      </c>
      <c r="I110" s="378" t="str">
        <f t="shared" ca="1" si="331"/>
        <v>0</v>
      </c>
      <c r="J110" s="378">
        <f t="shared" ca="1" si="313"/>
        <v>2</v>
      </c>
      <c r="K110" s="378" t="str">
        <f t="shared" si="332"/>
        <v>NÃO</v>
      </c>
      <c r="L110" s="378" t="str">
        <f t="shared" ca="1" si="333"/>
        <v>7.7.2</v>
      </c>
      <c r="M110" s="55" t="s">
        <v>27868</v>
      </c>
      <c r="O110" s="392" t="str">
        <f t="shared" ca="1" si="325"/>
        <v>7.7.2</v>
      </c>
      <c r="P110" s="413" t="s">
        <v>29901</v>
      </c>
      <c r="Q110" s="414" t="s">
        <v>11685</v>
      </c>
      <c r="R110" s="415" t="str">
        <f>UPPER(IF(P110="CDHU",VLOOKUP(Q110,'CDHU 201-SD'!$A$1:$J$28014,2,FALSE),IF(P110="FDE",VLOOKUP(Q110,'FDE 01-26-SD'!$A$1:$J$280013,2,FALSE),IF(P110="PRÓPRIA",VLOOKUP(Q110,COMPOSIÇÃO!$1:$1048576,3,FALSE),VLOOKUP(Q110,'SINAPI 04-26-SD'!$A$1:$H$272700,2,FALSE)))))</f>
        <v>ARMADURA EM BARRA DE AÇO CA-50 (A OU B) FYK = 500 MPA</v>
      </c>
      <c r="S110" s="414" t="str">
        <f>UPPER(IF(P110="CDHU",VLOOKUP(Q110,'CDHU 201-SD'!$A$1:$J$28014,3,FALSE),IF(P110="FDE",VLOOKUP(Q110,'FDE 01-26-SD'!$A$1:$J$280013,3,FALSE),IF(P110="PRÓPRIA",VLOOKUP(Q110,COMPOSIÇÃO!$1:$1048576,7,FALSE),VLOOKUP(Q110,'SINAPI 04-26-SD'!$A$1:$H$272700,3,FALSE)))))</f>
        <v>KG</v>
      </c>
      <c r="T110" s="393">
        <f>VLOOKUP(Q110,PILARES!$1:$1048576,12,FALSE)</f>
        <v>839.4</v>
      </c>
      <c r="U110" s="394">
        <f>TRUNC(IF(P110="CDHU",VLOOKUP(Q110,'CDHU 201-SD'!$A$1:$J$28014,6,FALSE),IF(P110="FDE",VLOOKUP(Q110,'FDE 01-26-SD'!$A$1:$J$280013,6,FALSE),IF(P110="PRÓPRIA",VLOOKUP(Q110,COMPOSIÇÃO!$1:$1048576,10,FALSE),VLOOKUP(Q110,'SINAPI 04-26-SD'!$A$1:$H$272700,4,FALSE)))),2)</f>
        <v>10.14</v>
      </c>
      <c r="V110" s="416">
        <f t="shared" si="334"/>
        <v>8511.51</v>
      </c>
      <c r="W110" s="395">
        <f>IF($AA110="N",BDI!$D$26,IF($AA110="D",'BDI DIFE.'!$D$26,"ERRO"))</f>
        <v>0.22500000000000001</v>
      </c>
      <c r="X110" s="379">
        <f t="shared" si="335"/>
        <v>12.42</v>
      </c>
      <c r="Y110" s="380">
        <f t="shared" si="336"/>
        <v>10425.34</v>
      </c>
      <c r="Z110" s="381"/>
      <c r="AA110" s="378" t="s">
        <v>28044</v>
      </c>
      <c r="AB110" s="642"/>
    </row>
    <row r="111" spans="2:29" s="55" customFormat="1">
      <c r="B111" s="378">
        <f t="shared" ca="1" si="326"/>
        <v>3</v>
      </c>
      <c r="C111" s="378" t="str">
        <f t="shared" si="317"/>
        <v>S</v>
      </c>
      <c r="D111" s="378">
        <f t="shared" ca="1" si="307"/>
        <v>7</v>
      </c>
      <c r="E111" s="378">
        <f t="shared" ca="1" si="327"/>
        <v>7</v>
      </c>
      <c r="F111" s="378" t="str">
        <f t="shared" ca="1" si="328"/>
        <v>0</v>
      </c>
      <c r="G111" s="378" t="str">
        <f t="shared" ca="1" si="329"/>
        <v>0</v>
      </c>
      <c r="H111" s="378" t="str">
        <f t="shared" ca="1" si="330"/>
        <v>0</v>
      </c>
      <c r="I111" s="378" t="str">
        <f t="shared" ca="1" si="331"/>
        <v>0</v>
      </c>
      <c r="J111" s="378">
        <f t="shared" ca="1" si="313"/>
        <v>3</v>
      </c>
      <c r="K111" s="378" t="str">
        <f t="shared" si="332"/>
        <v>NÃO</v>
      </c>
      <c r="L111" s="378" t="str">
        <f t="shared" ca="1" si="333"/>
        <v>7.7.3</v>
      </c>
      <c r="M111" s="55" t="s">
        <v>27868</v>
      </c>
      <c r="O111" s="392" t="str">
        <f t="shared" ca="1" si="325"/>
        <v>7.7.3</v>
      </c>
      <c r="P111" s="413" t="s">
        <v>29901</v>
      </c>
      <c r="Q111" s="414" t="s">
        <v>11687</v>
      </c>
      <c r="R111" s="415" t="str">
        <f>UPPER(IF(P111="CDHU",VLOOKUP(Q111,'CDHU 201-SD'!$A$1:$J$28014,2,FALSE),IF(P111="FDE",VLOOKUP(Q111,'FDE 01-26-SD'!$A$1:$J$280013,2,FALSE),IF(P111="PRÓPRIA",VLOOKUP(Q111,COMPOSIÇÃO!$1:$1048576,3,FALSE),VLOOKUP(Q111,'SINAPI 04-26-SD'!$A$1:$H$272700,2,FALSE)))))</f>
        <v>ARMADURA EM BARRA DE AÇO CA-60 (A OU B) FYK = 600 MPA</v>
      </c>
      <c r="S111" s="414" t="str">
        <f>UPPER(IF(P111="CDHU",VLOOKUP(Q111,'CDHU 201-SD'!$A$1:$J$28014,3,FALSE),IF(P111="FDE",VLOOKUP(Q111,'FDE 01-26-SD'!$A$1:$J$280013,3,FALSE),IF(P111="PRÓPRIA",VLOOKUP(Q111,COMPOSIÇÃO!$1:$1048576,7,FALSE),VLOOKUP(Q111,'SINAPI 04-26-SD'!$A$1:$H$272700,3,FALSE)))))</f>
        <v>KG</v>
      </c>
      <c r="T111" s="393">
        <f>VLOOKUP(Q111,PILARES!$1:$1048576,12,FALSE)</f>
        <v>164.9</v>
      </c>
      <c r="U111" s="394">
        <f>TRUNC(IF(P111="CDHU",VLOOKUP(Q111,'CDHU 201-SD'!$A$1:$J$28014,6,FALSE),IF(P111="FDE",VLOOKUP(Q111,'FDE 01-26-SD'!$A$1:$J$280013,6,FALSE),IF(P111="PRÓPRIA",VLOOKUP(Q111,COMPOSIÇÃO!$1:$1048576,10,FALSE),VLOOKUP(Q111,'SINAPI 04-26-SD'!$A$1:$H$272700,4,FALSE)))),2)</f>
        <v>10.79</v>
      </c>
      <c r="V111" s="416">
        <f t="shared" si="334"/>
        <v>1779.27</v>
      </c>
      <c r="W111" s="395">
        <f>IF($AA111="N",BDI!$D$26,IF($AA111="D",'BDI DIFE.'!$D$26,"ERRO"))</f>
        <v>0.22500000000000001</v>
      </c>
      <c r="X111" s="379">
        <f t="shared" si="335"/>
        <v>13.21</v>
      </c>
      <c r="Y111" s="380">
        <f t="shared" si="336"/>
        <v>2178.3200000000002</v>
      </c>
      <c r="Z111" s="381"/>
      <c r="AA111" s="378" t="s">
        <v>28044</v>
      </c>
      <c r="AB111" s="642"/>
    </row>
    <row r="112" spans="2:29" s="55" customFormat="1">
      <c r="B112" s="378">
        <f t="shared" ca="1" si="326"/>
        <v>3</v>
      </c>
      <c r="C112" s="378" t="str">
        <f t="shared" si="317"/>
        <v>S</v>
      </c>
      <c r="D112" s="378">
        <f t="shared" ca="1" si="307"/>
        <v>7</v>
      </c>
      <c r="E112" s="378">
        <f t="shared" ca="1" si="327"/>
        <v>7</v>
      </c>
      <c r="F112" s="378" t="str">
        <f t="shared" ca="1" si="328"/>
        <v>0</v>
      </c>
      <c r="G112" s="378" t="str">
        <f t="shared" ca="1" si="329"/>
        <v>0</v>
      </c>
      <c r="H112" s="378" t="str">
        <f t="shared" ca="1" si="330"/>
        <v>0</v>
      </c>
      <c r="I112" s="378" t="str">
        <f t="shared" ca="1" si="331"/>
        <v>0</v>
      </c>
      <c r="J112" s="378">
        <f t="shared" ca="1" si="313"/>
        <v>4</v>
      </c>
      <c r="K112" s="378" t="str">
        <f t="shared" si="332"/>
        <v>NÃO</v>
      </c>
      <c r="L112" s="378" t="str">
        <f t="shared" ca="1" si="333"/>
        <v>7.7.4</v>
      </c>
      <c r="M112" s="55" t="s">
        <v>27868</v>
      </c>
      <c r="O112" s="392" t="str">
        <f t="shared" ca="1" si="325"/>
        <v>7.7.4</v>
      </c>
      <c r="P112" s="413" t="s">
        <v>29901</v>
      </c>
      <c r="Q112" s="414" t="s">
        <v>11705</v>
      </c>
      <c r="R112" s="415" t="str">
        <f>UPPER(IF(P112="CDHU",VLOOKUP(Q112,'CDHU 201-SD'!$A$1:$J$28014,2,FALSE),IF(P112="FDE",VLOOKUP(Q112,'FDE 01-26-SD'!$A$1:$J$280013,2,FALSE),IF(P112="PRÓPRIA",VLOOKUP(Q112,COMPOSIÇÃO!$1:$1048576,3,FALSE),VLOOKUP(Q112,'SINAPI 04-26-SD'!$A$1:$H$272700,2,FALSE)))))</f>
        <v>CONCRETO USINADO, FCK = 30 MPA</v>
      </c>
      <c r="S112" s="414" t="str">
        <f>UPPER(IF(P112="CDHU",VLOOKUP(Q112,'CDHU 201-SD'!$A$1:$J$28014,3,FALSE),IF(P112="FDE",VLOOKUP(Q112,'FDE 01-26-SD'!$A$1:$J$280013,3,FALSE),IF(P112="PRÓPRIA",VLOOKUP(Q112,COMPOSIÇÃO!$1:$1048576,7,FALSE),VLOOKUP(Q112,'SINAPI 04-26-SD'!$A$1:$H$272700,3,FALSE)))))</f>
        <v>M3</v>
      </c>
      <c r="T112" s="393">
        <f>VLOOKUP(Q112,PILARES!$1:$1048576,12,FALSE)</f>
        <v>7.22</v>
      </c>
      <c r="U112" s="394">
        <f>TRUNC(IF(P112="CDHU",VLOOKUP(Q112,'CDHU 201-SD'!$A$1:$J$28014,6,FALSE),IF(P112="FDE",VLOOKUP(Q112,'FDE 01-26-SD'!$A$1:$J$280013,6,FALSE),IF(P112="PRÓPRIA",VLOOKUP(Q112,COMPOSIÇÃO!$1:$1048576,10,FALSE),VLOOKUP(Q112,'SINAPI 04-26-SD'!$A$1:$H$272700,4,FALSE)))),2)</f>
        <v>541.64</v>
      </c>
      <c r="V112" s="416">
        <f t="shared" si="334"/>
        <v>3910.64</v>
      </c>
      <c r="W112" s="395">
        <f>IF($AA112="N",BDI!$D$26,IF($AA112="D",'BDI DIFE.'!$D$26,"ERRO"))</f>
        <v>0.22500000000000001</v>
      </c>
      <c r="X112" s="379">
        <f t="shared" si="335"/>
        <v>663.5</v>
      </c>
      <c r="Y112" s="380">
        <f t="shared" si="336"/>
        <v>4790.47</v>
      </c>
      <c r="Z112" s="381"/>
      <c r="AA112" s="378" t="s">
        <v>28044</v>
      </c>
      <c r="AB112" s="642"/>
    </row>
    <row r="113" spans="2:28" s="55" customFormat="1">
      <c r="B113" s="378">
        <f t="shared" ca="1" si="316"/>
        <v>3</v>
      </c>
      <c r="C113" s="378" t="str">
        <f t="shared" si="317"/>
        <v>S</v>
      </c>
      <c r="D113" s="378">
        <f t="shared" ca="1" si="307"/>
        <v>7</v>
      </c>
      <c r="E113" s="378">
        <f t="shared" ca="1" si="318"/>
        <v>7</v>
      </c>
      <c r="F113" s="378" t="str">
        <f t="shared" ca="1" si="319"/>
        <v>0</v>
      </c>
      <c r="G113" s="378" t="str">
        <f t="shared" ca="1" si="320"/>
        <v>0</v>
      </c>
      <c r="H113" s="378" t="str">
        <f t="shared" ca="1" si="321"/>
        <v>0</v>
      </c>
      <c r="I113" s="378" t="str">
        <f t="shared" ca="1" si="322"/>
        <v>0</v>
      </c>
      <c r="J113" s="378">
        <f t="shared" ca="1" si="313"/>
        <v>5</v>
      </c>
      <c r="K113" s="378" t="str">
        <f t="shared" si="323"/>
        <v>NÃO</v>
      </c>
      <c r="L113" s="378" t="str">
        <f t="shared" ca="1" si="324"/>
        <v>7.7.5</v>
      </c>
      <c r="M113" s="55" t="s">
        <v>27868</v>
      </c>
      <c r="O113" s="392" t="str">
        <f t="shared" ca="1" si="325"/>
        <v>7.7.5</v>
      </c>
      <c r="P113" s="413" t="s">
        <v>41227</v>
      </c>
      <c r="Q113" s="414" t="s">
        <v>41804</v>
      </c>
      <c r="R113" s="415" t="str">
        <f>UPPER(IF(P113="CDHU",VLOOKUP(Q113,'CDHU 201-SD'!$A$1:$J$28014,2,FALSE),IF(P113="FDE",VLOOKUP(Q113,'FDE 01-26-SD'!$A$1:$J$280013,2,FALSE),IF(P113="PRÓPRIA",VLOOKUP(Q113,COMPOSIÇÃO!$1:$1048576,3,FALSE),VLOOKUP(Q113,'SINAPI 04-26-SD'!$A$1:$H$272700,2,FALSE)))))</f>
        <v>CONTROLE TECNOLOGICO DE CONCRETOS</v>
      </c>
      <c r="S113" s="414" t="str">
        <f>UPPER(IF(P113="CDHU",VLOOKUP(Q113,'CDHU 201-SD'!$A$1:$J$28014,3,FALSE),IF(P113="FDE",VLOOKUP(Q113,'FDE 01-26-SD'!$A$1:$J$280013,3,FALSE),IF(P113="PRÓPRIA",VLOOKUP(Q113,COMPOSIÇÃO!$1:$1048576,7,FALSE),VLOOKUP(Q113,'SINAPI 04-26-SD'!$A$1:$H$272700,3,FALSE)))))</f>
        <v>M3</v>
      </c>
      <c r="T113" s="393">
        <f>VLOOKUP(Q113,PILARES!$1:$1048576,12,FALSE)</f>
        <v>7.22</v>
      </c>
      <c r="U113" s="394">
        <f>TRUNC(IF(P113="CDHU",VLOOKUP(Q113,'CDHU 201-SD'!$A$1:$J$28014,6,FALSE),IF(P113="FDE",VLOOKUP(Q113,'FDE 01-26-SD'!$A$1:$J$280013,6,FALSE),IF(P113="PRÓPRIA",VLOOKUP(Q113,COMPOSIÇÃO!$1:$1048576,10,FALSE),VLOOKUP(Q113,'SINAPI 04-26-SD'!$A$1:$H$272700,4,FALSE)))),2)</f>
        <v>105.96</v>
      </c>
      <c r="V113" s="416">
        <f t="shared" si="334"/>
        <v>765.03</v>
      </c>
      <c r="W113" s="395">
        <f>IF($AA113="N",BDI!$D$26,IF($AA113="D",'BDI DIFE.'!$D$26,"ERRO"))</f>
        <v>0.22500000000000001</v>
      </c>
      <c r="X113" s="379">
        <f t="shared" si="335"/>
        <v>129.80000000000001</v>
      </c>
      <c r="Y113" s="380">
        <f t="shared" si="336"/>
        <v>937.15</v>
      </c>
      <c r="Z113" s="381"/>
      <c r="AA113" s="378" t="s">
        <v>28044</v>
      </c>
      <c r="AB113" s="642"/>
    </row>
    <row r="114" spans="2:28" s="55" customFormat="1" ht="31" thickBot="1">
      <c r="B114" s="378">
        <f t="shared" ref="B114:B121" ca="1" si="337">IF(C114="S",IF(OFFSET(C114,-1,0)="S", OFFSET(B114,-1,0), OFFSET(B114,-1,0) +1 ), C114)</f>
        <v>3</v>
      </c>
      <c r="C114" s="378" t="str">
        <f t="shared" si="317"/>
        <v>S</v>
      </c>
      <c r="D114" s="378">
        <f t="shared" ca="1" si="307"/>
        <v>7</v>
      </c>
      <c r="E114" s="378">
        <f t="shared" ref="E114:E121" ca="1" si="338">IF($C114="2",OFFSET(E114,-1,0) +1,IF(OFFSET(D114,-1,0)&lt;&gt;D114,"0",IF(OFFSET(E114,-1,0)="","0",OFFSET(E114,-1,0))))</f>
        <v>7</v>
      </c>
      <c r="F114" s="378" t="str">
        <f t="shared" ref="F114:F121" ca="1" si="339">IF($C114="3",OFFSET(F114,-1,0) +1,IF(OFFSET(E114,-1,0)&lt;&gt;E114,"0",IF(OFFSET(F114,-1,0)="","0",OFFSET(F114,-1,0))))</f>
        <v>0</v>
      </c>
      <c r="G114" s="378" t="str">
        <f t="shared" ref="G114:G121" ca="1" si="340">IF($C114="4",OFFSET(G114,-1,0) +1,IF(OFFSET(F114,-1,0)&lt;&gt;F114,"0",IF(OFFSET(G114,-1,0)="","0",OFFSET(G114,-1,0))))</f>
        <v>0</v>
      </c>
      <c r="H114" s="378" t="str">
        <f t="shared" ref="H114:H121" ca="1" si="341">IF($C114="5",OFFSET(H114,-1,0) +1,IF(OFFSET(G114,-1,0)&lt;&gt;G114,"0",IF(OFFSET(H114,-1,0)="","0",OFFSET(H114,-1,0))))</f>
        <v>0</v>
      </c>
      <c r="I114" s="378" t="str">
        <f t="shared" ref="I114:I121" ca="1" si="342">IF($C114="6",OFFSET(I114,-1,0) +1,IF(OFFSET(H114,-1,0)&lt;&gt;H114,"0",IF(OFFSET(I114,-1,0)="","0", OFFSET(I114,-1,0))))</f>
        <v>0</v>
      </c>
      <c r="J114" s="378">
        <f t="shared" ca="1" si="313"/>
        <v>6</v>
      </c>
      <c r="K114" s="378" t="str">
        <f t="shared" ref="K114:K121" si="343">IF(C114="S","NÃO", IF(C114="1", D114, IF(C114="2", D114 &amp; "." &amp; E114,IF(C114="3", D114 &amp; "." &amp; E114 &amp; "." &amp; F114, IF(C114="4", D114 &amp; "." &amp; E114 &amp; "." &amp; F114 &amp; "." &amp; G114, IF(C114="5", D114 &amp; "." &amp; E114 &amp; "." &amp; F114 &amp; "." &amp; G114 &amp; "." &amp; H114, IF(C114="6", D114 &amp; "." &amp; E114 &amp; "." &amp; F114 &amp; "." &amp; G114 &amp; "." &amp; H114 &amp; "." &amp; I114)))))))</f>
        <v>NÃO</v>
      </c>
      <c r="L114" s="378" t="str">
        <f t="shared" ref="L114:L121" ca="1" si="344">IF(K114="NÃO",IF($B114=2,D114&amp;"."&amp;J114,IF($B114=3,D114&amp;"."&amp;E114&amp;"."&amp;J114,IF($B114=4,D114&amp;"."&amp;E114&amp;"."&amp;F114&amp;"."&amp;J114,IF($B114=5,D114&amp;"."&amp;E114&amp;"."&amp;F114&amp;"."&amp;G114&amp;"."&amp;J114,IF($B114=6,D114&amp;"."&amp;E114&amp;"."&amp;F114&amp;"."&amp;G114&amp;"."&amp;H114&amp;"."&amp;J114,IF($B114=7,D114&amp;"."&amp;E114&amp;"."&amp;F114&amp;"."&amp;G114&amp;"."&amp;H114&amp;"."&amp;I114&amp;"."&amp;J114,"FALHA")))))),K114)</f>
        <v>7.7.6</v>
      </c>
      <c r="M114" s="55" t="s">
        <v>27868</v>
      </c>
      <c r="O114" s="392" t="str">
        <f t="shared" ca="1" si="325"/>
        <v>7.7.6</v>
      </c>
      <c r="P114" s="413" t="s">
        <v>29901</v>
      </c>
      <c r="Q114" s="414" t="s">
        <v>11769</v>
      </c>
      <c r="R114" s="415" t="str">
        <f>UPPER(IF(P114="CDHU",VLOOKUP(Q114,'CDHU 201-SD'!$A$1:$J$28014,2,FALSE),IF(P114="FDE",VLOOKUP(Q114,'FDE 01-26-SD'!$A$1:$J$280013,2,FALSE),IF(P114="PRÓPRIA",VLOOKUP(Q114,COMPOSIÇÃO!$1:$1048576,3,FALSE),VLOOKUP(Q114,'SINAPI 04-26-SD'!$A$1:$H$272700,2,FALSE)))))</f>
        <v>LANÇAMENTO E ADENSAMENTO DE CONCRETO OU MASSA EM ESTRUTURA</v>
      </c>
      <c r="S114" s="414" t="str">
        <f>UPPER(IF(P114="CDHU",VLOOKUP(Q114,'CDHU 201-SD'!$A$1:$J$28014,3,FALSE),IF(P114="FDE",VLOOKUP(Q114,'FDE 01-26-SD'!$A$1:$J$280013,3,FALSE),IF(P114="PRÓPRIA",VLOOKUP(Q114,COMPOSIÇÃO!$1:$1048576,7,FALSE),VLOOKUP(Q114,'SINAPI 04-26-SD'!$A$1:$H$272700,3,FALSE)))))</f>
        <v>M3</v>
      </c>
      <c r="T114" s="393">
        <f>VLOOKUP(Q114,PILARES!$1:$1048576,12,FALSE)</f>
        <v>7.22</v>
      </c>
      <c r="U114" s="394">
        <f>TRUNC(IF(P114="CDHU",VLOOKUP(Q114,'CDHU 201-SD'!$A$1:$J$28014,6,FALSE),IF(P114="FDE",VLOOKUP(Q114,'FDE 01-26-SD'!$A$1:$J$280013,6,FALSE),IF(P114="PRÓPRIA",VLOOKUP(Q114,COMPOSIÇÃO!$1:$1048576,10,FALSE),VLOOKUP(Q114,'SINAPI 04-26-SD'!$A$1:$H$272700,4,FALSE)))),2)</f>
        <v>132.30000000000001</v>
      </c>
      <c r="V114" s="416">
        <f t="shared" si="334"/>
        <v>955.2</v>
      </c>
      <c r="W114" s="395">
        <f>IF($AA114="N",BDI!$D$26,IF($AA114="D",'BDI DIFE.'!$D$26,"ERRO"))</f>
        <v>0.22500000000000001</v>
      </c>
      <c r="X114" s="379">
        <f t="shared" si="335"/>
        <v>162.06</v>
      </c>
      <c r="Y114" s="380">
        <f t="shared" si="336"/>
        <v>1170.07</v>
      </c>
      <c r="Z114" s="381"/>
      <c r="AA114" s="378" t="s">
        <v>28044</v>
      </c>
      <c r="AB114" s="642"/>
    </row>
    <row r="115" spans="2:28" s="55" customFormat="1" ht="16" thickBot="1">
      <c r="B115" s="378" t="str">
        <f t="shared" ca="1" si="337"/>
        <v/>
      </c>
      <c r="C115" s="378" t="str">
        <f>IF(RIGHT($M115) = "o", "S", RIGHT($M115))</f>
        <v/>
      </c>
      <c r="D115" s="378">
        <f t="shared" ca="1" si="307"/>
        <v>7</v>
      </c>
      <c r="E115" s="378">
        <f t="shared" ca="1" si="338"/>
        <v>7</v>
      </c>
      <c r="F115" s="378" t="str">
        <f t="shared" ca="1" si="339"/>
        <v>0</v>
      </c>
      <c r="G115" s="378" t="str">
        <f t="shared" ca="1" si="340"/>
        <v>0</v>
      </c>
      <c r="H115" s="378" t="str">
        <f t="shared" ca="1" si="341"/>
        <v>0</v>
      </c>
      <c r="I115" s="378" t="str">
        <f t="shared" ca="1" si="342"/>
        <v>0</v>
      </c>
      <c r="J115" s="378" t="str">
        <f t="shared" ca="1" si="313"/>
        <v>0</v>
      </c>
      <c r="K115" s="378" t="b">
        <f t="shared" si="343"/>
        <v>0</v>
      </c>
      <c r="L115" s="378" t="b">
        <f t="shared" si="344"/>
        <v>0</v>
      </c>
      <c r="O115" s="192"/>
      <c r="P115" s="387"/>
      <c r="Q115" s="387"/>
      <c r="R115" s="377"/>
      <c r="S115" s="387"/>
      <c r="T115" s="363"/>
      <c r="U115" s="388"/>
      <c r="V115" s="389"/>
      <c r="W115" s="389"/>
      <c r="X115" s="389"/>
      <c r="Y115" s="390"/>
      <c r="AA115" s="378"/>
      <c r="AB115" s="642"/>
    </row>
    <row r="116" spans="2:28" s="75" customFormat="1" ht="16" thickBot="1">
      <c r="B116" s="75" t="str">
        <f t="shared" ca="1" si="337"/>
        <v>2</v>
      </c>
      <c r="C116" s="75" t="str">
        <f t="shared" si="317"/>
        <v>2</v>
      </c>
      <c r="D116" s="75">
        <f t="shared" ca="1" si="307"/>
        <v>7</v>
      </c>
      <c r="E116" s="75">
        <f t="shared" ca="1" si="338"/>
        <v>8</v>
      </c>
      <c r="F116" s="75" t="str">
        <f t="shared" ca="1" si="339"/>
        <v>0</v>
      </c>
      <c r="G116" s="75" t="str">
        <f t="shared" ca="1" si="340"/>
        <v>0</v>
      </c>
      <c r="H116" s="75" t="str">
        <f t="shared" ca="1" si="341"/>
        <v>0</v>
      </c>
      <c r="I116" s="75" t="str">
        <f t="shared" ca="1" si="342"/>
        <v>0</v>
      </c>
      <c r="J116" s="75" t="str">
        <f t="shared" ca="1" si="313"/>
        <v>0</v>
      </c>
      <c r="K116" s="75" t="str">
        <f t="shared" ca="1" si="343"/>
        <v>7.8</v>
      </c>
      <c r="L116" s="75" t="str">
        <f t="shared" ca="1" si="344"/>
        <v>7.8</v>
      </c>
      <c r="M116" s="55" t="s">
        <v>27861</v>
      </c>
      <c r="O116" s="191" t="str">
        <f t="shared" ref="O116:O122" ca="1" si="345">L116</f>
        <v>7.8</v>
      </c>
      <c r="P116" s="172"/>
      <c r="Q116" s="172"/>
      <c r="R116" s="621" t="s">
        <v>44318</v>
      </c>
      <c r="S116" s="172"/>
      <c r="T116" s="194"/>
      <c r="U116" s="195"/>
      <c r="V116" s="196">
        <f ca="1">IF(VALUE(C116)=1,SUMIFS(V:V,D:D,D116,M:M,"Serviço"),IF(VALUE(C116)=2,SUMIFS(V:V,D:D,D116,E:E,E116,M:M,"Serviço"),IF(VALUE(C116)=3,SUMIFS(V:V,D:D,D116,E:E,E116,F:F,F116,M:M,"Serviço"),IF(VALUE(C116)=4,SUMIFS(V:V,D:D,D116,E:E,E116,F:F,F116,G:G,G116,M:M,"Serviço"),"ERRO"))))</f>
        <v>52199.350000000006</v>
      </c>
      <c r="W116" s="197"/>
      <c r="X116" s="205"/>
      <c r="Y116" s="173">
        <f ca="1">IF(VALUE(C116)=1,SUMIFS(Y:Y,D:D,D116,M:M,"Serviço"),IF(VALUE(C116)=2,SUMIFS(Y:Y,D:D,D116,E:E,E116,M:M,"Serviço"),IF(VALUE(C116)=3,SUMIFS(Y:Y,D:D,D116,E:E,E116,F:F,F116,M:M,"Serviço"),IF(VALUE(C116)=4,SUMIFS(Y:Y,D:D,D116,E:E,E116,F:F,F116,G:G,G116,M:M,"Serviço"),"ERRO"))))</f>
        <v>63939.05</v>
      </c>
      <c r="AB116" s="641"/>
    </row>
    <row r="117" spans="2:28" s="55" customFormat="1" ht="30">
      <c r="B117" s="378">
        <f t="shared" ca="1" si="337"/>
        <v>3</v>
      </c>
      <c r="C117" s="378" t="str">
        <f t="shared" si="317"/>
        <v>S</v>
      </c>
      <c r="D117" s="378">
        <f t="shared" ca="1" si="307"/>
        <v>7</v>
      </c>
      <c r="E117" s="378">
        <f t="shared" ca="1" si="338"/>
        <v>8</v>
      </c>
      <c r="F117" s="378" t="str">
        <f t="shared" ca="1" si="339"/>
        <v>0</v>
      </c>
      <c r="G117" s="378" t="str">
        <f t="shared" ca="1" si="340"/>
        <v>0</v>
      </c>
      <c r="H117" s="378" t="str">
        <f t="shared" ca="1" si="341"/>
        <v>0</v>
      </c>
      <c r="I117" s="378" t="str">
        <f t="shared" ca="1" si="342"/>
        <v>0</v>
      </c>
      <c r="J117" s="378">
        <f t="shared" ca="1" si="313"/>
        <v>1</v>
      </c>
      <c r="K117" s="378" t="str">
        <f t="shared" si="343"/>
        <v>NÃO</v>
      </c>
      <c r="L117" s="378" t="str">
        <f t="shared" ca="1" si="344"/>
        <v>7.8.1</v>
      </c>
      <c r="M117" s="55" t="s">
        <v>27868</v>
      </c>
      <c r="O117" s="392" t="str">
        <f t="shared" ca="1" si="345"/>
        <v>7.8.1</v>
      </c>
      <c r="P117" s="413" t="s">
        <v>29901</v>
      </c>
      <c r="Q117" s="414" t="s">
        <v>11656</v>
      </c>
      <c r="R117" s="415" t="str">
        <f>UPPER(IF(P117="CDHU",VLOOKUP(Q117,'CDHU 201-SD'!$A$1:$J$28014,2,FALSE),IF(P117="FDE",VLOOKUP(Q117,'FDE 01-26-SD'!$A$1:$J$280013,2,FALSE),IF(P117="PRÓPRIA",VLOOKUP(Q117,COMPOSIÇÃO!$1:$1048576,3,FALSE),VLOOKUP(Q117,'SINAPI 04-26-SD'!$A$1:$H$272700,2,FALSE)))))</f>
        <v>FORMA PLANA EM COMPENSADO PARA ESTRUTURA CONVENCIONAL COM CIMBRAMENTO TUBULAR METÁLICO</v>
      </c>
      <c r="S117" s="414" t="str">
        <f>UPPER(IF(P117="CDHU",VLOOKUP(Q117,'CDHU 201-SD'!$A$1:$J$28014,3,FALSE),IF(P117="FDE",VLOOKUP(Q117,'FDE 01-26-SD'!$A$1:$J$280013,3,FALSE),IF(P117="PRÓPRIA",VLOOKUP(Q117,COMPOSIÇÃO!$1:$1048576,7,FALSE),VLOOKUP(Q117,'SINAPI 04-26-SD'!$A$1:$H$272700,3,FALSE)))))</f>
        <v>M2</v>
      </c>
      <c r="T117" s="393">
        <f>VLOOKUP(Q117,VIGAS!$1:$1048576,12,FALSE)</f>
        <v>181.29</v>
      </c>
      <c r="U117" s="394">
        <f>TRUNC(IF(P117="CDHU",VLOOKUP(Q117,'CDHU 201-SD'!$A$1:$J$28014,6,FALSE),IF(P117="FDE",VLOOKUP(Q117,'FDE 01-26-SD'!$A$1:$J$280013,6,FALSE),IF(P117="PRÓPRIA",VLOOKUP(Q117,COMPOSIÇÃO!$1:$1048576,10,FALSE),VLOOKUP(Q117,'SINAPI 04-26-SD'!$A$1:$H$272700,4,FALSE)))),2)</f>
        <v>153.82</v>
      </c>
      <c r="V117" s="416">
        <f t="shared" ref="V117:V122" si="346">TRUNC(U117*T117,2)</f>
        <v>27886.02</v>
      </c>
      <c r="W117" s="395">
        <f>IF($AA117="N",BDI!$D$26,IF($AA117="D",'BDI DIFE.'!$D$26,"ERRO"))</f>
        <v>0.22500000000000001</v>
      </c>
      <c r="X117" s="379">
        <f t="shared" ref="X117:X122" si="347">TRUNC(U117*(1+W117),2)</f>
        <v>188.42</v>
      </c>
      <c r="Y117" s="380">
        <f t="shared" ref="Y117:Y122" si="348">TRUNC(T117*X117,2)</f>
        <v>34158.660000000003</v>
      </c>
      <c r="Z117" s="381"/>
      <c r="AA117" s="378" t="s">
        <v>28044</v>
      </c>
      <c r="AB117" s="642"/>
    </row>
    <row r="118" spans="2:28" s="55" customFormat="1">
      <c r="B118" s="378">
        <f t="shared" ca="1" si="337"/>
        <v>3</v>
      </c>
      <c r="C118" s="378" t="str">
        <f t="shared" si="317"/>
        <v>S</v>
      </c>
      <c r="D118" s="378">
        <f t="shared" ca="1" si="307"/>
        <v>7</v>
      </c>
      <c r="E118" s="378">
        <f t="shared" ca="1" si="338"/>
        <v>8</v>
      </c>
      <c r="F118" s="378" t="str">
        <f t="shared" ca="1" si="339"/>
        <v>0</v>
      </c>
      <c r="G118" s="378" t="str">
        <f t="shared" ca="1" si="340"/>
        <v>0</v>
      </c>
      <c r="H118" s="378" t="str">
        <f t="shared" ca="1" si="341"/>
        <v>0</v>
      </c>
      <c r="I118" s="378" t="str">
        <f t="shared" ca="1" si="342"/>
        <v>0</v>
      </c>
      <c r="J118" s="378">
        <f t="shared" ca="1" si="313"/>
        <v>2</v>
      </c>
      <c r="K118" s="378" t="str">
        <f t="shared" si="343"/>
        <v>NÃO</v>
      </c>
      <c r="L118" s="378" t="str">
        <f t="shared" ca="1" si="344"/>
        <v>7.8.2</v>
      </c>
      <c r="M118" s="55" t="s">
        <v>27868</v>
      </c>
      <c r="O118" s="392" t="str">
        <f t="shared" ca="1" si="345"/>
        <v>7.8.2</v>
      </c>
      <c r="P118" s="413" t="s">
        <v>29901</v>
      </c>
      <c r="Q118" s="414" t="s">
        <v>11685</v>
      </c>
      <c r="R118" s="415" t="str">
        <f>UPPER(IF(P118="CDHU",VLOOKUP(Q118,'CDHU 201-SD'!$A$1:$J$28014,2,FALSE),IF(P118="FDE",VLOOKUP(Q118,'FDE 01-26-SD'!$A$1:$J$280013,2,FALSE),IF(P118="PRÓPRIA",VLOOKUP(Q118,COMPOSIÇÃO!$1:$1048576,3,FALSE),VLOOKUP(Q118,'SINAPI 04-26-SD'!$A$1:$H$272700,2,FALSE)))))</f>
        <v>ARMADURA EM BARRA DE AÇO CA-50 (A OU B) FYK = 500 MPA</v>
      </c>
      <c r="S118" s="414" t="str">
        <f>UPPER(IF(P118="CDHU",VLOOKUP(Q118,'CDHU 201-SD'!$A$1:$J$28014,3,FALSE),IF(P118="FDE",VLOOKUP(Q118,'FDE 01-26-SD'!$A$1:$J$280013,3,FALSE),IF(P118="PRÓPRIA",VLOOKUP(Q118,COMPOSIÇÃO!$1:$1048576,7,FALSE),VLOOKUP(Q118,'SINAPI 04-26-SD'!$A$1:$H$272700,3,FALSE)))))</f>
        <v>KG</v>
      </c>
      <c r="T118" s="393">
        <f>VLOOKUP(Q118,VIGAS!$1:$1048576,12,FALSE)</f>
        <v>1081.5999999999999</v>
      </c>
      <c r="U118" s="394">
        <f>TRUNC(IF(P118="CDHU",VLOOKUP(Q118,'CDHU 201-SD'!$A$1:$J$28014,6,FALSE),IF(P118="FDE",VLOOKUP(Q118,'FDE 01-26-SD'!$A$1:$J$280013,6,FALSE),IF(P118="PRÓPRIA",VLOOKUP(Q118,COMPOSIÇÃO!$1:$1048576,10,FALSE),VLOOKUP(Q118,'SINAPI 04-26-SD'!$A$1:$H$272700,4,FALSE)))),2)</f>
        <v>10.14</v>
      </c>
      <c r="V118" s="416">
        <f t="shared" si="346"/>
        <v>10967.42</v>
      </c>
      <c r="W118" s="395">
        <f>IF($AA118="N",BDI!$D$26,IF($AA118="D",'BDI DIFE.'!$D$26,"ERRO"))</f>
        <v>0.22500000000000001</v>
      </c>
      <c r="X118" s="379">
        <f t="shared" si="347"/>
        <v>12.42</v>
      </c>
      <c r="Y118" s="380">
        <f t="shared" si="348"/>
        <v>13433.47</v>
      </c>
      <c r="Z118" s="381"/>
      <c r="AA118" s="378" t="s">
        <v>28044</v>
      </c>
      <c r="AB118" s="642"/>
    </row>
    <row r="119" spans="2:28" s="55" customFormat="1">
      <c r="B119" s="378">
        <f t="shared" ca="1" si="337"/>
        <v>3</v>
      </c>
      <c r="C119" s="378" t="str">
        <f t="shared" si="317"/>
        <v>S</v>
      </c>
      <c r="D119" s="378">
        <f t="shared" ca="1" si="307"/>
        <v>7</v>
      </c>
      <c r="E119" s="378">
        <f t="shared" ca="1" si="338"/>
        <v>8</v>
      </c>
      <c r="F119" s="378" t="str">
        <f t="shared" ca="1" si="339"/>
        <v>0</v>
      </c>
      <c r="G119" s="378" t="str">
        <f t="shared" ca="1" si="340"/>
        <v>0</v>
      </c>
      <c r="H119" s="378" t="str">
        <f t="shared" ca="1" si="341"/>
        <v>0</v>
      </c>
      <c r="I119" s="378" t="str">
        <f t="shared" ca="1" si="342"/>
        <v>0</v>
      </c>
      <c r="J119" s="378">
        <f t="shared" ca="1" si="313"/>
        <v>3</v>
      </c>
      <c r="K119" s="378" t="str">
        <f t="shared" si="343"/>
        <v>NÃO</v>
      </c>
      <c r="L119" s="378" t="str">
        <f t="shared" ca="1" si="344"/>
        <v>7.8.3</v>
      </c>
      <c r="M119" s="55" t="s">
        <v>27868</v>
      </c>
      <c r="O119" s="392" t="str">
        <f t="shared" ca="1" si="345"/>
        <v>7.8.3</v>
      </c>
      <c r="P119" s="413" t="s">
        <v>29901</v>
      </c>
      <c r="Q119" s="414" t="s">
        <v>11687</v>
      </c>
      <c r="R119" s="415" t="str">
        <f>UPPER(IF(P119="CDHU",VLOOKUP(Q119,'CDHU 201-SD'!$A$1:$J$28014,2,FALSE),IF(P119="FDE",VLOOKUP(Q119,'FDE 01-26-SD'!$A$1:$J$280013,2,FALSE),IF(P119="PRÓPRIA",VLOOKUP(Q119,COMPOSIÇÃO!$1:$1048576,3,FALSE),VLOOKUP(Q119,'SINAPI 04-26-SD'!$A$1:$H$272700,2,FALSE)))))</f>
        <v>ARMADURA EM BARRA DE AÇO CA-60 (A OU B) FYK = 600 MPA</v>
      </c>
      <c r="S119" s="414" t="str">
        <f>UPPER(IF(P119="CDHU",VLOOKUP(Q119,'CDHU 201-SD'!$A$1:$J$28014,3,FALSE),IF(P119="FDE",VLOOKUP(Q119,'FDE 01-26-SD'!$A$1:$J$280013,3,FALSE),IF(P119="PRÓPRIA",VLOOKUP(Q119,COMPOSIÇÃO!$1:$1048576,7,FALSE),VLOOKUP(Q119,'SINAPI 04-26-SD'!$A$1:$H$272700,3,FALSE)))))</f>
        <v>KG</v>
      </c>
      <c r="T119" s="393">
        <f>VLOOKUP(Q119,VIGAS!$1:$1048576,12,FALSE)</f>
        <v>204</v>
      </c>
      <c r="U119" s="394">
        <f>TRUNC(IF(P119="CDHU",VLOOKUP(Q119,'CDHU 201-SD'!$A$1:$J$28014,6,FALSE),IF(P119="FDE",VLOOKUP(Q119,'FDE 01-26-SD'!$A$1:$J$280013,6,FALSE),IF(P119="PRÓPRIA",VLOOKUP(Q119,COMPOSIÇÃO!$1:$1048576,10,FALSE),VLOOKUP(Q119,'SINAPI 04-26-SD'!$A$1:$H$272700,4,FALSE)))),2)</f>
        <v>10.79</v>
      </c>
      <c r="V119" s="416">
        <f t="shared" si="346"/>
        <v>2201.16</v>
      </c>
      <c r="W119" s="395">
        <f>IF($AA119="N",BDI!$D$26,IF($AA119="D",'BDI DIFE.'!$D$26,"ERRO"))</f>
        <v>0.22500000000000001</v>
      </c>
      <c r="X119" s="379">
        <f t="shared" si="347"/>
        <v>13.21</v>
      </c>
      <c r="Y119" s="380">
        <f t="shared" si="348"/>
        <v>2694.84</v>
      </c>
      <c r="Z119" s="381"/>
      <c r="AA119" s="378" t="s">
        <v>28044</v>
      </c>
      <c r="AB119" s="642"/>
    </row>
    <row r="120" spans="2:28" s="55" customFormat="1">
      <c r="B120" s="378">
        <f t="shared" ca="1" si="337"/>
        <v>3</v>
      </c>
      <c r="C120" s="378" t="str">
        <f t="shared" si="317"/>
        <v>S</v>
      </c>
      <c r="D120" s="378">
        <f t="shared" ca="1" si="307"/>
        <v>7</v>
      </c>
      <c r="E120" s="378">
        <f t="shared" ca="1" si="338"/>
        <v>8</v>
      </c>
      <c r="F120" s="378" t="str">
        <f t="shared" ca="1" si="339"/>
        <v>0</v>
      </c>
      <c r="G120" s="378" t="str">
        <f t="shared" ca="1" si="340"/>
        <v>0</v>
      </c>
      <c r="H120" s="378" t="str">
        <f t="shared" ca="1" si="341"/>
        <v>0</v>
      </c>
      <c r="I120" s="378" t="str">
        <f t="shared" ca="1" si="342"/>
        <v>0</v>
      </c>
      <c r="J120" s="378">
        <f t="shared" ca="1" si="313"/>
        <v>4</v>
      </c>
      <c r="K120" s="378" t="str">
        <f t="shared" si="343"/>
        <v>NÃO</v>
      </c>
      <c r="L120" s="378" t="str">
        <f t="shared" ca="1" si="344"/>
        <v>7.8.4</v>
      </c>
      <c r="M120" s="55" t="s">
        <v>27868</v>
      </c>
      <c r="O120" s="392" t="str">
        <f t="shared" ca="1" si="345"/>
        <v>7.8.4</v>
      </c>
      <c r="P120" s="413" t="s">
        <v>29901</v>
      </c>
      <c r="Q120" s="414" t="s">
        <v>11705</v>
      </c>
      <c r="R120" s="415" t="str">
        <f>UPPER(IF(P120="CDHU",VLOOKUP(Q120,'CDHU 201-SD'!$A$1:$J$28014,2,FALSE),IF(P120="FDE",VLOOKUP(Q120,'FDE 01-26-SD'!$A$1:$J$280013,2,FALSE),IF(P120="PRÓPRIA",VLOOKUP(Q120,COMPOSIÇÃO!$1:$1048576,3,FALSE),VLOOKUP(Q120,'SINAPI 04-26-SD'!$A$1:$H$272700,2,FALSE)))))</f>
        <v>CONCRETO USINADO, FCK = 30 MPA</v>
      </c>
      <c r="S120" s="414" t="str">
        <f>UPPER(IF(P120="CDHU",VLOOKUP(Q120,'CDHU 201-SD'!$A$1:$J$28014,3,FALSE),IF(P120="FDE",VLOOKUP(Q120,'FDE 01-26-SD'!$A$1:$J$280013,3,FALSE),IF(P120="PRÓPRIA",VLOOKUP(Q120,COMPOSIÇÃO!$1:$1048576,7,FALSE),VLOOKUP(Q120,'SINAPI 04-26-SD'!$A$1:$H$272700,3,FALSE)))))</f>
        <v>M3</v>
      </c>
      <c r="T120" s="393">
        <f>VLOOKUP(Q120,VIGAS!$1:$1048576,12,FALSE)</f>
        <v>14.29</v>
      </c>
      <c r="U120" s="394">
        <f>TRUNC(IF(P120="CDHU",VLOOKUP(Q120,'CDHU 201-SD'!$A$1:$J$28014,6,FALSE),IF(P120="FDE",VLOOKUP(Q120,'FDE 01-26-SD'!$A$1:$J$280013,6,FALSE),IF(P120="PRÓPRIA",VLOOKUP(Q120,COMPOSIÇÃO!$1:$1048576,10,FALSE),VLOOKUP(Q120,'SINAPI 04-26-SD'!$A$1:$H$272700,4,FALSE)))),2)</f>
        <v>541.64</v>
      </c>
      <c r="V120" s="416">
        <f t="shared" si="346"/>
        <v>7740.03</v>
      </c>
      <c r="W120" s="395">
        <f>IF($AA120="N",BDI!$D$26,IF($AA120="D",'BDI DIFE.'!$D$26,"ERRO"))</f>
        <v>0.22500000000000001</v>
      </c>
      <c r="X120" s="379">
        <f t="shared" si="347"/>
        <v>663.5</v>
      </c>
      <c r="Y120" s="380">
        <f t="shared" si="348"/>
        <v>9481.41</v>
      </c>
      <c r="Z120" s="381"/>
      <c r="AA120" s="378" t="s">
        <v>28044</v>
      </c>
      <c r="AB120" s="642"/>
    </row>
    <row r="121" spans="2:28" s="55" customFormat="1">
      <c r="B121" s="378">
        <f t="shared" ca="1" si="337"/>
        <v>3</v>
      </c>
      <c r="C121" s="378" t="str">
        <f t="shared" si="317"/>
        <v>S</v>
      </c>
      <c r="D121" s="378">
        <f t="shared" ca="1" si="307"/>
        <v>7</v>
      </c>
      <c r="E121" s="378">
        <f t="shared" ca="1" si="338"/>
        <v>8</v>
      </c>
      <c r="F121" s="378" t="str">
        <f t="shared" ca="1" si="339"/>
        <v>0</v>
      </c>
      <c r="G121" s="378" t="str">
        <f t="shared" ca="1" si="340"/>
        <v>0</v>
      </c>
      <c r="H121" s="378" t="str">
        <f t="shared" ca="1" si="341"/>
        <v>0</v>
      </c>
      <c r="I121" s="378" t="str">
        <f t="shared" ca="1" si="342"/>
        <v>0</v>
      </c>
      <c r="J121" s="378">
        <f t="shared" ca="1" si="313"/>
        <v>5</v>
      </c>
      <c r="K121" s="378" t="str">
        <f t="shared" si="343"/>
        <v>NÃO</v>
      </c>
      <c r="L121" s="378" t="str">
        <f t="shared" ca="1" si="344"/>
        <v>7.8.5</v>
      </c>
      <c r="M121" s="55" t="s">
        <v>27868</v>
      </c>
      <c r="O121" s="392" t="str">
        <f t="shared" ca="1" si="345"/>
        <v>7.8.5</v>
      </c>
      <c r="P121" s="413" t="s">
        <v>41227</v>
      </c>
      <c r="Q121" s="414" t="s">
        <v>41804</v>
      </c>
      <c r="R121" s="415" t="str">
        <f>UPPER(IF(P121="CDHU",VLOOKUP(Q121,'CDHU 201-SD'!$A$1:$J$28014,2,FALSE),IF(P121="FDE",VLOOKUP(Q121,'FDE 01-26-SD'!$A$1:$J$280013,2,FALSE),IF(P121="PRÓPRIA",VLOOKUP(Q121,COMPOSIÇÃO!$1:$1048576,3,FALSE),VLOOKUP(Q121,'SINAPI 04-26-SD'!$A$1:$H$272700,2,FALSE)))))</f>
        <v>CONTROLE TECNOLOGICO DE CONCRETOS</v>
      </c>
      <c r="S121" s="414" t="str">
        <f>UPPER(IF(P121="CDHU",VLOOKUP(Q121,'CDHU 201-SD'!$A$1:$J$28014,3,FALSE),IF(P121="FDE",VLOOKUP(Q121,'FDE 01-26-SD'!$A$1:$J$280013,3,FALSE),IF(P121="PRÓPRIA",VLOOKUP(Q121,COMPOSIÇÃO!$1:$1048576,7,FALSE),VLOOKUP(Q121,'SINAPI 04-26-SD'!$A$1:$H$272700,3,FALSE)))))</f>
        <v>M3</v>
      </c>
      <c r="T121" s="393">
        <f>VLOOKUP(Q121,VIGAS!$1:$1048576,12,FALSE)</f>
        <v>14.29</v>
      </c>
      <c r="U121" s="394">
        <f>TRUNC(IF(P121="CDHU",VLOOKUP(Q121,'CDHU 201-SD'!$A$1:$J$28014,6,FALSE),IF(P121="FDE",VLOOKUP(Q121,'FDE 01-26-SD'!$A$1:$J$280013,6,FALSE),IF(P121="PRÓPRIA",VLOOKUP(Q121,COMPOSIÇÃO!$1:$1048576,10,FALSE),VLOOKUP(Q121,'SINAPI 04-26-SD'!$A$1:$H$272700,4,FALSE)))),2)</f>
        <v>105.96</v>
      </c>
      <c r="V121" s="416">
        <f t="shared" si="346"/>
        <v>1514.16</v>
      </c>
      <c r="W121" s="395">
        <f>IF($AA121="N",BDI!$D$26,IF($AA121="D",'BDI DIFE.'!$D$26,"ERRO"))</f>
        <v>0.22500000000000001</v>
      </c>
      <c r="X121" s="379">
        <f t="shared" si="347"/>
        <v>129.80000000000001</v>
      </c>
      <c r="Y121" s="380">
        <f t="shared" si="348"/>
        <v>1854.84</v>
      </c>
      <c r="Z121" s="381"/>
      <c r="AA121" s="378" t="s">
        <v>28044</v>
      </c>
      <c r="AB121" s="642"/>
    </row>
    <row r="122" spans="2:28" s="55" customFormat="1" ht="31" thickBot="1">
      <c r="B122" s="378">
        <f t="shared" ref="B122:B132" ca="1" si="349">IF(C122="S",IF(OFFSET(C122,-1,0)="S", OFFSET(B122,-1,0), OFFSET(B122,-1,0) +1 ), C122)</f>
        <v>3</v>
      </c>
      <c r="C122" s="378" t="str">
        <f t="shared" si="317"/>
        <v>S</v>
      </c>
      <c r="D122" s="378">
        <f t="shared" ca="1" si="307"/>
        <v>7</v>
      </c>
      <c r="E122" s="378">
        <f t="shared" ref="E122:E132" ca="1" si="350">IF($C122="2",OFFSET(E122,-1,0) +1,IF(OFFSET(D122,-1,0)&lt;&gt;D122,"0",IF(OFFSET(E122,-1,0)="","0",OFFSET(E122,-1,0))))</f>
        <v>8</v>
      </c>
      <c r="F122" s="378" t="str">
        <f t="shared" ref="F122:F132" ca="1" si="351">IF($C122="3",OFFSET(F122,-1,0) +1,IF(OFFSET(E122,-1,0)&lt;&gt;E122,"0",IF(OFFSET(F122,-1,0)="","0",OFFSET(F122,-1,0))))</f>
        <v>0</v>
      </c>
      <c r="G122" s="378" t="str">
        <f t="shared" ref="G122:G132" ca="1" si="352">IF($C122="4",OFFSET(G122,-1,0) +1,IF(OFFSET(F122,-1,0)&lt;&gt;F122,"0",IF(OFFSET(G122,-1,0)="","0",OFFSET(G122,-1,0))))</f>
        <v>0</v>
      </c>
      <c r="H122" s="378" t="str">
        <f t="shared" ref="H122:H132" ca="1" si="353">IF($C122="5",OFFSET(H122,-1,0) +1,IF(OFFSET(G122,-1,0)&lt;&gt;G122,"0",IF(OFFSET(H122,-1,0)="","0",OFFSET(H122,-1,0))))</f>
        <v>0</v>
      </c>
      <c r="I122" s="378" t="str">
        <f t="shared" ref="I122:I132" ca="1" si="354">IF($C122="6",OFFSET(I122,-1,0) +1,IF(OFFSET(H122,-1,0)&lt;&gt;H122,"0",IF(OFFSET(I122,-1,0)="","0", OFFSET(I122,-1,0))))</f>
        <v>0</v>
      </c>
      <c r="J122" s="378">
        <f t="shared" ca="1" si="313"/>
        <v>6</v>
      </c>
      <c r="K122" s="378" t="str">
        <f t="shared" ref="K122:K132" si="355">IF(C122="S","NÃO", IF(C122="1", D122, IF(C122="2", D122 &amp; "." &amp; E122,IF(C122="3", D122 &amp; "." &amp; E122 &amp; "." &amp; F122, IF(C122="4", D122 &amp; "." &amp; E122 &amp; "." &amp; F122 &amp; "." &amp; G122, IF(C122="5", D122 &amp; "." &amp; E122 &amp; "." &amp; F122 &amp; "." &amp; G122 &amp; "." &amp; H122, IF(C122="6", D122 &amp; "." &amp; E122 &amp; "." &amp; F122 &amp; "." &amp; G122 &amp; "." &amp; H122 &amp; "." &amp; I122)))))))</f>
        <v>NÃO</v>
      </c>
      <c r="L122" s="378" t="str">
        <f t="shared" ref="L122:L132" ca="1" si="356">IF(K122="NÃO",IF($B122=2,D122&amp;"."&amp;J122,IF($B122=3,D122&amp;"."&amp;E122&amp;"."&amp;J122,IF($B122=4,D122&amp;"."&amp;E122&amp;"."&amp;F122&amp;"."&amp;J122,IF($B122=5,D122&amp;"."&amp;E122&amp;"."&amp;F122&amp;"."&amp;G122&amp;"."&amp;J122,IF($B122=6,D122&amp;"."&amp;E122&amp;"."&amp;F122&amp;"."&amp;G122&amp;"."&amp;H122&amp;"."&amp;J122,IF($B122=7,D122&amp;"."&amp;E122&amp;"."&amp;F122&amp;"."&amp;G122&amp;"."&amp;H122&amp;"."&amp;I122&amp;"."&amp;J122,"FALHA")))))),K122)</f>
        <v>7.8.6</v>
      </c>
      <c r="M122" s="55" t="s">
        <v>27868</v>
      </c>
      <c r="O122" s="392" t="str">
        <f t="shared" ca="1" si="345"/>
        <v>7.8.6</v>
      </c>
      <c r="P122" s="413" t="s">
        <v>29901</v>
      </c>
      <c r="Q122" s="414" t="s">
        <v>11769</v>
      </c>
      <c r="R122" s="415" t="str">
        <f>UPPER(IF(P122="CDHU",VLOOKUP(Q122,'CDHU 201-SD'!$A$1:$J$28014,2,FALSE),IF(P122="FDE",VLOOKUP(Q122,'FDE 01-26-SD'!$A$1:$J$280013,2,FALSE),IF(P122="PRÓPRIA",VLOOKUP(Q122,COMPOSIÇÃO!$1:$1048576,3,FALSE),VLOOKUP(Q122,'SINAPI 04-26-SD'!$A$1:$H$272700,2,FALSE)))))</f>
        <v>LANÇAMENTO E ADENSAMENTO DE CONCRETO OU MASSA EM ESTRUTURA</v>
      </c>
      <c r="S122" s="414" t="str">
        <f>UPPER(IF(P122="CDHU",VLOOKUP(Q122,'CDHU 201-SD'!$A$1:$J$28014,3,FALSE),IF(P122="FDE",VLOOKUP(Q122,'FDE 01-26-SD'!$A$1:$J$280013,3,FALSE),IF(P122="PRÓPRIA",VLOOKUP(Q122,COMPOSIÇÃO!$1:$1048576,7,FALSE),VLOOKUP(Q122,'SINAPI 04-26-SD'!$A$1:$H$272700,3,FALSE)))))</f>
        <v>M3</v>
      </c>
      <c r="T122" s="393">
        <f>VLOOKUP(Q122,VIGAS!$1:$1048576,12,FALSE)</f>
        <v>14.29</v>
      </c>
      <c r="U122" s="394">
        <f>TRUNC(IF(P122="CDHU",VLOOKUP(Q122,'CDHU 201-SD'!$A$1:$J$28014,6,FALSE),IF(P122="FDE",VLOOKUP(Q122,'FDE 01-26-SD'!$A$1:$J$280013,6,FALSE),IF(P122="PRÓPRIA",VLOOKUP(Q122,COMPOSIÇÃO!$1:$1048576,10,FALSE),VLOOKUP(Q122,'SINAPI 04-26-SD'!$A$1:$H$272700,4,FALSE)))),2)</f>
        <v>132.30000000000001</v>
      </c>
      <c r="V122" s="416">
        <f t="shared" si="346"/>
        <v>1890.56</v>
      </c>
      <c r="W122" s="395">
        <f>IF($AA122="N",BDI!$D$26,IF($AA122="D",'BDI DIFE.'!$D$26,"ERRO"))</f>
        <v>0.22500000000000001</v>
      </c>
      <c r="X122" s="379">
        <f t="shared" si="347"/>
        <v>162.06</v>
      </c>
      <c r="Y122" s="380">
        <f t="shared" si="348"/>
        <v>2315.83</v>
      </c>
      <c r="Z122" s="381"/>
      <c r="AA122" s="378" t="s">
        <v>28044</v>
      </c>
      <c r="AB122" s="642"/>
    </row>
    <row r="123" spans="2:28" s="55" customFormat="1" ht="16" thickBot="1">
      <c r="B123" s="378" t="str">
        <f t="shared" ca="1" si="349"/>
        <v/>
      </c>
      <c r="C123" s="378" t="str">
        <f>IF(RIGHT($M123) = "o", "S", RIGHT($M123))</f>
        <v/>
      </c>
      <c r="D123" s="378">
        <f t="shared" ca="1" si="307"/>
        <v>7</v>
      </c>
      <c r="E123" s="378">
        <f t="shared" ca="1" si="350"/>
        <v>8</v>
      </c>
      <c r="F123" s="378" t="str">
        <f t="shared" ca="1" si="351"/>
        <v>0</v>
      </c>
      <c r="G123" s="378" t="str">
        <f t="shared" ca="1" si="352"/>
        <v>0</v>
      </c>
      <c r="H123" s="378" t="str">
        <f t="shared" ca="1" si="353"/>
        <v>0</v>
      </c>
      <c r="I123" s="378" t="str">
        <f t="shared" ca="1" si="354"/>
        <v>0</v>
      </c>
      <c r="J123" s="378" t="str">
        <f t="shared" ca="1" si="313"/>
        <v>0</v>
      </c>
      <c r="K123" s="378" t="b">
        <f t="shared" si="355"/>
        <v>0</v>
      </c>
      <c r="L123" s="378" t="b">
        <f t="shared" si="356"/>
        <v>0</v>
      </c>
      <c r="O123" s="192"/>
      <c r="P123" s="387"/>
      <c r="Q123" s="387"/>
      <c r="R123" s="377"/>
      <c r="S123" s="387"/>
      <c r="T123" s="363"/>
      <c r="U123" s="388"/>
      <c r="V123" s="389"/>
      <c r="W123" s="389"/>
      <c r="X123" s="389"/>
      <c r="Y123" s="390"/>
      <c r="AA123" s="378"/>
      <c r="AB123" s="642"/>
    </row>
    <row r="124" spans="2:28" s="75" customFormat="1" ht="16" thickBot="1">
      <c r="B124" s="75" t="str">
        <f t="shared" ca="1" si="349"/>
        <v>2</v>
      </c>
      <c r="C124" s="75" t="str">
        <f t="shared" si="317"/>
        <v>2</v>
      </c>
      <c r="D124" s="75">
        <f t="shared" ca="1" si="307"/>
        <v>7</v>
      </c>
      <c r="E124" s="75">
        <f t="shared" ca="1" si="350"/>
        <v>9</v>
      </c>
      <c r="F124" s="75" t="str">
        <f t="shared" ca="1" si="351"/>
        <v>0</v>
      </c>
      <c r="G124" s="75" t="str">
        <f t="shared" ca="1" si="352"/>
        <v>0</v>
      </c>
      <c r="H124" s="75" t="str">
        <f t="shared" ca="1" si="353"/>
        <v>0</v>
      </c>
      <c r="I124" s="75" t="str">
        <f t="shared" ca="1" si="354"/>
        <v>0</v>
      </c>
      <c r="J124" s="75" t="str">
        <f t="shared" ca="1" si="313"/>
        <v>0</v>
      </c>
      <c r="K124" s="75" t="str">
        <f t="shared" ca="1" si="355"/>
        <v>7.9</v>
      </c>
      <c r="L124" s="75" t="str">
        <f t="shared" ca="1" si="356"/>
        <v>7.9</v>
      </c>
      <c r="M124" s="55" t="s">
        <v>27861</v>
      </c>
      <c r="O124" s="191" t="str">
        <f t="shared" ref="O124:O132" ca="1" si="357">L124</f>
        <v>7.9</v>
      </c>
      <c r="P124" s="172"/>
      <c r="Q124" s="172"/>
      <c r="R124" s="621" t="s">
        <v>44319</v>
      </c>
      <c r="S124" s="172"/>
      <c r="T124" s="194"/>
      <c r="U124" s="195"/>
      <c r="V124" s="196">
        <f ca="1">IF(VALUE(C124)=1,SUMIFS(V:V,D:D,D124,M:M,"Serviço"),IF(VALUE(C124)=2,SUMIFS(V:V,D:D,D124,E:E,E124,M:M,"Serviço"),IF(VALUE(C124)=3,SUMIFS(V:V,D:D,D124,E:E,E124,F:F,F124,M:M,"Serviço"),IF(VALUE(C124)=4,SUMIFS(V:V,D:D,D124,E:E,E124,F:F,F124,G:G,G124,M:M,"Serviço"),"ERRO"))))</f>
        <v>63802.94000000001</v>
      </c>
      <c r="W124" s="197"/>
      <c r="X124" s="205"/>
      <c r="Y124" s="173">
        <f ca="1">IF(VALUE(C124)=1,SUMIFS(Y:Y,D:D,D124,M:M,"Serviço"),IF(VALUE(C124)=2,SUMIFS(Y:Y,D:D,D124,E:E,E124,M:M,"Serviço"),IF(VALUE(C124)=3,SUMIFS(Y:Y,D:D,D124,E:E,E124,F:F,F124,M:M,"Serviço"),IF(VALUE(C124)=4,SUMIFS(Y:Y,D:D,D124,E:E,E124,F:F,F124,G:G,G124,M:M,"Serviço"),"ERRO"))))</f>
        <v>78156.100000000006</v>
      </c>
      <c r="AB124" s="641"/>
    </row>
    <row r="125" spans="2:28" s="55" customFormat="1" ht="30">
      <c r="B125" s="378">
        <f t="shared" ca="1" si="349"/>
        <v>3</v>
      </c>
      <c r="C125" s="378" t="str">
        <f t="shared" si="317"/>
        <v>S</v>
      </c>
      <c r="D125" s="378">
        <f t="shared" ca="1" si="307"/>
        <v>7</v>
      </c>
      <c r="E125" s="378">
        <f t="shared" ca="1" si="350"/>
        <v>9</v>
      </c>
      <c r="F125" s="378" t="str">
        <f t="shared" ca="1" si="351"/>
        <v>0</v>
      </c>
      <c r="G125" s="378" t="str">
        <f t="shared" ca="1" si="352"/>
        <v>0</v>
      </c>
      <c r="H125" s="378" t="str">
        <f t="shared" ca="1" si="353"/>
        <v>0</v>
      </c>
      <c r="I125" s="378" t="str">
        <f t="shared" ca="1" si="354"/>
        <v>0</v>
      </c>
      <c r="J125" s="378">
        <f t="shared" ca="1" si="313"/>
        <v>1</v>
      </c>
      <c r="K125" s="378" t="str">
        <f t="shared" si="355"/>
        <v>NÃO</v>
      </c>
      <c r="L125" s="378" t="str">
        <f t="shared" ca="1" si="356"/>
        <v>7.9.1</v>
      </c>
      <c r="M125" s="55" t="s">
        <v>27868</v>
      </c>
      <c r="O125" s="392" t="str">
        <f t="shared" ca="1" si="357"/>
        <v>7.9.1</v>
      </c>
      <c r="P125" s="413" t="s">
        <v>41227</v>
      </c>
      <c r="Q125" s="414" t="s">
        <v>44537</v>
      </c>
      <c r="R125" s="415" t="str">
        <f>UPPER(IF(P125="CDHU",VLOOKUP(Q125,'CDHU 201-SD'!$A$1:$J$28014,2,FALSE),IF(P125="FDE",VLOOKUP(Q125,'FDE 01-26-SD'!$A$1:$J$280013,2,FALSE),IF(P125="PRÓPRIA",VLOOKUP(Q125,COMPOSIÇÃO!$1:$1048576,3,FALSE),VLOOKUP(Q125,'SINAPI 04-26-SD'!$A$1:$H$272700,2,FALSE)))))</f>
        <v>LAJE PRÉ-FABRICADA MISTA VIGOTA PROTENDIDA/LAJOTA CERÂMICA - LP 17 (12+5) E CAPA COM CONCRETO DE 30 MPA</v>
      </c>
      <c r="S125" s="414" t="str">
        <f>UPPER(IF(P125="CDHU",VLOOKUP(Q125,'CDHU 201-SD'!$A$1:$J$28014,3,FALSE),IF(P125="FDE",VLOOKUP(Q125,'FDE 01-26-SD'!$A$1:$J$280013,3,FALSE),IF(P125="PRÓPRIA",VLOOKUP(Q125,COMPOSIÇÃO!$1:$1048576,7,FALSE),VLOOKUP(Q125,'SINAPI 04-26-SD'!$A$1:$H$272700,3,FALSE)))))</f>
        <v>M2</v>
      </c>
      <c r="T125" s="393">
        <f>21.66+119.51</f>
        <v>141.17000000000002</v>
      </c>
      <c r="U125" s="394">
        <f>TRUNC(IF(P125="CDHU",VLOOKUP(Q125,'CDHU 201-SD'!$A$1:$J$28014,6,FALSE),IF(P125="FDE",VLOOKUP(Q125,'FDE 01-26-SD'!$A$1:$J$280013,6,FALSE),IF(P125="PRÓPRIA",VLOOKUP(Q125,COMPOSIÇÃO!$1:$1048576,10,FALSE),VLOOKUP(Q125,'SINAPI 04-26-SD'!$A$1:$H$272700,4,FALSE)))),2)</f>
        <v>236.6</v>
      </c>
      <c r="V125" s="416">
        <f t="shared" ref="V125:V132" si="358">TRUNC(U125*T125,2)</f>
        <v>33400.82</v>
      </c>
      <c r="W125" s="395">
        <f>IF($AA125="N",BDI!$D$26,IF($AA125="D",'BDI DIFE.'!$D$26,"ERRO"))</f>
        <v>0.22500000000000001</v>
      </c>
      <c r="X125" s="379">
        <f t="shared" ref="X125:X132" si="359">TRUNC(U125*(1+W125),2)</f>
        <v>289.83</v>
      </c>
      <c r="Y125" s="380">
        <f t="shared" ref="Y125:Y132" si="360">TRUNC(T125*X125,2)</f>
        <v>40915.300000000003</v>
      </c>
      <c r="Z125" s="381"/>
      <c r="AA125" s="378" t="s">
        <v>28044</v>
      </c>
      <c r="AB125" s="642"/>
    </row>
    <row r="126" spans="2:28" s="55" customFormat="1" ht="30">
      <c r="B126" s="378">
        <f t="shared" ca="1" si="349"/>
        <v>3</v>
      </c>
      <c r="C126" s="378" t="str">
        <f t="shared" si="317"/>
        <v>S</v>
      </c>
      <c r="D126" s="378">
        <f t="shared" ca="1" si="307"/>
        <v>7</v>
      </c>
      <c r="E126" s="378">
        <f t="shared" ca="1" si="350"/>
        <v>9</v>
      </c>
      <c r="F126" s="378" t="str">
        <f t="shared" ca="1" si="351"/>
        <v>0</v>
      </c>
      <c r="G126" s="378" t="str">
        <f t="shared" ca="1" si="352"/>
        <v>0</v>
      </c>
      <c r="H126" s="378" t="str">
        <f t="shared" ca="1" si="353"/>
        <v>0</v>
      </c>
      <c r="I126" s="378" t="str">
        <f t="shared" ca="1" si="354"/>
        <v>0</v>
      </c>
      <c r="J126" s="378">
        <f t="shared" ca="1" si="313"/>
        <v>2</v>
      </c>
      <c r="K126" s="378" t="str">
        <f t="shared" si="355"/>
        <v>NÃO</v>
      </c>
      <c r="L126" s="378" t="str">
        <f t="shared" ca="1" si="356"/>
        <v>7.9.2</v>
      </c>
      <c r="M126" s="55" t="s">
        <v>27868</v>
      </c>
      <c r="O126" s="392" t="str">
        <f t="shared" ca="1" si="357"/>
        <v>7.9.2</v>
      </c>
      <c r="P126" s="413" t="s">
        <v>41227</v>
      </c>
      <c r="Q126" s="414" t="s">
        <v>44539</v>
      </c>
      <c r="R126" s="415" t="str">
        <f>UPPER(IF(P126="CDHU",VLOOKUP(Q126,'CDHU 201-SD'!$A$1:$J$28014,2,FALSE),IF(P126="FDE",VLOOKUP(Q126,'FDE 01-26-SD'!$A$1:$J$280013,2,FALSE),IF(P126="PRÓPRIA",VLOOKUP(Q126,COMPOSIÇÃO!$1:$1048576,3,FALSE),VLOOKUP(Q126,'SINAPI 04-26-SD'!$A$1:$H$272700,2,FALSE)))))</f>
        <v>LAJE PRÉ-FABRICADA MISTA VIGOTA PROTENDIDA/LAJOTA CERÂMICA - LP 25 (20+5) E CAPA COM CONCRETO DE 30 MPA</v>
      </c>
      <c r="S126" s="414" t="str">
        <f>UPPER(IF(P126="CDHU",VLOOKUP(Q126,'CDHU 201-SD'!$A$1:$J$28014,3,FALSE),IF(P126="FDE",VLOOKUP(Q126,'FDE 01-26-SD'!$A$1:$J$280013,3,FALSE),IF(P126="PRÓPRIA",VLOOKUP(Q126,COMPOSIÇÃO!$1:$1048576,7,FALSE),VLOOKUP(Q126,'SINAPI 04-26-SD'!$A$1:$H$272700,3,FALSE)))))</f>
        <v>M2</v>
      </c>
      <c r="T126" s="393">
        <f>87.36</f>
        <v>87.36</v>
      </c>
      <c r="U126" s="394">
        <f>TRUNC(IF(P126="CDHU",VLOOKUP(Q126,'CDHU 201-SD'!$A$1:$J$28014,6,FALSE),IF(P126="FDE",VLOOKUP(Q126,'FDE 01-26-SD'!$A$1:$J$280013,6,FALSE),IF(P126="PRÓPRIA",VLOOKUP(Q126,COMPOSIÇÃO!$1:$1048576,10,FALSE),VLOOKUP(Q126,'SINAPI 04-26-SD'!$A$1:$H$272700,4,FALSE)))),2)</f>
        <v>258.75</v>
      </c>
      <c r="V126" s="416">
        <f t="shared" si="358"/>
        <v>22604.400000000001</v>
      </c>
      <c r="W126" s="395">
        <f>IF($AA126="N",BDI!$D$26,IF($AA126="D",'BDI DIFE.'!$D$26,"ERRO"))</f>
        <v>0.22500000000000001</v>
      </c>
      <c r="X126" s="379">
        <f t="shared" si="359"/>
        <v>316.95999999999998</v>
      </c>
      <c r="Y126" s="380">
        <f t="shared" si="360"/>
        <v>27689.62</v>
      </c>
      <c r="Z126" s="381"/>
      <c r="AA126" s="378" t="s">
        <v>28044</v>
      </c>
      <c r="AB126" s="642"/>
    </row>
    <row r="127" spans="2:28" s="55" customFormat="1" ht="30">
      <c r="B127" s="378">
        <f t="shared" ca="1" si="349"/>
        <v>3</v>
      </c>
      <c r="C127" s="378" t="str">
        <f t="shared" si="317"/>
        <v>S</v>
      </c>
      <c r="D127" s="378">
        <f t="shared" ca="1" si="307"/>
        <v>7</v>
      </c>
      <c r="E127" s="378">
        <f t="shared" ca="1" si="350"/>
        <v>9</v>
      </c>
      <c r="F127" s="378" t="str">
        <f t="shared" ca="1" si="351"/>
        <v>0</v>
      </c>
      <c r="G127" s="378" t="str">
        <f t="shared" ca="1" si="352"/>
        <v>0</v>
      </c>
      <c r="H127" s="378" t="str">
        <f t="shared" ca="1" si="353"/>
        <v>0</v>
      </c>
      <c r="I127" s="378" t="str">
        <f t="shared" ca="1" si="354"/>
        <v>0</v>
      </c>
      <c r="J127" s="378">
        <f t="shared" ca="1" si="313"/>
        <v>3</v>
      </c>
      <c r="K127" s="378" t="str">
        <f t="shared" si="355"/>
        <v>NÃO</v>
      </c>
      <c r="L127" s="378" t="str">
        <f t="shared" ca="1" si="356"/>
        <v>7.9.3</v>
      </c>
      <c r="M127" s="55" t="s">
        <v>27868</v>
      </c>
      <c r="O127" s="392" t="str">
        <f t="shared" ca="1" si="357"/>
        <v>7.9.3</v>
      </c>
      <c r="P127" s="413" t="s">
        <v>29901</v>
      </c>
      <c r="Q127" s="414" t="s">
        <v>11656</v>
      </c>
      <c r="R127" s="415" t="str">
        <f>UPPER(IF(P127="CDHU",VLOOKUP(Q127,'CDHU 201-SD'!$A$1:$J$28014,2,FALSE),IF(P127="FDE",VLOOKUP(Q127,'FDE 01-26-SD'!$A$1:$J$280013,2,FALSE),IF(P127="PRÓPRIA",VLOOKUP(Q127,COMPOSIÇÃO!$1:$1048576,3,FALSE),VLOOKUP(Q127,'SINAPI 04-26-SD'!$A$1:$H$272700,2,FALSE)))))</f>
        <v>FORMA PLANA EM COMPENSADO PARA ESTRUTURA CONVENCIONAL COM CIMBRAMENTO TUBULAR METÁLICO</v>
      </c>
      <c r="S127" s="414" t="str">
        <f>UPPER(IF(P127="CDHU",VLOOKUP(Q127,'CDHU 201-SD'!$A$1:$J$28014,3,FALSE),IF(P127="FDE",VLOOKUP(Q127,'FDE 01-26-SD'!$A$1:$J$280013,3,FALSE),IF(P127="PRÓPRIA",VLOOKUP(Q127,COMPOSIÇÃO!$1:$1048576,7,FALSE),VLOOKUP(Q127,'SINAPI 04-26-SD'!$A$1:$H$272700,3,FALSE)))))</f>
        <v>M2</v>
      </c>
      <c r="T127" s="393">
        <v>3.79</v>
      </c>
      <c r="U127" s="394">
        <f>TRUNC(IF(P127="CDHU",VLOOKUP(Q127,'CDHU 201-SD'!$A$1:$J$28014,6,FALSE),IF(P127="FDE",VLOOKUP(Q127,'FDE 01-26-SD'!$A$1:$J$280013,6,FALSE),IF(P127="PRÓPRIA",VLOOKUP(Q127,COMPOSIÇÃO!$1:$1048576,10,FALSE),VLOOKUP(Q127,'SINAPI 04-26-SD'!$A$1:$H$272700,4,FALSE)))),2)</f>
        <v>153.82</v>
      </c>
      <c r="V127" s="416">
        <f t="shared" si="358"/>
        <v>582.97</v>
      </c>
      <c r="W127" s="395">
        <f>IF($AA127="N",BDI!$D$26,IF($AA127="D",'BDI DIFE.'!$D$26,"ERRO"))</f>
        <v>0.22500000000000001</v>
      </c>
      <c r="X127" s="379">
        <f t="shared" si="359"/>
        <v>188.42</v>
      </c>
      <c r="Y127" s="380">
        <f t="shared" si="360"/>
        <v>714.11</v>
      </c>
      <c r="Z127" s="381"/>
      <c r="AA127" s="378" t="s">
        <v>28044</v>
      </c>
      <c r="AB127" s="642"/>
    </row>
    <row r="128" spans="2:28" s="55" customFormat="1">
      <c r="B128" s="378">
        <f t="shared" ca="1" si="349"/>
        <v>3</v>
      </c>
      <c r="C128" s="378" t="str">
        <f t="shared" si="317"/>
        <v>S</v>
      </c>
      <c r="D128" s="378">
        <f t="shared" ca="1" si="307"/>
        <v>7</v>
      </c>
      <c r="E128" s="378">
        <f t="shared" ca="1" si="350"/>
        <v>9</v>
      </c>
      <c r="F128" s="378" t="str">
        <f t="shared" ca="1" si="351"/>
        <v>0</v>
      </c>
      <c r="G128" s="378" t="str">
        <f t="shared" ca="1" si="352"/>
        <v>0</v>
      </c>
      <c r="H128" s="378" t="str">
        <f t="shared" ca="1" si="353"/>
        <v>0</v>
      </c>
      <c r="I128" s="378" t="str">
        <f t="shared" ca="1" si="354"/>
        <v>0</v>
      </c>
      <c r="J128" s="378">
        <f t="shared" ca="1" si="313"/>
        <v>4</v>
      </c>
      <c r="K128" s="378" t="str">
        <f t="shared" si="355"/>
        <v>NÃO</v>
      </c>
      <c r="L128" s="378" t="str">
        <f t="shared" ca="1" si="356"/>
        <v>7.9.4</v>
      </c>
      <c r="M128" s="55" t="s">
        <v>27868</v>
      </c>
      <c r="O128" s="392" t="str">
        <f t="shared" ca="1" si="357"/>
        <v>7.9.4</v>
      </c>
      <c r="P128" s="413" t="s">
        <v>29901</v>
      </c>
      <c r="Q128" s="414" t="s">
        <v>11685</v>
      </c>
      <c r="R128" s="415" t="str">
        <f>UPPER(IF(P128="CDHU",VLOOKUP(Q128,'CDHU 201-SD'!$A$1:$J$28014,2,FALSE),IF(P128="FDE",VLOOKUP(Q128,'FDE 01-26-SD'!$A$1:$J$280013,2,FALSE),IF(P128="PRÓPRIA",VLOOKUP(Q128,COMPOSIÇÃO!$1:$1048576,3,FALSE),VLOOKUP(Q128,'SINAPI 04-26-SD'!$A$1:$H$272700,2,FALSE)))))</f>
        <v>ARMADURA EM BARRA DE AÇO CA-50 (A OU B) FYK = 500 MPA</v>
      </c>
      <c r="S128" s="414" t="str">
        <f>UPPER(IF(P128="CDHU",VLOOKUP(Q128,'CDHU 201-SD'!$A$1:$J$28014,3,FALSE),IF(P128="FDE",VLOOKUP(Q128,'FDE 01-26-SD'!$A$1:$J$280013,3,FALSE),IF(P128="PRÓPRIA",VLOOKUP(Q128,COMPOSIÇÃO!$1:$1048576,7,FALSE),VLOOKUP(Q128,'SINAPI 04-26-SD'!$A$1:$H$272700,3,FALSE)))))</f>
        <v>KG</v>
      </c>
      <c r="T128" s="393">
        <v>15.3</v>
      </c>
      <c r="U128" s="394">
        <f>TRUNC(IF(P128="CDHU",VLOOKUP(Q128,'CDHU 201-SD'!$A$1:$J$28014,6,FALSE),IF(P128="FDE",VLOOKUP(Q128,'FDE 01-26-SD'!$A$1:$J$280013,6,FALSE),IF(P128="PRÓPRIA",VLOOKUP(Q128,COMPOSIÇÃO!$1:$1048576,10,FALSE),VLOOKUP(Q128,'SINAPI 04-26-SD'!$A$1:$H$272700,4,FALSE)))),2)</f>
        <v>10.14</v>
      </c>
      <c r="V128" s="416">
        <f t="shared" si="358"/>
        <v>155.13999999999999</v>
      </c>
      <c r="W128" s="395">
        <f>IF($AA128="N",BDI!$D$26,IF($AA128="D",'BDI DIFE.'!$D$26,"ERRO"))</f>
        <v>0.22500000000000001</v>
      </c>
      <c r="X128" s="379">
        <f t="shared" si="359"/>
        <v>12.42</v>
      </c>
      <c r="Y128" s="380">
        <f t="shared" si="360"/>
        <v>190.02</v>
      </c>
      <c r="Z128" s="381"/>
      <c r="AA128" s="378" t="s">
        <v>28044</v>
      </c>
      <c r="AB128" s="642"/>
    </row>
    <row r="129" spans="2:28" s="55" customFormat="1">
      <c r="B129" s="378">
        <f t="shared" ca="1" si="349"/>
        <v>3</v>
      </c>
      <c r="C129" s="378" t="str">
        <f t="shared" si="317"/>
        <v>S</v>
      </c>
      <c r="D129" s="378">
        <f t="shared" ca="1" si="307"/>
        <v>7</v>
      </c>
      <c r="E129" s="378">
        <f t="shared" ca="1" si="350"/>
        <v>9</v>
      </c>
      <c r="F129" s="378" t="str">
        <f t="shared" ca="1" si="351"/>
        <v>0</v>
      </c>
      <c r="G129" s="378" t="str">
        <f t="shared" ca="1" si="352"/>
        <v>0</v>
      </c>
      <c r="H129" s="378" t="str">
        <f t="shared" ca="1" si="353"/>
        <v>0</v>
      </c>
      <c r="I129" s="378" t="str">
        <f t="shared" ca="1" si="354"/>
        <v>0</v>
      </c>
      <c r="J129" s="378">
        <f t="shared" ca="1" si="313"/>
        <v>5</v>
      </c>
      <c r="K129" s="378" t="str">
        <f t="shared" si="355"/>
        <v>NÃO</v>
      </c>
      <c r="L129" s="378" t="str">
        <f t="shared" ca="1" si="356"/>
        <v>7.9.5</v>
      </c>
      <c r="M129" s="55" t="s">
        <v>27868</v>
      </c>
      <c r="O129" s="392" t="str">
        <f t="shared" ca="1" si="357"/>
        <v>7.9.5</v>
      </c>
      <c r="P129" s="413" t="s">
        <v>29901</v>
      </c>
      <c r="Q129" s="414" t="s">
        <v>11691</v>
      </c>
      <c r="R129" s="415" t="str">
        <f>UPPER(IF(P129="CDHU",VLOOKUP(Q129,'CDHU 201-SD'!$A$1:$J$28014,2,FALSE),IF(P129="FDE",VLOOKUP(Q129,'FDE 01-26-SD'!$A$1:$J$280013,2,FALSE),IF(P129="PRÓPRIA",VLOOKUP(Q129,COMPOSIÇÃO!$1:$1048576,3,FALSE),VLOOKUP(Q129,'SINAPI 04-26-SD'!$A$1:$H$272700,2,FALSE)))))</f>
        <v>ARMADURA EM TELA SOLDADA DE AÇO</v>
      </c>
      <c r="S129" s="414" t="str">
        <f>UPPER(IF(P129="CDHU",VLOOKUP(Q129,'CDHU 201-SD'!$A$1:$J$28014,3,FALSE),IF(P129="FDE",VLOOKUP(Q129,'FDE 01-26-SD'!$A$1:$J$280013,3,FALSE),IF(P129="PRÓPRIA",VLOOKUP(Q129,COMPOSIÇÃO!$1:$1048576,7,FALSE),VLOOKUP(Q129,'SINAPI 04-26-SD'!$A$1:$H$272700,3,FALSE)))))</f>
        <v>KG</v>
      </c>
      <c r="T129" s="393">
        <f>291.06+258.72</f>
        <v>549.78</v>
      </c>
      <c r="U129" s="394">
        <f>TRUNC(IF(P129="CDHU",VLOOKUP(Q129,'CDHU 201-SD'!$A$1:$J$28014,6,FALSE),IF(P129="FDE",VLOOKUP(Q129,'FDE 01-26-SD'!$A$1:$J$280013,6,FALSE),IF(P129="PRÓPRIA",VLOOKUP(Q129,COMPOSIÇÃO!$1:$1048576,10,FALSE),VLOOKUP(Q129,'SINAPI 04-26-SD'!$A$1:$H$272700,4,FALSE)))),2)</f>
        <v>9.83</v>
      </c>
      <c r="V129" s="416">
        <f t="shared" si="358"/>
        <v>5404.33</v>
      </c>
      <c r="W129" s="395">
        <f>IF($AA129="N",BDI!$D$26,IF($AA129="D",'BDI DIFE.'!$D$26,"ERRO"))</f>
        <v>0.22500000000000001</v>
      </c>
      <c r="X129" s="379">
        <f t="shared" si="359"/>
        <v>12.04</v>
      </c>
      <c r="Y129" s="380">
        <f t="shared" si="360"/>
        <v>6619.35</v>
      </c>
      <c r="Z129" s="381"/>
      <c r="AA129" s="378" t="s">
        <v>28044</v>
      </c>
      <c r="AB129" s="642"/>
    </row>
    <row r="130" spans="2:28" s="55" customFormat="1">
      <c r="B130" s="378">
        <f t="shared" ca="1" si="349"/>
        <v>3</v>
      </c>
      <c r="C130" s="378" t="str">
        <f t="shared" si="317"/>
        <v>S</v>
      </c>
      <c r="D130" s="378">
        <f t="shared" ca="1" si="307"/>
        <v>7</v>
      </c>
      <c r="E130" s="378">
        <f t="shared" ca="1" si="350"/>
        <v>9</v>
      </c>
      <c r="F130" s="378" t="str">
        <f t="shared" ca="1" si="351"/>
        <v>0</v>
      </c>
      <c r="G130" s="378" t="str">
        <f t="shared" ca="1" si="352"/>
        <v>0</v>
      </c>
      <c r="H130" s="378" t="str">
        <f t="shared" ca="1" si="353"/>
        <v>0</v>
      </c>
      <c r="I130" s="378" t="str">
        <f t="shared" ca="1" si="354"/>
        <v>0</v>
      </c>
      <c r="J130" s="378">
        <f t="shared" ca="1" si="313"/>
        <v>6</v>
      </c>
      <c r="K130" s="378" t="str">
        <f t="shared" si="355"/>
        <v>NÃO</v>
      </c>
      <c r="L130" s="378" t="str">
        <f t="shared" ca="1" si="356"/>
        <v>7.9.6</v>
      </c>
      <c r="M130" s="55" t="s">
        <v>27868</v>
      </c>
      <c r="O130" s="392" t="str">
        <f t="shared" ca="1" si="357"/>
        <v>7.9.6</v>
      </c>
      <c r="P130" s="413" t="s">
        <v>29901</v>
      </c>
      <c r="Q130" s="414" t="s">
        <v>11705</v>
      </c>
      <c r="R130" s="415" t="str">
        <f>UPPER(IF(P130="CDHU",VLOOKUP(Q130,'CDHU 201-SD'!$A$1:$J$28014,2,FALSE),IF(P130="FDE",VLOOKUP(Q130,'FDE 01-26-SD'!$A$1:$J$280013,2,FALSE),IF(P130="PRÓPRIA",VLOOKUP(Q130,COMPOSIÇÃO!$1:$1048576,3,FALSE),VLOOKUP(Q130,'SINAPI 04-26-SD'!$A$1:$H$272700,2,FALSE)))))</f>
        <v>CONCRETO USINADO, FCK = 30 MPA</v>
      </c>
      <c r="S130" s="414" t="str">
        <f>UPPER(IF(P130="CDHU",VLOOKUP(Q130,'CDHU 201-SD'!$A$1:$J$28014,3,FALSE),IF(P130="FDE",VLOOKUP(Q130,'FDE 01-26-SD'!$A$1:$J$280013,3,FALSE),IF(P130="PRÓPRIA",VLOOKUP(Q130,COMPOSIÇÃO!$1:$1048576,7,FALSE),VLOOKUP(Q130,'SINAPI 04-26-SD'!$A$1:$H$272700,3,FALSE)))))</f>
        <v>M3</v>
      </c>
      <c r="T130" s="393">
        <v>0.56999999999999995</v>
      </c>
      <c r="U130" s="394">
        <f>TRUNC(IF(P130="CDHU",VLOOKUP(Q130,'CDHU 201-SD'!$A$1:$J$28014,6,FALSE),IF(P130="FDE",VLOOKUP(Q130,'FDE 01-26-SD'!$A$1:$J$280013,6,FALSE),IF(P130="PRÓPRIA",VLOOKUP(Q130,COMPOSIÇÃO!$1:$1048576,10,FALSE),VLOOKUP(Q130,'SINAPI 04-26-SD'!$A$1:$H$272700,4,FALSE)))),2)</f>
        <v>541.64</v>
      </c>
      <c r="V130" s="416">
        <f t="shared" si="358"/>
        <v>308.73</v>
      </c>
      <c r="W130" s="395">
        <f>IF($AA130="N",BDI!$D$26,IF($AA130="D",'BDI DIFE.'!$D$26,"ERRO"))</f>
        <v>0.22500000000000001</v>
      </c>
      <c r="X130" s="379">
        <f t="shared" si="359"/>
        <v>663.5</v>
      </c>
      <c r="Y130" s="380">
        <f t="shared" si="360"/>
        <v>378.19</v>
      </c>
      <c r="Z130" s="381"/>
      <c r="AA130" s="378" t="s">
        <v>28044</v>
      </c>
      <c r="AB130" s="642"/>
    </row>
    <row r="131" spans="2:28" s="55" customFormat="1">
      <c r="B131" s="378">
        <f t="shared" ca="1" si="349"/>
        <v>3</v>
      </c>
      <c r="C131" s="378" t="str">
        <f t="shared" si="317"/>
        <v>S</v>
      </c>
      <c r="D131" s="378">
        <f t="shared" ca="1" si="307"/>
        <v>7</v>
      </c>
      <c r="E131" s="378">
        <f t="shared" ca="1" si="350"/>
        <v>9</v>
      </c>
      <c r="F131" s="378" t="str">
        <f t="shared" ca="1" si="351"/>
        <v>0</v>
      </c>
      <c r="G131" s="378" t="str">
        <f t="shared" ca="1" si="352"/>
        <v>0</v>
      </c>
      <c r="H131" s="378" t="str">
        <f t="shared" ca="1" si="353"/>
        <v>0</v>
      </c>
      <c r="I131" s="378" t="str">
        <f t="shared" ca="1" si="354"/>
        <v>0</v>
      </c>
      <c r="J131" s="378">
        <f t="shared" ca="1" si="313"/>
        <v>7</v>
      </c>
      <c r="K131" s="378" t="str">
        <f t="shared" si="355"/>
        <v>NÃO</v>
      </c>
      <c r="L131" s="378" t="str">
        <f t="shared" ca="1" si="356"/>
        <v>7.9.7</v>
      </c>
      <c r="M131" s="55" t="s">
        <v>27868</v>
      </c>
      <c r="O131" s="392" t="str">
        <f t="shared" ca="1" si="357"/>
        <v>7.9.7</v>
      </c>
      <c r="P131" s="413" t="s">
        <v>41227</v>
      </c>
      <c r="Q131" s="414" t="s">
        <v>41804</v>
      </c>
      <c r="R131" s="415" t="str">
        <f>UPPER(IF(P131="CDHU",VLOOKUP(Q131,'CDHU 201-SD'!$A$1:$J$28014,2,FALSE),IF(P131="FDE",VLOOKUP(Q131,'FDE 01-26-SD'!$A$1:$J$280013,2,FALSE),IF(P131="PRÓPRIA",VLOOKUP(Q131,COMPOSIÇÃO!$1:$1048576,3,FALSE),VLOOKUP(Q131,'SINAPI 04-26-SD'!$A$1:$H$272700,2,FALSE)))))</f>
        <v>CONTROLE TECNOLOGICO DE CONCRETOS</v>
      </c>
      <c r="S131" s="414" t="str">
        <f>UPPER(IF(P131="CDHU",VLOOKUP(Q131,'CDHU 201-SD'!$A$1:$J$28014,3,FALSE),IF(P131="FDE",VLOOKUP(Q131,'FDE 01-26-SD'!$A$1:$J$280013,3,FALSE),IF(P131="PRÓPRIA",VLOOKUP(Q131,COMPOSIÇÃO!$1:$1048576,7,FALSE),VLOOKUP(Q131,'SINAPI 04-26-SD'!$A$1:$H$272700,3,FALSE)))))</f>
        <v>M3</v>
      </c>
      <c r="T131" s="393">
        <f>0.57+(SUM(T125:T126)*0.05)</f>
        <v>11.996500000000003</v>
      </c>
      <c r="U131" s="394">
        <f>TRUNC(IF(P131="CDHU",VLOOKUP(Q131,'CDHU 201-SD'!$A$1:$J$28014,6,FALSE),IF(P131="FDE",VLOOKUP(Q131,'FDE 01-26-SD'!$A$1:$J$280013,6,FALSE),IF(P131="PRÓPRIA",VLOOKUP(Q131,COMPOSIÇÃO!$1:$1048576,10,FALSE),VLOOKUP(Q131,'SINAPI 04-26-SD'!$A$1:$H$272700,4,FALSE)))),2)</f>
        <v>105.96</v>
      </c>
      <c r="V131" s="416">
        <f t="shared" si="358"/>
        <v>1271.1400000000001</v>
      </c>
      <c r="W131" s="395">
        <f>IF($AA131="N",BDI!$D$26,IF($AA131="D",'BDI DIFE.'!$D$26,"ERRO"))</f>
        <v>0.22500000000000001</v>
      </c>
      <c r="X131" s="379">
        <f t="shared" si="359"/>
        <v>129.80000000000001</v>
      </c>
      <c r="Y131" s="380">
        <f t="shared" si="360"/>
        <v>1557.14</v>
      </c>
      <c r="Z131" s="381"/>
      <c r="AA131" s="378" t="s">
        <v>28044</v>
      </c>
      <c r="AB131" s="642"/>
    </row>
    <row r="132" spans="2:28" s="55" customFormat="1" ht="31" thickBot="1">
      <c r="B132" s="378">
        <f t="shared" ca="1" si="349"/>
        <v>3</v>
      </c>
      <c r="C132" s="378" t="str">
        <f t="shared" si="317"/>
        <v>S</v>
      </c>
      <c r="D132" s="378">
        <f t="shared" ca="1" si="307"/>
        <v>7</v>
      </c>
      <c r="E132" s="378">
        <f t="shared" ca="1" si="350"/>
        <v>9</v>
      </c>
      <c r="F132" s="378" t="str">
        <f t="shared" ca="1" si="351"/>
        <v>0</v>
      </c>
      <c r="G132" s="378" t="str">
        <f t="shared" ca="1" si="352"/>
        <v>0</v>
      </c>
      <c r="H132" s="378" t="str">
        <f t="shared" ca="1" si="353"/>
        <v>0</v>
      </c>
      <c r="I132" s="378" t="str">
        <f t="shared" ca="1" si="354"/>
        <v>0</v>
      </c>
      <c r="J132" s="378">
        <f t="shared" ca="1" si="313"/>
        <v>8</v>
      </c>
      <c r="K132" s="378" t="str">
        <f t="shared" si="355"/>
        <v>NÃO</v>
      </c>
      <c r="L132" s="378" t="str">
        <f t="shared" ca="1" si="356"/>
        <v>7.9.8</v>
      </c>
      <c r="M132" s="55" t="s">
        <v>27868</v>
      </c>
      <c r="O132" s="392" t="str">
        <f t="shared" ca="1" si="357"/>
        <v>7.9.8</v>
      </c>
      <c r="P132" s="413" t="s">
        <v>29901</v>
      </c>
      <c r="Q132" s="414" t="s">
        <v>11769</v>
      </c>
      <c r="R132" s="415" t="str">
        <f>UPPER(IF(P132="CDHU",VLOOKUP(Q132,'CDHU 201-SD'!$A$1:$J$28014,2,FALSE),IF(P132="FDE",VLOOKUP(Q132,'FDE 01-26-SD'!$A$1:$J$280013,2,FALSE),IF(P132="PRÓPRIA",VLOOKUP(Q132,COMPOSIÇÃO!$1:$1048576,3,FALSE),VLOOKUP(Q132,'SINAPI 04-26-SD'!$A$1:$H$272700,2,FALSE)))))</f>
        <v>LANÇAMENTO E ADENSAMENTO DE CONCRETO OU MASSA EM ESTRUTURA</v>
      </c>
      <c r="S132" s="414" t="str">
        <f>UPPER(IF(P132="CDHU",VLOOKUP(Q132,'CDHU 201-SD'!$A$1:$J$28014,3,FALSE),IF(P132="FDE",VLOOKUP(Q132,'FDE 01-26-SD'!$A$1:$J$280013,3,FALSE),IF(P132="PRÓPRIA",VLOOKUP(Q132,COMPOSIÇÃO!$1:$1048576,7,FALSE),VLOOKUP(Q132,'SINAPI 04-26-SD'!$A$1:$H$272700,3,FALSE)))))</f>
        <v>M3</v>
      </c>
      <c r="T132" s="393">
        <v>0.56999999999999995</v>
      </c>
      <c r="U132" s="394">
        <f>TRUNC(IF(P132="CDHU",VLOOKUP(Q132,'CDHU 201-SD'!$A$1:$J$28014,6,FALSE),IF(P132="FDE",VLOOKUP(Q132,'FDE 01-26-SD'!$A$1:$J$280013,6,FALSE),IF(P132="PRÓPRIA",VLOOKUP(Q132,COMPOSIÇÃO!$1:$1048576,10,FALSE),VLOOKUP(Q132,'SINAPI 04-26-SD'!$A$1:$H$272700,4,FALSE)))),2)</f>
        <v>132.30000000000001</v>
      </c>
      <c r="V132" s="416">
        <f t="shared" si="358"/>
        <v>75.41</v>
      </c>
      <c r="W132" s="395">
        <f>IF($AA132="N",BDI!$D$26,IF($AA132="D",'BDI DIFE.'!$D$26,"ERRO"))</f>
        <v>0.22500000000000001</v>
      </c>
      <c r="X132" s="379">
        <f t="shared" si="359"/>
        <v>162.06</v>
      </c>
      <c r="Y132" s="380">
        <f t="shared" si="360"/>
        <v>92.37</v>
      </c>
      <c r="Z132" s="381"/>
      <c r="AA132" s="378" t="s">
        <v>28044</v>
      </c>
      <c r="AB132" s="642"/>
    </row>
    <row r="133" spans="2:28" s="55" customFormat="1" ht="16" thickBot="1">
      <c r="B133" s="378" t="str">
        <f t="shared" ref="B133:B140" ca="1" si="361">IF(C133="S",IF(OFFSET(C133,-1,0)="S", OFFSET(B133,-1,0), OFFSET(B133,-1,0) +1 ), C133)</f>
        <v/>
      </c>
      <c r="C133" s="378" t="str">
        <f>IF(RIGHT($M133) = "o", "S", RIGHT($M133))</f>
        <v/>
      </c>
      <c r="D133" s="378">
        <f t="shared" ca="1" si="307"/>
        <v>7</v>
      </c>
      <c r="E133" s="378">
        <f t="shared" ref="E133:E140" ca="1" si="362">IF($C133="2",OFFSET(E133,-1,0) +1,IF(OFFSET(D133,-1,0)&lt;&gt;D133,"0",IF(OFFSET(E133,-1,0)="","0",OFFSET(E133,-1,0))))</f>
        <v>9</v>
      </c>
      <c r="F133" s="378" t="str">
        <f t="shared" ref="F133:F140" ca="1" si="363">IF($C133="3",OFFSET(F133,-1,0) +1,IF(OFFSET(E133,-1,0)&lt;&gt;E133,"0",IF(OFFSET(F133,-1,0)="","0",OFFSET(F133,-1,0))))</f>
        <v>0</v>
      </c>
      <c r="G133" s="378" t="str">
        <f t="shared" ref="G133:G140" ca="1" si="364">IF($C133="4",OFFSET(G133,-1,0) +1,IF(OFFSET(F133,-1,0)&lt;&gt;F133,"0",IF(OFFSET(G133,-1,0)="","0",OFFSET(G133,-1,0))))</f>
        <v>0</v>
      </c>
      <c r="H133" s="378" t="str">
        <f t="shared" ref="H133:H140" ca="1" si="365">IF($C133="5",OFFSET(H133,-1,0) +1,IF(OFFSET(G133,-1,0)&lt;&gt;G133,"0",IF(OFFSET(H133,-1,0)="","0",OFFSET(H133,-1,0))))</f>
        <v>0</v>
      </c>
      <c r="I133" s="378" t="str">
        <f t="shared" ref="I133:I140" ca="1" si="366">IF($C133="6",OFFSET(I133,-1,0) +1,IF(OFFSET(H133,-1,0)&lt;&gt;H133,"0",IF(OFFSET(I133,-1,0)="","0", OFFSET(I133,-1,0))))</f>
        <v>0</v>
      </c>
      <c r="J133" s="378" t="str">
        <f t="shared" ca="1" si="313"/>
        <v>0</v>
      </c>
      <c r="K133" s="378" t="b">
        <f t="shared" ref="K133:K140" si="367">IF(C133="S","NÃO", IF(C133="1", D133, IF(C133="2", D133 &amp; "." &amp; E133,IF(C133="3", D133 &amp; "." &amp; E133 &amp; "." &amp; F133, IF(C133="4", D133 &amp; "." &amp; E133 &amp; "." &amp; F133 &amp; "." &amp; G133, IF(C133="5", D133 &amp; "." &amp; E133 &amp; "." &amp; F133 &amp; "." &amp; G133 &amp; "." &amp; H133, IF(C133="6", D133 &amp; "." &amp; E133 &amp; "." &amp; F133 &amp; "." &amp; G133 &amp; "." &amp; H133 &amp; "." &amp; I133)))))))</f>
        <v>0</v>
      </c>
      <c r="L133" s="378" t="b">
        <f t="shared" ref="L133:L140" si="368">IF(K133="NÃO",IF($B133=2,D133&amp;"."&amp;J133,IF($B133=3,D133&amp;"."&amp;E133&amp;"."&amp;J133,IF($B133=4,D133&amp;"."&amp;E133&amp;"."&amp;F133&amp;"."&amp;J133,IF($B133=5,D133&amp;"."&amp;E133&amp;"."&amp;F133&amp;"."&amp;G133&amp;"."&amp;J133,IF($B133=6,D133&amp;"."&amp;E133&amp;"."&amp;F133&amp;"."&amp;G133&amp;"."&amp;H133&amp;"."&amp;J133,IF($B133=7,D133&amp;"."&amp;E133&amp;"."&amp;F133&amp;"."&amp;G133&amp;"."&amp;H133&amp;"."&amp;I133&amp;"."&amp;J133,"FALHA")))))),K133)</f>
        <v>0</v>
      </c>
      <c r="O133" s="192"/>
      <c r="P133" s="387"/>
      <c r="Q133" s="387"/>
      <c r="R133" s="377"/>
      <c r="S133" s="387"/>
      <c r="T133" s="363"/>
      <c r="U133" s="388"/>
      <c r="V133" s="389"/>
      <c r="W133" s="389"/>
      <c r="X133" s="389"/>
      <c r="Y133" s="390"/>
      <c r="AA133" s="378"/>
      <c r="AB133" s="642"/>
    </row>
    <row r="134" spans="2:28" s="75" customFormat="1" ht="16" thickBot="1">
      <c r="B134" s="75" t="str">
        <f t="shared" ca="1" si="361"/>
        <v>2</v>
      </c>
      <c r="C134" s="75" t="str">
        <f t="shared" si="317"/>
        <v>2</v>
      </c>
      <c r="D134" s="75">
        <f t="shared" ca="1" si="307"/>
        <v>7</v>
      </c>
      <c r="E134" s="75">
        <f t="shared" ca="1" si="362"/>
        <v>10</v>
      </c>
      <c r="F134" s="75" t="str">
        <f t="shared" ca="1" si="363"/>
        <v>0</v>
      </c>
      <c r="G134" s="75" t="str">
        <f t="shared" ca="1" si="364"/>
        <v>0</v>
      </c>
      <c r="H134" s="75" t="str">
        <f t="shared" ca="1" si="365"/>
        <v>0</v>
      </c>
      <c r="I134" s="75" t="str">
        <f t="shared" ca="1" si="366"/>
        <v>0</v>
      </c>
      <c r="J134" s="75" t="str">
        <f t="shared" ca="1" si="313"/>
        <v>0</v>
      </c>
      <c r="K134" s="75" t="str">
        <f t="shared" ca="1" si="367"/>
        <v>7.10</v>
      </c>
      <c r="L134" s="75" t="str">
        <f t="shared" ca="1" si="368"/>
        <v>7.10</v>
      </c>
      <c r="M134" s="55" t="s">
        <v>27861</v>
      </c>
      <c r="O134" s="191" t="str">
        <f t="shared" ref="O134:O141" ca="1" si="369">L134</f>
        <v>7.10</v>
      </c>
      <c r="P134" s="172"/>
      <c r="Q134" s="172"/>
      <c r="R134" s="621" t="s">
        <v>44439</v>
      </c>
      <c r="S134" s="172"/>
      <c r="T134" s="194"/>
      <c r="U134" s="195"/>
      <c r="V134" s="196">
        <f ca="1">IF(VALUE(C134)=1,SUMIFS(V:V,D:D,D134,M:M,"Serviço"),IF(VALUE(C134)=2,SUMIFS(V:V,D:D,D134,E:E,E134,M:M,"Serviço"),IF(VALUE(C134)=3,SUMIFS(V:V,D:D,D134,E:E,E134,F:F,F134,M:M,"Serviço"),IF(VALUE(C134)=4,SUMIFS(V:V,D:D,D134,E:E,E134,F:F,F134,G:G,G134,M:M,"Serviço"),"ERRO"))))</f>
        <v>10867.180000000002</v>
      </c>
      <c r="W134" s="197"/>
      <c r="X134" s="205"/>
      <c r="Y134" s="173">
        <f ca="1">IF(VALUE(C134)=1,SUMIFS(Y:Y,D:D,D134,M:M,"Serviço"),IF(VALUE(C134)=2,SUMIFS(Y:Y,D:D,D134,E:E,E134,M:M,"Serviço"),IF(VALUE(C134)=3,SUMIFS(Y:Y,D:D,D134,E:E,E134,F:F,F134,M:M,"Serviço"),IF(VALUE(C134)=4,SUMIFS(Y:Y,D:D,D134,E:E,E134,F:F,F134,G:G,G134,M:M,"Serviço"),"ERRO"))))</f>
        <v>13311.41</v>
      </c>
      <c r="AB134" s="641"/>
    </row>
    <row r="135" spans="2:28" s="55" customFormat="1" ht="30">
      <c r="B135" s="378">
        <f t="shared" ca="1" si="361"/>
        <v>3</v>
      </c>
      <c r="C135" s="378" t="str">
        <f t="shared" si="317"/>
        <v>S</v>
      </c>
      <c r="D135" s="378">
        <f t="shared" ca="1" si="307"/>
        <v>7</v>
      </c>
      <c r="E135" s="378">
        <f t="shared" ca="1" si="362"/>
        <v>10</v>
      </c>
      <c r="F135" s="378" t="str">
        <f t="shared" ca="1" si="363"/>
        <v>0</v>
      </c>
      <c r="G135" s="378" t="str">
        <f t="shared" ca="1" si="364"/>
        <v>0</v>
      </c>
      <c r="H135" s="378" t="str">
        <f t="shared" ca="1" si="365"/>
        <v>0</v>
      </c>
      <c r="I135" s="378" t="str">
        <f t="shared" ca="1" si="366"/>
        <v>0</v>
      </c>
      <c r="J135" s="378">
        <f t="shared" ca="1" si="313"/>
        <v>1</v>
      </c>
      <c r="K135" s="378" t="str">
        <f t="shared" si="367"/>
        <v>NÃO</v>
      </c>
      <c r="L135" s="378" t="str">
        <f t="shared" ca="1" si="368"/>
        <v>7.10.1</v>
      </c>
      <c r="M135" s="55" t="s">
        <v>27868</v>
      </c>
      <c r="O135" s="392" t="str">
        <f t="shared" ca="1" si="369"/>
        <v>7.10.1</v>
      </c>
      <c r="P135" s="413" t="s">
        <v>29901</v>
      </c>
      <c r="Q135" s="414" t="s">
        <v>11656</v>
      </c>
      <c r="R135" s="415" t="str">
        <f>UPPER(IF(P135="CDHU",VLOOKUP(Q135,'CDHU 201-SD'!$A$1:$J$28014,2,FALSE),IF(P135="FDE",VLOOKUP(Q135,'FDE 01-26-SD'!$A$1:$J$280013,2,FALSE),IF(P135="PRÓPRIA",VLOOKUP(Q135,COMPOSIÇÃO!$1:$1048576,3,FALSE),VLOOKUP(Q135,'SINAPI 04-26-SD'!$A$1:$H$272700,2,FALSE)))))</f>
        <v>FORMA PLANA EM COMPENSADO PARA ESTRUTURA CONVENCIONAL COM CIMBRAMENTO TUBULAR METÁLICO</v>
      </c>
      <c r="S135" s="414" t="str">
        <f>UPPER(IF(P135="CDHU",VLOOKUP(Q135,'CDHU 201-SD'!$A$1:$J$28014,3,FALSE),IF(P135="FDE",VLOOKUP(Q135,'FDE 01-26-SD'!$A$1:$J$280013,3,FALSE),IF(P135="PRÓPRIA",VLOOKUP(Q135,COMPOSIÇÃO!$1:$1048576,7,FALSE),VLOOKUP(Q135,'SINAPI 04-26-SD'!$A$1:$H$272700,3,FALSE)))))</f>
        <v>M2</v>
      </c>
      <c r="T135" s="393">
        <v>20.34</v>
      </c>
      <c r="U135" s="394">
        <f>TRUNC(IF(P135="CDHU",VLOOKUP(Q135,'CDHU 201-SD'!$A$1:$J$28014,6,FALSE),IF(P135="FDE",VLOOKUP(Q135,'FDE 01-26-SD'!$A$1:$J$280013,6,FALSE),IF(P135="PRÓPRIA",VLOOKUP(Q135,COMPOSIÇÃO!$1:$1048576,10,FALSE),VLOOKUP(Q135,'SINAPI 04-26-SD'!$A$1:$H$272700,4,FALSE)))),2)</f>
        <v>153.82</v>
      </c>
      <c r="V135" s="416">
        <f t="shared" ref="V135:V141" si="370">TRUNC(U135*T135,2)</f>
        <v>3128.69</v>
      </c>
      <c r="W135" s="395">
        <f>IF($AA135="N",BDI!$D$26,IF($AA135="D",'BDI DIFE.'!$D$26,"ERRO"))</f>
        <v>0.22500000000000001</v>
      </c>
      <c r="X135" s="379">
        <f t="shared" ref="X135:X141" si="371">TRUNC(U135*(1+W135),2)</f>
        <v>188.42</v>
      </c>
      <c r="Y135" s="380">
        <f t="shared" ref="Y135:Y141" si="372">TRUNC(T135*X135,2)</f>
        <v>3832.46</v>
      </c>
      <c r="Z135" s="381"/>
      <c r="AA135" s="378" t="s">
        <v>28044</v>
      </c>
      <c r="AB135" s="642"/>
    </row>
    <row r="136" spans="2:28" s="55" customFormat="1">
      <c r="B136" s="378">
        <f t="shared" ca="1" si="361"/>
        <v>3</v>
      </c>
      <c r="C136" s="378" t="str">
        <f t="shared" si="317"/>
        <v>S</v>
      </c>
      <c r="D136" s="378">
        <f t="shared" ca="1" si="307"/>
        <v>7</v>
      </c>
      <c r="E136" s="378">
        <f t="shared" ca="1" si="362"/>
        <v>10</v>
      </c>
      <c r="F136" s="378" t="str">
        <f t="shared" ca="1" si="363"/>
        <v>0</v>
      </c>
      <c r="G136" s="378" t="str">
        <f t="shared" ca="1" si="364"/>
        <v>0</v>
      </c>
      <c r="H136" s="378" t="str">
        <f t="shared" ca="1" si="365"/>
        <v>0</v>
      </c>
      <c r="I136" s="378" t="str">
        <f t="shared" ca="1" si="366"/>
        <v>0</v>
      </c>
      <c r="J136" s="378">
        <f t="shared" ca="1" si="313"/>
        <v>2</v>
      </c>
      <c r="K136" s="378" t="str">
        <f t="shared" si="367"/>
        <v>NÃO</v>
      </c>
      <c r="L136" s="378" t="str">
        <f t="shared" ca="1" si="368"/>
        <v>7.10.2</v>
      </c>
      <c r="M136" s="55" t="s">
        <v>27868</v>
      </c>
      <c r="O136" s="392" t="str">
        <f t="shared" ca="1" si="369"/>
        <v>7.10.2</v>
      </c>
      <c r="P136" s="413" t="s">
        <v>29901</v>
      </c>
      <c r="Q136" s="414" t="s">
        <v>11685</v>
      </c>
      <c r="R136" s="415" t="str">
        <f>UPPER(IF(P136="CDHU",VLOOKUP(Q136,'CDHU 201-SD'!$A$1:$J$28014,2,FALSE),IF(P136="FDE",VLOOKUP(Q136,'FDE 01-26-SD'!$A$1:$J$280013,2,FALSE),IF(P136="PRÓPRIA",VLOOKUP(Q136,COMPOSIÇÃO!$1:$1048576,3,FALSE),VLOOKUP(Q136,'SINAPI 04-26-SD'!$A$1:$H$272700,2,FALSE)))))</f>
        <v>ARMADURA EM BARRA DE AÇO CA-50 (A OU B) FYK = 500 MPA</v>
      </c>
      <c r="S136" s="414" t="str">
        <f>UPPER(IF(P136="CDHU",VLOOKUP(Q136,'CDHU 201-SD'!$A$1:$J$28014,3,FALSE),IF(P136="FDE",VLOOKUP(Q136,'FDE 01-26-SD'!$A$1:$J$280013,3,FALSE),IF(P136="PRÓPRIA",VLOOKUP(Q136,COMPOSIÇÃO!$1:$1048576,7,FALSE),VLOOKUP(Q136,'SINAPI 04-26-SD'!$A$1:$H$272700,3,FALSE)))))</f>
        <v>KG</v>
      </c>
      <c r="T136" s="393">
        <v>377.95</v>
      </c>
      <c r="U136" s="394">
        <f>TRUNC(IF(P136="CDHU",VLOOKUP(Q136,'CDHU 201-SD'!$A$1:$J$28014,6,FALSE),IF(P136="FDE",VLOOKUP(Q136,'FDE 01-26-SD'!$A$1:$J$280013,6,FALSE),IF(P136="PRÓPRIA",VLOOKUP(Q136,COMPOSIÇÃO!$1:$1048576,10,FALSE),VLOOKUP(Q136,'SINAPI 04-26-SD'!$A$1:$H$272700,4,FALSE)))),2)</f>
        <v>10.14</v>
      </c>
      <c r="V136" s="416">
        <f t="shared" si="370"/>
        <v>3832.41</v>
      </c>
      <c r="W136" s="395">
        <f>IF($AA136="N",BDI!$D$26,IF($AA136="D",'BDI DIFE.'!$D$26,"ERRO"))</f>
        <v>0.22500000000000001</v>
      </c>
      <c r="X136" s="379">
        <f t="shared" si="371"/>
        <v>12.42</v>
      </c>
      <c r="Y136" s="380">
        <f t="shared" si="372"/>
        <v>4694.13</v>
      </c>
      <c r="Z136" s="381"/>
      <c r="AA136" s="378" t="s">
        <v>28044</v>
      </c>
      <c r="AB136" s="642"/>
    </row>
    <row r="137" spans="2:28" s="55" customFormat="1">
      <c r="B137" s="378">
        <f t="shared" ca="1" si="361"/>
        <v>3</v>
      </c>
      <c r="C137" s="378" t="str">
        <f t="shared" si="317"/>
        <v>S</v>
      </c>
      <c r="D137" s="378">
        <f t="shared" ca="1" si="307"/>
        <v>7</v>
      </c>
      <c r="E137" s="378">
        <f t="shared" ca="1" si="362"/>
        <v>10</v>
      </c>
      <c r="F137" s="378" t="str">
        <f t="shared" ca="1" si="363"/>
        <v>0</v>
      </c>
      <c r="G137" s="378" t="str">
        <f t="shared" ca="1" si="364"/>
        <v>0</v>
      </c>
      <c r="H137" s="378" t="str">
        <f t="shared" ca="1" si="365"/>
        <v>0</v>
      </c>
      <c r="I137" s="378" t="str">
        <f t="shared" ca="1" si="366"/>
        <v>0</v>
      </c>
      <c r="J137" s="378">
        <f t="shared" ca="1" si="313"/>
        <v>3</v>
      </c>
      <c r="K137" s="378" t="str">
        <f t="shared" si="367"/>
        <v>NÃO</v>
      </c>
      <c r="L137" s="378" t="str">
        <f t="shared" ca="1" si="368"/>
        <v>7.10.3</v>
      </c>
      <c r="M137" s="55" t="s">
        <v>27868</v>
      </c>
      <c r="O137" s="392" t="str">
        <f t="shared" ca="1" si="369"/>
        <v>7.10.3</v>
      </c>
      <c r="P137" s="413" t="s">
        <v>29901</v>
      </c>
      <c r="Q137" s="414" t="s">
        <v>11705</v>
      </c>
      <c r="R137" s="415" t="str">
        <f>UPPER(IF(P137="CDHU",VLOOKUP(Q137,'CDHU 201-SD'!$A$1:$J$28014,2,FALSE),IF(P137="FDE",VLOOKUP(Q137,'FDE 01-26-SD'!$A$1:$J$280013,2,FALSE),IF(P137="PRÓPRIA",VLOOKUP(Q137,COMPOSIÇÃO!$1:$1048576,3,FALSE),VLOOKUP(Q137,'SINAPI 04-26-SD'!$A$1:$H$272700,2,FALSE)))))</f>
        <v>CONCRETO USINADO, FCK = 30 MPA</v>
      </c>
      <c r="S137" s="414" t="str">
        <f>UPPER(IF(P137="CDHU",VLOOKUP(Q137,'CDHU 201-SD'!$A$1:$J$28014,3,FALSE),IF(P137="FDE",VLOOKUP(Q137,'FDE 01-26-SD'!$A$1:$J$280013,3,FALSE),IF(P137="PRÓPRIA",VLOOKUP(Q137,COMPOSIÇÃO!$1:$1048576,7,FALSE),VLOOKUP(Q137,'SINAPI 04-26-SD'!$A$1:$H$272700,3,FALSE)))))</f>
        <v>M3</v>
      </c>
      <c r="T137" s="393">
        <v>2.97</v>
      </c>
      <c r="U137" s="394">
        <f>TRUNC(IF(P137="CDHU",VLOOKUP(Q137,'CDHU 201-SD'!$A$1:$J$28014,6,FALSE),IF(P137="FDE",VLOOKUP(Q137,'FDE 01-26-SD'!$A$1:$J$280013,6,FALSE),IF(P137="PRÓPRIA",VLOOKUP(Q137,COMPOSIÇÃO!$1:$1048576,10,FALSE),VLOOKUP(Q137,'SINAPI 04-26-SD'!$A$1:$H$272700,4,FALSE)))),2)</f>
        <v>541.64</v>
      </c>
      <c r="V137" s="416">
        <f t="shared" si="370"/>
        <v>1608.67</v>
      </c>
      <c r="W137" s="395">
        <f>IF($AA137="N",BDI!$D$26,IF($AA137="D",'BDI DIFE.'!$D$26,"ERRO"))</f>
        <v>0.22500000000000001</v>
      </c>
      <c r="X137" s="379">
        <f t="shared" si="371"/>
        <v>663.5</v>
      </c>
      <c r="Y137" s="380">
        <f t="shared" si="372"/>
        <v>1970.59</v>
      </c>
      <c r="Z137" s="381"/>
      <c r="AA137" s="378" t="s">
        <v>28044</v>
      </c>
      <c r="AB137" s="642"/>
    </row>
    <row r="138" spans="2:28" s="55" customFormat="1">
      <c r="B138" s="378">
        <f t="shared" ref="B138:B139" ca="1" si="373">IF(C138="S",IF(OFFSET(C138,-1,0)="S", OFFSET(B138,-1,0), OFFSET(B138,-1,0) +1 ), C138)</f>
        <v>3</v>
      </c>
      <c r="C138" s="378" t="str">
        <f t="shared" si="317"/>
        <v>S</v>
      </c>
      <c r="D138" s="378">
        <f t="shared" ca="1" si="307"/>
        <v>7</v>
      </c>
      <c r="E138" s="378">
        <f t="shared" ref="E138:E139" ca="1" si="374">IF($C138="2",OFFSET(E138,-1,0) +1,IF(OFFSET(D138,-1,0)&lt;&gt;D138,"0",IF(OFFSET(E138,-1,0)="","0",OFFSET(E138,-1,0))))</f>
        <v>10</v>
      </c>
      <c r="F138" s="378" t="str">
        <f t="shared" ref="F138:F139" ca="1" si="375">IF($C138="3",OFFSET(F138,-1,0) +1,IF(OFFSET(E138,-1,0)&lt;&gt;E138,"0",IF(OFFSET(F138,-1,0)="","0",OFFSET(F138,-1,0))))</f>
        <v>0</v>
      </c>
      <c r="G138" s="378" t="str">
        <f t="shared" ref="G138:G139" ca="1" si="376">IF($C138="4",OFFSET(G138,-1,0) +1,IF(OFFSET(F138,-1,0)&lt;&gt;F138,"0",IF(OFFSET(G138,-1,0)="","0",OFFSET(G138,-1,0))))</f>
        <v>0</v>
      </c>
      <c r="H138" s="378" t="str">
        <f t="shared" ref="H138:H139" ca="1" si="377">IF($C138="5",OFFSET(H138,-1,0) +1,IF(OFFSET(G138,-1,0)&lt;&gt;G138,"0",IF(OFFSET(H138,-1,0)="","0",OFFSET(H138,-1,0))))</f>
        <v>0</v>
      </c>
      <c r="I138" s="378" t="str">
        <f t="shared" ref="I138:I139" ca="1" si="378">IF($C138="6",OFFSET(I138,-1,0) +1,IF(OFFSET(H138,-1,0)&lt;&gt;H138,"0",IF(OFFSET(I138,-1,0)="","0", OFFSET(I138,-1,0))))</f>
        <v>0</v>
      </c>
      <c r="J138" s="378">
        <f t="shared" ca="1" si="313"/>
        <v>4</v>
      </c>
      <c r="K138" s="378" t="str">
        <f t="shared" ref="K138:K139" si="379">IF(C138="S","NÃO", IF(C138="1", D138, IF(C138="2", D138 &amp; "." &amp; E138,IF(C138="3", D138 &amp; "." &amp; E138 &amp; "." &amp; F138, IF(C138="4", D138 &amp; "." &amp; E138 &amp; "." &amp; F138 &amp; "." &amp; G138, IF(C138="5", D138 &amp; "." &amp; E138 &amp; "." &amp; F138 &amp; "." &amp; G138 &amp; "." &amp; H138, IF(C138="6", D138 &amp; "." &amp; E138 &amp; "." &amp; F138 &amp; "." &amp; G138 &amp; "." &amp; H138 &amp; "." &amp; I138)))))))</f>
        <v>NÃO</v>
      </c>
      <c r="L138" s="378" t="str">
        <f t="shared" ref="L138:L139" ca="1" si="380">IF(K138="NÃO",IF($B138=2,D138&amp;"."&amp;J138,IF($B138=3,D138&amp;"."&amp;E138&amp;"."&amp;J138,IF($B138=4,D138&amp;"."&amp;E138&amp;"."&amp;F138&amp;"."&amp;J138,IF($B138=5,D138&amp;"."&amp;E138&amp;"."&amp;F138&amp;"."&amp;G138&amp;"."&amp;J138,IF($B138=6,D138&amp;"."&amp;E138&amp;"."&amp;F138&amp;"."&amp;G138&amp;"."&amp;H138&amp;"."&amp;J138,IF($B138=7,D138&amp;"."&amp;E138&amp;"."&amp;F138&amp;"."&amp;G138&amp;"."&amp;H138&amp;"."&amp;I138&amp;"."&amp;J138,"FALHA")))))),K138)</f>
        <v>7.10.4</v>
      </c>
      <c r="M138" s="55" t="s">
        <v>27868</v>
      </c>
      <c r="O138" s="392" t="str">
        <f t="shared" ref="O138:O139" ca="1" si="381">L138</f>
        <v>7.10.4</v>
      </c>
      <c r="P138" s="413" t="s">
        <v>41227</v>
      </c>
      <c r="Q138" s="414" t="s">
        <v>41804</v>
      </c>
      <c r="R138" s="415" t="str">
        <f>UPPER(IF(P138="CDHU",VLOOKUP(Q138,'CDHU 201-SD'!$A$1:$J$28014,2,FALSE),IF(P138="FDE",VLOOKUP(Q138,'FDE 01-26-SD'!$A$1:$J$280013,2,FALSE),IF(P138="PRÓPRIA",VLOOKUP(Q138,COMPOSIÇÃO!$1:$1048576,3,FALSE),VLOOKUP(Q138,'SINAPI 04-26-SD'!$A$1:$H$272700,2,FALSE)))))</f>
        <v>CONTROLE TECNOLOGICO DE CONCRETOS</v>
      </c>
      <c r="S138" s="414" t="str">
        <f>UPPER(IF(P138="CDHU",VLOOKUP(Q138,'CDHU 201-SD'!$A$1:$J$28014,3,FALSE),IF(P138="FDE",VLOOKUP(Q138,'FDE 01-26-SD'!$A$1:$J$280013,3,FALSE),IF(P138="PRÓPRIA",VLOOKUP(Q138,COMPOSIÇÃO!$1:$1048576,7,FALSE),VLOOKUP(Q138,'SINAPI 04-26-SD'!$A$1:$H$272700,3,FALSE)))))</f>
        <v>M3</v>
      </c>
      <c r="T138" s="393">
        <v>2.97</v>
      </c>
      <c r="U138" s="394">
        <f>TRUNC(IF(P138="CDHU",VLOOKUP(Q138,'CDHU 201-SD'!$A$1:$J$28014,6,FALSE),IF(P138="FDE",VLOOKUP(Q138,'FDE 01-26-SD'!$A$1:$J$280013,6,FALSE),IF(P138="PRÓPRIA",VLOOKUP(Q138,COMPOSIÇÃO!$1:$1048576,10,FALSE),VLOOKUP(Q138,'SINAPI 04-26-SD'!$A$1:$H$272700,4,FALSE)))),2)</f>
        <v>105.96</v>
      </c>
      <c r="V138" s="416">
        <f t="shared" ref="V138:V139" si="382">TRUNC(U138*T138,2)</f>
        <v>314.7</v>
      </c>
      <c r="W138" s="395">
        <f>IF($AA138="N",BDI!$D$26,IF($AA138="D",'BDI DIFE.'!$D$26,"ERRO"))</f>
        <v>0.22500000000000001</v>
      </c>
      <c r="X138" s="379">
        <f t="shared" ref="X138:X139" si="383">TRUNC(U138*(1+W138),2)</f>
        <v>129.80000000000001</v>
      </c>
      <c r="Y138" s="380">
        <f t="shared" ref="Y138:Y139" si="384">TRUNC(T138*X138,2)</f>
        <v>385.5</v>
      </c>
      <c r="Z138" s="381"/>
      <c r="AA138" s="378" t="s">
        <v>28044</v>
      </c>
      <c r="AB138" s="642"/>
    </row>
    <row r="139" spans="2:28" s="55" customFormat="1" ht="30">
      <c r="B139" s="378">
        <f t="shared" ca="1" si="373"/>
        <v>3</v>
      </c>
      <c r="C139" s="378" t="str">
        <f t="shared" si="317"/>
        <v>S</v>
      </c>
      <c r="D139" s="378">
        <f t="shared" ca="1" si="307"/>
        <v>7</v>
      </c>
      <c r="E139" s="378">
        <f t="shared" ca="1" si="374"/>
        <v>10</v>
      </c>
      <c r="F139" s="378" t="str">
        <f t="shared" ca="1" si="375"/>
        <v>0</v>
      </c>
      <c r="G139" s="378" t="str">
        <f t="shared" ca="1" si="376"/>
        <v>0</v>
      </c>
      <c r="H139" s="378" t="str">
        <f t="shared" ca="1" si="377"/>
        <v>0</v>
      </c>
      <c r="I139" s="378" t="str">
        <f t="shared" ca="1" si="378"/>
        <v>0</v>
      </c>
      <c r="J139" s="378">
        <f t="shared" ca="1" si="313"/>
        <v>5</v>
      </c>
      <c r="K139" s="378" t="str">
        <f t="shared" si="379"/>
        <v>NÃO</v>
      </c>
      <c r="L139" s="378" t="str">
        <f t="shared" ca="1" si="380"/>
        <v>7.10.5</v>
      </c>
      <c r="M139" s="55" t="s">
        <v>27868</v>
      </c>
      <c r="O139" s="392" t="str">
        <f t="shared" ca="1" si="381"/>
        <v>7.10.5</v>
      </c>
      <c r="P139" s="413" t="s">
        <v>29901</v>
      </c>
      <c r="Q139" s="414" t="s">
        <v>11769</v>
      </c>
      <c r="R139" s="415" t="str">
        <f>UPPER(IF(P139="CDHU",VLOOKUP(Q139,'CDHU 201-SD'!$A$1:$J$28014,2,FALSE),IF(P139="FDE",VLOOKUP(Q139,'FDE 01-26-SD'!$A$1:$J$280013,2,FALSE),IF(P139="PRÓPRIA",VLOOKUP(Q139,COMPOSIÇÃO!$1:$1048576,3,FALSE),VLOOKUP(Q139,'SINAPI 04-26-SD'!$A$1:$H$272700,2,FALSE)))))</f>
        <v>LANÇAMENTO E ADENSAMENTO DE CONCRETO OU MASSA EM ESTRUTURA</v>
      </c>
      <c r="S139" s="414" t="str">
        <f>UPPER(IF(P139="CDHU",VLOOKUP(Q139,'CDHU 201-SD'!$A$1:$J$28014,3,FALSE),IF(P139="FDE",VLOOKUP(Q139,'FDE 01-26-SD'!$A$1:$J$280013,3,FALSE),IF(P139="PRÓPRIA",VLOOKUP(Q139,COMPOSIÇÃO!$1:$1048576,7,FALSE),VLOOKUP(Q139,'SINAPI 04-26-SD'!$A$1:$H$272700,3,FALSE)))))</f>
        <v>M3</v>
      </c>
      <c r="T139" s="393">
        <v>2.97</v>
      </c>
      <c r="U139" s="394">
        <f>TRUNC(IF(P139="CDHU",VLOOKUP(Q139,'CDHU 201-SD'!$A$1:$J$28014,6,FALSE),IF(P139="FDE",VLOOKUP(Q139,'FDE 01-26-SD'!$A$1:$J$280013,6,FALSE),IF(P139="PRÓPRIA",VLOOKUP(Q139,COMPOSIÇÃO!$1:$1048576,10,FALSE),VLOOKUP(Q139,'SINAPI 04-26-SD'!$A$1:$H$272700,4,FALSE)))),2)</f>
        <v>132.30000000000001</v>
      </c>
      <c r="V139" s="416">
        <f t="shared" si="382"/>
        <v>392.93</v>
      </c>
      <c r="W139" s="395">
        <f>IF($AA139="N",BDI!$D$26,IF($AA139="D",'BDI DIFE.'!$D$26,"ERRO"))</f>
        <v>0.22500000000000001</v>
      </c>
      <c r="X139" s="379">
        <f t="shared" si="383"/>
        <v>162.06</v>
      </c>
      <c r="Y139" s="380">
        <f t="shared" si="384"/>
        <v>481.31</v>
      </c>
      <c r="Z139" s="381"/>
      <c r="AA139" s="378" t="s">
        <v>28044</v>
      </c>
      <c r="AB139" s="642"/>
    </row>
    <row r="140" spans="2:28" s="55" customFormat="1" ht="30">
      <c r="B140" s="378">
        <f t="shared" ca="1" si="361"/>
        <v>3</v>
      </c>
      <c r="C140" s="378" t="str">
        <f t="shared" si="317"/>
        <v>S</v>
      </c>
      <c r="D140" s="378">
        <f t="shared" ca="1" si="307"/>
        <v>7</v>
      </c>
      <c r="E140" s="378">
        <f t="shared" ca="1" si="362"/>
        <v>10</v>
      </c>
      <c r="F140" s="378" t="str">
        <f t="shared" ca="1" si="363"/>
        <v>0</v>
      </c>
      <c r="G140" s="378" t="str">
        <f t="shared" ca="1" si="364"/>
        <v>0</v>
      </c>
      <c r="H140" s="378" t="str">
        <f t="shared" ca="1" si="365"/>
        <v>0</v>
      </c>
      <c r="I140" s="378" t="str">
        <f t="shared" ca="1" si="366"/>
        <v>0</v>
      </c>
      <c r="J140" s="378">
        <f t="shared" ca="1" si="313"/>
        <v>6</v>
      </c>
      <c r="K140" s="378" t="str">
        <f t="shared" si="367"/>
        <v>NÃO</v>
      </c>
      <c r="L140" s="378" t="str">
        <f t="shared" ca="1" si="368"/>
        <v>7.10.6</v>
      </c>
      <c r="M140" s="55" t="s">
        <v>27868</v>
      </c>
      <c r="O140" s="392" t="str">
        <f t="shared" ca="1" si="369"/>
        <v>7.10.6</v>
      </c>
      <c r="P140" s="413" t="s">
        <v>29901</v>
      </c>
      <c r="Q140" s="414" t="s">
        <v>12008</v>
      </c>
      <c r="R140" s="415" t="str">
        <f>UPPER(IF(P140="CDHU",VLOOKUP(Q140,'CDHU 201-SD'!$A$1:$J$28014,2,FALSE),IF(P140="FDE",VLOOKUP(Q140,'FDE 01-26-SD'!$A$1:$J$280013,2,FALSE),IF(P140="PRÓPRIA",VLOOKUP(Q140,COMPOSIÇÃO!$1:$1048576,3,FALSE),VLOOKUP(Q140,'SINAPI 04-26-SD'!$A$1:$H$272700,2,FALSE)))))</f>
        <v>ALVENARIA DE BLOCO DE CONCRETO ESTRUTURAL 19 CM - CLASSE A</v>
      </c>
      <c r="S140" s="414" t="str">
        <f>UPPER(IF(P140="CDHU",VLOOKUP(Q140,'CDHU 201-SD'!$A$1:$J$28014,3,FALSE),IF(P140="FDE",VLOOKUP(Q140,'FDE 01-26-SD'!$A$1:$J$280013,3,FALSE),IF(P140="PRÓPRIA",VLOOKUP(Q140,COMPOSIÇÃO!$1:$1048576,7,FALSE),VLOOKUP(Q140,'SINAPI 04-26-SD'!$A$1:$H$272700,3,FALSE)))))</f>
        <v>M2</v>
      </c>
      <c r="T140" s="393">
        <v>6.2</v>
      </c>
      <c r="U140" s="394">
        <f>TRUNC(IF(P140="CDHU",VLOOKUP(Q140,'CDHU 201-SD'!$A$1:$J$28014,6,FALSE),IF(P140="FDE",VLOOKUP(Q140,'FDE 01-26-SD'!$A$1:$J$280013,6,FALSE),IF(P140="PRÓPRIA",VLOOKUP(Q140,COMPOSIÇÃO!$1:$1048576,10,FALSE),VLOOKUP(Q140,'SINAPI 04-26-SD'!$A$1:$H$272700,4,FALSE)))),2)</f>
        <v>169.37</v>
      </c>
      <c r="V140" s="416">
        <f t="shared" si="370"/>
        <v>1050.0899999999999</v>
      </c>
      <c r="W140" s="395">
        <f>IF($AA140="N",BDI!$D$26,IF($AA140="D",'BDI DIFE.'!$D$26,"ERRO"))</f>
        <v>0.22500000000000001</v>
      </c>
      <c r="X140" s="379">
        <f t="shared" si="371"/>
        <v>207.47</v>
      </c>
      <c r="Y140" s="380">
        <f t="shared" si="372"/>
        <v>1286.31</v>
      </c>
      <c r="Z140" s="381"/>
      <c r="AA140" s="378" t="s">
        <v>28044</v>
      </c>
      <c r="AB140" s="642"/>
    </row>
    <row r="141" spans="2:28" s="55" customFormat="1" ht="16" thickBot="1">
      <c r="B141" s="378">
        <f t="shared" ref="B141" ca="1" si="385">IF(C141="S",IF(OFFSET(C141,-1,0)="S", OFFSET(B141,-1,0), OFFSET(B141,-1,0) +1 ), C141)</f>
        <v>3</v>
      </c>
      <c r="C141" s="378" t="str">
        <f t="shared" si="317"/>
        <v>S</v>
      </c>
      <c r="D141" s="378">
        <f t="shared" ca="1" si="307"/>
        <v>7</v>
      </c>
      <c r="E141" s="378">
        <f t="shared" ref="E141" ca="1" si="386">IF($C141="2",OFFSET(E141,-1,0) +1,IF(OFFSET(D141,-1,0)&lt;&gt;D141,"0",IF(OFFSET(E141,-1,0)="","0",OFFSET(E141,-1,0))))</f>
        <v>10</v>
      </c>
      <c r="F141" s="378" t="str">
        <f t="shared" ref="F141" ca="1" si="387">IF($C141="3",OFFSET(F141,-1,0) +1,IF(OFFSET(E141,-1,0)&lt;&gt;E141,"0",IF(OFFSET(F141,-1,0)="","0",OFFSET(F141,-1,0))))</f>
        <v>0</v>
      </c>
      <c r="G141" s="378" t="str">
        <f t="shared" ref="G141" ca="1" si="388">IF($C141="4",OFFSET(G141,-1,0) +1,IF(OFFSET(F141,-1,0)&lt;&gt;F141,"0",IF(OFFSET(G141,-1,0)="","0",OFFSET(G141,-1,0))))</f>
        <v>0</v>
      </c>
      <c r="H141" s="378" t="str">
        <f t="shared" ref="H141" ca="1" si="389">IF($C141="5",OFFSET(H141,-1,0) +1,IF(OFFSET(G141,-1,0)&lt;&gt;G141,"0",IF(OFFSET(H141,-1,0)="","0",OFFSET(H141,-1,0))))</f>
        <v>0</v>
      </c>
      <c r="I141" s="378" t="str">
        <f t="shared" ref="I141" ca="1" si="390">IF($C141="6",OFFSET(I141,-1,0) +1,IF(OFFSET(H141,-1,0)&lt;&gt;H141,"0",IF(OFFSET(I141,-1,0)="","0", OFFSET(I141,-1,0))))</f>
        <v>0</v>
      </c>
      <c r="J141" s="378">
        <f t="shared" ca="1" si="313"/>
        <v>7</v>
      </c>
      <c r="K141" s="378" t="str">
        <f t="shared" ref="K141" si="391">IF(C141="S","NÃO", IF(C141="1", D141, IF(C141="2", D141 &amp; "." &amp; E141,IF(C141="3", D141 &amp; "." &amp; E141 &amp; "." &amp; F141, IF(C141="4", D141 &amp; "." &amp; E141 &amp; "." &amp; F141 &amp; "." &amp; G141, IF(C141="5", D141 &amp; "." &amp; E141 &amp; "." &amp; F141 &amp; "." &amp; G141 &amp; "." &amp; H141, IF(C141="6", D141 &amp; "." &amp; E141 &amp; "." &amp; F141 &amp; "." &amp; G141 &amp; "." &amp; H141 &amp; "." &amp; I141)))))))</f>
        <v>NÃO</v>
      </c>
      <c r="L141" s="378" t="str">
        <f t="shared" ref="L141" ca="1" si="392">IF(K141="NÃO",IF($B141=2,D141&amp;"."&amp;J141,IF($B141=3,D141&amp;"."&amp;E141&amp;"."&amp;J141,IF($B141=4,D141&amp;"."&amp;E141&amp;"."&amp;F141&amp;"."&amp;J141,IF($B141=5,D141&amp;"."&amp;E141&amp;"."&amp;F141&amp;"."&amp;G141&amp;"."&amp;J141,IF($B141=6,D141&amp;"."&amp;E141&amp;"."&amp;F141&amp;"."&amp;G141&amp;"."&amp;H141&amp;"."&amp;J141,IF($B141=7,D141&amp;"."&amp;E141&amp;"."&amp;F141&amp;"."&amp;G141&amp;"."&amp;H141&amp;"."&amp;I141&amp;"."&amp;J141,"FALHA")))))),K141)</f>
        <v>7.10.7</v>
      </c>
      <c r="M141" s="55" t="s">
        <v>27868</v>
      </c>
      <c r="O141" s="392" t="str">
        <f t="shared" ca="1" si="369"/>
        <v>7.10.7</v>
      </c>
      <c r="P141" s="413" t="s">
        <v>29901</v>
      </c>
      <c r="Q141" s="414" t="s">
        <v>11753</v>
      </c>
      <c r="R141" s="415" t="str">
        <f>UPPER(IF(P141="CDHU",VLOOKUP(Q141,'CDHU 201-SD'!$A$1:$J$28014,2,FALSE),IF(P141="FDE",VLOOKUP(Q141,'FDE 01-26-SD'!$A$1:$J$280013,2,FALSE),IF(P141="PRÓPRIA",VLOOKUP(Q141,COMPOSIÇÃO!$1:$1048576,3,FALSE),VLOOKUP(Q141,'SINAPI 04-26-SD'!$A$1:$H$272700,2,FALSE)))))</f>
        <v>ARGAMASSA GRAUTE</v>
      </c>
      <c r="S141" s="414" t="str">
        <f>UPPER(IF(P141="CDHU",VLOOKUP(Q141,'CDHU 201-SD'!$A$1:$J$28014,3,FALSE),IF(P141="FDE",VLOOKUP(Q141,'FDE 01-26-SD'!$A$1:$J$280013,3,FALSE),IF(P141="PRÓPRIA",VLOOKUP(Q141,COMPOSIÇÃO!$1:$1048576,7,FALSE),VLOOKUP(Q141,'SINAPI 04-26-SD'!$A$1:$H$272700,3,FALSE)))))</f>
        <v>M3</v>
      </c>
      <c r="T141" s="393">
        <v>1.18</v>
      </c>
      <c r="U141" s="394">
        <f>TRUNC(IF(P141="CDHU",VLOOKUP(Q141,'CDHU 201-SD'!$A$1:$J$28014,6,FALSE),IF(P141="FDE",VLOOKUP(Q141,'FDE 01-26-SD'!$A$1:$J$280013,6,FALSE),IF(P141="PRÓPRIA",VLOOKUP(Q141,COMPOSIÇÃO!$1:$1048576,10,FALSE),VLOOKUP(Q141,'SINAPI 04-26-SD'!$A$1:$H$272700,4,FALSE)))),2)</f>
        <v>457.37</v>
      </c>
      <c r="V141" s="416">
        <f t="shared" si="370"/>
        <v>539.69000000000005</v>
      </c>
      <c r="W141" s="395">
        <f>IF($AA141="N",BDI!$D$26,IF($AA141="D",'BDI DIFE.'!$D$26,"ERRO"))</f>
        <v>0.22500000000000001</v>
      </c>
      <c r="X141" s="379">
        <f t="shared" si="371"/>
        <v>560.27</v>
      </c>
      <c r="Y141" s="380">
        <f t="shared" si="372"/>
        <v>661.11</v>
      </c>
      <c r="Z141" s="381"/>
      <c r="AA141" s="378" t="s">
        <v>28044</v>
      </c>
      <c r="AB141" s="642"/>
    </row>
    <row r="142" spans="2:28" s="55" customFormat="1" ht="16" thickBot="1">
      <c r="B142" s="378" t="str">
        <f t="shared" ca="1" si="316"/>
        <v/>
      </c>
      <c r="C142" s="378" t="str">
        <f>IF(RIGHT($M142) = "o", "S", RIGHT($M142))</f>
        <v/>
      </c>
      <c r="D142" s="378">
        <f t="shared" ca="1" si="307"/>
        <v>7</v>
      </c>
      <c r="E142" s="378">
        <f t="shared" ca="1" si="318"/>
        <v>10</v>
      </c>
      <c r="F142" s="378" t="str">
        <f t="shared" ca="1" si="319"/>
        <v>0</v>
      </c>
      <c r="G142" s="378" t="str">
        <f t="shared" ca="1" si="320"/>
        <v>0</v>
      </c>
      <c r="H142" s="378" t="str">
        <f t="shared" ca="1" si="321"/>
        <v>0</v>
      </c>
      <c r="I142" s="378" t="str">
        <f t="shared" ca="1" si="322"/>
        <v>0</v>
      </c>
      <c r="J142" s="378" t="str">
        <f t="shared" ca="1" si="313"/>
        <v>0</v>
      </c>
      <c r="K142" s="378" t="b">
        <f t="shared" si="323"/>
        <v>0</v>
      </c>
      <c r="L142" s="378" t="b">
        <f t="shared" si="324"/>
        <v>0</v>
      </c>
      <c r="O142" s="192"/>
      <c r="P142" s="387"/>
      <c r="Q142" s="387"/>
      <c r="R142" s="377"/>
      <c r="S142" s="387"/>
      <c r="T142" s="363"/>
      <c r="U142" s="388"/>
      <c r="V142" s="389"/>
      <c r="W142" s="389"/>
      <c r="X142" s="389"/>
      <c r="Y142" s="390"/>
      <c r="AA142" s="378"/>
      <c r="AB142" s="642"/>
    </row>
    <row r="143" spans="2:28" s="75" customFormat="1" ht="16" thickBot="1">
      <c r="B143" s="75" t="str">
        <f t="shared" ref="B143:B152" ca="1" si="393">IF(C143="S",IF(OFFSET(C143,-1,0)="S", OFFSET(B143,-1,0), OFFSET(B143,-1,0) +1 ), C143)</f>
        <v>1</v>
      </c>
      <c r="C143" s="75" t="str">
        <f t="shared" ref="C143:C237" si="394">IF(RIGHT($M143) = "o", "S", RIGHT($M143))</f>
        <v>1</v>
      </c>
      <c r="D143" s="75">
        <f t="shared" ca="1" si="307"/>
        <v>8</v>
      </c>
      <c r="E143" s="75" t="str">
        <f t="shared" ref="E143:E152" ca="1" si="395">IF($C143="2",OFFSET(E143,-1,0) +1,IF(OFFSET(D143,-1,0)&lt;&gt;D143,"0",IF(OFFSET(E143,-1,0)="","0",OFFSET(E143,-1,0))))</f>
        <v>0</v>
      </c>
      <c r="F143" s="75" t="str">
        <f t="shared" ref="F143:F152" ca="1" si="396">IF($C143="3",OFFSET(F143,-1,0) +1,IF(OFFSET(E143,-1,0)&lt;&gt;E143,"0",IF(OFFSET(F143,-1,0)="","0",OFFSET(F143,-1,0))))</f>
        <v>0</v>
      </c>
      <c r="G143" s="75" t="str">
        <f t="shared" ref="G143:G152" ca="1" si="397">IF($C143="4",OFFSET(G143,-1,0) +1,IF(OFFSET(F143,-1,0)&lt;&gt;F143,"0",IF(OFFSET(G143,-1,0)="","0",OFFSET(G143,-1,0))))</f>
        <v>0</v>
      </c>
      <c r="H143" s="75" t="str">
        <f t="shared" ref="H143:H152" ca="1" si="398">IF($C143="5",OFFSET(H143,-1,0) +1,IF(OFFSET(G143,-1,0)&lt;&gt;G143,"0",IF(OFFSET(H143,-1,0)="","0",OFFSET(H143,-1,0))))</f>
        <v>0</v>
      </c>
      <c r="I143" s="75" t="str">
        <f t="shared" ref="I143:I152" ca="1" si="399">IF($C143="6",OFFSET(I143,-1,0) +1,IF(OFFSET(H143,-1,0)&lt;&gt;H143,"0",IF(OFFSET(I143,-1,0)="","0", OFFSET(I143,-1,0))))</f>
        <v>0</v>
      </c>
      <c r="J143" s="75" t="str">
        <f t="shared" ca="1" si="313"/>
        <v>0</v>
      </c>
      <c r="K143" s="75">
        <f t="shared" ref="K143:K152" ca="1" si="400">IF(C143="S","NÃO", IF(C143="1", D143, IF(C143="2", D143 &amp; "." &amp; E143,IF(C143="3", D143 &amp; "." &amp; E143 &amp; "." &amp; F143, IF(C143="4", D143 &amp; "." &amp; E143 &amp; "." &amp; F143 &amp; "." &amp; G143, IF(C143="5", D143 &amp; "." &amp; E143 &amp; "." &amp; F143 &amp; "." &amp; G143 &amp; "." &amp; H143, IF(C143="6", D143 &amp; "." &amp; E143 &amp; "." &amp; F143 &amp; "." &amp; G143 &amp; "." &amp; H143 &amp; "." &amp; I143)))))))</f>
        <v>8</v>
      </c>
      <c r="L143" s="75">
        <f t="shared" ref="L143:L152" ca="1" si="401">IF(K143="NÃO",IF($B143=2,D143&amp;"."&amp;J143,IF($B143=3,D143&amp;"."&amp;E143&amp;"."&amp;J143,IF($B143=4,D143&amp;"."&amp;E143&amp;"."&amp;F143&amp;"."&amp;J143,IF($B143=5,D143&amp;"."&amp;E143&amp;"."&amp;F143&amp;"."&amp;G143&amp;"."&amp;J143,IF($B143=6,D143&amp;"."&amp;E143&amp;"."&amp;F143&amp;"."&amp;G143&amp;"."&amp;H143&amp;"."&amp;J143,IF($B143=7,D143&amp;"."&amp;E143&amp;"."&amp;F143&amp;"."&amp;G143&amp;"."&amp;H143&amp;"."&amp;I143&amp;"."&amp;J143,"FALHA")))))),K143)</f>
        <v>8</v>
      </c>
      <c r="M143" s="55" t="s">
        <v>27859</v>
      </c>
      <c r="O143" s="191">
        <f t="shared" ref="O143" ca="1" si="402">L143</f>
        <v>8</v>
      </c>
      <c r="P143" s="172"/>
      <c r="Q143" s="172"/>
      <c r="R143" s="621" t="s">
        <v>44323</v>
      </c>
      <c r="S143" s="172"/>
      <c r="T143" s="194"/>
      <c r="U143" s="195"/>
      <c r="V143" s="196">
        <f ca="1">IF(VALUE(C143)=1,SUMIFS(V:V,D:D,D143,M:M,"Serviço"),IF(VALUE(C143)=2,SUMIFS(V:V,D:D,D143,E:E,E143,M:M,"Serviço"),IF(VALUE(C143)=3,SUMIFS(V:V,D:D,D143,E:E,E143,F:F,F143,M:M,"Serviço"),IF(VALUE(C143)=4,SUMIFS(V:V,D:D,D143,E:E,E143,F:F,F143,G:G,G143,M:M,"Serviço"),"ERRO"))))</f>
        <v>122872.51</v>
      </c>
      <c r="W143" s="197"/>
      <c r="X143" s="205"/>
      <c r="Y143" s="173">
        <f ca="1">IF(VALUE(C143)=1,SUMIFS(Y:Y,D:D,D143,M:M,"Serviço"),IF(VALUE(C143)=2,SUMIFS(Y:Y,D:D,D143,E:E,E143,M:M,"Serviço"),IF(VALUE(C143)=3,SUMIFS(Y:Y,D:D,D143,E:E,E143,F:F,F143,M:M,"Serviço"),IF(VALUE(C143)=4,SUMIFS(Y:Y,D:D,D143,E:E,E143,F:F,F143,G:G,G143,M:M,"Serviço"),"ERRO"))))</f>
        <v>150501.62000000002</v>
      </c>
      <c r="AB143" s="641"/>
    </row>
    <row r="144" spans="2:28" s="75" customFormat="1" ht="16" thickBot="1">
      <c r="B144" s="75" t="str">
        <f ca="1">IF(C144="S",IF(OFFSET(C144,-1,0)="S", OFFSET(B144,-1,0), OFFSET(B144,-1,0) +1 ), C144)</f>
        <v>2</v>
      </c>
      <c r="C144" s="75" t="str">
        <f>IF(RIGHT($M144) = "o", "S", RIGHT($M144))</f>
        <v>2</v>
      </c>
      <c r="D144" s="75">
        <f ca="1">IF($C144="1",OFFSET(D144,-2,0) +1,OFFSET(D144,-1,0))</f>
        <v>8</v>
      </c>
      <c r="E144" s="75">
        <f ca="1">IF($C144="2",OFFSET(E144,-1,0) +1,IF(OFFSET(D144,-1,0)&lt;&gt;D144,"0",IF(OFFSET(E144,-1,0)="","0",OFFSET(E144,-1,0))))</f>
        <v>1</v>
      </c>
      <c r="F144" s="75" t="str">
        <f ca="1">IF($C144="3",OFFSET(F144,-1,0) +1,IF(OFFSET(E144,-1,0)&lt;&gt;E144,"0",IF(OFFSET(F144,-1,0)="","0",OFFSET(F144,-1,0))))</f>
        <v>0</v>
      </c>
      <c r="G144" s="75" t="str">
        <f ca="1">IF($C144="4",OFFSET(G144,-1,0) +1,IF(OFFSET(F144,-1,0)&lt;&gt;F144,"0",IF(OFFSET(G144,-1,0)="","0",OFFSET(G144,-1,0))))</f>
        <v>0</v>
      </c>
      <c r="H144" s="75" t="str">
        <f ca="1">IF($C144="5",OFFSET(H144,-1,0) +1,IF(OFFSET(G144,-1,0)&lt;&gt;G144,"0",IF(OFFSET(H144,-1,0)="","0",OFFSET(H144,-1,0))))</f>
        <v>0</v>
      </c>
      <c r="I144" s="75" t="str">
        <f ca="1">IF($C144="6",OFFSET(I144,-1,0) +1,IF(OFFSET(H144,-1,0)&lt;&gt;H144,"0",IF(OFFSET(I144,-1,0)="","0", OFFSET(I144,-1,0))))</f>
        <v>0</v>
      </c>
      <c r="J144" s="75" t="str">
        <f ca="1">IF($C144="S",OFFSET(J144,-1,0)+1,"0")</f>
        <v>0</v>
      </c>
      <c r="K144" s="75" t="str">
        <f ca="1">IF(C144="S","NÃO", IF(C144="1", D144, IF(C144="2", D144 &amp; "." &amp; E144,IF(C144="3", D144 &amp; "." &amp; E144 &amp; "." &amp; F144, IF(C144="4", D144 &amp; "." &amp; E144 &amp; "." &amp; F144 &amp; "." &amp; G144, IF(C144="5", D144 &amp; "." &amp; E144 &amp; "." &amp; F144 &amp; "." &amp; G144 &amp; "." &amp; H144, IF(C144="6", D144 &amp; "." &amp; E144 &amp; "." &amp; F144 &amp; "." &amp; G144 &amp; "." &amp; H144 &amp; "." &amp; I144)))))))</f>
        <v>8.1</v>
      </c>
      <c r="L144" s="75" t="str">
        <f ca="1">IF(K144="NÃO",IF($B144=2,D144&amp;"."&amp;J144,IF($B144=3,D144&amp;"."&amp;E144&amp;"."&amp;J144,IF($B144=4,D144&amp;"."&amp;E144&amp;"."&amp;F144&amp;"."&amp;J144,IF($B144=5,D144&amp;"."&amp;E144&amp;"."&amp;F144&amp;"."&amp;G144&amp;"."&amp;J144,IF($B144=6,D144&amp;"."&amp;E144&amp;"."&amp;F144&amp;"."&amp;G144&amp;"."&amp;H144&amp;"."&amp;J144,IF($B144=7,D144&amp;"."&amp;E144&amp;"."&amp;F144&amp;"."&amp;G144&amp;"."&amp;H144&amp;"."&amp;I144&amp;"."&amp;J144,"FALHA")))))),K144)</f>
        <v>8.1</v>
      </c>
      <c r="M144" s="55" t="s">
        <v>27861</v>
      </c>
      <c r="O144" s="191" t="str">
        <f t="shared" ref="O144:O146" ca="1" si="403">L144</f>
        <v>8.1</v>
      </c>
      <c r="P144" s="172"/>
      <c r="Q144" s="172"/>
      <c r="R144" s="621" t="s">
        <v>18889</v>
      </c>
      <c r="S144" s="172"/>
      <c r="T144" s="194"/>
      <c r="U144" s="195"/>
      <c r="V144" s="196">
        <f ca="1">IF(VALUE(C144)=1,SUMIFS(V:V,D:D,D144,M:M,"Serviço"),IF(VALUE(C144)=2,SUMIFS(V:V,D:D,D144,E:E,E144,M:M,"Serviço"),IF(VALUE(C144)=3,SUMIFS(V:V,D:D,D144,E:E,E144,F:F,F144,M:M,"Serviço"),IF(VALUE(C144)=4,SUMIFS(V:V,D:D,D144,E:E,E144,F:F,F144,G:G,G144,M:M,"Serviço"),"ERRO"))))</f>
        <v>65331.78</v>
      </c>
      <c r="W144" s="197"/>
      <c r="X144" s="205"/>
      <c r="Y144" s="173">
        <f ca="1">IF(VALUE(C144)=1,SUMIFS(Y:Y,D:D,D144,M:M,"Serviço"),IF(VALUE(C144)=2,SUMIFS(Y:Y,D:D,D144,E:E,E144,M:M,"Serviço"),IF(VALUE(C144)=3,SUMIFS(Y:Y,D:D,D144,E:E,E144,F:F,F144,M:M,"Serviço"),IF(VALUE(C144)=4,SUMIFS(Y:Y,D:D,D144,E:E,E144,F:F,F144,G:G,G144,M:M,"Serviço"),"ERRO"))))</f>
        <v>80015.92</v>
      </c>
      <c r="AB144" s="641"/>
    </row>
    <row r="145" spans="2:29" s="55" customFormat="1" ht="30">
      <c r="B145" s="378">
        <f ca="1">IF(C145="S",IF(OFFSET(C145,-1,0)="S", OFFSET(B145,-1,0), OFFSET(B145,-1,0) +1 ), C145)</f>
        <v>3</v>
      </c>
      <c r="C145" s="378" t="str">
        <f>IF(RIGHT($M145) = "o", "S", RIGHT($M145))</f>
        <v>S</v>
      </c>
      <c r="D145" s="378">
        <f ca="1">IF($C145="1",OFFSET(D145,-2,0) +1,OFFSET(D145,-1,0))</f>
        <v>8</v>
      </c>
      <c r="E145" s="378">
        <f ca="1">IF($C145="2",OFFSET(E145,-1,0) +1,IF(OFFSET(D145,-1,0)&lt;&gt;D145,"0",IF(OFFSET(E145,-1,0)="","0",OFFSET(E145,-1,0))))</f>
        <v>1</v>
      </c>
      <c r="F145" s="378" t="str">
        <f ca="1">IF($C145="3",OFFSET(F145,-1,0) +1,IF(OFFSET(E145,-1,0)&lt;&gt;E145,"0",IF(OFFSET(F145,-1,0)="","0",OFFSET(F145,-1,0))))</f>
        <v>0</v>
      </c>
      <c r="G145" s="378" t="str">
        <f ca="1">IF($C145="4",OFFSET(G145,-1,0) +1,IF(OFFSET(F145,-1,0)&lt;&gt;F145,"0",IF(OFFSET(G145,-1,0)="","0",OFFSET(G145,-1,0))))</f>
        <v>0</v>
      </c>
      <c r="H145" s="378" t="str">
        <f ca="1">IF($C145="5",OFFSET(H145,-1,0) +1,IF(OFFSET(G145,-1,0)&lt;&gt;G145,"0",IF(OFFSET(H145,-1,0)="","0",OFFSET(H145,-1,0))))</f>
        <v>0</v>
      </c>
      <c r="I145" s="378" t="str">
        <f ca="1">IF($C145="6",OFFSET(I145,-1,0) +1,IF(OFFSET(H145,-1,0)&lt;&gt;H145,"0",IF(OFFSET(I145,-1,0)="","0", OFFSET(I145,-1,0))))</f>
        <v>0</v>
      </c>
      <c r="J145" s="378">
        <f ca="1">IF($C145="S",OFFSET(J145,-1,0)+1,"0")</f>
        <v>1</v>
      </c>
      <c r="K145" s="378" t="str">
        <f>IF(C145="S","NÃO", IF(C145="1", D145, IF(C145="2", D145 &amp; "." &amp; E145,IF(C145="3", D145 &amp; "." &amp; E145 &amp; "." &amp; F145, IF(C145="4", D145 &amp; "." &amp; E145 &amp; "." &amp; F145 &amp; "." &amp; G145, IF(C145="5", D145 &amp; "." &amp; E145 &amp; "." &amp; F145 &amp; "." &amp; G145 &amp; "." &amp; H145, IF(C145="6", D145 &amp; "." &amp; E145 &amp; "." &amp; F145 &amp; "." &amp; G145 &amp; "." &amp; H145 &amp; "." &amp; I145)))))))</f>
        <v>NÃO</v>
      </c>
      <c r="L145" s="378" t="str">
        <f ca="1">IF(K145="NÃO",IF($B145=2,D145&amp;"."&amp;J145,IF($B145=3,D145&amp;"."&amp;E145&amp;"."&amp;J145,IF($B145=4,D145&amp;"."&amp;E145&amp;"."&amp;F145&amp;"."&amp;J145,IF($B145=5,D145&amp;"."&amp;E145&amp;"."&amp;F145&amp;"."&amp;G145&amp;"."&amp;J145,IF($B145=6,D145&amp;"."&amp;E145&amp;"."&amp;F145&amp;"."&amp;G145&amp;"."&amp;H145&amp;"."&amp;J145,IF($B145=7,D145&amp;"."&amp;E145&amp;"."&amp;F145&amp;"."&amp;G145&amp;"."&amp;H145&amp;"."&amp;I145&amp;"."&amp;J145,"FALHA")))))),K145)</f>
        <v>8.1.1</v>
      </c>
      <c r="M145" s="55" t="s">
        <v>27868</v>
      </c>
      <c r="O145" s="392" t="str">
        <f t="shared" ca="1" si="403"/>
        <v>8.1.1</v>
      </c>
      <c r="P145" s="413" t="s">
        <v>29901</v>
      </c>
      <c r="Q145" s="414" t="s">
        <v>12136</v>
      </c>
      <c r="R145" s="415" t="str">
        <f>UPPER(IF(P145="CDHU",VLOOKUP(Q145,'CDHU 201-SD'!$A$1:$J$28014,2,FALSE),IF(P145="FDE",VLOOKUP(Q145,'FDE 01-26-SD'!$A$1:$J$280013,2,FALSE),IF(P145="PRÓPRIA",VLOOKUP(Q145,COMPOSIÇÃO!$1:$1048576,3,FALSE),VLOOKUP(Q145,'SINAPI 04-26-SD'!$A$1:$H$272700,2,FALSE)))))</f>
        <v>FORNECIMENTO E MONTAGEM DE ESTRUTURA EM AÇO ASTM-A36, SEM PINTURA</v>
      </c>
      <c r="S145" s="414" t="str">
        <f>UPPER(IF(P145="CDHU",VLOOKUP(Q145,'CDHU 201-SD'!$A$1:$J$28014,3,FALSE),IF(P145="FDE",VLOOKUP(Q145,'FDE 01-26-SD'!$A$1:$J$280013,3,FALSE),IF(P145="PRÓPRIA",VLOOKUP(Q145,COMPOSIÇÃO!$1:$1048576,7,FALSE),VLOOKUP(Q145,'SINAPI 04-26-SD'!$A$1:$H$272700,3,FALSE)))))</f>
        <v>KG</v>
      </c>
      <c r="T145" s="393">
        <f>VLOOKUP(Q145,'COBERTURA E PERGOLADO'!$1:$1048576,12,FALSE)</f>
        <v>1939.78</v>
      </c>
      <c r="U145" s="394">
        <f>TRUNC(IF(P145="CDHU",VLOOKUP(Q145,'CDHU 201-SD'!$A$1:$J$28014,6,FALSE),IF(P145="FDE",VLOOKUP(Q145,'FDE 01-26-SD'!$A$1:$J$280013,6,FALSE),IF(P145="PRÓPRIA",VLOOKUP(Q145,COMPOSIÇÃO!$1:$1048576,10,FALSE),VLOOKUP(Q145,'SINAPI 04-26-SD'!$A$1:$H$272700,4,FALSE)))),2)</f>
        <v>29.12</v>
      </c>
      <c r="V145" s="416">
        <f t="shared" ref="V145:V146" si="404">TRUNC(U145*T145,2)</f>
        <v>56486.39</v>
      </c>
      <c r="W145" s="395">
        <f>IF($AA145="N",BDI!$D$26,IF($AA145="D",'BDI DIFE.'!$D$26,"ERRO"))</f>
        <v>0.22500000000000001</v>
      </c>
      <c r="X145" s="379">
        <f t="shared" ref="X145:X146" si="405">TRUNC(U145*(1+W145),2)</f>
        <v>35.67</v>
      </c>
      <c r="Y145" s="380">
        <f t="shared" ref="Y145:Y146" si="406">TRUNC(T145*X145,2)</f>
        <v>69191.95</v>
      </c>
      <c r="Z145" s="381"/>
      <c r="AA145" s="378" t="s">
        <v>28044</v>
      </c>
      <c r="AB145" s="642"/>
    </row>
    <row r="146" spans="2:29" s="55" customFormat="1" ht="16" thickBot="1">
      <c r="B146" s="378">
        <f ca="1">IF(C146="S",IF(OFFSET(C146,-1,0)="S", OFFSET(B146,-1,0), OFFSET(B146,-1,0) +1 ), C146)</f>
        <v>3</v>
      </c>
      <c r="C146" s="378" t="str">
        <f>IF(RIGHT($M146) = "o", "S", RIGHT($M146))</f>
        <v>S</v>
      </c>
      <c r="D146" s="378">
        <f ca="1">IF($C146="1",OFFSET(D146,-2,0) +1,OFFSET(D146,-1,0))</f>
        <v>8</v>
      </c>
      <c r="E146" s="378">
        <f ca="1">IF($C146="2",OFFSET(E146,-1,0) +1,IF(OFFSET(D146,-1,0)&lt;&gt;D146,"0",IF(OFFSET(E146,-1,0)="","0",OFFSET(E146,-1,0))))</f>
        <v>1</v>
      </c>
      <c r="F146" s="378" t="str">
        <f ca="1">IF($C146="3",OFFSET(F146,-1,0) +1,IF(OFFSET(E146,-1,0)&lt;&gt;E146,"0",IF(OFFSET(F146,-1,0)="","0",OFFSET(F146,-1,0))))</f>
        <v>0</v>
      </c>
      <c r="G146" s="378" t="str">
        <f ca="1">IF($C146="4",OFFSET(G146,-1,0) +1,IF(OFFSET(F146,-1,0)&lt;&gt;F146,"0",IF(OFFSET(G146,-1,0)="","0",OFFSET(G146,-1,0))))</f>
        <v>0</v>
      </c>
      <c r="H146" s="378" t="str">
        <f ca="1">IF($C146="5",OFFSET(H146,-1,0) +1,IF(OFFSET(G146,-1,0)&lt;&gt;G146,"0",IF(OFFSET(H146,-1,0)="","0",OFFSET(H146,-1,0))))</f>
        <v>0</v>
      </c>
      <c r="I146" s="378" t="str">
        <f ca="1">IF($C146="6",OFFSET(I146,-1,0) +1,IF(OFFSET(H146,-1,0)&lt;&gt;H146,"0",IF(OFFSET(I146,-1,0)="","0", OFFSET(I146,-1,0))))</f>
        <v>0</v>
      </c>
      <c r="J146" s="378">
        <f ca="1">IF($C146="S",OFFSET(J146,-1,0)+1,"0")</f>
        <v>2</v>
      </c>
      <c r="K146" s="378" t="str">
        <f>IF(C146="S","NÃO", IF(C146="1", D146, IF(C146="2", D146 &amp; "." &amp; E146,IF(C146="3", D146 &amp; "." &amp; E146 &amp; "." &amp; F146, IF(C146="4", D146 &amp; "." &amp; E146 &amp; "." &amp; F146 &amp; "." &amp; G146, IF(C146="5", D146 &amp; "." &amp; E146 &amp; "." &amp; F146 &amp; "." &amp; G146 &amp; "." &amp; H146, IF(C146="6", D146 &amp; "." &amp; E146 &amp; "." &amp; F146 &amp; "." &amp; G146 &amp; "." &amp; H146 &amp; "." &amp; I146)))))))</f>
        <v>NÃO</v>
      </c>
      <c r="L146" s="378" t="str">
        <f ca="1">IF(K146="NÃO",IF($B146=2,D146&amp;"."&amp;J146,IF($B146=3,D146&amp;"."&amp;E146&amp;"."&amp;J146,IF($B146=4,D146&amp;"."&amp;E146&amp;"."&amp;F146&amp;"."&amp;J146,IF($B146=5,D146&amp;"."&amp;E146&amp;"."&amp;F146&amp;"."&amp;G146&amp;"."&amp;J146,IF($B146=6,D146&amp;"."&amp;E146&amp;"."&amp;F146&amp;"."&amp;G146&amp;"."&amp;H146&amp;"."&amp;J146,IF($B146=7,D146&amp;"."&amp;E146&amp;"."&amp;F146&amp;"."&amp;G146&amp;"."&amp;H146&amp;"."&amp;I146&amp;"."&amp;J146,"FALHA")))))),K146)</f>
        <v>8.1.2</v>
      </c>
      <c r="M146" s="55" t="s">
        <v>27868</v>
      </c>
      <c r="O146" s="392" t="str">
        <f t="shared" ca="1" si="403"/>
        <v>8.1.2</v>
      </c>
      <c r="P146" s="413" t="s">
        <v>29901</v>
      </c>
      <c r="Q146" s="414" t="s">
        <v>13876</v>
      </c>
      <c r="R146" s="415" t="str">
        <f>UPPER(IF(P146="CDHU",VLOOKUP(Q146,'CDHU 201-SD'!$A$1:$J$28014,2,FALSE),IF(P146="FDE",VLOOKUP(Q146,'FDE 01-26-SD'!$A$1:$J$280013,2,FALSE),IF(P146="PRÓPRIA",VLOOKUP(Q146,COMPOSIÇÃO!$1:$1048576,3,FALSE),VLOOKUP(Q146,'SINAPI 04-26-SD'!$A$1:$H$272700,2,FALSE)))))</f>
        <v>PINTURA COM ESMALTE ALQUÍDICO EM ESTRUTURA METÁLICA</v>
      </c>
      <c r="S146" s="414" t="str">
        <f>UPPER(IF(P146="CDHU",VLOOKUP(Q146,'CDHU 201-SD'!$A$1:$J$28014,3,FALSE),IF(P146="FDE",VLOOKUP(Q146,'FDE 01-26-SD'!$A$1:$J$280013,3,FALSE),IF(P146="PRÓPRIA",VLOOKUP(Q146,COMPOSIÇÃO!$1:$1048576,7,FALSE),VLOOKUP(Q146,'SINAPI 04-26-SD'!$A$1:$H$272700,3,FALSE)))))</f>
        <v>KG</v>
      </c>
      <c r="T146" s="393">
        <f>VLOOKUP(Q146,'COBERTURA E PERGOLADO'!$1:$1048576,12,FALSE)</f>
        <v>1939.78</v>
      </c>
      <c r="U146" s="394">
        <f>TRUNC(IF(P146="CDHU",VLOOKUP(Q146,'CDHU 201-SD'!$A$1:$J$28014,6,FALSE),IF(P146="FDE",VLOOKUP(Q146,'FDE 01-26-SD'!$A$1:$J$280013,6,FALSE),IF(P146="PRÓPRIA",VLOOKUP(Q146,COMPOSIÇÃO!$1:$1048576,10,FALSE),VLOOKUP(Q146,'SINAPI 04-26-SD'!$A$1:$H$272700,4,FALSE)))),2)</f>
        <v>4.5599999999999996</v>
      </c>
      <c r="V146" s="416">
        <f t="shared" si="404"/>
        <v>8845.39</v>
      </c>
      <c r="W146" s="395">
        <f>IF($AA146="N",BDI!$D$26,IF($AA146="D",'BDI DIFE.'!$D$26,"ERRO"))</f>
        <v>0.22500000000000001</v>
      </c>
      <c r="X146" s="379">
        <f t="shared" si="405"/>
        <v>5.58</v>
      </c>
      <c r="Y146" s="380">
        <f t="shared" si="406"/>
        <v>10823.97</v>
      </c>
      <c r="Z146" s="381"/>
      <c r="AA146" s="378" t="s">
        <v>28044</v>
      </c>
      <c r="AB146" s="644"/>
      <c r="AC146" s="645"/>
    </row>
    <row r="147" spans="2:29" s="55" customFormat="1" ht="16" thickBot="1">
      <c r="B147" s="378" t="str">
        <f ca="1">IF(C147="S",IF(OFFSET(C147,-1,0)="S", OFFSET(B147,-1,0), OFFSET(B147,-1,0) +1 ), C147)</f>
        <v/>
      </c>
      <c r="C147" s="378" t="str">
        <f>IF(RIGHT($M147) = "o", "S", RIGHT($M147))</f>
        <v/>
      </c>
      <c r="D147" s="378">
        <f ca="1">IF($C147="1",OFFSET(D147,-2,0) +1,OFFSET(D147,-1,0))</f>
        <v>8</v>
      </c>
      <c r="E147" s="378">
        <f ca="1">IF($C147="2",OFFSET(E147,-1,0) +1,IF(OFFSET(D147,-1,0)&lt;&gt;D147,"0",IF(OFFSET(E147,-1,0)="","0",OFFSET(E147,-1,0))))</f>
        <v>1</v>
      </c>
      <c r="F147" s="378" t="str">
        <f ca="1">IF($C147="3",OFFSET(F147,-1,0) +1,IF(OFFSET(E147,-1,0)&lt;&gt;E147,"0",IF(OFFSET(F147,-1,0)="","0",OFFSET(F147,-1,0))))</f>
        <v>0</v>
      </c>
      <c r="G147" s="378" t="str">
        <f ca="1">IF($C147="4",OFFSET(G147,-1,0) +1,IF(OFFSET(F147,-1,0)&lt;&gt;F147,"0",IF(OFFSET(G147,-1,0)="","0",OFFSET(G147,-1,0))))</f>
        <v>0</v>
      </c>
      <c r="H147" s="378" t="str">
        <f ca="1">IF($C147="5",OFFSET(H147,-1,0) +1,IF(OFFSET(G147,-1,0)&lt;&gt;G147,"0",IF(OFFSET(H147,-1,0)="","0",OFFSET(H147,-1,0))))</f>
        <v>0</v>
      </c>
      <c r="I147" s="378" t="str">
        <f ca="1">IF($C147="6",OFFSET(I147,-1,0) +1,IF(OFFSET(H147,-1,0)&lt;&gt;H147,"0",IF(OFFSET(I147,-1,0)="","0", OFFSET(I147,-1,0))))</f>
        <v>0</v>
      </c>
      <c r="J147" s="378" t="str">
        <f ca="1">IF($C147="S",OFFSET(J147,-1,0)+1,"0")</f>
        <v>0</v>
      </c>
      <c r="K147" s="378" t="b">
        <f>IF(C147="S","NÃO", IF(C147="1", D147, IF(C147="2", D147 &amp; "." &amp; E147,IF(C147="3", D147 &amp; "." &amp; E147 &amp; "." &amp; F147, IF(C147="4", D147 &amp; "." &amp; E147 &amp; "." &amp; F147 &amp; "." &amp; G147, IF(C147="5", D147 &amp; "." &amp; E147 &amp; "." &amp; F147 &amp; "." &amp; G147 &amp; "." &amp; H147, IF(C147="6", D147 &amp; "." &amp; E147 &amp; "." &amp; F147 &amp; "." &amp; G147 &amp; "." &amp; H147 &amp; "." &amp; I147)))))))</f>
        <v>0</v>
      </c>
      <c r="L147" s="378" t="b">
        <f>IF(K147="NÃO",IF($B147=2,D147&amp;"."&amp;J147,IF($B147=3,D147&amp;"."&amp;E147&amp;"."&amp;J147,IF($B147=4,D147&amp;"."&amp;E147&amp;"."&amp;F147&amp;"."&amp;J147,IF($B147=5,D147&amp;"."&amp;E147&amp;"."&amp;F147&amp;"."&amp;G147&amp;"."&amp;J147,IF($B147=6,D147&amp;"."&amp;E147&amp;"."&amp;F147&amp;"."&amp;G147&amp;"."&amp;H147&amp;"."&amp;J147,IF($B147=7,D147&amp;"."&amp;E147&amp;"."&amp;F147&amp;"."&amp;G147&amp;"."&amp;H147&amp;"."&amp;I147&amp;"."&amp;J147,"FALHA")))))),K147)</f>
        <v>0</v>
      </c>
      <c r="O147" s="192"/>
      <c r="P147" s="387"/>
      <c r="Q147" s="387"/>
      <c r="R147" s="377"/>
      <c r="S147" s="387"/>
      <c r="T147" s="363"/>
      <c r="U147" s="388"/>
      <c r="V147" s="389"/>
      <c r="W147" s="389"/>
      <c r="X147" s="389"/>
      <c r="Y147" s="390"/>
      <c r="AA147" s="378"/>
      <c r="AB147" s="642"/>
    </row>
    <row r="148" spans="2:29" s="75" customFormat="1" ht="16" thickBot="1">
      <c r="B148" s="75" t="str">
        <f t="shared" ca="1" si="393"/>
        <v>2</v>
      </c>
      <c r="C148" s="75" t="str">
        <f t="shared" si="394"/>
        <v>2</v>
      </c>
      <c r="D148" s="75">
        <f t="shared" ca="1" si="307"/>
        <v>8</v>
      </c>
      <c r="E148" s="75">
        <f t="shared" ca="1" si="395"/>
        <v>2</v>
      </c>
      <c r="F148" s="75" t="str">
        <f t="shared" ca="1" si="396"/>
        <v>0</v>
      </c>
      <c r="G148" s="75" t="str">
        <f t="shared" ca="1" si="397"/>
        <v>0</v>
      </c>
      <c r="H148" s="75" t="str">
        <f t="shared" ca="1" si="398"/>
        <v>0</v>
      </c>
      <c r="I148" s="75" t="str">
        <f t="shared" ca="1" si="399"/>
        <v>0</v>
      </c>
      <c r="J148" s="75" t="str">
        <f t="shared" ca="1" si="313"/>
        <v>0</v>
      </c>
      <c r="K148" s="75" t="str">
        <f t="shared" ca="1" si="400"/>
        <v>8.2</v>
      </c>
      <c r="L148" s="75" t="str">
        <f t="shared" ca="1" si="401"/>
        <v>8.2</v>
      </c>
      <c r="M148" s="55" t="s">
        <v>27861</v>
      </c>
      <c r="O148" s="191" t="str">
        <f t="shared" ref="O148:O152" ca="1" si="407">L148</f>
        <v>8.2</v>
      </c>
      <c r="P148" s="172"/>
      <c r="Q148" s="172"/>
      <c r="R148" s="621" t="s">
        <v>44320</v>
      </c>
      <c r="S148" s="172"/>
      <c r="T148" s="194"/>
      <c r="U148" s="195"/>
      <c r="V148" s="196">
        <f ca="1">IF(VALUE(C148)=1,SUMIFS(V:V,D:D,D148,M:M,"Serviço"),IF(VALUE(C148)=2,SUMIFS(V:V,D:D,D148,E:E,E148,M:M,"Serviço"),IF(VALUE(C148)=3,SUMIFS(V:V,D:D,D148,E:E,E148,F:F,F148,M:M,"Serviço"),IF(VALUE(C148)=4,SUMIFS(V:V,D:D,D148,E:E,E148,F:F,F148,G:G,G148,M:M,"Serviço"),"ERRO"))))</f>
        <v>57540.729999999996</v>
      </c>
      <c r="W148" s="197"/>
      <c r="X148" s="205"/>
      <c r="Y148" s="173">
        <f ca="1">IF(VALUE(C148)=1,SUMIFS(Y:Y,D:D,D148,M:M,"Serviço"),IF(VALUE(C148)=2,SUMIFS(Y:Y,D:D,D148,E:E,E148,M:M,"Serviço"),IF(VALUE(C148)=3,SUMIFS(Y:Y,D:D,D148,E:E,E148,F:F,F148,M:M,"Serviço"),IF(VALUE(C148)=4,SUMIFS(Y:Y,D:D,D148,E:E,E148,F:F,F148,G:G,G148,M:M,"Serviço"),"ERRO"))))</f>
        <v>70485.7</v>
      </c>
      <c r="AB148" s="641"/>
    </row>
    <row r="149" spans="2:29" s="55" customFormat="1" ht="45">
      <c r="B149" s="378">
        <f t="shared" ca="1" si="393"/>
        <v>3</v>
      </c>
      <c r="C149" s="378" t="str">
        <f t="shared" si="394"/>
        <v>S</v>
      </c>
      <c r="D149" s="378">
        <f t="shared" ca="1" si="307"/>
        <v>8</v>
      </c>
      <c r="E149" s="378">
        <f t="shared" ca="1" si="395"/>
        <v>2</v>
      </c>
      <c r="F149" s="378" t="str">
        <f t="shared" ca="1" si="396"/>
        <v>0</v>
      </c>
      <c r="G149" s="378" t="str">
        <f t="shared" ca="1" si="397"/>
        <v>0</v>
      </c>
      <c r="H149" s="378" t="str">
        <f t="shared" ca="1" si="398"/>
        <v>0</v>
      </c>
      <c r="I149" s="378" t="str">
        <f t="shared" ca="1" si="399"/>
        <v>0</v>
      </c>
      <c r="J149" s="378">
        <f t="shared" ca="1" si="313"/>
        <v>1</v>
      </c>
      <c r="K149" s="378" t="str">
        <f t="shared" si="400"/>
        <v>NÃO</v>
      </c>
      <c r="L149" s="378" t="str">
        <f t="shared" ca="1" si="401"/>
        <v>8.2.1</v>
      </c>
      <c r="M149" s="55" t="s">
        <v>27868</v>
      </c>
      <c r="O149" s="392" t="str">
        <f t="shared" ca="1" si="407"/>
        <v>8.2.1</v>
      </c>
      <c r="P149" s="413" t="s">
        <v>29901</v>
      </c>
      <c r="Q149" s="414" t="s">
        <v>12232</v>
      </c>
      <c r="R149" s="415" t="str">
        <f>UPPER(IF(P149="CDHU",VLOOKUP(Q149,'CDHU 201-SD'!$A$1:$J$28014,2,FALSE),IF(P149="FDE",VLOOKUP(Q149,'FDE 01-26-SD'!$A$1:$J$280013,2,FALSE),IF(P149="PRÓPRIA",VLOOKUP(Q149,COMPOSIÇÃO!$1:$1048576,3,FALSE),VLOOKUP(Q149,'SINAPI 04-26-SD'!$A$1:$H$272700,2,FALSE)))))</f>
        <v>TELHAMENTO EM CHAPA DE AÇO COM PINTURA POLIÉSTER, TIPO SANDUÍCHE, ESPESSURA DE 0,50 MM, COM POLIESTIRENO EXPANDIDO</v>
      </c>
      <c r="S149" s="414" t="str">
        <f>UPPER(IF(P149="CDHU",VLOOKUP(Q149,'CDHU 201-SD'!$A$1:$J$28014,3,FALSE),IF(P149="FDE",VLOOKUP(Q149,'FDE 01-26-SD'!$A$1:$J$280013,3,FALSE),IF(P149="PRÓPRIA",VLOOKUP(Q149,COMPOSIÇÃO!$1:$1048576,7,FALSE),VLOOKUP(Q149,'SINAPI 04-26-SD'!$A$1:$H$272700,3,FALSE)))))</f>
        <v>M2</v>
      </c>
      <c r="T149" s="393">
        <f>VLOOKUP(Q149,'COBERTURA E PERGOLADO'!$1:$1048576,12,FALSE)</f>
        <v>118.41</v>
      </c>
      <c r="U149" s="394">
        <f>TRUNC(IF(P149="CDHU",VLOOKUP(Q149,'CDHU 201-SD'!$A$1:$J$28014,6,FALSE),IF(P149="FDE",VLOOKUP(Q149,'FDE 01-26-SD'!$A$1:$J$280013,6,FALSE),IF(P149="PRÓPRIA",VLOOKUP(Q149,COMPOSIÇÃO!$1:$1048576,10,FALSE),VLOOKUP(Q149,'SINAPI 04-26-SD'!$A$1:$H$272700,4,FALSE)))),2)</f>
        <v>145.62</v>
      </c>
      <c r="V149" s="416">
        <f t="shared" ref="V149:V152" si="408">TRUNC(U149*T149,2)</f>
        <v>17242.86</v>
      </c>
      <c r="W149" s="395">
        <f>IF($AA149="N",BDI!$D$26,IF($AA149="D",'BDI DIFE.'!$D$26,"ERRO"))</f>
        <v>0.22500000000000001</v>
      </c>
      <c r="X149" s="379">
        <f t="shared" ref="X149:X152" si="409">TRUNC(U149*(1+W149),2)</f>
        <v>178.38</v>
      </c>
      <c r="Y149" s="380">
        <f t="shared" ref="Y149:Y152" si="410">TRUNC(T149*X149,2)</f>
        <v>21121.97</v>
      </c>
      <c r="Z149" s="381"/>
      <c r="AA149" s="378" t="s">
        <v>28044</v>
      </c>
      <c r="AB149" s="642"/>
    </row>
    <row r="150" spans="2:29" s="55" customFormat="1" ht="30">
      <c r="B150" s="378">
        <f t="shared" ca="1" si="393"/>
        <v>3</v>
      </c>
      <c r="C150" s="378" t="str">
        <f t="shared" si="394"/>
        <v>S</v>
      </c>
      <c r="D150" s="378">
        <f t="shared" ca="1" si="307"/>
        <v>8</v>
      </c>
      <c r="E150" s="378">
        <f t="shared" ca="1" si="395"/>
        <v>2</v>
      </c>
      <c r="F150" s="378" t="str">
        <f t="shared" ca="1" si="396"/>
        <v>0</v>
      </c>
      <c r="G150" s="378" t="str">
        <f t="shared" ca="1" si="397"/>
        <v>0</v>
      </c>
      <c r="H150" s="378" t="str">
        <f t="shared" ca="1" si="398"/>
        <v>0</v>
      </c>
      <c r="I150" s="378" t="str">
        <f t="shared" ca="1" si="399"/>
        <v>0</v>
      </c>
      <c r="J150" s="378">
        <f t="shared" ca="1" si="313"/>
        <v>2</v>
      </c>
      <c r="K150" s="378" t="str">
        <f t="shared" si="400"/>
        <v>NÃO</v>
      </c>
      <c r="L150" s="378" t="str">
        <f t="shared" ca="1" si="401"/>
        <v>8.2.2</v>
      </c>
      <c r="M150" s="55" t="s">
        <v>27868</v>
      </c>
      <c r="O150" s="392" t="str">
        <f t="shared" ca="1" si="407"/>
        <v>8.2.2</v>
      </c>
      <c r="P150" s="413" t="s">
        <v>29901</v>
      </c>
      <c r="Q150" s="414" t="s">
        <v>12258</v>
      </c>
      <c r="R150" s="415" t="str">
        <f>UPPER(IF(P150="CDHU",VLOOKUP(Q150,'CDHU 201-SD'!$A$1:$J$28014,2,FALSE),IF(P150="FDE",VLOOKUP(Q150,'FDE 01-26-SD'!$A$1:$J$280013,2,FALSE),IF(P150="PRÓPRIA",VLOOKUP(Q150,COMPOSIÇÃO!$1:$1048576,3,FALSE),VLOOKUP(Q150,'SINAPI 04-26-SD'!$A$1:$H$272700,2,FALSE)))))</f>
        <v>COBERTURA PLANA EM CHAPA DE POLICARBONATO ALVEOLAR DE 10 MM</v>
      </c>
      <c r="S150" s="414" t="str">
        <f>UPPER(IF(P150="CDHU",VLOOKUP(Q150,'CDHU 201-SD'!$A$1:$J$28014,3,FALSE),IF(P150="FDE",VLOOKUP(Q150,'FDE 01-26-SD'!$A$1:$J$280013,3,FALSE),IF(P150="PRÓPRIA",VLOOKUP(Q150,COMPOSIÇÃO!$1:$1048576,7,FALSE),VLOOKUP(Q150,'SINAPI 04-26-SD'!$A$1:$H$272700,3,FALSE)))))</f>
        <v>M2</v>
      </c>
      <c r="T150" s="393">
        <f>VLOOKUP(Q150,'COBERTURA E PERGOLADO'!$1:$1048576,12,FALSE)</f>
        <v>67.03</v>
      </c>
      <c r="U150" s="394">
        <f>TRUNC(IF(P150="CDHU",VLOOKUP(Q150,'CDHU 201-SD'!$A$1:$J$28014,6,FALSE),IF(P150="FDE",VLOOKUP(Q150,'FDE 01-26-SD'!$A$1:$J$280013,6,FALSE),IF(P150="PRÓPRIA",VLOOKUP(Q150,COMPOSIÇÃO!$1:$1048576,10,FALSE),VLOOKUP(Q150,'SINAPI 04-26-SD'!$A$1:$H$272700,4,FALSE)))),2)</f>
        <v>266.47000000000003</v>
      </c>
      <c r="V150" s="416">
        <f t="shared" si="408"/>
        <v>17861.48</v>
      </c>
      <c r="W150" s="395">
        <f>IF($AA150="N",BDI!$D$26,IF($AA150="D",'BDI DIFE.'!$D$26,"ERRO"))</f>
        <v>0.22500000000000001</v>
      </c>
      <c r="X150" s="379">
        <f t="shared" si="409"/>
        <v>326.42</v>
      </c>
      <c r="Y150" s="380">
        <f t="shared" si="410"/>
        <v>21879.93</v>
      </c>
      <c r="Z150" s="381"/>
      <c r="AA150" s="378" t="s">
        <v>28044</v>
      </c>
      <c r="AB150" s="644"/>
      <c r="AC150" s="645"/>
    </row>
    <row r="151" spans="2:29" s="55" customFormat="1" ht="30">
      <c r="B151" s="378">
        <f t="shared" ref="B151" ca="1" si="411">IF(C151="S",IF(OFFSET(C151,-1,0)="S", OFFSET(B151,-1,0), OFFSET(B151,-1,0) +1 ), C151)</f>
        <v>3</v>
      </c>
      <c r="C151" s="378" t="str">
        <f t="shared" si="394"/>
        <v>S</v>
      </c>
      <c r="D151" s="378">
        <f t="shared" ca="1" si="307"/>
        <v>8</v>
      </c>
      <c r="E151" s="378">
        <f t="shared" ref="E151" ca="1" si="412">IF($C151="2",OFFSET(E151,-1,0) +1,IF(OFFSET(D151,-1,0)&lt;&gt;D151,"0",IF(OFFSET(E151,-1,0)="","0",OFFSET(E151,-1,0))))</f>
        <v>2</v>
      </c>
      <c r="F151" s="378" t="str">
        <f t="shared" ref="F151" ca="1" si="413">IF($C151="3",OFFSET(F151,-1,0) +1,IF(OFFSET(E151,-1,0)&lt;&gt;E151,"0",IF(OFFSET(F151,-1,0)="","0",OFFSET(F151,-1,0))))</f>
        <v>0</v>
      </c>
      <c r="G151" s="378" t="str">
        <f t="shared" ref="G151" ca="1" si="414">IF($C151="4",OFFSET(G151,-1,0) +1,IF(OFFSET(F151,-1,0)&lt;&gt;F151,"0",IF(OFFSET(G151,-1,0)="","0",OFFSET(G151,-1,0))))</f>
        <v>0</v>
      </c>
      <c r="H151" s="378" t="str">
        <f t="shared" ref="H151" ca="1" si="415">IF($C151="5",OFFSET(H151,-1,0) +1,IF(OFFSET(G151,-1,0)&lt;&gt;G151,"0",IF(OFFSET(H151,-1,0)="","0",OFFSET(H151,-1,0))))</f>
        <v>0</v>
      </c>
      <c r="I151" s="378" t="str">
        <f t="shared" ref="I151" ca="1" si="416">IF($C151="6",OFFSET(I151,-1,0) +1,IF(OFFSET(H151,-1,0)&lt;&gt;H151,"0",IF(OFFSET(I151,-1,0)="","0", OFFSET(I151,-1,0))))</f>
        <v>0</v>
      </c>
      <c r="J151" s="378">
        <f t="shared" ca="1" si="313"/>
        <v>3</v>
      </c>
      <c r="K151" s="378" t="str">
        <f t="shared" ref="K151" si="417">IF(C151="S","NÃO", IF(C151="1", D151, IF(C151="2", D151 &amp; "." &amp; E151,IF(C151="3", D151 &amp; "." &amp; E151 &amp; "." &amp; F151, IF(C151="4", D151 &amp; "." &amp; E151 &amp; "." &amp; F151 &amp; "." &amp; G151, IF(C151="5", D151 &amp; "." &amp; E151 &amp; "." &amp; F151 &amp; "." &amp; G151 &amp; "." &amp; H151, IF(C151="6", D151 &amp; "." &amp; E151 &amp; "." &amp; F151 &amp; "." &amp; G151 &amp; "." &amp; H151 &amp; "." &amp; I151)))))))</f>
        <v>NÃO</v>
      </c>
      <c r="L151" s="378" t="str">
        <f t="shared" ref="L151" ca="1" si="418">IF(K151="NÃO",IF($B151=2,D151&amp;"."&amp;J151,IF($B151=3,D151&amp;"."&amp;E151&amp;"."&amp;J151,IF($B151=4,D151&amp;"."&amp;E151&amp;"."&amp;F151&amp;"."&amp;J151,IF($B151=5,D151&amp;"."&amp;E151&amp;"."&amp;F151&amp;"."&amp;G151&amp;"."&amp;J151,IF($B151=6,D151&amp;"."&amp;E151&amp;"."&amp;F151&amp;"."&amp;G151&amp;"."&amp;H151&amp;"."&amp;J151,IF($B151=7,D151&amp;"."&amp;E151&amp;"."&amp;F151&amp;"."&amp;G151&amp;"."&amp;H151&amp;"."&amp;I151&amp;"."&amp;J151,"FALHA")))))),K151)</f>
        <v>8.2.3</v>
      </c>
      <c r="M151" s="55" t="s">
        <v>27868</v>
      </c>
      <c r="O151" s="392" t="str">
        <f t="shared" ref="O151" ca="1" si="419">L151</f>
        <v>8.2.3</v>
      </c>
      <c r="P151" s="413" t="s">
        <v>29901</v>
      </c>
      <c r="Q151" s="414" t="s">
        <v>12268</v>
      </c>
      <c r="R151" s="415" t="str">
        <f>UPPER(IF(P151="CDHU",VLOOKUP(Q151,'CDHU 201-SD'!$A$1:$J$28014,2,FALSE),IF(P151="FDE",VLOOKUP(Q151,'FDE 01-26-SD'!$A$1:$J$280013,2,FALSE),IF(P151="PRÓPRIA",VLOOKUP(Q151,COMPOSIÇÃO!$1:$1048576,3,FALSE),VLOOKUP(Q151,'SINAPI 04-26-SD'!$A$1:$H$272700,2,FALSE)))))</f>
        <v>CALHA, RUFO, AFINS EM CHAPA GALVANIZADA Nº 24 - CORTE 1,00 M</v>
      </c>
      <c r="S151" s="414" t="str">
        <f>UPPER(IF(P151="CDHU",VLOOKUP(Q151,'CDHU 201-SD'!$A$1:$J$28014,3,FALSE),IF(P151="FDE",VLOOKUP(Q151,'FDE 01-26-SD'!$A$1:$J$280013,3,FALSE),IF(P151="PRÓPRIA",VLOOKUP(Q151,COMPOSIÇÃO!$1:$1048576,7,FALSE),VLOOKUP(Q151,'SINAPI 04-26-SD'!$A$1:$H$272700,3,FALSE)))))</f>
        <v>M</v>
      </c>
      <c r="T151" s="393">
        <v>25.7</v>
      </c>
      <c r="U151" s="394">
        <f>TRUNC(IF(P151="CDHU",VLOOKUP(Q151,'CDHU 201-SD'!$A$1:$J$28014,6,FALSE),IF(P151="FDE",VLOOKUP(Q151,'FDE 01-26-SD'!$A$1:$J$280013,6,FALSE),IF(P151="PRÓPRIA",VLOOKUP(Q151,COMPOSIÇÃO!$1:$1048576,10,FALSE),VLOOKUP(Q151,'SINAPI 04-26-SD'!$A$1:$H$272700,4,FALSE)))),2)</f>
        <v>244.73</v>
      </c>
      <c r="V151" s="416">
        <f t="shared" ref="V151" si="420">TRUNC(U151*T151,2)</f>
        <v>6289.56</v>
      </c>
      <c r="W151" s="395">
        <f>IF($AA151="N",BDI!$D$26,IF($AA151="D",'BDI DIFE.'!$D$26,"ERRO"))</f>
        <v>0.22500000000000001</v>
      </c>
      <c r="X151" s="379">
        <f t="shared" ref="X151" si="421">TRUNC(U151*(1+W151),2)</f>
        <v>299.79000000000002</v>
      </c>
      <c r="Y151" s="380">
        <f t="shared" ref="Y151" si="422">TRUNC(T151*X151,2)</f>
        <v>7704.6</v>
      </c>
      <c r="Z151" s="381"/>
      <c r="AA151" s="378" t="s">
        <v>28044</v>
      </c>
      <c r="AB151" s="644"/>
      <c r="AC151" s="645"/>
    </row>
    <row r="152" spans="2:29" s="55" customFormat="1" ht="31" thickBot="1">
      <c r="B152" s="378">
        <f t="shared" ca="1" si="393"/>
        <v>3</v>
      </c>
      <c r="C152" s="378" t="str">
        <f t="shared" si="394"/>
        <v>S</v>
      </c>
      <c r="D152" s="378">
        <f t="shared" ca="1" si="307"/>
        <v>8</v>
      </c>
      <c r="E152" s="378">
        <f t="shared" ca="1" si="395"/>
        <v>2</v>
      </c>
      <c r="F152" s="378" t="str">
        <f t="shared" ca="1" si="396"/>
        <v>0</v>
      </c>
      <c r="G152" s="378" t="str">
        <f t="shared" ca="1" si="397"/>
        <v>0</v>
      </c>
      <c r="H152" s="378" t="str">
        <f t="shared" ca="1" si="398"/>
        <v>0</v>
      </c>
      <c r="I152" s="378" t="str">
        <f t="shared" ca="1" si="399"/>
        <v>0</v>
      </c>
      <c r="J152" s="378">
        <f t="shared" ca="1" si="313"/>
        <v>4</v>
      </c>
      <c r="K152" s="378" t="str">
        <f t="shared" si="400"/>
        <v>NÃO</v>
      </c>
      <c r="L152" s="378" t="str">
        <f t="shared" ca="1" si="401"/>
        <v>8.2.4</v>
      </c>
      <c r="M152" s="55" t="s">
        <v>27868</v>
      </c>
      <c r="O152" s="392" t="str">
        <f t="shared" ca="1" si="407"/>
        <v>8.2.4</v>
      </c>
      <c r="P152" s="413" t="s">
        <v>29901</v>
      </c>
      <c r="Q152" s="414" t="s">
        <v>12266</v>
      </c>
      <c r="R152" s="415" t="str">
        <f>UPPER(IF(P152="CDHU",VLOOKUP(Q152,'CDHU 201-SD'!$A$1:$J$28014,2,FALSE),IF(P152="FDE",VLOOKUP(Q152,'FDE 01-26-SD'!$A$1:$J$280013,2,FALSE),IF(P152="PRÓPRIA",VLOOKUP(Q152,COMPOSIÇÃO!$1:$1048576,3,FALSE),VLOOKUP(Q152,'SINAPI 04-26-SD'!$A$1:$H$272700,2,FALSE)))))</f>
        <v>CALHA, RUFO, AFINS EM CHAPA GALVANIZADA Nº 24 - CORTE 0,50 M</v>
      </c>
      <c r="S152" s="414" t="str">
        <f>UPPER(IF(P152="CDHU",VLOOKUP(Q152,'CDHU 201-SD'!$A$1:$J$28014,3,FALSE),IF(P152="FDE",VLOOKUP(Q152,'FDE 01-26-SD'!$A$1:$J$280013,3,FALSE),IF(P152="PRÓPRIA",VLOOKUP(Q152,COMPOSIÇÃO!$1:$1048576,7,FALSE),VLOOKUP(Q152,'SINAPI 04-26-SD'!$A$1:$H$272700,3,FALSE)))))</f>
        <v>M</v>
      </c>
      <c r="T152" s="393">
        <v>99.9</v>
      </c>
      <c r="U152" s="394">
        <f>TRUNC(IF(P152="CDHU",VLOOKUP(Q152,'CDHU 201-SD'!$A$1:$J$28014,6,FALSE),IF(P152="FDE",VLOOKUP(Q152,'FDE 01-26-SD'!$A$1:$J$280013,6,FALSE),IF(P152="PRÓPRIA",VLOOKUP(Q152,COMPOSIÇÃO!$1:$1048576,10,FALSE),VLOOKUP(Q152,'SINAPI 04-26-SD'!$A$1:$H$272700,4,FALSE)))),2)</f>
        <v>161.63</v>
      </c>
      <c r="V152" s="416">
        <f t="shared" si="408"/>
        <v>16146.83</v>
      </c>
      <c r="W152" s="395">
        <f>IF($AA152="N",BDI!$D$26,IF($AA152="D",'BDI DIFE.'!$D$26,"ERRO"))</f>
        <v>0.22500000000000001</v>
      </c>
      <c r="X152" s="379">
        <f t="shared" si="409"/>
        <v>197.99</v>
      </c>
      <c r="Y152" s="380">
        <f t="shared" si="410"/>
        <v>19779.2</v>
      </c>
      <c r="Z152" s="381"/>
      <c r="AA152" s="378" t="s">
        <v>28044</v>
      </c>
      <c r="AB152" s="644"/>
      <c r="AC152" s="645"/>
    </row>
    <row r="153" spans="2:29" s="55" customFormat="1" ht="16" thickBot="1">
      <c r="B153" s="378" t="str">
        <f t="shared" ref="B153" ca="1" si="423">IF(C153="S",IF(OFFSET(C153,-1,0)="S", OFFSET(B153,-1,0), OFFSET(B153,-1,0) +1 ), C153)</f>
        <v/>
      </c>
      <c r="C153" s="378" t="str">
        <f>IF(RIGHT($M153) = "o", "S", RIGHT($M153))</f>
        <v/>
      </c>
      <c r="D153" s="378">
        <f t="shared" ca="1" si="307"/>
        <v>8</v>
      </c>
      <c r="E153" s="378">
        <f t="shared" ref="E153" ca="1" si="424">IF($C153="2",OFFSET(E153,-1,0) +1,IF(OFFSET(D153,-1,0)&lt;&gt;D153,"0",IF(OFFSET(E153,-1,0)="","0",OFFSET(E153,-1,0))))</f>
        <v>2</v>
      </c>
      <c r="F153" s="378" t="str">
        <f t="shared" ref="F153" ca="1" si="425">IF($C153="3",OFFSET(F153,-1,0) +1,IF(OFFSET(E153,-1,0)&lt;&gt;E153,"0",IF(OFFSET(F153,-1,0)="","0",OFFSET(F153,-1,0))))</f>
        <v>0</v>
      </c>
      <c r="G153" s="378" t="str">
        <f t="shared" ref="G153" ca="1" si="426">IF($C153="4",OFFSET(G153,-1,0) +1,IF(OFFSET(F153,-1,0)&lt;&gt;F153,"0",IF(OFFSET(G153,-1,0)="","0",OFFSET(G153,-1,0))))</f>
        <v>0</v>
      </c>
      <c r="H153" s="378" t="str">
        <f t="shared" ref="H153" ca="1" si="427">IF($C153="5",OFFSET(H153,-1,0) +1,IF(OFFSET(G153,-1,0)&lt;&gt;G153,"0",IF(OFFSET(H153,-1,0)="","0",OFFSET(H153,-1,0))))</f>
        <v>0</v>
      </c>
      <c r="I153" s="378" t="str">
        <f t="shared" ref="I153" ca="1" si="428">IF($C153="6",OFFSET(I153,-1,0) +1,IF(OFFSET(H153,-1,0)&lt;&gt;H153,"0",IF(OFFSET(I153,-1,0)="","0", OFFSET(I153,-1,0))))</f>
        <v>0</v>
      </c>
      <c r="J153" s="378" t="str">
        <f t="shared" ca="1" si="313"/>
        <v>0</v>
      </c>
      <c r="K153" s="378" t="b">
        <f t="shared" ref="K153" si="429">IF(C153="S","NÃO", IF(C153="1", D153, IF(C153="2", D153 &amp; "." &amp; E153,IF(C153="3", D153 &amp; "." &amp; E153 &amp; "." &amp; F153, IF(C153="4", D153 &amp; "." &amp; E153 &amp; "." &amp; F153 &amp; "." &amp; G153, IF(C153="5", D153 &amp; "." &amp; E153 &amp; "." &amp; F153 &amp; "." &amp; G153 &amp; "." &amp; H153, IF(C153="6", D153 &amp; "." &amp; E153 &amp; "." &amp; F153 &amp; "." &amp; G153 &amp; "." &amp; H153 &amp; "." &amp; I153)))))))</f>
        <v>0</v>
      </c>
      <c r="L153" s="378" t="b">
        <f t="shared" ref="L153" si="430">IF(K153="NÃO",IF($B153=2,D153&amp;"."&amp;J153,IF($B153=3,D153&amp;"."&amp;E153&amp;"."&amp;J153,IF($B153=4,D153&amp;"."&amp;E153&amp;"."&amp;F153&amp;"."&amp;J153,IF($B153=5,D153&amp;"."&amp;E153&amp;"."&amp;F153&amp;"."&amp;G153&amp;"."&amp;J153,IF($B153=6,D153&amp;"."&amp;E153&amp;"."&amp;F153&amp;"."&amp;G153&amp;"."&amp;H153&amp;"."&amp;J153,IF($B153=7,D153&amp;"."&amp;E153&amp;"."&amp;F153&amp;"."&amp;G153&amp;"."&amp;H153&amp;"."&amp;I153&amp;"."&amp;J153,"FALHA")))))),K153)</f>
        <v>0</v>
      </c>
      <c r="O153" s="192"/>
      <c r="P153" s="387"/>
      <c r="Q153" s="387"/>
      <c r="R153" s="377"/>
      <c r="S153" s="387"/>
      <c r="T153" s="363"/>
      <c r="U153" s="388"/>
      <c r="V153" s="389"/>
      <c r="W153" s="389"/>
      <c r="X153" s="389"/>
      <c r="Y153" s="390"/>
      <c r="AA153" s="378"/>
      <c r="AB153" s="642"/>
    </row>
    <row r="154" spans="2:29" s="75" customFormat="1" ht="16" thickBot="1">
      <c r="B154" s="75" t="str">
        <f t="shared" ref="B154:B158" ca="1" si="431">IF(C154="S",IF(OFFSET(C154,-1,0)="S", OFFSET(B154,-1,0), OFFSET(B154,-1,0) +1 ), C154)</f>
        <v>1</v>
      </c>
      <c r="C154" s="75" t="str">
        <f t="shared" si="394"/>
        <v>1</v>
      </c>
      <c r="D154" s="75">
        <f t="shared" ca="1" si="307"/>
        <v>9</v>
      </c>
      <c r="E154" s="75" t="str">
        <f t="shared" ref="E154:E158" ca="1" si="432">IF($C154="2",OFFSET(E154,-1,0) +1,IF(OFFSET(D154,-1,0)&lt;&gt;D154,"0",IF(OFFSET(E154,-1,0)="","0",OFFSET(E154,-1,0))))</f>
        <v>0</v>
      </c>
      <c r="F154" s="75" t="str">
        <f t="shared" ref="F154:F158" ca="1" si="433">IF($C154="3",OFFSET(F154,-1,0) +1,IF(OFFSET(E154,-1,0)&lt;&gt;E154,"0",IF(OFFSET(F154,-1,0)="","0",OFFSET(F154,-1,0))))</f>
        <v>0</v>
      </c>
      <c r="G154" s="75" t="str">
        <f t="shared" ref="G154:G158" ca="1" si="434">IF($C154="4",OFFSET(G154,-1,0) +1,IF(OFFSET(F154,-1,0)&lt;&gt;F154,"0",IF(OFFSET(G154,-1,0)="","0",OFFSET(G154,-1,0))))</f>
        <v>0</v>
      </c>
      <c r="H154" s="75" t="str">
        <f t="shared" ref="H154:H158" ca="1" si="435">IF($C154="5",OFFSET(H154,-1,0) +1,IF(OFFSET(G154,-1,0)&lt;&gt;G154,"0",IF(OFFSET(H154,-1,0)="","0",OFFSET(H154,-1,0))))</f>
        <v>0</v>
      </c>
      <c r="I154" s="75" t="str">
        <f t="shared" ref="I154:I158" ca="1" si="436">IF($C154="6",OFFSET(I154,-1,0) +1,IF(OFFSET(H154,-1,0)&lt;&gt;H154,"0",IF(OFFSET(I154,-1,0)="","0", OFFSET(I154,-1,0))))</f>
        <v>0</v>
      </c>
      <c r="J154" s="75" t="str">
        <f t="shared" ca="1" si="313"/>
        <v>0</v>
      </c>
      <c r="K154" s="75">
        <f t="shared" ref="K154:K158" ca="1" si="437">IF(C154="S","NÃO", IF(C154="1", D154, IF(C154="2", D154 &amp; "." &amp; E154,IF(C154="3", D154 &amp; "." &amp; E154 &amp; "." &amp; F154, IF(C154="4", D154 &amp; "." &amp; E154 &amp; "." &amp; F154 &amp; "." &amp; G154, IF(C154="5", D154 &amp; "." &amp; E154 &amp; "." &amp; F154 &amp; "." &amp; G154 &amp; "." &amp; H154, IF(C154="6", D154 &amp; "." &amp; E154 &amp; "." &amp; F154 &amp; "." &amp; G154 &amp; "." &amp; H154 &amp; "." &amp; I154)))))))</f>
        <v>9</v>
      </c>
      <c r="L154" s="75">
        <f t="shared" ref="L154:L158" ca="1" si="438">IF(K154="NÃO",IF($B154=2,D154&amp;"."&amp;J154,IF($B154=3,D154&amp;"."&amp;E154&amp;"."&amp;J154,IF($B154=4,D154&amp;"."&amp;E154&amp;"."&amp;F154&amp;"."&amp;J154,IF($B154=5,D154&amp;"."&amp;E154&amp;"."&amp;F154&amp;"."&amp;G154&amp;"."&amp;J154,IF($B154=6,D154&amp;"."&amp;E154&amp;"."&amp;F154&amp;"."&amp;G154&amp;"."&amp;H154&amp;"."&amp;J154,IF($B154=7,D154&amp;"."&amp;E154&amp;"."&amp;F154&amp;"."&amp;G154&amp;"."&amp;H154&amp;"."&amp;I154&amp;"."&amp;J154,"FALHA")))))),K154)</f>
        <v>9</v>
      </c>
      <c r="M154" s="55" t="s">
        <v>27859</v>
      </c>
      <c r="O154" s="191">
        <f t="shared" ref="O154:O158" ca="1" si="439">L154</f>
        <v>9</v>
      </c>
      <c r="P154" s="172"/>
      <c r="Q154" s="172"/>
      <c r="R154" s="621" t="s">
        <v>41835</v>
      </c>
      <c r="S154" s="172"/>
      <c r="T154" s="194"/>
      <c r="U154" s="195"/>
      <c r="V154" s="196">
        <f ca="1">IF(VALUE(C154)=1,SUMIFS(V:V,D:D,D154,M:M,"Serviço"),IF(VALUE(C154)=2,SUMIFS(V:V,D:D,D154,E:E,E154,M:M,"Serviço"),IF(VALUE(C154)=3,SUMIFS(V:V,D:D,D154,E:E,E154,F:F,F154,M:M,"Serviço"),IF(VALUE(C154)=4,SUMIFS(V:V,D:D,D154,E:E,E154,F:F,F154,G:G,G154,M:M,"Serviço"),"ERRO"))))</f>
        <v>178886.86000000002</v>
      </c>
      <c r="W154" s="197"/>
      <c r="X154" s="205"/>
      <c r="Y154" s="173">
        <f ca="1">IF(VALUE(C154)=1,SUMIFS(Y:Y,D:D,D154,M:M,"Serviço"),IF(VALUE(C154)=2,SUMIFS(Y:Y,D:D,D154,E:E,E154,M:M,"Serviço"),IF(VALUE(C154)=3,SUMIFS(Y:Y,D:D,D154,E:E,E154,F:F,F154,M:M,"Serviço"),IF(VALUE(C154)=4,SUMIFS(Y:Y,D:D,D154,E:E,E154,F:F,F154,G:G,G154,M:M,"Serviço"),"ERRO"))))</f>
        <v>219132.59000000003</v>
      </c>
      <c r="AB154" s="641"/>
    </row>
    <row r="155" spans="2:29" s="75" customFormat="1" ht="16" thickBot="1">
      <c r="B155" s="75" t="str">
        <f t="shared" ca="1" si="431"/>
        <v>2</v>
      </c>
      <c r="C155" s="75" t="str">
        <f t="shared" si="394"/>
        <v>2</v>
      </c>
      <c r="D155" s="75">
        <f t="shared" ca="1" si="307"/>
        <v>9</v>
      </c>
      <c r="E155" s="75">
        <f t="shared" ca="1" si="432"/>
        <v>1</v>
      </c>
      <c r="F155" s="75" t="str">
        <f t="shared" ca="1" si="433"/>
        <v>0</v>
      </c>
      <c r="G155" s="75" t="str">
        <f t="shared" ca="1" si="434"/>
        <v>0</v>
      </c>
      <c r="H155" s="75" t="str">
        <f t="shared" ca="1" si="435"/>
        <v>0</v>
      </c>
      <c r="I155" s="75" t="str">
        <f t="shared" ca="1" si="436"/>
        <v>0</v>
      </c>
      <c r="J155" s="75" t="str">
        <f t="shared" ca="1" si="313"/>
        <v>0</v>
      </c>
      <c r="K155" s="75" t="str">
        <f t="shared" ca="1" si="437"/>
        <v>9.1</v>
      </c>
      <c r="L155" s="75" t="str">
        <f t="shared" ca="1" si="438"/>
        <v>9.1</v>
      </c>
      <c r="M155" s="55" t="s">
        <v>27861</v>
      </c>
      <c r="O155" s="191" t="str">
        <f t="shared" ca="1" si="439"/>
        <v>9.1</v>
      </c>
      <c r="P155" s="172"/>
      <c r="Q155" s="172"/>
      <c r="R155" s="621" t="s">
        <v>41836</v>
      </c>
      <c r="S155" s="172"/>
      <c r="T155" s="194"/>
      <c r="U155" s="195"/>
      <c r="V155" s="196">
        <f ca="1">IF(VALUE(C155)=1,SUMIFS(V:V,D:D,D155,M:M,"Serviço"),IF(VALUE(C155)=2,SUMIFS(V:V,D:D,D155,E:E,E155,M:M,"Serviço"),IF(VALUE(C155)=3,SUMIFS(V:V,D:D,D155,E:E,E155,F:F,F155,M:M,"Serviço"),IF(VALUE(C155)=4,SUMIFS(V:V,D:D,D155,E:E,E155,F:F,F155,G:G,G155,M:M,"Serviço"),"ERRO"))))</f>
        <v>88790.99</v>
      </c>
      <c r="W155" s="197"/>
      <c r="X155" s="205"/>
      <c r="Y155" s="173">
        <f ca="1">IF(VALUE(C155)=1,SUMIFS(Y:Y,D:D,D155,M:M,"Serviço"),IF(VALUE(C155)=2,SUMIFS(Y:Y,D:D,D155,E:E,E155,M:M,"Serviço"),IF(VALUE(C155)=3,SUMIFS(Y:Y,D:D,D155,E:E,E155,F:F,F155,M:M,"Serviço"),IF(VALUE(C155)=4,SUMIFS(Y:Y,D:D,D155,E:E,E155,F:F,F155,G:G,G155,M:M,"Serviço"),"ERRO"))))</f>
        <v>108765.87000000001</v>
      </c>
      <c r="AB155" s="641"/>
    </row>
    <row r="156" spans="2:29" s="55" customFormat="1">
      <c r="B156" s="378">
        <f t="shared" ref="B156" ca="1" si="440">IF(C156="S",IF(OFFSET(C156,-1,0)="S", OFFSET(B156,-1,0), OFFSET(B156,-1,0) +1 ), C156)</f>
        <v>3</v>
      </c>
      <c r="C156" s="378" t="str">
        <f t="shared" si="394"/>
        <v>S</v>
      </c>
      <c r="D156" s="378">
        <f t="shared" ca="1" si="307"/>
        <v>9</v>
      </c>
      <c r="E156" s="378">
        <f t="shared" ref="E156" ca="1" si="441">IF($C156="2",OFFSET(E156,-1,0) +1,IF(OFFSET(D156,-1,0)&lt;&gt;D156,"0",IF(OFFSET(E156,-1,0)="","0",OFFSET(E156,-1,0))))</f>
        <v>1</v>
      </c>
      <c r="F156" s="378" t="str">
        <f t="shared" ref="F156" ca="1" si="442">IF($C156="3",OFFSET(F156,-1,0) +1,IF(OFFSET(E156,-1,0)&lt;&gt;E156,"0",IF(OFFSET(F156,-1,0)="","0",OFFSET(F156,-1,0))))</f>
        <v>0</v>
      </c>
      <c r="G156" s="378" t="str">
        <f t="shared" ref="G156" ca="1" si="443">IF($C156="4",OFFSET(G156,-1,0) +1,IF(OFFSET(F156,-1,0)&lt;&gt;F156,"0",IF(OFFSET(G156,-1,0)="","0",OFFSET(G156,-1,0))))</f>
        <v>0</v>
      </c>
      <c r="H156" s="378" t="str">
        <f t="shared" ref="H156" ca="1" si="444">IF($C156="5",OFFSET(H156,-1,0) +1,IF(OFFSET(G156,-1,0)&lt;&gt;G156,"0",IF(OFFSET(H156,-1,0)="","0",OFFSET(H156,-1,0))))</f>
        <v>0</v>
      </c>
      <c r="I156" s="378" t="str">
        <f t="shared" ref="I156" ca="1" si="445">IF($C156="6",OFFSET(I156,-1,0) +1,IF(OFFSET(H156,-1,0)&lt;&gt;H156,"0",IF(OFFSET(I156,-1,0)="","0", OFFSET(I156,-1,0))))</f>
        <v>0</v>
      </c>
      <c r="J156" s="378">
        <f t="shared" ca="1" si="313"/>
        <v>1</v>
      </c>
      <c r="K156" s="378" t="str">
        <f t="shared" ref="K156" si="446">IF(C156="S","NÃO", IF(C156="1", D156, IF(C156="2", D156 &amp; "." &amp; E156,IF(C156="3", D156 &amp; "." &amp; E156 &amp; "." &amp; F156, IF(C156="4", D156 &amp; "." &amp; E156 &amp; "." &amp; F156 &amp; "." &amp; G156, IF(C156="5", D156 &amp; "." &amp; E156 &amp; "." &amp; F156 &amp; "." &amp; G156 &amp; "." &amp; H156, IF(C156="6", D156 &amp; "." &amp; E156 &amp; "." &amp; F156 &amp; "." &amp; G156 &amp; "." &amp; H156 &amp; "." &amp; I156)))))))</f>
        <v>NÃO</v>
      </c>
      <c r="L156" s="378" t="str">
        <f t="shared" ref="L156" ca="1" si="447">IF(K156="NÃO",IF($B156=2,D156&amp;"."&amp;J156,IF($B156=3,D156&amp;"."&amp;E156&amp;"."&amp;J156,IF($B156=4,D156&amp;"."&amp;E156&amp;"."&amp;F156&amp;"."&amp;J156,IF($B156=5,D156&amp;"."&amp;E156&amp;"."&amp;F156&amp;"."&amp;G156&amp;"."&amp;J156,IF($B156=6,D156&amp;"."&amp;E156&amp;"."&amp;F156&amp;"."&amp;G156&amp;"."&amp;H156&amp;"."&amp;J156,IF($B156=7,D156&amp;"."&amp;E156&amp;"."&amp;F156&amp;"."&amp;G156&amp;"."&amp;H156&amp;"."&amp;I156&amp;"."&amp;J156,"FALHA")))))),K156)</f>
        <v>9.1.1</v>
      </c>
      <c r="M156" s="55" t="s">
        <v>27868</v>
      </c>
      <c r="O156" s="392" t="str">
        <f t="shared" ref="O156" ca="1" si="448">L156</f>
        <v>9.1.1</v>
      </c>
      <c r="P156" s="413" t="s">
        <v>29901</v>
      </c>
      <c r="Q156" s="414" t="s">
        <v>11993</v>
      </c>
      <c r="R156" s="415" t="str">
        <f>UPPER(IF(P156="CDHU",VLOOKUP(Q156,'CDHU 201-SD'!$A$1:$J$28014,2,FALSE),IF(P156="FDE",VLOOKUP(Q156,'FDE 01-26-SD'!$A$1:$J$280013,2,FALSE),IF(P156="PRÓPRIA",VLOOKUP(Q156,COMPOSIÇÃO!$1:$1048576,3,FALSE),VLOOKUP(Q156,'SINAPI 04-26-SD'!$A$1:$H$272700,2,FALSE)))))</f>
        <v>ALVENARIA DE BLOCO CERÂMICO DE VEDAÇÃO DE 19 CM</v>
      </c>
      <c r="S156" s="414" t="str">
        <f>UPPER(IF(P156="CDHU",VLOOKUP(Q156,'CDHU 201-SD'!$A$1:$J$28014,3,FALSE),IF(P156="FDE",VLOOKUP(Q156,'FDE 01-26-SD'!$A$1:$J$280013,3,FALSE),IF(P156="PRÓPRIA",VLOOKUP(Q156,COMPOSIÇÃO!$1:$1048576,7,FALSE),VLOOKUP(Q156,'SINAPI 04-26-SD'!$A$1:$H$272700,3,FALSE)))))</f>
        <v>M2</v>
      </c>
      <c r="T156" s="393">
        <f>VLOOKUP(Q156,'PAREDES E PAINEIS'!$1:$1048576,12,FALSE)</f>
        <v>564.94000000000005</v>
      </c>
      <c r="U156" s="394">
        <f>TRUNC(IF(P156="CDHU",VLOOKUP(Q156,'CDHU 201-SD'!$A$1:$J$28014,6,FALSE),IF(P156="FDE",VLOOKUP(Q156,'FDE 01-26-SD'!$A$1:$J$280013,6,FALSE),IF(P156="PRÓPRIA",VLOOKUP(Q156,COMPOSIÇÃO!$1:$1048576,10,FALSE),VLOOKUP(Q156,'SINAPI 04-26-SD'!$A$1:$H$272700,4,FALSE)))),2)</f>
        <v>102.24</v>
      </c>
      <c r="V156" s="416">
        <f t="shared" ref="V156" si="449">TRUNC(U156*T156,2)</f>
        <v>57759.46</v>
      </c>
      <c r="W156" s="395">
        <f>IF($AA156="N",BDI!$D$26,IF($AA156="D",'BDI DIFE.'!$D$26,"ERRO"))</f>
        <v>0.22500000000000001</v>
      </c>
      <c r="X156" s="379">
        <f t="shared" ref="X156" si="450">TRUNC(U156*(1+W156),2)</f>
        <v>125.24</v>
      </c>
      <c r="Y156" s="380">
        <f t="shared" ref="Y156" si="451">TRUNC(T156*X156,2)</f>
        <v>70753.08</v>
      </c>
      <c r="Z156" s="381"/>
      <c r="AA156" s="378" t="s">
        <v>28044</v>
      </c>
      <c r="AB156" s="642"/>
    </row>
    <row r="157" spans="2:29" s="55" customFormat="1" ht="30">
      <c r="B157" s="378">
        <f t="shared" ref="B157" ca="1" si="452">IF(C157="S",IF(OFFSET(C157,-1,0)="S", OFFSET(B157,-1,0), OFFSET(B157,-1,0) +1 ), C157)</f>
        <v>3</v>
      </c>
      <c r="C157" s="378" t="str">
        <f t="shared" si="394"/>
        <v>S</v>
      </c>
      <c r="D157" s="378">
        <f t="shared" ca="1" si="307"/>
        <v>9</v>
      </c>
      <c r="E157" s="378">
        <f t="shared" ref="E157" ca="1" si="453">IF($C157="2",OFFSET(E157,-1,0) +1,IF(OFFSET(D157,-1,0)&lt;&gt;D157,"0",IF(OFFSET(E157,-1,0)="","0",OFFSET(E157,-1,0))))</f>
        <v>1</v>
      </c>
      <c r="F157" s="378" t="str">
        <f t="shared" ref="F157" ca="1" si="454">IF($C157="3",OFFSET(F157,-1,0) +1,IF(OFFSET(E157,-1,0)&lt;&gt;E157,"0",IF(OFFSET(F157,-1,0)="","0",OFFSET(F157,-1,0))))</f>
        <v>0</v>
      </c>
      <c r="G157" s="378" t="str">
        <f t="shared" ref="G157" ca="1" si="455">IF($C157="4",OFFSET(G157,-1,0) +1,IF(OFFSET(F157,-1,0)&lt;&gt;F157,"0",IF(OFFSET(G157,-1,0)="","0",OFFSET(G157,-1,0))))</f>
        <v>0</v>
      </c>
      <c r="H157" s="378" t="str">
        <f t="shared" ref="H157" ca="1" si="456">IF($C157="5",OFFSET(H157,-1,0) +1,IF(OFFSET(G157,-1,0)&lt;&gt;G157,"0",IF(OFFSET(H157,-1,0)="","0",OFFSET(H157,-1,0))))</f>
        <v>0</v>
      </c>
      <c r="I157" s="378" t="str">
        <f t="shared" ref="I157" ca="1" si="457">IF($C157="6",OFFSET(I157,-1,0) +1,IF(OFFSET(H157,-1,0)&lt;&gt;H157,"0",IF(OFFSET(I157,-1,0)="","0", OFFSET(I157,-1,0))))</f>
        <v>0</v>
      </c>
      <c r="J157" s="378">
        <f t="shared" ca="1" si="313"/>
        <v>2</v>
      </c>
      <c r="K157" s="378" t="str">
        <f t="shared" ref="K157" si="458">IF(C157="S","NÃO", IF(C157="1", D157, IF(C157="2", D157 &amp; "." &amp; E157,IF(C157="3", D157 &amp; "." &amp; E157 &amp; "." &amp; F157, IF(C157="4", D157 &amp; "." &amp; E157 &amp; "." &amp; F157 &amp; "." &amp; G157, IF(C157="5", D157 &amp; "." &amp; E157 &amp; "." &amp; F157 &amp; "." &amp; G157 &amp; "." &amp; H157, IF(C157="6", D157 &amp; "." &amp; E157 &amp; "." &amp; F157 &amp; "." &amp; G157 &amp; "." &amp; H157 &amp; "." &amp; I157)))))))</f>
        <v>NÃO</v>
      </c>
      <c r="L157" s="378" t="str">
        <f t="shared" ref="L157" ca="1" si="459">IF(K157="NÃO",IF($B157=2,D157&amp;"."&amp;J157,IF($B157=3,D157&amp;"."&amp;E157&amp;"."&amp;J157,IF($B157=4,D157&amp;"."&amp;E157&amp;"."&amp;F157&amp;"."&amp;J157,IF($B157=5,D157&amp;"."&amp;E157&amp;"."&amp;F157&amp;"."&amp;G157&amp;"."&amp;J157,IF($B157=6,D157&amp;"."&amp;E157&amp;"."&amp;F157&amp;"."&amp;G157&amp;"."&amp;H157&amp;"."&amp;J157,IF($B157=7,D157&amp;"."&amp;E157&amp;"."&amp;F157&amp;"."&amp;G157&amp;"."&amp;H157&amp;"."&amp;I157&amp;"."&amp;J157,"FALHA")))))),K157)</f>
        <v>9.1.2</v>
      </c>
      <c r="M157" s="55" t="s">
        <v>27868</v>
      </c>
      <c r="O157" s="392" t="str">
        <f t="shared" ref="O157" ca="1" si="460">L157</f>
        <v>9.1.2</v>
      </c>
      <c r="P157" s="413" t="s">
        <v>29901</v>
      </c>
      <c r="Q157" s="414" t="s">
        <v>12002</v>
      </c>
      <c r="R157" s="415" t="str">
        <f>UPPER(IF(P157="CDHU",VLOOKUP(Q157,'CDHU 201-SD'!$A$1:$J$28014,2,FALSE),IF(P157="FDE",VLOOKUP(Q157,'FDE 01-26-SD'!$A$1:$J$280013,2,FALSE),IF(P157="PRÓPRIA",VLOOKUP(Q157,COMPOSIÇÃO!$1:$1048576,3,FALSE),VLOOKUP(Q157,'SINAPI 04-26-SD'!$A$1:$H$272700,2,FALSE)))))</f>
        <v>ALVENARIA DE BLOCO DE CONCRETO DE VEDAÇÃO DE 19 CM - CLASSE C</v>
      </c>
      <c r="S157" s="414" t="str">
        <f>UPPER(IF(P157="CDHU",VLOOKUP(Q157,'CDHU 201-SD'!$A$1:$J$28014,3,FALSE),IF(P157="FDE",VLOOKUP(Q157,'FDE 01-26-SD'!$A$1:$J$280013,3,FALSE),IF(P157="PRÓPRIA",VLOOKUP(Q157,COMPOSIÇÃO!$1:$1048576,7,FALSE),VLOOKUP(Q157,'SINAPI 04-26-SD'!$A$1:$H$272700,3,FALSE)))))</f>
        <v>M2</v>
      </c>
      <c r="T157" s="393">
        <f>VLOOKUP(Q157,'PAREDES E PAINEIS'!$1:$1048576,12,FALSE)</f>
        <v>163.87</v>
      </c>
      <c r="U157" s="394">
        <f>TRUNC(IF(P157="CDHU",VLOOKUP(Q157,'CDHU 201-SD'!$A$1:$J$28014,6,FALSE),IF(P157="FDE",VLOOKUP(Q157,'FDE 01-26-SD'!$A$1:$J$280013,6,FALSE),IF(P157="PRÓPRIA",VLOOKUP(Q157,COMPOSIÇÃO!$1:$1048576,10,FALSE),VLOOKUP(Q157,'SINAPI 04-26-SD'!$A$1:$H$272700,4,FALSE)))),2)</f>
        <v>120.11</v>
      </c>
      <c r="V157" s="416">
        <f t="shared" ref="V157" si="461">TRUNC(U157*T157,2)</f>
        <v>19682.419999999998</v>
      </c>
      <c r="W157" s="395">
        <f>IF($AA157="N",BDI!$D$26,IF($AA157="D",'BDI DIFE.'!$D$26,"ERRO"))</f>
        <v>0.22500000000000001</v>
      </c>
      <c r="X157" s="379">
        <f t="shared" ref="X157" si="462">TRUNC(U157*(1+W157),2)</f>
        <v>147.13</v>
      </c>
      <c r="Y157" s="380">
        <f t="shared" ref="Y157" si="463">TRUNC(T157*X157,2)</f>
        <v>24110.19</v>
      </c>
      <c r="Z157" s="381"/>
      <c r="AA157" s="378" t="s">
        <v>28044</v>
      </c>
      <c r="AB157" s="642"/>
    </row>
    <row r="158" spans="2:29" s="55" customFormat="1" ht="16" thickBot="1">
      <c r="B158" s="378">
        <f t="shared" ca="1" si="431"/>
        <v>3</v>
      </c>
      <c r="C158" s="378" t="str">
        <f t="shared" si="394"/>
        <v>S</v>
      </c>
      <c r="D158" s="378">
        <f t="shared" ca="1" si="307"/>
        <v>9</v>
      </c>
      <c r="E158" s="378">
        <f t="shared" ca="1" si="432"/>
        <v>1</v>
      </c>
      <c r="F158" s="378" t="str">
        <f t="shared" ca="1" si="433"/>
        <v>0</v>
      </c>
      <c r="G158" s="378" t="str">
        <f t="shared" ca="1" si="434"/>
        <v>0</v>
      </c>
      <c r="H158" s="378" t="str">
        <f t="shared" ca="1" si="435"/>
        <v>0</v>
      </c>
      <c r="I158" s="378" t="str">
        <f t="shared" ca="1" si="436"/>
        <v>0</v>
      </c>
      <c r="J158" s="378">
        <f t="shared" ca="1" si="313"/>
        <v>3</v>
      </c>
      <c r="K158" s="378" t="str">
        <f t="shared" si="437"/>
        <v>NÃO</v>
      </c>
      <c r="L158" s="378" t="str">
        <f t="shared" ca="1" si="438"/>
        <v>9.1.3</v>
      </c>
      <c r="M158" s="55" t="s">
        <v>27868</v>
      </c>
      <c r="O158" s="392" t="str">
        <f t="shared" ca="1" si="439"/>
        <v>9.1.3</v>
      </c>
      <c r="P158" s="413" t="s">
        <v>29901</v>
      </c>
      <c r="Q158" s="414" t="s">
        <v>12021</v>
      </c>
      <c r="R158" s="415" t="str">
        <f>UPPER(IF(P158="CDHU",VLOOKUP(Q158,'CDHU 201-SD'!$A$1:$J$28014,2,FALSE),IF(P158="FDE",VLOOKUP(Q158,'FDE 01-26-SD'!$A$1:$J$280013,2,FALSE),IF(P158="PRÓPRIA",VLOOKUP(Q158,COMPOSIÇÃO!$1:$1048576,3,FALSE),VLOOKUP(Q158,'SINAPI 04-26-SD'!$A$1:$H$272700,2,FALSE)))))</f>
        <v>VERGAS, CONTRAVERGAS E PILARETES DE CONCRETO ARMADO</v>
      </c>
      <c r="S158" s="414" t="str">
        <f>UPPER(IF(P158="CDHU",VLOOKUP(Q158,'CDHU 201-SD'!$A$1:$J$28014,3,FALSE),IF(P158="FDE",VLOOKUP(Q158,'FDE 01-26-SD'!$A$1:$J$280013,3,FALSE),IF(P158="PRÓPRIA",VLOOKUP(Q158,COMPOSIÇÃO!$1:$1048576,7,FALSE),VLOOKUP(Q158,'SINAPI 04-26-SD'!$A$1:$H$272700,3,FALSE)))))</f>
        <v>M3</v>
      </c>
      <c r="T158" s="393">
        <f>VLOOKUP(Q158,'PAREDES E PAINEIS'!$1:$1048576,12,FALSE)</f>
        <v>5.9662469999999992</v>
      </c>
      <c r="U158" s="394">
        <f>TRUNC(IF(P158="CDHU",VLOOKUP(Q158,'CDHU 201-SD'!$A$1:$J$28014,6,FALSE),IF(P158="FDE",VLOOKUP(Q158,'FDE 01-26-SD'!$A$1:$J$280013,6,FALSE),IF(P158="PRÓPRIA",VLOOKUP(Q158,COMPOSIÇÃO!$1:$1048576,10,FALSE),VLOOKUP(Q158,'SINAPI 04-26-SD'!$A$1:$H$272700,4,FALSE)))),2)</f>
        <v>1902.22</v>
      </c>
      <c r="V158" s="416">
        <f t="shared" ref="V158" si="464">TRUNC(U158*T158,2)</f>
        <v>11349.11</v>
      </c>
      <c r="W158" s="395">
        <f>IF($AA158="N",BDI!$D$26,IF($AA158="D",'BDI DIFE.'!$D$26,"ERRO"))</f>
        <v>0.22500000000000001</v>
      </c>
      <c r="X158" s="379">
        <f t="shared" ref="X158" si="465">TRUNC(U158*(1+W158),2)</f>
        <v>2330.21</v>
      </c>
      <c r="Y158" s="380">
        <f t="shared" ref="Y158" si="466">TRUNC(T158*X158,2)</f>
        <v>13902.6</v>
      </c>
      <c r="Z158" s="381"/>
      <c r="AA158" s="378" t="s">
        <v>28044</v>
      </c>
      <c r="AB158" s="642"/>
    </row>
    <row r="159" spans="2:29" s="55" customFormat="1" ht="16" thickBot="1">
      <c r="B159" s="378" t="str">
        <f t="shared" ref="B159:B178" ca="1" si="467">IF(C159="S",IF(OFFSET(C159,-1,0)="S", OFFSET(B159,-1,0), OFFSET(B159,-1,0) +1 ), C159)</f>
        <v/>
      </c>
      <c r="C159" s="378" t="str">
        <f t="shared" si="394"/>
        <v/>
      </c>
      <c r="D159" s="378">
        <f t="shared" ca="1" si="307"/>
        <v>9</v>
      </c>
      <c r="E159" s="378">
        <f t="shared" ref="E159:E178" ca="1" si="468">IF($C159="2",OFFSET(E159,-1,0) +1,IF(OFFSET(D159,-1,0)&lt;&gt;D159,"0",IF(OFFSET(E159,-1,0)="","0",OFFSET(E159,-1,0))))</f>
        <v>1</v>
      </c>
      <c r="F159" s="378" t="str">
        <f t="shared" ref="F159:F178" ca="1" si="469">IF($C159="3",OFFSET(F159,-1,0) +1,IF(OFFSET(E159,-1,0)&lt;&gt;E159,"0",IF(OFFSET(F159,-1,0)="","0",OFFSET(F159,-1,0))))</f>
        <v>0</v>
      </c>
      <c r="G159" s="378" t="str">
        <f t="shared" ref="G159:G178" ca="1" si="470">IF($C159="4",OFFSET(G159,-1,0) +1,IF(OFFSET(F159,-1,0)&lt;&gt;F159,"0",IF(OFFSET(G159,-1,0)="","0",OFFSET(G159,-1,0))))</f>
        <v>0</v>
      </c>
      <c r="H159" s="378" t="str">
        <f t="shared" ref="H159:H178" ca="1" si="471">IF($C159="5",OFFSET(H159,-1,0) +1,IF(OFFSET(G159,-1,0)&lt;&gt;G159,"0",IF(OFFSET(H159,-1,0)="","0",OFFSET(H159,-1,0))))</f>
        <v>0</v>
      </c>
      <c r="I159" s="378" t="str">
        <f t="shared" ref="I159:I178" ca="1" si="472">IF($C159="6",OFFSET(I159,-1,0) +1,IF(OFFSET(H159,-1,0)&lt;&gt;H159,"0",IF(OFFSET(I159,-1,0)="","0", OFFSET(I159,-1,0))))</f>
        <v>0</v>
      </c>
      <c r="J159" s="378" t="str">
        <f t="shared" ca="1" si="313"/>
        <v>0</v>
      </c>
      <c r="K159" s="378" t="b">
        <f t="shared" ref="K159:K178" si="473">IF(C159="S","NÃO", IF(C159="1", D159, IF(C159="2", D159 &amp; "." &amp; E159,IF(C159="3", D159 &amp; "." &amp; E159 &amp; "." &amp; F159, IF(C159="4", D159 &amp; "." &amp; E159 &amp; "." &amp; F159 &amp; "." &amp; G159, IF(C159="5", D159 &amp; "." &amp; E159 &amp; "." &amp; F159 &amp; "." &amp; G159 &amp; "." &amp; H159, IF(C159="6", D159 &amp; "." &amp; E159 &amp; "." &amp; F159 &amp; "." &amp; G159 &amp; "." &amp; H159 &amp; "." &amp; I159)))))))</f>
        <v>0</v>
      </c>
      <c r="L159" s="378" t="b">
        <f t="shared" ref="L159:L178" si="474">IF(K159="NÃO",IF($B159=2,D159&amp;"."&amp;J159,IF($B159=3,D159&amp;"."&amp;E159&amp;"."&amp;J159,IF($B159=4,D159&amp;"."&amp;E159&amp;"."&amp;F159&amp;"."&amp;J159,IF($B159=5,D159&amp;"."&amp;E159&amp;"."&amp;F159&amp;"."&amp;G159&amp;"."&amp;J159,IF($B159=6,D159&amp;"."&amp;E159&amp;"."&amp;F159&amp;"."&amp;G159&amp;"."&amp;H159&amp;"."&amp;J159,IF($B159=7,D159&amp;"."&amp;E159&amp;"."&amp;F159&amp;"."&amp;G159&amp;"."&amp;H159&amp;"."&amp;I159&amp;"."&amp;J159,"FALHA")))))),K159)</f>
        <v>0</v>
      </c>
      <c r="O159" s="192"/>
      <c r="P159" s="387"/>
      <c r="Q159" s="387"/>
      <c r="R159" s="377"/>
      <c r="S159" s="387"/>
      <c r="T159" s="363"/>
      <c r="U159" s="388"/>
      <c r="V159" s="389"/>
      <c r="W159" s="389"/>
      <c r="X159" s="389"/>
      <c r="Y159" s="390"/>
      <c r="AB159" s="642"/>
    </row>
    <row r="160" spans="2:29" s="75" customFormat="1" ht="16" thickBot="1">
      <c r="B160" s="75" t="str">
        <f t="shared" ca="1" si="467"/>
        <v>2</v>
      </c>
      <c r="C160" s="75" t="str">
        <f t="shared" si="394"/>
        <v>2</v>
      </c>
      <c r="D160" s="75">
        <f t="shared" ca="1" si="307"/>
        <v>9</v>
      </c>
      <c r="E160" s="75">
        <f t="shared" ca="1" si="468"/>
        <v>2</v>
      </c>
      <c r="F160" s="75" t="str">
        <f t="shared" ca="1" si="469"/>
        <v>0</v>
      </c>
      <c r="G160" s="75" t="str">
        <f t="shared" ca="1" si="470"/>
        <v>0</v>
      </c>
      <c r="H160" s="75" t="str">
        <f t="shared" ca="1" si="471"/>
        <v>0</v>
      </c>
      <c r="I160" s="75" t="str">
        <f t="shared" ca="1" si="472"/>
        <v>0</v>
      </c>
      <c r="J160" s="75" t="str">
        <f t="shared" ca="1" si="313"/>
        <v>0</v>
      </c>
      <c r="K160" s="75" t="str">
        <f t="shared" ca="1" si="473"/>
        <v>9.2</v>
      </c>
      <c r="L160" s="75" t="str">
        <f t="shared" ca="1" si="474"/>
        <v>9.2</v>
      </c>
      <c r="M160" s="55" t="s">
        <v>27861</v>
      </c>
      <c r="O160" s="191" t="str">
        <f t="shared" ref="O160" ca="1" si="475">L160</f>
        <v>9.2</v>
      </c>
      <c r="P160" s="172"/>
      <c r="Q160" s="172"/>
      <c r="R160" s="621" t="s">
        <v>41837</v>
      </c>
      <c r="S160" s="172"/>
      <c r="T160" s="194"/>
      <c r="U160" s="195"/>
      <c r="V160" s="196">
        <f ca="1">IF(VALUE(C160)=1,SUMIFS(V:V,D:D,D160,M:M,"Serviço"),IF(VALUE(C160)=2,SUMIFS(V:V,D:D,D160,E:E,E160,M:M,"Serviço"),IF(VALUE(C160)=3,SUMIFS(V:V,D:D,D160,E:E,E160,F:F,F160,M:M,"Serviço"),IF(VALUE(C160)=4,SUMIFS(V:V,D:D,D160,E:E,E160,F:F,F160,G:G,G160,M:M,"Serviço"),"ERRO"))))</f>
        <v>39693.24</v>
      </c>
      <c r="W160" s="197"/>
      <c r="X160" s="205"/>
      <c r="Y160" s="173">
        <f ca="1">IF(VALUE(C160)=1,SUMIFS(Y:Y,D:D,D160,M:M,"Serviço"),IF(VALUE(C160)=2,SUMIFS(Y:Y,D:D,D160,E:E,E160,M:M,"Serviço"),IF(VALUE(C160)=3,SUMIFS(Y:Y,D:D,D160,E:E,E160,F:F,F160,M:M,"Serviço"),IF(VALUE(C160)=4,SUMIFS(Y:Y,D:D,D160,E:E,E160,F:F,F160,G:G,G160,M:M,"Serviço"),"ERRO"))))</f>
        <v>48623.58</v>
      </c>
      <c r="AB160" s="641"/>
    </row>
    <row r="161" spans="2:28" s="55" customFormat="1" ht="46" thickBot="1">
      <c r="B161" s="378">
        <f t="shared" ref="B161:B163" ca="1" si="476">IF(C161="S",IF(OFFSET(C161,-1,0)="S", OFFSET(B161,-1,0), OFFSET(B161,-1,0) +1 ), C161)</f>
        <v>3</v>
      </c>
      <c r="C161" s="378" t="str">
        <f t="shared" si="394"/>
        <v>S</v>
      </c>
      <c r="D161" s="378">
        <f t="shared" ca="1" si="307"/>
        <v>9</v>
      </c>
      <c r="E161" s="378">
        <f t="shared" ref="E161:E163" ca="1" si="477">IF($C161="2",OFFSET(E161,-1,0) +1,IF(OFFSET(D161,-1,0)&lt;&gt;D161,"0",IF(OFFSET(E161,-1,0)="","0",OFFSET(E161,-1,0))))</f>
        <v>2</v>
      </c>
      <c r="F161" s="378" t="str">
        <f t="shared" ref="F161:F163" ca="1" si="478">IF($C161="3",OFFSET(F161,-1,0) +1,IF(OFFSET(E161,-1,0)&lt;&gt;E161,"0",IF(OFFSET(F161,-1,0)="","0",OFFSET(F161,-1,0))))</f>
        <v>0</v>
      </c>
      <c r="G161" s="378" t="str">
        <f t="shared" ref="G161:G163" ca="1" si="479">IF($C161="4",OFFSET(G161,-1,0) +1,IF(OFFSET(F161,-1,0)&lt;&gt;F161,"0",IF(OFFSET(G161,-1,0)="","0",OFFSET(G161,-1,0))))</f>
        <v>0</v>
      </c>
      <c r="H161" s="378" t="str">
        <f t="shared" ref="H161:H163" ca="1" si="480">IF($C161="5",OFFSET(H161,-1,0) +1,IF(OFFSET(G161,-1,0)&lt;&gt;G161,"0",IF(OFFSET(H161,-1,0)="","0",OFFSET(H161,-1,0))))</f>
        <v>0</v>
      </c>
      <c r="I161" s="378" t="str">
        <f t="shared" ref="I161:I163" ca="1" si="481">IF($C161="6",OFFSET(I161,-1,0) +1,IF(OFFSET(H161,-1,0)&lt;&gt;H161,"0",IF(OFFSET(I161,-1,0)="","0", OFFSET(I161,-1,0))))</f>
        <v>0</v>
      </c>
      <c r="J161" s="378">
        <f t="shared" ca="1" si="313"/>
        <v>1</v>
      </c>
      <c r="K161" s="378" t="str">
        <f t="shared" ref="K161:K163" si="482">IF(C161="S","NÃO", IF(C161="1", D161, IF(C161="2", D161 &amp; "." &amp; E161,IF(C161="3", D161 &amp; "." &amp; E161 &amp; "." &amp; F161, IF(C161="4", D161 &amp; "." &amp; E161 &amp; "." &amp; F161 &amp; "." &amp; G161, IF(C161="5", D161 &amp; "." &amp; E161 &amp; "." &amp; F161 &amp; "." &amp; G161 &amp; "." &amp; H161, IF(C161="6", D161 &amp; "." &amp; E161 &amp; "." &amp; F161 &amp; "." &amp; G161 &amp; "." &amp; H161 &amp; "." &amp; I161)))))))</f>
        <v>NÃO</v>
      </c>
      <c r="L161" s="378" t="str">
        <f t="shared" ref="L161:L163" ca="1" si="483">IF(K161="NÃO",IF($B161=2,D161&amp;"."&amp;J161,IF($B161=3,D161&amp;"."&amp;E161&amp;"."&amp;J161,IF($B161=4,D161&amp;"."&amp;E161&amp;"."&amp;F161&amp;"."&amp;J161,IF($B161=5,D161&amp;"."&amp;E161&amp;"."&amp;F161&amp;"."&amp;G161&amp;"."&amp;J161,IF($B161=6,D161&amp;"."&amp;E161&amp;"."&amp;F161&amp;"."&amp;G161&amp;"."&amp;H161&amp;"."&amp;J161,IF($B161=7,D161&amp;"."&amp;E161&amp;"."&amp;F161&amp;"."&amp;G161&amp;"."&amp;H161&amp;"."&amp;I161&amp;"."&amp;J161,"FALHA")))))),K161)</f>
        <v>9.2.1</v>
      </c>
      <c r="M161" s="55" t="s">
        <v>27868</v>
      </c>
      <c r="O161" s="392" t="str">
        <f t="shared" ref="O161" ca="1" si="484">L161</f>
        <v>9.2.1</v>
      </c>
      <c r="P161" s="687" t="s">
        <v>29901</v>
      </c>
      <c r="Q161" s="684" t="s">
        <v>12065</v>
      </c>
      <c r="R161" s="415" t="str">
        <f>UPPER(IF(P161="CDHU",VLOOKUP(Q161,'CDHU 201-SD'!$A$1:$J$28014,2,FALSE),IF(P161="FDE",VLOOKUP(Q161,'FDE 01-26-SD'!$A$1:$J$280013,2,FALSE),IF(P161="PRÓPRIA",VLOOKUP(Q161,COMPOSIÇÃO!$1:$1048576,3,FALSE),VLOOKUP(Q161,'SINAPI 04-26-SD'!$A$1:$H$272700,2,FALSE)))))</f>
        <v>DIVISÓRIA EM PLACAS DUPLAS DE GESSO ACARTONADO, RESISTÊNCIA AO FOGO 60 MINUTOS, ESPESSURA 120/70MM - 2ST / 2ST LM</v>
      </c>
      <c r="S161" s="414" t="str">
        <f>UPPER(IF(P161="CDHU",VLOOKUP(Q161,'CDHU 201-SD'!$A$1:$J$28014,3,FALSE),IF(P161="FDE",VLOOKUP(Q161,'FDE 01-26-SD'!$A$1:$J$280013,3,FALSE),IF(P161="PRÓPRIA",VLOOKUP(Q161,COMPOSIÇÃO!$1:$1048576,7,FALSE),VLOOKUP(Q161,'SINAPI 04-26-SD'!$A$1:$H$272700,3,FALSE)))))</f>
        <v>M2</v>
      </c>
      <c r="T161" s="393">
        <f>VLOOKUP(Q161,'PAREDES E PAINEIS'!$1:$1048576,12,FALSE)</f>
        <v>151.08000000000001</v>
      </c>
      <c r="U161" s="394">
        <f>TRUNC(IF(P161="CDHU",VLOOKUP(Q161,'CDHU 201-SD'!$A$1:$J$28014,6,FALSE),IF(P161="FDE",VLOOKUP(Q161,'FDE 01-26-SD'!$A$1:$J$280013,6,FALSE),IF(P161="PRÓPRIA",VLOOKUP(Q161,COMPOSIÇÃO!$1:$1048576,10,FALSE),VLOOKUP(Q161,'SINAPI 04-26-SD'!$A$1:$H$272700,4,FALSE)))),2)</f>
        <v>262.73</v>
      </c>
      <c r="V161" s="416">
        <f t="shared" ref="V161" si="485">TRUNC(U161*T161,2)</f>
        <v>39693.24</v>
      </c>
      <c r="W161" s="395">
        <f>IF($AA161="N",BDI!$D$26,IF($AA161="D",'BDI DIFE.'!$D$26,"ERRO"))</f>
        <v>0.22500000000000001</v>
      </c>
      <c r="X161" s="379">
        <f t="shared" ref="X161" si="486">TRUNC(U161*(1+W161),2)</f>
        <v>321.83999999999997</v>
      </c>
      <c r="Y161" s="380">
        <f t="shared" ref="Y161" si="487">TRUNC(T161*X161,2)</f>
        <v>48623.58</v>
      </c>
      <c r="Z161" s="381"/>
      <c r="AA161" s="378" t="s">
        <v>28044</v>
      </c>
      <c r="AB161" s="642"/>
    </row>
    <row r="162" spans="2:28" s="55" customFormat="1" ht="16" thickBot="1">
      <c r="B162" s="378" t="str">
        <f t="shared" ca="1" si="476"/>
        <v/>
      </c>
      <c r="C162" s="378" t="str">
        <f t="shared" si="394"/>
        <v/>
      </c>
      <c r="D162" s="378">
        <f t="shared" ca="1" si="307"/>
        <v>9</v>
      </c>
      <c r="E162" s="378">
        <f t="shared" ca="1" si="477"/>
        <v>2</v>
      </c>
      <c r="F162" s="378" t="str">
        <f t="shared" ca="1" si="478"/>
        <v>0</v>
      </c>
      <c r="G162" s="378" t="str">
        <f t="shared" ca="1" si="479"/>
        <v>0</v>
      </c>
      <c r="H162" s="378" t="str">
        <f t="shared" ca="1" si="480"/>
        <v>0</v>
      </c>
      <c r="I162" s="378" t="str">
        <f t="shared" ca="1" si="481"/>
        <v>0</v>
      </c>
      <c r="J162" s="378" t="str">
        <f t="shared" ca="1" si="313"/>
        <v>0</v>
      </c>
      <c r="K162" s="378" t="b">
        <f t="shared" si="482"/>
        <v>0</v>
      </c>
      <c r="L162" s="378" t="b">
        <f t="shared" si="483"/>
        <v>0</v>
      </c>
      <c r="O162" s="192"/>
      <c r="P162" s="387"/>
      <c r="Q162" s="387"/>
      <c r="R162" s="377"/>
      <c r="S162" s="387"/>
      <c r="T162" s="363"/>
      <c r="U162" s="388"/>
      <c r="V162" s="389"/>
      <c r="W162" s="389"/>
      <c r="X162" s="389"/>
      <c r="Y162" s="390"/>
      <c r="AB162" s="642"/>
    </row>
    <row r="163" spans="2:28" s="75" customFormat="1" ht="16" thickBot="1">
      <c r="B163" s="75" t="str">
        <f t="shared" ca="1" si="476"/>
        <v>2</v>
      </c>
      <c r="C163" s="75" t="str">
        <f t="shared" si="394"/>
        <v>2</v>
      </c>
      <c r="D163" s="75">
        <f t="shared" ca="1" si="307"/>
        <v>9</v>
      </c>
      <c r="E163" s="75">
        <f t="shared" ca="1" si="477"/>
        <v>3</v>
      </c>
      <c r="F163" s="75" t="str">
        <f t="shared" ca="1" si="478"/>
        <v>0</v>
      </c>
      <c r="G163" s="75" t="str">
        <f t="shared" ca="1" si="479"/>
        <v>0</v>
      </c>
      <c r="H163" s="75" t="str">
        <f t="shared" ca="1" si="480"/>
        <v>0</v>
      </c>
      <c r="I163" s="75" t="str">
        <f t="shared" ca="1" si="481"/>
        <v>0</v>
      </c>
      <c r="J163" s="75" t="str">
        <f t="shared" ca="1" si="313"/>
        <v>0</v>
      </c>
      <c r="K163" s="75" t="str">
        <f t="shared" ca="1" si="482"/>
        <v>9.3</v>
      </c>
      <c r="L163" s="75" t="str">
        <f t="shared" ca="1" si="483"/>
        <v>9.3</v>
      </c>
      <c r="M163" s="55" t="s">
        <v>27861</v>
      </c>
      <c r="O163" s="191" t="str">
        <f t="shared" ref="O163:O164" ca="1" si="488">L163</f>
        <v>9.3</v>
      </c>
      <c r="P163" s="172"/>
      <c r="Q163" s="172"/>
      <c r="R163" s="621" t="s">
        <v>44322</v>
      </c>
      <c r="S163" s="172"/>
      <c r="T163" s="194"/>
      <c r="U163" s="195"/>
      <c r="V163" s="196">
        <f ca="1">IF(VALUE(C163)=1,SUMIFS(V:V,D:D,D163,M:M,"Serviço"),IF(VALUE(C163)=2,SUMIFS(V:V,D:D,D163,E:E,E163,M:M,"Serviço"),IF(VALUE(C163)=3,SUMIFS(V:V,D:D,D163,E:E,E163,F:F,F163,M:M,"Serviço"),IF(VALUE(C163)=4,SUMIFS(V:V,D:D,D163,E:E,E163,F:F,F163,G:G,G163,M:M,"Serviço"),"ERRO"))))</f>
        <v>50402.63</v>
      </c>
      <c r="W163" s="197"/>
      <c r="X163" s="205"/>
      <c r="Y163" s="173">
        <f ca="1">IF(VALUE(C163)=1,SUMIFS(Y:Y,D:D,D163,M:M,"Serviço"),IF(VALUE(C163)=2,SUMIFS(Y:Y,D:D,D163,E:E,E163,M:M,"Serviço"),IF(VALUE(C163)=3,SUMIFS(Y:Y,D:D,D163,E:E,E163,F:F,F163,M:M,"Serviço"),IF(VALUE(C163)=4,SUMIFS(Y:Y,D:D,D163,E:E,E163,F:F,F163,G:G,G163,M:M,"Serviço"),"ERRO"))))</f>
        <v>61743.14</v>
      </c>
      <c r="AB163" s="641"/>
    </row>
    <row r="164" spans="2:28" s="55" customFormat="1" ht="31" thickBot="1">
      <c r="B164" s="378">
        <f t="shared" ref="B164" ca="1" si="489">IF(C164="S",IF(OFFSET(C164,-1,0)="S", OFFSET(B164,-1,0), OFFSET(B164,-1,0) +1 ), C164)</f>
        <v>3</v>
      </c>
      <c r="C164" s="378" t="str">
        <f t="shared" si="394"/>
        <v>S</v>
      </c>
      <c r="D164" s="378">
        <f t="shared" ca="1" si="307"/>
        <v>9</v>
      </c>
      <c r="E164" s="378">
        <f t="shared" ref="E164" ca="1" si="490">IF($C164="2",OFFSET(E164,-1,0) +1,IF(OFFSET(D164,-1,0)&lt;&gt;D164,"0",IF(OFFSET(E164,-1,0)="","0",OFFSET(E164,-1,0))))</f>
        <v>3</v>
      </c>
      <c r="F164" s="378" t="str">
        <f t="shared" ref="F164" ca="1" si="491">IF($C164="3",OFFSET(F164,-1,0) +1,IF(OFFSET(E164,-1,0)&lt;&gt;E164,"0",IF(OFFSET(F164,-1,0)="","0",OFFSET(F164,-1,0))))</f>
        <v>0</v>
      </c>
      <c r="G164" s="378" t="str">
        <f t="shared" ref="G164" ca="1" si="492">IF($C164="4",OFFSET(G164,-1,0) +1,IF(OFFSET(F164,-1,0)&lt;&gt;F164,"0",IF(OFFSET(G164,-1,0)="","0",OFFSET(G164,-1,0))))</f>
        <v>0</v>
      </c>
      <c r="H164" s="378" t="str">
        <f t="shared" ref="H164" ca="1" si="493">IF($C164="5",OFFSET(H164,-1,0) +1,IF(OFFSET(G164,-1,0)&lt;&gt;G164,"0",IF(OFFSET(H164,-1,0)="","0",OFFSET(H164,-1,0))))</f>
        <v>0</v>
      </c>
      <c r="I164" s="378" t="str">
        <f t="shared" ref="I164" ca="1" si="494">IF($C164="6",OFFSET(I164,-1,0) +1,IF(OFFSET(H164,-1,0)&lt;&gt;H164,"0",IF(OFFSET(I164,-1,0)="","0", OFFSET(I164,-1,0))))</f>
        <v>0</v>
      </c>
      <c r="J164" s="378">
        <f t="shared" ca="1" si="313"/>
        <v>1</v>
      </c>
      <c r="K164" s="378" t="str">
        <f t="shared" ref="K164" si="495">IF(C164="S","NÃO", IF(C164="1", D164, IF(C164="2", D164 &amp; "." &amp; E164,IF(C164="3", D164 &amp; "." &amp; E164 &amp; "." &amp; F164, IF(C164="4", D164 &amp; "." &amp; E164 &amp; "." &amp; F164 &amp; "." &amp; G164, IF(C164="5", D164 &amp; "." &amp; E164 &amp; "." &amp; F164 &amp; "." &amp; G164 &amp; "." &amp; H164, IF(C164="6", D164 &amp; "." &amp; E164 &amp; "." &amp; F164 &amp; "." &amp; G164 &amp; "." &amp; H164 &amp; "." &amp; I164)))))))</f>
        <v>NÃO</v>
      </c>
      <c r="L164" s="378" t="str">
        <f t="shared" ref="L164" ca="1" si="496">IF(K164="NÃO",IF($B164=2,D164&amp;"."&amp;J164,IF($B164=3,D164&amp;"."&amp;E164&amp;"."&amp;J164,IF($B164=4,D164&amp;"."&amp;E164&amp;"."&amp;F164&amp;"."&amp;J164,IF($B164=5,D164&amp;"."&amp;E164&amp;"."&amp;F164&amp;"."&amp;G164&amp;"."&amp;J164,IF($B164=6,D164&amp;"."&amp;E164&amp;"."&amp;F164&amp;"."&amp;G164&amp;"."&amp;H164&amp;"."&amp;J164,IF($B164=7,D164&amp;"."&amp;E164&amp;"."&amp;F164&amp;"."&amp;G164&amp;"."&amp;H164&amp;"."&amp;I164&amp;"."&amp;J164,"FALHA")))))),K164)</f>
        <v>9.3.1</v>
      </c>
      <c r="M164" s="55" t="s">
        <v>27868</v>
      </c>
      <c r="O164" s="392" t="str">
        <f t="shared" ca="1" si="488"/>
        <v>9.3.1</v>
      </c>
      <c r="P164" s="687" t="s">
        <v>41261</v>
      </c>
      <c r="Q164" s="684" t="s">
        <v>22917</v>
      </c>
      <c r="R164" s="415" t="str">
        <f>UPPER(IF(P164="CDHU",VLOOKUP(Q164,'CDHU 201-SD'!$A$1:$J$28014,2,FALSE),IF(P164="FDE",VLOOKUP(Q164,'FDE 01-26-SD'!$A$1:$J$280013,2,FALSE),IF(P164="PRÓPRIA",VLOOKUP(Q164,COMPOSIÇÃO!$1:$1048576,3,FALSE),VLOOKUP(Q164,'SINAPI 04-26-SD'!$A$1:$H$272700,2,FALSE)))))</f>
        <v>FD-24 FECHAMENTO DE DIVISA COM GRADIL ELETROFUNDIDO / BROCA (H=235CM)</v>
      </c>
      <c r="S164" s="414" t="str">
        <f>UPPER(IF(P164="CDHU",VLOOKUP(Q164,'CDHU 201-SD'!$A$1:$J$28014,3,FALSE),IF(P164="FDE",VLOOKUP(Q164,'FDE 01-26-SD'!$A$1:$J$280013,3,FALSE),IF(P164="PRÓPRIA",VLOOKUP(Q164,COMPOSIÇÃO!$1:$1048576,7,FALSE),VLOOKUP(Q164,'SINAPI 04-26-SD'!$A$1:$H$272700,3,FALSE)))))</f>
        <v>M</v>
      </c>
      <c r="T164" s="393">
        <f>VLOOKUP(Q164,'PAREDES E PAINEIS'!$1:$1048576,12,FALSE)</f>
        <v>34.22</v>
      </c>
      <c r="U164" s="394">
        <f>TRUNC(IF(P164="CDHU",VLOOKUP(Q164,'CDHU 201-SD'!$A$1:$J$28014,6,FALSE),IF(P164="FDE",VLOOKUP(Q164,'FDE 01-26-SD'!$A$1:$J$280013,6,FALSE),IF(P164="PRÓPRIA",VLOOKUP(Q164,COMPOSIÇÃO!$1:$1048576,10,FALSE),VLOOKUP(Q164,'SINAPI 04-26-SD'!$A$1:$H$272700,4,FALSE)))),2)</f>
        <v>1472.9</v>
      </c>
      <c r="V164" s="416">
        <f t="shared" ref="V164" si="497">TRUNC(U164*T164,2)</f>
        <v>50402.63</v>
      </c>
      <c r="W164" s="395">
        <f>IF($AA164="N",BDI!$D$26,IF($AA164="D",'BDI DIFE.'!$D$26,"ERRO"))</f>
        <v>0.22500000000000001</v>
      </c>
      <c r="X164" s="379">
        <f t="shared" ref="X164" si="498">TRUNC(U164*(1+W164),2)</f>
        <v>1804.3</v>
      </c>
      <c r="Y164" s="380">
        <f t="shared" ref="Y164" si="499">TRUNC(T164*X164,2)</f>
        <v>61743.14</v>
      </c>
      <c r="Z164" s="381"/>
      <c r="AA164" s="378" t="s">
        <v>28044</v>
      </c>
      <c r="AB164" s="642"/>
    </row>
    <row r="165" spans="2:28" s="55" customFormat="1" ht="16" thickBot="1">
      <c r="B165" s="378" t="str">
        <f t="shared" ca="1" si="467"/>
        <v/>
      </c>
      <c r="C165" s="378" t="str">
        <f>IF(RIGHT($M165) = "o", "S", RIGHT($M165))</f>
        <v/>
      </c>
      <c r="D165" s="378">
        <f t="shared" ca="1" si="307"/>
        <v>9</v>
      </c>
      <c r="E165" s="378">
        <f t="shared" ca="1" si="468"/>
        <v>3</v>
      </c>
      <c r="F165" s="378" t="str">
        <f t="shared" ca="1" si="469"/>
        <v>0</v>
      </c>
      <c r="G165" s="378" t="str">
        <f t="shared" ca="1" si="470"/>
        <v>0</v>
      </c>
      <c r="H165" s="378" t="str">
        <f t="shared" ca="1" si="471"/>
        <v>0</v>
      </c>
      <c r="I165" s="378" t="str">
        <f t="shared" ca="1" si="472"/>
        <v>0</v>
      </c>
      <c r="J165" s="378" t="str">
        <f t="shared" ca="1" si="313"/>
        <v>0</v>
      </c>
      <c r="K165" s="378" t="b">
        <f t="shared" si="473"/>
        <v>0</v>
      </c>
      <c r="L165" s="378" t="b">
        <f t="shared" si="474"/>
        <v>0</v>
      </c>
      <c r="O165" s="192"/>
      <c r="P165" s="387"/>
      <c r="Q165" s="387"/>
      <c r="R165" s="377"/>
      <c r="S165" s="387"/>
      <c r="T165" s="363"/>
      <c r="U165" s="388"/>
      <c r="V165" s="389"/>
      <c r="W165" s="389"/>
      <c r="X165" s="389"/>
      <c r="Y165" s="390"/>
      <c r="AA165" s="378"/>
      <c r="AB165" s="642"/>
    </row>
    <row r="166" spans="2:28" s="75" customFormat="1" ht="16" thickBot="1">
      <c r="B166" s="75" t="str">
        <f t="shared" ca="1" si="467"/>
        <v>1</v>
      </c>
      <c r="C166" s="75" t="str">
        <f t="shared" si="394"/>
        <v>1</v>
      </c>
      <c r="D166" s="75">
        <f t="shared" ca="1" si="307"/>
        <v>10</v>
      </c>
      <c r="E166" s="75" t="str">
        <f t="shared" ca="1" si="468"/>
        <v>0</v>
      </c>
      <c r="F166" s="75" t="str">
        <f t="shared" ca="1" si="469"/>
        <v>0</v>
      </c>
      <c r="G166" s="75" t="str">
        <f t="shared" ca="1" si="470"/>
        <v>0</v>
      </c>
      <c r="H166" s="75" t="str">
        <f t="shared" ca="1" si="471"/>
        <v>0</v>
      </c>
      <c r="I166" s="75" t="str">
        <f t="shared" ca="1" si="472"/>
        <v>0</v>
      </c>
      <c r="J166" s="75" t="str">
        <f t="shared" ca="1" si="313"/>
        <v>0</v>
      </c>
      <c r="K166" s="75">
        <f t="shared" ca="1" si="473"/>
        <v>10</v>
      </c>
      <c r="L166" s="75">
        <f t="shared" ca="1" si="474"/>
        <v>10</v>
      </c>
      <c r="M166" s="55" t="s">
        <v>27859</v>
      </c>
      <c r="O166" s="191">
        <f t="shared" ref="O166:O167" ca="1" si="500">L166</f>
        <v>10</v>
      </c>
      <c r="P166" s="172"/>
      <c r="Q166" s="172"/>
      <c r="R166" s="621" t="s">
        <v>22687</v>
      </c>
      <c r="S166" s="172"/>
      <c r="T166" s="194"/>
      <c r="U166" s="195"/>
      <c r="V166" s="196">
        <f ca="1">IF(VALUE(C166)=1,SUMIFS(V:V,D:D,D166,M:M,"Serviço"),IF(VALUE(C166)=2,SUMIFS(V:V,D:D,D166,E:E,E166,M:M,"Serviço"),IF(VALUE(C166)=3,SUMIFS(V:V,D:D,D166,E:E,E166,F:F,F166,M:M,"Serviço"),IF(VALUE(C166)=4,SUMIFS(V:V,D:D,D166,E:E,E166,F:F,F166,G:G,G166,M:M,"Serviço"),"ERRO"))))</f>
        <v>254749.37</v>
      </c>
      <c r="W166" s="197"/>
      <c r="X166" s="205"/>
      <c r="Y166" s="173">
        <f ca="1">IF(VALUE(C166)=1,SUMIFS(Y:Y,D:D,D166,M:M,"Serviço"),IF(VALUE(C166)=2,SUMIFS(Y:Y,D:D,D166,E:E,E166,M:M,"Serviço"),IF(VALUE(C166)=3,SUMIFS(Y:Y,D:D,D166,E:E,E166,F:F,F166,M:M,"Serviço"),IF(VALUE(C166)=4,SUMIFS(Y:Y,D:D,D166,E:E,E166,F:F,F166,G:G,G166,M:M,"Serviço"),"ERRO"))))</f>
        <v>312066.77999999997</v>
      </c>
      <c r="AB166" s="641"/>
    </row>
    <row r="167" spans="2:28" s="75" customFormat="1" ht="16" thickBot="1">
      <c r="B167" s="75" t="str">
        <f t="shared" ca="1" si="467"/>
        <v>2</v>
      </c>
      <c r="C167" s="75" t="str">
        <f t="shared" si="394"/>
        <v>2</v>
      </c>
      <c r="D167" s="75">
        <f t="shared" ca="1" si="307"/>
        <v>10</v>
      </c>
      <c r="E167" s="75">
        <f t="shared" ca="1" si="468"/>
        <v>1</v>
      </c>
      <c r="F167" s="75" t="str">
        <f t="shared" ca="1" si="469"/>
        <v>0</v>
      </c>
      <c r="G167" s="75" t="str">
        <f t="shared" ca="1" si="470"/>
        <v>0</v>
      </c>
      <c r="H167" s="75" t="str">
        <f t="shared" ca="1" si="471"/>
        <v>0</v>
      </c>
      <c r="I167" s="75" t="str">
        <f t="shared" ca="1" si="472"/>
        <v>0</v>
      </c>
      <c r="J167" s="75" t="str">
        <f t="shared" ca="1" si="313"/>
        <v>0</v>
      </c>
      <c r="K167" s="75" t="str">
        <f t="shared" ca="1" si="473"/>
        <v>10.1</v>
      </c>
      <c r="L167" s="75" t="str">
        <f t="shared" ca="1" si="474"/>
        <v>10.1</v>
      </c>
      <c r="M167" s="55" t="s">
        <v>27861</v>
      </c>
      <c r="O167" s="191" t="str">
        <f t="shared" ca="1" si="500"/>
        <v>10.1</v>
      </c>
      <c r="P167" s="172"/>
      <c r="Q167" s="172"/>
      <c r="R167" s="621" t="s">
        <v>44321</v>
      </c>
      <c r="S167" s="172"/>
      <c r="T167" s="194"/>
      <c r="U167" s="195"/>
      <c r="V167" s="196">
        <f ca="1">IF(VALUE(C167)=1,SUMIFS(V:V,D:D,D167,M:M,"Serviço"),IF(VALUE(C167)=2,SUMIFS(V:V,D:D,D167,E:E,E167,M:M,"Serviço"),IF(VALUE(C167)=3,SUMIFS(V:V,D:D,D167,E:E,E167,F:F,F167,M:M,"Serviço"),IF(VALUE(C167)=4,SUMIFS(V:V,D:D,D167,E:E,E167,F:F,F167,G:G,G167,M:M,"Serviço"),"ERRO"))))</f>
        <v>182514.02</v>
      </c>
      <c r="W167" s="197"/>
      <c r="X167" s="205"/>
      <c r="Y167" s="173">
        <f ca="1">IF(VALUE(C167)=1,SUMIFS(Y:Y,D:D,D167,M:M,"Serviço"),IF(VALUE(C167)=2,SUMIFS(Y:Y,D:D,D167,E:E,E167,M:M,"Serviço"),IF(VALUE(C167)=3,SUMIFS(Y:Y,D:D,D167,E:E,E167,F:F,F167,M:M,"Serviço"),IF(VALUE(C167)=4,SUMIFS(Y:Y,D:D,D167,E:E,E167,F:F,F167,G:G,G167,M:M,"Serviço"),"ERRO"))))</f>
        <v>223578.75999999998</v>
      </c>
      <c r="AB167" s="641"/>
    </row>
    <row r="168" spans="2:28" s="55" customFormat="1" ht="30">
      <c r="B168" s="378">
        <f t="shared" ref="B168:B172" ca="1" si="501">IF(C168="S",IF(OFFSET(C168,-1,0)="S", OFFSET(B168,-1,0), OFFSET(B168,-1,0) +1 ), C168)</f>
        <v>3</v>
      </c>
      <c r="C168" s="378" t="str">
        <f t="shared" si="394"/>
        <v>S</v>
      </c>
      <c r="D168" s="378">
        <f t="shared" ca="1" si="307"/>
        <v>10</v>
      </c>
      <c r="E168" s="378">
        <f t="shared" ref="E168:E172" ca="1" si="502">IF($C168="2",OFFSET(E168,-1,0) +1,IF(OFFSET(D168,-1,0)&lt;&gt;D168,"0",IF(OFFSET(E168,-1,0)="","0",OFFSET(E168,-1,0))))</f>
        <v>1</v>
      </c>
      <c r="F168" s="378" t="str">
        <f t="shared" ref="F168:F172" ca="1" si="503">IF($C168="3",OFFSET(F168,-1,0) +1,IF(OFFSET(E168,-1,0)&lt;&gt;E168,"0",IF(OFFSET(F168,-1,0)="","0",OFFSET(F168,-1,0))))</f>
        <v>0</v>
      </c>
      <c r="G168" s="378" t="str">
        <f t="shared" ref="G168:G172" ca="1" si="504">IF($C168="4",OFFSET(G168,-1,0) +1,IF(OFFSET(F168,-1,0)&lt;&gt;F168,"0",IF(OFFSET(G168,-1,0)="","0",OFFSET(G168,-1,0))))</f>
        <v>0</v>
      </c>
      <c r="H168" s="378" t="str">
        <f t="shared" ref="H168:H172" ca="1" si="505">IF($C168="5",OFFSET(H168,-1,0) +1,IF(OFFSET(G168,-1,0)&lt;&gt;G168,"0",IF(OFFSET(H168,-1,0)="","0",OFFSET(H168,-1,0))))</f>
        <v>0</v>
      </c>
      <c r="I168" s="378" t="str">
        <f t="shared" ref="I168:I172" ca="1" si="506">IF($C168="6",OFFSET(I168,-1,0) +1,IF(OFFSET(H168,-1,0)&lt;&gt;H168,"0",IF(OFFSET(I168,-1,0)="","0", OFFSET(I168,-1,0))))</f>
        <v>0</v>
      </c>
      <c r="J168" s="378">
        <f t="shared" ca="1" si="313"/>
        <v>1</v>
      </c>
      <c r="K168" s="378" t="str">
        <f t="shared" ref="K168:K172" si="507">IF(C168="S","NÃO", IF(C168="1", D168, IF(C168="2", D168 &amp; "." &amp; E168,IF(C168="3", D168 &amp; "." &amp; E168 &amp; "." &amp; F168, IF(C168="4", D168 &amp; "." &amp; E168 &amp; "." &amp; F168 &amp; "." &amp; G168, IF(C168="5", D168 &amp; "." &amp; E168 &amp; "." &amp; F168 &amp; "." &amp; G168 &amp; "." &amp; H168, IF(C168="6", D168 &amp; "." &amp; E168 &amp; "." &amp; F168 &amp; "." &amp; G168 &amp; "." &amp; H168 &amp; "." &amp; I168)))))))</f>
        <v>NÃO</v>
      </c>
      <c r="L168" s="378" t="str">
        <f t="shared" ref="L168:L172" ca="1" si="508">IF(K168="NÃO",IF($B168=2,D168&amp;"."&amp;J168,IF($B168=3,D168&amp;"."&amp;E168&amp;"."&amp;J168,IF($B168=4,D168&amp;"."&amp;E168&amp;"."&amp;F168&amp;"."&amp;J168,IF($B168=5,D168&amp;"."&amp;E168&amp;"."&amp;F168&amp;"."&amp;G168&amp;"."&amp;J168,IF($B168=6,D168&amp;"."&amp;E168&amp;"."&amp;F168&amp;"."&amp;G168&amp;"."&amp;H168&amp;"."&amp;J168,IF($B168=7,D168&amp;"."&amp;E168&amp;"."&amp;F168&amp;"."&amp;G168&amp;"."&amp;H168&amp;"."&amp;I168&amp;"."&amp;J168,"FALHA")))))),K168)</f>
        <v>10.1.1</v>
      </c>
      <c r="M168" s="55" t="s">
        <v>27868</v>
      </c>
      <c r="O168" s="392" t="str">
        <f t="shared" ref="O168:O172" ca="1" si="509">L168</f>
        <v>10.1.1</v>
      </c>
      <c r="P168" s="687" t="s">
        <v>29901</v>
      </c>
      <c r="Q168" s="684" t="s">
        <v>13283</v>
      </c>
      <c r="R168" s="415" t="str">
        <f>UPPER(IF(P168="CDHU",VLOOKUP(Q168,'CDHU 201-SD'!$A$1:$J$28014,2,FALSE),IF(P168="FDE",VLOOKUP(Q168,'FDE 01-26-SD'!$A$1:$J$280013,2,FALSE),IF(P168="PRÓPRIA",VLOOKUP(Q168,COMPOSIÇÃO!$1:$1048576,3,FALSE),VLOOKUP(Q168,'SINAPI 04-26-SD'!$A$1:$H$272700,2,FALSE)))))</f>
        <v>PORTA/PORTINHOLA TIPO VENEZIANA DE ABRIR EM ALUMÍNIO, SOB MEDIDA</v>
      </c>
      <c r="S168" s="414" t="str">
        <f>UPPER(IF(P168="CDHU",VLOOKUP(Q168,'CDHU 201-SD'!$A$1:$J$28014,3,FALSE),IF(P168="FDE",VLOOKUP(Q168,'FDE 01-26-SD'!$A$1:$J$280013,3,FALSE),IF(P168="PRÓPRIA",VLOOKUP(Q168,COMPOSIÇÃO!$1:$1048576,7,FALSE),VLOOKUP(Q168,'SINAPI 04-26-SD'!$A$1:$H$272700,3,FALSE)))))</f>
        <v>M2</v>
      </c>
      <c r="T168" s="393">
        <f>VLOOKUP(Q168,ESQUADRIAS!$1:$1048576,12,FALSE)</f>
        <v>4.8800000000000008</v>
      </c>
      <c r="U168" s="394">
        <f>TRUNC(IF(P168="CDHU",VLOOKUP(Q168,'CDHU 201-SD'!$A$1:$J$28014,6,FALSE),IF(P168="FDE",VLOOKUP(Q168,'FDE 01-26-SD'!$A$1:$J$280013,6,FALSE),IF(P168="PRÓPRIA",VLOOKUP(Q168,COMPOSIÇÃO!$1:$1048576,10,FALSE),VLOOKUP(Q168,'SINAPI 04-26-SD'!$A$1:$H$272700,4,FALSE)))),2)</f>
        <v>1111.06</v>
      </c>
      <c r="V168" s="416">
        <f t="shared" ref="V168:V172" si="510">TRUNC(U168*T168,2)</f>
        <v>5421.97</v>
      </c>
      <c r="W168" s="395">
        <f>IF($AA168="N",BDI!$D$26,IF($AA168="D",'BDI DIFE.'!$D$26,"ERRO"))</f>
        <v>0.22500000000000001</v>
      </c>
      <c r="X168" s="379">
        <f t="shared" ref="X168:X172" si="511">TRUNC(U168*(1+W168),2)</f>
        <v>1361.04</v>
      </c>
      <c r="Y168" s="380">
        <f t="shared" ref="Y168:Y172" si="512">TRUNC(T168*X168,2)</f>
        <v>6641.87</v>
      </c>
      <c r="Z168" s="381"/>
      <c r="AA168" s="378" t="s">
        <v>28044</v>
      </c>
      <c r="AB168" s="642"/>
    </row>
    <row r="169" spans="2:28" s="55" customFormat="1" ht="45">
      <c r="B169" s="378">
        <f t="shared" ca="1" si="501"/>
        <v>3</v>
      </c>
      <c r="C169" s="378" t="str">
        <f t="shared" si="394"/>
        <v>S</v>
      </c>
      <c r="D169" s="378">
        <f t="shared" ca="1" si="307"/>
        <v>10</v>
      </c>
      <c r="E169" s="378">
        <f t="shared" ca="1" si="502"/>
        <v>1</v>
      </c>
      <c r="F169" s="378" t="str">
        <f t="shared" ca="1" si="503"/>
        <v>0</v>
      </c>
      <c r="G169" s="378" t="str">
        <f t="shared" ca="1" si="504"/>
        <v>0</v>
      </c>
      <c r="H169" s="378" t="str">
        <f t="shared" ca="1" si="505"/>
        <v>0</v>
      </c>
      <c r="I169" s="378" t="str">
        <f t="shared" ca="1" si="506"/>
        <v>0</v>
      </c>
      <c r="J169" s="378">
        <f t="shared" ca="1" si="313"/>
        <v>2</v>
      </c>
      <c r="K169" s="378" t="str">
        <f t="shared" si="507"/>
        <v>NÃO</v>
      </c>
      <c r="L169" s="378" t="str">
        <f t="shared" ca="1" si="508"/>
        <v>10.1.2</v>
      </c>
      <c r="M169" s="55" t="s">
        <v>27868</v>
      </c>
      <c r="O169" s="392" t="str">
        <f t="shared" ca="1" si="509"/>
        <v>10.1.2</v>
      </c>
      <c r="P169" s="687" t="s">
        <v>29901</v>
      </c>
      <c r="Q169" s="684" t="s">
        <v>13136</v>
      </c>
      <c r="R169" s="415" t="str">
        <f>UPPER(IF(P169="CDHU",VLOOKUP(Q169,'CDHU 201-SD'!$A$1:$J$28014,2,FALSE),IF(P169="FDE",VLOOKUP(Q169,'FDE 01-26-SD'!$A$1:$J$280013,2,FALSE),IF(P169="PRÓPRIA",VLOOKUP(Q169,COMPOSIÇÃO!$1:$1048576,3,FALSE),VLOOKUP(Q169,'SINAPI 04-26-SD'!$A$1:$H$272700,2,FALSE)))))</f>
        <v>PORTÃO DE SEGURANÇA DE ABRIR EM GRADE DE AÇO SAE 1045 CHAPEADO, PARA MURALHA, DIÂMETRO 1´, COMPLETO, SEM TÊMPERA E REVENIMENTO</v>
      </c>
      <c r="S169" s="414" t="str">
        <f>UPPER(IF(P169="CDHU",VLOOKUP(Q169,'CDHU 201-SD'!$A$1:$J$28014,3,FALSE),IF(P169="FDE",VLOOKUP(Q169,'FDE 01-26-SD'!$A$1:$J$280013,3,FALSE),IF(P169="PRÓPRIA",VLOOKUP(Q169,COMPOSIÇÃO!$1:$1048576,7,FALSE),VLOOKUP(Q169,'SINAPI 04-26-SD'!$A$1:$H$272700,3,FALSE)))))</f>
        <v>M2</v>
      </c>
      <c r="T169" s="393">
        <f>VLOOKUP(Q169,ESQUADRIAS!$1:$1048576,12,FALSE)</f>
        <v>9.8831999999999987</v>
      </c>
      <c r="U169" s="394">
        <f>TRUNC(IF(P169="CDHU",VLOOKUP(Q169,'CDHU 201-SD'!$A$1:$J$28014,6,FALSE),IF(P169="FDE",VLOOKUP(Q169,'FDE 01-26-SD'!$A$1:$J$280013,6,FALSE),IF(P169="PRÓPRIA",VLOOKUP(Q169,COMPOSIÇÃO!$1:$1048576,10,FALSE),VLOOKUP(Q169,'SINAPI 04-26-SD'!$A$1:$H$272700,4,FALSE)))),2)</f>
        <v>3928.75</v>
      </c>
      <c r="V169" s="416">
        <f t="shared" si="510"/>
        <v>38828.620000000003</v>
      </c>
      <c r="W169" s="395">
        <f>IF($AA169="N",BDI!$D$26,IF($AA169="D",'BDI DIFE.'!$D$26,"ERRO"))</f>
        <v>0.22500000000000001</v>
      </c>
      <c r="X169" s="379">
        <f t="shared" si="511"/>
        <v>4812.71</v>
      </c>
      <c r="Y169" s="380">
        <f t="shared" si="512"/>
        <v>47564.97</v>
      </c>
      <c r="Z169" s="381"/>
      <c r="AA169" s="378" t="s">
        <v>28044</v>
      </c>
      <c r="AB169" s="642"/>
    </row>
    <row r="170" spans="2:28" s="55" customFormat="1">
      <c r="B170" s="378">
        <f t="shared" ref="B170:B171" ca="1" si="513">IF(C170="S",IF(OFFSET(C170,-1,0)="S", OFFSET(B170,-1,0), OFFSET(B170,-1,0) +1 ), C170)</f>
        <v>3</v>
      </c>
      <c r="C170" s="378" t="str">
        <f t="shared" si="394"/>
        <v>S</v>
      </c>
      <c r="D170" s="378">
        <f t="shared" ca="1" si="307"/>
        <v>10</v>
      </c>
      <c r="E170" s="378">
        <f t="shared" ref="E170:E171" ca="1" si="514">IF($C170="2",OFFSET(E170,-1,0) +1,IF(OFFSET(D170,-1,0)&lt;&gt;D170,"0",IF(OFFSET(E170,-1,0)="","0",OFFSET(E170,-1,0))))</f>
        <v>1</v>
      </c>
      <c r="F170" s="378" t="str">
        <f t="shared" ref="F170:F171" ca="1" si="515">IF($C170="3",OFFSET(F170,-1,0) +1,IF(OFFSET(E170,-1,0)&lt;&gt;E170,"0",IF(OFFSET(F170,-1,0)="","0",OFFSET(F170,-1,0))))</f>
        <v>0</v>
      </c>
      <c r="G170" s="378" t="str">
        <f t="shared" ref="G170:G171" ca="1" si="516">IF($C170="4",OFFSET(G170,-1,0) +1,IF(OFFSET(F170,-1,0)&lt;&gt;F170,"0",IF(OFFSET(G170,-1,0)="","0",OFFSET(G170,-1,0))))</f>
        <v>0</v>
      </c>
      <c r="H170" s="378" t="str">
        <f t="shared" ref="H170:H171" ca="1" si="517">IF($C170="5",OFFSET(H170,-1,0) +1,IF(OFFSET(G170,-1,0)&lt;&gt;G170,"0",IF(OFFSET(H170,-1,0)="","0",OFFSET(H170,-1,0))))</f>
        <v>0</v>
      </c>
      <c r="I170" s="378" t="str">
        <f t="shared" ref="I170:I171" ca="1" si="518">IF($C170="6",OFFSET(I170,-1,0) +1,IF(OFFSET(H170,-1,0)&lt;&gt;H170,"0",IF(OFFSET(I170,-1,0)="","0", OFFSET(I170,-1,0))))</f>
        <v>0</v>
      </c>
      <c r="J170" s="378">
        <f t="shared" ca="1" si="313"/>
        <v>3</v>
      </c>
      <c r="K170" s="378" t="str">
        <f t="shared" ref="K170:K171" si="519">IF(C170="S","NÃO", IF(C170="1", D170, IF(C170="2", D170 &amp; "." &amp; E170,IF(C170="3", D170 &amp; "." &amp; E170 &amp; "." &amp; F170, IF(C170="4", D170 &amp; "." &amp; E170 &amp; "." &amp; F170 &amp; "." &amp; G170, IF(C170="5", D170 &amp; "." &amp; E170 &amp; "." &amp; F170 &amp; "." &amp; G170 &amp; "." &amp; H170, IF(C170="6", D170 &amp; "." &amp; E170 &amp; "." &amp; F170 &amp; "." &amp; G170 &amp; "." &amp; H170 &amp; "." &amp; I170)))))))</f>
        <v>NÃO</v>
      </c>
      <c r="L170" s="378" t="str">
        <f t="shared" ref="L170:L171" ca="1" si="520">IF(K170="NÃO",IF($B170=2,D170&amp;"."&amp;J170,IF($B170=3,D170&amp;"."&amp;E170&amp;"."&amp;J170,IF($B170=4,D170&amp;"."&amp;E170&amp;"."&amp;F170&amp;"."&amp;J170,IF($B170=5,D170&amp;"."&amp;E170&amp;"."&amp;F170&amp;"."&amp;G170&amp;"."&amp;J170,IF($B170=6,D170&amp;"."&amp;E170&amp;"."&amp;F170&amp;"."&amp;G170&amp;"."&amp;H170&amp;"."&amp;J170,IF($B170=7,D170&amp;"."&amp;E170&amp;"."&amp;F170&amp;"."&amp;G170&amp;"."&amp;H170&amp;"."&amp;I170&amp;"."&amp;J170,"FALHA")))))),K170)</f>
        <v>10.1.3</v>
      </c>
      <c r="M170" s="55" t="s">
        <v>27868</v>
      </c>
      <c r="O170" s="392" t="str">
        <f t="shared" ref="O170:O171" ca="1" si="521">L170</f>
        <v>10.1.3</v>
      </c>
      <c r="P170" s="687" t="s">
        <v>29901</v>
      </c>
      <c r="Q170" s="684" t="s">
        <v>13049</v>
      </c>
      <c r="R170" s="415" t="str">
        <f>UPPER(IF(P170="CDHU",VLOOKUP(Q170,'CDHU 201-SD'!$A$1:$J$28014,2,FALSE),IF(P170="FDE",VLOOKUP(Q170,'FDE 01-26-SD'!$A$1:$J$280013,2,FALSE),IF(P170="PRÓPRIA",VLOOKUP(Q170,COMPOSIÇÃO!$1:$1048576,3,FALSE),VLOOKUP(Q170,'SINAPI 04-26-SD'!$A$1:$H$272700,2,FALSE)))))</f>
        <v>PORTA/PORTÃO DE ABRIR EM CHAPA, SOB MEDIDA</v>
      </c>
      <c r="S170" s="414" t="str">
        <f>UPPER(IF(P170="CDHU",VLOOKUP(Q170,'CDHU 201-SD'!$A$1:$J$28014,3,FALSE),IF(P170="FDE",VLOOKUP(Q170,'FDE 01-26-SD'!$A$1:$J$280013,3,FALSE),IF(P170="PRÓPRIA",VLOOKUP(Q170,COMPOSIÇÃO!$1:$1048576,7,FALSE),VLOOKUP(Q170,'SINAPI 04-26-SD'!$A$1:$H$272700,3,FALSE)))))</f>
        <v>M2</v>
      </c>
      <c r="T170" s="393">
        <f>VLOOKUP(Q170,ESQUADRIAS!$1:$1048576,12,FALSE)</f>
        <v>17.940000000000001</v>
      </c>
      <c r="U170" s="394">
        <f>TRUNC(IF(P170="CDHU",VLOOKUP(Q170,'CDHU 201-SD'!$A$1:$J$28014,6,FALSE),IF(P170="FDE",VLOOKUP(Q170,'FDE 01-26-SD'!$A$1:$J$280013,6,FALSE),IF(P170="PRÓPRIA",VLOOKUP(Q170,COMPOSIÇÃO!$1:$1048576,10,FALSE),VLOOKUP(Q170,'SINAPI 04-26-SD'!$A$1:$H$272700,4,FALSE)))),2)</f>
        <v>1062.5999999999999</v>
      </c>
      <c r="V170" s="416">
        <f t="shared" ref="V170:V171" si="522">TRUNC(U170*T170,2)</f>
        <v>19063.04</v>
      </c>
      <c r="W170" s="395">
        <f>IF($AA170="N",BDI!$D$26,IF($AA170="D",'BDI DIFE.'!$D$26,"ERRO"))</f>
        <v>0.22500000000000001</v>
      </c>
      <c r="X170" s="379">
        <f t="shared" ref="X170:X171" si="523">TRUNC(U170*(1+W170),2)</f>
        <v>1301.68</v>
      </c>
      <c r="Y170" s="380">
        <f t="shared" ref="Y170:Y171" si="524">TRUNC(T170*X170,2)</f>
        <v>23352.13</v>
      </c>
      <c r="Z170" s="381"/>
      <c r="AA170" s="378" t="s">
        <v>28044</v>
      </c>
      <c r="AB170" s="642"/>
    </row>
    <row r="171" spans="2:28" s="55" customFormat="1" ht="30">
      <c r="B171" s="378">
        <f t="shared" ca="1" si="513"/>
        <v>3</v>
      </c>
      <c r="C171" s="378" t="str">
        <f t="shared" si="394"/>
        <v>S</v>
      </c>
      <c r="D171" s="378">
        <f t="shared" ca="1" si="307"/>
        <v>10</v>
      </c>
      <c r="E171" s="378">
        <f t="shared" ca="1" si="514"/>
        <v>1</v>
      </c>
      <c r="F171" s="378" t="str">
        <f t="shared" ca="1" si="515"/>
        <v>0</v>
      </c>
      <c r="G171" s="378" t="str">
        <f t="shared" ca="1" si="516"/>
        <v>0</v>
      </c>
      <c r="H171" s="378" t="str">
        <f t="shared" ca="1" si="517"/>
        <v>0</v>
      </c>
      <c r="I171" s="378" t="str">
        <f t="shared" ca="1" si="518"/>
        <v>0</v>
      </c>
      <c r="J171" s="378">
        <f t="shared" ca="1" si="313"/>
        <v>4</v>
      </c>
      <c r="K171" s="378" t="str">
        <f t="shared" si="519"/>
        <v>NÃO</v>
      </c>
      <c r="L171" s="378" t="str">
        <f t="shared" ca="1" si="520"/>
        <v>10.1.4</v>
      </c>
      <c r="M171" s="55" t="s">
        <v>27868</v>
      </c>
      <c r="O171" s="392" t="str">
        <f t="shared" ca="1" si="521"/>
        <v>10.1.4</v>
      </c>
      <c r="P171" s="687" t="s">
        <v>29901</v>
      </c>
      <c r="Q171" s="684" t="s">
        <v>13990</v>
      </c>
      <c r="R171" s="415" t="str">
        <f>UPPER(IF(P171="CDHU",VLOOKUP(Q171,'CDHU 201-SD'!$A$1:$J$28014,2,FALSE),IF(P171="FDE",VLOOKUP(Q171,'FDE 01-26-SD'!$A$1:$J$280013,2,FALSE),IF(P171="PRÓPRIA",VLOOKUP(Q171,COMPOSIÇÃO!$1:$1048576,3,FALSE),VLOOKUP(Q171,'SINAPI 04-26-SD'!$A$1:$H$272700,2,FALSE)))))</f>
        <v>PORTÃO DE ABRIR EM GRADE DE AÇO GALVANIZADO ELETROFUNDIDA, MALHA 65 X 132 MM, E PINTURA ELETROSTÁTICA</v>
      </c>
      <c r="S171" s="414" t="str">
        <f>UPPER(IF(P171="CDHU",VLOOKUP(Q171,'CDHU 201-SD'!$A$1:$J$28014,3,FALSE),IF(P171="FDE",VLOOKUP(Q171,'FDE 01-26-SD'!$A$1:$J$280013,3,FALSE),IF(P171="PRÓPRIA",VLOOKUP(Q171,COMPOSIÇÃO!$1:$1048576,7,FALSE),VLOOKUP(Q171,'SINAPI 04-26-SD'!$A$1:$H$272700,3,FALSE)))))</f>
        <v>M2</v>
      </c>
      <c r="T171" s="393">
        <f>VLOOKUP(Q171,ESQUADRIAS!$1:$1048576,12,FALSE)</f>
        <v>7.36</v>
      </c>
      <c r="U171" s="394">
        <f>TRUNC(IF(P171="CDHU",VLOOKUP(Q171,'CDHU 201-SD'!$A$1:$J$28014,6,FALSE),IF(P171="FDE",VLOOKUP(Q171,'FDE 01-26-SD'!$A$1:$J$280013,6,FALSE),IF(P171="PRÓPRIA",VLOOKUP(Q171,COMPOSIÇÃO!$1:$1048576,10,FALSE),VLOOKUP(Q171,'SINAPI 04-26-SD'!$A$1:$H$272700,4,FALSE)))),2)</f>
        <v>1707.09</v>
      </c>
      <c r="V171" s="416">
        <f t="shared" si="522"/>
        <v>12564.18</v>
      </c>
      <c r="W171" s="395">
        <f>IF($AA171="N",BDI!$D$26,IF($AA171="D",'BDI DIFE.'!$D$26,"ERRO"))</f>
        <v>0.22500000000000001</v>
      </c>
      <c r="X171" s="379">
        <f t="shared" si="523"/>
        <v>2091.1799999999998</v>
      </c>
      <c r="Y171" s="380">
        <f t="shared" si="524"/>
        <v>15391.08</v>
      </c>
      <c r="Z171" s="381"/>
      <c r="AA171" s="378" t="s">
        <v>28044</v>
      </c>
      <c r="AB171" s="642"/>
    </row>
    <row r="172" spans="2:28" s="55" customFormat="1">
      <c r="B172" s="378">
        <f t="shared" ca="1" si="501"/>
        <v>3</v>
      </c>
      <c r="C172" s="378" t="str">
        <f t="shared" si="394"/>
        <v>S</v>
      </c>
      <c r="D172" s="378">
        <f t="shared" ca="1" si="307"/>
        <v>10</v>
      </c>
      <c r="E172" s="378">
        <f t="shared" ca="1" si="502"/>
        <v>1</v>
      </c>
      <c r="F172" s="378" t="str">
        <f t="shared" ca="1" si="503"/>
        <v>0</v>
      </c>
      <c r="G172" s="378" t="str">
        <f t="shared" ca="1" si="504"/>
        <v>0</v>
      </c>
      <c r="H172" s="378" t="str">
        <f t="shared" ca="1" si="505"/>
        <v>0</v>
      </c>
      <c r="I172" s="378" t="str">
        <f t="shared" ca="1" si="506"/>
        <v>0</v>
      </c>
      <c r="J172" s="378">
        <f t="shared" ca="1" si="313"/>
        <v>5</v>
      </c>
      <c r="K172" s="378" t="str">
        <f t="shared" si="507"/>
        <v>NÃO</v>
      </c>
      <c r="L172" s="378" t="str">
        <f t="shared" ca="1" si="508"/>
        <v>10.1.5</v>
      </c>
      <c r="M172" s="55" t="s">
        <v>27868</v>
      </c>
      <c r="O172" s="392" t="str">
        <f t="shared" ca="1" si="509"/>
        <v>10.1.5</v>
      </c>
      <c r="P172" s="687" t="s">
        <v>29901</v>
      </c>
      <c r="Q172" s="684" t="s">
        <v>12905</v>
      </c>
      <c r="R172" s="415" t="str">
        <f>UPPER(IF(P172="CDHU",VLOOKUP(Q172,'CDHU 201-SD'!$A$1:$J$28014,2,FALSE),IF(P172="FDE",VLOOKUP(Q172,'FDE 01-26-SD'!$A$1:$J$280013,2,FALSE),IF(P172="PRÓPRIA",VLOOKUP(Q172,COMPOSIÇÃO!$1:$1048576,3,FALSE),VLOOKUP(Q172,'SINAPI 04-26-SD'!$A$1:$H$272700,2,FALSE)))))</f>
        <v>PORTA LISA COM BATENTE MADEIRA - 80 X 210 CM</v>
      </c>
      <c r="S172" s="414" t="str">
        <f>UPPER(IF(P172="CDHU",VLOOKUP(Q172,'CDHU 201-SD'!$A$1:$J$28014,3,FALSE),IF(P172="FDE",VLOOKUP(Q172,'FDE 01-26-SD'!$A$1:$J$280013,3,FALSE),IF(P172="PRÓPRIA",VLOOKUP(Q172,COMPOSIÇÃO!$1:$1048576,7,FALSE),VLOOKUP(Q172,'SINAPI 04-26-SD'!$A$1:$H$272700,3,FALSE)))))</f>
        <v>UN</v>
      </c>
      <c r="T172" s="393">
        <f>VLOOKUP(Q172,ESQUADRIAS!$1:$1048576,12,FALSE)</f>
        <v>12</v>
      </c>
      <c r="U172" s="394">
        <f>TRUNC(IF(P172="CDHU",VLOOKUP(Q172,'CDHU 201-SD'!$A$1:$J$28014,6,FALSE),IF(P172="FDE",VLOOKUP(Q172,'FDE 01-26-SD'!$A$1:$J$280013,6,FALSE),IF(P172="PRÓPRIA",VLOOKUP(Q172,COMPOSIÇÃO!$1:$1048576,10,FALSE),VLOOKUP(Q172,'SINAPI 04-26-SD'!$A$1:$H$272700,4,FALSE)))),2)</f>
        <v>650.51</v>
      </c>
      <c r="V172" s="416">
        <f t="shared" si="510"/>
        <v>7806.12</v>
      </c>
      <c r="W172" s="395">
        <f>IF($AA172="N",BDI!$D$26,IF($AA172="D",'BDI DIFE.'!$D$26,"ERRO"))</f>
        <v>0.22500000000000001</v>
      </c>
      <c r="X172" s="379">
        <f t="shared" si="511"/>
        <v>796.87</v>
      </c>
      <c r="Y172" s="380">
        <f t="shared" si="512"/>
        <v>9562.44</v>
      </c>
      <c r="Z172" s="381"/>
      <c r="AA172" s="378" t="s">
        <v>28044</v>
      </c>
      <c r="AB172" s="642"/>
    </row>
    <row r="173" spans="2:28" s="55" customFormat="1">
      <c r="B173" s="378">
        <f t="shared" ref="B173" ca="1" si="525">IF(C173="S",IF(OFFSET(C173,-1,0)="S", OFFSET(B173,-1,0), OFFSET(B173,-1,0) +1 ), C173)</f>
        <v>3</v>
      </c>
      <c r="C173" s="378" t="str">
        <f t="shared" si="394"/>
        <v>S</v>
      </c>
      <c r="D173" s="378">
        <f t="shared" ca="1" si="307"/>
        <v>10</v>
      </c>
      <c r="E173" s="378">
        <f t="shared" ref="E173" ca="1" si="526">IF($C173="2",OFFSET(E173,-1,0) +1,IF(OFFSET(D173,-1,0)&lt;&gt;D173,"0",IF(OFFSET(E173,-1,0)="","0",OFFSET(E173,-1,0))))</f>
        <v>1</v>
      </c>
      <c r="F173" s="378" t="str">
        <f t="shared" ref="F173" ca="1" si="527">IF($C173="3",OFFSET(F173,-1,0) +1,IF(OFFSET(E173,-1,0)&lt;&gt;E173,"0",IF(OFFSET(F173,-1,0)="","0",OFFSET(F173,-1,0))))</f>
        <v>0</v>
      </c>
      <c r="G173" s="378" t="str">
        <f t="shared" ref="G173" ca="1" si="528">IF($C173="4",OFFSET(G173,-1,0) +1,IF(OFFSET(F173,-1,0)&lt;&gt;F173,"0",IF(OFFSET(G173,-1,0)="","0",OFFSET(G173,-1,0))))</f>
        <v>0</v>
      </c>
      <c r="H173" s="378" t="str">
        <f t="shared" ref="H173" ca="1" si="529">IF($C173="5",OFFSET(H173,-1,0) +1,IF(OFFSET(G173,-1,0)&lt;&gt;G173,"0",IF(OFFSET(H173,-1,0)="","0",OFFSET(H173,-1,0))))</f>
        <v>0</v>
      </c>
      <c r="I173" s="378" t="str">
        <f t="shared" ref="I173" ca="1" si="530">IF($C173="6",OFFSET(I173,-1,0) +1,IF(OFFSET(H173,-1,0)&lt;&gt;H173,"0",IF(OFFSET(I173,-1,0)="","0", OFFSET(I173,-1,0))))</f>
        <v>0</v>
      </c>
      <c r="J173" s="378">
        <f t="shared" ca="1" si="313"/>
        <v>6</v>
      </c>
      <c r="K173" s="378" t="str">
        <f t="shared" ref="K173" si="531">IF(C173="S","NÃO", IF(C173="1", D173, IF(C173="2", D173 &amp; "." &amp; E173,IF(C173="3", D173 &amp; "." &amp; E173 &amp; "." &amp; F173, IF(C173="4", D173 &amp; "." &amp; E173 &amp; "." &amp; F173 &amp; "." &amp; G173, IF(C173="5", D173 &amp; "." &amp; E173 &amp; "." &amp; F173 &amp; "." &amp; G173 &amp; "." &amp; H173, IF(C173="6", D173 &amp; "." &amp; E173 &amp; "." &amp; F173 &amp; "." &amp; G173 &amp; "." &amp; H173 &amp; "." &amp; I173)))))))</f>
        <v>NÃO</v>
      </c>
      <c r="L173" s="378" t="str">
        <f t="shared" ref="L173" ca="1" si="532">IF(K173="NÃO",IF($B173=2,D173&amp;"."&amp;J173,IF($B173=3,D173&amp;"."&amp;E173&amp;"."&amp;J173,IF($B173=4,D173&amp;"."&amp;E173&amp;"."&amp;F173&amp;"."&amp;J173,IF($B173=5,D173&amp;"."&amp;E173&amp;"."&amp;F173&amp;"."&amp;G173&amp;"."&amp;J173,IF($B173=6,D173&amp;"."&amp;E173&amp;"."&amp;F173&amp;"."&amp;G173&amp;"."&amp;H173&amp;"."&amp;J173,IF($B173=7,D173&amp;"."&amp;E173&amp;"."&amp;F173&amp;"."&amp;G173&amp;"."&amp;H173&amp;"."&amp;I173&amp;"."&amp;J173,"FALHA")))))),K173)</f>
        <v>10.1.6</v>
      </c>
      <c r="M173" s="55" t="s">
        <v>27868</v>
      </c>
      <c r="O173" s="392" t="str">
        <f t="shared" ref="O173" ca="1" si="533">L173</f>
        <v>10.1.6</v>
      </c>
      <c r="P173" s="687" t="s">
        <v>29901</v>
      </c>
      <c r="Q173" s="684" t="s">
        <v>12907</v>
      </c>
      <c r="R173" s="415" t="str">
        <f>UPPER(IF(P173="CDHU",VLOOKUP(Q173,'CDHU 201-SD'!$A$1:$J$28014,2,FALSE),IF(P173="FDE",VLOOKUP(Q173,'FDE 01-26-SD'!$A$1:$J$280013,2,FALSE),IF(P173="PRÓPRIA",VLOOKUP(Q173,COMPOSIÇÃO!$1:$1048576,3,FALSE),VLOOKUP(Q173,'SINAPI 04-26-SD'!$A$1:$H$272700,2,FALSE)))))</f>
        <v>PORTA LISA COM BATENTE MADEIRA - 90 X 210 CM</v>
      </c>
      <c r="S173" s="414" t="str">
        <f>UPPER(IF(P173="CDHU",VLOOKUP(Q173,'CDHU 201-SD'!$A$1:$J$28014,3,FALSE),IF(P173="FDE",VLOOKUP(Q173,'FDE 01-26-SD'!$A$1:$J$280013,3,FALSE),IF(P173="PRÓPRIA",VLOOKUP(Q173,COMPOSIÇÃO!$1:$1048576,7,FALSE),VLOOKUP(Q173,'SINAPI 04-26-SD'!$A$1:$H$272700,3,FALSE)))))</f>
        <v>UN</v>
      </c>
      <c r="T173" s="393">
        <f>VLOOKUP(Q173,ESQUADRIAS!$1:$1048576,12,FALSE)</f>
        <v>3</v>
      </c>
      <c r="U173" s="394">
        <f>TRUNC(IF(P173="CDHU",VLOOKUP(Q173,'CDHU 201-SD'!$A$1:$J$28014,6,FALSE),IF(P173="FDE",VLOOKUP(Q173,'FDE 01-26-SD'!$A$1:$J$280013,6,FALSE),IF(P173="PRÓPRIA",VLOOKUP(Q173,COMPOSIÇÃO!$1:$1048576,10,FALSE),VLOOKUP(Q173,'SINAPI 04-26-SD'!$A$1:$H$272700,4,FALSE)))),2)</f>
        <v>679.69</v>
      </c>
      <c r="V173" s="416">
        <f t="shared" ref="V173" si="534">TRUNC(U173*T173,2)</f>
        <v>2039.07</v>
      </c>
      <c r="W173" s="395">
        <f>IF($AA173="N",BDI!$D$26,IF($AA173="D",'BDI DIFE.'!$D$26,"ERRO"))</f>
        <v>0.22500000000000001</v>
      </c>
      <c r="X173" s="379">
        <f t="shared" ref="X173" si="535">TRUNC(U173*(1+W173),2)</f>
        <v>832.62</v>
      </c>
      <c r="Y173" s="380">
        <f t="shared" ref="Y173" si="536">TRUNC(T173*X173,2)</f>
        <v>2497.86</v>
      </c>
      <c r="Z173" s="381"/>
      <c r="AA173" s="378" t="s">
        <v>28044</v>
      </c>
      <c r="AB173" s="642"/>
    </row>
    <row r="174" spans="2:28" s="55" customFormat="1">
      <c r="B174" s="378">
        <f t="shared" ref="B174:B176" ca="1" si="537">IF(C174="S",IF(OFFSET(C174,-1,0)="S", OFFSET(B174,-1,0), OFFSET(B174,-1,0) +1 ), C174)</f>
        <v>3</v>
      </c>
      <c r="C174" s="378" t="str">
        <f t="shared" si="394"/>
        <v>S</v>
      </c>
      <c r="D174" s="378">
        <f t="shared" ca="1" si="307"/>
        <v>10</v>
      </c>
      <c r="E174" s="378">
        <f t="shared" ref="E174:E176" ca="1" si="538">IF($C174="2",OFFSET(E174,-1,0) +1,IF(OFFSET(D174,-1,0)&lt;&gt;D174,"0",IF(OFFSET(E174,-1,0)="","0",OFFSET(E174,-1,0))))</f>
        <v>1</v>
      </c>
      <c r="F174" s="378" t="str">
        <f t="shared" ref="F174:F176" ca="1" si="539">IF($C174="3",OFFSET(F174,-1,0) +1,IF(OFFSET(E174,-1,0)&lt;&gt;E174,"0",IF(OFFSET(F174,-1,0)="","0",OFFSET(F174,-1,0))))</f>
        <v>0</v>
      </c>
      <c r="G174" s="378" t="str">
        <f t="shared" ref="G174:G176" ca="1" si="540">IF($C174="4",OFFSET(G174,-1,0) +1,IF(OFFSET(F174,-1,0)&lt;&gt;F174,"0",IF(OFFSET(G174,-1,0)="","0",OFFSET(G174,-1,0))))</f>
        <v>0</v>
      </c>
      <c r="H174" s="378" t="str">
        <f t="shared" ref="H174:H176" ca="1" si="541">IF($C174="5",OFFSET(H174,-1,0) +1,IF(OFFSET(G174,-1,0)&lt;&gt;G174,"0",IF(OFFSET(H174,-1,0)="","0",OFFSET(H174,-1,0))))</f>
        <v>0</v>
      </c>
      <c r="I174" s="378" t="str">
        <f t="shared" ref="I174:I176" ca="1" si="542">IF($C174="6",OFFSET(I174,-1,0) +1,IF(OFFSET(H174,-1,0)&lt;&gt;H174,"0",IF(OFFSET(I174,-1,0)="","0", OFFSET(I174,-1,0))))</f>
        <v>0</v>
      </c>
      <c r="J174" s="378">
        <f t="shared" ca="1" si="313"/>
        <v>7</v>
      </c>
      <c r="K174" s="378" t="str">
        <f t="shared" ref="K174:K176" si="543">IF(C174="S","NÃO", IF(C174="1", D174, IF(C174="2", D174 &amp; "." &amp; E174,IF(C174="3", D174 &amp; "." &amp; E174 &amp; "." &amp; F174, IF(C174="4", D174 &amp; "." &amp; E174 &amp; "." &amp; F174 &amp; "." &amp; G174, IF(C174="5", D174 &amp; "." &amp; E174 &amp; "." &amp; F174 &amp; "." &amp; G174 &amp; "." &amp; H174, IF(C174="6", D174 &amp; "." &amp; E174 &amp; "." &amp; F174 &amp; "." &amp; G174 &amp; "." &amp; H174 &amp; "." &amp; I174)))))))</f>
        <v>NÃO</v>
      </c>
      <c r="L174" s="378" t="str">
        <f t="shared" ref="L174:L176" ca="1" si="544">IF(K174="NÃO",IF($B174=2,D174&amp;"."&amp;J174,IF($B174=3,D174&amp;"."&amp;E174&amp;"."&amp;J174,IF($B174=4,D174&amp;"."&amp;E174&amp;"."&amp;F174&amp;"."&amp;J174,IF($B174=5,D174&amp;"."&amp;E174&amp;"."&amp;F174&amp;"."&amp;G174&amp;"."&amp;J174,IF($B174=6,D174&amp;"."&amp;E174&amp;"."&amp;F174&amp;"."&amp;G174&amp;"."&amp;H174&amp;"."&amp;J174,IF($B174=7,D174&amp;"."&amp;E174&amp;"."&amp;F174&amp;"."&amp;G174&amp;"."&amp;H174&amp;"."&amp;I174&amp;"."&amp;J174,"FALHA")))))),K174)</f>
        <v>10.1.7</v>
      </c>
      <c r="M174" s="55" t="s">
        <v>27868</v>
      </c>
      <c r="O174" s="392" t="str">
        <f t="shared" ref="O174:O176" ca="1" si="545">L174</f>
        <v>10.1.7</v>
      </c>
      <c r="P174" s="687" t="s">
        <v>29901</v>
      </c>
      <c r="Q174" s="684" t="s">
        <v>13275</v>
      </c>
      <c r="R174" s="415" t="str">
        <f>UPPER(IF(P174="CDHU",VLOOKUP(Q174,'CDHU 201-SD'!$A$1:$J$28014,2,FALSE),IF(P174="FDE",VLOOKUP(Q174,'FDE 01-26-SD'!$A$1:$J$280013,2,FALSE),IF(P174="PRÓPRIA",VLOOKUP(Q174,COMPOSIÇÃO!$1:$1048576,3,FALSE),VLOOKUP(Q174,'SINAPI 04-26-SD'!$A$1:$H$272700,2,FALSE)))))</f>
        <v>PORTA DE ENTRADA DE ABRIR EM ALUMÍNIO, SOB MEDIDA</v>
      </c>
      <c r="S174" s="414" t="str">
        <f>UPPER(IF(P174="CDHU",VLOOKUP(Q174,'CDHU 201-SD'!$A$1:$J$28014,3,FALSE),IF(P174="FDE",VLOOKUP(Q174,'FDE 01-26-SD'!$A$1:$J$280013,3,FALSE),IF(P174="PRÓPRIA",VLOOKUP(Q174,COMPOSIÇÃO!$1:$1048576,7,FALSE),VLOOKUP(Q174,'SINAPI 04-26-SD'!$A$1:$H$272700,3,FALSE)))))</f>
        <v>M2</v>
      </c>
      <c r="T174" s="393">
        <f>VLOOKUP(Q174,ESQUADRIAS!$1:$1048576,12,FALSE)</f>
        <v>65.473199999999991</v>
      </c>
      <c r="U174" s="394">
        <f>TRUNC(IF(P174="CDHU",VLOOKUP(Q174,'CDHU 201-SD'!$A$1:$J$28014,6,FALSE),IF(P174="FDE",VLOOKUP(Q174,'FDE 01-26-SD'!$A$1:$J$280013,6,FALSE),IF(P174="PRÓPRIA",VLOOKUP(Q174,COMPOSIÇÃO!$1:$1048576,10,FALSE),VLOOKUP(Q174,'SINAPI 04-26-SD'!$A$1:$H$272700,4,FALSE)))),2)</f>
        <v>1108.3</v>
      </c>
      <c r="V174" s="416">
        <f t="shared" ref="V174:V176" si="546">TRUNC(U174*T174,2)</f>
        <v>72563.94</v>
      </c>
      <c r="W174" s="395">
        <f>IF($AA174="N",BDI!$D$26,IF($AA174="D",'BDI DIFE.'!$D$26,"ERRO"))</f>
        <v>0.22500000000000001</v>
      </c>
      <c r="X174" s="379">
        <f t="shared" ref="X174:X176" si="547">TRUNC(U174*(1+W174),2)</f>
        <v>1357.66</v>
      </c>
      <c r="Y174" s="380">
        <f t="shared" ref="Y174:Y176" si="548">TRUNC(T174*X174,2)</f>
        <v>88890.34</v>
      </c>
      <c r="Z174" s="381"/>
      <c r="AA174" s="378" t="s">
        <v>28044</v>
      </c>
      <c r="AB174" s="642"/>
    </row>
    <row r="175" spans="2:28" s="55" customFormat="1">
      <c r="B175" s="378">
        <f t="shared" ca="1" si="537"/>
        <v>3</v>
      </c>
      <c r="C175" s="378" t="str">
        <f t="shared" si="394"/>
        <v>S</v>
      </c>
      <c r="D175" s="378">
        <f t="shared" ca="1" si="307"/>
        <v>10</v>
      </c>
      <c r="E175" s="378">
        <f t="shared" ca="1" si="538"/>
        <v>1</v>
      </c>
      <c r="F175" s="378" t="str">
        <f t="shared" ca="1" si="539"/>
        <v>0</v>
      </c>
      <c r="G175" s="378" t="str">
        <f t="shared" ca="1" si="540"/>
        <v>0</v>
      </c>
      <c r="H175" s="378" t="str">
        <f t="shared" ca="1" si="541"/>
        <v>0</v>
      </c>
      <c r="I175" s="378" t="str">
        <f t="shared" ca="1" si="542"/>
        <v>0</v>
      </c>
      <c r="J175" s="378">
        <f t="shared" ca="1" si="313"/>
        <v>8</v>
      </c>
      <c r="K175" s="378" t="str">
        <f t="shared" si="543"/>
        <v>NÃO</v>
      </c>
      <c r="L175" s="378" t="str">
        <f t="shared" ca="1" si="544"/>
        <v>10.1.8</v>
      </c>
      <c r="M175" s="55" t="s">
        <v>27868</v>
      </c>
      <c r="O175" s="392" t="str">
        <f t="shared" ca="1" si="545"/>
        <v>10.1.8</v>
      </c>
      <c r="P175" s="687" t="s">
        <v>29901</v>
      </c>
      <c r="Q175" s="684" t="s">
        <v>13277</v>
      </c>
      <c r="R175" s="415" t="str">
        <f>UPPER(IF(P175="CDHU",VLOOKUP(Q175,'CDHU 201-SD'!$A$1:$J$28014,2,FALSE),IF(P175="FDE",VLOOKUP(Q175,'FDE 01-26-SD'!$A$1:$J$280013,2,FALSE),IF(P175="PRÓPRIA",VLOOKUP(Q175,COMPOSIÇÃO!$1:$1048576,3,FALSE),VLOOKUP(Q175,'SINAPI 04-26-SD'!$A$1:$H$272700,2,FALSE)))))</f>
        <v>PORTA DE ENTRADA DE CORRER EM ALUMÍNIO, SOB MEDIDA</v>
      </c>
      <c r="S175" s="414" t="str">
        <f>UPPER(IF(P175="CDHU",VLOOKUP(Q175,'CDHU 201-SD'!$A$1:$J$28014,3,FALSE),IF(P175="FDE",VLOOKUP(Q175,'FDE 01-26-SD'!$A$1:$J$280013,3,FALSE),IF(P175="PRÓPRIA",VLOOKUP(Q175,COMPOSIÇÃO!$1:$1048576,7,FALSE),VLOOKUP(Q175,'SINAPI 04-26-SD'!$A$1:$H$272700,3,FALSE)))))</f>
        <v>M2</v>
      </c>
      <c r="T175" s="393">
        <f>VLOOKUP(Q175,ESQUADRIAS!$1:$1048576,12,FALSE)</f>
        <v>8.8574999999999999</v>
      </c>
      <c r="U175" s="394">
        <f>TRUNC(IF(P175="CDHU",VLOOKUP(Q175,'CDHU 201-SD'!$A$1:$J$28014,6,FALSE),IF(P175="FDE",VLOOKUP(Q175,'FDE 01-26-SD'!$A$1:$J$280013,6,FALSE),IF(P175="PRÓPRIA",VLOOKUP(Q175,COMPOSIÇÃO!$1:$1048576,10,FALSE),VLOOKUP(Q175,'SINAPI 04-26-SD'!$A$1:$H$272700,4,FALSE)))),2)</f>
        <v>1213.1199999999999</v>
      </c>
      <c r="V175" s="416">
        <f t="shared" si="546"/>
        <v>10745.21</v>
      </c>
      <c r="W175" s="395">
        <f>IF($AA175="N",BDI!$D$26,IF($AA175="D",'BDI DIFE.'!$D$26,"ERRO"))</f>
        <v>0.22500000000000001</v>
      </c>
      <c r="X175" s="379">
        <f t="shared" si="547"/>
        <v>1486.07</v>
      </c>
      <c r="Y175" s="380">
        <f t="shared" si="548"/>
        <v>13162.86</v>
      </c>
      <c r="Z175" s="381"/>
      <c r="AA175" s="378" t="s">
        <v>28044</v>
      </c>
      <c r="AB175" s="642"/>
    </row>
    <row r="176" spans="2:28" s="55" customFormat="1" ht="16" thickBot="1">
      <c r="B176" s="378">
        <f t="shared" ca="1" si="537"/>
        <v>3</v>
      </c>
      <c r="C176" s="378" t="str">
        <f t="shared" si="394"/>
        <v>S</v>
      </c>
      <c r="D176" s="378">
        <f t="shared" ca="1" si="307"/>
        <v>10</v>
      </c>
      <c r="E176" s="378">
        <f t="shared" ca="1" si="538"/>
        <v>1</v>
      </c>
      <c r="F176" s="378" t="str">
        <f t="shared" ca="1" si="539"/>
        <v>0</v>
      </c>
      <c r="G176" s="378" t="str">
        <f t="shared" ca="1" si="540"/>
        <v>0</v>
      </c>
      <c r="H176" s="378" t="str">
        <f t="shared" ca="1" si="541"/>
        <v>0</v>
      </c>
      <c r="I176" s="378" t="str">
        <f t="shared" ca="1" si="542"/>
        <v>0</v>
      </c>
      <c r="J176" s="378">
        <f t="shared" ca="1" si="313"/>
        <v>9</v>
      </c>
      <c r="K176" s="378" t="str">
        <f t="shared" si="543"/>
        <v>NÃO</v>
      </c>
      <c r="L176" s="378" t="str">
        <f t="shared" ca="1" si="544"/>
        <v>10.1.9</v>
      </c>
      <c r="M176" s="55" t="s">
        <v>27868</v>
      </c>
      <c r="O176" s="392" t="str">
        <f t="shared" ca="1" si="545"/>
        <v>10.1.9</v>
      </c>
      <c r="P176" s="687" t="s">
        <v>29901</v>
      </c>
      <c r="Q176" s="684" t="s">
        <v>13345</v>
      </c>
      <c r="R176" s="415" t="str">
        <f>UPPER(IF(P176="CDHU",VLOOKUP(Q176,'CDHU 201-SD'!$A$1:$J$28014,2,FALSE),IF(P176="FDE",VLOOKUP(Q176,'FDE 01-26-SD'!$A$1:$J$280013,2,FALSE),IF(P176="PRÓPRIA",VLOOKUP(Q176,COMPOSIÇÃO!$1:$1048576,3,FALSE),VLOOKUP(Q176,'SINAPI 04-26-SD'!$A$1:$H$272700,2,FALSE)))))</f>
        <v>VIDRO TEMPERADO INCOLOR DE 10 MM</v>
      </c>
      <c r="S176" s="414" t="str">
        <f>UPPER(IF(P176="CDHU",VLOOKUP(Q176,'CDHU 201-SD'!$A$1:$J$28014,3,FALSE),IF(P176="FDE",VLOOKUP(Q176,'FDE 01-26-SD'!$A$1:$J$280013,3,FALSE),IF(P176="PRÓPRIA",VLOOKUP(Q176,COMPOSIÇÃO!$1:$1048576,7,FALSE),VLOOKUP(Q176,'SINAPI 04-26-SD'!$A$1:$H$272700,3,FALSE)))))</f>
        <v>M2</v>
      </c>
      <c r="T176" s="393">
        <f>VLOOKUP(Q176,ESQUADRIAS!$1:$1048576,12,FALSE)</f>
        <v>48.178800000000003</v>
      </c>
      <c r="U176" s="394">
        <f>TRUNC(IF(P176="CDHU",VLOOKUP(Q176,'CDHU 201-SD'!$A$1:$J$28014,6,FALSE),IF(P176="FDE",VLOOKUP(Q176,'FDE 01-26-SD'!$A$1:$J$280013,6,FALSE),IF(P176="PRÓPRIA",VLOOKUP(Q176,COMPOSIÇÃO!$1:$1048576,10,FALSE),VLOOKUP(Q176,'SINAPI 04-26-SD'!$A$1:$H$272700,4,FALSE)))),2)</f>
        <v>279.83</v>
      </c>
      <c r="V176" s="416">
        <f t="shared" si="546"/>
        <v>13481.87</v>
      </c>
      <c r="W176" s="395">
        <f>IF($AA176="N",BDI!$D$26,IF($AA176="D",'BDI DIFE.'!$D$26,"ERRO"))</f>
        <v>0.22500000000000001</v>
      </c>
      <c r="X176" s="379">
        <f t="shared" si="547"/>
        <v>342.79</v>
      </c>
      <c r="Y176" s="380">
        <f t="shared" si="548"/>
        <v>16515.21</v>
      </c>
      <c r="Z176" s="381"/>
      <c r="AA176" s="378" t="s">
        <v>28044</v>
      </c>
      <c r="AB176" s="642"/>
    </row>
    <row r="177" spans="2:28" s="55" customFormat="1" ht="16" thickBot="1">
      <c r="B177" s="378" t="str">
        <f t="shared" ca="1" si="467"/>
        <v/>
      </c>
      <c r="C177" s="378" t="str">
        <f t="shared" si="394"/>
        <v/>
      </c>
      <c r="D177" s="378">
        <f t="shared" ca="1" si="307"/>
        <v>10</v>
      </c>
      <c r="E177" s="378">
        <f t="shared" ca="1" si="468"/>
        <v>1</v>
      </c>
      <c r="F177" s="378" t="str">
        <f t="shared" ca="1" si="469"/>
        <v>0</v>
      </c>
      <c r="G177" s="378" t="str">
        <f t="shared" ca="1" si="470"/>
        <v>0</v>
      </c>
      <c r="H177" s="378" t="str">
        <f t="shared" ca="1" si="471"/>
        <v>0</v>
      </c>
      <c r="I177" s="378" t="str">
        <f t="shared" ca="1" si="472"/>
        <v>0</v>
      </c>
      <c r="J177" s="378" t="str">
        <f t="shared" ca="1" si="313"/>
        <v>0</v>
      </c>
      <c r="K177" s="378" t="b">
        <f t="shared" si="473"/>
        <v>0</v>
      </c>
      <c r="L177" s="378" t="b">
        <f t="shared" si="474"/>
        <v>0</v>
      </c>
      <c r="O177" s="192"/>
      <c r="P177" s="387"/>
      <c r="Q177" s="387"/>
      <c r="R177" s="377"/>
      <c r="S177" s="387"/>
      <c r="T177" s="363"/>
      <c r="U177" s="388"/>
      <c r="V177" s="389"/>
      <c r="W177" s="389"/>
      <c r="X177" s="389"/>
      <c r="Y177" s="390"/>
      <c r="AB177" s="642"/>
    </row>
    <row r="178" spans="2:28" s="75" customFormat="1" ht="16" thickBot="1">
      <c r="B178" s="75" t="str">
        <f t="shared" ca="1" si="467"/>
        <v>2</v>
      </c>
      <c r="C178" s="75" t="str">
        <f t="shared" si="394"/>
        <v>2</v>
      </c>
      <c r="D178" s="75">
        <f t="shared" ca="1" si="307"/>
        <v>10</v>
      </c>
      <c r="E178" s="75">
        <f t="shared" ca="1" si="468"/>
        <v>2</v>
      </c>
      <c r="F178" s="75" t="str">
        <f t="shared" ca="1" si="469"/>
        <v>0</v>
      </c>
      <c r="G178" s="75" t="str">
        <f t="shared" ca="1" si="470"/>
        <v>0</v>
      </c>
      <c r="H178" s="75" t="str">
        <f t="shared" ca="1" si="471"/>
        <v>0</v>
      </c>
      <c r="I178" s="75" t="str">
        <f t="shared" ca="1" si="472"/>
        <v>0</v>
      </c>
      <c r="J178" s="75" t="str">
        <f t="shared" ca="1" si="313"/>
        <v>0</v>
      </c>
      <c r="K178" s="75" t="str">
        <f t="shared" ca="1" si="473"/>
        <v>10.2</v>
      </c>
      <c r="L178" s="75" t="str">
        <f t="shared" ca="1" si="474"/>
        <v>10.2</v>
      </c>
      <c r="M178" s="55" t="s">
        <v>27861</v>
      </c>
      <c r="O178" s="191" t="str">
        <f t="shared" ref="O178" ca="1" si="549">L178</f>
        <v>10.2</v>
      </c>
      <c r="P178" s="172"/>
      <c r="Q178" s="172"/>
      <c r="R178" s="621" t="s">
        <v>41838</v>
      </c>
      <c r="S178" s="172"/>
      <c r="T178" s="194"/>
      <c r="U178" s="195"/>
      <c r="V178" s="196">
        <f ca="1">IF(VALUE(C178)=1,SUMIFS(V:V,D:D,D178,M:M,"Serviço"),IF(VALUE(C178)=2,SUMIFS(V:V,D:D,D178,E:E,E178,M:M,"Serviço"),IF(VALUE(C178)=3,SUMIFS(V:V,D:D,D178,E:E,E178,F:F,F178,M:M,"Serviço"),IF(VALUE(C178)=4,SUMIFS(V:V,D:D,D178,E:E,E178,F:F,F178,G:G,G178,M:M,"Serviço"),"ERRO"))))</f>
        <v>59368.07</v>
      </c>
      <c r="W178" s="197"/>
      <c r="X178" s="205"/>
      <c r="Y178" s="173">
        <f ca="1">IF(VALUE(C178)=1,SUMIFS(Y:Y,D:D,D178,M:M,"Serviço"),IF(VALUE(C178)=2,SUMIFS(Y:Y,D:D,D178,E:E,E178,M:M,"Serviço"),IF(VALUE(C178)=3,SUMIFS(Y:Y,D:D,D178,E:E,E178,F:F,F178,M:M,"Serviço"),IF(VALUE(C178)=4,SUMIFS(Y:Y,D:D,D178,E:E,E178,F:F,F178,G:G,G178,M:M,"Serviço"),"ERRO"))))</f>
        <v>72725.73000000001</v>
      </c>
      <c r="AB178" s="641"/>
    </row>
    <row r="179" spans="2:28" s="55" customFormat="1">
      <c r="B179" s="378">
        <f t="shared" ref="B179:B180" ca="1" si="550">IF(C179="S",IF(OFFSET(C179,-1,0)="S", OFFSET(B179,-1,0), OFFSET(B179,-1,0) +1 ), C179)</f>
        <v>3</v>
      </c>
      <c r="C179" s="378" t="str">
        <f t="shared" si="394"/>
        <v>S</v>
      </c>
      <c r="D179" s="378">
        <f t="shared" ca="1" si="307"/>
        <v>10</v>
      </c>
      <c r="E179" s="378">
        <f t="shared" ref="E179:E180" ca="1" si="551">IF($C179="2",OFFSET(E179,-1,0) +1,IF(OFFSET(D179,-1,0)&lt;&gt;D179,"0",IF(OFFSET(E179,-1,0)="","0",OFFSET(E179,-1,0))))</f>
        <v>2</v>
      </c>
      <c r="F179" s="378" t="str">
        <f t="shared" ref="F179:F180" ca="1" si="552">IF($C179="3",OFFSET(F179,-1,0) +1,IF(OFFSET(E179,-1,0)&lt;&gt;E179,"0",IF(OFFSET(F179,-1,0)="","0",OFFSET(F179,-1,0))))</f>
        <v>0</v>
      </c>
      <c r="G179" s="378" t="str">
        <f t="shared" ref="G179:G180" ca="1" si="553">IF($C179="4",OFFSET(G179,-1,0) +1,IF(OFFSET(F179,-1,0)&lt;&gt;F179,"0",IF(OFFSET(G179,-1,0)="","0",OFFSET(G179,-1,0))))</f>
        <v>0</v>
      </c>
      <c r="H179" s="378" t="str">
        <f t="shared" ref="H179:H180" ca="1" si="554">IF($C179="5",OFFSET(H179,-1,0) +1,IF(OFFSET(G179,-1,0)&lt;&gt;G179,"0",IF(OFFSET(H179,-1,0)="","0",OFFSET(H179,-1,0))))</f>
        <v>0</v>
      </c>
      <c r="I179" s="378" t="str">
        <f t="shared" ref="I179:I180" ca="1" si="555">IF($C179="6",OFFSET(I179,-1,0) +1,IF(OFFSET(H179,-1,0)&lt;&gt;H179,"0",IF(OFFSET(I179,-1,0)="","0", OFFSET(I179,-1,0))))</f>
        <v>0</v>
      </c>
      <c r="J179" s="378">
        <f t="shared" ca="1" si="313"/>
        <v>1</v>
      </c>
      <c r="K179" s="378" t="str">
        <f t="shared" ref="K179:K180" si="556">IF(C179="S","NÃO", IF(C179="1", D179, IF(C179="2", D179 &amp; "." &amp; E179,IF(C179="3", D179 &amp; "." &amp; E179 &amp; "." &amp; F179, IF(C179="4", D179 &amp; "." &amp; E179 &amp; "." &amp; F179 &amp; "." &amp; G179, IF(C179="5", D179 &amp; "." &amp; E179 &amp; "." &amp; F179 &amp; "." &amp; G179 &amp; "." &amp; H179, IF(C179="6", D179 &amp; "." &amp; E179 &amp; "." &amp; F179 &amp; "." &amp; G179 &amp; "." &amp; H179 &amp; "." &amp; I179)))))))</f>
        <v>NÃO</v>
      </c>
      <c r="L179" s="378" t="str">
        <f t="shared" ref="L179:L180" ca="1" si="557">IF(K179="NÃO",IF($B179=2,D179&amp;"."&amp;J179,IF($B179=3,D179&amp;"."&amp;E179&amp;"."&amp;J179,IF($B179=4,D179&amp;"."&amp;E179&amp;"."&amp;F179&amp;"."&amp;J179,IF($B179=5,D179&amp;"."&amp;E179&amp;"."&amp;F179&amp;"."&amp;G179&amp;"."&amp;J179,IF($B179=6,D179&amp;"."&amp;E179&amp;"."&amp;F179&amp;"."&amp;G179&amp;"."&amp;H179&amp;"."&amp;J179,IF($B179=7,D179&amp;"."&amp;E179&amp;"."&amp;F179&amp;"."&amp;G179&amp;"."&amp;H179&amp;"."&amp;I179&amp;"."&amp;J179,"FALHA")))))),K179)</f>
        <v>10.2.1</v>
      </c>
      <c r="M179" s="55" t="s">
        <v>27868</v>
      </c>
      <c r="O179" s="392" t="str">
        <f t="shared" ref="O179:O180" ca="1" si="558">L179</f>
        <v>10.2.1</v>
      </c>
      <c r="P179" s="413" t="s">
        <v>29901</v>
      </c>
      <c r="Q179" s="684" t="s">
        <v>13225</v>
      </c>
      <c r="R179" s="415" t="str">
        <f>UPPER(IF(P179="CDHU",VLOOKUP(Q179,'CDHU 201-SD'!$A$1:$J$28014,2,FALSE),IF(P179="FDE",VLOOKUP(Q179,'FDE 01-26-SD'!$A$1:$J$280013,2,FALSE),IF(P179="PRÓPRIA",VLOOKUP(Q179,COMPOSIÇÃO!$1:$1048576,3,FALSE),VLOOKUP(Q179,'SINAPI 04-26-SD'!$A$1:$H$272700,2,FALSE)))))</f>
        <v>CAIXILHO EM ALUMÍNIO MAXIM-AR, SOB MEDIDA</v>
      </c>
      <c r="S179" s="414" t="str">
        <f>UPPER(IF(P179="CDHU",VLOOKUP(Q179,'CDHU 201-SD'!$A$1:$J$28014,3,FALSE),IF(P179="FDE",VLOOKUP(Q179,'FDE 01-26-SD'!$A$1:$J$280013,3,FALSE),IF(P179="PRÓPRIA",VLOOKUP(Q179,COMPOSIÇÃO!$1:$1048576,7,FALSE),VLOOKUP(Q179,'SINAPI 04-26-SD'!$A$1:$H$272700,3,FALSE)))))</f>
        <v>M2</v>
      </c>
      <c r="T179" s="393">
        <f>VLOOKUP(Q179,ESQUADRIAS!$1:$1048576,12,FALSE)</f>
        <v>53.230000000000004</v>
      </c>
      <c r="U179" s="394">
        <f>TRUNC(IF(P179="CDHU",VLOOKUP(Q179,'CDHU 201-SD'!$A$1:$J$28014,6,FALSE),IF(P179="FDE",VLOOKUP(Q179,'FDE 01-26-SD'!$A$1:$J$280013,6,FALSE),IF(P179="PRÓPRIA",VLOOKUP(Q179,COMPOSIÇÃO!$1:$1048576,10,FALSE),VLOOKUP(Q179,'SINAPI 04-26-SD'!$A$1:$H$272700,4,FALSE)))),2)</f>
        <v>1047.47</v>
      </c>
      <c r="V179" s="416">
        <f t="shared" ref="V179:V180" si="559">TRUNC(U179*T179,2)</f>
        <v>55756.82</v>
      </c>
      <c r="W179" s="395">
        <f>IF($AA179="N",BDI!$D$26,IF($AA179="D",'BDI DIFE.'!$D$26,"ERRO"))</f>
        <v>0.22500000000000001</v>
      </c>
      <c r="X179" s="379">
        <f t="shared" ref="X179:X180" si="560">TRUNC(U179*(1+W179),2)</f>
        <v>1283.1500000000001</v>
      </c>
      <c r="Y179" s="380">
        <f t="shared" ref="Y179:Y180" si="561">TRUNC(T179*X179,2)</f>
        <v>68302.070000000007</v>
      </c>
      <c r="Z179" s="381"/>
      <c r="AA179" s="378" t="s">
        <v>28044</v>
      </c>
      <c r="AB179" s="642"/>
    </row>
    <row r="180" spans="2:28" s="55" customFormat="1" ht="16" thickBot="1">
      <c r="B180" s="378">
        <f t="shared" ca="1" si="550"/>
        <v>3</v>
      </c>
      <c r="C180" s="378" t="str">
        <f t="shared" si="394"/>
        <v>S</v>
      </c>
      <c r="D180" s="378">
        <f t="shared" ca="1" si="307"/>
        <v>10</v>
      </c>
      <c r="E180" s="378">
        <f t="shared" ca="1" si="551"/>
        <v>2</v>
      </c>
      <c r="F180" s="378" t="str">
        <f t="shared" ca="1" si="552"/>
        <v>0</v>
      </c>
      <c r="G180" s="378" t="str">
        <f t="shared" ca="1" si="553"/>
        <v>0</v>
      </c>
      <c r="H180" s="378" t="str">
        <f t="shared" ca="1" si="554"/>
        <v>0</v>
      </c>
      <c r="I180" s="378" t="str">
        <f t="shared" ca="1" si="555"/>
        <v>0</v>
      </c>
      <c r="J180" s="378">
        <f t="shared" ca="1" si="313"/>
        <v>2</v>
      </c>
      <c r="K180" s="378" t="str">
        <f t="shared" si="556"/>
        <v>NÃO</v>
      </c>
      <c r="L180" s="378" t="str">
        <f t="shared" ca="1" si="557"/>
        <v>10.2.2</v>
      </c>
      <c r="M180" s="55" t="s">
        <v>27868</v>
      </c>
      <c r="O180" s="392" t="str">
        <f t="shared" ca="1" si="558"/>
        <v>10.2.2</v>
      </c>
      <c r="P180" s="413" t="s">
        <v>29901</v>
      </c>
      <c r="Q180" s="414" t="s">
        <v>13341</v>
      </c>
      <c r="R180" s="415" t="str">
        <f>UPPER(IF(P180="CDHU",VLOOKUP(Q180,'CDHU 201-SD'!$A$1:$J$28014,2,FALSE),IF(P180="FDE",VLOOKUP(Q180,'FDE 01-26-SD'!$A$1:$J$280013,2,FALSE),IF(P180="PRÓPRIA",VLOOKUP(Q180,COMPOSIÇÃO!$1:$1048576,3,FALSE),VLOOKUP(Q180,'SINAPI 04-26-SD'!$A$1:$H$272700,2,FALSE)))))</f>
        <v>VIDRO TEMPERADO INCOLOR DE 6 MM</v>
      </c>
      <c r="S180" s="414" t="str">
        <f>UPPER(IF(P180="CDHU",VLOOKUP(Q180,'CDHU 201-SD'!$A$1:$J$28014,3,FALSE),IF(P180="FDE",VLOOKUP(Q180,'FDE 01-26-SD'!$A$1:$J$280013,3,FALSE),IF(P180="PRÓPRIA",VLOOKUP(Q180,COMPOSIÇÃO!$1:$1048576,7,FALSE),VLOOKUP(Q180,'SINAPI 04-26-SD'!$A$1:$H$272700,3,FALSE)))))</f>
        <v>M2</v>
      </c>
      <c r="T180" s="393">
        <f>VLOOKUP(Q180,ESQUADRIAS!$1:$1048576,12,FALSE)</f>
        <v>14.43</v>
      </c>
      <c r="U180" s="394">
        <f>TRUNC(IF(P180="CDHU",VLOOKUP(Q180,'CDHU 201-SD'!$A$1:$J$28014,6,FALSE),IF(P180="FDE",VLOOKUP(Q180,'FDE 01-26-SD'!$A$1:$J$280013,6,FALSE),IF(P180="PRÓPRIA",VLOOKUP(Q180,COMPOSIÇÃO!$1:$1048576,10,FALSE),VLOOKUP(Q180,'SINAPI 04-26-SD'!$A$1:$H$272700,4,FALSE)))),2)</f>
        <v>250.26</v>
      </c>
      <c r="V180" s="416">
        <f t="shared" si="559"/>
        <v>3611.25</v>
      </c>
      <c r="W180" s="395">
        <f>IF($AA180="N",BDI!$D$26,IF($AA180="D",'BDI DIFE.'!$D$26,"ERRO"))</f>
        <v>0.22500000000000001</v>
      </c>
      <c r="X180" s="379">
        <f t="shared" si="560"/>
        <v>306.56</v>
      </c>
      <c r="Y180" s="380">
        <f t="shared" si="561"/>
        <v>4423.66</v>
      </c>
      <c r="Z180" s="381"/>
      <c r="AA180" s="378" t="s">
        <v>28044</v>
      </c>
      <c r="AB180" s="642"/>
    </row>
    <row r="181" spans="2:28" s="55" customFormat="1" ht="16" thickBot="1">
      <c r="B181" s="378" t="str">
        <f t="shared" ref="B181:B182" ca="1" si="562">IF(C181="S",IF(OFFSET(C181,-1,0)="S", OFFSET(B181,-1,0), OFFSET(B181,-1,0) +1 ), C181)</f>
        <v/>
      </c>
      <c r="C181" s="378" t="str">
        <f t="shared" si="394"/>
        <v/>
      </c>
      <c r="D181" s="378">
        <f t="shared" ca="1" si="307"/>
        <v>10</v>
      </c>
      <c r="E181" s="378">
        <f t="shared" ref="E181:E182" ca="1" si="563">IF($C181="2",OFFSET(E181,-1,0) +1,IF(OFFSET(D181,-1,0)&lt;&gt;D181,"0",IF(OFFSET(E181,-1,0)="","0",OFFSET(E181,-1,0))))</f>
        <v>2</v>
      </c>
      <c r="F181" s="378" t="str">
        <f t="shared" ref="F181:F182" ca="1" si="564">IF($C181="3",OFFSET(F181,-1,0) +1,IF(OFFSET(E181,-1,0)&lt;&gt;E181,"0",IF(OFFSET(F181,-1,0)="","0",OFFSET(F181,-1,0))))</f>
        <v>0</v>
      </c>
      <c r="G181" s="378" t="str">
        <f t="shared" ref="G181:G182" ca="1" si="565">IF($C181="4",OFFSET(G181,-1,0) +1,IF(OFFSET(F181,-1,0)&lt;&gt;F181,"0",IF(OFFSET(G181,-1,0)="","0",OFFSET(G181,-1,0))))</f>
        <v>0</v>
      </c>
      <c r="H181" s="378" t="str">
        <f t="shared" ref="H181:H182" ca="1" si="566">IF($C181="5",OFFSET(H181,-1,0) +1,IF(OFFSET(G181,-1,0)&lt;&gt;G181,"0",IF(OFFSET(H181,-1,0)="","0",OFFSET(H181,-1,0))))</f>
        <v>0</v>
      </c>
      <c r="I181" s="378" t="str">
        <f t="shared" ref="I181:I182" ca="1" si="567">IF($C181="6",OFFSET(I181,-1,0) +1,IF(OFFSET(H181,-1,0)&lt;&gt;H181,"0",IF(OFFSET(I181,-1,0)="","0", OFFSET(I181,-1,0))))</f>
        <v>0</v>
      </c>
      <c r="J181" s="378" t="str">
        <f t="shared" ca="1" si="313"/>
        <v>0</v>
      </c>
      <c r="K181" s="378" t="b">
        <f t="shared" ref="K181:K182" si="568">IF(C181="S","NÃO", IF(C181="1", D181, IF(C181="2", D181 &amp; "." &amp; E181,IF(C181="3", D181 &amp; "." &amp; E181 &amp; "." &amp; F181, IF(C181="4", D181 &amp; "." &amp; E181 &amp; "." &amp; F181 &amp; "." &amp; G181, IF(C181="5", D181 &amp; "." &amp; E181 &amp; "." &amp; F181 &amp; "." &amp; G181 &amp; "." &amp; H181, IF(C181="6", D181 &amp; "." &amp; E181 &amp; "." &amp; F181 &amp; "." &amp; G181 &amp; "." &amp; H181 &amp; "." &amp; I181)))))))</f>
        <v>0</v>
      </c>
      <c r="L181" s="378" t="b">
        <f t="shared" ref="L181:L182" si="569">IF(K181="NÃO",IF($B181=2,D181&amp;"."&amp;J181,IF($B181=3,D181&amp;"."&amp;E181&amp;"."&amp;J181,IF($B181=4,D181&amp;"."&amp;E181&amp;"."&amp;F181&amp;"."&amp;J181,IF($B181=5,D181&amp;"."&amp;E181&amp;"."&amp;F181&amp;"."&amp;G181&amp;"."&amp;J181,IF($B181=6,D181&amp;"."&amp;E181&amp;"."&amp;F181&amp;"."&amp;G181&amp;"."&amp;H181&amp;"."&amp;J181,IF($B181=7,D181&amp;"."&amp;E181&amp;"."&amp;F181&amp;"."&amp;G181&amp;"."&amp;H181&amp;"."&amp;I181&amp;"."&amp;J181,"FALHA")))))),K181)</f>
        <v>0</v>
      </c>
      <c r="O181" s="192"/>
      <c r="P181" s="387"/>
      <c r="Q181" s="387"/>
      <c r="R181" s="377"/>
      <c r="S181" s="387"/>
      <c r="T181" s="363"/>
      <c r="U181" s="388"/>
      <c r="V181" s="389"/>
      <c r="W181" s="389"/>
      <c r="X181" s="389"/>
      <c r="Y181" s="390"/>
      <c r="AB181" s="642"/>
    </row>
    <row r="182" spans="2:28" s="75" customFormat="1" ht="16" thickBot="1">
      <c r="B182" s="75" t="str">
        <f t="shared" ca="1" si="562"/>
        <v>2</v>
      </c>
      <c r="C182" s="75" t="str">
        <f t="shared" si="394"/>
        <v>2</v>
      </c>
      <c r="D182" s="75">
        <f t="shared" ca="1" si="307"/>
        <v>10</v>
      </c>
      <c r="E182" s="75">
        <f t="shared" ca="1" si="563"/>
        <v>3</v>
      </c>
      <c r="F182" s="75" t="str">
        <f t="shared" ca="1" si="564"/>
        <v>0</v>
      </c>
      <c r="G182" s="75" t="str">
        <f t="shared" ca="1" si="565"/>
        <v>0</v>
      </c>
      <c r="H182" s="75" t="str">
        <f t="shared" ca="1" si="566"/>
        <v>0</v>
      </c>
      <c r="I182" s="75" t="str">
        <f t="shared" ca="1" si="567"/>
        <v>0</v>
      </c>
      <c r="J182" s="75" t="str">
        <f t="shared" ca="1" si="313"/>
        <v>0</v>
      </c>
      <c r="K182" s="75" t="str">
        <f t="shared" ca="1" si="568"/>
        <v>10.3</v>
      </c>
      <c r="L182" s="75" t="str">
        <f t="shared" ca="1" si="569"/>
        <v>10.3</v>
      </c>
      <c r="M182" s="55" t="s">
        <v>27861</v>
      </c>
      <c r="O182" s="191" t="str">
        <f t="shared" ref="O182" ca="1" si="570">L182</f>
        <v>10.3</v>
      </c>
      <c r="P182" s="172"/>
      <c r="Q182" s="172"/>
      <c r="R182" s="621" t="s">
        <v>41839</v>
      </c>
      <c r="S182" s="172"/>
      <c r="T182" s="194"/>
      <c r="U182" s="195"/>
      <c r="V182" s="196">
        <f ca="1">IF(VALUE(C182)=1,SUMIFS(V:V,D:D,D182,M:M,"Serviço"),IF(VALUE(C182)=2,SUMIFS(V:V,D:D,D182,E:E,E182,M:M,"Serviço"),IF(VALUE(C182)=3,SUMIFS(V:V,D:D,D182,E:E,E182,F:F,F182,M:M,"Serviço"),IF(VALUE(C182)=4,SUMIFS(V:V,D:D,D182,E:E,E182,F:F,F182,G:G,G182,M:M,"Serviço"),"ERRO"))))</f>
        <v>12867.28</v>
      </c>
      <c r="W182" s="197"/>
      <c r="X182" s="205"/>
      <c r="Y182" s="173">
        <f ca="1">IF(VALUE(C182)=1,SUMIFS(Y:Y,D:D,D182,M:M,"Serviço"),IF(VALUE(C182)=2,SUMIFS(Y:Y,D:D,D182,E:E,E182,M:M,"Serviço"),IF(VALUE(C182)=3,SUMIFS(Y:Y,D:D,D182,E:E,E182,F:F,F182,M:M,"Serviço"),IF(VALUE(C182)=4,SUMIFS(Y:Y,D:D,D182,E:E,E182,F:F,F182,G:G,G182,M:M,"Serviço"),"ERRO"))))</f>
        <v>15762.29</v>
      </c>
      <c r="AB182" s="641"/>
    </row>
    <row r="183" spans="2:28" s="55" customFormat="1">
      <c r="B183" s="378">
        <f t="shared" ref="B183" ca="1" si="571">IF(C183="S",IF(OFFSET(C183,-1,0)="S", OFFSET(B183,-1,0), OFFSET(B183,-1,0) +1 ), C183)</f>
        <v>3</v>
      </c>
      <c r="C183" s="378" t="str">
        <f t="shared" si="394"/>
        <v>S</v>
      </c>
      <c r="D183" s="378">
        <f t="shared" ca="1" si="307"/>
        <v>10</v>
      </c>
      <c r="E183" s="378">
        <f t="shared" ref="E183" ca="1" si="572">IF($C183="2",OFFSET(E183,-1,0) +1,IF(OFFSET(D183,-1,0)&lt;&gt;D183,"0",IF(OFFSET(E183,-1,0)="","0",OFFSET(E183,-1,0))))</f>
        <v>3</v>
      </c>
      <c r="F183" s="378" t="str">
        <f t="shared" ref="F183" ca="1" si="573">IF($C183="3",OFFSET(F183,-1,0) +1,IF(OFFSET(E183,-1,0)&lt;&gt;E183,"0",IF(OFFSET(F183,-1,0)="","0",OFFSET(F183,-1,0))))</f>
        <v>0</v>
      </c>
      <c r="G183" s="378" t="str">
        <f t="shared" ref="G183" ca="1" si="574">IF($C183="4",OFFSET(G183,-1,0) +1,IF(OFFSET(F183,-1,0)&lt;&gt;F183,"0",IF(OFFSET(G183,-1,0)="","0",OFFSET(G183,-1,0))))</f>
        <v>0</v>
      </c>
      <c r="H183" s="378" t="str">
        <f t="shared" ref="H183" ca="1" si="575">IF($C183="5",OFFSET(H183,-1,0) +1,IF(OFFSET(G183,-1,0)&lt;&gt;G183,"0",IF(OFFSET(H183,-1,0)="","0",OFFSET(H183,-1,0))))</f>
        <v>0</v>
      </c>
      <c r="I183" s="378" t="str">
        <f t="shared" ref="I183" ca="1" si="576">IF($C183="6",OFFSET(I183,-1,0) +1,IF(OFFSET(H183,-1,0)&lt;&gt;H183,"0",IF(OFFSET(I183,-1,0)="","0", OFFSET(I183,-1,0))))</f>
        <v>0</v>
      </c>
      <c r="J183" s="378">
        <f t="shared" ca="1" si="313"/>
        <v>1</v>
      </c>
      <c r="K183" s="378" t="str">
        <f t="shared" ref="K183" si="577">IF(C183="S","NÃO", IF(C183="1", D183, IF(C183="2", D183 &amp; "." &amp; E183,IF(C183="3", D183 &amp; "." &amp; E183 &amp; "." &amp; F183, IF(C183="4", D183 &amp; "." &amp; E183 &amp; "." &amp; F183 &amp; "." &amp; G183, IF(C183="5", D183 &amp; "." &amp; E183 &amp; "." &amp; F183 &amp; "." &amp; G183 &amp; "." &amp; H183, IF(C183="6", D183 &amp; "." &amp; E183 &amp; "." &amp; F183 &amp; "." &amp; G183 &amp; "." &amp; H183 &amp; "." &amp; I183)))))))</f>
        <v>NÃO</v>
      </c>
      <c r="L183" s="378" t="str">
        <f t="shared" ref="L183" ca="1" si="578">IF(K183="NÃO",IF($B183=2,D183&amp;"."&amp;J183,IF($B183=3,D183&amp;"."&amp;E183&amp;"."&amp;J183,IF($B183=4,D183&amp;"."&amp;E183&amp;"."&amp;F183&amp;"."&amp;J183,IF($B183=5,D183&amp;"."&amp;E183&amp;"."&amp;F183&amp;"."&amp;G183&amp;"."&amp;J183,IF($B183=6,D183&amp;"."&amp;E183&amp;"."&amp;F183&amp;"."&amp;G183&amp;"."&amp;H183&amp;"."&amp;J183,IF($B183=7,D183&amp;"."&amp;E183&amp;"."&amp;F183&amp;"."&amp;G183&amp;"."&amp;H183&amp;"."&amp;I183&amp;"."&amp;J183,"FALHA")))))),K183)</f>
        <v>10.3.1</v>
      </c>
      <c r="M183" s="55" t="s">
        <v>27868</v>
      </c>
      <c r="O183" s="392" t="str">
        <f t="shared" ref="O183" ca="1" si="579">L183</f>
        <v>10.3.1</v>
      </c>
      <c r="P183" s="413" t="s">
        <v>29901</v>
      </c>
      <c r="Q183" s="414" t="s">
        <v>13502</v>
      </c>
      <c r="R183" s="415" t="str">
        <f>UPPER(IF(P183="CDHU",VLOOKUP(Q183,'CDHU 201-SD'!$A$1:$J$28014,2,FALSE),IF(P183="FDE",VLOOKUP(Q183,'FDE 01-26-SD'!$A$1:$J$280013,2,FALSE),IF(P183="PRÓPRIA",VLOOKUP(Q183,COMPOSIÇÃO!$1:$1048576,3,FALSE),VLOOKUP(Q183,'SINAPI 04-26-SD'!$A$1:$H$272700,2,FALSE)))))</f>
        <v>PUXADOR DUPLO EM AÇO INOXIDÁVEL DE 300 MM, PARA PORTA</v>
      </c>
      <c r="S183" s="414" t="str">
        <f>UPPER(IF(P183="CDHU",VLOOKUP(Q183,'CDHU 201-SD'!$A$1:$J$28014,3,FALSE),IF(P183="FDE",VLOOKUP(Q183,'FDE 01-26-SD'!$A$1:$J$280013,3,FALSE),IF(P183="PRÓPRIA",VLOOKUP(Q183,COMPOSIÇÃO!$1:$1048576,7,FALSE),VLOOKUP(Q183,'SINAPI 04-26-SD'!$A$1:$H$272700,3,FALSE)))))</f>
        <v>UN</v>
      </c>
      <c r="T183" s="393">
        <f>VLOOKUP(Q183,ESQUADRIAS!$1:$1048576,12,FALSE)</f>
        <v>10</v>
      </c>
      <c r="U183" s="394">
        <f>TRUNC(IF(P183="CDHU",VLOOKUP(Q183,'CDHU 201-SD'!$A$1:$J$28014,6,FALSE),IF(P183="FDE",VLOOKUP(Q183,'FDE 01-26-SD'!$A$1:$J$280013,6,FALSE),IF(P183="PRÓPRIA",VLOOKUP(Q183,COMPOSIÇÃO!$1:$1048576,10,FALSE),VLOOKUP(Q183,'SINAPI 04-26-SD'!$A$1:$H$272700,4,FALSE)))),2)</f>
        <v>255.34</v>
      </c>
      <c r="V183" s="416">
        <f t="shared" ref="V183" si="580">TRUNC(U183*T183,2)</f>
        <v>2553.4</v>
      </c>
      <c r="W183" s="395">
        <f>IF($AA183="N",BDI!$D$26,IF($AA183="D",'BDI DIFE.'!$D$26,"ERRO"))</f>
        <v>0.22500000000000001</v>
      </c>
      <c r="X183" s="379">
        <f t="shared" ref="X183" si="581">TRUNC(U183*(1+W183),2)</f>
        <v>312.79000000000002</v>
      </c>
      <c r="Y183" s="380">
        <f t="shared" ref="Y183" si="582">TRUNC(T183*X183,2)</f>
        <v>3127.9</v>
      </c>
      <c r="Z183" s="381"/>
      <c r="AA183" s="378" t="s">
        <v>28044</v>
      </c>
      <c r="AB183" s="642"/>
    </row>
    <row r="184" spans="2:28" s="55" customFormat="1" ht="30">
      <c r="B184" s="378">
        <f t="shared" ref="B184:B196" ca="1" si="583">IF(C184="S",IF(OFFSET(C184,-1,0)="S", OFFSET(B184,-1,0), OFFSET(B184,-1,0) +1 ), C184)</f>
        <v>3</v>
      </c>
      <c r="C184" s="378" t="str">
        <f t="shared" si="394"/>
        <v>S</v>
      </c>
      <c r="D184" s="378">
        <f t="shared" ca="1" si="307"/>
        <v>10</v>
      </c>
      <c r="E184" s="378">
        <f t="shared" ref="E184:E196" ca="1" si="584">IF($C184="2",OFFSET(E184,-1,0) +1,IF(OFFSET(D184,-1,0)&lt;&gt;D184,"0",IF(OFFSET(E184,-1,0)="","0",OFFSET(E184,-1,0))))</f>
        <v>3</v>
      </c>
      <c r="F184" s="378" t="str">
        <f t="shared" ref="F184:F196" ca="1" si="585">IF($C184="3",OFFSET(F184,-1,0) +1,IF(OFFSET(E184,-1,0)&lt;&gt;E184,"0",IF(OFFSET(F184,-1,0)="","0",OFFSET(F184,-1,0))))</f>
        <v>0</v>
      </c>
      <c r="G184" s="378" t="str">
        <f t="shared" ref="G184:G196" ca="1" si="586">IF($C184="4",OFFSET(G184,-1,0) +1,IF(OFFSET(F184,-1,0)&lt;&gt;F184,"0",IF(OFFSET(G184,-1,0)="","0",OFFSET(G184,-1,0))))</f>
        <v>0</v>
      </c>
      <c r="H184" s="378" t="str">
        <f t="shared" ref="H184:H196" ca="1" si="587">IF($C184="5",OFFSET(H184,-1,0) +1,IF(OFFSET(G184,-1,0)&lt;&gt;G184,"0",IF(OFFSET(H184,-1,0)="","0",OFFSET(H184,-1,0))))</f>
        <v>0</v>
      </c>
      <c r="I184" s="378" t="str">
        <f t="shared" ref="I184:I196" ca="1" si="588">IF($C184="6",OFFSET(I184,-1,0) +1,IF(OFFSET(H184,-1,0)&lt;&gt;H184,"0",IF(OFFSET(I184,-1,0)="","0", OFFSET(I184,-1,0))))</f>
        <v>0</v>
      </c>
      <c r="J184" s="378">
        <f t="shared" ca="1" si="313"/>
        <v>2</v>
      </c>
      <c r="K184" s="378" t="str">
        <f t="shared" ref="K184:K196" si="589">IF(C184="S","NÃO", IF(C184="1", D184, IF(C184="2", D184 &amp; "." &amp; E184,IF(C184="3", D184 &amp; "." &amp; E184 &amp; "." &amp; F184, IF(C184="4", D184 &amp; "." &amp; E184 &amp; "." &amp; F184 &amp; "." &amp; G184, IF(C184="5", D184 &amp; "." &amp; E184 &amp; "." &amp; F184 &amp; "." &amp; G184 &amp; "." &amp; H184, IF(C184="6", D184 &amp; "." &amp; E184 &amp; "." &amp; F184 &amp; "." &amp; G184 &amp; "." &amp; H184 &amp; "." &amp; I184)))))))</f>
        <v>NÃO</v>
      </c>
      <c r="L184" s="378" t="str">
        <f t="shared" ref="L184:L196" ca="1" si="590">IF(K184="NÃO",IF($B184=2,D184&amp;"."&amp;J184,IF($B184=3,D184&amp;"."&amp;E184&amp;"."&amp;J184,IF($B184=4,D184&amp;"."&amp;E184&amp;"."&amp;F184&amp;"."&amp;J184,IF($B184=5,D184&amp;"."&amp;E184&amp;"."&amp;F184&amp;"."&amp;G184&amp;"."&amp;J184,IF($B184=6,D184&amp;"."&amp;E184&amp;"."&amp;F184&amp;"."&amp;G184&amp;"."&amp;H184&amp;"."&amp;J184,IF($B184=7,D184&amp;"."&amp;E184&amp;"."&amp;F184&amp;"."&amp;G184&amp;"."&amp;H184&amp;"."&amp;I184&amp;"."&amp;J184,"FALHA")))))),K184)</f>
        <v>10.3.2</v>
      </c>
      <c r="M184" s="55" t="s">
        <v>27868</v>
      </c>
      <c r="O184" s="392" t="str">
        <f t="shared" ref="O184:O186" ca="1" si="591">L184</f>
        <v>10.3.2</v>
      </c>
      <c r="P184" s="413" t="s">
        <v>29901</v>
      </c>
      <c r="Q184" s="414" t="s">
        <v>13415</v>
      </c>
      <c r="R184" s="415" t="str">
        <f>UPPER(IF(P184="CDHU",VLOOKUP(Q184,'CDHU 201-SD'!$A$1:$J$28014,2,FALSE),IF(P184="FDE",VLOOKUP(Q184,'FDE 01-26-SD'!$A$1:$J$280013,2,FALSE),IF(P184="PRÓPRIA",VLOOKUP(Q184,COMPOSIÇÃO!$1:$1048576,3,FALSE),VLOOKUP(Q184,'SINAPI 04-26-SD'!$A$1:$H$272700,2,FALSE)))))</f>
        <v>FERRAGEM COMPLETA COM MAÇANETA TIPO ALAVANCA, PARA PORTA INTERNA COM 1 FOLHA</v>
      </c>
      <c r="S184" s="414" t="str">
        <f>UPPER(IF(P184="CDHU",VLOOKUP(Q184,'CDHU 201-SD'!$A$1:$J$28014,3,FALSE),IF(P184="FDE",VLOOKUP(Q184,'FDE 01-26-SD'!$A$1:$J$280013,3,FALSE),IF(P184="PRÓPRIA",VLOOKUP(Q184,COMPOSIÇÃO!$1:$1048576,7,FALSE),VLOOKUP(Q184,'SINAPI 04-26-SD'!$A$1:$H$272700,3,FALSE)))))</f>
        <v>CJ</v>
      </c>
      <c r="T184" s="393">
        <f>VLOOKUP(Q184,ESQUADRIAS!$1:$1048576,12,FALSE)</f>
        <v>14</v>
      </c>
      <c r="U184" s="394">
        <f>TRUNC(IF(P184="CDHU",VLOOKUP(Q184,'CDHU 201-SD'!$A$1:$J$28014,6,FALSE),IF(P184="FDE",VLOOKUP(Q184,'FDE 01-26-SD'!$A$1:$J$280013,6,FALSE),IF(P184="PRÓPRIA",VLOOKUP(Q184,COMPOSIÇÃO!$1:$1048576,10,FALSE),VLOOKUP(Q184,'SINAPI 04-26-SD'!$A$1:$H$272700,4,FALSE)))),2)</f>
        <v>434.25</v>
      </c>
      <c r="V184" s="416">
        <f t="shared" ref="V184:V186" si="592">TRUNC(U184*T184,2)</f>
        <v>6079.5</v>
      </c>
      <c r="W184" s="395">
        <f>IF($AA184="N",BDI!$D$26,IF($AA184="D",'BDI DIFE.'!$D$26,"ERRO"))</f>
        <v>0.22500000000000001</v>
      </c>
      <c r="X184" s="379">
        <f t="shared" ref="X184:X186" si="593">TRUNC(U184*(1+W184),2)</f>
        <v>531.95000000000005</v>
      </c>
      <c r="Y184" s="380">
        <f t="shared" ref="Y184:Y186" si="594">TRUNC(T184*X184,2)</f>
        <v>7447.3</v>
      </c>
      <c r="Z184" s="381"/>
      <c r="AA184" s="378" t="s">
        <v>28044</v>
      </c>
      <c r="AB184" s="642"/>
    </row>
    <row r="185" spans="2:28" s="55" customFormat="1" ht="30">
      <c r="B185" s="378">
        <f t="shared" ref="B185" ca="1" si="595">IF(C185="S",IF(OFFSET(C185,-1,0)="S", OFFSET(B185,-1,0), OFFSET(B185,-1,0) +1 ), C185)</f>
        <v>3</v>
      </c>
      <c r="C185" s="378" t="str">
        <f t="shared" si="394"/>
        <v>S</v>
      </c>
      <c r="D185" s="378">
        <f t="shared" ca="1" si="307"/>
        <v>10</v>
      </c>
      <c r="E185" s="378">
        <f t="shared" ref="E185" ca="1" si="596">IF($C185="2",OFFSET(E185,-1,0) +1,IF(OFFSET(D185,-1,0)&lt;&gt;D185,"0",IF(OFFSET(E185,-1,0)="","0",OFFSET(E185,-1,0))))</f>
        <v>3</v>
      </c>
      <c r="F185" s="378" t="str">
        <f t="shared" ref="F185" ca="1" si="597">IF($C185="3",OFFSET(F185,-1,0) +1,IF(OFFSET(E185,-1,0)&lt;&gt;E185,"0",IF(OFFSET(F185,-1,0)="","0",OFFSET(F185,-1,0))))</f>
        <v>0</v>
      </c>
      <c r="G185" s="378" t="str">
        <f t="shared" ref="G185" ca="1" si="598">IF($C185="4",OFFSET(G185,-1,0) +1,IF(OFFSET(F185,-1,0)&lt;&gt;F185,"0",IF(OFFSET(G185,-1,0)="","0",OFFSET(G185,-1,0))))</f>
        <v>0</v>
      </c>
      <c r="H185" s="378" t="str">
        <f t="shared" ref="H185" ca="1" si="599">IF($C185="5",OFFSET(H185,-1,0) +1,IF(OFFSET(G185,-1,0)&lt;&gt;G185,"0",IF(OFFSET(H185,-1,0)="","0",OFFSET(H185,-1,0))))</f>
        <v>0</v>
      </c>
      <c r="I185" s="378" t="str">
        <f t="shared" ref="I185" ca="1" si="600">IF($C185="6",OFFSET(I185,-1,0) +1,IF(OFFSET(H185,-1,0)&lt;&gt;H185,"0",IF(OFFSET(I185,-1,0)="","0", OFFSET(I185,-1,0))))</f>
        <v>0</v>
      </c>
      <c r="J185" s="378">
        <f t="shared" ca="1" si="313"/>
        <v>3</v>
      </c>
      <c r="K185" s="378" t="str">
        <f t="shared" ref="K185" si="601">IF(C185="S","NÃO", IF(C185="1", D185, IF(C185="2", D185 &amp; "." &amp; E185,IF(C185="3", D185 &amp; "." &amp; E185 &amp; "." &amp; F185, IF(C185="4", D185 &amp; "." &amp; E185 &amp; "." &amp; F185 &amp; "." &amp; G185, IF(C185="5", D185 &amp; "." &amp; E185 &amp; "." &amp; F185 &amp; "." &amp; G185 &amp; "." &amp; H185, IF(C185="6", D185 &amp; "." &amp; E185 &amp; "." &amp; F185 &amp; "." &amp; G185 &amp; "." &amp; H185 &amp; "." &amp; I185)))))))</f>
        <v>NÃO</v>
      </c>
      <c r="L185" s="378" t="str">
        <f t="shared" ref="L185" ca="1" si="602">IF(K185="NÃO",IF($B185=2,D185&amp;"."&amp;J185,IF($B185=3,D185&amp;"."&amp;E185&amp;"."&amp;J185,IF($B185=4,D185&amp;"."&amp;E185&amp;"."&amp;F185&amp;"."&amp;J185,IF($B185=5,D185&amp;"."&amp;E185&amp;"."&amp;F185&amp;"."&amp;G185&amp;"."&amp;J185,IF($B185=6,D185&amp;"."&amp;E185&amp;"."&amp;F185&amp;"."&amp;G185&amp;"."&amp;H185&amp;"."&amp;J185,IF($B185=7,D185&amp;"."&amp;E185&amp;"."&amp;F185&amp;"."&amp;G185&amp;"."&amp;H185&amp;"."&amp;I185&amp;"."&amp;J185,"FALHA")))))),K185)</f>
        <v>10.3.3</v>
      </c>
      <c r="M185" s="55" t="s">
        <v>27868</v>
      </c>
      <c r="O185" s="392" t="str">
        <f t="shared" ref="O185" ca="1" si="603">L185</f>
        <v>10.3.3</v>
      </c>
      <c r="P185" s="413" t="s">
        <v>29901</v>
      </c>
      <c r="Q185" s="414" t="s">
        <v>13568</v>
      </c>
      <c r="R185" s="415" t="str">
        <f>UPPER(IF(P185="CDHU",VLOOKUP(Q185,'CDHU 201-SD'!$A$1:$J$28014,2,FALSE),IF(P185="FDE",VLOOKUP(Q185,'FDE 01-26-SD'!$A$1:$J$280013,2,FALSE),IF(P185="PRÓPRIA",VLOOKUP(Q185,COMPOSIÇÃO!$1:$1048576,3,FALSE),VLOOKUP(Q185,'SINAPI 04-26-SD'!$A$1:$H$272700,2,FALSE)))))</f>
        <v>BARRA DE APOIO RETA, PARA PESSOAS COM MOBILIDADE REDUZIDA, EM TUBO DE AÇO INOXIDÁVEL DE 1 1/4´ X 400 MM</v>
      </c>
      <c r="S185" s="414" t="str">
        <f>UPPER(IF(P185="CDHU",VLOOKUP(Q185,'CDHU 201-SD'!$A$1:$J$28014,3,FALSE),IF(P185="FDE",VLOOKUP(Q185,'FDE 01-26-SD'!$A$1:$J$280013,3,FALSE),IF(P185="PRÓPRIA",VLOOKUP(Q185,COMPOSIÇÃO!$1:$1048576,7,FALSE),VLOOKUP(Q185,'SINAPI 04-26-SD'!$A$1:$H$272700,3,FALSE)))))</f>
        <v>UN</v>
      </c>
      <c r="T185" s="393">
        <f>VLOOKUP(Q185,ESQUADRIAS!$1:$1048576,12,FALSE)</f>
        <v>6</v>
      </c>
      <c r="U185" s="394">
        <f>TRUNC(IF(P185="CDHU",VLOOKUP(Q185,'CDHU 201-SD'!$A$1:$J$28014,6,FALSE),IF(P185="FDE",VLOOKUP(Q185,'FDE 01-26-SD'!$A$1:$J$280013,6,FALSE),IF(P185="PRÓPRIA",VLOOKUP(Q185,COMPOSIÇÃO!$1:$1048576,10,FALSE),VLOOKUP(Q185,'SINAPI 04-26-SD'!$A$1:$H$272700,4,FALSE)))),2)</f>
        <v>171.13</v>
      </c>
      <c r="V185" s="416">
        <f t="shared" ref="V185" si="604">TRUNC(U185*T185,2)</f>
        <v>1026.78</v>
      </c>
      <c r="W185" s="395">
        <f>IF($AA185="N",BDI!$D$26,IF($AA185="D",'BDI DIFE.'!$D$26,"ERRO"))</f>
        <v>0.22500000000000001</v>
      </c>
      <c r="X185" s="379">
        <f t="shared" ref="X185" si="605">TRUNC(U185*(1+W185),2)</f>
        <v>209.63</v>
      </c>
      <c r="Y185" s="380">
        <f t="shared" ref="Y185" si="606">TRUNC(T185*X185,2)</f>
        <v>1257.78</v>
      </c>
      <c r="Z185" s="381"/>
      <c r="AA185" s="378" t="s">
        <v>28044</v>
      </c>
      <c r="AB185" s="642"/>
    </row>
    <row r="186" spans="2:28" s="55" customFormat="1" ht="31" thickBot="1">
      <c r="B186" s="378">
        <f t="shared" ca="1" si="583"/>
        <v>3</v>
      </c>
      <c r="C186" s="378" t="str">
        <f t="shared" si="394"/>
        <v>S</v>
      </c>
      <c r="D186" s="378">
        <f t="shared" ca="1" si="307"/>
        <v>10</v>
      </c>
      <c r="E186" s="378">
        <f t="shared" ca="1" si="584"/>
        <v>3</v>
      </c>
      <c r="F186" s="378" t="str">
        <f t="shared" ca="1" si="585"/>
        <v>0</v>
      </c>
      <c r="G186" s="378" t="str">
        <f t="shared" ca="1" si="586"/>
        <v>0</v>
      </c>
      <c r="H186" s="378" t="str">
        <f t="shared" ca="1" si="587"/>
        <v>0</v>
      </c>
      <c r="I186" s="378" t="str">
        <f t="shared" ca="1" si="588"/>
        <v>0</v>
      </c>
      <c r="J186" s="378">
        <f t="shared" ca="1" si="313"/>
        <v>4</v>
      </c>
      <c r="K186" s="378" t="str">
        <f t="shared" si="589"/>
        <v>NÃO</v>
      </c>
      <c r="L186" s="378" t="str">
        <f t="shared" ca="1" si="590"/>
        <v>10.3.4</v>
      </c>
      <c r="M186" s="55" t="s">
        <v>27868</v>
      </c>
      <c r="O186" s="392" t="str">
        <f t="shared" ca="1" si="591"/>
        <v>10.3.4</v>
      </c>
      <c r="P186" s="413" t="s">
        <v>29901</v>
      </c>
      <c r="Q186" s="414" t="s">
        <v>13586</v>
      </c>
      <c r="R186" s="415" t="str">
        <f>UPPER(IF(P186="CDHU",VLOOKUP(Q186,'CDHU 201-SD'!$A$1:$J$28014,2,FALSE),IF(P186="FDE",VLOOKUP(Q186,'FDE 01-26-SD'!$A$1:$J$280013,2,FALSE),IF(P186="PRÓPRIA",VLOOKUP(Q186,COMPOSIÇÃO!$1:$1048576,3,FALSE),VLOOKUP(Q186,'SINAPI 04-26-SD'!$A$1:$H$272700,2,FALSE)))))</f>
        <v>REVESTIMENTO EM CHAPA DE AÇO INOXIDÁVEL PARA PROTEÇÃO DE PORTAS, ALTURA DE 40 CM</v>
      </c>
      <c r="S186" s="414" t="str">
        <f>UPPER(IF(P186="CDHU",VLOOKUP(Q186,'CDHU 201-SD'!$A$1:$J$28014,3,FALSE),IF(P186="FDE",VLOOKUP(Q186,'FDE 01-26-SD'!$A$1:$J$280013,3,FALSE),IF(P186="PRÓPRIA",VLOOKUP(Q186,COMPOSIÇÃO!$1:$1048576,7,FALSE),VLOOKUP(Q186,'SINAPI 04-26-SD'!$A$1:$H$272700,3,FALSE)))))</f>
        <v>M</v>
      </c>
      <c r="T186" s="393">
        <f>VLOOKUP(Q186,ESQUADRIAS!$1:$1048576,12,FALSE)</f>
        <v>5.4</v>
      </c>
      <c r="U186" s="394">
        <f>TRUNC(IF(P186="CDHU",VLOOKUP(Q186,'CDHU 201-SD'!$A$1:$J$28014,6,FALSE),IF(P186="FDE",VLOOKUP(Q186,'FDE 01-26-SD'!$A$1:$J$280013,6,FALSE),IF(P186="PRÓPRIA",VLOOKUP(Q186,COMPOSIÇÃO!$1:$1048576,10,FALSE),VLOOKUP(Q186,'SINAPI 04-26-SD'!$A$1:$H$272700,4,FALSE)))),2)</f>
        <v>594</v>
      </c>
      <c r="V186" s="416">
        <f t="shared" si="592"/>
        <v>3207.6</v>
      </c>
      <c r="W186" s="395">
        <f>IF($AA186="N",BDI!$D$26,IF($AA186="D",'BDI DIFE.'!$D$26,"ERRO"))</f>
        <v>0.22500000000000001</v>
      </c>
      <c r="X186" s="379">
        <f t="shared" si="593"/>
        <v>727.65</v>
      </c>
      <c r="Y186" s="380">
        <f t="shared" si="594"/>
        <v>3929.31</v>
      </c>
      <c r="Z186" s="381"/>
      <c r="AA186" s="378" t="s">
        <v>28044</v>
      </c>
      <c r="AB186" s="642"/>
    </row>
    <row r="187" spans="2:28" s="55" customFormat="1" ht="16" thickBot="1">
      <c r="B187" s="378" t="str">
        <f t="shared" ca="1" si="583"/>
        <v/>
      </c>
      <c r="C187" s="378" t="str">
        <f>IF(RIGHT($M187) = "o", "S", RIGHT($M187))</f>
        <v/>
      </c>
      <c r="D187" s="378">
        <f t="shared" ca="1" si="307"/>
        <v>10</v>
      </c>
      <c r="E187" s="378">
        <f t="shared" ca="1" si="584"/>
        <v>3</v>
      </c>
      <c r="F187" s="378" t="str">
        <f t="shared" ca="1" si="585"/>
        <v>0</v>
      </c>
      <c r="G187" s="378" t="str">
        <f t="shared" ca="1" si="586"/>
        <v>0</v>
      </c>
      <c r="H187" s="378" t="str">
        <f t="shared" ca="1" si="587"/>
        <v>0</v>
      </c>
      <c r="I187" s="378" t="str">
        <f t="shared" ca="1" si="588"/>
        <v>0</v>
      </c>
      <c r="J187" s="378" t="str">
        <f t="shared" ca="1" si="313"/>
        <v>0</v>
      </c>
      <c r="K187" s="378" t="b">
        <f t="shared" si="589"/>
        <v>0</v>
      </c>
      <c r="L187" s="378" t="b">
        <f t="shared" si="590"/>
        <v>0</v>
      </c>
      <c r="O187" s="192"/>
      <c r="P187" s="387"/>
      <c r="Q187" s="387"/>
      <c r="R187" s="377"/>
      <c r="S187" s="387"/>
      <c r="T187" s="363"/>
      <c r="U187" s="388"/>
      <c r="V187" s="389"/>
      <c r="W187" s="389"/>
      <c r="X187" s="389"/>
      <c r="Y187" s="390"/>
      <c r="AA187" s="378"/>
      <c r="AB187" s="642"/>
    </row>
    <row r="188" spans="2:28" s="75" customFormat="1" ht="16" thickBot="1">
      <c r="B188" s="75" t="str">
        <f t="shared" ca="1" si="583"/>
        <v>1</v>
      </c>
      <c r="C188" s="75" t="str">
        <f t="shared" si="394"/>
        <v>1</v>
      </c>
      <c r="D188" s="75">
        <f t="shared" ca="1" si="307"/>
        <v>11</v>
      </c>
      <c r="E188" s="75" t="str">
        <f t="shared" ca="1" si="584"/>
        <v>0</v>
      </c>
      <c r="F188" s="75" t="str">
        <f t="shared" ca="1" si="585"/>
        <v>0</v>
      </c>
      <c r="G188" s="75" t="str">
        <f t="shared" ca="1" si="586"/>
        <v>0</v>
      </c>
      <c r="H188" s="75" t="str">
        <f t="shared" ca="1" si="587"/>
        <v>0</v>
      </c>
      <c r="I188" s="75" t="str">
        <f t="shared" ca="1" si="588"/>
        <v>0</v>
      </c>
      <c r="J188" s="75" t="str">
        <f t="shared" ca="1" si="313"/>
        <v>0</v>
      </c>
      <c r="K188" s="75">
        <f t="shared" ca="1" si="589"/>
        <v>11</v>
      </c>
      <c r="L188" s="75">
        <f t="shared" ca="1" si="590"/>
        <v>11</v>
      </c>
      <c r="M188" s="55" t="s">
        <v>27859</v>
      </c>
      <c r="O188" s="191">
        <f t="shared" ref="O188:O192" ca="1" si="607">L188</f>
        <v>11</v>
      </c>
      <c r="P188" s="172"/>
      <c r="Q188" s="172"/>
      <c r="R188" s="621" t="s">
        <v>41840</v>
      </c>
      <c r="S188" s="172"/>
      <c r="T188" s="194"/>
      <c r="U188" s="195"/>
      <c r="V188" s="196">
        <f ca="1">IF(VALUE(C188)=1,SUMIFS(V:V,D:D,D188,M:M,"Serviço"),IF(VALUE(C188)=2,SUMIFS(V:V,D:D,D188,E:E,E188,M:M,"Serviço"),IF(VALUE(C188)=3,SUMIFS(V:V,D:D,D188,E:E,E188,F:F,F188,M:M,"Serviço"),IF(VALUE(C188)=4,SUMIFS(V:V,D:D,D188,E:E,E188,F:F,F188,G:G,G188,M:M,"Serviço"),"ERRO"))))</f>
        <v>88381.69</v>
      </c>
      <c r="W188" s="197"/>
      <c r="X188" s="205"/>
      <c r="Y188" s="173">
        <f ca="1">IF(VALUE(C188)=1,SUMIFS(Y:Y,D:D,D188,M:M,"Serviço"),IF(VALUE(C188)=2,SUMIFS(Y:Y,D:D,D188,E:E,E188,M:M,"Serviço"),IF(VALUE(C188)=3,SUMIFS(Y:Y,D:D,D188,E:E,E188,F:F,F188,M:M,"Serviço"),IF(VALUE(C188)=4,SUMIFS(Y:Y,D:D,D188,E:E,E188,F:F,F188,G:G,G188,M:M,"Serviço"),"ERRO"))))</f>
        <v>108249.68999999999</v>
      </c>
      <c r="AB188" s="641"/>
    </row>
    <row r="189" spans="2:28" s="75" customFormat="1" ht="16" thickBot="1">
      <c r="B189" s="75" t="str">
        <f t="shared" ca="1" si="583"/>
        <v>2</v>
      </c>
      <c r="C189" s="75" t="str">
        <f t="shared" si="394"/>
        <v>2</v>
      </c>
      <c r="D189" s="75">
        <f t="shared" ca="1" si="307"/>
        <v>11</v>
      </c>
      <c r="E189" s="75">
        <f t="shared" ca="1" si="584"/>
        <v>1</v>
      </c>
      <c r="F189" s="75" t="str">
        <f t="shared" ca="1" si="585"/>
        <v>0</v>
      </c>
      <c r="G189" s="75" t="str">
        <f t="shared" ca="1" si="586"/>
        <v>0</v>
      </c>
      <c r="H189" s="75" t="str">
        <f t="shared" ca="1" si="587"/>
        <v>0</v>
      </c>
      <c r="I189" s="75" t="str">
        <f t="shared" ca="1" si="588"/>
        <v>0</v>
      </c>
      <c r="J189" s="75" t="str">
        <f t="shared" ca="1" si="313"/>
        <v>0</v>
      </c>
      <c r="K189" s="75" t="str">
        <f t="shared" ca="1" si="589"/>
        <v>11.1</v>
      </c>
      <c r="L189" s="75" t="str">
        <f t="shared" ca="1" si="590"/>
        <v>11.1</v>
      </c>
      <c r="M189" s="55" t="s">
        <v>27861</v>
      </c>
      <c r="O189" s="191" t="str">
        <f t="shared" ca="1" si="607"/>
        <v>11.1</v>
      </c>
      <c r="P189" s="172"/>
      <c r="Q189" s="172"/>
      <c r="R189" s="621" t="s">
        <v>41841</v>
      </c>
      <c r="S189" s="172"/>
      <c r="T189" s="194"/>
      <c r="U189" s="195"/>
      <c r="V189" s="196">
        <f ca="1">IF(VALUE(C189)=1,SUMIFS(V:V,D:D,D189,M:M,"Serviço"),IF(VALUE(C189)=2,SUMIFS(V:V,D:D,D189,E:E,E189,M:M,"Serviço"),IF(VALUE(C189)=3,SUMIFS(V:V,D:D,D189,E:E,E189,F:F,F189,M:M,"Serviço"),IF(VALUE(C189)=4,SUMIFS(V:V,D:D,D189,E:E,E189,F:F,F189,G:G,G189,M:M,"Serviço"),"ERRO"))))</f>
        <v>70148.17</v>
      </c>
      <c r="W189" s="197"/>
      <c r="X189" s="205"/>
      <c r="Y189" s="173">
        <f ca="1">IF(VALUE(C189)=1,SUMIFS(Y:Y,D:D,D189,M:M,"Serviço"),IF(VALUE(C189)=2,SUMIFS(Y:Y,D:D,D189,E:E,E189,M:M,"Serviço"),IF(VALUE(C189)=3,SUMIFS(Y:Y,D:D,D189,E:E,E189,F:F,F189,M:M,"Serviço"),IF(VALUE(C189)=4,SUMIFS(Y:Y,D:D,D189,E:E,E189,F:F,F189,G:G,G189,M:M,"Serviço"),"ERRO"))))</f>
        <v>85917.119999999995</v>
      </c>
      <c r="AB189" s="641"/>
    </row>
    <row r="190" spans="2:28" s="55" customFormat="1">
      <c r="B190" s="378">
        <f t="shared" ref="B190:B191" ca="1" si="608">IF(C190="S",IF(OFFSET(C190,-1,0)="S", OFFSET(B190,-1,0), OFFSET(B190,-1,0) +1 ), C190)</f>
        <v>3</v>
      </c>
      <c r="C190" s="378" t="str">
        <f t="shared" si="394"/>
        <v>S</v>
      </c>
      <c r="D190" s="378">
        <f t="shared" ca="1" si="307"/>
        <v>11</v>
      </c>
      <c r="E190" s="378">
        <f t="shared" ref="E190:E191" ca="1" si="609">IF($C190="2",OFFSET(E190,-1,0) +1,IF(OFFSET(D190,-1,0)&lt;&gt;D190,"0",IF(OFFSET(E190,-1,0)="","0",OFFSET(E190,-1,0))))</f>
        <v>1</v>
      </c>
      <c r="F190" s="378" t="str">
        <f t="shared" ref="F190:F191" ca="1" si="610">IF($C190="3",OFFSET(F190,-1,0) +1,IF(OFFSET(E190,-1,0)&lt;&gt;E190,"0",IF(OFFSET(F190,-1,0)="","0",OFFSET(F190,-1,0))))</f>
        <v>0</v>
      </c>
      <c r="G190" s="378" t="str">
        <f t="shared" ref="G190:G191" ca="1" si="611">IF($C190="4",OFFSET(G190,-1,0) +1,IF(OFFSET(F190,-1,0)&lt;&gt;F190,"0",IF(OFFSET(G190,-1,0)="","0",OFFSET(G190,-1,0))))</f>
        <v>0</v>
      </c>
      <c r="H190" s="378" t="str">
        <f t="shared" ref="H190:H191" ca="1" si="612">IF($C190="5",OFFSET(H190,-1,0) +1,IF(OFFSET(G190,-1,0)&lt;&gt;G190,"0",IF(OFFSET(H190,-1,0)="","0",OFFSET(H190,-1,0))))</f>
        <v>0</v>
      </c>
      <c r="I190" s="378" t="str">
        <f t="shared" ref="I190:I191" ca="1" si="613">IF($C190="6",OFFSET(I190,-1,0) +1,IF(OFFSET(H190,-1,0)&lt;&gt;H190,"0",IF(OFFSET(I190,-1,0)="","0", OFFSET(I190,-1,0))))</f>
        <v>0</v>
      </c>
      <c r="J190" s="378">
        <f t="shared" ca="1" si="313"/>
        <v>1</v>
      </c>
      <c r="K190" s="378" t="str">
        <f t="shared" ref="K190:K191" si="614">IF(C190="S","NÃO", IF(C190="1", D190, IF(C190="2", D190 &amp; "." &amp; E190,IF(C190="3", D190 &amp; "." &amp; E190 &amp; "." &amp; F190, IF(C190="4", D190 &amp; "." &amp; E190 &amp; "." &amp; F190 &amp; "." &amp; G190, IF(C190="5", D190 &amp; "." &amp; E190 &amp; "." &amp; F190 &amp; "." &amp; G190 &amp; "." &amp; H190, IF(C190="6", D190 &amp; "." &amp; E190 &amp; "." &amp; F190 &amp; "." &amp; G190 &amp; "." &amp; H190 &amp; "." &amp; I190)))))))</f>
        <v>NÃO</v>
      </c>
      <c r="L190" s="378" t="str">
        <f t="shared" ref="L190:L191" ca="1" si="615">IF(K190="NÃO",IF($B190=2,D190&amp;"."&amp;J190,IF($B190=3,D190&amp;"."&amp;E190&amp;"."&amp;J190,IF($B190=4,D190&amp;"."&amp;E190&amp;"."&amp;F190&amp;"."&amp;J190,IF($B190=5,D190&amp;"."&amp;E190&amp;"."&amp;F190&amp;"."&amp;G190&amp;"."&amp;J190,IF($B190=6,D190&amp;"."&amp;E190&amp;"."&amp;F190&amp;"."&amp;G190&amp;"."&amp;H190&amp;"."&amp;J190,IF($B190=7,D190&amp;"."&amp;E190&amp;"."&amp;F190&amp;"."&amp;G190&amp;"."&amp;H190&amp;"."&amp;I190&amp;"."&amp;J190,"FALHA")))))),K190)</f>
        <v>11.1.1</v>
      </c>
      <c r="M190" s="55" t="s">
        <v>27868</v>
      </c>
      <c r="O190" s="392" t="str">
        <f t="shared" ref="O190:O191" ca="1" si="616">L190</f>
        <v>11.1.1</v>
      </c>
      <c r="P190" s="413" t="s">
        <v>29901</v>
      </c>
      <c r="Q190" s="414" t="s">
        <v>12316</v>
      </c>
      <c r="R190" s="415" t="str">
        <f>UPPER(IF(P190="CDHU",VLOOKUP(Q190,'CDHU 201-SD'!$A$1:$J$28014,2,FALSE),IF(P190="FDE",VLOOKUP(Q190,'FDE 01-26-SD'!$A$1:$J$280013,2,FALSE),IF(P190="PRÓPRIA",VLOOKUP(Q190,COMPOSIÇÃO!$1:$1048576,3,FALSE),VLOOKUP(Q190,'SINAPI 04-26-SD'!$A$1:$H$272700,2,FALSE)))))</f>
        <v>CHAPISCO</v>
      </c>
      <c r="S190" s="414" t="str">
        <f>UPPER(IF(P190="CDHU",VLOOKUP(Q190,'CDHU 201-SD'!$A$1:$J$28014,3,FALSE),IF(P190="FDE",VLOOKUP(Q190,'FDE 01-26-SD'!$A$1:$J$280013,3,FALSE),IF(P190="PRÓPRIA",VLOOKUP(Q190,COMPOSIÇÃO!$1:$1048576,7,FALSE),VLOOKUP(Q190,'SINAPI 04-26-SD'!$A$1:$H$272700,3,FALSE)))))</f>
        <v>M2</v>
      </c>
      <c r="T190" s="393">
        <f>VLOOKUP(Q190,'REVESTIMENTOS DE PAREDES'!$1:$1048576,12,FALSE)</f>
        <v>1457.6200000000001</v>
      </c>
      <c r="U190" s="394">
        <f>TRUNC(IF(P190="CDHU",VLOOKUP(Q190,'CDHU 201-SD'!$A$1:$J$28014,6,FALSE),IF(P190="FDE",VLOOKUP(Q190,'FDE 01-26-SD'!$A$1:$J$280013,6,FALSE),IF(P190="PRÓPRIA",VLOOKUP(Q190,COMPOSIÇÃO!$1:$1048576,10,FALSE),VLOOKUP(Q190,'SINAPI 04-26-SD'!$A$1:$H$272700,4,FALSE)))),2)</f>
        <v>7.8</v>
      </c>
      <c r="V190" s="416">
        <f t="shared" ref="V190:V191" si="617">TRUNC(U190*T190,2)</f>
        <v>11369.43</v>
      </c>
      <c r="W190" s="395">
        <f>IF($AA190="N",BDI!$D$26,IF($AA190="D",'BDI DIFE.'!$D$26,"ERRO"))</f>
        <v>0.22500000000000001</v>
      </c>
      <c r="X190" s="379">
        <f t="shared" ref="X190:X191" si="618">TRUNC(U190*(1+W190),2)</f>
        <v>9.5500000000000007</v>
      </c>
      <c r="Y190" s="380">
        <f t="shared" ref="Y190:Y191" si="619">TRUNC(T190*X190,2)</f>
        <v>13920.27</v>
      </c>
      <c r="Z190" s="381"/>
      <c r="AA190" s="378" t="s">
        <v>28044</v>
      </c>
      <c r="AB190" s="642"/>
    </row>
    <row r="191" spans="2:28" s="55" customFormat="1">
      <c r="B191" s="378">
        <f t="shared" ca="1" si="608"/>
        <v>3</v>
      </c>
      <c r="C191" s="378" t="str">
        <f t="shared" si="394"/>
        <v>S</v>
      </c>
      <c r="D191" s="378">
        <f t="shared" ca="1" si="307"/>
        <v>11</v>
      </c>
      <c r="E191" s="378">
        <f t="shared" ca="1" si="609"/>
        <v>1</v>
      </c>
      <c r="F191" s="378" t="str">
        <f t="shared" ca="1" si="610"/>
        <v>0</v>
      </c>
      <c r="G191" s="378" t="str">
        <f t="shared" ca="1" si="611"/>
        <v>0</v>
      </c>
      <c r="H191" s="378" t="str">
        <f t="shared" ca="1" si="612"/>
        <v>0</v>
      </c>
      <c r="I191" s="378" t="str">
        <f t="shared" ca="1" si="613"/>
        <v>0</v>
      </c>
      <c r="J191" s="378">
        <f t="shared" ca="1" si="313"/>
        <v>2</v>
      </c>
      <c r="K191" s="378" t="str">
        <f t="shared" si="614"/>
        <v>NÃO</v>
      </c>
      <c r="L191" s="378" t="str">
        <f t="shared" ca="1" si="615"/>
        <v>11.1.2</v>
      </c>
      <c r="M191" s="55" t="s">
        <v>27868</v>
      </c>
      <c r="O191" s="392" t="str">
        <f t="shared" ca="1" si="616"/>
        <v>11.1.2</v>
      </c>
      <c r="P191" s="413" t="s">
        <v>29901</v>
      </c>
      <c r="Q191" s="414" t="s">
        <v>12326</v>
      </c>
      <c r="R191" s="415" t="str">
        <f>UPPER(IF(P191="CDHU",VLOOKUP(Q191,'CDHU 201-SD'!$A$1:$J$28014,2,FALSE),IF(P191="FDE",VLOOKUP(Q191,'FDE 01-26-SD'!$A$1:$J$280013,2,FALSE),IF(P191="PRÓPRIA",VLOOKUP(Q191,COMPOSIÇÃO!$1:$1048576,3,FALSE),VLOOKUP(Q191,'SINAPI 04-26-SD'!$A$1:$H$272700,2,FALSE)))))</f>
        <v>EMBOÇO COMUM</v>
      </c>
      <c r="S191" s="414" t="str">
        <f>UPPER(IF(P191="CDHU",VLOOKUP(Q191,'CDHU 201-SD'!$A$1:$J$28014,3,FALSE),IF(P191="FDE",VLOOKUP(Q191,'FDE 01-26-SD'!$A$1:$J$280013,3,FALSE),IF(P191="PRÓPRIA",VLOOKUP(Q191,COMPOSIÇÃO!$1:$1048576,7,FALSE),VLOOKUP(Q191,'SINAPI 04-26-SD'!$A$1:$H$272700,3,FALSE)))))</f>
        <v>M2</v>
      </c>
      <c r="T191" s="393">
        <f>VLOOKUP(Q191,'REVESTIMENTOS DE PAREDES'!$1:$1048576,12,FALSE)</f>
        <v>1495.2620000000002</v>
      </c>
      <c r="U191" s="394">
        <f>TRUNC(IF(P191="CDHU",VLOOKUP(Q191,'CDHU 201-SD'!$A$1:$J$28014,6,FALSE),IF(P191="FDE",VLOOKUP(Q191,'FDE 01-26-SD'!$A$1:$J$280013,6,FALSE),IF(P191="PRÓPRIA",VLOOKUP(Q191,COMPOSIÇÃO!$1:$1048576,10,FALSE),VLOOKUP(Q191,'SINAPI 04-26-SD'!$A$1:$H$272700,4,FALSE)))),2)</f>
        <v>24.76</v>
      </c>
      <c r="V191" s="416">
        <f t="shared" si="617"/>
        <v>37022.68</v>
      </c>
      <c r="W191" s="395">
        <f>IF($AA191="N",BDI!$D$26,IF($AA191="D",'BDI DIFE.'!$D$26,"ERRO"))</f>
        <v>0.22500000000000001</v>
      </c>
      <c r="X191" s="379">
        <f t="shared" si="618"/>
        <v>30.33</v>
      </c>
      <c r="Y191" s="380">
        <f t="shared" si="619"/>
        <v>45351.29</v>
      </c>
      <c r="Z191" s="381"/>
      <c r="AA191" s="378" t="s">
        <v>28044</v>
      </c>
      <c r="AB191" s="642"/>
    </row>
    <row r="192" spans="2:28" s="55" customFormat="1" ht="16" thickBot="1">
      <c r="B192" s="378">
        <f t="shared" ca="1" si="583"/>
        <v>3</v>
      </c>
      <c r="C192" s="378" t="str">
        <f t="shared" si="394"/>
        <v>S</v>
      </c>
      <c r="D192" s="378">
        <f t="shared" ca="1" si="307"/>
        <v>11</v>
      </c>
      <c r="E192" s="378">
        <f t="shared" ca="1" si="584"/>
        <v>1</v>
      </c>
      <c r="F192" s="378" t="str">
        <f t="shared" ca="1" si="585"/>
        <v>0</v>
      </c>
      <c r="G192" s="378" t="str">
        <f t="shared" ca="1" si="586"/>
        <v>0</v>
      </c>
      <c r="H192" s="378" t="str">
        <f t="shared" ca="1" si="587"/>
        <v>0</v>
      </c>
      <c r="I192" s="378" t="str">
        <f t="shared" ca="1" si="588"/>
        <v>0</v>
      </c>
      <c r="J192" s="378">
        <f t="shared" ca="1" si="313"/>
        <v>3</v>
      </c>
      <c r="K192" s="378" t="str">
        <f t="shared" si="589"/>
        <v>NÃO</v>
      </c>
      <c r="L192" s="378" t="str">
        <f t="shared" ca="1" si="590"/>
        <v>11.1.3</v>
      </c>
      <c r="M192" s="55" t="s">
        <v>27868</v>
      </c>
      <c r="O192" s="392" t="str">
        <f t="shared" ca="1" si="607"/>
        <v>11.1.3</v>
      </c>
      <c r="P192" s="413" t="s">
        <v>29901</v>
      </c>
      <c r="Q192" s="414" t="s">
        <v>12332</v>
      </c>
      <c r="R192" s="415" t="str">
        <f>UPPER(IF(P192="CDHU",VLOOKUP(Q192,'CDHU 201-SD'!$A$1:$J$28014,2,FALSE),IF(P192="FDE",VLOOKUP(Q192,'FDE 01-26-SD'!$A$1:$J$280013,2,FALSE),IF(P192="PRÓPRIA",VLOOKUP(Q192,COMPOSIÇÃO!$1:$1048576,3,FALSE),VLOOKUP(Q192,'SINAPI 04-26-SD'!$A$1:$H$272700,2,FALSE)))))</f>
        <v>REBOCO</v>
      </c>
      <c r="S192" s="414" t="str">
        <f>UPPER(IF(P192="CDHU",VLOOKUP(Q192,'CDHU 201-SD'!$A$1:$J$28014,3,FALSE),IF(P192="FDE",VLOOKUP(Q192,'FDE 01-26-SD'!$A$1:$J$280013,3,FALSE),IF(P192="PRÓPRIA",VLOOKUP(Q192,COMPOSIÇÃO!$1:$1048576,7,FALSE),VLOOKUP(Q192,'SINAPI 04-26-SD'!$A$1:$H$272700,3,FALSE)))))</f>
        <v>M2</v>
      </c>
      <c r="T192" s="393">
        <f>VLOOKUP(Q192,'REVESTIMENTOS DE PAREDES'!$1:$1048576,12,FALSE)</f>
        <v>1495.2620000000002</v>
      </c>
      <c r="U192" s="394">
        <f>TRUNC(IF(P192="CDHU",VLOOKUP(Q192,'CDHU 201-SD'!$A$1:$J$28014,6,FALSE),IF(P192="FDE",VLOOKUP(Q192,'FDE 01-26-SD'!$A$1:$J$280013,6,FALSE),IF(P192="PRÓPRIA",VLOOKUP(Q192,COMPOSIÇÃO!$1:$1048576,10,FALSE),VLOOKUP(Q192,'SINAPI 04-26-SD'!$A$1:$H$272700,4,FALSE)))),2)</f>
        <v>14.55</v>
      </c>
      <c r="V192" s="416">
        <f t="shared" ref="V192" si="620">TRUNC(U192*T192,2)</f>
        <v>21756.06</v>
      </c>
      <c r="W192" s="395">
        <f>IF($AA192="N",BDI!$D$26,IF($AA192="D",'BDI DIFE.'!$D$26,"ERRO"))</f>
        <v>0.22500000000000001</v>
      </c>
      <c r="X192" s="379">
        <f t="shared" ref="X192" si="621">TRUNC(U192*(1+W192),2)</f>
        <v>17.82</v>
      </c>
      <c r="Y192" s="380">
        <f t="shared" ref="Y192" si="622">TRUNC(T192*X192,2)</f>
        <v>26645.56</v>
      </c>
      <c r="Z192" s="381"/>
      <c r="AA192" s="378" t="s">
        <v>28044</v>
      </c>
      <c r="AB192" s="642"/>
    </row>
    <row r="193" spans="2:28" s="55" customFormat="1" ht="16" thickBot="1">
      <c r="B193" s="378" t="str">
        <f t="shared" ca="1" si="583"/>
        <v/>
      </c>
      <c r="C193" s="378" t="str">
        <f t="shared" si="394"/>
        <v/>
      </c>
      <c r="D193" s="378">
        <f t="shared" ca="1" si="307"/>
        <v>11</v>
      </c>
      <c r="E193" s="378">
        <f t="shared" ca="1" si="584"/>
        <v>1</v>
      </c>
      <c r="F193" s="378" t="str">
        <f t="shared" ca="1" si="585"/>
        <v>0</v>
      </c>
      <c r="G193" s="378" t="str">
        <f t="shared" ca="1" si="586"/>
        <v>0</v>
      </c>
      <c r="H193" s="378" t="str">
        <f t="shared" ca="1" si="587"/>
        <v>0</v>
      </c>
      <c r="I193" s="378" t="str">
        <f t="shared" ca="1" si="588"/>
        <v>0</v>
      </c>
      <c r="J193" s="378" t="str">
        <f t="shared" ca="1" si="313"/>
        <v>0</v>
      </c>
      <c r="K193" s="378" t="b">
        <f t="shared" si="589"/>
        <v>0</v>
      </c>
      <c r="L193" s="378" t="b">
        <f t="shared" si="590"/>
        <v>0</v>
      </c>
      <c r="O193" s="192"/>
      <c r="P193" s="387"/>
      <c r="Q193" s="387"/>
      <c r="R193" s="377"/>
      <c r="S193" s="387"/>
      <c r="T193" s="363"/>
      <c r="U193" s="388"/>
      <c r="V193" s="389"/>
      <c r="W193" s="389"/>
      <c r="X193" s="389"/>
      <c r="Y193" s="390"/>
      <c r="AB193" s="642"/>
    </row>
    <row r="194" spans="2:28" s="75" customFormat="1" ht="16" thickBot="1">
      <c r="B194" s="75" t="str">
        <f t="shared" ca="1" si="583"/>
        <v>2</v>
      </c>
      <c r="C194" s="75" t="str">
        <f t="shared" si="394"/>
        <v>2</v>
      </c>
      <c r="D194" s="75">
        <f t="shared" ca="1" si="307"/>
        <v>11</v>
      </c>
      <c r="E194" s="75">
        <f t="shared" ca="1" si="584"/>
        <v>2</v>
      </c>
      <c r="F194" s="75" t="str">
        <f t="shared" ca="1" si="585"/>
        <v>0</v>
      </c>
      <c r="G194" s="75" t="str">
        <f t="shared" ca="1" si="586"/>
        <v>0</v>
      </c>
      <c r="H194" s="75" t="str">
        <f t="shared" ca="1" si="587"/>
        <v>0</v>
      </c>
      <c r="I194" s="75" t="str">
        <f t="shared" ca="1" si="588"/>
        <v>0</v>
      </c>
      <c r="J194" s="75" t="str">
        <f t="shared" ca="1" si="313"/>
        <v>0</v>
      </c>
      <c r="K194" s="75" t="str">
        <f t="shared" ca="1" si="589"/>
        <v>11.2</v>
      </c>
      <c r="L194" s="75" t="str">
        <f t="shared" ca="1" si="590"/>
        <v>11.2</v>
      </c>
      <c r="M194" s="55" t="s">
        <v>27861</v>
      </c>
      <c r="O194" s="191" t="str">
        <f t="shared" ref="O194:O196" ca="1" si="623">L194</f>
        <v>11.2</v>
      </c>
      <c r="P194" s="172"/>
      <c r="Q194" s="172"/>
      <c r="R194" s="621" t="s">
        <v>41842</v>
      </c>
      <c r="S194" s="172"/>
      <c r="T194" s="194"/>
      <c r="U194" s="195"/>
      <c r="V194" s="196">
        <f ca="1">IF(VALUE(C194)=1,SUMIFS(V:V,D:D,D194,M:M,"Serviço"),IF(VALUE(C194)=2,SUMIFS(V:V,D:D,D194,E:E,E194,M:M,"Serviço"),IF(VALUE(C194)=3,SUMIFS(V:V,D:D,D194,E:E,E194,F:F,F194,M:M,"Serviço"),IF(VALUE(C194)=4,SUMIFS(V:V,D:D,D194,E:E,E194,F:F,F194,G:G,G194,M:M,"Serviço"),"ERRO"))))</f>
        <v>18233.52</v>
      </c>
      <c r="W194" s="197"/>
      <c r="X194" s="205"/>
      <c r="Y194" s="173">
        <f ca="1">IF(VALUE(C194)=1,SUMIFS(Y:Y,D:D,D194,M:M,"Serviço"),IF(VALUE(C194)=2,SUMIFS(Y:Y,D:D,D194,E:E,E194,M:M,"Serviço"),IF(VALUE(C194)=3,SUMIFS(Y:Y,D:D,D194,E:E,E194,F:F,F194,M:M,"Serviço"),IF(VALUE(C194)=4,SUMIFS(Y:Y,D:D,D194,E:E,E194,F:F,F194,G:G,G194,M:M,"Serviço"),"ERRO"))))</f>
        <v>22332.57</v>
      </c>
      <c r="AB194" s="641"/>
    </row>
    <row r="195" spans="2:28" s="55" customFormat="1" ht="45">
      <c r="B195" s="378">
        <f t="shared" ca="1" si="583"/>
        <v>3</v>
      </c>
      <c r="C195" s="378" t="str">
        <f t="shared" si="394"/>
        <v>S</v>
      </c>
      <c r="D195" s="378">
        <f t="shared" ca="1" si="307"/>
        <v>11</v>
      </c>
      <c r="E195" s="378">
        <f t="shared" ca="1" si="584"/>
        <v>2</v>
      </c>
      <c r="F195" s="378" t="str">
        <f t="shared" ca="1" si="585"/>
        <v>0</v>
      </c>
      <c r="G195" s="378" t="str">
        <f t="shared" ca="1" si="586"/>
        <v>0</v>
      </c>
      <c r="H195" s="378" t="str">
        <f t="shared" ca="1" si="587"/>
        <v>0</v>
      </c>
      <c r="I195" s="378" t="str">
        <f t="shared" ca="1" si="588"/>
        <v>0</v>
      </c>
      <c r="J195" s="378">
        <f t="shared" ca="1" si="313"/>
        <v>1</v>
      </c>
      <c r="K195" s="378" t="str">
        <f t="shared" si="589"/>
        <v>NÃO</v>
      </c>
      <c r="L195" s="378" t="str">
        <f t="shared" ca="1" si="590"/>
        <v>11.2.1</v>
      </c>
      <c r="M195" s="55" t="s">
        <v>27868</v>
      </c>
      <c r="O195" s="392" t="str">
        <f t="shared" ca="1" si="623"/>
        <v>11.2.1</v>
      </c>
      <c r="P195" s="413" t="s">
        <v>29901</v>
      </c>
      <c r="Q195" s="414" t="s">
        <v>12447</v>
      </c>
      <c r="R195" s="415" t="str">
        <f>UPPER(IF(P195="CDHU",VLOOKUP(Q195,'CDHU 201-SD'!$A$1:$J$28014,2,FALSE),IF(P195="FDE",VLOOKUP(Q195,'FDE 01-26-SD'!$A$1:$J$280013,2,FALSE),IF(P195="PRÓPRIA",VLOOKUP(Q195,COMPOSIÇÃO!$1:$1048576,3,FALSE),VLOOKUP(Q195,'SINAPI 04-26-SD'!$A$1:$H$272700,2,FALSE)))))</f>
        <v>PLACA CERÂMICA ESMALTADA PEI-5 PARA ÁREA INTERNA, GRUPO DE ABSORÇÃO BIIB, RESISTÊNCIA QUÍMICA B, ASSENTADO COM ARGAMASSA COLANTE INDUSTRIALIZADA</v>
      </c>
      <c r="S195" s="414" t="str">
        <f>UPPER(IF(P195="CDHU",VLOOKUP(Q195,'CDHU 201-SD'!$A$1:$J$28014,3,FALSE),IF(P195="FDE",VLOOKUP(Q195,'FDE 01-26-SD'!$A$1:$J$280013,3,FALSE),IF(P195="PRÓPRIA",VLOOKUP(Q195,COMPOSIÇÃO!$1:$1048576,7,FALSE),VLOOKUP(Q195,'SINAPI 04-26-SD'!$A$1:$H$272700,3,FALSE)))))</f>
        <v>M2</v>
      </c>
      <c r="T195" s="393">
        <f>VLOOKUP(Q195,'REVESTIMENTOS DE PAREDES'!$1:$1048576,12,FALSE)</f>
        <v>272.63</v>
      </c>
      <c r="U195" s="394">
        <f>TRUNC(IF(P195="CDHU",VLOOKUP(Q195,'CDHU 201-SD'!$A$1:$J$28014,6,FALSE),IF(P195="FDE",VLOOKUP(Q195,'FDE 01-26-SD'!$A$1:$J$280013,6,FALSE),IF(P195="PRÓPRIA",VLOOKUP(Q195,COMPOSIÇÃO!$1:$1048576,10,FALSE),VLOOKUP(Q195,'SINAPI 04-26-SD'!$A$1:$H$272700,4,FALSE)))),2)</f>
        <v>51.15</v>
      </c>
      <c r="V195" s="416">
        <f t="shared" ref="V195:V196" si="624">TRUNC(U195*T195,2)</f>
        <v>13945.02</v>
      </c>
      <c r="W195" s="395">
        <f>IF($AA195="N",BDI!$D$26,IF($AA195="D",'BDI DIFE.'!$D$26,"ERRO"))</f>
        <v>0.22500000000000001</v>
      </c>
      <c r="X195" s="379">
        <f t="shared" ref="X195:X196" si="625">TRUNC(U195*(1+W195),2)</f>
        <v>62.65</v>
      </c>
      <c r="Y195" s="380">
        <f t="shared" ref="Y195:Y196" si="626">TRUNC(T195*X195,2)</f>
        <v>17080.259999999998</v>
      </c>
      <c r="Z195" s="381"/>
      <c r="AA195" s="378" t="s">
        <v>28044</v>
      </c>
      <c r="AB195" s="642"/>
    </row>
    <row r="196" spans="2:28" s="55" customFormat="1" ht="30">
      <c r="B196" s="378">
        <f t="shared" ca="1" si="583"/>
        <v>3</v>
      </c>
      <c r="C196" s="378" t="str">
        <f t="shared" si="394"/>
        <v>S</v>
      </c>
      <c r="D196" s="378">
        <f t="shared" ca="1" si="307"/>
        <v>11</v>
      </c>
      <c r="E196" s="378">
        <f t="shared" ca="1" si="584"/>
        <v>2</v>
      </c>
      <c r="F196" s="378" t="str">
        <f t="shared" ca="1" si="585"/>
        <v>0</v>
      </c>
      <c r="G196" s="378" t="str">
        <f t="shared" ca="1" si="586"/>
        <v>0</v>
      </c>
      <c r="H196" s="378" t="str">
        <f t="shared" ca="1" si="587"/>
        <v>0</v>
      </c>
      <c r="I196" s="378" t="str">
        <f t="shared" ca="1" si="588"/>
        <v>0</v>
      </c>
      <c r="J196" s="378">
        <f t="shared" ca="1" si="313"/>
        <v>2</v>
      </c>
      <c r="K196" s="378" t="str">
        <f t="shared" si="589"/>
        <v>NÃO</v>
      </c>
      <c r="L196" s="378" t="str">
        <f t="shared" ca="1" si="590"/>
        <v>11.2.2</v>
      </c>
      <c r="M196" s="55" t="s">
        <v>27868</v>
      </c>
      <c r="O196" s="392" t="str">
        <f t="shared" ca="1" si="623"/>
        <v>11.2.2</v>
      </c>
      <c r="P196" s="413" t="s">
        <v>29901</v>
      </c>
      <c r="Q196" s="414" t="s">
        <v>12465</v>
      </c>
      <c r="R196" s="415" t="str">
        <f>UPPER(IF(P196="CDHU",VLOOKUP(Q196,'CDHU 201-SD'!$A$1:$J$28014,2,FALSE),IF(P196="FDE",VLOOKUP(Q196,'FDE 01-26-SD'!$A$1:$J$280013,2,FALSE),IF(P196="PRÓPRIA",VLOOKUP(Q196,COMPOSIÇÃO!$1:$1048576,3,FALSE),VLOOKUP(Q196,'SINAPI 04-26-SD'!$A$1:$H$272700,2,FALSE)))))</f>
        <v>REJUNTAMENTO EM PLACAS CERÂMICAS COM CIMENTO BRANCO, JUNTAS ACIMA DE 3 ATÉ 5 MM</v>
      </c>
      <c r="S196" s="414" t="str">
        <f>UPPER(IF(P196="CDHU",VLOOKUP(Q196,'CDHU 201-SD'!$A$1:$J$28014,3,FALSE),IF(P196="FDE",VLOOKUP(Q196,'FDE 01-26-SD'!$A$1:$J$280013,3,FALSE),IF(P196="PRÓPRIA",VLOOKUP(Q196,COMPOSIÇÃO!$1:$1048576,7,FALSE),VLOOKUP(Q196,'SINAPI 04-26-SD'!$A$1:$H$272700,3,FALSE)))))</f>
        <v>M2</v>
      </c>
      <c r="T196" s="393">
        <f>VLOOKUP(Q196,'REVESTIMENTOS DE PAREDES'!$1:$1048576,12,FALSE)</f>
        <v>272.63</v>
      </c>
      <c r="U196" s="394">
        <f>TRUNC(IF(P196="CDHU",VLOOKUP(Q196,'CDHU 201-SD'!$A$1:$J$28014,6,FALSE),IF(P196="FDE",VLOOKUP(Q196,'FDE 01-26-SD'!$A$1:$J$280013,6,FALSE),IF(P196="PRÓPRIA",VLOOKUP(Q196,COMPOSIÇÃO!$1:$1048576,10,FALSE),VLOOKUP(Q196,'SINAPI 04-26-SD'!$A$1:$H$272700,4,FALSE)))),2)</f>
        <v>12.64</v>
      </c>
      <c r="V196" s="416">
        <f t="shared" si="624"/>
        <v>3446.04</v>
      </c>
      <c r="W196" s="395">
        <f>IF($AA196="N",BDI!$D$26,IF($AA196="D",'BDI DIFE.'!$D$26,"ERRO"))</f>
        <v>0.22500000000000001</v>
      </c>
      <c r="X196" s="379">
        <f t="shared" si="625"/>
        <v>15.48</v>
      </c>
      <c r="Y196" s="380">
        <f t="shared" si="626"/>
        <v>4220.3100000000004</v>
      </c>
      <c r="Z196" s="381"/>
      <c r="AA196" s="378" t="s">
        <v>28044</v>
      </c>
      <c r="AB196" s="642"/>
    </row>
    <row r="197" spans="2:28" s="55" customFormat="1" ht="31" thickBot="1">
      <c r="B197" s="378">
        <f t="shared" ref="B197" ca="1" si="627">IF(C197="S",IF(OFFSET(C197,-1,0)="S", OFFSET(B197,-1,0), OFFSET(B197,-1,0) +1 ), C197)</f>
        <v>3</v>
      </c>
      <c r="C197" s="378" t="str">
        <f t="shared" si="394"/>
        <v>S</v>
      </c>
      <c r="D197" s="378">
        <f t="shared" ca="1" si="307"/>
        <v>11</v>
      </c>
      <c r="E197" s="378">
        <f t="shared" ref="E197" ca="1" si="628">IF($C197="2",OFFSET(E197,-1,0) +1,IF(OFFSET(D197,-1,0)&lt;&gt;D197,"0",IF(OFFSET(E197,-1,0)="","0",OFFSET(E197,-1,0))))</f>
        <v>2</v>
      </c>
      <c r="F197" s="378" t="str">
        <f t="shared" ref="F197" ca="1" si="629">IF($C197="3",OFFSET(F197,-1,0) +1,IF(OFFSET(E197,-1,0)&lt;&gt;E197,"0",IF(OFFSET(F197,-1,0)="","0",OFFSET(F197,-1,0))))</f>
        <v>0</v>
      </c>
      <c r="G197" s="378" t="str">
        <f t="shared" ref="G197" ca="1" si="630">IF($C197="4",OFFSET(G197,-1,0) +1,IF(OFFSET(F197,-1,0)&lt;&gt;F197,"0",IF(OFFSET(G197,-1,0)="","0",OFFSET(G197,-1,0))))</f>
        <v>0</v>
      </c>
      <c r="H197" s="378" t="str">
        <f t="shared" ref="H197" ca="1" si="631">IF($C197="5",OFFSET(H197,-1,0) +1,IF(OFFSET(G197,-1,0)&lt;&gt;G197,"0",IF(OFFSET(H197,-1,0)="","0",OFFSET(H197,-1,0))))</f>
        <v>0</v>
      </c>
      <c r="I197" s="378" t="str">
        <f t="shared" ref="I197" ca="1" si="632">IF($C197="6",OFFSET(I197,-1,0) +1,IF(OFFSET(H197,-1,0)&lt;&gt;H197,"0",IF(OFFSET(I197,-1,0)="","0", OFFSET(I197,-1,0))))</f>
        <v>0</v>
      </c>
      <c r="J197" s="378">
        <f t="shared" ca="1" si="313"/>
        <v>3</v>
      </c>
      <c r="K197" s="378" t="str">
        <f t="shared" ref="K197" si="633">IF(C197="S","NÃO", IF(C197="1", D197, IF(C197="2", D197 &amp; "." &amp; E197,IF(C197="3", D197 &amp; "." &amp; E197 &amp; "." &amp; F197, IF(C197="4", D197 &amp; "." &amp; E197 &amp; "." &amp; F197 &amp; "." &amp; G197, IF(C197="5", D197 &amp; "." &amp; E197 &amp; "." &amp; F197 &amp; "." &amp; G197 &amp; "." &amp; H197, IF(C197="6", D197 &amp; "." &amp; E197 &amp; "." &amp; F197 &amp; "." &amp; G197 &amp; "." &amp; H197 &amp; "." &amp; I197)))))))</f>
        <v>NÃO</v>
      </c>
      <c r="L197" s="378" t="str">
        <f t="shared" ref="L197" ca="1" si="634">IF(K197="NÃO",IF($B197=2,D197&amp;"."&amp;J197,IF($B197=3,D197&amp;"."&amp;E197&amp;"."&amp;J197,IF($B197=4,D197&amp;"."&amp;E197&amp;"."&amp;F197&amp;"."&amp;J197,IF($B197=5,D197&amp;"."&amp;E197&amp;"."&amp;F197&amp;"."&amp;G197&amp;"."&amp;J197,IF($B197=6,D197&amp;"."&amp;E197&amp;"."&amp;F197&amp;"."&amp;G197&amp;"."&amp;H197&amp;"."&amp;J197,IF($B197=7,D197&amp;"."&amp;E197&amp;"."&amp;F197&amp;"."&amp;G197&amp;"."&amp;H197&amp;"."&amp;I197&amp;"."&amp;J197,"FALHA")))))),K197)</f>
        <v>11.2.3</v>
      </c>
      <c r="M197" s="55" t="s">
        <v>27868</v>
      </c>
      <c r="O197" s="392" t="str">
        <f t="shared" ref="O197" ca="1" si="635">L197</f>
        <v>11.2.3</v>
      </c>
      <c r="P197" s="413" t="s">
        <v>29901</v>
      </c>
      <c r="Q197" s="414" t="s">
        <v>12539</v>
      </c>
      <c r="R197" s="415" t="str">
        <f>UPPER(IF(P197="CDHU",VLOOKUP(Q197,'CDHU 201-SD'!$A$1:$J$28014,2,FALSE),IF(P197="FDE",VLOOKUP(Q197,'FDE 01-26-SD'!$A$1:$J$280013,2,FALSE),IF(P197="PRÓPRIA",VLOOKUP(Q197,COMPOSIÇÃO!$1:$1048576,3,FALSE),VLOOKUP(Q197,'SINAPI 04-26-SD'!$A$1:$H$272700,2,FALSE)))))</f>
        <v>REVESTIMENTO EM PLACA CERÂMICA ESMALTADA DE 10X10 CM, ASSENTADO E REJUNTADO COM ARGAMASSA INDUSTRIALIZADA</v>
      </c>
      <c r="S197" s="414" t="str">
        <f>UPPER(IF(P197="CDHU",VLOOKUP(Q197,'CDHU 201-SD'!$A$1:$J$28014,3,FALSE),IF(P197="FDE",VLOOKUP(Q197,'FDE 01-26-SD'!$A$1:$J$280013,3,FALSE),IF(P197="PRÓPRIA",VLOOKUP(Q197,COMPOSIÇÃO!$1:$1048576,7,FALSE),VLOOKUP(Q197,'SINAPI 04-26-SD'!$A$1:$H$272700,3,FALSE)))))</f>
        <v>M2</v>
      </c>
      <c r="T197" s="393">
        <f>VLOOKUP(Q197,'REVESTIMENTOS DE PAREDES'!$1:$1048576,12,FALSE)</f>
        <v>6</v>
      </c>
      <c r="U197" s="394">
        <f>TRUNC(IF(P197="CDHU",VLOOKUP(Q197,'CDHU 201-SD'!$A$1:$J$28014,6,FALSE),IF(P197="FDE",VLOOKUP(Q197,'FDE 01-26-SD'!$A$1:$J$280013,6,FALSE),IF(P197="PRÓPRIA",VLOOKUP(Q197,COMPOSIÇÃO!$1:$1048576,10,FALSE),VLOOKUP(Q197,'SINAPI 04-26-SD'!$A$1:$H$272700,4,FALSE)))),2)</f>
        <v>140.41</v>
      </c>
      <c r="V197" s="416">
        <f t="shared" ref="V197" si="636">TRUNC(U197*T197,2)</f>
        <v>842.46</v>
      </c>
      <c r="W197" s="395">
        <f>IF($AA197="N",BDI!$D$26,IF($AA197="D",'BDI DIFE.'!$D$26,"ERRO"))</f>
        <v>0.22500000000000001</v>
      </c>
      <c r="X197" s="379">
        <f t="shared" ref="X197" si="637">TRUNC(U197*(1+W197),2)</f>
        <v>172</v>
      </c>
      <c r="Y197" s="380">
        <f t="shared" ref="Y197" si="638">TRUNC(T197*X197,2)</f>
        <v>1032</v>
      </c>
      <c r="Z197" s="381"/>
      <c r="AA197" s="378" t="s">
        <v>28044</v>
      </c>
      <c r="AB197" s="642"/>
    </row>
    <row r="198" spans="2:28" s="55" customFormat="1" ht="16" thickBot="1">
      <c r="B198" s="378" t="str">
        <f t="shared" ref="B198:B205" ca="1" si="639">IF(C198="S",IF(OFFSET(C198,-1,0)="S", OFFSET(B198,-1,0), OFFSET(B198,-1,0) +1 ), C198)</f>
        <v/>
      </c>
      <c r="C198" s="378" t="str">
        <f>IF(RIGHT($M198) = "o", "S", RIGHT($M198))</f>
        <v/>
      </c>
      <c r="D198" s="378">
        <f t="shared" ca="1" si="307"/>
        <v>11</v>
      </c>
      <c r="E198" s="378">
        <f t="shared" ref="E198:E205" ca="1" si="640">IF($C198="2",OFFSET(E198,-1,0) +1,IF(OFFSET(D198,-1,0)&lt;&gt;D198,"0",IF(OFFSET(E198,-1,0)="","0",OFFSET(E198,-1,0))))</f>
        <v>2</v>
      </c>
      <c r="F198" s="378" t="str">
        <f t="shared" ref="F198:F205" ca="1" si="641">IF($C198="3",OFFSET(F198,-1,0) +1,IF(OFFSET(E198,-1,0)&lt;&gt;E198,"0",IF(OFFSET(F198,-1,0)="","0",OFFSET(F198,-1,0))))</f>
        <v>0</v>
      </c>
      <c r="G198" s="378" t="str">
        <f t="shared" ref="G198:G205" ca="1" si="642">IF($C198="4",OFFSET(G198,-1,0) +1,IF(OFFSET(F198,-1,0)&lt;&gt;F198,"0",IF(OFFSET(G198,-1,0)="","0",OFFSET(G198,-1,0))))</f>
        <v>0</v>
      </c>
      <c r="H198" s="378" t="str">
        <f t="shared" ref="H198:H205" ca="1" si="643">IF($C198="5",OFFSET(H198,-1,0) +1,IF(OFFSET(G198,-1,0)&lt;&gt;G198,"0",IF(OFFSET(H198,-1,0)="","0",OFFSET(H198,-1,0))))</f>
        <v>0</v>
      </c>
      <c r="I198" s="378" t="str">
        <f t="shared" ref="I198:I205" ca="1" si="644">IF($C198="6",OFFSET(I198,-1,0) +1,IF(OFFSET(H198,-1,0)&lt;&gt;H198,"0",IF(OFFSET(I198,-1,0)="","0", OFFSET(I198,-1,0))))</f>
        <v>0</v>
      </c>
      <c r="J198" s="378" t="str">
        <f t="shared" ca="1" si="313"/>
        <v>0</v>
      </c>
      <c r="K198" s="378" t="b">
        <f t="shared" ref="K198:K205" si="645">IF(C198="S","NÃO", IF(C198="1", D198, IF(C198="2", D198 &amp; "." &amp; E198,IF(C198="3", D198 &amp; "." &amp; E198 &amp; "." &amp; F198, IF(C198="4", D198 &amp; "." &amp; E198 &amp; "." &amp; F198 &amp; "." &amp; G198, IF(C198="5", D198 &amp; "." &amp; E198 &amp; "." &amp; F198 &amp; "." &amp; G198 &amp; "." &amp; H198, IF(C198="6", D198 &amp; "." &amp; E198 &amp; "." &amp; F198 &amp; "." &amp; G198 &amp; "." &amp; H198 &amp; "." &amp; I198)))))))</f>
        <v>0</v>
      </c>
      <c r="L198" s="378" t="b">
        <f t="shared" ref="L198:L205" si="646">IF(K198="NÃO",IF($B198=2,D198&amp;"."&amp;J198,IF($B198=3,D198&amp;"."&amp;E198&amp;"."&amp;J198,IF($B198=4,D198&amp;"."&amp;E198&amp;"."&amp;F198&amp;"."&amp;J198,IF($B198=5,D198&amp;"."&amp;E198&amp;"."&amp;F198&amp;"."&amp;G198&amp;"."&amp;J198,IF($B198=6,D198&amp;"."&amp;E198&amp;"."&amp;F198&amp;"."&amp;G198&amp;"."&amp;H198&amp;"."&amp;J198,IF($B198=7,D198&amp;"."&amp;E198&amp;"."&amp;F198&amp;"."&amp;G198&amp;"."&amp;H198&amp;"."&amp;I198&amp;"."&amp;J198,"FALHA")))))),K198)</f>
        <v>0</v>
      </c>
      <c r="O198" s="192"/>
      <c r="P198" s="387"/>
      <c r="Q198" s="387"/>
      <c r="R198" s="377"/>
      <c r="S198" s="387"/>
      <c r="T198" s="363"/>
      <c r="U198" s="388"/>
      <c r="V198" s="389"/>
      <c r="W198" s="389"/>
      <c r="X198" s="389"/>
      <c r="Y198" s="390"/>
      <c r="AA198" s="378"/>
      <c r="AB198" s="642"/>
    </row>
    <row r="199" spans="2:28" s="75" customFormat="1" ht="16" thickBot="1">
      <c r="B199" s="75" t="str">
        <f t="shared" ca="1" si="639"/>
        <v>1</v>
      </c>
      <c r="C199" s="75" t="str">
        <f t="shared" si="394"/>
        <v>1</v>
      </c>
      <c r="D199" s="75">
        <f t="shared" ca="1" si="307"/>
        <v>12</v>
      </c>
      <c r="E199" s="75" t="str">
        <f t="shared" ca="1" si="640"/>
        <v>0</v>
      </c>
      <c r="F199" s="75" t="str">
        <f t="shared" ca="1" si="641"/>
        <v>0</v>
      </c>
      <c r="G199" s="75" t="str">
        <f t="shared" ca="1" si="642"/>
        <v>0</v>
      </c>
      <c r="H199" s="75" t="str">
        <f t="shared" ca="1" si="643"/>
        <v>0</v>
      </c>
      <c r="I199" s="75" t="str">
        <f t="shared" ca="1" si="644"/>
        <v>0</v>
      </c>
      <c r="J199" s="75" t="str">
        <f t="shared" ca="1" si="313"/>
        <v>0</v>
      </c>
      <c r="K199" s="75">
        <f t="shared" ca="1" si="645"/>
        <v>12</v>
      </c>
      <c r="L199" s="75">
        <f t="shared" ca="1" si="646"/>
        <v>12</v>
      </c>
      <c r="M199" s="55" t="s">
        <v>27859</v>
      </c>
      <c r="O199" s="191">
        <f t="shared" ref="O199:O205" ca="1" si="647">L199</f>
        <v>12</v>
      </c>
      <c r="P199" s="172"/>
      <c r="Q199" s="172"/>
      <c r="R199" s="621" t="s">
        <v>41843</v>
      </c>
      <c r="S199" s="172"/>
      <c r="T199" s="194"/>
      <c r="U199" s="195"/>
      <c r="V199" s="196">
        <f ca="1">IF(VALUE(C199)=1,SUMIFS(V:V,D:D,D199,M:M,"Serviço"),IF(VALUE(C199)=2,SUMIFS(V:V,D:D,D199,E:E,E199,M:M,"Serviço"),IF(VALUE(C199)=3,SUMIFS(V:V,D:D,D199,E:E,E199,F:F,F199,M:M,"Serviço"),IF(VALUE(C199)=4,SUMIFS(V:V,D:D,D199,E:E,E199,F:F,F199,G:G,G199,M:M,"Serviço"),"ERRO"))))</f>
        <v>69091.27</v>
      </c>
      <c r="W199" s="197"/>
      <c r="X199" s="205"/>
      <c r="Y199" s="173">
        <f ca="1">IF(VALUE(C199)=1,SUMIFS(Y:Y,D:D,D199,M:M,"Serviço"),IF(VALUE(C199)=2,SUMIFS(Y:Y,D:D,D199,E:E,E199,M:M,"Serviço"),IF(VALUE(C199)=3,SUMIFS(Y:Y,D:D,D199,E:E,E199,F:F,F199,M:M,"Serviço"),IF(VALUE(C199)=4,SUMIFS(Y:Y,D:D,D199,E:E,E199,F:F,F199,G:G,G199,M:M,"Serviço"),"ERRO"))))</f>
        <v>84633.75</v>
      </c>
      <c r="AB199" s="641"/>
    </row>
    <row r="200" spans="2:28" s="75" customFormat="1" ht="16" thickBot="1">
      <c r="B200" s="75" t="str">
        <f t="shared" ca="1" si="639"/>
        <v>2</v>
      </c>
      <c r="C200" s="75" t="str">
        <f t="shared" si="394"/>
        <v>2</v>
      </c>
      <c r="D200" s="75">
        <f t="shared" ca="1" si="307"/>
        <v>12</v>
      </c>
      <c r="E200" s="75">
        <f t="shared" ca="1" si="640"/>
        <v>1</v>
      </c>
      <c r="F200" s="75" t="str">
        <f t="shared" ca="1" si="641"/>
        <v>0</v>
      </c>
      <c r="G200" s="75" t="str">
        <f t="shared" ca="1" si="642"/>
        <v>0</v>
      </c>
      <c r="H200" s="75" t="str">
        <f t="shared" ca="1" si="643"/>
        <v>0</v>
      </c>
      <c r="I200" s="75" t="str">
        <f t="shared" ca="1" si="644"/>
        <v>0</v>
      </c>
      <c r="J200" s="75" t="str">
        <f t="shared" ca="1" si="313"/>
        <v>0</v>
      </c>
      <c r="K200" s="75" t="str">
        <f t="shared" ca="1" si="645"/>
        <v>12.1</v>
      </c>
      <c r="L200" s="75" t="str">
        <f t="shared" ca="1" si="646"/>
        <v>12.1</v>
      </c>
      <c r="M200" s="55" t="s">
        <v>27861</v>
      </c>
      <c r="O200" s="191" t="str">
        <f t="shared" ca="1" si="647"/>
        <v>12.1</v>
      </c>
      <c r="P200" s="172"/>
      <c r="Q200" s="172"/>
      <c r="R200" s="621" t="s">
        <v>41841</v>
      </c>
      <c r="S200" s="172"/>
      <c r="T200" s="194"/>
      <c r="U200" s="195"/>
      <c r="V200" s="196">
        <f ca="1">IF(VALUE(C200)=1,SUMIFS(V:V,D:D,D200,M:M,"Serviço"),IF(VALUE(C200)=2,SUMIFS(V:V,D:D,D200,E:E,E200,M:M,"Serviço"),IF(VALUE(C200)=3,SUMIFS(V:V,D:D,D200,E:E,E200,F:F,F200,M:M,"Serviço"),IF(VALUE(C200)=4,SUMIFS(V:V,D:D,D200,E:E,E200,F:F,F200,G:G,G200,M:M,"Serviço"),"ERRO"))))</f>
        <v>10962.49</v>
      </c>
      <c r="W200" s="197"/>
      <c r="X200" s="205"/>
      <c r="Y200" s="173">
        <f ca="1">IF(VALUE(C200)=1,SUMIFS(Y:Y,D:D,D200,M:M,"Serviço"),IF(VALUE(C200)=2,SUMIFS(Y:Y,D:D,D200,E:E,E200,M:M,"Serviço"),IF(VALUE(C200)=3,SUMIFS(Y:Y,D:D,D200,E:E,E200,F:F,F200,M:M,"Serviço"),IF(VALUE(C200)=4,SUMIFS(Y:Y,D:D,D200,E:E,E200,F:F,F200,G:G,G200,M:M,"Serviço"),"ERRO"))))</f>
        <v>13426.779999999999</v>
      </c>
      <c r="AB200" s="641"/>
    </row>
    <row r="201" spans="2:28" s="55" customFormat="1">
      <c r="B201" s="378">
        <f t="shared" ca="1" si="639"/>
        <v>3</v>
      </c>
      <c r="C201" s="378" t="str">
        <f t="shared" si="394"/>
        <v>S</v>
      </c>
      <c r="D201" s="378">
        <f t="shared" ca="1" si="307"/>
        <v>12</v>
      </c>
      <c r="E201" s="378">
        <f t="shared" ca="1" si="640"/>
        <v>1</v>
      </c>
      <c r="F201" s="378" t="str">
        <f t="shared" ca="1" si="641"/>
        <v>0</v>
      </c>
      <c r="G201" s="378" t="str">
        <f t="shared" ca="1" si="642"/>
        <v>0</v>
      </c>
      <c r="H201" s="378" t="str">
        <f t="shared" ca="1" si="643"/>
        <v>0</v>
      </c>
      <c r="I201" s="378" t="str">
        <f t="shared" ca="1" si="644"/>
        <v>0</v>
      </c>
      <c r="J201" s="378">
        <f t="shared" ca="1" si="313"/>
        <v>1</v>
      </c>
      <c r="K201" s="378" t="str">
        <f t="shared" si="645"/>
        <v>NÃO</v>
      </c>
      <c r="L201" s="378" t="str">
        <f t="shared" ca="1" si="646"/>
        <v>12.1.1</v>
      </c>
      <c r="M201" s="55" t="s">
        <v>27868</v>
      </c>
      <c r="O201" s="392" t="str">
        <f t="shared" ca="1" si="647"/>
        <v>12.1.1</v>
      </c>
      <c r="P201" s="413" t="s">
        <v>29901</v>
      </c>
      <c r="Q201" s="414" t="s">
        <v>12316</v>
      </c>
      <c r="R201" s="415" t="str">
        <f>UPPER(IF(P201="CDHU",VLOOKUP(Q201,'CDHU 201-SD'!$A$1:$J$28014,2,FALSE),IF(P201="FDE",VLOOKUP(Q201,'FDE 01-26-SD'!$A$1:$J$280013,2,FALSE),IF(P201="PRÓPRIA",VLOOKUP(Q201,COMPOSIÇÃO!$1:$1048576,3,FALSE),VLOOKUP(Q201,'SINAPI 04-26-SD'!$A$1:$H$272700,2,FALSE)))))</f>
        <v>CHAPISCO</v>
      </c>
      <c r="S201" s="414" t="str">
        <f>UPPER(IF(P201="CDHU",VLOOKUP(Q201,'CDHU 201-SD'!$A$1:$J$28014,3,FALSE),IF(P201="FDE",VLOOKUP(Q201,'FDE 01-26-SD'!$A$1:$J$280013,3,FALSE),IF(P201="PRÓPRIA",VLOOKUP(Q201,COMPOSIÇÃO!$1:$1048576,7,FALSE),VLOOKUP(Q201,'SINAPI 04-26-SD'!$A$1:$H$272700,3,FALSE)))))</f>
        <v>M2</v>
      </c>
      <c r="T201" s="393">
        <f>VLOOKUP(Q201,'REVESTIMENTOS DE TETO'!$1:$1048576,12,FALSE)</f>
        <v>232.7</v>
      </c>
      <c r="U201" s="394">
        <f>TRUNC(IF(P201="CDHU",VLOOKUP(Q201,'CDHU 201-SD'!$A$1:$J$28014,6,FALSE),IF(P201="FDE",VLOOKUP(Q201,'FDE 01-26-SD'!$A$1:$J$280013,6,FALSE),IF(P201="PRÓPRIA",VLOOKUP(Q201,COMPOSIÇÃO!$1:$1048576,10,FALSE),VLOOKUP(Q201,'SINAPI 04-26-SD'!$A$1:$H$272700,4,FALSE)))),2)</f>
        <v>7.8</v>
      </c>
      <c r="V201" s="416">
        <f t="shared" ref="V201:V203" si="648">TRUNC(U201*T201,2)</f>
        <v>1815.06</v>
      </c>
      <c r="W201" s="395">
        <f>IF($AA201="N",BDI!$D$26,IF($AA201="D",'BDI DIFE.'!$D$26,"ERRO"))</f>
        <v>0.22500000000000001</v>
      </c>
      <c r="X201" s="379">
        <f t="shared" ref="X201:X203" si="649">TRUNC(U201*(1+W201),2)</f>
        <v>9.5500000000000007</v>
      </c>
      <c r="Y201" s="380">
        <f t="shared" ref="Y201:Y203" si="650">TRUNC(T201*X201,2)</f>
        <v>2222.2800000000002</v>
      </c>
      <c r="Z201" s="381"/>
      <c r="AA201" s="378" t="s">
        <v>28044</v>
      </c>
      <c r="AB201" s="642"/>
    </row>
    <row r="202" spans="2:28" s="55" customFormat="1">
      <c r="B202" s="378">
        <f t="shared" ca="1" si="639"/>
        <v>3</v>
      </c>
      <c r="C202" s="378" t="str">
        <f t="shared" si="394"/>
        <v>S</v>
      </c>
      <c r="D202" s="378">
        <f t="shared" ca="1" si="307"/>
        <v>12</v>
      </c>
      <c r="E202" s="378">
        <f t="shared" ca="1" si="640"/>
        <v>1</v>
      </c>
      <c r="F202" s="378" t="str">
        <f t="shared" ca="1" si="641"/>
        <v>0</v>
      </c>
      <c r="G202" s="378" t="str">
        <f t="shared" ca="1" si="642"/>
        <v>0</v>
      </c>
      <c r="H202" s="378" t="str">
        <f t="shared" ca="1" si="643"/>
        <v>0</v>
      </c>
      <c r="I202" s="378" t="str">
        <f t="shared" ca="1" si="644"/>
        <v>0</v>
      </c>
      <c r="J202" s="378">
        <f t="shared" ca="1" si="313"/>
        <v>2</v>
      </c>
      <c r="K202" s="378" t="str">
        <f t="shared" si="645"/>
        <v>NÃO</v>
      </c>
      <c r="L202" s="378" t="str">
        <f t="shared" ca="1" si="646"/>
        <v>12.1.2</v>
      </c>
      <c r="M202" s="55" t="s">
        <v>27868</v>
      </c>
      <c r="O202" s="392" t="str">
        <f t="shared" ca="1" si="647"/>
        <v>12.1.2</v>
      </c>
      <c r="P202" s="413" t="s">
        <v>29901</v>
      </c>
      <c r="Q202" s="414" t="s">
        <v>12326</v>
      </c>
      <c r="R202" s="415" t="str">
        <f>UPPER(IF(P202="CDHU",VLOOKUP(Q202,'CDHU 201-SD'!$A$1:$J$28014,2,FALSE),IF(P202="FDE",VLOOKUP(Q202,'FDE 01-26-SD'!$A$1:$J$280013,2,FALSE),IF(P202="PRÓPRIA",VLOOKUP(Q202,COMPOSIÇÃO!$1:$1048576,3,FALSE),VLOOKUP(Q202,'SINAPI 04-26-SD'!$A$1:$H$272700,2,FALSE)))))</f>
        <v>EMBOÇO COMUM</v>
      </c>
      <c r="S202" s="414" t="str">
        <f>UPPER(IF(P202="CDHU",VLOOKUP(Q202,'CDHU 201-SD'!$A$1:$J$28014,3,FALSE),IF(P202="FDE",VLOOKUP(Q202,'FDE 01-26-SD'!$A$1:$J$280013,3,FALSE),IF(P202="PRÓPRIA",VLOOKUP(Q202,COMPOSIÇÃO!$1:$1048576,7,FALSE),VLOOKUP(Q202,'SINAPI 04-26-SD'!$A$1:$H$272700,3,FALSE)))))</f>
        <v>M2</v>
      </c>
      <c r="T202" s="393">
        <f>VLOOKUP(Q202,'REVESTIMENTOS DE TETO'!$1:$1048576,12,FALSE)</f>
        <v>232.7</v>
      </c>
      <c r="U202" s="394">
        <f>TRUNC(IF(P202="CDHU",VLOOKUP(Q202,'CDHU 201-SD'!$A$1:$J$28014,6,FALSE),IF(P202="FDE",VLOOKUP(Q202,'FDE 01-26-SD'!$A$1:$J$280013,6,FALSE),IF(P202="PRÓPRIA",VLOOKUP(Q202,COMPOSIÇÃO!$1:$1048576,10,FALSE),VLOOKUP(Q202,'SINAPI 04-26-SD'!$A$1:$H$272700,4,FALSE)))),2)</f>
        <v>24.76</v>
      </c>
      <c r="V202" s="416">
        <f t="shared" si="648"/>
        <v>5761.65</v>
      </c>
      <c r="W202" s="395">
        <f>IF($AA202="N",BDI!$D$26,IF($AA202="D",'BDI DIFE.'!$D$26,"ERRO"))</f>
        <v>0.22500000000000001</v>
      </c>
      <c r="X202" s="379">
        <f t="shared" si="649"/>
        <v>30.33</v>
      </c>
      <c r="Y202" s="380">
        <f t="shared" si="650"/>
        <v>7057.79</v>
      </c>
      <c r="Z202" s="381"/>
      <c r="AA202" s="378" t="s">
        <v>28044</v>
      </c>
      <c r="AB202" s="642"/>
    </row>
    <row r="203" spans="2:28" s="55" customFormat="1" ht="16" thickBot="1">
      <c r="B203" s="378">
        <f t="shared" ca="1" si="639"/>
        <v>3</v>
      </c>
      <c r="C203" s="378" t="str">
        <f t="shared" si="394"/>
        <v>S</v>
      </c>
      <c r="D203" s="378">
        <f t="shared" ca="1" si="307"/>
        <v>12</v>
      </c>
      <c r="E203" s="378">
        <f t="shared" ca="1" si="640"/>
        <v>1</v>
      </c>
      <c r="F203" s="378" t="str">
        <f t="shared" ca="1" si="641"/>
        <v>0</v>
      </c>
      <c r="G203" s="378" t="str">
        <f t="shared" ca="1" si="642"/>
        <v>0</v>
      </c>
      <c r="H203" s="378" t="str">
        <f t="shared" ca="1" si="643"/>
        <v>0</v>
      </c>
      <c r="I203" s="378" t="str">
        <f t="shared" ca="1" si="644"/>
        <v>0</v>
      </c>
      <c r="J203" s="378">
        <f t="shared" ca="1" si="313"/>
        <v>3</v>
      </c>
      <c r="K203" s="378" t="str">
        <f t="shared" si="645"/>
        <v>NÃO</v>
      </c>
      <c r="L203" s="378" t="str">
        <f t="shared" ca="1" si="646"/>
        <v>12.1.3</v>
      </c>
      <c r="M203" s="55" t="s">
        <v>27868</v>
      </c>
      <c r="O203" s="392" t="str">
        <f t="shared" ca="1" si="647"/>
        <v>12.1.3</v>
      </c>
      <c r="P203" s="413" t="s">
        <v>29901</v>
      </c>
      <c r="Q203" s="414" t="s">
        <v>12332</v>
      </c>
      <c r="R203" s="415" t="str">
        <f>UPPER(IF(P203="CDHU",VLOOKUP(Q203,'CDHU 201-SD'!$A$1:$J$28014,2,FALSE),IF(P203="FDE",VLOOKUP(Q203,'FDE 01-26-SD'!$A$1:$J$280013,2,FALSE),IF(P203="PRÓPRIA",VLOOKUP(Q203,COMPOSIÇÃO!$1:$1048576,3,FALSE),VLOOKUP(Q203,'SINAPI 04-26-SD'!$A$1:$H$272700,2,FALSE)))))</f>
        <v>REBOCO</v>
      </c>
      <c r="S203" s="414" t="str">
        <f>UPPER(IF(P203="CDHU",VLOOKUP(Q203,'CDHU 201-SD'!$A$1:$J$28014,3,FALSE),IF(P203="FDE",VLOOKUP(Q203,'FDE 01-26-SD'!$A$1:$J$280013,3,FALSE),IF(P203="PRÓPRIA",VLOOKUP(Q203,COMPOSIÇÃO!$1:$1048576,7,FALSE),VLOOKUP(Q203,'SINAPI 04-26-SD'!$A$1:$H$272700,3,FALSE)))))</f>
        <v>M2</v>
      </c>
      <c r="T203" s="393">
        <f>VLOOKUP(Q203,'REVESTIMENTOS DE TETO'!$1:$1048576,12,FALSE)</f>
        <v>232.7</v>
      </c>
      <c r="U203" s="394">
        <f>TRUNC(IF(P203="CDHU",VLOOKUP(Q203,'CDHU 201-SD'!$A$1:$J$28014,6,FALSE),IF(P203="FDE",VLOOKUP(Q203,'FDE 01-26-SD'!$A$1:$J$280013,6,FALSE),IF(P203="PRÓPRIA",VLOOKUP(Q203,COMPOSIÇÃO!$1:$1048576,10,FALSE),VLOOKUP(Q203,'SINAPI 04-26-SD'!$A$1:$H$272700,4,FALSE)))),2)</f>
        <v>14.55</v>
      </c>
      <c r="V203" s="416">
        <f t="shared" si="648"/>
        <v>3385.78</v>
      </c>
      <c r="W203" s="395">
        <f>IF($AA203="N",BDI!$D$26,IF($AA203="D",'BDI DIFE.'!$D$26,"ERRO"))</f>
        <v>0.22500000000000001</v>
      </c>
      <c r="X203" s="379">
        <f t="shared" si="649"/>
        <v>17.82</v>
      </c>
      <c r="Y203" s="380">
        <f t="shared" si="650"/>
        <v>4146.71</v>
      </c>
      <c r="Z203" s="381"/>
      <c r="AA203" s="378" t="s">
        <v>28044</v>
      </c>
      <c r="AB203" s="642"/>
    </row>
    <row r="204" spans="2:28" s="55" customFormat="1" ht="16" thickBot="1">
      <c r="B204" s="378" t="str">
        <f t="shared" ca="1" si="639"/>
        <v/>
      </c>
      <c r="C204" s="378" t="str">
        <f t="shared" si="394"/>
        <v/>
      </c>
      <c r="D204" s="378">
        <f t="shared" ca="1" si="307"/>
        <v>12</v>
      </c>
      <c r="E204" s="378">
        <f t="shared" ca="1" si="640"/>
        <v>1</v>
      </c>
      <c r="F204" s="378" t="str">
        <f t="shared" ca="1" si="641"/>
        <v>0</v>
      </c>
      <c r="G204" s="378" t="str">
        <f t="shared" ca="1" si="642"/>
        <v>0</v>
      </c>
      <c r="H204" s="378" t="str">
        <f t="shared" ca="1" si="643"/>
        <v>0</v>
      </c>
      <c r="I204" s="378" t="str">
        <f t="shared" ca="1" si="644"/>
        <v>0</v>
      </c>
      <c r="J204" s="378" t="str">
        <f t="shared" ca="1" si="313"/>
        <v>0</v>
      </c>
      <c r="K204" s="378" t="b">
        <f t="shared" si="645"/>
        <v>0</v>
      </c>
      <c r="L204" s="378" t="b">
        <f t="shared" si="646"/>
        <v>0</v>
      </c>
      <c r="O204" s="192"/>
      <c r="P204" s="387"/>
      <c r="Q204" s="387"/>
      <c r="R204" s="377"/>
      <c r="S204" s="387"/>
      <c r="T204" s="363"/>
      <c r="U204" s="388"/>
      <c r="V204" s="389"/>
      <c r="W204" s="389"/>
      <c r="X204" s="389"/>
      <c r="Y204" s="390"/>
      <c r="AB204" s="642"/>
    </row>
    <row r="205" spans="2:28" s="75" customFormat="1" ht="16" thickBot="1">
      <c r="B205" s="75" t="str">
        <f t="shared" ca="1" si="639"/>
        <v>2</v>
      </c>
      <c r="C205" s="75" t="str">
        <f t="shared" si="394"/>
        <v>2</v>
      </c>
      <c r="D205" s="75">
        <f t="shared" ca="1" si="307"/>
        <v>12</v>
      </c>
      <c r="E205" s="75">
        <f t="shared" ca="1" si="640"/>
        <v>2</v>
      </c>
      <c r="F205" s="75" t="str">
        <f t="shared" ca="1" si="641"/>
        <v>0</v>
      </c>
      <c r="G205" s="75" t="str">
        <f t="shared" ca="1" si="642"/>
        <v>0</v>
      </c>
      <c r="H205" s="75" t="str">
        <f t="shared" ca="1" si="643"/>
        <v>0</v>
      </c>
      <c r="I205" s="75" t="str">
        <f t="shared" ca="1" si="644"/>
        <v>0</v>
      </c>
      <c r="J205" s="75" t="str">
        <f t="shared" ca="1" si="313"/>
        <v>0</v>
      </c>
      <c r="K205" s="75" t="str">
        <f t="shared" ca="1" si="645"/>
        <v>12.2</v>
      </c>
      <c r="L205" s="75" t="str">
        <f t="shared" ca="1" si="646"/>
        <v>12.2</v>
      </c>
      <c r="M205" s="55" t="s">
        <v>27861</v>
      </c>
      <c r="O205" s="191" t="str">
        <f t="shared" ca="1" si="647"/>
        <v>12.2</v>
      </c>
      <c r="P205" s="172"/>
      <c r="Q205" s="172"/>
      <c r="R205" s="621" t="s">
        <v>41844</v>
      </c>
      <c r="S205" s="172"/>
      <c r="T205" s="194"/>
      <c r="U205" s="195"/>
      <c r="V205" s="196">
        <f ca="1">IF(VALUE(C205)=1,SUMIFS(V:V,D:D,D205,M:M,"Serviço"),IF(VALUE(C205)=2,SUMIFS(V:V,D:D,D205,E:E,E205,M:M,"Serviço"),IF(VALUE(C205)=3,SUMIFS(V:V,D:D,D205,E:E,E205,F:F,F205,M:M,"Serviço"),IF(VALUE(C205)=4,SUMIFS(V:V,D:D,D205,E:E,E205,F:F,F205,G:G,G205,M:M,"Serviço"),"ERRO"))))</f>
        <v>58128.78</v>
      </c>
      <c r="W205" s="197"/>
      <c r="X205" s="205"/>
      <c r="Y205" s="173">
        <f ca="1">IF(VALUE(C205)=1,SUMIFS(Y:Y,D:D,D205,M:M,"Serviço"),IF(VALUE(C205)=2,SUMIFS(Y:Y,D:D,D205,E:E,E205,M:M,"Serviço"),IF(VALUE(C205)=3,SUMIFS(Y:Y,D:D,D205,E:E,E205,F:F,F205,M:M,"Serviço"),IF(VALUE(C205)=4,SUMIFS(Y:Y,D:D,D205,E:E,E205,F:F,F205,G:G,G205,M:M,"Serviço"),"ERRO"))))</f>
        <v>71206.97</v>
      </c>
      <c r="AB205" s="641"/>
    </row>
    <row r="206" spans="2:28" s="55" customFormat="1" ht="31" thickBot="1">
      <c r="B206" s="378">
        <f t="shared" ref="B206" ca="1" si="651">IF(C206="S",IF(OFFSET(C206,-1,0)="S", OFFSET(B206,-1,0), OFFSET(B206,-1,0) +1 ), C206)</f>
        <v>3</v>
      </c>
      <c r="C206" s="378" t="str">
        <f t="shared" si="394"/>
        <v>S</v>
      </c>
      <c r="D206" s="378">
        <f t="shared" ca="1" si="307"/>
        <v>12</v>
      </c>
      <c r="E206" s="378">
        <f t="shared" ref="E206" ca="1" si="652">IF($C206="2",OFFSET(E206,-1,0) +1,IF(OFFSET(D206,-1,0)&lt;&gt;D206,"0",IF(OFFSET(E206,-1,0)="","0",OFFSET(E206,-1,0))))</f>
        <v>2</v>
      </c>
      <c r="F206" s="378" t="str">
        <f t="shared" ref="F206" ca="1" si="653">IF($C206="3",OFFSET(F206,-1,0) +1,IF(OFFSET(E206,-1,0)&lt;&gt;E206,"0",IF(OFFSET(F206,-1,0)="","0",OFFSET(F206,-1,0))))</f>
        <v>0</v>
      </c>
      <c r="G206" s="378" t="str">
        <f t="shared" ref="G206" ca="1" si="654">IF($C206="4",OFFSET(G206,-1,0) +1,IF(OFFSET(F206,-1,0)&lt;&gt;F206,"0",IF(OFFSET(G206,-1,0)="","0",OFFSET(G206,-1,0))))</f>
        <v>0</v>
      </c>
      <c r="H206" s="378" t="str">
        <f t="shared" ref="H206" ca="1" si="655">IF($C206="5",OFFSET(H206,-1,0) +1,IF(OFFSET(G206,-1,0)&lt;&gt;G206,"0",IF(OFFSET(H206,-1,0)="","0",OFFSET(H206,-1,0))))</f>
        <v>0</v>
      </c>
      <c r="I206" s="378" t="str">
        <f t="shared" ref="I206" ca="1" si="656">IF($C206="6",OFFSET(I206,-1,0) +1,IF(OFFSET(H206,-1,0)&lt;&gt;H206,"0",IF(OFFSET(I206,-1,0)="","0", OFFSET(I206,-1,0))))</f>
        <v>0</v>
      </c>
      <c r="J206" s="378">
        <f t="shared" ca="1" si="313"/>
        <v>1</v>
      </c>
      <c r="K206" s="378" t="str">
        <f t="shared" ref="K206" si="657">IF(C206="S","NÃO", IF(C206="1", D206, IF(C206="2", D206 &amp; "." &amp; E206,IF(C206="3", D206 &amp; "." &amp; E206 &amp; "." &amp; F206, IF(C206="4", D206 &amp; "." &amp; E206 &amp; "." &amp; F206 &amp; "." &amp; G206, IF(C206="5", D206 &amp; "." &amp; E206 &amp; "." &amp; F206 &amp; "." &amp; G206 &amp; "." &amp; H206, IF(C206="6", D206 &amp; "." &amp; E206 &amp; "." &amp; F206 &amp; "." &amp; G206 &amp; "." &amp; H206 &amp; "." &amp; I206)))))))</f>
        <v>NÃO</v>
      </c>
      <c r="L206" s="378" t="str">
        <f t="shared" ref="L206" ca="1" si="658">IF(K206="NÃO",IF($B206=2,D206&amp;"."&amp;J206,IF($B206=3,D206&amp;"."&amp;E206&amp;"."&amp;J206,IF($B206=4,D206&amp;"."&amp;E206&amp;"."&amp;F206&amp;"."&amp;J206,IF($B206=5,D206&amp;"."&amp;E206&amp;"."&amp;F206&amp;"."&amp;G206&amp;"."&amp;J206,IF($B206=6,D206&amp;"."&amp;E206&amp;"."&amp;F206&amp;"."&amp;G206&amp;"."&amp;H206&amp;"."&amp;J206,IF($B206=7,D206&amp;"."&amp;E206&amp;"."&amp;F206&amp;"."&amp;G206&amp;"."&amp;H206&amp;"."&amp;I206&amp;"."&amp;J206,"FALHA")))))),K206)</f>
        <v>12.2.1</v>
      </c>
      <c r="M206" s="55" t="s">
        <v>27868</v>
      </c>
      <c r="O206" s="392" t="str">
        <f t="shared" ref="O206" ca="1" si="659">L206</f>
        <v>12.2.1</v>
      </c>
      <c r="P206" s="413" t="s">
        <v>29901</v>
      </c>
      <c r="Q206" s="414" t="s">
        <v>12764</v>
      </c>
      <c r="R206" s="415" t="str">
        <f>UPPER(IF(P206="CDHU",VLOOKUP(Q206,'CDHU 201-SD'!$A$1:$J$28014,2,FALSE),IF(P206="FDE",VLOOKUP(Q206,'FDE 01-26-SD'!$A$1:$J$280013,2,FALSE),IF(P206="PRÓPRIA",VLOOKUP(Q206,COMPOSIÇÃO!$1:$1048576,3,FALSE),VLOOKUP(Q206,'SINAPI 04-26-SD'!$A$1:$H$272700,2,FALSE)))))</f>
        <v>FORRO EM PAINÉIS DE GESSO ACARTONADO, ESPESSURA DE 12,5MM, FIXO</v>
      </c>
      <c r="S206" s="414" t="str">
        <f>UPPER(IF(P206="CDHU",VLOOKUP(Q206,'CDHU 201-SD'!$A$1:$J$28014,3,FALSE),IF(P206="FDE",VLOOKUP(Q206,'FDE 01-26-SD'!$A$1:$J$280013,3,FALSE),IF(P206="PRÓPRIA",VLOOKUP(Q206,COMPOSIÇÃO!$1:$1048576,7,FALSE),VLOOKUP(Q206,'SINAPI 04-26-SD'!$A$1:$H$272700,3,FALSE)))))</f>
        <v>M2</v>
      </c>
      <c r="T206" s="393">
        <f>VLOOKUP(Q206,'REVESTIMENTOS DE TETO'!$1:$1048576,12,FALSE)</f>
        <v>447.73</v>
      </c>
      <c r="U206" s="394">
        <f>TRUNC(IF(P206="CDHU",VLOOKUP(Q206,'CDHU 201-SD'!$A$1:$J$28014,6,FALSE),IF(P206="FDE",VLOOKUP(Q206,'FDE 01-26-SD'!$A$1:$J$280013,6,FALSE),IF(P206="PRÓPRIA",VLOOKUP(Q206,COMPOSIÇÃO!$1:$1048576,10,FALSE),VLOOKUP(Q206,'SINAPI 04-26-SD'!$A$1:$H$272700,4,FALSE)))),2)</f>
        <v>129.83000000000001</v>
      </c>
      <c r="V206" s="416">
        <f t="shared" ref="V206" si="660">TRUNC(U206*T206,2)</f>
        <v>58128.78</v>
      </c>
      <c r="W206" s="395">
        <f>IF($AA206="N",BDI!$D$26,IF($AA206="D",'BDI DIFE.'!$D$26,"ERRO"))</f>
        <v>0.22500000000000001</v>
      </c>
      <c r="X206" s="379">
        <f t="shared" ref="X206" si="661">TRUNC(U206*(1+W206),2)</f>
        <v>159.04</v>
      </c>
      <c r="Y206" s="380">
        <f t="shared" ref="Y206" si="662">TRUNC(T206*X206,2)</f>
        <v>71206.97</v>
      </c>
      <c r="Z206" s="381"/>
      <c r="AA206" s="378" t="s">
        <v>28044</v>
      </c>
      <c r="AB206" s="642"/>
    </row>
    <row r="207" spans="2:28" s="55" customFormat="1" ht="16" thickBot="1">
      <c r="B207" s="378" t="str">
        <f t="shared" ref="B207:B216" ca="1" si="663">IF(C207="S",IF(OFFSET(C207,-1,0)="S", OFFSET(B207,-1,0), OFFSET(B207,-1,0) +1 ), C207)</f>
        <v/>
      </c>
      <c r="C207" s="378" t="str">
        <f>IF(RIGHT($M207) = "o", "S", RIGHT($M207))</f>
        <v/>
      </c>
      <c r="D207" s="378">
        <f t="shared" ca="1" si="307"/>
        <v>12</v>
      </c>
      <c r="E207" s="378">
        <f t="shared" ref="E207:E216" ca="1" si="664">IF($C207="2",OFFSET(E207,-1,0) +1,IF(OFFSET(D207,-1,0)&lt;&gt;D207,"0",IF(OFFSET(E207,-1,0)="","0",OFFSET(E207,-1,0))))</f>
        <v>2</v>
      </c>
      <c r="F207" s="378" t="str">
        <f t="shared" ref="F207:F216" ca="1" si="665">IF($C207="3",OFFSET(F207,-1,0) +1,IF(OFFSET(E207,-1,0)&lt;&gt;E207,"0",IF(OFFSET(F207,-1,0)="","0",OFFSET(F207,-1,0))))</f>
        <v>0</v>
      </c>
      <c r="G207" s="378" t="str">
        <f t="shared" ref="G207:G216" ca="1" si="666">IF($C207="4",OFFSET(G207,-1,0) +1,IF(OFFSET(F207,-1,0)&lt;&gt;F207,"0",IF(OFFSET(G207,-1,0)="","0",OFFSET(G207,-1,0))))</f>
        <v>0</v>
      </c>
      <c r="H207" s="378" t="str">
        <f t="shared" ref="H207:H216" ca="1" si="667">IF($C207="5",OFFSET(H207,-1,0) +1,IF(OFFSET(G207,-1,0)&lt;&gt;G207,"0",IF(OFFSET(H207,-1,0)="","0",OFFSET(H207,-1,0))))</f>
        <v>0</v>
      </c>
      <c r="I207" s="378" t="str">
        <f t="shared" ref="I207:I216" ca="1" si="668">IF($C207="6",OFFSET(I207,-1,0) +1,IF(OFFSET(H207,-1,0)&lt;&gt;H207,"0",IF(OFFSET(I207,-1,0)="","0", OFFSET(I207,-1,0))))</f>
        <v>0</v>
      </c>
      <c r="J207" s="378" t="str">
        <f t="shared" ca="1" si="313"/>
        <v>0</v>
      </c>
      <c r="K207" s="378" t="b">
        <f t="shared" ref="K207:K216" si="669">IF(C207="S","NÃO", IF(C207="1", D207, IF(C207="2", D207 &amp; "." &amp; E207,IF(C207="3", D207 &amp; "." &amp; E207 &amp; "." &amp; F207, IF(C207="4", D207 &amp; "." &amp; E207 &amp; "." &amp; F207 &amp; "." &amp; G207, IF(C207="5", D207 &amp; "." &amp; E207 &amp; "." &amp; F207 &amp; "." &amp; G207 &amp; "." &amp; H207, IF(C207="6", D207 &amp; "." &amp; E207 &amp; "." &amp; F207 &amp; "." &amp; G207 &amp; "." &amp; H207 &amp; "." &amp; I207)))))))</f>
        <v>0</v>
      </c>
      <c r="L207" s="378" t="b">
        <f t="shared" ref="L207:L216" si="670">IF(K207="NÃO",IF($B207=2,D207&amp;"."&amp;J207,IF($B207=3,D207&amp;"."&amp;E207&amp;"."&amp;J207,IF($B207=4,D207&amp;"."&amp;E207&amp;"."&amp;F207&amp;"."&amp;J207,IF($B207=5,D207&amp;"."&amp;E207&amp;"."&amp;F207&amp;"."&amp;G207&amp;"."&amp;J207,IF($B207=6,D207&amp;"."&amp;E207&amp;"."&amp;F207&amp;"."&amp;G207&amp;"."&amp;H207&amp;"."&amp;J207,IF($B207=7,D207&amp;"."&amp;E207&amp;"."&amp;F207&amp;"."&amp;G207&amp;"."&amp;H207&amp;"."&amp;I207&amp;"."&amp;J207,"FALHA")))))),K207)</f>
        <v>0</v>
      </c>
      <c r="O207" s="192"/>
      <c r="P207" s="387"/>
      <c r="Q207" s="387"/>
      <c r="R207" s="377"/>
      <c r="S207" s="387"/>
      <c r="T207" s="363"/>
      <c r="U207" s="388"/>
      <c r="V207" s="389"/>
      <c r="W207" s="389"/>
      <c r="X207" s="389"/>
      <c r="Y207" s="390"/>
      <c r="AA207" s="378"/>
      <c r="AB207" s="642"/>
    </row>
    <row r="208" spans="2:28" s="75" customFormat="1" ht="16" thickBot="1">
      <c r="B208" s="75" t="str">
        <f t="shared" ca="1" si="663"/>
        <v>1</v>
      </c>
      <c r="C208" s="75" t="str">
        <f t="shared" si="394"/>
        <v>1</v>
      </c>
      <c r="D208" s="75">
        <f t="shared" ca="1" si="307"/>
        <v>13</v>
      </c>
      <c r="E208" s="75" t="str">
        <f t="shared" ca="1" si="664"/>
        <v>0</v>
      </c>
      <c r="F208" s="75" t="str">
        <f t="shared" ca="1" si="665"/>
        <v>0</v>
      </c>
      <c r="G208" s="75" t="str">
        <f t="shared" ca="1" si="666"/>
        <v>0</v>
      </c>
      <c r="H208" s="75" t="str">
        <f t="shared" ca="1" si="667"/>
        <v>0</v>
      </c>
      <c r="I208" s="75" t="str">
        <f t="shared" ca="1" si="668"/>
        <v>0</v>
      </c>
      <c r="J208" s="75" t="str">
        <f t="shared" ca="1" si="313"/>
        <v>0</v>
      </c>
      <c r="K208" s="75">
        <f t="shared" ca="1" si="669"/>
        <v>13</v>
      </c>
      <c r="L208" s="75">
        <f t="shared" ca="1" si="670"/>
        <v>13</v>
      </c>
      <c r="M208" s="55" t="s">
        <v>27859</v>
      </c>
      <c r="O208" s="191">
        <f t="shared" ref="O208:O216" ca="1" si="671">L208</f>
        <v>13</v>
      </c>
      <c r="P208" s="172"/>
      <c r="Q208" s="172"/>
      <c r="R208" s="621" t="s">
        <v>39984</v>
      </c>
      <c r="S208" s="172"/>
      <c r="T208" s="194"/>
      <c r="U208" s="195"/>
      <c r="V208" s="196">
        <f ca="1">IF(VALUE(C208)=1,SUMIFS(V:V,D:D,D208,M:M,"Serviço"),IF(VALUE(C208)=2,SUMIFS(V:V,D:D,D208,E:E,E208,M:M,"Serviço"),IF(VALUE(C208)=3,SUMIFS(V:V,D:D,D208,E:E,E208,F:F,F208,M:M,"Serviço"),IF(VALUE(C208)=4,SUMIFS(V:V,D:D,D208,E:E,E208,F:F,F208,G:G,G208,M:M,"Serviço"),"ERRO"))))</f>
        <v>294463.68</v>
      </c>
      <c r="W208" s="197"/>
      <c r="X208" s="205"/>
      <c r="Y208" s="173">
        <f ca="1">IF(VALUE(C208)=1,SUMIFS(Y:Y,D:D,D208,M:M,"Serviço"),IF(VALUE(C208)=2,SUMIFS(Y:Y,D:D,D208,E:E,E208,M:M,"Serviço"),IF(VALUE(C208)=3,SUMIFS(Y:Y,D:D,D208,E:E,E208,F:F,F208,M:M,"Serviço"),IF(VALUE(C208)=4,SUMIFS(Y:Y,D:D,D208,E:E,E208,F:F,F208,G:G,G208,M:M,"Serviço"),"ERRO"))))</f>
        <v>360705.42</v>
      </c>
      <c r="AB208" s="641"/>
    </row>
    <row r="209" spans="2:28" s="75" customFormat="1" ht="16" thickBot="1">
      <c r="B209" s="75" t="str">
        <f t="shared" ref="B209:B211" ca="1" si="672">IF(C209="S",IF(OFFSET(C209,-1,0)="S", OFFSET(B209,-1,0), OFFSET(B209,-1,0) +1 ), C209)</f>
        <v>2</v>
      </c>
      <c r="C209" s="75" t="str">
        <f t="shared" si="394"/>
        <v>2</v>
      </c>
      <c r="D209" s="75">
        <f t="shared" ca="1" si="307"/>
        <v>13</v>
      </c>
      <c r="E209" s="75">
        <f t="shared" ref="E209:E211" ca="1" si="673">IF($C209="2",OFFSET(E209,-1,0) +1,IF(OFFSET(D209,-1,0)&lt;&gt;D209,"0",IF(OFFSET(E209,-1,0)="","0",OFFSET(E209,-1,0))))</f>
        <v>1</v>
      </c>
      <c r="F209" s="75" t="str">
        <f t="shared" ref="F209:F211" ca="1" si="674">IF($C209="3",OFFSET(F209,-1,0) +1,IF(OFFSET(E209,-1,0)&lt;&gt;E209,"0",IF(OFFSET(F209,-1,0)="","0",OFFSET(F209,-1,0))))</f>
        <v>0</v>
      </c>
      <c r="G209" s="75" t="str">
        <f t="shared" ref="G209:G211" ca="1" si="675">IF($C209="4",OFFSET(G209,-1,0) +1,IF(OFFSET(F209,-1,0)&lt;&gt;F209,"0",IF(OFFSET(G209,-1,0)="","0",OFFSET(G209,-1,0))))</f>
        <v>0</v>
      </c>
      <c r="H209" s="75" t="str">
        <f t="shared" ref="H209:H211" ca="1" si="676">IF($C209="5",OFFSET(H209,-1,0) +1,IF(OFFSET(G209,-1,0)&lt;&gt;G209,"0",IF(OFFSET(H209,-1,0)="","0",OFFSET(H209,-1,0))))</f>
        <v>0</v>
      </c>
      <c r="I209" s="75" t="str">
        <f t="shared" ref="I209:I211" ca="1" si="677">IF($C209="6",OFFSET(I209,-1,0) +1,IF(OFFSET(H209,-1,0)&lt;&gt;H209,"0",IF(OFFSET(I209,-1,0)="","0", OFFSET(I209,-1,0))))</f>
        <v>0</v>
      </c>
      <c r="J209" s="75" t="str">
        <f t="shared" ca="1" si="313"/>
        <v>0</v>
      </c>
      <c r="K209" s="75" t="str">
        <f t="shared" ref="K209:K211" ca="1" si="678">IF(C209="S","NÃO", IF(C209="1", D209, IF(C209="2", D209 &amp; "." &amp; E209,IF(C209="3", D209 &amp; "." &amp; E209 &amp; "." &amp; F209, IF(C209="4", D209 &amp; "." &amp; E209 &amp; "." &amp; F209 &amp; "." &amp; G209, IF(C209="5", D209 &amp; "." &amp; E209 &amp; "." &amp; F209 &amp; "." &amp; G209 &amp; "." &amp; H209, IF(C209="6", D209 &amp; "." &amp; E209 &amp; "." &amp; F209 &amp; "." &amp; G209 &amp; "." &amp; H209 &amp; "." &amp; I209)))))))</f>
        <v>13.1</v>
      </c>
      <c r="L209" s="75" t="str">
        <f t="shared" ref="L209:L211" ca="1" si="679">IF(K209="NÃO",IF($B209=2,D209&amp;"."&amp;J209,IF($B209=3,D209&amp;"."&amp;E209&amp;"."&amp;J209,IF($B209=4,D209&amp;"."&amp;E209&amp;"."&amp;F209&amp;"."&amp;J209,IF($B209=5,D209&amp;"."&amp;E209&amp;"."&amp;F209&amp;"."&amp;G209&amp;"."&amp;J209,IF($B209=6,D209&amp;"."&amp;E209&amp;"."&amp;F209&amp;"."&amp;G209&amp;"."&amp;H209&amp;"."&amp;J209,IF($B209=7,D209&amp;"."&amp;E209&amp;"."&amp;F209&amp;"."&amp;G209&amp;"."&amp;H209&amp;"."&amp;I209&amp;"."&amp;J209,"FALHA")))))),K209)</f>
        <v>13.1</v>
      </c>
      <c r="M209" s="55" t="s">
        <v>27861</v>
      </c>
      <c r="O209" s="191" t="str">
        <f t="shared" ref="O209:O210" ca="1" si="680">L209</f>
        <v>13.1</v>
      </c>
      <c r="P209" s="172"/>
      <c r="Q209" s="172"/>
      <c r="R209" s="621" t="s">
        <v>44508</v>
      </c>
      <c r="S209" s="172"/>
      <c r="T209" s="194"/>
      <c r="U209" s="195"/>
      <c r="V209" s="196">
        <f ca="1">IF(VALUE(C209)=1,SUMIFS(V:V,D:D,D209,M:M,"Serviço"),IF(VALUE(C209)=2,SUMIFS(V:V,D:D,D209,E:E,E209,M:M,"Serviço"),IF(VALUE(C209)=3,SUMIFS(V:V,D:D,D209,E:E,E209,F:F,F209,M:M,"Serviço"),IF(VALUE(C209)=4,SUMIFS(V:V,D:D,D209,E:E,E209,F:F,F209,G:G,G209,M:M,"Serviço"),"ERRO"))))</f>
        <v>6774.28</v>
      </c>
      <c r="W209" s="197"/>
      <c r="X209" s="205"/>
      <c r="Y209" s="173">
        <f ca="1">IF(VALUE(C209)=1,SUMIFS(Y:Y,D:D,D209,M:M,"Serviço"),IF(VALUE(C209)=2,SUMIFS(Y:Y,D:D,D209,E:E,E209,M:M,"Serviço"),IF(VALUE(C209)=3,SUMIFS(Y:Y,D:D,D209,E:E,E209,F:F,F209,M:M,"Serviço"),IF(VALUE(C209)=4,SUMIFS(Y:Y,D:D,D209,E:E,E209,F:F,F209,G:G,G209,M:M,"Serviço"),"ERRO"))))</f>
        <v>8297.7199999999993</v>
      </c>
      <c r="AB209" s="641"/>
    </row>
    <row r="210" spans="2:28" s="55" customFormat="1" ht="16" thickBot="1">
      <c r="B210" s="378">
        <f t="shared" ca="1" si="672"/>
        <v>3</v>
      </c>
      <c r="C210" s="378" t="str">
        <f t="shared" si="394"/>
        <v>S</v>
      </c>
      <c r="D210" s="378">
        <f t="shared" ca="1" si="307"/>
        <v>13</v>
      </c>
      <c r="E210" s="378">
        <f t="shared" ca="1" si="673"/>
        <v>1</v>
      </c>
      <c r="F210" s="378" t="str">
        <f t="shared" ca="1" si="674"/>
        <v>0</v>
      </c>
      <c r="G210" s="378" t="str">
        <f t="shared" ca="1" si="675"/>
        <v>0</v>
      </c>
      <c r="H210" s="378" t="str">
        <f t="shared" ca="1" si="676"/>
        <v>0</v>
      </c>
      <c r="I210" s="378" t="str">
        <f t="shared" ca="1" si="677"/>
        <v>0</v>
      </c>
      <c r="J210" s="378">
        <f t="shared" ca="1" si="313"/>
        <v>1</v>
      </c>
      <c r="K210" s="378" t="str">
        <f t="shared" si="678"/>
        <v>NÃO</v>
      </c>
      <c r="L210" s="378" t="str">
        <f t="shared" ca="1" si="679"/>
        <v>13.1.1</v>
      </c>
      <c r="M210" s="55" t="s">
        <v>27868</v>
      </c>
      <c r="O210" s="392" t="str">
        <f t="shared" ca="1" si="680"/>
        <v>13.1.1</v>
      </c>
      <c r="P210" s="413" t="s">
        <v>29901</v>
      </c>
      <c r="Q210" s="414" t="s">
        <v>10858</v>
      </c>
      <c r="R210" s="415" t="str">
        <f>UPPER(IF(P210="CDHU",VLOOKUP(Q210,'CDHU 201-SD'!$A$1:$J$28014,2,FALSE),IF(P210="FDE",VLOOKUP(Q210,'FDE 01-26-SD'!$A$1:$J$280013,2,FALSE),IF(P210="PRÓPRIA",VLOOKUP(Q210,COMPOSIÇÃO!$1:$1048576,3,FALSE),VLOOKUP(Q210,'SINAPI 04-26-SD'!$A$1:$H$272700,2,FALSE)))))</f>
        <v>PROTEÇÃO DE PISO COM TECIDO DE ANIAGEM E GESSO</v>
      </c>
      <c r="S210" s="414" t="str">
        <f>UPPER(IF(P210="CDHU",VLOOKUP(Q210,'CDHU 201-SD'!$A$1:$J$28014,3,FALSE),IF(P210="FDE",VLOOKUP(Q210,'FDE 01-26-SD'!$A$1:$J$280013,3,FALSE),IF(P210="PRÓPRIA",VLOOKUP(Q210,COMPOSIÇÃO!$1:$1048576,7,FALSE),VLOOKUP(Q210,'SINAPI 04-26-SD'!$A$1:$H$272700,3,FALSE)))))</f>
        <v>M2</v>
      </c>
      <c r="T210" s="393">
        <f>VLOOKUP(Q210,'PISOS INTERNOS'!$1:$1048576,12,FALSE)</f>
        <v>386.65999999999997</v>
      </c>
      <c r="U210" s="394">
        <f>TRUNC(IF(P210="CDHU",VLOOKUP(Q210,'CDHU 201-SD'!$A$1:$J$28014,6,FALSE),IF(P210="FDE",VLOOKUP(Q210,'FDE 01-26-SD'!$A$1:$J$280013,6,FALSE),IF(P210="PRÓPRIA",VLOOKUP(Q210,COMPOSIÇÃO!$1:$1048576,10,FALSE),VLOOKUP(Q210,'SINAPI 04-26-SD'!$A$1:$H$272700,4,FALSE)))),2)</f>
        <v>17.52</v>
      </c>
      <c r="V210" s="416">
        <f t="shared" ref="V210" si="681">TRUNC(U210*T210,2)</f>
        <v>6774.28</v>
      </c>
      <c r="W210" s="395">
        <f>IF($AA210="N",BDI!$D$26,IF($AA210="D",'BDI DIFE.'!$D$26,"ERRO"))</f>
        <v>0.22500000000000001</v>
      </c>
      <c r="X210" s="379">
        <f t="shared" ref="X210" si="682">TRUNC(U210*(1+W210),2)</f>
        <v>21.46</v>
      </c>
      <c r="Y210" s="380">
        <f t="shared" ref="Y210" si="683">TRUNC(T210*X210,2)</f>
        <v>8297.7199999999993</v>
      </c>
      <c r="Z210" s="381"/>
      <c r="AA210" s="378" t="s">
        <v>28044</v>
      </c>
      <c r="AB210" s="642"/>
    </row>
    <row r="211" spans="2:28" s="55" customFormat="1" ht="16" thickBot="1">
      <c r="B211" s="378" t="str">
        <f t="shared" ca="1" si="672"/>
        <v/>
      </c>
      <c r="C211" s="378" t="str">
        <f t="shared" si="394"/>
        <v/>
      </c>
      <c r="D211" s="378">
        <f t="shared" ca="1" si="307"/>
        <v>13</v>
      </c>
      <c r="E211" s="378">
        <f t="shared" ca="1" si="673"/>
        <v>1</v>
      </c>
      <c r="F211" s="378" t="str">
        <f t="shared" ca="1" si="674"/>
        <v>0</v>
      </c>
      <c r="G211" s="378" t="str">
        <f t="shared" ca="1" si="675"/>
        <v>0</v>
      </c>
      <c r="H211" s="378" t="str">
        <f t="shared" ca="1" si="676"/>
        <v>0</v>
      </c>
      <c r="I211" s="378" t="str">
        <f t="shared" ca="1" si="677"/>
        <v>0</v>
      </c>
      <c r="J211" s="378" t="str">
        <f t="shared" ca="1" si="313"/>
        <v>0</v>
      </c>
      <c r="K211" s="378" t="b">
        <f t="shared" si="678"/>
        <v>0</v>
      </c>
      <c r="L211" s="378" t="b">
        <f t="shared" si="679"/>
        <v>0</v>
      </c>
      <c r="O211" s="192"/>
      <c r="P211" s="387"/>
      <c r="Q211" s="387"/>
      <c r="R211" s="377"/>
      <c r="S211" s="387"/>
      <c r="T211" s="363"/>
      <c r="U211" s="388"/>
      <c r="V211" s="389"/>
      <c r="W211" s="389"/>
      <c r="X211" s="389"/>
      <c r="Y211" s="390"/>
      <c r="AB211" s="642"/>
    </row>
    <row r="212" spans="2:28" s="75" customFormat="1" ht="16" thickBot="1">
      <c r="B212" s="75" t="str">
        <f t="shared" ca="1" si="663"/>
        <v>2</v>
      </c>
      <c r="C212" s="75" t="str">
        <f t="shared" si="394"/>
        <v>2</v>
      </c>
      <c r="D212" s="75">
        <f t="shared" ca="1" si="307"/>
        <v>13</v>
      </c>
      <c r="E212" s="75">
        <f t="shared" ca="1" si="664"/>
        <v>2</v>
      </c>
      <c r="F212" s="75" t="str">
        <f t="shared" ca="1" si="665"/>
        <v>0</v>
      </c>
      <c r="G212" s="75" t="str">
        <f t="shared" ca="1" si="666"/>
        <v>0</v>
      </c>
      <c r="H212" s="75" t="str">
        <f t="shared" ca="1" si="667"/>
        <v>0</v>
      </c>
      <c r="I212" s="75" t="str">
        <f t="shared" ca="1" si="668"/>
        <v>0</v>
      </c>
      <c r="J212" s="75" t="str">
        <f t="shared" ca="1" si="313"/>
        <v>0</v>
      </c>
      <c r="K212" s="75" t="str">
        <f t="shared" ca="1" si="669"/>
        <v>13.2</v>
      </c>
      <c r="L212" s="75" t="str">
        <f t="shared" ca="1" si="670"/>
        <v>13.2</v>
      </c>
      <c r="M212" s="55" t="s">
        <v>27861</v>
      </c>
      <c r="O212" s="191" t="str">
        <f t="shared" ca="1" si="671"/>
        <v>13.2</v>
      </c>
      <c r="P212" s="172"/>
      <c r="Q212" s="172"/>
      <c r="R212" s="621" t="s">
        <v>44324</v>
      </c>
      <c r="S212" s="172"/>
      <c r="T212" s="194"/>
      <c r="U212" s="195"/>
      <c r="V212" s="196">
        <f ca="1">IF(VALUE(C212)=1,SUMIFS(V:V,D:D,D212,M:M,"Serviço"),IF(VALUE(C212)=2,SUMIFS(V:V,D:D,D212,E:E,E212,M:M,"Serviço"),IF(VALUE(C212)=3,SUMIFS(V:V,D:D,D212,E:E,E212,F:F,F212,M:M,"Serviço"),IF(VALUE(C212)=4,SUMIFS(V:V,D:D,D212,E:E,E212,F:F,F212,G:G,G212,M:M,"Serviço"),"ERRO"))))</f>
        <v>15717.72</v>
      </c>
      <c r="W212" s="197"/>
      <c r="X212" s="205"/>
      <c r="Y212" s="173">
        <f ca="1">IF(VALUE(C212)=1,SUMIFS(Y:Y,D:D,D212,M:M,"Serviço"),IF(VALUE(C212)=2,SUMIFS(Y:Y,D:D,D212,E:E,E212,M:M,"Serviço"),IF(VALUE(C212)=3,SUMIFS(Y:Y,D:D,D212,E:E,E212,F:F,F212,M:M,"Serviço"),IF(VALUE(C212)=4,SUMIFS(Y:Y,D:D,D212,E:E,E212,F:F,F212,G:G,G212,M:M,"Serviço"),"ERRO"))))</f>
        <v>19253.009999999998</v>
      </c>
      <c r="AB212" s="641"/>
    </row>
    <row r="213" spans="2:28" s="55" customFormat="1" ht="45">
      <c r="B213" s="378">
        <f t="shared" ca="1" si="663"/>
        <v>3</v>
      </c>
      <c r="C213" s="378" t="str">
        <f t="shared" si="394"/>
        <v>S</v>
      </c>
      <c r="D213" s="378">
        <f t="shared" ca="1" si="307"/>
        <v>13</v>
      </c>
      <c r="E213" s="378">
        <f t="shared" ca="1" si="664"/>
        <v>2</v>
      </c>
      <c r="F213" s="378" t="str">
        <f t="shared" ca="1" si="665"/>
        <v>0</v>
      </c>
      <c r="G213" s="378" t="str">
        <f t="shared" ca="1" si="666"/>
        <v>0</v>
      </c>
      <c r="H213" s="378" t="str">
        <f t="shared" ca="1" si="667"/>
        <v>0</v>
      </c>
      <c r="I213" s="378" t="str">
        <f t="shared" ca="1" si="668"/>
        <v>0</v>
      </c>
      <c r="J213" s="378">
        <f t="shared" ca="1" si="313"/>
        <v>1</v>
      </c>
      <c r="K213" s="378" t="str">
        <f t="shared" si="669"/>
        <v>NÃO</v>
      </c>
      <c r="L213" s="378" t="str">
        <f t="shared" ca="1" si="670"/>
        <v>13.2.1</v>
      </c>
      <c r="M213" s="55" t="s">
        <v>27868</v>
      </c>
      <c r="O213" s="392" t="str">
        <f t="shared" ca="1" si="671"/>
        <v>13.2.1</v>
      </c>
      <c r="P213" s="413" t="s">
        <v>27888</v>
      </c>
      <c r="Q213" s="414">
        <v>97083</v>
      </c>
      <c r="R213" s="415" t="str">
        <f>UPPER(IF(P213="CDHU",VLOOKUP(Q213,'CDHU 201-SD'!$A$1:$J$28014,2,FALSE),IF(P213="FDE",VLOOKUP(Q213,'FDE 01-26-SD'!$A$1:$J$280013,2,FALSE),IF(P213="PRÓPRIA",VLOOKUP(Q213,COMPOSIÇÃO!$1:$1048576,3,FALSE),VLOOKUP(Q213,'SINAPI 04-26-SD'!$A$1:$H$272700,2,FALSE)))))</f>
        <v>COMPACTAÇÃO MECÂNICA DE SOLO PARA EXECUÇÃO DE RADIER, PISO DE CONCRETO OU LAJE SOBRE SOLO, COM COMPACTADOR DE SOLOS A PERCUSSÃO. AF_09/2021</v>
      </c>
      <c r="S213" s="414" t="str">
        <f>UPPER(IF(P213="CDHU",VLOOKUP(Q213,'CDHU 201-SD'!$A$1:$J$28014,3,FALSE),IF(P213="FDE",VLOOKUP(Q213,'FDE 01-26-SD'!$A$1:$J$280013,3,FALSE),IF(P213="PRÓPRIA",VLOOKUP(Q213,COMPOSIÇÃO!$1:$1048576,7,FALSE),VLOOKUP(Q213,'SINAPI 04-26-SD'!$A$1:$H$272700,3,FALSE)))))</f>
        <v>M2</v>
      </c>
      <c r="T213" s="393">
        <f>VLOOKUP(Q213,'PISOS INTERNOS'!$1:$1048576,12,FALSE)</f>
        <v>134.07640000000001</v>
      </c>
      <c r="U213" s="394">
        <f>TRUNC(IF(P213="CDHU",VLOOKUP(Q213,'CDHU 201-SD'!$A$1:$J$28014,6,FALSE),IF(P213="FDE",VLOOKUP(Q213,'FDE 01-26-SD'!$A$1:$J$280013,6,FALSE),IF(P213="PRÓPRIA",VLOOKUP(Q213,COMPOSIÇÃO!$1:$1048576,10,FALSE),VLOOKUP(Q213,'SINAPI 04-26-SD'!$A$1:$H$272700,4,FALSE)))),2)</f>
        <v>4.57</v>
      </c>
      <c r="V213" s="416">
        <f t="shared" ref="V213" si="684">TRUNC(U213*T213,2)</f>
        <v>612.72</v>
      </c>
      <c r="W213" s="395">
        <f>IF($AA213="N",BDI!$D$26,IF($AA213="D",'BDI DIFE.'!$D$26,"ERRO"))</f>
        <v>0.22500000000000001</v>
      </c>
      <c r="X213" s="379">
        <f t="shared" ref="X213" si="685">TRUNC(U213*(1+W213),2)</f>
        <v>5.59</v>
      </c>
      <c r="Y213" s="380">
        <f t="shared" ref="Y213" si="686">TRUNC(T213*X213,2)</f>
        <v>749.48</v>
      </c>
      <c r="Z213" s="381"/>
      <c r="AA213" s="378" t="s">
        <v>28044</v>
      </c>
      <c r="AB213" s="642"/>
    </row>
    <row r="214" spans="2:28" s="55" customFormat="1">
      <c r="B214" s="378">
        <f t="shared" ref="B214:B215" ca="1" si="687">IF(C214="S",IF(OFFSET(C214,-1,0)="S", OFFSET(B214,-1,0), OFFSET(B214,-1,0) +1 ), C214)</f>
        <v>3</v>
      </c>
      <c r="C214" s="378" t="str">
        <f t="shared" si="394"/>
        <v>S</v>
      </c>
      <c r="D214" s="378">
        <f t="shared" ca="1" si="307"/>
        <v>13</v>
      </c>
      <c r="E214" s="378">
        <f t="shared" ref="E214:E215" ca="1" si="688">IF($C214="2",OFFSET(E214,-1,0) +1,IF(OFFSET(D214,-1,0)&lt;&gt;D214,"0",IF(OFFSET(E214,-1,0)="","0",OFFSET(E214,-1,0))))</f>
        <v>2</v>
      </c>
      <c r="F214" s="378" t="str">
        <f t="shared" ref="F214:F215" ca="1" si="689">IF($C214="3",OFFSET(F214,-1,0) +1,IF(OFFSET(E214,-1,0)&lt;&gt;E214,"0",IF(OFFSET(F214,-1,0)="","0",OFFSET(F214,-1,0))))</f>
        <v>0</v>
      </c>
      <c r="G214" s="378" t="str">
        <f t="shared" ref="G214:G215" ca="1" si="690">IF($C214="4",OFFSET(G214,-1,0) +1,IF(OFFSET(F214,-1,0)&lt;&gt;F214,"0",IF(OFFSET(G214,-1,0)="","0",OFFSET(G214,-1,0))))</f>
        <v>0</v>
      </c>
      <c r="H214" s="378" t="str">
        <f t="shared" ref="H214:H215" ca="1" si="691">IF($C214="5",OFFSET(H214,-1,0) +1,IF(OFFSET(G214,-1,0)&lt;&gt;G214,"0",IF(OFFSET(H214,-1,0)="","0",OFFSET(H214,-1,0))))</f>
        <v>0</v>
      </c>
      <c r="I214" s="378" t="str">
        <f t="shared" ref="I214:I215" ca="1" si="692">IF($C214="6",OFFSET(I214,-1,0) +1,IF(OFFSET(H214,-1,0)&lt;&gt;H214,"0",IF(OFFSET(I214,-1,0)="","0", OFFSET(I214,-1,0))))</f>
        <v>0</v>
      </c>
      <c r="J214" s="378">
        <f t="shared" ca="1" si="313"/>
        <v>2</v>
      </c>
      <c r="K214" s="378" t="str">
        <f t="shared" ref="K214:K215" si="693">IF(C214="S","NÃO", IF(C214="1", D214, IF(C214="2", D214 &amp; "." &amp; E214,IF(C214="3", D214 &amp; "." &amp; E214 &amp; "." &amp; F214, IF(C214="4", D214 &amp; "." &amp; E214 &amp; "." &amp; F214 &amp; "." &amp; G214, IF(C214="5", D214 &amp; "." &amp; E214 &amp; "." &amp; F214 &amp; "." &amp; G214 &amp; "." &amp; H214, IF(C214="6", D214 &amp; "." &amp; E214 &amp; "." &amp; F214 &amp; "." &amp; G214 &amp; "." &amp; H214 &amp; "." &amp; I214)))))))</f>
        <v>NÃO</v>
      </c>
      <c r="L214" s="378" t="str">
        <f t="shared" ref="L214:L215" ca="1" si="694">IF(K214="NÃO",IF($B214=2,D214&amp;"."&amp;J214,IF($B214=3,D214&amp;"."&amp;E214&amp;"."&amp;J214,IF($B214=4,D214&amp;"."&amp;E214&amp;"."&amp;F214&amp;"."&amp;J214,IF($B214=5,D214&amp;"."&amp;E214&amp;"."&amp;F214&amp;"."&amp;G214&amp;"."&amp;J214,IF($B214=6,D214&amp;"."&amp;E214&amp;"."&amp;F214&amp;"."&amp;G214&amp;"."&amp;H214&amp;"."&amp;J214,IF($B214=7,D214&amp;"."&amp;E214&amp;"."&amp;F214&amp;"."&amp;G214&amp;"."&amp;H214&amp;"."&amp;I214&amp;"."&amp;J214,"FALHA")))))),K214)</f>
        <v>13.2.2</v>
      </c>
      <c r="M214" s="55" t="s">
        <v>27868</v>
      </c>
      <c r="O214" s="392" t="str">
        <f t="shared" ref="O214:O215" ca="1" si="695">L214</f>
        <v>13.2.2</v>
      </c>
      <c r="P214" s="413" t="s">
        <v>29901</v>
      </c>
      <c r="Q214" s="414" t="s">
        <v>11779</v>
      </c>
      <c r="R214" s="415" t="str">
        <f>UPPER(IF(P214="CDHU",VLOOKUP(Q214,'CDHU 201-SD'!$A$1:$J$28014,2,FALSE),IF(P214="FDE",VLOOKUP(Q214,'FDE 01-26-SD'!$A$1:$J$280013,2,FALSE),IF(P214="PRÓPRIA",VLOOKUP(Q214,COMPOSIÇÃO!$1:$1048576,3,FALSE),VLOOKUP(Q214,'SINAPI 04-26-SD'!$A$1:$H$272700,2,FALSE)))))</f>
        <v>LASTRO DE PEDRA BRITADA</v>
      </c>
      <c r="S214" s="414" t="str">
        <f>UPPER(IF(P214="CDHU",VLOOKUP(Q214,'CDHU 201-SD'!$A$1:$J$28014,3,FALSE),IF(P214="FDE",VLOOKUP(Q214,'FDE 01-26-SD'!$A$1:$J$280013,3,FALSE),IF(P214="PRÓPRIA",VLOOKUP(Q214,COMPOSIÇÃO!$1:$1048576,7,FALSE),VLOOKUP(Q214,'SINAPI 04-26-SD'!$A$1:$H$272700,3,FALSE)))))</f>
        <v>M3</v>
      </c>
      <c r="T214" s="393">
        <f>VLOOKUP(Q214,'PISOS INTERNOS'!$1:$1048576,12,FALSE)</f>
        <v>6.7038200000000003</v>
      </c>
      <c r="U214" s="394">
        <f>TRUNC(IF(P214="CDHU",VLOOKUP(Q214,'CDHU 201-SD'!$A$1:$J$28014,6,FALSE),IF(P214="FDE",VLOOKUP(Q214,'FDE 01-26-SD'!$A$1:$J$280013,6,FALSE),IF(P214="PRÓPRIA",VLOOKUP(Q214,COMPOSIÇÃO!$1:$1048576,10,FALSE),VLOOKUP(Q214,'SINAPI 04-26-SD'!$A$1:$H$272700,4,FALSE)))),2)</f>
        <v>221.55</v>
      </c>
      <c r="V214" s="416">
        <f t="shared" ref="V214:V215" si="696">TRUNC(U214*T214,2)</f>
        <v>1485.23</v>
      </c>
      <c r="W214" s="395">
        <f>IF($AA214="N",BDI!$D$26,IF($AA214="D",'BDI DIFE.'!$D$26,"ERRO"))</f>
        <v>0.22500000000000001</v>
      </c>
      <c r="X214" s="379">
        <f t="shared" ref="X214:X215" si="697">TRUNC(U214*(1+W214),2)</f>
        <v>271.39</v>
      </c>
      <c r="Y214" s="380">
        <f t="shared" ref="Y214:Y215" si="698">TRUNC(T214*X214,2)</f>
        <v>1819.34</v>
      </c>
      <c r="Z214" s="381"/>
      <c r="AA214" s="378" t="s">
        <v>28044</v>
      </c>
      <c r="AB214" s="642"/>
    </row>
    <row r="215" spans="2:28" s="55" customFormat="1">
      <c r="B215" s="378">
        <f t="shared" ca="1" si="687"/>
        <v>3</v>
      </c>
      <c r="C215" s="378" t="str">
        <f t="shared" si="394"/>
        <v>S</v>
      </c>
      <c r="D215" s="378">
        <f t="shared" ca="1" si="307"/>
        <v>13</v>
      </c>
      <c r="E215" s="378">
        <f t="shared" ca="1" si="688"/>
        <v>2</v>
      </c>
      <c r="F215" s="378" t="str">
        <f t="shared" ca="1" si="689"/>
        <v>0</v>
      </c>
      <c r="G215" s="378" t="str">
        <f t="shared" ca="1" si="690"/>
        <v>0</v>
      </c>
      <c r="H215" s="378" t="str">
        <f t="shared" ca="1" si="691"/>
        <v>0</v>
      </c>
      <c r="I215" s="378" t="str">
        <f t="shared" ca="1" si="692"/>
        <v>0</v>
      </c>
      <c r="J215" s="378">
        <f t="shared" ca="1" si="313"/>
        <v>3</v>
      </c>
      <c r="K215" s="378" t="str">
        <f t="shared" si="693"/>
        <v>NÃO</v>
      </c>
      <c r="L215" s="378" t="str">
        <f t="shared" ca="1" si="694"/>
        <v>13.2.3</v>
      </c>
      <c r="M215" s="55" t="s">
        <v>27868</v>
      </c>
      <c r="O215" s="392" t="str">
        <f t="shared" ca="1" si="695"/>
        <v>13.2.3</v>
      </c>
      <c r="P215" s="413" t="s">
        <v>29901</v>
      </c>
      <c r="Q215" s="414" t="s">
        <v>12306</v>
      </c>
      <c r="R215" s="415" t="str">
        <f>UPPER(IF(P215="CDHU",VLOOKUP(Q215,'CDHU 201-SD'!$A$1:$J$28014,2,FALSE),IF(P215="FDE",VLOOKUP(Q215,'FDE 01-26-SD'!$A$1:$J$280013,2,FALSE),IF(P215="PRÓPRIA",VLOOKUP(Q215,COMPOSIÇÃO!$1:$1048576,3,FALSE),VLOOKUP(Q215,'SINAPI 04-26-SD'!$A$1:$H$272700,2,FALSE)))))</f>
        <v>LASTRO DE CONCRETO IMPERMEABILIZADO</v>
      </c>
      <c r="S215" s="414" t="str">
        <f>UPPER(IF(P215="CDHU",VLOOKUP(Q215,'CDHU 201-SD'!$A$1:$J$28014,3,FALSE),IF(P215="FDE",VLOOKUP(Q215,'FDE 01-26-SD'!$A$1:$J$280013,3,FALSE),IF(P215="PRÓPRIA",VLOOKUP(Q215,COMPOSIÇÃO!$1:$1048576,7,FALSE),VLOOKUP(Q215,'SINAPI 04-26-SD'!$A$1:$H$272700,3,FALSE)))))</f>
        <v>M3</v>
      </c>
      <c r="T215" s="393">
        <f>VLOOKUP(Q215,'PISOS INTERNOS'!$1:$1048576,12,FALSE)</f>
        <v>9.3853480000000022</v>
      </c>
      <c r="U215" s="394">
        <f>TRUNC(IF(P215="CDHU",VLOOKUP(Q215,'CDHU 201-SD'!$A$1:$J$28014,6,FALSE),IF(P215="FDE",VLOOKUP(Q215,'FDE 01-26-SD'!$A$1:$J$280013,6,FALSE),IF(P215="PRÓPRIA",VLOOKUP(Q215,COMPOSIÇÃO!$1:$1048576,10,FALSE),VLOOKUP(Q215,'SINAPI 04-26-SD'!$A$1:$H$272700,4,FALSE)))),2)</f>
        <v>798.59</v>
      </c>
      <c r="V215" s="416">
        <f t="shared" si="696"/>
        <v>7495.04</v>
      </c>
      <c r="W215" s="395">
        <f>IF($AA215="N",BDI!$D$26,IF($AA215="D",'BDI DIFE.'!$D$26,"ERRO"))</f>
        <v>0.22500000000000001</v>
      </c>
      <c r="X215" s="379">
        <f t="shared" si="697"/>
        <v>978.27</v>
      </c>
      <c r="Y215" s="380">
        <f t="shared" si="698"/>
        <v>9181.4</v>
      </c>
      <c r="Z215" s="381"/>
      <c r="AA215" s="378" t="s">
        <v>28044</v>
      </c>
      <c r="AB215" s="642"/>
    </row>
    <row r="216" spans="2:28" s="55" customFormat="1" ht="16" thickBot="1">
      <c r="B216" s="378">
        <f t="shared" ca="1" si="663"/>
        <v>3</v>
      </c>
      <c r="C216" s="378" t="str">
        <f t="shared" si="394"/>
        <v>S</v>
      </c>
      <c r="D216" s="378">
        <f t="shared" ca="1" si="307"/>
        <v>13</v>
      </c>
      <c r="E216" s="378">
        <f t="shared" ca="1" si="664"/>
        <v>2</v>
      </c>
      <c r="F216" s="378" t="str">
        <f t="shared" ca="1" si="665"/>
        <v>0</v>
      </c>
      <c r="G216" s="378" t="str">
        <f t="shared" ca="1" si="666"/>
        <v>0</v>
      </c>
      <c r="H216" s="378" t="str">
        <f t="shared" ca="1" si="667"/>
        <v>0</v>
      </c>
      <c r="I216" s="378" t="str">
        <f t="shared" ca="1" si="668"/>
        <v>0</v>
      </c>
      <c r="J216" s="378">
        <f t="shared" ca="1" si="313"/>
        <v>4</v>
      </c>
      <c r="K216" s="378" t="str">
        <f t="shared" si="669"/>
        <v>NÃO</v>
      </c>
      <c r="L216" s="378" t="str">
        <f t="shared" ca="1" si="670"/>
        <v>13.2.4</v>
      </c>
      <c r="M216" s="55" t="s">
        <v>27868</v>
      </c>
      <c r="O216" s="392" t="str">
        <f t="shared" ca="1" si="671"/>
        <v>13.2.4</v>
      </c>
      <c r="P216" s="413" t="s">
        <v>29901</v>
      </c>
      <c r="Q216" s="414" t="s">
        <v>12304</v>
      </c>
      <c r="R216" s="415" t="str">
        <f>UPPER(IF(P216="CDHU",VLOOKUP(Q216,'CDHU 201-SD'!$A$1:$J$28014,2,FALSE),IF(P216="FDE",VLOOKUP(Q216,'FDE 01-26-SD'!$A$1:$J$280013,2,FALSE),IF(P216="PRÓPRIA",VLOOKUP(Q216,COMPOSIÇÃO!$1:$1048576,3,FALSE),VLOOKUP(Q216,'SINAPI 04-26-SD'!$A$1:$H$272700,2,FALSE)))))</f>
        <v>ARGAMASSA DE REGULARIZAÇÃO E/OU PROTEÇÃO</v>
      </c>
      <c r="S216" s="414" t="str">
        <f>UPPER(IF(P216="CDHU",VLOOKUP(Q216,'CDHU 201-SD'!$A$1:$J$28014,3,FALSE),IF(P216="FDE",VLOOKUP(Q216,'FDE 01-26-SD'!$A$1:$J$280013,3,FALSE),IF(P216="PRÓPRIA",VLOOKUP(Q216,COMPOSIÇÃO!$1:$1048576,7,FALSE),VLOOKUP(Q216,'SINAPI 04-26-SD'!$A$1:$H$272700,3,FALSE)))))</f>
        <v>M3</v>
      </c>
      <c r="T216" s="393">
        <f>VLOOKUP(Q216,'PISOS INTERNOS'!$1:$1048576,12,FALSE)</f>
        <v>7.1698919999999999</v>
      </c>
      <c r="U216" s="394">
        <f>TRUNC(IF(P216="CDHU",VLOOKUP(Q216,'CDHU 201-SD'!$A$1:$J$28014,6,FALSE),IF(P216="FDE",VLOOKUP(Q216,'FDE 01-26-SD'!$A$1:$J$280013,6,FALSE),IF(P216="PRÓPRIA",VLOOKUP(Q216,COMPOSIÇÃO!$1:$1048576,10,FALSE),VLOOKUP(Q216,'SINAPI 04-26-SD'!$A$1:$H$272700,4,FALSE)))),2)</f>
        <v>854.23</v>
      </c>
      <c r="V216" s="416">
        <f t="shared" ref="V216" si="699">TRUNC(U216*T216,2)</f>
        <v>6124.73</v>
      </c>
      <c r="W216" s="395">
        <f>IF($AA216="N",BDI!$D$26,IF($AA216="D",'BDI DIFE.'!$D$26,"ERRO"))</f>
        <v>0.22500000000000001</v>
      </c>
      <c r="X216" s="379">
        <f t="shared" ref="X216" si="700">TRUNC(U216*(1+W216),2)</f>
        <v>1046.43</v>
      </c>
      <c r="Y216" s="380">
        <f t="shared" ref="Y216" si="701">TRUNC(T216*X216,2)</f>
        <v>7502.79</v>
      </c>
      <c r="Z216" s="381"/>
      <c r="AA216" s="378" t="s">
        <v>28044</v>
      </c>
      <c r="AB216" s="642"/>
    </row>
    <row r="217" spans="2:28" s="55" customFormat="1" ht="16" thickBot="1">
      <c r="B217" s="378" t="str">
        <f t="shared" ref="B217:B219" ca="1" si="702">IF(C217="S",IF(OFFSET(C217,-1,0)="S", OFFSET(B217,-1,0), OFFSET(B217,-1,0) +1 ), C217)</f>
        <v/>
      </c>
      <c r="C217" s="378" t="str">
        <f t="shared" si="394"/>
        <v/>
      </c>
      <c r="D217" s="378">
        <f t="shared" ca="1" si="307"/>
        <v>13</v>
      </c>
      <c r="E217" s="378">
        <f t="shared" ref="E217:E219" ca="1" si="703">IF($C217="2",OFFSET(E217,-1,0) +1,IF(OFFSET(D217,-1,0)&lt;&gt;D217,"0",IF(OFFSET(E217,-1,0)="","0",OFFSET(E217,-1,0))))</f>
        <v>2</v>
      </c>
      <c r="F217" s="378" t="str">
        <f t="shared" ref="F217:F219" ca="1" si="704">IF($C217="3",OFFSET(F217,-1,0) +1,IF(OFFSET(E217,-1,0)&lt;&gt;E217,"0",IF(OFFSET(F217,-1,0)="","0",OFFSET(F217,-1,0))))</f>
        <v>0</v>
      </c>
      <c r="G217" s="378" t="str">
        <f t="shared" ref="G217:G219" ca="1" si="705">IF($C217="4",OFFSET(G217,-1,0) +1,IF(OFFSET(F217,-1,0)&lt;&gt;F217,"0",IF(OFFSET(G217,-1,0)="","0",OFFSET(G217,-1,0))))</f>
        <v>0</v>
      </c>
      <c r="H217" s="378" t="str">
        <f t="shared" ref="H217:H219" ca="1" si="706">IF($C217="5",OFFSET(H217,-1,0) +1,IF(OFFSET(G217,-1,0)&lt;&gt;G217,"0",IF(OFFSET(H217,-1,0)="","0",OFFSET(H217,-1,0))))</f>
        <v>0</v>
      </c>
      <c r="I217" s="378" t="str">
        <f t="shared" ref="I217:I219" ca="1" si="707">IF($C217="6",OFFSET(I217,-1,0) +1,IF(OFFSET(H217,-1,0)&lt;&gt;H217,"0",IF(OFFSET(I217,-1,0)="","0", OFFSET(I217,-1,0))))</f>
        <v>0</v>
      </c>
      <c r="J217" s="378" t="str">
        <f t="shared" ca="1" si="313"/>
        <v>0</v>
      </c>
      <c r="K217" s="378" t="b">
        <f t="shared" ref="K217:K219" si="708">IF(C217="S","NÃO", IF(C217="1", D217, IF(C217="2", D217 &amp; "." &amp; E217,IF(C217="3", D217 &amp; "." &amp; E217 &amp; "." &amp; F217, IF(C217="4", D217 &amp; "." &amp; E217 &amp; "." &amp; F217 &amp; "." &amp; G217, IF(C217="5", D217 &amp; "." &amp; E217 &amp; "." &amp; F217 &amp; "." &amp; G217 &amp; "." &amp; H217, IF(C217="6", D217 &amp; "." &amp; E217 &amp; "." &amp; F217 &amp; "." &amp; G217 &amp; "." &amp; H217 &amp; "." &amp; I217)))))))</f>
        <v>0</v>
      </c>
      <c r="L217" s="378" t="b">
        <f t="shared" ref="L217:L219" si="709">IF(K217="NÃO",IF($B217=2,D217&amp;"."&amp;J217,IF($B217=3,D217&amp;"."&amp;E217&amp;"."&amp;J217,IF($B217=4,D217&amp;"."&amp;E217&amp;"."&amp;F217&amp;"."&amp;J217,IF($B217=5,D217&amp;"."&amp;E217&amp;"."&amp;F217&amp;"."&amp;G217&amp;"."&amp;J217,IF($B217=6,D217&amp;"."&amp;E217&amp;"."&amp;F217&amp;"."&amp;G217&amp;"."&amp;H217&amp;"."&amp;J217,IF($B217=7,D217&amp;"."&amp;E217&amp;"."&amp;F217&amp;"."&amp;G217&amp;"."&amp;H217&amp;"."&amp;I217&amp;"."&amp;J217,"FALHA")))))),K217)</f>
        <v>0</v>
      </c>
      <c r="O217" s="192"/>
      <c r="P217" s="387"/>
      <c r="Q217" s="387"/>
      <c r="R217" s="377"/>
      <c r="S217" s="387"/>
      <c r="T217" s="363"/>
      <c r="U217" s="388"/>
      <c r="V217" s="389"/>
      <c r="W217" s="389"/>
      <c r="X217" s="389"/>
      <c r="Y217" s="390"/>
      <c r="AB217" s="642"/>
    </row>
    <row r="218" spans="2:28" s="75" customFormat="1" ht="16" thickBot="1">
      <c r="B218" s="75" t="str">
        <f t="shared" ca="1" si="702"/>
        <v>2</v>
      </c>
      <c r="C218" s="75" t="str">
        <f t="shared" si="394"/>
        <v>2</v>
      </c>
      <c r="D218" s="75">
        <f t="shared" ca="1" si="307"/>
        <v>13</v>
      </c>
      <c r="E218" s="75">
        <f t="shared" ca="1" si="703"/>
        <v>3</v>
      </c>
      <c r="F218" s="75" t="str">
        <f t="shared" ca="1" si="704"/>
        <v>0</v>
      </c>
      <c r="G218" s="75" t="str">
        <f t="shared" ca="1" si="705"/>
        <v>0</v>
      </c>
      <c r="H218" s="75" t="str">
        <f t="shared" ca="1" si="706"/>
        <v>0</v>
      </c>
      <c r="I218" s="75" t="str">
        <f t="shared" ca="1" si="707"/>
        <v>0</v>
      </c>
      <c r="J218" s="75" t="str">
        <f t="shared" ca="1" si="313"/>
        <v>0</v>
      </c>
      <c r="K218" s="75" t="str">
        <f t="shared" ca="1" si="708"/>
        <v>13.3</v>
      </c>
      <c r="L218" s="75" t="str">
        <f t="shared" ca="1" si="709"/>
        <v>13.3</v>
      </c>
      <c r="M218" s="55" t="s">
        <v>27861</v>
      </c>
      <c r="O218" s="191" t="str">
        <f t="shared" ref="O218:O219" ca="1" si="710">L218</f>
        <v>13.3</v>
      </c>
      <c r="P218" s="172"/>
      <c r="Q218" s="172"/>
      <c r="R218" s="621" t="s">
        <v>41844</v>
      </c>
      <c r="S218" s="172"/>
      <c r="T218" s="194"/>
      <c r="U218" s="195"/>
      <c r="V218" s="196">
        <f ca="1">IF(VALUE(C218)=1,SUMIFS(V:V,D:D,D218,M:M,"Serviço"),IF(VALUE(C218)=2,SUMIFS(V:V,D:D,D218,E:E,E218,M:M,"Serviço"),IF(VALUE(C218)=3,SUMIFS(V:V,D:D,D218,E:E,E218,F:F,F218,M:M,"Serviço"),IF(VALUE(C218)=4,SUMIFS(V:V,D:D,D218,E:E,E218,F:F,F218,G:G,G218,M:M,"Serviço"),"ERRO"))))</f>
        <v>60200.33</v>
      </c>
      <c r="W218" s="197"/>
      <c r="X218" s="205"/>
      <c r="Y218" s="173">
        <f ca="1">IF(VALUE(C218)=1,SUMIFS(Y:Y,D:D,D218,M:M,"Serviço"),IF(VALUE(C218)=2,SUMIFS(Y:Y,D:D,D218,E:E,E218,M:M,"Serviço"),IF(VALUE(C218)=3,SUMIFS(Y:Y,D:D,D218,E:E,E218,F:F,F218,M:M,"Serviço"),IF(VALUE(C218)=4,SUMIFS(Y:Y,D:D,D218,E:E,E218,F:F,F218,G:G,G218,M:M,"Serviço"),"ERRO"))))</f>
        <v>73743.520000000004</v>
      </c>
      <c r="AB218" s="641"/>
    </row>
    <row r="219" spans="2:28" s="55" customFormat="1" ht="60">
      <c r="B219" s="378">
        <f t="shared" ca="1" si="702"/>
        <v>3</v>
      </c>
      <c r="C219" s="378" t="str">
        <f t="shared" si="394"/>
        <v>S</v>
      </c>
      <c r="D219" s="378">
        <f t="shared" ref="D219:D345" ca="1" si="711">IF($C219="1",OFFSET(D219,-2,0) +1,OFFSET(D219,-1,0))</f>
        <v>13</v>
      </c>
      <c r="E219" s="378">
        <f t="shared" ca="1" si="703"/>
        <v>3</v>
      </c>
      <c r="F219" s="378" t="str">
        <f t="shared" ca="1" si="704"/>
        <v>0</v>
      </c>
      <c r="G219" s="378" t="str">
        <f t="shared" ca="1" si="705"/>
        <v>0</v>
      </c>
      <c r="H219" s="378" t="str">
        <f t="shared" ca="1" si="706"/>
        <v>0</v>
      </c>
      <c r="I219" s="378" t="str">
        <f t="shared" ca="1" si="707"/>
        <v>0</v>
      </c>
      <c r="J219" s="378">
        <f t="shared" ref="J219:J345" ca="1" si="712">IF($C219="S",OFFSET(J219,-1,0)+1,"0")</f>
        <v>1</v>
      </c>
      <c r="K219" s="378" t="str">
        <f t="shared" si="708"/>
        <v>NÃO</v>
      </c>
      <c r="L219" s="378" t="str">
        <f t="shared" ca="1" si="709"/>
        <v>13.3.1</v>
      </c>
      <c r="M219" s="55" t="s">
        <v>27868</v>
      </c>
      <c r="O219" s="392" t="str">
        <f t="shared" ca="1" si="710"/>
        <v>13.3.1</v>
      </c>
      <c r="P219" s="413" t="s">
        <v>29901</v>
      </c>
      <c r="Q219" s="414" t="s">
        <v>12519</v>
      </c>
      <c r="R219" s="415" t="str">
        <f>UPPER(IF(P219="CDHU",VLOOKUP(Q219,'CDHU 201-SD'!$A$1:$J$28014,2,FALSE),IF(P219="FDE",VLOOKUP(Q219,'FDE 01-26-SD'!$A$1:$J$280013,2,FALSE),IF(P219="PRÓPRIA",VLOOKUP(Q219,COMPOSIÇÃO!$1:$1048576,3,FALSE),VLOOKUP(Q219,'SINAPI 04-26-SD'!$A$1:$H$272700,2,FALSE)))))</f>
        <v>REVESTIMENTO EM PORCELANATO ESMALTADO ACETINADO PARA ÁREA INTERNA E AMBIENTE COM ACESSO AO EXTERIOR, GRUPO DE ABSORÇÃO BIA, RESISTÊNCIA QUÍMICA B, ASSENTADO COM ARGAMASSA COLANTE INDUSTRIALIZADA, REJUNTADO</v>
      </c>
      <c r="S219" s="414" t="str">
        <f>UPPER(IF(P219="CDHU",VLOOKUP(Q219,'CDHU 201-SD'!$A$1:$J$28014,3,FALSE),IF(P219="FDE",VLOOKUP(Q219,'FDE 01-26-SD'!$A$1:$J$280013,3,FALSE),IF(P219="PRÓPRIA",VLOOKUP(Q219,COMPOSIÇÃO!$1:$1048576,7,FALSE),VLOOKUP(Q219,'SINAPI 04-26-SD'!$A$1:$H$272700,3,FALSE)))))</f>
        <v>M2</v>
      </c>
      <c r="T219" s="393">
        <f>VLOOKUP(Q219,'PISOS INTERNOS'!$1:$1048576,12,FALSE)</f>
        <v>219.69</v>
      </c>
      <c r="U219" s="394">
        <f>TRUNC(IF(P219="CDHU",VLOOKUP(Q219,'CDHU 201-SD'!$A$1:$J$28014,6,FALSE),IF(P219="FDE",VLOOKUP(Q219,'FDE 01-26-SD'!$A$1:$J$280013,6,FALSE),IF(P219="PRÓPRIA",VLOOKUP(Q219,COMPOSIÇÃO!$1:$1048576,10,FALSE),VLOOKUP(Q219,'SINAPI 04-26-SD'!$A$1:$H$272700,4,FALSE)))),2)</f>
        <v>151.1</v>
      </c>
      <c r="V219" s="416">
        <f t="shared" ref="V219" si="713">TRUNC(U219*T219,2)</f>
        <v>33195.15</v>
      </c>
      <c r="W219" s="395">
        <f>IF($AA219="N",BDI!$D$26,IF($AA219="D",'BDI DIFE.'!$D$26,"ERRO"))</f>
        <v>0.22500000000000001</v>
      </c>
      <c r="X219" s="379">
        <f t="shared" ref="X219" si="714">TRUNC(U219*(1+W219),2)</f>
        <v>185.09</v>
      </c>
      <c r="Y219" s="380">
        <f t="shared" ref="Y219" si="715">TRUNC(T219*X219,2)</f>
        <v>40662.42</v>
      </c>
      <c r="Z219" s="381"/>
      <c r="AA219" s="378" t="s">
        <v>28044</v>
      </c>
      <c r="AB219" s="642"/>
    </row>
    <row r="220" spans="2:28" s="55" customFormat="1" ht="30">
      <c r="B220" s="378">
        <f t="shared" ref="B220" ca="1" si="716">IF(C220="S",IF(OFFSET(C220,-1,0)="S", OFFSET(B220,-1,0), OFFSET(B220,-1,0) +1 ), C220)</f>
        <v>3</v>
      </c>
      <c r="C220" s="378" t="str">
        <f t="shared" si="394"/>
        <v>S</v>
      </c>
      <c r="D220" s="378">
        <f t="shared" ca="1" si="711"/>
        <v>13</v>
      </c>
      <c r="E220" s="378">
        <f t="shared" ref="E220" ca="1" si="717">IF($C220="2",OFFSET(E220,-1,0) +1,IF(OFFSET(D220,-1,0)&lt;&gt;D220,"0",IF(OFFSET(E220,-1,0)="","0",OFFSET(E220,-1,0))))</f>
        <v>3</v>
      </c>
      <c r="F220" s="378" t="str">
        <f t="shared" ref="F220" ca="1" si="718">IF($C220="3",OFFSET(F220,-1,0) +1,IF(OFFSET(E220,-1,0)&lt;&gt;E220,"0",IF(OFFSET(F220,-1,0)="","0",OFFSET(F220,-1,0))))</f>
        <v>0</v>
      </c>
      <c r="G220" s="378" t="str">
        <f t="shared" ref="G220" ca="1" si="719">IF($C220="4",OFFSET(G220,-1,0) +1,IF(OFFSET(F220,-1,0)&lt;&gt;F220,"0",IF(OFFSET(G220,-1,0)="","0",OFFSET(G220,-1,0))))</f>
        <v>0</v>
      </c>
      <c r="H220" s="378" t="str">
        <f t="shared" ref="H220" ca="1" si="720">IF($C220="5",OFFSET(H220,-1,0) +1,IF(OFFSET(G220,-1,0)&lt;&gt;G220,"0",IF(OFFSET(H220,-1,0)="","0",OFFSET(H220,-1,0))))</f>
        <v>0</v>
      </c>
      <c r="I220" s="378" t="str">
        <f t="shared" ref="I220" ca="1" si="721">IF($C220="6",OFFSET(I220,-1,0) +1,IF(OFFSET(H220,-1,0)&lt;&gt;H220,"0",IF(OFFSET(I220,-1,0)="","0", OFFSET(I220,-1,0))))</f>
        <v>0</v>
      </c>
      <c r="J220" s="378">
        <f t="shared" ca="1" si="712"/>
        <v>2</v>
      </c>
      <c r="K220" s="378" t="str">
        <f t="shared" ref="K220" si="722">IF(C220="S","NÃO", IF(C220="1", D220, IF(C220="2", D220 &amp; "." &amp; E220,IF(C220="3", D220 &amp; "." &amp; E220 &amp; "." &amp; F220, IF(C220="4", D220 &amp; "." &amp; E220 &amp; "." &amp; F220 &amp; "." &amp; G220, IF(C220="5", D220 &amp; "." &amp; E220 &amp; "." &amp; F220 &amp; "." &amp; G220 &amp; "." &amp; H220, IF(C220="6", D220 &amp; "." &amp; E220 &amp; "." &amp; F220 &amp; "." &amp; G220 &amp; "." &amp; H220 &amp; "." &amp; I220)))))))</f>
        <v>NÃO</v>
      </c>
      <c r="L220" s="378" t="str">
        <f t="shared" ref="L220" ca="1" si="723">IF(K220="NÃO",IF($B220=2,D220&amp;"."&amp;J220,IF($B220=3,D220&amp;"."&amp;E220&amp;"."&amp;J220,IF($B220=4,D220&amp;"."&amp;E220&amp;"."&amp;F220&amp;"."&amp;J220,IF($B220=5,D220&amp;"."&amp;E220&amp;"."&amp;F220&amp;"."&amp;G220&amp;"."&amp;J220,IF($B220=6,D220&amp;"."&amp;E220&amp;"."&amp;F220&amp;"."&amp;G220&amp;"."&amp;H220&amp;"."&amp;J220,IF($B220=7,D220&amp;"."&amp;E220&amp;"."&amp;F220&amp;"."&amp;G220&amp;"."&amp;H220&amp;"."&amp;I220&amp;"."&amp;J220,"FALHA")))))),K220)</f>
        <v>13.3.2</v>
      </c>
      <c r="M220" s="55" t="s">
        <v>27868</v>
      </c>
      <c r="O220" s="392" t="str">
        <f t="shared" ref="O220" ca="1" si="724">L220</f>
        <v>13.3.2</v>
      </c>
      <c r="P220" s="413" t="s">
        <v>29901</v>
      </c>
      <c r="Q220" s="414" t="s">
        <v>12573</v>
      </c>
      <c r="R220" s="415" t="str">
        <f>UPPER(IF(P220="CDHU",VLOOKUP(Q220,'CDHU 201-SD'!$A$1:$J$28014,2,FALSE),IF(P220="FDE",VLOOKUP(Q220,'FDE 01-26-SD'!$A$1:$J$280013,2,FALSE),IF(P220="PRÓPRIA",VLOOKUP(Q220,COMPOSIÇÃO!$1:$1048576,3,FALSE),VLOOKUP(Q220,'SINAPI 04-26-SD'!$A$1:$H$272700,2,FALSE)))))</f>
        <v>DEGRAU E ESPELHO DE GRANITO, ESPESSURA DE 2 CM, ACABAMENTO POLIDO</v>
      </c>
      <c r="S220" s="414" t="str">
        <f>UPPER(IF(P220="CDHU",VLOOKUP(Q220,'CDHU 201-SD'!$A$1:$J$28014,3,FALSE),IF(P220="FDE",VLOOKUP(Q220,'FDE 01-26-SD'!$A$1:$J$280013,3,FALSE),IF(P220="PRÓPRIA",VLOOKUP(Q220,COMPOSIÇÃO!$1:$1048576,7,FALSE),VLOOKUP(Q220,'SINAPI 04-26-SD'!$A$1:$H$272700,3,FALSE)))))</f>
        <v>M</v>
      </c>
      <c r="T220" s="393">
        <f>VLOOKUP(Q220,'PISOS INTERNOS'!$1:$1048576,12,FALSE)</f>
        <v>59.399999999999991</v>
      </c>
      <c r="U220" s="394">
        <f>TRUNC(IF(P220="CDHU",VLOOKUP(Q220,'CDHU 201-SD'!$A$1:$J$28014,6,FALSE),IF(P220="FDE",VLOOKUP(Q220,'FDE 01-26-SD'!$A$1:$J$280013,6,FALSE),IF(P220="PRÓPRIA",VLOOKUP(Q220,COMPOSIÇÃO!$1:$1048576,10,FALSE),VLOOKUP(Q220,'SINAPI 04-26-SD'!$A$1:$H$272700,4,FALSE)))),2)</f>
        <v>432.55</v>
      </c>
      <c r="V220" s="416">
        <f t="shared" ref="V220" si="725">TRUNC(U220*T220,2)</f>
        <v>25693.47</v>
      </c>
      <c r="W220" s="395">
        <f>IF($AA220="N",BDI!$D$26,IF($AA220="D",'BDI DIFE.'!$D$26,"ERRO"))</f>
        <v>0.22500000000000001</v>
      </c>
      <c r="X220" s="379">
        <f t="shared" ref="X220" si="726">TRUNC(U220*(1+W220),2)</f>
        <v>529.87</v>
      </c>
      <c r="Y220" s="380">
        <f t="shared" ref="Y220" si="727">TRUNC(T220*X220,2)</f>
        <v>31474.27</v>
      </c>
      <c r="Z220" s="381"/>
      <c r="AA220" s="378" t="s">
        <v>28044</v>
      </c>
      <c r="AB220" s="642"/>
    </row>
    <row r="221" spans="2:28" s="55" customFormat="1" ht="31" thickBot="1">
      <c r="B221" s="378">
        <f t="shared" ref="B221" ca="1" si="728">IF(C221="S",IF(OFFSET(C221,-1,0)="S", OFFSET(B221,-1,0), OFFSET(B221,-1,0) +1 ), C221)</f>
        <v>3</v>
      </c>
      <c r="C221" s="378" t="str">
        <f t="shared" si="394"/>
        <v>S</v>
      </c>
      <c r="D221" s="378">
        <f t="shared" ca="1" si="711"/>
        <v>13</v>
      </c>
      <c r="E221" s="378">
        <f t="shared" ref="E221" ca="1" si="729">IF($C221="2",OFFSET(E221,-1,0) +1,IF(OFFSET(D221,-1,0)&lt;&gt;D221,"0",IF(OFFSET(E221,-1,0)="","0",OFFSET(E221,-1,0))))</f>
        <v>3</v>
      </c>
      <c r="F221" s="378" t="str">
        <f t="shared" ref="F221" ca="1" si="730">IF($C221="3",OFFSET(F221,-1,0) +1,IF(OFFSET(E221,-1,0)&lt;&gt;E221,"0",IF(OFFSET(F221,-1,0)="","0",OFFSET(F221,-1,0))))</f>
        <v>0</v>
      </c>
      <c r="G221" s="378" t="str">
        <f t="shared" ref="G221" ca="1" si="731">IF($C221="4",OFFSET(G221,-1,0) +1,IF(OFFSET(F221,-1,0)&lt;&gt;F221,"0",IF(OFFSET(G221,-1,0)="","0",OFFSET(G221,-1,0))))</f>
        <v>0</v>
      </c>
      <c r="H221" s="378" t="str">
        <f t="shared" ref="H221" ca="1" si="732">IF($C221="5",OFFSET(H221,-1,0) +1,IF(OFFSET(G221,-1,0)&lt;&gt;G221,"0",IF(OFFSET(H221,-1,0)="","0",OFFSET(H221,-1,0))))</f>
        <v>0</v>
      </c>
      <c r="I221" s="378" t="str">
        <f t="shared" ref="I221" ca="1" si="733">IF($C221="6",OFFSET(I221,-1,0) +1,IF(OFFSET(H221,-1,0)&lt;&gt;H221,"0",IF(OFFSET(I221,-1,0)="","0", OFFSET(I221,-1,0))))</f>
        <v>0</v>
      </c>
      <c r="J221" s="378">
        <f t="shared" ca="1" si="712"/>
        <v>3</v>
      </c>
      <c r="K221" s="378" t="str">
        <f t="shared" ref="K221" si="734">IF(C221="S","NÃO", IF(C221="1", D221, IF(C221="2", D221 &amp; "." &amp; E221,IF(C221="3", D221 &amp; "." &amp; E221 &amp; "." &amp; F221, IF(C221="4", D221 &amp; "." &amp; E221 &amp; "." &amp; F221 &amp; "." &amp; G221, IF(C221="5", D221 &amp; "." &amp; E221 &amp; "." &amp; F221 &amp; "." &amp; G221 &amp; "." &amp; H221, IF(C221="6", D221 &amp; "." &amp; E221 &amp; "." &amp; F221 &amp; "." &amp; G221 &amp; "." &amp; H221 &amp; "." &amp; I221)))))))</f>
        <v>NÃO</v>
      </c>
      <c r="L221" s="378" t="str">
        <f t="shared" ref="L221" ca="1" si="735">IF(K221="NÃO",IF($B221=2,D221&amp;"."&amp;J221,IF($B221=3,D221&amp;"."&amp;E221&amp;"."&amp;J221,IF($B221=4,D221&amp;"."&amp;E221&amp;"."&amp;F221&amp;"."&amp;J221,IF($B221=5,D221&amp;"."&amp;E221&amp;"."&amp;F221&amp;"."&amp;G221&amp;"."&amp;J221,IF($B221=6,D221&amp;"."&amp;E221&amp;"."&amp;F221&amp;"."&amp;G221&amp;"."&amp;H221&amp;"."&amp;J221,IF($B221=7,D221&amp;"."&amp;E221&amp;"."&amp;F221&amp;"."&amp;G221&amp;"."&amp;H221&amp;"."&amp;I221&amp;"."&amp;J221,"FALHA")))))),K221)</f>
        <v>13.3.3</v>
      </c>
      <c r="M221" s="55" t="s">
        <v>27868</v>
      </c>
      <c r="O221" s="392" t="str">
        <f t="shared" ref="O221" ca="1" si="736">L221</f>
        <v>13.3.3</v>
      </c>
      <c r="P221" s="413" t="s">
        <v>29901</v>
      </c>
      <c r="Q221" s="414" t="s">
        <v>12567</v>
      </c>
      <c r="R221" s="415" t="str">
        <f>UPPER(IF(P221="CDHU",VLOOKUP(Q221,'CDHU 201-SD'!$A$1:$J$28014,2,FALSE),IF(P221="FDE",VLOOKUP(Q221,'FDE 01-26-SD'!$A$1:$J$280013,2,FALSE),IF(P221="PRÓPRIA",VLOOKUP(Q221,COMPOSIÇÃO!$1:$1048576,3,FALSE),VLOOKUP(Q221,'SINAPI 04-26-SD'!$A$1:$H$272700,2,FALSE)))))</f>
        <v>REVESTIMENTO EM GRANITO, ESPESSURA DE 2 CM, ACABAMENTO POLIDO</v>
      </c>
      <c r="S221" s="414" t="str">
        <f>UPPER(IF(P221="CDHU",VLOOKUP(Q221,'CDHU 201-SD'!$A$1:$J$28014,3,FALSE),IF(P221="FDE",VLOOKUP(Q221,'FDE 01-26-SD'!$A$1:$J$280013,3,FALSE),IF(P221="PRÓPRIA",VLOOKUP(Q221,COMPOSIÇÃO!$1:$1048576,7,FALSE),VLOOKUP(Q221,'SINAPI 04-26-SD'!$A$1:$H$272700,3,FALSE)))))</f>
        <v>M2</v>
      </c>
      <c r="T221" s="393">
        <f>VLOOKUP(Q221,'PISOS INTERNOS'!$1:$1048576,12,FALSE)</f>
        <v>2.5600000000000005</v>
      </c>
      <c r="U221" s="394">
        <f>TRUNC(IF(P221="CDHU",VLOOKUP(Q221,'CDHU 201-SD'!$A$1:$J$28014,6,FALSE),IF(P221="FDE",VLOOKUP(Q221,'FDE 01-26-SD'!$A$1:$J$280013,6,FALSE),IF(P221="PRÓPRIA",VLOOKUP(Q221,COMPOSIÇÃO!$1:$1048576,10,FALSE),VLOOKUP(Q221,'SINAPI 04-26-SD'!$A$1:$H$272700,4,FALSE)))),2)</f>
        <v>512.39</v>
      </c>
      <c r="V221" s="416">
        <f t="shared" ref="V221" si="737">TRUNC(U221*T221,2)</f>
        <v>1311.71</v>
      </c>
      <c r="W221" s="395">
        <f>IF($AA221="N",BDI!$D$26,IF($AA221="D",'BDI DIFE.'!$D$26,"ERRO"))</f>
        <v>0.22500000000000001</v>
      </c>
      <c r="X221" s="379">
        <f t="shared" ref="X221" si="738">TRUNC(U221*(1+W221),2)</f>
        <v>627.66999999999996</v>
      </c>
      <c r="Y221" s="380">
        <f t="shared" ref="Y221" si="739">TRUNC(T221*X221,2)</f>
        <v>1606.83</v>
      </c>
      <c r="Z221" s="381"/>
      <c r="AA221" s="378" t="s">
        <v>28044</v>
      </c>
      <c r="AB221" s="642"/>
    </row>
    <row r="222" spans="2:28" s="55" customFormat="1" ht="16" thickBot="1">
      <c r="B222" s="378" t="str">
        <f t="shared" ref="B222:B225" ca="1" si="740">IF(C222="S",IF(OFFSET(C222,-1,0)="S", OFFSET(B222,-1,0), OFFSET(B222,-1,0) +1 ), C222)</f>
        <v/>
      </c>
      <c r="C222" s="378" t="str">
        <f t="shared" si="394"/>
        <v/>
      </c>
      <c r="D222" s="378">
        <f t="shared" ca="1" si="307"/>
        <v>13</v>
      </c>
      <c r="E222" s="378">
        <f t="shared" ref="E222:E225" ca="1" si="741">IF($C222="2",OFFSET(E222,-1,0) +1,IF(OFFSET(D222,-1,0)&lt;&gt;D222,"0",IF(OFFSET(E222,-1,0)="","0",OFFSET(E222,-1,0))))</f>
        <v>3</v>
      </c>
      <c r="F222" s="378" t="str">
        <f t="shared" ref="F222:F225" ca="1" si="742">IF($C222="3",OFFSET(F222,-1,0) +1,IF(OFFSET(E222,-1,0)&lt;&gt;E222,"0",IF(OFFSET(F222,-1,0)="","0",OFFSET(F222,-1,0))))</f>
        <v>0</v>
      </c>
      <c r="G222" s="378" t="str">
        <f t="shared" ref="G222:G225" ca="1" si="743">IF($C222="4",OFFSET(G222,-1,0) +1,IF(OFFSET(F222,-1,0)&lt;&gt;F222,"0",IF(OFFSET(G222,-1,0)="","0",OFFSET(G222,-1,0))))</f>
        <v>0</v>
      </c>
      <c r="H222" s="378" t="str">
        <f t="shared" ref="H222:H225" ca="1" si="744">IF($C222="5",OFFSET(H222,-1,0) +1,IF(OFFSET(G222,-1,0)&lt;&gt;G222,"0",IF(OFFSET(H222,-1,0)="","0",OFFSET(H222,-1,0))))</f>
        <v>0</v>
      </c>
      <c r="I222" s="378" t="str">
        <f t="shared" ref="I222:I225" ca="1" si="745">IF($C222="6",OFFSET(I222,-1,0) +1,IF(OFFSET(H222,-1,0)&lt;&gt;H222,"0",IF(OFFSET(I222,-1,0)="","0", OFFSET(I222,-1,0))))</f>
        <v>0</v>
      </c>
      <c r="J222" s="378" t="str">
        <f t="shared" ca="1" si="313"/>
        <v>0</v>
      </c>
      <c r="K222" s="378" t="b">
        <f t="shared" ref="K222:K225" si="746">IF(C222="S","NÃO", IF(C222="1", D222, IF(C222="2", D222 &amp; "." &amp; E222,IF(C222="3", D222 &amp; "." &amp; E222 &amp; "." &amp; F222, IF(C222="4", D222 &amp; "." &amp; E222 &amp; "." &amp; F222 &amp; "." &amp; G222, IF(C222="5", D222 &amp; "." &amp; E222 &amp; "." &amp; F222 &amp; "." &amp; G222 &amp; "." &amp; H222, IF(C222="6", D222 &amp; "." &amp; E222 &amp; "." &amp; F222 &amp; "." &amp; G222 &amp; "." &amp; H222 &amp; "." &amp; I222)))))))</f>
        <v>0</v>
      </c>
      <c r="L222" s="378" t="b">
        <f t="shared" ref="L222:L225" si="747">IF(K222="NÃO",IF($B222=2,D222&amp;"."&amp;J222,IF($B222=3,D222&amp;"."&amp;E222&amp;"."&amp;J222,IF($B222=4,D222&amp;"."&amp;E222&amp;"."&amp;F222&amp;"."&amp;J222,IF($B222=5,D222&amp;"."&amp;E222&amp;"."&amp;F222&amp;"."&amp;G222&amp;"."&amp;J222,IF($B222=6,D222&amp;"."&amp;E222&amp;"."&amp;F222&amp;"."&amp;G222&amp;"."&amp;H222&amp;"."&amp;J222,IF($B222=7,D222&amp;"."&amp;E222&amp;"."&amp;F222&amp;"."&amp;G222&amp;"."&amp;H222&amp;"."&amp;I222&amp;"."&amp;J222,"FALHA")))))),K222)</f>
        <v>0</v>
      </c>
      <c r="O222" s="192"/>
      <c r="P222" s="387"/>
      <c r="Q222" s="387"/>
      <c r="R222" s="377"/>
      <c r="S222" s="387"/>
      <c r="T222" s="363"/>
      <c r="U222" s="388"/>
      <c r="V222" s="389"/>
      <c r="W222" s="389"/>
      <c r="X222" s="389"/>
      <c r="Y222" s="390"/>
      <c r="AB222" s="642"/>
    </row>
    <row r="223" spans="2:28" s="75" customFormat="1" ht="16" thickBot="1">
      <c r="B223" s="75" t="str">
        <f t="shared" ca="1" si="740"/>
        <v>2</v>
      </c>
      <c r="C223" s="75" t="str">
        <f t="shared" si="394"/>
        <v>2</v>
      </c>
      <c r="D223" s="75">
        <f t="shared" ref="D223" ca="1" si="748">IF($C223="1",OFFSET(D223,-2,0) +1,OFFSET(D223,-1,0))</f>
        <v>13</v>
      </c>
      <c r="E223" s="75">
        <f t="shared" ca="1" si="741"/>
        <v>4</v>
      </c>
      <c r="F223" s="75" t="str">
        <f t="shared" ca="1" si="742"/>
        <v>0</v>
      </c>
      <c r="G223" s="75" t="str">
        <f t="shared" ca="1" si="743"/>
        <v>0</v>
      </c>
      <c r="H223" s="75" t="str">
        <f t="shared" ca="1" si="744"/>
        <v>0</v>
      </c>
      <c r="I223" s="75" t="str">
        <f t="shared" ca="1" si="745"/>
        <v>0</v>
      </c>
      <c r="J223" s="75" t="str">
        <f t="shared" ref="J223" ca="1" si="749">IF($C223="S",OFFSET(J223,-1,0)+1,"0")</f>
        <v>0</v>
      </c>
      <c r="K223" s="75" t="str">
        <f t="shared" ca="1" si="746"/>
        <v>13.4</v>
      </c>
      <c r="L223" s="75" t="str">
        <f t="shared" ca="1" si="747"/>
        <v>13.4</v>
      </c>
      <c r="M223" s="55" t="s">
        <v>27861</v>
      </c>
      <c r="O223" s="191" t="str">
        <f t="shared" ref="O223:O225" ca="1" si="750">L223</f>
        <v>13.4</v>
      </c>
      <c r="P223" s="172"/>
      <c r="Q223" s="172"/>
      <c r="R223" s="621" t="s">
        <v>41860</v>
      </c>
      <c r="S223" s="172"/>
      <c r="T223" s="194"/>
      <c r="U223" s="195"/>
      <c r="V223" s="196">
        <f ca="1">IF(VALUE(C223)=1,SUMIFS(V:V,D:D,D223,M:M,"Serviço"),IF(VALUE(C223)=2,SUMIFS(V:V,D:D,D223,E:E,E223,M:M,"Serviço"),IF(VALUE(C223)=3,SUMIFS(V:V,D:D,D223,E:E,E223,F:F,F223,M:M,"Serviço"),IF(VALUE(C223)=4,SUMIFS(V:V,D:D,D223,E:E,E223,F:F,F223,G:G,G223,M:M,"Serviço"),"ERRO"))))</f>
        <v>8427.67</v>
      </c>
      <c r="W223" s="197"/>
      <c r="X223" s="205"/>
      <c r="Y223" s="173">
        <f ca="1">IF(VALUE(C223)=1,SUMIFS(Y:Y,D:D,D223,M:M,"Serviço"),IF(VALUE(C223)=2,SUMIFS(Y:Y,D:D,D223,E:E,E223,M:M,"Serviço"),IF(VALUE(C223)=3,SUMIFS(Y:Y,D:D,D223,E:E,E223,F:F,F223,M:M,"Serviço"),IF(VALUE(C223)=4,SUMIFS(Y:Y,D:D,D223,E:E,E223,F:F,F223,G:G,G223,M:M,"Serviço"),"ERRO"))))</f>
        <v>10321.459999999999</v>
      </c>
      <c r="AB223" s="641"/>
    </row>
    <row r="224" spans="2:28" s="55" customFormat="1" ht="60">
      <c r="B224" s="378">
        <f t="shared" ref="B224" ca="1" si="751">IF(C224="S",IF(OFFSET(C224,-1,0)="S", OFFSET(B224,-1,0), OFFSET(B224,-1,0) +1 ), C224)</f>
        <v>3</v>
      </c>
      <c r="C224" s="378" t="str">
        <f t="shared" si="394"/>
        <v>S</v>
      </c>
      <c r="D224" s="378">
        <f t="shared" ca="1" si="711"/>
        <v>13</v>
      </c>
      <c r="E224" s="378">
        <f t="shared" ref="E224" ca="1" si="752">IF($C224="2",OFFSET(E224,-1,0) +1,IF(OFFSET(D224,-1,0)&lt;&gt;D224,"0",IF(OFFSET(E224,-1,0)="","0",OFFSET(E224,-1,0))))</f>
        <v>4</v>
      </c>
      <c r="F224" s="378" t="str">
        <f t="shared" ref="F224" ca="1" si="753">IF($C224="3",OFFSET(F224,-1,0) +1,IF(OFFSET(E224,-1,0)&lt;&gt;E224,"0",IF(OFFSET(F224,-1,0)="","0",OFFSET(F224,-1,0))))</f>
        <v>0</v>
      </c>
      <c r="G224" s="378" t="str">
        <f t="shared" ref="G224" ca="1" si="754">IF($C224="4",OFFSET(G224,-1,0) +1,IF(OFFSET(F224,-1,0)&lt;&gt;F224,"0",IF(OFFSET(G224,-1,0)="","0",OFFSET(G224,-1,0))))</f>
        <v>0</v>
      </c>
      <c r="H224" s="378" t="str">
        <f t="shared" ref="H224" ca="1" si="755">IF($C224="5",OFFSET(H224,-1,0) +1,IF(OFFSET(G224,-1,0)&lt;&gt;G224,"0",IF(OFFSET(H224,-1,0)="","0",OFFSET(H224,-1,0))))</f>
        <v>0</v>
      </c>
      <c r="I224" s="378" t="str">
        <f t="shared" ref="I224" ca="1" si="756">IF($C224="6",OFFSET(I224,-1,0) +1,IF(OFFSET(H224,-1,0)&lt;&gt;H224,"0",IF(OFFSET(I224,-1,0)="","0", OFFSET(I224,-1,0))))</f>
        <v>0</v>
      </c>
      <c r="J224" s="378">
        <f t="shared" ca="1" si="712"/>
        <v>1</v>
      </c>
      <c r="K224" s="378" t="str">
        <f t="shared" ref="K224" si="757">IF(C224="S","NÃO", IF(C224="1", D224, IF(C224="2", D224 &amp; "." &amp; E224,IF(C224="3", D224 &amp; "." &amp; E224 &amp; "." &amp; F224, IF(C224="4", D224 &amp; "." &amp; E224 &amp; "." &amp; F224 &amp; "." &amp; G224, IF(C224="5", D224 &amp; "." &amp; E224 &amp; "." &amp; F224 &amp; "." &amp; G224 &amp; "." &amp; H224, IF(C224="6", D224 &amp; "." &amp; E224 &amp; "." &amp; F224 &amp; "." &amp; G224 &amp; "." &amp; H224 &amp; "." &amp; I224)))))))</f>
        <v>NÃO</v>
      </c>
      <c r="L224" s="378" t="str">
        <f t="shared" ref="L224" ca="1" si="758">IF(K224="NÃO",IF($B224=2,D224&amp;"."&amp;J224,IF($B224=3,D224&amp;"."&amp;E224&amp;"."&amp;J224,IF($B224=4,D224&amp;"."&amp;E224&amp;"."&amp;F224&amp;"."&amp;J224,IF($B224=5,D224&amp;"."&amp;E224&amp;"."&amp;F224&amp;"."&amp;G224&amp;"."&amp;J224,IF($B224=6,D224&amp;"."&amp;E224&amp;"."&amp;F224&amp;"."&amp;G224&amp;"."&amp;H224&amp;"."&amp;J224,IF($B224=7,D224&amp;"."&amp;E224&amp;"."&amp;F224&amp;"."&amp;G224&amp;"."&amp;H224&amp;"."&amp;I224&amp;"."&amp;J224,"FALHA")))))),K224)</f>
        <v>13.4.1</v>
      </c>
      <c r="M224" s="55" t="s">
        <v>27868</v>
      </c>
      <c r="O224" s="392" t="str">
        <f t="shared" ref="O224" ca="1" si="759">L224</f>
        <v>13.4.1</v>
      </c>
      <c r="P224" s="413" t="s">
        <v>29901</v>
      </c>
      <c r="Q224" s="414" t="s">
        <v>12521</v>
      </c>
      <c r="R224" s="415" t="str">
        <f>UPPER(IF(P224="CDHU",VLOOKUP(Q224,'CDHU 201-SD'!$A$1:$J$28014,2,FALSE),IF(P224="FDE",VLOOKUP(Q224,'FDE 01-26-SD'!$A$1:$J$280013,2,FALSE),IF(P224="PRÓPRIA",VLOOKUP(Q224,COMPOSIÇÃO!$1:$1048576,3,FALSE),VLOOKUP(Q224,'SINAPI 04-26-SD'!$A$1:$H$272700,2,FALSE)))))</f>
        <v>RODAPÉ EM PORCELANATO ESMALTADO ACETINADO PARA ÁREA INTERNA E AMBIENTE COM ACESSO AO EXTERIOR, GRUPO DE ABSORÇÃO BIA, RESISTÊNCIA QUÍMICA B, ASSENTADO COM ARGAMASSA COLANTE INDUSTRIALIZADA, REJUNTADO</v>
      </c>
      <c r="S224" s="414" t="str">
        <f>UPPER(IF(P224="CDHU",VLOOKUP(Q224,'CDHU 201-SD'!$A$1:$J$28014,3,FALSE),IF(P224="FDE",VLOOKUP(Q224,'FDE 01-26-SD'!$A$1:$J$280013,3,FALSE),IF(P224="PRÓPRIA",VLOOKUP(Q224,COMPOSIÇÃO!$1:$1048576,7,FALSE),VLOOKUP(Q224,'SINAPI 04-26-SD'!$A$1:$H$272700,3,FALSE)))))</f>
        <v>M</v>
      </c>
      <c r="T224" s="393">
        <f>VLOOKUP(Q224,'PISOS INTERNOS'!$1:$1048576,12,FALSE)</f>
        <v>132.91</v>
      </c>
      <c r="U224" s="394">
        <f>TRUNC(IF(P224="CDHU",VLOOKUP(Q224,'CDHU 201-SD'!$A$1:$J$28014,6,FALSE),IF(P224="FDE",VLOOKUP(Q224,'FDE 01-26-SD'!$A$1:$J$280013,6,FALSE),IF(P224="PRÓPRIA",VLOOKUP(Q224,COMPOSIÇÃO!$1:$1048576,10,FALSE),VLOOKUP(Q224,'SINAPI 04-26-SD'!$A$1:$H$272700,4,FALSE)))),2)</f>
        <v>31.51</v>
      </c>
      <c r="V224" s="416">
        <f t="shared" ref="V224" si="760">TRUNC(U224*T224,2)</f>
        <v>4187.99</v>
      </c>
      <c r="W224" s="395">
        <f>IF($AA224="N",BDI!$D$26,IF($AA224="D",'BDI DIFE.'!$D$26,"ERRO"))</f>
        <v>0.22500000000000001</v>
      </c>
      <c r="X224" s="379">
        <f t="shared" ref="X224" si="761">TRUNC(U224*(1+W224),2)</f>
        <v>38.590000000000003</v>
      </c>
      <c r="Y224" s="380">
        <f t="shared" ref="Y224" si="762">TRUNC(T224*X224,2)</f>
        <v>5128.99</v>
      </c>
      <c r="Z224" s="381"/>
      <c r="AA224" s="378" t="s">
        <v>28044</v>
      </c>
      <c r="AB224" s="642"/>
    </row>
    <row r="225" spans="2:28" s="55" customFormat="1" ht="31" thickBot="1">
      <c r="B225" s="378">
        <f t="shared" ca="1" si="740"/>
        <v>3</v>
      </c>
      <c r="C225" s="378" t="str">
        <f t="shared" si="394"/>
        <v>S</v>
      </c>
      <c r="D225" s="378">
        <f t="shared" ca="1" si="711"/>
        <v>13</v>
      </c>
      <c r="E225" s="378">
        <f t="shared" ca="1" si="741"/>
        <v>4</v>
      </c>
      <c r="F225" s="378" t="str">
        <f t="shared" ca="1" si="742"/>
        <v>0</v>
      </c>
      <c r="G225" s="378" t="str">
        <f t="shared" ca="1" si="743"/>
        <v>0</v>
      </c>
      <c r="H225" s="378" t="str">
        <f t="shared" ca="1" si="744"/>
        <v>0</v>
      </c>
      <c r="I225" s="378" t="str">
        <f t="shared" ca="1" si="745"/>
        <v>0</v>
      </c>
      <c r="J225" s="378">
        <f t="shared" ca="1" si="712"/>
        <v>2</v>
      </c>
      <c r="K225" s="378" t="str">
        <f t="shared" si="746"/>
        <v>NÃO</v>
      </c>
      <c r="L225" s="378" t="str">
        <f t="shared" ca="1" si="747"/>
        <v>13.4.2</v>
      </c>
      <c r="M225" s="55" t="s">
        <v>27868</v>
      </c>
      <c r="O225" s="392" t="str">
        <f t="shared" ca="1" si="750"/>
        <v>13.4.2</v>
      </c>
      <c r="P225" s="413" t="s">
        <v>29901</v>
      </c>
      <c r="Q225" s="414" t="s">
        <v>12352</v>
      </c>
      <c r="R225" s="415" t="str">
        <f>UPPER(IF(P225="CDHU",VLOOKUP(Q225,'CDHU 201-SD'!$A$1:$J$28014,2,FALSE),IF(P225="FDE",VLOOKUP(Q225,'FDE 01-26-SD'!$A$1:$J$280013,2,FALSE),IF(P225="PRÓPRIA",VLOOKUP(Q225,COMPOSIÇÃO!$1:$1048576,3,FALSE),VLOOKUP(Q225,'SINAPI 04-26-SD'!$A$1:$H$272700,2,FALSE)))))</f>
        <v>RODAPÉ EM CIMENTADO DESEMPENADO E ALISADO COM ALTURA 7 CM</v>
      </c>
      <c r="S225" s="414" t="str">
        <f>UPPER(IF(P225="CDHU",VLOOKUP(Q225,'CDHU 201-SD'!$A$1:$J$28014,3,FALSE),IF(P225="FDE",VLOOKUP(Q225,'FDE 01-26-SD'!$A$1:$J$280013,3,FALSE),IF(P225="PRÓPRIA",VLOOKUP(Q225,COMPOSIÇÃO!$1:$1048576,7,FALSE),VLOOKUP(Q225,'SINAPI 04-26-SD'!$A$1:$H$272700,3,FALSE)))))</f>
        <v>M</v>
      </c>
      <c r="T225" s="393">
        <f>VLOOKUP(Q225,'PISOS INTERNOS'!$1:$1048576,12,FALSE)</f>
        <v>151.95999999999998</v>
      </c>
      <c r="U225" s="394">
        <f>TRUNC(IF(P225="CDHU",VLOOKUP(Q225,'CDHU 201-SD'!$A$1:$J$28014,6,FALSE),IF(P225="FDE",VLOOKUP(Q225,'FDE 01-26-SD'!$A$1:$J$280013,6,FALSE),IF(P225="PRÓPRIA",VLOOKUP(Q225,COMPOSIÇÃO!$1:$1048576,10,FALSE),VLOOKUP(Q225,'SINAPI 04-26-SD'!$A$1:$H$272700,4,FALSE)))),2)</f>
        <v>27.9</v>
      </c>
      <c r="V225" s="416">
        <f t="shared" ref="V225" si="763">TRUNC(U225*T225,2)</f>
        <v>4239.68</v>
      </c>
      <c r="W225" s="395">
        <f>IF($AA225="N",BDI!$D$26,IF($AA225="D",'BDI DIFE.'!$D$26,"ERRO"))</f>
        <v>0.22500000000000001</v>
      </c>
      <c r="X225" s="379">
        <f t="shared" ref="X225" si="764">TRUNC(U225*(1+W225),2)</f>
        <v>34.17</v>
      </c>
      <c r="Y225" s="380">
        <f t="shared" ref="Y225" si="765">TRUNC(T225*X225,2)</f>
        <v>5192.47</v>
      </c>
      <c r="Z225" s="381"/>
      <c r="AA225" s="378" t="s">
        <v>28044</v>
      </c>
      <c r="AB225" s="642"/>
    </row>
    <row r="226" spans="2:28" s="55" customFormat="1" ht="16" thickBot="1">
      <c r="B226" s="378" t="str">
        <f t="shared" ref="B226:B230" ca="1" si="766">IF(C226="S",IF(OFFSET(C226,-1,0)="S", OFFSET(B226,-1,0), OFFSET(B226,-1,0) +1 ), C226)</f>
        <v/>
      </c>
      <c r="C226" s="378" t="str">
        <f t="shared" si="394"/>
        <v/>
      </c>
      <c r="D226" s="378">
        <f t="shared" ca="1" si="711"/>
        <v>13</v>
      </c>
      <c r="E226" s="378">
        <f t="shared" ref="E226:E230" ca="1" si="767">IF($C226="2",OFFSET(E226,-1,0) +1,IF(OFFSET(D226,-1,0)&lt;&gt;D226,"0",IF(OFFSET(E226,-1,0)="","0",OFFSET(E226,-1,0))))</f>
        <v>4</v>
      </c>
      <c r="F226" s="378" t="str">
        <f t="shared" ref="F226:F230" ca="1" si="768">IF($C226="3",OFFSET(F226,-1,0) +1,IF(OFFSET(E226,-1,0)&lt;&gt;E226,"0",IF(OFFSET(F226,-1,0)="","0",OFFSET(F226,-1,0))))</f>
        <v>0</v>
      </c>
      <c r="G226" s="378" t="str">
        <f t="shared" ref="G226:G230" ca="1" si="769">IF($C226="4",OFFSET(G226,-1,0) +1,IF(OFFSET(F226,-1,0)&lt;&gt;F226,"0",IF(OFFSET(G226,-1,0)="","0",OFFSET(G226,-1,0))))</f>
        <v>0</v>
      </c>
      <c r="H226" s="378" t="str">
        <f t="shared" ref="H226:H230" ca="1" si="770">IF($C226="5",OFFSET(H226,-1,0) +1,IF(OFFSET(G226,-1,0)&lt;&gt;G226,"0",IF(OFFSET(H226,-1,0)="","0",OFFSET(H226,-1,0))))</f>
        <v>0</v>
      </c>
      <c r="I226" s="378" t="str">
        <f t="shared" ref="I226:I230" ca="1" si="771">IF($C226="6",OFFSET(I226,-1,0) +1,IF(OFFSET(H226,-1,0)&lt;&gt;H226,"0",IF(OFFSET(I226,-1,0)="","0", OFFSET(I226,-1,0))))</f>
        <v>0</v>
      </c>
      <c r="J226" s="378" t="str">
        <f t="shared" ca="1" si="712"/>
        <v>0</v>
      </c>
      <c r="K226" s="378" t="b">
        <f t="shared" ref="K226:K230" si="772">IF(C226="S","NÃO", IF(C226="1", D226, IF(C226="2", D226 &amp; "." &amp; E226,IF(C226="3", D226 &amp; "." &amp; E226 &amp; "." &amp; F226, IF(C226="4", D226 &amp; "." &amp; E226 &amp; "." &amp; F226 &amp; "." &amp; G226, IF(C226="5", D226 &amp; "." &amp; E226 &amp; "." &amp; F226 &amp; "." &amp; G226 &amp; "." &amp; H226, IF(C226="6", D226 &amp; "." &amp; E226 &amp; "." &amp; F226 &amp; "." &amp; G226 &amp; "." &amp; H226 &amp; "." &amp; I226)))))))</f>
        <v>0</v>
      </c>
      <c r="L226" s="378" t="b">
        <f t="shared" ref="L226:L230" si="773">IF(K226="NÃO",IF($B226=2,D226&amp;"."&amp;J226,IF($B226=3,D226&amp;"."&amp;E226&amp;"."&amp;J226,IF($B226=4,D226&amp;"."&amp;E226&amp;"."&amp;F226&amp;"."&amp;J226,IF($B226=5,D226&amp;"."&amp;E226&amp;"."&amp;F226&amp;"."&amp;G226&amp;"."&amp;J226,IF($B226=6,D226&amp;"."&amp;E226&amp;"."&amp;F226&amp;"."&amp;G226&amp;"."&amp;H226&amp;"."&amp;J226,IF($B226=7,D226&amp;"."&amp;E226&amp;"."&amp;F226&amp;"."&amp;G226&amp;"."&amp;H226&amp;"."&amp;I226&amp;"."&amp;J226,"FALHA")))))),K226)</f>
        <v>0</v>
      </c>
      <c r="O226" s="192"/>
      <c r="P226" s="387"/>
      <c r="Q226" s="387"/>
      <c r="R226" s="377"/>
      <c r="S226" s="387"/>
      <c r="T226" s="363"/>
      <c r="U226" s="388"/>
      <c r="V226" s="389"/>
      <c r="W226" s="389"/>
      <c r="X226" s="389"/>
      <c r="Y226" s="390"/>
      <c r="AB226" s="642"/>
    </row>
    <row r="227" spans="2:28" s="75" customFormat="1" ht="16" thickBot="1">
      <c r="B227" s="75" t="str">
        <f t="shared" ca="1" si="766"/>
        <v>2</v>
      </c>
      <c r="C227" s="75" t="str">
        <f t="shared" si="394"/>
        <v>2</v>
      </c>
      <c r="D227" s="75">
        <f t="shared" ca="1" si="711"/>
        <v>13</v>
      </c>
      <c r="E227" s="75">
        <f t="shared" ca="1" si="767"/>
        <v>5</v>
      </c>
      <c r="F227" s="75" t="str">
        <f t="shared" ca="1" si="768"/>
        <v>0</v>
      </c>
      <c r="G227" s="75" t="str">
        <f t="shared" ca="1" si="769"/>
        <v>0</v>
      </c>
      <c r="H227" s="75" t="str">
        <f t="shared" ca="1" si="770"/>
        <v>0</v>
      </c>
      <c r="I227" s="75" t="str">
        <f t="shared" ca="1" si="771"/>
        <v>0</v>
      </c>
      <c r="J227" s="75" t="str">
        <f t="shared" ca="1" si="712"/>
        <v>0</v>
      </c>
      <c r="K227" s="75" t="str">
        <f t="shared" ca="1" si="772"/>
        <v>13.5</v>
      </c>
      <c r="L227" s="75" t="str">
        <f t="shared" ca="1" si="773"/>
        <v>13.5</v>
      </c>
      <c r="M227" s="55" t="s">
        <v>27861</v>
      </c>
      <c r="O227" s="191" t="str">
        <f t="shared" ref="O227:O230" ca="1" si="774">L227</f>
        <v>13.5</v>
      </c>
      <c r="P227" s="172"/>
      <c r="Q227" s="172"/>
      <c r="R227" s="621" t="s">
        <v>44325</v>
      </c>
      <c r="S227" s="172"/>
      <c r="T227" s="194"/>
      <c r="U227" s="195"/>
      <c r="V227" s="196">
        <f ca="1">IF(VALUE(C227)=1,SUMIFS(V:V,D:D,D227,M:M,"Serviço"),IF(VALUE(C227)=2,SUMIFS(V:V,D:D,D227,E:E,E227,M:M,"Serviço"),IF(VALUE(C227)=3,SUMIFS(V:V,D:D,D227,E:E,E227,F:F,F227,M:M,"Serviço"),IF(VALUE(C227)=4,SUMIFS(V:V,D:D,D227,E:E,E227,F:F,F227,G:G,G227,M:M,"Serviço"),"ERRO"))))</f>
        <v>173129.37</v>
      </c>
      <c r="W227" s="197"/>
      <c r="X227" s="205"/>
      <c r="Y227" s="173">
        <f ca="1">IF(VALUE(C227)=1,SUMIFS(Y:Y,D:D,D227,M:M,"Serviço"),IF(VALUE(C227)=2,SUMIFS(Y:Y,D:D,D227,E:E,E227,M:M,"Serviço"),IF(VALUE(C227)=3,SUMIFS(Y:Y,D:D,D227,E:E,E227,F:F,F227,M:M,"Serviço"),IF(VALUE(C227)=4,SUMIFS(Y:Y,D:D,D227,E:E,E227,F:F,F227,G:G,G227,M:M,"Serviço"),"ERRO"))))</f>
        <v>212080.84</v>
      </c>
      <c r="AB227" s="641"/>
    </row>
    <row r="228" spans="2:28" s="55" customFormat="1">
      <c r="B228" s="378">
        <f t="shared" ref="B228:B229" ca="1" si="775">IF(C228="S",IF(OFFSET(C228,-1,0)="S", OFFSET(B228,-1,0), OFFSET(B228,-1,0) +1 ), C228)</f>
        <v>3</v>
      </c>
      <c r="C228" s="378" t="str">
        <f t="shared" si="394"/>
        <v>S</v>
      </c>
      <c r="D228" s="378">
        <f t="shared" ca="1" si="711"/>
        <v>13</v>
      </c>
      <c r="E228" s="378">
        <f t="shared" ref="E228:E229" ca="1" si="776">IF($C228="2",OFFSET(E228,-1,0) +1,IF(OFFSET(D228,-1,0)&lt;&gt;D228,"0",IF(OFFSET(E228,-1,0)="","0",OFFSET(E228,-1,0))))</f>
        <v>5</v>
      </c>
      <c r="F228" s="378" t="str">
        <f t="shared" ref="F228:F229" ca="1" si="777">IF($C228="3",OFFSET(F228,-1,0) +1,IF(OFFSET(E228,-1,0)&lt;&gt;E228,"0",IF(OFFSET(F228,-1,0)="","0",OFFSET(F228,-1,0))))</f>
        <v>0</v>
      </c>
      <c r="G228" s="378" t="str">
        <f t="shared" ref="G228:G229" ca="1" si="778">IF($C228="4",OFFSET(G228,-1,0) +1,IF(OFFSET(F228,-1,0)&lt;&gt;F228,"0",IF(OFFSET(G228,-1,0)="","0",OFFSET(G228,-1,0))))</f>
        <v>0</v>
      </c>
      <c r="H228" s="378" t="str">
        <f t="shared" ref="H228:H229" ca="1" si="779">IF($C228="5",OFFSET(H228,-1,0) +1,IF(OFFSET(G228,-1,0)&lt;&gt;G228,"0",IF(OFFSET(H228,-1,0)="","0",OFFSET(H228,-1,0))))</f>
        <v>0</v>
      </c>
      <c r="I228" s="378" t="str">
        <f t="shared" ref="I228:I229" ca="1" si="780">IF($C228="6",OFFSET(I228,-1,0) +1,IF(OFFSET(H228,-1,0)&lt;&gt;H228,"0",IF(OFFSET(I228,-1,0)="","0", OFFSET(I228,-1,0))))</f>
        <v>0</v>
      </c>
      <c r="J228" s="378">
        <f t="shared" ca="1" si="712"/>
        <v>1</v>
      </c>
      <c r="K228" s="378" t="str">
        <f t="shared" ref="K228:K229" si="781">IF(C228="S","NÃO", IF(C228="1", D228, IF(C228="2", D228 &amp; "." &amp; E228,IF(C228="3", D228 &amp; "." &amp; E228 &amp; "." &amp; F228, IF(C228="4", D228 &amp; "." &amp; E228 &amp; "." &amp; F228 &amp; "." &amp; G228, IF(C228="5", D228 &amp; "." &amp; E228 &amp; "." &amp; F228 &amp; "." &amp; G228 &amp; "." &amp; H228, IF(C228="6", D228 &amp; "." &amp; E228 &amp; "." &amp; F228 &amp; "." &amp; G228 &amp; "." &amp; H228 &amp; "." &amp; I228)))))))</f>
        <v>NÃO</v>
      </c>
      <c r="L228" s="378" t="str">
        <f t="shared" ref="L228:L229" ca="1" si="782">IF(K228="NÃO",IF($B228=2,D228&amp;"."&amp;J228,IF($B228=3,D228&amp;"."&amp;E228&amp;"."&amp;J228,IF($B228=4,D228&amp;"."&amp;E228&amp;"."&amp;F228&amp;"."&amp;J228,IF($B228=5,D228&amp;"."&amp;E228&amp;"."&amp;F228&amp;"."&amp;G228&amp;"."&amp;J228,IF($B228=6,D228&amp;"."&amp;E228&amp;"."&amp;F228&amp;"."&amp;G228&amp;"."&amp;H228&amp;"."&amp;J228,IF($B228=7,D228&amp;"."&amp;E228&amp;"."&amp;F228&amp;"."&amp;G228&amp;"."&amp;H228&amp;"."&amp;I228&amp;"."&amp;J228,"FALHA")))))),K228)</f>
        <v>13.5.1</v>
      </c>
      <c r="M228" s="55" t="s">
        <v>27868</v>
      </c>
      <c r="O228" s="392" t="str">
        <f t="shared" ref="O228:O229" ca="1" si="783">L228</f>
        <v>13.5.1</v>
      </c>
      <c r="P228" s="413" t="s">
        <v>29901</v>
      </c>
      <c r="Q228" s="414" t="s">
        <v>12338</v>
      </c>
      <c r="R228" s="415" t="str">
        <f>UPPER(IF(P228="CDHU",VLOOKUP(Q228,'CDHU 201-SD'!$A$1:$J$28014,2,FALSE),IF(P228="FDE",VLOOKUP(Q228,'FDE 01-26-SD'!$A$1:$J$280013,2,FALSE),IF(P228="PRÓPRIA",VLOOKUP(Q228,COMPOSIÇÃO!$1:$1048576,3,FALSE),VLOOKUP(Q228,'SINAPI 04-26-SD'!$A$1:$H$272700,2,FALSE)))))</f>
        <v>CIMENTADO DESEMPENADO</v>
      </c>
      <c r="S228" s="414" t="str">
        <f>UPPER(IF(P228="CDHU",VLOOKUP(Q228,'CDHU 201-SD'!$A$1:$J$28014,3,FALSE),IF(P228="FDE",VLOOKUP(Q228,'FDE 01-26-SD'!$A$1:$J$280013,3,FALSE),IF(P228="PRÓPRIA",VLOOKUP(Q228,COMPOSIÇÃO!$1:$1048576,7,FALSE),VLOOKUP(Q228,'SINAPI 04-26-SD'!$A$1:$H$272700,3,FALSE)))))</f>
        <v>M2</v>
      </c>
      <c r="T228" s="393">
        <f>VLOOKUP(Q228,'PISOS INTERNOS'!$1:$1048576,12,FALSE)</f>
        <v>14.75</v>
      </c>
      <c r="U228" s="394">
        <f>TRUNC(IF(P228="CDHU",VLOOKUP(Q228,'CDHU 201-SD'!$A$1:$J$28014,6,FALSE),IF(P228="FDE",VLOOKUP(Q228,'FDE 01-26-SD'!$A$1:$J$280013,6,FALSE),IF(P228="PRÓPRIA",VLOOKUP(Q228,COMPOSIÇÃO!$1:$1048576,10,FALSE),VLOOKUP(Q228,'SINAPI 04-26-SD'!$A$1:$H$272700,4,FALSE)))),2)</f>
        <v>37.590000000000003</v>
      </c>
      <c r="V228" s="416">
        <f t="shared" ref="V228:V229" si="784">TRUNC(U228*T228,2)</f>
        <v>554.45000000000005</v>
      </c>
      <c r="W228" s="395">
        <f>IF($AA228="N",BDI!$D$26,IF($AA228="D",'BDI DIFE.'!$D$26,"ERRO"))</f>
        <v>0.22500000000000001</v>
      </c>
      <c r="X228" s="379">
        <f t="shared" ref="X228:X229" si="785">TRUNC(U228*(1+W228),2)</f>
        <v>46.04</v>
      </c>
      <c r="Y228" s="380">
        <f t="shared" ref="Y228:Y229" si="786">TRUNC(T228*X228,2)</f>
        <v>679.09</v>
      </c>
      <c r="Z228" s="381"/>
      <c r="AA228" s="378" t="s">
        <v>28044</v>
      </c>
      <c r="AB228" s="642"/>
    </row>
    <row r="229" spans="2:28" s="55" customFormat="1" ht="75">
      <c r="B229" s="378">
        <f t="shared" ca="1" si="775"/>
        <v>3</v>
      </c>
      <c r="C229" s="378" t="str">
        <f t="shared" si="394"/>
        <v>S</v>
      </c>
      <c r="D229" s="378">
        <f t="shared" ca="1" si="711"/>
        <v>13</v>
      </c>
      <c r="E229" s="378">
        <f t="shared" ca="1" si="776"/>
        <v>5</v>
      </c>
      <c r="F229" s="378" t="str">
        <f t="shared" ca="1" si="777"/>
        <v>0</v>
      </c>
      <c r="G229" s="378" t="str">
        <f t="shared" ca="1" si="778"/>
        <v>0</v>
      </c>
      <c r="H229" s="378" t="str">
        <f t="shared" ca="1" si="779"/>
        <v>0</v>
      </c>
      <c r="I229" s="378" t="str">
        <f t="shared" ca="1" si="780"/>
        <v>0</v>
      </c>
      <c r="J229" s="378">
        <f t="shared" ca="1" si="712"/>
        <v>2</v>
      </c>
      <c r="K229" s="378" t="str">
        <f t="shared" si="781"/>
        <v>NÃO</v>
      </c>
      <c r="L229" s="378" t="str">
        <f t="shared" ca="1" si="782"/>
        <v>13.5.2</v>
      </c>
      <c r="M229" s="55" t="s">
        <v>27868</v>
      </c>
      <c r="O229" s="392" t="str">
        <f t="shared" ca="1" si="783"/>
        <v>13.5.2</v>
      </c>
      <c r="P229" s="413" t="s">
        <v>41227</v>
      </c>
      <c r="Q229" s="414" t="s">
        <v>44326</v>
      </c>
      <c r="R229" s="415" t="str">
        <f>UPPER(IF(P229="CDHU",VLOOKUP(Q229,'CDHU 201-SD'!$A$1:$J$28014,2,FALSE),IF(P229="FDE",VLOOKUP(Q229,'FDE 01-26-SD'!$A$1:$J$280013,2,FALSE),IF(P229="PRÓPRIA",VLOOKUP(Q229,COMPOSIÇÃO!$1:$1048576,3,FALSE),VLOOKUP(Q229,'SINAPI 04-26-SD'!$A$1:$H$272700,2,FALSE)))))</f>
        <v>PISO EM CONCRETO ARMADO FCK=30MPA, ESP.=12 CM, ARMADO COM TELA DUPLA Q138, CONCRETO CAMADA ÚNICA BOMBEÁVEL C/ BRITA N. 1, ACABAMENTO SUPERIOR COM ROTOALISADOR, JUNTAS SERRADAS COM CORTE SERRA DIAMANTADA PREENCHIMENTO COM MASTIQUE, BASE 5CM SOLO BRITA 30%</v>
      </c>
      <c r="S229" s="414" t="str">
        <f>UPPER(IF(P229="CDHU",VLOOKUP(Q229,'CDHU 201-SD'!$A$1:$J$28014,3,FALSE),IF(P229="FDE",VLOOKUP(Q229,'FDE 01-26-SD'!$A$1:$J$280013,3,FALSE),IF(P229="PRÓPRIA",VLOOKUP(Q229,COMPOSIÇÃO!$1:$1048576,7,FALSE),VLOOKUP(Q229,'SINAPI 04-26-SD'!$A$1:$H$272700,3,FALSE)))))</f>
        <v>M2</v>
      </c>
      <c r="T229" s="393">
        <f>VLOOKUP(Q229,'PISOS INTERNOS'!$1:$1048576,12,FALSE)</f>
        <v>1094.8399999999999</v>
      </c>
      <c r="U229" s="394">
        <f>TRUNC(IF(P229="CDHU",VLOOKUP(Q229,'CDHU 201-SD'!$A$1:$J$28014,6,FALSE),IF(P229="FDE",VLOOKUP(Q229,'FDE 01-26-SD'!$A$1:$J$280013,6,FALSE),IF(P229="PRÓPRIA",VLOOKUP(Q229,COMPOSIÇÃO!$1:$1048576,10,FALSE),VLOOKUP(Q229,'SINAPI 04-26-SD'!$A$1:$H$272700,4,FALSE)))),2)</f>
        <v>153.52000000000001</v>
      </c>
      <c r="V229" s="416">
        <f t="shared" si="784"/>
        <v>168079.83</v>
      </c>
      <c r="W229" s="395">
        <f>IF($AA229="N",BDI!$D$26,IF($AA229="D",'BDI DIFE.'!$D$26,"ERRO"))</f>
        <v>0.22500000000000001</v>
      </c>
      <c r="X229" s="379">
        <f t="shared" si="785"/>
        <v>188.06</v>
      </c>
      <c r="Y229" s="380">
        <f t="shared" si="786"/>
        <v>205895.61</v>
      </c>
      <c r="Z229" s="381"/>
      <c r="AA229" s="378" t="s">
        <v>28044</v>
      </c>
      <c r="AB229" s="642"/>
    </row>
    <row r="230" spans="2:28" s="55" customFormat="1" ht="16" thickBot="1">
      <c r="B230" s="378">
        <f t="shared" ca="1" si="766"/>
        <v>3</v>
      </c>
      <c r="C230" s="378" t="str">
        <f t="shared" si="394"/>
        <v>S</v>
      </c>
      <c r="D230" s="378">
        <f t="shared" ca="1" si="711"/>
        <v>13</v>
      </c>
      <c r="E230" s="378">
        <f t="shared" ca="1" si="767"/>
        <v>5</v>
      </c>
      <c r="F230" s="378" t="str">
        <f t="shared" ca="1" si="768"/>
        <v>0</v>
      </c>
      <c r="G230" s="378" t="str">
        <f t="shared" ca="1" si="769"/>
        <v>0</v>
      </c>
      <c r="H230" s="378" t="str">
        <f t="shared" ca="1" si="770"/>
        <v>0</v>
      </c>
      <c r="I230" s="378" t="str">
        <f t="shared" ca="1" si="771"/>
        <v>0</v>
      </c>
      <c r="J230" s="378">
        <f t="shared" ca="1" si="712"/>
        <v>3</v>
      </c>
      <c r="K230" s="378" t="str">
        <f t="shared" si="772"/>
        <v>NÃO</v>
      </c>
      <c r="L230" s="378" t="str">
        <f t="shared" ca="1" si="773"/>
        <v>13.5.3</v>
      </c>
      <c r="M230" s="55" t="s">
        <v>27868</v>
      </c>
      <c r="O230" s="392" t="str">
        <f t="shared" ca="1" si="774"/>
        <v>13.5.3</v>
      </c>
      <c r="P230" s="413" t="s">
        <v>29901</v>
      </c>
      <c r="Q230" s="414" t="s">
        <v>17696</v>
      </c>
      <c r="R230" s="415" t="str">
        <f>UPPER(IF(P230="CDHU",VLOOKUP(Q230,'CDHU 201-SD'!$A$1:$J$28014,2,FALSE),IF(P230="FDE",VLOOKUP(Q230,'FDE 01-26-SD'!$A$1:$J$280013,2,FALSE),IF(P230="PRÓPRIA",VLOOKUP(Q230,COMPOSIÇÃO!$1:$1048576,3,FALSE),VLOOKUP(Q230,'SINAPI 04-26-SD'!$A$1:$H$272700,2,FALSE)))))</f>
        <v>GUIA PRÉ-MOLDADA RETA TIPO PMSP 100 - FCK 25 MPA</v>
      </c>
      <c r="S230" s="414" t="str">
        <f>UPPER(IF(P230="CDHU",VLOOKUP(Q230,'CDHU 201-SD'!$A$1:$J$28014,3,FALSE),IF(P230="FDE",VLOOKUP(Q230,'FDE 01-26-SD'!$A$1:$J$280013,3,FALSE),IF(P230="PRÓPRIA",VLOOKUP(Q230,COMPOSIÇÃO!$1:$1048576,7,FALSE),VLOOKUP(Q230,'SINAPI 04-26-SD'!$A$1:$H$272700,3,FALSE)))))</f>
        <v>M</v>
      </c>
      <c r="T230" s="393">
        <f>VLOOKUP(Q230,'PISOS INTERNOS'!$1:$1048576,12,FALSE)</f>
        <v>71.91</v>
      </c>
      <c r="U230" s="394">
        <f>TRUNC(IF(P230="CDHU",VLOOKUP(Q230,'CDHU 201-SD'!$A$1:$J$28014,6,FALSE),IF(P230="FDE",VLOOKUP(Q230,'FDE 01-26-SD'!$A$1:$J$280013,6,FALSE),IF(P230="PRÓPRIA",VLOOKUP(Q230,COMPOSIÇÃO!$1:$1048576,10,FALSE),VLOOKUP(Q230,'SINAPI 04-26-SD'!$A$1:$H$272700,4,FALSE)))),2)</f>
        <v>62.51</v>
      </c>
      <c r="V230" s="416">
        <f t="shared" ref="V230" si="787">TRUNC(U230*T230,2)</f>
        <v>4495.09</v>
      </c>
      <c r="W230" s="395">
        <f>IF($AA230="N",BDI!$D$26,IF($AA230="D",'BDI DIFE.'!$D$26,"ERRO"))</f>
        <v>0.22500000000000001</v>
      </c>
      <c r="X230" s="379">
        <f t="shared" ref="X230" si="788">TRUNC(U230*(1+W230),2)</f>
        <v>76.569999999999993</v>
      </c>
      <c r="Y230" s="380">
        <f t="shared" ref="Y230" si="789">TRUNC(T230*X230,2)</f>
        <v>5506.14</v>
      </c>
      <c r="Z230" s="381"/>
      <c r="AA230" s="378" t="s">
        <v>28044</v>
      </c>
      <c r="AB230" s="642"/>
    </row>
    <row r="231" spans="2:28" s="55" customFormat="1" ht="16" thickBot="1">
      <c r="B231" s="378" t="str">
        <f t="shared" ref="B231:B234" ca="1" si="790">IF(C231="S",IF(OFFSET(C231,-1,0)="S", OFFSET(B231,-1,0), OFFSET(B231,-1,0) +1 ), C231)</f>
        <v/>
      </c>
      <c r="C231" s="378" t="str">
        <f t="shared" si="394"/>
        <v/>
      </c>
      <c r="D231" s="378">
        <f t="shared" ca="1" si="711"/>
        <v>13</v>
      </c>
      <c r="E231" s="378">
        <f t="shared" ref="E231:E234" ca="1" si="791">IF($C231="2",OFFSET(E231,-1,0) +1,IF(OFFSET(D231,-1,0)&lt;&gt;D231,"0",IF(OFFSET(E231,-1,0)="","0",OFFSET(E231,-1,0))))</f>
        <v>5</v>
      </c>
      <c r="F231" s="378" t="str">
        <f t="shared" ref="F231:F234" ca="1" si="792">IF($C231="3",OFFSET(F231,-1,0) +1,IF(OFFSET(E231,-1,0)&lt;&gt;E231,"0",IF(OFFSET(F231,-1,0)="","0",OFFSET(F231,-1,0))))</f>
        <v>0</v>
      </c>
      <c r="G231" s="378" t="str">
        <f t="shared" ref="G231:G234" ca="1" si="793">IF($C231="4",OFFSET(G231,-1,0) +1,IF(OFFSET(F231,-1,0)&lt;&gt;F231,"0",IF(OFFSET(G231,-1,0)="","0",OFFSET(G231,-1,0))))</f>
        <v>0</v>
      </c>
      <c r="H231" s="378" t="str">
        <f t="shared" ref="H231:H234" ca="1" si="794">IF($C231="5",OFFSET(H231,-1,0) +1,IF(OFFSET(G231,-1,0)&lt;&gt;G231,"0",IF(OFFSET(H231,-1,0)="","0",OFFSET(H231,-1,0))))</f>
        <v>0</v>
      </c>
      <c r="I231" s="378" t="str">
        <f t="shared" ref="I231:I234" ca="1" si="795">IF($C231="6",OFFSET(I231,-1,0) +1,IF(OFFSET(H231,-1,0)&lt;&gt;H231,"0",IF(OFFSET(I231,-1,0)="","0", OFFSET(I231,-1,0))))</f>
        <v>0</v>
      </c>
      <c r="J231" s="378" t="str">
        <f t="shared" ca="1" si="712"/>
        <v>0</v>
      </c>
      <c r="K231" s="378" t="b">
        <f t="shared" ref="K231:K234" si="796">IF(C231="S","NÃO", IF(C231="1", D231, IF(C231="2", D231 &amp; "." &amp; E231,IF(C231="3", D231 &amp; "." &amp; E231 &amp; "." &amp; F231, IF(C231="4", D231 &amp; "." &amp; E231 &amp; "." &amp; F231 &amp; "." &amp; G231, IF(C231="5", D231 &amp; "." &amp; E231 &amp; "." &amp; F231 &amp; "." &amp; G231 &amp; "." &amp; H231, IF(C231="6", D231 &amp; "." &amp; E231 &amp; "." &amp; F231 &amp; "." &amp; G231 &amp; "." &amp; H231 &amp; "." &amp; I231)))))))</f>
        <v>0</v>
      </c>
      <c r="L231" s="378" t="b">
        <f t="shared" ref="L231:L234" si="797">IF(K231="NÃO",IF($B231=2,D231&amp;"."&amp;J231,IF($B231=3,D231&amp;"."&amp;E231&amp;"."&amp;J231,IF($B231=4,D231&amp;"."&amp;E231&amp;"."&amp;F231&amp;"."&amp;J231,IF($B231=5,D231&amp;"."&amp;E231&amp;"."&amp;F231&amp;"."&amp;G231&amp;"."&amp;J231,IF($B231=6,D231&amp;"."&amp;E231&amp;"."&amp;F231&amp;"."&amp;G231&amp;"."&amp;H231&amp;"."&amp;J231,IF($B231=7,D231&amp;"."&amp;E231&amp;"."&amp;F231&amp;"."&amp;G231&amp;"."&amp;H231&amp;"."&amp;I231&amp;"."&amp;J231,"FALHA")))))),K231)</f>
        <v>0</v>
      </c>
      <c r="O231" s="192"/>
      <c r="P231" s="387"/>
      <c r="Q231" s="387"/>
      <c r="R231" s="377"/>
      <c r="S231" s="387"/>
      <c r="T231" s="363"/>
      <c r="U231" s="388"/>
      <c r="V231" s="389"/>
      <c r="W231" s="389"/>
      <c r="X231" s="389"/>
      <c r="Y231" s="390"/>
      <c r="AB231" s="642"/>
    </row>
    <row r="232" spans="2:28" s="75" customFormat="1" ht="16" thickBot="1">
      <c r="B232" s="75" t="str">
        <f t="shared" ca="1" si="790"/>
        <v>2</v>
      </c>
      <c r="C232" s="75" t="str">
        <f t="shared" si="394"/>
        <v>2</v>
      </c>
      <c r="D232" s="75">
        <f t="shared" ca="1" si="711"/>
        <v>13</v>
      </c>
      <c r="E232" s="75">
        <f t="shared" ca="1" si="791"/>
        <v>6</v>
      </c>
      <c r="F232" s="75" t="str">
        <f t="shared" ca="1" si="792"/>
        <v>0</v>
      </c>
      <c r="G232" s="75" t="str">
        <f t="shared" ca="1" si="793"/>
        <v>0</v>
      </c>
      <c r="H232" s="75" t="str">
        <f t="shared" ca="1" si="794"/>
        <v>0</v>
      </c>
      <c r="I232" s="75" t="str">
        <f t="shared" ca="1" si="795"/>
        <v>0</v>
      </c>
      <c r="J232" s="75" t="str">
        <f t="shared" ca="1" si="712"/>
        <v>0</v>
      </c>
      <c r="K232" s="75" t="str">
        <f t="shared" ca="1" si="796"/>
        <v>13.6</v>
      </c>
      <c r="L232" s="75" t="str">
        <f t="shared" ca="1" si="797"/>
        <v>13.6</v>
      </c>
      <c r="M232" s="55" t="s">
        <v>27861</v>
      </c>
      <c r="O232" s="191" t="str">
        <f t="shared" ref="O232:O234" ca="1" si="798">L232</f>
        <v>13.6</v>
      </c>
      <c r="P232" s="172"/>
      <c r="Q232" s="172"/>
      <c r="R232" s="621" t="s">
        <v>44521</v>
      </c>
      <c r="S232" s="172"/>
      <c r="T232" s="194"/>
      <c r="U232" s="195"/>
      <c r="V232" s="196">
        <f ca="1">IF(VALUE(C232)=1,SUMIFS(V:V,D:D,D232,M:M,"Serviço"),IF(VALUE(C232)=2,SUMIFS(V:V,D:D,D232,E:E,E232,M:M,"Serviço"),IF(VALUE(C232)=3,SUMIFS(V:V,D:D,D232,E:E,E232,F:F,F232,M:M,"Serviço"),IF(VALUE(C232)=4,SUMIFS(V:V,D:D,D232,E:E,E232,F:F,F232,G:G,G232,M:M,"Serviço"),"ERRO"))))</f>
        <v>30214.309999999998</v>
      </c>
      <c r="W232" s="197"/>
      <c r="X232" s="205"/>
      <c r="Y232" s="173">
        <f ca="1">IF(VALUE(C232)=1,SUMIFS(Y:Y,D:D,D232,M:M,"Serviço"),IF(VALUE(C232)=2,SUMIFS(Y:Y,D:D,D232,E:E,E232,M:M,"Serviço"),IF(VALUE(C232)=3,SUMIFS(Y:Y,D:D,D232,E:E,E232,F:F,F232,M:M,"Serviço"),IF(VALUE(C232)=4,SUMIFS(Y:Y,D:D,D232,E:E,E232,F:F,F232,G:G,G232,M:M,"Serviço"),"ERRO"))))</f>
        <v>37008.869999999995</v>
      </c>
      <c r="AB232" s="641"/>
    </row>
    <row r="233" spans="2:28" s="55" customFormat="1" ht="30">
      <c r="B233" s="378">
        <f t="shared" ref="B233" ca="1" si="799">IF(C233="S",IF(OFFSET(C233,-1,0)="S", OFFSET(B233,-1,0), OFFSET(B233,-1,0) +1 ), C233)</f>
        <v>3</v>
      </c>
      <c r="C233" s="378" t="str">
        <f t="shared" si="394"/>
        <v>S</v>
      </c>
      <c r="D233" s="378">
        <f t="shared" ca="1" si="711"/>
        <v>13</v>
      </c>
      <c r="E233" s="378">
        <f t="shared" ref="E233" ca="1" si="800">IF($C233="2",OFFSET(E233,-1,0) +1,IF(OFFSET(D233,-1,0)&lt;&gt;D233,"0",IF(OFFSET(E233,-1,0)="","0",OFFSET(E233,-1,0))))</f>
        <v>6</v>
      </c>
      <c r="F233" s="378" t="str">
        <f t="shared" ref="F233" ca="1" si="801">IF($C233="3",OFFSET(F233,-1,0) +1,IF(OFFSET(E233,-1,0)&lt;&gt;E233,"0",IF(OFFSET(F233,-1,0)="","0",OFFSET(F233,-1,0))))</f>
        <v>0</v>
      </c>
      <c r="G233" s="378" t="str">
        <f t="shared" ref="G233" ca="1" si="802">IF($C233="4",OFFSET(G233,-1,0) +1,IF(OFFSET(F233,-1,0)&lt;&gt;F233,"0",IF(OFFSET(G233,-1,0)="","0",OFFSET(G233,-1,0))))</f>
        <v>0</v>
      </c>
      <c r="H233" s="378" t="str">
        <f t="shared" ref="H233" ca="1" si="803">IF($C233="5",OFFSET(H233,-1,0) +1,IF(OFFSET(G233,-1,0)&lt;&gt;G233,"0",IF(OFFSET(H233,-1,0)="","0",OFFSET(H233,-1,0))))</f>
        <v>0</v>
      </c>
      <c r="I233" s="378" t="str">
        <f t="shared" ref="I233" ca="1" si="804">IF($C233="6",OFFSET(I233,-1,0) +1,IF(OFFSET(H233,-1,0)&lt;&gt;H233,"0",IF(OFFSET(I233,-1,0)="","0", OFFSET(I233,-1,0))))</f>
        <v>0</v>
      </c>
      <c r="J233" s="378">
        <f t="shared" ca="1" si="712"/>
        <v>1</v>
      </c>
      <c r="K233" s="378" t="str">
        <f t="shared" ref="K233" si="805">IF(C233="S","NÃO", IF(C233="1", D233, IF(C233="2", D233 &amp; "." &amp; E233,IF(C233="3", D233 &amp; "." &amp; E233 &amp; "." &amp; F233, IF(C233="4", D233 &amp; "." &amp; E233 &amp; "." &amp; F233 &amp; "." &amp; G233, IF(C233="5", D233 &amp; "." &amp; E233 &amp; "." &amp; F233 &amp; "." &amp; G233 &amp; "." &amp; H233, IF(C233="6", D233 &amp; "." &amp; E233 &amp; "." &amp; F233 &amp; "." &amp; G233 &amp; "." &amp; H233 &amp; "." &amp; I233)))))))</f>
        <v>NÃO</v>
      </c>
      <c r="L233" s="378" t="str">
        <f t="shared" ref="L233" ca="1" si="806">IF(K233="NÃO",IF($B233=2,D233&amp;"."&amp;J233,IF($B233=3,D233&amp;"."&amp;E233&amp;"."&amp;J233,IF($B233=4,D233&amp;"."&amp;E233&amp;"."&amp;F233&amp;"."&amp;J233,IF($B233=5,D233&amp;"."&amp;E233&amp;"."&amp;F233&amp;"."&amp;G233&amp;"."&amp;J233,IF($B233=6,D233&amp;"."&amp;E233&amp;"."&amp;F233&amp;"."&amp;G233&amp;"."&amp;H233&amp;"."&amp;J233,IF($B233=7,D233&amp;"."&amp;E233&amp;"."&amp;F233&amp;"."&amp;G233&amp;"."&amp;H233&amp;"."&amp;I233&amp;"."&amp;J233,"FALHA")))))),K233)</f>
        <v>13.6.1</v>
      </c>
      <c r="M233" s="55" t="s">
        <v>27868</v>
      </c>
      <c r="O233" s="392" t="str">
        <f t="shared" ref="O233" ca="1" si="807">L233</f>
        <v>13.6.1</v>
      </c>
      <c r="P233" s="413" t="s">
        <v>29901</v>
      </c>
      <c r="Q233" s="414" t="s">
        <v>12423</v>
      </c>
      <c r="R233" s="415" t="str">
        <f>UPPER(IF(P233="CDHU",VLOOKUP(Q233,'CDHU 201-SD'!$A$1:$J$28014,2,FALSE),IF(P233="FDE",VLOOKUP(Q233,'FDE 01-26-SD'!$A$1:$J$280013,2,FALSE),IF(P233="PRÓPRIA",VLOOKUP(Q233,COMPOSIÇÃO!$1:$1048576,3,FALSE),VLOOKUP(Q233,'SINAPI 04-26-SD'!$A$1:$H$272700,2,FALSE)))))</f>
        <v>REPAROS EM PISOS DE ALTA RESISTÊNCIA FUNDIDOS NO LOCAL - ESTUCAMENTO E POLIMENTO</v>
      </c>
      <c r="S233" s="414" t="str">
        <f>UPPER(IF(P233="CDHU",VLOOKUP(Q233,'CDHU 201-SD'!$A$1:$J$28014,3,FALSE),IF(P233="FDE",VLOOKUP(Q233,'FDE 01-26-SD'!$A$1:$J$280013,3,FALSE),IF(P233="PRÓPRIA",VLOOKUP(Q233,COMPOSIÇÃO!$1:$1048576,7,FALSE),VLOOKUP(Q233,'SINAPI 04-26-SD'!$A$1:$H$272700,3,FALSE)))))</f>
        <v>M2</v>
      </c>
      <c r="T233" s="393">
        <f>VLOOKUP(Q233,'PISOS INTERNOS'!$1:$1048576,12,FALSE)</f>
        <v>325.41000000000003</v>
      </c>
      <c r="U233" s="394">
        <f>TRUNC(IF(P233="CDHU",VLOOKUP(Q233,'CDHU 201-SD'!$A$1:$J$28014,6,FALSE),IF(P233="FDE",VLOOKUP(Q233,'FDE 01-26-SD'!$A$1:$J$280013,6,FALSE),IF(P233="PRÓPRIA",VLOOKUP(Q233,COMPOSIÇÃO!$1:$1048576,10,FALSE),VLOOKUP(Q233,'SINAPI 04-26-SD'!$A$1:$H$272700,4,FALSE)))),2)</f>
        <v>49.54</v>
      </c>
      <c r="V233" s="416">
        <f t="shared" ref="V233" si="808">TRUNC(U233*T233,2)</f>
        <v>16120.81</v>
      </c>
      <c r="W233" s="395">
        <f>IF($AA233="N",BDI!$D$26,IF($AA233="D",'BDI DIFE.'!$D$26,"ERRO"))</f>
        <v>0.22500000000000001</v>
      </c>
      <c r="X233" s="379">
        <f t="shared" ref="X233" si="809">TRUNC(U233*(1+W233),2)</f>
        <v>60.68</v>
      </c>
      <c r="Y233" s="380">
        <f t="shared" ref="Y233" si="810">TRUNC(T233*X233,2)</f>
        <v>19745.87</v>
      </c>
      <c r="Z233" s="381"/>
      <c r="AA233" s="378" t="s">
        <v>28044</v>
      </c>
      <c r="AB233" s="642"/>
    </row>
    <row r="234" spans="2:28" s="55" customFormat="1" ht="16" thickBot="1">
      <c r="B234" s="378">
        <f t="shared" ca="1" si="790"/>
        <v>3</v>
      </c>
      <c r="C234" s="378" t="str">
        <f t="shared" si="394"/>
        <v>S</v>
      </c>
      <c r="D234" s="378">
        <f t="shared" ca="1" si="711"/>
        <v>13</v>
      </c>
      <c r="E234" s="378">
        <f t="shared" ca="1" si="791"/>
        <v>6</v>
      </c>
      <c r="F234" s="378" t="str">
        <f t="shared" ca="1" si="792"/>
        <v>0</v>
      </c>
      <c r="G234" s="378" t="str">
        <f t="shared" ca="1" si="793"/>
        <v>0</v>
      </c>
      <c r="H234" s="378" t="str">
        <f t="shared" ca="1" si="794"/>
        <v>0</v>
      </c>
      <c r="I234" s="378" t="str">
        <f t="shared" ca="1" si="795"/>
        <v>0</v>
      </c>
      <c r="J234" s="378">
        <f t="shared" ca="1" si="712"/>
        <v>2</v>
      </c>
      <c r="K234" s="378" t="str">
        <f t="shared" si="796"/>
        <v>NÃO</v>
      </c>
      <c r="L234" s="378" t="str">
        <f t="shared" ca="1" si="797"/>
        <v>13.6.2</v>
      </c>
      <c r="M234" s="55" t="s">
        <v>27868</v>
      </c>
      <c r="O234" s="392" t="str">
        <f t="shared" ca="1" si="798"/>
        <v>13.6.2</v>
      </c>
      <c r="P234" s="413" t="s">
        <v>29901</v>
      </c>
      <c r="Q234" s="414" t="s">
        <v>12340</v>
      </c>
      <c r="R234" s="415" t="str">
        <f>UPPER(IF(P234="CDHU",VLOOKUP(Q234,'CDHU 201-SD'!$A$1:$J$28014,2,FALSE),IF(P234="FDE",VLOOKUP(Q234,'FDE 01-26-SD'!$A$1:$J$280013,2,FALSE),IF(P234="PRÓPRIA",VLOOKUP(Q234,COMPOSIÇÃO!$1:$1048576,3,FALSE),VLOOKUP(Q234,'SINAPI 04-26-SD'!$A$1:$H$272700,2,FALSE)))))</f>
        <v>CIMENTADO DESEMPENADO E ALISADO (QUEIMADO)</v>
      </c>
      <c r="S234" s="414" t="str">
        <f>UPPER(IF(P234="CDHU",VLOOKUP(Q234,'CDHU 201-SD'!$A$1:$J$28014,3,FALSE),IF(P234="FDE",VLOOKUP(Q234,'FDE 01-26-SD'!$A$1:$J$280013,3,FALSE),IF(P234="PRÓPRIA",VLOOKUP(Q234,COMPOSIÇÃO!$1:$1048576,7,FALSE),VLOOKUP(Q234,'SINAPI 04-26-SD'!$A$1:$H$272700,3,FALSE)))))</f>
        <v>M2</v>
      </c>
      <c r="T234" s="393">
        <f>VLOOKUP(Q234,'PISOS INTERNOS'!$1:$1048576,12,FALSE)</f>
        <v>325.41000000000003</v>
      </c>
      <c r="U234" s="394">
        <f>TRUNC(IF(P234="CDHU",VLOOKUP(Q234,'CDHU 201-SD'!$A$1:$J$28014,6,FALSE),IF(P234="FDE",VLOOKUP(Q234,'FDE 01-26-SD'!$A$1:$J$280013,6,FALSE),IF(P234="PRÓPRIA",VLOOKUP(Q234,COMPOSIÇÃO!$1:$1048576,10,FALSE),VLOOKUP(Q234,'SINAPI 04-26-SD'!$A$1:$H$272700,4,FALSE)))),2)</f>
        <v>43.31</v>
      </c>
      <c r="V234" s="416">
        <f t="shared" ref="V234" si="811">TRUNC(U234*T234,2)</f>
        <v>14093.5</v>
      </c>
      <c r="W234" s="395">
        <f>IF($AA234="N",BDI!$D$26,IF($AA234="D",'BDI DIFE.'!$D$26,"ERRO"))</f>
        <v>0.22500000000000001</v>
      </c>
      <c r="X234" s="379">
        <f t="shared" ref="X234" si="812">TRUNC(U234*(1+W234),2)</f>
        <v>53.05</v>
      </c>
      <c r="Y234" s="380">
        <f t="shared" ref="Y234" si="813">TRUNC(T234*X234,2)</f>
        <v>17263</v>
      </c>
      <c r="Z234" s="381"/>
      <c r="AA234" s="378" t="s">
        <v>28044</v>
      </c>
      <c r="AB234" s="642"/>
    </row>
    <row r="235" spans="2:28" s="55" customFormat="1" ht="16" thickBot="1">
      <c r="B235" s="378" t="str">
        <f t="shared" ref="B235:B236" ca="1" si="814">IF(C235="S",IF(OFFSET(C235,-1,0)="S", OFFSET(B235,-1,0), OFFSET(B235,-1,0) +1 ), C235)</f>
        <v/>
      </c>
      <c r="C235" s="378" t="str">
        <f>IF(RIGHT($M235) = "o", "S", RIGHT($M235))</f>
        <v/>
      </c>
      <c r="D235" s="378">
        <f t="shared" ca="1" si="711"/>
        <v>13</v>
      </c>
      <c r="E235" s="378">
        <f t="shared" ref="E235:E236" ca="1" si="815">IF($C235="2",OFFSET(E235,-1,0) +1,IF(OFFSET(D235,-1,0)&lt;&gt;D235,"0",IF(OFFSET(E235,-1,0)="","0",OFFSET(E235,-1,0))))</f>
        <v>6</v>
      </c>
      <c r="F235" s="378" t="str">
        <f t="shared" ref="F235:F236" ca="1" si="816">IF($C235="3",OFFSET(F235,-1,0) +1,IF(OFFSET(E235,-1,0)&lt;&gt;E235,"0",IF(OFFSET(F235,-1,0)="","0",OFFSET(F235,-1,0))))</f>
        <v>0</v>
      </c>
      <c r="G235" s="378" t="str">
        <f t="shared" ref="G235:G236" ca="1" si="817">IF($C235="4",OFFSET(G235,-1,0) +1,IF(OFFSET(F235,-1,0)&lt;&gt;F235,"0",IF(OFFSET(G235,-1,0)="","0",OFFSET(G235,-1,0))))</f>
        <v>0</v>
      </c>
      <c r="H235" s="378" t="str">
        <f t="shared" ref="H235:H236" ca="1" si="818">IF($C235="5",OFFSET(H235,-1,0) +1,IF(OFFSET(G235,-1,0)&lt;&gt;G235,"0",IF(OFFSET(H235,-1,0)="","0",OFFSET(H235,-1,0))))</f>
        <v>0</v>
      </c>
      <c r="I235" s="378" t="str">
        <f t="shared" ref="I235:I236" ca="1" si="819">IF($C235="6",OFFSET(I235,-1,0) +1,IF(OFFSET(H235,-1,0)&lt;&gt;H235,"0",IF(OFFSET(I235,-1,0)="","0", OFFSET(I235,-1,0))))</f>
        <v>0</v>
      </c>
      <c r="J235" s="378" t="str">
        <f t="shared" ca="1" si="712"/>
        <v>0</v>
      </c>
      <c r="K235" s="378" t="b">
        <f t="shared" ref="K235:K236" si="820">IF(C235="S","NÃO", IF(C235="1", D235, IF(C235="2", D235 &amp; "." &amp; E235,IF(C235="3", D235 &amp; "." &amp; E235 &amp; "." &amp; F235, IF(C235="4", D235 &amp; "." &amp; E235 &amp; "." &amp; F235 &amp; "." &amp; G235, IF(C235="5", D235 &amp; "." &amp; E235 &amp; "." &amp; F235 &amp; "." &amp; G235 &amp; "." &amp; H235, IF(C235="6", D235 &amp; "." &amp; E235 &amp; "." &amp; F235 &amp; "." &amp; G235 &amp; "." &amp; H235 &amp; "." &amp; I235)))))))</f>
        <v>0</v>
      </c>
      <c r="L235" s="378" t="b">
        <f t="shared" ref="L235:L236" si="821">IF(K235="NÃO",IF($B235=2,D235&amp;"."&amp;J235,IF($B235=3,D235&amp;"."&amp;E235&amp;"."&amp;J235,IF($B235=4,D235&amp;"."&amp;E235&amp;"."&amp;F235&amp;"."&amp;J235,IF($B235=5,D235&amp;"."&amp;E235&amp;"."&amp;F235&amp;"."&amp;G235&amp;"."&amp;J235,IF($B235=6,D235&amp;"."&amp;E235&amp;"."&amp;F235&amp;"."&amp;G235&amp;"."&amp;H235&amp;"."&amp;J235,IF($B235=7,D235&amp;"."&amp;E235&amp;"."&amp;F235&amp;"."&amp;G235&amp;"."&amp;H235&amp;"."&amp;I235&amp;"."&amp;J235,"FALHA")))))),K235)</f>
        <v>0</v>
      </c>
      <c r="O235" s="192"/>
      <c r="P235" s="387"/>
      <c r="Q235" s="387"/>
      <c r="R235" s="377"/>
      <c r="S235" s="387"/>
      <c r="T235" s="363"/>
      <c r="U235" s="388"/>
      <c r="V235" s="389"/>
      <c r="W235" s="389"/>
      <c r="X235" s="389"/>
      <c r="Y235" s="390"/>
      <c r="AA235" s="378"/>
      <c r="AB235" s="642"/>
    </row>
    <row r="236" spans="2:28" s="75" customFormat="1" ht="16" thickBot="1">
      <c r="B236" s="75" t="str">
        <f t="shared" ca="1" si="814"/>
        <v>1</v>
      </c>
      <c r="C236" s="75" t="str">
        <f t="shared" si="394"/>
        <v>1</v>
      </c>
      <c r="D236" s="75">
        <f t="shared" ca="1" si="711"/>
        <v>14</v>
      </c>
      <c r="E236" s="75" t="str">
        <f t="shared" ca="1" si="815"/>
        <v>0</v>
      </c>
      <c r="F236" s="75" t="str">
        <f t="shared" ca="1" si="816"/>
        <v>0</v>
      </c>
      <c r="G236" s="75" t="str">
        <f t="shared" ca="1" si="817"/>
        <v>0</v>
      </c>
      <c r="H236" s="75" t="str">
        <f t="shared" ca="1" si="818"/>
        <v>0</v>
      </c>
      <c r="I236" s="75" t="str">
        <f t="shared" ca="1" si="819"/>
        <v>0</v>
      </c>
      <c r="J236" s="75" t="str">
        <f t="shared" ca="1" si="712"/>
        <v>0</v>
      </c>
      <c r="K236" s="75">
        <f t="shared" ca="1" si="820"/>
        <v>14</v>
      </c>
      <c r="L236" s="75">
        <f t="shared" ca="1" si="821"/>
        <v>14</v>
      </c>
      <c r="M236" s="55" t="s">
        <v>27859</v>
      </c>
      <c r="O236" s="191">
        <f t="shared" ref="O236" ca="1" si="822">L236</f>
        <v>14</v>
      </c>
      <c r="P236" s="172"/>
      <c r="Q236" s="172"/>
      <c r="R236" s="683" t="s">
        <v>41861</v>
      </c>
      <c r="S236" s="172"/>
      <c r="T236" s="194"/>
      <c r="U236" s="195"/>
      <c r="V236" s="196">
        <f ca="1">IF(VALUE(C236)=1,SUMIFS(V:V,D:D,D236,M:M,"Serviço"),IF(VALUE(C236)=2,SUMIFS(V:V,D:D,D236,E:E,E236,M:M,"Serviço"),IF(VALUE(C236)=3,SUMIFS(V:V,D:D,D236,E:E,E236,F:F,F236,M:M,"Serviço"),IF(VALUE(C236)=4,SUMIFS(V:V,D:D,D236,E:E,E236,F:F,F236,G:G,G236,M:M,"Serviço"),"ERRO"))))</f>
        <v>137189.85</v>
      </c>
      <c r="W236" s="197"/>
      <c r="X236" s="205"/>
      <c r="Y236" s="173">
        <f ca="1">IF(VALUE(C236)=1,SUMIFS(Y:Y,D:D,D236,M:M,"Serviço"),IF(VALUE(C236)=2,SUMIFS(Y:Y,D:D,D236,E:E,E236,M:M,"Serviço"),IF(VALUE(C236)=3,SUMIFS(Y:Y,D:D,D236,E:E,E236,F:F,F236,M:M,"Serviço"),IF(VALUE(C236)=4,SUMIFS(Y:Y,D:D,D236,E:E,E236,F:F,F236,G:G,G236,M:M,"Serviço"),"ERRO"))))</f>
        <v>168051.74000000002</v>
      </c>
      <c r="AB236" s="641"/>
    </row>
    <row r="237" spans="2:28" s="75" customFormat="1" ht="16" thickBot="1">
      <c r="B237" s="75" t="str">
        <f t="shared" ref="B237:B250" ca="1" si="823">IF(C237="S",IF(OFFSET(C237,-1,0)="S", OFFSET(B237,-1,0), OFFSET(B237,-1,0) +1 ), C237)</f>
        <v>2</v>
      </c>
      <c r="C237" s="75" t="str">
        <f t="shared" si="394"/>
        <v>2</v>
      </c>
      <c r="D237" s="75">
        <f t="shared" ca="1" si="711"/>
        <v>14</v>
      </c>
      <c r="E237" s="75">
        <f t="shared" ref="E237:E250" ca="1" si="824">IF($C237="2",OFFSET(E237,-1,0) +1,IF(OFFSET(D237,-1,0)&lt;&gt;D237,"0",IF(OFFSET(E237,-1,0)="","0",OFFSET(E237,-1,0))))</f>
        <v>1</v>
      </c>
      <c r="F237" s="75" t="str">
        <f t="shared" ref="F237:F250" ca="1" si="825">IF($C237="3",OFFSET(F237,-1,0) +1,IF(OFFSET(E237,-1,0)&lt;&gt;E237,"0",IF(OFFSET(F237,-1,0)="","0",OFFSET(F237,-1,0))))</f>
        <v>0</v>
      </c>
      <c r="G237" s="75" t="str">
        <f t="shared" ref="G237:G250" ca="1" si="826">IF($C237="4",OFFSET(G237,-1,0) +1,IF(OFFSET(F237,-1,0)&lt;&gt;F237,"0",IF(OFFSET(G237,-1,0)="","0",OFFSET(G237,-1,0))))</f>
        <v>0</v>
      </c>
      <c r="H237" s="75" t="str">
        <f t="shared" ref="H237:H250" ca="1" si="827">IF($C237="5",OFFSET(H237,-1,0) +1,IF(OFFSET(G237,-1,0)&lt;&gt;G237,"0",IF(OFFSET(H237,-1,0)="","0",OFFSET(H237,-1,0))))</f>
        <v>0</v>
      </c>
      <c r="I237" s="75" t="str">
        <f t="shared" ref="I237:I250" ca="1" si="828">IF($C237="6",OFFSET(I237,-1,0) +1,IF(OFFSET(H237,-1,0)&lt;&gt;H237,"0",IF(OFFSET(I237,-1,0)="","0", OFFSET(I237,-1,0))))</f>
        <v>0</v>
      </c>
      <c r="J237" s="75" t="str">
        <f t="shared" ca="1" si="712"/>
        <v>0</v>
      </c>
      <c r="K237" s="75" t="str">
        <f t="shared" ref="K237:K250" ca="1" si="829">IF(C237="S","NÃO", IF(C237="1", D237, IF(C237="2", D237 &amp; "." &amp; E237,IF(C237="3", D237 &amp; "." &amp; E237 &amp; "." &amp; F237, IF(C237="4", D237 &amp; "." &amp; E237 &amp; "." &amp; F237 &amp; "." &amp; G237, IF(C237="5", D237 &amp; "." &amp; E237 &amp; "." &amp; F237 &amp; "." &amp; G237 &amp; "." &amp; H237, IF(C237="6", D237 &amp; "." &amp; E237 &amp; "." &amp; F237 &amp; "." &amp; G237 &amp; "." &amp; H237 &amp; "." &amp; I237)))))))</f>
        <v>14.1</v>
      </c>
      <c r="L237" s="75" t="str">
        <f t="shared" ref="L237:L250" ca="1" si="830">IF(K237="NÃO",IF($B237=2,D237&amp;"."&amp;J237,IF($B237=3,D237&amp;"."&amp;E237&amp;"."&amp;J237,IF($B237=4,D237&amp;"."&amp;E237&amp;"."&amp;F237&amp;"."&amp;J237,IF($B237=5,D237&amp;"."&amp;E237&amp;"."&amp;F237&amp;"."&amp;G237&amp;"."&amp;J237,IF($B237=6,D237&amp;"."&amp;E237&amp;"."&amp;F237&amp;"."&amp;G237&amp;"."&amp;H237&amp;"."&amp;J237,IF($B237=7,D237&amp;"."&amp;E237&amp;"."&amp;F237&amp;"."&amp;G237&amp;"."&amp;H237&amp;"."&amp;I237&amp;"."&amp;J237,"FALHA")))))),K237)</f>
        <v>14.1</v>
      </c>
      <c r="M237" s="55" t="s">
        <v>27861</v>
      </c>
      <c r="O237" s="191" t="str">
        <f t="shared" ref="O237:O250" ca="1" si="831">L237</f>
        <v>14.1</v>
      </c>
      <c r="P237" s="172"/>
      <c r="Q237" s="172"/>
      <c r="R237" s="683" t="s">
        <v>41862</v>
      </c>
      <c r="S237" s="172"/>
      <c r="T237" s="194"/>
      <c r="U237" s="195"/>
      <c r="V237" s="196">
        <f ca="1">IF(VALUE(C237)=1,SUMIFS(V:V,D:D,D237,M:M,"Serviço"),IF(VALUE(C237)=2,SUMIFS(V:V,D:D,D237,E:E,E237,M:M,"Serviço"),IF(VALUE(C237)=3,SUMIFS(V:V,D:D,D237,E:E,E237,F:F,F237,M:M,"Serviço"),IF(VALUE(C237)=4,SUMIFS(V:V,D:D,D237,E:E,E237,F:F,F237,G:G,G237,M:M,"Serviço"),"ERRO"))))</f>
        <v>42567.03</v>
      </c>
      <c r="W237" s="197"/>
      <c r="X237" s="205"/>
      <c r="Y237" s="173">
        <f ca="1">IF(VALUE(C237)=1,SUMIFS(Y:Y,D:D,D237,M:M,"Serviço"),IF(VALUE(C237)=2,SUMIFS(Y:Y,D:D,D237,E:E,E237,M:M,"Serviço"),IF(VALUE(C237)=3,SUMIFS(Y:Y,D:D,D237,E:E,E237,F:F,F237,M:M,"Serviço"),IF(VALUE(C237)=4,SUMIFS(Y:Y,D:D,D237,E:E,E237,F:F,F237,G:G,G237,M:M,"Serviço"),"ERRO"))))</f>
        <v>52143.099999999991</v>
      </c>
      <c r="AB237" s="641"/>
    </row>
    <row r="238" spans="2:28" s="55" customFormat="1" ht="45">
      <c r="B238" s="378">
        <f t="shared" ca="1" si="823"/>
        <v>3</v>
      </c>
      <c r="C238" s="378" t="str">
        <f t="shared" ref="C238:C344" si="832">IF(RIGHT($M238) = "o", "S", RIGHT($M238))</f>
        <v>S</v>
      </c>
      <c r="D238" s="378">
        <f t="shared" ca="1" si="711"/>
        <v>14</v>
      </c>
      <c r="E238" s="378">
        <f t="shared" ca="1" si="824"/>
        <v>1</v>
      </c>
      <c r="F238" s="378" t="str">
        <f t="shared" ca="1" si="825"/>
        <v>0</v>
      </c>
      <c r="G238" s="378" t="str">
        <f t="shared" ca="1" si="826"/>
        <v>0</v>
      </c>
      <c r="H238" s="378" t="str">
        <f t="shared" ca="1" si="827"/>
        <v>0</v>
      </c>
      <c r="I238" s="378" t="str">
        <f t="shared" ca="1" si="828"/>
        <v>0</v>
      </c>
      <c r="J238" s="378">
        <f t="shared" ca="1" si="712"/>
        <v>1</v>
      </c>
      <c r="K238" s="378" t="str">
        <f t="shared" si="829"/>
        <v>NÃO</v>
      </c>
      <c r="L238" s="378" t="str">
        <f t="shared" ca="1" si="830"/>
        <v>14.1.1</v>
      </c>
      <c r="M238" s="55" t="s">
        <v>27868</v>
      </c>
      <c r="O238" s="392" t="str">
        <f t="shared" ca="1" si="831"/>
        <v>14.1.1</v>
      </c>
      <c r="P238" s="681" t="s">
        <v>27888</v>
      </c>
      <c r="Q238" s="682">
        <v>97901</v>
      </c>
      <c r="R238" s="415" t="str">
        <f>UPPER(IF(P238="CDHU",VLOOKUP(Q238,'CDHU 201-SD'!$A$1:$J$28014,2,FALSE),IF(P238="FDE",VLOOKUP(Q238,'FDE 01-26-SD'!$A$1:$J$280013,2,FALSE),IF(P238="PRÓPRIA",VLOOKUP(Q238,COMPOSIÇÃO!$1:$1048576,3,FALSE),VLOOKUP(Q238,'SINAPI 04-26-SD'!$A$1:$H$272700,2,FALSE)))))</f>
        <v>CAIXA ENTERRADA HIDRÁULICA RETANGULAR EM ALVENARIA COM TIJOLOS CERÂMICOS MACIÇOS, DIMENSÕES INTERNAS: 0,4X0,4X0,4 M PARA REDE DE ESGOTO. AF_12/2020</v>
      </c>
      <c r="S238" s="414" t="str">
        <f>UPPER(IF(P238="CDHU",VLOOKUP(Q238,'CDHU 201-SD'!$A$1:$J$28014,3,FALSE),IF(P238="FDE",VLOOKUP(Q238,'FDE 01-26-SD'!$A$1:$J$280013,3,FALSE),IF(P238="PRÓPRIA",VLOOKUP(Q238,COMPOSIÇÃO!$1:$1048576,7,FALSE),VLOOKUP(Q238,'SINAPI 04-26-SD'!$A$1:$H$272700,3,FALSE)))))</f>
        <v>UN</v>
      </c>
      <c r="T238" s="393">
        <v>1</v>
      </c>
      <c r="U238" s="394">
        <f>TRUNC(IF(P238="CDHU",VLOOKUP(Q238,'CDHU 201-SD'!$A$1:$J$28014,6,FALSE),IF(P238="FDE",VLOOKUP(Q238,'FDE 01-26-SD'!$A$1:$J$280013,6,FALSE),IF(P238="PRÓPRIA",VLOOKUP(Q238,COMPOSIÇÃO!$1:$1048576,10,FALSE),VLOOKUP(Q238,'SINAPI 04-26-SD'!$A$1:$H$272700,4,FALSE)))),2)</f>
        <v>339.17</v>
      </c>
      <c r="V238" s="416">
        <f t="shared" ref="V238" si="833">TRUNC(U238*T238,2)</f>
        <v>339.17</v>
      </c>
      <c r="W238" s="395">
        <f>IF($AA238="N",BDI!$D$26,IF($AA238="D",'BDI DIFE.'!$D$26,"ERRO"))</f>
        <v>0.22500000000000001</v>
      </c>
      <c r="X238" s="379">
        <f t="shared" ref="X238" si="834">TRUNC(U238*(1+W238),2)</f>
        <v>415.48</v>
      </c>
      <c r="Y238" s="380">
        <f t="shared" ref="Y238" si="835">TRUNC(T238*X238,2)</f>
        <v>415.48</v>
      </c>
      <c r="Z238" s="381"/>
      <c r="AA238" s="378" t="s">
        <v>28044</v>
      </c>
      <c r="AB238" s="642"/>
    </row>
    <row r="239" spans="2:28" s="55" customFormat="1" ht="30">
      <c r="B239" s="378">
        <f t="shared" ref="B239" ca="1" si="836">IF(C239="S",IF(OFFSET(C239,-1,0)="S", OFFSET(B239,-1,0), OFFSET(B239,-1,0) +1 ), C239)</f>
        <v>3</v>
      </c>
      <c r="C239" s="378" t="str">
        <f t="shared" si="832"/>
        <v>S</v>
      </c>
      <c r="D239" s="378">
        <f t="shared" ca="1" si="711"/>
        <v>14</v>
      </c>
      <c r="E239" s="378">
        <f t="shared" ref="E239" ca="1" si="837">IF($C239="2",OFFSET(E239,-1,0) +1,IF(OFFSET(D239,-1,0)&lt;&gt;D239,"0",IF(OFFSET(E239,-1,0)="","0",OFFSET(E239,-1,0))))</f>
        <v>1</v>
      </c>
      <c r="F239" s="378" t="str">
        <f t="shared" ref="F239" ca="1" si="838">IF($C239="3",OFFSET(F239,-1,0) +1,IF(OFFSET(E239,-1,0)&lt;&gt;E239,"0",IF(OFFSET(F239,-1,0)="","0",OFFSET(F239,-1,0))))</f>
        <v>0</v>
      </c>
      <c r="G239" s="378" t="str">
        <f t="shared" ref="G239" ca="1" si="839">IF($C239="4",OFFSET(G239,-1,0) +1,IF(OFFSET(F239,-1,0)&lt;&gt;F239,"0",IF(OFFSET(G239,-1,0)="","0",OFFSET(G239,-1,0))))</f>
        <v>0</v>
      </c>
      <c r="H239" s="378" t="str">
        <f t="shared" ref="H239" ca="1" si="840">IF($C239="5",OFFSET(H239,-1,0) +1,IF(OFFSET(G239,-1,0)&lt;&gt;G239,"0",IF(OFFSET(H239,-1,0)="","0",OFFSET(H239,-1,0))))</f>
        <v>0</v>
      </c>
      <c r="I239" s="378" t="str">
        <f t="shared" ref="I239" ca="1" si="841">IF($C239="6",OFFSET(I239,-1,0) +1,IF(OFFSET(H239,-1,0)&lt;&gt;H239,"0",IF(OFFSET(I239,-1,0)="","0", OFFSET(I239,-1,0))))</f>
        <v>0</v>
      </c>
      <c r="J239" s="378">
        <f t="shared" ca="1" si="712"/>
        <v>2</v>
      </c>
      <c r="K239" s="378" t="str">
        <f t="shared" ref="K239" si="842">IF(C239="S","NÃO", IF(C239="1", D239, IF(C239="2", D239 &amp; "." &amp; E239,IF(C239="3", D239 &amp; "." &amp; E239 &amp; "." &amp; F239, IF(C239="4", D239 &amp; "." &amp; E239 &amp; "." &amp; F239 &amp; "." &amp; G239, IF(C239="5", D239 &amp; "." &amp; E239 &amp; "." &amp; F239 &amp; "." &amp; G239 &amp; "." &amp; H239, IF(C239="6", D239 &amp; "." &amp; E239 &amp; "." &amp; F239 &amp; "." &amp; G239 &amp; "." &amp; H239 &amp; "." &amp; I239)))))))</f>
        <v>NÃO</v>
      </c>
      <c r="L239" s="378" t="str">
        <f t="shared" ref="L239" ca="1" si="843">IF(K239="NÃO",IF($B239=2,D239&amp;"."&amp;J239,IF($B239=3,D239&amp;"."&amp;E239&amp;"."&amp;J239,IF($B239=4,D239&amp;"."&amp;E239&amp;"."&amp;F239&amp;"."&amp;J239,IF($B239=5,D239&amp;"."&amp;E239&amp;"."&amp;F239&amp;"."&amp;G239&amp;"."&amp;J239,IF($B239=6,D239&amp;"."&amp;E239&amp;"."&amp;F239&amp;"."&amp;G239&amp;"."&amp;H239&amp;"."&amp;J239,IF($B239=7,D239&amp;"."&amp;E239&amp;"."&amp;F239&amp;"."&amp;G239&amp;"."&amp;H239&amp;"."&amp;I239&amp;"."&amp;J239,"FALHA")))))),K239)</f>
        <v>14.1.2</v>
      </c>
      <c r="M239" s="55" t="s">
        <v>27868</v>
      </c>
      <c r="O239" s="392" t="str">
        <f t="shared" ref="O239" ca="1" si="844">L239</f>
        <v>14.1.2</v>
      </c>
      <c r="P239" s="681" t="s">
        <v>29901</v>
      </c>
      <c r="Q239" s="682" t="s">
        <v>17307</v>
      </c>
      <c r="R239" s="415" t="str">
        <f>UPPER(IF(P239="CDHU",VLOOKUP(Q239,'CDHU 201-SD'!$A$1:$J$28014,2,FALSE),IF(P239="FDE",VLOOKUP(Q239,'FDE 01-26-SD'!$A$1:$J$280013,2,FALSE),IF(P239="PRÓPRIA",VLOOKUP(Q239,COMPOSIÇÃO!$1:$1048576,3,FALSE),VLOOKUP(Q239,'SINAPI 04-26-SD'!$A$1:$H$272700,2,FALSE)))))</f>
        <v>RESERVATÓRIO EM POLIETILENO COM TAMPA DE ENCAIXAR - CAPACIDADE DE 10.000 LITROS</v>
      </c>
      <c r="S239" s="414" t="str">
        <f>UPPER(IF(P239="CDHU",VLOOKUP(Q239,'CDHU 201-SD'!$A$1:$J$28014,3,FALSE),IF(P239="FDE",VLOOKUP(Q239,'FDE 01-26-SD'!$A$1:$J$280013,3,FALSE),IF(P239="PRÓPRIA",VLOOKUP(Q239,COMPOSIÇÃO!$1:$1048576,7,FALSE),VLOOKUP(Q239,'SINAPI 04-26-SD'!$A$1:$H$272700,3,FALSE)))))</f>
        <v>UN</v>
      </c>
      <c r="T239" s="393">
        <v>1</v>
      </c>
      <c r="U239" s="394">
        <f>TRUNC(IF(P239="CDHU",VLOOKUP(Q239,'CDHU 201-SD'!$A$1:$J$28014,6,FALSE),IF(P239="FDE",VLOOKUP(Q239,'FDE 01-26-SD'!$A$1:$J$280013,6,FALSE),IF(P239="PRÓPRIA",VLOOKUP(Q239,COMPOSIÇÃO!$1:$1048576,10,FALSE),VLOOKUP(Q239,'SINAPI 04-26-SD'!$A$1:$H$272700,4,FALSE)))),2)</f>
        <v>5781.93</v>
      </c>
      <c r="V239" s="416">
        <f t="shared" ref="V239" si="845">TRUNC(U239*T239,2)</f>
        <v>5781.93</v>
      </c>
      <c r="W239" s="395">
        <f>IF($AA239="N",BDI!$D$26,IF($AA239="D",'BDI DIFE.'!$D$26,"ERRO"))</f>
        <v>0.22500000000000001</v>
      </c>
      <c r="X239" s="379">
        <f t="shared" ref="X239" si="846">TRUNC(U239*(1+W239),2)</f>
        <v>7082.86</v>
      </c>
      <c r="Y239" s="380">
        <f t="shared" ref="Y239" si="847">TRUNC(T239*X239,2)</f>
        <v>7082.86</v>
      </c>
      <c r="Z239" s="381"/>
      <c r="AA239" s="378" t="s">
        <v>28044</v>
      </c>
      <c r="AB239" s="642"/>
    </row>
    <row r="240" spans="2:28" s="55" customFormat="1" ht="30">
      <c r="B240" s="378">
        <f ca="1">IF(C240="S",IF(OFFSET(C240,-1,0)="S", OFFSET(B240,-1,0), OFFSET(B240,-1,0) +1 ), C240)</f>
        <v>3</v>
      </c>
      <c r="C240" s="378" t="str">
        <f>IF(RIGHT($M240) = "o", "S", RIGHT($M240))</f>
        <v>S</v>
      </c>
      <c r="D240" s="378">
        <f ca="1">IF($C240="1",OFFSET(D240,-2,0) +1,OFFSET(D240,-1,0))</f>
        <v>14</v>
      </c>
      <c r="E240" s="378">
        <f ca="1">IF($C240="2",OFFSET(E240,-1,0) +1,IF(OFFSET(D240,-1,0)&lt;&gt;D240,"0",IF(OFFSET(E240,-1,0)="","0",OFFSET(E240,-1,0))))</f>
        <v>1</v>
      </c>
      <c r="F240" s="378" t="str">
        <f ca="1">IF($C240="3",OFFSET(F240,-1,0) +1,IF(OFFSET(E240,-1,0)&lt;&gt;E240,"0",IF(OFFSET(F240,-1,0)="","0",OFFSET(F240,-1,0))))</f>
        <v>0</v>
      </c>
      <c r="G240" s="378" t="str">
        <f ca="1">IF($C240="4",OFFSET(G240,-1,0) +1,IF(OFFSET(F240,-1,0)&lt;&gt;F240,"0",IF(OFFSET(G240,-1,0)="","0",OFFSET(G240,-1,0))))</f>
        <v>0</v>
      </c>
      <c r="H240" s="378" t="str">
        <f ca="1">IF($C240="5",OFFSET(H240,-1,0) +1,IF(OFFSET(G240,-1,0)&lt;&gt;G240,"0",IF(OFFSET(H240,-1,0)="","0",OFFSET(H240,-1,0))))</f>
        <v>0</v>
      </c>
      <c r="I240" s="378" t="str">
        <f ca="1">IF($C240="6",OFFSET(I240,-1,0) +1,IF(OFFSET(H240,-1,0)&lt;&gt;H240,"0",IF(OFFSET(I240,-1,0)="","0", OFFSET(I240,-1,0))))</f>
        <v>0</v>
      </c>
      <c r="J240" s="378">
        <f ca="1">IF($C240="S",OFFSET(J240,-1,0)+1,"0")</f>
        <v>3</v>
      </c>
      <c r="K240" s="378" t="str">
        <f>IF(C240="S","NÃO", IF(C240="1", D240, IF(C240="2", D240 &amp; "." &amp; E240,IF(C240="3", D240 &amp; "." &amp; E240 &amp; "." &amp; F240, IF(C240="4", D240 &amp; "." &amp; E240 &amp; "." &amp; F240 &amp; "." &amp; G240, IF(C240="5", D240 &amp; "." &amp; E240 &amp; "." &amp; F240 &amp; "." &amp; G240 &amp; "." &amp; H240, IF(C240="6", D240 &amp; "." &amp; E240 &amp; "." &amp; F240 &amp; "." &amp; G240 &amp; "." &amp; H240 &amp; "." &amp; I240)))))))</f>
        <v>NÃO</v>
      </c>
      <c r="L240" s="378" t="str">
        <f ca="1">IF(K240="NÃO",IF($B240=2,D240&amp;"."&amp;J240,IF($B240=3,D240&amp;"."&amp;E240&amp;"."&amp;J240,IF($B240=4,D240&amp;"."&amp;E240&amp;"."&amp;F240&amp;"."&amp;J240,IF($B240=5,D240&amp;"."&amp;E240&amp;"."&amp;F240&amp;"."&amp;G240&amp;"."&amp;J240,IF($B240=6,D240&amp;"."&amp;E240&amp;"."&amp;F240&amp;"."&amp;G240&amp;"."&amp;H240&amp;"."&amp;J240,IF($B240=7,D240&amp;"."&amp;E240&amp;"."&amp;F240&amp;"."&amp;G240&amp;"."&amp;H240&amp;"."&amp;I240&amp;"."&amp;J240,"FALHA")))))),K240)</f>
        <v>14.1.3</v>
      </c>
      <c r="M240" s="55" t="s">
        <v>27868</v>
      </c>
      <c r="O240" s="392" t="str">
        <f ca="1">L240</f>
        <v>14.1.3</v>
      </c>
      <c r="P240" s="681" t="s">
        <v>29901</v>
      </c>
      <c r="Q240" s="682" t="s">
        <v>17070</v>
      </c>
      <c r="R240" s="415" t="str">
        <f>UPPER(IF(P240="CDHU",VLOOKUP(Q240,'CDHU 201-SD'!$A$1:$J$28014,2,FALSE),IF(P240="FDE",VLOOKUP(Q240,'FDE 01-26-SD'!$A$1:$J$280013,2,FALSE),IF(P240="PRÓPRIA",VLOOKUP(Q240,COMPOSIÇÃO!$1:$1048576,3,FALSE),VLOOKUP(Q240,'SINAPI 04-26-SD'!$A$1:$H$272700,2,FALSE)))))</f>
        <v>VÁLVULA DE DESCARGA EXTERNA, TIPO ALAVANCA COM REGISTRO PRÓPRIO, DN= 1 1/4´ E DN= 1 1/2´</v>
      </c>
      <c r="S240" s="414" t="str">
        <f>UPPER(IF(P240="CDHU",VLOOKUP(Q240,'CDHU 201-SD'!$A$1:$J$28014,3,FALSE),IF(P240="FDE",VLOOKUP(Q240,'FDE 01-26-SD'!$A$1:$J$280013,3,FALSE),IF(P240="PRÓPRIA",VLOOKUP(Q240,COMPOSIÇÃO!$1:$1048576,7,FALSE),VLOOKUP(Q240,'SINAPI 04-26-SD'!$A$1:$H$272700,3,FALSE)))))</f>
        <v>UN</v>
      </c>
      <c r="T240" s="393">
        <v>4</v>
      </c>
      <c r="U240" s="394">
        <f>TRUNC(IF(P240="CDHU",VLOOKUP(Q240,'CDHU 201-SD'!$A$1:$J$28014,6,FALSE),IF(P240="FDE",VLOOKUP(Q240,'FDE 01-26-SD'!$A$1:$J$280013,6,FALSE),IF(P240="PRÓPRIA",VLOOKUP(Q240,COMPOSIÇÃO!$1:$1048576,10,FALSE),VLOOKUP(Q240,'SINAPI 04-26-SD'!$A$1:$H$272700,4,FALSE)))),2)</f>
        <v>1972.48</v>
      </c>
      <c r="V240" s="416">
        <f>TRUNC(U240*T240,2)</f>
        <v>7889.92</v>
      </c>
      <c r="W240" s="395">
        <f>IF($AA240="N",BDI!$D$26,IF($AA240="D",'BDI DIFE.'!$D$26,"ERRO"))</f>
        <v>0.22500000000000001</v>
      </c>
      <c r="X240" s="379">
        <f>TRUNC(U240*(1+W240),2)</f>
        <v>2416.2800000000002</v>
      </c>
      <c r="Y240" s="380">
        <f>TRUNC(T240*X240,2)</f>
        <v>9665.1200000000008</v>
      </c>
      <c r="Z240" s="381"/>
      <c r="AA240" s="378" t="s">
        <v>28044</v>
      </c>
      <c r="AB240" s="642"/>
    </row>
    <row r="241" spans="2:28" s="55" customFormat="1">
      <c r="B241" s="378">
        <f ca="1">IF(C241="S",IF(OFFSET(C241,-1,0)="S", OFFSET(B241,-1,0), OFFSET(B241,-1,0) +1 ), C241)</f>
        <v>3</v>
      </c>
      <c r="C241" s="378" t="str">
        <f>IF(RIGHT($M241) = "o", "S", RIGHT($M241))</f>
        <v>S</v>
      </c>
      <c r="D241" s="378">
        <f ca="1">IF($C241="1",OFFSET(D241,-2,0) +1,OFFSET(D241,-1,0))</f>
        <v>14</v>
      </c>
      <c r="E241" s="378">
        <f ca="1">IF($C241="2",OFFSET(E241,-1,0) +1,IF(OFFSET(D241,-1,0)&lt;&gt;D241,"0",IF(OFFSET(E241,-1,0)="","0",OFFSET(E241,-1,0))))</f>
        <v>1</v>
      </c>
      <c r="F241" s="378" t="str">
        <f ca="1">IF($C241="3",OFFSET(F241,-1,0) +1,IF(OFFSET(E241,-1,0)&lt;&gt;E241,"0",IF(OFFSET(F241,-1,0)="","0",OFFSET(F241,-1,0))))</f>
        <v>0</v>
      </c>
      <c r="G241" s="378" t="str">
        <f ca="1">IF($C241="4",OFFSET(G241,-1,0) +1,IF(OFFSET(F241,-1,0)&lt;&gt;F241,"0",IF(OFFSET(G241,-1,0)="","0",OFFSET(G241,-1,0))))</f>
        <v>0</v>
      </c>
      <c r="H241" s="378" t="str">
        <f ca="1">IF($C241="5",OFFSET(H241,-1,0) +1,IF(OFFSET(G241,-1,0)&lt;&gt;G241,"0",IF(OFFSET(H241,-1,0)="","0",OFFSET(H241,-1,0))))</f>
        <v>0</v>
      </c>
      <c r="I241" s="378" t="str">
        <f ca="1">IF($C241="6",OFFSET(I241,-1,0) +1,IF(OFFSET(H241,-1,0)&lt;&gt;H241,"0",IF(OFFSET(I241,-1,0)="","0", OFFSET(I241,-1,0))))</f>
        <v>0</v>
      </c>
      <c r="J241" s="378">
        <f ca="1">IF($C241="S",OFFSET(J241,-1,0)+1,"0")</f>
        <v>4</v>
      </c>
      <c r="K241" s="378" t="str">
        <f>IF(C241="S","NÃO", IF(C241="1", D241, IF(C241="2", D241 &amp; "." &amp; E241,IF(C241="3", D241 &amp; "." &amp; E241 &amp; "." &amp; F241, IF(C241="4", D241 &amp; "." &amp; E241 &amp; "." &amp; F241 &amp; "." &amp; G241, IF(C241="5", D241 &amp; "." &amp; E241 &amp; "." &amp; F241 &amp; "." &amp; G241 &amp; "." &amp; H241, IF(C241="6", D241 &amp; "." &amp; E241 &amp; "." &amp; F241 &amp; "." &amp; G241 &amp; "." &amp; H241 &amp; "." &amp; I241)))))))</f>
        <v>NÃO</v>
      </c>
      <c r="L241" s="378" t="str">
        <f ca="1">IF(K241="NÃO",IF($B241=2,D241&amp;"."&amp;J241,IF($B241=3,D241&amp;"."&amp;E241&amp;"."&amp;J241,IF($B241=4,D241&amp;"."&amp;E241&amp;"."&amp;F241&amp;"."&amp;J241,IF($B241=5,D241&amp;"."&amp;E241&amp;"."&amp;F241&amp;"."&amp;G241&amp;"."&amp;J241,IF($B241=6,D241&amp;"."&amp;E241&amp;"."&amp;F241&amp;"."&amp;G241&amp;"."&amp;H241&amp;"."&amp;J241,IF($B241=7,D241&amp;"."&amp;E241&amp;"."&amp;F241&amp;"."&amp;G241&amp;"."&amp;H241&amp;"."&amp;I241&amp;"."&amp;J241,"FALHA")))))),K241)</f>
        <v>14.1.4</v>
      </c>
      <c r="M241" s="55" t="s">
        <v>27868</v>
      </c>
      <c r="O241" s="392" t="str">
        <f ca="1">L241</f>
        <v>14.1.4</v>
      </c>
      <c r="P241" s="681" t="s">
        <v>29901</v>
      </c>
      <c r="Q241" s="682" t="s">
        <v>17066</v>
      </c>
      <c r="R241" s="415" t="str">
        <f>UPPER(IF(P241="CDHU",VLOOKUP(Q241,'CDHU 201-SD'!$A$1:$J$28014,2,FALSE),IF(P241="FDE",VLOOKUP(Q241,'FDE 01-26-SD'!$A$1:$J$280013,2,FALSE),IF(P241="PRÓPRIA",VLOOKUP(Q241,COMPOSIÇÃO!$1:$1048576,3,FALSE),VLOOKUP(Q241,'SINAPI 04-26-SD'!$A$1:$H$272700,2,FALSE)))))</f>
        <v>VÁLVULA DE DESCARGA COM REGISTRO PRÓPRIO, DN= 1 1/2´</v>
      </c>
      <c r="S241" s="414" t="str">
        <f>UPPER(IF(P241="CDHU",VLOOKUP(Q241,'CDHU 201-SD'!$A$1:$J$28014,3,FALSE),IF(P241="FDE",VLOOKUP(Q241,'FDE 01-26-SD'!$A$1:$J$280013,3,FALSE),IF(P241="PRÓPRIA",VLOOKUP(Q241,COMPOSIÇÃO!$1:$1048576,7,FALSE),VLOOKUP(Q241,'SINAPI 04-26-SD'!$A$1:$H$272700,3,FALSE)))))</f>
        <v>UN</v>
      </c>
      <c r="T241" s="393">
        <v>2</v>
      </c>
      <c r="U241" s="394">
        <f>TRUNC(IF(P241="CDHU",VLOOKUP(Q241,'CDHU 201-SD'!$A$1:$J$28014,6,FALSE),IF(P241="FDE",VLOOKUP(Q241,'FDE 01-26-SD'!$A$1:$J$280013,6,FALSE),IF(P241="PRÓPRIA",VLOOKUP(Q241,COMPOSIÇÃO!$1:$1048576,10,FALSE),VLOOKUP(Q241,'SINAPI 04-26-SD'!$A$1:$H$272700,4,FALSE)))),2)</f>
        <v>419.41</v>
      </c>
      <c r="V241" s="416">
        <f>TRUNC(U241*T241,2)</f>
        <v>838.82</v>
      </c>
      <c r="W241" s="395">
        <f>IF($AA241="N",BDI!$D$26,IF($AA241="D",'BDI DIFE.'!$D$26,"ERRO"))</f>
        <v>0.22500000000000001</v>
      </c>
      <c r="X241" s="379">
        <f>TRUNC(U241*(1+W241),2)</f>
        <v>513.77</v>
      </c>
      <c r="Y241" s="380">
        <f>TRUNC(T241*X241,2)</f>
        <v>1027.54</v>
      </c>
      <c r="Z241" s="381"/>
      <c r="AA241" s="378" t="s">
        <v>28044</v>
      </c>
      <c r="AB241" s="642"/>
    </row>
    <row r="242" spans="2:28" s="55" customFormat="1">
      <c r="B242" s="378">
        <f ca="1">IF(C242="S",IF(OFFSET(C242,-1,0)="S", OFFSET(B242,-1,0), OFFSET(B242,-1,0) +1 ), C242)</f>
        <v>3</v>
      </c>
      <c r="C242" s="378" t="str">
        <f>IF(RIGHT($M242) = "o", "S", RIGHT($M242))</f>
        <v>S</v>
      </c>
      <c r="D242" s="378">
        <f ca="1">IF($C242="1",OFFSET(D242,-2,0) +1,OFFSET(D242,-1,0))</f>
        <v>14</v>
      </c>
      <c r="E242" s="378">
        <f ca="1">IF($C242="2",OFFSET(E242,-1,0) +1,IF(OFFSET(D242,-1,0)&lt;&gt;D242,"0",IF(OFFSET(E242,-1,0)="","0",OFFSET(E242,-1,0))))</f>
        <v>1</v>
      </c>
      <c r="F242" s="378" t="str">
        <f ca="1">IF($C242="3",OFFSET(F242,-1,0) +1,IF(OFFSET(E242,-1,0)&lt;&gt;E242,"0",IF(OFFSET(F242,-1,0)="","0",OFFSET(F242,-1,0))))</f>
        <v>0</v>
      </c>
      <c r="G242" s="378" t="str">
        <f ca="1">IF($C242="4",OFFSET(G242,-1,0) +1,IF(OFFSET(F242,-1,0)&lt;&gt;F242,"0",IF(OFFSET(G242,-1,0)="","0",OFFSET(G242,-1,0))))</f>
        <v>0</v>
      </c>
      <c r="H242" s="378" t="str">
        <f ca="1">IF($C242="5",OFFSET(H242,-1,0) +1,IF(OFFSET(G242,-1,0)&lt;&gt;G242,"0",IF(OFFSET(H242,-1,0)="","0",OFFSET(H242,-1,0))))</f>
        <v>0</v>
      </c>
      <c r="I242" s="378" t="str">
        <f ca="1">IF($C242="6",OFFSET(I242,-1,0) +1,IF(OFFSET(H242,-1,0)&lt;&gt;H242,"0",IF(OFFSET(I242,-1,0)="","0", OFFSET(I242,-1,0))))</f>
        <v>0</v>
      </c>
      <c r="J242" s="378">
        <f ca="1">IF($C242="S",OFFSET(J242,-1,0)+1,"0")</f>
        <v>5</v>
      </c>
      <c r="K242" s="378" t="str">
        <f>IF(C242="S","NÃO", IF(C242="1", D242, IF(C242="2", D242 &amp; "." &amp; E242,IF(C242="3", D242 &amp; "." &amp; E242 &amp; "." &amp; F242, IF(C242="4", D242 &amp; "." &amp; E242 &amp; "." &amp; F242 &amp; "." &amp; G242, IF(C242="5", D242 &amp; "." &amp; E242 &amp; "." &amp; F242 &amp; "." &amp; G242 &amp; "." &amp; H242, IF(C242="6", D242 &amp; "." &amp; E242 &amp; "." &amp; F242 &amp; "." &amp; G242 &amp; "." &amp; H242 &amp; "." &amp; I242)))))))</f>
        <v>NÃO</v>
      </c>
      <c r="L242" s="378" t="str">
        <f ca="1">IF(K242="NÃO",IF($B242=2,D242&amp;"."&amp;J242,IF($B242=3,D242&amp;"."&amp;E242&amp;"."&amp;J242,IF($B242=4,D242&amp;"."&amp;E242&amp;"."&amp;F242&amp;"."&amp;J242,IF($B242=5,D242&amp;"."&amp;E242&amp;"."&amp;F242&amp;"."&amp;G242&amp;"."&amp;J242,IF($B242=6,D242&amp;"."&amp;E242&amp;"."&amp;F242&amp;"."&amp;G242&amp;"."&amp;H242&amp;"."&amp;J242,IF($B242=7,D242&amp;"."&amp;E242&amp;"."&amp;F242&amp;"."&amp;G242&amp;"."&amp;H242&amp;"."&amp;I242&amp;"."&amp;J242,"FALHA")))))),K242)</f>
        <v>14.1.5</v>
      </c>
      <c r="M242" s="55" t="s">
        <v>27868</v>
      </c>
      <c r="O242" s="392" t="str">
        <f ca="1">L242</f>
        <v>14.1.5</v>
      </c>
      <c r="P242" s="681" t="s">
        <v>29901</v>
      </c>
      <c r="Q242" s="682" t="s">
        <v>17068</v>
      </c>
      <c r="R242" s="415" t="str">
        <f>UPPER(IF(P242="CDHU",VLOOKUP(Q242,'CDHU 201-SD'!$A$1:$J$28014,2,FALSE),IF(P242="FDE",VLOOKUP(Q242,'FDE 01-26-SD'!$A$1:$J$280013,2,FALSE),IF(P242="PRÓPRIA",VLOOKUP(Q242,COMPOSIÇÃO!$1:$1048576,3,FALSE),VLOOKUP(Q242,'SINAPI 04-26-SD'!$A$1:$H$272700,2,FALSE)))))</f>
        <v>VÁLVULA DE DESCARGA ANTIVANDALISMO, DN= 1 1/2´</v>
      </c>
      <c r="S242" s="414" t="str">
        <f>UPPER(IF(P242="CDHU",VLOOKUP(Q242,'CDHU 201-SD'!$A$1:$J$28014,3,FALSE),IF(P242="FDE",VLOOKUP(Q242,'FDE 01-26-SD'!$A$1:$J$280013,3,FALSE),IF(P242="PRÓPRIA",VLOOKUP(Q242,COMPOSIÇÃO!$1:$1048576,7,FALSE),VLOOKUP(Q242,'SINAPI 04-26-SD'!$A$1:$H$272700,3,FALSE)))))</f>
        <v>UN</v>
      </c>
      <c r="T242" s="393">
        <v>2</v>
      </c>
      <c r="U242" s="394">
        <f>TRUNC(IF(P242="CDHU",VLOOKUP(Q242,'CDHU 201-SD'!$A$1:$J$28014,6,FALSE),IF(P242="FDE",VLOOKUP(Q242,'FDE 01-26-SD'!$A$1:$J$280013,6,FALSE),IF(P242="PRÓPRIA",VLOOKUP(Q242,COMPOSIÇÃO!$1:$1048576,10,FALSE),VLOOKUP(Q242,'SINAPI 04-26-SD'!$A$1:$H$272700,4,FALSE)))),2)</f>
        <v>564.95000000000005</v>
      </c>
      <c r="V242" s="416">
        <f>TRUNC(U242*T242,2)</f>
        <v>1129.9000000000001</v>
      </c>
      <c r="W242" s="395">
        <f>IF($AA242="N",BDI!$D$26,IF($AA242="D",'BDI DIFE.'!$D$26,"ERRO"))</f>
        <v>0.22500000000000001</v>
      </c>
      <c r="X242" s="379">
        <f>TRUNC(U242*(1+W242),2)</f>
        <v>692.06</v>
      </c>
      <c r="Y242" s="380">
        <f>TRUNC(T242*X242,2)</f>
        <v>1384.12</v>
      </c>
      <c r="Z242" s="381"/>
      <c r="AA242" s="378" t="s">
        <v>28044</v>
      </c>
      <c r="AB242" s="642"/>
    </row>
    <row r="243" spans="2:28" s="55" customFormat="1" ht="30">
      <c r="B243" s="378">
        <f t="shared" ca="1" si="823"/>
        <v>3</v>
      </c>
      <c r="C243" s="378" t="str">
        <f t="shared" si="832"/>
        <v>S</v>
      </c>
      <c r="D243" s="378">
        <f t="shared" ca="1" si="711"/>
        <v>14</v>
      </c>
      <c r="E243" s="378">
        <f t="shared" ca="1" si="824"/>
        <v>1</v>
      </c>
      <c r="F243" s="378" t="str">
        <f t="shared" ca="1" si="825"/>
        <v>0</v>
      </c>
      <c r="G243" s="378" t="str">
        <f t="shared" ca="1" si="826"/>
        <v>0</v>
      </c>
      <c r="H243" s="378" t="str">
        <f t="shared" ca="1" si="827"/>
        <v>0</v>
      </c>
      <c r="I243" s="378" t="str">
        <f t="shared" ca="1" si="828"/>
        <v>0</v>
      </c>
      <c r="J243" s="378">
        <f t="shared" ca="1" si="712"/>
        <v>6</v>
      </c>
      <c r="K243" s="378" t="str">
        <f t="shared" si="829"/>
        <v>NÃO</v>
      </c>
      <c r="L243" s="378" t="str">
        <f t="shared" ca="1" si="830"/>
        <v>14.1.6</v>
      </c>
      <c r="M243" s="55" t="s">
        <v>27868</v>
      </c>
      <c r="O243" s="392" t="str">
        <f t="shared" ca="1" si="831"/>
        <v>14.1.6</v>
      </c>
      <c r="P243" s="681" t="s">
        <v>29901</v>
      </c>
      <c r="Q243" s="682" t="s">
        <v>17044</v>
      </c>
      <c r="R243" s="415" t="str">
        <f>UPPER(IF(P243="CDHU",VLOOKUP(Q243,'CDHU 201-SD'!$A$1:$J$28014,2,FALSE),IF(P243="FDE",VLOOKUP(Q243,'FDE 01-26-SD'!$A$1:$J$280013,2,FALSE),IF(P243="PRÓPRIA",VLOOKUP(Q243,COMPOSIÇÃO!$1:$1048576,3,FALSE),VLOOKUP(Q243,'SINAPI 04-26-SD'!$A$1:$H$272700,2,FALSE)))))</f>
        <v>REGISTRO DE GAVETA EM LATÃO FUNDIDO CROMADO COM CANOPLA, DN= 3/4´ - LINHA ESPECIAL</v>
      </c>
      <c r="S243" s="414" t="str">
        <f>UPPER(IF(P243="CDHU",VLOOKUP(Q243,'CDHU 201-SD'!$A$1:$J$28014,3,FALSE),IF(P243="FDE",VLOOKUP(Q243,'FDE 01-26-SD'!$A$1:$J$280013,3,FALSE),IF(P243="PRÓPRIA",VLOOKUP(Q243,COMPOSIÇÃO!$1:$1048576,7,FALSE),VLOOKUP(Q243,'SINAPI 04-26-SD'!$A$1:$H$272700,3,FALSE)))))</f>
        <v>UN</v>
      </c>
      <c r="T243" s="393">
        <v>2</v>
      </c>
      <c r="U243" s="394">
        <f>TRUNC(IF(P243="CDHU",VLOOKUP(Q243,'CDHU 201-SD'!$A$1:$J$28014,6,FALSE),IF(P243="FDE",VLOOKUP(Q243,'FDE 01-26-SD'!$A$1:$J$280013,6,FALSE),IF(P243="PRÓPRIA",VLOOKUP(Q243,COMPOSIÇÃO!$1:$1048576,10,FALSE),VLOOKUP(Q243,'SINAPI 04-26-SD'!$A$1:$H$272700,4,FALSE)))),2)</f>
        <v>69.569999999999993</v>
      </c>
      <c r="V243" s="416">
        <f t="shared" ref="V243:V250" si="848">TRUNC(U243*T243,2)</f>
        <v>139.13999999999999</v>
      </c>
      <c r="W243" s="395">
        <f>IF($AA243="N",BDI!$D$26,IF($AA243="D",'BDI DIFE.'!$D$26,"ERRO"))</f>
        <v>0.22500000000000001</v>
      </c>
      <c r="X243" s="379">
        <f t="shared" ref="X243:X250" si="849">TRUNC(U243*(1+W243),2)</f>
        <v>85.22</v>
      </c>
      <c r="Y243" s="380">
        <f t="shared" ref="Y243:Y250" si="850">TRUNC(T243*X243,2)</f>
        <v>170.44</v>
      </c>
      <c r="Z243" s="381"/>
      <c r="AA243" s="378" t="s">
        <v>28044</v>
      </c>
      <c r="AB243" s="642"/>
    </row>
    <row r="244" spans="2:28" s="55" customFormat="1" ht="30">
      <c r="B244" s="378">
        <f t="shared" ca="1" si="823"/>
        <v>3</v>
      </c>
      <c r="C244" s="378" t="str">
        <f t="shared" si="832"/>
        <v>S</v>
      </c>
      <c r="D244" s="378">
        <f t="shared" ca="1" si="711"/>
        <v>14</v>
      </c>
      <c r="E244" s="378">
        <f t="shared" ca="1" si="824"/>
        <v>1</v>
      </c>
      <c r="F244" s="378" t="str">
        <f t="shared" ca="1" si="825"/>
        <v>0</v>
      </c>
      <c r="G244" s="378" t="str">
        <f t="shared" ca="1" si="826"/>
        <v>0</v>
      </c>
      <c r="H244" s="378" t="str">
        <f t="shared" ca="1" si="827"/>
        <v>0</v>
      </c>
      <c r="I244" s="378" t="str">
        <f t="shared" ca="1" si="828"/>
        <v>0</v>
      </c>
      <c r="J244" s="378">
        <f t="shared" ca="1" si="712"/>
        <v>7</v>
      </c>
      <c r="K244" s="378" t="str">
        <f t="shared" si="829"/>
        <v>NÃO</v>
      </c>
      <c r="L244" s="378" t="str">
        <f t="shared" ca="1" si="830"/>
        <v>14.1.7</v>
      </c>
      <c r="M244" s="55" t="s">
        <v>27868</v>
      </c>
      <c r="O244" s="392" t="str">
        <f t="shared" ca="1" si="831"/>
        <v>14.1.7</v>
      </c>
      <c r="P244" s="681" t="s">
        <v>29901</v>
      </c>
      <c r="Q244" s="682" t="s">
        <v>17050</v>
      </c>
      <c r="R244" s="415" t="str">
        <f>UPPER(IF(P244="CDHU",VLOOKUP(Q244,'CDHU 201-SD'!$A$1:$J$28014,2,FALSE),IF(P244="FDE",VLOOKUP(Q244,'FDE 01-26-SD'!$A$1:$J$280013,2,FALSE),IF(P244="PRÓPRIA",VLOOKUP(Q244,COMPOSIÇÃO!$1:$1048576,3,FALSE),VLOOKUP(Q244,'SINAPI 04-26-SD'!$A$1:$H$272700,2,FALSE)))))</f>
        <v>REGISTRO DE GAVETA EM LATÃO FUNDIDO CROMADO COM CANOPLA, DN= 1 1/2´ - LINHA ESPECIAL</v>
      </c>
      <c r="S244" s="414" t="str">
        <f>UPPER(IF(P244="CDHU",VLOOKUP(Q244,'CDHU 201-SD'!$A$1:$J$28014,3,FALSE),IF(P244="FDE",VLOOKUP(Q244,'FDE 01-26-SD'!$A$1:$J$280013,3,FALSE),IF(P244="PRÓPRIA",VLOOKUP(Q244,COMPOSIÇÃO!$1:$1048576,7,FALSE),VLOOKUP(Q244,'SINAPI 04-26-SD'!$A$1:$H$272700,3,FALSE)))))</f>
        <v>UN</v>
      </c>
      <c r="T244" s="393">
        <v>8</v>
      </c>
      <c r="U244" s="394">
        <f>TRUNC(IF(P244="CDHU",VLOOKUP(Q244,'CDHU 201-SD'!$A$1:$J$28014,6,FALSE),IF(P244="FDE",VLOOKUP(Q244,'FDE 01-26-SD'!$A$1:$J$280013,6,FALSE),IF(P244="PRÓPRIA",VLOOKUP(Q244,COMPOSIÇÃO!$1:$1048576,10,FALSE),VLOOKUP(Q244,'SINAPI 04-26-SD'!$A$1:$H$272700,4,FALSE)))),2)</f>
        <v>204.45</v>
      </c>
      <c r="V244" s="416">
        <f t="shared" si="848"/>
        <v>1635.6</v>
      </c>
      <c r="W244" s="395">
        <f>IF($AA244="N",BDI!$D$26,IF($AA244="D",'BDI DIFE.'!$D$26,"ERRO"))</f>
        <v>0.22500000000000001</v>
      </c>
      <c r="X244" s="379">
        <f t="shared" si="849"/>
        <v>250.45</v>
      </c>
      <c r="Y244" s="380">
        <f t="shared" si="850"/>
        <v>2003.6</v>
      </c>
      <c r="Z244" s="381"/>
      <c r="AA244" s="378" t="s">
        <v>28044</v>
      </c>
      <c r="AB244" s="642"/>
    </row>
    <row r="245" spans="2:28" s="55" customFormat="1" ht="30">
      <c r="B245" s="378">
        <f t="shared" ca="1" si="823"/>
        <v>3</v>
      </c>
      <c r="C245" s="378" t="str">
        <f t="shared" si="832"/>
        <v>S</v>
      </c>
      <c r="D245" s="378">
        <f t="shared" ca="1" si="711"/>
        <v>14</v>
      </c>
      <c r="E245" s="378">
        <f t="shared" ca="1" si="824"/>
        <v>1</v>
      </c>
      <c r="F245" s="378" t="str">
        <f t="shared" ca="1" si="825"/>
        <v>0</v>
      </c>
      <c r="G245" s="378" t="str">
        <f t="shared" ca="1" si="826"/>
        <v>0</v>
      </c>
      <c r="H245" s="378" t="str">
        <f t="shared" ca="1" si="827"/>
        <v>0</v>
      </c>
      <c r="I245" s="378" t="str">
        <f t="shared" ca="1" si="828"/>
        <v>0</v>
      </c>
      <c r="J245" s="378">
        <f t="shared" ca="1" si="712"/>
        <v>8</v>
      </c>
      <c r="K245" s="378" t="str">
        <f t="shared" si="829"/>
        <v>NÃO</v>
      </c>
      <c r="L245" s="378" t="str">
        <f t="shared" ca="1" si="830"/>
        <v>14.1.8</v>
      </c>
      <c r="M245" s="55" t="s">
        <v>27868</v>
      </c>
      <c r="O245" s="392" t="str">
        <f t="shared" ca="1" si="831"/>
        <v>14.1.8</v>
      </c>
      <c r="P245" s="681" t="s">
        <v>27888</v>
      </c>
      <c r="Q245" s="682">
        <v>94493</v>
      </c>
      <c r="R245" s="415" t="str">
        <f>UPPER(IF(P245="CDHU",VLOOKUP(Q245,'CDHU 201-SD'!$A$1:$J$28014,2,FALSE),IF(P245="FDE",VLOOKUP(Q245,'FDE 01-26-SD'!$A$1:$J$280013,2,FALSE),IF(P245="PRÓPRIA",VLOOKUP(Q245,COMPOSIÇÃO!$1:$1048576,3,FALSE),VLOOKUP(Q245,'SINAPI 04-26-SD'!$A$1:$H$272700,2,FALSE)))))</f>
        <v>REGISTRO DE ESFERA, PVC, SOLDÁVEL, COM VOLANTE, DN 60 MM - FORNECIMENTO E INSTALAÇÃO. AF_08/2021</v>
      </c>
      <c r="S245" s="414" t="str">
        <f>UPPER(IF(P245="CDHU",VLOOKUP(Q245,'CDHU 201-SD'!$A$1:$J$28014,3,FALSE),IF(P245="FDE",VLOOKUP(Q245,'FDE 01-26-SD'!$A$1:$J$280013,3,FALSE),IF(P245="PRÓPRIA",VLOOKUP(Q245,COMPOSIÇÃO!$1:$1048576,7,FALSE),VLOOKUP(Q245,'SINAPI 04-26-SD'!$A$1:$H$272700,3,FALSE)))))</f>
        <v>UN</v>
      </c>
      <c r="T245" s="393">
        <v>1</v>
      </c>
      <c r="U245" s="394">
        <f>TRUNC(IF(P245="CDHU",VLOOKUP(Q245,'CDHU 201-SD'!$A$1:$J$28014,6,FALSE),IF(P245="FDE",VLOOKUP(Q245,'FDE 01-26-SD'!$A$1:$J$280013,6,FALSE),IF(P245="PRÓPRIA",VLOOKUP(Q245,COMPOSIÇÃO!$1:$1048576,10,FALSE),VLOOKUP(Q245,'SINAPI 04-26-SD'!$A$1:$H$272700,4,FALSE)))),2)</f>
        <v>121.71</v>
      </c>
      <c r="V245" s="416">
        <f t="shared" si="848"/>
        <v>121.71</v>
      </c>
      <c r="W245" s="395">
        <f>IF($AA245="N",BDI!$D$26,IF($AA245="D",'BDI DIFE.'!$D$26,"ERRO"))</f>
        <v>0.22500000000000001</v>
      </c>
      <c r="X245" s="379">
        <f t="shared" si="849"/>
        <v>149.09</v>
      </c>
      <c r="Y245" s="380">
        <f t="shared" si="850"/>
        <v>149.09</v>
      </c>
      <c r="Z245" s="381"/>
      <c r="AA245" s="378" t="s">
        <v>28044</v>
      </c>
      <c r="AB245" s="642"/>
    </row>
    <row r="246" spans="2:28" s="55" customFormat="1" ht="30">
      <c r="B246" s="378">
        <f t="shared" ref="B246" ca="1" si="851">IF(C246="S",IF(OFFSET(C246,-1,0)="S", OFFSET(B246,-1,0), OFFSET(B246,-1,0) +1 ), C246)</f>
        <v>3</v>
      </c>
      <c r="C246" s="378" t="str">
        <f t="shared" si="832"/>
        <v>S</v>
      </c>
      <c r="D246" s="378">
        <f t="shared" ca="1" si="711"/>
        <v>14</v>
      </c>
      <c r="E246" s="378">
        <f t="shared" ref="E246" ca="1" si="852">IF($C246="2",OFFSET(E246,-1,0) +1,IF(OFFSET(D246,-1,0)&lt;&gt;D246,"0",IF(OFFSET(E246,-1,0)="","0",OFFSET(E246,-1,0))))</f>
        <v>1</v>
      </c>
      <c r="F246" s="378" t="str">
        <f t="shared" ref="F246" ca="1" si="853">IF($C246="3",OFFSET(F246,-1,0) +1,IF(OFFSET(E246,-1,0)&lt;&gt;E246,"0",IF(OFFSET(F246,-1,0)="","0",OFFSET(F246,-1,0))))</f>
        <v>0</v>
      </c>
      <c r="G246" s="378" t="str">
        <f t="shared" ref="G246" ca="1" si="854">IF($C246="4",OFFSET(G246,-1,0) +1,IF(OFFSET(F246,-1,0)&lt;&gt;F246,"0",IF(OFFSET(G246,-1,0)="","0",OFFSET(G246,-1,0))))</f>
        <v>0</v>
      </c>
      <c r="H246" s="378" t="str">
        <f t="shared" ref="H246" ca="1" si="855">IF($C246="5",OFFSET(H246,-1,0) +1,IF(OFFSET(G246,-1,0)&lt;&gt;G246,"0",IF(OFFSET(H246,-1,0)="","0",OFFSET(H246,-1,0))))</f>
        <v>0</v>
      </c>
      <c r="I246" s="378" t="str">
        <f t="shared" ref="I246" ca="1" si="856">IF($C246="6",OFFSET(I246,-1,0) +1,IF(OFFSET(H246,-1,0)&lt;&gt;H246,"0",IF(OFFSET(I246,-1,0)="","0", OFFSET(I246,-1,0))))</f>
        <v>0</v>
      </c>
      <c r="J246" s="378">
        <f t="shared" ca="1" si="712"/>
        <v>9</v>
      </c>
      <c r="K246" s="378" t="str">
        <f t="shared" ref="K246" si="857">IF(C246="S","NÃO", IF(C246="1", D246, IF(C246="2", D246 &amp; "." &amp; E246,IF(C246="3", D246 &amp; "." &amp; E246 &amp; "." &amp; F246, IF(C246="4", D246 &amp; "." &amp; E246 &amp; "." &amp; F246 &amp; "." &amp; G246, IF(C246="5", D246 &amp; "." &amp; E246 &amp; "." &amp; F246 &amp; "." &amp; G246 &amp; "." &amp; H246, IF(C246="6", D246 &amp; "." &amp; E246 &amp; "." &amp; F246 &amp; "." &amp; G246 &amp; "." &amp; H246 &amp; "." &amp; I246)))))))</f>
        <v>NÃO</v>
      </c>
      <c r="L246" s="378" t="str">
        <f t="shared" ref="L246" ca="1" si="858">IF(K246="NÃO",IF($B246=2,D246&amp;"."&amp;J246,IF($B246=3,D246&amp;"."&amp;E246&amp;"."&amp;J246,IF($B246=4,D246&amp;"."&amp;E246&amp;"."&amp;F246&amp;"."&amp;J246,IF($B246=5,D246&amp;"."&amp;E246&amp;"."&amp;F246&amp;"."&amp;G246&amp;"."&amp;J246,IF($B246=6,D246&amp;"."&amp;E246&amp;"."&amp;F246&amp;"."&amp;G246&amp;"."&amp;H246&amp;"."&amp;J246,IF($B246=7,D246&amp;"."&amp;E246&amp;"."&amp;F246&amp;"."&amp;G246&amp;"."&amp;H246&amp;"."&amp;I246&amp;"."&amp;J246,"FALHA")))))),K246)</f>
        <v>14.1.9</v>
      </c>
      <c r="M246" s="55" t="s">
        <v>27868</v>
      </c>
      <c r="O246" s="392" t="str">
        <f t="shared" ref="O246" ca="1" si="859">L246</f>
        <v>14.1.9</v>
      </c>
      <c r="P246" s="681" t="s">
        <v>27888</v>
      </c>
      <c r="Q246" s="682">
        <v>103040</v>
      </c>
      <c r="R246" s="415" t="str">
        <f>UPPER(IF(P246="CDHU",VLOOKUP(Q246,'CDHU 201-SD'!$A$1:$J$28014,2,FALSE),IF(P246="FDE",VLOOKUP(Q246,'FDE 01-26-SD'!$A$1:$J$280013,2,FALSE),IF(P246="PRÓPRIA",VLOOKUP(Q246,COMPOSIÇÃO!$1:$1048576,3,FALSE),VLOOKUP(Q246,'SINAPI 04-26-SD'!$A$1:$H$272700,2,FALSE)))))</f>
        <v>REGISTRO DE ESFERA, PVC, ROSCÁVEL, COM VOLANTE, 2" - FORNECIMENTO E INSTALAÇÃO. AF_08/2021</v>
      </c>
      <c r="S246" s="414" t="str">
        <f>UPPER(IF(P246="CDHU",VLOOKUP(Q246,'CDHU 201-SD'!$A$1:$J$28014,3,FALSE),IF(P246="FDE",VLOOKUP(Q246,'FDE 01-26-SD'!$A$1:$J$280013,3,FALSE),IF(P246="PRÓPRIA",VLOOKUP(Q246,COMPOSIÇÃO!$1:$1048576,7,FALSE),VLOOKUP(Q246,'SINAPI 04-26-SD'!$A$1:$H$272700,3,FALSE)))))</f>
        <v>UN</v>
      </c>
      <c r="T246" s="393">
        <v>1</v>
      </c>
      <c r="U246" s="394">
        <f>TRUNC(IF(P246="CDHU",VLOOKUP(Q246,'CDHU 201-SD'!$A$1:$J$28014,6,FALSE),IF(P246="FDE",VLOOKUP(Q246,'FDE 01-26-SD'!$A$1:$J$280013,6,FALSE),IF(P246="PRÓPRIA",VLOOKUP(Q246,COMPOSIÇÃO!$1:$1048576,10,FALSE),VLOOKUP(Q246,'SINAPI 04-26-SD'!$A$1:$H$272700,4,FALSE)))),2)</f>
        <v>113.48</v>
      </c>
      <c r="V246" s="416">
        <f t="shared" ref="V246" si="860">TRUNC(U246*T246,2)</f>
        <v>113.48</v>
      </c>
      <c r="W246" s="395">
        <f>IF($AA246="N",BDI!$D$26,IF($AA246="D",'BDI DIFE.'!$D$26,"ERRO"))</f>
        <v>0.22500000000000001</v>
      </c>
      <c r="X246" s="379">
        <f t="shared" ref="X246" si="861">TRUNC(U246*(1+W246),2)</f>
        <v>139.01</v>
      </c>
      <c r="Y246" s="380">
        <f t="shared" ref="Y246" si="862">TRUNC(T246*X246,2)</f>
        <v>139.01</v>
      </c>
      <c r="Z246" s="381"/>
      <c r="AA246" s="378" t="s">
        <v>28044</v>
      </c>
      <c r="AB246" s="642"/>
    </row>
    <row r="247" spans="2:28" s="55" customFormat="1" ht="30">
      <c r="B247" s="378">
        <f t="shared" ref="B247:B249" ca="1" si="863">IF(C247="S",IF(OFFSET(C247,-1,0)="S", OFFSET(B247,-1,0), OFFSET(B247,-1,0) +1 ), C247)</f>
        <v>3</v>
      </c>
      <c r="C247" s="378" t="str">
        <f t="shared" si="832"/>
        <v>S</v>
      </c>
      <c r="D247" s="378">
        <f t="shared" ca="1" si="711"/>
        <v>14</v>
      </c>
      <c r="E247" s="378">
        <f t="shared" ref="E247:E249" ca="1" si="864">IF($C247="2",OFFSET(E247,-1,0) +1,IF(OFFSET(D247,-1,0)&lt;&gt;D247,"0",IF(OFFSET(E247,-1,0)="","0",OFFSET(E247,-1,0))))</f>
        <v>1</v>
      </c>
      <c r="F247" s="378" t="str">
        <f t="shared" ref="F247:F249" ca="1" si="865">IF($C247="3",OFFSET(F247,-1,0) +1,IF(OFFSET(E247,-1,0)&lt;&gt;E247,"0",IF(OFFSET(F247,-1,0)="","0",OFFSET(F247,-1,0))))</f>
        <v>0</v>
      </c>
      <c r="G247" s="378" t="str">
        <f t="shared" ref="G247:G249" ca="1" si="866">IF($C247="4",OFFSET(G247,-1,0) +1,IF(OFFSET(F247,-1,0)&lt;&gt;F247,"0",IF(OFFSET(G247,-1,0)="","0",OFFSET(G247,-1,0))))</f>
        <v>0</v>
      </c>
      <c r="H247" s="378" t="str">
        <f t="shared" ref="H247:H249" ca="1" si="867">IF($C247="5",OFFSET(H247,-1,0) +1,IF(OFFSET(G247,-1,0)&lt;&gt;G247,"0",IF(OFFSET(H247,-1,0)="","0",OFFSET(H247,-1,0))))</f>
        <v>0</v>
      </c>
      <c r="I247" s="378" t="str">
        <f t="shared" ref="I247:I249" ca="1" si="868">IF($C247="6",OFFSET(I247,-1,0) +1,IF(OFFSET(H247,-1,0)&lt;&gt;H247,"0",IF(OFFSET(I247,-1,0)="","0", OFFSET(I247,-1,0))))</f>
        <v>0</v>
      </c>
      <c r="J247" s="378">
        <f t="shared" ca="1" si="712"/>
        <v>10</v>
      </c>
      <c r="K247" s="378" t="str">
        <f t="shared" ref="K247:K249" si="869">IF(C247="S","NÃO", IF(C247="1", D247, IF(C247="2", D247 &amp; "." &amp; E247,IF(C247="3", D247 &amp; "." &amp; E247 &amp; "." &amp; F247, IF(C247="4", D247 &amp; "." &amp; E247 &amp; "." &amp; F247 &amp; "." &amp; G247, IF(C247="5", D247 &amp; "." &amp; E247 &amp; "." &amp; F247 &amp; "." &amp; G247 &amp; "." &amp; H247, IF(C247="6", D247 &amp; "." &amp; E247 &amp; "." &amp; F247 &amp; "." &amp; G247 &amp; "." &amp; H247 &amp; "." &amp; I247)))))))</f>
        <v>NÃO</v>
      </c>
      <c r="L247" s="378" t="str">
        <f t="shared" ref="L247:L249" ca="1" si="870">IF(K247="NÃO",IF($B247=2,D247&amp;"."&amp;J247,IF($B247=3,D247&amp;"."&amp;E247&amp;"."&amp;J247,IF($B247=4,D247&amp;"."&amp;E247&amp;"."&amp;F247&amp;"."&amp;J247,IF($B247=5,D247&amp;"."&amp;E247&amp;"."&amp;F247&amp;"."&amp;G247&amp;"."&amp;J247,IF($B247=6,D247&amp;"."&amp;E247&amp;"."&amp;F247&amp;"."&amp;G247&amp;"."&amp;H247&amp;"."&amp;J247,IF($B247=7,D247&amp;"."&amp;E247&amp;"."&amp;F247&amp;"."&amp;G247&amp;"."&amp;H247&amp;"."&amp;I247&amp;"."&amp;J247,"FALHA")))))),K247)</f>
        <v>14.1.10</v>
      </c>
      <c r="M247" s="55" t="s">
        <v>27868</v>
      </c>
      <c r="O247" s="392" t="str">
        <f t="shared" ref="O247:O249" ca="1" si="871">L247</f>
        <v>14.1.10</v>
      </c>
      <c r="P247" s="681" t="s">
        <v>29901</v>
      </c>
      <c r="Q247" s="682" t="s">
        <v>16307</v>
      </c>
      <c r="R247" s="415" t="str">
        <f>UPPER(IF(P247="CDHU",VLOOKUP(Q247,'CDHU 201-SD'!$A$1:$J$28014,2,FALSE),IF(P247="FDE",VLOOKUP(Q247,'FDE 01-26-SD'!$A$1:$J$280013,2,FALSE),IF(P247="PRÓPRIA",VLOOKUP(Q247,COMPOSIÇÃO!$1:$1048576,3,FALSE),VLOOKUP(Q247,'SINAPI 04-26-SD'!$A$1:$H$272700,2,FALSE)))))</f>
        <v>TUBO DE PVC RÍGIDO SOLDÁVEL MARROM, DN= 25 MM, (3/4´), INCLUSIVE CONEXÕES</v>
      </c>
      <c r="S247" s="414" t="str">
        <f>UPPER(IF(P247="CDHU",VLOOKUP(Q247,'CDHU 201-SD'!$A$1:$J$28014,3,FALSE),IF(P247="FDE",VLOOKUP(Q247,'FDE 01-26-SD'!$A$1:$J$280013,3,FALSE),IF(P247="PRÓPRIA",VLOOKUP(Q247,COMPOSIÇÃO!$1:$1048576,7,FALSE),VLOOKUP(Q247,'SINAPI 04-26-SD'!$A$1:$H$272700,3,FALSE)))))</f>
        <v>M</v>
      </c>
      <c r="T247" s="393">
        <v>46.4</v>
      </c>
      <c r="U247" s="394">
        <f>TRUNC(IF(P247="CDHU",VLOOKUP(Q247,'CDHU 201-SD'!$A$1:$J$28014,6,FALSE),IF(P247="FDE",VLOOKUP(Q247,'FDE 01-26-SD'!$A$1:$J$280013,6,FALSE),IF(P247="PRÓPRIA",VLOOKUP(Q247,COMPOSIÇÃO!$1:$1048576,10,FALSE),VLOOKUP(Q247,'SINAPI 04-26-SD'!$A$1:$H$272700,4,FALSE)))),2)</f>
        <v>34.21</v>
      </c>
      <c r="V247" s="416">
        <f t="shared" ref="V247:V249" si="872">TRUNC(U247*T247,2)</f>
        <v>1587.34</v>
      </c>
      <c r="W247" s="395">
        <f>IF($AA247="N",BDI!$D$26,IF($AA247="D",'BDI DIFE.'!$D$26,"ERRO"))</f>
        <v>0.22500000000000001</v>
      </c>
      <c r="X247" s="379">
        <f t="shared" ref="X247:X249" si="873">TRUNC(U247*(1+W247),2)</f>
        <v>41.9</v>
      </c>
      <c r="Y247" s="380">
        <f t="shared" ref="Y247:Y249" si="874">TRUNC(T247*X247,2)</f>
        <v>1944.16</v>
      </c>
      <c r="Z247" s="381"/>
      <c r="AA247" s="378" t="s">
        <v>28044</v>
      </c>
      <c r="AB247" s="642"/>
    </row>
    <row r="248" spans="2:28" s="55" customFormat="1" ht="30">
      <c r="B248" s="378">
        <f t="shared" ca="1" si="863"/>
        <v>3</v>
      </c>
      <c r="C248" s="378" t="str">
        <f t="shared" si="832"/>
        <v>S</v>
      </c>
      <c r="D248" s="378">
        <f t="shared" ca="1" si="711"/>
        <v>14</v>
      </c>
      <c r="E248" s="378">
        <f t="shared" ca="1" si="864"/>
        <v>1</v>
      </c>
      <c r="F248" s="378" t="str">
        <f t="shared" ca="1" si="865"/>
        <v>0</v>
      </c>
      <c r="G248" s="378" t="str">
        <f t="shared" ca="1" si="866"/>
        <v>0</v>
      </c>
      <c r="H248" s="378" t="str">
        <f t="shared" ca="1" si="867"/>
        <v>0</v>
      </c>
      <c r="I248" s="378" t="str">
        <f t="shared" ca="1" si="868"/>
        <v>0</v>
      </c>
      <c r="J248" s="378">
        <f t="shared" ca="1" si="712"/>
        <v>11</v>
      </c>
      <c r="K248" s="378" t="str">
        <f t="shared" si="869"/>
        <v>NÃO</v>
      </c>
      <c r="L248" s="378" t="str">
        <f t="shared" ca="1" si="870"/>
        <v>14.1.11</v>
      </c>
      <c r="M248" s="55" t="s">
        <v>27868</v>
      </c>
      <c r="O248" s="392" t="str">
        <f t="shared" ca="1" si="871"/>
        <v>14.1.11</v>
      </c>
      <c r="P248" s="681" t="s">
        <v>29901</v>
      </c>
      <c r="Q248" s="682" t="s">
        <v>16313</v>
      </c>
      <c r="R248" s="415" t="str">
        <f>UPPER(IF(P248="CDHU",VLOOKUP(Q248,'CDHU 201-SD'!$A$1:$J$28014,2,FALSE),IF(P248="FDE",VLOOKUP(Q248,'FDE 01-26-SD'!$A$1:$J$280013,2,FALSE),IF(P248="PRÓPRIA",VLOOKUP(Q248,COMPOSIÇÃO!$1:$1048576,3,FALSE),VLOOKUP(Q248,'SINAPI 04-26-SD'!$A$1:$H$272700,2,FALSE)))))</f>
        <v>TUBO DE PVC RÍGIDO SOLDÁVEL MARROM, DN= 50 MM, (1 1/2´), INCLUSIVE CONEXÕES</v>
      </c>
      <c r="S248" s="414" t="str">
        <f>UPPER(IF(P248="CDHU",VLOOKUP(Q248,'CDHU 201-SD'!$A$1:$J$28014,3,FALSE),IF(P248="FDE",VLOOKUP(Q248,'FDE 01-26-SD'!$A$1:$J$280013,3,FALSE),IF(P248="PRÓPRIA",VLOOKUP(Q248,COMPOSIÇÃO!$1:$1048576,7,FALSE),VLOOKUP(Q248,'SINAPI 04-26-SD'!$A$1:$H$272700,3,FALSE)))))</f>
        <v>M</v>
      </c>
      <c r="T248" s="393">
        <v>74.2</v>
      </c>
      <c r="U248" s="394">
        <f>TRUNC(IF(P248="CDHU",VLOOKUP(Q248,'CDHU 201-SD'!$A$1:$J$28014,6,FALSE),IF(P248="FDE",VLOOKUP(Q248,'FDE 01-26-SD'!$A$1:$J$280013,6,FALSE),IF(P248="PRÓPRIA",VLOOKUP(Q248,COMPOSIÇÃO!$1:$1048576,10,FALSE),VLOOKUP(Q248,'SINAPI 04-26-SD'!$A$1:$H$272700,4,FALSE)))),2)</f>
        <v>54.56</v>
      </c>
      <c r="V248" s="416">
        <f t="shared" si="872"/>
        <v>4048.35</v>
      </c>
      <c r="W248" s="395">
        <f>IF($AA248="N",BDI!$D$26,IF($AA248="D",'BDI DIFE.'!$D$26,"ERRO"))</f>
        <v>0.22500000000000001</v>
      </c>
      <c r="X248" s="379">
        <f t="shared" si="873"/>
        <v>66.83</v>
      </c>
      <c r="Y248" s="380">
        <f t="shared" si="874"/>
        <v>4958.78</v>
      </c>
      <c r="Z248" s="381"/>
      <c r="AA248" s="378" t="s">
        <v>28044</v>
      </c>
      <c r="AB248" s="642"/>
    </row>
    <row r="249" spans="2:28" s="55" customFormat="1" ht="30">
      <c r="B249" s="378">
        <f t="shared" ca="1" si="863"/>
        <v>3</v>
      </c>
      <c r="C249" s="378" t="str">
        <f t="shared" si="832"/>
        <v>S</v>
      </c>
      <c r="D249" s="378">
        <f t="shared" ca="1" si="711"/>
        <v>14</v>
      </c>
      <c r="E249" s="378">
        <f t="shared" ca="1" si="864"/>
        <v>1</v>
      </c>
      <c r="F249" s="378" t="str">
        <f t="shared" ca="1" si="865"/>
        <v>0</v>
      </c>
      <c r="G249" s="378" t="str">
        <f t="shared" ca="1" si="866"/>
        <v>0</v>
      </c>
      <c r="H249" s="378" t="str">
        <f t="shared" ca="1" si="867"/>
        <v>0</v>
      </c>
      <c r="I249" s="378" t="str">
        <f t="shared" ca="1" si="868"/>
        <v>0</v>
      </c>
      <c r="J249" s="378">
        <f t="shared" ca="1" si="712"/>
        <v>12</v>
      </c>
      <c r="K249" s="378" t="str">
        <f t="shared" si="869"/>
        <v>NÃO</v>
      </c>
      <c r="L249" s="378" t="str">
        <f t="shared" ca="1" si="870"/>
        <v>14.1.12</v>
      </c>
      <c r="M249" s="55" t="s">
        <v>27868</v>
      </c>
      <c r="O249" s="392" t="str">
        <f t="shared" ca="1" si="871"/>
        <v>14.1.12</v>
      </c>
      <c r="P249" s="681" t="s">
        <v>29901</v>
      </c>
      <c r="Q249" s="682" t="s">
        <v>16315</v>
      </c>
      <c r="R249" s="415" t="str">
        <f>UPPER(IF(P249="CDHU",VLOOKUP(Q249,'CDHU 201-SD'!$A$1:$J$28014,2,FALSE),IF(P249="FDE",VLOOKUP(Q249,'FDE 01-26-SD'!$A$1:$J$280013,2,FALSE),IF(P249="PRÓPRIA",VLOOKUP(Q249,COMPOSIÇÃO!$1:$1048576,3,FALSE),VLOOKUP(Q249,'SINAPI 04-26-SD'!$A$1:$H$272700,2,FALSE)))))</f>
        <v>TUBO DE PVC RÍGIDO SOLDÁVEL MARROM, DN= 60 MM, (2´), INCLUSIVE CONEXÕES</v>
      </c>
      <c r="S249" s="414" t="str">
        <f>UPPER(IF(P249="CDHU",VLOOKUP(Q249,'CDHU 201-SD'!$A$1:$J$28014,3,FALSE),IF(P249="FDE",VLOOKUP(Q249,'FDE 01-26-SD'!$A$1:$J$280013,3,FALSE),IF(P249="PRÓPRIA",VLOOKUP(Q249,COMPOSIÇÃO!$1:$1048576,7,FALSE),VLOOKUP(Q249,'SINAPI 04-26-SD'!$A$1:$H$272700,3,FALSE)))))</f>
        <v>M</v>
      </c>
      <c r="T249" s="393">
        <v>95.4</v>
      </c>
      <c r="U249" s="394">
        <f>TRUNC(IF(P249="CDHU",VLOOKUP(Q249,'CDHU 201-SD'!$A$1:$J$28014,6,FALSE),IF(P249="FDE",VLOOKUP(Q249,'FDE 01-26-SD'!$A$1:$J$280013,6,FALSE),IF(P249="PRÓPRIA",VLOOKUP(Q249,COMPOSIÇÃO!$1:$1048576,10,FALSE),VLOOKUP(Q249,'SINAPI 04-26-SD'!$A$1:$H$272700,4,FALSE)))),2)</f>
        <v>85.23</v>
      </c>
      <c r="V249" s="416">
        <f t="shared" si="872"/>
        <v>8130.94</v>
      </c>
      <c r="W249" s="395">
        <f>IF($AA249="N",BDI!$D$26,IF($AA249="D",'BDI DIFE.'!$D$26,"ERRO"))</f>
        <v>0.22500000000000001</v>
      </c>
      <c r="X249" s="379">
        <f t="shared" si="873"/>
        <v>104.4</v>
      </c>
      <c r="Y249" s="380">
        <f t="shared" si="874"/>
        <v>9959.76</v>
      </c>
      <c r="Z249" s="381"/>
      <c r="AA249" s="378" t="s">
        <v>28044</v>
      </c>
      <c r="AB249" s="642"/>
    </row>
    <row r="250" spans="2:28" s="55" customFormat="1" ht="31" thickBot="1">
      <c r="B250" s="378">
        <f t="shared" ca="1" si="823"/>
        <v>3</v>
      </c>
      <c r="C250" s="378" t="str">
        <f t="shared" si="832"/>
        <v>S</v>
      </c>
      <c r="D250" s="378">
        <f t="shared" ca="1" si="711"/>
        <v>14</v>
      </c>
      <c r="E250" s="378">
        <f t="shared" ca="1" si="824"/>
        <v>1</v>
      </c>
      <c r="F250" s="378" t="str">
        <f t="shared" ca="1" si="825"/>
        <v>0</v>
      </c>
      <c r="G250" s="378" t="str">
        <f t="shared" ca="1" si="826"/>
        <v>0</v>
      </c>
      <c r="H250" s="378" t="str">
        <f t="shared" ca="1" si="827"/>
        <v>0</v>
      </c>
      <c r="I250" s="378" t="str">
        <f t="shared" ca="1" si="828"/>
        <v>0</v>
      </c>
      <c r="J250" s="378">
        <f t="shared" ca="1" si="712"/>
        <v>13</v>
      </c>
      <c r="K250" s="378" t="str">
        <f t="shared" si="829"/>
        <v>NÃO</v>
      </c>
      <c r="L250" s="378" t="str">
        <f t="shared" ca="1" si="830"/>
        <v>14.1.13</v>
      </c>
      <c r="M250" s="55" t="s">
        <v>27868</v>
      </c>
      <c r="O250" s="392" t="str">
        <f t="shared" ca="1" si="831"/>
        <v>14.1.13</v>
      </c>
      <c r="P250" s="681" t="s">
        <v>41227</v>
      </c>
      <c r="Q250" s="682" t="s">
        <v>44384</v>
      </c>
      <c r="R250" s="415" t="str">
        <f>UPPER(IF(P250="CDHU",VLOOKUP(Q250,'CDHU 201-SD'!$A$1:$J$28014,2,FALSE),IF(P250="FDE",VLOOKUP(Q250,'FDE 01-26-SD'!$A$1:$J$280013,2,FALSE),IF(P250="PRÓPRIA",VLOOKUP(Q250,COMPOSIÇÃO!$1:$1048576,3,FALSE),VLOOKUP(Q250,'SINAPI 04-26-SD'!$A$1:$H$272700,2,FALSE)))))</f>
        <v>PRESSURIZADOR PRESSOSTATO 2,5CV 220V TRI ATÉ 6 BANHEIROS - REF. COMERCIAL ROWA MAX PRESS 200 E OU SIMILAR</v>
      </c>
      <c r="S250" s="414" t="str">
        <f>UPPER(IF(P250="CDHU",VLOOKUP(Q250,'CDHU 201-SD'!$A$1:$J$28014,3,FALSE),IF(P250="FDE",VLOOKUP(Q250,'FDE 01-26-SD'!$A$1:$J$280013,3,FALSE),IF(P250="PRÓPRIA",VLOOKUP(Q250,COMPOSIÇÃO!$1:$1048576,7,FALSE),VLOOKUP(Q250,'SINAPI 04-26-SD'!$A$1:$H$272700,3,FALSE)))))</f>
        <v>UN</v>
      </c>
      <c r="T250" s="393">
        <v>1</v>
      </c>
      <c r="U250" s="394">
        <f>TRUNC(IF(P250="CDHU",VLOOKUP(Q250,'CDHU 201-SD'!$A$1:$J$28014,6,FALSE),IF(P250="FDE",VLOOKUP(Q250,'FDE 01-26-SD'!$A$1:$J$280013,6,FALSE),IF(P250="PRÓPRIA",VLOOKUP(Q250,COMPOSIÇÃO!$1:$1048576,10,FALSE),VLOOKUP(Q250,'SINAPI 04-26-SD'!$A$1:$H$272700,4,FALSE)))),2)</f>
        <v>10810.73</v>
      </c>
      <c r="V250" s="416">
        <f t="shared" si="848"/>
        <v>10810.73</v>
      </c>
      <c r="W250" s="395">
        <f>IF($AA250="N",BDI!$D$26,IF($AA250="D",'BDI DIFE.'!$D$26,"ERRO"))</f>
        <v>0.22500000000000001</v>
      </c>
      <c r="X250" s="379">
        <f t="shared" si="849"/>
        <v>13243.14</v>
      </c>
      <c r="Y250" s="380">
        <f t="shared" si="850"/>
        <v>13243.14</v>
      </c>
      <c r="Z250" s="381"/>
      <c r="AA250" s="378" t="s">
        <v>28044</v>
      </c>
      <c r="AB250" s="642"/>
    </row>
    <row r="251" spans="2:28" s="55" customFormat="1" ht="16" thickBot="1">
      <c r="B251" s="378" t="str">
        <f t="shared" ref="B251:B279" ca="1" si="875">IF(C251="S",IF(OFFSET(C251,-1,0)="S", OFFSET(B251,-1,0), OFFSET(B251,-1,0) +1 ), C251)</f>
        <v/>
      </c>
      <c r="C251" s="378" t="str">
        <f t="shared" si="832"/>
        <v/>
      </c>
      <c r="D251" s="378">
        <f t="shared" ca="1" si="711"/>
        <v>14</v>
      </c>
      <c r="E251" s="378">
        <f t="shared" ref="E251:E279" ca="1" si="876">IF($C251="2",OFFSET(E251,-1,0) +1,IF(OFFSET(D251,-1,0)&lt;&gt;D251,"0",IF(OFFSET(E251,-1,0)="","0",OFFSET(E251,-1,0))))</f>
        <v>1</v>
      </c>
      <c r="F251" s="378" t="str">
        <f t="shared" ref="F251:F279" ca="1" si="877">IF($C251="3",OFFSET(F251,-1,0) +1,IF(OFFSET(E251,-1,0)&lt;&gt;E251,"0",IF(OFFSET(F251,-1,0)="","0",OFFSET(F251,-1,0))))</f>
        <v>0</v>
      </c>
      <c r="G251" s="378" t="str">
        <f t="shared" ref="G251:G279" ca="1" si="878">IF($C251="4",OFFSET(G251,-1,0) +1,IF(OFFSET(F251,-1,0)&lt;&gt;F251,"0",IF(OFFSET(G251,-1,0)="","0",OFFSET(G251,-1,0))))</f>
        <v>0</v>
      </c>
      <c r="H251" s="378" t="str">
        <f t="shared" ref="H251:H279" ca="1" si="879">IF($C251="5",OFFSET(H251,-1,0) +1,IF(OFFSET(G251,-1,0)&lt;&gt;G251,"0",IF(OFFSET(H251,-1,0)="","0",OFFSET(H251,-1,0))))</f>
        <v>0</v>
      </c>
      <c r="I251" s="378" t="str">
        <f t="shared" ref="I251:I279" ca="1" si="880">IF($C251="6",OFFSET(I251,-1,0) +1,IF(OFFSET(H251,-1,0)&lt;&gt;H251,"0",IF(OFFSET(I251,-1,0)="","0", OFFSET(I251,-1,0))))</f>
        <v>0</v>
      </c>
      <c r="J251" s="378" t="str">
        <f t="shared" ca="1" si="712"/>
        <v>0</v>
      </c>
      <c r="K251" s="378" t="b">
        <f t="shared" ref="K251:K279" si="881">IF(C251="S","NÃO", IF(C251="1", D251, IF(C251="2", D251 &amp; "." &amp; E251,IF(C251="3", D251 &amp; "." &amp; E251 &amp; "." &amp; F251, IF(C251="4", D251 &amp; "." &amp; E251 &amp; "." &amp; F251 &amp; "." &amp; G251, IF(C251="5", D251 &amp; "." &amp; E251 &amp; "." &amp; F251 &amp; "." &amp; G251 &amp; "." &amp; H251, IF(C251="6", D251 &amp; "." &amp; E251 &amp; "." &amp; F251 &amp; "." &amp; G251 &amp; "." &amp; H251 &amp; "." &amp; I251)))))))</f>
        <v>0</v>
      </c>
      <c r="L251" s="378" t="b">
        <f t="shared" ref="L251:L279" si="882">IF(K251="NÃO",IF($B251=2,D251&amp;"."&amp;J251,IF($B251=3,D251&amp;"."&amp;E251&amp;"."&amp;J251,IF($B251=4,D251&amp;"."&amp;E251&amp;"."&amp;F251&amp;"."&amp;J251,IF($B251=5,D251&amp;"."&amp;E251&amp;"."&amp;F251&amp;"."&amp;G251&amp;"."&amp;J251,IF($B251=6,D251&amp;"."&amp;E251&amp;"."&amp;F251&amp;"."&amp;G251&amp;"."&amp;H251&amp;"."&amp;J251,IF($B251=7,D251&amp;"."&amp;E251&amp;"."&amp;F251&amp;"."&amp;G251&amp;"."&amp;H251&amp;"."&amp;I251&amp;"."&amp;J251,"FALHA")))))),K251)</f>
        <v>0</v>
      </c>
      <c r="O251" s="192"/>
      <c r="P251" s="387"/>
      <c r="Q251" s="387"/>
      <c r="R251" s="377"/>
      <c r="S251" s="387"/>
      <c r="T251" s="363"/>
      <c r="U251" s="388"/>
      <c r="V251" s="389"/>
      <c r="W251" s="389"/>
      <c r="X251" s="389"/>
      <c r="Y251" s="390"/>
      <c r="AB251" s="642"/>
    </row>
    <row r="252" spans="2:28" s="75" customFormat="1" ht="16" thickBot="1">
      <c r="B252" s="75" t="str">
        <f t="shared" ca="1" si="875"/>
        <v>2</v>
      </c>
      <c r="C252" s="75" t="str">
        <f t="shared" si="832"/>
        <v>2</v>
      </c>
      <c r="D252" s="75">
        <f t="shared" ca="1" si="711"/>
        <v>14</v>
      </c>
      <c r="E252" s="75">
        <f t="shared" ca="1" si="876"/>
        <v>2</v>
      </c>
      <c r="F252" s="75" t="str">
        <f t="shared" ca="1" si="877"/>
        <v>0</v>
      </c>
      <c r="G252" s="75" t="str">
        <f t="shared" ca="1" si="878"/>
        <v>0</v>
      </c>
      <c r="H252" s="75" t="str">
        <f t="shared" ca="1" si="879"/>
        <v>0</v>
      </c>
      <c r="I252" s="75" t="str">
        <f t="shared" ca="1" si="880"/>
        <v>0</v>
      </c>
      <c r="J252" s="75" t="str">
        <f t="shared" ca="1" si="712"/>
        <v>0</v>
      </c>
      <c r="K252" s="75" t="str">
        <f t="shared" ca="1" si="881"/>
        <v>14.2</v>
      </c>
      <c r="L252" s="75" t="str">
        <f t="shared" ca="1" si="882"/>
        <v>14.2</v>
      </c>
      <c r="M252" s="55" t="s">
        <v>27861</v>
      </c>
      <c r="O252" s="191" t="str">
        <f t="shared" ref="O252:O258" ca="1" si="883">L252</f>
        <v>14.2</v>
      </c>
      <c r="P252" s="172"/>
      <c r="Q252" s="172"/>
      <c r="R252" s="683" t="s">
        <v>41863</v>
      </c>
      <c r="S252" s="172"/>
      <c r="T252" s="194"/>
      <c r="U252" s="195"/>
      <c r="V252" s="196">
        <f ca="1">IF(VALUE(C252)=1,SUMIFS(V:V,D:D,D252,M:M,"Serviço"),IF(VALUE(C252)=2,SUMIFS(V:V,D:D,D252,E:E,E252,M:M,"Serviço"),IF(VALUE(C252)=3,SUMIFS(V:V,D:D,D252,E:E,E252,F:F,F252,M:M,"Serviço"),IF(VALUE(C252)=4,SUMIFS(V:V,D:D,D252,E:E,E252,F:F,F252,G:G,G252,M:M,"Serviço"),"ERRO"))))</f>
        <v>11321.69</v>
      </c>
      <c r="W252" s="197"/>
      <c r="X252" s="205"/>
      <c r="Y252" s="173">
        <f ca="1">IF(VALUE(C252)=1,SUMIFS(Y:Y,D:D,D252,M:M,"Serviço"),IF(VALUE(C252)=2,SUMIFS(Y:Y,D:D,D252,E:E,E252,M:M,"Serviço"),IF(VALUE(C252)=3,SUMIFS(Y:Y,D:D,D252,E:E,E252,F:F,F252,M:M,"Serviço"),IF(VALUE(C252)=4,SUMIFS(Y:Y,D:D,D252,E:E,E252,F:F,F252,G:G,G252,M:M,"Serviço"),"ERRO"))))</f>
        <v>13868.35</v>
      </c>
      <c r="AB252" s="641"/>
    </row>
    <row r="253" spans="2:28" s="55" customFormat="1" ht="45">
      <c r="B253" s="378">
        <f t="shared" ca="1" si="875"/>
        <v>3</v>
      </c>
      <c r="C253" s="378" t="str">
        <f t="shared" si="832"/>
        <v>S</v>
      </c>
      <c r="D253" s="378">
        <f t="shared" ca="1" si="711"/>
        <v>14</v>
      </c>
      <c r="E253" s="378">
        <f t="shared" ca="1" si="876"/>
        <v>2</v>
      </c>
      <c r="F253" s="378" t="str">
        <f t="shared" ca="1" si="877"/>
        <v>0</v>
      </c>
      <c r="G253" s="378" t="str">
        <f t="shared" ca="1" si="878"/>
        <v>0</v>
      </c>
      <c r="H253" s="378" t="str">
        <f t="shared" ca="1" si="879"/>
        <v>0</v>
      </c>
      <c r="I253" s="378" t="str">
        <f t="shared" ca="1" si="880"/>
        <v>0</v>
      </c>
      <c r="J253" s="378">
        <f t="shared" ca="1" si="712"/>
        <v>1</v>
      </c>
      <c r="K253" s="378" t="str">
        <f t="shared" si="881"/>
        <v>NÃO</v>
      </c>
      <c r="L253" s="378" t="str">
        <f t="shared" ca="1" si="882"/>
        <v>14.2.1</v>
      </c>
      <c r="M253" s="55" t="s">
        <v>27868</v>
      </c>
      <c r="O253" s="392" t="str">
        <f t="shared" ca="1" si="883"/>
        <v>14.2.1</v>
      </c>
      <c r="P253" s="681" t="s">
        <v>27888</v>
      </c>
      <c r="Q253" s="682">
        <v>97902</v>
      </c>
      <c r="R253" s="415" t="str">
        <f>UPPER(IF(P253="CDHU",VLOOKUP(Q253,'CDHU 201-SD'!$A$1:$J$28014,2,FALSE),IF(P253="FDE",VLOOKUP(Q253,'FDE 01-26-SD'!$A$1:$J$280013,2,FALSE),IF(P253="PRÓPRIA",VLOOKUP(Q253,COMPOSIÇÃO!$1:$1048576,3,FALSE),VLOOKUP(Q253,'SINAPI 04-26-SD'!$A$1:$H$272700,2,FALSE)))))</f>
        <v>CAIXA ENTERRADA HIDRÁULICA RETANGULAR EM ALVENARIA COM TIJOLOS CERÂMICOS MACIÇOS, DIMENSÕES INTERNAS: 0,6X0,6X0,6 M PARA REDE DE ESGOTO. AF_12/2020</v>
      </c>
      <c r="S253" s="414" t="str">
        <f>UPPER(IF(P253="CDHU",VLOOKUP(Q253,'CDHU 201-SD'!$A$1:$J$28014,3,FALSE),IF(P253="FDE",VLOOKUP(Q253,'FDE 01-26-SD'!$A$1:$J$280013,3,FALSE),IF(P253="PRÓPRIA",VLOOKUP(Q253,COMPOSIÇÃO!$1:$1048576,7,FALSE),VLOOKUP(Q253,'SINAPI 04-26-SD'!$A$1:$H$272700,3,FALSE)))))</f>
        <v>UN</v>
      </c>
      <c r="T253" s="393">
        <v>5</v>
      </c>
      <c r="U253" s="394">
        <f>TRUNC(IF(P253="CDHU",VLOOKUP(Q253,'CDHU 201-SD'!$A$1:$J$28014,6,FALSE),IF(P253="FDE",VLOOKUP(Q253,'FDE 01-26-SD'!$A$1:$J$280013,6,FALSE),IF(P253="PRÓPRIA",VLOOKUP(Q253,COMPOSIÇÃO!$1:$1048576,10,FALSE),VLOOKUP(Q253,'SINAPI 04-26-SD'!$A$1:$H$272700,4,FALSE)))),2)</f>
        <v>653.89</v>
      </c>
      <c r="V253" s="416">
        <f t="shared" ref="V253:V258" si="884">TRUNC(U253*T253,2)</f>
        <v>3269.45</v>
      </c>
      <c r="W253" s="395">
        <f>IF($AA253="N",BDI!$D$26,IF($AA253="D",'BDI DIFE.'!$D$26,"ERRO"))</f>
        <v>0.22500000000000001</v>
      </c>
      <c r="X253" s="379">
        <f t="shared" ref="X253:X258" si="885">TRUNC(U253*(1+W253),2)</f>
        <v>801.01</v>
      </c>
      <c r="Y253" s="380">
        <f t="shared" ref="Y253:Y258" si="886">TRUNC(T253*X253,2)</f>
        <v>4005.05</v>
      </c>
      <c r="Z253" s="381"/>
      <c r="AA253" s="378" t="s">
        <v>28044</v>
      </c>
      <c r="AB253" s="642"/>
    </row>
    <row r="254" spans="2:28" s="55" customFormat="1" ht="30">
      <c r="B254" s="378">
        <f t="shared" ref="B254" ca="1" si="887">IF(C254="S",IF(OFFSET(C254,-1,0)="S", OFFSET(B254,-1,0), OFFSET(B254,-1,0) +1 ), C254)</f>
        <v>3</v>
      </c>
      <c r="C254" s="378" t="str">
        <f t="shared" si="832"/>
        <v>S</v>
      </c>
      <c r="D254" s="378">
        <f t="shared" ca="1" si="711"/>
        <v>14</v>
      </c>
      <c r="E254" s="378">
        <f t="shared" ref="E254" ca="1" si="888">IF($C254="2",OFFSET(E254,-1,0) +1,IF(OFFSET(D254,-1,0)&lt;&gt;D254,"0",IF(OFFSET(E254,-1,0)="","0",OFFSET(E254,-1,0))))</f>
        <v>2</v>
      </c>
      <c r="F254" s="378" t="str">
        <f t="shared" ref="F254" ca="1" si="889">IF($C254="3",OFFSET(F254,-1,0) +1,IF(OFFSET(E254,-1,0)&lt;&gt;E254,"0",IF(OFFSET(F254,-1,0)="","0",OFFSET(F254,-1,0))))</f>
        <v>0</v>
      </c>
      <c r="G254" s="378" t="str">
        <f t="shared" ref="G254" ca="1" si="890">IF($C254="4",OFFSET(G254,-1,0) +1,IF(OFFSET(F254,-1,0)&lt;&gt;F254,"0",IF(OFFSET(G254,-1,0)="","0",OFFSET(G254,-1,0))))</f>
        <v>0</v>
      </c>
      <c r="H254" s="378" t="str">
        <f t="shared" ref="H254" ca="1" si="891">IF($C254="5",OFFSET(H254,-1,0) +1,IF(OFFSET(G254,-1,0)&lt;&gt;G254,"0",IF(OFFSET(H254,-1,0)="","0",OFFSET(H254,-1,0))))</f>
        <v>0</v>
      </c>
      <c r="I254" s="378" t="str">
        <f t="shared" ref="I254" ca="1" si="892">IF($C254="6",OFFSET(I254,-1,0) +1,IF(OFFSET(H254,-1,0)&lt;&gt;H254,"0",IF(OFFSET(I254,-1,0)="","0", OFFSET(I254,-1,0))))</f>
        <v>0</v>
      </c>
      <c r="J254" s="378">
        <f t="shared" ca="1" si="712"/>
        <v>2</v>
      </c>
      <c r="K254" s="378" t="str">
        <f t="shared" ref="K254" si="893">IF(C254="S","NÃO", IF(C254="1", D254, IF(C254="2", D254 &amp; "." &amp; E254,IF(C254="3", D254 &amp; "." &amp; E254 &amp; "." &amp; F254, IF(C254="4", D254 &amp; "." &amp; E254 &amp; "." &amp; F254 &amp; "." &amp; G254, IF(C254="5", D254 &amp; "." &amp; E254 &amp; "." &amp; F254 &amp; "." &amp; G254 &amp; "." &amp; H254, IF(C254="6", D254 &amp; "." &amp; E254 &amp; "." &amp; F254 &amp; "." &amp; G254 &amp; "." &amp; H254 &amp; "." &amp; I254)))))))</f>
        <v>NÃO</v>
      </c>
      <c r="L254" s="378" t="str">
        <f t="shared" ref="L254" ca="1" si="894">IF(K254="NÃO",IF($B254=2,D254&amp;"."&amp;J254,IF($B254=3,D254&amp;"."&amp;E254&amp;"."&amp;J254,IF($B254=4,D254&amp;"."&amp;E254&amp;"."&amp;F254&amp;"."&amp;J254,IF($B254=5,D254&amp;"."&amp;E254&amp;"."&amp;F254&amp;"."&amp;G254&amp;"."&amp;J254,IF($B254=6,D254&amp;"."&amp;E254&amp;"."&amp;F254&amp;"."&amp;G254&amp;"."&amp;H254&amp;"."&amp;J254,IF($B254=7,D254&amp;"."&amp;E254&amp;"."&amp;F254&amp;"."&amp;G254&amp;"."&amp;H254&amp;"."&amp;I254&amp;"."&amp;J254,"FALHA")))))),K254)</f>
        <v>14.2.2</v>
      </c>
      <c r="M254" s="55" t="s">
        <v>27868</v>
      </c>
      <c r="O254" s="392" t="str">
        <f t="shared" ref="O254" ca="1" si="895">L254</f>
        <v>14.2.2</v>
      </c>
      <c r="P254" s="681" t="s">
        <v>29901</v>
      </c>
      <c r="Q254" s="682" t="s">
        <v>17361</v>
      </c>
      <c r="R254" s="415" t="str">
        <f>UPPER(IF(P254="CDHU",VLOOKUP(Q254,'CDHU 201-SD'!$A$1:$J$28014,2,FALSE),IF(P254="FDE",VLOOKUP(Q254,'FDE 01-26-SD'!$A$1:$J$280013,2,FALSE),IF(P254="PRÓPRIA",VLOOKUP(Q254,COMPOSIÇÃO!$1:$1048576,3,FALSE),VLOOKUP(Q254,'SINAPI 04-26-SD'!$A$1:$H$272700,2,FALSE)))))</f>
        <v>CAIXA SIFONADA DE PVC RÍGIDO DE 100 X 150 X 50 MM, COM GRELHA</v>
      </c>
      <c r="S254" s="414" t="str">
        <f>UPPER(IF(P254="CDHU",VLOOKUP(Q254,'CDHU 201-SD'!$A$1:$J$28014,3,FALSE),IF(P254="FDE",VLOOKUP(Q254,'FDE 01-26-SD'!$A$1:$J$280013,3,FALSE),IF(P254="PRÓPRIA",VLOOKUP(Q254,COMPOSIÇÃO!$1:$1048576,7,FALSE),VLOOKUP(Q254,'SINAPI 04-26-SD'!$A$1:$H$272700,3,FALSE)))))</f>
        <v>UN</v>
      </c>
      <c r="T254" s="393">
        <v>7</v>
      </c>
      <c r="U254" s="394">
        <f>TRUNC(IF(P254="CDHU",VLOOKUP(Q254,'CDHU 201-SD'!$A$1:$J$28014,6,FALSE),IF(P254="FDE",VLOOKUP(Q254,'FDE 01-26-SD'!$A$1:$J$280013,6,FALSE),IF(P254="PRÓPRIA",VLOOKUP(Q254,COMPOSIÇÃO!$1:$1048576,10,FALSE),VLOOKUP(Q254,'SINAPI 04-26-SD'!$A$1:$H$272700,4,FALSE)))),2)</f>
        <v>110.43</v>
      </c>
      <c r="V254" s="416">
        <f t="shared" ref="V254" si="896">TRUNC(U254*T254,2)</f>
        <v>773.01</v>
      </c>
      <c r="W254" s="395">
        <f>IF($AA254="N",BDI!$D$26,IF($AA254="D",'BDI DIFE.'!$D$26,"ERRO"))</f>
        <v>0.22500000000000001</v>
      </c>
      <c r="X254" s="379">
        <f t="shared" ref="X254" si="897">TRUNC(U254*(1+W254),2)</f>
        <v>135.27000000000001</v>
      </c>
      <c r="Y254" s="380">
        <f t="shared" ref="Y254" si="898">TRUNC(T254*X254,2)</f>
        <v>946.89</v>
      </c>
      <c r="Z254" s="381"/>
      <c r="AA254" s="378" t="s">
        <v>28044</v>
      </c>
      <c r="AB254" s="642"/>
    </row>
    <row r="255" spans="2:28" s="55" customFormat="1">
      <c r="B255" s="378">
        <f t="shared" ca="1" si="875"/>
        <v>3</v>
      </c>
      <c r="C255" s="378" t="str">
        <f t="shared" si="832"/>
        <v>S</v>
      </c>
      <c r="D255" s="378">
        <f t="shared" ca="1" si="711"/>
        <v>14</v>
      </c>
      <c r="E255" s="378">
        <f t="shared" ca="1" si="876"/>
        <v>2</v>
      </c>
      <c r="F255" s="378" t="str">
        <f t="shared" ca="1" si="877"/>
        <v>0</v>
      </c>
      <c r="G255" s="378" t="str">
        <f t="shared" ca="1" si="878"/>
        <v>0</v>
      </c>
      <c r="H255" s="378" t="str">
        <f t="shared" ca="1" si="879"/>
        <v>0</v>
      </c>
      <c r="I255" s="378" t="str">
        <f t="shared" ca="1" si="880"/>
        <v>0</v>
      </c>
      <c r="J255" s="378">
        <f t="shared" ca="1" si="712"/>
        <v>3</v>
      </c>
      <c r="K255" s="378" t="str">
        <f t="shared" si="881"/>
        <v>NÃO</v>
      </c>
      <c r="L255" s="378" t="str">
        <f t="shared" ca="1" si="882"/>
        <v>14.2.3</v>
      </c>
      <c r="M255" s="55" t="s">
        <v>27868</v>
      </c>
      <c r="O255" s="392" t="str">
        <f t="shared" ca="1" si="883"/>
        <v>14.2.3</v>
      </c>
      <c r="P255" s="681" t="s">
        <v>29901</v>
      </c>
      <c r="Q255" s="682" t="s">
        <v>17381</v>
      </c>
      <c r="R255" s="415" t="str">
        <f>UPPER(IF(P255="CDHU",VLOOKUP(Q255,'CDHU 201-SD'!$A$1:$J$28014,2,FALSE),IF(P255="FDE",VLOOKUP(Q255,'FDE 01-26-SD'!$A$1:$J$280013,2,FALSE),IF(P255="PRÓPRIA",VLOOKUP(Q255,COMPOSIÇÃO!$1:$1048576,3,FALSE),VLOOKUP(Q255,'SINAPI 04-26-SD'!$A$1:$H$272700,2,FALSE)))))</f>
        <v>RALO SECO EM PVC RÍGIDO DE 100 X 40 MM, COM GRELHA</v>
      </c>
      <c r="S255" s="414" t="str">
        <f>UPPER(IF(P255="CDHU",VLOOKUP(Q255,'CDHU 201-SD'!$A$1:$J$28014,3,FALSE),IF(P255="FDE",VLOOKUP(Q255,'FDE 01-26-SD'!$A$1:$J$280013,3,FALSE),IF(P255="PRÓPRIA",VLOOKUP(Q255,COMPOSIÇÃO!$1:$1048576,7,FALSE),VLOOKUP(Q255,'SINAPI 04-26-SD'!$A$1:$H$272700,3,FALSE)))))</f>
        <v>UN</v>
      </c>
      <c r="T255" s="393">
        <v>1</v>
      </c>
      <c r="U255" s="394">
        <f>TRUNC(IF(P255="CDHU",VLOOKUP(Q255,'CDHU 201-SD'!$A$1:$J$28014,6,FALSE),IF(P255="FDE",VLOOKUP(Q255,'FDE 01-26-SD'!$A$1:$J$280013,6,FALSE),IF(P255="PRÓPRIA",VLOOKUP(Q255,COMPOSIÇÃO!$1:$1048576,10,FALSE),VLOOKUP(Q255,'SINAPI 04-26-SD'!$A$1:$H$272700,4,FALSE)))),2)</f>
        <v>90.79</v>
      </c>
      <c r="V255" s="416">
        <f t="shared" si="884"/>
        <v>90.79</v>
      </c>
      <c r="W255" s="395">
        <f>IF($AA255="N",BDI!$D$26,IF($AA255="D",'BDI DIFE.'!$D$26,"ERRO"))</f>
        <v>0.22500000000000001</v>
      </c>
      <c r="X255" s="379">
        <f t="shared" si="885"/>
        <v>111.21</v>
      </c>
      <c r="Y255" s="380">
        <f t="shared" si="886"/>
        <v>111.21</v>
      </c>
      <c r="Z255" s="381"/>
      <c r="AA255" s="378" t="s">
        <v>28044</v>
      </c>
      <c r="AB255" s="642"/>
    </row>
    <row r="256" spans="2:28" s="55" customFormat="1" ht="30">
      <c r="B256" s="378">
        <f t="shared" ca="1" si="875"/>
        <v>3</v>
      </c>
      <c r="C256" s="378" t="str">
        <f t="shared" si="832"/>
        <v>S</v>
      </c>
      <c r="D256" s="378">
        <f t="shared" ca="1" si="711"/>
        <v>14</v>
      </c>
      <c r="E256" s="378">
        <f t="shared" ca="1" si="876"/>
        <v>2</v>
      </c>
      <c r="F256" s="378" t="str">
        <f t="shared" ca="1" si="877"/>
        <v>0</v>
      </c>
      <c r="G256" s="378" t="str">
        <f t="shared" ca="1" si="878"/>
        <v>0</v>
      </c>
      <c r="H256" s="378" t="str">
        <f t="shared" ca="1" si="879"/>
        <v>0</v>
      </c>
      <c r="I256" s="378" t="str">
        <f t="shared" ca="1" si="880"/>
        <v>0</v>
      </c>
      <c r="J256" s="378">
        <f t="shared" ca="1" si="712"/>
        <v>4</v>
      </c>
      <c r="K256" s="378" t="str">
        <f t="shared" si="881"/>
        <v>NÃO</v>
      </c>
      <c r="L256" s="378" t="str">
        <f t="shared" ca="1" si="882"/>
        <v>14.2.4</v>
      </c>
      <c r="M256" s="55" t="s">
        <v>27868</v>
      </c>
      <c r="O256" s="392" t="str">
        <f t="shared" ca="1" si="883"/>
        <v>14.2.4</v>
      </c>
      <c r="P256" s="681" t="s">
        <v>29901</v>
      </c>
      <c r="Q256" s="682" t="s">
        <v>16325</v>
      </c>
      <c r="R256" s="415" t="str">
        <f>UPPER(IF(P256="CDHU",VLOOKUP(Q256,'CDHU 201-SD'!$A$1:$J$28014,2,FALSE),IF(P256="FDE",VLOOKUP(Q256,'FDE 01-26-SD'!$A$1:$J$280013,2,FALSE),IF(P256="PRÓPRIA",VLOOKUP(Q256,COMPOSIÇÃO!$1:$1048576,3,FALSE),VLOOKUP(Q256,'SINAPI 04-26-SD'!$A$1:$H$272700,2,FALSE)))))</f>
        <v>TUBO DE PVC RÍGIDO BRANCO, PONTAS LISAS, SOLDÁVEL, LINHA ESGOTO SÉRIE NORMAL, DN= 40 MM, INCLUSIVE CONEXÕES</v>
      </c>
      <c r="S256" s="414" t="str">
        <f>UPPER(IF(P256="CDHU",VLOOKUP(Q256,'CDHU 201-SD'!$A$1:$J$28014,3,FALSE),IF(P256="FDE",VLOOKUP(Q256,'FDE 01-26-SD'!$A$1:$J$280013,3,FALSE),IF(P256="PRÓPRIA",VLOOKUP(Q256,COMPOSIÇÃO!$1:$1048576,7,FALSE),VLOOKUP(Q256,'SINAPI 04-26-SD'!$A$1:$H$272700,3,FALSE)))))</f>
        <v>M</v>
      </c>
      <c r="T256" s="393">
        <v>15.1</v>
      </c>
      <c r="U256" s="394">
        <f>TRUNC(IF(P256="CDHU",VLOOKUP(Q256,'CDHU 201-SD'!$A$1:$J$28014,6,FALSE),IF(P256="FDE",VLOOKUP(Q256,'FDE 01-26-SD'!$A$1:$J$280013,6,FALSE),IF(P256="PRÓPRIA",VLOOKUP(Q256,COMPOSIÇÃO!$1:$1048576,10,FALSE),VLOOKUP(Q256,'SINAPI 04-26-SD'!$A$1:$H$272700,4,FALSE)))),2)</f>
        <v>40.31</v>
      </c>
      <c r="V256" s="416">
        <f t="shared" si="884"/>
        <v>608.67999999999995</v>
      </c>
      <c r="W256" s="395">
        <f>IF($AA256="N",BDI!$D$26,IF($AA256="D",'BDI DIFE.'!$D$26,"ERRO"))</f>
        <v>0.22500000000000001</v>
      </c>
      <c r="X256" s="379">
        <f t="shared" si="885"/>
        <v>49.37</v>
      </c>
      <c r="Y256" s="380">
        <f t="shared" si="886"/>
        <v>745.48</v>
      </c>
      <c r="Z256" s="381"/>
      <c r="AA256" s="378" t="s">
        <v>28044</v>
      </c>
      <c r="AB256" s="642"/>
    </row>
    <row r="257" spans="2:28" s="55" customFormat="1" ht="45">
      <c r="B257" s="378">
        <f t="shared" ca="1" si="875"/>
        <v>3</v>
      </c>
      <c r="C257" s="378" t="str">
        <f t="shared" si="832"/>
        <v>S</v>
      </c>
      <c r="D257" s="378">
        <f t="shared" ca="1" si="711"/>
        <v>14</v>
      </c>
      <c r="E257" s="378">
        <f t="shared" ca="1" si="876"/>
        <v>2</v>
      </c>
      <c r="F257" s="378" t="str">
        <f t="shared" ca="1" si="877"/>
        <v>0</v>
      </c>
      <c r="G257" s="378" t="str">
        <f t="shared" ca="1" si="878"/>
        <v>0</v>
      </c>
      <c r="H257" s="378" t="str">
        <f t="shared" ca="1" si="879"/>
        <v>0</v>
      </c>
      <c r="I257" s="378" t="str">
        <f t="shared" ca="1" si="880"/>
        <v>0</v>
      </c>
      <c r="J257" s="378">
        <f t="shared" ca="1" si="712"/>
        <v>5</v>
      </c>
      <c r="K257" s="378" t="str">
        <f t="shared" si="881"/>
        <v>NÃO</v>
      </c>
      <c r="L257" s="378" t="str">
        <f t="shared" ca="1" si="882"/>
        <v>14.2.5</v>
      </c>
      <c r="M257" s="55" t="s">
        <v>27868</v>
      </c>
      <c r="O257" s="392" t="str">
        <f t="shared" ca="1" si="883"/>
        <v>14.2.5</v>
      </c>
      <c r="P257" s="681" t="s">
        <v>29901</v>
      </c>
      <c r="Q257" s="682" t="s">
        <v>16327</v>
      </c>
      <c r="R257" s="415" t="str">
        <f>UPPER(IF(P257="CDHU",VLOOKUP(Q257,'CDHU 201-SD'!$A$1:$J$28014,2,FALSE),IF(P257="FDE",VLOOKUP(Q257,'FDE 01-26-SD'!$A$1:$J$280013,2,FALSE),IF(P257="PRÓPRIA",VLOOKUP(Q257,COMPOSIÇÃO!$1:$1048576,3,FALSE),VLOOKUP(Q257,'SINAPI 04-26-SD'!$A$1:$H$272700,2,FALSE)))))</f>
        <v>TUBO DE PVC RÍGIDO BRANCO PXB COM VIROLA E ANEL DE BORRACHA, LINHA ESGOTO SÉRIE NORMAL, DN= 50 MM, INCLUSIVE CONEXÕES</v>
      </c>
      <c r="S257" s="414" t="str">
        <f>UPPER(IF(P257="CDHU",VLOOKUP(Q257,'CDHU 201-SD'!$A$1:$J$28014,3,FALSE),IF(P257="FDE",VLOOKUP(Q257,'FDE 01-26-SD'!$A$1:$J$280013,3,FALSE),IF(P257="PRÓPRIA",VLOOKUP(Q257,COMPOSIÇÃO!$1:$1048576,7,FALSE),VLOOKUP(Q257,'SINAPI 04-26-SD'!$A$1:$H$272700,3,FALSE)))))</f>
        <v>M</v>
      </c>
      <c r="T257" s="393">
        <v>5.6</v>
      </c>
      <c r="U257" s="394">
        <f>TRUNC(IF(P257="CDHU",VLOOKUP(Q257,'CDHU 201-SD'!$A$1:$J$28014,6,FALSE),IF(P257="FDE",VLOOKUP(Q257,'FDE 01-26-SD'!$A$1:$J$280013,6,FALSE),IF(P257="PRÓPRIA",VLOOKUP(Q257,COMPOSIÇÃO!$1:$1048576,10,FALSE),VLOOKUP(Q257,'SINAPI 04-26-SD'!$A$1:$H$272700,4,FALSE)))),2)</f>
        <v>49.71</v>
      </c>
      <c r="V257" s="416">
        <f t="shared" si="884"/>
        <v>278.37</v>
      </c>
      <c r="W257" s="395">
        <f>IF($AA257="N",BDI!$D$26,IF($AA257="D",'BDI DIFE.'!$D$26,"ERRO"))</f>
        <v>0.22500000000000001</v>
      </c>
      <c r="X257" s="379">
        <f t="shared" si="885"/>
        <v>60.89</v>
      </c>
      <c r="Y257" s="380">
        <f t="shared" si="886"/>
        <v>340.98</v>
      </c>
      <c r="Z257" s="381"/>
      <c r="AA257" s="378" t="s">
        <v>28044</v>
      </c>
      <c r="AB257" s="642"/>
    </row>
    <row r="258" spans="2:28" s="55" customFormat="1" ht="46" thickBot="1">
      <c r="B258" s="378">
        <f t="shared" ca="1" si="875"/>
        <v>3</v>
      </c>
      <c r="C258" s="378" t="str">
        <f t="shared" si="832"/>
        <v>S</v>
      </c>
      <c r="D258" s="378">
        <f t="shared" ca="1" si="711"/>
        <v>14</v>
      </c>
      <c r="E258" s="378">
        <f t="shared" ca="1" si="876"/>
        <v>2</v>
      </c>
      <c r="F258" s="378" t="str">
        <f t="shared" ca="1" si="877"/>
        <v>0</v>
      </c>
      <c r="G258" s="378" t="str">
        <f t="shared" ca="1" si="878"/>
        <v>0</v>
      </c>
      <c r="H258" s="378" t="str">
        <f t="shared" ca="1" si="879"/>
        <v>0</v>
      </c>
      <c r="I258" s="378" t="str">
        <f t="shared" ca="1" si="880"/>
        <v>0</v>
      </c>
      <c r="J258" s="378">
        <f t="shared" ca="1" si="712"/>
        <v>6</v>
      </c>
      <c r="K258" s="378" t="str">
        <f t="shared" si="881"/>
        <v>NÃO</v>
      </c>
      <c r="L258" s="378" t="str">
        <f t="shared" ca="1" si="882"/>
        <v>14.2.6</v>
      </c>
      <c r="M258" s="55" t="s">
        <v>27868</v>
      </c>
      <c r="O258" s="392" t="str">
        <f t="shared" ca="1" si="883"/>
        <v>14.2.6</v>
      </c>
      <c r="P258" s="681" t="s">
        <v>29901</v>
      </c>
      <c r="Q258" s="682" t="s">
        <v>16331</v>
      </c>
      <c r="R258" s="415" t="str">
        <f>UPPER(IF(P258="CDHU",VLOOKUP(Q258,'CDHU 201-SD'!$A$1:$J$28014,2,FALSE),IF(P258="FDE",VLOOKUP(Q258,'FDE 01-26-SD'!$A$1:$J$280013,2,FALSE),IF(P258="PRÓPRIA",VLOOKUP(Q258,COMPOSIÇÃO!$1:$1048576,3,FALSE),VLOOKUP(Q258,'SINAPI 04-26-SD'!$A$1:$H$272700,2,FALSE)))))</f>
        <v>TUBO DE PVC RÍGIDO BRANCO PXB COM VIROLA E ANEL DE BORRACHA, LINHA ESGOTO SÉRIE NORMAL, DN= 100 MM, INCLUSIVE CONEXÕES</v>
      </c>
      <c r="S258" s="414" t="str">
        <f>UPPER(IF(P258="CDHU",VLOOKUP(Q258,'CDHU 201-SD'!$A$1:$J$28014,3,FALSE),IF(P258="FDE",VLOOKUP(Q258,'FDE 01-26-SD'!$A$1:$J$280013,3,FALSE),IF(P258="PRÓPRIA",VLOOKUP(Q258,COMPOSIÇÃO!$1:$1048576,7,FALSE),VLOOKUP(Q258,'SINAPI 04-26-SD'!$A$1:$H$272700,3,FALSE)))))</f>
        <v>M</v>
      </c>
      <c r="T258" s="393">
        <v>73.400000000000006</v>
      </c>
      <c r="U258" s="394">
        <f>TRUNC(IF(P258="CDHU",VLOOKUP(Q258,'CDHU 201-SD'!$A$1:$J$28014,6,FALSE),IF(P258="FDE",VLOOKUP(Q258,'FDE 01-26-SD'!$A$1:$J$280013,6,FALSE),IF(P258="PRÓPRIA",VLOOKUP(Q258,COMPOSIÇÃO!$1:$1048576,10,FALSE),VLOOKUP(Q258,'SINAPI 04-26-SD'!$A$1:$H$272700,4,FALSE)))),2)</f>
        <v>85.85</v>
      </c>
      <c r="V258" s="416">
        <f t="shared" si="884"/>
        <v>6301.39</v>
      </c>
      <c r="W258" s="395">
        <f>IF($AA258="N",BDI!$D$26,IF($AA258="D",'BDI DIFE.'!$D$26,"ERRO"))</f>
        <v>0.22500000000000001</v>
      </c>
      <c r="X258" s="379">
        <f t="shared" si="885"/>
        <v>105.16</v>
      </c>
      <c r="Y258" s="380">
        <f t="shared" si="886"/>
        <v>7718.74</v>
      </c>
      <c r="Z258" s="381"/>
      <c r="AA258" s="378" t="s">
        <v>28044</v>
      </c>
      <c r="AB258" s="642"/>
    </row>
    <row r="259" spans="2:28" s="55" customFormat="1" ht="16" thickBot="1">
      <c r="B259" s="378" t="str">
        <f t="shared" ref="B259:B263" ca="1" si="899">IF(C259="S",IF(OFFSET(C259,-1,0)="S", OFFSET(B259,-1,0), OFFSET(B259,-1,0) +1 ), C259)</f>
        <v/>
      </c>
      <c r="C259" s="378" t="str">
        <f t="shared" si="832"/>
        <v/>
      </c>
      <c r="D259" s="378">
        <f t="shared" ca="1" si="711"/>
        <v>14</v>
      </c>
      <c r="E259" s="378">
        <f t="shared" ref="E259:E263" ca="1" si="900">IF($C259="2",OFFSET(E259,-1,0) +1,IF(OFFSET(D259,-1,0)&lt;&gt;D259,"0",IF(OFFSET(E259,-1,0)="","0",OFFSET(E259,-1,0))))</f>
        <v>2</v>
      </c>
      <c r="F259" s="378" t="str">
        <f t="shared" ref="F259:F263" ca="1" si="901">IF($C259="3",OFFSET(F259,-1,0) +1,IF(OFFSET(E259,-1,0)&lt;&gt;E259,"0",IF(OFFSET(F259,-1,0)="","0",OFFSET(F259,-1,0))))</f>
        <v>0</v>
      </c>
      <c r="G259" s="378" t="str">
        <f t="shared" ref="G259:G263" ca="1" si="902">IF($C259="4",OFFSET(G259,-1,0) +1,IF(OFFSET(F259,-1,0)&lt;&gt;F259,"0",IF(OFFSET(G259,-1,0)="","0",OFFSET(G259,-1,0))))</f>
        <v>0</v>
      </c>
      <c r="H259" s="378" t="str">
        <f t="shared" ref="H259:H263" ca="1" si="903">IF($C259="5",OFFSET(H259,-1,0) +1,IF(OFFSET(G259,-1,0)&lt;&gt;G259,"0",IF(OFFSET(H259,-1,0)="","0",OFFSET(H259,-1,0))))</f>
        <v>0</v>
      </c>
      <c r="I259" s="378" t="str">
        <f t="shared" ref="I259:I263" ca="1" si="904">IF($C259="6",OFFSET(I259,-1,0) +1,IF(OFFSET(H259,-1,0)&lt;&gt;H259,"0",IF(OFFSET(I259,-1,0)="","0", OFFSET(I259,-1,0))))</f>
        <v>0</v>
      </c>
      <c r="J259" s="378" t="str">
        <f t="shared" ca="1" si="712"/>
        <v>0</v>
      </c>
      <c r="K259" s="378" t="b">
        <f t="shared" ref="K259:K263" si="905">IF(C259="S","NÃO", IF(C259="1", D259, IF(C259="2", D259 &amp; "." &amp; E259,IF(C259="3", D259 &amp; "." &amp; E259 &amp; "." &amp; F259, IF(C259="4", D259 &amp; "." &amp; E259 &amp; "." &amp; F259 &amp; "." &amp; G259, IF(C259="5", D259 &amp; "." &amp; E259 &amp; "." &amp; F259 &amp; "." &amp; G259 &amp; "." &amp; H259, IF(C259="6", D259 &amp; "." &amp; E259 &amp; "." &amp; F259 &amp; "." &amp; G259 &amp; "." &amp; H259 &amp; "." &amp; I259)))))))</f>
        <v>0</v>
      </c>
      <c r="L259" s="378" t="b">
        <f t="shared" ref="L259:L263" si="906">IF(K259="NÃO",IF($B259=2,D259&amp;"."&amp;J259,IF($B259=3,D259&amp;"."&amp;E259&amp;"."&amp;J259,IF($B259=4,D259&amp;"."&amp;E259&amp;"."&amp;F259&amp;"."&amp;J259,IF($B259=5,D259&amp;"."&amp;E259&amp;"."&amp;F259&amp;"."&amp;G259&amp;"."&amp;J259,IF($B259=6,D259&amp;"."&amp;E259&amp;"."&amp;F259&amp;"."&amp;G259&amp;"."&amp;H259&amp;"."&amp;J259,IF($B259=7,D259&amp;"."&amp;E259&amp;"."&amp;F259&amp;"."&amp;G259&amp;"."&amp;H259&amp;"."&amp;I259&amp;"."&amp;J259,"FALHA")))))),K259)</f>
        <v>0</v>
      </c>
      <c r="O259" s="192"/>
      <c r="P259" s="387"/>
      <c r="Q259" s="387"/>
      <c r="R259" s="377"/>
      <c r="S259" s="387"/>
      <c r="T259" s="363"/>
      <c r="U259" s="388"/>
      <c r="V259" s="389"/>
      <c r="W259" s="389"/>
      <c r="X259" s="389"/>
      <c r="Y259" s="390"/>
      <c r="AB259" s="642"/>
    </row>
    <row r="260" spans="2:28" s="75" customFormat="1" ht="16" thickBot="1">
      <c r="B260" s="75" t="str">
        <f t="shared" ca="1" si="899"/>
        <v>2</v>
      </c>
      <c r="C260" s="75" t="str">
        <f t="shared" si="832"/>
        <v>2</v>
      </c>
      <c r="D260" s="75">
        <f t="shared" ca="1" si="711"/>
        <v>14</v>
      </c>
      <c r="E260" s="75">
        <f t="shared" ca="1" si="900"/>
        <v>3</v>
      </c>
      <c r="F260" s="75" t="str">
        <f t="shared" ca="1" si="901"/>
        <v>0</v>
      </c>
      <c r="G260" s="75" t="str">
        <f t="shared" ca="1" si="902"/>
        <v>0</v>
      </c>
      <c r="H260" s="75" t="str">
        <f t="shared" ca="1" si="903"/>
        <v>0</v>
      </c>
      <c r="I260" s="75" t="str">
        <f t="shared" ca="1" si="904"/>
        <v>0</v>
      </c>
      <c r="J260" s="75" t="str">
        <f t="shared" ca="1" si="712"/>
        <v>0</v>
      </c>
      <c r="K260" s="75" t="str">
        <f t="shared" ca="1" si="905"/>
        <v>14.3</v>
      </c>
      <c r="L260" s="75" t="str">
        <f t="shared" ca="1" si="906"/>
        <v>14.3</v>
      </c>
      <c r="M260" s="55" t="s">
        <v>27861</v>
      </c>
      <c r="O260" s="191" t="str">
        <f t="shared" ref="O260:O263" ca="1" si="907">L260</f>
        <v>14.3</v>
      </c>
      <c r="P260" s="172"/>
      <c r="Q260" s="172"/>
      <c r="R260" s="683" t="s">
        <v>44392</v>
      </c>
      <c r="S260" s="172"/>
      <c r="T260" s="194"/>
      <c r="U260" s="195"/>
      <c r="V260" s="196">
        <f ca="1">IF(VALUE(C260)=1,SUMIFS(V:V,D:D,D260,M:M,"Serviço"),IF(VALUE(C260)=2,SUMIFS(V:V,D:D,D260,E:E,E260,M:M,"Serviço"),IF(VALUE(C260)=3,SUMIFS(V:V,D:D,D260,E:E,E260,F:F,F260,M:M,"Serviço"),IF(VALUE(C260)=4,SUMIFS(V:V,D:D,D260,E:E,E260,F:F,F260,G:G,G260,M:M,"Serviço"),"ERRO"))))</f>
        <v>1268.8599999999999</v>
      </c>
      <c r="W260" s="197"/>
      <c r="X260" s="205"/>
      <c r="Y260" s="173">
        <f ca="1">IF(VALUE(C260)=1,SUMIFS(Y:Y,D:D,D260,M:M,"Serviço"),IF(VALUE(C260)=2,SUMIFS(Y:Y,D:D,D260,E:E,E260,M:M,"Serviço"),IF(VALUE(C260)=3,SUMIFS(Y:Y,D:D,D260,E:E,E260,F:F,F260,M:M,"Serviço"),IF(VALUE(C260)=4,SUMIFS(Y:Y,D:D,D260,E:E,E260,F:F,F260,G:G,G260,M:M,"Serviço"),"ERRO"))))</f>
        <v>1554.24</v>
      </c>
      <c r="AB260" s="641"/>
    </row>
    <row r="261" spans="2:28" s="55" customFormat="1">
      <c r="B261" s="378">
        <f t="shared" ca="1" si="899"/>
        <v>3</v>
      </c>
      <c r="C261" s="378" t="str">
        <f t="shared" si="832"/>
        <v>S</v>
      </c>
      <c r="D261" s="378">
        <f t="shared" ca="1" si="711"/>
        <v>14</v>
      </c>
      <c r="E261" s="378">
        <f t="shared" ca="1" si="900"/>
        <v>3</v>
      </c>
      <c r="F261" s="378" t="str">
        <f t="shared" ca="1" si="901"/>
        <v>0</v>
      </c>
      <c r="G261" s="378" t="str">
        <f t="shared" ca="1" si="902"/>
        <v>0</v>
      </c>
      <c r="H261" s="378" t="str">
        <f t="shared" ca="1" si="903"/>
        <v>0</v>
      </c>
      <c r="I261" s="378" t="str">
        <f t="shared" ca="1" si="904"/>
        <v>0</v>
      </c>
      <c r="J261" s="378">
        <f t="shared" ca="1" si="712"/>
        <v>1</v>
      </c>
      <c r="K261" s="378" t="str">
        <f t="shared" si="905"/>
        <v>NÃO</v>
      </c>
      <c r="L261" s="378" t="str">
        <f t="shared" ca="1" si="906"/>
        <v>14.3.1</v>
      </c>
      <c r="M261" s="55" t="s">
        <v>27868</v>
      </c>
      <c r="O261" s="392" t="str">
        <f t="shared" ca="1" si="907"/>
        <v>14.3.1</v>
      </c>
      <c r="P261" s="681" t="s">
        <v>29901</v>
      </c>
      <c r="Q261" s="682" t="s">
        <v>17373</v>
      </c>
      <c r="R261" s="415" t="str">
        <f>UPPER(IF(P261="CDHU",VLOOKUP(Q261,'CDHU 201-SD'!$A$1:$J$28014,2,FALSE),IF(P261="FDE",VLOOKUP(Q261,'FDE 01-26-SD'!$A$1:$J$280013,2,FALSE),IF(P261="PRÓPRIA",VLOOKUP(Q261,COMPOSIÇÃO!$1:$1048576,3,FALSE),VLOOKUP(Q261,'SINAPI 04-26-SD'!$A$1:$H$272700,2,FALSE)))))</f>
        <v>CAIXA DE GORDURA EM ALVENARIA, 600 X 600 X 600 MM</v>
      </c>
      <c r="S261" s="414" t="str">
        <f>UPPER(IF(P261="CDHU",VLOOKUP(Q261,'CDHU 201-SD'!$A$1:$J$28014,3,FALSE),IF(P261="FDE",VLOOKUP(Q261,'FDE 01-26-SD'!$A$1:$J$280013,3,FALSE),IF(P261="PRÓPRIA",VLOOKUP(Q261,COMPOSIÇÃO!$1:$1048576,7,FALSE),VLOOKUP(Q261,'SINAPI 04-26-SD'!$A$1:$H$272700,3,FALSE)))))</f>
        <v>UN</v>
      </c>
      <c r="T261" s="393">
        <v>1</v>
      </c>
      <c r="U261" s="394">
        <f>TRUNC(IF(P261="CDHU",VLOOKUP(Q261,'CDHU 201-SD'!$A$1:$J$28014,6,FALSE),IF(P261="FDE",VLOOKUP(Q261,'FDE 01-26-SD'!$A$1:$J$280013,6,FALSE),IF(P261="PRÓPRIA",VLOOKUP(Q261,COMPOSIÇÃO!$1:$1048576,10,FALSE),VLOOKUP(Q261,'SINAPI 04-26-SD'!$A$1:$H$272700,4,FALSE)))),2)</f>
        <v>377.24</v>
      </c>
      <c r="V261" s="416">
        <f t="shared" ref="V261:V263" si="908">TRUNC(U261*T261,2)</f>
        <v>377.24</v>
      </c>
      <c r="W261" s="395">
        <f>IF($AA261="N",BDI!$D$26,IF($AA261="D",'BDI DIFE.'!$D$26,"ERRO"))</f>
        <v>0.22500000000000001</v>
      </c>
      <c r="X261" s="379">
        <f t="shared" ref="X261:X263" si="909">TRUNC(U261*(1+W261),2)</f>
        <v>462.11</v>
      </c>
      <c r="Y261" s="380">
        <f t="shared" ref="Y261:Y263" si="910">TRUNC(T261*X261,2)</f>
        <v>462.11</v>
      </c>
      <c r="Z261" s="381"/>
      <c r="AA261" s="378" t="s">
        <v>28044</v>
      </c>
      <c r="AB261" s="642"/>
    </row>
    <row r="262" spans="2:28" s="55" customFormat="1" ht="45">
      <c r="B262" s="378">
        <f t="shared" ca="1" si="899"/>
        <v>3</v>
      </c>
      <c r="C262" s="378" t="str">
        <f t="shared" si="832"/>
        <v>S</v>
      </c>
      <c r="D262" s="378">
        <f t="shared" ca="1" si="711"/>
        <v>14</v>
      </c>
      <c r="E262" s="378">
        <f t="shared" ca="1" si="900"/>
        <v>3</v>
      </c>
      <c r="F262" s="378" t="str">
        <f t="shared" ca="1" si="901"/>
        <v>0</v>
      </c>
      <c r="G262" s="378" t="str">
        <f t="shared" ca="1" si="902"/>
        <v>0</v>
      </c>
      <c r="H262" s="378" t="str">
        <f t="shared" ca="1" si="903"/>
        <v>0</v>
      </c>
      <c r="I262" s="378" t="str">
        <f t="shared" ca="1" si="904"/>
        <v>0</v>
      </c>
      <c r="J262" s="378">
        <f t="shared" ca="1" si="712"/>
        <v>2</v>
      </c>
      <c r="K262" s="378" t="str">
        <f t="shared" si="905"/>
        <v>NÃO</v>
      </c>
      <c r="L262" s="378" t="str">
        <f t="shared" ca="1" si="906"/>
        <v>14.3.2</v>
      </c>
      <c r="M262" s="55" t="s">
        <v>27868</v>
      </c>
      <c r="O262" s="392" t="str">
        <f t="shared" ca="1" si="907"/>
        <v>14.3.2</v>
      </c>
      <c r="P262" s="681" t="s">
        <v>29901</v>
      </c>
      <c r="Q262" s="682" t="s">
        <v>16327</v>
      </c>
      <c r="R262" s="415" t="str">
        <f>UPPER(IF(P262="CDHU",VLOOKUP(Q262,'CDHU 201-SD'!$A$1:$J$28014,2,FALSE),IF(P262="FDE",VLOOKUP(Q262,'FDE 01-26-SD'!$A$1:$J$280013,2,FALSE),IF(P262="PRÓPRIA",VLOOKUP(Q262,COMPOSIÇÃO!$1:$1048576,3,FALSE),VLOOKUP(Q262,'SINAPI 04-26-SD'!$A$1:$H$272700,2,FALSE)))))</f>
        <v>TUBO DE PVC RÍGIDO BRANCO PXB COM VIROLA E ANEL DE BORRACHA, LINHA ESGOTO SÉRIE NORMAL, DN= 50 MM, INCLUSIVE CONEXÕES</v>
      </c>
      <c r="S262" s="414" t="str">
        <f>UPPER(IF(P262="CDHU",VLOOKUP(Q262,'CDHU 201-SD'!$A$1:$J$28014,3,FALSE),IF(P262="FDE",VLOOKUP(Q262,'FDE 01-26-SD'!$A$1:$J$280013,3,FALSE),IF(P262="PRÓPRIA",VLOOKUP(Q262,COMPOSIÇÃO!$1:$1048576,7,FALSE),VLOOKUP(Q262,'SINAPI 04-26-SD'!$A$1:$H$272700,3,FALSE)))))</f>
        <v>M</v>
      </c>
      <c r="T262" s="393">
        <v>8.3000000000000007</v>
      </c>
      <c r="U262" s="394">
        <f>TRUNC(IF(P262="CDHU",VLOOKUP(Q262,'CDHU 201-SD'!$A$1:$J$28014,6,FALSE),IF(P262="FDE",VLOOKUP(Q262,'FDE 01-26-SD'!$A$1:$J$280013,6,FALSE),IF(P262="PRÓPRIA",VLOOKUP(Q262,COMPOSIÇÃO!$1:$1048576,10,FALSE),VLOOKUP(Q262,'SINAPI 04-26-SD'!$A$1:$H$272700,4,FALSE)))),2)</f>
        <v>49.71</v>
      </c>
      <c r="V262" s="416">
        <f t="shared" si="908"/>
        <v>412.59</v>
      </c>
      <c r="W262" s="395">
        <f>IF($AA262="N",BDI!$D$26,IF($AA262="D",'BDI DIFE.'!$D$26,"ERRO"))</f>
        <v>0.22500000000000001</v>
      </c>
      <c r="X262" s="379">
        <f t="shared" si="909"/>
        <v>60.89</v>
      </c>
      <c r="Y262" s="380">
        <f t="shared" si="910"/>
        <v>505.38</v>
      </c>
      <c r="Z262" s="381"/>
      <c r="AA262" s="378" t="s">
        <v>28044</v>
      </c>
      <c r="AB262" s="642"/>
    </row>
    <row r="263" spans="2:28" s="55" customFormat="1" ht="46" thickBot="1">
      <c r="B263" s="378">
        <f t="shared" ca="1" si="899"/>
        <v>3</v>
      </c>
      <c r="C263" s="378" t="str">
        <f t="shared" si="832"/>
        <v>S</v>
      </c>
      <c r="D263" s="378">
        <f t="shared" ca="1" si="711"/>
        <v>14</v>
      </c>
      <c r="E263" s="378">
        <f t="shared" ca="1" si="900"/>
        <v>3</v>
      </c>
      <c r="F263" s="378" t="str">
        <f t="shared" ca="1" si="901"/>
        <v>0</v>
      </c>
      <c r="G263" s="378" t="str">
        <f t="shared" ca="1" si="902"/>
        <v>0</v>
      </c>
      <c r="H263" s="378" t="str">
        <f t="shared" ca="1" si="903"/>
        <v>0</v>
      </c>
      <c r="I263" s="378" t="str">
        <f t="shared" ca="1" si="904"/>
        <v>0</v>
      </c>
      <c r="J263" s="378">
        <f t="shared" ca="1" si="712"/>
        <v>3</v>
      </c>
      <c r="K263" s="378" t="str">
        <f t="shared" si="905"/>
        <v>NÃO</v>
      </c>
      <c r="L263" s="378" t="str">
        <f t="shared" ca="1" si="906"/>
        <v>14.3.3</v>
      </c>
      <c r="M263" s="55" t="s">
        <v>27868</v>
      </c>
      <c r="O263" s="392" t="str">
        <f t="shared" ca="1" si="907"/>
        <v>14.3.3</v>
      </c>
      <c r="P263" s="681" t="s">
        <v>29901</v>
      </c>
      <c r="Q263" s="682" t="s">
        <v>16329</v>
      </c>
      <c r="R263" s="415" t="str">
        <f>UPPER(IF(P263="CDHU",VLOOKUP(Q263,'CDHU 201-SD'!$A$1:$J$28014,2,FALSE),IF(P263="FDE",VLOOKUP(Q263,'FDE 01-26-SD'!$A$1:$J$280013,2,FALSE),IF(P263="PRÓPRIA",VLOOKUP(Q263,COMPOSIÇÃO!$1:$1048576,3,FALSE),VLOOKUP(Q263,'SINAPI 04-26-SD'!$A$1:$H$272700,2,FALSE)))))</f>
        <v>TUBO DE PVC RÍGIDO BRANCO PXB COM VIROLA E ANEL DE BORRACHA, LINHA ESGOTO SÉRIE NORMAL, DN= 75 MM, INCLUSIVE CONEXÕES</v>
      </c>
      <c r="S263" s="414" t="str">
        <f>UPPER(IF(P263="CDHU",VLOOKUP(Q263,'CDHU 201-SD'!$A$1:$J$28014,3,FALSE),IF(P263="FDE",VLOOKUP(Q263,'FDE 01-26-SD'!$A$1:$J$280013,3,FALSE),IF(P263="PRÓPRIA",VLOOKUP(Q263,COMPOSIÇÃO!$1:$1048576,7,FALSE),VLOOKUP(Q263,'SINAPI 04-26-SD'!$A$1:$H$272700,3,FALSE)))))</f>
        <v>M</v>
      </c>
      <c r="T263" s="393">
        <v>6.1</v>
      </c>
      <c r="U263" s="394">
        <f>TRUNC(IF(P263="CDHU",VLOOKUP(Q263,'CDHU 201-SD'!$A$1:$J$28014,6,FALSE),IF(P263="FDE",VLOOKUP(Q263,'FDE 01-26-SD'!$A$1:$J$280013,6,FALSE),IF(P263="PRÓPRIA",VLOOKUP(Q263,COMPOSIÇÃO!$1:$1048576,10,FALSE),VLOOKUP(Q263,'SINAPI 04-26-SD'!$A$1:$H$272700,4,FALSE)))),2)</f>
        <v>78.53</v>
      </c>
      <c r="V263" s="416">
        <f t="shared" si="908"/>
        <v>479.03</v>
      </c>
      <c r="W263" s="395">
        <f>IF($AA263="N",BDI!$D$26,IF($AA263="D",'BDI DIFE.'!$D$26,"ERRO"))</f>
        <v>0.22500000000000001</v>
      </c>
      <c r="X263" s="379">
        <f t="shared" si="909"/>
        <v>96.19</v>
      </c>
      <c r="Y263" s="380">
        <f t="shared" si="910"/>
        <v>586.75</v>
      </c>
      <c r="Z263" s="381"/>
      <c r="AA263" s="378" t="s">
        <v>28044</v>
      </c>
      <c r="AB263" s="642"/>
    </row>
    <row r="264" spans="2:28" s="55" customFormat="1" ht="16" thickBot="1">
      <c r="B264" s="378" t="str">
        <f t="shared" ca="1" si="875"/>
        <v/>
      </c>
      <c r="C264" s="378" t="str">
        <f t="shared" si="832"/>
        <v/>
      </c>
      <c r="D264" s="378">
        <f t="shared" ca="1" si="711"/>
        <v>14</v>
      </c>
      <c r="E264" s="378">
        <f t="shared" ca="1" si="876"/>
        <v>3</v>
      </c>
      <c r="F264" s="378" t="str">
        <f t="shared" ca="1" si="877"/>
        <v>0</v>
      </c>
      <c r="G264" s="378" t="str">
        <f t="shared" ca="1" si="878"/>
        <v>0</v>
      </c>
      <c r="H264" s="378" t="str">
        <f t="shared" ca="1" si="879"/>
        <v>0</v>
      </c>
      <c r="I264" s="378" t="str">
        <f t="shared" ca="1" si="880"/>
        <v>0</v>
      </c>
      <c r="J264" s="378" t="str">
        <f t="shared" ca="1" si="712"/>
        <v>0</v>
      </c>
      <c r="K264" s="378" t="b">
        <f t="shared" si="881"/>
        <v>0</v>
      </c>
      <c r="L264" s="378" t="b">
        <f t="shared" si="882"/>
        <v>0</v>
      </c>
      <c r="O264" s="192"/>
      <c r="P264" s="387"/>
      <c r="Q264" s="387"/>
      <c r="R264" s="377"/>
      <c r="S264" s="387"/>
      <c r="T264" s="363"/>
      <c r="U264" s="388"/>
      <c r="V264" s="389"/>
      <c r="W264" s="389"/>
      <c r="X264" s="389"/>
      <c r="Y264" s="390"/>
      <c r="AB264" s="642"/>
    </row>
    <row r="265" spans="2:28" s="75" customFormat="1" ht="16" thickBot="1">
      <c r="B265" s="75" t="str">
        <f t="shared" ca="1" si="875"/>
        <v>2</v>
      </c>
      <c r="C265" s="75" t="str">
        <f t="shared" si="832"/>
        <v>2</v>
      </c>
      <c r="D265" s="75">
        <f t="shared" ca="1" si="711"/>
        <v>14</v>
      </c>
      <c r="E265" s="75">
        <f t="shared" ca="1" si="876"/>
        <v>4</v>
      </c>
      <c r="F265" s="75" t="str">
        <f t="shared" ca="1" si="877"/>
        <v>0</v>
      </c>
      <c r="G265" s="75" t="str">
        <f t="shared" ca="1" si="878"/>
        <v>0</v>
      </c>
      <c r="H265" s="75" t="str">
        <f t="shared" ca="1" si="879"/>
        <v>0</v>
      </c>
      <c r="I265" s="75" t="str">
        <f t="shared" ca="1" si="880"/>
        <v>0</v>
      </c>
      <c r="J265" s="75" t="str">
        <f t="shared" ca="1" si="712"/>
        <v>0</v>
      </c>
      <c r="K265" s="75" t="str">
        <f t="shared" ca="1" si="881"/>
        <v>14.4</v>
      </c>
      <c r="L265" s="75" t="str">
        <f t="shared" ca="1" si="882"/>
        <v>14.4</v>
      </c>
      <c r="M265" s="55" t="s">
        <v>27861</v>
      </c>
      <c r="O265" s="191" t="str">
        <f t="shared" ref="O265:O267" ca="1" si="911">L265</f>
        <v>14.4</v>
      </c>
      <c r="P265" s="172"/>
      <c r="Q265" s="172"/>
      <c r="R265" s="683" t="s">
        <v>41864</v>
      </c>
      <c r="S265" s="172"/>
      <c r="T265" s="194"/>
      <c r="U265" s="195"/>
      <c r="V265" s="196">
        <f ca="1">IF(VALUE(C265)=1,SUMIFS(V:V,D:D,D265,M:M,"Serviço"),IF(VALUE(C265)=2,SUMIFS(V:V,D:D,D265,E:E,E265,M:M,"Serviço"),IF(VALUE(C265)=3,SUMIFS(V:V,D:D,D265,E:E,E265,F:F,F265,M:M,"Serviço"),IF(VALUE(C265)=4,SUMIFS(V:V,D:D,D265,E:E,E265,F:F,F265,G:G,G265,M:M,"Serviço"),"ERRO"))))</f>
        <v>3002.12</v>
      </c>
      <c r="W265" s="197"/>
      <c r="X265" s="205"/>
      <c r="Y265" s="173">
        <f ca="1">IF(VALUE(C265)=1,SUMIFS(Y:Y,D:D,D265,M:M,"Serviço"),IF(VALUE(C265)=2,SUMIFS(Y:Y,D:D,D265,E:E,E265,M:M,"Serviço"),IF(VALUE(C265)=3,SUMIFS(Y:Y,D:D,D265,E:E,E265,F:F,F265,M:M,"Serviço"),IF(VALUE(C265)=4,SUMIFS(Y:Y,D:D,D265,E:E,E265,F:F,F265,G:G,G265,M:M,"Serviço"),"ERRO"))))</f>
        <v>3677.31</v>
      </c>
      <c r="AB265" s="641"/>
    </row>
    <row r="266" spans="2:28" s="55" customFormat="1" ht="45">
      <c r="B266" s="378">
        <f t="shared" ca="1" si="875"/>
        <v>3</v>
      </c>
      <c r="C266" s="378" t="str">
        <f t="shared" si="832"/>
        <v>S</v>
      </c>
      <c r="D266" s="378">
        <f t="shared" ca="1" si="711"/>
        <v>14</v>
      </c>
      <c r="E266" s="378">
        <f t="shared" ca="1" si="876"/>
        <v>4</v>
      </c>
      <c r="F266" s="378" t="str">
        <f t="shared" ca="1" si="877"/>
        <v>0</v>
      </c>
      <c r="G266" s="378" t="str">
        <f t="shared" ca="1" si="878"/>
        <v>0</v>
      </c>
      <c r="H266" s="378" t="str">
        <f t="shared" ca="1" si="879"/>
        <v>0</v>
      </c>
      <c r="I266" s="378" t="str">
        <f t="shared" ca="1" si="880"/>
        <v>0</v>
      </c>
      <c r="J266" s="378">
        <f t="shared" ca="1" si="712"/>
        <v>1</v>
      </c>
      <c r="K266" s="378" t="str">
        <f t="shared" si="881"/>
        <v>NÃO</v>
      </c>
      <c r="L266" s="378" t="str">
        <f t="shared" ca="1" si="882"/>
        <v>14.4.1</v>
      </c>
      <c r="M266" s="55" t="s">
        <v>27868</v>
      </c>
      <c r="O266" s="392" t="str">
        <f t="shared" ca="1" si="911"/>
        <v>14.4.1</v>
      </c>
      <c r="P266" s="681" t="s">
        <v>29901</v>
      </c>
      <c r="Q266" s="682" t="s">
        <v>16327</v>
      </c>
      <c r="R266" s="415" t="str">
        <f>UPPER(IF(P266="CDHU",VLOOKUP(Q266,'CDHU 201-SD'!$A$1:$J$28014,2,FALSE),IF(P266="FDE",VLOOKUP(Q266,'FDE 01-26-SD'!$A$1:$J$280013,2,FALSE),IF(P266="PRÓPRIA",VLOOKUP(Q266,COMPOSIÇÃO!$1:$1048576,3,FALSE),VLOOKUP(Q266,'SINAPI 04-26-SD'!$A$1:$H$272700,2,FALSE)))))</f>
        <v>TUBO DE PVC RÍGIDO BRANCO PXB COM VIROLA E ANEL DE BORRACHA, LINHA ESGOTO SÉRIE NORMAL, DN= 50 MM, INCLUSIVE CONEXÕES</v>
      </c>
      <c r="S266" s="414" t="str">
        <f>UPPER(IF(P266="CDHU",VLOOKUP(Q266,'CDHU 201-SD'!$A$1:$J$28014,3,FALSE),IF(P266="FDE",VLOOKUP(Q266,'FDE 01-26-SD'!$A$1:$J$280013,3,FALSE),IF(P266="PRÓPRIA",VLOOKUP(Q266,COMPOSIÇÃO!$1:$1048576,7,FALSE),VLOOKUP(Q266,'SINAPI 04-26-SD'!$A$1:$H$272700,3,FALSE)))))</f>
        <v>M</v>
      </c>
      <c r="T266" s="393">
        <v>53.6</v>
      </c>
      <c r="U266" s="394">
        <f>TRUNC(IF(P266="CDHU",VLOOKUP(Q266,'CDHU 201-SD'!$A$1:$J$28014,6,FALSE),IF(P266="FDE",VLOOKUP(Q266,'FDE 01-26-SD'!$A$1:$J$280013,6,FALSE),IF(P266="PRÓPRIA",VLOOKUP(Q266,COMPOSIÇÃO!$1:$1048576,10,FALSE),VLOOKUP(Q266,'SINAPI 04-26-SD'!$A$1:$H$272700,4,FALSE)))),2)</f>
        <v>49.71</v>
      </c>
      <c r="V266" s="416">
        <f t="shared" ref="V266:V267" si="912">TRUNC(U266*T266,2)</f>
        <v>2664.45</v>
      </c>
      <c r="W266" s="395">
        <f>IF($AA266="N",BDI!$D$26,IF($AA266="D",'BDI DIFE.'!$D$26,"ERRO"))</f>
        <v>0.22500000000000001</v>
      </c>
      <c r="X266" s="379">
        <f t="shared" ref="X266:X267" si="913">TRUNC(U266*(1+W266),2)</f>
        <v>60.89</v>
      </c>
      <c r="Y266" s="380">
        <f t="shared" ref="Y266:Y267" si="914">TRUNC(T266*X266,2)</f>
        <v>3263.7</v>
      </c>
      <c r="Z266" s="381"/>
      <c r="AA266" s="378" t="s">
        <v>28044</v>
      </c>
      <c r="AB266" s="642"/>
    </row>
    <row r="267" spans="2:28" s="55" customFormat="1" ht="46" thickBot="1">
      <c r="B267" s="378">
        <f t="shared" ca="1" si="875"/>
        <v>3</v>
      </c>
      <c r="C267" s="378" t="str">
        <f t="shared" si="832"/>
        <v>S</v>
      </c>
      <c r="D267" s="378">
        <f t="shared" ca="1" si="711"/>
        <v>14</v>
      </c>
      <c r="E267" s="378">
        <f t="shared" ca="1" si="876"/>
        <v>4</v>
      </c>
      <c r="F267" s="378" t="str">
        <f t="shared" ca="1" si="877"/>
        <v>0</v>
      </c>
      <c r="G267" s="378" t="str">
        <f t="shared" ca="1" si="878"/>
        <v>0</v>
      </c>
      <c r="H267" s="378" t="str">
        <f t="shared" ca="1" si="879"/>
        <v>0</v>
      </c>
      <c r="I267" s="378" t="str">
        <f t="shared" ca="1" si="880"/>
        <v>0</v>
      </c>
      <c r="J267" s="378">
        <f t="shared" ca="1" si="712"/>
        <v>2</v>
      </c>
      <c r="K267" s="378" t="str">
        <f t="shared" si="881"/>
        <v>NÃO</v>
      </c>
      <c r="L267" s="378" t="str">
        <f t="shared" ca="1" si="882"/>
        <v>14.4.2</v>
      </c>
      <c r="M267" s="55" t="s">
        <v>27868</v>
      </c>
      <c r="O267" s="392" t="str">
        <f t="shared" ca="1" si="911"/>
        <v>14.4.2</v>
      </c>
      <c r="P267" s="681" t="s">
        <v>29901</v>
      </c>
      <c r="Q267" s="682" t="s">
        <v>16329</v>
      </c>
      <c r="R267" s="415" t="str">
        <f>UPPER(IF(P267="CDHU",VLOOKUP(Q267,'CDHU 201-SD'!$A$1:$J$28014,2,FALSE),IF(P267="FDE",VLOOKUP(Q267,'FDE 01-26-SD'!$A$1:$J$280013,2,FALSE),IF(P267="PRÓPRIA",VLOOKUP(Q267,COMPOSIÇÃO!$1:$1048576,3,FALSE),VLOOKUP(Q267,'SINAPI 04-26-SD'!$A$1:$H$272700,2,FALSE)))))</f>
        <v>TUBO DE PVC RÍGIDO BRANCO PXB COM VIROLA E ANEL DE BORRACHA, LINHA ESGOTO SÉRIE NORMAL, DN= 75 MM, INCLUSIVE CONEXÕES</v>
      </c>
      <c r="S267" s="414" t="str">
        <f>UPPER(IF(P267="CDHU",VLOOKUP(Q267,'CDHU 201-SD'!$A$1:$J$28014,3,FALSE),IF(P267="FDE",VLOOKUP(Q267,'FDE 01-26-SD'!$A$1:$J$280013,3,FALSE),IF(P267="PRÓPRIA",VLOOKUP(Q267,COMPOSIÇÃO!$1:$1048576,7,FALSE),VLOOKUP(Q267,'SINAPI 04-26-SD'!$A$1:$H$272700,3,FALSE)))))</f>
        <v>M</v>
      </c>
      <c r="T267" s="393">
        <v>4.3</v>
      </c>
      <c r="U267" s="394">
        <f>TRUNC(IF(P267="CDHU",VLOOKUP(Q267,'CDHU 201-SD'!$A$1:$J$28014,6,FALSE),IF(P267="FDE",VLOOKUP(Q267,'FDE 01-26-SD'!$A$1:$J$280013,6,FALSE),IF(P267="PRÓPRIA",VLOOKUP(Q267,COMPOSIÇÃO!$1:$1048576,10,FALSE),VLOOKUP(Q267,'SINAPI 04-26-SD'!$A$1:$H$272700,4,FALSE)))),2)</f>
        <v>78.53</v>
      </c>
      <c r="V267" s="416">
        <f t="shared" si="912"/>
        <v>337.67</v>
      </c>
      <c r="W267" s="395">
        <f>IF($AA267="N",BDI!$D$26,IF($AA267="D",'BDI DIFE.'!$D$26,"ERRO"))</f>
        <v>0.22500000000000001</v>
      </c>
      <c r="X267" s="379">
        <f t="shared" si="913"/>
        <v>96.19</v>
      </c>
      <c r="Y267" s="380">
        <f t="shared" si="914"/>
        <v>413.61</v>
      </c>
      <c r="Z267" s="381"/>
      <c r="AA267" s="378" t="s">
        <v>28044</v>
      </c>
      <c r="AB267" s="642"/>
    </row>
    <row r="268" spans="2:28" s="55" customFormat="1" ht="16" thickBot="1">
      <c r="B268" s="378" t="str">
        <f t="shared" ca="1" si="875"/>
        <v/>
      </c>
      <c r="C268" s="378" t="str">
        <f t="shared" si="832"/>
        <v/>
      </c>
      <c r="D268" s="378">
        <f t="shared" ca="1" si="711"/>
        <v>14</v>
      </c>
      <c r="E268" s="378">
        <f t="shared" ca="1" si="876"/>
        <v>4</v>
      </c>
      <c r="F268" s="378" t="str">
        <f t="shared" ca="1" si="877"/>
        <v>0</v>
      </c>
      <c r="G268" s="378" t="str">
        <f t="shared" ca="1" si="878"/>
        <v>0</v>
      </c>
      <c r="H268" s="378" t="str">
        <f t="shared" ca="1" si="879"/>
        <v>0</v>
      </c>
      <c r="I268" s="378" t="str">
        <f t="shared" ca="1" si="880"/>
        <v>0</v>
      </c>
      <c r="J268" s="378" t="str">
        <f t="shared" ca="1" si="712"/>
        <v>0</v>
      </c>
      <c r="K268" s="378" t="b">
        <f t="shared" si="881"/>
        <v>0</v>
      </c>
      <c r="L268" s="378" t="b">
        <f t="shared" si="882"/>
        <v>0</v>
      </c>
      <c r="O268" s="192"/>
      <c r="P268" s="387"/>
      <c r="Q268" s="387"/>
      <c r="R268" s="377"/>
      <c r="S268" s="387"/>
      <c r="T268" s="363"/>
      <c r="U268" s="388"/>
      <c r="V268" s="389"/>
      <c r="W268" s="389"/>
      <c r="X268" s="389"/>
      <c r="Y268" s="390"/>
      <c r="AB268" s="642"/>
    </row>
    <row r="269" spans="2:28" s="75" customFormat="1" ht="16" thickBot="1">
      <c r="B269" s="75" t="str">
        <f t="shared" ca="1" si="875"/>
        <v>2</v>
      </c>
      <c r="C269" s="75" t="str">
        <f t="shared" si="832"/>
        <v>2</v>
      </c>
      <c r="D269" s="75">
        <f t="shared" ca="1" si="711"/>
        <v>14</v>
      </c>
      <c r="E269" s="75">
        <f t="shared" ca="1" si="876"/>
        <v>5</v>
      </c>
      <c r="F269" s="75" t="str">
        <f t="shared" ca="1" si="877"/>
        <v>0</v>
      </c>
      <c r="G269" s="75" t="str">
        <f t="shared" ca="1" si="878"/>
        <v>0</v>
      </c>
      <c r="H269" s="75" t="str">
        <f t="shared" ca="1" si="879"/>
        <v>0</v>
      </c>
      <c r="I269" s="75" t="str">
        <f t="shared" ca="1" si="880"/>
        <v>0</v>
      </c>
      <c r="J269" s="75" t="str">
        <f t="shared" ca="1" si="712"/>
        <v>0</v>
      </c>
      <c r="K269" s="75" t="str">
        <f t="shared" ca="1" si="881"/>
        <v>14.5</v>
      </c>
      <c r="L269" s="75" t="str">
        <f t="shared" ca="1" si="882"/>
        <v>14.5</v>
      </c>
      <c r="M269" s="55" t="s">
        <v>27861</v>
      </c>
      <c r="O269" s="191" t="str">
        <f t="shared" ref="O269:O279" ca="1" si="915">L269</f>
        <v>14.5</v>
      </c>
      <c r="P269" s="172"/>
      <c r="Q269" s="172"/>
      <c r="R269" s="683" t="s">
        <v>41865</v>
      </c>
      <c r="S269" s="172"/>
      <c r="T269" s="194"/>
      <c r="U269" s="195"/>
      <c r="V269" s="196">
        <f ca="1">IF(VALUE(C269)=1,SUMIFS(V:V,D:D,D269,M:M,"Serviço"),IF(VALUE(C269)=2,SUMIFS(V:V,D:D,D269,E:E,E269,M:M,"Serviço"),IF(VALUE(C269)=3,SUMIFS(V:V,D:D,D269,E:E,E269,F:F,F269,M:M,"Serviço"),IF(VALUE(C269)=4,SUMIFS(V:V,D:D,D269,E:E,E269,F:F,F269,G:G,G269,M:M,"Serviço"),"ERRO"))))</f>
        <v>24267.210000000003</v>
      </c>
      <c r="W269" s="197"/>
      <c r="X269" s="205"/>
      <c r="Y269" s="173">
        <f ca="1">IF(VALUE(C269)=1,SUMIFS(Y:Y,D:D,D269,M:M,"Serviço"),IF(VALUE(C269)=2,SUMIFS(Y:Y,D:D,D269,E:E,E269,M:M,"Serviço"),IF(VALUE(C269)=3,SUMIFS(Y:Y,D:D,D269,E:E,E269,F:F,F269,M:M,"Serviço"),IF(VALUE(C269)=4,SUMIFS(Y:Y,D:D,D269,E:E,E269,F:F,F269,G:G,G269,M:M,"Serviço"),"ERRO"))))</f>
        <v>29726.070000000003</v>
      </c>
      <c r="AB269" s="641"/>
    </row>
    <row r="270" spans="2:28" s="55" customFormat="1">
      <c r="B270" s="378">
        <f t="shared" ref="B270:B276" ca="1" si="916">IF(C270="S",IF(OFFSET(C270,-1,0)="S", OFFSET(B270,-1,0), OFFSET(B270,-1,0) +1 ), C270)</f>
        <v>3</v>
      </c>
      <c r="C270" s="378" t="str">
        <f t="shared" si="832"/>
        <v>S</v>
      </c>
      <c r="D270" s="378">
        <f t="shared" ca="1" si="711"/>
        <v>14</v>
      </c>
      <c r="E270" s="378">
        <f t="shared" ref="E270:E276" ca="1" si="917">IF($C270="2",OFFSET(E270,-1,0) +1,IF(OFFSET(D270,-1,0)&lt;&gt;D270,"0",IF(OFFSET(E270,-1,0)="","0",OFFSET(E270,-1,0))))</f>
        <v>5</v>
      </c>
      <c r="F270" s="378" t="str">
        <f t="shared" ref="F270:F276" ca="1" si="918">IF($C270="3",OFFSET(F270,-1,0) +1,IF(OFFSET(E270,-1,0)&lt;&gt;E270,"0",IF(OFFSET(F270,-1,0)="","0",OFFSET(F270,-1,0))))</f>
        <v>0</v>
      </c>
      <c r="G270" s="378" t="str">
        <f t="shared" ref="G270:G276" ca="1" si="919">IF($C270="4",OFFSET(G270,-1,0) +1,IF(OFFSET(F270,-1,0)&lt;&gt;F270,"0",IF(OFFSET(G270,-1,0)="","0",OFFSET(G270,-1,0))))</f>
        <v>0</v>
      </c>
      <c r="H270" s="378" t="str">
        <f t="shared" ref="H270:H276" ca="1" si="920">IF($C270="5",OFFSET(H270,-1,0) +1,IF(OFFSET(G270,-1,0)&lt;&gt;G270,"0",IF(OFFSET(H270,-1,0)="","0",OFFSET(H270,-1,0))))</f>
        <v>0</v>
      </c>
      <c r="I270" s="378" t="str">
        <f t="shared" ref="I270:I276" ca="1" si="921">IF($C270="6",OFFSET(I270,-1,0) +1,IF(OFFSET(H270,-1,0)&lt;&gt;H270,"0",IF(OFFSET(I270,-1,0)="","0", OFFSET(I270,-1,0))))</f>
        <v>0</v>
      </c>
      <c r="J270" s="378">
        <f t="shared" ca="1" si="712"/>
        <v>1</v>
      </c>
      <c r="K270" s="378" t="str">
        <f t="shared" ref="K270:K276" si="922">IF(C270="S","NÃO", IF(C270="1", D270, IF(C270="2", D270 &amp; "." &amp; E270,IF(C270="3", D270 &amp; "." &amp; E270 &amp; "." &amp; F270, IF(C270="4", D270 &amp; "." &amp; E270 &amp; "." &amp; F270 &amp; "." &amp; G270, IF(C270="5", D270 &amp; "." &amp; E270 &amp; "." &amp; F270 &amp; "." &amp; G270 &amp; "." &amp; H270, IF(C270="6", D270 &amp; "." &amp; E270 &amp; "." &amp; F270 &amp; "." &amp; G270 &amp; "." &amp; H270 &amp; "." &amp; I270)))))))</f>
        <v>NÃO</v>
      </c>
      <c r="L270" s="378" t="str">
        <f t="shared" ref="L270:L276" ca="1" si="923">IF(K270="NÃO",IF($B270=2,D270&amp;"."&amp;J270,IF($B270=3,D270&amp;"."&amp;E270&amp;"."&amp;J270,IF($B270=4,D270&amp;"."&amp;E270&amp;"."&amp;F270&amp;"."&amp;J270,IF($B270=5,D270&amp;"."&amp;E270&amp;"."&amp;F270&amp;"."&amp;G270&amp;"."&amp;J270,IF($B270=6,D270&amp;"."&amp;E270&amp;"."&amp;F270&amp;"."&amp;G270&amp;"."&amp;H270&amp;"."&amp;J270,IF($B270=7,D270&amp;"."&amp;E270&amp;"."&amp;F270&amp;"."&amp;G270&amp;"."&amp;H270&amp;"."&amp;I270&amp;"."&amp;J270,"FALHA")))))),K270)</f>
        <v>14.5.1</v>
      </c>
      <c r="M270" s="55" t="s">
        <v>27868</v>
      </c>
      <c r="O270" s="392" t="str">
        <f t="shared" ref="O270:O276" ca="1" si="924">L270</f>
        <v>14.5.1</v>
      </c>
      <c r="P270" s="681" t="s">
        <v>41261</v>
      </c>
      <c r="Q270" s="682" t="s">
        <v>23354</v>
      </c>
      <c r="R270" s="415" t="str">
        <f>UPPER(IF(P270="CDHU",VLOOKUP(Q270,'CDHU 201-SD'!$A$1:$J$28014,2,FALSE),IF(P270="FDE",VLOOKUP(Q270,'FDE 01-26-SD'!$A$1:$J$280013,2,FALSE),IF(P270="PRÓPRIA",VLOOKUP(Q270,COMPOSIÇÃO!$1:$1048576,3,FALSE),VLOOKUP(Q270,'SINAPI 04-26-SD'!$A$1:$H$272700,2,FALSE)))))</f>
        <v>CA-11 CAIXA DE AREIA COM GRELHA</v>
      </c>
      <c r="S270" s="414" t="str">
        <f>UPPER(IF(P270="CDHU",VLOOKUP(Q270,'CDHU 201-SD'!$A$1:$J$28014,3,FALSE),IF(P270="FDE",VLOOKUP(Q270,'FDE 01-26-SD'!$A$1:$J$280013,3,FALSE),IF(P270="PRÓPRIA",VLOOKUP(Q270,COMPOSIÇÃO!$1:$1048576,7,FALSE),VLOOKUP(Q270,'SINAPI 04-26-SD'!$A$1:$H$272700,3,FALSE)))))</f>
        <v>UN</v>
      </c>
      <c r="T270" s="393">
        <v>1</v>
      </c>
      <c r="U270" s="394">
        <f>TRUNC(IF(P270="CDHU",VLOOKUP(Q270,'CDHU 201-SD'!$A$1:$J$28014,6,FALSE),IF(P270="FDE",VLOOKUP(Q270,'FDE 01-26-SD'!$A$1:$J$280013,6,FALSE),IF(P270="PRÓPRIA",VLOOKUP(Q270,COMPOSIÇÃO!$1:$1048576,10,FALSE),VLOOKUP(Q270,'SINAPI 04-26-SD'!$A$1:$H$272700,4,FALSE)))),2)</f>
        <v>656.56</v>
      </c>
      <c r="V270" s="416">
        <f t="shared" ref="V270:V276" si="925">TRUNC(U270*T270,2)</f>
        <v>656.56</v>
      </c>
      <c r="W270" s="395">
        <f>IF($AA270="N",BDI!$D$26,IF($AA270="D",'BDI DIFE.'!$D$26,"ERRO"))</f>
        <v>0.22500000000000001</v>
      </c>
      <c r="X270" s="379">
        <f t="shared" ref="X270:X276" si="926">TRUNC(U270*(1+W270),2)</f>
        <v>804.28</v>
      </c>
      <c r="Y270" s="380">
        <f t="shared" ref="Y270:Y276" si="927">TRUNC(T270*X270,2)</f>
        <v>804.28</v>
      </c>
      <c r="Z270" s="381"/>
      <c r="AA270" s="378" t="s">
        <v>28044</v>
      </c>
      <c r="AB270" s="642"/>
    </row>
    <row r="271" spans="2:28" s="55" customFormat="1" ht="45">
      <c r="B271" s="378">
        <f t="shared" ca="1" si="916"/>
        <v>3</v>
      </c>
      <c r="C271" s="378" t="str">
        <f t="shared" si="832"/>
        <v>S</v>
      </c>
      <c r="D271" s="378">
        <f t="shared" ca="1" si="711"/>
        <v>14</v>
      </c>
      <c r="E271" s="378">
        <f t="shared" ca="1" si="917"/>
        <v>5</v>
      </c>
      <c r="F271" s="378" t="str">
        <f t="shared" ca="1" si="918"/>
        <v>0</v>
      </c>
      <c r="G271" s="378" t="str">
        <f t="shared" ca="1" si="919"/>
        <v>0</v>
      </c>
      <c r="H271" s="378" t="str">
        <f t="shared" ca="1" si="920"/>
        <v>0</v>
      </c>
      <c r="I271" s="378" t="str">
        <f t="shared" ca="1" si="921"/>
        <v>0</v>
      </c>
      <c r="J271" s="378">
        <f t="shared" ca="1" si="712"/>
        <v>2</v>
      </c>
      <c r="K271" s="378" t="str">
        <f t="shared" si="922"/>
        <v>NÃO</v>
      </c>
      <c r="L271" s="378" t="str">
        <f t="shared" ca="1" si="923"/>
        <v>14.5.2</v>
      </c>
      <c r="M271" s="55" t="s">
        <v>27868</v>
      </c>
      <c r="O271" s="392" t="str">
        <f t="shared" ca="1" si="924"/>
        <v>14.5.2</v>
      </c>
      <c r="P271" s="681" t="s">
        <v>27888</v>
      </c>
      <c r="Q271" s="682">
        <v>99253</v>
      </c>
      <c r="R271" s="415" t="str">
        <f>UPPER(IF(P271="CDHU",VLOOKUP(Q271,'CDHU 201-SD'!$A$1:$J$28014,2,FALSE),IF(P271="FDE",VLOOKUP(Q271,'FDE 01-26-SD'!$A$1:$J$280013,2,FALSE),IF(P271="PRÓPRIA",VLOOKUP(Q271,COMPOSIÇÃO!$1:$1048576,3,FALSE),VLOOKUP(Q271,'SINAPI 04-26-SD'!$A$1:$H$272700,2,FALSE)))))</f>
        <v>CAIXA ENTERRADA HIDRÁULICA RETANGULAR EM ALVENARIA COM TIJOLOS CERÂMICOS MACIÇOS, DIMENSÕES INTERNAS: 0,6X0,6X0,6 M PARA REDE DE DRENAGEM. AF_12/2020</v>
      </c>
      <c r="S271" s="414" t="str">
        <f>UPPER(IF(P271="CDHU",VLOOKUP(Q271,'CDHU 201-SD'!$A$1:$J$28014,3,FALSE),IF(P271="FDE",VLOOKUP(Q271,'FDE 01-26-SD'!$A$1:$J$280013,3,FALSE),IF(P271="PRÓPRIA",VLOOKUP(Q271,COMPOSIÇÃO!$1:$1048576,7,FALSE),VLOOKUP(Q271,'SINAPI 04-26-SD'!$A$1:$H$272700,3,FALSE)))))</f>
        <v>UN</v>
      </c>
      <c r="T271" s="393">
        <v>1</v>
      </c>
      <c r="U271" s="394">
        <f>TRUNC(IF(P271="CDHU",VLOOKUP(Q271,'CDHU 201-SD'!$A$1:$J$28014,6,FALSE),IF(P271="FDE",VLOOKUP(Q271,'FDE 01-26-SD'!$A$1:$J$280013,6,FALSE),IF(P271="PRÓPRIA",VLOOKUP(Q271,COMPOSIÇÃO!$1:$1048576,10,FALSE),VLOOKUP(Q271,'SINAPI 04-26-SD'!$A$1:$H$272700,4,FALSE)))),2)</f>
        <v>636.29</v>
      </c>
      <c r="V271" s="416">
        <f t="shared" si="925"/>
        <v>636.29</v>
      </c>
      <c r="W271" s="395">
        <f>IF($AA271="N",BDI!$D$26,IF($AA271="D",'BDI DIFE.'!$D$26,"ERRO"))</f>
        <v>0.22500000000000001</v>
      </c>
      <c r="X271" s="379">
        <f t="shared" si="926"/>
        <v>779.45</v>
      </c>
      <c r="Y271" s="380">
        <f t="shared" si="927"/>
        <v>779.45</v>
      </c>
      <c r="Z271" s="381"/>
      <c r="AA271" s="378" t="s">
        <v>28044</v>
      </c>
      <c r="AB271" s="642"/>
    </row>
    <row r="272" spans="2:28" s="55" customFormat="1">
      <c r="B272" s="378">
        <f t="shared" ref="B272:B273" ca="1" si="928">IF(C272="S",IF(OFFSET(C272,-1,0)="S", OFFSET(B272,-1,0), OFFSET(B272,-1,0) +1 ), C272)</f>
        <v>3</v>
      </c>
      <c r="C272" s="378" t="str">
        <f t="shared" si="832"/>
        <v>S</v>
      </c>
      <c r="D272" s="378">
        <f t="shared" ca="1" si="711"/>
        <v>14</v>
      </c>
      <c r="E272" s="378">
        <f t="shared" ref="E272:E273" ca="1" si="929">IF($C272="2",OFFSET(E272,-1,0) +1,IF(OFFSET(D272,-1,0)&lt;&gt;D272,"0",IF(OFFSET(E272,-1,0)="","0",OFFSET(E272,-1,0))))</f>
        <v>5</v>
      </c>
      <c r="F272" s="378" t="str">
        <f t="shared" ref="F272:F273" ca="1" si="930">IF($C272="3",OFFSET(F272,-1,0) +1,IF(OFFSET(E272,-1,0)&lt;&gt;E272,"0",IF(OFFSET(F272,-1,0)="","0",OFFSET(F272,-1,0))))</f>
        <v>0</v>
      </c>
      <c r="G272" s="378" t="str">
        <f t="shared" ref="G272:G273" ca="1" si="931">IF($C272="4",OFFSET(G272,-1,0) +1,IF(OFFSET(F272,-1,0)&lt;&gt;F272,"0",IF(OFFSET(G272,-1,0)="","0",OFFSET(G272,-1,0))))</f>
        <v>0</v>
      </c>
      <c r="H272" s="378" t="str">
        <f t="shared" ref="H272:H273" ca="1" si="932">IF($C272="5",OFFSET(H272,-1,0) +1,IF(OFFSET(G272,-1,0)&lt;&gt;G272,"0",IF(OFFSET(H272,-1,0)="","0",OFFSET(H272,-1,0))))</f>
        <v>0</v>
      </c>
      <c r="I272" s="378" t="str">
        <f t="shared" ref="I272:I273" ca="1" si="933">IF($C272="6",OFFSET(I272,-1,0) +1,IF(OFFSET(H272,-1,0)&lt;&gt;H272,"0",IF(OFFSET(I272,-1,0)="","0", OFFSET(I272,-1,0))))</f>
        <v>0</v>
      </c>
      <c r="J272" s="378">
        <f t="shared" ca="1" si="712"/>
        <v>3</v>
      </c>
      <c r="K272" s="378" t="str">
        <f t="shared" ref="K272:K273" si="934">IF(C272="S","NÃO", IF(C272="1", D272, IF(C272="2", D272 &amp; "." &amp; E272,IF(C272="3", D272 &amp; "." &amp; E272 &amp; "." &amp; F272, IF(C272="4", D272 &amp; "." &amp; E272 &amp; "." &amp; F272 &amp; "." &amp; G272, IF(C272="5", D272 &amp; "." &amp; E272 &amp; "." &amp; F272 &amp; "." &amp; G272 &amp; "." &amp; H272, IF(C272="6", D272 &amp; "." &amp; E272 &amp; "." &amp; F272 &amp; "." &amp; G272 &amp; "." &amp; H272 &amp; "." &amp; I272)))))))</f>
        <v>NÃO</v>
      </c>
      <c r="L272" s="378" t="str">
        <f t="shared" ref="L272:L273" ca="1" si="935">IF(K272="NÃO",IF($B272=2,D272&amp;"."&amp;J272,IF($B272=3,D272&amp;"."&amp;E272&amp;"."&amp;J272,IF($B272=4,D272&amp;"."&amp;E272&amp;"."&amp;F272&amp;"."&amp;J272,IF($B272=5,D272&amp;"."&amp;E272&amp;"."&amp;F272&amp;"."&amp;G272&amp;"."&amp;J272,IF($B272=6,D272&amp;"."&amp;E272&amp;"."&amp;F272&amp;"."&amp;G272&amp;"."&amp;H272&amp;"."&amp;J272,IF($B272=7,D272&amp;"."&amp;E272&amp;"."&amp;F272&amp;"."&amp;G272&amp;"."&amp;H272&amp;"."&amp;I272&amp;"."&amp;J272,"FALHA")))))),K272)</f>
        <v>14.5.3</v>
      </c>
      <c r="M272" s="55" t="s">
        <v>27868</v>
      </c>
      <c r="O272" s="392" t="str">
        <f t="shared" ref="O272:O273" ca="1" si="936">L272</f>
        <v>14.5.3</v>
      </c>
      <c r="P272" s="681" t="s">
        <v>41261</v>
      </c>
      <c r="Q272" s="682" t="s">
        <v>23358</v>
      </c>
      <c r="R272" s="415" t="str">
        <f>UPPER(IF(P272="CDHU",VLOOKUP(Q272,'CDHU 201-SD'!$A$1:$J$28014,2,FALSE),IF(P272="FDE",VLOOKUP(Q272,'FDE 01-26-SD'!$A$1:$J$280013,2,FALSE),IF(P272="PRÓPRIA",VLOOKUP(Q272,COMPOSIÇÃO!$1:$1048576,3,FALSE),VLOOKUP(Q272,'SINAPI 04-26-SD'!$A$1:$H$272700,2,FALSE)))))</f>
        <v>CA-21 CANALETA DE AGUAS PLUVIAIS EM CONCRETO (20CM)</v>
      </c>
      <c r="S272" s="414" t="str">
        <f>UPPER(IF(P272="CDHU",VLOOKUP(Q272,'CDHU 201-SD'!$A$1:$J$28014,3,FALSE),IF(P272="FDE",VLOOKUP(Q272,'FDE 01-26-SD'!$A$1:$J$280013,3,FALSE),IF(P272="PRÓPRIA",VLOOKUP(Q272,COMPOSIÇÃO!$1:$1048576,7,FALSE),VLOOKUP(Q272,'SINAPI 04-26-SD'!$A$1:$H$272700,3,FALSE)))))</f>
        <v>M</v>
      </c>
      <c r="T272" s="393">
        <v>15.9</v>
      </c>
      <c r="U272" s="394">
        <f>TRUNC(IF(P272="CDHU",VLOOKUP(Q272,'CDHU 201-SD'!$A$1:$J$28014,6,FALSE),IF(P272="FDE",VLOOKUP(Q272,'FDE 01-26-SD'!$A$1:$J$280013,6,FALSE),IF(P272="PRÓPRIA",VLOOKUP(Q272,COMPOSIÇÃO!$1:$1048576,10,FALSE),VLOOKUP(Q272,'SINAPI 04-26-SD'!$A$1:$H$272700,4,FALSE)))),2)</f>
        <v>177.16</v>
      </c>
      <c r="V272" s="416">
        <f t="shared" ref="V272:V273" si="937">TRUNC(U272*T272,2)</f>
        <v>2816.84</v>
      </c>
      <c r="W272" s="395">
        <f>IF($AA272="N",BDI!$D$26,IF($AA272="D",'BDI DIFE.'!$D$26,"ERRO"))</f>
        <v>0.22500000000000001</v>
      </c>
      <c r="X272" s="379">
        <f t="shared" ref="X272:X273" si="938">TRUNC(U272*(1+W272),2)</f>
        <v>217.02</v>
      </c>
      <c r="Y272" s="380">
        <f t="shared" ref="Y272:Y273" si="939">TRUNC(T272*X272,2)</f>
        <v>3450.61</v>
      </c>
      <c r="Z272" s="381"/>
      <c r="AA272" s="378" t="s">
        <v>28044</v>
      </c>
      <c r="AB272" s="642"/>
    </row>
    <row r="273" spans="2:28" s="55" customFormat="1" ht="30">
      <c r="B273" s="378">
        <f t="shared" ca="1" si="928"/>
        <v>3</v>
      </c>
      <c r="C273" s="378" t="str">
        <f t="shared" si="832"/>
        <v>S</v>
      </c>
      <c r="D273" s="378">
        <f t="shared" ca="1" si="711"/>
        <v>14</v>
      </c>
      <c r="E273" s="378">
        <f t="shared" ca="1" si="929"/>
        <v>5</v>
      </c>
      <c r="F273" s="378" t="str">
        <f t="shared" ca="1" si="930"/>
        <v>0</v>
      </c>
      <c r="G273" s="378" t="str">
        <f t="shared" ca="1" si="931"/>
        <v>0</v>
      </c>
      <c r="H273" s="378" t="str">
        <f t="shared" ca="1" si="932"/>
        <v>0</v>
      </c>
      <c r="I273" s="378" t="str">
        <f t="shared" ca="1" si="933"/>
        <v>0</v>
      </c>
      <c r="J273" s="378">
        <f t="shared" ca="1" si="712"/>
        <v>4</v>
      </c>
      <c r="K273" s="378" t="str">
        <f t="shared" si="934"/>
        <v>NÃO</v>
      </c>
      <c r="L273" s="378" t="str">
        <f t="shared" ca="1" si="935"/>
        <v>14.5.4</v>
      </c>
      <c r="M273" s="55" t="s">
        <v>27868</v>
      </c>
      <c r="O273" s="392" t="str">
        <f t="shared" ca="1" si="936"/>
        <v>14.5.4</v>
      </c>
      <c r="P273" s="681" t="s">
        <v>41261</v>
      </c>
      <c r="Q273" s="682" t="s">
        <v>23378</v>
      </c>
      <c r="R273" s="415" t="str">
        <f>UPPER(IF(P273="CDHU",VLOOKUP(Q273,'CDHU 201-SD'!$A$1:$J$28014,2,FALSE),IF(P273="FDE",VLOOKUP(Q273,'FDE 01-26-SD'!$A$1:$J$280013,2,FALSE),IF(P273="PRÓPRIA",VLOOKUP(Q273,COMPOSIÇÃO!$1:$1048576,3,FALSE),VLOOKUP(Q273,'SINAPI 04-26-SD'!$A$1:$H$272700,2,FALSE)))))</f>
        <v>TC-07 TAMPA EM GRELHA DE FERRO GALVANIZADO P/ CANALETA (25CM)</v>
      </c>
      <c r="S273" s="414" t="str">
        <f>UPPER(IF(P273="CDHU",VLOOKUP(Q273,'CDHU 201-SD'!$A$1:$J$28014,3,FALSE),IF(P273="FDE",VLOOKUP(Q273,'FDE 01-26-SD'!$A$1:$J$280013,3,FALSE),IF(P273="PRÓPRIA",VLOOKUP(Q273,COMPOSIÇÃO!$1:$1048576,7,FALSE),VLOOKUP(Q273,'SINAPI 04-26-SD'!$A$1:$H$272700,3,FALSE)))))</f>
        <v>M</v>
      </c>
      <c r="T273" s="393">
        <v>15.9</v>
      </c>
      <c r="U273" s="394">
        <f>TRUNC(IF(P273="CDHU",VLOOKUP(Q273,'CDHU 201-SD'!$A$1:$J$28014,6,FALSE),IF(P273="FDE",VLOOKUP(Q273,'FDE 01-26-SD'!$A$1:$J$280013,6,FALSE),IF(P273="PRÓPRIA",VLOOKUP(Q273,COMPOSIÇÃO!$1:$1048576,10,FALSE),VLOOKUP(Q273,'SINAPI 04-26-SD'!$A$1:$H$272700,4,FALSE)))),2)</f>
        <v>729.69</v>
      </c>
      <c r="V273" s="416">
        <f t="shared" si="937"/>
        <v>11602.07</v>
      </c>
      <c r="W273" s="395">
        <f>IF($AA273="N",BDI!$D$26,IF($AA273="D",'BDI DIFE.'!$D$26,"ERRO"))</f>
        <v>0.22500000000000001</v>
      </c>
      <c r="X273" s="379">
        <f t="shared" si="938"/>
        <v>893.87</v>
      </c>
      <c r="Y273" s="380">
        <f t="shared" si="939"/>
        <v>14212.53</v>
      </c>
      <c r="Z273" s="381"/>
      <c r="AA273" s="378" t="s">
        <v>28044</v>
      </c>
      <c r="AB273" s="642"/>
    </row>
    <row r="274" spans="2:28" s="55" customFormat="1" ht="30">
      <c r="B274" s="378">
        <f t="shared" ca="1" si="916"/>
        <v>3</v>
      </c>
      <c r="C274" s="378" t="str">
        <f t="shared" si="832"/>
        <v>S</v>
      </c>
      <c r="D274" s="378">
        <f t="shared" ca="1" si="711"/>
        <v>14</v>
      </c>
      <c r="E274" s="378">
        <f t="shared" ca="1" si="917"/>
        <v>5</v>
      </c>
      <c r="F274" s="378" t="str">
        <f t="shared" ca="1" si="918"/>
        <v>0</v>
      </c>
      <c r="G274" s="378" t="str">
        <f t="shared" ca="1" si="919"/>
        <v>0</v>
      </c>
      <c r="H274" s="378" t="str">
        <f t="shared" ca="1" si="920"/>
        <v>0</v>
      </c>
      <c r="I274" s="378" t="str">
        <f t="shared" ca="1" si="921"/>
        <v>0</v>
      </c>
      <c r="J274" s="378">
        <f t="shared" ca="1" si="712"/>
        <v>5</v>
      </c>
      <c r="K274" s="378" t="str">
        <f t="shared" si="922"/>
        <v>NÃO</v>
      </c>
      <c r="L274" s="378" t="str">
        <f t="shared" ca="1" si="923"/>
        <v>14.5.5</v>
      </c>
      <c r="M274" s="55" t="s">
        <v>27868</v>
      </c>
      <c r="O274" s="392" t="str">
        <f t="shared" ca="1" si="924"/>
        <v>14.5.5</v>
      </c>
      <c r="P274" s="681" t="s">
        <v>29901</v>
      </c>
      <c r="Q274" s="682" t="s">
        <v>16365</v>
      </c>
      <c r="R274" s="415" t="str">
        <f>UPPER(IF(P274="CDHU",VLOOKUP(Q274,'CDHU 201-SD'!$A$1:$J$28014,2,FALSE),IF(P274="FDE",VLOOKUP(Q274,'FDE 01-26-SD'!$A$1:$J$280013,2,FALSE),IF(P274="PRÓPRIA",VLOOKUP(Q274,COMPOSIÇÃO!$1:$1048576,3,FALSE),VLOOKUP(Q274,'SINAPI 04-26-SD'!$A$1:$H$272700,2,FALSE)))))</f>
        <v>TUBO PVC RÍGIDO, TIPO COLETOR ESGOTO, JUNTA ELÁSTICA, DN= 100 MM, INCLUSIVE CONEXÕES</v>
      </c>
      <c r="S274" s="414" t="str">
        <f>UPPER(IF(P274="CDHU",VLOOKUP(Q274,'CDHU 201-SD'!$A$1:$J$28014,3,FALSE),IF(P274="FDE",VLOOKUP(Q274,'FDE 01-26-SD'!$A$1:$J$280013,3,FALSE),IF(P274="PRÓPRIA",VLOOKUP(Q274,COMPOSIÇÃO!$1:$1048576,7,FALSE),VLOOKUP(Q274,'SINAPI 04-26-SD'!$A$1:$H$272700,3,FALSE)))))</f>
        <v>M</v>
      </c>
      <c r="T274" s="393">
        <v>4.8</v>
      </c>
      <c r="U274" s="394">
        <f>TRUNC(IF(P274="CDHU",VLOOKUP(Q274,'CDHU 201-SD'!$A$1:$J$28014,6,FALSE),IF(P274="FDE",VLOOKUP(Q274,'FDE 01-26-SD'!$A$1:$J$280013,6,FALSE),IF(P274="PRÓPRIA",VLOOKUP(Q274,COMPOSIÇÃO!$1:$1048576,10,FALSE),VLOOKUP(Q274,'SINAPI 04-26-SD'!$A$1:$H$272700,4,FALSE)))),2)</f>
        <v>48.51</v>
      </c>
      <c r="V274" s="416">
        <f t="shared" si="925"/>
        <v>232.84</v>
      </c>
      <c r="W274" s="395">
        <f>IF($AA274="N",BDI!$D$26,IF($AA274="D",'BDI DIFE.'!$D$26,"ERRO"))</f>
        <v>0.22500000000000001</v>
      </c>
      <c r="X274" s="379">
        <f t="shared" si="926"/>
        <v>59.42</v>
      </c>
      <c r="Y274" s="380">
        <f t="shared" si="927"/>
        <v>285.20999999999998</v>
      </c>
      <c r="Z274" s="381"/>
      <c r="AA274" s="378" t="s">
        <v>28044</v>
      </c>
      <c r="AB274" s="642"/>
    </row>
    <row r="275" spans="2:28" s="55" customFormat="1" ht="30">
      <c r="B275" s="378">
        <f t="shared" ca="1" si="916"/>
        <v>3</v>
      </c>
      <c r="C275" s="378" t="str">
        <f t="shared" si="832"/>
        <v>S</v>
      </c>
      <c r="D275" s="378">
        <f t="shared" ca="1" si="711"/>
        <v>14</v>
      </c>
      <c r="E275" s="378">
        <f t="shared" ca="1" si="917"/>
        <v>5</v>
      </c>
      <c r="F275" s="378" t="str">
        <f t="shared" ca="1" si="918"/>
        <v>0</v>
      </c>
      <c r="G275" s="378" t="str">
        <f t="shared" ca="1" si="919"/>
        <v>0</v>
      </c>
      <c r="H275" s="378" t="str">
        <f t="shared" ca="1" si="920"/>
        <v>0</v>
      </c>
      <c r="I275" s="378" t="str">
        <f t="shared" ca="1" si="921"/>
        <v>0</v>
      </c>
      <c r="J275" s="378">
        <f t="shared" ca="1" si="712"/>
        <v>6</v>
      </c>
      <c r="K275" s="378" t="str">
        <f t="shared" si="922"/>
        <v>NÃO</v>
      </c>
      <c r="L275" s="378" t="str">
        <f t="shared" ca="1" si="923"/>
        <v>14.5.6</v>
      </c>
      <c r="M275" s="55" t="s">
        <v>27868</v>
      </c>
      <c r="O275" s="392" t="str">
        <f t="shared" ca="1" si="924"/>
        <v>14.5.6</v>
      </c>
      <c r="P275" s="681" t="s">
        <v>29901</v>
      </c>
      <c r="Q275" s="682" t="s">
        <v>16367</v>
      </c>
      <c r="R275" s="415" t="str">
        <f>UPPER(IF(P275="CDHU",VLOOKUP(Q275,'CDHU 201-SD'!$A$1:$J$28014,2,FALSE),IF(P275="FDE",VLOOKUP(Q275,'FDE 01-26-SD'!$A$1:$J$280013,2,FALSE),IF(P275="PRÓPRIA",VLOOKUP(Q275,COMPOSIÇÃO!$1:$1048576,3,FALSE),VLOOKUP(Q275,'SINAPI 04-26-SD'!$A$1:$H$272700,2,FALSE)))))</f>
        <v>TUBO PVC RÍGIDO, TIPO COLETOR ESGOTO, JUNTA ELÁSTICA, DN= 150 MM, INCLUSIVE CONEXÕES</v>
      </c>
      <c r="S275" s="414" t="str">
        <f>UPPER(IF(P275="CDHU",VLOOKUP(Q275,'CDHU 201-SD'!$A$1:$J$28014,3,FALSE),IF(P275="FDE",VLOOKUP(Q275,'FDE 01-26-SD'!$A$1:$J$280013,3,FALSE),IF(P275="PRÓPRIA",VLOOKUP(Q275,COMPOSIÇÃO!$1:$1048576,7,FALSE),VLOOKUP(Q275,'SINAPI 04-26-SD'!$A$1:$H$272700,3,FALSE)))))</f>
        <v>M</v>
      </c>
      <c r="T275" s="393">
        <v>51.9</v>
      </c>
      <c r="U275" s="394">
        <f>TRUNC(IF(P275="CDHU",VLOOKUP(Q275,'CDHU 201-SD'!$A$1:$J$28014,6,FALSE),IF(P275="FDE",VLOOKUP(Q275,'FDE 01-26-SD'!$A$1:$J$280013,6,FALSE),IF(P275="PRÓPRIA",VLOOKUP(Q275,COMPOSIÇÃO!$1:$1048576,10,FALSE),VLOOKUP(Q275,'SINAPI 04-26-SD'!$A$1:$H$272700,4,FALSE)))),2)</f>
        <v>76.83</v>
      </c>
      <c r="V275" s="416">
        <f t="shared" si="925"/>
        <v>3987.47</v>
      </c>
      <c r="W275" s="395">
        <f>IF($AA275="N",BDI!$D$26,IF($AA275="D",'BDI DIFE.'!$D$26,"ERRO"))</f>
        <v>0.22500000000000001</v>
      </c>
      <c r="X275" s="379">
        <f t="shared" si="926"/>
        <v>94.11</v>
      </c>
      <c r="Y275" s="380">
        <f t="shared" si="927"/>
        <v>4884.3</v>
      </c>
      <c r="Z275" s="381"/>
      <c r="AA275" s="378" t="s">
        <v>28044</v>
      </c>
      <c r="AB275" s="642"/>
    </row>
    <row r="276" spans="2:28" s="55" customFormat="1" ht="30">
      <c r="B276" s="378">
        <f t="shared" ca="1" si="916"/>
        <v>3</v>
      </c>
      <c r="C276" s="378" t="str">
        <f t="shared" si="832"/>
        <v>S</v>
      </c>
      <c r="D276" s="378">
        <f t="shared" ca="1" si="711"/>
        <v>14</v>
      </c>
      <c r="E276" s="378">
        <f t="shared" ca="1" si="917"/>
        <v>5</v>
      </c>
      <c r="F276" s="378" t="str">
        <f t="shared" ca="1" si="918"/>
        <v>0</v>
      </c>
      <c r="G276" s="378" t="str">
        <f t="shared" ca="1" si="919"/>
        <v>0</v>
      </c>
      <c r="H276" s="378" t="str">
        <f t="shared" ca="1" si="920"/>
        <v>0</v>
      </c>
      <c r="I276" s="378" t="str">
        <f t="shared" ca="1" si="921"/>
        <v>0</v>
      </c>
      <c r="J276" s="378">
        <f t="shared" ca="1" si="712"/>
        <v>7</v>
      </c>
      <c r="K276" s="378" t="str">
        <f t="shared" si="922"/>
        <v>NÃO</v>
      </c>
      <c r="L276" s="378" t="str">
        <f t="shared" ca="1" si="923"/>
        <v>14.5.7</v>
      </c>
      <c r="M276" s="55" t="s">
        <v>27868</v>
      </c>
      <c r="O276" s="392" t="str">
        <f t="shared" ca="1" si="924"/>
        <v>14.5.7</v>
      </c>
      <c r="P276" s="681" t="s">
        <v>29901</v>
      </c>
      <c r="Q276" s="682" t="s">
        <v>16369</v>
      </c>
      <c r="R276" s="415" t="str">
        <f>UPPER(IF(P276="CDHU",VLOOKUP(Q276,'CDHU 201-SD'!$A$1:$J$28014,2,FALSE),IF(P276="FDE",VLOOKUP(Q276,'FDE 01-26-SD'!$A$1:$J$280013,2,FALSE),IF(P276="PRÓPRIA",VLOOKUP(Q276,COMPOSIÇÃO!$1:$1048576,3,FALSE),VLOOKUP(Q276,'SINAPI 04-26-SD'!$A$1:$H$272700,2,FALSE)))))</f>
        <v>TUBO PVC RÍGIDO, TIPO COLETOR ESGOTO, JUNTA ELÁSTICA, DN= 200 MM, INCLUSIVE CONEXÕES</v>
      </c>
      <c r="S276" s="414" t="str">
        <f>UPPER(IF(P276="CDHU",VLOOKUP(Q276,'CDHU 201-SD'!$A$1:$J$28014,3,FALSE),IF(P276="FDE",VLOOKUP(Q276,'FDE 01-26-SD'!$A$1:$J$280013,3,FALSE),IF(P276="PRÓPRIA",VLOOKUP(Q276,COMPOSIÇÃO!$1:$1048576,7,FALSE),VLOOKUP(Q276,'SINAPI 04-26-SD'!$A$1:$H$272700,3,FALSE)))))</f>
        <v>M</v>
      </c>
      <c r="T276" s="393">
        <v>3.5</v>
      </c>
      <c r="U276" s="394">
        <f>TRUNC(IF(P276="CDHU",VLOOKUP(Q276,'CDHU 201-SD'!$A$1:$J$28014,6,FALSE),IF(P276="FDE",VLOOKUP(Q276,'FDE 01-26-SD'!$A$1:$J$280013,6,FALSE),IF(P276="PRÓPRIA",VLOOKUP(Q276,COMPOSIÇÃO!$1:$1048576,10,FALSE),VLOOKUP(Q276,'SINAPI 04-26-SD'!$A$1:$H$272700,4,FALSE)))),2)</f>
        <v>131.81</v>
      </c>
      <c r="V276" s="416">
        <f t="shared" si="925"/>
        <v>461.33</v>
      </c>
      <c r="W276" s="395">
        <f>IF($AA276="N",BDI!$D$26,IF($AA276="D",'BDI DIFE.'!$D$26,"ERRO"))</f>
        <v>0.22500000000000001</v>
      </c>
      <c r="X276" s="379">
        <f t="shared" si="926"/>
        <v>161.46</v>
      </c>
      <c r="Y276" s="380">
        <f t="shared" si="927"/>
        <v>565.11</v>
      </c>
      <c r="Z276" s="381"/>
      <c r="AA276" s="378" t="s">
        <v>28044</v>
      </c>
      <c r="AB276" s="642"/>
    </row>
    <row r="277" spans="2:28" s="55" customFormat="1" ht="30">
      <c r="B277" s="378">
        <f t="shared" ref="B277" ca="1" si="940">IF(C277="S",IF(OFFSET(C277,-1,0)="S", OFFSET(B277,-1,0), OFFSET(B277,-1,0) +1 ), C277)</f>
        <v>3</v>
      </c>
      <c r="C277" s="378" t="str">
        <f t="shared" si="832"/>
        <v>S</v>
      </c>
      <c r="D277" s="378">
        <f t="shared" ca="1" si="711"/>
        <v>14</v>
      </c>
      <c r="E277" s="378">
        <f t="shared" ref="E277" ca="1" si="941">IF($C277="2",OFFSET(E277,-1,0) +1,IF(OFFSET(D277,-1,0)&lt;&gt;D277,"0",IF(OFFSET(E277,-1,0)="","0",OFFSET(E277,-1,0))))</f>
        <v>5</v>
      </c>
      <c r="F277" s="378" t="str">
        <f t="shared" ref="F277" ca="1" si="942">IF($C277="3",OFFSET(F277,-1,0) +1,IF(OFFSET(E277,-1,0)&lt;&gt;E277,"0",IF(OFFSET(F277,-1,0)="","0",OFFSET(F277,-1,0))))</f>
        <v>0</v>
      </c>
      <c r="G277" s="378" t="str">
        <f t="shared" ref="G277" ca="1" si="943">IF($C277="4",OFFSET(G277,-1,0) +1,IF(OFFSET(F277,-1,0)&lt;&gt;F277,"0",IF(OFFSET(G277,-1,0)="","0",OFFSET(G277,-1,0))))</f>
        <v>0</v>
      </c>
      <c r="H277" s="378" t="str">
        <f t="shared" ref="H277" ca="1" si="944">IF($C277="5",OFFSET(H277,-1,0) +1,IF(OFFSET(G277,-1,0)&lt;&gt;G277,"0",IF(OFFSET(H277,-1,0)="","0",OFFSET(H277,-1,0))))</f>
        <v>0</v>
      </c>
      <c r="I277" s="378" t="str">
        <f t="shared" ref="I277" ca="1" si="945">IF($C277="6",OFFSET(I277,-1,0) +1,IF(OFFSET(H277,-1,0)&lt;&gt;H277,"0",IF(OFFSET(I277,-1,0)="","0", OFFSET(I277,-1,0))))</f>
        <v>0</v>
      </c>
      <c r="J277" s="378">
        <f t="shared" ca="1" si="712"/>
        <v>8</v>
      </c>
      <c r="K277" s="378" t="str">
        <f t="shared" ref="K277" si="946">IF(C277="S","NÃO", IF(C277="1", D277, IF(C277="2", D277 &amp; "." &amp; E277,IF(C277="3", D277 &amp; "." &amp; E277 &amp; "." &amp; F277, IF(C277="4", D277 &amp; "." &amp; E277 &amp; "." &amp; F277 &amp; "." &amp; G277, IF(C277="5", D277 &amp; "." &amp; E277 &amp; "." &amp; F277 &amp; "." &amp; G277 &amp; "." &amp; H277, IF(C277="6", D277 &amp; "." &amp; E277 &amp; "." &amp; F277 &amp; "." &amp; G277 &amp; "." &amp; H277 &amp; "." &amp; I277)))))))</f>
        <v>NÃO</v>
      </c>
      <c r="L277" s="378" t="str">
        <f t="shared" ref="L277" ca="1" si="947">IF(K277="NÃO",IF($B277=2,D277&amp;"."&amp;J277,IF($B277=3,D277&amp;"."&amp;E277&amp;"."&amp;J277,IF($B277=4,D277&amp;"."&amp;E277&amp;"."&amp;F277&amp;"."&amp;J277,IF($B277=5,D277&amp;"."&amp;E277&amp;"."&amp;F277&amp;"."&amp;G277&amp;"."&amp;J277,IF($B277=6,D277&amp;"."&amp;E277&amp;"."&amp;F277&amp;"."&amp;G277&amp;"."&amp;H277&amp;"."&amp;J277,IF($B277=7,D277&amp;"."&amp;E277&amp;"."&amp;F277&amp;"."&amp;G277&amp;"."&amp;H277&amp;"."&amp;I277&amp;"."&amp;J277,"FALHA")))))),K277)</f>
        <v>14.5.8</v>
      </c>
      <c r="M277" s="55" t="s">
        <v>27868</v>
      </c>
      <c r="O277" s="392" t="str">
        <f t="shared" ref="O277" ca="1" si="948">L277</f>
        <v>14.5.8</v>
      </c>
      <c r="P277" s="681" t="s">
        <v>29901</v>
      </c>
      <c r="Q277" s="682" t="s">
        <v>16371</v>
      </c>
      <c r="R277" s="415" t="str">
        <f>UPPER(IF(P277="CDHU",VLOOKUP(Q277,'CDHU 201-SD'!$A$1:$J$28014,2,FALSE),IF(P277="FDE",VLOOKUP(Q277,'FDE 01-26-SD'!$A$1:$J$280013,2,FALSE),IF(P277="PRÓPRIA",VLOOKUP(Q277,COMPOSIÇÃO!$1:$1048576,3,FALSE),VLOOKUP(Q277,'SINAPI 04-26-SD'!$A$1:$H$272700,2,FALSE)))))</f>
        <v>TUBO PVC RÍGIDO, TIPO COLETOR ESGOTO, JUNTA ELÁSTICA, DN= 250 MM, INCLUSIVE CONEXÕES</v>
      </c>
      <c r="S277" s="414" t="str">
        <f>UPPER(IF(P277="CDHU",VLOOKUP(Q277,'CDHU 201-SD'!$A$1:$J$28014,3,FALSE),IF(P277="FDE",VLOOKUP(Q277,'FDE 01-26-SD'!$A$1:$J$280013,3,FALSE),IF(P277="PRÓPRIA",VLOOKUP(Q277,COMPOSIÇÃO!$1:$1048576,7,FALSE),VLOOKUP(Q277,'SINAPI 04-26-SD'!$A$1:$H$272700,3,FALSE)))))</f>
        <v>M</v>
      </c>
      <c r="T277" s="393">
        <v>14.2</v>
      </c>
      <c r="U277" s="394">
        <f>TRUNC(IF(P277="CDHU",VLOOKUP(Q277,'CDHU 201-SD'!$A$1:$J$28014,6,FALSE),IF(P277="FDE",VLOOKUP(Q277,'FDE 01-26-SD'!$A$1:$J$280013,6,FALSE),IF(P277="PRÓPRIA",VLOOKUP(Q277,COMPOSIÇÃO!$1:$1048576,10,FALSE),VLOOKUP(Q277,'SINAPI 04-26-SD'!$A$1:$H$272700,4,FALSE)))),2)</f>
        <v>204.73</v>
      </c>
      <c r="V277" s="416">
        <f t="shared" ref="V277" si="949">TRUNC(U277*T277,2)</f>
        <v>2907.16</v>
      </c>
      <c r="W277" s="395">
        <f>IF($AA277="N",BDI!$D$26,IF($AA277="D",'BDI DIFE.'!$D$26,"ERRO"))</f>
        <v>0.22500000000000001</v>
      </c>
      <c r="X277" s="379">
        <f t="shared" ref="X277" si="950">TRUNC(U277*(1+W277),2)</f>
        <v>250.79</v>
      </c>
      <c r="Y277" s="380">
        <f t="shared" ref="Y277" si="951">TRUNC(T277*X277,2)</f>
        <v>3561.21</v>
      </c>
      <c r="Z277" s="381"/>
      <c r="AA277" s="378" t="s">
        <v>28044</v>
      </c>
      <c r="AB277" s="642"/>
    </row>
    <row r="278" spans="2:28" s="55" customFormat="1" ht="30">
      <c r="B278" s="378">
        <f t="shared" ca="1" si="875"/>
        <v>3</v>
      </c>
      <c r="C278" s="378" t="str">
        <f t="shared" si="832"/>
        <v>S</v>
      </c>
      <c r="D278" s="378">
        <f t="shared" ca="1" si="711"/>
        <v>14</v>
      </c>
      <c r="E278" s="378">
        <f t="shared" ca="1" si="876"/>
        <v>5</v>
      </c>
      <c r="F278" s="378" t="str">
        <f t="shared" ca="1" si="877"/>
        <v>0</v>
      </c>
      <c r="G278" s="378" t="str">
        <f t="shared" ca="1" si="878"/>
        <v>0</v>
      </c>
      <c r="H278" s="378" t="str">
        <f t="shared" ca="1" si="879"/>
        <v>0</v>
      </c>
      <c r="I278" s="378" t="str">
        <f t="shared" ca="1" si="880"/>
        <v>0</v>
      </c>
      <c r="J278" s="378">
        <f t="shared" ca="1" si="712"/>
        <v>9</v>
      </c>
      <c r="K278" s="378" t="str">
        <f t="shared" si="881"/>
        <v>NÃO</v>
      </c>
      <c r="L278" s="378" t="str">
        <f t="shared" ca="1" si="882"/>
        <v>14.5.9</v>
      </c>
      <c r="M278" s="55" t="s">
        <v>27868</v>
      </c>
      <c r="O278" s="392" t="str">
        <f t="shared" ca="1" si="915"/>
        <v>14.5.9</v>
      </c>
      <c r="P278" s="681" t="s">
        <v>29901</v>
      </c>
      <c r="Q278" s="682" t="s">
        <v>11519</v>
      </c>
      <c r="R278" s="415" t="str">
        <f>UPPER(IF(P278="CDHU",VLOOKUP(Q278,'CDHU 201-SD'!$A$1:$J$28014,2,FALSE),IF(P278="FDE",VLOOKUP(Q278,'FDE 01-26-SD'!$A$1:$J$280013,2,FALSE),IF(P278="PRÓPRIA",VLOOKUP(Q278,COMPOSIÇÃO!$1:$1048576,3,FALSE),VLOOKUP(Q278,'SINAPI 04-26-SD'!$A$1:$H$272700,2,FALSE)))))</f>
        <v>ESCAVAÇÃO MECANIZADA DE VALAS OU CAVAS COM PROFUNDIDADE DE ATÉ 2 M</v>
      </c>
      <c r="S278" s="414" t="str">
        <f>UPPER(IF(P278="CDHU",VLOOKUP(Q278,'CDHU 201-SD'!$A$1:$J$28014,3,FALSE),IF(P278="FDE",VLOOKUP(Q278,'FDE 01-26-SD'!$A$1:$J$280013,3,FALSE),IF(P278="PRÓPRIA",VLOOKUP(Q278,COMPOSIÇÃO!$1:$1048576,7,FALSE),VLOOKUP(Q278,'SINAPI 04-26-SD'!$A$1:$H$272700,3,FALSE)))))</f>
        <v>M3</v>
      </c>
      <c r="T278" s="393">
        <f>SUM(T274:T276)*0.5*1.5</f>
        <v>45.15</v>
      </c>
      <c r="U278" s="394">
        <f>TRUNC(IF(P278="CDHU",VLOOKUP(Q278,'CDHU 201-SD'!$A$1:$J$28014,6,FALSE),IF(P278="FDE",VLOOKUP(Q278,'FDE 01-26-SD'!$A$1:$J$280013,6,FALSE),IF(P278="PRÓPRIA",VLOOKUP(Q278,COMPOSIÇÃO!$1:$1048576,10,FALSE),VLOOKUP(Q278,'SINAPI 04-26-SD'!$A$1:$H$272700,4,FALSE)))),2)</f>
        <v>11.64</v>
      </c>
      <c r="V278" s="416">
        <f t="shared" ref="V278:V279" si="952">TRUNC(U278*T278,2)</f>
        <v>525.54</v>
      </c>
      <c r="W278" s="395">
        <f>IF($AA278="N",BDI!$D$26,IF($AA278="D",'BDI DIFE.'!$D$26,"ERRO"))</f>
        <v>0.22500000000000001</v>
      </c>
      <c r="X278" s="379">
        <f t="shared" ref="X278:X279" si="953">TRUNC(U278*(1+W278),2)</f>
        <v>14.25</v>
      </c>
      <c r="Y278" s="380">
        <f t="shared" ref="Y278:Y279" si="954">TRUNC(T278*X278,2)</f>
        <v>643.38</v>
      </c>
      <c r="Z278" s="381"/>
      <c r="AA278" s="378" t="s">
        <v>28044</v>
      </c>
      <c r="AB278" s="642"/>
    </row>
    <row r="279" spans="2:28" s="55" customFormat="1" ht="31" thickBot="1">
      <c r="B279" s="378">
        <f t="shared" ca="1" si="875"/>
        <v>3</v>
      </c>
      <c r="C279" s="378" t="str">
        <f t="shared" si="832"/>
        <v>S</v>
      </c>
      <c r="D279" s="378">
        <f t="shared" ca="1" si="711"/>
        <v>14</v>
      </c>
      <c r="E279" s="378">
        <f t="shared" ca="1" si="876"/>
        <v>5</v>
      </c>
      <c r="F279" s="378" t="str">
        <f t="shared" ca="1" si="877"/>
        <v>0</v>
      </c>
      <c r="G279" s="378" t="str">
        <f t="shared" ca="1" si="878"/>
        <v>0</v>
      </c>
      <c r="H279" s="378" t="str">
        <f t="shared" ca="1" si="879"/>
        <v>0</v>
      </c>
      <c r="I279" s="378" t="str">
        <f t="shared" ca="1" si="880"/>
        <v>0</v>
      </c>
      <c r="J279" s="378">
        <f t="shared" ca="1" si="712"/>
        <v>10</v>
      </c>
      <c r="K279" s="378" t="str">
        <f t="shared" si="881"/>
        <v>NÃO</v>
      </c>
      <c r="L279" s="378" t="str">
        <f t="shared" ca="1" si="882"/>
        <v>14.5.10</v>
      </c>
      <c r="M279" s="55" t="s">
        <v>27868</v>
      </c>
      <c r="O279" s="392" t="str">
        <f t="shared" ca="1" si="915"/>
        <v>14.5.10</v>
      </c>
      <c r="P279" s="681" t="s">
        <v>29901</v>
      </c>
      <c r="Q279" s="682" t="s">
        <v>11491</v>
      </c>
      <c r="R279" s="415" t="str">
        <f>UPPER(IF(P279="CDHU",VLOOKUP(Q279,'CDHU 201-SD'!$A$1:$J$28014,2,FALSE),IF(P279="FDE",VLOOKUP(Q279,'FDE 01-26-SD'!$A$1:$J$280013,2,FALSE),IF(P279="PRÓPRIA",VLOOKUP(Q279,COMPOSIÇÃO!$1:$1048576,3,FALSE),VLOOKUP(Q279,'SINAPI 04-26-SD'!$A$1:$H$272700,2,FALSE)))))</f>
        <v>REATERRO MANUAL PARA SIMPLES REGULARIZAÇÃO SEM COMPACTAÇÃO</v>
      </c>
      <c r="S279" s="414" t="str">
        <f>UPPER(IF(P279="CDHU",VLOOKUP(Q279,'CDHU 201-SD'!$A$1:$J$28014,3,FALSE),IF(P279="FDE",VLOOKUP(Q279,'FDE 01-26-SD'!$A$1:$J$280013,3,FALSE),IF(P279="PRÓPRIA",VLOOKUP(Q279,COMPOSIÇÃO!$1:$1048576,7,FALSE),VLOOKUP(Q279,'SINAPI 04-26-SD'!$A$1:$H$272700,3,FALSE)))))</f>
        <v>M3</v>
      </c>
      <c r="T279" s="393">
        <f>T278</f>
        <v>45.15</v>
      </c>
      <c r="U279" s="394">
        <f>TRUNC(IF(P279="CDHU",VLOOKUP(Q279,'CDHU 201-SD'!$A$1:$J$28014,6,FALSE),IF(P279="FDE",VLOOKUP(Q279,'FDE 01-26-SD'!$A$1:$J$280013,6,FALSE),IF(P279="PRÓPRIA",VLOOKUP(Q279,COMPOSIÇÃO!$1:$1048576,10,FALSE),VLOOKUP(Q279,'SINAPI 04-26-SD'!$A$1:$H$272700,4,FALSE)))),2)</f>
        <v>9.77</v>
      </c>
      <c r="V279" s="416">
        <f t="shared" si="952"/>
        <v>441.11</v>
      </c>
      <c r="W279" s="395">
        <f>IF($AA279="N",BDI!$D$26,IF($AA279="D",'BDI DIFE.'!$D$26,"ERRO"))</f>
        <v>0.22500000000000001</v>
      </c>
      <c r="X279" s="379">
        <f t="shared" si="953"/>
        <v>11.96</v>
      </c>
      <c r="Y279" s="380">
        <f t="shared" si="954"/>
        <v>539.99</v>
      </c>
      <c r="Z279" s="381"/>
      <c r="AA279" s="378" t="s">
        <v>28044</v>
      </c>
      <c r="AB279" s="642"/>
    </row>
    <row r="280" spans="2:28" s="55" customFormat="1" ht="16" thickBot="1">
      <c r="B280" s="378" t="str">
        <f t="shared" ref="B280:B284" ca="1" si="955">IF(C280="S",IF(OFFSET(C280,-1,0)="S", OFFSET(B280,-1,0), OFFSET(B280,-1,0) +1 ), C280)</f>
        <v/>
      </c>
      <c r="C280" s="378" t="str">
        <f t="shared" si="832"/>
        <v/>
      </c>
      <c r="D280" s="378">
        <f t="shared" ca="1" si="711"/>
        <v>14</v>
      </c>
      <c r="E280" s="378">
        <f t="shared" ref="E280:E284" ca="1" si="956">IF($C280="2",OFFSET(E280,-1,0) +1,IF(OFFSET(D280,-1,0)&lt;&gt;D280,"0",IF(OFFSET(E280,-1,0)="","0",OFFSET(E280,-1,0))))</f>
        <v>5</v>
      </c>
      <c r="F280" s="378" t="str">
        <f t="shared" ref="F280:F284" ca="1" si="957">IF($C280="3",OFFSET(F280,-1,0) +1,IF(OFFSET(E280,-1,0)&lt;&gt;E280,"0",IF(OFFSET(F280,-1,0)="","0",OFFSET(F280,-1,0))))</f>
        <v>0</v>
      </c>
      <c r="G280" s="378" t="str">
        <f t="shared" ref="G280:G284" ca="1" si="958">IF($C280="4",OFFSET(G280,-1,0) +1,IF(OFFSET(F280,-1,0)&lt;&gt;F280,"0",IF(OFFSET(G280,-1,0)="","0",OFFSET(G280,-1,0))))</f>
        <v>0</v>
      </c>
      <c r="H280" s="378" t="str">
        <f t="shared" ref="H280:H284" ca="1" si="959">IF($C280="5",OFFSET(H280,-1,0) +1,IF(OFFSET(G280,-1,0)&lt;&gt;G280,"0",IF(OFFSET(H280,-1,0)="","0",OFFSET(H280,-1,0))))</f>
        <v>0</v>
      </c>
      <c r="I280" s="378" t="str">
        <f t="shared" ref="I280:I284" ca="1" si="960">IF($C280="6",OFFSET(I280,-1,0) +1,IF(OFFSET(H280,-1,0)&lt;&gt;H280,"0",IF(OFFSET(I280,-1,0)="","0", OFFSET(I280,-1,0))))</f>
        <v>0</v>
      </c>
      <c r="J280" s="378" t="str">
        <f t="shared" ca="1" si="712"/>
        <v>0</v>
      </c>
      <c r="K280" s="378" t="b">
        <f t="shared" ref="K280:K284" si="961">IF(C280="S","NÃO", IF(C280="1", D280, IF(C280="2", D280 &amp; "." &amp; E280,IF(C280="3", D280 &amp; "." &amp; E280 &amp; "." &amp; F280, IF(C280="4", D280 &amp; "." &amp; E280 &amp; "." &amp; F280 &amp; "." &amp; G280, IF(C280="5", D280 &amp; "." &amp; E280 &amp; "." &amp; F280 &amp; "." &amp; G280 &amp; "." &amp; H280, IF(C280="6", D280 &amp; "." &amp; E280 &amp; "." &amp; F280 &amp; "." &amp; G280 &amp; "." &amp; H280 &amp; "." &amp; I280)))))))</f>
        <v>0</v>
      </c>
      <c r="L280" s="378" t="b">
        <f t="shared" ref="L280:L284" si="962">IF(K280="NÃO",IF($B280=2,D280&amp;"."&amp;J280,IF($B280=3,D280&amp;"."&amp;E280&amp;"."&amp;J280,IF($B280=4,D280&amp;"."&amp;E280&amp;"."&amp;F280&amp;"."&amp;J280,IF($B280=5,D280&amp;"."&amp;E280&amp;"."&amp;F280&amp;"."&amp;G280&amp;"."&amp;J280,IF($B280=6,D280&amp;"."&amp;E280&amp;"."&amp;F280&amp;"."&amp;G280&amp;"."&amp;H280&amp;"."&amp;J280,IF($B280=7,D280&amp;"."&amp;E280&amp;"."&amp;F280&amp;"."&amp;G280&amp;"."&amp;H280&amp;"."&amp;I280&amp;"."&amp;J280,"FALHA")))))),K280)</f>
        <v>0</v>
      </c>
      <c r="O280" s="192"/>
      <c r="P280" s="387"/>
      <c r="Q280" s="387"/>
      <c r="R280" s="377"/>
      <c r="S280" s="387"/>
      <c r="T280" s="363"/>
      <c r="U280" s="388"/>
      <c r="V280" s="389"/>
      <c r="W280" s="389"/>
      <c r="X280" s="389"/>
      <c r="Y280" s="390"/>
      <c r="AB280" s="642"/>
    </row>
    <row r="281" spans="2:28" s="75" customFormat="1" ht="16" thickBot="1">
      <c r="B281" s="75" t="str">
        <f t="shared" ca="1" si="955"/>
        <v>2</v>
      </c>
      <c r="C281" s="75" t="str">
        <f t="shared" si="832"/>
        <v>2</v>
      </c>
      <c r="D281" s="75">
        <f t="shared" ca="1" si="711"/>
        <v>14</v>
      </c>
      <c r="E281" s="75">
        <f t="shared" ca="1" si="956"/>
        <v>6</v>
      </c>
      <c r="F281" s="75" t="str">
        <f t="shared" ca="1" si="957"/>
        <v>0</v>
      </c>
      <c r="G281" s="75" t="str">
        <f t="shared" ca="1" si="958"/>
        <v>0</v>
      </c>
      <c r="H281" s="75" t="str">
        <f t="shared" ca="1" si="959"/>
        <v>0</v>
      </c>
      <c r="I281" s="75" t="str">
        <f t="shared" ca="1" si="960"/>
        <v>0</v>
      </c>
      <c r="J281" s="75" t="str">
        <f t="shared" ca="1" si="712"/>
        <v>0</v>
      </c>
      <c r="K281" s="75" t="str">
        <f t="shared" ca="1" si="961"/>
        <v>14.6</v>
      </c>
      <c r="L281" s="75" t="str">
        <f t="shared" ca="1" si="962"/>
        <v>14.6</v>
      </c>
      <c r="M281" s="55" t="s">
        <v>27861</v>
      </c>
      <c r="O281" s="191" t="str">
        <f t="shared" ref="O281:O284" ca="1" si="963">L281</f>
        <v>14.6</v>
      </c>
      <c r="P281" s="172"/>
      <c r="Q281" s="172"/>
      <c r="R281" s="683" t="s">
        <v>44468</v>
      </c>
      <c r="S281" s="172"/>
      <c r="T281" s="194"/>
      <c r="U281" s="195"/>
      <c r="V281" s="196">
        <f ca="1">IF(VALUE(C281)=1,SUMIFS(V:V,D:D,D281,M:M,"Serviço"),IF(VALUE(C281)=2,SUMIFS(V:V,D:D,D281,E:E,E281,M:M,"Serviço"),IF(VALUE(C281)=3,SUMIFS(V:V,D:D,D281,E:E,E281,F:F,F281,M:M,"Serviço"),IF(VALUE(C281)=4,SUMIFS(V:V,D:D,D281,E:E,E281,F:F,F281,G:G,G281,M:M,"Serviço"),"ERRO"))))</f>
        <v>5370.4100000000008</v>
      </c>
      <c r="W281" s="197"/>
      <c r="X281" s="205"/>
      <c r="Y281" s="173">
        <f ca="1">IF(VALUE(C281)=1,SUMIFS(Y:Y,D:D,D281,M:M,"Serviço"),IF(VALUE(C281)=2,SUMIFS(Y:Y,D:D,D281,E:E,E281,M:M,"Serviço"),IF(VALUE(C281)=3,SUMIFS(Y:Y,D:D,D281,E:E,E281,F:F,F281,M:M,"Serviço"),IF(VALUE(C281)=4,SUMIFS(Y:Y,D:D,D281,E:E,E281,F:F,F281,G:G,G281,M:M,"Serviço"),"ERRO"))))</f>
        <v>6577.65</v>
      </c>
      <c r="AB281" s="641"/>
    </row>
    <row r="282" spans="2:28" s="55" customFormat="1" ht="30">
      <c r="B282" s="378">
        <f t="shared" ca="1" si="955"/>
        <v>3</v>
      </c>
      <c r="C282" s="378" t="str">
        <f t="shared" si="832"/>
        <v>S</v>
      </c>
      <c r="D282" s="378">
        <f t="shared" ca="1" si="711"/>
        <v>14</v>
      </c>
      <c r="E282" s="378">
        <f t="shared" ca="1" si="956"/>
        <v>6</v>
      </c>
      <c r="F282" s="378" t="str">
        <f t="shared" ca="1" si="957"/>
        <v>0</v>
      </c>
      <c r="G282" s="378" t="str">
        <f t="shared" ca="1" si="958"/>
        <v>0</v>
      </c>
      <c r="H282" s="378" t="str">
        <f t="shared" ca="1" si="959"/>
        <v>0</v>
      </c>
      <c r="I282" s="378" t="str">
        <f t="shared" ca="1" si="960"/>
        <v>0</v>
      </c>
      <c r="J282" s="378">
        <f t="shared" ca="1" si="712"/>
        <v>1</v>
      </c>
      <c r="K282" s="378" t="str">
        <f t="shared" si="961"/>
        <v>NÃO</v>
      </c>
      <c r="L282" s="378" t="str">
        <f t="shared" ca="1" si="962"/>
        <v>14.6.1</v>
      </c>
      <c r="M282" s="55" t="s">
        <v>27868</v>
      </c>
      <c r="O282" s="392" t="str">
        <f t="shared" ca="1" si="963"/>
        <v>14.6.1</v>
      </c>
      <c r="P282" s="681" t="s">
        <v>29901</v>
      </c>
      <c r="Q282" s="682" t="s">
        <v>16307</v>
      </c>
      <c r="R282" s="415" t="str">
        <f>UPPER(IF(P282="CDHU",VLOOKUP(Q282,'CDHU 201-SD'!$A$1:$J$28014,2,FALSE),IF(P282="FDE",VLOOKUP(Q282,'FDE 01-26-SD'!$A$1:$J$280013,2,FALSE),IF(P282="PRÓPRIA",VLOOKUP(Q282,COMPOSIÇÃO!$1:$1048576,3,FALSE),VLOOKUP(Q282,'SINAPI 04-26-SD'!$A$1:$H$272700,2,FALSE)))))</f>
        <v>TUBO DE PVC RÍGIDO SOLDÁVEL MARROM, DN= 25 MM, (3/4´), INCLUSIVE CONEXÕES</v>
      </c>
      <c r="S282" s="414" t="str">
        <f>UPPER(IF(P282="CDHU",VLOOKUP(Q282,'CDHU 201-SD'!$A$1:$J$28014,3,FALSE),IF(P282="FDE",VLOOKUP(Q282,'FDE 01-26-SD'!$A$1:$J$280013,3,FALSE),IF(P282="PRÓPRIA",VLOOKUP(Q282,COMPOSIÇÃO!$1:$1048576,7,FALSE),VLOOKUP(Q282,'SINAPI 04-26-SD'!$A$1:$H$272700,3,FALSE)))))</f>
        <v>M</v>
      </c>
      <c r="T282" s="393">
        <v>111.3</v>
      </c>
      <c r="U282" s="394">
        <f>TRUNC(IF(P282="CDHU",VLOOKUP(Q282,'CDHU 201-SD'!$A$1:$J$28014,6,FALSE),IF(P282="FDE",VLOOKUP(Q282,'FDE 01-26-SD'!$A$1:$J$280013,6,FALSE),IF(P282="PRÓPRIA",VLOOKUP(Q282,COMPOSIÇÃO!$1:$1048576,10,FALSE),VLOOKUP(Q282,'SINAPI 04-26-SD'!$A$1:$H$272700,4,FALSE)))),2)</f>
        <v>34.21</v>
      </c>
      <c r="V282" s="416">
        <f t="shared" ref="V282:V284" si="964">TRUNC(U282*T282,2)</f>
        <v>3807.57</v>
      </c>
      <c r="W282" s="395">
        <f>IF($AA282="N",BDI!$D$26,IF($AA282="D",'BDI DIFE.'!$D$26,"ERRO"))</f>
        <v>0.22500000000000001</v>
      </c>
      <c r="X282" s="379">
        <f t="shared" ref="X282:X284" si="965">TRUNC(U282*(1+W282),2)</f>
        <v>41.9</v>
      </c>
      <c r="Y282" s="380">
        <f t="shared" ref="Y282:Y284" si="966">TRUNC(T282*X282,2)</f>
        <v>4663.47</v>
      </c>
      <c r="Z282" s="381"/>
      <c r="AA282" s="378" t="s">
        <v>28044</v>
      </c>
      <c r="AB282" s="642"/>
    </row>
    <row r="283" spans="2:28" s="55" customFormat="1" ht="30">
      <c r="B283" s="378">
        <f t="shared" ca="1" si="955"/>
        <v>3</v>
      </c>
      <c r="C283" s="378" t="str">
        <f t="shared" si="832"/>
        <v>S</v>
      </c>
      <c r="D283" s="378">
        <f t="shared" ca="1" si="711"/>
        <v>14</v>
      </c>
      <c r="E283" s="378">
        <f t="shared" ca="1" si="956"/>
        <v>6</v>
      </c>
      <c r="F283" s="378" t="str">
        <f t="shared" ca="1" si="957"/>
        <v>0</v>
      </c>
      <c r="G283" s="378" t="str">
        <f t="shared" ca="1" si="958"/>
        <v>0</v>
      </c>
      <c r="H283" s="378" t="str">
        <f t="shared" ca="1" si="959"/>
        <v>0</v>
      </c>
      <c r="I283" s="378" t="str">
        <f t="shared" ca="1" si="960"/>
        <v>0</v>
      </c>
      <c r="J283" s="378">
        <f t="shared" ca="1" si="712"/>
        <v>2</v>
      </c>
      <c r="K283" s="378" t="str">
        <f t="shared" si="961"/>
        <v>NÃO</v>
      </c>
      <c r="L283" s="378" t="str">
        <f t="shared" ca="1" si="962"/>
        <v>14.6.2</v>
      </c>
      <c r="M283" s="55" t="s">
        <v>27868</v>
      </c>
      <c r="O283" s="392" t="str">
        <f t="shared" ca="1" si="963"/>
        <v>14.6.2</v>
      </c>
      <c r="P283" s="681" t="s">
        <v>29901</v>
      </c>
      <c r="Q283" s="682" t="s">
        <v>16309</v>
      </c>
      <c r="R283" s="415" t="str">
        <f>UPPER(IF(P283="CDHU",VLOOKUP(Q283,'CDHU 201-SD'!$A$1:$J$28014,2,FALSE),IF(P283="FDE",VLOOKUP(Q283,'FDE 01-26-SD'!$A$1:$J$280013,2,FALSE),IF(P283="PRÓPRIA",VLOOKUP(Q283,COMPOSIÇÃO!$1:$1048576,3,FALSE),VLOOKUP(Q283,'SINAPI 04-26-SD'!$A$1:$H$272700,2,FALSE)))))</f>
        <v>TUBO DE PVC RÍGIDO SOLDÁVEL MARROM, DN= 32 MM, (1´), INCLUSIVE CONEXÕES</v>
      </c>
      <c r="S283" s="414" t="str">
        <f>UPPER(IF(P283="CDHU",VLOOKUP(Q283,'CDHU 201-SD'!$A$1:$J$28014,3,FALSE),IF(P283="FDE",VLOOKUP(Q283,'FDE 01-26-SD'!$A$1:$J$280013,3,FALSE),IF(P283="PRÓPRIA",VLOOKUP(Q283,COMPOSIÇÃO!$1:$1048576,7,FALSE),VLOOKUP(Q283,'SINAPI 04-26-SD'!$A$1:$H$272700,3,FALSE)))))</f>
        <v>M</v>
      </c>
      <c r="T283" s="393">
        <v>31.6</v>
      </c>
      <c r="U283" s="394">
        <f>TRUNC(IF(P283="CDHU",VLOOKUP(Q283,'CDHU 201-SD'!$A$1:$J$28014,6,FALSE),IF(P283="FDE",VLOOKUP(Q283,'FDE 01-26-SD'!$A$1:$J$280013,6,FALSE),IF(P283="PRÓPRIA",VLOOKUP(Q283,COMPOSIÇÃO!$1:$1048576,10,FALSE),VLOOKUP(Q283,'SINAPI 04-26-SD'!$A$1:$H$272700,4,FALSE)))),2)</f>
        <v>41.06</v>
      </c>
      <c r="V283" s="416">
        <f t="shared" si="964"/>
        <v>1297.49</v>
      </c>
      <c r="W283" s="395">
        <f>IF($AA283="N",BDI!$D$26,IF($AA283="D",'BDI DIFE.'!$D$26,"ERRO"))</f>
        <v>0.22500000000000001</v>
      </c>
      <c r="X283" s="379">
        <f t="shared" si="965"/>
        <v>50.29</v>
      </c>
      <c r="Y283" s="380">
        <f t="shared" si="966"/>
        <v>1589.16</v>
      </c>
      <c r="Z283" s="381"/>
      <c r="AA283" s="378" t="s">
        <v>28044</v>
      </c>
      <c r="AB283" s="642"/>
    </row>
    <row r="284" spans="2:28" s="55" customFormat="1" ht="31" thickBot="1">
      <c r="B284" s="378">
        <f t="shared" ca="1" si="955"/>
        <v>3</v>
      </c>
      <c r="C284" s="378" t="str">
        <f t="shared" si="832"/>
        <v>S</v>
      </c>
      <c r="D284" s="378">
        <f t="shared" ca="1" si="711"/>
        <v>14</v>
      </c>
      <c r="E284" s="378">
        <f t="shared" ca="1" si="956"/>
        <v>6</v>
      </c>
      <c r="F284" s="378" t="str">
        <f t="shared" ca="1" si="957"/>
        <v>0</v>
      </c>
      <c r="G284" s="378" t="str">
        <f t="shared" ca="1" si="958"/>
        <v>0</v>
      </c>
      <c r="H284" s="378" t="str">
        <f t="shared" ca="1" si="959"/>
        <v>0</v>
      </c>
      <c r="I284" s="378" t="str">
        <f t="shared" ca="1" si="960"/>
        <v>0</v>
      </c>
      <c r="J284" s="378">
        <f t="shared" ca="1" si="712"/>
        <v>3</v>
      </c>
      <c r="K284" s="378" t="str">
        <f t="shared" si="961"/>
        <v>NÃO</v>
      </c>
      <c r="L284" s="378" t="str">
        <f t="shared" ca="1" si="962"/>
        <v>14.6.3</v>
      </c>
      <c r="M284" s="55" t="s">
        <v>27868</v>
      </c>
      <c r="O284" s="392" t="str">
        <f t="shared" ca="1" si="963"/>
        <v>14.6.3</v>
      </c>
      <c r="P284" s="681" t="s">
        <v>29901</v>
      </c>
      <c r="Q284" s="682" t="s">
        <v>16311</v>
      </c>
      <c r="R284" s="415" t="str">
        <f>UPPER(IF(P284="CDHU",VLOOKUP(Q284,'CDHU 201-SD'!$A$1:$J$28014,2,FALSE),IF(P284="FDE",VLOOKUP(Q284,'FDE 01-26-SD'!$A$1:$J$280013,2,FALSE),IF(P284="PRÓPRIA",VLOOKUP(Q284,COMPOSIÇÃO!$1:$1048576,3,FALSE),VLOOKUP(Q284,'SINAPI 04-26-SD'!$A$1:$H$272700,2,FALSE)))))</f>
        <v>TUBO DE PVC RÍGIDO SOLDÁVEL MARROM, DN= 40 MM, (1 1/4´), INCLUSIVE CONEXÕES</v>
      </c>
      <c r="S284" s="414" t="str">
        <f>UPPER(IF(P284="CDHU",VLOOKUP(Q284,'CDHU 201-SD'!$A$1:$J$28014,3,FALSE),IF(P284="FDE",VLOOKUP(Q284,'FDE 01-26-SD'!$A$1:$J$280013,3,FALSE),IF(P284="PRÓPRIA",VLOOKUP(Q284,COMPOSIÇÃO!$1:$1048576,7,FALSE),VLOOKUP(Q284,'SINAPI 04-26-SD'!$A$1:$H$272700,3,FALSE)))))</f>
        <v>M</v>
      </c>
      <c r="T284" s="393">
        <v>5.0999999999999996</v>
      </c>
      <c r="U284" s="394">
        <f>TRUNC(IF(P284="CDHU",VLOOKUP(Q284,'CDHU 201-SD'!$A$1:$J$28014,6,FALSE),IF(P284="FDE",VLOOKUP(Q284,'FDE 01-26-SD'!$A$1:$J$280013,6,FALSE),IF(P284="PRÓPRIA",VLOOKUP(Q284,COMPOSIÇÃO!$1:$1048576,10,FALSE),VLOOKUP(Q284,'SINAPI 04-26-SD'!$A$1:$H$272700,4,FALSE)))),2)</f>
        <v>52.03</v>
      </c>
      <c r="V284" s="416">
        <f t="shared" si="964"/>
        <v>265.35000000000002</v>
      </c>
      <c r="W284" s="395">
        <f>IF($AA284="N",BDI!$D$26,IF($AA284="D",'BDI DIFE.'!$D$26,"ERRO"))</f>
        <v>0.22500000000000001</v>
      </c>
      <c r="X284" s="379">
        <f t="shared" si="965"/>
        <v>63.73</v>
      </c>
      <c r="Y284" s="380">
        <f t="shared" si="966"/>
        <v>325.02</v>
      </c>
      <c r="Z284" s="381"/>
      <c r="AA284" s="378" t="s">
        <v>28044</v>
      </c>
      <c r="AB284" s="642"/>
    </row>
    <row r="285" spans="2:28" s="55" customFormat="1" ht="16" thickBot="1">
      <c r="B285" s="378" t="str">
        <f t="shared" ref="B285:B342" ca="1" si="967">IF(C285="S",IF(OFFSET(C285,-1,0)="S", OFFSET(B285,-1,0), OFFSET(B285,-1,0) +1 ), C285)</f>
        <v/>
      </c>
      <c r="C285" s="378" t="str">
        <f t="shared" si="832"/>
        <v/>
      </c>
      <c r="D285" s="378">
        <f t="shared" ca="1" si="711"/>
        <v>14</v>
      </c>
      <c r="E285" s="378">
        <f t="shared" ref="E285:E342" ca="1" si="968">IF($C285="2",OFFSET(E285,-1,0) +1,IF(OFFSET(D285,-1,0)&lt;&gt;D285,"0",IF(OFFSET(E285,-1,0)="","0",OFFSET(E285,-1,0))))</f>
        <v>6</v>
      </c>
      <c r="F285" s="378" t="str">
        <f t="shared" ref="F285:F342" ca="1" si="969">IF($C285="3",OFFSET(F285,-1,0) +1,IF(OFFSET(E285,-1,0)&lt;&gt;E285,"0",IF(OFFSET(F285,-1,0)="","0",OFFSET(F285,-1,0))))</f>
        <v>0</v>
      </c>
      <c r="G285" s="378" t="str">
        <f t="shared" ref="G285:G342" ca="1" si="970">IF($C285="4",OFFSET(G285,-1,0) +1,IF(OFFSET(F285,-1,0)&lt;&gt;F285,"0",IF(OFFSET(G285,-1,0)="","0",OFFSET(G285,-1,0))))</f>
        <v>0</v>
      </c>
      <c r="H285" s="378" t="str">
        <f t="shared" ref="H285:H342" ca="1" si="971">IF($C285="5",OFFSET(H285,-1,0) +1,IF(OFFSET(G285,-1,0)&lt;&gt;G285,"0",IF(OFFSET(H285,-1,0)="","0",OFFSET(H285,-1,0))))</f>
        <v>0</v>
      </c>
      <c r="I285" s="378" t="str">
        <f t="shared" ref="I285:I342" ca="1" si="972">IF($C285="6",OFFSET(I285,-1,0) +1,IF(OFFSET(H285,-1,0)&lt;&gt;H285,"0",IF(OFFSET(I285,-1,0)="","0", OFFSET(I285,-1,0))))</f>
        <v>0</v>
      </c>
      <c r="J285" s="378" t="str">
        <f t="shared" ca="1" si="712"/>
        <v>0</v>
      </c>
      <c r="K285" s="378" t="b">
        <f t="shared" ref="K285:K342" si="973">IF(C285="S","NÃO", IF(C285="1", D285, IF(C285="2", D285 &amp; "." &amp; E285,IF(C285="3", D285 &amp; "." &amp; E285 &amp; "." &amp; F285, IF(C285="4", D285 &amp; "." &amp; E285 &amp; "." &amp; F285 &amp; "." &amp; G285, IF(C285="5", D285 &amp; "." &amp; E285 &amp; "." &amp; F285 &amp; "." &amp; G285 &amp; "." &amp; H285, IF(C285="6", D285 &amp; "." &amp; E285 &amp; "." &amp; F285 &amp; "." &amp; G285 &amp; "." &amp; H285 &amp; "." &amp; I285)))))))</f>
        <v>0</v>
      </c>
      <c r="L285" s="378" t="b">
        <f t="shared" ref="L285:L342" si="974">IF(K285="NÃO",IF($B285=2,D285&amp;"."&amp;J285,IF($B285=3,D285&amp;"."&amp;E285&amp;"."&amp;J285,IF($B285=4,D285&amp;"."&amp;E285&amp;"."&amp;F285&amp;"."&amp;J285,IF($B285=5,D285&amp;"."&amp;E285&amp;"."&amp;F285&amp;"."&amp;G285&amp;"."&amp;J285,IF($B285=6,D285&amp;"."&amp;E285&amp;"."&amp;F285&amp;"."&amp;G285&amp;"."&amp;H285&amp;"."&amp;J285,IF($B285=7,D285&amp;"."&amp;E285&amp;"."&amp;F285&amp;"."&amp;G285&amp;"."&amp;H285&amp;"."&amp;I285&amp;"."&amp;J285,"FALHA")))))),K285)</f>
        <v>0</v>
      </c>
      <c r="O285" s="192"/>
      <c r="P285" s="387"/>
      <c r="Q285" s="387"/>
      <c r="R285" s="377"/>
      <c r="S285" s="387"/>
      <c r="T285" s="363"/>
      <c r="U285" s="388"/>
      <c r="V285" s="389"/>
      <c r="W285" s="389"/>
      <c r="X285" s="389"/>
      <c r="Y285" s="390"/>
      <c r="AB285" s="642"/>
    </row>
    <row r="286" spans="2:28" s="75" customFormat="1" ht="16" thickBot="1">
      <c r="B286" s="75" t="str">
        <f t="shared" ca="1" si="967"/>
        <v>2</v>
      </c>
      <c r="C286" s="75" t="str">
        <f t="shared" si="832"/>
        <v>2</v>
      </c>
      <c r="D286" s="75">
        <f t="shared" ca="1" si="711"/>
        <v>14</v>
      </c>
      <c r="E286" s="75">
        <f t="shared" ca="1" si="968"/>
        <v>7</v>
      </c>
      <c r="F286" s="75" t="str">
        <f t="shared" ca="1" si="969"/>
        <v>0</v>
      </c>
      <c r="G286" s="75" t="str">
        <f t="shared" ca="1" si="970"/>
        <v>0</v>
      </c>
      <c r="H286" s="75" t="str">
        <f t="shared" ca="1" si="971"/>
        <v>0</v>
      </c>
      <c r="I286" s="75" t="str">
        <f t="shared" ca="1" si="972"/>
        <v>0</v>
      </c>
      <c r="J286" s="75" t="str">
        <f t="shared" ca="1" si="712"/>
        <v>0</v>
      </c>
      <c r="K286" s="75" t="str">
        <f t="shared" ca="1" si="973"/>
        <v>14.7</v>
      </c>
      <c r="L286" s="75" t="str">
        <f t="shared" ca="1" si="974"/>
        <v>14.7</v>
      </c>
      <c r="M286" s="55" t="s">
        <v>27861</v>
      </c>
      <c r="O286" s="191" t="str">
        <f t="shared" ref="O286:O322" ca="1" si="975">L286</f>
        <v>14.7</v>
      </c>
      <c r="P286" s="172"/>
      <c r="Q286" s="172"/>
      <c r="R286" s="683" t="s">
        <v>20500</v>
      </c>
      <c r="S286" s="172"/>
      <c r="T286" s="194"/>
      <c r="U286" s="195"/>
      <c r="V286" s="196">
        <f ca="1">IF(VALUE(C286)=1,SUMIFS(V:V,D:D,D286,M:M,"Serviço"),IF(VALUE(C286)=2,SUMIFS(V:V,D:D,D286,E:E,E286,M:M,"Serviço"),IF(VALUE(C286)=3,SUMIFS(V:V,D:D,D286,E:E,E286,F:F,F286,M:M,"Serviço"),IF(VALUE(C286)=4,SUMIFS(V:V,D:D,D286,E:E,E286,F:F,F286,G:G,G286,M:M,"Serviço"),"ERRO"))))</f>
        <v>49392.529999999984</v>
      </c>
      <c r="W286" s="197"/>
      <c r="X286" s="205"/>
      <c r="Y286" s="173">
        <f ca="1">IF(VALUE(C286)=1,SUMIFS(Y:Y,D:D,D286,M:M,"Serviço"),IF(VALUE(C286)=2,SUMIFS(Y:Y,D:D,D286,E:E,E286,M:M,"Serviço"),IF(VALUE(C286)=3,SUMIFS(Y:Y,D:D,D286,E:E,E286,F:F,F286,M:M,"Serviço"),IF(VALUE(C286)=4,SUMIFS(Y:Y,D:D,D286,E:E,E286,F:F,F286,G:G,G286,M:M,"Serviço"),"ERRO"))))</f>
        <v>60505.020000000004</v>
      </c>
      <c r="AB286" s="641"/>
    </row>
    <row r="287" spans="2:28" s="55" customFormat="1" ht="30">
      <c r="B287" s="378">
        <f ca="1">IF(C287="S",IF(OFFSET(C287,-1,0)="S", OFFSET(B287,-1,0), OFFSET(B287,-1,0) +1 ), C287)</f>
        <v>3</v>
      </c>
      <c r="C287" s="378" t="str">
        <f>IF(RIGHT($M287) = "o", "S", RIGHT($M287))</f>
        <v>S</v>
      </c>
      <c r="D287" s="378">
        <f ca="1">IF($C287="1",OFFSET(D287,-2,0) +1,OFFSET(D287,-1,0))</f>
        <v>14</v>
      </c>
      <c r="E287" s="378">
        <f ca="1">IF($C287="2",OFFSET(E287,-1,0) +1,IF(OFFSET(D287,-1,0)&lt;&gt;D287,"0",IF(OFFSET(E287,-1,0)="","0",OFFSET(E287,-1,0))))</f>
        <v>7</v>
      </c>
      <c r="F287" s="378" t="str">
        <f ca="1">IF($C287="3",OFFSET(F287,-1,0) +1,IF(OFFSET(E287,-1,0)&lt;&gt;E287,"0",IF(OFFSET(F287,-1,0)="","0",OFFSET(F287,-1,0))))</f>
        <v>0</v>
      </c>
      <c r="G287" s="378" t="str">
        <f ca="1">IF($C287="4",OFFSET(G287,-1,0) +1,IF(OFFSET(F287,-1,0)&lt;&gt;F287,"0",IF(OFFSET(G287,-1,0)="","0",OFFSET(G287,-1,0))))</f>
        <v>0</v>
      </c>
      <c r="H287" s="378" t="str">
        <f ca="1">IF($C287="5",OFFSET(H287,-1,0) +1,IF(OFFSET(G287,-1,0)&lt;&gt;G287,"0",IF(OFFSET(H287,-1,0)="","0",OFFSET(H287,-1,0))))</f>
        <v>0</v>
      </c>
      <c r="I287" s="378" t="str">
        <f ca="1">IF($C287="6",OFFSET(I287,-1,0) +1,IF(OFFSET(H287,-1,0)&lt;&gt;H287,"0",IF(OFFSET(I287,-1,0)="","0", OFFSET(I287,-1,0))))</f>
        <v>0</v>
      </c>
      <c r="J287" s="378">
        <f ca="1">IF($C287="S",OFFSET(J287,-1,0)+1,"0")</f>
        <v>1</v>
      </c>
      <c r="K287" s="378" t="str">
        <f>IF(C287="S","NÃO", IF(C287="1", D287, IF(C287="2", D287 &amp; "." &amp; E287,IF(C287="3", D287 &amp; "." &amp; E287 &amp; "." &amp; F287, IF(C287="4", D287 &amp; "." &amp; E287 &amp; "." &amp; F287 &amp; "." &amp; G287, IF(C287="5", D287 &amp; "." &amp; E287 &amp; "." &amp; F287 &amp; "." &amp; G287 &amp; "." &amp; H287, IF(C287="6", D287 &amp; "." &amp; E287 &amp; "." &amp; F287 &amp; "." &amp; G287 &amp; "." &amp; H287 &amp; "." &amp; I287)))))))</f>
        <v>NÃO</v>
      </c>
      <c r="L287" s="378" t="str">
        <f ca="1">IF(K287="NÃO",IF($B287=2,D287&amp;"."&amp;J287,IF($B287=3,D287&amp;"."&amp;E287&amp;"."&amp;J287,IF($B287=4,D287&amp;"."&amp;E287&amp;"."&amp;F287&amp;"."&amp;J287,IF($B287=5,D287&amp;"."&amp;E287&amp;"."&amp;F287&amp;"."&amp;G287&amp;"."&amp;J287,IF($B287=6,D287&amp;"."&amp;E287&amp;"."&amp;F287&amp;"."&amp;G287&amp;"."&amp;H287&amp;"."&amp;J287,IF($B287=7,D287&amp;"."&amp;E287&amp;"."&amp;F287&amp;"."&amp;G287&amp;"."&amp;H287&amp;"."&amp;I287&amp;"."&amp;J287,"FALHA")))))),K287)</f>
        <v>14.7.1</v>
      </c>
      <c r="M287" s="55" t="s">
        <v>27868</v>
      </c>
      <c r="O287" s="392" t="str">
        <f ca="1">L287</f>
        <v>14.7.1</v>
      </c>
      <c r="P287" s="681" t="s">
        <v>29901</v>
      </c>
      <c r="Q287" s="682" t="s">
        <v>13556</v>
      </c>
      <c r="R287" s="415" t="str">
        <f>UPPER(IF(P287="CDHU",VLOOKUP(Q287,'CDHU 201-SD'!$A$1:$J$28014,2,FALSE),IF(P287="FDE",VLOOKUP(Q287,'FDE 01-26-SD'!$A$1:$J$280013,2,FALSE),IF(P287="PRÓPRIA",VLOOKUP(Q287,COMPOSIÇÃO!$1:$1048576,3,FALSE),VLOOKUP(Q287,'SINAPI 04-26-SD'!$A$1:$H$272700,2,FALSE)))))</f>
        <v>BARRA DE APOIO RETA, PARA PESSOAS COM MOBILIDADE REDUZIDA, EM TUBO DE AÇO INOXIDÁVEL DE 1 1/2´ X 800 MM</v>
      </c>
      <c r="S287" s="414" t="str">
        <f>UPPER(IF(P287="CDHU",VLOOKUP(Q287,'CDHU 201-SD'!$A$1:$J$28014,3,FALSE),IF(P287="FDE",VLOOKUP(Q287,'FDE 01-26-SD'!$A$1:$J$280013,3,FALSE),IF(P287="PRÓPRIA",VLOOKUP(Q287,COMPOSIÇÃO!$1:$1048576,7,FALSE),VLOOKUP(Q287,'SINAPI 04-26-SD'!$A$1:$H$272700,3,FALSE)))))</f>
        <v>UN</v>
      </c>
      <c r="T287" s="393">
        <v>8</v>
      </c>
      <c r="U287" s="394">
        <f>TRUNC(IF(P287="CDHU",VLOOKUP(Q287,'CDHU 201-SD'!$A$1:$J$28014,6,FALSE),IF(P287="FDE",VLOOKUP(Q287,'FDE 01-26-SD'!$A$1:$J$280013,6,FALSE),IF(P287="PRÓPRIA",VLOOKUP(Q287,COMPOSIÇÃO!$1:$1048576,10,FALSE),VLOOKUP(Q287,'SINAPI 04-26-SD'!$A$1:$H$272700,4,FALSE)))),2)</f>
        <v>187.81</v>
      </c>
      <c r="V287" s="416">
        <f>TRUNC(U287*T287,2)</f>
        <v>1502.48</v>
      </c>
      <c r="W287" s="395">
        <f>IF($AA287="N",BDI!$D$26,IF($AA287="D",'BDI DIFE.'!$D$26,"ERRO"))</f>
        <v>0.22500000000000001</v>
      </c>
      <c r="X287" s="379">
        <f>TRUNC(U287*(1+W287),2)</f>
        <v>230.06</v>
      </c>
      <c r="Y287" s="380">
        <f>TRUNC(T287*X287,2)</f>
        <v>1840.48</v>
      </c>
      <c r="Z287" s="381"/>
      <c r="AA287" s="378" t="s">
        <v>28044</v>
      </c>
      <c r="AB287" s="642"/>
    </row>
    <row r="288" spans="2:28" s="55" customFormat="1" ht="30">
      <c r="B288" s="378">
        <f ca="1">IF(C288="S",IF(OFFSET(C288,-1,0)="S", OFFSET(B288,-1,0), OFFSET(B288,-1,0) +1 ), C288)</f>
        <v>3</v>
      </c>
      <c r="C288" s="378" t="str">
        <f>IF(RIGHT($M288) = "o", "S", RIGHT($M288))</f>
        <v>S</v>
      </c>
      <c r="D288" s="378">
        <f ca="1">IF($C288="1",OFFSET(D288,-2,0) +1,OFFSET(D288,-1,0))</f>
        <v>14</v>
      </c>
      <c r="E288" s="378">
        <f ca="1">IF($C288="2",OFFSET(E288,-1,0) +1,IF(OFFSET(D288,-1,0)&lt;&gt;D288,"0",IF(OFFSET(E288,-1,0)="","0",OFFSET(E288,-1,0))))</f>
        <v>7</v>
      </c>
      <c r="F288" s="378" t="str">
        <f ca="1">IF($C288="3",OFFSET(F288,-1,0) +1,IF(OFFSET(E288,-1,0)&lt;&gt;E288,"0",IF(OFFSET(F288,-1,0)="","0",OFFSET(F288,-1,0))))</f>
        <v>0</v>
      </c>
      <c r="G288" s="378" t="str">
        <f ca="1">IF($C288="4",OFFSET(G288,-1,0) +1,IF(OFFSET(F288,-1,0)&lt;&gt;F288,"0",IF(OFFSET(G288,-1,0)="","0",OFFSET(G288,-1,0))))</f>
        <v>0</v>
      </c>
      <c r="H288" s="378" t="str">
        <f ca="1">IF($C288="5",OFFSET(H288,-1,0) +1,IF(OFFSET(G288,-1,0)&lt;&gt;G288,"0",IF(OFFSET(H288,-1,0)="","0",OFFSET(H288,-1,0))))</f>
        <v>0</v>
      </c>
      <c r="I288" s="378" t="str">
        <f ca="1">IF($C288="6",OFFSET(I288,-1,0) +1,IF(OFFSET(H288,-1,0)&lt;&gt;H288,"0",IF(OFFSET(I288,-1,0)="","0", OFFSET(I288,-1,0))))</f>
        <v>0</v>
      </c>
      <c r="J288" s="378">
        <f ca="1">IF($C288="S",OFFSET(J288,-1,0)+1,"0")</f>
        <v>2</v>
      </c>
      <c r="K288" s="378" t="str">
        <f>IF(C288="S","NÃO", IF(C288="1", D288, IF(C288="2", D288 &amp; "." &amp; E288,IF(C288="3", D288 &amp; "." &amp; E288 &amp; "." &amp; F288, IF(C288="4", D288 &amp; "." &amp; E288 &amp; "." &amp; F288 &amp; "." &amp; G288, IF(C288="5", D288 &amp; "." &amp; E288 &amp; "." &amp; F288 &amp; "." &amp; G288 &amp; "." &amp; H288, IF(C288="6", D288 &amp; "." &amp; E288 &amp; "." &amp; F288 &amp; "." &amp; G288 &amp; "." &amp; H288 &amp; "." &amp; I288)))))))</f>
        <v>NÃO</v>
      </c>
      <c r="L288" s="378" t="str">
        <f ca="1">IF(K288="NÃO",IF($B288=2,D288&amp;"."&amp;J288,IF($B288=3,D288&amp;"."&amp;E288&amp;"."&amp;J288,IF($B288=4,D288&amp;"."&amp;E288&amp;"."&amp;F288&amp;"."&amp;J288,IF($B288=5,D288&amp;"."&amp;E288&amp;"."&amp;F288&amp;"."&amp;G288&amp;"."&amp;J288,IF($B288=6,D288&amp;"."&amp;E288&amp;"."&amp;F288&amp;"."&amp;G288&amp;"."&amp;H288&amp;"."&amp;J288,IF($B288=7,D288&amp;"."&amp;E288&amp;"."&amp;F288&amp;"."&amp;G288&amp;"."&amp;H288&amp;"."&amp;I288&amp;"."&amp;J288,"FALHA")))))),K288)</f>
        <v>14.7.2</v>
      </c>
      <c r="M288" s="55" t="s">
        <v>27868</v>
      </c>
      <c r="O288" s="392" t="str">
        <f ca="1">L288</f>
        <v>14.7.2</v>
      </c>
      <c r="P288" s="681" t="s">
        <v>29901</v>
      </c>
      <c r="Q288" s="682" t="s">
        <v>13568</v>
      </c>
      <c r="R288" s="415" t="str">
        <f>UPPER(IF(P288="CDHU",VLOOKUP(Q288,'CDHU 201-SD'!$A$1:$J$28014,2,FALSE),IF(P288="FDE",VLOOKUP(Q288,'FDE 01-26-SD'!$A$1:$J$280013,2,FALSE),IF(P288="PRÓPRIA",VLOOKUP(Q288,COMPOSIÇÃO!$1:$1048576,3,FALSE),VLOOKUP(Q288,'SINAPI 04-26-SD'!$A$1:$H$272700,2,FALSE)))))</f>
        <v>BARRA DE APOIO RETA, PARA PESSOAS COM MOBILIDADE REDUZIDA, EM TUBO DE AÇO INOXIDÁVEL DE 1 1/4´ X 400 MM</v>
      </c>
      <c r="S288" s="414" t="str">
        <f>UPPER(IF(P288="CDHU",VLOOKUP(Q288,'CDHU 201-SD'!$A$1:$J$28014,3,FALSE),IF(P288="FDE",VLOOKUP(Q288,'FDE 01-26-SD'!$A$1:$J$280013,3,FALSE),IF(P288="PRÓPRIA",VLOOKUP(Q288,COMPOSIÇÃO!$1:$1048576,7,FALSE),VLOOKUP(Q288,'SINAPI 04-26-SD'!$A$1:$H$272700,3,FALSE)))))</f>
        <v>UN</v>
      </c>
      <c r="T288" s="393">
        <v>8</v>
      </c>
      <c r="U288" s="394">
        <f>TRUNC(IF(P288="CDHU",VLOOKUP(Q288,'CDHU 201-SD'!$A$1:$J$28014,6,FALSE),IF(P288="FDE",VLOOKUP(Q288,'FDE 01-26-SD'!$A$1:$J$280013,6,FALSE),IF(P288="PRÓPRIA",VLOOKUP(Q288,COMPOSIÇÃO!$1:$1048576,10,FALSE),VLOOKUP(Q288,'SINAPI 04-26-SD'!$A$1:$H$272700,4,FALSE)))),2)</f>
        <v>171.13</v>
      </c>
      <c r="V288" s="416">
        <f>TRUNC(U288*T288,2)</f>
        <v>1369.04</v>
      </c>
      <c r="W288" s="395">
        <f>IF($AA288="N",BDI!$D$26,IF($AA288="D",'BDI DIFE.'!$D$26,"ERRO"))</f>
        <v>0.22500000000000001</v>
      </c>
      <c r="X288" s="379">
        <f>TRUNC(U288*(1+W288),2)</f>
        <v>209.63</v>
      </c>
      <c r="Y288" s="380">
        <f>TRUNC(T288*X288,2)</f>
        <v>1677.04</v>
      </c>
      <c r="Z288" s="381"/>
      <c r="AA288" s="378" t="s">
        <v>28044</v>
      </c>
      <c r="AB288" s="642"/>
    </row>
    <row r="289" spans="2:28" s="55" customFormat="1" ht="30">
      <c r="B289" s="378">
        <f t="shared" ref="B289" ca="1" si="976">IF(C289="S",IF(OFFSET(C289,-1,0)="S", OFFSET(B289,-1,0), OFFSET(B289,-1,0) +1 ), C289)</f>
        <v>3</v>
      </c>
      <c r="C289" s="378" t="str">
        <f>IF(RIGHT($M289) = "o", "S", RIGHT($M289))</f>
        <v>S</v>
      </c>
      <c r="D289" s="378">
        <f ca="1">IF($C289="1",OFFSET(D289,-2,0) +1,OFFSET(D289,-1,0))</f>
        <v>14</v>
      </c>
      <c r="E289" s="378">
        <f ca="1">IF($C289="2",OFFSET(E289,-1,0) +1,IF(OFFSET(D289,-1,0)&lt;&gt;D289,"0",IF(OFFSET(E289,-1,0)="","0",OFFSET(E289,-1,0))))</f>
        <v>7</v>
      </c>
      <c r="F289" s="378" t="str">
        <f ca="1">IF($C289="3",OFFSET(F289,-1,0) +1,IF(OFFSET(E289,-1,0)&lt;&gt;E289,"0",IF(OFFSET(F289,-1,0)="","0",OFFSET(F289,-1,0))))</f>
        <v>0</v>
      </c>
      <c r="G289" s="378" t="str">
        <f ca="1">IF($C289="4",OFFSET(G289,-1,0) +1,IF(OFFSET(F289,-1,0)&lt;&gt;F289,"0",IF(OFFSET(G289,-1,0)="","0",OFFSET(G289,-1,0))))</f>
        <v>0</v>
      </c>
      <c r="H289" s="378" t="str">
        <f ca="1">IF($C289="5",OFFSET(H289,-1,0) +1,IF(OFFSET(G289,-1,0)&lt;&gt;G289,"0",IF(OFFSET(H289,-1,0)="","0",OFFSET(H289,-1,0))))</f>
        <v>0</v>
      </c>
      <c r="I289" s="378" t="str">
        <f ca="1">IF($C289="6",OFFSET(I289,-1,0) +1,IF(OFFSET(H289,-1,0)&lt;&gt;H289,"0",IF(OFFSET(I289,-1,0)="","0", OFFSET(I289,-1,0))))</f>
        <v>0</v>
      </c>
      <c r="J289" s="378">
        <f ca="1">IF($C289="S",OFFSET(J289,-1,0)+1,"0")</f>
        <v>3</v>
      </c>
      <c r="K289" s="378" t="str">
        <f t="shared" ref="K289" si="977">IF(C289="S","NÃO", IF(C289="1", D289, IF(C289="2", D289 &amp; "." &amp; E289,IF(C289="3", D289 &amp; "." &amp; E289 &amp; "." &amp; F289, IF(C289="4", D289 &amp; "." &amp; E289 &amp; "." &amp; F289 &amp; "." &amp; G289, IF(C289="5", D289 &amp; "." &amp; E289 &amp; "." &amp; F289 &amp; "." &amp; G289 &amp; "." &amp; H289, IF(C289="6", D289 &amp; "." &amp; E289 &amp; "." &amp; F289 &amp; "." &amp; G289 &amp; "." &amp; H289 &amp; "." &amp; I289)))))))</f>
        <v>NÃO</v>
      </c>
      <c r="L289" s="378" t="str">
        <f ca="1">IF(K289="NÃO",IF($B289=2,D289&amp;"."&amp;J289,IF($B289=3,D289&amp;"."&amp;E289&amp;"."&amp;J289,IF($B289=4,D289&amp;"."&amp;E289&amp;"."&amp;F289&amp;"."&amp;J289,IF($B289=5,D289&amp;"."&amp;E289&amp;"."&amp;F289&amp;"."&amp;G289&amp;"."&amp;J289,IF($B289=6,D289&amp;"."&amp;E289&amp;"."&amp;F289&amp;"."&amp;G289&amp;"."&amp;H289&amp;"."&amp;J289,IF($B289=7,D289&amp;"."&amp;E289&amp;"."&amp;F289&amp;"."&amp;G289&amp;"."&amp;H289&amp;"."&amp;I289&amp;"."&amp;J289,"FALHA")))))),K289)</f>
        <v>14.7.3</v>
      </c>
      <c r="M289" s="55" t="s">
        <v>27868</v>
      </c>
      <c r="O289" s="392" t="str">
        <f t="shared" ref="O289" ca="1" si="978">L289</f>
        <v>14.7.3</v>
      </c>
      <c r="P289" s="681" t="s">
        <v>29901</v>
      </c>
      <c r="Q289" s="682" t="s">
        <v>13552</v>
      </c>
      <c r="R289" s="415" t="str">
        <f>UPPER(IF(P289="CDHU",VLOOKUP(Q289,'CDHU 201-SD'!$A$1:$J$28014,2,FALSE),IF(P289="FDE",VLOOKUP(Q289,'FDE 01-26-SD'!$A$1:$J$280013,2,FALSE),IF(P289="PRÓPRIA",VLOOKUP(Q289,COMPOSIÇÃO!$1:$1048576,3,FALSE),VLOOKUP(Q289,'SINAPI 04-26-SD'!$A$1:$H$272700,2,FALSE)))))</f>
        <v>BARRA DE APOIO RETA, PARA PESSOAS COM MOBILIDADE REDUZIDA, EM TUBO DE AÇO INOXIDÁVEL DE 1 1/2´</v>
      </c>
      <c r="S289" s="414" t="str">
        <f>UPPER(IF(P289="CDHU",VLOOKUP(Q289,'CDHU 201-SD'!$A$1:$J$28014,3,FALSE),IF(P289="FDE",VLOOKUP(Q289,'FDE 01-26-SD'!$A$1:$J$280013,3,FALSE),IF(P289="PRÓPRIA",VLOOKUP(Q289,COMPOSIÇÃO!$1:$1048576,7,FALSE),VLOOKUP(Q289,'SINAPI 04-26-SD'!$A$1:$H$272700,3,FALSE)))))</f>
        <v>M</v>
      </c>
      <c r="T289" s="393">
        <f>0.7*8</f>
        <v>5.6</v>
      </c>
      <c r="U289" s="394">
        <f>TRUNC(IF(P289="CDHU",VLOOKUP(Q289,'CDHU 201-SD'!$A$1:$J$28014,6,FALSE),IF(P289="FDE",VLOOKUP(Q289,'FDE 01-26-SD'!$A$1:$J$280013,6,FALSE),IF(P289="PRÓPRIA",VLOOKUP(Q289,COMPOSIÇÃO!$1:$1048576,10,FALSE),VLOOKUP(Q289,'SINAPI 04-26-SD'!$A$1:$H$272700,4,FALSE)))),2)</f>
        <v>222.35</v>
      </c>
      <c r="V289" s="416">
        <f t="shared" ref="V289" si="979">TRUNC(U289*T289,2)</f>
        <v>1245.1600000000001</v>
      </c>
      <c r="W289" s="395">
        <f>IF($AA289="N",BDI!$D$26,IF($AA289="D",'BDI DIFE.'!$D$26,"ERRO"))</f>
        <v>0.22500000000000001</v>
      </c>
      <c r="X289" s="379">
        <f t="shared" ref="X289" si="980">TRUNC(U289*(1+W289),2)</f>
        <v>272.37</v>
      </c>
      <c r="Y289" s="380">
        <f t="shared" ref="Y289" si="981">TRUNC(T289*X289,2)</f>
        <v>1525.27</v>
      </c>
      <c r="Z289" s="381"/>
      <c r="AA289" s="378" t="s">
        <v>28044</v>
      </c>
      <c r="AB289" s="642"/>
    </row>
    <row r="290" spans="2:28" s="55" customFormat="1">
      <c r="B290" s="378">
        <f t="shared" ref="B290:B304" ca="1" si="982">IF(C290="S",IF(OFFSET(C290,-1,0)="S", OFFSET(B290,-1,0), OFFSET(B290,-1,0) +1 ), C290)</f>
        <v>3</v>
      </c>
      <c r="C290" s="378" t="str">
        <f t="shared" si="832"/>
        <v>S</v>
      </c>
      <c r="D290" s="378">
        <f t="shared" ca="1" si="711"/>
        <v>14</v>
      </c>
      <c r="E290" s="378">
        <f t="shared" ref="E290:E304" ca="1" si="983">IF($C290="2",OFFSET(E290,-1,0) +1,IF(OFFSET(D290,-1,0)&lt;&gt;D290,"0",IF(OFFSET(E290,-1,0)="","0",OFFSET(E290,-1,0))))</f>
        <v>7</v>
      </c>
      <c r="F290" s="378" t="str">
        <f t="shared" ref="F290:F304" ca="1" si="984">IF($C290="3",OFFSET(F290,-1,0) +1,IF(OFFSET(E290,-1,0)&lt;&gt;E290,"0",IF(OFFSET(F290,-1,0)="","0",OFFSET(F290,-1,0))))</f>
        <v>0</v>
      </c>
      <c r="G290" s="378" t="str">
        <f t="shared" ref="G290:G304" ca="1" si="985">IF($C290="4",OFFSET(G290,-1,0) +1,IF(OFFSET(F290,-1,0)&lt;&gt;F290,"0",IF(OFFSET(G290,-1,0)="","0",OFFSET(G290,-1,0))))</f>
        <v>0</v>
      </c>
      <c r="H290" s="378" t="str">
        <f t="shared" ref="H290:H304" ca="1" si="986">IF($C290="5",OFFSET(H290,-1,0) +1,IF(OFFSET(G290,-1,0)&lt;&gt;G290,"0",IF(OFFSET(H290,-1,0)="","0",OFFSET(H290,-1,0))))</f>
        <v>0</v>
      </c>
      <c r="I290" s="378" t="str">
        <f t="shared" ref="I290:I304" ca="1" si="987">IF($C290="6",OFFSET(I290,-1,0) +1,IF(OFFSET(H290,-1,0)&lt;&gt;H290,"0",IF(OFFSET(I290,-1,0)="","0", OFFSET(I290,-1,0))))</f>
        <v>0</v>
      </c>
      <c r="J290" s="378">
        <f t="shared" ca="1" si="712"/>
        <v>4</v>
      </c>
      <c r="K290" s="378" t="str">
        <f t="shared" ref="K290:K304" si="988">IF(C290="S","NÃO", IF(C290="1", D290, IF(C290="2", D290 &amp; "." &amp; E290,IF(C290="3", D290 &amp; "." &amp; E290 &amp; "." &amp; F290, IF(C290="4", D290 &amp; "." &amp; E290 &amp; "." &amp; F290 &amp; "." &amp; G290, IF(C290="5", D290 &amp; "." &amp; E290 &amp; "." &amp; F290 &amp; "." &amp; G290 &amp; "." &amp; H290, IF(C290="6", D290 &amp; "." &amp; E290 &amp; "." &amp; F290 &amp; "." &amp; G290 &amp; "." &amp; H290 &amp; "." &amp; I290)))))))</f>
        <v>NÃO</v>
      </c>
      <c r="L290" s="378" t="str">
        <f t="shared" ref="L290:L304" ca="1" si="989">IF(K290="NÃO",IF($B290=2,D290&amp;"."&amp;J290,IF($B290=3,D290&amp;"."&amp;E290&amp;"."&amp;J290,IF($B290=4,D290&amp;"."&amp;E290&amp;"."&amp;F290&amp;"."&amp;J290,IF($B290=5,D290&amp;"."&amp;E290&amp;"."&amp;F290&amp;"."&amp;G290&amp;"."&amp;J290,IF($B290=6,D290&amp;"."&amp;E290&amp;"."&amp;F290&amp;"."&amp;G290&amp;"."&amp;H290&amp;"."&amp;J290,IF($B290=7,D290&amp;"."&amp;E290&amp;"."&amp;F290&amp;"."&amp;G290&amp;"."&amp;H290&amp;"."&amp;I290&amp;"."&amp;J290,"FALHA")))))),K290)</f>
        <v>14.7.4</v>
      </c>
      <c r="M290" s="55" t="s">
        <v>27868</v>
      </c>
      <c r="O290" s="392" t="str">
        <f t="shared" ref="O290:O304" ca="1" si="990">L290</f>
        <v>14.7.4</v>
      </c>
      <c r="P290" s="681" t="s">
        <v>29901</v>
      </c>
      <c r="Q290" s="682" t="s">
        <v>16030</v>
      </c>
      <c r="R290" s="415" t="str">
        <f>UPPER(IF(P290="CDHU",VLOOKUP(Q290,'CDHU 201-SD'!$A$1:$J$28014,2,FALSE),IF(P290="FDE",VLOOKUP(Q290,'FDE 01-26-SD'!$A$1:$J$280013,2,FALSE),IF(P290="PRÓPRIA",VLOOKUP(Q290,COMPOSIÇÃO!$1:$1048576,3,FALSE),VLOOKUP(Q290,'SINAPI 04-26-SD'!$A$1:$H$272700,2,FALSE)))))</f>
        <v>BACIA SIFONADA DE LOUÇA SEM TAMPA - 6 LITROS</v>
      </c>
      <c r="S290" s="414" t="str">
        <f>UPPER(IF(P290="CDHU",VLOOKUP(Q290,'CDHU 201-SD'!$A$1:$J$28014,3,FALSE),IF(P290="FDE",VLOOKUP(Q290,'FDE 01-26-SD'!$A$1:$J$280013,3,FALSE),IF(P290="PRÓPRIA",VLOOKUP(Q290,COMPOSIÇÃO!$1:$1048576,7,FALSE),VLOOKUP(Q290,'SINAPI 04-26-SD'!$A$1:$H$272700,3,FALSE)))))</f>
        <v>UN</v>
      </c>
      <c r="T290" s="393">
        <v>2</v>
      </c>
      <c r="U290" s="394">
        <f>TRUNC(IF(P290="CDHU",VLOOKUP(Q290,'CDHU 201-SD'!$A$1:$J$28014,6,FALSE),IF(P290="FDE",VLOOKUP(Q290,'FDE 01-26-SD'!$A$1:$J$280013,6,FALSE),IF(P290="PRÓPRIA",VLOOKUP(Q290,COMPOSIÇÃO!$1:$1048576,10,FALSE),VLOOKUP(Q290,'SINAPI 04-26-SD'!$A$1:$H$272700,4,FALSE)))),2)</f>
        <v>313.42</v>
      </c>
      <c r="V290" s="416">
        <f t="shared" ref="V290:V304" si="991">TRUNC(U290*T290,2)</f>
        <v>626.84</v>
      </c>
      <c r="W290" s="395">
        <f>IF($AA290="N",BDI!$D$26,IF($AA290="D",'BDI DIFE.'!$D$26,"ERRO"))</f>
        <v>0.22500000000000001</v>
      </c>
      <c r="X290" s="379">
        <f t="shared" ref="X290:X304" si="992">TRUNC(U290*(1+W290),2)</f>
        <v>383.93</v>
      </c>
      <c r="Y290" s="380">
        <f t="shared" ref="Y290:Y304" si="993">TRUNC(T290*X290,2)</f>
        <v>767.86</v>
      </c>
      <c r="Z290" s="381"/>
      <c r="AA290" s="378" t="s">
        <v>28044</v>
      </c>
      <c r="AB290" s="642"/>
    </row>
    <row r="291" spans="2:28" s="55" customFormat="1" ht="30">
      <c r="B291" s="378">
        <f t="shared" ref="B291" ca="1" si="994">IF(C291="S",IF(OFFSET(C291,-1,0)="S", OFFSET(B291,-1,0), OFFSET(B291,-1,0) +1 ), C291)</f>
        <v>3</v>
      </c>
      <c r="C291" s="378" t="str">
        <f t="shared" si="832"/>
        <v>S</v>
      </c>
      <c r="D291" s="378">
        <f t="shared" ca="1" si="711"/>
        <v>14</v>
      </c>
      <c r="E291" s="378">
        <f t="shared" ref="E291" ca="1" si="995">IF($C291="2",OFFSET(E291,-1,0) +1,IF(OFFSET(D291,-1,0)&lt;&gt;D291,"0",IF(OFFSET(E291,-1,0)="","0",OFFSET(E291,-1,0))))</f>
        <v>7</v>
      </c>
      <c r="F291" s="378" t="str">
        <f t="shared" ref="F291" ca="1" si="996">IF($C291="3",OFFSET(F291,-1,0) +1,IF(OFFSET(E291,-1,0)&lt;&gt;E291,"0",IF(OFFSET(F291,-1,0)="","0",OFFSET(F291,-1,0))))</f>
        <v>0</v>
      </c>
      <c r="G291" s="378" t="str">
        <f t="shared" ref="G291" ca="1" si="997">IF($C291="4",OFFSET(G291,-1,0) +1,IF(OFFSET(F291,-1,0)&lt;&gt;F291,"0",IF(OFFSET(G291,-1,0)="","0",OFFSET(G291,-1,0))))</f>
        <v>0</v>
      </c>
      <c r="H291" s="378" t="str">
        <f t="shared" ref="H291" ca="1" si="998">IF($C291="5",OFFSET(H291,-1,0) +1,IF(OFFSET(G291,-1,0)&lt;&gt;G291,"0",IF(OFFSET(H291,-1,0)="","0",OFFSET(H291,-1,0))))</f>
        <v>0</v>
      </c>
      <c r="I291" s="378" t="str">
        <f t="shared" ref="I291" ca="1" si="999">IF($C291="6",OFFSET(I291,-1,0) +1,IF(OFFSET(H291,-1,0)&lt;&gt;H291,"0",IF(OFFSET(I291,-1,0)="","0", OFFSET(I291,-1,0))))</f>
        <v>0</v>
      </c>
      <c r="J291" s="378">
        <f t="shared" ca="1" si="712"/>
        <v>5</v>
      </c>
      <c r="K291" s="378" t="str">
        <f t="shared" ref="K291" si="1000">IF(C291="S","NÃO", IF(C291="1", D291, IF(C291="2", D291 &amp; "." &amp; E291,IF(C291="3", D291 &amp; "." &amp; E291 &amp; "." &amp; F291, IF(C291="4", D291 &amp; "." &amp; E291 &amp; "." &amp; F291 &amp; "." &amp; G291, IF(C291="5", D291 &amp; "." &amp; E291 &amp; "." &amp; F291 &amp; "." &amp; G291 &amp; "." &amp; H291, IF(C291="6", D291 &amp; "." &amp; E291 &amp; "." &amp; F291 &amp; "." &amp; G291 &amp; "." &amp; H291 &amp; "." &amp; I291)))))))</f>
        <v>NÃO</v>
      </c>
      <c r="L291" s="378" t="str">
        <f t="shared" ref="L291" ca="1" si="1001">IF(K291="NÃO",IF($B291=2,D291&amp;"."&amp;J291,IF($B291=3,D291&amp;"."&amp;E291&amp;"."&amp;J291,IF($B291=4,D291&amp;"."&amp;E291&amp;"."&amp;F291&amp;"."&amp;J291,IF($B291=5,D291&amp;"."&amp;E291&amp;"."&amp;F291&amp;"."&amp;G291&amp;"."&amp;J291,IF($B291=6,D291&amp;"."&amp;E291&amp;"."&amp;F291&amp;"."&amp;G291&amp;"."&amp;H291&amp;"."&amp;J291,IF($B291=7,D291&amp;"."&amp;E291&amp;"."&amp;F291&amp;"."&amp;G291&amp;"."&amp;H291&amp;"."&amp;I291&amp;"."&amp;J291,"FALHA")))))),K291)</f>
        <v>14.7.5</v>
      </c>
      <c r="M291" s="55" t="s">
        <v>27868</v>
      </c>
      <c r="O291" s="392" t="str">
        <f t="shared" ref="O291" ca="1" si="1002">L291</f>
        <v>14.7.5</v>
      </c>
      <c r="P291" s="681" t="s">
        <v>29901</v>
      </c>
      <c r="Q291" s="682" t="s">
        <v>13624</v>
      </c>
      <c r="R291" s="415" t="str">
        <f>UPPER(IF(P291="CDHU",VLOOKUP(Q291,'CDHU 201-SD'!$A$1:$J$28014,2,FALSE),IF(P291="FDE",VLOOKUP(Q291,'FDE 01-26-SD'!$A$1:$J$280013,2,FALSE),IF(P291="PRÓPRIA",VLOOKUP(Q291,COMPOSIÇÃO!$1:$1048576,3,FALSE),VLOOKUP(Q291,'SINAPI 04-26-SD'!$A$1:$H$272700,2,FALSE)))))</f>
        <v>BACIA SIFONADA DE LOUÇA PARA PESSOAS COM MOBILIDADE REDUZIDA - CAPACIDADE DE 6 LITROS</v>
      </c>
      <c r="S291" s="414" t="str">
        <f>UPPER(IF(P291="CDHU",VLOOKUP(Q291,'CDHU 201-SD'!$A$1:$J$28014,3,FALSE),IF(P291="FDE",VLOOKUP(Q291,'FDE 01-26-SD'!$A$1:$J$280013,3,FALSE),IF(P291="PRÓPRIA",VLOOKUP(Q291,COMPOSIÇÃO!$1:$1048576,7,FALSE),VLOOKUP(Q291,'SINAPI 04-26-SD'!$A$1:$H$272700,3,FALSE)))))</f>
        <v>UN</v>
      </c>
      <c r="T291" s="393">
        <v>4</v>
      </c>
      <c r="U291" s="394">
        <f>TRUNC(IF(P291="CDHU",VLOOKUP(Q291,'CDHU 201-SD'!$A$1:$J$28014,6,FALSE),IF(P291="FDE",VLOOKUP(Q291,'FDE 01-26-SD'!$A$1:$J$280013,6,FALSE),IF(P291="PRÓPRIA",VLOOKUP(Q291,COMPOSIÇÃO!$1:$1048576,10,FALSE),VLOOKUP(Q291,'SINAPI 04-26-SD'!$A$1:$H$272700,4,FALSE)))),2)</f>
        <v>1275.9100000000001</v>
      </c>
      <c r="V291" s="416">
        <f t="shared" ref="V291" si="1003">TRUNC(U291*T291,2)</f>
        <v>5103.6400000000003</v>
      </c>
      <c r="W291" s="395">
        <f>IF($AA291="N",BDI!$D$26,IF($AA291="D",'BDI DIFE.'!$D$26,"ERRO"))</f>
        <v>0.22500000000000001</v>
      </c>
      <c r="X291" s="379">
        <f t="shared" ref="X291" si="1004">TRUNC(U291*(1+W291),2)</f>
        <v>1562.98</v>
      </c>
      <c r="Y291" s="380">
        <f t="shared" ref="Y291" si="1005">TRUNC(T291*X291,2)</f>
        <v>6251.92</v>
      </c>
      <c r="Z291" s="381"/>
      <c r="AA291" s="378" t="s">
        <v>28044</v>
      </c>
      <c r="AB291" s="642"/>
    </row>
    <row r="292" spans="2:28" s="55" customFormat="1">
      <c r="B292" s="378">
        <f t="shared" ref="B292" ca="1" si="1006">IF(C292="S",IF(OFFSET(C292,-1,0)="S", OFFSET(B292,-1,0), OFFSET(B292,-1,0) +1 ), C292)</f>
        <v>3</v>
      </c>
      <c r="C292" s="378" t="str">
        <f t="shared" si="832"/>
        <v>S</v>
      </c>
      <c r="D292" s="378">
        <f t="shared" ca="1" si="711"/>
        <v>14</v>
      </c>
      <c r="E292" s="378">
        <f t="shared" ref="E292" ca="1" si="1007">IF($C292="2",OFFSET(E292,-1,0) +1,IF(OFFSET(D292,-1,0)&lt;&gt;D292,"0",IF(OFFSET(E292,-1,0)="","0",OFFSET(E292,-1,0))))</f>
        <v>7</v>
      </c>
      <c r="F292" s="378" t="str">
        <f t="shared" ref="F292" ca="1" si="1008">IF($C292="3",OFFSET(F292,-1,0) +1,IF(OFFSET(E292,-1,0)&lt;&gt;E292,"0",IF(OFFSET(F292,-1,0)="","0",OFFSET(F292,-1,0))))</f>
        <v>0</v>
      </c>
      <c r="G292" s="378" t="str">
        <f t="shared" ref="G292" ca="1" si="1009">IF($C292="4",OFFSET(G292,-1,0) +1,IF(OFFSET(F292,-1,0)&lt;&gt;F292,"0",IF(OFFSET(G292,-1,0)="","0",OFFSET(G292,-1,0))))</f>
        <v>0</v>
      </c>
      <c r="H292" s="378" t="str">
        <f t="shared" ref="H292" ca="1" si="1010">IF($C292="5",OFFSET(H292,-1,0) +1,IF(OFFSET(G292,-1,0)&lt;&gt;G292,"0",IF(OFFSET(H292,-1,0)="","0",OFFSET(H292,-1,0))))</f>
        <v>0</v>
      </c>
      <c r="I292" s="378" t="str">
        <f t="shared" ref="I292" ca="1" si="1011">IF($C292="6",OFFSET(I292,-1,0) +1,IF(OFFSET(H292,-1,0)&lt;&gt;H292,"0",IF(OFFSET(I292,-1,0)="","0", OFFSET(I292,-1,0))))</f>
        <v>0</v>
      </c>
      <c r="J292" s="378">
        <f t="shared" ca="1" si="712"/>
        <v>6</v>
      </c>
      <c r="K292" s="378" t="str">
        <f t="shared" ref="K292" si="1012">IF(C292="S","NÃO", IF(C292="1", D292, IF(C292="2", D292 &amp; "." &amp; E292,IF(C292="3", D292 &amp; "." &amp; E292 &amp; "." &amp; F292, IF(C292="4", D292 &amp; "." &amp; E292 &amp; "." &amp; F292 &amp; "." &amp; G292, IF(C292="5", D292 &amp; "." &amp; E292 &amp; "." &amp; F292 &amp; "." &amp; G292 &amp; "." &amp; H292, IF(C292="6", D292 &amp; "." &amp; E292 &amp; "." &amp; F292 &amp; "." &amp; G292 &amp; "." &amp; H292 &amp; "." &amp; I292)))))))</f>
        <v>NÃO</v>
      </c>
      <c r="L292" s="378" t="str">
        <f t="shared" ref="L292" ca="1" si="1013">IF(K292="NÃO",IF($B292=2,D292&amp;"."&amp;J292,IF($B292=3,D292&amp;"."&amp;E292&amp;"."&amp;J292,IF($B292=4,D292&amp;"."&amp;E292&amp;"."&amp;F292&amp;"."&amp;J292,IF($B292=5,D292&amp;"."&amp;E292&amp;"."&amp;F292&amp;"."&amp;G292&amp;"."&amp;J292,IF($B292=6,D292&amp;"."&amp;E292&amp;"."&amp;F292&amp;"."&amp;G292&amp;"."&amp;H292&amp;"."&amp;J292,IF($B292=7,D292&amp;"."&amp;E292&amp;"."&amp;F292&amp;"."&amp;G292&amp;"."&amp;H292&amp;"."&amp;I292&amp;"."&amp;J292,"FALHA")))))),K292)</f>
        <v>14.7.6</v>
      </c>
      <c r="M292" s="55" t="s">
        <v>27868</v>
      </c>
      <c r="O292" s="392" t="str">
        <f t="shared" ref="O292" ca="1" si="1014">L292</f>
        <v>14.7.6</v>
      </c>
      <c r="P292" s="681" t="s">
        <v>29901</v>
      </c>
      <c r="Q292" s="682" t="s">
        <v>16026</v>
      </c>
      <c r="R292" s="415" t="str">
        <f>UPPER(IF(P292="CDHU",VLOOKUP(Q292,'CDHU 201-SD'!$A$1:$J$28014,2,FALSE),IF(P292="FDE",VLOOKUP(Q292,'FDE 01-26-SD'!$A$1:$J$280013,2,FALSE),IF(P292="PRÓPRIA",VLOOKUP(Q292,COMPOSIÇÃO!$1:$1048576,3,FALSE),VLOOKUP(Q292,'SINAPI 04-26-SD'!$A$1:$H$272700,2,FALSE)))))</f>
        <v>BACIA TURCA DE LOUÇA - 6 LITROS</v>
      </c>
      <c r="S292" s="414" t="str">
        <f>UPPER(IF(P292="CDHU",VLOOKUP(Q292,'CDHU 201-SD'!$A$1:$J$28014,3,FALSE),IF(P292="FDE",VLOOKUP(Q292,'FDE 01-26-SD'!$A$1:$J$280013,3,FALSE),IF(P292="PRÓPRIA",VLOOKUP(Q292,COMPOSIÇÃO!$1:$1048576,7,FALSE),VLOOKUP(Q292,'SINAPI 04-26-SD'!$A$1:$H$272700,3,FALSE)))))</f>
        <v>UN</v>
      </c>
      <c r="T292" s="393">
        <v>2</v>
      </c>
      <c r="U292" s="394">
        <f>TRUNC(IF(P292="CDHU",VLOOKUP(Q292,'CDHU 201-SD'!$A$1:$J$28014,6,FALSE),IF(P292="FDE",VLOOKUP(Q292,'FDE 01-26-SD'!$A$1:$J$280013,6,FALSE),IF(P292="PRÓPRIA",VLOOKUP(Q292,COMPOSIÇÃO!$1:$1048576,10,FALSE),VLOOKUP(Q292,'SINAPI 04-26-SD'!$A$1:$H$272700,4,FALSE)))),2)</f>
        <v>900.85</v>
      </c>
      <c r="V292" s="416">
        <f t="shared" ref="V292" si="1015">TRUNC(U292*T292,2)</f>
        <v>1801.7</v>
      </c>
      <c r="W292" s="395">
        <f>IF($AA292="N",BDI!$D$26,IF($AA292="D",'BDI DIFE.'!$D$26,"ERRO"))</f>
        <v>0.22500000000000001</v>
      </c>
      <c r="X292" s="379">
        <f t="shared" ref="X292" si="1016">TRUNC(U292*(1+W292),2)</f>
        <v>1103.54</v>
      </c>
      <c r="Y292" s="380">
        <f t="shared" ref="Y292" si="1017">TRUNC(T292*X292,2)</f>
        <v>2207.08</v>
      </c>
      <c r="Z292" s="381"/>
      <c r="AA292" s="378" t="s">
        <v>28044</v>
      </c>
      <c r="AB292" s="642"/>
    </row>
    <row r="293" spans="2:28" s="55" customFormat="1">
      <c r="B293" s="378">
        <f t="shared" ca="1" si="982"/>
        <v>3</v>
      </c>
      <c r="C293" s="378" t="str">
        <f t="shared" si="832"/>
        <v>S</v>
      </c>
      <c r="D293" s="378">
        <f t="shared" ca="1" si="711"/>
        <v>14</v>
      </c>
      <c r="E293" s="378">
        <f t="shared" ca="1" si="983"/>
        <v>7</v>
      </c>
      <c r="F293" s="378" t="str">
        <f t="shared" ca="1" si="984"/>
        <v>0</v>
      </c>
      <c r="G293" s="378" t="str">
        <f t="shared" ca="1" si="985"/>
        <v>0</v>
      </c>
      <c r="H293" s="378" t="str">
        <f t="shared" ca="1" si="986"/>
        <v>0</v>
      </c>
      <c r="I293" s="378" t="str">
        <f t="shared" ca="1" si="987"/>
        <v>0</v>
      </c>
      <c r="J293" s="378">
        <f t="shared" ca="1" si="712"/>
        <v>7</v>
      </c>
      <c r="K293" s="378" t="str">
        <f t="shared" si="988"/>
        <v>NÃO</v>
      </c>
      <c r="L293" s="378" t="str">
        <f t="shared" ca="1" si="989"/>
        <v>14.7.7</v>
      </c>
      <c r="M293" s="55" t="s">
        <v>27868</v>
      </c>
      <c r="O293" s="392" t="str">
        <f t="shared" ca="1" si="990"/>
        <v>14.7.7</v>
      </c>
      <c r="P293" s="681" t="s">
        <v>29901</v>
      </c>
      <c r="Q293" s="682" t="s">
        <v>16237</v>
      </c>
      <c r="R293" s="415" t="str">
        <f>UPPER(IF(P293="CDHU",VLOOKUP(Q293,'CDHU 201-SD'!$A$1:$J$28014,2,FALSE),IF(P293="FDE",VLOOKUP(Q293,'FDE 01-26-SD'!$A$1:$J$280013,2,FALSE),IF(P293="PRÓPRIA",VLOOKUP(Q293,COMPOSIÇÃO!$1:$1048576,3,FALSE),VLOOKUP(Q293,'SINAPI 04-26-SD'!$A$1:$H$272700,2,FALSE)))))</f>
        <v>TUBO DE LIGAÇÃO PARA SANITÁRIO</v>
      </c>
      <c r="S293" s="414" t="str">
        <f>UPPER(IF(P293="CDHU",VLOOKUP(Q293,'CDHU 201-SD'!$A$1:$J$28014,3,FALSE),IF(P293="FDE",VLOOKUP(Q293,'FDE 01-26-SD'!$A$1:$J$280013,3,FALSE),IF(P293="PRÓPRIA",VLOOKUP(Q293,COMPOSIÇÃO!$1:$1048576,7,FALSE),VLOOKUP(Q293,'SINAPI 04-26-SD'!$A$1:$H$272700,3,FALSE)))))</f>
        <v>UN</v>
      </c>
      <c r="T293" s="393">
        <v>7</v>
      </c>
      <c r="U293" s="394">
        <f>TRUNC(IF(P293="CDHU",VLOOKUP(Q293,'CDHU 201-SD'!$A$1:$J$28014,6,FALSE),IF(P293="FDE",VLOOKUP(Q293,'FDE 01-26-SD'!$A$1:$J$280013,6,FALSE),IF(P293="PRÓPRIA",VLOOKUP(Q293,COMPOSIÇÃO!$1:$1048576,10,FALSE),VLOOKUP(Q293,'SINAPI 04-26-SD'!$A$1:$H$272700,4,FALSE)))),2)</f>
        <v>39.81</v>
      </c>
      <c r="V293" s="416">
        <f t="shared" si="991"/>
        <v>278.67</v>
      </c>
      <c r="W293" s="395">
        <f>IF($AA293="N",BDI!$D$26,IF($AA293="D",'BDI DIFE.'!$D$26,"ERRO"))</f>
        <v>0.22500000000000001</v>
      </c>
      <c r="X293" s="379">
        <f t="shared" si="992"/>
        <v>48.76</v>
      </c>
      <c r="Y293" s="380">
        <f t="shared" si="993"/>
        <v>341.32</v>
      </c>
      <c r="Z293" s="381"/>
      <c r="AA293" s="378" t="s">
        <v>28044</v>
      </c>
      <c r="AB293" s="642"/>
    </row>
    <row r="294" spans="2:28" s="55" customFormat="1">
      <c r="B294" s="378">
        <f t="shared" ca="1" si="982"/>
        <v>3</v>
      </c>
      <c r="C294" s="378" t="str">
        <f t="shared" si="832"/>
        <v>S</v>
      </c>
      <c r="D294" s="378">
        <f t="shared" ca="1" si="711"/>
        <v>14</v>
      </c>
      <c r="E294" s="378">
        <f t="shared" ca="1" si="983"/>
        <v>7</v>
      </c>
      <c r="F294" s="378" t="str">
        <f t="shared" ca="1" si="984"/>
        <v>0</v>
      </c>
      <c r="G294" s="378" t="str">
        <f t="shared" ca="1" si="985"/>
        <v>0</v>
      </c>
      <c r="H294" s="378" t="str">
        <f t="shared" ca="1" si="986"/>
        <v>0</v>
      </c>
      <c r="I294" s="378" t="str">
        <f t="shared" ca="1" si="987"/>
        <v>0</v>
      </c>
      <c r="J294" s="378">
        <f t="shared" ca="1" si="712"/>
        <v>8</v>
      </c>
      <c r="K294" s="378" t="str">
        <f t="shared" si="988"/>
        <v>NÃO</v>
      </c>
      <c r="L294" s="378" t="str">
        <f t="shared" ca="1" si="989"/>
        <v>14.7.8</v>
      </c>
      <c r="M294" s="55" t="s">
        <v>27868</v>
      </c>
      <c r="O294" s="392" t="str">
        <f t="shared" ca="1" si="990"/>
        <v>14.7.8</v>
      </c>
      <c r="P294" s="681" t="s">
        <v>29901</v>
      </c>
      <c r="Q294" s="682" t="s">
        <v>16243</v>
      </c>
      <c r="R294" s="415" t="str">
        <f>UPPER(IF(P294="CDHU",VLOOKUP(Q294,'CDHU 201-SD'!$A$1:$J$28014,2,FALSE),IF(P294="FDE",VLOOKUP(Q294,'FDE 01-26-SD'!$A$1:$J$280013,2,FALSE),IF(P294="PRÓPRIA",VLOOKUP(Q294,COMPOSIÇÃO!$1:$1048576,3,FALSE),VLOOKUP(Q294,'SINAPI 04-26-SD'!$A$1:$H$272700,2,FALSE)))))</f>
        <v>TAMPA DE PLÁSTICO PARA BACIA SANITÁRIA</v>
      </c>
      <c r="S294" s="414" t="str">
        <f>UPPER(IF(P294="CDHU",VLOOKUP(Q294,'CDHU 201-SD'!$A$1:$J$28014,3,FALSE),IF(P294="FDE",VLOOKUP(Q294,'FDE 01-26-SD'!$A$1:$J$280013,3,FALSE),IF(P294="PRÓPRIA",VLOOKUP(Q294,COMPOSIÇÃO!$1:$1048576,7,FALSE),VLOOKUP(Q294,'SINAPI 04-26-SD'!$A$1:$H$272700,3,FALSE)))))</f>
        <v>UN</v>
      </c>
      <c r="T294" s="393">
        <v>7</v>
      </c>
      <c r="U294" s="394">
        <f>TRUNC(IF(P294="CDHU",VLOOKUP(Q294,'CDHU 201-SD'!$A$1:$J$28014,6,FALSE),IF(P294="FDE",VLOOKUP(Q294,'FDE 01-26-SD'!$A$1:$J$280013,6,FALSE),IF(P294="PRÓPRIA",VLOOKUP(Q294,COMPOSIÇÃO!$1:$1048576,10,FALSE),VLOOKUP(Q294,'SINAPI 04-26-SD'!$A$1:$H$272700,4,FALSE)))),2)</f>
        <v>41.19</v>
      </c>
      <c r="V294" s="416">
        <f t="shared" si="991"/>
        <v>288.33</v>
      </c>
      <c r="W294" s="395">
        <f>IF($AA294="N",BDI!$D$26,IF($AA294="D",'BDI DIFE.'!$D$26,"ERRO"))</f>
        <v>0.22500000000000001</v>
      </c>
      <c r="X294" s="379">
        <f t="shared" si="992"/>
        <v>50.45</v>
      </c>
      <c r="Y294" s="380">
        <f t="shared" si="993"/>
        <v>353.15</v>
      </c>
      <c r="Z294" s="381"/>
      <c r="AA294" s="378" t="s">
        <v>28044</v>
      </c>
      <c r="AB294" s="642"/>
    </row>
    <row r="295" spans="2:28" s="55" customFormat="1">
      <c r="B295" s="378">
        <f t="shared" ca="1" si="982"/>
        <v>3</v>
      </c>
      <c r="C295" s="378" t="str">
        <f t="shared" si="832"/>
        <v>S</v>
      </c>
      <c r="D295" s="378">
        <f t="shared" ca="1" si="711"/>
        <v>14</v>
      </c>
      <c r="E295" s="378">
        <f t="shared" ca="1" si="983"/>
        <v>7</v>
      </c>
      <c r="F295" s="378" t="str">
        <f t="shared" ca="1" si="984"/>
        <v>0</v>
      </c>
      <c r="G295" s="378" t="str">
        <f t="shared" ca="1" si="985"/>
        <v>0</v>
      </c>
      <c r="H295" s="378" t="str">
        <f t="shared" ca="1" si="986"/>
        <v>0</v>
      </c>
      <c r="I295" s="378" t="str">
        <f t="shared" ca="1" si="987"/>
        <v>0</v>
      </c>
      <c r="J295" s="378">
        <f t="shared" ca="1" si="712"/>
        <v>9</v>
      </c>
      <c r="K295" s="378" t="str">
        <f t="shared" si="988"/>
        <v>NÃO</v>
      </c>
      <c r="L295" s="378" t="str">
        <f t="shared" ca="1" si="989"/>
        <v>14.7.9</v>
      </c>
      <c r="M295" s="55" t="s">
        <v>27868</v>
      </c>
      <c r="O295" s="392" t="str">
        <f t="shared" ca="1" si="990"/>
        <v>14.7.9</v>
      </c>
      <c r="P295" s="681" t="s">
        <v>29901</v>
      </c>
      <c r="Q295" s="682" t="s">
        <v>16245</v>
      </c>
      <c r="R295" s="415" t="str">
        <f>UPPER(IF(P295="CDHU",VLOOKUP(Q295,'CDHU 201-SD'!$A$1:$J$28014,2,FALSE),IF(P295="FDE",VLOOKUP(Q295,'FDE 01-26-SD'!$A$1:$J$280013,2,FALSE),IF(P295="PRÓPRIA",VLOOKUP(Q295,COMPOSIÇÃO!$1:$1048576,3,FALSE),VLOOKUP(Q295,'SINAPI 04-26-SD'!$A$1:$H$272700,2,FALSE)))))</f>
        <v>BOLSA PARA BACIA SANITÁRIA</v>
      </c>
      <c r="S295" s="414" t="str">
        <f>UPPER(IF(P295="CDHU",VLOOKUP(Q295,'CDHU 201-SD'!$A$1:$J$28014,3,FALSE),IF(P295="FDE",VLOOKUP(Q295,'FDE 01-26-SD'!$A$1:$J$280013,3,FALSE),IF(P295="PRÓPRIA",VLOOKUP(Q295,COMPOSIÇÃO!$1:$1048576,7,FALSE),VLOOKUP(Q295,'SINAPI 04-26-SD'!$A$1:$H$272700,3,FALSE)))))</f>
        <v>UN</v>
      </c>
      <c r="T295" s="393">
        <v>7</v>
      </c>
      <c r="U295" s="394">
        <f>TRUNC(IF(P295="CDHU",VLOOKUP(Q295,'CDHU 201-SD'!$A$1:$J$28014,6,FALSE),IF(P295="FDE",VLOOKUP(Q295,'FDE 01-26-SD'!$A$1:$J$280013,6,FALSE),IF(P295="PRÓPRIA",VLOOKUP(Q295,COMPOSIÇÃO!$1:$1048576,10,FALSE),VLOOKUP(Q295,'SINAPI 04-26-SD'!$A$1:$H$272700,4,FALSE)))),2)</f>
        <v>18.760000000000002</v>
      </c>
      <c r="V295" s="416">
        <f t="shared" si="991"/>
        <v>131.32</v>
      </c>
      <c r="W295" s="395">
        <f>IF($AA295="N",BDI!$D$26,IF($AA295="D",'BDI DIFE.'!$D$26,"ERRO"))</f>
        <v>0.22500000000000001</v>
      </c>
      <c r="X295" s="379">
        <f t="shared" si="992"/>
        <v>22.98</v>
      </c>
      <c r="Y295" s="380">
        <f t="shared" si="993"/>
        <v>160.86000000000001</v>
      </c>
      <c r="Z295" s="381"/>
      <c r="AA295" s="378" t="s">
        <v>28044</v>
      </c>
      <c r="AB295" s="642"/>
    </row>
    <row r="296" spans="2:28" s="55" customFormat="1" ht="30">
      <c r="B296" s="378">
        <f t="shared" ca="1" si="982"/>
        <v>3</v>
      </c>
      <c r="C296" s="378" t="str">
        <f t="shared" si="832"/>
        <v>S</v>
      </c>
      <c r="D296" s="378">
        <f t="shared" ca="1" si="711"/>
        <v>14</v>
      </c>
      <c r="E296" s="378">
        <f t="shared" ca="1" si="983"/>
        <v>7</v>
      </c>
      <c r="F296" s="378" t="str">
        <f t="shared" ca="1" si="984"/>
        <v>0</v>
      </c>
      <c r="G296" s="378" t="str">
        <f t="shared" ca="1" si="985"/>
        <v>0</v>
      </c>
      <c r="H296" s="378" t="str">
        <f t="shared" ca="1" si="986"/>
        <v>0</v>
      </c>
      <c r="I296" s="378" t="str">
        <f t="shared" ca="1" si="987"/>
        <v>0</v>
      </c>
      <c r="J296" s="378">
        <f t="shared" ca="1" si="712"/>
        <v>10</v>
      </c>
      <c r="K296" s="378" t="str">
        <f t="shared" si="988"/>
        <v>NÃO</v>
      </c>
      <c r="L296" s="378" t="str">
        <f t="shared" ca="1" si="989"/>
        <v>14.7.10</v>
      </c>
      <c r="M296" s="55" t="s">
        <v>27868</v>
      </c>
      <c r="O296" s="392" t="str">
        <f t="shared" ca="1" si="990"/>
        <v>14.7.10</v>
      </c>
      <c r="P296" s="681" t="s">
        <v>29901</v>
      </c>
      <c r="Q296" s="682" t="s">
        <v>16066</v>
      </c>
      <c r="R296" s="415" t="str">
        <f>UPPER(IF(P296="CDHU",VLOOKUP(Q296,'CDHU 201-SD'!$A$1:$J$28014,2,FALSE),IF(P296="FDE",VLOOKUP(Q296,'FDE 01-26-SD'!$A$1:$J$280013,2,FALSE),IF(P296="PRÓPRIA",VLOOKUP(Q296,COMPOSIÇÃO!$1:$1048576,3,FALSE),VLOOKUP(Q296,'SINAPI 04-26-SD'!$A$1:$H$272700,2,FALSE)))))</f>
        <v>TAMPO/BANCADA EM GRANITO, COM FRONTÃO, ESPESSURA DE 2 CM, ACABAMENTO POLIDO</v>
      </c>
      <c r="S296" s="414" t="str">
        <f>UPPER(IF(P296="CDHU",VLOOKUP(Q296,'CDHU 201-SD'!$A$1:$J$28014,3,FALSE),IF(P296="FDE",VLOOKUP(Q296,'FDE 01-26-SD'!$A$1:$J$280013,3,FALSE),IF(P296="PRÓPRIA",VLOOKUP(Q296,COMPOSIÇÃO!$1:$1048576,7,FALSE),VLOOKUP(Q296,'SINAPI 04-26-SD'!$A$1:$H$272700,3,FALSE)))))</f>
        <v>M2</v>
      </c>
      <c r="T296" s="393">
        <f>4.16+2.66+0.48+1.32</f>
        <v>8.620000000000001</v>
      </c>
      <c r="U296" s="394">
        <f>TRUNC(IF(P296="CDHU",VLOOKUP(Q296,'CDHU 201-SD'!$A$1:$J$28014,6,FALSE),IF(P296="FDE",VLOOKUP(Q296,'FDE 01-26-SD'!$A$1:$J$280013,6,FALSE),IF(P296="PRÓPRIA",VLOOKUP(Q296,COMPOSIÇÃO!$1:$1048576,10,FALSE),VLOOKUP(Q296,'SINAPI 04-26-SD'!$A$1:$H$272700,4,FALSE)))),2)</f>
        <v>1021.24</v>
      </c>
      <c r="V296" s="416">
        <f t="shared" si="991"/>
        <v>8803.08</v>
      </c>
      <c r="W296" s="395">
        <f>IF($AA296="N",BDI!$D$26,IF($AA296="D",'BDI DIFE.'!$D$26,"ERRO"))</f>
        <v>0.22500000000000001</v>
      </c>
      <c r="X296" s="379">
        <f t="shared" si="992"/>
        <v>1251.01</v>
      </c>
      <c r="Y296" s="380">
        <f t="shared" si="993"/>
        <v>10783.7</v>
      </c>
      <c r="Z296" s="381"/>
      <c r="AA296" s="378" t="s">
        <v>28044</v>
      </c>
      <c r="AB296" s="642"/>
    </row>
    <row r="297" spans="2:28" s="55" customFormat="1">
      <c r="B297" s="378">
        <f t="shared" ref="B297:B298" ca="1" si="1018">IF(C297="S",IF(OFFSET(C297,-1,0)="S", OFFSET(B297,-1,0), OFFSET(B297,-1,0) +1 ), C297)</f>
        <v>3</v>
      </c>
      <c r="C297" s="378" t="str">
        <f t="shared" si="832"/>
        <v>S</v>
      </c>
      <c r="D297" s="378">
        <f t="shared" ca="1" si="711"/>
        <v>14</v>
      </c>
      <c r="E297" s="378">
        <f t="shared" ref="E297:E298" ca="1" si="1019">IF($C297="2",OFFSET(E297,-1,0) +1,IF(OFFSET(D297,-1,0)&lt;&gt;D297,"0",IF(OFFSET(E297,-1,0)="","0",OFFSET(E297,-1,0))))</f>
        <v>7</v>
      </c>
      <c r="F297" s="378" t="str">
        <f t="shared" ref="F297:F298" ca="1" si="1020">IF($C297="3",OFFSET(F297,-1,0) +1,IF(OFFSET(E297,-1,0)&lt;&gt;E297,"0",IF(OFFSET(F297,-1,0)="","0",OFFSET(F297,-1,0))))</f>
        <v>0</v>
      </c>
      <c r="G297" s="378" t="str">
        <f t="shared" ref="G297:G298" ca="1" si="1021">IF($C297="4",OFFSET(G297,-1,0) +1,IF(OFFSET(F297,-1,0)&lt;&gt;F297,"0",IF(OFFSET(G297,-1,0)="","0",OFFSET(G297,-1,0))))</f>
        <v>0</v>
      </c>
      <c r="H297" s="378" t="str">
        <f t="shared" ref="H297:H298" ca="1" si="1022">IF($C297="5",OFFSET(H297,-1,0) +1,IF(OFFSET(G297,-1,0)&lt;&gt;G297,"0",IF(OFFSET(H297,-1,0)="","0",OFFSET(H297,-1,0))))</f>
        <v>0</v>
      </c>
      <c r="I297" s="378" t="str">
        <f t="shared" ref="I297:I298" ca="1" si="1023">IF($C297="6",OFFSET(I297,-1,0) +1,IF(OFFSET(H297,-1,0)&lt;&gt;H297,"0",IF(OFFSET(I297,-1,0)="","0", OFFSET(I297,-1,0))))</f>
        <v>0</v>
      </c>
      <c r="J297" s="378">
        <f t="shared" ca="1" si="712"/>
        <v>11</v>
      </c>
      <c r="K297" s="378" t="str">
        <f t="shared" ref="K297:K298" si="1024">IF(C297="S","NÃO", IF(C297="1", D297, IF(C297="2", D297 &amp; "." &amp; E297,IF(C297="3", D297 &amp; "." &amp; E297 &amp; "." &amp; F297, IF(C297="4", D297 &amp; "." &amp; E297 &amp; "." &amp; F297 &amp; "." &amp; G297, IF(C297="5", D297 &amp; "." &amp; E297 &amp; "." &amp; F297 &amp; "." &amp; G297 &amp; "." &amp; H297, IF(C297="6", D297 &amp; "." &amp; E297 &amp; "." &amp; F297 &amp; "." &amp; G297 &amp; "." &amp; H297 &amp; "." &amp; I297)))))))</f>
        <v>NÃO</v>
      </c>
      <c r="L297" s="378" t="str">
        <f t="shared" ref="L297:L298" ca="1" si="1025">IF(K297="NÃO",IF($B297=2,D297&amp;"."&amp;J297,IF($B297=3,D297&amp;"."&amp;E297&amp;"."&amp;J297,IF($B297=4,D297&amp;"."&amp;E297&amp;"."&amp;F297&amp;"."&amp;J297,IF($B297=5,D297&amp;"."&amp;E297&amp;"."&amp;F297&amp;"."&amp;G297&amp;"."&amp;J297,IF($B297=6,D297&amp;"."&amp;E297&amp;"."&amp;F297&amp;"."&amp;G297&amp;"."&amp;H297&amp;"."&amp;J297,IF($B297=7,D297&amp;"."&amp;E297&amp;"."&amp;F297&amp;"."&amp;G297&amp;"."&amp;H297&amp;"."&amp;I297&amp;"."&amp;J297,"FALHA")))))),K297)</f>
        <v>14.7.11</v>
      </c>
      <c r="M297" s="55" t="s">
        <v>27868</v>
      </c>
      <c r="O297" s="392" t="str">
        <f t="shared" ref="O297:O298" ca="1" si="1026">L297</f>
        <v>14.7.11</v>
      </c>
      <c r="P297" s="681" t="s">
        <v>29901</v>
      </c>
      <c r="Q297" s="682" t="s">
        <v>16046</v>
      </c>
      <c r="R297" s="415" t="str">
        <f>UPPER(IF(P297="CDHU",VLOOKUP(Q297,'CDHU 201-SD'!$A$1:$J$28014,2,FALSE),IF(P297="FDE",VLOOKUP(Q297,'FDE 01-26-SD'!$A$1:$J$280013,2,FALSE),IF(P297="PRÓPRIA",VLOOKUP(Q297,COMPOSIÇÃO!$1:$1048576,3,FALSE),VLOOKUP(Q297,'SINAPI 04-26-SD'!$A$1:$H$272700,2,FALSE)))))</f>
        <v>CUBA DE LOUÇA DE EMBUTIR OVAL</v>
      </c>
      <c r="S297" s="414" t="str">
        <f>UPPER(IF(P297="CDHU",VLOOKUP(Q297,'CDHU 201-SD'!$A$1:$J$28014,3,FALSE),IF(P297="FDE",VLOOKUP(Q297,'FDE 01-26-SD'!$A$1:$J$280013,3,FALSE),IF(P297="PRÓPRIA",VLOOKUP(Q297,COMPOSIÇÃO!$1:$1048576,7,FALSE),VLOOKUP(Q297,'SINAPI 04-26-SD'!$A$1:$H$272700,3,FALSE)))))</f>
        <v>UN</v>
      </c>
      <c r="T297" s="393">
        <v>1</v>
      </c>
      <c r="U297" s="394">
        <f>TRUNC(IF(P297="CDHU",VLOOKUP(Q297,'CDHU 201-SD'!$A$1:$J$28014,6,FALSE),IF(P297="FDE",VLOOKUP(Q297,'FDE 01-26-SD'!$A$1:$J$280013,6,FALSE),IF(P297="PRÓPRIA",VLOOKUP(Q297,COMPOSIÇÃO!$1:$1048576,10,FALSE),VLOOKUP(Q297,'SINAPI 04-26-SD'!$A$1:$H$272700,4,FALSE)))),2)</f>
        <v>140.66999999999999</v>
      </c>
      <c r="V297" s="416">
        <f t="shared" ref="V297:V298" si="1027">TRUNC(U297*T297,2)</f>
        <v>140.66999999999999</v>
      </c>
      <c r="W297" s="395">
        <f>IF($AA297="N",BDI!$D$26,IF($AA297="D",'BDI DIFE.'!$D$26,"ERRO"))</f>
        <v>0.22500000000000001</v>
      </c>
      <c r="X297" s="379">
        <f t="shared" ref="X297:X298" si="1028">TRUNC(U297*(1+W297),2)</f>
        <v>172.32</v>
      </c>
      <c r="Y297" s="380">
        <f t="shared" ref="Y297:Y298" si="1029">TRUNC(T297*X297,2)</f>
        <v>172.32</v>
      </c>
      <c r="Z297" s="381"/>
      <c r="AA297" s="378" t="s">
        <v>28044</v>
      </c>
      <c r="AB297" s="642"/>
    </row>
    <row r="298" spans="2:28" s="55" customFormat="1">
      <c r="B298" s="378">
        <f t="shared" ca="1" si="1018"/>
        <v>3</v>
      </c>
      <c r="C298" s="378" t="str">
        <f t="shared" si="832"/>
        <v>S</v>
      </c>
      <c r="D298" s="378">
        <f t="shared" ca="1" si="711"/>
        <v>14</v>
      </c>
      <c r="E298" s="378">
        <f t="shared" ca="1" si="1019"/>
        <v>7</v>
      </c>
      <c r="F298" s="378" t="str">
        <f t="shared" ca="1" si="1020"/>
        <v>0</v>
      </c>
      <c r="G298" s="378" t="str">
        <f t="shared" ca="1" si="1021"/>
        <v>0</v>
      </c>
      <c r="H298" s="378" t="str">
        <f t="shared" ca="1" si="1022"/>
        <v>0</v>
      </c>
      <c r="I298" s="378" t="str">
        <f t="shared" ca="1" si="1023"/>
        <v>0</v>
      </c>
      <c r="J298" s="378">
        <f t="shared" ca="1" si="712"/>
        <v>12</v>
      </c>
      <c r="K298" s="378" t="str">
        <f t="shared" si="1024"/>
        <v>NÃO</v>
      </c>
      <c r="L298" s="378" t="str">
        <f t="shared" ca="1" si="1025"/>
        <v>14.7.12</v>
      </c>
      <c r="M298" s="55" t="s">
        <v>27868</v>
      </c>
      <c r="O298" s="392" t="str">
        <f t="shared" ca="1" si="1026"/>
        <v>14.7.12</v>
      </c>
      <c r="P298" s="681" t="s">
        <v>29901</v>
      </c>
      <c r="Q298" s="682" t="s">
        <v>16176</v>
      </c>
      <c r="R298" s="415" t="str">
        <f>UPPER(IF(P298="CDHU",VLOOKUP(Q298,'CDHU 201-SD'!$A$1:$J$28014,2,FALSE),IF(P298="FDE",VLOOKUP(Q298,'FDE 01-26-SD'!$A$1:$J$280013,2,FALSE),IF(P298="PRÓPRIA",VLOOKUP(Q298,COMPOSIÇÃO!$1:$1048576,3,FALSE),VLOOKUP(Q298,'SINAPI 04-26-SD'!$A$1:$H$272700,2,FALSE)))))</f>
        <v>CUBA EM AÇO INOXIDÁVEL SIMPLES DE 465X300X140MM</v>
      </c>
      <c r="S298" s="414" t="str">
        <f>UPPER(IF(P298="CDHU",VLOOKUP(Q298,'CDHU 201-SD'!$A$1:$J$28014,3,FALSE),IF(P298="FDE",VLOOKUP(Q298,'FDE 01-26-SD'!$A$1:$J$280013,3,FALSE),IF(P298="PRÓPRIA",VLOOKUP(Q298,COMPOSIÇÃO!$1:$1048576,7,FALSE),VLOOKUP(Q298,'SINAPI 04-26-SD'!$A$1:$H$272700,3,FALSE)))))</f>
        <v>UN</v>
      </c>
      <c r="T298" s="393">
        <v>1</v>
      </c>
      <c r="U298" s="394">
        <f>TRUNC(IF(P298="CDHU",VLOOKUP(Q298,'CDHU 201-SD'!$A$1:$J$28014,6,FALSE),IF(P298="FDE",VLOOKUP(Q298,'FDE 01-26-SD'!$A$1:$J$280013,6,FALSE),IF(P298="PRÓPRIA",VLOOKUP(Q298,COMPOSIÇÃO!$1:$1048576,10,FALSE),VLOOKUP(Q298,'SINAPI 04-26-SD'!$A$1:$H$272700,4,FALSE)))),2)</f>
        <v>307.16000000000003</v>
      </c>
      <c r="V298" s="416">
        <f t="shared" si="1027"/>
        <v>307.16000000000003</v>
      </c>
      <c r="W298" s="395">
        <f>IF($AA298="N",BDI!$D$26,IF($AA298="D",'BDI DIFE.'!$D$26,"ERRO"))</f>
        <v>0.22500000000000001</v>
      </c>
      <c r="X298" s="379">
        <f t="shared" si="1028"/>
        <v>376.27</v>
      </c>
      <c r="Y298" s="380">
        <f t="shared" si="1029"/>
        <v>376.27</v>
      </c>
      <c r="Z298" s="381"/>
      <c r="AA298" s="378" t="s">
        <v>28044</v>
      </c>
      <c r="AB298" s="642"/>
    </row>
    <row r="299" spans="2:28" s="55" customFormat="1" ht="30">
      <c r="B299" s="378">
        <f t="shared" ca="1" si="982"/>
        <v>3</v>
      </c>
      <c r="C299" s="378" t="str">
        <f t="shared" si="832"/>
        <v>S</v>
      </c>
      <c r="D299" s="378">
        <f t="shared" ca="1" si="711"/>
        <v>14</v>
      </c>
      <c r="E299" s="378">
        <f t="shared" ca="1" si="983"/>
        <v>7</v>
      </c>
      <c r="F299" s="378" t="str">
        <f t="shared" ca="1" si="984"/>
        <v>0</v>
      </c>
      <c r="G299" s="378" t="str">
        <f t="shared" ca="1" si="985"/>
        <v>0</v>
      </c>
      <c r="H299" s="378" t="str">
        <f t="shared" ca="1" si="986"/>
        <v>0</v>
      </c>
      <c r="I299" s="378" t="str">
        <f t="shared" ca="1" si="987"/>
        <v>0</v>
      </c>
      <c r="J299" s="378">
        <f t="shared" ca="1" si="712"/>
        <v>13</v>
      </c>
      <c r="K299" s="378" t="str">
        <f t="shared" si="988"/>
        <v>NÃO</v>
      </c>
      <c r="L299" s="378" t="str">
        <f t="shared" ca="1" si="989"/>
        <v>14.7.13</v>
      </c>
      <c r="M299" s="55" t="s">
        <v>27868</v>
      </c>
      <c r="O299" s="392" t="str">
        <f t="shared" ca="1" si="990"/>
        <v>14.7.13</v>
      </c>
      <c r="P299" s="681" t="s">
        <v>29901</v>
      </c>
      <c r="Q299" s="682" t="s">
        <v>16126</v>
      </c>
      <c r="R299" s="415" t="str">
        <f>UPPER(IF(P299="CDHU",VLOOKUP(Q299,'CDHU 201-SD'!$A$1:$J$28014,2,FALSE),IF(P299="FDE",VLOOKUP(Q299,'FDE 01-26-SD'!$A$1:$J$280013,2,FALSE),IF(P299="PRÓPRIA",VLOOKUP(Q299,COMPOSIÇÃO!$1:$1048576,3,FALSE),VLOOKUP(Q299,'SINAPI 04-26-SD'!$A$1:$H$272700,2,FALSE)))))</f>
        <v>TORNEIRA DE MESA PARA PIA COM BICA MÓVEL E AREJADOR EM LATÃO FUNDIDO CROMADO</v>
      </c>
      <c r="S299" s="414" t="str">
        <f>UPPER(IF(P299="CDHU",VLOOKUP(Q299,'CDHU 201-SD'!$A$1:$J$28014,3,FALSE),IF(P299="FDE",VLOOKUP(Q299,'FDE 01-26-SD'!$A$1:$J$280013,3,FALSE),IF(P299="PRÓPRIA",VLOOKUP(Q299,COMPOSIÇÃO!$1:$1048576,7,FALSE),VLOOKUP(Q299,'SINAPI 04-26-SD'!$A$1:$H$272700,3,FALSE)))))</f>
        <v>UN</v>
      </c>
      <c r="T299" s="393">
        <v>1</v>
      </c>
      <c r="U299" s="394">
        <f>TRUNC(IF(P299="CDHU",VLOOKUP(Q299,'CDHU 201-SD'!$A$1:$J$28014,6,FALSE),IF(P299="FDE",VLOOKUP(Q299,'FDE 01-26-SD'!$A$1:$J$280013,6,FALSE),IF(P299="PRÓPRIA",VLOOKUP(Q299,COMPOSIÇÃO!$1:$1048576,10,FALSE),VLOOKUP(Q299,'SINAPI 04-26-SD'!$A$1:$H$272700,4,FALSE)))),2)</f>
        <v>208</v>
      </c>
      <c r="V299" s="416">
        <f t="shared" si="991"/>
        <v>208</v>
      </c>
      <c r="W299" s="395">
        <f>IF($AA299="N",BDI!$D$26,IF($AA299="D",'BDI DIFE.'!$D$26,"ERRO"))</f>
        <v>0.22500000000000001</v>
      </c>
      <c r="X299" s="379">
        <f t="shared" si="992"/>
        <v>254.8</v>
      </c>
      <c r="Y299" s="380">
        <f t="shared" si="993"/>
        <v>254.8</v>
      </c>
      <c r="Z299" s="381"/>
      <c r="AA299" s="378" t="s">
        <v>28044</v>
      </c>
      <c r="AB299" s="642"/>
    </row>
    <row r="300" spans="2:28" s="55" customFormat="1">
      <c r="B300" s="378">
        <f t="shared" ref="B300" ca="1" si="1030">IF(C300="S",IF(OFFSET(C300,-1,0)="S", OFFSET(B300,-1,0), OFFSET(B300,-1,0) +1 ), C300)</f>
        <v>3</v>
      </c>
      <c r="C300" s="378" t="str">
        <f t="shared" si="832"/>
        <v>S</v>
      </c>
      <c r="D300" s="378">
        <f t="shared" ca="1" si="711"/>
        <v>14</v>
      </c>
      <c r="E300" s="378">
        <f t="shared" ref="E300" ca="1" si="1031">IF($C300="2",OFFSET(E300,-1,0) +1,IF(OFFSET(D300,-1,0)&lt;&gt;D300,"0",IF(OFFSET(E300,-1,0)="","0",OFFSET(E300,-1,0))))</f>
        <v>7</v>
      </c>
      <c r="F300" s="378" t="str">
        <f t="shared" ref="F300" ca="1" si="1032">IF($C300="3",OFFSET(F300,-1,0) +1,IF(OFFSET(E300,-1,0)&lt;&gt;E300,"0",IF(OFFSET(F300,-1,0)="","0",OFFSET(F300,-1,0))))</f>
        <v>0</v>
      </c>
      <c r="G300" s="378" t="str">
        <f t="shared" ref="G300" ca="1" si="1033">IF($C300="4",OFFSET(G300,-1,0) +1,IF(OFFSET(F300,-1,0)&lt;&gt;F300,"0",IF(OFFSET(G300,-1,0)="","0",OFFSET(G300,-1,0))))</f>
        <v>0</v>
      </c>
      <c r="H300" s="378" t="str">
        <f t="shared" ref="H300" ca="1" si="1034">IF($C300="5",OFFSET(H300,-1,0) +1,IF(OFFSET(G300,-1,0)&lt;&gt;G300,"0",IF(OFFSET(H300,-1,0)="","0",OFFSET(H300,-1,0))))</f>
        <v>0</v>
      </c>
      <c r="I300" s="378" t="str">
        <f t="shared" ref="I300" ca="1" si="1035">IF($C300="6",OFFSET(I300,-1,0) +1,IF(OFFSET(H300,-1,0)&lt;&gt;H300,"0",IF(OFFSET(I300,-1,0)="","0", OFFSET(I300,-1,0))))</f>
        <v>0</v>
      </c>
      <c r="J300" s="378">
        <f t="shared" ca="1" si="712"/>
        <v>14</v>
      </c>
      <c r="K300" s="378" t="str">
        <f t="shared" ref="K300" si="1036">IF(C300="S","NÃO", IF(C300="1", D300, IF(C300="2", D300 &amp; "." &amp; E300,IF(C300="3", D300 &amp; "." &amp; E300 &amp; "." &amp; F300, IF(C300="4", D300 &amp; "." &amp; E300 &amp; "." &amp; F300 &amp; "." &amp; G300, IF(C300="5", D300 &amp; "." &amp; E300 &amp; "." &amp; F300 &amp; "." &amp; G300 &amp; "." &amp; H300, IF(C300="6", D300 &amp; "." &amp; E300 &amp; "." &amp; F300 &amp; "." &amp; G300 &amp; "." &amp; H300 &amp; "." &amp; I300)))))))</f>
        <v>NÃO</v>
      </c>
      <c r="L300" s="378" t="str">
        <f t="shared" ref="L300" ca="1" si="1037">IF(K300="NÃO",IF($B300=2,D300&amp;"."&amp;J300,IF($B300=3,D300&amp;"."&amp;E300&amp;"."&amp;J300,IF($B300=4,D300&amp;"."&amp;E300&amp;"."&amp;F300&amp;"."&amp;J300,IF($B300=5,D300&amp;"."&amp;E300&amp;"."&amp;F300&amp;"."&amp;G300&amp;"."&amp;J300,IF($B300=6,D300&amp;"."&amp;E300&amp;"."&amp;F300&amp;"."&amp;G300&amp;"."&amp;H300&amp;"."&amp;J300,IF($B300=7,D300&amp;"."&amp;E300&amp;"."&amp;F300&amp;"."&amp;G300&amp;"."&amp;H300&amp;"."&amp;I300&amp;"."&amp;J300,"FALHA")))))),K300)</f>
        <v>14.7.14</v>
      </c>
      <c r="M300" s="55" t="s">
        <v>27868</v>
      </c>
      <c r="O300" s="392" t="str">
        <f t="shared" ref="O300" ca="1" si="1038">L300</f>
        <v>14.7.14</v>
      </c>
      <c r="P300" s="681" t="s">
        <v>29901</v>
      </c>
      <c r="Q300" s="682" t="s">
        <v>16036</v>
      </c>
      <c r="R300" s="415" t="str">
        <f>UPPER(IF(P300="CDHU",VLOOKUP(Q300,'CDHU 201-SD'!$A$1:$J$28014,2,FALSE),IF(P300="FDE",VLOOKUP(Q300,'FDE 01-26-SD'!$A$1:$J$280013,2,FALSE),IF(P300="PRÓPRIA",VLOOKUP(Q300,COMPOSIÇÃO!$1:$1048576,3,FALSE),VLOOKUP(Q300,'SINAPI 04-26-SD'!$A$1:$H$272700,2,FALSE)))))</f>
        <v>LAVATÓRIO DE LOUÇA COM COLUNA</v>
      </c>
      <c r="S300" s="414" t="str">
        <f>UPPER(IF(P300="CDHU",VLOOKUP(Q300,'CDHU 201-SD'!$A$1:$J$28014,3,FALSE),IF(P300="FDE",VLOOKUP(Q300,'FDE 01-26-SD'!$A$1:$J$280013,3,FALSE),IF(P300="PRÓPRIA",VLOOKUP(Q300,COMPOSIÇÃO!$1:$1048576,7,FALSE),VLOOKUP(Q300,'SINAPI 04-26-SD'!$A$1:$H$272700,3,FALSE)))))</f>
        <v>UN</v>
      </c>
      <c r="T300" s="393">
        <v>1</v>
      </c>
      <c r="U300" s="394">
        <f>TRUNC(IF(P300="CDHU",VLOOKUP(Q300,'CDHU 201-SD'!$A$1:$J$28014,6,FALSE),IF(P300="FDE",VLOOKUP(Q300,'FDE 01-26-SD'!$A$1:$J$280013,6,FALSE),IF(P300="PRÓPRIA",VLOOKUP(Q300,COMPOSIÇÃO!$1:$1048576,10,FALSE),VLOOKUP(Q300,'SINAPI 04-26-SD'!$A$1:$H$272700,4,FALSE)))),2)</f>
        <v>572.96</v>
      </c>
      <c r="V300" s="416">
        <f t="shared" ref="V300" si="1039">TRUNC(U300*T300,2)</f>
        <v>572.96</v>
      </c>
      <c r="W300" s="395">
        <f>IF($AA300="N",BDI!$D$26,IF($AA300="D",'BDI DIFE.'!$D$26,"ERRO"))</f>
        <v>0.22500000000000001</v>
      </c>
      <c r="X300" s="379">
        <f t="shared" ref="X300" si="1040">TRUNC(U300*(1+W300),2)</f>
        <v>701.87</v>
      </c>
      <c r="Y300" s="380">
        <f t="shared" ref="Y300" si="1041">TRUNC(T300*X300,2)</f>
        <v>701.87</v>
      </c>
      <c r="Z300" s="381"/>
      <c r="AA300" s="378" t="s">
        <v>28044</v>
      </c>
      <c r="AB300" s="642"/>
    </row>
    <row r="301" spans="2:28" s="55" customFormat="1" ht="30">
      <c r="B301" s="378">
        <f t="shared" ref="B301" ca="1" si="1042">IF(C301="S",IF(OFFSET(C301,-1,0)="S", OFFSET(B301,-1,0), OFFSET(B301,-1,0) +1 ), C301)</f>
        <v>3</v>
      </c>
      <c r="C301" s="378" t="str">
        <f t="shared" si="832"/>
        <v>S</v>
      </c>
      <c r="D301" s="378">
        <f t="shared" ca="1" si="711"/>
        <v>14</v>
      </c>
      <c r="E301" s="378">
        <f t="shared" ref="E301" ca="1" si="1043">IF($C301="2",OFFSET(E301,-1,0) +1,IF(OFFSET(D301,-1,0)&lt;&gt;D301,"0",IF(OFFSET(E301,-1,0)="","0",OFFSET(E301,-1,0))))</f>
        <v>7</v>
      </c>
      <c r="F301" s="378" t="str">
        <f t="shared" ref="F301" ca="1" si="1044">IF($C301="3",OFFSET(F301,-1,0) +1,IF(OFFSET(E301,-1,0)&lt;&gt;E301,"0",IF(OFFSET(F301,-1,0)="","0",OFFSET(F301,-1,0))))</f>
        <v>0</v>
      </c>
      <c r="G301" s="378" t="str">
        <f t="shared" ref="G301" ca="1" si="1045">IF($C301="4",OFFSET(G301,-1,0) +1,IF(OFFSET(F301,-1,0)&lt;&gt;F301,"0",IF(OFFSET(G301,-1,0)="","0",OFFSET(G301,-1,0))))</f>
        <v>0</v>
      </c>
      <c r="H301" s="378" t="str">
        <f t="shared" ref="H301" ca="1" si="1046">IF($C301="5",OFFSET(H301,-1,0) +1,IF(OFFSET(G301,-1,0)&lt;&gt;G301,"0",IF(OFFSET(H301,-1,0)="","0",OFFSET(H301,-1,0))))</f>
        <v>0</v>
      </c>
      <c r="I301" s="378" t="str">
        <f t="shared" ref="I301" ca="1" si="1047">IF($C301="6",OFFSET(I301,-1,0) +1,IF(OFFSET(H301,-1,0)&lt;&gt;H301,"0",IF(OFFSET(I301,-1,0)="","0", OFFSET(I301,-1,0))))</f>
        <v>0</v>
      </c>
      <c r="J301" s="378">
        <f t="shared" ca="1" si="712"/>
        <v>15</v>
      </c>
      <c r="K301" s="378" t="str">
        <f t="shared" ref="K301" si="1048">IF(C301="S","NÃO", IF(C301="1", D301, IF(C301="2", D301 &amp; "." &amp; E301,IF(C301="3", D301 &amp; "." &amp; E301 &amp; "." &amp; F301, IF(C301="4", D301 &amp; "." &amp; E301 &amp; "." &amp; F301 &amp; "." &amp; G301, IF(C301="5", D301 &amp; "." &amp; E301 &amp; "." &amp; F301 &amp; "." &amp; G301 &amp; "." &amp; H301, IF(C301="6", D301 &amp; "." &amp; E301 &amp; "." &amp; F301 &amp; "." &amp; G301 &amp; "." &amp; H301 &amp; "." &amp; I301)))))))</f>
        <v>NÃO</v>
      </c>
      <c r="L301" s="378" t="str">
        <f t="shared" ref="L301" ca="1" si="1049">IF(K301="NÃO",IF($B301=2,D301&amp;"."&amp;J301,IF($B301=3,D301&amp;"."&amp;E301&amp;"."&amp;J301,IF($B301=4,D301&amp;"."&amp;E301&amp;"."&amp;F301&amp;"."&amp;J301,IF($B301=5,D301&amp;"."&amp;E301&amp;"."&amp;F301&amp;"."&amp;G301&amp;"."&amp;J301,IF($B301=6,D301&amp;"."&amp;E301&amp;"."&amp;F301&amp;"."&amp;G301&amp;"."&amp;H301&amp;"."&amp;J301,IF($B301=7,D301&amp;"."&amp;E301&amp;"."&amp;F301&amp;"."&amp;G301&amp;"."&amp;H301&amp;"."&amp;I301&amp;"."&amp;J301,"FALHA")))))),K301)</f>
        <v>14.7.15</v>
      </c>
      <c r="M301" s="55" t="s">
        <v>27868</v>
      </c>
      <c r="O301" s="392" t="str">
        <f t="shared" ref="O301" ca="1" si="1050">L301</f>
        <v>14.7.15</v>
      </c>
      <c r="P301" s="681" t="s">
        <v>29901</v>
      </c>
      <c r="Q301" s="682" t="s">
        <v>16038</v>
      </c>
      <c r="R301" s="415" t="str">
        <f>UPPER(IF(P301="CDHU",VLOOKUP(Q301,'CDHU 201-SD'!$A$1:$J$28014,2,FALSE),IF(P301="FDE",VLOOKUP(Q301,'FDE 01-26-SD'!$A$1:$J$280013,2,FALSE),IF(P301="PRÓPRIA",VLOOKUP(Q301,COMPOSIÇÃO!$1:$1048576,3,FALSE),VLOOKUP(Q301,'SINAPI 04-26-SD'!$A$1:$H$272700,2,FALSE)))))</f>
        <v>LAVATÓRIO DE LOUÇA PEQUENO COM COLUNA SUSPENSA - LINHA ESPECIAL</v>
      </c>
      <c r="S301" s="414" t="str">
        <f>UPPER(IF(P301="CDHU",VLOOKUP(Q301,'CDHU 201-SD'!$A$1:$J$28014,3,FALSE),IF(P301="FDE",VLOOKUP(Q301,'FDE 01-26-SD'!$A$1:$J$280013,3,FALSE),IF(P301="PRÓPRIA",VLOOKUP(Q301,COMPOSIÇÃO!$1:$1048576,7,FALSE),VLOOKUP(Q301,'SINAPI 04-26-SD'!$A$1:$H$272700,3,FALSE)))))</f>
        <v>UN</v>
      </c>
      <c r="T301" s="393">
        <v>4</v>
      </c>
      <c r="U301" s="394">
        <f>TRUNC(IF(P301="CDHU",VLOOKUP(Q301,'CDHU 201-SD'!$A$1:$J$28014,6,FALSE),IF(P301="FDE",VLOOKUP(Q301,'FDE 01-26-SD'!$A$1:$J$280013,6,FALSE),IF(P301="PRÓPRIA",VLOOKUP(Q301,COMPOSIÇÃO!$1:$1048576,10,FALSE),VLOOKUP(Q301,'SINAPI 04-26-SD'!$A$1:$H$272700,4,FALSE)))),2)</f>
        <v>1011.52</v>
      </c>
      <c r="V301" s="416">
        <f t="shared" ref="V301" si="1051">TRUNC(U301*T301,2)</f>
        <v>4046.08</v>
      </c>
      <c r="W301" s="395">
        <f>IF($AA301="N",BDI!$D$26,IF($AA301="D",'BDI DIFE.'!$D$26,"ERRO"))</f>
        <v>0.22500000000000001</v>
      </c>
      <c r="X301" s="379">
        <f t="shared" ref="X301" si="1052">TRUNC(U301*(1+W301),2)</f>
        <v>1239.1099999999999</v>
      </c>
      <c r="Y301" s="380">
        <f t="shared" ref="Y301" si="1053">TRUNC(T301*X301,2)</f>
        <v>4956.4399999999996</v>
      </c>
      <c r="Z301" s="381"/>
      <c r="AA301" s="378" t="s">
        <v>28044</v>
      </c>
      <c r="AB301" s="642"/>
    </row>
    <row r="302" spans="2:28" s="55" customFormat="1" ht="30">
      <c r="B302" s="378">
        <f t="shared" ca="1" si="982"/>
        <v>3</v>
      </c>
      <c r="C302" s="378" t="str">
        <f t="shared" si="832"/>
        <v>S</v>
      </c>
      <c r="D302" s="378">
        <f t="shared" ca="1" si="711"/>
        <v>14</v>
      </c>
      <c r="E302" s="378">
        <f t="shared" ca="1" si="983"/>
        <v>7</v>
      </c>
      <c r="F302" s="378" t="str">
        <f t="shared" ca="1" si="984"/>
        <v>0</v>
      </c>
      <c r="G302" s="378" t="str">
        <f t="shared" ca="1" si="985"/>
        <v>0</v>
      </c>
      <c r="H302" s="378" t="str">
        <f t="shared" ca="1" si="986"/>
        <v>0</v>
      </c>
      <c r="I302" s="378" t="str">
        <f t="shared" ca="1" si="987"/>
        <v>0</v>
      </c>
      <c r="J302" s="378">
        <f t="shared" ca="1" si="712"/>
        <v>16</v>
      </c>
      <c r="K302" s="378" t="str">
        <f t="shared" si="988"/>
        <v>NÃO</v>
      </c>
      <c r="L302" s="378" t="str">
        <f t="shared" ca="1" si="989"/>
        <v>14.7.16</v>
      </c>
      <c r="M302" s="55" t="s">
        <v>27868</v>
      </c>
      <c r="O302" s="392" t="str">
        <f t="shared" ca="1" si="990"/>
        <v>14.7.16</v>
      </c>
      <c r="P302" s="681" t="s">
        <v>29901</v>
      </c>
      <c r="Q302" s="682" t="s">
        <v>16076</v>
      </c>
      <c r="R302" s="415" t="str">
        <f>UPPER(IF(P302="CDHU",VLOOKUP(Q302,'CDHU 201-SD'!$A$1:$J$28014,2,FALSE),IF(P302="FDE",VLOOKUP(Q302,'FDE 01-26-SD'!$A$1:$J$280013,2,FALSE),IF(P302="PRÓPRIA",VLOOKUP(Q302,COMPOSIÇÃO!$1:$1048576,3,FALSE),VLOOKUP(Q302,'SINAPI 04-26-SD'!$A$1:$H$272700,2,FALSE)))))</f>
        <v>DISPENSER TOALHEIRO EM ABS E POLICARBONATO PARA BOBINA DE 20 CM X 200 M, COM ALAVANCA</v>
      </c>
      <c r="S302" s="414" t="str">
        <f>UPPER(IF(P302="CDHU",VLOOKUP(Q302,'CDHU 201-SD'!$A$1:$J$28014,3,FALSE),IF(P302="FDE",VLOOKUP(Q302,'FDE 01-26-SD'!$A$1:$J$280013,3,FALSE),IF(P302="PRÓPRIA",VLOOKUP(Q302,COMPOSIÇÃO!$1:$1048576,7,FALSE),VLOOKUP(Q302,'SINAPI 04-26-SD'!$A$1:$H$272700,3,FALSE)))))</f>
        <v>UN</v>
      </c>
      <c r="T302" s="393">
        <v>7</v>
      </c>
      <c r="U302" s="394">
        <f>TRUNC(IF(P302="CDHU",VLOOKUP(Q302,'CDHU 201-SD'!$A$1:$J$28014,6,FALSE),IF(P302="FDE",VLOOKUP(Q302,'FDE 01-26-SD'!$A$1:$J$280013,6,FALSE),IF(P302="PRÓPRIA",VLOOKUP(Q302,COMPOSIÇÃO!$1:$1048576,10,FALSE),VLOOKUP(Q302,'SINAPI 04-26-SD'!$A$1:$H$272700,4,FALSE)))),2)</f>
        <v>257.93</v>
      </c>
      <c r="V302" s="416">
        <f t="shared" si="991"/>
        <v>1805.51</v>
      </c>
      <c r="W302" s="395">
        <f>IF($AA302="N",BDI!$D$26,IF($AA302="D",'BDI DIFE.'!$D$26,"ERRO"))</f>
        <v>0.22500000000000001</v>
      </c>
      <c r="X302" s="379">
        <f t="shared" si="992"/>
        <v>315.95999999999998</v>
      </c>
      <c r="Y302" s="380">
        <f t="shared" si="993"/>
        <v>2211.7199999999998</v>
      </c>
      <c r="Z302" s="381"/>
      <c r="AA302" s="378" t="s">
        <v>28044</v>
      </c>
      <c r="AB302" s="642"/>
    </row>
    <row r="303" spans="2:28" s="55" customFormat="1">
      <c r="B303" s="378">
        <f t="shared" ca="1" si="982"/>
        <v>3</v>
      </c>
      <c r="C303" s="378" t="str">
        <f t="shared" si="832"/>
        <v>S</v>
      </c>
      <c r="D303" s="378">
        <f t="shared" ca="1" si="711"/>
        <v>14</v>
      </c>
      <c r="E303" s="378">
        <f t="shared" ca="1" si="983"/>
        <v>7</v>
      </c>
      <c r="F303" s="378" t="str">
        <f t="shared" ca="1" si="984"/>
        <v>0</v>
      </c>
      <c r="G303" s="378" t="str">
        <f t="shared" ca="1" si="985"/>
        <v>0</v>
      </c>
      <c r="H303" s="378" t="str">
        <f t="shared" ca="1" si="986"/>
        <v>0</v>
      </c>
      <c r="I303" s="378" t="str">
        <f t="shared" ca="1" si="987"/>
        <v>0</v>
      </c>
      <c r="J303" s="378">
        <f t="shared" ca="1" si="712"/>
        <v>17</v>
      </c>
      <c r="K303" s="378" t="str">
        <f t="shared" si="988"/>
        <v>NÃO</v>
      </c>
      <c r="L303" s="378" t="str">
        <f t="shared" ca="1" si="989"/>
        <v>14.7.17</v>
      </c>
      <c r="M303" s="55" t="s">
        <v>27868</v>
      </c>
      <c r="O303" s="392" t="str">
        <f t="shared" ca="1" si="990"/>
        <v>14.7.17</v>
      </c>
      <c r="P303" s="681" t="s">
        <v>29901</v>
      </c>
      <c r="Q303" s="682" t="s">
        <v>16090</v>
      </c>
      <c r="R303" s="415" t="str">
        <f>UPPER(IF(P303="CDHU",VLOOKUP(Q303,'CDHU 201-SD'!$A$1:$J$28014,2,FALSE),IF(P303="FDE",VLOOKUP(Q303,'FDE 01-26-SD'!$A$1:$J$280013,2,FALSE),IF(P303="PRÓPRIA",VLOOKUP(Q303,COMPOSIÇÃO!$1:$1048576,3,FALSE),VLOOKUP(Q303,'SINAPI 04-26-SD'!$A$1:$H$272700,2,FALSE)))))</f>
        <v>SABONETEIRA TIPO DISPENSER, PARA REFIL DE 800 ML</v>
      </c>
      <c r="S303" s="414" t="str">
        <f>UPPER(IF(P303="CDHU",VLOOKUP(Q303,'CDHU 201-SD'!$A$1:$J$28014,3,FALSE),IF(P303="FDE",VLOOKUP(Q303,'FDE 01-26-SD'!$A$1:$J$280013,3,FALSE),IF(P303="PRÓPRIA",VLOOKUP(Q303,COMPOSIÇÃO!$1:$1048576,7,FALSE),VLOOKUP(Q303,'SINAPI 04-26-SD'!$A$1:$H$272700,3,FALSE)))))</f>
        <v>UN</v>
      </c>
      <c r="T303" s="393">
        <v>6</v>
      </c>
      <c r="U303" s="394">
        <f>TRUNC(IF(P303="CDHU",VLOOKUP(Q303,'CDHU 201-SD'!$A$1:$J$28014,6,FALSE),IF(P303="FDE",VLOOKUP(Q303,'FDE 01-26-SD'!$A$1:$J$280013,6,FALSE),IF(P303="PRÓPRIA",VLOOKUP(Q303,COMPOSIÇÃO!$1:$1048576,10,FALSE),VLOOKUP(Q303,'SINAPI 04-26-SD'!$A$1:$H$272700,4,FALSE)))),2)</f>
        <v>69.290000000000006</v>
      </c>
      <c r="V303" s="416">
        <f t="shared" si="991"/>
        <v>415.74</v>
      </c>
      <c r="W303" s="395">
        <f>IF($AA303="N",BDI!$D$26,IF($AA303="D",'BDI DIFE.'!$D$26,"ERRO"))</f>
        <v>0.22500000000000001</v>
      </c>
      <c r="X303" s="379">
        <f t="shared" si="992"/>
        <v>84.88</v>
      </c>
      <c r="Y303" s="380">
        <f t="shared" si="993"/>
        <v>509.28</v>
      </c>
      <c r="Z303" s="381"/>
      <c r="AA303" s="378" t="s">
        <v>28044</v>
      </c>
      <c r="AB303" s="642"/>
    </row>
    <row r="304" spans="2:28" s="55" customFormat="1" ht="30">
      <c r="B304" s="378">
        <f t="shared" ca="1" si="982"/>
        <v>3</v>
      </c>
      <c r="C304" s="378" t="str">
        <f t="shared" si="832"/>
        <v>S</v>
      </c>
      <c r="D304" s="378">
        <f t="shared" ca="1" si="711"/>
        <v>14</v>
      </c>
      <c r="E304" s="378">
        <f t="shared" ca="1" si="983"/>
        <v>7</v>
      </c>
      <c r="F304" s="378" t="str">
        <f t="shared" ca="1" si="984"/>
        <v>0</v>
      </c>
      <c r="G304" s="378" t="str">
        <f t="shared" ca="1" si="985"/>
        <v>0</v>
      </c>
      <c r="H304" s="378" t="str">
        <f t="shared" ca="1" si="986"/>
        <v>0</v>
      </c>
      <c r="I304" s="378" t="str">
        <f t="shared" ca="1" si="987"/>
        <v>0</v>
      </c>
      <c r="J304" s="378">
        <f t="shared" ca="1" si="712"/>
        <v>18</v>
      </c>
      <c r="K304" s="378" t="str">
        <f t="shared" si="988"/>
        <v>NÃO</v>
      </c>
      <c r="L304" s="378" t="str">
        <f t="shared" ca="1" si="989"/>
        <v>14.7.18</v>
      </c>
      <c r="M304" s="55" t="s">
        <v>27868</v>
      </c>
      <c r="O304" s="392" t="str">
        <f t="shared" ca="1" si="990"/>
        <v>14.7.18</v>
      </c>
      <c r="P304" s="681" t="s">
        <v>29901</v>
      </c>
      <c r="Q304" s="682" t="s">
        <v>16084</v>
      </c>
      <c r="R304" s="415" t="str">
        <f>UPPER(IF(P304="CDHU",VLOOKUP(Q304,'CDHU 201-SD'!$A$1:$J$28014,2,FALSE),IF(P304="FDE",VLOOKUP(Q304,'FDE 01-26-SD'!$A$1:$J$280013,2,FALSE),IF(P304="PRÓPRIA",VLOOKUP(Q304,COMPOSIÇÃO!$1:$1048576,3,FALSE),VLOOKUP(Q304,'SINAPI 04-26-SD'!$A$1:$H$272700,2,FALSE)))))</f>
        <v>DISPENSER PAPEL HIGIÊNICO EM ABS PARA ROLÃO 300 / 600 M, COM VISOR</v>
      </c>
      <c r="S304" s="414" t="str">
        <f>UPPER(IF(P304="CDHU",VLOOKUP(Q304,'CDHU 201-SD'!$A$1:$J$28014,3,FALSE),IF(P304="FDE",VLOOKUP(Q304,'FDE 01-26-SD'!$A$1:$J$280013,3,FALSE),IF(P304="PRÓPRIA",VLOOKUP(Q304,COMPOSIÇÃO!$1:$1048576,7,FALSE),VLOOKUP(Q304,'SINAPI 04-26-SD'!$A$1:$H$272700,3,FALSE)))))</f>
        <v>UN</v>
      </c>
      <c r="T304" s="393">
        <v>6</v>
      </c>
      <c r="U304" s="394">
        <f>TRUNC(IF(P304="CDHU",VLOOKUP(Q304,'CDHU 201-SD'!$A$1:$J$28014,6,FALSE),IF(P304="FDE",VLOOKUP(Q304,'FDE 01-26-SD'!$A$1:$J$280013,6,FALSE),IF(P304="PRÓPRIA",VLOOKUP(Q304,COMPOSIÇÃO!$1:$1048576,10,FALSE),VLOOKUP(Q304,'SINAPI 04-26-SD'!$A$1:$H$272700,4,FALSE)))),2)</f>
        <v>77.47</v>
      </c>
      <c r="V304" s="416">
        <f t="shared" si="991"/>
        <v>464.82</v>
      </c>
      <c r="W304" s="395">
        <f>IF($AA304="N",BDI!$D$26,IF($AA304="D",'BDI DIFE.'!$D$26,"ERRO"))</f>
        <v>0.22500000000000001</v>
      </c>
      <c r="X304" s="379">
        <f t="shared" si="992"/>
        <v>94.9</v>
      </c>
      <c r="Y304" s="380">
        <f t="shared" si="993"/>
        <v>569.4</v>
      </c>
      <c r="Z304" s="381"/>
      <c r="AA304" s="378" t="s">
        <v>28044</v>
      </c>
      <c r="AB304" s="642"/>
    </row>
    <row r="305" spans="2:28" s="55" customFormat="1" ht="30">
      <c r="B305" s="378">
        <f t="shared" ca="1" si="967"/>
        <v>3</v>
      </c>
      <c r="C305" s="378" t="str">
        <f t="shared" si="832"/>
        <v>S</v>
      </c>
      <c r="D305" s="378">
        <f t="shared" ca="1" si="711"/>
        <v>14</v>
      </c>
      <c r="E305" s="378">
        <f t="shared" ca="1" si="968"/>
        <v>7</v>
      </c>
      <c r="F305" s="378" t="str">
        <f t="shared" ca="1" si="969"/>
        <v>0</v>
      </c>
      <c r="G305" s="378" t="str">
        <f t="shared" ca="1" si="970"/>
        <v>0</v>
      </c>
      <c r="H305" s="378" t="str">
        <f t="shared" ca="1" si="971"/>
        <v>0</v>
      </c>
      <c r="I305" s="378" t="str">
        <f t="shared" ca="1" si="972"/>
        <v>0</v>
      </c>
      <c r="J305" s="378">
        <f t="shared" ca="1" si="712"/>
        <v>19</v>
      </c>
      <c r="K305" s="378" t="str">
        <f t="shared" si="973"/>
        <v>NÃO</v>
      </c>
      <c r="L305" s="378" t="str">
        <f t="shared" ca="1" si="974"/>
        <v>14.7.19</v>
      </c>
      <c r="M305" s="55" t="s">
        <v>27868</v>
      </c>
      <c r="O305" s="392" t="str">
        <f t="shared" ca="1" si="975"/>
        <v>14.7.19</v>
      </c>
      <c r="P305" s="681" t="s">
        <v>29901</v>
      </c>
      <c r="Q305" s="682" t="s">
        <v>16132</v>
      </c>
      <c r="R305" s="415" t="str">
        <f>UPPER(IF(P305="CDHU",VLOOKUP(Q305,'CDHU 201-SD'!$A$1:$J$28014,2,FALSE),IF(P305="FDE",VLOOKUP(Q305,'FDE 01-26-SD'!$A$1:$J$280013,2,FALSE),IF(P305="PRÓPRIA",VLOOKUP(Q305,COMPOSIÇÃO!$1:$1048576,3,FALSE),VLOOKUP(Q305,'SINAPI 04-26-SD'!$A$1:$H$272700,2,FALSE)))))</f>
        <v>TORNEIRA DE MESA AUTOMÁTICA, ACIONAMENTO HIDROMECÂNICO, EM LATÃO CROMADO, DN= 1/2´OU 3/4´</v>
      </c>
      <c r="S305" s="414" t="str">
        <f>UPPER(IF(P305="CDHU",VLOOKUP(Q305,'CDHU 201-SD'!$A$1:$J$28014,3,FALSE),IF(P305="FDE",VLOOKUP(Q305,'FDE 01-26-SD'!$A$1:$J$280013,3,FALSE),IF(P305="PRÓPRIA",VLOOKUP(Q305,COMPOSIÇÃO!$1:$1048576,7,FALSE),VLOOKUP(Q305,'SINAPI 04-26-SD'!$A$1:$H$272700,3,FALSE)))))</f>
        <v>UN</v>
      </c>
      <c r="T305" s="393">
        <v>2</v>
      </c>
      <c r="U305" s="394">
        <f>TRUNC(IF(P305="CDHU",VLOOKUP(Q305,'CDHU 201-SD'!$A$1:$J$28014,6,FALSE),IF(P305="FDE",VLOOKUP(Q305,'FDE 01-26-SD'!$A$1:$J$280013,6,FALSE),IF(P305="PRÓPRIA",VLOOKUP(Q305,COMPOSIÇÃO!$1:$1048576,10,FALSE),VLOOKUP(Q305,'SINAPI 04-26-SD'!$A$1:$H$272700,4,FALSE)))),2)</f>
        <v>158.77000000000001</v>
      </c>
      <c r="V305" s="416">
        <f t="shared" ref="V305:V314" si="1054">TRUNC(U305*T305,2)</f>
        <v>317.54000000000002</v>
      </c>
      <c r="W305" s="395">
        <f>IF($AA305="N",BDI!$D$26,IF($AA305="D",'BDI DIFE.'!$D$26,"ERRO"))</f>
        <v>0.22500000000000001</v>
      </c>
      <c r="X305" s="379">
        <f t="shared" ref="X305:X314" si="1055">TRUNC(U305*(1+W305),2)</f>
        <v>194.49</v>
      </c>
      <c r="Y305" s="380">
        <f t="shared" ref="Y305:Y314" si="1056">TRUNC(T305*X305,2)</f>
        <v>388.98</v>
      </c>
      <c r="Z305" s="381"/>
      <c r="AA305" s="378" t="s">
        <v>28044</v>
      </c>
      <c r="AB305" s="642"/>
    </row>
    <row r="306" spans="2:28" s="55" customFormat="1" ht="45">
      <c r="B306" s="378">
        <f t="shared" ref="B306:B308" ca="1" si="1057">IF(C306="S",IF(OFFSET(C306,-1,0)="S", OFFSET(B306,-1,0), OFFSET(B306,-1,0) +1 ), C306)</f>
        <v>3</v>
      </c>
      <c r="C306" s="378" t="str">
        <f t="shared" si="832"/>
        <v>S</v>
      </c>
      <c r="D306" s="378">
        <f t="shared" ca="1" si="711"/>
        <v>14</v>
      </c>
      <c r="E306" s="378">
        <f t="shared" ref="E306:E308" ca="1" si="1058">IF($C306="2",OFFSET(E306,-1,0) +1,IF(OFFSET(D306,-1,0)&lt;&gt;D306,"0",IF(OFFSET(E306,-1,0)="","0",OFFSET(E306,-1,0))))</f>
        <v>7</v>
      </c>
      <c r="F306" s="378" t="str">
        <f t="shared" ref="F306:F308" ca="1" si="1059">IF($C306="3",OFFSET(F306,-1,0) +1,IF(OFFSET(E306,-1,0)&lt;&gt;E306,"0",IF(OFFSET(F306,-1,0)="","0",OFFSET(F306,-1,0))))</f>
        <v>0</v>
      </c>
      <c r="G306" s="378" t="str">
        <f t="shared" ref="G306:G308" ca="1" si="1060">IF($C306="4",OFFSET(G306,-1,0) +1,IF(OFFSET(F306,-1,0)&lt;&gt;F306,"0",IF(OFFSET(G306,-1,0)="","0",OFFSET(G306,-1,0))))</f>
        <v>0</v>
      </c>
      <c r="H306" s="378" t="str">
        <f t="shared" ref="H306:H308" ca="1" si="1061">IF($C306="5",OFFSET(H306,-1,0) +1,IF(OFFSET(G306,-1,0)&lt;&gt;G306,"0",IF(OFFSET(H306,-1,0)="","0",OFFSET(H306,-1,0))))</f>
        <v>0</v>
      </c>
      <c r="I306" s="378" t="str">
        <f t="shared" ref="I306:I308" ca="1" si="1062">IF($C306="6",OFFSET(I306,-1,0) +1,IF(OFFSET(H306,-1,0)&lt;&gt;H306,"0",IF(OFFSET(I306,-1,0)="","0", OFFSET(I306,-1,0))))</f>
        <v>0</v>
      </c>
      <c r="J306" s="378">
        <f t="shared" ca="1" si="712"/>
        <v>20</v>
      </c>
      <c r="K306" s="378" t="str">
        <f t="shared" ref="K306:K308" si="1063">IF(C306="S","NÃO", IF(C306="1", D306, IF(C306="2", D306 &amp; "." &amp; E306,IF(C306="3", D306 &amp; "." &amp; E306 &amp; "." &amp; F306, IF(C306="4", D306 &amp; "." &amp; E306 &amp; "." &amp; F306 &amp; "." &amp; G306, IF(C306="5", D306 &amp; "." &amp; E306 &amp; "." &amp; F306 &amp; "." &amp; G306 &amp; "." &amp; H306, IF(C306="6", D306 &amp; "." &amp; E306 &amp; "." &amp; F306 &amp; "." &amp; G306 &amp; "." &amp; H306 &amp; "." &amp; I306)))))))</f>
        <v>NÃO</v>
      </c>
      <c r="L306" s="378" t="str">
        <f t="shared" ref="L306:L308" ca="1" si="1064">IF(K306="NÃO",IF($B306=2,D306&amp;"."&amp;J306,IF($B306=3,D306&amp;"."&amp;E306&amp;"."&amp;J306,IF($B306=4,D306&amp;"."&amp;E306&amp;"."&amp;F306&amp;"."&amp;J306,IF($B306=5,D306&amp;"."&amp;E306&amp;"."&amp;F306&amp;"."&amp;G306&amp;"."&amp;J306,IF($B306=6,D306&amp;"."&amp;E306&amp;"."&amp;F306&amp;"."&amp;G306&amp;"."&amp;H306&amp;"."&amp;J306,IF($B306=7,D306&amp;"."&amp;E306&amp;"."&amp;F306&amp;"."&amp;G306&amp;"."&amp;H306&amp;"."&amp;I306&amp;"."&amp;J306,"FALHA")))))),K306)</f>
        <v>14.7.20</v>
      </c>
      <c r="M306" s="55" t="s">
        <v>27868</v>
      </c>
      <c r="O306" s="392" t="str">
        <f t="shared" ref="O306:O308" ca="1" si="1065">L306</f>
        <v>14.7.20</v>
      </c>
      <c r="P306" s="681" t="s">
        <v>29901</v>
      </c>
      <c r="Q306" s="682" t="s">
        <v>16140</v>
      </c>
      <c r="R306" s="415" t="str">
        <f>UPPER(IF(P306="CDHU",VLOOKUP(Q306,'CDHU 201-SD'!$A$1:$J$28014,2,FALSE),IF(P306="FDE",VLOOKUP(Q306,'FDE 01-26-SD'!$A$1:$J$280013,2,FALSE),IF(P306="PRÓPRIA",VLOOKUP(Q306,COMPOSIÇÃO!$1:$1048576,3,FALSE),VLOOKUP(Q306,'SINAPI 04-26-SD'!$A$1:$H$272700,2,FALSE)))))</f>
        <v>TORNEIRA DE MESA PARA LAVATÓRIO, ACIONAMENTO HIDROMECÂNICO COM ALAVANCA, REGISTRO INTEGRADO REGULADOR DE VAZÃO, EM LATÃO CROMADO, DN= 1/2´</v>
      </c>
      <c r="S306" s="414" t="str">
        <f>UPPER(IF(P306="CDHU",VLOOKUP(Q306,'CDHU 201-SD'!$A$1:$J$28014,3,FALSE),IF(P306="FDE",VLOOKUP(Q306,'FDE 01-26-SD'!$A$1:$J$280013,3,FALSE),IF(P306="PRÓPRIA",VLOOKUP(Q306,COMPOSIÇÃO!$1:$1048576,7,FALSE),VLOOKUP(Q306,'SINAPI 04-26-SD'!$A$1:$H$272700,3,FALSE)))))</f>
        <v>UN</v>
      </c>
      <c r="T306" s="393">
        <v>4</v>
      </c>
      <c r="U306" s="394">
        <f>TRUNC(IF(P306="CDHU",VLOOKUP(Q306,'CDHU 201-SD'!$A$1:$J$28014,6,FALSE),IF(P306="FDE",VLOOKUP(Q306,'FDE 01-26-SD'!$A$1:$J$280013,6,FALSE),IF(P306="PRÓPRIA",VLOOKUP(Q306,COMPOSIÇÃO!$1:$1048576,10,FALSE),VLOOKUP(Q306,'SINAPI 04-26-SD'!$A$1:$H$272700,4,FALSE)))),2)</f>
        <v>861.33</v>
      </c>
      <c r="V306" s="416">
        <f t="shared" ref="V306:V308" si="1066">TRUNC(U306*T306,2)</f>
        <v>3445.32</v>
      </c>
      <c r="W306" s="395">
        <f>IF($AA306="N",BDI!$D$26,IF($AA306="D",'BDI DIFE.'!$D$26,"ERRO"))</f>
        <v>0.22500000000000001</v>
      </c>
      <c r="X306" s="379">
        <f t="shared" ref="X306:X308" si="1067">TRUNC(U306*(1+W306),2)</f>
        <v>1055.1199999999999</v>
      </c>
      <c r="Y306" s="380">
        <f t="shared" ref="Y306:Y308" si="1068">TRUNC(T306*X306,2)</f>
        <v>4220.4799999999996</v>
      </c>
      <c r="Z306" s="381"/>
      <c r="AA306" s="378" t="s">
        <v>28044</v>
      </c>
      <c r="AB306" s="642"/>
    </row>
    <row r="307" spans="2:28" s="55" customFormat="1" ht="30">
      <c r="B307" s="378">
        <f t="shared" ca="1" si="1057"/>
        <v>3</v>
      </c>
      <c r="C307" s="378" t="str">
        <f t="shared" si="832"/>
        <v>S</v>
      </c>
      <c r="D307" s="378">
        <f t="shared" ca="1" si="711"/>
        <v>14</v>
      </c>
      <c r="E307" s="378">
        <f t="shared" ca="1" si="1058"/>
        <v>7</v>
      </c>
      <c r="F307" s="378" t="str">
        <f t="shared" ca="1" si="1059"/>
        <v>0</v>
      </c>
      <c r="G307" s="378" t="str">
        <f t="shared" ca="1" si="1060"/>
        <v>0</v>
      </c>
      <c r="H307" s="378" t="str">
        <f t="shared" ca="1" si="1061"/>
        <v>0</v>
      </c>
      <c r="I307" s="378" t="str">
        <f t="shared" ca="1" si="1062"/>
        <v>0</v>
      </c>
      <c r="J307" s="378">
        <f t="shared" ca="1" si="712"/>
        <v>21</v>
      </c>
      <c r="K307" s="378" t="str">
        <f t="shared" si="1063"/>
        <v>NÃO</v>
      </c>
      <c r="L307" s="378" t="str">
        <f t="shared" ca="1" si="1064"/>
        <v>14.7.21</v>
      </c>
      <c r="M307" s="55" t="s">
        <v>27868</v>
      </c>
      <c r="O307" s="392" t="str">
        <f t="shared" ca="1" si="1065"/>
        <v>14.7.21</v>
      </c>
      <c r="P307" s="681" t="s">
        <v>29901</v>
      </c>
      <c r="Q307" s="682" t="s">
        <v>16108</v>
      </c>
      <c r="R307" s="415" t="str">
        <f>UPPER(IF(P307="CDHU",VLOOKUP(Q307,'CDHU 201-SD'!$A$1:$J$28014,2,FALSE),IF(P307="FDE",VLOOKUP(Q307,'FDE 01-26-SD'!$A$1:$J$280013,2,FALSE),IF(P307="PRÓPRIA",VLOOKUP(Q307,COMPOSIÇÃO!$1:$1048576,3,FALSE),VLOOKUP(Q307,'SINAPI 04-26-SD'!$A$1:$H$272700,2,FALSE)))))</f>
        <v>TORNEIRA CURTA COM ROSCA PARA USO GERAL, EM LATÃO FUNDIDO SEM ACABAMENTO, DN= 3/4´</v>
      </c>
      <c r="S307" s="414" t="str">
        <f>UPPER(IF(P307="CDHU",VLOOKUP(Q307,'CDHU 201-SD'!$A$1:$J$28014,3,FALSE),IF(P307="FDE",VLOOKUP(Q307,'FDE 01-26-SD'!$A$1:$J$280013,3,FALSE),IF(P307="PRÓPRIA",VLOOKUP(Q307,COMPOSIÇÃO!$1:$1048576,7,FALSE),VLOOKUP(Q307,'SINAPI 04-26-SD'!$A$1:$H$272700,3,FALSE)))))</f>
        <v>UN</v>
      </c>
      <c r="T307" s="393">
        <v>2</v>
      </c>
      <c r="U307" s="394">
        <f>TRUNC(IF(P307="CDHU",VLOOKUP(Q307,'CDHU 201-SD'!$A$1:$J$28014,6,FALSE),IF(P307="FDE",VLOOKUP(Q307,'FDE 01-26-SD'!$A$1:$J$280013,6,FALSE),IF(P307="PRÓPRIA",VLOOKUP(Q307,COMPOSIÇÃO!$1:$1048576,10,FALSE),VLOOKUP(Q307,'SINAPI 04-26-SD'!$A$1:$H$272700,4,FALSE)))),2)</f>
        <v>67.77</v>
      </c>
      <c r="V307" s="416">
        <f t="shared" si="1066"/>
        <v>135.54</v>
      </c>
      <c r="W307" s="395">
        <f>IF($AA307="N",BDI!$D$26,IF($AA307="D",'BDI DIFE.'!$D$26,"ERRO"))</f>
        <v>0.22500000000000001</v>
      </c>
      <c r="X307" s="379">
        <f t="shared" si="1067"/>
        <v>83.01</v>
      </c>
      <c r="Y307" s="380">
        <f t="shared" si="1068"/>
        <v>166.02</v>
      </c>
      <c r="Z307" s="381"/>
      <c r="AA307" s="378" t="s">
        <v>28044</v>
      </c>
      <c r="AB307" s="642"/>
    </row>
    <row r="308" spans="2:28" s="55" customFormat="1">
      <c r="B308" s="378">
        <f t="shared" ca="1" si="1057"/>
        <v>3</v>
      </c>
      <c r="C308" s="378" t="str">
        <f t="shared" si="832"/>
        <v>S</v>
      </c>
      <c r="D308" s="378">
        <f t="shared" ca="1" si="711"/>
        <v>14</v>
      </c>
      <c r="E308" s="378">
        <f t="shared" ca="1" si="1058"/>
        <v>7</v>
      </c>
      <c r="F308" s="378" t="str">
        <f t="shared" ca="1" si="1059"/>
        <v>0</v>
      </c>
      <c r="G308" s="378" t="str">
        <f t="shared" ca="1" si="1060"/>
        <v>0</v>
      </c>
      <c r="H308" s="378" t="str">
        <f t="shared" ca="1" si="1061"/>
        <v>0</v>
      </c>
      <c r="I308" s="378" t="str">
        <f t="shared" ca="1" si="1062"/>
        <v>0</v>
      </c>
      <c r="J308" s="378">
        <f t="shared" ca="1" si="712"/>
        <v>22</v>
      </c>
      <c r="K308" s="378" t="str">
        <f t="shared" si="1063"/>
        <v>NÃO</v>
      </c>
      <c r="L308" s="378" t="str">
        <f t="shared" ca="1" si="1064"/>
        <v>14.7.22</v>
      </c>
      <c r="M308" s="55" t="s">
        <v>27868</v>
      </c>
      <c r="O308" s="392" t="str">
        <f t="shared" ca="1" si="1065"/>
        <v>14.7.22</v>
      </c>
      <c r="P308" s="681" t="s">
        <v>29901</v>
      </c>
      <c r="Q308" s="682" t="s">
        <v>16040</v>
      </c>
      <c r="R308" s="415" t="str">
        <f>UPPER(IF(P308="CDHU",VLOOKUP(Q308,'CDHU 201-SD'!$A$1:$J$28014,2,FALSE),IF(P308="FDE",VLOOKUP(Q308,'FDE 01-26-SD'!$A$1:$J$280013,2,FALSE),IF(P308="PRÓPRIA",VLOOKUP(Q308,COMPOSIÇÃO!$1:$1048576,3,FALSE),VLOOKUP(Q308,'SINAPI 04-26-SD'!$A$1:$H$272700,2,FALSE)))))</f>
        <v>LAVATÓRIO EM POLIPROPILENO</v>
      </c>
      <c r="S308" s="414" t="str">
        <f>UPPER(IF(P308="CDHU",VLOOKUP(Q308,'CDHU 201-SD'!$A$1:$J$28014,3,FALSE),IF(P308="FDE",VLOOKUP(Q308,'FDE 01-26-SD'!$A$1:$J$280013,3,FALSE),IF(P308="PRÓPRIA",VLOOKUP(Q308,COMPOSIÇÃO!$1:$1048576,7,FALSE),VLOOKUP(Q308,'SINAPI 04-26-SD'!$A$1:$H$272700,3,FALSE)))))</f>
        <v>UN</v>
      </c>
      <c r="T308" s="393">
        <v>2</v>
      </c>
      <c r="U308" s="394">
        <f>TRUNC(IF(P308="CDHU",VLOOKUP(Q308,'CDHU 201-SD'!$A$1:$J$28014,6,FALSE),IF(P308="FDE",VLOOKUP(Q308,'FDE 01-26-SD'!$A$1:$J$280013,6,FALSE),IF(P308="PRÓPRIA",VLOOKUP(Q308,COMPOSIÇÃO!$1:$1048576,10,FALSE),VLOOKUP(Q308,'SINAPI 04-26-SD'!$A$1:$H$272700,4,FALSE)))),2)</f>
        <v>77</v>
      </c>
      <c r="V308" s="416">
        <f t="shared" si="1066"/>
        <v>154</v>
      </c>
      <c r="W308" s="395">
        <f>IF($AA308="N",BDI!$D$26,IF($AA308="D",'BDI DIFE.'!$D$26,"ERRO"))</f>
        <v>0.22500000000000001</v>
      </c>
      <c r="X308" s="379">
        <f t="shared" si="1067"/>
        <v>94.32</v>
      </c>
      <c r="Y308" s="380">
        <f t="shared" si="1068"/>
        <v>188.64</v>
      </c>
      <c r="Z308" s="381"/>
      <c r="AA308" s="378" t="s">
        <v>28044</v>
      </c>
      <c r="AB308" s="642"/>
    </row>
    <row r="309" spans="2:28" s="55" customFormat="1">
      <c r="B309" s="378">
        <f t="shared" ca="1" si="967"/>
        <v>3</v>
      </c>
      <c r="C309" s="378" t="str">
        <f t="shared" si="832"/>
        <v>S</v>
      </c>
      <c r="D309" s="378">
        <f t="shared" ca="1" si="711"/>
        <v>14</v>
      </c>
      <c r="E309" s="378">
        <f t="shared" ca="1" si="968"/>
        <v>7</v>
      </c>
      <c r="F309" s="378" t="str">
        <f t="shared" ca="1" si="969"/>
        <v>0</v>
      </c>
      <c r="G309" s="378" t="str">
        <f t="shared" ca="1" si="970"/>
        <v>0</v>
      </c>
      <c r="H309" s="378" t="str">
        <f t="shared" ca="1" si="971"/>
        <v>0</v>
      </c>
      <c r="I309" s="378" t="str">
        <f t="shared" ca="1" si="972"/>
        <v>0</v>
      </c>
      <c r="J309" s="378">
        <f t="shared" ca="1" si="712"/>
        <v>23</v>
      </c>
      <c r="K309" s="378" t="str">
        <f t="shared" si="973"/>
        <v>NÃO</v>
      </c>
      <c r="L309" s="378" t="str">
        <f t="shared" ca="1" si="974"/>
        <v>14.7.23</v>
      </c>
      <c r="M309" s="55" t="s">
        <v>27868</v>
      </c>
      <c r="O309" s="392" t="str">
        <f t="shared" ca="1" si="975"/>
        <v>14.7.23</v>
      </c>
      <c r="P309" s="681" t="s">
        <v>29901</v>
      </c>
      <c r="Q309" s="682" t="s">
        <v>16124</v>
      </c>
      <c r="R309" s="415" t="str">
        <f>UPPER(IF(P309="CDHU",VLOOKUP(Q309,'CDHU 201-SD'!$A$1:$J$28014,2,FALSE),IF(P309="FDE",VLOOKUP(Q309,'FDE 01-26-SD'!$A$1:$J$280013,2,FALSE),IF(P309="PRÓPRIA",VLOOKUP(Q309,COMPOSIÇÃO!$1:$1048576,3,FALSE),VLOOKUP(Q309,'SINAPI 04-26-SD'!$A$1:$H$272700,2,FALSE)))))</f>
        <v>TORNEIRA DE PAREDE ANTIVANDALISMO, DN= 3/4´</v>
      </c>
      <c r="S309" s="414" t="str">
        <f>UPPER(IF(P309="CDHU",VLOOKUP(Q309,'CDHU 201-SD'!$A$1:$J$28014,3,FALSE),IF(P309="FDE",VLOOKUP(Q309,'FDE 01-26-SD'!$A$1:$J$280013,3,FALSE),IF(P309="PRÓPRIA",VLOOKUP(Q309,COMPOSIÇÃO!$1:$1048576,7,FALSE),VLOOKUP(Q309,'SINAPI 04-26-SD'!$A$1:$H$272700,3,FALSE)))))</f>
        <v>UN</v>
      </c>
      <c r="T309" s="393">
        <v>2</v>
      </c>
      <c r="U309" s="394">
        <f>TRUNC(IF(P309="CDHU",VLOOKUP(Q309,'CDHU 201-SD'!$A$1:$J$28014,6,FALSE),IF(P309="FDE",VLOOKUP(Q309,'FDE 01-26-SD'!$A$1:$J$280013,6,FALSE),IF(P309="PRÓPRIA",VLOOKUP(Q309,COMPOSIÇÃO!$1:$1048576,10,FALSE),VLOOKUP(Q309,'SINAPI 04-26-SD'!$A$1:$H$272700,4,FALSE)))),2)</f>
        <v>752.1</v>
      </c>
      <c r="V309" s="416">
        <f t="shared" si="1054"/>
        <v>1504.2</v>
      </c>
      <c r="W309" s="395">
        <f>IF($AA309="N",BDI!$D$26,IF($AA309="D",'BDI DIFE.'!$D$26,"ERRO"))</f>
        <v>0.22500000000000001</v>
      </c>
      <c r="X309" s="379">
        <f t="shared" si="1055"/>
        <v>921.32</v>
      </c>
      <c r="Y309" s="380">
        <f t="shared" si="1056"/>
        <v>1842.64</v>
      </c>
      <c r="Z309" s="381"/>
      <c r="AA309" s="378" t="s">
        <v>28044</v>
      </c>
      <c r="AB309" s="642"/>
    </row>
    <row r="310" spans="2:28" s="55" customFormat="1">
      <c r="B310" s="378">
        <f t="shared" ref="B310:B314" ca="1" si="1069">IF(C310="S",IF(OFFSET(C310,-1,0)="S", OFFSET(B310,-1,0), OFFSET(B310,-1,0) +1 ), C310)</f>
        <v>3</v>
      </c>
      <c r="C310" s="378" t="str">
        <f t="shared" si="832"/>
        <v>S</v>
      </c>
      <c r="D310" s="378">
        <f t="shared" ca="1" si="711"/>
        <v>14</v>
      </c>
      <c r="E310" s="378">
        <f t="shared" ref="E310:E314" ca="1" si="1070">IF($C310="2",OFFSET(E310,-1,0) +1,IF(OFFSET(D310,-1,0)&lt;&gt;D310,"0",IF(OFFSET(E310,-1,0)="","0",OFFSET(E310,-1,0))))</f>
        <v>7</v>
      </c>
      <c r="F310" s="378" t="str">
        <f t="shared" ref="F310:F314" ca="1" si="1071">IF($C310="3",OFFSET(F310,-1,0) +1,IF(OFFSET(E310,-1,0)&lt;&gt;E310,"0",IF(OFFSET(F310,-1,0)="","0",OFFSET(F310,-1,0))))</f>
        <v>0</v>
      </c>
      <c r="G310" s="378" t="str">
        <f t="shared" ref="G310:G314" ca="1" si="1072">IF($C310="4",OFFSET(G310,-1,0) +1,IF(OFFSET(F310,-1,0)&lt;&gt;F310,"0",IF(OFFSET(G310,-1,0)="","0",OFFSET(G310,-1,0))))</f>
        <v>0</v>
      </c>
      <c r="H310" s="378" t="str">
        <f t="shared" ref="H310:H314" ca="1" si="1073">IF($C310="5",OFFSET(H310,-1,0) +1,IF(OFFSET(G310,-1,0)&lt;&gt;G310,"0",IF(OFFSET(H310,-1,0)="","0",OFFSET(H310,-1,0))))</f>
        <v>0</v>
      </c>
      <c r="I310" s="378" t="str">
        <f t="shared" ref="I310:I314" ca="1" si="1074">IF($C310="6",OFFSET(I310,-1,0) +1,IF(OFFSET(H310,-1,0)&lt;&gt;H310,"0",IF(OFFSET(I310,-1,0)="","0", OFFSET(I310,-1,0))))</f>
        <v>0</v>
      </c>
      <c r="J310" s="378">
        <f t="shared" ca="1" si="712"/>
        <v>24</v>
      </c>
      <c r="K310" s="378" t="str">
        <f t="shared" ref="K310:K314" si="1075">IF(C310="S","NÃO", IF(C310="1", D310, IF(C310="2", D310 &amp; "." &amp; E310,IF(C310="3", D310 &amp; "." &amp; E310 &amp; "." &amp; F310, IF(C310="4", D310 &amp; "." &amp; E310 &amp; "." &amp; F310 &amp; "." &amp; G310, IF(C310="5", D310 &amp; "." &amp; E310 &amp; "." &amp; F310 &amp; "." &amp; G310 &amp; "." &amp; H310, IF(C310="6", D310 &amp; "." &amp; E310 &amp; "." &amp; F310 &amp; "." &amp; G310 &amp; "." &amp; H310 &amp; "." &amp; I310)))))))</f>
        <v>NÃO</v>
      </c>
      <c r="L310" s="378" t="str">
        <f t="shared" ref="L310:L314" ca="1" si="1076">IF(K310="NÃO",IF($B310=2,D310&amp;"."&amp;J310,IF($B310=3,D310&amp;"."&amp;E310&amp;"."&amp;J310,IF($B310=4,D310&amp;"."&amp;E310&amp;"."&amp;F310&amp;"."&amp;J310,IF($B310=5,D310&amp;"."&amp;E310&amp;"."&amp;F310&amp;"."&amp;G310&amp;"."&amp;J310,IF($B310=6,D310&amp;"."&amp;E310&amp;"."&amp;F310&amp;"."&amp;G310&amp;"."&amp;H310&amp;"."&amp;J310,IF($B310=7,D310&amp;"."&amp;E310&amp;"."&amp;F310&amp;"."&amp;G310&amp;"."&amp;H310&amp;"."&amp;I310&amp;"."&amp;J310,"FALHA")))))),K310)</f>
        <v>14.7.24</v>
      </c>
      <c r="M310" s="55" t="s">
        <v>27868</v>
      </c>
      <c r="O310" s="392" t="str">
        <f t="shared" ref="O310:O314" ca="1" si="1077">L310</f>
        <v>14.7.24</v>
      </c>
      <c r="P310" s="681" t="s">
        <v>29901</v>
      </c>
      <c r="Q310" s="682" t="s">
        <v>16239</v>
      </c>
      <c r="R310" s="415" t="str">
        <f>UPPER(IF(P310="CDHU",VLOOKUP(Q310,'CDHU 201-SD'!$A$1:$J$28014,2,FALSE),IF(P310="FDE",VLOOKUP(Q310,'FDE 01-26-SD'!$A$1:$J$280013,2,FALSE),IF(P310="PRÓPRIA",VLOOKUP(Q310,COMPOSIÇÃO!$1:$1048576,3,FALSE),VLOOKUP(Q310,'SINAPI 04-26-SD'!$A$1:$H$272700,2,FALSE)))))</f>
        <v>SIFÃO PLÁSTICO COM COPO, RÍGIDO, DE 1´ X 1 1/2´</v>
      </c>
      <c r="S310" s="414" t="str">
        <f>UPPER(IF(P310="CDHU",VLOOKUP(Q310,'CDHU 201-SD'!$A$1:$J$28014,3,FALSE),IF(P310="FDE",VLOOKUP(Q310,'FDE 01-26-SD'!$A$1:$J$280013,3,FALSE),IF(P310="PRÓPRIA",VLOOKUP(Q310,COMPOSIÇÃO!$1:$1048576,7,FALSE),VLOOKUP(Q310,'SINAPI 04-26-SD'!$A$1:$H$272700,3,FALSE)))))</f>
        <v>UN</v>
      </c>
      <c r="T310" s="393">
        <f>T308+T301+T300+T297</f>
        <v>8</v>
      </c>
      <c r="U310" s="394">
        <f>TRUNC(IF(P310="CDHU",VLOOKUP(Q310,'CDHU 201-SD'!$A$1:$J$28014,6,FALSE),IF(P310="FDE",VLOOKUP(Q310,'FDE 01-26-SD'!$A$1:$J$280013,6,FALSE),IF(P310="PRÓPRIA",VLOOKUP(Q310,COMPOSIÇÃO!$1:$1048576,10,FALSE),VLOOKUP(Q310,'SINAPI 04-26-SD'!$A$1:$H$272700,4,FALSE)))),2)</f>
        <v>44.63</v>
      </c>
      <c r="V310" s="416">
        <f t="shared" si="1054"/>
        <v>357.04</v>
      </c>
      <c r="W310" s="395">
        <f>IF($AA310="N",BDI!$D$26,IF($AA310="D",'BDI DIFE.'!$D$26,"ERRO"))</f>
        <v>0.22500000000000001</v>
      </c>
      <c r="X310" s="379">
        <f t="shared" si="1055"/>
        <v>54.67</v>
      </c>
      <c r="Y310" s="380">
        <f t="shared" si="1056"/>
        <v>437.36</v>
      </c>
      <c r="Z310" s="381"/>
      <c r="AA310" s="378" t="s">
        <v>28044</v>
      </c>
      <c r="AB310" s="642"/>
    </row>
    <row r="311" spans="2:28" s="55" customFormat="1">
      <c r="B311" s="378">
        <f t="shared" ca="1" si="1069"/>
        <v>3</v>
      </c>
      <c r="C311" s="378" t="str">
        <f t="shared" si="832"/>
        <v>S</v>
      </c>
      <c r="D311" s="378">
        <f t="shared" ca="1" si="711"/>
        <v>14</v>
      </c>
      <c r="E311" s="378">
        <f t="shared" ca="1" si="1070"/>
        <v>7</v>
      </c>
      <c r="F311" s="378" t="str">
        <f t="shared" ca="1" si="1071"/>
        <v>0</v>
      </c>
      <c r="G311" s="378" t="str">
        <f t="shared" ca="1" si="1072"/>
        <v>0</v>
      </c>
      <c r="H311" s="378" t="str">
        <f t="shared" ca="1" si="1073"/>
        <v>0</v>
      </c>
      <c r="I311" s="378" t="str">
        <f t="shared" ca="1" si="1074"/>
        <v>0</v>
      </c>
      <c r="J311" s="378">
        <f t="shared" ca="1" si="712"/>
        <v>25</v>
      </c>
      <c r="K311" s="378" t="str">
        <f t="shared" si="1075"/>
        <v>NÃO</v>
      </c>
      <c r="L311" s="378" t="str">
        <f t="shared" ca="1" si="1076"/>
        <v>14.7.25</v>
      </c>
      <c r="M311" s="55" t="s">
        <v>27868</v>
      </c>
      <c r="O311" s="392" t="str">
        <f t="shared" ca="1" si="1077"/>
        <v>14.7.25</v>
      </c>
      <c r="P311" s="681" t="s">
        <v>29901</v>
      </c>
      <c r="Q311" s="682" t="s">
        <v>16255</v>
      </c>
      <c r="R311" s="415" t="str">
        <f>UPPER(IF(P311="CDHU",VLOOKUP(Q311,'CDHU 201-SD'!$A$1:$J$28014,2,FALSE),IF(P311="FDE",VLOOKUP(Q311,'FDE 01-26-SD'!$A$1:$J$280013,2,FALSE),IF(P311="PRÓPRIA",VLOOKUP(Q311,COMPOSIÇÃO!$1:$1048576,3,FALSE),VLOOKUP(Q311,'SINAPI 04-26-SD'!$A$1:$H$272700,2,FALSE)))))</f>
        <v>VÁLVULA DE METAL CROMADO DE 1´</v>
      </c>
      <c r="S311" s="414" t="str">
        <f>UPPER(IF(P311="CDHU",VLOOKUP(Q311,'CDHU 201-SD'!$A$1:$J$28014,3,FALSE),IF(P311="FDE",VLOOKUP(Q311,'FDE 01-26-SD'!$A$1:$J$280013,3,FALSE),IF(P311="PRÓPRIA",VLOOKUP(Q311,COMPOSIÇÃO!$1:$1048576,7,FALSE),VLOOKUP(Q311,'SINAPI 04-26-SD'!$A$1:$H$272700,3,FALSE)))))</f>
        <v>UN</v>
      </c>
      <c r="T311" s="393">
        <f>T310</f>
        <v>8</v>
      </c>
      <c r="U311" s="394">
        <f>TRUNC(IF(P311="CDHU",VLOOKUP(Q311,'CDHU 201-SD'!$A$1:$J$28014,6,FALSE),IF(P311="FDE",VLOOKUP(Q311,'FDE 01-26-SD'!$A$1:$J$280013,6,FALSE),IF(P311="PRÓPRIA",VLOOKUP(Q311,COMPOSIÇÃO!$1:$1048576,10,FALSE),VLOOKUP(Q311,'SINAPI 04-26-SD'!$A$1:$H$272700,4,FALSE)))),2)</f>
        <v>47.45</v>
      </c>
      <c r="V311" s="416">
        <f t="shared" si="1054"/>
        <v>379.6</v>
      </c>
      <c r="W311" s="395">
        <f>IF($AA311="N",BDI!$D$26,IF($AA311="D",'BDI DIFE.'!$D$26,"ERRO"))</f>
        <v>0.22500000000000001</v>
      </c>
      <c r="X311" s="379">
        <f t="shared" si="1055"/>
        <v>58.12</v>
      </c>
      <c r="Y311" s="380">
        <f t="shared" si="1056"/>
        <v>464.96</v>
      </c>
      <c r="Z311" s="381"/>
      <c r="AA311" s="378" t="s">
        <v>28044</v>
      </c>
      <c r="AB311" s="642"/>
    </row>
    <row r="312" spans="2:28" s="55" customFormat="1">
      <c r="B312" s="378">
        <f t="shared" ca="1" si="1069"/>
        <v>3</v>
      </c>
      <c r="C312" s="378" t="str">
        <f t="shared" si="832"/>
        <v>S</v>
      </c>
      <c r="D312" s="378">
        <f t="shared" ca="1" si="711"/>
        <v>14</v>
      </c>
      <c r="E312" s="378">
        <f t="shared" ca="1" si="1070"/>
        <v>7</v>
      </c>
      <c r="F312" s="378" t="str">
        <f t="shared" ca="1" si="1071"/>
        <v>0</v>
      </c>
      <c r="G312" s="378" t="str">
        <f t="shared" ca="1" si="1072"/>
        <v>0</v>
      </c>
      <c r="H312" s="378" t="str">
        <f t="shared" ca="1" si="1073"/>
        <v>0</v>
      </c>
      <c r="I312" s="378" t="str">
        <f t="shared" ca="1" si="1074"/>
        <v>0</v>
      </c>
      <c r="J312" s="378">
        <f t="shared" ca="1" si="712"/>
        <v>26</v>
      </c>
      <c r="K312" s="378" t="str">
        <f t="shared" si="1075"/>
        <v>NÃO</v>
      </c>
      <c r="L312" s="378" t="str">
        <f t="shared" ca="1" si="1076"/>
        <v>14.7.26</v>
      </c>
      <c r="M312" s="55" t="s">
        <v>27868</v>
      </c>
      <c r="O312" s="392" t="str">
        <f t="shared" ca="1" si="1077"/>
        <v>14.7.26</v>
      </c>
      <c r="P312" s="681" t="s">
        <v>29901</v>
      </c>
      <c r="Q312" s="682" t="s">
        <v>16241</v>
      </c>
      <c r="R312" s="415" t="str">
        <f>UPPER(IF(P312="CDHU",VLOOKUP(Q312,'CDHU 201-SD'!$A$1:$J$28014,2,FALSE),IF(P312="FDE",VLOOKUP(Q312,'FDE 01-26-SD'!$A$1:$J$280013,2,FALSE),IF(P312="PRÓPRIA",VLOOKUP(Q312,COMPOSIÇÃO!$1:$1048576,3,FALSE),VLOOKUP(Q312,'SINAPI 04-26-SD'!$A$1:$H$272700,2,FALSE)))))</f>
        <v>SIFÃO PLÁSTICO COM COPO, RÍGIDO, DE 1 1/4´ X 2´</v>
      </c>
      <c r="S312" s="414" t="str">
        <f>UPPER(IF(P312="CDHU",VLOOKUP(Q312,'CDHU 201-SD'!$A$1:$J$28014,3,FALSE),IF(P312="FDE",VLOOKUP(Q312,'FDE 01-26-SD'!$A$1:$J$280013,3,FALSE),IF(P312="PRÓPRIA",VLOOKUP(Q312,COMPOSIÇÃO!$1:$1048576,7,FALSE),VLOOKUP(Q312,'SINAPI 04-26-SD'!$A$1:$H$272700,3,FALSE)))))</f>
        <v>UN</v>
      </c>
      <c r="T312" s="393">
        <v>2</v>
      </c>
      <c r="U312" s="394">
        <f>TRUNC(IF(P312="CDHU",VLOOKUP(Q312,'CDHU 201-SD'!$A$1:$J$28014,6,FALSE),IF(P312="FDE",VLOOKUP(Q312,'FDE 01-26-SD'!$A$1:$J$280013,6,FALSE),IF(P312="PRÓPRIA",VLOOKUP(Q312,COMPOSIÇÃO!$1:$1048576,10,FALSE),VLOOKUP(Q312,'SINAPI 04-26-SD'!$A$1:$H$272700,4,FALSE)))),2)</f>
        <v>36.78</v>
      </c>
      <c r="V312" s="416">
        <f t="shared" si="1054"/>
        <v>73.56</v>
      </c>
      <c r="W312" s="395">
        <f>IF($AA312="N",BDI!$D$26,IF($AA312="D",'BDI DIFE.'!$D$26,"ERRO"))</f>
        <v>0.22500000000000001</v>
      </c>
      <c r="X312" s="379">
        <f t="shared" si="1055"/>
        <v>45.05</v>
      </c>
      <c r="Y312" s="380">
        <f t="shared" si="1056"/>
        <v>90.1</v>
      </c>
      <c r="Z312" s="381"/>
      <c r="AA312" s="378" t="s">
        <v>28044</v>
      </c>
      <c r="AB312" s="642"/>
    </row>
    <row r="313" spans="2:28" s="55" customFormat="1">
      <c r="B313" s="378">
        <f t="shared" ref="B313" ca="1" si="1078">IF(C313="S",IF(OFFSET(C313,-1,0)="S", OFFSET(B313,-1,0), OFFSET(B313,-1,0) +1 ), C313)</f>
        <v>3</v>
      </c>
      <c r="C313" s="378" t="str">
        <f t="shared" si="832"/>
        <v>S</v>
      </c>
      <c r="D313" s="378">
        <f t="shared" ca="1" si="711"/>
        <v>14</v>
      </c>
      <c r="E313" s="378">
        <f t="shared" ref="E313" ca="1" si="1079">IF($C313="2",OFFSET(E313,-1,0) +1,IF(OFFSET(D313,-1,0)&lt;&gt;D313,"0",IF(OFFSET(E313,-1,0)="","0",OFFSET(E313,-1,0))))</f>
        <v>7</v>
      </c>
      <c r="F313" s="378" t="str">
        <f t="shared" ref="F313" ca="1" si="1080">IF($C313="3",OFFSET(F313,-1,0) +1,IF(OFFSET(E313,-1,0)&lt;&gt;E313,"0",IF(OFFSET(F313,-1,0)="","0",OFFSET(F313,-1,0))))</f>
        <v>0</v>
      </c>
      <c r="G313" s="378" t="str">
        <f t="shared" ref="G313" ca="1" si="1081">IF($C313="4",OFFSET(G313,-1,0) +1,IF(OFFSET(F313,-1,0)&lt;&gt;F313,"0",IF(OFFSET(G313,-1,0)="","0",OFFSET(G313,-1,0))))</f>
        <v>0</v>
      </c>
      <c r="H313" s="378" t="str">
        <f t="shared" ref="H313" ca="1" si="1082">IF($C313="5",OFFSET(H313,-1,0) +1,IF(OFFSET(G313,-1,0)&lt;&gt;G313,"0",IF(OFFSET(H313,-1,0)="","0",OFFSET(H313,-1,0))))</f>
        <v>0</v>
      </c>
      <c r="I313" s="378" t="str">
        <f t="shared" ref="I313" ca="1" si="1083">IF($C313="6",OFFSET(I313,-1,0) +1,IF(OFFSET(H313,-1,0)&lt;&gt;H313,"0",IF(OFFSET(I313,-1,0)="","0", OFFSET(I313,-1,0))))</f>
        <v>0</v>
      </c>
      <c r="J313" s="378">
        <f t="shared" ca="1" si="712"/>
        <v>27</v>
      </c>
      <c r="K313" s="378" t="str">
        <f t="shared" ref="K313" si="1084">IF(C313="S","NÃO", IF(C313="1", D313, IF(C313="2", D313 &amp; "." &amp; E313,IF(C313="3", D313 &amp; "." &amp; E313 &amp; "." &amp; F313, IF(C313="4", D313 &amp; "." &amp; E313 &amp; "." &amp; F313 &amp; "." &amp; G313, IF(C313="5", D313 &amp; "." &amp; E313 &amp; "." &amp; F313 &amp; "." &amp; G313 &amp; "." &amp; H313, IF(C313="6", D313 &amp; "." &amp; E313 &amp; "." &amp; F313 &amp; "." &amp; G313 &amp; "." &amp; H313 &amp; "." &amp; I313)))))))</f>
        <v>NÃO</v>
      </c>
      <c r="L313" s="378" t="str">
        <f t="shared" ref="L313" ca="1" si="1085">IF(K313="NÃO",IF($B313=2,D313&amp;"."&amp;J313,IF($B313=3,D313&amp;"."&amp;E313&amp;"."&amp;J313,IF($B313=4,D313&amp;"."&amp;E313&amp;"."&amp;F313&amp;"."&amp;J313,IF($B313=5,D313&amp;"."&amp;E313&amp;"."&amp;F313&amp;"."&amp;G313&amp;"."&amp;J313,IF($B313=6,D313&amp;"."&amp;E313&amp;"."&amp;F313&amp;"."&amp;G313&amp;"."&amp;H313&amp;"."&amp;J313,IF($B313=7,D313&amp;"."&amp;E313&amp;"."&amp;F313&amp;"."&amp;G313&amp;"."&amp;H313&amp;"."&amp;I313&amp;"."&amp;J313,"FALHA")))))),K313)</f>
        <v>14.7.27</v>
      </c>
      <c r="M313" s="55" t="s">
        <v>27868</v>
      </c>
      <c r="O313" s="392" t="str">
        <f t="shared" ref="O313" ca="1" si="1086">L313</f>
        <v>14.7.27</v>
      </c>
      <c r="P313" s="681" t="s">
        <v>29901</v>
      </c>
      <c r="Q313" s="682" t="s">
        <v>16251</v>
      </c>
      <c r="R313" s="415" t="str">
        <f>UPPER(IF(P313="CDHU",VLOOKUP(Q313,'CDHU 201-SD'!$A$1:$J$28014,2,FALSE),IF(P313="FDE",VLOOKUP(Q313,'FDE 01-26-SD'!$A$1:$J$280013,2,FALSE),IF(P313="PRÓPRIA",VLOOKUP(Q313,COMPOSIÇÃO!$1:$1048576,3,FALSE),VLOOKUP(Q313,'SINAPI 04-26-SD'!$A$1:$H$272700,2,FALSE)))))</f>
        <v>VÁLVULA AMERICANA</v>
      </c>
      <c r="S313" s="414" t="str">
        <f>UPPER(IF(P313="CDHU",VLOOKUP(Q313,'CDHU 201-SD'!$A$1:$J$28014,3,FALSE),IF(P313="FDE",VLOOKUP(Q313,'FDE 01-26-SD'!$A$1:$J$280013,3,FALSE),IF(P313="PRÓPRIA",VLOOKUP(Q313,COMPOSIÇÃO!$1:$1048576,7,FALSE),VLOOKUP(Q313,'SINAPI 04-26-SD'!$A$1:$H$272700,3,FALSE)))))</f>
        <v>UN</v>
      </c>
      <c r="T313" s="393">
        <v>2</v>
      </c>
      <c r="U313" s="394">
        <f>TRUNC(IF(P313="CDHU",VLOOKUP(Q313,'CDHU 201-SD'!$A$1:$J$28014,6,FALSE),IF(P313="FDE",VLOOKUP(Q313,'FDE 01-26-SD'!$A$1:$J$280013,6,FALSE),IF(P313="PRÓPRIA",VLOOKUP(Q313,COMPOSIÇÃO!$1:$1048576,10,FALSE),VLOOKUP(Q313,'SINAPI 04-26-SD'!$A$1:$H$272700,4,FALSE)))),2)</f>
        <v>74.34</v>
      </c>
      <c r="V313" s="416">
        <f t="shared" ref="V313" si="1087">TRUNC(U313*T313,2)</f>
        <v>148.68</v>
      </c>
      <c r="W313" s="395">
        <f>IF($AA313="N",BDI!$D$26,IF($AA313="D",'BDI DIFE.'!$D$26,"ERRO"))</f>
        <v>0.22500000000000001</v>
      </c>
      <c r="X313" s="379">
        <f t="shared" ref="X313" si="1088">TRUNC(U313*(1+W313),2)</f>
        <v>91.06</v>
      </c>
      <c r="Y313" s="380">
        <f t="shared" ref="Y313" si="1089">TRUNC(T313*X313,2)</f>
        <v>182.12</v>
      </c>
      <c r="Z313" s="381"/>
      <c r="AA313" s="378" t="s">
        <v>28044</v>
      </c>
      <c r="AB313" s="642"/>
    </row>
    <row r="314" spans="2:28" s="55" customFormat="1">
      <c r="B314" s="378">
        <f t="shared" ca="1" si="1069"/>
        <v>3</v>
      </c>
      <c r="C314" s="378" t="str">
        <f t="shared" si="832"/>
        <v>S</v>
      </c>
      <c r="D314" s="378">
        <f t="shared" ca="1" si="711"/>
        <v>14</v>
      </c>
      <c r="E314" s="378">
        <f t="shared" ca="1" si="1070"/>
        <v>7</v>
      </c>
      <c r="F314" s="378" t="str">
        <f t="shared" ca="1" si="1071"/>
        <v>0</v>
      </c>
      <c r="G314" s="378" t="str">
        <f t="shared" ca="1" si="1072"/>
        <v>0</v>
      </c>
      <c r="H314" s="378" t="str">
        <f t="shared" ca="1" si="1073"/>
        <v>0</v>
      </c>
      <c r="I314" s="378" t="str">
        <f t="shared" ca="1" si="1074"/>
        <v>0</v>
      </c>
      <c r="J314" s="378">
        <f t="shared" ca="1" si="712"/>
        <v>28</v>
      </c>
      <c r="K314" s="378" t="str">
        <f t="shared" si="1075"/>
        <v>NÃO</v>
      </c>
      <c r="L314" s="378" t="str">
        <f t="shared" ca="1" si="1076"/>
        <v>14.7.28</v>
      </c>
      <c r="M314" s="55" t="s">
        <v>27868</v>
      </c>
      <c r="O314" s="392" t="str">
        <f t="shared" ca="1" si="1077"/>
        <v>14.7.28</v>
      </c>
      <c r="P314" s="681" t="s">
        <v>29901</v>
      </c>
      <c r="Q314" s="682" t="s">
        <v>16219</v>
      </c>
      <c r="R314" s="415" t="str">
        <f>UPPER(IF(P314="CDHU",VLOOKUP(Q314,'CDHU 201-SD'!$A$1:$J$28014,2,FALSE),IF(P314="FDE",VLOOKUP(Q314,'FDE 01-26-SD'!$A$1:$J$280013,2,FALSE),IF(P314="PRÓPRIA",VLOOKUP(Q314,COMPOSIÇÃO!$1:$1048576,3,FALSE),VLOOKUP(Q314,'SINAPI 04-26-SD'!$A$1:$H$272700,2,FALSE)))))</f>
        <v>ENGATE FLEXÍVEL DE PVC DN= 1/2´</v>
      </c>
      <c r="S314" s="414" t="str">
        <f>UPPER(IF(P314="CDHU",VLOOKUP(Q314,'CDHU 201-SD'!$A$1:$J$28014,3,FALSE),IF(P314="FDE",VLOOKUP(Q314,'FDE 01-26-SD'!$A$1:$J$280013,3,FALSE),IF(P314="PRÓPRIA",VLOOKUP(Q314,COMPOSIÇÃO!$1:$1048576,7,FALSE),VLOOKUP(Q314,'SINAPI 04-26-SD'!$A$1:$H$272700,3,FALSE)))))</f>
        <v>UN</v>
      </c>
      <c r="T314" s="393">
        <f>SUM(T305,T306,T299)</f>
        <v>7</v>
      </c>
      <c r="U314" s="394">
        <f>TRUNC(IF(P314="CDHU",VLOOKUP(Q314,'CDHU 201-SD'!$A$1:$J$28014,6,FALSE),IF(P314="FDE",VLOOKUP(Q314,'FDE 01-26-SD'!$A$1:$J$280013,6,FALSE),IF(P314="PRÓPRIA",VLOOKUP(Q314,COMPOSIÇÃO!$1:$1048576,10,FALSE),VLOOKUP(Q314,'SINAPI 04-26-SD'!$A$1:$H$272700,4,FALSE)))),2)</f>
        <v>13.94</v>
      </c>
      <c r="V314" s="416">
        <f t="shared" si="1054"/>
        <v>97.58</v>
      </c>
      <c r="W314" s="395">
        <f>IF($AA314="N",BDI!$D$26,IF($AA314="D",'BDI DIFE.'!$D$26,"ERRO"))</f>
        <v>0.22500000000000001</v>
      </c>
      <c r="X314" s="379">
        <f t="shared" si="1055"/>
        <v>17.07</v>
      </c>
      <c r="Y314" s="380">
        <f t="shared" si="1056"/>
        <v>119.49</v>
      </c>
      <c r="Z314" s="381"/>
      <c r="AA314" s="378" t="s">
        <v>28044</v>
      </c>
      <c r="AB314" s="642"/>
    </row>
    <row r="315" spans="2:28" s="55" customFormat="1">
      <c r="B315" s="378">
        <f t="shared" ref="B315:B321" ca="1" si="1090">IF(C315="S",IF(OFFSET(C315,-1,0)="S", OFFSET(B315,-1,0), OFFSET(B315,-1,0) +1 ), C315)</f>
        <v>3</v>
      </c>
      <c r="C315" s="378" t="str">
        <f t="shared" si="832"/>
        <v>S</v>
      </c>
      <c r="D315" s="378">
        <f t="shared" ca="1" si="711"/>
        <v>14</v>
      </c>
      <c r="E315" s="378">
        <f t="shared" ref="E315:E321" ca="1" si="1091">IF($C315="2",OFFSET(E315,-1,0) +1,IF(OFFSET(D315,-1,0)&lt;&gt;D315,"0",IF(OFFSET(E315,-1,0)="","0",OFFSET(E315,-1,0))))</f>
        <v>7</v>
      </c>
      <c r="F315" s="378" t="str">
        <f t="shared" ref="F315:F321" ca="1" si="1092">IF($C315="3",OFFSET(F315,-1,0) +1,IF(OFFSET(E315,-1,0)&lt;&gt;E315,"0",IF(OFFSET(F315,-1,0)="","0",OFFSET(F315,-1,0))))</f>
        <v>0</v>
      </c>
      <c r="G315" s="378" t="str">
        <f t="shared" ref="G315:G321" ca="1" si="1093">IF($C315="4",OFFSET(G315,-1,0) +1,IF(OFFSET(F315,-1,0)&lt;&gt;F315,"0",IF(OFFSET(G315,-1,0)="","0",OFFSET(G315,-1,0))))</f>
        <v>0</v>
      </c>
      <c r="H315" s="378" t="str">
        <f t="shared" ref="H315:H321" ca="1" si="1094">IF($C315="5",OFFSET(H315,-1,0) +1,IF(OFFSET(G315,-1,0)&lt;&gt;G315,"0",IF(OFFSET(H315,-1,0)="","0",OFFSET(H315,-1,0))))</f>
        <v>0</v>
      </c>
      <c r="I315" s="378" t="str">
        <f t="shared" ref="I315:I321" ca="1" si="1095">IF($C315="6",OFFSET(I315,-1,0) +1,IF(OFFSET(H315,-1,0)&lt;&gt;H315,"0",IF(OFFSET(I315,-1,0)="","0", OFFSET(I315,-1,0))))</f>
        <v>0</v>
      </c>
      <c r="J315" s="378">
        <f t="shared" ca="1" si="712"/>
        <v>29</v>
      </c>
      <c r="K315" s="378" t="str">
        <f t="shared" ref="K315:K321" si="1096">IF(C315="S","NÃO", IF(C315="1", D315, IF(C315="2", D315 &amp; "." &amp; E315,IF(C315="3", D315 &amp; "." &amp; E315 &amp; "." &amp; F315, IF(C315="4", D315 &amp; "." &amp; E315 &amp; "." &amp; F315 &amp; "." &amp; G315, IF(C315="5", D315 &amp; "." &amp; E315 &amp; "." &amp; F315 &amp; "." &amp; G315 &amp; "." &amp; H315, IF(C315="6", D315 &amp; "." &amp; E315 &amp; "." &amp; F315 &amp; "." &amp; G315 &amp; "." &amp; H315 &amp; "." &amp; I315)))))))</f>
        <v>NÃO</v>
      </c>
      <c r="L315" s="378" t="str">
        <f t="shared" ref="L315:L321" ca="1" si="1097">IF(K315="NÃO",IF($B315=2,D315&amp;"."&amp;J315,IF($B315=3,D315&amp;"."&amp;E315&amp;"."&amp;J315,IF($B315=4,D315&amp;"."&amp;E315&amp;"."&amp;F315&amp;"."&amp;J315,IF($B315=5,D315&amp;"."&amp;E315&amp;"."&amp;F315&amp;"."&amp;G315&amp;"."&amp;J315,IF($B315=6,D315&amp;"."&amp;E315&amp;"."&amp;F315&amp;"."&amp;G315&amp;"."&amp;H315&amp;"."&amp;J315,IF($B315=7,D315&amp;"."&amp;E315&amp;"."&amp;F315&amp;"."&amp;G315&amp;"."&amp;H315&amp;"."&amp;I315&amp;"."&amp;J315,"FALHA")))))),K315)</f>
        <v>14.7.29</v>
      </c>
      <c r="M315" s="55" t="s">
        <v>27868</v>
      </c>
      <c r="O315" s="392" t="str">
        <f t="shared" ref="O315:O321" ca="1" si="1098">L315</f>
        <v>14.7.29</v>
      </c>
      <c r="P315" s="681" t="s">
        <v>29901</v>
      </c>
      <c r="Q315" s="682" t="s">
        <v>13365</v>
      </c>
      <c r="R315" s="415" t="str">
        <f>UPPER(IF(P315="CDHU",VLOOKUP(Q315,'CDHU 201-SD'!$A$1:$J$28014,2,FALSE),IF(P315="FDE",VLOOKUP(Q315,'FDE 01-26-SD'!$A$1:$J$280013,2,FALSE),IF(P315="PRÓPRIA",VLOOKUP(Q315,COMPOSIÇÃO!$1:$1048576,3,FALSE),VLOOKUP(Q315,'SINAPI 04-26-SD'!$A$1:$H$272700,2,FALSE)))))</f>
        <v>ESPELHO EM VIDRO CRISTAL LISO, ESPESSURA DE 4 MM</v>
      </c>
      <c r="S315" s="414" t="str">
        <f>UPPER(IF(P315="CDHU",VLOOKUP(Q315,'CDHU 201-SD'!$A$1:$J$28014,3,FALSE),IF(P315="FDE",VLOOKUP(Q315,'FDE 01-26-SD'!$A$1:$J$280013,3,FALSE),IF(P315="PRÓPRIA",VLOOKUP(Q315,COMPOSIÇÃO!$1:$1048576,7,FALSE),VLOOKUP(Q315,'SINAPI 04-26-SD'!$A$1:$H$272700,3,FALSE)))))</f>
        <v>M2</v>
      </c>
      <c r="T315" s="393">
        <f>6*0.6*1.2</f>
        <v>4.3199999999999994</v>
      </c>
      <c r="U315" s="394">
        <f>TRUNC(IF(P315="CDHU",VLOOKUP(Q315,'CDHU 201-SD'!$A$1:$J$28014,6,FALSE),IF(P315="FDE",VLOOKUP(Q315,'FDE 01-26-SD'!$A$1:$J$280013,6,FALSE),IF(P315="PRÓPRIA",VLOOKUP(Q315,COMPOSIÇÃO!$1:$1048576,10,FALSE),VLOOKUP(Q315,'SINAPI 04-26-SD'!$A$1:$H$272700,4,FALSE)))),2)</f>
        <v>575.59</v>
      </c>
      <c r="V315" s="416">
        <f t="shared" ref="V315:V321" si="1099">TRUNC(U315*T315,2)</f>
        <v>2486.54</v>
      </c>
      <c r="W315" s="395">
        <f>IF($AA315="N",BDI!$D$26,IF($AA315="D",'BDI DIFE.'!$D$26,"ERRO"))</f>
        <v>0.22500000000000001</v>
      </c>
      <c r="X315" s="379">
        <f t="shared" ref="X315:X321" si="1100">TRUNC(U315*(1+W315),2)</f>
        <v>705.09</v>
      </c>
      <c r="Y315" s="380">
        <f t="shared" ref="Y315:Y321" si="1101">TRUNC(T315*X315,2)</f>
        <v>3045.98</v>
      </c>
      <c r="Z315" s="381"/>
      <c r="AA315" s="378" t="s">
        <v>28044</v>
      </c>
      <c r="AB315" s="642"/>
    </row>
    <row r="316" spans="2:28" s="55" customFormat="1" ht="45">
      <c r="B316" s="378">
        <f t="shared" ca="1" si="1090"/>
        <v>3</v>
      </c>
      <c r="C316" s="378" t="str">
        <f t="shared" si="832"/>
        <v>S</v>
      </c>
      <c r="D316" s="378">
        <f t="shared" ca="1" si="711"/>
        <v>14</v>
      </c>
      <c r="E316" s="378">
        <f t="shared" ca="1" si="1091"/>
        <v>7</v>
      </c>
      <c r="F316" s="378" t="str">
        <f t="shared" ca="1" si="1092"/>
        <v>0</v>
      </c>
      <c r="G316" s="378" t="str">
        <f t="shared" ca="1" si="1093"/>
        <v>0</v>
      </c>
      <c r="H316" s="378" t="str">
        <f t="shared" ca="1" si="1094"/>
        <v>0</v>
      </c>
      <c r="I316" s="378" t="str">
        <f t="shared" ca="1" si="1095"/>
        <v>0</v>
      </c>
      <c r="J316" s="378">
        <f t="shared" ca="1" si="712"/>
        <v>30</v>
      </c>
      <c r="K316" s="378" t="str">
        <f t="shared" si="1096"/>
        <v>NÃO</v>
      </c>
      <c r="L316" s="378" t="str">
        <f t="shared" ca="1" si="1097"/>
        <v>14.7.30</v>
      </c>
      <c r="M316" s="55" t="s">
        <v>27868</v>
      </c>
      <c r="O316" s="392" t="str">
        <f t="shared" ca="1" si="1098"/>
        <v>14.7.30</v>
      </c>
      <c r="P316" s="681" t="s">
        <v>29901</v>
      </c>
      <c r="Q316" s="682" t="s">
        <v>13603</v>
      </c>
      <c r="R316" s="415" t="str">
        <f>UPPER(IF(P316="CDHU",VLOOKUP(Q316,'CDHU 201-SD'!$A$1:$J$28014,2,FALSE),IF(P316="FDE",VLOOKUP(Q316,'FDE 01-26-SD'!$A$1:$J$280013,2,FALSE),IF(P316="PRÓPRIA",VLOOKUP(Q316,COMPOSIÇÃO!$1:$1048576,3,FALSE),VLOOKUP(Q316,'SINAPI 04-26-SD'!$A$1:$H$272700,2,FALSE)))))</f>
        <v>SISTEMA DE ALARME PNE COM INDICADOR AUDIOVISUAL, SISTEMA SEM FIO (WIRELESS), PARA PESSOAS COM MOBILIDADE REDUZIDA OU CADEIRANTE</v>
      </c>
      <c r="S316" s="414" t="str">
        <f>UPPER(IF(P316="CDHU",VLOOKUP(Q316,'CDHU 201-SD'!$A$1:$J$28014,3,FALSE),IF(P316="FDE",VLOOKUP(Q316,'FDE 01-26-SD'!$A$1:$J$280013,3,FALSE),IF(P316="PRÓPRIA",VLOOKUP(Q316,COMPOSIÇÃO!$1:$1048576,7,FALSE),VLOOKUP(Q316,'SINAPI 04-26-SD'!$A$1:$H$272700,3,FALSE)))))</f>
        <v>CJ</v>
      </c>
      <c r="T316" s="393">
        <v>4</v>
      </c>
      <c r="U316" s="394">
        <f>TRUNC(IF(P316="CDHU",VLOOKUP(Q316,'CDHU 201-SD'!$A$1:$J$28014,6,FALSE),IF(P316="FDE",VLOOKUP(Q316,'FDE 01-26-SD'!$A$1:$J$280013,6,FALSE),IF(P316="PRÓPRIA",VLOOKUP(Q316,COMPOSIÇÃO!$1:$1048576,10,FALSE),VLOOKUP(Q316,'SINAPI 04-26-SD'!$A$1:$H$272700,4,FALSE)))),2)</f>
        <v>694.24</v>
      </c>
      <c r="V316" s="416">
        <f t="shared" si="1099"/>
        <v>2776.96</v>
      </c>
      <c r="W316" s="395">
        <f>IF($AA316="N",BDI!$D$26,IF($AA316="D",'BDI DIFE.'!$D$26,"ERRO"))</f>
        <v>0.22500000000000001</v>
      </c>
      <c r="X316" s="379">
        <f t="shared" si="1100"/>
        <v>850.44</v>
      </c>
      <c r="Y316" s="380">
        <f t="shared" si="1101"/>
        <v>3401.76</v>
      </c>
      <c r="Z316" s="381"/>
      <c r="AA316" s="378" t="s">
        <v>28044</v>
      </c>
      <c r="AB316" s="642"/>
    </row>
    <row r="317" spans="2:28" s="55" customFormat="1">
      <c r="B317" s="378">
        <f t="shared" ca="1" si="1090"/>
        <v>3</v>
      </c>
      <c r="C317" s="378" t="str">
        <f t="shared" si="832"/>
        <v>S</v>
      </c>
      <c r="D317" s="378">
        <f t="shared" ca="1" si="711"/>
        <v>14</v>
      </c>
      <c r="E317" s="378">
        <f t="shared" ca="1" si="1091"/>
        <v>7</v>
      </c>
      <c r="F317" s="378" t="str">
        <f t="shared" ca="1" si="1092"/>
        <v>0</v>
      </c>
      <c r="G317" s="378" t="str">
        <f t="shared" ca="1" si="1093"/>
        <v>0</v>
      </c>
      <c r="H317" s="378" t="str">
        <f t="shared" ca="1" si="1094"/>
        <v>0</v>
      </c>
      <c r="I317" s="378" t="str">
        <f t="shared" ca="1" si="1095"/>
        <v>0</v>
      </c>
      <c r="J317" s="378">
        <f t="shared" ca="1" si="712"/>
        <v>31</v>
      </c>
      <c r="K317" s="378" t="str">
        <f t="shared" si="1096"/>
        <v>NÃO</v>
      </c>
      <c r="L317" s="378" t="str">
        <f t="shared" ca="1" si="1097"/>
        <v>14.7.31</v>
      </c>
      <c r="M317" s="55" t="s">
        <v>27868</v>
      </c>
      <c r="O317" s="392" t="str">
        <f t="shared" ca="1" si="1098"/>
        <v>14.7.31</v>
      </c>
      <c r="P317" s="681" t="s">
        <v>29901</v>
      </c>
      <c r="Q317" s="682" t="s">
        <v>15832</v>
      </c>
      <c r="R317" s="415" t="str">
        <f>UPPER(IF(P317="CDHU",VLOOKUP(Q317,'CDHU 201-SD'!$A$1:$J$28014,2,FALSE),IF(P317="FDE",VLOOKUP(Q317,'FDE 01-26-SD'!$A$1:$J$280013,2,FALSE),IF(P317="PRÓPRIA",VLOOKUP(Q317,COMPOSIÇÃO!$1:$1048576,3,FALSE),VLOOKUP(Q317,'SINAPI 04-26-SD'!$A$1:$H$272700,2,FALSE)))))</f>
        <v>CHUVEIRO ELÉTRICO DE 5.500 W / 220 V EM PVC</v>
      </c>
      <c r="S317" s="414" t="str">
        <f>UPPER(IF(P317="CDHU",VLOOKUP(Q317,'CDHU 201-SD'!$A$1:$J$28014,3,FALSE),IF(P317="FDE",VLOOKUP(Q317,'FDE 01-26-SD'!$A$1:$J$280013,3,FALSE),IF(P317="PRÓPRIA",VLOOKUP(Q317,COMPOSIÇÃO!$1:$1048576,7,FALSE),VLOOKUP(Q317,'SINAPI 04-26-SD'!$A$1:$H$272700,3,FALSE)))))</f>
        <v>UN</v>
      </c>
      <c r="T317" s="393">
        <v>2</v>
      </c>
      <c r="U317" s="394">
        <f>TRUNC(IF(P317="CDHU",VLOOKUP(Q317,'CDHU 201-SD'!$A$1:$J$28014,6,FALSE),IF(P317="FDE",VLOOKUP(Q317,'FDE 01-26-SD'!$A$1:$J$280013,6,FALSE),IF(P317="PRÓPRIA",VLOOKUP(Q317,COMPOSIÇÃO!$1:$1048576,10,FALSE),VLOOKUP(Q317,'SINAPI 04-26-SD'!$A$1:$H$272700,4,FALSE)))),2)</f>
        <v>140.76</v>
      </c>
      <c r="V317" s="416">
        <f t="shared" si="1099"/>
        <v>281.52</v>
      </c>
      <c r="W317" s="395">
        <f>IF($AA317="N",BDI!$D$26,IF($AA317="D",'BDI DIFE.'!$D$26,"ERRO"))</f>
        <v>0.22500000000000001</v>
      </c>
      <c r="X317" s="379">
        <f t="shared" si="1100"/>
        <v>172.43</v>
      </c>
      <c r="Y317" s="380">
        <f t="shared" si="1101"/>
        <v>344.86</v>
      </c>
      <c r="Z317" s="381"/>
      <c r="AA317" s="378" t="s">
        <v>28044</v>
      </c>
      <c r="AB317" s="642"/>
    </row>
    <row r="318" spans="2:28" s="55" customFormat="1">
      <c r="B318" s="378">
        <f t="shared" ca="1" si="1090"/>
        <v>3</v>
      </c>
      <c r="C318" s="378" t="str">
        <f t="shared" si="832"/>
        <v>S</v>
      </c>
      <c r="D318" s="378">
        <f t="shared" ca="1" si="711"/>
        <v>14</v>
      </c>
      <c r="E318" s="378">
        <f t="shared" ca="1" si="1091"/>
        <v>7</v>
      </c>
      <c r="F318" s="378" t="str">
        <f t="shared" ca="1" si="1092"/>
        <v>0</v>
      </c>
      <c r="G318" s="378" t="str">
        <f t="shared" ca="1" si="1093"/>
        <v>0</v>
      </c>
      <c r="H318" s="378" t="str">
        <f t="shared" ca="1" si="1094"/>
        <v>0</v>
      </c>
      <c r="I318" s="378" t="str">
        <f t="shared" ca="1" si="1095"/>
        <v>0</v>
      </c>
      <c r="J318" s="378">
        <f t="shared" ca="1" si="712"/>
        <v>32</v>
      </c>
      <c r="K318" s="378" t="str">
        <f t="shared" si="1096"/>
        <v>NÃO</v>
      </c>
      <c r="L318" s="378" t="str">
        <f t="shared" ca="1" si="1097"/>
        <v>14.7.32</v>
      </c>
      <c r="M318" s="55" t="s">
        <v>27868</v>
      </c>
      <c r="O318" s="392" t="str">
        <f t="shared" ca="1" si="1098"/>
        <v>14.7.32</v>
      </c>
      <c r="P318" s="681" t="s">
        <v>29901</v>
      </c>
      <c r="Q318" s="682" t="s">
        <v>16078</v>
      </c>
      <c r="R318" s="415" t="str">
        <f>UPPER(IF(P318="CDHU",VLOOKUP(Q318,'CDHU 201-SD'!$A$1:$J$28014,2,FALSE),IF(P318="FDE",VLOOKUP(Q318,'FDE 01-26-SD'!$A$1:$J$280013,2,FALSE),IF(P318="PRÓPRIA",VLOOKUP(Q318,COMPOSIÇÃO!$1:$1048576,3,FALSE),VLOOKUP(Q318,'SINAPI 04-26-SD'!$A$1:$H$272700,2,FALSE)))))</f>
        <v>MEIA SABONETEIRA DE LOUÇA DE EMBUTIR</v>
      </c>
      <c r="S318" s="414" t="str">
        <f>UPPER(IF(P318="CDHU",VLOOKUP(Q318,'CDHU 201-SD'!$A$1:$J$28014,3,FALSE),IF(P318="FDE",VLOOKUP(Q318,'FDE 01-26-SD'!$A$1:$J$280013,3,FALSE),IF(P318="PRÓPRIA",VLOOKUP(Q318,COMPOSIÇÃO!$1:$1048576,7,FALSE),VLOOKUP(Q318,'SINAPI 04-26-SD'!$A$1:$H$272700,3,FALSE)))))</f>
        <v>UN</v>
      </c>
      <c r="T318" s="393">
        <v>2</v>
      </c>
      <c r="U318" s="394">
        <f>TRUNC(IF(P318="CDHU",VLOOKUP(Q318,'CDHU 201-SD'!$A$1:$J$28014,6,FALSE),IF(P318="FDE",VLOOKUP(Q318,'FDE 01-26-SD'!$A$1:$J$280013,6,FALSE),IF(P318="PRÓPRIA",VLOOKUP(Q318,COMPOSIÇÃO!$1:$1048576,10,FALSE),VLOOKUP(Q318,'SINAPI 04-26-SD'!$A$1:$H$272700,4,FALSE)))),2)</f>
        <v>47.93</v>
      </c>
      <c r="V318" s="416">
        <f t="shared" si="1099"/>
        <v>95.86</v>
      </c>
      <c r="W318" s="395">
        <f>IF($AA318="N",BDI!$D$26,IF($AA318="D",'BDI DIFE.'!$D$26,"ERRO"))</f>
        <v>0.22500000000000001</v>
      </c>
      <c r="X318" s="379">
        <f t="shared" si="1100"/>
        <v>58.71</v>
      </c>
      <c r="Y318" s="380">
        <f t="shared" si="1101"/>
        <v>117.42</v>
      </c>
      <c r="Z318" s="381"/>
      <c r="AA318" s="378" t="s">
        <v>28044</v>
      </c>
      <c r="AB318" s="642"/>
    </row>
    <row r="319" spans="2:28" s="55" customFormat="1">
      <c r="B319" s="378">
        <f t="shared" ca="1" si="1090"/>
        <v>3</v>
      </c>
      <c r="C319" s="378" t="str">
        <f t="shared" si="832"/>
        <v>S</v>
      </c>
      <c r="D319" s="378">
        <f t="shared" ca="1" si="711"/>
        <v>14</v>
      </c>
      <c r="E319" s="378">
        <f t="shared" ca="1" si="1091"/>
        <v>7</v>
      </c>
      <c r="F319" s="378" t="str">
        <f t="shared" ca="1" si="1092"/>
        <v>0</v>
      </c>
      <c r="G319" s="378" t="str">
        <f t="shared" ca="1" si="1093"/>
        <v>0</v>
      </c>
      <c r="H319" s="378" t="str">
        <f t="shared" ca="1" si="1094"/>
        <v>0</v>
      </c>
      <c r="I319" s="378" t="str">
        <f t="shared" ca="1" si="1095"/>
        <v>0</v>
      </c>
      <c r="J319" s="378">
        <f t="shared" ca="1" si="712"/>
        <v>33</v>
      </c>
      <c r="K319" s="378" t="str">
        <f t="shared" si="1096"/>
        <v>NÃO</v>
      </c>
      <c r="L319" s="378" t="str">
        <f t="shared" ca="1" si="1097"/>
        <v>14.7.33</v>
      </c>
      <c r="M319" s="55" t="s">
        <v>27868</v>
      </c>
      <c r="O319" s="392" t="str">
        <f t="shared" ca="1" si="1098"/>
        <v>14.7.33</v>
      </c>
      <c r="P319" s="681" t="s">
        <v>29901</v>
      </c>
      <c r="Q319" s="682" t="s">
        <v>16088</v>
      </c>
      <c r="R319" s="415" t="str">
        <f>UPPER(IF(P319="CDHU",VLOOKUP(Q319,'CDHU 201-SD'!$A$1:$J$28014,2,FALSE),IF(P319="FDE",VLOOKUP(Q319,'FDE 01-26-SD'!$A$1:$J$280013,2,FALSE),IF(P319="PRÓPRIA",VLOOKUP(Q319,COMPOSIÇÃO!$1:$1048576,3,FALSE),VLOOKUP(Q319,'SINAPI 04-26-SD'!$A$1:$H$272700,2,FALSE)))))</f>
        <v>CABIDE CROMADO PARA BANHEIRO</v>
      </c>
      <c r="S319" s="414" t="str">
        <f>UPPER(IF(P319="CDHU",VLOOKUP(Q319,'CDHU 201-SD'!$A$1:$J$28014,3,FALSE),IF(P319="FDE",VLOOKUP(Q319,'FDE 01-26-SD'!$A$1:$J$280013,3,FALSE),IF(P319="PRÓPRIA",VLOOKUP(Q319,COMPOSIÇÃO!$1:$1048576,7,FALSE),VLOOKUP(Q319,'SINAPI 04-26-SD'!$A$1:$H$272700,3,FALSE)))))</f>
        <v>UN</v>
      </c>
      <c r="T319" s="393">
        <v>2</v>
      </c>
      <c r="U319" s="394">
        <f>TRUNC(IF(P319="CDHU",VLOOKUP(Q319,'CDHU 201-SD'!$A$1:$J$28014,6,FALSE),IF(P319="FDE",VLOOKUP(Q319,'FDE 01-26-SD'!$A$1:$J$280013,6,FALSE),IF(P319="PRÓPRIA",VLOOKUP(Q319,COMPOSIÇÃO!$1:$1048576,10,FALSE),VLOOKUP(Q319,'SINAPI 04-26-SD'!$A$1:$H$272700,4,FALSE)))),2)</f>
        <v>33.01</v>
      </c>
      <c r="V319" s="416">
        <f t="shared" si="1099"/>
        <v>66.02</v>
      </c>
      <c r="W319" s="395">
        <f>IF($AA319="N",BDI!$D$26,IF($AA319="D",'BDI DIFE.'!$D$26,"ERRO"))</f>
        <v>0.22500000000000001</v>
      </c>
      <c r="X319" s="379">
        <f t="shared" si="1100"/>
        <v>40.43</v>
      </c>
      <c r="Y319" s="380">
        <f t="shared" si="1101"/>
        <v>80.86</v>
      </c>
      <c r="Z319" s="381"/>
      <c r="AA319" s="378" t="s">
        <v>28044</v>
      </c>
      <c r="AB319" s="642"/>
    </row>
    <row r="320" spans="2:28" s="55" customFormat="1" ht="45">
      <c r="B320" s="378">
        <f t="shared" ca="1" si="1090"/>
        <v>3</v>
      </c>
      <c r="C320" s="378" t="str">
        <f t="shared" si="832"/>
        <v>S</v>
      </c>
      <c r="D320" s="378">
        <f t="shared" ca="1" si="711"/>
        <v>14</v>
      </c>
      <c r="E320" s="378">
        <f t="shared" ca="1" si="1091"/>
        <v>7</v>
      </c>
      <c r="F320" s="378" t="str">
        <f t="shared" ca="1" si="1092"/>
        <v>0</v>
      </c>
      <c r="G320" s="378" t="str">
        <f t="shared" ca="1" si="1093"/>
        <v>0</v>
      </c>
      <c r="H320" s="378" t="str">
        <f t="shared" ca="1" si="1094"/>
        <v>0</v>
      </c>
      <c r="I320" s="378" t="str">
        <f t="shared" ca="1" si="1095"/>
        <v>0</v>
      </c>
      <c r="J320" s="378">
        <f t="shared" ca="1" si="712"/>
        <v>34</v>
      </c>
      <c r="K320" s="378" t="str">
        <f t="shared" si="1096"/>
        <v>NÃO</v>
      </c>
      <c r="L320" s="378" t="str">
        <f t="shared" ca="1" si="1097"/>
        <v>14.7.34</v>
      </c>
      <c r="M320" s="55" t="s">
        <v>27868</v>
      </c>
      <c r="O320" s="392" t="str">
        <f t="shared" ca="1" si="1098"/>
        <v>14.7.34</v>
      </c>
      <c r="P320" s="681" t="s">
        <v>29901</v>
      </c>
      <c r="Q320" s="682" t="s">
        <v>13576</v>
      </c>
      <c r="R320" s="415" t="str">
        <f>UPPER(IF(P320="CDHU",VLOOKUP(Q320,'CDHU 201-SD'!$A$1:$J$28014,2,FALSE),IF(P320="FDE",VLOOKUP(Q320,'FDE 01-26-SD'!$A$1:$J$280013,2,FALSE),IF(P320="PRÓPRIA",VLOOKUP(Q320,COMPOSIÇÃO!$1:$1048576,3,FALSE),VLOOKUP(Q320,'SINAPI 04-26-SD'!$A$1:$H$272700,2,FALSE)))))</f>
        <v>PURIFICADOR DE PRESSÃO ELÉTRICO EM CHAPA ELETROZINCADO PRÉ-PINTADA E TAMPO EM AÇO INOXIDÁVEL, CAPACIDADE DE REFRIGERAÇÃO DE 7,2 L/H</v>
      </c>
      <c r="S320" s="414" t="str">
        <f>UPPER(IF(P320="CDHU",VLOOKUP(Q320,'CDHU 201-SD'!$A$1:$J$28014,3,FALSE),IF(P320="FDE",VLOOKUP(Q320,'FDE 01-26-SD'!$A$1:$J$280013,3,FALSE),IF(P320="PRÓPRIA",VLOOKUP(Q320,COMPOSIÇÃO!$1:$1048576,7,FALSE),VLOOKUP(Q320,'SINAPI 04-26-SD'!$A$1:$H$272700,3,FALSE)))))</f>
        <v>UN</v>
      </c>
      <c r="T320" s="393">
        <v>1</v>
      </c>
      <c r="U320" s="394">
        <f>TRUNC(IF(P320="CDHU",VLOOKUP(Q320,'CDHU 201-SD'!$A$1:$J$28014,6,FALSE),IF(P320="FDE",VLOOKUP(Q320,'FDE 01-26-SD'!$A$1:$J$280013,6,FALSE),IF(P320="PRÓPRIA",VLOOKUP(Q320,COMPOSIÇÃO!$1:$1048576,10,FALSE),VLOOKUP(Q320,'SINAPI 04-26-SD'!$A$1:$H$272700,4,FALSE)))),2)</f>
        <v>3933.24</v>
      </c>
      <c r="V320" s="416">
        <f t="shared" si="1099"/>
        <v>3933.24</v>
      </c>
      <c r="W320" s="395">
        <f>IF($AA320="N",BDI!$D$26,IF($AA320="D",'BDI DIFE.'!$D$26,"ERRO"))</f>
        <v>0.22500000000000001</v>
      </c>
      <c r="X320" s="379">
        <f t="shared" si="1100"/>
        <v>4818.21</v>
      </c>
      <c r="Y320" s="380">
        <f t="shared" si="1101"/>
        <v>4818.21</v>
      </c>
      <c r="Z320" s="381"/>
      <c r="AA320" s="378" t="s">
        <v>28044</v>
      </c>
      <c r="AB320" s="642"/>
    </row>
    <row r="321" spans="2:28" s="55" customFormat="1">
      <c r="B321" s="378">
        <f t="shared" ca="1" si="1090"/>
        <v>3</v>
      </c>
      <c r="C321" s="378" t="str">
        <f t="shared" si="832"/>
        <v>S</v>
      </c>
      <c r="D321" s="378">
        <f t="shared" ca="1" si="711"/>
        <v>14</v>
      </c>
      <c r="E321" s="378">
        <f t="shared" ca="1" si="1091"/>
        <v>7</v>
      </c>
      <c r="F321" s="378" t="str">
        <f t="shared" ca="1" si="1092"/>
        <v>0</v>
      </c>
      <c r="G321" s="378" t="str">
        <f t="shared" ca="1" si="1093"/>
        <v>0</v>
      </c>
      <c r="H321" s="378" t="str">
        <f t="shared" ca="1" si="1094"/>
        <v>0</v>
      </c>
      <c r="I321" s="378" t="str">
        <f t="shared" ca="1" si="1095"/>
        <v>0</v>
      </c>
      <c r="J321" s="378">
        <f t="shared" ca="1" si="712"/>
        <v>35</v>
      </c>
      <c r="K321" s="378" t="str">
        <f t="shared" si="1096"/>
        <v>NÃO</v>
      </c>
      <c r="L321" s="378" t="str">
        <f t="shared" ca="1" si="1097"/>
        <v>14.7.35</v>
      </c>
      <c r="M321" s="55" t="s">
        <v>27868</v>
      </c>
      <c r="O321" s="392" t="str">
        <f t="shared" ca="1" si="1098"/>
        <v>14.7.35</v>
      </c>
      <c r="P321" s="681" t="s">
        <v>29901</v>
      </c>
      <c r="Q321" s="682" t="s">
        <v>13526</v>
      </c>
      <c r="R321" s="415" t="str">
        <f>UPPER(IF(P321="CDHU",VLOOKUP(Q321,'CDHU 201-SD'!$A$1:$J$28014,2,FALSE),IF(P321="FDE",VLOOKUP(Q321,'FDE 01-26-SD'!$A$1:$J$280013,2,FALSE),IF(P321="PRÓPRIA",VLOOKUP(Q321,COMPOSIÇÃO!$1:$1048576,3,FALSE),VLOOKUP(Q321,'SINAPI 04-26-SD'!$A$1:$H$272700,2,FALSE)))))</f>
        <v>PERFIL EM ALUMÍNIO NATURAL</v>
      </c>
      <c r="S321" s="414" t="str">
        <f>UPPER(IF(P321="CDHU",VLOOKUP(Q321,'CDHU 201-SD'!$A$1:$J$28014,3,FALSE),IF(P321="FDE",VLOOKUP(Q321,'FDE 01-26-SD'!$A$1:$J$280013,3,FALSE),IF(P321="PRÓPRIA",VLOOKUP(Q321,COMPOSIÇÃO!$1:$1048576,7,FALSE),VLOOKUP(Q321,'SINAPI 04-26-SD'!$A$1:$H$272700,3,FALSE)))))</f>
        <v>KG</v>
      </c>
      <c r="T321" s="393">
        <f>T322*5</f>
        <v>10.8</v>
      </c>
      <c r="U321" s="394">
        <f>TRUNC(IF(P321="CDHU",VLOOKUP(Q321,'CDHU 201-SD'!$A$1:$J$28014,6,FALSE),IF(P321="FDE",VLOOKUP(Q321,'FDE 01-26-SD'!$A$1:$J$280013,6,FALSE),IF(P321="PRÓPRIA",VLOOKUP(Q321,COMPOSIÇÃO!$1:$1048576,10,FALSE),VLOOKUP(Q321,'SINAPI 04-26-SD'!$A$1:$H$272700,4,FALSE)))),2)</f>
        <v>116.22</v>
      </c>
      <c r="V321" s="416">
        <f t="shared" si="1099"/>
        <v>1255.17</v>
      </c>
      <c r="W321" s="395">
        <f>IF($AA321="N",BDI!$D$26,IF($AA321="D",'BDI DIFE.'!$D$26,"ERRO"))</f>
        <v>0.22500000000000001</v>
      </c>
      <c r="X321" s="379">
        <f t="shared" si="1100"/>
        <v>142.36000000000001</v>
      </c>
      <c r="Y321" s="380">
        <f t="shared" si="1101"/>
        <v>1537.48</v>
      </c>
      <c r="Z321" s="381"/>
      <c r="AA321" s="378" t="s">
        <v>28044</v>
      </c>
      <c r="AB321" s="642"/>
    </row>
    <row r="322" spans="2:28" s="55" customFormat="1" ht="16" thickBot="1">
      <c r="B322" s="378">
        <f t="shared" ca="1" si="967"/>
        <v>3</v>
      </c>
      <c r="C322" s="378" t="str">
        <f t="shared" si="832"/>
        <v>S</v>
      </c>
      <c r="D322" s="378">
        <f t="shared" ca="1" si="711"/>
        <v>14</v>
      </c>
      <c r="E322" s="378">
        <f t="shared" ca="1" si="968"/>
        <v>7</v>
      </c>
      <c r="F322" s="378" t="str">
        <f t="shared" ca="1" si="969"/>
        <v>0</v>
      </c>
      <c r="G322" s="378" t="str">
        <f t="shared" ca="1" si="970"/>
        <v>0</v>
      </c>
      <c r="H322" s="378" t="str">
        <f t="shared" ca="1" si="971"/>
        <v>0</v>
      </c>
      <c r="I322" s="378" t="str">
        <f t="shared" ca="1" si="972"/>
        <v>0</v>
      </c>
      <c r="J322" s="378">
        <f t="shared" ca="1" si="712"/>
        <v>36</v>
      </c>
      <c r="K322" s="378" t="str">
        <f t="shared" si="973"/>
        <v>NÃO</v>
      </c>
      <c r="L322" s="378" t="str">
        <f t="shared" ca="1" si="974"/>
        <v>14.7.36</v>
      </c>
      <c r="M322" s="55" t="s">
        <v>27868</v>
      </c>
      <c r="O322" s="392" t="str">
        <f t="shared" ca="1" si="975"/>
        <v>14.7.36</v>
      </c>
      <c r="P322" s="681" t="s">
        <v>29901</v>
      </c>
      <c r="Q322" s="682" t="s">
        <v>12039</v>
      </c>
      <c r="R322" s="415" t="str">
        <f>UPPER(IF(P322="CDHU",VLOOKUP(Q322,'CDHU 201-SD'!$A$1:$J$28014,2,FALSE),IF(P322="FDE",VLOOKUP(Q322,'FDE 01-26-SD'!$A$1:$J$280013,2,FALSE),IF(P322="PRÓPRIA",VLOOKUP(Q322,COMPOSIÇÃO!$1:$1048576,3,FALSE),VLOOKUP(Q322,'SINAPI 04-26-SD'!$A$1:$H$272700,2,FALSE)))))</f>
        <v>DIVISÓRIA EM PLACAS DE GRANITO COM ESPESSURA DE 3 CM</v>
      </c>
      <c r="S322" s="414" t="str">
        <f>UPPER(IF(P322="CDHU",VLOOKUP(Q322,'CDHU 201-SD'!$A$1:$J$28014,3,FALSE),IF(P322="FDE",VLOOKUP(Q322,'FDE 01-26-SD'!$A$1:$J$280013,3,FALSE),IF(P322="PRÓPRIA",VLOOKUP(Q322,COMPOSIÇÃO!$1:$1048576,7,FALSE),VLOOKUP(Q322,'SINAPI 04-26-SD'!$A$1:$H$272700,3,FALSE)))))</f>
        <v>M2</v>
      </c>
      <c r="T322" s="393">
        <v>2.16</v>
      </c>
      <c r="U322" s="394">
        <f>TRUNC(IF(P322="CDHU",VLOOKUP(Q322,'CDHU 201-SD'!$A$1:$J$28014,6,FALSE),IF(P322="FDE",VLOOKUP(Q322,'FDE 01-26-SD'!$A$1:$J$280013,6,FALSE),IF(P322="PRÓPRIA",VLOOKUP(Q322,COMPOSIÇÃO!$1:$1048576,10,FALSE),VLOOKUP(Q322,'SINAPI 04-26-SD'!$A$1:$H$272700,4,FALSE)))),2)</f>
        <v>1283.78</v>
      </c>
      <c r="V322" s="416">
        <f t="shared" ref="V322" si="1102">TRUNC(U322*T322,2)</f>
        <v>2772.96</v>
      </c>
      <c r="W322" s="395">
        <f>IF($AA322="N",BDI!$D$26,IF($AA322="D",'BDI DIFE.'!$D$26,"ERRO"))</f>
        <v>0.22500000000000001</v>
      </c>
      <c r="X322" s="379">
        <f t="shared" ref="X322" si="1103">TRUNC(U322*(1+W322),2)</f>
        <v>1572.63</v>
      </c>
      <c r="Y322" s="380">
        <f t="shared" ref="Y322" si="1104">TRUNC(T322*X322,2)</f>
        <v>3396.88</v>
      </c>
      <c r="Z322" s="381"/>
      <c r="AA322" s="378" t="s">
        <v>28044</v>
      </c>
      <c r="AB322" s="642"/>
    </row>
    <row r="323" spans="2:28" s="55" customFormat="1" ht="16" thickBot="1">
      <c r="B323" s="378" t="str">
        <f t="shared" ca="1" si="967"/>
        <v/>
      </c>
      <c r="C323" s="378" t="str">
        <f>IF(RIGHT($M323) = "o", "S", RIGHT($M323))</f>
        <v/>
      </c>
      <c r="D323" s="378">
        <f t="shared" ca="1" si="711"/>
        <v>14</v>
      </c>
      <c r="E323" s="378">
        <f t="shared" ca="1" si="968"/>
        <v>7</v>
      </c>
      <c r="F323" s="378" t="str">
        <f t="shared" ca="1" si="969"/>
        <v>0</v>
      </c>
      <c r="G323" s="378" t="str">
        <f t="shared" ca="1" si="970"/>
        <v>0</v>
      </c>
      <c r="H323" s="378" t="str">
        <f t="shared" ca="1" si="971"/>
        <v>0</v>
      </c>
      <c r="I323" s="378" t="str">
        <f t="shared" ca="1" si="972"/>
        <v>0</v>
      </c>
      <c r="J323" s="378" t="str">
        <f t="shared" ca="1" si="712"/>
        <v>0</v>
      </c>
      <c r="K323" s="378" t="b">
        <f t="shared" si="973"/>
        <v>0</v>
      </c>
      <c r="L323" s="378" t="b">
        <f t="shared" si="974"/>
        <v>0</v>
      </c>
      <c r="O323" s="192"/>
      <c r="P323" s="387"/>
      <c r="Q323" s="387"/>
      <c r="R323" s="377"/>
      <c r="S323" s="387"/>
      <c r="T323" s="363"/>
      <c r="U323" s="388"/>
      <c r="V323" s="389"/>
      <c r="W323" s="389"/>
      <c r="X323" s="389"/>
      <c r="Y323" s="390"/>
      <c r="AA323" s="378"/>
      <c r="AB323" s="642"/>
    </row>
    <row r="324" spans="2:28" s="75" customFormat="1" ht="16" thickBot="1">
      <c r="B324" s="75" t="str">
        <f t="shared" ca="1" si="967"/>
        <v>1</v>
      </c>
      <c r="C324" s="75" t="str">
        <f t="shared" ref="C324:C481" si="1105">IF(RIGHT($M324) = "o", "S", RIGHT($M324))</f>
        <v>1</v>
      </c>
      <c r="D324" s="75">
        <f t="shared" ca="1" si="711"/>
        <v>15</v>
      </c>
      <c r="E324" s="75" t="str">
        <f t="shared" ca="1" si="968"/>
        <v>0</v>
      </c>
      <c r="F324" s="75" t="str">
        <f t="shared" ca="1" si="969"/>
        <v>0</v>
      </c>
      <c r="G324" s="75" t="str">
        <f t="shared" ca="1" si="970"/>
        <v>0</v>
      </c>
      <c r="H324" s="75" t="str">
        <f t="shared" ca="1" si="971"/>
        <v>0</v>
      </c>
      <c r="I324" s="75" t="str">
        <f t="shared" ca="1" si="972"/>
        <v>0</v>
      </c>
      <c r="J324" s="75" t="str">
        <f t="shared" ca="1" si="712"/>
        <v>0</v>
      </c>
      <c r="K324" s="75">
        <f t="shared" ca="1" si="973"/>
        <v>15</v>
      </c>
      <c r="L324" s="75">
        <f t="shared" ca="1" si="974"/>
        <v>15</v>
      </c>
      <c r="M324" s="55" t="s">
        <v>27859</v>
      </c>
      <c r="O324" s="191">
        <f t="shared" ref="O324:O333" ca="1" si="1106">L324</f>
        <v>15</v>
      </c>
      <c r="P324" s="172"/>
      <c r="Q324" s="172"/>
      <c r="R324" s="683" t="s">
        <v>41866</v>
      </c>
      <c r="S324" s="172"/>
      <c r="T324" s="194"/>
      <c r="U324" s="195"/>
      <c r="V324" s="196">
        <f ca="1">IF(VALUE(C324)=1,SUMIFS(V:V,D:D,D324,M:M,"Serviço"),IF(VALUE(C324)=2,SUMIFS(V:V,D:D,D324,E:E,E324,M:M,"Serviço"),IF(VALUE(C324)=3,SUMIFS(V:V,D:D,D324,E:E,E324,F:F,F324,M:M,"Serviço"),IF(VALUE(C324)=4,SUMIFS(V:V,D:D,D324,E:E,E324,F:F,F324,G:G,G324,M:M,"Serviço"),"ERRO"))))</f>
        <v>313938.44</v>
      </c>
      <c r="W324" s="197"/>
      <c r="X324" s="205"/>
      <c r="Y324" s="173">
        <f ca="1">IF(VALUE(C324)=1,SUMIFS(Y:Y,D:D,D324,M:M,"Serviço"),IF(VALUE(C324)=2,SUMIFS(Y:Y,D:D,D324,E:E,E324,M:M,"Serviço"),IF(VALUE(C324)=3,SUMIFS(Y:Y,D:D,D324,E:E,E324,F:F,F324,M:M,"Serviço"),IF(VALUE(C324)=4,SUMIFS(Y:Y,D:D,D324,E:E,E324,F:F,F324,G:G,G324,M:M,"Serviço"),"ERRO"))))</f>
        <v>384510.61999999988</v>
      </c>
      <c r="AB324" s="641"/>
    </row>
    <row r="325" spans="2:28" s="75" customFormat="1" ht="16" thickBot="1">
      <c r="B325" s="75" t="str">
        <f t="shared" ca="1" si="967"/>
        <v>2</v>
      </c>
      <c r="C325" s="75" t="str">
        <f t="shared" si="1105"/>
        <v>2</v>
      </c>
      <c r="D325" s="75">
        <f t="shared" ca="1" si="711"/>
        <v>15</v>
      </c>
      <c r="E325" s="75">
        <f t="shared" ca="1" si="968"/>
        <v>1</v>
      </c>
      <c r="F325" s="75" t="str">
        <f t="shared" ca="1" si="969"/>
        <v>0</v>
      </c>
      <c r="G325" s="75" t="str">
        <f t="shared" ca="1" si="970"/>
        <v>0</v>
      </c>
      <c r="H325" s="75" t="str">
        <f t="shared" ca="1" si="971"/>
        <v>0</v>
      </c>
      <c r="I325" s="75" t="str">
        <f t="shared" ca="1" si="972"/>
        <v>0</v>
      </c>
      <c r="J325" s="75" t="str">
        <f t="shared" ca="1" si="712"/>
        <v>0</v>
      </c>
      <c r="K325" s="75" t="str">
        <f t="shared" ca="1" si="973"/>
        <v>15.1</v>
      </c>
      <c r="L325" s="75" t="str">
        <f t="shared" ca="1" si="974"/>
        <v>15.1</v>
      </c>
      <c r="M325" s="55" t="s">
        <v>27861</v>
      </c>
      <c r="O325" s="191" t="str">
        <f t="shared" ca="1" si="1106"/>
        <v>15.1</v>
      </c>
      <c r="P325" s="172"/>
      <c r="Q325" s="172"/>
      <c r="R325" s="683" t="s">
        <v>41867</v>
      </c>
      <c r="S325" s="172"/>
      <c r="T325" s="194"/>
      <c r="U325" s="195"/>
      <c r="V325" s="196">
        <f ca="1">IF(VALUE(C325)=1,SUMIFS(V:V,D:D,D325,M:M,"Serviço"),IF(VALUE(C325)=2,SUMIFS(V:V,D:D,D325,E:E,E325,M:M,"Serviço"),IF(VALUE(C325)=3,SUMIFS(V:V,D:D,D325,E:E,E325,F:F,F325,M:M,"Serviço"),IF(VALUE(C325)=4,SUMIFS(V:V,D:D,D325,E:E,E325,F:F,F325,G:G,G325,M:M,"Serviço"),"ERRO"))))</f>
        <v>62319.72</v>
      </c>
      <c r="W325" s="197"/>
      <c r="X325" s="205"/>
      <c r="Y325" s="173">
        <f ca="1">IF(VALUE(C325)=1,SUMIFS(Y:Y,D:D,D325,M:M,"Serviço"),IF(VALUE(C325)=2,SUMIFS(Y:Y,D:D,D325,E:E,E325,M:M,"Serviço"),IF(VALUE(C325)=3,SUMIFS(Y:Y,D:D,D325,E:E,E325,F:F,F325,M:M,"Serviço"),IF(VALUE(C325)=4,SUMIFS(Y:Y,D:D,D325,E:E,E325,F:F,F325,G:G,G325,M:M,"Serviço"),"ERRO"))))</f>
        <v>76337.95</v>
      </c>
      <c r="AB325" s="641"/>
    </row>
    <row r="326" spans="2:28" s="55" customFormat="1" ht="30">
      <c r="B326" s="378">
        <f t="shared" ca="1" si="967"/>
        <v>3</v>
      </c>
      <c r="C326" s="378" t="str">
        <f t="shared" si="1105"/>
        <v>S</v>
      </c>
      <c r="D326" s="378">
        <f t="shared" ca="1" si="711"/>
        <v>15</v>
      </c>
      <c r="E326" s="378">
        <f t="shared" ca="1" si="968"/>
        <v>1</v>
      </c>
      <c r="F326" s="378" t="str">
        <f t="shared" ca="1" si="969"/>
        <v>0</v>
      </c>
      <c r="G326" s="378" t="str">
        <f t="shared" ca="1" si="970"/>
        <v>0</v>
      </c>
      <c r="H326" s="378" t="str">
        <f t="shared" ca="1" si="971"/>
        <v>0</v>
      </c>
      <c r="I326" s="378" t="str">
        <f t="shared" ca="1" si="972"/>
        <v>0</v>
      </c>
      <c r="J326" s="378">
        <f t="shared" ca="1" si="712"/>
        <v>1</v>
      </c>
      <c r="K326" s="378" t="str">
        <f t="shared" si="973"/>
        <v>NÃO</v>
      </c>
      <c r="L326" s="378" t="str">
        <f t="shared" ca="1" si="974"/>
        <v>15.1.1</v>
      </c>
      <c r="M326" s="55" t="s">
        <v>27868</v>
      </c>
      <c r="O326" s="392" t="str">
        <f t="shared" ca="1" si="1106"/>
        <v>15.1.1</v>
      </c>
      <c r="P326" s="681" t="s">
        <v>29901</v>
      </c>
      <c r="Q326" s="682" t="s">
        <v>14590</v>
      </c>
      <c r="R326" s="415" t="str">
        <f>UPPER(IF(P326="CDHU",VLOOKUP(Q326,'CDHU 201-SD'!$A$1:$J$28014,2,FALSE),IF(P326="FDE",VLOOKUP(Q326,'FDE 01-26-SD'!$A$1:$J$280013,2,FALSE),IF(P326="PRÓPRIA",VLOOKUP(Q326,COMPOSIÇÃO!$1:$1048576,3,FALSE),VLOOKUP(Q326,'SINAPI 04-26-SD'!$A$1:$H$272700,2,FALSE)))))</f>
        <v>ELETRODUTO DE PVC RÍGIDO ROSCÁVEL DE 3/4´ - COM ACESSÓRIOS</v>
      </c>
      <c r="S326" s="414" t="str">
        <f>UPPER(IF(P326="CDHU",VLOOKUP(Q326,'CDHU 201-SD'!$A$1:$J$28014,3,FALSE),IF(P326="FDE",VLOOKUP(Q326,'FDE 01-26-SD'!$A$1:$J$280013,3,FALSE),IF(P326="PRÓPRIA",VLOOKUP(Q326,COMPOSIÇÃO!$1:$1048576,7,FALSE),VLOOKUP(Q326,'SINAPI 04-26-SD'!$A$1:$H$272700,3,FALSE)))))</f>
        <v>M</v>
      </c>
      <c r="T326" s="393">
        <v>353.5</v>
      </c>
      <c r="U326" s="394">
        <f>TRUNC(IF(P326="CDHU",VLOOKUP(Q326,'CDHU 201-SD'!$A$1:$J$28014,6,FALSE),IF(P326="FDE",VLOOKUP(Q326,'FDE 01-26-SD'!$A$1:$J$280013,6,FALSE),IF(P326="PRÓPRIA",VLOOKUP(Q326,COMPOSIÇÃO!$1:$1048576,10,FALSE),VLOOKUP(Q326,'SINAPI 04-26-SD'!$A$1:$H$272700,4,FALSE)))),2)</f>
        <v>36.090000000000003</v>
      </c>
      <c r="V326" s="416">
        <f t="shared" ref="V326:V333" si="1107">TRUNC(U326*T326,2)</f>
        <v>12757.81</v>
      </c>
      <c r="W326" s="395">
        <f>IF($AA326="N",BDI!$D$26,IF($AA326="D",'BDI DIFE.'!$D$26,"ERRO"))</f>
        <v>0.22500000000000001</v>
      </c>
      <c r="X326" s="379">
        <f t="shared" ref="X326:X333" si="1108">TRUNC(U326*(1+W326),2)</f>
        <v>44.21</v>
      </c>
      <c r="Y326" s="380">
        <f t="shared" ref="Y326:Y333" si="1109">TRUNC(T326*X326,2)</f>
        <v>15628.23</v>
      </c>
      <c r="Z326" s="381"/>
      <c r="AA326" s="378" t="s">
        <v>28044</v>
      </c>
      <c r="AB326" s="642"/>
    </row>
    <row r="327" spans="2:28" s="55" customFormat="1">
      <c r="B327" s="378">
        <f t="shared" ca="1" si="967"/>
        <v>3</v>
      </c>
      <c r="C327" s="378" t="str">
        <f t="shared" si="1105"/>
        <v>S</v>
      </c>
      <c r="D327" s="378">
        <f t="shared" ca="1" si="711"/>
        <v>15</v>
      </c>
      <c r="E327" s="378">
        <f t="shared" ca="1" si="968"/>
        <v>1</v>
      </c>
      <c r="F327" s="378" t="str">
        <f t="shared" ca="1" si="969"/>
        <v>0</v>
      </c>
      <c r="G327" s="378" t="str">
        <f t="shared" ca="1" si="970"/>
        <v>0</v>
      </c>
      <c r="H327" s="378" t="str">
        <f t="shared" ca="1" si="971"/>
        <v>0</v>
      </c>
      <c r="I327" s="378" t="str">
        <f t="shared" ca="1" si="972"/>
        <v>0</v>
      </c>
      <c r="J327" s="378">
        <f t="shared" ca="1" si="712"/>
        <v>2</v>
      </c>
      <c r="K327" s="378" t="str">
        <f t="shared" si="973"/>
        <v>NÃO</v>
      </c>
      <c r="L327" s="378" t="str">
        <f t="shared" ca="1" si="974"/>
        <v>15.1.2</v>
      </c>
      <c r="M327" s="55" t="s">
        <v>27868</v>
      </c>
      <c r="O327" s="392" t="str">
        <f t="shared" ca="1" si="1106"/>
        <v>15.1.2</v>
      </c>
      <c r="P327" s="681" t="s">
        <v>29901</v>
      </c>
      <c r="Q327" s="682" t="s">
        <v>14592</v>
      </c>
      <c r="R327" s="415" t="str">
        <f>UPPER(IF(P327="CDHU",VLOOKUP(Q327,'CDHU 201-SD'!$A$1:$J$28014,2,FALSE),IF(P327="FDE",VLOOKUP(Q327,'FDE 01-26-SD'!$A$1:$J$280013,2,FALSE),IF(P327="PRÓPRIA",VLOOKUP(Q327,COMPOSIÇÃO!$1:$1048576,3,FALSE),VLOOKUP(Q327,'SINAPI 04-26-SD'!$A$1:$H$272700,2,FALSE)))))</f>
        <v>ELETRODUTO DE PVC RÍGIDO ROSCÁVEL DE 1´ - COM ACESSÓRIOS</v>
      </c>
      <c r="S327" s="414" t="str">
        <f>UPPER(IF(P327="CDHU",VLOOKUP(Q327,'CDHU 201-SD'!$A$1:$J$28014,3,FALSE),IF(P327="FDE",VLOOKUP(Q327,'FDE 01-26-SD'!$A$1:$J$280013,3,FALSE),IF(P327="PRÓPRIA",VLOOKUP(Q327,COMPOSIÇÃO!$1:$1048576,7,FALSE),VLOOKUP(Q327,'SINAPI 04-26-SD'!$A$1:$H$272700,3,FALSE)))))</f>
        <v>M</v>
      </c>
      <c r="T327" s="393">
        <v>28.1</v>
      </c>
      <c r="U327" s="394">
        <f>TRUNC(IF(P327="CDHU",VLOOKUP(Q327,'CDHU 201-SD'!$A$1:$J$28014,6,FALSE),IF(P327="FDE",VLOOKUP(Q327,'FDE 01-26-SD'!$A$1:$J$280013,6,FALSE),IF(P327="PRÓPRIA",VLOOKUP(Q327,COMPOSIÇÃO!$1:$1048576,10,FALSE),VLOOKUP(Q327,'SINAPI 04-26-SD'!$A$1:$H$272700,4,FALSE)))),2)</f>
        <v>45.11</v>
      </c>
      <c r="V327" s="416">
        <f t="shared" si="1107"/>
        <v>1267.5899999999999</v>
      </c>
      <c r="W327" s="395">
        <f>IF($AA327="N",BDI!$D$26,IF($AA327="D",'BDI DIFE.'!$D$26,"ERRO"))</f>
        <v>0.22500000000000001</v>
      </c>
      <c r="X327" s="379">
        <f t="shared" si="1108"/>
        <v>55.25</v>
      </c>
      <c r="Y327" s="380">
        <f t="shared" si="1109"/>
        <v>1552.52</v>
      </c>
      <c r="Z327" s="381"/>
      <c r="AA327" s="378" t="s">
        <v>28044</v>
      </c>
      <c r="AB327" s="642"/>
    </row>
    <row r="328" spans="2:28" s="55" customFormat="1" ht="30">
      <c r="B328" s="378">
        <f t="shared" ca="1" si="967"/>
        <v>3</v>
      </c>
      <c r="C328" s="378" t="str">
        <f t="shared" si="1105"/>
        <v>S</v>
      </c>
      <c r="D328" s="378">
        <f t="shared" ca="1" si="711"/>
        <v>15</v>
      </c>
      <c r="E328" s="378">
        <f t="shared" ca="1" si="968"/>
        <v>1</v>
      </c>
      <c r="F328" s="378" t="str">
        <f t="shared" ca="1" si="969"/>
        <v>0</v>
      </c>
      <c r="G328" s="378" t="str">
        <f t="shared" ca="1" si="970"/>
        <v>0</v>
      </c>
      <c r="H328" s="378" t="str">
        <f t="shared" ca="1" si="971"/>
        <v>0</v>
      </c>
      <c r="I328" s="378" t="str">
        <f t="shared" ca="1" si="972"/>
        <v>0</v>
      </c>
      <c r="J328" s="378">
        <f t="shared" ca="1" si="712"/>
        <v>3</v>
      </c>
      <c r="K328" s="378" t="str">
        <f t="shared" si="973"/>
        <v>NÃO</v>
      </c>
      <c r="L328" s="378" t="str">
        <f t="shared" ca="1" si="974"/>
        <v>15.1.3</v>
      </c>
      <c r="M328" s="55" t="s">
        <v>27868</v>
      </c>
      <c r="O328" s="392" t="str">
        <f t="shared" ca="1" si="1106"/>
        <v>15.1.3</v>
      </c>
      <c r="P328" s="681" t="s">
        <v>29901</v>
      </c>
      <c r="Q328" s="682" t="s">
        <v>14596</v>
      </c>
      <c r="R328" s="415" t="str">
        <f>UPPER(IF(P328="CDHU",VLOOKUP(Q328,'CDHU 201-SD'!$A$1:$J$28014,2,FALSE),IF(P328="FDE",VLOOKUP(Q328,'FDE 01-26-SD'!$A$1:$J$280013,2,FALSE),IF(P328="PRÓPRIA",VLOOKUP(Q328,COMPOSIÇÃO!$1:$1048576,3,FALSE),VLOOKUP(Q328,'SINAPI 04-26-SD'!$A$1:$H$272700,2,FALSE)))))</f>
        <v>ELETRODUTO DE PVC RÍGIDO ROSCÁVEL DE 1 1/2´ - COM ACESSÓRIOS</v>
      </c>
      <c r="S328" s="414" t="str">
        <f>UPPER(IF(P328="CDHU",VLOOKUP(Q328,'CDHU 201-SD'!$A$1:$J$28014,3,FALSE),IF(P328="FDE",VLOOKUP(Q328,'FDE 01-26-SD'!$A$1:$J$280013,3,FALSE),IF(P328="PRÓPRIA",VLOOKUP(Q328,COMPOSIÇÃO!$1:$1048576,7,FALSE),VLOOKUP(Q328,'SINAPI 04-26-SD'!$A$1:$H$272700,3,FALSE)))))</f>
        <v>M</v>
      </c>
      <c r="T328" s="393">
        <v>9.1</v>
      </c>
      <c r="U328" s="394">
        <f>TRUNC(IF(P328="CDHU",VLOOKUP(Q328,'CDHU 201-SD'!$A$1:$J$28014,6,FALSE),IF(P328="FDE",VLOOKUP(Q328,'FDE 01-26-SD'!$A$1:$J$280013,6,FALSE),IF(P328="PRÓPRIA",VLOOKUP(Q328,COMPOSIÇÃO!$1:$1048576,10,FALSE),VLOOKUP(Q328,'SINAPI 04-26-SD'!$A$1:$H$272700,4,FALSE)))),2)</f>
        <v>64.31</v>
      </c>
      <c r="V328" s="416">
        <f t="shared" si="1107"/>
        <v>585.22</v>
      </c>
      <c r="W328" s="395">
        <f>IF($AA328="N",BDI!$D$26,IF($AA328="D",'BDI DIFE.'!$D$26,"ERRO"))</f>
        <v>0.22500000000000001</v>
      </c>
      <c r="X328" s="379">
        <f t="shared" si="1108"/>
        <v>78.77</v>
      </c>
      <c r="Y328" s="380">
        <f t="shared" si="1109"/>
        <v>716.8</v>
      </c>
      <c r="Z328" s="381"/>
      <c r="AA328" s="378" t="s">
        <v>28044</v>
      </c>
      <c r="AB328" s="642"/>
    </row>
    <row r="329" spans="2:28" s="55" customFormat="1">
      <c r="B329" s="378">
        <f t="shared" ref="B329:B330" ca="1" si="1110">IF(C329="S",IF(OFFSET(C329,-1,0)="S", OFFSET(B329,-1,0), OFFSET(B329,-1,0) +1 ), C329)</f>
        <v>3</v>
      </c>
      <c r="C329" s="378" t="str">
        <f t="shared" si="1105"/>
        <v>S</v>
      </c>
      <c r="D329" s="378">
        <f t="shared" ca="1" si="711"/>
        <v>15</v>
      </c>
      <c r="E329" s="378">
        <f t="shared" ref="E329:E330" ca="1" si="1111">IF($C329="2",OFFSET(E329,-1,0) +1,IF(OFFSET(D329,-1,0)&lt;&gt;D329,"0",IF(OFFSET(E329,-1,0)="","0",OFFSET(E329,-1,0))))</f>
        <v>1</v>
      </c>
      <c r="F329" s="378" t="str">
        <f t="shared" ref="F329:F330" ca="1" si="1112">IF($C329="3",OFFSET(F329,-1,0) +1,IF(OFFSET(E329,-1,0)&lt;&gt;E329,"0",IF(OFFSET(F329,-1,0)="","0",OFFSET(F329,-1,0))))</f>
        <v>0</v>
      </c>
      <c r="G329" s="378" t="str">
        <f t="shared" ref="G329:G330" ca="1" si="1113">IF($C329="4",OFFSET(G329,-1,0) +1,IF(OFFSET(F329,-1,0)&lt;&gt;F329,"0",IF(OFFSET(G329,-1,0)="","0",OFFSET(G329,-1,0))))</f>
        <v>0</v>
      </c>
      <c r="H329" s="378" t="str">
        <f t="shared" ref="H329:H330" ca="1" si="1114">IF($C329="5",OFFSET(H329,-1,0) +1,IF(OFFSET(G329,-1,0)&lt;&gt;G329,"0",IF(OFFSET(H329,-1,0)="","0",OFFSET(H329,-1,0))))</f>
        <v>0</v>
      </c>
      <c r="I329" s="378" t="str">
        <f t="shared" ref="I329:I330" ca="1" si="1115">IF($C329="6",OFFSET(I329,-1,0) +1,IF(OFFSET(H329,-1,0)&lt;&gt;H329,"0",IF(OFFSET(I329,-1,0)="","0", OFFSET(I329,-1,0))))</f>
        <v>0</v>
      </c>
      <c r="J329" s="378">
        <f t="shared" ca="1" si="712"/>
        <v>4</v>
      </c>
      <c r="K329" s="378" t="str">
        <f t="shared" ref="K329:K330" si="1116">IF(C329="S","NÃO", IF(C329="1", D329, IF(C329="2", D329 &amp; "." &amp; E329,IF(C329="3", D329 &amp; "." &amp; E329 &amp; "." &amp; F329, IF(C329="4", D329 &amp; "." &amp; E329 &amp; "." &amp; F329 &amp; "." &amp; G329, IF(C329="5", D329 &amp; "." &amp; E329 &amp; "." &amp; F329 &amp; "." &amp; G329 &amp; "." &amp; H329, IF(C329="6", D329 &amp; "." &amp; E329 &amp; "." &amp; F329 &amp; "." &amp; G329 &amp; "." &amp; H329 &amp; "." &amp; I329)))))))</f>
        <v>NÃO</v>
      </c>
      <c r="L329" s="378" t="str">
        <f t="shared" ref="L329:L330" ca="1" si="1117">IF(K329="NÃO",IF($B329=2,D329&amp;"."&amp;J329,IF($B329=3,D329&amp;"."&amp;E329&amp;"."&amp;J329,IF($B329=4,D329&amp;"."&amp;E329&amp;"."&amp;F329&amp;"."&amp;J329,IF($B329=5,D329&amp;"."&amp;E329&amp;"."&amp;F329&amp;"."&amp;G329&amp;"."&amp;J329,IF($B329=6,D329&amp;"."&amp;E329&amp;"."&amp;F329&amp;"."&amp;G329&amp;"."&amp;H329&amp;"."&amp;J329,IF($B329=7,D329&amp;"."&amp;E329&amp;"."&amp;F329&amp;"."&amp;G329&amp;"."&amp;H329&amp;"."&amp;I329&amp;"."&amp;J329,"FALHA")))))),K329)</f>
        <v>15.1.4</v>
      </c>
      <c r="M329" s="55" t="s">
        <v>27868</v>
      </c>
      <c r="O329" s="392" t="str">
        <f t="shared" ref="O329:O330" ca="1" si="1118">L329</f>
        <v>15.1.4</v>
      </c>
      <c r="P329" s="681" t="s">
        <v>29901</v>
      </c>
      <c r="Q329" s="682" t="s">
        <v>14598</v>
      </c>
      <c r="R329" s="415" t="str">
        <f>UPPER(IF(P329="CDHU",VLOOKUP(Q329,'CDHU 201-SD'!$A$1:$J$28014,2,FALSE),IF(P329="FDE",VLOOKUP(Q329,'FDE 01-26-SD'!$A$1:$J$280013,2,FALSE),IF(P329="PRÓPRIA",VLOOKUP(Q329,COMPOSIÇÃO!$1:$1048576,3,FALSE),VLOOKUP(Q329,'SINAPI 04-26-SD'!$A$1:$H$272700,2,FALSE)))))</f>
        <v>ELETRODUTO DE PVC RÍGIDO ROSCÁVEL DE 2´ - COM ACESSÓRIOS</v>
      </c>
      <c r="S329" s="414" t="str">
        <f>UPPER(IF(P329="CDHU",VLOOKUP(Q329,'CDHU 201-SD'!$A$1:$J$28014,3,FALSE),IF(P329="FDE",VLOOKUP(Q329,'FDE 01-26-SD'!$A$1:$J$280013,3,FALSE),IF(P329="PRÓPRIA",VLOOKUP(Q329,COMPOSIÇÃO!$1:$1048576,7,FALSE),VLOOKUP(Q329,'SINAPI 04-26-SD'!$A$1:$H$272700,3,FALSE)))))</f>
        <v>M</v>
      </c>
      <c r="T329" s="393">
        <v>2.1</v>
      </c>
      <c r="U329" s="394">
        <f>TRUNC(IF(P329="CDHU",VLOOKUP(Q329,'CDHU 201-SD'!$A$1:$J$28014,6,FALSE),IF(P329="FDE",VLOOKUP(Q329,'FDE 01-26-SD'!$A$1:$J$280013,6,FALSE),IF(P329="PRÓPRIA",VLOOKUP(Q329,COMPOSIÇÃO!$1:$1048576,10,FALSE),VLOOKUP(Q329,'SINAPI 04-26-SD'!$A$1:$H$272700,4,FALSE)))),2)</f>
        <v>74.58</v>
      </c>
      <c r="V329" s="416">
        <f t="shared" ref="V329:V330" si="1119">TRUNC(U329*T329,2)</f>
        <v>156.61000000000001</v>
      </c>
      <c r="W329" s="395">
        <f>IF($AA329="N",BDI!$D$26,IF($AA329="D",'BDI DIFE.'!$D$26,"ERRO"))</f>
        <v>0.22500000000000001</v>
      </c>
      <c r="X329" s="379">
        <f t="shared" ref="X329:X330" si="1120">TRUNC(U329*(1+W329),2)</f>
        <v>91.36</v>
      </c>
      <c r="Y329" s="380">
        <f t="shared" ref="Y329:Y330" si="1121">TRUNC(T329*X329,2)</f>
        <v>191.85</v>
      </c>
      <c r="Z329" s="381"/>
      <c r="AA329" s="378" t="s">
        <v>28044</v>
      </c>
      <c r="AB329" s="642"/>
    </row>
    <row r="330" spans="2:28" s="55" customFormat="1">
      <c r="B330" s="378">
        <f t="shared" ca="1" si="1110"/>
        <v>3</v>
      </c>
      <c r="C330" s="378" t="str">
        <f t="shared" si="1105"/>
        <v>S</v>
      </c>
      <c r="D330" s="378">
        <f t="shared" ca="1" si="711"/>
        <v>15</v>
      </c>
      <c r="E330" s="378">
        <f t="shared" ca="1" si="1111"/>
        <v>1</v>
      </c>
      <c r="F330" s="378" t="str">
        <f t="shared" ca="1" si="1112"/>
        <v>0</v>
      </c>
      <c r="G330" s="378" t="str">
        <f t="shared" ca="1" si="1113"/>
        <v>0</v>
      </c>
      <c r="H330" s="378" t="str">
        <f t="shared" ca="1" si="1114"/>
        <v>0</v>
      </c>
      <c r="I330" s="378" t="str">
        <f t="shared" ca="1" si="1115"/>
        <v>0</v>
      </c>
      <c r="J330" s="378">
        <f t="shared" ca="1" si="712"/>
        <v>5</v>
      </c>
      <c r="K330" s="378" t="str">
        <f t="shared" si="1116"/>
        <v>NÃO</v>
      </c>
      <c r="L330" s="378" t="str">
        <f t="shared" ca="1" si="1117"/>
        <v>15.1.5</v>
      </c>
      <c r="M330" s="55" t="s">
        <v>27868</v>
      </c>
      <c r="O330" s="392" t="str">
        <f t="shared" ca="1" si="1118"/>
        <v>15.1.5</v>
      </c>
      <c r="P330" s="681" t="s">
        <v>29901</v>
      </c>
      <c r="Q330" s="682" t="s">
        <v>14602</v>
      </c>
      <c r="R330" s="415" t="str">
        <f>UPPER(IF(P330="CDHU",VLOOKUP(Q330,'CDHU 201-SD'!$A$1:$J$28014,2,FALSE),IF(P330="FDE",VLOOKUP(Q330,'FDE 01-26-SD'!$A$1:$J$280013,2,FALSE),IF(P330="PRÓPRIA",VLOOKUP(Q330,COMPOSIÇÃO!$1:$1048576,3,FALSE),VLOOKUP(Q330,'SINAPI 04-26-SD'!$A$1:$H$272700,2,FALSE)))))</f>
        <v>ELETRODUTO DE PVC RÍGIDO ROSCÁVEL DE 3´ - COM ACESSÓRIOS</v>
      </c>
      <c r="S330" s="414" t="str">
        <f>UPPER(IF(P330="CDHU",VLOOKUP(Q330,'CDHU 201-SD'!$A$1:$J$28014,3,FALSE),IF(P330="FDE",VLOOKUP(Q330,'FDE 01-26-SD'!$A$1:$J$280013,3,FALSE),IF(P330="PRÓPRIA",VLOOKUP(Q330,COMPOSIÇÃO!$1:$1048576,7,FALSE),VLOOKUP(Q330,'SINAPI 04-26-SD'!$A$1:$H$272700,3,FALSE)))))</f>
        <v>M</v>
      </c>
      <c r="T330" s="393">
        <v>3.6</v>
      </c>
      <c r="U330" s="394">
        <f>TRUNC(IF(P330="CDHU",VLOOKUP(Q330,'CDHU 201-SD'!$A$1:$J$28014,6,FALSE),IF(P330="FDE",VLOOKUP(Q330,'FDE 01-26-SD'!$A$1:$J$280013,6,FALSE),IF(P330="PRÓPRIA",VLOOKUP(Q330,COMPOSIÇÃO!$1:$1048576,10,FALSE),VLOOKUP(Q330,'SINAPI 04-26-SD'!$A$1:$H$272700,4,FALSE)))),2)</f>
        <v>119.82</v>
      </c>
      <c r="V330" s="416">
        <f t="shared" si="1119"/>
        <v>431.35</v>
      </c>
      <c r="W330" s="395">
        <f>IF($AA330="N",BDI!$D$26,IF($AA330="D",'BDI DIFE.'!$D$26,"ERRO"))</f>
        <v>0.22500000000000001</v>
      </c>
      <c r="X330" s="379">
        <f t="shared" si="1120"/>
        <v>146.77000000000001</v>
      </c>
      <c r="Y330" s="380">
        <f t="shared" si="1121"/>
        <v>528.37</v>
      </c>
      <c r="Z330" s="381"/>
      <c r="AA330" s="378" t="s">
        <v>28044</v>
      </c>
      <c r="AB330" s="642"/>
    </row>
    <row r="331" spans="2:28" s="55" customFormat="1">
      <c r="B331" s="378">
        <f t="shared" ca="1" si="967"/>
        <v>3</v>
      </c>
      <c r="C331" s="378" t="str">
        <f t="shared" si="1105"/>
        <v>S</v>
      </c>
      <c r="D331" s="378">
        <f t="shared" ca="1" si="711"/>
        <v>15</v>
      </c>
      <c r="E331" s="378">
        <f t="shared" ca="1" si="968"/>
        <v>1</v>
      </c>
      <c r="F331" s="378" t="str">
        <f t="shared" ca="1" si="969"/>
        <v>0</v>
      </c>
      <c r="G331" s="378" t="str">
        <f t="shared" ca="1" si="970"/>
        <v>0</v>
      </c>
      <c r="H331" s="378" t="str">
        <f t="shared" ca="1" si="971"/>
        <v>0</v>
      </c>
      <c r="I331" s="378" t="str">
        <f t="shared" ca="1" si="972"/>
        <v>0</v>
      </c>
      <c r="J331" s="378">
        <f t="shared" ca="1" si="712"/>
        <v>6</v>
      </c>
      <c r="K331" s="378" t="str">
        <f t="shared" si="973"/>
        <v>NÃO</v>
      </c>
      <c r="L331" s="378" t="str">
        <f t="shared" ca="1" si="974"/>
        <v>15.1.6</v>
      </c>
      <c r="M331" s="55" t="s">
        <v>27868</v>
      </c>
      <c r="O331" s="392" t="str">
        <f t="shared" ca="1" si="1106"/>
        <v>15.1.6</v>
      </c>
      <c r="P331" s="681" t="s">
        <v>29901</v>
      </c>
      <c r="Q331" s="682" t="s">
        <v>14604</v>
      </c>
      <c r="R331" s="415" t="str">
        <f>UPPER(IF(P331="CDHU",VLOOKUP(Q331,'CDHU 201-SD'!$A$1:$J$28014,2,FALSE),IF(P331="FDE",VLOOKUP(Q331,'FDE 01-26-SD'!$A$1:$J$280013,2,FALSE),IF(P331="PRÓPRIA",VLOOKUP(Q331,COMPOSIÇÃO!$1:$1048576,3,FALSE),VLOOKUP(Q331,'SINAPI 04-26-SD'!$A$1:$H$272700,2,FALSE)))))</f>
        <v>ELETRODUTO DE PVC RÍGIDO ROSCÁVEL DE 4´ - COM ACESSÓRIOS</v>
      </c>
      <c r="S331" s="414" t="str">
        <f>UPPER(IF(P331="CDHU",VLOOKUP(Q331,'CDHU 201-SD'!$A$1:$J$28014,3,FALSE),IF(P331="FDE",VLOOKUP(Q331,'FDE 01-26-SD'!$A$1:$J$280013,3,FALSE),IF(P331="PRÓPRIA",VLOOKUP(Q331,COMPOSIÇÃO!$1:$1048576,7,FALSE),VLOOKUP(Q331,'SINAPI 04-26-SD'!$A$1:$H$272700,3,FALSE)))))</f>
        <v>M</v>
      </c>
      <c r="T331" s="393">
        <v>96.4</v>
      </c>
      <c r="U331" s="394">
        <f>TRUNC(IF(P331="CDHU",VLOOKUP(Q331,'CDHU 201-SD'!$A$1:$J$28014,6,FALSE),IF(P331="FDE",VLOOKUP(Q331,'FDE 01-26-SD'!$A$1:$J$280013,6,FALSE),IF(P331="PRÓPRIA",VLOOKUP(Q331,COMPOSIÇÃO!$1:$1048576,10,FALSE),VLOOKUP(Q331,'SINAPI 04-26-SD'!$A$1:$H$272700,4,FALSE)))),2)</f>
        <v>158.47</v>
      </c>
      <c r="V331" s="416">
        <f t="shared" si="1107"/>
        <v>15276.5</v>
      </c>
      <c r="W331" s="395">
        <f>IF($AA331="N",BDI!$D$26,IF($AA331="D",'BDI DIFE.'!$D$26,"ERRO"))</f>
        <v>0.22500000000000001</v>
      </c>
      <c r="X331" s="379">
        <f t="shared" si="1108"/>
        <v>194.12</v>
      </c>
      <c r="Y331" s="380">
        <f t="shared" si="1109"/>
        <v>18713.16</v>
      </c>
      <c r="Z331" s="381"/>
      <c r="AA331" s="378" t="s">
        <v>28044</v>
      </c>
      <c r="AB331" s="642"/>
    </row>
    <row r="332" spans="2:28" s="55" customFormat="1" ht="30">
      <c r="B332" s="378">
        <f t="shared" ref="B332" ca="1" si="1122">IF(C332="S",IF(OFFSET(C332,-1,0)="S", OFFSET(B332,-1,0), OFFSET(B332,-1,0) +1 ), C332)</f>
        <v>3</v>
      </c>
      <c r="C332" s="378" t="str">
        <f t="shared" si="1105"/>
        <v>S</v>
      </c>
      <c r="D332" s="378">
        <f t="shared" ca="1" si="711"/>
        <v>15</v>
      </c>
      <c r="E332" s="378">
        <f t="shared" ref="E332" ca="1" si="1123">IF($C332="2",OFFSET(E332,-1,0) +1,IF(OFFSET(D332,-1,0)&lt;&gt;D332,"0",IF(OFFSET(E332,-1,0)="","0",OFFSET(E332,-1,0))))</f>
        <v>1</v>
      </c>
      <c r="F332" s="378" t="str">
        <f t="shared" ref="F332" ca="1" si="1124">IF($C332="3",OFFSET(F332,-1,0) +1,IF(OFFSET(E332,-1,0)&lt;&gt;E332,"0",IF(OFFSET(F332,-1,0)="","0",OFFSET(F332,-1,0))))</f>
        <v>0</v>
      </c>
      <c r="G332" s="378" t="str">
        <f t="shared" ref="G332" ca="1" si="1125">IF($C332="4",OFFSET(G332,-1,0) +1,IF(OFFSET(F332,-1,0)&lt;&gt;F332,"0",IF(OFFSET(G332,-1,0)="","0",OFFSET(G332,-1,0))))</f>
        <v>0</v>
      </c>
      <c r="H332" s="378" t="str">
        <f t="shared" ref="H332" ca="1" si="1126">IF($C332="5",OFFSET(H332,-1,0) +1,IF(OFFSET(G332,-1,0)&lt;&gt;G332,"0",IF(OFFSET(H332,-1,0)="","0",OFFSET(H332,-1,0))))</f>
        <v>0</v>
      </c>
      <c r="I332" s="378" t="str">
        <f t="shared" ref="I332" ca="1" si="1127">IF($C332="6",OFFSET(I332,-1,0) +1,IF(OFFSET(H332,-1,0)&lt;&gt;H332,"0",IF(OFFSET(I332,-1,0)="","0", OFFSET(I332,-1,0))))</f>
        <v>0</v>
      </c>
      <c r="J332" s="378">
        <f t="shared" ca="1" si="712"/>
        <v>7</v>
      </c>
      <c r="K332" s="378" t="str">
        <f t="shared" ref="K332" si="1128">IF(C332="S","NÃO", IF(C332="1", D332, IF(C332="2", D332 &amp; "." &amp; E332,IF(C332="3", D332 &amp; "." &amp; E332 &amp; "." &amp; F332, IF(C332="4", D332 &amp; "." &amp; E332 &amp; "." &amp; F332 &amp; "." &amp; G332, IF(C332="5", D332 &amp; "." &amp; E332 &amp; "." &amp; F332 &amp; "." &amp; G332 &amp; "." &amp; H332, IF(C332="6", D332 &amp; "." &amp; E332 &amp; "." &amp; F332 &amp; "." &amp; G332 &amp; "." &amp; H332 &amp; "." &amp; I332)))))))</f>
        <v>NÃO</v>
      </c>
      <c r="L332" s="378" t="str">
        <f t="shared" ref="L332" ca="1" si="1129">IF(K332="NÃO",IF($B332=2,D332&amp;"."&amp;J332,IF($B332=3,D332&amp;"."&amp;E332&amp;"."&amp;J332,IF($B332=4,D332&amp;"."&amp;E332&amp;"."&amp;F332&amp;"."&amp;J332,IF($B332=5,D332&amp;"."&amp;E332&amp;"."&amp;F332&amp;"."&amp;G332&amp;"."&amp;J332,IF($B332=6,D332&amp;"."&amp;E332&amp;"."&amp;F332&amp;"."&amp;G332&amp;"."&amp;H332&amp;"."&amp;J332,IF($B332=7,D332&amp;"."&amp;E332&amp;"."&amp;F332&amp;"."&amp;G332&amp;"."&amp;H332&amp;"."&amp;I332&amp;"."&amp;J332,"FALHA")))))),K332)</f>
        <v>15.1.7</v>
      </c>
      <c r="M332" s="55" t="s">
        <v>27868</v>
      </c>
      <c r="O332" s="392" t="str">
        <f t="shared" ref="O332" ca="1" si="1130">L332</f>
        <v>15.1.7</v>
      </c>
      <c r="P332" s="681" t="s">
        <v>29901</v>
      </c>
      <c r="Q332" s="682" t="s">
        <v>14677</v>
      </c>
      <c r="R332" s="415" t="str">
        <f>UPPER(IF(P332="CDHU",VLOOKUP(Q332,'CDHU 201-SD'!$A$1:$J$28014,2,FALSE),IF(P332="FDE",VLOOKUP(Q332,'FDE 01-26-SD'!$A$1:$J$280013,2,FALSE),IF(P332="PRÓPRIA",VLOOKUP(Q332,COMPOSIÇÃO!$1:$1048576,3,FALSE),VLOOKUP(Q332,'SINAPI 04-26-SD'!$A$1:$H$272700,2,FALSE)))))</f>
        <v>VERGALHÃO COM ROSCA, PORCA E ARRUELA DE DIÂMETRO 3/8´ (TIRANTE)</v>
      </c>
      <c r="S332" s="414" t="str">
        <f>UPPER(IF(P332="CDHU",VLOOKUP(Q332,'CDHU 201-SD'!$A$1:$J$28014,3,FALSE),IF(P332="FDE",VLOOKUP(Q332,'FDE 01-26-SD'!$A$1:$J$280013,3,FALSE),IF(P332="PRÓPRIA",VLOOKUP(Q332,COMPOSIÇÃO!$1:$1048576,7,FALSE),VLOOKUP(Q332,'SINAPI 04-26-SD'!$A$1:$H$272700,3,FALSE)))))</f>
        <v>M</v>
      </c>
      <c r="T332" s="393">
        <f>661*0.5</f>
        <v>330.5</v>
      </c>
      <c r="U332" s="394">
        <f>TRUNC(IF(P332="CDHU",VLOOKUP(Q332,'CDHU 201-SD'!$A$1:$J$28014,6,FALSE),IF(P332="FDE",VLOOKUP(Q332,'FDE 01-26-SD'!$A$1:$J$280013,6,FALSE),IF(P332="PRÓPRIA",VLOOKUP(Q332,COMPOSIÇÃO!$1:$1048576,10,FALSE),VLOOKUP(Q332,'SINAPI 04-26-SD'!$A$1:$H$272700,4,FALSE)))),2)</f>
        <v>16.72</v>
      </c>
      <c r="V332" s="416">
        <f t="shared" ref="V332" si="1131">TRUNC(U332*T332,2)</f>
        <v>5525.96</v>
      </c>
      <c r="W332" s="395">
        <f>IF($AA332="N",BDI!$D$26,IF($AA332="D",'BDI DIFE.'!$D$26,"ERRO"))</f>
        <v>0.22500000000000001</v>
      </c>
      <c r="X332" s="379">
        <f t="shared" ref="X332" si="1132">TRUNC(U332*(1+W332),2)</f>
        <v>20.48</v>
      </c>
      <c r="Y332" s="380">
        <f t="shared" ref="Y332" si="1133">TRUNC(T332*X332,2)</f>
        <v>6768.64</v>
      </c>
      <c r="Z332" s="381"/>
      <c r="AA332" s="378" t="s">
        <v>28044</v>
      </c>
      <c r="AB332" s="642"/>
    </row>
    <row r="333" spans="2:28" s="55" customFormat="1" ht="31" thickBot="1">
      <c r="B333" s="378">
        <f t="shared" ca="1" si="967"/>
        <v>3</v>
      </c>
      <c r="C333" s="378" t="str">
        <f t="shared" si="1105"/>
        <v>S</v>
      </c>
      <c r="D333" s="378">
        <f t="shared" ca="1" si="711"/>
        <v>15</v>
      </c>
      <c r="E333" s="378">
        <f t="shared" ca="1" si="968"/>
        <v>1</v>
      </c>
      <c r="F333" s="378" t="str">
        <f t="shared" ca="1" si="969"/>
        <v>0</v>
      </c>
      <c r="G333" s="378" t="str">
        <f t="shared" ca="1" si="970"/>
        <v>0</v>
      </c>
      <c r="H333" s="378" t="str">
        <f t="shared" ca="1" si="971"/>
        <v>0</v>
      </c>
      <c r="I333" s="378" t="str">
        <f t="shared" ca="1" si="972"/>
        <v>0</v>
      </c>
      <c r="J333" s="378">
        <f t="shared" ca="1" si="712"/>
        <v>8</v>
      </c>
      <c r="K333" s="378" t="str">
        <f t="shared" si="973"/>
        <v>NÃO</v>
      </c>
      <c r="L333" s="378" t="str">
        <f t="shared" ca="1" si="974"/>
        <v>15.1.8</v>
      </c>
      <c r="M333" s="55" t="s">
        <v>27868</v>
      </c>
      <c r="O333" s="392" t="str">
        <f t="shared" ca="1" si="1106"/>
        <v>15.1.8</v>
      </c>
      <c r="P333" s="681" t="s">
        <v>29901</v>
      </c>
      <c r="Q333" s="682" t="s">
        <v>14683</v>
      </c>
      <c r="R333" s="415" t="str">
        <f>UPPER(IF(P333="CDHU",VLOOKUP(Q333,'CDHU 201-SD'!$A$1:$J$28014,2,FALSE),IF(P333="FDE",VLOOKUP(Q333,'FDE 01-26-SD'!$A$1:$J$280013,2,FALSE),IF(P333="PRÓPRIA",VLOOKUP(Q333,COMPOSIÇÃO!$1:$1048576,3,FALSE),VLOOKUP(Q333,'SINAPI 04-26-SD'!$A$1:$H$272700,2,FALSE)))))</f>
        <v>PERFILADO PERFURADO 38 X 38 MM EM CHAPA 14 PRÉ-ZINCADA, COM ACESSÓRIOS</v>
      </c>
      <c r="S333" s="414" t="str">
        <f>UPPER(IF(P333="CDHU",VLOOKUP(Q333,'CDHU 201-SD'!$A$1:$J$28014,3,FALSE),IF(P333="FDE",VLOOKUP(Q333,'FDE 01-26-SD'!$A$1:$J$280013,3,FALSE),IF(P333="PRÓPRIA",VLOOKUP(Q333,COMPOSIÇÃO!$1:$1048576,7,FALSE),VLOOKUP(Q333,'SINAPI 04-26-SD'!$A$1:$H$272700,3,FALSE)))))</f>
        <v>M</v>
      </c>
      <c r="T333" s="393">
        <v>571.4</v>
      </c>
      <c r="U333" s="394">
        <f>TRUNC(IF(P333="CDHU",VLOOKUP(Q333,'CDHU 201-SD'!$A$1:$J$28014,6,FALSE),IF(P333="FDE",VLOOKUP(Q333,'FDE 01-26-SD'!$A$1:$J$280013,6,FALSE),IF(P333="PRÓPRIA",VLOOKUP(Q333,COMPOSIÇÃO!$1:$1048576,10,FALSE),VLOOKUP(Q333,'SINAPI 04-26-SD'!$A$1:$H$272700,4,FALSE)))),2)</f>
        <v>46.06</v>
      </c>
      <c r="V333" s="416">
        <f t="shared" si="1107"/>
        <v>26318.68</v>
      </c>
      <c r="W333" s="395">
        <f>IF($AA333="N",BDI!$D$26,IF($AA333="D",'BDI DIFE.'!$D$26,"ERRO"))</f>
        <v>0.22500000000000001</v>
      </c>
      <c r="X333" s="379">
        <f t="shared" si="1108"/>
        <v>56.42</v>
      </c>
      <c r="Y333" s="380">
        <f t="shared" si="1109"/>
        <v>32238.38</v>
      </c>
      <c r="Z333" s="381"/>
      <c r="AA333" s="378" t="s">
        <v>28044</v>
      </c>
      <c r="AB333" s="642"/>
    </row>
    <row r="334" spans="2:28" s="55" customFormat="1" ht="16" thickBot="1">
      <c r="B334" s="378" t="str">
        <f t="shared" ca="1" si="967"/>
        <v/>
      </c>
      <c r="C334" s="378" t="str">
        <f t="shared" si="832"/>
        <v/>
      </c>
      <c r="D334" s="378">
        <f t="shared" ca="1" si="711"/>
        <v>15</v>
      </c>
      <c r="E334" s="378">
        <f t="shared" ca="1" si="968"/>
        <v>1</v>
      </c>
      <c r="F334" s="378" t="str">
        <f t="shared" ca="1" si="969"/>
        <v>0</v>
      </c>
      <c r="G334" s="378" t="str">
        <f t="shared" ca="1" si="970"/>
        <v>0</v>
      </c>
      <c r="H334" s="378" t="str">
        <f t="shared" ca="1" si="971"/>
        <v>0</v>
      </c>
      <c r="I334" s="378" t="str">
        <f t="shared" ca="1" si="972"/>
        <v>0</v>
      </c>
      <c r="J334" s="378" t="str">
        <f t="shared" ca="1" si="712"/>
        <v>0</v>
      </c>
      <c r="K334" s="378" t="b">
        <f t="shared" si="973"/>
        <v>0</v>
      </c>
      <c r="L334" s="378" t="b">
        <f t="shared" si="974"/>
        <v>0</v>
      </c>
      <c r="O334" s="192"/>
      <c r="P334" s="387"/>
      <c r="Q334" s="387"/>
      <c r="R334" s="377"/>
      <c r="S334" s="387"/>
      <c r="T334" s="363"/>
      <c r="U334" s="388"/>
      <c r="V334" s="389"/>
      <c r="W334" s="389"/>
      <c r="X334" s="389"/>
      <c r="Y334" s="390"/>
      <c r="AB334" s="642"/>
    </row>
    <row r="335" spans="2:28" s="75" customFormat="1" ht="16" thickBot="1">
      <c r="B335" s="75" t="str">
        <f t="shared" ca="1" si="967"/>
        <v>2</v>
      </c>
      <c r="C335" s="75" t="str">
        <f t="shared" si="1105"/>
        <v>2</v>
      </c>
      <c r="D335" s="75">
        <f t="shared" ca="1" si="711"/>
        <v>15</v>
      </c>
      <c r="E335" s="75">
        <f t="shared" ca="1" si="968"/>
        <v>2</v>
      </c>
      <c r="F335" s="75" t="str">
        <f t="shared" ca="1" si="969"/>
        <v>0</v>
      </c>
      <c r="G335" s="75" t="str">
        <f t="shared" ca="1" si="970"/>
        <v>0</v>
      </c>
      <c r="H335" s="75" t="str">
        <f t="shared" ca="1" si="971"/>
        <v>0</v>
      </c>
      <c r="I335" s="75" t="str">
        <f t="shared" ca="1" si="972"/>
        <v>0</v>
      </c>
      <c r="J335" s="75" t="str">
        <f t="shared" ca="1" si="712"/>
        <v>0</v>
      </c>
      <c r="K335" s="75" t="str">
        <f t="shared" ca="1" si="973"/>
        <v>15.2</v>
      </c>
      <c r="L335" s="75" t="str">
        <f t="shared" ca="1" si="974"/>
        <v>15.2</v>
      </c>
      <c r="M335" s="55" t="s">
        <v>27861</v>
      </c>
      <c r="O335" s="191" t="str">
        <f t="shared" ref="O335:O342" ca="1" si="1134">L335</f>
        <v>15.2</v>
      </c>
      <c r="P335" s="172"/>
      <c r="Q335" s="172"/>
      <c r="R335" s="683" t="s">
        <v>31795</v>
      </c>
      <c r="S335" s="172"/>
      <c r="T335" s="194"/>
      <c r="U335" s="195"/>
      <c r="V335" s="196">
        <f ca="1">IF(VALUE(C335)=1,SUMIFS(V:V,D:D,D335,M:M,"Serviço"),IF(VALUE(C335)=2,SUMIFS(V:V,D:D,D335,E:E,E335,M:M,"Serviço"),IF(VALUE(C335)=3,SUMIFS(V:V,D:D,D335,E:E,E335,F:F,F335,M:M,"Serviço"),IF(VALUE(C335)=4,SUMIFS(V:V,D:D,D335,E:E,E335,F:F,F335,G:G,G335,M:M,"Serviço"),"ERRO"))))</f>
        <v>26459.670000000002</v>
      </c>
      <c r="W335" s="197"/>
      <c r="X335" s="205"/>
      <c r="Y335" s="173">
        <f ca="1">IF(VALUE(C335)=1,SUMIFS(Y:Y,D:D,D335,M:M,"Serviço"),IF(VALUE(C335)=2,SUMIFS(Y:Y,D:D,D335,E:E,E335,M:M,"Serviço"),IF(VALUE(C335)=3,SUMIFS(Y:Y,D:D,D335,E:E,E335,F:F,F335,M:M,"Serviço"),IF(VALUE(C335)=4,SUMIFS(Y:Y,D:D,D335,E:E,E335,F:F,F335,G:G,G335,M:M,"Serviço"),"ERRO"))))</f>
        <v>32410.89</v>
      </c>
      <c r="AB335" s="641"/>
    </row>
    <row r="336" spans="2:28" s="55" customFormat="1" ht="45">
      <c r="B336" s="378">
        <f t="shared" ref="B336" ca="1" si="1135">IF(C336="S",IF(OFFSET(C336,-1,0)="S", OFFSET(B336,-1,0), OFFSET(B336,-1,0) +1 ), C336)</f>
        <v>3</v>
      </c>
      <c r="C336" s="378" t="str">
        <f t="shared" si="1105"/>
        <v>S</v>
      </c>
      <c r="D336" s="378">
        <f t="shared" ca="1" si="711"/>
        <v>15</v>
      </c>
      <c r="E336" s="378">
        <f t="shared" ref="E336" ca="1" si="1136">IF($C336="2",OFFSET(E336,-1,0) +1,IF(OFFSET(D336,-1,0)&lt;&gt;D336,"0",IF(OFFSET(E336,-1,0)="","0",OFFSET(E336,-1,0))))</f>
        <v>2</v>
      </c>
      <c r="F336" s="378" t="str">
        <f t="shared" ref="F336" ca="1" si="1137">IF($C336="3",OFFSET(F336,-1,0) +1,IF(OFFSET(E336,-1,0)&lt;&gt;E336,"0",IF(OFFSET(F336,-1,0)="","0",OFFSET(F336,-1,0))))</f>
        <v>0</v>
      </c>
      <c r="G336" s="378" t="str">
        <f t="shared" ref="G336" ca="1" si="1138">IF($C336="4",OFFSET(G336,-1,0) +1,IF(OFFSET(F336,-1,0)&lt;&gt;F336,"0",IF(OFFSET(G336,-1,0)="","0",OFFSET(G336,-1,0))))</f>
        <v>0</v>
      </c>
      <c r="H336" s="378" t="str">
        <f t="shared" ref="H336" ca="1" si="1139">IF($C336="5",OFFSET(H336,-1,0) +1,IF(OFFSET(G336,-1,0)&lt;&gt;G336,"0",IF(OFFSET(H336,-1,0)="","0",OFFSET(H336,-1,0))))</f>
        <v>0</v>
      </c>
      <c r="I336" s="378" t="str">
        <f t="shared" ref="I336" ca="1" si="1140">IF($C336="6",OFFSET(I336,-1,0) +1,IF(OFFSET(H336,-1,0)&lt;&gt;H336,"0",IF(OFFSET(I336,-1,0)="","0", OFFSET(I336,-1,0))))</f>
        <v>0</v>
      </c>
      <c r="J336" s="378">
        <f t="shared" ca="1" si="712"/>
        <v>1</v>
      </c>
      <c r="K336" s="378" t="str">
        <f t="shared" ref="K336" si="1141">IF(C336="S","NÃO", IF(C336="1", D336, IF(C336="2", D336 &amp; "." &amp; E336,IF(C336="3", D336 &amp; "." &amp; E336 &amp; "." &amp; F336, IF(C336="4", D336 &amp; "." &amp; E336 &amp; "." &amp; F336 &amp; "." &amp; G336, IF(C336="5", D336 &amp; "." &amp; E336 &amp; "." &amp; F336 &amp; "." &amp; G336 &amp; "." &amp; H336, IF(C336="6", D336 &amp; "." &amp; E336 &amp; "." &amp; F336 &amp; "." &amp; G336 &amp; "." &amp; H336 &amp; "." &amp; I336)))))))</f>
        <v>NÃO</v>
      </c>
      <c r="L336" s="378" t="str">
        <f t="shared" ref="L336" ca="1" si="1142">IF(K336="NÃO",IF($B336=2,D336&amp;"."&amp;J336,IF($B336=3,D336&amp;"."&amp;E336&amp;"."&amp;J336,IF($B336=4,D336&amp;"."&amp;E336&amp;"."&amp;F336&amp;"."&amp;J336,IF($B336=5,D336&amp;"."&amp;E336&amp;"."&amp;F336&amp;"."&amp;G336&amp;"."&amp;J336,IF($B336=6,D336&amp;"."&amp;E336&amp;"."&amp;F336&amp;"."&amp;G336&amp;"."&amp;H336&amp;"."&amp;J336,IF($B336=7,D336&amp;"."&amp;E336&amp;"."&amp;F336&amp;"."&amp;G336&amp;"."&amp;H336&amp;"."&amp;I336&amp;"."&amp;J336,"FALHA")))))),K336)</f>
        <v>15.2.1</v>
      </c>
      <c r="M336" s="55" t="s">
        <v>27868</v>
      </c>
      <c r="O336" s="392" t="str">
        <f t="shared" ref="O336" ca="1" si="1143">L336</f>
        <v>15.2.1</v>
      </c>
      <c r="P336" s="687" t="s">
        <v>29901</v>
      </c>
      <c r="Q336" s="684" t="s">
        <v>15567</v>
      </c>
      <c r="R336" s="415" t="str">
        <f>UPPER(IF(P336="CDHU",VLOOKUP(Q336,'CDHU 201-SD'!$A$1:$J$28014,2,FALSE),IF(P336="FDE",VLOOKUP(Q336,'FDE 01-26-SD'!$A$1:$J$280013,2,FALSE),IF(P336="PRÓPRIA",VLOOKUP(Q336,COMPOSIÇÃO!$1:$1048576,3,FALSE),VLOOKUP(Q336,'SINAPI 04-26-SD'!$A$1:$H$272700,2,FALSE)))))</f>
        <v>LUMINÁRIA RETANGULAR DE SOBREPOR TIPO CALHA FECHADA, COM DIFUSOR TRANSLÚCIDO, PARA 2 LÂMPADAS FLUORESCENTES DE 28 W/32 W/36 W/54 W</v>
      </c>
      <c r="S336" s="414" t="str">
        <f>UPPER(IF(P336="CDHU",VLOOKUP(Q336,'CDHU 201-SD'!$A$1:$J$28014,3,FALSE),IF(P336="FDE",VLOOKUP(Q336,'FDE 01-26-SD'!$A$1:$J$280013,3,FALSE),IF(P336="PRÓPRIA",VLOOKUP(Q336,COMPOSIÇÃO!$1:$1048576,7,FALSE),VLOOKUP(Q336,'SINAPI 04-26-SD'!$A$1:$H$272700,3,FALSE)))))</f>
        <v>UN</v>
      </c>
      <c r="T336" s="393">
        <v>35</v>
      </c>
      <c r="U336" s="394">
        <f>TRUNC(IF(P336="CDHU",VLOOKUP(Q336,'CDHU 201-SD'!$A$1:$J$28014,6,FALSE),IF(P336="FDE",VLOOKUP(Q336,'FDE 01-26-SD'!$A$1:$J$280013,6,FALSE),IF(P336="PRÓPRIA",VLOOKUP(Q336,COMPOSIÇÃO!$1:$1048576,10,FALSE),VLOOKUP(Q336,'SINAPI 04-26-SD'!$A$1:$H$272700,4,FALSE)))),2)</f>
        <v>153.02000000000001</v>
      </c>
      <c r="V336" s="416">
        <f t="shared" ref="V336" si="1144">TRUNC(U336*T336,2)</f>
        <v>5355.7</v>
      </c>
      <c r="W336" s="395">
        <f>IF($AA336="N",BDI!$D$26,IF($AA336="D",'BDI DIFE.'!$D$26,"ERRO"))</f>
        <v>0.22500000000000001</v>
      </c>
      <c r="X336" s="379">
        <f t="shared" ref="X336" si="1145">TRUNC(U336*(1+W336),2)</f>
        <v>187.44</v>
      </c>
      <c r="Y336" s="380">
        <f t="shared" ref="Y336" si="1146">TRUNC(T336*X336,2)</f>
        <v>6560.4</v>
      </c>
      <c r="Z336" s="381"/>
      <c r="AA336" s="378" t="s">
        <v>28044</v>
      </c>
      <c r="AB336" s="393">
        <v>100</v>
      </c>
    </row>
    <row r="337" spans="2:28" s="55" customFormat="1" ht="45">
      <c r="B337" s="378">
        <f t="shared" ca="1" si="967"/>
        <v>3</v>
      </c>
      <c r="C337" s="378" t="str">
        <f t="shared" si="1105"/>
        <v>S</v>
      </c>
      <c r="D337" s="378">
        <f t="shared" ca="1" si="711"/>
        <v>15</v>
      </c>
      <c r="E337" s="378">
        <f t="shared" ca="1" si="968"/>
        <v>2</v>
      </c>
      <c r="F337" s="378" t="str">
        <f t="shared" ca="1" si="969"/>
        <v>0</v>
      </c>
      <c r="G337" s="378" t="str">
        <f t="shared" ca="1" si="970"/>
        <v>0</v>
      </c>
      <c r="H337" s="378" t="str">
        <f t="shared" ca="1" si="971"/>
        <v>0</v>
      </c>
      <c r="I337" s="378" t="str">
        <f t="shared" ca="1" si="972"/>
        <v>0</v>
      </c>
      <c r="J337" s="378">
        <f t="shared" ca="1" si="712"/>
        <v>2</v>
      </c>
      <c r="K337" s="378" t="str">
        <f t="shared" si="973"/>
        <v>NÃO</v>
      </c>
      <c r="L337" s="378" t="str">
        <f t="shared" ca="1" si="974"/>
        <v>15.2.2</v>
      </c>
      <c r="M337" s="55" t="s">
        <v>27868</v>
      </c>
      <c r="O337" s="392" t="str">
        <f t="shared" ca="1" si="1134"/>
        <v>15.2.2</v>
      </c>
      <c r="P337" s="687" t="s">
        <v>29901</v>
      </c>
      <c r="Q337" s="684" t="s">
        <v>15563</v>
      </c>
      <c r="R337" s="415" t="str">
        <f>UPPER(IF(P337="CDHU",VLOOKUP(Q337,'CDHU 201-SD'!$A$1:$J$28014,2,FALSE),IF(P337="FDE",VLOOKUP(Q337,'FDE 01-26-SD'!$A$1:$J$280013,2,FALSE),IF(P337="PRÓPRIA",VLOOKUP(Q337,COMPOSIÇÃO!$1:$1048576,3,FALSE),VLOOKUP(Q337,'SINAPI 04-26-SD'!$A$1:$H$272700,2,FALSE)))))</f>
        <v>LUMINÁRIA RETANGULAR DE EMBUTIR TIPO CALHA FECHADA, COM DIFUSOR PLANO, PARA 2 LÂMPADAS FLUORESCENTES TUBULARES DE 28 W/32 W/36 W/54 W</v>
      </c>
      <c r="S337" s="414" t="str">
        <f>UPPER(IF(P337="CDHU",VLOOKUP(Q337,'CDHU 201-SD'!$A$1:$J$28014,3,FALSE),IF(P337="FDE",VLOOKUP(Q337,'FDE 01-26-SD'!$A$1:$J$280013,3,FALSE),IF(P337="PRÓPRIA",VLOOKUP(Q337,COMPOSIÇÃO!$1:$1048576,7,FALSE),VLOOKUP(Q337,'SINAPI 04-26-SD'!$A$1:$H$272700,3,FALSE)))))</f>
        <v>UN</v>
      </c>
      <c r="T337" s="393">
        <v>74</v>
      </c>
      <c r="U337" s="394">
        <f>TRUNC(IF(P337="CDHU",VLOOKUP(Q337,'CDHU 201-SD'!$A$1:$J$28014,6,FALSE),IF(P337="FDE",VLOOKUP(Q337,'FDE 01-26-SD'!$A$1:$J$280013,6,FALSE),IF(P337="PRÓPRIA",VLOOKUP(Q337,COMPOSIÇÃO!$1:$1048576,10,FALSE),VLOOKUP(Q337,'SINAPI 04-26-SD'!$A$1:$H$272700,4,FALSE)))),2)</f>
        <v>173.17</v>
      </c>
      <c r="V337" s="416">
        <f t="shared" ref="V337:V342" si="1147">TRUNC(U337*T337,2)</f>
        <v>12814.58</v>
      </c>
      <c r="W337" s="395">
        <f>IF($AA337="N",BDI!$D$26,IF($AA337="D",'BDI DIFE.'!$D$26,"ERRO"))</f>
        <v>0.22500000000000001</v>
      </c>
      <c r="X337" s="379">
        <f t="shared" ref="X337:X342" si="1148">TRUNC(U337*(1+W337),2)</f>
        <v>212.13</v>
      </c>
      <c r="Y337" s="380">
        <f t="shared" ref="Y337:Y342" si="1149">TRUNC(T337*X337,2)</f>
        <v>15697.62</v>
      </c>
      <c r="Z337" s="381"/>
      <c r="AA337" s="378" t="s">
        <v>28044</v>
      </c>
      <c r="AB337" s="393">
        <v>13</v>
      </c>
    </row>
    <row r="338" spans="2:28" s="55" customFormat="1" ht="30">
      <c r="B338" s="378">
        <f t="shared" ref="B338:B340" ca="1" si="1150">IF(C338="S",IF(OFFSET(C338,-1,0)="S", OFFSET(B338,-1,0), OFFSET(B338,-1,0) +1 ), C338)</f>
        <v>3</v>
      </c>
      <c r="C338" s="378" t="str">
        <f t="shared" si="1105"/>
        <v>S</v>
      </c>
      <c r="D338" s="378">
        <f t="shared" ca="1" si="711"/>
        <v>15</v>
      </c>
      <c r="E338" s="378">
        <f t="shared" ref="E338:E340" ca="1" si="1151">IF($C338="2",OFFSET(E338,-1,0) +1,IF(OFFSET(D338,-1,0)&lt;&gt;D338,"0",IF(OFFSET(E338,-1,0)="","0",OFFSET(E338,-1,0))))</f>
        <v>2</v>
      </c>
      <c r="F338" s="378" t="str">
        <f t="shared" ref="F338:F340" ca="1" si="1152">IF($C338="3",OFFSET(F338,-1,0) +1,IF(OFFSET(E338,-1,0)&lt;&gt;E338,"0",IF(OFFSET(F338,-1,0)="","0",OFFSET(F338,-1,0))))</f>
        <v>0</v>
      </c>
      <c r="G338" s="378" t="str">
        <f t="shared" ref="G338:G340" ca="1" si="1153">IF($C338="4",OFFSET(G338,-1,0) +1,IF(OFFSET(F338,-1,0)&lt;&gt;F338,"0",IF(OFFSET(G338,-1,0)="","0",OFFSET(G338,-1,0))))</f>
        <v>0</v>
      </c>
      <c r="H338" s="378" t="str">
        <f t="shared" ref="H338:H340" ca="1" si="1154">IF($C338="5",OFFSET(H338,-1,0) +1,IF(OFFSET(G338,-1,0)&lt;&gt;G338,"0",IF(OFFSET(H338,-1,0)="","0",OFFSET(H338,-1,0))))</f>
        <v>0</v>
      </c>
      <c r="I338" s="378" t="str">
        <f t="shared" ref="I338:I340" ca="1" si="1155">IF($C338="6",OFFSET(I338,-1,0) +1,IF(OFFSET(H338,-1,0)&lt;&gt;H338,"0",IF(OFFSET(I338,-1,0)="","0", OFFSET(I338,-1,0))))</f>
        <v>0</v>
      </c>
      <c r="J338" s="378">
        <f t="shared" ca="1" si="712"/>
        <v>3</v>
      </c>
      <c r="K338" s="378" t="str">
        <f t="shared" ref="K338:K340" si="1156">IF(C338="S","NÃO", IF(C338="1", D338, IF(C338="2", D338 &amp; "." &amp; E338,IF(C338="3", D338 &amp; "." &amp; E338 &amp; "." &amp; F338, IF(C338="4", D338 &amp; "." &amp; E338 &amp; "." &amp; F338 &amp; "." &amp; G338, IF(C338="5", D338 &amp; "." &amp; E338 &amp; "." &amp; F338 &amp; "." &amp; G338 &amp; "." &amp; H338, IF(C338="6", D338 &amp; "." &amp; E338 &amp; "." &amp; F338 &amp; "." &amp; G338 &amp; "." &amp; H338 &amp; "." &amp; I338)))))))</f>
        <v>NÃO</v>
      </c>
      <c r="L338" s="378" t="str">
        <f t="shared" ref="L338:L340" ca="1" si="1157">IF(K338="NÃO",IF($B338=2,D338&amp;"."&amp;J338,IF($B338=3,D338&amp;"."&amp;E338&amp;"."&amp;J338,IF($B338=4,D338&amp;"."&amp;E338&amp;"."&amp;F338&amp;"."&amp;J338,IF($B338=5,D338&amp;"."&amp;E338&amp;"."&amp;F338&amp;"."&amp;G338&amp;"."&amp;J338,IF($B338=6,D338&amp;"."&amp;E338&amp;"."&amp;F338&amp;"."&amp;G338&amp;"."&amp;H338&amp;"."&amp;J338,IF($B338=7,D338&amp;"."&amp;E338&amp;"."&amp;F338&amp;"."&amp;G338&amp;"."&amp;H338&amp;"."&amp;I338&amp;"."&amp;J338,"FALHA")))))),K338)</f>
        <v>15.2.3</v>
      </c>
      <c r="M338" s="55" t="s">
        <v>27868</v>
      </c>
      <c r="O338" s="392" t="str">
        <f t="shared" ref="O338:O340" ca="1" si="1158">L338</f>
        <v>15.2.3</v>
      </c>
      <c r="P338" s="681" t="s">
        <v>29901</v>
      </c>
      <c r="Q338" s="682" t="s">
        <v>15429</v>
      </c>
      <c r="R338" s="415" t="str">
        <f>UPPER(IF(P338="CDHU",VLOOKUP(Q338,'CDHU 201-SD'!$A$1:$J$28014,2,FALSE),IF(P338="FDE",VLOOKUP(Q338,'FDE 01-26-SD'!$A$1:$J$280013,2,FALSE),IF(P338="PRÓPRIA",VLOOKUP(Q338,COMPOSIÇÃO!$1:$1048576,3,FALSE),VLOOKUP(Q338,'SINAPI 04-26-SD'!$A$1:$H$272700,2,FALSE)))))</f>
        <v>LÂMPADA LED TUBULAR T8 COM BASE G13, DE 900 ATÉ 1050 IM - 9 A 10 W</v>
      </c>
      <c r="S338" s="414" t="str">
        <f>UPPER(IF(P338="CDHU",VLOOKUP(Q338,'CDHU 201-SD'!$A$1:$J$28014,3,FALSE),IF(P338="FDE",VLOOKUP(Q338,'FDE 01-26-SD'!$A$1:$J$280013,3,FALSE),IF(P338="PRÓPRIA",VLOOKUP(Q338,COMPOSIÇÃO!$1:$1048576,7,FALSE),VLOOKUP(Q338,'SINAPI 04-26-SD'!$A$1:$H$272700,3,FALSE)))))</f>
        <v>UN</v>
      </c>
      <c r="T338" s="393">
        <f>9*2</f>
        <v>18</v>
      </c>
      <c r="U338" s="394">
        <f>TRUNC(IF(P338="CDHU",VLOOKUP(Q338,'CDHU 201-SD'!$A$1:$J$28014,6,FALSE),IF(P338="FDE",VLOOKUP(Q338,'FDE 01-26-SD'!$A$1:$J$280013,6,FALSE),IF(P338="PRÓPRIA",VLOOKUP(Q338,COMPOSIÇÃO!$1:$1048576,10,FALSE),VLOOKUP(Q338,'SINAPI 04-26-SD'!$A$1:$H$272700,4,FALSE)))),2)</f>
        <v>20.64</v>
      </c>
      <c r="V338" s="416">
        <f t="shared" ref="V338:V340" si="1159">TRUNC(U338*T338,2)</f>
        <v>371.52</v>
      </c>
      <c r="W338" s="395">
        <f>IF($AA338="N",BDI!$D$26,IF($AA338="D",'BDI DIFE.'!$D$26,"ERRO"))</f>
        <v>0.22500000000000001</v>
      </c>
      <c r="X338" s="379">
        <f t="shared" ref="X338:X340" si="1160">TRUNC(U338*(1+W338),2)</f>
        <v>25.28</v>
      </c>
      <c r="Y338" s="380">
        <f t="shared" ref="Y338:Y340" si="1161">TRUNC(T338*X338,2)</f>
        <v>455.04</v>
      </c>
      <c r="Z338" s="381"/>
      <c r="AA338" s="378" t="s">
        <v>28044</v>
      </c>
      <c r="AB338" s="642"/>
    </row>
    <row r="339" spans="2:28" s="55" customFormat="1" ht="30">
      <c r="B339" s="378">
        <f t="shared" ref="B339" ca="1" si="1162">IF(C339="S",IF(OFFSET(C339,-1,0)="S", OFFSET(B339,-1,0), OFFSET(B339,-1,0) +1 ), C339)</f>
        <v>3</v>
      </c>
      <c r="C339" s="378" t="str">
        <f t="shared" si="1105"/>
        <v>S</v>
      </c>
      <c r="D339" s="378">
        <f t="shared" ca="1" si="711"/>
        <v>15</v>
      </c>
      <c r="E339" s="378">
        <f t="shared" ref="E339" ca="1" si="1163">IF($C339="2",OFFSET(E339,-1,0) +1,IF(OFFSET(D339,-1,0)&lt;&gt;D339,"0",IF(OFFSET(E339,-1,0)="","0",OFFSET(E339,-1,0))))</f>
        <v>2</v>
      </c>
      <c r="F339" s="378" t="str">
        <f t="shared" ref="F339" ca="1" si="1164">IF($C339="3",OFFSET(F339,-1,0) +1,IF(OFFSET(E339,-1,0)&lt;&gt;E339,"0",IF(OFFSET(F339,-1,0)="","0",OFFSET(F339,-1,0))))</f>
        <v>0</v>
      </c>
      <c r="G339" s="378" t="str">
        <f t="shared" ref="G339" ca="1" si="1165">IF($C339="4",OFFSET(G339,-1,0) +1,IF(OFFSET(F339,-1,0)&lt;&gt;F339,"0",IF(OFFSET(G339,-1,0)="","0",OFFSET(G339,-1,0))))</f>
        <v>0</v>
      </c>
      <c r="H339" s="378" t="str">
        <f t="shared" ref="H339" ca="1" si="1166">IF($C339="5",OFFSET(H339,-1,0) +1,IF(OFFSET(G339,-1,0)&lt;&gt;G339,"0",IF(OFFSET(H339,-1,0)="","0",OFFSET(H339,-1,0))))</f>
        <v>0</v>
      </c>
      <c r="I339" s="378" t="str">
        <f t="shared" ref="I339" ca="1" si="1167">IF($C339="6",OFFSET(I339,-1,0) +1,IF(OFFSET(H339,-1,0)&lt;&gt;H339,"0",IF(OFFSET(I339,-1,0)="","0", OFFSET(I339,-1,0))))</f>
        <v>0</v>
      </c>
      <c r="J339" s="378">
        <f t="shared" ca="1" si="712"/>
        <v>4</v>
      </c>
      <c r="K339" s="378" t="str">
        <f t="shared" ref="K339" si="1168">IF(C339="S","NÃO", IF(C339="1", D339, IF(C339="2", D339 &amp; "." &amp; E339,IF(C339="3", D339 &amp; "." &amp; E339 &amp; "." &amp; F339, IF(C339="4", D339 &amp; "." &amp; E339 &amp; "." &amp; F339 &amp; "." &amp; G339, IF(C339="5", D339 &amp; "." &amp; E339 &amp; "." &amp; F339 &amp; "." &amp; G339 &amp; "." &amp; H339, IF(C339="6", D339 &amp; "." &amp; E339 &amp; "." &amp; F339 &amp; "." &amp; G339 &amp; "." &amp; H339 &amp; "." &amp; I339)))))))</f>
        <v>NÃO</v>
      </c>
      <c r="L339" s="378" t="str">
        <f t="shared" ref="L339" ca="1" si="1169">IF(K339="NÃO",IF($B339=2,D339&amp;"."&amp;J339,IF($B339=3,D339&amp;"."&amp;E339&amp;"."&amp;J339,IF($B339=4,D339&amp;"."&amp;E339&amp;"."&amp;F339&amp;"."&amp;J339,IF($B339=5,D339&amp;"."&amp;E339&amp;"."&amp;F339&amp;"."&amp;G339&amp;"."&amp;J339,IF($B339=6,D339&amp;"."&amp;E339&amp;"."&amp;F339&amp;"."&amp;G339&amp;"."&amp;H339&amp;"."&amp;J339,IF($B339=7,D339&amp;"."&amp;E339&amp;"."&amp;F339&amp;"."&amp;G339&amp;"."&amp;H339&amp;"."&amp;I339&amp;"."&amp;J339,"FALHA")))))),K339)</f>
        <v>15.2.4</v>
      </c>
      <c r="M339" s="55" t="s">
        <v>27868</v>
      </c>
      <c r="O339" s="392" t="str">
        <f t="shared" ref="O339" ca="1" si="1170">L339</f>
        <v>15.2.4</v>
      </c>
      <c r="P339" s="681" t="s">
        <v>29901</v>
      </c>
      <c r="Q339" s="682" t="s">
        <v>15431</v>
      </c>
      <c r="R339" s="415" t="str">
        <f>UPPER(IF(P339="CDHU",VLOOKUP(Q339,'CDHU 201-SD'!$A$1:$J$28014,2,FALSE),IF(P339="FDE",VLOOKUP(Q339,'FDE 01-26-SD'!$A$1:$J$280013,2,FALSE),IF(P339="PRÓPRIA",VLOOKUP(Q339,COMPOSIÇÃO!$1:$1048576,3,FALSE),VLOOKUP(Q339,'SINAPI 04-26-SD'!$A$1:$H$272700,2,FALSE)))))</f>
        <v>LÂMPADA LED TUBULAR T8 COM BASE G13, DE 1850 ATÉ 2000 IM - 18 A 20 W</v>
      </c>
      <c r="S339" s="414" t="str">
        <f>UPPER(IF(P339="CDHU",VLOOKUP(Q339,'CDHU 201-SD'!$A$1:$J$28014,3,FALSE),IF(P339="FDE",VLOOKUP(Q339,'FDE 01-26-SD'!$A$1:$J$280013,3,FALSE),IF(P339="PRÓPRIA",VLOOKUP(Q339,COMPOSIÇÃO!$1:$1048576,7,FALSE),VLOOKUP(Q339,'SINAPI 04-26-SD'!$A$1:$H$272700,3,FALSE)))))</f>
        <v>UN</v>
      </c>
      <c r="T339" s="393">
        <f>56*2+44*2</f>
        <v>200</v>
      </c>
      <c r="U339" s="394">
        <f>TRUNC(IF(P339="CDHU",VLOOKUP(Q339,'CDHU 201-SD'!$A$1:$J$28014,6,FALSE),IF(P339="FDE",VLOOKUP(Q339,'FDE 01-26-SD'!$A$1:$J$280013,6,FALSE),IF(P339="PRÓPRIA",VLOOKUP(Q339,COMPOSIÇÃO!$1:$1048576,10,FALSE),VLOOKUP(Q339,'SINAPI 04-26-SD'!$A$1:$H$272700,4,FALSE)))),2)</f>
        <v>22.21</v>
      </c>
      <c r="V339" s="416">
        <f t="shared" ref="V339" si="1171">TRUNC(U339*T339,2)</f>
        <v>4442</v>
      </c>
      <c r="W339" s="395">
        <f>IF($AA339="N",BDI!$D$26,IF($AA339="D",'BDI DIFE.'!$D$26,"ERRO"))</f>
        <v>0.22500000000000001</v>
      </c>
      <c r="X339" s="379">
        <f t="shared" ref="X339" si="1172">TRUNC(U339*(1+W339),2)</f>
        <v>27.2</v>
      </c>
      <c r="Y339" s="380">
        <f t="shared" ref="Y339" si="1173">TRUNC(T339*X339,2)</f>
        <v>5440</v>
      </c>
      <c r="Z339" s="381"/>
      <c r="AA339" s="378" t="s">
        <v>28044</v>
      </c>
      <c r="AB339" s="642"/>
    </row>
    <row r="340" spans="2:28" s="55" customFormat="1" ht="45">
      <c r="B340" s="378">
        <f t="shared" ca="1" si="1150"/>
        <v>3</v>
      </c>
      <c r="C340" s="378" t="str">
        <f t="shared" si="1105"/>
        <v>S</v>
      </c>
      <c r="D340" s="378">
        <f t="shared" ca="1" si="711"/>
        <v>15</v>
      </c>
      <c r="E340" s="378">
        <f t="shared" ca="1" si="1151"/>
        <v>2</v>
      </c>
      <c r="F340" s="378" t="str">
        <f t="shared" ca="1" si="1152"/>
        <v>0</v>
      </c>
      <c r="G340" s="378" t="str">
        <f t="shared" ca="1" si="1153"/>
        <v>0</v>
      </c>
      <c r="H340" s="378" t="str">
        <f t="shared" ca="1" si="1154"/>
        <v>0</v>
      </c>
      <c r="I340" s="378" t="str">
        <f t="shared" ca="1" si="1155"/>
        <v>0</v>
      </c>
      <c r="J340" s="378">
        <f t="shared" ca="1" si="712"/>
        <v>5</v>
      </c>
      <c r="K340" s="378" t="str">
        <f t="shared" si="1156"/>
        <v>NÃO</v>
      </c>
      <c r="L340" s="378" t="str">
        <f t="shared" ca="1" si="1157"/>
        <v>15.2.5</v>
      </c>
      <c r="M340" s="55" t="s">
        <v>27868</v>
      </c>
      <c r="O340" s="392" t="str">
        <f t="shared" ca="1" si="1158"/>
        <v>15.2.5</v>
      </c>
      <c r="P340" s="681" t="s">
        <v>29901</v>
      </c>
      <c r="Q340" s="682" t="s">
        <v>15616</v>
      </c>
      <c r="R340" s="415" t="str">
        <f>UPPER(IF(P340="CDHU",VLOOKUP(Q340,'CDHU 201-SD'!$A$1:$J$28014,2,FALSE),IF(P340="FDE",VLOOKUP(Q340,'FDE 01-26-SD'!$A$1:$J$280013,2,FALSE),IF(P340="PRÓPRIA",VLOOKUP(Q340,COMPOSIÇÃO!$1:$1048576,3,FALSE),VLOOKUP(Q340,'SINAPI 04-26-SD'!$A$1:$H$272700,2,FALSE)))))</f>
        <v>LUMINÁRIA LED REDONDA DE EMBUTIR COM DIFUSOR TRANSLÚCIDO, 4000 K, FLUXO LUMINOSO DE 800 A 1060 LM, POTÊNCIA DE 9 W A 12 W</v>
      </c>
      <c r="S340" s="414" t="str">
        <f>UPPER(IF(P340="CDHU",VLOOKUP(Q340,'CDHU 201-SD'!$A$1:$J$28014,3,FALSE),IF(P340="FDE",VLOOKUP(Q340,'FDE 01-26-SD'!$A$1:$J$280013,3,FALSE),IF(P340="PRÓPRIA",VLOOKUP(Q340,COMPOSIÇÃO!$1:$1048576,7,FALSE),VLOOKUP(Q340,'SINAPI 04-26-SD'!$A$1:$H$272700,3,FALSE)))))</f>
        <v>UN</v>
      </c>
      <c r="T340" s="393">
        <v>4</v>
      </c>
      <c r="U340" s="394">
        <f>TRUNC(IF(P340="CDHU",VLOOKUP(Q340,'CDHU 201-SD'!$A$1:$J$28014,6,FALSE),IF(P340="FDE",VLOOKUP(Q340,'FDE 01-26-SD'!$A$1:$J$280013,6,FALSE),IF(P340="PRÓPRIA",VLOOKUP(Q340,COMPOSIÇÃO!$1:$1048576,10,FALSE),VLOOKUP(Q340,'SINAPI 04-26-SD'!$A$1:$H$272700,4,FALSE)))),2)</f>
        <v>175.27</v>
      </c>
      <c r="V340" s="416">
        <f t="shared" si="1159"/>
        <v>701.08</v>
      </c>
      <c r="W340" s="395">
        <f>IF($AA340="N",BDI!$D$26,IF($AA340="D",'BDI DIFE.'!$D$26,"ERRO"))</f>
        <v>0.22500000000000001</v>
      </c>
      <c r="X340" s="379">
        <f t="shared" si="1160"/>
        <v>214.7</v>
      </c>
      <c r="Y340" s="380">
        <f t="shared" si="1161"/>
        <v>858.8</v>
      </c>
      <c r="Z340" s="381"/>
      <c r="AA340" s="378" t="s">
        <v>28044</v>
      </c>
      <c r="AB340" s="642"/>
    </row>
    <row r="341" spans="2:28" s="55" customFormat="1" ht="30">
      <c r="B341" s="378">
        <f t="shared" ca="1" si="967"/>
        <v>3</v>
      </c>
      <c r="C341" s="378" t="str">
        <f t="shared" si="1105"/>
        <v>S</v>
      </c>
      <c r="D341" s="378">
        <f t="shared" ca="1" si="711"/>
        <v>15</v>
      </c>
      <c r="E341" s="378">
        <f t="shared" ca="1" si="968"/>
        <v>2</v>
      </c>
      <c r="F341" s="378" t="str">
        <f t="shared" ca="1" si="969"/>
        <v>0</v>
      </c>
      <c r="G341" s="378" t="str">
        <f t="shared" ca="1" si="970"/>
        <v>0</v>
      </c>
      <c r="H341" s="378" t="str">
        <f t="shared" ca="1" si="971"/>
        <v>0</v>
      </c>
      <c r="I341" s="378" t="str">
        <f t="shared" ca="1" si="972"/>
        <v>0</v>
      </c>
      <c r="J341" s="378">
        <f t="shared" ca="1" si="712"/>
        <v>6</v>
      </c>
      <c r="K341" s="378" t="str">
        <f t="shared" si="973"/>
        <v>NÃO</v>
      </c>
      <c r="L341" s="378" t="str">
        <f t="shared" ca="1" si="974"/>
        <v>15.2.6</v>
      </c>
      <c r="M341" s="55" t="s">
        <v>27868</v>
      </c>
      <c r="O341" s="392" t="str">
        <f t="shared" ca="1" si="1134"/>
        <v>15.2.6</v>
      </c>
      <c r="P341" s="681" t="s">
        <v>29901</v>
      </c>
      <c r="Q341" s="682" t="s">
        <v>15557</v>
      </c>
      <c r="R341" s="415" t="str">
        <f>UPPER(IF(P341="CDHU",VLOOKUP(Q341,'CDHU 201-SD'!$A$1:$J$28014,2,FALSE),IF(P341="FDE",VLOOKUP(Q341,'FDE 01-26-SD'!$A$1:$J$280013,2,FALSE),IF(P341="PRÓPRIA",VLOOKUP(Q341,COMPOSIÇÃO!$1:$1048576,3,FALSE),VLOOKUP(Q341,'SINAPI 04-26-SD'!$A$1:$H$272700,2,FALSE)))))</f>
        <v>LUMINÁRIA BLINDADA TIPO ARANDELA DE 45º E 90º, PARA LÂMPADA LED</v>
      </c>
      <c r="S341" s="414" t="str">
        <f>UPPER(IF(P341="CDHU",VLOOKUP(Q341,'CDHU 201-SD'!$A$1:$J$28014,3,FALSE),IF(P341="FDE",VLOOKUP(Q341,'FDE 01-26-SD'!$A$1:$J$280013,3,FALSE),IF(P341="PRÓPRIA",VLOOKUP(Q341,COMPOSIÇÃO!$1:$1048576,7,FALSE),VLOOKUP(Q341,'SINAPI 04-26-SD'!$A$1:$H$272700,3,FALSE)))))</f>
        <v>UN</v>
      </c>
      <c r="T341" s="393">
        <v>4</v>
      </c>
      <c r="U341" s="394">
        <f>TRUNC(IF(P341="CDHU",VLOOKUP(Q341,'CDHU 201-SD'!$A$1:$J$28014,6,FALSE),IF(P341="FDE",VLOOKUP(Q341,'FDE 01-26-SD'!$A$1:$J$280013,6,FALSE),IF(P341="PRÓPRIA",VLOOKUP(Q341,COMPOSIÇÃO!$1:$1048576,10,FALSE),VLOOKUP(Q341,'SINAPI 04-26-SD'!$A$1:$H$272700,4,FALSE)))),2)</f>
        <v>298.14</v>
      </c>
      <c r="V341" s="416">
        <f t="shared" si="1147"/>
        <v>1192.56</v>
      </c>
      <c r="W341" s="395">
        <f>IF($AA341="N",BDI!$D$26,IF($AA341="D",'BDI DIFE.'!$D$26,"ERRO"))</f>
        <v>0.22500000000000001</v>
      </c>
      <c r="X341" s="379">
        <f t="shared" si="1148"/>
        <v>365.22</v>
      </c>
      <c r="Y341" s="380">
        <f t="shared" si="1149"/>
        <v>1460.88</v>
      </c>
      <c r="Z341" s="381"/>
      <c r="AA341" s="378" t="s">
        <v>28044</v>
      </c>
      <c r="AB341" s="642"/>
    </row>
    <row r="342" spans="2:28" s="55" customFormat="1" ht="30">
      <c r="B342" s="378">
        <f t="shared" ca="1" si="967"/>
        <v>3</v>
      </c>
      <c r="C342" s="378" t="str">
        <f t="shared" si="1105"/>
        <v>S</v>
      </c>
      <c r="D342" s="378">
        <f t="shared" ca="1" si="711"/>
        <v>15</v>
      </c>
      <c r="E342" s="378">
        <f t="shared" ca="1" si="968"/>
        <v>2</v>
      </c>
      <c r="F342" s="378" t="str">
        <f t="shared" ca="1" si="969"/>
        <v>0</v>
      </c>
      <c r="G342" s="378" t="str">
        <f t="shared" ca="1" si="970"/>
        <v>0</v>
      </c>
      <c r="H342" s="378" t="str">
        <f t="shared" ca="1" si="971"/>
        <v>0</v>
      </c>
      <c r="I342" s="378" t="str">
        <f t="shared" ca="1" si="972"/>
        <v>0</v>
      </c>
      <c r="J342" s="378">
        <f t="shared" ca="1" si="712"/>
        <v>7</v>
      </c>
      <c r="K342" s="378" t="str">
        <f t="shared" si="973"/>
        <v>NÃO</v>
      </c>
      <c r="L342" s="378" t="str">
        <f t="shared" ca="1" si="974"/>
        <v>15.2.7</v>
      </c>
      <c r="M342" s="55" t="s">
        <v>27868</v>
      </c>
      <c r="O342" s="392" t="str">
        <f t="shared" ca="1" si="1134"/>
        <v>15.2.7</v>
      </c>
      <c r="P342" s="681" t="s">
        <v>29901</v>
      </c>
      <c r="Q342" s="682" t="s">
        <v>15529</v>
      </c>
      <c r="R342" s="415" t="str">
        <f>UPPER(IF(P342="CDHU",VLOOKUP(Q342,'CDHU 201-SD'!$A$1:$J$28014,2,FALSE),IF(P342="FDE",VLOOKUP(Q342,'FDE 01-26-SD'!$A$1:$J$280013,2,FALSE),IF(P342="PRÓPRIA",VLOOKUP(Q342,COMPOSIÇÃO!$1:$1048576,3,FALSE),VLOOKUP(Q342,'SINAPI 04-26-SD'!$A$1:$H$272700,2,FALSE)))))</f>
        <v>LUMINÁRIA RETANGULAR TIPO ARANDELA EXTERNA PARA 2 LÂMPADAS, COM DIFUSOR EM POLIETILENO OU VIDRO LEITOSO</v>
      </c>
      <c r="S342" s="414" t="str">
        <f>UPPER(IF(P342="CDHU",VLOOKUP(Q342,'CDHU 201-SD'!$A$1:$J$28014,3,FALSE),IF(P342="FDE",VLOOKUP(Q342,'FDE 01-26-SD'!$A$1:$J$280013,3,FALSE),IF(P342="PRÓPRIA",VLOOKUP(Q342,COMPOSIÇÃO!$1:$1048576,7,FALSE),VLOOKUP(Q342,'SINAPI 04-26-SD'!$A$1:$H$272700,3,FALSE)))))</f>
        <v>UN</v>
      </c>
      <c r="T342" s="393">
        <v>9</v>
      </c>
      <c r="U342" s="394">
        <f>TRUNC(IF(P342="CDHU",VLOOKUP(Q342,'CDHU 201-SD'!$A$1:$J$28014,6,FALSE),IF(P342="FDE",VLOOKUP(Q342,'FDE 01-26-SD'!$A$1:$J$280013,6,FALSE),IF(P342="PRÓPRIA",VLOOKUP(Q342,COMPOSIÇÃO!$1:$1048576,10,FALSE),VLOOKUP(Q342,'SINAPI 04-26-SD'!$A$1:$H$272700,4,FALSE)))),2)</f>
        <v>147.68</v>
      </c>
      <c r="V342" s="416">
        <f t="shared" si="1147"/>
        <v>1329.12</v>
      </c>
      <c r="W342" s="395">
        <f>IF($AA342="N",BDI!$D$26,IF($AA342="D",'BDI DIFE.'!$D$26,"ERRO"))</f>
        <v>0.22500000000000001</v>
      </c>
      <c r="X342" s="379">
        <f t="shared" si="1148"/>
        <v>180.9</v>
      </c>
      <c r="Y342" s="380">
        <f t="shared" si="1149"/>
        <v>1628.1</v>
      </c>
      <c r="Z342" s="381"/>
      <c r="AA342" s="378" t="s">
        <v>28044</v>
      </c>
      <c r="AB342" s="642"/>
    </row>
    <row r="343" spans="2:28" s="55" customFormat="1" ht="16" thickBot="1">
      <c r="B343" s="378">
        <f t="shared" ref="B343" ca="1" si="1174">IF(C343="S",IF(OFFSET(C343,-1,0)="S", OFFSET(B343,-1,0), OFFSET(B343,-1,0) +1 ), C343)</f>
        <v>3</v>
      </c>
      <c r="C343" s="378" t="str">
        <f t="shared" si="1105"/>
        <v>S</v>
      </c>
      <c r="D343" s="378">
        <f t="shared" ca="1" si="711"/>
        <v>15</v>
      </c>
      <c r="E343" s="378">
        <f t="shared" ref="E343" ca="1" si="1175">IF($C343="2",OFFSET(E343,-1,0) +1,IF(OFFSET(D343,-1,0)&lt;&gt;D343,"0",IF(OFFSET(E343,-1,0)="","0",OFFSET(E343,-1,0))))</f>
        <v>2</v>
      </c>
      <c r="F343" s="378" t="str">
        <f t="shared" ref="F343" ca="1" si="1176">IF($C343="3",OFFSET(F343,-1,0) +1,IF(OFFSET(E343,-1,0)&lt;&gt;E343,"0",IF(OFFSET(F343,-1,0)="","0",OFFSET(F343,-1,0))))</f>
        <v>0</v>
      </c>
      <c r="G343" s="378" t="str">
        <f t="shared" ref="G343" ca="1" si="1177">IF($C343="4",OFFSET(G343,-1,0) +1,IF(OFFSET(F343,-1,0)&lt;&gt;F343,"0",IF(OFFSET(G343,-1,0)="","0",OFFSET(G343,-1,0))))</f>
        <v>0</v>
      </c>
      <c r="H343" s="378" t="str">
        <f t="shared" ref="H343" ca="1" si="1178">IF($C343="5",OFFSET(H343,-1,0) +1,IF(OFFSET(G343,-1,0)&lt;&gt;G343,"0",IF(OFFSET(H343,-1,0)="","0",OFFSET(H343,-1,0))))</f>
        <v>0</v>
      </c>
      <c r="I343" s="378" t="str">
        <f t="shared" ref="I343" ca="1" si="1179">IF($C343="6",OFFSET(I343,-1,0) +1,IF(OFFSET(H343,-1,0)&lt;&gt;H343,"0",IF(OFFSET(I343,-1,0)="","0", OFFSET(I343,-1,0))))</f>
        <v>0</v>
      </c>
      <c r="J343" s="378">
        <f t="shared" ca="1" si="712"/>
        <v>8</v>
      </c>
      <c r="K343" s="378" t="str">
        <f t="shared" ref="K343" si="1180">IF(C343="S","NÃO", IF(C343="1", D343, IF(C343="2", D343 &amp; "." &amp; E343,IF(C343="3", D343 &amp; "." &amp; E343 &amp; "." &amp; F343, IF(C343="4", D343 &amp; "." &amp; E343 &amp; "." &amp; F343 &amp; "." &amp; G343, IF(C343="5", D343 &amp; "." &amp; E343 &amp; "." &amp; F343 &amp; "." &amp; G343 &amp; "." &amp; H343, IF(C343="6", D343 &amp; "." &amp; E343 &amp; "." &amp; F343 &amp; "." &amp; G343 &amp; "." &amp; H343 &amp; "." &amp; I343)))))))</f>
        <v>NÃO</v>
      </c>
      <c r="L343" s="378" t="str">
        <f t="shared" ref="L343" ca="1" si="1181">IF(K343="NÃO",IF($B343=2,D343&amp;"."&amp;J343,IF($B343=3,D343&amp;"."&amp;E343&amp;"."&amp;J343,IF($B343=4,D343&amp;"."&amp;E343&amp;"."&amp;F343&amp;"."&amp;J343,IF($B343=5,D343&amp;"."&amp;E343&amp;"."&amp;F343&amp;"."&amp;G343&amp;"."&amp;J343,IF($B343=6,D343&amp;"."&amp;E343&amp;"."&amp;F343&amp;"."&amp;G343&amp;"."&amp;H343&amp;"."&amp;J343,IF($B343=7,D343&amp;"."&amp;E343&amp;"."&amp;F343&amp;"."&amp;G343&amp;"."&amp;H343&amp;"."&amp;I343&amp;"."&amp;J343,"FALHA")))))),K343)</f>
        <v>15.2.8</v>
      </c>
      <c r="M343" s="55" t="s">
        <v>27868</v>
      </c>
      <c r="O343" s="392" t="str">
        <f t="shared" ref="O343" ca="1" si="1182">L343</f>
        <v>15.2.8</v>
      </c>
      <c r="P343" s="681" t="s">
        <v>29901</v>
      </c>
      <c r="Q343" s="682" t="s">
        <v>15435</v>
      </c>
      <c r="R343" s="415" t="str">
        <f>UPPER(IF(P343="CDHU",VLOOKUP(Q343,'CDHU 201-SD'!$A$1:$J$28014,2,FALSE),IF(P343="FDE",VLOOKUP(Q343,'FDE 01-26-SD'!$A$1:$J$280013,2,FALSE),IF(P343="PRÓPRIA",VLOOKUP(Q343,COMPOSIÇÃO!$1:$1048576,3,FALSE),VLOOKUP(Q343,'SINAPI 04-26-SD'!$A$1:$H$272700,2,FALSE)))))</f>
        <v>LÂMPADA LED 13,5W, COM BASE E-27, 1400 ATÉ 1510 LM</v>
      </c>
      <c r="S343" s="414" t="str">
        <f>UPPER(IF(P343="CDHU",VLOOKUP(Q343,'CDHU 201-SD'!$A$1:$J$28014,3,FALSE),IF(P343="FDE",VLOOKUP(Q343,'FDE 01-26-SD'!$A$1:$J$280013,3,FALSE),IF(P343="PRÓPRIA",VLOOKUP(Q343,COMPOSIÇÃO!$1:$1048576,7,FALSE),VLOOKUP(Q343,'SINAPI 04-26-SD'!$A$1:$H$272700,3,FALSE)))))</f>
        <v>UN</v>
      </c>
      <c r="T343" s="393">
        <f>SUM(T341:T342)</f>
        <v>13</v>
      </c>
      <c r="U343" s="394">
        <f>TRUNC(IF(P343="CDHU",VLOOKUP(Q343,'CDHU 201-SD'!$A$1:$J$28014,6,FALSE),IF(P343="FDE",VLOOKUP(Q343,'FDE 01-26-SD'!$A$1:$J$280013,6,FALSE),IF(P343="PRÓPRIA",VLOOKUP(Q343,COMPOSIÇÃO!$1:$1048576,10,FALSE),VLOOKUP(Q343,'SINAPI 04-26-SD'!$A$1:$H$272700,4,FALSE)))),2)</f>
        <v>19.47</v>
      </c>
      <c r="V343" s="416">
        <f t="shared" ref="V343" si="1183">TRUNC(U343*T343,2)</f>
        <v>253.11</v>
      </c>
      <c r="W343" s="395">
        <f>IF($AA343="N",BDI!$D$26,IF($AA343="D",'BDI DIFE.'!$D$26,"ERRO"))</f>
        <v>0.22500000000000001</v>
      </c>
      <c r="X343" s="379">
        <f t="shared" ref="X343" si="1184">TRUNC(U343*(1+W343),2)</f>
        <v>23.85</v>
      </c>
      <c r="Y343" s="380">
        <f t="shared" ref="Y343" si="1185">TRUNC(T343*X343,2)</f>
        <v>310.05</v>
      </c>
      <c r="Z343" s="381"/>
      <c r="AA343" s="378" t="s">
        <v>28044</v>
      </c>
      <c r="AB343" s="642"/>
    </row>
    <row r="344" spans="2:28" s="55" customFormat="1" ht="16" thickBot="1">
      <c r="B344" s="378" t="str">
        <f t="shared" ref="B344:B355" ca="1" si="1186">IF(C344="S",IF(OFFSET(C344,-1,0)="S", OFFSET(B344,-1,0), OFFSET(B344,-1,0) +1 ), C344)</f>
        <v/>
      </c>
      <c r="C344" s="378" t="str">
        <f t="shared" si="832"/>
        <v/>
      </c>
      <c r="D344" s="378">
        <f t="shared" ca="1" si="711"/>
        <v>15</v>
      </c>
      <c r="E344" s="378">
        <f t="shared" ref="E344:E355" ca="1" si="1187">IF($C344="2",OFFSET(E344,-1,0) +1,IF(OFFSET(D344,-1,0)&lt;&gt;D344,"0",IF(OFFSET(E344,-1,0)="","0",OFFSET(E344,-1,0))))</f>
        <v>2</v>
      </c>
      <c r="F344" s="378" t="str">
        <f t="shared" ref="F344:F355" ca="1" si="1188">IF($C344="3",OFFSET(F344,-1,0) +1,IF(OFFSET(E344,-1,0)&lt;&gt;E344,"0",IF(OFFSET(F344,-1,0)="","0",OFFSET(F344,-1,0))))</f>
        <v>0</v>
      </c>
      <c r="G344" s="378" t="str">
        <f t="shared" ref="G344:G355" ca="1" si="1189">IF($C344="4",OFFSET(G344,-1,0) +1,IF(OFFSET(F344,-1,0)&lt;&gt;F344,"0",IF(OFFSET(G344,-1,0)="","0",OFFSET(G344,-1,0))))</f>
        <v>0</v>
      </c>
      <c r="H344" s="378" t="str">
        <f t="shared" ref="H344:H355" ca="1" si="1190">IF($C344="5",OFFSET(H344,-1,0) +1,IF(OFFSET(G344,-1,0)&lt;&gt;G344,"0",IF(OFFSET(H344,-1,0)="","0",OFFSET(H344,-1,0))))</f>
        <v>0</v>
      </c>
      <c r="I344" s="378" t="str">
        <f t="shared" ref="I344:I355" ca="1" si="1191">IF($C344="6",OFFSET(I344,-1,0) +1,IF(OFFSET(H344,-1,0)&lt;&gt;H344,"0",IF(OFFSET(I344,-1,0)="","0", OFFSET(I344,-1,0))))</f>
        <v>0</v>
      </c>
      <c r="J344" s="378" t="str">
        <f t="shared" ca="1" si="712"/>
        <v>0</v>
      </c>
      <c r="K344" s="378" t="b">
        <f t="shared" ref="K344:K355" si="1192">IF(C344="S","NÃO", IF(C344="1", D344, IF(C344="2", D344 &amp; "." &amp; E344,IF(C344="3", D344 &amp; "." &amp; E344 &amp; "." &amp; F344, IF(C344="4", D344 &amp; "." &amp; E344 &amp; "." &amp; F344 &amp; "." &amp; G344, IF(C344="5", D344 &amp; "." &amp; E344 &amp; "." &amp; F344 &amp; "." &amp; G344 &amp; "." &amp; H344, IF(C344="6", D344 &amp; "." &amp; E344 &amp; "." &amp; F344 &amp; "." &amp; G344 &amp; "." &amp; H344 &amp; "." &amp; I344)))))))</f>
        <v>0</v>
      </c>
      <c r="L344" s="378" t="b">
        <f t="shared" ref="L344:L355" si="1193">IF(K344="NÃO",IF($B344=2,D344&amp;"."&amp;J344,IF($B344=3,D344&amp;"."&amp;E344&amp;"."&amp;J344,IF($B344=4,D344&amp;"."&amp;E344&amp;"."&amp;F344&amp;"."&amp;J344,IF($B344=5,D344&amp;"."&amp;E344&amp;"."&amp;F344&amp;"."&amp;G344&amp;"."&amp;J344,IF($B344=6,D344&amp;"."&amp;E344&amp;"."&amp;F344&amp;"."&amp;G344&amp;"."&amp;H344&amp;"."&amp;J344,IF($B344=7,D344&amp;"."&amp;E344&amp;"."&amp;F344&amp;"."&amp;G344&amp;"."&amp;H344&amp;"."&amp;I344&amp;"."&amp;J344,"FALHA")))))),K344)</f>
        <v>0</v>
      </c>
      <c r="O344" s="192"/>
      <c r="P344" s="387"/>
      <c r="Q344" s="387"/>
      <c r="R344" s="377"/>
      <c r="S344" s="387"/>
      <c r="T344" s="363"/>
      <c r="U344" s="388"/>
      <c r="V344" s="389"/>
      <c r="W344" s="389"/>
      <c r="X344" s="389"/>
      <c r="Y344" s="390"/>
      <c r="AB344" s="642"/>
    </row>
    <row r="345" spans="2:28" s="75" customFormat="1" ht="16" thickBot="1">
      <c r="B345" s="75" t="str">
        <f t="shared" ca="1" si="1186"/>
        <v>2</v>
      </c>
      <c r="C345" s="75" t="str">
        <f t="shared" si="1105"/>
        <v>2</v>
      </c>
      <c r="D345" s="75">
        <f t="shared" ca="1" si="711"/>
        <v>15</v>
      </c>
      <c r="E345" s="75">
        <f t="shared" ca="1" si="1187"/>
        <v>3</v>
      </c>
      <c r="F345" s="75" t="str">
        <f t="shared" ca="1" si="1188"/>
        <v>0</v>
      </c>
      <c r="G345" s="75" t="str">
        <f t="shared" ca="1" si="1189"/>
        <v>0</v>
      </c>
      <c r="H345" s="75" t="str">
        <f t="shared" ca="1" si="1190"/>
        <v>0</v>
      </c>
      <c r="I345" s="75" t="str">
        <f t="shared" ca="1" si="1191"/>
        <v>0</v>
      </c>
      <c r="J345" s="75" t="str">
        <f t="shared" ca="1" si="712"/>
        <v>0</v>
      </c>
      <c r="K345" s="75" t="str">
        <f t="shared" ca="1" si="1192"/>
        <v>15.3</v>
      </c>
      <c r="L345" s="75" t="str">
        <f t="shared" ca="1" si="1193"/>
        <v>15.3</v>
      </c>
      <c r="M345" s="55" t="s">
        <v>27861</v>
      </c>
      <c r="O345" s="191" t="str">
        <f t="shared" ref="O345:O355" ca="1" si="1194">L345</f>
        <v>15.3</v>
      </c>
      <c r="P345" s="172"/>
      <c r="Q345" s="172"/>
      <c r="R345" s="683" t="s">
        <v>41868</v>
      </c>
      <c r="S345" s="172"/>
      <c r="T345" s="194"/>
      <c r="U345" s="195"/>
      <c r="V345" s="196">
        <f ca="1">IF(VALUE(C345)=1,SUMIFS(V:V,D:D,D345,M:M,"Serviço"),IF(VALUE(C345)=2,SUMIFS(V:V,D:D,D345,E:E,E345,M:M,"Serviço"),IF(VALUE(C345)=3,SUMIFS(V:V,D:D,D345,E:E,E345,F:F,F345,M:M,"Serviço"),IF(VALUE(C345)=4,SUMIFS(V:V,D:D,D345,E:E,E345,F:F,F345,G:G,G345,M:M,"Serviço"),"ERRO"))))</f>
        <v>18941.059999999998</v>
      </c>
      <c r="W345" s="197"/>
      <c r="X345" s="205"/>
      <c r="Y345" s="173">
        <f ca="1">IF(VALUE(C345)=1,SUMIFS(Y:Y,D:D,D345,M:M,"Serviço"),IF(VALUE(C345)=2,SUMIFS(Y:Y,D:D,D345,E:E,E345,M:M,"Serviço"),IF(VALUE(C345)=3,SUMIFS(Y:Y,D:D,D345,E:E,E345,F:F,F345,M:M,"Serviço"),IF(VALUE(C345)=4,SUMIFS(Y:Y,D:D,D345,E:E,E345,F:F,F345,G:G,G345,M:M,"Serviço"),"ERRO"))))</f>
        <v>23200.799999999999</v>
      </c>
      <c r="AB345" s="641"/>
    </row>
    <row r="346" spans="2:28" s="55" customFormat="1">
      <c r="B346" s="378">
        <f t="shared" ca="1" si="1186"/>
        <v>3</v>
      </c>
      <c r="C346" s="378" t="str">
        <f t="shared" si="1105"/>
        <v>S</v>
      </c>
      <c r="D346" s="378">
        <f t="shared" ref="D346:D529" ca="1" si="1195">IF($C346="1",OFFSET(D346,-2,0) +1,OFFSET(D346,-1,0))</f>
        <v>15</v>
      </c>
      <c r="E346" s="378">
        <f t="shared" ca="1" si="1187"/>
        <v>3</v>
      </c>
      <c r="F346" s="378" t="str">
        <f t="shared" ca="1" si="1188"/>
        <v>0</v>
      </c>
      <c r="G346" s="378" t="str">
        <f t="shared" ca="1" si="1189"/>
        <v>0</v>
      </c>
      <c r="H346" s="378" t="str">
        <f t="shared" ca="1" si="1190"/>
        <v>0</v>
      </c>
      <c r="I346" s="378" t="str">
        <f t="shared" ca="1" si="1191"/>
        <v>0</v>
      </c>
      <c r="J346" s="378">
        <f t="shared" ref="J346:J529" ca="1" si="1196">IF($C346="S",OFFSET(J346,-1,0)+1,"0")</f>
        <v>1</v>
      </c>
      <c r="K346" s="378" t="str">
        <f t="shared" si="1192"/>
        <v>NÃO</v>
      </c>
      <c r="L346" s="378" t="str">
        <f t="shared" ca="1" si="1193"/>
        <v>15.3.1</v>
      </c>
      <c r="M346" s="55" t="s">
        <v>27868</v>
      </c>
      <c r="O346" s="392" t="str">
        <f t="shared" ca="1" si="1194"/>
        <v>15.3.1</v>
      </c>
      <c r="P346" s="681" t="s">
        <v>29901</v>
      </c>
      <c r="Q346" s="682" t="s">
        <v>15315</v>
      </c>
      <c r="R346" s="415" t="str">
        <f>UPPER(IF(P346="CDHU",VLOOKUP(Q346,'CDHU 201-SD'!$A$1:$J$28014,2,FALSE),IF(P346="FDE",VLOOKUP(Q346,'FDE 01-26-SD'!$A$1:$J$280013,2,FALSE),IF(P346="PRÓPRIA",VLOOKUP(Q346,COMPOSIÇÃO!$1:$1048576,3,FALSE),VLOOKUP(Q346,'SINAPI 04-26-SD'!$A$1:$H$272700,2,FALSE)))))</f>
        <v>CAIXA EM PVC DE 4´ X 2´</v>
      </c>
      <c r="S346" s="414" t="str">
        <f>UPPER(IF(P346="CDHU",VLOOKUP(Q346,'CDHU 201-SD'!$A$1:$J$28014,3,FALSE),IF(P346="FDE",VLOOKUP(Q346,'FDE 01-26-SD'!$A$1:$J$280013,3,FALSE),IF(P346="PRÓPRIA",VLOOKUP(Q346,COMPOSIÇÃO!$1:$1048576,7,FALSE),VLOOKUP(Q346,'SINAPI 04-26-SD'!$A$1:$H$272700,3,FALSE)))))</f>
        <v>UN</v>
      </c>
      <c r="T346" s="393">
        <f>13+3+110</f>
        <v>126</v>
      </c>
      <c r="U346" s="394">
        <f>TRUNC(IF(P346="CDHU",VLOOKUP(Q346,'CDHU 201-SD'!$A$1:$J$28014,6,FALSE),IF(P346="FDE",VLOOKUP(Q346,'FDE 01-26-SD'!$A$1:$J$280013,6,FALSE),IF(P346="PRÓPRIA",VLOOKUP(Q346,COMPOSIÇÃO!$1:$1048576,10,FALSE),VLOOKUP(Q346,'SINAPI 04-26-SD'!$A$1:$H$272700,4,FALSE)))),2)</f>
        <v>17.579999999999998</v>
      </c>
      <c r="V346" s="416">
        <f t="shared" ref="V346:V355" si="1197">TRUNC(U346*T346,2)</f>
        <v>2215.08</v>
      </c>
      <c r="W346" s="395">
        <f>IF($AA346="N",BDI!$D$26,IF($AA346="D",'BDI DIFE.'!$D$26,"ERRO"))</f>
        <v>0.22500000000000001</v>
      </c>
      <c r="X346" s="379">
        <f t="shared" ref="X346:X355" si="1198">TRUNC(U346*(1+W346),2)</f>
        <v>21.53</v>
      </c>
      <c r="Y346" s="380">
        <f t="shared" ref="Y346:Y355" si="1199">TRUNC(T346*X346,2)</f>
        <v>2712.78</v>
      </c>
      <c r="Z346" s="381"/>
      <c r="AA346" s="378" t="s">
        <v>28044</v>
      </c>
      <c r="AB346" s="642"/>
    </row>
    <row r="347" spans="2:28" s="55" customFormat="1">
      <c r="B347" s="378">
        <f t="shared" ca="1" si="1186"/>
        <v>3</v>
      </c>
      <c r="C347" s="378" t="str">
        <f t="shared" si="1105"/>
        <v>S</v>
      </c>
      <c r="D347" s="378">
        <f t="shared" ca="1" si="1195"/>
        <v>15</v>
      </c>
      <c r="E347" s="378">
        <f t="shared" ca="1" si="1187"/>
        <v>3</v>
      </c>
      <c r="F347" s="378" t="str">
        <f t="shared" ca="1" si="1188"/>
        <v>0</v>
      </c>
      <c r="G347" s="378" t="str">
        <f t="shared" ca="1" si="1189"/>
        <v>0</v>
      </c>
      <c r="H347" s="378" t="str">
        <f t="shared" ca="1" si="1190"/>
        <v>0</v>
      </c>
      <c r="I347" s="378" t="str">
        <f t="shared" ca="1" si="1191"/>
        <v>0</v>
      </c>
      <c r="J347" s="378">
        <f t="shared" ca="1" si="1196"/>
        <v>2</v>
      </c>
      <c r="K347" s="378" t="str">
        <f t="shared" si="1192"/>
        <v>NÃO</v>
      </c>
      <c r="L347" s="378" t="str">
        <f t="shared" ca="1" si="1193"/>
        <v>15.3.2</v>
      </c>
      <c r="M347" s="55" t="s">
        <v>27868</v>
      </c>
      <c r="O347" s="392" t="str">
        <f t="shared" ca="1" si="1194"/>
        <v>15.3.2</v>
      </c>
      <c r="P347" s="681" t="s">
        <v>29901</v>
      </c>
      <c r="Q347" s="682" t="s">
        <v>15316</v>
      </c>
      <c r="R347" s="415" t="str">
        <f>UPPER(IF(P347="CDHU",VLOOKUP(Q347,'CDHU 201-SD'!$A$1:$J$28014,2,FALSE),IF(P347="FDE",VLOOKUP(Q347,'FDE 01-26-SD'!$A$1:$J$280013,2,FALSE),IF(P347="PRÓPRIA",VLOOKUP(Q347,COMPOSIÇÃO!$1:$1048576,3,FALSE),VLOOKUP(Q347,'SINAPI 04-26-SD'!$A$1:$H$272700,2,FALSE)))))</f>
        <v>CAIXA EM PVC DE 4´ X 4´</v>
      </c>
      <c r="S347" s="414" t="str">
        <f>UPPER(IF(P347="CDHU",VLOOKUP(Q347,'CDHU 201-SD'!$A$1:$J$28014,3,FALSE),IF(P347="FDE",VLOOKUP(Q347,'FDE 01-26-SD'!$A$1:$J$280013,3,FALSE),IF(P347="PRÓPRIA",VLOOKUP(Q347,COMPOSIÇÃO!$1:$1048576,7,FALSE),VLOOKUP(Q347,'SINAPI 04-26-SD'!$A$1:$H$272700,3,FALSE)))))</f>
        <v>UN</v>
      </c>
      <c r="T347" s="393">
        <v>2</v>
      </c>
      <c r="U347" s="394">
        <f>TRUNC(IF(P347="CDHU",VLOOKUP(Q347,'CDHU 201-SD'!$A$1:$J$28014,6,FALSE),IF(P347="FDE",VLOOKUP(Q347,'FDE 01-26-SD'!$A$1:$J$280013,6,FALSE),IF(P347="PRÓPRIA",VLOOKUP(Q347,COMPOSIÇÃO!$1:$1048576,10,FALSE),VLOOKUP(Q347,'SINAPI 04-26-SD'!$A$1:$H$272700,4,FALSE)))),2)</f>
        <v>21.2</v>
      </c>
      <c r="V347" s="416">
        <f t="shared" si="1197"/>
        <v>42.4</v>
      </c>
      <c r="W347" s="395">
        <f>IF($AA347="N",BDI!$D$26,IF($AA347="D",'BDI DIFE.'!$D$26,"ERRO"))</f>
        <v>0.22500000000000001</v>
      </c>
      <c r="X347" s="379">
        <f t="shared" si="1198"/>
        <v>25.97</v>
      </c>
      <c r="Y347" s="380">
        <f t="shared" si="1199"/>
        <v>51.94</v>
      </c>
      <c r="Z347" s="381"/>
      <c r="AA347" s="378" t="s">
        <v>28044</v>
      </c>
      <c r="AB347" s="642"/>
    </row>
    <row r="348" spans="2:28" s="55" customFormat="1">
      <c r="B348" s="378">
        <f t="shared" ref="B348:B350" ca="1" si="1200">IF(C348="S",IF(OFFSET(C348,-1,0)="S", OFFSET(B348,-1,0), OFFSET(B348,-1,0) +1 ), C348)</f>
        <v>3</v>
      </c>
      <c r="C348" s="378" t="str">
        <f t="shared" si="1105"/>
        <v>S</v>
      </c>
      <c r="D348" s="378">
        <f t="shared" ca="1" si="1195"/>
        <v>15</v>
      </c>
      <c r="E348" s="378">
        <f t="shared" ref="E348:E350" ca="1" si="1201">IF($C348="2",OFFSET(E348,-1,0) +1,IF(OFFSET(D348,-1,0)&lt;&gt;D348,"0",IF(OFFSET(E348,-1,0)="","0",OFFSET(E348,-1,0))))</f>
        <v>3</v>
      </c>
      <c r="F348" s="378" t="str">
        <f t="shared" ref="F348:F350" ca="1" si="1202">IF($C348="3",OFFSET(F348,-1,0) +1,IF(OFFSET(E348,-1,0)&lt;&gt;E348,"0",IF(OFFSET(F348,-1,0)="","0",OFFSET(F348,-1,0))))</f>
        <v>0</v>
      </c>
      <c r="G348" s="378" t="str">
        <f t="shared" ref="G348:G350" ca="1" si="1203">IF($C348="4",OFFSET(G348,-1,0) +1,IF(OFFSET(F348,-1,0)&lt;&gt;F348,"0",IF(OFFSET(G348,-1,0)="","0",OFFSET(G348,-1,0))))</f>
        <v>0</v>
      </c>
      <c r="H348" s="378" t="str">
        <f t="shared" ref="H348:H350" ca="1" si="1204">IF($C348="5",OFFSET(H348,-1,0) +1,IF(OFFSET(G348,-1,0)&lt;&gt;G348,"0",IF(OFFSET(H348,-1,0)="","0",OFFSET(H348,-1,0))))</f>
        <v>0</v>
      </c>
      <c r="I348" s="378" t="str">
        <f t="shared" ref="I348:I350" ca="1" si="1205">IF($C348="6",OFFSET(I348,-1,0) +1,IF(OFFSET(H348,-1,0)&lt;&gt;H348,"0",IF(OFFSET(I348,-1,0)="","0", OFFSET(I348,-1,0))))</f>
        <v>0</v>
      </c>
      <c r="J348" s="378">
        <f t="shared" ca="1" si="1196"/>
        <v>3</v>
      </c>
      <c r="K348" s="378" t="str">
        <f t="shared" ref="K348:K350" si="1206">IF(C348="S","NÃO", IF(C348="1", D348, IF(C348="2", D348 &amp; "." &amp; E348,IF(C348="3", D348 &amp; "." &amp; E348 &amp; "." &amp; F348, IF(C348="4", D348 &amp; "." &amp; E348 &amp; "." &amp; F348 &amp; "." &amp; G348, IF(C348="5", D348 &amp; "." &amp; E348 &amp; "." &amp; F348 &amp; "." &amp; G348 &amp; "." &amp; H348, IF(C348="6", D348 &amp; "." &amp; E348 &amp; "." &amp; F348 &amp; "." &amp; G348 &amp; "." &amp; H348 &amp; "." &amp; I348)))))))</f>
        <v>NÃO</v>
      </c>
      <c r="L348" s="378" t="str">
        <f t="shared" ref="L348:L350" ca="1" si="1207">IF(K348="NÃO",IF($B348=2,D348&amp;"."&amp;J348,IF($B348=3,D348&amp;"."&amp;E348&amp;"."&amp;J348,IF($B348=4,D348&amp;"."&amp;E348&amp;"."&amp;F348&amp;"."&amp;J348,IF($B348=5,D348&amp;"."&amp;E348&amp;"."&amp;F348&amp;"."&amp;G348&amp;"."&amp;J348,IF($B348=6,D348&amp;"."&amp;E348&amp;"."&amp;F348&amp;"."&amp;G348&amp;"."&amp;H348&amp;"."&amp;J348,IF($B348=7,D348&amp;"."&amp;E348&amp;"."&amp;F348&amp;"."&amp;G348&amp;"."&amp;H348&amp;"."&amp;I348&amp;"."&amp;J348,"FALHA")))))),K348)</f>
        <v>15.3.3</v>
      </c>
      <c r="M348" s="55" t="s">
        <v>27868</v>
      </c>
      <c r="O348" s="392" t="str">
        <f t="shared" ref="O348:O350" ca="1" si="1208">L348</f>
        <v>15.3.3</v>
      </c>
      <c r="P348" s="681" t="s">
        <v>29901</v>
      </c>
      <c r="Q348" s="682" t="s">
        <v>15317</v>
      </c>
      <c r="R348" s="415" t="str">
        <f>UPPER(IF(P348="CDHU",VLOOKUP(Q348,'CDHU 201-SD'!$A$1:$J$28014,2,FALSE),IF(P348="FDE",VLOOKUP(Q348,'FDE 01-26-SD'!$A$1:$J$280013,2,FALSE),IF(P348="PRÓPRIA",VLOOKUP(Q348,COMPOSIÇÃO!$1:$1048576,3,FALSE),VLOOKUP(Q348,'SINAPI 04-26-SD'!$A$1:$H$272700,2,FALSE)))))</f>
        <v>CAIXA EM PVC OCTOGONAL DE 4´ X 4´</v>
      </c>
      <c r="S348" s="414" t="str">
        <f>UPPER(IF(P348="CDHU",VLOOKUP(Q348,'CDHU 201-SD'!$A$1:$J$28014,3,FALSE),IF(P348="FDE",VLOOKUP(Q348,'FDE 01-26-SD'!$A$1:$J$280013,3,FALSE),IF(P348="PRÓPRIA",VLOOKUP(Q348,COMPOSIÇÃO!$1:$1048576,7,FALSE),VLOOKUP(Q348,'SINAPI 04-26-SD'!$A$1:$H$272700,3,FALSE)))))</f>
        <v>UN</v>
      </c>
      <c r="T348" s="393">
        <v>109</v>
      </c>
      <c r="U348" s="394">
        <f>TRUNC(IF(P348="CDHU",VLOOKUP(Q348,'CDHU 201-SD'!$A$1:$J$28014,6,FALSE),IF(P348="FDE",VLOOKUP(Q348,'FDE 01-26-SD'!$A$1:$J$280013,6,FALSE),IF(P348="PRÓPRIA",VLOOKUP(Q348,COMPOSIÇÃO!$1:$1048576,10,FALSE),VLOOKUP(Q348,'SINAPI 04-26-SD'!$A$1:$H$272700,4,FALSE)))),2)</f>
        <v>22.52</v>
      </c>
      <c r="V348" s="416">
        <f t="shared" ref="V348:V350" si="1209">TRUNC(U348*T348,2)</f>
        <v>2454.6799999999998</v>
      </c>
      <c r="W348" s="395">
        <f>IF($AA348="N",BDI!$D$26,IF($AA348="D",'BDI DIFE.'!$D$26,"ERRO"))</f>
        <v>0.22500000000000001</v>
      </c>
      <c r="X348" s="379">
        <f t="shared" ref="X348:X350" si="1210">TRUNC(U348*(1+W348),2)</f>
        <v>27.58</v>
      </c>
      <c r="Y348" s="380">
        <f t="shared" ref="Y348:Y350" si="1211">TRUNC(T348*X348,2)</f>
        <v>3006.22</v>
      </c>
      <c r="Z348" s="381"/>
      <c r="AA348" s="378" t="s">
        <v>28044</v>
      </c>
      <c r="AB348" s="642"/>
    </row>
    <row r="349" spans="2:28" s="55" customFormat="1">
      <c r="B349" s="378">
        <f t="shared" ca="1" si="1200"/>
        <v>3</v>
      </c>
      <c r="C349" s="378" t="str">
        <f t="shared" si="1105"/>
        <v>S</v>
      </c>
      <c r="D349" s="378">
        <f t="shared" ca="1" si="1195"/>
        <v>15</v>
      </c>
      <c r="E349" s="378">
        <f t="shared" ca="1" si="1201"/>
        <v>3</v>
      </c>
      <c r="F349" s="378" t="str">
        <f t="shared" ca="1" si="1202"/>
        <v>0</v>
      </c>
      <c r="G349" s="378" t="str">
        <f t="shared" ca="1" si="1203"/>
        <v>0</v>
      </c>
      <c r="H349" s="378" t="str">
        <f t="shared" ca="1" si="1204"/>
        <v>0</v>
      </c>
      <c r="I349" s="378" t="str">
        <f t="shared" ca="1" si="1205"/>
        <v>0</v>
      </c>
      <c r="J349" s="378">
        <f t="shared" ca="1" si="1196"/>
        <v>4</v>
      </c>
      <c r="K349" s="378" t="str">
        <f t="shared" si="1206"/>
        <v>NÃO</v>
      </c>
      <c r="L349" s="378" t="str">
        <f t="shared" ca="1" si="1207"/>
        <v>15.3.4</v>
      </c>
      <c r="M349" s="55" t="s">
        <v>27868</v>
      </c>
      <c r="O349" s="392" t="str">
        <f t="shared" ca="1" si="1208"/>
        <v>15.3.4</v>
      </c>
      <c r="P349" s="681" t="s">
        <v>29901</v>
      </c>
      <c r="Q349" s="682" t="s">
        <v>15295</v>
      </c>
      <c r="R349" s="415" t="str">
        <f>UPPER(IF(P349="CDHU",VLOOKUP(Q349,'CDHU 201-SD'!$A$1:$J$28014,2,FALSE),IF(P349="FDE",VLOOKUP(Q349,'FDE 01-26-SD'!$A$1:$J$280013,2,FALSE),IF(P349="PRÓPRIA",VLOOKUP(Q349,COMPOSIÇÃO!$1:$1048576,3,FALSE),VLOOKUP(Q349,'SINAPI 04-26-SD'!$A$1:$H$272700,2,FALSE)))))</f>
        <v>CONDULETE METÁLICO DE 3/4´</v>
      </c>
      <c r="S349" s="414" t="str">
        <f>UPPER(IF(P349="CDHU",VLOOKUP(Q349,'CDHU 201-SD'!$A$1:$J$28014,3,FALSE),IF(P349="FDE",VLOOKUP(Q349,'FDE 01-26-SD'!$A$1:$J$280013,3,FALSE),IF(P349="PRÓPRIA",VLOOKUP(Q349,COMPOSIÇÃO!$1:$1048576,7,FALSE),VLOOKUP(Q349,'SINAPI 04-26-SD'!$A$1:$H$272700,3,FALSE)))))</f>
        <v>CJ</v>
      </c>
      <c r="T349" s="393">
        <v>9</v>
      </c>
      <c r="U349" s="394">
        <f>TRUNC(IF(P349="CDHU",VLOOKUP(Q349,'CDHU 201-SD'!$A$1:$J$28014,6,FALSE),IF(P349="FDE",VLOOKUP(Q349,'FDE 01-26-SD'!$A$1:$J$280013,6,FALSE),IF(P349="PRÓPRIA",VLOOKUP(Q349,COMPOSIÇÃO!$1:$1048576,10,FALSE),VLOOKUP(Q349,'SINAPI 04-26-SD'!$A$1:$H$272700,4,FALSE)))),2)</f>
        <v>43.66</v>
      </c>
      <c r="V349" s="416">
        <f t="shared" si="1209"/>
        <v>392.94</v>
      </c>
      <c r="W349" s="395">
        <f>IF($AA349="N",BDI!$D$26,IF($AA349="D",'BDI DIFE.'!$D$26,"ERRO"))</f>
        <v>0.22500000000000001</v>
      </c>
      <c r="X349" s="379">
        <f t="shared" si="1210"/>
        <v>53.48</v>
      </c>
      <c r="Y349" s="380">
        <f t="shared" si="1211"/>
        <v>481.32</v>
      </c>
      <c r="Z349" s="381"/>
      <c r="AA349" s="378" t="s">
        <v>28044</v>
      </c>
      <c r="AB349" s="642"/>
    </row>
    <row r="350" spans="2:28" s="55" customFormat="1">
      <c r="B350" s="378">
        <f t="shared" ca="1" si="1200"/>
        <v>3</v>
      </c>
      <c r="C350" s="378" t="str">
        <f t="shared" si="1105"/>
        <v>S</v>
      </c>
      <c r="D350" s="378">
        <f t="shared" ca="1" si="1195"/>
        <v>15</v>
      </c>
      <c r="E350" s="378">
        <f t="shared" ca="1" si="1201"/>
        <v>3</v>
      </c>
      <c r="F350" s="378" t="str">
        <f t="shared" ca="1" si="1202"/>
        <v>0</v>
      </c>
      <c r="G350" s="378" t="str">
        <f t="shared" ca="1" si="1203"/>
        <v>0</v>
      </c>
      <c r="H350" s="378" t="str">
        <f t="shared" ca="1" si="1204"/>
        <v>0</v>
      </c>
      <c r="I350" s="378" t="str">
        <f t="shared" ca="1" si="1205"/>
        <v>0</v>
      </c>
      <c r="J350" s="378">
        <f t="shared" ca="1" si="1196"/>
        <v>5</v>
      </c>
      <c r="K350" s="378" t="str">
        <f t="shared" si="1206"/>
        <v>NÃO</v>
      </c>
      <c r="L350" s="378" t="str">
        <f t="shared" ca="1" si="1207"/>
        <v>15.3.5</v>
      </c>
      <c r="M350" s="55" t="s">
        <v>27868</v>
      </c>
      <c r="O350" s="392" t="str">
        <f t="shared" ca="1" si="1208"/>
        <v>15.3.5</v>
      </c>
      <c r="P350" s="681" t="s">
        <v>29901</v>
      </c>
      <c r="Q350" s="682" t="s">
        <v>15297</v>
      </c>
      <c r="R350" s="415" t="str">
        <f>UPPER(IF(P350="CDHU",VLOOKUP(Q350,'CDHU 201-SD'!$A$1:$J$28014,2,FALSE),IF(P350="FDE",VLOOKUP(Q350,'FDE 01-26-SD'!$A$1:$J$280013,2,FALSE),IF(P350="PRÓPRIA",VLOOKUP(Q350,COMPOSIÇÃO!$1:$1048576,3,FALSE),VLOOKUP(Q350,'SINAPI 04-26-SD'!$A$1:$H$272700,2,FALSE)))))</f>
        <v>CONDULETE METÁLICO DE 1´</v>
      </c>
      <c r="S350" s="414" t="str">
        <f>UPPER(IF(P350="CDHU",VLOOKUP(Q350,'CDHU 201-SD'!$A$1:$J$28014,3,FALSE),IF(P350="FDE",VLOOKUP(Q350,'FDE 01-26-SD'!$A$1:$J$280013,3,FALSE),IF(P350="PRÓPRIA",VLOOKUP(Q350,COMPOSIÇÃO!$1:$1048576,7,FALSE),VLOOKUP(Q350,'SINAPI 04-26-SD'!$A$1:$H$272700,3,FALSE)))))</f>
        <v>CJ</v>
      </c>
      <c r="T350" s="393">
        <v>4</v>
      </c>
      <c r="U350" s="394">
        <f>TRUNC(IF(P350="CDHU",VLOOKUP(Q350,'CDHU 201-SD'!$A$1:$J$28014,6,FALSE),IF(P350="FDE",VLOOKUP(Q350,'FDE 01-26-SD'!$A$1:$J$280013,6,FALSE),IF(P350="PRÓPRIA",VLOOKUP(Q350,COMPOSIÇÃO!$1:$1048576,10,FALSE),VLOOKUP(Q350,'SINAPI 04-26-SD'!$A$1:$H$272700,4,FALSE)))),2)</f>
        <v>53.49</v>
      </c>
      <c r="V350" s="416">
        <f t="shared" si="1209"/>
        <v>213.96</v>
      </c>
      <c r="W350" s="395">
        <f>IF($AA350="N",BDI!$D$26,IF($AA350="D",'BDI DIFE.'!$D$26,"ERRO"))</f>
        <v>0.22500000000000001</v>
      </c>
      <c r="X350" s="379">
        <f t="shared" si="1210"/>
        <v>65.52</v>
      </c>
      <c r="Y350" s="380">
        <f t="shared" si="1211"/>
        <v>262.08</v>
      </c>
      <c r="Z350" s="381"/>
      <c r="AA350" s="378" t="s">
        <v>28044</v>
      </c>
      <c r="AB350" s="642"/>
    </row>
    <row r="351" spans="2:28" s="55" customFormat="1" ht="45">
      <c r="B351" s="378">
        <f t="shared" ca="1" si="1186"/>
        <v>3</v>
      </c>
      <c r="C351" s="378" t="str">
        <f t="shared" si="1105"/>
        <v>S</v>
      </c>
      <c r="D351" s="378">
        <f t="shared" ca="1" si="1195"/>
        <v>15</v>
      </c>
      <c r="E351" s="378">
        <f t="shared" ca="1" si="1187"/>
        <v>3</v>
      </c>
      <c r="F351" s="378" t="str">
        <f t="shared" ca="1" si="1188"/>
        <v>0</v>
      </c>
      <c r="G351" s="378" t="str">
        <f t="shared" ca="1" si="1189"/>
        <v>0</v>
      </c>
      <c r="H351" s="378" t="str">
        <f t="shared" ca="1" si="1190"/>
        <v>0</v>
      </c>
      <c r="I351" s="378" t="str">
        <f t="shared" ca="1" si="1191"/>
        <v>0</v>
      </c>
      <c r="J351" s="378">
        <f t="shared" ca="1" si="1196"/>
        <v>6</v>
      </c>
      <c r="K351" s="378" t="str">
        <f t="shared" si="1192"/>
        <v>NÃO</v>
      </c>
      <c r="L351" s="378" t="str">
        <f t="shared" ca="1" si="1193"/>
        <v>15.3.6</v>
      </c>
      <c r="M351" s="55" t="s">
        <v>27868</v>
      </c>
      <c r="O351" s="392" t="str">
        <f t="shared" ca="1" si="1194"/>
        <v>15.3.6</v>
      </c>
      <c r="P351" s="681" t="s">
        <v>27888</v>
      </c>
      <c r="Q351" s="682">
        <v>97892</v>
      </c>
      <c r="R351" s="415" t="str">
        <f>UPPER(IF(P351="CDHU",VLOOKUP(Q351,'CDHU 201-SD'!$A$1:$J$28014,2,FALSE),IF(P351="FDE",VLOOKUP(Q351,'FDE 01-26-SD'!$A$1:$J$280013,2,FALSE),IF(P351="PRÓPRIA",VLOOKUP(Q351,COMPOSIÇÃO!$1:$1048576,3,FALSE),VLOOKUP(Q351,'SINAPI 04-26-SD'!$A$1:$H$272700,2,FALSE)))))</f>
        <v>CAIXA ENTERRADA ELÉTRICA RETANGULAR, EM ALVENARIA COM BLOCOS DE CONCRETO, FUNDO COM BRITA, DIMENSÕES INTERNAS: 0,6X0,6X0,6 M. AF_12/2020</v>
      </c>
      <c r="S351" s="414" t="str">
        <f>UPPER(IF(P351="CDHU",VLOOKUP(Q351,'CDHU 201-SD'!$A$1:$J$28014,3,FALSE),IF(P351="FDE",VLOOKUP(Q351,'FDE 01-26-SD'!$A$1:$J$280013,3,FALSE),IF(P351="PRÓPRIA",VLOOKUP(Q351,COMPOSIÇÃO!$1:$1048576,7,FALSE),VLOOKUP(Q351,'SINAPI 04-26-SD'!$A$1:$H$272700,3,FALSE)))))</f>
        <v>UN</v>
      </c>
      <c r="T351" s="393">
        <v>3</v>
      </c>
      <c r="U351" s="394">
        <f>TRUNC(IF(P351="CDHU",VLOOKUP(Q351,'CDHU 201-SD'!$A$1:$J$28014,6,FALSE),IF(P351="FDE",VLOOKUP(Q351,'FDE 01-26-SD'!$A$1:$J$280013,6,FALSE),IF(P351="PRÓPRIA",VLOOKUP(Q351,COMPOSIÇÃO!$1:$1048576,10,FALSE),VLOOKUP(Q351,'SINAPI 04-26-SD'!$A$1:$H$272700,4,FALSE)))),2)</f>
        <v>447.69</v>
      </c>
      <c r="V351" s="416">
        <f t="shared" si="1197"/>
        <v>1343.07</v>
      </c>
      <c r="W351" s="395">
        <f>IF($AA351="N",BDI!$D$26,IF($AA351="D",'BDI DIFE.'!$D$26,"ERRO"))</f>
        <v>0.22500000000000001</v>
      </c>
      <c r="X351" s="379">
        <f t="shared" si="1198"/>
        <v>548.41999999999996</v>
      </c>
      <c r="Y351" s="380">
        <f t="shared" si="1199"/>
        <v>1645.26</v>
      </c>
      <c r="Z351" s="381"/>
      <c r="AA351" s="378" t="s">
        <v>28044</v>
      </c>
      <c r="AB351" s="642"/>
    </row>
    <row r="352" spans="2:28" s="55" customFormat="1" ht="30">
      <c r="B352" s="378">
        <f t="shared" ca="1" si="1186"/>
        <v>3</v>
      </c>
      <c r="C352" s="378" t="str">
        <f t="shared" si="1105"/>
        <v>S</v>
      </c>
      <c r="D352" s="378">
        <f t="shared" ca="1" si="1195"/>
        <v>15</v>
      </c>
      <c r="E352" s="378">
        <f t="shared" ca="1" si="1187"/>
        <v>3</v>
      </c>
      <c r="F352" s="378" t="str">
        <f t="shared" ca="1" si="1188"/>
        <v>0</v>
      </c>
      <c r="G352" s="378" t="str">
        <f t="shared" ca="1" si="1189"/>
        <v>0</v>
      </c>
      <c r="H352" s="378" t="str">
        <f t="shared" ca="1" si="1190"/>
        <v>0</v>
      </c>
      <c r="I352" s="378" t="str">
        <f t="shared" ca="1" si="1191"/>
        <v>0</v>
      </c>
      <c r="J352" s="378">
        <f t="shared" ca="1" si="1196"/>
        <v>7</v>
      </c>
      <c r="K352" s="378" t="str">
        <f t="shared" si="1192"/>
        <v>NÃO</v>
      </c>
      <c r="L352" s="378" t="str">
        <f t="shared" ca="1" si="1193"/>
        <v>15.3.7</v>
      </c>
      <c r="M352" s="55" t="s">
        <v>27868</v>
      </c>
      <c r="O352" s="392" t="str">
        <f t="shared" ca="1" si="1194"/>
        <v>15.3.7</v>
      </c>
      <c r="P352" s="681" t="s">
        <v>29901</v>
      </c>
      <c r="Q352" s="682" t="s">
        <v>14288</v>
      </c>
      <c r="R352" s="415" t="str">
        <f>UPPER(IF(P352="CDHU",VLOOKUP(Q352,'CDHU 201-SD'!$A$1:$J$28014,2,FALSE),IF(P352="FDE",VLOOKUP(Q352,'FDE 01-26-SD'!$A$1:$J$280013,2,FALSE),IF(P352="PRÓPRIA",VLOOKUP(Q352,COMPOSIÇÃO!$1:$1048576,3,FALSE),VLOOKUP(Q352,'SINAPI 04-26-SD'!$A$1:$H$272700,2,FALSE)))))</f>
        <v>QUADRO DE DISTRIBUIÇÃO UNIVERSAL DE EMBUTIR, PARA DISJUNTORES 24 DIN / 18 BOLT-ON - 150 A - SEM COMPONENTES</v>
      </c>
      <c r="S352" s="414" t="str">
        <f>UPPER(IF(P352="CDHU",VLOOKUP(Q352,'CDHU 201-SD'!$A$1:$J$28014,3,FALSE),IF(P352="FDE",VLOOKUP(Q352,'FDE 01-26-SD'!$A$1:$J$280013,3,FALSE),IF(P352="PRÓPRIA",VLOOKUP(Q352,COMPOSIÇÃO!$1:$1048576,7,FALSE),VLOOKUP(Q352,'SINAPI 04-26-SD'!$A$1:$H$272700,3,FALSE)))))</f>
        <v>UN</v>
      </c>
      <c r="T352" s="393">
        <v>1</v>
      </c>
      <c r="U352" s="394">
        <f>TRUNC(IF(P352="CDHU",VLOOKUP(Q352,'CDHU 201-SD'!$A$1:$J$28014,6,FALSE),IF(P352="FDE",VLOOKUP(Q352,'FDE 01-26-SD'!$A$1:$J$280013,6,FALSE),IF(P352="PRÓPRIA",VLOOKUP(Q352,COMPOSIÇÃO!$1:$1048576,10,FALSE),VLOOKUP(Q352,'SINAPI 04-26-SD'!$A$1:$H$272700,4,FALSE)))),2)</f>
        <v>611.63</v>
      </c>
      <c r="V352" s="416">
        <f t="shared" si="1197"/>
        <v>611.63</v>
      </c>
      <c r="W352" s="395">
        <f>IF($AA352="N",BDI!$D$26,IF($AA352="D",'BDI DIFE.'!$D$26,"ERRO"))</f>
        <v>0.22500000000000001</v>
      </c>
      <c r="X352" s="379">
        <f t="shared" si="1198"/>
        <v>749.24</v>
      </c>
      <c r="Y352" s="380">
        <f t="shared" si="1199"/>
        <v>749.24</v>
      </c>
      <c r="Z352" s="381"/>
      <c r="AA352" s="378" t="s">
        <v>28044</v>
      </c>
      <c r="AB352" s="642"/>
    </row>
    <row r="353" spans="2:28" s="55" customFormat="1" ht="30">
      <c r="B353" s="378">
        <f t="shared" ref="B353" ca="1" si="1212">IF(C353="S",IF(OFFSET(C353,-1,0)="S", OFFSET(B353,-1,0), OFFSET(B353,-1,0) +1 ), C353)</f>
        <v>3</v>
      </c>
      <c r="C353" s="378" t="str">
        <f t="shared" si="1105"/>
        <v>S</v>
      </c>
      <c r="D353" s="378">
        <f t="shared" ca="1" si="1195"/>
        <v>15</v>
      </c>
      <c r="E353" s="378">
        <f t="shared" ref="E353" ca="1" si="1213">IF($C353="2",OFFSET(E353,-1,0) +1,IF(OFFSET(D353,-1,0)&lt;&gt;D353,"0",IF(OFFSET(E353,-1,0)="","0",OFFSET(E353,-1,0))))</f>
        <v>3</v>
      </c>
      <c r="F353" s="378" t="str">
        <f t="shared" ref="F353" ca="1" si="1214">IF($C353="3",OFFSET(F353,-1,0) +1,IF(OFFSET(E353,-1,0)&lt;&gt;E353,"0",IF(OFFSET(F353,-1,0)="","0",OFFSET(F353,-1,0))))</f>
        <v>0</v>
      </c>
      <c r="G353" s="378" t="str">
        <f t="shared" ref="G353" ca="1" si="1215">IF($C353="4",OFFSET(G353,-1,0) +1,IF(OFFSET(F353,-1,0)&lt;&gt;F353,"0",IF(OFFSET(G353,-1,0)="","0",OFFSET(G353,-1,0))))</f>
        <v>0</v>
      </c>
      <c r="H353" s="378" t="str">
        <f t="shared" ref="H353" ca="1" si="1216">IF($C353="5",OFFSET(H353,-1,0) +1,IF(OFFSET(G353,-1,0)&lt;&gt;G353,"0",IF(OFFSET(H353,-1,0)="","0",OFFSET(H353,-1,0))))</f>
        <v>0</v>
      </c>
      <c r="I353" s="378" t="str">
        <f t="shared" ref="I353" ca="1" si="1217">IF($C353="6",OFFSET(I353,-1,0) +1,IF(OFFSET(H353,-1,0)&lt;&gt;H353,"0",IF(OFFSET(I353,-1,0)="","0", OFFSET(I353,-1,0))))</f>
        <v>0</v>
      </c>
      <c r="J353" s="378">
        <f t="shared" ca="1" si="1196"/>
        <v>8</v>
      </c>
      <c r="K353" s="378" t="str">
        <f t="shared" ref="K353" si="1218">IF(C353="S","NÃO", IF(C353="1", D353, IF(C353="2", D353 &amp; "." &amp; E353,IF(C353="3", D353 &amp; "." &amp; E353 &amp; "." &amp; F353, IF(C353="4", D353 &amp; "." &amp; E353 &amp; "." &amp; F353 &amp; "." &amp; G353, IF(C353="5", D353 &amp; "." &amp; E353 &amp; "." &amp; F353 &amp; "." &amp; G353 &amp; "." &amp; H353, IF(C353="6", D353 &amp; "." &amp; E353 &amp; "." &amp; F353 &amp; "." &amp; G353 &amp; "." &amp; H353 &amp; "." &amp; I353)))))))</f>
        <v>NÃO</v>
      </c>
      <c r="L353" s="378" t="str">
        <f t="shared" ref="L353" ca="1" si="1219">IF(K353="NÃO",IF($B353=2,D353&amp;"."&amp;J353,IF($B353=3,D353&amp;"."&amp;E353&amp;"."&amp;J353,IF($B353=4,D353&amp;"."&amp;E353&amp;"."&amp;F353&amp;"."&amp;J353,IF($B353=5,D353&amp;"."&amp;E353&amp;"."&amp;F353&amp;"."&amp;G353&amp;"."&amp;J353,IF($B353=6,D353&amp;"."&amp;E353&amp;"."&amp;F353&amp;"."&amp;G353&amp;"."&amp;H353&amp;"."&amp;J353,IF($B353=7,D353&amp;"."&amp;E353&amp;"."&amp;F353&amp;"."&amp;G353&amp;"."&amp;H353&amp;"."&amp;I353&amp;"."&amp;J353,"FALHA")))))),K353)</f>
        <v>15.3.8</v>
      </c>
      <c r="M353" s="55" t="s">
        <v>27868</v>
      </c>
      <c r="O353" s="392" t="str">
        <f t="shared" ref="O353" ca="1" si="1220">L353</f>
        <v>15.3.8</v>
      </c>
      <c r="P353" s="681" t="s">
        <v>29901</v>
      </c>
      <c r="Q353" s="682" t="s">
        <v>14290</v>
      </c>
      <c r="R353" s="415" t="str">
        <f>UPPER(IF(P353="CDHU",VLOOKUP(Q353,'CDHU 201-SD'!$A$1:$J$28014,2,FALSE),IF(P353="FDE",VLOOKUP(Q353,'FDE 01-26-SD'!$A$1:$J$280013,2,FALSE),IF(P353="PRÓPRIA",VLOOKUP(Q353,COMPOSIÇÃO!$1:$1048576,3,FALSE),VLOOKUP(Q353,'SINAPI 04-26-SD'!$A$1:$H$272700,2,FALSE)))))</f>
        <v>QUADRO DE DISTRIBUIÇÃO UNIVERSAL DE EMBUTIR, PARA DISJUNTORES 34 DIN / 24 BOLT-ON - 150 A - SEM COMPONENTES</v>
      </c>
      <c r="S353" s="414" t="str">
        <f>UPPER(IF(P353="CDHU",VLOOKUP(Q353,'CDHU 201-SD'!$A$1:$J$28014,3,FALSE),IF(P353="FDE",VLOOKUP(Q353,'FDE 01-26-SD'!$A$1:$J$280013,3,FALSE),IF(P353="PRÓPRIA",VLOOKUP(Q353,COMPOSIÇÃO!$1:$1048576,7,FALSE),VLOOKUP(Q353,'SINAPI 04-26-SD'!$A$1:$H$272700,3,FALSE)))))</f>
        <v>UN</v>
      </c>
      <c r="T353" s="393">
        <v>2</v>
      </c>
      <c r="U353" s="394">
        <f>TRUNC(IF(P353="CDHU",VLOOKUP(Q353,'CDHU 201-SD'!$A$1:$J$28014,6,FALSE),IF(P353="FDE",VLOOKUP(Q353,'FDE 01-26-SD'!$A$1:$J$280013,6,FALSE),IF(P353="PRÓPRIA",VLOOKUP(Q353,COMPOSIÇÃO!$1:$1048576,10,FALSE),VLOOKUP(Q353,'SINAPI 04-26-SD'!$A$1:$H$272700,4,FALSE)))),2)</f>
        <v>812.09</v>
      </c>
      <c r="V353" s="416">
        <f t="shared" ref="V353" si="1221">TRUNC(U353*T353,2)</f>
        <v>1624.18</v>
      </c>
      <c r="W353" s="395">
        <f>IF($AA353="N",BDI!$D$26,IF($AA353="D",'BDI DIFE.'!$D$26,"ERRO"))</f>
        <v>0.22500000000000001</v>
      </c>
      <c r="X353" s="379">
        <f t="shared" ref="X353" si="1222">TRUNC(U353*(1+W353),2)</f>
        <v>994.81</v>
      </c>
      <c r="Y353" s="380">
        <f t="shared" ref="Y353" si="1223">TRUNC(T353*X353,2)</f>
        <v>1989.62</v>
      </c>
      <c r="Z353" s="381"/>
      <c r="AA353" s="378" t="s">
        <v>28044</v>
      </c>
      <c r="AB353" s="642"/>
    </row>
    <row r="354" spans="2:28" s="55" customFormat="1" ht="30">
      <c r="B354" s="378">
        <f t="shared" ca="1" si="1186"/>
        <v>3</v>
      </c>
      <c r="C354" s="378" t="str">
        <f t="shared" si="1105"/>
        <v>S</v>
      </c>
      <c r="D354" s="378">
        <f t="shared" ca="1" si="1195"/>
        <v>15</v>
      </c>
      <c r="E354" s="378">
        <f t="shared" ca="1" si="1187"/>
        <v>3</v>
      </c>
      <c r="F354" s="378" t="str">
        <f t="shared" ca="1" si="1188"/>
        <v>0</v>
      </c>
      <c r="G354" s="378" t="str">
        <f t="shared" ca="1" si="1189"/>
        <v>0</v>
      </c>
      <c r="H354" s="378" t="str">
        <f t="shared" ca="1" si="1190"/>
        <v>0</v>
      </c>
      <c r="I354" s="378" t="str">
        <f t="shared" ca="1" si="1191"/>
        <v>0</v>
      </c>
      <c r="J354" s="378">
        <f t="shared" ca="1" si="1196"/>
        <v>9</v>
      </c>
      <c r="K354" s="378" t="str">
        <f t="shared" si="1192"/>
        <v>NÃO</v>
      </c>
      <c r="L354" s="378" t="str">
        <f t="shared" ca="1" si="1193"/>
        <v>15.3.9</v>
      </c>
      <c r="M354" s="55" t="s">
        <v>27868</v>
      </c>
      <c r="O354" s="392" t="str">
        <f t="shared" ca="1" si="1194"/>
        <v>15.3.9</v>
      </c>
      <c r="P354" s="681" t="s">
        <v>29901</v>
      </c>
      <c r="Q354" s="682" t="s">
        <v>14294</v>
      </c>
      <c r="R354" s="415" t="str">
        <f>UPPER(IF(P354="CDHU",VLOOKUP(Q354,'CDHU 201-SD'!$A$1:$J$28014,2,FALSE),IF(P354="FDE",VLOOKUP(Q354,'FDE 01-26-SD'!$A$1:$J$280013,2,FALSE),IF(P354="PRÓPRIA",VLOOKUP(Q354,COMPOSIÇÃO!$1:$1048576,3,FALSE),VLOOKUP(Q354,'SINAPI 04-26-SD'!$A$1:$H$272700,2,FALSE)))))</f>
        <v>QUADRO DE DISTRIBUIÇÃO UNIVERSAL DE EMBUTIR, PARA DISJUNTORES 56 DIN / 40 BOLT-ON - 225 A - SEM COMPONENTES</v>
      </c>
      <c r="S354" s="414" t="str">
        <f>UPPER(IF(P354="CDHU",VLOOKUP(Q354,'CDHU 201-SD'!$A$1:$J$28014,3,FALSE),IF(P354="FDE",VLOOKUP(Q354,'FDE 01-26-SD'!$A$1:$J$280013,3,FALSE),IF(P354="PRÓPRIA",VLOOKUP(Q354,COMPOSIÇÃO!$1:$1048576,7,FALSE),VLOOKUP(Q354,'SINAPI 04-26-SD'!$A$1:$H$272700,3,FALSE)))))</f>
        <v>UN</v>
      </c>
      <c r="T354" s="393">
        <v>2</v>
      </c>
      <c r="U354" s="394">
        <f>TRUNC(IF(P354="CDHU",VLOOKUP(Q354,'CDHU 201-SD'!$A$1:$J$28014,6,FALSE),IF(P354="FDE",VLOOKUP(Q354,'FDE 01-26-SD'!$A$1:$J$280013,6,FALSE),IF(P354="PRÓPRIA",VLOOKUP(Q354,COMPOSIÇÃO!$1:$1048576,10,FALSE),VLOOKUP(Q354,'SINAPI 04-26-SD'!$A$1:$H$272700,4,FALSE)))),2)</f>
        <v>1268.31</v>
      </c>
      <c r="V354" s="416">
        <f t="shared" si="1197"/>
        <v>2536.62</v>
      </c>
      <c r="W354" s="395">
        <f>IF($AA354="N",BDI!$D$26,IF($AA354="D",'BDI DIFE.'!$D$26,"ERRO"))</f>
        <v>0.22500000000000001</v>
      </c>
      <c r="X354" s="379">
        <f t="shared" si="1198"/>
        <v>1553.67</v>
      </c>
      <c r="Y354" s="380">
        <f t="shared" si="1199"/>
        <v>3107.34</v>
      </c>
      <c r="Z354" s="381"/>
      <c r="AA354" s="378" t="s">
        <v>28044</v>
      </c>
      <c r="AB354" s="642"/>
    </row>
    <row r="355" spans="2:28" s="55" customFormat="1" ht="16" thickBot="1">
      <c r="B355" s="378">
        <f t="shared" ca="1" si="1186"/>
        <v>3</v>
      </c>
      <c r="C355" s="378" t="str">
        <f t="shared" si="1105"/>
        <v>S</v>
      </c>
      <c r="D355" s="378">
        <f t="shared" ca="1" si="1195"/>
        <v>15</v>
      </c>
      <c r="E355" s="378">
        <f t="shared" ca="1" si="1187"/>
        <v>3</v>
      </c>
      <c r="F355" s="378" t="str">
        <f t="shared" ca="1" si="1188"/>
        <v>0</v>
      </c>
      <c r="G355" s="378" t="str">
        <f t="shared" ca="1" si="1189"/>
        <v>0</v>
      </c>
      <c r="H355" s="378" t="str">
        <f t="shared" ca="1" si="1190"/>
        <v>0</v>
      </c>
      <c r="I355" s="378" t="str">
        <f t="shared" ca="1" si="1191"/>
        <v>0</v>
      </c>
      <c r="J355" s="378">
        <f t="shared" ca="1" si="1196"/>
        <v>10</v>
      </c>
      <c r="K355" s="378" t="str">
        <f t="shared" si="1192"/>
        <v>NÃO</v>
      </c>
      <c r="L355" s="378" t="str">
        <f t="shared" ca="1" si="1193"/>
        <v>15.3.10</v>
      </c>
      <c r="M355" s="55" t="s">
        <v>27868</v>
      </c>
      <c r="O355" s="392" t="str">
        <f t="shared" ca="1" si="1194"/>
        <v>15.3.10</v>
      </c>
      <c r="P355" s="681" t="s">
        <v>29901</v>
      </c>
      <c r="Q355" s="682" t="s">
        <v>14318</v>
      </c>
      <c r="R355" s="415" t="str">
        <f>UPPER(IF(P355="CDHU",VLOOKUP(Q355,'CDHU 201-SD'!$A$1:$J$28014,2,FALSE),IF(P355="FDE",VLOOKUP(Q355,'FDE 01-26-SD'!$A$1:$J$280013,2,FALSE),IF(P355="PRÓPRIA",VLOOKUP(Q355,COMPOSIÇÃO!$1:$1048576,3,FALSE),VLOOKUP(Q355,'SINAPI 04-26-SD'!$A$1:$H$272700,2,FALSE)))))</f>
        <v>BARRAMENTO DE COBRE NU</v>
      </c>
      <c r="S355" s="414" t="str">
        <f>UPPER(IF(P355="CDHU",VLOOKUP(Q355,'CDHU 201-SD'!$A$1:$J$28014,3,FALSE),IF(P355="FDE",VLOOKUP(Q355,'FDE 01-26-SD'!$A$1:$J$280013,3,FALSE),IF(P355="PRÓPRIA",VLOOKUP(Q355,COMPOSIÇÃO!$1:$1048576,7,FALSE),VLOOKUP(Q355,'SINAPI 04-26-SD'!$A$1:$H$272700,3,FALSE)))))</f>
        <v>KG</v>
      </c>
      <c r="T355" s="393">
        <f>SUM(T352:T354)*10</f>
        <v>50</v>
      </c>
      <c r="U355" s="394">
        <f>TRUNC(IF(P355="CDHU",VLOOKUP(Q355,'CDHU 201-SD'!$A$1:$J$28014,6,FALSE),IF(P355="FDE",VLOOKUP(Q355,'FDE 01-26-SD'!$A$1:$J$280013,6,FALSE),IF(P355="PRÓPRIA",VLOOKUP(Q355,COMPOSIÇÃO!$1:$1048576,10,FALSE),VLOOKUP(Q355,'SINAPI 04-26-SD'!$A$1:$H$272700,4,FALSE)))),2)</f>
        <v>150.13</v>
      </c>
      <c r="V355" s="416">
        <f t="shared" si="1197"/>
        <v>7506.5</v>
      </c>
      <c r="W355" s="395">
        <f>IF($AA355="N",BDI!$D$26,IF($AA355="D",'BDI DIFE.'!$D$26,"ERRO"))</f>
        <v>0.22500000000000001</v>
      </c>
      <c r="X355" s="379">
        <f t="shared" si="1198"/>
        <v>183.9</v>
      </c>
      <c r="Y355" s="380">
        <f t="shared" si="1199"/>
        <v>9195</v>
      </c>
      <c r="Z355" s="381"/>
      <c r="AA355" s="378" t="s">
        <v>28044</v>
      </c>
      <c r="AB355" s="642"/>
    </row>
    <row r="356" spans="2:28" s="55" customFormat="1" ht="16" thickBot="1">
      <c r="B356" s="378" t="str">
        <f t="shared" ref="B356:B364" ca="1" si="1224">IF(C356="S",IF(OFFSET(C356,-1,0)="S", OFFSET(B356,-1,0), OFFSET(B356,-1,0) +1 ), C356)</f>
        <v/>
      </c>
      <c r="C356" s="378" t="str">
        <f t="shared" si="1105"/>
        <v/>
      </c>
      <c r="D356" s="378">
        <f t="shared" ca="1" si="1195"/>
        <v>15</v>
      </c>
      <c r="E356" s="378">
        <f t="shared" ref="E356:E364" ca="1" si="1225">IF($C356="2",OFFSET(E356,-1,0) +1,IF(OFFSET(D356,-1,0)&lt;&gt;D356,"0",IF(OFFSET(E356,-1,0)="","0",OFFSET(E356,-1,0))))</f>
        <v>3</v>
      </c>
      <c r="F356" s="378" t="str">
        <f t="shared" ref="F356:F364" ca="1" si="1226">IF($C356="3",OFFSET(F356,-1,0) +1,IF(OFFSET(E356,-1,0)&lt;&gt;E356,"0",IF(OFFSET(F356,-1,0)="","0",OFFSET(F356,-1,0))))</f>
        <v>0</v>
      </c>
      <c r="G356" s="378" t="str">
        <f t="shared" ref="G356:G364" ca="1" si="1227">IF($C356="4",OFFSET(G356,-1,0) +1,IF(OFFSET(F356,-1,0)&lt;&gt;F356,"0",IF(OFFSET(G356,-1,0)="","0",OFFSET(G356,-1,0))))</f>
        <v>0</v>
      </c>
      <c r="H356" s="378" t="str">
        <f t="shared" ref="H356:H364" ca="1" si="1228">IF($C356="5",OFFSET(H356,-1,0) +1,IF(OFFSET(G356,-1,0)&lt;&gt;G356,"0",IF(OFFSET(H356,-1,0)="","0",OFFSET(H356,-1,0))))</f>
        <v>0</v>
      </c>
      <c r="I356" s="378" t="str">
        <f t="shared" ref="I356:I364" ca="1" si="1229">IF($C356="6",OFFSET(I356,-1,0) +1,IF(OFFSET(H356,-1,0)&lt;&gt;H356,"0",IF(OFFSET(I356,-1,0)="","0", OFFSET(I356,-1,0))))</f>
        <v>0</v>
      </c>
      <c r="J356" s="378" t="str">
        <f t="shared" ca="1" si="1196"/>
        <v>0</v>
      </c>
      <c r="K356" s="378" t="b">
        <f t="shared" ref="K356:K364" si="1230">IF(C356="S","NÃO", IF(C356="1", D356, IF(C356="2", D356 &amp; "." &amp; E356,IF(C356="3", D356 &amp; "." &amp; E356 &amp; "." &amp; F356, IF(C356="4", D356 &amp; "." &amp; E356 &amp; "." &amp; F356 &amp; "." &amp; G356, IF(C356="5", D356 &amp; "." &amp; E356 &amp; "." &amp; F356 &amp; "." &amp; G356 &amp; "." &amp; H356, IF(C356="6", D356 &amp; "." &amp; E356 &amp; "." &amp; F356 &amp; "." &amp; G356 &amp; "." &amp; H356 &amp; "." &amp; I356)))))))</f>
        <v>0</v>
      </c>
      <c r="L356" s="378" t="b">
        <f t="shared" ref="L356:L364" si="1231">IF(K356="NÃO",IF($B356=2,D356&amp;"."&amp;J356,IF($B356=3,D356&amp;"."&amp;E356&amp;"."&amp;J356,IF($B356=4,D356&amp;"."&amp;E356&amp;"."&amp;F356&amp;"."&amp;J356,IF($B356=5,D356&amp;"."&amp;E356&amp;"."&amp;F356&amp;"."&amp;G356&amp;"."&amp;J356,IF($B356=6,D356&amp;"."&amp;E356&amp;"."&amp;F356&amp;"."&amp;G356&amp;"."&amp;H356&amp;"."&amp;J356,IF($B356=7,D356&amp;"."&amp;E356&amp;"."&amp;F356&amp;"."&amp;G356&amp;"."&amp;H356&amp;"."&amp;I356&amp;"."&amp;J356,"FALHA")))))),K356)</f>
        <v>0</v>
      </c>
      <c r="O356" s="192"/>
      <c r="P356" s="387"/>
      <c r="Q356" s="387"/>
      <c r="R356" s="377"/>
      <c r="S356" s="387"/>
      <c r="T356" s="363"/>
      <c r="U356" s="388"/>
      <c r="V356" s="389"/>
      <c r="W356" s="389"/>
      <c r="X356" s="389"/>
      <c r="Y356" s="390"/>
      <c r="AB356" s="642"/>
    </row>
    <row r="357" spans="2:28" s="75" customFormat="1" ht="16" thickBot="1">
      <c r="B357" s="75" t="str">
        <f t="shared" ca="1" si="1224"/>
        <v>2</v>
      </c>
      <c r="C357" s="75" t="str">
        <f t="shared" si="1105"/>
        <v>2</v>
      </c>
      <c r="D357" s="75">
        <f t="shared" ca="1" si="1195"/>
        <v>15</v>
      </c>
      <c r="E357" s="75">
        <f t="shared" ca="1" si="1225"/>
        <v>4</v>
      </c>
      <c r="F357" s="75" t="str">
        <f t="shared" ca="1" si="1226"/>
        <v>0</v>
      </c>
      <c r="G357" s="75" t="str">
        <f t="shared" ca="1" si="1227"/>
        <v>0</v>
      </c>
      <c r="H357" s="75" t="str">
        <f t="shared" ca="1" si="1228"/>
        <v>0</v>
      </c>
      <c r="I357" s="75" t="str">
        <f t="shared" ca="1" si="1229"/>
        <v>0</v>
      </c>
      <c r="J357" s="75" t="str">
        <f t="shared" ca="1" si="1196"/>
        <v>0</v>
      </c>
      <c r="K357" s="75" t="str">
        <f t="shared" ca="1" si="1230"/>
        <v>15.4</v>
      </c>
      <c r="L357" s="75" t="str">
        <f t="shared" ca="1" si="1231"/>
        <v>15.4</v>
      </c>
      <c r="M357" s="55" t="s">
        <v>27861</v>
      </c>
      <c r="O357" s="191" t="str">
        <f t="shared" ref="O357:O364" ca="1" si="1232">L357</f>
        <v>15.4</v>
      </c>
      <c r="P357" s="172"/>
      <c r="Q357" s="172"/>
      <c r="R357" s="683" t="s">
        <v>28483</v>
      </c>
      <c r="S357" s="172"/>
      <c r="T357" s="194"/>
      <c r="U357" s="195"/>
      <c r="V357" s="196">
        <f ca="1">IF(VALUE(C357)=1,SUMIFS(V:V,D:D,D357,M:M,"Serviço"),IF(VALUE(C357)=2,SUMIFS(V:V,D:D,D357,E:E,E357,M:M,"Serviço"),IF(VALUE(C357)=3,SUMIFS(V:V,D:D,D357,E:E,E357,F:F,F357,M:M,"Serviço"),IF(VALUE(C357)=4,SUMIFS(V:V,D:D,D357,E:E,E357,F:F,F357,G:G,G357,M:M,"Serviço"),"ERRO"))))</f>
        <v>7730.48</v>
      </c>
      <c r="W357" s="197"/>
      <c r="X357" s="205"/>
      <c r="Y357" s="173">
        <f ca="1">IF(VALUE(C357)=1,SUMIFS(Y:Y,D:D,D357,M:M,"Serviço"),IF(VALUE(C357)=2,SUMIFS(Y:Y,D:D,D357,E:E,E357,M:M,"Serviço"),IF(VALUE(C357)=3,SUMIFS(Y:Y,D:D,D357,E:E,E357,F:F,F357,M:M,"Serviço"),IF(VALUE(C357)=4,SUMIFS(Y:Y,D:D,D357,E:E,E357,F:F,F357,G:G,G357,M:M,"Serviço"),"ERRO"))))</f>
        <v>9469.58</v>
      </c>
      <c r="AB357" s="641"/>
    </row>
    <row r="358" spans="2:28" s="55" customFormat="1" ht="30">
      <c r="B358" s="378">
        <f t="shared" ca="1" si="1224"/>
        <v>3</v>
      </c>
      <c r="C358" s="378" t="str">
        <f t="shared" si="1105"/>
        <v>S</v>
      </c>
      <c r="D358" s="378">
        <f t="shared" ca="1" si="1195"/>
        <v>15</v>
      </c>
      <c r="E358" s="378">
        <f t="shared" ca="1" si="1225"/>
        <v>4</v>
      </c>
      <c r="F358" s="378" t="str">
        <f t="shared" ca="1" si="1226"/>
        <v>0</v>
      </c>
      <c r="G358" s="378" t="str">
        <f t="shared" ca="1" si="1227"/>
        <v>0</v>
      </c>
      <c r="H358" s="378" t="str">
        <f t="shared" ca="1" si="1228"/>
        <v>0</v>
      </c>
      <c r="I358" s="378" t="str">
        <f t="shared" ca="1" si="1229"/>
        <v>0</v>
      </c>
      <c r="J358" s="378">
        <f t="shared" ca="1" si="1196"/>
        <v>1</v>
      </c>
      <c r="K358" s="378" t="str">
        <f t="shared" si="1230"/>
        <v>NÃO</v>
      </c>
      <c r="L358" s="378" t="str">
        <f t="shared" ca="1" si="1231"/>
        <v>15.4.1</v>
      </c>
      <c r="M358" s="55" t="s">
        <v>27868</v>
      </c>
      <c r="O358" s="392" t="str">
        <f t="shared" ca="1" si="1232"/>
        <v>15.4.1</v>
      </c>
      <c r="P358" s="681" t="s">
        <v>29901</v>
      </c>
      <c r="Q358" s="682" t="s">
        <v>14392</v>
      </c>
      <c r="R358" s="415" t="str">
        <f>UPPER(IF(P358="CDHU",VLOOKUP(Q358,'CDHU 201-SD'!$A$1:$J$28014,2,FALSE),IF(P358="FDE",VLOOKUP(Q358,'FDE 01-26-SD'!$A$1:$J$280013,2,FALSE),IF(P358="PRÓPRIA",VLOOKUP(Q358,COMPOSIÇÃO!$1:$1048576,3,FALSE),VLOOKUP(Q358,'SINAPI 04-26-SD'!$A$1:$H$272700,2,FALSE)))))</f>
        <v>MINI-DISJUNTOR TERMOMAGNÉTICO, UNIPOLAR 127/220 V, CORRENTE DE 10 A ATÉ 32 A</v>
      </c>
      <c r="S358" s="414" t="str">
        <f>UPPER(IF(P358="CDHU",VLOOKUP(Q358,'CDHU 201-SD'!$A$1:$J$28014,3,FALSE),IF(P358="FDE",VLOOKUP(Q358,'FDE 01-26-SD'!$A$1:$J$280013,3,FALSE),IF(P358="PRÓPRIA",VLOOKUP(Q358,COMPOSIÇÃO!$1:$1048576,7,FALSE),VLOOKUP(Q358,'SINAPI 04-26-SD'!$A$1:$H$272700,3,FALSE)))))</f>
        <v>UN</v>
      </c>
      <c r="T358" s="393">
        <v>38</v>
      </c>
      <c r="U358" s="394">
        <f>TRUNC(IF(P358="CDHU",VLOOKUP(Q358,'CDHU 201-SD'!$A$1:$J$28014,6,FALSE),IF(P358="FDE",VLOOKUP(Q358,'FDE 01-26-SD'!$A$1:$J$280013,6,FALSE),IF(P358="PRÓPRIA",VLOOKUP(Q358,COMPOSIÇÃO!$1:$1048576,10,FALSE),VLOOKUP(Q358,'SINAPI 04-26-SD'!$A$1:$H$272700,4,FALSE)))),2)</f>
        <v>22.72</v>
      </c>
      <c r="V358" s="416">
        <f t="shared" ref="V358:V364" si="1233">TRUNC(U358*T358,2)</f>
        <v>863.36</v>
      </c>
      <c r="W358" s="395">
        <f>IF($AA358="N",BDI!$D$26,IF($AA358="D",'BDI DIFE.'!$D$26,"ERRO"))</f>
        <v>0.22500000000000001</v>
      </c>
      <c r="X358" s="379">
        <f t="shared" ref="X358:X364" si="1234">TRUNC(U358*(1+W358),2)</f>
        <v>27.83</v>
      </c>
      <c r="Y358" s="380">
        <f t="shared" ref="Y358:Y364" si="1235">TRUNC(T358*X358,2)</f>
        <v>1057.54</v>
      </c>
      <c r="Z358" s="381"/>
      <c r="AA358" s="378" t="s">
        <v>28044</v>
      </c>
      <c r="AB358" s="642"/>
    </row>
    <row r="359" spans="2:28" s="55" customFormat="1" ht="30">
      <c r="B359" s="378">
        <f t="shared" ca="1" si="1224"/>
        <v>3</v>
      </c>
      <c r="C359" s="378" t="str">
        <f t="shared" si="1105"/>
        <v>S</v>
      </c>
      <c r="D359" s="378">
        <f t="shared" ca="1" si="1195"/>
        <v>15</v>
      </c>
      <c r="E359" s="378">
        <f t="shared" ca="1" si="1225"/>
        <v>4</v>
      </c>
      <c r="F359" s="378" t="str">
        <f t="shared" ca="1" si="1226"/>
        <v>0</v>
      </c>
      <c r="G359" s="378" t="str">
        <f t="shared" ca="1" si="1227"/>
        <v>0</v>
      </c>
      <c r="H359" s="378" t="str">
        <f t="shared" ca="1" si="1228"/>
        <v>0</v>
      </c>
      <c r="I359" s="378" t="str">
        <f t="shared" ca="1" si="1229"/>
        <v>0</v>
      </c>
      <c r="J359" s="378">
        <f t="shared" ca="1" si="1196"/>
        <v>2</v>
      </c>
      <c r="K359" s="378" t="str">
        <f t="shared" si="1230"/>
        <v>NÃO</v>
      </c>
      <c r="L359" s="378" t="str">
        <f t="shared" ca="1" si="1231"/>
        <v>15.4.2</v>
      </c>
      <c r="M359" s="55" t="s">
        <v>27868</v>
      </c>
      <c r="O359" s="392" t="str">
        <f t="shared" ca="1" si="1232"/>
        <v>15.4.2</v>
      </c>
      <c r="P359" s="681" t="s">
        <v>29901</v>
      </c>
      <c r="Q359" s="682" t="s">
        <v>14396</v>
      </c>
      <c r="R359" s="415" t="str">
        <f>UPPER(IF(P359="CDHU",VLOOKUP(Q359,'CDHU 201-SD'!$A$1:$J$28014,2,FALSE),IF(P359="FDE",VLOOKUP(Q359,'FDE 01-26-SD'!$A$1:$J$280013,2,FALSE),IF(P359="PRÓPRIA",VLOOKUP(Q359,COMPOSIÇÃO!$1:$1048576,3,FALSE),VLOOKUP(Q359,'SINAPI 04-26-SD'!$A$1:$H$272700,2,FALSE)))))</f>
        <v>MINI-DISJUNTOR TERMOMAGNÉTICO, BIPOLAR 220/380 V, CORRENTE DE 10 A ATÉ 32 A</v>
      </c>
      <c r="S359" s="414" t="str">
        <f>UPPER(IF(P359="CDHU",VLOOKUP(Q359,'CDHU 201-SD'!$A$1:$J$28014,3,FALSE),IF(P359="FDE",VLOOKUP(Q359,'FDE 01-26-SD'!$A$1:$J$280013,3,FALSE),IF(P359="PRÓPRIA",VLOOKUP(Q359,COMPOSIÇÃO!$1:$1048576,7,FALSE),VLOOKUP(Q359,'SINAPI 04-26-SD'!$A$1:$H$272700,3,FALSE)))))</f>
        <v>UN</v>
      </c>
      <c r="T359" s="393">
        <v>17</v>
      </c>
      <c r="U359" s="394">
        <f>TRUNC(IF(P359="CDHU",VLOOKUP(Q359,'CDHU 201-SD'!$A$1:$J$28014,6,FALSE),IF(P359="FDE",VLOOKUP(Q359,'FDE 01-26-SD'!$A$1:$J$280013,6,FALSE),IF(P359="PRÓPRIA",VLOOKUP(Q359,COMPOSIÇÃO!$1:$1048576,10,FALSE),VLOOKUP(Q359,'SINAPI 04-26-SD'!$A$1:$H$272700,4,FALSE)))),2)</f>
        <v>54.28</v>
      </c>
      <c r="V359" s="416">
        <f t="shared" si="1233"/>
        <v>922.76</v>
      </c>
      <c r="W359" s="395">
        <f>IF($AA359="N",BDI!$D$26,IF($AA359="D",'BDI DIFE.'!$D$26,"ERRO"))</f>
        <v>0.22500000000000001</v>
      </c>
      <c r="X359" s="379">
        <f t="shared" si="1234"/>
        <v>66.489999999999995</v>
      </c>
      <c r="Y359" s="380">
        <f t="shared" si="1235"/>
        <v>1130.33</v>
      </c>
      <c r="Z359" s="381"/>
      <c r="AA359" s="378" t="s">
        <v>28044</v>
      </c>
      <c r="AB359" s="642"/>
    </row>
    <row r="360" spans="2:28" s="55" customFormat="1" ht="30">
      <c r="B360" s="378">
        <f t="shared" ref="B360:B362" ca="1" si="1236">IF(C360="S",IF(OFFSET(C360,-1,0)="S", OFFSET(B360,-1,0), OFFSET(B360,-1,0) +1 ), C360)</f>
        <v>3</v>
      </c>
      <c r="C360" s="378" t="str">
        <f t="shared" si="1105"/>
        <v>S</v>
      </c>
      <c r="D360" s="378">
        <f t="shared" ca="1" si="1195"/>
        <v>15</v>
      </c>
      <c r="E360" s="378">
        <f t="shared" ref="E360:E362" ca="1" si="1237">IF($C360="2",OFFSET(E360,-1,0) +1,IF(OFFSET(D360,-1,0)&lt;&gt;D360,"0",IF(OFFSET(E360,-1,0)="","0",OFFSET(E360,-1,0))))</f>
        <v>4</v>
      </c>
      <c r="F360" s="378" t="str">
        <f t="shared" ref="F360:F362" ca="1" si="1238">IF($C360="3",OFFSET(F360,-1,0) +1,IF(OFFSET(E360,-1,0)&lt;&gt;E360,"0",IF(OFFSET(F360,-1,0)="","0",OFFSET(F360,-1,0))))</f>
        <v>0</v>
      </c>
      <c r="G360" s="378" t="str">
        <f t="shared" ref="G360:G362" ca="1" si="1239">IF($C360="4",OFFSET(G360,-1,0) +1,IF(OFFSET(F360,-1,0)&lt;&gt;F360,"0",IF(OFFSET(G360,-1,0)="","0",OFFSET(G360,-1,0))))</f>
        <v>0</v>
      </c>
      <c r="H360" s="378" t="str">
        <f t="shared" ref="H360:H362" ca="1" si="1240">IF($C360="5",OFFSET(H360,-1,0) +1,IF(OFFSET(G360,-1,0)&lt;&gt;G360,"0",IF(OFFSET(H360,-1,0)="","0",OFFSET(H360,-1,0))))</f>
        <v>0</v>
      </c>
      <c r="I360" s="378" t="str">
        <f t="shared" ref="I360:I362" ca="1" si="1241">IF($C360="6",OFFSET(I360,-1,0) +1,IF(OFFSET(H360,-1,0)&lt;&gt;H360,"0",IF(OFFSET(I360,-1,0)="","0", OFFSET(I360,-1,0))))</f>
        <v>0</v>
      </c>
      <c r="J360" s="378">
        <f t="shared" ca="1" si="1196"/>
        <v>3</v>
      </c>
      <c r="K360" s="378" t="str">
        <f t="shared" ref="K360:K362" si="1242">IF(C360="S","NÃO", IF(C360="1", D360, IF(C360="2", D360 &amp; "." &amp; E360,IF(C360="3", D360 &amp; "." &amp; E360 &amp; "." &amp; F360, IF(C360="4", D360 &amp; "." &amp; E360 &amp; "." &amp; F360 &amp; "." &amp; G360, IF(C360="5", D360 &amp; "." &amp; E360 &amp; "." &amp; F360 &amp; "." &amp; G360 &amp; "." &amp; H360, IF(C360="6", D360 &amp; "." &amp; E360 &amp; "." &amp; F360 &amp; "." &amp; G360 &amp; "." &amp; H360 &amp; "." &amp; I360)))))))</f>
        <v>NÃO</v>
      </c>
      <c r="L360" s="378" t="str">
        <f t="shared" ref="L360:L362" ca="1" si="1243">IF(K360="NÃO",IF($B360=2,D360&amp;"."&amp;J360,IF($B360=3,D360&amp;"."&amp;E360&amp;"."&amp;J360,IF($B360=4,D360&amp;"."&amp;E360&amp;"."&amp;F360&amp;"."&amp;J360,IF($B360=5,D360&amp;"."&amp;E360&amp;"."&amp;F360&amp;"."&amp;G360&amp;"."&amp;J360,IF($B360=6,D360&amp;"."&amp;E360&amp;"."&amp;F360&amp;"."&amp;G360&amp;"."&amp;H360&amp;"."&amp;J360,IF($B360=7,D360&amp;"."&amp;E360&amp;"."&amp;F360&amp;"."&amp;G360&amp;"."&amp;H360&amp;"."&amp;I360&amp;"."&amp;J360,"FALHA")))))),K360)</f>
        <v>15.4.3</v>
      </c>
      <c r="M360" s="55" t="s">
        <v>27868</v>
      </c>
      <c r="O360" s="392" t="str">
        <f t="shared" ref="O360:O362" ca="1" si="1244">L360</f>
        <v>15.4.3</v>
      </c>
      <c r="P360" s="681" t="s">
        <v>29901</v>
      </c>
      <c r="Q360" s="682" t="s">
        <v>14404</v>
      </c>
      <c r="R360" s="415" t="str">
        <f>UPPER(IF(P360="CDHU",VLOOKUP(Q360,'CDHU 201-SD'!$A$1:$J$28014,2,FALSE),IF(P360="FDE",VLOOKUP(Q360,'FDE 01-26-SD'!$A$1:$J$280013,2,FALSE),IF(P360="PRÓPRIA",VLOOKUP(Q360,COMPOSIÇÃO!$1:$1048576,3,FALSE),VLOOKUP(Q360,'SINAPI 04-26-SD'!$A$1:$H$272700,2,FALSE)))))</f>
        <v>MINI-DISJUNTOR TERMOMAGNÉTICO, TRIPOLAR 220/380 V, CORRENTE DE 10 A ATÉ 32 A</v>
      </c>
      <c r="S360" s="414" t="str">
        <f>UPPER(IF(P360="CDHU",VLOOKUP(Q360,'CDHU 201-SD'!$A$1:$J$28014,3,FALSE),IF(P360="FDE",VLOOKUP(Q360,'FDE 01-26-SD'!$A$1:$J$280013,3,FALSE),IF(P360="PRÓPRIA",VLOOKUP(Q360,COMPOSIÇÃO!$1:$1048576,7,FALSE),VLOOKUP(Q360,'SINAPI 04-26-SD'!$A$1:$H$272700,3,FALSE)))))</f>
        <v>UN</v>
      </c>
      <c r="T360" s="393">
        <v>7</v>
      </c>
      <c r="U360" s="394">
        <f>TRUNC(IF(P360="CDHU",VLOOKUP(Q360,'CDHU 201-SD'!$A$1:$J$28014,6,FALSE),IF(P360="FDE",VLOOKUP(Q360,'FDE 01-26-SD'!$A$1:$J$280013,6,FALSE),IF(P360="PRÓPRIA",VLOOKUP(Q360,COMPOSIÇÃO!$1:$1048576,10,FALSE),VLOOKUP(Q360,'SINAPI 04-26-SD'!$A$1:$H$272700,4,FALSE)))),2)</f>
        <v>69.61</v>
      </c>
      <c r="V360" s="416">
        <f t="shared" ref="V360:V362" si="1245">TRUNC(U360*T360,2)</f>
        <v>487.27</v>
      </c>
      <c r="W360" s="395">
        <f>IF($AA360="N",BDI!$D$26,IF($AA360="D",'BDI DIFE.'!$D$26,"ERRO"))</f>
        <v>0.22500000000000001</v>
      </c>
      <c r="X360" s="379">
        <f t="shared" ref="X360:X362" si="1246">TRUNC(U360*(1+W360),2)</f>
        <v>85.27</v>
      </c>
      <c r="Y360" s="380">
        <f t="shared" ref="Y360:Y362" si="1247">TRUNC(T360*X360,2)</f>
        <v>596.89</v>
      </c>
      <c r="Z360" s="381"/>
      <c r="AA360" s="378" t="s">
        <v>28044</v>
      </c>
      <c r="AB360" s="642"/>
    </row>
    <row r="361" spans="2:28" s="55" customFormat="1" ht="45">
      <c r="B361" s="378">
        <f t="shared" ref="B361" ca="1" si="1248">IF(C361="S",IF(OFFSET(C361,-1,0)="S", OFFSET(B361,-1,0), OFFSET(B361,-1,0) +1 ), C361)</f>
        <v>3</v>
      </c>
      <c r="C361" s="378" t="str">
        <f t="shared" si="1105"/>
        <v>S</v>
      </c>
      <c r="D361" s="378">
        <f t="shared" ca="1" si="1195"/>
        <v>15</v>
      </c>
      <c r="E361" s="378">
        <f t="shared" ref="E361" ca="1" si="1249">IF($C361="2",OFFSET(E361,-1,0) +1,IF(OFFSET(D361,-1,0)&lt;&gt;D361,"0",IF(OFFSET(E361,-1,0)="","0",OFFSET(E361,-1,0))))</f>
        <v>4</v>
      </c>
      <c r="F361" s="378" t="str">
        <f t="shared" ref="F361" ca="1" si="1250">IF($C361="3",OFFSET(F361,-1,0) +1,IF(OFFSET(E361,-1,0)&lt;&gt;E361,"0",IF(OFFSET(F361,-1,0)="","0",OFFSET(F361,-1,0))))</f>
        <v>0</v>
      </c>
      <c r="G361" s="378" t="str">
        <f t="shared" ref="G361" ca="1" si="1251">IF($C361="4",OFFSET(G361,-1,0) +1,IF(OFFSET(F361,-1,0)&lt;&gt;F361,"0",IF(OFFSET(G361,-1,0)="","0",OFFSET(G361,-1,0))))</f>
        <v>0</v>
      </c>
      <c r="H361" s="378" t="str">
        <f t="shared" ref="H361" ca="1" si="1252">IF($C361="5",OFFSET(H361,-1,0) +1,IF(OFFSET(G361,-1,0)&lt;&gt;G361,"0",IF(OFFSET(H361,-1,0)="","0",OFFSET(H361,-1,0))))</f>
        <v>0</v>
      </c>
      <c r="I361" s="378" t="str">
        <f t="shared" ref="I361" ca="1" si="1253">IF($C361="6",OFFSET(I361,-1,0) +1,IF(OFFSET(H361,-1,0)&lt;&gt;H361,"0",IF(OFFSET(I361,-1,0)="","0", OFFSET(I361,-1,0))))</f>
        <v>0</v>
      </c>
      <c r="J361" s="378">
        <f t="shared" ca="1" si="1196"/>
        <v>4</v>
      </c>
      <c r="K361" s="378" t="str">
        <f t="shared" ref="K361" si="1254">IF(C361="S","NÃO", IF(C361="1", D361, IF(C361="2", D361 &amp; "." &amp; E361,IF(C361="3", D361 &amp; "." &amp; E361 &amp; "." &amp; F361, IF(C361="4", D361 &amp; "." &amp; E361 &amp; "." &amp; F361 &amp; "." &amp; G361, IF(C361="5", D361 &amp; "." &amp; E361 &amp; "." &amp; F361 &amp; "." &amp; G361 &amp; "." &amp; H361, IF(C361="6", D361 &amp; "." &amp; E361 &amp; "." &amp; F361 &amp; "." &amp; G361 &amp; "." &amp; H361 &amp; "." &amp; I361)))))))</f>
        <v>NÃO</v>
      </c>
      <c r="L361" s="378" t="str">
        <f t="shared" ref="L361" ca="1" si="1255">IF(K361="NÃO",IF($B361=2,D361&amp;"."&amp;J361,IF($B361=3,D361&amp;"."&amp;E361&amp;"."&amp;J361,IF($B361=4,D361&amp;"."&amp;E361&amp;"."&amp;F361&amp;"."&amp;J361,IF($B361=5,D361&amp;"."&amp;E361&amp;"."&amp;F361&amp;"."&amp;G361&amp;"."&amp;J361,IF($B361=6,D361&amp;"."&amp;E361&amp;"."&amp;F361&amp;"."&amp;G361&amp;"."&amp;H361&amp;"."&amp;J361,IF($B361=7,D361&amp;"."&amp;E361&amp;"."&amp;F361&amp;"."&amp;G361&amp;"."&amp;H361&amp;"."&amp;I361&amp;"."&amp;J361,"FALHA")))))),K361)</f>
        <v>15.4.4</v>
      </c>
      <c r="M361" s="55" t="s">
        <v>27868</v>
      </c>
      <c r="O361" s="392" t="str">
        <f t="shared" ref="O361" ca="1" si="1256">L361</f>
        <v>15.4.4</v>
      </c>
      <c r="P361" s="681" t="s">
        <v>29901</v>
      </c>
      <c r="Q361" s="682" t="s">
        <v>14576</v>
      </c>
      <c r="R361" s="415" t="str">
        <f>UPPER(IF(P361="CDHU",VLOOKUP(Q361,'CDHU 201-SD'!$A$1:$J$28014,2,FALSE),IF(P361="FDE",VLOOKUP(Q361,'FDE 01-26-SD'!$A$1:$J$280013,2,FALSE),IF(P361="PRÓPRIA",VLOOKUP(Q361,COMPOSIÇÃO!$1:$1048576,3,FALSE),VLOOKUP(Q361,'SINAPI 04-26-SD'!$A$1:$H$272700,2,FALSE)))))</f>
        <v>DISJUNTOR EM CAIXA MOLDADA TRIPOLAR, TÉRMICO E MAGNÉTICO FIXOS, TENSÃO DE ISOLAMENTO 480/690V, DE 70A ATÉ 150A</v>
      </c>
      <c r="S361" s="414" t="str">
        <f>UPPER(IF(P361="CDHU",VLOOKUP(Q361,'CDHU 201-SD'!$A$1:$J$28014,3,FALSE),IF(P361="FDE",VLOOKUP(Q361,'FDE 01-26-SD'!$A$1:$J$280013,3,FALSE),IF(P361="PRÓPRIA",VLOOKUP(Q361,COMPOSIÇÃO!$1:$1048576,7,FALSE),VLOOKUP(Q361,'SINAPI 04-26-SD'!$A$1:$H$272700,3,FALSE)))))</f>
        <v>UN</v>
      </c>
      <c r="T361" s="393">
        <v>4</v>
      </c>
      <c r="U361" s="394">
        <f>TRUNC(IF(P361="CDHU",VLOOKUP(Q361,'CDHU 201-SD'!$A$1:$J$28014,6,FALSE),IF(P361="FDE",VLOOKUP(Q361,'FDE 01-26-SD'!$A$1:$J$280013,6,FALSE),IF(P361="PRÓPRIA",VLOOKUP(Q361,COMPOSIÇÃO!$1:$1048576,10,FALSE),VLOOKUP(Q361,'SINAPI 04-26-SD'!$A$1:$H$272700,4,FALSE)))),2)</f>
        <v>551.5</v>
      </c>
      <c r="V361" s="416">
        <f t="shared" ref="V361" si="1257">TRUNC(U361*T361,2)</f>
        <v>2206</v>
      </c>
      <c r="W361" s="395">
        <f>IF($AA361="N",BDI!$D$26,IF($AA361="D",'BDI DIFE.'!$D$26,"ERRO"))</f>
        <v>0.22500000000000001</v>
      </c>
      <c r="X361" s="379">
        <f t="shared" ref="X361" si="1258">TRUNC(U361*(1+W361),2)</f>
        <v>675.58</v>
      </c>
      <c r="Y361" s="380">
        <f t="shared" ref="Y361" si="1259">TRUNC(T361*X361,2)</f>
        <v>2702.32</v>
      </c>
      <c r="Z361" s="381"/>
      <c r="AA361" s="378" t="s">
        <v>28044</v>
      </c>
      <c r="AB361" s="642"/>
    </row>
    <row r="362" spans="2:28" s="55" customFormat="1" ht="45">
      <c r="B362" s="378">
        <f t="shared" ca="1" si="1236"/>
        <v>3</v>
      </c>
      <c r="C362" s="378" t="str">
        <f t="shared" si="1105"/>
        <v>S</v>
      </c>
      <c r="D362" s="378">
        <f t="shared" ca="1" si="1195"/>
        <v>15</v>
      </c>
      <c r="E362" s="378">
        <f t="shared" ca="1" si="1237"/>
        <v>4</v>
      </c>
      <c r="F362" s="378" t="str">
        <f t="shared" ca="1" si="1238"/>
        <v>0</v>
      </c>
      <c r="G362" s="378" t="str">
        <f t="shared" ca="1" si="1239"/>
        <v>0</v>
      </c>
      <c r="H362" s="378" t="str">
        <f t="shared" ca="1" si="1240"/>
        <v>0</v>
      </c>
      <c r="I362" s="378" t="str">
        <f t="shared" ca="1" si="1241"/>
        <v>0</v>
      </c>
      <c r="J362" s="378">
        <f t="shared" ca="1" si="1196"/>
        <v>5</v>
      </c>
      <c r="K362" s="378" t="str">
        <f t="shared" si="1242"/>
        <v>NÃO</v>
      </c>
      <c r="L362" s="378" t="str">
        <f t="shared" ca="1" si="1243"/>
        <v>15.4.5</v>
      </c>
      <c r="M362" s="55" t="s">
        <v>27868</v>
      </c>
      <c r="O362" s="392" t="str">
        <f t="shared" ca="1" si="1244"/>
        <v>15.4.5</v>
      </c>
      <c r="P362" s="681" t="s">
        <v>29901</v>
      </c>
      <c r="Q362" s="682" t="s">
        <v>14578</v>
      </c>
      <c r="R362" s="415" t="str">
        <f>UPPER(IF(P362="CDHU",VLOOKUP(Q362,'CDHU 201-SD'!$A$1:$J$28014,2,FALSE),IF(P362="FDE",VLOOKUP(Q362,'FDE 01-26-SD'!$A$1:$J$280013,2,FALSE),IF(P362="PRÓPRIA",VLOOKUP(Q362,COMPOSIÇÃO!$1:$1048576,3,FALSE),VLOOKUP(Q362,'SINAPI 04-26-SD'!$A$1:$H$272700,2,FALSE)))))</f>
        <v>DISJUNTOR EM CAIXA MOLDADA TRIPOLAR, TÉRMICO E MAGNÉTICO FIXOS, TENSÃO DE ISOLAMENTO 415/690V, DE 175A A 250A</v>
      </c>
      <c r="S362" s="414" t="str">
        <f>UPPER(IF(P362="CDHU",VLOOKUP(Q362,'CDHU 201-SD'!$A$1:$J$28014,3,FALSE),IF(P362="FDE",VLOOKUP(Q362,'FDE 01-26-SD'!$A$1:$J$280013,3,FALSE),IF(P362="PRÓPRIA",VLOOKUP(Q362,COMPOSIÇÃO!$1:$1048576,7,FALSE),VLOOKUP(Q362,'SINAPI 04-26-SD'!$A$1:$H$272700,3,FALSE)))))</f>
        <v>UN</v>
      </c>
      <c r="T362" s="393">
        <v>1</v>
      </c>
      <c r="U362" s="394">
        <f>TRUNC(IF(P362="CDHU",VLOOKUP(Q362,'CDHU 201-SD'!$A$1:$J$28014,6,FALSE),IF(P362="FDE",VLOOKUP(Q362,'FDE 01-26-SD'!$A$1:$J$280013,6,FALSE),IF(P362="PRÓPRIA",VLOOKUP(Q362,COMPOSIÇÃO!$1:$1048576,10,FALSE),VLOOKUP(Q362,'SINAPI 04-26-SD'!$A$1:$H$272700,4,FALSE)))),2)</f>
        <v>514.39</v>
      </c>
      <c r="V362" s="416">
        <f t="shared" si="1245"/>
        <v>514.39</v>
      </c>
      <c r="W362" s="395">
        <f>IF($AA362="N",BDI!$D$26,IF($AA362="D",'BDI DIFE.'!$D$26,"ERRO"))</f>
        <v>0.22500000000000001</v>
      </c>
      <c r="X362" s="379">
        <f t="shared" si="1246"/>
        <v>630.12</v>
      </c>
      <c r="Y362" s="380">
        <f t="shared" si="1247"/>
        <v>630.12</v>
      </c>
      <c r="Z362" s="381"/>
      <c r="AA362" s="378" t="s">
        <v>28044</v>
      </c>
      <c r="AB362" s="642"/>
    </row>
    <row r="363" spans="2:28" s="55" customFormat="1" ht="30">
      <c r="B363" s="378">
        <f t="shared" ca="1" si="1224"/>
        <v>3</v>
      </c>
      <c r="C363" s="378" t="str">
        <f t="shared" si="1105"/>
        <v>S</v>
      </c>
      <c r="D363" s="378">
        <f t="shared" ca="1" si="1195"/>
        <v>15</v>
      </c>
      <c r="E363" s="378">
        <f t="shared" ca="1" si="1225"/>
        <v>4</v>
      </c>
      <c r="F363" s="378" t="str">
        <f t="shared" ca="1" si="1226"/>
        <v>0</v>
      </c>
      <c r="G363" s="378" t="str">
        <f t="shared" ca="1" si="1227"/>
        <v>0</v>
      </c>
      <c r="H363" s="378" t="str">
        <f t="shared" ca="1" si="1228"/>
        <v>0</v>
      </c>
      <c r="I363" s="378" t="str">
        <f t="shared" ca="1" si="1229"/>
        <v>0</v>
      </c>
      <c r="J363" s="378">
        <f t="shared" ca="1" si="1196"/>
        <v>6</v>
      </c>
      <c r="K363" s="378" t="str">
        <f t="shared" si="1230"/>
        <v>NÃO</v>
      </c>
      <c r="L363" s="378" t="str">
        <f t="shared" ca="1" si="1231"/>
        <v>15.4.6</v>
      </c>
      <c r="M363" s="55" t="s">
        <v>27868</v>
      </c>
      <c r="O363" s="392" t="str">
        <f t="shared" ca="1" si="1232"/>
        <v>15.4.6</v>
      </c>
      <c r="P363" s="681" t="s">
        <v>29901</v>
      </c>
      <c r="Q363" s="682" t="s">
        <v>14560</v>
      </c>
      <c r="R363" s="415" t="str">
        <f>UPPER(IF(P363="CDHU",VLOOKUP(Q363,'CDHU 201-SD'!$A$1:$J$28014,2,FALSE),IF(P363="FDE",VLOOKUP(Q363,'FDE 01-26-SD'!$A$1:$J$280013,2,FALSE),IF(P363="PRÓPRIA",VLOOKUP(Q363,COMPOSIÇÃO!$1:$1048576,3,FALSE),VLOOKUP(Q363,'SINAPI 04-26-SD'!$A$1:$H$272700,2,FALSE)))))</f>
        <v>SUPRESSOR DE SURTO MONOFÁSICO, CORRENTE NOMINAL 4 A 11 KA, IMAX. DE SURTO 12 ATÉ 15 KA</v>
      </c>
      <c r="S363" s="414" t="str">
        <f>UPPER(IF(P363="CDHU",VLOOKUP(Q363,'CDHU 201-SD'!$A$1:$J$28014,3,FALSE),IF(P363="FDE",VLOOKUP(Q363,'FDE 01-26-SD'!$A$1:$J$280013,3,FALSE),IF(P363="PRÓPRIA",VLOOKUP(Q363,COMPOSIÇÃO!$1:$1048576,7,FALSE),VLOOKUP(Q363,'SINAPI 04-26-SD'!$A$1:$H$272700,3,FALSE)))))</f>
        <v>UN</v>
      </c>
      <c r="T363" s="393">
        <v>20</v>
      </c>
      <c r="U363" s="394">
        <f>TRUNC(IF(P363="CDHU",VLOOKUP(Q363,'CDHU 201-SD'!$A$1:$J$28014,6,FALSE),IF(P363="FDE",VLOOKUP(Q363,'FDE 01-26-SD'!$A$1:$J$280013,6,FALSE),IF(P363="PRÓPRIA",VLOOKUP(Q363,COMPOSIÇÃO!$1:$1048576,10,FALSE),VLOOKUP(Q363,'SINAPI 04-26-SD'!$A$1:$H$272700,4,FALSE)))),2)</f>
        <v>78.86</v>
      </c>
      <c r="V363" s="416">
        <f t="shared" si="1233"/>
        <v>1577.2</v>
      </c>
      <c r="W363" s="395">
        <f>IF($AA363="N",BDI!$D$26,IF($AA363="D",'BDI DIFE.'!$D$26,"ERRO"))</f>
        <v>0.22500000000000001</v>
      </c>
      <c r="X363" s="379">
        <f t="shared" si="1234"/>
        <v>96.6</v>
      </c>
      <c r="Y363" s="380">
        <f t="shared" si="1235"/>
        <v>1932</v>
      </c>
      <c r="Z363" s="381"/>
      <c r="AA363" s="378" t="s">
        <v>28044</v>
      </c>
      <c r="AB363" s="642"/>
    </row>
    <row r="364" spans="2:28" s="55" customFormat="1" ht="16" thickBot="1">
      <c r="B364" s="378">
        <f t="shared" ca="1" si="1224"/>
        <v>3</v>
      </c>
      <c r="C364" s="378" t="str">
        <f t="shared" si="1105"/>
        <v>S</v>
      </c>
      <c r="D364" s="378">
        <f t="shared" ca="1" si="1195"/>
        <v>15</v>
      </c>
      <c r="E364" s="378">
        <f t="shared" ca="1" si="1225"/>
        <v>4</v>
      </c>
      <c r="F364" s="378" t="str">
        <f t="shared" ca="1" si="1226"/>
        <v>0</v>
      </c>
      <c r="G364" s="378" t="str">
        <f t="shared" ca="1" si="1227"/>
        <v>0</v>
      </c>
      <c r="H364" s="378" t="str">
        <f t="shared" ca="1" si="1228"/>
        <v>0</v>
      </c>
      <c r="I364" s="378" t="str">
        <f t="shared" ca="1" si="1229"/>
        <v>0</v>
      </c>
      <c r="J364" s="378">
        <f t="shared" ca="1" si="1196"/>
        <v>7</v>
      </c>
      <c r="K364" s="378" t="str">
        <f t="shared" si="1230"/>
        <v>NÃO</v>
      </c>
      <c r="L364" s="378" t="str">
        <f t="shared" ca="1" si="1231"/>
        <v>15.4.7</v>
      </c>
      <c r="M364" s="55" t="s">
        <v>27868</v>
      </c>
      <c r="O364" s="392" t="str">
        <f t="shared" ca="1" si="1232"/>
        <v>15.4.7</v>
      </c>
      <c r="P364" s="681" t="s">
        <v>29901</v>
      </c>
      <c r="Q364" s="682" t="s">
        <v>14496</v>
      </c>
      <c r="R364" s="415" t="str">
        <f>UPPER(IF(P364="CDHU",VLOOKUP(Q364,'CDHU 201-SD'!$A$1:$J$28014,2,FALSE),IF(P364="FDE",VLOOKUP(Q364,'FDE 01-26-SD'!$A$1:$J$280013,2,FALSE),IF(P364="PRÓPRIA",VLOOKUP(Q364,COMPOSIÇÃO!$1:$1048576,3,FALSE),VLOOKUP(Q364,'SINAPI 04-26-SD'!$A$1:$H$272700,2,FALSE)))))</f>
        <v>DISPOSITIVO DIFERENCIAL RESIDUAL DE 63 A X 30 MA - 4 POLOS</v>
      </c>
      <c r="S364" s="414" t="str">
        <f>UPPER(IF(P364="CDHU",VLOOKUP(Q364,'CDHU 201-SD'!$A$1:$J$28014,3,FALSE),IF(P364="FDE",VLOOKUP(Q364,'FDE 01-26-SD'!$A$1:$J$280013,3,FALSE),IF(P364="PRÓPRIA",VLOOKUP(Q364,COMPOSIÇÃO!$1:$1048576,7,FALSE),VLOOKUP(Q364,'SINAPI 04-26-SD'!$A$1:$H$272700,3,FALSE)))))</f>
        <v>UN</v>
      </c>
      <c r="T364" s="393">
        <v>3</v>
      </c>
      <c r="U364" s="394">
        <f>TRUNC(IF(P364="CDHU",VLOOKUP(Q364,'CDHU 201-SD'!$A$1:$J$28014,6,FALSE),IF(P364="FDE",VLOOKUP(Q364,'FDE 01-26-SD'!$A$1:$J$280013,6,FALSE),IF(P364="PRÓPRIA",VLOOKUP(Q364,COMPOSIÇÃO!$1:$1048576,10,FALSE),VLOOKUP(Q364,'SINAPI 04-26-SD'!$A$1:$H$272700,4,FALSE)))),2)</f>
        <v>386.5</v>
      </c>
      <c r="V364" s="416">
        <f t="shared" si="1233"/>
        <v>1159.5</v>
      </c>
      <c r="W364" s="395">
        <f>IF($AA364="N",BDI!$D$26,IF($AA364="D",'BDI DIFE.'!$D$26,"ERRO"))</f>
        <v>0.22500000000000001</v>
      </c>
      <c r="X364" s="379">
        <f t="shared" si="1234"/>
        <v>473.46</v>
      </c>
      <c r="Y364" s="380">
        <f t="shared" si="1235"/>
        <v>1420.38</v>
      </c>
      <c r="Z364" s="381"/>
      <c r="AA364" s="378" t="s">
        <v>28044</v>
      </c>
      <c r="AB364" s="642"/>
    </row>
    <row r="365" spans="2:28" s="55" customFormat="1" ht="16" thickBot="1">
      <c r="B365" s="378" t="str">
        <f t="shared" ref="B365:B373" ca="1" si="1260">IF(C365="S",IF(OFFSET(C365,-1,0)="S", OFFSET(B365,-1,0), OFFSET(B365,-1,0) +1 ), C365)</f>
        <v/>
      </c>
      <c r="C365" s="378" t="str">
        <f t="shared" si="1105"/>
        <v/>
      </c>
      <c r="D365" s="378">
        <f t="shared" ca="1" si="1195"/>
        <v>15</v>
      </c>
      <c r="E365" s="378">
        <f t="shared" ref="E365:E373" ca="1" si="1261">IF($C365="2",OFFSET(E365,-1,0) +1,IF(OFFSET(D365,-1,0)&lt;&gt;D365,"0",IF(OFFSET(E365,-1,0)="","0",OFFSET(E365,-1,0))))</f>
        <v>4</v>
      </c>
      <c r="F365" s="378" t="str">
        <f t="shared" ref="F365:F373" ca="1" si="1262">IF($C365="3",OFFSET(F365,-1,0) +1,IF(OFFSET(E365,-1,0)&lt;&gt;E365,"0",IF(OFFSET(F365,-1,0)="","0",OFFSET(F365,-1,0))))</f>
        <v>0</v>
      </c>
      <c r="G365" s="378" t="str">
        <f t="shared" ref="G365:G373" ca="1" si="1263">IF($C365="4",OFFSET(G365,-1,0) +1,IF(OFFSET(F365,-1,0)&lt;&gt;F365,"0",IF(OFFSET(G365,-1,0)="","0",OFFSET(G365,-1,0))))</f>
        <v>0</v>
      </c>
      <c r="H365" s="378" t="str">
        <f t="shared" ref="H365:H373" ca="1" si="1264">IF($C365="5",OFFSET(H365,-1,0) +1,IF(OFFSET(G365,-1,0)&lt;&gt;G365,"0",IF(OFFSET(H365,-1,0)="","0",OFFSET(H365,-1,0))))</f>
        <v>0</v>
      </c>
      <c r="I365" s="378" t="str">
        <f t="shared" ref="I365:I373" ca="1" si="1265">IF($C365="6",OFFSET(I365,-1,0) +1,IF(OFFSET(H365,-1,0)&lt;&gt;H365,"0",IF(OFFSET(I365,-1,0)="","0", OFFSET(I365,-1,0))))</f>
        <v>0</v>
      </c>
      <c r="J365" s="378" t="str">
        <f t="shared" ca="1" si="1196"/>
        <v>0</v>
      </c>
      <c r="K365" s="378" t="b">
        <f t="shared" ref="K365:K373" si="1266">IF(C365="S","NÃO", IF(C365="1", D365, IF(C365="2", D365 &amp; "." &amp; E365,IF(C365="3", D365 &amp; "." &amp; E365 &amp; "." &amp; F365, IF(C365="4", D365 &amp; "." &amp; E365 &amp; "." &amp; F365 &amp; "." &amp; G365, IF(C365="5", D365 &amp; "." &amp; E365 &amp; "." &amp; F365 &amp; "." &amp; G365 &amp; "." &amp; H365, IF(C365="6", D365 &amp; "." &amp; E365 &amp; "." &amp; F365 &amp; "." &amp; G365 &amp; "." &amp; H365 &amp; "." &amp; I365)))))))</f>
        <v>0</v>
      </c>
      <c r="L365" s="378" t="b">
        <f t="shared" ref="L365:L373" si="1267">IF(K365="NÃO",IF($B365=2,D365&amp;"."&amp;J365,IF($B365=3,D365&amp;"."&amp;E365&amp;"."&amp;J365,IF($B365=4,D365&amp;"."&amp;E365&amp;"."&amp;F365&amp;"."&amp;J365,IF($B365=5,D365&amp;"."&amp;E365&amp;"."&amp;F365&amp;"."&amp;G365&amp;"."&amp;J365,IF($B365=6,D365&amp;"."&amp;E365&amp;"."&amp;F365&amp;"."&amp;G365&amp;"."&amp;H365&amp;"."&amp;J365,IF($B365=7,D365&amp;"."&amp;E365&amp;"."&amp;F365&amp;"."&amp;G365&amp;"."&amp;H365&amp;"."&amp;I365&amp;"."&amp;J365,"FALHA")))))),K365)</f>
        <v>0</v>
      </c>
      <c r="O365" s="192"/>
      <c r="P365" s="387"/>
      <c r="Q365" s="387"/>
      <c r="R365" s="377"/>
      <c r="S365" s="387"/>
      <c r="T365" s="363"/>
      <c r="U365" s="388"/>
      <c r="V365" s="389"/>
      <c r="W365" s="389"/>
      <c r="X365" s="389"/>
      <c r="Y365" s="390"/>
      <c r="AB365" s="642"/>
    </row>
    <row r="366" spans="2:28" s="75" customFormat="1" ht="16" thickBot="1">
      <c r="B366" s="75" t="str">
        <f t="shared" ca="1" si="1260"/>
        <v>2</v>
      </c>
      <c r="C366" s="75" t="str">
        <f t="shared" si="1105"/>
        <v>2</v>
      </c>
      <c r="D366" s="75">
        <f t="shared" ca="1" si="1195"/>
        <v>15</v>
      </c>
      <c r="E366" s="75">
        <f t="shared" ca="1" si="1261"/>
        <v>5</v>
      </c>
      <c r="F366" s="75" t="str">
        <f t="shared" ca="1" si="1262"/>
        <v>0</v>
      </c>
      <c r="G366" s="75" t="str">
        <f t="shared" ca="1" si="1263"/>
        <v>0</v>
      </c>
      <c r="H366" s="75" t="str">
        <f t="shared" ca="1" si="1264"/>
        <v>0</v>
      </c>
      <c r="I366" s="75" t="str">
        <f t="shared" ca="1" si="1265"/>
        <v>0</v>
      </c>
      <c r="J366" s="75" t="str">
        <f t="shared" ca="1" si="1196"/>
        <v>0</v>
      </c>
      <c r="K366" s="75" t="str">
        <f t="shared" ca="1" si="1266"/>
        <v>15.5</v>
      </c>
      <c r="L366" s="75" t="str">
        <f t="shared" ca="1" si="1267"/>
        <v>15.5</v>
      </c>
      <c r="M366" s="55" t="s">
        <v>27861</v>
      </c>
      <c r="O366" s="191" t="str">
        <f t="shared" ref="O366:O373" ca="1" si="1268">L366</f>
        <v>15.5</v>
      </c>
      <c r="P366" s="172"/>
      <c r="Q366" s="172"/>
      <c r="R366" s="683" t="s">
        <v>28484</v>
      </c>
      <c r="S366" s="172"/>
      <c r="T366" s="194"/>
      <c r="U366" s="195"/>
      <c r="V366" s="196">
        <f ca="1">IF(VALUE(C366)=1,SUMIFS(V:V,D:D,D366,M:M,"Serviço"),IF(VALUE(C366)=2,SUMIFS(V:V,D:D,D366,E:E,E366,M:M,"Serviço"),IF(VALUE(C366)=3,SUMIFS(V:V,D:D,D366,E:E,E366,F:F,F366,M:M,"Serviço"),IF(VALUE(C366)=4,SUMIFS(V:V,D:D,D366,E:E,E366,F:F,F366,G:G,G366,M:M,"Serviço"),"ERRO"))))</f>
        <v>96972.02</v>
      </c>
      <c r="W366" s="197"/>
      <c r="X366" s="205"/>
      <c r="Y366" s="173">
        <f ca="1">IF(VALUE(C366)=1,SUMIFS(Y:Y,D:D,D366,M:M,"Serviço"),IF(VALUE(C366)=2,SUMIFS(Y:Y,D:D,D366,E:E,E366,M:M,"Serviço"),IF(VALUE(C366)=3,SUMIFS(Y:Y,D:D,D366,E:E,E366,F:F,F366,M:M,"Serviço"),IF(VALUE(C366)=4,SUMIFS(Y:Y,D:D,D366,E:E,E366,F:F,F366,G:G,G366,M:M,"Serviço"),"ERRO"))))</f>
        <v>118745.35999999999</v>
      </c>
      <c r="AB366" s="641"/>
    </row>
    <row r="367" spans="2:28" s="55" customFormat="1" ht="30">
      <c r="B367" s="378">
        <f t="shared" ref="B367:B370" ca="1" si="1269">IF(C367="S",IF(OFFSET(C367,-1,0)="S", OFFSET(B367,-1,0), OFFSET(B367,-1,0) +1 ), C367)</f>
        <v>3</v>
      </c>
      <c r="C367" s="378" t="str">
        <f t="shared" si="1105"/>
        <v>S</v>
      </c>
      <c r="D367" s="378">
        <f t="shared" ca="1" si="1195"/>
        <v>15</v>
      </c>
      <c r="E367" s="378">
        <f t="shared" ref="E367:E370" ca="1" si="1270">IF($C367="2",OFFSET(E367,-1,0) +1,IF(OFFSET(D367,-1,0)&lt;&gt;D367,"0",IF(OFFSET(E367,-1,0)="","0",OFFSET(E367,-1,0))))</f>
        <v>5</v>
      </c>
      <c r="F367" s="378" t="str">
        <f t="shared" ref="F367:F370" ca="1" si="1271">IF($C367="3",OFFSET(F367,-1,0) +1,IF(OFFSET(E367,-1,0)&lt;&gt;E367,"0",IF(OFFSET(F367,-1,0)="","0",OFFSET(F367,-1,0))))</f>
        <v>0</v>
      </c>
      <c r="G367" s="378" t="str">
        <f t="shared" ref="G367:G370" ca="1" si="1272">IF($C367="4",OFFSET(G367,-1,0) +1,IF(OFFSET(F367,-1,0)&lt;&gt;F367,"0",IF(OFFSET(G367,-1,0)="","0",OFFSET(G367,-1,0))))</f>
        <v>0</v>
      </c>
      <c r="H367" s="378" t="str">
        <f t="shared" ref="H367:H370" ca="1" si="1273">IF($C367="5",OFFSET(H367,-1,0) +1,IF(OFFSET(G367,-1,0)&lt;&gt;G367,"0",IF(OFFSET(H367,-1,0)="","0",OFFSET(H367,-1,0))))</f>
        <v>0</v>
      </c>
      <c r="I367" s="378" t="str">
        <f t="shared" ref="I367:I370" ca="1" si="1274">IF($C367="6",OFFSET(I367,-1,0) +1,IF(OFFSET(H367,-1,0)&lt;&gt;H367,"0",IF(OFFSET(I367,-1,0)="","0", OFFSET(I367,-1,0))))</f>
        <v>0</v>
      </c>
      <c r="J367" s="378">
        <f t="shared" ca="1" si="1196"/>
        <v>1</v>
      </c>
      <c r="K367" s="378" t="str">
        <f t="shared" ref="K367:K370" si="1275">IF(C367="S","NÃO", IF(C367="1", D367, IF(C367="2", D367 &amp; "." &amp; E367,IF(C367="3", D367 &amp; "." &amp; E367 &amp; "." &amp; F367, IF(C367="4", D367 &amp; "." &amp; E367 &amp; "." &amp; F367 &amp; "." &amp; G367, IF(C367="5", D367 &amp; "." &amp; E367 &amp; "." &amp; F367 &amp; "." &amp; G367 &amp; "." &amp; H367, IF(C367="6", D367 &amp; "." &amp; E367 &amp; "." &amp; F367 &amp; "." &amp; G367 &amp; "." &amp; H367 &amp; "." &amp; I367)))))))</f>
        <v>NÃO</v>
      </c>
      <c r="L367" s="378" t="str">
        <f t="shared" ref="L367:L370" ca="1" si="1276">IF(K367="NÃO",IF($B367=2,D367&amp;"."&amp;J367,IF($B367=3,D367&amp;"."&amp;E367&amp;"."&amp;J367,IF($B367=4,D367&amp;"."&amp;E367&amp;"."&amp;F367&amp;"."&amp;J367,IF($B367=5,D367&amp;"."&amp;E367&amp;"."&amp;F367&amp;"."&amp;G367&amp;"."&amp;J367,IF($B367=6,D367&amp;"."&amp;E367&amp;"."&amp;F367&amp;"."&amp;G367&amp;"."&amp;H367&amp;"."&amp;J367,IF($B367=7,D367&amp;"."&amp;E367&amp;"."&amp;F367&amp;"."&amp;G367&amp;"."&amp;H367&amp;"."&amp;I367&amp;"."&amp;J367,"FALHA")))))),K367)</f>
        <v>15.5.1</v>
      </c>
      <c r="M367" s="55" t="s">
        <v>27868</v>
      </c>
      <c r="O367" s="392" t="str">
        <f t="shared" ref="O367:O370" ca="1" si="1277">L367</f>
        <v>15.5.1</v>
      </c>
      <c r="P367" s="681" t="s">
        <v>29901</v>
      </c>
      <c r="Q367" s="682" t="s">
        <v>14925</v>
      </c>
      <c r="R367" s="415" t="str">
        <f>UPPER(IF(P367="CDHU",VLOOKUP(Q367,'CDHU 201-SD'!$A$1:$J$28014,2,FALSE),IF(P367="FDE",VLOOKUP(Q367,'FDE 01-26-SD'!$A$1:$J$280013,2,FALSE),IF(P367="PRÓPRIA",VLOOKUP(Q367,COMPOSIÇÃO!$1:$1048576,3,FALSE),VLOOKUP(Q367,'SINAPI 04-26-SD'!$A$1:$H$272700,2,FALSE)))))</f>
        <v>CABO DE COBRE DE 2,5 MM², ISOLAMENTO 750 V - ISOLAÇÃO EM PVC 70°C</v>
      </c>
      <c r="S367" s="414" t="str">
        <f>UPPER(IF(P367="CDHU",VLOOKUP(Q367,'CDHU 201-SD'!$A$1:$J$28014,3,FALSE),IF(P367="FDE",VLOOKUP(Q367,'FDE 01-26-SD'!$A$1:$J$280013,3,FALSE),IF(P367="PRÓPRIA",VLOOKUP(Q367,COMPOSIÇÃO!$1:$1048576,7,FALSE),VLOOKUP(Q367,'SINAPI 04-26-SD'!$A$1:$H$272700,3,FALSE)))))</f>
        <v>M</v>
      </c>
      <c r="T367" s="393">
        <v>6060.9</v>
      </c>
      <c r="U367" s="394">
        <f>TRUNC(IF(P367="CDHU",VLOOKUP(Q367,'CDHU 201-SD'!$A$1:$J$28014,6,FALSE),IF(P367="FDE",VLOOKUP(Q367,'FDE 01-26-SD'!$A$1:$J$280013,6,FALSE),IF(P367="PRÓPRIA",VLOOKUP(Q367,COMPOSIÇÃO!$1:$1048576,10,FALSE),VLOOKUP(Q367,'SINAPI 04-26-SD'!$A$1:$H$272700,4,FALSE)))),2)</f>
        <v>4.87</v>
      </c>
      <c r="V367" s="416">
        <f t="shared" ref="V367:V370" si="1278">TRUNC(U367*T367,2)</f>
        <v>29516.58</v>
      </c>
      <c r="W367" s="395">
        <f>IF($AA367="N",BDI!$D$26,IF($AA367="D",'BDI DIFE.'!$D$26,"ERRO"))</f>
        <v>0.22500000000000001</v>
      </c>
      <c r="X367" s="379">
        <f t="shared" ref="X367:X370" si="1279">TRUNC(U367*(1+W367),2)</f>
        <v>5.96</v>
      </c>
      <c r="Y367" s="380">
        <f t="shared" ref="Y367:Y370" si="1280">TRUNC(T367*X367,2)</f>
        <v>36122.959999999999</v>
      </c>
      <c r="Z367" s="381"/>
      <c r="AA367" s="378" t="s">
        <v>28044</v>
      </c>
      <c r="AB367" s="642"/>
    </row>
    <row r="368" spans="2:28" s="55" customFormat="1" ht="30">
      <c r="B368" s="378">
        <f t="shared" ca="1" si="1269"/>
        <v>3</v>
      </c>
      <c r="C368" s="378" t="str">
        <f t="shared" si="1105"/>
        <v>S</v>
      </c>
      <c r="D368" s="378">
        <f t="shared" ca="1" si="1195"/>
        <v>15</v>
      </c>
      <c r="E368" s="378">
        <f t="shared" ca="1" si="1270"/>
        <v>5</v>
      </c>
      <c r="F368" s="378" t="str">
        <f t="shared" ca="1" si="1271"/>
        <v>0</v>
      </c>
      <c r="G368" s="378" t="str">
        <f t="shared" ca="1" si="1272"/>
        <v>0</v>
      </c>
      <c r="H368" s="378" t="str">
        <f t="shared" ca="1" si="1273"/>
        <v>0</v>
      </c>
      <c r="I368" s="378" t="str">
        <f t="shared" ca="1" si="1274"/>
        <v>0</v>
      </c>
      <c r="J368" s="378">
        <f t="shared" ca="1" si="1196"/>
        <v>2</v>
      </c>
      <c r="K368" s="378" t="str">
        <f t="shared" si="1275"/>
        <v>NÃO</v>
      </c>
      <c r="L368" s="378" t="str">
        <f t="shared" ca="1" si="1276"/>
        <v>15.5.2</v>
      </c>
      <c r="M368" s="55" t="s">
        <v>27868</v>
      </c>
      <c r="O368" s="392" t="str">
        <f t="shared" ca="1" si="1277"/>
        <v>15.5.2</v>
      </c>
      <c r="P368" s="681" t="s">
        <v>29901</v>
      </c>
      <c r="Q368" s="682" t="s">
        <v>14927</v>
      </c>
      <c r="R368" s="415" t="str">
        <f>UPPER(IF(P368="CDHU",VLOOKUP(Q368,'CDHU 201-SD'!$A$1:$J$28014,2,FALSE),IF(P368="FDE",VLOOKUP(Q368,'FDE 01-26-SD'!$A$1:$J$280013,2,FALSE),IF(P368="PRÓPRIA",VLOOKUP(Q368,COMPOSIÇÃO!$1:$1048576,3,FALSE),VLOOKUP(Q368,'SINAPI 04-26-SD'!$A$1:$H$272700,2,FALSE)))))</f>
        <v>CABO DE COBRE DE 4 MM², ISOLAMENTO 750 V - ISOLAÇÃO EM PVC 70°C</v>
      </c>
      <c r="S368" s="414" t="str">
        <f>UPPER(IF(P368="CDHU",VLOOKUP(Q368,'CDHU 201-SD'!$A$1:$J$28014,3,FALSE),IF(P368="FDE",VLOOKUP(Q368,'FDE 01-26-SD'!$A$1:$J$280013,3,FALSE),IF(P368="PRÓPRIA",VLOOKUP(Q368,COMPOSIÇÃO!$1:$1048576,7,FALSE),VLOOKUP(Q368,'SINAPI 04-26-SD'!$A$1:$H$272700,3,FALSE)))))</f>
        <v>M</v>
      </c>
      <c r="T368" s="393">
        <v>776.2</v>
      </c>
      <c r="U368" s="394">
        <f>TRUNC(IF(P368="CDHU",VLOOKUP(Q368,'CDHU 201-SD'!$A$1:$J$28014,6,FALSE),IF(P368="FDE",VLOOKUP(Q368,'FDE 01-26-SD'!$A$1:$J$280013,6,FALSE),IF(P368="PRÓPRIA",VLOOKUP(Q368,COMPOSIÇÃO!$1:$1048576,10,FALSE),VLOOKUP(Q368,'SINAPI 04-26-SD'!$A$1:$H$272700,4,FALSE)))),2)</f>
        <v>7.58</v>
      </c>
      <c r="V368" s="416">
        <f t="shared" si="1278"/>
        <v>5883.59</v>
      </c>
      <c r="W368" s="395">
        <f>IF($AA368="N",BDI!$D$26,IF($AA368="D",'BDI DIFE.'!$D$26,"ERRO"))</f>
        <v>0.22500000000000001</v>
      </c>
      <c r="X368" s="379">
        <f t="shared" si="1279"/>
        <v>9.2799999999999994</v>
      </c>
      <c r="Y368" s="380">
        <f t="shared" si="1280"/>
        <v>7203.13</v>
      </c>
      <c r="Z368" s="381"/>
      <c r="AA368" s="378" t="s">
        <v>28044</v>
      </c>
      <c r="AB368" s="642"/>
    </row>
    <row r="369" spans="2:28" s="55" customFormat="1" ht="30">
      <c r="B369" s="378">
        <f t="shared" ca="1" si="1269"/>
        <v>3</v>
      </c>
      <c r="C369" s="378" t="str">
        <f t="shared" si="1105"/>
        <v>S</v>
      </c>
      <c r="D369" s="378">
        <f t="shared" ca="1" si="1195"/>
        <v>15</v>
      </c>
      <c r="E369" s="378">
        <f t="shared" ca="1" si="1270"/>
        <v>5</v>
      </c>
      <c r="F369" s="378" t="str">
        <f t="shared" ca="1" si="1271"/>
        <v>0</v>
      </c>
      <c r="G369" s="378" t="str">
        <f t="shared" ca="1" si="1272"/>
        <v>0</v>
      </c>
      <c r="H369" s="378" t="str">
        <f t="shared" ca="1" si="1273"/>
        <v>0</v>
      </c>
      <c r="I369" s="378" t="str">
        <f t="shared" ca="1" si="1274"/>
        <v>0</v>
      </c>
      <c r="J369" s="378">
        <f t="shared" ca="1" si="1196"/>
        <v>3</v>
      </c>
      <c r="K369" s="378" t="str">
        <f t="shared" si="1275"/>
        <v>NÃO</v>
      </c>
      <c r="L369" s="378" t="str">
        <f t="shared" ca="1" si="1276"/>
        <v>15.5.3</v>
      </c>
      <c r="M369" s="55" t="s">
        <v>27868</v>
      </c>
      <c r="O369" s="392" t="str">
        <f t="shared" ca="1" si="1277"/>
        <v>15.5.3</v>
      </c>
      <c r="P369" s="681" t="s">
        <v>29901</v>
      </c>
      <c r="Q369" s="682" t="s">
        <v>14929</v>
      </c>
      <c r="R369" s="415" t="str">
        <f>UPPER(IF(P369="CDHU",VLOOKUP(Q369,'CDHU 201-SD'!$A$1:$J$28014,2,FALSE),IF(P369="FDE",VLOOKUP(Q369,'FDE 01-26-SD'!$A$1:$J$280013,2,FALSE),IF(P369="PRÓPRIA",VLOOKUP(Q369,COMPOSIÇÃO!$1:$1048576,3,FALSE),VLOOKUP(Q369,'SINAPI 04-26-SD'!$A$1:$H$272700,2,FALSE)))))</f>
        <v>CABO DE COBRE DE 6 MM², ISOLAMENTO 750 V - ISOLAÇÃO EM PVC 70°C</v>
      </c>
      <c r="S369" s="414" t="str">
        <f>UPPER(IF(P369="CDHU",VLOOKUP(Q369,'CDHU 201-SD'!$A$1:$J$28014,3,FALSE),IF(P369="FDE",VLOOKUP(Q369,'FDE 01-26-SD'!$A$1:$J$280013,3,FALSE),IF(P369="PRÓPRIA",VLOOKUP(Q369,COMPOSIÇÃO!$1:$1048576,7,FALSE),VLOOKUP(Q369,'SINAPI 04-26-SD'!$A$1:$H$272700,3,FALSE)))))</f>
        <v>M</v>
      </c>
      <c r="T369" s="393">
        <v>102.6</v>
      </c>
      <c r="U369" s="394">
        <f>TRUNC(IF(P369="CDHU",VLOOKUP(Q369,'CDHU 201-SD'!$A$1:$J$28014,6,FALSE),IF(P369="FDE",VLOOKUP(Q369,'FDE 01-26-SD'!$A$1:$J$280013,6,FALSE),IF(P369="PRÓPRIA",VLOOKUP(Q369,COMPOSIÇÃO!$1:$1048576,10,FALSE),VLOOKUP(Q369,'SINAPI 04-26-SD'!$A$1:$H$272700,4,FALSE)))),2)</f>
        <v>10.25</v>
      </c>
      <c r="V369" s="416">
        <f t="shared" si="1278"/>
        <v>1051.6500000000001</v>
      </c>
      <c r="W369" s="395">
        <f>IF($AA369="N",BDI!$D$26,IF($AA369="D",'BDI DIFE.'!$D$26,"ERRO"))</f>
        <v>0.22500000000000001</v>
      </c>
      <c r="X369" s="379">
        <f t="shared" si="1279"/>
        <v>12.55</v>
      </c>
      <c r="Y369" s="380">
        <f t="shared" si="1280"/>
        <v>1287.6300000000001</v>
      </c>
      <c r="Z369" s="381"/>
      <c r="AA369" s="378" t="s">
        <v>28044</v>
      </c>
      <c r="AB369" s="642"/>
    </row>
    <row r="370" spans="2:28" s="55" customFormat="1" ht="30">
      <c r="B370" s="378">
        <f t="shared" ca="1" si="1269"/>
        <v>3</v>
      </c>
      <c r="C370" s="378" t="str">
        <f t="shared" si="1105"/>
        <v>S</v>
      </c>
      <c r="D370" s="378">
        <f t="shared" ca="1" si="1195"/>
        <v>15</v>
      </c>
      <c r="E370" s="378">
        <f t="shared" ca="1" si="1270"/>
        <v>5</v>
      </c>
      <c r="F370" s="378" t="str">
        <f t="shared" ca="1" si="1271"/>
        <v>0</v>
      </c>
      <c r="G370" s="378" t="str">
        <f t="shared" ca="1" si="1272"/>
        <v>0</v>
      </c>
      <c r="H370" s="378" t="str">
        <f t="shared" ca="1" si="1273"/>
        <v>0</v>
      </c>
      <c r="I370" s="378" t="str">
        <f t="shared" ca="1" si="1274"/>
        <v>0</v>
      </c>
      <c r="J370" s="378">
        <f t="shared" ca="1" si="1196"/>
        <v>4</v>
      </c>
      <c r="K370" s="378" t="str">
        <f t="shared" si="1275"/>
        <v>NÃO</v>
      </c>
      <c r="L370" s="378" t="str">
        <f t="shared" ca="1" si="1276"/>
        <v>15.5.4</v>
      </c>
      <c r="M370" s="55" t="s">
        <v>27868</v>
      </c>
      <c r="O370" s="392" t="str">
        <f t="shared" ca="1" si="1277"/>
        <v>15.5.4</v>
      </c>
      <c r="P370" s="681" t="s">
        <v>29901</v>
      </c>
      <c r="Q370" s="682" t="s">
        <v>14931</v>
      </c>
      <c r="R370" s="415" t="str">
        <f>UPPER(IF(P370="CDHU",VLOOKUP(Q370,'CDHU 201-SD'!$A$1:$J$28014,2,FALSE),IF(P370="FDE",VLOOKUP(Q370,'FDE 01-26-SD'!$A$1:$J$280013,2,FALSE),IF(P370="PRÓPRIA",VLOOKUP(Q370,COMPOSIÇÃO!$1:$1048576,3,FALSE),VLOOKUP(Q370,'SINAPI 04-26-SD'!$A$1:$H$272700,2,FALSE)))))</f>
        <v>CABO DE COBRE DE 10 MM², ISOLAMENTO 750 V - ISOLAÇÃO EM PVC 70°C</v>
      </c>
      <c r="S370" s="414" t="str">
        <f>UPPER(IF(P370="CDHU",VLOOKUP(Q370,'CDHU 201-SD'!$A$1:$J$28014,3,FALSE),IF(P370="FDE",VLOOKUP(Q370,'FDE 01-26-SD'!$A$1:$J$280013,3,FALSE),IF(P370="PRÓPRIA",VLOOKUP(Q370,COMPOSIÇÃO!$1:$1048576,7,FALSE),VLOOKUP(Q370,'SINAPI 04-26-SD'!$A$1:$H$272700,3,FALSE)))))</f>
        <v>M</v>
      </c>
      <c r="T370" s="393">
        <v>137.4</v>
      </c>
      <c r="U370" s="394">
        <f>TRUNC(IF(P370="CDHU",VLOOKUP(Q370,'CDHU 201-SD'!$A$1:$J$28014,6,FALSE),IF(P370="FDE",VLOOKUP(Q370,'FDE 01-26-SD'!$A$1:$J$280013,6,FALSE),IF(P370="PRÓPRIA",VLOOKUP(Q370,COMPOSIÇÃO!$1:$1048576,10,FALSE),VLOOKUP(Q370,'SINAPI 04-26-SD'!$A$1:$H$272700,4,FALSE)))),2)</f>
        <v>15.06</v>
      </c>
      <c r="V370" s="416">
        <f t="shared" si="1278"/>
        <v>2069.2399999999998</v>
      </c>
      <c r="W370" s="395">
        <f>IF($AA370="N",BDI!$D$26,IF($AA370="D",'BDI DIFE.'!$D$26,"ERRO"))</f>
        <v>0.22500000000000001</v>
      </c>
      <c r="X370" s="379">
        <f t="shared" si="1279"/>
        <v>18.440000000000001</v>
      </c>
      <c r="Y370" s="380">
        <f t="shared" si="1280"/>
        <v>2533.65</v>
      </c>
      <c r="Z370" s="381"/>
      <c r="AA370" s="378" t="s">
        <v>28044</v>
      </c>
      <c r="AB370" s="642"/>
    </row>
    <row r="371" spans="2:28" s="55" customFormat="1" ht="30">
      <c r="B371" s="378">
        <f t="shared" ca="1" si="1260"/>
        <v>3</v>
      </c>
      <c r="C371" s="378" t="str">
        <f t="shared" si="1105"/>
        <v>S</v>
      </c>
      <c r="D371" s="378">
        <f t="shared" ca="1" si="1195"/>
        <v>15</v>
      </c>
      <c r="E371" s="378">
        <f t="shared" ca="1" si="1261"/>
        <v>5</v>
      </c>
      <c r="F371" s="378" t="str">
        <f t="shared" ca="1" si="1262"/>
        <v>0</v>
      </c>
      <c r="G371" s="378" t="str">
        <f t="shared" ca="1" si="1263"/>
        <v>0</v>
      </c>
      <c r="H371" s="378" t="str">
        <f t="shared" ca="1" si="1264"/>
        <v>0</v>
      </c>
      <c r="I371" s="378" t="str">
        <f t="shared" ca="1" si="1265"/>
        <v>0</v>
      </c>
      <c r="J371" s="378">
        <f t="shared" ca="1" si="1196"/>
        <v>5</v>
      </c>
      <c r="K371" s="378" t="str">
        <f t="shared" si="1266"/>
        <v>NÃO</v>
      </c>
      <c r="L371" s="378" t="str">
        <f t="shared" ca="1" si="1267"/>
        <v>15.5.5</v>
      </c>
      <c r="M371" s="55" t="s">
        <v>27868</v>
      </c>
      <c r="O371" s="392" t="str">
        <f t="shared" ca="1" si="1268"/>
        <v>15.5.5</v>
      </c>
      <c r="P371" s="681" t="s">
        <v>29901</v>
      </c>
      <c r="Q371" s="682" t="s">
        <v>15100</v>
      </c>
      <c r="R371" s="415" t="str">
        <f>UPPER(IF(P371="CDHU",VLOOKUP(Q371,'CDHU 201-SD'!$A$1:$J$28014,2,FALSE),IF(P371="FDE",VLOOKUP(Q371,'FDE 01-26-SD'!$A$1:$J$280013,2,FALSE),IF(P371="PRÓPRIA",VLOOKUP(Q371,COMPOSIÇÃO!$1:$1048576,3,FALSE),VLOOKUP(Q371,'SINAPI 04-26-SD'!$A$1:$H$272700,2,FALSE)))))</f>
        <v>CABO DE COBRE FLEXÍVEL DE 4 MM², ISOLAMENTO 0,6/1KV - ISOLAÇÃO HEPR 90°C</v>
      </c>
      <c r="S371" s="414" t="str">
        <f>UPPER(IF(P371="CDHU",VLOOKUP(Q371,'CDHU 201-SD'!$A$1:$J$28014,3,FALSE),IF(P371="FDE",VLOOKUP(Q371,'FDE 01-26-SD'!$A$1:$J$280013,3,FALSE),IF(P371="PRÓPRIA",VLOOKUP(Q371,COMPOSIÇÃO!$1:$1048576,7,FALSE),VLOOKUP(Q371,'SINAPI 04-26-SD'!$A$1:$H$272700,3,FALSE)))))</f>
        <v>M</v>
      </c>
      <c r="T371" s="393">
        <v>23.2</v>
      </c>
      <c r="U371" s="394">
        <f>TRUNC(IF(P371="CDHU",VLOOKUP(Q371,'CDHU 201-SD'!$A$1:$J$28014,6,FALSE),IF(P371="FDE",VLOOKUP(Q371,'FDE 01-26-SD'!$A$1:$J$280013,6,FALSE),IF(P371="PRÓPRIA",VLOOKUP(Q371,COMPOSIÇÃO!$1:$1048576,10,FALSE),VLOOKUP(Q371,'SINAPI 04-26-SD'!$A$1:$H$272700,4,FALSE)))),2)</f>
        <v>5.13</v>
      </c>
      <c r="V371" s="416">
        <f t="shared" ref="V371:V373" si="1281">TRUNC(U371*T371,2)</f>
        <v>119.01</v>
      </c>
      <c r="W371" s="395">
        <f>IF($AA371="N",BDI!$D$26,IF($AA371="D",'BDI DIFE.'!$D$26,"ERRO"))</f>
        <v>0.22500000000000001</v>
      </c>
      <c r="X371" s="379">
        <f t="shared" ref="X371:X373" si="1282">TRUNC(U371*(1+W371),2)</f>
        <v>6.28</v>
      </c>
      <c r="Y371" s="380">
        <f t="shared" ref="Y371:Y373" si="1283">TRUNC(T371*X371,2)</f>
        <v>145.69</v>
      </c>
      <c r="Z371" s="381"/>
      <c r="AA371" s="378" t="s">
        <v>28044</v>
      </c>
      <c r="AB371" s="642"/>
    </row>
    <row r="372" spans="2:28" s="55" customFormat="1" ht="30">
      <c r="B372" s="378">
        <f t="shared" ref="B372" ca="1" si="1284">IF(C372="S",IF(OFFSET(C372,-1,0)="S", OFFSET(B372,-1,0), OFFSET(B372,-1,0) +1 ), C372)</f>
        <v>3</v>
      </c>
      <c r="C372" s="378" t="str">
        <f t="shared" si="1105"/>
        <v>S</v>
      </c>
      <c r="D372" s="378">
        <f t="shared" ca="1" si="1195"/>
        <v>15</v>
      </c>
      <c r="E372" s="378">
        <f t="shared" ref="E372" ca="1" si="1285">IF($C372="2",OFFSET(E372,-1,0) +1,IF(OFFSET(D372,-1,0)&lt;&gt;D372,"0",IF(OFFSET(E372,-1,0)="","0",OFFSET(E372,-1,0))))</f>
        <v>5</v>
      </c>
      <c r="F372" s="378" t="str">
        <f t="shared" ref="F372" ca="1" si="1286">IF($C372="3",OFFSET(F372,-1,0) +1,IF(OFFSET(E372,-1,0)&lt;&gt;E372,"0",IF(OFFSET(F372,-1,0)="","0",OFFSET(F372,-1,0))))</f>
        <v>0</v>
      </c>
      <c r="G372" s="378" t="str">
        <f t="shared" ref="G372" ca="1" si="1287">IF($C372="4",OFFSET(G372,-1,0) +1,IF(OFFSET(F372,-1,0)&lt;&gt;F372,"0",IF(OFFSET(G372,-1,0)="","0",OFFSET(G372,-1,0))))</f>
        <v>0</v>
      </c>
      <c r="H372" s="378" t="str">
        <f t="shared" ref="H372" ca="1" si="1288">IF($C372="5",OFFSET(H372,-1,0) +1,IF(OFFSET(G372,-1,0)&lt;&gt;G372,"0",IF(OFFSET(H372,-1,0)="","0",OFFSET(H372,-1,0))))</f>
        <v>0</v>
      </c>
      <c r="I372" s="378" t="str">
        <f t="shared" ref="I372" ca="1" si="1289">IF($C372="6",OFFSET(I372,-1,0) +1,IF(OFFSET(H372,-1,0)&lt;&gt;H372,"0",IF(OFFSET(I372,-1,0)="","0", OFFSET(I372,-1,0))))</f>
        <v>0</v>
      </c>
      <c r="J372" s="378">
        <f t="shared" ca="1" si="1196"/>
        <v>6</v>
      </c>
      <c r="K372" s="378" t="str">
        <f t="shared" ref="K372" si="1290">IF(C372="S","NÃO", IF(C372="1", D372, IF(C372="2", D372 &amp; "." &amp; E372,IF(C372="3", D372 &amp; "." &amp; E372 &amp; "." &amp; F372, IF(C372="4", D372 &amp; "." &amp; E372 &amp; "." &amp; F372 &amp; "." &amp; G372, IF(C372="5", D372 &amp; "." &amp; E372 &amp; "." &amp; F372 &amp; "." &amp; G372 &amp; "." &amp; H372, IF(C372="6", D372 &amp; "." &amp; E372 &amp; "." &amp; F372 &amp; "." &amp; G372 &amp; "." &amp; H372 &amp; "." &amp; I372)))))))</f>
        <v>NÃO</v>
      </c>
      <c r="L372" s="378" t="str">
        <f t="shared" ref="L372" ca="1" si="1291">IF(K372="NÃO",IF($B372=2,D372&amp;"."&amp;J372,IF($B372=3,D372&amp;"."&amp;E372&amp;"."&amp;J372,IF($B372=4,D372&amp;"."&amp;E372&amp;"."&amp;F372&amp;"."&amp;J372,IF($B372=5,D372&amp;"."&amp;E372&amp;"."&amp;F372&amp;"."&amp;G372&amp;"."&amp;J372,IF($B372=6,D372&amp;"."&amp;E372&amp;"."&amp;F372&amp;"."&amp;G372&amp;"."&amp;H372&amp;"."&amp;J372,IF($B372=7,D372&amp;"."&amp;E372&amp;"."&amp;F372&amp;"."&amp;G372&amp;"."&amp;H372&amp;"."&amp;I372&amp;"."&amp;J372,"FALHA")))))),K372)</f>
        <v>15.5.6</v>
      </c>
      <c r="M372" s="55" t="s">
        <v>27868</v>
      </c>
      <c r="O372" s="392" t="str">
        <f t="shared" ref="O372" ca="1" si="1292">L372</f>
        <v>15.5.6</v>
      </c>
      <c r="P372" s="681" t="s">
        <v>29901</v>
      </c>
      <c r="Q372" s="682" t="s">
        <v>15104</v>
      </c>
      <c r="R372" s="415" t="str">
        <f>UPPER(IF(P372="CDHU",VLOOKUP(Q372,'CDHU 201-SD'!$A$1:$J$28014,2,FALSE),IF(P372="FDE",VLOOKUP(Q372,'FDE 01-26-SD'!$A$1:$J$280013,2,FALSE),IF(P372="PRÓPRIA",VLOOKUP(Q372,COMPOSIÇÃO!$1:$1048576,3,FALSE),VLOOKUP(Q372,'SINAPI 04-26-SD'!$A$1:$H$272700,2,FALSE)))))</f>
        <v>CABO DE COBRE FLEXÍVEL DE 25 MM², ISOLAMENTO 0,6/1KV - ISOLAÇÃO HEPR 90°C</v>
      </c>
      <c r="S372" s="414" t="str">
        <f>UPPER(IF(P372="CDHU",VLOOKUP(Q372,'CDHU 201-SD'!$A$1:$J$28014,3,FALSE),IF(P372="FDE",VLOOKUP(Q372,'FDE 01-26-SD'!$A$1:$J$280013,3,FALSE),IF(P372="PRÓPRIA",VLOOKUP(Q372,COMPOSIÇÃO!$1:$1048576,7,FALSE),VLOOKUP(Q372,'SINAPI 04-26-SD'!$A$1:$H$272700,3,FALSE)))))</f>
        <v>M</v>
      </c>
      <c r="T372" s="393">
        <v>4.7</v>
      </c>
      <c r="U372" s="394">
        <f>TRUNC(IF(P372="CDHU",VLOOKUP(Q372,'CDHU 201-SD'!$A$1:$J$28014,6,FALSE),IF(P372="FDE",VLOOKUP(Q372,'FDE 01-26-SD'!$A$1:$J$280013,6,FALSE),IF(P372="PRÓPRIA",VLOOKUP(Q372,COMPOSIÇÃO!$1:$1048576,10,FALSE),VLOOKUP(Q372,'SINAPI 04-26-SD'!$A$1:$H$272700,4,FALSE)))),2)</f>
        <v>27.41</v>
      </c>
      <c r="V372" s="416">
        <f t="shared" ref="V372" si="1293">TRUNC(U372*T372,2)</f>
        <v>128.82</v>
      </c>
      <c r="W372" s="395">
        <f>IF($AA372="N",BDI!$D$26,IF($AA372="D",'BDI DIFE.'!$D$26,"ERRO"))</f>
        <v>0.22500000000000001</v>
      </c>
      <c r="X372" s="379">
        <f t="shared" ref="X372" si="1294">TRUNC(U372*(1+W372),2)</f>
        <v>33.57</v>
      </c>
      <c r="Y372" s="380">
        <f t="shared" ref="Y372" si="1295">TRUNC(T372*X372,2)</f>
        <v>157.77000000000001</v>
      </c>
      <c r="Z372" s="381"/>
      <c r="AA372" s="378" t="s">
        <v>28044</v>
      </c>
      <c r="AB372" s="642"/>
    </row>
    <row r="373" spans="2:28" s="55" customFormat="1" ht="30">
      <c r="B373" s="378">
        <f t="shared" ca="1" si="1260"/>
        <v>3</v>
      </c>
      <c r="C373" s="378" t="str">
        <f t="shared" si="1105"/>
        <v>S</v>
      </c>
      <c r="D373" s="378">
        <f t="shared" ca="1" si="1195"/>
        <v>15</v>
      </c>
      <c r="E373" s="378">
        <f t="shared" ca="1" si="1261"/>
        <v>5</v>
      </c>
      <c r="F373" s="378" t="str">
        <f t="shared" ca="1" si="1262"/>
        <v>0</v>
      </c>
      <c r="G373" s="378" t="str">
        <f t="shared" ca="1" si="1263"/>
        <v>0</v>
      </c>
      <c r="H373" s="378" t="str">
        <f t="shared" ca="1" si="1264"/>
        <v>0</v>
      </c>
      <c r="I373" s="378" t="str">
        <f t="shared" ca="1" si="1265"/>
        <v>0</v>
      </c>
      <c r="J373" s="378">
        <f t="shared" ca="1" si="1196"/>
        <v>7</v>
      </c>
      <c r="K373" s="378" t="str">
        <f t="shared" si="1266"/>
        <v>NÃO</v>
      </c>
      <c r="L373" s="378" t="str">
        <f t="shared" ca="1" si="1267"/>
        <v>15.5.7</v>
      </c>
      <c r="M373" s="55" t="s">
        <v>27868</v>
      </c>
      <c r="O373" s="392" t="str">
        <f t="shared" ca="1" si="1268"/>
        <v>15.5.7</v>
      </c>
      <c r="P373" s="681" t="s">
        <v>29901</v>
      </c>
      <c r="Q373" s="682" t="s">
        <v>15106</v>
      </c>
      <c r="R373" s="415" t="str">
        <f>UPPER(IF(P373="CDHU",VLOOKUP(Q373,'CDHU 201-SD'!$A$1:$J$28014,2,FALSE),IF(P373="FDE",VLOOKUP(Q373,'FDE 01-26-SD'!$A$1:$J$280013,2,FALSE),IF(P373="PRÓPRIA",VLOOKUP(Q373,COMPOSIÇÃO!$1:$1048576,3,FALSE),VLOOKUP(Q373,'SINAPI 04-26-SD'!$A$1:$H$272700,2,FALSE)))))</f>
        <v>CABO DE COBRE FLEXÍVEL DE 50 MM², ISOLAMENTO 0,6/1KV - ISOLAÇÃO HEPR 90°C</v>
      </c>
      <c r="S373" s="414" t="str">
        <f>UPPER(IF(P373="CDHU",VLOOKUP(Q373,'CDHU 201-SD'!$A$1:$J$28014,3,FALSE),IF(P373="FDE",VLOOKUP(Q373,'FDE 01-26-SD'!$A$1:$J$280013,3,FALSE),IF(P373="PRÓPRIA",VLOOKUP(Q373,COMPOSIÇÃO!$1:$1048576,7,FALSE),VLOOKUP(Q373,'SINAPI 04-26-SD'!$A$1:$H$272700,3,FALSE)))))</f>
        <v>M</v>
      </c>
      <c r="T373" s="393">
        <v>18.8</v>
      </c>
      <c r="U373" s="394">
        <f>TRUNC(IF(P373="CDHU",VLOOKUP(Q373,'CDHU 201-SD'!$A$1:$J$28014,6,FALSE),IF(P373="FDE",VLOOKUP(Q373,'FDE 01-26-SD'!$A$1:$J$280013,6,FALSE),IF(P373="PRÓPRIA",VLOOKUP(Q373,COMPOSIÇÃO!$1:$1048576,10,FALSE),VLOOKUP(Q373,'SINAPI 04-26-SD'!$A$1:$H$272700,4,FALSE)))),2)</f>
        <v>54.64</v>
      </c>
      <c r="V373" s="416">
        <f t="shared" si="1281"/>
        <v>1027.23</v>
      </c>
      <c r="W373" s="395">
        <f>IF($AA373="N",BDI!$D$26,IF($AA373="D",'BDI DIFE.'!$D$26,"ERRO"))</f>
        <v>0.22500000000000001</v>
      </c>
      <c r="X373" s="379">
        <f t="shared" si="1282"/>
        <v>66.930000000000007</v>
      </c>
      <c r="Y373" s="380">
        <f t="shared" si="1283"/>
        <v>1258.28</v>
      </c>
      <c r="Z373" s="381"/>
      <c r="AA373" s="378" t="s">
        <v>28044</v>
      </c>
      <c r="AB373" s="642"/>
    </row>
    <row r="374" spans="2:28" s="55" customFormat="1" ht="31" thickBot="1">
      <c r="B374" s="378">
        <f t="shared" ref="B374" ca="1" si="1296">IF(C374="S",IF(OFFSET(C374,-1,0)="S", OFFSET(B374,-1,0), OFFSET(B374,-1,0) +1 ), C374)</f>
        <v>3</v>
      </c>
      <c r="C374" s="378" t="str">
        <f t="shared" si="1105"/>
        <v>S</v>
      </c>
      <c r="D374" s="378">
        <f t="shared" ca="1" si="1195"/>
        <v>15</v>
      </c>
      <c r="E374" s="378">
        <f t="shared" ref="E374" ca="1" si="1297">IF($C374="2",OFFSET(E374,-1,0) +1,IF(OFFSET(D374,-1,0)&lt;&gt;D374,"0",IF(OFFSET(E374,-1,0)="","0",OFFSET(E374,-1,0))))</f>
        <v>5</v>
      </c>
      <c r="F374" s="378" t="str">
        <f t="shared" ref="F374" ca="1" si="1298">IF($C374="3",OFFSET(F374,-1,0) +1,IF(OFFSET(E374,-1,0)&lt;&gt;E374,"0",IF(OFFSET(F374,-1,0)="","0",OFFSET(F374,-1,0))))</f>
        <v>0</v>
      </c>
      <c r="G374" s="378" t="str">
        <f t="shared" ref="G374" ca="1" si="1299">IF($C374="4",OFFSET(G374,-1,0) +1,IF(OFFSET(F374,-1,0)&lt;&gt;F374,"0",IF(OFFSET(G374,-1,0)="","0",OFFSET(G374,-1,0))))</f>
        <v>0</v>
      </c>
      <c r="H374" s="378" t="str">
        <f t="shared" ref="H374" ca="1" si="1300">IF($C374="5",OFFSET(H374,-1,0) +1,IF(OFFSET(G374,-1,0)&lt;&gt;G374,"0",IF(OFFSET(H374,-1,0)="","0",OFFSET(H374,-1,0))))</f>
        <v>0</v>
      </c>
      <c r="I374" s="378" t="str">
        <f t="shared" ref="I374" ca="1" si="1301">IF($C374="6",OFFSET(I374,-1,0) +1,IF(OFFSET(H374,-1,0)&lt;&gt;H374,"0",IF(OFFSET(I374,-1,0)="","0", OFFSET(I374,-1,0))))</f>
        <v>0</v>
      </c>
      <c r="J374" s="378">
        <f t="shared" ca="1" si="1196"/>
        <v>8</v>
      </c>
      <c r="K374" s="378" t="str">
        <f t="shared" ref="K374" si="1302">IF(C374="S","NÃO", IF(C374="1", D374, IF(C374="2", D374 &amp; "." &amp; E374,IF(C374="3", D374 &amp; "." &amp; E374 &amp; "." &amp; F374, IF(C374="4", D374 &amp; "." &amp; E374 &amp; "." &amp; F374 &amp; "." &amp; G374, IF(C374="5", D374 &amp; "." &amp; E374 &amp; "." &amp; F374 &amp; "." &amp; G374 &amp; "." &amp; H374, IF(C374="6", D374 &amp; "." &amp; E374 &amp; "." &amp; F374 &amp; "." &amp; G374 &amp; "." &amp; H374 &amp; "." &amp; I374)))))))</f>
        <v>NÃO</v>
      </c>
      <c r="L374" s="378" t="str">
        <f t="shared" ref="L374" ca="1" si="1303">IF(K374="NÃO",IF($B374=2,D374&amp;"."&amp;J374,IF($B374=3,D374&amp;"."&amp;E374&amp;"."&amp;J374,IF($B374=4,D374&amp;"."&amp;E374&amp;"."&amp;F374&amp;"."&amp;J374,IF($B374=5,D374&amp;"."&amp;E374&amp;"."&amp;F374&amp;"."&amp;G374&amp;"."&amp;J374,IF($B374=6,D374&amp;"."&amp;E374&amp;"."&amp;F374&amp;"."&amp;G374&amp;"."&amp;H374&amp;"."&amp;J374,IF($B374=7,D374&amp;"."&amp;E374&amp;"."&amp;F374&amp;"."&amp;G374&amp;"."&amp;H374&amp;"."&amp;I374&amp;"."&amp;J374,"FALHA")))))),K374)</f>
        <v>15.5.8</v>
      </c>
      <c r="M374" s="55" t="s">
        <v>27868</v>
      </c>
      <c r="O374" s="392" t="str">
        <f t="shared" ref="O374" ca="1" si="1304">L374</f>
        <v>15.5.8</v>
      </c>
      <c r="P374" s="681" t="s">
        <v>29901</v>
      </c>
      <c r="Q374" s="682" t="s">
        <v>15107</v>
      </c>
      <c r="R374" s="415" t="str">
        <f>UPPER(IF(P374="CDHU",VLOOKUP(Q374,'CDHU 201-SD'!$A$1:$J$28014,2,FALSE),IF(P374="FDE",VLOOKUP(Q374,'FDE 01-26-SD'!$A$1:$J$280013,2,FALSE),IF(P374="PRÓPRIA",VLOOKUP(Q374,COMPOSIÇÃO!$1:$1048576,3,FALSE),VLOOKUP(Q374,'SINAPI 04-26-SD'!$A$1:$H$272700,2,FALSE)))))</f>
        <v>CABO DE COBRE FLEXÍVEL DE 70 MM², ISOLAMENTO 0,6/1KV - ISOLAÇÃO HEPR 90°C</v>
      </c>
      <c r="S374" s="414" t="str">
        <f>UPPER(IF(P374="CDHU",VLOOKUP(Q374,'CDHU 201-SD'!$A$1:$J$28014,3,FALSE),IF(P374="FDE",VLOOKUP(Q374,'FDE 01-26-SD'!$A$1:$J$280013,3,FALSE),IF(P374="PRÓPRIA",VLOOKUP(Q374,COMPOSIÇÃO!$1:$1048576,7,FALSE),VLOOKUP(Q374,'SINAPI 04-26-SD'!$A$1:$H$272700,3,FALSE)))))</f>
        <v>M</v>
      </c>
      <c r="T374" s="393">
        <v>768.7</v>
      </c>
      <c r="U374" s="394">
        <f>TRUNC(IF(P374="CDHU",VLOOKUP(Q374,'CDHU 201-SD'!$A$1:$J$28014,6,FALSE),IF(P374="FDE",VLOOKUP(Q374,'FDE 01-26-SD'!$A$1:$J$280013,6,FALSE),IF(P374="PRÓPRIA",VLOOKUP(Q374,COMPOSIÇÃO!$1:$1048576,10,FALSE),VLOOKUP(Q374,'SINAPI 04-26-SD'!$A$1:$H$272700,4,FALSE)))),2)</f>
        <v>74.38</v>
      </c>
      <c r="V374" s="416">
        <f t="shared" ref="V374" si="1305">TRUNC(U374*T374,2)</f>
        <v>57175.9</v>
      </c>
      <c r="W374" s="395">
        <f>IF($AA374="N",BDI!$D$26,IF($AA374="D",'BDI DIFE.'!$D$26,"ERRO"))</f>
        <v>0.22500000000000001</v>
      </c>
      <c r="X374" s="379">
        <f t="shared" ref="X374" si="1306">TRUNC(U374*(1+W374),2)</f>
        <v>91.11</v>
      </c>
      <c r="Y374" s="380">
        <f t="shared" ref="Y374" si="1307">TRUNC(T374*X374,2)</f>
        <v>70036.25</v>
      </c>
      <c r="Z374" s="381"/>
      <c r="AA374" s="378" t="s">
        <v>28044</v>
      </c>
      <c r="AB374" s="642"/>
    </row>
    <row r="375" spans="2:28" s="55" customFormat="1" ht="16" thickBot="1">
      <c r="B375" s="378" t="str">
        <f t="shared" ref="B375:B385" ca="1" si="1308">IF(C375="S",IF(OFFSET(C375,-1,0)="S", OFFSET(B375,-1,0), OFFSET(B375,-1,0) +1 ), C375)</f>
        <v/>
      </c>
      <c r="C375" s="378" t="str">
        <f t="shared" si="1105"/>
        <v/>
      </c>
      <c r="D375" s="378">
        <f t="shared" ca="1" si="1195"/>
        <v>15</v>
      </c>
      <c r="E375" s="378">
        <f t="shared" ref="E375:E385" ca="1" si="1309">IF($C375="2",OFFSET(E375,-1,0) +1,IF(OFFSET(D375,-1,0)&lt;&gt;D375,"0",IF(OFFSET(E375,-1,0)="","0",OFFSET(E375,-1,0))))</f>
        <v>5</v>
      </c>
      <c r="F375" s="378" t="str">
        <f t="shared" ref="F375:F385" ca="1" si="1310">IF($C375="3",OFFSET(F375,-1,0) +1,IF(OFFSET(E375,-1,0)&lt;&gt;E375,"0",IF(OFFSET(F375,-1,0)="","0",OFFSET(F375,-1,0))))</f>
        <v>0</v>
      </c>
      <c r="G375" s="378" t="str">
        <f t="shared" ref="G375:G385" ca="1" si="1311">IF($C375="4",OFFSET(G375,-1,0) +1,IF(OFFSET(F375,-1,0)&lt;&gt;F375,"0",IF(OFFSET(G375,-1,0)="","0",OFFSET(G375,-1,0))))</f>
        <v>0</v>
      </c>
      <c r="H375" s="378" t="str">
        <f t="shared" ref="H375:H385" ca="1" si="1312">IF($C375="5",OFFSET(H375,-1,0) +1,IF(OFFSET(G375,-1,0)&lt;&gt;G375,"0",IF(OFFSET(H375,-1,0)="","0",OFFSET(H375,-1,0))))</f>
        <v>0</v>
      </c>
      <c r="I375" s="378" t="str">
        <f t="shared" ref="I375:I385" ca="1" si="1313">IF($C375="6",OFFSET(I375,-1,0) +1,IF(OFFSET(H375,-1,0)&lt;&gt;H375,"0",IF(OFFSET(I375,-1,0)="","0", OFFSET(I375,-1,0))))</f>
        <v>0</v>
      </c>
      <c r="J375" s="378" t="str">
        <f t="shared" ca="1" si="1196"/>
        <v>0</v>
      </c>
      <c r="K375" s="378" t="b">
        <f t="shared" ref="K375:K385" si="1314">IF(C375="S","NÃO", IF(C375="1", D375, IF(C375="2", D375 &amp; "." &amp; E375,IF(C375="3", D375 &amp; "." &amp; E375 &amp; "." &amp; F375, IF(C375="4", D375 &amp; "." &amp; E375 &amp; "." &amp; F375 &amp; "." &amp; G375, IF(C375="5", D375 &amp; "." &amp; E375 &amp; "." &amp; F375 &amp; "." &amp; G375 &amp; "." &amp; H375, IF(C375="6", D375 &amp; "." &amp; E375 &amp; "." &amp; F375 &amp; "." &amp; G375 &amp; "." &amp; H375 &amp; "." &amp; I375)))))))</f>
        <v>0</v>
      </c>
      <c r="L375" s="378" t="b">
        <f t="shared" ref="L375:L385" si="1315">IF(K375="NÃO",IF($B375=2,D375&amp;"."&amp;J375,IF($B375=3,D375&amp;"."&amp;E375&amp;"."&amp;J375,IF($B375=4,D375&amp;"."&amp;E375&amp;"."&amp;F375&amp;"."&amp;J375,IF($B375=5,D375&amp;"."&amp;E375&amp;"."&amp;F375&amp;"."&amp;G375&amp;"."&amp;J375,IF($B375=6,D375&amp;"."&amp;E375&amp;"."&amp;F375&amp;"."&amp;G375&amp;"."&amp;H375&amp;"."&amp;J375,IF($B375=7,D375&amp;"."&amp;E375&amp;"."&amp;F375&amp;"."&amp;G375&amp;"."&amp;H375&amp;"."&amp;I375&amp;"."&amp;J375,"FALHA")))))),K375)</f>
        <v>0</v>
      </c>
      <c r="O375" s="192"/>
      <c r="P375" s="387"/>
      <c r="Q375" s="387"/>
      <c r="R375" s="377"/>
      <c r="S375" s="387"/>
      <c r="T375" s="363"/>
      <c r="U375" s="388"/>
      <c r="V375" s="389"/>
      <c r="W375" s="389"/>
      <c r="X375" s="389"/>
      <c r="Y375" s="390"/>
      <c r="AB375" s="642"/>
    </row>
    <row r="376" spans="2:28" s="75" customFormat="1" ht="16" thickBot="1">
      <c r="B376" s="75" t="str">
        <f t="shared" ca="1" si="1308"/>
        <v>2</v>
      </c>
      <c r="C376" s="75" t="str">
        <f t="shared" si="1105"/>
        <v>2</v>
      </c>
      <c r="D376" s="75">
        <f t="shared" ca="1" si="1195"/>
        <v>15</v>
      </c>
      <c r="E376" s="75">
        <f t="shared" ca="1" si="1309"/>
        <v>6</v>
      </c>
      <c r="F376" s="75" t="str">
        <f t="shared" ca="1" si="1310"/>
        <v>0</v>
      </c>
      <c r="G376" s="75" t="str">
        <f t="shared" ca="1" si="1311"/>
        <v>0</v>
      </c>
      <c r="H376" s="75" t="str">
        <f t="shared" ca="1" si="1312"/>
        <v>0</v>
      </c>
      <c r="I376" s="75" t="str">
        <f t="shared" ca="1" si="1313"/>
        <v>0</v>
      </c>
      <c r="J376" s="75" t="str">
        <f t="shared" ca="1" si="1196"/>
        <v>0</v>
      </c>
      <c r="K376" s="75" t="str">
        <f t="shared" ca="1" si="1314"/>
        <v>15.6</v>
      </c>
      <c r="L376" s="75" t="str">
        <f t="shared" ca="1" si="1315"/>
        <v>15.6</v>
      </c>
      <c r="M376" s="55" t="s">
        <v>27861</v>
      </c>
      <c r="O376" s="191" t="str">
        <f t="shared" ref="O376:O385" ca="1" si="1316">L376</f>
        <v>15.6</v>
      </c>
      <c r="P376" s="172"/>
      <c r="Q376" s="172"/>
      <c r="R376" s="683" t="s">
        <v>41869</v>
      </c>
      <c r="S376" s="172"/>
      <c r="T376" s="194"/>
      <c r="U376" s="195"/>
      <c r="V376" s="196">
        <f ca="1">IF(VALUE(C376)=1,SUMIFS(V:V,D:D,D376,M:M,"Serviço"),IF(VALUE(C376)=2,SUMIFS(V:V,D:D,D376,E:E,E376,M:M,"Serviço"),IF(VALUE(C376)=3,SUMIFS(V:V,D:D,D376,E:E,E376,F:F,F376,M:M,"Serviço"),IF(VALUE(C376)=4,SUMIFS(V:V,D:D,D376,E:E,E376,F:F,F376,G:G,G376,M:M,"Serviço"),"ERRO"))))</f>
        <v>6246.77</v>
      </c>
      <c r="W376" s="197"/>
      <c r="X376" s="205"/>
      <c r="Y376" s="173">
        <f ca="1">IF(VALUE(C376)=1,SUMIFS(Y:Y,D:D,D376,M:M,"Serviço"),IF(VALUE(C376)=2,SUMIFS(Y:Y,D:D,D376,E:E,E376,M:M,"Serviço"),IF(VALUE(C376)=3,SUMIFS(Y:Y,D:D,D376,E:E,E376,F:F,F376,M:M,"Serviço"),IF(VALUE(C376)=4,SUMIFS(Y:Y,D:D,D376,E:E,E376,F:F,F376,G:G,G376,M:M,"Serviço"),"ERRO"))))</f>
        <v>7651.0599999999995</v>
      </c>
      <c r="AB376" s="641"/>
    </row>
    <row r="377" spans="2:28" s="55" customFormat="1">
      <c r="B377" s="378">
        <f t="shared" ref="B377:B379" ca="1" si="1317">IF(C377="S",IF(OFFSET(C377,-1,0)="S", OFFSET(B377,-1,0), OFFSET(B377,-1,0) +1 ), C377)</f>
        <v>3</v>
      </c>
      <c r="C377" s="378" t="str">
        <f t="shared" si="1105"/>
        <v>S</v>
      </c>
      <c r="D377" s="378">
        <f t="shared" ca="1" si="1195"/>
        <v>15</v>
      </c>
      <c r="E377" s="378">
        <f t="shared" ref="E377:E379" ca="1" si="1318">IF($C377="2",OFFSET(E377,-1,0) +1,IF(OFFSET(D377,-1,0)&lt;&gt;D377,"0",IF(OFFSET(E377,-1,0)="","0",OFFSET(E377,-1,0))))</f>
        <v>6</v>
      </c>
      <c r="F377" s="378" t="str">
        <f t="shared" ref="F377:F379" ca="1" si="1319">IF($C377="3",OFFSET(F377,-1,0) +1,IF(OFFSET(E377,-1,0)&lt;&gt;E377,"0",IF(OFFSET(F377,-1,0)="","0",OFFSET(F377,-1,0))))</f>
        <v>0</v>
      </c>
      <c r="G377" s="378" t="str">
        <f t="shared" ref="G377:G379" ca="1" si="1320">IF($C377="4",OFFSET(G377,-1,0) +1,IF(OFFSET(F377,-1,0)&lt;&gt;F377,"0",IF(OFFSET(G377,-1,0)="","0",OFFSET(G377,-1,0))))</f>
        <v>0</v>
      </c>
      <c r="H377" s="378" t="str">
        <f t="shared" ref="H377:H379" ca="1" si="1321">IF($C377="5",OFFSET(H377,-1,0) +1,IF(OFFSET(G377,-1,0)&lt;&gt;G377,"0",IF(OFFSET(H377,-1,0)="","0",OFFSET(H377,-1,0))))</f>
        <v>0</v>
      </c>
      <c r="I377" s="378" t="str">
        <f t="shared" ref="I377:I379" ca="1" si="1322">IF($C377="6",OFFSET(I377,-1,0) +1,IF(OFFSET(H377,-1,0)&lt;&gt;H377,"0",IF(OFFSET(I377,-1,0)="","0", OFFSET(I377,-1,0))))</f>
        <v>0</v>
      </c>
      <c r="J377" s="378">
        <f t="shared" ca="1" si="1196"/>
        <v>1</v>
      </c>
      <c r="K377" s="378" t="str">
        <f t="shared" ref="K377:K379" si="1323">IF(C377="S","NÃO", IF(C377="1", D377, IF(C377="2", D377 &amp; "." &amp; E377,IF(C377="3", D377 &amp; "." &amp; E377 &amp; "." &amp; F377, IF(C377="4", D377 &amp; "." &amp; E377 &amp; "." &amp; F377 &amp; "." &amp; G377, IF(C377="5", D377 &amp; "." &amp; E377 &amp; "." &amp; F377 &amp; "." &amp; G377 &amp; "." &amp; H377, IF(C377="6", D377 &amp; "." &amp; E377 &amp; "." &amp; F377 &amp; "." &amp; G377 &amp; "." &amp; H377 &amp; "." &amp; I377)))))))</f>
        <v>NÃO</v>
      </c>
      <c r="L377" s="378" t="str">
        <f t="shared" ref="L377:L379" ca="1" si="1324">IF(K377="NÃO",IF($B377=2,D377&amp;"."&amp;J377,IF($B377=3,D377&amp;"."&amp;E377&amp;"."&amp;J377,IF($B377=4,D377&amp;"."&amp;E377&amp;"."&amp;F377&amp;"."&amp;J377,IF($B377=5,D377&amp;"."&amp;E377&amp;"."&amp;F377&amp;"."&amp;G377&amp;"."&amp;J377,IF($B377=6,D377&amp;"."&amp;E377&amp;"."&amp;F377&amp;"."&amp;G377&amp;"."&amp;H377&amp;"."&amp;J377,IF($B377=7,D377&amp;"."&amp;E377&amp;"."&amp;F377&amp;"."&amp;G377&amp;"."&amp;H377&amp;"."&amp;I377&amp;"."&amp;J377,"FALHA")))))),K377)</f>
        <v>15.6.1</v>
      </c>
      <c r="M377" s="55" t="s">
        <v>27868</v>
      </c>
      <c r="O377" s="392" t="str">
        <f t="shared" ref="O377:O379" ca="1" si="1325">L377</f>
        <v>15.6.1</v>
      </c>
      <c r="P377" s="681" t="s">
        <v>29901</v>
      </c>
      <c r="Q377" s="682" t="s">
        <v>15283</v>
      </c>
      <c r="R377" s="415" t="str">
        <f>UPPER(IF(P377="CDHU",VLOOKUP(Q377,'CDHU 201-SD'!$A$1:$J$28014,2,FALSE),IF(P377="FDE",VLOOKUP(Q377,'FDE 01-26-SD'!$A$1:$J$280013,2,FALSE),IF(P377="PRÓPRIA",VLOOKUP(Q377,COMPOSIÇÃO!$1:$1048576,3,FALSE),VLOOKUP(Q377,'SINAPI 04-26-SD'!$A$1:$H$272700,2,FALSE)))))</f>
        <v>INTERRUPTOR BIPOLAR SIMPLES, 1 TECLA DUPLA E PLACA</v>
      </c>
      <c r="S377" s="414" t="str">
        <f>UPPER(IF(P377="CDHU",VLOOKUP(Q377,'CDHU 201-SD'!$A$1:$J$28014,3,FALSE),IF(P377="FDE",VLOOKUP(Q377,'FDE 01-26-SD'!$A$1:$J$280013,3,FALSE),IF(P377="PRÓPRIA",VLOOKUP(Q377,COMPOSIÇÃO!$1:$1048576,7,FALSE),VLOOKUP(Q377,'SINAPI 04-26-SD'!$A$1:$H$272700,3,FALSE)))))</f>
        <v>CJ</v>
      </c>
      <c r="T377" s="393">
        <f>3+8</f>
        <v>11</v>
      </c>
      <c r="U377" s="394">
        <f>TRUNC(IF(P377="CDHU",VLOOKUP(Q377,'CDHU 201-SD'!$A$1:$J$28014,6,FALSE),IF(P377="FDE",VLOOKUP(Q377,'FDE 01-26-SD'!$A$1:$J$280013,6,FALSE),IF(P377="PRÓPRIA",VLOOKUP(Q377,COMPOSIÇÃO!$1:$1048576,10,FALSE),VLOOKUP(Q377,'SINAPI 04-26-SD'!$A$1:$H$272700,4,FALSE)))),2)</f>
        <v>67.010000000000005</v>
      </c>
      <c r="V377" s="416">
        <f t="shared" ref="V377:V379" si="1326">TRUNC(U377*T377,2)</f>
        <v>737.11</v>
      </c>
      <c r="W377" s="395">
        <f>IF($AA377="N",BDI!$D$26,IF($AA377="D",'BDI DIFE.'!$D$26,"ERRO"))</f>
        <v>0.22500000000000001</v>
      </c>
      <c r="X377" s="379">
        <f t="shared" ref="X377:X379" si="1327">TRUNC(U377*(1+W377),2)</f>
        <v>82.08</v>
      </c>
      <c r="Y377" s="380">
        <f t="shared" ref="Y377:Y379" si="1328">TRUNC(T377*X377,2)</f>
        <v>902.88</v>
      </c>
      <c r="Z377" s="381"/>
      <c r="AA377" s="378" t="s">
        <v>28044</v>
      </c>
      <c r="AB377" s="642"/>
    </row>
    <row r="378" spans="2:28" s="55" customFormat="1">
      <c r="B378" s="378">
        <f t="shared" ca="1" si="1317"/>
        <v>3</v>
      </c>
      <c r="C378" s="378" t="str">
        <f t="shared" si="1105"/>
        <v>S</v>
      </c>
      <c r="D378" s="378">
        <f t="shared" ca="1" si="1195"/>
        <v>15</v>
      </c>
      <c r="E378" s="378">
        <f t="shared" ca="1" si="1318"/>
        <v>6</v>
      </c>
      <c r="F378" s="378" t="str">
        <f t="shared" ca="1" si="1319"/>
        <v>0</v>
      </c>
      <c r="G378" s="378" t="str">
        <f t="shared" ca="1" si="1320"/>
        <v>0</v>
      </c>
      <c r="H378" s="378" t="str">
        <f t="shared" ca="1" si="1321"/>
        <v>0</v>
      </c>
      <c r="I378" s="378" t="str">
        <f t="shared" ca="1" si="1322"/>
        <v>0</v>
      </c>
      <c r="J378" s="378">
        <f t="shared" ca="1" si="1196"/>
        <v>2</v>
      </c>
      <c r="K378" s="378" t="str">
        <f t="shared" si="1323"/>
        <v>NÃO</v>
      </c>
      <c r="L378" s="378" t="str">
        <f t="shared" ca="1" si="1324"/>
        <v>15.6.2</v>
      </c>
      <c r="M378" s="55" t="s">
        <v>27868</v>
      </c>
      <c r="O378" s="392" t="str">
        <f t="shared" ca="1" si="1325"/>
        <v>15.6.2</v>
      </c>
      <c r="P378" s="681" t="s">
        <v>29901</v>
      </c>
      <c r="Q378" s="682" t="s">
        <v>15281</v>
      </c>
      <c r="R378" s="415" t="str">
        <f>UPPER(IF(P378="CDHU",VLOOKUP(Q378,'CDHU 201-SD'!$A$1:$J$28014,2,FALSE),IF(P378="FDE",VLOOKUP(Q378,'FDE 01-26-SD'!$A$1:$J$280013,2,FALSE),IF(P378="PRÓPRIA",VLOOKUP(Q378,COMPOSIÇÃO!$1:$1048576,3,FALSE),VLOOKUP(Q378,'SINAPI 04-26-SD'!$A$1:$H$272700,2,FALSE)))))</f>
        <v>INTERRUPTOR BIPOLAR PARALELO, 1 TECLA DUPLA E PLACA</v>
      </c>
      <c r="S378" s="414" t="str">
        <f>UPPER(IF(P378="CDHU",VLOOKUP(Q378,'CDHU 201-SD'!$A$1:$J$28014,3,FALSE),IF(P378="FDE",VLOOKUP(Q378,'FDE 01-26-SD'!$A$1:$J$280013,3,FALSE),IF(P378="PRÓPRIA",VLOOKUP(Q378,COMPOSIÇÃO!$1:$1048576,7,FALSE),VLOOKUP(Q378,'SINAPI 04-26-SD'!$A$1:$H$272700,3,FALSE)))))</f>
        <v>CJ</v>
      </c>
      <c r="T378" s="393">
        <f>6+10</f>
        <v>16</v>
      </c>
      <c r="U378" s="394">
        <f>TRUNC(IF(P378="CDHU",VLOOKUP(Q378,'CDHU 201-SD'!$A$1:$J$28014,6,FALSE),IF(P378="FDE",VLOOKUP(Q378,'FDE 01-26-SD'!$A$1:$J$280013,6,FALSE),IF(P378="PRÓPRIA",VLOOKUP(Q378,COMPOSIÇÃO!$1:$1048576,10,FALSE),VLOOKUP(Q378,'SINAPI 04-26-SD'!$A$1:$H$272700,4,FALSE)))),2)</f>
        <v>72.260000000000005</v>
      </c>
      <c r="V378" s="416">
        <f t="shared" si="1326"/>
        <v>1156.1600000000001</v>
      </c>
      <c r="W378" s="395">
        <f>IF($AA378="N",BDI!$D$26,IF($AA378="D",'BDI DIFE.'!$D$26,"ERRO"))</f>
        <v>0.22500000000000001</v>
      </c>
      <c r="X378" s="379">
        <f t="shared" si="1327"/>
        <v>88.51</v>
      </c>
      <c r="Y378" s="380">
        <f t="shared" si="1328"/>
        <v>1416.16</v>
      </c>
      <c r="Z378" s="381"/>
      <c r="AA378" s="378" t="s">
        <v>28044</v>
      </c>
      <c r="AB378" s="642"/>
    </row>
    <row r="379" spans="2:28" s="55" customFormat="1">
      <c r="B379" s="378">
        <f t="shared" ca="1" si="1317"/>
        <v>3</v>
      </c>
      <c r="C379" s="378" t="str">
        <f t="shared" si="1105"/>
        <v>S</v>
      </c>
      <c r="D379" s="378">
        <f t="shared" ca="1" si="1195"/>
        <v>15</v>
      </c>
      <c r="E379" s="378">
        <f t="shared" ca="1" si="1318"/>
        <v>6</v>
      </c>
      <c r="F379" s="378" t="str">
        <f t="shared" ca="1" si="1319"/>
        <v>0</v>
      </c>
      <c r="G379" s="378" t="str">
        <f t="shared" ca="1" si="1320"/>
        <v>0</v>
      </c>
      <c r="H379" s="378" t="str">
        <f t="shared" ca="1" si="1321"/>
        <v>0</v>
      </c>
      <c r="I379" s="378" t="str">
        <f t="shared" ca="1" si="1322"/>
        <v>0</v>
      </c>
      <c r="J379" s="378">
        <f t="shared" ca="1" si="1196"/>
        <v>3</v>
      </c>
      <c r="K379" s="378" t="str">
        <f t="shared" si="1323"/>
        <v>NÃO</v>
      </c>
      <c r="L379" s="378" t="str">
        <f t="shared" ca="1" si="1324"/>
        <v>15.6.3</v>
      </c>
      <c r="M379" s="55" t="s">
        <v>27868</v>
      </c>
      <c r="O379" s="392" t="str">
        <f t="shared" ca="1" si="1325"/>
        <v>15.6.3</v>
      </c>
      <c r="P379" s="681" t="s">
        <v>29901</v>
      </c>
      <c r="Q379" s="682" t="s">
        <v>15267</v>
      </c>
      <c r="R379" s="415" t="str">
        <f>UPPER(IF(P379="CDHU",VLOOKUP(Q379,'CDHU 201-SD'!$A$1:$J$28014,2,FALSE),IF(P379="FDE",VLOOKUP(Q379,'FDE 01-26-SD'!$A$1:$J$280013,2,FALSE),IF(P379="PRÓPRIA",VLOOKUP(Q379,COMPOSIÇÃO!$1:$1048576,3,FALSE),VLOOKUP(Q379,'SINAPI 04-26-SD'!$A$1:$H$272700,2,FALSE)))))</f>
        <v>INTERRUPTOR COM 2 TECLAS SIMPLES E PLACA</v>
      </c>
      <c r="S379" s="414" t="str">
        <f>UPPER(IF(P379="CDHU",VLOOKUP(Q379,'CDHU 201-SD'!$A$1:$J$28014,3,FALSE),IF(P379="FDE",VLOOKUP(Q379,'FDE 01-26-SD'!$A$1:$J$280013,3,FALSE),IF(P379="PRÓPRIA",VLOOKUP(Q379,COMPOSIÇÃO!$1:$1048576,7,FALSE),VLOOKUP(Q379,'SINAPI 04-26-SD'!$A$1:$H$272700,3,FALSE)))))</f>
        <v>CJ</v>
      </c>
      <c r="T379" s="393">
        <v>6</v>
      </c>
      <c r="U379" s="394">
        <f>TRUNC(IF(P379="CDHU",VLOOKUP(Q379,'CDHU 201-SD'!$A$1:$J$28014,6,FALSE),IF(P379="FDE",VLOOKUP(Q379,'FDE 01-26-SD'!$A$1:$J$280013,6,FALSE),IF(P379="PRÓPRIA",VLOOKUP(Q379,COMPOSIÇÃO!$1:$1048576,10,FALSE),VLOOKUP(Q379,'SINAPI 04-26-SD'!$A$1:$H$272700,4,FALSE)))),2)</f>
        <v>43.83</v>
      </c>
      <c r="V379" s="416">
        <f t="shared" si="1326"/>
        <v>262.98</v>
      </c>
      <c r="W379" s="395">
        <f>IF($AA379="N",BDI!$D$26,IF($AA379="D",'BDI DIFE.'!$D$26,"ERRO"))</f>
        <v>0.22500000000000001</v>
      </c>
      <c r="X379" s="379">
        <f t="shared" si="1327"/>
        <v>53.69</v>
      </c>
      <c r="Y379" s="380">
        <f t="shared" si="1328"/>
        <v>322.14</v>
      </c>
      <c r="Z379" s="381"/>
      <c r="AA379" s="378" t="s">
        <v>28044</v>
      </c>
      <c r="AB379" s="642"/>
    </row>
    <row r="380" spans="2:28" s="55" customFormat="1">
      <c r="B380" s="378">
        <f t="shared" ca="1" si="1308"/>
        <v>3</v>
      </c>
      <c r="C380" s="378" t="str">
        <f t="shared" si="1105"/>
        <v>S</v>
      </c>
      <c r="D380" s="378">
        <f t="shared" ca="1" si="1195"/>
        <v>15</v>
      </c>
      <c r="E380" s="378">
        <f t="shared" ca="1" si="1309"/>
        <v>6</v>
      </c>
      <c r="F380" s="378" t="str">
        <f t="shared" ca="1" si="1310"/>
        <v>0</v>
      </c>
      <c r="G380" s="378" t="str">
        <f t="shared" ca="1" si="1311"/>
        <v>0</v>
      </c>
      <c r="H380" s="378" t="str">
        <f t="shared" ca="1" si="1312"/>
        <v>0</v>
      </c>
      <c r="I380" s="378" t="str">
        <f t="shared" ca="1" si="1313"/>
        <v>0</v>
      </c>
      <c r="J380" s="378">
        <f t="shared" ca="1" si="1196"/>
        <v>4</v>
      </c>
      <c r="K380" s="378" t="str">
        <f t="shared" si="1314"/>
        <v>NÃO</v>
      </c>
      <c r="L380" s="378" t="str">
        <f t="shared" ca="1" si="1315"/>
        <v>15.6.4</v>
      </c>
      <c r="M380" s="55" t="s">
        <v>27868</v>
      </c>
      <c r="O380" s="392" t="str">
        <f t="shared" ca="1" si="1316"/>
        <v>15.6.4</v>
      </c>
      <c r="P380" s="681" t="s">
        <v>29901</v>
      </c>
      <c r="Q380" s="682" t="s">
        <v>15265</v>
      </c>
      <c r="R380" s="415" t="str">
        <f>UPPER(IF(P380="CDHU",VLOOKUP(Q380,'CDHU 201-SD'!$A$1:$J$28014,2,FALSE),IF(P380="FDE",VLOOKUP(Q380,'FDE 01-26-SD'!$A$1:$J$280013,2,FALSE),IF(P380="PRÓPRIA",VLOOKUP(Q380,COMPOSIÇÃO!$1:$1048576,3,FALSE),VLOOKUP(Q380,'SINAPI 04-26-SD'!$A$1:$H$272700,2,FALSE)))))</f>
        <v>INTERRUPTOR COM 1 TECLA SIMPLES E PLACA</v>
      </c>
      <c r="S380" s="414" t="str">
        <f>UPPER(IF(P380="CDHU",VLOOKUP(Q380,'CDHU 201-SD'!$A$1:$J$28014,3,FALSE),IF(P380="FDE",VLOOKUP(Q380,'FDE 01-26-SD'!$A$1:$J$280013,3,FALSE),IF(P380="PRÓPRIA",VLOOKUP(Q380,COMPOSIÇÃO!$1:$1048576,7,FALSE),VLOOKUP(Q380,'SINAPI 04-26-SD'!$A$1:$H$272700,3,FALSE)))))</f>
        <v>CJ</v>
      </c>
      <c r="T380" s="393">
        <v>13</v>
      </c>
      <c r="U380" s="394">
        <f>TRUNC(IF(P380="CDHU",VLOOKUP(Q380,'CDHU 201-SD'!$A$1:$J$28014,6,FALSE),IF(P380="FDE",VLOOKUP(Q380,'FDE 01-26-SD'!$A$1:$J$280013,6,FALSE),IF(P380="PRÓPRIA",VLOOKUP(Q380,COMPOSIÇÃO!$1:$1048576,10,FALSE),VLOOKUP(Q380,'SINAPI 04-26-SD'!$A$1:$H$272700,4,FALSE)))),2)</f>
        <v>33.47</v>
      </c>
      <c r="V380" s="416">
        <f t="shared" ref="V380:V385" si="1329">TRUNC(U380*T380,2)</f>
        <v>435.11</v>
      </c>
      <c r="W380" s="395">
        <f>IF($AA380="N",BDI!$D$26,IF($AA380="D",'BDI DIFE.'!$D$26,"ERRO"))</f>
        <v>0.22500000000000001</v>
      </c>
      <c r="X380" s="379">
        <f t="shared" ref="X380:X385" si="1330">TRUNC(U380*(1+W380),2)</f>
        <v>41</v>
      </c>
      <c r="Y380" s="380">
        <f t="shared" ref="Y380:Y385" si="1331">TRUNC(T380*X380,2)</f>
        <v>533</v>
      </c>
      <c r="Z380" s="381"/>
      <c r="AA380" s="378" t="s">
        <v>28044</v>
      </c>
      <c r="AB380" s="642"/>
    </row>
    <row r="381" spans="2:28" s="55" customFormat="1" ht="30">
      <c r="B381" s="378">
        <f t="shared" ca="1" si="1308"/>
        <v>3</v>
      </c>
      <c r="C381" s="378" t="str">
        <f t="shared" si="1105"/>
        <v>S</v>
      </c>
      <c r="D381" s="378">
        <f t="shared" ca="1" si="1195"/>
        <v>15</v>
      </c>
      <c r="E381" s="378">
        <f t="shared" ca="1" si="1309"/>
        <v>6</v>
      </c>
      <c r="F381" s="378" t="str">
        <f t="shared" ca="1" si="1310"/>
        <v>0</v>
      </c>
      <c r="G381" s="378" t="str">
        <f t="shared" ca="1" si="1311"/>
        <v>0</v>
      </c>
      <c r="H381" s="378" t="str">
        <f t="shared" ca="1" si="1312"/>
        <v>0</v>
      </c>
      <c r="I381" s="378" t="str">
        <f t="shared" ca="1" si="1313"/>
        <v>0</v>
      </c>
      <c r="J381" s="378">
        <f t="shared" ca="1" si="1196"/>
        <v>5</v>
      </c>
      <c r="K381" s="378" t="str">
        <f t="shared" si="1314"/>
        <v>NÃO</v>
      </c>
      <c r="L381" s="378" t="str">
        <f t="shared" ca="1" si="1315"/>
        <v>15.6.5</v>
      </c>
      <c r="M381" s="55" t="s">
        <v>27868</v>
      </c>
      <c r="O381" s="392" t="str">
        <f t="shared" ca="1" si="1316"/>
        <v>15.6.5</v>
      </c>
      <c r="P381" s="681" t="s">
        <v>29901</v>
      </c>
      <c r="Q381" s="682" t="s">
        <v>15257</v>
      </c>
      <c r="R381" s="415" t="str">
        <f>UPPER(IF(P381="CDHU",VLOOKUP(Q381,'CDHU 201-SD'!$A$1:$J$28014,2,FALSE),IF(P381="FDE",VLOOKUP(Q381,'FDE 01-26-SD'!$A$1:$J$280013,2,FALSE),IF(P381="PRÓPRIA",VLOOKUP(Q381,COMPOSIÇÃO!$1:$1048576,3,FALSE),VLOOKUP(Q381,'SINAPI 04-26-SD'!$A$1:$H$272700,2,FALSE)))))</f>
        <v>CONJUNTO 1 INTERRUPTOR SIMPLES E 1 TOMADA 2P+T DE 10 A, COMPLETO</v>
      </c>
      <c r="S381" s="414" t="str">
        <f>UPPER(IF(P381="CDHU",VLOOKUP(Q381,'CDHU 201-SD'!$A$1:$J$28014,3,FALSE),IF(P381="FDE",VLOOKUP(Q381,'FDE 01-26-SD'!$A$1:$J$280013,3,FALSE),IF(P381="PRÓPRIA",VLOOKUP(Q381,COMPOSIÇÃO!$1:$1048576,7,FALSE),VLOOKUP(Q381,'SINAPI 04-26-SD'!$A$1:$H$272700,3,FALSE)))))</f>
        <v>CJ</v>
      </c>
      <c r="T381" s="393">
        <v>2</v>
      </c>
      <c r="U381" s="394">
        <f>TRUNC(IF(P381="CDHU",VLOOKUP(Q381,'CDHU 201-SD'!$A$1:$J$28014,6,FALSE),IF(P381="FDE",VLOOKUP(Q381,'FDE 01-26-SD'!$A$1:$J$280013,6,FALSE),IF(P381="PRÓPRIA",VLOOKUP(Q381,COMPOSIÇÃO!$1:$1048576,10,FALSE),VLOOKUP(Q381,'SINAPI 04-26-SD'!$A$1:$H$272700,4,FALSE)))),2)</f>
        <v>43.44</v>
      </c>
      <c r="V381" s="416">
        <f t="shared" si="1329"/>
        <v>86.88</v>
      </c>
      <c r="W381" s="395">
        <f>IF($AA381="N",BDI!$D$26,IF($AA381="D",'BDI DIFE.'!$D$26,"ERRO"))</f>
        <v>0.22500000000000001</v>
      </c>
      <c r="X381" s="379">
        <f t="shared" si="1330"/>
        <v>53.21</v>
      </c>
      <c r="Y381" s="380">
        <f t="shared" si="1331"/>
        <v>106.42</v>
      </c>
      <c r="Z381" s="381"/>
      <c r="AA381" s="378" t="s">
        <v>28044</v>
      </c>
      <c r="AB381" s="642"/>
    </row>
    <row r="382" spans="2:28" s="55" customFormat="1">
      <c r="B382" s="378">
        <f t="shared" ref="B382:B384" ca="1" si="1332">IF(C382="S",IF(OFFSET(C382,-1,0)="S", OFFSET(B382,-1,0), OFFSET(B382,-1,0) +1 ), C382)</f>
        <v>3</v>
      </c>
      <c r="C382" s="378" t="str">
        <f t="shared" si="1105"/>
        <v>S</v>
      </c>
      <c r="D382" s="378">
        <f t="shared" ca="1" si="1195"/>
        <v>15</v>
      </c>
      <c r="E382" s="378">
        <f t="shared" ref="E382:E384" ca="1" si="1333">IF($C382="2",OFFSET(E382,-1,0) +1,IF(OFFSET(D382,-1,0)&lt;&gt;D382,"0",IF(OFFSET(E382,-1,0)="","0",OFFSET(E382,-1,0))))</f>
        <v>6</v>
      </c>
      <c r="F382" s="378" t="str">
        <f t="shared" ref="F382:F384" ca="1" si="1334">IF($C382="3",OFFSET(F382,-1,0) +1,IF(OFFSET(E382,-1,0)&lt;&gt;E382,"0",IF(OFFSET(F382,-1,0)="","0",OFFSET(F382,-1,0))))</f>
        <v>0</v>
      </c>
      <c r="G382" s="378" t="str">
        <f t="shared" ref="G382:G384" ca="1" si="1335">IF($C382="4",OFFSET(G382,-1,0) +1,IF(OFFSET(F382,-1,0)&lt;&gt;F382,"0",IF(OFFSET(G382,-1,0)="","0",OFFSET(G382,-1,0))))</f>
        <v>0</v>
      </c>
      <c r="H382" s="378" t="str">
        <f t="shared" ref="H382:H384" ca="1" si="1336">IF($C382="5",OFFSET(H382,-1,0) +1,IF(OFFSET(G382,-1,0)&lt;&gt;G382,"0",IF(OFFSET(H382,-1,0)="","0",OFFSET(H382,-1,0))))</f>
        <v>0</v>
      </c>
      <c r="I382" s="378" t="str">
        <f t="shared" ref="I382:I384" ca="1" si="1337">IF($C382="6",OFFSET(I382,-1,0) +1,IF(OFFSET(H382,-1,0)&lt;&gt;H382,"0",IF(OFFSET(I382,-1,0)="","0", OFFSET(I382,-1,0))))</f>
        <v>0</v>
      </c>
      <c r="J382" s="378">
        <f t="shared" ca="1" si="1196"/>
        <v>6</v>
      </c>
      <c r="K382" s="378" t="str">
        <f t="shared" ref="K382:K384" si="1338">IF(C382="S","NÃO", IF(C382="1", D382, IF(C382="2", D382 &amp; "." &amp; E382,IF(C382="3", D382 &amp; "." &amp; E382 &amp; "." &amp; F382, IF(C382="4", D382 &amp; "." &amp; E382 &amp; "." &amp; F382 &amp; "." &amp; G382, IF(C382="5", D382 &amp; "." &amp; E382 &amp; "." &amp; F382 &amp; "." &amp; G382 &amp; "." &amp; H382, IF(C382="6", D382 &amp; "." &amp; E382 &amp; "." &amp; F382 &amp; "." &amp; G382 &amp; "." &amp; H382 &amp; "." &amp; I382)))))))</f>
        <v>NÃO</v>
      </c>
      <c r="L382" s="378" t="str">
        <f t="shared" ref="L382:L384" ca="1" si="1339">IF(K382="NÃO",IF($B382=2,D382&amp;"."&amp;J382,IF($B382=3,D382&amp;"."&amp;E382&amp;"."&amp;J382,IF($B382=4,D382&amp;"."&amp;E382&amp;"."&amp;F382&amp;"."&amp;J382,IF($B382=5,D382&amp;"."&amp;E382&amp;"."&amp;F382&amp;"."&amp;G382&amp;"."&amp;J382,IF($B382=6,D382&amp;"."&amp;E382&amp;"."&amp;F382&amp;"."&amp;G382&amp;"."&amp;H382&amp;"."&amp;J382,IF($B382=7,D382&amp;"."&amp;E382&amp;"."&amp;F382&amp;"."&amp;G382&amp;"."&amp;H382&amp;"."&amp;I382&amp;"."&amp;J382,"FALHA")))))),K382)</f>
        <v>15.6.6</v>
      </c>
      <c r="M382" s="55" t="s">
        <v>27868</v>
      </c>
      <c r="O382" s="392" t="str">
        <f t="shared" ref="O382:O384" ca="1" si="1340">L382</f>
        <v>15.6.6</v>
      </c>
      <c r="P382" s="681" t="s">
        <v>29901</v>
      </c>
      <c r="Q382" s="682" t="s">
        <v>15251</v>
      </c>
      <c r="R382" s="415" t="str">
        <f>UPPER(IF(P382="CDHU",VLOOKUP(Q382,'CDHU 201-SD'!$A$1:$J$28014,2,FALSE),IF(P382="FDE",VLOOKUP(Q382,'FDE 01-26-SD'!$A$1:$J$280013,2,FALSE),IF(P382="PRÓPRIA",VLOOKUP(Q382,COMPOSIÇÃO!$1:$1048576,3,FALSE),VLOOKUP(Q382,'SINAPI 04-26-SD'!$A$1:$H$272700,2,FALSE)))))</f>
        <v>TOMADA 2P+T DE 10 A - 250 V, COMPLETA</v>
      </c>
      <c r="S382" s="414" t="str">
        <f>UPPER(IF(P382="CDHU",VLOOKUP(Q382,'CDHU 201-SD'!$A$1:$J$28014,3,FALSE),IF(P382="FDE",VLOOKUP(Q382,'FDE 01-26-SD'!$A$1:$J$280013,3,FALSE),IF(P382="PRÓPRIA",VLOOKUP(Q382,COMPOSIÇÃO!$1:$1048576,7,FALSE),VLOOKUP(Q382,'SINAPI 04-26-SD'!$A$1:$H$272700,3,FALSE)))))</f>
        <v>CJ</v>
      </c>
      <c r="T382" s="393">
        <f>5+2*45+4+3</f>
        <v>102</v>
      </c>
      <c r="U382" s="394">
        <f>TRUNC(IF(P382="CDHU",VLOOKUP(Q382,'CDHU 201-SD'!$A$1:$J$28014,6,FALSE),IF(P382="FDE",VLOOKUP(Q382,'FDE 01-26-SD'!$A$1:$J$280013,6,FALSE),IF(P382="PRÓPRIA",VLOOKUP(Q382,COMPOSIÇÃO!$1:$1048576,10,FALSE),VLOOKUP(Q382,'SINAPI 04-26-SD'!$A$1:$H$272700,4,FALSE)))),2)</f>
        <v>29.55</v>
      </c>
      <c r="V382" s="416">
        <f t="shared" ref="V382:V384" si="1341">TRUNC(U382*T382,2)</f>
        <v>3014.1</v>
      </c>
      <c r="W382" s="395">
        <f>IF($AA382="N",BDI!$D$26,IF($AA382="D",'BDI DIFE.'!$D$26,"ERRO"))</f>
        <v>0.22500000000000001</v>
      </c>
      <c r="X382" s="379">
        <f t="shared" ref="X382:X384" si="1342">TRUNC(U382*(1+W382),2)</f>
        <v>36.19</v>
      </c>
      <c r="Y382" s="380">
        <f t="shared" ref="Y382:Y384" si="1343">TRUNC(T382*X382,2)</f>
        <v>3691.38</v>
      </c>
      <c r="Z382" s="381"/>
      <c r="AA382" s="378" t="s">
        <v>28044</v>
      </c>
      <c r="AB382" s="642"/>
    </row>
    <row r="383" spans="2:28" s="55" customFormat="1">
      <c r="B383" s="378">
        <f t="shared" ca="1" si="1332"/>
        <v>3</v>
      </c>
      <c r="C383" s="378" t="str">
        <f t="shared" si="1105"/>
        <v>S</v>
      </c>
      <c r="D383" s="378">
        <f t="shared" ca="1" si="1195"/>
        <v>15</v>
      </c>
      <c r="E383" s="378">
        <f t="shared" ca="1" si="1333"/>
        <v>6</v>
      </c>
      <c r="F383" s="378" t="str">
        <f t="shared" ca="1" si="1334"/>
        <v>0</v>
      </c>
      <c r="G383" s="378" t="str">
        <f t="shared" ca="1" si="1335"/>
        <v>0</v>
      </c>
      <c r="H383" s="378" t="str">
        <f t="shared" ca="1" si="1336"/>
        <v>0</v>
      </c>
      <c r="I383" s="378" t="str">
        <f t="shared" ca="1" si="1337"/>
        <v>0</v>
      </c>
      <c r="J383" s="378">
        <f t="shared" ca="1" si="1196"/>
        <v>7</v>
      </c>
      <c r="K383" s="378" t="str">
        <f t="shared" si="1338"/>
        <v>NÃO</v>
      </c>
      <c r="L383" s="378" t="str">
        <f t="shared" ca="1" si="1339"/>
        <v>15.6.7</v>
      </c>
      <c r="M383" s="55" t="s">
        <v>27868</v>
      </c>
      <c r="O383" s="392" t="str">
        <f t="shared" ca="1" si="1340"/>
        <v>15.6.7</v>
      </c>
      <c r="P383" s="681" t="s">
        <v>29901</v>
      </c>
      <c r="Q383" s="682" t="s">
        <v>15253</v>
      </c>
      <c r="R383" s="415" t="str">
        <f>UPPER(IF(P383="CDHU",VLOOKUP(Q383,'CDHU 201-SD'!$A$1:$J$28014,2,FALSE),IF(P383="FDE",VLOOKUP(Q383,'FDE 01-26-SD'!$A$1:$J$280013,2,FALSE),IF(P383="PRÓPRIA",VLOOKUP(Q383,COMPOSIÇÃO!$1:$1048576,3,FALSE),VLOOKUP(Q383,'SINAPI 04-26-SD'!$A$1:$H$272700,2,FALSE)))))</f>
        <v>TOMADA 2P+T DE 20 A - 250 V, COMPLETA</v>
      </c>
      <c r="S383" s="414" t="str">
        <f>UPPER(IF(P383="CDHU",VLOOKUP(Q383,'CDHU 201-SD'!$A$1:$J$28014,3,FALSE),IF(P383="FDE",VLOOKUP(Q383,'FDE 01-26-SD'!$A$1:$J$280013,3,FALSE),IF(P383="PRÓPRIA",VLOOKUP(Q383,COMPOSIÇÃO!$1:$1048576,7,FALSE),VLOOKUP(Q383,'SINAPI 04-26-SD'!$A$1:$H$272700,3,FALSE)))))</f>
        <v>CJ</v>
      </c>
      <c r="T383" s="393">
        <f>9+1</f>
        <v>10</v>
      </c>
      <c r="U383" s="394">
        <f>TRUNC(IF(P383="CDHU",VLOOKUP(Q383,'CDHU 201-SD'!$A$1:$J$28014,6,FALSE),IF(P383="FDE",VLOOKUP(Q383,'FDE 01-26-SD'!$A$1:$J$280013,6,FALSE),IF(P383="PRÓPRIA",VLOOKUP(Q383,COMPOSIÇÃO!$1:$1048576,10,FALSE),VLOOKUP(Q383,'SINAPI 04-26-SD'!$A$1:$H$272700,4,FALSE)))),2)</f>
        <v>31.13</v>
      </c>
      <c r="V383" s="416">
        <f t="shared" si="1341"/>
        <v>311.3</v>
      </c>
      <c r="W383" s="395">
        <f>IF($AA383="N",BDI!$D$26,IF($AA383="D",'BDI DIFE.'!$D$26,"ERRO"))</f>
        <v>0.22500000000000001</v>
      </c>
      <c r="X383" s="379">
        <f t="shared" si="1342"/>
        <v>38.130000000000003</v>
      </c>
      <c r="Y383" s="380">
        <f t="shared" si="1343"/>
        <v>381.3</v>
      </c>
      <c r="Z383" s="381"/>
      <c r="AA383" s="378" t="s">
        <v>28044</v>
      </c>
      <c r="AB383" s="642"/>
    </row>
    <row r="384" spans="2:28" s="55" customFormat="1">
      <c r="B384" s="378">
        <f t="shared" ca="1" si="1332"/>
        <v>3</v>
      </c>
      <c r="C384" s="378" t="str">
        <f t="shared" si="1105"/>
        <v>S</v>
      </c>
      <c r="D384" s="378">
        <f t="shared" ca="1" si="1195"/>
        <v>15</v>
      </c>
      <c r="E384" s="378">
        <f t="shared" ca="1" si="1333"/>
        <v>6</v>
      </c>
      <c r="F384" s="378" t="str">
        <f t="shared" ca="1" si="1334"/>
        <v>0</v>
      </c>
      <c r="G384" s="378" t="str">
        <f t="shared" ca="1" si="1335"/>
        <v>0</v>
      </c>
      <c r="H384" s="378" t="str">
        <f t="shared" ca="1" si="1336"/>
        <v>0</v>
      </c>
      <c r="I384" s="378" t="str">
        <f t="shared" ca="1" si="1337"/>
        <v>0</v>
      </c>
      <c r="J384" s="378">
        <f t="shared" ca="1" si="1196"/>
        <v>8</v>
      </c>
      <c r="K384" s="378" t="str">
        <f t="shared" si="1338"/>
        <v>NÃO</v>
      </c>
      <c r="L384" s="378" t="str">
        <f t="shared" ca="1" si="1339"/>
        <v>15.6.8</v>
      </c>
      <c r="M384" s="55" t="s">
        <v>27868</v>
      </c>
      <c r="O384" s="392" t="str">
        <f t="shared" ca="1" si="1340"/>
        <v>15.6.8</v>
      </c>
      <c r="P384" s="681" t="s">
        <v>29901</v>
      </c>
      <c r="Q384" s="682" t="s">
        <v>15407</v>
      </c>
      <c r="R384" s="415" t="str">
        <f>UPPER(IF(P384="CDHU",VLOOKUP(Q384,'CDHU 201-SD'!$A$1:$J$28014,2,FALSE),IF(P384="FDE",VLOOKUP(Q384,'FDE 01-26-SD'!$A$1:$J$280013,2,FALSE),IF(P384="PRÓPRIA",VLOOKUP(Q384,COMPOSIÇÃO!$1:$1048576,3,FALSE),VLOOKUP(Q384,'SINAPI 04-26-SD'!$A$1:$H$272700,2,FALSE)))))</f>
        <v>PLACA DE 4´ X 2´</v>
      </c>
      <c r="S384" s="414" t="str">
        <f>UPPER(IF(P384="CDHU",VLOOKUP(Q384,'CDHU 201-SD'!$A$1:$J$28014,3,FALSE),IF(P384="FDE",VLOOKUP(Q384,'FDE 01-26-SD'!$A$1:$J$280013,3,FALSE),IF(P384="PRÓPRIA",VLOOKUP(Q384,COMPOSIÇÃO!$1:$1048576,7,FALSE),VLOOKUP(Q384,'SINAPI 04-26-SD'!$A$1:$H$272700,3,FALSE)))))</f>
        <v>UN</v>
      </c>
      <c r="T384" s="393">
        <v>22</v>
      </c>
      <c r="U384" s="394">
        <f>TRUNC(IF(P384="CDHU",VLOOKUP(Q384,'CDHU 201-SD'!$A$1:$J$28014,6,FALSE),IF(P384="FDE",VLOOKUP(Q384,'FDE 01-26-SD'!$A$1:$J$280013,6,FALSE),IF(P384="PRÓPRIA",VLOOKUP(Q384,COMPOSIÇÃO!$1:$1048576,10,FALSE),VLOOKUP(Q384,'SINAPI 04-26-SD'!$A$1:$H$272700,4,FALSE)))),2)</f>
        <v>6.01</v>
      </c>
      <c r="V384" s="416">
        <f t="shared" si="1341"/>
        <v>132.22</v>
      </c>
      <c r="W384" s="395">
        <f>IF($AA384="N",BDI!$D$26,IF($AA384="D",'BDI DIFE.'!$D$26,"ERRO"))</f>
        <v>0.22500000000000001</v>
      </c>
      <c r="X384" s="379">
        <f t="shared" si="1342"/>
        <v>7.36</v>
      </c>
      <c r="Y384" s="380">
        <f t="shared" si="1343"/>
        <v>161.91999999999999</v>
      </c>
      <c r="Z384" s="381"/>
      <c r="AA384" s="378" t="s">
        <v>28044</v>
      </c>
      <c r="AB384" s="642"/>
    </row>
    <row r="385" spans="2:28" s="55" customFormat="1" ht="16" thickBot="1">
      <c r="B385" s="378">
        <f t="shared" ca="1" si="1308"/>
        <v>3</v>
      </c>
      <c r="C385" s="378" t="str">
        <f t="shared" si="1105"/>
        <v>S</v>
      </c>
      <c r="D385" s="378">
        <f t="shared" ca="1" si="1195"/>
        <v>15</v>
      </c>
      <c r="E385" s="378">
        <f t="shared" ca="1" si="1309"/>
        <v>6</v>
      </c>
      <c r="F385" s="378" t="str">
        <f t="shared" ca="1" si="1310"/>
        <v>0</v>
      </c>
      <c r="G385" s="378" t="str">
        <f t="shared" ca="1" si="1311"/>
        <v>0</v>
      </c>
      <c r="H385" s="378" t="str">
        <f t="shared" ca="1" si="1312"/>
        <v>0</v>
      </c>
      <c r="I385" s="378" t="str">
        <f t="shared" ca="1" si="1313"/>
        <v>0</v>
      </c>
      <c r="J385" s="378">
        <f t="shared" ca="1" si="1196"/>
        <v>9</v>
      </c>
      <c r="K385" s="378" t="str">
        <f t="shared" si="1314"/>
        <v>NÃO</v>
      </c>
      <c r="L385" s="378" t="str">
        <f t="shared" ca="1" si="1315"/>
        <v>15.6.9</v>
      </c>
      <c r="M385" s="55" t="s">
        <v>27868</v>
      </c>
      <c r="O385" s="392" t="str">
        <f t="shared" ca="1" si="1316"/>
        <v>15.6.9</v>
      </c>
      <c r="P385" s="681" t="s">
        <v>29901</v>
      </c>
      <c r="Q385" s="682" t="s">
        <v>15353</v>
      </c>
      <c r="R385" s="415" t="str">
        <f>UPPER(IF(P385="CDHU",VLOOKUP(Q385,'CDHU 201-SD'!$A$1:$J$28014,2,FALSE),IF(P385="FDE",VLOOKUP(Q385,'FDE 01-26-SD'!$A$1:$J$280013,2,FALSE),IF(P385="PRÓPRIA",VLOOKUP(Q385,COMPOSIÇÃO!$1:$1048576,3,FALSE),VLOOKUP(Q385,'SINAPI 04-26-SD'!$A$1:$H$272700,2,FALSE)))))</f>
        <v>RELÉ FOTOELÉTRICO 50/60 HZ, 110/220 V, 1200 VA, COMPLETO</v>
      </c>
      <c r="S385" s="414" t="str">
        <f>UPPER(IF(P385="CDHU",VLOOKUP(Q385,'CDHU 201-SD'!$A$1:$J$28014,3,FALSE),IF(P385="FDE",VLOOKUP(Q385,'FDE 01-26-SD'!$A$1:$J$280013,3,FALSE),IF(P385="PRÓPRIA",VLOOKUP(Q385,COMPOSIÇÃO!$1:$1048576,7,FALSE),VLOOKUP(Q385,'SINAPI 04-26-SD'!$A$1:$H$272700,3,FALSE)))))</f>
        <v>UN</v>
      </c>
      <c r="T385" s="393">
        <v>1</v>
      </c>
      <c r="U385" s="394">
        <f>TRUNC(IF(P385="CDHU",VLOOKUP(Q385,'CDHU 201-SD'!$A$1:$J$28014,6,FALSE),IF(P385="FDE",VLOOKUP(Q385,'FDE 01-26-SD'!$A$1:$J$280013,6,FALSE),IF(P385="PRÓPRIA",VLOOKUP(Q385,COMPOSIÇÃO!$1:$1048576,10,FALSE),VLOOKUP(Q385,'SINAPI 04-26-SD'!$A$1:$H$272700,4,FALSE)))),2)</f>
        <v>110.91</v>
      </c>
      <c r="V385" s="416">
        <f t="shared" si="1329"/>
        <v>110.91</v>
      </c>
      <c r="W385" s="395">
        <f>IF($AA385="N",BDI!$D$26,IF($AA385="D",'BDI DIFE.'!$D$26,"ERRO"))</f>
        <v>0.22500000000000001</v>
      </c>
      <c r="X385" s="379">
        <f t="shared" si="1330"/>
        <v>135.86000000000001</v>
      </c>
      <c r="Y385" s="380">
        <f t="shared" si="1331"/>
        <v>135.86000000000001</v>
      </c>
      <c r="Z385" s="381"/>
      <c r="AA385" s="378" t="s">
        <v>28044</v>
      </c>
      <c r="AB385" s="642"/>
    </row>
    <row r="386" spans="2:28" s="55" customFormat="1" ht="16" thickBot="1">
      <c r="B386" s="378" t="str">
        <f t="shared" ref="B386:B479" ca="1" si="1344">IF(C386="S",IF(OFFSET(C386,-1,0)="S", OFFSET(B386,-1,0), OFFSET(B386,-1,0) +1 ), C386)</f>
        <v/>
      </c>
      <c r="C386" s="378" t="str">
        <f t="shared" si="1105"/>
        <v/>
      </c>
      <c r="D386" s="378">
        <f t="shared" ca="1" si="1195"/>
        <v>15</v>
      </c>
      <c r="E386" s="378">
        <f t="shared" ref="E386:E479" ca="1" si="1345">IF($C386="2",OFFSET(E386,-1,0) +1,IF(OFFSET(D386,-1,0)&lt;&gt;D386,"0",IF(OFFSET(E386,-1,0)="","0",OFFSET(E386,-1,0))))</f>
        <v>6</v>
      </c>
      <c r="F386" s="378" t="str">
        <f t="shared" ref="F386:F479" ca="1" si="1346">IF($C386="3",OFFSET(F386,-1,0) +1,IF(OFFSET(E386,-1,0)&lt;&gt;E386,"0",IF(OFFSET(F386,-1,0)="","0",OFFSET(F386,-1,0))))</f>
        <v>0</v>
      </c>
      <c r="G386" s="378" t="str">
        <f t="shared" ref="G386:G479" ca="1" si="1347">IF($C386="4",OFFSET(G386,-1,0) +1,IF(OFFSET(F386,-1,0)&lt;&gt;F386,"0",IF(OFFSET(G386,-1,0)="","0",OFFSET(G386,-1,0))))</f>
        <v>0</v>
      </c>
      <c r="H386" s="378" t="str">
        <f t="shared" ref="H386:H479" ca="1" si="1348">IF($C386="5",OFFSET(H386,-1,0) +1,IF(OFFSET(G386,-1,0)&lt;&gt;G386,"0",IF(OFFSET(H386,-1,0)="","0",OFFSET(H386,-1,0))))</f>
        <v>0</v>
      </c>
      <c r="I386" s="378" t="str">
        <f t="shared" ref="I386:I479" ca="1" si="1349">IF($C386="6",OFFSET(I386,-1,0) +1,IF(OFFSET(H386,-1,0)&lt;&gt;H386,"0",IF(OFFSET(I386,-1,0)="","0", OFFSET(I386,-1,0))))</f>
        <v>0</v>
      </c>
      <c r="J386" s="378" t="str">
        <f t="shared" ca="1" si="1196"/>
        <v>0</v>
      </c>
      <c r="K386" s="378" t="b">
        <f t="shared" ref="K386:K479" si="1350">IF(C386="S","NÃO", IF(C386="1", D386, IF(C386="2", D386 &amp; "." &amp; E386,IF(C386="3", D386 &amp; "." &amp; E386 &amp; "." &amp; F386, IF(C386="4", D386 &amp; "." &amp; E386 &amp; "." &amp; F386 &amp; "." &amp; G386, IF(C386="5", D386 &amp; "." &amp; E386 &amp; "." &amp; F386 &amp; "." &amp; G386 &amp; "." &amp; H386, IF(C386="6", D386 &amp; "." &amp; E386 &amp; "." &amp; F386 &amp; "." &amp; G386 &amp; "." &amp; H386 &amp; "." &amp; I386)))))))</f>
        <v>0</v>
      </c>
      <c r="L386" s="378" t="b">
        <f t="shared" ref="L386:L479" si="1351">IF(K386="NÃO",IF($B386=2,D386&amp;"."&amp;J386,IF($B386=3,D386&amp;"."&amp;E386&amp;"."&amp;J386,IF($B386=4,D386&amp;"."&amp;E386&amp;"."&amp;F386&amp;"."&amp;J386,IF($B386=5,D386&amp;"."&amp;E386&amp;"."&amp;F386&amp;"."&amp;G386&amp;"."&amp;J386,IF($B386=6,D386&amp;"."&amp;E386&amp;"."&amp;F386&amp;"."&amp;G386&amp;"."&amp;H386&amp;"."&amp;J386,IF($B386=7,D386&amp;"."&amp;E386&amp;"."&amp;F386&amp;"."&amp;G386&amp;"."&amp;H386&amp;"."&amp;I386&amp;"."&amp;J386,"FALHA")))))),K386)</f>
        <v>0</v>
      </c>
      <c r="O386" s="192"/>
      <c r="P386" s="387"/>
      <c r="Q386" s="387"/>
      <c r="R386" s="377"/>
      <c r="S386" s="387"/>
      <c r="T386" s="363"/>
      <c r="U386" s="388"/>
      <c r="V386" s="389"/>
      <c r="W386" s="389"/>
      <c r="X386" s="389"/>
      <c r="Y386" s="390"/>
      <c r="AB386" s="642"/>
    </row>
    <row r="387" spans="2:28" s="75" customFormat="1" ht="16" thickBot="1">
      <c r="B387" s="75" t="str">
        <f t="shared" ca="1" si="1344"/>
        <v>2</v>
      </c>
      <c r="C387" s="75" t="str">
        <f t="shared" si="1105"/>
        <v>2</v>
      </c>
      <c r="D387" s="75">
        <f t="shared" ca="1" si="1195"/>
        <v>15</v>
      </c>
      <c r="E387" s="75">
        <f t="shared" ca="1" si="1345"/>
        <v>7</v>
      </c>
      <c r="F387" s="75" t="str">
        <f t="shared" ca="1" si="1346"/>
        <v>0</v>
      </c>
      <c r="G387" s="75" t="str">
        <f t="shared" ca="1" si="1347"/>
        <v>0</v>
      </c>
      <c r="H387" s="75" t="str">
        <f t="shared" ca="1" si="1348"/>
        <v>0</v>
      </c>
      <c r="I387" s="75" t="str">
        <f t="shared" ca="1" si="1349"/>
        <v>0</v>
      </c>
      <c r="J387" s="75" t="str">
        <f t="shared" ca="1" si="1196"/>
        <v>0</v>
      </c>
      <c r="K387" s="75" t="str">
        <f t="shared" ca="1" si="1350"/>
        <v>15.7</v>
      </c>
      <c r="L387" s="75" t="str">
        <f t="shared" ca="1" si="1351"/>
        <v>15.7</v>
      </c>
      <c r="M387" s="55" t="s">
        <v>27861</v>
      </c>
      <c r="O387" s="191" t="str">
        <f t="shared" ref="O387:O399" ca="1" si="1352">L387</f>
        <v>15.7</v>
      </c>
      <c r="P387" s="172"/>
      <c r="Q387" s="172"/>
      <c r="R387" s="683" t="s">
        <v>41870</v>
      </c>
      <c r="S387" s="172"/>
      <c r="T387" s="194"/>
      <c r="U387" s="195"/>
      <c r="V387" s="196">
        <f ca="1">IF(VALUE(C387)=1,SUMIFS(V:V,D:D,D387,M:M,"Serviço"),IF(VALUE(C387)=2,SUMIFS(V:V,D:D,D387,E:E,E387,M:M,"Serviço"),IF(VALUE(C387)=3,SUMIFS(V:V,D:D,D387,E:E,E387,F:F,F387,M:M,"Serviço"),IF(VALUE(C387)=4,SUMIFS(V:V,D:D,D387,E:E,E387,F:F,F387,G:G,G387,M:M,"Serviço"),"ERRO"))))</f>
        <v>26176.58</v>
      </c>
      <c r="W387" s="197"/>
      <c r="X387" s="205"/>
      <c r="Y387" s="173">
        <f ca="1">IF(VALUE(C387)=1,SUMIFS(Y:Y,D:D,D387,M:M,"Serviço"),IF(VALUE(C387)=2,SUMIFS(Y:Y,D:D,D387,E:E,E387,M:M,"Serviço"),IF(VALUE(C387)=3,SUMIFS(Y:Y,D:D,D387,E:E,E387,F:F,F387,M:M,"Serviço"),IF(VALUE(C387)=4,SUMIFS(Y:Y,D:D,D387,E:E,E387,F:F,F387,G:G,G387,M:M,"Serviço"),"ERRO"))))</f>
        <v>32063.66</v>
      </c>
      <c r="AB387" s="641"/>
    </row>
    <row r="388" spans="2:28" s="55" customFormat="1" ht="30">
      <c r="B388" s="378">
        <f t="shared" ca="1" si="1344"/>
        <v>3</v>
      </c>
      <c r="C388" s="378" t="str">
        <f t="shared" si="1105"/>
        <v>S</v>
      </c>
      <c r="D388" s="378">
        <f t="shared" ca="1" si="1195"/>
        <v>15</v>
      </c>
      <c r="E388" s="378">
        <f t="shared" ca="1" si="1345"/>
        <v>7</v>
      </c>
      <c r="F388" s="378" t="str">
        <f t="shared" ca="1" si="1346"/>
        <v>0</v>
      </c>
      <c r="G388" s="378" t="str">
        <f t="shared" ca="1" si="1347"/>
        <v>0</v>
      </c>
      <c r="H388" s="378" t="str">
        <f t="shared" ca="1" si="1348"/>
        <v>0</v>
      </c>
      <c r="I388" s="378" t="str">
        <f t="shared" ca="1" si="1349"/>
        <v>0</v>
      </c>
      <c r="J388" s="378">
        <f t="shared" ca="1" si="1196"/>
        <v>1</v>
      </c>
      <c r="K388" s="378" t="str">
        <f t="shared" si="1350"/>
        <v>NÃO</v>
      </c>
      <c r="L388" s="378" t="str">
        <f t="shared" ca="1" si="1351"/>
        <v>15.7.1</v>
      </c>
      <c r="M388" s="55" t="s">
        <v>27868</v>
      </c>
      <c r="O388" s="392" t="str">
        <f t="shared" ca="1" si="1352"/>
        <v>15.7.1</v>
      </c>
      <c r="P388" s="681" t="s">
        <v>29901</v>
      </c>
      <c r="Q388" s="682" t="s">
        <v>15744</v>
      </c>
      <c r="R388" s="415" t="str">
        <f>UPPER(IF(P388="CDHU",VLOOKUP(Q388,'CDHU 201-SD'!$A$1:$J$28014,2,FALSE),IF(P388="FDE",VLOOKUP(Q388,'FDE 01-26-SD'!$A$1:$J$280013,2,FALSE),IF(P388="PRÓPRIA",VLOOKUP(Q388,COMPOSIÇÃO!$1:$1048576,3,FALSE),VLOOKUP(Q388,'SINAPI 04-26-SD'!$A$1:$H$272700,2,FALSE)))))</f>
        <v>BARRA CONDUTORA CHATA EM ALUMÍNIO DE 7/8´ X 1/8´, INCLUSIVE ACESSÓRIOS DE FIXAÇÃO</v>
      </c>
      <c r="S388" s="414" t="str">
        <f>UPPER(IF(P388="CDHU",VLOOKUP(Q388,'CDHU 201-SD'!$A$1:$J$28014,3,FALSE),IF(P388="FDE",VLOOKUP(Q388,'FDE 01-26-SD'!$A$1:$J$280013,3,FALSE),IF(P388="PRÓPRIA",VLOOKUP(Q388,COMPOSIÇÃO!$1:$1048576,7,FALSE),VLOOKUP(Q388,'SINAPI 04-26-SD'!$A$1:$H$272700,3,FALSE)))))</f>
        <v>M</v>
      </c>
      <c r="T388" s="393">
        <v>244.5</v>
      </c>
      <c r="U388" s="394">
        <f>TRUNC(IF(P388="CDHU",VLOOKUP(Q388,'CDHU 201-SD'!$A$1:$J$28014,6,FALSE),IF(P388="FDE",VLOOKUP(Q388,'FDE 01-26-SD'!$A$1:$J$280013,6,FALSE),IF(P388="PRÓPRIA",VLOOKUP(Q388,COMPOSIÇÃO!$1:$1048576,10,FALSE),VLOOKUP(Q388,'SINAPI 04-26-SD'!$A$1:$H$272700,4,FALSE)))),2)</f>
        <v>37.299999999999997</v>
      </c>
      <c r="V388" s="416">
        <f t="shared" ref="V388:V390" si="1353">TRUNC(U388*T388,2)</f>
        <v>9119.85</v>
      </c>
      <c r="W388" s="395">
        <f>IF($AA388="N",BDI!$D$26,IF($AA388="D",'BDI DIFE.'!$D$26,"ERRO"))</f>
        <v>0.22500000000000001</v>
      </c>
      <c r="X388" s="379">
        <f t="shared" ref="X388:X390" si="1354">TRUNC(U388*(1+W388),2)</f>
        <v>45.69</v>
      </c>
      <c r="Y388" s="380">
        <f t="shared" ref="Y388:Y390" si="1355">TRUNC(T388*X388,2)</f>
        <v>11171.2</v>
      </c>
      <c r="Z388" s="381"/>
      <c r="AA388" s="378" t="s">
        <v>28044</v>
      </c>
      <c r="AB388" s="642"/>
    </row>
    <row r="389" spans="2:28" s="55" customFormat="1">
      <c r="B389" s="378">
        <f t="shared" ca="1" si="1344"/>
        <v>3</v>
      </c>
      <c r="C389" s="378" t="str">
        <f t="shared" si="1105"/>
        <v>S</v>
      </c>
      <c r="D389" s="378">
        <f t="shared" ca="1" si="1195"/>
        <v>15</v>
      </c>
      <c r="E389" s="378">
        <f t="shared" ca="1" si="1345"/>
        <v>7</v>
      </c>
      <c r="F389" s="378" t="str">
        <f t="shared" ca="1" si="1346"/>
        <v>0</v>
      </c>
      <c r="G389" s="378" t="str">
        <f t="shared" ca="1" si="1347"/>
        <v>0</v>
      </c>
      <c r="H389" s="378" t="str">
        <f t="shared" ca="1" si="1348"/>
        <v>0</v>
      </c>
      <c r="I389" s="378" t="str">
        <f t="shared" ca="1" si="1349"/>
        <v>0</v>
      </c>
      <c r="J389" s="378">
        <f t="shared" ca="1" si="1196"/>
        <v>2</v>
      </c>
      <c r="K389" s="378" t="str">
        <f t="shared" si="1350"/>
        <v>NÃO</v>
      </c>
      <c r="L389" s="378" t="str">
        <f t="shared" ca="1" si="1351"/>
        <v>15.7.2</v>
      </c>
      <c r="M389" s="55" t="s">
        <v>27868</v>
      </c>
      <c r="O389" s="392" t="str">
        <f t="shared" ca="1" si="1352"/>
        <v>15.7.2</v>
      </c>
      <c r="P389" s="681" t="s">
        <v>29901</v>
      </c>
      <c r="Q389" s="682" t="s">
        <v>14955</v>
      </c>
      <c r="R389" s="415" t="str">
        <f>UPPER(IF(P389="CDHU",VLOOKUP(Q389,'CDHU 201-SD'!$A$1:$J$28014,2,FALSE),IF(P389="FDE",VLOOKUP(Q389,'FDE 01-26-SD'!$A$1:$J$280013,2,FALSE),IF(P389="PRÓPRIA",VLOOKUP(Q389,COMPOSIÇÃO!$1:$1048576,3,FALSE),VLOOKUP(Q389,'SINAPI 04-26-SD'!$A$1:$H$272700,2,FALSE)))))</f>
        <v>CABO DE COBRE NU, TÊMPERA MOLE, CLASSE 2, DE 50 MM²</v>
      </c>
      <c r="S389" s="414" t="str">
        <f>UPPER(IF(P389="CDHU",VLOOKUP(Q389,'CDHU 201-SD'!$A$1:$J$28014,3,FALSE),IF(P389="FDE",VLOOKUP(Q389,'FDE 01-26-SD'!$A$1:$J$280013,3,FALSE),IF(P389="PRÓPRIA",VLOOKUP(Q389,COMPOSIÇÃO!$1:$1048576,7,FALSE),VLOOKUP(Q389,'SINAPI 04-26-SD'!$A$1:$H$272700,3,FALSE)))))</f>
        <v>M</v>
      </c>
      <c r="T389" s="393">
        <v>163.6</v>
      </c>
      <c r="U389" s="394">
        <f>TRUNC(IF(P389="CDHU",VLOOKUP(Q389,'CDHU 201-SD'!$A$1:$J$28014,6,FALSE),IF(P389="FDE",VLOOKUP(Q389,'FDE 01-26-SD'!$A$1:$J$280013,6,FALSE),IF(P389="PRÓPRIA",VLOOKUP(Q389,COMPOSIÇÃO!$1:$1048576,10,FALSE),VLOOKUP(Q389,'SINAPI 04-26-SD'!$A$1:$H$272700,4,FALSE)))),2)</f>
        <v>62.7</v>
      </c>
      <c r="V389" s="416">
        <f t="shared" si="1353"/>
        <v>10257.719999999999</v>
      </c>
      <c r="W389" s="395">
        <f>IF($AA389="N",BDI!$D$26,IF($AA389="D",'BDI DIFE.'!$D$26,"ERRO"))</f>
        <v>0.22500000000000001</v>
      </c>
      <c r="X389" s="379">
        <f t="shared" si="1354"/>
        <v>76.8</v>
      </c>
      <c r="Y389" s="380">
        <f t="shared" si="1355"/>
        <v>12564.48</v>
      </c>
      <c r="Z389" s="381"/>
      <c r="AA389" s="378" t="s">
        <v>28044</v>
      </c>
      <c r="AB389" s="642"/>
    </row>
    <row r="390" spans="2:28" s="55" customFormat="1" ht="30">
      <c r="B390" s="378">
        <f t="shared" ref="B390" ca="1" si="1356">IF(C390="S",IF(OFFSET(C390,-1,0)="S", OFFSET(B390,-1,0), OFFSET(B390,-1,0) +1 ), C390)</f>
        <v>3</v>
      </c>
      <c r="C390" s="378" t="str">
        <f t="shared" si="1105"/>
        <v>S</v>
      </c>
      <c r="D390" s="378">
        <f t="shared" ca="1" si="1195"/>
        <v>15</v>
      </c>
      <c r="E390" s="378">
        <f t="shared" ref="E390" ca="1" si="1357">IF($C390="2",OFFSET(E390,-1,0) +1,IF(OFFSET(D390,-1,0)&lt;&gt;D390,"0",IF(OFFSET(E390,-1,0)="","0",OFFSET(E390,-1,0))))</f>
        <v>7</v>
      </c>
      <c r="F390" s="378" t="str">
        <f t="shared" ref="F390" ca="1" si="1358">IF($C390="3",OFFSET(F390,-1,0) +1,IF(OFFSET(E390,-1,0)&lt;&gt;E390,"0",IF(OFFSET(F390,-1,0)="","0",OFFSET(F390,-1,0))))</f>
        <v>0</v>
      </c>
      <c r="G390" s="378" t="str">
        <f t="shared" ref="G390" ca="1" si="1359">IF($C390="4",OFFSET(G390,-1,0) +1,IF(OFFSET(F390,-1,0)&lt;&gt;F390,"0",IF(OFFSET(G390,-1,0)="","0",OFFSET(G390,-1,0))))</f>
        <v>0</v>
      </c>
      <c r="H390" s="378" t="str">
        <f t="shared" ref="H390" ca="1" si="1360">IF($C390="5",OFFSET(H390,-1,0) +1,IF(OFFSET(G390,-1,0)&lt;&gt;G390,"0",IF(OFFSET(H390,-1,0)="","0",OFFSET(H390,-1,0))))</f>
        <v>0</v>
      </c>
      <c r="I390" s="378" t="str">
        <f t="shared" ref="I390" ca="1" si="1361">IF($C390="6",OFFSET(I390,-1,0) +1,IF(OFFSET(H390,-1,0)&lt;&gt;H390,"0",IF(OFFSET(I390,-1,0)="","0", OFFSET(I390,-1,0))))</f>
        <v>0</v>
      </c>
      <c r="J390" s="378">
        <f t="shared" ca="1" si="1196"/>
        <v>3</v>
      </c>
      <c r="K390" s="378" t="str">
        <f t="shared" ref="K390" si="1362">IF(C390="S","NÃO", IF(C390="1", D390, IF(C390="2", D390 &amp; "." &amp; E390,IF(C390="3", D390 &amp; "." &amp; E390 &amp; "." &amp; F390, IF(C390="4", D390 &amp; "." &amp; E390 &amp; "." &amp; F390 &amp; "." &amp; G390, IF(C390="5", D390 &amp; "." &amp; E390 &amp; "." &amp; F390 &amp; "." &amp; G390 &amp; "." &amp; H390, IF(C390="6", D390 &amp; "." &amp; E390 &amp; "." &amp; F390 &amp; "." &amp; G390 &amp; "." &amp; H390 &amp; "." &amp; I390)))))))</f>
        <v>NÃO</v>
      </c>
      <c r="L390" s="378" t="str">
        <f t="shared" ref="L390" ca="1" si="1363">IF(K390="NÃO",IF($B390=2,D390&amp;"."&amp;J390,IF($B390=3,D390&amp;"."&amp;E390&amp;"."&amp;J390,IF($B390=4,D390&amp;"."&amp;E390&amp;"."&amp;F390&amp;"."&amp;J390,IF($B390=5,D390&amp;"."&amp;E390&amp;"."&amp;F390&amp;"."&amp;G390&amp;"."&amp;J390,IF($B390=6,D390&amp;"."&amp;E390&amp;"."&amp;F390&amp;"."&amp;G390&amp;"."&amp;H390&amp;"."&amp;J390,IF($B390=7,D390&amp;"."&amp;E390&amp;"."&amp;F390&amp;"."&amp;G390&amp;"."&amp;H390&amp;"."&amp;I390&amp;"."&amp;J390,"FALHA")))))),K390)</f>
        <v>15.7.3</v>
      </c>
      <c r="M390" s="55" t="s">
        <v>27868</v>
      </c>
      <c r="O390" s="392" t="str">
        <f t="shared" ref="O390" ca="1" si="1364">L390</f>
        <v>15.7.3</v>
      </c>
      <c r="P390" s="681" t="s">
        <v>29901</v>
      </c>
      <c r="Q390" s="682" t="s">
        <v>15736</v>
      </c>
      <c r="R390" s="415" t="str">
        <f>UPPER(IF(P390="CDHU",VLOOKUP(Q390,'CDHU 201-SD'!$A$1:$J$28014,2,FALSE),IF(P390="FDE",VLOOKUP(Q390,'FDE 01-26-SD'!$A$1:$J$280013,2,FALSE),IF(P390="PRÓPRIA",VLOOKUP(Q390,COMPOSIÇÃO!$1:$1048576,3,FALSE),VLOOKUP(Q390,'SINAPI 04-26-SD'!$A$1:$H$272700,2,FALSE)))))</f>
        <v>CAIXA DE EQUALIZAÇÃO, DE EMBUTIR, EM AÇO COM BARRAMENTO, DE 400 X 400 MM E TAMPA</v>
      </c>
      <c r="S390" s="414" t="str">
        <f>UPPER(IF(P390="CDHU",VLOOKUP(Q390,'CDHU 201-SD'!$A$1:$J$28014,3,FALSE),IF(P390="FDE",VLOOKUP(Q390,'FDE 01-26-SD'!$A$1:$J$280013,3,FALSE),IF(P390="PRÓPRIA",VLOOKUP(Q390,COMPOSIÇÃO!$1:$1048576,7,FALSE),VLOOKUP(Q390,'SINAPI 04-26-SD'!$A$1:$H$272700,3,FALSE)))))</f>
        <v>UN</v>
      </c>
      <c r="T390" s="393">
        <v>3</v>
      </c>
      <c r="U390" s="394">
        <f>TRUNC(IF(P390="CDHU",VLOOKUP(Q390,'CDHU 201-SD'!$A$1:$J$28014,6,FALSE),IF(P390="FDE",VLOOKUP(Q390,'FDE 01-26-SD'!$A$1:$J$280013,6,FALSE),IF(P390="PRÓPRIA",VLOOKUP(Q390,COMPOSIÇÃO!$1:$1048576,10,FALSE),VLOOKUP(Q390,'SINAPI 04-26-SD'!$A$1:$H$272700,4,FALSE)))),2)</f>
        <v>483.52</v>
      </c>
      <c r="V390" s="416">
        <f t="shared" si="1353"/>
        <v>1450.56</v>
      </c>
      <c r="W390" s="395">
        <f>IF($AA390="N",BDI!$D$26,IF($AA390="D",'BDI DIFE.'!$D$26,"ERRO"))</f>
        <v>0.22500000000000001</v>
      </c>
      <c r="X390" s="379">
        <f t="shared" si="1354"/>
        <v>592.30999999999995</v>
      </c>
      <c r="Y390" s="380">
        <f t="shared" si="1355"/>
        <v>1776.93</v>
      </c>
      <c r="Z390" s="381"/>
      <c r="AA390" s="378" t="s">
        <v>28044</v>
      </c>
      <c r="AB390" s="642"/>
    </row>
    <row r="391" spans="2:28" s="55" customFormat="1">
      <c r="B391" s="378">
        <f t="shared" ref="B391:B394" ca="1" si="1365">IF(C391="S",IF(OFFSET(C391,-1,0)="S", OFFSET(B391,-1,0), OFFSET(B391,-1,0) +1 ), C391)</f>
        <v>3</v>
      </c>
      <c r="C391" s="378" t="str">
        <f t="shared" si="1105"/>
        <v>S</v>
      </c>
      <c r="D391" s="378">
        <f t="shared" ca="1" si="1195"/>
        <v>15</v>
      </c>
      <c r="E391" s="378">
        <f t="shared" ref="E391:E394" ca="1" si="1366">IF($C391="2",OFFSET(E391,-1,0) +1,IF(OFFSET(D391,-1,0)&lt;&gt;D391,"0",IF(OFFSET(E391,-1,0)="","0",OFFSET(E391,-1,0))))</f>
        <v>7</v>
      </c>
      <c r="F391" s="378" t="str">
        <f t="shared" ref="F391:F394" ca="1" si="1367">IF($C391="3",OFFSET(F391,-1,0) +1,IF(OFFSET(E391,-1,0)&lt;&gt;E391,"0",IF(OFFSET(F391,-1,0)="","0",OFFSET(F391,-1,0))))</f>
        <v>0</v>
      </c>
      <c r="G391" s="378" t="str">
        <f t="shared" ref="G391:G394" ca="1" si="1368">IF($C391="4",OFFSET(G391,-1,0) +1,IF(OFFSET(F391,-1,0)&lt;&gt;F391,"0",IF(OFFSET(G391,-1,0)="","0",OFFSET(G391,-1,0))))</f>
        <v>0</v>
      </c>
      <c r="H391" s="378" t="str">
        <f t="shared" ref="H391:H394" ca="1" si="1369">IF($C391="5",OFFSET(H391,-1,0) +1,IF(OFFSET(G391,-1,0)&lt;&gt;G391,"0",IF(OFFSET(H391,-1,0)="","0",OFFSET(H391,-1,0))))</f>
        <v>0</v>
      </c>
      <c r="I391" s="378" t="str">
        <f t="shared" ref="I391:I394" ca="1" si="1370">IF($C391="6",OFFSET(I391,-1,0) +1,IF(OFFSET(H391,-1,0)&lt;&gt;H391,"0",IF(OFFSET(I391,-1,0)="","0", OFFSET(I391,-1,0))))</f>
        <v>0</v>
      </c>
      <c r="J391" s="378">
        <f t="shared" ca="1" si="1196"/>
        <v>4</v>
      </c>
      <c r="K391" s="378" t="str">
        <f t="shared" ref="K391:K394" si="1371">IF(C391="S","NÃO", IF(C391="1", D391, IF(C391="2", D391 &amp; "." &amp; E391,IF(C391="3", D391 &amp; "." &amp; E391 &amp; "." &amp; F391, IF(C391="4", D391 &amp; "." &amp; E391 &amp; "." &amp; F391 &amp; "." &amp; G391, IF(C391="5", D391 &amp; "." &amp; E391 &amp; "." &amp; F391 &amp; "." &amp; G391 &amp; "." &amp; H391, IF(C391="6", D391 &amp; "." &amp; E391 &amp; "." &amp; F391 &amp; "." &amp; G391 &amp; "." &amp; H391 &amp; "." &amp; I391)))))))</f>
        <v>NÃO</v>
      </c>
      <c r="L391" s="378" t="str">
        <f t="shared" ref="L391:L394" ca="1" si="1372">IF(K391="NÃO",IF($B391=2,D391&amp;"."&amp;J391,IF($B391=3,D391&amp;"."&amp;E391&amp;"."&amp;J391,IF($B391=4,D391&amp;"."&amp;E391&amp;"."&amp;F391&amp;"."&amp;J391,IF($B391=5,D391&amp;"."&amp;E391&amp;"."&amp;F391&amp;"."&amp;G391&amp;"."&amp;J391,IF($B391=6,D391&amp;"."&amp;E391&amp;"."&amp;F391&amp;"."&amp;G391&amp;"."&amp;H391&amp;"."&amp;J391,IF($B391=7,D391&amp;"."&amp;E391&amp;"."&amp;F391&amp;"."&amp;G391&amp;"."&amp;H391&amp;"."&amp;I391&amp;"."&amp;J391,"FALHA")))))),K391)</f>
        <v>15.7.4</v>
      </c>
      <c r="M391" s="55" t="s">
        <v>27868</v>
      </c>
      <c r="O391" s="392" t="str">
        <f t="shared" ref="O391:O394" ca="1" si="1373">L391</f>
        <v>15.7.4</v>
      </c>
      <c r="P391" s="681" t="s">
        <v>29901</v>
      </c>
      <c r="Q391" s="682" t="s">
        <v>15710</v>
      </c>
      <c r="R391" s="415" t="str">
        <f>UPPER(IF(P391="CDHU",VLOOKUP(Q391,'CDHU 201-SD'!$A$1:$J$28014,2,FALSE),IF(P391="FDE",VLOOKUP(Q391,'FDE 01-26-SD'!$A$1:$J$280013,2,FALSE),IF(P391="PRÓPRIA",VLOOKUP(Q391,COMPOSIÇÃO!$1:$1048576,3,FALSE),VLOOKUP(Q391,'SINAPI 04-26-SD'!$A$1:$H$272700,2,FALSE)))))</f>
        <v>HASTE DE ATERRAMENTO DE 5/8´ X 3 M</v>
      </c>
      <c r="S391" s="414" t="str">
        <f>UPPER(IF(P391="CDHU",VLOOKUP(Q391,'CDHU 201-SD'!$A$1:$J$28014,3,FALSE),IF(P391="FDE",VLOOKUP(Q391,'FDE 01-26-SD'!$A$1:$J$280013,3,FALSE),IF(P391="PRÓPRIA",VLOOKUP(Q391,COMPOSIÇÃO!$1:$1048576,7,FALSE),VLOOKUP(Q391,'SINAPI 04-26-SD'!$A$1:$H$272700,3,FALSE)))))</f>
        <v>UN</v>
      </c>
      <c r="T391" s="393">
        <v>9</v>
      </c>
      <c r="U391" s="394">
        <f>TRUNC(IF(P391="CDHU",VLOOKUP(Q391,'CDHU 201-SD'!$A$1:$J$28014,6,FALSE),IF(P391="FDE",VLOOKUP(Q391,'FDE 01-26-SD'!$A$1:$J$280013,6,FALSE),IF(P391="PRÓPRIA",VLOOKUP(Q391,COMPOSIÇÃO!$1:$1048576,10,FALSE),VLOOKUP(Q391,'SINAPI 04-26-SD'!$A$1:$H$272700,4,FALSE)))),2)</f>
        <v>202.04</v>
      </c>
      <c r="V391" s="416">
        <f t="shared" ref="V391:V394" si="1374">TRUNC(U391*T391,2)</f>
        <v>1818.36</v>
      </c>
      <c r="W391" s="395">
        <f>IF($AA391="N",BDI!$D$26,IF($AA391="D",'BDI DIFE.'!$D$26,"ERRO"))</f>
        <v>0.22500000000000001</v>
      </c>
      <c r="X391" s="379">
        <f t="shared" ref="X391:X394" si="1375">TRUNC(U391*(1+W391),2)</f>
        <v>247.49</v>
      </c>
      <c r="Y391" s="380">
        <f t="shared" ref="Y391:Y394" si="1376">TRUNC(T391*X391,2)</f>
        <v>2227.41</v>
      </c>
      <c r="Z391" s="381"/>
      <c r="AA391" s="378" t="s">
        <v>28044</v>
      </c>
      <c r="AB391" s="642"/>
    </row>
    <row r="392" spans="2:28" s="55" customFormat="1" ht="30">
      <c r="B392" s="378">
        <f t="shared" ca="1" si="1365"/>
        <v>3</v>
      </c>
      <c r="C392" s="378" t="str">
        <f t="shared" si="1105"/>
        <v>S</v>
      </c>
      <c r="D392" s="378">
        <f t="shared" ca="1" si="1195"/>
        <v>15</v>
      </c>
      <c r="E392" s="378">
        <f t="shared" ca="1" si="1366"/>
        <v>7</v>
      </c>
      <c r="F392" s="378" t="str">
        <f t="shared" ca="1" si="1367"/>
        <v>0</v>
      </c>
      <c r="G392" s="378" t="str">
        <f t="shared" ca="1" si="1368"/>
        <v>0</v>
      </c>
      <c r="H392" s="378" t="str">
        <f t="shared" ca="1" si="1369"/>
        <v>0</v>
      </c>
      <c r="I392" s="378" t="str">
        <f t="shared" ca="1" si="1370"/>
        <v>0</v>
      </c>
      <c r="J392" s="378">
        <f t="shared" ca="1" si="1196"/>
        <v>5</v>
      </c>
      <c r="K392" s="378" t="str">
        <f t="shared" si="1371"/>
        <v>NÃO</v>
      </c>
      <c r="L392" s="378" t="str">
        <f t="shared" ca="1" si="1372"/>
        <v>15.7.5</v>
      </c>
      <c r="M392" s="55" t="s">
        <v>27868</v>
      </c>
      <c r="O392" s="392" t="str">
        <f t="shared" ca="1" si="1373"/>
        <v>15.7.5</v>
      </c>
      <c r="P392" s="681" t="s">
        <v>29901</v>
      </c>
      <c r="Q392" s="682" t="s">
        <v>15776</v>
      </c>
      <c r="R392" s="415" t="str">
        <f>UPPER(IF(P392="CDHU",VLOOKUP(Q392,'CDHU 201-SD'!$A$1:$J$28014,2,FALSE),IF(P392="FDE",VLOOKUP(Q392,'FDE 01-26-SD'!$A$1:$J$280013,2,FALSE),IF(P392="PRÓPRIA",VLOOKUP(Q392,COMPOSIÇÃO!$1:$1048576,3,FALSE),VLOOKUP(Q392,'SINAPI 04-26-SD'!$A$1:$H$272700,2,FALSE)))))</f>
        <v>SOLDA EXOTÉRMICA CONEXÃO CABO-CABO HORIZONTAL EM X SOBREPOSTO, BITOLA DO CABO DE 35-35MM² A 50-35MM²</v>
      </c>
      <c r="S392" s="414" t="str">
        <f>UPPER(IF(P392="CDHU",VLOOKUP(Q392,'CDHU 201-SD'!$A$1:$J$28014,3,FALSE),IF(P392="FDE",VLOOKUP(Q392,'FDE 01-26-SD'!$A$1:$J$280013,3,FALSE),IF(P392="PRÓPRIA",VLOOKUP(Q392,COMPOSIÇÃO!$1:$1048576,7,FALSE),VLOOKUP(Q392,'SINAPI 04-26-SD'!$A$1:$H$272700,3,FALSE)))))</f>
        <v>UN</v>
      </c>
      <c r="T392" s="393">
        <v>9</v>
      </c>
      <c r="U392" s="394">
        <f>TRUNC(IF(P392="CDHU",VLOOKUP(Q392,'CDHU 201-SD'!$A$1:$J$28014,6,FALSE),IF(P392="FDE",VLOOKUP(Q392,'FDE 01-26-SD'!$A$1:$J$280013,6,FALSE),IF(P392="PRÓPRIA",VLOOKUP(Q392,COMPOSIÇÃO!$1:$1048576,10,FALSE),VLOOKUP(Q392,'SINAPI 04-26-SD'!$A$1:$H$272700,4,FALSE)))),2)</f>
        <v>49.98</v>
      </c>
      <c r="V392" s="416">
        <f t="shared" si="1374"/>
        <v>449.82</v>
      </c>
      <c r="W392" s="395">
        <f>IF($AA392="N",BDI!$D$26,IF($AA392="D",'BDI DIFE.'!$D$26,"ERRO"))</f>
        <v>0.22500000000000001</v>
      </c>
      <c r="X392" s="379">
        <f t="shared" si="1375"/>
        <v>61.22</v>
      </c>
      <c r="Y392" s="380">
        <f t="shared" si="1376"/>
        <v>550.98</v>
      </c>
      <c r="Z392" s="381"/>
      <c r="AA392" s="378" t="s">
        <v>28044</v>
      </c>
      <c r="AB392" s="642"/>
    </row>
    <row r="393" spans="2:28" s="55" customFormat="1" ht="30">
      <c r="B393" s="378">
        <f t="shared" ca="1" si="1365"/>
        <v>3</v>
      </c>
      <c r="C393" s="378" t="str">
        <f t="shared" si="1105"/>
        <v>S</v>
      </c>
      <c r="D393" s="378">
        <f t="shared" ca="1" si="1195"/>
        <v>15</v>
      </c>
      <c r="E393" s="378">
        <f t="shared" ca="1" si="1366"/>
        <v>7</v>
      </c>
      <c r="F393" s="378" t="str">
        <f t="shared" ca="1" si="1367"/>
        <v>0</v>
      </c>
      <c r="G393" s="378" t="str">
        <f t="shared" ca="1" si="1368"/>
        <v>0</v>
      </c>
      <c r="H393" s="378" t="str">
        <f t="shared" ca="1" si="1369"/>
        <v>0</v>
      </c>
      <c r="I393" s="378" t="str">
        <f t="shared" ca="1" si="1370"/>
        <v>0</v>
      </c>
      <c r="J393" s="378">
        <f t="shared" ca="1" si="1196"/>
        <v>6</v>
      </c>
      <c r="K393" s="378" t="str">
        <f t="shared" si="1371"/>
        <v>NÃO</v>
      </c>
      <c r="L393" s="378" t="str">
        <f t="shared" ca="1" si="1372"/>
        <v>15.7.6</v>
      </c>
      <c r="M393" s="55" t="s">
        <v>27868</v>
      </c>
      <c r="O393" s="392" t="str">
        <f t="shared" ca="1" si="1373"/>
        <v>15.7.6</v>
      </c>
      <c r="P393" s="681" t="s">
        <v>29901</v>
      </c>
      <c r="Q393" s="682" t="s">
        <v>15637</v>
      </c>
      <c r="R393" s="415" t="str">
        <f>UPPER(IF(P393="CDHU",VLOOKUP(Q393,'CDHU 201-SD'!$A$1:$J$28014,2,FALSE),IF(P393="FDE",VLOOKUP(Q393,'FDE 01-26-SD'!$A$1:$J$280013,2,FALSE),IF(P393="PRÓPRIA",VLOOKUP(Q393,COMPOSIÇÃO!$1:$1048576,3,FALSE),VLOOKUP(Q393,'SINAPI 04-26-SD'!$A$1:$H$272700,2,FALSE)))))</f>
        <v>CAPTOR TIPO TERMINAL AÉREO, H= 250 MM, DIÂMETRO DE 3/8´ GALVANIZADO A FOGO</v>
      </c>
      <c r="S393" s="414" t="str">
        <f>UPPER(IF(P393="CDHU",VLOOKUP(Q393,'CDHU 201-SD'!$A$1:$J$28014,3,FALSE),IF(P393="FDE",VLOOKUP(Q393,'FDE 01-26-SD'!$A$1:$J$280013,3,FALSE),IF(P393="PRÓPRIA",VLOOKUP(Q393,COMPOSIÇÃO!$1:$1048576,7,FALSE),VLOOKUP(Q393,'SINAPI 04-26-SD'!$A$1:$H$272700,3,FALSE)))))</f>
        <v>UN</v>
      </c>
      <c r="T393" s="393">
        <v>20</v>
      </c>
      <c r="U393" s="394">
        <f>TRUNC(IF(P393="CDHU",VLOOKUP(Q393,'CDHU 201-SD'!$A$1:$J$28014,6,FALSE),IF(P393="FDE",VLOOKUP(Q393,'FDE 01-26-SD'!$A$1:$J$280013,6,FALSE),IF(P393="PRÓPRIA",VLOOKUP(Q393,COMPOSIÇÃO!$1:$1048576,10,FALSE),VLOOKUP(Q393,'SINAPI 04-26-SD'!$A$1:$H$272700,4,FALSE)))),2)</f>
        <v>23.41</v>
      </c>
      <c r="V393" s="416">
        <f t="shared" si="1374"/>
        <v>468.2</v>
      </c>
      <c r="W393" s="395">
        <f>IF($AA393="N",BDI!$D$26,IF($AA393="D",'BDI DIFE.'!$D$26,"ERRO"))</f>
        <v>0.22500000000000001</v>
      </c>
      <c r="X393" s="379">
        <f t="shared" si="1375"/>
        <v>28.67</v>
      </c>
      <c r="Y393" s="380">
        <f t="shared" si="1376"/>
        <v>573.4</v>
      </c>
      <c r="Z393" s="381"/>
      <c r="AA393" s="378" t="s">
        <v>28044</v>
      </c>
      <c r="AB393" s="642"/>
    </row>
    <row r="394" spans="2:28" s="55" customFormat="1">
      <c r="B394" s="378">
        <f t="shared" ca="1" si="1365"/>
        <v>3</v>
      </c>
      <c r="C394" s="378" t="str">
        <f t="shared" si="1105"/>
        <v>S</v>
      </c>
      <c r="D394" s="378">
        <f t="shared" ca="1" si="1195"/>
        <v>15</v>
      </c>
      <c r="E394" s="378">
        <f t="shared" ca="1" si="1366"/>
        <v>7</v>
      </c>
      <c r="F394" s="378" t="str">
        <f t="shared" ca="1" si="1367"/>
        <v>0</v>
      </c>
      <c r="G394" s="378" t="str">
        <f t="shared" ca="1" si="1368"/>
        <v>0</v>
      </c>
      <c r="H394" s="378" t="str">
        <f t="shared" ca="1" si="1369"/>
        <v>0</v>
      </c>
      <c r="I394" s="378" t="str">
        <f t="shared" ca="1" si="1370"/>
        <v>0</v>
      </c>
      <c r="J394" s="378">
        <f t="shared" ca="1" si="1196"/>
        <v>7</v>
      </c>
      <c r="K394" s="378" t="str">
        <f t="shared" si="1371"/>
        <v>NÃO</v>
      </c>
      <c r="L394" s="378" t="str">
        <f t="shared" ca="1" si="1372"/>
        <v>15.7.7</v>
      </c>
      <c r="M394" s="55" t="s">
        <v>27868</v>
      </c>
      <c r="O394" s="392" t="str">
        <f t="shared" ca="1" si="1373"/>
        <v>15.7.7</v>
      </c>
      <c r="P394" s="681" t="s">
        <v>29901</v>
      </c>
      <c r="Q394" s="682" t="s">
        <v>14986</v>
      </c>
      <c r="R394" s="415" t="str">
        <f>UPPER(IF(P394="CDHU",VLOOKUP(Q394,'CDHU 201-SD'!$A$1:$J$28014,2,FALSE),IF(P394="FDE",VLOOKUP(Q394,'FDE 01-26-SD'!$A$1:$J$280013,2,FALSE),IF(P394="PRÓPRIA",VLOOKUP(Q394,COMPOSIÇÃO!$1:$1048576,3,FALSE),VLOOKUP(Q394,'SINAPI 04-26-SD'!$A$1:$H$272700,2,FALSE)))))</f>
        <v>CONECTOR SPLIT-BOLT PARA CABO DE 50 MM², LATÃO, SIMPLES</v>
      </c>
      <c r="S394" s="414" t="str">
        <f>UPPER(IF(P394="CDHU",VLOOKUP(Q394,'CDHU 201-SD'!$A$1:$J$28014,3,FALSE),IF(P394="FDE",VLOOKUP(Q394,'FDE 01-26-SD'!$A$1:$J$280013,3,FALSE),IF(P394="PRÓPRIA",VLOOKUP(Q394,COMPOSIÇÃO!$1:$1048576,7,FALSE),VLOOKUP(Q394,'SINAPI 04-26-SD'!$A$1:$H$272700,3,FALSE)))))</f>
        <v>UN</v>
      </c>
      <c r="T394" s="393">
        <v>10</v>
      </c>
      <c r="U394" s="394">
        <f>TRUNC(IF(P394="CDHU",VLOOKUP(Q394,'CDHU 201-SD'!$A$1:$J$28014,6,FALSE),IF(P394="FDE",VLOOKUP(Q394,'FDE 01-26-SD'!$A$1:$J$280013,6,FALSE),IF(P394="PRÓPRIA",VLOOKUP(Q394,COMPOSIÇÃO!$1:$1048576,10,FALSE),VLOOKUP(Q394,'SINAPI 04-26-SD'!$A$1:$H$272700,4,FALSE)))),2)</f>
        <v>18.75</v>
      </c>
      <c r="V394" s="416">
        <f t="shared" si="1374"/>
        <v>187.5</v>
      </c>
      <c r="W394" s="395">
        <f>IF($AA394="N",BDI!$D$26,IF($AA394="D",'BDI DIFE.'!$D$26,"ERRO"))</f>
        <v>0.22500000000000001</v>
      </c>
      <c r="X394" s="379">
        <f t="shared" si="1375"/>
        <v>22.96</v>
      </c>
      <c r="Y394" s="380">
        <f t="shared" si="1376"/>
        <v>229.6</v>
      </c>
      <c r="Z394" s="381"/>
      <c r="AA394" s="378" t="s">
        <v>28044</v>
      </c>
      <c r="AB394" s="642"/>
    </row>
    <row r="395" spans="2:28" s="55" customFormat="1">
      <c r="B395" s="378">
        <f t="shared" ca="1" si="1344"/>
        <v>3</v>
      </c>
      <c r="C395" s="378" t="str">
        <f t="shared" si="1105"/>
        <v>S</v>
      </c>
      <c r="D395" s="378">
        <f t="shared" ca="1" si="1195"/>
        <v>15</v>
      </c>
      <c r="E395" s="378">
        <f t="shared" ca="1" si="1345"/>
        <v>7</v>
      </c>
      <c r="F395" s="378" t="str">
        <f t="shared" ca="1" si="1346"/>
        <v>0</v>
      </c>
      <c r="G395" s="378" t="str">
        <f t="shared" ca="1" si="1347"/>
        <v>0</v>
      </c>
      <c r="H395" s="378" t="str">
        <f t="shared" ca="1" si="1348"/>
        <v>0</v>
      </c>
      <c r="I395" s="378" t="str">
        <f t="shared" ca="1" si="1349"/>
        <v>0</v>
      </c>
      <c r="J395" s="378">
        <f t="shared" ca="1" si="1196"/>
        <v>8</v>
      </c>
      <c r="K395" s="378" t="str">
        <f t="shared" si="1350"/>
        <v>NÃO</v>
      </c>
      <c r="L395" s="378" t="str">
        <f t="shared" ca="1" si="1351"/>
        <v>15.7.8</v>
      </c>
      <c r="M395" s="55" t="s">
        <v>27868</v>
      </c>
      <c r="O395" s="392" t="str">
        <f t="shared" ca="1" si="1352"/>
        <v>15.7.8</v>
      </c>
      <c r="P395" s="681" t="s">
        <v>29901</v>
      </c>
      <c r="Q395" s="682" t="s">
        <v>15006</v>
      </c>
      <c r="R395" s="415" t="str">
        <f>UPPER(IF(P395="CDHU",VLOOKUP(Q395,'CDHU 201-SD'!$A$1:$J$28014,2,FALSE),IF(P395="FDE",VLOOKUP(Q395,'FDE 01-26-SD'!$A$1:$J$280013,2,FALSE),IF(P395="PRÓPRIA",VLOOKUP(Q395,COMPOSIÇÃO!$1:$1048576,3,FALSE),VLOOKUP(Q395,'SINAPI 04-26-SD'!$A$1:$H$272700,2,FALSE)))))</f>
        <v>TERMINAL DE PRESSÃO/COMPRESSÃO PARA CABO DE 50 MM²</v>
      </c>
      <c r="S395" s="414" t="str">
        <f>UPPER(IF(P395="CDHU",VLOOKUP(Q395,'CDHU 201-SD'!$A$1:$J$28014,3,FALSE),IF(P395="FDE",VLOOKUP(Q395,'FDE 01-26-SD'!$A$1:$J$280013,3,FALSE),IF(P395="PRÓPRIA",VLOOKUP(Q395,COMPOSIÇÃO!$1:$1048576,7,FALSE),VLOOKUP(Q395,'SINAPI 04-26-SD'!$A$1:$H$272700,3,FALSE)))))</f>
        <v>UN</v>
      </c>
      <c r="T395" s="393">
        <v>10</v>
      </c>
      <c r="U395" s="394">
        <f>TRUNC(IF(P395="CDHU",VLOOKUP(Q395,'CDHU 201-SD'!$A$1:$J$28014,6,FALSE),IF(P395="FDE",VLOOKUP(Q395,'FDE 01-26-SD'!$A$1:$J$280013,6,FALSE),IF(P395="PRÓPRIA",VLOOKUP(Q395,COMPOSIÇÃO!$1:$1048576,10,FALSE),VLOOKUP(Q395,'SINAPI 04-26-SD'!$A$1:$H$272700,4,FALSE)))),2)</f>
        <v>24.85</v>
      </c>
      <c r="V395" s="416">
        <f t="shared" ref="V395:V399" si="1377">TRUNC(U395*T395,2)</f>
        <v>248.5</v>
      </c>
      <c r="W395" s="395">
        <f>IF($AA395="N",BDI!$D$26,IF($AA395="D",'BDI DIFE.'!$D$26,"ERRO"))</f>
        <v>0.22500000000000001</v>
      </c>
      <c r="X395" s="379">
        <f t="shared" ref="X395:X399" si="1378">TRUNC(U395*(1+W395),2)</f>
        <v>30.44</v>
      </c>
      <c r="Y395" s="380">
        <f t="shared" ref="Y395:Y399" si="1379">TRUNC(T395*X395,2)</f>
        <v>304.39999999999998</v>
      </c>
      <c r="Z395" s="381"/>
      <c r="AA395" s="378" t="s">
        <v>28044</v>
      </c>
      <c r="AB395" s="642"/>
    </row>
    <row r="396" spans="2:28" s="55" customFormat="1">
      <c r="B396" s="378">
        <f t="shared" ca="1" si="1344"/>
        <v>3</v>
      </c>
      <c r="C396" s="378" t="str">
        <f t="shared" si="1105"/>
        <v>S</v>
      </c>
      <c r="D396" s="378">
        <f t="shared" ca="1" si="1195"/>
        <v>15</v>
      </c>
      <c r="E396" s="378">
        <f t="shared" ca="1" si="1345"/>
        <v>7</v>
      </c>
      <c r="F396" s="378" t="str">
        <f t="shared" ca="1" si="1346"/>
        <v>0</v>
      </c>
      <c r="G396" s="378" t="str">
        <f t="shared" ca="1" si="1347"/>
        <v>0</v>
      </c>
      <c r="H396" s="378" t="str">
        <f t="shared" ca="1" si="1348"/>
        <v>0</v>
      </c>
      <c r="I396" s="378" t="str">
        <f t="shared" ca="1" si="1349"/>
        <v>0</v>
      </c>
      <c r="J396" s="378">
        <f t="shared" ca="1" si="1196"/>
        <v>9</v>
      </c>
      <c r="K396" s="378" t="str">
        <f t="shared" si="1350"/>
        <v>NÃO</v>
      </c>
      <c r="L396" s="378" t="str">
        <f t="shared" ca="1" si="1351"/>
        <v>15.7.9</v>
      </c>
      <c r="M396" s="55" t="s">
        <v>27868</v>
      </c>
      <c r="O396" s="392" t="str">
        <f t="shared" ca="1" si="1352"/>
        <v>15.7.9</v>
      </c>
      <c r="P396" s="681" t="s">
        <v>29901</v>
      </c>
      <c r="Q396" s="682" t="s">
        <v>15700</v>
      </c>
      <c r="R396" s="415" t="str">
        <f>UPPER(IF(P396="CDHU",VLOOKUP(Q396,'CDHU 201-SD'!$A$1:$J$28014,2,FALSE),IF(P396="FDE",VLOOKUP(Q396,'FDE 01-26-SD'!$A$1:$J$280013,2,FALSE),IF(P396="PRÓPRIA",VLOOKUP(Q396,COMPOSIÇÃO!$1:$1048576,3,FALSE),VLOOKUP(Q396,'SINAPI 04-26-SD'!$A$1:$H$272700,2,FALSE)))))</f>
        <v>CONECTOR OLHAL CABO/HASTE DE 5/8´</v>
      </c>
      <c r="S396" s="414" t="str">
        <f>UPPER(IF(P396="CDHU",VLOOKUP(Q396,'CDHU 201-SD'!$A$1:$J$28014,3,FALSE),IF(P396="FDE",VLOOKUP(Q396,'FDE 01-26-SD'!$A$1:$J$280013,3,FALSE),IF(P396="PRÓPRIA",VLOOKUP(Q396,COMPOSIÇÃO!$1:$1048576,7,FALSE),VLOOKUP(Q396,'SINAPI 04-26-SD'!$A$1:$H$272700,3,FALSE)))))</f>
        <v>UN</v>
      </c>
      <c r="T396" s="393">
        <v>10</v>
      </c>
      <c r="U396" s="394">
        <f>TRUNC(IF(P396="CDHU",VLOOKUP(Q396,'CDHU 201-SD'!$A$1:$J$28014,6,FALSE),IF(P396="FDE",VLOOKUP(Q396,'FDE 01-26-SD'!$A$1:$J$280013,6,FALSE),IF(P396="PRÓPRIA",VLOOKUP(Q396,COMPOSIÇÃO!$1:$1048576,10,FALSE),VLOOKUP(Q396,'SINAPI 04-26-SD'!$A$1:$H$272700,4,FALSE)))),2)</f>
        <v>9.41</v>
      </c>
      <c r="V396" s="416">
        <f t="shared" si="1377"/>
        <v>94.1</v>
      </c>
      <c r="W396" s="395">
        <f>IF($AA396="N",BDI!$D$26,IF($AA396="D",'BDI DIFE.'!$D$26,"ERRO"))</f>
        <v>0.22500000000000001</v>
      </c>
      <c r="X396" s="379">
        <f t="shared" si="1378"/>
        <v>11.52</v>
      </c>
      <c r="Y396" s="380">
        <f t="shared" si="1379"/>
        <v>115.2</v>
      </c>
      <c r="Z396" s="381"/>
      <c r="AA396" s="378" t="s">
        <v>28044</v>
      </c>
      <c r="AB396" s="642"/>
    </row>
    <row r="397" spans="2:28" s="55" customFormat="1" ht="30">
      <c r="B397" s="378">
        <f t="shared" ca="1" si="1344"/>
        <v>3</v>
      </c>
      <c r="C397" s="378" t="str">
        <f t="shared" si="1105"/>
        <v>S</v>
      </c>
      <c r="D397" s="378">
        <f t="shared" ca="1" si="1195"/>
        <v>15</v>
      </c>
      <c r="E397" s="378">
        <f t="shared" ca="1" si="1345"/>
        <v>7</v>
      </c>
      <c r="F397" s="378" t="str">
        <f t="shared" ca="1" si="1346"/>
        <v>0</v>
      </c>
      <c r="G397" s="378" t="str">
        <f t="shared" ca="1" si="1347"/>
        <v>0</v>
      </c>
      <c r="H397" s="378" t="str">
        <f t="shared" ca="1" si="1348"/>
        <v>0</v>
      </c>
      <c r="I397" s="378" t="str">
        <f t="shared" ca="1" si="1349"/>
        <v>0</v>
      </c>
      <c r="J397" s="378">
        <f t="shared" ca="1" si="1196"/>
        <v>10</v>
      </c>
      <c r="K397" s="378" t="str">
        <f t="shared" si="1350"/>
        <v>NÃO</v>
      </c>
      <c r="L397" s="378" t="str">
        <f t="shared" ca="1" si="1351"/>
        <v>15.7.10</v>
      </c>
      <c r="M397" s="55" t="s">
        <v>27868</v>
      </c>
      <c r="O397" s="392" t="str">
        <f t="shared" ca="1" si="1352"/>
        <v>15.7.10</v>
      </c>
      <c r="P397" s="681" t="s">
        <v>29901</v>
      </c>
      <c r="Q397" s="682" t="s">
        <v>15730</v>
      </c>
      <c r="R397" s="415" t="str">
        <f>UPPER(IF(P397="CDHU",VLOOKUP(Q397,'CDHU 201-SD'!$A$1:$J$28014,2,FALSE),IF(P397="FDE",VLOOKUP(Q397,'FDE 01-26-SD'!$A$1:$J$280013,2,FALSE),IF(P397="PRÓPRIA",VLOOKUP(Q397,COMPOSIÇÃO!$1:$1048576,3,FALSE),VLOOKUP(Q397,'SINAPI 04-26-SD'!$A$1:$H$272700,2,FALSE)))))</f>
        <v>CAIXA DE INSPEÇÃO DO TERRA CILÍNDRICA EM PVC RÍGIDO, DIÂMETRO DE 300 MM - H= 400 MM</v>
      </c>
      <c r="S397" s="414" t="str">
        <f>UPPER(IF(P397="CDHU",VLOOKUP(Q397,'CDHU 201-SD'!$A$1:$J$28014,3,FALSE),IF(P397="FDE",VLOOKUP(Q397,'FDE 01-26-SD'!$A$1:$J$280013,3,FALSE),IF(P397="PRÓPRIA",VLOOKUP(Q397,COMPOSIÇÃO!$1:$1048576,7,FALSE),VLOOKUP(Q397,'SINAPI 04-26-SD'!$A$1:$H$272700,3,FALSE)))))</f>
        <v>UN</v>
      </c>
      <c r="T397" s="393">
        <v>9</v>
      </c>
      <c r="U397" s="394">
        <f>TRUNC(IF(P397="CDHU",VLOOKUP(Q397,'CDHU 201-SD'!$A$1:$J$28014,6,FALSE),IF(P397="FDE",VLOOKUP(Q397,'FDE 01-26-SD'!$A$1:$J$280013,6,FALSE),IF(P397="PRÓPRIA",VLOOKUP(Q397,COMPOSIÇÃO!$1:$1048576,10,FALSE),VLOOKUP(Q397,'SINAPI 04-26-SD'!$A$1:$H$272700,4,FALSE)))),2)</f>
        <v>45.02</v>
      </c>
      <c r="V397" s="416">
        <f t="shared" si="1377"/>
        <v>405.18</v>
      </c>
      <c r="W397" s="395">
        <f>IF($AA397="N",BDI!$D$26,IF($AA397="D",'BDI DIFE.'!$D$26,"ERRO"))</f>
        <v>0.22500000000000001</v>
      </c>
      <c r="X397" s="379">
        <f t="shared" si="1378"/>
        <v>55.14</v>
      </c>
      <c r="Y397" s="380">
        <f t="shared" si="1379"/>
        <v>496.26</v>
      </c>
      <c r="Z397" s="381"/>
      <c r="AA397" s="378" t="s">
        <v>28044</v>
      </c>
      <c r="AB397" s="642"/>
    </row>
    <row r="398" spans="2:28" s="55" customFormat="1">
      <c r="B398" s="378">
        <f t="shared" ref="B398" ca="1" si="1380">IF(C398="S",IF(OFFSET(C398,-1,0)="S", OFFSET(B398,-1,0), OFFSET(B398,-1,0) +1 ), C398)</f>
        <v>3</v>
      </c>
      <c r="C398" s="378" t="str">
        <f t="shared" si="1105"/>
        <v>S</v>
      </c>
      <c r="D398" s="378">
        <f t="shared" ca="1" si="1195"/>
        <v>15</v>
      </c>
      <c r="E398" s="378">
        <f t="shared" ref="E398" ca="1" si="1381">IF($C398="2",OFFSET(E398,-1,0) +1,IF(OFFSET(D398,-1,0)&lt;&gt;D398,"0",IF(OFFSET(E398,-1,0)="","0",OFFSET(E398,-1,0))))</f>
        <v>7</v>
      </c>
      <c r="F398" s="378" t="str">
        <f t="shared" ref="F398" ca="1" si="1382">IF($C398="3",OFFSET(F398,-1,0) +1,IF(OFFSET(E398,-1,0)&lt;&gt;E398,"0",IF(OFFSET(F398,-1,0)="","0",OFFSET(F398,-1,0))))</f>
        <v>0</v>
      </c>
      <c r="G398" s="378" t="str">
        <f t="shared" ref="G398" ca="1" si="1383">IF($C398="4",OFFSET(G398,-1,0) +1,IF(OFFSET(F398,-1,0)&lt;&gt;F398,"0",IF(OFFSET(G398,-1,0)="","0",OFFSET(G398,-1,0))))</f>
        <v>0</v>
      </c>
      <c r="H398" s="378" t="str">
        <f t="shared" ref="H398" ca="1" si="1384">IF($C398="5",OFFSET(H398,-1,0) +1,IF(OFFSET(G398,-1,0)&lt;&gt;G398,"0",IF(OFFSET(H398,-1,0)="","0",OFFSET(H398,-1,0))))</f>
        <v>0</v>
      </c>
      <c r="I398" s="378" t="str">
        <f t="shared" ref="I398" ca="1" si="1385">IF($C398="6",OFFSET(I398,-1,0) +1,IF(OFFSET(H398,-1,0)&lt;&gt;H398,"0",IF(OFFSET(I398,-1,0)="","0", OFFSET(I398,-1,0))))</f>
        <v>0</v>
      </c>
      <c r="J398" s="378">
        <f t="shared" ca="1" si="1196"/>
        <v>11</v>
      </c>
      <c r="K398" s="378" t="str">
        <f t="shared" ref="K398" si="1386">IF(C398="S","NÃO", IF(C398="1", D398, IF(C398="2", D398 &amp; "." &amp; E398,IF(C398="3", D398 &amp; "." &amp; E398 &amp; "." &amp; F398, IF(C398="4", D398 &amp; "." &amp; E398 &amp; "." &amp; F398 &amp; "." &amp; G398, IF(C398="5", D398 &amp; "." &amp; E398 &amp; "." &amp; F398 &amp; "." &amp; G398 &amp; "." &amp; H398, IF(C398="6", D398 &amp; "." &amp; E398 &amp; "." &amp; F398 &amp; "." &amp; G398 &amp; "." &amp; H398 &amp; "." &amp; I398)))))))</f>
        <v>NÃO</v>
      </c>
      <c r="L398" s="378" t="str">
        <f t="shared" ref="L398" ca="1" si="1387">IF(K398="NÃO",IF($B398=2,D398&amp;"."&amp;J398,IF($B398=3,D398&amp;"."&amp;E398&amp;"."&amp;J398,IF($B398=4,D398&amp;"."&amp;E398&amp;"."&amp;F398&amp;"."&amp;J398,IF($B398=5,D398&amp;"."&amp;E398&amp;"."&amp;F398&amp;"."&amp;G398&amp;"."&amp;J398,IF($B398=6,D398&amp;"."&amp;E398&amp;"."&amp;F398&amp;"."&amp;G398&amp;"."&amp;H398&amp;"."&amp;J398,IF($B398=7,D398&amp;"."&amp;E398&amp;"."&amp;F398&amp;"."&amp;G398&amp;"."&amp;H398&amp;"."&amp;I398&amp;"."&amp;J398,"FALHA")))))),K398)</f>
        <v>15.7.11</v>
      </c>
      <c r="M398" s="55" t="s">
        <v>27868</v>
      </c>
      <c r="O398" s="392" t="str">
        <f t="shared" ref="O398" ca="1" si="1388">L398</f>
        <v>15.7.11</v>
      </c>
      <c r="P398" s="681" t="s">
        <v>29901</v>
      </c>
      <c r="Q398" s="682" t="s">
        <v>15726</v>
      </c>
      <c r="R398" s="415" t="str">
        <f>UPPER(IF(P398="CDHU",VLOOKUP(Q398,'CDHU 201-SD'!$A$1:$J$28014,2,FALSE),IF(P398="FDE",VLOOKUP(Q398,'FDE 01-26-SD'!$A$1:$J$280013,2,FALSE),IF(P398="PRÓPRIA",VLOOKUP(Q398,COMPOSIÇÃO!$1:$1048576,3,FALSE),VLOOKUP(Q398,'SINAPI 04-26-SD'!$A$1:$H$272700,2,FALSE)))))</f>
        <v>TAMPA PARA CAIXA DE INSPEÇÃO CILÍNDRICA, AÇO GALVANIZADO</v>
      </c>
      <c r="S398" s="414" t="str">
        <f>UPPER(IF(P398="CDHU",VLOOKUP(Q398,'CDHU 201-SD'!$A$1:$J$28014,3,FALSE),IF(P398="FDE",VLOOKUP(Q398,'FDE 01-26-SD'!$A$1:$J$280013,3,FALSE),IF(P398="PRÓPRIA",VLOOKUP(Q398,COMPOSIÇÃO!$1:$1048576,7,FALSE),VLOOKUP(Q398,'SINAPI 04-26-SD'!$A$1:$H$272700,3,FALSE)))))</f>
        <v>UN</v>
      </c>
      <c r="T398" s="393">
        <v>9</v>
      </c>
      <c r="U398" s="394">
        <f>TRUNC(IF(P398="CDHU",VLOOKUP(Q398,'CDHU 201-SD'!$A$1:$J$28014,6,FALSE),IF(P398="FDE",VLOOKUP(Q398,'FDE 01-26-SD'!$A$1:$J$280013,6,FALSE),IF(P398="PRÓPRIA",VLOOKUP(Q398,COMPOSIÇÃO!$1:$1048576,10,FALSE),VLOOKUP(Q398,'SINAPI 04-26-SD'!$A$1:$H$272700,4,FALSE)))),2)</f>
        <v>50.98</v>
      </c>
      <c r="V398" s="416">
        <f t="shared" ref="V398" si="1389">TRUNC(U398*T398,2)</f>
        <v>458.82</v>
      </c>
      <c r="W398" s="395">
        <f>IF($AA398="N",BDI!$D$26,IF($AA398="D",'BDI DIFE.'!$D$26,"ERRO"))</f>
        <v>0.22500000000000001</v>
      </c>
      <c r="X398" s="379">
        <f t="shared" ref="X398" si="1390">TRUNC(U398*(1+W398),2)</f>
        <v>62.45</v>
      </c>
      <c r="Y398" s="380">
        <f t="shared" ref="Y398" si="1391">TRUNC(T398*X398,2)</f>
        <v>562.04999999999995</v>
      </c>
      <c r="Z398" s="381"/>
      <c r="AA398" s="378" t="s">
        <v>28044</v>
      </c>
      <c r="AB398" s="642"/>
    </row>
    <row r="399" spans="2:28" s="55" customFormat="1" ht="16" thickBot="1">
      <c r="B399" s="378">
        <f t="shared" ca="1" si="1344"/>
        <v>3</v>
      </c>
      <c r="C399" s="378" t="str">
        <f t="shared" si="1105"/>
        <v>S</v>
      </c>
      <c r="D399" s="378">
        <f t="shared" ca="1" si="1195"/>
        <v>15</v>
      </c>
      <c r="E399" s="378">
        <f t="shared" ca="1" si="1345"/>
        <v>7</v>
      </c>
      <c r="F399" s="378" t="str">
        <f t="shared" ca="1" si="1346"/>
        <v>0</v>
      </c>
      <c r="G399" s="378" t="str">
        <f t="shared" ca="1" si="1347"/>
        <v>0</v>
      </c>
      <c r="H399" s="378" t="str">
        <f t="shared" ca="1" si="1348"/>
        <v>0</v>
      </c>
      <c r="I399" s="378" t="str">
        <f t="shared" ca="1" si="1349"/>
        <v>0</v>
      </c>
      <c r="J399" s="378">
        <f t="shared" ca="1" si="1196"/>
        <v>12</v>
      </c>
      <c r="K399" s="378" t="str">
        <f t="shared" si="1350"/>
        <v>NÃO</v>
      </c>
      <c r="L399" s="378" t="str">
        <f t="shared" ca="1" si="1351"/>
        <v>15.7.12</v>
      </c>
      <c r="M399" s="55" t="s">
        <v>27868</v>
      </c>
      <c r="O399" s="392" t="str">
        <f t="shared" ca="1" si="1352"/>
        <v>15.7.12</v>
      </c>
      <c r="P399" s="681" t="s">
        <v>29901</v>
      </c>
      <c r="Q399" s="682" t="s">
        <v>14592</v>
      </c>
      <c r="R399" s="415" t="str">
        <f>UPPER(IF(P399="CDHU",VLOOKUP(Q399,'CDHU 201-SD'!$A$1:$J$28014,2,FALSE),IF(P399="FDE",VLOOKUP(Q399,'FDE 01-26-SD'!$A$1:$J$280013,2,FALSE),IF(P399="PRÓPRIA",VLOOKUP(Q399,COMPOSIÇÃO!$1:$1048576,3,FALSE),VLOOKUP(Q399,'SINAPI 04-26-SD'!$A$1:$H$272700,2,FALSE)))))</f>
        <v>ELETRODUTO DE PVC RÍGIDO ROSCÁVEL DE 1´ - COM ACESSÓRIOS</v>
      </c>
      <c r="S399" s="414" t="str">
        <f>UPPER(IF(P399="CDHU",VLOOKUP(Q399,'CDHU 201-SD'!$A$1:$J$28014,3,FALSE),IF(P399="FDE",VLOOKUP(Q399,'FDE 01-26-SD'!$A$1:$J$280013,3,FALSE),IF(P399="PRÓPRIA",VLOOKUP(Q399,COMPOSIÇÃO!$1:$1048576,7,FALSE),VLOOKUP(Q399,'SINAPI 04-26-SD'!$A$1:$H$272700,3,FALSE)))))</f>
        <v>M</v>
      </c>
      <c r="T399" s="393">
        <f>9*3</f>
        <v>27</v>
      </c>
      <c r="U399" s="394">
        <f>TRUNC(IF(P399="CDHU",VLOOKUP(Q399,'CDHU 201-SD'!$A$1:$J$28014,6,FALSE),IF(P399="FDE",VLOOKUP(Q399,'FDE 01-26-SD'!$A$1:$J$280013,6,FALSE),IF(P399="PRÓPRIA",VLOOKUP(Q399,COMPOSIÇÃO!$1:$1048576,10,FALSE),VLOOKUP(Q399,'SINAPI 04-26-SD'!$A$1:$H$272700,4,FALSE)))),2)</f>
        <v>45.11</v>
      </c>
      <c r="V399" s="416">
        <f t="shared" si="1377"/>
        <v>1217.97</v>
      </c>
      <c r="W399" s="395">
        <f>IF($AA399="N",BDI!$D$26,IF($AA399="D",'BDI DIFE.'!$D$26,"ERRO"))</f>
        <v>0.22500000000000001</v>
      </c>
      <c r="X399" s="379">
        <f t="shared" si="1378"/>
        <v>55.25</v>
      </c>
      <c r="Y399" s="380">
        <f t="shared" si="1379"/>
        <v>1491.75</v>
      </c>
      <c r="Z399" s="381"/>
      <c r="AA399" s="378" t="s">
        <v>28044</v>
      </c>
      <c r="AB399" s="642"/>
    </row>
    <row r="400" spans="2:28" s="55" customFormat="1" ht="16" thickBot="1">
      <c r="B400" s="378" t="str">
        <f t="shared" ref="B400:B468" ca="1" si="1392">IF(C400="S",IF(OFFSET(C400,-1,0)="S", OFFSET(B400,-1,0), OFFSET(B400,-1,0) +1 ), C400)</f>
        <v/>
      </c>
      <c r="C400" s="378" t="str">
        <f t="shared" si="1105"/>
        <v/>
      </c>
      <c r="D400" s="378">
        <f t="shared" ca="1" si="1195"/>
        <v>15</v>
      </c>
      <c r="E400" s="378">
        <f t="shared" ref="E400:E468" ca="1" si="1393">IF($C400="2",OFFSET(E400,-1,0) +1,IF(OFFSET(D400,-1,0)&lt;&gt;D400,"0",IF(OFFSET(E400,-1,0)="","0",OFFSET(E400,-1,0))))</f>
        <v>7</v>
      </c>
      <c r="F400" s="378" t="str">
        <f t="shared" ref="F400:F468" ca="1" si="1394">IF($C400="3",OFFSET(F400,-1,0) +1,IF(OFFSET(E400,-1,0)&lt;&gt;E400,"0",IF(OFFSET(F400,-1,0)="","0",OFFSET(F400,-1,0))))</f>
        <v>0</v>
      </c>
      <c r="G400" s="378" t="str">
        <f t="shared" ref="G400:G468" ca="1" si="1395">IF($C400="4",OFFSET(G400,-1,0) +1,IF(OFFSET(F400,-1,0)&lt;&gt;F400,"0",IF(OFFSET(G400,-1,0)="","0",OFFSET(G400,-1,0))))</f>
        <v>0</v>
      </c>
      <c r="H400" s="378" t="str">
        <f t="shared" ref="H400:H468" ca="1" si="1396">IF($C400="5",OFFSET(H400,-1,0) +1,IF(OFFSET(G400,-1,0)&lt;&gt;G400,"0",IF(OFFSET(H400,-1,0)="","0",OFFSET(H400,-1,0))))</f>
        <v>0</v>
      </c>
      <c r="I400" s="378" t="str">
        <f t="shared" ref="I400:I468" ca="1" si="1397">IF($C400="6",OFFSET(I400,-1,0) +1,IF(OFFSET(H400,-1,0)&lt;&gt;H400,"0",IF(OFFSET(I400,-1,0)="","0", OFFSET(I400,-1,0))))</f>
        <v>0</v>
      </c>
      <c r="J400" s="378" t="str">
        <f t="shared" ca="1" si="1196"/>
        <v>0</v>
      </c>
      <c r="K400" s="378" t="b">
        <f t="shared" ref="K400:K468" si="1398">IF(C400="S","NÃO", IF(C400="1", D400, IF(C400="2", D400 &amp; "." &amp; E400,IF(C400="3", D400 &amp; "." &amp; E400 &amp; "." &amp; F400, IF(C400="4", D400 &amp; "." &amp; E400 &amp; "." &amp; F400 &amp; "." &amp; G400, IF(C400="5", D400 &amp; "." &amp; E400 &amp; "." &amp; F400 &amp; "." &amp; G400 &amp; "." &amp; H400, IF(C400="6", D400 &amp; "." &amp; E400 &amp; "." &amp; F400 &amp; "." &amp; G400 &amp; "." &amp; H400 &amp; "." &amp; I400)))))))</f>
        <v>0</v>
      </c>
      <c r="L400" s="378" t="b">
        <f t="shared" ref="L400:L468" si="1399">IF(K400="NÃO",IF($B400=2,D400&amp;"."&amp;J400,IF($B400=3,D400&amp;"."&amp;E400&amp;"."&amp;J400,IF($B400=4,D400&amp;"."&amp;E400&amp;"."&amp;F400&amp;"."&amp;J400,IF($B400=5,D400&amp;"."&amp;E400&amp;"."&amp;F400&amp;"."&amp;G400&amp;"."&amp;J400,IF($B400=6,D400&amp;"."&amp;E400&amp;"."&amp;F400&amp;"."&amp;G400&amp;"."&amp;H400&amp;"."&amp;J400,IF($B400=7,D400&amp;"."&amp;E400&amp;"."&amp;F400&amp;"."&amp;G400&amp;"."&amp;H400&amp;"."&amp;I400&amp;"."&amp;J400,"FALHA")))))),K400)</f>
        <v>0</v>
      </c>
      <c r="O400" s="192"/>
      <c r="P400" s="387"/>
      <c r="Q400" s="387"/>
      <c r="R400" s="377"/>
      <c r="S400" s="387"/>
      <c r="T400" s="363"/>
      <c r="U400" s="388"/>
      <c r="V400" s="389"/>
      <c r="W400" s="389"/>
      <c r="X400" s="389"/>
      <c r="Y400" s="390"/>
      <c r="AB400" s="642"/>
    </row>
    <row r="401" spans="2:28" s="75" customFormat="1" ht="16" thickBot="1">
      <c r="B401" s="75" t="str">
        <f t="shared" ca="1" si="1392"/>
        <v>2</v>
      </c>
      <c r="C401" s="75" t="str">
        <f t="shared" si="1105"/>
        <v>2</v>
      </c>
      <c r="D401" s="75">
        <f t="shared" ca="1" si="1195"/>
        <v>15</v>
      </c>
      <c r="E401" s="75">
        <f t="shared" ca="1" si="1393"/>
        <v>8</v>
      </c>
      <c r="F401" s="75" t="str">
        <f t="shared" ca="1" si="1394"/>
        <v>0</v>
      </c>
      <c r="G401" s="75" t="str">
        <f t="shared" ca="1" si="1395"/>
        <v>0</v>
      </c>
      <c r="H401" s="75" t="str">
        <f t="shared" ca="1" si="1396"/>
        <v>0</v>
      </c>
      <c r="I401" s="75" t="str">
        <f t="shared" ca="1" si="1397"/>
        <v>0</v>
      </c>
      <c r="J401" s="75" t="str">
        <f t="shared" ca="1" si="1196"/>
        <v>0</v>
      </c>
      <c r="K401" s="75" t="str">
        <f t="shared" ca="1" si="1398"/>
        <v>15.8</v>
      </c>
      <c r="L401" s="75" t="str">
        <f t="shared" ca="1" si="1399"/>
        <v>15.8</v>
      </c>
      <c r="M401" s="55" t="s">
        <v>27861</v>
      </c>
      <c r="O401" s="191" t="str">
        <f t="shared" ref="O401:O427" ca="1" si="1400">L401</f>
        <v>15.8</v>
      </c>
      <c r="P401" s="172"/>
      <c r="Q401" s="172"/>
      <c r="R401" s="683" t="s">
        <v>41877</v>
      </c>
      <c r="S401" s="172"/>
      <c r="T401" s="194"/>
      <c r="U401" s="195"/>
      <c r="V401" s="196">
        <f ca="1">IF(VALUE(C401)=1,SUMIFS(V:V,D:D,D401,M:M,"Serviço"),IF(VALUE(C401)=2,SUMIFS(V:V,D:D,D401,E:E,E401,M:M,"Serviço"),IF(VALUE(C401)=3,SUMIFS(V:V,D:D,D401,E:E,E401,F:F,F401,M:M,"Serviço"),IF(VALUE(C401)=4,SUMIFS(V:V,D:D,D401,E:E,E401,F:F,F401,G:G,G401,M:M,"Serviço"),"ERRO"))))</f>
        <v>69092.139999999985</v>
      </c>
      <c r="W401" s="197"/>
      <c r="X401" s="205"/>
      <c r="Y401" s="173">
        <f ca="1">IF(VALUE(C401)=1,SUMIFS(Y:Y,D:D,D401,M:M,"Serviço"),IF(VALUE(C401)=2,SUMIFS(Y:Y,D:D,D401,E:E,E401,M:M,"Serviço"),IF(VALUE(C401)=3,SUMIFS(Y:Y,D:D,D401,E:E,E401,F:F,F401,M:M,"Serviço"),IF(VALUE(C401)=4,SUMIFS(Y:Y,D:D,D401,E:E,E401,F:F,F401,G:G,G401,M:M,"Serviço"),"ERRO"))))</f>
        <v>84631.32</v>
      </c>
      <c r="AB401" s="641"/>
    </row>
    <row r="402" spans="2:28" s="55" customFormat="1" ht="30">
      <c r="B402" s="378">
        <f t="shared" ref="B402" ca="1" si="1401">IF(C402="S",IF(OFFSET(C402,-1,0)="S", OFFSET(B402,-1,0), OFFSET(B402,-1,0) +1 ), C402)</f>
        <v>3</v>
      </c>
      <c r="C402" s="378" t="str">
        <f t="shared" si="1105"/>
        <v>S</v>
      </c>
      <c r="D402" s="378">
        <f t="shared" ca="1" si="1195"/>
        <v>15</v>
      </c>
      <c r="E402" s="378">
        <f t="shared" ref="E402" ca="1" si="1402">IF($C402="2",OFFSET(E402,-1,0) +1,IF(OFFSET(D402,-1,0)&lt;&gt;D402,"0",IF(OFFSET(E402,-1,0)="","0",OFFSET(E402,-1,0))))</f>
        <v>8</v>
      </c>
      <c r="F402" s="378" t="str">
        <f t="shared" ref="F402" ca="1" si="1403">IF($C402="3",OFFSET(F402,-1,0) +1,IF(OFFSET(E402,-1,0)&lt;&gt;E402,"0",IF(OFFSET(F402,-1,0)="","0",OFFSET(F402,-1,0))))</f>
        <v>0</v>
      </c>
      <c r="G402" s="378" t="str">
        <f t="shared" ref="G402" ca="1" si="1404">IF($C402="4",OFFSET(G402,-1,0) +1,IF(OFFSET(F402,-1,0)&lt;&gt;F402,"0",IF(OFFSET(G402,-1,0)="","0",OFFSET(G402,-1,0))))</f>
        <v>0</v>
      </c>
      <c r="H402" s="378" t="str">
        <f t="shared" ref="H402" ca="1" si="1405">IF($C402="5",OFFSET(H402,-1,0) +1,IF(OFFSET(G402,-1,0)&lt;&gt;G402,"0",IF(OFFSET(H402,-1,0)="","0",OFFSET(H402,-1,0))))</f>
        <v>0</v>
      </c>
      <c r="I402" s="378" t="str">
        <f t="shared" ref="I402" ca="1" si="1406">IF($C402="6",OFFSET(I402,-1,0) +1,IF(OFFSET(H402,-1,0)&lt;&gt;H402,"0",IF(OFFSET(I402,-1,0)="","0", OFFSET(I402,-1,0))))</f>
        <v>0</v>
      </c>
      <c r="J402" s="378">
        <f t="shared" ca="1" si="1196"/>
        <v>1</v>
      </c>
      <c r="K402" s="378" t="str">
        <f t="shared" ref="K402" si="1407">IF(C402="S","NÃO", IF(C402="1", D402, IF(C402="2", D402 &amp; "." &amp; E402,IF(C402="3", D402 &amp; "." &amp; E402 &amp; "." &amp; F402, IF(C402="4", D402 &amp; "." &amp; E402 &amp; "." &amp; F402 &amp; "." &amp; G402, IF(C402="5", D402 &amp; "." &amp; E402 &amp; "." &amp; F402 &amp; "." &amp; G402 &amp; "." &amp; H402, IF(C402="6", D402 &amp; "." &amp; E402 &amp; "." &amp; F402 &amp; "." &amp; G402 &amp; "." &amp; H402 &amp; "." &amp; I402)))))))</f>
        <v>NÃO</v>
      </c>
      <c r="L402" s="378" t="str">
        <f t="shared" ref="L402" ca="1" si="1408">IF(K402="NÃO",IF($B402=2,D402&amp;"."&amp;J402,IF($B402=3,D402&amp;"."&amp;E402&amp;"."&amp;J402,IF($B402=4,D402&amp;"."&amp;E402&amp;"."&amp;F402&amp;"."&amp;J402,IF($B402=5,D402&amp;"."&amp;E402&amp;"."&amp;F402&amp;"."&amp;G402&amp;"."&amp;J402,IF($B402=6,D402&amp;"."&amp;E402&amp;"."&amp;F402&amp;"."&amp;G402&amp;"."&amp;H402&amp;"."&amp;J402,IF($B402=7,D402&amp;"."&amp;E402&amp;"."&amp;F402&amp;"."&amp;G402&amp;"."&amp;H402&amp;"."&amp;I402&amp;"."&amp;J402,"FALHA")))))),K402)</f>
        <v>15.8.1</v>
      </c>
      <c r="M402" s="55" t="s">
        <v>27868</v>
      </c>
      <c r="O402" s="392" t="str">
        <f t="shared" ref="O402" ca="1" si="1409">L402</f>
        <v>15.8.1</v>
      </c>
      <c r="P402" s="687" t="s">
        <v>29901</v>
      </c>
      <c r="Q402" s="684" t="s">
        <v>18037</v>
      </c>
      <c r="R402" s="415" t="str">
        <f>UPPER(IF(P402="CDHU",VLOOKUP(Q402,'CDHU 201-SD'!$A$1:$J$28014,2,FALSE),IF(P402="FDE",VLOOKUP(Q402,'FDE 01-26-SD'!$A$1:$J$280013,2,FALSE),IF(P402="PRÓPRIA",VLOOKUP(Q402,COMPOSIÇÃO!$1:$1048576,3,FALSE),VLOOKUP(Q402,'SINAPI 04-26-SD'!$A$1:$H$272700,2,FALSE)))))</f>
        <v>CÂMERA FIXA COLORIDA COMPACTA COM DOMO, PARA ÁREAS INTERNAS E EXTERNAS - 1,3 MP</v>
      </c>
      <c r="S402" s="414" t="str">
        <f>UPPER(IF(P402="CDHU",VLOOKUP(Q402,'CDHU 201-SD'!$A$1:$J$28014,3,FALSE),IF(P402="FDE",VLOOKUP(Q402,'FDE 01-26-SD'!$A$1:$J$280013,3,FALSE),IF(P402="PRÓPRIA",VLOOKUP(Q402,COMPOSIÇÃO!$1:$1048576,7,FALSE),VLOOKUP(Q402,'SINAPI 04-26-SD'!$A$1:$H$272700,3,FALSE)))))</f>
        <v>UN</v>
      </c>
      <c r="T402" s="393">
        <v>4</v>
      </c>
      <c r="U402" s="394">
        <f>TRUNC(IF(P402="CDHU",VLOOKUP(Q402,'CDHU 201-SD'!$A$1:$J$28014,6,FALSE),IF(P402="FDE",VLOOKUP(Q402,'FDE 01-26-SD'!$A$1:$J$280013,6,FALSE),IF(P402="PRÓPRIA",VLOOKUP(Q402,COMPOSIÇÃO!$1:$1048576,10,FALSE),VLOOKUP(Q402,'SINAPI 04-26-SD'!$A$1:$H$272700,4,FALSE)))),2)</f>
        <v>1366.06</v>
      </c>
      <c r="V402" s="416">
        <f t="shared" ref="V402" si="1410">TRUNC(U402*T402,2)</f>
        <v>5464.24</v>
      </c>
      <c r="W402" s="395">
        <f>IF($AA402="N",BDI!$D$26,IF($AA402="D",'BDI DIFE.'!$D$26,"ERRO"))</f>
        <v>0.22500000000000001</v>
      </c>
      <c r="X402" s="379">
        <f t="shared" ref="X402" si="1411">TRUNC(U402*(1+W402),2)</f>
        <v>1673.42</v>
      </c>
      <c r="Y402" s="380">
        <f t="shared" ref="Y402" si="1412">TRUNC(T402*X402,2)</f>
        <v>6693.68</v>
      </c>
      <c r="Z402" s="381"/>
      <c r="AA402" s="378" t="s">
        <v>28044</v>
      </c>
      <c r="AB402" s="642"/>
    </row>
    <row r="403" spans="2:28" s="55" customFormat="1" ht="30">
      <c r="B403" s="378">
        <f ca="1">IF(C403="S",IF(OFFSET(C403,-1,0)="S", OFFSET(B403,-1,0), OFFSET(B403,-1,0) +1 ), C403)</f>
        <v>3</v>
      </c>
      <c r="C403" s="378" t="str">
        <f>IF(RIGHT($M403) = "o", "S", RIGHT($M403))</f>
        <v>S</v>
      </c>
      <c r="D403" s="378">
        <f ca="1">IF($C403="1",OFFSET(D403,-2,0) +1,OFFSET(D403,-1,0))</f>
        <v>15</v>
      </c>
      <c r="E403" s="378">
        <f ca="1">IF($C403="2",OFFSET(E403,-1,0) +1,IF(OFFSET(D403,-1,0)&lt;&gt;D403,"0",IF(OFFSET(E403,-1,0)="","0",OFFSET(E403,-1,0))))</f>
        <v>8</v>
      </c>
      <c r="F403" s="378" t="str">
        <f ca="1">IF($C403="3",OFFSET(F403,-1,0) +1,IF(OFFSET(E403,-1,0)&lt;&gt;E403,"0",IF(OFFSET(F403,-1,0)="","0",OFFSET(F403,-1,0))))</f>
        <v>0</v>
      </c>
      <c r="G403" s="378" t="str">
        <f ca="1">IF($C403="4",OFFSET(G403,-1,0) +1,IF(OFFSET(F403,-1,0)&lt;&gt;F403,"0",IF(OFFSET(G403,-1,0)="","0",OFFSET(G403,-1,0))))</f>
        <v>0</v>
      </c>
      <c r="H403" s="378" t="str">
        <f ca="1">IF($C403="5",OFFSET(H403,-1,0) +1,IF(OFFSET(G403,-1,0)&lt;&gt;G403,"0",IF(OFFSET(H403,-1,0)="","0",OFFSET(H403,-1,0))))</f>
        <v>0</v>
      </c>
      <c r="I403" s="378" t="str">
        <f ca="1">IF($C403="6",OFFSET(I403,-1,0) +1,IF(OFFSET(H403,-1,0)&lt;&gt;H403,"0",IF(OFFSET(I403,-1,0)="","0", OFFSET(I403,-1,0))))</f>
        <v>0</v>
      </c>
      <c r="J403" s="378">
        <f ca="1">IF($C403="S",OFFSET(J403,-1,0)+1,"0")</f>
        <v>2</v>
      </c>
      <c r="K403" s="378" t="str">
        <f>IF(C403="S","NÃO", IF(C403="1", D403, IF(C403="2", D403 &amp; "." &amp; E403,IF(C403="3", D403 &amp; "." &amp; E403 &amp; "." &amp; F403, IF(C403="4", D403 &amp; "." &amp; E403 &amp; "." &amp; F403 &amp; "." &amp; G403, IF(C403="5", D403 &amp; "." &amp; E403 &amp; "." &amp; F403 &amp; "." &amp; G403 &amp; "." &amp; H403, IF(C403="6", D403 &amp; "." &amp; E403 &amp; "." &amp; F403 &amp; "." &amp; G403 &amp; "." &amp; H403 &amp; "." &amp; I403)))))))</f>
        <v>NÃO</v>
      </c>
      <c r="L403" s="378" t="str">
        <f ca="1">IF(K403="NÃO",IF($B403=2,D403&amp;"."&amp;J403,IF($B403=3,D403&amp;"."&amp;E403&amp;"."&amp;J403,IF($B403=4,D403&amp;"."&amp;E403&amp;"."&amp;F403&amp;"."&amp;J403,IF($B403=5,D403&amp;"."&amp;E403&amp;"."&amp;F403&amp;"."&amp;G403&amp;"."&amp;J403,IF($B403=6,D403&amp;"."&amp;E403&amp;"."&amp;F403&amp;"."&amp;G403&amp;"."&amp;H403&amp;"."&amp;J403,IF($B403=7,D403&amp;"."&amp;E403&amp;"."&amp;F403&amp;"."&amp;G403&amp;"."&amp;H403&amp;"."&amp;I403&amp;"."&amp;J403,"FALHA")))))),K403)</f>
        <v>15.8.2</v>
      </c>
      <c r="M403" s="55" t="s">
        <v>27868</v>
      </c>
      <c r="O403" s="392" t="str">
        <f ca="1">L403</f>
        <v>15.8.2</v>
      </c>
      <c r="P403" s="687" t="s">
        <v>29901</v>
      </c>
      <c r="Q403" s="684" t="s">
        <v>18064</v>
      </c>
      <c r="R403" s="415" t="str">
        <f>UPPER(IF(P403="CDHU",VLOOKUP(Q403,'CDHU 201-SD'!$A$1:$J$28014,2,FALSE),IF(P403="FDE",VLOOKUP(Q403,'FDE 01-26-SD'!$A$1:$J$280013,2,FALSE),IF(P403="PRÓPRIA",VLOOKUP(Q403,COMPOSIÇÃO!$1:$1048576,3,FALSE),VLOOKUP(Q403,'SINAPI 04-26-SD'!$A$1:$H$272700,2,FALSE)))))</f>
        <v>SWITCH GIGABIT 24 PORTAS COM CAPACIDADE DE 10/100/1000/MBPS</v>
      </c>
      <c r="S403" s="414" t="str">
        <f>UPPER(IF(P403="CDHU",VLOOKUP(Q403,'CDHU 201-SD'!$A$1:$J$28014,3,FALSE),IF(P403="FDE",VLOOKUP(Q403,'FDE 01-26-SD'!$A$1:$J$280013,3,FALSE),IF(P403="PRÓPRIA",VLOOKUP(Q403,COMPOSIÇÃO!$1:$1048576,7,FALSE),VLOOKUP(Q403,'SINAPI 04-26-SD'!$A$1:$H$272700,3,FALSE)))))</f>
        <v>UN</v>
      </c>
      <c r="T403" s="393">
        <v>1</v>
      </c>
      <c r="U403" s="394">
        <f>TRUNC(IF(P403="CDHU",VLOOKUP(Q403,'CDHU 201-SD'!$A$1:$J$28014,6,FALSE),IF(P403="FDE",VLOOKUP(Q403,'FDE 01-26-SD'!$A$1:$J$280013,6,FALSE),IF(P403="PRÓPRIA",VLOOKUP(Q403,COMPOSIÇÃO!$1:$1048576,10,FALSE),VLOOKUP(Q403,'SINAPI 04-26-SD'!$A$1:$H$272700,4,FALSE)))),2)</f>
        <v>2068.2399999999998</v>
      </c>
      <c r="V403" s="416">
        <f>TRUNC(U403*T403,2)</f>
        <v>2068.2399999999998</v>
      </c>
      <c r="W403" s="395">
        <f>IF($AA403="N",BDI!$D$26,IF($AA403="D",'BDI DIFE.'!$D$26,"ERRO"))</f>
        <v>0.22500000000000001</v>
      </c>
      <c r="X403" s="379">
        <f>TRUNC(U403*(1+W403),2)</f>
        <v>2533.59</v>
      </c>
      <c r="Y403" s="380">
        <f>TRUNC(T403*X403,2)</f>
        <v>2533.59</v>
      </c>
      <c r="Z403" s="381"/>
      <c r="AA403" s="378" t="s">
        <v>28044</v>
      </c>
      <c r="AB403" s="642"/>
    </row>
    <row r="404" spans="2:28" s="55" customFormat="1">
      <c r="B404" s="378">
        <f t="shared" ca="1" si="1392"/>
        <v>3</v>
      </c>
      <c r="C404" s="378" t="str">
        <f t="shared" si="1105"/>
        <v>S</v>
      </c>
      <c r="D404" s="378">
        <f t="shared" ca="1" si="1195"/>
        <v>15</v>
      </c>
      <c r="E404" s="378">
        <f t="shared" ca="1" si="1393"/>
        <v>8</v>
      </c>
      <c r="F404" s="378" t="str">
        <f t="shared" ca="1" si="1394"/>
        <v>0</v>
      </c>
      <c r="G404" s="378" t="str">
        <f t="shared" ca="1" si="1395"/>
        <v>0</v>
      </c>
      <c r="H404" s="378" t="str">
        <f t="shared" ca="1" si="1396"/>
        <v>0</v>
      </c>
      <c r="I404" s="378" t="str">
        <f t="shared" ca="1" si="1397"/>
        <v>0</v>
      </c>
      <c r="J404" s="378">
        <f t="shared" ca="1" si="1196"/>
        <v>3</v>
      </c>
      <c r="K404" s="378" t="str">
        <f t="shared" si="1398"/>
        <v>NÃO</v>
      </c>
      <c r="L404" s="378" t="str">
        <f t="shared" ca="1" si="1399"/>
        <v>15.8.3</v>
      </c>
      <c r="M404" s="55" t="s">
        <v>27868</v>
      </c>
      <c r="O404" s="392" t="str">
        <f t="shared" ca="1" si="1400"/>
        <v>15.8.3</v>
      </c>
      <c r="P404" s="687" t="s">
        <v>29901</v>
      </c>
      <c r="Q404" s="684" t="s">
        <v>18172</v>
      </c>
      <c r="R404" s="415" t="str">
        <f>UPPER(IF(P404="CDHU",VLOOKUP(Q404,'CDHU 201-SD'!$A$1:$J$28014,2,FALSE),IF(P404="FDE",VLOOKUP(Q404,'FDE 01-26-SD'!$A$1:$J$280013,2,FALSE),IF(P404="PRÓPRIA",VLOOKUP(Q404,COMPOSIÇÃO!$1:$1048576,3,FALSE),VLOOKUP(Q404,'SINAPI 04-26-SD'!$A$1:$H$272700,2,FALSE)))))</f>
        <v>CONECTOR RJ-45 FÊMEA - CATEGORIA 6</v>
      </c>
      <c r="S404" s="414" t="str">
        <f>UPPER(IF(P404="CDHU",VLOOKUP(Q404,'CDHU 201-SD'!$A$1:$J$28014,3,FALSE),IF(P404="FDE",VLOOKUP(Q404,'FDE 01-26-SD'!$A$1:$J$280013,3,FALSE),IF(P404="PRÓPRIA",VLOOKUP(Q404,COMPOSIÇÃO!$1:$1048576,7,FALSE),VLOOKUP(Q404,'SINAPI 04-26-SD'!$A$1:$H$272700,3,FALSE)))))</f>
        <v>UN</v>
      </c>
      <c r="T404" s="393">
        <f>34*2</f>
        <v>68</v>
      </c>
      <c r="U404" s="394">
        <f>TRUNC(IF(P404="CDHU",VLOOKUP(Q404,'CDHU 201-SD'!$A$1:$J$28014,6,FALSE),IF(P404="FDE",VLOOKUP(Q404,'FDE 01-26-SD'!$A$1:$J$280013,6,FALSE),IF(P404="PRÓPRIA",VLOOKUP(Q404,COMPOSIÇÃO!$1:$1048576,10,FALSE),VLOOKUP(Q404,'SINAPI 04-26-SD'!$A$1:$H$272700,4,FALSE)))),2)</f>
        <v>46.35</v>
      </c>
      <c r="V404" s="416">
        <f t="shared" ref="V404:V427" si="1413">TRUNC(U404*T404,2)</f>
        <v>3151.8</v>
      </c>
      <c r="W404" s="395">
        <f>IF($AA404="N",BDI!$D$26,IF($AA404="D",'BDI DIFE.'!$D$26,"ERRO"))</f>
        <v>0.22500000000000001</v>
      </c>
      <c r="X404" s="379">
        <f t="shared" ref="X404:X427" si="1414">TRUNC(U404*(1+W404),2)</f>
        <v>56.77</v>
      </c>
      <c r="Y404" s="380">
        <f t="shared" ref="Y404:Y427" si="1415">TRUNC(T404*X404,2)</f>
        <v>3860.36</v>
      </c>
      <c r="Z404" s="381"/>
      <c r="AA404" s="378" t="s">
        <v>28044</v>
      </c>
      <c r="AB404" s="642"/>
    </row>
    <row r="405" spans="2:28" s="55" customFormat="1">
      <c r="B405" s="378">
        <f ca="1">IF(C405="S",IF(OFFSET(C405,-1,0)="S", OFFSET(B405,-1,0), OFFSET(B405,-1,0) +1 ), C405)</f>
        <v>3</v>
      </c>
      <c r="C405" s="378" t="str">
        <f>IF(RIGHT($M405) = "o", "S", RIGHT($M405))</f>
        <v>S</v>
      </c>
      <c r="D405" s="378">
        <f ca="1">IF($C405="1",OFFSET(D405,-2,0) +1,OFFSET(D405,-1,0))</f>
        <v>15</v>
      </c>
      <c r="E405" s="378">
        <f ca="1">IF($C405="2",OFFSET(E405,-1,0) +1,IF(OFFSET(D405,-1,0)&lt;&gt;D405,"0",IF(OFFSET(E405,-1,0)="","0",OFFSET(E405,-1,0))))</f>
        <v>8</v>
      </c>
      <c r="F405" s="378" t="str">
        <f ca="1">IF($C405="3",OFFSET(F405,-1,0) +1,IF(OFFSET(E405,-1,0)&lt;&gt;E405,"0",IF(OFFSET(F405,-1,0)="","0",OFFSET(F405,-1,0))))</f>
        <v>0</v>
      </c>
      <c r="G405" s="378" t="str">
        <f ca="1">IF($C405="4",OFFSET(G405,-1,0) +1,IF(OFFSET(F405,-1,0)&lt;&gt;F405,"0",IF(OFFSET(G405,-1,0)="","0",OFFSET(G405,-1,0))))</f>
        <v>0</v>
      </c>
      <c r="H405" s="378" t="str">
        <f ca="1">IF($C405="5",OFFSET(H405,-1,0) +1,IF(OFFSET(G405,-1,0)&lt;&gt;G405,"0",IF(OFFSET(H405,-1,0)="","0",OFFSET(H405,-1,0))))</f>
        <v>0</v>
      </c>
      <c r="I405" s="378" t="str">
        <f ca="1">IF($C405="6",OFFSET(I405,-1,0) +1,IF(OFFSET(H405,-1,0)&lt;&gt;H405,"0",IF(OFFSET(I405,-1,0)="","0", OFFSET(I405,-1,0))))</f>
        <v>0</v>
      </c>
      <c r="J405" s="378">
        <f ca="1">IF($C405="S",OFFSET(J405,-1,0)+1,"0")</f>
        <v>4</v>
      </c>
      <c r="K405" s="378" t="str">
        <f>IF(C405="S","NÃO", IF(C405="1", D405, IF(C405="2", D405 &amp; "." &amp; E405,IF(C405="3", D405 &amp; "." &amp; E405 &amp; "." &amp; F405, IF(C405="4", D405 &amp; "." &amp; E405 &amp; "." &amp; F405 &amp; "." &amp; G405, IF(C405="5", D405 &amp; "." &amp; E405 &amp; "." &amp; F405 &amp; "." &amp; G405 &amp; "." &amp; H405, IF(C405="6", D405 &amp; "." &amp; E405 &amp; "." &amp; F405 &amp; "." &amp; G405 &amp; "." &amp; H405 &amp; "." &amp; I405)))))))</f>
        <v>NÃO</v>
      </c>
      <c r="L405" s="378" t="str">
        <f ca="1">IF(K405="NÃO",IF($B405=2,D405&amp;"."&amp;J405,IF($B405=3,D405&amp;"."&amp;E405&amp;"."&amp;J405,IF($B405=4,D405&amp;"."&amp;E405&amp;"."&amp;F405&amp;"."&amp;J405,IF($B405=5,D405&amp;"."&amp;E405&amp;"."&amp;F405&amp;"."&amp;G405&amp;"."&amp;J405,IF($B405=6,D405&amp;"."&amp;E405&amp;"."&amp;F405&amp;"."&amp;G405&amp;"."&amp;H405&amp;"."&amp;J405,IF($B405=7,D405&amp;"."&amp;E405&amp;"."&amp;F405&amp;"."&amp;G405&amp;"."&amp;H405&amp;"."&amp;I405&amp;"."&amp;J405,"FALHA")))))),K405)</f>
        <v>15.8.4</v>
      </c>
      <c r="M405" s="55" t="s">
        <v>27868</v>
      </c>
      <c r="O405" s="392" t="str">
        <f ca="1">L405</f>
        <v>15.8.4</v>
      </c>
      <c r="P405" s="687" t="s">
        <v>29901</v>
      </c>
      <c r="Q405" s="684" t="s">
        <v>18264</v>
      </c>
      <c r="R405" s="415" t="str">
        <f>UPPER(IF(P405="CDHU",VLOOKUP(Q405,'CDHU 201-SD'!$A$1:$J$28014,2,FALSE),IF(P405="FDE",VLOOKUP(Q405,'FDE 01-26-SD'!$A$1:$J$280013,2,FALSE),IF(P405="PRÓPRIA",VLOOKUP(Q405,COMPOSIÇÃO!$1:$1048576,3,FALSE),VLOOKUP(Q405,'SINAPI 04-26-SD'!$A$1:$H$272700,2,FALSE)))))</f>
        <v>BANDEJA FIXA PARA RACK, 19´ X 500 MM</v>
      </c>
      <c r="S405" s="414" t="str">
        <f>UPPER(IF(P405="CDHU",VLOOKUP(Q405,'CDHU 201-SD'!$A$1:$J$28014,3,FALSE),IF(P405="FDE",VLOOKUP(Q405,'FDE 01-26-SD'!$A$1:$J$280013,3,FALSE),IF(P405="PRÓPRIA",VLOOKUP(Q405,COMPOSIÇÃO!$1:$1048576,7,FALSE),VLOOKUP(Q405,'SINAPI 04-26-SD'!$A$1:$H$272700,3,FALSE)))))</f>
        <v>UN</v>
      </c>
      <c r="T405" s="393">
        <v>6</v>
      </c>
      <c r="U405" s="394">
        <f>TRUNC(IF(P405="CDHU",VLOOKUP(Q405,'CDHU 201-SD'!$A$1:$J$28014,6,FALSE),IF(P405="FDE",VLOOKUP(Q405,'FDE 01-26-SD'!$A$1:$J$280013,6,FALSE),IF(P405="PRÓPRIA",VLOOKUP(Q405,COMPOSIÇÃO!$1:$1048576,10,FALSE),VLOOKUP(Q405,'SINAPI 04-26-SD'!$A$1:$H$272700,4,FALSE)))),2)</f>
        <v>103.91</v>
      </c>
      <c r="V405" s="416">
        <f>TRUNC(U405*T405,2)</f>
        <v>623.46</v>
      </c>
      <c r="W405" s="395">
        <f>IF($AA405="N",BDI!$D$26,IF($AA405="D",'BDI DIFE.'!$D$26,"ERRO"))</f>
        <v>0.22500000000000001</v>
      </c>
      <c r="X405" s="379">
        <f>TRUNC(U405*(1+W405),2)</f>
        <v>127.28</v>
      </c>
      <c r="Y405" s="380">
        <f>TRUNC(T405*X405,2)</f>
        <v>763.68</v>
      </c>
      <c r="Z405" s="381"/>
      <c r="AA405" s="378" t="s">
        <v>28044</v>
      </c>
      <c r="AB405" s="642"/>
    </row>
    <row r="406" spans="2:28" s="55" customFormat="1">
      <c r="B406" s="378">
        <f t="shared" ref="B406" ca="1" si="1416">IF(C406="S",IF(OFFSET(C406,-1,0)="S", OFFSET(B406,-1,0), OFFSET(B406,-1,0) +1 ), C406)</f>
        <v>3</v>
      </c>
      <c r="C406" s="378" t="str">
        <f>IF(RIGHT($M406) = "o", "S", RIGHT($M406))</f>
        <v>S</v>
      </c>
      <c r="D406" s="378">
        <f ca="1">IF($C406="1",OFFSET(D406,-2,0) +1,OFFSET(D406,-1,0))</f>
        <v>15</v>
      </c>
      <c r="E406" s="378">
        <f ca="1">IF($C406="2",OFFSET(E406,-1,0) +1,IF(OFFSET(D406,-1,0)&lt;&gt;D406,"0",IF(OFFSET(E406,-1,0)="","0",OFFSET(E406,-1,0))))</f>
        <v>8</v>
      </c>
      <c r="F406" s="378" t="str">
        <f ca="1">IF($C406="3",OFFSET(F406,-1,0) +1,IF(OFFSET(E406,-1,0)&lt;&gt;E406,"0",IF(OFFSET(F406,-1,0)="","0",OFFSET(F406,-1,0))))</f>
        <v>0</v>
      </c>
      <c r="G406" s="378" t="str">
        <f ca="1">IF($C406="4",OFFSET(G406,-1,0) +1,IF(OFFSET(F406,-1,0)&lt;&gt;F406,"0",IF(OFFSET(G406,-1,0)="","0",OFFSET(G406,-1,0))))</f>
        <v>0</v>
      </c>
      <c r="H406" s="378" t="str">
        <f ca="1">IF($C406="5",OFFSET(H406,-1,0) +1,IF(OFFSET(G406,-1,0)&lt;&gt;G406,"0",IF(OFFSET(H406,-1,0)="","0",OFFSET(H406,-1,0))))</f>
        <v>0</v>
      </c>
      <c r="I406" s="378" t="str">
        <f ca="1">IF($C406="6",OFFSET(I406,-1,0) +1,IF(OFFSET(H406,-1,0)&lt;&gt;H406,"0",IF(OFFSET(I406,-1,0)="","0", OFFSET(I406,-1,0))))</f>
        <v>0</v>
      </c>
      <c r="J406" s="378">
        <f ca="1">IF($C406="S",OFFSET(J406,-1,0)+1,"0")</f>
        <v>5</v>
      </c>
      <c r="K406" s="378" t="str">
        <f t="shared" ref="K406" si="1417">IF(C406="S","NÃO", IF(C406="1", D406, IF(C406="2", D406 &amp; "." &amp; E406,IF(C406="3", D406 &amp; "." &amp; E406 &amp; "." &amp; F406, IF(C406="4", D406 &amp; "." &amp; E406 &amp; "." &amp; F406 &amp; "." &amp; G406, IF(C406="5", D406 &amp; "." &amp; E406 &amp; "." &amp; F406 &amp; "." &amp; G406 &amp; "." &amp; H406, IF(C406="6", D406 &amp; "." &amp; E406 &amp; "." &amp; F406 &amp; "." &amp; G406 &amp; "." &amp; H406 &amp; "." &amp; I406)))))))</f>
        <v>NÃO</v>
      </c>
      <c r="L406" s="378" t="str">
        <f ca="1">IF(K406="NÃO",IF($B406=2,D406&amp;"."&amp;J406,IF($B406=3,D406&amp;"."&amp;E406&amp;"."&amp;J406,IF($B406=4,D406&amp;"."&amp;E406&amp;"."&amp;F406&amp;"."&amp;J406,IF($B406=5,D406&amp;"."&amp;E406&amp;"."&amp;F406&amp;"."&amp;G406&amp;"."&amp;J406,IF($B406=6,D406&amp;"."&amp;E406&amp;"."&amp;F406&amp;"."&amp;G406&amp;"."&amp;H406&amp;"."&amp;J406,IF($B406=7,D406&amp;"."&amp;E406&amp;"."&amp;F406&amp;"."&amp;G406&amp;"."&amp;H406&amp;"."&amp;I406&amp;"."&amp;J406,"FALHA")))))),K406)</f>
        <v>15.8.5</v>
      </c>
      <c r="M406" s="55" t="s">
        <v>27868</v>
      </c>
      <c r="O406" s="392" t="str">
        <f t="shared" ref="O406" ca="1" si="1418">L406</f>
        <v>15.8.5</v>
      </c>
      <c r="P406" s="687" t="s">
        <v>29901</v>
      </c>
      <c r="Q406" s="684" t="s">
        <v>18270</v>
      </c>
      <c r="R406" s="415" t="str">
        <f>UPPER(IF(P406="CDHU",VLOOKUP(Q406,'CDHU 201-SD'!$A$1:$J$28014,2,FALSE),IF(P406="FDE",VLOOKUP(Q406,'FDE 01-26-SD'!$A$1:$J$280013,2,FALSE),IF(P406="PRÓPRIA",VLOOKUP(Q406,COMPOSIÇÃO!$1:$1048576,3,FALSE),VLOOKUP(Q406,'SINAPI 04-26-SD'!$A$1:$H$272700,2,FALSE)))))</f>
        <v>CALHA DE AÇO COM 12 TOMADAS 2P+T - 250 V, COM CABO</v>
      </c>
      <c r="S406" s="414" t="str">
        <f>UPPER(IF(P406="CDHU",VLOOKUP(Q406,'CDHU 201-SD'!$A$1:$J$28014,3,FALSE),IF(P406="FDE",VLOOKUP(Q406,'FDE 01-26-SD'!$A$1:$J$280013,3,FALSE),IF(P406="PRÓPRIA",VLOOKUP(Q406,COMPOSIÇÃO!$1:$1048576,7,FALSE),VLOOKUP(Q406,'SINAPI 04-26-SD'!$A$1:$H$272700,3,FALSE)))))</f>
        <v>UN</v>
      </c>
      <c r="T406" s="393">
        <v>1</v>
      </c>
      <c r="U406" s="394">
        <f>TRUNC(IF(P406="CDHU",VLOOKUP(Q406,'CDHU 201-SD'!$A$1:$J$28014,6,FALSE),IF(P406="FDE",VLOOKUP(Q406,'FDE 01-26-SD'!$A$1:$J$280013,6,FALSE),IF(P406="PRÓPRIA",VLOOKUP(Q406,COMPOSIÇÃO!$1:$1048576,10,FALSE),VLOOKUP(Q406,'SINAPI 04-26-SD'!$A$1:$H$272700,4,FALSE)))),2)</f>
        <v>108.21</v>
      </c>
      <c r="V406" s="416">
        <f t="shared" ref="V406" si="1419">TRUNC(U406*T406,2)</f>
        <v>108.21</v>
      </c>
      <c r="W406" s="395">
        <f>IF($AA406="N",BDI!$D$26,IF($AA406="D",'BDI DIFE.'!$D$26,"ERRO"))</f>
        <v>0.22500000000000001</v>
      </c>
      <c r="X406" s="379">
        <f t="shared" ref="X406" si="1420">TRUNC(U406*(1+W406),2)</f>
        <v>132.55000000000001</v>
      </c>
      <c r="Y406" s="380">
        <f t="shared" ref="Y406" si="1421">TRUNC(T406*X406,2)</f>
        <v>132.55000000000001</v>
      </c>
      <c r="Z406" s="381"/>
      <c r="AA406" s="378" t="s">
        <v>28044</v>
      </c>
      <c r="AB406" s="642"/>
    </row>
    <row r="407" spans="2:28" s="55" customFormat="1" ht="30">
      <c r="B407" s="378">
        <f ca="1">IF(C407="S",IF(OFFSET(C407,-1,0)="S", OFFSET(B407,-1,0), OFFSET(B407,-1,0) +1 ), C407)</f>
        <v>3</v>
      </c>
      <c r="C407" s="378" t="str">
        <f>IF(RIGHT($M407) = "o", "S", RIGHT($M407))</f>
        <v>S</v>
      </c>
      <c r="D407" s="378">
        <f ca="1">IF($C407="1",OFFSET(D407,-2,0) +1,OFFSET(D407,-1,0))</f>
        <v>15</v>
      </c>
      <c r="E407" s="378">
        <f ca="1">IF($C407="2",OFFSET(E407,-1,0) +1,IF(OFFSET(D407,-1,0)&lt;&gt;D407,"0",IF(OFFSET(E407,-1,0)="","0",OFFSET(E407,-1,0))))</f>
        <v>8</v>
      </c>
      <c r="F407" s="378" t="str">
        <f ca="1">IF($C407="3",OFFSET(F407,-1,0) +1,IF(OFFSET(E407,-1,0)&lt;&gt;E407,"0",IF(OFFSET(F407,-1,0)="","0",OFFSET(F407,-1,0))))</f>
        <v>0</v>
      </c>
      <c r="G407" s="378" t="str">
        <f ca="1">IF($C407="4",OFFSET(G407,-1,0) +1,IF(OFFSET(F407,-1,0)&lt;&gt;F407,"0",IF(OFFSET(G407,-1,0)="","0",OFFSET(G407,-1,0))))</f>
        <v>0</v>
      </c>
      <c r="H407" s="378" t="str">
        <f ca="1">IF($C407="5",OFFSET(H407,-1,0) +1,IF(OFFSET(G407,-1,0)&lt;&gt;G407,"0",IF(OFFSET(H407,-1,0)="","0",OFFSET(H407,-1,0))))</f>
        <v>0</v>
      </c>
      <c r="I407" s="378" t="str">
        <f ca="1">IF($C407="6",OFFSET(I407,-1,0) +1,IF(OFFSET(H407,-1,0)&lt;&gt;H407,"0",IF(OFFSET(I407,-1,0)="","0", OFFSET(I407,-1,0))))</f>
        <v>0</v>
      </c>
      <c r="J407" s="378">
        <f ca="1">IF($C407="S",OFFSET(J407,-1,0)+1,"0")</f>
        <v>6</v>
      </c>
      <c r="K407" s="378" t="str">
        <f>IF(C407="S","NÃO", IF(C407="1", D407, IF(C407="2", D407 &amp; "." &amp; E407,IF(C407="3", D407 &amp; "." &amp; E407 &amp; "." &amp; F407, IF(C407="4", D407 &amp; "." &amp; E407 &amp; "." &amp; F407 &amp; "." &amp; G407, IF(C407="5", D407 &amp; "." &amp; E407 &amp; "." &amp; F407 &amp; "." &amp; G407 &amp; "." &amp; H407, IF(C407="6", D407 &amp; "." &amp; E407 &amp; "." &amp; F407 &amp; "." &amp; G407 &amp; "." &amp; H407 &amp; "." &amp; I407)))))))</f>
        <v>NÃO</v>
      </c>
      <c r="L407" s="378" t="str">
        <f ca="1">IF(K407="NÃO",IF($B407=2,D407&amp;"."&amp;J407,IF($B407=3,D407&amp;"."&amp;E407&amp;"."&amp;J407,IF($B407=4,D407&amp;"."&amp;E407&amp;"."&amp;F407&amp;"."&amp;J407,IF($B407=5,D407&amp;"."&amp;E407&amp;"."&amp;F407&amp;"."&amp;G407&amp;"."&amp;J407,IF($B407=6,D407&amp;"."&amp;E407&amp;"."&amp;F407&amp;"."&amp;G407&amp;"."&amp;H407&amp;"."&amp;J407,IF($B407=7,D407&amp;"."&amp;E407&amp;"."&amp;F407&amp;"."&amp;G407&amp;"."&amp;H407&amp;"."&amp;I407&amp;"."&amp;J407,"FALHA")))))),K407)</f>
        <v>15.8.6</v>
      </c>
      <c r="M407" s="55" t="s">
        <v>27868</v>
      </c>
      <c r="O407" s="392" t="str">
        <f ca="1">L407</f>
        <v>15.8.6</v>
      </c>
      <c r="P407" s="687" t="s">
        <v>29901</v>
      </c>
      <c r="Q407" s="684" t="s">
        <v>40984</v>
      </c>
      <c r="R407" s="415" t="str">
        <f>UPPER(IF(P407="CDHU",VLOOKUP(Q407,'CDHU 201-SD'!$A$1:$J$28014,2,FALSE),IF(P407="FDE",VLOOKUP(Q407,'FDE 01-26-SD'!$A$1:$J$280013,2,FALSE),IF(P407="PRÓPRIA",VLOOKUP(Q407,COMPOSIÇÃO!$1:$1048576,3,FALSE),VLOOKUP(Q407,'SINAPI 04-26-SD'!$A$1:$H$272700,2,FALSE)))))</f>
        <v>DISTRIBUIDOR INTERNO ÓPTICO 1U DE ATÉ 24 FIBRAS - COMPLETO</v>
      </c>
      <c r="S407" s="414" t="str">
        <f>UPPER(IF(P407="CDHU",VLOOKUP(Q407,'CDHU 201-SD'!$A$1:$J$28014,3,FALSE),IF(P407="FDE",VLOOKUP(Q407,'FDE 01-26-SD'!$A$1:$J$280013,3,FALSE),IF(P407="PRÓPRIA",VLOOKUP(Q407,COMPOSIÇÃO!$1:$1048576,7,FALSE),VLOOKUP(Q407,'SINAPI 04-26-SD'!$A$1:$H$272700,3,FALSE)))))</f>
        <v>UN</v>
      </c>
      <c r="T407" s="393">
        <v>1</v>
      </c>
      <c r="U407" s="394">
        <f>TRUNC(IF(P407="CDHU",VLOOKUP(Q407,'CDHU 201-SD'!$A$1:$J$28014,6,FALSE),IF(P407="FDE",VLOOKUP(Q407,'FDE 01-26-SD'!$A$1:$J$280013,6,FALSE),IF(P407="PRÓPRIA",VLOOKUP(Q407,COMPOSIÇÃO!$1:$1048576,10,FALSE),VLOOKUP(Q407,'SINAPI 04-26-SD'!$A$1:$H$272700,4,FALSE)))),2)</f>
        <v>796.39</v>
      </c>
      <c r="V407" s="416">
        <f>TRUNC(U407*T407,2)</f>
        <v>796.39</v>
      </c>
      <c r="W407" s="395">
        <f>IF($AA407="N",BDI!$D$26,IF($AA407="D",'BDI DIFE.'!$D$26,"ERRO"))</f>
        <v>0.22500000000000001</v>
      </c>
      <c r="X407" s="379">
        <f>TRUNC(U407*(1+W407),2)</f>
        <v>975.57</v>
      </c>
      <c r="Y407" s="380">
        <f>TRUNC(T407*X407,2)</f>
        <v>975.57</v>
      </c>
      <c r="Z407" s="381"/>
      <c r="AA407" s="378" t="s">
        <v>28044</v>
      </c>
      <c r="AB407" s="642"/>
    </row>
    <row r="408" spans="2:28" s="55" customFormat="1">
      <c r="B408" s="378">
        <f t="shared" ca="1" si="1392"/>
        <v>3</v>
      </c>
      <c r="C408" s="378" t="str">
        <f t="shared" si="1105"/>
        <v>S</v>
      </c>
      <c r="D408" s="378">
        <f t="shared" ca="1" si="1195"/>
        <v>15</v>
      </c>
      <c r="E408" s="378">
        <f t="shared" ca="1" si="1393"/>
        <v>8</v>
      </c>
      <c r="F408" s="378" t="str">
        <f t="shared" ca="1" si="1394"/>
        <v>0</v>
      </c>
      <c r="G408" s="378" t="str">
        <f t="shared" ca="1" si="1395"/>
        <v>0</v>
      </c>
      <c r="H408" s="378" t="str">
        <f t="shared" ca="1" si="1396"/>
        <v>0</v>
      </c>
      <c r="I408" s="378" t="str">
        <f t="shared" ca="1" si="1397"/>
        <v>0</v>
      </c>
      <c r="J408" s="378">
        <f t="shared" ca="1" si="1196"/>
        <v>7</v>
      </c>
      <c r="K408" s="378" t="str">
        <f t="shared" si="1398"/>
        <v>NÃO</v>
      </c>
      <c r="L408" s="378" t="str">
        <f t="shared" ca="1" si="1399"/>
        <v>15.8.7</v>
      </c>
      <c r="M408" s="55" t="s">
        <v>27868</v>
      </c>
      <c r="O408" s="392" t="str">
        <f t="shared" ca="1" si="1400"/>
        <v>15.8.7</v>
      </c>
      <c r="P408" s="687" t="s">
        <v>29901</v>
      </c>
      <c r="Q408" s="684" t="s">
        <v>15315</v>
      </c>
      <c r="R408" s="415" t="str">
        <f>UPPER(IF(P408="CDHU",VLOOKUP(Q408,'CDHU 201-SD'!$A$1:$J$28014,2,FALSE),IF(P408="FDE",VLOOKUP(Q408,'FDE 01-26-SD'!$A$1:$J$280013,2,FALSE),IF(P408="PRÓPRIA",VLOOKUP(Q408,COMPOSIÇÃO!$1:$1048576,3,FALSE),VLOOKUP(Q408,'SINAPI 04-26-SD'!$A$1:$H$272700,2,FALSE)))))</f>
        <v>CAIXA EM PVC DE 4´ X 2´</v>
      </c>
      <c r="S408" s="414" t="str">
        <f>UPPER(IF(P408="CDHU",VLOOKUP(Q408,'CDHU 201-SD'!$A$1:$J$28014,3,FALSE),IF(P408="FDE",VLOOKUP(Q408,'FDE 01-26-SD'!$A$1:$J$280013,3,FALSE),IF(P408="PRÓPRIA",VLOOKUP(Q408,COMPOSIÇÃO!$1:$1048576,7,FALSE),VLOOKUP(Q408,'SINAPI 04-26-SD'!$A$1:$H$272700,3,FALSE)))))</f>
        <v>UN</v>
      </c>
      <c r="T408" s="393">
        <v>24</v>
      </c>
      <c r="U408" s="394">
        <f>TRUNC(IF(P408="CDHU",VLOOKUP(Q408,'CDHU 201-SD'!$A$1:$J$28014,6,FALSE),IF(P408="FDE",VLOOKUP(Q408,'FDE 01-26-SD'!$A$1:$J$280013,6,FALSE),IF(P408="PRÓPRIA",VLOOKUP(Q408,COMPOSIÇÃO!$1:$1048576,10,FALSE),VLOOKUP(Q408,'SINAPI 04-26-SD'!$A$1:$H$272700,4,FALSE)))),2)</f>
        <v>17.579999999999998</v>
      </c>
      <c r="V408" s="416">
        <f t="shared" si="1413"/>
        <v>421.92</v>
      </c>
      <c r="W408" s="395">
        <f>IF($AA408="N",BDI!$D$26,IF($AA408="D",'BDI DIFE.'!$D$26,"ERRO"))</f>
        <v>0.22500000000000001</v>
      </c>
      <c r="X408" s="379">
        <f t="shared" si="1414"/>
        <v>21.53</v>
      </c>
      <c r="Y408" s="380">
        <f t="shared" si="1415"/>
        <v>516.72</v>
      </c>
      <c r="Z408" s="381"/>
      <c r="AA408" s="378" t="s">
        <v>28044</v>
      </c>
      <c r="AB408" s="642"/>
    </row>
    <row r="409" spans="2:28" s="55" customFormat="1">
      <c r="B409" s="378">
        <f t="shared" ref="B409" ca="1" si="1422">IF(C409="S",IF(OFFSET(C409,-1,0)="S", OFFSET(B409,-1,0), OFFSET(B409,-1,0) +1 ), C409)</f>
        <v>3</v>
      </c>
      <c r="C409" s="378" t="str">
        <f t="shared" si="1105"/>
        <v>S</v>
      </c>
      <c r="D409" s="378">
        <f t="shared" ca="1" si="1195"/>
        <v>15</v>
      </c>
      <c r="E409" s="378">
        <f t="shared" ref="E409" ca="1" si="1423">IF($C409="2",OFFSET(E409,-1,0) +1,IF(OFFSET(D409,-1,0)&lt;&gt;D409,"0",IF(OFFSET(E409,-1,0)="","0",OFFSET(E409,-1,0))))</f>
        <v>8</v>
      </c>
      <c r="F409" s="378" t="str">
        <f t="shared" ref="F409" ca="1" si="1424">IF($C409="3",OFFSET(F409,-1,0) +1,IF(OFFSET(E409,-1,0)&lt;&gt;E409,"0",IF(OFFSET(F409,-1,0)="","0",OFFSET(F409,-1,0))))</f>
        <v>0</v>
      </c>
      <c r="G409" s="378" t="str">
        <f t="shared" ref="G409" ca="1" si="1425">IF($C409="4",OFFSET(G409,-1,0) +1,IF(OFFSET(F409,-1,0)&lt;&gt;F409,"0",IF(OFFSET(G409,-1,0)="","0",OFFSET(G409,-1,0))))</f>
        <v>0</v>
      </c>
      <c r="H409" s="378" t="str">
        <f t="shared" ref="H409" ca="1" si="1426">IF($C409="5",OFFSET(H409,-1,0) +1,IF(OFFSET(G409,-1,0)&lt;&gt;G409,"0",IF(OFFSET(H409,-1,0)="","0",OFFSET(H409,-1,0))))</f>
        <v>0</v>
      </c>
      <c r="I409" s="378" t="str">
        <f t="shared" ref="I409" ca="1" si="1427">IF($C409="6",OFFSET(I409,-1,0) +1,IF(OFFSET(H409,-1,0)&lt;&gt;H409,"0",IF(OFFSET(I409,-1,0)="","0", OFFSET(I409,-1,0))))</f>
        <v>0</v>
      </c>
      <c r="J409" s="378">
        <f t="shared" ca="1" si="1196"/>
        <v>8</v>
      </c>
      <c r="K409" s="378" t="str">
        <f t="shared" ref="K409" si="1428">IF(C409="S","NÃO", IF(C409="1", D409, IF(C409="2", D409 &amp; "." &amp; E409,IF(C409="3", D409 &amp; "." &amp; E409 &amp; "." &amp; F409, IF(C409="4", D409 &amp; "." &amp; E409 &amp; "." &amp; F409 &amp; "." &amp; G409, IF(C409="5", D409 &amp; "." &amp; E409 &amp; "." &amp; F409 &amp; "." &amp; G409 &amp; "." &amp; H409, IF(C409="6", D409 &amp; "." &amp; E409 &amp; "." &amp; F409 &amp; "." &amp; G409 &amp; "." &amp; H409 &amp; "." &amp; I409)))))))</f>
        <v>NÃO</v>
      </c>
      <c r="L409" s="378" t="str">
        <f t="shared" ref="L409" ca="1" si="1429">IF(K409="NÃO",IF($B409=2,D409&amp;"."&amp;J409,IF($B409=3,D409&amp;"."&amp;E409&amp;"."&amp;J409,IF($B409=4,D409&amp;"."&amp;E409&amp;"."&amp;F409&amp;"."&amp;J409,IF($B409=5,D409&amp;"."&amp;E409&amp;"."&amp;F409&amp;"."&amp;G409&amp;"."&amp;J409,IF($B409=6,D409&amp;"."&amp;E409&amp;"."&amp;F409&amp;"."&amp;G409&amp;"."&amp;H409&amp;"."&amp;J409,IF($B409=7,D409&amp;"."&amp;E409&amp;"."&amp;F409&amp;"."&amp;G409&amp;"."&amp;H409&amp;"."&amp;I409&amp;"."&amp;J409,"FALHA")))))),K409)</f>
        <v>15.8.8</v>
      </c>
      <c r="M409" s="55" t="s">
        <v>27868</v>
      </c>
      <c r="O409" s="392" t="str">
        <f t="shared" ref="O409" ca="1" si="1430">L409</f>
        <v>15.8.8</v>
      </c>
      <c r="P409" s="687" t="s">
        <v>29901</v>
      </c>
      <c r="Q409" s="684" t="s">
        <v>15297</v>
      </c>
      <c r="R409" s="415" t="str">
        <f>UPPER(IF(P409="CDHU",VLOOKUP(Q409,'CDHU 201-SD'!$A$1:$J$28014,2,FALSE),IF(P409="FDE",VLOOKUP(Q409,'FDE 01-26-SD'!$A$1:$J$280013,2,FALSE),IF(P409="PRÓPRIA",VLOOKUP(Q409,COMPOSIÇÃO!$1:$1048576,3,FALSE),VLOOKUP(Q409,'SINAPI 04-26-SD'!$A$1:$H$272700,2,FALSE)))))</f>
        <v>CONDULETE METÁLICO DE 1´</v>
      </c>
      <c r="S409" s="414" t="str">
        <f>UPPER(IF(P409="CDHU",VLOOKUP(Q409,'CDHU 201-SD'!$A$1:$J$28014,3,FALSE),IF(P409="FDE",VLOOKUP(Q409,'FDE 01-26-SD'!$A$1:$J$280013,3,FALSE),IF(P409="PRÓPRIA",VLOOKUP(Q409,COMPOSIÇÃO!$1:$1048576,7,FALSE),VLOOKUP(Q409,'SINAPI 04-26-SD'!$A$1:$H$272700,3,FALSE)))))</f>
        <v>CJ</v>
      </c>
      <c r="T409" s="393">
        <v>14</v>
      </c>
      <c r="U409" s="394">
        <f>TRUNC(IF(P409="CDHU",VLOOKUP(Q409,'CDHU 201-SD'!$A$1:$J$28014,6,FALSE),IF(P409="FDE",VLOOKUP(Q409,'FDE 01-26-SD'!$A$1:$J$280013,6,FALSE),IF(P409="PRÓPRIA",VLOOKUP(Q409,COMPOSIÇÃO!$1:$1048576,10,FALSE),VLOOKUP(Q409,'SINAPI 04-26-SD'!$A$1:$H$272700,4,FALSE)))),2)</f>
        <v>53.49</v>
      </c>
      <c r="V409" s="416">
        <f t="shared" ref="V409" si="1431">TRUNC(U409*T409,2)</f>
        <v>748.86</v>
      </c>
      <c r="W409" s="395">
        <f>IF($AA409="N",BDI!$D$26,IF($AA409="D",'BDI DIFE.'!$D$26,"ERRO"))</f>
        <v>0.22500000000000001</v>
      </c>
      <c r="X409" s="379">
        <f t="shared" ref="X409" si="1432">TRUNC(U409*(1+W409),2)</f>
        <v>65.52</v>
      </c>
      <c r="Y409" s="380">
        <f t="shared" ref="Y409" si="1433">TRUNC(T409*X409,2)</f>
        <v>917.28</v>
      </c>
      <c r="Z409" s="381"/>
      <c r="AA409" s="378" t="s">
        <v>28044</v>
      </c>
      <c r="AB409" s="642"/>
    </row>
    <row r="410" spans="2:28" s="55" customFormat="1">
      <c r="B410" s="378">
        <f t="shared" ca="1" si="1392"/>
        <v>3</v>
      </c>
      <c r="C410" s="378" t="str">
        <f t="shared" si="1105"/>
        <v>S</v>
      </c>
      <c r="D410" s="378">
        <f t="shared" ca="1" si="1195"/>
        <v>15</v>
      </c>
      <c r="E410" s="378">
        <f t="shared" ca="1" si="1393"/>
        <v>8</v>
      </c>
      <c r="F410" s="378" t="str">
        <f t="shared" ca="1" si="1394"/>
        <v>0</v>
      </c>
      <c r="G410" s="378" t="str">
        <f t="shared" ca="1" si="1395"/>
        <v>0</v>
      </c>
      <c r="H410" s="378" t="str">
        <f t="shared" ca="1" si="1396"/>
        <v>0</v>
      </c>
      <c r="I410" s="378" t="str">
        <f t="shared" ca="1" si="1397"/>
        <v>0</v>
      </c>
      <c r="J410" s="378">
        <f t="shared" ca="1" si="1196"/>
        <v>9</v>
      </c>
      <c r="K410" s="378" t="str">
        <f t="shared" si="1398"/>
        <v>NÃO</v>
      </c>
      <c r="L410" s="378" t="str">
        <f t="shared" ca="1" si="1399"/>
        <v>15.8.9</v>
      </c>
      <c r="M410" s="55" t="s">
        <v>27868</v>
      </c>
      <c r="O410" s="392" t="str">
        <f t="shared" ca="1" si="1400"/>
        <v>15.8.9</v>
      </c>
      <c r="P410" s="687" t="s">
        <v>29901</v>
      </c>
      <c r="Q410" s="684" t="s">
        <v>15086</v>
      </c>
      <c r="R410" s="415" t="str">
        <f>UPPER(IF(P410="CDHU",VLOOKUP(Q410,'CDHU 201-SD'!$A$1:$J$28014,2,FALSE),IF(P410="FDE",VLOOKUP(Q410,'FDE 01-26-SD'!$A$1:$J$280013,2,FALSE),IF(P410="PRÓPRIA",VLOOKUP(Q410,COMPOSIÇÃO!$1:$1048576,3,FALSE),VLOOKUP(Q410,'SINAPI 04-26-SD'!$A$1:$H$272700,2,FALSE)))))</f>
        <v>CABO PARA REDE 24 AWG COM 4 PARES, CATEGORIA 6</v>
      </c>
      <c r="S410" s="414" t="str">
        <f>UPPER(IF(P410="CDHU",VLOOKUP(Q410,'CDHU 201-SD'!$A$1:$J$28014,3,FALSE),IF(P410="FDE",VLOOKUP(Q410,'FDE 01-26-SD'!$A$1:$J$280013,3,FALSE),IF(P410="PRÓPRIA",VLOOKUP(Q410,COMPOSIÇÃO!$1:$1048576,7,FALSE),VLOOKUP(Q410,'SINAPI 04-26-SD'!$A$1:$H$272700,3,FALSE)))))</f>
        <v>M</v>
      </c>
      <c r="T410" s="393">
        <v>839.2</v>
      </c>
      <c r="U410" s="394">
        <f>TRUNC(IF(P410="CDHU",VLOOKUP(Q410,'CDHU 201-SD'!$A$1:$J$28014,6,FALSE),IF(P410="FDE",VLOOKUP(Q410,'FDE 01-26-SD'!$A$1:$J$280013,6,FALSE),IF(P410="PRÓPRIA",VLOOKUP(Q410,COMPOSIÇÃO!$1:$1048576,10,FALSE),VLOOKUP(Q410,'SINAPI 04-26-SD'!$A$1:$H$272700,4,FALSE)))),2)</f>
        <v>13.83</v>
      </c>
      <c r="V410" s="416">
        <f t="shared" si="1413"/>
        <v>11606.13</v>
      </c>
      <c r="W410" s="395">
        <f>IF($AA410="N",BDI!$D$26,IF($AA410="D",'BDI DIFE.'!$D$26,"ERRO"))</f>
        <v>0.22500000000000001</v>
      </c>
      <c r="X410" s="379">
        <f t="shared" si="1414"/>
        <v>16.940000000000001</v>
      </c>
      <c r="Y410" s="380">
        <f t="shared" si="1415"/>
        <v>14216.04</v>
      </c>
      <c r="Z410" s="381"/>
      <c r="AA410" s="378" t="s">
        <v>28044</v>
      </c>
      <c r="AB410" s="642"/>
    </row>
    <row r="411" spans="2:28" s="55" customFormat="1">
      <c r="B411" s="378">
        <f ca="1">IF(C411="S",IF(OFFSET(C411,-1,0)="S", OFFSET(B411,-1,0), OFFSET(B411,-1,0) +1 ), C411)</f>
        <v>3</v>
      </c>
      <c r="C411" s="378" t="str">
        <f>IF(RIGHT($M411) = "o", "S", RIGHT($M411))</f>
        <v>S</v>
      </c>
      <c r="D411" s="378">
        <f ca="1">IF($C411="1",OFFSET(D411,-2,0) +1,OFFSET(D411,-1,0))</f>
        <v>15</v>
      </c>
      <c r="E411" s="378">
        <f ca="1">IF($C411="2",OFFSET(E411,-1,0) +1,IF(OFFSET(D411,-1,0)&lt;&gt;D411,"0",IF(OFFSET(E411,-1,0)="","0",OFFSET(E411,-1,0))))</f>
        <v>8</v>
      </c>
      <c r="F411" s="378" t="str">
        <f ca="1">IF($C411="3",OFFSET(F411,-1,0) +1,IF(OFFSET(E411,-1,0)&lt;&gt;E411,"0",IF(OFFSET(F411,-1,0)="","0",OFFSET(F411,-1,0))))</f>
        <v>0</v>
      </c>
      <c r="G411" s="378" t="str">
        <f ca="1">IF($C411="4",OFFSET(G411,-1,0) +1,IF(OFFSET(F411,-1,0)&lt;&gt;F411,"0",IF(OFFSET(G411,-1,0)="","0",OFFSET(G411,-1,0))))</f>
        <v>0</v>
      </c>
      <c r="H411" s="378" t="str">
        <f ca="1">IF($C411="5",OFFSET(H411,-1,0) +1,IF(OFFSET(G411,-1,0)&lt;&gt;G411,"0",IF(OFFSET(H411,-1,0)="","0",OFFSET(H411,-1,0))))</f>
        <v>0</v>
      </c>
      <c r="I411" s="378" t="str">
        <f ca="1">IF($C411="6",OFFSET(I411,-1,0) +1,IF(OFFSET(H411,-1,0)&lt;&gt;H411,"0",IF(OFFSET(I411,-1,0)="","0", OFFSET(I411,-1,0))))</f>
        <v>0</v>
      </c>
      <c r="J411" s="378">
        <f ca="1">IF($C411="S",OFFSET(J411,-1,0)+1,"0")</f>
        <v>10</v>
      </c>
      <c r="K411" s="378" t="str">
        <f>IF(C411="S","NÃO", IF(C411="1", D411, IF(C411="2", D411 &amp; "." &amp; E411,IF(C411="3", D411 &amp; "." &amp; E411 &amp; "." &amp; F411, IF(C411="4", D411 &amp; "." &amp; E411 &amp; "." &amp; F411 &amp; "." &amp; G411, IF(C411="5", D411 &amp; "." &amp; E411 &amp; "." &amp; F411 &amp; "." &amp; G411 &amp; "." &amp; H411, IF(C411="6", D411 &amp; "." &amp; E411 &amp; "." &amp; F411 &amp; "." &amp; G411 &amp; "." &amp; H411 &amp; "." &amp; I411)))))))</f>
        <v>NÃO</v>
      </c>
      <c r="L411" s="378" t="str">
        <f ca="1">IF(K411="NÃO",IF($B411=2,D411&amp;"."&amp;J411,IF($B411=3,D411&amp;"."&amp;E411&amp;"."&amp;J411,IF($B411=4,D411&amp;"."&amp;E411&amp;"."&amp;F411&amp;"."&amp;J411,IF($B411=5,D411&amp;"."&amp;E411&amp;"."&amp;F411&amp;"."&amp;G411&amp;"."&amp;J411,IF($B411=6,D411&amp;"."&amp;E411&amp;"."&amp;F411&amp;"."&amp;G411&amp;"."&amp;H411&amp;"."&amp;J411,IF($B411=7,D411&amp;"."&amp;E411&amp;"."&amp;F411&amp;"."&amp;G411&amp;"."&amp;H411&amp;"."&amp;I411&amp;"."&amp;J411,"FALHA")))))),K411)</f>
        <v>15.8.10</v>
      </c>
      <c r="M411" s="55" t="s">
        <v>27868</v>
      </c>
      <c r="O411" s="392" t="str">
        <f ca="1">L411</f>
        <v>15.8.10</v>
      </c>
      <c r="P411" s="687" t="s">
        <v>29901</v>
      </c>
      <c r="Q411" s="684" t="s">
        <v>18230</v>
      </c>
      <c r="R411" s="415" t="str">
        <f>UPPER(IF(P411="CDHU",VLOOKUP(Q411,'CDHU 201-SD'!$A$1:$J$28014,2,FALSE),IF(P411="FDE",VLOOKUP(Q411,'FDE 01-26-SD'!$A$1:$J$280013,2,FALSE),IF(P411="PRÓPRIA",VLOOKUP(Q411,COMPOSIÇÃO!$1:$1048576,3,FALSE),VLOOKUP(Q411,'SINAPI 04-26-SD'!$A$1:$H$272700,2,FALSE)))))</f>
        <v>PATCH PANEL DE 24 PORTAS - CATEGORIA 6</v>
      </c>
      <c r="S411" s="414" t="str">
        <f>UPPER(IF(P411="CDHU",VLOOKUP(Q411,'CDHU 201-SD'!$A$1:$J$28014,3,FALSE),IF(P411="FDE",VLOOKUP(Q411,'FDE 01-26-SD'!$A$1:$J$280013,3,FALSE),IF(P411="PRÓPRIA",VLOOKUP(Q411,COMPOSIÇÃO!$1:$1048576,7,FALSE),VLOOKUP(Q411,'SINAPI 04-26-SD'!$A$1:$H$272700,3,FALSE)))))</f>
        <v>UN</v>
      </c>
      <c r="T411" s="393">
        <v>2</v>
      </c>
      <c r="U411" s="394">
        <f>TRUNC(IF(P411="CDHU",VLOOKUP(Q411,'CDHU 201-SD'!$A$1:$J$28014,6,FALSE),IF(P411="FDE",VLOOKUP(Q411,'FDE 01-26-SD'!$A$1:$J$280013,6,FALSE),IF(P411="PRÓPRIA",VLOOKUP(Q411,COMPOSIÇÃO!$1:$1048576,10,FALSE),VLOOKUP(Q411,'SINAPI 04-26-SD'!$A$1:$H$272700,4,FALSE)))),2)</f>
        <v>791.27</v>
      </c>
      <c r="V411" s="416">
        <f>TRUNC(U411*T411,2)</f>
        <v>1582.54</v>
      </c>
      <c r="W411" s="395">
        <f>IF($AA411="N",BDI!$D$26,IF($AA411="D",'BDI DIFE.'!$D$26,"ERRO"))</f>
        <v>0.22500000000000001</v>
      </c>
      <c r="X411" s="379">
        <f>TRUNC(U411*(1+W411),2)</f>
        <v>969.3</v>
      </c>
      <c r="Y411" s="380">
        <f>TRUNC(T411*X411,2)</f>
        <v>1938.6</v>
      </c>
      <c r="Z411" s="381"/>
      <c r="AA411" s="378" t="s">
        <v>28044</v>
      </c>
      <c r="AB411" s="642"/>
    </row>
    <row r="412" spans="2:28" s="55" customFormat="1">
      <c r="B412" s="378">
        <f t="shared" ref="B412" ca="1" si="1434">IF(C412="S",IF(OFFSET(C412,-1,0)="S", OFFSET(B412,-1,0), OFFSET(B412,-1,0) +1 ), C412)</f>
        <v>3</v>
      </c>
      <c r="C412" s="378" t="str">
        <f>IF(RIGHT($M412) = "o", "S", RIGHT($M412))</f>
        <v>S</v>
      </c>
      <c r="D412" s="378">
        <f ca="1">IF($C412="1",OFFSET(D412,-2,0) +1,OFFSET(D412,-1,0))</f>
        <v>15</v>
      </c>
      <c r="E412" s="378">
        <f ca="1">IF($C412="2",OFFSET(E412,-1,0) +1,IF(OFFSET(D412,-1,0)&lt;&gt;D412,"0",IF(OFFSET(E412,-1,0)="","0",OFFSET(E412,-1,0))))</f>
        <v>8</v>
      </c>
      <c r="F412" s="378" t="str">
        <f ca="1">IF($C412="3",OFFSET(F412,-1,0) +1,IF(OFFSET(E412,-1,0)&lt;&gt;E412,"0",IF(OFFSET(F412,-1,0)="","0",OFFSET(F412,-1,0))))</f>
        <v>0</v>
      </c>
      <c r="G412" s="378" t="str">
        <f ca="1">IF($C412="4",OFFSET(G412,-1,0) +1,IF(OFFSET(F412,-1,0)&lt;&gt;F412,"0",IF(OFFSET(G412,-1,0)="","0",OFFSET(G412,-1,0))))</f>
        <v>0</v>
      </c>
      <c r="H412" s="378" t="str">
        <f ca="1">IF($C412="5",OFFSET(H412,-1,0) +1,IF(OFFSET(G412,-1,0)&lt;&gt;G412,"0",IF(OFFSET(H412,-1,0)="","0",OFFSET(H412,-1,0))))</f>
        <v>0</v>
      </c>
      <c r="I412" s="378" t="str">
        <f ca="1">IF($C412="6",OFFSET(I412,-1,0) +1,IF(OFFSET(H412,-1,0)&lt;&gt;H412,"0",IF(OFFSET(I412,-1,0)="","0", OFFSET(I412,-1,0))))</f>
        <v>0</v>
      </c>
      <c r="J412" s="378">
        <f ca="1">IF($C412="S",OFFSET(J412,-1,0)+1,"0")</f>
        <v>11</v>
      </c>
      <c r="K412" s="378" t="str">
        <f t="shared" ref="K412" si="1435">IF(C412="S","NÃO", IF(C412="1", D412, IF(C412="2", D412 &amp; "." &amp; E412,IF(C412="3", D412 &amp; "." &amp; E412 &amp; "." &amp; F412, IF(C412="4", D412 &amp; "." &amp; E412 &amp; "." &amp; F412 &amp; "." &amp; G412, IF(C412="5", D412 &amp; "." &amp; E412 &amp; "." &amp; F412 &amp; "." &amp; G412 &amp; "." &amp; H412, IF(C412="6", D412 &amp; "." &amp; E412 &amp; "." &amp; F412 &amp; "." &amp; G412 &amp; "." &amp; H412 &amp; "." &amp; I412)))))))</f>
        <v>NÃO</v>
      </c>
      <c r="L412" s="378" t="str">
        <f ca="1">IF(K412="NÃO",IF($B412=2,D412&amp;"."&amp;J412,IF($B412=3,D412&amp;"."&amp;E412&amp;"."&amp;J412,IF($B412=4,D412&amp;"."&amp;E412&amp;"."&amp;F412&amp;"."&amp;J412,IF($B412=5,D412&amp;"."&amp;E412&amp;"."&amp;F412&amp;"."&amp;G412&amp;"."&amp;J412,IF($B412=6,D412&amp;"."&amp;E412&amp;"."&amp;F412&amp;"."&amp;G412&amp;"."&amp;H412&amp;"."&amp;J412,IF($B412=7,D412&amp;"."&amp;E412&amp;"."&amp;F412&amp;"."&amp;G412&amp;"."&amp;H412&amp;"."&amp;I412&amp;"."&amp;J412,"FALHA")))))),K412)</f>
        <v>15.8.11</v>
      </c>
      <c r="M412" s="55" t="s">
        <v>27868</v>
      </c>
      <c r="O412" s="392" t="str">
        <f t="shared" ref="O412" ca="1" si="1436">L412</f>
        <v>15.8.11</v>
      </c>
      <c r="P412" s="687" t="s">
        <v>29901</v>
      </c>
      <c r="Q412" s="684" t="s">
        <v>18234</v>
      </c>
      <c r="R412" s="415" t="str">
        <f>UPPER(IF(P412="CDHU",VLOOKUP(Q412,'CDHU 201-SD'!$A$1:$J$28014,2,FALSE),IF(P412="FDE",VLOOKUP(Q412,'FDE 01-26-SD'!$A$1:$J$280013,2,FALSE),IF(P412="PRÓPRIA",VLOOKUP(Q412,COMPOSIÇÃO!$1:$1048576,3,FALSE),VLOOKUP(Q412,'SINAPI 04-26-SD'!$A$1:$H$272700,2,FALSE)))))</f>
        <v>PATCH CORDS DE 2,00 OU 3,00 M - RJ-45 / RJ-45 - CATEGORIA 6A</v>
      </c>
      <c r="S412" s="414" t="str">
        <f>UPPER(IF(P412="CDHU",VLOOKUP(Q412,'CDHU 201-SD'!$A$1:$J$28014,3,FALSE),IF(P412="FDE",VLOOKUP(Q412,'FDE 01-26-SD'!$A$1:$J$280013,3,FALSE),IF(P412="PRÓPRIA",VLOOKUP(Q412,COMPOSIÇÃO!$1:$1048576,7,FALSE),VLOOKUP(Q412,'SINAPI 04-26-SD'!$A$1:$H$272700,3,FALSE)))))</f>
        <v>UN</v>
      </c>
      <c r="T412" s="393">
        <v>48</v>
      </c>
      <c r="U412" s="394">
        <f>TRUNC(IF(P412="CDHU",VLOOKUP(Q412,'CDHU 201-SD'!$A$1:$J$28014,6,FALSE),IF(P412="FDE",VLOOKUP(Q412,'FDE 01-26-SD'!$A$1:$J$280013,6,FALSE),IF(P412="PRÓPRIA",VLOOKUP(Q412,COMPOSIÇÃO!$1:$1048576,10,FALSE),VLOOKUP(Q412,'SINAPI 04-26-SD'!$A$1:$H$272700,4,FALSE)))),2)</f>
        <v>229.12</v>
      </c>
      <c r="V412" s="416">
        <f t="shared" ref="V412" si="1437">TRUNC(U412*T412,2)</f>
        <v>10997.76</v>
      </c>
      <c r="W412" s="395">
        <f>IF($AA412="N",BDI!$D$26,IF($AA412="D",'BDI DIFE.'!$D$26,"ERRO"))</f>
        <v>0.22500000000000001</v>
      </c>
      <c r="X412" s="379">
        <f t="shared" ref="X412" si="1438">TRUNC(U412*(1+W412),2)</f>
        <v>280.67</v>
      </c>
      <c r="Y412" s="380">
        <f t="shared" ref="Y412" si="1439">TRUNC(T412*X412,2)</f>
        <v>13472.16</v>
      </c>
      <c r="Z412" s="381"/>
      <c r="AA412" s="378" t="s">
        <v>28044</v>
      </c>
      <c r="AB412" s="642"/>
    </row>
    <row r="413" spans="2:28" s="55" customFormat="1">
      <c r="B413" s="378">
        <f ca="1">IF(C413="S",IF(OFFSET(C413,-1,0)="S", OFFSET(B413,-1,0), OFFSET(B413,-1,0) +1 ), C413)</f>
        <v>3</v>
      </c>
      <c r="C413" s="378" t="str">
        <f>IF(RIGHT($M413) = "o", "S", RIGHT($M413))</f>
        <v>S</v>
      </c>
      <c r="D413" s="378">
        <f ca="1">IF($C413="1",OFFSET(D413,-2,0) +1,OFFSET(D413,-1,0))</f>
        <v>15</v>
      </c>
      <c r="E413" s="378">
        <f ca="1">IF($C413="2",OFFSET(E413,-1,0) +1,IF(OFFSET(D413,-1,0)&lt;&gt;D413,"0",IF(OFFSET(E413,-1,0)="","0",OFFSET(E413,-1,0))))</f>
        <v>8</v>
      </c>
      <c r="F413" s="378" t="str">
        <f ca="1">IF($C413="3",OFFSET(F413,-1,0) +1,IF(OFFSET(E413,-1,0)&lt;&gt;E413,"0",IF(OFFSET(F413,-1,0)="","0",OFFSET(F413,-1,0))))</f>
        <v>0</v>
      </c>
      <c r="G413" s="378" t="str">
        <f ca="1">IF($C413="4",OFFSET(G413,-1,0) +1,IF(OFFSET(F413,-1,0)&lt;&gt;F413,"0",IF(OFFSET(G413,-1,0)="","0",OFFSET(G413,-1,0))))</f>
        <v>0</v>
      </c>
      <c r="H413" s="378" t="str">
        <f ca="1">IF($C413="5",OFFSET(H413,-1,0) +1,IF(OFFSET(G413,-1,0)&lt;&gt;G413,"0",IF(OFFSET(H413,-1,0)="","0",OFFSET(H413,-1,0))))</f>
        <v>0</v>
      </c>
      <c r="I413" s="378" t="str">
        <f ca="1">IF($C413="6",OFFSET(I413,-1,0) +1,IF(OFFSET(H413,-1,0)&lt;&gt;H413,"0",IF(OFFSET(I413,-1,0)="","0", OFFSET(I413,-1,0))))</f>
        <v>0</v>
      </c>
      <c r="J413" s="378">
        <f ca="1">IF($C413="S",OFFSET(J413,-1,0)+1,"0")</f>
        <v>12</v>
      </c>
      <c r="K413" s="378" t="str">
        <f>IF(C413="S","NÃO", IF(C413="1", D413, IF(C413="2", D413 &amp; "." &amp; E413,IF(C413="3", D413 &amp; "." &amp; E413 &amp; "." &amp; F413, IF(C413="4", D413 &amp; "." &amp; E413 &amp; "." &amp; F413 &amp; "." &amp; G413, IF(C413="5", D413 &amp; "." &amp; E413 &amp; "." &amp; F413 &amp; "." &amp; G413 &amp; "." &amp; H413, IF(C413="6", D413 &amp; "." &amp; E413 &amp; "." &amp; F413 &amp; "." &amp; G413 &amp; "." &amp; H413 &amp; "." &amp; I413)))))))</f>
        <v>NÃO</v>
      </c>
      <c r="L413" s="378" t="str">
        <f ca="1">IF(K413="NÃO",IF($B413=2,D413&amp;"."&amp;J413,IF($B413=3,D413&amp;"."&amp;E413&amp;"."&amp;J413,IF($B413=4,D413&amp;"."&amp;E413&amp;"."&amp;F413&amp;"."&amp;J413,IF($B413=5,D413&amp;"."&amp;E413&amp;"."&amp;F413&amp;"."&amp;G413&amp;"."&amp;J413,IF($B413=6,D413&amp;"."&amp;E413&amp;"."&amp;F413&amp;"."&amp;G413&amp;"."&amp;H413&amp;"."&amp;J413,IF($B413=7,D413&amp;"."&amp;E413&amp;"."&amp;F413&amp;"."&amp;G413&amp;"."&amp;H413&amp;"."&amp;I413&amp;"."&amp;J413,"FALHA")))))),K413)</f>
        <v>15.8.12</v>
      </c>
      <c r="M413" s="55" t="s">
        <v>27868</v>
      </c>
      <c r="O413" s="392" t="str">
        <f ca="1">L413</f>
        <v>15.8.12</v>
      </c>
      <c r="P413" s="687" t="s">
        <v>29901</v>
      </c>
      <c r="Q413" s="684" t="s">
        <v>15239</v>
      </c>
      <c r="R413" s="415" t="str">
        <f>UPPER(IF(P413="CDHU",VLOOKUP(Q413,'CDHU 201-SD'!$A$1:$J$28014,2,FALSE),IF(P413="FDE",VLOOKUP(Q413,'FDE 01-26-SD'!$A$1:$J$280013,2,FALSE),IF(P413="PRÓPRIA",VLOOKUP(Q413,COMPOSIÇÃO!$1:$1048576,3,FALSE),VLOOKUP(Q413,'SINAPI 04-26-SD'!$A$1:$H$272700,2,FALSE)))))</f>
        <v>TOMADA RJ 45 PARA REDE DE DADOS, COM PLACA</v>
      </c>
      <c r="S413" s="414" t="str">
        <f>UPPER(IF(P413="CDHU",VLOOKUP(Q413,'CDHU 201-SD'!$A$1:$J$28014,3,FALSE),IF(P413="FDE",VLOOKUP(Q413,'FDE 01-26-SD'!$A$1:$J$280013,3,FALSE),IF(P413="PRÓPRIA",VLOOKUP(Q413,COMPOSIÇÃO!$1:$1048576,7,FALSE),VLOOKUP(Q413,'SINAPI 04-26-SD'!$A$1:$H$272700,3,FALSE)))))</f>
        <v>UN</v>
      </c>
      <c r="T413" s="393">
        <f>2+14*2+4</f>
        <v>34</v>
      </c>
      <c r="U413" s="394">
        <f>TRUNC(IF(P413="CDHU",VLOOKUP(Q413,'CDHU 201-SD'!$A$1:$J$28014,6,FALSE),IF(P413="FDE",VLOOKUP(Q413,'FDE 01-26-SD'!$A$1:$J$280013,6,FALSE),IF(P413="PRÓPRIA",VLOOKUP(Q413,COMPOSIÇÃO!$1:$1048576,10,FALSE),VLOOKUP(Q413,'SINAPI 04-26-SD'!$A$1:$H$272700,4,FALSE)))),2)</f>
        <v>90.13</v>
      </c>
      <c r="V413" s="416">
        <f>TRUNC(U413*T413,2)</f>
        <v>3064.42</v>
      </c>
      <c r="W413" s="395">
        <f>IF($AA413="N",BDI!$D$26,IF($AA413="D",'BDI DIFE.'!$D$26,"ERRO"))</f>
        <v>0.22500000000000001</v>
      </c>
      <c r="X413" s="379">
        <f>TRUNC(U413*(1+W413),2)</f>
        <v>110.4</v>
      </c>
      <c r="Y413" s="380">
        <f>TRUNC(T413*X413,2)</f>
        <v>3753.6</v>
      </c>
      <c r="Z413" s="381"/>
      <c r="AA413" s="378" t="s">
        <v>28044</v>
      </c>
      <c r="AB413" s="642"/>
    </row>
    <row r="414" spans="2:28" s="55" customFormat="1">
      <c r="B414" s="378">
        <f t="shared" ref="B414" ca="1" si="1440">IF(C414="S",IF(OFFSET(C414,-1,0)="S", OFFSET(B414,-1,0), OFFSET(B414,-1,0) +1 ), C414)</f>
        <v>3</v>
      </c>
      <c r="C414" s="378" t="str">
        <f t="shared" si="1105"/>
        <v>S</v>
      </c>
      <c r="D414" s="378">
        <f t="shared" ca="1" si="1195"/>
        <v>15</v>
      </c>
      <c r="E414" s="378">
        <f t="shared" ref="E414" ca="1" si="1441">IF($C414="2",OFFSET(E414,-1,0) +1,IF(OFFSET(D414,-1,0)&lt;&gt;D414,"0",IF(OFFSET(E414,-1,0)="","0",OFFSET(E414,-1,0))))</f>
        <v>8</v>
      </c>
      <c r="F414" s="378" t="str">
        <f t="shared" ref="F414" ca="1" si="1442">IF($C414="3",OFFSET(F414,-1,0) +1,IF(OFFSET(E414,-1,0)&lt;&gt;E414,"0",IF(OFFSET(F414,-1,0)="","0",OFFSET(F414,-1,0))))</f>
        <v>0</v>
      </c>
      <c r="G414" s="378" t="str">
        <f t="shared" ref="G414" ca="1" si="1443">IF($C414="4",OFFSET(G414,-1,0) +1,IF(OFFSET(F414,-1,0)&lt;&gt;F414,"0",IF(OFFSET(G414,-1,0)="","0",OFFSET(G414,-1,0))))</f>
        <v>0</v>
      </c>
      <c r="H414" s="378" t="str">
        <f t="shared" ref="H414" ca="1" si="1444">IF($C414="5",OFFSET(H414,-1,0) +1,IF(OFFSET(G414,-1,0)&lt;&gt;G414,"0",IF(OFFSET(H414,-1,0)="","0",OFFSET(H414,-1,0))))</f>
        <v>0</v>
      </c>
      <c r="I414" s="378" t="str">
        <f t="shared" ref="I414" ca="1" si="1445">IF($C414="6",OFFSET(I414,-1,0) +1,IF(OFFSET(H414,-1,0)&lt;&gt;H414,"0",IF(OFFSET(I414,-1,0)="","0", OFFSET(I414,-1,0))))</f>
        <v>0</v>
      </c>
      <c r="J414" s="378">
        <f t="shared" ca="1" si="1196"/>
        <v>13</v>
      </c>
      <c r="K414" s="378" t="str">
        <f t="shared" ref="K414" si="1446">IF(C414="S","NÃO", IF(C414="1", D414, IF(C414="2", D414 &amp; "." &amp; E414,IF(C414="3", D414 &amp; "." &amp; E414 &amp; "." &amp; F414, IF(C414="4", D414 &amp; "." &amp; E414 &amp; "." &amp; F414 &amp; "." &amp; G414, IF(C414="5", D414 &amp; "." &amp; E414 &amp; "." &amp; F414 &amp; "." &amp; G414 &amp; "." &amp; H414, IF(C414="6", D414 &amp; "." &amp; E414 &amp; "." &amp; F414 &amp; "." &amp; G414 &amp; "." &amp; H414 &amp; "." &amp; I414)))))))</f>
        <v>NÃO</v>
      </c>
      <c r="L414" s="378" t="str">
        <f t="shared" ref="L414" ca="1" si="1447">IF(K414="NÃO",IF($B414=2,D414&amp;"."&amp;J414,IF($B414=3,D414&amp;"."&amp;E414&amp;"."&amp;J414,IF($B414=4,D414&amp;"."&amp;E414&amp;"."&amp;F414&amp;"."&amp;J414,IF($B414=5,D414&amp;"."&amp;E414&amp;"."&amp;F414&amp;"."&amp;G414&amp;"."&amp;J414,IF($B414=6,D414&amp;"."&amp;E414&amp;"."&amp;F414&amp;"."&amp;G414&amp;"."&amp;H414&amp;"."&amp;J414,IF($B414=7,D414&amp;"."&amp;E414&amp;"."&amp;F414&amp;"."&amp;G414&amp;"."&amp;H414&amp;"."&amp;I414&amp;"."&amp;J414,"FALHA")))))),K414)</f>
        <v>15.8.13</v>
      </c>
      <c r="M414" s="55" t="s">
        <v>27868</v>
      </c>
      <c r="O414" s="392" t="str">
        <f t="shared" ref="O414" ca="1" si="1448">L414</f>
        <v>15.8.13</v>
      </c>
      <c r="P414" s="687" t="s">
        <v>29901</v>
      </c>
      <c r="Q414" s="684" t="s">
        <v>15407</v>
      </c>
      <c r="R414" s="415" t="str">
        <f>UPPER(IF(P414="CDHU",VLOOKUP(Q414,'CDHU 201-SD'!$A$1:$J$28014,2,FALSE),IF(P414="FDE",VLOOKUP(Q414,'FDE 01-26-SD'!$A$1:$J$280013,2,FALSE),IF(P414="PRÓPRIA",VLOOKUP(Q414,COMPOSIÇÃO!$1:$1048576,3,FALSE),VLOOKUP(Q414,'SINAPI 04-26-SD'!$A$1:$H$272700,2,FALSE)))))</f>
        <v>PLACA DE 4´ X 2´</v>
      </c>
      <c r="S414" s="414" t="str">
        <f>UPPER(IF(P414="CDHU",VLOOKUP(Q414,'CDHU 201-SD'!$A$1:$J$28014,3,FALSE),IF(P414="FDE",VLOOKUP(Q414,'FDE 01-26-SD'!$A$1:$J$280013,3,FALSE),IF(P414="PRÓPRIA",VLOOKUP(Q414,COMPOSIÇÃO!$1:$1048576,7,FALSE),VLOOKUP(Q414,'SINAPI 04-26-SD'!$A$1:$H$272700,3,FALSE)))))</f>
        <v>UN</v>
      </c>
      <c r="T414" s="393">
        <f>4+14</f>
        <v>18</v>
      </c>
      <c r="U414" s="394">
        <f>TRUNC(IF(P414="CDHU",VLOOKUP(Q414,'CDHU 201-SD'!$A$1:$J$28014,6,FALSE),IF(P414="FDE",VLOOKUP(Q414,'FDE 01-26-SD'!$A$1:$J$280013,6,FALSE),IF(P414="PRÓPRIA",VLOOKUP(Q414,COMPOSIÇÃO!$1:$1048576,10,FALSE),VLOOKUP(Q414,'SINAPI 04-26-SD'!$A$1:$H$272700,4,FALSE)))),2)</f>
        <v>6.01</v>
      </c>
      <c r="V414" s="416">
        <f t="shared" ref="V414" si="1449">TRUNC(U414*T414,2)</f>
        <v>108.18</v>
      </c>
      <c r="W414" s="395">
        <f>IF($AA414="N",BDI!$D$26,IF($AA414="D",'BDI DIFE.'!$D$26,"ERRO"))</f>
        <v>0.22500000000000001</v>
      </c>
      <c r="X414" s="379">
        <f t="shared" ref="X414" si="1450">TRUNC(U414*(1+W414),2)</f>
        <v>7.36</v>
      </c>
      <c r="Y414" s="380">
        <f t="shared" ref="Y414" si="1451">TRUNC(T414*X414,2)</f>
        <v>132.47999999999999</v>
      </c>
      <c r="Z414" s="381"/>
      <c r="AA414" s="378" t="s">
        <v>28044</v>
      </c>
      <c r="AB414" s="642"/>
    </row>
    <row r="415" spans="2:28" s="55" customFormat="1">
      <c r="B415" s="378">
        <f t="shared" ca="1" si="1392"/>
        <v>3</v>
      </c>
      <c r="C415" s="378" t="str">
        <f t="shared" si="1105"/>
        <v>S</v>
      </c>
      <c r="D415" s="378">
        <f t="shared" ca="1" si="1195"/>
        <v>15</v>
      </c>
      <c r="E415" s="378">
        <f t="shared" ca="1" si="1393"/>
        <v>8</v>
      </c>
      <c r="F415" s="378" t="str">
        <f t="shared" ca="1" si="1394"/>
        <v>0</v>
      </c>
      <c r="G415" s="378" t="str">
        <f t="shared" ca="1" si="1395"/>
        <v>0</v>
      </c>
      <c r="H415" s="378" t="str">
        <f t="shared" ca="1" si="1396"/>
        <v>0</v>
      </c>
      <c r="I415" s="378" t="str">
        <f t="shared" ca="1" si="1397"/>
        <v>0</v>
      </c>
      <c r="J415" s="378">
        <f t="shared" ca="1" si="1196"/>
        <v>14</v>
      </c>
      <c r="K415" s="378" t="str">
        <f t="shared" si="1398"/>
        <v>NÃO</v>
      </c>
      <c r="L415" s="378" t="str">
        <f t="shared" ca="1" si="1399"/>
        <v>15.8.14</v>
      </c>
      <c r="M415" s="55" t="s">
        <v>27868</v>
      </c>
      <c r="O415" s="392" t="str">
        <f t="shared" ca="1" si="1400"/>
        <v>15.8.14</v>
      </c>
      <c r="P415" s="687" t="s">
        <v>29901</v>
      </c>
      <c r="Q415" s="684" t="s">
        <v>14592</v>
      </c>
      <c r="R415" s="415" t="str">
        <f>UPPER(IF(P415="CDHU",VLOOKUP(Q415,'CDHU 201-SD'!$A$1:$J$28014,2,FALSE),IF(P415="FDE",VLOOKUP(Q415,'FDE 01-26-SD'!$A$1:$J$280013,2,FALSE),IF(P415="PRÓPRIA",VLOOKUP(Q415,COMPOSIÇÃO!$1:$1048576,3,FALSE),VLOOKUP(Q415,'SINAPI 04-26-SD'!$A$1:$H$272700,2,FALSE)))))</f>
        <v>ELETRODUTO DE PVC RÍGIDO ROSCÁVEL DE 1´ - COM ACESSÓRIOS</v>
      </c>
      <c r="S415" s="414" t="str">
        <f>UPPER(IF(P415="CDHU",VLOOKUP(Q415,'CDHU 201-SD'!$A$1:$J$28014,3,FALSE),IF(P415="FDE",VLOOKUP(Q415,'FDE 01-26-SD'!$A$1:$J$280013,3,FALSE),IF(P415="PRÓPRIA",VLOOKUP(Q415,COMPOSIÇÃO!$1:$1048576,7,FALSE),VLOOKUP(Q415,'SINAPI 04-26-SD'!$A$1:$H$272700,3,FALSE)))))</f>
        <v>M</v>
      </c>
      <c r="T415" s="393">
        <f>55.4+100.9+107.9</f>
        <v>264.20000000000005</v>
      </c>
      <c r="U415" s="394">
        <f>TRUNC(IF(P415="CDHU",VLOOKUP(Q415,'CDHU 201-SD'!$A$1:$J$28014,6,FALSE),IF(P415="FDE",VLOOKUP(Q415,'FDE 01-26-SD'!$A$1:$J$280013,6,FALSE),IF(P415="PRÓPRIA",VLOOKUP(Q415,COMPOSIÇÃO!$1:$1048576,10,FALSE),VLOOKUP(Q415,'SINAPI 04-26-SD'!$A$1:$H$272700,4,FALSE)))),2)</f>
        <v>45.11</v>
      </c>
      <c r="V415" s="416">
        <f t="shared" si="1413"/>
        <v>11918.06</v>
      </c>
      <c r="W415" s="395">
        <f>IF($AA415="N",BDI!$D$26,IF($AA415="D",'BDI DIFE.'!$D$26,"ERRO"))</f>
        <v>0.22500000000000001</v>
      </c>
      <c r="X415" s="379">
        <f t="shared" si="1414"/>
        <v>55.25</v>
      </c>
      <c r="Y415" s="380">
        <f t="shared" si="1415"/>
        <v>14597.05</v>
      </c>
      <c r="Z415" s="381"/>
      <c r="AA415" s="378" t="s">
        <v>28044</v>
      </c>
      <c r="AB415" s="642"/>
    </row>
    <row r="416" spans="2:28" s="55" customFormat="1" ht="30">
      <c r="B416" s="378">
        <f t="shared" ca="1" si="1392"/>
        <v>3</v>
      </c>
      <c r="C416" s="378" t="str">
        <f t="shared" si="1105"/>
        <v>S</v>
      </c>
      <c r="D416" s="378">
        <f t="shared" ca="1" si="1195"/>
        <v>15</v>
      </c>
      <c r="E416" s="378">
        <f t="shared" ca="1" si="1393"/>
        <v>8</v>
      </c>
      <c r="F416" s="378" t="str">
        <f t="shared" ca="1" si="1394"/>
        <v>0</v>
      </c>
      <c r="G416" s="378" t="str">
        <f t="shared" ca="1" si="1395"/>
        <v>0</v>
      </c>
      <c r="H416" s="378" t="str">
        <f t="shared" ca="1" si="1396"/>
        <v>0</v>
      </c>
      <c r="I416" s="378" t="str">
        <f t="shared" ca="1" si="1397"/>
        <v>0</v>
      </c>
      <c r="J416" s="378">
        <f t="shared" ca="1" si="1196"/>
        <v>15</v>
      </c>
      <c r="K416" s="378" t="str">
        <f t="shared" si="1398"/>
        <v>NÃO</v>
      </c>
      <c r="L416" s="378" t="str">
        <f t="shared" ca="1" si="1399"/>
        <v>15.8.15</v>
      </c>
      <c r="M416" s="55" t="s">
        <v>27868</v>
      </c>
      <c r="O416" s="392" t="str">
        <f t="shared" ca="1" si="1400"/>
        <v>15.8.15</v>
      </c>
      <c r="P416" s="687" t="s">
        <v>29901</v>
      </c>
      <c r="Q416" s="684" t="s">
        <v>14594</v>
      </c>
      <c r="R416" s="415" t="str">
        <f>UPPER(IF(P416="CDHU",VLOOKUP(Q416,'CDHU 201-SD'!$A$1:$J$28014,2,FALSE),IF(P416="FDE",VLOOKUP(Q416,'FDE 01-26-SD'!$A$1:$J$280013,2,FALSE),IF(P416="PRÓPRIA",VLOOKUP(Q416,COMPOSIÇÃO!$1:$1048576,3,FALSE),VLOOKUP(Q416,'SINAPI 04-26-SD'!$A$1:$H$272700,2,FALSE)))))</f>
        <v>ELETRODUTO DE PVC RÍGIDO ROSCÁVEL DE 1 1/4´ - COM ACESSÓRIOS</v>
      </c>
      <c r="S416" s="414" t="str">
        <f>UPPER(IF(P416="CDHU",VLOOKUP(Q416,'CDHU 201-SD'!$A$1:$J$28014,3,FALSE),IF(P416="FDE",VLOOKUP(Q416,'FDE 01-26-SD'!$A$1:$J$280013,3,FALSE),IF(P416="PRÓPRIA",VLOOKUP(Q416,COMPOSIÇÃO!$1:$1048576,7,FALSE),VLOOKUP(Q416,'SINAPI 04-26-SD'!$A$1:$H$272700,3,FALSE)))))</f>
        <v>M</v>
      </c>
      <c r="T416" s="393">
        <f>26.4</f>
        <v>26.4</v>
      </c>
      <c r="U416" s="394">
        <f>TRUNC(IF(P416="CDHU",VLOOKUP(Q416,'CDHU 201-SD'!$A$1:$J$28014,6,FALSE),IF(P416="FDE",VLOOKUP(Q416,'FDE 01-26-SD'!$A$1:$J$280013,6,FALSE),IF(P416="PRÓPRIA",VLOOKUP(Q416,COMPOSIÇÃO!$1:$1048576,10,FALSE),VLOOKUP(Q416,'SINAPI 04-26-SD'!$A$1:$H$272700,4,FALSE)))),2)</f>
        <v>57.58</v>
      </c>
      <c r="V416" s="416">
        <f t="shared" si="1413"/>
        <v>1520.11</v>
      </c>
      <c r="W416" s="395">
        <f>IF($AA416="N",BDI!$D$26,IF($AA416="D",'BDI DIFE.'!$D$26,"ERRO"))</f>
        <v>0.22500000000000001</v>
      </c>
      <c r="X416" s="379">
        <f t="shared" si="1414"/>
        <v>70.53</v>
      </c>
      <c r="Y416" s="380">
        <f t="shared" si="1415"/>
        <v>1861.99</v>
      </c>
      <c r="Z416" s="381"/>
      <c r="AA416" s="378" t="s">
        <v>28044</v>
      </c>
      <c r="AB416" s="642"/>
    </row>
    <row r="417" spans="2:28" s="55" customFormat="1" ht="30">
      <c r="B417" s="378">
        <f t="shared" ref="B417:B426" ca="1" si="1452">IF(C417="S",IF(OFFSET(C417,-1,0)="S", OFFSET(B417,-1,0), OFFSET(B417,-1,0) +1 ), C417)</f>
        <v>3</v>
      </c>
      <c r="C417" s="378" t="str">
        <f t="shared" si="1105"/>
        <v>S</v>
      </c>
      <c r="D417" s="378">
        <f t="shared" ca="1" si="1195"/>
        <v>15</v>
      </c>
      <c r="E417" s="378">
        <f t="shared" ref="E417:E426" ca="1" si="1453">IF($C417="2",OFFSET(E417,-1,0) +1,IF(OFFSET(D417,-1,0)&lt;&gt;D417,"0",IF(OFFSET(E417,-1,0)="","0",OFFSET(E417,-1,0))))</f>
        <v>8</v>
      </c>
      <c r="F417" s="378" t="str">
        <f t="shared" ref="F417:F426" ca="1" si="1454">IF($C417="3",OFFSET(F417,-1,0) +1,IF(OFFSET(E417,-1,0)&lt;&gt;E417,"0",IF(OFFSET(F417,-1,0)="","0",OFFSET(F417,-1,0))))</f>
        <v>0</v>
      </c>
      <c r="G417" s="378" t="str">
        <f t="shared" ref="G417:G426" ca="1" si="1455">IF($C417="4",OFFSET(G417,-1,0) +1,IF(OFFSET(F417,-1,0)&lt;&gt;F417,"0",IF(OFFSET(G417,-1,0)="","0",OFFSET(G417,-1,0))))</f>
        <v>0</v>
      </c>
      <c r="H417" s="378" t="str">
        <f t="shared" ref="H417:H426" ca="1" si="1456">IF($C417="5",OFFSET(H417,-1,0) +1,IF(OFFSET(G417,-1,0)&lt;&gt;G417,"0",IF(OFFSET(H417,-1,0)="","0",OFFSET(H417,-1,0))))</f>
        <v>0</v>
      </c>
      <c r="I417" s="378" t="str">
        <f t="shared" ref="I417:I426" ca="1" si="1457">IF($C417="6",OFFSET(I417,-1,0) +1,IF(OFFSET(H417,-1,0)&lt;&gt;H417,"0",IF(OFFSET(I417,-1,0)="","0", OFFSET(I417,-1,0))))</f>
        <v>0</v>
      </c>
      <c r="J417" s="378">
        <f t="shared" ca="1" si="1196"/>
        <v>16</v>
      </c>
      <c r="K417" s="378" t="str">
        <f t="shared" ref="K417:K426" si="1458">IF(C417="S","NÃO", IF(C417="1", D417, IF(C417="2", D417 &amp; "." &amp; E417,IF(C417="3", D417 &amp; "." &amp; E417 &amp; "." &amp; F417, IF(C417="4", D417 &amp; "." &amp; E417 &amp; "." &amp; F417 &amp; "." &amp; G417, IF(C417="5", D417 &amp; "." &amp; E417 &amp; "." &amp; F417 &amp; "." &amp; G417 &amp; "." &amp; H417, IF(C417="6", D417 &amp; "." &amp; E417 &amp; "." &amp; F417 &amp; "." &amp; G417 &amp; "." &amp; H417 &amp; "." &amp; I417)))))))</f>
        <v>NÃO</v>
      </c>
      <c r="L417" s="378" t="str">
        <f t="shared" ref="L417:L426" ca="1" si="1459">IF(K417="NÃO",IF($B417=2,D417&amp;"."&amp;J417,IF($B417=3,D417&amp;"."&amp;E417&amp;"."&amp;J417,IF($B417=4,D417&amp;"."&amp;E417&amp;"."&amp;F417&amp;"."&amp;J417,IF($B417=5,D417&amp;"."&amp;E417&amp;"."&amp;F417&amp;"."&amp;G417&amp;"."&amp;J417,IF($B417=6,D417&amp;"."&amp;E417&amp;"."&amp;F417&amp;"."&amp;G417&amp;"."&amp;H417&amp;"."&amp;J417,IF($B417=7,D417&amp;"."&amp;E417&amp;"."&amp;F417&amp;"."&amp;G417&amp;"."&amp;H417&amp;"."&amp;I417&amp;"."&amp;J417,"FALHA")))))),K417)</f>
        <v>15.8.16</v>
      </c>
      <c r="M417" s="55" t="s">
        <v>27868</v>
      </c>
      <c r="O417" s="392" t="str">
        <f t="shared" ref="O417:O426" ca="1" si="1460">L417</f>
        <v>15.8.16</v>
      </c>
      <c r="P417" s="687" t="s">
        <v>29901</v>
      </c>
      <c r="Q417" s="684" t="s">
        <v>14596</v>
      </c>
      <c r="R417" s="415" t="str">
        <f>UPPER(IF(P417="CDHU",VLOOKUP(Q417,'CDHU 201-SD'!$A$1:$J$28014,2,FALSE),IF(P417="FDE",VLOOKUP(Q417,'FDE 01-26-SD'!$A$1:$J$280013,2,FALSE),IF(P417="PRÓPRIA",VLOOKUP(Q417,COMPOSIÇÃO!$1:$1048576,3,FALSE),VLOOKUP(Q417,'SINAPI 04-26-SD'!$A$1:$H$272700,2,FALSE)))))</f>
        <v>ELETRODUTO DE PVC RÍGIDO ROSCÁVEL DE 1 1/2´ - COM ACESSÓRIOS</v>
      </c>
      <c r="S417" s="414" t="str">
        <f>UPPER(IF(P417="CDHU",VLOOKUP(Q417,'CDHU 201-SD'!$A$1:$J$28014,3,FALSE),IF(P417="FDE",VLOOKUP(Q417,'FDE 01-26-SD'!$A$1:$J$280013,3,FALSE),IF(P417="PRÓPRIA",VLOOKUP(Q417,COMPOSIÇÃO!$1:$1048576,7,FALSE),VLOOKUP(Q417,'SINAPI 04-26-SD'!$A$1:$H$272700,3,FALSE)))))</f>
        <v>M</v>
      </c>
      <c r="T417" s="393">
        <v>8.9</v>
      </c>
      <c r="U417" s="394">
        <f>TRUNC(IF(P417="CDHU",VLOOKUP(Q417,'CDHU 201-SD'!$A$1:$J$28014,6,FALSE),IF(P417="FDE",VLOOKUP(Q417,'FDE 01-26-SD'!$A$1:$J$280013,6,FALSE),IF(P417="PRÓPRIA",VLOOKUP(Q417,COMPOSIÇÃO!$1:$1048576,10,FALSE),VLOOKUP(Q417,'SINAPI 04-26-SD'!$A$1:$H$272700,4,FALSE)))),2)</f>
        <v>64.31</v>
      </c>
      <c r="V417" s="416">
        <f t="shared" ref="V417:V426" si="1461">TRUNC(U417*T417,2)</f>
        <v>572.35</v>
      </c>
      <c r="W417" s="395">
        <f>IF($AA417="N",BDI!$D$26,IF($AA417="D",'BDI DIFE.'!$D$26,"ERRO"))</f>
        <v>0.22500000000000001</v>
      </c>
      <c r="X417" s="379">
        <f t="shared" ref="X417:X426" si="1462">TRUNC(U417*(1+W417),2)</f>
        <v>78.77</v>
      </c>
      <c r="Y417" s="380">
        <f t="shared" ref="Y417:Y426" si="1463">TRUNC(T417*X417,2)</f>
        <v>701.05</v>
      </c>
      <c r="Z417" s="381"/>
      <c r="AA417" s="378" t="s">
        <v>28044</v>
      </c>
      <c r="AB417" s="642"/>
    </row>
    <row r="418" spans="2:28" s="55" customFormat="1">
      <c r="B418" s="378">
        <f t="shared" ca="1" si="1452"/>
        <v>3</v>
      </c>
      <c r="C418" s="378" t="str">
        <f t="shared" si="1105"/>
        <v>S</v>
      </c>
      <c r="D418" s="378">
        <f t="shared" ca="1" si="1195"/>
        <v>15</v>
      </c>
      <c r="E418" s="378">
        <f t="shared" ca="1" si="1453"/>
        <v>8</v>
      </c>
      <c r="F418" s="378" t="str">
        <f t="shared" ca="1" si="1454"/>
        <v>0</v>
      </c>
      <c r="G418" s="378" t="str">
        <f t="shared" ca="1" si="1455"/>
        <v>0</v>
      </c>
      <c r="H418" s="378" t="str">
        <f t="shared" ca="1" si="1456"/>
        <v>0</v>
      </c>
      <c r="I418" s="378" t="str">
        <f t="shared" ca="1" si="1457"/>
        <v>0</v>
      </c>
      <c r="J418" s="378">
        <f t="shared" ca="1" si="1196"/>
        <v>17</v>
      </c>
      <c r="K418" s="378" t="str">
        <f t="shared" si="1458"/>
        <v>NÃO</v>
      </c>
      <c r="L418" s="378" t="str">
        <f t="shared" ca="1" si="1459"/>
        <v>15.8.17</v>
      </c>
      <c r="M418" s="55" t="s">
        <v>27868</v>
      </c>
      <c r="O418" s="392" t="str">
        <f t="shared" ca="1" si="1460"/>
        <v>15.8.17</v>
      </c>
      <c r="P418" s="687" t="s">
        <v>29901</v>
      </c>
      <c r="Q418" s="684" t="s">
        <v>14598</v>
      </c>
      <c r="R418" s="415" t="str">
        <f>UPPER(IF(P418="CDHU",VLOOKUP(Q418,'CDHU 201-SD'!$A$1:$J$28014,2,FALSE),IF(P418="FDE",VLOOKUP(Q418,'FDE 01-26-SD'!$A$1:$J$280013,2,FALSE),IF(P418="PRÓPRIA",VLOOKUP(Q418,COMPOSIÇÃO!$1:$1048576,3,FALSE),VLOOKUP(Q418,'SINAPI 04-26-SD'!$A$1:$H$272700,2,FALSE)))))</f>
        <v>ELETRODUTO DE PVC RÍGIDO ROSCÁVEL DE 2´ - COM ACESSÓRIOS</v>
      </c>
      <c r="S418" s="414" t="str">
        <f>UPPER(IF(P418="CDHU",VLOOKUP(Q418,'CDHU 201-SD'!$A$1:$J$28014,3,FALSE),IF(P418="FDE",VLOOKUP(Q418,'FDE 01-26-SD'!$A$1:$J$280013,3,FALSE),IF(P418="PRÓPRIA",VLOOKUP(Q418,COMPOSIÇÃO!$1:$1048576,7,FALSE),VLOOKUP(Q418,'SINAPI 04-26-SD'!$A$1:$H$272700,3,FALSE)))))</f>
        <v>M</v>
      </c>
      <c r="T418" s="393">
        <v>2.6</v>
      </c>
      <c r="U418" s="394">
        <f>TRUNC(IF(P418="CDHU",VLOOKUP(Q418,'CDHU 201-SD'!$A$1:$J$28014,6,FALSE),IF(P418="FDE",VLOOKUP(Q418,'FDE 01-26-SD'!$A$1:$J$280013,6,FALSE),IF(P418="PRÓPRIA",VLOOKUP(Q418,COMPOSIÇÃO!$1:$1048576,10,FALSE),VLOOKUP(Q418,'SINAPI 04-26-SD'!$A$1:$H$272700,4,FALSE)))),2)</f>
        <v>74.58</v>
      </c>
      <c r="V418" s="416">
        <f t="shared" si="1461"/>
        <v>193.9</v>
      </c>
      <c r="W418" s="395">
        <f>IF($AA418="N",BDI!$D$26,IF($AA418="D",'BDI DIFE.'!$D$26,"ERRO"))</f>
        <v>0.22500000000000001</v>
      </c>
      <c r="X418" s="379">
        <f t="shared" si="1462"/>
        <v>91.36</v>
      </c>
      <c r="Y418" s="380">
        <f t="shared" si="1463"/>
        <v>237.53</v>
      </c>
      <c r="Z418" s="381"/>
      <c r="AA418" s="378" t="s">
        <v>28044</v>
      </c>
      <c r="AB418" s="642"/>
    </row>
    <row r="419" spans="2:28" s="55" customFormat="1" ht="30">
      <c r="B419" s="378">
        <f ca="1">IF(C419="S",IF(OFFSET(C419,-1,0)="S", OFFSET(B419,-1,0), OFFSET(B419,-1,0) +1 ), C419)</f>
        <v>3</v>
      </c>
      <c r="C419" s="378" t="str">
        <f>IF(RIGHT($M419) = "o", "S", RIGHT($M419))</f>
        <v>S</v>
      </c>
      <c r="D419" s="378">
        <f ca="1">IF($C419="1",OFFSET(D419,-2,0) +1,OFFSET(D419,-1,0))</f>
        <v>15</v>
      </c>
      <c r="E419" s="378">
        <f ca="1">IF($C419="2",OFFSET(E419,-1,0) +1,IF(OFFSET(D419,-1,0)&lt;&gt;D419,"0",IF(OFFSET(E419,-1,0)="","0",OFFSET(E419,-1,0))))</f>
        <v>8</v>
      </c>
      <c r="F419" s="378" t="str">
        <f ca="1">IF($C419="3",OFFSET(F419,-1,0) +1,IF(OFFSET(E419,-1,0)&lt;&gt;E419,"0",IF(OFFSET(F419,-1,0)="","0",OFFSET(F419,-1,0))))</f>
        <v>0</v>
      </c>
      <c r="G419" s="378" t="str">
        <f ca="1">IF($C419="4",OFFSET(G419,-1,0) +1,IF(OFFSET(F419,-1,0)&lt;&gt;F419,"0",IF(OFFSET(G419,-1,0)="","0",OFFSET(G419,-1,0))))</f>
        <v>0</v>
      </c>
      <c r="H419" s="378" t="str">
        <f ca="1">IF($C419="5",OFFSET(H419,-1,0) +1,IF(OFFSET(G419,-1,0)&lt;&gt;G419,"0",IF(OFFSET(H419,-1,0)="","0",OFFSET(H419,-1,0))))</f>
        <v>0</v>
      </c>
      <c r="I419" s="378" t="str">
        <f ca="1">IF($C419="6",OFFSET(I419,-1,0) +1,IF(OFFSET(H419,-1,0)&lt;&gt;H419,"0",IF(OFFSET(I419,-1,0)="","0", OFFSET(I419,-1,0))))</f>
        <v>0</v>
      </c>
      <c r="J419" s="378">
        <f ca="1">IF($C419="S",OFFSET(J419,-1,0)+1,"0")</f>
        <v>18</v>
      </c>
      <c r="K419" s="378" t="str">
        <f>IF(C419="S","NÃO", IF(C419="1", D419, IF(C419="2", D419 &amp; "." &amp; E419,IF(C419="3", D419 &amp; "." &amp; E419 &amp; "." &amp; F419, IF(C419="4", D419 &amp; "." &amp; E419 &amp; "." &amp; F419 &amp; "." &amp; G419, IF(C419="5", D419 &amp; "." &amp; E419 &amp; "." &amp; F419 &amp; "." &amp; G419 &amp; "." &amp; H419, IF(C419="6", D419 &amp; "." &amp; E419 &amp; "." &amp; F419 &amp; "." &amp; G419 &amp; "." &amp; H419 &amp; "." &amp; I419)))))))</f>
        <v>NÃO</v>
      </c>
      <c r="L419" s="378" t="str">
        <f ca="1">IF(K419="NÃO",IF($B419=2,D419&amp;"."&amp;J419,IF($B419=3,D419&amp;"."&amp;E419&amp;"."&amp;J419,IF($B419=4,D419&amp;"."&amp;E419&amp;"."&amp;F419&amp;"."&amp;J419,IF($B419=5,D419&amp;"."&amp;E419&amp;"."&amp;F419&amp;"."&amp;G419&amp;"."&amp;J419,IF($B419=6,D419&amp;"."&amp;E419&amp;"."&amp;F419&amp;"."&amp;G419&amp;"."&amp;H419&amp;"."&amp;J419,IF($B419=7,D419&amp;"."&amp;E419&amp;"."&amp;F419&amp;"."&amp;G419&amp;"."&amp;H419&amp;"."&amp;I419&amp;"."&amp;J419,"FALHA")))))),K419)</f>
        <v>15.8.18</v>
      </c>
      <c r="M419" s="55" t="s">
        <v>27868</v>
      </c>
      <c r="O419" s="392" t="str">
        <f ca="1">L419</f>
        <v>15.8.18</v>
      </c>
      <c r="P419" s="687" t="s">
        <v>29901</v>
      </c>
      <c r="Q419" s="684" t="s">
        <v>18196</v>
      </c>
      <c r="R419" s="415" t="str">
        <f>UPPER(IF(P419="CDHU",VLOOKUP(Q419,'CDHU 201-SD'!$A$1:$J$28014,2,FALSE),IF(P419="FDE",VLOOKUP(Q419,'FDE 01-26-SD'!$A$1:$J$280013,2,FALSE),IF(P419="PRÓPRIA",VLOOKUP(Q419,COMPOSIÇÃO!$1:$1048576,3,FALSE),VLOOKUP(Q419,'SINAPI 04-26-SD'!$A$1:$H$272700,2,FALSE)))))</f>
        <v>SISTEMA ININTERRUPTO DE ENERGIA, MONOFÁSICO, COM POTÊNCIA DE 2 KVA</v>
      </c>
      <c r="S419" s="414" t="str">
        <f>UPPER(IF(P419="CDHU",VLOOKUP(Q419,'CDHU 201-SD'!$A$1:$J$28014,3,FALSE),IF(P419="FDE",VLOOKUP(Q419,'FDE 01-26-SD'!$A$1:$J$280013,3,FALSE),IF(P419="PRÓPRIA",VLOOKUP(Q419,COMPOSIÇÃO!$1:$1048576,7,FALSE),VLOOKUP(Q419,'SINAPI 04-26-SD'!$A$1:$H$272700,3,FALSE)))))</f>
        <v>UN</v>
      </c>
      <c r="T419" s="393">
        <v>1</v>
      </c>
      <c r="U419" s="394">
        <f>TRUNC(IF(P419="CDHU",VLOOKUP(Q419,'CDHU 201-SD'!$A$1:$J$28014,6,FALSE),IF(P419="FDE",VLOOKUP(Q419,'FDE 01-26-SD'!$A$1:$J$280013,6,FALSE),IF(P419="PRÓPRIA",VLOOKUP(Q419,COMPOSIÇÃO!$1:$1048576,10,FALSE),VLOOKUP(Q419,'SINAPI 04-26-SD'!$A$1:$H$272700,4,FALSE)))),2)</f>
        <v>6264.7</v>
      </c>
      <c r="V419" s="416">
        <f>TRUNC(U419*T419,2)</f>
        <v>6264.7</v>
      </c>
      <c r="W419" s="395">
        <f>IF($AA419="N",BDI!$D$26,IF($AA419="D",'BDI DIFE.'!$D$26,"ERRO"))</f>
        <v>0.22500000000000001</v>
      </c>
      <c r="X419" s="379">
        <f>TRUNC(U419*(1+W419),2)</f>
        <v>7674.25</v>
      </c>
      <c r="Y419" s="380">
        <f>TRUNC(T419*X419,2)</f>
        <v>7674.25</v>
      </c>
      <c r="Z419" s="381"/>
      <c r="AA419" s="378" t="s">
        <v>28044</v>
      </c>
      <c r="AB419" s="642"/>
    </row>
    <row r="420" spans="2:28" s="55" customFormat="1" ht="30">
      <c r="B420" s="378">
        <f t="shared" ref="B420" ca="1" si="1464">IF(C420="S",IF(OFFSET(C420,-1,0)="S", OFFSET(B420,-1,0), OFFSET(B420,-1,0) +1 ), C420)</f>
        <v>3</v>
      </c>
      <c r="C420" s="378" t="str">
        <f t="shared" si="1105"/>
        <v>S</v>
      </c>
      <c r="D420" s="378">
        <f t="shared" ca="1" si="1195"/>
        <v>15</v>
      </c>
      <c r="E420" s="378">
        <f t="shared" ref="E420" ca="1" si="1465">IF($C420="2",OFFSET(E420,-1,0) +1,IF(OFFSET(D420,-1,0)&lt;&gt;D420,"0",IF(OFFSET(E420,-1,0)="","0",OFFSET(E420,-1,0))))</f>
        <v>8</v>
      </c>
      <c r="F420" s="378" t="str">
        <f t="shared" ref="F420" ca="1" si="1466">IF($C420="3",OFFSET(F420,-1,0) +1,IF(OFFSET(E420,-1,0)&lt;&gt;E420,"0",IF(OFFSET(F420,-1,0)="","0",OFFSET(F420,-1,0))))</f>
        <v>0</v>
      </c>
      <c r="G420" s="378" t="str">
        <f t="shared" ref="G420" ca="1" si="1467">IF($C420="4",OFFSET(G420,-1,0) +1,IF(OFFSET(F420,-1,0)&lt;&gt;F420,"0",IF(OFFSET(G420,-1,0)="","0",OFFSET(G420,-1,0))))</f>
        <v>0</v>
      </c>
      <c r="H420" s="378" t="str">
        <f t="shared" ref="H420" ca="1" si="1468">IF($C420="5",OFFSET(H420,-1,0) +1,IF(OFFSET(G420,-1,0)&lt;&gt;G420,"0",IF(OFFSET(H420,-1,0)="","0",OFFSET(H420,-1,0))))</f>
        <v>0</v>
      </c>
      <c r="I420" s="378" t="str">
        <f t="shared" ref="I420" ca="1" si="1469">IF($C420="6",OFFSET(I420,-1,0) +1,IF(OFFSET(H420,-1,0)&lt;&gt;H420,"0",IF(OFFSET(I420,-1,0)="","0", OFFSET(I420,-1,0))))</f>
        <v>0</v>
      </c>
      <c r="J420" s="378">
        <f t="shared" ca="1" si="1196"/>
        <v>19</v>
      </c>
      <c r="K420" s="378" t="str">
        <f t="shared" ref="K420" si="1470">IF(C420="S","NÃO", IF(C420="1", D420, IF(C420="2", D420 &amp; "." &amp; E420,IF(C420="3", D420 &amp; "." &amp; E420 &amp; "." &amp; F420, IF(C420="4", D420 &amp; "." &amp; E420 &amp; "." &amp; F420 &amp; "." &amp; G420, IF(C420="5", D420 &amp; "." &amp; E420 &amp; "." &amp; F420 &amp; "." &amp; G420 &amp; "." &amp; H420, IF(C420="6", D420 &amp; "." &amp; E420 &amp; "." &amp; F420 &amp; "." &amp; G420 &amp; "." &amp; H420 &amp; "." &amp; I420)))))))</f>
        <v>NÃO</v>
      </c>
      <c r="L420" s="378" t="str">
        <f t="shared" ref="L420" ca="1" si="1471">IF(K420="NÃO",IF($B420=2,D420&amp;"."&amp;J420,IF($B420=3,D420&amp;"."&amp;E420&amp;"."&amp;J420,IF($B420=4,D420&amp;"."&amp;E420&amp;"."&amp;F420&amp;"."&amp;J420,IF($B420=5,D420&amp;"."&amp;E420&amp;"."&amp;F420&amp;"."&amp;G420&amp;"."&amp;J420,IF($B420=6,D420&amp;"."&amp;E420&amp;"."&amp;F420&amp;"."&amp;G420&amp;"."&amp;H420&amp;"."&amp;J420,IF($B420=7,D420&amp;"."&amp;E420&amp;"."&amp;F420&amp;"."&amp;G420&amp;"."&amp;H420&amp;"."&amp;I420&amp;"."&amp;J420,"FALHA")))))),K420)</f>
        <v>15.8.19</v>
      </c>
      <c r="M420" s="55" t="s">
        <v>27868</v>
      </c>
      <c r="O420" s="392" t="str">
        <f t="shared" ref="O420" ca="1" si="1472">L420</f>
        <v>15.8.19</v>
      </c>
      <c r="P420" s="687" t="s">
        <v>29901</v>
      </c>
      <c r="Q420" s="684" t="s">
        <v>18064</v>
      </c>
      <c r="R420" s="415" t="str">
        <f>UPPER(IF(P420="CDHU",VLOOKUP(Q420,'CDHU 201-SD'!$A$1:$J$28014,2,FALSE),IF(P420="FDE",VLOOKUP(Q420,'FDE 01-26-SD'!$A$1:$J$280013,2,FALSE),IF(P420="PRÓPRIA",VLOOKUP(Q420,COMPOSIÇÃO!$1:$1048576,3,FALSE),VLOOKUP(Q420,'SINAPI 04-26-SD'!$A$1:$H$272700,2,FALSE)))))</f>
        <v>SWITCH GIGABIT 24 PORTAS COM CAPACIDADE DE 10/100/1000/MBPS</v>
      </c>
      <c r="S420" s="414" t="str">
        <f>UPPER(IF(P420="CDHU",VLOOKUP(Q420,'CDHU 201-SD'!$A$1:$J$28014,3,FALSE),IF(P420="FDE",VLOOKUP(Q420,'FDE 01-26-SD'!$A$1:$J$280013,3,FALSE),IF(P420="PRÓPRIA",VLOOKUP(Q420,COMPOSIÇÃO!$1:$1048576,7,FALSE),VLOOKUP(Q420,'SINAPI 04-26-SD'!$A$1:$H$272700,3,FALSE)))))</f>
        <v>UN</v>
      </c>
      <c r="T420" s="393">
        <v>1</v>
      </c>
      <c r="U420" s="394">
        <f>TRUNC(IF(P420="CDHU",VLOOKUP(Q420,'CDHU 201-SD'!$A$1:$J$28014,6,FALSE),IF(P420="FDE",VLOOKUP(Q420,'FDE 01-26-SD'!$A$1:$J$280013,6,FALSE),IF(P420="PRÓPRIA",VLOOKUP(Q420,COMPOSIÇÃO!$1:$1048576,10,FALSE),VLOOKUP(Q420,'SINAPI 04-26-SD'!$A$1:$H$272700,4,FALSE)))),2)</f>
        <v>2068.2399999999998</v>
      </c>
      <c r="V420" s="416">
        <f t="shared" ref="V420" si="1473">TRUNC(U420*T420,2)</f>
        <v>2068.2399999999998</v>
      </c>
      <c r="W420" s="395">
        <f>IF($AA420="N",BDI!$D$26,IF($AA420="D",'BDI DIFE.'!$D$26,"ERRO"))</f>
        <v>0.22500000000000001</v>
      </c>
      <c r="X420" s="379">
        <f t="shared" ref="X420" si="1474">TRUNC(U420*(1+W420),2)</f>
        <v>2533.59</v>
      </c>
      <c r="Y420" s="380">
        <f t="shared" ref="Y420" si="1475">TRUNC(T420*X420,2)</f>
        <v>2533.59</v>
      </c>
      <c r="Z420" s="381"/>
      <c r="AA420" s="378" t="s">
        <v>28044</v>
      </c>
      <c r="AB420" s="642"/>
    </row>
    <row r="421" spans="2:28" s="55" customFormat="1">
      <c r="B421" s="378">
        <f ca="1">IF(C421="S",IF(OFFSET(C421,-1,0)="S", OFFSET(B421,-1,0), OFFSET(B421,-1,0) +1 ), C421)</f>
        <v>3</v>
      </c>
      <c r="C421" s="378" t="str">
        <f>IF(RIGHT($M421) = "o", "S", RIGHT($M421))</f>
        <v>S</v>
      </c>
      <c r="D421" s="378">
        <f ca="1">IF($C421="1",OFFSET(D421,-2,0) +1,OFFSET(D421,-1,0))</f>
        <v>15</v>
      </c>
      <c r="E421" s="378">
        <f ca="1">IF($C421="2",OFFSET(E421,-1,0) +1,IF(OFFSET(D421,-1,0)&lt;&gt;D421,"0",IF(OFFSET(E421,-1,0)="","0",OFFSET(E421,-1,0))))</f>
        <v>8</v>
      </c>
      <c r="F421" s="378" t="str">
        <f ca="1">IF($C421="3",OFFSET(F421,-1,0) +1,IF(OFFSET(E421,-1,0)&lt;&gt;E421,"0",IF(OFFSET(F421,-1,0)="","0",OFFSET(F421,-1,0))))</f>
        <v>0</v>
      </c>
      <c r="G421" s="378" t="str">
        <f ca="1">IF($C421="4",OFFSET(G421,-1,0) +1,IF(OFFSET(F421,-1,0)&lt;&gt;F421,"0",IF(OFFSET(G421,-1,0)="","0",OFFSET(G421,-1,0))))</f>
        <v>0</v>
      </c>
      <c r="H421" s="378" t="str">
        <f ca="1">IF($C421="5",OFFSET(H421,-1,0) +1,IF(OFFSET(G421,-1,0)&lt;&gt;G421,"0",IF(OFFSET(H421,-1,0)="","0",OFFSET(H421,-1,0))))</f>
        <v>0</v>
      </c>
      <c r="I421" s="378" t="str">
        <f ca="1">IF($C421="6",OFFSET(I421,-1,0) +1,IF(OFFSET(H421,-1,0)&lt;&gt;H421,"0",IF(OFFSET(I421,-1,0)="","0", OFFSET(I421,-1,0))))</f>
        <v>0</v>
      </c>
      <c r="J421" s="378">
        <f ca="1">IF($C421="S",OFFSET(J421,-1,0)+1,"0")</f>
        <v>20</v>
      </c>
      <c r="K421" s="378" t="str">
        <f>IF(C421="S","NÃO", IF(C421="1", D421, IF(C421="2", D421 &amp; "." &amp; E421,IF(C421="3", D421 &amp; "." &amp; E421 &amp; "." &amp; F421, IF(C421="4", D421 &amp; "." &amp; E421 &amp; "." &amp; F421 &amp; "." &amp; G421, IF(C421="5", D421 &amp; "." &amp; E421 &amp; "." &amp; F421 &amp; "." &amp; G421 &amp; "." &amp; H421, IF(C421="6", D421 &amp; "." &amp; E421 &amp; "." &amp; F421 &amp; "." &amp; G421 &amp; "." &amp; H421 &amp; "." &amp; I421)))))))</f>
        <v>NÃO</v>
      </c>
      <c r="L421" s="378" t="str">
        <f ca="1">IF(K421="NÃO",IF($B421=2,D421&amp;"."&amp;J421,IF($B421=3,D421&amp;"."&amp;E421&amp;"."&amp;J421,IF($B421=4,D421&amp;"."&amp;E421&amp;"."&amp;F421&amp;"."&amp;J421,IF($B421=5,D421&amp;"."&amp;E421&amp;"."&amp;F421&amp;"."&amp;G421&amp;"."&amp;J421,IF($B421=6,D421&amp;"."&amp;E421&amp;"."&amp;F421&amp;"."&amp;G421&amp;"."&amp;H421&amp;"."&amp;J421,IF($B421=7,D421&amp;"."&amp;E421&amp;"."&amp;F421&amp;"."&amp;G421&amp;"."&amp;H421&amp;"."&amp;I421&amp;"."&amp;J421,"FALHA")))))),K421)</f>
        <v>15.8.20</v>
      </c>
      <c r="M421" s="55" t="s">
        <v>27868</v>
      </c>
      <c r="O421" s="392" t="str">
        <f ca="1">L421</f>
        <v>15.8.20</v>
      </c>
      <c r="P421" s="687" t="s">
        <v>29901</v>
      </c>
      <c r="Q421" s="684" t="s">
        <v>18025</v>
      </c>
      <c r="R421" s="415" t="str">
        <f>UPPER(IF(P421="CDHU",VLOOKUP(Q421,'CDHU 201-SD'!$A$1:$J$28014,2,FALSE),IF(P421="FDE",VLOOKUP(Q421,'FDE 01-26-SD'!$A$1:$J$280013,2,FALSE),IF(P421="PRÓPRIA",VLOOKUP(Q421,COMPOSIÇÃO!$1:$1048576,3,FALSE),VLOOKUP(Q421,'SINAPI 04-26-SD'!$A$1:$H$272700,2,FALSE)))))</f>
        <v>RACK FECHADO PADRÃO METÁLICO, 19 X 20 US X 470 MM</v>
      </c>
      <c r="S421" s="414" t="str">
        <f>UPPER(IF(P421="CDHU",VLOOKUP(Q421,'CDHU 201-SD'!$A$1:$J$28014,3,FALSE),IF(P421="FDE",VLOOKUP(Q421,'FDE 01-26-SD'!$A$1:$J$280013,3,FALSE),IF(P421="PRÓPRIA",VLOOKUP(Q421,COMPOSIÇÃO!$1:$1048576,7,FALSE),VLOOKUP(Q421,'SINAPI 04-26-SD'!$A$1:$H$272700,3,FALSE)))))</f>
        <v>UN</v>
      </c>
      <c r="T421" s="393">
        <v>1</v>
      </c>
      <c r="U421" s="394">
        <f>TRUNC(IF(P421="CDHU",VLOOKUP(Q421,'CDHU 201-SD'!$A$1:$J$28014,6,FALSE),IF(P421="FDE",VLOOKUP(Q421,'FDE 01-26-SD'!$A$1:$J$280013,6,FALSE),IF(P421="PRÓPRIA",VLOOKUP(Q421,COMPOSIÇÃO!$1:$1048576,10,FALSE),VLOOKUP(Q421,'SINAPI 04-26-SD'!$A$1:$H$272700,4,FALSE)))),2)</f>
        <v>1866.19</v>
      </c>
      <c r="V421" s="416">
        <f>TRUNC(U421*T421,2)</f>
        <v>1866.19</v>
      </c>
      <c r="W421" s="395">
        <f>IF($AA421="N",BDI!$D$26,IF($AA421="D",'BDI DIFE.'!$D$26,"ERRO"))</f>
        <v>0.22500000000000001</v>
      </c>
      <c r="X421" s="379">
        <f>TRUNC(U421*(1+W421),2)</f>
        <v>2286.08</v>
      </c>
      <c r="Y421" s="380">
        <f>TRUNC(T421*X421,2)</f>
        <v>2286.08</v>
      </c>
      <c r="Z421" s="381"/>
      <c r="AA421" s="378" t="s">
        <v>28044</v>
      </c>
      <c r="AB421" s="642"/>
    </row>
    <row r="422" spans="2:28" s="55" customFormat="1" ht="45">
      <c r="B422" s="378">
        <f t="shared" ref="B422:B423" ca="1" si="1476">IF(C422="S",IF(OFFSET(C422,-1,0)="S", OFFSET(B422,-1,0), OFFSET(B422,-1,0) +1 ), C422)</f>
        <v>3</v>
      </c>
      <c r="C422" s="378" t="str">
        <f t="shared" si="1105"/>
        <v>S</v>
      </c>
      <c r="D422" s="378">
        <f t="shared" ca="1" si="1195"/>
        <v>15</v>
      </c>
      <c r="E422" s="378">
        <f t="shared" ref="E422:E423" ca="1" si="1477">IF($C422="2",OFFSET(E422,-1,0) +1,IF(OFFSET(D422,-1,0)&lt;&gt;D422,"0",IF(OFFSET(E422,-1,0)="","0",OFFSET(E422,-1,0))))</f>
        <v>8</v>
      </c>
      <c r="F422" s="378" t="str">
        <f t="shared" ref="F422:F423" ca="1" si="1478">IF($C422="3",OFFSET(F422,-1,0) +1,IF(OFFSET(E422,-1,0)&lt;&gt;E422,"0",IF(OFFSET(F422,-1,0)="","0",OFFSET(F422,-1,0))))</f>
        <v>0</v>
      </c>
      <c r="G422" s="378" t="str">
        <f t="shared" ref="G422:G423" ca="1" si="1479">IF($C422="4",OFFSET(G422,-1,0) +1,IF(OFFSET(F422,-1,0)&lt;&gt;F422,"0",IF(OFFSET(G422,-1,0)="","0",OFFSET(G422,-1,0))))</f>
        <v>0</v>
      </c>
      <c r="H422" s="378" t="str">
        <f t="shared" ref="H422:H423" ca="1" si="1480">IF($C422="5",OFFSET(H422,-1,0) +1,IF(OFFSET(G422,-1,0)&lt;&gt;G422,"0",IF(OFFSET(H422,-1,0)="","0",OFFSET(H422,-1,0))))</f>
        <v>0</v>
      </c>
      <c r="I422" s="378" t="str">
        <f t="shared" ref="I422:I423" ca="1" si="1481">IF($C422="6",OFFSET(I422,-1,0) +1,IF(OFFSET(H422,-1,0)&lt;&gt;H422,"0",IF(OFFSET(I422,-1,0)="","0", OFFSET(I422,-1,0))))</f>
        <v>0</v>
      </c>
      <c r="J422" s="378">
        <f t="shared" ca="1" si="1196"/>
        <v>21</v>
      </c>
      <c r="K422" s="378" t="str">
        <f t="shared" ref="K422:K423" si="1482">IF(C422="S","NÃO", IF(C422="1", D422, IF(C422="2", D422 &amp; "." &amp; E422,IF(C422="3", D422 &amp; "." &amp; E422 &amp; "." &amp; F422, IF(C422="4", D422 &amp; "." &amp; E422 &amp; "." &amp; F422 &amp; "." &amp; G422, IF(C422="5", D422 &amp; "." &amp; E422 &amp; "." &amp; F422 &amp; "." &amp; G422 &amp; "." &amp; H422, IF(C422="6", D422 &amp; "." &amp; E422 &amp; "." &amp; F422 &amp; "." &amp; G422 &amp; "." &amp; H422 &amp; "." &amp; I422)))))))</f>
        <v>NÃO</v>
      </c>
      <c r="L422" s="378" t="str">
        <f t="shared" ref="L422:L423" ca="1" si="1483">IF(K422="NÃO",IF($B422=2,D422&amp;"."&amp;J422,IF($B422=3,D422&amp;"."&amp;E422&amp;"."&amp;J422,IF($B422=4,D422&amp;"."&amp;E422&amp;"."&amp;F422&amp;"."&amp;J422,IF($B422=5,D422&amp;"."&amp;E422&amp;"."&amp;F422&amp;"."&amp;G422&amp;"."&amp;J422,IF($B422=6,D422&amp;"."&amp;E422&amp;"."&amp;F422&amp;"."&amp;G422&amp;"."&amp;H422&amp;"."&amp;J422,IF($B422=7,D422&amp;"."&amp;E422&amp;"."&amp;F422&amp;"."&amp;G422&amp;"."&amp;H422&amp;"."&amp;I422&amp;"."&amp;J422,"FALHA")))))),K422)</f>
        <v>15.8.21</v>
      </c>
      <c r="M422" s="55" t="s">
        <v>27868</v>
      </c>
      <c r="O422" s="392" t="str">
        <f t="shared" ref="O422:O423" ca="1" si="1484">L422</f>
        <v>15.8.21</v>
      </c>
      <c r="P422" s="687" t="s">
        <v>27888</v>
      </c>
      <c r="Q422" s="684">
        <v>97892</v>
      </c>
      <c r="R422" s="415" t="str">
        <f>UPPER(IF(P422="CDHU",VLOOKUP(Q422,'CDHU 201-SD'!$A$1:$J$28014,2,FALSE),IF(P422="FDE",VLOOKUP(Q422,'FDE 01-26-SD'!$A$1:$J$280013,2,FALSE),IF(P422="PRÓPRIA",VLOOKUP(Q422,COMPOSIÇÃO!$1:$1048576,3,FALSE),VLOOKUP(Q422,'SINAPI 04-26-SD'!$A$1:$H$272700,2,FALSE)))))</f>
        <v>CAIXA ENTERRADA ELÉTRICA RETANGULAR, EM ALVENARIA COM BLOCOS DE CONCRETO, FUNDO COM BRITA, DIMENSÕES INTERNAS: 0,6X0,6X0,6 M. AF_12/2020</v>
      </c>
      <c r="S422" s="414" t="str">
        <f>UPPER(IF(P422="CDHU",VLOOKUP(Q422,'CDHU 201-SD'!$A$1:$J$28014,3,FALSE),IF(P422="FDE",VLOOKUP(Q422,'FDE 01-26-SD'!$A$1:$J$280013,3,FALSE),IF(P422="PRÓPRIA",VLOOKUP(Q422,COMPOSIÇÃO!$1:$1048576,7,FALSE),VLOOKUP(Q422,'SINAPI 04-26-SD'!$A$1:$H$272700,3,FALSE)))))</f>
        <v>UN</v>
      </c>
      <c r="T422" s="393">
        <v>3</v>
      </c>
      <c r="U422" s="394">
        <f>TRUNC(IF(P422="CDHU",VLOOKUP(Q422,'CDHU 201-SD'!$A$1:$J$28014,6,FALSE),IF(P422="FDE",VLOOKUP(Q422,'FDE 01-26-SD'!$A$1:$J$280013,6,FALSE),IF(P422="PRÓPRIA",VLOOKUP(Q422,COMPOSIÇÃO!$1:$1048576,10,FALSE),VLOOKUP(Q422,'SINAPI 04-26-SD'!$A$1:$H$272700,4,FALSE)))),2)</f>
        <v>447.69</v>
      </c>
      <c r="V422" s="416">
        <f t="shared" ref="V422:V423" si="1485">TRUNC(U422*T422,2)</f>
        <v>1343.07</v>
      </c>
      <c r="W422" s="395">
        <f>IF($AA422="N",BDI!$D$26,IF($AA422="D",'BDI DIFE.'!$D$26,"ERRO"))</f>
        <v>0.22500000000000001</v>
      </c>
      <c r="X422" s="379">
        <f t="shared" ref="X422:X423" si="1486">TRUNC(U422*(1+W422),2)</f>
        <v>548.41999999999996</v>
      </c>
      <c r="Y422" s="380">
        <f t="shared" ref="Y422:Y423" si="1487">TRUNC(T422*X422,2)</f>
        <v>1645.26</v>
      </c>
      <c r="Z422" s="381"/>
      <c r="AA422" s="378" t="s">
        <v>28044</v>
      </c>
      <c r="AB422" s="642"/>
    </row>
    <row r="423" spans="2:28" s="55" customFormat="1">
      <c r="B423" s="378">
        <f t="shared" ca="1" si="1476"/>
        <v>3</v>
      </c>
      <c r="C423" s="378" t="str">
        <f t="shared" si="1105"/>
        <v>S</v>
      </c>
      <c r="D423" s="378">
        <f t="shared" ca="1" si="1195"/>
        <v>15</v>
      </c>
      <c r="E423" s="378">
        <f t="shared" ca="1" si="1477"/>
        <v>8</v>
      </c>
      <c r="F423" s="378" t="str">
        <f t="shared" ca="1" si="1478"/>
        <v>0</v>
      </c>
      <c r="G423" s="378" t="str">
        <f t="shared" ca="1" si="1479"/>
        <v>0</v>
      </c>
      <c r="H423" s="378" t="str">
        <f t="shared" ca="1" si="1480"/>
        <v>0</v>
      </c>
      <c r="I423" s="378" t="str">
        <f t="shared" ca="1" si="1481"/>
        <v>0</v>
      </c>
      <c r="J423" s="378">
        <f t="shared" ca="1" si="1196"/>
        <v>22</v>
      </c>
      <c r="K423" s="378" t="str">
        <f t="shared" si="1482"/>
        <v>NÃO</v>
      </c>
      <c r="L423" s="378" t="str">
        <f t="shared" ca="1" si="1483"/>
        <v>15.8.22</v>
      </c>
      <c r="M423" s="55" t="s">
        <v>27868</v>
      </c>
      <c r="O423" s="392" t="str">
        <f t="shared" ca="1" si="1484"/>
        <v>15.8.22</v>
      </c>
      <c r="P423" s="687" t="s">
        <v>29901</v>
      </c>
      <c r="Q423" s="684" t="s">
        <v>18256</v>
      </c>
      <c r="R423" s="415" t="str">
        <f>UPPER(IF(P423="CDHU",VLOOKUP(Q423,'CDHU 201-SD'!$A$1:$J$28014,2,FALSE),IF(P423="FDE",VLOOKUP(Q423,'FDE 01-26-SD'!$A$1:$J$280013,2,FALSE),IF(P423="PRÓPRIA",VLOOKUP(Q423,COMPOSIÇÃO!$1:$1048576,3,FALSE),VLOOKUP(Q423,'SINAPI 04-26-SD'!$A$1:$H$272700,2,FALSE)))))</f>
        <v>BLOCO DE LIGAÇÃO INTERNA PARA 10 PARES, BLI-10</v>
      </c>
      <c r="S423" s="414" t="str">
        <f>UPPER(IF(P423="CDHU",VLOOKUP(Q423,'CDHU 201-SD'!$A$1:$J$28014,3,FALSE),IF(P423="FDE",VLOOKUP(Q423,'FDE 01-26-SD'!$A$1:$J$280013,3,FALSE),IF(P423="PRÓPRIA",VLOOKUP(Q423,COMPOSIÇÃO!$1:$1048576,7,FALSE),VLOOKUP(Q423,'SINAPI 04-26-SD'!$A$1:$H$272700,3,FALSE)))))</f>
        <v>UN</v>
      </c>
      <c r="T423" s="393">
        <v>2</v>
      </c>
      <c r="U423" s="394">
        <f>TRUNC(IF(P423="CDHU",VLOOKUP(Q423,'CDHU 201-SD'!$A$1:$J$28014,6,FALSE),IF(P423="FDE",VLOOKUP(Q423,'FDE 01-26-SD'!$A$1:$J$280013,6,FALSE),IF(P423="PRÓPRIA",VLOOKUP(Q423,COMPOSIÇÃO!$1:$1048576,10,FALSE),VLOOKUP(Q423,'SINAPI 04-26-SD'!$A$1:$H$272700,4,FALSE)))),2)</f>
        <v>26.03</v>
      </c>
      <c r="V423" s="416">
        <f t="shared" si="1485"/>
        <v>52.06</v>
      </c>
      <c r="W423" s="395">
        <f>IF($AA423="N",BDI!$D$26,IF($AA423="D",'BDI DIFE.'!$D$26,"ERRO"))</f>
        <v>0.22500000000000001</v>
      </c>
      <c r="X423" s="379">
        <f t="shared" si="1486"/>
        <v>31.88</v>
      </c>
      <c r="Y423" s="380">
        <f t="shared" si="1487"/>
        <v>63.76</v>
      </c>
      <c r="Z423" s="381"/>
      <c r="AA423" s="378" t="s">
        <v>28044</v>
      </c>
      <c r="AB423" s="642"/>
    </row>
    <row r="424" spans="2:28" s="55" customFormat="1" ht="30">
      <c r="B424" s="378">
        <f t="shared" ca="1" si="1452"/>
        <v>3</v>
      </c>
      <c r="C424" s="378" t="str">
        <f t="shared" si="1105"/>
        <v>S</v>
      </c>
      <c r="D424" s="378">
        <f t="shared" ca="1" si="1195"/>
        <v>15</v>
      </c>
      <c r="E424" s="378">
        <f t="shared" ca="1" si="1453"/>
        <v>8</v>
      </c>
      <c r="F424" s="378" t="str">
        <f t="shared" ca="1" si="1454"/>
        <v>0</v>
      </c>
      <c r="G424" s="378" t="str">
        <f t="shared" ca="1" si="1455"/>
        <v>0</v>
      </c>
      <c r="H424" s="378" t="str">
        <f t="shared" ca="1" si="1456"/>
        <v>0</v>
      </c>
      <c r="I424" s="378" t="str">
        <f t="shared" ca="1" si="1457"/>
        <v>0</v>
      </c>
      <c r="J424" s="378">
        <f t="shared" ca="1" si="1196"/>
        <v>23</v>
      </c>
      <c r="K424" s="378" t="str">
        <f t="shared" si="1458"/>
        <v>NÃO</v>
      </c>
      <c r="L424" s="378" t="str">
        <f t="shared" ca="1" si="1459"/>
        <v>15.8.23</v>
      </c>
      <c r="M424" s="55" t="s">
        <v>27868</v>
      </c>
      <c r="O424" s="392" t="str">
        <f t="shared" ca="1" si="1460"/>
        <v>15.8.23</v>
      </c>
      <c r="P424" s="687" t="s">
        <v>29901</v>
      </c>
      <c r="Q424" s="684" t="s">
        <v>15182</v>
      </c>
      <c r="R424" s="415" t="str">
        <f>UPPER(IF(P424="CDHU",VLOOKUP(Q424,'CDHU 201-SD'!$A$1:$J$28014,2,FALSE),IF(P424="FDE",VLOOKUP(Q424,'FDE 01-26-SD'!$A$1:$J$280013,2,FALSE),IF(P424="PRÓPRIA",VLOOKUP(Q424,COMPOSIÇÃO!$1:$1048576,3,FALSE),VLOOKUP(Q424,'SINAPI 04-26-SD'!$A$1:$H$272700,2,FALSE)))))</f>
        <v>CABO ÓPTICO DE TERMINAÇÃO, 2 FIBRAS, 50/125 µM - USO INTERNO/EXTERNO</v>
      </c>
      <c r="S424" s="414" t="str">
        <f>UPPER(IF(P424="CDHU",VLOOKUP(Q424,'CDHU 201-SD'!$A$1:$J$28014,3,FALSE),IF(P424="FDE",VLOOKUP(Q424,'FDE 01-26-SD'!$A$1:$J$280013,3,FALSE),IF(P424="PRÓPRIA",VLOOKUP(Q424,COMPOSIÇÃO!$1:$1048576,7,FALSE),VLOOKUP(Q424,'SINAPI 04-26-SD'!$A$1:$H$272700,3,FALSE)))))</f>
        <v>M</v>
      </c>
      <c r="T424" s="393">
        <v>107.9</v>
      </c>
      <c r="U424" s="394">
        <f>TRUNC(IF(P424="CDHU",VLOOKUP(Q424,'CDHU 201-SD'!$A$1:$J$28014,6,FALSE),IF(P424="FDE",VLOOKUP(Q424,'FDE 01-26-SD'!$A$1:$J$280013,6,FALSE),IF(P424="PRÓPRIA",VLOOKUP(Q424,COMPOSIÇÃO!$1:$1048576,10,FALSE),VLOOKUP(Q424,'SINAPI 04-26-SD'!$A$1:$H$272700,4,FALSE)))),2)</f>
        <v>13.37</v>
      </c>
      <c r="V424" s="416">
        <f t="shared" si="1461"/>
        <v>1442.62</v>
      </c>
      <c r="W424" s="395">
        <f>IF($AA424="N",BDI!$D$26,IF($AA424="D",'BDI DIFE.'!$D$26,"ERRO"))</f>
        <v>0.22500000000000001</v>
      </c>
      <c r="X424" s="379">
        <f t="shared" si="1462"/>
        <v>16.37</v>
      </c>
      <c r="Y424" s="380">
        <f t="shared" si="1463"/>
        <v>1766.32</v>
      </c>
      <c r="Z424" s="381"/>
      <c r="AA424" s="378" t="s">
        <v>28044</v>
      </c>
      <c r="AB424" s="642"/>
    </row>
    <row r="425" spans="2:28" s="55" customFormat="1" ht="30">
      <c r="B425" s="378">
        <f t="shared" ref="B425" ca="1" si="1488">IF(C425="S",IF(OFFSET(C425,-1,0)="S", OFFSET(B425,-1,0), OFFSET(B425,-1,0) +1 ), C425)</f>
        <v>3</v>
      </c>
      <c r="C425" s="378" t="str">
        <f t="shared" si="1105"/>
        <v>S</v>
      </c>
      <c r="D425" s="378">
        <f t="shared" ca="1" si="1195"/>
        <v>15</v>
      </c>
      <c r="E425" s="378">
        <f t="shared" ref="E425" ca="1" si="1489">IF($C425="2",OFFSET(E425,-1,0) +1,IF(OFFSET(D425,-1,0)&lt;&gt;D425,"0",IF(OFFSET(E425,-1,0)="","0",OFFSET(E425,-1,0))))</f>
        <v>8</v>
      </c>
      <c r="F425" s="378" t="str">
        <f t="shared" ref="F425" ca="1" si="1490">IF($C425="3",OFFSET(F425,-1,0) +1,IF(OFFSET(E425,-1,0)&lt;&gt;E425,"0",IF(OFFSET(F425,-1,0)="","0",OFFSET(F425,-1,0))))</f>
        <v>0</v>
      </c>
      <c r="G425" s="378" t="str">
        <f t="shared" ref="G425" ca="1" si="1491">IF($C425="4",OFFSET(G425,-1,0) +1,IF(OFFSET(F425,-1,0)&lt;&gt;F425,"0",IF(OFFSET(G425,-1,0)="","0",OFFSET(G425,-1,0))))</f>
        <v>0</v>
      </c>
      <c r="H425" s="378" t="str">
        <f t="shared" ref="H425" ca="1" si="1492">IF($C425="5",OFFSET(H425,-1,0) +1,IF(OFFSET(G425,-1,0)&lt;&gt;G425,"0",IF(OFFSET(H425,-1,0)="","0",OFFSET(H425,-1,0))))</f>
        <v>0</v>
      </c>
      <c r="I425" s="378" t="str">
        <f t="shared" ref="I425" ca="1" si="1493">IF($C425="6",OFFSET(I425,-1,0) +1,IF(OFFSET(H425,-1,0)&lt;&gt;H425,"0",IF(OFFSET(I425,-1,0)="","0", OFFSET(I425,-1,0))))</f>
        <v>0</v>
      </c>
      <c r="J425" s="378">
        <f t="shared" ca="1" si="1196"/>
        <v>24</v>
      </c>
      <c r="K425" s="378" t="str">
        <f t="shared" ref="K425" si="1494">IF(C425="S","NÃO", IF(C425="1", D425, IF(C425="2", D425 &amp; "." &amp; E425,IF(C425="3", D425 &amp; "." &amp; E425 &amp; "." &amp; F425, IF(C425="4", D425 &amp; "." &amp; E425 &amp; "." &amp; F425 &amp; "." &amp; G425, IF(C425="5", D425 &amp; "." &amp; E425 &amp; "." &amp; F425 &amp; "." &amp; G425 &amp; "." &amp; H425, IF(C425="6", D425 &amp; "." &amp; E425 &amp; "." &amp; F425 &amp; "." &amp; G425 &amp; "." &amp; H425 &amp; "." &amp; I425)))))))</f>
        <v>NÃO</v>
      </c>
      <c r="L425" s="378" t="str">
        <f t="shared" ref="L425" ca="1" si="1495">IF(K425="NÃO",IF($B425=2,D425&amp;"."&amp;J425,IF($B425=3,D425&amp;"."&amp;E425&amp;"."&amp;J425,IF($B425=4,D425&amp;"."&amp;E425&amp;"."&amp;F425&amp;"."&amp;J425,IF($B425=5,D425&amp;"."&amp;E425&amp;"."&amp;F425&amp;"."&amp;G425&amp;"."&amp;J425,IF($B425=6,D425&amp;"."&amp;E425&amp;"."&amp;F425&amp;"."&amp;G425&amp;"."&amp;H425&amp;"."&amp;J425,IF($B425=7,D425&amp;"."&amp;E425&amp;"."&amp;F425&amp;"."&amp;G425&amp;"."&amp;H425&amp;"."&amp;I425&amp;"."&amp;J425,"FALHA")))))),K425)</f>
        <v>15.8.24</v>
      </c>
      <c r="M425" s="55" t="s">
        <v>27868</v>
      </c>
      <c r="O425" s="392" t="str">
        <f t="shared" ref="O425" ca="1" si="1496">L425</f>
        <v>15.8.24</v>
      </c>
      <c r="P425" s="687" t="s">
        <v>29901</v>
      </c>
      <c r="Q425" s="684" t="s">
        <v>18164</v>
      </c>
      <c r="R425" s="415" t="str">
        <f>UPPER(IF(P425="CDHU",VLOOKUP(Q425,'CDHU 201-SD'!$A$1:$J$28014,2,FALSE),IF(P425="FDE",VLOOKUP(Q425,'FDE 01-26-SD'!$A$1:$J$280013,2,FALSE),IF(P425="PRÓPRIA",VLOOKUP(Q425,COMPOSIÇÃO!$1:$1048576,3,FALSE),VLOOKUP(Q425,'SINAPI 04-26-SD'!$A$1:$H$272700,2,FALSE)))))</f>
        <v>CAIXA SUBTERRÂNEA DE ENTRADA DE TELEFONIA, TIPO R1 (600 X 350 X 500) MM, PADRÃO TELEBRÁS, COM TAMPA</v>
      </c>
      <c r="S425" s="414" t="str">
        <f>UPPER(IF(P425="CDHU",VLOOKUP(Q425,'CDHU 201-SD'!$A$1:$J$28014,3,FALSE),IF(P425="FDE",VLOOKUP(Q425,'FDE 01-26-SD'!$A$1:$J$280013,3,FALSE),IF(P425="PRÓPRIA",VLOOKUP(Q425,COMPOSIÇÃO!$1:$1048576,7,FALSE),VLOOKUP(Q425,'SINAPI 04-26-SD'!$A$1:$H$272700,3,FALSE)))))</f>
        <v>UN</v>
      </c>
      <c r="T425" s="393">
        <v>1</v>
      </c>
      <c r="U425" s="394">
        <f>TRUNC(IF(P425="CDHU",VLOOKUP(Q425,'CDHU 201-SD'!$A$1:$J$28014,6,FALSE),IF(P425="FDE",VLOOKUP(Q425,'FDE 01-26-SD'!$A$1:$J$280013,6,FALSE),IF(P425="PRÓPRIA",VLOOKUP(Q425,COMPOSIÇÃO!$1:$1048576,10,FALSE),VLOOKUP(Q425,'SINAPI 04-26-SD'!$A$1:$H$272700,4,FALSE)))),2)</f>
        <v>627.83000000000004</v>
      </c>
      <c r="V425" s="416">
        <f t="shared" ref="V425" si="1497">TRUNC(U425*T425,2)</f>
        <v>627.83000000000004</v>
      </c>
      <c r="W425" s="395">
        <f>IF($AA425="N",BDI!$D$26,IF($AA425="D",'BDI DIFE.'!$D$26,"ERRO"))</f>
        <v>0.22500000000000001</v>
      </c>
      <c r="X425" s="379">
        <f t="shared" ref="X425" si="1498">TRUNC(U425*(1+W425),2)</f>
        <v>769.09</v>
      </c>
      <c r="Y425" s="380">
        <f t="shared" ref="Y425" si="1499">TRUNC(T425*X425,2)</f>
        <v>769.09</v>
      </c>
      <c r="Z425" s="381"/>
      <c r="AA425" s="378" t="s">
        <v>28044</v>
      </c>
      <c r="AB425" s="642"/>
    </row>
    <row r="426" spans="2:28" s="55" customFormat="1">
      <c r="B426" s="378">
        <f t="shared" ca="1" si="1452"/>
        <v>3</v>
      </c>
      <c r="C426" s="378" t="str">
        <f t="shared" si="1105"/>
        <v>S</v>
      </c>
      <c r="D426" s="378">
        <f t="shared" ca="1" si="1195"/>
        <v>15</v>
      </c>
      <c r="E426" s="378">
        <f t="shared" ca="1" si="1453"/>
        <v>8</v>
      </c>
      <c r="F426" s="378" t="str">
        <f t="shared" ca="1" si="1454"/>
        <v>0</v>
      </c>
      <c r="G426" s="378" t="str">
        <f t="shared" ca="1" si="1455"/>
        <v>0</v>
      </c>
      <c r="H426" s="378" t="str">
        <f t="shared" ca="1" si="1456"/>
        <v>0</v>
      </c>
      <c r="I426" s="378" t="str">
        <f t="shared" ca="1" si="1457"/>
        <v>0</v>
      </c>
      <c r="J426" s="378">
        <f t="shared" ca="1" si="1196"/>
        <v>25</v>
      </c>
      <c r="K426" s="378" t="str">
        <f t="shared" si="1458"/>
        <v>NÃO</v>
      </c>
      <c r="L426" s="378" t="str">
        <f t="shared" ca="1" si="1459"/>
        <v>15.8.25</v>
      </c>
      <c r="M426" s="55" t="s">
        <v>27868</v>
      </c>
      <c r="O426" s="392" t="str">
        <f t="shared" ca="1" si="1460"/>
        <v>15.8.25</v>
      </c>
      <c r="P426" s="687" t="s">
        <v>29901</v>
      </c>
      <c r="Q426" s="684" t="s">
        <v>18252</v>
      </c>
      <c r="R426" s="415" t="str">
        <f>UPPER(IF(P426="CDHU",VLOOKUP(Q426,'CDHU 201-SD'!$A$1:$J$28014,2,FALSE),IF(P426="FDE",VLOOKUP(Q426,'FDE 01-26-SD'!$A$1:$J$280013,2,FALSE),IF(P426="PRÓPRIA",VLOOKUP(Q426,COMPOSIÇÃO!$1:$1048576,3,FALSE),VLOOKUP(Q426,'SINAPI 04-26-SD'!$A$1:$H$272700,2,FALSE)))))</f>
        <v>TAMPA PARA CAIXA R1, PADRÃO TELEBRÁS</v>
      </c>
      <c r="S426" s="414" t="str">
        <f>UPPER(IF(P426="CDHU",VLOOKUP(Q426,'CDHU 201-SD'!$A$1:$J$28014,3,FALSE),IF(P426="FDE",VLOOKUP(Q426,'FDE 01-26-SD'!$A$1:$J$280013,3,FALSE),IF(P426="PRÓPRIA",VLOOKUP(Q426,COMPOSIÇÃO!$1:$1048576,7,FALSE),VLOOKUP(Q426,'SINAPI 04-26-SD'!$A$1:$H$272700,3,FALSE)))))</f>
        <v>UN</v>
      </c>
      <c r="T426" s="393">
        <v>1</v>
      </c>
      <c r="U426" s="394">
        <f>TRUNC(IF(P426="CDHU",VLOOKUP(Q426,'CDHU 201-SD'!$A$1:$J$28014,6,FALSE),IF(P426="FDE",VLOOKUP(Q426,'FDE 01-26-SD'!$A$1:$J$280013,6,FALSE),IF(P426="PRÓPRIA",VLOOKUP(Q426,COMPOSIÇÃO!$1:$1048576,10,FALSE),VLOOKUP(Q426,'SINAPI 04-26-SD'!$A$1:$H$272700,4,FALSE)))),2)</f>
        <v>309.58999999999997</v>
      </c>
      <c r="V426" s="416">
        <f t="shared" si="1461"/>
        <v>309.58999999999997</v>
      </c>
      <c r="W426" s="395">
        <f>IF($AA426="N",BDI!$D$26,IF($AA426="D",'BDI DIFE.'!$D$26,"ERRO"))</f>
        <v>0.22500000000000001</v>
      </c>
      <c r="X426" s="379">
        <f t="shared" si="1462"/>
        <v>379.24</v>
      </c>
      <c r="Y426" s="380">
        <f t="shared" si="1463"/>
        <v>379.24</v>
      </c>
      <c r="Z426" s="381"/>
      <c r="AA426" s="378" t="s">
        <v>28044</v>
      </c>
      <c r="AB426" s="642"/>
    </row>
    <row r="427" spans="2:28" s="55" customFormat="1" ht="31" thickBot="1">
      <c r="B427" s="378">
        <f t="shared" ca="1" si="1392"/>
        <v>3</v>
      </c>
      <c r="C427" s="378" t="str">
        <f t="shared" si="1105"/>
        <v>S</v>
      </c>
      <c r="D427" s="378">
        <f t="shared" ca="1" si="1195"/>
        <v>15</v>
      </c>
      <c r="E427" s="378">
        <f t="shared" ca="1" si="1393"/>
        <v>8</v>
      </c>
      <c r="F427" s="378" t="str">
        <f t="shared" ca="1" si="1394"/>
        <v>0</v>
      </c>
      <c r="G427" s="378" t="str">
        <f t="shared" ca="1" si="1395"/>
        <v>0</v>
      </c>
      <c r="H427" s="378" t="str">
        <f t="shared" ca="1" si="1396"/>
        <v>0</v>
      </c>
      <c r="I427" s="378" t="str">
        <f t="shared" ca="1" si="1397"/>
        <v>0</v>
      </c>
      <c r="J427" s="378">
        <f t="shared" ca="1" si="1196"/>
        <v>26</v>
      </c>
      <c r="K427" s="378" t="str">
        <f t="shared" si="1398"/>
        <v>NÃO</v>
      </c>
      <c r="L427" s="378" t="str">
        <f t="shared" ca="1" si="1399"/>
        <v>15.8.26</v>
      </c>
      <c r="M427" s="55" t="s">
        <v>27868</v>
      </c>
      <c r="O427" s="392" t="str">
        <f t="shared" ca="1" si="1400"/>
        <v>15.8.26</v>
      </c>
      <c r="P427" s="687" t="s">
        <v>29901</v>
      </c>
      <c r="Q427" s="684" t="s">
        <v>15215</v>
      </c>
      <c r="R427" s="415" t="str">
        <f>UPPER(IF(P427="CDHU",VLOOKUP(Q427,'CDHU 201-SD'!$A$1:$J$28014,2,FALSE),IF(P427="FDE",VLOOKUP(Q427,'FDE 01-26-SD'!$A$1:$J$280013,2,FALSE),IF(P427="PRÓPRIA",VLOOKUP(Q427,COMPOSIÇÃO!$1:$1048576,3,FALSE),VLOOKUP(Q427,'SINAPI 04-26-SD'!$A$1:$H$272700,2,FALSE)))))</f>
        <v>CAIXA DE PASSAGEM EM CHAPA, COM TAMPA PARAFUSADA, 400 X 400 X 150 MM</v>
      </c>
      <c r="S427" s="414" t="str">
        <f>UPPER(IF(P427="CDHU",VLOOKUP(Q427,'CDHU 201-SD'!$A$1:$J$28014,3,FALSE),IF(P427="FDE",VLOOKUP(Q427,'FDE 01-26-SD'!$A$1:$J$280013,3,FALSE),IF(P427="PRÓPRIA",VLOOKUP(Q427,COMPOSIÇÃO!$1:$1048576,7,FALSE),VLOOKUP(Q427,'SINAPI 04-26-SD'!$A$1:$H$272700,3,FALSE)))))</f>
        <v>UN</v>
      </c>
      <c r="T427" s="393">
        <v>1</v>
      </c>
      <c r="U427" s="394">
        <f>TRUNC(IF(P427="CDHU",VLOOKUP(Q427,'CDHU 201-SD'!$A$1:$J$28014,6,FALSE),IF(P427="FDE",VLOOKUP(Q427,'FDE 01-26-SD'!$A$1:$J$280013,6,FALSE),IF(P427="PRÓPRIA",VLOOKUP(Q427,COMPOSIÇÃO!$1:$1048576,10,FALSE),VLOOKUP(Q427,'SINAPI 04-26-SD'!$A$1:$H$272700,4,FALSE)))),2)</f>
        <v>171.27</v>
      </c>
      <c r="V427" s="416">
        <f t="shared" si="1413"/>
        <v>171.27</v>
      </c>
      <c r="W427" s="395">
        <f>IF($AA427="N",BDI!$D$26,IF($AA427="D",'BDI DIFE.'!$D$26,"ERRO"))</f>
        <v>0.22500000000000001</v>
      </c>
      <c r="X427" s="379">
        <f t="shared" si="1414"/>
        <v>209.8</v>
      </c>
      <c r="Y427" s="380">
        <f t="shared" si="1415"/>
        <v>209.8</v>
      </c>
      <c r="Z427" s="381"/>
      <c r="AA427" s="378" t="s">
        <v>28044</v>
      </c>
      <c r="AB427" s="642"/>
    </row>
    <row r="428" spans="2:28" s="55" customFormat="1" ht="16" thickBot="1">
      <c r="B428" s="378" t="str">
        <f t="shared" ref="B428:B450" ca="1" si="1500">IF(C428="S",IF(OFFSET(C428,-1,0)="S", OFFSET(B428,-1,0), OFFSET(B428,-1,0) +1 ), C428)</f>
        <v/>
      </c>
      <c r="C428" s="378" t="str">
        <f>IF(RIGHT($M428) = "o", "S", RIGHT($M428))</f>
        <v/>
      </c>
      <c r="D428" s="378">
        <f t="shared" ca="1" si="1195"/>
        <v>15</v>
      </c>
      <c r="E428" s="378">
        <f t="shared" ref="E428:E450" ca="1" si="1501">IF($C428="2",OFFSET(E428,-1,0) +1,IF(OFFSET(D428,-1,0)&lt;&gt;D428,"0",IF(OFFSET(E428,-1,0)="","0",OFFSET(E428,-1,0))))</f>
        <v>8</v>
      </c>
      <c r="F428" s="378" t="str">
        <f t="shared" ref="F428:F450" ca="1" si="1502">IF($C428="3",OFFSET(F428,-1,0) +1,IF(OFFSET(E428,-1,0)&lt;&gt;E428,"0",IF(OFFSET(F428,-1,0)="","0",OFFSET(F428,-1,0))))</f>
        <v>0</v>
      </c>
      <c r="G428" s="378" t="str">
        <f t="shared" ref="G428:G450" ca="1" si="1503">IF($C428="4",OFFSET(G428,-1,0) +1,IF(OFFSET(F428,-1,0)&lt;&gt;F428,"0",IF(OFFSET(G428,-1,0)="","0",OFFSET(G428,-1,0))))</f>
        <v>0</v>
      </c>
      <c r="H428" s="378" t="str">
        <f t="shared" ref="H428:H450" ca="1" si="1504">IF($C428="5",OFFSET(H428,-1,0) +1,IF(OFFSET(G428,-1,0)&lt;&gt;G428,"0",IF(OFFSET(H428,-1,0)="","0",OFFSET(H428,-1,0))))</f>
        <v>0</v>
      </c>
      <c r="I428" s="378" t="str">
        <f t="shared" ref="I428:I450" ca="1" si="1505">IF($C428="6",OFFSET(I428,-1,0) +1,IF(OFFSET(H428,-1,0)&lt;&gt;H428,"0",IF(OFFSET(I428,-1,0)="","0", OFFSET(I428,-1,0))))</f>
        <v>0</v>
      </c>
      <c r="J428" s="378" t="str">
        <f t="shared" ca="1" si="1196"/>
        <v>0</v>
      </c>
      <c r="K428" s="378" t="b">
        <f t="shared" ref="K428:K450" si="1506">IF(C428="S","NÃO", IF(C428="1", D428, IF(C428="2", D428 &amp; "." &amp; E428,IF(C428="3", D428 &amp; "." &amp; E428 &amp; "." &amp; F428, IF(C428="4", D428 &amp; "." &amp; E428 &amp; "." &amp; F428 &amp; "." &amp; G428, IF(C428="5", D428 &amp; "." &amp; E428 &amp; "." &amp; F428 &amp; "." &amp; G428 &amp; "." &amp; H428, IF(C428="6", D428 &amp; "." &amp; E428 &amp; "." &amp; F428 &amp; "." &amp; G428 &amp; "." &amp; H428 &amp; "." &amp; I428)))))))</f>
        <v>0</v>
      </c>
      <c r="L428" s="378" t="b">
        <f t="shared" ref="L428:L450" si="1507">IF(K428="NÃO",IF($B428=2,D428&amp;"."&amp;J428,IF($B428=3,D428&amp;"."&amp;E428&amp;"."&amp;J428,IF($B428=4,D428&amp;"."&amp;E428&amp;"."&amp;F428&amp;"."&amp;J428,IF($B428=5,D428&amp;"."&amp;E428&amp;"."&amp;F428&amp;"."&amp;G428&amp;"."&amp;J428,IF($B428=6,D428&amp;"."&amp;E428&amp;"."&amp;F428&amp;"."&amp;G428&amp;"."&amp;H428&amp;"."&amp;J428,IF($B428=7,D428&amp;"."&amp;E428&amp;"."&amp;F428&amp;"."&amp;G428&amp;"."&amp;H428&amp;"."&amp;I428&amp;"."&amp;J428,"FALHA")))))),K428)</f>
        <v>0</v>
      </c>
      <c r="O428" s="192"/>
      <c r="P428" s="387"/>
      <c r="Q428" s="387"/>
      <c r="R428" s="377"/>
      <c r="S428" s="387"/>
      <c r="T428" s="363"/>
      <c r="U428" s="388"/>
      <c r="V428" s="389"/>
      <c r="W428" s="389"/>
      <c r="X428" s="389"/>
      <c r="Y428" s="390"/>
      <c r="AA428" s="378"/>
      <c r="AB428" s="642"/>
    </row>
    <row r="429" spans="2:28" s="75" customFormat="1" ht="16" thickBot="1">
      <c r="B429" s="75" t="str">
        <f t="shared" ca="1" si="1500"/>
        <v>1</v>
      </c>
      <c r="C429" s="75" t="str">
        <f t="shared" si="1105"/>
        <v>1</v>
      </c>
      <c r="D429" s="75">
        <f t="shared" ca="1" si="1195"/>
        <v>16</v>
      </c>
      <c r="E429" s="75" t="str">
        <f t="shared" ca="1" si="1501"/>
        <v>0</v>
      </c>
      <c r="F429" s="75" t="str">
        <f t="shared" ca="1" si="1502"/>
        <v>0</v>
      </c>
      <c r="G429" s="75" t="str">
        <f t="shared" ca="1" si="1503"/>
        <v>0</v>
      </c>
      <c r="H429" s="75" t="str">
        <f t="shared" ca="1" si="1504"/>
        <v>0</v>
      </c>
      <c r="I429" s="75" t="str">
        <f t="shared" ca="1" si="1505"/>
        <v>0</v>
      </c>
      <c r="J429" s="75" t="str">
        <f t="shared" ca="1" si="1196"/>
        <v>0</v>
      </c>
      <c r="K429" s="75">
        <f t="shared" ca="1" si="1506"/>
        <v>16</v>
      </c>
      <c r="L429" s="75">
        <f t="shared" ca="1" si="1507"/>
        <v>16</v>
      </c>
      <c r="M429" s="55" t="s">
        <v>27859</v>
      </c>
      <c r="O429" s="191">
        <f t="shared" ref="O429:O450" ca="1" si="1508">L429</f>
        <v>16</v>
      </c>
      <c r="P429" s="172"/>
      <c r="Q429" s="172"/>
      <c r="R429" s="683" t="s">
        <v>42026</v>
      </c>
      <c r="S429" s="172"/>
      <c r="T429" s="194"/>
      <c r="U429" s="195"/>
      <c r="V429" s="196">
        <f ca="1">IF(VALUE(C429)=1,SUMIFS(V:V,D:D,D429,M:M,"Serviço"),IF(VALUE(C429)=2,SUMIFS(V:V,D:D,D429,E:E,E429,M:M,"Serviço"),IF(VALUE(C429)=3,SUMIFS(V:V,D:D,D429,E:E,E429,F:F,F429,M:M,"Serviço"),IF(VALUE(C429)=4,SUMIFS(V:V,D:D,D429,E:E,E429,F:F,F429,G:G,G429,M:M,"Serviço"),"ERRO"))))</f>
        <v>54451.349999999991</v>
      </c>
      <c r="W429" s="197"/>
      <c r="X429" s="205"/>
      <c r="Y429" s="173">
        <f ca="1">IF(VALUE(C429)=1,SUMIFS(Y:Y,D:D,D429,M:M,"Serviço"),IF(VALUE(C429)=2,SUMIFS(Y:Y,D:D,D429,E:E,E429,M:M,"Serviço"),IF(VALUE(C429)=3,SUMIFS(Y:Y,D:D,D429,E:E,E429,F:F,F429,M:M,"Serviço"),IF(VALUE(C429)=4,SUMIFS(Y:Y,D:D,D429,E:E,E429,F:F,F429,G:G,G429,M:M,"Serviço"),"ERRO"))))</f>
        <v>66701.850000000006</v>
      </c>
      <c r="AB429" s="641"/>
    </row>
    <row r="430" spans="2:28" s="55" customFormat="1">
      <c r="B430" s="378">
        <f t="shared" ref="B430:B435" ca="1" si="1509">IF(C430="S",IF(OFFSET(C430,-1,0)="S", OFFSET(B430,-1,0), OFFSET(B430,-1,0) +1 ), C430)</f>
        <v>2</v>
      </c>
      <c r="C430" s="378" t="str">
        <f t="shared" ref="C430:C435" si="1510">IF(RIGHT($M430) = "o", "S", RIGHT($M430))</f>
        <v>S</v>
      </c>
      <c r="D430" s="378">
        <f t="shared" ref="D430:D435" ca="1" si="1511">IF($C430="1",OFFSET(D430,-2,0) +1,OFFSET(D430,-1,0))</f>
        <v>16</v>
      </c>
      <c r="E430" s="378" t="str">
        <f t="shared" ref="E430:E435" ca="1" si="1512">IF($C430="2",OFFSET(E430,-1,0) +1,IF(OFFSET(D430,-1,0)&lt;&gt;D430,"0",IF(OFFSET(E430,-1,0)="","0",OFFSET(E430,-1,0))))</f>
        <v>0</v>
      </c>
      <c r="F430" s="378" t="str">
        <f t="shared" ref="F430:F435" ca="1" si="1513">IF($C430="3",OFFSET(F430,-1,0) +1,IF(OFFSET(E430,-1,0)&lt;&gt;E430,"0",IF(OFFSET(F430,-1,0)="","0",OFFSET(F430,-1,0))))</f>
        <v>0</v>
      </c>
      <c r="G430" s="378" t="str">
        <f t="shared" ref="G430:G435" ca="1" si="1514">IF($C430="4",OFFSET(G430,-1,0) +1,IF(OFFSET(F430,-1,0)&lt;&gt;F430,"0",IF(OFFSET(G430,-1,0)="","0",OFFSET(G430,-1,0))))</f>
        <v>0</v>
      </c>
      <c r="H430" s="378" t="str">
        <f t="shared" ref="H430:H435" ca="1" si="1515">IF($C430="5",OFFSET(H430,-1,0) +1,IF(OFFSET(G430,-1,0)&lt;&gt;G430,"0",IF(OFFSET(H430,-1,0)="","0",OFFSET(H430,-1,0))))</f>
        <v>0</v>
      </c>
      <c r="I430" s="378" t="str">
        <f t="shared" ref="I430:I435" ca="1" si="1516">IF($C430="6",OFFSET(I430,-1,0) +1,IF(OFFSET(H430,-1,0)&lt;&gt;H430,"0",IF(OFFSET(I430,-1,0)="","0", OFFSET(I430,-1,0))))</f>
        <v>0</v>
      </c>
      <c r="J430" s="378">
        <f t="shared" ref="J430:J435" ca="1" si="1517">IF($C430="S",OFFSET(J430,-1,0)+1,"0")</f>
        <v>1</v>
      </c>
      <c r="K430" s="378" t="str">
        <f t="shared" ref="K430:K435" si="1518">IF(C430="S","NÃO", IF(C430="1", D430, IF(C430="2", D430 &amp; "." &amp; E430,IF(C430="3", D430 &amp; "." &amp; E430 &amp; "." &amp; F430, IF(C430="4", D430 &amp; "." &amp; E430 &amp; "." &amp; F430 &amp; "." &amp; G430, IF(C430="5", D430 &amp; "." &amp; E430 &amp; "." &amp; F430 &amp; "." &amp; G430 &amp; "." &amp; H430, IF(C430="6", D430 &amp; "." &amp; E430 &amp; "." &amp; F430 &amp; "." &amp; G430 &amp; "." &amp; H430 &amp; "." &amp; I430)))))))</f>
        <v>NÃO</v>
      </c>
      <c r="L430" s="378" t="str">
        <f t="shared" ref="L430:L435" ca="1" si="1519">IF(K430="NÃO",IF($B430=2,D430&amp;"."&amp;J430,IF($B430=3,D430&amp;"."&amp;E430&amp;"."&amp;J430,IF($B430=4,D430&amp;"."&amp;E430&amp;"."&amp;F430&amp;"."&amp;J430,IF($B430=5,D430&amp;"."&amp;E430&amp;"."&amp;F430&amp;"."&amp;G430&amp;"."&amp;J430,IF($B430=6,D430&amp;"."&amp;E430&amp;"."&amp;F430&amp;"."&amp;G430&amp;"."&amp;H430&amp;"."&amp;J430,IF($B430=7,D430&amp;"."&amp;E430&amp;"."&amp;F430&amp;"."&amp;G430&amp;"."&amp;H430&amp;"."&amp;I430&amp;"."&amp;J430,"FALHA")))))),K430)</f>
        <v>16.1</v>
      </c>
      <c r="M430" s="55" t="s">
        <v>27868</v>
      </c>
      <c r="O430" s="392" t="str">
        <f t="shared" ref="O430:O435" ca="1" si="1520">L430</f>
        <v>16.1</v>
      </c>
      <c r="P430" s="681" t="s">
        <v>29901</v>
      </c>
      <c r="Q430" s="682" t="s">
        <v>17559</v>
      </c>
      <c r="R430" s="415" t="str">
        <f>UPPER(IF(P430="CDHU",VLOOKUP(Q430,'CDHU 201-SD'!$A$1:$J$28014,2,FALSE),IF(P430="FDE",VLOOKUP(Q430,'FDE 01-26-SD'!$A$1:$J$280013,2,FALSE),IF(P430="PRÓPRIA",VLOOKUP(Q430,COMPOSIÇÃO!$1:$1048576,3,FALSE),VLOOKUP(Q430,'SINAPI 04-26-SD'!$A$1:$H$272700,2,FALSE)))))</f>
        <v>ACIONADOR MANUAL TIPO QUEBRA VIDRO, EM CAIXA PLÁSTICA</v>
      </c>
      <c r="S430" s="414" t="str">
        <f>UPPER(IF(P430="CDHU",VLOOKUP(Q430,'CDHU 201-SD'!$A$1:$J$28014,3,FALSE),IF(P430="FDE",VLOOKUP(Q430,'FDE 01-26-SD'!$A$1:$J$280013,3,FALSE),IF(P430="PRÓPRIA",VLOOKUP(Q430,COMPOSIÇÃO!$1:$1048576,7,FALSE),VLOOKUP(Q430,'SINAPI 04-26-SD'!$A$1:$H$272700,3,FALSE)))))</f>
        <v>UN</v>
      </c>
      <c r="T430" s="393">
        <v>3</v>
      </c>
      <c r="U430" s="394">
        <f>TRUNC(IF(P430="CDHU",VLOOKUP(Q430,'CDHU 201-SD'!$A$1:$J$28014,6,FALSE),IF(P430="FDE",VLOOKUP(Q430,'FDE 01-26-SD'!$A$1:$J$280013,6,FALSE),IF(P430="PRÓPRIA",VLOOKUP(Q430,COMPOSIÇÃO!$1:$1048576,10,FALSE),VLOOKUP(Q430,'SINAPI 04-26-SD'!$A$1:$H$272700,4,FALSE)))),2)</f>
        <v>96.53</v>
      </c>
      <c r="V430" s="416">
        <f t="shared" ref="V430:V435" si="1521">TRUNC(U430*T430,2)</f>
        <v>289.58999999999997</v>
      </c>
      <c r="W430" s="395">
        <f>IF($AA430="N",BDI!$D$26,IF($AA430="D",'BDI DIFE.'!$D$26,"ERRO"))</f>
        <v>0.22500000000000001</v>
      </c>
      <c r="X430" s="379">
        <f t="shared" ref="X430:X435" si="1522">TRUNC(U430*(1+W430),2)</f>
        <v>118.24</v>
      </c>
      <c r="Y430" s="380">
        <f t="shared" ref="Y430:Y435" si="1523">TRUNC(T430*X430,2)</f>
        <v>354.72</v>
      </c>
      <c r="Z430" s="381"/>
      <c r="AA430" s="378" t="s">
        <v>28044</v>
      </c>
      <c r="AB430" s="642"/>
    </row>
    <row r="431" spans="2:28" s="55" customFormat="1">
      <c r="B431" s="378">
        <f t="shared" ca="1" si="1509"/>
        <v>2</v>
      </c>
      <c r="C431" s="378" t="str">
        <f t="shared" si="1510"/>
        <v>S</v>
      </c>
      <c r="D431" s="378">
        <f t="shared" ca="1" si="1511"/>
        <v>16</v>
      </c>
      <c r="E431" s="378" t="str">
        <f t="shared" ca="1" si="1512"/>
        <v>0</v>
      </c>
      <c r="F431" s="378" t="str">
        <f t="shared" ca="1" si="1513"/>
        <v>0</v>
      </c>
      <c r="G431" s="378" t="str">
        <f t="shared" ca="1" si="1514"/>
        <v>0</v>
      </c>
      <c r="H431" s="378" t="str">
        <f t="shared" ca="1" si="1515"/>
        <v>0</v>
      </c>
      <c r="I431" s="378" t="str">
        <f t="shared" ca="1" si="1516"/>
        <v>0</v>
      </c>
      <c r="J431" s="378">
        <f t="shared" ca="1" si="1517"/>
        <v>2</v>
      </c>
      <c r="K431" s="378" t="str">
        <f t="shared" si="1518"/>
        <v>NÃO</v>
      </c>
      <c r="L431" s="378" t="str">
        <f t="shared" ca="1" si="1519"/>
        <v>16.2</v>
      </c>
      <c r="M431" s="55" t="s">
        <v>27868</v>
      </c>
      <c r="O431" s="392" t="str">
        <f t="shared" ca="1" si="1520"/>
        <v>16.2</v>
      </c>
      <c r="P431" s="681" t="s">
        <v>41261</v>
      </c>
      <c r="Q431" s="682" t="s">
        <v>21250</v>
      </c>
      <c r="R431" s="415" t="str">
        <f>UPPER(IF(P431="CDHU",VLOOKUP(Q431,'CDHU 201-SD'!$A$1:$J$28014,2,FALSE),IF(P431="FDE",VLOOKUP(Q431,'FDE 01-26-SD'!$A$1:$J$280013,2,FALSE),IF(P431="PRÓPRIA",VLOOKUP(Q431,COMPOSIÇÃO!$1:$1048576,3,FALSE),VLOOKUP(Q431,'SINAPI 04-26-SD'!$A$1:$H$272700,2,FALSE)))))</f>
        <v>IL-83 ILUMINAÇÃO AUTONOMA DE EMERGÊNCIA - LED</v>
      </c>
      <c r="S431" s="414" t="str">
        <f>UPPER(IF(P431="CDHU",VLOOKUP(Q431,'CDHU 201-SD'!$A$1:$J$28014,3,FALSE),IF(P431="FDE",VLOOKUP(Q431,'FDE 01-26-SD'!$A$1:$J$280013,3,FALSE),IF(P431="PRÓPRIA",VLOOKUP(Q431,COMPOSIÇÃO!$1:$1048576,7,FALSE),VLOOKUP(Q431,'SINAPI 04-26-SD'!$A$1:$H$272700,3,FALSE)))))</f>
        <v>UN</v>
      </c>
      <c r="T431" s="393">
        <v>5</v>
      </c>
      <c r="U431" s="394">
        <f>TRUNC(IF(P431="CDHU",VLOOKUP(Q431,'CDHU 201-SD'!$A$1:$J$28014,6,FALSE),IF(P431="FDE",VLOOKUP(Q431,'FDE 01-26-SD'!$A$1:$J$280013,6,FALSE),IF(P431="PRÓPRIA",VLOOKUP(Q431,COMPOSIÇÃO!$1:$1048576,10,FALSE),VLOOKUP(Q431,'SINAPI 04-26-SD'!$A$1:$H$272700,4,FALSE)))),2)</f>
        <v>63.79</v>
      </c>
      <c r="V431" s="416">
        <f t="shared" si="1521"/>
        <v>318.95</v>
      </c>
      <c r="W431" s="395">
        <f>IF($AA431="N",BDI!$D$26,IF($AA431="D",'BDI DIFE.'!$D$26,"ERRO"))</f>
        <v>0.22500000000000001</v>
      </c>
      <c r="X431" s="379">
        <f t="shared" si="1522"/>
        <v>78.14</v>
      </c>
      <c r="Y431" s="380">
        <f t="shared" si="1523"/>
        <v>390.7</v>
      </c>
      <c r="Z431" s="381"/>
      <c r="AA431" s="378" t="s">
        <v>28044</v>
      </c>
      <c r="AB431" s="642"/>
    </row>
    <row r="432" spans="2:28" s="55" customFormat="1">
      <c r="B432" s="378">
        <f t="shared" ca="1" si="1509"/>
        <v>2</v>
      </c>
      <c r="C432" s="378" t="str">
        <f t="shared" si="1510"/>
        <v>S</v>
      </c>
      <c r="D432" s="378">
        <f t="shared" ca="1" si="1511"/>
        <v>16</v>
      </c>
      <c r="E432" s="378" t="str">
        <f t="shared" ca="1" si="1512"/>
        <v>0</v>
      </c>
      <c r="F432" s="378" t="str">
        <f t="shared" ca="1" si="1513"/>
        <v>0</v>
      </c>
      <c r="G432" s="378" t="str">
        <f t="shared" ca="1" si="1514"/>
        <v>0</v>
      </c>
      <c r="H432" s="378" t="str">
        <f t="shared" ca="1" si="1515"/>
        <v>0</v>
      </c>
      <c r="I432" s="378" t="str">
        <f t="shared" ca="1" si="1516"/>
        <v>0</v>
      </c>
      <c r="J432" s="378">
        <f t="shared" ca="1" si="1517"/>
        <v>3</v>
      </c>
      <c r="K432" s="378" t="str">
        <f t="shared" si="1518"/>
        <v>NÃO</v>
      </c>
      <c r="L432" s="378" t="str">
        <f t="shared" ca="1" si="1519"/>
        <v>16.3</v>
      </c>
      <c r="M432" s="55" t="s">
        <v>27868</v>
      </c>
      <c r="O432" s="392" t="str">
        <f t="shared" ca="1" si="1520"/>
        <v>16.3</v>
      </c>
      <c r="P432" s="681" t="s">
        <v>29901</v>
      </c>
      <c r="Q432" s="682" t="s">
        <v>17565</v>
      </c>
      <c r="R432" s="415" t="str">
        <f>UPPER(IF(P432="CDHU",VLOOKUP(Q432,'CDHU 201-SD'!$A$1:$J$28014,2,FALSE),IF(P432="FDE",VLOOKUP(Q432,'FDE 01-26-SD'!$A$1:$J$280013,2,FALSE),IF(P432="PRÓPRIA",VLOOKUP(Q432,COMPOSIÇÃO!$1:$1048576,3,FALSE),VLOOKUP(Q432,'SINAPI 04-26-SD'!$A$1:$H$272700,2,FALSE)))))</f>
        <v>SIRENE AUDIOVISUAL TIPO ENDEREÇÁVEL</v>
      </c>
      <c r="S432" s="414" t="str">
        <f>UPPER(IF(P432="CDHU",VLOOKUP(Q432,'CDHU 201-SD'!$A$1:$J$28014,3,FALSE),IF(P432="FDE",VLOOKUP(Q432,'FDE 01-26-SD'!$A$1:$J$280013,3,FALSE),IF(P432="PRÓPRIA",VLOOKUP(Q432,COMPOSIÇÃO!$1:$1048576,7,FALSE),VLOOKUP(Q432,'SINAPI 04-26-SD'!$A$1:$H$272700,3,FALSE)))))</f>
        <v>UN</v>
      </c>
      <c r="T432" s="393">
        <v>3</v>
      </c>
      <c r="U432" s="394">
        <f>TRUNC(IF(P432="CDHU",VLOOKUP(Q432,'CDHU 201-SD'!$A$1:$J$28014,6,FALSE),IF(P432="FDE",VLOOKUP(Q432,'FDE 01-26-SD'!$A$1:$J$280013,6,FALSE),IF(P432="PRÓPRIA",VLOOKUP(Q432,COMPOSIÇÃO!$1:$1048576,10,FALSE),VLOOKUP(Q432,'SINAPI 04-26-SD'!$A$1:$H$272700,4,FALSE)))),2)</f>
        <v>342.08</v>
      </c>
      <c r="V432" s="416">
        <f t="shared" si="1521"/>
        <v>1026.24</v>
      </c>
      <c r="W432" s="395">
        <f>IF($AA432="N",BDI!$D$26,IF($AA432="D",'BDI DIFE.'!$D$26,"ERRO"))</f>
        <v>0.22500000000000001</v>
      </c>
      <c r="X432" s="379">
        <f t="shared" si="1522"/>
        <v>419.04</v>
      </c>
      <c r="Y432" s="380">
        <f t="shared" si="1523"/>
        <v>1257.1199999999999</v>
      </c>
      <c r="Z432" s="381"/>
      <c r="AA432" s="378" t="s">
        <v>28044</v>
      </c>
      <c r="AB432" s="642"/>
    </row>
    <row r="433" spans="2:28" s="55" customFormat="1" ht="45">
      <c r="B433" s="378">
        <f t="shared" ca="1" si="1509"/>
        <v>2</v>
      </c>
      <c r="C433" s="378" t="str">
        <f t="shared" si="1510"/>
        <v>S</v>
      </c>
      <c r="D433" s="378">
        <f t="shared" ca="1" si="1511"/>
        <v>16</v>
      </c>
      <c r="E433" s="378" t="str">
        <f t="shared" ca="1" si="1512"/>
        <v>0</v>
      </c>
      <c r="F433" s="378" t="str">
        <f t="shared" ca="1" si="1513"/>
        <v>0</v>
      </c>
      <c r="G433" s="378" t="str">
        <f t="shared" ca="1" si="1514"/>
        <v>0</v>
      </c>
      <c r="H433" s="378" t="str">
        <f t="shared" ca="1" si="1515"/>
        <v>0</v>
      </c>
      <c r="I433" s="378" t="str">
        <f t="shared" ca="1" si="1516"/>
        <v>0</v>
      </c>
      <c r="J433" s="378">
        <f t="shared" ca="1" si="1517"/>
        <v>4</v>
      </c>
      <c r="K433" s="378" t="str">
        <f t="shared" si="1518"/>
        <v>NÃO</v>
      </c>
      <c r="L433" s="378" t="str">
        <f t="shared" ca="1" si="1519"/>
        <v>16.4</v>
      </c>
      <c r="M433" s="55" t="s">
        <v>27868</v>
      </c>
      <c r="O433" s="392" t="str">
        <f t="shared" ca="1" si="1520"/>
        <v>16.4</v>
      </c>
      <c r="P433" s="681" t="s">
        <v>29901</v>
      </c>
      <c r="Q433" s="682" t="s">
        <v>18421</v>
      </c>
      <c r="R433" s="415" t="str">
        <f>UPPER(IF(P433="CDHU",VLOOKUP(Q433,'CDHU 201-SD'!$A$1:$J$28014,2,FALSE),IF(P433="FDE",VLOOKUP(Q433,'FDE 01-26-SD'!$A$1:$J$280013,2,FALSE),IF(P433="PRÓPRIA",VLOOKUP(Q433,COMPOSIÇÃO!$1:$1048576,3,FALSE),VLOOKUP(Q433,'SINAPI 04-26-SD'!$A$1:$H$272700,2,FALSE)))))</f>
        <v>PLACA DE SINALIZAÇÃO EM PVC FOTOLUMINESCENTE (150X150MM), COM INDICAÇÃO DE EQUIPAMENTOS DE COMBATE À INCÊNDIO E ALARME</v>
      </c>
      <c r="S433" s="414" t="str">
        <f>UPPER(IF(P433="CDHU",VLOOKUP(Q433,'CDHU 201-SD'!$A$1:$J$28014,3,FALSE),IF(P433="FDE",VLOOKUP(Q433,'FDE 01-26-SD'!$A$1:$J$280013,3,FALSE),IF(P433="PRÓPRIA",VLOOKUP(Q433,COMPOSIÇÃO!$1:$1048576,7,FALSE),VLOOKUP(Q433,'SINAPI 04-26-SD'!$A$1:$H$272700,3,FALSE)))))</f>
        <v>UN</v>
      </c>
      <c r="T433" s="393">
        <v>15</v>
      </c>
      <c r="U433" s="394">
        <f>TRUNC(IF(P433="CDHU",VLOOKUP(Q433,'CDHU 201-SD'!$A$1:$J$28014,6,FALSE),IF(P433="FDE",VLOOKUP(Q433,'FDE 01-26-SD'!$A$1:$J$280013,6,FALSE),IF(P433="PRÓPRIA",VLOOKUP(Q433,COMPOSIÇÃO!$1:$1048576,10,FALSE),VLOOKUP(Q433,'SINAPI 04-26-SD'!$A$1:$H$272700,4,FALSE)))),2)</f>
        <v>18.54</v>
      </c>
      <c r="V433" s="416">
        <f t="shared" si="1521"/>
        <v>278.10000000000002</v>
      </c>
      <c r="W433" s="395">
        <f>IF($AA433="N",BDI!$D$26,IF($AA433="D",'BDI DIFE.'!$D$26,"ERRO"))</f>
        <v>0.22500000000000001</v>
      </c>
      <c r="X433" s="379">
        <f t="shared" si="1522"/>
        <v>22.71</v>
      </c>
      <c r="Y433" s="380">
        <f t="shared" si="1523"/>
        <v>340.65</v>
      </c>
      <c r="Z433" s="381"/>
      <c r="AA433" s="378" t="s">
        <v>28044</v>
      </c>
      <c r="AB433" s="642"/>
    </row>
    <row r="434" spans="2:28" s="55" customFormat="1" ht="45">
      <c r="B434" s="378">
        <f t="shared" ca="1" si="1509"/>
        <v>2</v>
      </c>
      <c r="C434" s="378" t="str">
        <f t="shared" si="1510"/>
        <v>S</v>
      </c>
      <c r="D434" s="378">
        <f t="shared" ca="1" si="1511"/>
        <v>16</v>
      </c>
      <c r="E434" s="378" t="str">
        <f t="shared" ca="1" si="1512"/>
        <v>0</v>
      </c>
      <c r="F434" s="378" t="str">
        <f t="shared" ca="1" si="1513"/>
        <v>0</v>
      </c>
      <c r="G434" s="378" t="str">
        <f t="shared" ca="1" si="1514"/>
        <v>0</v>
      </c>
      <c r="H434" s="378" t="str">
        <f t="shared" ca="1" si="1515"/>
        <v>0</v>
      </c>
      <c r="I434" s="378" t="str">
        <f t="shared" ca="1" si="1516"/>
        <v>0</v>
      </c>
      <c r="J434" s="378">
        <f t="shared" ca="1" si="1517"/>
        <v>5</v>
      </c>
      <c r="K434" s="378" t="str">
        <f t="shared" si="1518"/>
        <v>NÃO</v>
      </c>
      <c r="L434" s="378" t="str">
        <f t="shared" ca="1" si="1519"/>
        <v>16.5</v>
      </c>
      <c r="M434" s="55" t="s">
        <v>27868</v>
      </c>
      <c r="O434" s="392" t="str">
        <f t="shared" ca="1" si="1520"/>
        <v>16.5</v>
      </c>
      <c r="P434" s="681" t="s">
        <v>29901</v>
      </c>
      <c r="Q434" s="682" t="s">
        <v>18423</v>
      </c>
      <c r="R434" s="415" t="str">
        <f>UPPER(IF(P434="CDHU",VLOOKUP(Q434,'CDHU 201-SD'!$A$1:$J$28014,2,FALSE),IF(P434="FDE",VLOOKUP(Q434,'FDE 01-26-SD'!$A$1:$J$280013,2,FALSE),IF(P434="PRÓPRIA",VLOOKUP(Q434,COMPOSIÇÃO!$1:$1048576,3,FALSE),VLOOKUP(Q434,'SINAPI 04-26-SD'!$A$1:$H$272700,2,FALSE)))))</f>
        <v>PLACA DE SINALIZAÇÃO EM PVC FOTOLUMINESCENTE (240X120MM), COM INDICAÇÃO DE ROTA DE EVACUAÇÃO E SAÍDA DE EMERGÊNCIA</v>
      </c>
      <c r="S434" s="414" t="str">
        <f>UPPER(IF(P434="CDHU",VLOOKUP(Q434,'CDHU 201-SD'!$A$1:$J$28014,3,FALSE),IF(P434="FDE",VLOOKUP(Q434,'FDE 01-26-SD'!$A$1:$J$280013,3,FALSE),IF(P434="PRÓPRIA",VLOOKUP(Q434,COMPOSIÇÃO!$1:$1048576,7,FALSE),VLOOKUP(Q434,'SINAPI 04-26-SD'!$A$1:$H$272700,3,FALSE)))))</f>
        <v>UN</v>
      </c>
      <c r="T434" s="393">
        <v>4</v>
      </c>
      <c r="U434" s="394">
        <f>TRUNC(IF(P434="CDHU",VLOOKUP(Q434,'CDHU 201-SD'!$A$1:$J$28014,6,FALSE),IF(P434="FDE",VLOOKUP(Q434,'FDE 01-26-SD'!$A$1:$J$280013,6,FALSE),IF(P434="PRÓPRIA",VLOOKUP(Q434,COMPOSIÇÃO!$1:$1048576,10,FALSE),VLOOKUP(Q434,'SINAPI 04-26-SD'!$A$1:$H$272700,4,FALSE)))),2)</f>
        <v>26.1</v>
      </c>
      <c r="V434" s="416">
        <f t="shared" si="1521"/>
        <v>104.4</v>
      </c>
      <c r="W434" s="395">
        <f>IF($AA434="N",BDI!$D$26,IF($AA434="D",'BDI DIFE.'!$D$26,"ERRO"))</f>
        <v>0.22500000000000001</v>
      </c>
      <c r="X434" s="379">
        <f t="shared" si="1522"/>
        <v>31.97</v>
      </c>
      <c r="Y434" s="380">
        <f t="shared" si="1523"/>
        <v>127.88</v>
      </c>
      <c r="Z434" s="381"/>
      <c r="AA434" s="378" t="s">
        <v>28044</v>
      </c>
      <c r="AB434" s="642"/>
    </row>
    <row r="435" spans="2:28" s="55" customFormat="1">
      <c r="B435" s="378">
        <f t="shared" ca="1" si="1509"/>
        <v>2</v>
      </c>
      <c r="C435" s="378" t="str">
        <f t="shared" si="1510"/>
        <v>S</v>
      </c>
      <c r="D435" s="378">
        <f t="shared" ca="1" si="1511"/>
        <v>16</v>
      </c>
      <c r="E435" s="378" t="str">
        <f t="shared" ca="1" si="1512"/>
        <v>0</v>
      </c>
      <c r="F435" s="378" t="str">
        <f t="shared" ca="1" si="1513"/>
        <v>0</v>
      </c>
      <c r="G435" s="378" t="str">
        <f t="shared" ca="1" si="1514"/>
        <v>0</v>
      </c>
      <c r="H435" s="378" t="str">
        <f t="shared" ca="1" si="1515"/>
        <v>0</v>
      </c>
      <c r="I435" s="378" t="str">
        <f t="shared" ca="1" si="1516"/>
        <v>0</v>
      </c>
      <c r="J435" s="378">
        <f t="shared" ca="1" si="1517"/>
        <v>6</v>
      </c>
      <c r="K435" s="378" t="str">
        <f t="shared" si="1518"/>
        <v>NÃO</v>
      </c>
      <c r="L435" s="378" t="str">
        <f t="shared" ca="1" si="1519"/>
        <v>16.6</v>
      </c>
      <c r="M435" s="55" t="s">
        <v>27868</v>
      </c>
      <c r="O435" s="392" t="str">
        <f t="shared" ca="1" si="1520"/>
        <v>16.6</v>
      </c>
      <c r="P435" s="681" t="s">
        <v>29901</v>
      </c>
      <c r="Q435" s="682" t="s">
        <v>18415</v>
      </c>
      <c r="R435" s="415" t="str">
        <f>UPPER(IF(P435="CDHU",VLOOKUP(Q435,'CDHU 201-SD'!$A$1:$J$28014,2,FALSE),IF(P435="FDE",VLOOKUP(Q435,'FDE 01-26-SD'!$A$1:$J$280013,2,FALSE),IF(P435="PRÓPRIA",VLOOKUP(Q435,COMPOSIÇÃO!$1:$1048576,3,FALSE),VLOOKUP(Q435,'SINAPI 04-26-SD'!$A$1:$H$272700,2,FALSE)))))</f>
        <v>PLACA DE IDENTIFICAÇÃO EM PVC COM TEXTO EM VINIL</v>
      </c>
      <c r="S435" s="414" t="str">
        <f>UPPER(IF(P435="CDHU",VLOOKUP(Q435,'CDHU 201-SD'!$A$1:$J$28014,3,FALSE),IF(P435="FDE",VLOOKUP(Q435,'FDE 01-26-SD'!$A$1:$J$280013,3,FALSE),IF(P435="PRÓPRIA",VLOOKUP(Q435,COMPOSIÇÃO!$1:$1048576,7,FALSE),VLOOKUP(Q435,'SINAPI 04-26-SD'!$A$1:$H$272700,3,FALSE)))))</f>
        <v>M2</v>
      </c>
      <c r="T435" s="393">
        <v>1</v>
      </c>
      <c r="U435" s="394">
        <f>TRUNC(IF(P435="CDHU",VLOOKUP(Q435,'CDHU 201-SD'!$A$1:$J$28014,6,FALSE),IF(P435="FDE",VLOOKUP(Q435,'FDE 01-26-SD'!$A$1:$J$280013,6,FALSE),IF(P435="PRÓPRIA",VLOOKUP(Q435,COMPOSIÇÃO!$1:$1048576,10,FALSE),VLOOKUP(Q435,'SINAPI 04-26-SD'!$A$1:$H$272700,4,FALSE)))),2)</f>
        <v>400.73</v>
      </c>
      <c r="V435" s="416">
        <f t="shared" si="1521"/>
        <v>400.73</v>
      </c>
      <c r="W435" s="395">
        <f>IF($AA435="N",BDI!$D$26,IF($AA435="D",'BDI DIFE.'!$D$26,"ERRO"))</f>
        <v>0.22500000000000001</v>
      </c>
      <c r="X435" s="379">
        <f t="shared" si="1522"/>
        <v>490.89</v>
      </c>
      <c r="Y435" s="380">
        <f t="shared" si="1523"/>
        <v>490.89</v>
      </c>
      <c r="Z435" s="381"/>
      <c r="AA435" s="378" t="s">
        <v>28044</v>
      </c>
      <c r="AB435" s="642"/>
    </row>
    <row r="436" spans="2:28" s="55" customFormat="1" ht="30">
      <c r="B436" s="378">
        <f t="shared" ca="1" si="1500"/>
        <v>2</v>
      </c>
      <c r="C436" s="378" t="str">
        <f t="shared" si="1105"/>
        <v>S</v>
      </c>
      <c r="D436" s="378">
        <f t="shared" ca="1" si="1195"/>
        <v>16</v>
      </c>
      <c r="E436" s="378" t="str">
        <f t="shared" ca="1" si="1501"/>
        <v>0</v>
      </c>
      <c r="F436" s="378" t="str">
        <f t="shared" ca="1" si="1502"/>
        <v>0</v>
      </c>
      <c r="G436" s="378" t="str">
        <f t="shared" ca="1" si="1503"/>
        <v>0</v>
      </c>
      <c r="H436" s="378" t="str">
        <f t="shared" ca="1" si="1504"/>
        <v>0</v>
      </c>
      <c r="I436" s="378" t="str">
        <f t="shared" ca="1" si="1505"/>
        <v>0</v>
      </c>
      <c r="J436" s="378">
        <f t="shared" ca="1" si="1196"/>
        <v>7</v>
      </c>
      <c r="K436" s="378" t="str">
        <f t="shared" si="1506"/>
        <v>NÃO</v>
      </c>
      <c r="L436" s="378" t="str">
        <f t="shared" ca="1" si="1507"/>
        <v>16.7</v>
      </c>
      <c r="M436" s="55" t="s">
        <v>27868</v>
      </c>
      <c r="O436" s="392" t="str">
        <f t="shared" ca="1" si="1508"/>
        <v>16.7</v>
      </c>
      <c r="P436" s="681" t="s">
        <v>29901</v>
      </c>
      <c r="Q436" s="682" t="s">
        <v>17608</v>
      </c>
      <c r="R436" s="415" t="str">
        <f>UPPER(IF(P436="CDHU",VLOOKUP(Q436,'CDHU 201-SD'!$A$1:$J$28014,2,FALSE),IF(P436="FDE",VLOOKUP(Q436,'FDE 01-26-SD'!$A$1:$J$280013,2,FALSE),IF(P436="PRÓPRIA",VLOOKUP(Q436,COMPOSIÇÃO!$1:$1048576,3,FALSE),VLOOKUP(Q436,'SINAPI 04-26-SD'!$A$1:$H$272700,2,FALSE)))))</f>
        <v>EXTINTOR MANUAL DE PÓ QUÍMICO SECO ABC - CAPACIDADE DE 6 KG</v>
      </c>
      <c r="S436" s="414" t="str">
        <f>UPPER(IF(P436="CDHU",VLOOKUP(Q436,'CDHU 201-SD'!$A$1:$J$28014,3,FALSE),IF(P436="FDE",VLOOKUP(Q436,'FDE 01-26-SD'!$A$1:$J$280013,3,FALSE),IF(P436="PRÓPRIA",VLOOKUP(Q436,COMPOSIÇÃO!$1:$1048576,7,FALSE),VLOOKUP(Q436,'SINAPI 04-26-SD'!$A$1:$H$272700,3,FALSE)))))</f>
        <v>UN</v>
      </c>
      <c r="T436" s="393">
        <v>5</v>
      </c>
      <c r="U436" s="394">
        <f>TRUNC(IF(P436="CDHU",VLOOKUP(Q436,'CDHU 201-SD'!$A$1:$J$28014,6,FALSE),IF(P436="FDE",VLOOKUP(Q436,'FDE 01-26-SD'!$A$1:$J$280013,6,FALSE),IF(P436="PRÓPRIA",VLOOKUP(Q436,COMPOSIÇÃO!$1:$1048576,10,FALSE),VLOOKUP(Q436,'SINAPI 04-26-SD'!$A$1:$H$272700,4,FALSE)))),2)</f>
        <v>248.43</v>
      </c>
      <c r="V436" s="416">
        <f t="shared" ref="V436:V450" si="1524">TRUNC(U436*T436,2)</f>
        <v>1242.1500000000001</v>
      </c>
      <c r="W436" s="395">
        <f>IF($AA436="N",BDI!$D$26,IF($AA436="D",'BDI DIFE.'!$D$26,"ERRO"))</f>
        <v>0.22500000000000001</v>
      </c>
      <c r="X436" s="379">
        <f t="shared" ref="X436:X450" si="1525">TRUNC(U436*(1+W436),2)</f>
        <v>304.32</v>
      </c>
      <c r="Y436" s="380">
        <f t="shared" ref="Y436:Y450" si="1526">TRUNC(T436*X436,2)</f>
        <v>1521.6</v>
      </c>
      <c r="Z436" s="381"/>
      <c r="AA436" s="378" t="s">
        <v>28044</v>
      </c>
      <c r="AB436" s="642"/>
    </row>
    <row r="437" spans="2:28" s="55" customFormat="1" ht="30">
      <c r="B437" s="378">
        <f t="shared" ref="B437" ca="1" si="1527">IF(C437="S",IF(OFFSET(C437,-1,0)="S", OFFSET(B437,-1,0), OFFSET(B437,-1,0) +1 ), C437)</f>
        <v>2</v>
      </c>
      <c r="C437" s="378" t="str">
        <f t="shared" si="1105"/>
        <v>S</v>
      </c>
      <c r="D437" s="378">
        <f t="shared" ca="1" si="1195"/>
        <v>16</v>
      </c>
      <c r="E437" s="378" t="str">
        <f t="shared" ref="E437" ca="1" si="1528">IF($C437="2",OFFSET(E437,-1,0) +1,IF(OFFSET(D437,-1,0)&lt;&gt;D437,"0",IF(OFFSET(E437,-1,0)="","0",OFFSET(E437,-1,0))))</f>
        <v>0</v>
      </c>
      <c r="F437" s="378" t="str">
        <f t="shared" ref="F437" ca="1" si="1529">IF($C437="3",OFFSET(F437,-1,0) +1,IF(OFFSET(E437,-1,0)&lt;&gt;E437,"0",IF(OFFSET(F437,-1,0)="","0",OFFSET(F437,-1,0))))</f>
        <v>0</v>
      </c>
      <c r="G437" s="378" t="str">
        <f t="shared" ref="G437" ca="1" si="1530">IF($C437="4",OFFSET(G437,-1,0) +1,IF(OFFSET(F437,-1,0)&lt;&gt;F437,"0",IF(OFFSET(G437,-1,0)="","0",OFFSET(G437,-1,0))))</f>
        <v>0</v>
      </c>
      <c r="H437" s="378" t="str">
        <f t="shared" ref="H437" ca="1" si="1531">IF($C437="5",OFFSET(H437,-1,0) +1,IF(OFFSET(G437,-1,0)&lt;&gt;G437,"0",IF(OFFSET(H437,-1,0)="","0",OFFSET(H437,-1,0))))</f>
        <v>0</v>
      </c>
      <c r="I437" s="378" t="str">
        <f t="shared" ref="I437" ca="1" si="1532">IF($C437="6",OFFSET(I437,-1,0) +1,IF(OFFSET(H437,-1,0)&lt;&gt;H437,"0",IF(OFFSET(I437,-1,0)="","0", OFFSET(I437,-1,0))))</f>
        <v>0</v>
      </c>
      <c r="J437" s="378">
        <f t="shared" ca="1" si="1196"/>
        <v>8</v>
      </c>
      <c r="K437" s="378" t="str">
        <f t="shared" ref="K437" si="1533">IF(C437="S","NÃO", IF(C437="1", D437, IF(C437="2", D437 &amp; "." &amp; E437,IF(C437="3", D437 &amp; "." &amp; E437 &amp; "." &amp; F437, IF(C437="4", D437 &amp; "." &amp; E437 &amp; "." &amp; F437 &amp; "." &amp; G437, IF(C437="5", D437 &amp; "." &amp; E437 &amp; "." &amp; F437 &amp; "." &amp; G437 &amp; "." &amp; H437, IF(C437="6", D437 &amp; "." &amp; E437 &amp; "." &amp; F437 &amp; "." &amp; G437 &amp; "." &amp; H437 &amp; "." &amp; I437)))))))</f>
        <v>NÃO</v>
      </c>
      <c r="L437" s="378" t="str">
        <f t="shared" ref="L437" ca="1" si="1534">IF(K437="NÃO",IF($B437=2,D437&amp;"."&amp;J437,IF($B437=3,D437&amp;"."&amp;E437&amp;"."&amp;J437,IF($B437=4,D437&amp;"."&amp;E437&amp;"."&amp;F437&amp;"."&amp;J437,IF($B437=5,D437&amp;"."&amp;E437&amp;"."&amp;F437&amp;"."&amp;G437&amp;"."&amp;J437,IF($B437=6,D437&amp;"."&amp;E437&amp;"."&amp;F437&amp;"."&amp;G437&amp;"."&amp;H437&amp;"."&amp;J437,IF($B437=7,D437&amp;"."&amp;E437&amp;"."&amp;F437&amp;"."&amp;G437&amp;"."&amp;H437&amp;"."&amp;I437&amp;"."&amp;J437,"FALHA")))))),K437)</f>
        <v>16.8</v>
      </c>
      <c r="M437" s="55" t="s">
        <v>27868</v>
      </c>
      <c r="O437" s="392" t="str">
        <f t="shared" ref="O437" ca="1" si="1535">L437</f>
        <v>16.8</v>
      </c>
      <c r="P437" s="681" t="s">
        <v>29901</v>
      </c>
      <c r="Q437" s="682" t="s">
        <v>17598</v>
      </c>
      <c r="R437" s="415" t="str">
        <f>UPPER(IF(P437="CDHU",VLOOKUP(Q437,'CDHU 201-SD'!$A$1:$J$28014,2,FALSE),IF(P437="FDE",VLOOKUP(Q437,'FDE 01-26-SD'!$A$1:$J$280013,2,FALSE),IF(P437="PRÓPRIA",VLOOKUP(Q437,COMPOSIÇÃO!$1:$1048576,3,FALSE),VLOOKUP(Q437,'SINAPI 04-26-SD'!$A$1:$H$272700,2,FALSE)))))</f>
        <v>EXTINTOR MANUAL DE PÓ QUÍMICO SECO BC - CAPACIDADE DE 8 KG</v>
      </c>
      <c r="S437" s="414" t="str">
        <f>UPPER(IF(P437="CDHU",VLOOKUP(Q437,'CDHU 201-SD'!$A$1:$J$28014,3,FALSE),IF(P437="FDE",VLOOKUP(Q437,'FDE 01-26-SD'!$A$1:$J$280013,3,FALSE),IF(P437="PRÓPRIA",VLOOKUP(Q437,COMPOSIÇÃO!$1:$1048576,7,FALSE),VLOOKUP(Q437,'SINAPI 04-26-SD'!$A$1:$H$272700,3,FALSE)))))</f>
        <v>UN</v>
      </c>
      <c r="T437" s="393">
        <v>1</v>
      </c>
      <c r="U437" s="394">
        <f>TRUNC(IF(P437="CDHU",VLOOKUP(Q437,'CDHU 201-SD'!$A$1:$J$28014,6,FALSE),IF(P437="FDE",VLOOKUP(Q437,'FDE 01-26-SD'!$A$1:$J$280013,6,FALSE),IF(P437="PRÓPRIA",VLOOKUP(Q437,COMPOSIÇÃO!$1:$1048576,10,FALSE),VLOOKUP(Q437,'SINAPI 04-26-SD'!$A$1:$H$272700,4,FALSE)))),2)</f>
        <v>245.91</v>
      </c>
      <c r="V437" s="416">
        <f t="shared" ref="V437" si="1536">TRUNC(U437*T437,2)</f>
        <v>245.91</v>
      </c>
      <c r="W437" s="395">
        <f>IF($AA437="N",BDI!$D$26,IF($AA437="D",'BDI DIFE.'!$D$26,"ERRO"))</f>
        <v>0.22500000000000001</v>
      </c>
      <c r="X437" s="379">
        <f t="shared" ref="X437" si="1537">TRUNC(U437*(1+W437),2)</f>
        <v>301.23</v>
      </c>
      <c r="Y437" s="380">
        <f t="shared" ref="Y437" si="1538">TRUNC(T437*X437,2)</f>
        <v>301.23</v>
      </c>
      <c r="Z437" s="381"/>
      <c r="AA437" s="378" t="s">
        <v>28044</v>
      </c>
      <c r="AB437" s="642"/>
    </row>
    <row r="438" spans="2:28" s="55" customFormat="1" ht="30">
      <c r="B438" s="378">
        <f t="shared" ca="1" si="1500"/>
        <v>2</v>
      </c>
      <c r="C438" s="378" t="str">
        <f t="shared" si="1105"/>
        <v>S</v>
      </c>
      <c r="D438" s="378">
        <f t="shared" ca="1" si="1195"/>
        <v>16</v>
      </c>
      <c r="E438" s="378" t="str">
        <f t="shared" ca="1" si="1501"/>
        <v>0</v>
      </c>
      <c r="F438" s="378" t="str">
        <f t="shared" ca="1" si="1502"/>
        <v>0</v>
      </c>
      <c r="G438" s="378" t="str">
        <f t="shared" ca="1" si="1503"/>
        <v>0</v>
      </c>
      <c r="H438" s="378" t="str">
        <f t="shared" ca="1" si="1504"/>
        <v>0</v>
      </c>
      <c r="I438" s="378" t="str">
        <f t="shared" ca="1" si="1505"/>
        <v>0</v>
      </c>
      <c r="J438" s="378">
        <f t="shared" ca="1" si="1196"/>
        <v>9</v>
      </c>
      <c r="K438" s="378" t="str">
        <f t="shared" si="1506"/>
        <v>NÃO</v>
      </c>
      <c r="L438" s="378" t="str">
        <f t="shared" ca="1" si="1507"/>
        <v>16.9</v>
      </c>
      <c r="M438" s="55" t="s">
        <v>27868</v>
      </c>
      <c r="O438" s="392" t="str">
        <f t="shared" ca="1" si="1508"/>
        <v>16.9</v>
      </c>
      <c r="P438" s="681" t="s">
        <v>29901</v>
      </c>
      <c r="Q438" s="682" t="s">
        <v>17535</v>
      </c>
      <c r="R438" s="415" t="str">
        <f>UPPER(IF(P438="CDHU",VLOOKUP(Q438,'CDHU 201-SD'!$A$1:$J$28014,2,FALSE),IF(P438="FDE",VLOOKUP(Q438,'FDE 01-26-SD'!$A$1:$J$280013,2,FALSE),IF(P438="PRÓPRIA",VLOOKUP(Q438,COMPOSIÇÃO!$1:$1048576,3,FALSE),VLOOKUP(Q438,'SINAPI 04-26-SD'!$A$1:$H$272700,2,FALSE)))))</f>
        <v>ABRIGO DE HIDRANTE DE 2 1/2´ COMPLETO - INCLUSIVE MANGUEIRA DE 30 M (2 X 15 M)</v>
      </c>
      <c r="S438" s="414" t="str">
        <f>UPPER(IF(P438="CDHU",VLOOKUP(Q438,'CDHU 201-SD'!$A$1:$J$28014,3,FALSE),IF(P438="FDE",VLOOKUP(Q438,'FDE 01-26-SD'!$A$1:$J$280013,3,FALSE),IF(P438="PRÓPRIA",VLOOKUP(Q438,COMPOSIÇÃO!$1:$1048576,7,FALSE),VLOOKUP(Q438,'SINAPI 04-26-SD'!$A$1:$H$272700,3,FALSE)))))</f>
        <v>UN</v>
      </c>
      <c r="T438" s="393">
        <v>3</v>
      </c>
      <c r="U438" s="394">
        <f>TRUNC(IF(P438="CDHU",VLOOKUP(Q438,'CDHU 201-SD'!$A$1:$J$28014,6,FALSE),IF(P438="FDE",VLOOKUP(Q438,'FDE 01-26-SD'!$A$1:$J$280013,6,FALSE),IF(P438="PRÓPRIA",VLOOKUP(Q438,COMPOSIÇÃO!$1:$1048576,10,FALSE),VLOOKUP(Q438,'SINAPI 04-26-SD'!$A$1:$H$272700,4,FALSE)))),2)</f>
        <v>2837.3</v>
      </c>
      <c r="V438" s="416">
        <f t="shared" si="1524"/>
        <v>8511.9</v>
      </c>
      <c r="W438" s="395">
        <f>IF($AA438="N",BDI!$D$26,IF($AA438="D",'BDI DIFE.'!$D$26,"ERRO"))</f>
        <v>0.22500000000000001</v>
      </c>
      <c r="X438" s="379">
        <f t="shared" si="1525"/>
        <v>3475.69</v>
      </c>
      <c r="Y438" s="380">
        <f t="shared" si="1526"/>
        <v>10427.07</v>
      </c>
      <c r="Z438" s="381"/>
      <c r="AA438" s="378" t="s">
        <v>28044</v>
      </c>
      <c r="AB438" s="642"/>
    </row>
    <row r="439" spans="2:28" s="55" customFormat="1" ht="30">
      <c r="B439" s="378">
        <f ca="1">IF(C439="S",IF(OFFSET(C439,-1,0)="S", OFFSET(B439,-1,0), OFFSET(B439,-1,0) +1 ), C439)</f>
        <v>2</v>
      </c>
      <c r="C439" s="378" t="str">
        <f>IF(RIGHT($M439) = "o", "S", RIGHT($M439))</f>
        <v>S</v>
      </c>
      <c r="D439" s="378">
        <f ca="1">IF($C439="1",OFFSET(D439,-2,0) +1,OFFSET(D439,-1,0))</f>
        <v>16</v>
      </c>
      <c r="E439" s="378" t="str">
        <f ca="1">IF($C439="2",OFFSET(E439,-1,0) +1,IF(OFFSET(D439,-1,0)&lt;&gt;D439,"0",IF(OFFSET(E439,-1,0)="","0",OFFSET(E439,-1,0))))</f>
        <v>0</v>
      </c>
      <c r="F439" s="378" t="str">
        <f ca="1">IF($C439="3",OFFSET(F439,-1,0) +1,IF(OFFSET(E439,-1,0)&lt;&gt;E439,"0",IF(OFFSET(F439,-1,0)="","0",OFFSET(F439,-1,0))))</f>
        <v>0</v>
      </c>
      <c r="G439" s="378" t="str">
        <f ca="1">IF($C439="4",OFFSET(G439,-1,0) +1,IF(OFFSET(F439,-1,0)&lt;&gt;F439,"0",IF(OFFSET(G439,-1,0)="","0",OFFSET(G439,-1,0))))</f>
        <v>0</v>
      </c>
      <c r="H439" s="378" t="str">
        <f ca="1">IF($C439="5",OFFSET(H439,-1,0) +1,IF(OFFSET(G439,-1,0)&lt;&gt;G439,"0",IF(OFFSET(H439,-1,0)="","0",OFFSET(H439,-1,0))))</f>
        <v>0</v>
      </c>
      <c r="I439" s="378" t="str">
        <f ca="1">IF($C439="6",OFFSET(I439,-1,0) +1,IF(OFFSET(H439,-1,0)&lt;&gt;H439,"0",IF(OFFSET(I439,-1,0)="","0", OFFSET(I439,-1,0))))</f>
        <v>0</v>
      </c>
      <c r="J439" s="378">
        <f ca="1">IF($C439="S",OFFSET(J439,-1,0)+1,"0")</f>
        <v>10</v>
      </c>
      <c r="K439" s="378" t="str">
        <f>IF(C439="S","NÃO", IF(C439="1", D439, IF(C439="2", D439 &amp; "." &amp; E439,IF(C439="3", D439 &amp; "." &amp; E439 &amp; "." &amp; F439, IF(C439="4", D439 &amp; "." &amp; E439 &amp; "." &amp; F439 &amp; "." &amp; G439, IF(C439="5", D439 &amp; "." &amp; E439 &amp; "." &amp; F439 &amp; "." &amp; G439 &amp; "." &amp; H439, IF(C439="6", D439 &amp; "." &amp; E439 &amp; "." &amp; F439 &amp; "." &amp; G439 &amp; "." &amp; H439 &amp; "." &amp; I439)))))))</f>
        <v>NÃO</v>
      </c>
      <c r="L439" s="378" t="str">
        <f ca="1">IF(K439="NÃO",IF($B439=2,D439&amp;"."&amp;J439,IF($B439=3,D439&amp;"."&amp;E439&amp;"."&amp;J439,IF($B439=4,D439&amp;"."&amp;E439&amp;"."&amp;F439&amp;"."&amp;J439,IF($B439=5,D439&amp;"."&amp;E439&amp;"."&amp;F439&amp;"."&amp;G439&amp;"."&amp;J439,IF($B439=6,D439&amp;"."&amp;E439&amp;"."&amp;F439&amp;"."&amp;G439&amp;"."&amp;H439&amp;"."&amp;J439,IF($B439=7,D439&amp;"."&amp;E439&amp;"."&amp;F439&amp;"."&amp;G439&amp;"."&amp;H439&amp;"."&amp;I439&amp;"."&amp;J439,"FALHA")))))),K439)</f>
        <v>16.10</v>
      </c>
      <c r="M439" s="55" t="s">
        <v>27868</v>
      </c>
      <c r="O439" s="392" t="str">
        <f ca="1">L439</f>
        <v>16.10</v>
      </c>
      <c r="P439" s="681" t="s">
        <v>29901</v>
      </c>
      <c r="Q439" s="682" t="s">
        <v>15948</v>
      </c>
      <c r="R439" s="415" t="str">
        <f>UPPER(IF(P439="CDHU",VLOOKUP(Q439,'CDHU 201-SD'!$A$1:$J$28014,2,FALSE),IF(P439="FDE",VLOOKUP(Q439,'FDE 01-26-SD'!$A$1:$J$280013,2,FALSE),IF(P439="PRÓPRIA",VLOOKUP(Q439,COMPOSIÇÃO!$1:$1048576,3,FALSE),VLOOKUP(Q439,'SINAPI 04-26-SD'!$A$1:$H$272700,2,FALSE)))))</f>
        <v>CONJUNTO MOTOR-BOMBA (CENTRÍFUGA) 7,5 CV, MULTIESTÁGIO, HMAN= 30 A 80 MCA, Q= 21,6 A 12,0 M³/H</v>
      </c>
      <c r="S439" s="414" t="str">
        <f>UPPER(IF(P439="CDHU",VLOOKUP(Q439,'CDHU 201-SD'!$A$1:$J$28014,3,FALSE),IF(P439="FDE",VLOOKUP(Q439,'FDE 01-26-SD'!$A$1:$J$280013,3,FALSE),IF(P439="PRÓPRIA",VLOOKUP(Q439,COMPOSIÇÃO!$1:$1048576,7,FALSE),VLOOKUP(Q439,'SINAPI 04-26-SD'!$A$1:$H$272700,3,FALSE)))))</f>
        <v>UN</v>
      </c>
      <c r="T439" s="393">
        <v>1</v>
      </c>
      <c r="U439" s="394">
        <f>TRUNC(IF(P439="CDHU",VLOOKUP(Q439,'CDHU 201-SD'!$A$1:$J$28014,6,FALSE),IF(P439="FDE",VLOOKUP(Q439,'FDE 01-26-SD'!$A$1:$J$280013,6,FALSE),IF(P439="PRÓPRIA",VLOOKUP(Q439,COMPOSIÇÃO!$1:$1048576,10,FALSE),VLOOKUP(Q439,'SINAPI 04-26-SD'!$A$1:$H$272700,4,FALSE)))),2)</f>
        <v>9778.82</v>
      </c>
      <c r="V439" s="416">
        <f>TRUNC(U439*T439,2)</f>
        <v>9778.82</v>
      </c>
      <c r="W439" s="395">
        <f>IF($AA439="N",BDI!$D$26,IF($AA439="D",'BDI DIFE.'!$D$26,"ERRO"))</f>
        <v>0.22500000000000001</v>
      </c>
      <c r="X439" s="379">
        <f>TRUNC(U439*(1+W439),2)</f>
        <v>11979.05</v>
      </c>
      <c r="Y439" s="380">
        <f>TRUNC(T439*X439,2)</f>
        <v>11979.05</v>
      </c>
      <c r="Z439" s="381"/>
      <c r="AA439" s="378" t="s">
        <v>28044</v>
      </c>
      <c r="AB439" s="642"/>
    </row>
    <row r="440" spans="2:28" s="55" customFormat="1" ht="30">
      <c r="B440" s="378">
        <f ca="1">IF(C440="S",IF(OFFSET(C440,-1,0)="S", OFFSET(B440,-1,0), OFFSET(B440,-1,0) +1 ), C440)</f>
        <v>2</v>
      </c>
      <c r="C440" s="378" t="str">
        <f>IF(RIGHT($M440) = "o", "S", RIGHT($M440))</f>
        <v>S</v>
      </c>
      <c r="D440" s="378">
        <f ca="1">IF($C440="1",OFFSET(D440,-2,0) +1,OFFSET(D440,-1,0))</f>
        <v>16</v>
      </c>
      <c r="E440" s="378" t="str">
        <f ca="1">IF($C440="2",OFFSET(E440,-1,0) +1,IF(OFFSET(D440,-1,0)&lt;&gt;D440,"0",IF(OFFSET(E440,-1,0)="","0",OFFSET(E440,-1,0))))</f>
        <v>0</v>
      </c>
      <c r="F440" s="378" t="str">
        <f ca="1">IF($C440="3",OFFSET(F440,-1,0) +1,IF(OFFSET(E440,-1,0)&lt;&gt;E440,"0",IF(OFFSET(F440,-1,0)="","0",OFFSET(F440,-1,0))))</f>
        <v>0</v>
      </c>
      <c r="G440" s="378" t="str">
        <f ca="1">IF($C440="4",OFFSET(G440,-1,0) +1,IF(OFFSET(F440,-1,0)&lt;&gt;F440,"0",IF(OFFSET(G440,-1,0)="","0",OFFSET(G440,-1,0))))</f>
        <v>0</v>
      </c>
      <c r="H440" s="378" t="str">
        <f ca="1">IF($C440="5",OFFSET(H440,-1,0) +1,IF(OFFSET(G440,-1,0)&lt;&gt;G440,"0",IF(OFFSET(H440,-1,0)="","0",OFFSET(H440,-1,0))))</f>
        <v>0</v>
      </c>
      <c r="I440" s="378" t="str">
        <f ca="1">IF($C440="6",OFFSET(I440,-1,0) +1,IF(OFFSET(H440,-1,0)&lt;&gt;H440,"0",IF(OFFSET(I440,-1,0)="","0", OFFSET(I440,-1,0))))</f>
        <v>0</v>
      </c>
      <c r="J440" s="378">
        <f ca="1">IF($C440="S",OFFSET(J440,-1,0)+1,"0")</f>
        <v>11</v>
      </c>
      <c r="K440" s="378" t="str">
        <f>IF(C440="S","NÃO", IF(C440="1", D440, IF(C440="2", D440 &amp; "." &amp; E440,IF(C440="3", D440 &amp; "." &amp; E440 &amp; "." &amp; F440, IF(C440="4", D440 &amp; "." &amp; E440 &amp; "." &amp; F440 &amp; "." &amp; G440, IF(C440="5", D440 &amp; "." &amp; E440 &amp; "." &amp; F440 &amp; "." &amp; G440 &amp; "." &amp; H440, IF(C440="6", D440 &amp; "." &amp; E440 &amp; "." &amp; F440 &amp; "." &amp; G440 &amp; "." &amp; H440 &amp; "." &amp; I440)))))))</f>
        <v>NÃO</v>
      </c>
      <c r="L440" s="378" t="str">
        <f ca="1">IF(K440="NÃO",IF($B440=2,D440&amp;"."&amp;J440,IF($B440=3,D440&amp;"."&amp;E440&amp;"."&amp;J440,IF($B440=4,D440&amp;"."&amp;E440&amp;"."&amp;F440&amp;"."&amp;J440,IF($B440=5,D440&amp;"."&amp;E440&amp;"."&amp;F440&amp;"."&amp;G440&amp;"."&amp;J440,IF($B440=6,D440&amp;"."&amp;E440&amp;"."&amp;F440&amp;"."&amp;G440&amp;"."&amp;H440&amp;"."&amp;J440,IF($B440=7,D440&amp;"."&amp;E440&amp;"."&amp;F440&amp;"."&amp;G440&amp;"."&amp;H440&amp;"."&amp;I440&amp;"."&amp;J440,"FALHA")))))),K440)</f>
        <v>16.11</v>
      </c>
      <c r="M440" s="55" t="s">
        <v>27868</v>
      </c>
      <c r="O440" s="392" t="str">
        <f ca="1">L440</f>
        <v>16.11</v>
      </c>
      <c r="P440" s="681" t="s">
        <v>29901</v>
      </c>
      <c r="Q440" s="682" t="s">
        <v>15960</v>
      </c>
      <c r="R440" s="415" t="str">
        <f>UPPER(IF(P440="CDHU",VLOOKUP(Q440,'CDHU 201-SD'!$A$1:$J$28014,2,FALSE),IF(P440="FDE",VLOOKUP(Q440,'FDE 01-26-SD'!$A$1:$J$280013,2,FALSE),IF(P440="PRÓPRIA",VLOOKUP(Q440,COMPOSIÇÃO!$1:$1048576,3,FALSE),VLOOKUP(Q440,'SINAPI 04-26-SD'!$A$1:$H$272700,2,FALSE)))))</f>
        <v>CONJUNTO MOTOR-BOMBA (CENTRÍFUGA) 1 CV, MONOESTÁGIO TRIFÁSICO, HMAN= 8 A 25 MCA E Q= 11 A 1,50 M³/H</v>
      </c>
      <c r="S440" s="414" t="str">
        <f>UPPER(IF(P440="CDHU",VLOOKUP(Q440,'CDHU 201-SD'!$A$1:$J$28014,3,FALSE),IF(P440="FDE",VLOOKUP(Q440,'FDE 01-26-SD'!$A$1:$J$280013,3,FALSE),IF(P440="PRÓPRIA",VLOOKUP(Q440,COMPOSIÇÃO!$1:$1048576,7,FALSE),VLOOKUP(Q440,'SINAPI 04-26-SD'!$A$1:$H$272700,3,FALSE)))))</f>
        <v>UN</v>
      </c>
      <c r="T440" s="393">
        <v>1</v>
      </c>
      <c r="U440" s="394">
        <f>TRUNC(IF(P440="CDHU",VLOOKUP(Q440,'CDHU 201-SD'!$A$1:$J$28014,6,FALSE),IF(P440="FDE",VLOOKUP(Q440,'FDE 01-26-SD'!$A$1:$J$280013,6,FALSE),IF(P440="PRÓPRIA",VLOOKUP(Q440,COMPOSIÇÃO!$1:$1048576,10,FALSE),VLOOKUP(Q440,'SINAPI 04-26-SD'!$A$1:$H$272700,4,FALSE)))),2)</f>
        <v>3057.25</v>
      </c>
      <c r="V440" s="416">
        <f>TRUNC(U440*T440,2)</f>
        <v>3057.25</v>
      </c>
      <c r="W440" s="395">
        <f>IF($AA440="N",BDI!$D$26,IF($AA440="D",'BDI DIFE.'!$D$26,"ERRO"))</f>
        <v>0.22500000000000001</v>
      </c>
      <c r="X440" s="379">
        <f>TRUNC(U440*(1+W440),2)</f>
        <v>3745.13</v>
      </c>
      <c r="Y440" s="380">
        <f>TRUNC(T440*X440,2)</f>
        <v>3745.13</v>
      </c>
      <c r="Z440" s="381"/>
      <c r="AA440" s="378" t="s">
        <v>28044</v>
      </c>
      <c r="AB440" s="642"/>
    </row>
    <row r="441" spans="2:28" s="55" customFormat="1" ht="30">
      <c r="B441" s="378">
        <f t="shared" ref="B441:B445" ca="1" si="1539">IF(C441="S",IF(OFFSET(C441,-1,0)="S", OFFSET(B441,-1,0), OFFSET(B441,-1,0) +1 ), C441)</f>
        <v>2</v>
      </c>
      <c r="C441" s="378" t="str">
        <f t="shared" si="1105"/>
        <v>S</v>
      </c>
      <c r="D441" s="378">
        <f t="shared" ca="1" si="1195"/>
        <v>16</v>
      </c>
      <c r="E441" s="378" t="str">
        <f t="shared" ref="E441:E445" ca="1" si="1540">IF($C441="2",OFFSET(E441,-1,0) +1,IF(OFFSET(D441,-1,0)&lt;&gt;D441,"0",IF(OFFSET(E441,-1,0)="","0",OFFSET(E441,-1,0))))</f>
        <v>0</v>
      </c>
      <c r="F441" s="378" t="str">
        <f t="shared" ref="F441:F445" ca="1" si="1541">IF($C441="3",OFFSET(F441,-1,0) +1,IF(OFFSET(E441,-1,0)&lt;&gt;E441,"0",IF(OFFSET(F441,-1,0)="","0",OFFSET(F441,-1,0))))</f>
        <v>0</v>
      </c>
      <c r="G441" s="378" t="str">
        <f t="shared" ref="G441:G445" ca="1" si="1542">IF($C441="4",OFFSET(G441,-1,0) +1,IF(OFFSET(F441,-1,0)&lt;&gt;F441,"0",IF(OFFSET(G441,-1,0)="","0",OFFSET(G441,-1,0))))</f>
        <v>0</v>
      </c>
      <c r="H441" s="378" t="str">
        <f t="shared" ref="H441:H445" ca="1" si="1543">IF($C441="5",OFFSET(H441,-1,0) +1,IF(OFFSET(G441,-1,0)&lt;&gt;G441,"0",IF(OFFSET(H441,-1,0)="","0",OFFSET(H441,-1,0))))</f>
        <v>0</v>
      </c>
      <c r="I441" s="378" t="str">
        <f t="shared" ref="I441:I445" ca="1" si="1544">IF($C441="6",OFFSET(I441,-1,0) +1,IF(OFFSET(H441,-1,0)&lt;&gt;H441,"0",IF(OFFSET(I441,-1,0)="","0", OFFSET(I441,-1,0))))</f>
        <v>0</v>
      </c>
      <c r="J441" s="378">
        <f t="shared" ca="1" si="1196"/>
        <v>12</v>
      </c>
      <c r="K441" s="378" t="str">
        <f t="shared" ref="K441:K445" si="1545">IF(C441="S","NÃO", IF(C441="1", D441, IF(C441="2", D441 &amp; "." &amp; E441,IF(C441="3", D441 &amp; "." &amp; E441 &amp; "." &amp; F441, IF(C441="4", D441 &amp; "." &amp; E441 &amp; "." &amp; F441 &amp; "." &amp; G441, IF(C441="5", D441 &amp; "." &amp; E441 &amp; "." &amp; F441 &amp; "." &amp; G441 &amp; "." &amp; H441, IF(C441="6", D441 &amp; "." &amp; E441 &amp; "." &amp; F441 &amp; "." &amp; G441 &amp; "." &amp; H441 &amp; "." &amp; I441)))))))</f>
        <v>NÃO</v>
      </c>
      <c r="L441" s="378" t="str">
        <f t="shared" ref="L441:L445" ca="1" si="1546">IF(K441="NÃO",IF($B441=2,D441&amp;"."&amp;J441,IF($B441=3,D441&amp;"."&amp;E441&amp;"."&amp;J441,IF($B441=4,D441&amp;"."&amp;E441&amp;"."&amp;F441&amp;"."&amp;J441,IF($B441=5,D441&amp;"."&amp;E441&amp;"."&amp;F441&amp;"."&amp;G441&amp;"."&amp;J441,IF($B441=6,D441&amp;"."&amp;E441&amp;"."&amp;F441&amp;"."&amp;G441&amp;"."&amp;H441&amp;"."&amp;J441,IF($B441=7,D441&amp;"."&amp;E441&amp;"."&amp;F441&amp;"."&amp;G441&amp;"."&amp;H441&amp;"."&amp;I441&amp;"."&amp;J441,"FALHA")))))),K441)</f>
        <v>16.12</v>
      </c>
      <c r="M441" s="55" t="s">
        <v>27868</v>
      </c>
      <c r="O441" s="392" t="str">
        <f t="shared" ref="O441:O445" ca="1" si="1547">L441</f>
        <v>16.12</v>
      </c>
      <c r="P441" s="681" t="s">
        <v>29901</v>
      </c>
      <c r="Q441" s="682" t="s">
        <v>17569</v>
      </c>
      <c r="R441" s="415" t="str">
        <f>UPPER(IF(P441="CDHU",VLOOKUP(Q441,'CDHU 201-SD'!$A$1:$J$28014,2,FALSE),IF(P441="FDE",VLOOKUP(Q441,'FDE 01-26-SD'!$A$1:$J$280013,2,FALSE),IF(P441="PRÓPRIA",VLOOKUP(Q441,COMPOSIÇÃO!$1:$1048576,3,FALSE),VLOOKUP(Q441,'SINAPI 04-26-SD'!$A$1:$H$272700,2,FALSE)))))</f>
        <v>CENTRAL DE DETECÇÃO E ALARME DE INCÊNDIO COMPLETA, AUTONOMIA DE 1 HORA PARA 12 LAÇOS, 220 V/12 V</v>
      </c>
      <c r="S441" s="414" t="str">
        <f>UPPER(IF(P441="CDHU",VLOOKUP(Q441,'CDHU 201-SD'!$A$1:$J$28014,3,FALSE),IF(P441="FDE",VLOOKUP(Q441,'FDE 01-26-SD'!$A$1:$J$280013,3,FALSE),IF(P441="PRÓPRIA",VLOOKUP(Q441,COMPOSIÇÃO!$1:$1048576,7,FALSE),VLOOKUP(Q441,'SINAPI 04-26-SD'!$A$1:$H$272700,3,FALSE)))))</f>
        <v>UN</v>
      </c>
      <c r="T441" s="393">
        <v>1</v>
      </c>
      <c r="U441" s="394">
        <f>TRUNC(IF(P441="CDHU",VLOOKUP(Q441,'CDHU 201-SD'!$A$1:$J$28014,6,FALSE),IF(P441="FDE",VLOOKUP(Q441,'FDE 01-26-SD'!$A$1:$J$280013,6,FALSE),IF(P441="PRÓPRIA",VLOOKUP(Q441,COMPOSIÇÃO!$1:$1048576,10,FALSE),VLOOKUP(Q441,'SINAPI 04-26-SD'!$A$1:$H$272700,4,FALSE)))),2)</f>
        <v>832.89</v>
      </c>
      <c r="V441" s="416">
        <f t="shared" ref="V441:V445" si="1548">TRUNC(U441*T441,2)</f>
        <v>832.89</v>
      </c>
      <c r="W441" s="395">
        <f>IF($AA441="N",BDI!$D$26,IF($AA441="D",'BDI DIFE.'!$D$26,"ERRO"))</f>
        <v>0.22500000000000001</v>
      </c>
      <c r="X441" s="379">
        <f t="shared" ref="X441:X445" si="1549">TRUNC(U441*(1+W441),2)</f>
        <v>1020.29</v>
      </c>
      <c r="Y441" s="380">
        <f t="shared" ref="Y441:Y445" si="1550">TRUNC(T441*X441,2)</f>
        <v>1020.29</v>
      </c>
      <c r="Z441" s="381"/>
      <c r="AA441" s="378" t="s">
        <v>28044</v>
      </c>
      <c r="AB441" s="642"/>
    </row>
    <row r="442" spans="2:28" s="55" customFormat="1">
      <c r="B442" s="378">
        <f t="shared" ref="B442" ca="1" si="1551">IF(C442="S",IF(OFFSET(C442,-1,0)="S", OFFSET(B442,-1,0), OFFSET(B442,-1,0) +1 ), C442)</f>
        <v>2</v>
      </c>
      <c r="C442" s="378" t="str">
        <f t="shared" si="1105"/>
        <v>S</v>
      </c>
      <c r="D442" s="378">
        <f t="shared" ca="1" si="1195"/>
        <v>16</v>
      </c>
      <c r="E442" s="378" t="str">
        <f t="shared" ref="E442" ca="1" si="1552">IF($C442="2",OFFSET(E442,-1,0) +1,IF(OFFSET(D442,-1,0)&lt;&gt;D442,"0",IF(OFFSET(E442,-1,0)="","0",OFFSET(E442,-1,0))))</f>
        <v>0</v>
      </c>
      <c r="F442" s="378" t="str">
        <f t="shared" ref="F442" ca="1" si="1553">IF($C442="3",OFFSET(F442,-1,0) +1,IF(OFFSET(E442,-1,0)&lt;&gt;E442,"0",IF(OFFSET(F442,-1,0)="","0",OFFSET(F442,-1,0))))</f>
        <v>0</v>
      </c>
      <c r="G442" s="378" t="str">
        <f t="shared" ref="G442" ca="1" si="1554">IF($C442="4",OFFSET(G442,-1,0) +1,IF(OFFSET(F442,-1,0)&lt;&gt;F442,"0",IF(OFFSET(G442,-1,0)="","0",OFFSET(G442,-1,0))))</f>
        <v>0</v>
      </c>
      <c r="H442" s="378" t="str">
        <f t="shared" ref="H442" ca="1" si="1555">IF($C442="5",OFFSET(H442,-1,0) +1,IF(OFFSET(G442,-1,0)&lt;&gt;G442,"0",IF(OFFSET(H442,-1,0)="","0",OFFSET(H442,-1,0))))</f>
        <v>0</v>
      </c>
      <c r="I442" s="378" t="str">
        <f t="shared" ref="I442" ca="1" si="1556">IF($C442="6",OFFSET(I442,-1,0) +1,IF(OFFSET(H442,-1,0)&lt;&gt;H442,"0",IF(OFFSET(I442,-1,0)="","0", OFFSET(I442,-1,0))))</f>
        <v>0</v>
      </c>
      <c r="J442" s="378">
        <f t="shared" ca="1" si="1196"/>
        <v>13</v>
      </c>
      <c r="K442" s="378" t="str">
        <f t="shared" ref="K442" si="1557">IF(C442="S","NÃO", IF(C442="1", D442, IF(C442="2", D442 &amp; "." &amp; E442,IF(C442="3", D442 &amp; "." &amp; E442 &amp; "." &amp; F442, IF(C442="4", D442 &amp; "." &amp; E442 &amp; "." &amp; F442 &amp; "." &amp; G442, IF(C442="5", D442 &amp; "." &amp; E442 &amp; "." &amp; F442 &amp; "." &amp; G442 &amp; "." &amp; H442, IF(C442="6", D442 &amp; "." &amp; E442 &amp; "." &amp; F442 &amp; "." &amp; G442 &amp; "." &amp; H442 &amp; "." &amp; I442)))))))</f>
        <v>NÃO</v>
      </c>
      <c r="L442" s="378" t="str">
        <f t="shared" ref="L442" ca="1" si="1558">IF(K442="NÃO",IF($B442=2,D442&amp;"."&amp;J442,IF($B442=3,D442&amp;"."&amp;E442&amp;"."&amp;J442,IF($B442=4,D442&amp;"."&amp;E442&amp;"."&amp;F442&amp;"."&amp;J442,IF($B442=5,D442&amp;"."&amp;E442&amp;"."&amp;F442&amp;"."&amp;G442&amp;"."&amp;J442,IF($B442=6,D442&amp;"."&amp;E442&amp;"."&amp;F442&amp;"."&amp;G442&amp;"."&amp;H442&amp;"."&amp;J442,IF($B442=7,D442&amp;"."&amp;E442&amp;"."&amp;F442&amp;"."&amp;G442&amp;"."&amp;H442&amp;"."&amp;I442&amp;"."&amp;J442,"FALHA")))))),K442)</f>
        <v>16.13</v>
      </c>
      <c r="M442" s="55" t="s">
        <v>27868</v>
      </c>
      <c r="O442" s="392" t="str">
        <f t="shared" ref="O442" ca="1" si="1559">L442</f>
        <v>16.13</v>
      </c>
      <c r="P442" s="681" t="s">
        <v>29901</v>
      </c>
      <c r="Q442" s="682" t="s">
        <v>16387</v>
      </c>
      <c r="R442" s="415" t="str">
        <f>UPPER(IF(P442="CDHU",VLOOKUP(Q442,'CDHU 201-SD'!$A$1:$J$28014,2,FALSE),IF(P442="FDE",VLOOKUP(Q442,'FDE 01-26-SD'!$A$1:$J$280013,2,FALSE),IF(P442="PRÓPRIA",VLOOKUP(Q442,COMPOSIÇÃO!$1:$1048576,3,FALSE),VLOOKUP(Q442,'SINAPI 04-26-SD'!$A$1:$H$272700,2,FALSE)))))</f>
        <v>TUBO GALVANIZADO DN= 1 1/2´, INCLUSIVE CONEXÕES</v>
      </c>
      <c r="S442" s="414" t="str">
        <f>UPPER(IF(P442="CDHU",VLOOKUP(Q442,'CDHU 201-SD'!$A$1:$J$28014,3,FALSE),IF(P442="FDE",VLOOKUP(Q442,'FDE 01-26-SD'!$A$1:$J$280013,3,FALSE),IF(P442="PRÓPRIA",VLOOKUP(Q442,COMPOSIÇÃO!$1:$1048576,7,FALSE),VLOOKUP(Q442,'SINAPI 04-26-SD'!$A$1:$H$272700,3,FALSE)))))</f>
        <v>M</v>
      </c>
      <c r="T442" s="393">
        <v>0.8</v>
      </c>
      <c r="U442" s="394">
        <f>TRUNC(IF(P442="CDHU",VLOOKUP(Q442,'CDHU 201-SD'!$A$1:$J$28014,6,FALSE),IF(P442="FDE",VLOOKUP(Q442,'FDE 01-26-SD'!$A$1:$J$280013,6,FALSE),IF(P442="PRÓPRIA",VLOOKUP(Q442,COMPOSIÇÃO!$1:$1048576,10,FALSE),VLOOKUP(Q442,'SINAPI 04-26-SD'!$A$1:$H$272700,4,FALSE)))),2)</f>
        <v>167.4</v>
      </c>
      <c r="V442" s="416">
        <f t="shared" ref="V442" si="1560">TRUNC(U442*T442,2)</f>
        <v>133.91999999999999</v>
      </c>
      <c r="W442" s="395">
        <f>IF($AA442="N",BDI!$D$26,IF($AA442="D",'BDI DIFE.'!$D$26,"ERRO"))</f>
        <v>0.22500000000000001</v>
      </c>
      <c r="X442" s="379">
        <f t="shared" ref="X442" si="1561">TRUNC(U442*(1+W442),2)</f>
        <v>205.06</v>
      </c>
      <c r="Y442" s="380">
        <f t="shared" ref="Y442" si="1562">TRUNC(T442*X442,2)</f>
        <v>164.04</v>
      </c>
      <c r="Z442" s="381"/>
      <c r="AA442" s="378" t="s">
        <v>28044</v>
      </c>
      <c r="AB442" s="642"/>
    </row>
    <row r="443" spans="2:28" s="55" customFormat="1">
      <c r="B443" s="378">
        <f t="shared" ca="1" si="1539"/>
        <v>2</v>
      </c>
      <c r="C443" s="378" t="str">
        <f t="shared" si="1105"/>
        <v>S</v>
      </c>
      <c r="D443" s="378">
        <f t="shared" ca="1" si="1195"/>
        <v>16</v>
      </c>
      <c r="E443" s="378" t="str">
        <f t="shared" ca="1" si="1540"/>
        <v>0</v>
      </c>
      <c r="F443" s="378" t="str">
        <f t="shared" ca="1" si="1541"/>
        <v>0</v>
      </c>
      <c r="G443" s="378" t="str">
        <f t="shared" ca="1" si="1542"/>
        <v>0</v>
      </c>
      <c r="H443" s="378" t="str">
        <f t="shared" ca="1" si="1543"/>
        <v>0</v>
      </c>
      <c r="I443" s="378" t="str">
        <f t="shared" ca="1" si="1544"/>
        <v>0</v>
      </c>
      <c r="J443" s="378">
        <f t="shared" ca="1" si="1196"/>
        <v>14</v>
      </c>
      <c r="K443" s="378" t="str">
        <f t="shared" si="1545"/>
        <v>NÃO</v>
      </c>
      <c r="L443" s="378" t="str">
        <f t="shared" ca="1" si="1546"/>
        <v>16.14</v>
      </c>
      <c r="M443" s="55" t="s">
        <v>27868</v>
      </c>
      <c r="O443" s="392" t="str">
        <f t="shared" ca="1" si="1547"/>
        <v>16.14</v>
      </c>
      <c r="P443" s="681" t="s">
        <v>29901</v>
      </c>
      <c r="Q443" s="682" t="s">
        <v>16391</v>
      </c>
      <c r="R443" s="415" t="str">
        <f>UPPER(IF(P443="CDHU",VLOOKUP(Q443,'CDHU 201-SD'!$A$1:$J$28014,2,FALSE),IF(P443="FDE",VLOOKUP(Q443,'FDE 01-26-SD'!$A$1:$J$280013,2,FALSE),IF(P443="PRÓPRIA",VLOOKUP(Q443,COMPOSIÇÃO!$1:$1048576,3,FALSE),VLOOKUP(Q443,'SINAPI 04-26-SD'!$A$1:$H$272700,2,FALSE)))))</f>
        <v>TUBO GALVANIZADO DN= 2 1/2´, INCLUSIVE CONEXÕES</v>
      </c>
      <c r="S443" s="414" t="str">
        <f>UPPER(IF(P443="CDHU",VLOOKUP(Q443,'CDHU 201-SD'!$A$1:$J$28014,3,FALSE),IF(P443="FDE",VLOOKUP(Q443,'FDE 01-26-SD'!$A$1:$J$280013,3,FALSE),IF(P443="PRÓPRIA",VLOOKUP(Q443,COMPOSIÇÃO!$1:$1048576,7,FALSE),VLOOKUP(Q443,'SINAPI 04-26-SD'!$A$1:$H$272700,3,FALSE)))))</f>
        <v>M</v>
      </c>
      <c r="T443" s="393">
        <v>99.16</v>
      </c>
      <c r="U443" s="394">
        <f>TRUNC(IF(P443="CDHU",VLOOKUP(Q443,'CDHU 201-SD'!$A$1:$J$28014,6,FALSE),IF(P443="FDE",VLOOKUP(Q443,'FDE 01-26-SD'!$A$1:$J$280013,6,FALSE),IF(P443="PRÓPRIA",VLOOKUP(Q443,COMPOSIÇÃO!$1:$1048576,10,FALSE),VLOOKUP(Q443,'SINAPI 04-26-SD'!$A$1:$H$272700,4,FALSE)))),2)</f>
        <v>245.05</v>
      </c>
      <c r="V443" s="416">
        <f t="shared" si="1548"/>
        <v>24299.15</v>
      </c>
      <c r="W443" s="395">
        <f>IF($AA443="N",BDI!$D$26,IF($AA443="D",'BDI DIFE.'!$D$26,"ERRO"))</f>
        <v>0.22500000000000001</v>
      </c>
      <c r="X443" s="379">
        <f t="shared" si="1549"/>
        <v>300.18</v>
      </c>
      <c r="Y443" s="380">
        <f t="shared" si="1550"/>
        <v>29765.84</v>
      </c>
      <c r="Z443" s="381"/>
      <c r="AA443" s="378" t="s">
        <v>28044</v>
      </c>
      <c r="AB443" s="642"/>
    </row>
    <row r="444" spans="2:28" s="55" customFormat="1">
      <c r="B444" s="378">
        <f t="shared" ca="1" si="1539"/>
        <v>2</v>
      </c>
      <c r="C444" s="378" t="str">
        <f t="shared" si="1105"/>
        <v>S</v>
      </c>
      <c r="D444" s="378">
        <f t="shared" ca="1" si="1195"/>
        <v>16</v>
      </c>
      <c r="E444" s="378" t="str">
        <f t="shared" ca="1" si="1540"/>
        <v>0</v>
      </c>
      <c r="F444" s="378" t="str">
        <f t="shared" ca="1" si="1541"/>
        <v>0</v>
      </c>
      <c r="G444" s="378" t="str">
        <f t="shared" ca="1" si="1542"/>
        <v>0</v>
      </c>
      <c r="H444" s="378" t="str">
        <f t="shared" ca="1" si="1543"/>
        <v>0</v>
      </c>
      <c r="I444" s="378" t="str">
        <f t="shared" ca="1" si="1544"/>
        <v>0</v>
      </c>
      <c r="J444" s="378">
        <f t="shared" ca="1" si="1196"/>
        <v>15</v>
      </c>
      <c r="K444" s="378" t="str">
        <f t="shared" si="1545"/>
        <v>NÃO</v>
      </c>
      <c r="L444" s="378" t="str">
        <f t="shared" ca="1" si="1546"/>
        <v>16.15</v>
      </c>
      <c r="M444" s="55" t="s">
        <v>27868</v>
      </c>
      <c r="O444" s="392" t="str">
        <f t="shared" ca="1" si="1547"/>
        <v>16.15</v>
      </c>
      <c r="P444" s="681" t="s">
        <v>29901</v>
      </c>
      <c r="Q444" s="682" t="s">
        <v>16393</v>
      </c>
      <c r="R444" s="415" t="str">
        <f>UPPER(IF(P444="CDHU",VLOOKUP(Q444,'CDHU 201-SD'!$A$1:$J$28014,2,FALSE),IF(P444="FDE",VLOOKUP(Q444,'FDE 01-26-SD'!$A$1:$J$280013,2,FALSE),IF(P444="PRÓPRIA",VLOOKUP(Q444,COMPOSIÇÃO!$1:$1048576,3,FALSE),VLOOKUP(Q444,'SINAPI 04-26-SD'!$A$1:$H$272700,2,FALSE)))))</f>
        <v>TUBO GALVANIZADO DN= 3´, INCLUSIVE CONEXÕES</v>
      </c>
      <c r="S444" s="414" t="str">
        <f>UPPER(IF(P444="CDHU",VLOOKUP(Q444,'CDHU 201-SD'!$A$1:$J$28014,3,FALSE),IF(P444="FDE",VLOOKUP(Q444,'FDE 01-26-SD'!$A$1:$J$280013,3,FALSE),IF(P444="PRÓPRIA",VLOOKUP(Q444,COMPOSIÇÃO!$1:$1048576,7,FALSE),VLOOKUP(Q444,'SINAPI 04-26-SD'!$A$1:$H$272700,3,FALSE)))))</f>
        <v>M</v>
      </c>
      <c r="T444" s="393">
        <v>2.5499999999999998</v>
      </c>
      <c r="U444" s="394">
        <f>TRUNC(IF(P444="CDHU",VLOOKUP(Q444,'CDHU 201-SD'!$A$1:$J$28014,6,FALSE),IF(P444="FDE",VLOOKUP(Q444,'FDE 01-26-SD'!$A$1:$J$280013,6,FALSE),IF(P444="PRÓPRIA",VLOOKUP(Q444,COMPOSIÇÃO!$1:$1048576,10,FALSE),VLOOKUP(Q444,'SINAPI 04-26-SD'!$A$1:$H$272700,4,FALSE)))),2)</f>
        <v>275.07</v>
      </c>
      <c r="V444" s="416">
        <f t="shared" si="1548"/>
        <v>701.42</v>
      </c>
      <c r="W444" s="395">
        <f>IF($AA444="N",BDI!$D$26,IF($AA444="D",'BDI DIFE.'!$D$26,"ERRO"))</f>
        <v>0.22500000000000001</v>
      </c>
      <c r="X444" s="379">
        <f t="shared" si="1549"/>
        <v>336.96</v>
      </c>
      <c r="Y444" s="380">
        <f t="shared" si="1550"/>
        <v>859.24</v>
      </c>
      <c r="Z444" s="381"/>
      <c r="AA444" s="378" t="s">
        <v>28044</v>
      </c>
      <c r="AB444" s="642"/>
    </row>
    <row r="445" spans="2:28" s="55" customFormat="1" ht="30">
      <c r="B445" s="378">
        <f t="shared" ca="1" si="1539"/>
        <v>2</v>
      </c>
      <c r="C445" s="378" t="str">
        <f t="shared" si="1105"/>
        <v>S</v>
      </c>
      <c r="D445" s="378">
        <f t="shared" ca="1" si="1195"/>
        <v>16</v>
      </c>
      <c r="E445" s="378" t="str">
        <f t="shared" ca="1" si="1540"/>
        <v>0</v>
      </c>
      <c r="F445" s="378" t="str">
        <f t="shared" ca="1" si="1541"/>
        <v>0</v>
      </c>
      <c r="G445" s="378" t="str">
        <f t="shared" ca="1" si="1542"/>
        <v>0</v>
      </c>
      <c r="H445" s="378" t="str">
        <f t="shared" ca="1" si="1543"/>
        <v>0</v>
      </c>
      <c r="I445" s="378" t="str">
        <f t="shared" ca="1" si="1544"/>
        <v>0</v>
      </c>
      <c r="J445" s="378">
        <f t="shared" ca="1" si="1196"/>
        <v>16</v>
      </c>
      <c r="K445" s="378" t="str">
        <f t="shared" si="1545"/>
        <v>NÃO</v>
      </c>
      <c r="L445" s="378" t="str">
        <f t="shared" ca="1" si="1546"/>
        <v>16.16</v>
      </c>
      <c r="M445" s="55" t="s">
        <v>27868</v>
      </c>
      <c r="O445" s="392" t="str">
        <f t="shared" ca="1" si="1547"/>
        <v>16.16</v>
      </c>
      <c r="P445" s="681" t="s">
        <v>41261</v>
      </c>
      <c r="Q445" s="682" t="s">
        <v>22751</v>
      </c>
      <c r="R445" s="415" t="str">
        <f>UPPER(IF(P445="CDHU",VLOOKUP(Q445,'CDHU 201-SD'!$A$1:$J$28014,2,FALSE),IF(P445="FDE",VLOOKUP(Q445,'FDE 01-26-SD'!$A$1:$J$280013,2,FALSE),IF(P445="PRÓPRIA",VLOOKUP(Q445,COMPOSIÇÃO!$1:$1048576,3,FALSE),VLOOKUP(Q445,'SINAPI 04-26-SD'!$A$1:$H$272700,2,FALSE)))))</f>
        <v>PINTURA DUAS DEMÃOS ESMALTE FACE APARENTE DE TUBULAÇÃO Ø1 1/2"</v>
      </c>
      <c r="S445" s="414" t="str">
        <f>UPPER(IF(P445="CDHU",VLOOKUP(Q445,'CDHU 201-SD'!$A$1:$J$28014,3,FALSE),IF(P445="FDE",VLOOKUP(Q445,'FDE 01-26-SD'!$A$1:$J$280013,3,FALSE),IF(P445="PRÓPRIA",VLOOKUP(Q445,COMPOSIÇÃO!$1:$1048576,7,FALSE),VLOOKUP(Q445,'SINAPI 04-26-SD'!$A$1:$H$272700,3,FALSE)))))</f>
        <v>M</v>
      </c>
      <c r="T445" s="393">
        <v>0.8</v>
      </c>
      <c r="U445" s="394">
        <f>TRUNC(IF(P445="CDHU",VLOOKUP(Q445,'CDHU 201-SD'!$A$1:$J$28014,6,FALSE),IF(P445="FDE",VLOOKUP(Q445,'FDE 01-26-SD'!$A$1:$J$280013,6,FALSE),IF(P445="PRÓPRIA",VLOOKUP(Q445,COMPOSIÇÃO!$1:$1048576,10,FALSE),VLOOKUP(Q445,'SINAPI 04-26-SD'!$A$1:$H$272700,4,FALSE)))),2)</f>
        <v>12.41</v>
      </c>
      <c r="V445" s="416">
        <f t="shared" si="1548"/>
        <v>9.92</v>
      </c>
      <c r="W445" s="395">
        <f>IF($AA445="N",BDI!$D$26,IF($AA445="D",'BDI DIFE.'!$D$26,"ERRO"))</f>
        <v>0.22500000000000001</v>
      </c>
      <c r="X445" s="379">
        <f t="shared" si="1549"/>
        <v>15.2</v>
      </c>
      <c r="Y445" s="380">
        <f t="shared" si="1550"/>
        <v>12.16</v>
      </c>
      <c r="Z445" s="381"/>
      <c r="AA445" s="378" t="s">
        <v>28044</v>
      </c>
      <c r="AB445" s="642"/>
    </row>
    <row r="446" spans="2:28" s="55" customFormat="1" ht="30">
      <c r="B446" s="378">
        <f t="shared" ca="1" si="1500"/>
        <v>2</v>
      </c>
      <c r="C446" s="378" t="str">
        <f t="shared" si="1105"/>
        <v>S</v>
      </c>
      <c r="D446" s="378">
        <f t="shared" ca="1" si="1195"/>
        <v>16</v>
      </c>
      <c r="E446" s="378" t="str">
        <f t="shared" ca="1" si="1501"/>
        <v>0</v>
      </c>
      <c r="F446" s="378" t="str">
        <f t="shared" ca="1" si="1502"/>
        <v>0</v>
      </c>
      <c r="G446" s="378" t="str">
        <f t="shared" ca="1" si="1503"/>
        <v>0</v>
      </c>
      <c r="H446" s="378" t="str">
        <f t="shared" ca="1" si="1504"/>
        <v>0</v>
      </c>
      <c r="I446" s="378" t="str">
        <f t="shared" ca="1" si="1505"/>
        <v>0</v>
      </c>
      <c r="J446" s="378">
        <f t="shared" ca="1" si="1196"/>
        <v>17</v>
      </c>
      <c r="K446" s="378" t="str">
        <f t="shared" si="1506"/>
        <v>NÃO</v>
      </c>
      <c r="L446" s="378" t="str">
        <f t="shared" ca="1" si="1507"/>
        <v>16.17</v>
      </c>
      <c r="M446" s="55" t="s">
        <v>27868</v>
      </c>
      <c r="O446" s="392" t="str">
        <f t="shared" ca="1" si="1508"/>
        <v>16.17</v>
      </c>
      <c r="P446" s="681" t="s">
        <v>41261</v>
      </c>
      <c r="Q446" s="682" t="s">
        <v>22755</v>
      </c>
      <c r="R446" s="415" t="str">
        <f>UPPER(IF(P446="CDHU",VLOOKUP(Q446,'CDHU 201-SD'!$A$1:$J$28014,2,FALSE),IF(P446="FDE",VLOOKUP(Q446,'FDE 01-26-SD'!$A$1:$J$280013,2,FALSE),IF(P446="PRÓPRIA",VLOOKUP(Q446,COMPOSIÇÃO!$1:$1048576,3,FALSE),VLOOKUP(Q446,'SINAPI 04-26-SD'!$A$1:$H$272700,2,FALSE)))))</f>
        <v>PINTURA DUAS DEMÃOS ESMALTE FACE APARENTE DE TUBULAÇÃO Ø 2 1/2"</v>
      </c>
      <c r="S446" s="414" t="str">
        <f>UPPER(IF(P446="CDHU",VLOOKUP(Q446,'CDHU 201-SD'!$A$1:$J$28014,3,FALSE),IF(P446="FDE",VLOOKUP(Q446,'FDE 01-26-SD'!$A$1:$J$280013,3,FALSE),IF(P446="PRÓPRIA",VLOOKUP(Q446,COMPOSIÇÃO!$1:$1048576,7,FALSE),VLOOKUP(Q446,'SINAPI 04-26-SD'!$A$1:$H$272700,3,FALSE)))))</f>
        <v>M</v>
      </c>
      <c r="T446" s="393">
        <v>99.16</v>
      </c>
      <c r="U446" s="394">
        <f>TRUNC(IF(P446="CDHU",VLOOKUP(Q446,'CDHU 201-SD'!$A$1:$J$28014,6,FALSE),IF(P446="FDE",VLOOKUP(Q446,'FDE 01-26-SD'!$A$1:$J$280013,6,FALSE),IF(P446="PRÓPRIA",VLOOKUP(Q446,COMPOSIÇÃO!$1:$1048576,10,FALSE),VLOOKUP(Q446,'SINAPI 04-26-SD'!$A$1:$H$272700,4,FALSE)))),2)</f>
        <v>15.7</v>
      </c>
      <c r="V446" s="416">
        <f t="shared" si="1524"/>
        <v>1556.81</v>
      </c>
      <c r="W446" s="395">
        <f>IF($AA446="N",BDI!$D$26,IF($AA446="D",'BDI DIFE.'!$D$26,"ERRO"))</f>
        <v>0.22500000000000001</v>
      </c>
      <c r="X446" s="379">
        <f t="shared" si="1525"/>
        <v>19.23</v>
      </c>
      <c r="Y446" s="380">
        <f t="shared" si="1526"/>
        <v>1906.84</v>
      </c>
      <c r="Z446" s="381"/>
      <c r="AA446" s="378" t="s">
        <v>28044</v>
      </c>
      <c r="AB446" s="642"/>
    </row>
    <row r="447" spans="2:28" s="55" customFormat="1" ht="30">
      <c r="B447" s="378">
        <f t="shared" ca="1" si="1500"/>
        <v>2</v>
      </c>
      <c r="C447" s="378" t="str">
        <f t="shared" si="1105"/>
        <v>S</v>
      </c>
      <c r="D447" s="378">
        <f t="shared" ca="1" si="1195"/>
        <v>16</v>
      </c>
      <c r="E447" s="378" t="str">
        <f t="shared" ca="1" si="1501"/>
        <v>0</v>
      </c>
      <c r="F447" s="378" t="str">
        <f t="shared" ca="1" si="1502"/>
        <v>0</v>
      </c>
      <c r="G447" s="378" t="str">
        <f t="shared" ca="1" si="1503"/>
        <v>0</v>
      </c>
      <c r="H447" s="378" t="str">
        <f t="shared" ca="1" si="1504"/>
        <v>0</v>
      </c>
      <c r="I447" s="378" t="str">
        <f t="shared" ca="1" si="1505"/>
        <v>0</v>
      </c>
      <c r="J447" s="378">
        <f t="shared" ca="1" si="1196"/>
        <v>18</v>
      </c>
      <c r="K447" s="378" t="str">
        <f t="shared" si="1506"/>
        <v>NÃO</v>
      </c>
      <c r="L447" s="378" t="str">
        <f t="shared" ca="1" si="1507"/>
        <v>16.18</v>
      </c>
      <c r="M447" s="55" t="s">
        <v>27868</v>
      </c>
      <c r="O447" s="392" t="str">
        <f t="shared" ca="1" si="1508"/>
        <v>16.18</v>
      </c>
      <c r="P447" s="681" t="s">
        <v>41261</v>
      </c>
      <c r="Q447" s="682" t="s">
        <v>22757</v>
      </c>
      <c r="R447" s="415" t="str">
        <f>UPPER(IF(P447="CDHU",VLOOKUP(Q447,'CDHU 201-SD'!$A$1:$J$28014,2,FALSE),IF(P447="FDE",VLOOKUP(Q447,'FDE 01-26-SD'!$A$1:$J$280013,2,FALSE),IF(P447="PRÓPRIA",VLOOKUP(Q447,COMPOSIÇÃO!$1:$1048576,3,FALSE),VLOOKUP(Q447,'SINAPI 04-26-SD'!$A$1:$H$272700,2,FALSE)))))</f>
        <v>PINTURA DUAS DEMÃOS ESMALTE FACE APARENTE DE TUBULAÇÃO Ø 3"</v>
      </c>
      <c r="S447" s="414" t="str">
        <f>UPPER(IF(P447="CDHU",VLOOKUP(Q447,'CDHU 201-SD'!$A$1:$J$28014,3,FALSE),IF(P447="FDE",VLOOKUP(Q447,'FDE 01-26-SD'!$A$1:$J$280013,3,FALSE),IF(P447="PRÓPRIA",VLOOKUP(Q447,COMPOSIÇÃO!$1:$1048576,7,FALSE),VLOOKUP(Q447,'SINAPI 04-26-SD'!$A$1:$H$272700,3,FALSE)))))</f>
        <v>M</v>
      </c>
      <c r="T447" s="393">
        <v>2.5499999999999998</v>
      </c>
      <c r="U447" s="394">
        <f>TRUNC(IF(P447="CDHU",VLOOKUP(Q447,'CDHU 201-SD'!$A$1:$J$28014,6,FALSE),IF(P447="FDE",VLOOKUP(Q447,'FDE 01-26-SD'!$A$1:$J$280013,6,FALSE),IF(P447="PRÓPRIA",VLOOKUP(Q447,COMPOSIÇÃO!$1:$1048576,10,FALSE),VLOOKUP(Q447,'SINAPI 04-26-SD'!$A$1:$H$272700,4,FALSE)))),2)</f>
        <v>17.18</v>
      </c>
      <c r="V447" s="416">
        <f t="shared" si="1524"/>
        <v>43.8</v>
      </c>
      <c r="W447" s="395">
        <f>IF($AA447="N",BDI!$D$26,IF($AA447="D",'BDI DIFE.'!$D$26,"ERRO"))</f>
        <v>0.22500000000000001</v>
      </c>
      <c r="X447" s="379">
        <f t="shared" si="1525"/>
        <v>21.04</v>
      </c>
      <c r="Y447" s="380">
        <f t="shared" si="1526"/>
        <v>53.65</v>
      </c>
      <c r="Z447" s="381"/>
      <c r="AA447" s="378" t="s">
        <v>28044</v>
      </c>
      <c r="AB447" s="642"/>
    </row>
    <row r="448" spans="2:28" s="55" customFormat="1" ht="30">
      <c r="B448" s="378">
        <f t="shared" ref="B448" ca="1" si="1563">IF(C448="S",IF(OFFSET(C448,-1,0)="S", OFFSET(B448,-1,0), OFFSET(B448,-1,0) +1 ), C448)</f>
        <v>2</v>
      </c>
      <c r="C448" s="378" t="str">
        <f t="shared" si="1105"/>
        <v>S</v>
      </c>
      <c r="D448" s="378">
        <f t="shared" ca="1" si="1195"/>
        <v>16</v>
      </c>
      <c r="E448" s="378" t="str">
        <f t="shared" ref="E448" ca="1" si="1564">IF($C448="2",OFFSET(E448,-1,0) +1,IF(OFFSET(D448,-1,0)&lt;&gt;D448,"0",IF(OFFSET(E448,-1,0)="","0",OFFSET(E448,-1,0))))</f>
        <v>0</v>
      </c>
      <c r="F448" s="378" t="str">
        <f t="shared" ref="F448" ca="1" si="1565">IF($C448="3",OFFSET(F448,-1,0) +1,IF(OFFSET(E448,-1,0)&lt;&gt;E448,"0",IF(OFFSET(F448,-1,0)="","0",OFFSET(F448,-1,0))))</f>
        <v>0</v>
      </c>
      <c r="G448" s="378" t="str">
        <f t="shared" ref="G448" ca="1" si="1566">IF($C448="4",OFFSET(G448,-1,0) +1,IF(OFFSET(F448,-1,0)&lt;&gt;F448,"0",IF(OFFSET(G448,-1,0)="","0",OFFSET(G448,-1,0))))</f>
        <v>0</v>
      </c>
      <c r="H448" s="378" t="str">
        <f t="shared" ref="H448" ca="1" si="1567">IF($C448="5",OFFSET(H448,-1,0) +1,IF(OFFSET(G448,-1,0)&lt;&gt;G448,"0",IF(OFFSET(H448,-1,0)="","0",OFFSET(H448,-1,0))))</f>
        <v>0</v>
      </c>
      <c r="I448" s="378" t="str">
        <f t="shared" ref="I448" ca="1" si="1568">IF($C448="6",OFFSET(I448,-1,0) +1,IF(OFFSET(H448,-1,0)&lt;&gt;H448,"0",IF(OFFSET(I448,-1,0)="","0", OFFSET(I448,-1,0))))</f>
        <v>0</v>
      </c>
      <c r="J448" s="378">
        <f t="shared" ca="1" si="1196"/>
        <v>19</v>
      </c>
      <c r="K448" s="378" t="str">
        <f t="shared" ref="K448" si="1569">IF(C448="S","NÃO", IF(C448="1", D448, IF(C448="2", D448 &amp; "." &amp; E448,IF(C448="3", D448 &amp; "." &amp; E448 &amp; "." &amp; F448, IF(C448="4", D448 &amp; "." &amp; E448 &amp; "." &amp; F448 &amp; "." &amp; G448, IF(C448="5", D448 &amp; "." &amp; E448 &amp; "." &amp; F448 &amp; "." &amp; G448 &amp; "." &amp; H448, IF(C448="6", D448 &amp; "." &amp; E448 &amp; "." &amp; F448 &amp; "." &amp; G448 &amp; "." &amp; H448 &amp; "." &amp; I448)))))))</f>
        <v>NÃO</v>
      </c>
      <c r="L448" s="378" t="str">
        <f t="shared" ref="L448" ca="1" si="1570">IF(K448="NÃO",IF($B448=2,D448&amp;"."&amp;J448,IF($B448=3,D448&amp;"."&amp;E448&amp;"."&amp;J448,IF($B448=4,D448&amp;"."&amp;E448&amp;"."&amp;F448&amp;"."&amp;J448,IF($B448=5,D448&amp;"."&amp;E448&amp;"."&amp;F448&amp;"."&amp;G448&amp;"."&amp;J448,IF($B448=6,D448&amp;"."&amp;E448&amp;"."&amp;F448&amp;"."&amp;G448&amp;"."&amp;H448&amp;"."&amp;J448,IF($B448=7,D448&amp;"."&amp;E448&amp;"."&amp;F448&amp;"."&amp;G448&amp;"."&amp;H448&amp;"."&amp;I448&amp;"."&amp;J448,"FALHA")))))),K448)</f>
        <v>16.19</v>
      </c>
      <c r="M448" s="55" t="s">
        <v>27868</v>
      </c>
      <c r="O448" s="392" t="str">
        <f t="shared" ref="O448" ca="1" si="1571">L448</f>
        <v>16.19</v>
      </c>
      <c r="P448" s="681" t="s">
        <v>29901</v>
      </c>
      <c r="Q448" s="682" t="s">
        <v>17016</v>
      </c>
      <c r="R448" s="415" t="str">
        <f>UPPER(IF(P448="CDHU",VLOOKUP(Q448,'CDHU 201-SD'!$A$1:$J$28014,2,FALSE),IF(P448="FDE",VLOOKUP(Q448,'FDE 01-26-SD'!$A$1:$J$280013,2,FALSE),IF(P448="PRÓPRIA",VLOOKUP(Q448,COMPOSIÇÃO!$1:$1048576,3,FALSE),VLOOKUP(Q448,'SINAPI 04-26-SD'!$A$1:$H$272700,2,FALSE)))))</f>
        <v>REGISTRO DE GAVETA EM LATÃO FUNDIDO SEM ACABAMENTO, DN= 1 1/2´</v>
      </c>
      <c r="S448" s="414" t="str">
        <f>UPPER(IF(P448="CDHU",VLOOKUP(Q448,'CDHU 201-SD'!$A$1:$J$28014,3,FALSE),IF(P448="FDE",VLOOKUP(Q448,'FDE 01-26-SD'!$A$1:$J$280013,3,FALSE),IF(P448="PRÓPRIA",VLOOKUP(Q448,COMPOSIÇÃO!$1:$1048576,7,FALSE),VLOOKUP(Q448,'SINAPI 04-26-SD'!$A$1:$H$272700,3,FALSE)))))</f>
        <v>UN</v>
      </c>
      <c r="T448" s="393">
        <v>2</v>
      </c>
      <c r="U448" s="394">
        <f>TRUNC(IF(P448="CDHU",VLOOKUP(Q448,'CDHU 201-SD'!$A$1:$J$28014,6,FALSE),IF(P448="FDE",VLOOKUP(Q448,'FDE 01-26-SD'!$A$1:$J$280013,6,FALSE),IF(P448="PRÓPRIA",VLOOKUP(Q448,COMPOSIÇÃO!$1:$1048576,10,FALSE),VLOOKUP(Q448,'SINAPI 04-26-SD'!$A$1:$H$272700,4,FALSE)))),2)</f>
        <v>171.6</v>
      </c>
      <c r="V448" s="416">
        <f t="shared" ref="V448" si="1572">TRUNC(U448*T448,2)</f>
        <v>343.2</v>
      </c>
      <c r="W448" s="395">
        <f>IF($AA448="N",BDI!$D$26,IF($AA448="D",'BDI DIFE.'!$D$26,"ERRO"))</f>
        <v>0.22500000000000001</v>
      </c>
      <c r="X448" s="379">
        <f t="shared" ref="X448" si="1573">TRUNC(U448*(1+W448),2)</f>
        <v>210.21</v>
      </c>
      <c r="Y448" s="380">
        <f t="shared" ref="Y448" si="1574">TRUNC(T448*X448,2)</f>
        <v>420.42</v>
      </c>
      <c r="Z448" s="381"/>
      <c r="AA448" s="378" t="s">
        <v>28044</v>
      </c>
      <c r="AB448" s="642"/>
    </row>
    <row r="449" spans="2:28" s="55" customFormat="1" ht="30">
      <c r="B449" s="378">
        <f t="shared" ca="1" si="1500"/>
        <v>2</v>
      </c>
      <c r="C449" s="378" t="str">
        <f t="shared" si="1105"/>
        <v>S</v>
      </c>
      <c r="D449" s="378">
        <f t="shared" ca="1" si="1195"/>
        <v>16</v>
      </c>
      <c r="E449" s="378" t="str">
        <f t="shared" ca="1" si="1501"/>
        <v>0</v>
      </c>
      <c r="F449" s="378" t="str">
        <f t="shared" ca="1" si="1502"/>
        <v>0</v>
      </c>
      <c r="G449" s="378" t="str">
        <f t="shared" ca="1" si="1503"/>
        <v>0</v>
      </c>
      <c r="H449" s="378" t="str">
        <f t="shared" ca="1" si="1504"/>
        <v>0</v>
      </c>
      <c r="I449" s="378" t="str">
        <f t="shared" ca="1" si="1505"/>
        <v>0</v>
      </c>
      <c r="J449" s="378">
        <f t="shared" ca="1" si="1196"/>
        <v>20</v>
      </c>
      <c r="K449" s="378" t="str">
        <f t="shared" si="1506"/>
        <v>NÃO</v>
      </c>
      <c r="L449" s="378" t="str">
        <f t="shared" ca="1" si="1507"/>
        <v>16.20</v>
      </c>
      <c r="M449" s="55" t="s">
        <v>27868</v>
      </c>
      <c r="O449" s="392" t="str">
        <f t="shared" ca="1" si="1508"/>
        <v>16.20</v>
      </c>
      <c r="P449" s="681" t="s">
        <v>29901</v>
      </c>
      <c r="Q449" s="682" t="s">
        <v>17020</v>
      </c>
      <c r="R449" s="415" t="str">
        <f>UPPER(IF(P449="CDHU",VLOOKUP(Q449,'CDHU 201-SD'!$A$1:$J$28014,2,FALSE),IF(P449="FDE",VLOOKUP(Q449,'FDE 01-26-SD'!$A$1:$J$280013,2,FALSE),IF(P449="PRÓPRIA",VLOOKUP(Q449,COMPOSIÇÃO!$1:$1048576,3,FALSE),VLOOKUP(Q449,'SINAPI 04-26-SD'!$A$1:$H$272700,2,FALSE)))))</f>
        <v>REGISTRO DE GAVETA EM LATÃO FUNDIDO SEM ACABAMENTO, DN= 2 1/2´</v>
      </c>
      <c r="S449" s="414" t="str">
        <f>UPPER(IF(P449="CDHU",VLOOKUP(Q449,'CDHU 201-SD'!$A$1:$J$28014,3,FALSE),IF(P449="FDE",VLOOKUP(Q449,'FDE 01-26-SD'!$A$1:$J$280013,3,FALSE),IF(P449="PRÓPRIA",VLOOKUP(Q449,COMPOSIÇÃO!$1:$1048576,7,FALSE),VLOOKUP(Q449,'SINAPI 04-26-SD'!$A$1:$H$272700,3,FALSE)))))</f>
        <v>UN</v>
      </c>
      <c r="T449" s="393">
        <v>1</v>
      </c>
      <c r="U449" s="394">
        <f>TRUNC(IF(P449="CDHU",VLOOKUP(Q449,'CDHU 201-SD'!$A$1:$J$28014,6,FALSE),IF(P449="FDE",VLOOKUP(Q449,'FDE 01-26-SD'!$A$1:$J$280013,6,FALSE),IF(P449="PRÓPRIA",VLOOKUP(Q449,COMPOSIÇÃO!$1:$1048576,10,FALSE),VLOOKUP(Q449,'SINAPI 04-26-SD'!$A$1:$H$272700,4,FALSE)))),2)</f>
        <v>491.28</v>
      </c>
      <c r="V449" s="416">
        <f t="shared" si="1524"/>
        <v>491.28</v>
      </c>
      <c r="W449" s="395">
        <f>IF($AA449="N",BDI!$D$26,IF($AA449="D",'BDI DIFE.'!$D$26,"ERRO"))</f>
        <v>0.22500000000000001</v>
      </c>
      <c r="X449" s="379">
        <f t="shared" si="1525"/>
        <v>601.80999999999995</v>
      </c>
      <c r="Y449" s="380">
        <f t="shared" si="1526"/>
        <v>601.80999999999995</v>
      </c>
      <c r="Z449" s="381"/>
      <c r="AA449" s="378" t="s">
        <v>28044</v>
      </c>
      <c r="AB449" s="642"/>
    </row>
    <row r="450" spans="2:28" s="55" customFormat="1" ht="31" thickBot="1">
      <c r="B450" s="378">
        <f t="shared" ca="1" si="1500"/>
        <v>2</v>
      </c>
      <c r="C450" s="378" t="str">
        <f t="shared" si="1105"/>
        <v>S</v>
      </c>
      <c r="D450" s="378">
        <f t="shared" ca="1" si="1195"/>
        <v>16</v>
      </c>
      <c r="E450" s="378" t="str">
        <f t="shared" ca="1" si="1501"/>
        <v>0</v>
      </c>
      <c r="F450" s="378" t="str">
        <f t="shared" ca="1" si="1502"/>
        <v>0</v>
      </c>
      <c r="G450" s="378" t="str">
        <f t="shared" ca="1" si="1503"/>
        <v>0</v>
      </c>
      <c r="H450" s="378" t="str">
        <f t="shared" ca="1" si="1504"/>
        <v>0</v>
      </c>
      <c r="I450" s="378" t="str">
        <f t="shared" ca="1" si="1505"/>
        <v>0</v>
      </c>
      <c r="J450" s="378">
        <f t="shared" ca="1" si="1196"/>
        <v>21</v>
      </c>
      <c r="K450" s="378" t="str">
        <f t="shared" si="1506"/>
        <v>NÃO</v>
      </c>
      <c r="L450" s="378" t="str">
        <f t="shared" ca="1" si="1507"/>
        <v>16.21</v>
      </c>
      <c r="M450" s="55" t="s">
        <v>27868</v>
      </c>
      <c r="O450" s="392" t="str">
        <f t="shared" ca="1" si="1508"/>
        <v>16.21</v>
      </c>
      <c r="P450" s="681" t="s">
        <v>29901</v>
      </c>
      <c r="Q450" s="682" t="s">
        <v>17022</v>
      </c>
      <c r="R450" s="415" t="str">
        <f>UPPER(IF(P450="CDHU",VLOOKUP(Q450,'CDHU 201-SD'!$A$1:$J$28014,2,FALSE),IF(P450="FDE",VLOOKUP(Q450,'FDE 01-26-SD'!$A$1:$J$280013,2,FALSE),IF(P450="PRÓPRIA",VLOOKUP(Q450,COMPOSIÇÃO!$1:$1048576,3,FALSE),VLOOKUP(Q450,'SINAPI 04-26-SD'!$A$1:$H$272700,2,FALSE)))))</f>
        <v>REGISTRO DE GAVETA EM LATÃO FUNDIDO SEM ACABAMENTO, DN= 3´</v>
      </c>
      <c r="S450" s="414" t="str">
        <f>UPPER(IF(P450="CDHU",VLOOKUP(Q450,'CDHU 201-SD'!$A$1:$J$28014,3,FALSE),IF(P450="FDE",VLOOKUP(Q450,'FDE 01-26-SD'!$A$1:$J$280013,3,FALSE),IF(P450="PRÓPRIA",VLOOKUP(Q450,COMPOSIÇÃO!$1:$1048576,7,FALSE),VLOOKUP(Q450,'SINAPI 04-26-SD'!$A$1:$H$272700,3,FALSE)))))</f>
        <v>UN</v>
      </c>
      <c r="T450" s="393">
        <v>1</v>
      </c>
      <c r="U450" s="394">
        <f>TRUNC(IF(P450="CDHU",VLOOKUP(Q450,'CDHU 201-SD'!$A$1:$J$28014,6,FALSE),IF(P450="FDE",VLOOKUP(Q450,'FDE 01-26-SD'!$A$1:$J$280013,6,FALSE),IF(P450="PRÓPRIA",VLOOKUP(Q450,COMPOSIÇÃO!$1:$1048576,10,FALSE),VLOOKUP(Q450,'SINAPI 04-26-SD'!$A$1:$H$272700,4,FALSE)))),2)</f>
        <v>784.92</v>
      </c>
      <c r="V450" s="416">
        <f t="shared" si="1524"/>
        <v>784.92</v>
      </c>
      <c r="W450" s="395">
        <f>IF($AA450="N",BDI!$D$26,IF($AA450="D",'BDI DIFE.'!$D$26,"ERRO"))</f>
        <v>0.22500000000000001</v>
      </c>
      <c r="X450" s="379">
        <f t="shared" si="1525"/>
        <v>961.52</v>
      </c>
      <c r="Y450" s="380">
        <f t="shared" si="1526"/>
        <v>961.52</v>
      </c>
      <c r="Z450" s="381"/>
      <c r="AA450" s="378" t="s">
        <v>28044</v>
      </c>
      <c r="AB450" s="642"/>
    </row>
    <row r="451" spans="2:28" s="55" customFormat="1" ht="16" thickBot="1">
      <c r="B451" s="378" t="str">
        <f t="shared" ca="1" si="1392"/>
        <v/>
      </c>
      <c r="C451" s="378" t="str">
        <f>IF(RIGHT($M451) = "o", "S", RIGHT($M451))</f>
        <v/>
      </c>
      <c r="D451" s="378">
        <f t="shared" ca="1" si="1195"/>
        <v>16</v>
      </c>
      <c r="E451" s="378" t="str">
        <f t="shared" ca="1" si="1393"/>
        <v>0</v>
      </c>
      <c r="F451" s="378" t="str">
        <f t="shared" ca="1" si="1394"/>
        <v>0</v>
      </c>
      <c r="G451" s="378" t="str">
        <f t="shared" ca="1" si="1395"/>
        <v>0</v>
      </c>
      <c r="H451" s="378" t="str">
        <f t="shared" ca="1" si="1396"/>
        <v>0</v>
      </c>
      <c r="I451" s="378" t="str">
        <f t="shared" ca="1" si="1397"/>
        <v>0</v>
      </c>
      <c r="J451" s="378" t="str">
        <f t="shared" ca="1" si="1196"/>
        <v>0</v>
      </c>
      <c r="K451" s="378" t="b">
        <f t="shared" si="1398"/>
        <v>0</v>
      </c>
      <c r="L451" s="378" t="b">
        <f t="shared" si="1399"/>
        <v>0</v>
      </c>
      <c r="O451" s="192"/>
      <c r="P451" s="387"/>
      <c r="Q451" s="387"/>
      <c r="R451" s="377"/>
      <c r="S451" s="387"/>
      <c r="T451" s="363"/>
      <c r="U451" s="388"/>
      <c r="V451" s="389"/>
      <c r="W451" s="389"/>
      <c r="X451" s="389"/>
      <c r="Y451" s="390"/>
      <c r="AA451" s="378"/>
      <c r="AB451" s="642"/>
    </row>
    <row r="452" spans="2:28" s="75" customFormat="1" ht="16" thickBot="1">
      <c r="B452" s="75" t="str">
        <f t="shared" ca="1" si="1392"/>
        <v>1</v>
      </c>
      <c r="C452" s="75" t="str">
        <f t="shared" si="1105"/>
        <v>1</v>
      </c>
      <c r="D452" s="75">
        <f t="shared" ca="1" si="1195"/>
        <v>17</v>
      </c>
      <c r="E452" s="75" t="str">
        <f t="shared" ca="1" si="1393"/>
        <v>0</v>
      </c>
      <c r="F452" s="75" t="str">
        <f t="shared" ca="1" si="1394"/>
        <v>0</v>
      </c>
      <c r="G452" s="75" t="str">
        <f t="shared" ca="1" si="1395"/>
        <v>0</v>
      </c>
      <c r="H452" s="75" t="str">
        <f t="shared" ca="1" si="1396"/>
        <v>0</v>
      </c>
      <c r="I452" s="75" t="str">
        <f t="shared" ca="1" si="1397"/>
        <v>0</v>
      </c>
      <c r="J452" s="75" t="str">
        <f t="shared" ca="1" si="1196"/>
        <v>0</v>
      </c>
      <c r="K452" s="75">
        <f t="shared" ca="1" si="1398"/>
        <v>17</v>
      </c>
      <c r="L452" s="75">
        <f t="shared" ca="1" si="1399"/>
        <v>17</v>
      </c>
      <c r="M452" s="55" t="s">
        <v>27859</v>
      </c>
      <c r="O452" s="191">
        <f t="shared" ref="O452:O467" ca="1" si="1575">L452</f>
        <v>17</v>
      </c>
      <c r="P452" s="172"/>
      <c r="Q452" s="172"/>
      <c r="R452" s="683" t="s">
        <v>41878</v>
      </c>
      <c r="S452" s="172"/>
      <c r="T452" s="194"/>
      <c r="U452" s="195"/>
      <c r="V452" s="196">
        <f ca="1">IF(VALUE(C452)=1,SUMIFS(V:V,D:D,D452,M:M,"Serviço"),IF(VALUE(C452)=2,SUMIFS(V:V,D:D,D452,E:E,E452,M:M,"Serviço"),IF(VALUE(C452)=3,SUMIFS(V:V,D:D,D452,E:E,E452,F:F,F452,M:M,"Serviço"),IF(VALUE(C452)=4,SUMIFS(V:V,D:D,D452,E:E,E452,F:F,F452,G:G,G452,M:M,"Serviço"),"ERRO"))))</f>
        <v>133963.56999999998</v>
      </c>
      <c r="W452" s="197"/>
      <c r="X452" s="205"/>
      <c r="Y452" s="173">
        <f ca="1">IF(VALUE(C452)=1,SUMIFS(Y:Y,D:D,D452,M:M,"Serviço"),IF(VALUE(C452)=2,SUMIFS(Y:Y,D:D,D452,E:E,E452,M:M,"Serviço"),IF(VALUE(C452)=3,SUMIFS(Y:Y,D:D,D452,E:E,E452,F:F,F452,M:M,"Serviço"),IF(VALUE(C452)=4,SUMIFS(Y:Y,D:D,D452,E:E,E452,F:F,F452,G:G,G452,M:M,"Serviço"),"ERRO"))))</f>
        <v>164097.24000000002</v>
      </c>
      <c r="AB452" s="641"/>
    </row>
    <row r="453" spans="2:28" s="75" customFormat="1" ht="16" thickBot="1">
      <c r="B453" s="75" t="str">
        <f t="shared" ca="1" si="1392"/>
        <v>2</v>
      </c>
      <c r="C453" s="75" t="str">
        <f t="shared" si="1105"/>
        <v>2</v>
      </c>
      <c r="D453" s="75">
        <f t="shared" ca="1" si="1195"/>
        <v>17</v>
      </c>
      <c r="E453" s="75">
        <f t="shared" ca="1" si="1393"/>
        <v>1</v>
      </c>
      <c r="F453" s="75" t="str">
        <f t="shared" ca="1" si="1394"/>
        <v>0</v>
      </c>
      <c r="G453" s="75" t="str">
        <f t="shared" ca="1" si="1395"/>
        <v>0</v>
      </c>
      <c r="H453" s="75" t="str">
        <f t="shared" ca="1" si="1396"/>
        <v>0</v>
      </c>
      <c r="I453" s="75" t="str">
        <f t="shared" ca="1" si="1397"/>
        <v>0</v>
      </c>
      <c r="J453" s="75" t="str">
        <f t="shared" ca="1" si="1196"/>
        <v>0</v>
      </c>
      <c r="K453" s="75" t="str">
        <f t="shared" ca="1" si="1398"/>
        <v>17.1</v>
      </c>
      <c r="L453" s="75" t="str">
        <f t="shared" ca="1" si="1399"/>
        <v>17.1</v>
      </c>
      <c r="M453" s="55" t="s">
        <v>27861</v>
      </c>
      <c r="O453" s="191" t="str">
        <f t="shared" ca="1" si="1575"/>
        <v>17.1</v>
      </c>
      <c r="P453" s="172"/>
      <c r="Q453" s="172"/>
      <c r="R453" s="683" t="s">
        <v>41879</v>
      </c>
      <c r="S453" s="172"/>
      <c r="T453" s="194"/>
      <c r="U453" s="195"/>
      <c r="V453" s="196">
        <f ca="1">IF(VALUE(C453)=1,SUMIFS(V:V,D:D,D453,M:M,"Serviço"),IF(VALUE(C453)=2,SUMIFS(V:V,D:D,D453,E:E,E453,M:M,"Serviço"),IF(VALUE(C453)=3,SUMIFS(V:V,D:D,D453,E:E,E453,F:F,F453,M:M,"Serviço"),IF(VALUE(C453)=4,SUMIFS(V:V,D:D,D453,E:E,E453,F:F,F453,G:G,G453,M:M,"Serviço"),"ERRO"))))</f>
        <v>132184.29999999996</v>
      </c>
      <c r="W453" s="197"/>
      <c r="X453" s="205"/>
      <c r="Y453" s="173">
        <f ca="1">IF(VALUE(C453)=1,SUMIFS(Y:Y,D:D,D453,M:M,"Serviço"),IF(VALUE(C453)=2,SUMIFS(Y:Y,D:D,D453,E:E,E453,M:M,"Serviço"),IF(VALUE(C453)=3,SUMIFS(Y:Y,D:D,D453,E:E,E453,F:F,F453,M:M,"Serviço"),IF(VALUE(C453)=4,SUMIFS(Y:Y,D:D,D453,E:E,E453,F:F,F453,G:G,G453,M:M,"Serviço"),"ERRO"))))</f>
        <v>161917.66</v>
      </c>
      <c r="AB453" s="641"/>
    </row>
    <row r="454" spans="2:28" s="55" customFormat="1" ht="30">
      <c r="B454" s="378">
        <f t="shared" ca="1" si="1392"/>
        <v>3</v>
      </c>
      <c r="C454" s="378" t="str">
        <f t="shared" si="1105"/>
        <v>S</v>
      </c>
      <c r="D454" s="378">
        <f t="shared" ca="1" si="1195"/>
        <v>17</v>
      </c>
      <c r="E454" s="378">
        <f t="shared" ca="1" si="1393"/>
        <v>1</v>
      </c>
      <c r="F454" s="378" t="str">
        <f t="shared" ca="1" si="1394"/>
        <v>0</v>
      </c>
      <c r="G454" s="378" t="str">
        <f t="shared" ca="1" si="1395"/>
        <v>0</v>
      </c>
      <c r="H454" s="378" t="str">
        <f t="shared" ca="1" si="1396"/>
        <v>0</v>
      </c>
      <c r="I454" s="378" t="str">
        <f t="shared" ca="1" si="1397"/>
        <v>0</v>
      </c>
      <c r="J454" s="378">
        <f t="shared" ca="1" si="1196"/>
        <v>1</v>
      </c>
      <c r="K454" s="378" t="str">
        <f t="shared" si="1398"/>
        <v>NÃO</v>
      </c>
      <c r="L454" s="378" t="str">
        <f t="shared" ca="1" si="1399"/>
        <v>17.1.1</v>
      </c>
      <c r="M454" s="55" t="s">
        <v>27868</v>
      </c>
      <c r="O454" s="392" t="str">
        <f t="shared" ca="1" si="1575"/>
        <v>17.1.1</v>
      </c>
      <c r="P454" s="681" t="s">
        <v>29901</v>
      </c>
      <c r="Q454" s="682" t="s">
        <v>15880</v>
      </c>
      <c r="R454" s="415" t="str">
        <f>UPPER(IF(P454="CDHU",VLOOKUP(Q454,'CDHU 201-SD'!$A$1:$J$28014,2,FALSE),IF(P454="FDE",VLOOKUP(Q454,'FDE 01-26-SD'!$A$1:$J$280013,2,FALSE),IF(P454="PRÓPRIA",VLOOKUP(Q454,COMPOSIÇÃO!$1:$1048576,3,FALSE),VLOOKUP(Q454,'SINAPI 04-26-SD'!$A$1:$H$272700,2,FALSE)))))</f>
        <v>AR CONDICIONADO A FRIO, TIPO SPLIT PAREDE COM CAPACIDADE DE 18.000 BTU/H</v>
      </c>
      <c r="S454" s="414" t="str">
        <f>UPPER(IF(P454="CDHU",VLOOKUP(Q454,'CDHU 201-SD'!$A$1:$J$28014,3,FALSE),IF(P454="FDE",VLOOKUP(Q454,'FDE 01-26-SD'!$A$1:$J$280013,3,FALSE),IF(P454="PRÓPRIA",VLOOKUP(Q454,COMPOSIÇÃO!$1:$1048576,7,FALSE),VLOOKUP(Q454,'SINAPI 04-26-SD'!$A$1:$H$272700,3,FALSE)))))</f>
        <v>CJ</v>
      </c>
      <c r="T454" s="393">
        <v>6</v>
      </c>
      <c r="U454" s="394">
        <f>TRUNC(IF(P454="CDHU",VLOOKUP(Q454,'CDHU 201-SD'!$A$1:$J$28014,6,FALSE),IF(P454="FDE",VLOOKUP(Q454,'FDE 01-26-SD'!$A$1:$J$280013,6,FALSE),IF(P454="PRÓPRIA",VLOOKUP(Q454,COMPOSIÇÃO!$1:$1048576,10,FALSE),VLOOKUP(Q454,'SINAPI 04-26-SD'!$A$1:$H$272700,4,FALSE)))),2)</f>
        <v>5235.05</v>
      </c>
      <c r="V454" s="416">
        <f t="shared" ref="V454:V467" si="1576">TRUNC(U454*T454,2)</f>
        <v>31410.3</v>
      </c>
      <c r="W454" s="395">
        <f>IF($AA454="N",BDI!$D$26,IF($AA454="D",'BDI DIFE.'!$D$26,"ERRO"))</f>
        <v>0.22500000000000001</v>
      </c>
      <c r="X454" s="379">
        <f t="shared" ref="X454:X467" si="1577">TRUNC(U454*(1+W454),2)</f>
        <v>6412.93</v>
      </c>
      <c r="Y454" s="380">
        <f t="shared" ref="Y454:Y467" si="1578">TRUNC(T454*X454,2)</f>
        <v>38477.58</v>
      </c>
      <c r="Z454" s="381"/>
      <c r="AA454" s="378" t="s">
        <v>28044</v>
      </c>
      <c r="AB454" s="642"/>
    </row>
    <row r="455" spans="2:28" s="55" customFormat="1" ht="30">
      <c r="B455" s="378">
        <f t="shared" ref="B455" ca="1" si="1579">IF(C455="S",IF(OFFSET(C455,-1,0)="S", OFFSET(B455,-1,0), OFFSET(B455,-1,0) +1 ), C455)</f>
        <v>3</v>
      </c>
      <c r="C455" s="378" t="str">
        <f t="shared" si="1105"/>
        <v>S</v>
      </c>
      <c r="D455" s="378">
        <f t="shared" ca="1" si="1195"/>
        <v>17</v>
      </c>
      <c r="E455" s="378">
        <f t="shared" ref="E455" ca="1" si="1580">IF($C455="2",OFFSET(E455,-1,0) +1,IF(OFFSET(D455,-1,0)&lt;&gt;D455,"0",IF(OFFSET(E455,-1,0)="","0",OFFSET(E455,-1,0))))</f>
        <v>1</v>
      </c>
      <c r="F455" s="378" t="str">
        <f t="shared" ref="F455" ca="1" si="1581">IF($C455="3",OFFSET(F455,-1,0) +1,IF(OFFSET(E455,-1,0)&lt;&gt;E455,"0",IF(OFFSET(F455,-1,0)="","0",OFFSET(F455,-1,0))))</f>
        <v>0</v>
      </c>
      <c r="G455" s="378" t="str">
        <f t="shared" ref="G455" ca="1" si="1582">IF($C455="4",OFFSET(G455,-1,0) +1,IF(OFFSET(F455,-1,0)&lt;&gt;F455,"0",IF(OFFSET(G455,-1,0)="","0",OFFSET(G455,-1,0))))</f>
        <v>0</v>
      </c>
      <c r="H455" s="378" t="str">
        <f t="shared" ref="H455" ca="1" si="1583">IF($C455="5",OFFSET(H455,-1,0) +1,IF(OFFSET(G455,-1,0)&lt;&gt;G455,"0",IF(OFFSET(H455,-1,0)="","0",OFFSET(H455,-1,0))))</f>
        <v>0</v>
      </c>
      <c r="I455" s="378" t="str">
        <f t="shared" ref="I455" ca="1" si="1584">IF($C455="6",OFFSET(I455,-1,0) +1,IF(OFFSET(H455,-1,0)&lt;&gt;H455,"0",IF(OFFSET(I455,-1,0)="","0", OFFSET(I455,-1,0))))</f>
        <v>0</v>
      </c>
      <c r="J455" s="378">
        <f t="shared" ca="1" si="1196"/>
        <v>2</v>
      </c>
      <c r="K455" s="378" t="str">
        <f t="shared" ref="K455" si="1585">IF(C455="S","NÃO", IF(C455="1", D455, IF(C455="2", D455 &amp; "." &amp; E455,IF(C455="3", D455 &amp; "." &amp; E455 &amp; "." &amp; F455, IF(C455="4", D455 &amp; "." &amp; E455 &amp; "." &amp; F455 &amp; "." &amp; G455, IF(C455="5", D455 &amp; "." &amp; E455 &amp; "." &amp; F455 &amp; "." &amp; G455 &amp; "." &amp; H455, IF(C455="6", D455 &amp; "." &amp; E455 &amp; "." &amp; F455 &amp; "." &amp; G455 &amp; "." &amp; H455 &amp; "." &amp; I455)))))))</f>
        <v>NÃO</v>
      </c>
      <c r="L455" s="378" t="str">
        <f t="shared" ref="L455" ca="1" si="1586">IF(K455="NÃO",IF($B455=2,D455&amp;"."&amp;J455,IF($B455=3,D455&amp;"."&amp;E455&amp;"."&amp;J455,IF($B455=4,D455&amp;"."&amp;E455&amp;"."&amp;F455&amp;"."&amp;J455,IF($B455=5,D455&amp;"."&amp;E455&amp;"."&amp;F455&amp;"."&amp;G455&amp;"."&amp;J455,IF($B455=6,D455&amp;"."&amp;E455&amp;"."&amp;F455&amp;"."&amp;G455&amp;"."&amp;H455&amp;"."&amp;J455,IF($B455=7,D455&amp;"."&amp;E455&amp;"."&amp;F455&amp;"."&amp;G455&amp;"."&amp;H455&amp;"."&amp;I455&amp;"."&amp;J455,"FALHA")))))),K455)</f>
        <v>17.1.2</v>
      </c>
      <c r="M455" s="55" t="s">
        <v>27868</v>
      </c>
      <c r="O455" s="392" t="str">
        <f t="shared" ref="O455" ca="1" si="1587">L455</f>
        <v>17.1.2</v>
      </c>
      <c r="P455" s="681" t="s">
        <v>29901</v>
      </c>
      <c r="Q455" s="682" t="s">
        <v>15882</v>
      </c>
      <c r="R455" s="415" t="str">
        <f>UPPER(IF(P455="CDHU",VLOOKUP(Q455,'CDHU 201-SD'!$A$1:$J$28014,2,FALSE),IF(P455="FDE",VLOOKUP(Q455,'FDE 01-26-SD'!$A$1:$J$280013,2,FALSE),IF(P455="PRÓPRIA",VLOOKUP(Q455,COMPOSIÇÃO!$1:$1048576,3,FALSE),VLOOKUP(Q455,'SINAPI 04-26-SD'!$A$1:$H$272700,2,FALSE)))))</f>
        <v>AR CONDICIONADO A FRIO, TIPO SPLIT PAREDE COM CAPACIDADE DE 24.000 BTU/H</v>
      </c>
      <c r="S455" s="414" t="str">
        <f>UPPER(IF(P455="CDHU",VLOOKUP(Q455,'CDHU 201-SD'!$A$1:$J$28014,3,FALSE),IF(P455="FDE",VLOOKUP(Q455,'FDE 01-26-SD'!$A$1:$J$280013,3,FALSE),IF(P455="PRÓPRIA",VLOOKUP(Q455,COMPOSIÇÃO!$1:$1048576,7,FALSE),VLOOKUP(Q455,'SINAPI 04-26-SD'!$A$1:$H$272700,3,FALSE)))))</f>
        <v>CJ</v>
      </c>
      <c r="T455" s="393">
        <v>2</v>
      </c>
      <c r="U455" s="394">
        <f>TRUNC(IF(P455="CDHU",VLOOKUP(Q455,'CDHU 201-SD'!$A$1:$J$28014,6,FALSE),IF(P455="FDE",VLOOKUP(Q455,'FDE 01-26-SD'!$A$1:$J$280013,6,FALSE),IF(P455="PRÓPRIA",VLOOKUP(Q455,COMPOSIÇÃO!$1:$1048576,10,FALSE),VLOOKUP(Q455,'SINAPI 04-26-SD'!$A$1:$H$272700,4,FALSE)))),2)</f>
        <v>8142.95</v>
      </c>
      <c r="V455" s="416">
        <f t="shared" ref="V455" si="1588">TRUNC(U455*T455,2)</f>
        <v>16285.9</v>
      </c>
      <c r="W455" s="395">
        <f>IF($AA455="N",BDI!$D$26,IF($AA455="D",'BDI DIFE.'!$D$26,"ERRO"))</f>
        <v>0.22500000000000001</v>
      </c>
      <c r="X455" s="379">
        <f t="shared" ref="X455" si="1589">TRUNC(U455*(1+W455),2)</f>
        <v>9975.11</v>
      </c>
      <c r="Y455" s="380">
        <f t="shared" ref="Y455" si="1590">TRUNC(T455*X455,2)</f>
        <v>19950.22</v>
      </c>
      <c r="Z455" s="381"/>
      <c r="AA455" s="378" t="s">
        <v>28044</v>
      </c>
      <c r="AB455" s="642"/>
    </row>
    <row r="456" spans="2:28" s="55" customFormat="1" ht="30">
      <c r="B456" s="378">
        <f t="shared" ca="1" si="1392"/>
        <v>3</v>
      </c>
      <c r="C456" s="378" t="str">
        <f t="shared" si="1105"/>
        <v>S</v>
      </c>
      <c r="D456" s="378">
        <f t="shared" ca="1" si="1195"/>
        <v>17</v>
      </c>
      <c r="E456" s="378">
        <f t="shared" ca="1" si="1393"/>
        <v>1</v>
      </c>
      <c r="F456" s="378" t="str">
        <f t="shared" ca="1" si="1394"/>
        <v>0</v>
      </c>
      <c r="G456" s="378" t="str">
        <f t="shared" ca="1" si="1395"/>
        <v>0</v>
      </c>
      <c r="H456" s="378" t="str">
        <f t="shared" ca="1" si="1396"/>
        <v>0</v>
      </c>
      <c r="I456" s="378" t="str">
        <f t="shared" ca="1" si="1397"/>
        <v>0</v>
      </c>
      <c r="J456" s="378">
        <f t="shared" ca="1" si="1196"/>
        <v>3</v>
      </c>
      <c r="K456" s="378" t="str">
        <f t="shared" si="1398"/>
        <v>NÃO</v>
      </c>
      <c r="L456" s="378" t="str">
        <f t="shared" ca="1" si="1399"/>
        <v>17.1.3</v>
      </c>
      <c r="M456" s="55" t="s">
        <v>27868</v>
      </c>
      <c r="O456" s="392" t="str">
        <f t="shared" ca="1" si="1575"/>
        <v>17.1.3</v>
      </c>
      <c r="P456" s="681" t="s">
        <v>29901</v>
      </c>
      <c r="Q456" s="682" t="s">
        <v>15870</v>
      </c>
      <c r="R456" s="415" t="str">
        <f>UPPER(IF(P456="CDHU",VLOOKUP(Q456,'CDHU 201-SD'!$A$1:$J$28014,2,FALSE),IF(P456="FDE",VLOOKUP(Q456,'FDE 01-26-SD'!$A$1:$J$280013,2,FALSE),IF(P456="PRÓPRIA",VLOOKUP(Q456,COMPOSIÇÃO!$1:$1048576,3,FALSE),VLOOKUP(Q456,'SINAPI 04-26-SD'!$A$1:$H$272700,2,FALSE)))))</f>
        <v>AR CONDICIONADO A FRIO, TIPO SPLIT PISO TETO COM CAPACIDADE DE 48.000 BTU/H</v>
      </c>
      <c r="S456" s="414" t="str">
        <f>UPPER(IF(P456="CDHU",VLOOKUP(Q456,'CDHU 201-SD'!$A$1:$J$28014,3,FALSE),IF(P456="FDE",VLOOKUP(Q456,'FDE 01-26-SD'!$A$1:$J$280013,3,FALSE),IF(P456="PRÓPRIA",VLOOKUP(Q456,COMPOSIÇÃO!$1:$1048576,7,FALSE),VLOOKUP(Q456,'SINAPI 04-26-SD'!$A$1:$H$272700,3,FALSE)))))</f>
        <v>CJ</v>
      </c>
      <c r="T456" s="393">
        <v>2</v>
      </c>
      <c r="U456" s="394">
        <f>TRUNC(IF(P456="CDHU",VLOOKUP(Q456,'CDHU 201-SD'!$A$1:$J$28014,6,FALSE),IF(P456="FDE",VLOOKUP(Q456,'FDE 01-26-SD'!$A$1:$J$280013,6,FALSE),IF(P456="PRÓPRIA",VLOOKUP(Q456,COMPOSIÇÃO!$1:$1048576,10,FALSE),VLOOKUP(Q456,'SINAPI 04-26-SD'!$A$1:$H$272700,4,FALSE)))),2)</f>
        <v>13562.17</v>
      </c>
      <c r="V456" s="416">
        <f t="shared" si="1576"/>
        <v>27124.34</v>
      </c>
      <c r="W456" s="395">
        <f>IF($AA456="N",BDI!$D$26,IF($AA456="D",'BDI DIFE.'!$D$26,"ERRO"))</f>
        <v>0.22500000000000001</v>
      </c>
      <c r="X456" s="379">
        <f t="shared" si="1577"/>
        <v>16613.650000000001</v>
      </c>
      <c r="Y456" s="380">
        <f t="shared" si="1578"/>
        <v>33227.300000000003</v>
      </c>
      <c r="Z456" s="381"/>
      <c r="AA456" s="378" t="s">
        <v>28044</v>
      </c>
      <c r="AB456" s="642"/>
    </row>
    <row r="457" spans="2:28" s="55" customFormat="1" ht="30">
      <c r="B457" s="378">
        <f t="shared" ca="1" si="1392"/>
        <v>3</v>
      </c>
      <c r="C457" s="378" t="str">
        <f t="shared" si="1105"/>
        <v>S</v>
      </c>
      <c r="D457" s="378">
        <f t="shared" ca="1" si="1195"/>
        <v>17</v>
      </c>
      <c r="E457" s="378">
        <f t="shared" ca="1" si="1393"/>
        <v>1</v>
      </c>
      <c r="F457" s="378" t="str">
        <f t="shared" ca="1" si="1394"/>
        <v>0</v>
      </c>
      <c r="G457" s="378" t="str">
        <f t="shared" ca="1" si="1395"/>
        <v>0</v>
      </c>
      <c r="H457" s="378" t="str">
        <f t="shared" ca="1" si="1396"/>
        <v>0</v>
      </c>
      <c r="I457" s="378" t="str">
        <f t="shared" ca="1" si="1397"/>
        <v>0</v>
      </c>
      <c r="J457" s="378">
        <f t="shared" ca="1" si="1196"/>
        <v>4</v>
      </c>
      <c r="K457" s="378" t="str">
        <f t="shared" si="1398"/>
        <v>NÃO</v>
      </c>
      <c r="L457" s="378" t="str">
        <f t="shared" ca="1" si="1399"/>
        <v>17.1.4</v>
      </c>
      <c r="M457" s="55" t="s">
        <v>27868</v>
      </c>
      <c r="O457" s="392" t="str">
        <f t="shared" ca="1" si="1575"/>
        <v>17.1.4</v>
      </c>
      <c r="P457" s="681" t="s">
        <v>29901</v>
      </c>
      <c r="Q457" s="682" t="s">
        <v>16010</v>
      </c>
      <c r="R457" s="415" t="str">
        <f>UPPER(IF(P457="CDHU",VLOOKUP(Q457,'CDHU 201-SD'!$A$1:$J$28014,2,FALSE),IF(P457="FDE",VLOOKUP(Q457,'FDE 01-26-SD'!$A$1:$J$280013,2,FALSE),IF(P457="PRÓPRIA",VLOOKUP(Q457,COMPOSIÇÃO!$1:$1048576,3,FALSE),VLOOKUP(Q457,'SINAPI 04-26-SD'!$A$1:$H$272700,2,FALSE)))))</f>
        <v>CAIXA DE PASSAGEM PARA CONDICIONAMENTO DE AR TIPO SPLIT, COM SAÍDA DE DRENO ÚNICO NA VERTICAL - 39 X 22 X 6 CM</v>
      </c>
      <c r="S457" s="414" t="str">
        <f>UPPER(IF(P457="CDHU",VLOOKUP(Q457,'CDHU 201-SD'!$A$1:$J$28014,3,FALSE),IF(P457="FDE",VLOOKUP(Q457,'FDE 01-26-SD'!$A$1:$J$280013,3,FALSE),IF(P457="PRÓPRIA",VLOOKUP(Q457,COMPOSIÇÃO!$1:$1048576,7,FALSE),VLOOKUP(Q457,'SINAPI 04-26-SD'!$A$1:$H$272700,3,FALSE)))))</f>
        <v>UN</v>
      </c>
      <c r="T457" s="393">
        <v>10</v>
      </c>
      <c r="U457" s="394">
        <f>TRUNC(IF(P457="CDHU",VLOOKUP(Q457,'CDHU 201-SD'!$A$1:$J$28014,6,FALSE),IF(P457="FDE",VLOOKUP(Q457,'FDE 01-26-SD'!$A$1:$J$280013,6,FALSE),IF(P457="PRÓPRIA",VLOOKUP(Q457,COMPOSIÇÃO!$1:$1048576,10,FALSE),VLOOKUP(Q457,'SINAPI 04-26-SD'!$A$1:$H$272700,4,FALSE)))),2)</f>
        <v>44.52</v>
      </c>
      <c r="V457" s="416">
        <f t="shared" si="1576"/>
        <v>445.2</v>
      </c>
      <c r="W457" s="395">
        <f>IF($AA457="N",BDI!$D$26,IF($AA457="D",'BDI DIFE.'!$D$26,"ERRO"))</f>
        <v>0.22500000000000001</v>
      </c>
      <c r="X457" s="379">
        <f t="shared" si="1577"/>
        <v>54.53</v>
      </c>
      <c r="Y457" s="380">
        <f t="shared" si="1578"/>
        <v>545.29999999999995</v>
      </c>
      <c r="Z457" s="381"/>
      <c r="AA457" s="378" t="s">
        <v>28044</v>
      </c>
      <c r="AB457" s="642"/>
    </row>
    <row r="458" spans="2:28" s="55" customFormat="1" ht="30">
      <c r="B458" s="378">
        <f t="shared" ref="B458:B461" ca="1" si="1591">IF(C458="S",IF(OFFSET(C458,-1,0)="S", OFFSET(B458,-1,0), OFFSET(B458,-1,0) +1 ), C458)</f>
        <v>3</v>
      </c>
      <c r="C458" s="378" t="str">
        <f t="shared" si="1105"/>
        <v>S</v>
      </c>
      <c r="D458" s="378">
        <f t="shared" ca="1" si="1195"/>
        <v>17</v>
      </c>
      <c r="E458" s="378">
        <f t="shared" ref="E458:E461" ca="1" si="1592">IF($C458="2",OFFSET(E458,-1,0) +1,IF(OFFSET(D458,-1,0)&lt;&gt;D458,"0",IF(OFFSET(E458,-1,0)="","0",OFFSET(E458,-1,0))))</f>
        <v>1</v>
      </c>
      <c r="F458" s="378" t="str">
        <f t="shared" ref="F458:F461" ca="1" si="1593">IF($C458="3",OFFSET(F458,-1,0) +1,IF(OFFSET(E458,-1,0)&lt;&gt;E458,"0",IF(OFFSET(F458,-1,0)="","0",OFFSET(F458,-1,0))))</f>
        <v>0</v>
      </c>
      <c r="G458" s="378" t="str">
        <f t="shared" ref="G458:G461" ca="1" si="1594">IF($C458="4",OFFSET(G458,-1,0) +1,IF(OFFSET(F458,-1,0)&lt;&gt;F458,"0",IF(OFFSET(G458,-1,0)="","0",OFFSET(G458,-1,0))))</f>
        <v>0</v>
      </c>
      <c r="H458" s="378" t="str">
        <f t="shared" ref="H458:H461" ca="1" si="1595">IF($C458="5",OFFSET(H458,-1,0) +1,IF(OFFSET(G458,-1,0)&lt;&gt;G458,"0",IF(OFFSET(H458,-1,0)="","0",OFFSET(H458,-1,0))))</f>
        <v>0</v>
      </c>
      <c r="I458" s="378" t="str">
        <f t="shared" ref="I458:I461" ca="1" si="1596">IF($C458="6",OFFSET(I458,-1,0) +1,IF(OFFSET(H458,-1,0)&lt;&gt;H458,"0",IF(OFFSET(I458,-1,0)="","0", OFFSET(I458,-1,0))))</f>
        <v>0</v>
      </c>
      <c r="J458" s="378">
        <f t="shared" ca="1" si="1196"/>
        <v>5</v>
      </c>
      <c r="K458" s="378" t="str">
        <f t="shared" ref="K458:K461" si="1597">IF(C458="S","NÃO", IF(C458="1", D458, IF(C458="2", D458 &amp; "." &amp; E458,IF(C458="3", D458 &amp; "." &amp; E458 &amp; "." &amp; F458, IF(C458="4", D458 &amp; "." &amp; E458 &amp; "." &amp; F458 &amp; "." &amp; G458, IF(C458="5", D458 &amp; "." &amp; E458 &amp; "." &amp; F458 &amp; "." &amp; G458 &amp; "." &amp; H458, IF(C458="6", D458 &amp; "." &amp; E458 &amp; "." &amp; F458 &amp; "." &amp; G458 &amp; "." &amp; H458 &amp; "." &amp; I458)))))))</f>
        <v>NÃO</v>
      </c>
      <c r="L458" s="378" t="str">
        <f t="shared" ref="L458:L461" ca="1" si="1598">IF(K458="NÃO",IF($B458=2,D458&amp;"."&amp;J458,IF($B458=3,D458&amp;"."&amp;E458&amp;"."&amp;J458,IF($B458=4,D458&amp;"."&amp;E458&amp;"."&amp;F458&amp;"."&amp;J458,IF($B458=5,D458&amp;"."&amp;E458&amp;"."&amp;F458&amp;"."&amp;G458&amp;"."&amp;J458,IF($B458=6,D458&amp;"."&amp;E458&amp;"."&amp;F458&amp;"."&amp;G458&amp;"."&amp;H458&amp;"."&amp;J458,IF($B458=7,D458&amp;"."&amp;E458&amp;"."&amp;F458&amp;"."&amp;G458&amp;"."&amp;H458&amp;"."&amp;I458&amp;"."&amp;J458,"FALHA")))))),K458)</f>
        <v>17.1.5</v>
      </c>
      <c r="M458" s="55" t="s">
        <v>27868</v>
      </c>
      <c r="O458" s="392" t="str">
        <f t="shared" ref="O458:O461" ca="1" si="1599">L458</f>
        <v>17.1.5</v>
      </c>
      <c r="P458" s="681" t="s">
        <v>29901</v>
      </c>
      <c r="Q458" s="682" t="s">
        <v>16891</v>
      </c>
      <c r="R458" s="415" t="str">
        <f>UPPER(IF(P458="CDHU",VLOOKUP(Q458,'CDHU 201-SD'!$A$1:$J$28014,2,FALSE),IF(P458="FDE",VLOOKUP(Q458,'FDE 01-26-SD'!$A$1:$J$280013,2,FALSE),IF(P458="PRÓPRIA",VLOOKUP(Q458,COMPOSIÇÃO!$1:$1048576,3,FALSE),VLOOKUP(Q458,'SINAPI 04-26-SD'!$A$1:$H$272700,2,FALSE)))))</f>
        <v>TUBO DE COBRE FLEXÍVEL, ESPESSURA 1/32" - DIÂMETRO 1/4", INCLUSIVE CONEXÕES</v>
      </c>
      <c r="S458" s="414" t="str">
        <f>UPPER(IF(P458="CDHU",VLOOKUP(Q458,'CDHU 201-SD'!$A$1:$J$28014,3,FALSE),IF(P458="FDE",VLOOKUP(Q458,'FDE 01-26-SD'!$A$1:$J$280013,3,FALSE),IF(P458="PRÓPRIA",VLOOKUP(Q458,COMPOSIÇÃO!$1:$1048576,7,FALSE),VLOOKUP(Q458,'SINAPI 04-26-SD'!$A$1:$H$272700,3,FALSE)))))</f>
        <v>M</v>
      </c>
      <c r="T458" s="393">
        <v>55.16</v>
      </c>
      <c r="U458" s="394">
        <f>TRUNC(IF(P458="CDHU",VLOOKUP(Q458,'CDHU 201-SD'!$A$1:$J$28014,6,FALSE),IF(P458="FDE",VLOOKUP(Q458,'FDE 01-26-SD'!$A$1:$J$280013,6,FALSE),IF(P458="PRÓPRIA",VLOOKUP(Q458,COMPOSIÇÃO!$1:$1048576,10,FALSE),VLOOKUP(Q458,'SINAPI 04-26-SD'!$A$1:$H$272700,4,FALSE)))),2)</f>
        <v>24</v>
      </c>
      <c r="V458" s="416">
        <f t="shared" ref="V458:V461" si="1600">TRUNC(U458*T458,2)</f>
        <v>1323.84</v>
      </c>
      <c r="W458" s="395">
        <f>IF($AA458="N",BDI!$D$26,IF($AA458="D",'BDI DIFE.'!$D$26,"ERRO"))</f>
        <v>0.22500000000000001</v>
      </c>
      <c r="X458" s="379">
        <f t="shared" ref="X458:X461" si="1601">TRUNC(U458*(1+W458),2)</f>
        <v>29.4</v>
      </c>
      <c r="Y458" s="380">
        <f t="shared" ref="Y458:Y461" si="1602">TRUNC(T458*X458,2)</f>
        <v>1621.7</v>
      </c>
      <c r="Z458" s="381"/>
      <c r="AA458" s="378" t="s">
        <v>28044</v>
      </c>
      <c r="AB458" s="642"/>
    </row>
    <row r="459" spans="2:28" s="55" customFormat="1" ht="30">
      <c r="B459" s="378">
        <f t="shared" ca="1" si="1591"/>
        <v>3</v>
      </c>
      <c r="C459" s="378" t="str">
        <f t="shared" si="1105"/>
        <v>S</v>
      </c>
      <c r="D459" s="378">
        <f t="shared" ca="1" si="1195"/>
        <v>17</v>
      </c>
      <c r="E459" s="378">
        <f t="shared" ca="1" si="1592"/>
        <v>1</v>
      </c>
      <c r="F459" s="378" t="str">
        <f t="shared" ca="1" si="1593"/>
        <v>0</v>
      </c>
      <c r="G459" s="378" t="str">
        <f t="shared" ca="1" si="1594"/>
        <v>0</v>
      </c>
      <c r="H459" s="378" t="str">
        <f t="shared" ca="1" si="1595"/>
        <v>0</v>
      </c>
      <c r="I459" s="378" t="str">
        <f t="shared" ca="1" si="1596"/>
        <v>0</v>
      </c>
      <c r="J459" s="378">
        <f t="shared" ca="1" si="1196"/>
        <v>6</v>
      </c>
      <c r="K459" s="378" t="str">
        <f t="shared" si="1597"/>
        <v>NÃO</v>
      </c>
      <c r="L459" s="378" t="str">
        <f t="shared" ca="1" si="1598"/>
        <v>17.1.6</v>
      </c>
      <c r="M459" s="55" t="s">
        <v>27868</v>
      </c>
      <c r="O459" s="392" t="str">
        <f t="shared" ca="1" si="1599"/>
        <v>17.1.6</v>
      </c>
      <c r="P459" s="681" t="s">
        <v>29901</v>
      </c>
      <c r="Q459" s="682" t="s">
        <v>16895</v>
      </c>
      <c r="R459" s="415" t="str">
        <f>UPPER(IF(P459="CDHU",VLOOKUP(Q459,'CDHU 201-SD'!$A$1:$J$28014,2,FALSE),IF(P459="FDE",VLOOKUP(Q459,'FDE 01-26-SD'!$A$1:$J$280013,2,FALSE),IF(P459="PRÓPRIA",VLOOKUP(Q459,COMPOSIÇÃO!$1:$1048576,3,FALSE),VLOOKUP(Q459,'SINAPI 04-26-SD'!$A$1:$H$272700,2,FALSE)))))</f>
        <v>TUBO DE COBRE FLEXÍVEL, ESPESSURA 1/32" - DIÂMETRO 3/8", INCLUSIVE CONEXÕES</v>
      </c>
      <c r="S459" s="414" t="str">
        <f>UPPER(IF(P459="CDHU",VLOOKUP(Q459,'CDHU 201-SD'!$A$1:$J$28014,3,FALSE),IF(P459="FDE",VLOOKUP(Q459,'FDE 01-26-SD'!$A$1:$J$280013,3,FALSE),IF(P459="PRÓPRIA",VLOOKUP(Q459,COMPOSIÇÃO!$1:$1048576,7,FALSE),VLOOKUP(Q459,'SINAPI 04-26-SD'!$A$1:$H$272700,3,FALSE)))))</f>
        <v>M</v>
      </c>
      <c r="T459" s="393">
        <f>2.43+161.1</f>
        <v>163.53</v>
      </c>
      <c r="U459" s="394">
        <f>TRUNC(IF(P459="CDHU",VLOOKUP(Q459,'CDHU 201-SD'!$A$1:$J$28014,6,FALSE),IF(P459="FDE",VLOOKUP(Q459,'FDE 01-26-SD'!$A$1:$J$280013,6,FALSE),IF(P459="PRÓPRIA",VLOOKUP(Q459,COMPOSIÇÃO!$1:$1048576,10,FALSE),VLOOKUP(Q459,'SINAPI 04-26-SD'!$A$1:$H$272700,4,FALSE)))),2)</f>
        <v>37.18</v>
      </c>
      <c r="V459" s="416">
        <f t="shared" si="1600"/>
        <v>6080.04</v>
      </c>
      <c r="W459" s="395">
        <f>IF($AA459="N",BDI!$D$26,IF($AA459="D",'BDI DIFE.'!$D$26,"ERRO"))</f>
        <v>0.22500000000000001</v>
      </c>
      <c r="X459" s="379">
        <f t="shared" si="1601"/>
        <v>45.54</v>
      </c>
      <c r="Y459" s="380">
        <f t="shared" si="1602"/>
        <v>7447.15</v>
      </c>
      <c r="Z459" s="381"/>
      <c r="AA459" s="378" t="s">
        <v>28044</v>
      </c>
      <c r="AB459" s="642"/>
    </row>
    <row r="460" spans="2:28" s="55" customFormat="1" ht="30">
      <c r="B460" s="378">
        <f t="shared" ca="1" si="1591"/>
        <v>3</v>
      </c>
      <c r="C460" s="378" t="str">
        <f t="shared" si="1105"/>
        <v>S</v>
      </c>
      <c r="D460" s="378">
        <f t="shared" ca="1" si="1195"/>
        <v>17</v>
      </c>
      <c r="E460" s="378">
        <f t="shared" ca="1" si="1592"/>
        <v>1</v>
      </c>
      <c r="F460" s="378" t="str">
        <f t="shared" ca="1" si="1593"/>
        <v>0</v>
      </c>
      <c r="G460" s="378" t="str">
        <f t="shared" ca="1" si="1594"/>
        <v>0</v>
      </c>
      <c r="H460" s="378" t="str">
        <f t="shared" ca="1" si="1595"/>
        <v>0</v>
      </c>
      <c r="I460" s="378" t="str">
        <f t="shared" ca="1" si="1596"/>
        <v>0</v>
      </c>
      <c r="J460" s="378">
        <f t="shared" ca="1" si="1196"/>
        <v>7</v>
      </c>
      <c r="K460" s="378" t="str">
        <f t="shared" si="1597"/>
        <v>NÃO</v>
      </c>
      <c r="L460" s="378" t="str">
        <f t="shared" ca="1" si="1598"/>
        <v>17.1.7</v>
      </c>
      <c r="M460" s="55" t="s">
        <v>27868</v>
      </c>
      <c r="O460" s="392" t="str">
        <f t="shared" ca="1" si="1599"/>
        <v>17.1.7</v>
      </c>
      <c r="P460" s="681" t="s">
        <v>29901</v>
      </c>
      <c r="Q460" s="682" t="s">
        <v>16899</v>
      </c>
      <c r="R460" s="415" t="str">
        <f>UPPER(IF(P460="CDHU",VLOOKUP(Q460,'CDHU 201-SD'!$A$1:$J$28014,2,FALSE),IF(P460="FDE",VLOOKUP(Q460,'FDE 01-26-SD'!$A$1:$J$280013,2,FALSE),IF(P460="PRÓPRIA",VLOOKUP(Q460,COMPOSIÇÃO!$1:$1048576,3,FALSE),VLOOKUP(Q460,'SINAPI 04-26-SD'!$A$1:$H$272700,2,FALSE)))))</f>
        <v>TUBO DE COBRE FLEXÍVEL, ESPESSURA 1/32" - DIÂMETRO 5/8", INCLUSIVE CONEXÕES</v>
      </c>
      <c r="S460" s="414" t="str">
        <f>UPPER(IF(P460="CDHU",VLOOKUP(Q460,'CDHU 201-SD'!$A$1:$J$28014,3,FALSE),IF(P460="FDE",VLOOKUP(Q460,'FDE 01-26-SD'!$A$1:$J$280013,3,FALSE),IF(P460="PRÓPRIA",VLOOKUP(Q460,COMPOSIÇÃO!$1:$1048576,7,FALSE),VLOOKUP(Q460,'SINAPI 04-26-SD'!$A$1:$H$272700,3,FALSE)))))</f>
        <v>M</v>
      </c>
      <c r="T460" s="393">
        <f>55.16+53</f>
        <v>108.16</v>
      </c>
      <c r="U460" s="394">
        <f>TRUNC(IF(P460="CDHU",VLOOKUP(Q460,'CDHU 201-SD'!$A$1:$J$28014,6,FALSE),IF(P460="FDE",VLOOKUP(Q460,'FDE 01-26-SD'!$A$1:$J$280013,6,FALSE),IF(P460="PRÓPRIA",VLOOKUP(Q460,COMPOSIÇÃO!$1:$1048576,10,FALSE),VLOOKUP(Q460,'SINAPI 04-26-SD'!$A$1:$H$272700,4,FALSE)))),2)</f>
        <v>53.63</v>
      </c>
      <c r="V460" s="416">
        <f t="shared" si="1600"/>
        <v>5800.62</v>
      </c>
      <c r="W460" s="395">
        <f>IF($AA460="N",BDI!$D$26,IF($AA460="D",'BDI DIFE.'!$D$26,"ERRO"))</f>
        <v>0.22500000000000001</v>
      </c>
      <c r="X460" s="379">
        <f t="shared" si="1601"/>
        <v>65.69</v>
      </c>
      <c r="Y460" s="380">
        <f t="shared" si="1602"/>
        <v>7105.03</v>
      </c>
      <c r="Z460" s="381"/>
      <c r="AA460" s="378" t="s">
        <v>28044</v>
      </c>
      <c r="AB460" s="642"/>
    </row>
    <row r="461" spans="2:28" s="55" customFormat="1" ht="30">
      <c r="B461" s="378">
        <f t="shared" ca="1" si="1591"/>
        <v>3</v>
      </c>
      <c r="C461" s="378" t="str">
        <f t="shared" si="1105"/>
        <v>S</v>
      </c>
      <c r="D461" s="378">
        <f t="shared" ca="1" si="1195"/>
        <v>17</v>
      </c>
      <c r="E461" s="378">
        <f t="shared" ca="1" si="1592"/>
        <v>1</v>
      </c>
      <c r="F461" s="378" t="str">
        <f t="shared" ca="1" si="1593"/>
        <v>0</v>
      </c>
      <c r="G461" s="378" t="str">
        <f t="shared" ca="1" si="1594"/>
        <v>0</v>
      </c>
      <c r="H461" s="378" t="str">
        <f t="shared" ca="1" si="1595"/>
        <v>0</v>
      </c>
      <c r="I461" s="378" t="str">
        <f t="shared" ca="1" si="1596"/>
        <v>0</v>
      </c>
      <c r="J461" s="378">
        <f t="shared" ca="1" si="1196"/>
        <v>8</v>
      </c>
      <c r="K461" s="378" t="str">
        <f t="shared" si="1597"/>
        <v>NÃO</v>
      </c>
      <c r="L461" s="378" t="str">
        <f t="shared" ca="1" si="1598"/>
        <v>17.1.8</v>
      </c>
      <c r="M461" s="55" t="s">
        <v>27868</v>
      </c>
      <c r="O461" s="392" t="str">
        <f t="shared" ca="1" si="1599"/>
        <v>17.1.8</v>
      </c>
      <c r="P461" s="681" t="s">
        <v>29901</v>
      </c>
      <c r="Q461" s="682" t="s">
        <v>16913</v>
      </c>
      <c r="R461" s="415" t="str">
        <f>UPPER(IF(P461="CDHU",VLOOKUP(Q461,'CDHU 201-SD'!$A$1:$J$28014,2,FALSE),IF(P461="FDE",VLOOKUP(Q461,'FDE 01-26-SD'!$A$1:$J$280013,2,FALSE),IF(P461="PRÓPRIA",VLOOKUP(Q461,COMPOSIÇÃO!$1:$1048576,3,FALSE),VLOOKUP(Q461,'SINAPI 04-26-SD'!$A$1:$H$272700,2,FALSE)))))</f>
        <v>TUBO DE COBRE SEM COSTURA, RÍGIDO, ESPESSURA 1/16" - DIÂMETRO 7/8", INCLUSIVE CONEXÕES</v>
      </c>
      <c r="S461" s="414" t="str">
        <f>UPPER(IF(P461="CDHU",VLOOKUP(Q461,'CDHU 201-SD'!$A$1:$J$28014,3,FALSE),IF(P461="FDE",VLOOKUP(Q461,'FDE 01-26-SD'!$A$1:$J$280013,3,FALSE),IF(P461="PRÓPRIA",VLOOKUP(Q461,COMPOSIÇÃO!$1:$1048576,7,FALSE),VLOOKUP(Q461,'SINAPI 04-26-SD'!$A$1:$H$272700,3,FALSE)))))</f>
        <v>M</v>
      </c>
      <c r="T461" s="393">
        <f>2.43+108</f>
        <v>110.43</v>
      </c>
      <c r="U461" s="394">
        <f>TRUNC(IF(P461="CDHU",VLOOKUP(Q461,'CDHU 201-SD'!$A$1:$J$28014,6,FALSE),IF(P461="FDE",VLOOKUP(Q461,'FDE 01-26-SD'!$A$1:$J$280013,6,FALSE),IF(P461="PRÓPRIA",VLOOKUP(Q461,COMPOSIÇÃO!$1:$1048576,10,FALSE),VLOOKUP(Q461,'SINAPI 04-26-SD'!$A$1:$H$272700,4,FALSE)))),2)</f>
        <v>170.28</v>
      </c>
      <c r="V461" s="416">
        <f t="shared" si="1600"/>
        <v>18804.02</v>
      </c>
      <c r="W461" s="395">
        <f>IF($AA461="N",BDI!$D$26,IF($AA461="D",'BDI DIFE.'!$D$26,"ERRO"))</f>
        <v>0.22500000000000001</v>
      </c>
      <c r="X461" s="379">
        <f t="shared" si="1601"/>
        <v>208.59</v>
      </c>
      <c r="Y461" s="380">
        <f t="shared" si="1602"/>
        <v>23034.59</v>
      </c>
      <c r="Z461" s="381"/>
      <c r="AA461" s="378" t="s">
        <v>28044</v>
      </c>
      <c r="AB461" s="642"/>
    </row>
    <row r="462" spans="2:28" s="55" customFormat="1" ht="30">
      <c r="B462" s="378">
        <f t="shared" ca="1" si="1392"/>
        <v>3</v>
      </c>
      <c r="C462" s="378" t="str">
        <f t="shared" si="1105"/>
        <v>S</v>
      </c>
      <c r="D462" s="378">
        <f t="shared" ca="1" si="1195"/>
        <v>17</v>
      </c>
      <c r="E462" s="378">
        <f t="shared" ca="1" si="1393"/>
        <v>1</v>
      </c>
      <c r="F462" s="378" t="str">
        <f t="shared" ca="1" si="1394"/>
        <v>0</v>
      </c>
      <c r="G462" s="378" t="str">
        <f t="shared" ca="1" si="1395"/>
        <v>0</v>
      </c>
      <c r="H462" s="378" t="str">
        <f t="shared" ca="1" si="1396"/>
        <v>0</v>
      </c>
      <c r="I462" s="378" t="str">
        <f t="shared" ca="1" si="1397"/>
        <v>0</v>
      </c>
      <c r="J462" s="378">
        <f t="shared" ca="1" si="1196"/>
        <v>9</v>
      </c>
      <c r="K462" s="378" t="str">
        <f t="shared" si="1398"/>
        <v>NÃO</v>
      </c>
      <c r="L462" s="378" t="str">
        <f t="shared" ca="1" si="1399"/>
        <v>17.1.9</v>
      </c>
      <c r="M462" s="55" t="s">
        <v>27868</v>
      </c>
      <c r="O462" s="392" t="str">
        <f t="shared" ca="1" si="1575"/>
        <v>17.1.9</v>
      </c>
      <c r="P462" s="681" t="s">
        <v>29901</v>
      </c>
      <c r="Q462" s="682" t="s">
        <v>13736</v>
      </c>
      <c r="R462" s="415" t="str">
        <f>UPPER(IF(P462="CDHU",VLOOKUP(Q462,'CDHU 201-SD'!$A$1:$J$28014,2,FALSE),IF(P462="FDE",VLOOKUP(Q462,'FDE 01-26-SD'!$A$1:$J$280013,2,FALSE),IF(P462="PRÓPRIA",VLOOKUP(Q462,COMPOSIÇÃO!$1:$1048576,3,FALSE),VLOOKUP(Q462,'SINAPI 04-26-SD'!$A$1:$H$272700,2,FALSE)))))</f>
        <v>ISOLAMENTO TÉRMICO EM ESPUMA ELASTOMÉRICA, ESPESSURA DE 9 A 12 MM, PARA TUBULAÇÃO DE 1/4´ (COBRE)</v>
      </c>
      <c r="S462" s="414" t="str">
        <f>UPPER(IF(P462="CDHU",VLOOKUP(Q462,'CDHU 201-SD'!$A$1:$J$28014,3,FALSE),IF(P462="FDE",VLOOKUP(Q462,'FDE 01-26-SD'!$A$1:$J$280013,3,FALSE),IF(P462="PRÓPRIA",VLOOKUP(Q462,COMPOSIÇÃO!$1:$1048576,7,FALSE),VLOOKUP(Q462,'SINAPI 04-26-SD'!$A$1:$H$272700,3,FALSE)))))</f>
        <v>M</v>
      </c>
      <c r="T462" s="393">
        <v>55.16</v>
      </c>
      <c r="U462" s="394">
        <f>TRUNC(IF(P462="CDHU",VLOOKUP(Q462,'CDHU 201-SD'!$A$1:$J$28014,6,FALSE),IF(P462="FDE",VLOOKUP(Q462,'FDE 01-26-SD'!$A$1:$J$280013,6,FALSE),IF(P462="PRÓPRIA",VLOOKUP(Q462,COMPOSIÇÃO!$1:$1048576,10,FALSE),VLOOKUP(Q462,'SINAPI 04-26-SD'!$A$1:$H$272700,4,FALSE)))),2)</f>
        <v>20.04</v>
      </c>
      <c r="V462" s="416">
        <f t="shared" si="1576"/>
        <v>1105.4000000000001</v>
      </c>
      <c r="W462" s="395">
        <f>IF($AA462="N",BDI!$D$26,IF($AA462="D",'BDI DIFE.'!$D$26,"ERRO"))</f>
        <v>0.22500000000000001</v>
      </c>
      <c r="X462" s="379">
        <f t="shared" si="1577"/>
        <v>24.54</v>
      </c>
      <c r="Y462" s="380">
        <f t="shared" si="1578"/>
        <v>1353.62</v>
      </c>
      <c r="Z462" s="381"/>
      <c r="AA462" s="378" t="s">
        <v>28044</v>
      </c>
      <c r="AB462" s="642"/>
    </row>
    <row r="463" spans="2:28" s="55" customFormat="1" ht="30">
      <c r="B463" s="378">
        <f t="shared" ca="1" si="1392"/>
        <v>3</v>
      </c>
      <c r="C463" s="378" t="str">
        <f t="shared" si="1105"/>
        <v>S</v>
      </c>
      <c r="D463" s="378">
        <f t="shared" ca="1" si="1195"/>
        <v>17</v>
      </c>
      <c r="E463" s="378">
        <f t="shared" ca="1" si="1393"/>
        <v>1</v>
      </c>
      <c r="F463" s="378" t="str">
        <f t="shared" ca="1" si="1394"/>
        <v>0</v>
      </c>
      <c r="G463" s="378" t="str">
        <f t="shared" ca="1" si="1395"/>
        <v>0</v>
      </c>
      <c r="H463" s="378" t="str">
        <f t="shared" ca="1" si="1396"/>
        <v>0</v>
      </c>
      <c r="I463" s="378" t="str">
        <f t="shared" ca="1" si="1397"/>
        <v>0</v>
      </c>
      <c r="J463" s="378">
        <f t="shared" ca="1" si="1196"/>
        <v>10</v>
      </c>
      <c r="K463" s="378" t="str">
        <f t="shared" si="1398"/>
        <v>NÃO</v>
      </c>
      <c r="L463" s="378" t="str">
        <f t="shared" ca="1" si="1399"/>
        <v>17.1.10</v>
      </c>
      <c r="M463" s="55" t="s">
        <v>27868</v>
      </c>
      <c r="O463" s="392" t="str">
        <f t="shared" ca="1" si="1575"/>
        <v>17.1.10</v>
      </c>
      <c r="P463" s="681" t="s">
        <v>29901</v>
      </c>
      <c r="Q463" s="682" t="s">
        <v>13768</v>
      </c>
      <c r="R463" s="415" t="str">
        <f>UPPER(IF(P463="CDHU",VLOOKUP(Q463,'CDHU 201-SD'!$A$1:$J$28014,2,FALSE),IF(P463="FDE",VLOOKUP(Q463,'FDE 01-26-SD'!$A$1:$J$280013,2,FALSE),IF(P463="PRÓPRIA",VLOOKUP(Q463,COMPOSIÇÃO!$1:$1048576,3,FALSE),VLOOKUP(Q463,'SINAPI 04-26-SD'!$A$1:$H$272700,2,FALSE)))))</f>
        <v>ISOLAMENTO TÉRMICO EM ESPUMA ELASTOMÉRICA, ESPESSURA DE 19 A 26 MM, PARA TUBULAÇÃO DE 3/8" (COBRE) OU 1/8" (FERRO)</v>
      </c>
      <c r="S463" s="414" t="str">
        <f>UPPER(IF(P463="CDHU",VLOOKUP(Q463,'CDHU 201-SD'!$A$1:$J$28014,3,FALSE),IF(P463="FDE",VLOOKUP(Q463,'FDE 01-26-SD'!$A$1:$J$280013,3,FALSE),IF(P463="PRÓPRIA",VLOOKUP(Q463,COMPOSIÇÃO!$1:$1048576,7,FALSE),VLOOKUP(Q463,'SINAPI 04-26-SD'!$A$1:$H$272700,3,FALSE)))))</f>
        <v>M</v>
      </c>
      <c r="T463" s="393">
        <f>2.43+161.1</f>
        <v>163.53</v>
      </c>
      <c r="U463" s="394">
        <f>TRUNC(IF(P463="CDHU",VLOOKUP(Q463,'CDHU 201-SD'!$A$1:$J$28014,6,FALSE),IF(P463="FDE",VLOOKUP(Q463,'FDE 01-26-SD'!$A$1:$J$280013,6,FALSE),IF(P463="PRÓPRIA",VLOOKUP(Q463,COMPOSIÇÃO!$1:$1048576,10,FALSE),VLOOKUP(Q463,'SINAPI 04-26-SD'!$A$1:$H$272700,4,FALSE)))),2)</f>
        <v>29.7</v>
      </c>
      <c r="V463" s="416">
        <f t="shared" si="1576"/>
        <v>4856.84</v>
      </c>
      <c r="W463" s="395">
        <f>IF($AA463="N",BDI!$D$26,IF($AA463="D",'BDI DIFE.'!$D$26,"ERRO"))</f>
        <v>0.22500000000000001</v>
      </c>
      <c r="X463" s="379">
        <f t="shared" si="1577"/>
        <v>36.380000000000003</v>
      </c>
      <c r="Y463" s="380">
        <f t="shared" si="1578"/>
        <v>5949.22</v>
      </c>
      <c r="Z463" s="381"/>
      <c r="AA463" s="378" t="s">
        <v>28044</v>
      </c>
      <c r="AB463" s="642"/>
    </row>
    <row r="464" spans="2:28" s="55" customFormat="1" ht="30">
      <c r="B464" s="378">
        <f t="shared" ca="1" si="1392"/>
        <v>3</v>
      </c>
      <c r="C464" s="378" t="str">
        <f t="shared" si="1105"/>
        <v>S</v>
      </c>
      <c r="D464" s="378">
        <f t="shared" ca="1" si="1195"/>
        <v>17</v>
      </c>
      <c r="E464" s="378">
        <f t="shared" ca="1" si="1393"/>
        <v>1</v>
      </c>
      <c r="F464" s="378" t="str">
        <f t="shared" ca="1" si="1394"/>
        <v>0</v>
      </c>
      <c r="G464" s="378" t="str">
        <f t="shared" ca="1" si="1395"/>
        <v>0</v>
      </c>
      <c r="H464" s="378" t="str">
        <f t="shared" ca="1" si="1396"/>
        <v>0</v>
      </c>
      <c r="I464" s="378" t="str">
        <f t="shared" ca="1" si="1397"/>
        <v>0</v>
      </c>
      <c r="J464" s="378">
        <f t="shared" ca="1" si="1196"/>
        <v>11</v>
      </c>
      <c r="K464" s="378" t="str">
        <f t="shared" si="1398"/>
        <v>NÃO</v>
      </c>
      <c r="L464" s="378" t="str">
        <f t="shared" ca="1" si="1399"/>
        <v>17.1.11</v>
      </c>
      <c r="M464" s="55" t="s">
        <v>27868</v>
      </c>
      <c r="O464" s="392" t="str">
        <f t="shared" ca="1" si="1575"/>
        <v>17.1.11</v>
      </c>
      <c r="P464" s="681" t="s">
        <v>29901</v>
      </c>
      <c r="Q464" s="682" t="s">
        <v>13740</v>
      </c>
      <c r="R464" s="415" t="str">
        <f>UPPER(IF(P464="CDHU",VLOOKUP(Q464,'CDHU 201-SD'!$A$1:$J$28014,2,FALSE),IF(P464="FDE",VLOOKUP(Q464,'FDE 01-26-SD'!$A$1:$J$280013,2,FALSE),IF(P464="PRÓPRIA",VLOOKUP(Q464,COMPOSIÇÃO!$1:$1048576,3,FALSE),VLOOKUP(Q464,'SINAPI 04-26-SD'!$A$1:$H$272700,2,FALSE)))))</f>
        <v>ISOLAMENTO TÉRMICO EM ESPUMA ELASTOMÉRICA, ESPESSURA DE 9 A 12 MM, PARA TUBULAÇÃO DE 5/8´ (COBRE) OU 1/4´ (FERRO)</v>
      </c>
      <c r="S464" s="414" t="str">
        <f>UPPER(IF(P464="CDHU",VLOOKUP(Q464,'CDHU 201-SD'!$A$1:$J$28014,3,FALSE),IF(P464="FDE",VLOOKUP(Q464,'FDE 01-26-SD'!$A$1:$J$280013,3,FALSE),IF(P464="PRÓPRIA",VLOOKUP(Q464,COMPOSIÇÃO!$1:$1048576,7,FALSE),VLOOKUP(Q464,'SINAPI 04-26-SD'!$A$1:$H$272700,3,FALSE)))))</f>
        <v>M</v>
      </c>
      <c r="T464" s="393">
        <f>55.16+53</f>
        <v>108.16</v>
      </c>
      <c r="U464" s="394">
        <f>TRUNC(IF(P464="CDHU",VLOOKUP(Q464,'CDHU 201-SD'!$A$1:$J$28014,6,FALSE),IF(P464="FDE",VLOOKUP(Q464,'FDE 01-26-SD'!$A$1:$J$280013,6,FALSE),IF(P464="PRÓPRIA",VLOOKUP(Q464,COMPOSIÇÃO!$1:$1048576,10,FALSE),VLOOKUP(Q464,'SINAPI 04-26-SD'!$A$1:$H$272700,4,FALSE)))),2)</f>
        <v>21.42</v>
      </c>
      <c r="V464" s="416">
        <f t="shared" si="1576"/>
        <v>2316.7800000000002</v>
      </c>
      <c r="W464" s="395">
        <f>IF($AA464="N",BDI!$D$26,IF($AA464="D",'BDI DIFE.'!$D$26,"ERRO"))</f>
        <v>0.22500000000000001</v>
      </c>
      <c r="X464" s="379">
        <f t="shared" si="1577"/>
        <v>26.23</v>
      </c>
      <c r="Y464" s="380">
        <f t="shared" si="1578"/>
        <v>2837.03</v>
      </c>
      <c r="Z464" s="381"/>
      <c r="AA464" s="378" t="s">
        <v>28044</v>
      </c>
      <c r="AB464" s="642"/>
    </row>
    <row r="465" spans="2:28" s="55" customFormat="1" ht="30">
      <c r="B465" s="378">
        <f t="shared" ca="1" si="1392"/>
        <v>3</v>
      </c>
      <c r="C465" s="378" t="str">
        <f t="shared" si="1105"/>
        <v>S</v>
      </c>
      <c r="D465" s="378">
        <f t="shared" ca="1" si="1195"/>
        <v>17</v>
      </c>
      <c r="E465" s="378">
        <f t="shared" ca="1" si="1393"/>
        <v>1</v>
      </c>
      <c r="F465" s="378" t="str">
        <f t="shared" ca="1" si="1394"/>
        <v>0</v>
      </c>
      <c r="G465" s="378" t="str">
        <f t="shared" ca="1" si="1395"/>
        <v>0</v>
      </c>
      <c r="H465" s="378" t="str">
        <f t="shared" ca="1" si="1396"/>
        <v>0</v>
      </c>
      <c r="I465" s="378" t="str">
        <f t="shared" ca="1" si="1397"/>
        <v>0</v>
      </c>
      <c r="J465" s="378">
        <f t="shared" ca="1" si="1196"/>
        <v>12</v>
      </c>
      <c r="K465" s="378" t="str">
        <f t="shared" si="1398"/>
        <v>NÃO</v>
      </c>
      <c r="L465" s="378" t="str">
        <f t="shared" ca="1" si="1399"/>
        <v>17.1.12</v>
      </c>
      <c r="M465" s="55" t="s">
        <v>27868</v>
      </c>
      <c r="O465" s="392" t="str">
        <f t="shared" ca="1" si="1575"/>
        <v>17.1.12</v>
      </c>
      <c r="P465" s="681" t="s">
        <v>29901</v>
      </c>
      <c r="Q465" s="682" t="s">
        <v>13744</v>
      </c>
      <c r="R465" s="415" t="str">
        <f>UPPER(IF(P465="CDHU",VLOOKUP(Q465,'CDHU 201-SD'!$A$1:$J$28014,2,FALSE),IF(P465="FDE",VLOOKUP(Q465,'FDE 01-26-SD'!$A$1:$J$280013,2,FALSE),IF(P465="PRÓPRIA",VLOOKUP(Q465,COMPOSIÇÃO!$1:$1048576,3,FALSE),VLOOKUP(Q465,'SINAPI 04-26-SD'!$A$1:$H$272700,2,FALSE)))))</f>
        <v>ISOLAMENTO TÉRMICO EM ESPUMA ELASTOMÉRICA, ESPESSURA DE 19 A 26 MM, PARA TUBULAÇÃO DE 7/8´ (COBRE) OU 1/2´ (FERRO)</v>
      </c>
      <c r="S465" s="414" t="str">
        <f>UPPER(IF(P465="CDHU",VLOOKUP(Q465,'CDHU 201-SD'!$A$1:$J$28014,3,FALSE),IF(P465="FDE",VLOOKUP(Q465,'FDE 01-26-SD'!$A$1:$J$280013,3,FALSE),IF(P465="PRÓPRIA",VLOOKUP(Q465,COMPOSIÇÃO!$1:$1048576,7,FALSE),VLOOKUP(Q465,'SINAPI 04-26-SD'!$A$1:$H$272700,3,FALSE)))))</f>
        <v>M</v>
      </c>
      <c r="T465" s="393">
        <f>2.43+108</f>
        <v>110.43</v>
      </c>
      <c r="U465" s="394">
        <f>TRUNC(IF(P465="CDHU",VLOOKUP(Q465,'CDHU 201-SD'!$A$1:$J$28014,6,FALSE),IF(P465="FDE",VLOOKUP(Q465,'FDE 01-26-SD'!$A$1:$J$280013,6,FALSE),IF(P465="PRÓPRIA",VLOOKUP(Q465,COMPOSIÇÃO!$1:$1048576,10,FALSE),VLOOKUP(Q465,'SINAPI 04-26-SD'!$A$1:$H$272700,4,FALSE)))),2)</f>
        <v>33.81</v>
      </c>
      <c r="V465" s="416">
        <f t="shared" si="1576"/>
        <v>3733.63</v>
      </c>
      <c r="W465" s="395">
        <f>IF($AA465="N",BDI!$D$26,IF($AA465="D",'BDI DIFE.'!$D$26,"ERRO"))</f>
        <v>0.22500000000000001</v>
      </c>
      <c r="X465" s="379">
        <f t="shared" si="1577"/>
        <v>41.41</v>
      </c>
      <c r="Y465" s="380">
        <f t="shared" si="1578"/>
        <v>4572.8999999999996</v>
      </c>
      <c r="Z465" s="381"/>
      <c r="AA465" s="378" t="s">
        <v>28044</v>
      </c>
      <c r="AB465" s="642"/>
    </row>
    <row r="466" spans="2:28" s="55" customFormat="1" ht="30">
      <c r="B466" s="378">
        <f t="shared" ref="B466" ca="1" si="1603">IF(C466="S",IF(OFFSET(C466,-1,0)="S", OFFSET(B466,-1,0), OFFSET(B466,-1,0) +1 ), C466)</f>
        <v>3</v>
      </c>
      <c r="C466" s="378" t="str">
        <f t="shared" si="1105"/>
        <v>S</v>
      </c>
      <c r="D466" s="378">
        <f t="shared" ca="1" si="1195"/>
        <v>17</v>
      </c>
      <c r="E466" s="378">
        <f t="shared" ref="E466" ca="1" si="1604">IF($C466="2",OFFSET(E466,-1,0) +1,IF(OFFSET(D466,-1,0)&lt;&gt;D466,"0",IF(OFFSET(E466,-1,0)="","0",OFFSET(E466,-1,0))))</f>
        <v>1</v>
      </c>
      <c r="F466" s="378" t="str">
        <f t="shared" ref="F466" ca="1" si="1605">IF($C466="3",OFFSET(F466,-1,0) +1,IF(OFFSET(E466,-1,0)&lt;&gt;E466,"0",IF(OFFSET(F466,-1,0)="","0",OFFSET(F466,-1,0))))</f>
        <v>0</v>
      </c>
      <c r="G466" s="378" t="str">
        <f t="shared" ref="G466" ca="1" si="1606">IF($C466="4",OFFSET(G466,-1,0) +1,IF(OFFSET(F466,-1,0)&lt;&gt;F466,"0",IF(OFFSET(G466,-1,0)="","0",OFFSET(G466,-1,0))))</f>
        <v>0</v>
      </c>
      <c r="H466" s="378" t="str">
        <f t="shared" ref="H466" ca="1" si="1607">IF($C466="5",OFFSET(H466,-1,0) +1,IF(OFFSET(G466,-1,0)&lt;&gt;G466,"0",IF(OFFSET(H466,-1,0)="","0",OFFSET(H466,-1,0))))</f>
        <v>0</v>
      </c>
      <c r="I466" s="378" t="str">
        <f t="shared" ref="I466" ca="1" si="1608">IF($C466="6",OFFSET(I466,-1,0) +1,IF(OFFSET(H466,-1,0)&lt;&gt;H466,"0",IF(OFFSET(I466,-1,0)="","0", OFFSET(I466,-1,0))))</f>
        <v>0</v>
      </c>
      <c r="J466" s="378">
        <f t="shared" ca="1" si="1196"/>
        <v>13</v>
      </c>
      <c r="K466" s="378" t="str">
        <f t="shared" ref="K466" si="1609">IF(C466="S","NÃO", IF(C466="1", D466, IF(C466="2", D466 &amp; "." &amp; E466,IF(C466="3", D466 &amp; "." &amp; E466 &amp; "." &amp; F466, IF(C466="4", D466 &amp; "." &amp; E466 &amp; "." &amp; F466 &amp; "." &amp; G466, IF(C466="5", D466 &amp; "." &amp; E466 &amp; "." &amp; F466 &amp; "." &amp; G466 &amp; "." &amp; H466, IF(C466="6", D466 &amp; "." &amp; E466 &amp; "." &amp; F466 &amp; "." &amp; G466 &amp; "." &amp; H466 &amp; "." &amp; I466)))))))</f>
        <v>NÃO</v>
      </c>
      <c r="L466" s="378" t="str">
        <f t="shared" ref="L466" ca="1" si="1610">IF(K466="NÃO",IF($B466=2,D466&amp;"."&amp;J466,IF($B466=3,D466&amp;"."&amp;E466&amp;"."&amp;J466,IF($B466=4,D466&amp;"."&amp;E466&amp;"."&amp;F466&amp;"."&amp;J466,IF($B466=5,D466&amp;"."&amp;E466&amp;"."&amp;F466&amp;"."&amp;G466&amp;"."&amp;J466,IF($B466=6,D466&amp;"."&amp;E466&amp;"."&amp;F466&amp;"."&amp;G466&amp;"."&amp;H466&amp;"."&amp;J466,IF($B466=7,D466&amp;"."&amp;E466&amp;"."&amp;F466&amp;"."&amp;G466&amp;"."&amp;H466&amp;"."&amp;I466&amp;"."&amp;J466,"FALHA")))))),K466)</f>
        <v>17.1.13</v>
      </c>
      <c r="M466" s="55" t="s">
        <v>27868</v>
      </c>
      <c r="O466" s="392" t="str">
        <f t="shared" ref="O466" ca="1" si="1611">L466</f>
        <v>17.1.13</v>
      </c>
      <c r="P466" s="681" t="s">
        <v>29901</v>
      </c>
      <c r="Q466" s="682" t="s">
        <v>15118</v>
      </c>
      <c r="R466" s="415" t="str">
        <f>UPPER(IF(P466="CDHU",VLOOKUP(Q466,'CDHU 201-SD'!$A$1:$J$28014,2,FALSE),IF(P466="FDE",VLOOKUP(Q466,'FDE 01-26-SD'!$A$1:$J$280013,2,FALSE),IF(P466="PRÓPRIA",VLOOKUP(Q466,COMPOSIÇÃO!$1:$1048576,3,FALSE),VLOOKUP(Q466,'SINAPI 04-26-SD'!$A$1:$H$272700,2,FALSE)))))</f>
        <v>CABO DE COBRE FLEXÍVEL DE 3 X 2,5 MM², ISOLAMENTO 0,6/1 KV - ISOLAÇÃO HEPR 90°C</v>
      </c>
      <c r="S466" s="414" t="str">
        <f>UPPER(IF(P466="CDHU",VLOOKUP(Q466,'CDHU 201-SD'!$A$1:$J$28014,3,FALSE),IF(P466="FDE",VLOOKUP(Q466,'FDE 01-26-SD'!$A$1:$J$280013,3,FALSE),IF(P466="PRÓPRIA",VLOOKUP(Q466,COMPOSIÇÃO!$1:$1048576,7,FALSE),VLOOKUP(Q466,'SINAPI 04-26-SD'!$A$1:$H$272700,3,FALSE)))))</f>
        <v>M</v>
      </c>
      <c r="T466" s="393">
        <f>57.6+161</f>
        <v>218.6</v>
      </c>
      <c r="U466" s="394">
        <f>TRUNC(IF(P466="CDHU",VLOOKUP(Q466,'CDHU 201-SD'!$A$1:$J$28014,6,FALSE),IF(P466="FDE",VLOOKUP(Q466,'FDE 01-26-SD'!$A$1:$J$280013,6,FALSE),IF(P466="PRÓPRIA",VLOOKUP(Q466,COMPOSIÇÃO!$1:$1048576,10,FALSE),VLOOKUP(Q466,'SINAPI 04-26-SD'!$A$1:$H$272700,4,FALSE)))),2)</f>
        <v>11.46</v>
      </c>
      <c r="V466" s="416">
        <f t="shared" ref="V466" si="1612">TRUNC(U466*T466,2)</f>
        <v>2505.15</v>
      </c>
      <c r="W466" s="395">
        <f>IF($AA466="N",BDI!$D$26,IF($AA466="D",'BDI DIFE.'!$D$26,"ERRO"))</f>
        <v>0.22500000000000001</v>
      </c>
      <c r="X466" s="379">
        <f t="shared" ref="X466" si="1613">TRUNC(U466*(1+W466),2)</f>
        <v>14.03</v>
      </c>
      <c r="Y466" s="380">
        <f t="shared" ref="Y466" si="1614">TRUNC(T466*X466,2)</f>
        <v>3066.95</v>
      </c>
      <c r="Z466" s="381"/>
      <c r="AA466" s="378" t="s">
        <v>28044</v>
      </c>
      <c r="AB466" s="642"/>
    </row>
    <row r="467" spans="2:28" s="55" customFormat="1" ht="31" thickBot="1">
      <c r="B467" s="378">
        <f t="shared" ca="1" si="1392"/>
        <v>3</v>
      </c>
      <c r="C467" s="378" t="str">
        <f t="shared" si="1105"/>
        <v>S</v>
      </c>
      <c r="D467" s="378">
        <f t="shared" ca="1" si="1195"/>
        <v>17</v>
      </c>
      <c r="E467" s="378">
        <f t="shared" ca="1" si="1393"/>
        <v>1</v>
      </c>
      <c r="F467" s="378" t="str">
        <f t="shared" ca="1" si="1394"/>
        <v>0</v>
      </c>
      <c r="G467" s="378" t="str">
        <f t="shared" ca="1" si="1395"/>
        <v>0</v>
      </c>
      <c r="H467" s="378" t="str">
        <f t="shared" ca="1" si="1396"/>
        <v>0</v>
      </c>
      <c r="I467" s="378" t="str">
        <f t="shared" ca="1" si="1397"/>
        <v>0</v>
      </c>
      <c r="J467" s="378">
        <f t="shared" ca="1" si="1196"/>
        <v>14</v>
      </c>
      <c r="K467" s="378" t="str">
        <f t="shared" si="1398"/>
        <v>NÃO</v>
      </c>
      <c r="L467" s="378" t="str">
        <f t="shared" ca="1" si="1399"/>
        <v>17.1.14</v>
      </c>
      <c r="M467" s="55" t="s">
        <v>27868</v>
      </c>
      <c r="O467" s="392" t="str">
        <f t="shared" ca="1" si="1575"/>
        <v>17.1.14</v>
      </c>
      <c r="P467" s="681" t="s">
        <v>29901</v>
      </c>
      <c r="Q467" s="682" t="s">
        <v>14608</v>
      </c>
      <c r="R467" s="415" t="str">
        <f>UPPER(IF(P467="CDHU",VLOOKUP(Q467,'CDHU 201-SD'!$A$1:$J$28014,2,FALSE),IF(P467="FDE",VLOOKUP(Q467,'FDE 01-26-SD'!$A$1:$J$280013,2,FALSE),IF(P467="PRÓPRIA",VLOOKUP(Q467,COMPOSIÇÃO!$1:$1048576,3,FALSE),VLOOKUP(Q467,'SINAPI 04-26-SD'!$A$1:$H$272700,2,FALSE)))))</f>
        <v>ELETRODUTO GALVANIZADO CONFORME NBR13057 -  3/4´ COM ACESSÓRIOS</v>
      </c>
      <c r="S467" s="414" t="str">
        <f>UPPER(IF(P467="CDHU",VLOOKUP(Q467,'CDHU 201-SD'!$A$1:$J$28014,3,FALSE),IF(P467="FDE",VLOOKUP(Q467,'FDE 01-26-SD'!$A$1:$J$280013,3,FALSE),IF(P467="PRÓPRIA",VLOOKUP(Q467,COMPOSIÇÃO!$1:$1048576,7,FALSE),VLOOKUP(Q467,'SINAPI 04-26-SD'!$A$1:$H$272700,3,FALSE)))))</f>
        <v>M</v>
      </c>
      <c r="T467" s="393">
        <f>57.6+161</f>
        <v>218.6</v>
      </c>
      <c r="U467" s="394">
        <f>TRUNC(IF(P467="CDHU",VLOOKUP(Q467,'CDHU 201-SD'!$A$1:$J$28014,6,FALSE),IF(P467="FDE",VLOOKUP(Q467,'FDE 01-26-SD'!$A$1:$J$280013,6,FALSE),IF(P467="PRÓPRIA",VLOOKUP(Q467,COMPOSIÇÃO!$1:$1048576,10,FALSE),VLOOKUP(Q467,'SINAPI 04-26-SD'!$A$1:$H$272700,4,FALSE)))),2)</f>
        <v>47.54</v>
      </c>
      <c r="V467" s="416">
        <f t="shared" si="1576"/>
        <v>10392.24</v>
      </c>
      <c r="W467" s="395">
        <f>IF($AA467="N",BDI!$D$26,IF($AA467="D",'BDI DIFE.'!$D$26,"ERRO"))</f>
        <v>0.22500000000000001</v>
      </c>
      <c r="X467" s="379">
        <f t="shared" si="1577"/>
        <v>58.23</v>
      </c>
      <c r="Y467" s="380">
        <f t="shared" si="1578"/>
        <v>12729.07</v>
      </c>
      <c r="Z467" s="381"/>
      <c r="AA467" s="378" t="s">
        <v>28044</v>
      </c>
      <c r="AB467" s="642"/>
    </row>
    <row r="468" spans="2:28" s="55" customFormat="1" ht="16" thickBot="1">
      <c r="B468" s="378" t="str">
        <f t="shared" ca="1" si="1392"/>
        <v/>
      </c>
      <c r="C468" s="378" t="str">
        <f>IF(RIGHT($M468) = "o", "S", RIGHT($M468))</f>
        <v/>
      </c>
      <c r="D468" s="378">
        <f t="shared" ca="1" si="1195"/>
        <v>17</v>
      </c>
      <c r="E468" s="378">
        <f t="shared" ca="1" si="1393"/>
        <v>1</v>
      </c>
      <c r="F468" s="378" t="str">
        <f t="shared" ca="1" si="1394"/>
        <v>0</v>
      </c>
      <c r="G468" s="378" t="str">
        <f t="shared" ca="1" si="1395"/>
        <v>0</v>
      </c>
      <c r="H468" s="378" t="str">
        <f t="shared" ca="1" si="1396"/>
        <v>0</v>
      </c>
      <c r="I468" s="378" t="str">
        <f t="shared" ca="1" si="1397"/>
        <v>0</v>
      </c>
      <c r="J468" s="378" t="str">
        <f t="shared" ca="1" si="1196"/>
        <v>0</v>
      </c>
      <c r="K468" s="378" t="b">
        <f t="shared" si="1398"/>
        <v>0</v>
      </c>
      <c r="L468" s="378" t="b">
        <f t="shared" si="1399"/>
        <v>0</v>
      </c>
      <c r="O468" s="192"/>
      <c r="P468" s="387"/>
      <c r="Q468" s="387"/>
      <c r="R468" s="377"/>
      <c r="S468" s="387"/>
      <c r="T468" s="363"/>
      <c r="U468" s="388"/>
      <c r="V468" s="389"/>
      <c r="W468" s="389"/>
      <c r="X468" s="389"/>
      <c r="Y468" s="390"/>
      <c r="AA468" s="378"/>
      <c r="AB468" s="642"/>
    </row>
    <row r="469" spans="2:28" s="75" customFormat="1" ht="16" thickBot="1">
      <c r="B469" s="75" t="str">
        <f t="shared" ref="B469:B472" ca="1" si="1615">IF(C469="S",IF(OFFSET(C469,-1,0)="S", OFFSET(B469,-1,0), OFFSET(B469,-1,0) +1 ), C469)</f>
        <v>2</v>
      </c>
      <c r="C469" s="75" t="str">
        <f t="shared" si="1105"/>
        <v>2</v>
      </c>
      <c r="D469" s="75">
        <f t="shared" ca="1" si="1195"/>
        <v>17</v>
      </c>
      <c r="E469" s="75">
        <f t="shared" ref="E469:E472" ca="1" si="1616">IF($C469="2",OFFSET(E469,-1,0) +1,IF(OFFSET(D469,-1,0)&lt;&gt;D469,"0",IF(OFFSET(E469,-1,0)="","0",OFFSET(E469,-1,0))))</f>
        <v>2</v>
      </c>
      <c r="F469" s="75" t="str">
        <f t="shared" ref="F469:F472" ca="1" si="1617">IF($C469="3",OFFSET(F469,-1,0) +1,IF(OFFSET(E469,-1,0)&lt;&gt;E469,"0",IF(OFFSET(F469,-1,0)="","0",OFFSET(F469,-1,0))))</f>
        <v>0</v>
      </c>
      <c r="G469" s="75" t="str">
        <f t="shared" ref="G469:G472" ca="1" si="1618">IF($C469="4",OFFSET(G469,-1,0) +1,IF(OFFSET(F469,-1,0)&lt;&gt;F469,"0",IF(OFFSET(G469,-1,0)="","0",OFFSET(G469,-1,0))))</f>
        <v>0</v>
      </c>
      <c r="H469" s="75" t="str">
        <f t="shared" ref="H469:H472" ca="1" si="1619">IF($C469="5",OFFSET(H469,-1,0) +1,IF(OFFSET(G469,-1,0)&lt;&gt;G469,"0",IF(OFFSET(H469,-1,0)="","0",OFFSET(H469,-1,0))))</f>
        <v>0</v>
      </c>
      <c r="I469" s="75" t="str">
        <f t="shared" ref="I469:I472" ca="1" si="1620">IF($C469="6",OFFSET(I469,-1,0) +1,IF(OFFSET(H469,-1,0)&lt;&gt;H469,"0",IF(OFFSET(I469,-1,0)="","0", OFFSET(I469,-1,0))))</f>
        <v>0</v>
      </c>
      <c r="J469" s="75" t="str">
        <f t="shared" ca="1" si="1196"/>
        <v>0</v>
      </c>
      <c r="K469" s="75" t="str">
        <f t="shared" ref="K469:K472" ca="1" si="1621">IF(C469="S","NÃO", IF(C469="1", D469, IF(C469="2", D469 &amp; "." &amp; E469,IF(C469="3", D469 &amp; "." &amp; E469 &amp; "." &amp; F469, IF(C469="4", D469 &amp; "." &amp; E469 &amp; "." &amp; F469 &amp; "." &amp; G469, IF(C469="5", D469 &amp; "." &amp; E469 &amp; "." &amp; F469 &amp; "." &amp; G469 &amp; "." &amp; H469, IF(C469="6", D469 &amp; "." &amp; E469 &amp; "." &amp; F469 &amp; "." &amp; G469 &amp; "." &amp; H469 &amp; "." &amp; I469)))))))</f>
        <v>17.2</v>
      </c>
      <c r="L469" s="75" t="str">
        <f t="shared" ref="L469:L472" ca="1" si="1622">IF(K469="NÃO",IF($B469=2,D469&amp;"."&amp;J469,IF($B469=3,D469&amp;"."&amp;E469&amp;"."&amp;J469,IF($B469=4,D469&amp;"."&amp;E469&amp;"."&amp;F469&amp;"."&amp;J469,IF($B469=5,D469&amp;"."&amp;E469&amp;"."&amp;F469&amp;"."&amp;G469&amp;"."&amp;J469,IF($B469=6,D469&amp;"."&amp;E469&amp;"."&amp;F469&amp;"."&amp;G469&amp;"."&amp;H469&amp;"."&amp;J469,IF($B469=7,D469&amp;"."&amp;E469&amp;"."&amp;F469&amp;"."&amp;G469&amp;"."&amp;H469&amp;"."&amp;I469&amp;"."&amp;J469,"FALHA")))))),K469)</f>
        <v>17.2</v>
      </c>
      <c r="M469" s="55" t="s">
        <v>27861</v>
      </c>
      <c r="O469" s="191" t="str">
        <f t="shared" ref="O469:O472" ca="1" si="1623">L469</f>
        <v>17.2</v>
      </c>
      <c r="P469" s="172"/>
      <c r="Q469" s="172"/>
      <c r="R469" s="683" t="s">
        <v>41880</v>
      </c>
      <c r="S469" s="172"/>
      <c r="T469" s="194"/>
      <c r="U469" s="195"/>
      <c r="V469" s="196">
        <f ca="1">IF(VALUE(C469)=1,SUMIFS(V:V,D:D,D469,M:M,"Serviço"),IF(VALUE(C469)=2,SUMIFS(V:V,D:D,D469,E:E,E469,M:M,"Serviço"),IF(VALUE(C469)=3,SUMIFS(V:V,D:D,D469,E:E,E469,F:F,F469,M:M,"Serviço"),IF(VALUE(C469)=4,SUMIFS(V:V,D:D,D469,E:E,E469,F:F,F469,G:G,G469,M:M,"Serviço"),"ERRO"))))</f>
        <v>1779.2699999999998</v>
      </c>
      <c r="W469" s="197"/>
      <c r="X469" s="205"/>
      <c r="Y469" s="173">
        <f ca="1">IF(VALUE(C469)=1,SUMIFS(Y:Y,D:D,D469,M:M,"Serviço"),IF(VALUE(C469)=2,SUMIFS(Y:Y,D:D,D469,E:E,E469,M:M,"Serviço"),IF(VALUE(C469)=3,SUMIFS(Y:Y,D:D,D469,E:E,E469,F:F,F469,M:M,"Serviço"),IF(VALUE(C469)=4,SUMIFS(Y:Y,D:D,D469,E:E,E469,F:F,F469,G:G,G469,M:M,"Serviço"),"ERRO"))))</f>
        <v>2179.58</v>
      </c>
      <c r="AB469" s="641"/>
    </row>
    <row r="470" spans="2:28" s="55" customFormat="1">
      <c r="B470" s="378">
        <f ca="1">IF(C470="S",IF(OFFSET(C470,-1,0)="S", OFFSET(B470,-1,0), OFFSET(B470,-1,0) +1 ), C470)</f>
        <v>3</v>
      </c>
      <c r="C470" s="378" t="str">
        <f>IF(RIGHT($M470) = "o", "S", RIGHT($M470))</f>
        <v>S</v>
      </c>
      <c r="D470" s="378">
        <f ca="1">IF($C470="1",OFFSET(D470,-2,0) +1,OFFSET(D470,-1,0))</f>
        <v>17</v>
      </c>
      <c r="E470" s="378">
        <f ca="1">IF($C470="2",OFFSET(E470,-1,0) +1,IF(OFFSET(D470,-1,0)&lt;&gt;D470,"0",IF(OFFSET(E470,-1,0)="","0",OFFSET(E470,-1,0))))</f>
        <v>2</v>
      </c>
      <c r="F470" s="378" t="str">
        <f ca="1">IF($C470="3",OFFSET(F470,-1,0) +1,IF(OFFSET(E470,-1,0)&lt;&gt;E470,"0",IF(OFFSET(F470,-1,0)="","0",OFFSET(F470,-1,0))))</f>
        <v>0</v>
      </c>
      <c r="G470" s="378" t="str">
        <f ca="1">IF($C470="4",OFFSET(G470,-1,0) +1,IF(OFFSET(F470,-1,0)&lt;&gt;F470,"0",IF(OFFSET(G470,-1,0)="","0",OFFSET(G470,-1,0))))</f>
        <v>0</v>
      </c>
      <c r="H470" s="378" t="str">
        <f ca="1">IF($C470="5",OFFSET(H470,-1,0) +1,IF(OFFSET(G470,-1,0)&lt;&gt;G470,"0",IF(OFFSET(H470,-1,0)="","0",OFFSET(H470,-1,0))))</f>
        <v>0</v>
      </c>
      <c r="I470" s="378" t="str">
        <f ca="1">IF($C470="6",OFFSET(I470,-1,0) +1,IF(OFFSET(H470,-1,0)&lt;&gt;H470,"0",IF(OFFSET(I470,-1,0)="","0", OFFSET(I470,-1,0))))</f>
        <v>0</v>
      </c>
      <c r="J470" s="378">
        <f ca="1">IF($C470="S",OFFSET(J470,-1,0)+1,"0")</f>
        <v>1</v>
      </c>
      <c r="K470" s="378" t="str">
        <f>IF(C470="S","NÃO", IF(C470="1", D470, IF(C470="2", D470 &amp; "." &amp; E470,IF(C470="3", D470 &amp; "." &amp; E470 &amp; "." &amp; F470, IF(C470="4", D470 &amp; "." &amp; E470 &amp; "." &amp; F470 &amp; "." &amp; G470, IF(C470="5", D470 &amp; "." &amp; E470 &amp; "." &amp; F470 &amp; "." &amp; G470 &amp; "." &amp; H470, IF(C470="6", D470 &amp; "." &amp; E470 &amp; "." &amp; F470 &amp; "." &amp; G470 &amp; "." &amp; H470 &amp; "." &amp; I470)))))))</f>
        <v>NÃO</v>
      </c>
      <c r="L470" s="378" t="str">
        <f ca="1">IF(K470="NÃO",IF($B470=2,D470&amp;"."&amp;J470,IF($B470=3,D470&amp;"."&amp;E470&amp;"."&amp;J470,IF($B470=4,D470&amp;"."&amp;E470&amp;"."&amp;F470&amp;"."&amp;J470,IF($B470=5,D470&amp;"."&amp;E470&amp;"."&amp;F470&amp;"."&amp;G470&amp;"."&amp;J470,IF($B470=6,D470&amp;"."&amp;E470&amp;"."&amp;F470&amp;"."&amp;G470&amp;"."&amp;H470&amp;"."&amp;J470,IF($B470=7,D470&amp;"."&amp;E470&amp;"."&amp;F470&amp;"."&amp;G470&amp;"."&amp;H470&amp;"."&amp;I470&amp;"."&amp;J470,"FALHA")))))),K470)</f>
        <v>17.2.1</v>
      </c>
      <c r="M470" s="55" t="s">
        <v>27868</v>
      </c>
      <c r="O470" s="392" t="str">
        <f ca="1">L470</f>
        <v>17.2.1</v>
      </c>
      <c r="P470" s="681" t="s">
        <v>29901</v>
      </c>
      <c r="Q470" s="682" t="s">
        <v>15860</v>
      </c>
      <c r="R470" s="415" t="str">
        <f>UPPER(IF(P470="CDHU",VLOOKUP(Q470,'CDHU 201-SD'!$A$1:$J$28014,2,FALSE),IF(P470="FDE",VLOOKUP(Q470,'FDE 01-26-SD'!$A$1:$J$280013,2,FALSE),IF(P470="PRÓPRIA",VLOOKUP(Q470,COMPOSIÇÃO!$1:$1048576,3,FALSE),VLOOKUP(Q470,'SINAPI 04-26-SD'!$A$1:$H$272700,2,FALSE)))))</f>
        <v>EXAUSTOR ELÉTRICO EM PLÁSTICO, VAZÃO DE 150 A 190M³/H</v>
      </c>
      <c r="S470" s="414" t="str">
        <f>UPPER(IF(P470="CDHU",VLOOKUP(Q470,'CDHU 201-SD'!$A$1:$J$28014,3,FALSE),IF(P470="FDE",VLOOKUP(Q470,'FDE 01-26-SD'!$A$1:$J$280013,3,FALSE),IF(P470="PRÓPRIA",VLOOKUP(Q470,COMPOSIÇÃO!$1:$1048576,7,FALSE),VLOOKUP(Q470,'SINAPI 04-26-SD'!$A$1:$H$272700,3,FALSE)))))</f>
        <v>UN</v>
      </c>
      <c r="T470" s="393">
        <v>3</v>
      </c>
      <c r="U470" s="394">
        <f>TRUNC(IF(P470="CDHU",VLOOKUP(Q470,'CDHU 201-SD'!$A$1:$J$28014,6,FALSE),IF(P470="FDE",VLOOKUP(Q470,'FDE 01-26-SD'!$A$1:$J$280013,6,FALSE),IF(P470="PRÓPRIA",VLOOKUP(Q470,COMPOSIÇÃO!$1:$1048576,10,FALSE),VLOOKUP(Q470,'SINAPI 04-26-SD'!$A$1:$H$272700,4,FALSE)))),2)</f>
        <v>464.2</v>
      </c>
      <c r="V470" s="416">
        <f>TRUNC(U470*T470,2)</f>
        <v>1392.6</v>
      </c>
      <c r="W470" s="395">
        <f>IF($AA470="N",BDI!$D$26,IF($AA470="D",'BDI DIFE.'!$D$26,"ERRO"))</f>
        <v>0.22500000000000001</v>
      </c>
      <c r="X470" s="379">
        <f>TRUNC(U470*(1+W470),2)</f>
        <v>568.64</v>
      </c>
      <c r="Y470" s="380">
        <f>TRUNC(T470*X470,2)</f>
        <v>1705.92</v>
      </c>
      <c r="Z470" s="381"/>
      <c r="AA470" s="378" t="s">
        <v>28044</v>
      </c>
      <c r="AB470" s="642"/>
    </row>
    <row r="471" spans="2:28" s="55" customFormat="1" ht="30">
      <c r="B471" s="378">
        <f t="shared" ca="1" si="1615"/>
        <v>3</v>
      </c>
      <c r="C471" s="378" t="str">
        <f t="shared" si="1105"/>
        <v>S</v>
      </c>
      <c r="D471" s="378">
        <f t="shared" ca="1" si="1195"/>
        <v>17</v>
      </c>
      <c r="E471" s="378">
        <f t="shared" ca="1" si="1616"/>
        <v>2</v>
      </c>
      <c r="F471" s="378" t="str">
        <f t="shared" ca="1" si="1617"/>
        <v>0</v>
      </c>
      <c r="G471" s="378" t="str">
        <f t="shared" ca="1" si="1618"/>
        <v>0</v>
      </c>
      <c r="H471" s="378" t="str">
        <f t="shared" ca="1" si="1619"/>
        <v>0</v>
      </c>
      <c r="I471" s="378" t="str">
        <f t="shared" ca="1" si="1620"/>
        <v>0</v>
      </c>
      <c r="J471" s="378">
        <f t="shared" ca="1" si="1196"/>
        <v>2</v>
      </c>
      <c r="K471" s="378" t="str">
        <f t="shared" si="1621"/>
        <v>NÃO</v>
      </c>
      <c r="L471" s="378" t="str">
        <f t="shared" ca="1" si="1622"/>
        <v>17.2.2</v>
      </c>
      <c r="M471" s="55" t="s">
        <v>27868</v>
      </c>
      <c r="O471" s="392" t="str">
        <f t="shared" ca="1" si="1623"/>
        <v>17.2.2</v>
      </c>
      <c r="P471" s="687" t="s">
        <v>29901</v>
      </c>
      <c r="Q471" s="684" t="s">
        <v>17880</v>
      </c>
      <c r="R471" s="415" t="str">
        <f>UPPER(IF(P471="CDHU",VLOOKUP(Q471,'CDHU 201-SD'!$A$1:$J$28014,2,FALSE),IF(P471="FDE",VLOOKUP(Q471,'FDE 01-26-SD'!$A$1:$J$280013,2,FALSE),IF(P471="PRÓPRIA",VLOOKUP(Q471,COMPOSIÇÃO!$1:$1048576,3,FALSE),VLOOKUP(Q471,'SINAPI 04-26-SD'!$A$1:$H$272700,2,FALSE)))))</f>
        <v>GRELHA DE RETORNO/EXAUSTÃO COM REGISTRO, TAMANHO: 0,03 M² A 0,06 M²</v>
      </c>
      <c r="S471" s="414" t="str">
        <f>UPPER(IF(P471="CDHU",VLOOKUP(Q471,'CDHU 201-SD'!$A$1:$J$28014,3,FALSE),IF(P471="FDE",VLOOKUP(Q471,'FDE 01-26-SD'!$A$1:$J$280013,3,FALSE),IF(P471="PRÓPRIA",VLOOKUP(Q471,COMPOSIÇÃO!$1:$1048576,7,FALSE),VLOOKUP(Q471,'SINAPI 04-26-SD'!$A$1:$H$272700,3,FALSE)))))</f>
        <v>M2</v>
      </c>
      <c r="T471" s="393">
        <f>0.15*0.15*2</f>
        <v>4.4999999999999998E-2</v>
      </c>
      <c r="U471" s="394">
        <f>TRUNC(IF(P471="CDHU",VLOOKUP(Q471,'CDHU 201-SD'!$A$1:$J$28014,6,FALSE),IF(P471="FDE",VLOOKUP(Q471,'FDE 01-26-SD'!$A$1:$J$280013,6,FALSE),IF(P471="PRÓPRIA",VLOOKUP(Q471,COMPOSIÇÃO!$1:$1048576,10,FALSE),VLOOKUP(Q471,'SINAPI 04-26-SD'!$A$1:$H$272700,4,FALSE)))),2)</f>
        <v>2925.41</v>
      </c>
      <c r="V471" s="416">
        <f t="shared" ref="V471:V472" si="1624">TRUNC(U471*T471,2)</f>
        <v>131.63999999999999</v>
      </c>
      <c r="W471" s="395">
        <f>IF($AA471="N",BDI!$D$26,IF($AA471="D",'BDI DIFE.'!$D$26,"ERRO"))</f>
        <v>0.22500000000000001</v>
      </c>
      <c r="X471" s="379">
        <f t="shared" ref="X471:X472" si="1625">TRUNC(U471*(1+W471),2)</f>
        <v>3583.62</v>
      </c>
      <c r="Y471" s="380">
        <f t="shared" ref="Y471:Y472" si="1626">TRUNC(T471*X471,2)</f>
        <v>161.26</v>
      </c>
      <c r="Z471" s="381"/>
      <c r="AA471" s="378" t="s">
        <v>28044</v>
      </c>
      <c r="AB471" s="642"/>
    </row>
    <row r="472" spans="2:28" s="55" customFormat="1" ht="16" thickBot="1">
      <c r="B472" s="378">
        <f t="shared" ca="1" si="1615"/>
        <v>3</v>
      </c>
      <c r="C472" s="378" t="str">
        <f t="shared" si="1105"/>
        <v>S</v>
      </c>
      <c r="D472" s="378">
        <f t="shared" ca="1" si="1195"/>
        <v>17</v>
      </c>
      <c r="E472" s="378">
        <f t="shared" ca="1" si="1616"/>
        <v>2</v>
      </c>
      <c r="F472" s="378" t="str">
        <f t="shared" ca="1" si="1617"/>
        <v>0</v>
      </c>
      <c r="G472" s="378" t="str">
        <f t="shared" ca="1" si="1618"/>
        <v>0</v>
      </c>
      <c r="H472" s="378" t="str">
        <f t="shared" ca="1" si="1619"/>
        <v>0</v>
      </c>
      <c r="I472" s="378" t="str">
        <f t="shared" ca="1" si="1620"/>
        <v>0</v>
      </c>
      <c r="J472" s="378">
        <f t="shared" ca="1" si="1196"/>
        <v>3</v>
      </c>
      <c r="K472" s="378" t="str">
        <f t="shared" si="1621"/>
        <v>NÃO</v>
      </c>
      <c r="L472" s="378" t="str">
        <f t="shared" ca="1" si="1622"/>
        <v>17.2.3</v>
      </c>
      <c r="M472" s="55" t="s">
        <v>27868</v>
      </c>
      <c r="O472" s="392" t="str">
        <f t="shared" ca="1" si="1623"/>
        <v>17.2.3</v>
      </c>
      <c r="P472" s="687" t="s">
        <v>29901</v>
      </c>
      <c r="Q472" s="684" t="s">
        <v>17834</v>
      </c>
      <c r="R472" s="415" t="str">
        <f>UPPER(IF(P472="CDHU",VLOOKUP(Q472,'CDHU 201-SD'!$A$1:$J$28014,2,FALSE),IF(P472="FDE",VLOOKUP(Q472,'FDE 01-26-SD'!$A$1:$J$280013,2,FALSE),IF(P472="PRÓPRIA",VLOOKUP(Q472,COMPOSIÇÃO!$1:$1048576,3,FALSE),VLOOKUP(Q472,'SINAPI 04-26-SD'!$A$1:$H$272700,2,FALSE)))))</f>
        <v>DUTO FLEXÍVEL ALUMINIZADO, SEÇÃO CIRCULAR DE 15CM (6´)</v>
      </c>
      <c r="S472" s="414" t="str">
        <f>UPPER(IF(P472="CDHU",VLOOKUP(Q472,'CDHU 201-SD'!$A$1:$J$28014,3,FALSE),IF(P472="FDE",VLOOKUP(Q472,'FDE 01-26-SD'!$A$1:$J$280013,3,FALSE),IF(P472="PRÓPRIA",VLOOKUP(Q472,COMPOSIÇÃO!$1:$1048576,7,FALSE),VLOOKUP(Q472,'SINAPI 04-26-SD'!$A$1:$H$272700,3,FALSE)))))</f>
        <v>M</v>
      </c>
      <c r="T472" s="393">
        <v>7.1</v>
      </c>
      <c r="U472" s="394">
        <f>TRUNC(IF(P472="CDHU",VLOOKUP(Q472,'CDHU 201-SD'!$A$1:$J$28014,6,FALSE),IF(P472="FDE",VLOOKUP(Q472,'FDE 01-26-SD'!$A$1:$J$280013,6,FALSE),IF(P472="PRÓPRIA",VLOOKUP(Q472,COMPOSIÇÃO!$1:$1048576,10,FALSE),VLOOKUP(Q472,'SINAPI 04-26-SD'!$A$1:$H$272700,4,FALSE)))),2)</f>
        <v>35.92</v>
      </c>
      <c r="V472" s="416">
        <f t="shared" si="1624"/>
        <v>255.03</v>
      </c>
      <c r="W472" s="395">
        <f>IF($AA472="N",BDI!$D$26,IF($AA472="D",'BDI DIFE.'!$D$26,"ERRO"))</f>
        <v>0.22500000000000001</v>
      </c>
      <c r="X472" s="379">
        <f t="shared" si="1625"/>
        <v>44</v>
      </c>
      <c r="Y472" s="380">
        <f t="shared" si="1626"/>
        <v>312.39999999999998</v>
      </c>
      <c r="Z472" s="381"/>
      <c r="AA472" s="378" t="s">
        <v>28044</v>
      </c>
      <c r="AB472" s="642"/>
    </row>
    <row r="473" spans="2:28" s="55" customFormat="1" ht="16" thickBot="1">
      <c r="B473" s="378" t="str">
        <f t="shared" ca="1" si="1344"/>
        <v/>
      </c>
      <c r="C473" s="378" t="str">
        <f>IF(RIGHT($M473) = "o", "S", RIGHT($M473))</f>
        <v/>
      </c>
      <c r="D473" s="378">
        <f t="shared" ca="1" si="1195"/>
        <v>17</v>
      </c>
      <c r="E473" s="378">
        <f t="shared" ca="1" si="1345"/>
        <v>2</v>
      </c>
      <c r="F473" s="378" t="str">
        <f t="shared" ca="1" si="1346"/>
        <v>0</v>
      </c>
      <c r="G473" s="378" t="str">
        <f t="shared" ca="1" si="1347"/>
        <v>0</v>
      </c>
      <c r="H473" s="378" t="str">
        <f t="shared" ca="1" si="1348"/>
        <v>0</v>
      </c>
      <c r="I473" s="378" t="str">
        <f t="shared" ca="1" si="1349"/>
        <v>0</v>
      </c>
      <c r="J473" s="378" t="str">
        <f t="shared" ca="1" si="1196"/>
        <v>0</v>
      </c>
      <c r="K473" s="378" t="b">
        <f t="shared" si="1350"/>
        <v>0</v>
      </c>
      <c r="L473" s="378" t="b">
        <f t="shared" si="1351"/>
        <v>0</v>
      </c>
      <c r="O473" s="192"/>
      <c r="P473" s="387"/>
      <c r="Q473" s="387"/>
      <c r="R473" s="377"/>
      <c r="S473" s="387"/>
      <c r="T473" s="363"/>
      <c r="U473" s="388"/>
      <c r="V473" s="389"/>
      <c r="W473" s="389"/>
      <c r="X473" s="389"/>
      <c r="Y473" s="390"/>
      <c r="AA473" s="378"/>
      <c r="AB473" s="642"/>
    </row>
    <row r="474" spans="2:28" s="75" customFormat="1" ht="16" thickBot="1">
      <c r="B474" s="75" t="str">
        <f t="shared" ca="1" si="1344"/>
        <v>1</v>
      </c>
      <c r="C474" s="75" t="str">
        <f t="shared" si="1105"/>
        <v>1</v>
      </c>
      <c r="D474" s="75">
        <f t="shared" ca="1" si="1195"/>
        <v>18</v>
      </c>
      <c r="E474" s="75" t="str">
        <f t="shared" ca="1" si="1345"/>
        <v>0</v>
      </c>
      <c r="F474" s="75" t="str">
        <f t="shared" ca="1" si="1346"/>
        <v>0</v>
      </c>
      <c r="G474" s="75" t="str">
        <f t="shared" ca="1" si="1347"/>
        <v>0</v>
      </c>
      <c r="H474" s="75" t="str">
        <f t="shared" ca="1" si="1348"/>
        <v>0</v>
      </c>
      <c r="I474" s="75" t="str">
        <f t="shared" ca="1" si="1349"/>
        <v>0</v>
      </c>
      <c r="J474" s="75" t="str">
        <f t="shared" ca="1" si="1196"/>
        <v>0</v>
      </c>
      <c r="K474" s="75">
        <f t="shared" ca="1" si="1350"/>
        <v>18</v>
      </c>
      <c r="L474" s="75">
        <f t="shared" ca="1" si="1351"/>
        <v>18</v>
      </c>
      <c r="M474" s="55" t="s">
        <v>27859</v>
      </c>
      <c r="O474" s="191">
        <f t="shared" ref="O474:O479" ca="1" si="1627">L474</f>
        <v>18</v>
      </c>
      <c r="P474" s="172"/>
      <c r="Q474" s="172"/>
      <c r="R474" s="683" t="s">
        <v>13823</v>
      </c>
      <c r="S474" s="172"/>
      <c r="T474" s="194"/>
      <c r="U474" s="195"/>
      <c r="V474" s="196">
        <f ca="1">IF(VALUE(C474)=1,SUMIFS(V:V,D:D,D474,M:M,"Serviço"),IF(VALUE(C474)=2,SUMIFS(V:V,D:D,D474,E:E,E474,M:M,"Serviço"),IF(VALUE(C474)=3,SUMIFS(V:V,D:D,D474,E:E,E474,F:F,F474,M:M,"Serviço"),IF(VALUE(C474)=4,SUMIFS(V:V,D:D,D474,E:E,E474,F:F,F474,G:G,G474,M:M,"Serviço"),"ERRO"))))</f>
        <v>213680.29999999996</v>
      </c>
      <c r="W474" s="197"/>
      <c r="X474" s="205"/>
      <c r="Y474" s="173">
        <f ca="1">IF(VALUE(C474)=1,SUMIFS(Y:Y,D:D,D474,M:M,"Serviço"),IF(VALUE(C474)=2,SUMIFS(Y:Y,D:D,D474,E:E,E474,M:M,"Serviço"),IF(VALUE(C474)=3,SUMIFS(Y:Y,D:D,D474,E:E,E474,F:F,F474,M:M,"Serviço"),IF(VALUE(C474)=4,SUMIFS(Y:Y,D:D,D474,E:E,E474,F:F,F474,G:G,G474,M:M,"Serviço"),"ERRO"))))</f>
        <v>261717.55000000002</v>
      </c>
      <c r="AB474" s="641"/>
    </row>
    <row r="475" spans="2:28" s="75" customFormat="1" ht="16" thickBot="1">
      <c r="B475" s="75" t="str">
        <f t="shared" ca="1" si="1344"/>
        <v>2</v>
      </c>
      <c r="C475" s="75" t="str">
        <f t="shared" si="1105"/>
        <v>2</v>
      </c>
      <c r="D475" s="75">
        <f t="shared" ca="1" si="1195"/>
        <v>18</v>
      </c>
      <c r="E475" s="75">
        <f t="shared" ca="1" si="1345"/>
        <v>1</v>
      </c>
      <c r="F475" s="75" t="str">
        <f t="shared" ca="1" si="1346"/>
        <v>0</v>
      </c>
      <c r="G475" s="75" t="str">
        <f t="shared" ca="1" si="1347"/>
        <v>0</v>
      </c>
      <c r="H475" s="75" t="str">
        <f t="shared" ca="1" si="1348"/>
        <v>0</v>
      </c>
      <c r="I475" s="75" t="str">
        <f t="shared" ca="1" si="1349"/>
        <v>0</v>
      </c>
      <c r="J475" s="75" t="str">
        <f t="shared" ca="1" si="1196"/>
        <v>0</v>
      </c>
      <c r="K475" s="75" t="str">
        <f t="shared" ca="1" si="1350"/>
        <v>18.1</v>
      </c>
      <c r="L475" s="75" t="str">
        <f t="shared" ca="1" si="1351"/>
        <v>18.1</v>
      </c>
      <c r="M475" s="55" t="s">
        <v>27861</v>
      </c>
      <c r="O475" s="191" t="str">
        <f t="shared" ca="1" si="1627"/>
        <v>18.1</v>
      </c>
      <c r="P475" s="172"/>
      <c r="Q475" s="172"/>
      <c r="R475" s="683" t="s">
        <v>44328</v>
      </c>
      <c r="S475" s="172"/>
      <c r="T475" s="194"/>
      <c r="U475" s="195"/>
      <c r="V475" s="196">
        <f ca="1">IF(VALUE(C475)=1,SUMIFS(V:V,D:D,D475,M:M,"Serviço"),IF(VALUE(C475)=2,SUMIFS(V:V,D:D,D475,E:E,E475,M:M,"Serviço"),IF(VALUE(C475)=3,SUMIFS(V:V,D:D,D475,E:E,E475,F:F,F475,M:M,"Serviço"),IF(VALUE(C475)=4,SUMIFS(V:V,D:D,D475,E:E,E475,F:F,F475,G:G,G475,M:M,"Serviço"),"ERRO"))))</f>
        <v>131161.31</v>
      </c>
      <c r="W475" s="197"/>
      <c r="X475" s="205"/>
      <c r="Y475" s="173">
        <f ca="1">IF(VALUE(C475)=1,SUMIFS(Y:Y,D:D,D475,M:M,"Serviço"),IF(VALUE(C475)=2,SUMIFS(Y:Y,D:D,D475,E:E,E475,M:M,"Serviço"),IF(VALUE(C475)=3,SUMIFS(Y:Y,D:D,D475,E:E,E475,F:F,F475,M:M,"Serviço"),IF(VALUE(C475)=4,SUMIFS(Y:Y,D:D,D475,E:E,E475,F:F,F475,G:G,G475,M:M,"Serviço"),"ERRO"))))</f>
        <v>160652.38000000003</v>
      </c>
      <c r="AB475" s="641"/>
    </row>
    <row r="476" spans="2:28" s="55" customFormat="1">
      <c r="B476" s="378">
        <f t="shared" ca="1" si="1344"/>
        <v>3</v>
      </c>
      <c r="C476" s="378" t="str">
        <f t="shared" si="1105"/>
        <v>S</v>
      </c>
      <c r="D476" s="378">
        <f t="shared" ca="1" si="1195"/>
        <v>18</v>
      </c>
      <c r="E476" s="378">
        <f t="shared" ca="1" si="1345"/>
        <v>1</v>
      </c>
      <c r="F476" s="378" t="str">
        <f t="shared" ca="1" si="1346"/>
        <v>0</v>
      </c>
      <c r="G476" s="378" t="str">
        <f t="shared" ca="1" si="1347"/>
        <v>0</v>
      </c>
      <c r="H476" s="378" t="str">
        <f t="shared" ca="1" si="1348"/>
        <v>0</v>
      </c>
      <c r="I476" s="378" t="str">
        <f t="shared" ca="1" si="1349"/>
        <v>0</v>
      </c>
      <c r="J476" s="378">
        <f t="shared" ca="1" si="1196"/>
        <v>1</v>
      </c>
      <c r="K476" s="378" t="str">
        <f t="shared" si="1350"/>
        <v>NÃO</v>
      </c>
      <c r="L476" s="378" t="str">
        <f t="shared" ca="1" si="1351"/>
        <v>18.1.1</v>
      </c>
      <c r="M476" s="55" t="s">
        <v>27868</v>
      </c>
      <c r="O476" s="392" t="str">
        <f t="shared" ca="1" si="1627"/>
        <v>18.1.1</v>
      </c>
      <c r="P476" s="681" t="s">
        <v>29901</v>
      </c>
      <c r="Q476" s="682" t="s">
        <v>13840</v>
      </c>
      <c r="R476" s="415" t="str">
        <f>UPPER(IF(P476="CDHU",VLOOKUP(Q476,'CDHU 201-SD'!$A$1:$J$28014,2,FALSE),IF(P476="FDE",VLOOKUP(Q476,'FDE 01-26-SD'!$A$1:$J$280013,2,FALSE),IF(P476="PRÓPRIA",VLOOKUP(Q476,COMPOSIÇÃO!$1:$1048576,3,FALSE),VLOOKUP(Q476,'SINAPI 04-26-SD'!$A$1:$H$272700,2,FALSE)))))</f>
        <v>MASSA CORRIDA À BASE DE RESINA ACRÍLICA</v>
      </c>
      <c r="S476" s="414" t="str">
        <f>UPPER(IF(P476="CDHU",VLOOKUP(Q476,'CDHU 201-SD'!$A$1:$J$28014,3,FALSE),IF(P476="FDE",VLOOKUP(Q476,'FDE 01-26-SD'!$A$1:$J$280013,3,FALSE),IF(P476="PRÓPRIA",VLOOKUP(Q476,COMPOSIÇÃO!$1:$1048576,7,FALSE),VLOOKUP(Q476,'SINAPI 04-26-SD'!$A$1:$H$272700,3,FALSE)))))</f>
        <v>M2</v>
      </c>
      <c r="T476" s="393">
        <f>VLOOKUP(Q476,'PINTURA-PAREDES'!$1:$1048576,12,FALSE)</f>
        <v>2410.2764000000002</v>
      </c>
      <c r="U476" s="394">
        <f>TRUNC(IF(P476="CDHU",VLOOKUP(Q476,'CDHU 201-SD'!$A$1:$J$28014,6,FALSE),IF(P476="FDE",VLOOKUP(Q476,'FDE 01-26-SD'!$A$1:$J$280013,6,FALSE),IF(P476="PRÓPRIA",VLOOKUP(Q476,COMPOSIÇÃO!$1:$1048576,10,FALSE),VLOOKUP(Q476,'SINAPI 04-26-SD'!$A$1:$H$272700,4,FALSE)))),2)</f>
        <v>19.28</v>
      </c>
      <c r="V476" s="416">
        <f t="shared" ref="V476:V479" si="1628">TRUNC(U476*T476,2)</f>
        <v>46470.12</v>
      </c>
      <c r="W476" s="395">
        <f>IF($AA476="N",BDI!$D$26,IF($AA476="D",'BDI DIFE.'!$D$26,"ERRO"))</f>
        <v>0.22500000000000001</v>
      </c>
      <c r="X476" s="379">
        <f t="shared" ref="X476:X479" si="1629">TRUNC(U476*(1+W476),2)</f>
        <v>23.61</v>
      </c>
      <c r="Y476" s="380">
        <f t="shared" ref="Y476:Y479" si="1630">TRUNC(T476*X476,2)</f>
        <v>56906.62</v>
      </c>
      <c r="Z476" s="381"/>
      <c r="AA476" s="378" t="s">
        <v>28044</v>
      </c>
      <c r="AB476" s="642"/>
    </row>
    <row r="477" spans="2:28" s="55" customFormat="1">
      <c r="B477" s="378">
        <f t="shared" ref="B477:B478" ca="1" si="1631">IF(C477="S",IF(OFFSET(C477,-1,0)="S", OFFSET(B477,-1,0), OFFSET(B477,-1,0) +1 ), C477)</f>
        <v>3</v>
      </c>
      <c r="C477" s="378" t="str">
        <f t="shared" si="1105"/>
        <v>S</v>
      </c>
      <c r="D477" s="378">
        <f t="shared" ca="1" si="1195"/>
        <v>18</v>
      </c>
      <c r="E477" s="378">
        <f t="shared" ref="E477:E478" ca="1" si="1632">IF($C477="2",OFFSET(E477,-1,0) +1,IF(OFFSET(D477,-1,0)&lt;&gt;D477,"0",IF(OFFSET(E477,-1,0)="","0",OFFSET(E477,-1,0))))</f>
        <v>1</v>
      </c>
      <c r="F477" s="378" t="str">
        <f t="shared" ref="F477:F478" ca="1" si="1633">IF($C477="3",OFFSET(F477,-1,0) +1,IF(OFFSET(E477,-1,0)&lt;&gt;E477,"0",IF(OFFSET(F477,-1,0)="","0",OFFSET(F477,-1,0))))</f>
        <v>0</v>
      </c>
      <c r="G477" s="378" t="str">
        <f t="shared" ref="G477:G478" ca="1" si="1634">IF($C477="4",OFFSET(G477,-1,0) +1,IF(OFFSET(F477,-1,0)&lt;&gt;F477,"0",IF(OFFSET(G477,-1,0)="","0",OFFSET(G477,-1,0))))</f>
        <v>0</v>
      </c>
      <c r="H477" s="378" t="str">
        <f t="shared" ref="H477:H478" ca="1" si="1635">IF($C477="5",OFFSET(H477,-1,0) +1,IF(OFFSET(G477,-1,0)&lt;&gt;G477,"0",IF(OFFSET(H477,-1,0)="","0",OFFSET(H477,-1,0))))</f>
        <v>0</v>
      </c>
      <c r="I477" s="378" t="str">
        <f t="shared" ref="I477:I478" ca="1" si="1636">IF($C477="6",OFFSET(I477,-1,0) +1,IF(OFFSET(H477,-1,0)&lt;&gt;H477,"0",IF(OFFSET(I477,-1,0)="","0", OFFSET(I477,-1,0))))</f>
        <v>0</v>
      </c>
      <c r="J477" s="378">
        <f t="shared" ca="1" si="1196"/>
        <v>2</v>
      </c>
      <c r="K477" s="378" t="str">
        <f t="shared" ref="K477:K478" si="1637">IF(C477="S","NÃO", IF(C477="1", D477, IF(C477="2", D477 &amp; "." &amp; E477,IF(C477="3", D477 &amp; "." &amp; E477 &amp; "." &amp; F477, IF(C477="4", D477 &amp; "." &amp; E477 &amp; "." &amp; F477 &amp; "." &amp; G477, IF(C477="5", D477 &amp; "." &amp; E477 &amp; "." &amp; F477 &amp; "." &amp; G477 &amp; "." &amp; H477, IF(C477="6", D477 &amp; "." &amp; E477 &amp; "." &amp; F477 &amp; "." &amp; G477 &amp; "." &amp; H477 &amp; "." &amp; I477)))))))</f>
        <v>NÃO</v>
      </c>
      <c r="L477" s="378" t="str">
        <f t="shared" ref="L477:L478" ca="1" si="1638">IF(K477="NÃO",IF($B477=2,D477&amp;"."&amp;J477,IF($B477=3,D477&amp;"."&amp;E477&amp;"."&amp;J477,IF($B477=4,D477&amp;"."&amp;E477&amp;"."&amp;F477&amp;"."&amp;J477,IF($B477=5,D477&amp;"."&amp;E477&amp;"."&amp;F477&amp;"."&amp;G477&amp;"."&amp;J477,IF($B477=6,D477&amp;"."&amp;E477&amp;"."&amp;F477&amp;"."&amp;G477&amp;"."&amp;H477&amp;"."&amp;J477,IF($B477=7,D477&amp;"."&amp;E477&amp;"."&amp;F477&amp;"."&amp;G477&amp;"."&amp;H477&amp;"."&amp;I477&amp;"."&amp;J477,"FALHA")))))),K477)</f>
        <v>18.1.2</v>
      </c>
      <c r="M477" s="55" t="s">
        <v>27868</v>
      </c>
      <c r="O477" s="392" t="str">
        <f t="shared" ref="O477:O478" ca="1" si="1639">L477</f>
        <v>18.1.2</v>
      </c>
      <c r="P477" s="681" t="s">
        <v>29901</v>
      </c>
      <c r="Q477" s="682" t="s">
        <v>13890</v>
      </c>
      <c r="R477" s="415" t="str">
        <f>UPPER(IF(P477="CDHU",VLOOKUP(Q477,'CDHU 201-SD'!$A$1:$J$28014,2,FALSE),IF(P477="FDE",VLOOKUP(Q477,'FDE 01-26-SD'!$A$1:$J$280013,2,FALSE),IF(P477="PRÓPRIA",VLOOKUP(Q477,COMPOSIÇÃO!$1:$1048576,3,FALSE),VLOOKUP(Q477,'SINAPI 04-26-SD'!$A$1:$H$272700,2,FALSE)))))</f>
        <v>TINTA LÁTEX EM MASSA, INCLUSIVE PREPARO</v>
      </c>
      <c r="S477" s="414" t="str">
        <f>UPPER(IF(P477="CDHU",VLOOKUP(Q477,'CDHU 201-SD'!$A$1:$J$28014,3,FALSE),IF(P477="FDE",VLOOKUP(Q477,'FDE 01-26-SD'!$A$1:$J$280013,3,FALSE),IF(P477="PRÓPRIA",VLOOKUP(Q477,COMPOSIÇÃO!$1:$1048576,7,FALSE),VLOOKUP(Q477,'SINAPI 04-26-SD'!$A$1:$H$272700,3,FALSE)))))</f>
        <v>M2</v>
      </c>
      <c r="T477" s="393">
        <f>VLOOKUP(Q477,'PINTURA-PAREDES'!$1:$1048576,12,FALSE)</f>
        <v>2410.2764000000002</v>
      </c>
      <c r="U477" s="394">
        <f>TRUNC(IF(P477="CDHU",VLOOKUP(Q477,'CDHU 201-SD'!$A$1:$J$28014,6,FALSE),IF(P477="FDE",VLOOKUP(Q477,'FDE 01-26-SD'!$A$1:$J$280013,6,FALSE),IF(P477="PRÓPRIA",VLOOKUP(Q477,COMPOSIÇÃO!$1:$1048576,10,FALSE),VLOOKUP(Q477,'SINAPI 04-26-SD'!$A$1:$H$272700,4,FALSE)))),2)</f>
        <v>32</v>
      </c>
      <c r="V477" s="416">
        <f t="shared" ref="V477:V478" si="1640">TRUNC(U477*T477,2)</f>
        <v>77128.84</v>
      </c>
      <c r="W477" s="395">
        <f>IF($AA477="N",BDI!$D$26,IF($AA477="D",'BDI DIFE.'!$D$26,"ERRO"))</f>
        <v>0.22500000000000001</v>
      </c>
      <c r="X477" s="379">
        <f t="shared" ref="X477:X478" si="1641">TRUNC(U477*(1+W477),2)</f>
        <v>39.200000000000003</v>
      </c>
      <c r="Y477" s="380">
        <f t="shared" ref="Y477:Y478" si="1642">TRUNC(T477*X477,2)</f>
        <v>94482.83</v>
      </c>
      <c r="Z477" s="381"/>
      <c r="AA477" s="378" t="s">
        <v>28044</v>
      </c>
      <c r="AB477" s="642"/>
    </row>
    <row r="478" spans="2:28" s="55" customFormat="1">
      <c r="B478" s="378">
        <f t="shared" ca="1" si="1631"/>
        <v>3</v>
      </c>
      <c r="C478" s="378" t="str">
        <f t="shared" si="1105"/>
        <v>S</v>
      </c>
      <c r="D478" s="378">
        <f t="shared" ca="1" si="1195"/>
        <v>18</v>
      </c>
      <c r="E478" s="378">
        <f t="shared" ca="1" si="1632"/>
        <v>1</v>
      </c>
      <c r="F478" s="378" t="str">
        <f t="shared" ca="1" si="1633"/>
        <v>0</v>
      </c>
      <c r="G478" s="378" t="str">
        <f t="shared" ca="1" si="1634"/>
        <v>0</v>
      </c>
      <c r="H478" s="378" t="str">
        <f t="shared" ca="1" si="1635"/>
        <v>0</v>
      </c>
      <c r="I478" s="378" t="str">
        <f t="shared" ca="1" si="1636"/>
        <v>0</v>
      </c>
      <c r="J478" s="378">
        <f t="shared" ca="1" si="1196"/>
        <v>3</v>
      </c>
      <c r="K478" s="378" t="str">
        <f t="shared" si="1637"/>
        <v>NÃO</v>
      </c>
      <c r="L478" s="378" t="str">
        <f t="shared" ca="1" si="1638"/>
        <v>18.1.3</v>
      </c>
      <c r="M478" s="55" t="s">
        <v>27868</v>
      </c>
      <c r="O478" s="392" t="str">
        <f t="shared" ca="1" si="1639"/>
        <v>18.1.3</v>
      </c>
      <c r="P478" s="681" t="s">
        <v>29901</v>
      </c>
      <c r="Q478" s="682" t="s">
        <v>13856</v>
      </c>
      <c r="R478" s="415" t="str">
        <f>UPPER(IF(P478="CDHU",VLOOKUP(Q478,'CDHU 201-SD'!$A$1:$J$28014,2,FALSE),IF(P478="FDE",VLOOKUP(Q478,'FDE 01-26-SD'!$A$1:$J$280013,2,FALSE),IF(P478="PRÓPRIA",VLOOKUP(Q478,COMPOSIÇÃO!$1:$1048576,3,FALSE),VLOOKUP(Q478,'SINAPI 04-26-SD'!$A$1:$H$272700,2,FALSE)))))</f>
        <v>VERNIZ DE PROTEÇÃO ANTIPICHAÇÃO</v>
      </c>
      <c r="S478" s="414" t="str">
        <f>UPPER(IF(P478="CDHU",VLOOKUP(Q478,'CDHU 201-SD'!$A$1:$J$28014,3,FALSE),IF(P478="FDE",VLOOKUP(Q478,'FDE 01-26-SD'!$A$1:$J$280013,3,FALSE),IF(P478="PRÓPRIA",VLOOKUP(Q478,COMPOSIÇÃO!$1:$1048576,7,FALSE),VLOOKUP(Q478,'SINAPI 04-26-SD'!$A$1:$H$272700,3,FALSE)))))</f>
        <v>M2</v>
      </c>
      <c r="T478" s="393">
        <f>VLOOKUP(Q478,'PINTURA-PAREDES'!$1:$1048576,12,FALSE)</f>
        <v>86.652000000000015</v>
      </c>
      <c r="U478" s="394">
        <f>TRUNC(IF(P478="CDHU",VLOOKUP(Q478,'CDHU 201-SD'!$A$1:$J$28014,6,FALSE),IF(P478="FDE",VLOOKUP(Q478,'FDE 01-26-SD'!$A$1:$J$280013,6,FALSE),IF(P478="PRÓPRIA",VLOOKUP(Q478,COMPOSIÇÃO!$1:$1048576,10,FALSE),VLOOKUP(Q478,'SINAPI 04-26-SD'!$A$1:$H$272700,4,FALSE)))),2)</f>
        <v>55.49</v>
      </c>
      <c r="V478" s="416">
        <f t="shared" si="1640"/>
        <v>4808.3100000000004</v>
      </c>
      <c r="W478" s="395">
        <f>IF($AA478="N",BDI!$D$26,IF($AA478="D",'BDI DIFE.'!$D$26,"ERRO"))</f>
        <v>0.22500000000000001</v>
      </c>
      <c r="X478" s="379">
        <f t="shared" si="1641"/>
        <v>67.97</v>
      </c>
      <c r="Y478" s="380">
        <f t="shared" si="1642"/>
        <v>5889.73</v>
      </c>
      <c r="Z478" s="381"/>
      <c r="AA478" s="378" t="s">
        <v>28044</v>
      </c>
      <c r="AB478" s="642"/>
    </row>
    <row r="479" spans="2:28" s="55" customFormat="1" ht="31" thickBot="1">
      <c r="B479" s="378">
        <f t="shared" ca="1" si="1344"/>
        <v>3</v>
      </c>
      <c r="C479" s="378" t="str">
        <f t="shared" si="1105"/>
        <v>S</v>
      </c>
      <c r="D479" s="378">
        <f t="shared" ca="1" si="1195"/>
        <v>18</v>
      </c>
      <c r="E479" s="378">
        <f t="shared" ca="1" si="1345"/>
        <v>1</v>
      </c>
      <c r="F479" s="378" t="str">
        <f t="shared" ca="1" si="1346"/>
        <v>0</v>
      </c>
      <c r="G479" s="378" t="str">
        <f t="shared" ca="1" si="1347"/>
        <v>0</v>
      </c>
      <c r="H479" s="378" t="str">
        <f t="shared" ca="1" si="1348"/>
        <v>0</v>
      </c>
      <c r="I479" s="378" t="str">
        <f t="shared" ca="1" si="1349"/>
        <v>0</v>
      </c>
      <c r="J479" s="378">
        <f t="shared" ca="1" si="1196"/>
        <v>4</v>
      </c>
      <c r="K479" s="378" t="str">
        <f t="shared" si="1350"/>
        <v>NÃO</v>
      </c>
      <c r="L479" s="378" t="str">
        <f t="shared" ca="1" si="1351"/>
        <v>18.1.4</v>
      </c>
      <c r="M479" s="55" t="s">
        <v>27868</v>
      </c>
      <c r="O479" s="392" t="str">
        <f t="shared" ca="1" si="1627"/>
        <v>18.1.4</v>
      </c>
      <c r="P479" s="681" t="s">
        <v>29901</v>
      </c>
      <c r="Q479" s="682" t="s">
        <v>13852</v>
      </c>
      <c r="R479" s="415" t="str">
        <f>UPPER(IF(P479="CDHU",VLOOKUP(Q479,'CDHU 201-SD'!$A$1:$J$28014,2,FALSE),IF(P479="FDE",VLOOKUP(Q479,'FDE 01-26-SD'!$A$1:$J$280013,2,FALSE),IF(P479="PRÓPRIA",VLOOKUP(Q479,COMPOSIÇÃO!$1:$1048576,3,FALSE),VLOOKUP(Q479,'SINAPI 04-26-SD'!$A$1:$H$272700,2,FALSE)))))</f>
        <v>HIDROREPELENTE INCOLOR PARA FACHADA À BASE DE SILANO-SILOXANO OLIGOMÉRICO DISPERSO EM ÁGUA</v>
      </c>
      <c r="S479" s="414" t="str">
        <f>UPPER(IF(P479="CDHU",VLOOKUP(Q479,'CDHU 201-SD'!$A$1:$J$28014,3,FALSE),IF(P479="FDE",VLOOKUP(Q479,'FDE 01-26-SD'!$A$1:$J$280013,3,FALSE),IF(P479="PRÓPRIA",VLOOKUP(Q479,COMPOSIÇÃO!$1:$1048576,7,FALSE),VLOOKUP(Q479,'SINAPI 04-26-SD'!$A$1:$H$272700,3,FALSE)))))</f>
        <v>M2</v>
      </c>
      <c r="T479" s="393">
        <f>VLOOKUP(Q479,'PINTURA-PAREDES'!$1:$1048576,12,FALSE)</f>
        <v>81.360399999999998</v>
      </c>
      <c r="U479" s="394">
        <f>TRUNC(IF(P479="CDHU",VLOOKUP(Q479,'CDHU 201-SD'!$A$1:$J$28014,6,FALSE),IF(P479="FDE",VLOOKUP(Q479,'FDE 01-26-SD'!$A$1:$J$280013,6,FALSE),IF(P479="PRÓPRIA",VLOOKUP(Q479,COMPOSIÇÃO!$1:$1048576,10,FALSE),VLOOKUP(Q479,'SINAPI 04-26-SD'!$A$1:$H$272700,4,FALSE)))),2)</f>
        <v>33.85</v>
      </c>
      <c r="V479" s="416">
        <f t="shared" si="1628"/>
        <v>2754.04</v>
      </c>
      <c r="W479" s="395">
        <f>IF($AA479="N",BDI!$D$26,IF($AA479="D",'BDI DIFE.'!$D$26,"ERRO"))</f>
        <v>0.22500000000000001</v>
      </c>
      <c r="X479" s="379">
        <f t="shared" si="1629"/>
        <v>41.46</v>
      </c>
      <c r="Y479" s="380">
        <f t="shared" si="1630"/>
        <v>3373.2</v>
      </c>
      <c r="Z479" s="381"/>
      <c r="AA479" s="378" t="s">
        <v>28044</v>
      </c>
      <c r="AB479" s="642"/>
    </row>
    <row r="480" spans="2:28" s="55" customFormat="1" ht="16" thickBot="1">
      <c r="B480" s="378" t="str">
        <f t="shared" ref="B480:B528" ca="1" si="1643">IF(C480="S",IF(OFFSET(C480,-1,0)="S", OFFSET(B480,-1,0), OFFSET(B480,-1,0) +1 ), C480)</f>
        <v/>
      </c>
      <c r="C480" s="378" t="str">
        <f t="shared" si="1105"/>
        <v/>
      </c>
      <c r="D480" s="378">
        <f t="shared" ca="1" si="1195"/>
        <v>18</v>
      </c>
      <c r="E480" s="378">
        <f t="shared" ref="E480:E528" ca="1" si="1644">IF($C480="2",OFFSET(E480,-1,0) +1,IF(OFFSET(D480,-1,0)&lt;&gt;D480,"0",IF(OFFSET(E480,-1,0)="","0",OFFSET(E480,-1,0))))</f>
        <v>1</v>
      </c>
      <c r="F480" s="378" t="str">
        <f t="shared" ref="F480:F528" ca="1" si="1645">IF($C480="3",OFFSET(F480,-1,0) +1,IF(OFFSET(E480,-1,0)&lt;&gt;E480,"0",IF(OFFSET(F480,-1,0)="","0",OFFSET(F480,-1,0))))</f>
        <v>0</v>
      </c>
      <c r="G480" s="378" t="str">
        <f t="shared" ref="G480:G528" ca="1" si="1646">IF($C480="4",OFFSET(G480,-1,0) +1,IF(OFFSET(F480,-1,0)&lt;&gt;F480,"0",IF(OFFSET(G480,-1,0)="","0",OFFSET(G480,-1,0))))</f>
        <v>0</v>
      </c>
      <c r="H480" s="378" t="str">
        <f t="shared" ref="H480:H528" ca="1" si="1647">IF($C480="5",OFFSET(H480,-1,0) +1,IF(OFFSET(G480,-1,0)&lt;&gt;G480,"0",IF(OFFSET(H480,-1,0)="","0",OFFSET(H480,-1,0))))</f>
        <v>0</v>
      </c>
      <c r="I480" s="378" t="str">
        <f t="shared" ref="I480:I528" ca="1" si="1648">IF($C480="6",OFFSET(I480,-1,0) +1,IF(OFFSET(H480,-1,0)&lt;&gt;H480,"0",IF(OFFSET(I480,-1,0)="","0", OFFSET(I480,-1,0))))</f>
        <v>0</v>
      </c>
      <c r="J480" s="378" t="str">
        <f t="shared" ca="1" si="1196"/>
        <v>0</v>
      </c>
      <c r="K480" s="378" t="b">
        <f t="shared" ref="K480:K528" si="1649">IF(C480="S","NÃO", IF(C480="1", D480, IF(C480="2", D480 &amp; "." &amp; E480,IF(C480="3", D480 &amp; "." &amp; E480 &amp; "." &amp; F480, IF(C480="4", D480 &amp; "." &amp; E480 &amp; "." &amp; F480 &amp; "." &amp; G480, IF(C480="5", D480 &amp; "." &amp; E480 &amp; "." &amp; F480 &amp; "." &amp; G480 &amp; "." &amp; H480, IF(C480="6", D480 &amp; "." &amp; E480 &amp; "." &amp; F480 &amp; "." &amp; G480 &amp; "." &amp; H480 &amp; "." &amp; I480)))))))</f>
        <v>0</v>
      </c>
      <c r="L480" s="378" t="b">
        <f t="shared" ref="L480:L528" si="1650">IF(K480="NÃO",IF($B480=2,D480&amp;"."&amp;J480,IF($B480=3,D480&amp;"."&amp;E480&amp;"."&amp;J480,IF($B480=4,D480&amp;"."&amp;E480&amp;"."&amp;F480&amp;"."&amp;J480,IF($B480=5,D480&amp;"."&amp;E480&amp;"."&amp;F480&amp;"."&amp;G480&amp;"."&amp;J480,IF($B480=6,D480&amp;"."&amp;E480&amp;"."&amp;F480&amp;"."&amp;G480&amp;"."&amp;H480&amp;"."&amp;J480,IF($B480=7,D480&amp;"."&amp;E480&amp;"."&amp;F480&amp;"."&amp;G480&amp;"."&amp;H480&amp;"."&amp;I480&amp;"."&amp;J480,"FALHA")))))),K480)</f>
        <v>0</v>
      </c>
      <c r="O480" s="192"/>
      <c r="P480" s="387"/>
      <c r="Q480" s="387"/>
      <c r="R480" s="377"/>
      <c r="S480" s="387"/>
      <c r="T480" s="363"/>
      <c r="U480" s="388"/>
      <c r="V480" s="389"/>
      <c r="W480" s="389"/>
      <c r="X480" s="389"/>
      <c r="Y480" s="390"/>
      <c r="AB480" s="642"/>
    </row>
    <row r="481" spans="2:28" s="75" customFormat="1" ht="16" thickBot="1">
      <c r="B481" s="75" t="str">
        <f t="shared" ca="1" si="1643"/>
        <v>2</v>
      </c>
      <c r="C481" s="75" t="str">
        <f t="shared" si="1105"/>
        <v>2</v>
      </c>
      <c r="D481" s="75">
        <f t="shared" ca="1" si="1195"/>
        <v>18</v>
      </c>
      <c r="E481" s="75">
        <f t="shared" ca="1" si="1644"/>
        <v>2</v>
      </c>
      <c r="F481" s="75" t="str">
        <f t="shared" ca="1" si="1645"/>
        <v>0</v>
      </c>
      <c r="G481" s="75" t="str">
        <f t="shared" ca="1" si="1646"/>
        <v>0</v>
      </c>
      <c r="H481" s="75" t="str">
        <f t="shared" ca="1" si="1647"/>
        <v>0</v>
      </c>
      <c r="I481" s="75" t="str">
        <f t="shared" ca="1" si="1648"/>
        <v>0</v>
      </c>
      <c r="J481" s="75" t="str">
        <f t="shared" ca="1" si="1196"/>
        <v>0</v>
      </c>
      <c r="K481" s="75" t="str">
        <f t="shared" ca="1" si="1649"/>
        <v>18.2</v>
      </c>
      <c r="L481" s="75" t="str">
        <f t="shared" ca="1" si="1650"/>
        <v>18.2</v>
      </c>
      <c r="M481" s="55" t="s">
        <v>27861</v>
      </c>
      <c r="O481" s="191" t="str">
        <f t="shared" ref="O481:O483" ca="1" si="1651">L481</f>
        <v>18.2</v>
      </c>
      <c r="P481" s="172"/>
      <c r="Q481" s="172"/>
      <c r="R481" s="683" t="s">
        <v>44329</v>
      </c>
      <c r="S481" s="172"/>
      <c r="T481" s="194"/>
      <c r="U481" s="195"/>
      <c r="V481" s="196">
        <f ca="1">IF(VALUE(C481)=1,SUMIFS(V:V,D:D,D481,M:M,"Serviço"),IF(VALUE(C481)=2,SUMIFS(V:V,D:D,D481,E:E,E481,M:M,"Serviço"),IF(VALUE(C481)=3,SUMIFS(V:V,D:D,D481,E:E,E481,F:F,F481,M:M,"Serviço"),IF(VALUE(C481)=4,SUMIFS(V:V,D:D,D481,E:E,E481,F:F,F481,G:G,G481,M:M,"Serviço"),"ERRO"))))</f>
        <v>39786.1</v>
      </c>
      <c r="W481" s="197"/>
      <c r="X481" s="205"/>
      <c r="Y481" s="173">
        <f ca="1">IF(VALUE(C481)=1,SUMIFS(Y:Y,D:D,D481,M:M,"Serviço"),IF(VALUE(C481)=2,SUMIFS(Y:Y,D:D,D481,E:E,E481,M:M,"Serviço"),IF(VALUE(C481)=3,SUMIFS(Y:Y,D:D,D481,E:E,E481,F:F,F481,M:M,"Serviço"),IF(VALUE(C481)=4,SUMIFS(Y:Y,D:D,D481,E:E,E481,F:F,F481,G:G,G481,M:M,"Serviço"),"ERRO"))))</f>
        <v>48731.759999999995</v>
      </c>
      <c r="AB481" s="641"/>
    </row>
    <row r="482" spans="2:28" s="55" customFormat="1">
      <c r="B482" s="378">
        <f t="shared" ref="B482" ca="1" si="1652">IF(C482="S",IF(OFFSET(C482,-1,0)="S", OFFSET(B482,-1,0), OFFSET(B482,-1,0) +1 ), C482)</f>
        <v>3</v>
      </c>
      <c r="C482" s="378" t="str">
        <f t="shared" ref="C482:C529" si="1653">IF(RIGHT($M482) = "o", "S", RIGHT($M482))</f>
        <v>S</v>
      </c>
      <c r="D482" s="378">
        <f t="shared" ca="1" si="1195"/>
        <v>18</v>
      </c>
      <c r="E482" s="378">
        <f t="shared" ref="E482" ca="1" si="1654">IF($C482="2",OFFSET(E482,-1,0) +1,IF(OFFSET(D482,-1,0)&lt;&gt;D482,"0",IF(OFFSET(E482,-1,0)="","0",OFFSET(E482,-1,0))))</f>
        <v>2</v>
      </c>
      <c r="F482" s="378" t="str">
        <f t="shared" ref="F482" ca="1" si="1655">IF($C482="3",OFFSET(F482,-1,0) +1,IF(OFFSET(E482,-1,0)&lt;&gt;E482,"0",IF(OFFSET(F482,-1,0)="","0",OFFSET(F482,-1,0))))</f>
        <v>0</v>
      </c>
      <c r="G482" s="378" t="str">
        <f t="shared" ref="G482" ca="1" si="1656">IF($C482="4",OFFSET(G482,-1,0) +1,IF(OFFSET(F482,-1,0)&lt;&gt;F482,"0",IF(OFFSET(G482,-1,0)="","0",OFFSET(G482,-1,0))))</f>
        <v>0</v>
      </c>
      <c r="H482" s="378" t="str">
        <f t="shared" ref="H482" ca="1" si="1657">IF($C482="5",OFFSET(H482,-1,0) +1,IF(OFFSET(G482,-1,0)&lt;&gt;G482,"0",IF(OFFSET(H482,-1,0)="","0",OFFSET(H482,-1,0))))</f>
        <v>0</v>
      </c>
      <c r="I482" s="378" t="str">
        <f t="shared" ref="I482" ca="1" si="1658">IF($C482="6",OFFSET(I482,-1,0) +1,IF(OFFSET(H482,-1,0)&lt;&gt;H482,"0",IF(OFFSET(I482,-1,0)="","0", OFFSET(I482,-1,0))))</f>
        <v>0</v>
      </c>
      <c r="J482" s="378">
        <f t="shared" ca="1" si="1196"/>
        <v>1</v>
      </c>
      <c r="K482" s="378" t="str">
        <f t="shared" ref="K482" si="1659">IF(C482="S","NÃO", IF(C482="1", D482, IF(C482="2", D482 &amp; "." &amp; E482,IF(C482="3", D482 &amp; "." &amp; E482 &amp; "." &amp; F482, IF(C482="4", D482 &amp; "." &amp; E482 &amp; "." &amp; F482 &amp; "." &amp; G482, IF(C482="5", D482 &amp; "." &amp; E482 &amp; "." &amp; F482 &amp; "." &amp; G482 &amp; "." &amp; H482, IF(C482="6", D482 &amp; "." &amp; E482 &amp; "." &amp; F482 &amp; "." &amp; G482 &amp; "." &amp; H482 &amp; "." &amp; I482)))))))</f>
        <v>NÃO</v>
      </c>
      <c r="L482" s="378" t="str">
        <f t="shared" ref="L482" ca="1" si="1660">IF(K482="NÃO",IF($B482=2,D482&amp;"."&amp;J482,IF($B482=3,D482&amp;"."&amp;E482&amp;"."&amp;J482,IF($B482=4,D482&amp;"."&amp;E482&amp;"."&amp;F482&amp;"."&amp;J482,IF($B482=5,D482&amp;"."&amp;E482&amp;"."&amp;F482&amp;"."&amp;G482&amp;"."&amp;J482,IF($B482=6,D482&amp;"."&amp;E482&amp;"."&amp;F482&amp;"."&amp;G482&amp;"."&amp;H482&amp;"."&amp;J482,IF($B482=7,D482&amp;"."&amp;E482&amp;"."&amp;F482&amp;"."&amp;G482&amp;"."&amp;H482&amp;"."&amp;I482&amp;"."&amp;J482,"FALHA")))))),K482)</f>
        <v>18.2.1</v>
      </c>
      <c r="M482" s="55" t="s">
        <v>27868</v>
      </c>
      <c r="O482" s="392" t="str">
        <f t="shared" ref="O482" ca="1" si="1661">L482</f>
        <v>18.2.1</v>
      </c>
      <c r="P482" s="681" t="s">
        <v>29901</v>
      </c>
      <c r="Q482" s="682" t="s">
        <v>13840</v>
      </c>
      <c r="R482" s="415" t="str">
        <f>UPPER(IF(P482="CDHU",VLOOKUP(Q482,'CDHU 201-SD'!$A$1:$J$28014,2,FALSE),IF(P482="FDE",VLOOKUP(Q482,'FDE 01-26-SD'!$A$1:$J$280013,2,FALSE),IF(P482="PRÓPRIA",VLOOKUP(Q482,COMPOSIÇÃO!$1:$1048576,3,FALSE),VLOOKUP(Q482,'SINAPI 04-26-SD'!$A$1:$H$272700,2,FALSE)))))</f>
        <v>MASSA CORRIDA À BASE DE RESINA ACRÍLICA</v>
      </c>
      <c r="S482" s="414" t="str">
        <f>UPPER(IF(P482="CDHU",VLOOKUP(Q482,'CDHU 201-SD'!$A$1:$J$28014,3,FALSE),IF(P482="FDE",VLOOKUP(Q482,'FDE 01-26-SD'!$A$1:$J$280013,3,FALSE),IF(P482="PRÓPRIA",VLOOKUP(Q482,COMPOSIÇÃO!$1:$1048576,7,FALSE),VLOOKUP(Q482,'SINAPI 04-26-SD'!$A$1:$H$272700,3,FALSE)))))</f>
        <v>M2</v>
      </c>
      <c r="T482" s="393">
        <f>VLOOKUP(Q482,'PINTURA-TETO'!$1:$1048576,12,FALSE)</f>
        <v>775.86000000000013</v>
      </c>
      <c r="U482" s="394">
        <f>TRUNC(IF(P482="CDHU",VLOOKUP(Q482,'CDHU 201-SD'!$A$1:$J$28014,6,FALSE),IF(P482="FDE",VLOOKUP(Q482,'FDE 01-26-SD'!$A$1:$J$280013,6,FALSE),IF(P482="PRÓPRIA",VLOOKUP(Q482,COMPOSIÇÃO!$1:$1048576,10,FALSE),VLOOKUP(Q482,'SINAPI 04-26-SD'!$A$1:$H$272700,4,FALSE)))),2)</f>
        <v>19.28</v>
      </c>
      <c r="V482" s="416">
        <f t="shared" ref="V482" si="1662">TRUNC(U482*T482,2)</f>
        <v>14958.58</v>
      </c>
      <c r="W482" s="395">
        <f>IF($AA482="N",BDI!$D$26,IF($AA482="D",'BDI DIFE.'!$D$26,"ERRO"))</f>
        <v>0.22500000000000001</v>
      </c>
      <c r="X482" s="379">
        <f t="shared" ref="X482" si="1663">TRUNC(U482*(1+W482),2)</f>
        <v>23.61</v>
      </c>
      <c r="Y482" s="380">
        <f t="shared" ref="Y482" si="1664">TRUNC(T482*X482,2)</f>
        <v>18318.05</v>
      </c>
      <c r="Z482" s="381"/>
      <c r="AA482" s="378" t="s">
        <v>28044</v>
      </c>
      <c r="AB482" s="642"/>
    </row>
    <row r="483" spans="2:28" s="55" customFormat="1" ht="16" thickBot="1">
      <c r="B483" s="378">
        <f t="shared" ca="1" si="1643"/>
        <v>3</v>
      </c>
      <c r="C483" s="378" t="str">
        <f t="shared" si="1653"/>
        <v>S</v>
      </c>
      <c r="D483" s="378">
        <f t="shared" ca="1" si="1195"/>
        <v>18</v>
      </c>
      <c r="E483" s="378">
        <f t="shared" ca="1" si="1644"/>
        <v>2</v>
      </c>
      <c r="F483" s="378" t="str">
        <f t="shared" ca="1" si="1645"/>
        <v>0</v>
      </c>
      <c r="G483" s="378" t="str">
        <f t="shared" ca="1" si="1646"/>
        <v>0</v>
      </c>
      <c r="H483" s="378" t="str">
        <f t="shared" ca="1" si="1647"/>
        <v>0</v>
      </c>
      <c r="I483" s="378" t="str">
        <f t="shared" ca="1" si="1648"/>
        <v>0</v>
      </c>
      <c r="J483" s="378">
        <f t="shared" ca="1" si="1196"/>
        <v>2</v>
      </c>
      <c r="K483" s="378" t="str">
        <f t="shared" si="1649"/>
        <v>NÃO</v>
      </c>
      <c r="L483" s="378" t="str">
        <f t="shared" ca="1" si="1650"/>
        <v>18.2.2</v>
      </c>
      <c r="M483" s="55" t="s">
        <v>27868</v>
      </c>
      <c r="O483" s="392" t="str">
        <f t="shared" ca="1" si="1651"/>
        <v>18.2.2</v>
      </c>
      <c r="P483" s="681" t="s">
        <v>29901</v>
      </c>
      <c r="Q483" s="682" t="s">
        <v>13890</v>
      </c>
      <c r="R483" s="415" t="str">
        <f>UPPER(IF(P483="CDHU",VLOOKUP(Q483,'CDHU 201-SD'!$A$1:$J$28014,2,FALSE),IF(P483="FDE",VLOOKUP(Q483,'FDE 01-26-SD'!$A$1:$J$280013,2,FALSE),IF(P483="PRÓPRIA",VLOOKUP(Q483,COMPOSIÇÃO!$1:$1048576,3,FALSE),VLOOKUP(Q483,'SINAPI 04-26-SD'!$A$1:$H$272700,2,FALSE)))))</f>
        <v>TINTA LÁTEX EM MASSA, INCLUSIVE PREPARO</v>
      </c>
      <c r="S483" s="414" t="str">
        <f>UPPER(IF(P483="CDHU",VLOOKUP(Q483,'CDHU 201-SD'!$A$1:$J$28014,3,FALSE),IF(P483="FDE",VLOOKUP(Q483,'FDE 01-26-SD'!$A$1:$J$280013,3,FALSE),IF(P483="PRÓPRIA",VLOOKUP(Q483,COMPOSIÇÃO!$1:$1048576,7,FALSE),VLOOKUP(Q483,'SINAPI 04-26-SD'!$A$1:$H$272700,3,FALSE)))))</f>
        <v>M2</v>
      </c>
      <c r="T483" s="393">
        <f>VLOOKUP(Q483,'PINTURA-TETO'!$1:$1048576,12,FALSE)</f>
        <v>775.86000000000013</v>
      </c>
      <c r="U483" s="394">
        <f>TRUNC(IF(P483="CDHU",VLOOKUP(Q483,'CDHU 201-SD'!$A$1:$J$28014,6,FALSE),IF(P483="FDE",VLOOKUP(Q483,'FDE 01-26-SD'!$A$1:$J$280013,6,FALSE),IF(P483="PRÓPRIA",VLOOKUP(Q483,COMPOSIÇÃO!$1:$1048576,10,FALSE),VLOOKUP(Q483,'SINAPI 04-26-SD'!$A$1:$H$272700,4,FALSE)))),2)</f>
        <v>32</v>
      </c>
      <c r="V483" s="416">
        <f t="shared" ref="V483" si="1665">TRUNC(U483*T483,2)</f>
        <v>24827.52</v>
      </c>
      <c r="W483" s="395">
        <f>IF($AA483="N",BDI!$D$26,IF($AA483="D",'BDI DIFE.'!$D$26,"ERRO"))</f>
        <v>0.22500000000000001</v>
      </c>
      <c r="X483" s="379">
        <f t="shared" ref="X483" si="1666">TRUNC(U483*(1+W483),2)</f>
        <v>39.200000000000003</v>
      </c>
      <c r="Y483" s="380">
        <f t="shared" ref="Y483" si="1667">TRUNC(T483*X483,2)</f>
        <v>30413.71</v>
      </c>
      <c r="Z483" s="381"/>
      <c r="AA483" s="378" t="s">
        <v>28044</v>
      </c>
      <c r="AB483" s="642"/>
    </row>
    <row r="484" spans="2:28" s="55" customFormat="1" ht="16" thickBot="1">
      <c r="B484" s="378" t="str">
        <f t="shared" ref="B484:B488" ca="1" si="1668">IF(C484="S",IF(OFFSET(C484,-1,0)="S", OFFSET(B484,-1,0), OFFSET(B484,-1,0) +1 ), C484)</f>
        <v/>
      </c>
      <c r="C484" s="378" t="str">
        <f t="shared" si="1653"/>
        <v/>
      </c>
      <c r="D484" s="378">
        <f t="shared" ca="1" si="1195"/>
        <v>18</v>
      </c>
      <c r="E484" s="378">
        <f t="shared" ref="E484:E488" ca="1" si="1669">IF($C484="2",OFFSET(E484,-1,0) +1,IF(OFFSET(D484,-1,0)&lt;&gt;D484,"0",IF(OFFSET(E484,-1,0)="","0",OFFSET(E484,-1,0))))</f>
        <v>2</v>
      </c>
      <c r="F484" s="378" t="str">
        <f t="shared" ref="F484:F488" ca="1" si="1670">IF($C484="3",OFFSET(F484,-1,0) +1,IF(OFFSET(E484,-1,0)&lt;&gt;E484,"0",IF(OFFSET(F484,-1,0)="","0",OFFSET(F484,-1,0))))</f>
        <v>0</v>
      </c>
      <c r="G484" s="378" t="str">
        <f t="shared" ref="G484:G488" ca="1" si="1671">IF($C484="4",OFFSET(G484,-1,0) +1,IF(OFFSET(F484,-1,0)&lt;&gt;F484,"0",IF(OFFSET(G484,-1,0)="","0",OFFSET(G484,-1,0))))</f>
        <v>0</v>
      </c>
      <c r="H484" s="378" t="str">
        <f t="shared" ref="H484:H488" ca="1" si="1672">IF($C484="5",OFFSET(H484,-1,0) +1,IF(OFFSET(G484,-1,0)&lt;&gt;G484,"0",IF(OFFSET(H484,-1,0)="","0",OFFSET(H484,-1,0))))</f>
        <v>0</v>
      </c>
      <c r="I484" s="378" t="str">
        <f t="shared" ref="I484:I488" ca="1" si="1673">IF($C484="6",OFFSET(I484,-1,0) +1,IF(OFFSET(H484,-1,0)&lt;&gt;H484,"0",IF(OFFSET(I484,-1,0)="","0", OFFSET(I484,-1,0))))</f>
        <v>0</v>
      </c>
      <c r="J484" s="378" t="str">
        <f t="shared" ca="1" si="1196"/>
        <v>0</v>
      </c>
      <c r="K484" s="378" t="b">
        <f t="shared" ref="K484:K488" si="1674">IF(C484="S","NÃO", IF(C484="1", D484, IF(C484="2", D484 &amp; "." &amp; E484,IF(C484="3", D484 &amp; "." &amp; E484 &amp; "." &amp; F484, IF(C484="4", D484 &amp; "." &amp; E484 &amp; "." &amp; F484 &amp; "." &amp; G484, IF(C484="5", D484 &amp; "." &amp; E484 &amp; "." &amp; F484 &amp; "." &amp; G484 &amp; "." &amp; H484, IF(C484="6", D484 &amp; "." &amp; E484 &amp; "." &amp; F484 &amp; "." &amp; G484 &amp; "." &amp; H484 &amp; "." &amp; I484)))))))</f>
        <v>0</v>
      </c>
      <c r="L484" s="378" t="b">
        <f t="shared" ref="L484:L488" si="1675">IF(K484="NÃO",IF($B484=2,D484&amp;"."&amp;J484,IF($B484=3,D484&amp;"."&amp;E484&amp;"."&amp;J484,IF($B484=4,D484&amp;"."&amp;E484&amp;"."&amp;F484&amp;"."&amp;J484,IF($B484=5,D484&amp;"."&amp;E484&amp;"."&amp;F484&amp;"."&amp;G484&amp;"."&amp;J484,IF($B484=6,D484&amp;"."&amp;E484&amp;"."&amp;F484&amp;"."&amp;G484&amp;"."&amp;H484&amp;"."&amp;J484,IF($B484=7,D484&amp;"."&amp;E484&amp;"."&amp;F484&amp;"."&amp;G484&amp;"."&amp;H484&amp;"."&amp;I484&amp;"."&amp;J484,"FALHA")))))),K484)</f>
        <v>0</v>
      </c>
      <c r="O484" s="192"/>
      <c r="P484" s="387"/>
      <c r="Q484" s="387"/>
      <c r="R484" s="377"/>
      <c r="S484" s="387"/>
      <c r="T484" s="363"/>
      <c r="U484" s="388"/>
      <c r="V484" s="389"/>
      <c r="W484" s="389"/>
      <c r="X484" s="389"/>
      <c r="Y484" s="390"/>
      <c r="AB484" s="642"/>
    </row>
    <row r="485" spans="2:28" s="75" customFormat="1" ht="16" thickBot="1">
      <c r="B485" s="75" t="str">
        <f t="shared" ca="1" si="1668"/>
        <v>2</v>
      </c>
      <c r="C485" s="75" t="str">
        <f t="shared" si="1653"/>
        <v>2</v>
      </c>
      <c r="D485" s="75">
        <f t="shared" ca="1" si="1195"/>
        <v>18</v>
      </c>
      <c r="E485" s="75">
        <f t="shared" ca="1" si="1669"/>
        <v>3</v>
      </c>
      <c r="F485" s="75" t="str">
        <f t="shared" ca="1" si="1670"/>
        <v>0</v>
      </c>
      <c r="G485" s="75" t="str">
        <f t="shared" ca="1" si="1671"/>
        <v>0</v>
      </c>
      <c r="H485" s="75" t="str">
        <f t="shared" ca="1" si="1672"/>
        <v>0</v>
      </c>
      <c r="I485" s="75" t="str">
        <f t="shared" ca="1" si="1673"/>
        <v>0</v>
      </c>
      <c r="J485" s="75" t="str">
        <f t="shared" ca="1" si="1196"/>
        <v>0</v>
      </c>
      <c r="K485" s="75" t="str">
        <f t="shared" ca="1" si="1674"/>
        <v>18.3</v>
      </c>
      <c r="L485" s="75" t="str">
        <f t="shared" ca="1" si="1675"/>
        <v>18.3</v>
      </c>
      <c r="M485" s="55" t="s">
        <v>27861</v>
      </c>
      <c r="O485" s="191" t="str">
        <f t="shared" ref="O485:O488" ca="1" si="1676">L485</f>
        <v>18.3</v>
      </c>
      <c r="P485" s="172"/>
      <c r="Q485" s="172"/>
      <c r="R485" s="683" t="s">
        <v>44330</v>
      </c>
      <c r="S485" s="172"/>
      <c r="T485" s="194"/>
      <c r="U485" s="195"/>
      <c r="V485" s="196">
        <f ca="1">IF(VALUE(C485)=1,SUMIFS(V:V,D:D,D485,M:M,"Serviço"),IF(VALUE(C485)=2,SUMIFS(V:V,D:D,D485,E:E,E485,M:M,"Serviço"),IF(VALUE(C485)=3,SUMIFS(V:V,D:D,D485,E:E,E485,F:F,F485,M:M,"Serviço"),IF(VALUE(C485)=4,SUMIFS(V:V,D:D,D485,E:E,E485,F:F,F485,G:G,G485,M:M,"Serviço"),"ERRO"))))</f>
        <v>42732.89</v>
      </c>
      <c r="W485" s="197"/>
      <c r="X485" s="205"/>
      <c r="Y485" s="173">
        <f ca="1">IF(VALUE(C485)=1,SUMIFS(Y:Y,D:D,D485,M:M,"Serviço"),IF(VALUE(C485)=2,SUMIFS(Y:Y,D:D,D485,E:E,E485,M:M,"Serviço"),IF(VALUE(C485)=3,SUMIFS(Y:Y,D:D,D485,E:E,E485,F:F,F485,M:M,"Serviço"),IF(VALUE(C485)=4,SUMIFS(Y:Y,D:D,D485,E:E,E485,F:F,F485,G:G,G485,M:M,"Serviço"),"ERRO"))))</f>
        <v>52333.41</v>
      </c>
      <c r="AB485" s="641"/>
    </row>
    <row r="486" spans="2:28" s="55" customFormat="1">
      <c r="B486" s="378">
        <f t="shared" ca="1" si="1668"/>
        <v>3</v>
      </c>
      <c r="C486" s="378" t="str">
        <f t="shared" si="1653"/>
        <v>S</v>
      </c>
      <c r="D486" s="378">
        <f t="shared" ca="1" si="1195"/>
        <v>18</v>
      </c>
      <c r="E486" s="378">
        <f t="shared" ca="1" si="1669"/>
        <v>3</v>
      </c>
      <c r="F486" s="378" t="str">
        <f t="shared" ca="1" si="1670"/>
        <v>0</v>
      </c>
      <c r="G486" s="378" t="str">
        <f t="shared" ca="1" si="1671"/>
        <v>0</v>
      </c>
      <c r="H486" s="378" t="str">
        <f t="shared" ca="1" si="1672"/>
        <v>0</v>
      </c>
      <c r="I486" s="378" t="str">
        <f t="shared" ca="1" si="1673"/>
        <v>0</v>
      </c>
      <c r="J486" s="378">
        <f t="shared" ca="1" si="1196"/>
        <v>1</v>
      </c>
      <c r="K486" s="378" t="str">
        <f t="shared" si="1674"/>
        <v>NÃO</v>
      </c>
      <c r="L486" s="378" t="str">
        <f t="shared" ca="1" si="1675"/>
        <v>18.3.1</v>
      </c>
      <c r="M486" s="55" t="s">
        <v>27868</v>
      </c>
      <c r="O486" s="392" t="str">
        <f t="shared" ca="1" si="1676"/>
        <v>18.3.1</v>
      </c>
      <c r="P486" s="681" t="s">
        <v>29901</v>
      </c>
      <c r="Q486" s="682" t="s">
        <v>13870</v>
      </c>
      <c r="R486" s="415" t="str">
        <f>UPPER(IF(P486="CDHU",VLOOKUP(Q486,'CDHU 201-SD'!$A$1:$J$28014,2,FALSE),IF(P486="FDE",VLOOKUP(Q486,'FDE 01-26-SD'!$A$1:$J$280013,2,FALSE),IF(P486="PRÓPRIA",VLOOKUP(Q486,COMPOSIÇÃO!$1:$1048576,3,FALSE),VLOOKUP(Q486,'SINAPI 04-26-SD'!$A$1:$H$272700,2,FALSE)))))</f>
        <v>ACRÍLICO PARA QUADRAS E PISOS CIMENTADOS</v>
      </c>
      <c r="S486" s="414" t="str">
        <f>UPPER(IF(P486="CDHU",VLOOKUP(Q486,'CDHU 201-SD'!$A$1:$J$28014,3,FALSE),IF(P486="FDE",VLOOKUP(Q486,'FDE 01-26-SD'!$A$1:$J$280013,3,FALSE),IF(P486="PRÓPRIA",VLOOKUP(Q486,COMPOSIÇÃO!$1:$1048576,7,FALSE),VLOOKUP(Q486,'SINAPI 04-26-SD'!$A$1:$H$272700,3,FALSE)))))</f>
        <v>M2</v>
      </c>
      <c r="T486" s="393">
        <f>VLOOKUP(Q486,'PINTURA-PISO'!$1:$1048576,12,FALSE)</f>
        <v>1434.9999999999998</v>
      </c>
      <c r="U486" s="394">
        <f>TRUNC(IF(P486="CDHU",VLOOKUP(Q486,'CDHU 201-SD'!$A$1:$J$28014,6,FALSE),IF(P486="FDE",VLOOKUP(Q486,'FDE 01-26-SD'!$A$1:$J$280013,6,FALSE),IF(P486="PRÓPRIA",VLOOKUP(Q486,COMPOSIÇÃO!$1:$1048576,10,FALSE),VLOOKUP(Q486,'SINAPI 04-26-SD'!$A$1:$H$272700,4,FALSE)))),2)</f>
        <v>28.66</v>
      </c>
      <c r="V486" s="416">
        <f t="shared" ref="V486:V488" si="1677">TRUNC(U486*T486,2)</f>
        <v>41127.1</v>
      </c>
      <c r="W486" s="395">
        <f>IF($AA486="N",BDI!$D$26,IF($AA486="D",'BDI DIFE.'!$D$26,"ERRO"))</f>
        <v>0.22500000000000001</v>
      </c>
      <c r="X486" s="379">
        <f t="shared" ref="X486:X488" si="1678">TRUNC(U486*(1+W486),2)</f>
        <v>35.1</v>
      </c>
      <c r="Y486" s="380">
        <f t="shared" ref="Y486:Y488" si="1679">TRUNC(T486*X486,2)</f>
        <v>50368.5</v>
      </c>
      <c r="Z486" s="381"/>
      <c r="AA486" s="378" t="s">
        <v>28044</v>
      </c>
      <c r="AB486" s="642"/>
    </row>
    <row r="487" spans="2:28" s="55" customFormat="1">
      <c r="B487" s="378">
        <f t="shared" ref="B487" ca="1" si="1680">IF(C487="S",IF(OFFSET(C487,-1,0)="S", OFFSET(B487,-1,0), OFFSET(B487,-1,0) +1 ), C487)</f>
        <v>3</v>
      </c>
      <c r="C487" s="378" t="str">
        <f t="shared" si="1653"/>
        <v>S</v>
      </c>
      <c r="D487" s="378">
        <f t="shared" ca="1" si="1195"/>
        <v>18</v>
      </c>
      <c r="E487" s="378">
        <f t="shared" ref="E487" ca="1" si="1681">IF($C487="2",OFFSET(E487,-1,0) +1,IF(OFFSET(D487,-1,0)&lt;&gt;D487,"0",IF(OFFSET(E487,-1,0)="","0",OFFSET(E487,-1,0))))</f>
        <v>3</v>
      </c>
      <c r="F487" s="378" t="str">
        <f t="shared" ref="F487" ca="1" si="1682">IF($C487="3",OFFSET(F487,-1,0) +1,IF(OFFSET(E487,-1,0)&lt;&gt;E487,"0",IF(OFFSET(F487,-1,0)="","0",OFFSET(F487,-1,0))))</f>
        <v>0</v>
      </c>
      <c r="G487" s="378" t="str">
        <f t="shared" ref="G487" ca="1" si="1683">IF($C487="4",OFFSET(G487,-1,0) +1,IF(OFFSET(F487,-1,0)&lt;&gt;F487,"0",IF(OFFSET(G487,-1,0)="","0",OFFSET(G487,-1,0))))</f>
        <v>0</v>
      </c>
      <c r="H487" s="378" t="str">
        <f t="shared" ref="H487" ca="1" si="1684">IF($C487="5",OFFSET(H487,-1,0) +1,IF(OFFSET(G487,-1,0)&lt;&gt;G487,"0",IF(OFFSET(H487,-1,0)="","0",OFFSET(H487,-1,0))))</f>
        <v>0</v>
      </c>
      <c r="I487" s="378" t="str">
        <f t="shared" ref="I487" ca="1" si="1685">IF($C487="6",OFFSET(I487,-1,0) +1,IF(OFFSET(H487,-1,0)&lt;&gt;H487,"0",IF(OFFSET(I487,-1,0)="","0", OFFSET(I487,-1,0))))</f>
        <v>0</v>
      </c>
      <c r="J487" s="378">
        <f t="shared" ca="1" si="1196"/>
        <v>2</v>
      </c>
      <c r="K487" s="378" t="str">
        <f t="shared" ref="K487" si="1686">IF(C487="S","NÃO", IF(C487="1", D487, IF(C487="2", D487 &amp; "." &amp; E487,IF(C487="3", D487 &amp; "." &amp; E487 &amp; "." &amp; F487, IF(C487="4", D487 &amp; "." &amp; E487 &amp; "." &amp; F487 &amp; "." &amp; G487, IF(C487="5", D487 &amp; "." &amp; E487 &amp; "." &amp; F487 &amp; "." &amp; G487 &amp; "." &amp; H487, IF(C487="6", D487 &amp; "." &amp; E487 &amp; "." &amp; F487 &amp; "." &amp; G487 &amp; "." &amp; H487 &amp; "." &amp; I487)))))))</f>
        <v>NÃO</v>
      </c>
      <c r="L487" s="378" t="str">
        <f t="shared" ref="L487" ca="1" si="1687">IF(K487="NÃO",IF($B487=2,D487&amp;"."&amp;J487,IF($B487=3,D487&amp;"."&amp;E487&amp;"."&amp;J487,IF($B487=4,D487&amp;"."&amp;E487&amp;"."&amp;F487&amp;"."&amp;J487,IF($B487=5,D487&amp;"."&amp;E487&amp;"."&amp;F487&amp;"."&amp;G487&amp;"."&amp;J487,IF($B487=6,D487&amp;"."&amp;E487&amp;"."&amp;F487&amp;"."&amp;G487&amp;"."&amp;H487&amp;"."&amp;J487,IF($B487=7,D487&amp;"."&amp;E487&amp;"."&amp;F487&amp;"."&amp;G487&amp;"."&amp;H487&amp;"."&amp;I487&amp;"."&amp;J487,"FALHA")))))),K487)</f>
        <v>18.3.2</v>
      </c>
      <c r="M487" s="55" t="s">
        <v>27868</v>
      </c>
      <c r="O487" s="392" t="str">
        <f t="shared" ref="O487" ca="1" si="1688">L487</f>
        <v>18.3.2</v>
      </c>
      <c r="P487" s="681" t="s">
        <v>29901</v>
      </c>
      <c r="Q487" s="682" t="s">
        <v>13886</v>
      </c>
      <c r="R487" s="415" t="str">
        <f>UPPER(IF(P487="CDHU",VLOOKUP(Q487,'CDHU 201-SD'!$A$1:$J$28014,2,FALSE),IF(P487="FDE",VLOOKUP(Q487,'FDE 01-26-SD'!$A$1:$J$280013,2,FALSE),IF(P487="PRÓPRIA",VLOOKUP(Q487,COMPOSIÇÃO!$1:$1048576,3,FALSE),VLOOKUP(Q487,'SINAPI 04-26-SD'!$A$1:$H$272700,2,FALSE)))))</f>
        <v>TINTA ACRÍLICA PARA FAIXAS DEMARCATÓRIAS</v>
      </c>
      <c r="S487" s="414" t="str">
        <f>UPPER(IF(P487="CDHU",VLOOKUP(Q487,'CDHU 201-SD'!$A$1:$J$28014,3,FALSE),IF(P487="FDE",VLOOKUP(Q487,'FDE 01-26-SD'!$A$1:$J$280013,3,FALSE),IF(P487="PRÓPRIA",VLOOKUP(Q487,COMPOSIÇÃO!$1:$1048576,7,FALSE),VLOOKUP(Q487,'SINAPI 04-26-SD'!$A$1:$H$272700,3,FALSE)))))</f>
        <v>M</v>
      </c>
      <c r="T487" s="393">
        <f>VLOOKUP(Q487,'PINTURA-PISO'!$1:$1048576,12,FALSE)</f>
        <v>289.29999999999995</v>
      </c>
      <c r="U487" s="394">
        <f>TRUNC(IF(P487="CDHU",VLOOKUP(Q487,'CDHU 201-SD'!$A$1:$J$28014,6,FALSE),IF(P487="FDE",VLOOKUP(Q487,'FDE 01-26-SD'!$A$1:$J$280013,6,FALSE),IF(P487="PRÓPRIA",VLOOKUP(Q487,COMPOSIÇÃO!$1:$1048576,10,FALSE),VLOOKUP(Q487,'SINAPI 04-26-SD'!$A$1:$H$272700,4,FALSE)))),2)</f>
        <v>4.7</v>
      </c>
      <c r="V487" s="416">
        <f t="shared" ref="V487" si="1689">TRUNC(U487*T487,2)</f>
        <v>1359.71</v>
      </c>
      <c r="W487" s="395">
        <f>IF($AA487="N",BDI!$D$26,IF($AA487="D",'BDI DIFE.'!$D$26,"ERRO"))</f>
        <v>0.22500000000000001</v>
      </c>
      <c r="X487" s="379">
        <f t="shared" ref="X487" si="1690">TRUNC(U487*(1+W487),2)</f>
        <v>5.75</v>
      </c>
      <c r="Y487" s="380">
        <f t="shared" ref="Y487" si="1691">TRUNC(T487*X487,2)</f>
        <v>1663.47</v>
      </c>
      <c r="Z487" s="381"/>
      <c r="AA487" s="378" t="s">
        <v>28044</v>
      </c>
      <c r="AB487" s="642"/>
    </row>
    <row r="488" spans="2:28" s="55" customFormat="1" ht="16" thickBot="1">
      <c r="B488" s="378">
        <f t="shared" ca="1" si="1668"/>
        <v>3</v>
      </c>
      <c r="C488" s="378" t="str">
        <f t="shared" si="1653"/>
        <v>S</v>
      </c>
      <c r="D488" s="378">
        <f t="shared" ca="1" si="1195"/>
        <v>18</v>
      </c>
      <c r="E488" s="378">
        <f t="shared" ca="1" si="1669"/>
        <v>3</v>
      </c>
      <c r="F488" s="378" t="str">
        <f t="shared" ca="1" si="1670"/>
        <v>0</v>
      </c>
      <c r="G488" s="378" t="str">
        <f t="shared" ca="1" si="1671"/>
        <v>0</v>
      </c>
      <c r="H488" s="378" t="str">
        <f t="shared" ca="1" si="1672"/>
        <v>0</v>
      </c>
      <c r="I488" s="378" t="str">
        <f t="shared" ca="1" si="1673"/>
        <v>0</v>
      </c>
      <c r="J488" s="378">
        <f t="shared" ca="1" si="1196"/>
        <v>3</v>
      </c>
      <c r="K488" s="378" t="str">
        <f t="shared" si="1674"/>
        <v>NÃO</v>
      </c>
      <c r="L488" s="378" t="str">
        <f t="shared" ca="1" si="1675"/>
        <v>18.3.3</v>
      </c>
      <c r="M488" s="55" t="s">
        <v>27868</v>
      </c>
      <c r="O488" s="392" t="str">
        <f t="shared" ca="1" si="1676"/>
        <v>18.3.3</v>
      </c>
      <c r="P488" s="681" t="s">
        <v>29901</v>
      </c>
      <c r="Q488" s="682" t="s">
        <v>13608</v>
      </c>
      <c r="R488" s="415" t="str">
        <f>UPPER(IF(P488="CDHU",VLOOKUP(Q488,'CDHU 201-SD'!$A$1:$J$28014,2,FALSE),IF(P488="FDE",VLOOKUP(Q488,'FDE 01-26-SD'!$A$1:$J$280013,2,FALSE),IF(P488="PRÓPRIA",VLOOKUP(Q488,COMPOSIÇÃO!$1:$1048576,3,FALSE),VLOOKUP(Q488,'SINAPI 04-26-SD'!$A$1:$H$272700,2,FALSE)))))</f>
        <v>SINALIZAÇÃO COM PICTOGRAMA PARA VAGA DE ESTACIONAMENTO</v>
      </c>
      <c r="S488" s="414" t="str">
        <f>UPPER(IF(P488="CDHU",VLOOKUP(Q488,'CDHU 201-SD'!$A$1:$J$28014,3,FALSE),IF(P488="FDE",VLOOKUP(Q488,'FDE 01-26-SD'!$A$1:$J$280013,3,FALSE),IF(P488="PRÓPRIA",VLOOKUP(Q488,COMPOSIÇÃO!$1:$1048576,7,FALSE),VLOOKUP(Q488,'SINAPI 04-26-SD'!$A$1:$H$272700,3,FALSE)))))</f>
        <v>UN</v>
      </c>
      <c r="T488" s="393">
        <f>VLOOKUP(Q488,'PINTURA-PISO'!$1:$1048576,12,FALSE)</f>
        <v>1</v>
      </c>
      <c r="U488" s="394">
        <f>TRUNC(IF(P488="CDHU",VLOOKUP(Q488,'CDHU 201-SD'!$A$1:$J$28014,6,FALSE),IF(P488="FDE",VLOOKUP(Q488,'FDE 01-26-SD'!$A$1:$J$280013,6,FALSE),IF(P488="PRÓPRIA",VLOOKUP(Q488,COMPOSIÇÃO!$1:$1048576,10,FALSE),VLOOKUP(Q488,'SINAPI 04-26-SD'!$A$1:$H$272700,4,FALSE)))),2)</f>
        <v>246.08</v>
      </c>
      <c r="V488" s="416">
        <f t="shared" si="1677"/>
        <v>246.08</v>
      </c>
      <c r="W488" s="395">
        <f>IF($AA488="N",BDI!$D$26,IF($AA488="D",'BDI DIFE.'!$D$26,"ERRO"))</f>
        <v>0.22500000000000001</v>
      </c>
      <c r="X488" s="379">
        <f t="shared" si="1678"/>
        <v>301.44</v>
      </c>
      <c r="Y488" s="380">
        <f t="shared" si="1679"/>
        <v>301.44</v>
      </c>
      <c r="Z488" s="381"/>
      <c r="AA488" s="378" t="s">
        <v>28044</v>
      </c>
      <c r="AB488" s="642"/>
    </row>
    <row r="489" spans="2:28" s="55" customFormat="1" ht="16" thickBot="1">
      <c r="B489" s="378" t="str">
        <f t="shared" ref="B489:B493" ca="1" si="1692">IF(C489="S",IF(OFFSET(C489,-1,0)="S", OFFSET(B489,-1,0), OFFSET(B489,-1,0) +1 ), C489)</f>
        <v/>
      </c>
      <c r="C489" s="378" t="str">
        <f>IF(RIGHT($M489) = "o", "S", RIGHT($M489))</f>
        <v/>
      </c>
      <c r="D489" s="378">
        <f t="shared" ca="1" si="1195"/>
        <v>18</v>
      </c>
      <c r="E489" s="378">
        <f t="shared" ref="E489:E493" ca="1" si="1693">IF($C489="2",OFFSET(E489,-1,0) +1,IF(OFFSET(D489,-1,0)&lt;&gt;D489,"0",IF(OFFSET(E489,-1,0)="","0",OFFSET(E489,-1,0))))</f>
        <v>3</v>
      </c>
      <c r="F489" s="378" t="str">
        <f t="shared" ref="F489:F493" ca="1" si="1694">IF($C489="3",OFFSET(F489,-1,0) +1,IF(OFFSET(E489,-1,0)&lt;&gt;E489,"0",IF(OFFSET(F489,-1,0)="","0",OFFSET(F489,-1,0))))</f>
        <v>0</v>
      </c>
      <c r="G489" s="378" t="str">
        <f t="shared" ref="G489:G493" ca="1" si="1695">IF($C489="4",OFFSET(G489,-1,0) +1,IF(OFFSET(F489,-1,0)&lt;&gt;F489,"0",IF(OFFSET(G489,-1,0)="","0",OFFSET(G489,-1,0))))</f>
        <v>0</v>
      </c>
      <c r="H489" s="378" t="str">
        <f t="shared" ref="H489:H493" ca="1" si="1696">IF($C489="5",OFFSET(H489,-1,0) +1,IF(OFFSET(G489,-1,0)&lt;&gt;G489,"0",IF(OFFSET(H489,-1,0)="","0",OFFSET(H489,-1,0))))</f>
        <v>0</v>
      </c>
      <c r="I489" s="378" t="str">
        <f t="shared" ref="I489:I493" ca="1" si="1697">IF($C489="6",OFFSET(I489,-1,0) +1,IF(OFFSET(H489,-1,0)&lt;&gt;H489,"0",IF(OFFSET(I489,-1,0)="","0", OFFSET(I489,-1,0))))</f>
        <v>0</v>
      </c>
      <c r="J489" s="378" t="str">
        <f t="shared" ca="1" si="1196"/>
        <v>0</v>
      </c>
      <c r="K489" s="378" t="b">
        <f t="shared" ref="K489:K493" si="1698">IF(C489="S","NÃO", IF(C489="1", D489, IF(C489="2", D489 &amp; "." &amp; E489,IF(C489="3", D489 &amp; "." &amp; E489 &amp; "." &amp; F489, IF(C489="4", D489 &amp; "." &amp; E489 &amp; "." &amp; F489 &amp; "." &amp; G489, IF(C489="5", D489 &amp; "." &amp; E489 &amp; "." &amp; F489 &amp; "." &amp; G489 &amp; "." &amp; H489, IF(C489="6", D489 &amp; "." &amp; E489 &amp; "." &amp; F489 &amp; "." &amp; G489 &amp; "." &amp; H489 &amp; "." &amp; I489)))))))</f>
        <v>0</v>
      </c>
      <c r="L489" s="378" t="b">
        <f t="shared" ref="L489:L493" si="1699">IF(K489="NÃO",IF($B489=2,D489&amp;"."&amp;J489,IF($B489=3,D489&amp;"."&amp;E489&amp;"."&amp;J489,IF($B489=4,D489&amp;"."&amp;E489&amp;"."&amp;F489&amp;"."&amp;J489,IF($B489=5,D489&amp;"."&amp;E489&amp;"."&amp;F489&amp;"."&amp;G489&amp;"."&amp;J489,IF($B489=6,D489&amp;"."&amp;E489&amp;"."&amp;F489&amp;"."&amp;G489&amp;"."&amp;H489&amp;"."&amp;J489,IF($B489=7,D489&amp;"."&amp;E489&amp;"."&amp;F489&amp;"."&amp;G489&amp;"."&amp;H489&amp;"."&amp;I489&amp;"."&amp;J489,"FALHA")))))),K489)</f>
        <v>0</v>
      </c>
      <c r="O489" s="192"/>
      <c r="P489" s="387"/>
      <c r="Q489" s="387"/>
      <c r="R489" s="377"/>
      <c r="S489" s="387"/>
      <c r="T489" s="363"/>
      <c r="U489" s="388"/>
      <c r="V489" s="389"/>
      <c r="W489" s="389"/>
      <c r="X489" s="389"/>
      <c r="Y489" s="390"/>
      <c r="AA489" s="378"/>
      <c r="AB489" s="642"/>
    </row>
    <row r="490" spans="2:28" s="75" customFormat="1" ht="16" thickBot="1">
      <c r="B490" s="75" t="str">
        <f t="shared" ca="1" si="1692"/>
        <v>1</v>
      </c>
      <c r="C490" s="75" t="str">
        <f t="shared" ref="C490:C518" si="1700">IF(RIGHT($M490) = "o", "S", RIGHT($M490))</f>
        <v>1</v>
      </c>
      <c r="D490" s="75">
        <f t="shared" ca="1" si="1195"/>
        <v>19</v>
      </c>
      <c r="E490" s="75" t="str">
        <f t="shared" ca="1" si="1693"/>
        <v>0</v>
      </c>
      <c r="F490" s="75" t="str">
        <f t="shared" ca="1" si="1694"/>
        <v>0</v>
      </c>
      <c r="G490" s="75" t="str">
        <f t="shared" ca="1" si="1695"/>
        <v>0</v>
      </c>
      <c r="H490" s="75" t="str">
        <f t="shared" ca="1" si="1696"/>
        <v>0</v>
      </c>
      <c r="I490" s="75" t="str">
        <f t="shared" ca="1" si="1697"/>
        <v>0</v>
      </c>
      <c r="J490" s="75" t="str">
        <f t="shared" ca="1" si="1196"/>
        <v>0</v>
      </c>
      <c r="K490" s="75">
        <f t="shared" ca="1" si="1698"/>
        <v>19</v>
      </c>
      <c r="L490" s="75">
        <f t="shared" ca="1" si="1699"/>
        <v>19</v>
      </c>
      <c r="M490" s="55" t="s">
        <v>27859</v>
      </c>
      <c r="O490" s="191">
        <f t="shared" ref="O490:O493" ca="1" si="1701">L490</f>
        <v>19</v>
      </c>
      <c r="P490" s="172"/>
      <c r="Q490" s="172"/>
      <c r="R490" s="683" t="s">
        <v>44535</v>
      </c>
      <c r="S490" s="172"/>
      <c r="T490" s="194"/>
      <c r="U490" s="195"/>
      <c r="V490" s="196">
        <f ca="1">IF(VALUE(C490)=1,SUMIFS(V:V,D:D,D490,M:M,"Serviço"),IF(VALUE(C490)=2,SUMIFS(V:V,D:D,D490,E:E,E490,M:M,"Serviço"),IF(VALUE(C490)=3,SUMIFS(V:V,D:D,D490,E:E,E490,F:F,F490,M:M,"Serviço"),IF(VALUE(C490)=4,SUMIFS(V:V,D:D,D490,E:E,E490,F:F,F490,G:G,G490,M:M,"Serviço"),"ERRO"))))</f>
        <v>26681.83</v>
      </c>
      <c r="W490" s="197"/>
      <c r="X490" s="205"/>
      <c r="Y490" s="173">
        <f ca="1">IF(VALUE(C490)=1,SUMIFS(Y:Y,D:D,D490,M:M,"Serviço"),IF(VALUE(C490)=2,SUMIFS(Y:Y,D:D,D490,E:E,E490,M:M,"Serviço"),IF(VALUE(C490)=3,SUMIFS(Y:Y,D:D,D490,E:E,E490,F:F,F490,M:M,"Serviço"),IF(VALUE(C490)=4,SUMIFS(Y:Y,D:D,D490,E:E,E490,F:F,F490,G:G,G490,M:M,"Serviço"),"ERRO"))))</f>
        <v>32683.85</v>
      </c>
      <c r="AB490" s="641"/>
    </row>
    <row r="491" spans="2:28" s="55" customFormat="1">
      <c r="B491" s="378">
        <f t="shared" ca="1" si="1692"/>
        <v>2</v>
      </c>
      <c r="C491" s="378" t="str">
        <f t="shared" si="1700"/>
        <v>S</v>
      </c>
      <c r="D491" s="378">
        <f t="shared" ca="1" si="1195"/>
        <v>19</v>
      </c>
      <c r="E491" s="378" t="str">
        <f t="shared" ca="1" si="1693"/>
        <v>0</v>
      </c>
      <c r="F491" s="378" t="str">
        <f t="shared" ca="1" si="1694"/>
        <v>0</v>
      </c>
      <c r="G491" s="378" t="str">
        <f t="shared" ca="1" si="1695"/>
        <v>0</v>
      </c>
      <c r="H491" s="378" t="str">
        <f t="shared" ca="1" si="1696"/>
        <v>0</v>
      </c>
      <c r="I491" s="378" t="str">
        <f t="shared" ca="1" si="1697"/>
        <v>0</v>
      </c>
      <c r="J491" s="378">
        <f t="shared" ca="1" si="1196"/>
        <v>1</v>
      </c>
      <c r="K491" s="378" t="str">
        <f t="shared" si="1698"/>
        <v>NÃO</v>
      </c>
      <c r="L491" s="378" t="str">
        <f t="shared" ca="1" si="1699"/>
        <v>19.1</v>
      </c>
      <c r="M491" s="55" t="s">
        <v>27868</v>
      </c>
      <c r="O491" s="392" t="str">
        <f t="shared" ca="1" si="1701"/>
        <v>19.1</v>
      </c>
      <c r="P491" s="687" t="s">
        <v>29901</v>
      </c>
      <c r="Q491" s="684" t="s">
        <v>18415</v>
      </c>
      <c r="R491" s="415" t="str">
        <f>UPPER(IF(P491="CDHU",VLOOKUP(Q491,'CDHU 201-SD'!$A$1:$J$28014,2,FALSE),IF(P491="FDE",VLOOKUP(Q491,'FDE 01-26-SD'!$A$1:$J$280013,2,FALSE),IF(P491="PRÓPRIA",VLOOKUP(Q491,COMPOSIÇÃO!$1:$1048576,3,FALSE),VLOOKUP(Q491,'SINAPI 04-26-SD'!$A$1:$H$272700,2,FALSE)))))</f>
        <v>PLACA DE IDENTIFICAÇÃO EM PVC COM TEXTO EM VINIL</v>
      </c>
      <c r="S491" s="414" t="str">
        <f>UPPER(IF(P491="CDHU",VLOOKUP(Q491,'CDHU 201-SD'!$A$1:$J$28014,3,FALSE),IF(P491="FDE",VLOOKUP(Q491,'FDE 01-26-SD'!$A$1:$J$280013,3,FALSE),IF(P491="PRÓPRIA",VLOOKUP(Q491,COMPOSIÇÃO!$1:$1048576,7,FALSE),VLOOKUP(Q491,'SINAPI 04-26-SD'!$A$1:$H$272700,3,FALSE)))))</f>
        <v>M2</v>
      </c>
      <c r="T491" s="393">
        <f>VLOOKUP(Q491,'COMUNICAÇÃO VISUAL'!$1:$1048576,12,FALSE)</f>
        <v>0.69800000000000006</v>
      </c>
      <c r="U491" s="394">
        <f>TRUNC(IF(P491="CDHU",VLOOKUP(Q491,'CDHU 201-SD'!$A$1:$J$28014,6,FALSE),IF(P491="FDE",VLOOKUP(Q491,'FDE 01-26-SD'!$A$1:$J$280013,6,FALSE),IF(P491="PRÓPRIA",VLOOKUP(Q491,COMPOSIÇÃO!$1:$1048576,10,FALSE),VLOOKUP(Q491,'SINAPI 04-26-SD'!$A$1:$H$272700,4,FALSE)))),2)</f>
        <v>400.73</v>
      </c>
      <c r="V491" s="416">
        <f t="shared" ref="V491:V493" si="1702">TRUNC(U491*T491,2)</f>
        <v>279.7</v>
      </c>
      <c r="W491" s="395">
        <f>IF($AA491="N",BDI!$D$26,IF($AA491="D",'BDI DIFE.'!$D$26,"ERRO"))</f>
        <v>0.22500000000000001</v>
      </c>
      <c r="X491" s="379">
        <f t="shared" ref="X491:X493" si="1703">TRUNC(U491*(1+W491),2)</f>
        <v>490.89</v>
      </c>
      <c r="Y491" s="380">
        <f t="shared" ref="Y491:Y493" si="1704">TRUNC(T491*X491,2)</f>
        <v>342.64</v>
      </c>
      <c r="Z491" s="381"/>
      <c r="AA491" s="378" t="s">
        <v>28044</v>
      </c>
      <c r="AB491" s="642"/>
    </row>
    <row r="492" spans="2:28" s="55" customFormat="1">
      <c r="B492" s="378">
        <f t="shared" ca="1" si="1692"/>
        <v>2</v>
      </c>
      <c r="C492" s="378" t="str">
        <f t="shared" si="1700"/>
        <v>S</v>
      </c>
      <c r="D492" s="378">
        <f t="shared" ca="1" si="1195"/>
        <v>19</v>
      </c>
      <c r="E492" s="378" t="str">
        <f t="shared" ca="1" si="1693"/>
        <v>0</v>
      </c>
      <c r="F492" s="378" t="str">
        <f t="shared" ca="1" si="1694"/>
        <v>0</v>
      </c>
      <c r="G492" s="378" t="str">
        <f t="shared" ca="1" si="1695"/>
        <v>0</v>
      </c>
      <c r="H492" s="378" t="str">
        <f t="shared" ca="1" si="1696"/>
        <v>0</v>
      </c>
      <c r="I492" s="378" t="str">
        <f t="shared" ca="1" si="1697"/>
        <v>0</v>
      </c>
      <c r="J492" s="378">
        <f t="shared" ca="1" si="1196"/>
        <v>2</v>
      </c>
      <c r="K492" s="378" t="str">
        <f t="shared" si="1698"/>
        <v>NÃO</v>
      </c>
      <c r="L492" s="378" t="str">
        <f t="shared" ca="1" si="1699"/>
        <v>19.2</v>
      </c>
      <c r="M492" s="55" t="s">
        <v>27868</v>
      </c>
      <c r="O492" s="392" t="str">
        <f t="shared" ca="1" si="1701"/>
        <v>19.2</v>
      </c>
      <c r="P492" s="687" t="s">
        <v>41227</v>
      </c>
      <c r="Q492" s="684" t="s">
        <v>41881</v>
      </c>
      <c r="R492" s="415" t="str">
        <f>UPPER(IF(P492="CDHU",VLOOKUP(Q492,'CDHU 201-SD'!$A$1:$J$28014,2,FALSE),IF(P492="FDE",VLOOKUP(Q492,'FDE 01-26-SD'!$A$1:$J$280013,2,FALSE),IF(P492="PRÓPRIA",VLOOKUP(Q492,COMPOSIÇÃO!$1:$1048576,3,FALSE),VLOOKUP(Q492,'SINAPI 04-26-SD'!$A$1:$H$272700,2,FALSE)))))</f>
        <v>PLACA TATIL BRAILLE/RELEVO ACRILICO 25X8CM</v>
      </c>
      <c r="S492" s="414" t="str">
        <f>UPPER(IF(P492="CDHU",VLOOKUP(Q492,'CDHU 201-SD'!$A$1:$J$28014,3,FALSE),IF(P492="FDE",VLOOKUP(Q492,'FDE 01-26-SD'!$A$1:$J$280013,3,FALSE),IF(P492="PRÓPRIA",VLOOKUP(Q492,COMPOSIÇÃO!$1:$1048576,7,FALSE),VLOOKUP(Q492,'SINAPI 04-26-SD'!$A$1:$H$272700,3,FALSE)))))</f>
        <v>UN</v>
      </c>
      <c r="T492" s="393">
        <f>VLOOKUP(Q492,'COMUNICAÇÃO VISUAL'!$1:$1048576,12,FALSE)</f>
        <v>19</v>
      </c>
      <c r="U492" s="394">
        <f>TRUNC(IF(P492="CDHU",VLOOKUP(Q492,'CDHU 201-SD'!$A$1:$J$28014,6,FALSE),IF(P492="FDE",VLOOKUP(Q492,'FDE 01-26-SD'!$A$1:$J$280013,6,FALSE),IF(P492="PRÓPRIA",VLOOKUP(Q492,COMPOSIÇÃO!$1:$1048576,10,FALSE),VLOOKUP(Q492,'SINAPI 04-26-SD'!$A$1:$H$272700,4,FALSE)))),2)</f>
        <v>98.68</v>
      </c>
      <c r="V492" s="416">
        <f t="shared" si="1702"/>
        <v>1874.92</v>
      </c>
      <c r="W492" s="395">
        <f>IF($AA492="N",BDI!$D$26,IF($AA492="D",'BDI DIFE.'!$D$26,"ERRO"))</f>
        <v>0.22500000000000001</v>
      </c>
      <c r="X492" s="379">
        <f t="shared" si="1703"/>
        <v>120.88</v>
      </c>
      <c r="Y492" s="380">
        <f t="shared" si="1704"/>
        <v>2296.7199999999998</v>
      </c>
      <c r="Z492" s="381"/>
      <c r="AA492" s="378" t="s">
        <v>28044</v>
      </c>
      <c r="AB492" s="642"/>
    </row>
    <row r="493" spans="2:28" s="55" customFormat="1" ht="30">
      <c r="B493" s="378">
        <f t="shared" ca="1" si="1692"/>
        <v>2</v>
      </c>
      <c r="C493" s="378" t="str">
        <f t="shared" si="1700"/>
        <v>S</v>
      </c>
      <c r="D493" s="378">
        <f t="shared" ca="1" si="1195"/>
        <v>19</v>
      </c>
      <c r="E493" s="378" t="str">
        <f t="shared" ca="1" si="1693"/>
        <v>0</v>
      </c>
      <c r="F493" s="378" t="str">
        <f t="shared" ca="1" si="1694"/>
        <v>0</v>
      </c>
      <c r="G493" s="378" t="str">
        <f t="shared" ca="1" si="1695"/>
        <v>0</v>
      </c>
      <c r="H493" s="378" t="str">
        <f t="shared" ca="1" si="1696"/>
        <v>0</v>
      </c>
      <c r="I493" s="378" t="str">
        <f t="shared" ca="1" si="1697"/>
        <v>0</v>
      </c>
      <c r="J493" s="378">
        <f t="shared" ca="1" si="1196"/>
        <v>3</v>
      </c>
      <c r="K493" s="378" t="str">
        <f t="shared" si="1698"/>
        <v>NÃO</v>
      </c>
      <c r="L493" s="378" t="str">
        <f t="shared" ca="1" si="1699"/>
        <v>19.3</v>
      </c>
      <c r="M493" s="55" t="s">
        <v>27868</v>
      </c>
      <c r="O493" s="392" t="str">
        <f t="shared" ca="1" si="1701"/>
        <v>19.3</v>
      </c>
      <c r="P493" s="687" t="s">
        <v>29901</v>
      </c>
      <c r="Q493" s="684" t="s">
        <v>13595</v>
      </c>
      <c r="R493" s="415" t="str">
        <f>UPPER(IF(P493="CDHU",VLOOKUP(Q493,'CDHU 201-SD'!$A$1:$J$28014,2,FALSE),IF(P493="FDE",VLOOKUP(Q493,'FDE 01-26-SD'!$A$1:$J$280013,2,FALSE),IF(P493="PRÓPRIA",VLOOKUP(Q493,COMPOSIÇÃO!$1:$1048576,3,FALSE),VLOOKUP(Q493,'SINAPI 04-26-SD'!$A$1:$H$272700,2,FALSE)))))</f>
        <v>PLACA PARA SINALIZAÇÃO TÁTIL (INÍCIO OU FINAL) EM BRAILE PARA CORRIMÃO</v>
      </c>
      <c r="S493" s="414" t="str">
        <f>UPPER(IF(P493="CDHU",VLOOKUP(Q493,'CDHU 201-SD'!$A$1:$J$28014,3,FALSE),IF(P493="FDE",VLOOKUP(Q493,'FDE 01-26-SD'!$A$1:$J$280013,3,FALSE),IF(P493="PRÓPRIA",VLOOKUP(Q493,COMPOSIÇÃO!$1:$1048576,7,FALSE),VLOOKUP(Q493,'SINAPI 04-26-SD'!$A$1:$H$272700,3,FALSE)))))</f>
        <v>UN</v>
      </c>
      <c r="T493" s="393">
        <f>VLOOKUP(Q493,'COMUNICAÇÃO VISUAL'!$1:$1048576,12,FALSE)</f>
        <v>8</v>
      </c>
      <c r="U493" s="394">
        <f>TRUNC(IF(P493="CDHU",VLOOKUP(Q493,'CDHU 201-SD'!$A$1:$J$28014,6,FALSE),IF(P493="FDE",VLOOKUP(Q493,'FDE 01-26-SD'!$A$1:$J$280013,6,FALSE),IF(P493="PRÓPRIA",VLOOKUP(Q493,COMPOSIÇÃO!$1:$1048576,10,FALSE),VLOOKUP(Q493,'SINAPI 04-26-SD'!$A$1:$H$272700,4,FALSE)))),2)</f>
        <v>12.04</v>
      </c>
      <c r="V493" s="416">
        <f t="shared" si="1702"/>
        <v>96.32</v>
      </c>
      <c r="W493" s="395">
        <f>IF($AA493="N",BDI!$D$26,IF($AA493="D",'BDI DIFE.'!$D$26,"ERRO"))</f>
        <v>0.22500000000000001</v>
      </c>
      <c r="X493" s="379">
        <f t="shared" si="1703"/>
        <v>14.74</v>
      </c>
      <c r="Y493" s="380">
        <f t="shared" si="1704"/>
        <v>117.92</v>
      </c>
      <c r="Z493" s="381"/>
      <c r="AA493" s="378" t="s">
        <v>28044</v>
      </c>
      <c r="AB493" s="642"/>
    </row>
    <row r="494" spans="2:28" s="55" customFormat="1" ht="30">
      <c r="B494" s="378">
        <f t="shared" ref="B494" ca="1" si="1705">IF(C494="S",IF(OFFSET(C494,-1,0)="S", OFFSET(B494,-1,0), OFFSET(B494,-1,0) +1 ), C494)</f>
        <v>2</v>
      </c>
      <c r="C494" s="378" t="str">
        <f t="shared" si="1700"/>
        <v>S</v>
      </c>
      <c r="D494" s="378">
        <f t="shared" ca="1" si="1195"/>
        <v>19</v>
      </c>
      <c r="E494" s="378" t="str">
        <f t="shared" ref="E494" ca="1" si="1706">IF($C494="2",OFFSET(E494,-1,0) +1,IF(OFFSET(D494,-1,0)&lt;&gt;D494,"0",IF(OFFSET(E494,-1,0)="","0",OFFSET(E494,-1,0))))</f>
        <v>0</v>
      </c>
      <c r="F494" s="378" t="str">
        <f t="shared" ref="F494" ca="1" si="1707">IF($C494="3",OFFSET(F494,-1,0) +1,IF(OFFSET(E494,-1,0)&lt;&gt;E494,"0",IF(OFFSET(F494,-1,0)="","0",OFFSET(F494,-1,0))))</f>
        <v>0</v>
      </c>
      <c r="G494" s="378" t="str">
        <f t="shared" ref="G494" ca="1" si="1708">IF($C494="4",OFFSET(G494,-1,0) +1,IF(OFFSET(F494,-1,0)&lt;&gt;F494,"0",IF(OFFSET(G494,-1,0)="","0",OFFSET(G494,-1,0))))</f>
        <v>0</v>
      </c>
      <c r="H494" s="378" t="str">
        <f t="shared" ref="H494" ca="1" si="1709">IF($C494="5",OFFSET(H494,-1,0) +1,IF(OFFSET(G494,-1,0)&lt;&gt;G494,"0",IF(OFFSET(H494,-1,0)="","0",OFFSET(H494,-1,0))))</f>
        <v>0</v>
      </c>
      <c r="I494" s="378" t="str">
        <f t="shared" ref="I494" ca="1" si="1710">IF($C494="6",OFFSET(I494,-1,0) +1,IF(OFFSET(H494,-1,0)&lt;&gt;H494,"0",IF(OFFSET(I494,-1,0)="","0", OFFSET(I494,-1,0))))</f>
        <v>0</v>
      </c>
      <c r="J494" s="378">
        <f t="shared" ca="1" si="1196"/>
        <v>4</v>
      </c>
      <c r="K494" s="378" t="str">
        <f t="shared" ref="K494" si="1711">IF(C494="S","NÃO", IF(C494="1", D494, IF(C494="2", D494 &amp; "." &amp; E494,IF(C494="3", D494 &amp; "." &amp; E494 &amp; "." &amp; F494, IF(C494="4", D494 &amp; "." &amp; E494 &amp; "." &amp; F494 &amp; "." &amp; G494, IF(C494="5", D494 &amp; "." &amp; E494 &amp; "." &amp; F494 &amp; "." &amp; G494 &amp; "." &amp; H494, IF(C494="6", D494 &amp; "." &amp; E494 &amp; "." &amp; F494 &amp; "." &amp; G494 &amp; "." &amp; H494 &amp; "." &amp; I494)))))))</f>
        <v>NÃO</v>
      </c>
      <c r="L494" s="378" t="str">
        <f t="shared" ref="L494" ca="1" si="1712">IF(K494="NÃO",IF($B494=2,D494&amp;"."&amp;J494,IF($B494=3,D494&amp;"."&amp;E494&amp;"."&amp;J494,IF($B494=4,D494&amp;"."&amp;E494&amp;"."&amp;F494&amp;"."&amp;J494,IF($B494=5,D494&amp;"."&amp;E494&amp;"."&amp;F494&amp;"."&amp;G494&amp;"."&amp;J494,IF($B494=6,D494&amp;"."&amp;E494&amp;"."&amp;F494&amp;"."&amp;G494&amp;"."&amp;H494&amp;"."&amp;J494,IF($B494=7,D494&amp;"."&amp;E494&amp;"."&amp;F494&amp;"."&amp;G494&amp;"."&amp;H494&amp;"."&amp;I494&amp;"."&amp;J494,"FALHA")))))),K494)</f>
        <v>19.4</v>
      </c>
      <c r="M494" s="55" t="s">
        <v>27868</v>
      </c>
      <c r="O494" s="392" t="str">
        <f t="shared" ref="O494" ca="1" si="1713">L494</f>
        <v>19.4</v>
      </c>
      <c r="P494" s="687" t="s">
        <v>29901</v>
      </c>
      <c r="Q494" s="684" t="s">
        <v>13605</v>
      </c>
      <c r="R494" s="415" t="str">
        <f>UPPER(IF(P494="CDHU",VLOOKUP(Q494,'CDHU 201-SD'!$A$1:$J$28014,2,FALSE),IF(P494="FDE",VLOOKUP(Q494,'FDE 01-26-SD'!$A$1:$J$280013,2,FALSE),IF(P494="PRÓPRIA",VLOOKUP(Q494,COMPOSIÇÃO!$1:$1048576,3,FALSE),VLOOKUP(Q494,'SINAPI 04-26-SD'!$A$1:$H$272700,2,FALSE)))))</f>
        <v>PLACA DE IDENTIFICAÇÃO EM ALUMÍNIO PARA WC, COM DESENHO UNIVERSAL DE ACESSIBILIDADE</v>
      </c>
      <c r="S494" s="414" t="str">
        <f>UPPER(IF(P494="CDHU",VLOOKUP(Q494,'CDHU 201-SD'!$A$1:$J$28014,3,FALSE),IF(P494="FDE",VLOOKUP(Q494,'FDE 01-26-SD'!$A$1:$J$280013,3,FALSE),IF(P494="PRÓPRIA",VLOOKUP(Q494,COMPOSIÇÃO!$1:$1048576,7,FALSE),VLOOKUP(Q494,'SINAPI 04-26-SD'!$A$1:$H$272700,3,FALSE)))))</f>
        <v>UN</v>
      </c>
      <c r="T494" s="393">
        <f>VLOOKUP(Q494,'COMUNICAÇÃO VISUAL'!$1:$1048576,12,FALSE)</f>
        <v>4</v>
      </c>
      <c r="U494" s="394">
        <f>TRUNC(IF(P494="CDHU",VLOOKUP(Q494,'CDHU 201-SD'!$A$1:$J$28014,6,FALSE),IF(P494="FDE",VLOOKUP(Q494,'FDE 01-26-SD'!$A$1:$J$280013,6,FALSE),IF(P494="PRÓPRIA",VLOOKUP(Q494,COMPOSIÇÃO!$1:$1048576,10,FALSE),VLOOKUP(Q494,'SINAPI 04-26-SD'!$A$1:$H$272700,4,FALSE)))),2)</f>
        <v>35.590000000000003</v>
      </c>
      <c r="V494" s="416">
        <f t="shared" ref="V494" si="1714">TRUNC(U494*T494,2)</f>
        <v>142.36000000000001</v>
      </c>
      <c r="W494" s="395">
        <f>IF($AA494="N",BDI!$D$26,IF($AA494="D",'BDI DIFE.'!$D$26,"ERRO"))</f>
        <v>0.22500000000000001</v>
      </c>
      <c r="X494" s="379">
        <f t="shared" ref="X494" si="1715">TRUNC(U494*(1+W494),2)</f>
        <v>43.59</v>
      </c>
      <c r="Y494" s="380">
        <f t="shared" ref="Y494" si="1716">TRUNC(T494*X494,2)</f>
        <v>174.36</v>
      </c>
      <c r="Z494" s="381"/>
      <c r="AA494" s="378" t="s">
        <v>28044</v>
      </c>
      <c r="AB494" s="642"/>
    </row>
    <row r="495" spans="2:28" s="55" customFormat="1" ht="30">
      <c r="B495" s="378">
        <f t="shared" ref="B495:B496" ca="1" si="1717">IF(C495="S",IF(OFFSET(C495,-1,0)="S", OFFSET(B495,-1,0), OFFSET(B495,-1,0) +1 ), C495)</f>
        <v>2</v>
      </c>
      <c r="C495" s="378" t="str">
        <f t="shared" si="1700"/>
        <v>S</v>
      </c>
      <c r="D495" s="378">
        <f t="shared" ca="1" si="1195"/>
        <v>19</v>
      </c>
      <c r="E495" s="378" t="str">
        <f t="shared" ref="E495:E496" ca="1" si="1718">IF($C495="2",OFFSET(E495,-1,0) +1,IF(OFFSET(D495,-1,0)&lt;&gt;D495,"0",IF(OFFSET(E495,-1,0)="","0",OFFSET(E495,-1,0))))</f>
        <v>0</v>
      </c>
      <c r="F495" s="378" t="str">
        <f t="shared" ref="F495:F496" ca="1" si="1719">IF($C495="3",OFFSET(F495,-1,0) +1,IF(OFFSET(E495,-1,0)&lt;&gt;E495,"0",IF(OFFSET(F495,-1,0)="","0",OFFSET(F495,-1,0))))</f>
        <v>0</v>
      </c>
      <c r="G495" s="378" t="str">
        <f t="shared" ref="G495:G496" ca="1" si="1720">IF($C495="4",OFFSET(G495,-1,0) +1,IF(OFFSET(F495,-1,0)&lt;&gt;F495,"0",IF(OFFSET(G495,-1,0)="","0",OFFSET(G495,-1,0))))</f>
        <v>0</v>
      </c>
      <c r="H495" s="378" t="str">
        <f t="shared" ref="H495:H496" ca="1" si="1721">IF($C495="5",OFFSET(H495,-1,0) +1,IF(OFFSET(G495,-1,0)&lt;&gt;G495,"0",IF(OFFSET(H495,-1,0)="","0",OFFSET(H495,-1,0))))</f>
        <v>0</v>
      </c>
      <c r="I495" s="378" t="str">
        <f t="shared" ref="I495:I496" ca="1" si="1722">IF($C495="6",OFFSET(I495,-1,0) +1,IF(OFFSET(H495,-1,0)&lt;&gt;H495,"0",IF(OFFSET(I495,-1,0)="","0", OFFSET(I495,-1,0))))</f>
        <v>0</v>
      </c>
      <c r="J495" s="378">
        <f t="shared" ca="1" si="1196"/>
        <v>5</v>
      </c>
      <c r="K495" s="378" t="str">
        <f t="shared" ref="K495:K496" si="1723">IF(C495="S","NÃO", IF(C495="1", D495, IF(C495="2", D495 &amp; "." &amp; E495,IF(C495="3", D495 &amp; "." &amp; E495 &amp; "." &amp; F495, IF(C495="4", D495 &amp; "." &amp; E495 &amp; "." &amp; F495 &amp; "." &amp; G495, IF(C495="5", D495 &amp; "." &amp; E495 &amp; "." &amp; F495 &amp; "." &amp; G495 &amp; "." &amp; H495, IF(C495="6", D495 &amp; "." &amp; E495 &amp; "." &amp; F495 &amp; "." &amp; G495 &amp; "." &amp; H495 &amp; "." &amp; I495)))))))</f>
        <v>NÃO</v>
      </c>
      <c r="L495" s="378" t="str">
        <f t="shared" ref="L495:L496" ca="1" si="1724">IF(K495="NÃO",IF($B495=2,D495&amp;"."&amp;J495,IF($B495=3,D495&amp;"."&amp;E495&amp;"."&amp;J495,IF($B495=4,D495&amp;"."&amp;E495&amp;"."&amp;F495&amp;"."&amp;J495,IF($B495=5,D495&amp;"."&amp;E495&amp;"."&amp;F495&amp;"."&amp;G495&amp;"."&amp;J495,IF($B495=6,D495&amp;"."&amp;E495&amp;"."&amp;F495&amp;"."&amp;G495&amp;"."&amp;H495&amp;"."&amp;J495,IF($B495=7,D495&amp;"."&amp;E495&amp;"."&amp;F495&amp;"."&amp;G495&amp;"."&amp;H495&amp;"."&amp;I495&amp;"."&amp;J495,"FALHA")))))),K495)</f>
        <v>19.5</v>
      </c>
      <c r="M495" s="55" t="s">
        <v>27868</v>
      </c>
      <c r="O495" s="392" t="str">
        <f t="shared" ref="O495:O496" ca="1" si="1725">L495</f>
        <v>19.5</v>
      </c>
      <c r="P495" s="687" t="s">
        <v>29901</v>
      </c>
      <c r="Q495" s="684" t="s">
        <v>13584</v>
      </c>
      <c r="R495" s="415" t="str">
        <f>UPPER(IF(P495="CDHU",VLOOKUP(Q495,'CDHU 201-SD'!$A$1:$J$28014,2,FALSE),IF(P495="FDE",VLOOKUP(Q495,'FDE 01-26-SD'!$A$1:$J$280013,2,FALSE),IF(P495="PRÓPRIA",VLOOKUP(Q495,COMPOSIÇÃO!$1:$1048576,3,FALSE),VLOOKUP(Q495,'SINAPI 04-26-SD'!$A$1:$H$272700,2,FALSE)))))</f>
        <v>FAIXA EM POLICARBONATO PARA SINALIZAÇÃO VISUAL FOTOLUMINESCENTE, PARA DEGRAUS, COMPRIMENTO DE 20 CM</v>
      </c>
      <c r="S495" s="414" t="str">
        <f>UPPER(IF(P495="CDHU",VLOOKUP(Q495,'CDHU 201-SD'!$A$1:$J$28014,3,FALSE),IF(P495="FDE",VLOOKUP(Q495,'FDE 01-26-SD'!$A$1:$J$280013,3,FALSE),IF(P495="PRÓPRIA",VLOOKUP(Q495,COMPOSIÇÃO!$1:$1048576,7,FALSE),VLOOKUP(Q495,'SINAPI 04-26-SD'!$A$1:$H$272700,3,FALSE)))))</f>
        <v>UN</v>
      </c>
      <c r="T495" s="393">
        <f>VLOOKUP(Q495,'COMUNICAÇÃO VISUAL'!$1:$1048576,12,FALSE)</f>
        <v>144</v>
      </c>
      <c r="U495" s="394">
        <f>TRUNC(IF(P495="CDHU",VLOOKUP(Q495,'CDHU 201-SD'!$A$1:$J$28014,6,FALSE),IF(P495="FDE",VLOOKUP(Q495,'FDE 01-26-SD'!$A$1:$J$280013,6,FALSE),IF(P495="PRÓPRIA",VLOOKUP(Q495,COMPOSIÇÃO!$1:$1048576,10,FALSE),VLOOKUP(Q495,'SINAPI 04-26-SD'!$A$1:$H$272700,4,FALSE)))),2)</f>
        <v>6.33</v>
      </c>
      <c r="V495" s="416">
        <f t="shared" ref="V495:V496" si="1726">TRUNC(U495*T495,2)</f>
        <v>911.52</v>
      </c>
      <c r="W495" s="395">
        <f>IF($AA495="N",BDI!$D$26,IF($AA495="D",'BDI DIFE.'!$D$26,"ERRO"))</f>
        <v>0.22500000000000001</v>
      </c>
      <c r="X495" s="379">
        <f t="shared" ref="X495:X496" si="1727">TRUNC(U495*(1+W495),2)</f>
        <v>7.75</v>
      </c>
      <c r="Y495" s="380">
        <f t="shared" ref="Y495:Y496" si="1728">TRUNC(T495*X495,2)</f>
        <v>1116</v>
      </c>
      <c r="Z495" s="381"/>
      <c r="AA495" s="378" t="s">
        <v>28044</v>
      </c>
      <c r="AB495" s="642"/>
    </row>
    <row r="496" spans="2:28" s="55" customFormat="1" ht="30">
      <c r="B496" s="378">
        <f t="shared" ca="1" si="1717"/>
        <v>2</v>
      </c>
      <c r="C496" s="378" t="str">
        <f t="shared" si="1700"/>
        <v>S</v>
      </c>
      <c r="D496" s="378">
        <f t="shared" ca="1" si="1195"/>
        <v>19</v>
      </c>
      <c r="E496" s="378" t="str">
        <f t="shared" ca="1" si="1718"/>
        <v>0</v>
      </c>
      <c r="F496" s="378" t="str">
        <f t="shared" ca="1" si="1719"/>
        <v>0</v>
      </c>
      <c r="G496" s="378" t="str">
        <f t="shared" ca="1" si="1720"/>
        <v>0</v>
      </c>
      <c r="H496" s="378" t="str">
        <f t="shared" ca="1" si="1721"/>
        <v>0</v>
      </c>
      <c r="I496" s="378" t="str">
        <f t="shared" ca="1" si="1722"/>
        <v>0</v>
      </c>
      <c r="J496" s="378">
        <f t="shared" ca="1" si="1196"/>
        <v>6</v>
      </c>
      <c r="K496" s="378" t="str">
        <f t="shared" si="1723"/>
        <v>NÃO</v>
      </c>
      <c r="L496" s="378" t="str">
        <f t="shared" ca="1" si="1724"/>
        <v>19.6</v>
      </c>
      <c r="M496" s="55" t="s">
        <v>27868</v>
      </c>
      <c r="O496" s="392" t="str">
        <f t="shared" ca="1" si="1725"/>
        <v>19.6</v>
      </c>
      <c r="P496" s="687" t="s">
        <v>29901</v>
      </c>
      <c r="Q496" s="684" t="s">
        <v>13592</v>
      </c>
      <c r="R496" s="415" t="str">
        <f>UPPER(IF(P496="CDHU",VLOOKUP(Q496,'CDHU 201-SD'!$A$1:$J$28014,2,FALSE),IF(P496="FDE",VLOOKUP(Q496,'FDE 01-26-SD'!$A$1:$J$280013,2,FALSE),IF(P496="PRÓPRIA",VLOOKUP(Q496,COMPOSIÇÃO!$1:$1048576,3,FALSE),VLOOKUP(Q496,'SINAPI 04-26-SD'!$A$1:$H$272700,2,FALSE)))))</f>
        <v>PISO TÁTIL DE CONCRETO INTERTRAVADO ALERTA / DIRECIONAL, ESPESSURA DE 6 CM, COM REJUNTE EM AREIA</v>
      </c>
      <c r="S496" s="414" t="str">
        <f>UPPER(IF(P496="CDHU",VLOOKUP(Q496,'CDHU 201-SD'!$A$1:$J$28014,3,FALSE),IF(P496="FDE",VLOOKUP(Q496,'FDE 01-26-SD'!$A$1:$J$280013,3,FALSE),IF(P496="PRÓPRIA",VLOOKUP(Q496,COMPOSIÇÃO!$1:$1048576,7,FALSE),VLOOKUP(Q496,'SINAPI 04-26-SD'!$A$1:$H$272700,3,FALSE)))))</f>
        <v>M2</v>
      </c>
      <c r="T496" s="393">
        <f>VLOOKUP(Q496,'COMUNICAÇÃO VISUAL'!$1:$1048576,12,FALSE)</f>
        <v>73.920000000000016</v>
      </c>
      <c r="U496" s="394">
        <f>TRUNC(IF(P496="CDHU",VLOOKUP(Q496,'CDHU 201-SD'!$A$1:$J$28014,6,FALSE),IF(P496="FDE",VLOOKUP(Q496,'FDE 01-26-SD'!$A$1:$J$280013,6,FALSE),IF(P496="PRÓPRIA",VLOOKUP(Q496,COMPOSIÇÃO!$1:$1048576,10,FALSE),VLOOKUP(Q496,'SINAPI 04-26-SD'!$A$1:$H$272700,4,FALSE)))),2)</f>
        <v>148.12</v>
      </c>
      <c r="V496" s="416">
        <f t="shared" si="1726"/>
        <v>10949.03</v>
      </c>
      <c r="W496" s="395">
        <f>IF($AA496="N",BDI!$D$26,IF($AA496="D",'BDI DIFE.'!$D$26,"ERRO"))</f>
        <v>0.22500000000000001</v>
      </c>
      <c r="X496" s="379">
        <f t="shared" si="1727"/>
        <v>181.44</v>
      </c>
      <c r="Y496" s="380">
        <f t="shared" si="1728"/>
        <v>13412.04</v>
      </c>
      <c r="Z496" s="381"/>
      <c r="AA496" s="378" t="s">
        <v>28044</v>
      </c>
      <c r="AB496" s="642"/>
    </row>
    <row r="497" spans="2:28" s="55" customFormat="1" ht="31" thickBot="1">
      <c r="B497" s="378">
        <f t="shared" ref="B497:B511" ca="1" si="1729">IF(C497="S",IF(OFFSET(C497,-1,0)="S", OFFSET(B497,-1,0), OFFSET(B497,-1,0) +1 ), C497)</f>
        <v>2</v>
      </c>
      <c r="C497" s="378" t="str">
        <f t="shared" si="1700"/>
        <v>S</v>
      </c>
      <c r="D497" s="378">
        <f t="shared" ca="1" si="1195"/>
        <v>19</v>
      </c>
      <c r="E497" s="378" t="str">
        <f t="shared" ref="E497:E511" ca="1" si="1730">IF($C497="2",OFFSET(E497,-1,0) +1,IF(OFFSET(D497,-1,0)&lt;&gt;D497,"0",IF(OFFSET(E497,-1,0)="","0",OFFSET(E497,-1,0))))</f>
        <v>0</v>
      </c>
      <c r="F497" s="378" t="str">
        <f t="shared" ref="F497:F511" ca="1" si="1731">IF($C497="3",OFFSET(F497,-1,0) +1,IF(OFFSET(E497,-1,0)&lt;&gt;E497,"0",IF(OFFSET(F497,-1,0)="","0",OFFSET(F497,-1,0))))</f>
        <v>0</v>
      </c>
      <c r="G497" s="378" t="str">
        <f t="shared" ref="G497:G511" ca="1" si="1732">IF($C497="4",OFFSET(G497,-1,0) +1,IF(OFFSET(F497,-1,0)&lt;&gt;F497,"0",IF(OFFSET(G497,-1,0)="","0",OFFSET(G497,-1,0))))</f>
        <v>0</v>
      </c>
      <c r="H497" s="378" t="str">
        <f t="shared" ref="H497:H511" ca="1" si="1733">IF($C497="5",OFFSET(H497,-1,0) +1,IF(OFFSET(G497,-1,0)&lt;&gt;G497,"0",IF(OFFSET(H497,-1,0)="","0",OFFSET(H497,-1,0))))</f>
        <v>0</v>
      </c>
      <c r="I497" s="378" t="str">
        <f t="shared" ref="I497:I511" ca="1" si="1734">IF($C497="6",OFFSET(I497,-1,0) +1,IF(OFFSET(H497,-1,0)&lt;&gt;H497,"0",IF(OFFSET(I497,-1,0)="","0", OFFSET(I497,-1,0))))</f>
        <v>0</v>
      </c>
      <c r="J497" s="378">
        <f t="shared" ca="1" si="1196"/>
        <v>7</v>
      </c>
      <c r="K497" s="378" t="str">
        <f t="shared" ref="K497:K511" si="1735">IF(C497="S","NÃO", IF(C497="1", D497, IF(C497="2", D497 &amp; "." &amp; E497,IF(C497="3", D497 &amp; "." &amp; E497 &amp; "." &amp; F497, IF(C497="4", D497 &amp; "." &amp; E497 &amp; "." &amp; F497 &amp; "." &amp; G497, IF(C497="5", D497 &amp; "." &amp; E497 &amp; "." &amp; F497 &amp; "." &amp; G497 &amp; "." &amp; H497, IF(C497="6", D497 &amp; "." &amp; E497 &amp; "." &amp; F497 &amp; "." &amp; G497 &amp; "." &amp; H497 &amp; "." &amp; I497)))))))</f>
        <v>NÃO</v>
      </c>
      <c r="L497" s="378" t="str">
        <f t="shared" ref="L497:L511" ca="1" si="1736">IF(K497="NÃO",IF($B497=2,D497&amp;"."&amp;J497,IF($B497=3,D497&amp;"."&amp;E497&amp;"."&amp;J497,IF($B497=4,D497&amp;"."&amp;E497&amp;"."&amp;F497&amp;"."&amp;J497,IF($B497=5,D497&amp;"."&amp;E497&amp;"."&amp;F497&amp;"."&amp;G497&amp;"."&amp;J497,IF($B497=6,D497&amp;"."&amp;E497&amp;"."&amp;F497&amp;"."&amp;G497&amp;"."&amp;H497&amp;"."&amp;J497,IF($B497=7,D497&amp;"."&amp;E497&amp;"."&amp;F497&amp;"."&amp;G497&amp;"."&amp;H497&amp;"."&amp;I497&amp;"."&amp;J497,"FALHA")))))),K497)</f>
        <v>19.7</v>
      </c>
      <c r="M497" s="55" t="s">
        <v>27868</v>
      </c>
      <c r="O497" s="392" t="str">
        <f t="shared" ref="O497" ca="1" si="1737">L497</f>
        <v>19.7</v>
      </c>
      <c r="P497" s="687" t="s">
        <v>29901</v>
      </c>
      <c r="Q497" s="684" t="s">
        <v>12679</v>
      </c>
      <c r="R497" s="415" t="s">
        <v>44951</v>
      </c>
      <c r="S497" s="414" t="str">
        <f>UPPER(IF(P497="CDHU",VLOOKUP(Q497,'CDHU 201-SD'!$A$1:$J$28014,3,FALSE),IF(P497="FDE",VLOOKUP(Q497,'FDE 01-26-SD'!$A$1:$J$280013,3,FALSE),IF(P497="PRÓPRIA",VLOOKUP(Q497,COMPOSIÇÃO!$1:$1048576,7,FALSE),VLOOKUP(Q497,'SINAPI 04-26-SD'!$A$1:$H$272700,3,FALSE)))))</f>
        <v>M2</v>
      </c>
      <c r="T497" s="393">
        <f>VLOOKUP(Q497,'COMUNICAÇÃO VISUAL'!$1:$1048576,12,FALSE)</f>
        <v>14.076000000000001</v>
      </c>
      <c r="U497" s="394">
        <f>TRUNC(IF(P497="CDHU",VLOOKUP(Q497,'CDHU 201-SD'!$A$1:$J$28014,6,FALSE),IF(P497="FDE",VLOOKUP(Q497,'FDE 01-26-SD'!$A$1:$J$280013,6,FALSE),IF(P497="PRÓPRIA",VLOOKUP(Q497,COMPOSIÇÃO!$1:$1048576,10,FALSE),VLOOKUP(Q497,'SINAPI 04-26-SD'!$A$1:$H$272700,4,FALSE)))),2)</f>
        <v>882.92</v>
      </c>
      <c r="V497" s="416">
        <f t="shared" ref="V497" si="1738">TRUNC(U497*T497,2)</f>
        <v>12427.98</v>
      </c>
      <c r="W497" s="395">
        <f>IF($AA497="N",BDI!$D$26,IF($AA497="D",'BDI DIFE.'!$D$26,"ERRO"))</f>
        <v>0.22500000000000001</v>
      </c>
      <c r="X497" s="379">
        <f t="shared" ref="X497" si="1739">TRUNC(U497*(1+W497),2)</f>
        <v>1081.57</v>
      </c>
      <c r="Y497" s="380">
        <f t="shared" ref="Y497" si="1740">TRUNC(T497*X497,2)</f>
        <v>15224.17</v>
      </c>
      <c r="Z497" s="381"/>
      <c r="AA497" s="378" t="s">
        <v>28044</v>
      </c>
      <c r="AB497" s="642"/>
    </row>
    <row r="498" spans="2:28" s="55" customFormat="1" ht="16" thickBot="1">
      <c r="B498" s="378" t="str">
        <f t="shared" ca="1" si="1729"/>
        <v/>
      </c>
      <c r="C498" s="378" t="str">
        <f>IF(RIGHT($M498) = "o", "S", RIGHT($M498))</f>
        <v/>
      </c>
      <c r="D498" s="378">
        <f t="shared" ca="1" si="1195"/>
        <v>19</v>
      </c>
      <c r="E498" s="378" t="str">
        <f t="shared" ca="1" si="1730"/>
        <v>0</v>
      </c>
      <c r="F498" s="378" t="str">
        <f t="shared" ca="1" si="1731"/>
        <v>0</v>
      </c>
      <c r="G498" s="378" t="str">
        <f t="shared" ca="1" si="1732"/>
        <v>0</v>
      </c>
      <c r="H498" s="378" t="str">
        <f t="shared" ca="1" si="1733"/>
        <v>0</v>
      </c>
      <c r="I498" s="378" t="str">
        <f t="shared" ca="1" si="1734"/>
        <v>0</v>
      </c>
      <c r="J498" s="378" t="str">
        <f t="shared" ca="1" si="1196"/>
        <v>0</v>
      </c>
      <c r="K498" s="378" t="b">
        <f t="shared" si="1735"/>
        <v>0</v>
      </c>
      <c r="L498" s="378" t="b">
        <f t="shared" si="1736"/>
        <v>0</v>
      </c>
      <c r="O498" s="192"/>
      <c r="P498" s="387"/>
      <c r="Q498" s="387"/>
      <c r="R498" s="377"/>
      <c r="S498" s="387"/>
      <c r="T498" s="363"/>
      <c r="U498" s="388"/>
      <c r="V498" s="389"/>
      <c r="W498" s="389"/>
      <c r="X498" s="389"/>
      <c r="Y498" s="390"/>
      <c r="AA498" s="378"/>
      <c r="AB498" s="642"/>
    </row>
    <row r="499" spans="2:28" s="75" customFormat="1" ht="16" thickBot="1">
      <c r="B499" s="75" t="str">
        <f t="shared" ca="1" si="1729"/>
        <v>1</v>
      </c>
      <c r="C499" s="75" t="str">
        <f t="shared" si="1700"/>
        <v>1</v>
      </c>
      <c r="D499" s="75">
        <f t="shared" ca="1" si="1195"/>
        <v>20</v>
      </c>
      <c r="E499" s="75" t="str">
        <f t="shared" ca="1" si="1730"/>
        <v>0</v>
      </c>
      <c r="F499" s="75" t="str">
        <f t="shared" ca="1" si="1731"/>
        <v>0</v>
      </c>
      <c r="G499" s="75" t="str">
        <f t="shared" ca="1" si="1732"/>
        <v>0</v>
      </c>
      <c r="H499" s="75" t="str">
        <f t="shared" ca="1" si="1733"/>
        <v>0</v>
      </c>
      <c r="I499" s="75" t="str">
        <f t="shared" ca="1" si="1734"/>
        <v>0</v>
      </c>
      <c r="J499" s="75" t="str">
        <f t="shared" ca="1" si="1196"/>
        <v>0</v>
      </c>
      <c r="K499" s="75">
        <f t="shared" ca="1" si="1735"/>
        <v>20</v>
      </c>
      <c r="L499" s="75">
        <f t="shared" ca="1" si="1736"/>
        <v>20</v>
      </c>
      <c r="M499" s="55" t="s">
        <v>27859</v>
      </c>
      <c r="O499" s="191">
        <f t="shared" ref="O499:O511" ca="1" si="1741">L499</f>
        <v>20</v>
      </c>
      <c r="P499" s="172"/>
      <c r="Q499" s="172"/>
      <c r="R499" s="683" t="s">
        <v>44449</v>
      </c>
      <c r="S499" s="172"/>
      <c r="T499" s="194"/>
      <c r="U499" s="195"/>
      <c r="V499" s="196">
        <f ca="1">IF(VALUE(C499)=1,SUMIFS(V:V,D:D,D499,M:M,"Serviço"),IF(VALUE(C499)=2,SUMIFS(V:V,D:D,D499,E:E,E499,M:M,"Serviço"),IF(VALUE(C499)=3,SUMIFS(V:V,D:D,D499,E:E,E499,F:F,F499,M:M,"Serviço"),IF(VALUE(C499)=4,SUMIFS(V:V,D:D,D499,E:E,E499,F:F,F499,G:G,G499,M:M,"Serviço"),"ERRO"))))</f>
        <v>120538.21999999997</v>
      </c>
      <c r="W499" s="197"/>
      <c r="X499" s="205"/>
      <c r="Y499" s="173">
        <f ca="1">IF(VALUE(C499)=1,SUMIFS(Y:Y,D:D,D499,M:M,"Serviço"),IF(VALUE(C499)=2,SUMIFS(Y:Y,D:D,D499,E:E,E499,M:M,"Serviço"),IF(VALUE(C499)=3,SUMIFS(Y:Y,D:D,D499,E:E,E499,F:F,F499,M:M,"Serviço"),IF(VALUE(C499)=4,SUMIFS(Y:Y,D:D,D499,E:E,E499,F:F,F499,G:G,G499,M:M,"Serviço"),"ERRO"))))</f>
        <v>147655.49000000002</v>
      </c>
      <c r="AB499" s="641"/>
    </row>
    <row r="500" spans="2:28" s="75" customFormat="1" ht="16" thickBot="1">
      <c r="B500" s="75" t="str">
        <f t="shared" ref="B500" ca="1" si="1742">IF(C500="S",IF(OFFSET(C500,-1,0)="S", OFFSET(B500,-1,0), OFFSET(B500,-1,0) +1 ), C500)</f>
        <v>2</v>
      </c>
      <c r="C500" s="75" t="str">
        <f t="shared" si="1700"/>
        <v>2</v>
      </c>
      <c r="D500" s="75">
        <f t="shared" ca="1" si="1195"/>
        <v>20</v>
      </c>
      <c r="E500" s="75">
        <f t="shared" ref="E500" ca="1" si="1743">IF($C500="2",OFFSET(E500,-1,0) +1,IF(OFFSET(D500,-1,0)&lt;&gt;D500,"0",IF(OFFSET(E500,-1,0)="","0",OFFSET(E500,-1,0))))</f>
        <v>1</v>
      </c>
      <c r="F500" s="75" t="str">
        <f t="shared" ref="F500" ca="1" si="1744">IF($C500="3",OFFSET(F500,-1,0) +1,IF(OFFSET(E500,-1,0)&lt;&gt;E500,"0",IF(OFFSET(F500,-1,0)="","0",OFFSET(F500,-1,0))))</f>
        <v>0</v>
      </c>
      <c r="G500" s="75" t="str">
        <f t="shared" ref="G500" ca="1" si="1745">IF($C500="4",OFFSET(G500,-1,0) +1,IF(OFFSET(F500,-1,0)&lt;&gt;F500,"0",IF(OFFSET(G500,-1,0)="","0",OFFSET(G500,-1,0))))</f>
        <v>0</v>
      </c>
      <c r="H500" s="75" t="str">
        <f t="shared" ref="H500" ca="1" si="1746">IF($C500="5",OFFSET(H500,-1,0) +1,IF(OFFSET(G500,-1,0)&lt;&gt;G500,"0",IF(OFFSET(H500,-1,0)="","0",OFFSET(H500,-1,0))))</f>
        <v>0</v>
      </c>
      <c r="I500" s="75" t="str">
        <f t="shared" ref="I500" ca="1" si="1747">IF($C500="6",OFFSET(I500,-1,0) +1,IF(OFFSET(H500,-1,0)&lt;&gt;H500,"0",IF(OFFSET(I500,-1,0)="","0", OFFSET(I500,-1,0))))</f>
        <v>0</v>
      </c>
      <c r="J500" s="75" t="str">
        <f t="shared" ca="1" si="1196"/>
        <v>0</v>
      </c>
      <c r="K500" s="75" t="str">
        <f t="shared" ref="K500" ca="1" si="1748">IF(C500="S","NÃO", IF(C500="1", D500, IF(C500="2", D500 &amp; "." &amp; E500,IF(C500="3", D500 &amp; "." &amp; E500 &amp; "." &amp; F500, IF(C500="4", D500 &amp; "." &amp; E500 &amp; "." &amp; F500 &amp; "." &amp; G500, IF(C500="5", D500 &amp; "." &amp; E500 &amp; "." &amp; F500 &amp; "." &amp; G500 &amp; "." &amp; H500, IF(C500="6", D500 &amp; "." &amp; E500 &amp; "." &amp; F500 &amp; "." &amp; G500 &amp; "." &amp; H500 &amp; "." &amp; I500)))))))</f>
        <v>20.1</v>
      </c>
      <c r="L500" s="75" t="str">
        <f t="shared" ref="L500" ca="1" si="1749">IF(K500="NÃO",IF($B500=2,D500&amp;"."&amp;J500,IF($B500=3,D500&amp;"."&amp;E500&amp;"."&amp;J500,IF($B500=4,D500&amp;"."&amp;E500&amp;"."&amp;F500&amp;"."&amp;J500,IF($B500=5,D500&amp;"."&amp;E500&amp;"."&amp;F500&amp;"."&amp;G500&amp;"."&amp;J500,IF($B500=6,D500&amp;"."&amp;E500&amp;"."&amp;F500&amp;"."&amp;G500&amp;"."&amp;H500&amp;"."&amp;J500,IF($B500=7,D500&amp;"."&amp;E500&amp;"."&amp;F500&amp;"."&amp;G500&amp;"."&amp;H500&amp;"."&amp;I500&amp;"."&amp;J500,"FALHA")))))),K500)</f>
        <v>20.1</v>
      </c>
      <c r="M500" s="55" t="s">
        <v>27861</v>
      </c>
      <c r="O500" s="191" t="str">
        <f t="shared" ref="O500" ca="1" si="1750">L500</f>
        <v>20.1</v>
      </c>
      <c r="P500" s="172"/>
      <c r="Q500" s="172"/>
      <c r="R500" s="683" t="s">
        <v>44493</v>
      </c>
      <c r="S500" s="172"/>
      <c r="T500" s="194"/>
      <c r="U500" s="195"/>
      <c r="V500" s="196">
        <f ca="1">IF(VALUE(C500)=1,SUMIFS(V:V,D:D,D500,M:M,"Serviço"),IF(VALUE(C500)=2,SUMIFS(V:V,D:D,D500,E:E,E500,M:M,"Serviço"),IF(VALUE(C500)=3,SUMIFS(V:V,D:D,D500,E:E,E500,F:F,F500,M:M,"Serviço"),IF(VALUE(C500)=4,SUMIFS(V:V,D:D,D500,E:E,E500,F:F,F500,G:G,G500,M:M,"Serviço"),"ERRO"))))</f>
        <v>25115.21</v>
      </c>
      <c r="W500" s="197"/>
      <c r="X500" s="205"/>
      <c r="Y500" s="173">
        <f ca="1">IF(VALUE(C500)=1,SUMIFS(Y:Y,D:D,D500,M:M,"Serviço"),IF(VALUE(C500)=2,SUMIFS(Y:Y,D:D,D500,E:E,E500,M:M,"Serviço"),IF(VALUE(C500)=3,SUMIFS(Y:Y,D:D,D500,E:E,E500,F:F,F500,M:M,"Serviço"),IF(VALUE(C500)=4,SUMIFS(Y:Y,D:D,D500,E:E,E500,F:F,F500,G:G,G500,M:M,"Serviço"),"ERRO"))))</f>
        <v>30764.11</v>
      </c>
      <c r="AB500" s="641"/>
    </row>
    <row r="501" spans="2:28" s="55" customFormat="1">
      <c r="B501" s="378">
        <f t="shared" ca="1" si="1729"/>
        <v>3</v>
      </c>
      <c r="C501" s="378" t="str">
        <f t="shared" si="1700"/>
        <v>S</v>
      </c>
      <c r="D501" s="378">
        <f t="shared" ca="1" si="1195"/>
        <v>20</v>
      </c>
      <c r="E501" s="378">
        <f t="shared" ca="1" si="1730"/>
        <v>1</v>
      </c>
      <c r="F501" s="378" t="str">
        <f t="shared" ca="1" si="1731"/>
        <v>0</v>
      </c>
      <c r="G501" s="378" t="str">
        <f t="shared" ca="1" si="1732"/>
        <v>0</v>
      </c>
      <c r="H501" s="378" t="str">
        <f t="shared" ca="1" si="1733"/>
        <v>0</v>
      </c>
      <c r="I501" s="378" t="str">
        <f t="shared" ca="1" si="1734"/>
        <v>0</v>
      </c>
      <c r="J501" s="378">
        <f t="shared" ca="1" si="1196"/>
        <v>1</v>
      </c>
      <c r="K501" s="378" t="str">
        <f t="shared" si="1735"/>
        <v>NÃO</v>
      </c>
      <c r="L501" s="378" t="str">
        <f t="shared" ca="1" si="1736"/>
        <v>20.1.1</v>
      </c>
      <c r="M501" s="55" t="s">
        <v>27868</v>
      </c>
      <c r="O501" s="392" t="str">
        <f t="shared" ca="1" si="1741"/>
        <v>20.1.1</v>
      </c>
      <c r="P501" s="687" t="s">
        <v>29901</v>
      </c>
      <c r="Q501" s="684" t="s">
        <v>11129</v>
      </c>
      <c r="R501" s="415" t="str">
        <f>UPPER(IF(P501="CDHU",VLOOKUP(Q501,'CDHU 201-SD'!$A$1:$J$28014,2,FALSE),IF(P501="FDE",VLOOKUP(Q501,'FDE 01-26-SD'!$A$1:$J$280013,2,FALSE),IF(P501="PRÓPRIA",VLOOKUP(Q501,COMPOSIÇÃO!$1:$1048576,3,FALSE),VLOOKUP(Q501,'SINAPI 04-26-SD'!$A$1:$H$272700,2,FALSE)))))</f>
        <v>RETIRADA DE ESQUADRIA METÁLICA EM GERAL</v>
      </c>
      <c r="S501" s="414" t="str">
        <f>UPPER(IF(P501="CDHU",VLOOKUP(Q501,'CDHU 201-SD'!$A$1:$J$28014,3,FALSE),IF(P501="FDE",VLOOKUP(Q501,'FDE 01-26-SD'!$A$1:$J$280013,3,FALSE),IF(P501="PRÓPRIA",VLOOKUP(Q501,COMPOSIÇÃO!$1:$1048576,7,FALSE),VLOOKUP(Q501,'SINAPI 04-26-SD'!$A$1:$H$272700,3,FALSE)))))</f>
        <v>M2</v>
      </c>
      <c r="T501" s="393">
        <f>VLOOKUP(Q501,'DELEGACIA SECCIONAL DE POLICIA'!$1:$1048576,12,FALSE)</f>
        <v>106.20000000000002</v>
      </c>
      <c r="U501" s="394">
        <f>TRUNC(IF(P501="CDHU",VLOOKUP(Q501,'CDHU 201-SD'!$A$1:$J$28014,6,FALSE),IF(P501="FDE",VLOOKUP(Q501,'FDE 01-26-SD'!$A$1:$J$280013,6,FALSE),IF(P501="PRÓPRIA",VLOOKUP(Q501,COMPOSIÇÃO!$1:$1048576,10,FALSE),VLOOKUP(Q501,'SINAPI 04-26-SD'!$A$1:$H$272700,4,FALSE)))),2)</f>
        <v>35.26</v>
      </c>
      <c r="V501" s="416">
        <f t="shared" ref="V501:V511" si="1751">TRUNC(U501*T501,2)</f>
        <v>3744.61</v>
      </c>
      <c r="W501" s="395">
        <f>IF($AA501="N",BDI!$D$26,IF($AA501="D",'BDI DIFE.'!$D$26,"ERRO"))</f>
        <v>0.22500000000000001</v>
      </c>
      <c r="X501" s="379">
        <f t="shared" ref="X501:X511" si="1752">TRUNC(U501*(1+W501),2)</f>
        <v>43.19</v>
      </c>
      <c r="Y501" s="380">
        <f t="shared" ref="Y501:Y511" si="1753">TRUNC(T501*X501,2)</f>
        <v>4586.7700000000004</v>
      </c>
      <c r="Z501" s="381"/>
      <c r="AA501" s="378" t="s">
        <v>28044</v>
      </c>
      <c r="AB501" s="642"/>
    </row>
    <row r="502" spans="2:28" s="55" customFormat="1" ht="30">
      <c r="B502" s="378">
        <f t="shared" ref="B502" ca="1" si="1754">IF(C502="S",IF(OFFSET(C502,-1,0)="S", OFFSET(B502,-1,0), OFFSET(B502,-1,0) +1 ), C502)</f>
        <v>3</v>
      </c>
      <c r="C502" s="378" t="str">
        <f t="shared" si="1700"/>
        <v>S</v>
      </c>
      <c r="D502" s="378">
        <f t="shared" ca="1" si="1195"/>
        <v>20</v>
      </c>
      <c r="E502" s="378">
        <f t="shared" ref="E502" ca="1" si="1755">IF($C502="2",OFFSET(E502,-1,0) +1,IF(OFFSET(D502,-1,0)&lt;&gt;D502,"0",IF(OFFSET(E502,-1,0)="","0",OFFSET(E502,-1,0))))</f>
        <v>1</v>
      </c>
      <c r="F502" s="378" t="str">
        <f t="shared" ref="F502" ca="1" si="1756">IF($C502="3",OFFSET(F502,-1,0) +1,IF(OFFSET(E502,-1,0)&lt;&gt;E502,"0",IF(OFFSET(F502,-1,0)="","0",OFFSET(F502,-1,0))))</f>
        <v>0</v>
      </c>
      <c r="G502" s="378" t="str">
        <f t="shared" ref="G502" ca="1" si="1757">IF($C502="4",OFFSET(G502,-1,0) +1,IF(OFFSET(F502,-1,0)&lt;&gt;F502,"0",IF(OFFSET(G502,-1,0)="","0",OFFSET(G502,-1,0))))</f>
        <v>0</v>
      </c>
      <c r="H502" s="378" t="str">
        <f t="shared" ref="H502" ca="1" si="1758">IF($C502="5",OFFSET(H502,-1,0) +1,IF(OFFSET(G502,-1,0)&lt;&gt;G502,"0",IF(OFFSET(H502,-1,0)="","0",OFFSET(H502,-1,0))))</f>
        <v>0</v>
      </c>
      <c r="I502" s="378" t="str">
        <f t="shared" ref="I502" ca="1" si="1759">IF($C502="6",OFFSET(I502,-1,0) +1,IF(OFFSET(H502,-1,0)&lt;&gt;H502,"0",IF(OFFSET(I502,-1,0)="","0", OFFSET(I502,-1,0))))</f>
        <v>0</v>
      </c>
      <c r="J502" s="378">
        <f t="shared" ca="1" si="1196"/>
        <v>2</v>
      </c>
      <c r="K502" s="378" t="str">
        <f t="shared" ref="K502" si="1760">IF(C502="S","NÃO", IF(C502="1", D502, IF(C502="2", D502 &amp; "." &amp; E502,IF(C502="3", D502 &amp; "." &amp; E502 &amp; "." &amp; F502, IF(C502="4", D502 &amp; "." &amp; E502 &amp; "." &amp; F502 &amp; "." &amp; G502, IF(C502="5", D502 &amp; "." &amp; E502 &amp; "." &amp; F502 &amp; "." &amp; G502 &amp; "." &amp; H502, IF(C502="6", D502 &amp; "." &amp; E502 &amp; "." &amp; F502 &amp; "." &amp; G502 &amp; "." &amp; H502 &amp; "." &amp; I502)))))))</f>
        <v>NÃO</v>
      </c>
      <c r="L502" s="378" t="str">
        <f t="shared" ref="L502" ca="1" si="1761">IF(K502="NÃO",IF($B502=2,D502&amp;"."&amp;J502,IF($B502=3,D502&amp;"."&amp;E502&amp;"."&amp;J502,IF($B502=4,D502&amp;"."&amp;E502&amp;"."&amp;F502&amp;"."&amp;J502,IF($B502=5,D502&amp;"."&amp;E502&amp;"."&amp;F502&amp;"."&amp;G502&amp;"."&amp;J502,IF($B502=6,D502&amp;"."&amp;E502&amp;"."&amp;F502&amp;"."&amp;G502&amp;"."&amp;H502&amp;"."&amp;J502,IF($B502=7,D502&amp;"."&amp;E502&amp;"."&amp;F502&amp;"."&amp;G502&amp;"."&amp;H502&amp;"."&amp;I502&amp;"."&amp;J502,"FALHA")))))),K502)</f>
        <v>20.1.2</v>
      </c>
      <c r="M502" s="55" t="s">
        <v>27868</v>
      </c>
      <c r="O502" s="392" t="str">
        <f t="shared" ref="O502" ca="1" si="1762">L502</f>
        <v>20.1.2</v>
      </c>
      <c r="P502" s="687" t="s">
        <v>29901</v>
      </c>
      <c r="Q502" s="684" t="s">
        <v>10948</v>
      </c>
      <c r="R502" s="415" t="str">
        <f>UPPER(IF(P502="CDHU",VLOOKUP(Q502,'CDHU 201-SD'!$A$1:$J$28014,2,FALSE),IF(P502="FDE",VLOOKUP(Q502,'FDE 01-26-SD'!$A$1:$J$280013,2,FALSE),IF(P502="PRÓPRIA",VLOOKUP(Q502,COMPOSIÇÃO!$1:$1048576,3,FALSE),VLOOKUP(Q502,'SINAPI 04-26-SD'!$A$1:$H$272700,2,FALSE)))))</f>
        <v>DEMOLIÇÃO MANUAL DE ALVENARIA DE ELEVAÇÃO OU ELEMENTO VAZADO, INCLUINDO REVESTIMENTO</v>
      </c>
      <c r="S502" s="414" t="str">
        <f>UPPER(IF(P502="CDHU",VLOOKUP(Q502,'CDHU 201-SD'!$A$1:$J$28014,3,FALSE),IF(P502="FDE",VLOOKUP(Q502,'FDE 01-26-SD'!$A$1:$J$280013,3,FALSE),IF(P502="PRÓPRIA",VLOOKUP(Q502,COMPOSIÇÃO!$1:$1048576,7,FALSE),VLOOKUP(Q502,'SINAPI 04-26-SD'!$A$1:$H$272700,3,FALSE)))))</f>
        <v>M3</v>
      </c>
      <c r="T502" s="393">
        <f>VLOOKUP(Q502,'DELEGACIA SECCIONAL DE POLICIA'!$1:$1048576,12,FALSE)</f>
        <v>15.06</v>
      </c>
      <c r="U502" s="394">
        <f>TRUNC(IF(P502="CDHU",VLOOKUP(Q502,'CDHU 201-SD'!$A$1:$J$28014,6,FALSE),IF(P502="FDE",VLOOKUP(Q502,'FDE 01-26-SD'!$A$1:$J$280013,6,FALSE),IF(P502="PRÓPRIA",VLOOKUP(Q502,COMPOSIÇÃO!$1:$1048576,10,FALSE),VLOOKUP(Q502,'SINAPI 04-26-SD'!$A$1:$H$272700,4,FALSE)))),2)</f>
        <v>90.84</v>
      </c>
      <c r="V502" s="416">
        <f t="shared" ref="V502" si="1763">TRUNC(U502*T502,2)</f>
        <v>1368.05</v>
      </c>
      <c r="W502" s="395">
        <f>IF($AA502="N",BDI!$D$26,IF($AA502="D",'BDI DIFE.'!$D$26,"ERRO"))</f>
        <v>0.22500000000000001</v>
      </c>
      <c r="X502" s="379">
        <f t="shared" ref="X502" si="1764">TRUNC(U502*(1+W502),2)</f>
        <v>111.27</v>
      </c>
      <c r="Y502" s="380">
        <f t="shared" ref="Y502" si="1765">TRUNC(T502*X502,2)</f>
        <v>1675.72</v>
      </c>
      <c r="Z502" s="381"/>
      <c r="AA502" s="378" t="s">
        <v>28044</v>
      </c>
      <c r="AB502" s="642"/>
    </row>
    <row r="503" spans="2:28" s="55" customFormat="1" ht="46" thickBot="1">
      <c r="B503" s="378">
        <f t="shared" ca="1" si="1729"/>
        <v>3</v>
      </c>
      <c r="C503" s="378" t="str">
        <f t="shared" si="1700"/>
        <v>S</v>
      </c>
      <c r="D503" s="378">
        <f t="shared" ca="1" si="1195"/>
        <v>20</v>
      </c>
      <c r="E503" s="378">
        <f t="shared" ca="1" si="1730"/>
        <v>1</v>
      </c>
      <c r="F503" s="378" t="str">
        <f t="shared" ca="1" si="1731"/>
        <v>0</v>
      </c>
      <c r="G503" s="378" t="str">
        <f t="shared" ca="1" si="1732"/>
        <v>0</v>
      </c>
      <c r="H503" s="378" t="str">
        <f t="shared" ca="1" si="1733"/>
        <v>0</v>
      </c>
      <c r="I503" s="378" t="str">
        <f t="shared" ca="1" si="1734"/>
        <v>0</v>
      </c>
      <c r="J503" s="378">
        <f t="shared" ca="1" si="1196"/>
        <v>3</v>
      </c>
      <c r="K503" s="378" t="str">
        <f t="shared" si="1735"/>
        <v>NÃO</v>
      </c>
      <c r="L503" s="378" t="str">
        <f t="shared" ca="1" si="1736"/>
        <v>20.1.3</v>
      </c>
      <c r="M503" s="55" t="s">
        <v>27868</v>
      </c>
      <c r="O503" s="392" t="str">
        <f t="shared" ca="1" si="1741"/>
        <v>20.1.3</v>
      </c>
      <c r="P503" s="687" t="s">
        <v>29901</v>
      </c>
      <c r="Q503" s="684" t="s">
        <v>11415</v>
      </c>
      <c r="R503" s="415" t="str">
        <f>UPPER(IF(P503="CDHU",VLOOKUP(Q503,'CDHU 201-SD'!$A$1:$J$28014,2,FALSE),IF(P503="FDE",VLOOKUP(Q503,'FDE 01-26-SD'!$A$1:$J$280013,2,FALSE),IF(P503="PRÓPRIA",VLOOKUP(Q503,COMPOSIÇÃO!$1:$1048576,3,FALSE),VLOOKUP(Q503,'SINAPI 04-26-SD'!$A$1:$H$272700,2,FALSE)))))</f>
        <v>REMOÇÃO DE ENTULHO SEPARADO DE OBRA COM CAÇAMBA METÁLICA - TERRA, ALVENARIA, CONCRETO, ARGAMASSA, MADEIRA, PAPEL, PLÁSTICO OU METAL</v>
      </c>
      <c r="S503" s="414" t="str">
        <f>UPPER(IF(P503="CDHU",VLOOKUP(Q503,'CDHU 201-SD'!$A$1:$J$28014,3,FALSE),IF(P503="FDE",VLOOKUP(Q503,'FDE 01-26-SD'!$A$1:$J$280013,3,FALSE),IF(P503="PRÓPRIA",VLOOKUP(Q503,COMPOSIÇÃO!$1:$1048576,7,FALSE),VLOOKUP(Q503,'SINAPI 04-26-SD'!$A$1:$H$272700,3,FALSE)))))</f>
        <v>M3</v>
      </c>
      <c r="T503" s="393">
        <f>VLOOKUP(Q503,'DELEGACIA SECCIONAL DE POLICIA'!$1:$1048576,12,FALSE)</f>
        <v>177.54800000000003</v>
      </c>
      <c r="U503" s="394">
        <f>TRUNC(IF(P503="CDHU",VLOOKUP(Q503,'CDHU 201-SD'!$A$1:$J$28014,6,FALSE),IF(P503="FDE",VLOOKUP(Q503,'FDE 01-26-SD'!$A$1:$J$280013,6,FALSE),IF(P503="PRÓPRIA",VLOOKUP(Q503,COMPOSIÇÃO!$1:$1048576,10,FALSE),VLOOKUP(Q503,'SINAPI 04-26-SD'!$A$1:$H$272700,4,FALSE)))),2)</f>
        <v>112.66</v>
      </c>
      <c r="V503" s="416">
        <f t="shared" si="1751"/>
        <v>20002.55</v>
      </c>
      <c r="W503" s="395">
        <f>IF($AA503="N",BDI!$D$26,IF($AA503="D",'BDI DIFE.'!$D$26,"ERRO"))</f>
        <v>0.22500000000000001</v>
      </c>
      <c r="X503" s="379">
        <f t="shared" si="1752"/>
        <v>138</v>
      </c>
      <c r="Y503" s="380">
        <f t="shared" si="1753"/>
        <v>24501.62</v>
      </c>
      <c r="Z503" s="381"/>
      <c r="AA503" s="378" t="s">
        <v>28044</v>
      </c>
      <c r="AB503" s="642"/>
    </row>
    <row r="504" spans="2:28" s="55" customFormat="1" ht="16" thickBot="1">
      <c r="B504" s="378" t="str">
        <f t="shared" ca="1" si="1729"/>
        <v/>
      </c>
      <c r="C504" s="378" t="str">
        <f>IF(RIGHT($M504) = "o", "S", RIGHT($M504))</f>
        <v/>
      </c>
      <c r="D504" s="378">
        <f t="shared" ca="1" si="1195"/>
        <v>20</v>
      </c>
      <c r="E504" s="378">
        <f t="shared" ca="1" si="1730"/>
        <v>1</v>
      </c>
      <c r="F504" s="378" t="str">
        <f t="shared" ca="1" si="1731"/>
        <v>0</v>
      </c>
      <c r="G504" s="378" t="str">
        <f t="shared" ca="1" si="1732"/>
        <v>0</v>
      </c>
      <c r="H504" s="378" t="str">
        <f t="shared" ca="1" si="1733"/>
        <v>0</v>
      </c>
      <c r="I504" s="378" t="str">
        <f t="shared" ca="1" si="1734"/>
        <v>0</v>
      </c>
      <c r="J504" s="378" t="str">
        <f t="shared" ca="1" si="1196"/>
        <v>0</v>
      </c>
      <c r="K504" s="378" t="b">
        <f t="shared" si="1735"/>
        <v>0</v>
      </c>
      <c r="L504" s="378" t="b">
        <f t="shared" si="1736"/>
        <v>0</v>
      </c>
      <c r="O504" s="192"/>
      <c r="P504" s="387"/>
      <c r="Q504" s="387"/>
      <c r="R504" s="377"/>
      <c r="S504" s="387"/>
      <c r="T504" s="363"/>
      <c r="U504" s="388"/>
      <c r="V504" s="389"/>
      <c r="W504" s="389"/>
      <c r="X504" s="389"/>
      <c r="Y504" s="390"/>
      <c r="AA504" s="378"/>
      <c r="AB504" s="642"/>
    </row>
    <row r="505" spans="2:28" s="75" customFormat="1" ht="16" thickBot="1">
      <c r="B505" s="75" t="str">
        <f t="shared" ca="1" si="1729"/>
        <v>2</v>
      </c>
      <c r="C505" s="75" t="str">
        <f t="shared" si="1700"/>
        <v>2</v>
      </c>
      <c r="D505" s="75">
        <f t="shared" ca="1" si="1195"/>
        <v>20</v>
      </c>
      <c r="E505" s="75">
        <f t="shared" ca="1" si="1730"/>
        <v>2</v>
      </c>
      <c r="F505" s="75" t="str">
        <f t="shared" ca="1" si="1731"/>
        <v>0</v>
      </c>
      <c r="G505" s="75" t="str">
        <f t="shared" ca="1" si="1732"/>
        <v>0</v>
      </c>
      <c r="H505" s="75" t="str">
        <f t="shared" ca="1" si="1733"/>
        <v>0</v>
      </c>
      <c r="I505" s="75" t="str">
        <f t="shared" ca="1" si="1734"/>
        <v>0</v>
      </c>
      <c r="J505" s="75" t="str">
        <f t="shared" ca="1" si="1196"/>
        <v>0</v>
      </c>
      <c r="K505" s="75" t="str">
        <f t="shared" ca="1" si="1735"/>
        <v>20.2</v>
      </c>
      <c r="L505" s="75" t="str">
        <f t="shared" ca="1" si="1736"/>
        <v>20.2</v>
      </c>
      <c r="M505" s="55" t="s">
        <v>27861</v>
      </c>
      <c r="O505" s="191" t="str">
        <f t="shared" ca="1" si="1741"/>
        <v>20.2</v>
      </c>
      <c r="P505" s="172"/>
      <c r="Q505" s="172"/>
      <c r="R505" s="683" t="s">
        <v>44494</v>
      </c>
      <c r="S505" s="172"/>
      <c r="T505" s="194"/>
      <c r="U505" s="195"/>
      <c r="V505" s="196">
        <f ca="1">IF(VALUE(C505)=1,SUMIFS(V:V,D:D,D505,M:M,"Serviço"),IF(VALUE(C505)=2,SUMIFS(V:V,D:D,D505,E:E,E505,M:M,"Serviço"),IF(VALUE(C505)=3,SUMIFS(V:V,D:D,D505,E:E,E505,F:F,F505,M:M,"Serviço"),IF(VALUE(C505)=4,SUMIFS(V:V,D:D,D505,E:E,E505,F:F,F505,G:G,G505,M:M,"Serviço"),"ERRO"))))</f>
        <v>91645.329999999987</v>
      </c>
      <c r="W505" s="197"/>
      <c r="X505" s="205"/>
      <c r="Y505" s="173">
        <f ca="1">IF(VALUE(C505)=1,SUMIFS(Y:Y,D:D,D505,M:M,"Serviço"),IF(VALUE(C505)=2,SUMIFS(Y:Y,D:D,D505,E:E,E505,M:M,"Serviço"),IF(VALUE(C505)=3,SUMIFS(Y:Y,D:D,D505,E:E,E505,F:F,F505,M:M,"Serviço"),IF(VALUE(C505)=4,SUMIFS(Y:Y,D:D,D505,E:E,E505,F:F,F505,G:G,G505,M:M,"Serviço"),"ERRO"))))</f>
        <v>112264.72</v>
      </c>
      <c r="AB505" s="641"/>
    </row>
    <row r="506" spans="2:28" s="55" customFormat="1" ht="30">
      <c r="B506" s="378">
        <f t="shared" ref="B506:B510" ca="1" si="1766">IF(C506="S",IF(OFFSET(C506,-1,0)="S", OFFSET(B506,-1,0), OFFSET(B506,-1,0) +1 ), C506)</f>
        <v>3</v>
      </c>
      <c r="C506" s="378" t="str">
        <f t="shared" si="1700"/>
        <v>S</v>
      </c>
      <c r="D506" s="378">
        <f t="shared" ca="1" si="1195"/>
        <v>20</v>
      </c>
      <c r="E506" s="378">
        <f t="shared" ref="E506:E510" ca="1" si="1767">IF($C506="2",OFFSET(E506,-1,0) +1,IF(OFFSET(D506,-1,0)&lt;&gt;D506,"0",IF(OFFSET(E506,-1,0)="","0",OFFSET(E506,-1,0))))</f>
        <v>2</v>
      </c>
      <c r="F506" s="378" t="str">
        <f t="shared" ref="F506:F510" ca="1" si="1768">IF($C506="3",OFFSET(F506,-1,0) +1,IF(OFFSET(E506,-1,0)&lt;&gt;E506,"0",IF(OFFSET(F506,-1,0)="","0",OFFSET(F506,-1,0))))</f>
        <v>0</v>
      </c>
      <c r="G506" s="378" t="str">
        <f t="shared" ref="G506:G510" ca="1" si="1769">IF($C506="4",OFFSET(G506,-1,0) +1,IF(OFFSET(F506,-1,0)&lt;&gt;F506,"0",IF(OFFSET(G506,-1,0)="","0",OFFSET(G506,-1,0))))</f>
        <v>0</v>
      </c>
      <c r="H506" s="378" t="str">
        <f t="shared" ref="H506:H510" ca="1" si="1770">IF($C506="5",OFFSET(H506,-1,0) +1,IF(OFFSET(G506,-1,0)&lt;&gt;G506,"0",IF(OFFSET(H506,-1,0)="","0",OFFSET(H506,-1,0))))</f>
        <v>0</v>
      </c>
      <c r="I506" s="378" t="str">
        <f t="shared" ref="I506:I510" ca="1" si="1771">IF($C506="6",OFFSET(I506,-1,0) +1,IF(OFFSET(H506,-1,0)&lt;&gt;H506,"0",IF(OFFSET(I506,-1,0)="","0", OFFSET(I506,-1,0))))</f>
        <v>0</v>
      </c>
      <c r="J506" s="378">
        <f t="shared" ca="1" si="1196"/>
        <v>1</v>
      </c>
      <c r="K506" s="378" t="str">
        <f t="shared" ref="K506:K510" si="1772">IF(C506="S","NÃO", IF(C506="1", D506, IF(C506="2", D506 &amp; "." &amp; E506,IF(C506="3", D506 &amp; "." &amp; E506 &amp; "." &amp; F506, IF(C506="4", D506 &amp; "." &amp; E506 &amp; "." &amp; F506 &amp; "." &amp; G506, IF(C506="5", D506 &amp; "." &amp; E506 &amp; "." &amp; F506 &amp; "." &amp; G506 &amp; "." &amp; H506, IF(C506="6", D506 &amp; "." &amp; E506 &amp; "." &amp; F506 &amp; "." &amp; G506 &amp; "." &amp; H506 &amp; "." &amp; I506)))))))</f>
        <v>NÃO</v>
      </c>
      <c r="L506" s="378" t="str">
        <f t="shared" ref="L506:L510" ca="1" si="1773">IF(K506="NÃO",IF($B506=2,D506&amp;"."&amp;J506,IF($B506=3,D506&amp;"."&amp;E506&amp;"."&amp;J506,IF($B506=4,D506&amp;"."&amp;E506&amp;"."&amp;F506&amp;"."&amp;J506,IF($B506=5,D506&amp;"."&amp;E506&amp;"."&amp;F506&amp;"."&amp;G506&amp;"."&amp;J506,IF($B506=6,D506&amp;"."&amp;E506&amp;"."&amp;F506&amp;"."&amp;G506&amp;"."&amp;H506&amp;"."&amp;J506,IF($B506=7,D506&amp;"."&amp;E506&amp;"."&amp;F506&amp;"."&amp;G506&amp;"."&amp;H506&amp;"."&amp;I506&amp;"."&amp;J506,"FALHA")))))),K506)</f>
        <v>20.2.1</v>
      </c>
      <c r="M506" s="55" t="s">
        <v>27868</v>
      </c>
      <c r="O506" s="392" t="str">
        <f t="shared" ref="O506:O510" ca="1" si="1774">L506</f>
        <v>20.2.1</v>
      </c>
      <c r="P506" s="687" t="s">
        <v>41261</v>
      </c>
      <c r="Q506" s="684" t="s">
        <v>22917</v>
      </c>
      <c r="R506" s="415" t="str">
        <f>UPPER(IF(P506="CDHU",VLOOKUP(Q506,'CDHU 201-SD'!$A$1:$J$28014,2,FALSE),IF(P506="FDE",VLOOKUP(Q506,'FDE 01-26-SD'!$A$1:$J$280013,2,FALSE),IF(P506="PRÓPRIA",VLOOKUP(Q506,COMPOSIÇÃO!$1:$1048576,3,FALSE),VLOOKUP(Q506,'SINAPI 04-26-SD'!$A$1:$H$272700,2,FALSE)))))</f>
        <v>FD-24 FECHAMENTO DE DIVISA COM GRADIL ELETROFUNDIDO / BROCA (H=235CM)</v>
      </c>
      <c r="S506" s="414" t="str">
        <f>UPPER(IF(P506="CDHU",VLOOKUP(Q506,'CDHU 201-SD'!$A$1:$J$28014,3,FALSE),IF(P506="FDE",VLOOKUP(Q506,'FDE 01-26-SD'!$A$1:$J$280013,3,FALSE),IF(P506="PRÓPRIA",VLOOKUP(Q506,COMPOSIÇÃO!$1:$1048576,7,FALSE),VLOOKUP(Q506,'SINAPI 04-26-SD'!$A$1:$H$272700,3,FALSE)))))</f>
        <v>M</v>
      </c>
      <c r="T506" s="393">
        <f>VLOOKUP(Q506,'DELEGACIA SECCIONAL DE POLICIA'!$1:$1048576,12,FALSE)</f>
        <v>50.7</v>
      </c>
      <c r="U506" s="394">
        <f>TRUNC(IF(P506="CDHU",VLOOKUP(Q506,'CDHU 201-SD'!$A$1:$J$28014,6,FALSE),IF(P506="FDE",VLOOKUP(Q506,'FDE 01-26-SD'!$A$1:$J$280013,6,FALSE),IF(P506="PRÓPRIA",VLOOKUP(Q506,COMPOSIÇÃO!$1:$1048576,10,FALSE),VLOOKUP(Q506,'SINAPI 04-26-SD'!$A$1:$H$272700,4,FALSE)))),2)</f>
        <v>1472.9</v>
      </c>
      <c r="V506" s="416">
        <f t="shared" ref="V506:V510" si="1775">TRUNC(U506*T506,2)</f>
        <v>74676.03</v>
      </c>
      <c r="W506" s="395">
        <f>IF($AA506="N",BDI!$D$26,IF($AA506="D",'BDI DIFE.'!$D$26,"ERRO"))</f>
        <v>0.22500000000000001</v>
      </c>
      <c r="X506" s="379">
        <f t="shared" ref="X506:X510" si="1776">TRUNC(U506*(1+W506),2)</f>
        <v>1804.3</v>
      </c>
      <c r="Y506" s="380">
        <f t="shared" ref="Y506:Y510" si="1777">TRUNC(T506*X506,2)</f>
        <v>91478.01</v>
      </c>
      <c r="Z506" s="381"/>
      <c r="AA506" s="378" t="s">
        <v>28044</v>
      </c>
      <c r="AB506" s="642"/>
    </row>
    <row r="507" spans="2:28" s="55" customFormat="1" ht="30">
      <c r="B507" s="378">
        <f t="shared" ca="1" si="1766"/>
        <v>3</v>
      </c>
      <c r="C507" s="378" t="str">
        <f t="shared" si="1700"/>
        <v>S</v>
      </c>
      <c r="D507" s="378">
        <f t="shared" ca="1" si="1195"/>
        <v>20</v>
      </c>
      <c r="E507" s="378">
        <f t="shared" ca="1" si="1767"/>
        <v>2</v>
      </c>
      <c r="F507" s="378" t="str">
        <f t="shared" ca="1" si="1768"/>
        <v>0</v>
      </c>
      <c r="G507" s="378" t="str">
        <f t="shared" ca="1" si="1769"/>
        <v>0</v>
      </c>
      <c r="H507" s="378" t="str">
        <f t="shared" ca="1" si="1770"/>
        <v>0</v>
      </c>
      <c r="I507" s="378" t="str">
        <f t="shared" ca="1" si="1771"/>
        <v>0</v>
      </c>
      <c r="J507" s="378">
        <f t="shared" ca="1" si="1196"/>
        <v>2</v>
      </c>
      <c r="K507" s="378" t="str">
        <f t="shared" si="1772"/>
        <v>NÃO</v>
      </c>
      <c r="L507" s="378" t="str">
        <f t="shared" ca="1" si="1773"/>
        <v>20.2.2</v>
      </c>
      <c r="M507" s="55" t="s">
        <v>27868</v>
      </c>
      <c r="O507" s="392" t="str">
        <f t="shared" ca="1" si="1774"/>
        <v>20.2.2</v>
      </c>
      <c r="P507" s="687" t="s">
        <v>29901</v>
      </c>
      <c r="Q507" s="684" t="s">
        <v>13990</v>
      </c>
      <c r="R507" s="415" t="str">
        <f>UPPER(IF(P507="CDHU",VLOOKUP(Q507,'CDHU 201-SD'!$A$1:$J$28014,2,FALSE),IF(P507="FDE",VLOOKUP(Q507,'FDE 01-26-SD'!$A$1:$J$280013,2,FALSE),IF(P507="PRÓPRIA",VLOOKUP(Q507,COMPOSIÇÃO!$1:$1048576,3,FALSE),VLOOKUP(Q507,'SINAPI 04-26-SD'!$A$1:$H$272700,2,FALSE)))))</f>
        <v>PORTÃO DE ABRIR EM GRADE DE AÇO GALVANIZADO ELETROFUNDIDA, MALHA 65 X 132 MM, E PINTURA ELETROSTÁTICA</v>
      </c>
      <c r="S507" s="414" t="str">
        <f>UPPER(IF(P507="CDHU",VLOOKUP(Q507,'CDHU 201-SD'!$A$1:$J$28014,3,FALSE),IF(P507="FDE",VLOOKUP(Q507,'FDE 01-26-SD'!$A$1:$J$280013,3,FALSE),IF(P507="PRÓPRIA",VLOOKUP(Q507,COMPOSIÇÃO!$1:$1048576,7,FALSE),VLOOKUP(Q507,'SINAPI 04-26-SD'!$A$1:$H$272700,3,FALSE)))))</f>
        <v>M2</v>
      </c>
      <c r="T507" s="393">
        <f>VLOOKUP(Q507,'DELEGACIA SECCIONAL DE POLICIA'!$1:$1048576,12,FALSE)</f>
        <v>7.25</v>
      </c>
      <c r="U507" s="394">
        <f>TRUNC(IF(P507="CDHU",VLOOKUP(Q507,'CDHU 201-SD'!$A$1:$J$28014,6,FALSE),IF(P507="FDE",VLOOKUP(Q507,'FDE 01-26-SD'!$A$1:$J$280013,6,FALSE),IF(P507="PRÓPRIA",VLOOKUP(Q507,COMPOSIÇÃO!$1:$1048576,10,FALSE),VLOOKUP(Q507,'SINAPI 04-26-SD'!$A$1:$H$272700,4,FALSE)))),2)</f>
        <v>1707.09</v>
      </c>
      <c r="V507" s="416">
        <f t="shared" si="1775"/>
        <v>12376.4</v>
      </c>
      <c r="W507" s="395">
        <f>IF($AA507="N",BDI!$D$26,IF($AA507="D",'BDI DIFE.'!$D$26,"ERRO"))</f>
        <v>0.22500000000000001</v>
      </c>
      <c r="X507" s="379">
        <f t="shared" si="1776"/>
        <v>2091.1799999999998</v>
      </c>
      <c r="Y507" s="380">
        <f t="shared" si="1777"/>
        <v>15161.05</v>
      </c>
      <c r="Z507" s="381"/>
      <c r="AA507" s="378" t="s">
        <v>28044</v>
      </c>
      <c r="AB507" s="642"/>
    </row>
    <row r="508" spans="2:28" s="55" customFormat="1">
      <c r="B508" s="378">
        <f t="shared" ref="B508:B509" ca="1" si="1778">IF(C508="S",IF(OFFSET(C508,-1,0)="S", OFFSET(B508,-1,0), OFFSET(B508,-1,0) +1 ), C508)</f>
        <v>3</v>
      </c>
      <c r="C508" s="378" t="str">
        <f t="shared" si="1700"/>
        <v>S</v>
      </c>
      <c r="D508" s="378">
        <f t="shared" ca="1" si="1195"/>
        <v>20</v>
      </c>
      <c r="E508" s="378">
        <f t="shared" ref="E508:E509" ca="1" si="1779">IF($C508="2",OFFSET(E508,-1,0) +1,IF(OFFSET(D508,-1,0)&lt;&gt;D508,"0",IF(OFFSET(E508,-1,0)="","0",OFFSET(E508,-1,0))))</f>
        <v>2</v>
      </c>
      <c r="F508" s="378" t="str">
        <f t="shared" ref="F508:F509" ca="1" si="1780">IF($C508="3",OFFSET(F508,-1,0) +1,IF(OFFSET(E508,-1,0)&lt;&gt;E508,"0",IF(OFFSET(F508,-1,0)="","0",OFFSET(F508,-1,0))))</f>
        <v>0</v>
      </c>
      <c r="G508" s="378" t="str">
        <f t="shared" ref="G508:G509" ca="1" si="1781">IF($C508="4",OFFSET(G508,-1,0) +1,IF(OFFSET(F508,-1,0)&lt;&gt;F508,"0",IF(OFFSET(G508,-1,0)="","0",OFFSET(G508,-1,0))))</f>
        <v>0</v>
      </c>
      <c r="H508" s="378" t="str">
        <f t="shared" ref="H508:H509" ca="1" si="1782">IF($C508="5",OFFSET(H508,-1,0) +1,IF(OFFSET(G508,-1,0)&lt;&gt;G508,"0",IF(OFFSET(H508,-1,0)="","0",OFFSET(H508,-1,0))))</f>
        <v>0</v>
      </c>
      <c r="I508" s="378" t="str">
        <f t="shared" ref="I508:I509" ca="1" si="1783">IF($C508="6",OFFSET(I508,-1,0) +1,IF(OFFSET(H508,-1,0)&lt;&gt;H508,"0",IF(OFFSET(I508,-1,0)="","0", OFFSET(I508,-1,0))))</f>
        <v>0</v>
      </c>
      <c r="J508" s="378">
        <f t="shared" ca="1" si="1196"/>
        <v>3</v>
      </c>
      <c r="K508" s="378" t="str">
        <f t="shared" ref="K508:K509" si="1784">IF(C508="S","NÃO", IF(C508="1", D508, IF(C508="2", D508 &amp; "." &amp; E508,IF(C508="3", D508 &amp; "." &amp; E508 &amp; "." &amp; F508, IF(C508="4", D508 &amp; "." &amp; E508 &amp; "." &amp; F508 &amp; "." &amp; G508, IF(C508="5", D508 &amp; "." &amp; E508 &amp; "." &amp; F508 &amp; "." &amp; G508 &amp; "." &amp; H508, IF(C508="6", D508 &amp; "." &amp; E508 &amp; "." &amp; F508 &amp; "." &amp; G508 &amp; "." &amp; H508 &amp; "." &amp; I508)))))))</f>
        <v>NÃO</v>
      </c>
      <c r="L508" s="378" t="str">
        <f t="shared" ref="L508:L509" ca="1" si="1785">IF(K508="NÃO",IF($B508=2,D508&amp;"."&amp;J508,IF($B508=3,D508&amp;"."&amp;E508&amp;"."&amp;J508,IF($B508=4,D508&amp;"."&amp;E508&amp;"."&amp;F508&amp;"."&amp;J508,IF($B508=5,D508&amp;"."&amp;E508&amp;"."&amp;F508&amp;"."&amp;G508&amp;"."&amp;J508,IF($B508=6,D508&amp;"."&amp;E508&amp;"."&amp;F508&amp;"."&amp;G508&amp;"."&amp;H508&amp;"."&amp;J508,IF($B508=7,D508&amp;"."&amp;E508&amp;"."&amp;F508&amp;"."&amp;G508&amp;"."&amp;H508&amp;"."&amp;I508&amp;"."&amp;J508,"FALHA")))))),K508)</f>
        <v>20.2.3</v>
      </c>
      <c r="M508" s="55" t="s">
        <v>27868</v>
      </c>
      <c r="O508" s="392" t="str">
        <f t="shared" ref="O508:O509" ca="1" si="1786">L508</f>
        <v>20.2.3</v>
      </c>
      <c r="P508" s="687" t="s">
        <v>29901</v>
      </c>
      <c r="Q508" s="684" t="s">
        <v>12326</v>
      </c>
      <c r="R508" s="415" t="str">
        <f>UPPER(IF(P508="CDHU",VLOOKUP(Q508,'CDHU 201-SD'!$A$1:$J$28014,2,FALSE),IF(P508="FDE",VLOOKUP(Q508,'FDE 01-26-SD'!$A$1:$J$280013,2,FALSE),IF(P508="PRÓPRIA",VLOOKUP(Q508,COMPOSIÇÃO!$1:$1048576,3,FALSE),VLOOKUP(Q508,'SINAPI 04-26-SD'!$A$1:$H$272700,2,FALSE)))))</f>
        <v>EMBOÇO COMUM</v>
      </c>
      <c r="S508" s="414" t="str">
        <f>UPPER(IF(P508="CDHU",VLOOKUP(Q508,'CDHU 201-SD'!$A$1:$J$28014,3,FALSE),IF(P508="FDE",VLOOKUP(Q508,'FDE 01-26-SD'!$A$1:$J$280013,3,FALSE),IF(P508="PRÓPRIA",VLOOKUP(Q508,COMPOSIÇÃO!$1:$1048576,7,FALSE),VLOOKUP(Q508,'SINAPI 04-26-SD'!$A$1:$H$272700,3,FALSE)))))</f>
        <v>M2</v>
      </c>
      <c r="T508" s="393">
        <f>VLOOKUP(Q508,'DELEGACIA SECCIONAL DE POLICIA'!$1:$1048576,12,FALSE)</f>
        <v>50.7</v>
      </c>
      <c r="U508" s="394">
        <f>TRUNC(IF(P508="CDHU",VLOOKUP(Q508,'CDHU 201-SD'!$A$1:$J$28014,6,FALSE),IF(P508="FDE",VLOOKUP(Q508,'FDE 01-26-SD'!$A$1:$J$280013,6,FALSE),IF(P508="PRÓPRIA",VLOOKUP(Q508,COMPOSIÇÃO!$1:$1048576,10,FALSE),VLOOKUP(Q508,'SINAPI 04-26-SD'!$A$1:$H$272700,4,FALSE)))),2)</f>
        <v>24.76</v>
      </c>
      <c r="V508" s="416">
        <f t="shared" ref="V508:V509" si="1787">TRUNC(U508*T508,2)</f>
        <v>1255.33</v>
      </c>
      <c r="W508" s="395">
        <f>IF($AA508="N",BDI!$D$26,IF($AA508="D",'BDI DIFE.'!$D$26,"ERRO"))</f>
        <v>0.22500000000000001</v>
      </c>
      <c r="X508" s="379">
        <f t="shared" ref="X508:X509" si="1788">TRUNC(U508*(1+W508),2)</f>
        <v>30.33</v>
      </c>
      <c r="Y508" s="380">
        <f t="shared" ref="Y508:Y509" si="1789">TRUNC(T508*X508,2)</f>
        <v>1537.73</v>
      </c>
      <c r="Z508" s="381"/>
      <c r="AA508" s="378" t="s">
        <v>28044</v>
      </c>
      <c r="AB508" s="642"/>
    </row>
    <row r="509" spans="2:28" s="55" customFormat="1">
      <c r="B509" s="378">
        <f t="shared" ca="1" si="1778"/>
        <v>3</v>
      </c>
      <c r="C509" s="378" t="str">
        <f t="shared" si="1700"/>
        <v>S</v>
      </c>
      <c r="D509" s="378">
        <f t="shared" ca="1" si="1195"/>
        <v>20</v>
      </c>
      <c r="E509" s="378">
        <f t="shared" ca="1" si="1779"/>
        <v>2</v>
      </c>
      <c r="F509" s="378" t="str">
        <f t="shared" ca="1" si="1780"/>
        <v>0</v>
      </c>
      <c r="G509" s="378" t="str">
        <f t="shared" ca="1" si="1781"/>
        <v>0</v>
      </c>
      <c r="H509" s="378" t="str">
        <f t="shared" ca="1" si="1782"/>
        <v>0</v>
      </c>
      <c r="I509" s="378" t="str">
        <f t="shared" ca="1" si="1783"/>
        <v>0</v>
      </c>
      <c r="J509" s="378">
        <f t="shared" ca="1" si="1196"/>
        <v>4</v>
      </c>
      <c r="K509" s="378" t="str">
        <f t="shared" si="1784"/>
        <v>NÃO</v>
      </c>
      <c r="L509" s="378" t="str">
        <f t="shared" ca="1" si="1785"/>
        <v>20.2.4</v>
      </c>
      <c r="M509" s="55" t="s">
        <v>27868</v>
      </c>
      <c r="O509" s="392" t="str">
        <f t="shared" ca="1" si="1786"/>
        <v>20.2.4</v>
      </c>
      <c r="P509" s="687" t="s">
        <v>29901</v>
      </c>
      <c r="Q509" s="684" t="s">
        <v>12332</v>
      </c>
      <c r="R509" s="415" t="str">
        <f>UPPER(IF(P509="CDHU",VLOOKUP(Q509,'CDHU 201-SD'!$A$1:$J$28014,2,FALSE),IF(P509="FDE",VLOOKUP(Q509,'FDE 01-26-SD'!$A$1:$J$280013,2,FALSE),IF(P509="PRÓPRIA",VLOOKUP(Q509,COMPOSIÇÃO!$1:$1048576,3,FALSE),VLOOKUP(Q509,'SINAPI 04-26-SD'!$A$1:$H$272700,2,FALSE)))))</f>
        <v>REBOCO</v>
      </c>
      <c r="S509" s="414" t="str">
        <f>UPPER(IF(P509="CDHU",VLOOKUP(Q509,'CDHU 201-SD'!$A$1:$J$28014,3,FALSE),IF(P509="FDE",VLOOKUP(Q509,'FDE 01-26-SD'!$A$1:$J$280013,3,FALSE),IF(P509="PRÓPRIA",VLOOKUP(Q509,COMPOSIÇÃO!$1:$1048576,7,FALSE),VLOOKUP(Q509,'SINAPI 04-26-SD'!$A$1:$H$272700,3,FALSE)))))</f>
        <v>M2</v>
      </c>
      <c r="T509" s="393">
        <f>T508</f>
        <v>50.7</v>
      </c>
      <c r="U509" s="394">
        <f>TRUNC(IF(P509="CDHU",VLOOKUP(Q509,'CDHU 201-SD'!$A$1:$J$28014,6,FALSE),IF(P509="FDE",VLOOKUP(Q509,'FDE 01-26-SD'!$A$1:$J$280013,6,FALSE),IF(P509="PRÓPRIA",VLOOKUP(Q509,COMPOSIÇÃO!$1:$1048576,10,FALSE),VLOOKUP(Q509,'SINAPI 04-26-SD'!$A$1:$H$272700,4,FALSE)))),2)</f>
        <v>14.55</v>
      </c>
      <c r="V509" s="416">
        <f t="shared" si="1787"/>
        <v>737.68</v>
      </c>
      <c r="W509" s="395">
        <f>IF($AA509="N",BDI!$D$26,IF($AA509="D",'BDI DIFE.'!$D$26,"ERRO"))</f>
        <v>0.22500000000000001</v>
      </c>
      <c r="X509" s="379">
        <f t="shared" si="1788"/>
        <v>17.82</v>
      </c>
      <c r="Y509" s="380">
        <f t="shared" si="1789"/>
        <v>903.47</v>
      </c>
      <c r="Z509" s="381"/>
      <c r="AA509" s="378" t="s">
        <v>28044</v>
      </c>
      <c r="AB509" s="642"/>
    </row>
    <row r="510" spans="2:28" s="55" customFormat="1">
      <c r="B510" s="378">
        <f t="shared" ca="1" si="1766"/>
        <v>3</v>
      </c>
      <c r="C510" s="378" t="str">
        <f t="shared" si="1700"/>
        <v>S</v>
      </c>
      <c r="D510" s="378">
        <f t="shared" ca="1" si="1195"/>
        <v>20</v>
      </c>
      <c r="E510" s="378">
        <f t="shared" ca="1" si="1767"/>
        <v>2</v>
      </c>
      <c r="F510" s="378" t="str">
        <f t="shared" ca="1" si="1768"/>
        <v>0</v>
      </c>
      <c r="G510" s="378" t="str">
        <f t="shared" ca="1" si="1769"/>
        <v>0</v>
      </c>
      <c r="H510" s="378" t="str">
        <f t="shared" ca="1" si="1770"/>
        <v>0</v>
      </c>
      <c r="I510" s="378" t="str">
        <f t="shared" ca="1" si="1771"/>
        <v>0</v>
      </c>
      <c r="J510" s="378">
        <f t="shared" ca="1" si="1196"/>
        <v>5</v>
      </c>
      <c r="K510" s="378" t="str">
        <f t="shared" si="1772"/>
        <v>NÃO</v>
      </c>
      <c r="L510" s="378" t="str">
        <f t="shared" ca="1" si="1773"/>
        <v>20.2.5</v>
      </c>
      <c r="M510" s="55" t="s">
        <v>27868</v>
      </c>
      <c r="O510" s="392" t="str">
        <f t="shared" ca="1" si="1774"/>
        <v>20.2.5</v>
      </c>
      <c r="P510" s="687" t="s">
        <v>29901</v>
      </c>
      <c r="Q510" s="682" t="s">
        <v>13840</v>
      </c>
      <c r="R510" s="415" t="str">
        <f>UPPER(IF(P510="CDHU",VLOOKUP(Q510,'CDHU 201-SD'!$A$1:$J$28014,2,FALSE),IF(P510="FDE",VLOOKUP(Q510,'FDE 01-26-SD'!$A$1:$J$280013,2,FALSE),IF(P510="PRÓPRIA",VLOOKUP(Q510,COMPOSIÇÃO!$1:$1048576,3,FALSE),VLOOKUP(Q510,'SINAPI 04-26-SD'!$A$1:$H$272700,2,FALSE)))))</f>
        <v>MASSA CORRIDA À BASE DE RESINA ACRÍLICA</v>
      </c>
      <c r="S510" s="414" t="str">
        <f>UPPER(IF(P510="CDHU",VLOOKUP(Q510,'CDHU 201-SD'!$A$1:$J$28014,3,FALSE),IF(P510="FDE",VLOOKUP(Q510,'FDE 01-26-SD'!$A$1:$J$280013,3,FALSE),IF(P510="PRÓPRIA",VLOOKUP(Q510,COMPOSIÇÃO!$1:$1048576,7,FALSE),VLOOKUP(Q510,'SINAPI 04-26-SD'!$A$1:$H$272700,3,FALSE)))))</f>
        <v>M2</v>
      </c>
      <c r="T510" s="393">
        <f>T509</f>
        <v>50.7</v>
      </c>
      <c r="U510" s="394">
        <f>TRUNC(IF(P510="CDHU",VLOOKUP(Q510,'CDHU 201-SD'!$A$1:$J$28014,6,FALSE),IF(P510="FDE",VLOOKUP(Q510,'FDE 01-26-SD'!$A$1:$J$280013,6,FALSE),IF(P510="PRÓPRIA",VLOOKUP(Q510,COMPOSIÇÃO!$1:$1048576,10,FALSE),VLOOKUP(Q510,'SINAPI 04-26-SD'!$A$1:$H$272700,4,FALSE)))),2)</f>
        <v>19.28</v>
      </c>
      <c r="V510" s="416">
        <f t="shared" si="1775"/>
        <v>977.49</v>
      </c>
      <c r="W510" s="395">
        <f>IF($AA510="N",BDI!$D$26,IF($AA510="D",'BDI DIFE.'!$D$26,"ERRO"))</f>
        <v>0.22500000000000001</v>
      </c>
      <c r="X510" s="379">
        <f t="shared" si="1776"/>
        <v>23.61</v>
      </c>
      <c r="Y510" s="380">
        <f t="shared" si="1777"/>
        <v>1197.02</v>
      </c>
      <c r="Z510" s="381"/>
      <c r="AA510" s="378" t="s">
        <v>28044</v>
      </c>
      <c r="AB510" s="642"/>
    </row>
    <row r="511" spans="2:28" s="55" customFormat="1" ht="16" thickBot="1">
      <c r="B511" s="378">
        <f t="shared" ca="1" si="1729"/>
        <v>3</v>
      </c>
      <c r="C511" s="378" t="str">
        <f t="shared" si="1700"/>
        <v>S</v>
      </c>
      <c r="D511" s="378">
        <f t="shared" ca="1" si="1195"/>
        <v>20</v>
      </c>
      <c r="E511" s="378">
        <f t="shared" ca="1" si="1730"/>
        <v>2</v>
      </c>
      <c r="F511" s="378" t="str">
        <f t="shared" ca="1" si="1731"/>
        <v>0</v>
      </c>
      <c r="G511" s="378" t="str">
        <f t="shared" ca="1" si="1732"/>
        <v>0</v>
      </c>
      <c r="H511" s="378" t="str">
        <f t="shared" ca="1" si="1733"/>
        <v>0</v>
      </c>
      <c r="I511" s="378" t="str">
        <f t="shared" ca="1" si="1734"/>
        <v>0</v>
      </c>
      <c r="J511" s="378">
        <f t="shared" ca="1" si="1196"/>
        <v>6</v>
      </c>
      <c r="K511" s="378" t="str">
        <f t="shared" si="1735"/>
        <v>NÃO</v>
      </c>
      <c r="L511" s="378" t="str">
        <f t="shared" ca="1" si="1736"/>
        <v>20.2.6</v>
      </c>
      <c r="M511" s="55" t="s">
        <v>27868</v>
      </c>
      <c r="O511" s="392" t="str">
        <f t="shared" ca="1" si="1741"/>
        <v>20.2.6</v>
      </c>
      <c r="P511" s="687" t="s">
        <v>29901</v>
      </c>
      <c r="Q511" s="682" t="s">
        <v>13890</v>
      </c>
      <c r="R511" s="415" t="str">
        <f>UPPER(IF(P511="CDHU",VLOOKUP(Q511,'CDHU 201-SD'!$A$1:$J$28014,2,FALSE),IF(P511="FDE",VLOOKUP(Q511,'FDE 01-26-SD'!$A$1:$J$280013,2,FALSE),IF(P511="PRÓPRIA",VLOOKUP(Q511,COMPOSIÇÃO!$1:$1048576,3,FALSE),VLOOKUP(Q511,'SINAPI 04-26-SD'!$A$1:$H$272700,2,FALSE)))))</f>
        <v>TINTA LÁTEX EM MASSA, INCLUSIVE PREPARO</v>
      </c>
      <c r="S511" s="414" t="str">
        <f>UPPER(IF(P511="CDHU",VLOOKUP(Q511,'CDHU 201-SD'!$A$1:$J$28014,3,FALSE),IF(P511="FDE",VLOOKUP(Q511,'FDE 01-26-SD'!$A$1:$J$280013,3,FALSE),IF(P511="PRÓPRIA",VLOOKUP(Q511,COMPOSIÇÃO!$1:$1048576,7,FALSE),VLOOKUP(Q511,'SINAPI 04-26-SD'!$A$1:$H$272700,3,FALSE)))))</f>
        <v>M2</v>
      </c>
      <c r="T511" s="393">
        <f>T510</f>
        <v>50.7</v>
      </c>
      <c r="U511" s="394">
        <f>TRUNC(IF(P511="CDHU",VLOOKUP(Q511,'CDHU 201-SD'!$A$1:$J$28014,6,FALSE),IF(P511="FDE",VLOOKUP(Q511,'FDE 01-26-SD'!$A$1:$J$280013,6,FALSE),IF(P511="PRÓPRIA",VLOOKUP(Q511,COMPOSIÇÃO!$1:$1048576,10,FALSE),VLOOKUP(Q511,'SINAPI 04-26-SD'!$A$1:$H$272700,4,FALSE)))),2)</f>
        <v>32</v>
      </c>
      <c r="V511" s="416">
        <f t="shared" si="1751"/>
        <v>1622.4</v>
      </c>
      <c r="W511" s="395">
        <f>IF($AA511="N",BDI!$D$26,IF($AA511="D",'BDI DIFE.'!$D$26,"ERRO"))</f>
        <v>0.22500000000000001</v>
      </c>
      <c r="X511" s="379">
        <f t="shared" si="1752"/>
        <v>39.200000000000003</v>
      </c>
      <c r="Y511" s="380">
        <f t="shared" si="1753"/>
        <v>1987.44</v>
      </c>
      <c r="Z511" s="381"/>
      <c r="AA511" s="378" t="s">
        <v>28044</v>
      </c>
      <c r="AB511" s="642"/>
    </row>
    <row r="512" spans="2:28" s="55" customFormat="1" ht="16" thickBot="1">
      <c r="B512" s="378" t="str">
        <f t="shared" ref="B512:B518" ca="1" si="1790">IF(C512="S",IF(OFFSET(C512,-1,0)="S", OFFSET(B512,-1,0), OFFSET(B512,-1,0) +1 ), C512)</f>
        <v/>
      </c>
      <c r="C512" s="378" t="str">
        <f>IF(RIGHT($M512) = "o", "S", RIGHT($M512))</f>
        <v/>
      </c>
      <c r="D512" s="378">
        <f t="shared" ca="1" si="1195"/>
        <v>20</v>
      </c>
      <c r="E512" s="378">
        <f t="shared" ref="E512:E518" ca="1" si="1791">IF($C512="2",OFFSET(E512,-1,0) +1,IF(OFFSET(D512,-1,0)&lt;&gt;D512,"0",IF(OFFSET(E512,-1,0)="","0",OFFSET(E512,-1,0))))</f>
        <v>2</v>
      </c>
      <c r="F512" s="378" t="str">
        <f t="shared" ref="F512:F518" ca="1" si="1792">IF($C512="3",OFFSET(F512,-1,0) +1,IF(OFFSET(E512,-1,0)&lt;&gt;E512,"0",IF(OFFSET(F512,-1,0)="","0",OFFSET(F512,-1,0))))</f>
        <v>0</v>
      </c>
      <c r="G512" s="378" t="str">
        <f t="shared" ref="G512:G518" ca="1" si="1793">IF($C512="4",OFFSET(G512,-1,0) +1,IF(OFFSET(F512,-1,0)&lt;&gt;F512,"0",IF(OFFSET(G512,-1,0)="","0",OFFSET(G512,-1,0))))</f>
        <v>0</v>
      </c>
      <c r="H512" s="378" t="str">
        <f t="shared" ref="H512:H518" ca="1" si="1794">IF($C512="5",OFFSET(H512,-1,0) +1,IF(OFFSET(G512,-1,0)&lt;&gt;G512,"0",IF(OFFSET(H512,-1,0)="","0",OFFSET(H512,-1,0))))</f>
        <v>0</v>
      </c>
      <c r="I512" s="378" t="str">
        <f t="shared" ref="I512:I518" ca="1" si="1795">IF($C512="6",OFFSET(I512,-1,0) +1,IF(OFFSET(H512,-1,0)&lt;&gt;H512,"0",IF(OFFSET(I512,-1,0)="","0", OFFSET(I512,-1,0))))</f>
        <v>0</v>
      </c>
      <c r="J512" s="378" t="str">
        <f t="shared" ca="1" si="1196"/>
        <v>0</v>
      </c>
      <c r="K512" s="378" t="b">
        <f t="shared" ref="K512:K518" si="1796">IF(C512="S","NÃO", IF(C512="1", D512, IF(C512="2", D512 &amp; "." &amp; E512,IF(C512="3", D512 &amp; "." &amp; E512 &amp; "." &amp; F512, IF(C512="4", D512 &amp; "." &amp; E512 &amp; "." &amp; F512 &amp; "." &amp; G512, IF(C512="5", D512 &amp; "." &amp; E512 &amp; "." &amp; F512 &amp; "." &amp; G512 &amp; "." &amp; H512, IF(C512="6", D512 &amp; "." &amp; E512 &amp; "." &amp; F512 &amp; "." &amp; G512 &amp; "." &amp; H512 &amp; "." &amp; I512)))))))</f>
        <v>0</v>
      </c>
      <c r="L512" s="378" t="b">
        <f t="shared" ref="L512:L518" si="1797">IF(K512="NÃO",IF($B512=2,D512&amp;"."&amp;J512,IF($B512=3,D512&amp;"."&amp;E512&amp;"."&amp;J512,IF($B512=4,D512&amp;"."&amp;E512&amp;"."&amp;F512&amp;"."&amp;J512,IF($B512=5,D512&amp;"."&amp;E512&amp;"."&amp;F512&amp;"."&amp;G512&amp;"."&amp;J512,IF($B512=6,D512&amp;"."&amp;E512&amp;"."&amp;F512&amp;"."&amp;G512&amp;"."&amp;H512&amp;"."&amp;J512,IF($B512=7,D512&amp;"."&amp;E512&amp;"."&amp;F512&amp;"."&amp;G512&amp;"."&amp;H512&amp;"."&amp;I512&amp;"."&amp;J512,"FALHA")))))),K512)</f>
        <v>0</v>
      </c>
      <c r="O512" s="192"/>
      <c r="P512" s="387"/>
      <c r="Q512" s="387"/>
      <c r="R512" s="377"/>
      <c r="S512" s="387"/>
      <c r="T512" s="363"/>
      <c r="U512" s="388"/>
      <c r="V512" s="389"/>
      <c r="W512" s="389"/>
      <c r="X512" s="389"/>
      <c r="Y512" s="390"/>
      <c r="AA512" s="378"/>
      <c r="AB512" s="642"/>
    </row>
    <row r="513" spans="2:28" s="75" customFormat="1" ht="16" thickBot="1">
      <c r="B513" s="75" t="str">
        <f t="shared" ca="1" si="1790"/>
        <v>2</v>
      </c>
      <c r="C513" s="75" t="str">
        <f t="shared" si="1700"/>
        <v>2</v>
      </c>
      <c r="D513" s="75">
        <f t="shared" ca="1" si="1195"/>
        <v>20</v>
      </c>
      <c r="E513" s="75">
        <f t="shared" ca="1" si="1791"/>
        <v>3</v>
      </c>
      <c r="F513" s="75" t="str">
        <f t="shared" ca="1" si="1792"/>
        <v>0</v>
      </c>
      <c r="G513" s="75" t="str">
        <f t="shared" ca="1" si="1793"/>
        <v>0</v>
      </c>
      <c r="H513" s="75" t="str">
        <f t="shared" ca="1" si="1794"/>
        <v>0</v>
      </c>
      <c r="I513" s="75" t="str">
        <f t="shared" ca="1" si="1795"/>
        <v>0</v>
      </c>
      <c r="J513" s="75" t="str">
        <f t="shared" ca="1" si="1196"/>
        <v>0</v>
      </c>
      <c r="K513" s="75" t="str">
        <f t="shared" ca="1" si="1796"/>
        <v>20.3</v>
      </c>
      <c r="L513" s="75" t="str">
        <f t="shared" ca="1" si="1797"/>
        <v>20.3</v>
      </c>
      <c r="M513" s="55" t="s">
        <v>27861</v>
      </c>
      <c r="O513" s="191" t="str">
        <f t="shared" ref="O513:O518" ca="1" si="1798">L513</f>
        <v>20.3</v>
      </c>
      <c r="P513" s="172"/>
      <c r="Q513" s="172"/>
      <c r="R513" s="683" t="s">
        <v>44503</v>
      </c>
      <c r="S513" s="172"/>
      <c r="T513" s="194"/>
      <c r="U513" s="195"/>
      <c r="V513" s="196">
        <f ca="1">IF(VALUE(C513)=1,SUMIFS(V:V,D:D,D513,M:M,"Serviço"),IF(VALUE(C513)=2,SUMIFS(V:V,D:D,D513,E:E,E513,M:M,"Serviço"),IF(VALUE(C513)=3,SUMIFS(V:V,D:D,D513,E:E,E513,F:F,F513,M:M,"Serviço"),IF(VALUE(C513)=4,SUMIFS(V:V,D:D,D513,E:E,E513,F:F,F513,G:G,G513,M:M,"Serviço"),"ERRO"))))</f>
        <v>3777.6800000000003</v>
      </c>
      <c r="W513" s="197"/>
      <c r="X513" s="205"/>
      <c r="Y513" s="173">
        <f ca="1">IF(VALUE(C513)=1,SUMIFS(Y:Y,D:D,D513,M:M,"Serviço"),IF(VALUE(C513)=2,SUMIFS(Y:Y,D:D,D513,E:E,E513,M:M,"Serviço"),IF(VALUE(C513)=3,SUMIFS(Y:Y,D:D,D513,E:E,E513,F:F,F513,M:M,"Serviço"),IF(VALUE(C513)=4,SUMIFS(Y:Y,D:D,D513,E:E,E513,F:F,F513,G:G,G513,M:M,"Serviço"),"ERRO"))))</f>
        <v>4626.66</v>
      </c>
      <c r="AB513" s="641"/>
    </row>
    <row r="514" spans="2:28" s="55" customFormat="1" ht="30">
      <c r="B514" s="378">
        <f t="shared" ref="B514:B517" ca="1" si="1799">IF(C514="S",IF(OFFSET(C514,-1,0)="S", OFFSET(B514,-1,0), OFFSET(B514,-1,0) +1 ), C514)</f>
        <v>3</v>
      </c>
      <c r="C514" s="378" t="str">
        <f t="shared" si="1700"/>
        <v>S</v>
      </c>
      <c r="D514" s="378">
        <f t="shared" ca="1" si="1195"/>
        <v>20</v>
      </c>
      <c r="E514" s="378">
        <f t="shared" ref="E514:E517" ca="1" si="1800">IF($C514="2",OFFSET(E514,-1,0) +1,IF(OFFSET(D514,-1,0)&lt;&gt;D514,"0",IF(OFFSET(E514,-1,0)="","0",OFFSET(E514,-1,0))))</f>
        <v>3</v>
      </c>
      <c r="F514" s="378" t="str">
        <f t="shared" ref="F514:F517" ca="1" si="1801">IF($C514="3",OFFSET(F514,-1,0) +1,IF(OFFSET(E514,-1,0)&lt;&gt;E514,"0",IF(OFFSET(F514,-1,0)="","0",OFFSET(F514,-1,0))))</f>
        <v>0</v>
      </c>
      <c r="G514" s="378" t="str">
        <f t="shared" ref="G514:G517" ca="1" si="1802">IF($C514="4",OFFSET(G514,-1,0) +1,IF(OFFSET(F514,-1,0)&lt;&gt;F514,"0",IF(OFFSET(G514,-1,0)="","0",OFFSET(G514,-1,0))))</f>
        <v>0</v>
      </c>
      <c r="H514" s="378" t="str">
        <f t="shared" ref="H514:H517" ca="1" si="1803">IF($C514="5",OFFSET(H514,-1,0) +1,IF(OFFSET(G514,-1,0)&lt;&gt;G514,"0",IF(OFFSET(H514,-1,0)="","0",OFFSET(H514,-1,0))))</f>
        <v>0</v>
      </c>
      <c r="I514" s="378" t="str">
        <f t="shared" ref="I514:I517" ca="1" si="1804">IF($C514="6",OFFSET(I514,-1,0) +1,IF(OFFSET(H514,-1,0)&lt;&gt;H514,"0",IF(OFFSET(I514,-1,0)="","0", OFFSET(I514,-1,0))))</f>
        <v>0</v>
      </c>
      <c r="J514" s="378">
        <f t="shared" ca="1" si="1196"/>
        <v>1</v>
      </c>
      <c r="K514" s="378" t="str">
        <f t="shared" ref="K514:K517" si="1805">IF(C514="S","NÃO", IF(C514="1", D514, IF(C514="2", D514 &amp; "." &amp; E514,IF(C514="3", D514 &amp; "." &amp; E514 &amp; "." &amp; F514, IF(C514="4", D514 &amp; "." &amp; E514 &amp; "." &amp; F514 &amp; "." &amp; G514, IF(C514="5", D514 &amp; "." &amp; E514 &amp; "." &amp; F514 &amp; "." &amp; G514 &amp; "." &amp; H514, IF(C514="6", D514 &amp; "." &amp; E514 &amp; "." &amp; F514 &amp; "." &amp; G514 &amp; "." &amp; H514 &amp; "." &amp; I514)))))))</f>
        <v>NÃO</v>
      </c>
      <c r="L514" s="378" t="str">
        <f t="shared" ref="L514:L517" ca="1" si="1806">IF(K514="NÃO",IF($B514=2,D514&amp;"."&amp;J514,IF($B514=3,D514&amp;"."&amp;E514&amp;"."&amp;J514,IF($B514=4,D514&amp;"."&amp;E514&amp;"."&amp;F514&amp;"."&amp;J514,IF($B514=5,D514&amp;"."&amp;E514&amp;"."&amp;F514&amp;"."&amp;G514&amp;"."&amp;J514,IF($B514=6,D514&amp;"."&amp;E514&amp;"."&amp;F514&amp;"."&amp;G514&amp;"."&amp;H514&amp;"."&amp;J514,IF($B514=7,D514&amp;"."&amp;E514&amp;"."&amp;F514&amp;"."&amp;G514&amp;"."&amp;H514&amp;"."&amp;I514&amp;"."&amp;J514,"FALHA")))))),K514)</f>
        <v>20.3.1</v>
      </c>
      <c r="M514" s="55" t="s">
        <v>27868</v>
      </c>
      <c r="O514" s="392" t="str">
        <f t="shared" ref="O514:O517" ca="1" si="1807">L514</f>
        <v>20.3.1</v>
      </c>
      <c r="P514" s="687" t="s">
        <v>29901</v>
      </c>
      <c r="Q514" s="684" t="s">
        <v>17631</v>
      </c>
      <c r="R514" s="415" t="str">
        <f>UPPER(IF(P514="CDHU",VLOOKUP(Q514,'CDHU 201-SD'!$A$1:$J$28014,2,FALSE),IF(P514="FDE",VLOOKUP(Q514,'FDE 01-26-SD'!$A$1:$J$280013,2,FALSE),IF(P514="PRÓPRIA",VLOOKUP(Q514,COMPOSIÇÃO!$1:$1048576,3,FALSE),VLOOKUP(Q514,'SINAPI 04-26-SD'!$A$1:$H$272700,2,FALSE)))))</f>
        <v>REGULARIZAÇÃO E COMPACTAÇÃO MECANIZADA DE SUPERFÍCIE, SEM CONTROLE DO PROCTOR NORMAL</v>
      </c>
      <c r="S514" s="414" t="str">
        <f>UPPER(IF(P514="CDHU",VLOOKUP(Q514,'CDHU 201-SD'!$A$1:$J$28014,3,FALSE),IF(P514="FDE",VLOOKUP(Q514,'FDE 01-26-SD'!$A$1:$J$280013,3,FALSE),IF(P514="PRÓPRIA",VLOOKUP(Q514,COMPOSIÇÃO!$1:$1048576,7,FALSE),VLOOKUP(Q514,'SINAPI 04-26-SD'!$A$1:$H$272700,3,FALSE)))))</f>
        <v>M2</v>
      </c>
      <c r="T514" s="393">
        <v>52.02</v>
      </c>
      <c r="U514" s="394">
        <f>TRUNC(IF(P514="CDHU",VLOOKUP(Q514,'CDHU 201-SD'!$A$1:$J$28014,6,FALSE),IF(P514="FDE",VLOOKUP(Q514,'FDE 01-26-SD'!$A$1:$J$280013,6,FALSE),IF(P514="PRÓPRIA",VLOOKUP(Q514,COMPOSIÇÃO!$1:$1048576,10,FALSE),VLOOKUP(Q514,'SINAPI 04-26-SD'!$A$1:$H$272700,4,FALSE)))),2)</f>
        <v>3.64</v>
      </c>
      <c r="V514" s="416">
        <f t="shared" ref="V514:V517" si="1808">TRUNC(U514*T514,2)</f>
        <v>189.35</v>
      </c>
      <c r="W514" s="395">
        <f>IF($AA514="N",BDI!$D$26,IF($AA514="D",'BDI DIFE.'!$D$26,"ERRO"))</f>
        <v>0.22500000000000001</v>
      </c>
      <c r="X514" s="379">
        <f t="shared" ref="X514:X517" si="1809">TRUNC(U514*(1+W514),2)</f>
        <v>4.45</v>
      </c>
      <c r="Y514" s="380">
        <f t="shared" ref="Y514:Y517" si="1810">TRUNC(T514*X514,2)</f>
        <v>231.48</v>
      </c>
      <c r="Z514" s="381"/>
      <c r="AA514" s="378" t="s">
        <v>28044</v>
      </c>
      <c r="AB514" s="642"/>
    </row>
    <row r="515" spans="2:28" s="55" customFormat="1">
      <c r="B515" s="378">
        <f t="shared" ca="1" si="1799"/>
        <v>3</v>
      </c>
      <c r="C515" s="378" t="str">
        <f t="shared" si="1700"/>
        <v>S</v>
      </c>
      <c r="D515" s="378">
        <f t="shared" ca="1" si="1195"/>
        <v>20</v>
      </c>
      <c r="E515" s="378">
        <f t="shared" ca="1" si="1800"/>
        <v>3</v>
      </c>
      <c r="F515" s="378" t="str">
        <f t="shared" ca="1" si="1801"/>
        <v>0</v>
      </c>
      <c r="G515" s="378" t="str">
        <f t="shared" ca="1" si="1802"/>
        <v>0</v>
      </c>
      <c r="H515" s="378" t="str">
        <f t="shared" ca="1" si="1803"/>
        <v>0</v>
      </c>
      <c r="I515" s="378" t="str">
        <f t="shared" ca="1" si="1804"/>
        <v>0</v>
      </c>
      <c r="J515" s="378">
        <f t="shared" ca="1" si="1196"/>
        <v>2</v>
      </c>
      <c r="K515" s="378" t="str">
        <f t="shared" si="1805"/>
        <v>NÃO</v>
      </c>
      <c r="L515" s="378" t="str">
        <f t="shared" ca="1" si="1806"/>
        <v>20.3.2</v>
      </c>
      <c r="M515" s="55" t="s">
        <v>27868</v>
      </c>
      <c r="O515" s="392" t="str">
        <f t="shared" ca="1" si="1807"/>
        <v>20.3.2</v>
      </c>
      <c r="P515" s="687" t="s">
        <v>29901</v>
      </c>
      <c r="Q515" s="684" t="s">
        <v>11779</v>
      </c>
      <c r="R515" s="415" t="str">
        <f>UPPER(IF(P515="CDHU",VLOOKUP(Q515,'CDHU 201-SD'!$A$1:$J$28014,2,FALSE),IF(P515="FDE",VLOOKUP(Q515,'FDE 01-26-SD'!$A$1:$J$280013,2,FALSE),IF(P515="PRÓPRIA",VLOOKUP(Q515,COMPOSIÇÃO!$1:$1048576,3,FALSE),VLOOKUP(Q515,'SINAPI 04-26-SD'!$A$1:$H$272700,2,FALSE)))))</f>
        <v>LASTRO DE PEDRA BRITADA</v>
      </c>
      <c r="S515" s="414" t="str">
        <f>UPPER(IF(P515="CDHU",VLOOKUP(Q515,'CDHU 201-SD'!$A$1:$J$28014,3,FALSE),IF(P515="FDE",VLOOKUP(Q515,'FDE 01-26-SD'!$A$1:$J$280013,3,FALSE),IF(P515="PRÓPRIA",VLOOKUP(Q515,COMPOSIÇÃO!$1:$1048576,7,FALSE),VLOOKUP(Q515,'SINAPI 04-26-SD'!$A$1:$H$272700,3,FALSE)))))</f>
        <v>M3</v>
      </c>
      <c r="T515" s="393">
        <f>T514*0.05</f>
        <v>2.6010000000000004</v>
      </c>
      <c r="U515" s="394">
        <f>TRUNC(IF(P515="CDHU",VLOOKUP(Q515,'CDHU 201-SD'!$A$1:$J$28014,6,FALSE),IF(P515="FDE",VLOOKUP(Q515,'FDE 01-26-SD'!$A$1:$J$280013,6,FALSE),IF(P515="PRÓPRIA",VLOOKUP(Q515,COMPOSIÇÃO!$1:$1048576,10,FALSE),VLOOKUP(Q515,'SINAPI 04-26-SD'!$A$1:$H$272700,4,FALSE)))),2)</f>
        <v>221.55</v>
      </c>
      <c r="V515" s="416">
        <f t="shared" si="1808"/>
        <v>576.25</v>
      </c>
      <c r="W515" s="395">
        <f>IF($AA515="N",BDI!$D$26,IF($AA515="D",'BDI DIFE.'!$D$26,"ERRO"))</f>
        <v>0.22500000000000001</v>
      </c>
      <c r="X515" s="379">
        <f t="shared" si="1809"/>
        <v>271.39</v>
      </c>
      <c r="Y515" s="380">
        <f t="shared" si="1810"/>
        <v>705.88</v>
      </c>
      <c r="Z515" s="381"/>
      <c r="AA515" s="378" t="s">
        <v>28044</v>
      </c>
      <c r="AB515" s="642"/>
    </row>
    <row r="516" spans="2:28" s="55" customFormat="1">
      <c r="B516" s="378">
        <f t="shared" ca="1" si="1799"/>
        <v>3</v>
      </c>
      <c r="C516" s="378" t="str">
        <f t="shared" si="1700"/>
        <v>S</v>
      </c>
      <c r="D516" s="378">
        <f t="shared" ca="1" si="1195"/>
        <v>20</v>
      </c>
      <c r="E516" s="378">
        <f t="shared" ca="1" si="1800"/>
        <v>3</v>
      </c>
      <c r="F516" s="378" t="str">
        <f t="shared" ca="1" si="1801"/>
        <v>0</v>
      </c>
      <c r="G516" s="378" t="str">
        <f t="shared" ca="1" si="1802"/>
        <v>0</v>
      </c>
      <c r="H516" s="378" t="str">
        <f t="shared" ca="1" si="1803"/>
        <v>0</v>
      </c>
      <c r="I516" s="378" t="str">
        <f t="shared" ca="1" si="1804"/>
        <v>0</v>
      </c>
      <c r="J516" s="378">
        <f t="shared" ca="1" si="1196"/>
        <v>3</v>
      </c>
      <c r="K516" s="378" t="str">
        <f t="shared" si="1805"/>
        <v>NÃO</v>
      </c>
      <c r="L516" s="378" t="str">
        <f t="shared" ca="1" si="1806"/>
        <v>20.3.3</v>
      </c>
      <c r="M516" s="55" t="s">
        <v>27868</v>
      </c>
      <c r="O516" s="392" t="str">
        <f t="shared" ca="1" si="1807"/>
        <v>20.3.3</v>
      </c>
      <c r="P516" s="687" t="s">
        <v>29901</v>
      </c>
      <c r="Q516" s="684" t="s">
        <v>11701</v>
      </c>
      <c r="R516" s="415" t="str">
        <f>UPPER(IF(P516="CDHU",VLOOKUP(Q516,'CDHU 201-SD'!$A$1:$J$28014,2,FALSE),IF(P516="FDE",VLOOKUP(Q516,'FDE 01-26-SD'!$A$1:$J$280013,2,FALSE),IF(P516="PRÓPRIA",VLOOKUP(Q516,COMPOSIÇÃO!$1:$1048576,3,FALSE),VLOOKUP(Q516,'SINAPI 04-26-SD'!$A$1:$H$272700,2,FALSE)))))</f>
        <v>CONCRETO USINADO, FCK = 20 MPA</v>
      </c>
      <c r="S516" s="414" t="str">
        <f>UPPER(IF(P516="CDHU",VLOOKUP(Q516,'CDHU 201-SD'!$A$1:$J$28014,3,FALSE),IF(P516="FDE",VLOOKUP(Q516,'FDE 01-26-SD'!$A$1:$J$280013,3,FALSE),IF(P516="PRÓPRIA",VLOOKUP(Q516,COMPOSIÇÃO!$1:$1048576,7,FALSE),VLOOKUP(Q516,'SINAPI 04-26-SD'!$A$1:$H$272700,3,FALSE)))))</f>
        <v>M3</v>
      </c>
      <c r="T516" s="393">
        <f>T514*0.07</f>
        <v>3.6414000000000004</v>
      </c>
      <c r="U516" s="394">
        <f>TRUNC(IF(P516="CDHU",VLOOKUP(Q516,'CDHU 201-SD'!$A$1:$J$28014,6,FALSE),IF(P516="FDE",VLOOKUP(Q516,'FDE 01-26-SD'!$A$1:$J$280013,6,FALSE),IF(P516="PRÓPRIA",VLOOKUP(Q516,COMPOSIÇÃO!$1:$1048576,10,FALSE),VLOOKUP(Q516,'SINAPI 04-26-SD'!$A$1:$H$272700,4,FALSE)))),2)</f>
        <v>493.41</v>
      </c>
      <c r="V516" s="416">
        <f t="shared" si="1808"/>
        <v>1796.7</v>
      </c>
      <c r="W516" s="395">
        <f>IF($AA516="N",BDI!$D$26,IF($AA516="D",'BDI DIFE.'!$D$26,"ERRO"))</f>
        <v>0.22500000000000001</v>
      </c>
      <c r="X516" s="379">
        <f t="shared" si="1809"/>
        <v>604.41999999999996</v>
      </c>
      <c r="Y516" s="380">
        <f t="shared" si="1810"/>
        <v>2200.9299999999998</v>
      </c>
      <c r="Z516" s="381"/>
      <c r="AA516" s="378" t="s">
        <v>28044</v>
      </c>
      <c r="AB516" s="642"/>
    </row>
    <row r="517" spans="2:28" s="55" customFormat="1" ht="30">
      <c r="B517" s="378">
        <f t="shared" ca="1" si="1799"/>
        <v>3</v>
      </c>
      <c r="C517" s="378" t="str">
        <f t="shared" si="1700"/>
        <v>S</v>
      </c>
      <c r="D517" s="378">
        <f t="shared" ca="1" si="1195"/>
        <v>20</v>
      </c>
      <c r="E517" s="378">
        <f t="shared" ca="1" si="1800"/>
        <v>3</v>
      </c>
      <c r="F517" s="378" t="str">
        <f t="shared" ca="1" si="1801"/>
        <v>0</v>
      </c>
      <c r="G517" s="378" t="str">
        <f t="shared" ca="1" si="1802"/>
        <v>0</v>
      </c>
      <c r="H517" s="378" t="str">
        <f t="shared" ca="1" si="1803"/>
        <v>0</v>
      </c>
      <c r="I517" s="378" t="str">
        <f t="shared" ca="1" si="1804"/>
        <v>0</v>
      </c>
      <c r="J517" s="378">
        <f t="shared" ca="1" si="1196"/>
        <v>4</v>
      </c>
      <c r="K517" s="378" t="str">
        <f t="shared" si="1805"/>
        <v>NÃO</v>
      </c>
      <c r="L517" s="378" t="str">
        <f t="shared" ca="1" si="1806"/>
        <v>20.3.4</v>
      </c>
      <c r="M517" s="55" t="s">
        <v>27868</v>
      </c>
      <c r="O517" s="392" t="str">
        <f t="shared" ca="1" si="1807"/>
        <v>20.3.4</v>
      </c>
      <c r="P517" s="687" t="s">
        <v>29901</v>
      </c>
      <c r="Q517" s="684" t="s">
        <v>11765</v>
      </c>
      <c r="R517" s="415" t="str">
        <f>UPPER(IF(P517="CDHU",VLOOKUP(Q517,'CDHU 201-SD'!$A$1:$J$28014,2,FALSE),IF(P517="FDE",VLOOKUP(Q517,'FDE 01-26-SD'!$A$1:$J$280013,2,FALSE),IF(P517="PRÓPRIA",VLOOKUP(Q517,COMPOSIÇÃO!$1:$1048576,3,FALSE),VLOOKUP(Q517,'SINAPI 04-26-SD'!$A$1:$H$272700,2,FALSE)))))</f>
        <v>LANÇAMENTO, ESPALHAMENTO E ADENSAMENTO DE CONCRETO OU MASSA EM LASTRO E/OU ENCHIMENTO</v>
      </c>
      <c r="S517" s="414" t="str">
        <f>UPPER(IF(P517="CDHU",VLOOKUP(Q517,'CDHU 201-SD'!$A$1:$J$28014,3,FALSE),IF(P517="FDE",VLOOKUP(Q517,'FDE 01-26-SD'!$A$1:$J$280013,3,FALSE),IF(P517="PRÓPRIA",VLOOKUP(Q517,COMPOSIÇÃO!$1:$1048576,7,FALSE),VLOOKUP(Q517,'SINAPI 04-26-SD'!$A$1:$H$272700,3,FALSE)))))</f>
        <v>M3</v>
      </c>
      <c r="T517" s="393">
        <f>T516</f>
        <v>3.6414000000000004</v>
      </c>
      <c r="U517" s="394">
        <f>TRUNC(IF(P517="CDHU",VLOOKUP(Q517,'CDHU 201-SD'!$A$1:$J$28014,6,FALSE),IF(P517="FDE",VLOOKUP(Q517,'FDE 01-26-SD'!$A$1:$J$280013,6,FALSE),IF(P517="PRÓPRIA",VLOOKUP(Q517,COMPOSIÇÃO!$1:$1048576,10,FALSE),VLOOKUP(Q517,'SINAPI 04-26-SD'!$A$1:$H$272700,4,FALSE)))),2)</f>
        <v>95.77</v>
      </c>
      <c r="V517" s="416">
        <f t="shared" si="1808"/>
        <v>348.73</v>
      </c>
      <c r="W517" s="395">
        <f>IF($AA517="N",BDI!$D$26,IF($AA517="D",'BDI DIFE.'!$D$26,"ERRO"))</f>
        <v>0.22500000000000001</v>
      </c>
      <c r="X517" s="379">
        <f t="shared" si="1809"/>
        <v>117.31</v>
      </c>
      <c r="Y517" s="380">
        <f t="shared" si="1810"/>
        <v>427.17</v>
      </c>
      <c r="Z517" s="381"/>
      <c r="AA517" s="378" t="s">
        <v>28044</v>
      </c>
      <c r="AB517" s="642"/>
    </row>
    <row r="518" spans="2:28" s="55" customFormat="1" ht="31" thickBot="1">
      <c r="B518" s="378">
        <f t="shared" ca="1" si="1790"/>
        <v>3</v>
      </c>
      <c r="C518" s="378" t="str">
        <f t="shared" si="1700"/>
        <v>S</v>
      </c>
      <c r="D518" s="378">
        <f t="shared" ca="1" si="1195"/>
        <v>20</v>
      </c>
      <c r="E518" s="378">
        <f t="shared" ca="1" si="1791"/>
        <v>3</v>
      </c>
      <c r="F518" s="378" t="str">
        <f t="shared" ca="1" si="1792"/>
        <v>0</v>
      </c>
      <c r="G518" s="378" t="str">
        <f t="shared" ca="1" si="1793"/>
        <v>0</v>
      </c>
      <c r="H518" s="378" t="str">
        <f t="shared" ca="1" si="1794"/>
        <v>0</v>
      </c>
      <c r="I518" s="378" t="str">
        <f t="shared" ca="1" si="1795"/>
        <v>0</v>
      </c>
      <c r="J518" s="378">
        <f t="shared" ca="1" si="1196"/>
        <v>5</v>
      </c>
      <c r="K518" s="378" t="str">
        <f t="shared" si="1796"/>
        <v>NÃO</v>
      </c>
      <c r="L518" s="378" t="str">
        <f t="shared" ca="1" si="1797"/>
        <v>20.3.5</v>
      </c>
      <c r="M518" s="55" t="s">
        <v>27868</v>
      </c>
      <c r="O518" s="392" t="str">
        <f t="shared" ca="1" si="1798"/>
        <v>20.3.5</v>
      </c>
      <c r="P518" s="687" t="s">
        <v>29901</v>
      </c>
      <c r="Q518" s="684" t="s">
        <v>11773</v>
      </c>
      <c r="R518" s="415" t="str">
        <f>UPPER(IF(P518="CDHU",VLOOKUP(Q518,'CDHU 201-SD'!$A$1:$J$28014,2,FALSE),IF(P518="FDE",VLOOKUP(Q518,'FDE 01-26-SD'!$A$1:$J$280013,2,FALSE),IF(P518="PRÓPRIA",VLOOKUP(Q518,COMPOSIÇÃO!$1:$1048576,3,FALSE),VLOOKUP(Q518,'SINAPI 04-26-SD'!$A$1:$H$272700,2,FALSE)))))</f>
        <v>NIVELAMENTO DE PISO EM CONCRETO COM ACABADORA DE SUPERFÍCIE</v>
      </c>
      <c r="S518" s="414" t="str">
        <f>UPPER(IF(P518="CDHU",VLOOKUP(Q518,'CDHU 201-SD'!$A$1:$J$28014,3,FALSE),IF(P518="FDE",VLOOKUP(Q518,'FDE 01-26-SD'!$A$1:$J$280013,3,FALSE),IF(P518="PRÓPRIA",VLOOKUP(Q518,COMPOSIÇÃO!$1:$1048576,7,FALSE),VLOOKUP(Q518,'SINAPI 04-26-SD'!$A$1:$H$272700,3,FALSE)))))</f>
        <v>M2</v>
      </c>
      <c r="T518" s="393">
        <f>T514</f>
        <v>52.02</v>
      </c>
      <c r="U518" s="394">
        <f>TRUNC(IF(P518="CDHU",VLOOKUP(Q518,'CDHU 201-SD'!$A$1:$J$28014,6,FALSE),IF(P518="FDE",VLOOKUP(Q518,'FDE 01-26-SD'!$A$1:$J$280013,6,FALSE),IF(P518="PRÓPRIA",VLOOKUP(Q518,COMPOSIÇÃO!$1:$1048576,10,FALSE),VLOOKUP(Q518,'SINAPI 04-26-SD'!$A$1:$H$272700,4,FALSE)))),2)</f>
        <v>16.66</v>
      </c>
      <c r="V518" s="416">
        <f t="shared" ref="V518" si="1811">TRUNC(U518*T518,2)</f>
        <v>866.65</v>
      </c>
      <c r="W518" s="395">
        <f>IF($AA518="N",BDI!$D$26,IF($AA518="D",'BDI DIFE.'!$D$26,"ERRO"))</f>
        <v>0.22500000000000001</v>
      </c>
      <c r="X518" s="379">
        <f t="shared" ref="X518" si="1812">TRUNC(U518*(1+W518),2)</f>
        <v>20.399999999999999</v>
      </c>
      <c r="Y518" s="380">
        <f t="shared" ref="Y518" si="1813">TRUNC(T518*X518,2)</f>
        <v>1061.2</v>
      </c>
      <c r="Z518" s="381"/>
      <c r="AA518" s="378" t="s">
        <v>28044</v>
      </c>
      <c r="AB518" s="642"/>
    </row>
    <row r="519" spans="2:28" s="55" customFormat="1" ht="16" thickBot="1">
      <c r="B519" s="378" t="str">
        <f t="shared" ca="1" si="1643"/>
        <v/>
      </c>
      <c r="C519" s="378" t="str">
        <f>IF(RIGHT($M519) = "o", "S", RIGHT($M519))</f>
        <v/>
      </c>
      <c r="D519" s="378">
        <f t="shared" ca="1" si="1195"/>
        <v>20</v>
      </c>
      <c r="E519" s="378">
        <f t="shared" ca="1" si="1644"/>
        <v>3</v>
      </c>
      <c r="F519" s="378" t="str">
        <f t="shared" ca="1" si="1645"/>
        <v>0</v>
      </c>
      <c r="G519" s="378" t="str">
        <f t="shared" ca="1" si="1646"/>
        <v>0</v>
      </c>
      <c r="H519" s="378" t="str">
        <f t="shared" ca="1" si="1647"/>
        <v>0</v>
      </c>
      <c r="I519" s="378" t="str">
        <f t="shared" ca="1" si="1648"/>
        <v>0</v>
      </c>
      <c r="J519" s="378" t="str">
        <f t="shared" ca="1" si="1196"/>
        <v>0</v>
      </c>
      <c r="K519" s="378" t="b">
        <f t="shared" si="1649"/>
        <v>0</v>
      </c>
      <c r="L519" s="378" t="b">
        <f t="shared" si="1650"/>
        <v>0</v>
      </c>
      <c r="O519" s="192"/>
      <c r="P519" s="387"/>
      <c r="Q519" s="387"/>
      <c r="R519" s="377"/>
      <c r="S519" s="387"/>
      <c r="T519" s="363"/>
      <c r="U519" s="388"/>
      <c r="V519" s="389"/>
      <c r="W519" s="389"/>
      <c r="X519" s="389"/>
      <c r="Y519" s="390"/>
      <c r="AA519" s="378"/>
      <c r="AB519" s="642"/>
    </row>
    <row r="520" spans="2:28" s="75" customFormat="1" ht="16" thickBot="1">
      <c r="B520" s="75" t="str">
        <f t="shared" ca="1" si="1643"/>
        <v>1</v>
      </c>
      <c r="C520" s="75" t="str">
        <f t="shared" ref="C520:C528" si="1814">IF(RIGHT($M520) = "o", "S", RIGHT($M520))</f>
        <v>1</v>
      </c>
      <c r="D520" s="75">
        <f t="shared" ca="1" si="1195"/>
        <v>21</v>
      </c>
      <c r="E520" s="75" t="str">
        <f t="shared" ca="1" si="1644"/>
        <v>0</v>
      </c>
      <c r="F520" s="75" t="str">
        <f t="shared" ca="1" si="1645"/>
        <v>0</v>
      </c>
      <c r="G520" s="75" t="str">
        <f t="shared" ca="1" si="1646"/>
        <v>0</v>
      </c>
      <c r="H520" s="75" t="str">
        <f t="shared" ca="1" si="1647"/>
        <v>0</v>
      </c>
      <c r="I520" s="75" t="str">
        <f t="shared" ca="1" si="1648"/>
        <v>0</v>
      </c>
      <c r="J520" s="75" t="str">
        <f t="shared" ca="1" si="1196"/>
        <v>0</v>
      </c>
      <c r="K520" s="75">
        <f t="shared" ca="1" si="1649"/>
        <v>21</v>
      </c>
      <c r="L520" s="75">
        <f t="shared" ca="1" si="1650"/>
        <v>21</v>
      </c>
      <c r="M520" s="55" t="s">
        <v>27859</v>
      </c>
      <c r="O520" s="191">
        <f t="shared" ref="O520:O528" ca="1" si="1815">L520</f>
        <v>21</v>
      </c>
      <c r="P520" s="172"/>
      <c r="Q520" s="172"/>
      <c r="R520" s="683" t="s">
        <v>41871</v>
      </c>
      <c r="S520" s="172"/>
      <c r="T520" s="194"/>
      <c r="U520" s="195"/>
      <c r="V520" s="196">
        <f ca="1">IF(VALUE(C520)=1,SUMIFS(V:V,D:D,D520,M:M,"Serviço"),IF(VALUE(C520)=2,SUMIFS(V:V,D:D,D520,E:E,E520,M:M,"Serviço"),IF(VALUE(C520)=3,SUMIFS(V:V,D:D,D520,E:E,E520,F:F,F520,M:M,"Serviço"),IF(VALUE(C520)=4,SUMIFS(V:V,D:D,D520,E:E,E520,F:F,F520,G:G,G520,M:M,"Serviço"),"ERRO"))))</f>
        <v>228655.92999999996</v>
      </c>
      <c r="W520" s="197"/>
      <c r="X520" s="205"/>
      <c r="Y520" s="173">
        <f ca="1">IF(VALUE(C520)=1,SUMIFS(Y:Y,D:D,D520,M:M,"Serviço"),IF(VALUE(C520)=2,SUMIFS(Y:Y,D:D,D520,E:E,E520,M:M,"Serviço"),IF(VALUE(C520)=3,SUMIFS(Y:Y,D:D,D520,E:E,E520,F:F,F520,M:M,"Serviço"),IF(VALUE(C520)=4,SUMIFS(Y:Y,D:D,D520,E:E,E520,F:F,F520,G:G,G520,M:M,"Serviço"),"ERRO"))))</f>
        <v>280093.68</v>
      </c>
      <c r="AB520" s="641"/>
    </row>
    <row r="521" spans="2:28" s="75" customFormat="1" ht="16" thickBot="1">
      <c r="B521" s="75" t="str">
        <f t="shared" ref="B521:B525" ca="1" si="1816">IF(C521="S",IF(OFFSET(C521,-1,0)="S", OFFSET(B521,-1,0), OFFSET(B521,-1,0) +1 ), C521)</f>
        <v>2</v>
      </c>
      <c r="C521" s="75" t="str">
        <f>IF(RIGHT($M521) = "o", "S", RIGHT($M521))</f>
        <v>2</v>
      </c>
      <c r="D521" s="75">
        <f ca="1">IF($C521="1",OFFSET(D521,-2,0) +1,OFFSET(D521,-1,0))</f>
        <v>21</v>
      </c>
      <c r="E521" s="75">
        <f ca="1">IF($C521="2",OFFSET(E521,-1,0) +1,IF(OFFSET(D521,-1,0)&lt;&gt;D521,"0",IF(OFFSET(E521,-1,0)="","0",OFFSET(E521,-1,0))))</f>
        <v>1</v>
      </c>
      <c r="F521" s="75" t="str">
        <f ca="1">IF($C521="3",OFFSET(F521,-1,0) +1,IF(OFFSET(E521,-1,0)&lt;&gt;E521,"0",IF(OFFSET(F521,-1,0)="","0",OFFSET(F521,-1,0))))</f>
        <v>0</v>
      </c>
      <c r="G521" s="75" t="str">
        <f ca="1">IF($C521="4",OFFSET(G521,-1,0) +1,IF(OFFSET(F521,-1,0)&lt;&gt;F521,"0",IF(OFFSET(G521,-1,0)="","0",OFFSET(G521,-1,0))))</f>
        <v>0</v>
      </c>
      <c r="H521" s="75" t="str">
        <f ca="1">IF($C521="5",OFFSET(H521,-1,0) +1,IF(OFFSET(G521,-1,0)&lt;&gt;G521,"0",IF(OFFSET(H521,-1,0)="","0",OFFSET(H521,-1,0))))</f>
        <v>0</v>
      </c>
      <c r="I521" s="75" t="str">
        <f ca="1">IF($C521="6",OFFSET(I521,-1,0) +1,IF(OFFSET(H521,-1,0)&lt;&gt;H521,"0",IF(OFFSET(I521,-1,0)="","0", OFFSET(I521,-1,0))))</f>
        <v>0</v>
      </c>
      <c r="J521" s="75" t="str">
        <f ca="1">IF($C521="S",OFFSET(J521,-1,0)+1,"0")</f>
        <v>0</v>
      </c>
      <c r="K521" s="75" t="str">
        <f t="shared" ref="K521:K525" ca="1" si="1817">IF(C521="S","NÃO", IF(C521="1", D521, IF(C521="2", D521 &amp; "." &amp; E521,IF(C521="3", D521 &amp; "." &amp; E521 &amp; "." &amp; F521, IF(C521="4", D521 &amp; "." &amp; E521 &amp; "." &amp; F521 &amp; "." &amp; G521, IF(C521="5", D521 &amp; "." &amp; E521 &amp; "." &amp; F521 &amp; "." &amp; G521 &amp; "." &amp; H521, IF(C521="6", D521 &amp; "." &amp; E521 &amp; "." &amp; F521 &amp; "." &amp; G521 &amp; "." &amp; H521 &amp; "." &amp; I521)))))))</f>
        <v>21.1</v>
      </c>
      <c r="L521" s="75" t="str">
        <f ca="1">IF(K521="NÃO",IF($B521=2,D521&amp;"."&amp;J521,IF($B521=3,D521&amp;"."&amp;E521&amp;"."&amp;J521,IF($B521=4,D521&amp;"."&amp;E521&amp;"."&amp;F521&amp;"."&amp;J521,IF($B521=5,D521&amp;"."&amp;E521&amp;"."&amp;F521&amp;"."&amp;G521&amp;"."&amp;J521,IF($B521=6,D521&amp;"."&amp;E521&amp;"."&amp;F521&amp;"."&amp;G521&amp;"."&amp;H521&amp;"."&amp;J521,IF($B521=7,D521&amp;"."&amp;E521&amp;"."&amp;F521&amp;"."&amp;G521&amp;"."&amp;H521&amp;"."&amp;I521&amp;"."&amp;J521,"FALHA")))))),K521)</f>
        <v>21.1</v>
      </c>
      <c r="M521" s="55" t="s">
        <v>27861</v>
      </c>
      <c r="O521" s="191" t="str">
        <f t="shared" ref="O521:O524" ca="1" si="1818">L521</f>
        <v>21.1</v>
      </c>
      <c r="P521" s="172"/>
      <c r="Q521" s="172"/>
      <c r="R521" s="683" t="s">
        <v>41839</v>
      </c>
      <c r="S521" s="172"/>
      <c r="T521" s="194"/>
      <c r="U521" s="195"/>
      <c r="V521" s="196">
        <f ca="1">IF(VALUE(C521)=1,SUMIFS(V:V,D:D,D521,M:M,"Serviço"),IF(VALUE(C521)=2,SUMIFS(V:V,D:D,D521,E:E,E521,M:M,"Serviço"),IF(VALUE(C521)=3,SUMIFS(V:V,D:D,D521,E:E,E521,F:F,F521,M:M,"Serviço"),IF(VALUE(C521)=4,SUMIFS(V:V,D:D,D521,E:E,E521,F:F,F521,G:G,G521,M:M,"Serviço"),"ERRO"))))</f>
        <v>212499.71999999997</v>
      </c>
      <c r="W521" s="197"/>
      <c r="X521" s="205"/>
      <c r="Y521" s="173">
        <f ca="1">IF(VALUE(C521)=1,SUMIFS(Y:Y,D:D,D521,M:M,"Serviço"),IF(VALUE(C521)=2,SUMIFS(Y:Y,D:D,D521,E:E,E521,M:M,"Serviço"),IF(VALUE(C521)=3,SUMIFS(Y:Y,D:D,D521,E:E,E521,F:F,F521,M:M,"Serviço"),IF(VALUE(C521)=4,SUMIFS(Y:Y,D:D,D521,E:E,E521,F:F,F521,G:G,G521,M:M,"Serviço"),"ERRO"))))</f>
        <v>260312.05</v>
      </c>
      <c r="AB521" s="641"/>
    </row>
    <row r="522" spans="2:28" s="55" customFormat="1" ht="30">
      <c r="B522" s="378">
        <f t="shared" ref="B522:B523" ca="1" si="1819">IF(C522="S",IF(OFFSET(C522,-1,0)="S", OFFSET(B522,-1,0), OFFSET(B522,-1,0) +1 ), C522)</f>
        <v>3</v>
      </c>
      <c r="C522" s="378" t="str">
        <f>IF(RIGHT($M522) = "o", "S", RIGHT($M522))</f>
        <v>S</v>
      </c>
      <c r="D522" s="378">
        <f ca="1">IF($C522="1",OFFSET(D522,-2,0) +1,OFFSET(D522,-1,0))</f>
        <v>21</v>
      </c>
      <c r="E522" s="378">
        <f ca="1">IF($C522="2",OFFSET(E522,-1,0) +1,IF(OFFSET(D522,-1,0)&lt;&gt;D522,"0",IF(OFFSET(E522,-1,0)="","0",OFFSET(E522,-1,0))))</f>
        <v>1</v>
      </c>
      <c r="F522" s="378" t="str">
        <f ca="1">IF($C522="3",OFFSET(F522,-1,0) +1,IF(OFFSET(E522,-1,0)&lt;&gt;E522,"0",IF(OFFSET(F522,-1,0)="","0",OFFSET(F522,-1,0))))</f>
        <v>0</v>
      </c>
      <c r="G522" s="378" t="str">
        <f ca="1">IF($C522="4",OFFSET(G522,-1,0) +1,IF(OFFSET(F522,-1,0)&lt;&gt;F522,"0",IF(OFFSET(G522,-1,0)="","0",OFFSET(G522,-1,0))))</f>
        <v>0</v>
      </c>
      <c r="H522" s="378" t="str">
        <f ca="1">IF($C522="5",OFFSET(H522,-1,0) +1,IF(OFFSET(G522,-1,0)&lt;&gt;G522,"0",IF(OFFSET(H522,-1,0)="","0",OFFSET(H522,-1,0))))</f>
        <v>0</v>
      </c>
      <c r="I522" s="378" t="str">
        <f ca="1">IF($C522="6",OFFSET(I522,-1,0) +1,IF(OFFSET(H522,-1,0)&lt;&gt;H522,"0",IF(OFFSET(I522,-1,0)="","0", OFFSET(I522,-1,0))))</f>
        <v>0</v>
      </c>
      <c r="J522" s="378">
        <f ca="1">IF($C522="S",OFFSET(J522,-1,0)+1,"0")</f>
        <v>1</v>
      </c>
      <c r="K522" s="378" t="str">
        <f t="shared" ref="K522:K523" si="1820">IF(C522="S","NÃO", IF(C522="1", D522, IF(C522="2", D522 &amp; "." &amp; E522,IF(C522="3", D522 &amp; "." &amp; E522 &amp; "." &amp; F522, IF(C522="4", D522 &amp; "." &amp; E522 &amp; "." &amp; F522 &amp; "." &amp; G522, IF(C522="5", D522 &amp; "." &amp; E522 &amp; "." &amp; F522 &amp; "." &amp; G522 &amp; "." &amp; H522, IF(C522="6", D522 &amp; "." &amp; E522 &amp; "." &amp; F522 &amp; "." &amp; G522 &amp; "." &amp; H522 &amp; "." &amp; I522)))))))</f>
        <v>NÃO</v>
      </c>
      <c r="L522" s="378" t="str">
        <f ca="1">IF(K522="NÃO",IF($B522=2,D522&amp;"."&amp;J522,IF($B522=3,D522&amp;"."&amp;E522&amp;"."&amp;J522,IF($B522=4,D522&amp;"."&amp;E522&amp;"."&amp;F522&amp;"."&amp;J522,IF($B522=5,D522&amp;"."&amp;E522&amp;"."&amp;F522&amp;"."&amp;G522&amp;"."&amp;J522,IF($B522=6,D522&amp;"."&amp;E522&amp;"."&amp;F522&amp;"."&amp;G522&amp;"."&amp;H522&amp;"."&amp;J522,IF($B522=7,D522&amp;"."&amp;E522&amp;"."&amp;F522&amp;"."&amp;G522&amp;"."&amp;H522&amp;"."&amp;I522&amp;"."&amp;J522,"FALHA")))))),K522)</f>
        <v>21.1.1</v>
      </c>
      <c r="M522" s="55" t="s">
        <v>27868</v>
      </c>
      <c r="O522" s="392" t="str">
        <f t="shared" ref="O522:O523" ca="1" si="1821">L522</f>
        <v>21.1.1</v>
      </c>
      <c r="P522" s="681" t="s">
        <v>29901</v>
      </c>
      <c r="Q522" s="682" t="s">
        <v>17786</v>
      </c>
      <c r="R522" s="415" t="str">
        <f>UPPER(IF(P522="CDHU",VLOOKUP(Q522,'CDHU 201-SD'!$A$1:$J$28014,2,FALSE),IF(P522="FDE",VLOOKUP(Q522,'FDE 01-26-SD'!$A$1:$J$280013,2,FALSE),IF(P522="PRÓPRIA",VLOOKUP(Q522,COMPOSIÇÃO!$1:$1048576,3,FALSE),VLOOKUP(Q522,'SINAPI 04-26-SD'!$A$1:$H$272700,2,FALSE)))))</f>
        <v>ELEVADOR PARA PASSAGEIROS, USO INTERNO COM CAPACIDADE MÍNIMA DE 600 KG PARA DUAS PARADAS, PORTAS UNILATERAIS</v>
      </c>
      <c r="S522" s="414" t="str">
        <f>UPPER(IF(P522="CDHU",VLOOKUP(Q522,'CDHU 201-SD'!$A$1:$J$28014,3,FALSE),IF(P522="FDE",VLOOKUP(Q522,'FDE 01-26-SD'!$A$1:$J$280013,3,FALSE),IF(P522="PRÓPRIA",VLOOKUP(Q522,COMPOSIÇÃO!$1:$1048576,7,FALSE),VLOOKUP(Q522,'SINAPI 04-26-SD'!$A$1:$H$272700,3,FALSE)))))</f>
        <v>CJ</v>
      </c>
      <c r="T522" s="393">
        <f>VLOOKUP(Q522,'SERVIÇOS COMPLEMENTARES'!$1:$1048576,12,FALSE)</f>
        <v>1</v>
      </c>
      <c r="U522" s="394">
        <f>TRUNC(IF(P522="CDHU",VLOOKUP(Q522,'CDHU 201-SD'!$A$1:$J$28014,6,FALSE),IF(P522="FDE",VLOOKUP(Q522,'FDE 01-26-SD'!$A$1:$J$280013,6,FALSE),IF(P522="PRÓPRIA",VLOOKUP(Q522,COMPOSIÇÃO!$1:$1048576,10,FALSE),VLOOKUP(Q522,'SINAPI 04-26-SD'!$A$1:$H$272700,4,FALSE)))),2)</f>
        <v>201668.27</v>
      </c>
      <c r="V522" s="416">
        <f t="shared" ref="V522:V523" si="1822">TRUNC(U522*T522,2)</f>
        <v>201668.27</v>
      </c>
      <c r="W522" s="395">
        <f>IF($AA522="N",BDI!$D$26,IF($AA522="D",'BDI DIFE.'!$D$26,"ERRO"))</f>
        <v>0.22500000000000001</v>
      </c>
      <c r="X522" s="379">
        <f t="shared" ref="X522:X523" si="1823">TRUNC(U522*(1+W522),2)</f>
        <v>247043.63</v>
      </c>
      <c r="Y522" s="380">
        <f t="shared" ref="Y522:Y523" si="1824">TRUNC(T522*X522,2)</f>
        <v>247043.63</v>
      </c>
      <c r="Z522" s="381"/>
      <c r="AA522" s="378" t="s">
        <v>28044</v>
      </c>
      <c r="AB522" s="642"/>
    </row>
    <row r="523" spans="2:28" s="55" customFormat="1" ht="30">
      <c r="B523" s="378">
        <f t="shared" ca="1" si="1819"/>
        <v>3</v>
      </c>
      <c r="C523" s="378" t="str">
        <f>IF(RIGHT($M523) = "o", "S", RIGHT($M523))</f>
        <v>S</v>
      </c>
      <c r="D523" s="378">
        <f ca="1">IF($C523="1",OFFSET(D523,-2,0) +1,OFFSET(D523,-1,0))</f>
        <v>21</v>
      </c>
      <c r="E523" s="378">
        <f ca="1">IF($C523="2",OFFSET(E523,-1,0) +1,IF(OFFSET(D523,-1,0)&lt;&gt;D523,"0",IF(OFFSET(E523,-1,0)="","0",OFFSET(E523,-1,0))))</f>
        <v>1</v>
      </c>
      <c r="F523" s="378" t="str">
        <f ca="1">IF($C523="3",OFFSET(F523,-1,0) +1,IF(OFFSET(E523,-1,0)&lt;&gt;E523,"0",IF(OFFSET(F523,-1,0)="","0",OFFSET(F523,-1,0))))</f>
        <v>0</v>
      </c>
      <c r="G523" s="378" t="str">
        <f ca="1">IF($C523="4",OFFSET(G523,-1,0) +1,IF(OFFSET(F523,-1,0)&lt;&gt;F523,"0",IF(OFFSET(G523,-1,0)="","0",OFFSET(G523,-1,0))))</f>
        <v>0</v>
      </c>
      <c r="H523" s="378" t="str">
        <f ca="1">IF($C523="5",OFFSET(H523,-1,0) +1,IF(OFFSET(G523,-1,0)&lt;&gt;G523,"0",IF(OFFSET(H523,-1,0)="","0",OFFSET(H523,-1,0))))</f>
        <v>0</v>
      </c>
      <c r="I523" s="378" t="str">
        <f ca="1">IF($C523="6",OFFSET(I523,-1,0) +1,IF(OFFSET(H523,-1,0)&lt;&gt;H523,"0",IF(OFFSET(I523,-1,0)="","0", OFFSET(I523,-1,0))))</f>
        <v>0</v>
      </c>
      <c r="J523" s="378">
        <f ca="1">IF($C523="S",OFFSET(J523,-1,0)+1,"0")</f>
        <v>2</v>
      </c>
      <c r="K523" s="378" t="str">
        <f t="shared" si="1820"/>
        <v>NÃO</v>
      </c>
      <c r="L523" s="378" t="str">
        <f ca="1">IF(K523="NÃO",IF($B523=2,D523&amp;"."&amp;J523,IF($B523=3,D523&amp;"."&amp;E523&amp;"."&amp;J523,IF($B523=4,D523&amp;"."&amp;E523&amp;"."&amp;F523&amp;"."&amp;J523,IF($B523=5,D523&amp;"."&amp;E523&amp;"."&amp;F523&amp;"."&amp;G523&amp;"."&amp;J523,IF($B523=6,D523&amp;"."&amp;E523&amp;"."&amp;F523&amp;"."&amp;G523&amp;"."&amp;H523&amp;"."&amp;J523,IF($B523=7,D523&amp;"."&amp;E523&amp;"."&amp;F523&amp;"."&amp;G523&amp;"."&amp;H523&amp;"."&amp;I523&amp;"."&amp;J523,"FALHA")))))),K523)</f>
        <v>21.1.2</v>
      </c>
      <c r="M523" s="55" t="s">
        <v>27868</v>
      </c>
      <c r="O523" s="392" t="str">
        <f t="shared" ca="1" si="1821"/>
        <v>21.1.2</v>
      </c>
      <c r="P523" s="681" t="s">
        <v>41261</v>
      </c>
      <c r="Q523" s="682" t="s">
        <v>19586</v>
      </c>
      <c r="R523" s="415" t="str">
        <f>UPPER(IF(P523="CDHU",VLOOKUP(Q523,'CDHU 201-SD'!$A$1:$J$28014,2,FALSE),IF(P523="FDE",VLOOKUP(Q523,'FDE 01-26-SD'!$A$1:$J$280013,2,FALSE),IF(P523="PRÓPRIA",VLOOKUP(Q523,COMPOSIÇÃO!$1:$1048576,3,FALSE),VLOOKUP(Q523,'SINAPI 04-26-SD'!$A$1:$H$272700,2,FALSE)))))</f>
        <v>CO-34 CORRIMÃO DUPLO AÇO GALVANIZADO COM PINTURA ESMALTE.</v>
      </c>
      <c r="S523" s="414" t="str">
        <f>UPPER(IF(P523="CDHU",VLOOKUP(Q523,'CDHU 201-SD'!$A$1:$J$28014,3,FALSE),IF(P523="FDE",VLOOKUP(Q523,'FDE 01-26-SD'!$A$1:$J$280013,3,FALSE),IF(P523="PRÓPRIA",VLOOKUP(Q523,COMPOSIÇÃO!$1:$1048576,7,FALSE),VLOOKUP(Q523,'SINAPI 04-26-SD'!$A$1:$H$272700,3,FALSE)))))</f>
        <v>M</v>
      </c>
      <c r="T523" s="393">
        <f>VLOOKUP(Q523,'SERVIÇOS COMPLEMENTARES'!$1:$1048576,12,FALSE)</f>
        <v>13.3</v>
      </c>
      <c r="U523" s="394">
        <f>TRUNC(IF(P523="CDHU",VLOOKUP(Q523,'CDHU 201-SD'!$A$1:$J$28014,6,FALSE),IF(P523="FDE",VLOOKUP(Q523,'FDE 01-26-SD'!$A$1:$J$280013,6,FALSE),IF(P523="PRÓPRIA",VLOOKUP(Q523,COMPOSIÇÃO!$1:$1048576,10,FALSE),VLOOKUP(Q523,'SINAPI 04-26-SD'!$A$1:$H$272700,4,FALSE)))),2)</f>
        <v>646.52</v>
      </c>
      <c r="V523" s="416">
        <f t="shared" si="1822"/>
        <v>8598.7099999999991</v>
      </c>
      <c r="W523" s="395">
        <f>IF($AA523="N",BDI!$D$26,IF($AA523="D",'BDI DIFE.'!$D$26,"ERRO"))</f>
        <v>0.22500000000000001</v>
      </c>
      <c r="X523" s="379">
        <f t="shared" si="1823"/>
        <v>791.98</v>
      </c>
      <c r="Y523" s="380">
        <f t="shared" si="1824"/>
        <v>10533.33</v>
      </c>
      <c r="Z523" s="381"/>
      <c r="AA523" s="378" t="s">
        <v>28044</v>
      </c>
      <c r="AB523" s="642"/>
    </row>
    <row r="524" spans="2:28" s="55" customFormat="1" ht="31" thickBot="1">
      <c r="B524" s="378">
        <f t="shared" ca="1" si="1816"/>
        <v>3</v>
      </c>
      <c r="C524" s="378" t="str">
        <f>IF(RIGHT($M524) = "o", "S", RIGHT($M524))</f>
        <v>S</v>
      </c>
      <c r="D524" s="378">
        <f ca="1">IF($C524="1",OFFSET(D524,-2,0) +1,OFFSET(D524,-1,0))</f>
        <v>21</v>
      </c>
      <c r="E524" s="378">
        <f ca="1">IF($C524="2",OFFSET(E524,-1,0) +1,IF(OFFSET(D524,-1,0)&lt;&gt;D524,"0",IF(OFFSET(E524,-1,0)="","0",OFFSET(E524,-1,0))))</f>
        <v>1</v>
      </c>
      <c r="F524" s="378" t="str">
        <f ca="1">IF($C524="3",OFFSET(F524,-1,0) +1,IF(OFFSET(E524,-1,0)&lt;&gt;E524,"0",IF(OFFSET(F524,-1,0)="","0",OFFSET(F524,-1,0))))</f>
        <v>0</v>
      </c>
      <c r="G524" s="378" t="str">
        <f ca="1">IF($C524="4",OFFSET(G524,-1,0) +1,IF(OFFSET(F524,-1,0)&lt;&gt;F524,"0",IF(OFFSET(G524,-1,0)="","0",OFFSET(G524,-1,0))))</f>
        <v>0</v>
      </c>
      <c r="H524" s="378" t="str">
        <f ca="1">IF($C524="5",OFFSET(H524,-1,0) +1,IF(OFFSET(G524,-1,0)&lt;&gt;G524,"0",IF(OFFSET(H524,-1,0)="","0",OFFSET(H524,-1,0))))</f>
        <v>0</v>
      </c>
      <c r="I524" s="378" t="str">
        <f ca="1">IF($C524="6",OFFSET(I524,-1,0) +1,IF(OFFSET(H524,-1,0)&lt;&gt;H524,"0",IF(OFFSET(I524,-1,0)="","0", OFFSET(I524,-1,0))))</f>
        <v>0</v>
      </c>
      <c r="J524" s="378">
        <f ca="1">IF($C524="S",OFFSET(J524,-1,0)+1,"0")</f>
        <v>3</v>
      </c>
      <c r="K524" s="378" t="str">
        <f t="shared" si="1817"/>
        <v>NÃO</v>
      </c>
      <c r="L524" s="378" t="str">
        <f ca="1">IF(K524="NÃO",IF($B524=2,D524&amp;"."&amp;J524,IF($B524=3,D524&amp;"."&amp;E524&amp;"."&amp;J524,IF($B524=4,D524&amp;"."&amp;E524&amp;"."&amp;F524&amp;"."&amp;J524,IF($B524=5,D524&amp;"."&amp;E524&amp;"."&amp;F524&amp;"."&amp;G524&amp;"."&amp;J524,IF($B524=6,D524&amp;"."&amp;E524&amp;"."&amp;F524&amp;"."&amp;G524&amp;"."&amp;H524&amp;"."&amp;J524,IF($B524=7,D524&amp;"."&amp;E524&amp;"."&amp;F524&amp;"."&amp;G524&amp;"."&amp;H524&amp;"."&amp;I524&amp;"."&amp;J524,"FALHA")))))),K524)</f>
        <v>21.1.3</v>
      </c>
      <c r="M524" s="55" t="s">
        <v>27868</v>
      </c>
      <c r="O524" s="392" t="str">
        <f t="shared" ca="1" si="1818"/>
        <v>21.1.3</v>
      </c>
      <c r="P524" s="681" t="s">
        <v>29901</v>
      </c>
      <c r="Q524" s="682" t="s">
        <v>13172</v>
      </c>
      <c r="R524" s="415" t="str">
        <f>UPPER(IF(P524="CDHU",VLOOKUP(Q524,'CDHU 201-SD'!$A$1:$J$28014,2,FALSE),IF(P524="FDE",VLOOKUP(Q524,'FDE 01-26-SD'!$A$1:$J$280013,2,FALSE),IF(P524="PRÓPRIA",VLOOKUP(Q524,COMPOSIÇÃO!$1:$1048576,3,FALSE),VLOOKUP(Q524,'SINAPI 04-26-SD'!$A$1:$H$272700,2,FALSE)))))</f>
        <v>GUARDA-CORPO COM VIDRO DE 8 MM, EM TUBO DE AÇO GALVANIZADO, DIÂMETRO 1 1/2´</v>
      </c>
      <c r="S524" s="414" t="str">
        <f>UPPER(IF(P524="CDHU",VLOOKUP(Q524,'CDHU 201-SD'!$A$1:$J$28014,3,FALSE),IF(P524="FDE",VLOOKUP(Q524,'FDE 01-26-SD'!$A$1:$J$280013,3,FALSE),IF(P524="PRÓPRIA",VLOOKUP(Q524,COMPOSIÇÃO!$1:$1048576,7,FALSE),VLOOKUP(Q524,'SINAPI 04-26-SD'!$A$1:$H$272700,3,FALSE)))))</f>
        <v>M</v>
      </c>
      <c r="T524" s="393">
        <f>VLOOKUP(Q524,'SERVIÇOS COMPLEMENTARES'!$1:$1048576,12,FALSE)</f>
        <v>2.2599999999999998</v>
      </c>
      <c r="U524" s="394">
        <f>TRUNC(IF(P524="CDHU",VLOOKUP(Q524,'CDHU 201-SD'!$A$1:$J$28014,6,FALSE),IF(P524="FDE",VLOOKUP(Q524,'FDE 01-26-SD'!$A$1:$J$280013,6,FALSE),IF(P524="PRÓPRIA",VLOOKUP(Q524,COMPOSIÇÃO!$1:$1048576,10,FALSE),VLOOKUP(Q524,'SINAPI 04-26-SD'!$A$1:$H$272700,4,FALSE)))),2)</f>
        <v>987.94</v>
      </c>
      <c r="V524" s="416">
        <f t="shared" ref="V524" si="1825">TRUNC(U524*T524,2)</f>
        <v>2232.7399999999998</v>
      </c>
      <c r="W524" s="395">
        <f>IF($AA524="N",BDI!$D$26,IF($AA524="D",'BDI DIFE.'!$D$26,"ERRO"))</f>
        <v>0.22500000000000001</v>
      </c>
      <c r="X524" s="379">
        <f t="shared" ref="X524" si="1826">TRUNC(U524*(1+W524),2)</f>
        <v>1210.22</v>
      </c>
      <c r="Y524" s="380">
        <f t="shared" ref="Y524" si="1827">TRUNC(T524*X524,2)</f>
        <v>2735.09</v>
      </c>
      <c r="Z524" s="381"/>
      <c r="AA524" s="378" t="s">
        <v>28044</v>
      </c>
      <c r="AB524" s="642"/>
    </row>
    <row r="525" spans="2:28" s="55" customFormat="1" ht="16" thickBot="1">
      <c r="B525" s="378" t="str">
        <f t="shared" ca="1" si="1816"/>
        <v/>
      </c>
      <c r="C525" s="378" t="str">
        <f>IF(RIGHT($M525) = "o", "S", RIGHT($M525))</f>
        <v/>
      </c>
      <c r="D525" s="378">
        <f ca="1">IF($C525="1",OFFSET(D525,-2,0) +1,OFFSET(D525,-1,0))</f>
        <v>21</v>
      </c>
      <c r="E525" s="378">
        <f ca="1">IF($C525="2",OFFSET(E525,-1,0) +1,IF(OFFSET(D525,-1,0)&lt;&gt;D525,"0",IF(OFFSET(E525,-1,0)="","0",OFFSET(E525,-1,0))))</f>
        <v>1</v>
      </c>
      <c r="F525" s="378" t="str">
        <f ca="1">IF($C525="3",OFFSET(F525,-1,0) +1,IF(OFFSET(E525,-1,0)&lt;&gt;E525,"0",IF(OFFSET(F525,-1,0)="","0",OFFSET(F525,-1,0))))</f>
        <v>0</v>
      </c>
      <c r="G525" s="378" t="str">
        <f ca="1">IF($C525="4",OFFSET(G525,-1,0) +1,IF(OFFSET(F525,-1,0)&lt;&gt;F525,"0",IF(OFFSET(G525,-1,0)="","0",OFFSET(G525,-1,0))))</f>
        <v>0</v>
      </c>
      <c r="H525" s="378" t="str">
        <f ca="1">IF($C525="5",OFFSET(H525,-1,0) +1,IF(OFFSET(G525,-1,0)&lt;&gt;G525,"0",IF(OFFSET(H525,-1,0)="","0",OFFSET(H525,-1,0))))</f>
        <v>0</v>
      </c>
      <c r="I525" s="378" t="str">
        <f ca="1">IF($C525="6",OFFSET(I525,-1,0) +1,IF(OFFSET(H525,-1,0)&lt;&gt;H525,"0",IF(OFFSET(I525,-1,0)="","0", OFFSET(I525,-1,0))))</f>
        <v>0</v>
      </c>
      <c r="J525" s="378" t="str">
        <f ca="1">IF($C525="S",OFFSET(J525,-1,0)+1,"0")</f>
        <v>0</v>
      </c>
      <c r="K525" s="378" t="b">
        <f t="shared" si="1817"/>
        <v>0</v>
      </c>
      <c r="L525" s="378" t="b">
        <f>IF(K525="NÃO",IF($B525=2,D525&amp;"."&amp;J525,IF($B525=3,D525&amp;"."&amp;E525&amp;"."&amp;J525,IF($B525=4,D525&amp;"."&amp;E525&amp;"."&amp;F525&amp;"."&amp;J525,IF($B525=5,D525&amp;"."&amp;E525&amp;"."&amp;F525&amp;"."&amp;G525&amp;"."&amp;J525,IF($B525=6,D525&amp;"."&amp;E525&amp;"."&amp;F525&amp;"."&amp;G525&amp;"."&amp;H525&amp;"."&amp;J525,IF($B525=7,D525&amp;"."&amp;E525&amp;"."&amp;F525&amp;"."&amp;G525&amp;"."&amp;H525&amp;"."&amp;I525&amp;"."&amp;J525,"FALHA")))))),K525)</f>
        <v>0</v>
      </c>
      <c r="O525" s="192"/>
      <c r="P525" s="387"/>
      <c r="Q525" s="387"/>
      <c r="R525" s="377"/>
      <c r="S525" s="387"/>
      <c r="T525" s="363"/>
      <c r="U525" s="388"/>
      <c r="V525" s="389"/>
      <c r="W525" s="389"/>
      <c r="X525" s="389"/>
      <c r="Y525" s="390"/>
      <c r="AA525" s="378"/>
      <c r="AB525" s="642"/>
    </row>
    <row r="526" spans="2:28" s="75" customFormat="1" ht="16" thickBot="1">
      <c r="B526" s="75" t="str">
        <f t="shared" ca="1" si="1643"/>
        <v>2</v>
      </c>
      <c r="C526" s="75" t="str">
        <f t="shared" si="1814"/>
        <v>2</v>
      </c>
      <c r="D526" s="75">
        <f t="shared" ca="1" si="1195"/>
        <v>21</v>
      </c>
      <c r="E526" s="75">
        <f t="shared" ca="1" si="1644"/>
        <v>2</v>
      </c>
      <c r="F526" s="75" t="str">
        <f t="shared" ca="1" si="1645"/>
        <v>0</v>
      </c>
      <c r="G526" s="75" t="str">
        <f t="shared" ca="1" si="1646"/>
        <v>0</v>
      </c>
      <c r="H526" s="75" t="str">
        <f t="shared" ca="1" si="1647"/>
        <v>0</v>
      </c>
      <c r="I526" s="75" t="str">
        <f t="shared" ca="1" si="1648"/>
        <v>0</v>
      </c>
      <c r="J526" s="75" t="str">
        <f t="shared" ca="1" si="1196"/>
        <v>0</v>
      </c>
      <c r="K526" s="75" t="str">
        <f t="shared" ca="1" si="1649"/>
        <v>21.2</v>
      </c>
      <c r="L526" s="75" t="str">
        <f t="shared" ca="1" si="1650"/>
        <v>21.2</v>
      </c>
      <c r="M526" s="55" t="s">
        <v>27861</v>
      </c>
      <c r="O526" s="191" t="str">
        <f t="shared" ca="1" si="1815"/>
        <v>21.2</v>
      </c>
      <c r="P526" s="172"/>
      <c r="Q526" s="172"/>
      <c r="R526" s="683" t="s">
        <v>41872</v>
      </c>
      <c r="S526" s="172"/>
      <c r="T526" s="194"/>
      <c r="U526" s="195"/>
      <c r="V526" s="196">
        <f ca="1">IF(VALUE(C526)=1,SUMIFS(V:V,D:D,D526,M:M,"Serviço"),IF(VALUE(C526)=2,SUMIFS(V:V,D:D,D526,E:E,E526,M:M,"Serviço"),IF(VALUE(C526)=3,SUMIFS(V:V,D:D,D526,E:E,E526,F:F,F526,M:M,"Serviço"),IF(VALUE(C526)=4,SUMIFS(V:V,D:D,D526,E:E,E526,F:F,F526,G:G,G526,M:M,"Serviço"),"ERRO"))))</f>
        <v>16156.210000000001</v>
      </c>
      <c r="W526" s="197"/>
      <c r="X526" s="205"/>
      <c r="Y526" s="173">
        <f ca="1">IF(VALUE(C526)=1,SUMIFS(Y:Y,D:D,D526,M:M,"Serviço"),IF(VALUE(C526)=2,SUMIFS(Y:Y,D:D,D526,E:E,E526,M:M,"Serviço"),IF(VALUE(C526)=3,SUMIFS(Y:Y,D:D,D526,E:E,E526,F:F,F526,M:M,"Serviço"),IF(VALUE(C526)=4,SUMIFS(Y:Y,D:D,D526,E:E,E526,F:F,F526,G:G,G526,M:M,"Serviço"),"ERRO"))))</f>
        <v>19781.63</v>
      </c>
      <c r="AB526" s="641"/>
    </row>
    <row r="527" spans="2:28" s="55" customFormat="1">
      <c r="B527" s="378">
        <f t="shared" ref="B527" ca="1" si="1828">IF(C527="S",IF(OFFSET(C527,-1,0)="S", OFFSET(B527,-1,0), OFFSET(B527,-1,0) +1 ), C527)</f>
        <v>3</v>
      </c>
      <c r="C527" s="378" t="str">
        <f t="shared" si="1814"/>
        <v>S</v>
      </c>
      <c r="D527" s="378">
        <f t="shared" ca="1" si="1195"/>
        <v>21</v>
      </c>
      <c r="E527" s="378">
        <f t="shared" ref="E527" ca="1" si="1829">IF($C527="2",OFFSET(E527,-1,0) +1,IF(OFFSET(D527,-1,0)&lt;&gt;D527,"0",IF(OFFSET(E527,-1,0)="","0",OFFSET(E527,-1,0))))</f>
        <v>2</v>
      </c>
      <c r="F527" s="378" t="str">
        <f t="shared" ref="F527" ca="1" si="1830">IF($C527="3",OFFSET(F527,-1,0) +1,IF(OFFSET(E527,-1,0)&lt;&gt;E527,"0",IF(OFFSET(F527,-1,0)="","0",OFFSET(F527,-1,0))))</f>
        <v>0</v>
      </c>
      <c r="G527" s="378" t="str">
        <f t="shared" ref="G527" ca="1" si="1831">IF($C527="4",OFFSET(G527,-1,0) +1,IF(OFFSET(F527,-1,0)&lt;&gt;F527,"0",IF(OFFSET(G527,-1,0)="","0",OFFSET(G527,-1,0))))</f>
        <v>0</v>
      </c>
      <c r="H527" s="378" t="str">
        <f t="shared" ref="H527" ca="1" si="1832">IF($C527="5",OFFSET(H527,-1,0) +1,IF(OFFSET(G527,-1,0)&lt;&gt;G527,"0",IF(OFFSET(H527,-1,0)="","0",OFFSET(H527,-1,0))))</f>
        <v>0</v>
      </c>
      <c r="I527" s="378" t="str">
        <f t="shared" ref="I527" ca="1" si="1833">IF($C527="6",OFFSET(I527,-1,0) +1,IF(OFFSET(H527,-1,0)&lt;&gt;H527,"0",IF(OFFSET(I527,-1,0)="","0", OFFSET(I527,-1,0))))</f>
        <v>0</v>
      </c>
      <c r="J527" s="378">
        <f t="shared" ca="1" si="1196"/>
        <v>1</v>
      </c>
      <c r="K527" s="378" t="str">
        <f t="shared" ref="K527" si="1834">IF(C527="S","NÃO", IF(C527="1", D527, IF(C527="2", D527 &amp; "." &amp; E527,IF(C527="3", D527 &amp; "." &amp; E527 &amp; "." &amp; F527, IF(C527="4", D527 &amp; "." &amp; E527 &amp; "." &amp; F527 &amp; "." &amp; G527, IF(C527="5", D527 &amp; "." &amp; E527 &amp; "." &amp; F527 &amp; "." &amp; G527 &amp; "." &amp; H527, IF(C527="6", D527 &amp; "." &amp; E527 &amp; "." &amp; F527 &amp; "." &amp; G527 &amp; "." &amp; H527 &amp; "." &amp; I527)))))))</f>
        <v>NÃO</v>
      </c>
      <c r="L527" s="378" t="str">
        <f t="shared" ref="L527" ca="1" si="1835">IF(K527="NÃO",IF($B527=2,D527&amp;"."&amp;J527,IF($B527=3,D527&amp;"."&amp;E527&amp;"."&amp;J527,IF($B527=4,D527&amp;"."&amp;E527&amp;"."&amp;F527&amp;"."&amp;J527,IF($B527=5,D527&amp;"."&amp;E527&amp;"."&amp;F527&amp;"."&amp;G527&amp;"."&amp;J527,IF($B527=6,D527&amp;"."&amp;E527&amp;"."&amp;F527&amp;"."&amp;G527&amp;"."&amp;H527&amp;"."&amp;J527,IF($B527=7,D527&amp;"."&amp;E527&amp;"."&amp;F527&amp;"."&amp;G527&amp;"."&amp;H527&amp;"."&amp;I527&amp;"."&amp;J527,"FALHA")))))),K527)</f>
        <v>21.2.1</v>
      </c>
      <c r="M527" s="55" t="s">
        <v>27868</v>
      </c>
      <c r="O527" s="392" t="str">
        <f t="shared" ref="O527" ca="1" si="1836">L527</f>
        <v>21.2.1</v>
      </c>
      <c r="P527" s="681" t="s">
        <v>29901</v>
      </c>
      <c r="Q527" s="682" t="s">
        <v>17751</v>
      </c>
      <c r="R527" s="415" t="str">
        <f>UPPER(IF(P527="CDHU",VLOOKUP(Q527,'CDHU 201-SD'!$A$1:$J$28014,2,FALSE),IF(P527="FDE",VLOOKUP(Q527,'FDE 01-26-SD'!$A$1:$J$280013,2,FALSE),IF(P527="PRÓPRIA",VLOOKUP(Q527,COMPOSIÇÃO!$1:$1048576,3,FALSE),VLOOKUP(Q527,'SINAPI 04-26-SD'!$A$1:$H$272700,2,FALSE)))))</f>
        <v>LIMPEZA FINAL DA OBRA</v>
      </c>
      <c r="S527" s="414" t="str">
        <f>UPPER(IF(P527="CDHU",VLOOKUP(Q527,'CDHU 201-SD'!$A$1:$J$28014,3,FALSE),IF(P527="FDE",VLOOKUP(Q527,'FDE 01-26-SD'!$A$1:$J$280013,3,FALSE),IF(P527="PRÓPRIA",VLOOKUP(Q527,COMPOSIÇÃO!$1:$1048576,7,FALSE),VLOOKUP(Q527,'SINAPI 04-26-SD'!$A$1:$H$272700,3,FALSE)))))</f>
        <v>M2</v>
      </c>
      <c r="T527" s="393">
        <f>VLOOKUP(Q527,'SERVIÇOS COMPLEMENTARES'!$1:$1048576,12,FALSE)</f>
        <v>933.21</v>
      </c>
      <c r="U527" s="394">
        <f>TRUNC(IF(P527="CDHU",VLOOKUP(Q527,'CDHU 201-SD'!$A$1:$J$28014,6,FALSE),IF(P527="FDE",VLOOKUP(Q527,'FDE 01-26-SD'!$A$1:$J$280013,6,FALSE),IF(P527="PRÓPRIA",VLOOKUP(Q527,COMPOSIÇÃO!$1:$1048576,10,FALSE),VLOOKUP(Q527,'SINAPI 04-26-SD'!$A$1:$H$272700,4,FALSE)))),2)</f>
        <v>15.91</v>
      </c>
      <c r="V527" s="416">
        <f t="shared" ref="V527" si="1837">TRUNC(U527*T527,2)</f>
        <v>14847.37</v>
      </c>
      <c r="W527" s="395">
        <f>IF($AA527="N",BDI!$D$26,IF($AA527="D",'BDI DIFE.'!$D$26,"ERRO"))</f>
        <v>0.22500000000000001</v>
      </c>
      <c r="X527" s="379">
        <f t="shared" ref="X527" si="1838">TRUNC(U527*(1+W527),2)</f>
        <v>19.48</v>
      </c>
      <c r="Y527" s="380">
        <f t="shared" ref="Y527" si="1839">TRUNC(T527*X527,2)</f>
        <v>18178.93</v>
      </c>
      <c r="Z527" s="381"/>
      <c r="AA527" s="378" t="s">
        <v>28044</v>
      </c>
      <c r="AB527" s="642"/>
    </row>
    <row r="528" spans="2:28" s="55" customFormat="1" ht="31" thickBot="1">
      <c r="B528" s="378">
        <f t="shared" ca="1" si="1643"/>
        <v>3</v>
      </c>
      <c r="C528" s="378" t="str">
        <f t="shared" si="1814"/>
        <v>S</v>
      </c>
      <c r="D528" s="378">
        <f t="shared" ca="1" si="1195"/>
        <v>21</v>
      </c>
      <c r="E528" s="378">
        <f t="shared" ca="1" si="1644"/>
        <v>2</v>
      </c>
      <c r="F528" s="378" t="str">
        <f t="shared" ca="1" si="1645"/>
        <v>0</v>
      </c>
      <c r="G528" s="378" t="str">
        <f t="shared" ca="1" si="1646"/>
        <v>0</v>
      </c>
      <c r="H528" s="378" t="str">
        <f t="shared" ca="1" si="1647"/>
        <v>0</v>
      </c>
      <c r="I528" s="378" t="str">
        <f t="shared" ca="1" si="1648"/>
        <v>0</v>
      </c>
      <c r="J528" s="378">
        <f t="shared" ca="1" si="1196"/>
        <v>2</v>
      </c>
      <c r="K528" s="378" t="str">
        <f t="shared" si="1649"/>
        <v>NÃO</v>
      </c>
      <c r="L528" s="378" t="str">
        <f t="shared" ca="1" si="1650"/>
        <v>21.2.2</v>
      </c>
      <c r="M528" s="55" t="s">
        <v>27868</v>
      </c>
      <c r="O528" s="392" t="str">
        <f t="shared" ca="1" si="1815"/>
        <v>21.2.2</v>
      </c>
      <c r="P528" s="681" t="s">
        <v>29901</v>
      </c>
      <c r="Q528" s="682" t="s">
        <v>17755</v>
      </c>
      <c r="R528" s="415" t="str">
        <f>UPPER(IF(P528="CDHU",VLOOKUP(Q528,'CDHU 201-SD'!$A$1:$J$28014,2,FALSE),IF(P528="FDE",VLOOKUP(Q528,'FDE 01-26-SD'!$A$1:$J$280013,2,FALSE),IF(P528="PRÓPRIA",VLOOKUP(Q528,COMPOSIÇÃO!$1:$1048576,3,FALSE),VLOOKUP(Q528,'SINAPI 04-26-SD'!$A$1:$H$272700,2,FALSE)))))</f>
        <v>LIMPEZA COMPLEMENTAR E ESPECIAL DE PISO COM PRODUTOS QUÍMICOS</v>
      </c>
      <c r="S528" s="414" t="str">
        <f>UPPER(IF(P528="CDHU",VLOOKUP(Q528,'CDHU 201-SD'!$A$1:$J$28014,3,FALSE),IF(P528="FDE",VLOOKUP(Q528,'FDE 01-26-SD'!$A$1:$J$280013,3,FALSE),IF(P528="PRÓPRIA",VLOOKUP(Q528,COMPOSIÇÃO!$1:$1048576,7,FALSE),VLOOKUP(Q528,'SINAPI 04-26-SD'!$A$1:$H$272700,3,FALSE)))))</f>
        <v>M2</v>
      </c>
      <c r="T528" s="393">
        <f>VLOOKUP(Q528,'SERVIÇOS COMPLEMENTARES'!$1:$1048576,12,FALSE)</f>
        <v>193.32999999999998</v>
      </c>
      <c r="U528" s="394">
        <f>TRUNC(IF(P528="CDHU",VLOOKUP(Q528,'CDHU 201-SD'!$A$1:$J$28014,6,FALSE),IF(P528="FDE",VLOOKUP(Q528,'FDE 01-26-SD'!$A$1:$J$280013,6,FALSE),IF(P528="PRÓPRIA",VLOOKUP(Q528,COMPOSIÇÃO!$1:$1048576,10,FALSE),VLOOKUP(Q528,'SINAPI 04-26-SD'!$A$1:$H$272700,4,FALSE)))),2)</f>
        <v>6.77</v>
      </c>
      <c r="V528" s="416">
        <f t="shared" ref="V528" si="1840">TRUNC(U528*T528,2)</f>
        <v>1308.8399999999999</v>
      </c>
      <c r="W528" s="395">
        <f>IF($AA528="N",BDI!$D$26,IF($AA528="D",'BDI DIFE.'!$D$26,"ERRO"))</f>
        <v>0.22500000000000001</v>
      </c>
      <c r="X528" s="379">
        <f t="shared" ref="X528" si="1841">TRUNC(U528*(1+W528),2)</f>
        <v>8.2899999999999991</v>
      </c>
      <c r="Y528" s="380">
        <f t="shared" ref="Y528" si="1842">TRUNC(T528*X528,2)</f>
        <v>1602.7</v>
      </c>
      <c r="Z528" s="381"/>
      <c r="AA528" s="378" t="s">
        <v>28044</v>
      </c>
      <c r="AB528" s="642"/>
    </row>
    <row r="529" spans="2:29" s="55" customFormat="1" ht="16" thickBot="1">
      <c r="B529" s="378" t="str">
        <f t="shared" ref="B529" ca="1" si="1843">IF(C529="S",IF(OFFSET(C529,-1,0)="S", OFFSET(B529,-1,0), OFFSET(B529,-1,0) +1 ), C529)</f>
        <v/>
      </c>
      <c r="C529" s="378" t="str">
        <f t="shared" si="1653"/>
        <v/>
      </c>
      <c r="D529" s="378">
        <f t="shared" ca="1" si="1195"/>
        <v>21</v>
      </c>
      <c r="E529" s="378">
        <f t="shared" ref="E529" ca="1" si="1844">IF($C529="2",OFFSET(E529,-1,0) +1,IF(OFFSET(D529,-1,0)&lt;&gt;D529,"0",IF(OFFSET(E529,-1,0)="","0",OFFSET(E529,-1,0))))</f>
        <v>2</v>
      </c>
      <c r="F529" s="378" t="str">
        <f t="shared" ref="F529" ca="1" si="1845">IF($C529="3",OFFSET(F529,-1,0) +1,IF(OFFSET(E529,-1,0)&lt;&gt;E529,"0",IF(OFFSET(F529,-1,0)="","0",OFFSET(F529,-1,0))))</f>
        <v>0</v>
      </c>
      <c r="G529" s="378" t="str">
        <f t="shared" ref="G529" ca="1" si="1846">IF($C529="4",OFFSET(G529,-1,0) +1,IF(OFFSET(F529,-1,0)&lt;&gt;F529,"0",IF(OFFSET(G529,-1,0)="","0",OFFSET(G529,-1,0))))</f>
        <v>0</v>
      </c>
      <c r="H529" s="378" t="str">
        <f t="shared" ref="H529" ca="1" si="1847">IF($C529="5",OFFSET(H529,-1,0) +1,IF(OFFSET(G529,-1,0)&lt;&gt;G529,"0",IF(OFFSET(H529,-1,0)="","0",OFFSET(H529,-1,0))))</f>
        <v>0</v>
      </c>
      <c r="I529" s="378" t="str">
        <f t="shared" ref="I529" ca="1" si="1848">IF($C529="6",OFFSET(I529,-1,0) +1,IF(OFFSET(H529,-1,0)&lt;&gt;H529,"0",IF(OFFSET(I529,-1,0)="","0", OFFSET(I529,-1,0))))</f>
        <v>0</v>
      </c>
      <c r="J529" s="378" t="str">
        <f t="shared" ca="1" si="1196"/>
        <v>0</v>
      </c>
      <c r="K529" s="378" t="b">
        <f t="shared" ref="K529" si="1849">IF(C529="S","NÃO", IF(C529="1", D529, IF(C529="2", D529 &amp; "." &amp; E529,IF(C529="3", D529 &amp; "." &amp; E529 &amp; "." &amp; F529, IF(C529="4", D529 &amp; "." &amp; E529 &amp; "." &amp; F529 &amp; "." &amp; G529, IF(C529="5", D529 &amp; "." &amp; E529 &amp; "." &amp; F529 &amp; "." &amp; G529 &amp; "." &amp; H529, IF(C529="6", D529 &amp; "." &amp; E529 &amp; "." &amp; F529 &amp; "." &amp; G529 &amp; "." &amp; H529 &amp; "." &amp; I529)))))))</f>
        <v>0</v>
      </c>
      <c r="L529" s="378" t="b">
        <f t="shared" ref="L529" si="1850">IF(K529="NÃO",IF($B529=2,D529&amp;"."&amp;J529,IF($B529=3,D529&amp;"."&amp;E529&amp;"."&amp;J529,IF($B529=4,D529&amp;"."&amp;E529&amp;"."&amp;F529&amp;"."&amp;J529,IF($B529=5,D529&amp;"."&amp;E529&amp;"."&amp;F529&amp;"."&amp;G529&amp;"."&amp;J529,IF($B529=6,D529&amp;"."&amp;E529&amp;"."&amp;F529&amp;"."&amp;G529&amp;"."&amp;H529&amp;"."&amp;J529,IF($B529=7,D529&amp;"."&amp;E529&amp;"."&amp;F529&amp;"."&amp;G529&amp;"."&amp;H529&amp;"."&amp;I529&amp;"."&amp;J529,"FALHA")))))),K529)</f>
        <v>0</v>
      </c>
      <c r="O529" s="192"/>
      <c r="P529" s="387"/>
      <c r="Q529" s="387"/>
      <c r="R529" s="377"/>
      <c r="S529" s="387"/>
      <c r="T529" s="363"/>
      <c r="U529" s="388"/>
      <c r="V529" s="389"/>
      <c r="W529" s="389"/>
      <c r="X529" s="389"/>
      <c r="Y529" s="390"/>
      <c r="AB529" s="643" t="s">
        <v>44288</v>
      </c>
      <c r="AC529" s="106" t="s">
        <v>41873</v>
      </c>
    </row>
    <row r="530" spans="2:29" s="55" customFormat="1" ht="19" thickBot="1">
      <c r="O530" s="957" t="s">
        <v>27889</v>
      </c>
      <c r="P530" s="958"/>
      <c r="Q530" s="958"/>
      <c r="R530" s="958"/>
      <c r="S530" s="958"/>
      <c r="T530" s="959"/>
      <c r="U530" s="954">
        <f ca="1">TRUNC(SUMIF($M:$M,"NÍVEL 1",$V:$V),2)</f>
        <v>2709839.48</v>
      </c>
      <c r="V530" s="955"/>
      <c r="W530" s="956"/>
      <c r="X530" s="954">
        <f ca="1">TRUNC(SUMIF($M:$M,"NÍVEL 1",$Y:$Y),2)</f>
        <v>3319298.84</v>
      </c>
      <c r="Y530" s="956"/>
      <c r="Z530" s="106"/>
      <c r="AB530" s="643">
        <v>3500000</v>
      </c>
      <c r="AC530" s="106">
        <f ca="1">AB530-X530</f>
        <v>180701.16000000015</v>
      </c>
    </row>
    <row r="531" spans="2:29" s="55" customFormat="1" ht="19" thickBot="1">
      <c r="O531" s="968" t="s">
        <v>41886</v>
      </c>
      <c r="P531" s="968"/>
      <c r="Q531" s="968"/>
      <c r="R531" s="968"/>
      <c r="S531" s="967">
        <f>'FOLHA RESUMO'!C35</f>
        <v>933.21</v>
      </c>
      <c r="T531" s="967"/>
      <c r="U531" s="966">
        <f ca="1">U530/$S$531</f>
        <v>2903.7831570600401</v>
      </c>
      <c r="V531" s="966"/>
      <c r="W531" s="966"/>
      <c r="X531" s="966">
        <f ca="1">X530/S531</f>
        <v>3556.8616281437189</v>
      </c>
      <c r="Y531" s="966"/>
      <c r="Z531" s="106"/>
      <c r="AB531" s="643"/>
      <c r="AC531" s="106"/>
    </row>
    <row r="532" spans="2:29" s="55" customFormat="1" ht="18">
      <c r="O532" s="685"/>
      <c r="P532" s="686"/>
      <c r="Q532" s="686"/>
      <c r="R532" s="686"/>
      <c r="S532" s="690"/>
      <c r="T532" s="690"/>
      <c r="U532" s="691"/>
      <c r="V532" s="691"/>
      <c r="W532" s="691"/>
      <c r="X532" s="691"/>
      <c r="Y532" s="692"/>
      <c r="Z532" s="106"/>
      <c r="AB532" s="643"/>
      <c r="AC532" s="106"/>
    </row>
    <row r="533" spans="2:29">
      <c r="O533" s="561"/>
      <c r="P533" s="53"/>
      <c r="Q533" s="53"/>
      <c r="R533" s="53"/>
      <c r="S533" s="53"/>
      <c r="T533" s="53"/>
      <c r="U533" s="53"/>
      <c r="V533" s="53"/>
      <c r="W533" s="53"/>
      <c r="X533" s="53"/>
      <c r="Y533" s="418" t="s">
        <v>44950</v>
      </c>
    </row>
    <row r="534" spans="2:29">
      <c r="O534" s="417"/>
      <c r="P534" s="477"/>
      <c r="Q534" s="477"/>
      <c r="R534" s="477"/>
      <c r="S534" s="477"/>
      <c r="T534" s="477"/>
      <c r="U534" s="477"/>
      <c r="V534" s="477"/>
      <c r="W534" s="477"/>
      <c r="X534" s="477"/>
      <c r="Y534" s="418"/>
    </row>
    <row r="535" spans="2:29">
      <c r="O535" s="960" t="s">
        <v>27890</v>
      </c>
      <c r="P535" s="961"/>
      <c r="Q535" s="961"/>
      <c r="R535" s="961"/>
      <c r="S535" s="961"/>
      <c r="T535" s="961"/>
      <c r="U535" s="961"/>
      <c r="V535" s="961"/>
      <c r="W535" s="961"/>
      <c r="X535" s="961"/>
      <c r="Y535" s="962"/>
    </row>
    <row r="536" spans="2:29">
      <c r="O536" s="963" t="s">
        <v>27891</v>
      </c>
      <c r="P536" s="964"/>
      <c r="Q536" s="964"/>
      <c r="R536" s="964"/>
      <c r="S536" s="964"/>
      <c r="T536" s="964"/>
      <c r="U536" s="964"/>
      <c r="V536" s="964"/>
      <c r="W536" s="964"/>
      <c r="X536" s="964"/>
      <c r="Y536" s="965"/>
    </row>
    <row r="537" spans="2:29">
      <c r="O537" s="960" t="str">
        <f>O541</f>
        <v>JOEL RODRIGO CARDOZO</v>
      </c>
      <c r="P537" s="961"/>
      <c r="Q537" s="961"/>
      <c r="R537" s="961"/>
      <c r="S537" s="961"/>
      <c r="T537" s="961"/>
      <c r="U537" s="961"/>
      <c r="V537" s="961"/>
      <c r="W537" s="961"/>
      <c r="X537" s="961"/>
      <c r="Y537" s="962"/>
    </row>
    <row r="538" spans="2:29" ht="16" thickBot="1">
      <c r="O538" s="951" t="str">
        <f>O542</f>
        <v>CREA 506.404.151-8</v>
      </c>
      <c r="P538" s="952"/>
      <c r="Q538" s="952"/>
      <c r="R538" s="952"/>
      <c r="S538" s="952"/>
      <c r="T538" s="952"/>
      <c r="U538" s="952"/>
      <c r="V538" s="952"/>
      <c r="W538" s="952"/>
      <c r="X538" s="952"/>
      <c r="Y538" s="953"/>
    </row>
    <row r="539" spans="2:29">
      <c r="O539" s="176"/>
      <c r="P539" s="176"/>
      <c r="Q539" s="176"/>
      <c r="R539" s="176"/>
      <c r="S539" s="176"/>
      <c r="T539" s="176"/>
      <c r="U539" s="176"/>
      <c r="V539" s="176"/>
      <c r="W539" s="176"/>
      <c r="X539" s="176"/>
      <c r="Y539" s="176"/>
    </row>
    <row r="540" spans="2:29" ht="16" thickBot="1">
      <c r="O540" s="112" t="s">
        <v>27892</v>
      </c>
      <c r="P540" s="112"/>
      <c r="Q540" s="112"/>
      <c r="R540" s="112"/>
      <c r="S540" s="112"/>
      <c r="T540" s="112"/>
      <c r="U540" s="112"/>
      <c r="V540" s="112"/>
      <c r="W540" s="112"/>
      <c r="X540" s="112"/>
      <c r="Y540" s="112"/>
    </row>
    <row r="541" spans="2:29">
      <c r="O541" s="201" t="s">
        <v>27893</v>
      </c>
      <c r="P541" s="202"/>
    </row>
    <row r="542" spans="2:29" ht="16" thickBot="1">
      <c r="O542" s="203" t="s">
        <v>27894</v>
      </c>
      <c r="P542" s="204"/>
    </row>
    <row r="543" spans="2:29">
      <c r="O543" s="112"/>
      <c r="P543" s="112"/>
    </row>
    <row r="544" spans="2:29">
      <c r="O544" t="s">
        <v>27893</v>
      </c>
      <c r="P544" s="112"/>
    </row>
    <row r="545" spans="15:16">
      <c r="O545" s="112" t="s">
        <v>27894</v>
      </c>
      <c r="P545" s="112"/>
    </row>
    <row r="546" spans="15:16">
      <c r="P546"/>
    </row>
    <row r="547" spans="15:16">
      <c r="O547" s="112"/>
    </row>
  </sheetData>
  <autoFilter ref="P1:P547" xr:uid="{00000000-0001-0000-0A00-000000000000}"/>
  <mergeCells count="26">
    <mergeCell ref="O7:Y7"/>
    <mergeCell ref="Q8:Q9"/>
    <mergeCell ref="P8:P9"/>
    <mergeCell ref="U8:W8"/>
    <mergeCell ref="X8:Y8"/>
    <mergeCell ref="T8:T9"/>
    <mergeCell ref="S8:S9"/>
    <mergeCell ref="R8:R9"/>
    <mergeCell ref="O8:O9"/>
    <mergeCell ref="U1:Y6"/>
    <mergeCell ref="O1:T1"/>
    <mergeCell ref="P3:T3"/>
    <mergeCell ref="P4:T4"/>
    <mergeCell ref="P5:T5"/>
    <mergeCell ref="P6:T6"/>
    <mergeCell ref="O538:Y538"/>
    <mergeCell ref="U530:W530"/>
    <mergeCell ref="X530:Y530"/>
    <mergeCell ref="O530:T530"/>
    <mergeCell ref="O535:Y535"/>
    <mergeCell ref="O536:Y536"/>
    <mergeCell ref="O537:Y537"/>
    <mergeCell ref="U531:W531"/>
    <mergeCell ref="X531:Y531"/>
    <mergeCell ref="S531:T531"/>
    <mergeCell ref="O531:R531"/>
  </mergeCells>
  <phoneticPr fontId="36" type="noConversion"/>
  <conditionalFormatting sqref="O10:X11 O217:Y217 O344:Y344 O480:Y480 O529:Y529 Y45:Y46 Y26 Y29 Y148 O143:Y144 R490 Y490 R526 O520:Y521 Y526 O469:Y469 P471:Q472 O41:Y41 R236 Y236 R499:R500 Y499:Y500 R505 Y505 P501:Q503 P514:Q518 Q169:Q176 P491:Q497 R429 Y429 O286:Y286 P402:Q427">
    <cfRule type="expression" dxfId="2007" priority="6965">
      <formula>$M10="NÍVEL 1"</formula>
    </cfRule>
    <cfRule type="expression" dxfId="2006" priority="6966">
      <formula>$M10="NÍVEL 2"</formula>
    </cfRule>
    <cfRule type="expression" dxfId="2005" priority="6967">
      <formula>$M10="NÍVEL 3"</formula>
    </cfRule>
  </conditionalFormatting>
  <conditionalFormatting sqref="T12 R66:S68 U66:Y68 R150:S150 U150:Y150 O258 R258:Y258 O296 R296:Y296 O302 R302:Y302 O304 R304:Y304 O341 R341:Y341 O390 R390:Y390 R60:S64 T15:T16 T27 R56:S56 O56:P56 O66:P68 O60:P64 O147:Y147 O145:P146 P161 P164 O168 P213:P216 O477:O479 R477:S479 O525:Y525 R524:S524 O524 O455:O456 R455:Y456 O459:O461 R459:Y461 R470:Y470 O470:P470 R145:Y146 T149:T150 O150:P152 R151:Y152 T38:T39 T42:T43 T156:T158 T161 T164 T190:T192 O263 R263:Y263 P261:P262 O267 R267:Y267 U524:Y524 T179:T180 T195:T197 U477:Y479 P245:P247 O273 R273:Y273 P272:P273 R33:S33 U33:Y33 O33:P34 R34:Y34 U56:Y56 U60:Y64 O52 R52:S54 O53:P54 U52:Y54 T51:T56 R96:S98 U96:Y98 O96:P98 R88:S94 O88:P94 U88:Y94 T125:T132 P136:P137 T135:T141 R430:Y435 O430:P435 O438:P440 O441:O444 R438:Y444 O506:O511 R506:S508 U506:Y508 R509:Y511 O514:O518 R514:Y518 T30:T33 O169:P176 R168:Y176 P183:P186 T183:T186 O210:P210 R210:Y210 O219:P221 R219:Y221 O234:P234 R234:Y234 O352:O355 R352:Y355 P348:P351 O364 R364:Y364 P379 P382:P385 O287:P289 R287:Y289 O242:O250 P242:P243 O239:P241 R239:Y250 R72:S76 O72:P76 U72:Y76 O327 R327:Y327 P328 O359:O362 R359:Y362 P360:P363 P374 O372:O374 R372:Y374 P389 O402:O413 R402:Y413 O417:O426 R417:Y426 R322:Y322 O322:P322 R78:S84 U78:Y84 O78:P84 T206">
    <cfRule type="expression" dxfId="2004" priority="6874">
      <formula>$M12="NÍVEL 1"</formula>
    </cfRule>
    <cfRule type="expression" dxfId="2003" priority="6875">
      <formula>$M12="NÍVEL 2"</formula>
    </cfRule>
    <cfRule type="expression" dxfId="2002" priority="6876" stopIfTrue="1">
      <formula>$M12="NÍVEL 3"</formula>
    </cfRule>
  </conditionalFormatting>
  <conditionalFormatting sqref="O12:P12 R12:S12 U12:Y12">
    <cfRule type="expression" dxfId="2001" priority="6798">
      <formula>$M12="NÍVEL 1"</formula>
    </cfRule>
    <cfRule type="expression" dxfId="2000" priority="6799">
      <formula>$M12="NÍVEL 2"</formula>
    </cfRule>
    <cfRule type="expression" dxfId="1999" priority="6800" stopIfTrue="1">
      <formula>$M12="NÍVEL 3"</formula>
    </cfRule>
  </conditionalFormatting>
  <conditionalFormatting sqref="Q12 Q190:Q192 Q258 Q180 Q15:Q16 Q27 Q38:Q39 Q56 Q66:Q68 Q59:Q64 Q145:Q146 Q195:Q197 Q213:Q216 Q454:Q467 Q470 Q149:Q152 Q42:Q43 Q156:Q158 Q263 Q266:Q267 Q219:Q221 Q273 Q51:Q54 Q96:Q98 Q87:Q94 Q126 Q136:Q137 Q430:Q450 Q30:Q34 Q183:Q186 Q210 Q346:Q355 Q377:Q385 Q522:Q524 Q239:Q250 Q233:Q234 Q71:Q76 Q326:Q333 Q336:Q343 Q358:Q364 Q367:Q374 Q388:Q399 Q287:Q322 Q78:Q84 Q206">
    <cfRule type="expression" dxfId="1998" priority="6790">
      <formula>$M12="NÍVEL 1"</formula>
    </cfRule>
    <cfRule type="expression" dxfId="1997" priority="6791">
      <formula>$M12="NÍVEL 2"</formula>
    </cfRule>
  </conditionalFormatting>
  <conditionalFormatting sqref="Q12 Q190:Q192 Q258 Q180 Q15:Q16 Q27 Q38:Q39 Q56 Q66:Q68 Q59:Q64 Q145:Q146 Q195:Q197 Q213:Q216 Q454:Q467 Q470 Q149:Q152 Q42:Q43 Q156:Q158 Q263 Q266:Q267 Q219:Q221 Q273 Q51:Q54 Q96:Q98 Q87:Q94 Q126 Q136:Q137 Q430:Q450 Q30:Q34 Q183:Q186 Q210 Q346:Q355 Q377:Q385 Q522:Q524 Q239:Q250 Q233:Q234 Q71:Q76 Q326:Q333 Q336:Q343 Q358:Q364 Q367:Q374 Q388:Q399 Q287:Q322 Q78:Q84 Q206">
    <cfRule type="expression" dxfId="1996" priority="6789" stopIfTrue="1">
      <formula>$M12="NÍVEL 3"</formula>
    </cfRule>
  </conditionalFormatting>
  <conditionalFormatting sqref="M8:M9">
    <cfRule type="expression" dxfId="1995" priority="6505">
      <formula>$M8 = "Nível 4"</formula>
    </cfRule>
    <cfRule type="expression" dxfId="1994" priority="6506">
      <formula>$M8 = "Nível 3"</formula>
    </cfRule>
    <cfRule type="expression" dxfId="1993" priority="6507">
      <formula>$M8 = "Nível 2"</formula>
    </cfRule>
    <cfRule type="expression" dxfId="1992" priority="6508">
      <formula>$M8 = "Nível 1"</formula>
    </cfRule>
  </conditionalFormatting>
  <conditionalFormatting sqref="O13:Y13">
    <cfRule type="expression" dxfId="1991" priority="5788">
      <formula>$M13="NÍVEL 1"</formula>
    </cfRule>
    <cfRule type="expression" dxfId="1990" priority="5789">
      <formula>$M13="NÍVEL 2"</formula>
    </cfRule>
    <cfRule type="expression" dxfId="1989" priority="5790" stopIfTrue="1">
      <formula>$M13="NÍVEL 3"</formula>
    </cfRule>
  </conditionalFormatting>
  <conditionalFormatting sqref="O42:P42 R42:S42 U42:Y42">
    <cfRule type="expression" dxfId="1988" priority="5455">
      <formula>$M42="NÍVEL 1"</formula>
    </cfRule>
    <cfRule type="expression" dxfId="1987" priority="5456">
      <formula>$M42="NÍVEL 2"</formula>
    </cfRule>
    <cfRule type="expression" dxfId="1986" priority="5457" stopIfTrue="1">
      <formula>$M42="NÍVEL 3"</formula>
    </cfRule>
  </conditionalFormatting>
  <conditionalFormatting sqref="O14:X14">
    <cfRule type="expression" dxfId="1985" priority="5449">
      <formula>$M14="NÍVEL 1"</formula>
    </cfRule>
    <cfRule type="expression" dxfId="1984" priority="5450">
      <formula>$M14="NÍVEL 2"</formula>
    </cfRule>
    <cfRule type="expression" dxfId="1983" priority="5451">
      <formula>$M14="NÍVEL 3"</formula>
    </cfRule>
  </conditionalFormatting>
  <conditionalFormatting sqref="Q19">
    <cfRule type="expression" dxfId="1982" priority="5441">
      <formula>$M19="NÍVEL 1"</formula>
    </cfRule>
    <cfRule type="expression" dxfId="1981" priority="5442">
      <formula>$M19="NÍVEL 2"</formula>
    </cfRule>
  </conditionalFormatting>
  <conditionalFormatting sqref="Q19">
    <cfRule type="expression" dxfId="1980" priority="5440" stopIfTrue="1">
      <formula>$M19="NÍVEL 3"</formula>
    </cfRule>
  </conditionalFormatting>
  <conditionalFormatting sqref="O15:O16 R15:S16 U15:Y16">
    <cfRule type="expression" dxfId="1979" priority="5431">
      <formula>$M15="NÍVEL 1"</formula>
    </cfRule>
    <cfRule type="expression" dxfId="1978" priority="5432">
      <formula>$M15="NÍVEL 2"</formula>
    </cfRule>
    <cfRule type="expression" dxfId="1977" priority="5433" stopIfTrue="1">
      <formula>$M15="NÍVEL 3"</formula>
    </cfRule>
  </conditionalFormatting>
  <conditionalFormatting sqref="O17:Y17">
    <cfRule type="expression" dxfId="1976" priority="5428">
      <formula>$M17="NÍVEL 1"</formula>
    </cfRule>
    <cfRule type="expression" dxfId="1975" priority="5429">
      <formula>$M17="NÍVEL 2"</formula>
    </cfRule>
    <cfRule type="expression" dxfId="1974" priority="5430" stopIfTrue="1">
      <formula>$M17="NÍVEL 3"</formula>
    </cfRule>
  </conditionalFormatting>
  <conditionalFormatting sqref="O18:X18">
    <cfRule type="expression" dxfId="1973" priority="5425">
      <formula>$M18="NÍVEL 1"</formula>
    </cfRule>
    <cfRule type="expression" dxfId="1972" priority="5426">
      <formula>$M18="NÍVEL 2"</formula>
    </cfRule>
    <cfRule type="expression" dxfId="1971" priority="5427">
      <formula>$M18="NÍVEL 3"</formula>
    </cfRule>
  </conditionalFormatting>
  <conditionalFormatting sqref="O19:P19 R19:S19 U19:Y19">
    <cfRule type="expression" dxfId="1970" priority="5422">
      <formula>$M19="NÍVEL 1"</formula>
    </cfRule>
    <cfRule type="expression" dxfId="1969" priority="5423">
      <formula>$M19="NÍVEL 2"</formula>
    </cfRule>
    <cfRule type="expression" dxfId="1968" priority="5424" stopIfTrue="1">
      <formula>$M19="NÍVEL 3"</formula>
    </cfRule>
  </conditionalFormatting>
  <conditionalFormatting sqref="O50:X50">
    <cfRule type="expression" dxfId="1967" priority="5380">
      <formula>$M50="NÍVEL 1"</formula>
    </cfRule>
    <cfRule type="expression" dxfId="1966" priority="5381">
      <formula>$M50="NÍVEL 2"</formula>
    </cfRule>
    <cfRule type="expression" dxfId="1965" priority="5382">
      <formula>$M50="NÍVEL 3"</formula>
    </cfRule>
  </conditionalFormatting>
  <conditionalFormatting sqref="O51:P51 R51:S51 U51:Y51">
    <cfRule type="expression" dxfId="1964" priority="5374">
      <formula>$M51="NÍVEL 1"</formula>
    </cfRule>
    <cfRule type="expression" dxfId="1963" priority="5375">
      <formula>$M51="NÍVEL 2"</formula>
    </cfRule>
    <cfRule type="expression" dxfId="1962" priority="5376" stopIfTrue="1">
      <formula>$M51="NÍVEL 3"</formula>
    </cfRule>
  </conditionalFormatting>
  <conditionalFormatting sqref="O58:X58">
    <cfRule type="expression" dxfId="1961" priority="5371">
      <formula>$M58="NÍVEL 1"</formula>
    </cfRule>
    <cfRule type="expression" dxfId="1960" priority="5372">
      <formula>$M58="NÍVEL 2"</formula>
    </cfRule>
    <cfRule type="expression" dxfId="1959" priority="5373">
      <formula>$M58="NÍVEL 3"</formula>
    </cfRule>
  </conditionalFormatting>
  <conditionalFormatting sqref="O59:P59 R59:S59 U59:Y59">
    <cfRule type="expression" dxfId="1958" priority="5368">
      <formula>$M59="NÍVEL 1"</formula>
    </cfRule>
    <cfRule type="expression" dxfId="1957" priority="5369">
      <formula>$M59="NÍVEL 2"</formula>
    </cfRule>
    <cfRule type="expression" dxfId="1956" priority="5370" stopIfTrue="1">
      <formula>$M59="NÍVEL 3"</formula>
    </cfRule>
  </conditionalFormatting>
  <conditionalFormatting sqref="O57:Y57">
    <cfRule type="expression" dxfId="1955" priority="5365">
      <formula>$M57="NÍVEL 1"</formula>
    </cfRule>
    <cfRule type="expression" dxfId="1954" priority="5366">
      <formula>$M57="NÍVEL 2"</formula>
    </cfRule>
    <cfRule type="expression" dxfId="1953" priority="5367" stopIfTrue="1">
      <formula>$M57="NÍVEL 3"</formula>
    </cfRule>
  </conditionalFormatting>
  <conditionalFormatting sqref="Q109">
    <cfRule type="expression" dxfId="1952" priority="5351">
      <formula>$M109="NÍVEL 1"</formula>
    </cfRule>
    <cfRule type="expression" dxfId="1951" priority="5352">
      <formula>$M109="NÍVEL 2"</formula>
    </cfRule>
  </conditionalFormatting>
  <conditionalFormatting sqref="Q109">
    <cfRule type="expression" dxfId="1950" priority="5350" stopIfTrue="1">
      <formula>$M109="NÍVEL 3"</formula>
    </cfRule>
  </conditionalFormatting>
  <conditionalFormatting sqref="O108:X108">
    <cfRule type="expression" dxfId="1949" priority="5347">
      <formula>$M108="NÍVEL 1"</formula>
    </cfRule>
    <cfRule type="expression" dxfId="1948" priority="5348">
      <formula>$M108="NÍVEL 2"</formula>
    </cfRule>
    <cfRule type="expression" dxfId="1947" priority="5349">
      <formula>$M108="NÍVEL 3"</formula>
    </cfRule>
  </conditionalFormatting>
  <conditionalFormatting sqref="O107:Y107">
    <cfRule type="expression" dxfId="1946" priority="5341">
      <formula>$M107="NÍVEL 1"</formula>
    </cfRule>
    <cfRule type="expression" dxfId="1945" priority="5342">
      <formula>$M107="NÍVEL 2"</formula>
    </cfRule>
    <cfRule type="expression" dxfId="1944" priority="5343" stopIfTrue="1">
      <formula>$M107="NÍVEL 3"</formula>
    </cfRule>
  </conditionalFormatting>
  <conditionalFormatting sqref="O142:Y142">
    <cfRule type="expression" dxfId="1943" priority="5272">
      <formula>$M142="NÍVEL 1"</formula>
    </cfRule>
    <cfRule type="expression" dxfId="1942" priority="5273">
      <formula>$M142="NÍVEL 2"</formula>
    </cfRule>
    <cfRule type="expression" dxfId="1941" priority="5274" stopIfTrue="1">
      <formula>$M142="NÍVEL 3"</formula>
    </cfRule>
  </conditionalFormatting>
  <conditionalFormatting sqref="O40:Y40">
    <cfRule type="expression" dxfId="1940" priority="5017">
      <formula>$M40="NÍVEL 1"</formula>
    </cfRule>
    <cfRule type="expression" dxfId="1939" priority="5018">
      <formula>$M40="NÍVEL 2"</formula>
    </cfRule>
    <cfRule type="expression" dxfId="1938" priority="5019" stopIfTrue="1">
      <formula>$M40="NÍVEL 3"</formula>
    </cfRule>
  </conditionalFormatting>
  <conditionalFormatting sqref="O45:X45">
    <cfRule type="expression" dxfId="1937" priority="4837">
      <formula>$M45="NÍVEL 1"</formula>
    </cfRule>
    <cfRule type="expression" dxfId="1936" priority="4838">
      <formula>$M45="NÍVEL 2"</formula>
    </cfRule>
    <cfRule type="expression" dxfId="1935" priority="4839">
      <formula>$M45="NÍVEL 3"</formula>
    </cfRule>
  </conditionalFormatting>
  <conditionalFormatting sqref="O148:X148">
    <cfRule type="expression" dxfId="1934" priority="4792">
      <formula>$M148="NÍVEL 1"</formula>
    </cfRule>
    <cfRule type="expression" dxfId="1933" priority="4793">
      <formula>$M148="NÍVEL 2"</formula>
    </cfRule>
    <cfRule type="expression" dxfId="1932" priority="4794">
      <formula>$M148="NÍVEL 3"</formula>
    </cfRule>
  </conditionalFormatting>
  <conditionalFormatting sqref="O149:P149 R149:S149 U149:Y149">
    <cfRule type="expression" dxfId="1931" priority="4789">
      <formula>$M149="NÍVEL 1"</formula>
    </cfRule>
    <cfRule type="expression" dxfId="1930" priority="4790">
      <formula>$M149="NÍVEL 2"</formula>
    </cfRule>
    <cfRule type="expression" dxfId="1929" priority="4791" stopIfTrue="1">
      <formula>$M149="NÍVEL 3"</formula>
    </cfRule>
  </conditionalFormatting>
  <conditionalFormatting sqref="R55:S55 O55 U55:Y55">
    <cfRule type="expression" dxfId="1928" priority="4735">
      <formula>$M55="NÍVEL 1"</formula>
    </cfRule>
    <cfRule type="expression" dxfId="1927" priority="4736">
      <formula>$M55="NÍVEL 2"</formula>
    </cfRule>
    <cfRule type="expression" dxfId="1926" priority="4737" stopIfTrue="1">
      <formula>$M55="NÍVEL 3"</formula>
    </cfRule>
  </conditionalFormatting>
  <conditionalFormatting sqref="Q55">
    <cfRule type="expression" dxfId="1925" priority="4733">
      <formula>$M55="NÍVEL 1"</formula>
    </cfRule>
    <cfRule type="expression" dxfId="1924" priority="4734">
      <formula>$M55="NÍVEL 2"</formula>
    </cfRule>
  </conditionalFormatting>
  <conditionalFormatting sqref="Q55">
    <cfRule type="expression" dxfId="1923" priority="4732" stopIfTrue="1">
      <formula>$M55="NÍVEL 3"</formula>
    </cfRule>
  </conditionalFormatting>
  <conditionalFormatting sqref="P55">
    <cfRule type="expression" dxfId="1922" priority="4729">
      <formula>$M55="NÍVEL 1"</formula>
    </cfRule>
    <cfRule type="expression" dxfId="1921" priority="4730">
      <formula>$M55="NÍVEL 2"</formula>
    </cfRule>
    <cfRule type="expression" dxfId="1920" priority="4731" stopIfTrue="1">
      <formula>$M55="NÍVEL 3"</formula>
    </cfRule>
  </conditionalFormatting>
  <conditionalFormatting sqref="R65:S65 O65 U65:Y65">
    <cfRule type="expression" dxfId="1919" priority="4726">
      <formula>$M65="NÍVEL 1"</formula>
    </cfRule>
    <cfRule type="expression" dxfId="1918" priority="4727">
      <formula>$M65="NÍVEL 2"</formula>
    </cfRule>
    <cfRule type="expression" dxfId="1917" priority="4728" stopIfTrue="1">
      <formula>$M65="NÍVEL 3"</formula>
    </cfRule>
  </conditionalFormatting>
  <conditionalFormatting sqref="Q65">
    <cfRule type="expression" dxfId="1916" priority="4724">
      <formula>$M65="NÍVEL 1"</formula>
    </cfRule>
    <cfRule type="expression" dxfId="1915" priority="4725">
      <formula>$M65="NÍVEL 2"</formula>
    </cfRule>
  </conditionalFormatting>
  <conditionalFormatting sqref="Q65">
    <cfRule type="expression" dxfId="1914" priority="4723" stopIfTrue="1">
      <formula>$M65="NÍVEL 3"</formula>
    </cfRule>
  </conditionalFormatting>
  <conditionalFormatting sqref="P65">
    <cfRule type="expression" dxfId="1913" priority="4720">
      <formula>$M65="NÍVEL 1"</formula>
    </cfRule>
    <cfRule type="expression" dxfId="1912" priority="4721">
      <formula>$M65="NÍVEL 2"</formula>
    </cfRule>
    <cfRule type="expression" dxfId="1911" priority="4722" stopIfTrue="1">
      <formula>$M65="NÍVEL 3"</formula>
    </cfRule>
  </conditionalFormatting>
  <conditionalFormatting sqref="P15:P16">
    <cfRule type="expression" dxfId="1910" priority="4690">
      <formula>$M15="NÍVEL 1"</formula>
    </cfRule>
    <cfRule type="expression" dxfId="1909" priority="4691">
      <formula>$M15="NÍVEL 2"</formula>
    </cfRule>
    <cfRule type="expression" dxfId="1908" priority="4692" stopIfTrue="1">
      <formula>$M15="NÍVEL 3"</formula>
    </cfRule>
  </conditionalFormatting>
  <conditionalFormatting sqref="O48 R48:S48 U48:Y48">
    <cfRule type="expression" dxfId="1907" priority="4672">
      <formula>$M48="NÍVEL 1"</formula>
    </cfRule>
    <cfRule type="expression" dxfId="1906" priority="4673">
      <formula>$M48="NÍVEL 2"</formula>
    </cfRule>
    <cfRule type="expression" dxfId="1905" priority="4674" stopIfTrue="1">
      <formula>$M48="NÍVEL 3"</formula>
    </cfRule>
  </conditionalFormatting>
  <conditionalFormatting sqref="O46:X46">
    <cfRule type="expression" dxfId="1904" priority="4666">
      <formula>$M46="NÍVEL 1"</formula>
    </cfRule>
    <cfRule type="expression" dxfId="1903" priority="4667">
      <formula>$M46="NÍVEL 2"</formula>
    </cfRule>
    <cfRule type="expression" dxfId="1902" priority="4668">
      <formula>$M46="NÍVEL 3"</formula>
    </cfRule>
  </conditionalFormatting>
  <conditionalFormatting sqref="O47 R47:S47 U47:Y47">
    <cfRule type="expression" dxfId="1901" priority="4663">
      <formula>$M47="NÍVEL 1"</formula>
    </cfRule>
    <cfRule type="expression" dxfId="1900" priority="4664">
      <formula>$M47="NÍVEL 2"</formula>
    </cfRule>
    <cfRule type="expression" dxfId="1899" priority="4665" stopIfTrue="1">
      <formula>$M47="NÍVEL 3"</formula>
    </cfRule>
  </conditionalFormatting>
  <conditionalFormatting sqref="O49:Y49">
    <cfRule type="expression" dxfId="1898" priority="4660">
      <formula>$M49="NÍVEL 1"</formula>
    </cfRule>
    <cfRule type="expression" dxfId="1897" priority="4661">
      <formula>$M49="NÍVEL 2"</formula>
    </cfRule>
    <cfRule type="expression" dxfId="1896" priority="4662" stopIfTrue="1">
      <formula>$M49="NÍVEL 3"</formula>
    </cfRule>
  </conditionalFormatting>
  <conditionalFormatting sqref="P48">
    <cfRule type="expression" dxfId="1895" priority="4657">
      <formula>$M48="NÍVEL 1"</formula>
    </cfRule>
    <cfRule type="expression" dxfId="1894" priority="4658">
      <formula>$M48="NÍVEL 2"</formula>
    </cfRule>
    <cfRule type="expression" dxfId="1893" priority="4659" stopIfTrue="1">
      <formula>$M48="NÍVEL 3"</formula>
    </cfRule>
  </conditionalFormatting>
  <conditionalFormatting sqref="Q47:Q48">
    <cfRule type="expression" dxfId="1892" priority="4655">
      <formula>$M47="NÍVEL 1"</formula>
    </cfRule>
    <cfRule type="expression" dxfId="1891" priority="4656">
      <formula>$M47="NÍVEL 2"</formula>
    </cfRule>
  </conditionalFormatting>
  <conditionalFormatting sqref="Q47:Q48">
    <cfRule type="expression" dxfId="1890" priority="4654" stopIfTrue="1">
      <formula>$M47="NÍVEL 3"</formula>
    </cfRule>
  </conditionalFormatting>
  <conditionalFormatting sqref="P47">
    <cfRule type="expression" dxfId="1889" priority="4651">
      <formula>$M47="NÍVEL 1"</formula>
    </cfRule>
    <cfRule type="expression" dxfId="1888" priority="4652">
      <formula>$M47="NÍVEL 2"</formula>
    </cfRule>
    <cfRule type="expression" dxfId="1887" priority="4653" stopIfTrue="1">
      <formula>$M47="NÍVEL 3"</formula>
    </cfRule>
  </conditionalFormatting>
  <conditionalFormatting sqref="O153:Y153">
    <cfRule type="expression" dxfId="1886" priority="4642">
      <formula>$M153="NÍVEL 1"</formula>
    </cfRule>
    <cfRule type="expression" dxfId="1885" priority="4643">
      <formula>$M153="NÍVEL 2"</formula>
    </cfRule>
    <cfRule type="expression" dxfId="1884" priority="4644" stopIfTrue="1">
      <formula>$M153="NÍVEL 3"</formula>
    </cfRule>
  </conditionalFormatting>
  <conditionalFormatting sqref="O155:X155">
    <cfRule type="expression" dxfId="1883" priority="4639">
      <formula>$M155="NÍVEL 1"</formula>
    </cfRule>
    <cfRule type="expression" dxfId="1882" priority="4640">
      <formula>$M155="NÍVEL 2"</formula>
    </cfRule>
    <cfRule type="expression" dxfId="1881" priority="4641">
      <formula>$M155="NÍVEL 3"</formula>
    </cfRule>
  </conditionalFormatting>
  <conditionalFormatting sqref="O158:P158 R158:S158 U158:Y158">
    <cfRule type="expression" dxfId="1880" priority="4636">
      <formula>$M158="NÍVEL 1"</formula>
    </cfRule>
    <cfRule type="expression" dxfId="1879" priority="4637">
      <formula>$M158="NÍVEL 2"</formula>
    </cfRule>
    <cfRule type="expression" dxfId="1878" priority="4638" stopIfTrue="1">
      <formula>$M158="NÍVEL 3"</formula>
    </cfRule>
  </conditionalFormatting>
  <conditionalFormatting sqref="O154:X154">
    <cfRule type="expression" dxfId="1877" priority="4633">
      <formula>$M154="NÍVEL 1"</formula>
    </cfRule>
    <cfRule type="expression" dxfId="1876" priority="4634">
      <formula>$M154="NÍVEL 2"</formula>
    </cfRule>
    <cfRule type="expression" dxfId="1875" priority="4635">
      <formula>$M154="NÍVEL 3"</formula>
    </cfRule>
  </conditionalFormatting>
  <conditionalFormatting sqref="O159:Y159">
    <cfRule type="expression" dxfId="1874" priority="4618">
      <formula>$M159="NÍVEL 1"</formula>
    </cfRule>
    <cfRule type="expression" dxfId="1873" priority="4619">
      <formula>$M159="NÍVEL 2"</formula>
    </cfRule>
    <cfRule type="expression" dxfId="1872" priority="4620">
      <formula>$M159="NÍVEL 3"</formula>
    </cfRule>
  </conditionalFormatting>
  <conditionalFormatting sqref="O160:X160">
    <cfRule type="expression" dxfId="1871" priority="4615">
      <formula>$M160="NÍVEL 1"</formula>
    </cfRule>
    <cfRule type="expression" dxfId="1870" priority="4616">
      <formula>$M160="NÍVEL 2"</formula>
    </cfRule>
    <cfRule type="expression" dxfId="1869" priority="4617">
      <formula>$M160="NÍVEL 3"</formula>
    </cfRule>
  </conditionalFormatting>
  <conditionalFormatting sqref="O156:P157 R156:S157 U156:Y157">
    <cfRule type="expression" dxfId="1868" priority="4612">
      <formula>$M156="NÍVEL 1"</formula>
    </cfRule>
    <cfRule type="expression" dxfId="1867" priority="4613">
      <formula>$M156="NÍVEL 2"</formula>
    </cfRule>
    <cfRule type="expression" dxfId="1866" priority="4614" stopIfTrue="1">
      <formula>$M156="NÍVEL 3"</formula>
    </cfRule>
  </conditionalFormatting>
  <conditionalFormatting sqref="O177:Y177">
    <cfRule type="expression" dxfId="1865" priority="4609">
      <formula>$M177="NÍVEL 1"</formula>
    </cfRule>
    <cfRule type="expression" dxfId="1864" priority="4610">
      <formula>$M177="NÍVEL 2"</formula>
    </cfRule>
    <cfRule type="expression" dxfId="1863" priority="4611">
      <formula>$M177="NÍVEL 3"</formula>
    </cfRule>
  </conditionalFormatting>
  <conditionalFormatting sqref="O165:Y165">
    <cfRule type="expression" dxfId="1862" priority="4600">
      <formula>$M165="NÍVEL 1"</formula>
    </cfRule>
    <cfRule type="expression" dxfId="1861" priority="4601">
      <formula>$M165="NÍVEL 2"</formula>
    </cfRule>
    <cfRule type="expression" dxfId="1860" priority="4602" stopIfTrue="1">
      <formula>$M165="NÍVEL 3"</formula>
    </cfRule>
  </conditionalFormatting>
  <conditionalFormatting sqref="O167:X167">
    <cfRule type="expression" dxfId="1859" priority="4597">
      <formula>$M167="NÍVEL 1"</formula>
    </cfRule>
    <cfRule type="expression" dxfId="1858" priority="4598">
      <formula>$M167="NÍVEL 2"</formula>
    </cfRule>
    <cfRule type="expression" dxfId="1857" priority="4599">
      <formula>$M167="NÍVEL 3"</formula>
    </cfRule>
  </conditionalFormatting>
  <conditionalFormatting sqref="O166:X166">
    <cfRule type="expression" dxfId="1856" priority="4591">
      <formula>$M166="NÍVEL 1"</formula>
    </cfRule>
    <cfRule type="expression" dxfId="1855" priority="4592">
      <formula>$M166="NÍVEL 2"</formula>
    </cfRule>
    <cfRule type="expression" dxfId="1854" priority="4593">
      <formula>$M166="NÍVEL 3"</formula>
    </cfRule>
  </conditionalFormatting>
  <conditionalFormatting sqref="O178:X178">
    <cfRule type="expression" dxfId="1853" priority="4588">
      <formula>$M178="NÍVEL 1"</formula>
    </cfRule>
    <cfRule type="expression" dxfId="1852" priority="4589">
      <formula>$M178="NÍVEL 2"</formula>
    </cfRule>
    <cfRule type="expression" dxfId="1851" priority="4590">
      <formula>$M178="NÍVEL 3"</formula>
    </cfRule>
  </conditionalFormatting>
  <conditionalFormatting sqref="O181:Y181">
    <cfRule type="expression" dxfId="1850" priority="4576">
      <formula>$M181="NÍVEL 1"</formula>
    </cfRule>
    <cfRule type="expression" dxfId="1849" priority="4577">
      <formula>$M181="NÍVEL 2"</formula>
    </cfRule>
    <cfRule type="expression" dxfId="1848" priority="4578">
      <formula>$M181="NÍVEL 3"</formula>
    </cfRule>
  </conditionalFormatting>
  <conditionalFormatting sqref="O182:X182">
    <cfRule type="expression" dxfId="1847" priority="4573">
      <formula>$M182="NÍVEL 1"</formula>
    </cfRule>
    <cfRule type="expression" dxfId="1846" priority="4574">
      <formula>$M182="NÍVEL 2"</formula>
    </cfRule>
    <cfRule type="expression" dxfId="1845" priority="4575">
      <formula>$M182="NÍVEL 3"</formula>
    </cfRule>
  </conditionalFormatting>
  <conditionalFormatting sqref="O179 R179:S179 U179:Y179">
    <cfRule type="expression" dxfId="1844" priority="4570">
      <formula>$M179="NÍVEL 1"</formula>
    </cfRule>
    <cfRule type="expression" dxfId="1843" priority="4571">
      <formula>$M179="NÍVEL 2"</formula>
    </cfRule>
    <cfRule type="expression" dxfId="1842" priority="4572" stopIfTrue="1">
      <formula>$M179="NÍVEL 3"</formula>
    </cfRule>
  </conditionalFormatting>
  <conditionalFormatting sqref="O180:P180 R180:S180 U180:Y180">
    <cfRule type="expression" dxfId="1841" priority="4567">
      <formula>$M180="NÍVEL 1"</formula>
    </cfRule>
    <cfRule type="expression" dxfId="1840" priority="4568">
      <formula>$M180="NÍVEL 2"</formula>
    </cfRule>
    <cfRule type="expression" dxfId="1839" priority="4569" stopIfTrue="1">
      <formula>$M180="NÍVEL 3"</formula>
    </cfRule>
  </conditionalFormatting>
  <conditionalFormatting sqref="O183:O186 R183:S186 U183:Y186">
    <cfRule type="expression" dxfId="1838" priority="4555">
      <formula>$M183="NÍVEL 1"</formula>
    </cfRule>
    <cfRule type="expression" dxfId="1837" priority="4556">
      <formula>$M183="NÍVEL 2"</formula>
    </cfRule>
    <cfRule type="expression" dxfId="1836" priority="4557" stopIfTrue="1">
      <formula>$M183="NÍVEL 3"</formula>
    </cfRule>
  </conditionalFormatting>
  <conditionalFormatting sqref="O193:Y193">
    <cfRule type="expression" dxfId="1835" priority="4531">
      <formula>$M193="NÍVEL 1"</formula>
    </cfRule>
    <cfRule type="expression" dxfId="1834" priority="4532">
      <formula>$M193="NÍVEL 2"</formula>
    </cfRule>
    <cfRule type="expression" dxfId="1833" priority="4533">
      <formula>$M193="NÍVEL 3"</formula>
    </cfRule>
  </conditionalFormatting>
  <conditionalFormatting sqref="O187:Y187">
    <cfRule type="expression" dxfId="1832" priority="4528">
      <formula>$M187="NÍVEL 1"</formula>
    </cfRule>
    <cfRule type="expression" dxfId="1831" priority="4529">
      <formula>$M187="NÍVEL 2"</formula>
    </cfRule>
    <cfRule type="expression" dxfId="1830" priority="4530" stopIfTrue="1">
      <formula>$M187="NÍVEL 3"</formula>
    </cfRule>
  </conditionalFormatting>
  <conditionalFormatting sqref="O189:X189">
    <cfRule type="expression" dxfId="1829" priority="4525">
      <formula>$M189="NÍVEL 1"</formula>
    </cfRule>
    <cfRule type="expression" dxfId="1828" priority="4526">
      <formula>$M189="NÍVEL 2"</formula>
    </cfRule>
    <cfRule type="expression" dxfId="1827" priority="4527">
      <formula>$M189="NÍVEL 3"</formula>
    </cfRule>
  </conditionalFormatting>
  <conditionalFormatting sqref="O188:X188">
    <cfRule type="expression" dxfId="1826" priority="4522">
      <formula>$M188="NÍVEL 1"</formula>
    </cfRule>
    <cfRule type="expression" dxfId="1825" priority="4523">
      <formula>$M188="NÍVEL 2"</formula>
    </cfRule>
    <cfRule type="expression" dxfId="1824" priority="4524">
      <formula>$M188="NÍVEL 3"</formula>
    </cfRule>
  </conditionalFormatting>
  <conditionalFormatting sqref="O194:X194">
    <cfRule type="expression" dxfId="1823" priority="4519">
      <formula>$M194="NÍVEL 1"</formula>
    </cfRule>
    <cfRule type="expression" dxfId="1822" priority="4520">
      <formula>$M194="NÍVEL 2"</formula>
    </cfRule>
    <cfRule type="expression" dxfId="1821" priority="4521">
      <formula>$M194="NÍVEL 3"</formula>
    </cfRule>
  </conditionalFormatting>
  <conditionalFormatting sqref="O192:P192 R192:S192 U192:Y192">
    <cfRule type="expression" dxfId="1820" priority="4516">
      <formula>$M192="NÍVEL 1"</formula>
    </cfRule>
    <cfRule type="expression" dxfId="1819" priority="4517">
      <formula>$M192="NÍVEL 2"</formula>
    </cfRule>
    <cfRule type="expression" dxfId="1818" priority="4518" stopIfTrue="1">
      <formula>$M192="NÍVEL 3"</formula>
    </cfRule>
  </conditionalFormatting>
  <conditionalFormatting sqref="O195:P195 R195:S195 U195:Y195">
    <cfRule type="expression" dxfId="1817" priority="4513">
      <formula>$M195="NÍVEL 1"</formula>
    </cfRule>
    <cfRule type="expression" dxfId="1816" priority="4514">
      <formula>$M195="NÍVEL 2"</formula>
    </cfRule>
    <cfRule type="expression" dxfId="1815" priority="4515" stopIfTrue="1">
      <formula>$M195="NÍVEL 3"</formula>
    </cfRule>
  </conditionalFormatting>
  <conditionalFormatting sqref="O196:P196 R196:S196 U196:Y196">
    <cfRule type="expression" dxfId="1814" priority="4510">
      <formula>$M196="NÍVEL 1"</formula>
    </cfRule>
    <cfRule type="expression" dxfId="1813" priority="4511">
      <formula>$M196="NÍVEL 2"</formula>
    </cfRule>
    <cfRule type="expression" dxfId="1812" priority="4512" stopIfTrue="1">
      <formula>$M196="NÍVEL 3"</formula>
    </cfRule>
  </conditionalFormatting>
  <conditionalFormatting sqref="O190:P190 R190:S190 U190:Y190">
    <cfRule type="expression" dxfId="1811" priority="4507">
      <formula>$M190="NÍVEL 1"</formula>
    </cfRule>
    <cfRule type="expression" dxfId="1810" priority="4508">
      <formula>$M190="NÍVEL 2"</formula>
    </cfRule>
    <cfRule type="expression" dxfId="1809" priority="4509" stopIfTrue="1">
      <formula>$M190="NÍVEL 3"</formula>
    </cfRule>
  </conditionalFormatting>
  <conditionalFormatting sqref="O191:P191 R191:S191 U191:Y191">
    <cfRule type="expression" dxfId="1808" priority="4504">
      <formula>$M191="NÍVEL 1"</formula>
    </cfRule>
    <cfRule type="expression" dxfId="1807" priority="4505">
      <formula>$M191="NÍVEL 2"</formula>
    </cfRule>
    <cfRule type="expression" dxfId="1806" priority="4506" stopIfTrue="1">
      <formula>$M191="NÍVEL 3"</formula>
    </cfRule>
  </conditionalFormatting>
  <conditionalFormatting sqref="O198:Y198">
    <cfRule type="expression" dxfId="1805" priority="4501">
      <formula>$M198="NÍVEL 1"</formula>
    </cfRule>
    <cfRule type="expression" dxfId="1804" priority="4502">
      <formula>$M198="NÍVEL 2"</formula>
    </cfRule>
    <cfRule type="expression" dxfId="1803" priority="4503" stopIfTrue="1">
      <formula>$M198="NÍVEL 3"</formula>
    </cfRule>
  </conditionalFormatting>
  <conditionalFormatting sqref="O205:X205">
    <cfRule type="expression" dxfId="1802" priority="4498">
      <formula>$M205="NÍVEL 1"</formula>
    </cfRule>
    <cfRule type="expression" dxfId="1801" priority="4499">
      <formula>$M205="NÍVEL 2"</formula>
    </cfRule>
    <cfRule type="expression" dxfId="1800" priority="4500">
      <formula>$M205="NÍVEL 3"</formula>
    </cfRule>
  </conditionalFormatting>
  <conditionalFormatting sqref="O199:X199">
    <cfRule type="expression" dxfId="1799" priority="4495">
      <formula>$M199="NÍVEL 1"</formula>
    </cfRule>
    <cfRule type="expression" dxfId="1798" priority="4496">
      <formula>$M199="NÍVEL 2"</formula>
    </cfRule>
    <cfRule type="expression" dxfId="1797" priority="4497">
      <formula>$M199="NÍVEL 3"</formula>
    </cfRule>
  </conditionalFormatting>
  <conditionalFormatting sqref="O207:Y207">
    <cfRule type="expression" dxfId="1796" priority="4483">
      <formula>$M207="NÍVEL 1"</formula>
    </cfRule>
    <cfRule type="expression" dxfId="1795" priority="4484">
      <formula>$M207="NÍVEL 2"</formula>
    </cfRule>
    <cfRule type="expression" dxfId="1794" priority="4485" stopIfTrue="1">
      <formula>$M207="NÍVEL 3"</formula>
    </cfRule>
  </conditionalFormatting>
  <conditionalFormatting sqref="O212:X212">
    <cfRule type="expression" dxfId="1793" priority="4480">
      <formula>$M212="NÍVEL 1"</formula>
    </cfRule>
    <cfRule type="expression" dxfId="1792" priority="4481">
      <formula>$M212="NÍVEL 2"</formula>
    </cfRule>
    <cfRule type="expression" dxfId="1791" priority="4482">
      <formula>$M212="NÍVEL 3"</formula>
    </cfRule>
  </conditionalFormatting>
  <conditionalFormatting sqref="O208:X208">
    <cfRule type="expression" dxfId="1790" priority="4477">
      <formula>$M208="NÍVEL 1"</formula>
    </cfRule>
    <cfRule type="expression" dxfId="1789" priority="4478">
      <formula>$M208="NÍVEL 2"</formula>
    </cfRule>
    <cfRule type="expression" dxfId="1788" priority="4479">
      <formula>$M208="NÍVEL 3"</formula>
    </cfRule>
  </conditionalFormatting>
  <conditionalFormatting sqref="Q224:Q225 Q228:Q230">
    <cfRule type="expression" dxfId="1787" priority="4469">
      <formula>$M224="NÍVEL 1"</formula>
    </cfRule>
    <cfRule type="expression" dxfId="1786" priority="4470">
      <formula>$M224="NÍVEL 2"</formula>
    </cfRule>
  </conditionalFormatting>
  <conditionalFormatting sqref="Q224:Q225 Q228:Q230">
    <cfRule type="expression" dxfId="1785" priority="4468" stopIfTrue="1">
      <formula>$M224="NÍVEL 3"</formula>
    </cfRule>
  </conditionalFormatting>
  <conditionalFormatting sqref="O218:X218">
    <cfRule type="expression" dxfId="1784" priority="4465">
      <formula>$M218="NÍVEL 1"</formula>
    </cfRule>
    <cfRule type="expression" dxfId="1783" priority="4466">
      <formula>$M218="NÍVEL 2"</formula>
    </cfRule>
    <cfRule type="expression" dxfId="1782" priority="4467">
      <formula>$M218="NÍVEL 3"</formula>
    </cfRule>
  </conditionalFormatting>
  <conditionalFormatting sqref="O224:O225 R224:S225 U224:Y225 O228:O230 R228:S230 U228:Y230">
    <cfRule type="expression" dxfId="1781" priority="4462">
      <formula>$M224="NÍVEL 1"</formula>
    </cfRule>
    <cfRule type="expression" dxfId="1780" priority="4463">
      <formula>$M224="NÍVEL 2"</formula>
    </cfRule>
    <cfRule type="expression" dxfId="1779" priority="4464" stopIfTrue="1">
      <formula>$M224="NÍVEL 3"</formula>
    </cfRule>
  </conditionalFormatting>
  <conditionalFormatting sqref="O222:Y222">
    <cfRule type="expression" dxfId="1778" priority="4456">
      <formula>$M222="NÍVEL 1"</formula>
    </cfRule>
    <cfRule type="expression" dxfId="1777" priority="4457">
      <formula>$M222="NÍVEL 2"</formula>
    </cfRule>
    <cfRule type="expression" dxfId="1776" priority="4458">
      <formula>$M222="NÍVEL 3"</formula>
    </cfRule>
  </conditionalFormatting>
  <conditionalFormatting sqref="O223:X223">
    <cfRule type="expression" dxfId="1775" priority="4453">
      <formula>$M223="NÍVEL 1"</formula>
    </cfRule>
    <cfRule type="expression" dxfId="1774" priority="4454">
      <formula>$M223="NÍVEL 2"</formula>
    </cfRule>
    <cfRule type="expression" dxfId="1773" priority="4455">
      <formula>$M223="NÍVEL 3"</formula>
    </cfRule>
  </conditionalFormatting>
  <conditionalFormatting sqref="P224:P225 P228:P230">
    <cfRule type="expression" dxfId="1772" priority="4450">
      <formula>$M224="NÍVEL 1"</formula>
    </cfRule>
    <cfRule type="expression" dxfId="1771" priority="4451">
      <formula>$M224="NÍVEL 2"</formula>
    </cfRule>
    <cfRule type="expression" dxfId="1770" priority="4452" stopIfTrue="1">
      <formula>$M224="NÍVEL 3"</formula>
    </cfRule>
  </conditionalFormatting>
  <conditionalFormatting sqref="O235:Y235">
    <cfRule type="expression" dxfId="1769" priority="4363">
      <formula>$M235="NÍVEL 1"</formula>
    </cfRule>
    <cfRule type="expression" dxfId="1768" priority="4364">
      <formula>$M235="NÍVEL 2"</formula>
    </cfRule>
    <cfRule type="expression" dxfId="1767" priority="4365" stopIfTrue="1">
      <formula>$M235="NÍVEL 3"</formula>
    </cfRule>
  </conditionalFormatting>
  <conditionalFormatting sqref="O236:Q236 S236:X236">
    <cfRule type="expression" dxfId="1766" priority="4357">
      <formula>$M236="NÍVEL 1"</formula>
    </cfRule>
    <cfRule type="expression" dxfId="1765" priority="4358">
      <formula>$M236="NÍVEL 2"</formula>
    </cfRule>
    <cfRule type="expression" dxfId="1764" priority="4359">
      <formula>$M236="NÍVEL 3"</formula>
    </cfRule>
  </conditionalFormatting>
  <conditionalFormatting sqref="O237:Q237 S237:X237">
    <cfRule type="expression" dxfId="1763" priority="4300">
      <formula>$M237="NÍVEL 1"</formula>
    </cfRule>
    <cfRule type="expression" dxfId="1762" priority="4301">
      <formula>$M237="NÍVEL 2"</formula>
    </cfRule>
    <cfRule type="expression" dxfId="1761" priority="4302">
      <formula>$M237="NÍVEL 3"</formula>
    </cfRule>
  </conditionalFormatting>
  <conditionalFormatting sqref="P244">
    <cfRule type="expression" dxfId="1760" priority="4282">
      <formula>$M244="NÍVEL 1"</formula>
    </cfRule>
    <cfRule type="expression" dxfId="1759" priority="4283">
      <formula>$M244="NÍVEL 2"</formula>
    </cfRule>
    <cfRule type="expression" dxfId="1758" priority="4284" stopIfTrue="1">
      <formula>$M244="NÍVEL 3"</formula>
    </cfRule>
  </conditionalFormatting>
  <conditionalFormatting sqref="P249:P250">
    <cfRule type="expression" dxfId="1757" priority="4273">
      <formula>$M249="NÍVEL 1"</formula>
    </cfRule>
    <cfRule type="expression" dxfId="1756" priority="4274">
      <formula>$M249="NÍVEL 2"</formula>
    </cfRule>
    <cfRule type="expression" dxfId="1755" priority="4275" stopIfTrue="1">
      <formula>$M249="NÍVEL 3"</formula>
    </cfRule>
  </conditionalFormatting>
  <conditionalFormatting sqref="R237">
    <cfRule type="expression" dxfId="1754" priority="4270">
      <formula>$M237="NÍVEL 1"</formula>
    </cfRule>
    <cfRule type="expression" dxfId="1753" priority="4271">
      <formula>$M237="NÍVEL 2"</formula>
    </cfRule>
    <cfRule type="expression" dxfId="1752" priority="4272">
      <formula>$M237="NÍVEL 3"</formula>
    </cfRule>
  </conditionalFormatting>
  <conditionalFormatting sqref="P248">
    <cfRule type="expression" dxfId="1751" priority="4258">
      <formula>$M248="NÍVEL 1"</formula>
    </cfRule>
    <cfRule type="expression" dxfId="1750" priority="4259">
      <formula>$M248="NÍVEL 2"</formula>
    </cfRule>
    <cfRule type="expression" dxfId="1749" priority="4260" stopIfTrue="1">
      <formula>$M248="NÍVEL 3"</formula>
    </cfRule>
  </conditionalFormatting>
  <conditionalFormatting sqref="O251:Y251">
    <cfRule type="expression" dxfId="1748" priority="4246">
      <formula>$M251="NÍVEL 1"</formula>
    </cfRule>
    <cfRule type="expression" dxfId="1747" priority="4247">
      <formula>$M251="NÍVEL 2"</formula>
    </cfRule>
    <cfRule type="expression" dxfId="1746" priority="4248">
      <formula>$M251="NÍVEL 3"</formula>
    </cfRule>
  </conditionalFormatting>
  <conditionalFormatting sqref="T257">
    <cfRule type="expression" dxfId="1745" priority="4243">
      <formula>$M257="NÍVEL 1"</formula>
    </cfRule>
    <cfRule type="expression" dxfId="1744" priority="4244">
      <formula>$M257="NÍVEL 2"</formula>
    </cfRule>
    <cfRule type="expression" dxfId="1743" priority="4245" stopIfTrue="1">
      <formula>$M257="NÍVEL 3"</formula>
    </cfRule>
  </conditionalFormatting>
  <conditionalFormatting sqref="O252:Q252 S252:X252">
    <cfRule type="expression" dxfId="1742" priority="4240">
      <formula>$M252="NÍVEL 1"</formula>
    </cfRule>
    <cfRule type="expression" dxfId="1741" priority="4241">
      <formula>$M252="NÍVEL 2"</formula>
    </cfRule>
    <cfRule type="expression" dxfId="1740" priority="4242">
      <formula>$M252="NÍVEL 3"</formula>
    </cfRule>
  </conditionalFormatting>
  <conditionalFormatting sqref="O257 R257:S257 U257:Y257">
    <cfRule type="expression" dxfId="1739" priority="4237">
      <formula>$M257="NÍVEL 1"</formula>
    </cfRule>
    <cfRule type="expression" dxfId="1738" priority="4238">
      <formula>$M257="NÍVEL 2"</formula>
    </cfRule>
    <cfRule type="expression" dxfId="1737" priority="4239" stopIfTrue="1">
      <formula>$M257="NÍVEL 3"</formula>
    </cfRule>
  </conditionalFormatting>
  <conditionalFormatting sqref="T254:T256">
    <cfRule type="expression" dxfId="1736" priority="4234">
      <formula>$M254="NÍVEL 1"</formula>
    </cfRule>
    <cfRule type="expression" dxfId="1735" priority="4235">
      <formula>$M254="NÍVEL 2"</formula>
    </cfRule>
    <cfRule type="expression" dxfId="1734" priority="4236" stopIfTrue="1">
      <formula>$M254="NÍVEL 3"</formula>
    </cfRule>
  </conditionalFormatting>
  <conditionalFormatting sqref="O254:O256 R254:S256 U254:Y256">
    <cfRule type="expression" dxfId="1733" priority="4231">
      <formula>$M254="NÍVEL 1"</formula>
    </cfRule>
    <cfRule type="expression" dxfId="1732" priority="4232">
      <formula>$M254="NÍVEL 2"</formula>
    </cfRule>
    <cfRule type="expression" dxfId="1731" priority="4233" stopIfTrue="1">
      <formula>$M254="NÍVEL 3"</formula>
    </cfRule>
  </conditionalFormatting>
  <conditionalFormatting sqref="T253">
    <cfRule type="expression" dxfId="1730" priority="4228">
      <formula>$M253="NÍVEL 1"</formula>
    </cfRule>
    <cfRule type="expression" dxfId="1729" priority="4229">
      <formula>$M253="NÍVEL 2"</formula>
    </cfRule>
    <cfRule type="expression" dxfId="1728" priority="4230" stopIfTrue="1">
      <formula>$M253="NÍVEL 3"</formula>
    </cfRule>
  </conditionalFormatting>
  <conditionalFormatting sqref="O253 R253:S253 U253:Y253">
    <cfRule type="expression" dxfId="1727" priority="4225">
      <formula>$M253="NÍVEL 1"</formula>
    </cfRule>
    <cfRule type="expression" dxfId="1726" priority="4226">
      <formula>$M253="NÍVEL 2"</formula>
    </cfRule>
    <cfRule type="expression" dxfId="1725" priority="4227" stopIfTrue="1">
      <formula>$M253="NÍVEL 3"</formula>
    </cfRule>
  </conditionalFormatting>
  <conditionalFormatting sqref="P254:P255">
    <cfRule type="expression" dxfId="1724" priority="4222">
      <formula>$M254="NÍVEL 1"</formula>
    </cfRule>
    <cfRule type="expression" dxfId="1723" priority="4223">
      <formula>$M254="NÍVEL 2"</formula>
    </cfRule>
    <cfRule type="expression" dxfId="1722" priority="4224" stopIfTrue="1">
      <formula>$M254="NÍVEL 3"</formula>
    </cfRule>
  </conditionalFormatting>
  <conditionalFormatting sqref="P253">
    <cfRule type="expression" dxfId="1721" priority="4219">
      <formula>$M253="NÍVEL 1"</formula>
    </cfRule>
    <cfRule type="expression" dxfId="1720" priority="4220">
      <formula>$M253="NÍVEL 2"</formula>
    </cfRule>
    <cfRule type="expression" dxfId="1719" priority="4221" stopIfTrue="1">
      <formula>$M253="NÍVEL 3"</formula>
    </cfRule>
  </conditionalFormatting>
  <conditionalFormatting sqref="P256:P257">
    <cfRule type="expression" dxfId="1718" priority="4216">
      <formula>$M256="NÍVEL 1"</formula>
    </cfRule>
    <cfRule type="expression" dxfId="1717" priority="4217">
      <formula>$M256="NÍVEL 2"</formula>
    </cfRule>
    <cfRule type="expression" dxfId="1716" priority="4218" stopIfTrue="1">
      <formula>$M256="NÍVEL 3"</formula>
    </cfRule>
  </conditionalFormatting>
  <conditionalFormatting sqref="R252">
    <cfRule type="expression" dxfId="1715" priority="4210">
      <formula>$M252="NÍVEL 1"</formula>
    </cfRule>
    <cfRule type="expression" dxfId="1714" priority="4211">
      <formula>$M252="NÍVEL 2"</formula>
    </cfRule>
    <cfRule type="expression" dxfId="1713" priority="4212">
      <formula>$M252="NÍVEL 3"</formula>
    </cfRule>
  </conditionalFormatting>
  <conditionalFormatting sqref="Q256">
    <cfRule type="expression" dxfId="1712" priority="4208">
      <formula>$M256="NÍVEL 1"</formula>
    </cfRule>
    <cfRule type="expression" dxfId="1711" priority="4209">
      <formula>$M256="NÍVEL 2"</formula>
    </cfRule>
  </conditionalFormatting>
  <conditionalFormatting sqref="Q256">
    <cfRule type="expression" dxfId="1710" priority="4207" stopIfTrue="1">
      <formula>$M256="NÍVEL 3"</formula>
    </cfRule>
  </conditionalFormatting>
  <conditionalFormatting sqref="Q253">
    <cfRule type="expression" dxfId="1709" priority="4205">
      <formula>$M253="NÍVEL 1"</formula>
    </cfRule>
    <cfRule type="expression" dxfId="1708" priority="4206">
      <formula>$M253="NÍVEL 2"</formula>
    </cfRule>
  </conditionalFormatting>
  <conditionalFormatting sqref="Q253">
    <cfRule type="expression" dxfId="1707" priority="4204" stopIfTrue="1">
      <formula>$M253="NÍVEL 3"</formula>
    </cfRule>
  </conditionalFormatting>
  <conditionalFormatting sqref="Q257">
    <cfRule type="expression" dxfId="1706" priority="4202">
      <formula>$M257="NÍVEL 1"</formula>
    </cfRule>
    <cfRule type="expression" dxfId="1705" priority="4203">
      <formula>$M257="NÍVEL 2"</formula>
    </cfRule>
  </conditionalFormatting>
  <conditionalFormatting sqref="Q257">
    <cfRule type="expression" dxfId="1704" priority="4201" stopIfTrue="1">
      <formula>$M257="NÍVEL 3"</formula>
    </cfRule>
  </conditionalFormatting>
  <conditionalFormatting sqref="P258 P263">
    <cfRule type="expression" dxfId="1703" priority="4195">
      <formula>$M258="NÍVEL 1"</formula>
    </cfRule>
    <cfRule type="expression" dxfId="1702" priority="4196">
      <formula>$M258="NÍVEL 2"</formula>
    </cfRule>
    <cfRule type="expression" dxfId="1701" priority="4197" stopIfTrue="1">
      <formula>$M258="NÍVEL 3"</formula>
    </cfRule>
  </conditionalFormatting>
  <conditionalFormatting sqref="Q254:Q255">
    <cfRule type="expression" dxfId="1700" priority="4193">
      <formula>$M254="NÍVEL 1"</formula>
    </cfRule>
    <cfRule type="expression" dxfId="1699" priority="4194">
      <formula>$M254="NÍVEL 2"</formula>
    </cfRule>
  </conditionalFormatting>
  <conditionalFormatting sqref="Q254:Q255">
    <cfRule type="expression" dxfId="1698" priority="4192" stopIfTrue="1">
      <formula>$M254="NÍVEL 3"</formula>
    </cfRule>
  </conditionalFormatting>
  <conditionalFormatting sqref="O285:Y285">
    <cfRule type="expression" dxfId="1697" priority="4189">
      <formula>$M285="NÍVEL 1"</formula>
    </cfRule>
    <cfRule type="expression" dxfId="1696" priority="4190">
      <formula>$M285="NÍVEL 2"</formula>
    </cfRule>
    <cfRule type="expression" dxfId="1695" priority="4191">
      <formula>$M285="NÍVEL 3"</formula>
    </cfRule>
  </conditionalFormatting>
  <conditionalFormatting sqref="O264:Y264">
    <cfRule type="expression" dxfId="1694" priority="4141">
      <formula>$M264="NÍVEL 1"</formula>
    </cfRule>
    <cfRule type="expression" dxfId="1693" priority="4142">
      <formula>$M264="NÍVEL 2"</formula>
    </cfRule>
    <cfRule type="expression" dxfId="1692" priority="4143">
      <formula>$M264="NÍVEL 3"</formula>
    </cfRule>
  </conditionalFormatting>
  <conditionalFormatting sqref="O265:Q265 S265:X265">
    <cfRule type="expression" dxfId="1691" priority="4138">
      <formula>$M265="NÍVEL 1"</formula>
    </cfRule>
    <cfRule type="expression" dxfId="1690" priority="4139">
      <formula>$M265="NÍVEL 2"</formula>
    </cfRule>
    <cfRule type="expression" dxfId="1689" priority="4140">
      <formula>$M265="NÍVEL 3"</formula>
    </cfRule>
  </conditionalFormatting>
  <conditionalFormatting sqref="T266">
    <cfRule type="expression" dxfId="1688" priority="4129">
      <formula>$M266="NÍVEL 1"</formula>
    </cfRule>
    <cfRule type="expression" dxfId="1687" priority="4130">
      <formula>$M266="NÍVEL 2"</formula>
    </cfRule>
    <cfRule type="expression" dxfId="1686" priority="4131" stopIfTrue="1">
      <formula>$M266="NÍVEL 3"</formula>
    </cfRule>
  </conditionalFormatting>
  <conditionalFormatting sqref="O266 R266:S266 U266:Y266">
    <cfRule type="expression" dxfId="1685" priority="4126">
      <formula>$M266="NÍVEL 1"</formula>
    </cfRule>
    <cfRule type="expression" dxfId="1684" priority="4127">
      <formula>$M266="NÍVEL 2"</formula>
    </cfRule>
    <cfRule type="expression" dxfId="1683" priority="4128" stopIfTrue="1">
      <formula>$M266="NÍVEL 3"</formula>
    </cfRule>
  </conditionalFormatting>
  <conditionalFormatting sqref="P266:P267">
    <cfRule type="expression" dxfId="1682" priority="4123">
      <formula>$M266="NÍVEL 1"</formula>
    </cfRule>
    <cfRule type="expression" dxfId="1681" priority="4124">
      <formula>$M266="NÍVEL 2"</formula>
    </cfRule>
    <cfRule type="expression" dxfId="1680" priority="4125" stopIfTrue="1">
      <formula>$M266="NÍVEL 3"</formula>
    </cfRule>
  </conditionalFormatting>
  <conditionalFormatting sqref="R265">
    <cfRule type="expression" dxfId="1679" priority="4120">
      <formula>$M265="NÍVEL 1"</formula>
    </cfRule>
    <cfRule type="expression" dxfId="1678" priority="4121">
      <formula>$M265="NÍVEL 2"</formula>
    </cfRule>
    <cfRule type="expression" dxfId="1677" priority="4122">
      <formula>$M265="NÍVEL 3"</formula>
    </cfRule>
  </conditionalFormatting>
  <conditionalFormatting sqref="O268:Y268">
    <cfRule type="expression" dxfId="1676" priority="4099">
      <formula>$M268="NÍVEL 1"</formula>
    </cfRule>
    <cfRule type="expression" dxfId="1675" priority="4100">
      <formula>$M268="NÍVEL 2"</formula>
    </cfRule>
    <cfRule type="expression" dxfId="1674" priority="4101">
      <formula>$M268="NÍVEL 3"</formula>
    </cfRule>
  </conditionalFormatting>
  <conditionalFormatting sqref="O269:Q269 S269:X269">
    <cfRule type="expression" dxfId="1673" priority="4096">
      <formula>$M269="NÍVEL 1"</formula>
    </cfRule>
    <cfRule type="expression" dxfId="1672" priority="4097">
      <formula>$M269="NÍVEL 2"</formula>
    </cfRule>
    <cfRule type="expression" dxfId="1671" priority="4098">
      <formula>$M269="NÍVEL 3"</formula>
    </cfRule>
  </conditionalFormatting>
  <conditionalFormatting sqref="T275:T279">
    <cfRule type="expression" dxfId="1670" priority="4093">
      <formula>$M275="NÍVEL 1"</formula>
    </cfRule>
    <cfRule type="expression" dxfId="1669" priority="4094">
      <formula>$M275="NÍVEL 2"</formula>
    </cfRule>
    <cfRule type="expression" dxfId="1668" priority="4095" stopIfTrue="1">
      <formula>$M275="NÍVEL 3"</formula>
    </cfRule>
  </conditionalFormatting>
  <conditionalFormatting sqref="O275:O279 R275:S279 U275:Y279">
    <cfRule type="expression" dxfId="1667" priority="4090">
      <formula>$M275="NÍVEL 1"</formula>
    </cfRule>
    <cfRule type="expression" dxfId="1666" priority="4091">
      <formula>$M275="NÍVEL 2"</formula>
    </cfRule>
    <cfRule type="expression" dxfId="1665" priority="4092" stopIfTrue="1">
      <formula>$M275="NÍVEL 3"</formula>
    </cfRule>
  </conditionalFormatting>
  <conditionalFormatting sqref="P275:P279">
    <cfRule type="expression" dxfId="1664" priority="4081">
      <formula>$M275="NÍVEL 1"</formula>
    </cfRule>
    <cfRule type="expression" dxfId="1663" priority="4082">
      <formula>$M275="NÍVEL 2"</formula>
    </cfRule>
    <cfRule type="expression" dxfId="1662" priority="4083" stopIfTrue="1">
      <formula>$M275="NÍVEL 3"</formula>
    </cfRule>
  </conditionalFormatting>
  <conditionalFormatting sqref="R269">
    <cfRule type="expression" dxfId="1661" priority="4078">
      <formula>$M269="NÍVEL 1"</formula>
    </cfRule>
    <cfRule type="expression" dxfId="1660" priority="4079">
      <formula>$M269="NÍVEL 2"</formula>
    </cfRule>
    <cfRule type="expression" dxfId="1659" priority="4080">
      <formula>$M269="NÍVEL 3"</formula>
    </cfRule>
  </conditionalFormatting>
  <conditionalFormatting sqref="Q275:Q279">
    <cfRule type="expression" dxfId="1658" priority="4070">
      <formula>$M275="NÍVEL 1"</formula>
    </cfRule>
    <cfRule type="expression" dxfId="1657" priority="4071">
      <formula>$M275="NÍVEL 2"</formula>
    </cfRule>
  </conditionalFormatting>
  <conditionalFormatting sqref="Q275:Q279">
    <cfRule type="expression" dxfId="1656" priority="4069" stopIfTrue="1">
      <formula>$M275="NÍVEL 3"</formula>
    </cfRule>
  </conditionalFormatting>
  <conditionalFormatting sqref="T315">
    <cfRule type="expression" dxfId="1655" priority="4060">
      <formula>$M315="NÍVEL 1"</formula>
    </cfRule>
    <cfRule type="expression" dxfId="1654" priority="4061">
      <formula>$M315="NÍVEL 2"</formula>
    </cfRule>
    <cfRule type="expression" dxfId="1653" priority="4062" stopIfTrue="1">
      <formula>$M315="NÍVEL 3"</formula>
    </cfRule>
  </conditionalFormatting>
  <conditionalFormatting sqref="O315 R315:S315 U315:Y315">
    <cfRule type="expression" dxfId="1652" priority="4057">
      <formula>$M315="NÍVEL 1"</formula>
    </cfRule>
    <cfRule type="expression" dxfId="1651" priority="4058">
      <formula>$M315="NÍVEL 2"</formula>
    </cfRule>
    <cfRule type="expression" dxfId="1650" priority="4059" stopIfTrue="1">
      <formula>$M315="NÍVEL 3"</formula>
    </cfRule>
  </conditionalFormatting>
  <conditionalFormatting sqref="T311:T314">
    <cfRule type="expression" dxfId="1649" priority="4048">
      <formula>$M311="NÍVEL 1"</formula>
    </cfRule>
    <cfRule type="expression" dxfId="1648" priority="4049">
      <formula>$M311="NÍVEL 2"</formula>
    </cfRule>
    <cfRule type="expression" dxfId="1647" priority="4050" stopIfTrue="1">
      <formula>$M311="NÍVEL 3"</formula>
    </cfRule>
  </conditionalFormatting>
  <conditionalFormatting sqref="O311:O314 R311:S314 U311:Y314">
    <cfRule type="expression" dxfId="1646" priority="4045">
      <formula>$M311="NÍVEL 1"</formula>
    </cfRule>
    <cfRule type="expression" dxfId="1645" priority="4046">
      <formula>$M311="NÍVEL 2"</formula>
    </cfRule>
    <cfRule type="expression" dxfId="1644" priority="4047" stopIfTrue="1">
      <formula>$M311="NÍVEL 3"</formula>
    </cfRule>
  </conditionalFormatting>
  <conditionalFormatting sqref="T310">
    <cfRule type="expression" dxfId="1643" priority="4042">
      <formula>$M310="NÍVEL 1"</formula>
    </cfRule>
    <cfRule type="expression" dxfId="1642" priority="4043">
      <formula>$M310="NÍVEL 2"</formula>
    </cfRule>
    <cfRule type="expression" dxfId="1641" priority="4044" stopIfTrue="1">
      <formula>$M310="NÍVEL 3"</formula>
    </cfRule>
  </conditionalFormatting>
  <conditionalFormatting sqref="O310 R310:S310 U310:Y310">
    <cfRule type="expression" dxfId="1640" priority="4039">
      <formula>$M310="NÍVEL 1"</formula>
    </cfRule>
    <cfRule type="expression" dxfId="1639" priority="4040">
      <formula>$M310="NÍVEL 2"</formula>
    </cfRule>
    <cfRule type="expression" dxfId="1638" priority="4041" stopIfTrue="1">
      <formula>$M310="NÍVEL 3"</formula>
    </cfRule>
  </conditionalFormatting>
  <conditionalFormatting sqref="T305:T309">
    <cfRule type="expression" dxfId="1637" priority="4030">
      <formula>$M305="NÍVEL 1"</formula>
    </cfRule>
    <cfRule type="expression" dxfId="1636" priority="4031">
      <formula>$M305="NÍVEL 2"</formula>
    </cfRule>
    <cfRule type="expression" dxfId="1635" priority="4032" stopIfTrue="1">
      <formula>$M305="NÍVEL 3"</formula>
    </cfRule>
  </conditionalFormatting>
  <conditionalFormatting sqref="O305:O309 R305:S309 U305:Y309">
    <cfRule type="expression" dxfId="1634" priority="4027">
      <formula>$M305="NÍVEL 1"</formula>
    </cfRule>
    <cfRule type="expression" dxfId="1633" priority="4028">
      <formula>$M305="NÍVEL 2"</formula>
    </cfRule>
    <cfRule type="expression" dxfId="1632" priority="4029" stopIfTrue="1">
      <formula>$M305="NÍVEL 3"</formula>
    </cfRule>
  </conditionalFormatting>
  <conditionalFormatting sqref="T303">
    <cfRule type="expression" dxfId="1631" priority="4006">
      <formula>$M303="NÍVEL 1"</formula>
    </cfRule>
    <cfRule type="expression" dxfId="1630" priority="4007">
      <formula>$M303="NÍVEL 2"</formula>
    </cfRule>
    <cfRule type="expression" dxfId="1629" priority="4008" stopIfTrue="1">
      <formula>$M303="NÍVEL 3"</formula>
    </cfRule>
  </conditionalFormatting>
  <conditionalFormatting sqref="O303 R303:S303 U303:Y303">
    <cfRule type="expression" dxfId="1628" priority="4003">
      <formula>$M303="NÍVEL 1"</formula>
    </cfRule>
    <cfRule type="expression" dxfId="1627" priority="4004">
      <formula>$M303="NÍVEL 2"</formula>
    </cfRule>
    <cfRule type="expression" dxfId="1626" priority="4005" stopIfTrue="1">
      <formula>$M303="NÍVEL 3"</formula>
    </cfRule>
  </conditionalFormatting>
  <conditionalFormatting sqref="T297:T301">
    <cfRule type="expression" dxfId="1625" priority="3988">
      <formula>$M297="NÍVEL 1"</formula>
    </cfRule>
    <cfRule type="expression" dxfId="1624" priority="3989">
      <formula>$M297="NÍVEL 2"</formula>
    </cfRule>
    <cfRule type="expression" dxfId="1623" priority="3990" stopIfTrue="1">
      <formula>$M297="NÍVEL 3"</formula>
    </cfRule>
  </conditionalFormatting>
  <conditionalFormatting sqref="O297:O301 R297:S301 U297:Y301">
    <cfRule type="expression" dxfId="1622" priority="3985">
      <formula>$M297="NÍVEL 1"</formula>
    </cfRule>
    <cfRule type="expression" dxfId="1621" priority="3986">
      <formula>$M297="NÍVEL 2"</formula>
    </cfRule>
    <cfRule type="expression" dxfId="1620" priority="3987" stopIfTrue="1">
      <formula>$M297="NÍVEL 3"</formula>
    </cfRule>
  </conditionalFormatting>
  <conditionalFormatting sqref="T295">
    <cfRule type="expression" dxfId="1619" priority="3970">
      <formula>$M295="NÍVEL 1"</formula>
    </cfRule>
    <cfRule type="expression" dxfId="1618" priority="3971">
      <formula>$M295="NÍVEL 2"</formula>
    </cfRule>
    <cfRule type="expression" dxfId="1617" priority="3972" stopIfTrue="1">
      <formula>$M295="NÍVEL 3"</formula>
    </cfRule>
  </conditionalFormatting>
  <conditionalFormatting sqref="O295 R295:S295 U295:Y295">
    <cfRule type="expression" dxfId="1616" priority="3967">
      <formula>$M295="NÍVEL 1"</formula>
    </cfRule>
    <cfRule type="expression" dxfId="1615" priority="3968">
      <formula>$M295="NÍVEL 2"</formula>
    </cfRule>
    <cfRule type="expression" dxfId="1614" priority="3969" stopIfTrue="1">
      <formula>$M295="NÍVEL 3"</formula>
    </cfRule>
  </conditionalFormatting>
  <conditionalFormatting sqref="T291:T294">
    <cfRule type="expression" dxfId="1613" priority="3958">
      <formula>$M291="NÍVEL 1"</formula>
    </cfRule>
    <cfRule type="expression" dxfId="1612" priority="3959">
      <formula>$M291="NÍVEL 2"</formula>
    </cfRule>
    <cfRule type="expression" dxfId="1611" priority="3960" stopIfTrue="1">
      <formula>$M291="NÍVEL 3"</formula>
    </cfRule>
  </conditionalFormatting>
  <conditionalFormatting sqref="O291:O294 R291:S294 U291:Y294">
    <cfRule type="expression" dxfId="1610" priority="3955">
      <formula>$M291="NÍVEL 1"</formula>
    </cfRule>
    <cfRule type="expression" dxfId="1609" priority="3956">
      <formula>$M291="NÍVEL 2"</formula>
    </cfRule>
    <cfRule type="expression" dxfId="1608" priority="3957" stopIfTrue="1">
      <formula>$M291="NÍVEL 3"</formula>
    </cfRule>
  </conditionalFormatting>
  <conditionalFormatting sqref="T290">
    <cfRule type="expression" dxfId="1607" priority="3952">
      <formula>$M290="NÍVEL 1"</formula>
    </cfRule>
    <cfRule type="expression" dxfId="1606" priority="3953">
      <formula>$M290="NÍVEL 2"</formula>
    </cfRule>
    <cfRule type="expression" dxfId="1605" priority="3954" stopIfTrue="1">
      <formula>$M290="NÍVEL 3"</formula>
    </cfRule>
  </conditionalFormatting>
  <conditionalFormatting sqref="O290 R290:S290 U290:Y290">
    <cfRule type="expression" dxfId="1604" priority="3949">
      <formula>$M290="NÍVEL 1"</formula>
    </cfRule>
    <cfRule type="expression" dxfId="1603" priority="3950">
      <formula>$M290="NÍVEL 2"</formula>
    </cfRule>
    <cfRule type="expression" dxfId="1602" priority="3951" stopIfTrue="1">
      <formula>$M290="NÍVEL 3"</formula>
    </cfRule>
  </conditionalFormatting>
  <conditionalFormatting sqref="P311">
    <cfRule type="expression" dxfId="1601" priority="3937">
      <formula>$M311="NÍVEL 1"</formula>
    </cfRule>
    <cfRule type="expression" dxfId="1600" priority="3938">
      <formula>$M311="NÍVEL 2"</formula>
    </cfRule>
    <cfRule type="expression" dxfId="1599" priority="3939" stopIfTrue="1">
      <formula>$M311="NÍVEL 3"</formula>
    </cfRule>
  </conditionalFormatting>
  <conditionalFormatting sqref="P295">
    <cfRule type="expression" dxfId="1598" priority="3928">
      <formula>$M295="NÍVEL 1"</formula>
    </cfRule>
    <cfRule type="expression" dxfId="1597" priority="3929">
      <formula>$M295="NÍVEL 2"</formula>
    </cfRule>
    <cfRule type="expression" dxfId="1596" priority="3930" stopIfTrue="1">
      <formula>$M295="NÍVEL 3"</formula>
    </cfRule>
  </conditionalFormatting>
  <conditionalFormatting sqref="P291:P293">
    <cfRule type="expression" dxfId="1595" priority="3925">
      <formula>$M291="NÍVEL 1"</formula>
    </cfRule>
    <cfRule type="expression" dxfId="1594" priority="3926">
      <formula>$M291="NÍVEL 2"</formula>
    </cfRule>
    <cfRule type="expression" dxfId="1593" priority="3927" stopIfTrue="1">
      <formula>$M291="NÍVEL 3"</formula>
    </cfRule>
  </conditionalFormatting>
  <conditionalFormatting sqref="P290">
    <cfRule type="expression" dxfId="1592" priority="3922">
      <formula>$M290="NÍVEL 1"</formula>
    </cfRule>
    <cfRule type="expression" dxfId="1591" priority="3923">
      <formula>$M290="NÍVEL 2"</formula>
    </cfRule>
    <cfRule type="expression" dxfId="1590" priority="3924" stopIfTrue="1">
      <formula>$M290="NÍVEL 3"</formula>
    </cfRule>
  </conditionalFormatting>
  <conditionalFormatting sqref="P294">
    <cfRule type="expression" dxfId="1589" priority="3919">
      <formula>$M294="NÍVEL 1"</formula>
    </cfRule>
    <cfRule type="expression" dxfId="1588" priority="3920">
      <formula>$M294="NÍVEL 2"</formula>
    </cfRule>
    <cfRule type="expression" dxfId="1587" priority="3921" stopIfTrue="1">
      <formula>$M294="NÍVEL 3"</formula>
    </cfRule>
  </conditionalFormatting>
  <conditionalFormatting sqref="P303">
    <cfRule type="expression" dxfId="1586" priority="3913">
      <formula>$M303="NÍVEL 1"</formula>
    </cfRule>
    <cfRule type="expression" dxfId="1585" priority="3914">
      <formula>$M303="NÍVEL 2"</formula>
    </cfRule>
    <cfRule type="expression" dxfId="1584" priority="3915" stopIfTrue="1">
      <formula>$M303="NÍVEL 3"</formula>
    </cfRule>
  </conditionalFormatting>
  <conditionalFormatting sqref="P302">
    <cfRule type="expression" dxfId="1583" priority="3910">
      <formula>$M302="NÍVEL 1"</formula>
    </cfRule>
    <cfRule type="expression" dxfId="1582" priority="3911">
      <formula>$M302="NÍVEL 2"</formula>
    </cfRule>
    <cfRule type="expression" dxfId="1581" priority="3912" stopIfTrue="1">
      <formula>$M302="NÍVEL 3"</formula>
    </cfRule>
  </conditionalFormatting>
  <conditionalFormatting sqref="P304">
    <cfRule type="expression" dxfId="1580" priority="3907">
      <formula>$M304="NÍVEL 1"</formula>
    </cfRule>
    <cfRule type="expression" dxfId="1579" priority="3908">
      <formula>$M304="NÍVEL 2"</formula>
    </cfRule>
    <cfRule type="expression" dxfId="1578" priority="3909" stopIfTrue="1">
      <formula>$M304="NÍVEL 3"</formula>
    </cfRule>
  </conditionalFormatting>
  <conditionalFormatting sqref="P296">
    <cfRule type="expression" dxfId="1577" priority="3901">
      <formula>$M296="NÍVEL 1"</formula>
    </cfRule>
    <cfRule type="expression" dxfId="1576" priority="3902">
      <formula>$M296="NÍVEL 2"</formula>
    </cfRule>
    <cfRule type="expression" dxfId="1575" priority="3903" stopIfTrue="1">
      <formula>$M296="NÍVEL 3"</formula>
    </cfRule>
  </conditionalFormatting>
  <conditionalFormatting sqref="P297:P301">
    <cfRule type="expression" dxfId="1574" priority="3895">
      <formula>$M297="NÍVEL 1"</formula>
    </cfRule>
    <cfRule type="expression" dxfId="1573" priority="3896">
      <formula>$M297="NÍVEL 2"</formula>
    </cfRule>
    <cfRule type="expression" dxfId="1572" priority="3897" stopIfTrue="1">
      <formula>$M297="NÍVEL 3"</formula>
    </cfRule>
  </conditionalFormatting>
  <conditionalFormatting sqref="P310">
    <cfRule type="expression" dxfId="1571" priority="3892">
      <formula>$M310="NÍVEL 1"</formula>
    </cfRule>
    <cfRule type="expression" dxfId="1570" priority="3893">
      <formula>$M310="NÍVEL 2"</formula>
    </cfRule>
    <cfRule type="expression" dxfId="1569" priority="3894" stopIfTrue="1">
      <formula>$M310="NÍVEL 3"</formula>
    </cfRule>
  </conditionalFormatting>
  <conditionalFormatting sqref="P305">
    <cfRule type="expression" dxfId="1568" priority="3889">
      <formula>$M305="NÍVEL 1"</formula>
    </cfRule>
    <cfRule type="expression" dxfId="1567" priority="3890">
      <formula>$M305="NÍVEL 2"</formula>
    </cfRule>
    <cfRule type="expression" dxfId="1566" priority="3891" stopIfTrue="1">
      <formula>$M305="NÍVEL 3"</formula>
    </cfRule>
  </conditionalFormatting>
  <conditionalFormatting sqref="P306:P309">
    <cfRule type="expression" dxfId="1565" priority="3886">
      <formula>$M306="NÍVEL 1"</formula>
    </cfRule>
    <cfRule type="expression" dxfId="1564" priority="3887">
      <formula>$M306="NÍVEL 2"</formula>
    </cfRule>
    <cfRule type="expression" dxfId="1563" priority="3888" stopIfTrue="1">
      <formula>$M306="NÍVEL 3"</formula>
    </cfRule>
  </conditionalFormatting>
  <conditionalFormatting sqref="P312:P314">
    <cfRule type="expression" dxfId="1562" priority="3883">
      <formula>$M312="NÍVEL 1"</formula>
    </cfRule>
    <cfRule type="expression" dxfId="1561" priority="3884">
      <formula>$M312="NÍVEL 2"</formula>
    </cfRule>
    <cfRule type="expression" dxfId="1560" priority="3885" stopIfTrue="1">
      <formula>$M312="NÍVEL 3"</formula>
    </cfRule>
  </conditionalFormatting>
  <conditionalFormatting sqref="P315">
    <cfRule type="expression" dxfId="1559" priority="3880">
      <formula>$M315="NÍVEL 1"</formula>
    </cfRule>
    <cfRule type="expression" dxfId="1558" priority="3881">
      <formula>$M315="NÍVEL 2"</formula>
    </cfRule>
    <cfRule type="expression" dxfId="1557" priority="3882" stopIfTrue="1">
      <formula>$M315="NÍVEL 3"</formula>
    </cfRule>
  </conditionalFormatting>
  <conditionalFormatting sqref="T329:T333">
    <cfRule type="expression" dxfId="1556" priority="3877">
      <formula>$M329="NÍVEL 1"</formula>
    </cfRule>
    <cfRule type="expression" dxfId="1555" priority="3878">
      <formula>$M329="NÍVEL 2"</formula>
    </cfRule>
    <cfRule type="expression" dxfId="1554" priority="3879" stopIfTrue="1">
      <formula>$M329="NÍVEL 3"</formula>
    </cfRule>
  </conditionalFormatting>
  <conditionalFormatting sqref="O329:O333 R329:S333 U329:Y333">
    <cfRule type="expression" dxfId="1553" priority="3874">
      <formula>$M329="NÍVEL 1"</formula>
    </cfRule>
    <cfRule type="expression" dxfId="1552" priority="3875">
      <formula>$M329="NÍVEL 2"</formula>
    </cfRule>
    <cfRule type="expression" dxfId="1551" priority="3876" stopIfTrue="1">
      <formula>$M329="NÍVEL 3"</formula>
    </cfRule>
  </conditionalFormatting>
  <conditionalFormatting sqref="P332:P333">
    <cfRule type="expression" dxfId="1550" priority="3871">
      <formula>$M332="NÍVEL 1"</formula>
    </cfRule>
    <cfRule type="expression" dxfId="1549" priority="3872">
      <formula>$M332="NÍVEL 2"</formula>
    </cfRule>
    <cfRule type="expression" dxfId="1548" priority="3873" stopIfTrue="1">
      <formula>$M332="NÍVEL 3"</formula>
    </cfRule>
  </conditionalFormatting>
  <conditionalFormatting sqref="T328">
    <cfRule type="expression" dxfId="1547" priority="3865">
      <formula>$M328="NÍVEL 1"</formula>
    </cfRule>
    <cfRule type="expression" dxfId="1546" priority="3866">
      <formula>$M328="NÍVEL 2"</formula>
    </cfRule>
    <cfRule type="expression" dxfId="1545" priority="3867" stopIfTrue="1">
      <formula>$M328="NÍVEL 3"</formula>
    </cfRule>
  </conditionalFormatting>
  <conditionalFormatting sqref="O323:Y323">
    <cfRule type="expression" dxfId="1544" priority="3862">
      <formula>$M323="NÍVEL 1"</formula>
    </cfRule>
    <cfRule type="expression" dxfId="1543" priority="3863">
      <formula>$M323="NÍVEL 2"</formula>
    </cfRule>
    <cfRule type="expression" dxfId="1542" priority="3864" stopIfTrue="1">
      <formula>$M323="NÍVEL 3"</formula>
    </cfRule>
  </conditionalFormatting>
  <conditionalFormatting sqref="O325:Q325 S325:X325">
    <cfRule type="expression" dxfId="1541" priority="3859">
      <formula>$M325="NÍVEL 1"</formula>
    </cfRule>
    <cfRule type="expression" dxfId="1540" priority="3860">
      <formula>$M325="NÍVEL 2"</formula>
    </cfRule>
    <cfRule type="expression" dxfId="1539" priority="3861">
      <formula>$M325="NÍVEL 3"</formula>
    </cfRule>
  </conditionalFormatting>
  <conditionalFormatting sqref="O324:Q324 S324:X324">
    <cfRule type="expression" dxfId="1538" priority="3856">
      <formula>$M324="NÍVEL 1"</formula>
    </cfRule>
    <cfRule type="expression" dxfId="1537" priority="3857">
      <formula>$M324="NÍVEL 2"</formula>
    </cfRule>
    <cfRule type="expression" dxfId="1536" priority="3858">
      <formula>$M324="NÍVEL 3"</formula>
    </cfRule>
  </conditionalFormatting>
  <conditionalFormatting sqref="O328 R328:S328 U328:Y328">
    <cfRule type="expression" dxfId="1535" priority="3853">
      <formula>$M328="NÍVEL 1"</formula>
    </cfRule>
    <cfRule type="expression" dxfId="1534" priority="3854">
      <formula>$M328="NÍVEL 2"</formula>
    </cfRule>
    <cfRule type="expression" dxfId="1533" priority="3855" stopIfTrue="1">
      <formula>$M328="NÍVEL 3"</formula>
    </cfRule>
  </conditionalFormatting>
  <conditionalFormatting sqref="T326">
    <cfRule type="expression" dxfId="1532" priority="3844">
      <formula>$M326="NÍVEL 1"</formula>
    </cfRule>
    <cfRule type="expression" dxfId="1531" priority="3845">
      <formula>$M326="NÍVEL 2"</formula>
    </cfRule>
    <cfRule type="expression" dxfId="1530" priority="3846" stopIfTrue="1">
      <formula>$M326="NÍVEL 3"</formula>
    </cfRule>
  </conditionalFormatting>
  <conditionalFormatting sqref="O326 R326:S326 U326:Y326">
    <cfRule type="expression" dxfId="1529" priority="3841">
      <formula>$M326="NÍVEL 1"</formula>
    </cfRule>
    <cfRule type="expression" dxfId="1528" priority="3842">
      <formula>$M326="NÍVEL 2"</formula>
    </cfRule>
    <cfRule type="expression" dxfId="1527" priority="3843" stopIfTrue="1">
      <formula>$M326="NÍVEL 3"</formula>
    </cfRule>
  </conditionalFormatting>
  <conditionalFormatting sqref="P327">
    <cfRule type="expression" dxfId="1526" priority="3838">
      <formula>$M327="NÍVEL 1"</formula>
    </cfRule>
    <cfRule type="expression" dxfId="1525" priority="3839">
      <formula>$M327="NÍVEL 2"</formula>
    </cfRule>
    <cfRule type="expression" dxfId="1524" priority="3840" stopIfTrue="1">
      <formula>$M327="NÍVEL 3"</formula>
    </cfRule>
  </conditionalFormatting>
  <conditionalFormatting sqref="P326">
    <cfRule type="expression" dxfId="1523" priority="3835">
      <formula>$M326="NÍVEL 1"</formula>
    </cfRule>
    <cfRule type="expression" dxfId="1522" priority="3836">
      <formula>$M326="NÍVEL 2"</formula>
    </cfRule>
    <cfRule type="expression" dxfId="1521" priority="3837" stopIfTrue="1">
      <formula>$M326="NÍVEL 3"</formula>
    </cfRule>
  </conditionalFormatting>
  <conditionalFormatting sqref="P331">
    <cfRule type="expression" dxfId="1520" priority="3829">
      <formula>$M331="NÍVEL 1"</formula>
    </cfRule>
    <cfRule type="expression" dxfId="1519" priority="3830">
      <formula>$M331="NÍVEL 2"</formula>
    </cfRule>
    <cfRule type="expression" dxfId="1518" priority="3831" stopIfTrue="1">
      <formula>$M331="NÍVEL 3"</formula>
    </cfRule>
  </conditionalFormatting>
  <conditionalFormatting sqref="R324:R325">
    <cfRule type="expression" dxfId="1517" priority="3826">
      <formula>$M324="NÍVEL 1"</formula>
    </cfRule>
    <cfRule type="expression" dxfId="1516" priority="3827">
      <formula>$M324="NÍVEL 2"</formula>
    </cfRule>
    <cfRule type="expression" dxfId="1515" priority="3828">
      <formula>$M324="NÍVEL 3"</formula>
    </cfRule>
  </conditionalFormatting>
  <conditionalFormatting sqref="P330">
    <cfRule type="expression" dxfId="1514" priority="3820">
      <formula>$M330="NÍVEL 1"</formula>
    </cfRule>
    <cfRule type="expression" dxfId="1513" priority="3821">
      <formula>$M330="NÍVEL 2"</formula>
    </cfRule>
    <cfRule type="expression" dxfId="1512" priority="3822" stopIfTrue="1">
      <formula>$M330="NÍVEL 3"</formula>
    </cfRule>
  </conditionalFormatting>
  <conditionalFormatting sqref="P329">
    <cfRule type="expression" dxfId="1511" priority="3814">
      <formula>$M329="NÍVEL 1"</formula>
    </cfRule>
    <cfRule type="expression" dxfId="1510" priority="3815">
      <formula>$M329="NÍVEL 2"</formula>
    </cfRule>
    <cfRule type="expression" dxfId="1509" priority="3816" stopIfTrue="1">
      <formula>$M329="NÍVEL 3"</formula>
    </cfRule>
  </conditionalFormatting>
  <conditionalFormatting sqref="O345:Q345 S345:X345">
    <cfRule type="expression" dxfId="1508" priority="3796">
      <formula>$M345="NÍVEL 1"</formula>
    </cfRule>
    <cfRule type="expression" dxfId="1507" priority="3797">
      <formula>$M345="NÍVEL 2"</formula>
    </cfRule>
    <cfRule type="expression" dxfId="1506" priority="3798">
      <formula>$M345="NÍVEL 3"</formula>
    </cfRule>
  </conditionalFormatting>
  <conditionalFormatting sqref="T347:T351">
    <cfRule type="expression" dxfId="1505" priority="3790">
      <formula>$M347="NÍVEL 1"</formula>
    </cfRule>
    <cfRule type="expression" dxfId="1504" priority="3791">
      <formula>$M347="NÍVEL 2"</formula>
    </cfRule>
    <cfRule type="expression" dxfId="1503" priority="3792" stopIfTrue="1">
      <formula>$M347="NÍVEL 3"</formula>
    </cfRule>
  </conditionalFormatting>
  <conditionalFormatting sqref="O347:O351 R347:S351 U347:Y351">
    <cfRule type="expression" dxfId="1502" priority="3787">
      <formula>$M347="NÍVEL 1"</formula>
    </cfRule>
    <cfRule type="expression" dxfId="1501" priority="3788">
      <formula>$M347="NÍVEL 2"</formula>
    </cfRule>
    <cfRule type="expression" dxfId="1500" priority="3789" stopIfTrue="1">
      <formula>$M347="NÍVEL 3"</formula>
    </cfRule>
  </conditionalFormatting>
  <conditionalFormatting sqref="T346">
    <cfRule type="expression" dxfId="1499" priority="3784">
      <formula>$M346="NÍVEL 1"</formula>
    </cfRule>
    <cfRule type="expression" dxfId="1498" priority="3785">
      <formula>$M346="NÍVEL 2"</formula>
    </cfRule>
    <cfRule type="expression" dxfId="1497" priority="3786" stopIfTrue="1">
      <formula>$M346="NÍVEL 3"</formula>
    </cfRule>
  </conditionalFormatting>
  <conditionalFormatting sqref="O346 R346:S346 U346:Y346">
    <cfRule type="expression" dxfId="1496" priority="3781">
      <formula>$M346="NÍVEL 1"</formula>
    </cfRule>
    <cfRule type="expression" dxfId="1495" priority="3782">
      <formula>$M346="NÍVEL 2"</formula>
    </cfRule>
    <cfRule type="expression" dxfId="1494" priority="3783" stopIfTrue="1">
      <formula>$M346="NÍVEL 3"</formula>
    </cfRule>
  </conditionalFormatting>
  <conditionalFormatting sqref="P347">
    <cfRule type="expression" dxfId="1493" priority="3778">
      <formula>$M347="NÍVEL 1"</formula>
    </cfRule>
    <cfRule type="expression" dxfId="1492" priority="3779">
      <formula>$M347="NÍVEL 2"</formula>
    </cfRule>
    <cfRule type="expression" dxfId="1491" priority="3780" stopIfTrue="1">
      <formula>$M347="NÍVEL 3"</formula>
    </cfRule>
  </conditionalFormatting>
  <conditionalFormatting sqref="P346">
    <cfRule type="expression" dxfId="1490" priority="3775">
      <formula>$M346="NÍVEL 1"</formula>
    </cfRule>
    <cfRule type="expression" dxfId="1489" priority="3776">
      <formula>$M346="NÍVEL 2"</formula>
    </cfRule>
    <cfRule type="expression" dxfId="1488" priority="3777" stopIfTrue="1">
      <formula>$M346="NÍVEL 3"</formula>
    </cfRule>
  </conditionalFormatting>
  <conditionalFormatting sqref="P355">
    <cfRule type="expression" dxfId="1487" priority="3763">
      <formula>$M355="NÍVEL 1"</formula>
    </cfRule>
    <cfRule type="expression" dxfId="1486" priority="3764">
      <formula>$M355="NÍVEL 2"</formula>
    </cfRule>
    <cfRule type="expression" dxfId="1485" priority="3765" stopIfTrue="1">
      <formula>$M355="NÍVEL 3"</formula>
    </cfRule>
  </conditionalFormatting>
  <conditionalFormatting sqref="P352:P354">
    <cfRule type="expression" dxfId="1484" priority="3760">
      <formula>$M352="NÍVEL 1"</formula>
    </cfRule>
    <cfRule type="expression" dxfId="1483" priority="3761">
      <formula>$M352="NÍVEL 2"</formula>
    </cfRule>
    <cfRule type="expression" dxfId="1482" priority="3762" stopIfTrue="1">
      <formula>$M352="NÍVEL 3"</formula>
    </cfRule>
  </conditionalFormatting>
  <conditionalFormatting sqref="O334:Y334">
    <cfRule type="expression" dxfId="1481" priority="3751">
      <formula>$M334="NÍVEL 1"</formula>
    </cfRule>
    <cfRule type="expression" dxfId="1480" priority="3752">
      <formula>$M334="NÍVEL 2"</formula>
    </cfRule>
    <cfRule type="expression" dxfId="1479" priority="3753">
      <formula>$M334="NÍVEL 3"</formula>
    </cfRule>
  </conditionalFormatting>
  <conditionalFormatting sqref="O335:Q335 S335:X335">
    <cfRule type="expression" dxfId="1478" priority="3736">
      <formula>$M335="NÍVEL 1"</formula>
    </cfRule>
    <cfRule type="expression" dxfId="1477" priority="3737">
      <formula>$M335="NÍVEL 2"</formula>
    </cfRule>
    <cfRule type="expression" dxfId="1476" priority="3738">
      <formula>$M335="NÍVEL 3"</formula>
    </cfRule>
  </conditionalFormatting>
  <conditionalFormatting sqref="T336:T337">
    <cfRule type="expression" dxfId="1475" priority="3724">
      <formula>$M336="NÍVEL 1"</formula>
    </cfRule>
    <cfRule type="expression" dxfId="1474" priority="3725">
      <formula>$M336="NÍVEL 2"</formula>
    </cfRule>
    <cfRule type="expression" dxfId="1473" priority="3726" stopIfTrue="1">
      <formula>$M336="NÍVEL 3"</formula>
    </cfRule>
  </conditionalFormatting>
  <conditionalFormatting sqref="O336:O337 R336:S337 U336:Y337">
    <cfRule type="expression" dxfId="1472" priority="3721">
      <formula>$M336="NÍVEL 1"</formula>
    </cfRule>
    <cfRule type="expression" dxfId="1471" priority="3722">
      <formula>$M336="NÍVEL 2"</formula>
    </cfRule>
    <cfRule type="expression" dxfId="1470" priority="3723" stopIfTrue="1">
      <formula>$M336="NÍVEL 3"</formula>
    </cfRule>
  </conditionalFormatting>
  <conditionalFormatting sqref="P341">
    <cfRule type="expression" dxfId="1469" priority="3718">
      <formula>$M341="NÍVEL 1"</formula>
    </cfRule>
    <cfRule type="expression" dxfId="1468" priority="3719">
      <formula>$M341="NÍVEL 2"</formula>
    </cfRule>
    <cfRule type="expression" dxfId="1467" priority="3720" stopIfTrue="1">
      <formula>$M341="NÍVEL 3"</formula>
    </cfRule>
  </conditionalFormatting>
  <conditionalFormatting sqref="P336:P337">
    <cfRule type="expression" dxfId="1466" priority="3715">
      <formula>$M336="NÍVEL 1"</formula>
    </cfRule>
    <cfRule type="expression" dxfId="1465" priority="3716">
      <formula>$M336="NÍVEL 2"</formula>
    </cfRule>
    <cfRule type="expression" dxfId="1464" priority="3717" stopIfTrue="1">
      <formula>$M336="NÍVEL 3"</formula>
    </cfRule>
  </conditionalFormatting>
  <conditionalFormatting sqref="R335">
    <cfRule type="expression" dxfId="1463" priority="3697">
      <formula>$M335="NÍVEL 1"</formula>
    </cfRule>
    <cfRule type="expression" dxfId="1462" priority="3698">
      <formula>$M335="NÍVEL 2"</formula>
    </cfRule>
    <cfRule type="expression" dxfId="1461" priority="3699">
      <formula>$M335="NÍVEL 3"</formula>
    </cfRule>
  </conditionalFormatting>
  <conditionalFormatting sqref="R345">
    <cfRule type="expression" dxfId="1460" priority="3694">
      <formula>$M345="NÍVEL 1"</formula>
    </cfRule>
    <cfRule type="expression" dxfId="1459" priority="3695">
      <formula>$M345="NÍVEL 2"</formula>
    </cfRule>
    <cfRule type="expression" dxfId="1458" priority="3696">
      <formula>$M345="NÍVEL 3"</formula>
    </cfRule>
  </conditionalFormatting>
  <conditionalFormatting sqref="O356:Y356">
    <cfRule type="expression" dxfId="1457" priority="3688">
      <formula>$M356="NÍVEL 1"</formula>
    </cfRule>
    <cfRule type="expression" dxfId="1456" priority="3689">
      <formula>$M356="NÍVEL 2"</formula>
    </cfRule>
    <cfRule type="expression" dxfId="1455" priority="3690">
      <formula>$M356="NÍVEL 3"</formula>
    </cfRule>
  </conditionalFormatting>
  <conditionalFormatting sqref="T363">
    <cfRule type="expression" dxfId="1454" priority="3685">
      <formula>$M363="NÍVEL 1"</formula>
    </cfRule>
    <cfRule type="expression" dxfId="1453" priority="3686">
      <formula>$M363="NÍVEL 2"</formula>
    </cfRule>
    <cfRule type="expression" dxfId="1452" priority="3687" stopIfTrue="1">
      <formula>$M363="NÍVEL 3"</formula>
    </cfRule>
  </conditionalFormatting>
  <conditionalFormatting sqref="O357:Q357 S357:X357">
    <cfRule type="expression" dxfId="1451" priority="3682">
      <formula>$M357="NÍVEL 1"</formula>
    </cfRule>
    <cfRule type="expression" dxfId="1450" priority="3683">
      <formula>$M357="NÍVEL 2"</formula>
    </cfRule>
    <cfRule type="expression" dxfId="1449" priority="3684">
      <formula>$M357="NÍVEL 3"</formula>
    </cfRule>
  </conditionalFormatting>
  <conditionalFormatting sqref="O363 R363:S363 U363:Y363">
    <cfRule type="expression" dxfId="1448" priority="3679">
      <formula>$M363="NÍVEL 1"</formula>
    </cfRule>
    <cfRule type="expression" dxfId="1447" priority="3680">
      <formula>$M363="NÍVEL 2"</formula>
    </cfRule>
    <cfRule type="expression" dxfId="1446" priority="3681" stopIfTrue="1">
      <formula>$M363="NÍVEL 3"</formula>
    </cfRule>
  </conditionalFormatting>
  <conditionalFormatting sqref="T358">
    <cfRule type="expression" dxfId="1445" priority="3670">
      <formula>$M358="NÍVEL 1"</formula>
    </cfRule>
    <cfRule type="expression" dxfId="1444" priority="3671">
      <formula>$M358="NÍVEL 2"</formula>
    </cfRule>
    <cfRule type="expression" dxfId="1443" priority="3672" stopIfTrue="1">
      <formula>$M358="NÍVEL 3"</formula>
    </cfRule>
  </conditionalFormatting>
  <conditionalFormatting sqref="O358 R358:S358 U358:Y358">
    <cfRule type="expression" dxfId="1442" priority="3667">
      <formula>$M358="NÍVEL 1"</formula>
    </cfRule>
    <cfRule type="expression" dxfId="1441" priority="3668">
      <formula>$M358="NÍVEL 2"</formula>
    </cfRule>
    <cfRule type="expression" dxfId="1440" priority="3669" stopIfTrue="1">
      <formula>$M358="NÍVEL 3"</formula>
    </cfRule>
  </conditionalFormatting>
  <conditionalFormatting sqref="P359">
    <cfRule type="expression" dxfId="1439" priority="3664">
      <formula>$M359="NÍVEL 1"</formula>
    </cfRule>
    <cfRule type="expression" dxfId="1438" priority="3665">
      <formula>$M359="NÍVEL 2"</formula>
    </cfRule>
    <cfRule type="expression" dxfId="1437" priority="3666" stopIfTrue="1">
      <formula>$M359="NÍVEL 3"</formula>
    </cfRule>
  </conditionalFormatting>
  <conditionalFormatting sqref="P358">
    <cfRule type="expression" dxfId="1436" priority="3661">
      <formula>$M358="NÍVEL 1"</formula>
    </cfRule>
    <cfRule type="expression" dxfId="1435" priority="3662">
      <formula>$M358="NÍVEL 2"</formula>
    </cfRule>
    <cfRule type="expression" dxfId="1434" priority="3663" stopIfTrue="1">
      <formula>$M358="NÍVEL 3"</formula>
    </cfRule>
  </conditionalFormatting>
  <conditionalFormatting sqref="P364">
    <cfRule type="expression" dxfId="1433" priority="3655">
      <formula>$M364="NÍVEL 1"</formula>
    </cfRule>
    <cfRule type="expression" dxfId="1432" priority="3656">
      <formula>$M364="NÍVEL 2"</formula>
    </cfRule>
    <cfRule type="expression" dxfId="1431" priority="3657" stopIfTrue="1">
      <formula>$M364="NÍVEL 3"</formula>
    </cfRule>
  </conditionalFormatting>
  <conditionalFormatting sqref="R357">
    <cfRule type="expression" dxfId="1430" priority="3649">
      <formula>$M357="NÍVEL 1"</formula>
    </cfRule>
    <cfRule type="expression" dxfId="1429" priority="3650">
      <formula>$M357="NÍVEL 2"</formula>
    </cfRule>
    <cfRule type="expression" dxfId="1428" priority="3651">
      <formula>$M357="NÍVEL 3"</formula>
    </cfRule>
  </conditionalFormatting>
  <conditionalFormatting sqref="O365:Y365">
    <cfRule type="expression" dxfId="1427" priority="3643">
      <formula>$M365="NÍVEL 1"</formula>
    </cfRule>
    <cfRule type="expression" dxfId="1426" priority="3644">
      <formula>$M365="NÍVEL 2"</formula>
    </cfRule>
    <cfRule type="expression" dxfId="1425" priority="3645">
      <formula>$M365="NÍVEL 3"</formula>
    </cfRule>
  </conditionalFormatting>
  <conditionalFormatting sqref="T398:T399">
    <cfRule type="expression" dxfId="1424" priority="3640">
      <formula>$M398="NÍVEL 1"</formula>
    </cfRule>
    <cfRule type="expression" dxfId="1423" priority="3641">
      <formula>$M398="NÍVEL 2"</formula>
    </cfRule>
    <cfRule type="expression" dxfId="1422" priority="3642" stopIfTrue="1">
      <formula>$M398="NÍVEL 3"</formula>
    </cfRule>
  </conditionalFormatting>
  <conditionalFormatting sqref="O366:Q366 S366:X366">
    <cfRule type="expression" dxfId="1421" priority="3637">
      <formula>$M366="NÍVEL 1"</formula>
    </cfRule>
    <cfRule type="expression" dxfId="1420" priority="3638">
      <formula>$M366="NÍVEL 2"</formula>
    </cfRule>
    <cfRule type="expression" dxfId="1419" priority="3639">
      <formula>$M366="NÍVEL 3"</formula>
    </cfRule>
  </conditionalFormatting>
  <conditionalFormatting sqref="O398:O399 R398:S399 U398:Y399">
    <cfRule type="expression" dxfId="1418" priority="3634">
      <formula>$M398="NÍVEL 1"</formula>
    </cfRule>
    <cfRule type="expression" dxfId="1417" priority="3635">
      <formula>$M398="NÍVEL 2"</formula>
    </cfRule>
    <cfRule type="expression" dxfId="1416" priority="3636" stopIfTrue="1">
      <formula>$M398="NÍVEL 3"</formula>
    </cfRule>
  </conditionalFormatting>
  <conditionalFormatting sqref="T371">
    <cfRule type="expression" dxfId="1415" priority="3625">
      <formula>$M371="NÍVEL 1"</formula>
    </cfRule>
    <cfRule type="expression" dxfId="1414" priority="3626">
      <formula>$M371="NÍVEL 2"</formula>
    </cfRule>
    <cfRule type="expression" dxfId="1413" priority="3627" stopIfTrue="1">
      <formula>$M371="NÍVEL 3"</formula>
    </cfRule>
  </conditionalFormatting>
  <conditionalFormatting sqref="O371 R371:S371 U371:Y371">
    <cfRule type="expression" dxfId="1412" priority="3622">
      <formula>$M371="NÍVEL 1"</formula>
    </cfRule>
    <cfRule type="expression" dxfId="1411" priority="3623">
      <formula>$M371="NÍVEL 2"</formula>
    </cfRule>
    <cfRule type="expression" dxfId="1410" priority="3624" stopIfTrue="1">
      <formula>$M371="NÍVEL 3"</formula>
    </cfRule>
  </conditionalFormatting>
  <conditionalFormatting sqref="P372:P373">
    <cfRule type="expression" dxfId="1409" priority="3619">
      <formula>$M372="NÍVEL 1"</formula>
    </cfRule>
    <cfRule type="expression" dxfId="1408" priority="3620">
      <formula>$M372="NÍVEL 2"</formula>
    </cfRule>
    <cfRule type="expression" dxfId="1407" priority="3621" stopIfTrue="1">
      <formula>$M372="NÍVEL 3"</formula>
    </cfRule>
  </conditionalFormatting>
  <conditionalFormatting sqref="P371">
    <cfRule type="expression" dxfId="1406" priority="3616">
      <formula>$M371="NÍVEL 1"</formula>
    </cfRule>
    <cfRule type="expression" dxfId="1405" priority="3617">
      <formula>$M371="NÍVEL 2"</formula>
    </cfRule>
    <cfRule type="expression" dxfId="1404" priority="3618" stopIfTrue="1">
      <formula>$M371="NÍVEL 3"</formula>
    </cfRule>
  </conditionalFormatting>
  <conditionalFormatting sqref="P397:P399">
    <cfRule type="expression" dxfId="1403" priority="3613">
      <formula>$M397="NÍVEL 1"</formula>
    </cfRule>
    <cfRule type="expression" dxfId="1402" priority="3614">
      <formula>$M397="NÍVEL 2"</formula>
    </cfRule>
    <cfRule type="expression" dxfId="1401" priority="3615" stopIfTrue="1">
      <formula>$M397="NÍVEL 3"</formula>
    </cfRule>
  </conditionalFormatting>
  <conditionalFormatting sqref="R366">
    <cfRule type="expression" dxfId="1400" priority="3604">
      <formula>$M366="NÍVEL 1"</formula>
    </cfRule>
    <cfRule type="expression" dxfId="1399" priority="3605">
      <formula>$M366="NÍVEL 2"</formula>
    </cfRule>
    <cfRule type="expression" dxfId="1398" priority="3606">
      <formula>$M366="NÍVEL 3"</formula>
    </cfRule>
  </conditionalFormatting>
  <conditionalFormatting sqref="O375:Y375">
    <cfRule type="expression" dxfId="1397" priority="3598">
      <formula>$M375="NÍVEL 1"</formula>
    </cfRule>
    <cfRule type="expression" dxfId="1396" priority="3599">
      <formula>$M375="NÍVEL 2"</formula>
    </cfRule>
    <cfRule type="expression" dxfId="1395" priority="3600">
      <formula>$M375="NÍVEL 3"</formula>
    </cfRule>
  </conditionalFormatting>
  <conditionalFormatting sqref="O376:Q376 S376:X376">
    <cfRule type="expression" dxfId="1394" priority="3595">
      <formula>$M376="NÍVEL 1"</formula>
    </cfRule>
    <cfRule type="expression" dxfId="1393" priority="3596">
      <formula>$M376="NÍVEL 2"</formula>
    </cfRule>
    <cfRule type="expression" dxfId="1392" priority="3597">
      <formula>$M376="NÍVEL 3"</formula>
    </cfRule>
  </conditionalFormatting>
  <conditionalFormatting sqref="T381:T382 T384:T385">
    <cfRule type="expression" dxfId="1391" priority="3592">
      <formula>$M381="NÍVEL 1"</formula>
    </cfRule>
    <cfRule type="expression" dxfId="1390" priority="3593">
      <formula>$M381="NÍVEL 2"</formula>
    </cfRule>
    <cfRule type="expression" dxfId="1389" priority="3594" stopIfTrue="1">
      <formula>$M381="NÍVEL 3"</formula>
    </cfRule>
  </conditionalFormatting>
  <conditionalFormatting sqref="O381:O382 R381:S382 U381:Y382 U384:Y385 R384:S385 O384:O385">
    <cfRule type="expression" dxfId="1388" priority="3589">
      <formula>$M381="NÍVEL 1"</formula>
    </cfRule>
    <cfRule type="expression" dxfId="1387" priority="3590">
      <formula>$M381="NÍVEL 2"</formula>
    </cfRule>
    <cfRule type="expression" dxfId="1386" priority="3591" stopIfTrue="1">
      <formula>$M381="NÍVEL 3"</formula>
    </cfRule>
  </conditionalFormatting>
  <conditionalFormatting sqref="T380">
    <cfRule type="expression" dxfId="1385" priority="3586">
      <formula>$M380="NÍVEL 1"</formula>
    </cfRule>
    <cfRule type="expression" dxfId="1384" priority="3587">
      <formula>$M380="NÍVEL 2"</formula>
    </cfRule>
    <cfRule type="expression" dxfId="1383" priority="3588" stopIfTrue="1">
      <formula>$M380="NÍVEL 3"</formula>
    </cfRule>
  </conditionalFormatting>
  <conditionalFormatting sqref="O380 R380:S380 U380:Y380">
    <cfRule type="expression" dxfId="1382" priority="3583">
      <formula>$M380="NÍVEL 1"</formula>
    </cfRule>
    <cfRule type="expression" dxfId="1381" priority="3584">
      <formula>$M380="NÍVEL 2"</formula>
    </cfRule>
    <cfRule type="expression" dxfId="1380" priority="3585" stopIfTrue="1">
      <formula>$M380="NÍVEL 3"</formula>
    </cfRule>
  </conditionalFormatting>
  <conditionalFormatting sqref="P381">
    <cfRule type="expression" dxfId="1379" priority="3580">
      <formula>$M381="NÍVEL 1"</formula>
    </cfRule>
    <cfRule type="expression" dxfId="1378" priority="3581">
      <formula>$M381="NÍVEL 2"</formula>
    </cfRule>
    <cfRule type="expression" dxfId="1377" priority="3582" stopIfTrue="1">
      <formula>$M381="NÍVEL 3"</formula>
    </cfRule>
  </conditionalFormatting>
  <conditionalFormatting sqref="P380">
    <cfRule type="expression" dxfId="1376" priority="3577">
      <formula>$M380="NÍVEL 1"</formula>
    </cfRule>
    <cfRule type="expression" dxfId="1375" priority="3578">
      <formula>$M380="NÍVEL 2"</formula>
    </cfRule>
    <cfRule type="expression" dxfId="1374" priority="3579" stopIfTrue="1">
      <formula>$M380="NÍVEL 3"</formula>
    </cfRule>
  </conditionalFormatting>
  <conditionalFormatting sqref="R376">
    <cfRule type="expression" dxfId="1373" priority="3571">
      <formula>$M376="NÍVEL 1"</formula>
    </cfRule>
    <cfRule type="expression" dxfId="1372" priority="3572">
      <formula>$M376="NÍVEL 2"</formula>
    </cfRule>
    <cfRule type="expression" dxfId="1371" priority="3573">
      <formula>$M376="NÍVEL 3"</formula>
    </cfRule>
  </conditionalFormatting>
  <conditionalFormatting sqref="O386:Y386">
    <cfRule type="expression" dxfId="1370" priority="3565">
      <formula>$M386="NÍVEL 1"</formula>
    </cfRule>
    <cfRule type="expression" dxfId="1369" priority="3566">
      <formula>$M386="NÍVEL 2"</formula>
    </cfRule>
    <cfRule type="expression" dxfId="1368" priority="3567">
      <formula>$M386="NÍVEL 3"</formula>
    </cfRule>
  </conditionalFormatting>
  <conditionalFormatting sqref="O387:Q387 S387:X387">
    <cfRule type="expression" dxfId="1367" priority="3562">
      <formula>$M387="NÍVEL 1"</formula>
    </cfRule>
    <cfRule type="expression" dxfId="1366" priority="3563">
      <formula>$M387="NÍVEL 2"</formula>
    </cfRule>
    <cfRule type="expression" dxfId="1365" priority="3564">
      <formula>$M387="NÍVEL 3"</formula>
    </cfRule>
  </conditionalFormatting>
  <conditionalFormatting sqref="T396:T397">
    <cfRule type="expression" dxfId="1364" priority="3559">
      <formula>$M396="NÍVEL 1"</formula>
    </cfRule>
    <cfRule type="expression" dxfId="1363" priority="3560">
      <formula>$M396="NÍVEL 2"</formula>
    </cfRule>
    <cfRule type="expression" dxfId="1362" priority="3561" stopIfTrue="1">
      <formula>$M396="NÍVEL 3"</formula>
    </cfRule>
  </conditionalFormatting>
  <conditionalFormatting sqref="O396:O397 R396:S397 U396:Y397">
    <cfRule type="expression" dxfId="1361" priority="3556">
      <formula>$M396="NÍVEL 1"</formula>
    </cfRule>
    <cfRule type="expression" dxfId="1360" priority="3557">
      <formula>$M396="NÍVEL 2"</formula>
    </cfRule>
    <cfRule type="expression" dxfId="1359" priority="3558" stopIfTrue="1">
      <formula>$M396="NÍVEL 3"</formula>
    </cfRule>
  </conditionalFormatting>
  <conditionalFormatting sqref="T395">
    <cfRule type="expression" dxfId="1358" priority="3553">
      <formula>$M395="NÍVEL 1"</formula>
    </cfRule>
    <cfRule type="expression" dxfId="1357" priority="3554">
      <formula>$M395="NÍVEL 2"</formula>
    </cfRule>
    <cfRule type="expression" dxfId="1356" priority="3555" stopIfTrue="1">
      <formula>$M395="NÍVEL 3"</formula>
    </cfRule>
  </conditionalFormatting>
  <conditionalFormatting sqref="O395 R395:S395 U395:Y395">
    <cfRule type="expression" dxfId="1355" priority="3550">
      <formula>$M395="NÍVEL 1"</formula>
    </cfRule>
    <cfRule type="expression" dxfId="1354" priority="3551">
      <formula>$M395="NÍVEL 2"</formula>
    </cfRule>
    <cfRule type="expression" dxfId="1353" priority="3552" stopIfTrue="1">
      <formula>$M395="NÍVEL 3"</formula>
    </cfRule>
  </conditionalFormatting>
  <conditionalFormatting sqref="P396">
    <cfRule type="expression" dxfId="1352" priority="3547">
      <formula>$M396="NÍVEL 1"</formula>
    </cfRule>
    <cfRule type="expression" dxfId="1351" priority="3548">
      <formula>$M396="NÍVEL 2"</formula>
    </cfRule>
    <cfRule type="expression" dxfId="1350" priority="3549" stopIfTrue="1">
      <formula>$M396="NÍVEL 3"</formula>
    </cfRule>
  </conditionalFormatting>
  <conditionalFormatting sqref="P395">
    <cfRule type="expression" dxfId="1349" priority="3544">
      <formula>$M395="NÍVEL 1"</formula>
    </cfRule>
    <cfRule type="expression" dxfId="1348" priority="3545">
      <formula>$M395="NÍVEL 2"</formula>
    </cfRule>
    <cfRule type="expression" dxfId="1347" priority="3546" stopIfTrue="1">
      <formula>$M395="NÍVEL 3"</formula>
    </cfRule>
  </conditionalFormatting>
  <conditionalFormatting sqref="R387">
    <cfRule type="expression" dxfId="1346" priority="3541">
      <formula>$M387="NÍVEL 1"</formula>
    </cfRule>
    <cfRule type="expression" dxfId="1345" priority="3542">
      <formula>$M387="NÍVEL 2"</formula>
    </cfRule>
    <cfRule type="expression" dxfId="1344" priority="3543">
      <formula>$M387="NÍVEL 3"</formula>
    </cfRule>
  </conditionalFormatting>
  <conditionalFormatting sqref="T394">
    <cfRule type="expression" dxfId="1343" priority="3538">
      <formula>$M394="NÍVEL 1"</formula>
    </cfRule>
    <cfRule type="expression" dxfId="1342" priority="3539">
      <formula>$M394="NÍVEL 2"</formula>
    </cfRule>
    <cfRule type="expression" dxfId="1341" priority="3540" stopIfTrue="1">
      <formula>$M394="NÍVEL 3"</formula>
    </cfRule>
  </conditionalFormatting>
  <conditionalFormatting sqref="O394 R394:S394 U394:Y394">
    <cfRule type="expression" dxfId="1340" priority="3535">
      <formula>$M394="NÍVEL 1"</formula>
    </cfRule>
    <cfRule type="expression" dxfId="1339" priority="3536">
      <formula>$M394="NÍVEL 2"</formula>
    </cfRule>
    <cfRule type="expression" dxfId="1338" priority="3537" stopIfTrue="1">
      <formula>$M394="NÍVEL 3"</formula>
    </cfRule>
  </conditionalFormatting>
  <conditionalFormatting sqref="P393:P394">
    <cfRule type="expression" dxfId="1337" priority="3532">
      <formula>$M393="NÍVEL 1"</formula>
    </cfRule>
    <cfRule type="expression" dxfId="1336" priority="3533">
      <formula>$M393="NÍVEL 2"</formula>
    </cfRule>
    <cfRule type="expression" dxfId="1335" priority="3534" stopIfTrue="1">
      <formula>$M393="NÍVEL 3"</formula>
    </cfRule>
  </conditionalFormatting>
  <conditionalFormatting sqref="T392:T393">
    <cfRule type="expression" dxfId="1334" priority="3529">
      <formula>$M392="NÍVEL 1"</formula>
    </cfRule>
    <cfRule type="expression" dxfId="1333" priority="3530">
      <formula>$M392="NÍVEL 2"</formula>
    </cfRule>
    <cfRule type="expression" dxfId="1332" priority="3531" stopIfTrue="1">
      <formula>$M392="NÍVEL 3"</formula>
    </cfRule>
  </conditionalFormatting>
  <conditionalFormatting sqref="O392:O393 R392:S393 U392:Y393">
    <cfRule type="expression" dxfId="1331" priority="3526">
      <formula>$M392="NÍVEL 1"</formula>
    </cfRule>
    <cfRule type="expression" dxfId="1330" priority="3527">
      <formula>$M392="NÍVEL 2"</formula>
    </cfRule>
    <cfRule type="expression" dxfId="1329" priority="3528" stopIfTrue="1">
      <formula>$M392="NÍVEL 3"</formula>
    </cfRule>
  </conditionalFormatting>
  <conditionalFormatting sqref="T391">
    <cfRule type="expression" dxfId="1328" priority="3523">
      <formula>$M391="NÍVEL 1"</formula>
    </cfRule>
    <cfRule type="expression" dxfId="1327" priority="3524">
      <formula>$M391="NÍVEL 2"</formula>
    </cfRule>
    <cfRule type="expression" dxfId="1326" priority="3525" stopIfTrue="1">
      <formula>$M391="NÍVEL 3"</formula>
    </cfRule>
  </conditionalFormatting>
  <conditionalFormatting sqref="O391 R391:S391 U391:Y391">
    <cfRule type="expression" dxfId="1325" priority="3520">
      <formula>$M391="NÍVEL 1"</formula>
    </cfRule>
    <cfRule type="expression" dxfId="1324" priority="3521">
      <formula>$M391="NÍVEL 2"</formula>
    </cfRule>
    <cfRule type="expression" dxfId="1323" priority="3522" stopIfTrue="1">
      <formula>$M391="NÍVEL 3"</formula>
    </cfRule>
  </conditionalFormatting>
  <conditionalFormatting sqref="P392">
    <cfRule type="expression" dxfId="1322" priority="3517">
      <formula>$M392="NÍVEL 1"</formula>
    </cfRule>
    <cfRule type="expression" dxfId="1321" priority="3518">
      <formula>$M392="NÍVEL 2"</formula>
    </cfRule>
    <cfRule type="expression" dxfId="1320" priority="3519" stopIfTrue="1">
      <formula>$M392="NÍVEL 3"</formula>
    </cfRule>
  </conditionalFormatting>
  <conditionalFormatting sqref="P391">
    <cfRule type="expression" dxfId="1319" priority="3514">
      <formula>$M391="NÍVEL 1"</formula>
    </cfRule>
    <cfRule type="expression" dxfId="1318" priority="3515">
      <formula>$M391="NÍVEL 2"</formula>
    </cfRule>
    <cfRule type="expression" dxfId="1317" priority="3516" stopIfTrue="1">
      <formula>$M391="NÍVEL 3"</formula>
    </cfRule>
  </conditionalFormatting>
  <conditionalFormatting sqref="P390">
    <cfRule type="expression" dxfId="1316" priority="3496">
      <formula>$M390="NÍVEL 1"</formula>
    </cfRule>
    <cfRule type="expression" dxfId="1315" priority="3497">
      <formula>$M390="NÍVEL 2"</formula>
    </cfRule>
    <cfRule type="expression" dxfId="1314" priority="3498" stopIfTrue="1">
      <formula>$M390="NÍVEL 3"</formula>
    </cfRule>
  </conditionalFormatting>
  <conditionalFormatting sqref="T389">
    <cfRule type="expression" dxfId="1313" priority="3490">
      <formula>$M389="NÍVEL 1"</formula>
    </cfRule>
    <cfRule type="expression" dxfId="1312" priority="3491">
      <formula>$M389="NÍVEL 2"</formula>
    </cfRule>
    <cfRule type="expression" dxfId="1311" priority="3492" stopIfTrue="1">
      <formula>$M389="NÍVEL 3"</formula>
    </cfRule>
  </conditionalFormatting>
  <conditionalFormatting sqref="O389 R389:S389 U389:Y389">
    <cfRule type="expression" dxfId="1310" priority="3487">
      <formula>$M389="NÍVEL 1"</formula>
    </cfRule>
    <cfRule type="expression" dxfId="1309" priority="3488">
      <formula>$M389="NÍVEL 2"</formula>
    </cfRule>
    <cfRule type="expression" dxfId="1308" priority="3489" stopIfTrue="1">
      <formula>$M389="NÍVEL 3"</formula>
    </cfRule>
  </conditionalFormatting>
  <conditionalFormatting sqref="T388">
    <cfRule type="expression" dxfId="1307" priority="3475">
      <formula>$M388="NÍVEL 1"</formula>
    </cfRule>
    <cfRule type="expression" dxfId="1306" priority="3476">
      <formula>$M388="NÍVEL 2"</formula>
    </cfRule>
    <cfRule type="expression" dxfId="1305" priority="3477" stopIfTrue="1">
      <formula>$M388="NÍVEL 3"</formula>
    </cfRule>
  </conditionalFormatting>
  <conditionalFormatting sqref="O388 R388:S388 U388:Y388">
    <cfRule type="expression" dxfId="1304" priority="3472">
      <formula>$M388="NÍVEL 1"</formula>
    </cfRule>
    <cfRule type="expression" dxfId="1303" priority="3473">
      <formula>$M388="NÍVEL 2"</formula>
    </cfRule>
    <cfRule type="expression" dxfId="1302" priority="3474" stopIfTrue="1">
      <formula>$M388="NÍVEL 3"</formula>
    </cfRule>
  </conditionalFormatting>
  <conditionalFormatting sqref="P388">
    <cfRule type="expression" dxfId="1301" priority="3466">
      <formula>$M388="NÍVEL 1"</formula>
    </cfRule>
    <cfRule type="expression" dxfId="1300" priority="3467">
      <formula>$M388="NÍVEL 2"</formula>
    </cfRule>
    <cfRule type="expression" dxfId="1299" priority="3468" stopIfTrue="1">
      <formula>$M388="NÍVEL 3"</formula>
    </cfRule>
  </conditionalFormatting>
  <conditionalFormatting sqref="O473:Y473">
    <cfRule type="expression" dxfId="1298" priority="3448">
      <formula>$M473="NÍVEL 1"</formula>
    </cfRule>
    <cfRule type="expression" dxfId="1297" priority="3449">
      <formula>$M473="NÍVEL 2"</formula>
    </cfRule>
    <cfRule type="expression" dxfId="1296" priority="3450" stopIfTrue="1">
      <formula>$M473="NÍVEL 3"</formula>
    </cfRule>
  </conditionalFormatting>
  <conditionalFormatting sqref="O475:Q475 S475:X475">
    <cfRule type="expression" dxfId="1295" priority="3445">
      <formula>$M475="NÍVEL 1"</formula>
    </cfRule>
    <cfRule type="expression" dxfId="1294" priority="3446">
      <formula>$M475="NÍVEL 2"</formula>
    </cfRule>
    <cfRule type="expression" dxfId="1293" priority="3447">
      <formula>$M475="NÍVEL 3"</formula>
    </cfRule>
  </conditionalFormatting>
  <conditionalFormatting sqref="O474:Q474 S474:X474">
    <cfRule type="expression" dxfId="1292" priority="3442">
      <formula>$M474="NÍVEL 1"</formula>
    </cfRule>
    <cfRule type="expression" dxfId="1291" priority="3443">
      <formula>$M474="NÍVEL 2"</formula>
    </cfRule>
    <cfRule type="expression" dxfId="1290" priority="3444">
      <formula>$M474="NÍVEL 3"</formula>
    </cfRule>
  </conditionalFormatting>
  <conditionalFormatting sqref="O476 R476:S476 U476:Y476">
    <cfRule type="expression" dxfId="1289" priority="3427">
      <formula>$M476="NÍVEL 1"</formula>
    </cfRule>
    <cfRule type="expression" dxfId="1288" priority="3428">
      <formula>$M476="NÍVEL 2"</formula>
    </cfRule>
    <cfRule type="expression" dxfId="1287" priority="3429" stopIfTrue="1">
      <formula>$M476="NÍVEL 3"</formula>
    </cfRule>
  </conditionalFormatting>
  <conditionalFormatting sqref="P477:P479">
    <cfRule type="expression" dxfId="1286" priority="3424">
      <formula>$M477="NÍVEL 1"</formula>
    </cfRule>
    <cfRule type="expression" dxfId="1285" priority="3425">
      <formula>$M477="NÍVEL 2"</formula>
    </cfRule>
    <cfRule type="expression" dxfId="1284" priority="3426" stopIfTrue="1">
      <formula>$M477="NÍVEL 3"</formula>
    </cfRule>
  </conditionalFormatting>
  <conditionalFormatting sqref="P476">
    <cfRule type="expression" dxfId="1283" priority="3421">
      <formula>$M476="NÍVEL 1"</formula>
    </cfRule>
    <cfRule type="expression" dxfId="1282" priority="3422">
      <formula>$M476="NÍVEL 2"</formula>
    </cfRule>
    <cfRule type="expression" dxfId="1281" priority="3423" stopIfTrue="1">
      <formula>$M476="NÍVEL 3"</formula>
    </cfRule>
  </conditionalFormatting>
  <conditionalFormatting sqref="R474:R475">
    <cfRule type="expression" dxfId="1280" priority="3400">
      <formula>$M474="NÍVEL 1"</formula>
    </cfRule>
    <cfRule type="expression" dxfId="1279" priority="3401">
      <formula>$M474="NÍVEL 2"</formula>
    </cfRule>
    <cfRule type="expression" dxfId="1278" priority="3402">
      <formula>$M474="NÍVEL 3"</formula>
    </cfRule>
  </conditionalFormatting>
  <conditionalFormatting sqref="Q476:Q479">
    <cfRule type="expression" dxfId="1277" priority="3398">
      <formula>$M476="NÍVEL 1"</formula>
    </cfRule>
    <cfRule type="expression" dxfId="1276" priority="3399">
      <formula>$M476="NÍVEL 2"</formula>
    </cfRule>
  </conditionalFormatting>
  <conditionalFormatting sqref="Q476:Q479">
    <cfRule type="expression" dxfId="1275" priority="3397" stopIfTrue="1">
      <formula>$M476="NÍVEL 3"</formula>
    </cfRule>
  </conditionalFormatting>
  <conditionalFormatting sqref="O481:Q481 S481:X481">
    <cfRule type="expression" dxfId="1274" priority="3391">
      <formula>$M481="NÍVEL 1"</formula>
    </cfRule>
    <cfRule type="expression" dxfId="1273" priority="3392">
      <formula>$M481="NÍVEL 2"</formula>
    </cfRule>
    <cfRule type="expression" dxfId="1272" priority="3393">
      <formula>$M481="NÍVEL 3"</formula>
    </cfRule>
  </conditionalFormatting>
  <conditionalFormatting sqref="O482:O483 R482:S483 U482:Y483 O486:O488 R486:S488 U486:Y488">
    <cfRule type="expression" dxfId="1271" priority="3385">
      <formula>$M482="NÍVEL 1"</formula>
    </cfRule>
    <cfRule type="expression" dxfId="1270" priority="3386">
      <formula>$M482="NÍVEL 2"</formula>
    </cfRule>
    <cfRule type="expression" dxfId="1269" priority="3387" stopIfTrue="1">
      <formula>$M482="NÍVEL 3"</formula>
    </cfRule>
  </conditionalFormatting>
  <conditionalFormatting sqref="R481">
    <cfRule type="expression" dxfId="1268" priority="3376">
      <formula>$M481="NÍVEL 1"</formula>
    </cfRule>
    <cfRule type="expression" dxfId="1267" priority="3377">
      <formula>$M481="NÍVEL 2"</formula>
    </cfRule>
    <cfRule type="expression" dxfId="1266" priority="3378">
      <formula>$M481="NÍVEL 3"</formula>
    </cfRule>
  </conditionalFormatting>
  <conditionalFormatting sqref="O519:Y519">
    <cfRule type="expression" dxfId="1265" priority="3367">
      <formula>$M519="NÍVEL 1"</formula>
    </cfRule>
    <cfRule type="expression" dxfId="1264" priority="3368">
      <formula>$M519="NÍVEL 2"</formula>
    </cfRule>
    <cfRule type="expression" dxfId="1263" priority="3369" stopIfTrue="1">
      <formula>$M519="NÍVEL 3"</formula>
    </cfRule>
  </conditionalFormatting>
  <conditionalFormatting sqref="O526:Q526 S526:X526">
    <cfRule type="expression" dxfId="1262" priority="3364">
      <formula>$M526="NÍVEL 1"</formula>
    </cfRule>
    <cfRule type="expression" dxfId="1261" priority="3365">
      <formula>$M526="NÍVEL 2"</formula>
    </cfRule>
    <cfRule type="expression" dxfId="1260" priority="3366">
      <formula>$M526="NÍVEL 3"</formula>
    </cfRule>
  </conditionalFormatting>
  <conditionalFormatting sqref="O527:O528 R527:S528 U527:Y528">
    <cfRule type="expression" dxfId="1259" priority="3355">
      <formula>$M527="NÍVEL 1"</formula>
    </cfRule>
    <cfRule type="expression" dxfId="1258" priority="3356">
      <formula>$M527="NÍVEL 2"</formula>
    </cfRule>
    <cfRule type="expression" dxfId="1257" priority="3357" stopIfTrue="1">
      <formula>$M527="NÍVEL 3"</formula>
    </cfRule>
  </conditionalFormatting>
  <conditionalFormatting sqref="P527:P528">
    <cfRule type="expression" dxfId="1256" priority="3349">
      <formula>$M527="NÍVEL 1"</formula>
    </cfRule>
    <cfRule type="expression" dxfId="1255" priority="3350">
      <formula>$M527="NÍVEL 2"</formula>
    </cfRule>
    <cfRule type="expression" dxfId="1254" priority="3351" stopIfTrue="1">
      <formula>$M527="NÍVEL 3"</formula>
    </cfRule>
  </conditionalFormatting>
  <conditionalFormatting sqref="Q527:Q528">
    <cfRule type="expression" dxfId="1253" priority="3338">
      <formula>$M527="NÍVEL 1"</formula>
    </cfRule>
    <cfRule type="expression" dxfId="1252" priority="3339">
      <formula>$M527="NÍVEL 2"</formula>
    </cfRule>
  </conditionalFormatting>
  <conditionalFormatting sqref="Q527:Q528">
    <cfRule type="expression" dxfId="1251" priority="3337" stopIfTrue="1">
      <formula>$M527="NÍVEL 3"</formula>
    </cfRule>
  </conditionalFormatting>
  <conditionalFormatting sqref="O414:O415 R414:Y415">
    <cfRule type="expression" dxfId="1250" priority="3331">
      <formula>$M414="NÍVEL 1"</formula>
    </cfRule>
    <cfRule type="expression" dxfId="1249" priority="3332">
      <formula>$M414="NÍVEL 2"</formula>
    </cfRule>
    <cfRule type="expression" dxfId="1248" priority="3333" stopIfTrue="1">
      <formula>$M414="NÍVEL 3"</formula>
    </cfRule>
  </conditionalFormatting>
  <conditionalFormatting sqref="O400:Y400">
    <cfRule type="expression" dxfId="1247" priority="3328">
      <formula>$M400="NÍVEL 1"</formula>
    </cfRule>
    <cfRule type="expression" dxfId="1246" priority="3329">
      <formula>$M400="NÍVEL 2"</formula>
    </cfRule>
    <cfRule type="expression" dxfId="1245" priority="3330">
      <formula>$M400="NÍVEL 3"</formula>
    </cfRule>
  </conditionalFormatting>
  <conditionalFormatting sqref="O401:Q401 S401:X401">
    <cfRule type="expression" dxfId="1244" priority="3325">
      <formula>$M401="NÍVEL 1"</formula>
    </cfRule>
    <cfRule type="expression" dxfId="1243" priority="3326">
      <formula>$M401="NÍVEL 2"</formula>
    </cfRule>
    <cfRule type="expression" dxfId="1242" priority="3327">
      <formula>$M401="NÍVEL 3"</formula>
    </cfRule>
  </conditionalFormatting>
  <conditionalFormatting sqref="R401">
    <cfRule type="expression" dxfId="1241" priority="3304">
      <formula>$M401="NÍVEL 1"</formula>
    </cfRule>
    <cfRule type="expression" dxfId="1240" priority="3305">
      <formula>$M401="NÍVEL 2"</formula>
    </cfRule>
    <cfRule type="expression" dxfId="1239" priority="3306">
      <formula>$M401="NÍVEL 3"</formula>
    </cfRule>
  </conditionalFormatting>
  <conditionalFormatting sqref="T427">
    <cfRule type="expression" dxfId="1238" priority="3301">
      <formula>$M427="NÍVEL 1"</formula>
    </cfRule>
    <cfRule type="expression" dxfId="1237" priority="3302">
      <formula>$M427="NÍVEL 2"</formula>
    </cfRule>
    <cfRule type="expression" dxfId="1236" priority="3303" stopIfTrue="1">
      <formula>$M427="NÍVEL 3"</formula>
    </cfRule>
  </conditionalFormatting>
  <conditionalFormatting sqref="O427 R427:S427 U427:Y427">
    <cfRule type="expression" dxfId="1235" priority="3298">
      <formula>$M427="NÍVEL 1"</formula>
    </cfRule>
    <cfRule type="expression" dxfId="1234" priority="3299">
      <formula>$M427="NÍVEL 2"</formula>
    </cfRule>
    <cfRule type="expression" dxfId="1233" priority="3300" stopIfTrue="1">
      <formula>$M427="NÍVEL 3"</formula>
    </cfRule>
  </conditionalFormatting>
  <conditionalFormatting sqref="T416">
    <cfRule type="expression" dxfId="1232" priority="3286">
      <formula>$M416="NÍVEL 1"</formula>
    </cfRule>
    <cfRule type="expression" dxfId="1231" priority="3287">
      <formula>$M416="NÍVEL 2"</formula>
    </cfRule>
    <cfRule type="expression" dxfId="1230" priority="3288" stopIfTrue="1">
      <formula>$M416="NÍVEL 3"</formula>
    </cfRule>
  </conditionalFormatting>
  <conditionalFormatting sqref="O416 R416:S416 U416:Y416">
    <cfRule type="expression" dxfId="1229" priority="3283">
      <formula>$M416="NÍVEL 1"</formula>
    </cfRule>
    <cfRule type="expression" dxfId="1228" priority="3284">
      <formula>$M416="NÍVEL 2"</formula>
    </cfRule>
    <cfRule type="expression" dxfId="1227" priority="3285" stopIfTrue="1">
      <formula>$M416="NÍVEL 3"</formula>
    </cfRule>
  </conditionalFormatting>
  <conditionalFormatting sqref="T466:T467">
    <cfRule type="expression" dxfId="1226" priority="3241">
      <formula>$M466="NÍVEL 1"</formula>
    </cfRule>
    <cfRule type="expression" dxfId="1225" priority="3242">
      <formula>$M466="NÍVEL 2"</formula>
    </cfRule>
    <cfRule type="expression" dxfId="1224" priority="3243" stopIfTrue="1">
      <formula>$M466="NÍVEL 3"</formula>
    </cfRule>
  </conditionalFormatting>
  <conditionalFormatting sqref="O463:O467 R463:S467 U463:Y467">
    <cfRule type="expression" dxfId="1223" priority="3238">
      <formula>$M463="NÍVEL 1"</formula>
    </cfRule>
    <cfRule type="expression" dxfId="1222" priority="3239">
      <formula>$M463="NÍVEL 2"</formula>
    </cfRule>
    <cfRule type="expression" dxfId="1221" priority="3240" stopIfTrue="1">
      <formula>$M463="NÍVEL 3"</formula>
    </cfRule>
  </conditionalFormatting>
  <conditionalFormatting sqref="P466:P467">
    <cfRule type="expression" dxfId="1220" priority="3235">
      <formula>$M466="NÍVEL 1"</formula>
    </cfRule>
    <cfRule type="expression" dxfId="1219" priority="3236">
      <formula>$M466="NÍVEL 2"</formula>
    </cfRule>
    <cfRule type="expression" dxfId="1218" priority="3237" stopIfTrue="1">
      <formula>$M466="NÍVEL 3"</formula>
    </cfRule>
  </conditionalFormatting>
  <conditionalFormatting sqref="O451:Y451">
    <cfRule type="expression" dxfId="1217" priority="3229">
      <formula>$M451="NÍVEL 1"</formula>
    </cfRule>
    <cfRule type="expression" dxfId="1216" priority="3230">
      <formula>$M451="NÍVEL 2"</formula>
    </cfRule>
    <cfRule type="expression" dxfId="1215" priority="3231" stopIfTrue="1">
      <formula>$M451="NÍVEL 3"</formula>
    </cfRule>
  </conditionalFormatting>
  <conditionalFormatting sqref="O453:Q453 S453:X453">
    <cfRule type="expression" dxfId="1214" priority="3226">
      <formula>$M453="NÍVEL 1"</formula>
    </cfRule>
    <cfRule type="expression" dxfId="1213" priority="3227">
      <formula>$M453="NÍVEL 2"</formula>
    </cfRule>
    <cfRule type="expression" dxfId="1212" priority="3228">
      <formula>$M453="NÍVEL 3"</formula>
    </cfRule>
  </conditionalFormatting>
  <conditionalFormatting sqref="O452:Q452 S452:X452">
    <cfRule type="expression" dxfId="1211" priority="3223">
      <formula>$M452="NÍVEL 1"</formula>
    </cfRule>
    <cfRule type="expression" dxfId="1210" priority="3224">
      <formula>$M452="NÍVEL 2"</formula>
    </cfRule>
    <cfRule type="expression" dxfId="1209" priority="3225">
      <formula>$M452="NÍVEL 3"</formula>
    </cfRule>
  </conditionalFormatting>
  <conditionalFormatting sqref="O462 R462:S462 U462:Y462">
    <cfRule type="expression" dxfId="1208" priority="3220">
      <formula>$M462="NÍVEL 1"</formula>
    </cfRule>
    <cfRule type="expression" dxfId="1207" priority="3221">
      <formula>$M462="NÍVEL 2"</formula>
    </cfRule>
    <cfRule type="expression" dxfId="1206" priority="3222" stopIfTrue="1">
      <formula>$M462="NÍVEL 3"</formula>
    </cfRule>
  </conditionalFormatting>
  <conditionalFormatting sqref="T454">
    <cfRule type="expression" dxfId="1205" priority="3211">
      <formula>$M454="NÍVEL 1"</formula>
    </cfRule>
    <cfRule type="expression" dxfId="1204" priority="3212">
      <formula>$M454="NÍVEL 2"</formula>
    </cfRule>
    <cfRule type="expression" dxfId="1203" priority="3213" stopIfTrue="1">
      <formula>$M454="NÍVEL 3"</formula>
    </cfRule>
  </conditionalFormatting>
  <conditionalFormatting sqref="O454 R454:S454 U454:Y454">
    <cfRule type="expression" dxfId="1202" priority="3208">
      <formula>$M454="NÍVEL 1"</formula>
    </cfRule>
    <cfRule type="expression" dxfId="1201" priority="3209">
      <formula>$M454="NÍVEL 2"</formula>
    </cfRule>
    <cfRule type="expression" dxfId="1200" priority="3210" stopIfTrue="1">
      <formula>$M454="NÍVEL 3"</formula>
    </cfRule>
  </conditionalFormatting>
  <conditionalFormatting sqref="P462 P454:P458">
    <cfRule type="expression" dxfId="1199" priority="3199">
      <formula>$M454="NÍVEL 1"</formula>
    </cfRule>
    <cfRule type="expression" dxfId="1198" priority="3200">
      <formula>$M454="NÍVEL 2"</formula>
    </cfRule>
    <cfRule type="expression" dxfId="1197" priority="3201" stopIfTrue="1">
      <formula>$M454="NÍVEL 3"</formula>
    </cfRule>
  </conditionalFormatting>
  <conditionalFormatting sqref="P465">
    <cfRule type="expression" dxfId="1196" priority="3196">
      <formula>$M465="NÍVEL 1"</formula>
    </cfRule>
    <cfRule type="expression" dxfId="1195" priority="3197">
      <formula>$M465="NÍVEL 2"</formula>
    </cfRule>
    <cfRule type="expression" dxfId="1194" priority="3198" stopIfTrue="1">
      <formula>$M465="NÍVEL 3"</formula>
    </cfRule>
  </conditionalFormatting>
  <conditionalFormatting sqref="R452:R453">
    <cfRule type="expression" dxfId="1193" priority="3193">
      <formula>$M452="NÍVEL 1"</formula>
    </cfRule>
    <cfRule type="expression" dxfId="1192" priority="3194">
      <formula>$M452="NÍVEL 2"</formula>
    </cfRule>
    <cfRule type="expression" dxfId="1191" priority="3195">
      <formula>$M452="NÍVEL 3"</formula>
    </cfRule>
  </conditionalFormatting>
  <conditionalFormatting sqref="P464">
    <cfRule type="expression" dxfId="1190" priority="3190">
      <formula>$M464="NÍVEL 1"</formula>
    </cfRule>
    <cfRule type="expression" dxfId="1189" priority="3191">
      <formula>$M464="NÍVEL 2"</formula>
    </cfRule>
    <cfRule type="expression" dxfId="1188" priority="3192" stopIfTrue="1">
      <formula>$M464="NÍVEL 3"</formula>
    </cfRule>
  </conditionalFormatting>
  <conditionalFormatting sqref="P463">
    <cfRule type="expression" dxfId="1187" priority="3187">
      <formula>$M463="NÍVEL 1"</formula>
    </cfRule>
    <cfRule type="expression" dxfId="1186" priority="3188">
      <formula>$M463="NÍVEL 2"</formula>
    </cfRule>
    <cfRule type="expression" dxfId="1185" priority="3189" stopIfTrue="1">
      <formula>$M463="NÍVEL 3"</formula>
    </cfRule>
  </conditionalFormatting>
  <conditionalFormatting sqref="T457:T458">
    <cfRule type="expression" dxfId="1184" priority="3172">
      <formula>$M457="NÍVEL 1"</formula>
    </cfRule>
    <cfRule type="expression" dxfId="1183" priority="3173">
      <formula>$M457="NÍVEL 2"</formula>
    </cfRule>
    <cfRule type="expression" dxfId="1182" priority="3174" stopIfTrue="1">
      <formula>$M457="NÍVEL 3"</formula>
    </cfRule>
  </conditionalFormatting>
  <conditionalFormatting sqref="O457:O458 R457:S458 U457:Y458">
    <cfRule type="expression" dxfId="1181" priority="3169">
      <formula>$M457="NÍVEL 1"</formula>
    </cfRule>
    <cfRule type="expression" dxfId="1180" priority="3170">
      <formula>$M457="NÍVEL 2"</formula>
    </cfRule>
    <cfRule type="expression" dxfId="1179" priority="3171" stopIfTrue="1">
      <formula>$M457="NÍVEL 3"</formula>
    </cfRule>
  </conditionalFormatting>
  <conditionalFormatting sqref="P461">
    <cfRule type="expression" dxfId="1178" priority="3166">
      <formula>$M461="NÍVEL 1"</formula>
    </cfRule>
    <cfRule type="expression" dxfId="1177" priority="3167">
      <formula>$M461="NÍVEL 2"</formula>
    </cfRule>
    <cfRule type="expression" dxfId="1176" priority="3168" stopIfTrue="1">
      <formula>$M461="NÍVEL 3"</formula>
    </cfRule>
  </conditionalFormatting>
  <conditionalFormatting sqref="P460">
    <cfRule type="expression" dxfId="1175" priority="3163">
      <formula>$M460="NÍVEL 1"</formula>
    </cfRule>
    <cfRule type="expression" dxfId="1174" priority="3164">
      <formula>$M460="NÍVEL 2"</formula>
    </cfRule>
    <cfRule type="expression" dxfId="1173" priority="3165" stopIfTrue="1">
      <formula>$M460="NÍVEL 3"</formula>
    </cfRule>
  </conditionalFormatting>
  <conditionalFormatting sqref="P459">
    <cfRule type="expression" dxfId="1172" priority="3160">
      <formula>$M459="NÍVEL 1"</formula>
    </cfRule>
    <cfRule type="expression" dxfId="1171" priority="3161">
      <formula>$M459="NÍVEL 2"</formula>
    </cfRule>
    <cfRule type="expression" dxfId="1170" priority="3162" stopIfTrue="1">
      <formula>$M459="NÍVEL 3"</formula>
    </cfRule>
  </conditionalFormatting>
  <conditionalFormatting sqref="T471">
    <cfRule type="expression" dxfId="1169" priority="3148">
      <formula>$M471="NÍVEL 1"</formula>
    </cfRule>
    <cfRule type="expression" dxfId="1168" priority="3149">
      <formula>$M471="NÍVEL 2"</formula>
    </cfRule>
    <cfRule type="expression" dxfId="1167" priority="3150" stopIfTrue="1">
      <formula>$M471="NÍVEL 3"</formula>
    </cfRule>
  </conditionalFormatting>
  <conditionalFormatting sqref="O471 R471:S471 U471:Y471">
    <cfRule type="expression" dxfId="1166" priority="3145">
      <formula>$M471="NÍVEL 1"</formula>
    </cfRule>
    <cfRule type="expression" dxfId="1165" priority="3146">
      <formula>$M471="NÍVEL 2"</formula>
    </cfRule>
    <cfRule type="expression" dxfId="1164" priority="3147" stopIfTrue="1">
      <formula>$M471="NÍVEL 3"</formula>
    </cfRule>
  </conditionalFormatting>
  <conditionalFormatting sqref="T472">
    <cfRule type="expression" dxfId="1163" priority="3127">
      <formula>$M472="NÍVEL 1"</formula>
    </cfRule>
    <cfRule type="expression" dxfId="1162" priority="3128">
      <formula>$M472="NÍVEL 2"</formula>
    </cfRule>
    <cfRule type="expression" dxfId="1161" priority="3129" stopIfTrue="1">
      <formula>$M472="NÍVEL 3"</formula>
    </cfRule>
  </conditionalFormatting>
  <conditionalFormatting sqref="O472 R472:S472 U472:Y472">
    <cfRule type="expression" dxfId="1160" priority="3124">
      <formula>$M472="NÍVEL 1"</formula>
    </cfRule>
    <cfRule type="expression" dxfId="1159" priority="3125">
      <formula>$M472="NÍVEL 2"</formula>
    </cfRule>
    <cfRule type="expression" dxfId="1158" priority="3126" stopIfTrue="1">
      <formula>$M472="NÍVEL 3"</formula>
    </cfRule>
  </conditionalFormatting>
  <conditionalFormatting sqref="O468:Y468">
    <cfRule type="expression" dxfId="1157" priority="3115">
      <formula>$M468="NÍVEL 1"</formula>
    </cfRule>
    <cfRule type="expression" dxfId="1156" priority="3116">
      <formula>$M468="NÍVEL 2"</formula>
    </cfRule>
    <cfRule type="expression" dxfId="1155" priority="3117" stopIfTrue="1">
      <formula>$M468="NÍVEL 3"</formula>
    </cfRule>
  </conditionalFormatting>
  <conditionalFormatting sqref="O489:Y489">
    <cfRule type="expression" dxfId="1154" priority="3097">
      <formula>$M489="NÍVEL 1"</formula>
    </cfRule>
    <cfRule type="expression" dxfId="1153" priority="3098">
      <formula>$M489="NÍVEL 2"</formula>
    </cfRule>
    <cfRule type="expression" dxfId="1152" priority="3099" stopIfTrue="1">
      <formula>$M489="NÍVEL 3"</formula>
    </cfRule>
  </conditionalFormatting>
  <conditionalFormatting sqref="O490:Q490 S490:X490">
    <cfRule type="expression" dxfId="1151" priority="3091">
      <formula>$M490="NÍVEL 1"</formula>
    </cfRule>
    <cfRule type="expression" dxfId="1150" priority="3092">
      <formula>$M490="NÍVEL 2"</formula>
    </cfRule>
    <cfRule type="expression" dxfId="1149" priority="3093">
      <formula>$M490="NÍVEL 3"</formula>
    </cfRule>
  </conditionalFormatting>
  <conditionalFormatting sqref="O493:O497 R493:S497 U493:Y497">
    <cfRule type="expression" dxfId="1148" priority="3064">
      <formula>$M493="NÍVEL 1"</formula>
    </cfRule>
    <cfRule type="expression" dxfId="1147" priority="3065">
      <formula>$M493="NÍVEL 2"</formula>
    </cfRule>
    <cfRule type="expression" dxfId="1146" priority="3066" stopIfTrue="1">
      <formula>$M493="NÍVEL 3"</formula>
    </cfRule>
  </conditionalFormatting>
  <conditionalFormatting sqref="O492 R492:S492 U492:Y492">
    <cfRule type="expression" dxfId="1145" priority="3055">
      <formula>$M492="NÍVEL 1"</formula>
    </cfRule>
    <cfRule type="expression" dxfId="1144" priority="3056">
      <formula>$M492="NÍVEL 2"</formula>
    </cfRule>
    <cfRule type="expression" dxfId="1143" priority="3057" stopIfTrue="1">
      <formula>$M492="NÍVEL 3"</formula>
    </cfRule>
  </conditionalFormatting>
  <conditionalFormatting sqref="O491 R491:S491 U491:Y491">
    <cfRule type="expression" dxfId="1142" priority="3049">
      <formula>$M491="NÍVEL 1"</formula>
    </cfRule>
    <cfRule type="expression" dxfId="1141" priority="3050">
      <formula>$M491="NÍVEL 2"</formula>
    </cfRule>
    <cfRule type="expression" dxfId="1140" priority="3051" stopIfTrue="1">
      <formula>$M491="NÍVEL 3"</formula>
    </cfRule>
  </conditionalFormatting>
  <conditionalFormatting sqref="O161 R161:S161 U161:Y161 O164 R164:S164 U164:Y164">
    <cfRule type="expression" dxfId="1139" priority="3025">
      <formula>$M161="NÍVEL 1"</formula>
    </cfRule>
    <cfRule type="expression" dxfId="1138" priority="3026">
      <formula>$M161="NÍVEL 2"</formula>
    </cfRule>
    <cfRule type="expression" dxfId="1137" priority="3027" stopIfTrue="1">
      <formula>$M161="NÍVEL 3"</formula>
    </cfRule>
  </conditionalFormatting>
  <conditionalFormatting sqref="Q161 Q164">
    <cfRule type="expression" dxfId="1136" priority="3019">
      <formula>$M161="NÍVEL 1"</formula>
    </cfRule>
    <cfRule type="expression" dxfId="1135" priority="3020">
      <formula>$M161="NÍVEL 2"</formula>
    </cfRule>
    <cfRule type="expression" dxfId="1134" priority="3021">
      <formula>$M161="NÍVEL 3"</formula>
    </cfRule>
  </conditionalFormatting>
  <conditionalFormatting sqref="Y10:Y11">
    <cfRule type="expression" dxfId="1133" priority="2983">
      <formula>$M10="NÍVEL 1"</formula>
    </cfRule>
    <cfRule type="expression" dxfId="1132" priority="2984">
      <formula>$M10="NÍVEL 2"</formula>
    </cfRule>
    <cfRule type="expression" dxfId="1131" priority="2985">
      <formula>$M10="NÍVEL 3"</formula>
    </cfRule>
  </conditionalFormatting>
  <conditionalFormatting sqref="Y14">
    <cfRule type="expression" dxfId="1130" priority="2980">
      <formula>$M14="NÍVEL 1"</formula>
    </cfRule>
    <cfRule type="expression" dxfId="1129" priority="2981">
      <formula>$M14="NÍVEL 2"</formula>
    </cfRule>
    <cfRule type="expression" dxfId="1128" priority="2982">
      <formula>$M14="NÍVEL 3"</formula>
    </cfRule>
  </conditionalFormatting>
  <conditionalFormatting sqref="Y18">
    <cfRule type="expression" dxfId="1127" priority="2974">
      <formula>$M18="NÍVEL 1"</formula>
    </cfRule>
    <cfRule type="expression" dxfId="1126" priority="2975">
      <formula>$M18="NÍVEL 2"</formula>
    </cfRule>
    <cfRule type="expression" dxfId="1125" priority="2976">
      <formula>$M18="NÍVEL 3"</formula>
    </cfRule>
  </conditionalFormatting>
  <conditionalFormatting sqref="Y50">
    <cfRule type="expression" dxfId="1124" priority="2962">
      <formula>$M50="NÍVEL 1"</formula>
    </cfRule>
    <cfRule type="expression" dxfId="1123" priority="2963">
      <formula>$M50="NÍVEL 2"</formula>
    </cfRule>
    <cfRule type="expression" dxfId="1122" priority="2964">
      <formula>$M50="NÍVEL 3"</formula>
    </cfRule>
  </conditionalFormatting>
  <conditionalFormatting sqref="Y58">
    <cfRule type="expression" dxfId="1121" priority="2959">
      <formula>$M58="NÍVEL 1"</formula>
    </cfRule>
    <cfRule type="expression" dxfId="1120" priority="2960">
      <formula>$M58="NÍVEL 2"</formula>
    </cfRule>
    <cfRule type="expression" dxfId="1119" priority="2961">
      <formula>$M58="NÍVEL 3"</formula>
    </cfRule>
  </conditionalFormatting>
  <conditionalFormatting sqref="Y108">
    <cfRule type="expression" dxfId="1118" priority="2953">
      <formula>$M108="NÍVEL 1"</formula>
    </cfRule>
    <cfRule type="expression" dxfId="1117" priority="2954">
      <formula>$M108="NÍVEL 2"</formula>
    </cfRule>
    <cfRule type="expression" dxfId="1116" priority="2955">
      <formula>$M108="NÍVEL 3"</formula>
    </cfRule>
  </conditionalFormatting>
  <conditionalFormatting sqref="Y154:Y155">
    <cfRule type="expression" dxfId="1115" priority="2938">
      <formula>$M154="NÍVEL 1"</formula>
    </cfRule>
    <cfRule type="expression" dxfId="1114" priority="2939">
      <formula>$M154="NÍVEL 2"</formula>
    </cfRule>
    <cfRule type="expression" dxfId="1113" priority="2940">
      <formula>$M154="NÍVEL 3"</formula>
    </cfRule>
  </conditionalFormatting>
  <conditionalFormatting sqref="Y160">
    <cfRule type="expression" dxfId="1112" priority="2932">
      <formula>$M160="NÍVEL 1"</formula>
    </cfRule>
    <cfRule type="expression" dxfId="1111" priority="2933">
      <formula>$M160="NÍVEL 2"</formula>
    </cfRule>
    <cfRule type="expression" dxfId="1110" priority="2934">
      <formula>$M160="NÍVEL 3"</formula>
    </cfRule>
  </conditionalFormatting>
  <conditionalFormatting sqref="Y166:Y167">
    <cfRule type="expression" dxfId="1109" priority="2929">
      <formula>$M166="NÍVEL 1"</formula>
    </cfRule>
    <cfRule type="expression" dxfId="1108" priority="2930">
      <formula>$M166="NÍVEL 2"</formula>
    </cfRule>
    <cfRule type="expression" dxfId="1107" priority="2931">
      <formula>$M166="NÍVEL 3"</formula>
    </cfRule>
  </conditionalFormatting>
  <conditionalFormatting sqref="Y178">
    <cfRule type="expression" dxfId="1106" priority="2926">
      <formula>$M178="NÍVEL 1"</formula>
    </cfRule>
    <cfRule type="expression" dxfId="1105" priority="2927">
      <formula>$M178="NÍVEL 2"</formula>
    </cfRule>
    <cfRule type="expression" dxfId="1104" priority="2928">
      <formula>$M178="NÍVEL 3"</formula>
    </cfRule>
  </conditionalFormatting>
  <conditionalFormatting sqref="Y182">
    <cfRule type="expression" dxfId="1103" priority="2920">
      <formula>$M182="NÍVEL 1"</formula>
    </cfRule>
    <cfRule type="expression" dxfId="1102" priority="2921">
      <formula>$M182="NÍVEL 2"</formula>
    </cfRule>
    <cfRule type="expression" dxfId="1101" priority="2922">
      <formula>$M182="NÍVEL 3"</formula>
    </cfRule>
  </conditionalFormatting>
  <conditionalFormatting sqref="Y188:Y189">
    <cfRule type="expression" dxfId="1100" priority="2917">
      <formula>$M188="NÍVEL 1"</formula>
    </cfRule>
    <cfRule type="expression" dxfId="1099" priority="2918">
      <formula>$M188="NÍVEL 2"</formula>
    </cfRule>
    <cfRule type="expression" dxfId="1098" priority="2919">
      <formula>$M188="NÍVEL 3"</formula>
    </cfRule>
  </conditionalFormatting>
  <conditionalFormatting sqref="Y194">
    <cfRule type="expression" dxfId="1097" priority="2914">
      <formula>$M194="NÍVEL 1"</formula>
    </cfRule>
    <cfRule type="expression" dxfId="1096" priority="2915">
      <formula>$M194="NÍVEL 2"</formula>
    </cfRule>
    <cfRule type="expression" dxfId="1095" priority="2916">
      <formula>$M194="NÍVEL 3"</formula>
    </cfRule>
  </conditionalFormatting>
  <conditionalFormatting sqref="Y199 Y205">
    <cfRule type="expression" dxfId="1094" priority="2911">
      <formula>$M199="NÍVEL 1"</formula>
    </cfRule>
    <cfRule type="expression" dxfId="1093" priority="2912">
      <formula>$M199="NÍVEL 2"</formula>
    </cfRule>
    <cfRule type="expression" dxfId="1092" priority="2913">
      <formula>$M199="NÍVEL 3"</formula>
    </cfRule>
  </conditionalFormatting>
  <conditionalFormatting sqref="Y212 Y208:Y209">
    <cfRule type="expression" dxfId="1091" priority="2908">
      <formula>$M208="NÍVEL 1"</formula>
    </cfRule>
    <cfRule type="expression" dxfId="1090" priority="2909">
      <formula>$M208="NÍVEL 2"</formula>
    </cfRule>
    <cfRule type="expression" dxfId="1089" priority="2910">
      <formula>$M208="NÍVEL 3"</formula>
    </cfRule>
  </conditionalFormatting>
  <conditionalFormatting sqref="Y218">
    <cfRule type="expression" dxfId="1088" priority="2905">
      <formula>$M218="NÍVEL 1"</formula>
    </cfRule>
    <cfRule type="expression" dxfId="1087" priority="2906">
      <formula>$M218="NÍVEL 2"</formula>
    </cfRule>
    <cfRule type="expression" dxfId="1086" priority="2907">
      <formula>$M218="NÍVEL 3"</formula>
    </cfRule>
  </conditionalFormatting>
  <conditionalFormatting sqref="Y223">
    <cfRule type="expression" dxfId="1085" priority="2902">
      <formula>$M223="NÍVEL 1"</formula>
    </cfRule>
    <cfRule type="expression" dxfId="1084" priority="2903">
      <formula>$M223="NÍVEL 2"</formula>
    </cfRule>
    <cfRule type="expression" dxfId="1083" priority="2904">
      <formula>$M223="NÍVEL 3"</formula>
    </cfRule>
  </conditionalFormatting>
  <conditionalFormatting sqref="Y237">
    <cfRule type="expression" dxfId="1082" priority="2893">
      <formula>$M237="NÍVEL 1"</formula>
    </cfRule>
    <cfRule type="expression" dxfId="1081" priority="2894">
      <formula>$M237="NÍVEL 2"</formula>
    </cfRule>
    <cfRule type="expression" dxfId="1080" priority="2895">
      <formula>$M237="NÍVEL 3"</formula>
    </cfRule>
  </conditionalFormatting>
  <conditionalFormatting sqref="Y252">
    <cfRule type="expression" dxfId="1079" priority="2890">
      <formula>$M252="NÍVEL 1"</formula>
    </cfRule>
    <cfRule type="expression" dxfId="1078" priority="2891">
      <formula>$M252="NÍVEL 2"</formula>
    </cfRule>
    <cfRule type="expression" dxfId="1077" priority="2892">
      <formula>$M252="NÍVEL 3"</formula>
    </cfRule>
  </conditionalFormatting>
  <conditionalFormatting sqref="Y265">
    <cfRule type="expression" dxfId="1076" priority="2887">
      <formula>$M265="NÍVEL 1"</formula>
    </cfRule>
    <cfRule type="expression" dxfId="1075" priority="2888">
      <formula>$M265="NÍVEL 2"</formula>
    </cfRule>
    <cfRule type="expression" dxfId="1074" priority="2889">
      <formula>$M265="NÍVEL 3"</formula>
    </cfRule>
  </conditionalFormatting>
  <conditionalFormatting sqref="Y269">
    <cfRule type="expression" dxfId="1073" priority="2884">
      <formula>$M269="NÍVEL 1"</formula>
    </cfRule>
    <cfRule type="expression" dxfId="1072" priority="2885">
      <formula>$M269="NÍVEL 2"</formula>
    </cfRule>
    <cfRule type="expression" dxfId="1071" priority="2886">
      <formula>$M269="NÍVEL 3"</formula>
    </cfRule>
  </conditionalFormatting>
  <conditionalFormatting sqref="Y324:Y325">
    <cfRule type="expression" dxfId="1070" priority="2878">
      <formula>$M324="NÍVEL 1"</formula>
    </cfRule>
    <cfRule type="expression" dxfId="1069" priority="2879">
      <formula>$M324="NÍVEL 2"</formula>
    </cfRule>
    <cfRule type="expression" dxfId="1068" priority="2880">
      <formula>$M324="NÍVEL 3"</formula>
    </cfRule>
  </conditionalFormatting>
  <conditionalFormatting sqref="Y335">
    <cfRule type="expression" dxfId="1067" priority="2875">
      <formula>$M335="NÍVEL 1"</formula>
    </cfRule>
    <cfRule type="expression" dxfId="1066" priority="2876">
      <formula>$M335="NÍVEL 2"</formula>
    </cfRule>
    <cfRule type="expression" dxfId="1065" priority="2877">
      <formula>$M335="NÍVEL 3"</formula>
    </cfRule>
  </conditionalFormatting>
  <conditionalFormatting sqref="Y345">
    <cfRule type="expression" dxfId="1064" priority="2872">
      <formula>$M345="NÍVEL 1"</formula>
    </cfRule>
    <cfRule type="expression" dxfId="1063" priority="2873">
      <formula>$M345="NÍVEL 2"</formula>
    </cfRule>
    <cfRule type="expression" dxfId="1062" priority="2874">
      <formula>$M345="NÍVEL 3"</formula>
    </cfRule>
  </conditionalFormatting>
  <conditionalFormatting sqref="Y357">
    <cfRule type="expression" dxfId="1061" priority="2869">
      <formula>$M357="NÍVEL 1"</formula>
    </cfRule>
    <cfRule type="expression" dxfId="1060" priority="2870">
      <formula>$M357="NÍVEL 2"</formula>
    </cfRule>
    <cfRule type="expression" dxfId="1059" priority="2871">
      <formula>$M357="NÍVEL 3"</formula>
    </cfRule>
  </conditionalFormatting>
  <conditionalFormatting sqref="Y366">
    <cfRule type="expression" dxfId="1058" priority="2866">
      <formula>$M366="NÍVEL 1"</formula>
    </cfRule>
    <cfRule type="expression" dxfId="1057" priority="2867">
      <formula>$M366="NÍVEL 2"</formula>
    </cfRule>
    <cfRule type="expression" dxfId="1056" priority="2868">
      <formula>$M366="NÍVEL 3"</formula>
    </cfRule>
  </conditionalFormatting>
  <conditionalFormatting sqref="Y376">
    <cfRule type="expression" dxfId="1055" priority="2863">
      <formula>$M376="NÍVEL 1"</formula>
    </cfRule>
    <cfRule type="expression" dxfId="1054" priority="2864">
      <formula>$M376="NÍVEL 2"</formula>
    </cfRule>
    <cfRule type="expression" dxfId="1053" priority="2865">
      <formula>$M376="NÍVEL 3"</formula>
    </cfRule>
  </conditionalFormatting>
  <conditionalFormatting sqref="Y387">
    <cfRule type="expression" dxfId="1052" priority="2860">
      <formula>$M387="NÍVEL 1"</formula>
    </cfRule>
    <cfRule type="expression" dxfId="1051" priority="2861">
      <formula>$M387="NÍVEL 2"</formula>
    </cfRule>
    <cfRule type="expression" dxfId="1050" priority="2862">
      <formula>$M387="NÍVEL 3"</formula>
    </cfRule>
  </conditionalFormatting>
  <conditionalFormatting sqref="Y401">
    <cfRule type="expression" dxfId="1049" priority="2857">
      <formula>$M401="NÍVEL 1"</formula>
    </cfRule>
    <cfRule type="expression" dxfId="1048" priority="2858">
      <formula>$M401="NÍVEL 2"</formula>
    </cfRule>
    <cfRule type="expression" dxfId="1047" priority="2859">
      <formula>$M401="NÍVEL 3"</formula>
    </cfRule>
  </conditionalFormatting>
  <conditionalFormatting sqref="Y452:Y453">
    <cfRule type="expression" dxfId="1046" priority="2854">
      <formula>$M452="NÍVEL 1"</formula>
    </cfRule>
    <cfRule type="expression" dxfId="1045" priority="2855">
      <formula>$M452="NÍVEL 2"</formula>
    </cfRule>
    <cfRule type="expression" dxfId="1044" priority="2856">
      <formula>$M452="NÍVEL 3"</formula>
    </cfRule>
  </conditionalFormatting>
  <conditionalFormatting sqref="Y474:Y475">
    <cfRule type="expression" dxfId="1043" priority="2848">
      <formula>$M474="NÍVEL 1"</formula>
    </cfRule>
    <cfRule type="expression" dxfId="1042" priority="2849">
      <formula>$M474="NÍVEL 2"</formula>
    </cfRule>
    <cfRule type="expression" dxfId="1041" priority="2850">
      <formula>$M474="NÍVEL 3"</formula>
    </cfRule>
  </conditionalFormatting>
  <conditionalFormatting sqref="Y481">
    <cfRule type="expression" dxfId="1040" priority="2845">
      <formula>$M481="NÍVEL 1"</formula>
    </cfRule>
    <cfRule type="expression" dxfId="1039" priority="2846">
      <formula>$M481="NÍVEL 2"</formula>
    </cfRule>
    <cfRule type="expression" dxfId="1038" priority="2847">
      <formula>$M481="NÍVEL 3"</formula>
    </cfRule>
  </conditionalFormatting>
  <conditionalFormatting sqref="P436:P437">
    <cfRule type="expression" dxfId="1037" priority="2830">
      <formula>$M436="NÍVEL 1"</formula>
    </cfRule>
    <cfRule type="expression" dxfId="1036" priority="2831">
      <formula>$M436="NÍVEL 2"</formula>
    </cfRule>
    <cfRule type="expression" dxfId="1035" priority="2832" stopIfTrue="1">
      <formula>$M436="NÍVEL 3"</formula>
    </cfRule>
  </conditionalFormatting>
  <conditionalFormatting sqref="T450">
    <cfRule type="expression" dxfId="1034" priority="2815">
      <formula>$M450="NÍVEL 1"</formula>
    </cfRule>
    <cfRule type="expression" dxfId="1033" priority="2816">
      <formula>$M450="NÍVEL 2"</formula>
    </cfRule>
    <cfRule type="expression" dxfId="1032" priority="2817" stopIfTrue="1">
      <formula>$M450="NÍVEL 3"</formula>
    </cfRule>
  </conditionalFormatting>
  <conditionalFormatting sqref="O428:Y428">
    <cfRule type="expression" dxfId="1031" priority="2812">
      <formula>$M428="NÍVEL 1"</formula>
    </cfRule>
    <cfRule type="expression" dxfId="1030" priority="2813">
      <formula>$M428="NÍVEL 2"</formula>
    </cfRule>
    <cfRule type="expression" dxfId="1029" priority="2814" stopIfTrue="1">
      <formula>$M428="NÍVEL 3"</formula>
    </cfRule>
  </conditionalFormatting>
  <conditionalFormatting sqref="O429:Q429 S429:X429">
    <cfRule type="expression" dxfId="1028" priority="2806">
      <formula>$M429="NÍVEL 1"</formula>
    </cfRule>
    <cfRule type="expression" dxfId="1027" priority="2807">
      <formula>$M429="NÍVEL 2"</formula>
    </cfRule>
    <cfRule type="expression" dxfId="1026" priority="2808">
      <formula>$M429="NÍVEL 3"</formula>
    </cfRule>
  </conditionalFormatting>
  <conditionalFormatting sqref="O450 R450:S450 U450:Y450">
    <cfRule type="expression" dxfId="1025" priority="2803">
      <formula>$M450="NÍVEL 1"</formula>
    </cfRule>
    <cfRule type="expression" dxfId="1024" priority="2804">
      <formula>$M450="NÍVEL 2"</formula>
    </cfRule>
    <cfRule type="expression" dxfId="1023" priority="2805" stopIfTrue="1">
      <formula>$M450="NÍVEL 3"</formula>
    </cfRule>
  </conditionalFormatting>
  <conditionalFormatting sqref="T436:T437">
    <cfRule type="expression" dxfId="1022" priority="2800">
      <formula>$M436="NÍVEL 1"</formula>
    </cfRule>
    <cfRule type="expression" dxfId="1021" priority="2801">
      <formula>$M436="NÍVEL 2"</formula>
    </cfRule>
    <cfRule type="expression" dxfId="1020" priority="2802" stopIfTrue="1">
      <formula>$M436="NÍVEL 3"</formula>
    </cfRule>
  </conditionalFormatting>
  <conditionalFormatting sqref="O436:O437 R436:S437 U436:Y437">
    <cfRule type="expression" dxfId="1019" priority="2797">
      <formula>$M436="NÍVEL 1"</formula>
    </cfRule>
    <cfRule type="expression" dxfId="1018" priority="2798">
      <formula>$M436="NÍVEL 2"</formula>
    </cfRule>
    <cfRule type="expression" dxfId="1017" priority="2799" stopIfTrue="1">
      <formula>$M436="NÍVEL 3"</formula>
    </cfRule>
  </conditionalFormatting>
  <conditionalFormatting sqref="P450">
    <cfRule type="expression" dxfId="1016" priority="2794">
      <formula>$M450="NÍVEL 1"</formula>
    </cfRule>
    <cfRule type="expression" dxfId="1015" priority="2795">
      <formula>$M450="NÍVEL 2"</formula>
    </cfRule>
    <cfRule type="expression" dxfId="1014" priority="2796" stopIfTrue="1">
      <formula>$M450="NÍVEL 3"</formula>
    </cfRule>
  </conditionalFormatting>
  <conditionalFormatting sqref="T448:T449">
    <cfRule type="expression" dxfId="1013" priority="2779">
      <formula>$M448="NÍVEL 1"</formula>
    </cfRule>
    <cfRule type="expression" dxfId="1012" priority="2780">
      <formula>$M448="NÍVEL 2"</formula>
    </cfRule>
    <cfRule type="expression" dxfId="1011" priority="2781" stopIfTrue="1">
      <formula>$M448="NÍVEL 3"</formula>
    </cfRule>
  </conditionalFormatting>
  <conditionalFormatting sqref="U445:Y449 R445:S449 O445:O449">
    <cfRule type="expression" dxfId="1010" priority="2776">
      <formula>$M445="NÍVEL 1"</formula>
    </cfRule>
    <cfRule type="expression" dxfId="1009" priority="2777">
      <formula>$M445="NÍVEL 2"</formula>
    </cfRule>
    <cfRule type="expression" dxfId="1008" priority="2778" stopIfTrue="1">
      <formula>$M445="NÍVEL 3"</formula>
    </cfRule>
  </conditionalFormatting>
  <conditionalFormatting sqref="P448:P449">
    <cfRule type="expression" dxfId="1007" priority="2773">
      <formula>$M448="NÍVEL 1"</formula>
    </cfRule>
    <cfRule type="expression" dxfId="1006" priority="2774">
      <formula>$M448="NÍVEL 2"</formula>
    </cfRule>
    <cfRule type="expression" dxfId="1005" priority="2775" stopIfTrue="1">
      <formula>$M448="NÍVEL 3"</formula>
    </cfRule>
  </conditionalFormatting>
  <conditionalFormatting sqref="P447">
    <cfRule type="expression" dxfId="1004" priority="2764">
      <formula>$M447="NÍVEL 1"</formula>
    </cfRule>
    <cfRule type="expression" dxfId="1003" priority="2765">
      <formula>$M447="NÍVEL 2"</formula>
    </cfRule>
    <cfRule type="expression" dxfId="1002" priority="2766" stopIfTrue="1">
      <formula>$M447="NÍVEL 3"</formula>
    </cfRule>
  </conditionalFormatting>
  <conditionalFormatting sqref="P445:P446">
    <cfRule type="expression" dxfId="1001" priority="2761">
      <formula>$M445="NÍVEL 1"</formula>
    </cfRule>
    <cfRule type="expression" dxfId="1000" priority="2762">
      <formula>$M445="NÍVEL 2"</formula>
    </cfRule>
    <cfRule type="expression" dxfId="999" priority="2763" stopIfTrue="1">
      <formula>$M445="NÍVEL 3"</formula>
    </cfRule>
  </conditionalFormatting>
  <conditionalFormatting sqref="P444">
    <cfRule type="expression" dxfId="998" priority="2746">
      <formula>$M444="NÍVEL 1"</formula>
    </cfRule>
    <cfRule type="expression" dxfId="997" priority="2747">
      <formula>$M444="NÍVEL 2"</formula>
    </cfRule>
    <cfRule type="expression" dxfId="996" priority="2748" stopIfTrue="1">
      <formula>$M444="NÍVEL 3"</formula>
    </cfRule>
  </conditionalFormatting>
  <conditionalFormatting sqref="P442:P443">
    <cfRule type="expression" dxfId="995" priority="2734">
      <formula>$M442="NÍVEL 1"</formula>
    </cfRule>
    <cfRule type="expression" dxfId="994" priority="2735">
      <formula>$M442="NÍVEL 2"</formula>
    </cfRule>
    <cfRule type="expression" dxfId="993" priority="2736" stopIfTrue="1">
      <formula>$M442="NÍVEL 3"</formula>
    </cfRule>
  </conditionalFormatting>
  <conditionalFormatting sqref="P441">
    <cfRule type="expression" dxfId="992" priority="2722">
      <formula>$M441="NÍVEL 1"</formula>
    </cfRule>
    <cfRule type="expression" dxfId="991" priority="2723">
      <formula>$M441="NÍVEL 2"</formula>
    </cfRule>
    <cfRule type="expression" dxfId="990" priority="2724" stopIfTrue="1">
      <formula>$M441="NÍVEL 3"</formula>
    </cfRule>
  </conditionalFormatting>
  <conditionalFormatting sqref="Q179">
    <cfRule type="expression" dxfId="989" priority="1073">
      <formula>$M179="NÍVEL 1"</formula>
    </cfRule>
    <cfRule type="expression" dxfId="988" priority="1074">
      <formula>$M179="NÍVEL 2"</formula>
    </cfRule>
  </conditionalFormatting>
  <conditionalFormatting sqref="Q179">
    <cfRule type="expression" dxfId="987" priority="1072" stopIfTrue="1">
      <formula>$M179="NÍVEL 3"</formula>
    </cfRule>
  </conditionalFormatting>
  <conditionalFormatting sqref="O44:Y44">
    <cfRule type="expression" dxfId="986" priority="1036">
      <formula>$M44="NÍVEL 1"</formula>
    </cfRule>
    <cfRule type="expression" dxfId="985" priority="1037">
      <formula>$M44="NÍVEL 2"</formula>
    </cfRule>
    <cfRule type="expression" dxfId="984" priority="1038" stopIfTrue="1">
      <formula>$M44="NÍVEL 3"</formula>
    </cfRule>
  </conditionalFormatting>
  <conditionalFormatting sqref="T19">
    <cfRule type="expression" dxfId="983" priority="1033">
      <formula>$M19="NÍVEL 1"</formula>
    </cfRule>
    <cfRule type="expression" dxfId="982" priority="1034">
      <formula>$M19="NÍVEL 2"</formula>
    </cfRule>
    <cfRule type="expression" dxfId="981" priority="1035" stopIfTrue="1">
      <formula>$M19="NÍVEL 3"</formula>
    </cfRule>
  </conditionalFormatting>
  <conditionalFormatting sqref="O21:X21">
    <cfRule type="expression" dxfId="980" priority="1030">
      <formula>$M21="NÍVEL 1"</formula>
    </cfRule>
    <cfRule type="expression" dxfId="979" priority="1031">
      <formula>$M21="NÍVEL 2"</formula>
    </cfRule>
    <cfRule type="expression" dxfId="978" priority="1032">
      <formula>$M21="NÍVEL 3"</formula>
    </cfRule>
  </conditionalFormatting>
  <conditionalFormatting sqref="R24:S24 U24:Y24 O24:P24 R27:S27 U27:Y27 O27:P27">
    <cfRule type="expression" dxfId="977" priority="1027">
      <formula>$M24="NÍVEL 1"</formula>
    </cfRule>
    <cfRule type="expression" dxfId="976" priority="1028">
      <formula>$M24="NÍVEL 2"</formula>
    </cfRule>
    <cfRule type="expression" dxfId="975" priority="1029" stopIfTrue="1">
      <formula>$M24="NÍVEL 3"</formula>
    </cfRule>
  </conditionalFormatting>
  <conditionalFormatting sqref="Q23:Q24">
    <cfRule type="expression" dxfId="974" priority="1025">
      <formula>$M23="NÍVEL 1"</formula>
    </cfRule>
    <cfRule type="expression" dxfId="973" priority="1026">
      <formula>$M23="NÍVEL 2"</formula>
    </cfRule>
  </conditionalFormatting>
  <conditionalFormatting sqref="Q23:Q24">
    <cfRule type="expression" dxfId="972" priority="1024" stopIfTrue="1">
      <formula>$M23="NÍVEL 3"</formula>
    </cfRule>
  </conditionalFormatting>
  <conditionalFormatting sqref="O22:X22">
    <cfRule type="expression" dxfId="971" priority="1021">
      <formula>$M22="NÍVEL 1"</formula>
    </cfRule>
    <cfRule type="expression" dxfId="970" priority="1022">
      <formula>$M22="NÍVEL 2"</formula>
    </cfRule>
    <cfRule type="expression" dxfId="969" priority="1023">
      <formula>$M22="NÍVEL 3"</formula>
    </cfRule>
  </conditionalFormatting>
  <conditionalFormatting sqref="O23:P23 R23:S23 U23:Y23">
    <cfRule type="expression" dxfId="968" priority="1018">
      <formula>$M23="NÍVEL 1"</formula>
    </cfRule>
    <cfRule type="expression" dxfId="967" priority="1019">
      <formula>$M23="NÍVEL 2"</formula>
    </cfRule>
    <cfRule type="expression" dxfId="966" priority="1020" stopIfTrue="1">
      <formula>$M23="NÍVEL 3"</formula>
    </cfRule>
  </conditionalFormatting>
  <conditionalFormatting sqref="O20:Y20">
    <cfRule type="expression" dxfId="965" priority="1015">
      <formula>$M20="NÍVEL 1"</formula>
    </cfRule>
    <cfRule type="expression" dxfId="964" priority="1016">
      <formula>$M20="NÍVEL 2"</formula>
    </cfRule>
    <cfRule type="expression" dxfId="963" priority="1017" stopIfTrue="1">
      <formula>$M20="NÍVEL 3"</formula>
    </cfRule>
  </conditionalFormatting>
  <conditionalFormatting sqref="Y21:Y22">
    <cfRule type="expression" dxfId="962" priority="1009">
      <formula>$M21="NÍVEL 1"</formula>
    </cfRule>
    <cfRule type="expression" dxfId="961" priority="1010">
      <formula>$M21="NÍVEL 2"</formula>
    </cfRule>
    <cfRule type="expression" dxfId="960" priority="1011">
      <formula>$M21="NÍVEL 3"</formula>
    </cfRule>
  </conditionalFormatting>
  <conditionalFormatting sqref="T23:T24">
    <cfRule type="expression" dxfId="959" priority="1006">
      <formula>$M23="NÍVEL 1"</formula>
    </cfRule>
    <cfRule type="expression" dxfId="958" priority="1007">
      <formula>$M23="NÍVEL 2"</formula>
    </cfRule>
    <cfRule type="expression" dxfId="957" priority="1008" stopIfTrue="1">
      <formula>$M23="NÍVEL 3"</formula>
    </cfRule>
  </conditionalFormatting>
  <conditionalFormatting sqref="O26:X26">
    <cfRule type="expression" dxfId="956" priority="1003">
      <formula>$M26="NÍVEL 1"</formula>
    </cfRule>
    <cfRule type="expression" dxfId="955" priority="1004">
      <formula>$M26="NÍVEL 2"</formula>
    </cfRule>
    <cfRule type="expression" dxfId="954" priority="1005">
      <formula>$M26="NÍVEL 3"</formula>
    </cfRule>
  </conditionalFormatting>
  <conditionalFormatting sqref="O25:Y25">
    <cfRule type="expression" dxfId="953" priority="994">
      <formula>$M25="NÍVEL 1"</formula>
    </cfRule>
    <cfRule type="expression" dxfId="952" priority="995">
      <formula>$M25="NÍVEL 2"</formula>
    </cfRule>
    <cfRule type="expression" dxfId="951" priority="996" stopIfTrue="1">
      <formula>$M25="NÍVEL 3"</formula>
    </cfRule>
  </conditionalFormatting>
  <conditionalFormatting sqref="O29:X29">
    <cfRule type="expression" dxfId="950" priority="988">
      <formula>$M29="NÍVEL 1"</formula>
    </cfRule>
    <cfRule type="expression" dxfId="949" priority="989">
      <formula>$M29="NÍVEL 2"</formula>
    </cfRule>
    <cfRule type="expression" dxfId="948" priority="990">
      <formula>$M29="NÍVEL 3"</formula>
    </cfRule>
  </conditionalFormatting>
  <conditionalFormatting sqref="O30:P31 R30:S31 U30:Y31">
    <cfRule type="expression" dxfId="947" priority="979">
      <formula>$M30="NÍVEL 1"</formula>
    </cfRule>
    <cfRule type="expression" dxfId="946" priority="980">
      <formula>$M30="NÍVEL 2"</formula>
    </cfRule>
    <cfRule type="expression" dxfId="945" priority="981" stopIfTrue="1">
      <formula>$M30="NÍVEL 3"</formula>
    </cfRule>
  </conditionalFormatting>
  <conditionalFormatting sqref="O28:Y28">
    <cfRule type="expression" dxfId="944" priority="976">
      <formula>$M28="NÍVEL 1"</formula>
    </cfRule>
    <cfRule type="expression" dxfId="943" priority="977">
      <formula>$M28="NÍVEL 2"</formula>
    </cfRule>
    <cfRule type="expression" dxfId="942" priority="978" stopIfTrue="1">
      <formula>$M28="NÍVEL 3"</formula>
    </cfRule>
  </conditionalFormatting>
  <conditionalFormatting sqref="R32:S32 U32:Y32 O32:P32">
    <cfRule type="expression" dxfId="941" priority="952">
      <formula>$M32="NÍVEL 1"</formula>
    </cfRule>
    <cfRule type="expression" dxfId="940" priority="953">
      <formula>$M32="NÍVEL 2"</formula>
    </cfRule>
    <cfRule type="expression" dxfId="939" priority="954" stopIfTrue="1">
      <formula>$M32="NÍVEL 3"</formula>
    </cfRule>
  </conditionalFormatting>
  <conditionalFormatting sqref="Y36:Y37">
    <cfRule type="expression" dxfId="938" priority="949">
      <formula>$M36="NÍVEL 1"</formula>
    </cfRule>
    <cfRule type="expression" dxfId="937" priority="950">
      <formula>$M36="NÍVEL 2"</formula>
    </cfRule>
    <cfRule type="expression" dxfId="936" priority="951">
      <formula>$M36="NÍVEL 3"</formula>
    </cfRule>
  </conditionalFormatting>
  <conditionalFormatting sqref="O36:X37">
    <cfRule type="expression" dxfId="935" priority="943">
      <formula>$M36="NÍVEL 1"</formula>
    </cfRule>
    <cfRule type="expression" dxfId="934" priority="944">
      <formula>$M36="NÍVEL 2"</formula>
    </cfRule>
    <cfRule type="expression" dxfId="933" priority="945">
      <formula>$M36="NÍVEL 3"</formula>
    </cfRule>
  </conditionalFormatting>
  <conditionalFormatting sqref="O38:P38 R38:S38 U38:Y38">
    <cfRule type="expression" dxfId="932" priority="940">
      <formula>$M38="NÍVEL 1"</formula>
    </cfRule>
    <cfRule type="expression" dxfId="931" priority="941">
      <formula>$M38="NÍVEL 2"</formula>
    </cfRule>
    <cfRule type="expression" dxfId="930" priority="942" stopIfTrue="1">
      <formula>$M38="NÍVEL 3"</formula>
    </cfRule>
  </conditionalFormatting>
  <conditionalFormatting sqref="O35:Y35">
    <cfRule type="expression" dxfId="929" priority="937">
      <formula>$M35="NÍVEL 1"</formula>
    </cfRule>
    <cfRule type="expression" dxfId="928" priority="938">
      <formula>$M35="NÍVEL 2"</formula>
    </cfRule>
    <cfRule type="expression" dxfId="927" priority="939" stopIfTrue="1">
      <formula>$M35="NÍVEL 3"</formula>
    </cfRule>
  </conditionalFormatting>
  <conditionalFormatting sqref="R39:S39 U39:Y39 O39:P39">
    <cfRule type="expression" dxfId="926" priority="931">
      <formula>$M39="NÍVEL 1"</formula>
    </cfRule>
    <cfRule type="expression" dxfId="925" priority="932">
      <formula>$M39="NÍVEL 2"</formula>
    </cfRule>
    <cfRule type="expression" dxfId="924" priority="933" stopIfTrue="1">
      <formula>$M39="NÍVEL 3"</formula>
    </cfRule>
  </conditionalFormatting>
  <conditionalFormatting sqref="O114 R114:S114 U114:Y114 O122 R122:S122 U122:Y122 O141 R141:S141 U141:Y141">
    <cfRule type="expression" dxfId="923" priority="925">
      <formula>$M114="NÍVEL 1"</formula>
    </cfRule>
    <cfRule type="expression" dxfId="922" priority="926">
      <formula>$M114="NÍVEL 2"</formula>
    </cfRule>
    <cfRule type="expression" dxfId="921" priority="927" stopIfTrue="1">
      <formula>$M114="NÍVEL 3"</formula>
    </cfRule>
  </conditionalFormatting>
  <conditionalFormatting sqref="O113 R113:S113 U113:Y113">
    <cfRule type="expression" dxfId="920" priority="922">
      <formula>$M113="NÍVEL 1"</formula>
    </cfRule>
    <cfRule type="expression" dxfId="919" priority="923">
      <formula>$M113="NÍVEL 2"</formula>
    </cfRule>
    <cfRule type="expression" dxfId="918" priority="924" stopIfTrue="1">
      <formula>$M113="NÍVEL 3"</formula>
    </cfRule>
  </conditionalFormatting>
  <conditionalFormatting sqref="O112 R112:S112 U112:Y112">
    <cfRule type="expression" dxfId="917" priority="919">
      <formula>$M112="NÍVEL 1"</formula>
    </cfRule>
    <cfRule type="expression" dxfId="916" priority="920">
      <formula>$M112="NÍVEL 2"</formula>
    </cfRule>
    <cfRule type="expression" dxfId="915" priority="921" stopIfTrue="1">
      <formula>$M112="NÍVEL 3"</formula>
    </cfRule>
  </conditionalFormatting>
  <conditionalFormatting sqref="O111 R111:S111 U111:Y111">
    <cfRule type="expression" dxfId="914" priority="916">
      <formula>$M111="NÍVEL 1"</formula>
    </cfRule>
    <cfRule type="expression" dxfId="913" priority="917">
      <formula>$M111="NÍVEL 2"</formula>
    </cfRule>
    <cfRule type="expression" dxfId="912" priority="918" stopIfTrue="1">
      <formula>$M111="NÍVEL 3"</formula>
    </cfRule>
  </conditionalFormatting>
  <conditionalFormatting sqref="O110 R110:S110 U110:Y110">
    <cfRule type="expression" dxfId="911" priority="913">
      <formula>$M110="NÍVEL 1"</formula>
    </cfRule>
    <cfRule type="expression" dxfId="910" priority="914">
      <formula>$M110="NÍVEL 2"</formula>
    </cfRule>
    <cfRule type="expression" dxfId="909" priority="915" stopIfTrue="1">
      <formula>$M110="NÍVEL 3"</formula>
    </cfRule>
  </conditionalFormatting>
  <conditionalFormatting sqref="O109 R109:S109 U109:Y109">
    <cfRule type="expression" dxfId="908" priority="910">
      <formula>$M109="NÍVEL 1"</formula>
    </cfRule>
    <cfRule type="expression" dxfId="907" priority="911">
      <formula>$M109="NÍVEL 2"</formula>
    </cfRule>
    <cfRule type="expression" dxfId="906" priority="912" stopIfTrue="1">
      <formula>$M109="NÍVEL 3"</formula>
    </cfRule>
  </conditionalFormatting>
  <conditionalFormatting sqref="P109">
    <cfRule type="expression" dxfId="905" priority="907">
      <formula>$M109="NÍVEL 1"</formula>
    </cfRule>
    <cfRule type="expression" dxfId="904" priority="908">
      <formula>$M109="NÍVEL 2"</formula>
    </cfRule>
    <cfRule type="expression" dxfId="903" priority="909" stopIfTrue="1">
      <formula>$M109="NÍVEL 3"</formula>
    </cfRule>
  </conditionalFormatting>
  <conditionalFormatting sqref="P114 P110:P112 P122 P118:P120 P140:P141">
    <cfRule type="expression" dxfId="902" priority="904">
      <formula>$M110="NÍVEL 1"</formula>
    </cfRule>
    <cfRule type="expression" dxfId="901" priority="905">
      <formula>$M110="NÍVEL 2"</formula>
    </cfRule>
    <cfRule type="expression" dxfId="900" priority="906" stopIfTrue="1">
      <formula>$M110="NÍVEL 3"</formula>
    </cfRule>
  </conditionalFormatting>
  <conditionalFormatting sqref="Q114 Q110:Q112 Q122 Q118:Q120 Q141">
    <cfRule type="expression" dxfId="899" priority="902">
      <formula>$M110="NÍVEL 1"</formula>
    </cfRule>
    <cfRule type="expression" dxfId="898" priority="903">
      <formula>$M110="NÍVEL 2"</formula>
    </cfRule>
  </conditionalFormatting>
  <conditionalFormatting sqref="Q114 Q110:Q112 Q122 Q118:Q120 Q141">
    <cfRule type="expression" dxfId="897" priority="901" stopIfTrue="1">
      <formula>$M110="NÍVEL 3"</formula>
    </cfRule>
  </conditionalFormatting>
  <conditionalFormatting sqref="Q113">
    <cfRule type="expression" dxfId="896" priority="899">
      <formula>$M113="NÍVEL 1"</formula>
    </cfRule>
    <cfRule type="expression" dxfId="895" priority="900">
      <formula>$M113="NÍVEL 2"</formula>
    </cfRule>
  </conditionalFormatting>
  <conditionalFormatting sqref="Q113">
    <cfRule type="expression" dxfId="894" priority="898" stopIfTrue="1">
      <formula>$M113="NÍVEL 3"</formula>
    </cfRule>
  </conditionalFormatting>
  <conditionalFormatting sqref="P113">
    <cfRule type="expression" dxfId="893" priority="895">
      <formula>$M113="NÍVEL 1"</formula>
    </cfRule>
    <cfRule type="expression" dxfId="892" priority="896">
      <formula>$M113="NÍVEL 2"</formula>
    </cfRule>
    <cfRule type="expression" dxfId="891" priority="897" stopIfTrue="1">
      <formula>$M113="NÍVEL 3"</formula>
    </cfRule>
  </conditionalFormatting>
  <conditionalFormatting sqref="Q117">
    <cfRule type="expression" dxfId="890" priority="893">
      <formula>$M117="NÍVEL 1"</formula>
    </cfRule>
    <cfRule type="expression" dxfId="889" priority="894">
      <formula>$M117="NÍVEL 2"</formula>
    </cfRule>
  </conditionalFormatting>
  <conditionalFormatting sqref="Q117">
    <cfRule type="expression" dxfId="888" priority="892" stopIfTrue="1">
      <formula>$M117="NÍVEL 3"</formula>
    </cfRule>
  </conditionalFormatting>
  <conditionalFormatting sqref="O116:X116">
    <cfRule type="expression" dxfId="887" priority="889">
      <formula>$M116="NÍVEL 1"</formula>
    </cfRule>
    <cfRule type="expression" dxfId="886" priority="890">
      <formula>$M116="NÍVEL 2"</formula>
    </cfRule>
    <cfRule type="expression" dxfId="885" priority="891">
      <formula>$M116="NÍVEL 3"</formula>
    </cfRule>
  </conditionalFormatting>
  <conditionalFormatting sqref="O115:Y115">
    <cfRule type="expression" dxfId="884" priority="886">
      <formula>$M115="NÍVEL 1"</formula>
    </cfRule>
    <cfRule type="expression" dxfId="883" priority="887">
      <formula>$M115="NÍVEL 2"</formula>
    </cfRule>
    <cfRule type="expression" dxfId="882" priority="888" stopIfTrue="1">
      <formula>$M115="NÍVEL 3"</formula>
    </cfRule>
  </conditionalFormatting>
  <conditionalFormatting sqref="Y116">
    <cfRule type="expression" dxfId="881" priority="883">
      <formula>$M116="NÍVEL 1"</formula>
    </cfRule>
    <cfRule type="expression" dxfId="880" priority="884">
      <formula>$M116="NÍVEL 2"</formula>
    </cfRule>
    <cfRule type="expression" dxfId="879" priority="885">
      <formula>$M116="NÍVEL 3"</formula>
    </cfRule>
  </conditionalFormatting>
  <conditionalFormatting sqref="O121 R121:S121 U121:Y121">
    <cfRule type="expression" dxfId="878" priority="880">
      <formula>$M121="NÍVEL 1"</formula>
    </cfRule>
    <cfRule type="expression" dxfId="877" priority="881">
      <formula>$M121="NÍVEL 2"</formula>
    </cfRule>
    <cfRule type="expression" dxfId="876" priority="882" stopIfTrue="1">
      <formula>$M121="NÍVEL 3"</formula>
    </cfRule>
  </conditionalFormatting>
  <conditionalFormatting sqref="O120 R120:S120 U120:Y120">
    <cfRule type="expression" dxfId="875" priority="877">
      <formula>$M120="NÍVEL 1"</formula>
    </cfRule>
    <cfRule type="expression" dxfId="874" priority="878">
      <formula>$M120="NÍVEL 2"</formula>
    </cfRule>
    <cfRule type="expression" dxfId="873" priority="879" stopIfTrue="1">
      <formula>$M120="NÍVEL 3"</formula>
    </cfRule>
  </conditionalFormatting>
  <conditionalFormatting sqref="O119 R119:S119 U119:Y119">
    <cfRule type="expression" dxfId="872" priority="874">
      <formula>$M119="NÍVEL 1"</formula>
    </cfRule>
    <cfRule type="expression" dxfId="871" priority="875">
      <formula>$M119="NÍVEL 2"</formula>
    </cfRule>
    <cfRule type="expression" dxfId="870" priority="876" stopIfTrue="1">
      <formula>$M119="NÍVEL 3"</formula>
    </cfRule>
  </conditionalFormatting>
  <conditionalFormatting sqref="O118 R118:S118 U118:Y118">
    <cfRule type="expression" dxfId="869" priority="871">
      <formula>$M118="NÍVEL 1"</formula>
    </cfRule>
    <cfRule type="expression" dxfId="868" priority="872">
      <formula>$M118="NÍVEL 2"</formula>
    </cfRule>
    <cfRule type="expression" dxfId="867" priority="873" stopIfTrue="1">
      <formula>$M118="NÍVEL 3"</formula>
    </cfRule>
  </conditionalFormatting>
  <conditionalFormatting sqref="O117 R117:S117 U117:Y117">
    <cfRule type="expression" dxfId="866" priority="868">
      <formula>$M117="NÍVEL 1"</formula>
    </cfRule>
    <cfRule type="expression" dxfId="865" priority="869">
      <formula>$M117="NÍVEL 2"</formula>
    </cfRule>
    <cfRule type="expression" dxfId="864" priority="870" stopIfTrue="1">
      <formula>$M117="NÍVEL 3"</formula>
    </cfRule>
  </conditionalFormatting>
  <conditionalFormatting sqref="P117">
    <cfRule type="expression" dxfId="863" priority="865">
      <formula>$M117="NÍVEL 1"</formula>
    </cfRule>
    <cfRule type="expression" dxfId="862" priority="866">
      <formula>$M117="NÍVEL 2"</formula>
    </cfRule>
    <cfRule type="expression" dxfId="861" priority="867" stopIfTrue="1">
      <formula>$M117="NÍVEL 3"</formula>
    </cfRule>
  </conditionalFormatting>
  <conditionalFormatting sqref="Q121">
    <cfRule type="expression" dxfId="860" priority="863">
      <formula>$M121="NÍVEL 1"</formula>
    </cfRule>
    <cfRule type="expression" dxfId="859" priority="864">
      <formula>$M121="NÍVEL 2"</formula>
    </cfRule>
  </conditionalFormatting>
  <conditionalFormatting sqref="Q121">
    <cfRule type="expression" dxfId="858" priority="862" stopIfTrue="1">
      <formula>$M121="NÍVEL 3"</formula>
    </cfRule>
  </conditionalFormatting>
  <conditionalFormatting sqref="P121">
    <cfRule type="expression" dxfId="857" priority="859">
      <formula>$M121="NÍVEL 1"</formula>
    </cfRule>
    <cfRule type="expression" dxfId="856" priority="860">
      <formula>$M121="NÍVEL 2"</formula>
    </cfRule>
    <cfRule type="expression" dxfId="855" priority="861" stopIfTrue="1">
      <formula>$M121="NÍVEL 3"</formula>
    </cfRule>
  </conditionalFormatting>
  <conditionalFormatting sqref="Q125">
    <cfRule type="expression" dxfId="854" priority="857">
      <formula>$M125="NÍVEL 1"</formula>
    </cfRule>
    <cfRule type="expression" dxfId="853" priority="858">
      <formula>$M125="NÍVEL 2"</formula>
    </cfRule>
  </conditionalFormatting>
  <conditionalFormatting sqref="Q125">
    <cfRule type="expression" dxfId="852" priority="856" stopIfTrue="1">
      <formula>$M125="NÍVEL 3"</formula>
    </cfRule>
  </conditionalFormatting>
  <conditionalFormatting sqref="O124:X124">
    <cfRule type="expression" dxfId="851" priority="853">
      <formula>$M124="NÍVEL 1"</formula>
    </cfRule>
    <cfRule type="expression" dxfId="850" priority="854">
      <formula>$M124="NÍVEL 2"</formula>
    </cfRule>
    <cfRule type="expression" dxfId="849" priority="855">
      <formula>$M124="NÍVEL 3"</formula>
    </cfRule>
  </conditionalFormatting>
  <conditionalFormatting sqref="O123:Y123">
    <cfRule type="expression" dxfId="848" priority="850">
      <formula>$M123="NÍVEL 1"</formula>
    </cfRule>
    <cfRule type="expression" dxfId="847" priority="851">
      <formula>$M123="NÍVEL 2"</formula>
    </cfRule>
    <cfRule type="expression" dxfId="846" priority="852" stopIfTrue="1">
      <formula>$M123="NÍVEL 3"</formula>
    </cfRule>
  </conditionalFormatting>
  <conditionalFormatting sqref="Y124">
    <cfRule type="expression" dxfId="845" priority="847">
      <formula>$M124="NÍVEL 1"</formula>
    </cfRule>
    <cfRule type="expression" dxfId="844" priority="848">
      <formula>$M124="NÍVEL 2"</formula>
    </cfRule>
    <cfRule type="expression" dxfId="843" priority="849">
      <formula>$M124="NÍVEL 3"</formula>
    </cfRule>
  </conditionalFormatting>
  <conditionalFormatting sqref="O126 R126:S126 U126:Y126">
    <cfRule type="expression" dxfId="842" priority="835">
      <formula>$M126="NÍVEL 1"</formula>
    </cfRule>
    <cfRule type="expression" dxfId="841" priority="836">
      <formula>$M126="NÍVEL 2"</formula>
    </cfRule>
    <cfRule type="expression" dxfId="840" priority="837" stopIfTrue="1">
      <formula>$M126="NÍVEL 3"</formula>
    </cfRule>
  </conditionalFormatting>
  <conditionalFormatting sqref="O125 R125:S125 U125:Y125">
    <cfRule type="expression" dxfId="839" priority="832">
      <formula>$M125="NÍVEL 1"</formula>
    </cfRule>
    <cfRule type="expression" dxfId="838" priority="833">
      <formula>$M125="NÍVEL 2"</formula>
    </cfRule>
    <cfRule type="expression" dxfId="837" priority="834" stopIfTrue="1">
      <formula>$M125="NÍVEL 3"</formula>
    </cfRule>
  </conditionalFormatting>
  <conditionalFormatting sqref="Q168">
    <cfRule type="expression" dxfId="836" priority="814">
      <formula>$M168="NÍVEL 1"</formula>
    </cfRule>
    <cfRule type="expression" dxfId="835" priority="815">
      <formula>$M168="NÍVEL 2"</formula>
    </cfRule>
    <cfRule type="expression" dxfId="834" priority="816">
      <formula>$M168="NÍVEL 3"</formula>
    </cfRule>
  </conditionalFormatting>
  <conditionalFormatting sqref="P168">
    <cfRule type="expression" dxfId="833" priority="811">
      <formula>$M168="NÍVEL 1"</formula>
    </cfRule>
    <cfRule type="expression" dxfId="832" priority="812">
      <formula>$M168="NÍVEL 2"</formula>
    </cfRule>
    <cfRule type="expression" dxfId="831" priority="813" stopIfTrue="1">
      <formula>$M168="NÍVEL 3"</formula>
    </cfRule>
  </conditionalFormatting>
  <conditionalFormatting sqref="O162:Y162">
    <cfRule type="expression" dxfId="830" priority="805">
      <formula>$M162="NÍVEL 1"</formula>
    </cfRule>
    <cfRule type="expression" dxfId="829" priority="806">
      <formula>$M162="NÍVEL 2"</formula>
    </cfRule>
    <cfRule type="expression" dxfId="828" priority="807">
      <formula>$M162="NÍVEL 3"</formula>
    </cfRule>
  </conditionalFormatting>
  <conditionalFormatting sqref="O163:X163">
    <cfRule type="expression" dxfId="827" priority="802">
      <formula>$M163="NÍVEL 1"</formula>
    </cfRule>
    <cfRule type="expression" dxfId="826" priority="803">
      <formula>$M163="NÍVEL 2"</formula>
    </cfRule>
    <cfRule type="expression" dxfId="825" priority="804">
      <formula>$M163="NÍVEL 3"</formula>
    </cfRule>
  </conditionalFormatting>
  <conditionalFormatting sqref="Y163">
    <cfRule type="expression" dxfId="824" priority="799">
      <formula>$M163="NÍVEL 1"</formula>
    </cfRule>
    <cfRule type="expression" dxfId="823" priority="800">
      <formula>$M163="NÍVEL 2"</formula>
    </cfRule>
    <cfRule type="expression" dxfId="822" priority="801">
      <formula>$M163="NÍVEL 3"</formula>
    </cfRule>
  </conditionalFormatting>
  <conditionalFormatting sqref="P179">
    <cfRule type="expression" dxfId="821" priority="796">
      <formula>$M179="NÍVEL 1"</formula>
    </cfRule>
    <cfRule type="expression" dxfId="820" priority="797">
      <formula>$M179="NÍVEL 2"</formula>
    </cfRule>
    <cfRule type="expression" dxfId="819" priority="798" stopIfTrue="1">
      <formula>$M179="NÍVEL 3"</formula>
    </cfRule>
  </conditionalFormatting>
  <conditionalFormatting sqref="O197:P197 R197:S197 U197:Y197">
    <cfRule type="expression" dxfId="818" priority="793">
      <formula>$M197="NÍVEL 1"</formula>
    </cfRule>
    <cfRule type="expression" dxfId="817" priority="794">
      <formula>$M197="NÍVEL 2"</formula>
    </cfRule>
    <cfRule type="expression" dxfId="816" priority="795" stopIfTrue="1">
      <formula>$M197="NÍVEL 3"</formula>
    </cfRule>
  </conditionalFormatting>
  <conditionalFormatting sqref="Q201:Q203">
    <cfRule type="expression" dxfId="815" priority="788">
      <formula>$M201="NÍVEL 1"</formula>
    </cfRule>
    <cfRule type="expression" dxfId="814" priority="789">
      <formula>$M201="NÍVEL 2"</formula>
    </cfRule>
  </conditionalFormatting>
  <conditionalFormatting sqref="Q201:Q203">
    <cfRule type="expression" dxfId="813" priority="787" stopIfTrue="1">
      <formula>$M201="NÍVEL 3"</formula>
    </cfRule>
  </conditionalFormatting>
  <conditionalFormatting sqref="O204:Y204">
    <cfRule type="expression" dxfId="812" priority="784">
      <formula>$M204="NÍVEL 1"</formula>
    </cfRule>
    <cfRule type="expression" dxfId="811" priority="785">
      <formula>$M204="NÍVEL 2"</formula>
    </cfRule>
    <cfRule type="expression" dxfId="810" priority="786">
      <formula>$M204="NÍVEL 3"</formula>
    </cfRule>
  </conditionalFormatting>
  <conditionalFormatting sqref="O200:X200">
    <cfRule type="expression" dxfId="809" priority="781">
      <formula>$M200="NÍVEL 1"</formula>
    </cfRule>
    <cfRule type="expression" dxfId="808" priority="782">
      <formula>$M200="NÍVEL 2"</formula>
    </cfRule>
    <cfRule type="expression" dxfId="807" priority="783">
      <formula>$M200="NÍVEL 3"</formula>
    </cfRule>
  </conditionalFormatting>
  <conditionalFormatting sqref="O203:P203 R203:S203 U203:Y203">
    <cfRule type="expression" dxfId="806" priority="778">
      <formula>$M203="NÍVEL 1"</formula>
    </cfRule>
    <cfRule type="expression" dxfId="805" priority="779">
      <formula>$M203="NÍVEL 2"</formula>
    </cfRule>
    <cfRule type="expression" dxfId="804" priority="780" stopIfTrue="1">
      <formula>$M203="NÍVEL 3"</formula>
    </cfRule>
  </conditionalFormatting>
  <conditionalFormatting sqref="O201:P201 R201:S201 U201:Y201">
    <cfRule type="expression" dxfId="803" priority="775">
      <formula>$M201="NÍVEL 1"</formula>
    </cfRule>
    <cfRule type="expression" dxfId="802" priority="776">
      <formula>$M201="NÍVEL 2"</formula>
    </cfRule>
    <cfRule type="expression" dxfId="801" priority="777" stopIfTrue="1">
      <formula>$M201="NÍVEL 3"</formula>
    </cfRule>
  </conditionalFormatting>
  <conditionalFormatting sqref="O202:P202 R202:S202 U202:Y202">
    <cfRule type="expression" dxfId="800" priority="772">
      <formula>$M202="NÍVEL 1"</formula>
    </cfRule>
    <cfRule type="expression" dxfId="799" priority="773">
      <formula>$M202="NÍVEL 2"</formula>
    </cfRule>
    <cfRule type="expression" dxfId="798" priority="774" stopIfTrue="1">
      <formula>$M202="NÍVEL 3"</formula>
    </cfRule>
  </conditionalFormatting>
  <conditionalFormatting sqref="Y200">
    <cfRule type="expression" dxfId="797" priority="769">
      <formula>$M200="NÍVEL 1"</formula>
    </cfRule>
    <cfRule type="expression" dxfId="796" priority="770">
      <formula>$M200="NÍVEL 2"</formula>
    </cfRule>
    <cfRule type="expression" dxfId="795" priority="771">
      <formula>$M200="NÍVEL 3"</formula>
    </cfRule>
  </conditionalFormatting>
  <conditionalFormatting sqref="O206:P206 R206:S206 U206:Y206">
    <cfRule type="expression" dxfId="794" priority="766">
      <formula>$M206="NÍVEL 1"</formula>
    </cfRule>
    <cfRule type="expression" dxfId="793" priority="767">
      <formula>$M206="NÍVEL 2"</formula>
    </cfRule>
    <cfRule type="expression" dxfId="792" priority="768" stopIfTrue="1">
      <formula>$M206="NÍVEL 3"</formula>
    </cfRule>
  </conditionalFormatting>
  <conditionalFormatting sqref="O216 R216:S216 U216:Y216">
    <cfRule type="expression" dxfId="791" priority="763">
      <formula>$M216="NÍVEL 1"</formula>
    </cfRule>
    <cfRule type="expression" dxfId="790" priority="764">
      <formula>$M216="NÍVEL 2"</formula>
    </cfRule>
    <cfRule type="expression" dxfId="789" priority="765" stopIfTrue="1">
      <formula>$M216="NÍVEL 3"</formula>
    </cfRule>
  </conditionalFormatting>
  <conditionalFormatting sqref="O215 R215:S215 U215:Y215">
    <cfRule type="expression" dxfId="788" priority="760">
      <formula>$M215="NÍVEL 1"</formula>
    </cfRule>
    <cfRule type="expression" dxfId="787" priority="761">
      <formula>$M215="NÍVEL 2"</formula>
    </cfRule>
    <cfRule type="expression" dxfId="786" priority="762" stopIfTrue="1">
      <formula>$M215="NÍVEL 3"</formula>
    </cfRule>
  </conditionalFormatting>
  <conditionalFormatting sqref="O213:O214 R213:S214 U213:Y214">
    <cfRule type="expression" dxfId="785" priority="757">
      <formula>$M213="NÍVEL 1"</formula>
    </cfRule>
    <cfRule type="expression" dxfId="784" priority="758">
      <formula>$M213="NÍVEL 2"</formula>
    </cfRule>
    <cfRule type="expression" dxfId="783" priority="759" stopIfTrue="1">
      <formula>$M213="NÍVEL 3"</formula>
    </cfRule>
  </conditionalFormatting>
  <conditionalFormatting sqref="O226:Y226">
    <cfRule type="expression" dxfId="782" priority="748">
      <formula>$M226="NÍVEL 1"</formula>
    </cfRule>
    <cfRule type="expression" dxfId="781" priority="749">
      <formula>$M226="NÍVEL 2"</formula>
    </cfRule>
    <cfRule type="expression" dxfId="780" priority="750">
      <formula>$M226="NÍVEL 3"</formula>
    </cfRule>
  </conditionalFormatting>
  <conditionalFormatting sqref="O227:X227">
    <cfRule type="expression" dxfId="779" priority="745">
      <formula>$M227="NÍVEL 1"</formula>
    </cfRule>
    <cfRule type="expression" dxfId="778" priority="746">
      <formula>$M227="NÍVEL 2"</formula>
    </cfRule>
    <cfRule type="expression" dxfId="777" priority="747">
      <formula>$M227="NÍVEL 3"</formula>
    </cfRule>
  </conditionalFormatting>
  <conditionalFormatting sqref="Y227">
    <cfRule type="expression" dxfId="776" priority="742">
      <formula>$M227="NÍVEL 1"</formula>
    </cfRule>
    <cfRule type="expression" dxfId="775" priority="743">
      <formula>$M227="NÍVEL 2"</formula>
    </cfRule>
    <cfRule type="expression" dxfId="774" priority="744">
      <formula>$M227="NÍVEL 3"</formula>
    </cfRule>
  </conditionalFormatting>
  <conditionalFormatting sqref="P483 P487:P488">
    <cfRule type="expression" dxfId="773" priority="739">
      <formula>$M483="NÍVEL 1"</formula>
    </cfRule>
    <cfRule type="expression" dxfId="772" priority="740">
      <formula>$M483="NÍVEL 2"</formula>
    </cfRule>
    <cfRule type="expression" dxfId="771" priority="741" stopIfTrue="1">
      <formula>$M483="NÍVEL 3"</formula>
    </cfRule>
  </conditionalFormatting>
  <conditionalFormatting sqref="P482">
    <cfRule type="expression" dxfId="770" priority="736">
      <formula>$M482="NÍVEL 1"</formula>
    </cfRule>
    <cfRule type="expression" dxfId="769" priority="737">
      <formula>$M482="NÍVEL 2"</formula>
    </cfRule>
    <cfRule type="expression" dxfId="768" priority="738" stopIfTrue="1">
      <formula>$M482="NÍVEL 3"</formula>
    </cfRule>
  </conditionalFormatting>
  <conditionalFormatting sqref="Q482:Q483 Q486:Q488">
    <cfRule type="expression" dxfId="767" priority="734">
      <formula>$M482="NÍVEL 1"</formula>
    </cfRule>
    <cfRule type="expression" dxfId="766" priority="735">
      <formula>$M482="NÍVEL 2"</formula>
    </cfRule>
  </conditionalFormatting>
  <conditionalFormatting sqref="Q482:Q483 Q486:Q488">
    <cfRule type="expression" dxfId="765" priority="733" stopIfTrue="1">
      <formula>$M482="NÍVEL 3"</formula>
    </cfRule>
  </conditionalFormatting>
  <conditionalFormatting sqref="O484:Y484">
    <cfRule type="expression" dxfId="764" priority="730">
      <formula>$M484="NÍVEL 1"</formula>
    </cfRule>
    <cfRule type="expression" dxfId="763" priority="731">
      <formula>$M484="NÍVEL 2"</formula>
    </cfRule>
    <cfRule type="expression" dxfId="762" priority="732">
      <formula>$M484="NÍVEL 3"</formula>
    </cfRule>
  </conditionalFormatting>
  <conditionalFormatting sqref="O485:Q485 S485:X485">
    <cfRule type="expression" dxfId="761" priority="727">
      <formula>$M485="NÍVEL 1"</formula>
    </cfRule>
    <cfRule type="expression" dxfId="760" priority="728">
      <formula>$M485="NÍVEL 2"</formula>
    </cfRule>
    <cfRule type="expression" dxfId="759" priority="729">
      <formula>$M485="NÍVEL 3"</formula>
    </cfRule>
  </conditionalFormatting>
  <conditionalFormatting sqref="R485">
    <cfRule type="expression" dxfId="758" priority="724">
      <formula>$M485="NÍVEL 1"</formula>
    </cfRule>
    <cfRule type="expression" dxfId="757" priority="725">
      <formula>$M485="NÍVEL 2"</formula>
    </cfRule>
    <cfRule type="expression" dxfId="756" priority="726">
      <formula>$M485="NÍVEL 3"</formula>
    </cfRule>
  </conditionalFormatting>
  <conditionalFormatting sqref="Y485">
    <cfRule type="expression" dxfId="755" priority="721">
      <formula>$M485="NÍVEL 1"</formula>
    </cfRule>
    <cfRule type="expression" dxfId="754" priority="722">
      <formula>$M485="NÍVEL 2"</formula>
    </cfRule>
    <cfRule type="expression" dxfId="753" priority="723">
      <formula>$M485="NÍVEL 3"</formula>
    </cfRule>
  </conditionalFormatting>
  <conditionalFormatting sqref="P486">
    <cfRule type="expression" dxfId="752" priority="718">
      <formula>$M486="NÍVEL 1"</formula>
    </cfRule>
    <cfRule type="expression" dxfId="751" priority="719">
      <formula>$M486="NÍVEL 2"</formula>
    </cfRule>
    <cfRule type="expression" dxfId="750" priority="720" stopIfTrue="1">
      <formula>$M486="NÍVEL 3"</formula>
    </cfRule>
  </conditionalFormatting>
  <conditionalFormatting sqref="R522:S522 O522:P522 U522:Y522">
    <cfRule type="expression" dxfId="749" priority="715">
      <formula>$M522="NÍVEL 1"</formula>
    </cfRule>
    <cfRule type="expression" dxfId="748" priority="716">
      <formula>$M522="NÍVEL 2"</formula>
    </cfRule>
    <cfRule type="expression" dxfId="747" priority="717" stopIfTrue="1">
      <formula>$M522="NÍVEL 3"</formula>
    </cfRule>
  </conditionalFormatting>
  <conditionalFormatting sqref="R43:S43 U43:Y43 O43:P43">
    <cfRule type="expression" dxfId="746" priority="709">
      <formula>$M43="NÍVEL 1"</formula>
    </cfRule>
    <cfRule type="expression" dxfId="745" priority="710">
      <formula>$M43="NÍVEL 2"</formula>
    </cfRule>
    <cfRule type="expression" dxfId="744" priority="711" stopIfTrue="1">
      <formula>$M43="NÍVEL 3"</formula>
    </cfRule>
  </conditionalFormatting>
  <conditionalFormatting sqref="O259:Y259">
    <cfRule type="expression" dxfId="743" priority="706">
      <formula>$M259="NÍVEL 1"</formula>
    </cfRule>
    <cfRule type="expression" dxfId="742" priority="707">
      <formula>$M259="NÍVEL 2"</formula>
    </cfRule>
    <cfRule type="expression" dxfId="741" priority="708">
      <formula>$M259="NÍVEL 3"</formula>
    </cfRule>
  </conditionalFormatting>
  <conditionalFormatting sqref="T262">
    <cfRule type="expression" dxfId="740" priority="703">
      <formula>$M262="NÍVEL 1"</formula>
    </cfRule>
    <cfRule type="expression" dxfId="739" priority="704">
      <formula>$M262="NÍVEL 2"</formula>
    </cfRule>
    <cfRule type="expression" dxfId="738" priority="705" stopIfTrue="1">
      <formula>$M262="NÍVEL 3"</formula>
    </cfRule>
  </conditionalFormatting>
  <conditionalFormatting sqref="O260:Q260 S260:X260">
    <cfRule type="expression" dxfId="737" priority="700">
      <formula>$M260="NÍVEL 1"</formula>
    </cfRule>
    <cfRule type="expression" dxfId="736" priority="701">
      <formula>$M260="NÍVEL 2"</formula>
    </cfRule>
    <cfRule type="expression" dxfId="735" priority="702">
      <formula>$M260="NÍVEL 3"</formula>
    </cfRule>
  </conditionalFormatting>
  <conditionalFormatting sqref="O262 R262:S262 U262:Y262">
    <cfRule type="expression" dxfId="734" priority="697">
      <formula>$M262="NÍVEL 1"</formula>
    </cfRule>
    <cfRule type="expression" dxfId="733" priority="698">
      <formula>$M262="NÍVEL 2"</formula>
    </cfRule>
    <cfRule type="expression" dxfId="732" priority="699" stopIfTrue="1">
      <formula>$M262="NÍVEL 3"</formula>
    </cfRule>
  </conditionalFormatting>
  <conditionalFormatting sqref="T261">
    <cfRule type="expression" dxfId="731" priority="688">
      <formula>$M261="NÍVEL 1"</formula>
    </cfRule>
    <cfRule type="expression" dxfId="730" priority="689">
      <formula>$M261="NÍVEL 2"</formula>
    </cfRule>
    <cfRule type="expression" dxfId="729" priority="690" stopIfTrue="1">
      <formula>$M261="NÍVEL 3"</formula>
    </cfRule>
  </conditionalFormatting>
  <conditionalFormatting sqref="O261 R261:S261 U261:Y261">
    <cfRule type="expression" dxfId="728" priority="685">
      <formula>$M261="NÍVEL 1"</formula>
    </cfRule>
    <cfRule type="expression" dxfId="727" priority="686">
      <formula>$M261="NÍVEL 2"</formula>
    </cfRule>
    <cfRule type="expression" dxfId="726" priority="687" stopIfTrue="1">
      <formula>$M261="NÍVEL 3"</formula>
    </cfRule>
  </conditionalFormatting>
  <conditionalFormatting sqref="R260">
    <cfRule type="expression" dxfId="725" priority="673">
      <formula>$M260="NÍVEL 1"</formula>
    </cfRule>
    <cfRule type="expression" dxfId="724" priority="674">
      <formula>$M260="NÍVEL 2"</formula>
    </cfRule>
    <cfRule type="expression" dxfId="723" priority="675">
      <formula>$M260="NÍVEL 3"</formula>
    </cfRule>
  </conditionalFormatting>
  <conditionalFormatting sqref="Q261">
    <cfRule type="expression" dxfId="722" priority="668">
      <formula>$M261="NÍVEL 1"</formula>
    </cfRule>
    <cfRule type="expression" dxfId="721" priority="669">
      <formula>$M261="NÍVEL 2"</formula>
    </cfRule>
  </conditionalFormatting>
  <conditionalFormatting sqref="Q261">
    <cfRule type="expression" dxfId="720" priority="667" stopIfTrue="1">
      <formula>$M261="NÍVEL 3"</formula>
    </cfRule>
  </conditionalFormatting>
  <conditionalFormatting sqref="Q262">
    <cfRule type="expression" dxfId="719" priority="665">
      <formula>$M262="NÍVEL 1"</formula>
    </cfRule>
    <cfRule type="expression" dxfId="718" priority="666">
      <formula>$M262="NÍVEL 2"</formula>
    </cfRule>
  </conditionalFormatting>
  <conditionalFormatting sqref="Q262">
    <cfRule type="expression" dxfId="717" priority="664" stopIfTrue="1">
      <formula>$M262="NÍVEL 3"</formula>
    </cfRule>
  </conditionalFormatting>
  <conditionalFormatting sqref="Y260">
    <cfRule type="expression" dxfId="716" priority="658">
      <formula>$M260="NÍVEL 1"</formula>
    </cfRule>
    <cfRule type="expression" dxfId="715" priority="659">
      <formula>$M260="NÍVEL 2"</formula>
    </cfRule>
    <cfRule type="expression" dxfId="714" priority="660">
      <formula>$M260="NÍVEL 3"</formula>
    </cfRule>
  </conditionalFormatting>
  <conditionalFormatting sqref="T274 T271:T272">
    <cfRule type="expression" dxfId="713" priority="655">
      <formula>$M271="NÍVEL 1"</formula>
    </cfRule>
    <cfRule type="expression" dxfId="712" priority="656">
      <formula>$M271="NÍVEL 2"</formula>
    </cfRule>
    <cfRule type="expression" dxfId="711" priority="657" stopIfTrue="1">
      <formula>$M271="NÍVEL 3"</formula>
    </cfRule>
  </conditionalFormatting>
  <conditionalFormatting sqref="U274:Y274 R274:S274 O274 O271:O272 R271:S272 U271:Y272">
    <cfRule type="expression" dxfId="710" priority="652">
      <formula>$M271="NÍVEL 1"</formula>
    </cfRule>
    <cfRule type="expression" dxfId="709" priority="653">
      <formula>$M271="NÍVEL 2"</formula>
    </cfRule>
    <cfRule type="expression" dxfId="708" priority="654" stopIfTrue="1">
      <formula>$M271="NÍVEL 3"</formula>
    </cfRule>
  </conditionalFormatting>
  <conditionalFormatting sqref="T270">
    <cfRule type="expression" dxfId="707" priority="649">
      <formula>$M270="NÍVEL 1"</formula>
    </cfRule>
    <cfRule type="expression" dxfId="706" priority="650">
      <formula>$M270="NÍVEL 2"</formula>
    </cfRule>
    <cfRule type="expression" dxfId="705" priority="651" stopIfTrue="1">
      <formula>$M270="NÍVEL 3"</formula>
    </cfRule>
  </conditionalFormatting>
  <conditionalFormatting sqref="O270 R270:S270 U270:Y270">
    <cfRule type="expression" dxfId="704" priority="646">
      <formula>$M270="NÍVEL 1"</formula>
    </cfRule>
    <cfRule type="expression" dxfId="703" priority="647">
      <formula>$M270="NÍVEL 2"</formula>
    </cfRule>
    <cfRule type="expression" dxfId="702" priority="648" stopIfTrue="1">
      <formula>$M270="NÍVEL 3"</formula>
    </cfRule>
  </conditionalFormatting>
  <conditionalFormatting sqref="P274">
    <cfRule type="expression" dxfId="701" priority="643">
      <formula>$M274="NÍVEL 1"</formula>
    </cfRule>
    <cfRule type="expression" dxfId="700" priority="644">
      <formula>$M274="NÍVEL 2"</formula>
    </cfRule>
    <cfRule type="expression" dxfId="699" priority="645" stopIfTrue="1">
      <formula>$M274="NÍVEL 3"</formula>
    </cfRule>
  </conditionalFormatting>
  <conditionalFormatting sqref="Q270">
    <cfRule type="expression" dxfId="698" priority="641">
      <formula>$M270="NÍVEL 1"</formula>
    </cfRule>
    <cfRule type="expression" dxfId="697" priority="642">
      <formula>$M270="NÍVEL 2"</formula>
    </cfRule>
  </conditionalFormatting>
  <conditionalFormatting sqref="Q270">
    <cfRule type="expression" dxfId="696" priority="640" stopIfTrue="1">
      <formula>$M270="NÍVEL 3"</formula>
    </cfRule>
  </conditionalFormatting>
  <conditionalFormatting sqref="P270">
    <cfRule type="expression" dxfId="695" priority="637">
      <formula>$M270="NÍVEL 1"</formula>
    </cfRule>
    <cfRule type="expression" dxfId="694" priority="638">
      <formula>$M270="NÍVEL 2"</formula>
    </cfRule>
    <cfRule type="expression" dxfId="693" priority="639" stopIfTrue="1">
      <formula>$M270="NÍVEL 3"</formula>
    </cfRule>
  </conditionalFormatting>
  <conditionalFormatting sqref="Q274 Q271:Q272">
    <cfRule type="expression" dxfId="692" priority="635">
      <formula>$M271="NÍVEL 1"</formula>
    </cfRule>
    <cfRule type="expression" dxfId="691" priority="636">
      <formula>$M271="NÍVEL 2"</formula>
    </cfRule>
  </conditionalFormatting>
  <conditionalFormatting sqref="Q274 Q271:Q272">
    <cfRule type="expression" dxfId="690" priority="634" stopIfTrue="1">
      <formula>$M271="NÍVEL 3"</formula>
    </cfRule>
  </conditionalFormatting>
  <conditionalFormatting sqref="P271">
    <cfRule type="expression" dxfId="689" priority="631">
      <formula>$M271="NÍVEL 1"</formula>
    </cfRule>
    <cfRule type="expression" dxfId="688" priority="632">
      <formula>$M271="NÍVEL 2"</formula>
    </cfRule>
    <cfRule type="expression" dxfId="687" priority="633" stopIfTrue="1">
      <formula>$M271="NÍVEL 3"</formula>
    </cfRule>
  </conditionalFormatting>
  <conditionalFormatting sqref="T522:T524">
    <cfRule type="expression" dxfId="686" priority="535">
      <formula>$M522="NÍVEL 1"</formula>
    </cfRule>
    <cfRule type="expression" dxfId="685" priority="536">
      <formula>$M522="NÍVEL 2"</formula>
    </cfRule>
    <cfRule type="expression" dxfId="684" priority="537" stopIfTrue="1">
      <formula>$M522="NÍVEL 3"</formula>
    </cfRule>
  </conditionalFormatting>
  <conditionalFormatting sqref="T527:T528">
    <cfRule type="expression" dxfId="683" priority="532">
      <formula>$M527="NÍVEL 1"</formula>
    </cfRule>
    <cfRule type="expression" dxfId="682" priority="533">
      <formula>$M527="NÍVEL 2"</formula>
    </cfRule>
    <cfRule type="expression" dxfId="681" priority="534" stopIfTrue="1">
      <formula>$M527="NÍVEL 3"</formula>
    </cfRule>
  </conditionalFormatting>
  <conditionalFormatting sqref="T201:T203">
    <cfRule type="expression" dxfId="680" priority="526">
      <formula>$M201="NÍVEL 1"</formula>
    </cfRule>
    <cfRule type="expression" dxfId="679" priority="527">
      <formula>$M201="NÍVEL 2"</formula>
    </cfRule>
    <cfRule type="expression" dxfId="678" priority="528" stopIfTrue="1">
      <formula>$M201="NÍVEL 3"</formula>
    </cfRule>
  </conditionalFormatting>
  <conditionalFormatting sqref="T476:T479">
    <cfRule type="expression" dxfId="677" priority="520">
      <formula>$M476="NÍVEL 1"</formula>
    </cfRule>
    <cfRule type="expression" dxfId="676" priority="521">
      <formula>$M476="NÍVEL 2"</formula>
    </cfRule>
    <cfRule type="expression" dxfId="675" priority="522" stopIfTrue="1">
      <formula>$M476="NÍVEL 3"</formula>
    </cfRule>
  </conditionalFormatting>
  <conditionalFormatting sqref="T482:T483">
    <cfRule type="expression" dxfId="674" priority="517">
      <formula>$M482="NÍVEL 1"</formula>
    </cfRule>
    <cfRule type="expression" dxfId="673" priority="518">
      <formula>$M482="NÍVEL 2"</formula>
    </cfRule>
    <cfRule type="expression" dxfId="672" priority="519" stopIfTrue="1">
      <formula>$M482="NÍVEL 3"</formula>
    </cfRule>
  </conditionalFormatting>
  <conditionalFormatting sqref="T486:T488">
    <cfRule type="expression" dxfId="671" priority="514">
      <formula>$M486="NÍVEL 1"</formula>
    </cfRule>
    <cfRule type="expression" dxfId="670" priority="515">
      <formula>$M486="NÍVEL 2"</formula>
    </cfRule>
    <cfRule type="expression" dxfId="669" priority="516" stopIfTrue="1">
      <formula>$M486="NÍVEL 3"</formula>
    </cfRule>
  </conditionalFormatting>
  <conditionalFormatting sqref="T491:T492">
    <cfRule type="expression" dxfId="668" priority="511">
      <formula>$M491="NÍVEL 1"</formula>
    </cfRule>
    <cfRule type="expression" dxfId="667" priority="512">
      <formula>$M491="NÍVEL 2"</formula>
    </cfRule>
    <cfRule type="expression" dxfId="666" priority="513" stopIfTrue="1">
      <formula>$M491="NÍVEL 3"</formula>
    </cfRule>
  </conditionalFormatting>
  <conditionalFormatting sqref="T493:T497">
    <cfRule type="expression" dxfId="665" priority="508">
      <formula>$M493="NÍVEL 1"</formula>
    </cfRule>
    <cfRule type="expression" dxfId="664" priority="509">
      <formula>$M493="NÍVEL 2"</formula>
    </cfRule>
    <cfRule type="expression" dxfId="663" priority="510" stopIfTrue="1">
      <formula>$M493="NÍVEL 3"</formula>
    </cfRule>
  </conditionalFormatting>
  <conditionalFormatting sqref="O498:Y498">
    <cfRule type="expression" dxfId="662" priority="505">
      <formula>$M498="NÍVEL 1"</formula>
    </cfRule>
    <cfRule type="expression" dxfId="661" priority="506">
      <formula>$M498="NÍVEL 2"</formula>
    </cfRule>
    <cfRule type="expression" dxfId="660" priority="507" stopIfTrue="1">
      <formula>$M498="NÍVEL 3"</formula>
    </cfRule>
  </conditionalFormatting>
  <conditionalFormatting sqref="O499:Q500 S499:X500">
    <cfRule type="expression" dxfId="659" priority="502">
      <formula>$M499="NÍVEL 1"</formula>
    </cfRule>
    <cfRule type="expression" dxfId="658" priority="503">
      <formula>$M499="NÍVEL 2"</formula>
    </cfRule>
    <cfRule type="expression" dxfId="657" priority="504">
      <formula>$M499="NÍVEL 3"</formula>
    </cfRule>
  </conditionalFormatting>
  <conditionalFormatting sqref="O502:O503 R502:S503 U502:Y503">
    <cfRule type="expression" dxfId="656" priority="499">
      <formula>$M502="NÍVEL 1"</formula>
    </cfRule>
    <cfRule type="expression" dxfId="655" priority="500">
      <formula>$M502="NÍVEL 2"</formula>
    </cfRule>
    <cfRule type="expression" dxfId="654" priority="501" stopIfTrue="1">
      <formula>$M502="NÍVEL 3"</formula>
    </cfRule>
  </conditionalFormatting>
  <conditionalFormatting sqref="O501 R501:S501 U501:Y501">
    <cfRule type="expression" dxfId="653" priority="496">
      <formula>$M501="NÍVEL 1"</formula>
    </cfRule>
    <cfRule type="expression" dxfId="652" priority="497">
      <formula>$M501="NÍVEL 2"</formula>
    </cfRule>
    <cfRule type="expression" dxfId="651" priority="498" stopIfTrue="1">
      <formula>$M501="NÍVEL 3"</formula>
    </cfRule>
  </conditionalFormatting>
  <conditionalFormatting sqref="P506">
    <cfRule type="expression" dxfId="650" priority="490">
      <formula>$M506="NÍVEL 1"</formula>
    </cfRule>
    <cfRule type="expression" dxfId="649" priority="491">
      <formula>$M506="NÍVEL 2"</formula>
    </cfRule>
    <cfRule type="expression" dxfId="648" priority="492" stopIfTrue="1">
      <formula>$M506="NÍVEL 3"</formula>
    </cfRule>
  </conditionalFormatting>
  <conditionalFormatting sqref="Q506:Q509">
    <cfRule type="expression" dxfId="647" priority="487">
      <formula>$M506="NÍVEL 1"</formula>
    </cfRule>
    <cfRule type="expression" dxfId="646" priority="488">
      <formula>$M506="NÍVEL 2"</formula>
    </cfRule>
    <cfRule type="expression" dxfId="645" priority="489">
      <formula>$M506="NÍVEL 3"</formula>
    </cfRule>
  </conditionalFormatting>
  <conditionalFormatting sqref="T213:T216">
    <cfRule type="expression" dxfId="644" priority="484">
      <formula>$M213="NÍVEL 1"</formula>
    </cfRule>
    <cfRule type="expression" dxfId="643" priority="485">
      <formula>$M213="NÍVEL 2"</formula>
    </cfRule>
    <cfRule type="expression" dxfId="642" priority="486" stopIfTrue="1">
      <formula>$M213="NÍVEL 3"</formula>
    </cfRule>
  </conditionalFormatting>
  <conditionalFormatting sqref="T224:T225">
    <cfRule type="expression" dxfId="641" priority="478">
      <formula>$M224="NÍVEL 1"</formula>
    </cfRule>
    <cfRule type="expression" dxfId="640" priority="479">
      <formula>$M224="NÍVEL 2"</formula>
    </cfRule>
    <cfRule type="expression" dxfId="639" priority="480" stopIfTrue="1">
      <formula>$M224="NÍVEL 3"</formula>
    </cfRule>
  </conditionalFormatting>
  <conditionalFormatting sqref="T228:T230">
    <cfRule type="expression" dxfId="638" priority="472">
      <formula>$M228="NÍVEL 1"</formula>
    </cfRule>
    <cfRule type="expression" dxfId="637" priority="473">
      <formula>$M228="NÍVEL 2"</formula>
    </cfRule>
    <cfRule type="expression" dxfId="636" priority="474" stopIfTrue="1">
      <formula>$M228="NÍVEL 3"</formula>
    </cfRule>
  </conditionalFormatting>
  <conditionalFormatting sqref="T238">
    <cfRule type="expression" dxfId="635" priority="469">
      <formula>$M238="NÍVEL 1"</formula>
    </cfRule>
    <cfRule type="expression" dxfId="634" priority="470">
      <formula>$M238="NÍVEL 2"</formula>
    </cfRule>
    <cfRule type="expression" dxfId="633" priority="471" stopIfTrue="1">
      <formula>$M238="NÍVEL 3"</formula>
    </cfRule>
  </conditionalFormatting>
  <conditionalFormatting sqref="O238 R238:S238 U238:Y238">
    <cfRule type="expression" dxfId="632" priority="466">
      <formula>$M238="NÍVEL 1"</formula>
    </cfRule>
    <cfRule type="expression" dxfId="631" priority="467">
      <formula>$M238="NÍVEL 2"</formula>
    </cfRule>
    <cfRule type="expression" dxfId="630" priority="468" stopIfTrue="1">
      <formula>$M238="NÍVEL 3"</formula>
    </cfRule>
  </conditionalFormatting>
  <conditionalFormatting sqref="P238">
    <cfRule type="expression" dxfId="629" priority="463">
      <formula>$M238="NÍVEL 1"</formula>
    </cfRule>
    <cfRule type="expression" dxfId="628" priority="464">
      <formula>$M238="NÍVEL 2"</formula>
    </cfRule>
    <cfRule type="expression" dxfId="627" priority="465" stopIfTrue="1">
      <formula>$M238="NÍVEL 3"</formula>
    </cfRule>
  </conditionalFormatting>
  <conditionalFormatting sqref="Q238">
    <cfRule type="expression" dxfId="626" priority="461">
      <formula>$M238="NÍVEL 1"</formula>
    </cfRule>
    <cfRule type="expression" dxfId="625" priority="462">
      <formula>$M238="NÍVEL 2"</formula>
    </cfRule>
  </conditionalFormatting>
  <conditionalFormatting sqref="Q238">
    <cfRule type="expression" dxfId="624" priority="460" stopIfTrue="1">
      <formula>$M238="NÍVEL 3"</formula>
    </cfRule>
  </conditionalFormatting>
  <conditionalFormatting sqref="O280:Y280">
    <cfRule type="expression" dxfId="623" priority="454">
      <formula>$M280="NÍVEL 1"</formula>
    </cfRule>
    <cfRule type="expression" dxfId="622" priority="455">
      <formula>$M280="NÍVEL 2"</formula>
    </cfRule>
    <cfRule type="expression" dxfId="621" priority="456">
      <formula>$M280="NÍVEL 3"</formula>
    </cfRule>
  </conditionalFormatting>
  <conditionalFormatting sqref="O281:Q281 S281:X281">
    <cfRule type="expression" dxfId="620" priority="451">
      <formula>$M281="NÍVEL 1"</formula>
    </cfRule>
    <cfRule type="expression" dxfId="619" priority="452">
      <formula>$M281="NÍVEL 2"</formula>
    </cfRule>
    <cfRule type="expression" dxfId="618" priority="453">
      <formula>$M281="NÍVEL 3"</formula>
    </cfRule>
  </conditionalFormatting>
  <conditionalFormatting sqref="R281">
    <cfRule type="expression" dxfId="617" priority="448">
      <formula>$M281="NÍVEL 1"</formula>
    </cfRule>
    <cfRule type="expression" dxfId="616" priority="449">
      <formula>$M281="NÍVEL 2"</formula>
    </cfRule>
    <cfRule type="expression" dxfId="615" priority="450">
      <formula>$M281="NÍVEL 3"</formula>
    </cfRule>
  </conditionalFormatting>
  <conditionalFormatting sqref="Y281">
    <cfRule type="expression" dxfId="614" priority="445">
      <formula>$M281="NÍVEL 1"</formula>
    </cfRule>
    <cfRule type="expression" dxfId="613" priority="446">
      <formula>$M281="NÍVEL 2"</formula>
    </cfRule>
    <cfRule type="expression" dxfId="612" priority="447">
      <formula>$M281="NÍVEL 3"</formula>
    </cfRule>
  </conditionalFormatting>
  <conditionalFormatting sqref="T283:T284">
    <cfRule type="expression" dxfId="611" priority="442">
      <formula>$M283="NÍVEL 1"</formula>
    </cfRule>
    <cfRule type="expression" dxfId="610" priority="443">
      <formula>$M283="NÍVEL 2"</formula>
    </cfRule>
    <cfRule type="expression" dxfId="609" priority="444" stopIfTrue="1">
      <formula>$M283="NÍVEL 3"</formula>
    </cfRule>
  </conditionalFormatting>
  <conditionalFormatting sqref="O283:O284 R283:S284 U283:Y284">
    <cfRule type="expression" dxfId="608" priority="439">
      <formula>$M283="NÍVEL 1"</formula>
    </cfRule>
    <cfRule type="expression" dxfId="607" priority="440">
      <formula>$M283="NÍVEL 2"</formula>
    </cfRule>
    <cfRule type="expression" dxfId="606" priority="441" stopIfTrue="1">
      <formula>$M283="NÍVEL 3"</formula>
    </cfRule>
  </conditionalFormatting>
  <conditionalFormatting sqref="T282">
    <cfRule type="expression" dxfId="605" priority="436">
      <formula>$M282="NÍVEL 1"</formula>
    </cfRule>
    <cfRule type="expression" dxfId="604" priority="437">
      <formula>$M282="NÍVEL 2"</formula>
    </cfRule>
    <cfRule type="expression" dxfId="603" priority="438" stopIfTrue="1">
      <formula>$M282="NÍVEL 3"</formula>
    </cfRule>
  </conditionalFormatting>
  <conditionalFormatting sqref="O282 R282:S282 U282:Y282">
    <cfRule type="expression" dxfId="602" priority="433">
      <formula>$M282="NÍVEL 1"</formula>
    </cfRule>
    <cfRule type="expression" dxfId="601" priority="434">
      <formula>$M282="NÍVEL 2"</formula>
    </cfRule>
    <cfRule type="expression" dxfId="600" priority="435" stopIfTrue="1">
      <formula>$M282="NÍVEL 3"</formula>
    </cfRule>
  </conditionalFormatting>
  <conditionalFormatting sqref="Q283">
    <cfRule type="expression" dxfId="599" priority="425">
      <formula>$M283="NÍVEL 1"</formula>
    </cfRule>
    <cfRule type="expression" dxfId="598" priority="426">
      <formula>$M283="NÍVEL 2"</formula>
    </cfRule>
  </conditionalFormatting>
  <conditionalFormatting sqref="Q283">
    <cfRule type="expression" dxfId="597" priority="424" stopIfTrue="1">
      <formula>$M283="NÍVEL 3"</formula>
    </cfRule>
  </conditionalFormatting>
  <conditionalFormatting sqref="Q282">
    <cfRule type="expression" dxfId="596" priority="416">
      <formula>$M282="NÍVEL 1"</formula>
    </cfRule>
    <cfRule type="expression" dxfId="595" priority="417">
      <formula>$M282="NÍVEL 2"</formula>
    </cfRule>
  </conditionalFormatting>
  <conditionalFormatting sqref="Q282">
    <cfRule type="expression" dxfId="594" priority="415" stopIfTrue="1">
      <formula>$M282="NÍVEL 3"</formula>
    </cfRule>
  </conditionalFormatting>
  <conditionalFormatting sqref="P283:P284">
    <cfRule type="expression" dxfId="593" priority="412">
      <formula>$M283="NÍVEL 1"</formula>
    </cfRule>
    <cfRule type="expression" dxfId="592" priority="413">
      <formula>$M283="NÍVEL 2"</formula>
    </cfRule>
    <cfRule type="expression" dxfId="591" priority="414" stopIfTrue="1">
      <formula>$M283="NÍVEL 3"</formula>
    </cfRule>
  </conditionalFormatting>
  <conditionalFormatting sqref="Q284">
    <cfRule type="expression" dxfId="590" priority="410">
      <formula>$M284="NÍVEL 1"</formula>
    </cfRule>
    <cfRule type="expression" dxfId="589" priority="411">
      <formula>$M284="NÍVEL 2"</formula>
    </cfRule>
  </conditionalFormatting>
  <conditionalFormatting sqref="Q284">
    <cfRule type="expression" dxfId="588" priority="409" stopIfTrue="1">
      <formula>$M284="NÍVEL 3"</formula>
    </cfRule>
  </conditionalFormatting>
  <conditionalFormatting sqref="P282">
    <cfRule type="expression" dxfId="587" priority="406">
      <formula>$M282="NÍVEL 1"</formula>
    </cfRule>
    <cfRule type="expression" dxfId="586" priority="407">
      <formula>$M282="NÍVEL 2"</formula>
    </cfRule>
    <cfRule type="expression" dxfId="585" priority="408" stopIfTrue="1">
      <formula>$M282="NÍVEL 3"</formula>
    </cfRule>
  </conditionalFormatting>
  <conditionalFormatting sqref="T47:T48">
    <cfRule type="expression" dxfId="584" priority="403">
      <formula>$M47="NÍVEL 1"</formula>
    </cfRule>
    <cfRule type="expression" dxfId="583" priority="404">
      <formula>$M47="NÍVEL 2"</formula>
    </cfRule>
    <cfRule type="expression" dxfId="582" priority="405" stopIfTrue="1">
      <formula>$M47="NÍVEL 3"</formula>
    </cfRule>
  </conditionalFormatting>
  <conditionalFormatting sqref="T59:T68 T87:T98 T71:T84">
    <cfRule type="expression" dxfId="581" priority="397">
      <formula>$M59="NÍVEL 1"</formula>
    </cfRule>
    <cfRule type="expression" dxfId="580" priority="398">
      <formula>$M59="NÍVEL 2"</formula>
    </cfRule>
    <cfRule type="expression" dxfId="579" priority="399" stopIfTrue="1">
      <formula>$M59="NÍVEL 3"</formula>
    </cfRule>
  </conditionalFormatting>
  <conditionalFormatting sqref="T109:T114">
    <cfRule type="expression" dxfId="578" priority="394">
      <formula>$M109="NÍVEL 1"</formula>
    </cfRule>
    <cfRule type="expression" dxfId="577" priority="395">
      <formula>$M109="NÍVEL 2"</formula>
    </cfRule>
    <cfRule type="expression" dxfId="576" priority="396" stopIfTrue="1">
      <formula>$M109="NÍVEL 3"</formula>
    </cfRule>
  </conditionalFormatting>
  <conditionalFormatting sqref="T117:T122">
    <cfRule type="expression" dxfId="575" priority="391">
      <formula>$M117="NÍVEL 1"</formula>
    </cfRule>
    <cfRule type="expression" dxfId="574" priority="392">
      <formula>$M117="NÍVEL 2"</formula>
    </cfRule>
    <cfRule type="expression" dxfId="573" priority="393" stopIfTrue="1">
      <formula>$M117="NÍVEL 3"</formula>
    </cfRule>
  </conditionalFormatting>
  <conditionalFormatting sqref="P52">
    <cfRule type="expression" dxfId="572" priority="388">
      <formula>$M52="NÍVEL 1"</formula>
    </cfRule>
    <cfRule type="expression" dxfId="571" priority="389">
      <formula>$M52="NÍVEL 2"</formula>
    </cfRule>
    <cfRule type="expression" dxfId="570" priority="390" stopIfTrue="1">
      <formula>$M52="NÍVEL 3"</formula>
    </cfRule>
  </conditionalFormatting>
  <conditionalFormatting sqref="O86:X86">
    <cfRule type="expression" dxfId="569" priority="385">
      <formula>$M86="NÍVEL 1"</formula>
    </cfRule>
    <cfRule type="expression" dxfId="568" priority="386">
      <formula>$M86="NÍVEL 2"</formula>
    </cfRule>
    <cfRule type="expression" dxfId="567" priority="387">
      <formula>$M86="NÍVEL 3"</formula>
    </cfRule>
  </conditionalFormatting>
  <conditionalFormatting sqref="O87:P87 R87:S87 U87:Y87">
    <cfRule type="expression" dxfId="566" priority="382">
      <formula>$M87="NÍVEL 1"</formula>
    </cfRule>
    <cfRule type="expression" dxfId="565" priority="383">
      <formula>$M87="NÍVEL 2"</formula>
    </cfRule>
    <cfRule type="expression" dxfId="564" priority="384" stopIfTrue="1">
      <formula>$M87="NÍVEL 3"</formula>
    </cfRule>
  </conditionalFormatting>
  <conditionalFormatting sqref="O85:Y85">
    <cfRule type="expression" dxfId="563" priority="379">
      <formula>$M85="NÍVEL 1"</formula>
    </cfRule>
    <cfRule type="expression" dxfId="562" priority="380">
      <formula>$M85="NÍVEL 2"</formula>
    </cfRule>
    <cfRule type="expression" dxfId="561" priority="381" stopIfTrue="1">
      <formula>$M85="NÍVEL 3"</formula>
    </cfRule>
  </conditionalFormatting>
  <conditionalFormatting sqref="R95:S95 O95 U95:Y95">
    <cfRule type="expression" dxfId="560" priority="376">
      <formula>$M95="NÍVEL 1"</formula>
    </cfRule>
    <cfRule type="expression" dxfId="559" priority="377">
      <formula>$M95="NÍVEL 2"</formula>
    </cfRule>
    <cfRule type="expression" dxfId="558" priority="378" stopIfTrue="1">
      <formula>$M95="NÍVEL 3"</formula>
    </cfRule>
  </conditionalFormatting>
  <conditionalFormatting sqref="Q95">
    <cfRule type="expression" dxfId="557" priority="374">
      <formula>$M95="NÍVEL 1"</formula>
    </cfRule>
    <cfRule type="expression" dxfId="556" priority="375">
      <formula>$M95="NÍVEL 2"</formula>
    </cfRule>
  </conditionalFormatting>
  <conditionalFormatting sqref="Q95">
    <cfRule type="expression" dxfId="555" priority="373" stopIfTrue="1">
      <formula>$M95="NÍVEL 3"</formula>
    </cfRule>
  </conditionalFormatting>
  <conditionalFormatting sqref="P95">
    <cfRule type="expression" dxfId="554" priority="370">
      <formula>$M95="NÍVEL 1"</formula>
    </cfRule>
    <cfRule type="expression" dxfId="553" priority="371">
      <formula>$M95="NÍVEL 2"</formula>
    </cfRule>
    <cfRule type="expression" dxfId="552" priority="372" stopIfTrue="1">
      <formula>$M95="NÍVEL 3"</formula>
    </cfRule>
  </conditionalFormatting>
  <conditionalFormatting sqref="Y86">
    <cfRule type="expression" dxfId="551" priority="367">
      <formula>$M86="NÍVEL 1"</formula>
    </cfRule>
    <cfRule type="expression" dxfId="550" priority="368">
      <formula>$M86="NÍVEL 2"</formula>
    </cfRule>
    <cfRule type="expression" dxfId="549" priority="369">
      <formula>$M86="NÍVEL 3"</formula>
    </cfRule>
  </conditionalFormatting>
  <conditionalFormatting sqref="Q101">
    <cfRule type="expression" dxfId="548" priority="365">
      <formula>$M101="NÍVEL 1"</formula>
    </cfRule>
    <cfRule type="expression" dxfId="547" priority="366">
      <formula>$M101="NÍVEL 2"</formula>
    </cfRule>
  </conditionalFormatting>
  <conditionalFormatting sqref="Q101">
    <cfRule type="expression" dxfId="546" priority="364" stopIfTrue="1">
      <formula>$M101="NÍVEL 3"</formula>
    </cfRule>
  </conditionalFormatting>
  <conditionalFormatting sqref="O100:X100">
    <cfRule type="expression" dxfId="545" priority="361">
      <formula>$M100="NÍVEL 1"</formula>
    </cfRule>
    <cfRule type="expression" dxfId="544" priority="362">
      <formula>$M100="NÍVEL 2"</formula>
    </cfRule>
    <cfRule type="expression" dxfId="543" priority="363">
      <formula>$M100="NÍVEL 3"</formula>
    </cfRule>
  </conditionalFormatting>
  <conditionalFormatting sqref="O99:Y99">
    <cfRule type="expression" dxfId="542" priority="358">
      <formula>$M99="NÍVEL 1"</formula>
    </cfRule>
    <cfRule type="expression" dxfId="541" priority="359">
      <formula>$M99="NÍVEL 2"</formula>
    </cfRule>
    <cfRule type="expression" dxfId="540" priority="360" stopIfTrue="1">
      <formula>$M99="NÍVEL 3"</formula>
    </cfRule>
  </conditionalFormatting>
  <conditionalFormatting sqref="Y100">
    <cfRule type="expression" dxfId="539" priority="355">
      <formula>$M100="NÍVEL 1"</formula>
    </cfRule>
    <cfRule type="expression" dxfId="538" priority="356">
      <formula>$M100="NÍVEL 2"</formula>
    </cfRule>
    <cfRule type="expression" dxfId="537" priority="357">
      <formula>$M100="NÍVEL 3"</formula>
    </cfRule>
  </conditionalFormatting>
  <conditionalFormatting sqref="O106 R106:S106 U106:Y106">
    <cfRule type="expression" dxfId="536" priority="352">
      <formula>$M106="NÍVEL 1"</formula>
    </cfRule>
    <cfRule type="expression" dxfId="535" priority="353">
      <formula>$M106="NÍVEL 2"</formula>
    </cfRule>
    <cfRule type="expression" dxfId="534" priority="354" stopIfTrue="1">
      <formula>$M106="NÍVEL 3"</formula>
    </cfRule>
  </conditionalFormatting>
  <conditionalFormatting sqref="O105 R105:S105 U105:Y105">
    <cfRule type="expression" dxfId="533" priority="349">
      <formula>$M105="NÍVEL 1"</formula>
    </cfRule>
    <cfRule type="expression" dxfId="532" priority="350">
      <formula>$M105="NÍVEL 2"</formula>
    </cfRule>
    <cfRule type="expression" dxfId="531" priority="351" stopIfTrue="1">
      <formula>$M105="NÍVEL 3"</formula>
    </cfRule>
  </conditionalFormatting>
  <conditionalFormatting sqref="O104 R104:S104 U104:Y104">
    <cfRule type="expression" dxfId="530" priority="346">
      <formula>$M104="NÍVEL 1"</formula>
    </cfRule>
    <cfRule type="expression" dxfId="529" priority="347">
      <formula>$M104="NÍVEL 2"</formula>
    </cfRule>
    <cfRule type="expression" dxfId="528" priority="348" stopIfTrue="1">
      <formula>$M104="NÍVEL 3"</formula>
    </cfRule>
  </conditionalFormatting>
  <conditionalFormatting sqref="O103 R103:S103 U103:Y103">
    <cfRule type="expression" dxfId="527" priority="343">
      <formula>$M103="NÍVEL 1"</formula>
    </cfRule>
    <cfRule type="expression" dxfId="526" priority="344">
      <formula>$M103="NÍVEL 2"</formula>
    </cfRule>
    <cfRule type="expression" dxfId="525" priority="345" stopIfTrue="1">
      <formula>$M103="NÍVEL 3"</formula>
    </cfRule>
  </conditionalFormatting>
  <conditionalFormatting sqref="O102 R102:S102 U102:Y102">
    <cfRule type="expression" dxfId="524" priority="340">
      <formula>$M102="NÍVEL 1"</formula>
    </cfRule>
    <cfRule type="expression" dxfId="523" priority="341">
      <formula>$M102="NÍVEL 2"</formula>
    </cfRule>
    <cfRule type="expression" dxfId="522" priority="342" stopIfTrue="1">
      <formula>$M102="NÍVEL 3"</formula>
    </cfRule>
  </conditionalFormatting>
  <conditionalFormatting sqref="O101 R101:S101 U101:Y101">
    <cfRule type="expression" dxfId="521" priority="337">
      <formula>$M101="NÍVEL 1"</formula>
    </cfRule>
    <cfRule type="expression" dxfId="520" priority="338">
      <formula>$M101="NÍVEL 2"</formula>
    </cfRule>
    <cfRule type="expression" dxfId="519" priority="339" stopIfTrue="1">
      <formula>$M101="NÍVEL 3"</formula>
    </cfRule>
  </conditionalFormatting>
  <conditionalFormatting sqref="P101">
    <cfRule type="expression" dxfId="518" priority="334">
      <formula>$M101="NÍVEL 1"</formula>
    </cfRule>
    <cfRule type="expression" dxfId="517" priority="335">
      <formula>$M101="NÍVEL 2"</formula>
    </cfRule>
    <cfRule type="expression" dxfId="516" priority="336" stopIfTrue="1">
      <formula>$M101="NÍVEL 3"</formula>
    </cfRule>
  </conditionalFormatting>
  <conditionalFormatting sqref="P106 P102:P104">
    <cfRule type="expression" dxfId="515" priority="331">
      <formula>$M102="NÍVEL 1"</formula>
    </cfRule>
    <cfRule type="expression" dxfId="514" priority="332">
      <formula>$M102="NÍVEL 2"</formula>
    </cfRule>
    <cfRule type="expression" dxfId="513" priority="333" stopIfTrue="1">
      <formula>$M102="NÍVEL 3"</formula>
    </cfRule>
  </conditionalFormatting>
  <conditionalFormatting sqref="Q106 Q102:Q104">
    <cfRule type="expression" dxfId="512" priority="329">
      <formula>$M102="NÍVEL 1"</formula>
    </cfRule>
    <cfRule type="expression" dxfId="511" priority="330">
      <formula>$M102="NÍVEL 2"</formula>
    </cfRule>
  </conditionalFormatting>
  <conditionalFormatting sqref="Q106 Q102:Q104">
    <cfRule type="expression" dxfId="510" priority="328" stopIfTrue="1">
      <formula>$M102="NÍVEL 3"</formula>
    </cfRule>
  </conditionalFormatting>
  <conditionalFormatting sqref="Q105">
    <cfRule type="expression" dxfId="509" priority="326">
      <formula>$M105="NÍVEL 1"</formula>
    </cfRule>
    <cfRule type="expression" dxfId="508" priority="327">
      <formula>$M105="NÍVEL 2"</formula>
    </cfRule>
  </conditionalFormatting>
  <conditionalFormatting sqref="Q105">
    <cfRule type="expression" dxfId="507" priority="325" stopIfTrue="1">
      <formula>$M105="NÍVEL 3"</formula>
    </cfRule>
  </conditionalFormatting>
  <conditionalFormatting sqref="P105">
    <cfRule type="expression" dxfId="506" priority="322">
      <formula>$M105="NÍVEL 1"</formula>
    </cfRule>
    <cfRule type="expression" dxfId="505" priority="323">
      <formula>$M105="NÍVEL 2"</formula>
    </cfRule>
    <cfRule type="expression" dxfId="504" priority="324" stopIfTrue="1">
      <formula>$M105="NÍVEL 3"</formula>
    </cfRule>
  </conditionalFormatting>
  <conditionalFormatting sqref="T101:T106">
    <cfRule type="expression" dxfId="503" priority="319">
      <formula>$M101="NÍVEL 1"</formula>
    </cfRule>
    <cfRule type="expression" dxfId="502" priority="320">
      <formula>$M101="NÍVEL 2"</formula>
    </cfRule>
    <cfRule type="expression" dxfId="501" priority="321" stopIfTrue="1">
      <formula>$M101="NÍVEL 3"</formula>
    </cfRule>
  </conditionalFormatting>
  <conditionalFormatting sqref="Q135">
    <cfRule type="expression" dxfId="500" priority="317">
      <formula>$M135="NÍVEL 1"</formula>
    </cfRule>
    <cfRule type="expression" dxfId="499" priority="318">
      <formula>$M135="NÍVEL 2"</formula>
    </cfRule>
  </conditionalFormatting>
  <conditionalFormatting sqref="Q135">
    <cfRule type="expression" dxfId="498" priority="316" stopIfTrue="1">
      <formula>$M135="NÍVEL 3"</formula>
    </cfRule>
  </conditionalFormatting>
  <conditionalFormatting sqref="O134:X134">
    <cfRule type="expression" dxfId="497" priority="313">
      <formula>$M134="NÍVEL 1"</formula>
    </cfRule>
    <cfRule type="expression" dxfId="496" priority="314">
      <formula>$M134="NÍVEL 2"</formula>
    </cfRule>
    <cfRule type="expression" dxfId="495" priority="315">
      <formula>$M134="NÍVEL 3"</formula>
    </cfRule>
  </conditionalFormatting>
  <conditionalFormatting sqref="O133:Y133">
    <cfRule type="expression" dxfId="494" priority="310">
      <formula>$M133="NÍVEL 1"</formula>
    </cfRule>
    <cfRule type="expression" dxfId="493" priority="311">
      <formula>$M133="NÍVEL 2"</formula>
    </cfRule>
    <cfRule type="expression" dxfId="492" priority="312" stopIfTrue="1">
      <formula>$M133="NÍVEL 3"</formula>
    </cfRule>
  </conditionalFormatting>
  <conditionalFormatting sqref="Y134">
    <cfRule type="expression" dxfId="491" priority="307">
      <formula>$M134="NÍVEL 1"</formula>
    </cfRule>
    <cfRule type="expression" dxfId="490" priority="308">
      <formula>$M134="NÍVEL 2"</formula>
    </cfRule>
    <cfRule type="expression" dxfId="489" priority="309">
      <formula>$M134="NÍVEL 3"</formula>
    </cfRule>
  </conditionalFormatting>
  <conditionalFormatting sqref="O140 R140:S140 U140:Y140">
    <cfRule type="expression" dxfId="488" priority="304">
      <formula>$M140="NÍVEL 1"</formula>
    </cfRule>
    <cfRule type="expression" dxfId="487" priority="305">
      <formula>$M140="NÍVEL 2"</formula>
    </cfRule>
    <cfRule type="expression" dxfId="486" priority="306" stopIfTrue="1">
      <formula>$M140="NÍVEL 3"</formula>
    </cfRule>
  </conditionalFormatting>
  <conditionalFormatting sqref="O137 R137:S137 U137:Y137">
    <cfRule type="expression" dxfId="485" priority="301">
      <formula>$M137="NÍVEL 1"</formula>
    </cfRule>
    <cfRule type="expression" dxfId="484" priority="302">
      <formula>$M137="NÍVEL 2"</formula>
    </cfRule>
    <cfRule type="expression" dxfId="483" priority="303" stopIfTrue="1">
      <formula>$M137="NÍVEL 3"</formula>
    </cfRule>
  </conditionalFormatting>
  <conditionalFormatting sqref="O136 R136:S136 U136:Y136">
    <cfRule type="expression" dxfId="482" priority="295">
      <formula>$M136="NÍVEL 1"</formula>
    </cfRule>
    <cfRule type="expression" dxfId="481" priority="296">
      <formula>$M136="NÍVEL 2"</formula>
    </cfRule>
    <cfRule type="expression" dxfId="480" priority="297" stopIfTrue="1">
      <formula>$M136="NÍVEL 3"</formula>
    </cfRule>
  </conditionalFormatting>
  <conditionalFormatting sqref="O135 R135:S135 U135:Y135">
    <cfRule type="expression" dxfId="479" priority="292">
      <formula>$M135="NÍVEL 1"</formula>
    </cfRule>
    <cfRule type="expression" dxfId="478" priority="293">
      <formula>$M135="NÍVEL 2"</formula>
    </cfRule>
    <cfRule type="expression" dxfId="477" priority="294" stopIfTrue="1">
      <formula>$M135="NÍVEL 3"</formula>
    </cfRule>
  </conditionalFormatting>
  <conditionalFormatting sqref="P135">
    <cfRule type="expression" dxfId="476" priority="289">
      <formula>$M135="NÍVEL 1"</formula>
    </cfRule>
    <cfRule type="expression" dxfId="475" priority="290">
      <formula>$M135="NÍVEL 2"</formula>
    </cfRule>
    <cfRule type="expression" dxfId="474" priority="291" stopIfTrue="1">
      <formula>$M135="NÍVEL 3"</formula>
    </cfRule>
  </conditionalFormatting>
  <conditionalFormatting sqref="Q140">
    <cfRule type="expression" dxfId="473" priority="287">
      <formula>$M140="NÍVEL 1"</formula>
    </cfRule>
    <cfRule type="expression" dxfId="472" priority="288">
      <formula>$M140="NÍVEL 2"</formula>
    </cfRule>
  </conditionalFormatting>
  <conditionalFormatting sqref="Q140">
    <cfRule type="expression" dxfId="471" priority="286" stopIfTrue="1">
      <formula>$M140="NÍVEL 3"</formula>
    </cfRule>
  </conditionalFormatting>
  <conditionalFormatting sqref="O132 R132:S132 U132:Y132">
    <cfRule type="expression" dxfId="470" priority="280">
      <formula>$M132="NÍVEL 1"</formula>
    </cfRule>
    <cfRule type="expression" dxfId="469" priority="281">
      <formula>$M132="NÍVEL 2"</formula>
    </cfRule>
    <cfRule type="expression" dxfId="468" priority="282" stopIfTrue="1">
      <formula>$M132="NÍVEL 3"</formula>
    </cfRule>
  </conditionalFormatting>
  <conditionalFormatting sqref="P132 P128:P130">
    <cfRule type="expression" dxfId="467" priority="277">
      <formula>$M128="NÍVEL 1"</formula>
    </cfRule>
    <cfRule type="expression" dxfId="466" priority="278">
      <formula>$M128="NÍVEL 2"</formula>
    </cfRule>
    <cfRule type="expression" dxfId="465" priority="279" stopIfTrue="1">
      <formula>$M128="NÍVEL 3"</formula>
    </cfRule>
  </conditionalFormatting>
  <conditionalFormatting sqref="Q132 Q128:Q130">
    <cfRule type="expression" dxfId="464" priority="275">
      <formula>$M128="NÍVEL 1"</formula>
    </cfRule>
    <cfRule type="expression" dxfId="463" priority="276">
      <formula>$M128="NÍVEL 2"</formula>
    </cfRule>
  </conditionalFormatting>
  <conditionalFormatting sqref="Q132 Q128:Q130">
    <cfRule type="expression" dxfId="462" priority="274" stopIfTrue="1">
      <formula>$M128="NÍVEL 3"</formula>
    </cfRule>
  </conditionalFormatting>
  <conditionalFormatting sqref="Q127">
    <cfRule type="expression" dxfId="461" priority="272">
      <formula>$M127="NÍVEL 1"</formula>
    </cfRule>
    <cfRule type="expression" dxfId="460" priority="273">
      <formula>$M127="NÍVEL 2"</formula>
    </cfRule>
  </conditionalFormatting>
  <conditionalFormatting sqref="Q127">
    <cfRule type="expression" dxfId="459" priority="271" stopIfTrue="1">
      <formula>$M127="NÍVEL 3"</formula>
    </cfRule>
  </conditionalFormatting>
  <conditionalFormatting sqref="O131 R131:S131 U131:Y131">
    <cfRule type="expression" dxfId="458" priority="268">
      <formula>$M131="NÍVEL 1"</formula>
    </cfRule>
    <cfRule type="expression" dxfId="457" priority="269">
      <formula>$M131="NÍVEL 2"</formula>
    </cfRule>
    <cfRule type="expression" dxfId="456" priority="270" stopIfTrue="1">
      <formula>$M131="NÍVEL 3"</formula>
    </cfRule>
  </conditionalFormatting>
  <conditionalFormatting sqref="O130 R130:S130 U130:Y130">
    <cfRule type="expression" dxfId="455" priority="265">
      <formula>$M130="NÍVEL 1"</formula>
    </cfRule>
    <cfRule type="expression" dxfId="454" priority="266">
      <formula>$M130="NÍVEL 2"</formula>
    </cfRule>
    <cfRule type="expression" dxfId="453" priority="267" stopIfTrue="1">
      <formula>$M130="NÍVEL 3"</formula>
    </cfRule>
  </conditionalFormatting>
  <conditionalFormatting sqref="O129 R129:S129 U129:Y129">
    <cfRule type="expression" dxfId="452" priority="262">
      <formula>$M129="NÍVEL 1"</formula>
    </cfRule>
    <cfRule type="expression" dxfId="451" priority="263">
      <formula>$M129="NÍVEL 2"</formula>
    </cfRule>
    <cfRule type="expression" dxfId="450" priority="264" stopIfTrue="1">
      <formula>$M129="NÍVEL 3"</formula>
    </cfRule>
  </conditionalFormatting>
  <conditionalFormatting sqref="O128 R128:S128 U128:Y128">
    <cfRule type="expression" dxfId="449" priority="259">
      <formula>$M128="NÍVEL 1"</formula>
    </cfRule>
    <cfRule type="expression" dxfId="448" priority="260">
      <formula>$M128="NÍVEL 2"</formula>
    </cfRule>
    <cfRule type="expression" dxfId="447" priority="261" stopIfTrue="1">
      <formula>$M128="NÍVEL 3"</formula>
    </cfRule>
  </conditionalFormatting>
  <conditionalFormatting sqref="O127 R127:S127 U127:Y127">
    <cfRule type="expression" dxfId="446" priority="256">
      <formula>$M127="NÍVEL 1"</formula>
    </cfRule>
    <cfRule type="expression" dxfId="445" priority="257">
      <formula>$M127="NÍVEL 2"</formula>
    </cfRule>
    <cfRule type="expression" dxfId="444" priority="258" stopIfTrue="1">
      <formula>$M127="NÍVEL 3"</formula>
    </cfRule>
  </conditionalFormatting>
  <conditionalFormatting sqref="P127">
    <cfRule type="expression" dxfId="443" priority="253">
      <formula>$M127="NÍVEL 1"</formula>
    </cfRule>
    <cfRule type="expression" dxfId="442" priority="254">
      <formula>$M127="NÍVEL 2"</formula>
    </cfRule>
    <cfRule type="expression" dxfId="441" priority="255" stopIfTrue="1">
      <formula>$M127="NÍVEL 3"</formula>
    </cfRule>
  </conditionalFormatting>
  <conditionalFormatting sqref="Q131">
    <cfRule type="expression" dxfId="440" priority="251">
      <formula>$M131="NÍVEL 1"</formula>
    </cfRule>
    <cfRule type="expression" dxfId="439" priority="252">
      <formula>$M131="NÍVEL 2"</formula>
    </cfRule>
  </conditionalFormatting>
  <conditionalFormatting sqref="Q131">
    <cfRule type="expression" dxfId="438" priority="250" stopIfTrue="1">
      <formula>$M131="NÍVEL 3"</formula>
    </cfRule>
  </conditionalFormatting>
  <conditionalFormatting sqref="P131">
    <cfRule type="expression" dxfId="437" priority="247">
      <formula>$M131="NÍVEL 1"</formula>
    </cfRule>
    <cfRule type="expression" dxfId="436" priority="248">
      <formula>$M131="NÍVEL 2"</formula>
    </cfRule>
    <cfRule type="expression" dxfId="435" priority="249" stopIfTrue="1">
      <formula>$M131="NÍVEL 3"</formula>
    </cfRule>
  </conditionalFormatting>
  <conditionalFormatting sqref="O139 R139:S139 U139:Y139">
    <cfRule type="expression" dxfId="434" priority="244">
      <formula>$M139="NÍVEL 1"</formula>
    </cfRule>
    <cfRule type="expression" dxfId="433" priority="245">
      <formula>$M139="NÍVEL 2"</formula>
    </cfRule>
    <cfRule type="expression" dxfId="432" priority="246" stopIfTrue="1">
      <formula>$M139="NÍVEL 3"</formula>
    </cfRule>
  </conditionalFormatting>
  <conditionalFormatting sqref="P139">
    <cfRule type="expression" dxfId="431" priority="241">
      <formula>$M139="NÍVEL 1"</formula>
    </cfRule>
    <cfRule type="expression" dxfId="430" priority="242">
      <formula>$M139="NÍVEL 2"</formula>
    </cfRule>
    <cfRule type="expression" dxfId="429" priority="243" stopIfTrue="1">
      <formula>$M139="NÍVEL 3"</formula>
    </cfRule>
  </conditionalFormatting>
  <conditionalFormatting sqref="Q139">
    <cfRule type="expression" dxfId="428" priority="239">
      <formula>$M139="NÍVEL 1"</formula>
    </cfRule>
    <cfRule type="expression" dxfId="427" priority="240">
      <formula>$M139="NÍVEL 2"</formula>
    </cfRule>
  </conditionalFormatting>
  <conditionalFormatting sqref="Q139">
    <cfRule type="expression" dxfId="426" priority="238" stopIfTrue="1">
      <formula>$M139="NÍVEL 3"</formula>
    </cfRule>
  </conditionalFormatting>
  <conditionalFormatting sqref="O138 R138:S138 U138:Y138">
    <cfRule type="expression" dxfId="425" priority="235">
      <formula>$M138="NÍVEL 1"</formula>
    </cfRule>
    <cfRule type="expression" dxfId="424" priority="236">
      <formula>$M138="NÍVEL 2"</formula>
    </cfRule>
    <cfRule type="expression" dxfId="423" priority="237" stopIfTrue="1">
      <formula>$M138="NÍVEL 3"</formula>
    </cfRule>
  </conditionalFormatting>
  <conditionalFormatting sqref="Q138">
    <cfRule type="expression" dxfId="422" priority="233">
      <formula>$M138="NÍVEL 1"</formula>
    </cfRule>
    <cfRule type="expression" dxfId="421" priority="234">
      <formula>$M138="NÍVEL 2"</formula>
    </cfRule>
  </conditionalFormatting>
  <conditionalFormatting sqref="Q138">
    <cfRule type="expression" dxfId="420" priority="232" stopIfTrue="1">
      <formula>$M138="NÍVEL 3"</formula>
    </cfRule>
  </conditionalFormatting>
  <conditionalFormatting sqref="P138">
    <cfRule type="expression" dxfId="419" priority="229">
      <formula>$M138="NÍVEL 1"</formula>
    </cfRule>
    <cfRule type="expression" dxfId="418" priority="230">
      <formula>$M138="NÍVEL 2"</formula>
    </cfRule>
    <cfRule type="expression" dxfId="417" priority="231" stopIfTrue="1">
      <formula>$M138="NÍVEL 3"</formula>
    </cfRule>
  </conditionalFormatting>
  <conditionalFormatting sqref="T445:T447">
    <cfRule type="expression" dxfId="416" priority="226">
      <formula>$M445="NÍVEL 1"</formula>
    </cfRule>
    <cfRule type="expression" dxfId="415" priority="227">
      <formula>$M445="NÍVEL 2"</formula>
    </cfRule>
    <cfRule type="expression" dxfId="414" priority="228" stopIfTrue="1">
      <formula>$M445="NÍVEL 3"</formula>
    </cfRule>
  </conditionalFormatting>
  <conditionalFormatting sqref="O505:Q505 S505:X505">
    <cfRule type="expression" dxfId="413" priority="223">
      <formula>$M505="NÍVEL 1"</formula>
    </cfRule>
    <cfRule type="expression" dxfId="412" priority="224">
      <formula>$M505="NÍVEL 2"</formula>
    </cfRule>
    <cfRule type="expression" dxfId="411" priority="225">
      <formula>$M505="NÍVEL 3"</formula>
    </cfRule>
  </conditionalFormatting>
  <conditionalFormatting sqref="O504:Y504">
    <cfRule type="expression" dxfId="410" priority="217">
      <formula>$M504="NÍVEL 1"</formula>
    </cfRule>
    <cfRule type="expression" dxfId="409" priority="218">
      <formula>$M504="NÍVEL 2"</formula>
    </cfRule>
    <cfRule type="expression" dxfId="408" priority="219" stopIfTrue="1">
      <formula>$M504="NÍVEL 3"</formula>
    </cfRule>
  </conditionalFormatting>
  <conditionalFormatting sqref="T501:T503">
    <cfRule type="expression" dxfId="407" priority="214">
      <formula>$M501="NÍVEL 1"</formula>
    </cfRule>
    <cfRule type="expression" dxfId="406" priority="215">
      <formula>$M501="NÍVEL 2"</formula>
    </cfRule>
    <cfRule type="expression" dxfId="405" priority="216" stopIfTrue="1">
      <formula>$M501="NÍVEL 3"</formula>
    </cfRule>
  </conditionalFormatting>
  <conditionalFormatting sqref="P507:P511">
    <cfRule type="expression" dxfId="404" priority="211">
      <formula>$M507="NÍVEL 1"</formula>
    </cfRule>
    <cfRule type="expression" dxfId="403" priority="212">
      <formula>$M507="NÍVEL 2"</formula>
    </cfRule>
    <cfRule type="expression" dxfId="402" priority="213">
      <formula>$M507="NÍVEL 3"</formula>
    </cfRule>
  </conditionalFormatting>
  <conditionalFormatting sqref="Q510:Q511">
    <cfRule type="expression" dxfId="401" priority="209">
      <formula>$M510="NÍVEL 1"</formula>
    </cfRule>
    <cfRule type="expression" dxfId="400" priority="210">
      <formula>$M510="NÍVEL 2"</formula>
    </cfRule>
  </conditionalFormatting>
  <conditionalFormatting sqref="Q510:Q511">
    <cfRule type="expression" dxfId="399" priority="208" stopIfTrue="1">
      <formula>$M510="NÍVEL 3"</formula>
    </cfRule>
  </conditionalFormatting>
  <conditionalFormatting sqref="T506:T508">
    <cfRule type="expression" dxfId="398" priority="205">
      <formula>$M506="NÍVEL 1"</formula>
    </cfRule>
    <cfRule type="expression" dxfId="397" priority="206">
      <formula>$M506="NÍVEL 2"</formula>
    </cfRule>
    <cfRule type="expression" dxfId="396" priority="207" stopIfTrue="1">
      <formula>$M506="NÍVEL 3"</formula>
    </cfRule>
  </conditionalFormatting>
  <conditionalFormatting sqref="R513 Y513">
    <cfRule type="expression" dxfId="395" priority="202">
      <formula>$M513="NÍVEL 1"</formula>
    </cfRule>
    <cfRule type="expression" dxfId="394" priority="203">
      <formula>$M513="NÍVEL 2"</formula>
    </cfRule>
    <cfRule type="expression" dxfId="393" priority="204">
      <formula>$M513="NÍVEL 3"</formula>
    </cfRule>
  </conditionalFormatting>
  <conditionalFormatting sqref="O513:Q513 S513:X513">
    <cfRule type="expression" dxfId="392" priority="193">
      <formula>$M513="NÍVEL 1"</formula>
    </cfRule>
    <cfRule type="expression" dxfId="391" priority="194">
      <formula>$M513="NÍVEL 2"</formula>
    </cfRule>
    <cfRule type="expression" dxfId="390" priority="195">
      <formula>$M513="NÍVEL 3"</formula>
    </cfRule>
  </conditionalFormatting>
  <conditionalFormatting sqref="O512:Y512">
    <cfRule type="expression" dxfId="389" priority="190">
      <formula>$M512="NÍVEL 1"</formula>
    </cfRule>
    <cfRule type="expression" dxfId="388" priority="191">
      <formula>$M512="NÍVEL 2"</formula>
    </cfRule>
    <cfRule type="expression" dxfId="387" priority="192" stopIfTrue="1">
      <formula>$M512="NÍVEL 3"</formula>
    </cfRule>
  </conditionalFormatting>
  <conditionalFormatting sqref="O211:Y211">
    <cfRule type="expression" dxfId="386" priority="172">
      <formula>$M211="NÍVEL 1"</formula>
    </cfRule>
    <cfRule type="expression" dxfId="385" priority="173">
      <formula>$M211="NÍVEL 2"</formula>
    </cfRule>
    <cfRule type="expression" dxfId="384" priority="174">
      <formula>$M211="NÍVEL 3"</formula>
    </cfRule>
  </conditionalFormatting>
  <conditionalFormatting sqref="O209:X209">
    <cfRule type="expression" dxfId="383" priority="163">
      <formula>$M209="NÍVEL 1"</formula>
    </cfRule>
    <cfRule type="expression" dxfId="382" priority="164">
      <formula>$M209="NÍVEL 2"</formula>
    </cfRule>
    <cfRule type="expression" dxfId="381" priority="165">
      <formula>$M209="NÍVEL 3"</formula>
    </cfRule>
  </conditionalFormatting>
  <conditionalFormatting sqref="O231:Y231">
    <cfRule type="expression" dxfId="380" priority="148">
      <formula>$M231="NÍVEL 1"</formula>
    </cfRule>
    <cfRule type="expression" dxfId="379" priority="149">
      <formula>$M231="NÍVEL 2"</formula>
    </cfRule>
    <cfRule type="expression" dxfId="378" priority="150">
      <formula>$M231="NÍVEL 3"</formula>
    </cfRule>
  </conditionalFormatting>
  <conditionalFormatting sqref="O232:X232">
    <cfRule type="expression" dxfId="377" priority="145">
      <formula>$M232="NÍVEL 1"</formula>
    </cfRule>
    <cfRule type="expression" dxfId="376" priority="146">
      <formula>$M232="NÍVEL 2"</formula>
    </cfRule>
    <cfRule type="expression" dxfId="375" priority="147">
      <formula>$M232="NÍVEL 3"</formula>
    </cfRule>
  </conditionalFormatting>
  <conditionalFormatting sqref="Y232">
    <cfRule type="expression" dxfId="374" priority="142">
      <formula>$M232="NÍVEL 1"</formula>
    </cfRule>
    <cfRule type="expression" dxfId="373" priority="143">
      <formula>$M232="NÍVEL 2"</formula>
    </cfRule>
    <cfRule type="expression" dxfId="372" priority="144">
      <formula>$M232="NÍVEL 3"</formula>
    </cfRule>
  </conditionalFormatting>
  <conditionalFormatting sqref="R316:Y316 O316:P316">
    <cfRule type="expression" dxfId="371" priority="139">
      <formula>$M316="NÍVEL 1"</formula>
    </cfRule>
    <cfRule type="expression" dxfId="370" priority="140">
      <formula>$M316="NÍVEL 2"</formula>
    </cfRule>
    <cfRule type="expression" dxfId="369" priority="141" stopIfTrue="1">
      <formula>$M316="NÍVEL 3"</formula>
    </cfRule>
  </conditionalFormatting>
  <conditionalFormatting sqref="R317:Y317 O317:P317">
    <cfRule type="expression" dxfId="368" priority="136">
      <formula>$M317="NÍVEL 1"</formula>
    </cfRule>
    <cfRule type="expression" dxfId="367" priority="137">
      <formula>$M317="NÍVEL 2"</formula>
    </cfRule>
    <cfRule type="expression" dxfId="366" priority="138" stopIfTrue="1">
      <formula>$M317="NÍVEL 3"</formula>
    </cfRule>
  </conditionalFormatting>
  <conditionalFormatting sqref="R318:Y318 O318:P318">
    <cfRule type="expression" dxfId="365" priority="133">
      <formula>$M318="NÍVEL 1"</formula>
    </cfRule>
    <cfRule type="expression" dxfId="364" priority="134">
      <formula>$M318="NÍVEL 2"</formula>
    </cfRule>
    <cfRule type="expression" dxfId="363" priority="135" stopIfTrue="1">
      <formula>$M318="NÍVEL 3"</formula>
    </cfRule>
  </conditionalFormatting>
  <conditionalFormatting sqref="R319:Y319 O319:P319">
    <cfRule type="expression" dxfId="362" priority="130">
      <formula>$M319="NÍVEL 1"</formula>
    </cfRule>
    <cfRule type="expression" dxfId="361" priority="131">
      <formula>$M319="NÍVEL 2"</formula>
    </cfRule>
    <cfRule type="expression" dxfId="360" priority="132" stopIfTrue="1">
      <formula>$M319="NÍVEL 3"</formula>
    </cfRule>
  </conditionalFormatting>
  <conditionalFormatting sqref="R320:Y320 O320:P320">
    <cfRule type="expression" dxfId="359" priority="127">
      <formula>$M320="NÍVEL 1"</formula>
    </cfRule>
    <cfRule type="expression" dxfId="358" priority="128">
      <formula>$M320="NÍVEL 2"</formula>
    </cfRule>
    <cfRule type="expression" dxfId="357" priority="129" stopIfTrue="1">
      <formula>$M320="NÍVEL 3"</formula>
    </cfRule>
  </conditionalFormatting>
  <conditionalFormatting sqref="R321:Y321 O321:P321">
    <cfRule type="expression" dxfId="356" priority="124">
      <formula>$M321="NÍVEL 1"</formula>
    </cfRule>
    <cfRule type="expression" dxfId="355" priority="125">
      <formula>$M321="NÍVEL 2"</formula>
    </cfRule>
    <cfRule type="expression" dxfId="354" priority="126" stopIfTrue="1">
      <formula>$M321="NÍVEL 3"</formula>
    </cfRule>
  </conditionalFormatting>
  <conditionalFormatting sqref="P125:P126">
    <cfRule type="expression" dxfId="353" priority="121">
      <formula>$M125="NÍVEL 1"</formula>
    </cfRule>
    <cfRule type="expression" dxfId="352" priority="122">
      <formula>$M125="NÍVEL 2"</formula>
    </cfRule>
    <cfRule type="expression" dxfId="351" priority="123" stopIfTrue="1">
      <formula>$M125="NÍVEL 3"</formula>
    </cfRule>
  </conditionalFormatting>
  <conditionalFormatting sqref="T342:T343">
    <cfRule type="expression" dxfId="350" priority="118">
      <formula>$M342="NÍVEL 1"</formula>
    </cfRule>
    <cfRule type="expression" dxfId="349" priority="119">
      <formula>$M342="NÍVEL 2"</formula>
    </cfRule>
    <cfRule type="expression" dxfId="348" priority="120" stopIfTrue="1">
      <formula>$M342="NÍVEL 3"</formula>
    </cfRule>
  </conditionalFormatting>
  <conditionalFormatting sqref="O342:O343 R342:S343 U342:Y343">
    <cfRule type="expression" dxfId="347" priority="115">
      <formula>$M342="NÍVEL 1"</formula>
    </cfRule>
    <cfRule type="expression" dxfId="346" priority="116">
      <formula>$M342="NÍVEL 2"</formula>
    </cfRule>
    <cfRule type="expression" dxfId="345" priority="117" stopIfTrue="1">
      <formula>$M342="NÍVEL 3"</formula>
    </cfRule>
  </conditionalFormatting>
  <conditionalFormatting sqref="P342:P343">
    <cfRule type="expression" dxfId="344" priority="112">
      <formula>$M342="NÍVEL 1"</formula>
    </cfRule>
    <cfRule type="expression" dxfId="343" priority="113">
      <formula>$M342="NÍVEL 2"</formula>
    </cfRule>
    <cfRule type="expression" dxfId="342" priority="114" stopIfTrue="1">
      <formula>$M342="NÍVEL 3"</formula>
    </cfRule>
  </conditionalFormatting>
  <conditionalFormatting sqref="O338:O339 R338:Y339">
    <cfRule type="expression" dxfId="341" priority="109">
      <formula>$M338="NÍVEL 1"</formula>
    </cfRule>
    <cfRule type="expression" dxfId="340" priority="110">
      <formula>$M338="NÍVEL 2"</formula>
    </cfRule>
    <cfRule type="expression" dxfId="339" priority="111" stopIfTrue="1">
      <formula>$M338="NÍVEL 3"</formula>
    </cfRule>
  </conditionalFormatting>
  <conditionalFormatting sqref="P338:P339">
    <cfRule type="expression" dxfId="338" priority="106">
      <formula>$M338="NÍVEL 1"</formula>
    </cfRule>
    <cfRule type="expression" dxfId="337" priority="107">
      <formula>$M338="NÍVEL 2"</formula>
    </cfRule>
    <cfRule type="expression" dxfId="336" priority="108" stopIfTrue="1">
      <formula>$M338="NÍVEL 3"</formula>
    </cfRule>
  </conditionalFormatting>
  <conditionalFormatting sqref="T340">
    <cfRule type="expression" dxfId="335" priority="103">
      <formula>$M340="NÍVEL 1"</formula>
    </cfRule>
    <cfRule type="expression" dxfId="334" priority="104">
      <formula>$M340="NÍVEL 2"</formula>
    </cfRule>
    <cfRule type="expression" dxfId="333" priority="105" stopIfTrue="1">
      <formula>$M340="NÍVEL 3"</formula>
    </cfRule>
  </conditionalFormatting>
  <conditionalFormatting sqref="O340 R340:S340 U340:Y340">
    <cfRule type="expression" dxfId="332" priority="100">
      <formula>$M340="NÍVEL 1"</formula>
    </cfRule>
    <cfRule type="expression" dxfId="331" priority="101">
      <formula>$M340="NÍVEL 2"</formula>
    </cfRule>
    <cfRule type="expression" dxfId="330" priority="102" stopIfTrue="1">
      <formula>$M340="NÍVEL 3"</formula>
    </cfRule>
  </conditionalFormatting>
  <conditionalFormatting sqref="P340">
    <cfRule type="expression" dxfId="329" priority="97">
      <formula>$M340="NÍVEL 1"</formula>
    </cfRule>
    <cfRule type="expression" dxfId="328" priority="98">
      <formula>$M340="NÍVEL 2"</formula>
    </cfRule>
    <cfRule type="expression" dxfId="327" priority="99" stopIfTrue="1">
      <formula>$M340="NÍVEL 3"</formula>
    </cfRule>
  </conditionalFormatting>
  <conditionalFormatting sqref="P370">
    <cfRule type="expression" dxfId="326" priority="94">
      <formula>$M370="NÍVEL 1"</formula>
    </cfRule>
    <cfRule type="expression" dxfId="325" priority="95">
      <formula>$M370="NÍVEL 2"</formula>
    </cfRule>
    <cfRule type="expression" dxfId="324" priority="96" stopIfTrue="1">
      <formula>$M370="NÍVEL 3"</formula>
    </cfRule>
  </conditionalFormatting>
  <conditionalFormatting sqref="T368:T370">
    <cfRule type="expression" dxfId="323" priority="91">
      <formula>$M368="NÍVEL 1"</formula>
    </cfRule>
    <cfRule type="expression" dxfId="322" priority="92">
      <formula>$M368="NÍVEL 2"</formula>
    </cfRule>
    <cfRule type="expression" dxfId="321" priority="93" stopIfTrue="1">
      <formula>$M368="NÍVEL 3"</formula>
    </cfRule>
  </conditionalFormatting>
  <conditionalFormatting sqref="O368:O370 R368:S370 U368:Y370">
    <cfRule type="expression" dxfId="320" priority="88">
      <formula>$M368="NÍVEL 1"</formula>
    </cfRule>
    <cfRule type="expression" dxfId="319" priority="89">
      <formula>$M368="NÍVEL 2"</formula>
    </cfRule>
    <cfRule type="expression" dxfId="318" priority="90" stopIfTrue="1">
      <formula>$M368="NÍVEL 3"</formula>
    </cfRule>
  </conditionalFormatting>
  <conditionalFormatting sqref="T367">
    <cfRule type="expression" dxfId="317" priority="85">
      <formula>$M367="NÍVEL 1"</formula>
    </cfRule>
    <cfRule type="expression" dxfId="316" priority="86">
      <formula>$M367="NÍVEL 2"</formula>
    </cfRule>
    <cfRule type="expression" dxfId="315" priority="87" stopIfTrue="1">
      <formula>$M367="NÍVEL 3"</formula>
    </cfRule>
  </conditionalFormatting>
  <conditionalFormatting sqref="O367 R367:S367 U367:Y367">
    <cfRule type="expression" dxfId="314" priority="82">
      <formula>$M367="NÍVEL 1"</formula>
    </cfRule>
    <cfRule type="expression" dxfId="313" priority="83">
      <formula>$M367="NÍVEL 2"</formula>
    </cfRule>
    <cfRule type="expression" dxfId="312" priority="84" stopIfTrue="1">
      <formula>$M367="NÍVEL 3"</formula>
    </cfRule>
  </conditionalFormatting>
  <conditionalFormatting sqref="P368:P369">
    <cfRule type="expression" dxfId="311" priority="79">
      <formula>$M368="NÍVEL 1"</formula>
    </cfRule>
    <cfRule type="expression" dxfId="310" priority="80">
      <formula>$M368="NÍVEL 2"</formula>
    </cfRule>
    <cfRule type="expression" dxfId="309" priority="81" stopIfTrue="1">
      <formula>$M368="NÍVEL 3"</formula>
    </cfRule>
  </conditionalFormatting>
  <conditionalFormatting sqref="P367">
    <cfRule type="expression" dxfId="308" priority="76">
      <formula>$M367="NÍVEL 1"</formula>
    </cfRule>
    <cfRule type="expression" dxfId="307" priority="77">
      <formula>$M367="NÍVEL 2"</formula>
    </cfRule>
    <cfRule type="expression" dxfId="306" priority="78" stopIfTrue="1">
      <formula>$M367="NÍVEL 3"</formula>
    </cfRule>
  </conditionalFormatting>
  <conditionalFormatting sqref="T378:T379">
    <cfRule type="expression" dxfId="305" priority="64">
      <formula>$M378="NÍVEL 1"</formula>
    </cfRule>
    <cfRule type="expression" dxfId="304" priority="65">
      <formula>$M378="NÍVEL 2"</formula>
    </cfRule>
    <cfRule type="expression" dxfId="303" priority="66" stopIfTrue="1">
      <formula>$M378="NÍVEL 3"</formula>
    </cfRule>
  </conditionalFormatting>
  <conditionalFormatting sqref="O378:O379 R378:S379 U378:Y379">
    <cfRule type="expression" dxfId="302" priority="61">
      <formula>$M378="NÍVEL 1"</formula>
    </cfRule>
    <cfRule type="expression" dxfId="301" priority="62">
      <formula>$M378="NÍVEL 2"</formula>
    </cfRule>
    <cfRule type="expression" dxfId="300" priority="63" stopIfTrue="1">
      <formula>$M378="NÍVEL 3"</formula>
    </cfRule>
  </conditionalFormatting>
  <conditionalFormatting sqref="T377">
    <cfRule type="expression" dxfId="299" priority="58">
      <formula>$M377="NÍVEL 1"</formula>
    </cfRule>
    <cfRule type="expression" dxfId="298" priority="59">
      <formula>$M377="NÍVEL 2"</formula>
    </cfRule>
    <cfRule type="expression" dxfId="297" priority="60" stopIfTrue="1">
      <formula>$M377="NÍVEL 3"</formula>
    </cfRule>
  </conditionalFormatting>
  <conditionalFormatting sqref="O377 R377:S377 U377:Y377">
    <cfRule type="expression" dxfId="296" priority="55">
      <formula>$M377="NÍVEL 1"</formula>
    </cfRule>
    <cfRule type="expression" dxfId="295" priority="56">
      <formula>$M377="NÍVEL 2"</formula>
    </cfRule>
    <cfRule type="expression" dxfId="294" priority="57" stopIfTrue="1">
      <formula>$M377="NÍVEL 3"</formula>
    </cfRule>
  </conditionalFormatting>
  <conditionalFormatting sqref="P378">
    <cfRule type="expression" dxfId="293" priority="52">
      <formula>$M378="NÍVEL 1"</formula>
    </cfRule>
    <cfRule type="expression" dxfId="292" priority="53">
      <formula>$M378="NÍVEL 2"</formula>
    </cfRule>
    <cfRule type="expression" dxfId="291" priority="54" stopIfTrue="1">
      <formula>$M378="NÍVEL 3"</formula>
    </cfRule>
  </conditionalFormatting>
  <conditionalFormatting sqref="P377">
    <cfRule type="expression" dxfId="290" priority="49">
      <formula>$M377="NÍVEL 1"</formula>
    </cfRule>
    <cfRule type="expression" dxfId="289" priority="50">
      <formula>$M377="NÍVEL 2"</formula>
    </cfRule>
    <cfRule type="expression" dxfId="288" priority="51" stopIfTrue="1">
      <formula>$M377="NÍVEL 3"</formula>
    </cfRule>
  </conditionalFormatting>
  <conditionalFormatting sqref="T383">
    <cfRule type="expression" dxfId="287" priority="46">
      <formula>$M383="NÍVEL 1"</formula>
    </cfRule>
    <cfRule type="expression" dxfId="286" priority="47">
      <formula>$M383="NÍVEL 2"</formula>
    </cfRule>
    <cfRule type="expression" dxfId="285" priority="48" stopIfTrue="1">
      <formula>$M383="NÍVEL 3"</formula>
    </cfRule>
  </conditionalFormatting>
  <conditionalFormatting sqref="O383 R383:S383 U383:Y383">
    <cfRule type="expression" dxfId="284" priority="43">
      <formula>$M383="NÍVEL 1"</formula>
    </cfRule>
    <cfRule type="expression" dxfId="283" priority="44">
      <formula>$M383="NÍVEL 2"</formula>
    </cfRule>
    <cfRule type="expression" dxfId="282" priority="45" stopIfTrue="1">
      <formula>$M383="NÍVEL 3"</formula>
    </cfRule>
  </conditionalFormatting>
  <conditionalFormatting sqref="R523:S523 O523:P523 U523:Y523">
    <cfRule type="expression" dxfId="281" priority="40">
      <formula>$M523="NÍVEL 1"</formula>
    </cfRule>
    <cfRule type="expression" dxfId="280" priority="41">
      <formula>$M523="NÍVEL 2"</formula>
    </cfRule>
    <cfRule type="expression" dxfId="279" priority="42" stopIfTrue="1">
      <formula>$M523="NÍVEL 3"</formula>
    </cfRule>
  </conditionalFormatting>
  <conditionalFormatting sqref="P524">
    <cfRule type="expression" dxfId="278" priority="37">
      <formula>$M524="NÍVEL 1"</formula>
    </cfRule>
    <cfRule type="expression" dxfId="277" priority="38">
      <formula>$M524="NÍVEL 2"</formula>
    </cfRule>
    <cfRule type="expression" dxfId="276" priority="39" stopIfTrue="1">
      <formula>$M524="NÍVEL 3"</formula>
    </cfRule>
  </conditionalFormatting>
  <conditionalFormatting sqref="AB336:AB337">
    <cfRule type="expression" dxfId="275" priority="34">
      <formula>$M336="NÍVEL 1"</formula>
    </cfRule>
    <cfRule type="expression" dxfId="274" priority="35">
      <formula>$M336="NÍVEL 2"</formula>
    </cfRule>
    <cfRule type="expression" dxfId="273" priority="36" stopIfTrue="1">
      <formula>$M336="NÍVEL 3"</formula>
    </cfRule>
  </conditionalFormatting>
  <conditionalFormatting sqref="O233:P233 R233:Y233">
    <cfRule type="expression" dxfId="272" priority="31">
      <formula>$M233="NÍVEL 1"</formula>
    </cfRule>
    <cfRule type="expression" dxfId="271" priority="32">
      <formula>$M233="NÍVEL 2"</formula>
    </cfRule>
    <cfRule type="expression" dxfId="270" priority="33" stopIfTrue="1">
      <formula>$M233="NÍVEL 3"</formula>
    </cfRule>
  </conditionalFormatting>
  <conditionalFormatting sqref="O70:X70">
    <cfRule type="expression" dxfId="269" priority="28">
      <formula>$M70="NÍVEL 1"</formula>
    </cfRule>
    <cfRule type="expression" dxfId="268" priority="29">
      <formula>$M70="NÍVEL 2"</formula>
    </cfRule>
    <cfRule type="expression" dxfId="267" priority="30">
      <formula>$M70="NÍVEL 3"</formula>
    </cfRule>
  </conditionalFormatting>
  <conditionalFormatting sqref="O71:P71 R71:S71 U71:Y71">
    <cfRule type="expression" dxfId="266" priority="25">
      <formula>$M71="NÍVEL 1"</formula>
    </cfRule>
    <cfRule type="expression" dxfId="265" priority="26">
      <formula>$M71="NÍVEL 2"</formula>
    </cfRule>
    <cfRule type="expression" dxfId="264" priority="27" stopIfTrue="1">
      <formula>$M71="NÍVEL 3"</formula>
    </cfRule>
  </conditionalFormatting>
  <conditionalFormatting sqref="O69:Y69">
    <cfRule type="expression" dxfId="263" priority="22">
      <formula>$M69="NÍVEL 1"</formula>
    </cfRule>
    <cfRule type="expression" dxfId="262" priority="23">
      <formula>$M69="NÍVEL 2"</formula>
    </cfRule>
    <cfRule type="expression" dxfId="261" priority="24" stopIfTrue="1">
      <formula>$M69="NÍVEL 3"</formula>
    </cfRule>
  </conditionalFormatting>
  <conditionalFormatting sqref="R77:S77 O77 U77:Y77">
    <cfRule type="expression" dxfId="260" priority="19">
      <formula>$M77="NÍVEL 1"</formula>
    </cfRule>
    <cfRule type="expression" dxfId="259" priority="20">
      <formula>$M77="NÍVEL 2"</formula>
    </cfRule>
    <cfRule type="expression" dxfId="258" priority="21" stopIfTrue="1">
      <formula>$M77="NÍVEL 3"</formula>
    </cfRule>
  </conditionalFormatting>
  <conditionalFormatting sqref="Q77">
    <cfRule type="expression" dxfId="257" priority="17">
      <formula>$M77="NÍVEL 1"</formula>
    </cfRule>
    <cfRule type="expression" dxfId="256" priority="18">
      <formula>$M77="NÍVEL 2"</formula>
    </cfRule>
  </conditionalFormatting>
  <conditionalFormatting sqref="Q77">
    <cfRule type="expression" dxfId="255" priority="16" stopIfTrue="1">
      <formula>$M77="NÍVEL 3"</formula>
    </cfRule>
  </conditionalFormatting>
  <conditionalFormatting sqref="P77">
    <cfRule type="expression" dxfId="254" priority="13">
      <formula>$M77="NÍVEL 1"</formula>
    </cfRule>
    <cfRule type="expression" dxfId="253" priority="14">
      <formula>$M77="NÍVEL 2"</formula>
    </cfRule>
    <cfRule type="expression" dxfId="252" priority="15" stopIfTrue="1">
      <formula>$M77="NÍVEL 3"</formula>
    </cfRule>
  </conditionalFormatting>
  <conditionalFormatting sqref="Y70">
    <cfRule type="expression" dxfId="251" priority="10">
      <formula>$M70="NÍVEL 1"</formula>
    </cfRule>
    <cfRule type="expression" dxfId="250" priority="11">
      <formula>$M70="NÍVEL 2"</formula>
    </cfRule>
    <cfRule type="expression" dxfId="249" priority="12">
      <formula>$M70="NÍVEL 3"</formula>
    </cfRule>
  </conditionalFormatting>
  <conditionalFormatting sqref="T463:T465">
    <cfRule type="expression" dxfId="248" priority="7">
      <formula>$M463="NÍVEL 1"</formula>
    </cfRule>
    <cfRule type="expression" dxfId="247" priority="8">
      <formula>$M463="NÍVEL 2"</formula>
    </cfRule>
    <cfRule type="expression" dxfId="246" priority="9" stopIfTrue="1">
      <formula>$M463="NÍVEL 3"</formula>
    </cfRule>
  </conditionalFormatting>
  <conditionalFormatting sqref="T462">
    <cfRule type="expression" dxfId="245" priority="4">
      <formula>$M462="NÍVEL 1"</formula>
    </cfRule>
    <cfRule type="expression" dxfId="244" priority="5">
      <formula>$M462="NÍVEL 2"</formula>
    </cfRule>
    <cfRule type="expression" dxfId="243" priority="6" stopIfTrue="1">
      <formula>$M462="NÍVEL 3"</formula>
    </cfRule>
  </conditionalFormatting>
  <dataValidations count="2">
    <dataValidation type="list" allowBlank="1" showInputMessage="1" showErrorMessage="1" sqref="AA178:AA180 AA182:AA192 AA281:AA284 AA260:AA263 AA265:AA267 AA345:AA355 AA335:AA343 AA366:AA374 AA387:AA399 AA160:AA161 AA194:AA203 AA223:AA225 AA481:AA483 AA252:AA258 AA218:AA221 AA269:AA279 AA227:AA230 AA232:AA250 AA163:AA176 AA212:AA216 AA376:AA385 AA485:AA528 AA286:AA333 AA357:AA364 AA401:AA479 AA10:AA158 AA205:AA210" xr:uid="{00000000-0002-0000-0A00-000000000000}">
      <formula1>$D$3:$D$5</formula1>
    </dataValidation>
    <dataValidation type="list" allowBlank="1" showInputMessage="1" showErrorMessage="1" sqref="M10:M529" xr:uid="{00000000-0002-0000-0A00-000001000000}">
      <formula1>$B$1:$B$8</formula1>
    </dataValidation>
  </dataValidations>
  <printOptions horizontalCentered="1"/>
  <pageMargins left="0.23622047244094491" right="0.23622047244094491" top="0.74803149606299213" bottom="0.35433070866141736" header="0.31496062992125984" footer="0.31496062992125984"/>
  <pageSetup paperSize="9" scale="52"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38F9A-E542-4657-B244-1CAE0FA6DB08}">
  <sheetPr codeName="Planilha36">
    <pageSetUpPr fitToPage="1"/>
  </sheetPr>
  <dimension ref="A1:N303"/>
  <sheetViews>
    <sheetView view="pageBreakPreview" zoomScale="85" zoomScaleNormal="100" zoomScaleSheetLayoutView="85" workbookViewId="0">
      <selection activeCell="K17" sqref="K17"/>
    </sheetView>
  </sheetViews>
  <sheetFormatPr baseColWidth="10" defaultColWidth="9.1640625" defaultRowHeight="15"/>
  <cols>
    <col min="1" max="1" width="12.33203125" customWidth="1"/>
    <col min="2" max="2" width="13.5" style="1" bestFit="1" customWidth="1"/>
    <col min="3" max="3" width="11.5" style="7" customWidth="1"/>
    <col min="4" max="4" width="53.6640625" style="2" customWidth="1"/>
    <col min="5" max="5" width="8.5" style="1" customWidth="1"/>
    <col min="6" max="6" width="12.5" style="3" bestFit="1" customWidth="1"/>
    <col min="7" max="7" width="15.33203125" style="8" bestFit="1" customWidth="1"/>
    <col min="8" max="8" width="17.5" style="8" bestFit="1" customWidth="1"/>
    <col min="9" max="9" width="14.5" style="8" bestFit="1" customWidth="1"/>
    <col min="10" max="10" width="17.5" style="8" bestFit="1" customWidth="1"/>
    <col min="11" max="11" width="13.33203125" style="8" bestFit="1" customWidth="1"/>
    <col min="12" max="12" width="14" customWidth="1"/>
    <col min="13" max="13" width="14.5" bestFit="1" customWidth="1"/>
    <col min="14" max="14" width="13.33203125" bestFit="1" customWidth="1"/>
    <col min="16" max="16" width="34.33203125" customWidth="1"/>
  </cols>
  <sheetData>
    <row r="1" spans="1:14" ht="18.75" customHeight="1" thickBot="1">
      <c r="A1" s="1000" t="s">
        <v>40120</v>
      </c>
      <c r="B1" s="1001"/>
      <c r="C1" s="1001"/>
      <c r="D1" s="1001"/>
      <c r="E1" s="1001"/>
      <c r="F1" s="1002"/>
      <c r="G1" s="1003"/>
      <c r="H1" s="1004"/>
      <c r="I1" s="1004"/>
      <c r="J1" s="1004"/>
      <c r="K1" s="1005"/>
      <c r="M1" s="181" cm="1">
        <f t="array" aca="1" ref="M1:N1" ca="1">'Plan Orçamentária'!X530:Y530</f>
        <v>3319298.84</v>
      </c>
      <c r="N1">
        <f ca="1"/>
        <v>0</v>
      </c>
    </row>
    <row r="2" spans="1:14" ht="9" customHeight="1" thickBot="1">
      <c r="A2" s="481"/>
      <c r="B2" s="482"/>
      <c r="C2" s="482"/>
      <c r="D2" s="482"/>
      <c r="E2" s="482"/>
      <c r="F2" s="527"/>
      <c r="G2" s="1006"/>
      <c r="H2" s="1007"/>
      <c r="I2" s="1007"/>
      <c r="J2" s="1007"/>
      <c r="K2" s="1008"/>
    </row>
    <row r="3" spans="1:14" s="17" customFormat="1" ht="15.75" customHeight="1">
      <c r="A3" s="528" t="s">
        <v>27863</v>
      </c>
      <c r="B3" s="1012" t="str">
        <f>Capa!B28</f>
        <v>DELEGACIA SECCIONAL DE POLÍCIA DE JALES</v>
      </c>
      <c r="C3" s="1012"/>
      <c r="D3" s="1012"/>
      <c r="E3" s="1012"/>
      <c r="F3" s="1013"/>
      <c r="G3" s="1006"/>
      <c r="H3" s="1007"/>
      <c r="I3" s="1007"/>
      <c r="J3" s="1007"/>
      <c r="K3" s="1008"/>
      <c r="M3" s="529"/>
    </row>
    <row r="4" spans="1:14" s="17" customFormat="1" ht="16">
      <c r="A4" s="530" t="s">
        <v>27865</v>
      </c>
      <c r="B4" s="1014" t="str">
        <f>Capa!B11</f>
        <v>ADEQUAÇÃO E AMPLIAÇÃO DE IMÓVEL PARA A INSTALAÇÃO DA DELEGACIA DE DEFESA DA MULHER</v>
      </c>
      <c r="C4" s="1014"/>
      <c r="D4" s="1014"/>
      <c r="E4" s="1014"/>
      <c r="F4" s="1015"/>
      <c r="G4" s="1006"/>
      <c r="H4" s="1007"/>
      <c r="I4" s="1007"/>
      <c r="J4" s="1007"/>
      <c r="K4" s="1008"/>
    </row>
    <row r="5" spans="1:14" s="17" customFormat="1" ht="15.75" customHeight="1">
      <c r="A5" s="530" t="s">
        <v>27867</v>
      </c>
      <c r="B5" s="1014" t="str">
        <f>Capa!B29</f>
        <v>RUA TRÊS, S/Nº, CENTRO - JALES/SP</v>
      </c>
      <c r="C5" s="1014"/>
      <c r="D5" s="1014"/>
      <c r="E5" s="1014"/>
      <c r="F5" s="1015"/>
      <c r="G5" s="1006"/>
      <c r="H5" s="1007"/>
      <c r="I5" s="1007"/>
      <c r="J5" s="1007"/>
      <c r="K5" s="1008"/>
    </row>
    <row r="6" spans="1:14" s="17" customFormat="1" ht="48.75" customHeight="1" thickBot="1">
      <c r="A6" s="531" t="s">
        <v>27869</v>
      </c>
      <c r="B6" s="1016" t="str">
        <f>'Plan Orçamentária'!P6</f>
        <v>SINAPI 04/2026 - SEM DESONERAÇÃO - HORISTA=115,01% - MENSALISTA=71,18% 
CDHU 201 02/2026 - SEM DESONERAÇÃO - LEIS SOCIAIS 128,23%
FDE 01/2026 - SEM DESONERAÇÃO - LEIS SOCIAIS 122,00%</v>
      </c>
      <c r="C6" s="1016"/>
      <c r="D6" s="1016"/>
      <c r="E6" s="1016"/>
      <c r="F6" s="1017"/>
      <c r="G6" s="1009"/>
      <c r="H6" s="1010"/>
      <c r="I6" s="1010"/>
      <c r="J6" s="1010"/>
      <c r="K6" s="1011"/>
    </row>
    <row r="7" spans="1:14" ht="6.75" customHeight="1" thickBot="1">
      <c r="A7" s="532"/>
      <c r="B7" s="483"/>
      <c r="C7" s="483"/>
      <c r="D7" s="533"/>
      <c r="E7" s="533"/>
      <c r="F7" s="534"/>
      <c r="G7" s="535"/>
      <c r="H7" s="535"/>
      <c r="I7" s="535"/>
      <c r="J7" s="535"/>
      <c r="K7" s="536"/>
    </row>
    <row r="8" spans="1:14" s="76" customFormat="1" ht="30">
      <c r="A8" s="484" t="s">
        <v>27883</v>
      </c>
      <c r="B8" s="537" t="s">
        <v>27884</v>
      </c>
      <c r="C8" s="537" t="s">
        <v>10493</v>
      </c>
      <c r="D8" s="538" t="s">
        <v>27885</v>
      </c>
      <c r="E8" s="538" t="s">
        <v>27886</v>
      </c>
      <c r="F8" s="539" t="s">
        <v>27887</v>
      </c>
      <c r="G8" s="540" t="s">
        <v>28040</v>
      </c>
      <c r="H8" s="541" t="s">
        <v>41223</v>
      </c>
      <c r="I8" s="541" t="s">
        <v>41224</v>
      </c>
      <c r="J8" s="541" t="s">
        <v>41225</v>
      </c>
      <c r="K8" s="542" t="s">
        <v>41226</v>
      </c>
    </row>
    <row r="9" spans="1:14" hidden="1">
      <c r="A9" s="815"/>
      <c r="B9" s="815"/>
      <c r="C9" s="815"/>
      <c r="D9" s="815"/>
      <c r="E9" s="815"/>
      <c r="F9" s="693"/>
      <c r="G9" s="816"/>
      <c r="H9" s="816"/>
      <c r="I9" s="816"/>
      <c r="J9" s="816"/>
      <c r="K9" s="817" t="str">
        <f>IF($J9="","",IF($J9&lt;=0.8,"A",IF($J9&gt;=0.95,"C","B")))</f>
        <v/>
      </c>
    </row>
    <row r="10" spans="1:14" ht="45">
      <c r="A10" s="818" t="s">
        <v>44932</v>
      </c>
      <c r="B10" s="684" t="s">
        <v>29901</v>
      </c>
      <c r="C10" s="684" t="s">
        <v>17786</v>
      </c>
      <c r="D10" s="819" t="s">
        <v>44931</v>
      </c>
      <c r="E10" s="684" t="s">
        <v>396</v>
      </c>
      <c r="F10" s="694">
        <f xml:space="preserve"> 1</f>
        <v>1</v>
      </c>
      <c r="G10" s="820">
        <v>247043.63</v>
      </c>
      <c r="H10" s="820">
        <v>247043.63</v>
      </c>
      <c r="I10" s="821">
        <f t="shared" ref="I10:I73" si="0">H10 / 3319298.84</f>
        <v>7.4426450255982379E-2</v>
      </c>
      <c r="J10" s="821">
        <f>I10 + J9</f>
        <v>7.4426450255982379E-2</v>
      </c>
      <c r="K10" s="817" t="str">
        <f t="shared" ref="K10:K73" si="1">IF($J10="","",IF($J10&lt;=0.8,"A",IF($J10&gt;=0.95,"C","B")))</f>
        <v>A</v>
      </c>
    </row>
    <row r="11" spans="1:14" ht="75">
      <c r="A11" s="818" t="s">
        <v>41962</v>
      </c>
      <c r="B11" s="684" t="s">
        <v>41227</v>
      </c>
      <c r="C11" s="684" t="s">
        <v>44326</v>
      </c>
      <c r="D11" s="819" t="s">
        <v>44641</v>
      </c>
      <c r="E11" s="684" t="s">
        <v>509</v>
      </c>
      <c r="F11" s="694">
        <f xml:space="preserve"> 1094.84</f>
        <v>1094.8399999999999</v>
      </c>
      <c r="G11" s="820">
        <v>188.06</v>
      </c>
      <c r="H11" s="820">
        <v>205895.61</v>
      </c>
      <c r="I11" s="821">
        <f t="shared" si="0"/>
        <v>6.2029850255965503E-2</v>
      </c>
      <c r="J11" s="821">
        <f t="shared" ref="J11:J74" si="2">I11 + J10</f>
        <v>0.13645630051194788</v>
      </c>
      <c r="K11" s="817" t="str">
        <f t="shared" si="1"/>
        <v>A</v>
      </c>
    </row>
    <row r="12" spans="1:14" ht="30">
      <c r="A12" s="818" t="s">
        <v>44920</v>
      </c>
      <c r="B12" s="684" t="s">
        <v>41261</v>
      </c>
      <c r="C12" s="684" t="s">
        <v>22917</v>
      </c>
      <c r="D12" s="819" t="s">
        <v>22918</v>
      </c>
      <c r="E12" s="684" t="s">
        <v>165</v>
      </c>
      <c r="F12" s="694">
        <f xml:space="preserve"> 34.22 + 50.7</f>
        <v>84.92</v>
      </c>
      <c r="G12" s="820">
        <v>1804.3</v>
      </c>
      <c r="H12" s="820">
        <v>153221.15</v>
      </c>
      <c r="I12" s="821">
        <f t="shared" si="0"/>
        <v>4.6160697600822226E-2</v>
      </c>
      <c r="J12" s="821">
        <f t="shared" si="2"/>
        <v>0.1826169981127701</v>
      </c>
      <c r="K12" s="817" t="str">
        <f t="shared" si="1"/>
        <v>A</v>
      </c>
    </row>
    <row r="13" spans="1:14" ht="30">
      <c r="A13" s="818" t="s">
        <v>44925</v>
      </c>
      <c r="B13" s="684" t="s">
        <v>29901</v>
      </c>
      <c r="C13" s="684" t="s">
        <v>13890</v>
      </c>
      <c r="D13" s="819" t="s">
        <v>42018</v>
      </c>
      <c r="E13" s="684" t="s">
        <v>509</v>
      </c>
      <c r="F13" s="694">
        <f xml:space="preserve"> 2410.2764 + 775.86 + 50.7</f>
        <v>3236.8364000000001</v>
      </c>
      <c r="G13" s="820">
        <v>39.200000000000003</v>
      </c>
      <c r="H13" s="820">
        <v>126883.98</v>
      </c>
      <c r="I13" s="821">
        <f t="shared" si="0"/>
        <v>3.8226139349357285E-2</v>
      </c>
      <c r="J13" s="821">
        <f t="shared" si="2"/>
        <v>0.22084313746212739</v>
      </c>
      <c r="K13" s="817" t="str">
        <f t="shared" si="1"/>
        <v>A</v>
      </c>
    </row>
    <row r="14" spans="1:14">
      <c r="A14" s="818" t="s">
        <v>44613</v>
      </c>
      <c r="B14" s="684" t="s">
        <v>29901</v>
      </c>
      <c r="C14" s="684" t="s">
        <v>13275</v>
      </c>
      <c r="D14" s="819" t="s">
        <v>44612</v>
      </c>
      <c r="E14" s="684" t="s">
        <v>509</v>
      </c>
      <c r="F14" s="694">
        <f xml:space="preserve"> 65.4732</f>
        <v>65.473200000000006</v>
      </c>
      <c r="G14" s="820">
        <v>1357.66</v>
      </c>
      <c r="H14" s="820">
        <v>88890.34</v>
      </c>
      <c r="I14" s="821">
        <f t="shared" si="0"/>
        <v>2.6779854506863262E-2</v>
      </c>
      <c r="J14" s="821">
        <f t="shared" si="2"/>
        <v>0.24762299196899065</v>
      </c>
      <c r="K14" s="817" t="str">
        <f t="shared" si="1"/>
        <v>A</v>
      </c>
    </row>
    <row r="15" spans="1:14" ht="30">
      <c r="A15" s="818" t="s">
        <v>44924</v>
      </c>
      <c r="B15" s="684" t="s">
        <v>29901</v>
      </c>
      <c r="C15" s="684" t="s">
        <v>13840</v>
      </c>
      <c r="D15" s="819" t="s">
        <v>42016</v>
      </c>
      <c r="E15" s="684" t="s">
        <v>509</v>
      </c>
      <c r="F15" s="694">
        <f xml:space="preserve"> 2410.2764 + 775.86 + 50.7</f>
        <v>3236.8364000000001</v>
      </c>
      <c r="G15" s="820">
        <v>23.61</v>
      </c>
      <c r="H15" s="820">
        <v>76421.69</v>
      </c>
      <c r="I15" s="821">
        <f t="shared" si="0"/>
        <v>2.3023443710178264E-2</v>
      </c>
      <c r="J15" s="821">
        <f t="shared" si="2"/>
        <v>0.27064643567916891</v>
      </c>
      <c r="K15" s="817" t="str">
        <f t="shared" si="1"/>
        <v>A</v>
      </c>
    </row>
    <row r="16" spans="1:14" ht="45">
      <c r="A16" s="818" t="s">
        <v>44584</v>
      </c>
      <c r="B16" s="684" t="s">
        <v>29901</v>
      </c>
      <c r="C16" s="684" t="s">
        <v>11656</v>
      </c>
      <c r="D16" s="819" t="s">
        <v>44576</v>
      </c>
      <c r="E16" s="684" t="s">
        <v>509</v>
      </c>
      <c r="F16" s="694">
        <f xml:space="preserve"> 50.4 + 141.49 + 181.29 + 3.79 + 20.34</f>
        <v>397.31</v>
      </c>
      <c r="G16" s="820">
        <v>188.42</v>
      </c>
      <c r="H16" s="820">
        <v>74861.13</v>
      </c>
      <c r="I16" s="821">
        <f t="shared" si="0"/>
        <v>2.2553296225657105E-2</v>
      </c>
      <c r="J16" s="821">
        <f t="shared" si="2"/>
        <v>0.29319973190482601</v>
      </c>
      <c r="K16" s="817" t="str">
        <f t="shared" si="1"/>
        <v>A</v>
      </c>
    </row>
    <row r="17" spans="1:11" ht="30">
      <c r="A17" s="818" t="s">
        <v>44557</v>
      </c>
      <c r="B17" s="684" t="s">
        <v>44308</v>
      </c>
      <c r="C17" s="684" t="s">
        <v>44309</v>
      </c>
      <c r="D17" s="819" t="s">
        <v>44310</v>
      </c>
      <c r="E17" s="684" t="s">
        <v>11</v>
      </c>
      <c r="F17" s="694">
        <f xml:space="preserve"> 440</f>
        <v>440</v>
      </c>
      <c r="G17" s="820">
        <v>162.99</v>
      </c>
      <c r="H17" s="820">
        <v>71715.600000000006</v>
      </c>
      <c r="I17" s="821">
        <f t="shared" si="0"/>
        <v>2.1605647293872463E-2</v>
      </c>
      <c r="J17" s="821">
        <f t="shared" si="2"/>
        <v>0.3148053791986985</v>
      </c>
      <c r="K17" s="817" t="str">
        <f t="shared" si="1"/>
        <v>A</v>
      </c>
    </row>
    <row r="18" spans="1:11" ht="30">
      <c r="A18" s="818" t="s">
        <v>41913</v>
      </c>
      <c r="B18" s="684" t="s">
        <v>29901</v>
      </c>
      <c r="C18" s="684" t="s">
        <v>12764</v>
      </c>
      <c r="D18" s="819" t="s">
        <v>44628</v>
      </c>
      <c r="E18" s="684" t="s">
        <v>509</v>
      </c>
      <c r="F18" s="694">
        <f xml:space="preserve"> 447.73</f>
        <v>447.73</v>
      </c>
      <c r="G18" s="820">
        <v>159.04</v>
      </c>
      <c r="H18" s="820">
        <v>71206.97</v>
      </c>
      <c r="I18" s="821">
        <f t="shared" si="0"/>
        <v>2.1452413124694734E-2</v>
      </c>
      <c r="J18" s="821">
        <f t="shared" si="2"/>
        <v>0.33625779232339326</v>
      </c>
      <c r="K18" s="817" t="str">
        <f t="shared" si="1"/>
        <v>A</v>
      </c>
    </row>
    <row r="19" spans="1:11">
      <c r="A19" s="818" t="s">
        <v>41903</v>
      </c>
      <c r="B19" s="684" t="s">
        <v>29901</v>
      </c>
      <c r="C19" s="684" t="s">
        <v>11993</v>
      </c>
      <c r="D19" s="819" t="s">
        <v>41887</v>
      </c>
      <c r="E19" s="684" t="s">
        <v>509</v>
      </c>
      <c r="F19" s="694">
        <f xml:space="preserve"> 564.94</f>
        <v>564.94000000000005</v>
      </c>
      <c r="G19" s="820">
        <v>125.24</v>
      </c>
      <c r="H19" s="820">
        <v>70753.08</v>
      </c>
      <c r="I19" s="821">
        <f t="shared" si="0"/>
        <v>2.1315670390196023E-2</v>
      </c>
      <c r="J19" s="821">
        <f t="shared" si="2"/>
        <v>0.35757346271358925</v>
      </c>
      <c r="K19" s="817" t="str">
        <f t="shared" si="1"/>
        <v>A</v>
      </c>
    </row>
    <row r="20" spans="1:11" ht="30">
      <c r="A20" s="818" t="s">
        <v>44779</v>
      </c>
      <c r="B20" s="684" t="s">
        <v>29901</v>
      </c>
      <c r="C20" s="684" t="s">
        <v>15107</v>
      </c>
      <c r="D20" s="819" t="s">
        <v>44778</v>
      </c>
      <c r="E20" s="684" t="s">
        <v>165</v>
      </c>
      <c r="F20" s="694">
        <f xml:space="preserve"> 768.7</f>
        <v>768.7</v>
      </c>
      <c r="G20" s="820">
        <v>91.11</v>
      </c>
      <c r="H20" s="820">
        <v>70036.25</v>
      </c>
      <c r="I20" s="821">
        <f t="shared" si="0"/>
        <v>2.1099712130770366E-2</v>
      </c>
      <c r="J20" s="821">
        <f t="shared" si="2"/>
        <v>0.37867317484435964</v>
      </c>
      <c r="K20" s="817" t="str">
        <f t="shared" si="1"/>
        <v>A</v>
      </c>
    </row>
    <row r="21" spans="1:11" ht="30">
      <c r="A21" s="818" t="s">
        <v>41896</v>
      </c>
      <c r="B21" s="684" t="s">
        <v>29901</v>
      </c>
      <c r="C21" s="684" t="s">
        <v>12136</v>
      </c>
      <c r="D21" s="819" t="s">
        <v>41830</v>
      </c>
      <c r="E21" s="684" t="s">
        <v>207</v>
      </c>
      <c r="F21" s="694">
        <f xml:space="preserve"> 1939.78</f>
        <v>1939.78</v>
      </c>
      <c r="G21" s="820">
        <v>35.67</v>
      </c>
      <c r="H21" s="820">
        <v>69191.95</v>
      </c>
      <c r="I21" s="821">
        <f t="shared" si="0"/>
        <v>2.0845351182661214E-2</v>
      </c>
      <c r="J21" s="821">
        <f t="shared" si="2"/>
        <v>0.39951852602702087</v>
      </c>
      <c r="K21" s="817" t="str">
        <f t="shared" si="1"/>
        <v>A</v>
      </c>
    </row>
    <row r="22" spans="1:11">
      <c r="A22" s="818" t="s">
        <v>41905</v>
      </c>
      <c r="B22" s="684" t="s">
        <v>29901</v>
      </c>
      <c r="C22" s="684" t="s">
        <v>13225</v>
      </c>
      <c r="D22" s="819" t="s">
        <v>41890</v>
      </c>
      <c r="E22" s="684" t="s">
        <v>509</v>
      </c>
      <c r="F22" s="694">
        <f xml:space="preserve"> 53.23</f>
        <v>53.23</v>
      </c>
      <c r="G22" s="820">
        <v>1283.1500000000001</v>
      </c>
      <c r="H22" s="820">
        <v>68302.070000000007</v>
      </c>
      <c r="I22" s="821">
        <f t="shared" si="0"/>
        <v>2.0577258418829205E-2</v>
      </c>
      <c r="J22" s="821">
        <f t="shared" si="2"/>
        <v>0.42009578444585005</v>
      </c>
      <c r="K22" s="817" t="str">
        <f t="shared" si="1"/>
        <v>A</v>
      </c>
    </row>
    <row r="23" spans="1:11" ht="30">
      <c r="A23" s="818" t="s">
        <v>44922</v>
      </c>
      <c r="B23" s="684" t="s">
        <v>29901</v>
      </c>
      <c r="C23" s="684" t="s">
        <v>12326</v>
      </c>
      <c r="D23" s="819" t="s">
        <v>41897</v>
      </c>
      <c r="E23" s="684" t="s">
        <v>509</v>
      </c>
      <c r="F23" s="694">
        <f xml:space="preserve"> 1495.262 + 232.7 + 50.7</f>
        <v>1778.662</v>
      </c>
      <c r="G23" s="820">
        <v>30.33</v>
      </c>
      <c r="H23" s="820">
        <v>53946.81</v>
      </c>
      <c r="I23" s="821">
        <f t="shared" si="0"/>
        <v>1.6252471561132471E-2</v>
      </c>
      <c r="J23" s="821">
        <f t="shared" si="2"/>
        <v>0.43634825600698252</v>
      </c>
      <c r="K23" s="817" t="str">
        <f t="shared" si="1"/>
        <v>A</v>
      </c>
    </row>
    <row r="24" spans="1:11">
      <c r="A24" s="818" t="s">
        <v>44904</v>
      </c>
      <c r="B24" s="684" t="s">
        <v>29901</v>
      </c>
      <c r="C24" s="684" t="s">
        <v>13870</v>
      </c>
      <c r="D24" s="819" t="s">
        <v>44903</v>
      </c>
      <c r="E24" s="684" t="s">
        <v>509</v>
      </c>
      <c r="F24" s="694">
        <f xml:space="preserve"> 1435</f>
        <v>1435</v>
      </c>
      <c r="G24" s="820">
        <v>35.1</v>
      </c>
      <c r="H24" s="820">
        <v>50368.5</v>
      </c>
      <c r="I24" s="821">
        <f t="shared" si="0"/>
        <v>1.517443967172296E-2</v>
      </c>
      <c r="J24" s="821">
        <f t="shared" si="2"/>
        <v>0.45152269567870545</v>
      </c>
      <c r="K24" s="817" t="str">
        <f t="shared" si="1"/>
        <v>A</v>
      </c>
    </row>
    <row r="25" spans="1:11" ht="45">
      <c r="A25" s="818" t="s">
        <v>44601</v>
      </c>
      <c r="B25" s="684" t="s">
        <v>29901</v>
      </c>
      <c r="C25" s="684" t="s">
        <v>12065</v>
      </c>
      <c r="D25" s="819" t="s">
        <v>44600</v>
      </c>
      <c r="E25" s="684" t="s">
        <v>509</v>
      </c>
      <c r="F25" s="694">
        <f xml:space="preserve"> 151.08</f>
        <v>151.08000000000001</v>
      </c>
      <c r="G25" s="820">
        <v>321.83999999999997</v>
      </c>
      <c r="H25" s="820">
        <v>48623.58</v>
      </c>
      <c r="I25" s="821">
        <f t="shared" si="0"/>
        <v>1.4648750336682552E-2</v>
      </c>
      <c r="J25" s="821">
        <f t="shared" si="2"/>
        <v>0.46617144601538801</v>
      </c>
      <c r="K25" s="817" t="str">
        <f t="shared" si="1"/>
        <v>A</v>
      </c>
    </row>
    <row r="26" spans="1:11" ht="75">
      <c r="A26" s="818" t="s">
        <v>44585</v>
      </c>
      <c r="B26" s="684" t="s">
        <v>29901</v>
      </c>
      <c r="C26" s="684" t="s">
        <v>11685</v>
      </c>
      <c r="D26" s="819" t="s">
        <v>41822</v>
      </c>
      <c r="E26" s="684" t="s">
        <v>207</v>
      </c>
      <c r="F26" s="694">
        <f xml:space="preserve"> 614.1 + 329 + 532.9 + 38.1 + 4.32 + 839.4 + 1081.6 + 15.3 + 377.95</f>
        <v>3832.6699999999996</v>
      </c>
      <c r="G26" s="820">
        <v>12.42</v>
      </c>
      <c r="H26" s="820">
        <v>47601.72</v>
      </c>
      <c r="I26" s="821">
        <f t="shared" si="0"/>
        <v>1.4340896163480117E-2</v>
      </c>
      <c r="J26" s="821">
        <f t="shared" si="2"/>
        <v>0.48051234217886812</v>
      </c>
      <c r="K26" s="817" t="str">
        <f t="shared" si="1"/>
        <v>A</v>
      </c>
    </row>
    <row r="27" spans="1:11" ht="45">
      <c r="A27" s="818" t="s">
        <v>44604</v>
      </c>
      <c r="B27" s="684" t="s">
        <v>29901</v>
      </c>
      <c r="C27" s="684" t="s">
        <v>13136</v>
      </c>
      <c r="D27" s="819" t="s">
        <v>44603</v>
      </c>
      <c r="E27" s="684" t="s">
        <v>509</v>
      </c>
      <c r="F27" s="694">
        <f xml:space="preserve"> 9.8832</f>
        <v>9.8832000000000004</v>
      </c>
      <c r="G27" s="820">
        <v>4812.71</v>
      </c>
      <c r="H27" s="820">
        <v>47564.97</v>
      </c>
      <c r="I27" s="821">
        <f t="shared" si="0"/>
        <v>1.4329824548126556E-2</v>
      </c>
      <c r="J27" s="821">
        <f t="shared" si="2"/>
        <v>0.49484216672699466</v>
      </c>
      <c r="K27" s="817" t="str">
        <f t="shared" si="1"/>
        <v>A</v>
      </c>
    </row>
    <row r="28" spans="1:11" ht="30">
      <c r="A28" s="818" t="s">
        <v>44580</v>
      </c>
      <c r="B28" s="684" t="s">
        <v>41227</v>
      </c>
      <c r="C28" s="684" t="s">
        <v>44537</v>
      </c>
      <c r="D28" s="819" t="s">
        <v>44579</v>
      </c>
      <c r="E28" s="684" t="s">
        <v>509</v>
      </c>
      <c r="F28" s="694">
        <f xml:space="preserve"> 141.17</f>
        <v>141.16999999999999</v>
      </c>
      <c r="G28" s="820">
        <v>289.83</v>
      </c>
      <c r="H28" s="820">
        <v>40915.300000000003</v>
      </c>
      <c r="I28" s="821">
        <f t="shared" si="0"/>
        <v>1.2326488807497671E-2</v>
      </c>
      <c r="J28" s="821">
        <f t="shared" si="2"/>
        <v>0.50716865553449231</v>
      </c>
      <c r="K28" s="817" t="str">
        <f t="shared" si="1"/>
        <v>A</v>
      </c>
    </row>
    <row r="29" spans="1:11" ht="75">
      <c r="A29" s="818" t="s">
        <v>44635</v>
      </c>
      <c r="B29" s="684" t="s">
        <v>29901</v>
      </c>
      <c r="C29" s="684" t="s">
        <v>12519</v>
      </c>
      <c r="D29" s="819" t="s">
        <v>44634</v>
      </c>
      <c r="E29" s="684" t="s">
        <v>509</v>
      </c>
      <c r="F29" s="694">
        <f xml:space="preserve"> 219.69</f>
        <v>219.69</v>
      </c>
      <c r="G29" s="820">
        <v>185.09</v>
      </c>
      <c r="H29" s="820">
        <v>40662.42</v>
      </c>
      <c r="I29" s="821">
        <f t="shared" si="0"/>
        <v>1.2250304043127373E-2</v>
      </c>
      <c r="J29" s="821">
        <f t="shared" si="2"/>
        <v>0.51941895957761963</v>
      </c>
      <c r="K29" s="817" t="str">
        <f t="shared" si="1"/>
        <v>A</v>
      </c>
    </row>
    <row r="30" spans="1:11">
      <c r="A30" s="818" t="s">
        <v>41828</v>
      </c>
      <c r="B30" s="684" t="s">
        <v>29901</v>
      </c>
      <c r="C30" s="684" t="s">
        <v>10878</v>
      </c>
      <c r="D30" s="819" t="s">
        <v>44563</v>
      </c>
      <c r="E30" s="684" t="s">
        <v>133</v>
      </c>
      <c r="F30" s="694">
        <f xml:space="preserve"> 1110</f>
        <v>1110</v>
      </c>
      <c r="G30" s="820">
        <v>34.71</v>
      </c>
      <c r="H30" s="820">
        <v>38528.1</v>
      </c>
      <c r="I30" s="821">
        <f t="shared" si="0"/>
        <v>1.1607300775605971E-2</v>
      </c>
      <c r="J30" s="821">
        <f t="shared" si="2"/>
        <v>0.53102626035322564</v>
      </c>
      <c r="K30" s="817" t="str">
        <f t="shared" si="1"/>
        <v>A</v>
      </c>
    </row>
    <row r="31" spans="1:11" ht="30">
      <c r="A31" s="818" t="s">
        <v>42025</v>
      </c>
      <c r="B31" s="684" t="s">
        <v>29901</v>
      </c>
      <c r="C31" s="684" t="s">
        <v>15880</v>
      </c>
      <c r="D31" s="819" t="s">
        <v>44874</v>
      </c>
      <c r="E31" s="684" t="s">
        <v>396</v>
      </c>
      <c r="F31" s="694">
        <f xml:space="preserve"> 6</f>
        <v>6</v>
      </c>
      <c r="G31" s="820">
        <v>6412.93</v>
      </c>
      <c r="H31" s="820">
        <v>38477.58</v>
      </c>
      <c r="I31" s="821">
        <f t="shared" si="0"/>
        <v>1.1592080693764833E-2</v>
      </c>
      <c r="J31" s="821">
        <f t="shared" si="2"/>
        <v>0.54261834104699047</v>
      </c>
      <c r="K31" s="817" t="str">
        <f t="shared" si="1"/>
        <v>A</v>
      </c>
    </row>
    <row r="32" spans="1:11" ht="30">
      <c r="A32" s="818" t="s">
        <v>44767</v>
      </c>
      <c r="B32" s="684" t="s">
        <v>29901</v>
      </c>
      <c r="C32" s="684" t="s">
        <v>14925</v>
      </c>
      <c r="D32" s="819" t="s">
        <v>41959</v>
      </c>
      <c r="E32" s="684" t="s">
        <v>165</v>
      </c>
      <c r="F32" s="694">
        <f xml:space="preserve"> 6060.9</f>
        <v>6060.9</v>
      </c>
      <c r="G32" s="820">
        <v>5.96</v>
      </c>
      <c r="H32" s="820">
        <v>36122.959999999999</v>
      </c>
      <c r="I32" s="821">
        <f t="shared" si="0"/>
        <v>1.0882707987811064E-2</v>
      </c>
      <c r="J32" s="821">
        <f t="shared" si="2"/>
        <v>0.55350104903480157</v>
      </c>
      <c r="K32" s="817" t="str">
        <f t="shared" si="1"/>
        <v>A</v>
      </c>
    </row>
    <row r="33" spans="1:11">
      <c r="A33" s="818" t="s">
        <v>41893</v>
      </c>
      <c r="B33" s="684" t="s">
        <v>29901</v>
      </c>
      <c r="C33" s="684" t="s">
        <v>11841</v>
      </c>
      <c r="D33" s="819" t="s">
        <v>44569</v>
      </c>
      <c r="E33" s="684" t="s">
        <v>165</v>
      </c>
      <c r="F33" s="694">
        <f xml:space="preserve"> 357</f>
        <v>357</v>
      </c>
      <c r="G33" s="820">
        <v>95.35</v>
      </c>
      <c r="H33" s="820">
        <v>34039.949999999997</v>
      </c>
      <c r="I33" s="821">
        <f t="shared" si="0"/>
        <v>1.0255162804202347E-2</v>
      </c>
      <c r="J33" s="821">
        <f t="shared" si="2"/>
        <v>0.56375621183900393</v>
      </c>
      <c r="K33" s="817" t="str">
        <f t="shared" si="1"/>
        <v>A</v>
      </c>
    </row>
    <row r="34" spans="1:11" ht="30">
      <c r="A34" s="818" t="s">
        <v>41829</v>
      </c>
      <c r="B34" s="684" t="s">
        <v>29901</v>
      </c>
      <c r="C34" s="684" t="s">
        <v>10868</v>
      </c>
      <c r="D34" s="819" t="s">
        <v>44564</v>
      </c>
      <c r="E34" s="684" t="s">
        <v>165</v>
      </c>
      <c r="F34" s="694">
        <f xml:space="preserve"> 1998</f>
        <v>1998</v>
      </c>
      <c r="G34" s="820">
        <v>16.91</v>
      </c>
      <c r="H34" s="820">
        <v>33786.18</v>
      </c>
      <c r="I34" s="821">
        <f t="shared" si="0"/>
        <v>1.0178709910916005E-2</v>
      </c>
      <c r="J34" s="821">
        <f t="shared" si="2"/>
        <v>0.57393492174991989</v>
      </c>
      <c r="K34" s="817" t="str">
        <f t="shared" si="1"/>
        <v>A</v>
      </c>
    </row>
    <row r="35" spans="1:11" ht="30">
      <c r="A35" s="818" t="s">
        <v>44878</v>
      </c>
      <c r="B35" s="684" t="s">
        <v>29901</v>
      </c>
      <c r="C35" s="684" t="s">
        <v>15870</v>
      </c>
      <c r="D35" s="819" t="s">
        <v>44877</v>
      </c>
      <c r="E35" s="684" t="s">
        <v>396</v>
      </c>
      <c r="F35" s="694">
        <f xml:space="preserve"> 2</f>
        <v>2</v>
      </c>
      <c r="G35" s="820">
        <v>16613.650000000001</v>
      </c>
      <c r="H35" s="820">
        <v>33227.300000000003</v>
      </c>
      <c r="I35" s="821">
        <f t="shared" si="0"/>
        <v>1.0010337002377287E-2</v>
      </c>
      <c r="J35" s="821">
        <f t="shared" si="2"/>
        <v>0.58394525875229719</v>
      </c>
      <c r="K35" s="817" t="str">
        <f t="shared" si="1"/>
        <v>A</v>
      </c>
    </row>
    <row r="36" spans="1:11" ht="45">
      <c r="A36" s="818" t="s">
        <v>44919</v>
      </c>
      <c r="B36" s="684" t="s">
        <v>29901</v>
      </c>
      <c r="C36" s="684" t="s">
        <v>11415</v>
      </c>
      <c r="D36" s="819" t="s">
        <v>44555</v>
      </c>
      <c r="E36" s="684" t="s">
        <v>121</v>
      </c>
      <c r="F36" s="694">
        <f xml:space="preserve"> 34.995375 + 22.620312 + 177.548</f>
        <v>235.16368700000001</v>
      </c>
      <c r="G36" s="820">
        <v>138</v>
      </c>
      <c r="H36" s="820">
        <v>32452.58</v>
      </c>
      <c r="I36" s="821">
        <f t="shared" si="0"/>
        <v>9.7769383126708777E-3</v>
      </c>
      <c r="J36" s="821">
        <f t="shared" si="2"/>
        <v>0.59372219706496809</v>
      </c>
      <c r="K36" s="817" t="str">
        <f t="shared" si="1"/>
        <v>A</v>
      </c>
    </row>
    <row r="37" spans="1:11" ht="30">
      <c r="A37" s="818" t="s">
        <v>44729</v>
      </c>
      <c r="B37" s="684" t="s">
        <v>29901</v>
      </c>
      <c r="C37" s="684" t="s">
        <v>14683</v>
      </c>
      <c r="D37" s="819" t="s">
        <v>41943</v>
      </c>
      <c r="E37" s="684" t="s">
        <v>165</v>
      </c>
      <c r="F37" s="694">
        <f xml:space="preserve"> 571.4</f>
        <v>571.4</v>
      </c>
      <c r="G37" s="820">
        <v>56.42</v>
      </c>
      <c r="H37" s="820">
        <v>32238.38</v>
      </c>
      <c r="I37" s="821">
        <f t="shared" si="0"/>
        <v>9.7124066117529814E-3</v>
      </c>
      <c r="J37" s="821">
        <f t="shared" si="2"/>
        <v>0.60343460367672108</v>
      </c>
      <c r="K37" s="817" t="str">
        <f t="shared" si="1"/>
        <v>A</v>
      </c>
    </row>
    <row r="38" spans="1:11" ht="30">
      <c r="A38" s="818" t="s">
        <v>44923</v>
      </c>
      <c r="B38" s="684" t="s">
        <v>29901</v>
      </c>
      <c r="C38" s="684" t="s">
        <v>12332</v>
      </c>
      <c r="D38" s="819" t="s">
        <v>22187</v>
      </c>
      <c r="E38" s="684" t="s">
        <v>509</v>
      </c>
      <c r="F38" s="694">
        <f xml:space="preserve"> 1495.262 + 232.7 + 50.7</f>
        <v>1778.662</v>
      </c>
      <c r="G38" s="820">
        <v>17.82</v>
      </c>
      <c r="H38" s="820">
        <v>31695.74</v>
      </c>
      <c r="I38" s="821">
        <f t="shared" si="0"/>
        <v>9.5489263027609787E-3</v>
      </c>
      <c r="J38" s="821">
        <f t="shared" si="2"/>
        <v>0.61298352997948202</v>
      </c>
      <c r="K38" s="817" t="str">
        <f t="shared" si="1"/>
        <v>A</v>
      </c>
    </row>
    <row r="39" spans="1:11" ht="30">
      <c r="A39" s="818" t="s">
        <v>41951</v>
      </c>
      <c r="B39" s="684" t="s">
        <v>29901</v>
      </c>
      <c r="C39" s="684" t="s">
        <v>12573</v>
      </c>
      <c r="D39" s="819" t="s">
        <v>44636</v>
      </c>
      <c r="E39" s="684" t="s">
        <v>165</v>
      </c>
      <c r="F39" s="694">
        <f xml:space="preserve"> 59.4</f>
        <v>59.4</v>
      </c>
      <c r="G39" s="820">
        <v>529.87</v>
      </c>
      <c r="H39" s="820">
        <v>31474.27</v>
      </c>
      <c r="I39" s="821">
        <f t="shared" si="0"/>
        <v>9.4822043802479695E-3</v>
      </c>
      <c r="J39" s="821">
        <f t="shared" si="2"/>
        <v>0.62246573435972996</v>
      </c>
      <c r="K39" s="817" t="str">
        <f t="shared" si="1"/>
        <v>A</v>
      </c>
    </row>
    <row r="40" spans="1:11" ht="45">
      <c r="A40" s="818" t="s">
        <v>44921</v>
      </c>
      <c r="B40" s="684" t="s">
        <v>29901</v>
      </c>
      <c r="C40" s="684" t="s">
        <v>13990</v>
      </c>
      <c r="D40" s="819" t="s">
        <v>44607</v>
      </c>
      <c r="E40" s="684" t="s">
        <v>509</v>
      </c>
      <c r="F40" s="694">
        <f xml:space="preserve"> 7.36 + 7.25</f>
        <v>14.61</v>
      </c>
      <c r="G40" s="820">
        <v>2091.1799999999998</v>
      </c>
      <c r="H40" s="820">
        <v>30552.13</v>
      </c>
      <c r="I40" s="821">
        <f t="shared" si="0"/>
        <v>9.2043926963804208E-3</v>
      </c>
      <c r="J40" s="821">
        <f t="shared" si="2"/>
        <v>0.63167012705611036</v>
      </c>
      <c r="K40" s="817" t="str">
        <f t="shared" si="1"/>
        <v>A</v>
      </c>
    </row>
    <row r="41" spans="1:11" ht="60">
      <c r="A41" s="818" t="s">
        <v>44586</v>
      </c>
      <c r="B41" s="684" t="s">
        <v>29901</v>
      </c>
      <c r="C41" s="684" t="s">
        <v>11705</v>
      </c>
      <c r="D41" s="819" t="s">
        <v>44570</v>
      </c>
      <c r="E41" s="684" t="s">
        <v>121</v>
      </c>
      <c r="F41" s="694">
        <f xml:space="preserve"> 7.41 + 9.1 + 0.57 + 3.78 + 7.22 + 14.29 + 0.57 + 2.97</f>
        <v>45.91</v>
      </c>
      <c r="G41" s="820">
        <v>663.5</v>
      </c>
      <c r="H41" s="820">
        <v>30461.26</v>
      </c>
      <c r="I41" s="821">
        <f t="shared" si="0"/>
        <v>9.1770164327837373E-3</v>
      </c>
      <c r="J41" s="821">
        <f t="shared" si="2"/>
        <v>0.64084714348889416</v>
      </c>
      <c r="K41" s="817" t="str">
        <f t="shared" si="1"/>
        <v>A</v>
      </c>
    </row>
    <row r="42" spans="1:11">
      <c r="A42" s="818" t="s">
        <v>44862</v>
      </c>
      <c r="B42" s="684" t="s">
        <v>29901</v>
      </c>
      <c r="C42" s="684" t="s">
        <v>16391</v>
      </c>
      <c r="D42" s="819" t="s">
        <v>44861</v>
      </c>
      <c r="E42" s="684" t="s">
        <v>165</v>
      </c>
      <c r="F42" s="694">
        <f xml:space="preserve"> 99.16</f>
        <v>99.16</v>
      </c>
      <c r="G42" s="820">
        <v>300.18</v>
      </c>
      <c r="H42" s="820">
        <v>29765.84</v>
      </c>
      <c r="I42" s="821">
        <f t="shared" si="0"/>
        <v>8.9675083307654228E-3</v>
      </c>
      <c r="J42" s="821">
        <f t="shared" si="2"/>
        <v>0.64981465181965958</v>
      </c>
      <c r="K42" s="817" t="str">
        <f t="shared" si="1"/>
        <v>A</v>
      </c>
    </row>
    <row r="43" spans="1:11" ht="30">
      <c r="A43" s="818" t="s">
        <v>44582</v>
      </c>
      <c r="B43" s="684" t="s">
        <v>41227</v>
      </c>
      <c r="C43" s="684" t="s">
        <v>44539</v>
      </c>
      <c r="D43" s="819" t="s">
        <v>44581</v>
      </c>
      <c r="E43" s="684" t="s">
        <v>509</v>
      </c>
      <c r="F43" s="694">
        <f xml:space="preserve"> 87.36</f>
        <v>87.36</v>
      </c>
      <c r="G43" s="820">
        <v>316.95999999999998</v>
      </c>
      <c r="H43" s="820">
        <v>27689.62</v>
      </c>
      <c r="I43" s="821">
        <f t="shared" si="0"/>
        <v>8.3420087598982205E-3</v>
      </c>
      <c r="J43" s="821">
        <f t="shared" si="2"/>
        <v>0.6581566605795578</v>
      </c>
      <c r="K43" s="817" t="str">
        <f t="shared" si="1"/>
        <v>A</v>
      </c>
    </row>
    <row r="44" spans="1:11" ht="30">
      <c r="A44" s="818" t="s">
        <v>44598</v>
      </c>
      <c r="B44" s="684" t="s">
        <v>29901</v>
      </c>
      <c r="C44" s="684" t="s">
        <v>12002</v>
      </c>
      <c r="D44" s="819" t="s">
        <v>44597</v>
      </c>
      <c r="E44" s="684" t="s">
        <v>509</v>
      </c>
      <c r="F44" s="694">
        <f xml:space="preserve"> 163.87</f>
        <v>163.87</v>
      </c>
      <c r="G44" s="820">
        <v>147.13</v>
      </c>
      <c r="H44" s="820">
        <v>24110.19</v>
      </c>
      <c r="I44" s="821">
        <f t="shared" si="0"/>
        <v>7.2636394498303142E-3</v>
      </c>
      <c r="J44" s="821">
        <f t="shared" si="2"/>
        <v>0.66542030002938812</v>
      </c>
      <c r="K44" s="817" t="str">
        <f t="shared" si="1"/>
        <v>A</v>
      </c>
    </row>
    <row r="45" spans="1:11">
      <c r="A45" s="818" t="s">
        <v>44606</v>
      </c>
      <c r="B45" s="684" t="s">
        <v>29901</v>
      </c>
      <c r="C45" s="684" t="s">
        <v>13049</v>
      </c>
      <c r="D45" s="819" t="s">
        <v>44605</v>
      </c>
      <c r="E45" s="684" t="s">
        <v>509</v>
      </c>
      <c r="F45" s="694">
        <f xml:space="preserve"> 17.94</f>
        <v>17.940000000000001</v>
      </c>
      <c r="G45" s="820">
        <v>1301.68</v>
      </c>
      <c r="H45" s="820">
        <v>23352.13</v>
      </c>
      <c r="I45" s="821">
        <f t="shared" si="0"/>
        <v>7.0352598924175213E-3</v>
      </c>
      <c r="J45" s="821">
        <f t="shared" si="2"/>
        <v>0.67245555992180561</v>
      </c>
      <c r="K45" s="817" t="str">
        <f t="shared" si="1"/>
        <v>A</v>
      </c>
    </row>
    <row r="46" spans="1:11" ht="30">
      <c r="A46" s="818" t="s">
        <v>44885</v>
      </c>
      <c r="B46" s="684" t="s">
        <v>29901</v>
      </c>
      <c r="C46" s="684" t="s">
        <v>16913</v>
      </c>
      <c r="D46" s="819" t="s">
        <v>42002</v>
      </c>
      <c r="E46" s="684" t="s">
        <v>165</v>
      </c>
      <c r="F46" s="694">
        <f xml:space="preserve"> 110.43</f>
        <v>110.43</v>
      </c>
      <c r="G46" s="820">
        <v>208.59</v>
      </c>
      <c r="H46" s="820">
        <v>23034.59</v>
      </c>
      <c r="I46" s="821">
        <f t="shared" si="0"/>
        <v>6.939595110393857E-3</v>
      </c>
      <c r="J46" s="821">
        <f t="shared" si="2"/>
        <v>0.67939515503219949</v>
      </c>
      <c r="K46" s="817" t="str">
        <f t="shared" si="1"/>
        <v>A</v>
      </c>
    </row>
    <row r="47" spans="1:11" ht="30">
      <c r="A47" s="818" t="s">
        <v>41902</v>
      </c>
      <c r="B47" s="684" t="s">
        <v>29901</v>
      </c>
      <c r="C47" s="684" t="s">
        <v>12258</v>
      </c>
      <c r="D47" s="819" t="s">
        <v>44593</v>
      </c>
      <c r="E47" s="684" t="s">
        <v>509</v>
      </c>
      <c r="F47" s="694">
        <f xml:space="preserve"> 67.03</f>
        <v>67.03</v>
      </c>
      <c r="G47" s="820">
        <v>326.42</v>
      </c>
      <c r="H47" s="820">
        <v>21879.93</v>
      </c>
      <c r="I47" s="821">
        <f t="shared" si="0"/>
        <v>6.5917324876961069E-3</v>
      </c>
      <c r="J47" s="821">
        <f t="shared" si="2"/>
        <v>0.68598688751989556</v>
      </c>
      <c r="K47" s="817" t="str">
        <f t="shared" si="1"/>
        <v>A</v>
      </c>
    </row>
    <row r="48" spans="1:11" ht="30">
      <c r="A48" s="818" t="s">
        <v>44574</v>
      </c>
      <c r="B48" s="684" t="s">
        <v>29901</v>
      </c>
      <c r="C48" s="684" t="s">
        <v>11632</v>
      </c>
      <c r="D48" s="819" t="s">
        <v>41817</v>
      </c>
      <c r="E48" s="684" t="s">
        <v>509</v>
      </c>
      <c r="F48" s="694">
        <f xml:space="preserve"> 35.15 + 121.76 + 3.79</f>
        <v>160.69999999999999</v>
      </c>
      <c r="G48" s="820">
        <v>134.27000000000001</v>
      </c>
      <c r="H48" s="820">
        <v>21577.18</v>
      </c>
      <c r="I48" s="821">
        <f t="shared" si="0"/>
        <v>6.5005234659739168E-3</v>
      </c>
      <c r="J48" s="821">
        <f t="shared" si="2"/>
        <v>0.69248741098586952</v>
      </c>
      <c r="K48" s="817" t="str">
        <f t="shared" si="1"/>
        <v>A</v>
      </c>
    </row>
    <row r="49" spans="1:11" ht="45">
      <c r="A49" s="818" t="s">
        <v>41900</v>
      </c>
      <c r="B49" s="684" t="s">
        <v>29901</v>
      </c>
      <c r="C49" s="684" t="s">
        <v>12232</v>
      </c>
      <c r="D49" s="819" t="s">
        <v>44592</v>
      </c>
      <c r="E49" s="684" t="s">
        <v>509</v>
      </c>
      <c r="F49" s="694">
        <f xml:space="preserve"> 118.41</f>
        <v>118.41</v>
      </c>
      <c r="G49" s="820">
        <v>178.38</v>
      </c>
      <c r="H49" s="820">
        <v>21121.97</v>
      </c>
      <c r="I49" s="821">
        <f t="shared" si="0"/>
        <v>6.3633830571278123E-3</v>
      </c>
      <c r="J49" s="821">
        <f t="shared" si="2"/>
        <v>0.69885079404299733</v>
      </c>
      <c r="K49" s="817" t="str">
        <f t="shared" si="1"/>
        <v>A</v>
      </c>
    </row>
    <row r="50" spans="1:11" ht="30">
      <c r="A50" s="818" t="s">
        <v>44876</v>
      </c>
      <c r="B50" s="684" t="s">
        <v>29901</v>
      </c>
      <c r="C50" s="684" t="s">
        <v>15882</v>
      </c>
      <c r="D50" s="819" t="s">
        <v>44875</v>
      </c>
      <c r="E50" s="684" t="s">
        <v>396</v>
      </c>
      <c r="F50" s="694">
        <f xml:space="preserve"> 2</f>
        <v>2</v>
      </c>
      <c r="G50" s="820">
        <v>9975.11</v>
      </c>
      <c r="H50" s="820">
        <v>19950.22</v>
      </c>
      <c r="I50" s="821">
        <f t="shared" si="0"/>
        <v>6.0103717567051001E-3</v>
      </c>
      <c r="J50" s="821">
        <f t="shared" si="2"/>
        <v>0.70486116579970237</v>
      </c>
      <c r="K50" s="817" t="str">
        <f t="shared" si="1"/>
        <v>A</v>
      </c>
    </row>
    <row r="51" spans="1:11" ht="30">
      <c r="A51" s="818" t="s">
        <v>44596</v>
      </c>
      <c r="B51" s="684" t="s">
        <v>29901</v>
      </c>
      <c r="C51" s="684" t="s">
        <v>12266</v>
      </c>
      <c r="D51" s="819" t="s">
        <v>41831</v>
      </c>
      <c r="E51" s="684" t="s">
        <v>165</v>
      </c>
      <c r="F51" s="694">
        <f xml:space="preserve"> 99.9</f>
        <v>99.9</v>
      </c>
      <c r="G51" s="820">
        <v>197.99</v>
      </c>
      <c r="H51" s="820">
        <v>19779.2</v>
      </c>
      <c r="I51" s="821">
        <f t="shared" si="0"/>
        <v>5.9588488272420814E-3</v>
      </c>
      <c r="J51" s="821">
        <f t="shared" si="2"/>
        <v>0.71082001462694444</v>
      </c>
      <c r="K51" s="817" t="str">
        <f t="shared" si="1"/>
        <v>A</v>
      </c>
    </row>
    <row r="52" spans="1:11" ht="30">
      <c r="A52" s="818" t="s">
        <v>41966</v>
      </c>
      <c r="B52" s="684" t="s">
        <v>29901</v>
      </c>
      <c r="C52" s="684" t="s">
        <v>12423</v>
      </c>
      <c r="D52" s="819" t="s">
        <v>44643</v>
      </c>
      <c r="E52" s="684" t="s">
        <v>509</v>
      </c>
      <c r="F52" s="694">
        <f xml:space="preserve"> 325.41</f>
        <v>325.41000000000003</v>
      </c>
      <c r="G52" s="820">
        <v>60.68</v>
      </c>
      <c r="H52" s="820">
        <v>19745.87</v>
      </c>
      <c r="I52" s="821">
        <f t="shared" si="0"/>
        <v>5.948807549970403E-3</v>
      </c>
      <c r="J52" s="821">
        <f t="shared" si="2"/>
        <v>0.71676882217691484</v>
      </c>
      <c r="K52" s="817" t="str">
        <f t="shared" si="1"/>
        <v>A</v>
      </c>
    </row>
    <row r="53" spans="1:11" ht="30">
      <c r="A53" s="818" t="s">
        <v>44727</v>
      </c>
      <c r="B53" s="684" t="s">
        <v>29901</v>
      </c>
      <c r="C53" s="684" t="s">
        <v>14604</v>
      </c>
      <c r="D53" s="819" t="s">
        <v>41944</v>
      </c>
      <c r="E53" s="684" t="s">
        <v>165</v>
      </c>
      <c r="F53" s="694">
        <f xml:space="preserve"> 96.4</f>
        <v>96.4</v>
      </c>
      <c r="G53" s="820">
        <v>194.12</v>
      </c>
      <c r="H53" s="820">
        <v>18713.16</v>
      </c>
      <c r="I53" s="821">
        <f t="shared" si="0"/>
        <v>5.6376846141397742E-3</v>
      </c>
      <c r="J53" s="821">
        <f t="shared" si="2"/>
        <v>0.72240650679105467</v>
      </c>
      <c r="K53" s="817" t="str">
        <f t="shared" si="1"/>
        <v>A</v>
      </c>
    </row>
    <row r="54" spans="1:11">
      <c r="A54" s="818" t="s">
        <v>44936</v>
      </c>
      <c r="B54" s="684" t="s">
        <v>29901</v>
      </c>
      <c r="C54" s="684" t="s">
        <v>17751</v>
      </c>
      <c r="D54" s="819" t="s">
        <v>42024</v>
      </c>
      <c r="E54" s="684" t="s">
        <v>509</v>
      </c>
      <c r="F54" s="694">
        <f xml:space="preserve"> 933.21</f>
        <v>933.21</v>
      </c>
      <c r="G54" s="820">
        <v>19.48</v>
      </c>
      <c r="H54" s="820">
        <v>18178.93</v>
      </c>
      <c r="I54" s="821">
        <f t="shared" si="0"/>
        <v>5.4767379727701775E-3</v>
      </c>
      <c r="J54" s="821">
        <f t="shared" si="2"/>
        <v>0.72788324476382482</v>
      </c>
      <c r="K54" s="817" t="str">
        <f t="shared" si="1"/>
        <v>A</v>
      </c>
    </row>
    <row r="55" spans="1:11" ht="30">
      <c r="A55" s="818" t="s">
        <v>44553</v>
      </c>
      <c r="B55" s="684" t="s">
        <v>29901</v>
      </c>
      <c r="C55" s="684" t="s">
        <v>10827</v>
      </c>
      <c r="D55" s="819" t="s">
        <v>44552</v>
      </c>
      <c r="E55" s="684" t="s">
        <v>142</v>
      </c>
      <c r="F55" s="694">
        <f xml:space="preserve"> 12</f>
        <v>12</v>
      </c>
      <c r="G55" s="820">
        <v>1487.13</v>
      </c>
      <c r="H55" s="820">
        <v>17845.560000000001</v>
      </c>
      <c r="I55" s="821">
        <f t="shared" si="0"/>
        <v>5.3763041112622452E-3</v>
      </c>
      <c r="J55" s="821">
        <f t="shared" si="2"/>
        <v>0.73325954887508704</v>
      </c>
      <c r="K55" s="817" t="str">
        <f t="shared" si="1"/>
        <v>A</v>
      </c>
    </row>
    <row r="56" spans="1:11" ht="45">
      <c r="A56" s="818" t="s">
        <v>44818</v>
      </c>
      <c r="B56" s="684" t="s">
        <v>29901</v>
      </c>
      <c r="C56" s="684" t="s">
        <v>14592</v>
      </c>
      <c r="D56" s="819" t="s">
        <v>41983</v>
      </c>
      <c r="E56" s="684" t="s">
        <v>165</v>
      </c>
      <c r="F56" s="694">
        <f xml:space="preserve"> 28.1 + 27 + 264.2</f>
        <v>319.3</v>
      </c>
      <c r="G56" s="820">
        <v>55.25</v>
      </c>
      <c r="H56" s="820">
        <v>17641.32</v>
      </c>
      <c r="I56" s="821">
        <f t="shared" si="0"/>
        <v>5.3147730440564972E-3</v>
      </c>
      <c r="J56" s="821">
        <f t="shared" si="2"/>
        <v>0.73857432191914352</v>
      </c>
      <c r="K56" s="817" t="str">
        <f t="shared" si="1"/>
        <v>A</v>
      </c>
    </row>
    <row r="57" spans="1:11">
      <c r="A57" s="818" t="s">
        <v>41968</v>
      </c>
      <c r="B57" s="684" t="s">
        <v>29901</v>
      </c>
      <c r="C57" s="684" t="s">
        <v>12340</v>
      </c>
      <c r="D57" s="819" t="s">
        <v>44644</v>
      </c>
      <c r="E57" s="684" t="s">
        <v>509</v>
      </c>
      <c r="F57" s="694">
        <f xml:space="preserve"> 325.41</f>
        <v>325.41000000000003</v>
      </c>
      <c r="G57" s="820">
        <v>53.05</v>
      </c>
      <c r="H57" s="820">
        <v>17263</v>
      </c>
      <c r="I57" s="821">
        <f t="shared" si="0"/>
        <v>5.2007971659460469E-3</v>
      </c>
      <c r="J57" s="821">
        <f t="shared" si="2"/>
        <v>0.74377511908508953</v>
      </c>
      <c r="K57" s="817" t="str">
        <f t="shared" si="1"/>
        <v>A</v>
      </c>
    </row>
    <row r="58" spans="1:11" ht="45">
      <c r="A58" s="818" t="s">
        <v>44623</v>
      </c>
      <c r="B58" s="684" t="s">
        <v>29901</v>
      </c>
      <c r="C58" s="684" t="s">
        <v>12447</v>
      </c>
      <c r="D58" s="819" t="s">
        <v>41899</v>
      </c>
      <c r="E58" s="684" t="s">
        <v>509</v>
      </c>
      <c r="F58" s="694">
        <f xml:space="preserve"> 272.63</f>
        <v>272.63</v>
      </c>
      <c r="G58" s="820">
        <v>62.65</v>
      </c>
      <c r="H58" s="820">
        <v>17080.259999999998</v>
      </c>
      <c r="I58" s="821">
        <f t="shared" si="0"/>
        <v>5.1457433703076877E-3</v>
      </c>
      <c r="J58" s="821">
        <f t="shared" si="2"/>
        <v>0.74892086245539724</v>
      </c>
      <c r="K58" s="817" t="str">
        <f t="shared" si="1"/>
        <v>A</v>
      </c>
    </row>
    <row r="59" spans="1:11">
      <c r="A59" s="818" t="s">
        <v>44617</v>
      </c>
      <c r="B59" s="684" t="s">
        <v>29901</v>
      </c>
      <c r="C59" s="684" t="s">
        <v>13345</v>
      </c>
      <c r="D59" s="819" t="s">
        <v>44616</v>
      </c>
      <c r="E59" s="684" t="s">
        <v>509</v>
      </c>
      <c r="F59" s="694">
        <f xml:space="preserve"> 48.1788</f>
        <v>48.178800000000003</v>
      </c>
      <c r="G59" s="820">
        <v>342.79</v>
      </c>
      <c r="H59" s="820">
        <v>16515.21</v>
      </c>
      <c r="I59" s="821">
        <f t="shared" si="0"/>
        <v>4.9755116354633496E-3</v>
      </c>
      <c r="J59" s="821">
        <f t="shared" si="2"/>
        <v>0.75389637409086063</v>
      </c>
      <c r="K59" s="817" t="str">
        <f t="shared" si="1"/>
        <v>A</v>
      </c>
    </row>
    <row r="60" spans="1:11">
      <c r="A60" s="818" t="s">
        <v>44627</v>
      </c>
      <c r="B60" s="684" t="s">
        <v>29901</v>
      </c>
      <c r="C60" s="684" t="s">
        <v>12316</v>
      </c>
      <c r="D60" s="819" t="s">
        <v>22175</v>
      </c>
      <c r="E60" s="684" t="s">
        <v>509</v>
      </c>
      <c r="F60" s="694">
        <f xml:space="preserve"> 1457.62 + 232.7</f>
        <v>1690.32</v>
      </c>
      <c r="G60" s="820">
        <v>9.5500000000000007</v>
      </c>
      <c r="H60" s="820">
        <v>16142.55</v>
      </c>
      <c r="I60" s="821">
        <f t="shared" si="0"/>
        <v>4.86324093675157E-3</v>
      </c>
      <c r="J60" s="821">
        <f t="shared" si="2"/>
        <v>0.75875961502761224</v>
      </c>
      <c r="K60" s="817" t="str">
        <f t="shared" si="1"/>
        <v>A</v>
      </c>
    </row>
    <row r="61" spans="1:11" ht="45">
      <c r="A61" s="818" t="s">
        <v>44731</v>
      </c>
      <c r="B61" s="684" t="s">
        <v>29901</v>
      </c>
      <c r="C61" s="684" t="s">
        <v>15563</v>
      </c>
      <c r="D61" s="819" t="s">
        <v>41946</v>
      </c>
      <c r="E61" s="684" t="s">
        <v>103</v>
      </c>
      <c r="F61" s="694">
        <f xml:space="preserve"> 74</f>
        <v>74</v>
      </c>
      <c r="G61" s="820">
        <v>212.13</v>
      </c>
      <c r="H61" s="820">
        <v>15697.62</v>
      </c>
      <c r="I61" s="821">
        <f t="shared" si="0"/>
        <v>4.7291975675200128E-3</v>
      </c>
      <c r="J61" s="821">
        <f t="shared" si="2"/>
        <v>0.76348881259513224</v>
      </c>
      <c r="K61" s="817" t="str">
        <f t="shared" si="1"/>
        <v>A</v>
      </c>
    </row>
    <row r="62" spans="1:11" ht="30">
      <c r="A62" s="818" t="s">
        <v>42017</v>
      </c>
      <c r="B62" s="684" t="s">
        <v>29901</v>
      </c>
      <c r="C62" s="684" t="s">
        <v>14590</v>
      </c>
      <c r="D62" s="819" t="s">
        <v>41984</v>
      </c>
      <c r="E62" s="684" t="s">
        <v>165</v>
      </c>
      <c r="F62" s="694">
        <f xml:space="preserve"> 353.5</f>
        <v>353.5</v>
      </c>
      <c r="G62" s="820">
        <v>44.21</v>
      </c>
      <c r="H62" s="820">
        <v>15628.23</v>
      </c>
      <c r="I62" s="821">
        <f t="shared" si="0"/>
        <v>4.7082925501218207E-3</v>
      </c>
      <c r="J62" s="821">
        <f t="shared" si="2"/>
        <v>0.76819710514525408</v>
      </c>
      <c r="K62" s="817" t="str">
        <f t="shared" si="1"/>
        <v>A</v>
      </c>
    </row>
    <row r="63" spans="1:11" ht="30">
      <c r="A63" s="818" t="s">
        <v>44916</v>
      </c>
      <c r="B63" s="684" t="s">
        <v>29901</v>
      </c>
      <c r="C63" s="684" t="s">
        <v>12679</v>
      </c>
      <c r="D63" s="819" t="s">
        <v>44951</v>
      </c>
      <c r="E63" s="684" t="s">
        <v>509</v>
      </c>
      <c r="F63" s="694">
        <f xml:space="preserve"> 14.076</f>
        <v>14.076000000000001</v>
      </c>
      <c r="G63" s="820">
        <v>1081.57</v>
      </c>
      <c r="H63" s="820">
        <v>15224.17</v>
      </c>
      <c r="I63" s="821">
        <f t="shared" si="0"/>
        <v>4.5865620222372023E-3</v>
      </c>
      <c r="J63" s="821">
        <f t="shared" si="2"/>
        <v>0.77278366716749125</v>
      </c>
      <c r="K63" s="817" t="str">
        <f t="shared" si="1"/>
        <v>A</v>
      </c>
    </row>
    <row r="64" spans="1:11" ht="30">
      <c r="A64" s="818" t="s">
        <v>44551</v>
      </c>
      <c r="B64" s="684" t="s">
        <v>29901</v>
      </c>
      <c r="C64" s="684" t="s">
        <v>10839</v>
      </c>
      <c r="D64" s="819" t="s">
        <v>44550</v>
      </c>
      <c r="E64" s="684" t="s">
        <v>142</v>
      </c>
      <c r="F64" s="694">
        <f xml:space="preserve"> 12</f>
        <v>12</v>
      </c>
      <c r="G64" s="820">
        <v>1224.3599999999999</v>
      </c>
      <c r="H64" s="820">
        <v>14692.32</v>
      </c>
      <c r="I64" s="821">
        <f t="shared" si="0"/>
        <v>4.4263323997666927E-3</v>
      </c>
      <c r="J64" s="821">
        <f t="shared" si="2"/>
        <v>0.77720999956725789</v>
      </c>
      <c r="K64" s="817" t="str">
        <f t="shared" si="1"/>
        <v>A</v>
      </c>
    </row>
    <row r="65" spans="1:11">
      <c r="A65" s="818" t="s">
        <v>44813</v>
      </c>
      <c r="B65" s="684" t="s">
        <v>29901</v>
      </c>
      <c r="C65" s="684" t="s">
        <v>15086</v>
      </c>
      <c r="D65" s="819" t="s">
        <v>44812</v>
      </c>
      <c r="E65" s="684" t="s">
        <v>165</v>
      </c>
      <c r="F65" s="694">
        <f xml:space="preserve"> 839.2</f>
        <v>839.2</v>
      </c>
      <c r="G65" s="820">
        <v>16.940000000000001</v>
      </c>
      <c r="H65" s="820">
        <v>14216.04</v>
      </c>
      <c r="I65" s="821">
        <f t="shared" si="0"/>
        <v>4.2828442647845476E-3</v>
      </c>
      <c r="J65" s="821">
        <f t="shared" si="2"/>
        <v>0.78149284383204243</v>
      </c>
      <c r="K65" s="817" t="str">
        <f t="shared" si="1"/>
        <v>A</v>
      </c>
    </row>
    <row r="66" spans="1:11" ht="30">
      <c r="A66" s="818" t="s">
        <v>44657</v>
      </c>
      <c r="B66" s="684" t="s">
        <v>41261</v>
      </c>
      <c r="C66" s="684" t="s">
        <v>23378</v>
      </c>
      <c r="D66" s="819" t="s">
        <v>23379</v>
      </c>
      <c r="E66" s="684" t="s">
        <v>165</v>
      </c>
      <c r="F66" s="694">
        <f xml:space="preserve"> 15.9</f>
        <v>15.9</v>
      </c>
      <c r="G66" s="820">
        <v>893.87</v>
      </c>
      <c r="H66" s="820">
        <v>14212.53</v>
      </c>
      <c r="I66" s="821">
        <f t="shared" si="0"/>
        <v>4.2817868125426158E-3</v>
      </c>
      <c r="J66" s="821">
        <f t="shared" si="2"/>
        <v>0.78577463064458508</v>
      </c>
      <c r="K66" s="817" t="str">
        <f t="shared" si="1"/>
        <v>A</v>
      </c>
    </row>
    <row r="67" spans="1:11">
      <c r="A67" s="818" t="s">
        <v>44599</v>
      </c>
      <c r="B67" s="684" t="s">
        <v>29901</v>
      </c>
      <c r="C67" s="684" t="s">
        <v>12021</v>
      </c>
      <c r="D67" s="819" t="s">
        <v>41888</v>
      </c>
      <c r="E67" s="684" t="s">
        <v>121</v>
      </c>
      <c r="F67" s="694">
        <f xml:space="preserve"> 5.966247</f>
        <v>5.9662470000000001</v>
      </c>
      <c r="G67" s="820">
        <v>2330.21</v>
      </c>
      <c r="H67" s="820">
        <v>13902.6</v>
      </c>
      <c r="I67" s="821">
        <f t="shared" si="0"/>
        <v>4.1884146833853627E-3</v>
      </c>
      <c r="J67" s="821">
        <f t="shared" si="2"/>
        <v>0.78996304532797046</v>
      </c>
      <c r="K67" s="817" t="str">
        <f t="shared" si="1"/>
        <v>A</v>
      </c>
    </row>
    <row r="68" spans="1:11">
      <c r="A68" s="818" t="s">
        <v>44815</v>
      </c>
      <c r="B68" s="684" t="s">
        <v>29901</v>
      </c>
      <c r="C68" s="684" t="s">
        <v>18234</v>
      </c>
      <c r="D68" s="819" t="s">
        <v>41990</v>
      </c>
      <c r="E68" s="684" t="s">
        <v>103</v>
      </c>
      <c r="F68" s="694">
        <f xml:space="preserve"> 48</f>
        <v>48</v>
      </c>
      <c r="G68" s="820">
        <v>280.67</v>
      </c>
      <c r="H68" s="820">
        <v>13472.16</v>
      </c>
      <c r="I68" s="821">
        <f t="shared" si="0"/>
        <v>4.0587366939217806E-3</v>
      </c>
      <c r="J68" s="821">
        <f t="shared" si="2"/>
        <v>0.79402178202189222</v>
      </c>
      <c r="K68" s="817" t="str">
        <f t="shared" si="1"/>
        <v>A</v>
      </c>
    </row>
    <row r="69" spans="1:11" ht="30">
      <c r="A69" s="818" t="s">
        <v>44915</v>
      </c>
      <c r="B69" s="684" t="s">
        <v>29901</v>
      </c>
      <c r="C69" s="684" t="s">
        <v>13592</v>
      </c>
      <c r="D69" s="819" t="s">
        <v>44914</v>
      </c>
      <c r="E69" s="684" t="s">
        <v>509</v>
      </c>
      <c r="F69" s="694">
        <f xml:space="preserve"> 73.92</f>
        <v>73.92</v>
      </c>
      <c r="G69" s="820">
        <v>181.44</v>
      </c>
      <c r="H69" s="820">
        <v>13412.04</v>
      </c>
      <c r="I69" s="821">
        <f t="shared" si="0"/>
        <v>4.0406244350086901E-3</v>
      </c>
      <c r="J69" s="821">
        <f t="shared" si="2"/>
        <v>0.79806240645690096</v>
      </c>
      <c r="K69" s="817" t="str">
        <f t="shared" si="1"/>
        <v>A</v>
      </c>
    </row>
    <row r="70" spans="1:11" ht="45">
      <c r="A70" s="818" t="s">
        <v>42010</v>
      </c>
      <c r="B70" s="684" t="s">
        <v>41227</v>
      </c>
      <c r="C70" s="684" t="s">
        <v>44384</v>
      </c>
      <c r="D70" s="819" t="s">
        <v>44391</v>
      </c>
      <c r="E70" s="684" t="s">
        <v>103</v>
      </c>
      <c r="F70" s="694">
        <f xml:space="preserve"> 1</f>
        <v>1</v>
      </c>
      <c r="G70" s="820">
        <v>13243.14</v>
      </c>
      <c r="H70" s="820">
        <v>13243.14</v>
      </c>
      <c r="I70" s="821">
        <f t="shared" si="0"/>
        <v>3.9897401946490602E-3</v>
      </c>
      <c r="J70" s="821">
        <f t="shared" si="2"/>
        <v>0.80205214665155</v>
      </c>
      <c r="K70" s="817" t="str">
        <f t="shared" si="1"/>
        <v>B</v>
      </c>
    </row>
    <row r="71" spans="1:11">
      <c r="A71" s="818" t="s">
        <v>44615</v>
      </c>
      <c r="B71" s="684" t="s">
        <v>29901</v>
      </c>
      <c r="C71" s="684" t="s">
        <v>13277</v>
      </c>
      <c r="D71" s="819" t="s">
        <v>44614</v>
      </c>
      <c r="E71" s="684" t="s">
        <v>509</v>
      </c>
      <c r="F71" s="694">
        <f xml:space="preserve"> 8.8575</f>
        <v>8.8574999999999999</v>
      </c>
      <c r="G71" s="820">
        <v>1486.07</v>
      </c>
      <c r="H71" s="820">
        <v>13162.86</v>
      </c>
      <c r="I71" s="821">
        <f t="shared" si="0"/>
        <v>3.9655543638848741E-3</v>
      </c>
      <c r="J71" s="821">
        <f t="shared" si="2"/>
        <v>0.80601770101543491</v>
      </c>
      <c r="K71" s="817" t="str">
        <f t="shared" si="1"/>
        <v>B</v>
      </c>
    </row>
    <row r="72" spans="1:11" ht="30">
      <c r="A72" s="818" t="s">
        <v>44893</v>
      </c>
      <c r="B72" s="684" t="s">
        <v>29901</v>
      </c>
      <c r="C72" s="684" t="s">
        <v>14608</v>
      </c>
      <c r="D72" s="819" t="s">
        <v>41942</v>
      </c>
      <c r="E72" s="684" t="s">
        <v>165</v>
      </c>
      <c r="F72" s="694">
        <f xml:space="preserve"> 218.6</f>
        <v>218.6</v>
      </c>
      <c r="G72" s="820">
        <v>58.23</v>
      </c>
      <c r="H72" s="820">
        <v>12729.07</v>
      </c>
      <c r="I72" s="821">
        <f t="shared" si="0"/>
        <v>3.8348671251305592E-3</v>
      </c>
      <c r="J72" s="821">
        <f t="shared" si="2"/>
        <v>0.8098525681405655</v>
      </c>
      <c r="K72" s="817" t="str">
        <f t="shared" si="1"/>
        <v>B</v>
      </c>
    </row>
    <row r="73" spans="1:11">
      <c r="A73" s="818" t="s">
        <v>44794</v>
      </c>
      <c r="B73" s="684" t="s">
        <v>29901</v>
      </c>
      <c r="C73" s="684" t="s">
        <v>14955</v>
      </c>
      <c r="D73" s="819" t="s">
        <v>41972</v>
      </c>
      <c r="E73" s="684" t="s">
        <v>165</v>
      </c>
      <c r="F73" s="694">
        <f xml:space="preserve"> 163.6</f>
        <v>163.6</v>
      </c>
      <c r="G73" s="820">
        <v>76.8</v>
      </c>
      <c r="H73" s="820">
        <v>12564.48</v>
      </c>
      <c r="I73" s="821">
        <f t="shared" si="0"/>
        <v>3.7852813517688572E-3</v>
      </c>
      <c r="J73" s="821">
        <f t="shared" si="2"/>
        <v>0.81363784949233431</v>
      </c>
      <c r="K73" s="817" t="str">
        <f t="shared" si="1"/>
        <v>B</v>
      </c>
    </row>
    <row r="74" spans="1:11" ht="30">
      <c r="A74" s="818" t="s">
        <v>44854</v>
      </c>
      <c r="B74" s="684" t="s">
        <v>29901</v>
      </c>
      <c r="C74" s="684" t="s">
        <v>15948</v>
      </c>
      <c r="D74" s="819" t="s">
        <v>44853</v>
      </c>
      <c r="E74" s="684" t="s">
        <v>103</v>
      </c>
      <c r="F74" s="694">
        <f xml:space="preserve"> 1</f>
        <v>1</v>
      </c>
      <c r="G74" s="820">
        <v>11979.05</v>
      </c>
      <c r="H74" s="820">
        <v>11979.05</v>
      </c>
      <c r="I74" s="821">
        <f t="shared" ref="I74:I137" si="3">H74 / 3319298.84</f>
        <v>3.608909766015524E-3</v>
      </c>
      <c r="J74" s="821">
        <f t="shared" si="2"/>
        <v>0.81724675925834989</v>
      </c>
      <c r="K74" s="817" t="str">
        <f t="shared" ref="K74:K137" si="4">IF($J74="","",IF($J74&lt;=0.8,"A",IF($J74&gt;=0.95,"C","B")))</f>
        <v>B</v>
      </c>
    </row>
    <row r="75" spans="1:11" ht="30">
      <c r="A75" s="818" t="s">
        <v>44793</v>
      </c>
      <c r="B75" s="684" t="s">
        <v>29901</v>
      </c>
      <c r="C75" s="684" t="s">
        <v>15744</v>
      </c>
      <c r="D75" s="819" t="s">
        <v>41971</v>
      </c>
      <c r="E75" s="684" t="s">
        <v>165</v>
      </c>
      <c r="F75" s="694">
        <f xml:space="preserve"> 244.5</f>
        <v>244.5</v>
      </c>
      <c r="G75" s="820">
        <v>45.69</v>
      </c>
      <c r="H75" s="820">
        <v>11171.2</v>
      </c>
      <c r="I75" s="821">
        <f t="shared" si="3"/>
        <v>3.3655300527264372E-3</v>
      </c>
      <c r="J75" s="821">
        <f t="shared" ref="J75:J138" si="5">I75 + J74</f>
        <v>0.82061228931107633</v>
      </c>
      <c r="K75" s="817" t="str">
        <f t="shared" si="4"/>
        <v>B</v>
      </c>
    </row>
    <row r="76" spans="1:11">
      <c r="A76" s="818" t="s">
        <v>41898</v>
      </c>
      <c r="B76" s="684" t="s">
        <v>29901</v>
      </c>
      <c r="C76" s="684" t="s">
        <v>13876</v>
      </c>
      <c r="D76" s="819" t="s">
        <v>44591</v>
      </c>
      <c r="E76" s="684" t="s">
        <v>207</v>
      </c>
      <c r="F76" s="694">
        <f xml:space="preserve"> 1939.78</f>
        <v>1939.78</v>
      </c>
      <c r="G76" s="820">
        <v>5.58</v>
      </c>
      <c r="H76" s="820">
        <v>10823.97</v>
      </c>
      <c r="I76" s="821">
        <f t="shared" si="3"/>
        <v>3.260920610570876E-3</v>
      </c>
      <c r="J76" s="821">
        <f t="shared" si="5"/>
        <v>0.82387320992164725</v>
      </c>
      <c r="K76" s="817" t="str">
        <f t="shared" si="4"/>
        <v>B</v>
      </c>
    </row>
    <row r="77" spans="1:11" ht="45">
      <c r="A77" s="818" t="s">
        <v>41889</v>
      </c>
      <c r="B77" s="684" t="s">
        <v>27888</v>
      </c>
      <c r="C77" s="684">
        <v>99059</v>
      </c>
      <c r="D77" s="819" t="s">
        <v>40649</v>
      </c>
      <c r="E77" s="684" t="s">
        <v>165</v>
      </c>
      <c r="F77" s="694">
        <f xml:space="preserve"> 110.05</f>
        <v>110.05</v>
      </c>
      <c r="G77" s="820">
        <v>98.13</v>
      </c>
      <c r="H77" s="820">
        <v>10799.2</v>
      </c>
      <c r="I77" s="821">
        <f t="shared" si="3"/>
        <v>3.2534581911883541E-3</v>
      </c>
      <c r="J77" s="821">
        <f t="shared" si="5"/>
        <v>0.82712666811283564</v>
      </c>
      <c r="K77" s="817" t="str">
        <f t="shared" si="4"/>
        <v>B</v>
      </c>
    </row>
    <row r="78" spans="1:11" ht="30">
      <c r="A78" s="818" t="s">
        <v>44682</v>
      </c>
      <c r="B78" s="684" t="s">
        <v>29901</v>
      </c>
      <c r="C78" s="684" t="s">
        <v>16066</v>
      </c>
      <c r="D78" s="819" t="s">
        <v>41927</v>
      </c>
      <c r="E78" s="684" t="s">
        <v>509</v>
      </c>
      <c r="F78" s="694">
        <f xml:space="preserve"> 8.62</f>
        <v>8.6199999999999992</v>
      </c>
      <c r="G78" s="820">
        <v>1251.01</v>
      </c>
      <c r="H78" s="820">
        <v>10783.7</v>
      </c>
      <c r="I78" s="821">
        <f t="shared" si="3"/>
        <v>3.2487885302909338E-3</v>
      </c>
      <c r="J78" s="821">
        <f t="shared" si="5"/>
        <v>0.83037545664312662</v>
      </c>
      <c r="K78" s="817" t="str">
        <f t="shared" si="4"/>
        <v>B</v>
      </c>
    </row>
    <row r="79" spans="1:11" ht="30">
      <c r="A79" s="818" t="s">
        <v>44933</v>
      </c>
      <c r="B79" s="684" t="s">
        <v>41261</v>
      </c>
      <c r="C79" s="684" t="s">
        <v>19586</v>
      </c>
      <c r="D79" s="819" t="s">
        <v>19587</v>
      </c>
      <c r="E79" s="684" t="s">
        <v>165</v>
      </c>
      <c r="F79" s="694">
        <f xml:space="preserve"> 13.3</f>
        <v>13.3</v>
      </c>
      <c r="G79" s="820">
        <v>791.98</v>
      </c>
      <c r="H79" s="820">
        <v>10533.33</v>
      </c>
      <c r="I79" s="821">
        <f t="shared" si="3"/>
        <v>3.1733599497175734E-3</v>
      </c>
      <c r="J79" s="821">
        <f t="shared" si="5"/>
        <v>0.83354881659284419</v>
      </c>
      <c r="K79" s="817" t="str">
        <f t="shared" si="4"/>
        <v>B</v>
      </c>
    </row>
    <row r="80" spans="1:11" ht="30">
      <c r="A80" s="818" t="s">
        <v>44852</v>
      </c>
      <c r="B80" s="684" t="s">
        <v>29901</v>
      </c>
      <c r="C80" s="684" t="s">
        <v>17535</v>
      </c>
      <c r="D80" s="819" t="s">
        <v>44851</v>
      </c>
      <c r="E80" s="684" t="s">
        <v>103</v>
      </c>
      <c r="F80" s="694">
        <f xml:space="preserve"> 3</f>
        <v>3</v>
      </c>
      <c r="G80" s="820">
        <v>3475.69</v>
      </c>
      <c r="H80" s="820">
        <v>10427.07</v>
      </c>
      <c r="I80" s="821">
        <f t="shared" si="3"/>
        <v>3.141347164752421E-3</v>
      </c>
      <c r="J80" s="821">
        <f t="shared" si="5"/>
        <v>0.83669016375759664</v>
      </c>
      <c r="K80" s="817" t="str">
        <f t="shared" si="4"/>
        <v>B</v>
      </c>
    </row>
    <row r="81" spans="1:11" ht="45">
      <c r="A81" s="818" t="s">
        <v>44565</v>
      </c>
      <c r="B81" s="684" t="s">
        <v>29901</v>
      </c>
      <c r="C81" s="684" t="s">
        <v>10902</v>
      </c>
      <c r="D81" s="819" t="s">
        <v>41814</v>
      </c>
      <c r="E81" s="684" t="s">
        <v>509</v>
      </c>
      <c r="F81" s="694">
        <f xml:space="preserve"> 1428.11</f>
        <v>1428.11</v>
      </c>
      <c r="G81" s="820">
        <v>7.22</v>
      </c>
      <c r="H81" s="820">
        <v>10310.950000000001</v>
      </c>
      <c r="I81" s="821">
        <f t="shared" si="3"/>
        <v>3.1063638729196198E-3</v>
      </c>
      <c r="J81" s="821">
        <f t="shared" si="5"/>
        <v>0.83979652763051627</v>
      </c>
      <c r="K81" s="817" t="str">
        <f t="shared" si="4"/>
        <v>B</v>
      </c>
    </row>
    <row r="82" spans="1:11">
      <c r="A82" s="818" t="s">
        <v>44554</v>
      </c>
      <c r="B82" s="684" t="s">
        <v>29901</v>
      </c>
      <c r="C82" s="684" t="s">
        <v>10853</v>
      </c>
      <c r="D82" s="819" t="s">
        <v>41813</v>
      </c>
      <c r="E82" s="684" t="s">
        <v>509</v>
      </c>
      <c r="F82" s="694">
        <f xml:space="preserve"> 75.746</f>
        <v>75.745999999999995</v>
      </c>
      <c r="G82" s="820">
        <v>133.62</v>
      </c>
      <c r="H82" s="820">
        <v>10121.18</v>
      </c>
      <c r="I82" s="821">
        <f t="shared" si="3"/>
        <v>3.0491921601129473E-3</v>
      </c>
      <c r="J82" s="821">
        <f t="shared" si="5"/>
        <v>0.84284571979062917</v>
      </c>
      <c r="K82" s="817" t="str">
        <f t="shared" si="4"/>
        <v>B</v>
      </c>
    </row>
    <row r="83" spans="1:11">
      <c r="A83" s="818" t="s">
        <v>44940</v>
      </c>
      <c r="B83" s="684" t="s">
        <v>29901</v>
      </c>
      <c r="C83" s="684" t="s">
        <v>11961</v>
      </c>
      <c r="D83" s="819" t="s">
        <v>44939</v>
      </c>
      <c r="E83" s="684" t="s">
        <v>121</v>
      </c>
      <c r="F83" s="694">
        <f xml:space="preserve"> 7.44</f>
        <v>7.44</v>
      </c>
      <c r="G83" s="820">
        <v>1354.67</v>
      </c>
      <c r="H83" s="820">
        <v>10078.74</v>
      </c>
      <c r="I83" s="821">
        <f t="shared" si="3"/>
        <v>3.0364063273073658E-3</v>
      </c>
      <c r="J83" s="821">
        <f t="shared" si="5"/>
        <v>0.84588212611793656</v>
      </c>
      <c r="K83" s="817" t="str">
        <f t="shared" si="4"/>
        <v>B</v>
      </c>
    </row>
    <row r="84" spans="1:11" ht="30">
      <c r="A84" s="818" t="s">
        <v>42008</v>
      </c>
      <c r="B84" s="684" t="s">
        <v>29901</v>
      </c>
      <c r="C84" s="684" t="s">
        <v>16315</v>
      </c>
      <c r="D84" s="819" t="s">
        <v>41911</v>
      </c>
      <c r="E84" s="684" t="s">
        <v>165</v>
      </c>
      <c r="F84" s="694">
        <f xml:space="preserve"> 95.4</f>
        <v>95.4</v>
      </c>
      <c r="G84" s="820">
        <v>104.4</v>
      </c>
      <c r="H84" s="820">
        <v>9959.76</v>
      </c>
      <c r="I84" s="821">
        <f t="shared" si="3"/>
        <v>3.0005614077218794E-3</v>
      </c>
      <c r="J84" s="821">
        <f t="shared" si="5"/>
        <v>0.84888268752565843</v>
      </c>
      <c r="K84" s="817" t="str">
        <f t="shared" si="4"/>
        <v>B</v>
      </c>
    </row>
    <row r="85" spans="1:11" ht="30">
      <c r="A85" s="818" t="s">
        <v>41995</v>
      </c>
      <c r="B85" s="684" t="s">
        <v>29901</v>
      </c>
      <c r="C85" s="684" t="s">
        <v>17070</v>
      </c>
      <c r="D85" s="819" t="s">
        <v>41915</v>
      </c>
      <c r="E85" s="684" t="s">
        <v>103</v>
      </c>
      <c r="F85" s="694">
        <f xml:space="preserve"> 4</f>
        <v>4</v>
      </c>
      <c r="G85" s="820">
        <v>2416.2800000000002</v>
      </c>
      <c r="H85" s="820">
        <v>9665.1200000000008</v>
      </c>
      <c r="I85" s="821">
        <f t="shared" si="3"/>
        <v>2.9117956730885975E-3</v>
      </c>
      <c r="J85" s="821">
        <f t="shared" si="5"/>
        <v>0.85179448319874707</v>
      </c>
      <c r="K85" s="817" t="str">
        <f t="shared" si="4"/>
        <v>B</v>
      </c>
    </row>
    <row r="86" spans="1:11">
      <c r="A86" s="818" t="s">
        <v>44609</v>
      </c>
      <c r="B86" s="684" t="s">
        <v>29901</v>
      </c>
      <c r="C86" s="684" t="s">
        <v>12905</v>
      </c>
      <c r="D86" s="819" t="s">
        <v>44608</v>
      </c>
      <c r="E86" s="684" t="s">
        <v>103</v>
      </c>
      <c r="F86" s="694">
        <f xml:space="preserve"> 12</f>
        <v>12</v>
      </c>
      <c r="G86" s="820">
        <v>796.87</v>
      </c>
      <c r="H86" s="820">
        <v>9562.44</v>
      </c>
      <c r="I86" s="821">
        <f t="shared" si="3"/>
        <v>2.8808614291565265E-3</v>
      </c>
      <c r="J86" s="821">
        <f t="shared" si="5"/>
        <v>0.85467534462790362</v>
      </c>
      <c r="K86" s="817" t="str">
        <f t="shared" si="4"/>
        <v>B</v>
      </c>
    </row>
    <row r="87" spans="1:11" ht="75">
      <c r="A87" s="818" t="s">
        <v>44587</v>
      </c>
      <c r="B87" s="684" t="s">
        <v>41227</v>
      </c>
      <c r="C87" s="684" t="s">
        <v>41804</v>
      </c>
      <c r="D87" s="819" t="s">
        <v>41805</v>
      </c>
      <c r="E87" s="684" t="s">
        <v>121</v>
      </c>
      <c r="F87" s="694">
        <f xml:space="preserve"> 15.21 + 7.41 + 9.1 + 0.57 + 3.78 + 7.22 + 14.29 + 11.9965 + 2.97</f>
        <v>72.546499999999995</v>
      </c>
      <c r="G87" s="820">
        <v>129.80000000000001</v>
      </c>
      <c r="H87" s="820">
        <v>9416.49</v>
      </c>
      <c r="I87" s="821">
        <f t="shared" si="3"/>
        <v>2.8368912996095284E-3</v>
      </c>
      <c r="J87" s="821">
        <f t="shared" si="5"/>
        <v>0.85751223592751313</v>
      </c>
      <c r="K87" s="817" t="str">
        <f t="shared" si="4"/>
        <v>B</v>
      </c>
    </row>
    <row r="88" spans="1:11" ht="45">
      <c r="A88" s="818" t="s">
        <v>44578</v>
      </c>
      <c r="B88" s="684" t="s">
        <v>29901</v>
      </c>
      <c r="C88" s="684" t="s">
        <v>11687</v>
      </c>
      <c r="D88" s="819" t="s">
        <v>41826</v>
      </c>
      <c r="E88" s="684" t="s">
        <v>207</v>
      </c>
      <c r="F88" s="694">
        <f xml:space="preserve"> 104.7 + 97 + 119.4 + 11.3 + 164.9 + 204</f>
        <v>701.30000000000007</v>
      </c>
      <c r="G88" s="820">
        <v>13.21</v>
      </c>
      <c r="H88" s="820">
        <v>9264.15</v>
      </c>
      <c r="I88" s="821">
        <f t="shared" si="3"/>
        <v>2.7909960646990135E-3</v>
      </c>
      <c r="J88" s="821">
        <f t="shared" si="5"/>
        <v>0.86030323199221215</v>
      </c>
      <c r="K88" s="817" t="str">
        <f t="shared" si="4"/>
        <v>B</v>
      </c>
    </row>
    <row r="89" spans="1:11">
      <c r="A89" s="818" t="s">
        <v>44755</v>
      </c>
      <c r="B89" s="684" t="s">
        <v>29901</v>
      </c>
      <c r="C89" s="684" t="s">
        <v>14318</v>
      </c>
      <c r="D89" s="819" t="s">
        <v>41953</v>
      </c>
      <c r="E89" s="684" t="s">
        <v>207</v>
      </c>
      <c r="F89" s="694">
        <f xml:space="preserve"> 50</f>
        <v>50</v>
      </c>
      <c r="G89" s="820">
        <v>183.9</v>
      </c>
      <c r="H89" s="820">
        <v>9195</v>
      </c>
      <c r="I89" s="821">
        <f t="shared" si="3"/>
        <v>2.7701633517276197E-3</v>
      </c>
      <c r="J89" s="821">
        <f t="shared" si="5"/>
        <v>0.86307339534393979</v>
      </c>
      <c r="K89" s="817" t="str">
        <f t="shared" si="4"/>
        <v>B</v>
      </c>
    </row>
    <row r="90" spans="1:11">
      <c r="A90" s="818" t="s">
        <v>44631</v>
      </c>
      <c r="B90" s="684" t="s">
        <v>29901</v>
      </c>
      <c r="C90" s="684" t="s">
        <v>12306</v>
      </c>
      <c r="D90" s="819" t="s">
        <v>44630</v>
      </c>
      <c r="E90" s="684" t="s">
        <v>121</v>
      </c>
      <c r="F90" s="694">
        <f xml:space="preserve"> 9.385348</f>
        <v>9.3853480000000005</v>
      </c>
      <c r="G90" s="820">
        <v>978.27</v>
      </c>
      <c r="H90" s="820">
        <v>9181.4</v>
      </c>
      <c r="I90" s="821">
        <f t="shared" si="3"/>
        <v>2.7660661008756899E-3</v>
      </c>
      <c r="J90" s="821">
        <f t="shared" si="5"/>
        <v>0.86583946144481549</v>
      </c>
      <c r="K90" s="817" t="str">
        <f t="shared" si="4"/>
        <v>B</v>
      </c>
    </row>
    <row r="91" spans="1:11">
      <c r="A91" s="818" t="s">
        <v>44583</v>
      </c>
      <c r="B91" s="684" t="s">
        <v>29901</v>
      </c>
      <c r="C91" s="684" t="s">
        <v>11691</v>
      </c>
      <c r="D91" s="819" t="s">
        <v>41818</v>
      </c>
      <c r="E91" s="684" t="s">
        <v>207</v>
      </c>
      <c r="F91" s="694">
        <f xml:space="preserve"> 194.04 + 549.78</f>
        <v>743.81999999999994</v>
      </c>
      <c r="G91" s="820">
        <v>12.04</v>
      </c>
      <c r="H91" s="820">
        <v>8955.59</v>
      </c>
      <c r="I91" s="821">
        <f t="shared" si="3"/>
        <v>2.6980366733114036E-3</v>
      </c>
      <c r="J91" s="821">
        <f t="shared" si="5"/>
        <v>0.86853749811812686</v>
      </c>
      <c r="K91" s="817" t="str">
        <f t="shared" si="4"/>
        <v>B</v>
      </c>
    </row>
    <row r="92" spans="1:11">
      <c r="A92" s="818" t="s">
        <v>41941</v>
      </c>
      <c r="B92" s="684" t="s">
        <v>29901</v>
      </c>
      <c r="C92" s="684" t="s">
        <v>10858</v>
      </c>
      <c r="D92" s="819" t="s">
        <v>44629</v>
      </c>
      <c r="E92" s="684" t="s">
        <v>509</v>
      </c>
      <c r="F92" s="694">
        <f xml:space="preserve"> 386.66</f>
        <v>386.66</v>
      </c>
      <c r="G92" s="820">
        <v>21.46</v>
      </c>
      <c r="H92" s="820">
        <v>8297.7199999999993</v>
      </c>
      <c r="I92" s="821">
        <f t="shared" si="3"/>
        <v>2.4998412014026433E-3</v>
      </c>
      <c r="J92" s="821">
        <f t="shared" si="5"/>
        <v>0.87103733931952954</v>
      </c>
      <c r="K92" s="817" t="str">
        <f t="shared" si="4"/>
        <v>B</v>
      </c>
    </row>
    <row r="93" spans="1:11" ht="45">
      <c r="A93" s="818" t="s">
        <v>44649</v>
      </c>
      <c r="B93" s="684" t="s">
        <v>29901</v>
      </c>
      <c r="C93" s="684" t="s">
        <v>16331</v>
      </c>
      <c r="D93" s="819" t="s">
        <v>41921</v>
      </c>
      <c r="E93" s="684" t="s">
        <v>165</v>
      </c>
      <c r="F93" s="694">
        <f xml:space="preserve"> 73.4</f>
        <v>73.400000000000006</v>
      </c>
      <c r="G93" s="820">
        <v>105.16</v>
      </c>
      <c r="H93" s="820">
        <v>7718.74</v>
      </c>
      <c r="I93" s="821">
        <f t="shared" si="3"/>
        <v>2.3254127971195264E-3</v>
      </c>
      <c r="J93" s="821">
        <f t="shared" si="5"/>
        <v>0.87336275211664904</v>
      </c>
      <c r="K93" s="817" t="str">
        <f t="shared" si="4"/>
        <v>B</v>
      </c>
    </row>
    <row r="94" spans="1:11" ht="30">
      <c r="A94" s="818" t="s">
        <v>44595</v>
      </c>
      <c r="B94" s="684" t="s">
        <v>29901</v>
      </c>
      <c r="C94" s="684" t="s">
        <v>12268</v>
      </c>
      <c r="D94" s="819" t="s">
        <v>44594</v>
      </c>
      <c r="E94" s="684" t="s">
        <v>165</v>
      </c>
      <c r="F94" s="694">
        <f xml:space="preserve"> 25.7</f>
        <v>25.7</v>
      </c>
      <c r="G94" s="820">
        <v>299.79000000000002</v>
      </c>
      <c r="H94" s="820">
        <v>7704.6</v>
      </c>
      <c r="I94" s="821">
        <f t="shared" si="3"/>
        <v>2.3211528613072997E-3</v>
      </c>
      <c r="J94" s="821">
        <f t="shared" si="5"/>
        <v>0.87568390497795634</v>
      </c>
      <c r="K94" s="817" t="str">
        <f t="shared" si="4"/>
        <v>B</v>
      </c>
    </row>
    <row r="95" spans="1:11" ht="30">
      <c r="A95" s="818" t="s">
        <v>44823</v>
      </c>
      <c r="B95" s="684" t="s">
        <v>29901</v>
      </c>
      <c r="C95" s="684" t="s">
        <v>18196</v>
      </c>
      <c r="D95" s="819" t="s">
        <v>41992</v>
      </c>
      <c r="E95" s="684" t="s">
        <v>103</v>
      </c>
      <c r="F95" s="694">
        <f xml:space="preserve"> 1</f>
        <v>1</v>
      </c>
      <c r="G95" s="820">
        <v>7674.25</v>
      </c>
      <c r="H95" s="820">
        <v>7674.25</v>
      </c>
      <c r="I95" s="821">
        <f t="shared" si="3"/>
        <v>2.3120093640017058E-3</v>
      </c>
      <c r="J95" s="821">
        <f t="shared" si="5"/>
        <v>0.87799591434195801</v>
      </c>
      <c r="K95" s="817" t="str">
        <f t="shared" si="4"/>
        <v>B</v>
      </c>
    </row>
    <row r="96" spans="1:11">
      <c r="A96" s="818" t="s">
        <v>44567</v>
      </c>
      <c r="B96" s="684" t="s">
        <v>27888</v>
      </c>
      <c r="C96" s="684">
        <v>90781</v>
      </c>
      <c r="D96" s="819" t="s">
        <v>27627</v>
      </c>
      <c r="E96" s="684" t="s">
        <v>11</v>
      </c>
      <c r="F96" s="694">
        <f xml:space="preserve"> 70</f>
        <v>70</v>
      </c>
      <c r="G96" s="820">
        <v>108.96</v>
      </c>
      <c r="H96" s="820">
        <v>7627.2</v>
      </c>
      <c r="I96" s="821">
        <f t="shared" si="3"/>
        <v>2.2978346836646985E-3</v>
      </c>
      <c r="J96" s="821">
        <f t="shared" si="5"/>
        <v>0.88029374902562274</v>
      </c>
      <c r="K96" s="817" t="str">
        <f t="shared" si="4"/>
        <v>B</v>
      </c>
    </row>
    <row r="97" spans="1:11">
      <c r="A97" s="818" t="s">
        <v>44633</v>
      </c>
      <c r="B97" s="684" t="s">
        <v>29901</v>
      </c>
      <c r="C97" s="684" t="s">
        <v>12304</v>
      </c>
      <c r="D97" s="819" t="s">
        <v>44632</v>
      </c>
      <c r="E97" s="684" t="s">
        <v>121</v>
      </c>
      <c r="F97" s="694">
        <f xml:space="preserve"> 7.169892</f>
        <v>7.1698919999999999</v>
      </c>
      <c r="G97" s="820">
        <v>1046.43</v>
      </c>
      <c r="H97" s="820">
        <v>7502.79</v>
      </c>
      <c r="I97" s="821">
        <f t="shared" si="3"/>
        <v>2.2603538764228897E-3</v>
      </c>
      <c r="J97" s="821">
        <f t="shared" si="5"/>
        <v>0.88255410290204561</v>
      </c>
      <c r="K97" s="817" t="str">
        <f t="shared" si="4"/>
        <v>B</v>
      </c>
    </row>
    <row r="98" spans="1:11" ht="30">
      <c r="A98" s="818" t="s">
        <v>44621</v>
      </c>
      <c r="B98" s="684" t="s">
        <v>29901</v>
      </c>
      <c r="C98" s="684" t="s">
        <v>13415</v>
      </c>
      <c r="D98" s="819" t="s">
        <v>44620</v>
      </c>
      <c r="E98" s="684" t="s">
        <v>396</v>
      </c>
      <c r="F98" s="694">
        <f xml:space="preserve"> 14</f>
        <v>14</v>
      </c>
      <c r="G98" s="820">
        <v>531.95000000000005</v>
      </c>
      <c r="H98" s="820">
        <v>7447.3</v>
      </c>
      <c r="I98" s="821">
        <f t="shared" si="3"/>
        <v>2.2436364904101255E-3</v>
      </c>
      <c r="J98" s="821">
        <f t="shared" si="5"/>
        <v>0.88479773939245576</v>
      </c>
      <c r="K98" s="817" t="str">
        <f t="shared" si="4"/>
        <v>B</v>
      </c>
    </row>
    <row r="99" spans="1:11" ht="30">
      <c r="A99" s="818" t="s">
        <v>44883</v>
      </c>
      <c r="B99" s="684" t="s">
        <v>29901</v>
      </c>
      <c r="C99" s="684" t="s">
        <v>16895</v>
      </c>
      <c r="D99" s="819" t="s">
        <v>41996</v>
      </c>
      <c r="E99" s="684" t="s">
        <v>165</v>
      </c>
      <c r="F99" s="694">
        <f xml:space="preserve"> 163.53</f>
        <v>163.53</v>
      </c>
      <c r="G99" s="820">
        <v>45.54</v>
      </c>
      <c r="H99" s="820">
        <v>7447.15</v>
      </c>
      <c r="I99" s="821">
        <f t="shared" si="3"/>
        <v>2.2435913001433759E-3</v>
      </c>
      <c r="J99" s="821">
        <f t="shared" si="5"/>
        <v>0.88704133069259916</v>
      </c>
      <c r="K99" s="817" t="str">
        <f t="shared" si="4"/>
        <v>B</v>
      </c>
    </row>
    <row r="100" spans="1:11" ht="30">
      <c r="A100" s="818" t="s">
        <v>44556</v>
      </c>
      <c r="B100" s="684" t="s">
        <v>41227</v>
      </c>
      <c r="C100" s="684" t="s">
        <v>44294</v>
      </c>
      <c r="D100" s="819" t="s">
        <v>44295</v>
      </c>
      <c r="E100" s="684" t="s">
        <v>11</v>
      </c>
      <c r="F100" s="694">
        <f xml:space="preserve"> 264</f>
        <v>264</v>
      </c>
      <c r="G100" s="820">
        <v>27.81</v>
      </c>
      <c r="H100" s="820">
        <v>7341.84</v>
      </c>
      <c r="I100" s="821">
        <f t="shared" si="3"/>
        <v>2.2118647202009688E-3</v>
      </c>
      <c r="J100" s="821">
        <f t="shared" si="5"/>
        <v>0.88925319541280012</v>
      </c>
      <c r="K100" s="817" t="str">
        <f t="shared" si="4"/>
        <v>B</v>
      </c>
    </row>
    <row r="101" spans="1:11" ht="30">
      <c r="A101" s="818" t="s">
        <v>44769</v>
      </c>
      <c r="B101" s="684" t="s">
        <v>29901</v>
      </c>
      <c r="C101" s="684" t="s">
        <v>14927</v>
      </c>
      <c r="D101" s="819" t="s">
        <v>44768</v>
      </c>
      <c r="E101" s="684" t="s">
        <v>165</v>
      </c>
      <c r="F101" s="694">
        <f xml:space="preserve"> 776.2</f>
        <v>776.2</v>
      </c>
      <c r="G101" s="820">
        <v>9.2799999999999994</v>
      </c>
      <c r="H101" s="820">
        <v>7203.13</v>
      </c>
      <c r="I101" s="821">
        <f t="shared" si="3"/>
        <v>2.1700757741957336E-3</v>
      </c>
      <c r="J101" s="821">
        <f t="shared" si="5"/>
        <v>0.89142327118699582</v>
      </c>
      <c r="K101" s="817" t="str">
        <f t="shared" si="4"/>
        <v>B</v>
      </c>
    </row>
    <row r="102" spans="1:11" ht="30">
      <c r="A102" s="818" t="s">
        <v>44884</v>
      </c>
      <c r="B102" s="684" t="s">
        <v>29901</v>
      </c>
      <c r="C102" s="684" t="s">
        <v>16899</v>
      </c>
      <c r="D102" s="819" t="s">
        <v>41999</v>
      </c>
      <c r="E102" s="684" t="s">
        <v>165</v>
      </c>
      <c r="F102" s="694">
        <f xml:space="preserve"> 108.16</f>
        <v>108.16</v>
      </c>
      <c r="G102" s="820">
        <v>65.69</v>
      </c>
      <c r="H102" s="820">
        <v>7105.03</v>
      </c>
      <c r="I102" s="821">
        <f t="shared" si="3"/>
        <v>2.1405213397417389E-3</v>
      </c>
      <c r="J102" s="821">
        <f t="shared" si="5"/>
        <v>0.89356379252673757</v>
      </c>
      <c r="K102" s="817" t="str">
        <f t="shared" si="4"/>
        <v>B</v>
      </c>
    </row>
    <row r="103" spans="1:11" ht="30">
      <c r="A103" s="818" t="s">
        <v>41994</v>
      </c>
      <c r="B103" s="684" t="s">
        <v>29901</v>
      </c>
      <c r="C103" s="684" t="s">
        <v>17307</v>
      </c>
      <c r="D103" s="819" t="s">
        <v>44645</v>
      </c>
      <c r="E103" s="684" t="s">
        <v>103</v>
      </c>
      <c r="F103" s="694">
        <f xml:space="preserve"> 1</f>
        <v>1</v>
      </c>
      <c r="G103" s="820">
        <v>7082.86</v>
      </c>
      <c r="H103" s="820">
        <v>7082.86</v>
      </c>
      <c r="I103" s="821">
        <f t="shared" si="3"/>
        <v>2.1338422183162032E-3</v>
      </c>
      <c r="J103" s="821">
        <f t="shared" si="5"/>
        <v>0.89569763474505382</v>
      </c>
      <c r="K103" s="817" t="str">
        <f t="shared" si="4"/>
        <v>B</v>
      </c>
    </row>
    <row r="104" spans="1:11" ht="30">
      <c r="A104" s="818" t="s">
        <v>44728</v>
      </c>
      <c r="B104" s="684" t="s">
        <v>29901</v>
      </c>
      <c r="C104" s="684" t="s">
        <v>14677</v>
      </c>
      <c r="D104" s="819" t="s">
        <v>41945</v>
      </c>
      <c r="E104" s="684" t="s">
        <v>165</v>
      </c>
      <c r="F104" s="694">
        <f xml:space="preserve"> 330.5</f>
        <v>330.5</v>
      </c>
      <c r="G104" s="820">
        <v>20.48</v>
      </c>
      <c r="H104" s="820">
        <v>6768.64</v>
      </c>
      <c r="I104" s="821">
        <f t="shared" si="3"/>
        <v>2.0391776475299226E-3</v>
      </c>
      <c r="J104" s="821">
        <f t="shared" si="5"/>
        <v>0.89773681239258374</v>
      </c>
      <c r="K104" s="817" t="str">
        <f t="shared" si="4"/>
        <v>B</v>
      </c>
    </row>
    <row r="105" spans="1:11" ht="30">
      <c r="A105" s="818" t="s">
        <v>44805</v>
      </c>
      <c r="B105" s="684" t="s">
        <v>29901</v>
      </c>
      <c r="C105" s="684" t="s">
        <v>18037</v>
      </c>
      <c r="D105" s="819" t="s">
        <v>44804</v>
      </c>
      <c r="E105" s="684" t="s">
        <v>103</v>
      </c>
      <c r="F105" s="694">
        <f xml:space="preserve"> 4</f>
        <v>4</v>
      </c>
      <c r="G105" s="820">
        <v>1673.42</v>
      </c>
      <c r="H105" s="820">
        <v>6693.68</v>
      </c>
      <c r="I105" s="821">
        <f t="shared" si="3"/>
        <v>2.0165945648931089E-3</v>
      </c>
      <c r="J105" s="821">
        <f t="shared" si="5"/>
        <v>0.89975340695747685</v>
      </c>
      <c r="K105" s="817" t="str">
        <f t="shared" si="4"/>
        <v>B</v>
      </c>
    </row>
    <row r="106" spans="1:11" ht="30">
      <c r="A106" s="818" t="s">
        <v>41904</v>
      </c>
      <c r="B106" s="684" t="s">
        <v>29901</v>
      </c>
      <c r="C106" s="684" t="s">
        <v>13283</v>
      </c>
      <c r="D106" s="819" t="s">
        <v>44602</v>
      </c>
      <c r="E106" s="684" t="s">
        <v>509</v>
      </c>
      <c r="F106" s="694">
        <f xml:space="preserve"> 4.88</f>
        <v>4.88</v>
      </c>
      <c r="G106" s="820">
        <v>1361.04</v>
      </c>
      <c r="H106" s="820">
        <v>6641.87</v>
      </c>
      <c r="I106" s="821">
        <f t="shared" si="3"/>
        <v>2.0009858467579258E-3</v>
      </c>
      <c r="J106" s="821">
        <f t="shared" si="5"/>
        <v>0.90175439280423475</v>
      </c>
      <c r="K106" s="817" t="str">
        <f t="shared" si="4"/>
        <v>B</v>
      </c>
    </row>
    <row r="107" spans="1:11" ht="30">
      <c r="A107" s="818" t="s">
        <v>44669</v>
      </c>
      <c r="B107" s="684" t="s">
        <v>29901</v>
      </c>
      <c r="C107" s="684" t="s">
        <v>16307</v>
      </c>
      <c r="D107" s="819" t="s">
        <v>41909</v>
      </c>
      <c r="E107" s="684" t="s">
        <v>165</v>
      </c>
      <c r="F107" s="694">
        <f xml:space="preserve"> 46.4 + 111.3</f>
        <v>157.69999999999999</v>
      </c>
      <c r="G107" s="820">
        <v>41.9</v>
      </c>
      <c r="H107" s="820">
        <v>6607.63</v>
      </c>
      <c r="I107" s="821">
        <f t="shared" si="3"/>
        <v>1.9906704152013021E-3</v>
      </c>
      <c r="J107" s="821">
        <f t="shared" si="5"/>
        <v>0.90374506321943604</v>
      </c>
      <c r="K107" s="817" t="str">
        <f t="shared" si="4"/>
        <v>B</v>
      </c>
    </row>
    <row r="108" spans="1:11" ht="45">
      <c r="A108" s="818" t="s">
        <v>42019</v>
      </c>
      <c r="B108" s="684" t="s">
        <v>29901</v>
      </c>
      <c r="C108" s="684" t="s">
        <v>15567</v>
      </c>
      <c r="D108" s="819" t="s">
        <v>44730</v>
      </c>
      <c r="E108" s="684" t="s">
        <v>103</v>
      </c>
      <c r="F108" s="694">
        <f xml:space="preserve"> 35</f>
        <v>35</v>
      </c>
      <c r="G108" s="820">
        <v>187.44</v>
      </c>
      <c r="H108" s="820">
        <v>6560.4</v>
      </c>
      <c r="I108" s="821">
        <f t="shared" si="3"/>
        <v>1.9764415065441953E-3</v>
      </c>
      <c r="J108" s="821">
        <f t="shared" si="5"/>
        <v>0.90572150472598023</v>
      </c>
      <c r="K108" s="817" t="str">
        <f t="shared" si="4"/>
        <v>B</v>
      </c>
    </row>
    <row r="109" spans="1:11" ht="30">
      <c r="A109" s="818" t="s">
        <v>44676</v>
      </c>
      <c r="B109" s="684" t="s">
        <v>29901</v>
      </c>
      <c r="C109" s="684" t="s">
        <v>13624</v>
      </c>
      <c r="D109" s="819" t="s">
        <v>41923</v>
      </c>
      <c r="E109" s="684" t="s">
        <v>103</v>
      </c>
      <c r="F109" s="694">
        <f xml:space="preserve"> 4</f>
        <v>4</v>
      </c>
      <c r="G109" s="820">
        <v>1562.98</v>
      </c>
      <c r="H109" s="820">
        <v>6251.92</v>
      </c>
      <c r="I109" s="821">
        <f t="shared" si="3"/>
        <v>1.8835062166321849E-3</v>
      </c>
      <c r="J109" s="821">
        <f t="shared" si="5"/>
        <v>0.90760501094261237</v>
      </c>
      <c r="K109" s="817" t="str">
        <f t="shared" si="4"/>
        <v>B</v>
      </c>
    </row>
    <row r="110" spans="1:11" ht="45">
      <c r="A110" s="818" t="s">
        <v>44888</v>
      </c>
      <c r="B110" s="684" t="s">
        <v>29901</v>
      </c>
      <c r="C110" s="684" t="s">
        <v>13768</v>
      </c>
      <c r="D110" s="819" t="s">
        <v>42004</v>
      </c>
      <c r="E110" s="684" t="s">
        <v>165</v>
      </c>
      <c r="F110" s="694">
        <f xml:space="preserve"> 163.53</f>
        <v>163.53</v>
      </c>
      <c r="G110" s="820">
        <v>36.380000000000003</v>
      </c>
      <c r="H110" s="820">
        <v>5949.22</v>
      </c>
      <c r="I110" s="821">
        <f t="shared" si="3"/>
        <v>1.7923122583322448E-3</v>
      </c>
      <c r="J110" s="821">
        <f t="shared" si="5"/>
        <v>0.90939732320094457</v>
      </c>
      <c r="K110" s="817" t="str">
        <f t="shared" si="4"/>
        <v>B</v>
      </c>
    </row>
    <row r="111" spans="1:11">
      <c r="A111" s="818" t="s">
        <v>44900</v>
      </c>
      <c r="B111" s="684" t="s">
        <v>29901</v>
      </c>
      <c r="C111" s="684" t="s">
        <v>13856</v>
      </c>
      <c r="D111" s="819" t="s">
        <v>44899</v>
      </c>
      <c r="E111" s="684" t="s">
        <v>509</v>
      </c>
      <c r="F111" s="694">
        <f xml:space="preserve"> 86.652</f>
        <v>86.652000000000001</v>
      </c>
      <c r="G111" s="820">
        <v>67.97</v>
      </c>
      <c r="H111" s="820">
        <v>5889.73</v>
      </c>
      <c r="I111" s="821">
        <f t="shared" si="3"/>
        <v>1.7743897985395011E-3</v>
      </c>
      <c r="J111" s="821">
        <f t="shared" si="5"/>
        <v>0.91117171299948407</v>
      </c>
      <c r="K111" s="817" t="str">
        <f t="shared" si="4"/>
        <v>B</v>
      </c>
    </row>
    <row r="112" spans="1:11">
      <c r="A112" s="818" t="s">
        <v>41964</v>
      </c>
      <c r="B112" s="684" t="s">
        <v>29901</v>
      </c>
      <c r="C112" s="684" t="s">
        <v>17696</v>
      </c>
      <c r="D112" s="819" t="s">
        <v>44642</v>
      </c>
      <c r="E112" s="684" t="s">
        <v>165</v>
      </c>
      <c r="F112" s="694">
        <f xml:space="preserve"> 71.91</f>
        <v>71.91</v>
      </c>
      <c r="G112" s="820">
        <v>76.569999999999993</v>
      </c>
      <c r="H112" s="820">
        <v>5506.14</v>
      </c>
      <c r="I112" s="821">
        <f t="shared" si="3"/>
        <v>1.658826235723928E-3</v>
      </c>
      <c r="J112" s="821">
        <f t="shared" si="5"/>
        <v>0.91283053923520796</v>
      </c>
      <c r="K112" s="817" t="str">
        <f t="shared" si="4"/>
        <v>B</v>
      </c>
    </row>
    <row r="113" spans="1:11" ht="30">
      <c r="A113" s="818" t="s">
        <v>44734</v>
      </c>
      <c r="B113" s="684" t="s">
        <v>29901</v>
      </c>
      <c r="C113" s="684" t="s">
        <v>15431</v>
      </c>
      <c r="D113" s="819" t="s">
        <v>41948</v>
      </c>
      <c r="E113" s="684" t="s">
        <v>103</v>
      </c>
      <c r="F113" s="694">
        <f xml:space="preserve"> 200</f>
        <v>200</v>
      </c>
      <c r="G113" s="820">
        <v>27.2</v>
      </c>
      <c r="H113" s="820">
        <v>5440</v>
      </c>
      <c r="I113" s="821">
        <f t="shared" si="3"/>
        <v>1.6389003407719686E-3</v>
      </c>
      <c r="J113" s="821">
        <f t="shared" si="5"/>
        <v>0.91446943957597993</v>
      </c>
      <c r="K113" s="817" t="str">
        <f t="shared" si="4"/>
        <v>B</v>
      </c>
    </row>
    <row r="114" spans="1:11" ht="30">
      <c r="A114" s="818" t="s">
        <v>41957</v>
      </c>
      <c r="B114" s="684" t="s">
        <v>29901</v>
      </c>
      <c r="C114" s="684" t="s">
        <v>12352</v>
      </c>
      <c r="D114" s="819" t="s">
        <v>44639</v>
      </c>
      <c r="E114" s="684" t="s">
        <v>165</v>
      </c>
      <c r="F114" s="694">
        <f xml:space="preserve"> 151.96</f>
        <v>151.96</v>
      </c>
      <c r="G114" s="820">
        <v>34.17</v>
      </c>
      <c r="H114" s="820">
        <v>5192.47</v>
      </c>
      <c r="I114" s="821">
        <f t="shared" si="3"/>
        <v>1.5643273625823941E-3</v>
      </c>
      <c r="J114" s="821">
        <f t="shared" si="5"/>
        <v>0.91603376693856231</v>
      </c>
      <c r="K114" s="817" t="str">
        <f t="shared" si="4"/>
        <v>B</v>
      </c>
    </row>
    <row r="115" spans="1:11" ht="60">
      <c r="A115" s="818" t="s">
        <v>41955</v>
      </c>
      <c r="B115" s="684" t="s">
        <v>29901</v>
      </c>
      <c r="C115" s="684" t="s">
        <v>12521</v>
      </c>
      <c r="D115" s="819" t="s">
        <v>44638</v>
      </c>
      <c r="E115" s="684" t="s">
        <v>165</v>
      </c>
      <c r="F115" s="694">
        <f xml:space="preserve"> 132.91</f>
        <v>132.91</v>
      </c>
      <c r="G115" s="820">
        <v>38.590000000000003</v>
      </c>
      <c r="H115" s="820">
        <v>5128.99</v>
      </c>
      <c r="I115" s="821">
        <f t="shared" si="3"/>
        <v>1.5452028416941212E-3</v>
      </c>
      <c r="J115" s="821">
        <f t="shared" si="5"/>
        <v>0.91757896978025644</v>
      </c>
      <c r="K115" s="817" t="str">
        <f t="shared" si="4"/>
        <v>B</v>
      </c>
    </row>
    <row r="116" spans="1:11" ht="30">
      <c r="A116" s="818" t="s">
        <v>44824</v>
      </c>
      <c r="B116" s="684" t="s">
        <v>29901</v>
      </c>
      <c r="C116" s="684" t="s">
        <v>18064</v>
      </c>
      <c r="D116" s="819" t="s">
        <v>41986</v>
      </c>
      <c r="E116" s="684" t="s">
        <v>103</v>
      </c>
      <c r="F116" s="694">
        <f xml:space="preserve"> 1 + 1</f>
        <v>2</v>
      </c>
      <c r="G116" s="820">
        <v>2533.59</v>
      </c>
      <c r="H116" s="820">
        <v>5067.18</v>
      </c>
      <c r="I116" s="821">
        <f t="shared" si="3"/>
        <v>1.5265814391089898E-3</v>
      </c>
      <c r="J116" s="821">
        <f t="shared" si="5"/>
        <v>0.91910555121936544</v>
      </c>
      <c r="K116" s="817" t="str">
        <f t="shared" si="4"/>
        <v>B</v>
      </c>
    </row>
    <row r="117" spans="1:11" ht="30">
      <c r="A117" s="818" t="s">
        <v>42007</v>
      </c>
      <c r="B117" s="684" t="s">
        <v>29901</v>
      </c>
      <c r="C117" s="684" t="s">
        <v>16313</v>
      </c>
      <c r="D117" s="819" t="s">
        <v>41918</v>
      </c>
      <c r="E117" s="684" t="s">
        <v>165</v>
      </c>
      <c r="F117" s="694">
        <f xml:space="preserve"> 74.2</f>
        <v>74.2</v>
      </c>
      <c r="G117" s="820">
        <v>66.83</v>
      </c>
      <c r="H117" s="820">
        <v>4958.78</v>
      </c>
      <c r="I117" s="821">
        <f t="shared" si="3"/>
        <v>1.4939239396715481E-3</v>
      </c>
      <c r="J117" s="821">
        <f t="shared" si="5"/>
        <v>0.92059947515903695</v>
      </c>
      <c r="K117" s="817" t="str">
        <f t="shared" si="4"/>
        <v>B</v>
      </c>
    </row>
    <row r="118" spans="1:11" ht="30">
      <c r="A118" s="818" t="s">
        <v>44691</v>
      </c>
      <c r="B118" s="684" t="s">
        <v>29901</v>
      </c>
      <c r="C118" s="684" t="s">
        <v>16038</v>
      </c>
      <c r="D118" s="819" t="s">
        <v>44690</v>
      </c>
      <c r="E118" s="684" t="s">
        <v>103</v>
      </c>
      <c r="F118" s="694">
        <f xml:space="preserve"> 4</f>
        <v>4</v>
      </c>
      <c r="G118" s="820">
        <v>1239.1099999999999</v>
      </c>
      <c r="H118" s="820">
        <v>4956.4399999999996</v>
      </c>
      <c r="I118" s="821">
        <f t="shared" si="3"/>
        <v>1.4932189715102602E-3</v>
      </c>
      <c r="J118" s="821">
        <f t="shared" si="5"/>
        <v>0.92209269413054717</v>
      </c>
      <c r="K118" s="817" t="str">
        <f t="shared" si="4"/>
        <v>B</v>
      </c>
    </row>
    <row r="119" spans="1:11" ht="30">
      <c r="A119" s="818" t="s">
        <v>44661</v>
      </c>
      <c r="B119" s="684" t="s">
        <v>29901</v>
      </c>
      <c r="C119" s="684" t="s">
        <v>16367</v>
      </c>
      <c r="D119" s="819" t="s">
        <v>44660</v>
      </c>
      <c r="E119" s="684" t="s">
        <v>165</v>
      </c>
      <c r="F119" s="694">
        <f xml:space="preserve"> 51.9</f>
        <v>51.9</v>
      </c>
      <c r="G119" s="820">
        <v>94.11</v>
      </c>
      <c r="H119" s="820">
        <v>4884.3</v>
      </c>
      <c r="I119" s="821">
        <f t="shared" si="3"/>
        <v>1.4714854658883321E-3</v>
      </c>
      <c r="J119" s="821">
        <f t="shared" si="5"/>
        <v>0.92356417959643555</v>
      </c>
      <c r="K119" s="817" t="str">
        <f t="shared" si="4"/>
        <v>B</v>
      </c>
    </row>
    <row r="120" spans="1:11">
      <c r="A120" s="818" t="s">
        <v>44917</v>
      </c>
      <c r="B120" s="684" t="s">
        <v>29901</v>
      </c>
      <c r="C120" s="684" t="s">
        <v>11129</v>
      </c>
      <c r="D120" s="819" t="s">
        <v>44561</v>
      </c>
      <c r="E120" s="684" t="s">
        <v>509</v>
      </c>
      <c r="F120" s="694">
        <f xml:space="preserve"> 5.88 + 106.2</f>
        <v>112.08</v>
      </c>
      <c r="G120" s="820">
        <v>43.19</v>
      </c>
      <c r="H120" s="820">
        <v>4840.72</v>
      </c>
      <c r="I120" s="821">
        <f t="shared" si="3"/>
        <v>1.4583561870554567E-3</v>
      </c>
      <c r="J120" s="821">
        <f t="shared" si="5"/>
        <v>0.92502253578349103</v>
      </c>
      <c r="K120" s="817" t="str">
        <f t="shared" si="4"/>
        <v>B</v>
      </c>
    </row>
    <row r="121" spans="1:11" ht="45">
      <c r="A121" s="818" t="s">
        <v>44719</v>
      </c>
      <c r="B121" s="684" t="s">
        <v>29901</v>
      </c>
      <c r="C121" s="684" t="s">
        <v>13576</v>
      </c>
      <c r="D121" s="819" t="s">
        <v>44718</v>
      </c>
      <c r="E121" s="684" t="s">
        <v>103</v>
      </c>
      <c r="F121" s="694">
        <f xml:space="preserve"> 1</f>
        <v>1</v>
      </c>
      <c r="G121" s="820">
        <v>4818.21</v>
      </c>
      <c r="H121" s="820">
        <v>4818.21</v>
      </c>
      <c r="I121" s="821">
        <f t="shared" si="3"/>
        <v>1.4515746343586227E-3</v>
      </c>
      <c r="J121" s="821">
        <f t="shared" si="5"/>
        <v>0.92647411041784966</v>
      </c>
      <c r="K121" s="817" t="str">
        <f t="shared" si="4"/>
        <v>B</v>
      </c>
    </row>
    <row r="122" spans="1:11" ht="45">
      <c r="A122" s="818" t="s">
        <v>44588</v>
      </c>
      <c r="B122" s="684" t="s">
        <v>29901</v>
      </c>
      <c r="C122" s="684" t="s">
        <v>11769</v>
      </c>
      <c r="D122" s="819" t="s">
        <v>44577</v>
      </c>
      <c r="E122" s="684" t="s">
        <v>121</v>
      </c>
      <c r="F122" s="694">
        <f xml:space="preserve"> 3.78 + 7.22 + 14.29 + 0.57 + 2.97</f>
        <v>28.83</v>
      </c>
      <c r="G122" s="820">
        <v>162.06</v>
      </c>
      <c r="H122" s="820">
        <v>4672.16</v>
      </c>
      <c r="I122" s="821">
        <f t="shared" si="3"/>
        <v>1.4075743779671252E-3</v>
      </c>
      <c r="J122" s="821">
        <f t="shared" si="5"/>
        <v>0.92788168479581679</v>
      </c>
      <c r="K122" s="817" t="str">
        <f t="shared" si="4"/>
        <v>B</v>
      </c>
    </row>
    <row r="123" spans="1:11" ht="45">
      <c r="A123" s="818" t="s">
        <v>44890</v>
      </c>
      <c r="B123" s="684" t="s">
        <v>29901</v>
      </c>
      <c r="C123" s="684" t="s">
        <v>13744</v>
      </c>
      <c r="D123" s="819" t="s">
        <v>42009</v>
      </c>
      <c r="E123" s="684" t="s">
        <v>165</v>
      </c>
      <c r="F123" s="694">
        <f xml:space="preserve"> 110.43</f>
        <v>110.43</v>
      </c>
      <c r="G123" s="820">
        <v>41.41</v>
      </c>
      <c r="H123" s="820">
        <v>4572.8999999999996</v>
      </c>
      <c r="I123" s="821">
        <f t="shared" si="3"/>
        <v>1.3776704721169366E-3</v>
      </c>
      <c r="J123" s="821">
        <f t="shared" si="5"/>
        <v>0.92925935526793368</v>
      </c>
      <c r="K123" s="817" t="str">
        <f t="shared" si="4"/>
        <v>B</v>
      </c>
    </row>
    <row r="124" spans="1:11">
      <c r="A124" s="818" t="s">
        <v>44618</v>
      </c>
      <c r="B124" s="684" t="s">
        <v>29901</v>
      </c>
      <c r="C124" s="684" t="s">
        <v>13341</v>
      </c>
      <c r="D124" s="819" t="s">
        <v>41892</v>
      </c>
      <c r="E124" s="684" t="s">
        <v>509</v>
      </c>
      <c r="F124" s="694">
        <f xml:space="preserve"> 14.43</f>
        <v>14.43</v>
      </c>
      <c r="G124" s="820">
        <v>306.56</v>
      </c>
      <c r="H124" s="820">
        <v>4423.66</v>
      </c>
      <c r="I124" s="821">
        <f t="shared" si="3"/>
        <v>1.3327091693859055E-3</v>
      </c>
      <c r="J124" s="821">
        <f t="shared" si="5"/>
        <v>0.93059206443731957</v>
      </c>
      <c r="K124" s="817" t="str">
        <f t="shared" si="4"/>
        <v>B</v>
      </c>
    </row>
    <row r="125" spans="1:11" ht="45">
      <c r="A125" s="818" t="s">
        <v>44696</v>
      </c>
      <c r="B125" s="684" t="s">
        <v>29901</v>
      </c>
      <c r="C125" s="684" t="s">
        <v>16140</v>
      </c>
      <c r="D125" s="819" t="s">
        <v>41933</v>
      </c>
      <c r="E125" s="684" t="s">
        <v>103</v>
      </c>
      <c r="F125" s="694">
        <f xml:space="preserve"> 4</f>
        <v>4</v>
      </c>
      <c r="G125" s="820">
        <v>1055.1199999999999</v>
      </c>
      <c r="H125" s="820">
        <v>4220.4799999999996</v>
      </c>
      <c r="I125" s="821">
        <f t="shared" si="3"/>
        <v>1.2714974467318526E-3</v>
      </c>
      <c r="J125" s="821">
        <f t="shared" si="5"/>
        <v>0.93186356188405139</v>
      </c>
      <c r="K125" s="817" t="str">
        <f t="shared" si="4"/>
        <v>B</v>
      </c>
    </row>
    <row r="126" spans="1:11" ht="30">
      <c r="A126" s="818" t="s">
        <v>44624</v>
      </c>
      <c r="B126" s="684" t="s">
        <v>29901</v>
      </c>
      <c r="C126" s="684" t="s">
        <v>12465</v>
      </c>
      <c r="D126" s="819" t="s">
        <v>41901</v>
      </c>
      <c r="E126" s="684" t="s">
        <v>509</v>
      </c>
      <c r="F126" s="694">
        <f xml:space="preserve"> 272.63</f>
        <v>272.63</v>
      </c>
      <c r="G126" s="820">
        <v>15.48</v>
      </c>
      <c r="H126" s="820">
        <v>4220.3100000000004</v>
      </c>
      <c r="I126" s="821">
        <f t="shared" si="3"/>
        <v>1.2714462310962037E-3</v>
      </c>
      <c r="J126" s="821">
        <f t="shared" si="5"/>
        <v>0.9331350081151476</v>
      </c>
      <c r="K126" s="817" t="str">
        <f t="shared" si="4"/>
        <v>B</v>
      </c>
    </row>
    <row r="127" spans="1:11" ht="45">
      <c r="A127" s="818" t="s">
        <v>44948</v>
      </c>
      <c r="B127" s="684" t="s">
        <v>29901</v>
      </c>
      <c r="C127" s="684" t="s">
        <v>11453</v>
      </c>
      <c r="D127" s="819" t="s">
        <v>44566</v>
      </c>
      <c r="E127" s="684" t="s">
        <v>121</v>
      </c>
      <c r="F127" s="694">
        <f xml:space="preserve"> 142.811 + 15.21 + 8.042375 + 10.34 + 1.34</f>
        <v>177.74337500000001</v>
      </c>
      <c r="G127" s="820">
        <v>23.53</v>
      </c>
      <c r="H127" s="820">
        <v>4182.29</v>
      </c>
      <c r="I127" s="821">
        <f t="shared" si="3"/>
        <v>1.2599920048174994E-3</v>
      </c>
      <c r="J127" s="821">
        <f t="shared" si="5"/>
        <v>0.93439500011996512</v>
      </c>
      <c r="K127" s="817" t="str">
        <f t="shared" si="4"/>
        <v>B</v>
      </c>
    </row>
    <row r="128" spans="1:11" ht="30">
      <c r="A128" s="818" t="s">
        <v>44942</v>
      </c>
      <c r="B128" s="684" t="s">
        <v>29901</v>
      </c>
      <c r="C128" s="684" t="s">
        <v>13802</v>
      </c>
      <c r="D128" s="819" t="s">
        <v>44941</v>
      </c>
      <c r="E128" s="684" t="s">
        <v>121</v>
      </c>
      <c r="F128" s="694">
        <f xml:space="preserve"> 3.8076</f>
        <v>3.8075999999999999</v>
      </c>
      <c r="G128" s="820">
        <v>1085.6400000000001</v>
      </c>
      <c r="H128" s="820">
        <v>4133.68</v>
      </c>
      <c r="I128" s="821">
        <f t="shared" si="3"/>
        <v>1.2453473457062999E-3</v>
      </c>
      <c r="J128" s="821">
        <f t="shared" si="5"/>
        <v>0.93564034746567137</v>
      </c>
      <c r="K128" s="817" t="str">
        <f t="shared" si="4"/>
        <v>B</v>
      </c>
    </row>
    <row r="129" spans="1:11" ht="45">
      <c r="A129" s="818" t="s">
        <v>44652</v>
      </c>
      <c r="B129" s="684" t="s">
        <v>29901</v>
      </c>
      <c r="C129" s="684" t="s">
        <v>16327</v>
      </c>
      <c r="D129" s="819" t="s">
        <v>41920</v>
      </c>
      <c r="E129" s="684" t="s">
        <v>165</v>
      </c>
      <c r="F129" s="694">
        <f xml:space="preserve"> 5.6 + 8.3 + 53.6</f>
        <v>67.5</v>
      </c>
      <c r="G129" s="820">
        <v>60.89</v>
      </c>
      <c r="H129" s="820">
        <v>4110.0600000000004</v>
      </c>
      <c r="I129" s="821">
        <f t="shared" si="3"/>
        <v>1.2382313850355217E-3</v>
      </c>
      <c r="J129" s="821">
        <f t="shared" si="5"/>
        <v>0.93687857885070691</v>
      </c>
      <c r="K129" s="817" t="str">
        <f t="shared" si="4"/>
        <v>B</v>
      </c>
    </row>
    <row r="130" spans="1:11" ht="30">
      <c r="A130" s="818" t="s">
        <v>44575</v>
      </c>
      <c r="B130" s="684" t="s">
        <v>29901</v>
      </c>
      <c r="C130" s="684" t="s">
        <v>11767</v>
      </c>
      <c r="D130" s="819" t="s">
        <v>41823</v>
      </c>
      <c r="E130" s="684" t="s">
        <v>121</v>
      </c>
      <c r="F130" s="694">
        <f xml:space="preserve"> 7.41 + 9.1 + 0.57</f>
        <v>17.079999999999998</v>
      </c>
      <c r="G130" s="820">
        <v>234.62</v>
      </c>
      <c r="H130" s="820">
        <v>4007.3</v>
      </c>
      <c r="I130" s="821">
        <f t="shared" si="3"/>
        <v>1.2072730396278512E-3</v>
      </c>
      <c r="J130" s="821">
        <f t="shared" si="5"/>
        <v>0.93808585189033478</v>
      </c>
      <c r="K130" s="817" t="str">
        <f t="shared" si="4"/>
        <v>B</v>
      </c>
    </row>
    <row r="131" spans="1:11" ht="45">
      <c r="A131" s="818" t="s">
        <v>42011</v>
      </c>
      <c r="B131" s="684" t="s">
        <v>27888</v>
      </c>
      <c r="C131" s="684">
        <v>97902</v>
      </c>
      <c r="D131" s="819" t="s">
        <v>26624</v>
      </c>
      <c r="E131" s="684" t="s">
        <v>103</v>
      </c>
      <c r="F131" s="694">
        <f xml:space="preserve"> 5</f>
        <v>5</v>
      </c>
      <c r="G131" s="820">
        <v>801.01</v>
      </c>
      <c r="H131" s="820">
        <v>4005.05</v>
      </c>
      <c r="I131" s="821">
        <f t="shared" si="3"/>
        <v>1.2065951856266128E-3</v>
      </c>
      <c r="J131" s="821">
        <f t="shared" si="5"/>
        <v>0.93929244707596138</v>
      </c>
      <c r="K131" s="817" t="str">
        <f t="shared" si="4"/>
        <v>B</v>
      </c>
    </row>
    <row r="132" spans="1:11" ht="30">
      <c r="A132" s="818" t="s">
        <v>44622</v>
      </c>
      <c r="B132" s="684" t="s">
        <v>29901</v>
      </c>
      <c r="C132" s="684" t="s">
        <v>13586</v>
      </c>
      <c r="D132" s="819" t="s">
        <v>41895</v>
      </c>
      <c r="E132" s="684" t="s">
        <v>165</v>
      </c>
      <c r="F132" s="694">
        <f xml:space="preserve"> 5.4</f>
        <v>5.4</v>
      </c>
      <c r="G132" s="820">
        <v>727.65</v>
      </c>
      <c r="H132" s="820">
        <v>3929.31</v>
      </c>
      <c r="I132" s="821">
        <f t="shared" si="3"/>
        <v>1.183777113602703E-3</v>
      </c>
      <c r="J132" s="821">
        <f t="shared" si="5"/>
        <v>0.94047622418956411</v>
      </c>
      <c r="K132" s="817" t="str">
        <f t="shared" si="4"/>
        <v>B</v>
      </c>
    </row>
    <row r="133" spans="1:11">
      <c r="A133" s="818" t="s">
        <v>44806</v>
      </c>
      <c r="B133" s="684" t="s">
        <v>29901</v>
      </c>
      <c r="C133" s="684" t="s">
        <v>18172</v>
      </c>
      <c r="D133" s="819" t="s">
        <v>41982</v>
      </c>
      <c r="E133" s="684" t="s">
        <v>103</v>
      </c>
      <c r="F133" s="694">
        <f xml:space="preserve"> 68</f>
        <v>68</v>
      </c>
      <c r="G133" s="820">
        <v>56.77</v>
      </c>
      <c r="H133" s="820">
        <v>3860.36</v>
      </c>
      <c r="I133" s="821">
        <f t="shared" si="3"/>
        <v>1.1630046543203083E-3</v>
      </c>
      <c r="J133" s="821">
        <f t="shared" si="5"/>
        <v>0.9416392288438844</v>
      </c>
      <c r="K133" s="817" t="str">
        <f t="shared" si="4"/>
        <v>B</v>
      </c>
    </row>
    <row r="134" spans="1:11" ht="30">
      <c r="A134" s="818" t="s">
        <v>41891</v>
      </c>
      <c r="B134" s="684" t="s">
        <v>29901</v>
      </c>
      <c r="C134" s="684" t="s">
        <v>11840</v>
      </c>
      <c r="D134" s="819" t="s">
        <v>44568</v>
      </c>
      <c r="E134" s="684" t="s">
        <v>108</v>
      </c>
      <c r="F134" s="694">
        <f xml:space="preserve"> 1</f>
        <v>1</v>
      </c>
      <c r="G134" s="820">
        <v>3797.29</v>
      </c>
      <c r="H134" s="820">
        <v>3797.29</v>
      </c>
      <c r="I134" s="821">
        <f t="shared" si="3"/>
        <v>1.1440036534944831E-3</v>
      </c>
      <c r="J134" s="821">
        <f t="shared" si="5"/>
        <v>0.94278323249737883</v>
      </c>
      <c r="K134" s="817" t="str">
        <f t="shared" si="4"/>
        <v>B</v>
      </c>
    </row>
    <row r="135" spans="1:11">
      <c r="A135" s="818" t="s">
        <v>44816</v>
      </c>
      <c r="B135" s="684" t="s">
        <v>29901</v>
      </c>
      <c r="C135" s="684" t="s">
        <v>15239</v>
      </c>
      <c r="D135" s="819" t="s">
        <v>41985</v>
      </c>
      <c r="E135" s="684" t="s">
        <v>103</v>
      </c>
      <c r="F135" s="694">
        <f xml:space="preserve"> 34</f>
        <v>34</v>
      </c>
      <c r="G135" s="820">
        <v>110.4</v>
      </c>
      <c r="H135" s="820">
        <v>3753.6</v>
      </c>
      <c r="I135" s="821">
        <f t="shared" si="3"/>
        <v>1.1308412351326584E-3</v>
      </c>
      <c r="J135" s="821">
        <f t="shared" si="5"/>
        <v>0.94391407373251146</v>
      </c>
      <c r="K135" s="817" t="str">
        <f t="shared" si="4"/>
        <v>B</v>
      </c>
    </row>
    <row r="136" spans="1:11" ht="30">
      <c r="A136" s="818" t="s">
        <v>44856</v>
      </c>
      <c r="B136" s="684" t="s">
        <v>29901</v>
      </c>
      <c r="C136" s="684" t="s">
        <v>15960</v>
      </c>
      <c r="D136" s="819" t="s">
        <v>44855</v>
      </c>
      <c r="E136" s="684" t="s">
        <v>103</v>
      </c>
      <c r="F136" s="694">
        <f xml:space="preserve"> 1</f>
        <v>1</v>
      </c>
      <c r="G136" s="820">
        <v>3745.13</v>
      </c>
      <c r="H136" s="820">
        <v>3745.13</v>
      </c>
      <c r="I136" s="821">
        <f t="shared" si="3"/>
        <v>1.1282894914035519E-3</v>
      </c>
      <c r="J136" s="821">
        <f t="shared" si="5"/>
        <v>0.94504236322391499</v>
      </c>
      <c r="K136" s="817" t="str">
        <f t="shared" si="4"/>
        <v>B</v>
      </c>
    </row>
    <row r="137" spans="1:11">
      <c r="A137" s="818" t="s">
        <v>44788</v>
      </c>
      <c r="B137" s="684" t="s">
        <v>29901</v>
      </c>
      <c r="C137" s="684" t="s">
        <v>15251</v>
      </c>
      <c r="D137" s="819" t="s">
        <v>41969</v>
      </c>
      <c r="E137" s="684" t="s">
        <v>396</v>
      </c>
      <c r="F137" s="694">
        <f xml:space="preserve"> 102</f>
        <v>102</v>
      </c>
      <c r="G137" s="820">
        <v>36.19</v>
      </c>
      <c r="H137" s="820">
        <v>3691.38</v>
      </c>
      <c r="I137" s="821">
        <f t="shared" si="3"/>
        <v>1.112096312485079E-3</v>
      </c>
      <c r="J137" s="821">
        <f t="shared" si="5"/>
        <v>0.94615445953640009</v>
      </c>
      <c r="K137" s="817" t="str">
        <f t="shared" si="4"/>
        <v>B</v>
      </c>
    </row>
    <row r="138" spans="1:11" ht="30">
      <c r="A138" s="818" t="s">
        <v>44665</v>
      </c>
      <c r="B138" s="684" t="s">
        <v>29901</v>
      </c>
      <c r="C138" s="684" t="s">
        <v>16371</v>
      </c>
      <c r="D138" s="819" t="s">
        <v>44664</v>
      </c>
      <c r="E138" s="684" t="s">
        <v>165</v>
      </c>
      <c r="F138" s="694">
        <f xml:space="preserve"> 14.2</f>
        <v>14.2</v>
      </c>
      <c r="G138" s="820">
        <v>250.79</v>
      </c>
      <c r="H138" s="820">
        <v>3561.21</v>
      </c>
      <c r="I138" s="821">
        <f t="shared" ref="I138:I201" si="6">H138 / 3319298.84</f>
        <v>1.0728801990000998E-3</v>
      </c>
      <c r="J138" s="821">
        <f t="shared" si="5"/>
        <v>0.94722733973540019</v>
      </c>
      <c r="K138" s="817" t="str">
        <f t="shared" ref="K138:K201" si="7">IF($J138="","",IF($J138&lt;=0.8,"A",IF($J138&gt;=0.95,"C","B")))</f>
        <v>B</v>
      </c>
    </row>
    <row r="139" spans="1:11">
      <c r="A139" s="818" t="s">
        <v>44656</v>
      </c>
      <c r="B139" s="684" t="s">
        <v>41261</v>
      </c>
      <c r="C139" s="684" t="s">
        <v>23358</v>
      </c>
      <c r="D139" s="819" t="s">
        <v>23359</v>
      </c>
      <c r="E139" s="684" t="s">
        <v>165</v>
      </c>
      <c r="F139" s="694">
        <f xml:space="preserve"> 15.9</f>
        <v>15.9</v>
      </c>
      <c r="G139" s="820">
        <v>217.02</v>
      </c>
      <c r="H139" s="820">
        <v>3450.61</v>
      </c>
      <c r="I139" s="821">
        <f t="shared" si="6"/>
        <v>1.0395599089836696E-3</v>
      </c>
      <c r="J139" s="821">
        <f t="shared" ref="J139:J202" si="8">I139 + J138</f>
        <v>0.94826689964438382</v>
      </c>
      <c r="K139" s="817" t="str">
        <f t="shared" si="7"/>
        <v>B</v>
      </c>
    </row>
    <row r="140" spans="1:11" ht="45">
      <c r="A140" s="818" t="s">
        <v>44711</v>
      </c>
      <c r="B140" s="684" t="s">
        <v>29901</v>
      </c>
      <c r="C140" s="684" t="s">
        <v>13603</v>
      </c>
      <c r="D140" s="819" t="s">
        <v>44710</v>
      </c>
      <c r="E140" s="684" t="s">
        <v>396</v>
      </c>
      <c r="F140" s="694">
        <f xml:space="preserve"> 4</f>
        <v>4</v>
      </c>
      <c r="G140" s="820">
        <v>850.44</v>
      </c>
      <c r="H140" s="820">
        <v>3401.76</v>
      </c>
      <c r="I140" s="821">
        <f t="shared" si="6"/>
        <v>1.0248429454456714E-3</v>
      </c>
      <c r="J140" s="821">
        <f t="shared" si="8"/>
        <v>0.94929174258982951</v>
      </c>
      <c r="K140" s="817" t="str">
        <f t="shared" si="7"/>
        <v>B</v>
      </c>
    </row>
    <row r="141" spans="1:11">
      <c r="A141" s="818" t="s">
        <v>44722</v>
      </c>
      <c r="B141" s="684" t="s">
        <v>29901</v>
      </c>
      <c r="C141" s="684" t="s">
        <v>12039</v>
      </c>
      <c r="D141" s="819" t="s">
        <v>44949</v>
      </c>
      <c r="E141" s="684" t="s">
        <v>509</v>
      </c>
      <c r="F141" s="694">
        <f xml:space="preserve"> 2.16</f>
        <v>2.16</v>
      </c>
      <c r="G141" s="820">
        <v>1572.63</v>
      </c>
      <c r="H141" s="820">
        <v>3396.88</v>
      </c>
      <c r="I141" s="821">
        <f t="shared" si="6"/>
        <v>1.0233727554340966E-3</v>
      </c>
      <c r="J141" s="821">
        <f t="shared" si="8"/>
        <v>0.95031511534526358</v>
      </c>
      <c r="K141" s="817" t="str">
        <f t="shared" si="7"/>
        <v>C</v>
      </c>
    </row>
    <row r="142" spans="1:11" ht="30">
      <c r="A142" s="818" t="s">
        <v>44902</v>
      </c>
      <c r="B142" s="684" t="s">
        <v>29901</v>
      </c>
      <c r="C142" s="684" t="s">
        <v>13852</v>
      </c>
      <c r="D142" s="819" t="s">
        <v>44901</v>
      </c>
      <c r="E142" s="684" t="s">
        <v>509</v>
      </c>
      <c r="F142" s="694">
        <f xml:space="preserve"> 81.3604</f>
        <v>81.360399999999998</v>
      </c>
      <c r="G142" s="820">
        <v>41.46</v>
      </c>
      <c r="H142" s="820">
        <v>3373.2</v>
      </c>
      <c r="I142" s="821">
        <f t="shared" si="6"/>
        <v>1.0162387186566184E-3</v>
      </c>
      <c r="J142" s="821">
        <f t="shared" si="8"/>
        <v>0.95133135406392022</v>
      </c>
      <c r="K142" s="817" t="str">
        <f t="shared" si="7"/>
        <v>C</v>
      </c>
    </row>
    <row r="143" spans="1:11" ht="45">
      <c r="A143" s="818" t="s">
        <v>44827</v>
      </c>
      <c r="B143" s="684" t="s">
        <v>27888</v>
      </c>
      <c r="C143" s="684">
        <v>97892</v>
      </c>
      <c r="D143" s="819" t="s">
        <v>25760</v>
      </c>
      <c r="E143" s="684" t="s">
        <v>103</v>
      </c>
      <c r="F143" s="694">
        <f xml:space="preserve"> 3 + 3</f>
        <v>6</v>
      </c>
      <c r="G143" s="820">
        <v>548.41999999999996</v>
      </c>
      <c r="H143" s="820">
        <v>3290.52</v>
      </c>
      <c r="I143" s="821">
        <f t="shared" si="6"/>
        <v>9.913298436244446E-4</v>
      </c>
      <c r="J143" s="821">
        <f t="shared" si="8"/>
        <v>0.95232268390754471</v>
      </c>
      <c r="K143" s="817" t="str">
        <f t="shared" si="7"/>
        <v>C</v>
      </c>
    </row>
    <row r="144" spans="1:11" ht="30">
      <c r="A144" s="818" t="s">
        <v>44918</v>
      </c>
      <c r="B144" s="684" t="s">
        <v>29901</v>
      </c>
      <c r="C144" s="684" t="s">
        <v>10948</v>
      </c>
      <c r="D144" s="819" t="s">
        <v>44558</v>
      </c>
      <c r="E144" s="684" t="s">
        <v>121</v>
      </c>
      <c r="F144" s="694">
        <f xml:space="preserve"> 14.382 + 15.06</f>
        <v>29.442</v>
      </c>
      <c r="G144" s="820">
        <v>111.27</v>
      </c>
      <c r="H144" s="820">
        <v>3276</v>
      </c>
      <c r="I144" s="821">
        <f t="shared" si="6"/>
        <v>9.8695542580311941E-4</v>
      </c>
      <c r="J144" s="821">
        <f t="shared" si="8"/>
        <v>0.95330963933334778</v>
      </c>
      <c r="K144" s="817" t="str">
        <f t="shared" si="7"/>
        <v>C</v>
      </c>
    </row>
    <row r="145" spans="1:11" ht="45">
      <c r="A145" s="818" t="s">
        <v>44927</v>
      </c>
      <c r="B145" s="684" t="s">
        <v>29901</v>
      </c>
      <c r="C145" s="684" t="s">
        <v>11779</v>
      </c>
      <c r="D145" s="819" t="s">
        <v>41816</v>
      </c>
      <c r="E145" s="684" t="s">
        <v>121</v>
      </c>
      <c r="F145" s="694">
        <f xml:space="preserve"> 0.632375 + 1.24 + 0.77 + 6.70382 + 2.601</f>
        <v>11.947195000000001</v>
      </c>
      <c r="G145" s="820">
        <v>271.39</v>
      </c>
      <c r="H145" s="820">
        <v>3242.33</v>
      </c>
      <c r="I145" s="821">
        <f t="shared" si="6"/>
        <v>9.7681171726014273E-4</v>
      </c>
      <c r="J145" s="821">
        <f t="shared" si="8"/>
        <v>0.95428645105060794</v>
      </c>
      <c r="K145" s="817" t="str">
        <f t="shared" si="7"/>
        <v>C</v>
      </c>
    </row>
    <row r="146" spans="1:11">
      <c r="A146" s="818" t="s">
        <v>44810</v>
      </c>
      <c r="B146" s="684" t="s">
        <v>29901</v>
      </c>
      <c r="C146" s="684" t="s">
        <v>15315</v>
      </c>
      <c r="D146" s="819" t="s">
        <v>41949</v>
      </c>
      <c r="E146" s="684" t="s">
        <v>103</v>
      </c>
      <c r="F146" s="694">
        <f xml:space="preserve"> 126 + 24</f>
        <v>150</v>
      </c>
      <c r="G146" s="820">
        <v>21.53</v>
      </c>
      <c r="H146" s="820">
        <v>3229.5</v>
      </c>
      <c r="I146" s="821">
        <f t="shared" si="6"/>
        <v>9.7294644311085891E-4</v>
      </c>
      <c r="J146" s="821">
        <f t="shared" si="8"/>
        <v>0.9552593974937188</v>
      </c>
      <c r="K146" s="817" t="str">
        <f t="shared" si="7"/>
        <v>C</v>
      </c>
    </row>
    <row r="147" spans="1:11">
      <c r="A147" s="818" t="s">
        <v>41906</v>
      </c>
      <c r="B147" s="684" t="s">
        <v>29901</v>
      </c>
      <c r="C147" s="684" t="s">
        <v>13502</v>
      </c>
      <c r="D147" s="819" t="s">
        <v>44619</v>
      </c>
      <c r="E147" s="684" t="s">
        <v>103</v>
      </c>
      <c r="F147" s="694">
        <f xml:space="preserve"> 10</f>
        <v>10</v>
      </c>
      <c r="G147" s="820">
        <v>312.79000000000002</v>
      </c>
      <c r="H147" s="820">
        <v>3127.9</v>
      </c>
      <c r="I147" s="821">
        <f t="shared" si="6"/>
        <v>9.4233756909938254E-4</v>
      </c>
      <c r="J147" s="821">
        <f t="shared" si="8"/>
        <v>0.95620173506281814</v>
      </c>
      <c r="K147" s="817" t="str">
        <f t="shared" si="7"/>
        <v>C</v>
      </c>
    </row>
    <row r="148" spans="1:11" ht="30">
      <c r="A148" s="818" t="s">
        <v>44754</v>
      </c>
      <c r="B148" s="684" t="s">
        <v>29901</v>
      </c>
      <c r="C148" s="684" t="s">
        <v>14294</v>
      </c>
      <c r="D148" s="819" t="s">
        <v>44753</v>
      </c>
      <c r="E148" s="684" t="s">
        <v>103</v>
      </c>
      <c r="F148" s="694">
        <f xml:space="preserve"> 2</f>
        <v>2</v>
      </c>
      <c r="G148" s="820">
        <v>1553.67</v>
      </c>
      <c r="H148" s="820">
        <v>3107.34</v>
      </c>
      <c r="I148" s="821">
        <f t="shared" si="6"/>
        <v>9.361434898702885E-4</v>
      </c>
      <c r="J148" s="821">
        <f t="shared" si="8"/>
        <v>0.95713787855268839</v>
      </c>
      <c r="K148" s="817" t="str">
        <f t="shared" si="7"/>
        <v>C</v>
      </c>
    </row>
    <row r="149" spans="1:11" ht="30">
      <c r="A149" s="818" t="s">
        <v>44892</v>
      </c>
      <c r="B149" s="684" t="s">
        <v>29901</v>
      </c>
      <c r="C149" s="684" t="s">
        <v>15118</v>
      </c>
      <c r="D149" s="819" t="s">
        <v>44891</v>
      </c>
      <c r="E149" s="684" t="s">
        <v>165</v>
      </c>
      <c r="F149" s="694">
        <f xml:space="preserve"> 218.6</f>
        <v>218.6</v>
      </c>
      <c r="G149" s="820">
        <v>14.03</v>
      </c>
      <c r="H149" s="820">
        <v>3066.95</v>
      </c>
      <c r="I149" s="821">
        <f t="shared" si="6"/>
        <v>9.2397525737694653E-4</v>
      </c>
      <c r="J149" s="821">
        <f t="shared" si="8"/>
        <v>0.95806185381006537</v>
      </c>
      <c r="K149" s="817" t="str">
        <f t="shared" si="7"/>
        <v>C</v>
      </c>
    </row>
    <row r="150" spans="1:11">
      <c r="A150" s="818" t="s">
        <v>44709</v>
      </c>
      <c r="B150" s="684" t="s">
        <v>29901</v>
      </c>
      <c r="C150" s="684" t="s">
        <v>13365</v>
      </c>
      <c r="D150" s="819" t="s">
        <v>41938</v>
      </c>
      <c r="E150" s="684" t="s">
        <v>509</v>
      </c>
      <c r="F150" s="694">
        <f xml:space="preserve"> 4.32</f>
        <v>4.32</v>
      </c>
      <c r="G150" s="820">
        <v>705.09</v>
      </c>
      <c r="H150" s="820">
        <v>3045.98</v>
      </c>
      <c r="I150" s="821">
        <f t="shared" si="6"/>
        <v>9.1765765808540464E-4</v>
      </c>
      <c r="J150" s="821">
        <f t="shared" si="8"/>
        <v>0.95897951146815075</v>
      </c>
      <c r="K150" s="817" t="str">
        <f t="shared" si="7"/>
        <v>C</v>
      </c>
    </row>
    <row r="151" spans="1:11">
      <c r="A151" s="818" t="s">
        <v>44745</v>
      </c>
      <c r="B151" s="684" t="s">
        <v>29901</v>
      </c>
      <c r="C151" s="684" t="s">
        <v>15317</v>
      </c>
      <c r="D151" s="819" t="s">
        <v>41950</v>
      </c>
      <c r="E151" s="684" t="s">
        <v>103</v>
      </c>
      <c r="F151" s="694">
        <f xml:space="preserve"> 109</f>
        <v>109</v>
      </c>
      <c r="G151" s="820">
        <v>27.58</v>
      </c>
      <c r="H151" s="820">
        <v>3006.22</v>
      </c>
      <c r="I151" s="821">
        <f t="shared" si="6"/>
        <v>9.0567922471240943E-4</v>
      </c>
      <c r="J151" s="821">
        <f t="shared" si="8"/>
        <v>0.95988519069286315</v>
      </c>
      <c r="K151" s="817" t="str">
        <f t="shared" si="7"/>
        <v>C</v>
      </c>
    </row>
    <row r="152" spans="1:11" ht="30">
      <c r="A152" s="818" t="s">
        <v>44673</v>
      </c>
      <c r="B152" s="684" t="s">
        <v>29901</v>
      </c>
      <c r="C152" s="684" t="s">
        <v>13568</v>
      </c>
      <c r="D152" s="819" t="s">
        <v>41894</v>
      </c>
      <c r="E152" s="684" t="s">
        <v>103</v>
      </c>
      <c r="F152" s="694">
        <f xml:space="preserve"> 6 + 8</f>
        <v>14</v>
      </c>
      <c r="G152" s="820">
        <v>209.63</v>
      </c>
      <c r="H152" s="820">
        <v>2934.82</v>
      </c>
      <c r="I152" s="821">
        <f t="shared" si="6"/>
        <v>8.8416865773977742E-4</v>
      </c>
      <c r="J152" s="821">
        <f t="shared" si="8"/>
        <v>0.96076935935060293</v>
      </c>
      <c r="K152" s="817" t="str">
        <f t="shared" si="7"/>
        <v>C</v>
      </c>
    </row>
    <row r="153" spans="1:11" ht="45">
      <c r="A153" s="818" t="s">
        <v>44889</v>
      </c>
      <c r="B153" s="684" t="s">
        <v>29901</v>
      </c>
      <c r="C153" s="684" t="s">
        <v>13740</v>
      </c>
      <c r="D153" s="819" t="s">
        <v>42006</v>
      </c>
      <c r="E153" s="684" t="s">
        <v>165</v>
      </c>
      <c r="F153" s="694">
        <f xml:space="preserve"> 108.16</f>
        <v>108.16</v>
      </c>
      <c r="G153" s="820">
        <v>26.23</v>
      </c>
      <c r="H153" s="820">
        <v>2837.03</v>
      </c>
      <c r="I153" s="821">
        <f t="shared" si="6"/>
        <v>8.5470761650373133E-4</v>
      </c>
      <c r="J153" s="821">
        <f t="shared" si="8"/>
        <v>0.96162406696710667</v>
      </c>
      <c r="K153" s="817" t="str">
        <f t="shared" si="7"/>
        <v>C</v>
      </c>
    </row>
    <row r="154" spans="1:11" ht="30">
      <c r="A154" s="818" t="s">
        <v>44935</v>
      </c>
      <c r="B154" s="684" t="s">
        <v>29901</v>
      </c>
      <c r="C154" s="684" t="s">
        <v>13172</v>
      </c>
      <c r="D154" s="819" t="s">
        <v>44934</v>
      </c>
      <c r="E154" s="684" t="s">
        <v>165</v>
      </c>
      <c r="F154" s="694">
        <f xml:space="preserve"> 2.26</f>
        <v>2.2599999999999998</v>
      </c>
      <c r="G154" s="820">
        <v>1210.22</v>
      </c>
      <c r="H154" s="820">
        <v>2735.09</v>
      </c>
      <c r="I154" s="821">
        <f t="shared" si="6"/>
        <v>8.2399631122095657E-4</v>
      </c>
      <c r="J154" s="821">
        <f t="shared" si="8"/>
        <v>0.96244806327832766</v>
      </c>
      <c r="K154" s="817" t="str">
        <f t="shared" si="7"/>
        <v>C</v>
      </c>
    </row>
    <row r="155" spans="1:11" ht="45">
      <c r="A155" s="818" t="s">
        <v>44761</v>
      </c>
      <c r="B155" s="684" t="s">
        <v>29901</v>
      </c>
      <c r="C155" s="684" t="s">
        <v>14576</v>
      </c>
      <c r="D155" s="819" t="s">
        <v>44760</v>
      </c>
      <c r="E155" s="684" t="s">
        <v>103</v>
      </c>
      <c r="F155" s="694">
        <f xml:space="preserve"> 4</f>
        <v>4</v>
      </c>
      <c r="G155" s="820">
        <v>675.58</v>
      </c>
      <c r="H155" s="820">
        <v>2702.32</v>
      </c>
      <c r="I155" s="821">
        <f t="shared" si="6"/>
        <v>8.1412374427847548E-4</v>
      </c>
      <c r="J155" s="821">
        <f t="shared" si="8"/>
        <v>0.96326218702260613</v>
      </c>
      <c r="K155" s="817" t="str">
        <f t="shared" si="7"/>
        <v>C</v>
      </c>
    </row>
    <row r="156" spans="1:11" ht="30">
      <c r="A156" s="818" t="s">
        <v>44771</v>
      </c>
      <c r="B156" s="684" t="s">
        <v>29901</v>
      </c>
      <c r="C156" s="684" t="s">
        <v>14931</v>
      </c>
      <c r="D156" s="819" t="s">
        <v>41963</v>
      </c>
      <c r="E156" s="684" t="s">
        <v>165</v>
      </c>
      <c r="F156" s="694">
        <f xml:space="preserve"> 137.4</f>
        <v>137.4</v>
      </c>
      <c r="G156" s="820">
        <v>18.440000000000001</v>
      </c>
      <c r="H156" s="820">
        <v>2533.65</v>
      </c>
      <c r="I156" s="821">
        <f t="shared" si="6"/>
        <v>7.6330879566119457E-4</v>
      </c>
      <c r="J156" s="821">
        <f t="shared" si="8"/>
        <v>0.96402549581826735</v>
      </c>
      <c r="K156" s="817" t="str">
        <f t="shared" si="7"/>
        <v>C</v>
      </c>
    </row>
    <row r="157" spans="1:11">
      <c r="A157" s="818" t="s">
        <v>44611</v>
      </c>
      <c r="B157" s="684" t="s">
        <v>29901</v>
      </c>
      <c r="C157" s="684" t="s">
        <v>12907</v>
      </c>
      <c r="D157" s="819" t="s">
        <v>44610</v>
      </c>
      <c r="E157" s="684" t="s">
        <v>103</v>
      </c>
      <c r="F157" s="694">
        <f xml:space="preserve"> 3</f>
        <v>3</v>
      </c>
      <c r="G157" s="820">
        <v>832.62</v>
      </c>
      <c r="H157" s="820">
        <v>2497.86</v>
      </c>
      <c r="I157" s="821">
        <f t="shared" si="6"/>
        <v>7.5252639801482899E-4</v>
      </c>
      <c r="J157" s="821">
        <f t="shared" si="8"/>
        <v>0.96477802221628217</v>
      </c>
      <c r="K157" s="817" t="str">
        <f t="shared" si="7"/>
        <v>C</v>
      </c>
    </row>
    <row r="158" spans="1:11" ht="30">
      <c r="A158" s="818" t="s">
        <v>44944</v>
      </c>
      <c r="B158" s="684" t="s">
        <v>29901</v>
      </c>
      <c r="C158" s="684" t="s">
        <v>13786</v>
      </c>
      <c r="D158" s="819" t="s">
        <v>44943</v>
      </c>
      <c r="E158" s="684" t="s">
        <v>509</v>
      </c>
      <c r="F158" s="694">
        <f xml:space="preserve"> 99.2</f>
        <v>99.2</v>
      </c>
      <c r="G158" s="820">
        <v>24.15</v>
      </c>
      <c r="H158" s="820">
        <v>2395.6799999999998</v>
      </c>
      <c r="I158" s="821">
        <f t="shared" si="6"/>
        <v>7.2174278830525543E-4</v>
      </c>
      <c r="J158" s="821">
        <f t="shared" si="8"/>
        <v>0.96549976500458745</v>
      </c>
      <c r="K158" s="817" t="str">
        <f t="shared" si="7"/>
        <v>C</v>
      </c>
    </row>
    <row r="159" spans="1:11">
      <c r="A159" s="818" t="s">
        <v>44910</v>
      </c>
      <c r="B159" s="684" t="s">
        <v>41227</v>
      </c>
      <c r="C159" s="684" t="s">
        <v>41881</v>
      </c>
      <c r="D159" s="819" t="s">
        <v>41882</v>
      </c>
      <c r="E159" s="684" t="s">
        <v>103</v>
      </c>
      <c r="F159" s="694">
        <f xml:space="preserve"> 19</f>
        <v>19</v>
      </c>
      <c r="G159" s="820">
        <v>120.88</v>
      </c>
      <c r="H159" s="820">
        <v>2296.7199999999998</v>
      </c>
      <c r="I159" s="821">
        <f t="shared" si="6"/>
        <v>6.9192926298856537E-4</v>
      </c>
      <c r="J159" s="821">
        <f t="shared" si="8"/>
        <v>0.96619169426757601</v>
      </c>
      <c r="K159" s="817" t="str">
        <f t="shared" si="7"/>
        <v>C</v>
      </c>
    </row>
    <row r="160" spans="1:11">
      <c r="A160" s="818" t="s">
        <v>44826</v>
      </c>
      <c r="B160" s="684" t="s">
        <v>29901</v>
      </c>
      <c r="C160" s="684" t="s">
        <v>18025</v>
      </c>
      <c r="D160" s="819" t="s">
        <v>44825</v>
      </c>
      <c r="E160" s="684" t="s">
        <v>103</v>
      </c>
      <c r="F160" s="694">
        <f xml:space="preserve"> 1</f>
        <v>1</v>
      </c>
      <c r="G160" s="820">
        <v>2286.08</v>
      </c>
      <c r="H160" s="820">
        <v>2286.08</v>
      </c>
      <c r="I160" s="821">
        <f t="shared" si="6"/>
        <v>6.8872376673382023E-4</v>
      </c>
      <c r="J160" s="821">
        <f t="shared" si="8"/>
        <v>0.9668804180343098</v>
      </c>
      <c r="K160" s="817" t="str">
        <f t="shared" si="7"/>
        <v>C</v>
      </c>
    </row>
    <row r="161" spans="1:11">
      <c r="A161" s="818" t="s">
        <v>44796</v>
      </c>
      <c r="B161" s="684" t="s">
        <v>29901</v>
      </c>
      <c r="C161" s="684" t="s">
        <v>15710</v>
      </c>
      <c r="D161" s="819" t="s">
        <v>41974</v>
      </c>
      <c r="E161" s="684" t="s">
        <v>103</v>
      </c>
      <c r="F161" s="694">
        <f xml:space="preserve"> 9</f>
        <v>9</v>
      </c>
      <c r="G161" s="820">
        <v>247.49</v>
      </c>
      <c r="H161" s="820">
        <v>2227.41</v>
      </c>
      <c r="I161" s="821">
        <f t="shared" si="6"/>
        <v>6.7104834706597247E-4</v>
      </c>
      <c r="J161" s="821">
        <f t="shared" si="8"/>
        <v>0.96755146638137579</v>
      </c>
      <c r="K161" s="817" t="str">
        <f t="shared" si="7"/>
        <v>C</v>
      </c>
    </row>
    <row r="162" spans="1:11" ht="30">
      <c r="A162" s="818" t="s">
        <v>44692</v>
      </c>
      <c r="B162" s="684" t="s">
        <v>29901</v>
      </c>
      <c r="C162" s="684" t="s">
        <v>16076</v>
      </c>
      <c r="D162" s="819" t="s">
        <v>41929</v>
      </c>
      <c r="E162" s="684" t="s">
        <v>103</v>
      </c>
      <c r="F162" s="694">
        <f xml:space="preserve"> 7</f>
        <v>7</v>
      </c>
      <c r="G162" s="820">
        <v>315.95999999999998</v>
      </c>
      <c r="H162" s="820">
        <v>2211.7199999999998</v>
      </c>
      <c r="I162" s="821">
        <f t="shared" si="6"/>
        <v>6.6632144516400331E-4</v>
      </c>
      <c r="J162" s="821">
        <f t="shared" si="8"/>
        <v>0.96821778782653978</v>
      </c>
      <c r="K162" s="817" t="str">
        <f t="shared" si="7"/>
        <v>C</v>
      </c>
    </row>
    <row r="163" spans="1:11">
      <c r="A163" s="818" t="s">
        <v>44678</v>
      </c>
      <c r="B163" s="684" t="s">
        <v>29901</v>
      </c>
      <c r="C163" s="684" t="s">
        <v>16026</v>
      </c>
      <c r="D163" s="819" t="s">
        <v>44677</v>
      </c>
      <c r="E163" s="684" t="s">
        <v>103</v>
      </c>
      <c r="F163" s="694">
        <f xml:space="preserve"> 2</f>
        <v>2</v>
      </c>
      <c r="G163" s="820">
        <v>1103.54</v>
      </c>
      <c r="H163" s="820">
        <v>2207.08</v>
      </c>
      <c r="I163" s="821">
        <f t="shared" si="6"/>
        <v>6.6492355957922724E-4</v>
      </c>
      <c r="J163" s="821">
        <f t="shared" si="8"/>
        <v>0.96888271138611903</v>
      </c>
      <c r="K163" s="817" t="str">
        <f t="shared" si="7"/>
        <v>C</v>
      </c>
    </row>
    <row r="164" spans="1:11">
      <c r="A164" s="818" t="s">
        <v>44928</v>
      </c>
      <c r="B164" s="684" t="s">
        <v>29901</v>
      </c>
      <c r="C164" s="684" t="s">
        <v>11701</v>
      </c>
      <c r="D164" s="819" t="s">
        <v>41908</v>
      </c>
      <c r="E164" s="684" t="s">
        <v>121</v>
      </c>
      <c r="F164" s="694">
        <f xml:space="preserve"> 3.6414</f>
        <v>3.6414</v>
      </c>
      <c r="G164" s="820">
        <v>604.41999999999996</v>
      </c>
      <c r="H164" s="820">
        <v>2200.9299999999998</v>
      </c>
      <c r="I164" s="821">
        <f t="shared" si="6"/>
        <v>6.6307075864250893E-4</v>
      </c>
      <c r="J164" s="821">
        <f t="shared" si="8"/>
        <v>0.9695457821447615</v>
      </c>
      <c r="K164" s="817" t="str">
        <f t="shared" si="7"/>
        <v>C</v>
      </c>
    </row>
    <row r="165" spans="1:11" ht="30">
      <c r="A165" s="818" t="s">
        <v>44666</v>
      </c>
      <c r="B165" s="684" t="s">
        <v>29901</v>
      </c>
      <c r="C165" s="684" t="s">
        <v>11519</v>
      </c>
      <c r="D165" s="819" t="s">
        <v>41821</v>
      </c>
      <c r="E165" s="684" t="s">
        <v>121</v>
      </c>
      <c r="F165" s="694">
        <f xml:space="preserve"> 38.379125 + 26.04 + 33.24006 + 45.15</f>
        <v>142.80918500000001</v>
      </c>
      <c r="G165" s="820">
        <v>14.25</v>
      </c>
      <c r="H165" s="820">
        <v>2035.02</v>
      </c>
      <c r="I165" s="821">
        <f t="shared" si="6"/>
        <v>6.130873109334139E-4</v>
      </c>
      <c r="J165" s="821">
        <f t="shared" si="8"/>
        <v>0.97015886945569496</v>
      </c>
      <c r="K165" s="817" t="str">
        <f t="shared" si="7"/>
        <v>C</v>
      </c>
    </row>
    <row r="166" spans="1:11" ht="30">
      <c r="A166" s="818" t="s">
        <v>42001</v>
      </c>
      <c r="B166" s="684" t="s">
        <v>29901</v>
      </c>
      <c r="C166" s="684" t="s">
        <v>17050</v>
      </c>
      <c r="D166" s="819" t="s">
        <v>41914</v>
      </c>
      <c r="E166" s="684" t="s">
        <v>103</v>
      </c>
      <c r="F166" s="694">
        <f xml:space="preserve"> 8</f>
        <v>8</v>
      </c>
      <c r="G166" s="820">
        <v>250.45</v>
      </c>
      <c r="H166" s="820">
        <v>2003.6</v>
      </c>
      <c r="I166" s="821">
        <f t="shared" si="6"/>
        <v>6.0362145639167579E-4</v>
      </c>
      <c r="J166" s="821">
        <f t="shared" si="8"/>
        <v>0.97076249091208666</v>
      </c>
      <c r="K166" s="817" t="str">
        <f t="shared" si="7"/>
        <v>C</v>
      </c>
    </row>
    <row r="167" spans="1:11" ht="30">
      <c r="A167" s="818" t="s">
        <v>44752</v>
      </c>
      <c r="B167" s="684" t="s">
        <v>29901</v>
      </c>
      <c r="C167" s="684" t="s">
        <v>14290</v>
      </c>
      <c r="D167" s="819" t="s">
        <v>44751</v>
      </c>
      <c r="E167" s="684" t="s">
        <v>103</v>
      </c>
      <c r="F167" s="694">
        <f xml:space="preserve"> 2</f>
        <v>2</v>
      </c>
      <c r="G167" s="820">
        <v>994.81</v>
      </c>
      <c r="H167" s="820">
        <v>1989.62</v>
      </c>
      <c r="I167" s="821">
        <f t="shared" si="6"/>
        <v>5.994097235306478E-4</v>
      </c>
      <c r="J167" s="821">
        <f t="shared" si="8"/>
        <v>0.97136190063561734</v>
      </c>
      <c r="K167" s="817" t="str">
        <f t="shared" si="7"/>
        <v>C</v>
      </c>
    </row>
    <row r="168" spans="1:11">
      <c r="A168" s="818" t="s">
        <v>44814</v>
      </c>
      <c r="B168" s="684" t="s">
        <v>29901</v>
      </c>
      <c r="C168" s="684" t="s">
        <v>18230</v>
      </c>
      <c r="D168" s="819" t="s">
        <v>41991</v>
      </c>
      <c r="E168" s="684" t="s">
        <v>103</v>
      </c>
      <c r="F168" s="694">
        <f xml:space="preserve"> 2</f>
        <v>2</v>
      </c>
      <c r="G168" s="820">
        <v>969.3</v>
      </c>
      <c r="H168" s="820">
        <v>1938.6</v>
      </c>
      <c r="I168" s="821">
        <f t="shared" si="6"/>
        <v>5.8403900746701069E-4</v>
      </c>
      <c r="J168" s="821">
        <f t="shared" si="8"/>
        <v>0.9719459396430844</v>
      </c>
      <c r="K168" s="817" t="str">
        <f t="shared" si="7"/>
        <v>C</v>
      </c>
    </row>
    <row r="169" spans="1:11" ht="30">
      <c r="A169" s="818" t="s">
        <v>44764</v>
      </c>
      <c r="B169" s="684" t="s">
        <v>29901</v>
      </c>
      <c r="C169" s="684" t="s">
        <v>14560</v>
      </c>
      <c r="D169" s="819" t="s">
        <v>44763</v>
      </c>
      <c r="E169" s="684" t="s">
        <v>103</v>
      </c>
      <c r="F169" s="694">
        <f xml:space="preserve"> 20</f>
        <v>20</v>
      </c>
      <c r="G169" s="820">
        <v>96.6</v>
      </c>
      <c r="H169" s="820">
        <v>1932</v>
      </c>
      <c r="I169" s="821">
        <f t="shared" si="6"/>
        <v>5.8205063573004475E-4</v>
      </c>
      <c r="J169" s="821">
        <f t="shared" si="8"/>
        <v>0.97252799027881442</v>
      </c>
      <c r="K169" s="817" t="str">
        <f t="shared" si="7"/>
        <v>C</v>
      </c>
    </row>
    <row r="170" spans="1:11" ht="30">
      <c r="A170" s="818" t="s">
        <v>44866</v>
      </c>
      <c r="B170" s="684" t="s">
        <v>41261</v>
      </c>
      <c r="C170" s="684" t="s">
        <v>22755</v>
      </c>
      <c r="D170" s="819" t="s">
        <v>22756</v>
      </c>
      <c r="E170" s="684" t="s">
        <v>165</v>
      </c>
      <c r="F170" s="694">
        <f xml:space="preserve"> 99.16</f>
        <v>99.16</v>
      </c>
      <c r="G170" s="820">
        <v>19.23</v>
      </c>
      <c r="H170" s="820">
        <v>1906.84</v>
      </c>
      <c r="I170" s="821">
        <f t="shared" si="6"/>
        <v>5.7447072165397442E-4</v>
      </c>
      <c r="J170" s="821">
        <f t="shared" si="8"/>
        <v>0.97310246100046838</v>
      </c>
      <c r="K170" s="817" t="str">
        <f t="shared" si="7"/>
        <v>C</v>
      </c>
    </row>
    <row r="171" spans="1:11" ht="30">
      <c r="A171" s="818" t="s">
        <v>44820</v>
      </c>
      <c r="B171" s="684" t="s">
        <v>29901</v>
      </c>
      <c r="C171" s="684" t="s">
        <v>14594</v>
      </c>
      <c r="D171" s="819" t="s">
        <v>44819</v>
      </c>
      <c r="E171" s="684" t="s">
        <v>165</v>
      </c>
      <c r="F171" s="694">
        <f xml:space="preserve"> 26.4</f>
        <v>26.4</v>
      </c>
      <c r="G171" s="820">
        <v>70.53</v>
      </c>
      <c r="H171" s="820">
        <v>1861.99</v>
      </c>
      <c r="I171" s="821">
        <f t="shared" si="6"/>
        <v>5.6095883189595552E-4</v>
      </c>
      <c r="J171" s="821">
        <f t="shared" si="8"/>
        <v>0.97366341983236437</v>
      </c>
      <c r="K171" s="817" t="str">
        <f t="shared" si="7"/>
        <v>C</v>
      </c>
    </row>
    <row r="172" spans="1:11">
      <c r="A172" s="818" t="s">
        <v>44701</v>
      </c>
      <c r="B172" s="684" t="s">
        <v>29901</v>
      </c>
      <c r="C172" s="684" t="s">
        <v>16124</v>
      </c>
      <c r="D172" s="819" t="s">
        <v>44700</v>
      </c>
      <c r="E172" s="684" t="s">
        <v>103</v>
      </c>
      <c r="F172" s="694">
        <f xml:space="preserve"> 2</f>
        <v>2</v>
      </c>
      <c r="G172" s="820">
        <v>921.32</v>
      </c>
      <c r="H172" s="820">
        <v>1842.64</v>
      </c>
      <c r="I172" s="821">
        <f t="shared" si="6"/>
        <v>5.5512928748530522E-4</v>
      </c>
      <c r="J172" s="821">
        <f t="shared" si="8"/>
        <v>0.97421854911984973</v>
      </c>
      <c r="K172" s="817" t="str">
        <f t="shared" si="7"/>
        <v>C</v>
      </c>
    </row>
    <row r="173" spans="1:11" ht="30">
      <c r="A173" s="818" t="s">
        <v>44672</v>
      </c>
      <c r="B173" s="684" t="s">
        <v>29901</v>
      </c>
      <c r="C173" s="684" t="s">
        <v>13556</v>
      </c>
      <c r="D173" s="819" t="s">
        <v>41939</v>
      </c>
      <c r="E173" s="684" t="s">
        <v>103</v>
      </c>
      <c r="F173" s="694">
        <f xml:space="preserve"> 8</f>
        <v>8</v>
      </c>
      <c r="G173" s="820">
        <v>230.06</v>
      </c>
      <c r="H173" s="820">
        <v>1840.48</v>
      </c>
      <c r="I173" s="821">
        <f t="shared" si="6"/>
        <v>5.5447854764411632E-4</v>
      </c>
      <c r="J173" s="821">
        <f t="shared" si="8"/>
        <v>0.97477302766749385</v>
      </c>
      <c r="K173" s="817" t="str">
        <f t="shared" si="7"/>
        <v>C</v>
      </c>
    </row>
    <row r="174" spans="1:11" ht="30">
      <c r="A174" s="818" t="s">
        <v>44795</v>
      </c>
      <c r="B174" s="684" t="s">
        <v>29901</v>
      </c>
      <c r="C174" s="684" t="s">
        <v>15736</v>
      </c>
      <c r="D174" s="819" t="s">
        <v>41973</v>
      </c>
      <c r="E174" s="684" t="s">
        <v>103</v>
      </c>
      <c r="F174" s="694">
        <f xml:space="preserve"> 3</f>
        <v>3</v>
      </c>
      <c r="G174" s="820">
        <v>592.30999999999995</v>
      </c>
      <c r="H174" s="820">
        <v>1776.93</v>
      </c>
      <c r="I174" s="821">
        <f t="shared" si="6"/>
        <v>5.3533293796469378E-4</v>
      </c>
      <c r="J174" s="821">
        <f t="shared" si="8"/>
        <v>0.97530836060545856</v>
      </c>
      <c r="K174" s="817" t="str">
        <f t="shared" si="7"/>
        <v>C</v>
      </c>
    </row>
    <row r="175" spans="1:11" ht="30">
      <c r="A175" s="818" t="s">
        <v>44831</v>
      </c>
      <c r="B175" s="684" t="s">
        <v>29901</v>
      </c>
      <c r="C175" s="684" t="s">
        <v>15182</v>
      </c>
      <c r="D175" s="819" t="s">
        <v>44830</v>
      </c>
      <c r="E175" s="684" t="s">
        <v>165</v>
      </c>
      <c r="F175" s="694">
        <f xml:space="preserve"> 107.9</f>
        <v>107.9</v>
      </c>
      <c r="G175" s="820">
        <v>16.37</v>
      </c>
      <c r="H175" s="820">
        <v>1766.32</v>
      </c>
      <c r="I175" s="821">
        <f t="shared" si="6"/>
        <v>5.3213647976329843E-4</v>
      </c>
      <c r="J175" s="821">
        <f t="shared" si="8"/>
        <v>0.9758404970852218</v>
      </c>
      <c r="K175" s="817" t="str">
        <f t="shared" si="7"/>
        <v>C</v>
      </c>
    </row>
    <row r="176" spans="1:11">
      <c r="A176" s="818" t="s">
        <v>44894</v>
      </c>
      <c r="B176" s="684" t="s">
        <v>29901</v>
      </c>
      <c r="C176" s="684" t="s">
        <v>15860</v>
      </c>
      <c r="D176" s="819" t="s">
        <v>42015</v>
      </c>
      <c r="E176" s="684" t="s">
        <v>103</v>
      </c>
      <c r="F176" s="694">
        <f xml:space="preserve"> 3</f>
        <v>3</v>
      </c>
      <c r="G176" s="820">
        <v>568.64</v>
      </c>
      <c r="H176" s="820">
        <v>1705.92</v>
      </c>
      <c r="I176" s="821">
        <f t="shared" si="6"/>
        <v>5.1393986568560972E-4</v>
      </c>
      <c r="J176" s="821">
        <f t="shared" si="8"/>
        <v>0.9763544369509074</v>
      </c>
      <c r="K176" s="817" t="str">
        <f t="shared" si="7"/>
        <v>C</v>
      </c>
    </row>
    <row r="177" spans="1:11">
      <c r="A177" s="818" t="s">
        <v>44906</v>
      </c>
      <c r="B177" s="684" t="s">
        <v>29901</v>
      </c>
      <c r="C177" s="684" t="s">
        <v>13886</v>
      </c>
      <c r="D177" s="819" t="s">
        <v>44905</v>
      </c>
      <c r="E177" s="684" t="s">
        <v>165</v>
      </c>
      <c r="F177" s="694">
        <f xml:space="preserve"> 289.3</f>
        <v>289.3</v>
      </c>
      <c r="G177" s="820">
        <v>5.75</v>
      </c>
      <c r="H177" s="820">
        <v>1663.47</v>
      </c>
      <c r="I177" s="821">
        <f t="shared" si="6"/>
        <v>5.0115102019557842E-4</v>
      </c>
      <c r="J177" s="821">
        <f t="shared" si="8"/>
        <v>0.97685558797110295</v>
      </c>
      <c r="K177" s="817" t="str">
        <f t="shared" si="7"/>
        <v>C</v>
      </c>
    </row>
    <row r="178" spans="1:11" ht="30">
      <c r="A178" s="818" t="s">
        <v>44740</v>
      </c>
      <c r="B178" s="684" t="s">
        <v>29901</v>
      </c>
      <c r="C178" s="684" t="s">
        <v>15529</v>
      </c>
      <c r="D178" s="819" t="s">
        <v>44739</v>
      </c>
      <c r="E178" s="684" t="s">
        <v>103</v>
      </c>
      <c r="F178" s="694">
        <f xml:space="preserve"> 9</f>
        <v>9</v>
      </c>
      <c r="G178" s="820">
        <v>180.9</v>
      </c>
      <c r="H178" s="820">
        <v>1628.1</v>
      </c>
      <c r="I178" s="821">
        <f t="shared" si="6"/>
        <v>4.9049515529611069E-4</v>
      </c>
      <c r="J178" s="821">
        <f t="shared" si="8"/>
        <v>0.97734608312639903</v>
      </c>
      <c r="K178" s="817" t="str">
        <f t="shared" si="7"/>
        <v>C</v>
      </c>
    </row>
    <row r="179" spans="1:11" ht="30">
      <c r="A179" s="818" t="s">
        <v>44882</v>
      </c>
      <c r="B179" s="684" t="s">
        <v>29901</v>
      </c>
      <c r="C179" s="684" t="s">
        <v>16891</v>
      </c>
      <c r="D179" s="819" t="s">
        <v>44881</v>
      </c>
      <c r="E179" s="684" t="s">
        <v>165</v>
      </c>
      <c r="F179" s="694">
        <f xml:space="preserve"> 55.16</f>
        <v>55.16</v>
      </c>
      <c r="G179" s="820">
        <v>29.4</v>
      </c>
      <c r="H179" s="820">
        <v>1621.7</v>
      </c>
      <c r="I179" s="821">
        <f t="shared" si="6"/>
        <v>4.8856703724814367E-4</v>
      </c>
      <c r="J179" s="821">
        <f t="shared" si="8"/>
        <v>0.97783465016364712</v>
      </c>
      <c r="K179" s="817" t="str">
        <f t="shared" si="7"/>
        <v>C</v>
      </c>
    </row>
    <row r="180" spans="1:11" ht="30">
      <c r="A180" s="818" t="s">
        <v>41952</v>
      </c>
      <c r="B180" s="684" t="s">
        <v>29901</v>
      </c>
      <c r="C180" s="684" t="s">
        <v>12567</v>
      </c>
      <c r="D180" s="819" t="s">
        <v>44637</v>
      </c>
      <c r="E180" s="684" t="s">
        <v>509</v>
      </c>
      <c r="F180" s="694">
        <f xml:space="preserve"> 2.56</f>
        <v>2.56</v>
      </c>
      <c r="G180" s="820">
        <v>627.66999999999996</v>
      </c>
      <c r="H180" s="820">
        <v>1606.83</v>
      </c>
      <c r="I180" s="821">
        <f t="shared" si="6"/>
        <v>4.8408717547107025E-4</v>
      </c>
      <c r="J180" s="821">
        <f t="shared" si="8"/>
        <v>0.97831873733911823</v>
      </c>
      <c r="K180" s="817" t="str">
        <f t="shared" si="7"/>
        <v>C</v>
      </c>
    </row>
    <row r="181" spans="1:11" ht="30">
      <c r="A181" s="818" t="s">
        <v>44938</v>
      </c>
      <c r="B181" s="684" t="s">
        <v>29901</v>
      </c>
      <c r="C181" s="684" t="s">
        <v>17755</v>
      </c>
      <c r="D181" s="819" t="s">
        <v>44937</v>
      </c>
      <c r="E181" s="684" t="s">
        <v>509</v>
      </c>
      <c r="F181" s="694">
        <f xml:space="preserve"> 193.33</f>
        <v>193.33</v>
      </c>
      <c r="G181" s="820">
        <v>8.2899999999999991</v>
      </c>
      <c r="H181" s="820">
        <v>1602.7</v>
      </c>
      <c r="I181" s="821">
        <f t="shared" si="6"/>
        <v>4.8284293679324159E-4</v>
      </c>
      <c r="J181" s="821">
        <f t="shared" si="8"/>
        <v>0.97880158027591146</v>
      </c>
      <c r="K181" s="817" t="str">
        <f t="shared" si="7"/>
        <v>C</v>
      </c>
    </row>
    <row r="182" spans="1:11" ht="30">
      <c r="A182" s="818" t="s">
        <v>44670</v>
      </c>
      <c r="B182" s="684" t="s">
        <v>29901</v>
      </c>
      <c r="C182" s="684" t="s">
        <v>16309</v>
      </c>
      <c r="D182" s="819" t="s">
        <v>41910</v>
      </c>
      <c r="E182" s="684" t="s">
        <v>165</v>
      </c>
      <c r="F182" s="694">
        <f xml:space="preserve"> 31.6</f>
        <v>31.6</v>
      </c>
      <c r="G182" s="820">
        <v>50.29</v>
      </c>
      <c r="H182" s="820">
        <v>1589.16</v>
      </c>
      <c r="I182" s="821">
        <f t="shared" si="6"/>
        <v>4.7876376204801139E-4</v>
      </c>
      <c r="J182" s="821">
        <f t="shared" si="8"/>
        <v>0.97928034403795949</v>
      </c>
      <c r="K182" s="817" t="str">
        <f t="shared" si="7"/>
        <v>C</v>
      </c>
    </row>
    <row r="183" spans="1:11">
      <c r="A183" s="818" t="s">
        <v>44721</v>
      </c>
      <c r="B183" s="684" t="s">
        <v>29901</v>
      </c>
      <c r="C183" s="684" t="s">
        <v>13526</v>
      </c>
      <c r="D183" s="819" t="s">
        <v>44720</v>
      </c>
      <c r="E183" s="684" t="s">
        <v>207</v>
      </c>
      <c r="F183" s="694">
        <f xml:space="preserve"> 10.8</f>
        <v>10.8</v>
      </c>
      <c r="G183" s="820">
        <v>142.36000000000001</v>
      </c>
      <c r="H183" s="820">
        <v>1537.48</v>
      </c>
      <c r="I183" s="821">
        <f t="shared" si="6"/>
        <v>4.6319420881067762E-4</v>
      </c>
      <c r="J183" s="821">
        <f t="shared" si="8"/>
        <v>0.97974353824677018</v>
      </c>
      <c r="K183" s="817" t="str">
        <f t="shared" si="7"/>
        <v>C</v>
      </c>
    </row>
    <row r="184" spans="1:11" ht="30">
      <c r="A184" s="818" t="s">
        <v>44674</v>
      </c>
      <c r="B184" s="684" t="s">
        <v>29901</v>
      </c>
      <c r="C184" s="684" t="s">
        <v>13552</v>
      </c>
      <c r="D184" s="819" t="s">
        <v>41940</v>
      </c>
      <c r="E184" s="684" t="s">
        <v>165</v>
      </c>
      <c r="F184" s="694">
        <f xml:space="preserve"> 5.6</f>
        <v>5.6</v>
      </c>
      <c r="G184" s="820">
        <v>272.37</v>
      </c>
      <c r="H184" s="820">
        <v>1525.27</v>
      </c>
      <c r="I184" s="821">
        <f t="shared" si="6"/>
        <v>4.5951572109729057E-4</v>
      </c>
      <c r="J184" s="821">
        <f t="shared" si="8"/>
        <v>0.98020305396786744</v>
      </c>
      <c r="K184" s="817" t="str">
        <f t="shared" si="7"/>
        <v>C</v>
      </c>
    </row>
    <row r="185" spans="1:11" ht="30">
      <c r="A185" s="818" t="s">
        <v>44848</v>
      </c>
      <c r="B185" s="684" t="s">
        <v>29901</v>
      </c>
      <c r="C185" s="684" t="s">
        <v>17608</v>
      </c>
      <c r="D185" s="819" t="s">
        <v>44847</v>
      </c>
      <c r="E185" s="684" t="s">
        <v>103</v>
      </c>
      <c r="F185" s="694">
        <f xml:space="preserve"> 5</f>
        <v>5</v>
      </c>
      <c r="G185" s="820">
        <v>304.32</v>
      </c>
      <c r="H185" s="820">
        <v>1521.6</v>
      </c>
      <c r="I185" s="821">
        <f t="shared" si="6"/>
        <v>4.5841006590415943E-4</v>
      </c>
      <c r="J185" s="821">
        <f t="shared" si="8"/>
        <v>0.98066146403377163</v>
      </c>
      <c r="K185" s="817" t="str">
        <f t="shared" si="7"/>
        <v>C</v>
      </c>
    </row>
    <row r="186" spans="1:11" ht="30">
      <c r="A186" s="818" t="s">
        <v>41222</v>
      </c>
      <c r="B186" s="684" t="s">
        <v>29901</v>
      </c>
      <c r="C186" s="684" t="s">
        <v>10894</v>
      </c>
      <c r="D186" s="819" t="s">
        <v>41812</v>
      </c>
      <c r="E186" s="684" t="s">
        <v>509</v>
      </c>
      <c r="F186" s="694">
        <f xml:space="preserve"> 6</f>
        <v>6</v>
      </c>
      <c r="G186" s="820">
        <v>252.06</v>
      </c>
      <c r="H186" s="820">
        <v>1512.36</v>
      </c>
      <c r="I186" s="821">
        <f t="shared" si="6"/>
        <v>4.5562634547240707E-4</v>
      </c>
      <c r="J186" s="821">
        <f t="shared" si="8"/>
        <v>0.98111709037924399</v>
      </c>
      <c r="K186" s="817" t="str">
        <f t="shared" si="7"/>
        <v>C</v>
      </c>
    </row>
    <row r="187" spans="1:11" ht="30">
      <c r="A187" s="818" t="s">
        <v>44738</v>
      </c>
      <c r="B187" s="684" t="s">
        <v>29901</v>
      </c>
      <c r="C187" s="684" t="s">
        <v>15557</v>
      </c>
      <c r="D187" s="819" t="s">
        <v>44737</v>
      </c>
      <c r="E187" s="684" t="s">
        <v>103</v>
      </c>
      <c r="F187" s="694">
        <f xml:space="preserve"> 4</f>
        <v>4</v>
      </c>
      <c r="G187" s="820">
        <v>365.22</v>
      </c>
      <c r="H187" s="820">
        <v>1460.88</v>
      </c>
      <c r="I187" s="821">
        <f t="shared" si="6"/>
        <v>4.4011704592407239E-4</v>
      </c>
      <c r="J187" s="821">
        <f t="shared" si="8"/>
        <v>0.98155720742516805</v>
      </c>
      <c r="K187" s="817" t="str">
        <f t="shared" si="7"/>
        <v>C</v>
      </c>
    </row>
    <row r="188" spans="1:11">
      <c r="A188" s="818" t="s">
        <v>44766</v>
      </c>
      <c r="B188" s="684" t="s">
        <v>29901</v>
      </c>
      <c r="C188" s="684" t="s">
        <v>14496</v>
      </c>
      <c r="D188" s="819" t="s">
        <v>44765</v>
      </c>
      <c r="E188" s="684" t="s">
        <v>103</v>
      </c>
      <c r="F188" s="694">
        <f xml:space="preserve"> 3</f>
        <v>3</v>
      </c>
      <c r="G188" s="820">
        <v>473.46</v>
      </c>
      <c r="H188" s="820">
        <v>1420.38</v>
      </c>
      <c r="I188" s="821">
        <f t="shared" si="6"/>
        <v>4.2791567390178107E-4</v>
      </c>
      <c r="J188" s="821">
        <f t="shared" si="8"/>
        <v>0.98198512309906982</v>
      </c>
      <c r="K188" s="817" t="str">
        <f t="shared" si="7"/>
        <v>C</v>
      </c>
    </row>
    <row r="189" spans="1:11" ht="30">
      <c r="A189" s="818" t="s">
        <v>44821</v>
      </c>
      <c r="B189" s="684" t="s">
        <v>29901</v>
      </c>
      <c r="C189" s="684" t="s">
        <v>14596</v>
      </c>
      <c r="D189" s="819" t="s">
        <v>44723</v>
      </c>
      <c r="E189" s="684" t="s">
        <v>165</v>
      </c>
      <c r="F189" s="694">
        <f xml:space="preserve"> 9.1 + 8.9</f>
        <v>18</v>
      </c>
      <c r="G189" s="820">
        <v>78.77</v>
      </c>
      <c r="H189" s="820">
        <v>1417.85</v>
      </c>
      <c r="I189" s="821">
        <f t="shared" si="6"/>
        <v>4.2715346473594406E-4</v>
      </c>
      <c r="J189" s="821">
        <f t="shared" si="8"/>
        <v>0.98241227656380581</v>
      </c>
      <c r="K189" s="817" t="str">
        <f t="shared" si="7"/>
        <v>C</v>
      </c>
    </row>
    <row r="190" spans="1:11">
      <c r="A190" s="818" t="s">
        <v>44782</v>
      </c>
      <c r="B190" s="684" t="s">
        <v>29901</v>
      </c>
      <c r="C190" s="684" t="s">
        <v>15281</v>
      </c>
      <c r="D190" s="819" t="s">
        <v>41967</v>
      </c>
      <c r="E190" s="684" t="s">
        <v>396</v>
      </c>
      <c r="F190" s="694">
        <f xml:space="preserve"> 16</f>
        <v>16</v>
      </c>
      <c r="G190" s="820">
        <v>88.51</v>
      </c>
      <c r="H190" s="820">
        <v>1416.16</v>
      </c>
      <c r="I190" s="821">
        <f t="shared" si="6"/>
        <v>4.2664432106390279E-4</v>
      </c>
      <c r="J190" s="821">
        <f t="shared" si="8"/>
        <v>0.98283892088486968</v>
      </c>
      <c r="K190" s="817" t="str">
        <f t="shared" si="7"/>
        <v>C</v>
      </c>
    </row>
    <row r="191" spans="1:11">
      <c r="A191" s="818" t="s">
        <v>41998</v>
      </c>
      <c r="B191" s="684" t="s">
        <v>29901</v>
      </c>
      <c r="C191" s="684" t="s">
        <v>17068</v>
      </c>
      <c r="D191" s="819" t="s">
        <v>44646</v>
      </c>
      <c r="E191" s="684" t="s">
        <v>103</v>
      </c>
      <c r="F191" s="694">
        <f xml:space="preserve"> 2</f>
        <v>2</v>
      </c>
      <c r="G191" s="820">
        <v>692.06</v>
      </c>
      <c r="H191" s="820">
        <v>1384.12</v>
      </c>
      <c r="I191" s="821">
        <f t="shared" si="6"/>
        <v>4.1699168008626787E-4</v>
      </c>
      <c r="J191" s="821">
        <f t="shared" si="8"/>
        <v>0.98325591256495593</v>
      </c>
      <c r="K191" s="817" t="str">
        <f t="shared" si="7"/>
        <v>C</v>
      </c>
    </row>
    <row r="192" spans="1:11" ht="30">
      <c r="A192" s="818" t="s">
        <v>44887</v>
      </c>
      <c r="B192" s="684" t="s">
        <v>29901</v>
      </c>
      <c r="C192" s="684" t="s">
        <v>13736</v>
      </c>
      <c r="D192" s="819" t="s">
        <v>44886</v>
      </c>
      <c r="E192" s="684" t="s">
        <v>165</v>
      </c>
      <c r="F192" s="694">
        <f xml:space="preserve"> 55.16</f>
        <v>55.16</v>
      </c>
      <c r="G192" s="820">
        <v>24.54</v>
      </c>
      <c r="H192" s="820">
        <v>1353.62</v>
      </c>
      <c r="I192" s="821">
        <f t="shared" si="6"/>
        <v>4.0780299251392502E-4</v>
      </c>
      <c r="J192" s="821">
        <f t="shared" si="8"/>
        <v>0.9836637155574699</v>
      </c>
      <c r="K192" s="817" t="str">
        <f t="shared" si="7"/>
        <v>C</v>
      </c>
    </row>
    <row r="193" spans="1:11" ht="30">
      <c r="A193" s="818" t="s">
        <v>44770</v>
      </c>
      <c r="B193" s="684" t="s">
        <v>29901</v>
      </c>
      <c r="C193" s="684" t="s">
        <v>14929</v>
      </c>
      <c r="D193" s="819" t="s">
        <v>41961</v>
      </c>
      <c r="E193" s="684" t="s">
        <v>165</v>
      </c>
      <c r="F193" s="694">
        <f xml:space="preserve"> 102.6</f>
        <v>102.6</v>
      </c>
      <c r="G193" s="820">
        <v>12.55</v>
      </c>
      <c r="H193" s="820">
        <v>1287.6300000000001</v>
      </c>
      <c r="I193" s="821">
        <f t="shared" si="6"/>
        <v>3.8792228782871509E-4</v>
      </c>
      <c r="J193" s="821">
        <f t="shared" si="8"/>
        <v>0.98405163784529859</v>
      </c>
      <c r="K193" s="817" t="str">
        <f t="shared" si="7"/>
        <v>C</v>
      </c>
    </row>
    <row r="194" spans="1:11" ht="30">
      <c r="A194" s="818" t="s">
        <v>44589</v>
      </c>
      <c r="B194" s="684" t="s">
        <v>29901</v>
      </c>
      <c r="C194" s="684" t="s">
        <v>12008</v>
      </c>
      <c r="D194" s="819" t="s">
        <v>41825</v>
      </c>
      <c r="E194" s="684" t="s">
        <v>509</v>
      </c>
      <c r="F194" s="694">
        <f xml:space="preserve"> 6.2</f>
        <v>6.2</v>
      </c>
      <c r="G194" s="820">
        <v>207.47</v>
      </c>
      <c r="H194" s="820">
        <v>1286.31</v>
      </c>
      <c r="I194" s="821">
        <f t="shared" si="6"/>
        <v>3.8752461348132188E-4</v>
      </c>
      <c r="J194" s="821">
        <f t="shared" si="8"/>
        <v>0.98443916245877994</v>
      </c>
      <c r="K194" s="817" t="str">
        <f t="shared" si="7"/>
        <v>C</v>
      </c>
    </row>
    <row r="195" spans="1:11" ht="30">
      <c r="A195" s="818" t="s">
        <v>44777</v>
      </c>
      <c r="B195" s="684" t="s">
        <v>29901</v>
      </c>
      <c r="C195" s="684" t="s">
        <v>15106</v>
      </c>
      <c r="D195" s="819" t="s">
        <v>44776</v>
      </c>
      <c r="E195" s="684" t="s">
        <v>165</v>
      </c>
      <c r="F195" s="694">
        <f xml:space="preserve"> 18.8</f>
        <v>18.8</v>
      </c>
      <c r="G195" s="820">
        <v>66.930000000000007</v>
      </c>
      <c r="H195" s="820">
        <v>1258.28</v>
      </c>
      <c r="I195" s="821">
        <f t="shared" si="6"/>
        <v>3.7908005896811632E-4</v>
      </c>
      <c r="J195" s="821">
        <f t="shared" si="8"/>
        <v>0.98481824251774808</v>
      </c>
      <c r="K195" s="817" t="str">
        <f t="shared" si="7"/>
        <v>C</v>
      </c>
    </row>
    <row r="196" spans="1:11">
      <c r="A196" s="818" t="s">
        <v>44842</v>
      </c>
      <c r="B196" s="684" t="s">
        <v>29901</v>
      </c>
      <c r="C196" s="684" t="s">
        <v>17565</v>
      </c>
      <c r="D196" s="819" t="s">
        <v>44841</v>
      </c>
      <c r="E196" s="684" t="s">
        <v>103</v>
      </c>
      <c r="F196" s="694">
        <f xml:space="preserve"> 3</f>
        <v>3</v>
      </c>
      <c r="G196" s="820">
        <v>419.04</v>
      </c>
      <c r="H196" s="820">
        <v>1257.1199999999999</v>
      </c>
      <c r="I196" s="821">
        <f t="shared" si="6"/>
        <v>3.7873058757192224E-4</v>
      </c>
      <c r="J196" s="821">
        <f t="shared" si="8"/>
        <v>0.98519697310531995</v>
      </c>
      <c r="K196" s="817" t="str">
        <f t="shared" si="7"/>
        <v>C</v>
      </c>
    </row>
    <row r="197" spans="1:11">
      <c r="A197" s="818" t="s">
        <v>44811</v>
      </c>
      <c r="B197" s="684" t="s">
        <v>29901</v>
      </c>
      <c r="C197" s="684" t="s">
        <v>15297</v>
      </c>
      <c r="D197" s="819" t="s">
        <v>44748</v>
      </c>
      <c r="E197" s="684" t="s">
        <v>396</v>
      </c>
      <c r="F197" s="694">
        <f xml:space="preserve"> 4 + 14</f>
        <v>18</v>
      </c>
      <c r="G197" s="820">
        <v>65.52</v>
      </c>
      <c r="H197" s="820">
        <v>1179.3599999999999</v>
      </c>
      <c r="I197" s="821">
        <f t="shared" si="6"/>
        <v>3.5530395328912294E-4</v>
      </c>
      <c r="J197" s="821">
        <f t="shared" si="8"/>
        <v>0.98555227705860904</v>
      </c>
      <c r="K197" s="817" t="str">
        <f t="shared" si="7"/>
        <v>C</v>
      </c>
    </row>
    <row r="198" spans="1:11" ht="30">
      <c r="A198" s="818" t="s">
        <v>44757</v>
      </c>
      <c r="B198" s="684" t="s">
        <v>29901</v>
      </c>
      <c r="C198" s="684" t="s">
        <v>14396</v>
      </c>
      <c r="D198" s="819" t="s">
        <v>41956</v>
      </c>
      <c r="E198" s="684" t="s">
        <v>103</v>
      </c>
      <c r="F198" s="694">
        <f xml:space="preserve"> 17</f>
        <v>17</v>
      </c>
      <c r="G198" s="820">
        <v>66.489999999999995</v>
      </c>
      <c r="H198" s="820">
        <v>1130.33</v>
      </c>
      <c r="I198" s="821">
        <f t="shared" si="6"/>
        <v>3.405327614310256E-4</v>
      </c>
      <c r="J198" s="821">
        <f t="shared" si="8"/>
        <v>0.98589280982004002</v>
      </c>
      <c r="K198" s="817" t="str">
        <f t="shared" si="7"/>
        <v>C</v>
      </c>
    </row>
    <row r="199" spans="1:11" ht="30">
      <c r="A199" s="818" t="s">
        <v>44913</v>
      </c>
      <c r="B199" s="684" t="s">
        <v>29901</v>
      </c>
      <c r="C199" s="684" t="s">
        <v>13584</v>
      </c>
      <c r="D199" s="819" t="s">
        <v>42023</v>
      </c>
      <c r="E199" s="684" t="s">
        <v>103</v>
      </c>
      <c r="F199" s="694">
        <f xml:space="preserve"> 144</f>
        <v>144</v>
      </c>
      <c r="G199" s="820">
        <v>7.75</v>
      </c>
      <c r="H199" s="820">
        <v>1116</v>
      </c>
      <c r="I199" s="821">
        <f t="shared" si="6"/>
        <v>3.3621558461424943E-4</v>
      </c>
      <c r="J199" s="821">
        <f t="shared" si="8"/>
        <v>0.98622902540465429</v>
      </c>
      <c r="K199" s="817" t="str">
        <f t="shared" si="7"/>
        <v>C</v>
      </c>
    </row>
    <row r="200" spans="1:11" ht="30">
      <c r="A200" s="818" t="s">
        <v>44930</v>
      </c>
      <c r="B200" s="684" t="s">
        <v>29901</v>
      </c>
      <c r="C200" s="684" t="s">
        <v>11773</v>
      </c>
      <c r="D200" s="819" t="s">
        <v>41820</v>
      </c>
      <c r="E200" s="684" t="s">
        <v>509</v>
      </c>
      <c r="F200" s="694">
        <f xml:space="preserve"> 52.02</f>
        <v>52.02</v>
      </c>
      <c r="G200" s="820">
        <v>20.399999999999999</v>
      </c>
      <c r="H200" s="820">
        <v>1061.2</v>
      </c>
      <c r="I200" s="821">
        <f t="shared" si="6"/>
        <v>3.1970607382853183E-4</v>
      </c>
      <c r="J200" s="821">
        <f t="shared" si="8"/>
        <v>0.98654873147848288</v>
      </c>
      <c r="K200" s="817" t="str">
        <f t="shared" si="7"/>
        <v>C</v>
      </c>
    </row>
    <row r="201" spans="1:11" ht="30">
      <c r="A201" s="818" t="s">
        <v>44756</v>
      </c>
      <c r="B201" s="684" t="s">
        <v>29901</v>
      </c>
      <c r="C201" s="684" t="s">
        <v>14392</v>
      </c>
      <c r="D201" s="819" t="s">
        <v>41954</v>
      </c>
      <c r="E201" s="684" t="s">
        <v>103</v>
      </c>
      <c r="F201" s="694">
        <f xml:space="preserve"> 38</f>
        <v>38</v>
      </c>
      <c r="G201" s="820">
        <v>27.83</v>
      </c>
      <c r="H201" s="820">
        <v>1057.54</v>
      </c>
      <c r="I201" s="821">
        <f t="shared" si="6"/>
        <v>3.186034313198507E-4</v>
      </c>
      <c r="J201" s="821">
        <f t="shared" si="8"/>
        <v>0.98686733490980272</v>
      </c>
      <c r="K201" s="817" t="str">
        <f t="shared" si="7"/>
        <v>C</v>
      </c>
    </row>
    <row r="202" spans="1:11" ht="30">
      <c r="A202" s="818" t="s">
        <v>44626</v>
      </c>
      <c r="B202" s="684" t="s">
        <v>29901</v>
      </c>
      <c r="C202" s="684" t="s">
        <v>12539</v>
      </c>
      <c r="D202" s="819" t="s">
        <v>44625</v>
      </c>
      <c r="E202" s="684" t="s">
        <v>509</v>
      </c>
      <c r="F202" s="694">
        <f xml:space="preserve"> 6</f>
        <v>6</v>
      </c>
      <c r="G202" s="820">
        <v>172</v>
      </c>
      <c r="H202" s="820">
        <v>1032</v>
      </c>
      <c r="I202" s="821">
        <f t="shared" ref="I202:I265" si="9">H202 / 3319298.84</f>
        <v>3.1090903523468231E-4</v>
      </c>
      <c r="J202" s="821">
        <f t="shared" si="8"/>
        <v>0.98717824394503739</v>
      </c>
      <c r="K202" s="817" t="str">
        <f t="shared" ref="K202:K265" si="10">IF($J202="","",IF($J202&lt;=0.8,"A",IF($J202&gt;=0.95,"C","B")))</f>
        <v>C</v>
      </c>
    </row>
    <row r="203" spans="1:11">
      <c r="A203" s="818" t="s">
        <v>41997</v>
      </c>
      <c r="B203" s="684" t="s">
        <v>29901</v>
      </c>
      <c r="C203" s="684" t="s">
        <v>17066</v>
      </c>
      <c r="D203" s="819" t="s">
        <v>41916</v>
      </c>
      <c r="E203" s="684" t="s">
        <v>103</v>
      </c>
      <c r="F203" s="694">
        <f xml:space="preserve"> 2</f>
        <v>2</v>
      </c>
      <c r="G203" s="820">
        <v>513.77</v>
      </c>
      <c r="H203" s="820">
        <v>1027.54</v>
      </c>
      <c r="I203" s="821">
        <f t="shared" si="9"/>
        <v>3.0956537797000526E-4</v>
      </c>
      <c r="J203" s="821">
        <f t="shared" ref="J203:J266" si="11">I203 + J202</f>
        <v>0.98748780932300739</v>
      </c>
      <c r="K203" s="817" t="str">
        <f t="shared" si="10"/>
        <v>C</v>
      </c>
    </row>
    <row r="204" spans="1:11" ht="30">
      <c r="A204" s="818" t="s">
        <v>44858</v>
      </c>
      <c r="B204" s="684" t="s">
        <v>29901</v>
      </c>
      <c r="C204" s="684" t="s">
        <v>17569</v>
      </c>
      <c r="D204" s="819" t="s">
        <v>44857</v>
      </c>
      <c r="E204" s="684" t="s">
        <v>103</v>
      </c>
      <c r="F204" s="694">
        <f xml:space="preserve"> 1</f>
        <v>1</v>
      </c>
      <c r="G204" s="820">
        <v>1020.29</v>
      </c>
      <c r="H204" s="820">
        <v>1020.29</v>
      </c>
      <c r="I204" s="821">
        <f t="shared" si="9"/>
        <v>3.0738118174379261E-4</v>
      </c>
      <c r="J204" s="821">
        <f t="shared" si="11"/>
        <v>0.98779519050475117</v>
      </c>
      <c r="K204" s="817" t="str">
        <f t="shared" si="10"/>
        <v>C</v>
      </c>
    </row>
    <row r="205" spans="1:11" ht="45">
      <c r="A205" s="818" t="s">
        <v>44653</v>
      </c>
      <c r="B205" s="684" t="s">
        <v>29901</v>
      </c>
      <c r="C205" s="684" t="s">
        <v>16329</v>
      </c>
      <c r="D205" s="819" t="s">
        <v>41275</v>
      </c>
      <c r="E205" s="684" t="s">
        <v>165</v>
      </c>
      <c r="F205" s="694">
        <f xml:space="preserve"> 6.1 + 4.3</f>
        <v>10.399999999999999</v>
      </c>
      <c r="G205" s="820">
        <v>96.19</v>
      </c>
      <c r="H205" s="820">
        <v>1000.36</v>
      </c>
      <c r="I205" s="821">
        <f t="shared" si="9"/>
        <v>3.0137690163504533E-4</v>
      </c>
      <c r="J205" s="821">
        <f t="shared" si="11"/>
        <v>0.98809656740638618</v>
      </c>
      <c r="K205" s="817" t="str">
        <f t="shared" si="10"/>
        <v>C</v>
      </c>
    </row>
    <row r="206" spans="1:11" ht="30">
      <c r="A206" s="818" t="s">
        <v>44809</v>
      </c>
      <c r="B206" s="684" t="s">
        <v>29901</v>
      </c>
      <c r="C206" s="684" t="s">
        <v>40984</v>
      </c>
      <c r="D206" s="819" t="s">
        <v>41989</v>
      </c>
      <c r="E206" s="684" t="s">
        <v>103</v>
      </c>
      <c r="F206" s="694">
        <f xml:space="preserve"> 1</f>
        <v>1</v>
      </c>
      <c r="G206" s="820">
        <v>975.57</v>
      </c>
      <c r="H206" s="820">
        <v>975.57</v>
      </c>
      <c r="I206" s="821">
        <f t="shared" si="9"/>
        <v>2.9390845688362306E-4</v>
      </c>
      <c r="J206" s="821">
        <f t="shared" si="11"/>
        <v>0.98839047586326978</v>
      </c>
      <c r="K206" s="817" t="str">
        <f t="shared" si="10"/>
        <v>C</v>
      </c>
    </row>
    <row r="207" spans="1:11" ht="30">
      <c r="A207" s="818" t="s">
        <v>44873</v>
      </c>
      <c r="B207" s="684" t="s">
        <v>29901</v>
      </c>
      <c r="C207" s="684" t="s">
        <v>17022</v>
      </c>
      <c r="D207" s="819" t="s">
        <v>44872</v>
      </c>
      <c r="E207" s="684" t="s">
        <v>103</v>
      </c>
      <c r="F207" s="694">
        <f xml:space="preserve"> 1</f>
        <v>1</v>
      </c>
      <c r="G207" s="820">
        <v>961.52</v>
      </c>
      <c r="H207" s="820">
        <v>961.52</v>
      </c>
      <c r="I207" s="821">
        <f t="shared" si="9"/>
        <v>2.8967563523144544E-4</v>
      </c>
      <c r="J207" s="821">
        <f t="shared" si="11"/>
        <v>0.98868015149850119</v>
      </c>
      <c r="K207" s="817" t="str">
        <f t="shared" si="10"/>
        <v>C</v>
      </c>
    </row>
    <row r="208" spans="1:11" ht="30">
      <c r="A208" s="818" t="s">
        <v>42012</v>
      </c>
      <c r="B208" s="684" t="s">
        <v>29901</v>
      </c>
      <c r="C208" s="684" t="s">
        <v>17361</v>
      </c>
      <c r="D208" s="819" t="s">
        <v>44647</v>
      </c>
      <c r="E208" s="684" t="s">
        <v>103</v>
      </c>
      <c r="F208" s="694">
        <f xml:space="preserve"> 7</f>
        <v>7</v>
      </c>
      <c r="G208" s="820">
        <v>135.27000000000001</v>
      </c>
      <c r="H208" s="820">
        <v>946.89</v>
      </c>
      <c r="I208" s="821">
        <f t="shared" si="9"/>
        <v>2.8526807788117084E-4</v>
      </c>
      <c r="J208" s="821">
        <f t="shared" si="11"/>
        <v>0.9889654195763824</v>
      </c>
      <c r="K208" s="817" t="str">
        <f t="shared" si="10"/>
        <v>C</v>
      </c>
    </row>
    <row r="209" spans="1:11">
      <c r="A209" s="818" t="s">
        <v>44781</v>
      </c>
      <c r="B209" s="684" t="s">
        <v>29901</v>
      </c>
      <c r="C209" s="684" t="s">
        <v>15283</v>
      </c>
      <c r="D209" s="819" t="s">
        <v>44780</v>
      </c>
      <c r="E209" s="684" t="s">
        <v>396</v>
      </c>
      <c r="F209" s="694">
        <f xml:space="preserve"> 11</f>
        <v>11</v>
      </c>
      <c r="G209" s="820">
        <v>82.08</v>
      </c>
      <c r="H209" s="820">
        <v>902.88</v>
      </c>
      <c r="I209" s="821">
        <f t="shared" si="9"/>
        <v>2.7200925361694762E-4</v>
      </c>
      <c r="J209" s="821">
        <f t="shared" si="11"/>
        <v>0.98923742882999932</v>
      </c>
      <c r="K209" s="817" t="str">
        <f t="shared" si="10"/>
        <v>C</v>
      </c>
    </row>
    <row r="210" spans="1:11">
      <c r="A210" s="818" t="s">
        <v>44864</v>
      </c>
      <c r="B210" s="684" t="s">
        <v>29901</v>
      </c>
      <c r="C210" s="684" t="s">
        <v>16393</v>
      </c>
      <c r="D210" s="819" t="s">
        <v>44863</v>
      </c>
      <c r="E210" s="684" t="s">
        <v>165</v>
      </c>
      <c r="F210" s="694">
        <f xml:space="preserve"> 2.55</f>
        <v>2.5499999999999998</v>
      </c>
      <c r="G210" s="820">
        <v>336.96</v>
      </c>
      <c r="H210" s="820">
        <v>859.24</v>
      </c>
      <c r="I210" s="821">
        <f t="shared" si="9"/>
        <v>2.5886189867737247E-4</v>
      </c>
      <c r="J210" s="821">
        <f t="shared" si="11"/>
        <v>0.98949629072867673</v>
      </c>
      <c r="K210" s="817" t="str">
        <f t="shared" si="10"/>
        <v>C</v>
      </c>
    </row>
    <row r="211" spans="1:11" ht="45">
      <c r="A211" s="818" t="s">
        <v>44736</v>
      </c>
      <c r="B211" s="684" t="s">
        <v>29901</v>
      </c>
      <c r="C211" s="684" t="s">
        <v>15616</v>
      </c>
      <c r="D211" s="819" t="s">
        <v>44735</v>
      </c>
      <c r="E211" s="684" t="s">
        <v>103</v>
      </c>
      <c r="F211" s="694">
        <f xml:space="preserve"> 4</f>
        <v>4</v>
      </c>
      <c r="G211" s="820">
        <v>214.7</v>
      </c>
      <c r="H211" s="820">
        <v>858.8</v>
      </c>
      <c r="I211" s="821">
        <f t="shared" si="9"/>
        <v>2.5872934056157473E-4</v>
      </c>
      <c r="J211" s="821">
        <f t="shared" si="11"/>
        <v>0.98975502006923832</v>
      </c>
      <c r="K211" s="817" t="str">
        <f t="shared" si="10"/>
        <v>C</v>
      </c>
    </row>
    <row r="212" spans="1:11">
      <c r="A212" s="818" t="s">
        <v>44909</v>
      </c>
      <c r="B212" s="684" t="s">
        <v>29901</v>
      </c>
      <c r="C212" s="684" t="s">
        <v>18415</v>
      </c>
      <c r="D212" s="819" t="s">
        <v>42020</v>
      </c>
      <c r="E212" s="684" t="s">
        <v>509</v>
      </c>
      <c r="F212" s="694">
        <f xml:space="preserve"> 1 + 0.698</f>
        <v>1.698</v>
      </c>
      <c r="G212" s="820">
        <v>490.89</v>
      </c>
      <c r="H212" s="820">
        <v>833.53</v>
      </c>
      <c r="I212" s="821">
        <f t="shared" si="9"/>
        <v>2.5111628695655494E-4</v>
      </c>
      <c r="J212" s="821">
        <f t="shared" si="11"/>
        <v>0.99000613635619483</v>
      </c>
      <c r="K212" s="817" t="str">
        <f t="shared" si="10"/>
        <v>C</v>
      </c>
    </row>
    <row r="213" spans="1:11">
      <c r="A213" s="818" t="s">
        <v>44654</v>
      </c>
      <c r="B213" s="684" t="s">
        <v>41261</v>
      </c>
      <c r="C213" s="684" t="s">
        <v>23354</v>
      </c>
      <c r="D213" s="819" t="s">
        <v>23355</v>
      </c>
      <c r="E213" s="684" t="s">
        <v>103</v>
      </c>
      <c r="F213" s="694">
        <f xml:space="preserve"> 1</f>
        <v>1</v>
      </c>
      <c r="G213" s="820">
        <v>804.28</v>
      </c>
      <c r="H213" s="820">
        <v>804.28</v>
      </c>
      <c r="I213" s="821">
        <f t="shared" si="9"/>
        <v>2.4230418494045568E-4</v>
      </c>
      <c r="J213" s="821">
        <f t="shared" si="11"/>
        <v>0.99024844054113526</v>
      </c>
      <c r="K213" s="817" t="str">
        <f t="shared" si="10"/>
        <v>C</v>
      </c>
    </row>
    <row r="214" spans="1:11" ht="45">
      <c r="A214" s="818" t="s">
        <v>44655</v>
      </c>
      <c r="B214" s="684" t="s">
        <v>27888</v>
      </c>
      <c r="C214" s="684">
        <v>99253</v>
      </c>
      <c r="D214" s="819" t="s">
        <v>26639</v>
      </c>
      <c r="E214" s="684" t="s">
        <v>103</v>
      </c>
      <c r="F214" s="694">
        <f xml:space="preserve"> 1</f>
        <v>1</v>
      </c>
      <c r="G214" s="820">
        <v>779.45</v>
      </c>
      <c r="H214" s="820">
        <v>779.45</v>
      </c>
      <c r="I214" s="821">
        <f t="shared" si="9"/>
        <v>2.3482368945123365E-4</v>
      </c>
      <c r="J214" s="821">
        <f t="shared" si="11"/>
        <v>0.99048326423058652</v>
      </c>
      <c r="K214" s="817" t="str">
        <f t="shared" si="10"/>
        <v>C</v>
      </c>
    </row>
    <row r="215" spans="1:11" ht="30">
      <c r="A215" s="818" t="s">
        <v>44833</v>
      </c>
      <c r="B215" s="684" t="s">
        <v>29901</v>
      </c>
      <c r="C215" s="684" t="s">
        <v>18164</v>
      </c>
      <c r="D215" s="819" t="s">
        <v>44832</v>
      </c>
      <c r="E215" s="684" t="s">
        <v>103</v>
      </c>
      <c r="F215" s="694">
        <f xml:space="preserve"> 1</f>
        <v>1</v>
      </c>
      <c r="G215" s="820">
        <v>769.09</v>
      </c>
      <c r="H215" s="820">
        <v>769.09</v>
      </c>
      <c r="I215" s="821">
        <f t="shared" si="9"/>
        <v>2.3170254836108703E-4</v>
      </c>
      <c r="J215" s="821">
        <f t="shared" si="11"/>
        <v>0.99071496677894766</v>
      </c>
      <c r="K215" s="817" t="str">
        <f t="shared" si="10"/>
        <v>C</v>
      </c>
    </row>
    <row r="216" spans="1:11">
      <c r="A216" s="818" t="s">
        <v>44675</v>
      </c>
      <c r="B216" s="684" t="s">
        <v>29901</v>
      </c>
      <c r="C216" s="684" t="s">
        <v>16030</v>
      </c>
      <c r="D216" s="819" t="s">
        <v>41922</v>
      </c>
      <c r="E216" s="684" t="s">
        <v>103</v>
      </c>
      <c r="F216" s="694">
        <f xml:space="preserve"> 2</f>
        <v>2</v>
      </c>
      <c r="G216" s="820">
        <v>383.93</v>
      </c>
      <c r="H216" s="820">
        <v>767.86</v>
      </c>
      <c r="I216" s="821">
        <f t="shared" si="9"/>
        <v>2.3133198817374337E-4</v>
      </c>
      <c r="J216" s="821">
        <f t="shared" si="11"/>
        <v>0.99094629876712137</v>
      </c>
      <c r="K216" s="817" t="str">
        <f t="shared" si="10"/>
        <v>C</v>
      </c>
    </row>
    <row r="217" spans="1:11">
      <c r="A217" s="818" t="s">
        <v>44807</v>
      </c>
      <c r="B217" s="684" t="s">
        <v>29901</v>
      </c>
      <c r="C217" s="684" t="s">
        <v>18264</v>
      </c>
      <c r="D217" s="819" t="s">
        <v>41987</v>
      </c>
      <c r="E217" s="684" t="s">
        <v>103</v>
      </c>
      <c r="F217" s="694">
        <f xml:space="preserve"> 6</f>
        <v>6</v>
      </c>
      <c r="G217" s="820">
        <v>127.28</v>
      </c>
      <c r="H217" s="820">
        <v>763.68</v>
      </c>
      <c r="I217" s="821">
        <f t="shared" si="9"/>
        <v>2.3007268607366487E-4</v>
      </c>
      <c r="J217" s="821">
        <f t="shared" si="11"/>
        <v>0.99117637145319504</v>
      </c>
      <c r="K217" s="817" t="str">
        <f t="shared" si="10"/>
        <v>C</v>
      </c>
    </row>
    <row r="218" spans="1:11" ht="45">
      <c r="A218" s="818" t="s">
        <v>41947</v>
      </c>
      <c r="B218" s="684" t="s">
        <v>27888</v>
      </c>
      <c r="C218" s="684">
        <v>97083</v>
      </c>
      <c r="D218" s="819" t="s">
        <v>25266</v>
      </c>
      <c r="E218" s="684" t="s">
        <v>509</v>
      </c>
      <c r="F218" s="694">
        <f xml:space="preserve"> 134.0764</f>
        <v>134.07640000000001</v>
      </c>
      <c r="G218" s="820">
        <v>5.59</v>
      </c>
      <c r="H218" s="820">
        <v>749.48</v>
      </c>
      <c r="I218" s="821">
        <f t="shared" si="9"/>
        <v>2.2579467415473806E-4</v>
      </c>
      <c r="J218" s="821">
        <f t="shared" si="11"/>
        <v>0.99140216612734977</v>
      </c>
      <c r="K218" s="817" t="str">
        <f t="shared" si="10"/>
        <v>C</v>
      </c>
    </row>
    <row r="219" spans="1:11" ht="30">
      <c r="A219" s="818" t="s">
        <v>44750</v>
      </c>
      <c r="B219" s="684" t="s">
        <v>29901</v>
      </c>
      <c r="C219" s="684" t="s">
        <v>14288</v>
      </c>
      <c r="D219" s="819" t="s">
        <v>44749</v>
      </c>
      <c r="E219" s="684" t="s">
        <v>103</v>
      </c>
      <c r="F219" s="694">
        <f xml:space="preserve"> 1</f>
        <v>1</v>
      </c>
      <c r="G219" s="820">
        <v>749.24</v>
      </c>
      <c r="H219" s="820">
        <v>749.24</v>
      </c>
      <c r="I219" s="821">
        <f t="shared" si="9"/>
        <v>2.257223697279393E-4</v>
      </c>
      <c r="J219" s="821">
        <f t="shared" si="11"/>
        <v>0.99162788849707773</v>
      </c>
      <c r="K219" s="817" t="str">
        <f t="shared" si="10"/>
        <v>C</v>
      </c>
    </row>
    <row r="220" spans="1:11" ht="30">
      <c r="A220" s="818" t="s">
        <v>42014</v>
      </c>
      <c r="B220" s="684" t="s">
        <v>29901</v>
      </c>
      <c r="C220" s="684" t="s">
        <v>16325</v>
      </c>
      <c r="D220" s="819" t="s">
        <v>41919</v>
      </c>
      <c r="E220" s="684" t="s">
        <v>165</v>
      </c>
      <c r="F220" s="694">
        <f xml:space="preserve"> 15.1</f>
        <v>15.1</v>
      </c>
      <c r="G220" s="820">
        <v>49.37</v>
      </c>
      <c r="H220" s="820">
        <v>745.48</v>
      </c>
      <c r="I220" s="821">
        <f t="shared" si="9"/>
        <v>2.2458960037475867E-4</v>
      </c>
      <c r="J220" s="821">
        <f t="shared" si="11"/>
        <v>0.99185247809745247</v>
      </c>
      <c r="K220" s="817" t="str">
        <f t="shared" si="10"/>
        <v>C</v>
      </c>
    </row>
    <row r="221" spans="1:11">
      <c r="A221" s="818" t="s">
        <v>44560</v>
      </c>
      <c r="B221" s="684" t="s">
        <v>29901</v>
      </c>
      <c r="C221" s="684" t="s">
        <v>10922</v>
      </c>
      <c r="D221" s="819" t="s">
        <v>44559</v>
      </c>
      <c r="E221" s="684" t="s">
        <v>121</v>
      </c>
      <c r="F221" s="694">
        <f xml:space="preserve"> 2.43024</f>
        <v>2.43024</v>
      </c>
      <c r="G221" s="820">
        <v>306</v>
      </c>
      <c r="H221" s="820">
        <v>743.65</v>
      </c>
      <c r="I221" s="821">
        <f t="shared" si="9"/>
        <v>2.240382791204181E-4</v>
      </c>
      <c r="J221" s="821">
        <f t="shared" si="11"/>
        <v>0.9920765163765729</v>
      </c>
      <c r="K221" s="817" t="str">
        <f t="shared" si="10"/>
        <v>C</v>
      </c>
    </row>
    <row r="222" spans="1:11" ht="30">
      <c r="A222" s="818" t="s">
        <v>44947</v>
      </c>
      <c r="B222" s="684" t="s">
        <v>29901</v>
      </c>
      <c r="C222" s="684" t="s">
        <v>11543</v>
      </c>
      <c r="D222" s="819" t="s">
        <v>41824</v>
      </c>
      <c r="E222" s="684" t="s">
        <v>121</v>
      </c>
      <c r="F222" s="694">
        <f xml:space="preserve"> 30.33675 + 15.7 + 31.90006</f>
        <v>77.936809999999994</v>
      </c>
      <c r="G222" s="820">
        <v>9.43</v>
      </c>
      <c r="H222" s="820">
        <v>734.93</v>
      </c>
      <c r="I222" s="821">
        <f t="shared" si="9"/>
        <v>2.2141121828006302E-4</v>
      </c>
      <c r="J222" s="821">
        <f t="shared" si="11"/>
        <v>0.99229792759485291</v>
      </c>
      <c r="K222" s="817" t="str">
        <f t="shared" si="10"/>
        <v>C</v>
      </c>
    </row>
    <row r="223" spans="1:11">
      <c r="A223" s="818" t="s">
        <v>44689</v>
      </c>
      <c r="B223" s="684" t="s">
        <v>29901</v>
      </c>
      <c r="C223" s="684" t="s">
        <v>16036</v>
      </c>
      <c r="D223" s="819" t="s">
        <v>44688</v>
      </c>
      <c r="E223" s="684" t="s">
        <v>103</v>
      </c>
      <c r="F223" s="694">
        <f xml:space="preserve"> 1</f>
        <v>1</v>
      </c>
      <c r="G223" s="820">
        <v>701.87</v>
      </c>
      <c r="H223" s="820">
        <v>701.87</v>
      </c>
      <c r="I223" s="821">
        <f t="shared" si="9"/>
        <v>2.1145128348853338E-4</v>
      </c>
      <c r="J223" s="821">
        <f t="shared" si="11"/>
        <v>0.99250937887834145</v>
      </c>
      <c r="K223" s="817" t="str">
        <f t="shared" si="10"/>
        <v>C</v>
      </c>
    </row>
    <row r="224" spans="1:11">
      <c r="A224" s="818" t="s">
        <v>41960</v>
      </c>
      <c r="B224" s="684" t="s">
        <v>29901</v>
      </c>
      <c r="C224" s="684" t="s">
        <v>12338</v>
      </c>
      <c r="D224" s="819" t="s">
        <v>44640</v>
      </c>
      <c r="E224" s="684" t="s">
        <v>509</v>
      </c>
      <c r="F224" s="694">
        <f xml:space="preserve"> 14.75</f>
        <v>14.75</v>
      </c>
      <c r="G224" s="820">
        <v>46.04</v>
      </c>
      <c r="H224" s="820">
        <v>679.09</v>
      </c>
      <c r="I224" s="821">
        <f t="shared" si="9"/>
        <v>2.0458838831155079E-4</v>
      </c>
      <c r="J224" s="821">
        <f t="shared" si="11"/>
        <v>0.99271396726665295</v>
      </c>
      <c r="K224" s="817" t="str">
        <f t="shared" si="10"/>
        <v>C</v>
      </c>
    </row>
    <row r="225" spans="1:11" ht="30">
      <c r="A225" s="818" t="s">
        <v>44946</v>
      </c>
      <c r="B225" s="684" t="s">
        <v>29901</v>
      </c>
      <c r="C225" s="684" t="s">
        <v>13794</v>
      </c>
      <c r="D225" s="819" t="s">
        <v>44945</v>
      </c>
      <c r="E225" s="684" t="s">
        <v>509</v>
      </c>
      <c r="F225" s="694">
        <f xml:space="preserve"> 10.392</f>
        <v>10.391999999999999</v>
      </c>
      <c r="G225" s="820">
        <v>64.069999999999993</v>
      </c>
      <c r="H225" s="820">
        <v>665.81</v>
      </c>
      <c r="I225" s="821">
        <f t="shared" si="9"/>
        <v>2.0058754336201918E-4</v>
      </c>
      <c r="J225" s="821">
        <f t="shared" si="11"/>
        <v>0.992914554810015</v>
      </c>
      <c r="K225" s="817" t="str">
        <f t="shared" si="10"/>
        <v>C</v>
      </c>
    </row>
    <row r="226" spans="1:11">
      <c r="A226" s="818" t="s">
        <v>44590</v>
      </c>
      <c r="B226" s="684" t="s">
        <v>29901</v>
      </c>
      <c r="C226" s="684" t="s">
        <v>11753</v>
      </c>
      <c r="D226" s="819" t="s">
        <v>41827</v>
      </c>
      <c r="E226" s="684" t="s">
        <v>121</v>
      </c>
      <c r="F226" s="694">
        <f xml:space="preserve"> 1.18</f>
        <v>1.18</v>
      </c>
      <c r="G226" s="820">
        <v>560.27</v>
      </c>
      <c r="H226" s="820">
        <v>661.11</v>
      </c>
      <c r="I226" s="821">
        <f t="shared" si="9"/>
        <v>1.9917158167054343E-4</v>
      </c>
      <c r="J226" s="821">
        <f t="shared" si="11"/>
        <v>0.9931137263916856</v>
      </c>
      <c r="K226" s="817" t="str">
        <f t="shared" si="10"/>
        <v>C</v>
      </c>
    </row>
    <row r="227" spans="1:11" ht="45">
      <c r="A227" s="818" t="s">
        <v>44762</v>
      </c>
      <c r="B227" s="684" t="s">
        <v>29901</v>
      </c>
      <c r="C227" s="684" t="s">
        <v>14578</v>
      </c>
      <c r="D227" s="819" t="s">
        <v>41958</v>
      </c>
      <c r="E227" s="684" t="s">
        <v>103</v>
      </c>
      <c r="F227" s="694">
        <f xml:space="preserve"> 1</f>
        <v>1</v>
      </c>
      <c r="G227" s="820">
        <v>630.12</v>
      </c>
      <c r="H227" s="820">
        <v>630.12</v>
      </c>
      <c r="I227" s="821">
        <f t="shared" si="9"/>
        <v>1.8983527256015312E-4</v>
      </c>
      <c r="J227" s="821">
        <f t="shared" si="11"/>
        <v>0.99330356166424572</v>
      </c>
      <c r="K227" s="817" t="str">
        <f t="shared" si="10"/>
        <v>C</v>
      </c>
    </row>
    <row r="228" spans="1:11" ht="30">
      <c r="A228" s="818" t="s">
        <v>44871</v>
      </c>
      <c r="B228" s="684" t="s">
        <v>29901</v>
      </c>
      <c r="C228" s="684" t="s">
        <v>17020</v>
      </c>
      <c r="D228" s="819" t="s">
        <v>44870</v>
      </c>
      <c r="E228" s="684" t="s">
        <v>103</v>
      </c>
      <c r="F228" s="694">
        <f xml:space="preserve"> 1</f>
        <v>1</v>
      </c>
      <c r="G228" s="820">
        <v>601.80999999999995</v>
      </c>
      <c r="H228" s="820">
        <v>601.80999999999995</v>
      </c>
      <c r="I228" s="821">
        <f t="shared" si="9"/>
        <v>1.8130636288234895E-4</v>
      </c>
      <c r="J228" s="821">
        <f t="shared" si="11"/>
        <v>0.9934848680271281</v>
      </c>
      <c r="K228" s="817" t="str">
        <f t="shared" si="10"/>
        <v>C</v>
      </c>
    </row>
    <row r="229" spans="1:11" ht="30">
      <c r="A229" s="818" t="s">
        <v>44759</v>
      </c>
      <c r="B229" s="684" t="s">
        <v>29901</v>
      </c>
      <c r="C229" s="684" t="s">
        <v>14404</v>
      </c>
      <c r="D229" s="819" t="s">
        <v>44758</v>
      </c>
      <c r="E229" s="684" t="s">
        <v>103</v>
      </c>
      <c r="F229" s="694">
        <f xml:space="preserve"> 7</f>
        <v>7</v>
      </c>
      <c r="G229" s="820">
        <v>85.27</v>
      </c>
      <c r="H229" s="820">
        <v>596.89</v>
      </c>
      <c r="I229" s="821">
        <f t="shared" si="9"/>
        <v>1.7982412213297434E-4</v>
      </c>
      <c r="J229" s="821">
        <f t="shared" si="11"/>
        <v>0.99366469214926112</v>
      </c>
      <c r="K229" s="817" t="str">
        <f t="shared" si="10"/>
        <v>C</v>
      </c>
    </row>
    <row r="230" spans="1:11" ht="30">
      <c r="A230" s="818" t="s">
        <v>44798</v>
      </c>
      <c r="B230" s="684" t="s">
        <v>29901</v>
      </c>
      <c r="C230" s="684" t="s">
        <v>15637</v>
      </c>
      <c r="D230" s="819" t="s">
        <v>41976</v>
      </c>
      <c r="E230" s="684" t="s">
        <v>103</v>
      </c>
      <c r="F230" s="694">
        <f xml:space="preserve"> 20</f>
        <v>20</v>
      </c>
      <c r="G230" s="820">
        <v>28.67</v>
      </c>
      <c r="H230" s="820">
        <v>573.4</v>
      </c>
      <c r="I230" s="821">
        <f t="shared" si="9"/>
        <v>1.7274732636004536E-4</v>
      </c>
      <c r="J230" s="821">
        <f t="shared" si="11"/>
        <v>0.9938374394756212</v>
      </c>
      <c r="K230" s="817" t="str">
        <f t="shared" si="10"/>
        <v>C</v>
      </c>
    </row>
    <row r="231" spans="1:11" ht="30">
      <c r="A231" s="818" t="s">
        <v>44694</v>
      </c>
      <c r="B231" s="684" t="s">
        <v>29901</v>
      </c>
      <c r="C231" s="684" t="s">
        <v>16084</v>
      </c>
      <c r="D231" s="819" t="s">
        <v>41931</v>
      </c>
      <c r="E231" s="684" t="s">
        <v>103</v>
      </c>
      <c r="F231" s="694">
        <f xml:space="preserve"> 6</f>
        <v>6</v>
      </c>
      <c r="G231" s="820">
        <v>94.9</v>
      </c>
      <c r="H231" s="820">
        <v>569.4</v>
      </c>
      <c r="I231" s="821">
        <f t="shared" si="9"/>
        <v>1.7154225258006597E-4</v>
      </c>
      <c r="J231" s="821">
        <f t="shared" si="11"/>
        <v>0.99400898172820129</v>
      </c>
      <c r="K231" s="817" t="str">
        <f t="shared" si="10"/>
        <v>C</v>
      </c>
    </row>
    <row r="232" spans="1:11" ht="30">
      <c r="A232" s="818" t="s">
        <v>44663</v>
      </c>
      <c r="B232" s="684" t="s">
        <v>29901</v>
      </c>
      <c r="C232" s="684" t="s">
        <v>16369</v>
      </c>
      <c r="D232" s="819" t="s">
        <v>44662</v>
      </c>
      <c r="E232" s="684" t="s">
        <v>165</v>
      </c>
      <c r="F232" s="694">
        <f xml:space="preserve"> 3.5</f>
        <v>3.5</v>
      </c>
      <c r="G232" s="820">
        <v>161.46</v>
      </c>
      <c r="H232" s="820">
        <v>565.11</v>
      </c>
      <c r="I232" s="821">
        <f t="shared" si="9"/>
        <v>1.7024981095103809E-4</v>
      </c>
      <c r="J232" s="821">
        <f t="shared" si="11"/>
        <v>0.99417923153915233</v>
      </c>
      <c r="K232" s="817" t="str">
        <f t="shared" si="10"/>
        <v>C</v>
      </c>
    </row>
    <row r="233" spans="1:11" ht="30">
      <c r="A233" s="818" t="s">
        <v>44803</v>
      </c>
      <c r="B233" s="684" t="s">
        <v>29901</v>
      </c>
      <c r="C233" s="684" t="s">
        <v>15726</v>
      </c>
      <c r="D233" s="819" t="s">
        <v>41981</v>
      </c>
      <c r="E233" s="684" t="s">
        <v>103</v>
      </c>
      <c r="F233" s="694">
        <f xml:space="preserve"> 9</f>
        <v>9</v>
      </c>
      <c r="G233" s="820">
        <v>62.45</v>
      </c>
      <c r="H233" s="820">
        <v>562.04999999999995</v>
      </c>
      <c r="I233" s="821">
        <f t="shared" si="9"/>
        <v>1.6932792950935383E-4</v>
      </c>
      <c r="J233" s="821">
        <f t="shared" si="11"/>
        <v>0.99434855946866163</v>
      </c>
      <c r="K233" s="817" t="str">
        <f t="shared" si="10"/>
        <v>C</v>
      </c>
    </row>
    <row r="234" spans="1:11" ht="30">
      <c r="A234" s="818" t="s">
        <v>44797</v>
      </c>
      <c r="B234" s="684" t="s">
        <v>29901</v>
      </c>
      <c r="C234" s="684" t="s">
        <v>15776</v>
      </c>
      <c r="D234" s="819" t="s">
        <v>41975</v>
      </c>
      <c r="E234" s="684" t="s">
        <v>103</v>
      </c>
      <c r="F234" s="694">
        <f xml:space="preserve"> 9</f>
        <v>9</v>
      </c>
      <c r="G234" s="820">
        <v>61.22</v>
      </c>
      <c r="H234" s="820">
        <v>550.98</v>
      </c>
      <c r="I234" s="821">
        <f t="shared" si="9"/>
        <v>1.6599288782326091E-4</v>
      </c>
      <c r="J234" s="821">
        <f t="shared" si="11"/>
        <v>0.99451455235648489</v>
      </c>
      <c r="K234" s="817" t="str">
        <f t="shared" si="10"/>
        <v>C</v>
      </c>
    </row>
    <row r="235" spans="1:11" ht="45">
      <c r="A235" s="818" t="s">
        <v>44880</v>
      </c>
      <c r="B235" s="684" t="s">
        <v>29901</v>
      </c>
      <c r="C235" s="684" t="s">
        <v>16010</v>
      </c>
      <c r="D235" s="819" t="s">
        <v>44879</v>
      </c>
      <c r="E235" s="684" t="s">
        <v>103</v>
      </c>
      <c r="F235" s="694">
        <f xml:space="preserve"> 10</f>
        <v>10</v>
      </c>
      <c r="G235" s="820">
        <v>54.53</v>
      </c>
      <c r="H235" s="820">
        <v>545.29999999999995</v>
      </c>
      <c r="I235" s="821">
        <f t="shared" si="9"/>
        <v>1.6428168305569014E-4</v>
      </c>
      <c r="J235" s="821">
        <f t="shared" si="11"/>
        <v>0.9946788340395406</v>
      </c>
      <c r="K235" s="817" t="str">
        <f t="shared" si="10"/>
        <v>C</v>
      </c>
    </row>
    <row r="236" spans="1:11" ht="30">
      <c r="A236" s="818" t="s">
        <v>44668</v>
      </c>
      <c r="B236" s="684" t="s">
        <v>29901</v>
      </c>
      <c r="C236" s="684" t="s">
        <v>11491</v>
      </c>
      <c r="D236" s="819" t="s">
        <v>44667</v>
      </c>
      <c r="E236" s="684" t="s">
        <v>121</v>
      </c>
      <c r="F236" s="694">
        <f xml:space="preserve"> 45.15</f>
        <v>45.15</v>
      </c>
      <c r="G236" s="820">
        <v>11.96</v>
      </c>
      <c r="H236" s="820">
        <v>539.99</v>
      </c>
      <c r="I236" s="821">
        <f t="shared" si="9"/>
        <v>1.6268194761276752E-4</v>
      </c>
      <c r="J236" s="821">
        <f t="shared" si="11"/>
        <v>0.99484151598715342</v>
      </c>
      <c r="K236" s="817" t="str">
        <f t="shared" si="10"/>
        <v>C</v>
      </c>
    </row>
    <row r="237" spans="1:11">
      <c r="A237" s="818" t="s">
        <v>44785</v>
      </c>
      <c r="B237" s="684" t="s">
        <v>29901</v>
      </c>
      <c r="C237" s="684" t="s">
        <v>15265</v>
      </c>
      <c r="D237" s="819" t="s">
        <v>41965</v>
      </c>
      <c r="E237" s="684" t="s">
        <v>396</v>
      </c>
      <c r="F237" s="694">
        <f xml:space="preserve"> 13</f>
        <v>13</v>
      </c>
      <c r="G237" s="820">
        <v>41</v>
      </c>
      <c r="H237" s="820">
        <v>533</v>
      </c>
      <c r="I237" s="821">
        <f t="shared" si="9"/>
        <v>1.6057608118225355E-4</v>
      </c>
      <c r="J237" s="821">
        <f t="shared" si="11"/>
        <v>0.99500209206833568</v>
      </c>
      <c r="K237" s="817" t="str">
        <f t="shared" si="10"/>
        <v>C</v>
      </c>
    </row>
    <row r="238" spans="1:11" ht="30">
      <c r="A238" s="818" t="s">
        <v>44726</v>
      </c>
      <c r="B238" s="684" t="s">
        <v>29901</v>
      </c>
      <c r="C238" s="684" t="s">
        <v>14602</v>
      </c>
      <c r="D238" s="819" t="s">
        <v>44725</v>
      </c>
      <c r="E238" s="684" t="s">
        <v>165</v>
      </c>
      <c r="F238" s="694">
        <f xml:space="preserve"> 3.6</f>
        <v>3.6</v>
      </c>
      <c r="G238" s="820">
        <v>146.77000000000001</v>
      </c>
      <c r="H238" s="820">
        <v>528.37</v>
      </c>
      <c r="I238" s="821">
        <f t="shared" si="9"/>
        <v>1.591812082819274E-4</v>
      </c>
      <c r="J238" s="821">
        <f t="shared" si="11"/>
        <v>0.99516127327661763</v>
      </c>
      <c r="K238" s="817" t="str">
        <f t="shared" si="10"/>
        <v>C</v>
      </c>
    </row>
    <row r="239" spans="1:11">
      <c r="A239" s="818" t="s">
        <v>44693</v>
      </c>
      <c r="B239" s="684" t="s">
        <v>29901</v>
      </c>
      <c r="C239" s="684" t="s">
        <v>16090</v>
      </c>
      <c r="D239" s="819" t="s">
        <v>41930</v>
      </c>
      <c r="E239" s="684" t="s">
        <v>103</v>
      </c>
      <c r="F239" s="694">
        <f xml:space="preserve"> 6</f>
        <v>6</v>
      </c>
      <c r="G239" s="820">
        <v>84.88</v>
      </c>
      <c r="H239" s="820">
        <v>509.28</v>
      </c>
      <c r="I239" s="821">
        <f t="shared" si="9"/>
        <v>1.5342999366697575E-4</v>
      </c>
      <c r="J239" s="821">
        <f t="shared" si="11"/>
        <v>0.9953147032702846</v>
      </c>
      <c r="K239" s="817" t="str">
        <f t="shared" si="10"/>
        <v>C</v>
      </c>
    </row>
    <row r="240" spans="1:11" ht="30">
      <c r="A240" s="818" t="s">
        <v>44802</v>
      </c>
      <c r="B240" s="684" t="s">
        <v>29901</v>
      </c>
      <c r="C240" s="684" t="s">
        <v>15730</v>
      </c>
      <c r="D240" s="819" t="s">
        <v>41980</v>
      </c>
      <c r="E240" s="684" t="s">
        <v>103</v>
      </c>
      <c r="F240" s="694">
        <f xml:space="preserve"> 9</f>
        <v>9</v>
      </c>
      <c r="G240" s="820">
        <v>55.14</v>
      </c>
      <c r="H240" s="820">
        <v>496.26</v>
      </c>
      <c r="I240" s="821">
        <f t="shared" si="9"/>
        <v>1.4950747851314285E-4</v>
      </c>
      <c r="J240" s="821">
        <f t="shared" si="11"/>
        <v>0.99546421074879776</v>
      </c>
      <c r="K240" s="817" t="str">
        <f t="shared" si="10"/>
        <v>C</v>
      </c>
    </row>
    <row r="241" spans="1:11">
      <c r="A241" s="818" t="s">
        <v>44747</v>
      </c>
      <c r="B241" s="684" t="s">
        <v>29901</v>
      </c>
      <c r="C241" s="684" t="s">
        <v>15295</v>
      </c>
      <c r="D241" s="819" t="s">
        <v>44746</v>
      </c>
      <c r="E241" s="684" t="s">
        <v>396</v>
      </c>
      <c r="F241" s="694">
        <f xml:space="preserve"> 9</f>
        <v>9</v>
      </c>
      <c r="G241" s="820">
        <v>53.48</v>
      </c>
      <c r="H241" s="820">
        <v>481.32</v>
      </c>
      <c r="I241" s="821">
        <f t="shared" si="9"/>
        <v>1.4500652794491984E-4</v>
      </c>
      <c r="J241" s="821">
        <f t="shared" si="11"/>
        <v>0.99560921727674268</v>
      </c>
      <c r="K241" s="817" t="str">
        <f t="shared" si="10"/>
        <v>C</v>
      </c>
    </row>
    <row r="242" spans="1:11">
      <c r="A242" s="818" t="s">
        <v>44703</v>
      </c>
      <c r="B242" s="684" t="s">
        <v>29901</v>
      </c>
      <c r="C242" s="684" t="s">
        <v>16255</v>
      </c>
      <c r="D242" s="819" t="s">
        <v>41936</v>
      </c>
      <c r="E242" s="684" t="s">
        <v>103</v>
      </c>
      <c r="F242" s="694">
        <f xml:space="preserve"> 8</f>
        <v>8</v>
      </c>
      <c r="G242" s="820">
        <v>58.12</v>
      </c>
      <c r="H242" s="820">
        <v>464.96</v>
      </c>
      <c r="I242" s="821">
        <f t="shared" si="9"/>
        <v>1.4007777618480413E-4</v>
      </c>
      <c r="J242" s="821">
        <f t="shared" si="11"/>
        <v>0.99574929505292753</v>
      </c>
      <c r="K242" s="817" t="str">
        <f t="shared" si="10"/>
        <v>C</v>
      </c>
    </row>
    <row r="243" spans="1:11">
      <c r="A243" s="818" t="s">
        <v>44651</v>
      </c>
      <c r="B243" s="684" t="s">
        <v>29901</v>
      </c>
      <c r="C243" s="684" t="s">
        <v>17373</v>
      </c>
      <c r="D243" s="819" t="s">
        <v>44650</v>
      </c>
      <c r="E243" s="684" t="s">
        <v>103</v>
      </c>
      <c r="F243" s="694">
        <f xml:space="preserve"> 1</f>
        <v>1</v>
      </c>
      <c r="G243" s="820">
        <v>462.11</v>
      </c>
      <c r="H243" s="820">
        <v>462.11</v>
      </c>
      <c r="I243" s="821">
        <f t="shared" si="9"/>
        <v>1.3921916111656884E-4</v>
      </c>
      <c r="J243" s="821">
        <f t="shared" si="11"/>
        <v>0.99588851421404412</v>
      </c>
      <c r="K243" s="817" t="str">
        <f t="shared" si="10"/>
        <v>C</v>
      </c>
    </row>
    <row r="244" spans="1:11" ht="30">
      <c r="A244" s="818" t="s">
        <v>44733</v>
      </c>
      <c r="B244" s="684" t="s">
        <v>29901</v>
      </c>
      <c r="C244" s="684" t="s">
        <v>15429</v>
      </c>
      <c r="D244" s="819" t="s">
        <v>44732</v>
      </c>
      <c r="E244" s="684" t="s">
        <v>103</v>
      </c>
      <c r="F244" s="694">
        <f xml:space="preserve"> 18</f>
        <v>18</v>
      </c>
      <c r="G244" s="820">
        <v>25.28</v>
      </c>
      <c r="H244" s="820">
        <v>455.04</v>
      </c>
      <c r="I244" s="821">
        <f t="shared" si="9"/>
        <v>1.3708919321045527E-4</v>
      </c>
      <c r="J244" s="821">
        <f t="shared" si="11"/>
        <v>0.99602560340725455</v>
      </c>
      <c r="K244" s="817" t="str">
        <f t="shared" si="10"/>
        <v>C</v>
      </c>
    </row>
    <row r="245" spans="1:11">
      <c r="A245" s="818" t="s">
        <v>44702</v>
      </c>
      <c r="B245" s="684" t="s">
        <v>29901</v>
      </c>
      <c r="C245" s="684" t="s">
        <v>16239</v>
      </c>
      <c r="D245" s="819" t="s">
        <v>41935</v>
      </c>
      <c r="E245" s="684" t="s">
        <v>103</v>
      </c>
      <c r="F245" s="694">
        <f xml:space="preserve"> 8</f>
        <v>8</v>
      </c>
      <c r="G245" s="820">
        <v>54.67</v>
      </c>
      <c r="H245" s="820">
        <v>437.36</v>
      </c>
      <c r="I245" s="821">
        <f t="shared" si="9"/>
        <v>1.3176276710294635E-4</v>
      </c>
      <c r="J245" s="821">
        <f t="shared" si="11"/>
        <v>0.99615736617435746</v>
      </c>
      <c r="K245" s="817" t="str">
        <f t="shared" si="10"/>
        <v>C</v>
      </c>
    </row>
    <row r="246" spans="1:11" ht="30">
      <c r="A246" s="818" t="s">
        <v>44822</v>
      </c>
      <c r="B246" s="684" t="s">
        <v>29901</v>
      </c>
      <c r="C246" s="684" t="s">
        <v>14598</v>
      </c>
      <c r="D246" s="819" t="s">
        <v>44724</v>
      </c>
      <c r="E246" s="684" t="s">
        <v>165</v>
      </c>
      <c r="F246" s="694">
        <f xml:space="preserve"> 2.1 + 2.6</f>
        <v>4.7</v>
      </c>
      <c r="G246" s="820">
        <v>91.36</v>
      </c>
      <c r="H246" s="820">
        <v>429.38</v>
      </c>
      <c r="I246" s="821">
        <f t="shared" si="9"/>
        <v>1.2935864491188747E-4</v>
      </c>
      <c r="J246" s="821">
        <f t="shared" si="11"/>
        <v>0.99628672481926939</v>
      </c>
      <c r="K246" s="817" t="str">
        <f t="shared" si="10"/>
        <v>C</v>
      </c>
    </row>
    <row r="247" spans="1:11" ht="30">
      <c r="A247" s="818" t="s">
        <v>44929</v>
      </c>
      <c r="B247" s="684" t="s">
        <v>29901</v>
      </c>
      <c r="C247" s="684" t="s">
        <v>11765</v>
      </c>
      <c r="D247" s="819" t="s">
        <v>41819</v>
      </c>
      <c r="E247" s="684" t="s">
        <v>121</v>
      </c>
      <c r="F247" s="694">
        <f xml:space="preserve"> 3.6414</f>
        <v>3.6414</v>
      </c>
      <c r="G247" s="820">
        <v>117.31</v>
      </c>
      <c r="H247" s="820">
        <v>427.17</v>
      </c>
      <c r="I247" s="821">
        <f t="shared" si="9"/>
        <v>1.2869284164844887E-4</v>
      </c>
      <c r="J247" s="821">
        <f t="shared" si="11"/>
        <v>0.99641541766091779</v>
      </c>
      <c r="K247" s="817" t="str">
        <f t="shared" si="10"/>
        <v>C</v>
      </c>
    </row>
    <row r="248" spans="1:11" ht="30">
      <c r="A248" s="818" t="s">
        <v>44869</v>
      </c>
      <c r="B248" s="684" t="s">
        <v>29901</v>
      </c>
      <c r="C248" s="684" t="s">
        <v>17016</v>
      </c>
      <c r="D248" s="819" t="s">
        <v>44868</v>
      </c>
      <c r="E248" s="684" t="s">
        <v>103</v>
      </c>
      <c r="F248" s="694">
        <f xml:space="preserve"> 2</f>
        <v>2</v>
      </c>
      <c r="G248" s="820">
        <v>210.21</v>
      </c>
      <c r="H248" s="820">
        <v>420.42</v>
      </c>
      <c r="I248" s="821">
        <f t="shared" si="9"/>
        <v>1.2665927964473366E-4</v>
      </c>
      <c r="J248" s="821">
        <f t="shared" si="11"/>
        <v>0.99654207694056252</v>
      </c>
      <c r="K248" s="817" t="str">
        <f t="shared" si="10"/>
        <v>C</v>
      </c>
    </row>
    <row r="249" spans="1:11" ht="45">
      <c r="A249" s="818" t="s">
        <v>41993</v>
      </c>
      <c r="B249" s="684" t="s">
        <v>27888</v>
      </c>
      <c r="C249" s="684">
        <v>97901</v>
      </c>
      <c r="D249" s="819" t="s">
        <v>26623</v>
      </c>
      <c r="E249" s="684" t="s">
        <v>103</v>
      </c>
      <c r="F249" s="694">
        <f xml:space="preserve"> 1</f>
        <v>1</v>
      </c>
      <c r="G249" s="820">
        <v>415.48</v>
      </c>
      <c r="H249" s="820">
        <v>415.48</v>
      </c>
      <c r="I249" s="821">
        <f t="shared" si="9"/>
        <v>1.251710135264591E-4</v>
      </c>
      <c r="J249" s="821">
        <f t="shared" si="11"/>
        <v>0.99666724795408901</v>
      </c>
      <c r="K249" s="817" t="str">
        <f t="shared" si="10"/>
        <v>C</v>
      </c>
    </row>
    <row r="250" spans="1:11">
      <c r="A250" s="818" t="s">
        <v>44840</v>
      </c>
      <c r="B250" s="684" t="s">
        <v>41261</v>
      </c>
      <c r="C250" s="684" t="s">
        <v>21250</v>
      </c>
      <c r="D250" s="819" t="s">
        <v>21251</v>
      </c>
      <c r="E250" s="684" t="s">
        <v>103</v>
      </c>
      <c r="F250" s="694">
        <f xml:space="preserve"> 5</f>
        <v>5</v>
      </c>
      <c r="G250" s="820">
        <v>78.14</v>
      </c>
      <c r="H250" s="820">
        <v>390.7</v>
      </c>
      <c r="I250" s="821">
        <f t="shared" si="9"/>
        <v>1.1770558145948679E-4</v>
      </c>
      <c r="J250" s="821">
        <f t="shared" si="11"/>
        <v>0.99678495353554852</v>
      </c>
      <c r="K250" s="817" t="str">
        <f t="shared" si="10"/>
        <v>C</v>
      </c>
    </row>
    <row r="251" spans="1:11" ht="30">
      <c r="A251" s="818" t="s">
        <v>44695</v>
      </c>
      <c r="B251" s="684" t="s">
        <v>29901</v>
      </c>
      <c r="C251" s="684" t="s">
        <v>16132</v>
      </c>
      <c r="D251" s="819" t="s">
        <v>41932</v>
      </c>
      <c r="E251" s="684" t="s">
        <v>103</v>
      </c>
      <c r="F251" s="694">
        <f xml:space="preserve"> 2</f>
        <v>2</v>
      </c>
      <c r="G251" s="820">
        <v>194.49</v>
      </c>
      <c r="H251" s="820">
        <v>388.98</v>
      </c>
      <c r="I251" s="821">
        <f t="shared" si="9"/>
        <v>1.1718739973409567E-4</v>
      </c>
      <c r="J251" s="821">
        <f t="shared" si="11"/>
        <v>0.99690214093528262</v>
      </c>
      <c r="K251" s="817" t="str">
        <f t="shared" si="10"/>
        <v>C</v>
      </c>
    </row>
    <row r="252" spans="1:11">
      <c r="A252" s="818" t="s">
        <v>44789</v>
      </c>
      <c r="B252" s="684" t="s">
        <v>29901</v>
      </c>
      <c r="C252" s="684" t="s">
        <v>15253</v>
      </c>
      <c r="D252" s="819" t="s">
        <v>41970</v>
      </c>
      <c r="E252" s="684" t="s">
        <v>396</v>
      </c>
      <c r="F252" s="694">
        <f xml:space="preserve"> 10</f>
        <v>10</v>
      </c>
      <c r="G252" s="820">
        <v>38.130000000000003</v>
      </c>
      <c r="H252" s="820">
        <v>381.3</v>
      </c>
      <c r="I252" s="821">
        <f t="shared" si="9"/>
        <v>1.1487365807653524E-4</v>
      </c>
      <c r="J252" s="821">
        <f t="shared" si="11"/>
        <v>0.99701701459335912</v>
      </c>
      <c r="K252" s="817" t="str">
        <f t="shared" si="10"/>
        <v>C</v>
      </c>
    </row>
    <row r="253" spans="1:11">
      <c r="A253" s="818" t="s">
        <v>44835</v>
      </c>
      <c r="B253" s="684" t="s">
        <v>29901</v>
      </c>
      <c r="C253" s="684" t="s">
        <v>18252</v>
      </c>
      <c r="D253" s="819" t="s">
        <v>44834</v>
      </c>
      <c r="E253" s="684" t="s">
        <v>103</v>
      </c>
      <c r="F253" s="694">
        <f xml:space="preserve"> 1</f>
        <v>1</v>
      </c>
      <c r="G253" s="820">
        <v>379.24</v>
      </c>
      <c r="H253" s="820">
        <v>379.24</v>
      </c>
      <c r="I253" s="821">
        <f t="shared" si="9"/>
        <v>1.1425304507984584E-4</v>
      </c>
      <c r="J253" s="821">
        <f t="shared" si="11"/>
        <v>0.99713126763843896</v>
      </c>
      <c r="K253" s="817" t="str">
        <f t="shared" si="10"/>
        <v>C</v>
      </c>
    </row>
    <row r="254" spans="1:11">
      <c r="A254" s="818" t="s">
        <v>44685</v>
      </c>
      <c r="B254" s="684" t="s">
        <v>29901</v>
      </c>
      <c r="C254" s="684" t="s">
        <v>16176</v>
      </c>
      <c r="D254" s="819" t="s">
        <v>44684</v>
      </c>
      <c r="E254" s="684" t="s">
        <v>103</v>
      </c>
      <c r="F254" s="694">
        <f xml:space="preserve"> 1</f>
        <v>1</v>
      </c>
      <c r="G254" s="820">
        <v>376.27</v>
      </c>
      <c r="H254" s="820">
        <v>376.27</v>
      </c>
      <c r="I254" s="821">
        <f t="shared" si="9"/>
        <v>1.1335827779821115E-4</v>
      </c>
      <c r="J254" s="821">
        <f t="shared" si="11"/>
        <v>0.99724462591623719</v>
      </c>
      <c r="K254" s="817" t="str">
        <f t="shared" si="10"/>
        <v>C</v>
      </c>
    </row>
    <row r="255" spans="1:11">
      <c r="A255" s="818" t="s">
        <v>44839</v>
      </c>
      <c r="B255" s="684" t="s">
        <v>29901</v>
      </c>
      <c r="C255" s="684" t="s">
        <v>17559</v>
      </c>
      <c r="D255" s="819" t="s">
        <v>44838</v>
      </c>
      <c r="E255" s="684" t="s">
        <v>103</v>
      </c>
      <c r="F255" s="694">
        <f xml:space="preserve"> 3</f>
        <v>3</v>
      </c>
      <c r="G255" s="820">
        <v>118.24</v>
      </c>
      <c r="H255" s="820">
        <v>354.72</v>
      </c>
      <c r="I255" s="821">
        <f t="shared" si="9"/>
        <v>1.0686594280857219E-4</v>
      </c>
      <c r="J255" s="821">
        <f t="shared" si="11"/>
        <v>0.99735149185904581</v>
      </c>
      <c r="K255" s="817" t="str">
        <f t="shared" si="10"/>
        <v>C</v>
      </c>
    </row>
    <row r="256" spans="1:11">
      <c r="A256" s="818" t="s">
        <v>44680</v>
      </c>
      <c r="B256" s="684" t="s">
        <v>29901</v>
      </c>
      <c r="C256" s="684" t="s">
        <v>16243</v>
      </c>
      <c r="D256" s="819" t="s">
        <v>41925</v>
      </c>
      <c r="E256" s="684" t="s">
        <v>103</v>
      </c>
      <c r="F256" s="694">
        <f xml:space="preserve"> 7</f>
        <v>7</v>
      </c>
      <c r="G256" s="820">
        <v>50.45</v>
      </c>
      <c r="H256" s="820">
        <v>353.15</v>
      </c>
      <c r="I256" s="821">
        <f t="shared" si="9"/>
        <v>1.0639295134993028E-4</v>
      </c>
      <c r="J256" s="821">
        <f t="shared" si="11"/>
        <v>0.99745788481039577</v>
      </c>
      <c r="K256" s="817" t="str">
        <f t="shared" si="10"/>
        <v>C</v>
      </c>
    </row>
    <row r="257" spans="1:11">
      <c r="A257" s="818" t="s">
        <v>44713</v>
      </c>
      <c r="B257" s="684" t="s">
        <v>29901</v>
      </c>
      <c r="C257" s="684" t="s">
        <v>15832</v>
      </c>
      <c r="D257" s="819" t="s">
        <v>44712</v>
      </c>
      <c r="E257" s="684" t="s">
        <v>103</v>
      </c>
      <c r="F257" s="694">
        <f xml:space="preserve"> 2</f>
        <v>2</v>
      </c>
      <c r="G257" s="820">
        <v>172.43</v>
      </c>
      <c r="H257" s="820">
        <v>344.86</v>
      </c>
      <c r="I257" s="821">
        <f t="shared" si="9"/>
        <v>1.03895435940923E-4</v>
      </c>
      <c r="J257" s="821">
        <f t="shared" si="11"/>
        <v>0.99756178024633668</v>
      </c>
      <c r="K257" s="817" t="str">
        <f t="shared" si="10"/>
        <v>C</v>
      </c>
    </row>
    <row r="258" spans="1:11">
      <c r="A258" s="818" t="s">
        <v>44679</v>
      </c>
      <c r="B258" s="684" t="s">
        <v>29901</v>
      </c>
      <c r="C258" s="684" t="s">
        <v>16237</v>
      </c>
      <c r="D258" s="819" t="s">
        <v>41924</v>
      </c>
      <c r="E258" s="684" t="s">
        <v>103</v>
      </c>
      <c r="F258" s="694">
        <f xml:space="preserve"> 7</f>
        <v>7</v>
      </c>
      <c r="G258" s="820">
        <v>48.76</v>
      </c>
      <c r="H258" s="820">
        <v>341.32</v>
      </c>
      <c r="I258" s="821">
        <f t="shared" si="9"/>
        <v>1.0282894564564123E-4</v>
      </c>
      <c r="J258" s="821">
        <f t="shared" si="11"/>
        <v>0.9976646091919823</v>
      </c>
      <c r="K258" s="817" t="str">
        <f t="shared" si="10"/>
        <v>C</v>
      </c>
    </row>
    <row r="259" spans="1:11" ht="45">
      <c r="A259" s="818" t="s">
        <v>44844</v>
      </c>
      <c r="B259" s="684" t="s">
        <v>29901</v>
      </c>
      <c r="C259" s="684" t="s">
        <v>18421</v>
      </c>
      <c r="D259" s="819" t="s">
        <v>44843</v>
      </c>
      <c r="E259" s="684" t="s">
        <v>103</v>
      </c>
      <c r="F259" s="694">
        <f xml:space="preserve"> 15</f>
        <v>15</v>
      </c>
      <c r="G259" s="820">
        <v>22.71</v>
      </c>
      <c r="H259" s="820">
        <v>340.65</v>
      </c>
      <c r="I259" s="821">
        <f t="shared" si="9"/>
        <v>1.0262709578749468E-4</v>
      </c>
      <c r="J259" s="821">
        <f t="shared" si="11"/>
        <v>0.99776723628776975</v>
      </c>
      <c r="K259" s="817" t="str">
        <f t="shared" si="10"/>
        <v>C</v>
      </c>
    </row>
    <row r="260" spans="1:11" ht="30">
      <c r="A260" s="818" t="s">
        <v>44671</v>
      </c>
      <c r="B260" s="684" t="s">
        <v>29901</v>
      </c>
      <c r="C260" s="684" t="s">
        <v>16311</v>
      </c>
      <c r="D260" s="819" t="s">
        <v>41917</v>
      </c>
      <c r="E260" s="684" t="s">
        <v>165</v>
      </c>
      <c r="F260" s="694">
        <f xml:space="preserve"> 5.1</f>
        <v>5.0999999999999996</v>
      </c>
      <c r="G260" s="820">
        <v>63.73</v>
      </c>
      <c r="H260" s="820">
        <v>325.02</v>
      </c>
      <c r="I260" s="821">
        <f t="shared" si="9"/>
        <v>9.7918269992225225E-5</v>
      </c>
      <c r="J260" s="821">
        <f t="shared" si="11"/>
        <v>0.99786515455776192</v>
      </c>
      <c r="K260" s="817" t="str">
        <f t="shared" si="10"/>
        <v>C</v>
      </c>
    </row>
    <row r="261" spans="1:11">
      <c r="A261" s="818" t="s">
        <v>44784</v>
      </c>
      <c r="B261" s="684" t="s">
        <v>29901</v>
      </c>
      <c r="C261" s="684" t="s">
        <v>15267</v>
      </c>
      <c r="D261" s="819" t="s">
        <v>44783</v>
      </c>
      <c r="E261" s="684" t="s">
        <v>396</v>
      </c>
      <c r="F261" s="694">
        <f xml:space="preserve"> 6</f>
        <v>6</v>
      </c>
      <c r="G261" s="820">
        <v>53.69</v>
      </c>
      <c r="H261" s="820">
        <v>322.14</v>
      </c>
      <c r="I261" s="821">
        <f t="shared" si="9"/>
        <v>9.705061687064006E-5</v>
      </c>
      <c r="J261" s="821">
        <f t="shared" si="11"/>
        <v>0.99796220517463252</v>
      </c>
      <c r="K261" s="817" t="str">
        <f t="shared" si="10"/>
        <v>C</v>
      </c>
    </row>
    <row r="262" spans="1:11">
      <c r="A262" s="818" t="s">
        <v>44898</v>
      </c>
      <c r="B262" s="684" t="s">
        <v>29901</v>
      </c>
      <c r="C262" s="684" t="s">
        <v>17834</v>
      </c>
      <c r="D262" s="819" t="s">
        <v>44897</v>
      </c>
      <c r="E262" s="684" t="s">
        <v>165</v>
      </c>
      <c r="F262" s="694">
        <f xml:space="preserve"> 7.1</f>
        <v>7.1</v>
      </c>
      <c r="G262" s="820">
        <v>44</v>
      </c>
      <c r="H262" s="820">
        <v>312.39999999999998</v>
      </c>
      <c r="I262" s="821">
        <f t="shared" si="9"/>
        <v>9.4116262216390248E-5</v>
      </c>
      <c r="J262" s="821">
        <f t="shared" si="11"/>
        <v>0.99805632143684886</v>
      </c>
      <c r="K262" s="817" t="str">
        <f t="shared" si="10"/>
        <v>C</v>
      </c>
    </row>
    <row r="263" spans="1:11">
      <c r="A263" s="818" t="s">
        <v>44742</v>
      </c>
      <c r="B263" s="684" t="s">
        <v>29901</v>
      </c>
      <c r="C263" s="684" t="s">
        <v>15435</v>
      </c>
      <c r="D263" s="819" t="s">
        <v>44741</v>
      </c>
      <c r="E263" s="684" t="s">
        <v>103</v>
      </c>
      <c r="F263" s="694">
        <f xml:space="preserve"> 13</f>
        <v>13</v>
      </c>
      <c r="G263" s="820">
        <v>23.85</v>
      </c>
      <c r="H263" s="820">
        <v>310.05</v>
      </c>
      <c r="I263" s="821">
        <f t="shared" si="9"/>
        <v>9.3408281370652374E-5</v>
      </c>
      <c r="J263" s="821">
        <f t="shared" si="11"/>
        <v>0.99814972971821947</v>
      </c>
      <c r="K263" s="817" t="str">
        <f t="shared" si="10"/>
        <v>C</v>
      </c>
    </row>
    <row r="264" spans="1:11">
      <c r="A264" s="818" t="s">
        <v>44800</v>
      </c>
      <c r="B264" s="684" t="s">
        <v>29901</v>
      </c>
      <c r="C264" s="684" t="s">
        <v>15006</v>
      </c>
      <c r="D264" s="819" t="s">
        <v>41978</v>
      </c>
      <c r="E264" s="684" t="s">
        <v>103</v>
      </c>
      <c r="F264" s="694">
        <f xml:space="preserve"> 10</f>
        <v>10</v>
      </c>
      <c r="G264" s="820">
        <v>30.44</v>
      </c>
      <c r="H264" s="820">
        <v>304.39999999999998</v>
      </c>
      <c r="I264" s="821">
        <f t="shared" si="9"/>
        <v>9.1706114656431477E-5</v>
      </c>
      <c r="J264" s="821">
        <f t="shared" si="11"/>
        <v>0.99824143583287595</v>
      </c>
      <c r="K264" s="817" t="str">
        <f t="shared" si="10"/>
        <v>C</v>
      </c>
    </row>
    <row r="265" spans="1:11" ht="30">
      <c r="A265" s="818" t="s">
        <v>44908</v>
      </c>
      <c r="B265" s="684" t="s">
        <v>29901</v>
      </c>
      <c r="C265" s="684" t="s">
        <v>13608</v>
      </c>
      <c r="D265" s="819" t="s">
        <v>44907</v>
      </c>
      <c r="E265" s="684" t="s">
        <v>103</v>
      </c>
      <c r="F265" s="694">
        <f xml:space="preserve"> 1</f>
        <v>1</v>
      </c>
      <c r="G265" s="820">
        <v>301.44</v>
      </c>
      <c r="H265" s="820">
        <v>301.44</v>
      </c>
      <c r="I265" s="821">
        <f t="shared" si="9"/>
        <v>9.0814360059246729E-5</v>
      </c>
      <c r="J265" s="821">
        <f t="shared" si="11"/>
        <v>0.99833225019293514</v>
      </c>
      <c r="K265" s="817" t="str">
        <f t="shared" si="10"/>
        <v>C</v>
      </c>
    </row>
    <row r="266" spans="1:11" ht="30">
      <c r="A266" s="818" t="s">
        <v>44850</v>
      </c>
      <c r="B266" s="684" t="s">
        <v>29901</v>
      </c>
      <c r="C266" s="684" t="s">
        <v>17598</v>
      </c>
      <c r="D266" s="819" t="s">
        <v>44849</v>
      </c>
      <c r="E266" s="684" t="s">
        <v>103</v>
      </c>
      <c r="F266" s="694">
        <f xml:space="preserve"> 1</f>
        <v>1</v>
      </c>
      <c r="G266" s="820">
        <v>301.23</v>
      </c>
      <c r="H266" s="820">
        <v>301.23</v>
      </c>
      <c r="I266" s="821">
        <f t="shared" ref="I266:I303" si="12">H266 / 3319298.84</f>
        <v>9.075109368579782E-5</v>
      </c>
      <c r="J266" s="821">
        <f t="shared" si="11"/>
        <v>0.99842300128662098</v>
      </c>
      <c r="K266" s="817" t="str">
        <f t="shared" ref="K266:K303" si="13">IF($J266="","",IF($J266&lt;=0.8,"A",IF($J266&gt;=0.95,"C","B")))</f>
        <v>C</v>
      </c>
    </row>
    <row r="267" spans="1:11" ht="30">
      <c r="A267" s="818" t="s">
        <v>44817</v>
      </c>
      <c r="B267" s="684" t="s">
        <v>29901</v>
      </c>
      <c r="C267" s="684" t="s">
        <v>15407</v>
      </c>
      <c r="D267" s="819" t="s">
        <v>44790</v>
      </c>
      <c r="E267" s="684" t="s">
        <v>103</v>
      </c>
      <c r="F267" s="694">
        <f xml:space="preserve"> 22 + 18</f>
        <v>40</v>
      </c>
      <c r="G267" s="820">
        <v>7.36</v>
      </c>
      <c r="H267" s="820">
        <v>294.39999999999998</v>
      </c>
      <c r="I267" s="821">
        <f t="shared" si="12"/>
        <v>8.8693430206482999E-5</v>
      </c>
      <c r="J267" s="821">
        <f t="shared" ref="J267:J303" si="14">I267 + J266</f>
        <v>0.99851169471682744</v>
      </c>
      <c r="K267" s="817" t="str">
        <f t="shared" si="13"/>
        <v>C</v>
      </c>
    </row>
    <row r="268" spans="1:11" ht="30">
      <c r="A268" s="818" t="s">
        <v>44659</v>
      </c>
      <c r="B268" s="684" t="s">
        <v>29901</v>
      </c>
      <c r="C268" s="684" t="s">
        <v>16365</v>
      </c>
      <c r="D268" s="819" t="s">
        <v>44658</v>
      </c>
      <c r="E268" s="684" t="s">
        <v>165</v>
      </c>
      <c r="F268" s="694">
        <f xml:space="preserve"> 4.8</f>
        <v>4.8</v>
      </c>
      <c r="G268" s="820">
        <v>59.42</v>
      </c>
      <c r="H268" s="820">
        <v>285.20999999999998</v>
      </c>
      <c r="I268" s="821">
        <f t="shared" si="12"/>
        <v>8.5924773196980358E-5</v>
      </c>
      <c r="J268" s="821">
        <f t="shared" si="14"/>
        <v>0.99859761949002446</v>
      </c>
      <c r="K268" s="817" t="str">
        <f t="shared" si="13"/>
        <v>C</v>
      </c>
    </row>
    <row r="269" spans="1:11" ht="30">
      <c r="A269" s="818" t="s">
        <v>44687</v>
      </c>
      <c r="B269" s="684" t="s">
        <v>29901</v>
      </c>
      <c r="C269" s="684" t="s">
        <v>16126</v>
      </c>
      <c r="D269" s="819" t="s">
        <v>44686</v>
      </c>
      <c r="E269" s="684" t="s">
        <v>103</v>
      </c>
      <c r="F269" s="694">
        <f xml:space="preserve"> 1</f>
        <v>1</v>
      </c>
      <c r="G269" s="820">
        <v>254.8</v>
      </c>
      <c r="H269" s="820">
        <v>254.8</v>
      </c>
      <c r="I269" s="821">
        <f t="shared" si="12"/>
        <v>7.6763199784687068E-5</v>
      </c>
      <c r="J269" s="821">
        <f t="shared" si="14"/>
        <v>0.99867438268980913</v>
      </c>
      <c r="K269" s="817" t="str">
        <f t="shared" si="13"/>
        <v>C</v>
      </c>
    </row>
    <row r="270" spans="1:11" ht="30">
      <c r="A270" s="818" t="s">
        <v>44926</v>
      </c>
      <c r="B270" s="684" t="s">
        <v>29901</v>
      </c>
      <c r="C270" s="684" t="s">
        <v>17631</v>
      </c>
      <c r="D270" s="819" t="s">
        <v>41907</v>
      </c>
      <c r="E270" s="684" t="s">
        <v>509</v>
      </c>
      <c r="F270" s="694">
        <f xml:space="preserve"> 52.02</f>
        <v>52.02</v>
      </c>
      <c r="G270" s="820">
        <v>4.45</v>
      </c>
      <c r="H270" s="820">
        <v>231.48</v>
      </c>
      <c r="I270" s="821">
        <f t="shared" si="12"/>
        <v>6.9737619647407224E-5</v>
      </c>
      <c r="J270" s="821">
        <f t="shared" si="14"/>
        <v>0.99874412030945658</v>
      </c>
      <c r="K270" s="817" t="str">
        <f t="shared" si="13"/>
        <v>C</v>
      </c>
    </row>
    <row r="271" spans="1:11">
      <c r="A271" s="818" t="s">
        <v>44799</v>
      </c>
      <c r="B271" s="684" t="s">
        <v>29901</v>
      </c>
      <c r="C271" s="684" t="s">
        <v>14986</v>
      </c>
      <c r="D271" s="819" t="s">
        <v>41977</v>
      </c>
      <c r="E271" s="684" t="s">
        <v>103</v>
      </c>
      <c r="F271" s="694">
        <f xml:space="preserve"> 10</f>
        <v>10</v>
      </c>
      <c r="G271" s="820">
        <v>22.96</v>
      </c>
      <c r="H271" s="820">
        <v>229.6</v>
      </c>
      <c r="I271" s="821">
        <f t="shared" si="12"/>
        <v>6.9171234970816911E-5</v>
      </c>
      <c r="J271" s="821">
        <f t="shared" si="14"/>
        <v>0.99881329154442744</v>
      </c>
      <c r="K271" s="817" t="str">
        <f t="shared" si="13"/>
        <v>C</v>
      </c>
    </row>
    <row r="272" spans="1:11" ht="30">
      <c r="A272" s="818" t="s">
        <v>44837</v>
      </c>
      <c r="B272" s="684" t="s">
        <v>29901</v>
      </c>
      <c r="C272" s="684" t="s">
        <v>15215</v>
      </c>
      <c r="D272" s="819" t="s">
        <v>44836</v>
      </c>
      <c r="E272" s="684" t="s">
        <v>103</v>
      </c>
      <c r="F272" s="694">
        <f xml:space="preserve"> 1</f>
        <v>1</v>
      </c>
      <c r="G272" s="820">
        <v>209.8</v>
      </c>
      <c r="H272" s="820">
        <v>209.8</v>
      </c>
      <c r="I272" s="821">
        <f t="shared" si="12"/>
        <v>6.3206119759918946E-5</v>
      </c>
      <c r="J272" s="821">
        <f t="shared" si="14"/>
        <v>0.9988764976641874</v>
      </c>
      <c r="K272" s="817" t="str">
        <f t="shared" si="13"/>
        <v>C</v>
      </c>
    </row>
    <row r="273" spans="1:11">
      <c r="A273" s="818" t="s">
        <v>44699</v>
      </c>
      <c r="B273" s="684" t="s">
        <v>29901</v>
      </c>
      <c r="C273" s="684" t="s">
        <v>16040</v>
      </c>
      <c r="D273" s="819" t="s">
        <v>44698</v>
      </c>
      <c r="E273" s="684" t="s">
        <v>103</v>
      </c>
      <c r="F273" s="694">
        <f xml:space="preserve"> 2</f>
        <v>2</v>
      </c>
      <c r="G273" s="820">
        <v>94.32</v>
      </c>
      <c r="H273" s="820">
        <v>188.64</v>
      </c>
      <c r="I273" s="821">
        <f t="shared" si="12"/>
        <v>5.6831279463827966E-5</v>
      </c>
      <c r="J273" s="821">
        <f t="shared" si="14"/>
        <v>0.99893332894365128</v>
      </c>
      <c r="K273" s="817" t="str">
        <f t="shared" si="13"/>
        <v>C</v>
      </c>
    </row>
    <row r="274" spans="1:11">
      <c r="A274" s="818" t="s">
        <v>44707</v>
      </c>
      <c r="B274" s="684" t="s">
        <v>29901</v>
      </c>
      <c r="C274" s="684" t="s">
        <v>16251</v>
      </c>
      <c r="D274" s="819" t="s">
        <v>44706</v>
      </c>
      <c r="E274" s="684" t="s">
        <v>103</v>
      </c>
      <c r="F274" s="694">
        <f xml:space="preserve"> 2</f>
        <v>2</v>
      </c>
      <c r="G274" s="820">
        <v>91.06</v>
      </c>
      <c r="H274" s="820">
        <v>182.12</v>
      </c>
      <c r="I274" s="821">
        <f t="shared" si="12"/>
        <v>5.4867009202461569E-5</v>
      </c>
      <c r="J274" s="821">
        <f t="shared" si="14"/>
        <v>0.99898819595285371</v>
      </c>
      <c r="K274" s="817" t="str">
        <f t="shared" si="13"/>
        <v>C</v>
      </c>
    </row>
    <row r="275" spans="1:11" ht="30">
      <c r="A275" s="818" t="s">
        <v>44912</v>
      </c>
      <c r="B275" s="684" t="s">
        <v>29901</v>
      </c>
      <c r="C275" s="684" t="s">
        <v>13605</v>
      </c>
      <c r="D275" s="819" t="s">
        <v>42021</v>
      </c>
      <c r="E275" s="684" t="s">
        <v>103</v>
      </c>
      <c r="F275" s="694">
        <f xml:space="preserve"> 4</f>
        <v>4</v>
      </c>
      <c r="G275" s="820">
        <v>43.59</v>
      </c>
      <c r="H275" s="820">
        <v>174.36</v>
      </c>
      <c r="I275" s="821">
        <f t="shared" si="12"/>
        <v>5.2529166069301558E-5</v>
      </c>
      <c r="J275" s="821">
        <f t="shared" si="14"/>
        <v>0.99904072511892306</v>
      </c>
      <c r="K275" s="817" t="str">
        <f t="shared" si="13"/>
        <v>C</v>
      </c>
    </row>
    <row r="276" spans="1:11">
      <c r="A276" s="818" t="s">
        <v>44683</v>
      </c>
      <c r="B276" s="684" t="s">
        <v>29901</v>
      </c>
      <c r="C276" s="684" t="s">
        <v>16046</v>
      </c>
      <c r="D276" s="819" t="s">
        <v>41928</v>
      </c>
      <c r="E276" s="684" t="s">
        <v>103</v>
      </c>
      <c r="F276" s="694">
        <f xml:space="preserve"> 1</f>
        <v>1</v>
      </c>
      <c r="G276" s="820">
        <v>172.32</v>
      </c>
      <c r="H276" s="820">
        <v>172.32</v>
      </c>
      <c r="I276" s="821">
        <f t="shared" si="12"/>
        <v>5.191457844151206E-5</v>
      </c>
      <c r="J276" s="821">
        <f t="shared" si="14"/>
        <v>0.99909263969736462</v>
      </c>
      <c r="K276" s="817" t="str">
        <f t="shared" si="13"/>
        <v>C</v>
      </c>
    </row>
    <row r="277" spans="1:11" ht="30">
      <c r="A277" s="818" t="s">
        <v>42000</v>
      </c>
      <c r="B277" s="684" t="s">
        <v>29901</v>
      </c>
      <c r="C277" s="684" t="s">
        <v>17044</v>
      </c>
      <c r="D277" s="819" t="s">
        <v>41912</v>
      </c>
      <c r="E277" s="684" t="s">
        <v>103</v>
      </c>
      <c r="F277" s="694">
        <f xml:space="preserve"> 2</f>
        <v>2</v>
      </c>
      <c r="G277" s="820">
        <v>85.22</v>
      </c>
      <c r="H277" s="820">
        <v>170.44</v>
      </c>
      <c r="I277" s="821">
        <f t="shared" si="12"/>
        <v>5.1348193764921755E-5</v>
      </c>
      <c r="J277" s="821">
        <f t="shared" si="14"/>
        <v>0.99914398789112957</v>
      </c>
      <c r="K277" s="817" t="str">
        <f t="shared" si="13"/>
        <v>C</v>
      </c>
    </row>
    <row r="278" spans="1:11" ht="30">
      <c r="A278" s="818" t="s">
        <v>44697</v>
      </c>
      <c r="B278" s="684" t="s">
        <v>29901</v>
      </c>
      <c r="C278" s="684" t="s">
        <v>16108</v>
      </c>
      <c r="D278" s="819" t="s">
        <v>41934</v>
      </c>
      <c r="E278" s="684" t="s">
        <v>103</v>
      </c>
      <c r="F278" s="694">
        <f xml:space="preserve"> 2</f>
        <v>2</v>
      </c>
      <c r="G278" s="820">
        <v>83.01</v>
      </c>
      <c r="H278" s="820">
        <v>166.02</v>
      </c>
      <c r="I278" s="821">
        <f t="shared" si="12"/>
        <v>5.0016587238044531E-5</v>
      </c>
      <c r="J278" s="821">
        <f t="shared" si="14"/>
        <v>0.99919400447836759</v>
      </c>
      <c r="K278" s="817" t="str">
        <f t="shared" si="13"/>
        <v>C</v>
      </c>
    </row>
    <row r="279" spans="1:11">
      <c r="A279" s="818" t="s">
        <v>44860</v>
      </c>
      <c r="B279" s="684" t="s">
        <v>29901</v>
      </c>
      <c r="C279" s="684" t="s">
        <v>16387</v>
      </c>
      <c r="D279" s="819" t="s">
        <v>44859</v>
      </c>
      <c r="E279" s="684" t="s">
        <v>165</v>
      </c>
      <c r="F279" s="694">
        <f xml:space="preserve"> 0.8</f>
        <v>0.8</v>
      </c>
      <c r="G279" s="820">
        <v>205.06</v>
      </c>
      <c r="H279" s="820">
        <v>164.04</v>
      </c>
      <c r="I279" s="821">
        <f t="shared" si="12"/>
        <v>4.9420075716954731E-5</v>
      </c>
      <c r="J279" s="821">
        <f t="shared" si="14"/>
        <v>0.99924342455408455</v>
      </c>
      <c r="K279" s="817" t="str">
        <f t="shared" si="13"/>
        <v>C</v>
      </c>
    </row>
    <row r="280" spans="1:11" ht="30">
      <c r="A280" s="818" t="s">
        <v>44896</v>
      </c>
      <c r="B280" s="684" t="s">
        <v>29901</v>
      </c>
      <c r="C280" s="684" t="s">
        <v>17880</v>
      </c>
      <c r="D280" s="819" t="s">
        <v>44895</v>
      </c>
      <c r="E280" s="684" t="s">
        <v>509</v>
      </c>
      <c r="F280" s="694">
        <f xml:space="preserve"> 0.045</f>
        <v>4.4999999999999998E-2</v>
      </c>
      <c r="G280" s="820">
        <v>3583.62</v>
      </c>
      <c r="H280" s="820">
        <v>161.26</v>
      </c>
      <c r="I280" s="821">
        <f t="shared" si="12"/>
        <v>4.8582549439869053E-5</v>
      </c>
      <c r="J280" s="821">
        <f t="shared" si="14"/>
        <v>0.99929200710352439</v>
      </c>
      <c r="K280" s="817" t="str">
        <f t="shared" si="13"/>
        <v>C</v>
      </c>
    </row>
    <row r="281" spans="1:11">
      <c r="A281" s="818" t="s">
        <v>44681</v>
      </c>
      <c r="B281" s="684" t="s">
        <v>29901</v>
      </c>
      <c r="C281" s="684" t="s">
        <v>16245</v>
      </c>
      <c r="D281" s="819" t="s">
        <v>41926</v>
      </c>
      <c r="E281" s="684" t="s">
        <v>103</v>
      </c>
      <c r="F281" s="694">
        <f xml:space="preserve"> 7</f>
        <v>7</v>
      </c>
      <c r="G281" s="820">
        <v>22.98</v>
      </c>
      <c r="H281" s="820">
        <v>160.86000000000001</v>
      </c>
      <c r="I281" s="821">
        <f t="shared" si="12"/>
        <v>4.8462042061871121E-5</v>
      </c>
      <c r="J281" s="821">
        <f t="shared" si="14"/>
        <v>0.99934046914558627</v>
      </c>
      <c r="K281" s="817" t="str">
        <f t="shared" si="13"/>
        <v>C</v>
      </c>
    </row>
    <row r="282" spans="1:11" ht="30">
      <c r="A282" s="818" t="s">
        <v>44775</v>
      </c>
      <c r="B282" s="684" t="s">
        <v>29901</v>
      </c>
      <c r="C282" s="684" t="s">
        <v>15104</v>
      </c>
      <c r="D282" s="819" t="s">
        <v>44774</v>
      </c>
      <c r="E282" s="684" t="s">
        <v>165</v>
      </c>
      <c r="F282" s="694">
        <f xml:space="preserve"> 4.7</f>
        <v>4.7</v>
      </c>
      <c r="G282" s="820">
        <v>33.57</v>
      </c>
      <c r="H282" s="820">
        <v>157.77000000000001</v>
      </c>
      <c r="I282" s="821">
        <f t="shared" si="12"/>
        <v>4.753112256683704E-5</v>
      </c>
      <c r="J282" s="821">
        <f t="shared" si="14"/>
        <v>0.99938800026815311</v>
      </c>
      <c r="K282" s="817" t="str">
        <f t="shared" si="13"/>
        <v>C</v>
      </c>
    </row>
    <row r="283" spans="1:11" ht="30">
      <c r="A283" s="818" t="s">
        <v>42003</v>
      </c>
      <c r="B283" s="684" t="s">
        <v>27888</v>
      </c>
      <c r="C283" s="684">
        <v>94493</v>
      </c>
      <c r="D283" s="819" t="s">
        <v>40826</v>
      </c>
      <c r="E283" s="684" t="s">
        <v>103</v>
      </c>
      <c r="F283" s="694">
        <f xml:space="preserve"> 1</f>
        <v>1</v>
      </c>
      <c r="G283" s="820">
        <v>149.09</v>
      </c>
      <c r="H283" s="820">
        <v>149.09</v>
      </c>
      <c r="I283" s="821">
        <f t="shared" si="12"/>
        <v>4.4916112464281765E-5</v>
      </c>
      <c r="J283" s="821">
        <f t="shared" si="14"/>
        <v>0.99943291638061738</v>
      </c>
      <c r="K283" s="817" t="str">
        <f t="shared" si="13"/>
        <v>C</v>
      </c>
    </row>
    <row r="284" spans="1:11" ht="30">
      <c r="A284" s="818" t="s">
        <v>44773</v>
      </c>
      <c r="B284" s="684" t="s">
        <v>29901</v>
      </c>
      <c r="C284" s="684" t="s">
        <v>15100</v>
      </c>
      <c r="D284" s="819" t="s">
        <v>44772</v>
      </c>
      <c r="E284" s="684" t="s">
        <v>165</v>
      </c>
      <c r="F284" s="694">
        <f xml:space="preserve"> 23.2</f>
        <v>23.2</v>
      </c>
      <c r="G284" s="820">
        <v>6.28</v>
      </c>
      <c r="H284" s="820">
        <v>145.69</v>
      </c>
      <c r="I284" s="821">
        <f t="shared" si="12"/>
        <v>4.3891799751299287E-5</v>
      </c>
      <c r="J284" s="821">
        <f t="shared" si="14"/>
        <v>0.99947680818036866</v>
      </c>
      <c r="K284" s="817" t="str">
        <f t="shared" si="13"/>
        <v>C</v>
      </c>
    </row>
    <row r="285" spans="1:11" ht="30">
      <c r="A285" s="818" t="s">
        <v>42005</v>
      </c>
      <c r="B285" s="684" t="s">
        <v>27888</v>
      </c>
      <c r="C285" s="684">
        <v>103040</v>
      </c>
      <c r="D285" s="819" t="s">
        <v>26795</v>
      </c>
      <c r="E285" s="684" t="s">
        <v>103</v>
      </c>
      <c r="F285" s="694">
        <f xml:space="preserve"> 1</f>
        <v>1</v>
      </c>
      <c r="G285" s="820">
        <v>139.01</v>
      </c>
      <c r="H285" s="820">
        <v>139.01</v>
      </c>
      <c r="I285" s="821">
        <f t="shared" si="12"/>
        <v>4.1879326538733705E-5</v>
      </c>
      <c r="J285" s="821">
        <f t="shared" si="14"/>
        <v>0.99951868750690742</v>
      </c>
      <c r="K285" s="817" t="str">
        <f t="shared" si="13"/>
        <v>C</v>
      </c>
    </row>
    <row r="286" spans="1:11">
      <c r="A286" s="818" t="s">
        <v>44792</v>
      </c>
      <c r="B286" s="684" t="s">
        <v>29901</v>
      </c>
      <c r="C286" s="684" t="s">
        <v>15353</v>
      </c>
      <c r="D286" s="819" t="s">
        <v>44791</v>
      </c>
      <c r="E286" s="684" t="s">
        <v>103</v>
      </c>
      <c r="F286" s="694">
        <f xml:space="preserve"> 1</f>
        <v>1</v>
      </c>
      <c r="G286" s="820">
        <v>135.86000000000001</v>
      </c>
      <c r="H286" s="820">
        <v>135.86000000000001</v>
      </c>
      <c r="I286" s="821">
        <f t="shared" si="12"/>
        <v>4.0930330936999941E-5</v>
      </c>
      <c r="J286" s="821">
        <f t="shared" si="14"/>
        <v>0.99955961783784442</v>
      </c>
      <c r="K286" s="817" t="str">
        <f t="shared" si="13"/>
        <v>C</v>
      </c>
    </row>
    <row r="287" spans="1:11">
      <c r="A287" s="818" t="s">
        <v>44808</v>
      </c>
      <c r="B287" s="684" t="s">
        <v>29901</v>
      </c>
      <c r="C287" s="684" t="s">
        <v>18270</v>
      </c>
      <c r="D287" s="819" t="s">
        <v>41988</v>
      </c>
      <c r="E287" s="684" t="s">
        <v>103</v>
      </c>
      <c r="F287" s="694">
        <f xml:space="preserve"> 1</f>
        <v>1</v>
      </c>
      <c r="G287" s="820">
        <v>132.55000000000001</v>
      </c>
      <c r="H287" s="820">
        <v>132.55000000000001</v>
      </c>
      <c r="I287" s="821">
        <f t="shared" si="12"/>
        <v>3.9933132384066998E-5</v>
      </c>
      <c r="J287" s="821">
        <f t="shared" si="14"/>
        <v>0.99959955097022846</v>
      </c>
      <c r="K287" s="817" t="str">
        <f t="shared" si="13"/>
        <v>C</v>
      </c>
    </row>
    <row r="288" spans="1:11" ht="45">
      <c r="A288" s="818" t="s">
        <v>44846</v>
      </c>
      <c r="B288" s="684" t="s">
        <v>29901</v>
      </c>
      <c r="C288" s="684" t="s">
        <v>18423</v>
      </c>
      <c r="D288" s="819" t="s">
        <v>44845</v>
      </c>
      <c r="E288" s="684" t="s">
        <v>103</v>
      </c>
      <c r="F288" s="694">
        <f xml:space="preserve"> 4</f>
        <v>4</v>
      </c>
      <c r="G288" s="820">
        <v>31.97</v>
      </c>
      <c r="H288" s="820">
        <v>127.88</v>
      </c>
      <c r="I288" s="821">
        <f t="shared" si="12"/>
        <v>3.8526208745941055E-5</v>
      </c>
      <c r="J288" s="821">
        <f t="shared" si="14"/>
        <v>0.99963807717897435</v>
      </c>
      <c r="K288" s="817" t="str">
        <f t="shared" si="13"/>
        <v>C</v>
      </c>
    </row>
    <row r="289" spans="1:11">
      <c r="A289" s="818" t="s">
        <v>44708</v>
      </c>
      <c r="B289" s="684" t="s">
        <v>29901</v>
      </c>
      <c r="C289" s="684" t="s">
        <v>16219</v>
      </c>
      <c r="D289" s="819" t="s">
        <v>41937</v>
      </c>
      <c r="E289" s="684" t="s">
        <v>103</v>
      </c>
      <c r="F289" s="694">
        <f xml:space="preserve"> 7</f>
        <v>7</v>
      </c>
      <c r="G289" s="820">
        <v>17.07</v>
      </c>
      <c r="H289" s="820">
        <v>119.49</v>
      </c>
      <c r="I289" s="821">
        <f t="shared" si="12"/>
        <v>3.5998566492434291E-5</v>
      </c>
      <c r="J289" s="821">
        <f t="shared" si="14"/>
        <v>0.99967407574546674</v>
      </c>
      <c r="K289" s="817" t="str">
        <f t="shared" si="13"/>
        <v>C</v>
      </c>
    </row>
    <row r="290" spans="1:11" ht="30">
      <c r="A290" s="818" t="s">
        <v>44911</v>
      </c>
      <c r="B290" s="684" t="s">
        <v>29901</v>
      </c>
      <c r="C290" s="684" t="s">
        <v>13595</v>
      </c>
      <c r="D290" s="819" t="s">
        <v>42022</v>
      </c>
      <c r="E290" s="684" t="s">
        <v>103</v>
      </c>
      <c r="F290" s="694">
        <f xml:space="preserve"> 8</f>
        <v>8</v>
      </c>
      <c r="G290" s="820">
        <v>14.74</v>
      </c>
      <c r="H290" s="820">
        <v>117.92</v>
      </c>
      <c r="I290" s="821">
        <f t="shared" si="12"/>
        <v>3.5525575033792382E-5</v>
      </c>
      <c r="J290" s="821">
        <f t="shared" si="14"/>
        <v>0.99970960132050057</v>
      </c>
      <c r="K290" s="817" t="str">
        <f t="shared" si="13"/>
        <v>C</v>
      </c>
    </row>
    <row r="291" spans="1:11">
      <c r="A291" s="818" t="s">
        <v>44715</v>
      </c>
      <c r="B291" s="684" t="s">
        <v>29901</v>
      </c>
      <c r="C291" s="684" t="s">
        <v>16078</v>
      </c>
      <c r="D291" s="819" t="s">
        <v>44714</v>
      </c>
      <c r="E291" s="684" t="s">
        <v>103</v>
      </c>
      <c r="F291" s="694">
        <f xml:space="preserve"> 2</f>
        <v>2</v>
      </c>
      <c r="G291" s="820">
        <v>58.71</v>
      </c>
      <c r="H291" s="820">
        <v>117.42</v>
      </c>
      <c r="I291" s="821">
        <f t="shared" si="12"/>
        <v>3.5374940811294955E-5</v>
      </c>
      <c r="J291" s="821">
        <f t="shared" si="14"/>
        <v>0.99974497626131187</v>
      </c>
      <c r="K291" s="817" t="str">
        <f t="shared" si="13"/>
        <v>C</v>
      </c>
    </row>
    <row r="292" spans="1:11">
      <c r="A292" s="818" t="s">
        <v>44801</v>
      </c>
      <c r="B292" s="684" t="s">
        <v>29901</v>
      </c>
      <c r="C292" s="684" t="s">
        <v>15700</v>
      </c>
      <c r="D292" s="819" t="s">
        <v>41979</v>
      </c>
      <c r="E292" s="684" t="s">
        <v>103</v>
      </c>
      <c r="F292" s="694">
        <f xml:space="preserve"> 10</f>
        <v>10</v>
      </c>
      <c r="G292" s="820">
        <v>11.52</v>
      </c>
      <c r="H292" s="820">
        <v>115.2</v>
      </c>
      <c r="I292" s="821">
        <f t="shared" si="12"/>
        <v>3.4706124863406394E-5</v>
      </c>
      <c r="J292" s="821">
        <f t="shared" si="14"/>
        <v>0.99977968238617532</v>
      </c>
      <c r="K292" s="817" t="str">
        <f t="shared" si="13"/>
        <v>C</v>
      </c>
    </row>
    <row r="293" spans="1:11">
      <c r="A293" s="818" t="s">
        <v>42013</v>
      </c>
      <c r="B293" s="684" t="s">
        <v>29901</v>
      </c>
      <c r="C293" s="684" t="s">
        <v>17381</v>
      </c>
      <c r="D293" s="819" t="s">
        <v>44648</v>
      </c>
      <c r="E293" s="684" t="s">
        <v>103</v>
      </c>
      <c r="F293" s="694">
        <f xml:space="preserve"> 1</f>
        <v>1</v>
      </c>
      <c r="G293" s="820">
        <v>111.21</v>
      </c>
      <c r="H293" s="820">
        <v>111.21</v>
      </c>
      <c r="I293" s="821">
        <f t="shared" si="12"/>
        <v>3.3504063767876955E-5</v>
      </c>
      <c r="J293" s="821">
        <f t="shared" si="14"/>
        <v>0.99981318644994321</v>
      </c>
      <c r="K293" s="817" t="str">
        <f t="shared" si="13"/>
        <v>C</v>
      </c>
    </row>
    <row r="294" spans="1:11" ht="30">
      <c r="A294" s="818" t="s">
        <v>44787</v>
      </c>
      <c r="B294" s="684" t="s">
        <v>29901</v>
      </c>
      <c r="C294" s="684" t="s">
        <v>15257</v>
      </c>
      <c r="D294" s="819" t="s">
        <v>44786</v>
      </c>
      <c r="E294" s="684" t="s">
        <v>396</v>
      </c>
      <c r="F294" s="694">
        <f xml:space="preserve"> 2</f>
        <v>2</v>
      </c>
      <c r="G294" s="820">
        <v>53.21</v>
      </c>
      <c r="H294" s="820">
        <v>106.42</v>
      </c>
      <c r="I294" s="821">
        <f t="shared" si="12"/>
        <v>3.2060987916351638E-5</v>
      </c>
      <c r="J294" s="821">
        <f t="shared" si="14"/>
        <v>0.99984524743785952</v>
      </c>
      <c r="K294" s="817" t="str">
        <f t="shared" si="13"/>
        <v>C</v>
      </c>
    </row>
    <row r="295" spans="1:11" ht="30">
      <c r="A295" s="818" t="s">
        <v>44562</v>
      </c>
      <c r="B295" s="684" t="s">
        <v>27888</v>
      </c>
      <c r="C295" s="684">
        <v>97662</v>
      </c>
      <c r="D295" s="819" t="s">
        <v>28454</v>
      </c>
      <c r="E295" s="684" t="s">
        <v>165</v>
      </c>
      <c r="F295" s="694">
        <f xml:space="preserve"> 109.2</f>
        <v>109.2</v>
      </c>
      <c r="G295" s="820">
        <v>0.9</v>
      </c>
      <c r="H295" s="820">
        <v>98.28</v>
      </c>
      <c r="I295" s="821">
        <f t="shared" si="12"/>
        <v>2.9608662774093581E-5</v>
      </c>
      <c r="J295" s="821">
        <f t="shared" si="14"/>
        <v>0.99987485610063365</v>
      </c>
      <c r="K295" s="817" t="str">
        <f t="shared" si="13"/>
        <v>C</v>
      </c>
    </row>
    <row r="296" spans="1:11">
      <c r="A296" s="818" t="s">
        <v>44705</v>
      </c>
      <c r="B296" s="684" t="s">
        <v>29901</v>
      </c>
      <c r="C296" s="684" t="s">
        <v>16241</v>
      </c>
      <c r="D296" s="819" t="s">
        <v>44704</v>
      </c>
      <c r="E296" s="684" t="s">
        <v>103</v>
      </c>
      <c r="F296" s="694">
        <f xml:space="preserve"> 2</f>
        <v>2</v>
      </c>
      <c r="G296" s="820">
        <v>45.05</v>
      </c>
      <c r="H296" s="820">
        <v>90.1</v>
      </c>
      <c r="I296" s="821">
        <f t="shared" si="12"/>
        <v>2.7144286894035729E-5</v>
      </c>
      <c r="J296" s="821">
        <f t="shared" si="14"/>
        <v>0.99990200038752763</v>
      </c>
      <c r="K296" s="817" t="str">
        <f t="shared" si="13"/>
        <v>C</v>
      </c>
    </row>
    <row r="297" spans="1:11">
      <c r="A297" s="818" t="s">
        <v>44717</v>
      </c>
      <c r="B297" s="684" t="s">
        <v>29901</v>
      </c>
      <c r="C297" s="684" t="s">
        <v>16088</v>
      </c>
      <c r="D297" s="819" t="s">
        <v>44716</v>
      </c>
      <c r="E297" s="684" t="s">
        <v>103</v>
      </c>
      <c r="F297" s="694">
        <f xml:space="preserve"> 2</f>
        <v>2</v>
      </c>
      <c r="G297" s="820">
        <v>40.43</v>
      </c>
      <c r="H297" s="820">
        <v>80.86</v>
      </c>
      <c r="I297" s="821">
        <f t="shared" si="12"/>
        <v>2.4360566462283344E-5</v>
      </c>
      <c r="J297" s="821">
        <f t="shared" si="14"/>
        <v>0.9999263609539899</v>
      </c>
      <c r="K297" s="817" t="str">
        <f t="shared" si="13"/>
        <v>C</v>
      </c>
    </row>
    <row r="298" spans="1:11">
      <c r="A298" s="818" t="s">
        <v>44829</v>
      </c>
      <c r="B298" s="684" t="s">
        <v>29901</v>
      </c>
      <c r="C298" s="684" t="s">
        <v>18256</v>
      </c>
      <c r="D298" s="819" t="s">
        <v>44828</v>
      </c>
      <c r="E298" s="684" t="s">
        <v>103</v>
      </c>
      <c r="F298" s="694">
        <f xml:space="preserve"> 2</f>
        <v>2</v>
      </c>
      <c r="G298" s="820">
        <v>31.88</v>
      </c>
      <c r="H298" s="820">
        <v>63.76</v>
      </c>
      <c r="I298" s="821">
        <f t="shared" si="12"/>
        <v>1.9208876052871457E-5</v>
      </c>
      <c r="J298" s="821">
        <f t="shared" si="14"/>
        <v>0.99994556983004279</v>
      </c>
      <c r="K298" s="817" t="str">
        <f t="shared" si="13"/>
        <v>C</v>
      </c>
    </row>
    <row r="299" spans="1:11" ht="30">
      <c r="A299" s="818" t="s">
        <v>44867</v>
      </c>
      <c r="B299" s="684" t="s">
        <v>41261</v>
      </c>
      <c r="C299" s="684" t="s">
        <v>22757</v>
      </c>
      <c r="D299" s="819" t="s">
        <v>22758</v>
      </c>
      <c r="E299" s="684" t="s">
        <v>165</v>
      </c>
      <c r="F299" s="694">
        <f xml:space="preserve"> 2.55</f>
        <v>2.5499999999999998</v>
      </c>
      <c r="G299" s="820">
        <v>21.04</v>
      </c>
      <c r="H299" s="820">
        <v>53.65</v>
      </c>
      <c r="I299" s="821">
        <f t="shared" si="12"/>
        <v>1.6163052073973552E-5</v>
      </c>
      <c r="J299" s="821">
        <f t="shared" si="14"/>
        <v>0.99996173288211676</v>
      </c>
      <c r="K299" s="817" t="str">
        <f t="shared" si="13"/>
        <v>C</v>
      </c>
    </row>
    <row r="300" spans="1:11">
      <c r="A300" s="818" t="s">
        <v>44744</v>
      </c>
      <c r="B300" s="684" t="s">
        <v>29901</v>
      </c>
      <c r="C300" s="684" t="s">
        <v>15316</v>
      </c>
      <c r="D300" s="819" t="s">
        <v>44743</v>
      </c>
      <c r="E300" s="684" t="s">
        <v>103</v>
      </c>
      <c r="F300" s="694">
        <f xml:space="preserve"> 2</f>
        <v>2</v>
      </c>
      <c r="G300" s="820">
        <v>25.97</v>
      </c>
      <c r="H300" s="820">
        <v>51.94</v>
      </c>
      <c r="I300" s="821">
        <f t="shared" si="12"/>
        <v>1.564788303303236E-5</v>
      </c>
      <c r="J300" s="821">
        <f t="shared" si="14"/>
        <v>0.99997738076514975</v>
      </c>
      <c r="K300" s="817" t="str">
        <f t="shared" si="13"/>
        <v>C</v>
      </c>
    </row>
    <row r="301" spans="1:11" ht="30">
      <c r="A301" s="818" t="s">
        <v>44573</v>
      </c>
      <c r="B301" s="684" t="s">
        <v>29901</v>
      </c>
      <c r="C301" s="684" t="s">
        <v>11549</v>
      </c>
      <c r="D301" s="819" t="s">
        <v>41815</v>
      </c>
      <c r="E301" s="684" t="s">
        <v>121</v>
      </c>
      <c r="F301" s="694">
        <f xml:space="preserve"> 2.3</f>
        <v>2.2999999999999998</v>
      </c>
      <c r="G301" s="820">
        <v>21.59</v>
      </c>
      <c r="H301" s="820">
        <v>49.65</v>
      </c>
      <c r="I301" s="821">
        <f t="shared" si="12"/>
        <v>1.4957978293994161E-5</v>
      </c>
      <c r="J301" s="821">
        <f t="shared" si="14"/>
        <v>0.99999233874344373</v>
      </c>
      <c r="K301" s="817" t="str">
        <f t="shared" si="13"/>
        <v>C</v>
      </c>
    </row>
    <row r="302" spans="1:11">
      <c r="A302" s="818" t="s">
        <v>44572</v>
      </c>
      <c r="B302" s="684" t="s">
        <v>29901</v>
      </c>
      <c r="C302" s="684" t="s">
        <v>11781</v>
      </c>
      <c r="D302" s="819" t="s">
        <v>44571</v>
      </c>
      <c r="E302" s="684" t="s">
        <v>509</v>
      </c>
      <c r="F302" s="694">
        <f xml:space="preserve"> 5.0076</f>
        <v>5.0076000000000001</v>
      </c>
      <c r="G302" s="820">
        <v>2.65</v>
      </c>
      <c r="H302" s="820">
        <v>13.27</v>
      </c>
      <c r="I302" s="821">
        <f t="shared" si="12"/>
        <v>3.9978322650816223E-6</v>
      </c>
      <c r="J302" s="821">
        <f t="shared" si="14"/>
        <v>0.99999633657570886</v>
      </c>
      <c r="K302" s="817" t="str">
        <f t="shared" si="13"/>
        <v>C</v>
      </c>
    </row>
    <row r="303" spans="1:11" ht="30">
      <c r="A303" s="818" t="s">
        <v>44865</v>
      </c>
      <c r="B303" s="684" t="s">
        <v>41261</v>
      </c>
      <c r="C303" s="684" t="s">
        <v>22751</v>
      </c>
      <c r="D303" s="819" t="s">
        <v>22752</v>
      </c>
      <c r="E303" s="684" t="s">
        <v>165</v>
      </c>
      <c r="F303" s="694">
        <f xml:space="preserve"> 0.8</f>
        <v>0.8</v>
      </c>
      <c r="G303" s="820">
        <v>15.2</v>
      </c>
      <c r="H303" s="820">
        <v>12.16</v>
      </c>
      <c r="I303" s="821">
        <f t="shared" si="12"/>
        <v>3.6634242911373418E-6</v>
      </c>
      <c r="J303" s="821">
        <f t="shared" si="14"/>
        <v>1</v>
      </c>
      <c r="K303" s="817" t="str">
        <f t="shared" si="13"/>
        <v>C</v>
      </c>
    </row>
  </sheetData>
  <sortState xmlns:xlrd2="http://schemas.microsoft.com/office/spreadsheetml/2017/richdata2" ref="A10:P303">
    <sortCondition descending="1" ref="I10"/>
  </sortState>
  <mergeCells count="6">
    <mergeCell ref="A1:F1"/>
    <mergeCell ref="G1:K6"/>
    <mergeCell ref="B3:F3"/>
    <mergeCell ref="B4:F4"/>
    <mergeCell ref="B5:F5"/>
    <mergeCell ref="B6:F6"/>
  </mergeCells>
  <conditionalFormatting sqref="K9:K303">
    <cfRule type="expression" dxfId="242" priority="1">
      <formula>$K9="A"</formula>
    </cfRule>
    <cfRule type="expression" dxfId="241" priority="2">
      <formula>$K9="B"</formula>
    </cfRule>
    <cfRule type="expression" dxfId="240" priority="3">
      <formula>$K9="C"</formula>
    </cfRule>
  </conditionalFormatting>
  <printOptions horizontalCentered="1"/>
  <pageMargins left="0.25" right="0.25" top="0.75" bottom="0.75" header="0.3" footer="0.3"/>
  <pageSetup paperSize="9" scale="68" fitToHeight="0"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87F71-0D64-465C-96B4-9E1954B18884}">
  <sheetPr codeName="Plan16">
    <pageSetUpPr fitToPage="1"/>
  </sheetPr>
  <dimension ref="A1:AZ91"/>
  <sheetViews>
    <sheetView showGridLines="0" showZeros="0" view="pageBreakPreview" zoomScale="85" zoomScaleNormal="85" zoomScaleSheetLayoutView="85" workbookViewId="0">
      <pane xSplit="4" ySplit="5" topLeftCell="E6" activePane="bottomRight" state="frozen"/>
      <selection activeCell="K17" sqref="K17"/>
      <selection pane="topRight" activeCell="K17" sqref="K17"/>
      <selection pane="bottomLeft" activeCell="K17" sqref="K17"/>
      <selection pane="bottomRight" activeCell="K17" sqref="K17"/>
    </sheetView>
  </sheetViews>
  <sheetFormatPr baseColWidth="10" defaultColWidth="8.83203125" defaultRowHeight="14"/>
  <cols>
    <col min="1" max="1" width="2.5" style="595" customWidth="1"/>
    <col min="2" max="2" width="11.5" style="579" bestFit="1" customWidth="1"/>
    <col min="3" max="3" width="66.6640625" style="580" bestFit="1" customWidth="1"/>
    <col min="4" max="4" width="16" style="581" customWidth="1"/>
    <col min="5" max="5" width="8" style="581" bestFit="1" customWidth="1"/>
    <col min="6" max="6" width="13.6640625" style="582" customWidth="1"/>
    <col min="7" max="7" width="8" style="578" bestFit="1" customWidth="1"/>
    <col min="8" max="8" width="13.6640625" style="583" customWidth="1"/>
    <col min="9" max="9" width="8" style="578" bestFit="1" customWidth="1"/>
    <col min="10" max="10" width="13.6640625" style="583" customWidth="1"/>
    <col min="11" max="11" width="7.33203125" style="578" customWidth="1"/>
    <col min="12" max="12" width="13.6640625" style="583" customWidth="1"/>
    <col min="13" max="13" width="7.33203125" style="578" customWidth="1"/>
    <col min="14" max="14" width="13.6640625" style="583" customWidth="1"/>
    <col min="15" max="15" width="8" style="578" bestFit="1" customWidth="1"/>
    <col min="16" max="16" width="13.6640625" style="583" customWidth="1"/>
    <col min="17" max="17" width="8" style="583" bestFit="1" customWidth="1"/>
    <col min="18" max="18" width="13.6640625" style="582" customWidth="1"/>
    <col min="19" max="19" width="7.33203125" style="578" customWidth="1"/>
    <col min="20" max="20" width="13.6640625" style="583" customWidth="1"/>
    <col min="21" max="21" width="7.33203125" style="578" customWidth="1"/>
    <col min="22" max="22" width="13.6640625" style="583" customWidth="1"/>
    <col min="23" max="23" width="7.33203125" style="578" customWidth="1"/>
    <col min="24" max="24" width="13.6640625" style="583" customWidth="1"/>
    <col min="25" max="25" width="7.33203125" style="578" customWidth="1"/>
    <col min="26" max="26" width="13.6640625" style="583" customWidth="1"/>
    <col min="27" max="27" width="8" style="578" bestFit="1" customWidth="1"/>
    <col min="28" max="28" width="13.6640625" style="583" customWidth="1"/>
    <col min="29" max="29" width="18.6640625" style="581" customWidth="1"/>
    <col min="30" max="30" width="13.6640625" style="581" customWidth="1"/>
    <col min="31" max="31" width="7.33203125" style="610" customWidth="1"/>
    <col min="32" max="32" width="13.6640625" style="599" customWidth="1"/>
    <col min="33" max="33" width="7.33203125" style="599" customWidth="1"/>
    <col min="34" max="34" width="13.6640625" style="599" customWidth="1"/>
    <col min="35" max="35" width="7.33203125" style="599" customWidth="1"/>
    <col min="36" max="36" width="13.6640625" style="599" customWidth="1"/>
    <col min="37" max="37" width="7.33203125" style="599" customWidth="1"/>
    <col min="38" max="38" width="13.6640625" style="599" customWidth="1"/>
    <col min="39" max="39" width="7.33203125" style="599" customWidth="1"/>
    <col min="40" max="40" width="13.6640625" style="599" customWidth="1"/>
    <col min="41" max="41" width="11.6640625" style="599" customWidth="1"/>
    <col min="42" max="42" width="13.6640625" style="599" customWidth="1"/>
    <col min="43" max="43" width="7.33203125" style="599" customWidth="1"/>
    <col min="44" max="44" width="13.6640625" style="599" customWidth="1"/>
    <col min="45" max="45" width="7.33203125" style="599" customWidth="1"/>
    <col min="46" max="46" width="13.6640625" style="599" customWidth="1"/>
    <col min="47" max="47" width="7.33203125" style="599" customWidth="1"/>
    <col min="48" max="48" width="13.6640625" style="599" customWidth="1"/>
    <col min="49" max="49" width="7.33203125" style="599" customWidth="1"/>
    <col min="50" max="50" width="13.6640625" style="599" customWidth="1"/>
    <col min="51" max="51" width="7.33203125" style="599" customWidth="1"/>
    <col min="52" max="52" width="13.6640625" style="599" customWidth="1"/>
    <col min="53" max="53" width="11.6640625" style="599" customWidth="1"/>
    <col min="54" max="16384" width="8.83203125" style="599"/>
  </cols>
  <sheetData>
    <row r="1" spans="1:52" ht="45" customHeight="1">
      <c r="B1" s="596"/>
      <c r="C1" s="596"/>
      <c r="D1" s="1022" t="s">
        <v>41236</v>
      </c>
      <c r="E1" s="1022"/>
      <c r="F1" s="597" t="s">
        <v>27861</v>
      </c>
      <c r="G1" s="596"/>
      <c r="H1" s="596"/>
      <c r="I1" s="596"/>
      <c r="J1" s="1022" t="s">
        <v>41252</v>
      </c>
      <c r="K1" s="1022"/>
      <c r="L1" s="598">
        <f>'FOLHA RESUMO'!H16</f>
        <v>360</v>
      </c>
      <c r="M1" s="596" t="s">
        <v>28046</v>
      </c>
      <c r="N1" s="596"/>
      <c r="O1" s="596"/>
      <c r="P1" s="596"/>
      <c r="Q1" s="596"/>
      <c r="R1" s="596"/>
      <c r="S1" s="596"/>
      <c r="T1" s="596"/>
      <c r="U1" s="596"/>
      <c r="V1" s="596"/>
      <c r="W1" s="596"/>
      <c r="X1" s="596"/>
      <c r="Y1" s="596"/>
      <c r="Z1" s="596"/>
      <c r="AA1" s="596"/>
      <c r="AB1" s="596"/>
      <c r="AC1" s="596"/>
      <c r="AD1" s="596"/>
      <c r="AE1" s="599"/>
    </row>
    <row r="2" spans="1:52" s="600" customFormat="1" ht="10.25" customHeight="1" thickBot="1">
      <c r="B2" s="601"/>
      <c r="C2" s="602"/>
      <c r="D2" s="603"/>
      <c r="E2" s="603"/>
      <c r="F2" s="604">
        <f ca="1">F8+F12+F15+F16+F18+F19+F30+F33+F37+F41+F44+F47+F54+F62+F71+F72+F75+F79+F80+F84</f>
        <v>108522.8985</v>
      </c>
      <c r="G2" s="605"/>
      <c r="H2" s="605">
        <f ca="1">H8+H12+H15+H16+H18+H19+H30+H33+H37+H41+H44+H47+H54+H62+H71+H72+H75+H79+H80+H84</f>
        <v>175680.0275</v>
      </c>
      <c r="I2" s="605"/>
      <c r="J2" s="605">
        <f ca="1">J8+J12+J15+J16+J18+J19+J30+J33+J37+J41+J44+J47+J54+J62+J71+J72+J75+J79+J80+J84</f>
        <v>174407.48249999998</v>
      </c>
      <c r="K2" s="605"/>
      <c r="L2" s="605">
        <f ca="1">L8+L12+L15+L16+L18+L19+L30+L33+L37+L41+L44+L47+L54+L62+L71+L72+L75+L79+L80+L84</f>
        <v>241369.33750000002</v>
      </c>
      <c r="M2" s="605"/>
      <c r="N2" s="605">
        <f ca="1">N8+N12+N15+N16+N18+N19+N30+N33+N37+N41+N44+N47+N54+N62+N71+N72+N75+N79+N80+N84</f>
        <v>180593.57250000001</v>
      </c>
      <c r="O2" s="605"/>
      <c r="P2" s="605">
        <f ca="1">P8+P12+P15+P16+P18+P19+P30+P33+P37+P41+P44+P47+P54+P62+P71+P72+P75+P79+P80+P84</f>
        <v>276769.59049999999</v>
      </c>
      <c r="Q2" s="606"/>
      <c r="R2" s="604">
        <f ca="1">R8+R12+R15+R16+R18+R19+R30+R33+R37+R41+R44+R47+R54+R62+R71+R72+R75+R79+R80+R84</f>
        <v>189677.80050000001</v>
      </c>
      <c r="S2" s="605"/>
      <c r="T2" s="605">
        <f ca="1">T8+T12+T15+T16+T18+T19+T30+T33+T37+T41+T44+T47+T54+T62+T71+T72+T75+T79+T80+T84</f>
        <v>229718.03049999999</v>
      </c>
      <c r="U2" s="605"/>
      <c r="V2" s="605">
        <f ca="1">V8+V12+V15+V16+V18+V19+V30+V33+V37+V41+V44+V47+V54+V62+V71+V72+V75+V79+V80+V84</f>
        <v>395287.19549999991</v>
      </c>
      <c r="W2" s="605"/>
      <c r="X2" s="605">
        <f ca="1">X8+X12+X15+X16+X18+X19+X30+X33+X37+X41+X44+X47+X54+X62+X71+X72+X75+X79+X80+X84</f>
        <v>429373.8455</v>
      </c>
      <c r="Y2" s="605"/>
      <c r="Z2" s="605">
        <f ca="1">Z8+Z12+Z15+Z16+Z18+Z19+Z30+Z33+Z37+Z41+Z44+Z47+Z54+Z62+Z71+Z72+Z75+Z79+Z80+Z84</f>
        <v>334753.73950000003</v>
      </c>
      <c r="AA2" s="605"/>
      <c r="AB2" s="605">
        <f ca="1">AB8+AB12+AB15+AB16+AB18+AB19+AB30+AB33+AB37+AB41+AB44+AB47+AB54+AB62+AB71+AB72+AB75+AB79+AB80+AB84</f>
        <v>511429.71950000001</v>
      </c>
      <c r="AC2" s="603"/>
      <c r="AD2" s="604"/>
      <c r="AE2" s="607"/>
      <c r="AF2" s="608"/>
      <c r="AH2" s="608" t="e">
        <f>#REF!+#REF!+#REF!+#REF!+#REF!+#REF!+#REF!+#REF!+#REF!+#REF!+#REF!+#REF!+#REF!+#REF!+#REF!+#REF!+#REF!+#REF!+#REF!</f>
        <v>#REF!</v>
      </c>
      <c r="AJ2" s="608" t="e">
        <f>#REF!+#REF!+#REF!+#REF!+#REF!+#REF!+#REF!+#REF!+#REF!+#REF!+#REF!+#REF!+#REF!+#REF!+#REF!+#REF!+#REF!+#REF!+#REF!</f>
        <v>#REF!</v>
      </c>
      <c r="AL2" s="608" t="e">
        <f>#REF!+#REF!+#REF!+#REF!+#REF!+#REF!+#REF!+#REF!+#REF!+#REF!+#REF!+#REF!+#REF!+#REF!+#REF!+#REF!+#REF!+#REF!+#REF!</f>
        <v>#REF!</v>
      </c>
      <c r="AN2" s="608" t="e">
        <f>#REF!+#REF!+#REF!+#REF!+#REF!+#REF!+#REF!+#REF!+#REF!+#REF!+#REF!+#REF!+#REF!+#REF!+#REF!+#REF!+#REF!+#REF!+#REF!</f>
        <v>#REF!</v>
      </c>
      <c r="AP2" s="608" t="e">
        <f>#REF!+#REF!+#REF!+#REF!+#REF!+#REF!+#REF!+#REF!+#REF!+#REF!+#REF!+#REF!+#REF!+#REF!+#REF!+#REF!+#REF!+#REF!+#REF!</f>
        <v>#REF!</v>
      </c>
      <c r="AR2" s="608" t="e">
        <f>#REF!+#REF!+#REF!+#REF!+#REF!+#REF!+#REF!+#REF!+#REF!+#REF!+#REF!+#REF!+#REF!+#REF!+#REF!+#REF!+#REF!+#REF!+#REF!</f>
        <v>#REF!</v>
      </c>
      <c r="AT2" s="608" t="e">
        <f>#REF!+#REF!+#REF!+#REF!+#REF!+#REF!+#REF!+#REF!+#REF!+#REF!+#REF!+#REF!+#REF!+#REF!+#REF!+#REF!+#REF!+#REF!+#REF!</f>
        <v>#REF!</v>
      </c>
      <c r="AV2" s="608" t="e">
        <f>#REF!+#REF!+#REF!+#REF!+#REF!+#REF!+#REF!+#REF!+#REF!+#REF!+#REF!+#REF!+#REF!+#REF!+#REF!+#REF!+#REF!+#REF!+#REF!</f>
        <v>#REF!</v>
      </c>
      <c r="AX2" s="608" t="e">
        <f>#REF!+#REF!+#REF!+#REF!+#REF!+#REF!+#REF!+#REF!+#REF!+#REF!+#REF!+#REF!+#REF!+#REF!+#REF!+#REF!+#REF!+#REF!+#REF!</f>
        <v>#REF!</v>
      </c>
      <c r="AZ2" s="608" t="e">
        <f>#REF!+#REF!+#REF!+#REF!+#REF!+#REF!+#REF!+#REF!+#REF!+#REF!+#REF!+#REF!+#REF!+#REF!+#REF!+#REF!+#REF!+#REF!+#REF!</f>
        <v>#REF!</v>
      </c>
    </row>
    <row r="3" spans="1:52" s="620" customFormat="1" ht="20" customHeight="1" thickBot="1">
      <c r="A3" s="617"/>
      <c r="B3" s="1023" t="s">
        <v>41251</v>
      </c>
      <c r="C3" s="1024"/>
      <c r="D3" s="1024"/>
      <c r="E3" s="1024"/>
      <c r="F3" s="1024"/>
      <c r="G3" s="1024"/>
      <c r="H3" s="1024"/>
      <c r="I3" s="1024"/>
      <c r="J3" s="1024"/>
      <c r="K3" s="1024"/>
      <c r="L3" s="1024"/>
      <c r="M3" s="1024"/>
      <c r="N3" s="1024"/>
      <c r="O3" s="1024"/>
      <c r="P3" s="1024"/>
      <c r="Q3" s="1024"/>
      <c r="R3" s="1024"/>
      <c r="S3" s="1024"/>
      <c r="T3" s="1024"/>
      <c r="U3" s="1025"/>
      <c r="V3" s="618"/>
      <c r="W3" s="618"/>
      <c r="X3" s="618"/>
      <c r="Y3" s="618"/>
      <c r="Z3" s="618"/>
      <c r="AA3" s="618"/>
      <c r="AB3" s="618"/>
      <c r="AC3" s="618"/>
      <c r="AD3" s="619"/>
    </row>
    <row r="4" spans="1:52" ht="20" customHeight="1" thickBot="1">
      <c r="B4" s="627" t="s">
        <v>41253</v>
      </c>
      <c r="C4" s="628" t="str">
        <f>Capa!B11</f>
        <v>ADEQUAÇÃO E AMPLIAÇÃO DE IMÓVEL PARA A INSTALAÇÃO DA DELEGACIA DE DEFESA DA MULHER</v>
      </c>
      <c r="D4" s="629"/>
      <c r="E4" s="629"/>
      <c r="F4" s="629"/>
      <c r="G4" s="629"/>
      <c r="H4" s="629"/>
      <c r="I4" s="629"/>
      <c r="J4" s="629"/>
      <c r="K4" s="629"/>
      <c r="L4" s="629"/>
      <c r="M4" s="629"/>
      <c r="N4" s="629"/>
      <c r="O4" s="629"/>
      <c r="P4" s="629"/>
      <c r="Q4" s="629"/>
      <c r="R4" s="629"/>
      <c r="S4" s="629"/>
      <c r="T4" s="629"/>
      <c r="U4" s="630"/>
      <c r="V4" s="622"/>
      <c r="W4" s="622"/>
      <c r="X4" s="622"/>
      <c r="Y4" s="622"/>
      <c r="Z4" s="622"/>
      <c r="AA4" s="622"/>
      <c r="AB4" s="622"/>
      <c r="AC4" s="622"/>
      <c r="AD4" s="623"/>
      <c r="AE4" s="599"/>
    </row>
    <row r="5" spans="1:52" ht="20" customHeight="1" thickBot="1">
      <c r="B5" s="624" t="s">
        <v>41250</v>
      </c>
      <c r="C5" s="625" t="str">
        <f>Capa!B29</f>
        <v>RUA TRÊS, S/Nº, CENTRO - JALES/SP</v>
      </c>
      <c r="D5" s="625"/>
      <c r="E5" s="625"/>
      <c r="F5" s="625"/>
      <c r="G5" s="625"/>
      <c r="H5" s="625"/>
      <c r="I5" s="625"/>
      <c r="J5" s="625"/>
      <c r="K5" s="625"/>
      <c r="L5" s="625"/>
      <c r="M5" s="625"/>
      <c r="N5" s="625"/>
      <c r="O5" s="625"/>
      <c r="P5" s="625"/>
      <c r="Q5" s="625"/>
      <c r="R5" s="625"/>
      <c r="S5" s="625"/>
      <c r="T5" s="625"/>
      <c r="U5" s="626"/>
      <c r="V5" s="615"/>
      <c r="W5" s="615"/>
      <c r="X5" s="615"/>
      <c r="Y5" s="615"/>
      <c r="Z5" s="615"/>
      <c r="AA5" s="615"/>
      <c r="AB5" s="615"/>
      <c r="AC5" s="615"/>
      <c r="AD5" s="616"/>
      <c r="AE5" s="599"/>
    </row>
    <row r="6" spans="1:52" ht="19.5" customHeight="1">
      <c r="B6" s="1026" t="s">
        <v>27883</v>
      </c>
      <c r="C6" s="1027" t="s">
        <v>10494</v>
      </c>
      <c r="D6" s="1027" t="s">
        <v>41237</v>
      </c>
      <c r="E6" s="1029" t="s">
        <v>41238</v>
      </c>
      <c r="F6" s="1029"/>
      <c r="G6" s="1018" t="s">
        <v>41239</v>
      </c>
      <c r="H6" s="1018"/>
      <c r="I6" s="1018" t="s">
        <v>41240</v>
      </c>
      <c r="J6" s="1018"/>
      <c r="K6" s="1018" t="s">
        <v>41241</v>
      </c>
      <c r="L6" s="1018"/>
      <c r="M6" s="1018" t="s">
        <v>41242</v>
      </c>
      <c r="N6" s="1018"/>
      <c r="O6" s="1018" t="s">
        <v>41243</v>
      </c>
      <c r="P6" s="1018"/>
      <c r="Q6" s="1021" t="s">
        <v>41244</v>
      </c>
      <c r="R6" s="1021"/>
      <c r="S6" s="1018" t="s">
        <v>41245</v>
      </c>
      <c r="T6" s="1018"/>
      <c r="U6" s="1018" t="s">
        <v>41255</v>
      </c>
      <c r="V6" s="1018"/>
      <c r="W6" s="1018" t="s">
        <v>41256</v>
      </c>
      <c r="X6" s="1018"/>
      <c r="Y6" s="1018" t="s">
        <v>44545</v>
      </c>
      <c r="Z6" s="1018"/>
      <c r="AA6" s="1018" t="s">
        <v>44546</v>
      </c>
      <c r="AB6" s="1018"/>
      <c r="AC6" s="1019" t="s">
        <v>41246</v>
      </c>
    </row>
    <row r="7" spans="1:52" ht="19.5" customHeight="1">
      <c r="B7" s="1026"/>
      <c r="C7" s="1028"/>
      <c r="D7" s="1027"/>
      <c r="E7" s="611" t="s">
        <v>18452</v>
      </c>
      <c r="F7" s="612" t="s">
        <v>27897</v>
      </c>
      <c r="G7" s="613" t="s">
        <v>18452</v>
      </c>
      <c r="H7" s="609" t="s">
        <v>27897</v>
      </c>
      <c r="I7" s="613" t="s">
        <v>18452</v>
      </c>
      <c r="J7" s="609" t="s">
        <v>27897</v>
      </c>
      <c r="K7" s="613" t="s">
        <v>18452</v>
      </c>
      <c r="L7" s="609" t="s">
        <v>27897</v>
      </c>
      <c r="M7" s="613" t="s">
        <v>18452</v>
      </c>
      <c r="N7" s="609" t="s">
        <v>27897</v>
      </c>
      <c r="O7" s="613" t="s">
        <v>18452</v>
      </c>
      <c r="P7" s="609" t="s">
        <v>27897</v>
      </c>
      <c r="Q7" s="614" t="s">
        <v>18452</v>
      </c>
      <c r="R7" s="612" t="s">
        <v>27897</v>
      </c>
      <c r="S7" s="613" t="s">
        <v>18452</v>
      </c>
      <c r="T7" s="609" t="s">
        <v>27897</v>
      </c>
      <c r="U7" s="613" t="s">
        <v>18452</v>
      </c>
      <c r="V7" s="609" t="s">
        <v>27897</v>
      </c>
      <c r="W7" s="613" t="s">
        <v>18452</v>
      </c>
      <c r="X7" s="609" t="s">
        <v>27897</v>
      </c>
      <c r="Y7" s="613" t="s">
        <v>18452</v>
      </c>
      <c r="Z7" s="609" t="s">
        <v>27897</v>
      </c>
      <c r="AA7" s="613" t="s">
        <v>18452</v>
      </c>
      <c r="AB7" s="609" t="s">
        <v>27897</v>
      </c>
      <c r="AC7" s="1019"/>
    </row>
    <row r="8" spans="1:52" ht="23.5" customHeight="1">
      <c r="B8" s="564">
        <f ca="1">'Plan Orçamentária'!O10</f>
        <v>1</v>
      </c>
      <c r="C8" s="565" t="str">
        <f>'Plan Orçamentária'!R10</f>
        <v>SERVIÇOS INICIAIS</v>
      </c>
      <c r="D8" s="567">
        <f ca="1">D9+D10+D11</f>
        <v>44171.42</v>
      </c>
      <c r="E8" s="631">
        <f ca="1">F8/D8</f>
        <v>0.3133014741205965</v>
      </c>
      <c r="F8" s="574">
        <f ca="1">F9+F10+F11</f>
        <v>13838.970999999998</v>
      </c>
      <c r="G8" s="632">
        <f ca="1">H8/D8</f>
        <v>6.1385619932526503E-2</v>
      </c>
      <c r="H8" s="576">
        <f ca="1">H9+H10+H11</f>
        <v>2711.49</v>
      </c>
      <c r="I8" s="632">
        <f ca="1">J8/D8</f>
        <v>6.1385619932526503E-2</v>
      </c>
      <c r="J8" s="576">
        <f ca="1">J9+J10+J11</f>
        <v>2711.49</v>
      </c>
      <c r="K8" s="632">
        <f ca="1">L8/D8</f>
        <v>6.1385619932526503E-2</v>
      </c>
      <c r="L8" s="576">
        <f ca="1">L9+L10+L11</f>
        <v>2711.49</v>
      </c>
      <c r="M8" s="632">
        <f ca="1">N8/D8</f>
        <v>6.1385619932526503E-2</v>
      </c>
      <c r="N8" s="576">
        <f ca="1">N9+N10+N11</f>
        <v>2711.49</v>
      </c>
      <c r="O8" s="632">
        <f ca="1">P8/D8</f>
        <v>6.1385619932526503E-2</v>
      </c>
      <c r="P8" s="576">
        <f ca="1">P9+P10+P11</f>
        <v>2711.49</v>
      </c>
      <c r="Q8" s="632">
        <f ca="1">R8/D8</f>
        <v>6.1385619932526503E-2</v>
      </c>
      <c r="R8" s="574">
        <f ca="1">R9+R10+R11</f>
        <v>2711.49</v>
      </c>
      <c r="S8" s="632">
        <f ca="1">T8/D8</f>
        <v>6.1385619932526503E-2</v>
      </c>
      <c r="T8" s="576">
        <f ca="1">T9+T10+T11</f>
        <v>2711.49</v>
      </c>
      <c r="U8" s="632">
        <f ca="1">V8/D8</f>
        <v>6.1385619932526503E-2</v>
      </c>
      <c r="V8" s="576">
        <f ca="1">V9+V10+V11</f>
        <v>2711.49</v>
      </c>
      <c r="W8" s="632">
        <f ca="1">X8/D8</f>
        <v>6.1385619932526503E-2</v>
      </c>
      <c r="X8" s="576">
        <f ca="1">X9+X10+X11</f>
        <v>2711.49</v>
      </c>
      <c r="Y8" s="632">
        <f ca="1">Z8/D8</f>
        <v>6.1385619932526503E-2</v>
      </c>
      <c r="Z8" s="576">
        <f ca="1">Z9+Z10+Z11</f>
        <v>2711.49</v>
      </c>
      <c r="AA8" s="632">
        <f ca="1">AB8/D8</f>
        <v>7.2842326554138401E-2</v>
      </c>
      <c r="AB8" s="577">
        <f ca="1">AB9+AB10+AB11</f>
        <v>3217.549</v>
      </c>
      <c r="AC8" s="812">
        <f t="shared" ref="AC8:AC39" ca="1" si="0">E8+G8+I8+K8+M8+O8+Q8+S8+U8+W8+Y8+AA8</f>
        <v>0.99999999999999967</v>
      </c>
    </row>
    <row r="9" spans="1:52" ht="23.5" customHeight="1">
      <c r="B9" s="564" t="str">
        <f ca="1">'Plan Orçamentária'!O11</f>
        <v>1.1</v>
      </c>
      <c r="C9" s="566" t="str">
        <f>'Plan Orçamentária'!R11</f>
        <v>CANTEIRO DE OBRAS</v>
      </c>
      <c r="D9" s="567">
        <f ca="1">'Plan Orçamentária'!Y11</f>
        <v>1512.36</v>
      </c>
      <c r="E9" s="568">
        <v>1</v>
      </c>
      <c r="F9" s="570">
        <f ca="1">$D9 * E9</f>
        <v>1512.36</v>
      </c>
      <c r="G9" s="571"/>
      <c r="H9" s="572">
        <f ca="1">$D9 * G9</f>
        <v>0</v>
      </c>
      <c r="I9" s="571"/>
      <c r="J9" s="572">
        <f ca="1">$D9 * I9</f>
        <v>0</v>
      </c>
      <c r="K9" s="571"/>
      <c r="L9" s="572">
        <f ca="1">$D9 * K9</f>
        <v>0</v>
      </c>
      <c r="M9" s="571"/>
      <c r="N9" s="572">
        <f ca="1">$D9 * M9</f>
        <v>0</v>
      </c>
      <c r="O9" s="571"/>
      <c r="P9" s="572">
        <f ca="1">$D9 * O9</f>
        <v>0</v>
      </c>
      <c r="Q9" s="571"/>
      <c r="R9" s="570">
        <f ca="1">$D9 * Q9</f>
        <v>0</v>
      </c>
      <c r="S9" s="571"/>
      <c r="T9" s="572">
        <f ca="1">$D9 * S9</f>
        <v>0</v>
      </c>
      <c r="U9" s="571"/>
      <c r="V9" s="572">
        <f ca="1">$D9 * U9</f>
        <v>0</v>
      </c>
      <c r="W9" s="571"/>
      <c r="X9" s="572">
        <f ca="1">$D9 * W9</f>
        <v>0</v>
      </c>
      <c r="Y9" s="571"/>
      <c r="Z9" s="572">
        <f ca="1">$D9 * Y9</f>
        <v>0</v>
      </c>
      <c r="AA9" s="571"/>
      <c r="AB9" s="569">
        <f ca="1">$D9 * AA9</f>
        <v>0</v>
      </c>
      <c r="AC9" s="812">
        <f t="shared" si="0"/>
        <v>1</v>
      </c>
    </row>
    <row r="10" spans="1:52" ht="23.5" customHeight="1">
      <c r="B10" s="564" t="str">
        <f ca="1">'Plan Orçamentária'!O14</f>
        <v>1.2</v>
      </c>
      <c r="C10" s="566" t="str">
        <f>'Plan Orçamentária'!R14</f>
        <v>ALUGUEL DE CONTAINER</v>
      </c>
      <c r="D10" s="567">
        <f ca="1">'Plan Orçamentária'!Y14</f>
        <v>32537.88</v>
      </c>
      <c r="E10" s="568">
        <f>1/12</f>
        <v>8.3333333333333329E-2</v>
      </c>
      <c r="F10" s="570">
        <f ca="1">$D10 * E10</f>
        <v>2711.49</v>
      </c>
      <c r="G10" s="568">
        <f>1/12</f>
        <v>8.3333333333333329E-2</v>
      </c>
      <c r="H10" s="572">
        <f ca="1">$D10 * G10</f>
        <v>2711.49</v>
      </c>
      <c r="I10" s="568">
        <f>1/12</f>
        <v>8.3333333333333329E-2</v>
      </c>
      <c r="J10" s="572">
        <f ca="1">$D10 * I10</f>
        <v>2711.49</v>
      </c>
      <c r="K10" s="568">
        <f>1/12</f>
        <v>8.3333333333333329E-2</v>
      </c>
      <c r="L10" s="572">
        <f ca="1">$D10 * K10</f>
        <v>2711.49</v>
      </c>
      <c r="M10" s="568">
        <f>1/12</f>
        <v>8.3333333333333329E-2</v>
      </c>
      <c r="N10" s="572">
        <f ca="1">$D10 * M10</f>
        <v>2711.49</v>
      </c>
      <c r="O10" s="568">
        <f>1/12</f>
        <v>8.3333333333333329E-2</v>
      </c>
      <c r="P10" s="572">
        <f ca="1">$D10 * O10</f>
        <v>2711.49</v>
      </c>
      <c r="Q10" s="568">
        <f>1/12</f>
        <v>8.3333333333333329E-2</v>
      </c>
      <c r="R10" s="570">
        <f ca="1">$D10 * Q10</f>
        <v>2711.49</v>
      </c>
      <c r="S10" s="568">
        <f>1/12</f>
        <v>8.3333333333333329E-2</v>
      </c>
      <c r="T10" s="572">
        <f ca="1">$D10 * S10</f>
        <v>2711.49</v>
      </c>
      <c r="U10" s="568">
        <f>1/12</f>
        <v>8.3333333333333329E-2</v>
      </c>
      <c r="V10" s="572">
        <f ca="1">$D10 * U10</f>
        <v>2711.49</v>
      </c>
      <c r="W10" s="568">
        <f>1/12</f>
        <v>8.3333333333333329E-2</v>
      </c>
      <c r="X10" s="572">
        <f ca="1">$D10 * W10</f>
        <v>2711.49</v>
      </c>
      <c r="Y10" s="568">
        <f>1/12</f>
        <v>8.3333333333333329E-2</v>
      </c>
      <c r="Z10" s="572">
        <f ca="1">$D10 * Y10</f>
        <v>2711.49</v>
      </c>
      <c r="AA10" s="568">
        <f>1/12</f>
        <v>8.3333333333333329E-2</v>
      </c>
      <c r="AB10" s="569">
        <f ca="1">$D10 * AA10</f>
        <v>2711.49</v>
      </c>
      <c r="AC10" s="812">
        <f t="shared" si="0"/>
        <v>1</v>
      </c>
    </row>
    <row r="11" spans="1:52" ht="23.5" customHeight="1">
      <c r="B11" s="564" t="str">
        <f ca="1">'Plan Orçamentária'!O18</f>
        <v>1.3</v>
      </c>
      <c r="C11" s="566" t="str">
        <f>'Plan Orçamentária'!R18</f>
        <v>TAPUME</v>
      </c>
      <c r="D11" s="567">
        <f ca="1">'Plan Orçamentária'!Y18</f>
        <v>10121.18</v>
      </c>
      <c r="E11" s="568">
        <v>0.95</v>
      </c>
      <c r="F11" s="570">
        <f ca="1">$D11 * E11</f>
        <v>9615.1209999999992</v>
      </c>
      <c r="G11" s="571"/>
      <c r="H11" s="572">
        <f ca="1">$D11 * G11</f>
        <v>0</v>
      </c>
      <c r="I11" s="571"/>
      <c r="J11" s="572">
        <f ca="1">$D11 * I11</f>
        <v>0</v>
      </c>
      <c r="K11" s="571"/>
      <c r="L11" s="572">
        <f ca="1">$D11 * K11</f>
        <v>0</v>
      </c>
      <c r="M11" s="571"/>
      <c r="N11" s="572">
        <f ca="1">$D11 * M11</f>
        <v>0</v>
      </c>
      <c r="O11" s="571"/>
      <c r="P11" s="572">
        <f ca="1">$D11 * O11</f>
        <v>0</v>
      </c>
      <c r="Q11" s="571"/>
      <c r="R11" s="570">
        <f ca="1">$D11 * Q11</f>
        <v>0</v>
      </c>
      <c r="S11" s="571"/>
      <c r="T11" s="572">
        <f ca="1">$D11 * S11</f>
        <v>0</v>
      </c>
      <c r="U11" s="571"/>
      <c r="V11" s="572">
        <f ca="1">$D11 * U11</f>
        <v>0</v>
      </c>
      <c r="W11" s="571"/>
      <c r="X11" s="572">
        <f ca="1">$D11 * W11</f>
        <v>0</v>
      </c>
      <c r="Y11" s="571"/>
      <c r="Z11" s="572">
        <f ca="1">$D11 * Y11</f>
        <v>0</v>
      </c>
      <c r="AA11" s="571">
        <v>0.05</v>
      </c>
      <c r="AB11" s="569">
        <f ca="1">$D11 * AA11</f>
        <v>506.05900000000003</v>
      </c>
      <c r="AC11" s="812">
        <f t="shared" si="0"/>
        <v>1</v>
      </c>
    </row>
    <row r="12" spans="1:52" ht="23.5" customHeight="1">
      <c r="B12" s="564">
        <f ca="1">'Plan Orçamentária'!O21</f>
        <v>2</v>
      </c>
      <c r="C12" s="566" t="str">
        <f>'Plan Orçamentária'!R21</f>
        <v>CANTEIRO DE OBRAS</v>
      </c>
      <c r="D12" s="567">
        <f ca="1">D13</f>
        <v>12171.2</v>
      </c>
      <c r="E12" s="573">
        <f ca="1">F12/D12</f>
        <v>8.3333333333333329E-2</v>
      </c>
      <c r="F12" s="574">
        <f ca="1">F13</f>
        <v>1014.2666666666667</v>
      </c>
      <c r="G12" s="575">
        <f ca="1">H12/D12</f>
        <v>8.3333333333333329E-2</v>
      </c>
      <c r="H12" s="576">
        <f ca="1">H13</f>
        <v>1014.2666666666667</v>
      </c>
      <c r="I12" s="575">
        <f ca="1">J12/D12</f>
        <v>8.3333333333333329E-2</v>
      </c>
      <c r="J12" s="576">
        <f ca="1">J13</f>
        <v>1014.2666666666667</v>
      </c>
      <c r="K12" s="575">
        <f ca="1">L12/D12</f>
        <v>8.3333333333333329E-2</v>
      </c>
      <c r="L12" s="576">
        <f ca="1">L13</f>
        <v>1014.2666666666667</v>
      </c>
      <c r="M12" s="575">
        <f ca="1">N12/D12</f>
        <v>8.3333333333333329E-2</v>
      </c>
      <c r="N12" s="576">
        <f ca="1">N13</f>
        <v>1014.2666666666667</v>
      </c>
      <c r="O12" s="575">
        <f ca="1">P12/D12</f>
        <v>8.3333333333333329E-2</v>
      </c>
      <c r="P12" s="576">
        <f ca="1">P13</f>
        <v>1014.2666666666667</v>
      </c>
      <c r="Q12" s="575">
        <f ca="1">R12/D12</f>
        <v>8.3333333333333329E-2</v>
      </c>
      <c r="R12" s="574">
        <f ca="1">R13</f>
        <v>1014.2666666666667</v>
      </c>
      <c r="S12" s="575">
        <f ca="1">T12/D12</f>
        <v>8.3333333333333329E-2</v>
      </c>
      <c r="T12" s="576">
        <f ca="1">T13</f>
        <v>1014.2666666666667</v>
      </c>
      <c r="U12" s="575">
        <f ca="1">V12/D12</f>
        <v>8.3333333333333329E-2</v>
      </c>
      <c r="V12" s="576">
        <f ca="1">V13</f>
        <v>1014.2666666666667</v>
      </c>
      <c r="W12" s="575">
        <f ca="1">X12/D12</f>
        <v>8.3333333333333329E-2</v>
      </c>
      <c r="X12" s="576">
        <f ca="1">X13</f>
        <v>1014.2666666666667</v>
      </c>
      <c r="Y12" s="575">
        <f ca="1">Z12/D12</f>
        <v>8.3333333333333329E-2</v>
      </c>
      <c r="Z12" s="576">
        <f ca="1">Z13</f>
        <v>1014.2666666666667</v>
      </c>
      <c r="AA12" s="575">
        <f ca="1">AB12/D12</f>
        <v>8.3333333333333329E-2</v>
      </c>
      <c r="AB12" s="577">
        <f ca="1">AB13</f>
        <v>1014.2666666666667</v>
      </c>
      <c r="AC12" s="812">
        <f t="shared" ca="1" si="0"/>
        <v>1</v>
      </c>
    </row>
    <row r="13" spans="1:52" ht="23.5" customHeight="1">
      <c r="B13" s="564" t="str">
        <f ca="1">'Plan Orçamentária'!O22</f>
        <v>2.1</v>
      </c>
      <c r="C13" s="566" t="str">
        <f>'Plan Orçamentária'!R22</f>
        <v>MANUTENÇÃO CANTEIRO DE OBRAS</v>
      </c>
      <c r="D13" s="567">
        <f ca="1">'Plan Orçamentária'!Y22</f>
        <v>12171.2</v>
      </c>
      <c r="E13" s="568">
        <f>1/12</f>
        <v>8.3333333333333329E-2</v>
      </c>
      <c r="F13" s="570">
        <f ca="1">$D13 * E13</f>
        <v>1014.2666666666667</v>
      </c>
      <c r="G13" s="568">
        <f>1/12</f>
        <v>8.3333333333333329E-2</v>
      </c>
      <c r="H13" s="572">
        <f ca="1">$D13 * G13</f>
        <v>1014.2666666666667</v>
      </c>
      <c r="I13" s="568">
        <f>1/12</f>
        <v>8.3333333333333329E-2</v>
      </c>
      <c r="J13" s="572">
        <f ca="1">$D13 * I13</f>
        <v>1014.2666666666667</v>
      </c>
      <c r="K13" s="568">
        <f>1/12</f>
        <v>8.3333333333333329E-2</v>
      </c>
      <c r="L13" s="572">
        <f ca="1">$D13 * K13</f>
        <v>1014.2666666666667</v>
      </c>
      <c r="M13" s="568">
        <f>1/12</f>
        <v>8.3333333333333329E-2</v>
      </c>
      <c r="N13" s="572">
        <f ca="1">$D13 * M13</f>
        <v>1014.2666666666667</v>
      </c>
      <c r="O13" s="568">
        <f>1/12</f>
        <v>8.3333333333333329E-2</v>
      </c>
      <c r="P13" s="572">
        <f ca="1">$D13 * O13</f>
        <v>1014.2666666666667</v>
      </c>
      <c r="Q13" s="568">
        <f>1/12</f>
        <v>8.3333333333333329E-2</v>
      </c>
      <c r="R13" s="570">
        <f ca="1">$D13 * Q13</f>
        <v>1014.2666666666667</v>
      </c>
      <c r="S13" s="568">
        <f>1/12</f>
        <v>8.3333333333333329E-2</v>
      </c>
      <c r="T13" s="572">
        <f ca="1">$D13 * S13</f>
        <v>1014.2666666666667</v>
      </c>
      <c r="U13" s="568">
        <f>1/12</f>
        <v>8.3333333333333329E-2</v>
      </c>
      <c r="V13" s="572">
        <f ca="1">$D13 * U13</f>
        <v>1014.2666666666667</v>
      </c>
      <c r="W13" s="568">
        <f>1/12</f>
        <v>8.3333333333333329E-2</v>
      </c>
      <c r="X13" s="572">
        <f ca="1">$D13 * W13</f>
        <v>1014.2666666666667</v>
      </c>
      <c r="Y13" s="568">
        <f>1/12</f>
        <v>8.3333333333333329E-2</v>
      </c>
      <c r="Z13" s="572">
        <f ca="1">$D13 * Y13</f>
        <v>1014.2666666666667</v>
      </c>
      <c r="AA13" s="568">
        <f>1/12</f>
        <v>8.3333333333333329E-2</v>
      </c>
      <c r="AB13" s="569">
        <f ca="1">$D13 * AA13</f>
        <v>1014.2666666666667</v>
      </c>
      <c r="AC13" s="812">
        <f t="shared" si="0"/>
        <v>1</v>
      </c>
    </row>
    <row r="14" spans="1:52" ht="23.5" customHeight="1">
      <c r="A14" s="814">
        <f ca="1">D8+D12+D15+D16+D18+D19+D30+D33+D37+D41+D44+D47+D54+D62+D71+D72+D75+D79+D80+D84</f>
        <v>3247583.24</v>
      </c>
      <c r="B14" s="564">
        <f ca="1">'Plan Orçamentária'!O26</f>
        <v>3</v>
      </c>
      <c r="C14" s="566" t="str">
        <f>'Plan Orçamentária'!R26</f>
        <v>ADMINISTRAÇÃO LOCAL DE OBRA</v>
      </c>
      <c r="D14" s="567">
        <f ca="1">'Plan Orçamentária'!Y26</f>
        <v>71715.600000000006</v>
      </c>
      <c r="E14" s="573">
        <f ca="1">$F2/A14</f>
        <v>3.341651021083604E-2</v>
      </c>
      <c r="F14" s="574">
        <f ca="1">$D14 * E14</f>
        <v>2396.4850796762335</v>
      </c>
      <c r="G14" s="575">
        <f ca="1">$H2/A14</f>
        <v>5.4095619578329882E-2</v>
      </c>
      <c r="H14" s="576">
        <f ca="1">$D14 * G14</f>
        <v>3879.499815431675</v>
      </c>
      <c r="I14" s="575">
        <f ca="1">$J2/A14</f>
        <v>5.3703775888435723E-2</v>
      </c>
      <c r="J14" s="576">
        <f ca="1">$D14 * I14</f>
        <v>3851.3985101047015</v>
      </c>
      <c r="K14" s="575">
        <f ca="1">$L2/A14</f>
        <v>7.4322756235187373E-2</v>
      </c>
      <c r="L14" s="576">
        <f ca="1">$D14 * K14</f>
        <v>5330.1010570602039</v>
      </c>
      <c r="M14" s="575">
        <f ca="1">$N2/A14</f>
        <v>5.560860466197011E-2</v>
      </c>
      <c r="N14" s="576">
        <f ca="1">$D14 * M14</f>
        <v>3988.004448495984</v>
      </c>
      <c r="O14" s="575">
        <f ca="1">$P2/A14</f>
        <v>8.5223247580252931E-2</v>
      </c>
      <c r="P14" s="576">
        <f ca="1">$D14 * O14</f>
        <v>6111.836334166388</v>
      </c>
      <c r="Q14" s="575">
        <f ca="1">$R2/A14</f>
        <v>5.840583180864057E-2</v>
      </c>
      <c r="R14" s="574">
        <f ca="1">$D14 * Q14</f>
        <v>4188.6092716557441</v>
      </c>
      <c r="S14" s="575">
        <f ca="1">$T2/A14</f>
        <v>7.0735070827622565E-2</v>
      </c>
      <c r="T14" s="576">
        <f ca="1">$D14 * S14</f>
        <v>5072.8080454454494</v>
      </c>
      <c r="U14" s="575">
        <f ca="1">$V2/A14</f>
        <v>0.12171734064620923</v>
      </c>
      <c r="V14" s="576">
        <f ca="1">$D14 * U14</f>
        <v>8729.0321148472831</v>
      </c>
      <c r="W14" s="575">
        <f ca="1">$X2/A14</f>
        <v>0.13221334566931683</v>
      </c>
      <c r="X14" s="576">
        <f ca="1">$D14 * W14</f>
        <v>9481.7594126824588</v>
      </c>
      <c r="Y14" s="575">
        <f ca="1">$Z2/A14</f>
        <v>0.10307780117131039</v>
      </c>
      <c r="Z14" s="576">
        <f ca="1">$D14 * Y14</f>
        <v>7392.2863576812279</v>
      </c>
      <c r="AA14" s="575">
        <f ca="1">$AB2/A14</f>
        <v>0.15748009572188826</v>
      </c>
      <c r="AB14" s="577">
        <f ca="1">$D14 * AA14</f>
        <v>11293.77955275265</v>
      </c>
      <c r="AC14" s="812">
        <f t="shared" ca="1" si="0"/>
        <v>0.99999999999999989</v>
      </c>
    </row>
    <row r="15" spans="1:52" ht="23.5" customHeight="1">
      <c r="B15" s="564">
        <f ca="1">'Plan Orçamentária'!O29</f>
        <v>4</v>
      </c>
      <c r="C15" s="566" t="str">
        <f>'Plan Orçamentária'!R29</f>
        <v>RETIRADAS E DEMOLIÇÕES</v>
      </c>
      <c r="D15" s="567">
        <f ca="1">'Plan Orçamentária'!Y29</f>
        <v>5817.7599999999993</v>
      </c>
      <c r="E15" s="568">
        <v>1</v>
      </c>
      <c r="F15" s="570">
        <f ca="1">$D15 * E15</f>
        <v>5817.7599999999993</v>
      </c>
      <c r="G15" s="571"/>
      <c r="H15" s="572">
        <f ca="1">$D15 * G15</f>
        <v>0</v>
      </c>
      <c r="I15" s="571"/>
      <c r="J15" s="572">
        <f ca="1">$D15 * I15</f>
        <v>0</v>
      </c>
      <c r="K15" s="571"/>
      <c r="L15" s="572">
        <f ca="1">$D15 * K15</f>
        <v>0</v>
      </c>
      <c r="M15" s="571"/>
      <c r="N15" s="572">
        <f ca="1">$D15 * M15</f>
        <v>0</v>
      </c>
      <c r="O15" s="571"/>
      <c r="P15" s="572">
        <f ca="1">$D15 * O15</f>
        <v>0</v>
      </c>
      <c r="Q15" s="571"/>
      <c r="R15" s="570">
        <f ca="1">$D15 * Q15</f>
        <v>0</v>
      </c>
      <c r="S15" s="571"/>
      <c r="T15" s="572">
        <f ca="1">$D15 * S15</f>
        <v>0</v>
      </c>
      <c r="U15" s="571"/>
      <c r="V15" s="572">
        <f ca="1">$D15 * U15</f>
        <v>0</v>
      </c>
      <c r="W15" s="571"/>
      <c r="X15" s="572">
        <f ca="1">$D15 * W15</f>
        <v>0</v>
      </c>
      <c r="Y15" s="571"/>
      <c r="Z15" s="572">
        <f ca="1">$D15 * Y15</f>
        <v>0</v>
      </c>
      <c r="AA15" s="571"/>
      <c r="AB15" s="569">
        <f ca="1">$D15 * AA15</f>
        <v>0</v>
      </c>
      <c r="AC15" s="812">
        <f t="shared" si="0"/>
        <v>1</v>
      </c>
    </row>
    <row r="16" spans="1:52" ht="23.5" customHeight="1">
      <c r="B16" s="564">
        <f ca="1">'Plan Orçamentária'!O36</f>
        <v>5</v>
      </c>
      <c r="C16" s="566" t="str">
        <f>'Plan Orçamentária'!R36</f>
        <v>EQUIPAMENTOS PARA TRABALHO EM ALTURA</v>
      </c>
      <c r="D16" s="567">
        <f ca="1">D17</f>
        <v>72314.28</v>
      </c>
      <c r="E16" s="573">
        <f ca="1">F16/D16</f>
        <v>0</v>
      </c>
      <c r="F16" s="574">
        <f ca="1">F17</f>
        <v>0</v>
      </c>
      <c r="G16" s="575">
        <f ca="1">H16/D16</f>
        <v>0</v>
      </c>
      <c r="H16" s="576">
        <f ca="1">H17</f>
        <v>0</v>
      </c>
      <c r="I16" s="575">
        <f ca="1">J16/D16</f>
        <v>0</v>
      </c>
      <c r="J16" s="576">
        <f ca="1">J17</f>
        <v>0</v>
      </c>
      <c r="K16" s="575">
        <f ca="1">L16/D16</f>
        <v>0</v>
      </c>
      <c r="L16" s="576">
        <f ca="1">L17</f>
        <v>0</v>
      </c>
      <c r="M16" s="575">
        <f ca="1">N16/D16</f>
        <v>0</v>
      </c>
      <c r="N16" s="576">
        <f ca="1">N17</f>
        <v>0</v>
      </c>
      <c r="O16" s="575">
        <f ca="1">P16/D16</f>
        <v>0.2</v>
      </c>
      <c r="P16" s="576">
        <f ca="1">P17</f>
        <v>14462.856</v>
      </c>
      <c r="Q16" s="575">
        <f ca="1">R16/D16</f>
        <v>0.2</v>
      </c>
      <c r="R16" s="574">
        <f ca="1">R17</f>
        <v>14462.856</v>
      </c>
      <c r="S16" s="575">
        <f ca="1">T16/D16</f>
        <v>0.2</v>
      </c>
      <c r="T16" s="576">
        <f ca="1">T17</f>
        <v>14462.856</v>
      </c>
      <c r="U16" s="575">
        <f ca="1">V16/D16</f>
        <v>0.2</v>
      </c>
      <c r="V16" s="576">
        <f ca="1">V17</f>
        <v>14462.856</v>
      </c>
      <c r="W16" s="575">
        <f ca="1">X16/D16</f>
        <v>0.2</v>
      </c>
      <c r="X16" s="576">
        <f ca="1">X17</f>
        <v>14462.856</v>
      </c>
      <c r="Y16" s="575">
        <f ca="1">Z16/D16</f>
        <v>0</v>
      </c>
      <c r="Z16" s="576">
        <f ca="1">Z17</f>
        <v>0</v>
      </c>
      <c r="AA16" s="575">
        <f ca="1">AB16/D16</f>
        <v>0</v>
      </c>
      <c r="AB16" s="577">
        <f ca="1">AB17</f>
        <v>0</v>
      </c>
      <c r="AC16" s="812">
        <f t="shared" ca="1" si="0"/>
        <v>1</v>
      </c>
    </row>
    <row r="17" spans="2:29" ht="23.5" customHeight="1">
      <c r="B17" s="564" t="str">
        <f ca="1">'Plan Orçamentária'!O37</f>
        <v>5.1</v>
      </c>
      <c r="C17" s="566" t="str">
        <f>'Plan Orçamentária'!R37</f>
        <v>ANDAIMES</v>
      </c>
      <c r="D17" s="567">
        <f ca="1">'Plan Orçamentária'!Y37</f>
        <v>72314.28</v>
      </c>
      <c r="E17" s="568"/>
      <c r="F17" s="570">
        <f ca="1">$D17 * E17</f>
        <v>0</v>
      </c>
      <c r="G17" s="571"/>
      <c r="H17" s="572">
        <f ca="1">$D17 * G17</f>
        <v>0</v>
      </c>
      <c r="I17" s="571"/>
      <c r="J17" s="572">
        <f ca="1">$D17 * I17</f>
        <v>0</v>
      </c>
      <c r="K17" s="571"/>
      <c r="L17" s="572">
        <f ca="1">$D17 * K17</f>
        <v>0</v>
      </c>
      <c r="M17" s="571"/>
      <c r="N17" s="572">
        <f ca="1">$D17 * M17</f>
        <v>0</v>
      </c>
      <c r="O17" s="571">
        <v>0.2</v>
      </c>
      <c r="P17" s="572">
        <f ca="1">$D17 * O17</f>
        <v>14462.856</v>
      </c>
      <c r="Q17" s="571">
        <v>0.2</v>
      </c>
      <c r="R17" s="570">
        <f ca="1">$D17 * Q17</f>
        <v>14462.856</v>
      </c>
      <c r="S17" s="571">
        <v>0.2</v>
      </c>
      <c r="T17" s="572">
        <f ca="1">$D17 * S17</f>
        <v>14462.856</v>
      </c>
      <c r="U17" s="571">
        <v>0.2</v>
      </c>
      <c r="V17" s="572">
        <f ca="1">$D17 * U17</f>
        <v>14462.856</v>
      </c>
      <c r="W17" s="571">
        <v>0.2</v>
      </c>
      <c r="X17" s="572">
        <f ca="1">$D17 * W17</f>
        <v>14462.856</v>
      </c>
      <c r="Y17" s="571"/>
      <c r="Z17" s="572">
        <f ca="1">$D17 * Y17</f>
        <v>0</v>
      </c>
      <c r="AA17" s="571"/>
      <c r="AB17" s="569">
        <f ca="1">$D17 * AA17</f>
        <v>0</v>
      </c>
      <c r="AC17" s="812">
        <f t="shared" si="0"/>
        <v>1</v>
      </c>
    </row>
    <row r="18" spans="2:29" ht="23.5" customHeight="1">
      <c r="B18" s="564">
        <f ca="1">'Plan Orçamentária'!O41</f>
        <v>6</v>
      </c>
      <c r="C18" s="566" t="str">
        <f>'Plan Orçamentária'!R41</f>
        <v>LIMPEZA DO TERRENO</v>
      </c>
      <c r="D18" s="567">
        <f ca="1">'Plan Orçamentária'!Y41</f>
        <v>13671.29</v>
      </c>
      <c r="E18" s="568">
        <v>1</v>
      </c>
      <c r="F18" s="570">
        <f ca="1">$D18 * E18</f>
        <v>13671.29</v>
      </c>
      <c r="G18" s="571"/>
      <c r="H18" s="572">
        <f ca="1">$D18 * G18</f>
        <v>0</v>
      </c>
      <c r="I18" s="571"/>
      <c r="J18" s="572">
        <f ca="1">$D18 * I18</f>
        <v>0</v>
      </c>
      <c r="K18" s="571"/>
      <c r="L18" s="572">
        <f ca="1">$D18 * K18</f>
        <v>0</v>
      </c>
      <c r="M18" s="571"/>
      <c r="N18" s="572">
        <f ca="1">$D18 * M18</f>
        <v>0</v>
      </c>
      <c r="O18" s="571"/>
      <c r="P18" s="572">
        <f ca="1">$D18 * O18</f>
        <v>0</v>
      </c>
      <c r="Q18" s="571"/>
      <c r="R18" s="570">
        <f ca="1">$D18 * Q18</f>
        <v>0</v>
      </c>
      <c r="S18" s="571"/>
      <c r="T18" s="572">
        <f ca="1">$D18 * S18</f>
        <v>0</v>
      </c>
      <c r="U18" s="571"/>
      <c r="V18" s="572">
        <f ca="1">$D18 * U18</f>
        <v>0</v>
      </c>
      <c r="W18" s="571"/>
      <c r="X18" s="572">
        <f ca="1">$D18 * W18</f>
        <v>0</v>
      </c>
      <c r="Y18" s="571"/>
      <c r="Z18" s="572">
        <f ca="1">$D18 * Y18</f>
        <v>0</v>
      </c>
      <c r="AA18" s="571"/>
      <c r="AB18" s="569">
        <f ca="1">$D18 * AA18</f>
        <v>0</v>
      </c>
      <c r="AC18" s="812">
        <f t="shared" si="0"/>
        <v>1</v>
      </c>
    </row>
    <row r="19" spans="2:29" ht="23.5" customHeight="1">
      <c r="B19" s="564">
        <f ca="1">'Plan Orçamentária'!O45</f>
        <v>7</v>
      </c>
      <c r="C19" s="566" t="str">
        <f>'Plan Orçamentária'!R45</f>
        <v>ESTRUTURA DE CONCRETO</v>
      </c>
      <c r="D19" s="567">
        <f ca="1">D20+D21+D22+D24+D25+D26+D27+D28+D29+D23</f>
        <v>358635.42</v>
      </c>
      <c r="E19" s="573">
        <f ca="1">F19/D19</f>
        <v>5.1379197291778936E-2</v>
      </c>
      <c r="F19" s="574">
        <f ca="1">F20+F21+F22+F24+F25+F26+F27+F28+F29+F23</f>
        <v>18426.400000000001</v>
      </c>
      <c r="G19" s="575">
        <f ca="1">H19/D19</f>
        <v>0.33557455089070681</v>
      </c>
      <c r="H19" s="574">
        <f ca="1">H20+H21+H22+H24+H25+H26+H27+H28+H29+H23</f>
        <v>120348.92000000001</v>
      </c>
      <c r="I19" s="575">
        <f ca="1">J19/D19</f>
        <v>0.33202625384854628</v>
      </c>
      <c r="J19" s="574">
        <f ca="1">J20+J21+J22+J24+J25+J26+J27+J28+J29+J23</f>
        <v>119076.375</v>
      </c>
      <c r="K19" s="575">
        <f ca="1">L19/D19</f>
        <v>0.28101999796896809</v>
      </c>
      <c r="L19" s="574">
        <f ca="1">L20+L21+L22+L24+L25+L26+L27+L28+L29+L23</f>
        <v>100783.72500000001</v>
      </c>
      <c r="M19" s="575">
        <f ca="1">N19/D19</f>
        <v>0</v>
      </c>
      <c r="N19" s="574">
        <f ca="1">N20+N21+N22+N24+N25+N26+N27+N28+N29+N23</f>
        <v>0</v>
      </c>
      <c r="O19" s="575">
        <f ca="1">P19/D19</f>
        <v>0</v>
      </c>
      <c r="P19" s="574">
        <f ca="1">P20+P21+P22+P24+P25+P26+P27+P28+P29+P23</f>
        <v>0</v>
      </c>
      <c r="Q19" s="575">
        <f ca="1">R19/D19</f>
        <v>0</v>
      </c>
      <c r="R19" s="574">
        <f ca="1">R20+R21+R22+R24+R25+R26+R27+R28+R29+R23</f>
        <v>0</v>
      </c>
      <c r="S19" s="575">
        <f ca="1">T19/D19</f>
        <v>0</v>
      </c>
      <c r="T19" s="574">
        <f ca="1">T20+T21+T22+T24+T25+T26+T27+T28+T29+T23</f>
        <v>0</v>
      </c>
      <c r="U19" s="575">
        <f ca="1">V19/D19</f>
        <v>0</v>
      </c>
      <c r="V19" s="574">
        <f ca="1">V20+V21+V22+V24+V25+V26+V27+V28+V29+V23</f>
        <v>0</v>
      </c>
      <c r="W19" s="575">
        <f ca="1">X19/D19</f>
        <v>0</v>
      </c>
      <c r="X19" s="574">
        <f ca="1">X20+X21+X22+X24+X25+X26+X27+X28+X29+X23</f>
        <v>0</v>
      </c>
      <c r="Y19" s="575">
        <f ca="1">Z19/D19</f>
        <v>0</v>
      </c>
      <c r="Z19" s="574">
        <f ca="1">Z20+Z21+Z22+Z24+Z25+Z26+Z27+Z28+Z29+Z23</f>
        <v>0</v>
      </c>
      <c r="AA19" s="575">
        <f ca="1">AB19/D19</f>
        <v>0</v>
      </c>
      <c r="AB19" s="574">
        <f ca="1">AB20+AB21+AB22+AB24+AB25+AB26+AB27+AB28+AB29+AB23</f>
        <v>0</v>
      </c>
      <c r="AC19" s="812">
        <f t="shared" ca="1" si="0"/>
        <v>1</v>
      </c>
    </row>
    <row r="20" spans="2:29" ht="23.5" customHeight="1">
      <c r="B20" s="564" t="str">
        <f ca="1">'Plan Orçamentária'!O46</f>
        <v>7.1</v>
      </c>
      <c r="C20" s="566" t="str">
        <f>'Plan Orçamentária'!R46</f>
        <v>LOCAÇÃO DE OBRAS</v>
      </c>
      <c r="D20" s="567">
        <f ca="1">'Plan Orçamentária'!Y46</f>
        <v>18426.400000000001</v>
      </c>
      <c r="E20" s="568">
        <v>1</v>
      </c>
      <c r="F20" s="570">
        <f t="shared" ref="F20:F29" ca="1" si="1">$D20 * E20</f>
        <v>18426.400000000001</v>
      </c>
      <c r="G20" s="571"/>
      <c r="H20" s="572">
        <f t="shared" ref="H20:H29" ca="1" si="2">$D20 * G20</f>
        <v>0</v>
      </c>
      <c r="I20" s="571"/>
      <c r="J20" s="572">
        <f t="shared" ref="J20:J29" ca="1" si="3">$D20 * I20</f>
        <v>0</v>
      </c>
      <c r="K20" s="571"/>
      <c r="L20" s="572">
        <f t="shared" ref="L20:L29" ca="1" si="4">$D20 * K20</f>
        <v>0</v>
      </c>
      <c r="M20" s="571"/>
      <c r="N20" s="572">
        <f t="shared" ref="N20:N29" ca="1" si="5">$D20 * M20</f>
        <v>0</v>
      </c>
      <c r="O20" s="571"/>
      <c r="P20" s="572">
        <f t="shared" ref="P20:P29" ca="1" si="6">$D20 * O20</f>
        <v>0</v>
      </c>
      <c r="Q20" s="571"/>
      <c r="R20" s="570">
        <f t="shared" ref="R20:R29" ca="1" si="7">$D20 * Q20</f>
        <v>0</v>
      </c>
      <c r="S20" s="571"/>
      <c r="T20" s="572">
        <f t="shared" ref="T20:T29" ca="1" si="8">$D20 * S20</f>
        <v>0</v>
      </c>
      <c r="U20" s="571"/>
      <c r="V20" s="572">
        <f t="shared" ref="V20:V29" ca="1" si="9">$D20 * U20</f>
        <v>0</v>
      </c>
      <c r="W20" s="571"/>
      <c r="X20" s="572">
        <f t="shared" ref="X20:X29" ca="1" si="10">$D20 * W20</f>
        <v>0</v>
      </c>
      <c r="Y20" s="571"/>
      <c r="Z20" s="572">
        <f t="shared" ref="Z20:Z29" ca="1" si="11">$D20 * Y20</f>
        <v>0</v>
      </c>
      <c r="AA20" s="571"/>
      <c r="AB20" s="569">
        <f t="shared" ref="AB20:AB29" ca="1" si="12">$D20 * AA20</f>
        <v>0</v>
      </c>
      <c r="AC20" s="812">
        <f t="shared" si="0"/>
        <v>1</v>
      </c>
    </row>
    <row r="21" spans="2:29" ht="23.5" customHeight="1">
      <c r="B21" s="564" t="str">
        <f ca="1">'Plan Orçamentária'!O50</f>
        <v>7.2</v>
      </c>
      <c r="C21" s="566" t="str">
        <f>'Plan Orçamentária'!R50</f>
        <v>ESTACA</v>
      </c>
      <c r="D21" s="567">
        <f ca="1">'Plan Orçamentária'!Y50</f>
        <v>49179.58</v>
      </c>
      <c r="E21" s="568"/>
      <c r="F21" s="570">
        <f t="shared" ca="1" si="1"/>
        <v>0</v>
      </c>
      <c r="G21" s="571">
        <v>1</v>
      </c>
      <c r="H21" s="572">
        <f t="shared" ca="1" si="2"/>
        <v>49179.58</v>
      </c>
      <c r="I21" s="571"/>
      <c r="J21" s="572">
        <f t="shared" ca="1" si="3"/>
        <v>0</v>
      </c>
      <c r="K21" s="571"/>
      <c r="L21" s="572">
        <f t="shared" ca="1" si="4"/>
        <v>0</v>
      </c>
      <c r="M21" s="571"/>
      <c r="N21" s="572">
        <f t="shared" ca="1" si="5"/>
        <v>0</v>
      </c>
      <c r="O21" s="571"/>
      <c r="P21" s="572">
        <f t="shared" ca="1" si="6"/>
        <v>0</v>
      </c>
      <c r="Q21" s="571"/>
      <c r="R21" s="570">
        <f t="shared" ca="1" si="7"/>
        <v>0</v>
      </c>
      <c r="S21" s="571"/>
      <c r="T21" s="572">
        <f t="shared" ca="1" si="8"/>
        <v>0</v>
      </c>
      <c r="U21" s="571"/>
      <c r="V21" s="572">
        <f t="shared" ca="1" si="9"/>
        <v>0</v>
      </c>
      <c r="W21" s="571"/>
      <c r="X21" s="572">
        <f t="shared" ca="1" si="10"/>
        <v>0</v>
      </c>
      <c r="Y21" s="571"/>
      <c r="Z21" s="572">
        <f t="shared" ca="1" si="11"/>
        <v>0</v>
      </c>
      <c r="AA21" s="571"/>
      <c r="AB21" s="569">
        <f t="shared" ca="1" si="12"/>
        <v>0</v>
      </c>
      <c r="AC21" s="812">
        <f t="shared" si="0"/>
        <v>1</v>
      </c>
    </row>
    <row r="22" spans="2:29" ht="23.5" customHeight="1">
      <c r="B22" s="564" t="str">
        <f ca="1">'Plan Orçamentária'!O58</f>
        <v>7.3</v>
      </c>
      <c r="C22" s="566" t="str">
        <f>'Plan Orçamentária'!R58</f>
        <v>BLOCOS DE FUNDAÇÃO</v>
      </c>
      <c r="D22" s="567">
        <f ca="1">'Plan Orçamentária'!Y58</f>
        <v>18897.829999999998</v>
      </c>
      <c r="E22" s="568"/>
      <c r="F22" s="570">
        <f t="shared" ca="1" si="1"/>
        <v>0</v>
      </c>
      <c r="G22" s="571">
        <v>1</v>
      </c>
      <c r="H22" s="572">
        <f t="shared" ca="1" si="2"/>
        <v>18897.829999999998</v>
      </c>
      <c r="I22" s="571"/>
      <c r="J22" s="572">
        <f t="shared" ca="1" si="3"/>
        <v>0</v>
      </c>
      <c r="K22" s="571"/>
      <c r="L22" s="572">
        <f t="shared" ca="1" si="4"/>
        <v>0</v>
      </c>
      <c r="M22" s="571"/>
      <c r="N22" s="572">
        <f t="shared" ca="1" si="5"/>
        <v>0</v>
      </c>
      <c r="O22" s="571"/>
      <c r="P22" s="572">
        <f t="shared" ca="1" si="6"/>
        <v>0</v>
      </c>
      <c r="Q22" s="571"/>
      <c r="R22" s="570">
        <f t="shared" ca="1" si="7"/>
        <v>0</v>
      </c>
      <c r="S22" s="571"/>
      <c r="T22" s="572">
        <f t="shared" ca="1" si="8"/>
        <v>0</v>
      </c>
      <c r="U22" s="571"/>
      <c r="V22" s="572">
        <f t="shared" ca="1" si="9"/>
        <v>0</v>
      </c>
      <c r="W22" s="571"/>
      <c r="X22" s="572">
        <f t="shared" ca="1" si="10"/>
        <v>0</v>
      </c>
      <c r="Y22" s="571"/>
      <c r="Z22" s="572">
        <f t="shared" ca="1" si="11"/>
        <v>0</v>
      </c>
      <c r="AA22" s="571"/>
      <c r="AB22" s="569">
        <f t="shared" ca="1" si="12"/>
        <v>0</v>
      </c>
      <c r="AC22" s="812">
        <f t="shared" si="0"/>
        <v>1</v>
      </c>
    </row>
    <row r="23" spans="2:29" ht="23.5" customHeight="1">
      <c r="B23" s="564" t="str">
        <f ca="1">'Plan Orçamentária'!O70</f>
        <v>7.4</v>
      </c>
      <c r="C23" s="566" t="str">
        <f>'Plan Orçamentária'!R70</f>
        <v>VIGAS BALDRAME</v>
      </c>
      <c r="D23" s="567">
        <f ca="1">'Plan Orçamentária'!Y70</f>
        <v>52271.51</v>
      </c>
      <c r="E23" s="568"/>
      <c r="F23" s="570">
        <f t="shared" ca="1" si="1"/>
        <v>0</v>
      </c>
      <c r="G23" s="571">
        <v>1</v>
      </c>
      <c r="H23" s="572">
        <f t="shared" ca="1" si="2"/>
        <v>52271.51</v>
      </c>
      <c r="I23" s="571"/>
      <c r="J23" s="572">
        <f t="shared" ca="1" si="3"/>
        <v>0</v>
      </c>
      <c r="K23" s="571"/>
      <c r="L23" s="572">
        <f t="shared" ca="1" si="4"/>
        <v>0</v>
      </c>
      <c r="M23" s="571"/>
      <c r="N23" s="572">
        <f t="shared" ca="1" si="5"/>
        <v>0</v>
      </c>
      <c r="O23" s="571"/>
      <c r="P23" s="572">
        <f t="shared" ca="1" si="6"/>
        <v>0</v>
      </c>
      <c r="Q23" s="571"/>
      <c r="R23" s="570">
        <f t="shared" ca="1" si="7"/>
        <v>0</v>
      </c>
      <c r="S23" s="571"/>
      <c r="T23" s="572">
        <f t="shared" ca="1" si="8"/>
        <v>0</v>
      </c>
      <c r="U23" s="571"/>
      <c r="V23" s="572">
        <f t="shared" ca="1" si="9"/>
        <v>0</v>
      </c>
      <c r="W23" s="571"/>
      <c r="X23" s="572">
        <f t="shared" ca="1" si="10"/>
        <v>0</v>
      </c>
      <c r="Y23" s="571"/>
      <c r="Z23" s="572">
        <f t="shared" ca="1" si="11"/>
        <v>0</v>
      </c>
      <c r="AA23" s="571"/>
      <c r="AB23" s="569">
        <f t="shared" ca="1" si="12"/>
        <v>0</v>
      </c>
      <c r="AC23" s="812">
        <f t="shared" si="0"/>
        <v>1</v>
      </c>
    </row>
    <row r="24" spans="2:29" ht="23.5" customHeight="1">
      <c r="B24" s="564" t="str">
        <f ca="1">'Plan Orçamentária'!O86</f>
        <v>7.5</v>
      </c>
      <c r="C24" s="566" t="str">
        <f>'Plan Orçamentária'!R86</f>
        <v>RADIER - FOSSO ELEVADOR</v>
      </c>
      <c r="D24" s="567">
        <f ca="1">'Plan Orçamentária'!Y86</f>
        <v>2795.15</v>
      </c>
      <c r="E24" s="568"/>
      <c r="F24" s="570">
        <f t="shared" ca="1" si="1"/>
        <v>0</v>
      </c>
      <c r="G24" s="571"/>
      <c r="H24" s="572">
        <f t="shared" ca="1" si="2"/>
        <v>0</v>
      </c>
      <c r="I24" s="571">
        <v>1</v>
      </c>
      <c r="J24" s="572">
        <f t="shared" ca="1" si="3"/>
        <v>2795.15</v>
      </c>
      <c r="K24" s="571"/>
      <c r="L24" s="572">
        <f t="shared" ca="1" si="4"/>
        <v>0</v>
      </c>
      <c r="M24" s="571"/>
      <c r="N24" s="572">
        <f t="shared" ca="1" si="5"/>
        <v>0</v>
      </c>
      <c r="O24" s="571"/>
      <c r="P24" s="572">
        <f t="shared" ca="1" si="6"/>
        <v>0</v>
      </c>
      <c r="Q24" s="571"/>
      <c r="R24" s="570">
        <f t="shared" ca="1" si="7"/>
        <v>0</v>
      </c>
      <c r="S24" s="571"/>
      <c r="T24" s="572">
        <f t="shared" ca="1" si="8"/>
        <v>0</v>
      </c>
      <c r="U24" s="571"/>
      <c r="V24" s="572">
        <f t="shared" ca="1" si="9"/>
        <v>0</v>
      </c>
      <c r="W24" s="571"/>
      <c r="X24" s="572">
        <f t="shared" ca="1" si="10"/>
        <v>0</v>
      </c>
      <c r="Y24" s="571"/>
      <c r="Z24" s="572">
        <f t="shared" ca="1" si="11"/>
        <v>0</v>
      </c>
      <c r="AA24" s="571"/>
      <c r="AB24" s="569">
        <f t="shared" ca="1" si="12"/>
        <v>0</v>
      </c>
      <c r="AC24" s="812">
        <f t="shared" si="0"/>
        <v>1</v>
      </c>
    </row>
    <row r="25" spans="2:29" ht="23.5" customHeight="1">
      <c r="B25" s="564" t="str">
        <f ca="1">'Plan Orçamentária'!O100</f>
        <v>7.6</v>
      </c>
      <c r="C25" s="566" t="str">
        <f>'Plan Orçamentária'!R100</f>
        <v>PAREDES CELAS</v>
      </c>
      <c r="D25" s="567">
        <f ca="1">'Plan Orçamentária'!Y100</f>
        <v>15497.5</v>
      </c>
      <c r="E25" s="568"/>
      <c r="F25" s="570">
        <f t="shared" ca="1" si="1"/>
        <v>0</v>
      </c>
      <c r="G25" s="571"/>
      <c r="H25" s="572">
        <f t="shared" ca="1" si="2"/>
        <v>0</v>
      </c>
      <c r="I25" s="571">
        <v>1</v>
      </c>
      <c r="J25" s="572">
        <f t="shared" ca="1" si="3"/>
        <v>15497.5</v>
      </c>
      <c r="K25" s="571"/>
      <c r="L25" s="572">
        <f t="shared" ca="1" si="4"/>
        <v>0</v>
      </c>
      <c r="M25" s="571"/>
      <c r="N25" s="572">
        <f t="shared" ca="1" si="5"/>
        <v>0</v>
      </c>
      <c r="O25" s="571"/>
      <c r="P25" s="572">
        <f t="shared" ca="1" si="6"/>
        <v>0</v>
      </c>
      <c r="Q25" s="571"/>
      <c r="R25" s="570">
        <f t="shared" ca="1" si="7"/>
        <v>0</v>
      </c>
      <c r="S25" s="571"/>
      <c r="T25" s="572">
        <f t="shared" ca="1" si="8"/>
        <v>0</v>
      </c>
      <c r="U25" s="571"/>
      <c r="V25" s="572">
        <f t="shared" ca="1" si="9"/>
        <v>0</v>
      </c>
      <c r="W25" s="571"/>
      <c r="X25" s="572">
        <f t="shared" ca="1" si="10"/>
        <v>0</v>
      </c>
      <c r="Y25" s="571"/>
      <c r="Z25" s="572">
        <f t="shared" ca="1" si="11"/>
        <v>0</v>
      </c>
      <c r="AA25" s="571"/>
      <c r="AB25" s="569">
        <f t="shared" ca="1" si="12"/>
        <v>0</v>
      </c>
      <c r="AC25" s="812">
        <f t="shared" si="0"/>
        <v>1</v>
      </c>
    </row>
    <row r="26" spans="2:29" ht="23.5" customHeight="1">
      <c r="B26" s="564" t="str">
        <f ca="1">'Plan Orçamentária'!O108</f>
        <v>7.7</v>
      </c>
      <c r="C26" s="566" t="str">
        <f>'Plan Orçamentária'!R108</f>
        <v xml:space="preserve">PILARES </v>
      </c>
      <c r="D26" s="567">
        <f ca="1">'Plan Orçamentária'!Y108</f>
        <v>46160.890000000007</v>
      </c>
      <c r="E26" s="568"/>
      <c r="F26" s="570">
        <f t="shared" ca="1" si="1"/>
        <v>0</v>
      </c>
      <c r="G26" s="571"/>
      <c r="H26" s="572">
        <f t="shared" ca="1" si="2"/>
        <v>0</v>
      </c>
      <c r="I26" s="571">
        <v>0.5</v>
      </c>
      <c r="J26" s="572">
        <f t="shared" ca="1" si="3"/>
        <v>23080.445000000003</v>
      </c>
      <c r="K26" s="571">
        <v>0.5</v>
      </c>
      <c r="L26" s="572">
        <f t="shared" ca="1" si="4"/>
        <v>23080.445000000003</v>
      </c>
      <c r="M26" s="571"/>
      <c r="N26" s="572">
        <f t="shared" ca="1" si="5"/>
        <v>0</v>
      </c>
      <c r="O26" s="571"/>
      <c r="P26" s="572">
        <f t="shared" ca="1" si="6"/>
        <v>0</v>
      </c>
      <c r="Q26" s="571"/>
      <c r="R26" s="570">
        <f t="shared" ca="1" si="7"/>
        <v>0</v>
      </c>
      <c r="S26" s="571"/>
      <c r="T26" s="572">
        <f t="shared" ca="1" si="8"/>
        <v>0</v>
      </c>
      <c r="U26" s="571"/>
      <c r="V26" s="572">
        <f t="shared" ca="1" si="9"/>
        <v>0</v>
      </c>
      <c r="W26" s="571"/>
      <c r="X26" s="572">
        <f t="shared" ca="1" si="10"/>
        <v>0</v>
      </c>
      <c r="Y26" s="571"/>
      <c r="Z26" s="572">
        <f t="shared" ca="1" si="11"/>
        <v>0</v>
      </c>
      <c r="AA26" s="571"/>
      <c r="AB26" s="569">
        <f t="shared" ca="1" si="12"/>
        <v>0</v>
      </c>
      <c r="AC26" s="812">
        <f t="shared" si="0"/>
        <v>1</v>
      </c>
    </row>
    <row r="27" spans="2:29" ht="23.5" customHeight="1">
      <c r="B27" s="564" t="str">
        <f ca="1">'Plan Orçamentária'!O116</f>
        <v>7.8</v>
      </c>
      <c r="C27" s="566" t="str">
        <f>'Plan Orçamentária'!R116</f>
        <v>VIGAS</v>
      </c>
      <c r="D27" s="567">
        <f ca="1">'Plan Orçamentária'!Y116</f>
        <v>63939.05</v>
      </c>
      <c r="E27" s="568"/>
      <c r="F27" s="570">
        <f t="shared" ca="1" si="1"/>
        <v>0</v>
      </c>
      <c r="G27" s="571"/>
      <c r="H27" s="572">
        <f t="shared" ca="1" si="2"/>
        <v>0</v>
      </c>
      <c r="I27" s="571">
        <v>0.5</v>
      </c>
      <c r="J27" s="572">
        <f t="shared" ca="1" si="3"/>
        <v>31969.525000000001</v>
      </c>
      <c r="K27" s="571">
        <v>0.5</v>
      </c>
      <c r="L27" s="572">
        <f t="shared" ca="1" si="4"/>
        <v>31969.525000000001</v>
      </c>
      <c r="M27" s="571"/>
      <c r="N27" s="572">
        <f t="shared" ca="1" si="5"/>
        <v>0</v>
      </c>
      <c r="O27" s="571"/>
      <c r="P27" s="572">
        <f t="shared" ca="1" si="6"/>
        <v>0</v>
      </c>
      <c r="Q27" s="571"/>
      <c r="R27" s="570">
        <f t="shared" ca="1" si="7"/>
        <v>0</v>
      </c>
      <c r="S27" s="571"/>
      <c r="T27" s="572">
        <f t="shared" ca="1" si="8"/>
        <v>0</v>
      </c>
      <c r="U27" s="571"/>
      <c r="V27" s="572">
        <f t="shared" ca="1" si="9"/>
        <v>0</v>
      </c>
      <c r="W27" s="571"/>
      <c r="X27" s="572">
        <f t="shared" ca="1" si="10"/>
        <v>0</v>
      </c>
      <c r="Y27" s="571"/>
      <c r="Z27" s="572">
        <f t="shared" ca="1" si="11"/>
        <v>0</v>
      </c>
      <c r="AA27" s="571"/>
      <c r="AB27" s="569">
        <f t="shared" ca="1" si="12"/>
        <v>0</v>
      </c>
      <c r="AC27" s="812">
        <f t="shared" si="0"/>
        <v>1</v>
      </c>
    </row>
    <row r="28" spans="2:29" ht="23.5" customHeight="1">
      <c r="B28" s="564" t="str">
        <f ca="1">'Plan Orçamentária'!O124</f>
        <v>7.9</v>
      </c>
      <c r="C28" s="566" t="str">
        <f>'Plan Orçamentária'!R124</f>
        <v>LAJES</v>
      </c>
      <c r="D28" s="567">
        <f ca="1">'Plan Orçamentária'!Y124</f>
        <v>78156.100000000006</v>
      </c>
      <c r="E28" s="568"/>
      <c r="F28" s="570">
        <f t="shared" ca="1" si="1"/>
        <v>0</v>
      </c>
      <c r="G28" s="571"/>
      <c r="H28" s="572">
        <f t="shared" ca="1" si="2"/>
        <v>0</v>
      </c>
      <c r="I28" s="571">
        <v>0.5</v>
      </c>
      <c r="J28" s="572">
        <f t="shared" ca="1" si="3"/>
        <v>39078.050000000003</v>
      </c>
      <c r="K28" s="571">
        <v>0.5</v>
      </c>
      <c r="L28" s="572">
        <f t="shared" ca="1" si="4"/>
        <v>39078.050000000003</v>
      </c>
      <c r="M28" s="571"/>
      <c r="N28" s="572">
        <f t="shared" ca="1" si="5"/>
        <v>0</v>
      </c>
      <c r="O28" s="571"/>
      <c r="P28" s="572">
        <f t="shared" ca="1" si="6"/>
        <v>0</v>
      </c>
      <c r="Q28" s="571"/>
      <c r="R28" s="570">
        <f t="shared" ca="1" si="7"/>
        <v>0</v>
      </c>
      <c r="S28" s="571"/>
      <c r="T28" s="572">
        <f t="shared" ca="1" si="8"/>
        <v>0</v>
      </c>
      <c r="U28" s="571"/>
      <c r="V28" s="572">
        <f t="shared" ca="1" si="9"/>
        <v>0</v>
      </c>
      <c r="W28" s="571"/>
      <c r="X28" s="572">
        <f t="shared" ca="1" si="10"/>
        <v>0</v>
      </c>
      <c r="Y28" s="571"/>
      <c r="Z28" s="572">
        <f t="shared" ca="1" si="11"/>
        <v>0</v>
      </c>
      <c r="AA28" s="571"/>
      <c r="AB28" s="569">
        <f t="shared" ca="1" si="12"/>
        <v>0</v>
      </c>
      <c r="AC28" s="812">
        <f t="shared" si="0"/>
        <v>1</v>
      </c>
    </row>
    <row r="29" spans="2:29" ht="23.5" customHeight="1">
      <c r="B29" s="564" t="str">
        <f ca="1">'Plan Orçamentária'!O134</f>
        <v>7.10</v>
      </c>
      <c r="C29" s="566" t="str">
        <f>'Plan Orçamentária'!R134</f>
        <v>ESCADA</v>
      </c>
      <c r="D29" s="567">
        <f ca="1">'Plan Orçamentária'!Y134</f>
        <v>13311.41</v>
      </c>
      <c r="E29" s="568"/>
      <c r="F29" s="570">
        <f t="shared" ca="1" si="1"/>
        <v>0</v>
      </c>
      <c r="G29" s="571"/>
      <c r="H29" s="572">
        <f t="shared" ca="1" si="2"/>
        <v>0</v>
      </c>
      <c r="I29" s="571">
        <v>0.5</v>
      </c>
      <c r="J29" s="572">
        <f t="shared" ca="1" si="3"/>
        <v>6655.7049999999999</v>
      </c>
      <c r="K29" s="571">
        <v>0.5</v>
      </c>
      <c r="L29" s="572">
        <f t="shared" ca="1" si="4"/>
        <v>6655.7049999999999</v>
      </c>
      <c r="M29" s="571"/>
      <c r="N29" s="572">
        <f t="shared" ca="1" si="5"/>
        <v>0</v>
      </c>
      <c r="O29" s="571"/>
      <c r="P29" s="572">
        <f t="shared" ca="1" si="6"/>
        <v>0</v>
      </c>
      <c r="Q29" s="571"/>
      <c r="R29" s="570">
        <f t="shared" ca="1" si="7"/>
        <v>0</v>
      </c>
      <c r="S29" s="571"/>
      <c r="T29" s="572">
        <f t="shared" ca="1" si="8"/>
        <v>0</v>
      </c>
      <c r="U29" s="571"/>
      <c r="V29" s="572">
        <f t="shared" ca="1" si="9"/>
        <v>0</v>
      </c>
      <c r="W29" s="571"/>
      <c r="X29" s="572">
        <f t="shared" ca="1" si="10"/>
        <v>0</v>
      </c>
      <c r="Y29" s="571"/>
      <c r="Z29" s="572">
        <f t="shared" ca="1" si="11"/>
        <v>0</v>
      </c>
      <c r="AA29" s="571"/>
      <c r="AB29" s="569">
        <f t="shared" ca="1" si="12"/>
        <v>0</v>
      </c>
      <c r="AC29" s="812">
        <f t="shared" si="0"/>
        <v>1</v>
      </c>
    </row>
    <row r="30" spans="2:29" ht="23.5" customHeight="1">
      <c r="B30" s="564">
        <f ca="1">'Plan Orçamentária'!O143</f>
        <v>8</v>
      </c>
      <c r="C30" s="566" t="str">
        <f>'Plan Orçamentária'!R143</f>
        <v>COBERTURA E PERGOLADO</v>
      </c>
      <c r="D30" s="567">
        <f ca="1">D31+D32</f>
        <v>150501.62</v>
      </c>
      <c r="E30" s="573">
        <f ca="1">F30/D30</f>
        <v>0</v>
      </c>
      <c r="F30" s="574">
        <f ca="1">F31+F32</f>
        <v>0</v>
      </c>
      <c r="G30" s="575">
        <f ca="1">H30/D30</f>
        <v>0</v>
      </c>
      <c r="H30" s="576">
        <f ca="1">H31+H32</f>
        <v>0</v>
      </c>
      <c r="I30" s="575">
        <f ca="1">J30/D30</f>
        <v>0</v>
      </c>
      <c r="J30" s="576">
        <f ca="1">J31+J32</f>
        <v>0</v>
      </c>
      <c r="K30" s="575">
        <f ca="1">L30/D30</f>
        <v>0</v>
      </c>
      <c r="L30" s="576">
        <f ca="1">L31+L32</f>
        <v>0</v>
      </c>
      <c r="M30" s="575">
        <f ca="1">N30/D30</f>
        <v>0.26583075982836596</v>
      </c>
      <c r="N30" s="576">
        <f ca="1">N31+N32</f>
        <v>40007.96</v>
      </c>
      <c r="O30" s="575">
        <f ca="1">P30/D30</f>
        <v>0.7341692401716341</v>
      </c>
      <c r="P30" s="576">
        <f ca="1">P31+P32</f>
        <v>110493.66</v>
      </c>
      <c r="Q30" s="575">
        <f ca="1">R30/D30</f>
        <v>0</v>
      </c>
      <c r="R30" s="574">
        <f ca="1">R31+R32</f>
        <v>0</v>
      </c>
      <c r="S30" s="575">
        <f ca="1">T30/D30</f>
        <v>0</v>
      </c>
      <c r="T30" s="576">
        <f ca="1">T31+T32</f>
        <v>0</v>
      </c>
      <c r="U30" s="575">
        <f ca="1">V30/D30</f>
        <v>0</v>
      </c>
      <c r="V30" s="576">
        <f ca="1">V31+V32</f>
        <v>0</v>
      </c>
      <c r="W30" s="575">
        <f ca="1">X30/D30</f>
        <v>0</v>
      </c>
      <c r="X30" s="576">
        <f ca="1">X31+X32</f>
        <v>0</v>
      </c>
      <c r="Y30" s="575">
        <f ca="1">Z30/D30</f>
        <v>0</v>
      </c>
      <c r="Z30" s="576">
        <f ca="1">Z31+Z32</f>
        <v>0</v>
      </c>
      <c r="AA30" s="575">
        <f ca="1">AB30/D30</f>
        <v>0</v>
      </c>
      <c r="AB30" s="577">
        <f ca="1">AB31+AB32</f>
        <v>0</v>
      </c>
      <c r="AC30" s="812">
        <f t="shared" ca="1" si="0"/>
        <v>1</v>
      </c>
    </row>
    <row r="31" spans="2:29" ht="23.5" customHeight="1">
      <c r="B31" s="564" t="str">
        <f ca="1">'Plan Orçamentária'!O144</f>
        <v>8.1</v>
      </c>
      <c r="C31" s="566" t="str">
        <f>'Plan Orçamentária'!R144</f>
        <v>ESTRUTURA METÁLICA</v>
      </c>
      <c r="D31" s="567">
        <f ca="1">'Plan Orçamentária'!Y144</f>
        <v>80015.92</v>
      </c>
      <c r="E31" s="568"/>
      <c r="F31" s="570">
        <f ca="1">$D31 * E31</f>
        <v>0</v>
      </c>
      <c r="G31" s="571"/>
      <c r="H31" s="572">
        <f ca="1">$D31 * G31</f>
        <v>0</v>
      </c>
      <c r="I31" s="571"/>
      <c r="J31" s="572">
        <f ca="1">$D31 * I31</f>
        <v>0</v>
      </c>
      <c r="K31" s="571"/>
      <c r="L31" s="572">
        <f ca="1">$D31 * K31</f>
        <v>0</v>
      </c>
      <c r="M31" s="571">
        <v>0.5</v>
      </c>
      <c r="N31" s="572">
        <f ca="1">$D31 * M31</f>
        <v>40007.96</v>
      </c>
      <c r="O31" s="571">
        <v>0.5</v>
      </c>
      <c r="P31" s="572">
        <f ca="1">$D31 * O31</f>
        <v>40007.96</v>
      </c>
      <c r="Q31" s="571"/>
      <c r="R31" s="570">
        <f ca="1">$D31 * Q31</f>
        <v>0</v>
      </c>
      <c r="S31" s="571"/>
      <c r="T31" s="572">
        <f ca="1">$D31 * S31</f>
        <v>0</v>
      </c>
      <c r="U31" s="571"/>
      <c r="V31" s="572">
        <f ca="1">$D31 * U31</f>
        <v>0</v>
      </c>
      <c r="W31" s="571"/>
      <c r="X31" s="572">
        <f ca="1">$D31 * W31</f>
        <v>0</v>
      </c>
      <c r="Y31" s="571"/>
      <c r="Z31" s="572">
        <f ca="1">$D31 * Y31</f>
        <v>0</v>
      </c>
      <c r="AA31" s="571"/>
      <c r="AB31" s="569">
        <f ca="1">$D31 * AA31</f>
        <v>0</v>
      </c>
      <c r="AC31" s="812">
        <f t="shared" si="0"/>
        <v>1</v>
      </c>
    </row>
    <row r="32" spans="2:29" ht="23.5" customHeight="1">
      <c r="B32" s="564" t="str">
        <f ca="1">'Plan Orçamentária'!O148</f>
        <v>8.2</v>
      </c>
      <c r="C32" s="566" t="str">
        <f>'Plan Orçamentária'!R148</f>
        <v>TELHAMENTO E ACESSÓRIOS</v>
      </c>
      <c r="D32" s="567">
        <f ca="1">'Plan Orçamentária'!Y148</f>
        <v>70485.7</v>
      </c>
      <c r="E32" s="568"/>
      <c r="F32" s="570">
        <f ca="1">$D32 * E32</f>
        <v>0</v>
      </c>
      <c r="G32" s="571"/>
      <c r="H32" s="572">
        <f ca="1">$D32 * G32</f>
        <v>0</v>
      </c>
      <c r="I32" s="571"/>
      <c r="J32" s="572">
        <f ca="1">$D32 * I32</f>
        <v>0</v>
      </c>
      <c r="K32" s="571"/>
      <c r="L32" s="572">
        <f ca="1">$D32 * K32</f>
        <v>0</v>
      </c>
      <c r="M32" s="571"/>
      <c r="N32" s="572">
        <f ca="1">$D32 * M32</f>
        <v>0</v>
      </c>
      <c r="O32" s="571">
        <v>1</v>
      </c>
      <c r="P32" s="572">
        <f ca="1">$D32 * O32</f>
        <v>70485.7</v>
      </c>
      <c r="Q32" s="571"/>
      <c r="R32" s="570">
        <f ca="1">$D32 * Q32</f>
        <v>0</v>
      </c>
      <c r="S32" s="571"/>
      <c r="T32" s="572">
        <f ca="1">$D32 * S32</f>
        <v>0</v>
      </c>
      <c r="U32" s="571"/>
      <c r="V32" s="572">
        <f ca="1">$D32 * U32</f>
        <v>0</v>
      </c>
      <c r="W32" s="571"/>
      <c r="X32" s="572">
        <f ca="1">$D32 * W32</f>
        <v>0</v>
      </c>
      <c r="Y32" s="571"/>
      <c r="Z32" s="572">
        <f ca="1">$D32 * Y32</f>
        <v>0</v>
      </c>
      <c r="AA32" s="571"/>
      <c r="AB32" s="569">
        <f ca="1">$D32 * AA32</f>
        <v>0</v>
      </c>
      <c r="AC32" s="812">
        <f t="shared" si="0"/>
        <v>1</v>
      </c>
    </row>
    <row r="33" spans="2:29" ht="23.5" customHeight="1">
      <c r="B33" s="564">
        <f ca="1">'Plan Orçamentária'!O154</f>
        <v>9</v>
      </c>
      <c r="C33" s="566" t="str">
        <f>'Plan Orçamentária'!R154</f>
        <v>PAREDES E PAINEIS</v>
      </c>
      <c r="D33" s="567">
        <f ca="1">D34+D35+D36</f>
        <v>219132.59000000003</v>
      </c>
      <c r="E33" s="573">
        <f ca="1">F33/D33</f>
        <v>0</v>
      </c>
      <c r="F33" s="574">
        <f ca="1">F34+F35+F36</f>
        <v>0</v>
      </c>
      <c r="G33" s="575">
        <f ca="1">H33/D33</f>
        <v>0</v>
      </c>
      <c r="H33" s="576">
        <f ca="1">H34+H35+H36</f>
        <v>0</v>
      </c>
      <c r="I33" s="575">
        <f ca="1">J33/D33</f>
        <v>0</v>
      </c>
      <c r="J33" s="576">
        <f ca="1">J34+J35+J36</f>
        <v>0</v>
      </c>
      <c r="K33" s="575">
        <f ca="1">L33/D33</f>
        <v>0.38905443047061139</v>
      </c>
      <c r="L33" s="576">
        <f ca="1">L34+L35+L36</f>
        <v>85254.505000000005</v>
      </c>
      <c r="M33" s="575">
        <f ca="1">N33/D33</f>
        <v>0.38905443047061139</v>
      </c>
      <c r="N33" s="576">
        <f ca="1">N34+N35+N36</f>
        <v>85254.505000000005</v>
      </c>
      <c r="O33" s="575">
        <f ca="1">P33/D33</f>
        <v>0</v>
      </c>
      <c r="P33" s="576">
        <f ca="1">P34+P35+P36</f>
        <v>0</v>
      </c>
      <c r="Q33" s="575">
        <f ca="1">R33/D33</f>
        <v>0</v>
      </c>
      <c r="R33" s="574">
        <f ca="1">R34+R35+R36</f>
        <v>0</v>
      </c>
      <c r="S33" s="575">
        <f ca="1">T33/D33</f>
        <v>0.11094556952938857</v>
      </c>
      <c r="T33" s="576">
        <f ca="1">T34+T35+T36</f>
        <v>24311.79</v>
      </c>
      <c r="U33" s="575">
        <f ca="1">V33/D33</f>
        <v>0.11094556952938857</v>
      </c>
      <c r="V33" s="576">
        <f ca="1">V34+V35+V36</f>
        <v>24311.79</v>
      </c>
      <c r="W33" s="575">
        <f ca="1">X33/D33</f>
        <v>0</v>
      </c>
      <c r="X33" s="576">
        <f ca="1">X34+X35+X36</f>
        <v>0</v>
      </c>
      <c r="Y33" s="575">
        <f ca="1">Z33/D33</f>
        <v>0</v>
      </c>
      <c r="Z33" s="576">
        <f ca="1">Z34+Z35+Z36</f>
        <v>0</v>
      </c>
      <c r="AA33" s="575">
        <f ca="1">AB33/D33</f>
        <v>0</v>
      </c>
      <c r="AB33" s="577">
        <f ca="1">AB34+AB35+AB36</f>
        <v>0</v>
      </c>
      <c r="AC33" s="812">
        <f t="shared" ca="1" si="0"/>
        <v>1</v>
      </c>
    </row>
    <row r="34" spans="2:29" ht="23.5" customHeight="1">
      <c r="B34" s="564" t="str">
        <f ca="1">'Plan Orçamentária'!O155</f>
        <v>9.1</v>
      </c>
      <c r="C34" s="566" t="str">
        <f>'Plan Orçamentária'!R155</f>
        <v>ALVENARIA DE VEDAÇÃO</v>
      </c>
      <c r="D34" s="567">
        <f ca="1">'Plan Orçamentária'!Y155</f>
        <v>108765.87000000001</v>
      </c>
      <c r="E34" s="568"/>
      <c r="F34" s="570">
        <f ca="1">$D34 * E34</f>
        <v>0</v>
      </c>
      <c r="G34" s="571"/>
      <c r="H34" s="572">
        <f ca="1">$D34 * G34</f>
        <v>0</v>
      </c>
      <c r="I34" s="571"/>
      <c r="J34" s="572">
        <f ca="1">$D34 * I34</f>
        <v>0</v>
      </c>
      <c r="K34" s="571">
        <v>0.5</v>
      </c>
      <c r="L34" s="572">
        <f ca="1">$D34 * K34</f>
        <v>54382.935000000005</v>
      </c>
      <c r="M34" s="571">
        <v>0.5</v>
      </c>
      <c r="N34" s="572">
        <f ca="1">$D34 * M34</f>
        <v>54382.935000000005</v>
      </c>
      <c r="O34" s="571"/>
      <c r="P34" s="572">
        <f ca="1">$D34 * O34</f>
        <v>0</v>
      </c>
      <c r="Q34" s="571"/>
      <c r="R34" s="570">
        <f ca="1">$D34 * Q34</f>
        <v>0</v>
      </c>
      <c r="S34" s="571"/>
      <c r="T34" s="572">
        <f ca="1">$D34 * S34</f>
        <v>0</v>
      </c>
      <c r="U34" s="571"/>
      <c r="V34" s="572">
        <f ca="1">$D34 * U34</f>
        <v>0</v>
      </c>
      <c r="W34" s="571"/>
      <c r="X34" s="572">
        <f ca="1">$D34 * W34</f>
        <v>0</v>
      </c>
      <c r="Y34" s="571"/>
      <c r="Z34" s="572">
        <f ca="1">$D34 * Y34</f>
        <v>0</v>
      </c>
      <c r="AA34" s="571"/>
      <c r="AB34" s="569">
        <f ca="1">$D34 * AA34</f>
        <v>0</v>
      </c>
      <c r="AC34" s="812">
        <f t="shared" si="0"/>
        <v>1</v>
      </c>
    </row>
    <row r="35" spans="2:29" ht="23.5" customHeight="1">
      <c r="B35" s="564" t="str">
        <f ca="1">'Plan Orçamentária'!O160</f>
        <v>9.2</v>
      </c>
      <c r="C35" s="566" t="str">
        <f>'Plan Orçamentária'!R160</f>
        <v>DIVISÓRIAS EM GESSO</v>
      </c>
      <c r="D35" s="567">
        <f ca="1">'Plan Orçamentária'!Y160</f>
        <v>48623.58</v>
      </c>
      <c r="E35" s="568"/>
      <c r="F35" s="570">
        <f ca="1">$D35 * E35</f>
        <v>0</v>
      </c>
      <c r="G35" s="571"/>
      <c r="H35" s="572">
        <f ca="1">$D35 * G35</f>
        <v>0</v>
      </c>
      <c r="I35" s="571"/>
      <c r="J35" s="572">
        <f ca="1">$D35 * I35</f>
        <v>0</v>
      </c>
      <c r="K35" s="571"/>
      <c r="L35" s="572">
        <f ca="1">$D35 * K35</f>
        <v>0</v>
      </c>
      <c r="M35" s="571"/>
      <c r="N35" s="572">
        <f ca="1">$D35 * M35</f>
        <v>0</v>
      </c>
      <c r="O35" s="571"/>
      <c r="P35" s="572">
        <f ca="1">$D35 * O35</f>
        <v>0</v>
      </c>
      <c r="Q35" s="571"/>
      <c r="R35" s="570">
        <f ca="1">$D35 * Q35</f>
        <v>0</v>
      </c>
      <c r="S35" s="571">
        <v>0.5</v>
      </c>
      <c r="T35" s="572">
        <f ca="1">$D35 * S35</f>
        <v>24311.79</v>
      </c>
      <c r="U35" s="571">
        <v>0.5</v>
      </c>
      <c r="V35" s="572">
        <f ca="1">$D35 * U35</f>
        <v>24311.79</v>
      </c>
      <c r="W35" s="571"/>
      <c r="X35" s="572">
        <f ca="1">$D35 * W35</f>
        <v>0</v>
      </c>
      <c r="Y35" s="571"/>
      <c r="Z35" s="572">
        <f ca="1">$D35 * Y35</f>
        <v>0</v>
      </c>
      <c r="AA35" s="571"/>
      <c r="AB35" s="569">
        <f ca="1">$D35 * AA35</f>
        <v>0</v>
      </c>
      <c r="AC35" s="812">
        <f t="shared" si="0"/>
        <v>1</v>
      </c>
    </row>
    <row r="36" spans="2:29" ht="23.5" customHeight="1">
      <c r="B36" s="564" t="str">
        <f ca="1">'Plan Orçamentária'!O163</f>
        <v>9.3</v>
      </c>
      <c r="C36" s="566" t="str">
        <f>'Plan Orçamentária'!R163</f>
        <v>FECHAMENTOS DE DIVISA</v>
      </c>
      <c r="D36" s="567">
        <f ca="1">'Plan Orçamentária'!Y163</f>
        <v>61743.14</v>
      </c>
      <c r="E36" s="568"/>
      <c r="F36" s="570">
        <f ca="1">$D36 * E36</f>
        <v>0</v>
      </c>
      <c r="G36" s="571"/>
      <c r="H36" s="572">
        <f ca="1">$D36 * G36</f>
        <v>0</v>
      </c>
      <c r="I36" s="571"/>
      <c r="J36" s="572">
        <f ca="1">$D36 * I36</f>
        <v>0</v>
      </c>
      <c r="K36" s="571">
        <v>0.5</v>
      </c>
      <c r="L36" s="572">
        <f ca="1">$D36 * K36</f>
        <v>30871.57</v>
      </c>
      <c r="M36" s="571">
        <v>0.5</v>
      </c>
      <c r="N36" s="572">
        <f ca="1">$D36 * M36</f>
        <v>30871.57</v>
      </c>
      <c r="O36" s="571"/>
      <c r="P36" s="572">
        <f ca="1">$D36 * O36</f>
        <v>0</v>
      </c>
      <c r="Q36" s="571"/>
      <c r="R36" s="570">
        <f ca="1">$D36 * Q36</f>
        <v>0</v>
      </c>
      <c r="S36" s="571"/>
      <c r="T36" s="572">
        <f ca="1">$D36 * S36</f>
        <v>0</v>
      </c>
      <c r="U36" s="571"/>
      <c r="V36" s="572">
        <f ca="1">$D36 * U36</f>
        <v>0</v>
      </c>
      <c r="W36" s="571"/>
      <c r="X36" s="572">
        <f ca="1">$D36 * W36</f>
        <v>0</v>
      </c>
      <c r="Y36" s="571"/>
      <c r="Z36" s="572">
        <f ca="1">$D36 * Y36</f>
        <v>0</v>
      </c>
      <c r="AA36" s="571"/>
      <c r="AB36" s="569">
        <f ca="1">$D36 * AA36</f>
        <v>0</v>
      </c>
      <c r="AC36" s="812">
        <f t="shared" si="0"/>
        <v>1</v>
      </c>
    </row>
    <row r="37" spans="2:29" ht="23.5" customHeight="1">
      <c r="B37" s="564">
        <f ca="1">'Plan Orçamentária'!O166</f>
        <v>10</v>
      </c>
      <c r="C37" s="566" t="str">
        <f>'Plan Orçamentária'!R166</f>
        <v>ESQUADRIAS</v>
      </c>
      <c r="D37" s="567">
        <f ca="1">D38+D39+D40</f>
        <v>312066.77999999997</v>
      </c>
      <c r="E37" s="573">
        <f ca="1">F37/D37</f>
        <v>0</v>
      </c>
      <c r="F37" s="574">
        <f ca="1">F38+F39+F40</f>
        <v>0</v>
      </c>
      <c r="G37" s="575">
        <f ca="1">H37/D37</f>
        <v>0</v>
      </c>
      <c r="H37" s="576">
        <f ca="1">H38+H39+H40</f>
        <v>0</v>
      </c>
      <c r="I37" s="575">
        <f ca="1">J37/D37</f>
        <v>0</v>
      </c>
      <c r="J37" s="576">
        <f ca="1">J38+J39+J40</f>
        <v>0</v>
      </c>
      <c r="K37" s="575">
        <f ca="1">L37/D37</f>
        <v>0</v>
      </c>
      <c r="L37" s="576">
        <f ca="1">L38+L39+L40</f>
        <v>0</v>
      </c>
      <c r="M37" s="575">
        <f ca="1">N37/D37</f>
        <v>0</v>
      </c>
      <c r="N37" s="576">
        <f ca="1">N38+N39+N40</f>
        <v>0</v>
      </c>
      <c r="O37" s="575">
        <f ca="1">P37/D37</f>
        <v>0.15000000000000002</v>
      </c>
      <c r="P37" s="576">
        <f ca="1">P38+P39+P40</f>
        <v>46810.017</v>
      </c>
      <c r="Q37" s="575">
        <f ca="1">R37/D37</f>
        <v>0.15000000000000002</v>
      </c>
      <c r="R37" s="574">
        <f ca="1">R38+R39+R40</f>
        <v>46810.017</v>
      </c>
      <c r="S37" s="575">
        <f ca="1">T37/D37</f>
        <v>0.15000000000000002</v>
      </c>
      <c r="T37" s="576">
        <f ca="1">T38+T39+T40</f>
        <v>46810.017</v>
      </c>
      <c r="U37" s="575">
        <f ca="1">V37/D37</f>
        <v>0.15000000000000002</v>
      </c>
      <c r="V37" s="576">
        <f ca="1">V38+V39+V40</f>
        <v>46810.017</v>
      </c>
      <c r="W37" s="575">
        <f ca="1">X37/D37</f>
        <v>0.15000000000000002</v>
      </c>
      <c r="X37" s="576">
        <f ca="1">X38+X39+X40</f>
        <v>46810.017</v>
      </c>
      <c r="Y37" s="575">
        <f ca="1">Z37/D37</f>
        <v>0.15000000000000002</v>
      </c>
      <c r="Z37" s="576">
        <f ca="1">Z38+Z39+Z40</f>
        <v>46810.017</v>
      </c>
      <c r="AA37" s="575">
        <f ca="1">AB37/D37</f>
        <v>0.1</v>
      </c>
      <c r="AB37" s="577">
        <f ca="1">AB38+AB39+AB40</f>
        <v>31206.678</v>
      </c>
      <c r="AC37" s="812">
        <f t="shared" ca="1" si="0"/>
        <v>1.0000000000000002</v>
      </c>
    </row>
    <row r="38" spans="2:29" ht="23.5" customHeight="1">
      <c r="B38" s="564" t="str">
        <f ca="1">'Plan Orçamentária'!O167</f>
        <v>10.1</v>
      </c>
      <c r="C38" s="566" t="str">
        <f>'Plan Orçamentária'!R167</f>
        <v>PORTAS E PORTÕES</v>
      </c>
      <c r="D38" s="567">
        <f ca="1">'Plan Orçamentária'!Y167</f>
        <v>223578.75999999998</v>
      </c>
      <c r="E38" s="568"/>
      <c r="F38" s="570">
        <f ca="1">$D38 * E38</f>
        <v>0</v>
      </c>
      <c r="G38" s="571"/>
      <c r="H38" s="572">
        <f ca="1">$D38 * G38</f>
        <v>0</v>
      </c>
      <c r="I38" s="571"/>
      <c r="J38" s="572">
        <f ca="1">$D38 * I38</f>
        <v>0</v>
      </c>
      <c r="K38" s="571"/>
      <c r="L38" s="572">
        <f ca="1">$D38 * K38</f>
        <v>0</v>
      </c>
      <c r="M38" s="571"/>
      <c r="N38" s="572">
        <f ca="1">$D38 * M38</f>
        <v>0</v>
      </c>
      <c r="O38" s="571">
        <v>0.15</v>
      </c>
      <c r="P38" s="572">
        <f ca="1">$D38 * O38</f>
        <v>33536.813999999998</v>
      </c>
      <c r="Q38" s="571">
        <v>0.15</v>
      </c>
      <c r="R38" s="570">
        <f ca="1">$D38 * Q38</f>
        <v>33536.813999999998</v>
      </c>
      <c r="S38" s="571">
        <v>0.15</v>
      </c>
      <c r="T38" s="572">
        <f ca="1">$D38 * S38</f>
        <v>33536.813999999998</v>
      </c>
      <c r="U38" s="571">
        <v>0.15</v>
      </c>
      <c r="V38" s="572">
        <f ca="1">$D38 * U38</f>
        <v>33536.813999999998</v>
      </c>
      <c r="W38" s="571">
        <v>0.15</v>
      </c>
      <c r="X38" s="572">
        <f ca="1">$D38 * W38</f>
        <v>33536.813999999998</v>
      </c>
      <c r="Y38" s="571">
        <v>0.15</v>
      </c>
      <c r="Z38" s="572">
        <f ca="1">$D38 * Y38</f>
        <v>33536.813999999998</v>
      </c>
      <c r="AA38" s="571">
        <v>0.1</v>
      </c>
      <c r="AB38" s="569">
        <f ca="1">$D38 * AA38</f>
        <v>22357.876</v>
      </c>
      <c r="AC38" s="812">
        <f t="shared" si="0"/>
        <v>1</v>
      </c>
    </row>
    <row r="39" spans="2:29" ht="23.5" customHeight="1">
      <c r="B39" s="564" t="str">
        <f ca="1">'Plan Orçamentária'!O178</f>
        <v>10.2</v>
      </c>
      <c r="C39" s="566" t="str">
        <f>'Plan Orçamentária'!R178</f>
        <v>JANELAS</v>
      </c>
      <c r="D39" s="567">
        <f ca="1">'Plan Orçamentária'!Y178</f>
        <v>72725.73000000001</v>
      </c>
      <c r="E39" s="568"/>
      <c r="F39" s="570">
        <f ca="1">$D39 * E39</f>
        <v>0</v>
      </c>
      <c r="G39" s="571"/>
      <c r="H39" s="572">
        <f ca="1">$D39 * G39</f>
        <v>0</v>
      </c>
      <c r="I39" s="571"/>
      <c r="J39" s="572">
        <f ca="1">$D39 * I39</f>
        <v>0</v>
      </c>
      <c r="K39" s="571"/>
      <c r="L39" s="572">
        <f ca="1">$D39 * K39</f>
        <v>0</v>
      </c>
      <c r="M39" s="571"/>
      <c r="N39" s="572">
        <f ca="1">$D39 * M39</f>
        <v>0</v>
      </c>
      <c r="O39" s="571">
        <v>0.15</v>
      </c>
      <c r="P39" s="572">
        <f ca="1">$D39 * O39</f>
        <v>10908.8595</v>
      </c>
      <c r="Q39" s="571">
        <v>0.15</v>
      </c>
      <c r="R39" s="570">
        <f ca="1">$D39 * Q39</f>
        <v>10908.8595</v>
      </c>
      <c r="S39" s="571">
        <v>0.15</v>
      </c>
      <c r="T39" s="572">
        <f ca="1">$D39 * S39</f>
        <v>10908.8595</v>
      </c>
      <c r="U39" s="571">
        <v>0.15</v>
      </c>
      <c r="V39" s="572">
        <f ca="1">$D39 * U39</f>
        <v>10908.8595</v>
      </c>
      <c r="W39" s="571">
        <v>0.15</v>
      </c>
      <c r="X39" s="572">
        <f ca="1">$D39 * W39</f>
        <v>10908.8595</v>
      </c>
      <c r="Y39" s="571">
        <v>0.15</v>
      </c>
      <c r="Z39" s="572">
        <f ca="1">$D39 * Y39</f>
        <v>10908.8595</v>
      </c>
      <c r="AA39" s="571">
        <v>0.1</v>
      </c>
      <c r="AB39" s="569">
        <f ca="1">$D39 * AA39</f>
        <v>7272.5730000000012</v>
      </c>
      <c r="AC39" s="812">
        <f t="shared" si="0"/>
        <v>1</v>
      </c>
    </row>
    <row r="40" spans="2:29" ht="23.5" customHeight="1">
      <c r="B40" s="564" t="str">
        <f ca="1">'Plan Orçamentária'!O182</f>
        <v>10.3</v>
      </c>
      <c r="C40" s="566" t="str">
        <f>'Plan Orçamentária'!R182</f>
        <v>OUTROS ELEMENTOS</v>
      </c>
      <c r="D40" s="567">
        <f ca="1">'Plan Orçamentária'!Y182</f>
        <v>15762.29</v>
      </c>
      <c r="E40" s="568"/>
      <c r="F40" s="570">
        <f ca="1">$D40 * E40</f>
        <v>0</v>
      </c>
      <c r="G40" s="571"/>
      <c r="H40" s="572">
        <f ca="1">$D40 * G40</f>
        <v>0</v>
      </c>
      <c r="I40" s="571"/>
      <c r="J40" s="572">
        <f ca="1">$D40 * I40</f>
        <v>0</v>
      </c>
      <c r="K40" s="571"/>
      <c r="L40" s="572">
        <f ca="1">$D40 * K40</f>
        <v>0</v>
      </c>
      <c r="M40" s="571"/>
      <c r="N40" s="572">
        <f ca="1">$D40 * M40</f>
        <v>0</v>
      </c>
      <c r="O40" s="571">
        <v>0.15</v>
      </c>
      <c r="P40" s="572">
        <f ca="1">$D40 * O40</f>
        <v>2364.3434999999999</v>
      </c>
      <c r="Q40" s="571">
        <v>0.15</v>
      </c>
      <c r="R40" s="570">
        <f ca="1">$D40 * Q40</f>
        <v>2364.3434999999999</v>
      </c>
      <c r="S40" s="571">
        <v>0.15</v>
      </c>
      <c r="T40" s="572">
        <f ca="1">$D40 * S40</f>
        <v>2364.3434999999999</v>
      </c>
      <c r="U40" s="571">
        <v>0.15</v>
      </c>
      <c r="V40" s="572">
        <f ca="1">$D40 * U40</f>
        <v>2364.3434999999999</v>
      </c>
      <c r="W40" s="571">
        <v>0.15</v>
      </c>
      <c r="X40" s="572">
        <f ca="1">$D40 * W40</f>
        <v>2364.3434999999999</v>
      </c>
      <c r="Y40" s="571">
        <v>0.15</v>
      </c>
      <c r="Z40" s="572">
        <f ca="1">$D40 * Y40</f>
        <v>2364.3434999999999</v>
      </c>
      <c r="AA40" s="571">
        <v>0.1</v>
      </c>
      <c r="AB40" s="569">
        <f ca="1">$D40 * AA40</f>
        <v>1576.2290000000003</v>
      </c>
      <c r="AC40" s="812">
        <f t="shared" ref="AC40:AC71" si="13">E40+G40+I40+K40+M40+O40+Q40+S40+U40+W40+Y40+AA40</f>
        <v>1</v>
      </c>
    </row>
    <row r="41" spans="2:29" ht="23.5" customHeight="1">
      <c r="B41" s="564">
        <f ca="1">'Plan Orçamentária'!O188</f>
        <v>11</v>
      </c>
      <c r="C41" s="566" t="str">
        <f>'Plan Orçamentária'!R188</f>
        <v>REVESTIMENTOS DE PAREDES</v>
      </c>
      <c r="D41" s="567">
        <f ca="1">D42+D43</f>
        <v>108249.69</v>
      </c>
      <c r="E41" s="573">
        <f ca="1">F41/D41</f>
        <v>0</v>
      </c>
      <c r="F41" s="574">
        <f ca="1">F42+F43</f>
        <v>0</v>
      </c>
      <c r="G41" s="575">
        <f ca="1">H41/D41</f>
        <v>0</v>
      </c>
      <c r="H41" s="576">
        <f ca="1">H42+H43</f>
        <v>0</v>
      </c>
      <c r="I41" s="575">
        <f ca="1">J41/D41</f>
        <v>0</v>
      </c>
      <c r="J41" s="576">
        <f ca="1">J42+J43</f>
        <v>0</v>
      </c>
      <c r="K41" s="575">
        <f ca="1">L41/D41</f>
        <v>0</v>
      </c>
      <c r="L41" s="576">
        <f ca="1">L42+L43</f>
        <v>0</v>
      </c>
      <c r="M41" s="575">
        <f ca="1">N41/D41</f>
        <v>0</v>
      </c>
      <c r="N41" s="576">
        <f ca="1">N42+N43</f>
        <v>0</v>
      </c>
      <c r="O41" s="575">
        <f ca="1">P41/D41</f>
        <v>0.39684695632846612</v>
      </c>
      <c r="P41" s="576">
        <f ca="1">P42+P43</f>
        <v>42958.559999999998</v>
      </c>
      <c r="Q41" s="575">
        <f ca="1">R41/D41</f>
        <v>0.39684695632846612</v>
      </c>
      <c r="R41" s="574">
        <f ca="1">R42+R43</f>
        <v>42958.559999999998</v>
      </c>
      <c r="S41" s="575">
        <f ca="1">T41/D41</f>
        <v>0.10315304367153384</v>
      </c>
      <c r="T41" s="576">
        <f ca="1">T42+T43</f>
        <v>11166.285</v>
      </c>
      <c r="U41" s="575">
        <f ca="1">V41/D41</f>
        <v>0.10315304367153384</v>
      </c>
      <c r="V41" s="576">
        <f ca="1">V42+V43</f>
        <v>11166.285</v>
      </c>
      <c r="W41" s="575">
        <f ca="1">X41/D41</f>
        <v>0</v>
      </c>
      <c r="X41" s="576">
        <f ca="1">X42+X43</f>
        <v>0</v>
      </c>
      <c r="Y41" s="575">
        <f ca="1">Z41/D41</f>
        <v>0</v>
      </c>
      <c r="Z41" s="576">
        <f ca="1">Z42+Z43</f>
        <v>0</v>
      </c>
      <c r="AA41" s="575">
        <f ca="1">AB41/D41</f>
        <v>0</v>
      </c>
      <c r="AB41" s="577">
        <f ca="1">AB42+AB43</f>
        <v>0</v>
      </c>
      <c r="AC41" s="812">
        <f t="shared" ca="1" si="13"/>
        <v>1</v>
      </c>
    </row>
    <row r="42" spans="2:29" ht="23.5" customHeight="1">
      <c r="B42" s="564" t="str">
        <f ca="1">'Plan Orçamentária'!O189</f>
        <v>11.1</v>
      </c>
      <c r="C42" s="566" t="str">
        <f>'Plan Orçamentária'!R189</f>
        <v>REVESTIMENTOS ARGAMASSADOS</v>
      </c>
      <c r="D42" s="567">
        <f ca="1">'Plan Orçamentária'!Y189</f>
        <v>85917.119999999995</v>
      </c>
      <c r="E42" s="568"/>
      <c r="F42" s="570">
        <f ca="1">$D42 * E42</f>
        <v>0</v>
      </c>
      <c r="G42" s="571"/>
      <c r="H42" s="572">
        <f ca="1">$D42 * G42</f>
        <v>0</v>
      </c>
      <c r="I42" s="571"/>
      <c r="J42" s="572">
        <f ca="1">$D42 * I42</f>
        <v>0</v>
      </c>
      <c r="K42" s="571"/>
      <c r="L42" s="572">
        <f ca="1">$D42 * K42</f>
        <v>0</v>
      </c>
      <c r="M42" s="571"/>
      <c r="N42" s="572">
        <f ca="1">$D42 * M42</f>
        <v>0</v>
      </c>
      <c r="O42" s="571">
        <v>0.5</v>
      </c>
      <c r="P42" s="572">
        <f ca="1">$D42 * O42</f>
        <v>42958.559999999998</v>
      </c>
      <c r="Q42" s="571">
        <v>0.5</v>
      </c>
      <c r="R42" s="570">
        <f ca="1">$D42 * Q42</f>
        <v>42958.559999999998</v>
      </c>
      <c r="S42" s="571"/>
      <c r="T42" s="572">
        <f ca="1">$D42 * S42</f>
        <v>0</v>
      </c>
      <c r="U42" s="571"/>
      <c r="V42" s="572">
        <f ca="1">$D42 * U42</f>
        <v>0</v>
      </c>
      <c r="W42" s="571"/>
      <c r="X42" s="572">
        <f ca="1">$D42 * W42</f>
        <v>0</v>
      </c>
      <c r="Y42" s="571"/>
      <c r="Z42" s="572">
        <f ca="1">$D42 * Y42</f>
        <v>0</v>
      </c>
      <c r="AA42" s="571"/>
      <c r="AB42" s="569">
        <f ca="1">$D42 * AA42</f>
        <v>0</v>
      </c>
      <c r="AC42" s="812">
        <f t="shared" si="13"/>
        <v>1</v>
      </c>
    </row>
    <row r="43" spans="2:29" ht="23.5" customHeight="1">
      <c r="B43" s="564" t="str">
        <f ca="1">'Plan Orçamentária'!O194</f>
        <v>11.2</v>
      </c>
      <c r="C43" s="566" t="str">
        <f>'Plan Orçamentária'!R194</f>
        <v>REVESTIMENTOS CERÂMICOS</v>
      </c>
      <c r="D43" s="567">
        <f ca="1">'Plan Orçamentária'!Y194</f>
        <v>22332.57</v>
      </c>
      <c r="E43" s="568"/>
      <c r="F43" s="570">
        <f ca="1">$D43 * E43</f>
        <v>0</v>
      </c>
      <c r="G43" s="571"/>
      <c r="H43" s="572">
        <f ca="1">$D43 * G43</f>
        <v>0</v>
      </c>
      <c r="I43" s="571"/>
      <c r="J43" s="572">
        <f ca="1">$D43 * I43</f>
        <v>0</v>
      </c>
      <c r="K43" s="571"/>
      <c r="L43" s="572">
        <f ca="1">$D43 * K43</f>
        <v>0</v>
      </c>
      <c r="M43" s="571"/>
      <c r="N43" s="572">
        <f ca="1">$D43 * M43</f>
        <v>0</v>
      </c>
      <c r="O43" s="571"/>
      <c r="P43" s="572">
        <f ca="1">$D43 * O43</f>
        <v>0</v>
      </c>
      <c r="Q43" s="571"/>
      <c r="R43" s="570">
        <f ca="1">$D43 * Q43</f>
        <v>0</v>
      </c>
      <c r="S43" s="571">
        <v>0.5</v>
      </c>
      <c r="T43" s="572">
        <f ca="1">$D43 * S43</f>
        <v>11166.285</v>
      </c>
      <c r="U43" s="571">
        <v>0.5</v>
      </c>
      <c r="V43" s="572">
        <f ca="1">$D43 * U43</f>
        <v>11166.285</v>
      </c>
      <c r="W43" s="571"/>
      <c r="X43" s="572">
        <f ca="1">$D43 * W43</f>
        <v>0</v>
      </c>
      <c r="Y43" s="571"/>
      <c r="Z43" s="572">
        <f ca="1">$D43 * Y43</f>
        <v>0</v>
      </c>
      <c r="AA43" s="571"/>
      <c r="AB43" s="569">
        <f ca="1">$D43 * AA43</f>
        <v>0</v>
      </c>
      <c r="AC43" s="812">
        <f t="shared" si="13"/>
        <v>1</v>
      </c>
    </row>
    <row r="44" spans="2:29" ht="23.5" customHeight="1">
      <c r="B44" s="564">
        <f ca="1">'Plan Orçamentária'!O199</f>
        <v>12</v>
      </c>
      <c r="C44" s="566" t="str">
        <f>'Plan Orçamentária'!R199</f>
        <v>REVESTIMENTOS DE TETO</v>
      </c>
      <c r="D44" s="567">
        <f ca="1">D45+D46</f>
        <v>84633.75</v>
      </c>
      <c r="E44" s="573">
        <f ca="1">F44/D44</f>
        <v>0</v>
      </c>
      <c r="F44" s="574">
        <f ca="1">F45+F46</f>
        <v>0</v>
      </c>
      <c r="G44" s="575">
        <f ca="1">H44/D44</f>
        <v>0</v>
      </c>
      <c r="H44" s="576">
        <f ca="1">H45+H46</f>
        <v>0</v>
      </c>
      <c r="I44" s="575">
        <f ca="1">J44/D44</f>
        <v>0</v>
      </c>
      <c r="J44" s="576">
        <f ca="1">J45+J46</f>
        <v>0</v>
      </c>
      <c r="K44" s="575">
        <f ca="1">L44/D44</f>
        <v>0</v>
      </c>
      <c r="L44" s="576">
        <f ca="1">L45+L46</f>
        <v>0</v>
      </c>
      <c r="M44" s="575">
        <f ca="1">N44/D44</f>
        <v>0</v>
      </c>
      <c r="N44" s="576">
        <f ca="1">N45+N46</f>
        <v>0</v>
      </c>
      <c r="O44" s="575">
        <f ca="1">P44/D44</f>
        <v>7.9322846972986541E-2</v>
      </c>
      <c r="P44" s="576">
        <f ca="1">P45+P46</f>
        <v>6713.3899999999994</v>
      </c>
      <c r="Q44" s="575">
        <f ca="1">R44/D44</f>
        <v>7.9322846972986541E-2</v>
      </c>
      <c r="R44" s="574">
        <f ca="1">R45+R46</f>
        <v>6713.3899999999994</v>
      </c>
      <c r="S44" s="575">
        <f ca="1">T44/D44</f>
        <v>0.42067715302701347</v>
      </c>
      <c r="T44" s="576">
        <f ca="1">T45+T46</f>
        <v>35603.485000000001</v>
      </c>
      <c r="U44" s="575">
        <f ca="1">V44/D44</f>
        <v>0.42067715302701347</v>
      </c>
      <c r="V44" s="576">
        <f ca="1">V45+V46</f>
        <v>35603.485000000001</v>
      </c>
      <c r="W44" s="575">
        <f ca="1">X44/D44</f>
        <v>0</v>
      </c>
      <c r="X44" s="576">
        <f ca="1">X45+X46</f>
        <v>0</v>
      </c>
      <c r="Y44" s="575">
        <f ca="1">Z44/D44</f>
        <v>0</v>
      </c>
      <c r="Z44" s="576">
        <f ca="1">Z45+Z46</f>
        <v>0</v>
      </c>
      <c r="AA44" s="575">
        <f ca="1">AB44/D44</f>
        <v>0</v>
      </c>
      <c r="AB44" s="577">
        <f ca="1">AB45+AB46</f>
        <v>0</v>
      </c>
      <c r="AC44" s="812">
        <f t="shared" ca="1" si="13"/>
        <v>1</v>
      </c>
    </row>
    <row r="45" spans="2:29" ht="23.5" customHeight="1">
      <c r="B45" s="564" t="str">
        <f ca="1">'Plan Orçamentária'!O200</f>
        <v>12.1</v>
      </c>
      <c r="C45" s="566" t="str">
        <f>'Plan Orçamentária'!R200</f>
        <v>REVESTIMENTOS ARGAMASSADOS</v>
      </c>
      <c r="D45" s="567">
        <f ca="1">'Plan Orçamentária'!Y200</f>
        <v>13426.779999999999</v>
      </c>
      <c r="E45" s="568"/>
      <c r="F45" s="570">
        <f ca="1">$D45 * E45</f>
        <v>0</v>
      </c>
      <c r="G45" s="571"/>
      <c r="H45" s="572">
        <f ca="1">$D45 * G45</f>
        <v>0</v>
      </c>
      <c r="I45" s="571"/>
      <c r="J45" s="572">
        <f ca="1">$D45 * I45</f>
        <v>0</v>
      </c>
      <c r="K45" s="571"/>
      <c r="L45" s="572">
        <f ca="1">$D45 * K45</f>
        <v>0</v>
      </c>
      <c r="M45" s="571"/>
      <c r="N45" s="572">
        <f ca="1">$D45 * M45</f>
        <v>0</v>
      </c>
      <c r="O45" s="571">
        <v>0.5</v>
      </c>
      <c r="P45" s="572">
        <f ca="1">$D45 * O45</f>
        <v>6713.3899999999994</v>
      </c>
      <c r="Q45" s="571">
        <v>0.5</v>
      </c>
      <c r="R45" s="570">
        <f ca="1">$D45 * Q45</f>
        <v>6713.3899999999994</v>
      </c>
      <c r="S45" s="571"/>
      <c r="T45" s="572">
        <f ca="1">$D45 * S45</f>
        <v>0</v>
      </c>
      <c r="U45" s="571"/>
      <c r="V45" s="572">
        <f ca="1">$D45 * U45</f>
        <v>0</v>
      </c>
      <c r="W45" s="571"/>
      <c r="X45" s="572">
        <f ca="1">$D45 * W45</f>
        <v>0</v>
      </c>
      <c r="Y45" s="571"/>
      <c r="Z45" s="572">
        <f ca="1">$D45 * Y45</f>
        <v>0</v>
      </c>
      <c r="AA45" s="571"/>
      <c r="AB45" s="569">
        <f ca="1">$D45 * AA45</f>
        <v>0</v>
      </c>
      <c r="AC45" s="812">
        <f t="shared" si="13"/>
        <v>1</v>
      </c>
    </row>
    <row r="46" spans="2:29" ht="23.5" customHeight="1">
      <c r="B46" s="564" t="str">
        <f ca="1">'Plan Orçamentária'!O205</f>
        <v>12.2</v>
      </c>
      <c r="C46" s="566" t="str">
        <f>'Plan Orçamentária'!R205</f>
        <v>ACABAMENTOS</v>
      </c>
      <c r="D46" s="567">
        <f ca="1">'Plan Orçamentária'!Y205</f>
        <v>71206.97</v>
      </c>
      <c r="E46" s="568"/>
      <c r="F46" s="570">
        <f ca="1">$D46 * E46</f>
        <v>0</v>
      </c>
      <c r="G46" s="571"/>
      <c r="H46" s="572">
        <f ca="1">$D46 * G46</f>
        <v>0</v>
      </c>
      <c r="I46" s="571"/>
      <c r="J46" s="572">
        <f ca="1">$D46 * I46</f>
        <v>0</v>
      </c>
      <c r="K46" s="571"/>
      <c r="L46" s="572">
        <f ca="1">$D46 * K46</f>
        <v>0</v>
      </c>
      <c r="M46" s="571"/>
      <c r="N46" s="572">
        <f ca="1">$D46 * M46</f>
        <v>0</v>
      </c>
      <c r="O46" s="571"/>
      <c r="P46" s="572">
        <f ca="1">$D46 * O46</f>
        <v>0</v>
      </c>
      <c r="Q46" s="571"/>
      <c r="R46" s="570">
        <f ca="1">$D46 * Q46</f>
        <v>0</v>
      </c>
      <c r="S46" s="571">
        <v>0.5</v>
      </c>
      <c r="T46" s="572">
        <f ca="1">$D46 * S46</f>
        <v>35603.485000000001</v>
      </c>
      <c r="U46" s="571">
        <v>0.5</v>
      </c>
      <c r="V46" s="572">
        <f ca="1">$D46 * U46</f>
        <v>35603.485000000001</v>
      </c>
      <c r="W46" s="571"/>
      <c r="X46" s="572">
        <f ca="1">$D46 * W46</f>
        <v>0</v>
      </c>
      <c r="Y46" s="571"/>
      <c r="Z46" s="572">
        <f ca="1">$D46 * Y46</f>
        <v>0</v>
      </c>
      <c r="AA46" s="571"/>
      <c r="AB46" s="569">
        <f ca="1">$D46 * AA46</f>
        <v>0</v>
      </c>
      <c r="AC46" s="812">
        <f t="shared" si="13"/>
        <v>1</v>
      </c>
    </row>
    <row r="47" spans="2:29" ht="23.5" customHeight="1">
      <c r="B47" s="564">
        <f ca="1">'Plan Orçamentária'!O208</f>
        <v>13</v>
      </c>
      <c r="C47" s="566" t="str">
        <f>'Plan Orçamentária'!R208</f>
        <v xml:space="preserve">PISOS </v>
      </c>
      <c r="D47" s="567">
        <f ca="1">D48+D49+D50+D51+D52+D53</f>
        <v>360705.42</v>
      </c>
      <c r="E47" s="573">
        <f ca="1">F47/D47</f>
        <v>1.1502072799460568E-2</v>
      </c>
      <c r="F47" s="574">
        <f ca="1">F48+F49+F50+F51+F52+F53</f>
        <v>4148.8599999999997</v>
      </c>
      <c r="G47" s="575">
        <f ca="1">H47/D47</f>
        <v>0</v>
      </c>
      <c r="H47" s="576">
        <f ca="1">H48+H49+H50+H51+H52+H53</f>
        <v>0</v>
      </c>
      <c r="I47" s="575">
        <f ca="1">J47/D47</f>
        <v>0</v>
      </c>
      <c r="J47" s="576">
        <f ca="1">J48+J49+J50+J51+J52+J53</f>
        <v>0</v>
      </c>
      <c r="K47" s="575">
        <f ca="1">L47/D47</f>
        <v>0</v>
      </c>
      <c r="L47" s="576">
        <f ca="1">L48+L49+L50+L51+L52+L53</f>
        <v>0</v>
      </c>
      <c r="M47" s="575">
        <f ca="1">N47/D47</f>
        <v>0</v>
      </c>
      <c r="N47" s="576">
        <f ca="1">N48+N49+N50+N51+N52+N53</f>
        <v>0</v>
      </c>
      <c r="O47" s="575">
        <f ca="1">P47/D47</f>
        <v>0</v>
      </c>
      <c r="P47" s="576">
        <f ca="1">P48+P49+P50+P51+P52+P53</f>
        <v>0</v>
      </c>
      <c r="Q47" s="575">
        <f ca="1">R47/D47</f>
        <v>6.4878065874363636E-2</v>
      </c>
      <c r="R47" s="574">
        <f ca="1">R48+R49+R50+R51+R52+R53</f>
        <v>23401.87</v>
      </c>
      <c r="S47" s="575">
        <f ca="1">T47/D47</f>
        <v>0.11652857891628024</v>
      </c>
      <c r="T47" s="576">
        <f ca="1">T48+T49+T50+T51+T52+T53</f>
        <v>42032.490000000005</v>
      </c>
      <c r="U47" s="575">
        <f ca="1">V47/D47</f>
        <v>0.46180993066308795</v>
      </c>
      <c r="V47" s="576">
        <f ca="1">V48+V49+V50+V51+V52+V53</f>
        <v>166577.345</v>
      </c>
      <c r="W47" s="575">
        <f ca="1">X47/D47</f>
        <v>0.34528135174680769</v>
      </c>
      <c r="X47" s="576">
        <f ca="1">X48+X49+X50+X51+X52+X53</f>
        <v>124544.855</v>
      </c>
      <c r="Y47" s="575">
        <f ca="1">Z47/D47</f>
        <v>0</v>
      </c>
      <c r="Z47" s="576">
        <f ca="1">Z48+Z49+Z50+Z51+Z52+Z53</f>
        <v>0</v>
      </c>
      <c r="AA47" s="575">
        <f ca="1">AB47/D47</f>
        <v>0</v>
      </c>
      <c r="AB47" s="577">
        <f ca="1">AB48+AB49+AB50+AB51+AB52+AB53</f>
        <v>0</v>
      </c>
      <c r="AC47" s="812">
        <f t="shared" ca="1" si="13"/>
        <v>1</v>
      </c>
    </row>
    <row r="48" spans="2:29" ht="23.5" customHeight="1">
      <c r="B48" s="564" t="str">
        <f ca="1">'Plan Orçamentária'!O209</f>
        <v>13.1</v>
      </c>
      <c r="C48" s="566" t="str">
        <f>'Plan Orçamentária'!R209</f>
        <v>PROTEÇÃO PISO EXISTENTE</v>
      </c>
      <c r="D48" s="567">
        <f ca="1">'Plan Orçamentária'!Y209</f>
        <v>8297.7199999999993</v>
      </c>
      <c r="E48" s="568">
        <v>0.5</v>
      </c>
      <c r="F48" s="570">
        <f t="shared" ref="F48:F53" ca="1" si="14">$D48 * E48</f>
        <v>4148.8599999999997</v>
      </c>
      <c r="G48" s="571"/>
      <c r="H48" s="572">
        <f t="shared" ref="H48:H53" ca="1" si="15">$D48 * G48</f>
        <v>0</v>
      </c>
      <c r="I48" s="571"/>
      <c r="J48" s="572">
        <f t="shared" ref="J48:J53" ca="1" si="16">$D48 * I48</f>
        <v>0</v>
      </c>
      <c r="K48" s="571"/>
      <c r="L48" s="572">
        <f t="shared" ref="L48:L53" ca="1" si="17">$D48 * K48</f>
        <v>0</v>
      </c>
      <c r="M48" s="571"/>
      <c r="N48" s="572">
        <f t="shared" ref="N48:N53" ca="1" si="18">$D48 * M48</f>
        <v>0</v>
      </c>
      <c r="O48" s="571"/>
      <c r="P48" s="572">
        <f t="shared" ref="P48:P53" ca="1" si="19">$D48 * O48</f>
        <v>0</v>
      </c>
      <c r="Q48" s="571">
        <v>0.5</v>
      </c>
      <c r="R48" s="570">
        <f t="shared" ref="R48:R53" ca="1" si="20">$D48 * Q48</f>
        <v>4148.8599999999997</v>
      </c>
      <c r="S48" s="571"/>
      <c r="T48" s="572">
        <f t="shared" ref="T48:T53" ca="1" si="21">$D48 * S48</f>
        <v>0</v>
      </c>
      <c r="U48" s="571"/>
      <c r="V48" s="572">
        <f t="shared" ref="V48:V53" ca="1" si="22">$D48 * U48</f>
        <v>0</v>
      </c>
      <c r="W48" s="571"/>
      <c r="X48" s="572">
        <f t="shared" ref="X48:X53" ca="1" si="23">$D48 * W48</f>
        <v>0</v>
      </c>
      <c r="Y48" s="571"/>
      <c r="Z48" s="572">
        <f t="shared" ref="Z48:Z53" ca="1" si="24">$D48 * Y48</f>
        <v>0</v>
      </c>
      <c r="AA48" s="571"/>
      <c r="AB48" s="569">
        <f t="shared" ref="AB48:AB53" ca="1" si="25">$D48 * AA48</f>
        <v>0</v>
      </c>
      <c r="AC48" s="812">
        <f t="shared" si="13"/>
        <v>1</v>
      </c>
    </row>
    <row r="49" spans="2:29" ht="23.5" customHeight="1">
      <c r="B49" s="564" t="str">
        <f ca="1">'Plan Orçamentária'!O212</f>
        <v>13.2</v>
      </c>
      <c r="C49" s="566" t="str">
        <f>'Plan Orçamentária'!R212</f>
        <v>LASTRO E BASE</v>
      </c>
      <c r="D49" s="567">
        <f ca="1">'Plan Orçamentária'!Y212</f>
        <v>19253.009999999998</v>
      </c>
      <c r="E49" s="568"/>
      <c r="F49" s="570">
        <f t="shared" ca="1" si="14"/>
        <v>0</v>
      </c>
      <c r="G49" s="571"/>
      <c r="H49" s="572">
        <f t="shared" ca="1" si="15"/>
        <v>0</v>
      </c>
      <c r="I49" s="571"/>
      <c r="J49" s="572">
        <f t="shared" ca="1" si="16"/>
        <v>0</v>
      </c>
      <c r="K49" s="571"/>
      <c r="L49" s="572">
        <f t="shared" ca="1" si="17"/>
        <v>0</v>
      </c>
      <c r="M49" s="571"/>
      <c r="N49" s="572">
        <f t="shared" ca="1" si="18"/>
        <v>0</v>
      </c>
      <c r="O49" s="571"/>
      <c r="P49" s="572">
        <f t="shared" ca="1" si="19"/>
        <v>0</v>
      </c>
      <c r="Q49" s="571">
        <v>1</v>
      </c>
      <c r="R49" s="570">
        <f t="shared" ca="1" si="20"/>
        <v>19253.009999999998</v>
      </c>
      <c r="S49" s="571"/>
      <c r="T49" s="572">
        <f t="shared" ca="1" si="21"/>
        <v>0</v>
      </c>
      <c r="U49" s="571"/>
      <c r="V49" s="572">
        <f t="shared" ca="1" si="22"/>
        <v>0</v>
      </c>
      <c r="W49" s="571"/>
      <c r="X49" s="572">
        <f t="shared" ca="1" si="23"/>
        <v>0</v>
      </c>
      <c r="Y49" s="571"/>
      <c r="Z49" s="572">
        <f t="shared" ca="1" si="24"/>
        <v>0</v>
      </c>
      <c r="AA49" s="571"/>
      <c r="AB49" s="569">
        <f t="shared" ca="1" si="25"/>
        <v>0</v>
      </c>
      <c r="AC49" s="812">
        <f t="shared" si="13"/>
        <v>1</v>
      </c>
    </row>
    <row r="50" spans="2:29" ht="23.5" customHeight="1">
      <c r="B50" s="564" t="str">
        <f ca="1">'Plan Orçamentária'!O218</f>
        <v>13.3</v>
      </c>
      <c r="C50" s="566" t="str">
        <f>'Plan Orçamentária'!R218</f>
        <v>ACABAMENTOS</v>
      </c>
      <c r="D50" s="567">
        <f ca="1">'Plan Orçamentária'!Y218</f>
        <v>73743.520000000004</v>
      </c>
      <c r="E50" s="568"/>
      <c r="F50" s="570">
        <f t="shared" ca="1" si="14"/>
        <v>0</v>
      </c>
      <c r="G50" s="571"/>
      <c r="H50" s="572">
        <f t="shared" ca="1" si="15"/>
        <v>0</v>
      </c>
      <c r="I50" s="571"/>
      <c r="J50" s="572">
        <f t="shared" ca="1" si="16"/>
        <v>0</v>
      </c>
      <c r="K50" s="571"/>
      <c r="L50" s="572">
        <f t="shared" ca="1" si="17"/>
        <v>0</v>
      </c>
      <c r="M50" s="571"/>
      <c r="N50" s="572">
        <f t="shared" ca="1" si="18"/>
        <v>0</v>
      </c>
      <c r="O50" s="571"/>
      <c r="P50" s="572">
        <f t="shared" ca="1" si="19"/>
        <v>0</v>
      </c>
      <c r="Q50" s="571"/>
      <c r="R50" s="570">
        <f t="shared" ca="1" si="20"/>
        <v>0</v>
      </c>
      <c r="S50" s="571">
        <v>0.5</v>
      </c>
      <c r="T50" s="572">
        <f t="shared" ca="1" si="21"/>
        <v>36871.760000000002</v>
      </c>
      <c r="U50" s="571">
        <v>0.5</v>
      </c>
      <c r="V50" s="572">
        <f t="shared" ca="1" si="22"/>
        <v>36871.760000000002</v>
      </c>
      <c r="W50" s="571"/>
      <c r="X50" s="572">
        <f t="shared" ca="1" si="23"/>
        <v>0</v>
      </c>
      <c r="Y50" s="571"/>
      <c r="Z50" s="572">
        <f t="shared" ca="1" si="24"/>
        <v>0</v>
      </c>
      <c r="AA50" s="571"/>
      <c r="AB50" s="569">
        <f t="shared" ca="1" si="25"/>
        <v>0</v>
      </c>
      <c r="AC50" s="812">
        <f t="shared" si="13"/>
        <v>1</v>
      </c>
    </row>
    <row r="51" spans="2:29" ht="23.5" customHeight="1">
      <c r="B51" s="564" t="str">
        <f ca="1">'Plan Orçamentária'!O223</f>
        <v>13.4</v>
      </c>
      <c r="C51" s="566" t="str">
        <f>'Plan Orçamentária'!R223</f>
        <v>RODAPÉ</v>
      </c>
      <c r="D51" s="567">
        <f ca="1">'Plan Orçamentária'!Y223</f>
        <v>10321.459999999999</v>
      </c>
      <c r="E51" s="568"/>
      <c r="F51" s="570">
        <f t="shared" ca="1" si="14"/>
        <v>0</v>
      </c>
      <c r="G51" s="571"/>
      <c r="H51" s="572">
        <f t="shared" ca="1" si="15"/>
        <v>0</v>
      </c>
      <c r="I51" s="571"/>
      <c r="J51" s="572">
        <f t="shared" ca="1" si="16"/>
        <v>0</v>
      </c>
      <c r="K51" s="571"/>
      <c r="L51" s="572">
        <f t="shared" ca="1" si="17"/>
        <v>0</v>
      </c>
      <c r="M51" s="571"/>
      <c r="N51" s="572">
        <f t="shared" ca="1" si="18"/>
        <v>0</v>
      </c>
      <c r="O51" s="571"/>
      <c r="P51" s="572">
        <f t="shared" ca="1" si="19"/>
        <v>0</v>
      </c>
      <c r="Q51" s="571"/>
      <c r="R51" s="570">
        <f t="shared" ca="1" si="20"/>
        <v>0</v>
      </c>
      <c r="S51" s="571">
        <v>0.5</v>
      </c>
      <c r="T51" s="572">
        <f t="shared" ca="1" si="21"/>
        <v>5160.7299999999996</v>
      </c>
      <c r="U51" s="571">
        <v>0.5</v>
      </c>
      <c r="V51" s="572">
        <f t="shared" ca="1" si="22"/>
        <v>5160.7299999999996</v>
      </c>
      <c r="W51" s="571"/>
      <c r="X51" s="572">
        <f t="shared" ca="1" si="23"/>
        <v>0</v>
      </c>
      <c r="Y51" s="571"/>
      <c r="Z51" s="572">
        <f t="shared" ca="1" si="24"/>
        <v>0</v>
      </c>
      <c r="AA51" s="571"/>
      <c r="AB51" s="569">
        <f t="shared" ca="1" si="25"/>
        <v>0</v>
      </c>
      <c r="AC51" s="812">
        <f t="shared" si="13"/>
        <v>1</v>
      </c>
    </row>
    <row r="52" spans="2:29" ht="23.5" customHeight="1">
      <c r="B52" s="564" t="str">
        <f ca="1">'Plan Orçamentária'!O227</f>
        <v>13.5</v>
      </c>
      <c r="C52" s="566" t="str">
        <f>'Plan Orçamentária'!R227</f>
        <v>PISOS EM CONCRETO</v>
      </c>
      <c r="D52" s="567">
        <f ca="1">'Plan Orçamentária'!Y227</f>
        <v>212080.84</v>
      </c>
      <c r="E52" s="568"/>
      <c r="F52" s="570">
        <f t="shared" ca="1" si="14"/>
        <v>0</v>
      </c>
      <c r="G52" s="571"/>
      <c r="H52" s="572">
        <f t="shared" ca="1" si="15"/>
        <v>0</v>
      </c>
      <c r="I52" s="571"/>
      <c r="J52" s="572">
        <f t="shared" ca="1" si="16"/>
        <v>0</v>
      </c>
      <c r="K52" s="571"/>
      <c r="L52" s="572">
        <f t="shared" ca="1" si="17"/>
        <v>0</v>
      </c>
      <c r="M52" s="571"/>
      <c r="N52" s="572">
        <f t="shared" ca="1" si="18"/>
        <v>0</v>
      </c>
      <c r="O52" s="571"/>
      <c r="P52" s="572">
        <f t="shared" ca="1" si="19"/>
        <v>0</v>
      </c>
      <c r="Q52" s="571"/>
      <c r="R52" s="570">
        <f t="shared" ca="1" si="20"/>
        <v>0</v>
      </c>
      <c r="S52" s="571"/>
      <c r="T52" s="572">
        <f t="shared" ca="1" si="21"/>
        <v>0</v>
      </c>
      <c r="U52" s="571">
        <v>0.5</v>
      </c>
      <c r="V52" s="572">
        <f t="shared" ca="1" si="22"/>
        <v>106040.42</v>
      </c>
      <c r="W52" s="571">
        <v>0.5</v>
      </c>
      <c r="X52" s="572">
        <f t="shared" ca="1" si="23"/>
        <v>106040.42</v>
      </c>
      <c r="Y52" s="571"/>
      <c r="Z52" s="572">
        <f t="shared" ca="1" si="24"/>
        <v>0</v>
      </c>
      <c r="AA52" s="571"/>
      <c r="AB52" s="569">
        <f t="shared" ca="1" si="25"/>
        <v>0</v>
      </c>
      <c r="AC52" s="812">
        <f t="shared" si="13"/>
        <v>1</v>
      </c>
    </row>
    <row r="53" spans="2:29" ht="23.5" customHeight="1">
      <c r="B53" s="564" t="str">
        <f ca="1">'Plan Orçamentária'!O232</f>
        <v>13.6</v>
      </c>
      <c r="C53" s="566" t="str">
        <f>'Plan Orçamentária'!R232</f>
        <v>TRATAMENTO PISO EXISTENTE DEPÓSITOS</v>
      </c>
      <c r="D53" s="567">
        <f ca="1">'Plan Orçamentária'!Y232</f>
        <v>37008.869999999995</v>
      </c>
      <c r="E53" s="568"/>
      <c r="F53" s="570">
        <f t="shared" ca="1" si="14"/>
        <v>0</v>
      </c>
      <c r="G53" s="571"/>
      <c r="H53" s="572">
        <f t="shared" ca="1" si="15"/>
        <v>0</v>
      </c>
      <c r="I53" s="571"/>
      <c r="J53" s="572">
        <f t="shared" ca="1" si="16"/>
        <v>0</v>
      </c>
      <c r="K53" s="571"/>
      <c r="L53" s="572">
        <f t="shared" ca="1" si="17"/>
        <v>0</v>
      </c>
      <c r="M53" s="571"/>
      <c r="N53" s="572">
        <f t="shared" ca="1" si="18"/>
        <v>0</v>
      </c>
      <c r="O53" s="571"/>
      <c r="P53" s="572">
        <f t="shared" ca="1" si="19"/>
        <v>0</v>
      </c>
      <c r="Q53" s="571"/>
      <c r="R53" s="570">
        <f t="shared" ca="1" si="20"/>
        <v>0</v>
      </c>
      <c r="S53" s="571"/>
      <c r="T53" s="572">
        <f t="shared" ca="1" si="21"/>
        <v>0</v>
      </c>
      <c r="U53" s="571">
        <v>0.5</v>
      </c>
      <c r="V53" s="572">
        <f t="shared" ca="1" si="22"/>
        <v>18504.434999999998</v>
      </c>
      <c r="W53" s="571">
        <v>0.5</v>
      </c>
      <c r="X53" s="572">
        <f t="shared" ca="1" si="23"/>
        <v>18504.434999999998</v>
      </c>
      <c r="Y53" s="571"/>
      <c r="Z53" s="572">
        <f t="shared" ca="1" si="24"/>
        <v>0</v>
      </c>
      <c r="AA53" s="571"/>
      <c r="AB53" s="569">
        <f t="shared" ca="1" si="25"/>
        <v>0</v>
      </c>
      <c r="AC53" s="812">
        <f t="shared" si="13"/>
        <v>1</v>
      </c>
    </row>
    <row r="54" spans="2:29" ht="23.5" customHeight="1">
      <c r="B54" s="564">
        <f ca="1">'Plan Orçamentária'!O236</f>
        <v>14</v>
      </c>
      <c r="C54" s="566" t="str">
        <f>'Plan Orçamentária'!R236</f>
        <v>INSTALAÇÕES HIDRÁULICAS</v>
      </c>
      <c r="D54" s="567">
        <f ca="1">D55+D56+D57+D58+D59+D60+D61</f>
        <v>168051.74</v>
      </c>
      <c r="E54" s="573">
        <f ca="1">F54/D54</f>
        <v>8.3333333333333329E-2</v>
      </c>
      <c r="F54" s="574">
        <f ca="1">F55+F56+F57+F58+F59+F60+F61</f>
        <v>14004.311666666665</v>
      </c>
      <c r="G54" s="575">
        <f ca="1">H54/D54</f>
        <v>8.3333333333333329E-2</v>
      </c>
      <c r="H54" s="576">
        <f ca="1">H55+H56+H57+H58+H59+H60+H61</f>
        <v>14004.311666666665</v>
      </c>
      <c r="I54" s="575">
        <f ca="1">J54/D54</f>
        <v>8.3333333333333329E-2</v>
      </c>
      <c r="J54" s="576">
        <f ca="1">J55+J56+J57+J58+J59+J60+J61</f>
        <v>14004.311666666665</v>
      </c>
      <c r="K54" s="575">
        <f ca="1">L54/D54</f>
        <v>8.3333333333333329E-2</v>
      </c>
      <c r="L54" s="576">
        <f ca="1">L55+L56+L57+L58+L59+L60+L61</f>
        <v>14004.311666666665</v>
      </c>
      <c r="M54" s="575">
        <f ca="1">N54/D54</f>
        <v>8.3333333333333329E-2</v>
      </c>
      <c r="N54" s="576">
        <f ca="1">N55+N56+N57+N58+N59+N60+N61</f>
        <v>14004.311666666665</v>
      </c>
      <c r="O54" s="575">
        <f ca="1">P54/D54</f>
        <v>8.3333333333333329E-2</v>
      </c>
      <c r="P54" s="576">
        <f ca="1">P55+P56+P57+P58+P59+P60+P61</f>
        <v>14004.311666666665</v>
      </c>
      <c r="Q54" s="575">
        <f ca="1">R54/D54</f>
        <v>8.3333333333333329E-2</v>
      </c>
      <c r="R54" s="574">
        <f ca="1">R55+R56+R57+R58+R59+R60+R61</f>
        <v>14004.311666666665</v>
      </c>
      <c r="S54" s="575">
        <f ca="1">T54/D54</f>
        <v>8.3333333333333329E-2</v>
      </c>
      <c r="T54" s="576">
        <f ca="1">T55+T56+T57+T58+T59+T60+T61</f>
        <v>14004.311666666665</v>
      </c>
      <c r="U54" s="575">
        <f ca="1">V54/D54</f>
        <v>8.3333333333333329E-2</v>
      </c>
      <c r="V54" s="576">
        <f ca="1">V55+V56+V57+V58+V59+V60+V61</f>
        <v>14004.311666666665</v>
      </c>
      <c r="W54" s="575">
        <f ca="1">X54/D54</f>
        <v>8.3333333333333329E-2</v>
      </c>
      <c r="X54" s="576">
        <f ca="1">X55+X56+X57+X58+X59+X60+X61</f>
        <v>14004.311666666665</v>
      </c>
      <c r="Y54" s="575">
        <f ca="1">Z54/D54</f>
        <v>8.3333333333333329E-2</v>
      </c>
      <c r="Z54" s="576">
        <f ca="1">Z55+Z56+Z57+Z58+Z59+Z60+Z61</f>
        <v>14004.311666666665</v>
      </c>
      <c r="AA54" s="575">
        <f ca="1">AB54/D54</f>
        <v>8.3333333333333329E-2</v>
      </c>
      <c r="AB54" s="577">
        <f ca="1">AB55+AB56+AB57+AB58+AB59+AB60+AB61</f>
        <v>14004.311666666665</v>
      </c>
      <c r="AC54" s="812">
        <f t="shared" ca="1" si="13"/>
        <v>1</v>
      </c>
    </row>
    <row r="55" spans="2:29" ht="23.5" customHeight="1">
      <c r="B55" s="564" t="str">
        <f ca="1">'Plan Orçamentária'!O237</f>
        <v>14.1</v>
      </c>
      <c r="C55" s="566" t="str">
        <f>'Plan Orçamentária'!R237</f>
        <v>REDE DE ÁGUA FRIA</v>
      </c>
      <c r="D55" s="567">
        <f ca="1">'Plan Orçamentária'!Y237</f>
        <v>52143.099999999991</v>
      </c>
      <c r="E55" s="571">
        <f>1/12</f>
        <v>8.3333333333333329E-2</v>
      </c>
      <c r="F55" s="570">
        <f t="shared" ref="F55:F61" ca="1" si="26">$D55 * E55</f>
        <v>4345.2583333333323</v>
      </c>
      <c r="G55" s="571">
        <f>1/12</f>
        <v>8.3333333333333329E-2</v>
      </c>
      <c r="H55" s="572">
        <f t="shared" ref="H55:H61" ca="1" si="27">$D55 * G55</f>
        <v>4345.2583333333323</v>
      </c>
      <c r="I55" s="571">
        <f>1/12</f>
        <v>8.3333333333333329E-2</v>
      </c>
      <c r="J55" s="572">
        <f t="shared" ref="J55:J61" ca="1" si="28">$D55 * I55</f>
        <v>4345.2583333333323</v>
      </c>
      <c r="K55" s="571">
        <f>1/12</f>
        <v>8.3333333333333329E-2</v>
      </c>
      <c r="L55" s="572">
        <f t="shared" ref="L55:L61" ca="1" si="29">$D55 * K55</f>
        <v>4345.2583333333323</v>
      </c>
      <c r="M55" s="571">
        <f>1/12</f>
        <v>8.3333333333333329E-2</v>
      </c>
      <c r="N55" s="572">
        <f t="shared" ref="N55:N61" ca="1" si="30">$D55 * M55</f>
        <v>4345.2583333333323</v>
      </c>
      <c r="O55" s="571">
        <f>1/12</f>
        <v>8.3333333333333329E-2</v>
      </c>
      <c r="P55" s="572">
        <f t="shared" ref="P55:P61" ca="1" si="31">$D55 * O55</f>
        <v>4345.2583333333323</v>
      </c>
      <c r="Q55" s="571">
        <f>1/12</f>
        <v>8.3333333333333329E-2</v>
      </c>
      <c r="R55" s="570">
        <f t="shared" ref="R55:R61" ca="1" si="32">$D55 * Q55</f>
        <v>4345.2583333333323</v>
      </c>
      <c r="S55" s="571">
        <f>1/12</f>
        <v>8.3333333333333329E-2</v>
      </c>
      <c r="T55" s="572">
        <f t="shared" ref="T55:T61" ca="1" si="33">$D55 * S55</f>
        <v>4345.2583333333323</v>
      </c>
      <c r="U55" s="571">
        <f>1/12</f>
        <v>8.3333333333333329E-2</v>
      </c>
      <c r="V55" s="572">
        <f t="shared" ref="V55:V61" ca="1" si="34">$D55 * U55</f>
        <v>4345.2583333333323</v>
      </c>
      <c r="W55" s="571">
        <f>1/12</f>
        <v>8.3333333333333329E-2</v>
      </c>
      <c r="X55" s="572">
        <f t="shared" ref="X55:X61" ca="1" si="35">$D55 * W55</f>
        <v>4345.2583333333323</v>
      </c>
      <c r="Y55" s="571">
        <f>1/12</f>
        <v>8.3333333333333329E-2</v>
      </c>
      <c r="Z55" s="572">
        <f t="shared" ref="Z55:Z61" ca="1" si="36">$D55 * Y55</f>
        <v>4345.2583333333323</v>
      </c>
      <c r="AA55" s="571">
        <f>1/12</f>
        <v>8.3333333333333329E-2</v>
      </c>
      <c r="AB55" s="569">
        <f t="shared" ref="AB55:AB61" ca="1" si="37">$D55 * AA55</f>
        <v>4345.2583333333323</v>
      </c>
      <c r="AC55" s="812">
        <f t="shared" si="13"/>
        <v>1</v>
      </c>
    </row>
    <row r="56" spans="2:29" ht="23.5" customHeight="1">
      <c r="B56" s="564" t="str">
        <f ca="1">'Plan Orçamentária'!O252</f>
        <v>14.2</v>
      </c>
      <c r="C56" s="566" t="str">
        <f>'Plan Orçamentária'!R252</f>
        <v>REDE DE ESGOTO</v>
      </c>
      <c r="D56" s="567">
        <f ca="1">'Plan Orçamentária'!Y252</f>
        <v>13868.35</v>
      </c>
      <c r="E56" s="571">
        <f t="shared" ref="E56:AA71" si="38">1/12</f>
        <v>8.3333333333333329E-2</v>
      </c>
      <c r="F56" s="570">
        <f t="shared" ca="1" si="26"/>
        <v>1155.6958333333332</v>
      </c>
      <c r="G56" s="571">
        <f t="shared" si="38"/>
        <v>8.3333333333333329E-2</v>
      </c>
      <c r="H56" s="572">
        <f t="shared" ca="1" si="27"/>
        <v>1155.6958333333332</v>
      </c>
      <c r="I56" s="571">
        <f t="shared" si="38"/>
        <v>8.3333333333333329E-2</v>
      </c>
      <c r="J56" s="572">
        <f t="shared" ca="1" si="28"/>
        <v>1155.6958333333332</v>
      </c>
      <c r="K56" s="571">
        <f t="shared" si="38"/>
        <v>8.3333333333333329E-2</v>
      </c>
      <c r="L56" s="572">
        <f t="shared" ca="1" si="29"/>
        <v>1155.6958333333332</v>
      </c>
      <c r="M56" s="571">
        <f t="shared" si="38"/>
        <v>8.3333333333333329E-2</v>
      </c>
      <c r="N56" s="572">
        <f t="shared" ca="1" si="30"/>
        <v>1155.6958333333332</v>
      </c>
      <c r="O56" s="571">
        <f t="shared" si="38"/>
        <v>8.3333333333333329E-2</v>
      </c>
      <c r="P56" s="572">
        <f t="shared" ca="1" si="31"/>
        <v>1155.6958333333332</v>
      </c>
      <c r="Q56" s="571">
        <f t="shared" si="38"/>
        <v>8.3333333333333329E-2</v>
      </c>
      <c r="R56" s="570">
        <f t="shared" ca="1" si="32"/>
        <v>1155.6958333333332</v>
      </c>
      <c r="S56" s="571">
        <f t="shared" si="38"/>
        <v>8.3333333333333329E-2</v>
      </c>
      <c r="T56" s="572">
        <f t="shared" ca="1" si="33"/>
        <v>1155.6958333333332</v>
      </c>
      <c r="U56" s="571">
        <f t="shared" si="38"/>
        <v>8.3333333333333329E-2</v>
      </c>
      <c r="V56" s="572">
        <f t="shared" ca="1" si="34"/>
        <v>1155.6958333333332</v>
      </c>
      <c r="W56" s="571">
        <f t="shared" si="38"/>
        <v>8.3333333333333329E-2</v>
      </c>
      <c r="X56" s="572">
        <f t="shared" ca="1" si="35"/>
        <v>1155.6958333333332</v>
      </c>
      <c r="Y56" s="571">
        <f t="shared" si="38"/>
        <v>8.3333333333333329E-2</v>
      </c>
      <c r="Z56" s="572">
        <f t="shared" ca="1" si="36"/>
        <v>1155.6958333333332</v>
      </c>
      <c r="AA56" s="571">
        <f t="shared" si="38"/>
        <v>8.3333333333333329E-2</v>
      </c>
      <c r="AB56" s="569">
        <f t="shared" ca="1" si="37"/>
        <v>1155.6958333333332</v>
      </c>
      <c r="AC56" s="812">
        <f t="shared" si="13"/>
        <v>1</v>
      </c>
    </row>
    <row r="57" spans="2:29" ht="23.5" customHeight="1">
      <c r="B57" s="564" t="str">
        <f ca="1">'Plan Orçamentária'!O260</f>
        <v>14.3</v>
      </c>
      <c r="C57" s="566" t="str">
        <f>'Plan Orçamentária'!R260</f>
        <v>REDE DE ESGOTO - CAIXA DE GORDURA</v>
      </c>
      <c r="D57" s="567">
        <f ca="1">'Plan Orçamentária'!Y260</f>
        <v>1554.24</v>
      </c>
      <c r="E57" s="571">
        <f t="shared" si="38"/>
        <v>8.3333333333333329E-2</v>
      </c>
      <c r="F57" s="570">
        <f t="shared" ca="1" si="26"/>
        <v>129.51999999999998</v>
      </c>
      <c r="G57" s="571">
        <f t="shared" si="38"/>
        <v>8.3333333333333329E-2</v>
      </c>
      <c r="H57" s="572">
        <f t="shared" ca="1" si="27"/>
        <v>129.51999999999998</v>
      </c>
      <c r="I57" s="571">
        <f t="shared" si="38"/>
        <v>8.3333333333333329E-2</v>
      </c>
      <c r="J57" s="572">
        <f t="shared" ca="1" si="28"/>
        <v>129.51999999999998</v>
      </c>
      <c r="K57" s="571">
        <f t="shared" si="38"/>
        <v>8.3333333333333329E-2</v>
      </c>
      <c r="L57" s="572">
        <f t="shared" ca="1" si="29"/>
        <v>129.51999999999998</v>
      </c>
      <c r="M57" s="571">
        <f t="shared" si="38"/>
        <v>8.3333333333333329E-2</v>
      </c>
      <c r="N57" s="572">
        <f t="shared" ca="1" si="30"/>
        <v>129.51999999999998</v>
      </c>
      <c r="O57" s="571">
        <f t="shared" si="38"/>
        <v>8.3333333333333329E-2</v>
      </c>
      <c r="P57" s="572">
        <f t="shared" ca="1" si="31"/>
        <v>129.51999999999998</v>
      </c>
      <c r="Q57" s="571">
        <f t="shared" si="38"/>
        <v>8.3333333333333329E-2</v>
      </c>
      <c r="R57" s="570">
        <f t="shared" ca="1" si="32"/>
        <v>129.51999999999998</v>
      </c>
      <c r="S57" s="571">
        <f t="shared" si="38"/>
        <v>8.3333333333333329E-2</v>
      </c>
      <c r="T57" s="572">
        <f t="shared" ca="1" si="33"/>
        <v>129.51999999999998</v>
      </c>
      <c r="U57" s="571">
        <f t="shared" si="38"/>
        <v>8.3333333333333329E-2</v>
      </c>
      <c r="V57" s="572">
        <f t="shared" ca="1" si="34"/>
        <v>129.51999999999998</v>
      </c>
      <c r="W57" s="571">
        <f t="shared" si="38"/>
        <v>8.3333333333333329E-2</v>
      </c>
      <c r="X57" s="572">
        <f t="shared" ca="1" si="35"/>
        <v>129.51999999999998</v>
      </c>
      <c r="Y57" s="571">
        <f t="shared" si="38"/>
        <v>8.3333333333333329E-2</v>
      </c>
      <c r="Z57" s="572">
        <f t="shared" ca="1" si="36"/>
        <v>129.51999999999998</v>
      </c>
      <c r="AA57" s="571">
        <f t="shared" si="38"/>
        <v>8.3333333333333329E-2</v>
      </c>
      <c r="AB57" s="569">
        <f t="shared" ca="1" si="37"/>
        <v>129.51999999999998</v>
      </c>
      <c r="AC57" s="812">
        <f t="shared" si="13"/>
        <v>1</v>
      </c>
    </row>
    <row r="58" spans="2:29" ht="23.5" customHeight="1">
      <c r="B58" s="564" t="str">
        <f ca="1">'Plan Orçamentária'!O265</f>
        <v>14.4</v>
      </c>
      <c r="C58" s="566" t="str">
        <f>'Plan Orçamentária'!R265</f>
        <v>REDE DE VENTILAÇÃO</v>
      </c>
      <c r="D58" s="567">
        <f ca="1">'Plan Orçamentária'!Y265</f>
        <v>3677.31</v>
      </c>
      <c r="E58" s="571">
        <f t="shared" si="38"/>
        <v>8.3333333333333329E-2</v>
      </c>
      <c r="F58" s="570">
        <f t="shared" ca="1" si="26"/>
        <v>306.4425</v>
      </c>
      <c r="G58" s="571">
        <f t="shared" si="38"/>
        <v>8.3333333333333329E-2</v>
      </c>
      <c r="H58" s="572">
        <f t="shared" ca="1" si="27"/>
        <v>306.4425</v>
      </c>
      <c r="I58" s="571">
        <f t="shared" si="38"/>
        <v>8.3333333333333329E-2</v>
      </c>
      <c r="J58" s="572">
        <f t="shared" ca="1" si="28"/>
        <v>306.4425</v>
      </c>
      <c r="K58" s="571">
        <f t="shared" si="38"/>
        <v>8.3333333333333329E-2</v>
      </c>
      <c r="L58" s="572">
        <f t="shared" ca="1" si="29"/>
        <v>306.4425</v>
      </c>
      <c r="M58" s="571">
        <f t="shared" si="38"/>
        <v>8.3333333333333329E-2</v>
      </c>
      <c r="N58" s="572">
        <f t="shared" ca="1" si="30"/>
        <v>306.4425</v>
      </c>
      <c r="O58" s="571">
        <f t="shared" si="38"/>
        <v>8.3333333333333329E-2</v>
      </c>
      <c r="P58" s="572">
        <f t="shared" ca="1" si="31"/>
        <v>306.4425</v>
      </c>
      <c r="Q58" s="571">
        <f t="shared" si="38"/>
        <v>8.3333333333333329E-2</v>
      </c>
      <c r="R58" s="570">
        <f t="shared" ca="1" si="32"/>
        <v>306.4425</v>
      </c>
      <c r="S58" s="571">
        <f t="shared" si="38"/>
        <v>8.3333333333333329E-2</v>
      </c>
      <c r="T58" s="572">
        <f t="shared" ca="1" si="33"/>
        <v>306.4425</v>
      </c>
      <c r="U58" s="571">
        <f t="shared" si="38"/>
        <v>8.3333333333333329E-2</v>
      </c>
      <c r="V58" s="572">
        <f t="shared" ca="1" si="34"/>
        <v>306.4425</v>
      </c>
      <c r="W58" s="571">
        <f t="shared" si="38"/>
        <v>8.3333333333333329E-2</v>
      </c>
      <c r="X58" s="572">
        <f t="shared" ca="1" si="35"/>
        <v>306.4425</v>
      </c>
      <c r="Y58" s="571">
        <f t="shared" si="38"/>
        <v>8.3333333333333329E-2</v>
      </c>
      <c r="Z58" s="572">
        <f t="shared" ca="1" si="36"/>
        <v>306.4425</v>
      </c>
      <c r="AA58" s="571">
        <f t="shared" si="38"/>
        <v>8.3333333333333329E-2</v>
      </c>
      <c r="AB58" s="569">
        <f t="shared" ca="1" si="37"/>
        <v>306.4425</v>
      </c>
      <c r="AC58" s="812">
        <f t="shared" si="13"/>
        <v>1</v>
      </c>
    </row>
    <row r="59" spans="2:29" ht="23.5" customHeight="1">
      <c r="B59" s="564" t="str">
        <f ca="1">'Plan Orçamentária'!O269</f>
        <v>14.5</v>
      </c>
      <c r="C59" s="566" t="str">
        <f>'Plan Orçamentária'!R269</f>
        <v>REDE DE ÁGUA PLUVIAL</v>
      </c>
      <c r="D59" s="567">
        <f ca="1">'Plan Orçamentária'!Y269</f>
        <v>29726.070000000003</v>
      </c>
      <c r="E59" s="571">
        <f t="shared" si="38"/>
        <v>8.3333333333333329E-2</v>
      </c>
      <c r="F59" s="570">
        <f t="shared" ca="1" si="26"/>
        <v>2477.1725000000001</v>
      </c>
      <c r="G59" s="571">
        <f t="shared" si="38"/>
        <v>8.3333333333333329E-2</v>
      </c>
      <c r="H59" s="572">
        <f t="shared" ca="1" si="27"/>
        <v>2477.1725000000001</v>
      </c>
      <c r="I59" s="571">
        <f t="shared" si="38"/>
        <v>8.3333333333333329E-2</v>
      </c>
      <c r="J59" s="572">
        <f t="shared" ca="1" si="28"/>
        <v>2477.1725000000001</v>
      </c>
      <c r="K59" s="571">
        <f t="shared" si="38"/>
        <v>8.3333333333333329E-2</v>
      </c>
      <c r="L59" s="572">
        <f t="shared" ca="1" si="29"/>
        <v>2477.1725000000001</v>
      </c>
      <c r="M59" s="571">
        <f t="shared" si="38"/>
        <v>8.3333333333333329E-2</v>
      </c>
      <c r="N59" s="572">
        <f t="shared" ca="1" si="30"/>
        <v>2477.1725000000001</v>
      </c>
      <c r="O59" s="571">
        <f t="shared" si="38"/>
        <v>8.3333333333333329E-2</v>
      </c>
      <c r="P59" s="572">
        <f t="shared" ca="1" si="31"/>
        <v>2477.1725000000001</v>
      </c>
      <c r="Q59" s="571">
        <f t="shared" si="38"/>
        <v>8.3333333333333329E-2</v>
      </c>
      <c r="R59" s="570">
        <f t="shared" ca="1" si="32"/>
        <v>2477.1725000000001</v>
      </c>
      <c r="S59" s="571">
        <f t="shared" si="38"/>
        <v>8.3333333333333329E-2</v>
      </c>
      <c r="T59" s="572">
        <f t="shared" ca="1" si="33"/>
        <v>2477.1725000000001</v>
      </c>
      <c r="U59" s="571">
        <f t="shared" si="38"/>
        <v>8.3333333333333329E-2</v>
      </c>
      <c r="V59" s="572">
        <f t="shared" ca="1" si="34"/>
        <v>2477.1725000000001</v>
      </c>
      <c r="W59" s="571">
        <f t="shared" si="38"/>
        <v>8.3333333333333329E-2</v>
      </c>
      <c r="X59" s="572">
        <f t="shared" ca="1" si="35"/>
        <v>2477.1725000000001</v>
      </c>
      <c r="Y59" s="571">
        <f t="shared" si="38"/>
        <v>8.3333333333333329E-2</v>
      </c>
      <c r="Z59" s="572">
        <f t="shared" ca="1" si="36"/>
        <v>2477.1725000000001</v>
      </c>
      <c r="AA59" s="571">
        <f t="shared" si="38"/>
        <v>8.3333333333333329E-2</v>
      </c>
      <c r="AB59" s="569">
        <f t="shared" ca="1" si="37"/>
        <v>2477.1725000000001</v>
      </c>
      <c r="AC59" s="812">
        <f t="shared" si="13"/>
        <v>1</v>
      </c>
    </row>
    <row r="60" spans="2:29" ht="23.5" customHeight="1">
      <c r="B60" s="564" t="str">
        <f ca="1">'Plan Orçamentária'!O281</f>
        <v>14.6</v>
      </c>
      <c r="C60" s="566" t="str">
        <f>'Plan Orçamentária'!R281</f>
        <v>REDE DE ÁGUA PLUVIAL (DRENO)</v>
      </c>
      <c r="D60" s="567">
        <f ca="1">'Plan Orçamentária'!Y281</f>
        <v>6577.65</v>
      </c>
      <c r="E60" s="571">
        <f t="shared" si="38"/>
        <v>8.3333333333333329E-2</v>
      </c>
      <c r="F60" s="570">
        <f t="shared" ca="1" si="26"/>
        <v>548.13749999999993</v>
      </c>
      <c r="G60" s="571">
        <f t="shared" si="38"/>
        <v>8.3333333333333329E-2</v>
      </c>
      <c r="H60" s="572">
        <f t="shared" ca="1" si="27"/>
        <v>548.13749999999993</v>
      </c>
      <c r="I60" s="571">
        <f t="shared" si="38"/>
        <v>8.3333333333333329E-2</v>
      </c>
      <c r="J60" s="572">
        <f t="shared" ca="1" si="28"/>
        <v>548.13749999999993</v>
      </c>
      <c r="K60" s="571">
        <f t="shared" si="38"/>
        <v>8.3333333333333329E-2</v>
      </c>
      <c r="L60" s="572">
        <f t="shared" ca="1" si="29"/>
        <v>548.13749999999993</v>
      </c>
      <c r="M60" s="571">
        <f t="shared" si="38"/>
        <v>8.3333333333333329E-2</v>
      </c>
      <c r="N60" s="572">
        <f t="shared" ca="1" si="30"/>
        <v>548.13749999999993</v>
      </c>
      <c r="O60" s="571">
        <f t="shared" si="38"/>
        <v>8.3333333333333329E-2</v>
      </c>
      <c r="P60" s="572">
        <f t="shared" ca="1" si="31"/>
        <v>548.13749999999993</v>
      </c>
      <c r="Q60" s="571">
        <f t="shared" si="38"/>
        <v>8.3333333333333329E-2</v>
      </c>
      <c r="R60" s="570">
        <f t="shared" ca="1" si="32"/>
        <v>548.13749999999993</v>
      </c>
      <c r="S60" s="571">
        <f t="shared" si="38"/>
        <v>8.3333333333333329E-2</v>
      </c>
      <c r="T60" s="572">
        <f t="shared" ca="1" si="33"/>
        <v>548.13749999999993</v>
      </c>
      <c r="U60" s="571">
        <f t="shared" si="38"/>
        <v>8.3333333333333329E-2</v>
      </c>
      <c r="V60" s="572">
        <f t="shared" ca="1" si="34"/>
        <v>548.13749999999993</v>
      </c>
      <c r="W60" s="571">
        <f t="shared" si="38"/>
        <v>8.3333333333333329E-2</v>
      </c>
      <c r="X60" s="572">
        <f t="shared" ca="1" si="35"/>
        <v>548.13749999999993</v>
      </c>
      <c r="Y60" s="571">
        <f t="shared" si="38"/>
        <v>8.3333333333333329E-2</v>
      </c>
      <c r="Z60" s="572">
        <f t="shared" ca="1" si="36"/>
        <v>548.13749999999993</v>
      </c>
      <c r="AA60" s="571">
        <f t="shared" si="38"/>
        <v>8.3333333333333329E-2</v>
      </c>
      <c r="AB60" s="569">
        <f t="shared" ca="1" si="37"/>
        <v>548.13749999999993</v>
      </c>
      <c r="AC60" s="812">
        <f t="shared" si="13"/>
        <v>1</v>
      </c>
    </row>
    <row r="61" spans="2:29" ht="23.5" customHeight="1">
      <c r="B61" s="564" t="str">
        <f ca="1">'Plan Orçamentária'!O286</f>
        <v>14.7</v>
      </c>
      <c r="C61" s="566" t="str">
        <f>'Plan Orçamentária'!R286</f>
        <v>APARELHOS E METAIS</v>
      </c>
      <c r="D61" s="567">
        <f ca="1">'Plan Orçamentária'!Y286</f>
        <v>60505.020000000004</v>
      </c>
      <c r="E61" s="571">
        <f t="shared" si="38"/>
        <v>8.3333333333333329E-2</v>
      </c>
      <c r="F61" s="570">
        <f t="shared" ca="1" si="26"/>
        <v>5042.085</v>
      </c>
      <c r="G61" s="571">
        <f t="shared" si="38"/>
        <v>8.3333333333333329E-2</v>
      </c>
      <c r="H61" s="572">
        <f t="shared" ca="1" si="27"/>
        <v>5042.085</v>
      </c>
      <c r="I61" s="571">
        <f t="shared" si="38"/>
        <v>8.3333333333333329E-2</v>
      </c>
      <c r="J61" s="572">
        <f t="shared" ca="1" si="28"/>
        <v>5042.085</v>
      </c>
      <c r="K61" s="571">
        <f t="shared" si="38"/>
        <v>8.3333333333333329E-2</v>
      </c>
      <c r="L61" s="572">
        <f t="shared" ca="1" si="29"/>
        <v>5042.085</v>
      </c>
      <c r="M61" s="571">
        <f t="shared" si="38"/>
        <v>8.3333333333333329E-2</v>
      </c>
      <c r="N61" s="572">
        <f t="shared" ca="1" si="30"/>
        <v>5042.085</v>
      </c>
      <c r="O61" s="571">
        <f t="shared" si="38"/>
        <v>8.3333333333333329E-2</v>
      </c>
      <c r="P61" s="572">
        <f t="shared" ca="1" si="31"/>
        <v>5042.085</v>
      </c>
      <c r="Q61" s="571">
        <f t="shared" si="38"/>
        <v>8.3333333333333329E-2</v>
      </c>
      <c r="R61" s="570">
        <f t="shared" ca="1" si="32"/>
        <v>5042.085</v>
      </c>
      <c r="S61" s="571">
        <f t="shared" si="38"/>
        <v>8.3333333333333329E-2</v>
      </c>
      <c r="T61" s="572">
        <f t="shared" ca="1" si="33"/>
        <v>5042.085</v>
      </c>
      <c r="U61" s="571">
        <f t="shared" si="38"/>
        <v>8.3333333333333329E-2</v>
      </c>
      <c r="V61" s="572">
        <f t="shared" ca="1" si="34"/>
        <v>5042.085</v>
      </c>
      <c r="W61" s="571">
        <f t="shared" si="38"/>
        <v>8.3333333333333329E-2</v>
      </c>
      <c r="X61" s="572">
        <f t="shared" ca="1" si="35"/>
        <v>5042.085</v>
      </c>
      <c r="Y61" s="571">
        <f t="shared" si="38"/>
        <v>8.3333333333333329E-2</v>
      </c>
      <c r="Z61" s="572">
        <f t="shared" ca="1" si="36"/>
        <v>5042.085</v>
      </c>
      <c r="AA61" s="571">
        <f t="shared" si="38"/>
        <v>8.3333333333333329E-2</v>
      </c>
      <c r="AB61" s="569">
        <f t="shared" ca="1" si="37"/>
        <v>5042.085</v>
      </c>
      <c r="AC61" s="812">
        <f t="shared" si="13"/>
        <v>1</v>
      </c>
    </row>
    <row r="62" spans="2:29" ht="23.5" customHeight="1">
      <c r="B62" s="564">
        <f ca="1">'Plan Orçamentária'!O324</f>
        <v>15</v>
      </c>
      <c r="C62" s="566" t="str">
        <f>'Plan Orçamentária'!R324</f>
        <v>INSTALAÇÕES ELÉTRICA</v>
      </c>
      <c r="D62" s="567">
        <f ca="1">D63+D64+D65+D66+D67+D68+D69+D70</f>
        <v>384510.61999999994</v>
      </c>
      <c r="E62" s="573">
        <f ca="1">F62/D62</f>
        <v>8.3333333333333329E-2</v>
      </c>
      <c r="F62" s="574">
        <f ca="1">F63+F64+F65+F66+F67+F68+F69+F70</f>
        <v>32042.551666666659</v>
      </c>
      <c r="G62" s="575">
        <f ca="1">H62/D62</f>
        <v>8.3333333333333329E-2</v>
      </c>
      <c r="H62" s="576">
        <f ca="1">H63+H64+H65+H66+H67+H68+H69+H70</f>
        <v>32042.551666666659</v>
      </c>
      <c r="I62" s="575">
        <f ca="1">J62/D62</f>
        <v>8.3333333333333329E-2</v>
      </c>
      <c r="J62" s="576">
        <f ca="1">J63+J64+J65+J66+J67+J68+J69+J70</f>
        <v>32042.551666666659</v>
      </c>
      <c r="K62" s="575">
        <f ca="1">L62/D62</f>
        <v>8.3333333333333329E-2</v>
      </c>
      <c r="L62" s="576">
        <f ca="1">L63+L64+L65+L66+L67+L68+L69+L70</f>
        <v>32042.551666666659</v>
      </c>
      <c r="M62" s="575">
        <f ca="1">N62/D62</f>
        <v>8.3333333333333329E-2</v>
      </c>
      <c r="N62" s="576">
        <f ca="1">N63+N64+N65+N66+N67+N68+N69+N70</f>
        <v>32042.551666666659</v>
      </c>
      <c r="O62" s="575">
        <f ca="1">P62/D62</f>
        <v>8.3333333333333329E-2</v>
      </c>
      <c r="P62" s="576">
        <f ca="1">P63+P64+P65+P66+P67+P68+P69+P70</f>
        <v>32042.551666666659</v>
      </c>
      <c r="Q62" s="575">
        <f ca="1">R62/D62</f>
        <v>8.3333333333333329E-2</v>
      </c>
      <c r="R62" s="574">
        <f ca="1">R63+R64+R65+R66+R67+R68+R69+R70</f>
        <v>32042.551666666659</v>
      </c>
      <c r="S62" s="575">
        <f ca="1">T62/D62</f>
        <v>8.3333333333333329E-2</v>
      </c>
      <c r="T62" s="576">
        <f ca="1">T63+T64+T65+T66+T67+T68+T69+T70</f>
        <v>32042.551666666659</v>
      </c>
      <c r="U62" s="575">
        <f ca="1">V62/D62</f>
        <v>8.3333333333333329E-2</v>
      </c>
      <c r="V62" s="576">
        <f ca="1">V63+V64+V65+V66+V67+V68+V69+V70</f>
        <v>32042.551666666659</v>
      </c>
      <c r="W62" s="575">
        <f ca="1">X62/D62</f>
        <v>8.3333333333333329E-2</v>
      </c>
      <c r="X62" s="576">
        <f ca="1">X63+X64+X65+X66+X67+X68+X69+X70</f>
        <v>32042.551666666659</v>
      </c>
      <c r="Y62" s="575">
        <f ca="1">Z62/D62</f>
        <v>8.3333333333333329E-2</v>
      </c>
      <c r="Z62" s="576">
        <f ca="1">Z63+Z64+Z65+Z66+Z67+Z68+Z69+Z70</f>
        <v>32042.551666666659</v>
      </c>
      <c r="AA62" s="575">
        <f ca="1">AB62/D62</f>
        <v>8.3333333333333329E-2</v>
      </c>
      <c r="AB62" s="577">
        <f ca="1">AB63+AB64+AB65+AB66+AB67+AB68+AB69+AB70</f>
        <v>32042.551666666659</v>
      </c>
      <c r="AC62" s="812">
        <f t="shared" ca="1" si="13"/>
        <v>1</v>
      </c>
    </row>
    <row r="63" spans="2:29" ht="23.5" customHeight="1">
      <c r="B63" s="564" t="str">
        <f ca="1">'Plan Orçamentária'!O325</f>
        <v>15.1</v>
      </c>
      <c r="C63" s="566" t="str">
        <f>'Plan Orçamentária'!R325</f>
        <v>DUTOS / ELETRODUTOS</v>
      </c>
      <c r="D63" s="567">
        <f ca="1">'Plan Orçamentária'!Y325</f>
        <v>76337.95</v>
      </c>
      <c r="E63" s="571">
        <f t="shared" si="38"/>
        <v>8.3333333333333329E-2</v>
      </c>
      <c r="F63" s="570">
        <f t="shared" ref="F63:F71" ca="1" si="39">$D63 * E63</f>
        <v>6361.4958333333325</v>
      </c>
      <c r="G63" s="571">
        <f t="shared" si="38"/>
        <v>8.3333333333333329E-2</v>
      </c>
      <c r="H63" s="572">
        <f t="shared" ref="H63:H71" ca="1" si="40">$D63 * G63</f>
        <v>6361.4958333333325</v>
      </c>
      <c r="I63" s="571">
        <f t="shared" si="38"/>
        <v>8.3333333333333329E-2</v>
      </c>
      <c r="J63" s="572">
        <f t="shared" ref="J63:J71" ca="1" si="41">$D63 * I63</f>
        <v>6361.4958333333325</v>
      </c>
      <c r="K63" s="571">
        <f t="shared" si="38"/>
        <v>8.3333333333333329E-2</v>
      </c>
      <c r="L63" s="572">
        <f t="shared" ref="L63:L71" ca="1" si="42">$D63 * K63</f>
        <v>6361.4958333333325</v>
      </c>
      <c r="M63" s="571">
        <f t="shared" si="38"/>
        <v>8.3333333333333329E-2</v>
      </c>
      <c r="N63" s="572">
        <f t="shared" ref="N63:N71" ca="1" si="43">$D63 * M63</f>
        <v>6361.4958333333325</v>
      </c>
      <c r="O63" s="571">
        <f t="shared" si="38"/>
        <v>8.3333333333333329E-2</v>
      </c>
      <c r="P63" s="572">
        <f t="shared" ref="P63:P71" ca="1" si="44">$D63 * O63</f>
        <v>6361.4958333333325</v>
      </c>
      <c r="Q63" s="571">
        <f t="shared" si="38"/>
        <v>8.3333333333333329E-2</v>
      </c>
      <c r="R63" s="570">
        <f t="shared" ref="R63:R71" ca="1" si="45">$D63 * Q63</f>
        <v>6361.4958333333325</v>
      </c>
      <c r="S63" s="571">
        <f t="shared" si="38"/>
        <v>8.3333333333333329E-2</v>
      </c>
      <c r="T63" s="572">
        <f t="shared" ref="T63:T71" ca="1" si="46">$D63 * S63</f>
        <v>6361.4958333333325</v>
      </c>
      <c r="U63" s="571">
        <f t="shared" si="38"/>
        <v>8.3333333333333329E-2</v>
      </c>
      <c r="V63" s="572">
        <f t="shared" ref="V63:V71" ca="1" si="47">$D63 * U63</f>
        <v>6361.4958333333325</v>
      </c>
      <c r="W63" s="571">
        <f t="shared" si="38"/>
        <v>8.3333333333333329E-2</v>
      </c>
      <c r="X63" s="572">
        <f t="shared" ref="X63:X71" ca="1" si="48">$D63 * W63</f>
        <v>6361.4958333333325</v>
      </c>
      <c r="Y63" s="571">
        <f t="shared" si="38"/>
        <v>8.3333333333333329E-2</v>
      </c>
      <c r="Z63" s="572">
        <f t="shared" ref="Z63:Z71" ca="1" si="49">$D63 * Y63</f>
        <v>6361.4958333333325</v>
      </c>
      <c r="AA63" s="571">
        <f>1/12</f>
        <v>8.3333333333333329E-2</v>
      </c>
      <c r="AB63" s="569">
        <f t="shared" ref="AB63:AB71" ca="1" si="50">$D63 * AA63</f>
        <v>6361.4958333333325</v>
      </c>
      <c r="AC63" s="812">
        <f t="shared" si="13"/>
        <v>1</v>
      </c>
    </row>
    <row r="64" spans="2:29" ht="23.5" customHeight="1">
      <c r="B64" s="564" t="str">
        <f ca="1">'Plan Orçamentária'!O335</f>
        <v>15.2</v>
      </c>
      <c r="C64" s="566" t="str">
        <f>'Plan Orçamentária'!R335</f>
        <v>LUMINÁRIAS</v>
      </c>
      <c r="D64" s="567">
        <f ca="1">'Plan Orçamentária'!Y335</f>
        <v>32410.89</v>
      </c>
      <c r="E64" s="571">
        <f t="shared" si="38"/>
        <v>8.3333333333333329E-2</v>
      </c>
      <c r="F64" s="570">
        <f t="shared" ca="1" si="39"/>
        <v>2700.9074999999998</v>
      </c>
      <c r="G64" s="571">
        <f t="shared" si="38"/>
        <v>8.3333333333333329E-2</v>
      </c>
      <c r="H64" s="572">
        <f t="shared" ca="1" si="40"/>
        <v>2700.9074999999998</v>
      </c>
      <c r="I64" s="571">
        <f t="shared" si="38"/>
        <v>8.3333333333333329E-2</v>
      </c>
      <c r="J64" s="572">
        <f t="shared" ca="1" si="41"/>
        <v>2700.9074999999998</v>
      </c>
      <c r="K64" s="571">
        <f t="shared" si="38"/>
        <v>8.3333333333333329E-2</v>
      </c>
      <c r="L64" s="572">
        <f t="shared" ca="1" si="42"/>
        <v>2700.9074999999998</v>
      </c>
      <c r="M64" s="571">
        <f t="shared" si="38"/>
        <v>8.3333333333333329E-2</v>
      </c>
      <c r="N64" s="572">
        <f t="shared" ca="1" si="43"/>
        <v>2700.9074999999998</v>
      </c>
      <c r="O64" s="571">
        <f t="shared" si="38"/>
        <v>8.3333333333333329E-2</v>
      </c>
      <c r="P64" s="572">
        <f t="shared" ca="1" si="44"/>
        <v>2700.9074999999998</v>
      </c>
      <c r="Q64" s="571">
        <f t="shared" si="38"/>
        <v>8.3333333333333329E-2</v>
      </c>
      <c r="R64" s="570">
        <f t="shared" ca="1" si="45"/>
        <v>2700.9074999999998</v>
      </c>
      <c r="S64" s="571">
        <f t="shared" si="38"/>
        <v>8.3333333333333329E-2</v>
      </c>
      <c r="T64" s="572">
        <f t="shared" ca="1" si="46"/>
        <v>2700.9074999999998</v>
      </c>
      <c r="U64" s="571">
        <f t="shared" si="38"/>
        <v>8.3333333333333329E-2</v>
      </c>
      <c r="V64" s="572">
        <f t="shared" ca="1" si="47"/>
        <v>2700.9074999999998</v>
      </c>
      <c r="W64" s="571">
        <f t="shared" si="38"/>
        <v>8.3333333333333329E-2</v>
      </c>
      <c r="X64" s="572">
        <f t="shared" ca="1" si="48"/>
        <v>2700.9074999999998</v>
      </c>
      <c r="Y64" s="571">
        <f t="shared" si="38"/>
        <v>8.3333333333333329E-2</v>
      </c>
      <c r="Z64" s="572">
        <f t="shared" ca="1" si="49"/>
        <v>2700.9074999999998</v>
      </c>
      <c r="AA64" s="571">
        <f t="shared" si="38"/>
        <v>8.3333333333333329E-2</v>
      </c>
      <c r="AB64" s="569">
        <f t="shared" ca="1" si="50"/>
        <v>2700.9074999999998</v>
      </c>
      <c r="AC64" s="812">
        <f t="shared" si="13"/>
        <v>1</v>
      </c>
    </row>
    <row r="65" spans="2:29" ht="23.5" customHeight="1">
      <c r="B65" s="564" t="str">
        <f ca="1">'Plan Orçamentária'!O345</f>
        <v>15.3</v>
      </c>
      <c r="C65" s="566" t="str">
        <f>'Plan Orçamentária'!R345</f>
        <v>QUADROS E CAIXAS</v>
      </c>
      <c r="D65" s="567">
        <f ca="1">'Plan Orçamentária'!Y345</f>
        <v>23200.799999999999</v>
      </c>
      <c r="E65" s="571">
        <f t="shared" si="38"/>
        <v>8.3333333333333329E-2</v>
      </c>
      <c r="F65" s="570">
        <f t="shared" ca="1" si="39"/>
        <v>1933.3999999999999</v>
      </c>
      <c r="G65" s="571">
        <f t="shared" si="38"/>
        <v>8.3333333333333329E-2</v>
      </c>
      <c r="H65" s="572">
        <f t="shared" ca="1" si="40"/>
        <v>1933.3999999999999</v>
      </c>
      <c r="I65" s="571">
        <f t="shared" si="38"/>
        <v>8.3333333333333329E-2</v>
      </c>
      <c r="J65" s="572">
        <f t="shared" ca="1" si="41"/>
        <v>1933.3999999999999</v>
      </c>
      <c r="K65" s="571">
        <f t="shared" si="38"/>
        <v>8.3333333333333329E-2</v>
      </c>
      <c r="L65" s="572">
        <f t="shared" ca="1" si="42"/>
        <v>1933.3999999999999</v>
      </c>
      <c r="M65" s="571">
        <f t="shared" si="38"/>
        <v>8.3333333333333329E-2</v>
      </c>
      <c r="N65" s="572">
        <f t="shared" ca="1" si="43"/>
        <v>1933.3999999999999</v>
      </c>
      <c r="O65" s="571">
        <f t="shared" si="38"/>
        <v>8.3333333333333329E-2</v>
      </c>
      <c r="P65" s="572">
        <f t="shared" ca="1" si="44"/>
        <v>1933.3999999999999</v>
      </c>
      <c r="Q65" s="571">
        <f t="shared" si="38"/>
        <v>8.3333333333333329E-2</v>
      </c>
      <c r="R65" s="570">
        <f t="shared" ca="1" si="45"/>
        <v>1933.3999999999999</v>
      </c>
      <c r="S65" s="571">
        <f t="shared" si="38"/>
        <v>8.3333333333333329E-2</v>
      </c>
      <c r="T65" s="572">
        <f t="shared" ca="1" si="46"/>
        <v>1933.3999999999999</v>
      </c>
      <c r="U65" s="571">
        <f t="shared" si="38"/>
        <v>8.3333333333333329E-2</v>
      </c>
      <c r="V65" s="572">
        <f t="shared" ca="1" si="47"/>
        <v>1933.3999999999999</v>
      </c>
      <c r="W65" s="571">
        <f t="shared" si="38"/>
        <v>8.3333333333333329E-2</v>
      </c>
      <c r="X65" s="572">
        <f t="shared" ca="1" si="48"/>
        <v>1933.3999999999999</v>
      </c>
      <c r="Y65" s="571">
        <f t="shared" si="38"/>
        <v>8.3333333333333329E-2</v>
      </c>
      <c r="Z65" s="572">
        <f t="shared" ca="1" si="49"/>
        <v>1933.3999999999999</v>
      </c>
      <c r="AA65" s="571">
        <f t="shared" si="38"/>
        <v>8.3333333333333329E-2</v>
      </c>
      <c r="AB65" s="569">
        <f t="shared" ca="1" si="50"/>
        <v>1933.3999999999999</v>
      </c>
      <c r="AC65" s="812">
        <f t="shared" si="13"/>
        <v>1</v>
      </c>
    </row>
    <row r="66" spans="2:29" ht="23.5" customHeight="1">
      <c r="B66" s="564" t="str">
        <f ca="1">'Plan Orçamentária'!O357</f>
        <v>15.4</v>
      </c>
      <c r="C66" s="566" t="str">
        <f>'Plan Orçamentária'!R357</f>
        <v>DISJUNTORES</v>
      </c>
      <c r="D66" s="567">
        <f ca="1">'Plan Orçamentária'!Y357</f>
        <v>9469.58</v>
      </c>
      <c r="E66" s="571">
        <f t="shared" si="38"/>
        <v>8.3333333333333329E-2</v>
      </c>
      <c r="F66" s="570">
        <f t="shared" ca="1" si="39"/>
        <v>789.13166666666666</v>
      </c>
      <c r="G66" s="571">
        <f t="shared" si="38"/>
        <v>8.3333333333333329E-2</v>
      </c>
      <c r="H66" s="572">
        <f t="shared" ca="1" si="40"/>
        <v>789.13166666666666</v>
      </c>
      <c r="I66" s="571">
        <f t="shared" si="38"/>
        <v>8.3333333333333329E-2</v>
      </c>
      <c r="J66" s="572">
        <f t="shared" ca="1" si="41"/>
        <v>789.13166666666666</v>
      </c>
      <c r="K66" s="571">
        <f t="shared" si="38"/>
        <v>8.3333333333333329E-2</v>
      </c>
      <c r="L66" s="572">
        <f t="shared" ca="1" si="42"/>
        <v>789.13166666666666</v>
      </c>
      <c r="M66" s="571">
        <f t="shared" si="38"/>
        <v>8.3333333333333329E-2</v>
      </c>
      <c r="N66" s="572">
        <f t="shared" ca="1" si="43"/>
        <v>789.13166666666666</v>
      </c>
      <c r="O66" s="571">
        <f t="shared" si="38"/>
        <v>8.3333333333333329E-2</v>
      </c>
      <c r="P66" s="572">
        <f t="shared" ca="1" si="44"/>
        <v>789.13166666666666</v>
      </c>
      <c r="Q66" s="571">
        <f t="shared" si="38"/>
        <v>8.3333333333333329E-2</v>
      </c>
      <c r="R66" s="570">
        <f t="shared" ca="1" si="45"/>
        <v>789.13166666666666</v>
      </c>
      <c r="S66" s="571">
        <f t="shared" si="38"/>
        <v>8.3333333333333329E-2</v>
      </c>
      <c r="T66" s="572">
        <f t="shared" ca="1" si="46"/>
        <v>789.13166666666666</v>
      </c>
      <c r="U66" s="571">
        <f t="shared" si="38"/>
        <v>8.3333333333333329E-2</v>
      </c>
      <c r="V66" s="572">
        <f t="shared" ca="1" si="47"/>
        <v>789.13166666666666</v>
      </c>
      <c r="W66" s="571">
        <f t="shared" si="38"/>
        <v>8.3333333333333329E-2</v>
      </c>
      <c r="X66" s="572">
        <f t="shared" ca="1" si="48"/>
        <v>789.13166666666666</v>
      </c>
      <c r="Y66" s="571">
        <f t="shared" si="38"/>
        <v>8.3333333333333329E-2</v>
      </c>
      <c r="Z66" s="572">
        <f t="shared" ca="1" si="49"/>
        <v>789.13166666666666</v>
      </c>
      <c r="AA66" s="571">
        <f t="shared" si="38"/>
        <v>8.3333333333333329E-2</v>
      </c>
      <c r="AB66" s="569">
        <f t="shared" ca="1" si="50"/>
        <v>789.13166666666666</v>
      </c>
      <c r="AC66" s="812">
        <f t="shared" si="13"/>
        <v>1</v>
      </c>
    </row>
    <row r="67" spans="2:29" ht="23.5" customHeight="1">
      <c r="B67" s="564" t="str">
        <f ca="1">'Plan Orçamentária'!O366</f>
        <v>15.5</v>
      </c>
      <c r="C67" s="566" t="str">
        <f>'Plan Orçamentária'!R366</f>
        <v>FIOS E CABOS</v>
      </c>
      <c r="D67" s="567">
        <f ca="1">'Plan Orçamentária'!Y366</f>
        <v>118745.35999999999</v>
      </c>
      <c r="E67" s="571">
        <f t="shared" si="38"/>
        <v>8.3333333333333329E-2</v>
      </c>
      <c r="F67" s="570">
        <f t="shared" ca="1" si="39"/>
        <v>9895.4466666666649</v>
      </c>
      <c r="G67" s="571">
        <f t="shared" si="38"/>
        <v>8.3333333333333329E-2</v>
      </c>
      <c r="H67" s="572">
        <f t="shared" ca="1" si="40"/>
        <v>9895.4466666666649</v>
      </c>
      <c r="I67" s="571">
        <f t="shared" si="38"/>
        <v>8.3333333333333329E-2</v>
      </c>
      <c r="J67" s="572">
        <f t="shared" ca="1" si="41"/>
        <v>9895.4466666666649</v>
      </c>
      <c r="K67" s="571">
        <f t="shared" si="38"/>
        <v>8.3333333333333329E-2</v>
      </c>
      <c r="L67" s="572">
        <f t="shared" ca="1" si="42"/>
        <v>9895.4466666666649</v>
      </c>
      <c r="M67" s="571">
        <f t="shared" si="38"/>
        <v>8.3333333333333329E-2</v>
      </c>
      <c r="N67" s="572">
        <f t="shared" ca="1" si="43"/>
        <v>9895.4466666666649</v>
      </c>
      <c r="O67" s="571">
        <f t="shared" si="38"/>
        <v>8.3333333333333329E-2</v>
      </c>
      <c r="P67" s="572">
        <f t="shared" ca="1" si="44"/>
        <v>9895.4466666666649</v>
      </c>
      <c r="Q67" s="571">
        <f t="shared" si="38"/>
        <v>8.3333333333333329E-2</v>
      </c>
      <c r="R67" s="570">
        <f t="shared" ca="1" si="45"/>
        <v>9895.4466666666649</v>
      </c>
      <c r="S67" s="571">
        <f t="shared" si="38"/>
        <v>8.3333333333333329E-2</v>
      </c>
      <c r="T67" s="572">
        <f t="shared" ca="1" si="46"/>
        <v>9895.4466666666649</v>
      </c>
      <c r="U67" s="571">
        <f t="shared" si="38"/>
        <v>8.3333333333333329E-2</v>
      </c>
      <c r="V67" s="572">
        <f t="shared" ca="1" si="47"/>
        <v>9895.4466666666649</v>
      </c>
      <c r="W67" s="571">
        <f t="shared" si="38"/>
        <v>8.3333333333333329E-2</v>
      </c>
      <c r="X67" s="572">
        <f t="shared" ca="1" si="48"/>
        <v>9895.4466666666649</v>
      </c>
      <c r="Y67" s="571">
        <f t="shared" si="38"/>
        <v>8.3333333333333329E-2</v>
      </c>
      <c r="Z67" s="572">
        <f t="shared" ca="1" si="49"/>
        <v>9895.4466666666649</v>
      </c>
      <c r="AA67" s="571">
        <f t="shared" si="38"/>
        <v>8.3333333333333329E-2</v>
      </c>
      <c r="AB67" s="569">
        <f t="shared" ca="1" si="50"/>
        <v>9895.4466666666649</v>
      </c>
      <c r="AC67" s="812">
        <f t="shared" si="13"/>
        <v>1</v>
      </c>
    </row>
    <row r="68" spans="2:29" ht="23.5" customHeight="1">
      <c r="B68" s="564" t="str">
        <f ca="1">'Plan Orçamentária'!O376</f>
        <v>15.6</v>
      </c>
      <c r="C68" s="566" t="str">
        <f>'Plan Orçamentária'!R376</f>
        <v>INTERRUPTOR E TOMADAS</v>
      </c>
      <c r="D68" s="567">
        <f ca="1">'Plan Orçamentária'!Y376</f>
        <v>7651.0599999999995</v>
      </c>
      <c r="E68" s="571">
        <f t="shared" si="38"/>
        <v>8.3333333333333329E-2</v>
      </c>
      <c r="F68" s="570">
        <f t="shared" ca="1" si="39"/>
        <v>637.58833333333325</v>
      </c>
      <c r="G68" s="571">
        <f t="shared" si="38"/>
        <v>8.3333333333333329E-2</v>
      </c>
      <c r="H68" s="572">
        <f t="shared" ca="1" si="40"/>
        <v>637.58833333333325</v>
      </c>
      <c r="I68" s="571">
        <f t="shared" si="38"/>
        <v>8.3333333333333329E-2</v>
      </c>
      <c r="J68" s="572">
        <f t="shared" ca="1" si="41"/>
        <v>637.58833333333325</v>
      </c>
      <c r="K68" s="571">
        <f t="shared" si="38"/>
        <v>8.3333333333333329E-2</v>
      </c>
      <c r="L68" s="572">
        <f t="shared" ca="1" si="42"/>
        <v>637.58833333333325</v>
      </c>
      <c r="M68" s="571">
        <f t="shared" si="38"/>
        <v>8.3333333333333329E-2</v>
      </c>
      <c r="N68" s="572">
        <f t="shared" ca="1" si="43"/>
        <v>637.58833333333325</v>
      </c>
      <c r="O68" s="571">
        <f t="shared" si="38"/>
        <v>8.3333333333333329E-2</v>
      </c>
      <c r="P68" s="572">
        <f t="shared" ca="1" si="44"/>
        <v>637.58833333333325</v>
      </c>
      <c r="Q68" s="571">
        <f t="shared" si="38"/>
        <v>8.3333333333333329E-2</v>
      </c>
      <c r="R68" s="570">
        <f t="shared" ca="1" si="45"/>
        <v>637.58833333333325</v>
      </c>
      <c r="S68" s="571">
        <f t="shared" si="38"/>
        <v>8.3333333333333329E-2</v>
      </c>
      <c r="T68" s="572">
        <f t="shared" ca="1" si="46"/>
        <v>637.58833333333325</v>
      </c>
      <c r="U68" s="571">
        <f t="shared" si="38"/>
        <v>8.3333333333333329E-2</v>
      </c>
      <c r="V68" s="572">
        <f t="shared" ca="1" si="47"/>
        <v>637.58833333333325</v>
      </c>
      <c r="W68" s="571">
        <f t="shared" si="38"/>
        <v>8.3333333333333329E-2</v>
      </c>
      <c r="X68" s="572">
        <f t="shared" ca="1" si="48"/>
        <v>637.58833333333325</v>
      </c>
      <c r="Y68" s="571">
        <f t="shared" si="38"/>
        <v>8.3333333333333329E-2</v>
      </c>
      <c r="Z68" s="572">
        <f t="shared" ca="1" si="49"/>
        <v>637.58833333333325</v>
      </c>
      <c r="AA68" s="571">
        <f t="shared" si="38"/>
        <v>8.3333333333333329E-2</v>
      </c>
      <c r="AB68" s="569">
        <f t="shared" ca="1" si="50"/>
        <v>637.58833333333325</v>
      </c>
      <c r="AC68" s="812">
        <f t="shared" si="13"/>
        <v>1</v>
      </c>
    </row>
    <row r="69" spans="2:29" ht="23.5" customHeight="1">
      <c r="B69" s="564" t="str">
        <f ca="1">'Plan Orçamentária'!O387</f>
        <v>15.7</v>
      </c>
      <c r="C69" s="566" t="str">
        <f>'Plan Orçamentária'!R387</f>
        <v>SPDA</v>
      </c>
      <c r="D69" s="567">
        <f ca="1">'Plan Orçamentária'!Y387</f>
        <v>32063.66</v>
      </c>
      <c r="E69" s="571">
        <f t="shared" si="38"/>
        <v>8.3333333333333329E-2</v>
      </c>
      <c r="F69" s="570">
        <f t="shared" ca="1" si="39"/>
        <v>2671.9716666666664</v>
      </c>
      <c r="G69" s="571">
        <f t="shared" si="38"/>
        <v>8.3333333333333329E-2</v>
      </c>
      <c r="H69" s="572">
        <f t="shared" ca="1" si="40"/>
        <v>2671.9716666666664</v>
      </c>
      <c r="I69" s="571">
        <f t="shared" si="38"/>
        <v>8.3333333333333329E-2</v>
      </c>
      <c r="J69" s="572">
        <f t="shared" ca="1" si="41"/>
        <v>2671.9716666666664</v>
      </c>
      <c r="K69" s="571">
        <f t="shared" si="38"/>
        <v>8.3333333333333329E-2</v>
      </c>
      <c r="L69" s="572">
        <f t="shared" ca="1" si="42"/>
        <v>2671.9716666666664</v>
      </c>
      <c r="M69" s="571">
        <f t="shared" si="38"/>
        <v>8.3333333333333329E-2</v>
      </c>
      <c r="N69" s="572">
        <f t="shared" ca="1" si="43"/>
        <v>2671.9716666666664</v>
      </c>
      <c r="O69" s="571">
        <f t="shared" si="38"/>
        <v>8.3333333333333329E-2</v>
      </c>
      <c r="P69" s="572">
        <f t="shared" ca="1" si="44"/>
        <v>2671.9716666666664</v>
      </c>
      <c r="Q69" s="571">
        <f t="shared" si="38"/>
        <v>8.3333333333333329E-2</v>
      </c>
      <c r="R69" s="570">
        <f t="shared" ca="1" si="45"/>
        <v>2671.9716666666664</v>
      </c>
      <c r="S69" s="571">
        <f t="shared" si="38"/>
        <v>8.3333333333333329E-2</v>
      </c>
      <c r="T69" s="572">
        <f t="shared" ca="1" si="46"/>
        <v>2671.9716666666664</v>
      </c>
      <c r="U69" s="571">
        <f t="shared" si="38"/>
        <v>8.3333333333333329E-2</v>
      </c>
      <c r="V69" s="572">
        <f t="shared" ca="1" si="47"/>
        <v>2671.9716666666664</v>
      </c>
      <c r="W69" s="571">
        <f t="shared" si="38"/>
        <v>8.3333333333333329E-2</v>
      </c>
      <c r="X69" s="572">
        <f t="shared" ca="1" si="48"/>
        <v>2671.9716666666664</v>
      </c>
      <c r="Y69" s="571">
        <f t="shared" si="38"/>
        <v>8.3333333333333329E-2</v>
      </c>
      <c r="Z69" s="572">
        <f t="shared" ca="1" si="49"/>
        <v>2671.9716666666664</v>
      </c>
      <c r="AA69" s="571">
        <f t="shared" si="38"/>
        <v>8.3333333333333329E-2</v>
      </c>
      <c r="AB69" s="569">
        <f t="shared" ca="1" si="50"/>
        <v>2671.9716666666664</v>
      </c>
      <c r="AC69" s="812">
        <f t="shared" si="13"/>
        <v>1</v>
      </c>
    </row>
    <row r="70" spans="2:29" ht="23.5" customHeight="1">
      <c r="B70" s="564" t="str">
        <f ca="1">'Plan Orçamentária'!O401</f>
        <v>15.8</v>
      </c>
      <c r="C70" s="566" t="str">
        <f>'Plan Orçamentária'!R401</f>
        <v>LÓGICA / CABEAMENTO</v>
      </c>
      <c r="D70" s="567">
        <f ca="1">'Plan Orçamentária'!Y401</f>
        <v>84631.32</v>
      </c>
      <c r="E70" s="571">
        <f t="shared" si="38"/>
        <v>8.3333333333333329E-2</v>
      </c>
      <c r="F70" s="570">
        <f t="shared" ca="1" si="39"/>
        <v>7052.6100000000006</v>
      </c>
      <c r="G70" s="571">
        <f t="shared" si="38"/>
        <v>8.3333333333333329E-2</v>
      </c>
      <c r="H70" s="572">
        <f t="shared" ca="1" si="40"/>
        <v>7052.6100000000006</v>
      </c>
      <c r="I70" s="571">
        <f t="shared" si="38"/>
        <v>8.3333333333333329E-2</v>
      </c>
      <c r="J70" s="572">
        <f t="shared" ca="1" si="41"/>
        <v>7052.6100000000006</v>
      </c>
      <c r="K70" s="571">
        <f t="shared" si="38"/>
        <v>8.3333333333333329E-2</v>
      </c>
      <c r="L70" s="572">
        <f t="shared" ca="1" si="42"/>
        <v>7052.6100000000006</v>
      </c>
      <c r="M70" s="571">
        <f t="shared" si="38"/>
        <v>8.3333333333333329E-2</v>
      </c>
      <c r="N70" s="572">
        <f t="shared" ca="1" si="43"/>
        <v>7052.6100000000006</v>
      </c>
      <c r="O70" s="571">
        <f t="shared" si="38"/>
        <v>8.3333333333333329E-2</v>
      </c>
      <c r="P70" s="572">
        <f t="shared" ca="1" si="44"/>
        <v>7052.6100000000006</v>
      </c>
      <c r="Q70" s="571">
        <f t="shared" si="38"/>
        <v>8.3333333333333329E-2</v>
      </c>
      <c r="R70" s="570">
        <f t="shared" ca="1" si="45"/>
        <v>7052.6100000000006</v>
      </c>
      <c r="S70" s="571">
        <f t="shared" si="38"/>
        <v>8.3333333333333329E-2</v>
      </c>
      <c r="T70" s="572">
        <f t="shared" ca="1" si="46"/>
        <v>7052.6100000000006</v>
      </c>
      <c r="U70" s="571">
        <f t="shared" si="38"/>
        <v>8.3333333333333329E-2</v>
      </c>
      <c r="V70" s="572">
        <f t="shared" ca="1" si="47"/>
        <v>7052.6100000000006</v>
      </c>
      <c r="W70" s="571">
        <f t="shared" si="38"/>
        <v>8.3333333333333329E-2</v>
      </c>
      <c r="X70" s="572">
        <f t="shared" ca="1" si="48"/>
        <v>7052.6100000000006</v>
      </c>
      <c r="Y70" s="571">
        <f t="shared" si="38"/>
        <v>8.3333333333333329E-2</v>
      </c>
      <c r="Z70" s="572">
        <f t="shared" ca="1" si="49"/>
        <v>7052.6100000000006</v>
      </c>
      <c r="AA70" s="571">
        <f t="shared" si="38"/>
        <v>8.3333333333333329E-2</v>
      </c>
      <c r="AB70" s="569">
        <f t="shared" ca="1" si="50"/>
        <v>7052.6100000000006</v>
      </c>
      <c r="AC70" s="812">
        <f t="shared" si="13"/>
        <v>1</v>
      </c>
    </row>
    <row r="71" spans="2:29" ht="23.5" customHeight="1">
      <c r="B71" s="564">
        <f ca="1">'Plan Orçamentária'!O429</f>
        <v>16</v>
      </c>
      <c r="C71" s="566" t="str">
        <f>'Plan Orçamentária'!R429</f>
        <v>PREVENÇÃO E COMBATE Â INCÊNDIO</v>
      </c>
      <c r="D71" s="567">
        <f ca="1">'Plan Orçamentária'!Y429</f>
        <v>66701.850000000006</v>
      </c>
      <c r="E71" s="571">
        <f t="shared" si="38"/>
        <v>8.3333333333333329E-2</v>
      </c>
      <c r="F71" s="570">
        <f t="shared" ca="1" si="39"/>
        <v>5558.4875000000002</v>
      </c>
      <c r="G71" s="571">
        <f t="shared" si="38"/>
        <v>8.3333333333333329E-2</v>
      </c>
      <c r="H71" s="572">
        <f t="shared" ca="1" si="40"/>
        <v>5558.4875000000002</v>
      </c>
      <c r="I71" s="571">
        <f t="shared" si="38"/>
        <v>8.3333333333333329E-2</v>
      </c>
      <c r="J71" s="572">
        <f t="shared" ca="1" si="41"/>
        <v>5558.4875000000002</v>
      </c>
      <c r="K71" s="571">
        <f t="shared" si="38"/>
        <v>8.3333333333333329E-2</v>
      </c>
      <c r="L71" s="572">
        <f t="shared" ca="1" si="42"/>
        <v>5558.4875000000002</v>
      </c>
      <c r="M71" s="571">
        <f t="shared" si="38"/>
        <v>8.3333333333333329E-2</v>
      </c>
      <c r="N71" s="572">
        <f t="shared" ca="1" si="43"/>
        <v>5558.4875000000002</v>
      </c>
      <c r="O71" s="571">
        <f t="shared" si="38"/>
        <v>8.3333333333333329E-2</v>
      </c>
      <c r="P71" s="572">
        <f t="shared" ca="1" si="44"/>
        <v>5558.4875000000002</v>
      </c>
      <c r="Q71" s="571">
        <f t="shared" si="38"/>
        <v>8.3333333333333329E-2</v>
      </c>
      <c r="R71" s="570">
        <f t="shared" ca="1" si="45"/>
        <v>5558.4875000000002</v>
      </c>
      <c r="S71" s="571">
        <f t="shared" si="38"/>
        <v>8.3333333333333329E-2</v>
      </c>
      <c r="T71" s="572">
        <f t="shared" ca="1" si="46"/>
        <v>5558.4875000000002</v>
      </c>
      <c r="U71" s="571">
        <f t="shared" si="38"/>
        <v>8.3333333333333329E-2</v>
      </c>
      <c r="V71" s="572">
        <f t="shared" ca="1" si="47"/>
        <v>5558.4875000000002</v>
      </c>
      <c r="W71" s="571">
        <f t="shared" si="38"/>
        <v>8.3333333333333329E-2</v>
      </c>
      <c r="X71" s="572">
        <f t="shared" ca="1" si="48"/>
        <v>5558.4875000000002</v>
      </c>
      <c r="Y71" s="571">
        <f t="shared" si="38"/>
        <v>8.3333333333333329E-2</v>
      </c>
      <c r="Z71" s="572">
        <f t="shared" ca="1" si="49"/>
        <v>5558.4875000000002</v>
      </c>
      <c r="AA71" s="571">
        <f t="shared" si="38"/>
        <v>8.3333333333333329E-2</v>
      </c>
      <c r="AB71" s="569">
        <f t="shared" ca="1" si="50"/>
        <v>5558.4875000000002</v>
      </c>
      <c r="AC71" s="812">
        <f t="shared" si="13"/>
        <v>1</v>
      </c>
    </row>
    <row r="72" spans="2:29" ht="23.5" customHeight="1">
      <c r="B72" s="564">
        <f ca="1">'Plan Orçamentária'!O452</f>
        <v>17</v>
      </c>
      <c r="C72" s="566" t="str">
        <f>'Plan Orçamentária'!R452</f>
        <v>CLIMATIZAÇÃO E VENTILAÇÃO</v>
      </c>
      <c r="D72" s="567">
        <f ca="1">D73+D74</f>
        <v>164097.24</v>
      </c>
      <c r="E72" s="573">
        <f ca="1">F72/D72</f>
        <v>0</v>
      </c>
      <c r="F72" s="574">
        <f ca="1">F73+F74</f>
        <v>0</v>
      </c>
      <c r="G72" s="575">
        <f ca="1">H72/D72</f>
        <v>0</v>
      </c>
      <c r="H72" s="576">
        <f ca="1">H73+H74</f>
        <v>0</v>
      </c>
      <c r="I72" s="575">
        <f ca="1">J72/D72</f>
        <v>0</v>
      </c>
      <c r="J72" s="576">
        <f ca="1">J73+J74</f>
        <v>0</v>
      </c>
      <c r="K72" s="575">
        <f ca="1">L72/D72</f>
        <v>0</v>
      </c>
      <c r="L72" s="576">
        <f ca="1">L73+L74</f>
        <v>0</v>
      </c>
      <c r="M72" s="575">
        <f ca="1">N72/D72</f>
        <v>0</v>
      </c>
      <c r="N72" s="576">
        <f ca="1">N73+N74</f>
        <v>0</v>
      </c>
      <c r="O72" s="575">
        <f ca="1">P72/D72</f>
        <v>0</v>
      </c>
      <c r="P72" s="576">
        <f ca="1">P73+P74</f>
        <v>0</v>
      </c>
      <c r="Q72" s="575">
        <f ca="1">R72/D72</f>
        <v>0</v>
      </c>
      <c r="R72" s="574">
        <f ca="1">R73+R74</f>
        <v>0</v>
      </c>
      <c r="S72" s="575">
        <f ca="1">T72/D72</f>
        <v>0</v>
      </c>
      <c r="T72" s="576">
        <f ca="1">T73+T74</f>
        <v>0</v>
      </c>
      <c r="U72" s="575">
        <f ca="1">V72/D72</f>
        <v>0.25</v>
      </c>
      <c r="V72" s="576">
        <f ca="1">V73+V74</f>
        <v>41024.31</v>
      </c>
      <c r="W72" s="575">
        <f ca="1">X72/D72</f>
        <v>0.25</v>
      </c>
      <c r="X72" s="576">
        <f ca="1">X73+X74</f>
        <v>41024.31</v>
      </c>
      <c r="Y72" s="575">
        <f ca="1">Z72/D72</f>
        <v>0.25</v>
      </c>
      <c r="Z72" s="576">
        <f ca="1">Z73+Z74</f>
        <v>41024.31</v>
      </c>
      <c r="AA72" s="575">
        <f ca="1">AB72/D72</f>
        <v>0.25</v>
      </c>
      <c r="AB72" s="577">
        <f ca="1">AB73+AB74</f>
        <v>41024.31</v>
      </c>
      <c r="AC72" s="812">
        <f t="shared" ref="AC72:AC86" ca="1" si="51">E72+G72+I72+K72+M72+O72+Q72+S72+U72+W72+Y72+AA72</f>
        <v>1</v>
      </c>
    </row>
    <row r="73" spans="2:29" ht="23.5" customHeight="1">
      <c r="B73" s="564" t="str">
        <f ca="1">'Plan Orçamentária'!O453</f>
        <v>17.1</v>
      </c>
      <c r="C73" s="566" t="str">
        <f>'Plan Orçamentária'!R453</f>
        <v>CLIMATIZAÇÃO</v>
      </c>
      <c r="D73" s="567">
        <f ca="1">'Plan Orçamentária'!Y453</f>
        <v>161917.66</v>
      </c>
      <c r="E73" s="568"/>
      <c r="F73" s="570">
        <f ca="1">$D73 * E73</f>
        <v>0</v>
      </c>
      <c r="G73" s="571"/>
      <c r="H73" s="572">
        <f ca="1">$D73 * G73</f>
        <v>0</v>
      </c>
      <c r="I73" s="571"/>
      <c r="J73" s="572">
        <f ca="1">$D73 * I73</f>
        <v>0</v>
      </c>
      <c r="K73" s="571"/>
      <c r="L73" s="572">
        <f ca="1">$D73 * K73</f>
        <v>0</v>
      </c>
      <c r="M73" s="571"/>
      <c r="N73" s="572">
        <f ca="1">$D73 * M73</f>
        <v>0</v>
      </c>
      <c r="O73" s="571"/>
      <c r="P73" s="572">
        <f ca="1">$D73 * O73</f>
        <v>0</v>
      </c>
      <c r="Q73" s="571"/>
      <c r="R73" s="570">
        <f ca="1">$D73 * Q73</f>
        <v>0</v>
      </c>
      <c r="S73" s="571"/>
      <c r="T73" s="572">
        <f ca="1">$D73 * S73</f>
        <v>0</v>
      </c>
      <c r="U73" s="571">
        <v>0.25</v>
      </c>
      <c r="V73" s="572">
        <f ca="1">$D73 * U73</f>
        <v>40479.415000000001</v>
      </c>
      <c r="W73" s="571">
        <v>0.25</v>
      </c>
      <c r="X73" s="572">
        <f ca="1">$D73 * W73</f>
        <v>40479.415000000001</v>
      </c>
      <c r="Y73" s="571">
        <v>0.25</v>
      </c>
      <c r="Z73" s="572">
        <f ca="1">$D73 * Y73</f>
        <v>40479.415000000001</v>
      </c>
      <c r="AA73" s="571">
        <v>0.25</v>
      </c>
      <c r="AB73" s="569">
        <f ca="1">$D73 * AA73</f>
        <v>40479.415000000001</v>
      </c>
      <c r="AC73" s="812">
        <f t="shared" si="51"/>
        <v>1</v>
      </c>
    </row>
    <row r="74" spans="2:29" ht="23.5" customHeight="1">
      <c r="B74" s="564" t="str">
        <f ca="1">'Plan Orçamentária'!O469</f>
        <v>17.2</v>
      </c>
      <c r="C74" s="566" t="str">
        <f>'Plan Orçamentária'!R469</f>
        <v>VENTILAÇÃO</v>
      </c>
      <c r="D74" s="567">
        <f ca="1">'Plan Orçamentária'!Y469</f>
        <v>2179.58</v>
      </c>
      <c r="E74" s="568"/>
      <c r="F74" s="570">
        <f ca="1">$D74 * E74</f>
        <v>0</v>
      </c>
      <c r="G74" s="571"/>
      <c r="H74" s="572">
        <f ca="1">$D74 * G74</f>
        <v>0</v>
      </c>
      <c r="I74" s="571"/>
      <c r="J74" s="572">
        <f ca="1">$D74 * I74</f>
        <v>0</v>
      </c>
      <c r="K74" s="571"/>
      <c r="L74" s="572">
        <f ca="1">$D74 * K74</f>
        <v>0</v>
      </c>
      <c r="M74" s="571"/>
      <c r="N74" s="572">
        <f ca="1">$D74 * M74</f>
        <v>0</v>
      </c>
      <c r="O74" s="571"/>
      <c r="P74" s="572">
        <f ca="1">$D74 * O74</f>
        <v>0</v>
      </c>
      <c r="Q74" s="571"/>
      <c r="R74" s="570">
        <f ca="1">$D74 * Q74</f>
        <v>0</v>
      </c>
      <c r="S74" s="571"/>
      <c r="T74" s="572">
        <f ca="1">$D74 * S74</f>
        <v>0</v>
      </c>
      <c r="U74" s="571">
        <v>0.25</v>
      </c>
      <c r="V74" s="572">
        <f ca="1">$D74 * U74</f>
        <v>544.89499999999998</v>
      </c>
      <c r="W74" s="571">
        <v>0.25</v>
      </c>
      <c r="X74" s="572">
        <f ca="1">$D74 * W74</f>
        <v>544.89499999999998</v>
      </c>
      <c r="Y74" s="571">
        <v>0.25</v>
      </c>
      <c r="Z74" s="572">
        <f ca="1">$D74 * Y74</f>
        <v>544.89499999999998</v>
      </c>
      <c r="AA74" s="571">
        <v>0.25</v>
      </c>
      <c r="AB74" s="569">
        <f ca="1">$D74 * AA74</f>
        <v>544.89499999999998</v>
      </c>
      <c r="AC74" s="812">
        <f t="shared" si="51"/>
        <v>1</v>
      </c>
    </row>
    <row r="75" spans="2:29" ht="23.5" customHeight="1">
      <c r="B75" s="564">
        <f ca="1">'Plan Orçamentária'!O474</f>
        <v>18</v>
      </c>
      <c r="C75" s="566" t="str">
        <f>'Plan Orçamentária'!R474</f>
        <v>PINTURA</v>
      </c>
      <c r="D75" s="567">
        <f ca="1">D76+D77+D78</f>
        <v>261717.55000000002</v>
      </c>
      <c r="E75" s="573">
        <f ca="1">F75/D75</f>
        <v>0</v>
      </c>
      <c r="F75" s="574">
        <f ca="1">F76+F77+F78</f>
        <v>0</v>
      </c>
      <c r="G75" s="575">
        <f ca="1">H75/D75</f>
        <v>0</v>
      </c>
      <c r="H75" s="576">
        <f ca="1">H76+H77+H78</f>
        <v>0</v>
      </c>
      <c r="I75" s="575">
        <f ca="1">J75/D75</f>
        <v>0</v>
      </c>
      <c r="J75" s="576">
        <f ca="1">J76+J77+J78</f>
        <v>0</v>
      </c>
      <c r="K75" s="575">
        <f ca="1">L75/D75</f>
        <v>0</v>
      </c>
      <c r="L75" s="576">
        <f ca="1">L76+L77+L78</f>
        <v>0</v>
      </c>
      <c r="M75" s="575">
        <f ca="1">N75/D75</f>
        <v>0</v>
      </c>
      <c r="N75" s="576">
        <f ca="1">N76+N77+N78</f>
        <v>0</v>
      </c>
      <c r="O75" s="575">
        <f ca="1">P75/D75</f>
        <v>0</v>
      </c>
      <c r="P75" s="576">
        <f ca="1">P76+P77+P78</f>
        <v>0</v>
      </c>
      <c r="Q75" s="575">
        <f ca="1">R75/D75</f>
        <v>0</v>
      </c>
      <c r="R75" s="574">
        <f ca="1">R76+R77+R78</f>
        <v>0</v>
      </c>
      <c r="S75" s="575">
        <f ca="1">T75/D75</f>
        <v>0</v>
      </c>
      <c r="T75" s="576">
        <f ca="1">T76+T77+T78</f>
        <v>0</v>
      </c>
      <c r="U75" s="575">
        <f ca="1">V75/D75</f>
        <v>0</v>
      </c>
      <c r="V75" s="576">
        <f ca="1">V76+V77+V78</f>
        <v>0</v>
      </c>
      <c r="W75" s="575">
        <f ca="1">X75/D75</f>
        <v>0.5</v>
      </c>
      <c r="X75" s="576">
        <f ca="1">X76+X77+X78</f>
        <v>130858.77500000001</v>
      </c>
      <c r="Y75" s="575">
        <f ca="1">Z75/D75</f>
        <v>0.4</v>
      </c>
      <c r="Z75" s="576">
        <f ca="1">Z76+Z77+Z78</f>
        <v>104687.02000000002</v>
      </c>
      <c r="AA75" s="575">
        <f ca="1">AB75/D75</f>
        <v>0.1</v>
      </c>
      <c r="AB75" s="577">
        <f ca="1">AB76+AB77+AB78</f>
        <v>26171.755000000005</v>
      </c>
      <c r="AC75" s="812">
        <f t="shared" ca="1" si="51"/>
        <v>1</v>
      </c>
    </row>
    <row r="76" spans="2:29" ht="23.5" customHeight="1">
      <c r="B76" s="564" t="str">
        <f ca="1">'Plan Orçamentária'!O475</f>
        <v>18.1</v>
      </c>
      <c r="C76" s="566" t="str">
        <f>'Plan Orçamentária'!R475</f>
        <v>PAREDES</v>
      </c>
      <c r="D76" s="567">
        <f ca="1">'Plan Orçamentária'!Y475</f>
        <v>160652.38000000003</v>
      </c>
      <c r="E76" s="568"/>
      <c r="F76" s="570">
        <f ca="1">$D76 * E76</f>
        <v>0</v>
      </c>
      <c r="G76" s="571"/>
      <c r="H76" s="572">
        <f ca="1">$D76 * G76</f>
        <v>0</v>
      </c>
      <c r="I76" s="571"/>
      <c r="J76" s="572">
        <f ca="1">$D76 * I76</f>
        <v>0</v>
      </c>
      <c r="K76" s="571"/>
      <c r="L76" s="572">
        <f ca="1">$D76 * K76</f>
        <v>0</v>
      </c>
      <c r="M76" s="571"/>
      <c r="N76" s="572">
        <f ca="1">$D76 * M76</f>
        <v>0</v>
      </c>
      <c r="O76" s="571"/>
      <c r="P76" s="572">
        <f ca="1">$D76 * O76</f>
        <v>0</v>
      </c>
      <c r="Q76" s="571"/>
      <c r="R76" s="570">
        <f ca="1">$D76 * Q76</f>
        <v>0</v>
      </c>
      <c r="S76" s="571"/>
      <c r="T76" s="572">
        <f ca="1">$D76 * S76</f>
        <v>0</v>
      </c>
      <c r="U76" s="571"/>
      <c r="V76" s="572">
        <f ca="1">$D76 * U76</f>
        <v>0</v>
      </c>
      <c r="W76" s="571">
        <v>0.5</v>
      </c>
      <c r="X76" s="572">
        <f ca="1">$D76 * W76</f>
        <v>80326.190000000017</v>
      </c>
      <c r="Y76" s="571">
        <v>0.4</v>
      </c>
      <c r="Z76" s="572">
        <f ca="1">$D76 * Y76</f>
        <v>64260.952000000019</v>
      </c>
      <c r="AA76" s="571">
        <v>0.1</v>
      </c>
      <c r="AB76" s="569">
        <f ca="1">$D76 * AA76</f>
        <v>16065.238000000005</v>
      </c>
      <c r="AC76" s="812">
        <f t="shared" si="51"/>
        <v>1</v>
      </c>
    </row>
    <row r="77" spans="2:29" ht="23.5" customHeight="1">
      <c r="B77" s="564" t="str">
        <f ca="1">'Plan Orçamentária'!O481</f>
        <v>18.2</v>
      </c>
      <c r="C77" s="566" t="str">
        <f>'Plan Orçamentária'!R481</f>
        <v>TETO</v>
      </c>
      <c r="D77" s="567">
        <f ca="1">'Plan Orçamentária'!Y481</f>
        <v>48731.759999999995</v>
      </c>
      <c r="E77" s="568"/>
      <c r="F77" s="570">
        <f ca="1">$D77 * E77</f>
        <v>0</v>
      </c>
      <c r="G77" s="571"/>
      <c r="H77" s="572">
        <f ca="1">$D77 * G77</f>
        <v>0</v>
      </c>
      <c r="I77" s="571"/>
      <c r="J77" s="572">
        <f ca="1">$D77 * I77</f>
        <v>0</v>
      </c>
      <c r="K77" s="571"/>
      <c r="L77" s="572">
        <f ca="1">$D77 * K77</f>
        <v>0</v>
      </c>
      <c r="M77" s="571"/>
      <c r="N77" s="572">
        <f ca="1">$D77 * M77</f>
        <v>0</v>
      </c>
      <c r="O77" s="571"/>
      <c r="P77" s="572">
        <f ca="1">$D77 * O77</f>
        <v>0</v>
      </c>
      <c r="Q77" s="571"/>
      <c r="R77" s="570">
        <f ca="1">$D77 * Q77</f>
        <v>0</v>
      </c>
      <c r="S77" s="571"/>
      <c r="T77" s="572">
        <f ca="1">$D77 * S77</f>
        <v>0</v>
      </c>
      <c r="U77" s="571"/>
      <c r="V77" s="572">
        <f ca="1">$D77 * U77</f>
        <v>0</v>
      </c>
      <c r="W77" s="571">
        <v>0.5</v>
      </c>
      <c r="X77" s="572">
        <f t="shared" ref="X77:X79" ca="1" si="52">$D77 * W77</f>
        <v>24365.879999999997</v>
      </c>
      <c r="Y77" s="571">
        <v>0.4</v>
      </c>
      <c r="Z77" s="572">
        <f t="shared" ref="Z77:Z79" ca="1" si="53">$D77 * Y77</f>
        <v>19492.703999999998</v>
      </c>
      <c r="AA77" s="571">
        <v>0.1</v>
      </c>
      <c r="AB77" s="569">
        <f t="shared" ref="AB77:AB79" ca="1" si="54">$D77 * AA77</f>
        <v>4873.1759999999995</v>
      </c>
      <c r="AC77" s="812">
        <f t="shared" si="51"/>
        <v>1</v>
      </c>
    </row>
    <row r="78" spans="2:29" ht="23.5" customHeight="1">
      <c r="B78" s="564" t="str">
        <f ca="1">'Plan Orçamentária'!O485</f>
        <v>18.3</v>
      </c>
      <c r="C78" s="566" t="str">
        <f>'Plan Orçamentária'!R485</f>
        <v>PISO</v>
      </c>
      <c r="D78" s="567">
        <f ca="1">'Plan Orçamentária'!Y485</f>
        <v>52333.41</v>
      </c>
      <c r="E78" s="568"/>
      <c r="F78" s="570">
        <f ca="1">$D78 * E78</f>
        <v>0</v>
      </c>
      <c r="G78" s="571"/>
      <c r="H78" s="572">
        <f ca="1">$D78 * G78</f>
        <v>0</v>
      </c>
      <c r="I78" s="571"/>
      <c r="J78" s="572">
        <f ca="1">$D78 * I78</f>
        <v>0</v>
      </c>
      <c r="K78" s="571"/>
      <c r="L78" s="572">
        <f ca="1">$D78 * K78</f>
        <v>0</v>
      </c>
      <c r="M78" s="571"/>
      <c r="N78" s="572">
        <f ca="1">$D78 * M78</f>
        <v>0</v>
      </c>
      <c r="O78" s="571"/>
      <c r="P78" s="572">
        <f ca="1">$D78 * O78</f>
        <v>0</v>
      </c>
      <c r="Q78" s="571"/>
      <c r="R78" s="570">
        <f ca="1">$D78 * Q78</f>
        <v>0</v>
      </c>
      <c r="S78" s="571"/>
      <c r="T78" s="572">
        <f ca="1">$D78 * S78</f>
        <v>0</v>
      </c>
      <c r="U78" s="571"/>
      <c r="V78" s="572">
        <f ca="1">$D78 * U78</f>
        <v>0</v>
      </c>
      <c r="W78" s="571">
        <v>0.5</v>
      </c>
      <c r="X78" s="572">
        <f t="shared" ca="1" si="52"/>
        <v>26166.705000000002</v>
      </c>
      <c r="Y78" s="571">
        <v>0.4</v>
      </c>
      <c r="Z78" s="572">
        <f t="shared" ca="1" si="53"/>
        <v>20933.364000000001</v>
      </c>
      <c r="AA78" s="571">
        <v>0.1</v>
      </c>
      <c r="AB78" s="569">
        <f t="shared" ca="1" si="54"/>
        <v>5233.3410000000003</v>
      </c>
      <c r="AC78" s="812">
        <f t="shared" si="51"/>
        <v>1</v>
      </c>
    </row>
    <row r="79" spans="2:29" ht="23.5" customHeight="1">
      <c r="B79" s="564">
        <f ca="1">'Plan Orçamentária'!O490</f>
        <v>19</v>
      </c>
      <c r="C79" s="566" t="str">
        <f>'Plan Orçamentária'!R490</f>
        <v>COMUNICAÇÃO VISUAL E ACESSIBILIDADE</v>
      </c>
      <c r="D79" s="567">
        <f ca="1">'Plan Orçamentária'!Y490</f>
        <v>32683.85</v>
      </c>
      <c r="E79" s="568"/>
      <c r="F79" s="570">
        <f ca="1">$D79 * E79</f>
        <v>0</v>
      </c>
      <c r="G79" s="571"/>
      <c r="H79" s="572">
        <f ca="1">$D79 * G79</f>
        <v>0</v>
      </c>
      <c r="I79" s="571"/>
      <c r="J79" s="572">
        <f ca="1">$D79 * I79</f>
        <v>0</v>
      </c>
      <c r="K79" s="571"/>
      <c r="L79" s="572">
        <f ca="1">$D79 * K79</f>
        <v>0</v>
      </c>
      <c r="M79" s="571"/>
      <c r="N79" s="572">
        <f ca="1">$D79 * M79</f>
        <v>0</v>
      </c>
      <c r="O79" s="571"/>
      <c r="P79" s="572">
        <f ca="1">$D79 * O79</f>
        <v>0</v>
      </c>
      <c r="Q79" s="571"/>
      <c r="R79" s="570">
        <f ca="1">$D79 * Q79</f>
        <v>0</v>
      </c>
      <c r="S79" s="571"/>
      <c r="T79" s="572">
        <f ca="1">$D79 * S79</f>
        <v>0</v>
      </c>
      <c r="U79" s="571"/>
      <c r="V79" s="572">
        <f ca="1">$D79 * U79</f>
        <v>0</v>
      </c>
      <c r="W79" s="571">
        <v>0.5</v>
      </c>
      <c r="X79" s="572">
        <f t="shared" ca="1" si="52"/>
        <v>16341.924999999999</v>
      </c>
      <c r="Y79" s="571">
        <v>0.4</v>
      </c>
      <c r="Z79" s="572">
        <f t="shared" ca="1" si="53"/>
        <v>13073.54</v>
      </c>
      <c r="AA79" s="571">
        <v>0.1</v>
      </c>
      <c r="AB79" s="569">
        <f t="shared" ca="1" si="54"/>
        <v>3268.3850000000002</v>
      </c>
      <c r="AC79" s="812">
        <f t="shared" si="51"/>
        <v>1</v>
      </c>
    </row>
    <row r="80" spans="2:29" ht="23.5" customHeight="1">
      <c r="B80" s="564">
        <f ca="1">'Plan Orçamentária'!O499</f>
        <v>20</v>
      </c>
      <c r="C80" s="566" t="str">
        <f>'Plan Orçamentária'!R499</f>
        <v>DELEGACIA SECCIONAL DE POLICIA</v>
      </c>
      <c r="D80" s="567">
        <f ca="1">D81+D82+D83</f>
        <v>147655.49000000002</v>
      </c>
      <c r="E80" s="573">
        <f ca="1">F80/D80</f>
        <v>0</v>
      </c>
      <c r="F80" s="574">
        <f ca="1">F81+F82+F83</f>
        <v>0</v>
      </c>
      <c r="G80" s="575">
        <f ca="1">H80/D80</f>
        <v>0</v>
      </c>
      <c r="H80" s="576">
        <f ca="1">H81+H82+H83</f>
        <v>0</v>
      </c>
      <c r="I80" s="575">
        <f ca="1">J80/D80</f>
        <v>0</v>
      </c>
      <c r="J80" s="576">
        <f ca="1">J81+J82+J83</f>
        <v>0</v>
      </c>
      <c r="K80" s="575">
        <f ca="1">L80/D80</f>
        <v>0</v>
      </c>
      <c r="L80" s="576">
        <f ca="1">L81+L82+L83</f>
        <v>0</v>
      </c>
      <c r="M80" s="575">
        <f ca="1">N80/D80</f>
        <v>0</v>
      </c>
      <c r="N80" s="576">
        <f ca="1">N81+N82+N83</f>
        <v>0</v>
      </c>
      <c r="O80" s="575">
        <f ca="1">P80/D80</f>
        <v>0</v>
      </c>
      <c r="P80" s="576">
        <f ca="1">P81+P82+P83</f>
        <v>0</v>
      </c>
      <c r="Q80" s="575">
        <f ca="1">R80/D80</f>
        <v>0</v>
      </c>
      <c r="R80" s="574">
        <f ca="1">R81+R82+R83</f>
        <v>0</v>
      </c>
      <c r="S80" s="575">
        <f ca="1">T80/D80</f>
        <v>0</v>
      </c>
      <c r="T80" s="576">
        <f ca="1">T81+T82+T83</f>
        <v>0</v>
      </c>
      <c r="U80" s="575">
        <f ca="1">V80/D80</f>
        <v>0</v>
      </c>
      <c r="V80" s="576">
        <f ca="1">V81+V82+V83</f>
        <v>0</v>
      </c>
      <c r="W80" s="575">
        <f ca="1">X80/D80</f>
        <v>0</v>
      </c>
      <c r="X80" s="576">
        <f ca="1">X81+X82+X83</f>
        <v>0</v>
      </c>
      <c r="Y80" s="575">
        <f ca="1">Z80/D80</f>
        <v>0.5</v>
      </c>
      <c r="Z80" s="576">
        <f ca="1">Z81+Z82+Z83</f>
        <v>73827.74500000001</v>
      </c>
      <c r="AA80" s="575">
        <f ca="1">AB80/D80</f>
        <v>0.5</v>
      </c>
      <c r="AB80" s="577">
        <f ca="1">AB81+AB82+AB83</f>
        <v>73827.74500000001</v>
      </c>
      <c r="AC80" s="812">
        <f t="shared" ca="1" si="51"/>
        <v>1</v>
      </c>
    </row>
    <row r="81" spans="2:29" ht="23.5" customHeight="1">
      <c r="B81" s="564" t="str">
        <f ca="1">'Plan Orçamentária'!O500</f>
        <v>20.1</v>
      </c>
      <c r="C81" s="566" t="str">
        <f>'Plan Orçamentária'!R500</f>
        <v>DEMOLIÇÕES E RETIRADAS</v>
      </c>
      <c r="D81" s="567">
        <f ca="1">'Plan Orçamentária'!Y500</f>
        <v>30764.11</v>
      </c>
      <c r="E81" s="568"/>
      <c r="F81" s="570">
        <f ca="1">$D81 * E81</f>
        <v>0</v>
      </c>
      <c r="G81" s="571"/>
      <c r="H81" s="572">
        <f ca="1">$D81 * G81</f>
        <v>0</v>
      </c>
      <c r="I81" s="571"/>
      <c r="J81" s="572">
        <f ca="1">$D81 * I81</f>
        <v>0</v>
      </c>
      <c r="K81" s="571"/>
      <c r="L81" s="572">
        <f ca="1">$D81 * K81</f>
        <v>0</v>
      </c>
      <c r="M81" s="571"/>
      <c r="N81" s="572">
        <f ca="1">$D81 * M81</f>
        <v>0</v>
      </c>
      <c r="O81" s="571"/>
      <c r="P81" s="572">
        <f ca="1">$D81 * O81</f>
        <v>0</v>
      </c>
      <c r="Q81" s="571"/>
      <c r="R81" s="570">
        <f ca="1">$D81 * Q81</f>
        <v>0</v>
      </c>
      <c r="S81" s="571"/>
      <c r="T81" s="572">
        <f ca="1">$D81 * S81</f>
        <v>0</v>
      </c>
      <c r="U81" s="571"/>
      <c r="V81" s="572">
        <f ca="1">$D81 * U81</f>
        <v>0</v>
      </c>
      <c r="W81" s="571"/>
      <c r="X81" s="572">
        <f ca="1">$D81 * W81</f>
        <v>0</v>
      </c>
      <c r="Y81" s="571">
        <v>0.5</v>
      </c>
      <c r="Z81" s="572">
        <f ca="1">$D81 * Y81</f>
        <v>15382.055</v>
      </c>
      <c r="AA81" s="571">
        <v>0.5</v>
      </c>
      <c r="AB81" s="569">
        <f ca="1">$D81 * AA81</f>
        <v>15382.055</v>
      </c>
      <c r="AC81" s="812">
        <f t="shared" si="51"/>
        <v>1</v>
      </c>
    </row>
    <row r="82" spans="2:29" ht="23.5" customHeight="1">
      <c r="B82" s="564" t="str">
        <f ca="1">'Plan Orçamentária'!O505</f>
        <v>20.2</v>
      </c>
      <c r="C82" s="566" t="str">
        <f>'Plan Orçamentária'!R505</f>
        <v>GRADIL NOVO</v>
      </c>
      <c r="D82" s="567">
        <f ca="1">'Plan Orçamentária'!Y505</f>
        <v>112264.72</v>
      </c>
      <c r="E82" s="568"/>
      <c r="F82" s="570">
        <f ca="1">$D82 * E82</f>
        <v>0</v>
      </c>
      <c r="G82" s="571"/>
      <c r="H82" s="572">
        <f ca="1">$D82 * G82</f>
        <v>0</v>
      </c>
      <c r="I82" s="571"/>
      <c r="J82" s="572">
        <f ca="1">$D82 * I82</f>
        <v>0</v>
      </c>
      <c r="K82" s="571"/>
      <c r="L82" s="572">
        <f ca="1">$D82 * K82</f>
        <v>0</v>
      </c>
      <c r="M82" s="571"/>
      <c r="N82" s="572">
        <f ca="1">$D82 * M82</f>
        <v>0</v>
      </c>
      <c r="O82" s="571"/>
      <c r="P82" s="572">
        <f ca="1">$D82 * O82</f>
        <v>0</v>
      </c>
      <c r="Q82" s="571"/>
      <c r="R82" s="570">
        <f ca="1">$D82 * Q82</f>
        <v>0</v>
      </c>
      <c r="S82" s="571"/>
      <c r="T82" s="572">
        <f ca="1">$D82 * S82</f>
        <v>0</v>
      </c>
      <c r="U82" s="571"/>
      <c r="V82" s="572">
        <f ca="1">$D82 * U82</f>
        <v>0</v>
      </c>
      <c r="W82" s="571"/>
      <c r="X82" s="572">
        <f ca="1">$D82 * W82</f>
        <v>0</v>
      </c>
      <c r="Y82" s="571">
        <v>0.5</v>
      </c>
      <c r="Z82" s="572">
        <f ca="1">$D82 * Y82</f>
        <v>56132.36</v>
      </c>
      <c r="AA82" s="571">
        <v>0.5</v>
      </c>
      <c r="AB82" s="569">
        <f ca="1">$D82 * AA82</f>
        <v>56132.36</v>
      </c>
      <c r="AC82" s="812">
        <f t="shared" si="51"/>
        <v>1</v>
      </c>
    </row>
    <row r="83" spans="2:29" ht="23.5" customHeight="1">
      <c r="B83" s="564" t="str">
        <f ca="1">'Plan Orçamentária'!O513</f>
        <v>20.3</v>
      </c>
      <c r="C83" s="566" t="str">
        <f>'Plan Orçamentária'!R513</f>
        <v>PISO DE CONCRETO NOVO</v>
      </c>
      <c r="D83" s="567">
        <f ca="1">'Plan Orçamentária'!Y513</f>
        <v>4626.66</v>
      </c>
      <c r="E83" s="568"/>
      <c r="F83" s="570">
        <f ca="1">$D83 * E83</f>
        <v>0</v>
      </c>
      <c r="G83" s="571"/>
      <c r="H83" s="572">
        <f ca="1">$D83 * G83</f>
        <v>0</v>
      </c>
      <c r="I83" s="571"/>
      <c r="J83" s="572">
        <f ca="1">$D83 * I83</f>
        <v>0</v>
      </c>
      <c r="K83" s="571"/>
      <c r="L83" s="572">
        <f ca="1">$D83 * K83</f>
        <v>0</v>
      </c>
      <c r="M83" s="571"/>
      <c r="N83" s="572">
        <f ca="1">$D83 * M83</f>
        <v>0</v>
      </c>
      <c r="O83" s="571"/>
      <c r="P83" s="572">
        <f ca="1">$D83 * O83</f>
        <v>0</v>
      </c>
      <c r="Q83" s="571"/>
      <c r="R83" s="570">
        <f ca="1">$D83 * Q83</f>
        <v>0</v>
      </c>
      <c r="S83" s="571"/>
      <c r="T83" s="572">
        <f ca="1">$D83 * S83</f>
        <v>0</v>
      </c>
      <c r="U83" s="571"/>
      <c r="V83" s="572">
        <f ca="1">$D83 * U83</f>
        <v>0</v>
      </c>
      <c r="W83" s="571"/>
      <c r="X83" s="572">
        <f ca="1">$D83 * W83</f>
        <v>0</v>
      </c>
      <c r="Y83" s="571">
        <v>0.5</v>
      </c>
      <c r="Z83" s="572">
        <f ca="1">$D83 * Y83</f>
        <v>2313.33</v>
      </c>
      <c r="AA83" s="571">
        <v>0.5</v>
      </c>
      <c r="AB83" s="569">
        <f ca="1">$D83 * AA83</f>
        <v>2313.33</v>
      </c>
      <c r="AC83" s="812">
        <f t="shared" si="51"/>
        <v>1</v>
      </c>
    </row>
    <row r="84" spans="2:29" ht="23.5" customHeight="1">
      <c r="B84" s="564">
        <f ca="1">'Plan Orçamentária'!O520</f>
        <v>21</v>
      </c>
      <c r="C84" s="566" t="str">
        <f>'Plan Orçamentária'!R520</f>
        <v>SERVIÇOS COMPLEMENTARES</v>
      </c>
      <c r="D84" s="567">
        <f ca="1">D85+D86</f>
        <v>280093.68</v>
      </c>
      <c r="E84" s="573">
        <f ca="1">F84/D84</f>
        <v>0</v>
      </c>
      <c r="F84" s="574">
        <f ca="1">F85+F86</f>
        <v>0</v>
      </c>
      <c r="G84" s="575">
        <f ca="1">H84/D84</f>
        <v>0</v>
      </c>
      <c r="H84" s="576">
        <f ca="1">H85+H86</f>
        <v>0</v>
      </c>
      <c r="I84" s="575">
        <f ca="1">J84/D84</f>
        <v>0</v>
      </c>
      <c r="J84" s="576">
        <f ca="1">J85+J86</f>
        <v>0</v>
      </c>
      <c r="K84" s="575">
        <f ca="1">L84/D84</f>
        <v>0</v>
      </c>
      <c r="L84" s="576">
        <f ca="1">L85+L86</f>
        <v>0</v>
      </c>
      <c r="M84" s="575">
        <f ca="1">N84/D84</f>
        <v>0</v>
      </c>
      <c r="N84" s="576">
        <f ca="1">N85+N86</f>
        <v>0</v>
      </c>
      <c r="O84" s="575">
        <f ca="1">P84/D84</f>
        <v>0</v>
      </c>
      <c r="P84" s="576">
        <f ca="1">P85+P86</f>
        <v>0</v>
      </c>
      <c r="Q84" s="575">
        <f ca="1">R84/D84</f>
        <v>0</v>
      </c>
      <c r="R84" s="574">
        <f ca="1">R85+R86</f>
        <v>0</v>
      </c>
      <c r="S84" s="575">
        <f ca="1">T84/D84</f>
        <v>0</v>
      </c>
      <c r="T84" s="576">
        <f ca="1">T85+T86</f>
        <v>0</v>
      </c>
      <c r="U84" s="575">
        <f ca="1">V84/D84</f>
        <v>0</v>
      </c>
      <c r="V84" s="576">
        <f ca="1">V85+V86</f>
        <v>0</v>
      </c>
      <c r="W84" s="575">
        <f ca="1">X84/D84</f>
        <v>0</v>
      </c>
      <c r="X84" s="576">
        <f ca="1">X85+X86</f>
        <v>0</v>
      </c>
      <c r="Y84" s="575">
        <f ca="1">Z84/D84</f>
        <v>0</v>
      </c>
      <c r="Z84" s="576">
        <f ca="1">Z85+Z86</f>
        <v>0</v>
      </c>
      <c r="AA84" s="575">
        <f ca="1">AB84/D84</f>
        <v>1</v>
      </c>
      <c r="AB84" s="577">
        <f ca="1">AB85+AB86</f>
        <v>280093.68</v>
      </c>
      <c r="AC84" s="812">
        <f t="shared" ca="1" si="51"/>
        <v>1</v>
      </c>
    </row>
    <row r="85" spans="2:29" ht="23.5" customHeight="1">
      <c r="B85" s="564" t="str">
        <f ca="1">'Plan Orçamentária'!O521</f>
        <v>21.1</v>
      </c>
      <c r="C85" s="566" t="str">
        <f>'Plan Orçamentária'!R521</f>
        <v>OUTROS ELEMENTOS</v>
      </c>
      <c r="D85" s="567">
        <f ca="1">'Plan Orçamentária'!Y521</f>
        <v>260312.05</v>
      </c>
      <c r="E85" s="568"/>
      <c r="F85" s="570">
        <f ca="1">$D85 * E85</f>
        <v>0</v>
      </c>
      <c r="G85" s="571"/>
      <c r="H85" s="572">
        <f ca="1">$D85 * G85</f>
        <v>0</v>
      </c>
      <c r="I85" s="571"/>
      <c r="J85" s="572">
        <f ca="1">$D85 * I85</f>
        <v>0</v>
      </c>
      <c r="K85" s="571"/>
      <c r="L85" s="572">
        <f ca="1">$D85 * K85</f>
        <v>0</v>
      </c>
      <c r="M85" s="571"/>
      <c r="N85" s="572">
        <f ca="1">$D85 * M85</f>
        <v>0</v>
      </c>
      <c r="O85" s="571"/>
      <c r="P85" s="572">
        <f ca="1">$D85 * O85</f>
        <v>0</v>
      </c>
      <c r="Q85" s="571"/>
      <c r="R85" s="570">
        <f ca="1">$D85 * Q85</f>
        <v>0</v>
      </c>
      <c r="S85" s="571"/>
      <c r="T85" s="572">
        <f ca="1">$D85 * S85</f>
        <v>0</v>
      </c>
      <c r="U85" s="571"/>
      <c r="V85" s="572">
        <f ca="1">$D85 * U85</f>
        <v>0</v>
      </c>
      <c r="W85" s="571"/>
      <c r="X85" s="572">
        <f ca="1">$D85 * W85</f>
        <v>0</v>
      </c>
      <c r="Y85" s="571"/>
      <c r="Z85" s="572">
        <f ca="1">$D85 * Y85</f>
        <v>0</v>
      </c>
      <c r="AA85" s="571">
        <v>1</v>
      </c>
      <c r="AB85" s="569">
        <f ca="1">$D85 * AA85</f>
        <v>260312.05</v>
      </c>
      <c r="AC85" s="812">
        <f t="shared" si="51"/>
        <v>1</v>
      </c>
    </row>
    <row r="86" spans="2:29" ht="23.5" customHeight="1">
      <c r="B86" s="564" t="str">
        <f ca="1">'Plan Orçamentária'!O526</f>
        <v>21.2</v>
      </c>
      <c r="C86" s="566" t="str">
        <f>'Plan Orçamentária'!R526</f>
        <v>LIMPEZA FINAL DE OBRA</v>
      </c>
      <c r="D86" s="567">
        <f ca="1">'Plan Orçamentária'!Y526</f>
        <v>19781.63</v>
      </c>
      <c r="E86" s="568"/>
      <c r="F86" s="570">
        <f ca="1">$D86 * E86</f>
        <v>0</v>
      </c>
      <c r="G86" s="571"/>
      <c r="H86" s="572">
        <f ca="1">$D86 * G86</f>
        <v>0</v>
      </c>
      <c r="I86" s="571"/>
      <c r="J86" s="572">
        <f ca="1">$D86 * I86</f>
        <v>0</v>
      </c>
      <c r="K86" s="571"/>
      <c r="L86" s="572">
        <f ca="1">$D86 * K86</f>
        <v>0</v>
      </c>
      <c r="M86" s="571"/>
      <c r="N86" s="572">
        <f ca="1">$D86 * M86</f>
        <v>0</v>
      </c>
      <c r="O86" s="571"/>
      <c r="P86" s="572">
        <f ca="1">$D86 * O86</f>
        <v>0</v>
      </c>
      <c r="Q86" s="571"/>
      <c r="R86" s="570">
        <f ca="1">$D86 * Q86</f>
        <v>0</v>
      </c>
      <c r="S86" s="571"/>
      <c r="T86" s="572">
        <f ca="1">$D86 * S86</f>
        <v>0</v>
      </c>
      <c r="U86" s="571"/>
      <c r="V86" s="572">
        <f ca="1">$D86 * U86</f>
        <v>0</v>
      </c>
      <c r="W86" s="571"/>
      <c r="X86" s="572">
        <f ca="1">$D86 * W86</f>
        <v>0</v>
      </c>
      <c r="Y86" s="571"/>
      <c r="Z86" s="572">
        <f ca="1">$D86 * Y86</f>
        <v>0</v>
      </c>
      <c r="AA86" s="571">
        <v>1</v>
      </c>
      <c r="AB86" s="569">
        <f ca="1">$D86 * AA86</f>
        <v>19781.63</v>
      </c>
      <c r="AC86" s="812">
        <f t="shared" si="51"/>
        <v>1</v>
      </c>
    </row>
    <row r="87" spans="2:29" ht="5.25" customHeight="1"/>
    <row r="88" spans="2:29" ht="18" customHeight="1">
      <c r="B88" s="1020" t="s">
        <v>41247</v>
      </c>
      <c r="C88" s="1020"/>
      <c r="D88" s="1020"/>
      <c r="E88" s="591">
        <f ca="1">F88/D91</f>
        <v>3.3416510210836047E-2</v>
      </c>
      <c r="F88" s="592">
        <f ca="1">F8+F12+F14+F15+F16+F18+F19+F30+F33+F37+F41+F44+F47+F54+F62+F71+F72+F75+F79+F80+F84</f>
        <v>110919.38357967623</v>
      </c>
      <c r="G88" s="593">
        <f ca="1">H88/D91</f>
        <v>5.4095619578329888E-2</v>
      </c>
      <c r="H88" s="594">
        <f ca="1">H8+H12+H14+H15+H16+H18+H19+H30+H33+H37+H41+H44+H47+H54+H62+H71+H72+H75+H79+H80+H84</f>
        <v>179559.52731543168</v>
      </c>
      <c r="I88" s="593">
        <f ca="1">J88/D91</f>
        <v>5.3703775888435737E-2</v>
      </c>
      <c r="J88" s="594">
        <f ca="1">J8+J12+J14+J15+J16+J18+J19+J30+J33+J37+J41+J44+J47+J54+J62+J71+J72+J75+J79+J80+J84</f>
        <v>178258.8810101047</v>
      </c>
      <c r="K88" s="593">
        <f ca="1">L88/D91</f>
        <v>7.4322756235187373E-2</v>
      </c>
      <c r="L88" s="594">
        <f ca="1">L8+L12+L14+L15+L16+L18+L19+L30+L33+L37+L41+L44+L47+L54+L62+L71+L72+L75+L79+L80+L84</f>
        <v>246699.4385570602</v>
      </c>
      <c r="M88" s="593">
        <f ca="1">N88/D91</f>
        <v>5.5608604661970117E-2</v>
      </c>
      <c r="N88" s="594">
        <f ca="1">N8+N12+N14+N15+N16+N18+N19+N30+N33+N37+N41+N44+N47+N54+N62+N71+N72+N75+N79+N80+N84</f>
        <v>184581.57694849599</v>
      </c>
      <c r="O88" s="593">
        <f ca="1">P88/D91</f>
        <v>8.5223247580252945E-2</v>
      </c>
      <c r="P88" s="594">
        <f ca="1">P8+P12+P14+P15+P16+P18+P19+P30+P33+P37+P41+P44+P47+P54+P62+P71+P72+P75+P79+P80+P84</f>
        <v>282881.4268341664</v>
      </c>
      <c r="Q88" s="593">
        <f ca="1">R88/D91</f>
        <v>5.840583180864057E-2</v>
      </c>
      <c r="R88" s="592">
        <f ca="1">R8+R12+R14+R15+R16+R18+R19+R30+R33+R37+R41+R44+R47+R54+R62+R71+R72+R75+R79+R80+R84</f>
        <v>193866.40977165574</v>
      </c>
      <c r="S88" s="593">
        <f ca="1">T88/D91</f>
        <v>7.0735070827622579E-2</v>
      </c>
      <c r="T88" s="594">
        <f ca="1">T8+T12+T14+T15+T16+T18+T19+T30+T33+T37+T41+T44+T47+T54+T62+T71+T72+T75+T79+T80+T84</f>
        <v>234790.83854544547</v>
      </c>
      <c r="U88" s="593">
        <f ca="1">V88/D91</f>
        <v>0.12171734064620926</v>
      </c>
      <c r="V88" s="594">
        <f ca="1">V8+V12+V14+V15+V16+V18+V19+V30+V33+V37+V41+V44+V47+V54+V62+V71+V72+V75+V79+V80+V84</f>
        <v>404016.22761484724</v>
      </c>
      <c r="W88" s="593">
        <f ca="1">X88/D91</f>
        <v>0.13221334566931686</v>
      </c>
      <c r="X88" s="594">
        <f ca="1">X8+X12+X14+X15+X16+X18+X19+X30+X33+X37+X41+X44+X47+X54+X62+X71+X72+X75+X79+X80+X84</f>
        <v>438855.60491268244</v>
      </c>
      <c r="Y88" s="593">
        <f ca="1">Z88/D91</f>
        <v>0.10307780117131039</v>
      </c>
      <c r="Z88" s="594">
        <f ca="1">Z8+Z12+Z14+Z15+Z16+Z18+Z19+Z30+Z33+Z37+Z41+Z44+Z47+Z54+Z62+Z71+Z72+Z75+Z79+Z80+Z84</f>
        <v>342146.02585768123</v>
      </c>
      <c r="AA88" s="593">
        <f ca="1">AB88/D91</f>
        <v>0.15748009572188826</v>
      </c>
      <c r="AB88" s="594">
        <f ca="1">AB8+AB12+AB14+AB15+AB16+AB18+AB19+AB30+AB33+AB37+AB41+AB44+AB47+AB54+AB62+AB71+AB72+AB75+AB79+AB80+AB84</f>
        <v>522723.49905275262</v>
      </c>
      <c r="AC88" s="813"/>
    </row>
    <row r="89" spans="2:29" ht="18" customHeight="1">
      <c r="B89" s="1020" t="s">
        <v>41248</v>
      </c>
      <c r="C89" s="1020"/>
      <c r="D89" s="1020"/>
      <c r="E89" s="591">
        <f ca="1">F89/$D$91</f>
        <v>3.3416510210836047E-2</v>
      </c>
      <c r="F89" s="592">
        <f ca="1">F88</f>
        <v>110919.38357967623</v>
      </c>
      <c r="G89" s="593">
        <f ca="1">H89/$D$91</f>
        <v>8.7512129789165921E-2</v>
      </c>
      <c r="H89" s="594">
        <f ca="1">F89+H88</f>
        <v>290478.9108951079</v>
      </c>
      <c r="I89" s="593">
        <f ca="1">J89/$D$91</f>
        <v>0.14121590567760164</v>
      </c>
      <c r="J89" s="594">
        <f ca="1">H89+J88</f>
        <v>468737.79190521257</v>
      </c>
      <c r="K89" s="593">
        <f ca="1">L89/$D$91</f>
        <v>0.21553866191278903</v>
      </c>
      <c r="L89" s="594">
        <f ca="1">J89+L88</f>
        <v>715437.23046227277</v>
      </c>
      <c r="M89" s="593">
        <f ca="1">N89/$D$91</f>
        <v>0.27114726657475913</v>
      </c>
      <c r="N89" s="594">
        <f ca="1">L89+N88</f>
        <v>900018.8074107687</v>
      </c>
      <c r="O89" s="593">
        <f ca="1">P89/$D$91</f>
        <v>0.35637051415501209</v>
      </c>
      <c r="P89" s="594">
        <f ca="1">N89+P88</f>
        <v>1182900.2342449352</v>
      </c>
      <c r="Q89" s="593">
        <f ca="1">R89/$D$91</f>
        <v>0.41477634596365265</v>
      </c>
      <c r="R89" s="592">
        <f ca="1">P89+R88</f>
        <v>1376766.6440165909</v>
      </c>
      <c r="S89" s="593">
        <f ca="1">T89/$D$91</f>
        <v>0.48551141679127519</v>
      </c>
      <c r="T89" s="594">
        <f ca="1">R89+T88</f>
        <v>1611557.4825620363</v>
      </c>
      <c r="U89" s="593">
        <f ca="1">V89/$D$91</f>
        <v>0.6072287574374845</v>
      </c>
      <c r="V89" s="594">
        <f ca="1">T89+V88</f>
        <v>2015573.7101768835</v>
      </c>
      <c r="W89" s="593">
        <f ca="1">X89/$D$91</f>
        <v>0.73944210310680125</v>
      </c>
      <c r="X89" s="594">
        <f ca="1">V89+X88</f>
        <v>2454429.3150895657</v>
      </c>
      <c r="Y89" s="593">
        <f ca="1">Z89/$D$91</f>
        <v>0.84251990427811174</v>
      </c>
      <c r="Z89" s="594">
        <f ca="1">X89+Z88</f>
        <v>2796575.3409472471</v>
      </c>
      <c r="AA89" s="593">
        <f ca="1">AB89/$D$91</f>
        <v>1</v>
      </c>
      <c r="AB89" s="594">
        <f ca="1">Z89+AB88</f>
        <v>3319298.84</v>
      </c>
      <c r="AC89" s="813"/>
    </row>
    <row r="90" spans="2:29" ht="5.25" customHeight="1">
      <c r="B90" s="588"/>
      <c r="C90" s="589"/>
      <c r="D90" s="590"/>
      <c r="E90" s="584"/>
      <c r="F90" s="585"/>
      <c r="G90" s="586"/>
      <c r="H90" s="587"/>
      <c r="I90" s="586"/>
      <c r="J90" s="587"/>
      <c r="K90" s="586"/>
      <c r="L90" s="587"/>
      <c r="M90" s="586"/>
      <c r="N90" s="587"/>
      <c r="O90" s="586"/>
      <c r="P90" s="587"/>
      <c r="Q90" s="587"/>
      <c r="R90" s="585"/>
      <c r="S90" s="586"/>
      <c r="T90" s="587"/>
      <c r="U90" s="586"/>
      <c r="V90" s="587"/>
      <c r="W90" s="586"/>
      <c r="X90" s="587"/>
      <c r="Y90" s="586"/>
      <c r="Z90" s="587"/>
      <c r="AA90" s="586"/>
      <c r="AB90" s="587"/>
      <c r="AC90" s="584"/>
    </row>
    <row r="91" spans="2:29" ht="18" customHeight="1">
      <c r="B91" s="1020" t="s">
        <v>41249</v>
      </c>
      <c r="C91" s="1020"/>
      <c r="D91" s="592">
        <f ca="1">D8+D12+D14+D15+D16+D18+D19+D30+D33+D37+D41+D44+D47+D54+D62+D71+D72+D75+D79+D80+D84</f>
        <v>3319298.84</v>
      </c>
      <c r="E91" s="584"/>
      <c r="F91" s="585"/>
      <c r="G91" s="586"/>
      <c r="H91" s="587"/>
      <c r="I91" s="586"/>
      <c r="J91" s="587"/>
      <c r="K91" s="586"/>
      <c r="L91" s="587"/>
      <c r="M91" s="586"/>
      <c r="N91" s="587"/>
      <c r="O91" s="586"/>
      <c r="P91" s="587"/>
      <c r="Q91" s="587"/>
      <c r="R91" s="585"/>
      <c r="S91" s="586"/>
      <c r="T91" s="587"/>
      <c r="U91" s="586"/>
      <c r="V91" s="587"/>
      <c r="W91" s="586"/>
      <c r="X91" s="587"/>
      <c r="Y91" s="586"/>
      <c r="Z91" s="587"/>
      <c r="AA91" s="586"/>
      <c r="AB91" s="587"/>
      <c r="AC91" s="584"/>
    </row>
  </sheetData>
  <mergeCells count="22">
    <mergeCell ref="D1:E1"/>
    <mergeCell ref="J1:K1"/>
    <mergeCell ref="B3:U3"/>
    <mergeCell ref="B6:B7"/>
    <mergeCell ref="C6:C7"/>
    <mergeCell ref="D6:D7"/>
    <mergeCell ref="E6:F6"/>
    <mergeCell ref="G6:H6"/>
    <mergeCell ref="I6:J6"/>
    <mergeCell ref="K6:L6"/>
    <mergeCell ref="M6:N6"/>
    <mergeCell ref="O6:P6"/>
    <mergeCell ref="AA6:AB6"/>
    <mergeCell ref="AC6:AC7"/>
    <mergeCell ref="B88:D88"/>
    <mergeCell ref="B89:D89"/>
    <mergeCell ref="B91:C91"/>
    <mergeCell ref="Q6:R6"/>
    <mergeCell ref="U6:V6"/>
    <mergeCell ref="W6:X6"/>
    <mergeCell ref="S6:T6"/>
    <mergeCell ref="Y6:Z6"/>
  </mergeCells>
  <dataValidations count="1">
    <dataValidation type="list" allowBlank="1" showInputMessage="1" showErrorMessage="1" sqref="F1" xr:uid="{0FF535E8-F05E-4D5C-B454-D3056F8B66DE}">
      <formula1>"NÍVEL 1, NÍVEL 2, NÍVEL 3, NÍVEL 4, NÍVEL 5, NÍVEL 6"</formula1>
    </dataValidation>
  </dataValidations>
  <printOptions horizontalCentered="1"/>
  <pageMargins left="0.39370078740157483" right="0.39370078740157483" top="0.59055118110236227" bottom="0.39370078740157483" header="0" footer="0"/>
  <pageSetup paperSize="9" scale="34" firstPageNumber="0" fitToHeight="0" orientation="landscape" r:id="rId1"/>
  <headerFooter scaleWithDoc="0" alignWithMargins="0"/>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7">
    <pageSetUpPr fitToPage="1"/>
  </sheetPr>
  <dimension ref="A1:AB5"/>
  <sheetViews>
    <sheetView showGridLines="0" view="pageBreakPreview" zoomScale="80" zoomScaleNormal="100" zoomScaleSheetLayoutView="80" workbookViewId="0">
      <selection activeCell="B3" sqref="B3"/>
    </sheetView>
  </sheetViews>
  <sheetFormatPr baseColWidth="10" defaultColWidth="8.83203125" defaultRowHeight="15"/>
  <cols>
    <col min="1" max="1" width="12" customWidth="1"/>
    <col min="2" max="2" width="66.33203125" customWidth="1"/>
    <col min="3" max="3" width="8.83203125" customWidth="1"/>
    <col min="4" max="4" width="15.33203125" bestFit="1" customWidth="1"/>
    <col min="5" max="5" width="8" bestFit="1" customWidth="1"/>
    <col min="6" max="6" width="15.83203125" bestFit="1" customWidth="1"/>
    <col min="7" max="7" width="8" bestFit="1" customWidth="1"/>
    <col min="8" max="8" width="15.33203125" bestFit="1" customWidth="1"/>
    <col min="9" max="9" width="8" bestFit="1" customWidth="1"/>
    <col min="10" max="10" width="15.33203125" bestFit="1" customWidth="1"/>
    <col min="11" max="11" width="8" bestFit="1" customWidth="1"/>
    <col min="12" max="12" width="15.33203125" bestFit="1" customWidth="1"/>
    <col min="13" max="13" width="8" bestFit="1" customWidth="1"/>
    <col min="14" max="14" width="15.33203125" bestFit="1" customWidth="1"/>
    <col min="15" max="15" width="8" customWidth="1"/>
    <col min="16" max="16" width="15.33203125" customWidth="1"/>
    <col min="17" max="17" width="8" customWidth="1"/>
    <col min="18" max="18" width="15.33203125" customWidth="1"/>
    <col min="19" max="19" width="10.1640625" customWidth="1"/>
    <col min="20" max="20" width="19.5" customWidth="1"/>
    <col min="21" max="25" width="25.1640625" hidden="1" customWidth="1"/>
    <col min="26" max="47" width="25.1640625" customWidth="1"/>
  </cols>
  <sheetData>
    <row r="1" spans="1:28" ht="16.5" customHeight="1" thickBot="1">
      <c r="A1" s="969" t="s">
        <v>27895</v>
      </c>
      <c r="B1" s="970"/>
      <c r="C1" s="970"/>
      <c r="D1" s="970"/>
      <c r="E1" s="970"/>
      <c r="F1" s="970"/>
      <c r="G1" s="970"/>
      <c r="H1" s="970"/>
      <c r="I1" s="970"/>
      <c r="J1" s="970"/>
      <c r="K1" s="970"/>
      <c r="L1" s="970"/>
      <c r="M1" s="970"/>
      <c r="N1" s="970"/>
      <c r="O1" s="970"/>
      <c r="P1" s="970"/>
      <c r="Q1" s="970"/>
      <c r="R1" s="970"/>
      <c r="S1" s="970"/>
      <c r="T1" s="971"/>
    </row>
    <row r="2" spans="1:28" ht="5.25" customHeight="1" thickBot="1">
      <c r="A2" s="148"/>
      <c r="B2" s="149"/>
      <c r="C2" s="150"/>
      <c r="D2" s="150"/>
      <c r="E2" s="150"/>
      <c r="F2" s="150"/>
      <c r="G2" s="150"/>
      <c r="H2" s="150"/>
      <c r="I2" s="150"/>
      <c r="J2" s="150"/>
      <c r="K2" s="150"/>
      <c r="L2" s="150"/>
      <c r="M2" s="150"/>
      <c r="N2" s="150"/>
      <c r="O2" s="150"/>
      <c r="P2" s="150"/>
      <c r="Q2" s="150"/>
      <c r="R2" s="150"/>
      <c r="S2" s="54"/>
      <c r="T2" s="128"/>
    </row>
    <row r="3" spans="1:28" ht="17" thickBot="1">
      <c r="A3" s="151" t="s">
        <v>27896</v>
      </c>
      <c r="B3" s="232" t="str">
        <f>'Plan Orçamentária'!P3</f>
        <v>DELEGACIA SECCIONAL DE POLÍCIA DE JALES</v>
      </c>
      <c r="C3" s="152"/>
      <c r="D3" s="152"/>
      <c r="E3" s="152"/>
      <c r="F3" s="152"/>
      <c r="G3" s="152"/>
      <c r="H3" s="152"/>
      <c r="I3" s="152"/>
      <c r="J3" s="152"/>
      <c r="K3" s="152"/>
      <c r="L3" s="152"/>
      <c r="M3" s="152"/>
      <c r="N3" s="152"/>
      <c r="O3" s="1030"/>
      <c r="P3" s="1031"/>
      <c r="Q3" s="1031"/>
      <c r="R3" s="1031"/>
      <c r="S3" s="1031"/>
      <c r="T3" s="1032"/>
      <c r="U3" t="s">
        <v>28482</v>
      </c>
      <c r="V3">
        <v>0</v>
      </c>
      <c r="W3">
        <v>0</v>
      </c>
      <c r="X3">
        <v>0</v>
      </c>
      <c r="Y3">
        <v>0</v>
      </c>
      <c r="Z3">
        <v>0</v>
      </c>
      <c r="AA3">
        <v>0</v>
      </c>
      <c r="AB3">
        <v>0</v>
      </c>
    </row>
    <row r="4" spans="1:28" ht="17" thickBot="1">
      <c r="A4" s="151" t="s">
        <v>27865</v>
      </c>
      <c r="B4" s="232" t="str">
        <f>'Plan Orçamentária'!P4</f>
        <v>ADEQUAÇÃO E AMPLIAÇÃO DE IMÓVEL PARA A INSTALAÇÃO DA DELEGACIA DE DEFESA DA MULHER</v>
      </c>
      <c r="C4" s="152"/>
      <c r="D4" s="152"/>
      <c r="E4" s="152"/>
      <c r="F4" s="152"/>
      <c r="G4" s="152"/>
      <c r="H4" s="152"/>
      <c r="I4" s="152"/>
      <c r="J4" s="152"/>
      <c r="K4" s="152"/>
      <c r="L4" s="152"/>
      <c r="M4" s="152"/>
      <c r="N4" s="152"/>
      <c r="O4" s="1033"/>
      <c r="P4" s="1034"/>
      <c r="Q4" s="1034"/>
      <c r="R4" s="1034"/>
      <c r="S4" s="1034"/>
      <c r="T4" s="1035"/>
      <c r="U4" t="s">
        <v>29905</v>
      </c>
      <c r="V4">
        <v>0</v>
      </c>
      <c r="W4">
        <v>0</v>
      </c>
      <c r="X4">
        <v>0</v>
      </c>
      <c r="Y4">
        <v>0</v>
      </c>
      <c r="Z4">
        <v>0</v>
      </c>
      <c r="AA4">
        <v>0</v>
      </c>
      <c r="AB4">
        <v>0</v>
      </c>
    </row>
    <row r="5" spans="1:28" ht="17" thickBot="1">
      <c r="A5" s="151" t="s">
        <v>27867</v>
      </c>
      <c r="B5" s="232" t="str">
        <f>'Plan Orçamentária'!P5</f>
        <v>RUA TRÊS, S/Nº, CENTRO - JALES/SP</v>
      </c>
      <c r="C5" s="152"/>
      <c r="D5" s="152"/>
      <c r="E5" s="152"/>
      <c r="F5" s="152"/>
      <c r="G5" s="152"/>
      <c r="H5" s="152"/>
      <c r="I5" s="152"/>
      <c r="J5" s="152"/>
      <c r="K5" s="152"/>
      <c r="L5" s="152"/>
      <c r="M5" s="152"/>
      <c r="N5" s="152"/>
      <c r="O5" s="1033"/>
      <c r="P5" s="1034"/>
      <c r="Q5" s="1034"/>
      <c r="R5" s="1034"/>
      <c r="S5" s="1034"/>
      <c r="T5" s="1035"/>
      <c r="U5" t="s">
        <v>29904</v>
      </c>
      <c r="V5">
        <v>0</v>
      </c>
      <c r="W5">
        <v>0</v>
      </c>
      <c r="X5">
        <v>0</v>
      </c>
      <c r="Y5">
        <v>0</v>
      </c>
      <c r="Z5">
        <v>0</v>
      </c>
      <c r="AA5">
        <v>0</v>
      </c>
      <c r="AB5">
        <v>0</v>
      </c>
    </row>
  </sheetData>
  <mergeCells count="2">
    <mergeCell ref="O3:T5"/>
    <mergeCell ref="A1:T1"/>
  </mergeCells>
  <printOptions horizontalCentered="1" verticalCentered="1"/>
  <pageMargins left="0.51181102362204722" right="0.51181102362204722" top="0.78740157480314965" bottom="0.78740157480314965" header="0.31496062992125984" footer="0.31496062992125984"/>
  <pageSetup paperSize="9" scale="43" fitToHeight="0"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
  <dimension ref="A1:U205"/>
  <sheetViews>
    <sheetView showGridLines="0" view="pageBreakPreview" topLeftCell="A170" zoomScaleNormal="100" zoomScaleSheetLayoutView="100" workbookViewId="0">
      <selection activeCell="C129" sqref="C129"/>
    </sheetView>
  </sheetViews>
  <sheetFormatPr baseColWidth="10" defaultColWidth="9.1640625" defaultRowHeight="13"/>
  <cols>
    <col min="1" max="1" width="12.1640625" style="119" customWidth="1"/>
    <col min="2" max="2" width="16.5" style="119" customWidth="1"/>
    <col min="3" max="3" width="48.1640625" style="119" customWidth="1"/>
    <col min="4" max="4" width="5.6640625" style="119" bestFit="1" customWidth="1"/>
    <col min="5" max="5" width="9.1640625" style="119" bestFit="1" customWidth="1"/>
    <col min="6" max="6" width="13.33203125" style="119" bestFit="1" customWidth="1"/>
    <col min="7" max="7" width="13.33203125" style="119" customWidth="1"/>
    <col min="8" max="8" width="11.6640625" style="119" bestFit="1" customWidth="1"/>
    <col min="9" max="9" width="13.1640625" style="119" bestFit="1" customWidth="1"/>
    <col min="10" max="10" width="16.5" style="119" customWidth="1"/>
    <col min="11" max="11" width="4.5" style="119" bestFit="1" customWidth="1"/>
    <col min="12" max="12" width="9.1640625" style="119"/>
    <col min="13" max="13" width="9.1640625" style="636"/>
    <col min="14" max="16384" width="9.1640625" style="119"/>
  </cols>
  <sheetData>
    <row r="1" spans="1:21" ht="12.75" customHeight="1">
      <c r="A1" s="843"/>
      <c r="B1" s="844"/>
      <c r="C1" s="844"/>
      <c r="D1" s="844"/>
      <c r="E1" s="844"/>
      <c r="F1" s="844"/>
      <c r="G1" s="845"/>
      <c r="M1" s="635"/>
    </row>
    <row r="2" spans="1:21" ht="114" customHeight="1">
      <c r="A2" s="846"/>
      <c r="B2" s="847"/>
      <c r="C2" s="847"/>
      <c r="D2" s="847"/>
      <c r="E2" s="847"/>
      <c r="F2" s="847"/>
      <c r="G2" s="848"/>
      <c r="I2" s="119" t="s">
        <v>27899</v>
      </c>
      <c r="J2" s="228">
        <v>128.22999999999999</v>
      </c>
      <c r="K2" s="119" t="s">
        <v>18452</v>
      </c>
    </row>
    <row r="3" spans="1:21" ht="19.5" customHeight="1" thickBot="1">
      <c r="A3" s="858" t="s">
        <v>27900</v>
      </c>
      <c r="B3" s="859"/>
      <c r="C3" s="859"/>
      <c r="D3" s="859"/>
      <c r="E3" s="859"/>
      <c r="F3" s="859"/>
      <c r="G3" s="860"/>
    </row>
    <row r="4" spans="1:21" ht="13.5" customHeight="1" thickBot="1">
      <c r="A4" s="120"/>
      <c r="B4" s="121"/>
      <c r="C4" s="121"/>
      <c r="D4" s="121"/>
      <c r="E4" s="121"/>
      <c r="F4" s="121"/>
      <c r="G4" s="206"/>
      <c r="H4" s="119" t="s">
        <v>6009</v>
      </c>
      <c r="I4" s="119" t="s">
        <v>27901</v>
      </c>
      <c r="J4" s="228" t="s">
        <v>27889</v>
      </c>
      <c r="M4" s="637"/>
    </row>
    <row r="5" spans="1:21" s="374" customFormat="1" ht="27.75" customHeight="1" thickBot="1">
      <c r="A5" s="688" t="s">
        <v>44294</v>
      </c>
      <c r="B5" s="689"/>
      <c r="C5" s="826" t="s">
        <v>44295</v>
      </c>
      <c r="D5" s="827"/>
      <c r="E5" s="827"/>
      <c r="F5" s="828"/>
      <c r="G5" s="674" t="s">
        <v>11</v>
      </c>
      <c r="H5" s="383">
        <f>G14</f>
        <v>22.71</v>
      </c>
      <c r="I5" s="383">
        <f>G9</f>
        <v>0</v>
      </c>
      <c r="J5" s="383">
        <f>G15</f>
        <v>22.71</v>
      </c>
      <c r="K5" s="122"/>
      <c r="L5" s="122"/>
      <c r="M5" s="637" t="str">
        <f>VLOOKUP(A5,'Plan Orçamentária'!$Q:$Y,1,FALSE)</f>
        <v>D&amp;C 01</v>
      </c>
      <c r="N5" s="122"/>
      <c r="O5" s="122"/>
      <c r="P5" s="122"/>
      <c r="Q5" s="122"/>
      <c r="R5" s="122"/>
      <c r="S5" s="122"/>
      <c r="T5" s="122"/>
      <c r="U5" s="122"/>
    </row>
    <row r="6" spans="1:21" s="122" customFormat="1" ht="12" customHeight="1">
      <c r="A6" s="419" t="s">
        <v>27902</v>
      </c>
      <c r="B6" s="420" t="s">
        <v>27903</v>
      </c>
      <c r="C6" s="546" t="s">
        <v>5</v>
      </c>
      <c r="D6" s="421" t="s">
        <v>27886</v>
      </c>
      <c r="E6" s="422" t="s">
        <v>27904</v>
      </c>
      <c r="F6" s="422" t="s">
        <v>27905</v>
      </c>
      <c r="G6" s="423" t="s">
        <v>27906</v>
      </c>
      <c r="H6" s="382"/>
      <c r="M6" s="637"/>
    </row>
    <row r="7" spans="1:21" s="122" customFormat="1" ht="12" customHeight="1">
      <c r="A7" s="829" t="s">
        <v>41228</v>
      </c>
      <c r="B7" s="830"/>
      <c r="C7" s="830"/>
      <c r="D7" s="830"/>
      <c r="E7" s="830"/>
      <c r="F7" s="830"/>
      <c r="G7" s="831"/>
      <c r="H7" s="382"/>
      <c r="M7" s="637"/>
    </row>
    <row r="8" spans="1:21" s="648" customFormat="1">
      <c r="A8" s="675"/>
      <c r="B8" s="676"/>
      <c r="C8" s="677"/>
      <c r="D8" s="678"/>
      <c r="E8" s="679"/>
      <c r="F8" s="680"/>
      <c r="G8" s="126"/>
      <c r="H8" s="647"/>
      <c r="I8" s="646"/>
      <c r="M8" s="649"/>
    </row>
    <row r="9" spans="1:21" s="548" customFormat="1" ht="14">
      <c r="A9" s="550"/>
      <c r="B9" s="551"/>
      <c r="C9" s="552" t="s">
        <v>41229</v>
      </c>
      <c r="D9" s="553"/>
      <c r="E9" s="554"/>
      <c r="F9" s="555"/>
      <c r="G9" s="556">
        <f>SUM(G7:G8)</f>
        <v>0</v>
      </c>
      <c r="H9" s="547"/>
      <c r="M9" s="638"/>
    </row>
    <row r="10" spans="1:21" s="122" customFormat="1" ht="12" customHeight="1">
      <c r="A10" s="829" t="s">
        <v>41230</v>
      </c>
      <c r="B10" s="830"/>
      <c r="C10" s="830"/>
      <c r="D10" s="830"/>
      <c r="E10" s="830"/>
      <c r="F10" s="830"/>
      <c r="G10" s="831"/>
      <c r="H10" s="382"/>
      <c r="M10" s="637"/>
    </row>
    <row r="11" spans="1:21" s="122" customFormat="1" ht="14">
      <c r="A11" s="675" t="s">
        <v>29901</v>
      </c>
      <c r="B11" s="676" t="s">
        <v>57</v>
      </c>
      <c r="C11" s="123" t="str">
        <f>UPPER(IFERROR(VLOOKUP(B11,'SINAPI 04-26-SD'!$1:$1048576,2,FALSE),IFERROR(VLOOKUP(B11,'Ins. SINAPI 04-26-SD'!$1:$1048576,2,FALSE),IFERROR(VLOOKUP(B11,COTAÇÃO!$1:$1048576,2,FALSE),IFERROR(VLOOKUP(B11,'Ins. CDHU 201-SD'!$1:$1048576,2,FALSE),"Não Encontrado")))))</f>
        <v>SERVENTE</v>
      </c>
      <c r="D11" s="124" t="str">
        <f>UPPER(IFERROR(VLOOKUP(B11,'SINAPI 04-26-SD'!$1:$1048576,3,FALSE),IFERROR(VLOOKUP(B11,'Ins. SINAPI 04-26-SD'!$1:$1048576,3,FALSE),IFERROR(VLOOKUP(B11,COTAÇÃO!$1:$1048576,7,FALSE),IFERROR(VLOOKUP(B11,'Ins. CDHU 201-SD'!$1:$1048576,3,FALSE),"Não Encontrado")))))</f>
        <v>H</v>
      </c>
      <c r="E11" s="315">
        <v>1</v>
      </c>
      <c r="F11" s="125">
        <f>IFERROR(VLOOKUP(B11,'SINAPI 04-26-SD'!$1:$1048576,4,FALSE),IFERROR(VLOOKUP(B11,'Ins. SINAPI 04-26-SD'!$1:$1048576,5,FALSE),IFERROR(VLOOKUP(B11,COTAÇÃO!$1:$1048576,8,FALSE),IFERROR(VLOOKUP(B11,'Ins. CDHU 201-SD'!$1:$1048576,4,FALSE),"Não Encontrado"))))</f>
        <v>9.9499999999999993</v>
      </c>
      <c r="G11" s="126">
        <f>+ROUND(E11*F11,2)</f>
        <v>9.9499999999999993</v>
      </c>
      <c r="H11" s="382"/>
      <c r="I11" s="315"/>
      <c r="M11" s="637"/>
    </row>
    <row r="12" spans="1:21" s="122" customFormat="1" ht="14">
      <c r="A12" s="316"/>
      <c r="B12" s="549"/>
      <c r="C12" s="123" t="s">
        <v>41258</v>
      </c>
      <c r="D12" s="124"/>
      <c r="E12" s="315"/>
      <c r="F12" s="125"/>
      <c r="G12" s="126">
        <f>+SUBTOTAL(9,G10:G11)</f>
        <v>9.9499999999999993</v>
      </c>
      <c r="H12" s="382"/>
      <c r="M12" s="637"/>
    </row>
    <row r="13" spans="1:21" s="122" customFormat="1" ht="14">
      <c r="A13" s="316"/>
      <c r="B13" s="549"/>
      <c r="C13" s="123" t="s">
        <v>41259</v>
      </c>
      <c r="D13" s="124"/>
      <c r="E13" s="315">
        <f>$J$2</f>
        <v>128.22999999999999</v>
      </c>
      <c r="F13" s="125"/>
      <c r="G13" s="126">
        <f>+ROUND(G12*E13/100,2)</f>
        <v>12.76</v>
      </c>
      <c r="H13" s="382"/>
      <c r="M13" s="637"/>
    </row>
    <row r="14" spans="1:21" s="548" customFormat="1" ht="14">
      <c r="A14" s="550"/>
      <c r="B14" s="551"/>
      <c r="C14" s="552" t="s">
        <v>41231</v>
      </c>
      <c r="D14" s="553"/>
      <c r="E14" s="554"/>
      <c r="F14" s="555"/>
      <c r="G14" s="556">
        <f>SUM(G12:G13)</f>
        <v>22.71</v>
      </c>
      <c r="H14" s="547"/>
      <c r="M14" s="638"/>
    </row>
    <row r="15" spans="1:21" s="122" customFormat="1">
      <c r="A15" s="127"/>
      <c r="B15" s="406"/>
      <c r="C15" s="406" t="s">
        <v>27907</v>
      </c>
      <c r="D15" s="406"/>
      <c r="E15" s="406"/>
      <c r="F15" s="407"/>
      <c r="G15" s="408">
        <f>SUM(G14,G9)</f>
        <v>22.71</v>
      </c>
      <c r="H15" s="382"/>
      <c r="M15" s="637"/>
    </row>
    <row r="16" spans="1:21" s="122" customFormat="1" ht="39" customHeight="1">
      <c r="A16" s="832" t="s">
        <v>27908</v>
      </c>
      <c r="B16" s="833"/>
      <c r="C16" s="836" t="s">
        <v>44296</v>
      </c>
      <c r="D16" s="836"/>
      <c r="E16" s="836"/>
      <c r="F16" s="836"/>
      <c r="G16" s="837"/>
      <c r="H16" s="382"/>
      <c r="M16" s="637"/>
    </row>
    <row r="17" spans="1:21" ht="13.5" customHeight="1" thickBot="1">
      <c r="A17" s="120"/>
      <c r="B17" s="121"/>
      <c r="C17" s="121"/>
      <c r="D17" s="121"/>
      <c r="E17" s="121"/>
      <c r="F17" s="121"/>
      <c r="G17" s="206"/>
      <c r="H17" s="119" t="s">
        <v>6009</v>
      </c>
      <c r="I17" s="119" t="s">
        <v>27901</v>
      </c>
      <c r="J17" s="228" t="s">
        <v>27889</v>
      </c>
      <c r="M17" s="637"/>
    </row>
    <row r="18" spans="1:21" s="374" customFormat="1" ht="27.75" customHeight="1" thickBot="1">
      <c r="A18" s="688" t="s">
        <v>44309</v>
      </c>
      <c r="B18" s="689"/>
      <c r="C18" s="826" t="s">
        <v>44310</v>
      </c>
      <c r="D18" s="827"/>
      <c r="E18" s="827"/>
      <c r="F18" s="828"/>
      <c r="G18" s="674" t="s">
        <v>11</v>
      </c>
      <c r="H18" s="383">
        <f>G27</f>
        <v>133.06</v>
      </c>
      <c r="I18" s="383">
        <f>G22</f>
        <v>0</v>
      </c>
      <c r="J18" s="383">
        <f>G28</f>
        <v>133.06</v>
      </c>
      <c r="K18" s="122"/>
      <c r="L18" s="122"/>
      <c r="M18" s="637" t="str">
        <f>VLOOKUP(A18,'Plan Orçamentária'!$Q:$Y,1,FALSE)</f>
        <v>D&amp;C 02</v>
      </c>
      <c r="N18" s="122"/>
      <c r="O18" s="122"/>
      <c r="P18" s="122"/>
      <c r="Q18" s="122"/>
      <c r="R18" s="122"/>
      <c r="S18" s="122"/>
      <c r="T18" s="122"/>
      <c r="U18" s="122"/>
    </row>
    <row r="19" spans="1:21" s="122" customFormat="1" ht="12" customHeight="1">
      <c r="A19" s="419" t="s">
        <v>27902</v>
      </c>
      <c r="B19" s="420" t="s">
        <v>27903</v>
      </c>
      <c r="C19" s="546" t="s">
        <v>5</v>
      </c>
      <c r="D19" s="421" t="s">
        <v>27886</v>
      </c>
      <c r="E19" s="422" t="s">
        <v>27904</v>
      </c>
      <c r="F19" s="422" t="s">
        <v>27905</v>
      </c>
      <c r="G19" s="423" t="s">
        <v>27906</v>
      </c>
      <c r="H19" s="382"/>
      <c r="M19" s="637"/>
    </row>
    <row r="20" spans="1:21" s="122" customFormat="1" ht="12" customHeight="1">
      <c r="A20" s="829" t="s">
        <v>41228</v>
      </c>
      <c r="B20" s="830"/>
      <c r="C20" s="830"/>
      <c r="D20" s="830"/>
      <c r="E20" s="830"/>
      <c r="F20" s="830"/>
      <c r="G20" s="831"/>
      <c r="H20" s="382"/>
      <c r="M20" s="637"/>
    </row>
    <row r="21" spans="1:21" s="648" customFormat="1">
      <c r="A21" s="675"/>
      <c r="B21" s="676"/>
      <c r="C21" s="677"/>
      <c r="D21" s="678"/>
      <c r="E21" s="679"/>
      <c r="F21" s="680"/>
      <c r="G21" s="126"/>
      <c r="H21" s="647"/>
      <c r="I21" s="646"/>
      <c r="M21" s="649"/>
    </row>
    <row r="22" spans="1:21" s="548" customFormat="1" ht="14">
      <c r="A22" s="550"/>
      <c r="B22" s="551"/>
      <c r="C22" s="552" t="s">
        <v>41229</v>
      </c>
      <c r="D22" s="553"/>
      <c r="E22" s="554"/>
      <c r="F22" s="555"/>
      <c r="G22" s="556">
        <f>SUM(G20:G21)</f>
        <v>0</v>
      </c>
      <c r="H22" s="547"/>
      <c r="M22" s="638"/>
    </row>
    <row r="23" spans="1:21" s="122" customFormat="1" ht="12" customHeight="1">
      <c r="A23" s="829" t="s">
        <v>41230</v>
      </c>
      <c r="B23" s="830"/>
      <c r="C23" s="830"/>
      <c r="D23" s="830"/>
      <c r="E23" s="830"/>
      <c r="F23" s="830"/>
      <c r="G23" s="831"/>
      <c r="H23" s="382"/>
      <c r="M23" s="637"/>
    </row>
    <row r="24" spans="1:21" s="122" customFormat="1" ht="14">
      <c r="A24" s="675" t="s">
        <v>29901</v>
      </c>
      <c r="B24" s="676" t="s">
        <v>85</v>
      </c>
      <c r="C24" s="123" t="str">
        <f>UPPER(IFERROR(VLOOKUP(B24,'SINAPI 04-26-SD'!$1:$1048576,2,FALSE),IFERROR(VLOOKUP(B24,'Ins. SINAPI 04-26-SD'!$1:$1048576,2,FALSE),IFERROR(VLOOKUP(B24,COTAÇÃO!$1:$1048576,2,FALSE),IFERROR(VLOOKUP(B24,'Ins. CDHU 201-SD'!$1:$1048576,2,FALSE),"Não Encontrado")))))</f>
        <v>ENGENHEIRO JUNIOR DE CIVIL</v>
      </c>
      <c r="D24" s="124" t="str">
        <f>UPPER(IFERROR(VLOOKUP(B24,'SINAPI 04-26-SD'!$1:$1048576,3,FALSE),IFERROR(VLOOKUP(B24,'Ins. SINAPI 04-26-SD'!$1:$1048576,3,FALSE),IFERROR(VLOOKUP(B24,COTAÇÃO!$1:$1048576,7,FALSE),IFERROR(VLOOKUP(B24,'Ins. CDHU 201-SD'!$1:$1048576,3,FALSE),"Não Encontrado")))))</f>
        <v>H</v>
      </c>
      <c r="E24" s="315">
        <v>1</v>
      </c>
      <c r="F24" s="125">
        <f>IFERROR(VLOOKUP(B24,'SINAPI 04-26-SD'!$1:$1048576,4,FALSE),IFERROR(VLOOKUP(B24,'Ins. SINAPI 04-26-SD'!$1:$1048576,5,FALSE),IFERROR(VLOOKUP(B24,COTAÇÃO!$1:$1048576,8,FALSE),IFERROR(VLOOKUP(B24,'Ins. CDHU 201-SD'!$1:$1048576,4,FALSE),"Não Encontrado"))))</f>
        <v>58.3</v>
      </c>
      <c r="G24" s="126">
        <f>+ROUND(E24*F24,2)</f>
        <v>58.3</v>
      </c>
      <c r="H24" s="382"/>
      <c r="I24" s="315"/>
      <c r="M24" s="637"/>
    </row>
    <row r="25" spans="1:21" s="122" customFormat="1" ht="14">
      <c r="A25" s="316"/>
      <c r="B25" s="549"/>
      <c r="C25" s="123" t="s">
        <v>41258</v>
      </c>
      <c r="D25" s="124"/>
      <c r="E25" s="315"/>
      <c r="F25" s="125"/>
      <c r="G25" s="126">
        <f>+SUBTOTAL(9,G23:G24)</f>
        <v>58.3</v>
      </c>
      <c r="H25" s="382"/>
      <c r="M25" s="637"/>
    </row>
    <row r="26" spans="1:21" s="122" customFormat="1" ht="14">
      <c r="A26" s="316"/>
      <c r="B26" s="549"/>
      <c r="C26" s="123" t="s">
        <v>41259</v>
      </c>
      <c r="D26" s="124"/>
      <c r="E26" s="315">
        <f>$J$2</f>
        <v>128.22999999999999</v>
      </c>
      <c r="F26" s="125"/>
      <c r="G26" s="126">
        <f>+ROUND(G25*E26/100,2)</f>
        <v>74.760000000000005</v>
      </c>
      <c r="H26" s="382"/>
      <c r="M26" s="637"/>
    </row>
    <row r="27" spans="1:21" s="548" customFormat="1" ht="14">
      <c r="A27" s="550"/>
      <c r="B27" s="551"/>
      <c r="C27" s="552" t="s">
        <v>41231</v>
      </c>
      <c r="D27" s="553"/>
      <c r="E27" s="554"/>
      <c r="F27" s="555"/>
      <c r="G27" s="556">
        <f>SUM(G25:G26)</f>
        <v>133.06</v>
      </c>
      <c r="H27" s="547"/>
      <c r="M27" s="638"/>
    </row>
    <row r="28" spans="1:21" s="122" customFormat="1">
      <c r="A28" s="127"/>
      <c r="B28" s="406"/>
      <c r="C28" s="406" t="s">
        <v>27907</v>
      </c>
      <c r="D28" s="406"/>
      <c r="E28" s="406"/>
      <c r="F28" s="407"/>
      <c r="G28" s="408">
        <f>SUM(G27,G22)</f>
        <v>133.06</v>
      </c>
      <c r="H28" s="382"/>
      <c r="M28" s="637"/>
    </row>
    <row r="29" spans="1:21" s="122" customFormat="1" ht="39" customHeight="1">
      <c r="A29" s="832" t="s">
        <v>27908</v>
      </c>
      <c r="B29" s="833"/>
      <c r="C29" s="836" t="s">
        <v>44296</v>
      </c>
      <c r="D29" s="836"/>
      <c r="E29" s="836"/>
      <c r="F29" s="836"/>
      <c r="G29" s="837"/>
      <c r="H29" s="382"/>
      <c r="M29" s="637"/>
    </row>
    <row r="30" spans="1:21" ht="13.5" customHeight="1" thickBot="1">
      <c r="A30" s="120"/>
      <c r="B30" s="121"/>
      <c r="C30" s="121"/>
      <c r="D30" s="121"/>
      <c r="E30" s="121"/>
      <c r="F30" s="121"/>
      <c r="G30" s="206"/>
      <c r="H30" s="119" t="s">
        <v>6009</v>
      </c>
      <c r="I30" s="119" t="s">
        <v>27901</v>
      </c>
      <c r="J30" s="228" t="s">
        <v>27889</v>
      </c>
      <c r="M30" s="637"/>
    </row>
    <row r="31" spans="1:21" s="374" customFormat="1" ht="57.75" customHeight="1" thickBot="1">
      <c r="A31" s="688" t="s">
        <v>44326</v>
      </c>
      <c r="B31" s="689"/>
      <c r="C31" s="826" t="str">
        <f>UPPER("Piso em concreto armado fck=30MPa, esp.=12 cm, armado com tela dupla Q138, concreto camada única bombeável c/ brita n. 1, acabamento superior com rotoalisador, juntas serradas com corte serra diamantada preenchimento com mastique, base 5cm solo brita 30%")</f>
        <v>PISO EM CONCRETO ARMADO FCK=30MPA, ESP.=12 CM, ARMADO COM TELA DUPLA Q138, CONCRETO CAMADA ÚNICA BOMBEÁVEL C/ BRITA N. 1, ACABAMENTO SUPERIOR COM ROTOALISADOR, JUNTAS SERRADAS COM CORTE SERRA DIAMANTADA PREENCHIMENTO COM MASTIQUE, BASE 5CM SOLO BRITA 30%</v>
      </c>
      <c r="D31" s="827"/>
      <c r="E31" s="827"/>
      <c r="F31" s="828"/>
      <c r="G31" s="674" t="s">
        <v>509</v>
      </c>
      <c r="H31" s="383">
        <f>G49</f>
        <v>13.79</v>
      </c>
      <c r="I31" s="383">
        <f>G43</f>
        <v>139.73000000000002</v>
      </c>
      <c r="J31" s="383">
        <f>G50</f>
        <v>153.52000000000001</v>
      </c>
      <c r="K31" s="122"/>
      <c r="L31" s="122"/>
      <c r="M31" s="637" t="str">
        <f>VLOOKUP(A31,'Plan Orçamentária'!$Q:$Y,1,FALSE)</f>
        <v>D&amp;C 03</v>
      </c>
      <c r="N31" s="122"/>
      <c r="O31" s="122"/>
      <c r="P31" s="122"/>
      <c r="Q31" s="122"/>
      <c r="R31" s="122"/>
      <c r="S31" s="122"/>
      <c r="T31" s="122"/>
      <c r="U31" s="122"/>
    </row>
    <row r="32" spans="1:21" s="122" customFormat="1" ht="12" customHeight="1">
      <c r="A32" s="419" t="s">
        <v>27902</v>
      </c>
      <c r="B32" s="420" t="s">
        <v>27903</v>
      </c>
      <c r="C32" s="546" t="s">
        <v>5</v>
      </c>
      <c r="D32" s="421" t="s">
        <v>27886</v>
      </c>
      <c r="E32" s="422" t="s">
        <v>27904</v>
      </c>
      <c r="F32" s="422" t="s">
        <v>27905</v>
      </c>
      <c r="G32" s="423" t="s">
        <v>27906</v>
      </c>
      <c r="H32" s="382"/>
      <c r="M32" s="637"/>
    </row>
    <row r="33" spans="1:13" s="122" customFormat="1" ht="12" customHeight="1">
      <c r="A33" s="829" t="s">
        <v>41228</v>
      </c>
      <c r="B33" s="830"/>
      <c r="C33" s="830"/>
      <c r="D33" s="830"/>
      <c r="E33" s="830"/>
      <c r="F33" s="830"/>
      <c r="G33" s="831"/>
      <c r="H33" s="382"/>
      <c r="M33" s="637"/>
    </row>
    <row r="34" spans="1:13" s="648" customFormat="1" ht="28">
      <c r="A34" s="675" t="s">
        <v>29901</v>
      </c>
      <c r="B34" s="676" t="s">
        <v>41601</v>
      </c>
      <c r="C34" s="123" t="str">
        <f>UPPER(IFERROR(VLOOKUP(B34,'SINAPI 04-26-SD'!$1:$1048576,2,FALSE),IFERROR(VLOOKUP(B34,'Ins. SINAPI 04-26-SD'!$1:$1048576,2,FALSE),IFERROR(VLOOKUP(B34,COTAÇÃO!$1:$1048576,2,FALSE),IFERROR(VLOOKUP(B34,'Ins. CDHU 201-SD'!$1:$1048576,2,FALSE),"Não Encontrado")))))</f>
        <v>LONA PLÁSTICA PRETA, ESPESSURA 150 MICRAS, ROLO DE 4X100M, PESO MÍNIMO 36 KG</v>
      </c>
      <c r="D34" s="124" t="str">
        <f>UPPER(IFERROR(VLOOKUP(B34,'SINAPI 04-26-SD'!$1:$1048576,3,FALSE),IFERROR(VLOOKUP(B34,'Ins. SINAPI 04-26-SD'!$1:$1048576,3,FALSE),IFERROR(VLOOKUP(B34,COTAÇÃO!$1:$1048576,7,FALSE),IFERROR(VLOOKUP(B34,'Ins. CDHU 201-SD'!$1:$1048576,3,FALSE),"Não Encontrado")))))</f>
        <v>M2</v>
      </c>
      <c r="E34" s="315">
        <v>1.2</v>
      </c>
      <c r="F34" s="125">
        <f>IFERROR(VLOOKUP(B34,'SINAPI 04-26-SD'!$1:$1048576,4,FALSE),IFERROR(VLOOKUP(B34,'Ins. SINAPI 04-26-SD'!$1:$1048576,5,FALSE),IFERROR(VLOOKUP(B34,COTAÇÃO!$1:$1048576,8,FALSE),IFERROR(VLOOKUP(B34,'Ins. CDHU 201-SD'!$1:$1048576,4,FALSE),"Não Encontrado"))))</f>
        <v>1.46</v>
      </c>
      <c r="G34" s="126">
        <f t="shared" ref="G34:G42" si="0">+ROUND(E34*F34,2)</f>
        <v>1.75</v>
      </c>
      <c r="H34" s="647"/>
      <c r="I34" s="646"/>
      <c r="M34" s="649"/>
    </row>
    <row r="35" spans="1:13" s="648" customFormat="1" ht="14">
      <c r="A35" s="675" t="s">
        <v>29901</v>
      </c>
      <c r="B35" s="676" t="s">
        <v>481</v>
      </c>
      <c r="C35" s="123" t="str">
        <f>UPPER(IFERROR(VLOOKUP(B35,'SINAPI 04-26-SD'!$1:$1048576,2,FALSE),IFERROR(VLOOKUP(B35,'Ins. SINAPI 04-26-SD'!$1:$1048576,2,FALSE),IFERROR(VLOOKUP(B35,COTAÇÃO!$1:$1048576,2,FALSE),IFERROR(VLOOKUP(B35,'Ins. CDHU 201-SD'!$1:$1048576,2,FALSE),"Não Encontrado")))))</f>
        <v>PEDRA BRITADA USINADA N° 2 POSTO OBRA</v>
      </c>
      <c r="D35" s="124" t="str">
        <f>UPPER(IFERROR(VLOOKUP(B35,'SINAPI 04-26-SD'!$1:$1048576,3,FALSE),IFERROR(VLOOKUP(B35,'Ins. SINAPI 04-26-SD'!$1:$1048576,3,FALSE),IFERROR(VLOOKUP(B35,COTAÇÃO!$1:$1048576,7,FALSE),IFERROR(VLOOKUP(B35,'Ins. CDHU 201-SD'!$1:$1048576,3,FALSE),"Não Encontrado")))))</f>
        <v>M3</v>
      </c>
      <c r="E35" s="315">
        <v>7.0000000000000007E-2</v>
      </c>
      <c r="F35" s="125">
        <f>IFERROR(VLOOKUP(B35,'SINAPI 04-26-SD'!$1:$1048576,4,FALSE),IFERROR(VLOOKUP(B35,'Ins. SINAPI 04-26-SD'!$1:$1048576,5,FALSE),IFERROR(VLOOKUP(B35,COTAÇÃO!$1:$1048576,8,FALSE),IFERROR(VLOOKUP(B35,'Ins. CDHU 201-SD'!$1:$1048576,4,FALSE),"Não Encontrado"))))</f>
        <v>154.97</v>
      </c>
      <c r="G35" s="126">
        <f t="shared" si="0"/>
        <v>10.85</v>
      </c>
      <c r="H35" s="647"/>
      <c r="I35" s="646"/>
      <c r="M35" s="649"/>
    </row>
    <row r="36" spans="1:13" s="648" customFormat="1" ht="14">
      <c r="A36" s="675" t="s">
        <v>27888</v>
      </c>
      <c r="B36" s="676">
        <v>101748</v>
      </c>
      <c r="C36" s="123" t="str">
        <f>UPPER(IFERROR(VLOOKUP(B36,'SINAPI 04-26-SD'!$1:$1048576,2,FALSE),IFERROR(VLOOKUP(B36,'Ins. SINAPI 04-26-SD'!$1:$1048576,2,FALSE),IFERROR(VLOOKUP(B36,COTAÇÃO!$1:$1048576,2,FALSE),IFERROR(VLOOKUP(B36,'Ins. CDHU 201-SD'!$1:$1048576,2,FALSE),"Não Encontrado")))))</f>
        <v>PREPARO DE CONTRAPISO COM POLITRIZ. AF_02/2026_PE</v>
      </c>
      <c r="D36" s="124" t="str">
        <f>UPPER(IFERROR(VLOOKUP(B36,'SINAPI 04-26-SD'!$1:$1048576,3,FALSE),IFERROR(VLOOKUP(B36,'Ins. SINAPI 04-26-SD'!$1:$1048576,3,FALSE),IFERROR(VLOOKUP(B36,COTAÇÃO!$1:$1048576,7,FALSE),IFERROR(VLOOKUP(B36,'Ins. CDHU 201-SD'!$1:$1048576,3,FALSE),"Não Encontrado")))))</f>
        <v>M2</v>
      </c>
      <c r="E36" s="315">
        <v>1.78</v>
      </c>
      <c r="F36" s="125">
        <f>IFERROR(VLOOKUP(B36,'SINAPI 04-26-SD'!$1:$1048576,4,FALSE),IFERROR(VLOOKUP(B36,'Ins. SINAPI 04-26-SD'!$1:$1048576,5,FALSE),IFERROR(VLOOKUP(B36,COTAÇÃO!$1:$1048576,8,FALSE),IFERROR(VLOOKUP(B36,'Ins. CDHU 201-SD'!$1:$1048576,4,FALSE),"Não Encontrado"))))</f>
        <v>4.62</v>
      </c>
      <c r="G36" s="126">
        <f t="shared" si="0"/>
        <v>8.2200000000000006</v>
      </c>
      <c r="H36" s="647"/>
      <c r="I36" s="646"/>
      <c r="M36" s="649"/>
    </row>
    <row r="37" spans="1:13" s="648" customFormat="1" ht="14">
      <c r="A37" s="675" t="s">
        <v>29901</v>
      </c>
      <c r="B37" s="676" t="s">
        <v>760</v>
      </c>
      <c r="C37" s="123" t="str">
        <f>UPPER(IFERROR(VLOOKUP(B37,'SINAPI 04-26-SD'!$1:$1048576,2,FALSE),IFERROR(VLOOKUP(B37,'Ins. SINAPI 04-26-SD'!$1:$1048576,2,FALSE),IFERROR(VLOOKUP(B37,COTAÇÃO!$1:$1048576,2,FALSE),IFERROR(VLOOKUP(B37,'Ins. CDHU 201-SD'!$1:$1048576,2,FALSE),"Não Encontrado")))))</f>
        <v>TÁBUA CEDRINHO 25 MM X 300 MM DE 3ª</v>
      </c>
      <c r="D37" s="124" t="str">
        <f>UPPER(IFERROR(VLOOKUP(B37,'SINAPI 04-26-SD'!$1:$1048576,3,FALSE),IFERROR(VLOOKUP(B37,'Ins. SINAPI 04-26-SD'!$1:$1048576,3,FALSE),IFERROR(VLOOKUP(B37,COTAÇÃO!$1:$1048576,7,FALSE),IFERROR(VLOOKUP(B37,'Ins. CDHU 201-SD'!$1:$1048576,3,FALSE),"Não Encontrado")))))</f>
        <v>M2</v>
      </c>
      <c r="E37" s="315">
        <v>2.1999999999999999E-2</v>
      </c>
      <c r="F37" s="125">
        <f>IFERROR(VLOOKUP(B37,'SINAPI 04-26-SD'!$1:$1048576,4,FALSE),IFERROR(VLOOKUP(B37,'Ins. SINAPI 04-26-SD'!$1:$1048576,5,FALSE),IFERROR(VLOOKUP(B37,COTAÇÃO!$1:$1048576,8,FALSE),IFERROR(VLOOKUP(B37,'Ins. CDHU 201-SD'!$1:$1048576,4,FALSE),"Não Encontrado"))))</f>
        <v>110.72</v>
      </c>
      <c r="G37" s="126">
        <f t="shared" si="0"/>
        <v>2.44</v>
      </c>
      <c r="H37" s="647"/>
      <c r="I37" s="646"/>
      <c r="M37" s="649"/>
    </row>
    <row r="38" spans="1:13" s="648" customFormat="1" ht="14">
      <c r="A38" s="675" t="s">
        <v>29901</v>
      </c>
      <c r="B38" s="676" t="s">
        <v>505</v>
      </c>
      <c r="C38" s="123" t="str">
        <f>UPPER(IFERROR(VLOOKUP(B38,'SINAPI 04-26-SD'!$1:$1048576,2,FALSE),IFERROR(VLOOKUP(B38,'Ins. SINAPI 04-26-SD'!$1:$1048576,2,FALSE),IFERROR(VLOOKUP(B38,COTAÇÃO!$1:$1048576,2,FALSE),IFERROR(VLOOKUP(B38,'Ins. CDHU 201-SD'!$1:$1048576,2,FALSE),"Não Encontrado")))))</f>
        <v>TELA SOLDADA, DIVERSAS BITOLAS</v>
      </c>
      <c r="D38" s="124" t="str">
        <f>UPPER(IFERROR(VLOOKUP(B38,'SINAPI 04-26-SD'!$1:$1048576,3,FALSE),IFERROR(VLOOKUP(B38,'Ins. SINAPI 04-26-SD'!$1:$1048576,3,FALSE),IFERROR(VLOOKUP(B38,COTAÇÃO!$1:$1048576,7,FALSE),IFERROR(VLOOKUP(B38,'Ins. CDHU 201-SD'!$1:$1048576,3,FALSE),"Não Encontrado")))))</f>
        <v>KG</v>
      </c>
      <c r="E38" s="315">
        <f>2*2.2*1.1</f>
        <v>4.8400000000000007</v>
      </c>
      <c r="F38" s="125">
        <f>IFERROR(VLOOKUP(B38,'SINAPI 04-26-SD'!$1:$1048576,4,FALSE),IFERROR(VLOOKUP(B38,'Ins. SINAPI 04-26-SD'!$1:$1048576,5,FALSE),IFERROR(VLOOKUP(B38,COTAÇÃO!$1:$1048576,8,FALSE),IFERROR(VLOOKUP(B38,'Ins. CDHU 201-SD'!$1:$1048576,4,FALSE),"Não Encontrado"))))</f>
        <v>7.54</v>
      </c>
      <c r="G38" s="126">
        <f t="shared" si="0"/>
        <v>36.49</v>
      </c>
      <c r="H38" s="647"/>
      <c r="I38" s="646"/>
      <c r="M38" s="649"/>
    </row>
    <row r="39" spans="1:13" s="648" customFormat="1" ht="14">
      <c r="A39" s="675" t="s">
        <v>29901</v>
      </c>
      <c r="B39" s="676" t="s">
        <v>620</v>
      </c>
      <c r="C39" s="123" t="str">
        <f>UPPER(IFERROR(VLOOKUP(B39,'SINAPI 04-26-SD'!$1:$1048576,2,FALSE),IFERROR(VLOOKUP(B39,'Ins. SINAPI 04-26-SD'!$1:$1048576,2,FALSE),IFERROR(VLOOKUP(B39,COTAÇÃO!$1:$1048576,2,FALSE),IFERROR(VLOOKUP(B39,'Ins. CDHU 201-SD'!$1:$1048576,2,FALSE),"Não Encontrado")))))</f>
        <v>CONCRETO USINADO FCK= 30 MPA, SLUMP 5 ± 1CM</v>
      </c>
      <c r="D39" s="124" t="str">
        <f>UPPER(IFERROR(VLOOKUP(B39,'SINAPI 04-26-SD'!$1:$1048576,3,FALSE),IFERROR(VLOOKUP(B39,'Ins. SINAPI 04-26-SD'!$1:$1048576,3,FALSE),IFERROR(VLOOKUP(B39,COTAÇÃO!$1:$1048576,7,FALSE),IFERROR(VLOOKUP(B39,'Ins. CDHU 201-SD'!$1:$1048576,3,FALSE),"Não Encontrado")))))</f>
        <v>M3</v>
      </c>
      <c r="E39" s="315">
        <f>0.12*1.1</f>
        <v>0.13200000000000001</v>
      </c>
      <c r="F39" s="125">
        <f>IFERROR(VLOOKUP(B39,'SINAPI 04-26-SD'!$1:$1048576,4,FALSE),IFERROR(VLOOKUP(B39,'Ins. SINAPI 04-26-SD'!$1:$1048576,5,FALSE),IFERROR(VLOOKUP(B39,COTAÇÃO!$1:$1048576,8,FALSE),IFERROR(VLOOKUP(B39,'Ins. CDHU 201-SD'!$1:$1048576,4,FALSE),"Não Encontrado"))))</f>
        <v>515.85</v>
      </c>
      <c r="G39" s="126">
        <f t="shared" si="0"/>
        <v>68.09</v>
      </c>
      <c r="H39" s="647"/>
      <c r="I39" s="646"/>
      <c r="M39" s="649"/>
    </row>
    <row r="40" spans="1:13" s="648" customFormat="1" ht="42">
      <c r="A40" s="675" t="s">
        <v>29901</v>
      </c>
      <c r="B40" s="676" t="s">
        <v>608</v>
      </c>
      <c r="C40" s="123" t="str">
        <f>UPPER(IFERROR(VLOOKUP(B40,'SINAPI 04-26-SD'!$1:$1048576,2,FALSE),IFERROR(VLOOKUP(B40,'Ins. SINAPI 04-26-SD'!$1:$1048576,2,FALSE),IFERROR(VLOOKUP(B40,COTAÇÃO!$1:$1048576,2,FALSE),IFERROR(VLOOKUP(B40,'Ins. CDHU 201-SD'!$1:$1048576,2,FALSE),"Não Encontrado")))))</f>
        <v>CORTE DE JUNTA DILATAÇÃO COM SERRA DISCO DIAMANTADO NA LARGURA DE 3 MM, PROFUNDIDADE DE 3 CM, PARA PISO DE CONCRETO OU ALTA RESISTÊNCIA 3,0 MM X 3,0 CM</v>
      </c>
      <c r="D40" s="124" t="str">
        <f>UPPER(IFERROR(VLOOKUP(B40,'SINAPI 04-26-SD'!$1:$1048576,3,FALSE),IFERROR(VLOOKUP(B40,'Ins. SINAPI 04-26-SD'!$1:$1048576,3,FALSE),IFERROR(VLOOKUP(B40,COTAÇÃO!$1:$1048576,7,FALSE),IFERROR(VLOOKUP(B40,'Ins. CDHU 201-SD'!$1:$1048576,3,FALSE),"Não Encontrado")))))</f>
        <v>M</v>
      </c>
      <c r="E40" s="315">
        <v>0.89</v>
      </c>
      <c r="F40" s="125">
        <f>IFERROR(VLOOKUP(B40,'SINAPI 04-26-SD'!$1:$1048576,4,FALSE),IFERROR(VLOOKUP(B40,'Ins. SINAPI 04-26-SD'!$1:$1048576,5,FALSE),IFERROR(VLOOKUP(B40,COTAÇÃO!$1:$1048576,8,FALSE),IFERROR(VLOOKUP(B40,'Ins. CDHU 201-SD'!$1:$1048576,4,FALSE),"Não Encontrado"))))</f>
        <v>11.91</v>
      </c>
      <c r="G40" s="126">
        <f t="shared" si="0"/>
        <v>10.6</v>
      </c>
      <c r="H40" s="647"/>
      <c r="I40" s="646"/>
      <c r="M40" s="649"/>
    </row>
    <row r="41" spans="1:13" s="648" customFormat="1" ht="28">
      <c r="A41" s="675" t="s">
        <v>27888</v>
      </c>
      <c r="B41" s="676">
        <v>91533</v>
      </c>
      <c r="C41" s="123" t="str">
        <f>UPPER(IFERROR(VLOOKUP(B41,'SINAPI 04-26-SD'!$1:$1048576,2,FALSE),IFERROR(VLOOKUP(B41,'Ins. SINAPI 04-26-SD'!$1:$1048576,2,FALSE),IFERROR(VLOOKUP(B41,COTAÇÃO!$1:$1048576,2,FALSE),IFERROR(VLOOKUP(B41,'Ins. CDHU 201-SD'!$1:$1048576,2,FALSE),"Não Encontrado")))))</f>
        <v>COMPACTADOR DE SOLOS DE PERCUSSÃO (SOQUETE) COM MOTOR A GASOLINA 4 TEMPOS, POTÊNCIA 4 CV - CHP DIURNO. AF_08/2015</v>
      </c>
      <c r="D41" s="124" t="str">
        <f>UPPER(IFERROR(VLOOKUP(B41,'SINAPI 04-26-SD'!$1:$1048576,3,FALSE),IFERROR(VLOOKUP(B41,'Ins. SINAPI 04-26-SD'!$1:$1048576,3,FALSE),IFERROR(VLOOKUP(B41,COTAÇÃO!$1:$1048576,7,FALSE),IFERROR(VLOOKUP(B41,'Ins. CDHU 201-SD'!$1:$1048576,3,FALSE),"Não Encontrado")))))</f>
        <v>CHP</v>
      </c>
      <c r="E41" s="315">
        <v>1.67E-2</v>
      </c>
      <c r="F41" s="125">
        <f>IFERROR(VLOOKUP(B41,'SINAPI 04-26-SD'!$1:$1048576,4,FALSE),IFERROR(VLOOKUP(B41,'Ins. SINAPI 04-26-SD'!$1:$1048576,5,FALSE),IFERROR(VLOOKUP(B41,COTAÇÃO!$1:$1048576,8,FALSE),IFERROR(VLOOKUP(B41,'Ins. CDHU 201-SD'!$1:$1048576,4,FALSE),"Não Encontrado"))))</f>
        <v>47.98</v>
      </c>
      <c r="G41" s="126">
        <f t="shared" si="0"/>
        <v>0.8</v>
      </c>
      <c r="H41" s="647"/>
      <c r="I41" s="646"/>
      <c r="M41" s="649"/>
    </row>
    <row r="42" spans="1:13" s="648" customFormat="1" ht="28">
      <c r="A42" s="675" t="s">
        <v>29901</v>
      </c>
      <c r="B42" s="676" t="s">
        <v>11491</v>
      </c>
      <c r="C42" s="123" t="str">
        <f>UPPER(IFERROR(VLOOKUP(B42,'SINAPI 04-26-SD'!$1:$1048576,2,FALSE),IFERROR(VLOOKUP(B42,'Ins. SINAPI 04-26-SD'!$1:$1048576,2,FALSE),IFERROR(VLOOKUP(B42,COTAÇÃO!$1:$1048576,2,FALSE),IFERROR(VLOOKUP(B42,'Ins. CDHU 201-SD'!$1:$1048576,2,FALSE),IFERROR(VLOOKUP(B42,'CDHU 201-SD'!$1:$1048576,2,FALSE),"Não Encontrado"))))))</f>
        <v>REATERRO MANUAL PARA SIMPLES REGULARIZAÇÃO SEM COMPACTAÇÃO</v>
      </c>
      <c r="D42" s="124" t="str">
        <f>UPPER(IFERROR(VLOOKUP(B42,'SINAPI 04-26-SD'!$1:$1048576,3,FALSE),IFERROR(VLOOKUP(B42,'Ins. SINAPI 04-26-SD'!$1:$1048576,3,FALSE),IFERROR(VLOOKUP(B42,COTAÇÃO!$1:$1048576,7,FALSE),IFERROR(VLOOKUP(B42,'Ins. CDHU 201-SD'!$1:$1048576,3,FALSE),IFERROR(VLOOKUP(B42,'CDHU 201-SD'!$1:$1048576,3,FALSE),"Não Encontrado"))))))</f>
        <v>M3</v>
      </c>
      <c r="E42" s="315">
        <v>0.05</v>
      </c>
      <c r="F42" s="125">
        <f>IFERROR(VLOOKUP(B42,'SINAPI 04-26-SD'!$1:$1048576,4,FALSE),IFERROR(VLOOKUP(B42,'Ins. SINAPI 04-26-SD'!$1:$1048576,5,FALSE),IFERROR(VLOOKUP(B42,COTAÇÃO!$1:$1048576,8,FALSE),IFERROR(VLOOKUP(B42,'Ins. CDHU 201-SD'!$1:$1048576,4,FALSE),IFERROR(VLOOKUP(B42,'CDHU 201-SD'!$1:$1048576,5,FALSE),"Não Encontrado")))))</f>
        <v>9.77</v>
      </c>
      <c r="G42" s="126">
        <f t="shared" si="0"/>
        <v>0.49</v>
      </c>
      <c r="H42" s="647"/>
      <c r="I42" s="646"/>
      <c r="M42" s="649"/>
    </row>
    <row r="43" spans="1:13" s="548" customFormat="1" ht="14">
      <c r="A43" s="550"/>
      <c r="B43" s="551"/>
      <c r="C43" s="552" t="s">
        <v>41229</v>
      </c>
      <c r="D43" s="553"/>
      <c r="E43" s="554"/>
      <c r="F43" s="555"/>
      <c r="G43" s="556">
        <f>SUM(G33:G42)</f>
        <v>139.73000000000002</v>
      </c>
      <c r="H43" s="547"/>
      <c r="M43" s="638"/>
    </row>
    <row r="44" spans="1:13" s="122" customFormat="1" ht="12" customHeight="1">
      <c r="A44" s="829" t="s">
        <v>41230</v>
      </c>
      <c r="B44" s="830"/>
      <c r="C44" s="830"/>
      <c r="D44" s="830"/>
      <c r="E44" s="830"/>
      <c r="F44" s="830"/>
      <c r="G44" s="831"/>
      <c r="H44" s="382"/>
      <c r="M44" s="637"/>
    </row>
    <row r="45" spans="1:13" s="122" customFormat="1" ht="14">
      <c r="A45" s="675" t="s">
        <v>29901</v>
      </c>
      <c r="B45" s="676" t="s">
        <v>43</v>
      </c>
      <c r="C45" s="123" t="str">
        <f>UPPER(IFERROR(VLOOKUP(B45,'SINAPI 04-26-SD'!$1:$1048576,2,FALSE),IFERROR(VLOOKUP(B45,'Ins. SINAPI 04-26-SD'!$1:$1048576,2,FALSE),IFERROR(VLOOKUP(B45,COTAÇÃO!$1:$1048576,2,FALSE),IFERROR(VLOOKUP(B45,'Ins. CDHU 201-SD'!$1:$1048576,2,FALSE),"Não Encontrado")))))</f>
        <v>PEDREIRO</v>
      </c>
      <c r="D45" s="124" t="str">
        <f>UPPER(IFERROR(VLOOKUP(B45,'SINAPI 04-26-SD'!$1:$1048576,3,FALSE),IFERROR(VLOOKUP(B45,'Ins. SINAPI 04-26-SD'!$1:$1048576,3,FALSE),IFERROR(VLOOKUP(B45,COTAÇÃO!$1:$1048576,7,FALSE),IFERROR(VLOOKUP(B45,'Ins. CDHU 201-SD'!$1:$1048576,3,FALSE),"Não Encontrado")))))</f>
        <v>H</v>
      </c>
      <c r="E45" s="315">
        <v>0.25</v>
      </c>
      <c r="F45" s="125">
        <f>IFERROR(VLOOKUP(B45,'SINAPI 04-26-SD'!$1:$1048576,4,FALSE),IFERROR(VLOOKUP(B45,'Ins. SINAPI 04-26-SD'!$1:$1048576,5,FALSE),IFERROR(VLOOKUP(B45,COTAÇÃO!$1:$1048576,8,FALSE),IFERROR(VLOOKUP(B45,'Ins. CDHU 201-SD'!$1:$1048576,4,FALSE),"Não Encontrado"))))</f>
        <v>12.11</v>
      </c>
      <c r="G45" s="126">
        <f>+ROUND(E45*F45,2)</f>
        <v>3.03</v>
      </c>
      <c r="H45" s="382"/>
      <c r="I45" s="315"/>
      <c r="M45" s="637"/>
    </row>
    <row r="46" spans="1:13" s="122" customFormat="1" ht="14">
      <c r="A46" s="675" t="s">
        <v>29901</v>
      </c>
      <c r="B46" s="676" t="s">
        <v>57</v>
      </c>
      <c r="C46" s="123" t="str">
        <f>UPPER(IFERROR(VLOOKUP(B46,'SINAPI 04-26-SD'!$1:$1048576,2,FALSE),IFERROR(VLOOKUP(B46,'Ins. SINAPI 04-26-SD'!$1:$1048576,2,FALSE),IFERROR(VLOOKUP(B46,COTAÇÃO!$1:$1048576,2,FALSE),IFERROR(VLOOKUP(B46,'Ins. CDHU 201-SD'!$1:$1048576,2,FALSE),"Não Encontrado")))))</f>
        <v>SERVENTE</v>
      </c>
      <c r="D46" s="124" t="str">
        <f>UPPER(IFERROR(VLOOKUP(B46,'SINAPI 04-26-SD'!$1:$1048576,3,FALSE),IFERROR(VLOOKUP(B46,'Ins. SINAPI 04-26-SD'!$1:$1048576,3,FALSE),IFERROR(VLOOKUP(B46,COTAÇÃO!$1:$1048576,7,FALSE),IFERROR(VLOOKUP(B46,'Ins. CDHU 201-SD'!$1:$1048576,3,FALSE),"Não Encontrado")))))</f>
        <v>H</v>
      </c>
      <c r="E46" s="315">
        <v>0.30249999999999999</v>
      </c>
      <c r="F46" s="125">
        <f>IFERROR(VLOOKUP(B46,'SINAPI 04-26-SD'!$1:$1048576,4,FALSE),IFERROR(VLOOKUP(B46,'Ins. SINAPI 04-26-SD'!$1:$1048576,5,FALSE),IFERROR(VLOOKUP(B46,COTAÇÃO!$1:$1048576,8,FALSE),IFERROR(VLOOKUP(B46,'Ins. CDHU 201-SD'!$1:$1048576,4,FALSE),"Não Encontrado"))))</f>
        <v>9.9499999999999993</v>
      </c>
      <c r="G46" s="126">
        <f>+ROUND(E46*F46,2)</f>
        <v>3.01</v>
      </c>
      <c r="H46" s="382"/>
      <c r="I46" s="315"/>
      <c r="M46" s="637"/>
    </row>
    <row r="47" spans="1:13" s="122" customFormat="1" ht="14">
      <c r="A47" s="316"/>
      <c r="B47" s="549"/>
      <c r="C47" s="123" t="s">
        <v>41258</v>
      </c>
      <c r="D47" s="124"/>
      <c r="E47" s="315"/>
      <c r="F47" s="125"/>
      <c r="G47" s="126">
        <f>+SUBTOTAL(9,G44:G46)</f>
        <v>6.0399999999999991</v>
      </c>
      <c r="H47" s="382"/>
      <c r="M47" s="637"/>
    </row>
    <row r="48" spans="1:13" s="122" customFormat="1" ht="14">
      <c r="A48" s="316"/>
      <c r="B48" s="549"/>
      <c r="C48" s="123" t="s">
        <v>41259</v>
      </c>
      <c r="D48" s="124"/>
      <c r="E48" s="315">
        <f>$J$2</f>
        <v>128.22999999999999</v>
      </c>
      <c r="F48" s="125"/>
      <c r="G48" s="126">
        <f>+ROUND(G47*E48/100,2)</f>
        <v>7.75</v>
      </c>
      <c r="H48" s="382"/>
      <c r="M48" s="637"/>
    </row>
    <row r="49" spans="1:21" s="548" customFormat="1" ht="14">
      <c r="A49" s="550"/>
      <c r="B49" s="551"/>
      <c r="C49" s="552" t="s">
        <v>41231</v>
      </c>
      <c r="D49" s="553"/>
      <c r="E49" s="554"/>
      <c r="F49" s="555"/>
      <c r="G49" s="556">
        <f>SUM(G47:G48)</f>
        <v>13.79</v>
      </c>
      <c r="H49" s="547"/>
      <c r="M49" s="638"/>
    </row>
    <row r="50" spans="1:21" s="122" customFormat="1">
      <c r="A50" s="127"/>
      <c r="B50" s="406"/>
      <c r="C50" s="406" t="s">
        <v>27907</v>
      </c>
      <c r="D50" s="406"/>
      <c r="E50" s="406"/>
      <c r="F50" s="407"/>
      <c r="G50" s="408">
        <f>SUM(G49,G43)</f>
        <v>153.52000000000001</v>
      </c>
      <c r="H50" s="382"/>
      <c r="M50" s="637"/>
    </row>
    <row r="51" spans="1:21" s="122" customFormat="1" ht="39" customHeight="1">
      <c r="A51" s="832" t="s">
        <v>27908</v>
      </c>
      <c r="B51" s="833"/>
      <c r="C51" s="836" t="s">
        <v>44327</v>
      </c>
      <c r="D51" s="836"/>
      <c r="E51" s="836"/>
      <c r="F51" s="836"/>
      <c r="G51" s="837"/>
      <c r="H51" s="382"/>
      <c r="M51" s="637"/>
    </row>
    <row r="52" spans="1:21" ht="13.5" customHeight="1" thickBot="1">
      <c r="A52" s="120"/>
      <c r="B52" s="121"/>
      <c r="C52" s="121"/>
      <c r="D52" s="121"/>
      <c r="E52" s="121"/>
      <c r="F52" s="121"/>
      <c r="G52" s="206"/>
      <c r="H52" s="119" t="s">
        <v>6009</v>
      </c>
      <c r="I52" s="119" t="s">
        <v>27901</v>
      </c>
      <c r="J52" s="228" t="s">
        <v>27889</v>
      </c>
      <c r="M52" s="637"/>
    </row>
    <row r="53" spans="1:21" s="374" customFormat="1" ht="57.75" customHeight="1" thickBot="1">
      <c r="A53" s="688" t="s">
        <v>44384</v>
      </c>
      <c r="B53" s="689"/>
      <c r="C53" s="826" t="s">
        <v>44391</v>
      </c>
      <c r="D53" s="827"/>
      <c r="E53" s="827"/>
      <c r="F53" s="828"/>
      <c r="G53" s="674" t="s">
        <v>103</v>
      </c>
      <c r="H53" s="383">
        <f>G66</f>
        <v>314.14</v>
      </c>
      <c r="I53" s="383">
        <f>G58</f>
        <v>10496.59</v>
      </c>
      <c r="J53" s="383">
        <f>G67</f>
        <v>10810.73</v>
      </c>
      <c r="K53" s="122"/>
      <c r="L53" s="122"/>
      <c r="M53" s="637" t="str">
        <f>VLOOKUP(A53,'Plan Orçamentária'!$Q:$Y,1,FALSE)</f>
        <v>D&amp;C 04</v>
      </c>
      <c r="N53" s="122"/>
      <c r="O53" s="122"/>
      <c r="P53" s="122"/>
      <c r="Q53" s="122"/>
      <c r="R53" s="122"/>
      <c r="S53" s="122"/>
      <c r="T53" s="122"/>
      <c r="U53" s="122"/>
    </row>
    <row r="54" spans="1:21" s="122" customFormat="1" ht="12" customHeight="1">
      <c r="A54" s="419" t="s">
        <v>27902</v>
      </c>
      <c r="B54" s="420" t="s">
        <v>27903</v>
      </c>
      <c r="C54" s="546" t="s">
        <v>5</v>
      </c>
      <c r="D54" s="421" t="s">
        <v>27886</v>
      </c>
      <c r="E54" s="422" t="s">
        <v>27904</v>
      </c>
      <c r="F54" s="422" t="s">
        <v>27905</v>
      </c>
      <c r="G54" s="423" t="s">
        <v>27906</v>
      </c>
      <c r="H54" s="382"/>
      <c r="M54" s="637"/>
    </row>
    <row r="55" spans="1:21" s="122" customFormat="1" ht="12" customHeight="1">
      <c r="A55" s="829" t="s">
        <v>41228</v>
      </c>
      <c r="B55" s="830"/>
      <c r="C55" s="830"/>
      <c r="D55" s="830"/>
      <c r="E55" s="830"/>
      <c r="F55" s="830"/>
      <c r="G55" s="831"/>
      <c r="H55" s="382"/>
      <c r="M55" s="637"/>
    </row>
    <row r="56" spans="1:21" s="648" customFormat="1" ht="14">
      <c r="A56" s="675" t="s">
        <v>29901</v>
      </c>
      <c r="B56" s="676" t="s">
        <v>898</v>
      </c>
      <c r="C56" s="123" t="str">
        <f>UPPER(IFERROR(VLOOKUP(B56,'SINAPI 04-26-SD'!$1:$1048576,2,FALSE),IFERROR(VLOOKUP(B56,'Ins. SINAPI 04-26-SD'!$1:$1048576,2,FALSE),IFERROR(VLOOKUP(B56,COTAÇÃO!$1:$1048576,2,FALSE),IFERROR(VLOOKUP(B56,'Ins. CDHU 201-SD'!$1:$1048576,2,FALSE),"Não Encontrado")))))</f>
        <v>CHUMBADOR FISCHER BOLT DIÂMETRO = 1/2´ E COMPRIMENTO = 4´</v>
      </c>
      <c r="D56" s="124" t="str">
        <f>UPPER(IFERROR(VLOOKUP(B56,'SINAPI 04-26-SD'!$1:$1048576,3,FALSE),IFERROR(VLOOKUP(B56,'Ins. SINAPI 04-26-SD'!$1:$1048576,3,FALSE),IFERROR(VLOOKUP(B56,COTAÇÃO!$1:$1048576,7,FALSE),IFERROR(VLOOKUP(B56,'Ins. CDHU 201-SD'!$1:$1048576,3,FALSE),"Não Encontrado")))))</f>
        <v>UN</v>
      </c>
      <c r="E56" s="315">
        <v>4</v>
      </c>
      <c r="F56" s="125">
        <f>IFERROR(VLOOKUP(B56,'SINAPI 04-26-SD'!$1:$1048576,4,FALSE),IFERROR(VLOOKUP(B56,'Ins. SINAPI 04-26-SD'!$1:$1048576,5,FALSE),IFERROR(VLOOKUP(B56,COTAÇÃO!$1:$1048576,8,FALSE),IFERROR(VLOOKUP(B56,'Ins. CDHU 201-SD'!$1:$1048576,4,FALSE),"Não Encontrado"))))</f>
        <v>3.85</v>
      </c>
      <c r="G56" s="126">
        <f t="shared" ref="G56:G57" si="1">+ROUND(E56*F56,2)</f>
        <v>15.4</v>
      </c>
      <c r="H56" s="647"/>
      <c r="I56" s="646"/>
      <c r="M56" s="649"/>
    </row>
    <row r="57" spans="1:21" s="648" customFormat="1" ht="28">
      <c r="A57" s="675" t="s">
        <v>41847</v>
      </c>
      <c r="B57" s="676" t="s">
        <v>44386</v>
      </c>
      <c r="C57" s="123" t="str">
        <f>UPPER(IFERROR(VLOOKUP(B57,'SINAPI 04-26-SD'!$1:$1048576,2,FALSE),IFERROR(VLOOKUP(B57,'Ins. SINAPI 04-26-SD'!$1:$1048576,2,FALSE),IFERROR(VLOOKUP(B57,COTAÇÃO!$1:$1048576,2,FALSE),IFERROR(VLOOKUP(B57,'Ins. CDHU 201-SD'!$1:$1048576,2,FALSE),"Não Encontrado")))))</f>
        <v>PRESSURIZADOR PRESSOSTATO ROWA MAX PRESS 200 E 2,5CV 220V TRI ATÉ 6 BANHEIROS</v>
      </c>
      <c r="D57" s="124" t="str">
        <f>UPPER(IFERROR(VLOOKUP(B57,'SINAPI 04-26-SD'!$1:$1048576,3,FALSE),IFERROR(VLOOKUP(B57,'Ins. SINAPI 04-26-SD'!$1:$1048576,3,FALSE),IFERROR(VLOOKUP(B57,COTAÇÃO!$1:$1048576,7,FALSE),IFERROR(VLOOKUP(B57,'Ins. CDHU 201-SD'!$1:$1048576,3,FALSE),"Não Encontrado")))))</f>
        <v>UN</v>
      </c>
      <c r="E57" s="315">
        <v>1</v>
      </c>
      <c r="F57" s="125">
        <f>IFERROR(VLOOKUP(B57,'SINAPI 04-26-SD'!$1:$1048576,4,FALSE),IFERROR(VLOOKUP(B57,'Ins. SINAPI 04-26-SD'!$1:$1048576,5,FALSE),IFERROR(VLOOKUP(B57,COTAÇÃO!$1:$1048576,8,FALSE),IFERROR(VLOOKUP(B57,'Ins. CDHU 201-SD'!$1:$1048576,4,FALSE),"Não Encontrado"))))</f>
        <v>10481.19</v>
      </c>
      <c r="G57" s="126">
        <f t="shared" si="1"/>
        <v>10481.19</v>
      </c>
      <c r="H57" s="647"/>
      <c r="I57" s="646"/>
      <c r="M57" s="649"/>
    </row>
    <row r="58" spans="1:21" s="548" customFormat="1" ht="14">
      <c r="A58" s="550"/>
      <c r="B58" s="551"/>
      <c r="C58" s="552" t="s">
        <v>41229</v>
      </c>
      <c r="D58" s="553"/>
      <c r="E58" s="554"/>
      <c r="F58" s="555"/>
      <c r="G58" s="556">
        <f>SUM(G55:G57)</f>
        <v>10496.59</v>
      </c>
      <c r="H58" s="547"/>
      <c r="M58" s="638"/>
    </row>
    <row r="59" spans="1:21" s="122" customFormat="1" ht="12" customHeight="1">
      <c r="A59" s="829" t="s">
        <v>41230</v>
      </c>
      <c r="B59" s="830"/>
      <c r="C59" s="830"/>
      <c r="D59" s="830"/>
      <c r="E59" s="830"/>
      <c r="F59" s="830"/>
      <c r="G59" s="831"/>
      <c r="H59" s="382"/>
      <c r="M59" s="637"/>
    </row>
    <row r="60" spans="1:21" s="122" customFormat="1" ht="14">
      <c r="A60" s="675" t="s">
        <v>29901</v>
      </c>
      <c r="B60" s="676" t="s">
        <v>21</v>
      </c>
      <c r="C60" s="123" t="str">
        <f>UPPER(IFERROR(VLOOKUP(B60,'SINAPI 04-26-SD'!$1:$1048576,2,FALSE),IFERROR(VLOOKUP(B60,'Ins. SINAPI 04-26-SD'!$1:$1048576,2,FALSE),IFERROR(VLOOKUP(B60,COTAÇÃO!$1:$1048576,2,FALSE),IFERROR(VLOOKUP(B60,'Ins. CDHU 201-SD'!$1:$1048576,2,FALSE),"Não Encontrado")))))</f>
        <v>ELETRICISTA</v>
      </c>
      <c r="D60" s="124" t="str">
        <f>UPPER(IFERROR(VLOOKUP(B60,'SINAPI 04-26-SD'!$1:$1048576,3,FALSE),IFERROR(VLOOKUP(B60,'Ins. SINAPI 04-26-SD'!$1:$1048576,3,FALSE),IFERROR(VLOOKUP(B60,COTAÇÃO!$1:$1048576,7,FALSE),IFERROR(VLOOKUP(B60,'Ins. CDHU 201-SD'!$1:$1048576,3,FALSE),"Não Encontrado")))))</f>
        <v>H</v>
      </c>
      <c r="E60" s="315">
        <v>2</v>
      </c>
      <c r="F60" s="125">
        <f>IFERROR(VLOOKUP(B60,'SINAPI 04-26-SD'!$1:$1048576,4,FALSE),IFERROR(VLOOKUP(B60,'Ins. SINAPI 04-26-SD'!$1:$1048576,5,FALSE),IFERROR(VLOOKUP(B60,COTAÇÃO!$1:$1048576,8,FALSE),IFERROR(VLOOKUP(B60,'Ins. CDHU 201-SD'!$1:$1048576,4,FALSE),"Não Encontrado"))))</f>
        <v>14.51</v>
      </c>
      <c r="G60" s="126">
        <f>+ROUND(E60*F60,2)</f>
        <v>29.02</v>
      </c>
      <c r="H60" s="382"/>
      <c r="I60" s="315"/>
      <c r="M60" s="637"/>
    </row>
    <row r="61" spans="1:21" s="122" customFormat="1" ht="14">
      <c r="A61" s="675" t="s">
        <v>29901</v>
      </c>
      <c r="B61" s="676" t="s">
        <v>23</v>
      </c>
      <c r="C61" s="123" t="str">
        <f>UPPER(IFERROR(VLOOKUP(B61,'SINAPI 04-26-SD'!$1:$1048576,2,FALSE),IFERROR(VLOOKUP(B61,'Ins. SINAPI 04-26-SD'!$1:$1048576,2,FALSE),IFERROR(VLOOKUP(B61,COTAÇÃO!$1:$1048576,2,FALSE),IFERROR(VLOOKUP(B61,'Ins. CDHU 201-SD'!$1:$1048576,2,FALSE),"Não Encontrado")))))</f>
        <v>AJUDANTE ELETRICISTA</v>
      </c>
      <c r="D61" s="124" t="str">
        <f>UPPER(IFERROR(VLOOKUP(B61,'SINAPI 04-26-SD'!$1:$1048576,3,FALSE),IFERROR(VLOOKUP(B61,'Ins. SINAPI 04-26-SD'!$1:$1048576,3,FALSE),IFERROR(VLOOKUP(B61,COTAÇÃO!$1:$1048576,7,FALSE),IFERROR(VLOOKUP(B61,'Ins. CDHU 201-SD'!$1:$1048576,3,FALSE),"Não Encontrado")))))</f>
        <v>H</v>
      </c>
      <c r="E61" s="315">
        <v>4</v>
      </c>
      <c r="F61" s="125">
        <f>IFERROR(VLOOKUP(B61,'SINAPI 04-26-SD'!$1:$1048576,4,FALSE),IFERROR(VLOOKUP(B61,'Ins. SINAPI 04-26-SD'!$1:$1048576,5,FALSE),IFERROR(VLOOKUP(B61,COTAÇÃO!$1:$1048576,8,FALSE),IFERROR(VLOOKUP(B61,'Ins. CDHU 201-SD'!$1:$1048576,4,FALSE),"Não Encontrado"))))</f>
        <v>9.9499999999999993</v>
      </c>
      <c r="G61" s="126">
        <f>+ROUND(E61*F61,2)</f>
        <v>39.799999999999997</v>
      </c>
      <c r="H61" s="382"/>
      <c r="I61" s="315"/>
      <c r="M61" s="637"/>
    </row>
    <row r="62" spans="1:21" s="122" customFormat="1" ht="14">
      <c r="A62" s="675" t="s">
        <v>29901</v>
      </c>
      <c r="B62" s="676" t="s">
        <v>27</v>
      </c>
      <c r="C62" s="123" t="str">
        <f>UPPER(IFERROR(VLOOKUP(B62,'SINAPI 04-26-SD'!$1:$1048576,2,FALSE),IFERROR(VLOOKUP(B62,'Ins. SINAPI 04-26-SD'!$1:$1048576,2,FALSE),IFERROR(VLOOKUP(B62,COTAÇÃO!$1:$1048576,2,FALSE),IFERROR(VLOOKUP(B62,'Ins. CDHU 201-SD'!$1:$1048576,2,FALSE),"Não Encontrado")))))</f>
        <v>ENCANADOR</v>
      </c>
      <c r="D62" s="124" t="str">
        <f>UPPER(IFERROR(VLOOKUP(B62,'SINAPI 04-26-SD'!$1:$1048576,3,FALSE),IFERROR(VLOOKUP(B62,'Ins. SINAPI 04-26-SD'!$1:$1048576,3,FALSE),IFERROR(VLOOKUP(B62,COTAÇÃO!$1:$1048576,7,FALSE),IFERROR(VLOOKUP(B62,'Ins. CDHU 201-SD'!$1:$1048576,3,FALSE),"Não Encontrado")))))</f>
        <v>H</v>
      </c>
      <c r="E62" s="315">
        <v>2</v>
      </c>
      <c r="F62" s="125">
        <f>IFERROR(VLOOKUP(B62,'SINAPI 04-26-SD'!$1:$1048576,4,FALSE),IFERROR(VLOOKUP(B62,'Ins. SINAPI 04-26-SD'!$1:$1048576,5,FALSE),IFERROR(VLOOKUP(B62,COTAÇÃO!$1:$1048576,8,FALSE),IFERROR(VLOOKUP(B62,'Ins. CDHU 201-SD'!$1:$1048576,4,FALSE),"Não Encontrado"))))</f>
        <v>14.51</v>
      </c>
      <c r="G62" s="126">
        <f>+ROUND(E62*F62,2)</f>
        <v>29.02</v>
      </c>
      <c r="H62" s="382"/>
      <c r="I62" s="315"/>
      <c r="M62" s="637"/>
    </row>
    <row r="63" spans="1:21" s="122" customFormat="1" ht="14">
      <c r="A63" s="675" t="s">
        <v>29901</v>
      </c>
      <c r="B63" s="676" t="s">
        <v>29</v>
      </c>
      <c r="C63" s="123" t="str">
        <f>UPPER(IFERROR(VLOOKUP(B63,'SINAPI 04-26-SD'!$1:$1048576,2,FALSE),IFERROR(VLOOKUP(B63,'Ins. SINAPI 04-26-SD'!$1:$1048576,2,FALSE),IFERROR(VLOOKUP(B63,COTAÇÃO!$1:$1048576,2,FALSE),IFERROR(VLOOKUP(B63,'Ins. CDHU 201-SD'!$1:$1048576,2,FALSE),"Não Encontrado")))))</f>
        <v>AJUDANTE DE ENCANADOR</v>
      </c>
      <c r="D63" s="124" t="str">
        <f>UPPER(IFERROR(VLOOKUP(B63,'SINAPI 04-26-SD'!$1:$1048576,3,FALSE),IFERROR(VLOOKUP(B63,'Ins. SINAPI 04-26-SD'!$1:$1048576,3,FALSE),IFERROR(VLOOKUP(B63,COTAÇÃO!$1:$1048576,7,FALSE),IFERROR(VLOOKUP(B63,'Ins. CDHU 201-SD'!$1:$1048576,3,FALSE),"Não Encontrado")))))</f>
        <v>H</v>
      </c>
      <c r="E63" s="315">
        <v>4</v>
      </c>
      <c r="F63" s="125">
        <f>IFERROR(VLOOKUP(B63,'SINAPI 04-26-SD'!$1:$1048576,4,FALSE),IFERROR(VLOOKUP(B63,'Ins. SINAPI 04-26-SD'!$1:$1048576,5,FALSE),IFERROR(VLOOKUP(B63,COTAÇÃO!$1:$1048576,8,FALSE),IFERROR(VLOOKUP(B63,'Ins. CDHU 201-SD'!$1:$1048576,4,FALSE),"Não Encontrado"))))</f>
        <v>9.9499999999999993</v>
      </c>
      <c r="G63" s="126">
        <f>+ROUND(E63*F63,2)</f>
        <v>39.799999999999997</v>
      </c>
      <c r="H63" s="382"/>
      <c r="I63" s="315"/>
      <c r="M63" s="637"/>
    </row>
    <row r="64" spans="1:21" s="122" customFormat="1" ht="14">
      <c r="A64" s="316"/>
      <c r="B64" s="549"/>
      <c r="C64" s="123" t="s">
        <v>41258</v>
      </c>
      <c r="D64" s="124"/>
      <c r="E64" s="315"/>
      <c r="F64" s="125"/>
      <c r="G64" s="126">
        <f>+SUBTOTAL(9,G59:G63)</f>
        <v>137.63999999999999</v>
      </c>
      <c r="H64" s="382"/>
      <c r="M64" s="637"/>
    </row>
    <row r="65" spans="1:21" s="122" customFormat="1" ht="14">
      <c r="A65" s="316"/>
      <c r="B65" s="549"/>
      <c r="C65" s="123" t="s">
        <v>41259</v>
      </c>
      <c r="D65" s="124"/>
      <c r="E65" s="315">
        <f>$J$2</f>
        <v>128.22999999999999</v>
      </c>
      <c r="F65" s="125"/>
      <c r="G65" s="126">
        <f>+ROUND(G64*E65/100,2)</f>
        <v>176.5</v>
      </c>
      <c r="H65" s="382"/>
      <c r="M65" s="637"/>
    </row>
    <row r="66" spans="1:21" s="548" customFormat="1" ht="14">
      <c r="A66" s="550"/>
      <c r="B66" s="551"/>
      <c r="C66" s="552" t="s">
        <v>41231</v>
      </c>
      <c r="D66" s="553"/>
      <c r="E66" s="554"/>
      <c r="F66" s="555"/>
      <c r="G66" s="556">
        <f>SUM(G64:G65)</f>
        <v>314.14</v>
      </c>
      <c r="H66" s="547"/>
      <c r="M66" s="638"/>
    </row>
    <row r="67" spans="1:21" s="122" customFormat="1">
      <c r="A67" s="127"/>
      <c r="B67" s="406"/>
      <c r="C67" s="406" t="s">
        <v>27907</v>
      </c>
      <c r="D67" s="406"/>
      <c r="E67" s="406"/>
      <c r="F67" s="407"/>
      <c r="G67" s="408">
        <f>SUM(G66,G58)</f>
        <v>10810.73</v>
      </c>
      <c r="H67" s="382"/>
      <c r="M67" s="637"/>
    </row>
    <row r="68" spans="1:21" s="122" customFormat="1" ht="39" customHeight="1">
      <c r="A68" s="832" t="s">
        <v>27908</v>
      </c>
      <c r="B68" s="833"/>
      <c r="C68" s="836" t="s">
        <v>44385</v>
      </c>
      <c r="D68" s="836"/>
      <c r="E68" s="836"/>
      <c r="F68" s="836"/>
      <c r="G68" s="837"/>
      <c r="H68" s="382"/>
      <c r="M68" s="637"/>
    </row>
    <row r="69" spans="1:21" ht="13.5" customHeight="1" thickBot="1">
      <c r="A69" s="120"/>
      <c r="B69" s="121"/>
      <c r="C69" s="121"/>
      <c r="D69" s="121"/>
      <c r="E69" s="121"/>
      <c r="F69" s="121"/>
      <c r="G69" s="206"/>
      <c r="H69" s="119" t="s">
        <v>6009</v>
      </c>
      <c r="I69" s="119" t="s">
        <v>27901</v>
      </c>
      <c r="J69" s="228" t="s">
        <v>27889</v>
      </c>
      <c r="M69" s="637"/>
    </row>
    <row r="70" spans="1:21" s="374" customFormat="1" ht="57.75" customHeight="1" thickBot="1">
      <c r="A70" s="688" t="s">
        <v>44955</v>
      </c>
      <c r="B70" s="689"/>
      <c r="C70" s="826" t="s">
        <v>44956</v>
      </c>
      <c r="D70" s="827"/>
      <c r="E70" s="827"/>
      <c r="F70" s="828"/>
      <c r="G70" s="674" t="s">
        <v>165</v>
      </c>
      <c r="H70" s="383">
        <f>G83</f>
        <v>8.7099999999999991</v>
      </c>
      <c r="I70" s="383">
        <f>G77</f>
        <v>9.25</v>
      </c>
      <c r="J70" s="383">
        <f>G84</f>
        <v>17.96</v>
      </c>
      <c r="K70" s="122"/>
      <c r="L70" s="122"/>
      <c r="M70" s="637" t="e">
        <f>VLOOKUP(A70,'Plan Orçamentária'!$Q:$Y,1,FALSE)</f>
        <v>#N/A</v>
      </c>
      <c r="N70" s="122"/>
      <c r="O70" s="122"/>
      <c r="P70" s="122"/>
      <c r="Q70" s="122"/>
      <c r="R70" s="122"/>
      <c r="S70" s="122"/>
      <c r="T70" s="122"/>
      <c r="U70" s="122"/>
    </row>
    <row r="71" spans="1:21" s="122" customFormat="1" ht="12" customHeight="1">
      <c r="A71" s="419" t="s">
        <v>27902</v>
      </c>
      <c r="B71" s="420" t="s">
        <v>27903</v>
      </c>
      <c r="C71" s="546" t="s">
        <v>5</v>
      </c>
      <c r="D71" s="421" t="s">
        <v>27886</v>
      </c>
      <c r="E71" s="422" t="s">
        <v>27904</v>
      </c>
      <c r="F71" s="422" t="s">
        <v>27905</v>
      </c>
      <c r="G71" s="423" t="s">
        <v>27906</v>
      </c>
      <c r="H71" s="382"/>
      <c r="M71" s="637"/>
    </row>
    <row r="72" spans="1:21" s="122" customFormat="1" ht="12" customHeight="1">
      <c r="A72" s="829" t="s">
        <v>41228</v>
      </c>
      <c r="B72" s="830"/>
      <c r="C72" s="830"/>
      <c r="D72" s="830"/>
      <c r="E72" s="830"/>
      <c r="F72" s="830"/>
      <c r="G72" s="831"/>
      <c r="H72" s="382"/>
      <c r="M72" s="637"/>
    </row>
    <row r="73" spans="1:21" s="648" customFormat="1" ht="42">
      <c r="A73" s="675" t="s">
        <v>27888</v>
      </c>
      <c r="B73" s="676">
        <v>90965</v>
      </c>
      <c r="C73" s="123" t="str">
        <f>UPPER(IFERROR(VLOOKUP(B73,'SINAPI 04-26-SD'!$1:$1048576,2,FALSE),IFERROR(VLOOKUP(B73,'Ins. SINAPI 04-26-SD'!$1:$1048576,2,FALSE),IFERROR(VLOOKUP(B73,COTAÇÃO!$1:$1048576,2,FALSE),IFERROR(VLOOKUP(B73,'Ins. CDHU 201-SD'!$1:$1048576,2,FALSE),"Não Encontrado")))))</f>
        <v>COMPRESSOR DE AR REBOCÁVEL, VAZÃO 89 PCM, PRESSÃO EFETIVA DE TRABALHO 102 PSI, MOTOR DIESEL, POTÊNCIA 20 CV - CHI DIURNO. AF_06/2015</v>
      </c>
      <c r="D73" s="124" t="str">
        <f>UPPER(IFERROR(VLOOKUP(B73,'SINAPI 04-26-SD'!$1:$1048576,3,FALSE),IFERROR(VLOOKUP(B73,'Ins. SINAPI 04-26-SD'!$1:$1048576,3,FALSE),IFERROR(VLOOKUP(B73,COTAÇÃO!$1:$1048576,7,FALSE),IFERROR(VLOOKUP(B73,'Ins. CDHU 201-SD'!$1:$1048576,3,FALSE),"Não Encontrado")))))</f>
        <v>CHI</v>
      </c>
      <c r="E73" s="822">
        <v>6.7199999999999996E-2</v>
      </c>
      <c r="F73" s="125">
        <f>IFERROR(VLOOKUP(B73,'SINAPI 04-26-SD'!$1:$1048576,4,FALSE),IFERROR(VLOOKUP(B73,'Ins. SINAPI 04-26-SD'!$1:$1048576,5,FALSE),IFERROR(VLOOKUP(B73,COTAÇÃO!$1:$1048576,8,FALSE),IFERROR(VLOOKUP(B73,'Ins. CDHU 201-SD'!$1:$1048576,4,FALSE),"Não Encontrado"))))</f>
        <v>8.9</v>
      </c>
      <c r="G73" s="126">
        <f t="shared" ref="G73:G74" si="2">+ROUND(E73*F73,2)</f>
        <v>0.6</v>
      </c>
      <c r="H73" s="647"/>
      <c r="I73" s="646"/>
      <c r="M73" s="649"/>
    </row>
    <row r="74" spans="1:21" s="648" customFormat="1" ht="42">
      <c r="A74" s="675" t="s">
        <v>27888</v>
      </c>
      <c r="B74" s="676">
        <v>90964</v>
      </c>
      <c r="C74" s="123" t="str">
        <f>UPPER(IFERROR(VLOOKUP(B74,'SINAPI 04-26-SD'!$1:$1048576,2,FALSE),IFERROR(VLOOKUP(B74,'Ins. SINAPI 04-26-SD'!$1:$1048576,2,FALSE),IFERROR(VLOOKUP(B74,COTAÇÃO!$1:$1048576,2,FALSE),IFERROR(VLOOKUP(B74,'Ins. CDHU 201-SD'!$1:$1048576,2,FALSE),"Não Encontrado")))))</f>
        <v>COMPRESSOR DE AR REBOCÁVEL, VAZÃO 89 PCM, PRESSÃO EFETIVA DE TRABALHO 102 PSI, MOTOR DIESEL, POTÊNCIA 20 CV - CHP DIURNO. AF_06/2015</v>
      </c>
      <c r="D74" s="124" t="str">
        <f>UPPER(IFERROR(VLOOKUP(B74,'SINAPI 04-26-SD'!$1:$1048576,3,FALSE),IFERROR(VLOOKUP(B74,'Ins. SINAPI 04-26-SD'!$1:$1048576,3,FALSE),IFERROR(VLOOKUP(B74,COTAÇÃO!$1:$1048576,7,FALSE),IFERROR(VLOOKUP(B74,'Ins. CDHU 201-SD'!$1:$1048576,3,FALSE),"Não Encontrado")))))</f>
        <v>CHP</v>
      </c>
      <c r="E74" s="822">
        <v>8.7800000000000003E-2</v>
      </c>
      <c r="F74" s="125">
        <f>IFERROR(VLOOKUP(B74,'SINAPI 04-26-SD'!$1:$1048576,4,FALSE),IFERROR(VLOOKUP(B74,'Ins. SINAPI 04-26-SD'!$1:$1048576,5,FALSE),IFERROR(VLOOKUP(B74,COTAÇÃO!$1:$1048576,8,FALSE),IFERROR(VLOOKUP(B74,'Ins. CDHU 201-SD'!$1:$1048576,4,FALSE),"Não Encontrado"))))</f>
        <v>35.840000000000003</v>
      </c>
      <c r="G74" s="126">
        <f t="shared" si="2"/>
        <v>3.15</v>
      </c>
      <c r="H74" s="647"/>
      <c r="I74" s="646"/>
      <c r="M74" s="649"/>
    </row>
    <row r="75" spans="1:21" s="648" customFormat="1" ht="28">
      <c r="A75" s="675" t="s">
        <v>27888</v>
      </c>
      <c r="B75" s="676">
        <v>5952</v>
      </c>
      <c r="C75" s="123" t="str">
        <f>UPPER(IFERROR(VLOOKUP(B75,'SINAPI 04-26-SD'!$1:$1048576,2,FALSE),IFERROR(VLOOKUP(B75,'Ins. SINAPI 04-26-SD'!$1:$1048576,2,FALSE),IFERROR(VLOOKUP(B75,COTAÇÃO!$1:$1048576,2,FALSE),IFERROR(VLOOKUP(B75,'Ins. CDHU 201-SD'!$1:$1048576,2,FALSE),"Não Encontrado")))))</f>
        <v>MARTELETE OU ROMPEDOR PNEUMÁTICO MANUAL, 28 KG, COM SILENCIADOR - CHI DIURNO. AF_07/2016</v>
      </c>
      <c r="D75" s="124" t="str">
        <f>UPPER(IFERROR(VLOOKUP(B75,'SINAPI 04-26-SD'!$1:$1048576,3,FALSE),IFERROR(VLOOKUP(B75,'Ins. SINAPI 04-26-SD'!$1:$1048576,3,FALSE),IFERROR(VLOOKUP(B75,COTAÇÃO!$1:$1048576,7,FALSE),IFERROR(VLOOKUP(B75,'Ins. CDHU 201-SD'!$1:$1048576,3,FALSE),"Não Encontrado")))))</f>
        <v>CHI</v>
      </c>
      <c r="E75" s="822">
        <v>6.7199999999999996E-2</v>
      </c>
      <c r="F75" s="125">
        <f>IFERROR(VLOOKUP(B75,'SINAPI 04-26-SD'!$1:$1048576,4,FALSE),IFERROR(VLOOKUP(B75,'Ins. SINAPI 04-26-SD'!$1:$1048576,5,FALSE),IFERROR(VLOOKUP(B75,COTAÇÃO!$1:$1048576,8,FALSE),IFERROR(VLOOKUP(B75,'Ins. CDHU 201-SD'!$1:$1048576,4,FALSE),"Não Encontrado"))))</f>
        <v>35.21</v>
      </c>
      <c r="G75" s="126">
        <f t="shared" ref="G75:G76" si="3">+ROUND(E75*F75,2)</f>
        <v>2.37</v>
      </c>
      <c r="H75" s="647"/>
      <c r="I75" s="646"/>
      <c r="M75" s="649"/>
    </row>
    <row r="76" spans="1:21" s="648" customFormat="1" ht="28">
      <c r="A76" s="675" t="s">
        <v>27888</v>
      </c>
      <c r="B76" s="676">
        <v>5795</v>
      </c>
      <c r="C76" s="123" t="str">
        <f>UPPER(IFERROR(VLOOKUP(B76,'SINAPI 04-26-SD'!$1:$1048576,2,FALSE),IFERROR(VLOOKUP(B76,'Ins. SINAPI 04-26-SD'!$1:$1048576,2,FALSE),IFERROR(VLOOKUP(B76,COTAÇÃO!$1:$1048576,2,FALSE),IFERROR(VLOOKUP(B76,'Ins. CDHU 201-SD'!$1:$1048576,2,FALSE),"Não Encontrado")))))</f>
        <v>MARTELETE OU ROMPEDOR PNEUMÁTICO MANUAL, 28 KG, COM SILENCIADOR - CHP DIURNO. AF_07/2016</v>
      </c>
      <c r="D76" s="124" t="str">
        <f>UPPER(IFERROR(VLOOKUP(B76,'SINAPI 04-26-SD'!$1:$1048576,3,FALSE),IFERROR(VLOOKUP(B76,'Ins. SINAPI 04-26-SD'!$1:$1048576,3,FALSE),IFERROR(VLOOKUP(B76,COTAÇÃO!$1:$1048576,7,FALSE),IFERROR(VLOOKUP(B76,'Ins. CDHU 201-SD'!$1:$1048576,3,FALSE),"Não Encontrado")))))</f>
        <v>CHP</v>
      </c>
      <c r="E76" s="822">
        <v>8.7800000000000003E-2</v>
      </c>
      <c r="F76" s="125">
        <f>IFERROR(VLOOKUP(B76,'SINAPI 04-26-SD'!$1:$1048576,4,FALSE),IFERROR(VLOOKUP(B76,'Ins. SINAPI 04-26-SD'!$1:$1048576,5,FALSE),IFERROR(VLOOKUP(B76,COTAÇÃO!$1:$1048576,8,FALSE),IFERROR(VLOOKUP(B76,'Ins. CDHU 201-SD'!$1:$1048576,4,FALSE),"Não Encontrado"))))</f>
        <v>35.700000000000003</v>
      </c>
      <c r="G76" s="126">
        <f t="shared" si="3"/>
        <v>3.13</v>
      </c>
      <c r="H76" s="647"/>
      <c r="I76" s="646"/>
      <c r="M76" s="649"/>
    </row>
    <row r="77" spans="1:21" s="548" customFormat="1" ht="14">
      <c r="A77" s="550"/>
      <c r="B77" s="551"/>
      <c r="C77" s="552" t="s">
        <v>41229</v>
      </c>
      <c r="D77" s="553"/>
      <c r="E77" s="554"/>
      <c r="F77" s="555"/>
      <c r="G77" s="556">
        <f>SUM(G72:G76)</f>
        <v>9.25</v>
      </c>
      <c r="H77" s="547"/>
      <c r="M77" s="638"/>
    </row>
    <row r="78" spans="1:21" s="122" customFormat="1" ht="12" customHeight="1">
      <c r="A78" s="829" t="s">
        <v>41230</v>
      </c>
      <c r="B78" s="830"/>
      <c r="C78" s="830"/>
      <c r="D78" s="830"/>
      <c r="E78" s="830"/>
      <c r="F78" s="830"/>
      <c r="G78" s="831"/>
      <c r="H78" s="382"/>
      <c r="M78" s="637"/>
    </row>
    <row r="79" spans="1:21" s="122" customFormat="1" ht="14">
      <c r="A79" s="675" t="s">
        <v>27888</v>
      </c>
      <c r="B79" s="676">
        <v>88309</v>
      </c>
      <c r="C79" s="123" t="str">
        <f>UPPER(IFERROR(VLOOKUP(B79,'SINAPI 04-26-SD'!$1:$1048576,2,FALSE),IFERROR(VLOOKUP(B79,'Ins. SINAPI 04-26-SD'!$1:$1048576,2,FALSE),IFERROR(VLOOKUP(B79,COTAÇÃO!$1:$1048576,2,FALSE),IFERROR(VLOOKUP(B79,'Ins. CDHU 201-SD'!$1:$1048576,2,FALSE),"Não Encontrado")))))</f>
        <v>PEDREIRO COM ENCARGOS COMPLEMENTARES</v>
      </c>
      <c r="D79" s="124" t="str">
        <f>UPPER(IFERROR(VLOOKUP(B79,'SINAPI 04-26-SD'!$1:$1048576,3,FALSE),IFERROR(VLOOKUP(B79,'Ins. SINAPI 04-26-SD'!$1:$1048576,3,FALSE),IFERROR(VLOOKUP(B79,COTAÇÃO!$1:$1048576,7,FALSE),IFERROR(VLOOKUP(B79,'Ins. CDHU 201-SD'!$1:$1048576,3,FALSE),"Não Encontrado")))))</f>
        <v>H</v>
      </c>
      <c r="E79" s="822">
        <v>0.1759</v>
      </c>
      <c r="F79" s="125">
        <f>IFERROR(VLOOKUP(B79,'SINAPI 04-26-SD'!$1:$1048576,4,FALSE),IFERROR(VLOOKUP(B79,'Ins. SINAPI 04-26-SD'!$1:$1048576,5,FALSE),IFERROR(VLOOKUP(B79,COTAÇÃO!$1:$1048576,8,FALSE),IFERROR(VLOOKUP(B79,'Ins. CDHU 201-SD'!$1:$1048576,4,FALSE),"Não Encontrado"))))</f>
        <v>35.869999999999997</v>
      </c>
      <c r="G79" s="126">
        <f>+ROUND(E79*F79,2)</f>
        <v>6.31</v>
      </c>
      <c r="H79" s="382"/>
      <c r="I79" s="315"/>
      <c r="M79" s="637"/>
    </row>
    <row r="80" spans="1:21" s="122" customFormat="1" ht="14">
      <c r="A80" s="675" t="s">
        <v>27888</v>
      </c>
      <c r="B80" s="676">
        <v>88316</v>
      </c>
      <c r="C80" s="123" t="str">
        <f>UPPER(IFERROR(VLOOKUP(B80,'SINAPI 04-26-SD'!$1:$1048576,2,FALSE),IFERROR(VLOOKUP(B80,'Ins. SINAPI 04-26-SD'!$1:$1048576,2,FALSE),IFERROR(VLOOKUP(B80,COTAÇÃO!$1:$1048576,2,FALSE),IFERROR(VLOOKUP(B80,'Ins. CDHU 201-SD'!$1:$1048576,2,FALSE),"Não Encontrado")))))</f>
        <v>SERVENTE COM ENCARGOS COMPLEMENTARES</v>
      </c>
      <c r="D80" s="124" t="str">
        <f>UPPER(IFERROR(VLOOKUP(B80,'SINAPI 04-26-SD'!$1:$1048576,3,FALSE),IFERROR(VLOOKUP(B80,'Ins. SINAPI 04-26-SD'!$1:$1048576,3,FALSE),IFERROR(VLOOKUP(B80,COTAÇÃO!$1:$1048576,7,FALSE),IFERROR(VLOOKUP(B80,'Ins. CDHU 201-SD'!$1:$1048576,3,FALSE),"Não Encontrado")))))</f>
        <v>H</v>
      </c>
      <c r="E80" s="822">
        <v>7.7200000000000005E-2</v>
      </c>
      <c r="F80" s="125">
        <f>IFERROR(VLOOKUP(B80,'SINAPI 04-26-SD'!$1:$1048576,4,FALSE),IFERROR(VLOOKUP(B80,'Ins. SINAPI 04-26-SD'!$1:$1048576,5,FALSE),IFERROR(VLOOKUP(B80,COTAÇÃO!$1:$1048576,8,FALSE),IFERROR(VLOOKUP(B80,'Ins. CDHU 201-SD'!$1:$1048576,4,FALSE),"Não Encontrado"))))</f>
        <v>31.04</v>
      </c>
      <c r="G80" s="126">
        <f>+ROUND(E80*F80,2)</f>
        <v>2.4</v>
      </c>
      <c r="H80" s="382"/>
      <c r="I80" s="315"/>
      <c r="M80" s="637"/>
    </row>
    <row r="81" spans="1:21" s="122" customFormat="1" ht="14">
      <c r="A81" s="316"/>
      <c r="B81" s="549"/>
      <c r="C81" s="123" t="s">
        <v>41258</v>
      </c>
      <c r="D81" s="124"/>
      <c r="E81" s="315"/>
      <c r="F81" s="125"/>
      <c r="G81" s="126">
        <f>+SUBTOTAL(9,G78:G80)</f>
        <v>8.7099999999999991</v>
      </c>
      <c r="H81" s="382"/>
      <c r="M81" s="637"/>
    </row>
    <row r="82" spans="1:21" s="122" customFormat="1" ht="14">
      <c r="A82" s="316"/>
      <c r="B82" s="549"/>
      <c r="C82" s="123" t="s">
        <v>41259</v>
      </c>
      <c r="D82" s="124"/>
      <c r="E82" s="315">
        <v>0</v>
      </c>
      <c r="F82" s="125"/>
      <c r="G82" s="126">
        <f>+ROUND(G81*E82/100,2)</f>
        <v>0</v>
      </c>
      <c r="H82" s="382"/>
      <c r="M82" s="637"/>
    </row>
    <row r="83" spans="1:21" s="548" customFormat="1" ht="14">
      <c r="A83" s="550"/>
      <c r="B83" s="551"/>
      <c r="C83" s="552" t="s">
        <v>41231</v>
      </c>
      <c r="D83" s="553"/>
      <c r="E83" s="554"/>
      <c r="F83" s="555"/>
      <c r="G83" s="556">
        <f>SUM(G81:G82)</f>
        <v>8.7099999999999991</v>
      </c>
      <c r="H83" s="547"/>
      <c r="M83" s="638"/>
    </row>
    <row r="84" spans="1:21" s="122" customFormat="1">
      <c r="A84" s="127"/>
      <c r="B84" s="406"/>
      <c r="C84" s="406" t="s">
        <v>27907</v>
      </c>
      <c r="D84" s="406"/>
      <c r="E84" s="406"/>
      <c r="F84" s="407"/>
      <c r="G84" s="408">
        <f>SUM(G83,G77)</f>
        <v>17.96</v>
      </c>
      <c r="H84" s="382"/>
      <c r="M84" s="637"/>
    </row>
    <row r="85" spans="1:21" s="122" customFormat="1" ht="39" customHeight="1">
      <c r="A85" s="832" t="s">
        <v>27908</v>
      </c>
      <c r="B85" s="833"/>
      <c r="C85" s="836" t="s">
        <v>44957</v>
      </c>
      <c r="D85" s="836"/>
      <c r="E85" s="836"/>
      <c r="F85" s="836"/>
      <c r="G85" s="837"/>
      <c r="H85" s="382"/>
      <c r="M85" s="637"/>
    </row>
    <row r="86" spans="1:21" ht="13.5" customHeight="1" thickBot="1">
      <c r="A86" s="120"/>
      <c r="B86" s="121"/>
      <c r="C86" s="121"/>
      <c r="D86" s="121"/>
      <c r="E86" s="121"/>
      <c r="F86" s="121"/>
      <c r="G86" s="206"/>
      <c r="H86" s="119" t="s">
        <v>6009</v>
      </c>
      <c r="I86" s="119" t="s">
        <v>27901</v>
      </c>
      <c r="J86" s="228" t="s">
        <v>27889</v>
      </c>
      <c r="M86" s="637"/>
    </row>
    <row r="87" spans="1:21" s="374" customFormat="1" ht="43.5" customHeight="1" thickBot="1">
      <c r="A87" s="688" t="s">
        <v>44958</v>
      </c>
      <c r="B87" s="689"/>
      <c r="C87" s="826" t="s">
        <v>44959</v>
      </c>
      <c r="D87" s="827"/>
      <c r="E87" s="827"/>
      <c r="F87" s="828"/>
      <c r="G87" s="674" t="s">
        <v>165</v>
      </c>
      <c r="H87" s="383">
        <f>G98</f>
        <v>16.09</v>
      </c>
      <c r="I87" s="383">
        <f>G92</f>
        <v>42.05</v>
      </c>
      <c r="J87" s="383">
        <f>G99</f>
        <v>58.14</v>
      </c>
      <c r="K87" s="122"/>
      <c r="L87" s="122"/>
      <c r="M87" s="637" t="e">
        <f>VLOOKUP(A87,'Plan Orçamentária'!$Q:$Y,1,FALSE)</f>
        <v>#N/A</v>
      </c>
      <c r="N87" s="122"/>
      <c r="O87" s="122"/>
      <c r="P87" s="122"/>
      <c r="Q87" s="122"/>
      <c r="R87" s="122"/>
      <c r="S87" s="122"/>
      <c r="T87" s="122"/>
      <c r="U87" s="122"/>
    </row>
    <row r="88" spans="1:21" s="122" customFormat="1" ht="12" customHeight="1">
      <c r="A88" s="419" t="s">
        <v>27902</v>
      </c>
      <c r="B88" s="420" t="s">
        <v>27903</v>
      </c>
      <c r="C88" s="546" t="s">
        <v>5</v>
      </c>
      <c r="D88" s="421" t="s">
        <v>27886</v>
      </c>
      <c r="E88" s="422" t="s">
        <v>27904</v>
      </c>
      <c r="F88" s="422" t="s">
        <v>27905</v>
      </c>
      <c r="G88" s="423" t="s">
        <v>27906</v>
      </c>
      <c r="H88" s="382"/>
      <c r="M88" s="637"/>
    </row>
    <row r="89" spans="1:21" s="122" customFormat="1" ht="12" customHeight="1">
      <c r="A89" s="829" t="s">
        <v>41228</v>
      </c>
      <c r="B89" s="830"/>
      <c r="C89" s="830"/>
      <c r="D89" s="830"/>
      <c r="E89" s="830"/>
      <c r="F89" s="830"/>
      <c r="G89" s="831"/>
      <c r="H89" s="382"/>
      <c r="M89" s="637"/>
    </row>
    <row r="90" spans="1:21" s="648" customFormat="1" ht="14">
      <c r="A90" s="823" t="s">
        <v>29901</v>
      </c>
      <c r="B90" s="824" t="s">
        <v>222</v>
      </c>
      <c r="C90" s="123" t="str">
        <f>UPPER(IFERROR(VLOOKUP(B90,'SINAPI 04-26-SD'!$1:$1048576,2,FALSE),IFERROR(VLOOKUP(B90,'Ins. SINAPI 04-26-SD'!$1:$1048576,2,FALSE),IFERROR(VLOOKUP(B90,COTAÇÃO!$1:$1048576,2,FALSE),IFERROR(VLOOKUP(B90,'Ins. CDHU 201-SD'!$1:$1048576,2,FALSE),"Não Encontrado")))))</f>
        <v>ESTACA ESCAVADA MECANICAMENTE, DIÂMETRO DE 25 CM ATÉ 20 T</v>
      </c>
      <c r="D90" s="124" t="str">
        <f>UPPER(IFERROR(VLOOKUP(B90,'SINAPI 04-26-SD'!$1:$1048576,3,FALSE),IFERROR(VLOOKUP(B90,'Ins. SINAPI 04-26-SD'!$1:$1048576,3,FALSE),IFERROR(VLOOKUP(B90,COTAÇÃO!$1:$1048576,7,FALSE),IFERROR(VLOOKUP(B90,'Ins. CDHU 201-SD'!$1:$1048576,3,FALSE),"Não Encontrado")))))</f>
        <v>M</v>
      </c>
      <c r="E90" s="315">
        <v>1</v>
      </c>
      <c r="F90" s="125">
        <f>IFERROR(VLOOKUP(B90,'SINAPI 04-26-SD'!$1:$1048576,4,FALSE),IFERROR(VLOOKUP(B90,'Ins. SINAPI 04-26-SD'!$1:$1048576,5,FALSE),IFERROR(VLOOKUP(B90,COTAÇÃO!$1:$1048576,8,FALSE),IFERROR(VLOOKUP(B90,'Ins. CDHU 201-SD'!$1:$1048576,4,FALSE),"Não Encontrado"))))</f>
        <v>17.88</v>
      </c>
      <c r="G90" s="126">
        <f t="shared" ref="G90:G91" si="4">+ROUND(E90*F90,2)</f>
        <v>17.88</v>
      </c>
      <c r="H90" s="647"/>
      <c r="I90" s="646"/>
      <c r="M90" s="649"/>
    </row>
    <row r="91" spans="1:21" s="648" customFormat="1" ht="14">
      <c r="A91" s="823" t="s">
        <v>29901</v>
      </c>
      <c r="B91" s="824" t="s">
        <v>618</v>
      </c>
      <c r="C91" s="123" t="str">
        <f>UPPER(IFERROR(VLOOKUP(B91,'SINAPI 04-26-SD'!$1:$1048576,2,FALSE),IFERROR(VLOOKUP(B91,'Ins. SINAPI 04-26-SD'!$1:$1048576,2,FALSE),IFERROR(VLOOKUP(B91,COTAÇÃO!$1:$1048576,2,FALSE),IFERROR(VLOOKUP(B91,'Ins. CDHU 201-SD'!$1:$1048576,2,FALSE),"Não Encontrado")))))</f>
        <v>CONCRETO USINADO FCK= 25 MPA, SLUMP 5 ± 1CM</v>
      </c>
      <c r="D91" s="124" t="str">
        <f>UPPER(IFERROR(VLOOKUP(B91,'SINAPI 04-26-SD'!$1:$1048576,3,FALSE),IFERROR(VLOOKUP(B91,'Ins. SINAPI 04-26-SD'!$1:$1048576,3,FALSE),IFERROR(VLOOKUP(B91,COTAÇÃO!$1:$1048576,7,FALSE),IFERROR(VLOOKUP(B91,'Ins. CDHU 201-SD'!$1:$1048576,3,FALSE),"Não Encontrado")))))</f>
        <v>M3</v>
      </c>
      <c r="E91" s="315">
        <v>4.9099999999999998E-2</v>
      </c>
      <c r="F91" s="125">
        <f>IFERROR(VLOOKUP(B91,'SINAPI 04-26-SD'!$1:$1048576,4,FALSE),IFERROR(VLOOKUP(B91,'Ins. SINAPI 04-26-SD'!$1:$1048576,5,FALSE),IFERROR(VLOOKUP(B91,COTAÇÃO!$1:$1048576,8,FALSE),IFERROR(VLOOKUP(B91,'Ins. CDHU 201-SD'!$1:$1048576,4,FALSE),"Não Encontrado"))))</f>
        <v>492.34</v>
      </c>
      <c r="G91" s="126">
        <f t="shared" si="4"/>
        <v>24.17</v>
      </c>
      <c r="H91" s="647"/>
      <c r="I91" s="646"/>
      <c r="M91" s="649"/>
    </row>
    <row r="92" spans="1:21" s="548" customFormat="1" ht="14">
      <c r="A92" s="550"/>
      <c r="B92" s="551"/>
      <c r="C92" s="552" t="s">
        <v>41229</v>
      </c>
      <c r="D92" s="553"/>
      <c r="E92" s="554"/>
      <c r="F92" s="555"/>
      <c r="G92" s="556">
        <f>SUM(G89:G91)</f>
        <v>42.05</v>
      </c>
      <c r="H92" s="547"/>
      <c r="M92" s="638"/>
    </row>
    <row r="93" spans="1:21" s="122" customFormat="1" ht="12" customHeight="1">
      <c r="A93" s="829" t="s">
        <v>41230</v>
      </c>
      <c r="B93" s="830"/>
      <c r="C93" s="830"/>
      <c r="D93" s="830"/>
      <c r="E93" s="830"/>
      <c r="F93" s="830"/>
      <c r="G93" s="831"/>
      <c r="H93" s="382"/>
      <c r="M93" s="637"/>
    </row>
    <row r="94" spans="1:21" s="122" customFormat="1" ht="14">
      <c r="A94" s="823" t="s">
        <v>29901</v>
      </c>
      <c r="B94" s="824" t="s">
        <v>43</v>
      </c>
      <c r="C94" s="123" t="str">
        <f>UPPER(IFERROR(VLOOKUP(B94,'SINAPI 04-26-SD'!$1:$1048576,2,FALSE),IFERROR(VLOOKUP(B94,'Ins. SINAPI 04-26-SD'!$1:$1048576,2,FALSE),IFERROR(VLOOKUP(B94,COTAÇÃO!$1:$1048576,2,FALSE),IFERROR(VLOOKUP(B94,'Ins. CDHU 201-SD'!$1:$1048576,2,FALSE),"Não Encontrado")))))</f>
        <v>PEDREIRO</v>
      </c>
      <c r="D94" s="124" t="str">
        <f>UPPER(IFERROR(VLOOKUP(B94,'SINAPI 04-26-SD'!$1:$1048576,3,FALSE),IFERROR(VLOOKUP(B94,'Ins. SINAPI 04-26-SD'!$1:$1048576,3,FALSE),IFERROR(VLOOKUP(B94,COTAÇÃO!$1:$1048576,7,FALSE),IFERROR(VLOOKUP(B94,'Ins. CDHU 201-SD'!$1:$1048576,3,FALSE),"Não Encontrado")))))</f>
        <v>H</v>
      </c>
      <c r="E94" s="315">
        <v>9.8100000000000007E-2</v>
      </c>
      <c r="F94" s="125">
        <f>IFERROR(VLOOKUP(B94,'SINAPI 04-26-SD'!$1:$1048576,4,FALSE),IFERROR(VLOOKUP(B94,'Ins. SINAPI 04-26-SD'!$1:$1048576,5,FALSE),IFERROR(VLOOKUP(B94,COTAÇÃO!$1:$1048576,8,FALSE),IFERROR(VLOOKUP(B94,'Ins. CDHU 201-SD'!$1:$1048576,4,FALSE),"Não Encontrado"))))</f>
        <v>12.11</v>
      </c>
      <c r="G94" s="126">
        <f>+ROUND(E94*F94,2)</f>
        <v>1.19</v>
      </c>
      <c r="H94" s="382"/>
      <c r="I94" s="315"/>
      <c r="M94" s="637"/>
    </row>
    <row r="95" spans="1:21" s="122" customFormat="1" ht="14">
      <c r="A95" s="823" t="s">
        <v>29901</v>
      </c>
      <c r="B95" s="824" t="s">
        <v>57</v>
      </c>
      <c r="C95" s="123" t="str">
        <f>UPPER(IFERROR(VLOOKUP(B95,'SINAPI 04-26-SD'!$1:$1048576,2,FALSE),IFERROR(VLOOKUP(B95,'Ins. SINAPI 04-26-SD'!$1:$1048576,2,FALSE),IFERROR(VLOOKUP(B95,COTAÇÃO!$1:$1048576,2,FALSE),IFERROR(VLOOKUP(B95,'Ins. CDHU 201-SD'!$1:$1048576,2,FALSE),"Não Encontrado")))))</f>
        <v>SERVENTE</v>
      </c>
      <c r="D95" s="124" t="str">
        <f>UPPER(IFERROR(VLOOKUP(B95,'SINAPI 04-26-SD'!$1:$1048576,3,FALSE),IFERROR(VLOOKUP(B95,'Ins. SINAPI 04-26-SD'!$1:$1048576,3,FALSE),IFERROR(VLOOKUP(B95,COTAÇÃO!$1:$1048576,7,FALSE),IFERROR(VLOOKUP(B95,'Ins. CDHU 201-SD'!$1:$1048576,3,FALSE),"Não Encontrado")))))</f>
        <v>H</v>
      </c>
      <c r="E95" s="315">
        <v>0.58879999999999999</v>
      </c>
      <c r="F95" s="125">
        <f>IFERROR(VLOOKUP(B95,'SINAPI 04-26-SD'!$1:$1048576,4,FALSE),IFERROR(VLOOKUP(B95,'Ins. SINAPI 04-26-SD'!$1:$1048576,5,FALSE),IFERROR(VLOOKUP(B95,COTAÇÃO!$1:$1048576,8,FALSE),IFERROR(VLOOKUP(B95,'Ins. CDHU 201-SD'!$1:$1048576,4,FALSE),"Não Encontrado"))))</f>
        <v>9.9499999999999993</v>
      </c>
      <c r="G95" s="126">
        <f>+ROUND(E95*F95,2)</f>
        <v>5.86</v>
      </c>
      <c r="H95" s="382"/>
      <c r="I95" s="315"/>
      <c r="M95" s="637"/>
    </row>
    <row r="96" spans="1:21" s="122" customFormat="1" ht="14">
      <c r="A96" s="316"/>
      <c r="B96" s="549"/>
      <c r="C96" s="123" t="s">
        <v>41258</v>
      </c>
      <c r="D96" s="124"/>
      <c r="E96" s="315"/>
      <c r="F96" s="125"/>
      <c r="G96" s="126">
        <f>+SUBTOTAL(9,G93:G95)</f>
        <v>7.0500000000000007</v>
      </c>
      <c r="H96" s="382"/>
      <c r="M96" s="637"/>
    </row>
    <row r="97" spans="1:21" s="122" customFormat="1" ht="14">
      <c r="A97" s="316"/>
      <c r="B97" s="549"/>
      <c r="C97" s="123" t="s">
        <v>41259</v>
      </c>
      <c r="D97" s="124"/>
      <c r="E97" s="315">
        <f>$J$2</f>
        <v>128.22999999999999</v>
      </c>
      <c r="F97" s="125"/>
      <c r="G97" s="126">
        <f>+ROUND(G96*E97/100,2)</f>
        <v>9.0399999999999991</v>
      </c>
      <c r="H97" s="382"/>
      <c r="M97" s="637"/>
    </row>
    <row r="98" spans="1:21" s="548" customFormat="1" ht="14">
      <c r="A98" s="550"/>
      <c r="B98" s="551"/>
      <c r="C98" s="552" t="s">
        <v>41231</v>
      </c>
      <c r="D98" s="553"/>
      <c r="E98" s="554"/>
      <c r="F98" s="555"/>
      <c r="G98" s="556">
        <f>SUM(G96:G97)</f>
        <v>16.09</v>
      </c>
      <c r="H98" s="547"/>
      <c r="M98" s="638"/>
    </row>
    <row r="99" spans="1:21" s="122" customFormat="1">
      <c r="A99" s="127"/>
      <c r="B99" s="406"/>
      <c r="C99" s="406" t="s">
        <v>27907</v>
      </c>
      <c r="D99" s="406"/>
      <c r="E99" s="406"/>
      <c r="F99" s="407"/>
      <c r="G99" s="408">
        <f>SUM(G98,G92)</f>
        <v>58.14</v>
      </c>
      <c r="H99" s="382"/>
      <c r="M99" s="637"/>
    </row>
    <row r="100" spans="1:21" s="122" customFormat="1" ht="39" customHeight="1">
      <c r="A100" s="832" t="s">
        <v>27908</v>
      </c>
      <c r="B100" s="833"/>
      <c r="C100" s="834" t="s">
        <v>44960</v>
      </c>
      <c r="D100" s="834"/>
      <c r="E100" s="834"/>
      <c r="F100" s="834"/>
      <c r="G100" s="835"/>
      <c r="H100" s="382"/>
      <c r="M100" s="637"/>
    </row>
    <row r="101" spans="1:21" ht="13.5" customHeight="1" thickBot="1">
      <c r="A101" s="120"/>
      <c r="B101" s="121"/>
      <c r="C101" s="121"/>
      <c r="D101" s="121"/>
      <c r="E101" s="121"/>
      <c r="F101" s="121"/>
      <c r="G101" s="206"/>
      <c r="H101" s="119" t="s">
        <v>6009</v>
      </c>
      <c r="I101" s="119" t="s">
        <v>27901</v>
      </c>
      <c r="J101" s="228" t="s">
        <v>27889</v>
      </c>
      <c r="M101" s="637"/>
    </row>
    <row r="102" spans="1:21" s="374" customFormat="1" ht="57.75" customHeight="1" thickBot="1">
      <c r="A102" s="688" t="s">
        <v>44961</v>
      </c>
      <c r="B102" s="689"/>
      <c r="C102" s="826" t="s">
        <v>44962</v>
      </c>
      <c r="D102" s="827"/>
      <c r="E102" s="827"/>
      <c r="F102" s="828"/>
      <c r="G102" s="674" t="s">
        <v>509</v>
      </c>
      <c r="H102" s="383">
        <f>G113</f>
        <v>4.37</v>
      </c>
      <c r="I102" s="383">
        <f>G107</f>
        <v>0.21000000000000002</v>
      </c>
      <c r="J102" s="383">
        <f>G114</f>
        <v>4.58</v>
      </c>
      <c r="K102" s="122"/>
      <c r="L102" s="122"/>
      <c r="M102" s="637" t="e">
        <f>VLOOKUP(A102,'Plan Orçamentária'!$Q:$Y,1,FALSE)</f>
        <v>#N/A</v>
      </c>
      <c r="N102" s="122"/>
      <c r="O102" s="122"/>
      <c r="P102" s="122"/>
      <c r="Q102" s="122"/>
      <c r="R102" s="122"/>
      <c r="S102" s="122"/>
      <c r="T102" s="122"/>
      <c r="U102" s="122"/>
    </row>
    <row r="103" spans="1:21" s="122" customFormat="1" ht="12" customHeight="1">
      <c r="A103" s="419" t="s">
        <v>27902</v>
      </c>
      <c r="B103" s="420" t="s">
        <v>27903</v>
      </c>
      <c r="C103" s="546" t="s">
        <v>5</v>
      </c>
      <c r="D103" s="421" t="s">
        <v>27886</v>
      </c>
      <c r="E103" s="422" t="s">
        <v>27904</v>
      </c>
      <c r="F103" s="422" t="s">
        <v>27905</v>
      </c>
      <c r="G103" s="423" t="s">
        <v>27906</v>
      </c>
      <c r="H103" s="382"/>
      <c r="M103" s="637"/>
    </row>
    <row r="104" spans="1:21" s="122" customFormat="1" ht="12" customHeight="1">
      <c r="A104" s="829" t="s">
        <v>41228</v>
      </c>
      <c r="B104" s="830"/>
      <c r="C104" s="830"/>
      <c r="D104" s="830"/>
      <c r="E104" s="830"/>
      <c r="F104" s="830"/>
      <c r="G104" s="831"/>
      <c r="H104" s="382"/>
      <c r="M104" s="637"/>
    </row>
    <row r="105" spans="1:21" s="648" customFormat="1" ht="28">
      <c r="A105" s="823" t="s">
        <v>27888</v>
      </c>
      <c r="B105" s="825">
        <v>95265</v>
      </c>
      <c r="C105" s="123" t="str">
        <f>UPPER(IFERROR(VLOOKUP(B105,'SINAPI 04-26-SD'!$1:$1048576,2,FALSE),IFERROR(VLOOKUP(B105,'Ins. SINAPI 04-26-SD'!$1:$1048576,2,FALSE),IFERROR(VLOOKUP(B105,COTAÇÃO!$1:$1048576,2,FALSE),IFERROR(VLOOKUP(B105,'Ins. CDHU 201-SD'!$1:$1048576,2,FALSE),"Não Encontrado")))))</f>
        <v>COMPACTADOR DE SOLOS DE PERCUSÃO (SOQUETE) COM MOTOR A GASOLINA, POTÊNCIA 3 CV - CHI DIURNO. AF_09/2016</v>
      </c>
      <c r="D105" s="124" t="str">
        <f>UPPER(IFERROR(VLOOKUP(B105,'SINAPI 04-26-SD'!$1:$1048576,3,FALSE),IFERROR(VLOOKUP(B105,'Ins. SINAPI 04-26-SD'!$1:$1048576,3,FALSE),IFERROR(VLOOKUP(B105,COTAÇÃO!$1:$1048576,7,FALSE),IFERROR(VLOOKUP(B105,'Ins. CDHU 201-SD'!$1:$1048576,3,FALSE),"Não Encontrado")))))</f>
        <v>CHI</v>
      </c>
      <c r="E105" s="822">
        <v>4.2000000000000003E-2</v>
      </c>
      <c r="F105" s="125">
        <f>IFERROR(VLOOKUP(B105,'SINAPI 04-26-SD'!$1:$1048576,4,FALSE),IFERROR(VLOOKUP(B105,'Ins. SINAPI 04-26-SD'!$1:$1048576,5,FALSE),IFERROR(VLOOKUP(B105,COTAÇÃO!$1:$1048576,8,FALSE),IFERROR(VLOOKUP(B105,'Ins. CDHU 201-SD'!$1:$1048576,4,FALSE),"Não Encontrado"))))</f>
        <v>0.85</v>
      </c>
      <c r="G105" s="126">
        <f t="shared" ref="G105:G106" si="5">+ROUND(E105*F105,2)</f>
        <v>0.04</v>
      </c>
      <c r="H105" s="647"/>
      <c r="I105" s="646"/>
      <c r="M105" s="649"/>
    </row>
    <row r="106" spans="1:21" s="648" customFormat="1" ht="28">
      <c r="A106" s="823" t="s">
        <v>27888</v>
      </c>
      <c r="B106" s="825">
        <v>95264</v>
      </c>
      <c r="C106" s="123" t="str">
        <f>UPPER(IFERROR(VLOOKUP(B106,'SINAPI 04-26-SD'!$1:$1048576,2,FALSE),IFERROR(VLOOKUP(B106,'Ins. SINAPI 04-26-SD'!$1:$1048576,2,FALSE),IFERROR(VLOOKUP(B106,COTAÇÃO!$1:$1048576,2,FALSE),IFERROR(VLOOKUP(B106,'Ins. CDHU 201-SD'!$1:$1048576,2,FALSE),"Não Encontrado")))))</f>
        <v>COMPACTADOR DE SOLOS DE PERCUSÃO (SOQUETE) COM MOTOR A GASOLINA, POTÊNCIA 3 CV - CHP DIURNO. AF_09/2016</v>
      </c>
      <c r="D106" s="124" t="str">
        <f>UPPER(IFERROR(VLOOKUP(B106,'SINAPI 04-26-SD'!$1:$1048576,3,FALSE),IFERROR(VLOOKUP(B106,'Ins. SINAPI 04-26-SD'!$1:$1048576,3,FALSE),IFERROR(VLOOKUP(B106,COTAÇÃO!$1:$1048576,7,FALSE),IFERROR(VLOOKUP(B106,'Ins. CDHU 201-SD'!$1:$1048576,3,FALSE),"Não Encontrado")))))</f>
        <v>CHP</v>
      </c>
      <c r="E106" s="822">
        <v>2.5000000000000001E-2</v>
      </c>
      <c r="F106" s="125">
        <f>IFERROR(VLOOKUP(B106,'SINAPI 04-26-SD'!$1:$1048576,4,FALSE),IFERROR(VLOOKUP(B106,'Ins. SINAPI 04-26-SD'!$1:$1048576,5,FALSE),IFERROR(VLOOKUP(B106,COTAÇÃO!$1:$1048576,8,FALSE),IFERROR(VLOOKUP(B106,'Ins. CDHU 201-SD'!$1:$1048576,4,FALSE),"Não Encontrado"))))</f>
        <v>6.86</v>
      </c>
      <c r="G106" s="126">
        <f t="shared" si="5"/>
        <v>0.17</v>
      </c>
      <c r="H106" s="647"/>
      <c r="I106" s="646"/>
      <c r="M106" s="649"/>
    </row>
    <row r="107" spans="1:21" s="548" customFormat="1" ht="14">
      <c r="A107" s="550"/>
      <c r="B107" s="551"/>
      <c r="C107" s="552" t="s">
        <v>41229</v>
      </c>
      <c r="D107" s="553"/>
      <c r="E107" s="554"/>
      <c r="F107" s="555"/>
      <c r="G107" s="556">
        <f>SUM(G104:G106)</f>
        <v>0.21000000000000002</v>
      </c>
      <c r="H107" s="547"/>
      <c r="M107" s="638"/>
    </row>
    <row r="108" spans="1:21" s="122" customFormat="1" ht="12" customHeight="1">
      <c r="A108" s="829" t="s">
        <v>41230</v>
      </c>
      <c r="B108" s="830"/>
      <c r="C108" s="830"/>
      <c r="D108" s="830"/>
      <c r="E108" s="830"/>
      <c r="F108" s="830"/>
      <c r="G108" s="831"/>
      <c r="H108" s="382"/>
      <c r="M108" s="637"/>
    </row>
    <row r="109" spans="1:21" s="122" customFormat="1" ht="14">
      <c r="A109" s="675" t="s">
        <v>27888</v>
      </c>
      <c r="B109" s="676">
        <v>88309</v>
      </c>
      <c r="C109" s="123" t="str">
        <f>UPPER(IFERROR(VLOOKUP(B109,'SINAPI 04-26-SD'!$1:$1048576,2,FALSE),IFERROR(VLOOKUP(B109,'Ins. SINAPI 04-26-SD'!$1:$1048576,2,FALSE),IFERROR(VLOOKUP(B109,COTAÇÃO!$1:$1048576,2,FALSE),IFERROR(VLOOKUP(B109,'Ins. CDHU 201-SD'!$1:$1048576,2,FALSE),"Não Encontrado")))))</f>
        <v>PEDREIRO COM ENCARGOS COMPLEMENTARES</v>
      </c>
      <c r="D109" s="124" t="str">
        <f>UPPER(IFERROR(VLOOKUP(B109,'SINAPI 04-26-SD'!$1:$1048576,3,FALSE),IFERROR(VLOOKUP(B109,'Ins. SINAPI 04-26-SD'!$1:$1048576,3,FALSE),IFERROR(VLOOKUP(B109,COTAÇÃO!$1:$1048576,7,FALSE),IFERROR(VLOOKUP(B109,'Ins. CDHU 201-SD'!$1:$1048576,3,FALSE),"Não Encontrado")))))</f>
        <v>H</v>
      </c>
      <c r="E109" s="822">
        <v>4.4999999999999998E-2</v>
      </c>
      <c r="F109" s="125">
        <f>IFERROR(VLOOKUP(B109,'SINAPI 04-26-SD'!$1:$1048576,4,FALSE),IFERROR(VLOOKUP(B109,'Ins. SINAPI 04-26-SD'!$1:$1048576,5,FALSE),IFERROR(VLOOKUP(B109,COTAÇÃO!$1:$1048576,8,FALSE),IFERROR(VLOOKUP(B109,'Ins. CDHU 201-SD'!$1:$1048576,4,FALSE),"Não Encontrado"))))</f>
        <v>35.869999999999997</v>
      </c>
      <c r="G109" s="126">
        <f>+ROUND(E109*F109,2)</f>
        <v>1.61</v>
      </c>
      <c r="H109" s="382"/>
      <c r="I109" s="315"/>
      <c r="M109" s="637"/>
    </row>
    <row r="110" spans="1:21" s="122" customFormat="1" ht="14">
      <c r="A110" s="675" t="s">
        <v>27888</v>
      </c>
      <c r="B110" s="676">
        <v>88316</v>
      </c>
      <c r="C110" s="123" t="str">
        <f>UPPER(IFERROR(VLOOKUP(B110,'SINAPI 04-26-SD'!$1:$1048576,2,FALSE),IFERROR(VLOOKUP(B110,'Ins. SINAPI 04-26-SD'!$1:$1048576,2,FALSE),IFERROR(VLOOKUP(B110,COTAÇÃO!$1:$1048576,2,FALSE),IFERROR(VLOOKUP(B110,'Ins. CDHU 201-SD'!$1:$1048576,2,FALSE),"Não Encontrado")))))</f>
        <v>SERVENTE COM ENCARGOS COMPLEMENTARES</v>
      </c>
      <c r="D110" s="124" t="str">
        <f>UPPER(IFERROR(VLOOKUP(B110,'SINAPI 04-26-SD'!$1:$1048576,3,FALSE),IFERROR(VLOOKUP(B110,'Ins. SINAPI 04-26-SD'!$1:$1048576,3,FALSE),IFERROR(VLOOKUP(B110,COTAÇÃO!$1:$1048576,7,FALSE),IFERROR(VLOOKUP(B110,'Ins. CDHU 201-SD'!$1:$1048576,3,FALSE),"Não Encontrado")))))</f>
        <v>H</v>
      </c>
      <c r="E110" s="822">
        <v>8.8999999999999996E-2</v>
      </c>
      <c r="F110" s="125">
        <f>IFERROR(VLOOKUP(B110,'SINAPI 04-26-SD'!$1:$1048576,4,FALSE),IFERROR(VLOOKUP(B110,'Ins. SINAPI 04-26-SD'!$1:$1048576,5,FALSE),IFERROR(VLOOKUP(B110,COTAÇÃO!$1:$1048576,8,FALSE),IFERROR(VLOOKUP(B110,'Ins. CDHU 201-SD'!$1:$1048576,4,FALSE),"Não Encontrado"))))</f>
        <v>31.04</v>
      </c>
      <c r="G110" s="126">
        <f>+ROUND(E110*F110,2)</f>
        <v>2.76</v>
      </c>
      <c r="H110" s="382"/>
      <c r="I110" s="315"/>
      <c r="M110" s="637"/>
    </row>
    <row r="111" spans="1:21" s="122" customFormat="1" ht="14">
      <c r="A111" s="316"/>
      <c r="B111" s="549"/>
      <c r="C111" s="123" t="s">
        <v>41258</v>
      </c>
      <c r="D111" s="124"/>
      <c r="E111" s="315"/>
      <c r="F111" s="125"/>
      <c r="G111" s="126">
        <f>+SUBTOTAL(9,G108:G110)</f>
        <v>4.37</v>
      </c>
      <c r="H111" s="382"/>
      <c r="M111" s="637"/>
    </row>
    <row r="112" spans="1:21" s="122" customFormat="1" ht="14">
      <c r="A112" s="316"/>
      <c r="B112" s="549"/>
      <c r="C112" s="123" t="s">
        <v>41259</v>
      </c>
      <c r="D112" s="124"/>
      <c r="E112" s="315">
        <v>0</v>
      </c>
      <c r="F112" s="125"/>
      <c r="G112" s="126">
        <f>+ROUND(G111*E112/100,2)</f>
        <v>0</v>
      </c>
      <c r="H112" s="382"/>
      <c r="M112" s="637"/>
    </row>
    <row r="113" spans="1:21" s="548" customFormat="1" ht="14">
      <c r="A113" s="550"/>
      <c r="B113" s="551"/>
      <c r="C113" s="552" t="s">
        <v>41231</v>
      </c>
      <c r="D113" s="553"/>
      <c r="E113" s="554"/>
      <c r="F113" s="555"/>
      <c r="G113" s="556">
        <f>SUM(G111:G112)</f>
        <v>4.37</v>
      </c>
      <c r="H113" s="547"/>
      <c r="M113" s="638"/>
    </row>
    <row r="114" spans="1:21" s="122" customFormat="1">
      <c r="A114" s="127"/>
      <c r="B114" s="406"/>
      <c r="C114" s="406" t="s">
        <v>27907</v>
      </c>
      <c r="D114" s="406"/>
      <c r="E114" s="406"/>
      <c r="F114" s="407"/>
      <c r="G114" s="408">
        <f>SUM(G113,G107)</f>
        <v>4.58</v>
      </c>
      <c r="H114" s="382"/>
      <c r="M114" s="637"/>
    </row>
    <row r="115" spans="1:21" s="122" customFormat="1" ht="39" customHeight="1">
      <c r="A115" s="832" t="s">
        <v>27908</v>
      </c>
      <c r="B115" s="833"/>
      <c r="C115" s="836" t="s">
        <v>44963</v>
      </c>
      <c r="D115" s="836"/>
      <c r="E115" s="836"/>
      <c r="F115" s="836"/>
      <c r="G115" s="837"/>
      <c r="H115" s="382"/>
      <c r="M115" s="637"/>
    </row>
    <row r="116" spans="1:21" ht="13.5" customHeight="1" thickBot="1">
      <c r="A116" s="120"/>
      <c r="B116" s="121"/>
      <c r="C116" s="121"/>
      <c r="D116" s="121"/>
      <c r="E116" s="121"/>
      <c r="F116" s="121"/>
      <c r="G116" s="206"/>
      <c r="H116" s="119" t="s">
        <v>6009</v>
      </c>
      <c r="I116" s="119" t="s">
        <v>27901</v>
      </c>
      <c r="J116" s="228" t="s">
        <v>27889</v>
      </c>
      <c r="M116" s="637"/>
    </row>
    <row r="117" spans="1:21" s="374" customFormat="1" ht="43.5" customHeight="1" thickBot="1">
      <c r="A117" s="688" t="s">
        <v>44964</v>
      </c>
      <c r="B117" s="689"/>
      <c r="C117" s="826" t="s">
        <v>44965</v>
      </c>
      <c r="D117" s="827"/>
      <c r="E117" s="827"/>
      <c r="F117" s="828"/>
      <c r="G117" s="674" t="s">
        <v>121</v>
      </c>
      <c r="H117" s="383">
        <f>G126</f>
        <v>1.42</v>
      </c>
      <c r="I117" s="383">
        <f>G121</f>
        <v>195.54</v>
      </c>
      <c r="J117" s="383">
        <f>G127</f>
        <v>196.95999999999998</v>
      </c>
      <c r="K117" s="122"/>
      <c r="L117" s="122"/>
      <c r="M117" s="637" t="e">
        <f>VLOOKUP(A117,'Plan Orçamentária'!$Q:$Y,1,FALSE)</f>
        <v>#N/A</v>
      </c>
      <c r="N117" s="122"/>
      <c r="O117" s="122"/>
      <c r="P117" s="122"/>
      <c r="Q117" s="122"/>
      <c r="R117" s="122"/>
      <c r="S117" s="122"/>
      <c r="T117" s="122"/>
      <c r="U117" s="122"/>
    </row>
    <row r="118" spans="1:21" s="122" customFormat="1" ht="12" customHeight="1">
      <c r="A118" s="419" t="s">
        <v>27902</v>
      </c>
      <c r="B118" s="420" t="s">
        <v>27903</v>
      </c>
      <c r="C118" s="546" t="s">
        <v>5</v>
      </c>
      <c r="D118" s="421" t="s">
        <v>27886</v>
      </c>
      <c r="E118" s="422" t="s">
        <v>27904</v>
      </c>
      <c r="F118" s="422" t="s">
        <v>27905</v>
      </c>
      <c r="G118" s="423" t="s">
        <v>27906</v>
      </c>
      <c r="H118" s="382"/>
      <c r="M118" s="637"/>
    </row>
    <row r="119" spans="1:21" s="122" customFormat="1" ht="12" customHeight="1">
      <c r="A119" s="829" t="s">
        <v>41228</v>
      </c>
      <c r="B119" s="830"/>
      <c r="C119" s="830"/>
      <c r="D119" s="830"/>
      <c r="E119" s="830"/>
      <c r="F119" s="830"/>
      <c r="G119" s="831"/>
      <c r="H119" s="382"/>
      <c r="M119" s="637"/>
    </row>
    <row r="120" spans="1:21" s="648" customFormat="1" ht="14">
      <c r="A120" s="823" t="s">
        <v>29901</v>
      </c>
      <c r="B120" s="824" t="s">
        <v>491</v>
      </c>
      <c r="C120" s="123" t="str">
        <f>UPPER(IFERROR(VLOOKUP(B120,'SINAPI 04-26-SD'!$1:$1048576,2,FALSE),IFERROR(VLOOKUP(B120,'Ins. SINAPI 04-26-SD'!$1:$1048576,2,FALSE),IFERROR(VLOOKUP(B120,COTAÇÃO!$1:$1048576,2,FALSE),IFERROR(VLOOKUP(B120,'Ins. CDHU 201-SD'!$1:$1048576,2,FALSE),"Não Encontrado")))))</f>
        <v>PEDRA DE MÃO (RACHÃO)</v>
      </c>
      <c r="D120" s="124" t="str">
        <f>UPPER(IFERROR(VLOOKUP(B120,'SINAPI 04-26-SD'!$1:$1048576,3,FALSE),IFERROR(VLOOKUP(B120,'Ins. SINAPI 04-26-SD'!$1:$1048576,3,FALSE),IFERROR(VLOOKUP(B120,COTAÇÃO!$1:$1048576,7,FALSE),IFERROR(VLOOKUP(B120,'Ins. CDHU 201-SD'!$1:$1048576,3,FALSE),"Não Encontrado")))))</f>
        <v>M3</v>
      </c>
      <c r="E120" s="315">
        <v>1.1000000000000001</v>
      </c>
      <c r="F120" s="125">
        <f>IFERROR(VLOOKUP(B120,'SINAPI 04-26-SD'!$1:$1048576,4,FALSE),IFERROR(VLOOKUP(B120,'Ins. SINAPI 04-26-SD'!$1:$1048576,5,FALSE),IFERROR(VLOOKUP(B120,COTAÇÃO!$1:$1048576,8,FALSE),IFERROR(VLOOKUP(B120,'Ins. CDHU 201-SD'!$1:$1048576,4,FALSE),"Não Encontrado"))))</f>
        <v>177.76</v>
      </c>
      <c r="G120" s="126">
        <f t="shared" ref="G120" si="6">+ROUND(E120*F120,2)</f>
        <v>195.54</v>
      </c>
      <c r="H120" s="647"/>
      <c r="I120" s="646"/>
      <c r="M120" s="649"/>
    </row>
    <row r="121" spans="1:21" s="548" customFormat="1" ht="14">
      <c r="A121" s="550"/>
      <c r="B121" s="551"/>
      <c r="C121" s="552" t="s">
        <v>41229</v>
      </c>
      <c r="D121" s="553"/>
      <c r="E121" s="554"/>
      <c r="F121" s="555"/>
      <c r="G121" s="556">
        <f>SUM(G119:G120)</f>
        <v>195.54</v>
      </c>
      <c r="H121" s="547"/>
      <c r="M121" s="638"/>
    </row>
    <row r="122" spans="1:21" s="122" customFormat="1" ht="12" customHeight="1">
      <c r="A122" s="829" t="s">
        <v>41230</v>
      </c>
      <c r="B122" s="830"/>
      <c r="C122" s="830"/>
      <c r="D122" s="830"/>
      <c r="E122" s="830"/>
      <c r="F122" s="830"/>
      <c r="G122" s="831"/>
      <c r="H122" s="382"/>
      <c r="M122" s="637"/>
    </row>
    <row r="123" spans="1:21" s="122" customFormat="1" ht="14">
      <c r="A123" s="823" t="s">
        <v>29901</v>
      </c>
      <c r="B123" s="824" t="s">
        <v>57</v>
      </c>
      <c r="C123" s="123" t="str">
        <f>UPPER(IFERROR(VLOOKUP(B123,'SINAPI 04-26-SD'!$1:$1048576,2,FALSE),IFERROR(VLOOKUP(B123,'Ins. SINAPI 04-26-SD'!$1:$1048576,2,FALSE),IFERROR(VLOOKUP(B123,COTAÇÃO!$1:$1048576,2,FALSE),IFERROR(VLOOKUP(B123,'Ins. CDHU 201-SD'!$1:$1048576,2,FALSE),"Não Encontrado")))))</f>
        <v>SERVENTE</v>
      </c>
      <c r="D123" s="124" t="str">
        <f>UPPER(IFERROR(VLOOKUP(B123,'SINAPI 04-26-SD'!$1:$1048576,3,FALSE),IFERROR(VLOOKUP(B123,'Ins. SINAPI 04-26-SD'!$1:$1048576,3,FALSE),IFERROR(VLOOKUP(B123,COTAÇÃO!$1:$1048576,7,FALSE),IFERROR(VLOOKUP(B123,'Ins. CDHU 201-SD'!$1:$1048576,3,FALSE),"Não Encontrado")))))</f>
        <v>H</v>
      </c>
      <c r="E123" s="315">
        <v>6.2365799999999999E-2</v>
      </c>
      <c r="F123" s="125">
        <f>IFERROR(VLOOKUP(B123,'SINAPI 04-26-SD'!$1:$1048576,4,FALSE),IFERROR(VLOOKUP(B123,'Ins. SINAPI 04-26-SD'!$1:$1048576,5,FALSE),IFERROR(VLOOKUP(B123,COTAÇÃO!$1:$1048576,8,FALSE),IFERROR(VLOOKUP(B123,'Ins. CDHU 201-SD'!$1:$1048576,4,FALSE),"Não Encontrado"))))</f>
        <v>9.9499999999999993</v>
      </c>
      <c r="G123" s="126">
        <f>+ROUND(E123*F123,2)</f>
        <v>0.62</v>
      </c>
      <c r="H123" s="382"/>
      <c r="I123" s="315"/>
      <c r="M123" s="637"/>
    </row>
    <row r="124" spans="1:21" s="122" customFormat="1" ht="14">
      <c r="A124" s="316"/>
      <c r="B124" s="549"/>
      <c r="C124" s="123" t="s">
        <v>41258</v>
      </c>
      <c r="D124" s="124"/>
      <c r="E124" s="315"/>
      <c r="F124" s="125"/>
      <c r="G124" s="126">
        <f>+SUBTOTAL(9,G122:G123)</f>
        <v>0.62</v>
      </c>
      <c r="H124" s="382"/>
      <c r="M124" s="637"/>
    </row>
    <row r="125" spans="1:21" s="122" customFormat="1" ht="14">
      <c r="A125" s="316"/>
      <c r="B125" s="549"/>
      <c r="C125" s="123" t="s">
        <v>41259</v>
      </c>
      <c r="D125" s="124"/>
      <c r="E125" s="315">
        <f>$J$2</f>
        <v>128.22999999999999</v>
      </c>
      <c r="F125" s="125"/>
      <c r="G125" s="126">
        <f>+ROUND(G124*E125/100,2)</f>
        <v>0.8</v>
      </c>
      <c r="H125" s="382"/>
      <c r="M125" s="637"/>
    </row>
    <row r="126" spans="1:21" s="548" customFormat="1" ht="14">
      <c r="A126" s="550"/>
      <c r="B126" s="551"/>
      <c r="C126" s="552" t="s">
        <v>41231</v>
      </c>
      <c r="D126" s="553"/>
      <c r="E126" s="554"/>
      <c r="F126" s="555"/>
      <c r="G126" s="556">
        <f>SUM(G124:G125)</f>
        <v>1.42</v>
      </c>
      <c r="H126" s="547"/>
      <c r="M126" s="638"/>
    </row>
    <row r="127" spans="1:21" s="122" customFormat="1">
      <c r="A127" s="127"/>
      <c r="B127" s="406"/>
      <c r="C127" s="406" t="s">
        <v>27907</v>
      </c>
      <c r="D127" s="406"/>
      <c r="E127" s="406"/>
      <c r="F127" s="407"/>
      <c r="G127" s="408">
        <f>SUM(G126,G121)</f>
        <v>196.95999999999998</v>
      </c>
      <c r="H127" s="382"/>
      <c r="M127" s="637"/>
    </row>
    <row r="128" spans="1:21" s="122" customFormat="1" ht="39" customHeight="1">
      <c r="A128" s="832" t="s">
        <v>27908</v>
      </c>
      <c r="B128" s="833"/>
      <c r="C128" s="834" t="s">
        <v>44966</v>
      </c>
      <c r="D128" s="834"/>
      <c r="E128" s="834"/>
      <c r="F128" s="834"/>
      <c r="G128" s="835"/>
      <c r="H128" s="382"/>
      <c r="M128" s="637"/>
    </row>
    <row r="129" spans="1:21" ht="13.5" customHeight="1" thickBot="1">
      <c r="A129" s="120"/>
      <c r="B129" s="121"/>
      <c r="C129" s="121"/>
      <c r="D129" s="121"/>
      <c r="E129" s="121"/>
      <c r="F129" s="121"/>
      <c r="G129" s="206"/>
      <c r="H129" s="119" t="s">
        <v>6009</v>
      </c>
      <c r="I129" s="119" t="s">
        <v>27901</v>
      </c>
      <c r="J129" s="228" t="s">
        <v>27889</v>
      </c>
      <c r="M129" s="637"/>
    </row>
    <row r="130" spans="1:21" s="374" customFormat="1" ht="27.75" customHeight="1" thickBot="1">
      <c r="A130" s="688" t="s">
        <v>41881</v>
      </c>
      <c r="B130" s="689"/>
      <c r="C130" s="826" t="s">
        <v>41882</v>
      </c>
      <c r="D130" s="827"/>
      <c r="E130" s="827"/>
      <c r="F130" s="828"/>
      <c r="G130" s="674" t="s">
        <v>103</v>
      </c>
      <c r="H130" s="383">
        <f>G139</f>
        <v>4.68</v>
      </c>
      <c r="I130" s="383">
        <f>G134</f>
        <v>94</v>
      </c>
      <c r="J130" s="383">
        <f>G140</f>
        <v>98.68</v>
      </c>
      <c r="K130" s="122"/>
      <c r="L130" s="122"/>
      <c r="M130" s="637" t="str">
        <f>VLOOKUP(A130,'Plan Orçamentária'!$Q:$Y,1,FALSE)</f>
        <v>D&amp;C 35</v>
      </c>
      <c r="N130" s="122"/>
      <c r="O130" s="122"/>
      <c r="P130" s="122"/>
      <c r="Q130" s="122"/>
      <c r="R130" s="122"/>
      <c r="S130" s="122"/>
      <c r="T130" s="122"/>
      <c r="U130" s="122"/>
    </row>
    <row r="131" spans="1:21" s="122" customFormat="1" ht="12" customHeight="1">
      <c r="A131" s="419" t="s">
        <v>27902</v>
      </c>
      <c r="B131" s="420" t="s">
        <v>27903</v>
      </c>
      <c r="C131" s="546" t="s">
        <v>5</v>
      </c>
      <c r="D131" s="421" t="s">
        <v>27886</v>
      </c>
      <c r="E131" s="422" t="s">
        <v>27904</v>
      </c>
      <c r="F131" s="422" t="s">
        <v>27905</v>
      </c>
      <c r="G131" s="423" t="s">
        <v>27906</v>
      </c>
      <c r="H131" s="382"/>
      <c r="M131" s="637"/>
    </row>
    <row r="132" spans="1:21" s="122" customFormat="1" ht="12" customHeight="1">
      <c r="A132" s="829" t="s">
        <v>41228</v>
      </c>
      <c r="B132" s="830"/>
      <c r="C132" s="830"/>
      <c r="D132" s="830"/>
      <c r="E132" s="830"/>
      <c r="F132" s="830"/>
      <c r="G132" s="831"/>
      <c r="H132" s="382"/>
      <c r="M132" s="637"/>
    </row>
    <row r="133" spans="1:21" s="648" customFormat="1" ht="28">
      <c r="A133" s="675" t="s">
        <v>41883</v>
      </c>
      <c r="B133" s="676">
        <v>25828</v>
      </c>
      <c r="C133" s="677" t="s">
        <v>41884</v>
      </c>
      <c r="D133" s="678" t="s">
        <v>103</v>
      </c>
      <c r="E133" s="679">
        <v>1</v>
      </c>
      <c r="F133" s="680">
        <v>94</v>
      </c>
      <c r="G133" s="126">
        <f>+ROUND(E133*F133,2)</f>
        <v>94</v>
      </c>
      <c r="H133" s="647"/>
      <c r="I133" s="646"/>
      <c r="M133" s="649"/>
    </row>
    <row r="134" spans="1:21" s="548" customFormat="1" ht="14">
      <c r="A134" s="550"/>
      <c r="B134" s="551"/>
      <c r="C134" s="552" t="s">
        <v>41229</v>
      </c>
      <c r="D134" s="553"/>
      <c r="E134" s="554"/>
      <c r="F134" s="555"/>
      <c r="G134" s="556">
        <f>SUM(G132:G133)</f>
        <v>94</v>
      </c>
      <c r="H134" s="547"/>
      <c r="M134" s="638"/>
    </row>
    <row r="135" spans="1:21" s="122" customFormat="1" ht="12" customHeight="1">
      <c r="A135" s="829" t="s">
        <v>41230</v>
      </c>
      <c r="B135" s="830"/>
      <c r="C135" s="830"/>
      <c r="D135" s="830"/>
      <c r="E135" s="830"/>
      <c r="F135" s="830"/>
      <c r="G135" s="831"/>
      <c r="H135" s="382"/>
      <c r="M135" s="637"/>
    </row>
    <row r="136" spans="1:21" s="122" customFormat="1" ht="14">
      <c r="A136" s="675" t="s">
        <v>29901</v>
      </c>
      <c r="B136" s="676" t="s">
        <v>57</v>
      </c>
      <c r="C136" s="123" t="str">
        <f>UPPER(IFERROR(VLOOKUP(B136,'SINAPI 04-26-SD'!$1:$1048576,2,FALSE),IFERROR(VLOOKUP(B136,'Ins. SINAPI 04-26-SD'!$1:$1048576,2,FALSE),IFERROR(VLOOKUP(B136,COTAÇÃO!$1:$1048576,2,FALSE),IFERROR(VLOOKUP(B136,'Ins. CDHU 201-SD'!$1:$1048576,2,FALSE),"Não Encontrado")))))</f>
        <v>SERVENTE</v>
      </c>
      <c r="D136" s="124" t="str">
        <f>UPPER(IFERROR(VLOOKUP(B136,'SINAPI 04-26-SD'!$1:$1048576,3,FALSE),IFERROR(VLOOKUP(B136,'Ins. SINAPI 04-26-SD'!$1:$1048576,3,FALSE),IFERROR(VLOOKUP(B136,COTAÇÃO!$1:$1048576,7,FALSE),IFERROR(VLOOKUP(B136,'Ins. CDHU 201-SD'!$1:$1048576,3,FALSE),"Não Encontrado")))))</f>
        <v>H</v>
      </c>
      <c r="E136" s="315">
        <v>0.20599999999999999</v>
      </c>
      <c r="F136" s="125">
        <f>IFERROR(VLOOKUP(B136,'SINAPI 04-26-SD'!$1:$1048576,4,FALSE),IFERROR(VLOOKUP(B136,'Ins. SINAPI 04-26-SD'!$1:$1048576,5,FALSE),IFERROR(VLOOKUP(B136,COTAÇÃO!$1:$1048576,8,FALSE),IFERROR(VLOOKUP(B136,'Ins. CDHU 201-SD'!$1:$1048576,4,FALSE),"Não Encontrado"))))</f>
        <v>9.9499999999999993</v>
      </c>
      <c r="G136" s="126">
        <f>+ROUND(E136*F136,2)</f>
        <v>2.0499999999999998</v>
      </c>
      <c r="H136" s="382"/>
      <c r="I136" s="315"/>
      <c r="M136" s="637"/>
    </row>
    <row r="137" spans="1:21" s="122" customFormat="1" ht="14">
      <c r="A137" s="316"/>
      <c r="B137" s="549"/>
      <c r="C137" s="123" t="s">
        <v>41258</v>
      </c>
      <c r="D137" s="124"/>
      <c r="E137" s="315"/>
      <c r="F137" s="125"/>
      <c r="G137" s="126">
        <f>+SUBTOTAL(9,G135:G136)</f>
        <v>2.0499999999999998</v>
      </c>
      <c r="H137" s="382"/>
      <c r="M137" s="637"/>
    </row>
    <row r="138" spans="1:21" s="122" customFormat="1" ht="14">
      <c r="A138" s="316"/>
      <c r="B138" s="549"/>
      <c r="C138" s="123" t="s">
        <v>41259</v>
      </c>
      <c r="D138" s="124"/>
      <c r="E138" s="315">
        <f>$J$2</f>
        <v>128.22999999999999</v>
      </c>
      <c r="F138" s="125"/>
      <c r="G138" s="126">
        <f>+ROUND(G137*E138/100,2)</f>
        <v>2.63</v>
      </c>
      <c r="H138" s="382"/>
      <c r="M138" s="637"/>
    </row>
    <row r="139" spans="1:21" s="548" customFormat="1" ht="14">
      <c r="A139" s="550"/>
      <c r="B139" s="551"/>
      <c r="C139" s="552" t="s">
        <v>41231</v>
      </c>
      <c r="D139" s="553"/>
      <c r="E139" s="554"/>
      <c r="F139" s="555"/>
      <c r="G139" s="556">
        <f>SUM(G137:G138)</f>
        <v>4.68</v>
      </c>
      <c r="H139" s="547"/>
      <c r="M139" s="638"/>
    </row>
    <row r="140" spans="1:21" s="122" customFormat="1">
      <c r="A140" s="127"/>
      <c r="B140" s="406"/>
      <c r="C140" s="406" t="s">
        <v>27907</v>
      </c>
      <c r="D140" s="406"/>
      <c r="E140" s="406"/>
      <c r="F140" s="407"/>
      <c r="G140" s="408">
        <f>SUM(G139,G134)</f>
        <v>98.68</v>
      </c>
      <c r="H140" s="382"/>
      <c r="M140" s="637"/>
    </row>
    <row r="141" spans="1:21" s="122" customFormat="1" ht="39" customHeight="1">
      <c r="A141" s="832" t="s">
        <v>27908</v>
      </c>
      <c r="B141" s="833"/>
      <c r="C141" s="836" t="s">
        <v>41885</v>
      </c>
      <c r="D141" s="836"/>
      <c r="E141" s="836"/>
      <c r="F141" s="836"/>
      <c r="G141" s="837"/>
      <c r="H141" s="382"/>
      <c r="M141" s="637"/>
    </row>
    <row r="142" spans="1:21" ht="13.5" customHeight="1" thickBot="1">
      <c r="A142" s="120"/>
      <c r="B142" s="121"/>
      <c r="C142" s="121"/>
      <c r="D142" s="121"/>
      <c r="E142" s="121"/>
      <c r="F142" s="121"/>
      <c r="G142" s="206"/>
      <c r="H142" s="119" t="s">
        <v>6009</v>
      </c>
      <c r="I142" s="119" t="s">
        <v>27901</v>
      </c>
      <c r="J142" s="228" t="s">
        <v>27889</v>
      </c>
      <c r="M142" s="637"/>
    </row>
    <row r="143" spans="1:21" s="374" customFormat="1" ht="26.25" customHeight="1" thickBot="1">
      <c r="A143" s="543" t="s">
        <v>41804</v>
      </c>
      <c r="B143" s="544"/>
      <c r="C143" s="838" t="s">
        <v>41805</v>
      </c>
      <c r="D143" s="839"/>
      <c r="E143" s="839"/>
      <c r="F143" s="840"/>
      <c r="G143" s="545" t="s">
        <v>121</v>
      </c>
      <c r="H143" s="383">
        <f>G153</f>
        <v>5.27</v>
      </c>
      <c r="I143" s="383">
        <f>G147</f>
        <v>100.69</v>
      </c>
      <c r="J143" s="383">
        <f>G154</f>
        <v>105.96</v>
      </c>
      <c r="K143" s="122"/>
      <c r="L143" s="122"/>
      <c r="M143" s="637" t="str">
        <f>VLOOKUP(A143,'Plan Orçamentária'!$Q:$Y,1,FALSE)</f>
        <v>D&amp;C 45</v>
      </c>
      <c r="N143" s="122"/>
      <c r="O143" s="122"/>
      <c r="P143" s="122"/>
      <c r="Q143" s="122"/>
      <c r="R143" s="122"/>
      <c r="S143" s="122"/>
      <c r="T143" s="122"/>
      <c r="U143" s="122"/>
    </row>
    <row r="144" spans="1:21" s="122" customFormat="1" ht="12" customHeight="1">
      <c r="A144" s="419" t="s">
        <v>27902</v>
      </c>
      <c r="B144" s="420" t="s">
        <v>27903</v>
      </c>
      <c r="C144" s="546" t="s">
        <v>5</v>
      </c>
      <c r="D144" s="421" t="s">
        <v>27886</v>
      </c>
      <c r="E144" s="422" t="s">
        <v>27904</v>
      </c>
      <c r="F144" s="422" t="s">
        <v>27905</v>
      </c>
      <c r="G144" s="423" t="s">
        <v>27906</v>
      </c>
      <c r="H144" s="382"/>
      <c r="M144" s="637"/>
    </row>
    <row r="145" spans="1:21" s="122" customFormat="1" ht="12" customHeight="1">
      <c r="A145" s="829" t="s">
        <v>41228</v>
      </c>
      <c r="B145" s="830"/>
      <c r="C145" s="830"/>
      <c r="D145" s="830"/>
      <c r="E145" s="830"/>
      <c r="F145" s="830"/>
      <c r="G145" s="831"/>
      <c r="H145" s="382"/>
      <c r="M145" s="637"/>
    </row>
    <row r="146" spans="1:21" s="648" customFormat="1" ht="28">
      <c r="A146" s="316" t="s">
        <v>41806</v>
      </c>
      <c r="B146" s="549">
        <v>8823</v>
      </c>
      <c r="C146" s="123" t="s">
        <v>41807</v>
      </c>
      <c r="D146" s="124" t="s">
        <v>103</v>
      </c>
      <c r="E146" s="315">
        <v>1</v>
      </c>
      <c r="F146" s="125">
        <v>100.69</v>
      </c>
      <c r="G146" s="126">
        <f>+ROUND(E146*F146,2)</f>
        <v>100.69</v>
      </c>
      <c r="H146" s="647"/>
      <c r="I146" s="646"/>
      <c r="M146" s="649"/>
    </row>
    <row r="147" spans="1:21" s="548" customFormat="1" ht="14">
      <c r="A147" s="550"/>
      <c r="B147" s="551"/>
      <c r="C147" s="552" t="s">
        <v>41229</v>
      </c>
      <c r="D147" s="553"/>
      <c r="E147" s="554"/>
      <c r="F147" s="555"/>
      <c r="G147" s="556">
        <f>SUM(G145:G146)</f>
        <v>100.69</v>
      </c>
      <c r="H147" s="547"/>
      <c r="M147" s="638"/>
    </row>
    <row r="148" spans="1:21" s="122" customFormat="1" ht="12" customHeight="1">
      <c r="A148" s="829" t="s">
        <v>41230</v>
      </c>
      <c r="B148" s="830"/>
      <c r="C148" s="830"/>
      <c r="D148" s="830"/>
      <c r="E148" s="830"/>
      <c r="F148" s="830"/>
      <c r="G148" s="831"/>
      <c r="H148" s="382"/>
      <c r="M148" s="637"/>
    </row>
    <row r="149" spans="1:21" s="122" customFormat="1" ht="14">
      <c r="A149" s="316" t="s">
        <v>29901</v>
      </c>
      <c r="B149" s="549" t="s">
        <v>85</v>
      </c>
      <c r="C149" s="123" t="str">
        <f>UPPER(IFERROR(VLOOKUP(B149,'SINAPI 04-26-SD'!$1:$1048576,2,FALSE),IFERROR(VLOOKUP(B149,'Ins. SINAPI 04-26-SD'!$1:$1048576,2,FALSE),IFERROR(VLOOKUP(B149,COTAÇÃO!$1:$1048576,2,FALSE),IFERROR(VLOOKUP(B149,'Ins. CDHU 201-SD'!$1:$1048576,2,FALSE),"Não Encontrado")))))</f>
        <v>ENGENHEIRO JUNIOR DE CIVIL</v>
      </c>
      <c r="D149" s="124" t="str">
        <f>UPPER(IFERROR(VLOOKUP(B149,'SINAPI 04-26-SD'!$1:$1048576,3,FALSE),IFERROR(VLOOKUP(B149,'Ins. SINAPI 04-26-SD'!$1:$1048576,3,FALSE),IFERROR(VLOOKUP(B149,COTAÇÃO!$1:$1048576,7,FALSE),IFERROR(VLOOKUP(B149,'Ins. CDHU 201-SD'!$1:$1048576,3,FALSE),"Não Encontrado")))))</f>
        <v>H</v>
      </c>
      <c r="E149" s="315">
        <v>8.9999999999999993E-3</v>
      </c>
      <c r="F149" s="125">
        <f>IFERROR(VLOOKUP(B149,'SINAPI 04-26-SD'!$1:$1048576,4,FALSE),IFERROR(VLOOKUP(B149,'Ins. SINAPI 04-26-SD'!$1:$1048576,5,FALSE),IFERROR(VLOOKUP(B149,COTAÇÃO!$1:$1048576,8,FALSE),IFERROR(VLOOKUP(B149,'Ins. CDHU 201-SD'!$1:$1048576,4,FALSE),"Não Encontrado"))))</f>
        <v>58.3</v>
      </c>
      <c r="G149" s="126">
        <f>+ROUND(E149*F149,2)</f>
        <v>0.52</v>
      </c>
      <c r="H149" s="382"/>
      <c r="I149" s="315"/>
      <c r="M149" s="637"/>
    </row>
    <row r="150" spans="1:21" s="122" customFormat="1" ht="14">
      <c r="A150" s="316" t="s">
        <v>27888</v>
      </c>
      <c r="B150" s="549">
        <v>4083</v>
      </c>
      <c r="C150" s="123" t="str">
        <f>UPPER(IFERROR(VLOOKUP(B150,'SINAPI 04-26-SD'!$1:$1048576,2,FALSE),IFERROR(VLOOKUP(B150,'Ins. SINAPI 04-26-SD'!$1:$1048576,2,FALSE),IFERROR(VLOOKUP(B150,COTAÇÃO!$1:$1048576,2,FALSE),IFERROR(VLOOKUP(B150,'Ins. CDHU 201-SD'!$1:$1048576,2,FALSE),"Não Encontrado")))))</f>
        <v>ENCARREGADO GERAL DE OBRAS (HORISTA)</v>
      </c>
      <c r="D150" s="124" t="str">
        <f>UPPER(IFERROR(VLOOKUP(B150,'SINAPI 04-26-SD'!$1:$1048576,3,FALSE),IFERROR(VLOOKUP(B150,'Ins. SINAPI 04-26-SD'!$1:$1048576,3,FALSE),IFERROR(VLOOKUP(B150,COTAÇÃO!$1:$1048576,7,FALSE),IFERROR(VLOOKUP(B150,'Ins. CDHU 201-SD'!$1:$1048576,3,FALSE),"Não Encontrado")))))</f>
        <v>H</v>
      </c>
      <c r="E150" s="315">
        <v>3.9E-2</v>
      </c>
      <c r="F150" s="125">
        <f>IFERROR(VLOOKUP(B150,'SINAPI 04-26-SD'!$1:$1048576,4,FALSE),IFERROR(VLOOKUP(B150,'Ins. SINAPI 04-26-SD'!$1:$1048576,5,FALSE),IFERROR(VLOOKUP(B150,COTAÇÃO!$1:$1048576,8,FALSE),IFERROR(VLOOKUP(B150,'Ins. CDHU 201-SD'!$1:$1048576,4,FALSE),"Não Encontrado"))))</f>
        <v>46.01</v>
      </c>
      <c r="G150" s="126">
        <f>+ROUND(E150*F150,2)</f>
        <v>1.79</v>
      </c>
      <c r="H150" s="382"/>
      <c r="I150" s="315"/>
      <c r="M150" s="637"/>
    </row>
    <row r="151" spans="1:21" s="122" customFormat="1" ht="14">
      <c r="A151" s="316"/>
      <c r="B151" s="549"/>
      <c r="C151" s="123" t="s">
        <v>41258</v>
      </c>
      <c r="D151" s="124"/>
      <c r="E151" s="315"/>
      <c r="F151" s="125"/>
      <c r="G151" s="126">
        <f>+SUBTOTAL(9,G148:G150)</f>
        <v>2.31</v>
      </c>
      <c r="H151" s="382"/>
      <c r="M151" s="637"/>
    </row>
    <row r="152" spans="1:21" s="122" customFormat="1" ht="14">
      <c r="A152" s="316"/>
      <c r="B152" s="549"/>
      <c r="C152" s="123" t="s">
        <v>41259</v>
      </c>
      <c r="D152" s="124"/>
      <c r="E152" s="315">
        <f>$J$2</f>
        <v>128.22999999999999</v>
      </c>
      <c r="F152" s="125"/>
      <c r="G152" s="126">
        <f>+ROUND(G151*E152/100,2)</f>
        <v>2.96</v>
      </c>
      <c r="H152" s="382"/>
      <c r="M152" s="637"/>
    </row>
    <row r="153" spans="1:21" s="548" customFormat="1" ht="14">
      <c r="A153" s="550"/>
      <c r="B153" s="551"/>
      <c r="C153" s="552" t="s">
        <v>41231</v>
      </c>
      <c r="D153" s="553"/>
      <c r="E153" s="554"/>
      <c r="F153" s="555"/>
      <c r="G153" s="556">
        <f>SUM(G151:G152)</f>
        <v>5.27</v>
      </c>
      <c r="H153" s="547"/>
      <c r="M153" s="638"/>
    </row>
    <row r="154" spans="1:21" s="122" customFormat="1">
      <c r="A154" s="127"/>
      <c r="B154" s="406"/>
      <c r="C154" s="406" t="s">
        <v>27907</v>
      </c>
      <c r="D154" s="406"/>
      <c r="E154" s="406"/>
      <c r="F154" s="407"/>
      <c r="G154" s="408">
        <f>SUM(G153,G147)</f>
        <v>105.96</v>
      </c>
      <c r="H154" s="382"/>
      <c r="M154" s="637"/>
    </row>
    <row r="155" spans="1:21" s="122" customFormat="1" ht="39" customHeight="1">
      <c r="A155" s="832" t="s">
        <v>27908</v>
      </c>
      <c r="B155" s="833"/>
      <c r="C155" s="841" t="s">
        <v>41808</v>
      </c>
      <c r="D155" s="841"/>
      <c r="E155" s="841"/>
      <c r="F155" s="841"/>
      <c r="G155" s="842"/>
      <c r="H155" s="382"/>
      <c r="M155" s="637"/>
    </row>
    <row r="156" spans="1:21" ht="13.5" customHeight="1" thickBot="1">
      <c r="A156" s="120"/>
      <c r="B156" s="121"/>
      <c r="C156" s="121"/>
      <c r="D156" s="121"/>
      <c r="E156" s="121"/>
      <c r="F156" s="121"/>
      <c r="G156" s="206"/>
      <c r="H156" s="119" t="s">
        <v>6009</v>
      </c>
      <c r="I156" s="119" t="s">
        <v>27901</v>
      </c>
      <c r="J156" s="228" t="s">
        <v>27889</v>
      </c>
      <c r="M156" s="637"/>
    </row>
    <row r="157" spans="1:21" s="374" customFormat="1" ht="27.75" customHeight="1" thickBot="1">
      <c r="A157" s="543" t="s">
        <v>44537</v>
      </c>
      <c r="B157" s="544"/>
      <c r="C157" s="838" t="str">
        <f>UPPER("Laje pré-fabricada mista vigota protendida/lajota cerâmica - LP 17 (12+5) e capa com concreto de 30 Mpa")</f>
        <v>LAJE PRÉ-FABRICADA MISTA VIGOTA PROTENDIDA/LAJOTA CERÂMICA - LP 17 (12+5) E CAPA COM CONCRETO DE 30 MPA</v>
      </c>
      <c r="D157" s="839"/>
      <c r="E157" s="839"/>
      <c r="F157" s="840"/>
      <c r="G157" s="545" t="s">
        <v>509</v>
      </c>
      <c r="H157" s="383">
        <f>G174</f>
        <v>43.96</v>
      </c>
      <c r="I157" s="383">
        <f>G166</f>
        <v>192.64</v>
      </c>
      <c r="J157" s="383">
        <f>G175</f>
        <v>236.6</v>
      </c>
      <c r="K157" s="122"/>
      <c r="L157" s="122"/>
      <c r="M157" s="637" t="str">
        <f>VLOOKUP(A157,'Plan Orçamentária'!$Q:$Y,1,FALSE)</f>
        <v>D&amp;C 50</v>
      </c>
      <c r="N157" s="122"/>
      <c r="O157" s="122"/>
      <c r="P157" s="122"/>
      <c r="Q157" s="122"/>
      <c r="R157" s="122"/>
      <c r="S157" s="122"/>
      <c r="T157" s="122"/>
      <c r="U157" s="122"/>
    </row>
    <row r="158" spans="1:21" s="122" customFormat="1" ht="12" customHeight="1">
      <c r="A158" s="419" t="s">
        <v>27902</v>
      </c>
      <c r="B158" s="420" t="s">
        <v>27903</v>
      </c>
      <c r="C158" s="546" t="s">
        <v>5</v>
      </c>
      <c r="D158" s="421" t="s">
        <v>27886</v>
      </c>
      <c r="E158" s="422" t="s">
        <v>27904</v>
      </c>
      <c r="F158" s="422" t="s">
        <v>27905</v>
      </c>
      <c r="G158" s="423" t="s">
        <v>27906</v>
      </c>
      <c r="H158" s="382"/>
      <c r="M158" s="637"/>
    </row>
    <row r="159" spans="1:21" s="122" customFormat="1" ht="12" customHeight="1">
      <c r="A159" s="829" t="s">
        <v>41228</v>
      </c>
      <c r="B159" s="830"/>
      <c r="C159" s="830"/>
      <c r="D159" s="830"/>
      <c r="E159" s="830"/>
      <c r="F159" s="830"/>
      <c r="G159" s="831"/>
      <c r="H159" s="382"/>
      <c r="M159" s="637"/>
    </row>
    <row r="160" spans="1:21" s="648" customFormat="1" ht="14">
      <c r="A160" s="316" t="s">
        <v>29901</v>
      </c>
      <c r="B160" s="549" t="s">
        <v>620</v>
      </c>
      <c r="C160" s="123" t="str">
        <f>UPPER(IFERROR(VLOOKUP(B160,'SINAPI 04-26-SD'!$1:$1048576,2,FALSE),IFERROR(VLOOKUP(B160,'Ins. SINAPI 04-26-SD'!$1:$1048576,2,FALSE),IFERROR(VLOOKUP(B160,COTAÇÃO!$1:$1048576,2,FALSE),IFERROR(VLOOKUP(B160,'Ins. CDHU 201-SD'!$1:$1048576,2,FALSE),IFERROR(VLOOKUP(B160,'Ins. FDE 01-26-SD'!$1:$1048576,2,FALSE),"Não Encontrado"))))))</f>
        <v>CONCRETO USINADO FCK= 30 MPA, SLUMP 5 ± 1CM</v>
      </c>
      <c r="D160" s="124" t="str">
        <f>UPPER(IFERROR(VLOOKUP(B160,'SINAPI 04-26-SD'!$1:$1048576,3,FALSE),IFERROR(VLOOKUP(B160,'Ins. SINAPI 04-26-SD'!$1:$1048576,3,FALSE),IFERROR(VLOOKUP(B160,COTAÇÃO!$1:$1048576,7,FALSE),IFERROR(VLOOKUP(B160,'Ins. CDHU 201-SD'!$1:$1048576,3,FALSE),IFERROR(VLOOKUP(B160,'Ins. FDE 01-26-SD'!$1:$1048576,3,FALSE),"Não Encontrado"))))))</f>
        <v>M3</v>
      </c>
      <c r="E160" s="315">
        <v>5.5E-2</v>
      </c>
      <c r="F160" s="125">
        <f>IFERROR(VLOOKUP(B160,'SINAPI 04-26-SD'!$1:$1048576,4,FALSE),IFERROR(VLOOKUP(B160,'Ins. SINAPI 04-26-SD'!$1:$1048576,5,FALSE),IFERROR(VLOOKUP(B160,COTAÇÃO!$1:$1048576,8,FALSE),IFERROR(VLOOKUP(B160,'Ins. CDHU 201-SD'!$1:$1048576,4,FALSE),IFERROR(VLOOKUP(B160,'Ins. FDE 01-26-SD'!$1:$1048576,4,FALSE),"Não Encontrado")))))</f>
        <v>515.85</v>
      </c>
      <c r="G160" s="126">
        <f t="shared" ref="G160:G165" si="7">+ROUND(E160*F160,2)</f>
        <v>28.37</v>
      </c>
      <c r="H160" s="647"/>
      <c r="I160" s="646"/>
      <c r="M160" s="649"/>
    </row>
    <row r="161" spans="1:13" s="648" customFormat="1" ht="14">
      <c r="A161" s="316" t="s">
        <v>29901</v>
      </c>
      <c r="B161" s="549" t="s">
        <v>752</v>
      </c>
      <c r="C161" s="123" t="str">
        <f>UPPER(IFERROR(VLOOKUP(B161,'SINAPI 04-26-SD'!$1:$1048576,2,FALSE),IFERROR(VLOOKUP(B161,'Ins. SINAPI 04-26-SD'!$1:$1048576,2,FALSE),IFERROR(VLOOKUP(B161,COTAÇÃO!$1:$1048576,2,FALSE),IFERROR(VLOOKUP(B161,'Ins. CDHU 201-SD'!$1:$1048576,2,FALSE),IFERROR(VLOOKUP(B161,'Ins. FDE 01-26-SD'!$1:$1048576,2,FALSE),"Não Encontrado"))))))</f>
        <v>PONTALETE DE CEDRINHO DE 75 MM X 75 MM - 3ª CONSTRUÇÃO</v>
      </c>
      <c r="D161" s="124" t="str">
        <f>UPPER(IFERROR(VLOOKUP(B161,'SINAPI 04-26-SD'!$1:$1048576,3,FALSE),IFERROR(VLOOKUP(B161,'Ins. SINAPI 04-26-SD'!$1:$1048576,3,FALSE),IFERROR(VLOOKUP(B161,COTAÇÃO!$1:$1048576,7,FALSE),IFERROR(VLOOKUP(B161,'Ins. CDHU 201-SD'!$1:$1048576,3,FALSE),IFERROR(VLOOKUP(B161,'Ins. FDE 01-26-SD'!$1:$1048576,3,FALSE),"Não Encontrado"))))))</f>
        <v>M</v>
      </c>
      <c r="E161" s="315">
        <v>1.1100000000000001</v>
      </c>
      <c r="F161" s="125">
        <f>IFERROR(VLOOKUP(B161,'SINAPI 04-26-SD'!$1:$1048576,4,FALSE),IFERROR(VLOOKUP(B161,'Ins. SINAPI 04-26-SD'!$1:$1048576,5,FALSE),IFERROR(VLOOKUP(B161,COTAÇÃO!$1:$1048576,8,FALSE),IFERROR(VLOOKUP(B161,'Ins. CDHU 201-SD'!$1:$1048576,4,FALSE),IFERROR(VLOOKUP(B161,'Ins. FDE 01-26-SD'!$1:$1048576,4,FALSE),"Não Encontrado")))))</f>
        <v>22.76</v>
      </c>
      <c r="G161" s="126">
        <f t="shared" si="7"/>
        <v>25.26</v>
      </c>
      <c r="H161" s="647"/>
      <c r="I161" s="646"/>
      <c r="M161" s="649"/>
    </row>
    <row r="162" spans="1:13" s="648" customFormat="1" ht="14">
      <c r="A162" s="316" t="s">
        <v>29901</v>
      </c>
      <c r="B162" s="549" t="s">
        <v>756</v>
      </c>
      <c r="C162" s="123" t="str">
        <f>UPPER(IFERROR(VLOOKUP(B162,'SINAPI 04-26-SD'!$1:$1048576,2,FALSE),IFERROR(VLOOKUP(B162,'Ins. SINAPI 04-26-SD'!$1:$1048576,2,FALSE),IFERROR(VLOOKUP(B162,COTAÇÃO!$1:$1048576,2,FALSE),IFERROR(VLOOKUP(B162,'Ins. CDHU 201-SD'!$1:$1048576,2,FALSE),IFERROR(VLOOKUP(B162,'Ins. FDE 01-26-SD'!$1:$1048576,2,FALSE),"Não Encontrado"))))))</f>
        <v>SARRAFO DE CEDRINHO 2,5 X 10 CM</v>
      </c>
      <c r="D162" s="124" t="str">
        <f>UPPER(IFERROR(VLOOKUP(B162,'SINAPI 04-26-SD'!$1:$1048576,3,FALSE),IFERROR(VLOOKUP(B162,'Ins. SINAPI 04-26-SD'!$1:$1048576,3,FALSE),IFERROR(VLOOKUP(B162,COTAÇÃO!$1:$1048576,7,FALSE),IFERROR(VLOOKUP(B162,'Ins. CDHU 201-SD'!$1:$1048576,3,FALSE),IFERROR(VLOOKUP(B162,'Ins. FDE 01-26-SD'!$1:$1048576,3,FALSE),"Não Encontrado"))))))</f>
        <v>M</v>
      </c>
      <c r="E162" s="315">
        <v>0.77</v>
      </c>
      <c r="F162" s="125">
        <f>IFERROR(VLOOKUP(B162,'SINAPI 04-26-SD'!$1:$1048576,4,FALSE),IFERROR(VLOOKUP(B162,'Ins. SINAPI 04-26-SD'!$1:$1048576,5,FALSE),IFERROR(VLOOKUP(B162,COTAÇÃO!$1:$1048576,8,FALSE),IFERROR(VLOOKUP(B162,'Ins. CDHU 201-SD'!$1:$1048576,4,FALSE),IFERROR(VLOOKUP(B162,'Ins. FDE 01-26-SD'!$1:$1048576,4,FALSE),"Não Encontrado")))))</f>
        <v>7.82</v>
      </c>
      <c r="G162" s="126">
        <f t="shared" si="7"/>
        <v>6.02</v>
      </c>
      <c r="H162" s="647"/>
      <c r="I162" s="646"/>
      <c r="M162" s="649"/>
    </row>
    <row r="163" spans="1:13" s="648" customFormat="1" ht="14">
      <c r="A163" s="316" t="s">
        <v>29901</v>
      </c>
      <c r="B163" s="549" t="s">
        <v>760</v>
      </c>
      <c r="C163" s="123" t="str">
        <f>UPPER(IFERROR(VLOOKUP(B163,'SINAPI 04-26-SD'!$1:$1048576,2,FALSE),IFERROR(VLOOKUP(B163,'Ins. SINAPI 04-26-SD'!$1:$1048576,2,FALSE),IFERROR(VLOOKUP(B163,COTAÇÃO!$1:$1048576,2,FALSE),IFERROR(VLOOKUP(B163,'Ins. CDHU 201-SD'!$1:$1048576,2,FALSE),IFERROR(VLOOKUP(B163,'Ins. FDE 01-26-SD'!$1:$1048576,2,FALSE),"Não Encontrado"))))))</f>
        <v>TÁBUA CEDRINHO 25 MM X 300 MM DE 3ª</v>
      </c>
      <c r="D163" s="124" t="str">
        <f>UPPER(IFERROR(VLOOKUP(B163,'SINAPI 04-26-SD'!$1:$1048576,3,FALSE),IFERROR(VLOOKUP(B163,'Ins. SINAPI 04-26-SD'!$1:$1048576,3,FALSE),IFERROR(VLOOKUP(B163,COTAÇÃO!$1:$1048576,7,FALSE),IFERROR(VLOOKUP(B163,'Ins. CDHU 201-SD'!$1:$1048576,3,FALSE),IFERROR(VLOOKUP(B163,'Ins. FDE 01-26-SD'!$1:$1048576,3,FALSE),"Não Encontrado"))))))</f>
        <v>M2</v>
      </c>
      <c r="E163" s="315">
        <v>0.2</v>
      </c>
      <c r="F163" s="125">
        <f>IFERROR(VLOOKUP(B163,'SINAPI 04-26-SD'!$1:$1048576,4,FALSE),IFERROR(VLOOKUP(B163,'Ins. SINAPI 04-26-SD'!$1:$1048576,5,FALSE),IFERROR(VLOOKUP(B163,COTAÇÃO!$1:$1048576,8,FALSE),IFERROR(VLOOKUP(B163,'Ins. CDHU 201-SD'!$1:$1048576,4,FALSE),IFERROR(VLOOKUP(B163,'Ins. FDE 01-26-SD'!$1:$1048576,4,FALSE),"Não Encontrado")))))</f>
        <v>110.72</v>
      </c>
      <c r="G163" s="126">
        <f t="shared" si="7"/>
        <v>22.14</v>
      </c>
      <c r="H163" s="647"/>
      <c r="I163" s="646"/>
      <c r="M163" s="649"/>
    </row>
    <row r="164" spans="1:13" s="648" customFormat="1" ht="28">
      <c r="A164" s="316" t="s">
        <v>29901</v>
      </c>
      <c r="B164" s="549" t="s">
        <v>673</v>
      </c>
      <c r="C164" s="123" t="str">
        <f>UPPER(IFERROR(VLOOKUP(B164,'SINAPI 04-26-SD'!$1:$1048576,2,FALSE),IFERROR(VLOOKUP(B164,'Ins. SINAPI 04-26-SD'!$1:$1048576,2,FALSE),IFERROR(VLOOKUP(B164,COTAÇÃO!$1:$1048576,2,FALSE),IFERROR(VLOOKUP(B164,'Ins. CDHU 201-SD'!$1:$1048576,2,FALSE),IFERROR(VLOOKUP(B164,'Ins. FDE 01-26-SD'!$1:$1048576,2,FALSE),"Não Encontrado"))))))</f>
        <v>LAJE PRÉ-FABRICADA MISTA VIGOTA PROTENDIDA/LAJOTA CERÂMICA - LP 16 (12+4); SOBRECARGA 200KGF/M²</v>
      </c>
      <c r="D164" s="124" t="str">
        <f>UPPER(IFERROR(VLOOKUP(B164,'SINAPI 04-26-SD'!$1:$1048576,3,FALSE),IFERROR(VLOOKUP(B164,'Ins. SINAPI 04-26-SD'!$1:$1048576,3,FALSE),IFERROR(VLOOKUP(B164,COTAÇÃO!$1:$1048576,7,FALSE),IFERROR(VLOOKUP(B164,'Ins. CDHU 201-SD'!$1:$1048576,3,FALSE),IFERROR(VLOOKUP(B164,'Ins. FDE 01-26-SD'!$1:$1048576,3,FALSE),"Não Encontrado"))))))</f>
        <v>M2</v>
      </c>
      <c r="E164" s="315">
        <v>1</v>
      </c>
      <c r="F164" s="125">
        <f>IFERROR(VLOOKUP(B164,'SINAPI 04-26-SD'!$1:$1048576,4,FALSE),IFERROR(VLOOKUP(B164,'Ins. SINAPI 04-26-SD'!$1:$1048576,5,FALSE),IFERROR(VLOOKUP(B164,COTAÇÃO!$1:$1048576,8,FALSE),IFERROR(VLOOKUP(B164,'Ins. CDHU 201-SD'!$1:$1048576,4,FALSE),IFERROR(VLOOKUP(B164,'Ins. FDE 01-26-SD'!$1:$1048576,4,FALSE),"Não Encontrado")))))</f>
        <v>110.65</v>
      </c>
      <c r="G164" s="126">
        <f t="shared" si="7"/>
        <v>110.65</v>
      </c>
      <c r="H164" s="647"/>
      <c r="I164" s="646"/>
      <c r="M164" s="649"/>
    </row>
    <row r="165" spans="1:13" s="648" customFormat="1" ht="14">
      <c r="A165" s="316" t="s">
        <v>29901</v>
      </c>
      <c r="B165" s="549" t="s">
        <v>884</v>
      </c>
      <c r="C165" s="123" t="str">
        <f>UPPER(IFERROR(VLOOKUP(B165,'SINAPI 04-26-SD'!$1:$1048576,2,FALSE),IFERROR(VLOOKUP(B165,'Ins. SINAPI 04-26-SD'!$1:$1048576,2,FALSE),IFERROR(VLOOKUP(B165,COTAÇÃO!$1:$1048576,2,FALSE),IFERROR(VLOOKUP(B165,'Ins. CDHU 201-SD'!$1:$1048576,2,FALSE),IFERROR(VLOOKUP(B165,'Ins. FDE 01-26-SD'!$1:$1048576,2,FALSE),"Não Encontrado"))))))</f>
        <v>PREGO DIVERSAS BITOLAS (REFERÊNCIA 18 X 27)</v>
      </c>
      <c r="D165" s="124" t="str">
        <f>UPPER(IFERROR(VLOOKUP(B165,'SINAPI 04-26-SD'!$1:$1048576,3,FALSE),IFERROR(VLOOKUP(B165,'Ins. SINAPI 04-26-SD'!$1:$1048576,3,FALSE),IFERROR(VLOOKUP(B165,COTAÇÃO!$1:$1048576,7,FALSE),IFERROR(VLOOKUP(B165,'Ins. CDHU 201-SD'!$1:$1048576,3,FALSE),IFERROR(VLOOKUP(B165,'Ins. FDE 01-26-SD'!$1:$1048576,3,FALSE),"Não Encontrado"))))))</f>
        <v>KG</v>
      </c>
      <c r="E165" s="315">
        <v>0.02</v>
      </c>
      <c r="F165" s="125">
        <f>IFERROR(VLOOKUP(B165,'SINAPI 04-26-SD'!$1:$1048576,4,FALSE),IFERROR(VLOOKUP(B165,'Ins. SINAPI 04-26-SD'!$1:$1048576,5,FALSE),IFERROR(VLOOKUP(B165,COTAÇÃO!$1:$1048576,8,FALSE),IFERROR(VLOOKUP(B165,'Ins. CDHU 201-SD'!$1:$1048576,4,FALSE),IFERROR(VLOOKUP(B165,'Ins. FDE 01-26-SD'!$1:$1048576,4,FALSE),"Não Encontrado")))))</f>
        <v>9.9</v>
      </c>
      <c r="G165" s="126">
        <f t="shared" si="7"/>
        <v>0.2</v>
      </c>
      <c r="H165" s="647"/>
      <c r="I165" s="646"/>
      <c r="M165" s="649"/>
    </row>
    <row r="166" spans="1:13" s="548" customFormat="1" ht="14">
      <c r="A166" s="550"/>
      <c r="B166" s="551"/>
      <c r="C166" s="552" t="s">
        <v>41229</v>
      </c>
      <c r="D166" s="553"/>
      <c r="E166" s="554"/>
      <c r="F166" s="555"/>
      <c r="G166" s="556">
        <f>SUM(G159:G165)</f>
        <v>192.64</v>
      </c>
      <c r="H166" s="547"/>
      <c r="M166" s="638"/>
    </row>
    <row r="167" spans="1:13" s="122" customFormat="1" ht="12" customHeight="1">
      <c r="A167" s="829" t="s">
        <v>41230</v>
      </c>
      <c r="B167" s="830"/>
      <c r="C167" s="830"/>
      <c r="D167" s="830"/>
      <c r="E167" s="830"/>
      <c r="F167" s="830"/>
      <c r="G167" s="831"/>
      <c r="H167" s="382"/>
      <c r="M167" s="637"/>
    </row>
    <row r="168" spans="1:13" s="122" customFormat="1" ht="14">
      <c r="A168" s="316" t="s">
        <v>29901</v>
      </c>
      <c r="B168" s="549" t="s">
        <v>17</v>
      </c>
      <c r="C168" s="123" t="str">
        <f>UPPER(IFERROR(VLOOKUP(B168,'SINAPI 04-26-SD'!$1:$1048576,2,FALSE),IFERROR(VLOOKUP(B168,'Ins. SINAPI 04-26-SD'!$1:$1048576,2,FALSE),IFERROR(VLOOKUP(B168,COTAÇÃO!$1:$1048576,2,FALSE),IFERROR(VLOOKUP(B168,'Ins. CDHU 201-SD'!$1:$1048576,2,FALSE),"Não Encontrado")))))</f>
        <v>CARPINTEIRO</v>
      </c>
      <c r="D168" s="124" t="str">
        <f>UPPER(IFERROR(VLOOKUP(B168,'SINAPI 04-26-SD'!$1:$1048576,3,FALSE),IFERROR(VLOOKUP(B168,'Ins. SINAPI 04-26-SD'!$1:$1048576,3,FALSE),IFERROR(VLOOKUP(B168,COTAÇÃO!$1:$1048576,7,FALSE),IFERROR(VLOOKUP(B168,'Ins. CDHU 201-SD'!$1:$1048576,3,FALSE),"Não Encontrado")))))</f>
        <v>H</v>
      </c>
      <c r="E168" s="315">
        <v>0.22</v>
      </c>
      <c r="F168" s="125">
        <f>IFERROR(VLOOKUP(B168,'SINAPI 04-26-SD'!$1:$1048576,4,FALSE),IFERROR(VLOOKUP(B168,'Ins. SINAPI 04-26-SD'!$1:$1048576,5,FALSE),IFERROR(VLOOKUP(B168,COTAÇÃO!$1:$1048576,8,FALSE),IFERROR(VLOOKUP(B168,'Ins. CDHU 201-SD'!$1:$1048576,4,FALSE),"Não Encontrado"))))</f>
        <v>12.11</v>
      </c>
      <c r="G168" s="126">
        <f>+ROUND(E168*F168,2)</f>
        <v>2.66</v>
      </c>
      <c r="H168" s="382"/>
      <c r="I168" s="315"/>
      <c r="M168" s="637"/>
    </row>
    <row r="169" spans="1:13" s="122" customFormat="1" ht="14">
      <c r="A169" s="316" t="s">
        <v>29901</v>
      </c>
      <c r="B169" s="549" t="s">
        <v>19</v>
      </c>
      <c r="C169" s="123" t="str">
        <f>UPPER(IFERROR(VLOOKUP(B169,'SINAPI 04-26-SD'!$1:$1048576,2,FALSE),IFERROR(VLOOKUP(B169,'Ins. SINAPI 04-26-SD'!$1:$1048576,2,FALSE),IFERROR(VLOOKUP(B169,COTAÇÃO!$1:$1048576,2,FALSE),IFERROR(VLOOKUP(B169,'Ins. CDHU 201-SD'!$1:$1048576,2,FALSE),"Não Encontrado")))))</f>
        <v>AJUDANTE DE CARPINTEIRO</v>
      </c>
      <c r="D169" s="124" t="str">
        <f>UPPER(IFERROR(VLOOKUP(B169,'SINAPI 04-26-SD'!$1:$1048576,3,FALSE),IFERROR(VLOOKUP(B169,'Ins. SINAPI 04-26-SD'!$1:$1048576,3,FALSE),IFERROR(VLOOKUP(B169,COTAÇÃO!$1:$1048576,7,FALSE),IFERROR(VLOOKUP(B169,'Ins. CDHU 201-SD'!$1:$1048576,3,FALSE),"Não Encontrado")))))</f>
        <v>H</v>
      </c>
      <c r="E169" s="315">
        <v>0.22</v>
      </c>
      <c r="F169" s="125">
        <f>IFERROR(VLOOKUP(B169,'SINAPI 04-26-SD'!$1:$1048576,4,FALSE),IFERROR(VLOOKUP(B169,'Ins. SINAPI 04-26-SD'!$1:$1048576,5,FALSE),IFERROR(VLOOKUP(B169,COTAÇÃO!$1:$1048576,8,FALSE),IFERROR(VLOOKUP(B169,'Ins. CDHU 201-SD'!$1:$1048576,4,FALSE),"Não Encontrado"))))</f>
        <v>9.9499999999999993</v>
      </c>
      <c r="G169" s="126">
        <f>+ROUND(E169*F169,2)</f>
        <v>2.19</v>
      </c>
      <c r="H169" s="382"/>
      <c r="I169" s="315"/>
      <c r="M169" s="637"/>
    </row>
    <row r="170" spans="1:13" s="122" customFormat="1" ht="14">
      <c r="A170" s="316" t="s">
        <v>29901</v>
      </c>
      <c r="B170" s="549" t="s">
        <v>43</v>
      </c>
      <c r="C170" s="123" t="str">
        <f>UPPER(IFERROR(VLOOKUP(B170,'SINAPI 04-26-SD'!$1:$1048576,2,FALSE),IFERROR(VLOOKUP(B170,'Ins. SINAPI 04-26-SD'!$1:$1048576,2,FALSE),IFERROR(VLOOKUP(B170,COTAÇÃO!$1:$1048576,2,FALSE),IFERROR(VLOOKUP(B170,'Ins. CDHU 201-SD'!$1:$1048576,2,FALSE),"Não Encontrado")))))</f>
        <v>PEDREIRO</v>
      </c>
      <c r="D170" s="124" t="str">
        <f>UPPER(IFERROR(VLOOKUP(B170,'SINAPI 04-26-SD'!$1:$1048576,3,FALSE),IFERROR(VLOOKUP(B170,'Ins. SINAPI 04-26-SD'!$1:$1048576,3,FALSE),IFERROR(VLOOKUP(B170,COTAÇÃO!$1:$1048576,7,FALSE),IFERROR(VLOOKUP(B170,'Ins. CDHU 201-SD'!$1:$1048576,3,FALSE),"Não Encontrado")))))</f>
        <v>H</v>
      </c>
      <c r="E170" s="315">
        <v>0.45</v>
      </c>
      <c r="F170" s="125">
        <f>IFERROR(VLOOKUP(B170,'SINAPI 04-26-SD'!$1:$1048576,4,FALSE),IFERROR(VLOOKUP(B170,'Ins. SINAPI 04-26-SD'!$1:$1048576,5,FALSE),IFERROR(VLOOKUP(B170,COTAÇÃO!$1:$1048576,8,FALSE),IFERROR(VLOOKUP(B170,'Ins. CDHU 201-SD'!$1:$1048576,4,FALSE),"Não Encontrado"))))</f>
        <v>12.11</v>
      </c>
      <c r="G170" s="126">
        <f>+ROUND(E170*F170,2)</f>
        <v>5.45</v>
      </c>
      <c r="H170" s="382"/>
      <c r="I170" s="315"/>
      <c r="M170" s="637"/>
    </row>
    <row r="171" spans="1:13" s="122" customFormat="1" ht="14">
      <c r="A171" s="316" t="s">
        <v>29901</v>
      </c>
      <c r="B171" s="549" t="s">
        <v>57</v>
      </c>
      <c r="C171" s="123" t="str">
        <f>UPPER(IFERROR(VLOOKUP(B171,'SINAPI 04-26-SD'!$1:$1048576,2,FALSE),IFERROR(VLOOKUP(B171,'Ins. SINAPI 04-26-SD'!$1:$1048576,2,FALSE),IFERROR(VLOOKUP(B171,COTAÇÃO!$1:$1048576,2,FALSE),IFERROR(VLOOKUP(B171,'Ins. CDHU 201-SD'!$1:$1048576,2,FALSE),"Não Encontrado")))))</f>
        <v>SERVENTE</v>
      </c>
      <c r="D171" s="124" t="str">
        <f>UPPER(IFERROR(VLOOKUP(B171,'SINAPI 04-26-SD'!$1:$1048576,3,FALSE),IFERROR(VLOOKUP(B171,'Ins. SINAPI 04-26-SD'!$1:$1048576,3,FALSE),IFERROR(VLOOKUP(B171,COTAÇÃO!$1:$1048576,7,FALSE),IFERROR(VLOOKUP(B171,'Ins. CDHU 201-SD'!$1:$1048576,3,FALSE),"Não Encontrado")))))</f>
        <v>H</v>
      </c>
      <c r="E171" s="315">
        <v>0.9</v>
      </c>
      <c r="F171" s="125">
        <f>IFERROR(VLOOKUP(B171,'SINAPI 04-26-SD'!$1:$1048576,4,FALSE),IFERROR(VLOOKUP(B171,'Ins. SINAPI 04-26-SD'!$1:$1048576,5,FALSE),IFERROR(VLOOKUP(B171,COTAÇÃO!$1:$1048576,8,FALSE),IFERROR(VLOOKUP(B171,'Ins. CDHU 201-SD'!$1:$1048576,4,FALSE),"Não Encontrado"))))</f>
        <v>9.9499999999999993</v>
      </c>
      <c r="G171" s="126">
        <f>+ROUND(E171*F171,2)</f>
        <v>8.9600000000000009</v>
      </c>
      <c r="H171" s="382"/>
      <c r="I171" s="315"/>
      <c r="M171" s="637"/>
    </row>
    <row r="172" spans="1:13" s="122" customFormat="1" ht="14">
      <c r="A172" s="316"/>
      <c r="B172" s="549"/>
      <c r="C172" s="123" t="s">
        <v>41258</v>
      </c>
      <c r="D172" s="124"/>
      <c r="E172" s="315"/>
      <c r="F172" s="125"/>
      <c r="G172" s="126">
        <f>+SUBTOTAL(9,G167:G171)</f>
        <v>19.260000000000002</v>
      </c>
      <c r="H172" s="382"/>
      <c r="M172" s="637"/>
    </row>
    <row r="173" spans="1:13" s="122" customFormat="1" ht="14">
      <c r="A173" s="316"/>
      <c r="B173" s="549"/>
      <c r="C173" s="123" t="s">
        <v>41259</v>
      </c>
      <c r="D173" s="124"/>
      <c r="E173" s="315">
        <f>$J$2</f>
        <v>128.22999999999999</v>
      </c>
      <c r="F173" s="125"/>
      <c r="G173" s="126">
        <f>+ROUND(G172*E173/100,2)</f>
        <v>24.7</v>
      </c>
      <c r="H173" s="382"/>
      <c r="M173" s="637"/>
    </row>
    <row r="174" spans="1:13" s="548" customFormat="1" ht="14">
      <c r="A174" s="550"/>
      <c r="B174" s="551"/>
      <c r="C174" s="552" t="s">
        <v>41231</v>
      </c>
      <c r="D174" s="553"/>
      <c r="E174" s="554"/>
      <c r="F174" s="555"/>
      <c r="G174" s="556">
        <f>SUM(G172:G173)</f>
        <v>43.96</v>
      </c>
      <c r="H174" s="547"/>
      <c r="M174" s="638"/>
    </row>
    <row r="175" spans="1:13" s="122" customFormat="1">
      <c r="A175" s="127"/>
      <c r="B175" s="406"/>
      <c r="C175" s="406" t="s">
        <v>27907</v>
      </c>
      <c r="D175" s="406"/>
      <c r="E175" s="406"/>
      <c r="F175" s="407"/>
      <c r="G175" s="408">
        <f>SUM(G174,G166)</f>
        <v>236.6</v>
      </c>
      <c r="H175" s="382"/>
      <c r="M175" s="637"/>
    </row>
    <row r="176" spans="1:13" s="122" customFormat="1" ht="39" customHeight="1">
      <c r="A176" s="832" t="s">
        <v>27908</v>
      </c>
      <c r="B176" s="833"/>
      <c r="C176" s="841" t="s">
        <v>44538</v>
      </c>
      <c r="D176" s="841"/>
      <c r="E176" s="841"/>
      <c r="F176" s="841"/>
      <c r="G176" s="842"/>
      <c r="H176" s="382"/>
      <c r="M176" s="637"/>
    </row>
    <row r="177" spans="1:21" ht="13.5" customHeight="1" thickBot="1">
      <c r="A177" s="120"/>
      <c r="B177" s="121"/>
      <c r="C177" s="121"/>
      <c r="D177" s="121"/>
      <c r="E177" s="121"/>
      <c r="F177" s="121"/>
      <c r="G177" s="206"/>
      <c r="H177" s="119" t="s">
        <v>6009</v>
      </c>
      <c r="I177" s="119" t="s">
        <v>27901</v>
      </c>
      <c r="J177" s="228" t="s">
        <v>27889</v>
      </c>
      <c r="M177" s="637"/>
    </row>
    <row r="178" spans="1:21" s="374" customFormat="1" ht="27.75" customHeight="1" thickBot="1">
      <c r="A178" s="543" t="s">
        <v>44539</v>
      </c>
      <c r="B178" s="544"/>
      <c r="C178" s="838" t="str">
        <f>UPPER("Laje pré-fabricada mista vigota protendida/lajota cerâmica - LP 25 (20+5) e capa com concreto de 30 MPa")</f>
        <v>LAJE PRÉ-FABRICADA MISTA VIGOTA PROTENDIDA/LAJOTA CERÂMICA - LP 25 (20+5) E CAPA COM CONCRETO DE 30 MPA</v>
      </c>
      <c r="D178" s="839"/>
      <c r="E178" s="839"/>
      <c r="F178" s="840"/>
      <c r="G178" s="545" t="s">
        <v>509</v>
      </c>
      <c r="H178" s="383">
        <f>G195</f>
        <v>52.29</v>
      </c>
      <c r="I178" s="383">
        <f>G187</f>
        <v>206.45999999999998</v>
      </c>
      <c r="J178" s="383">
        <f>G196</f>
        <v>258.75</v>
      </c>
      <c r="K178" s="122"/>
      <c r="L178" s="122"/>
      <c r="M178" s="637" t="str">
        <f>VLOOKUP(A178,'Plan Orçamentária'!$Q:$Y,1,FALSE)</f>
        <v>D&amp;C 51</v>
      </c>
      <c r="N178" s="122"/>
      <c r="O178" s="122"/>
      <c r="P178" s="122"/>
      <c r="Q178" s="122"/>
      <c r="R178" s="122"/>
      <c r="S178" s="122"/>
      <c r="T178" s="122"/>
      <c r="U178" s="122"/>
    </row>
    <row r="179" spans="1:21" s="122" customFormat="1" ht="12" customHeight="1">
      <c r="A179" s="419" t="s">
        <v>27902</v>
      </c>
      <c r="B179" s="420" t="s">
        <v>27903</v>
      </c>
      <c r="C179" s="546" t="s">
        <v>5</v>
      </c>
      <c r="D179" s="421" t="s">
        <v>27886</v>
      </c>
      <c r="E179" s="422" t="s">
        <v>27904</v>
      </c>
      <c r="F179" s="422" t="s">
        <v>27905</v>
      </c>
      <c r="G179" s="423" t="s">
        <v>27906</v>
      </c>
      <c r="H179" s="382"/>
      <c r="M179" s="637"/>
    </row>
    <row r="180" spans="1:21" s="122" customFormat="1" ht="12" customHeight="1">
      <c r="A180" s="829" t="s">
        <v>41228</v>
      </c>
      <c r="B180" s="830"/>
      <c r="C180" s="830"/>
      <c r="D180" s="830"/>
      <c r="E180" s="830"/>
      <c r="F180" s="830"/>
      <c r="G180" s="831"/>
      <c r="H180" s="382"/>
      <c r="M180" s="637"/>
    </row>
    <row r="181" spans="1:21" s="648" customFormat="1" ht="14">
      <c r="A181" s="316" t="s">
        <v>29901</v>
      </c>
      <c r="B181" s="549" t="s">
        <v>618</v>
      </c>
      <c r="C181" s="123" t="str">
        <f>UPPER(IFERROR(VLOOKUP(B181,'SINAPI 04-26-SD'!$1:$1048576,2,FALSE),IFERROR(VLOOKUP(B181,'Ins. SINAPI 04-26-SD'!$1:$1048576,2,FALSE),IFERROR(VLOOKUP(B181,COTAÇÃO!$1:$1048576,2,FALSE),IFERROR(VLOOKUP(B181,'Ins. CDHU 201-SD'!$1:$1048576,2,FALSE),IFERROR(VLOOKUP(B181,'Ins. FDE 01-26-SD'!$1:$1048576,2,FALSE),"Não Encontrado"))))))</f>
        <v>CONCRETO USINADO FCK= 25 MPA, SLUMP 5 ± 1CM</v>
      </c>
      <c r="D181" s="124" t="str">
        <f>UPPER(IFERROR(VLOOKUP(B181,'SINAPI 04-26-SD'!$1:$1048576,3,FALSE),IFERROR(VLOOKUP(B181,'Ins. SINAPI 04-26-SD'!$1:$1048576,3,FALSE),IFERROR(VLOOKUP(B181,COTAÇÃO!$1:$1048576,7,FALSE),IFERROR(VLOOKUP(B181,'Ins. CDHU 201-SD'!$1:$1048576,3,FALSE),IFERROR(VLOOKUP(B181,'Ins. FDE 01-26-SD'!$1:$1048576,3,FALSE),"Não Encontrado"))))))</f>
        <v>M3</v>
      </c>
      <c r="E181" s="315">
        <v>5.5E-2</v>
      </c>
      <c r="F181" s="125">
        <f>IFERROR(VLOOKUP(B181,'SINAPI 04-26-SD'!$1:$1048576,4,FALSE),IFERROR(VLOOKUP(B181,'Ins. SINAPI 04-26-SD'!$1:$1048576,5,FALSE),IFERROR(VLOOKUP(B181,COTAÇÃO!$1:$1048576,8,FALSE),IFERROR(VLOOKUP(B181,'Ins. CDHU 201-SD'!$1:$1048576,4,FALSE),IFERROR(VLOOKUP(B181,'Ins. FDE 01-26-SD'!$1:$1048576,4,FALSE),"Não Encontrado")))))</f>
        <v>492.34</v>
      </c>
      <c r="G181" s="126">
        <f t="shared" ref="G181:G186" si="8">+ROUND(E181*F181,2)</f>
        <v>27.08</v>
      </c>
      <c r="H181" s="647"/>
      <c r="I181" s="646"/>
      <c r="M181" s="649"/>
    </row>
    <row r="182" spans="1:21" s="648" customFormat="1" ht="14">
      <c r="A182" s="316" t="s">
        <v>29901</v>
      </c>
      <c r="B182" s="549" t="s">
        <v>752</v>
      </c>
      <c r="C182" s="123" t="str">
        <f>UPPER(IFERROR(VLOOKUP(B182,'SINAPI 04-26-SD'!$1:$1048576,2,FALSE),IFERROR(VLOOKUP(B182,'Ins. SINAPI 04-26-SD'!$1:$1048576,2,FALSE),IFERROR(VLOOKUP(B182,COTAÇÃO!$1:$1048576,2,FALSE),IFERROR(VLOOKUP(B182,'Ins. CDHU 201-SD'!$1:$1048576,2,FALSE),IFERROR(VLOOKUP(B182,'Ins. FDE 01-26-SD'!$1:$1048576,2,FALSE),"Não Encontrado"))))))</f>
        <v>PONTALETE DE CEDRINHO DE 75 MM X 75 MM - 3ª CONSTRUÇÃO</v>
      </c>
      <c r="D182" s="124" t="str">
        <f>UPPER(IFERROR(VLOOKUP(B182,'SINAPI 04-26-SD'!$1:$1048576,3,FALSE),IFERROR(VLOOKUP(B182,'Ins. SINAPI 04-26-SD'!$1:$1048576,3,FALSE),IFERROR(VLOOKUP(B182,COTAÇÃO!$1:$1048576,7,FALSE),IFERROR(VLOOKUP(B182,'Ins. CDHU 201-SD'!$1:$1048576,3,FALSE),IFERROR(VLOOKUP(B182,'Ins. FDE 01-26-SD'!$1:$1048576,3,FALSE),"Não Encontrado"))))))</f>
        <v>M</v>
      </c>
      <c r="E182" s="315">
        <v>1.1100000000000001</v>
      </c>
      <c r="F182" s="125">
        <f>IFERROR(VLOOKUP(B182,'SINAPI 04-26-SD'!$1:$1048576,4,FALSE),IFERROR(VLOOKUP(B182,'Ins. SINAPI 04-26-SD'!$1:$1048576,5,FALSE),IFERROR(VLOOKUP(B182,COTAÇÃO!$1:$1048576,8,FALSE),IFERROR(VLOOKUP(B182,'Ins. CDHU 201-SD'!$1:$1048576,4,FALSE),IFERROR(VLOOKUP(B182,'Ins. FDE 01-26-SD'!$1:$1048576,4,FALSE),"Não Encontrado")))))</f>
        <v>22.76</v>
      </c>
      <c r="G182" s="126">
        <f t="shared" si="8"/>
        <v>25.26</v>
      </c>
      <c r="H182" s="647"/>
      <c r="I182" s="646"/>
      <c r="M182" s="649"/>
    </row>
    <row r="183" spans="1:21" s="648" customFormat="1" ht="14">
      <c r="A183" s="316" t="s">
        <v>29901</v>
      </c>
      <c r="B183" s="549" t="s">
        <v>756</v>
      </c>
      <c r="C183" s="123" t="str">
        <f>UPPER(IFERROR(VLOOKUP(B183,'SINAPI 04-26-SD'!$1:$1048576,2,FALSE),IFERROR(VLOOKUP(B183,'Ins. SINAPI 04-26-SD'!$1:$1048576,2,FALSE),IFERROR(VLOOKUP(B183,COTAÇÃO!$1:$1048576,2,FALSE),IFERROR(VLOOKUP(B183,'Ins. CDHU 201-SD'!$1:$1048576,2,FALSE),IFERROR(VLOOKUP(B183,'Ins. FDE 01-26-SD'!$1:$1048576,2,FALSE),"Não Encontrado"))))))</f>
        <v>SARRAFO DE CEDRINHO 2,5 X 10 CM</v>
      </c>
      <c r="D183" s="124" t="str">
        <f>UPPER(IFERROR(VLOOKUP(B183,'SINAPI 04-26-SD'!$1:$1048576,3,FALSE),IFERROR(VLOOKUP(B183,'Ins. SINAPI 04-26-SD'!$1:$1048576,3,FALSE),IFERROR(VLOOKUP(B183,COTAÇÃO!$1:$1048576,7,FALSE),IFERROR(VLOOKUP(B183,'Ins. CDHU 201-SD'!$1:$1048576,3,FALSE),IFERROR(VLOOKUP(B183,'Ins. FDE 01-26-SD'!$1:$1048576,3,FALSE),"Não Encontrado"))))))</f>
        <v>M</v>
      </c>
      <c r="E183" s="315">
        <v>0.77</v>
      </c>
      <c r="F183" s="125">
        <f>IFERROR(VLOOKUP(B183,'SINAPI 04-26-SD'!$1:$1048576,4,FALSE),IFERROR(VLOOKUP(B183,'Ins. SINAPI 04-26-SD'!$1:$1048576,5,FALSE),IFERROR(VLOOKUP(B183,COTAÇÃO!$1:$1048576,8,FALSE),IFERROR(VLOOKUP(B183,'Ins. CDHU 201-SD'!$1:$1048576,4,FALSE),IFERROR(VLOOKUP(B183,'Ins. FDE 01-26-SD'!$1:$1048576,4,FALSE),"Não Encontrado")))))</f>
        <v>7.82</v>
      </c>
      <c r="G183" s="126">
        <f t="shared" si="8"/>
        <v>6.02</v>
      </c>
      <c r="H183" s="647"/>
      <c r="I183" s="646"/>
      <c r="M183" s="649"/>
    </row>
    <row r="184" spans="1:21" s="648" customFormat="1" ht="14">
      <c r="A184" s="316" t="s">
        <v>29901</v>
      </c>
      <c r="B184" s="549" t="s">
        <v>760</v>
      </c>
      <c r="C184" s="123" t="str">
        <f>UPPER(IFERROR(VLOOKUP(B184,'SINAPI 04-26-SD'!$1:$1048576,2,FALSE),IFERROR(VLOOKUP(B184,'Ins. SINAPI 04-26-SD'!$1:$1048576,2,FALSE),IFERROR(VLOOKUP(B184,COTAÇÃO!$1:$1048576,2,FALSE),IFERROR(VLOOKUP(B184,'Ins. CDHU 201-SD'!$1:$1048576,2,FALSE),IFERROR(VLOOKUP(B184,'Ins. FDE 01-26-SD'!$1:$1048576,2,FALSE),"Não Encontrado"))))))</f>
        <v>TÁBUA CEDRINHO 25 MM X 300 MM DE 3ª</v>
      </c>
      <c r="D184" s="124" t="str">
        <f>UPPER(IFERROR(VLOOKUP(B184,'SINAPI 04-26-SD'!$1:$1048576,3,FALSE),IFERROR(VLOOKUP(B184,'Ins. SINAPI 04-26-SD'!$1:$1048576,3,FALSE),IFERROR(VLOOKUP(B184,COTAÇÃO!$1:$1048576,7,FALSE),IFERROR(VLOOKUP(B184,'Ins. CDHU 201-SD'!$1:$1048576,3,FALSE),IFERROR(VLOOKUP(B184,'Ins. FDE 01-26-SD'!$1:$1048576,3,FALSE),"Não Encontrado"))))))</f>
        <v>M2</v>
      </c>
      <c r="E184" s="315">
        <v>0.2</v>
      </c>
      <c r="F184" s="125">
        <f>IFERROR(VLOOKUP(B184,'SINAPI 04-26-SD'!$1:$1048576,4,FALSE),IFERROR(VLOOKUP(B184,'Ins. SINAPI 04-26-SD'!$1:$1048576,5,FALSE),IFERROR(VLOOKUP(B184,COTAÇÃO!$1:$1048576,8,FALSE),IFERROR(VLOOKUP(B184,'Ins. CDHU 201-SD'!$1:$1048576,4,FALSE),IFERROR(VLOOKUP(B184,'Ins. FDE 01-26-SD'!$1:$1048576,4,FALSE),"Não Encontrado")))))</f>
        <v>110.72</v>
      </c>
      <c r="G184" s="126">
        <f t="shared" si="8"/>
        <v>22.14</v>
      </c>
      <c r="H184" s="647"/>
      <c r="I184" s="646"/>
      <c r="M184" s="649"/>
    </row>
    <row r="185" spans="1:21" s="648" customFormat="1" ht="28">
      <c r="A185" s="316" t="s">
        <v>29901</v>
      </c>
      <c r="B185" s="549" t="s">
        <v>663</v>
      </c>
      <c r="C185" s="123" t="str">
        <f>UPPER(IFERROR(VLOOKUP(B185,'SINAPI 04-26-SD'!$1:$1048576,2,FALSE),IFERROR(VLOOKUP(B185,'Ins. SINAPI 04-26-SD'!$1:$1048576,2,FALSE),IFERROR(VLOOKUP(B185,COTAÇÃO!$1:$1048576,2,FALSE),IFERROR(VLOOKUP(B185,'Ins. CDHU 201-SD'!$1:$1048576,2,FALSE),IFERROR(VLOOKUP(B185,'Ins. FDE 01-26-SD'!$1:$1048576,2,FALSE),"Não Encontrado"))))))</f>
        <v>LAJE PRÉ-FABRICADA MISTA VIGOTA PROTENDIDA/LAJOTA CERÂMICA - LP 25 (20+5); SOBRECARGA 200KGF/M²</v>
      </c>
      <c r="D185" s="124" t="str">
        <f>UPPER(IFERROR(VLOOKUP(B185,'SINAPI 04-26-SD'!$1:$1048576,3,FALSE),IFERROR(VLOOKUP(B185,'Ins. SINAPI 04-26-SD'!$1:$1048576,3,FALSE),IFERROR(VLOOKUP(B185,COTAÇÃO!$1:$1048576,7,FALSE),IFERROR(VLOOKUP(B185,'Ins. CDHU 201-SD'!$1:$1048576,3,FALSE),IFERROR(VLOOKUP(B185,'Ins. FDE 01-26-SD'!$1:$1048576,3,FALSE),"Não Encontrado"))))))</f>
        <v>M2</v>
      </c>
      <c r="E185" s="315">
        <v>1</v>
      </c>
      <c r="F185" s="125">
        <f>IFERROR(VLOOKUP(B185,'SINAPI 04-26-SD'!$1:$1048576,4,FALSE),IFERROR(VLOOKUP(B185,'Ins. SINAPI 04-26-SD'!$1:$1048576,5,FALSE),IFERROR(VLOOKUP(B185,COTAÇÃO!$1:$1048576,8,FALSE),IFERROR(VLOOKUP(B185,'Ins. CDHU 201-SD'!$1:$1048576,4,FALSE),IFERROR(VLOOKUP(B185,'Ins. FDE 01-26-SD'!$1:$1048576,4,FALSE),"Não Encontrado")))))</f>
        <v>125.76</v>
      </c>
      <c r="G185" s="126">
        <f t="shared" si="8"/>
        <v>125.76</v>
      </c>
      <c r="H185" s="647"/>
      <c r="I185" s="646"/>
      <c r="M185" s="649"/>
    </row>
    <row r="186" spans="1:21" s="648" customFormat="1" ht="14">
      <c r="A186" s="316" t="s">
        <v>29901</v>
      </c>
      <c r="B186" s="549" t="s">
        <v>884</v>
      </c>
      <c r="C186" s="123" t="str">
        <f>UPPER(IFERROR(VLOOKUP(B186,'SINAPI 04-26-SD'!$1:$1048576,2,FALSE),IFERROR(VLOOKUP(B186,'Ins. SINAPI 04-26-SD'!$1:$1048576,2,FALSE),IFERROR(VLOOKUP(B186,COTAÇÃO!$1:$1048576,2,FALSE),IFERROR(VLOOKUP(B186,'Ins. CDHU 201-SD'!$1:$1048576,2,FALSE),IFERROR(VLOOKUP(B186,'Ins. FDE 01-26-SD'!$1:$1048576,2,FALSE),"Não Encontrado"))))))</f>
        <v>PREGO DIVERSAS BITOLAS (REFERÊNCIA 18 X 27)</v>
      </c>
      <c r="D186" s="124" t="str">
        <f>UPPER(IFERROR(VLOOKUP(B186,'SINAPI 04-26-SD'!$1:$1048576,3,FALSE),IFERROR(VLOOKUP(B186,'Ins. SINAPI 04-26-SD'!$1:$1048576,3,FALSE),IFERROR(VLOOKUP(B186,COTAÇÃO!$1:$1048576,7,FALSE),IFERROR(VLOOKUP(B186,'Ins. CDHU 201-SD'!$1:$1048576,3,FALSE),IFERROR(VLOOKUP(B186,'Ins. FDE 01-26-SD'!$1:$1048576,3,FALSE),"Não Encontrado"))))))</f>
        <v>KG</v>
      </c>
      <c r="E186" s="315">
        <v>0.02</v>
      </c>
      <c r="F186" s="125">
        <f>IFERROR(VLOOKUP(B186,'SINAPI 04-26-SD'!$1:$1048576,4,FALSE),IFERROR(VLOOKUP(B186,'Ins. SINAPI 04-26-SD'!$1:$1048576,5,FALSE),IFERROR(VLOOKUP(B186,COTAÇÃO!$1:$1048576,8,FALSE),IFERROR(VLOOKUP(B186,'Ins. CDHU 201-SD'!$1:$1048576,4,FALSE),IFERROR(VLOOKUP(B186,'Ins. FDE 01-26-SD'!$1:$1048576,4,FALSE),"Não Encontrado")))))</f>
        <v>9.9</v>
      </c>
      <c r="G186" s="126">
        <f t="shared" si="8"/>
        <v>0.2</v>
      </c>
      <c r="H186" s="647"/>
      <c r="I186" s="646"/>
      <c r="M186" s="649"/>
    </row>
    <row r="187" spans="1:21" s="548" customFormat="1" ht="14">
      <c r="A187" s="550"/>
      <c r="B187" s="551"/>
      <c r="C187" s="552" t="s">
        <v>41229</v>
      </c>
      <c r="D187" s="553"/>
      <c r="E187" s="554"/>
      <c r="F187" s="555"/>
      <c r="G187" s="556">
        <f>SUM(G180:G186)</f>
        <v>206.45999999999998</v>
      </c>
      <c r="H187" s="547"/>
      <c r="M187" s="638"/>
    </row>
    <row r="188" spans="1:21" s="122" customFormat="1" ht="12" customHeight="1">
      <c r="A188" s="829" t="s">
        <v>41230</v>
      </c>
      <c r="B188" s="830"/>
      <c r="C188" s="830"/>
      <c r="D188" s="830"/>
      <c r="E188" s="830"/>
      <c r="F188" s="830"/>
      <c r="G188" s="831"/>
      <c r="H188" s="382"/>
      <c r="M188" s="637"/>
    </row>
    <row r="189" spans="1:21" s="122" customFormat="1" ht="14">
      <c r="A189" s="316" t="s">
        <v>29901</v>
      </c>
      <c r="B189" s="549" t="s">
        <v>17</v>
      </c>
      <c r="C189" s="123" t="str">
        <f>UPPER(IFERROR(VLOOKUP(B189,'SINAPI 04-26-SD'!$1:$1048576,2,FALSE),IFERROR(VLOOKUP(B189,'Ins. SINAPI 04-26-SD'!$1:$1048576,2,FALSE),IFERROR(VLOOKUP(B189,COTAÇÃO!$1:$1048576,2,FALSE),IFERROR(VLOOKUP(B189,'Ins. CDHU 201-SD'!$1:$1048576,2,FALSE),"Não Encontrado")))))</f>
        <v>CARPINTEIRO</v>
      </c>
      <c r="D189" s="124" t="str">
        <f>UPPER(IFERROR(VLOOKUP(B189,'SINAPI 04-26-SD'!$1:$1048576,3,FALSE),IFERROR(VLOOKUP(B189,'Ins. SINAPI 04-26-SD'!$1:$1048576,3,FALSE),IFERROR(VLOOKUP(B189,COTAÇÃO!$1:$1048576,7,FALSE),IFERROR(VLOOKUP(B189,'Ins. CDHU 201-SD'!$1:$1048576,3,FALSE),"Não Encontrado")))))</f>
        <v>H</v>
      </c>
      <c r="E189" s="315">
        <v>0.24</v>
      </c>
      <c r="F189" s="125">
        <f>IFERROR(VLOOKUP(B189,'SINAPI 04-26-SD'!$1:$1048576,4,FALSE),IFERROR(VLOOKUP(B189,'Ins. SINAPI 04-26-SD'!$1:$1048576,5,FALSE),IFERROR(VLOOKUP(B189,COTAÇÃO!$1:$1048576,8,FALSE),IFERROR(VLOOKUP(B189,'Ins. CDHU 201-SD'!$1:$1048576,4,FALSE),"Não Encontrado"))))</f>
        <v>12.11</v>
      </c>
      <c r="G189" s="126">
        <f>+ROUND(E189*F189,2)</f>
        <v>2.91</v>
      </c>
      <c r="H189" s="382"/>
      <c r="I189" s="315"/>
      <c r="M189" s="637"/>
    </row>
    <row r="190" spans="1:21" s="122" customFormat="1" ht="14">
      <c r="A190" s="316" t="s">
        <v>29901</v>
      </c>
      <c r="B190" s="549" t="s">
        <v>19</v>
      </c>
      <c r="C190" s="123" t="str">
        <f>UPPER(IFERROR(VLOOKUP(B190,'SINAPI 04-26-SD'!$1:$1048576,2,FALSE),IFERROR(VLOOKUP(B190,'Ins. SINAPI 04-26-SD'!$1:$1048576,2,FALSE),IFERROR(VLOOKUP(B190,COTAÇÃO!$1:$1048576,2,FALSE),IFERROR(VLOOKUP(B190,'Ins. CDHU 201-SD'!$1:$1048576,2,FALSE),"Não Encontrado")))))</f>
        <v>AJUDANTE DE CARPINTEIRO</v>
      </c>
      <c r="D190" s="124" t="str">
        <f>UPPER(IFERROR(VLOOKUP(B190,'SINAPI 04-26-SD'!$1:$1048576,3,FALSE),IFERROR(VLOOKUP(B190,'Ins. SINAPI 04-26-SD'!$1:$1048576,3,FALSE),IFERROR(VLOOKUP(B190,COTAÇÃO!$1:$1048576,7,FALSE),IFERROR(VLOOKUP(B190,'Ins. CDHU 201-SD'!$1:$1048576,3,FALSE),"Não Encontrado")))))</f>
        <v>H</v>
      </c>
      <c r="E190" s="315">
        <v>0.24</v>
      </c>
      <c r="F190" s="125">
        <f>IFERROR(VLOOKUP(B190,'SINAPI 04-26-SD'!$1:$1048576,4,FALSE),IFERROR(VLOOKUP(B190,'Ins. SINAPI 04-26-SD'!$1:$1048576,5,FALSE),IFERROR(VLOOKUP(B190,COTAÇÃO!$1:$1048576,8,FALSE),IFERROR(VLOOKUP(B190,'Ins. CDHU 201-SD'!$1:$1048576,4,FALSE),"Não Encontrado"))))</f>
        <v>9.9499999999999993</v>
      </c>
      <c r="G190" s="126">
        <f>+ROUND(E190*F190,2)</f>
        <v>2.39</v>
      </c>
      <c r="H190" s="382"/>
      <c r="I190" s="315"/>
      <c r="M190" s="637"/>
    </row>
    <row r="191" spans="1:21" s="122" customFormat="1" ht="14">
      <c r="A191" s="316" t="s">
        <v>29901</v>
      </c>
      <c r="B191" s="549" t="s">
        <v>43</v>
      </c>
      <c r="C191" s="123" t="str">
        <f>UPPER(IFERROR(VLOOKUP(B191,'SINAPI 04-26-SD'!$1:$1048576,2,FALSE),IFERROR(VLOOKUP(B191,'Ins. SINAPI 04-26-SD'!$1:$1048576,2,FALSE),IFERROR(VLOOKUP(B191,COTAÇÃO!$1:$1048576,2,FALSE),IFERROR(VLOOKUP(B191,'Ins. CDHU 201-SD'!$1:$1048576,2,FALSE),"Não Encontrado")))))</f>
        <v>PEDREIRO</v>
      </c>
      <c r="D191" s="124" t="str">
        <f>UPPER(IFERROR(VLOOKUP(B191,'SINAPI 04-26-SD'!$1:$1048576,3,FALSE),IFERROR(VLOOKUP(B191,'Ins. SINAPI 04-26-SD'!$1:$1048576,3,FALSE),IFERROR(VLOOKUP(B191,COTAÇÃO!$1:$1048576,7,FALSE),IFERROR(VLOOKUP(B191,'Ins. CDHU 201-SD'!$1:$1048576,3,FALSE),"Não Encontrado")))))</f>
        <v>H</v>
      </c>
      <c r="E191" s="315">
        <v>0.55000000000000004</v>
      </c>
      <c r="F191" s="125">
        <f>IFERROR(VLOOKUP(B191,'SINAPI 04-26-SD'!$1:$1048576,4,FALSE),IFERROR(VLOOKUP(B191,'Ins. SINAPI 04-26-SD'!$1:$1048576,5,FALSE),IFERROR(VLOOKUP(B191,COTAÇÃO!$1:$1048576,8,FALSE),IFERROR(VLOOKUP(B191,'Ins. CDHU 201-SD'!$1:$1048576,4,FALSE),"Não Encontrado"))))</f>
        <v>12.11</v>
      </c>
      <c r="G191" s="126">
        <f>+ROUND(E191*F191,2)</f>
        <v>6.66</v>
      </c>
      <c r="H191" s="382"/>
      <c r="I191" s="315"/>
      <c r="M191" s="637"/>
    </row>
    <row r="192" spans="1:21" s="122" customFormat="1" ht="14">
      <c r="A192" s="316" t="s">
        <v>29901</v>
      </c>
      <c r="B192" s="549" t="s">
        <v>57</v>
      </c>
      <c r="C192" s="123" t="str">
        <f>UPPER(IFERROR(VLOOKUP(B192,'SINAPI 04-26-SD'!$1:$1048576,2,FALSE),IFERROR(VLOOKUP(B192,'Ins. SINAPI 04-26-SD'!$1:$1048576,2,FALSE),IFERROR(VLOOKUP(B192,COTAÇÃO!$1:$1048576,2,FALSE),IFERROR(VLOOKUP(B192,'Ins. CDHU 201-SD'!$1:$1048576,2,FALSE),"Não Encontrado")))))</f>
        <v>SERVENTE</v>
      </c>
      <c r="D192" s="124" t="str">
        <f>UPPER(IFERROR(VLOOKUP(B192,'SINAPI 04-26-SD'!$1:$1048576,3,FALSE),IFERROR(VLOOKUP(B192,'Ins. SINAPI 04-26-SD'!$1:$1048576,3,FALSE),IFERROR(VLOOKUP(B192,COTAÇÃO!$1:$1048576,7,FALSE),IFERROR(VLOOKUP(B192,'Ins. CDHU 201-SD'!$1:$1048576,3,FALSE),"Não Encontrado")))))</f>
        <v>H</v>
      </c>
      <c r="E192" s="315">
        <v>1.1000000000000001</v>
      </c>
      <c r="F192" s="125">
        <f>IFERROR(VLOOKUP(B192,'SINAPI 04-26-SD'!$1:$1048576,4,FALSE),IFERROR(VLOOKUP(B192,'Ins. SINAPI 04-26-SD'!$1:$1048576,5,FALSE),IFERROR(VLOOKUP(B192,COTAÇÃO!$1:$1048576,8,FALSE),IFERROR(VLOOKUP(B192,'Ins. CDHU 201-SD'!$1:$1048576,4,FALSE),"Não Encontrado"))))</f>
        <v>9.9499999999999993</v>
      </c>
      <c r="G192" s="126">
        <f>+ROUND(E192*F192,2)</f>
        <v>10.95</v>
      </c>
      <c r="H192" s="382"/>
      <c r="I192" s="315"/>
      <c r="M192" s="637"/>
    </row>
    <row r="193" spans="1:13" s="122" customFormat="1" ht="14">
      <c r="A193" s="316"/>
      <c r="B193" s="549"/>
      <c r="C193" s="123" t="s">
        <v>41258</v>
      </c>
      <c r="D193" s="124"/>
      <c r="E193" s="315"/>
      <c r="F193" s="125"/>
      <c r="G193" s="126">
        <f>+SUBTOTAL(9,G188:G192)</f>
        <v>22.91</v>
      </c>
      <c r="H193" s="382"/>
      <c r="M193" s="637"/>
    </row>
    <row r="194" spans="1:13" s="122" customFormat="1" ht="14">
      <c r="A194" s="316"/>
      <c r="B194" s="549"/>
      <c r="C194" s="123" t="s">
        <v>41259</v>
      </c>
      <c r="D194" s="124"/>
      <c r="E194" s="315">
        <f>$J$2</f>
        <v>128.22999999999999</v>
      </c>
      <c r="F194" s="125"/>
      <c r="G194" s="126">
        <f>+ROUND(G193*E194/100,2)</f>
        <v>29.38</v>
      </c>
      <c r="H194" s="382"/>
      <c r="M194" s="637"/>
    </row>
    <row r="195" spans="1:13" s="548" customFormat="1" ht="14">
      <c r="A195" s="550"/>
      <c r="B195" s="551"/>
      <c r="C195" s="552" t="s">
        <v>41231</v>
      </c>
      <c r="D195" s="553"/>
      <c r="E195" s="554"/>
      <c r="F195" s="555"/>
      <c r="G195" s="556">
        <f>SUM(G193:G194)</f>
        <v>52.29</v>
      </c>
      <c r="H195" s="547"/>
      <c r="M195" s="638"/>
    </row>
    <row r="196" spans="1:13" s="122" customFormat="1">
      <c r="A196" s="127"/>
      <c r="B196" s="406"/>
      <c r="C196" s="406" t="s">
        <v>27907</v>
      </c>
      <c r="D196" s="406"/>
      <c r="E196" s="406"/>
      <c r="F196" s="407"/>
      <c r="G196" s="408">
        <f>SUM(G195,G187)</f>
        <v>258.75</v>
      </c>
      <c r="H196" s="382"/>
      <c r="M196" s="637"/>
    </row>
    <row r="197" spans="1:13" s="122" customFormat="1" ht="39" customHeight="1">
      <c r="A197" s="832" t="s">
        <v>27908</v>
      </c>
      <c r="B197" s="833"/>
      <c r="C197" s="841" t="s">
        <v>44540</v>
      </c>
      <c r="D197" s="841"/>
      <c r="E197" s="841"/>
      <c r="F197" s="841"/>
      <c r="G197" s="842"/>
      <c r="H197" s="382"/>
      <c r="M197" s="637"/>
    </row>
    <row r="198" spans="1:13" s="122" customFormat="1" ht="14">
      <c r="A198" s="410"/>
      <c r="B198" s="411"/>
      <c r="C198" s="409"/>
      <c r="D198" s="409"/>
      <c r="E198" s="409"/>
      <c r="F198" s="409"/>
      <c r="G198" s="314"/>
      <c r="H198" s="382"/>
      <c r="M198" s="637"/>
    </row>
    <row r="199" spans="1:13" ht="15" customHeight="1">
      <c r="A199" s="130"/>
      <c r="B199" s="412"/>
      <c r="C199" s="412"/>
      <c r="D199" s="412"/>
      <c r="E199" s="412"/>
      <c r="F199" s="412"/>
      <c r="G199" s="131" t="str">
        <f>'Plan Orçamentária'!Y533</f>
        <v>JALES-SP, 08 DE JUNHO DE 2025</v>
      </c>
      <c r="I199" s="384" t="s">
        <v>10481</v>
      </c>
    </row>
    <row r="200" spans="1:13" ht="15" customHeight="1">
      <c r="A200" s="130"/>
      <c r="B200" s="412"/>
      <c r="C200" s="412"/>
      <c r="D200" s="412"/>
      <c r="E200" s="412"/>
      <c r="F200" s="412"/>
      <c r="G200" s="131"/>
      <c r="I200" s="384"/>
    </row>
    <row r="201" spans="1:13">
      <c r="A201" s="852" t="s">
        <v>27909</v>
      </c>
      <c r="B201" s="853"/>
      <c r="C201" s="853"/>
      <c r="D201" s="853"/>
      <c r="E201" s="853"/>
      <c r="F201" s="853"/>
      <c r="G201" s="854"/>
    </row>
    <row r="202" spans="1:13">
      <c r="A202" s="855" t="s">
        <v>27891</v>
      </c>
      <c r="B202" s="856"/>
      <c r="C202" s="856"/>
      <c r="D202" s="856"/>
      <c r="E202" s="856"/>
      <c r="F202" s="856"/>
      <c r="G202" s="857"/>
    </row>
    <row r="203" spans="1:13">
      <c r="A203" s="852" t="str">
        <f>'Plan Orçamentária'!O541</f>
        <v>JOEL RODRIGO CARDOZO</v>
      </c>
      <c r="B203" s="853"/>
      <c r="C203" s="853"/>
      <c r="D203" s="853"/>
      <c r="E203" s="853"/>
      <c r="F203" s="853"/>
      <c r="G203" s="854"/>
    </row>
    <row r="204" spans="1:13" ht="14" thickBot="1">
      <c r="A204" s="849" t="str">
        <f>'Plan Orçamentária'!O542</f>
        <v>CREA 506.404.151-8</v>
      </c>
      <c r="B204" s="850"/>
      <c r="C204" s="850"/>
      <c r="D204" s="850"/>
      <c r="E204" s="850"/>
      <c r="F204" s="850"/>
      <c r="G204" s="851"/>
      <c r="H204" s="385"/>
    </row>
    <row r="205" spans="1:13">
      <c r="A205" s="121"/>
      <c r="B205" s="121"/>
      <c r="C205" s="121"/>
      <c r="D205" s="121"/>
      <c r="E205" s="121"/>
      <c r="F205" s="121"/>
      <c r="G205" s="121"/>
    </row>
  </sheetData>
  <mergeCells count="66">
    <mergeCell ref="C178:F178"/>
    <mergeCell ref="A180:G180"/>
    <mergeCell ref="A188:G188"/>
    <mergeCell ref="A197:B197"/>
    <mergeCell ref="C197:G197"/>
    <mergeCell ref="C157:F157"/>
    <mergeCell ref="A159:G159"/>
    <mergeCell ref="A167:G167"/>
    <mergeCell ref="A176:B176"/>
    <mergeCell ref="C176:G176"/>
    <mergeCell ref="A1:G2"/>
    <mergeCell ref="A204:G204"/>
    <mergeCell ref="A201:G201"/>
    <mergeCell ref="A202:G202"/>
    <mergeCell ref="A203:G203"/>
    <mergeCell ref="A3:G3"/>
    <mergeCell ref="C130:F130"/>
    <mergeCell ref="A132:G132"/>
    <mergeCell ref="A135:G135"/>
    <mergeCell ref="A141:B141"/>
    <mergeCell ref="C141:G141"/>
    <mergeCell ref="C53:F53"/>
    <mergeCell ref="A55:G55"/>
    <mergeCell ref="A59:G59"/>
    <mergeCell ref="A68:B68"/>
    <mergeCell ref="C68:G68"/>
    <mergeCell ref="C143:F143"/>
    <mergeCell ref="A145:G145"/>
    <mergeCell ref="A148:G148"/>
    <mergeCell ref="A155:B155"/>
    <mergeCell ref="C155:G155"/>
    <mergeCell ref="C5:F5"/>
    <mergeCell ref="A7:G7"/>
    <mergeCell ref="A10:G10"/>
    <mergeCell ref="A16:B16"/>
    <mergeCell ref="C16:G16"/>
    <mergeCell ref="C18:F18"/>
    <mergeCell ref="A20:G20"/>
    <mergeCell ref="A23:G23"/>
    <mergeCell ref="A29:B29"/>
    <mergeCell ref="C29:G29"/>
    <mergeCell ref="C31:F31"/>
    <mergeCell ref="A33:G33"/>
    <mergeCell ref="A44:G44"/>
    <mergeCell ref="A51:B51"/>
    <mergeCell ref="C51:G51"/>
    <mergeCell ref="C70:F70"/>
    <mergeCell ref="A72:G72"/>
    <mergeCell ref="A78:G78"/>
    <mergeCell ref="A85:B85"/>
    <mergeCell ref="C85:G85"/>
    <mergeCell ref="C87:F87"/>
    <mergeCell ref="A89:G89"/>
    <mergeCell ref="A93:G93"/>
    <mergeCell ref="A100:B100"/>
    <mergeCell ref="C100:G100"/>
    <mergeCell ref="C102:F102"/>
    <mergeCell ref="A104:G104"/>
    <mergeCell ref="A108:G108"/>
    <mergeCell ref="A115:B115"/>
    <mergeCell ref="C115:G115"/>
    <mergeCell ref="C117:F117"/>
    <mergeCell ref="A119:G119"/>
    <mergeCell ref="A122:G122"/>
    <mergeCell ref="A128:B128"/>
    <mergeCell ref="C128:G128"/>
  </mergeCells>
  <phoneticPr fontId="36" type="noConversion"/>
  <conditionalFormatting sqref="H4:H198">
    <cfRule type="containsText" dxfId="2048" priority="2475" stopIfTrue="1" operator="containsText" text="ERRO">
      <formula>NOT(ISERROR(SEARCH("ERRO",H4)))</formula>
    </cfRule>
  </conditionalFormatting>
  <conditionalFormatting sqref="H143:J143">
    <cfRule type="containsErrors" dxfId="2047" priority="29" stopIfTrue="1">
      <formula>ISERROR(H143)</formula>
    </cfRule>
  </conditionalFormatting>
  <conditionalFormatting sqref="I143:J143">
    <cfRule type="containsText" dxfId="2046" priority="30" stopIfTrue="1" operator="containsText" text="ERRO">
      <formula>NOT(ISERROR(SEARCH("ERRO",I143)))</formula>
    </cfRule>
  </conditionalFormatting>
  <conditionalFormatting sqref="H130:J130">
    <cfRule type="containsErrors" dxfId="2045" priority="21" stopIfTrue="1">
      <formula>ISERROR(H130)</formula>
    </cfRule>
  </conditionalFormatting>
  <conditionalFormatting sqref="I130:J130">
    <cfRule type="containsText" dxfId="2044" priority="22" stopIfTrue="1" operator="containsText" text="ERRO">
      <formula>NOT(ISERROR(SEARCH("ERRO",I130)))</formula>
    </cfRule>
  </conditionalFormatting>
  <conditionalFormatting sqref="H5:J5">
    <cfRule type="containsErrors" dxfId="2043" priority="19" stopIfTrue="1">
      <formula>ISERROR(H5)</formula>
    </cfRule>
  </conditionalFormatting>
  <conditionalFormatting sqref="I5:J5">
    <cfRule type="containsText" dxfId="2042" priority="20" stopIfTrue="1" operator="containsText" text="ERRO">
      <formula>NOT(ISERROR(SEARCH("ERRO",I5)))</formula>
    </cfRule>
  </conditionalFormatting>
  <conditionalFormatting sqref="H18:J18">
    <cfRule type="containsErrors" dxfId="2041" priority="17" stopIfTrue="1">
      <formula>ISERROR(H18)</formula>
    </cfRule>
  </conditionalFormatting>
  <conditionalFormatting sqref="I18:J18">
    <cfRule type="containsText" dxfId="2040" priority="18" stopIfTrue="1" operator="containsText" text="ERRO">
      <formula>NOT(ISERROR(SEARCH("ERRO",I18)))</formula>
    </cfRule>
  </conditionalFormatting>
  <conditionalFormatting sqref="H31:J31">
    <cfRule type="containsErrors" dxfId="2039" priority="15" stopIfTrue="1">
      <formula>ISERROR(H31)</formula>
    </cfRule>
  </conditionalFormatting>
  <conditionalFormatting sqref="I31:J31">
    <cfRule type="containsText" dxfId="2038" priority="16" stopIfTrue="1" operator="containsText" text="ERRO">
      <formula>NOT(ISERROR(SEARCH("ERRO",I31)))</formula>
    </cfRule>
  </conditionalFormatting>
  <conditionalFormatting sqref="H53:J53">
    <cfRule type="containsErrors" dxfId="2037" priority="13" stopIfTrue="1">
      <formula>ISERROR(H53)</formula>
    </cfRule>
  </conditionalFormatting>
  <conditionalFormatting sqref="I53:J53">
    <cfRule type="containsText" dxfId="2036" priority="14" stopIfTrue="1" operator="containsText" text="ERRO">
      <formula>NOT(ISERROR(SEARCH("ERRO",I53)))</formula>
    </cfRule>
  </conditionalFormatting>
  <conditionalFormatting sqref="H157:J157">
    <cfRule type="containsErrors" dxfId="2035" priority="11" stopIfTrue="1">
      <formula>ISERROR(H157)</formula>
    </cfRule>
  </conditionalFormatting>
  <conditionalFormatting sqref="I157:J157">
    <cfRule type="containsText" dxfId="2034" priority="12" stopIfTrue="1" operator="containsText" text="ERRO">
      <formula>NOT(ISERROR(SEARCH("ERRO",I157)))</formula>
    </cfRule>
  </conditionalFormatting>
  <conditionalFormatting sqref="H178:J178">
    <cfRule type="containsErrors" dxfId="2033" priority="9" stopIfTrue="1">
      <formula>ISERROR(H178)</formula>
    </cfRule>
  </conditionalFormatting>
  <conditionalFormatting sqref="I178:J178">
    <cfRule type="containsText" dxfId="2032" priority="10" stopIfTrue="1" operator="containsText" text="ERRO">
      <formula>NOT(ISERROR(SEARCH("ERRO",I178)))</formula>
    </cfRule>
  </conditionalFormatting>
  <conditionalFormatting sqref="H70:J70">
    <cfRule type="containsErrors" dxfId="2031" priority="7" stopIfTrue="1">
      <formula>ISERROR(H70)</formula>
    </cfRule>
  </conditionalFormatting>
  <conditionalFormatting sqref="I70:J70">
    <cfRule type="containsText" dxfId="2030" priority="8" stopIfTrue="1" operator="containsText" text="ERRO">
      <formula>NOT(ISERROR(SEARCH("ERRO",I70)))</formula>
    </cfRule>
  </conditionalFormatting>
  <conditionalFormatting sqref="H87:J87">
    <cfRule type="containsErrors" dxfId="2029" priority="5" stopIfTrue="1">
      <formula>ISERROR(H87)</formula>
    </cfRule>
  </conditionalFormatting>
  <conditionalFormatting sqref="I87:J87">
    <cfRule type="containsText" dxfId="2028" priority="6" stopIfTrue="1" operator="containsText" text="ERRO">
      <formula>NOT(ISERROR(SEARCH("ERRO",I87)))</formula>
    </cfRule>
  </conditionalFormatting>
  <conditionalFormatting sqref="H102:J102">
    <cfRule type="containsErrors" dxfId="2027" priority="3" stopIfTrue="1">
      <formula>ISERROR(H102)</formula>
    </cfRule>
  </conditionalFormatting>
  <conditionalFormatting sqref="I102:J102">
    <cfRule type="containsText" dxfId="2026" priority="4" stopIfTrue="1" operator="containsText" text="ERRO">
      <formula>NOT(ISERROR(SEARCH("ERRO",I102)))</formula>
    </cfRule>
  </conditionalFormatting>
  <conditionalFormatting sqref="H117:J117">
    <cfRule type="containsErrors" dxfId="2025" priority="1" stopIfTrue="1">
      <formula>ISERROR(H117)</formula>
    </cfRule>
  </conditionalFormatting>
  <conditionalFormatting sqref="I117:J117">
    <cfRule type="containsText" dxfId="2024" priority="2" stopIfTrue="1" operator="containsText" text="ERRO">
      <formula>NOT(ISERROR(SEARCH("ERRO",I117)))</formula>
    </cfRule>
  </conditionalFormatting>
  <pageMargins left="0.511811024" right="0.511811024" top="0.78740157499999996" bottom="0.78740157499999996" header="0.31496062000000002" footer="0.31496062000000002"/>
  <pageSetup paperSize="9" scale="77"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FDBEB-5460-4689-87F6-22C448285C75}">
  <sheetPr codeName="Planilha5"/>
  <dimension ref="A1:U152"/>
  <sheetViews>
    <sheetView workbookViewId="0">
      <selection activeCell="M16" sqref="M16"/>
    </sheetView>
  </sheetViews>
  <sheetFormatPr baseColWidth="10" defaultColWidth="8.83203125" defaultRowHeight="15"/>
  <sheetData>
    <row r="1" spans="1:21" s="119" customFormat="1" ht="12.75" customHeight="1">
      <c r="A1" s="843"/>
      <c r="B1" s="844"/>
      <c r="C1" s="844"/>
      <c r="D1" s="844"/>
      <c r="E1" s="844"/>
      <c r="F1" s="844"/>
      <c r="G1" s="845"/>
      <c r="M1" s="635"/>
    </row>
    <row r="2" spans="1:21" s="119" customFormat="1" ht="114" customHeight="1">
      <c r="A2" s="846"/>
      <c r="B2" s="847"/>
      <c r="C2" s="847"/>
      <c r="D2" s="847"/>
      <c r="E2" s="847"/>
      <c r="F2" s="847"/>
      <c r="G2" s="848"/>
      <c r="I2" s="119" t="s">
        <v>27899</v>
      </c>
      <c r="J2" s="228">
        <v>128.22999999999999</v>
      </c>
      <c r="K2" s="119" t="s">
        <v>18452</v>
      </c>
      <c r="M2" s="636"/>
    </row>
    <row r="3" spans="1:21" s="119" customFormat="1" ht="19.5" customHeight="1" thickBot="1">
      <c r="A3" s="858" t="s">
        <v>27900</v>
      </c>
      <c r="B3" s="859"/>
      <c r="C3" s="859"/>
      <c r="D3" s="859"/>
      <c r="E3" s="859"/>
      <c r="F3" s="859"/>
      <c r="G3" s="860"/>
      <c r="M3" s="636"/>
    </row>
    <row r="4" spans="1:21" s="119" customFormat="1" ht="13.5" customHeight="1" thickBot="1">
      <c r="A4" s="120"/>
      <c r="B4" s="121"/>
      <c r="C4" s="121"/>
      <c r="D4" s="121"/>
      <c r="E4" s="121"/>
      <c r="F4" s="121"/>
      <c r="G4" s="206"/>
      <c r="H4" s="119" t="s">
        <v>6009</v>
      </c>
      <c r="I4" s="119" t="s">
        <v>27901</v>
      </c>
      <c r="J4" s="228" t="s">
        <v>27889</v>
      </c>
      <c r="M4" s="637"/>
    </row>
    <row r="5" spans="1:21" s="374" customFormat="1" ht="23.25" customHeight="1" thickBot="1">
      <c r="A5" s="543" t="s">
        <v>41788</v>
      </c>
      <c r="B5" s="544"/>
      <c r="C5" s="838" t="s">
        <v>41789</v>
      </c>
      <c r="D5" s="839"/>
      <c r="E5" s="839"/>
      <c r="F5" s="840"/>
      <c r="G5" s="545" t="s">
        <v>509</v>
      </c>
      <c r="H5" s="383" t="e">
        <f>#REF!</f>
        <v>#REF!</v>
      </c>
      <c r="I5" s="383">
        <v>0</v>
      </c>
      <c r="J5" s="383">
        <f>G13</f>
        <v>214.82999999999998</v>
      </c>
      <c r="K5" s="122"/>
      <c r="L5" s="122"/>
      <c r="M5" s="637" t="e">
        <f>VLOOKUP(A5,'Plan Orçamentária'!$Q:$Y,1,FALSE)</f>
        <v>#N/A</v>
      </c>
      <c r="N5" s="122"/>
      <c r="O5" s="122"/>
      <c r="P5" s="122"/>
      <c r="Q5" s="122"/>
      <c r="R5" s="122"/>
      <c r="S5" s="122"/>
      <c r="T5" s="122"/>
      <c r="U5" s="122"/>
    </row>
    <row r="6" spans="1:21" s="122" customFormat="1" ht="12" customHeight="1">
      <c r="A6" s="419" t="s">
        <v>27902</v>
      </c>
      <c r="B6" s="420" t="s">
        <v>27903</v>
      </c>
      <c r="C6" s="546" t="s">
        <v>5</v>
      </c>
      <c r="D6" s="421" t="s">
        <v>27886</v>
      </c>
      <c r="E6" s="422" t="s">
        <v>27904</v>
      </c>
      <c r="F6" s="422" t="s">
        <v>27905</v>
      </c>
      <c r="G6" s="423" t="s">
        <v>27906</v>
      </c>
      <c r="H6" s="382"/>
      <c r="M6" s="637"/>
    </row>
    <row r="7" spans="1:21" s="122" customFormat="1" ht="12" customHeight="1">
      <c r="A7" s="829" t="s">
        <v>41230</v>
      </c>
      <c r="B7" s="830"/>
      <c r="C7" s="830"/>
      <c r="D7" s="830"/>
      <c r="E7" s="830"/>
      <c r="F7" s="830"/>
      <c r="G7" s="831"/>
      <c r="H7" s="382"/>
      <c r="M7" s="637"/>
    </row>
    <row r="8" spans="1:21" s="122" customFormat="1" ht="14">
      <c r="A8" s="316" t="s">
        <v>29901</v>
      </c>
      <c r="B8" s="549" t="s">
        <v>43</v>
      </c>
      <c r="C8" s="123" t="str">
        <f>UPPER(IFERROR(VLOOKUP(B8,'SINAPI 04-26-SD'!$1:$1048576,2,FALSE),IFERROR(VLOOKUP(B8,'Ins. SINAPI 04-26-SD'!$1:$1048576,2,FALSE),IFERROR(VLOOKUP(B8,COTAÇÃO!$1:$1048576,2,FALSE),IFERROR(VLOOKUP(B8,'Ins. CDHU 201-SD'!$1:$1048576,2,FALSE),"Não Encontrado")))))</f>
        <v>PEDREIRO</v>
      </c>
      <c r="D8" s="124" t="str">
        <f>UPPER(IFERROR(VLOOKUP(B8,'SINAPI 04-26-SD'!$1:$1048576,3,FALSE),IFERROR(VLOOKUP(B8,'Ins. SINAPI 04-26-SD'!$1:$1048576,3,FALSE),IFERROR(VLOOKUP(B8,COTAÇÃO!$1:$1048576,7,FALSE),IFERROR(VLOOKUP(B8,'Ins. CDHU 201-SD'!$1:$1048576,3,FALSE),"Não Encontrado")))))</f>
        <v>H</v>
      </c>
      <c r="E8" s="315">
        <v>1.2</v>
      </c>
      <c r="F8" s="125">
        <f>IFERROR(VLOOKUP(B8,'SINAPI 04-26-SD'!$1:$1048576,4,FALSE),IFERROR(VLOOKUP(B8,'Ins. SINAPI 04-26-SD'!$1:$1048576,5,FALSE),IFERROR(VLOOKUP(B8,COTAÇÃO!$1:$1048576,8,FALSE),IFERROR(VLOOKUP(B8,'Ins. CDHU 201-SD'!$1:$1048576,4,FALSE),"Não Encontrado"))))</f>
        <v>12.11</v>
      </c>
      <c r="G8" s="126">
        <f>+ROUND(E8*F8,2)</f>
        <v>14.53</v>
      </c>
      <c r="H8" s="382"/>
      <c r="I8" s="315"/>
      <c r="M8" s="637"/>
    </row>
    <row r="9" spans="1:21" s="122" customFormat="1" ht="14">
      <c r="A9" s="316" t="s">
        <v>29901</v>
      </c>
      <c r="B9" s="549" t="s">
        <v>57</v>
      </c>
      <c r="C9" s="123" t="str">
        <f>UPPER(IFERROR(VLOOKUP(B9,'SINAPI 04-26-SD'!$1:$1048576,2,FALSE),IFERROR(VLOOKUP(B9,'Ins. SINAPI 04-26-SD'!$1:$1048576,2,FALSE),IFERROR(VLOOKUP(B9,COTAÇÃO!$1:$1048576,2,FALSE),IFERROR(VLOOKUP(B9,'Ins. CDHU 201-SD'!$1:$1048576,2,FALSE),"Não Encontrado")))))</f>
        <v>SERVENTE</v>
      </c>
      <c r="D9" s="124" t="str">
        <f>UPPER(IFERROR(VLOOKUP(B9,'SINAPI 04-26-SD'!$1:$1048576,3,FALSE),IFERROR(VLOOKUP(B9,'Ins. SINAPI 04-26-SD'!$1:$1048576,3,FALSE),IFERROR(VLOOKUP(B9,COTAÇÃO!$1:$1048576,7,FALSE),IFERROR(VLOOKUP(B9,'Ins. CDHU 201-SD'!$1:$1048576,3,FALSE),"Não Encontrado")))))</f>
        <v>H</v>
      </c>
      <c r="E9" s="315">
        <v>8</v>
      </c>
      <c r="F9" s="125">
        <f>IFERROR(VLOOKUP(B9,'SINAPI 04-26-SD'!$1:$1048576,4,FALSE),IFERROR(VLOOKUP(B9,'Ins. SINAPI 04-26-SD'!$1:$1048576,5,FALSE),IFERROR(VLOOKUP(B9,COTAÇÃO!$1:$1048576,8,FALSE),IFERROR(VLOOKUP(B9,'Ins. CDHU 201-SD'!$1:$1048576,4,FALSE),"Não Encontrado"))))</f>
        <v>9.9499999999999993</v>
      </c>
      <c r="G9" s="126">
        <f>+ROUND(E9*F9,2)</f>
        <v>79.599999999999994</v>
      </c>
      <c r="H9" s="382"/>
      <c r="I9" s="315"/>
      <c r="M9" s="637"/>
    </row>
    <row r="10" spans="1:21" s="122" customFormat="1" ht="42">
      <c r="A10" s="316"/>
      <c r="B10" s="549"/>
      <c r="C10" s="123" t="s">
        <v>41258</v>
      </c>
      <c r="D10" s="124"/>
      <c r="E10" s="315"/>
      <c r="F10" s="125"/>
      <c r="G10" s="126">
        <f>+SUBTOTAL(9,G7:G9)</f>
        <v>94.13</v>
      </c>
      <c r="H10" s="382"/>
      <c r="M10" s="637"/>
    </row>
    <row r="11" spans="1:21" s="122" customFormat="1" ht="28">
      <c r="A11" s="316"/>
      <c r="B11" s="549"/>
      <c r="C11" s="123" t="s">
        <v>41259</v>
      </c>
      <c r="D11" s="124"/>
      <c r="E11" s="315">
        <f>$J$2</f>
        <v>128.22999999999999</v>
      </c>
      <c r="F11" s="125"/>
      <c r="G11" s="126">
        <f>+ROUND(G10*E11/100,2)</f>
        <v>120.7</v>
      </c>
      <c r="H11" s="382"/>
      <c r="M11" s="637"/>
    </row>
    <row r="12" spans="1:21" s="548" customFormat="1" ht="84">
      <c r="A12" s="550"/>
      <c r="B12" s="551"/>
      <c r="C12" s="552" t="s">
        <v>41231</v>
      </c>
      <c r="D12" s="553"/>
      <c r="E12" s="554"/>
      <c r="F12" s="555"/>
      <c r="G12" s="556">
        <f>SUM(G10:G11)</f>
        <v>214.82999999999998</v>
      </c>
      <c r="H12" s="547"/>
      <c r="M12" s="638"/>
    </row>
    <row r="13" spans="1:21" s="122" customFormat="1" ht="13">
      <c r="A13" s="127"/>
      <c r="B13" s="406"/>
      <c r="C13" s="406" t="s">
        <v>27907</v>
      </c>
      <c r="D13" s="406"/>
      <c r="E13" s="406"/>
      <c r="F13" s="407"/>
      <c r="G13" s="408">
        <f>SUM(G12)</f>
        <v>214.82999999999998</v>
      </c>
      <c r="H13" s="382"/>
      <c r="M13" s="637"/>
    </row>
    <row r="14" spans="1:21" s="122" customFormat="1" ht="39" customHeight="1">
      <c r="A14" s="832" t="s">
        <v>27908</v>
      </c>
      <c r="B14" s="833"/>
      <c r="C14" s="841" t="s">
        <v>41790</v>
      </c>
      <c r="D14" s="841"/>
      <c r="E14" s="841"/>
      <c r="F14" s="841"/>
      <c r="G14" s="842"/>
      <c r="H14" s="382"/>
      <c r="M14" s="637"/>
    </row>
    <row r="16" spans="1:21" s="119" customFormat="1" ht="13.5" customHeight="1" thickBot="1">
      <c r="A16" s="120"/>
      <c r="B16" s="121"/>
      <c r="C16" s="121"/>
      <c r="D16" s="121"/>
      <c r="E16" s="121"/>
      <c r="F16" s="121"/>
      <c r="G16" s="206"/>
      <c r="H16" s="119" t="s">
        <v>6009</v>
      </c>
      <c r="I16" s="119" t="s">
        <v>27901</v>
      </c>
      <c r="J16" s="228" t="s">
        <v>27889</v>
      </c>
      <c r="M16" s="637"/>
    </row>
    <row r="17" spans="1:21" s="374" customFormat="1" ht="26.25" customHeight="1" thickBot="1">
      <c r="A17" s="543" t="s">
        <v>41792</v>
      </c>
      <c r="B17" s="544"/>
      <c r="C17" s="838" t="s">
        <v>41793</v>
      </c>
      <c r="D17" s="839"/>
      <c r="E17" s="839"/>
      <c r="F17" s="840"/>
      <c r="G17" s="545" t="s">
        <v>509</v>
      </c>
      <c r="H17" s="383" t="e">
        <f>#REF!</f>
        <v>#REF!</v>
      </c>
      <c r="I17" s="383">
        <v>0</v>
      </c>
      <c r="J17" s="383">
        <f>G34</f>
        <v>455.96</v>
      </c>
      <c r="K17" s="122"/>
      <c r="L17" s="122"/>
      <c r="M17" s="637" t="e">
        <f>VLOOKUP(A17,'Plan Orçamentária'!$Q:$Y,1,FALSE)</f>
        <v>#N/A</v>
      </c>
      <c r="N17" s="122"/>
      <c r="O17" s="122"/>
      <c r="P17" s="122"/>
      <c r="Q17" s="122"/>
      <c r="R17" s="122"/>
      <c r="S17" s="122"/>
      <c r="T17" s="122"/>
      <c r="U17" s="122"/>
    </row>
    <row r="18" spans="1:21" s="122" customFormat="1" ht="12" customHeight="1">
      <c r="A18" s="419" t="s">
        <v>27902</v>
      </c>
      <c r="B18" s="420" t="s">
        <v>27903</v>
      </c>
      <c r="C18" s="546" t="s">
        <v>5</v>
      </c>
      <c r="D18" s="421" t="s">
        <v>27886</v>
      </c>
      <c r="E18" s="422" t="s">
        <v>27904</v>
      </c>
      <c r="F18" s="422" t="s">
        <v>27905</v>
      </c>
      <c r="G18" s="423" t="s">
        <v>27906</v>
      </c>
      <c r="H18" s="382"/>
      <c r="M18" s="637"/>
    </row>
    <row r="19" spans="1:21" s="122" customFormat="1" ht="12" customHeight="1">
      <c r="A19" s="829" t="s">
        <v>41228</v>
      </c>
      <c r="B19" s="830"/>
      <c r="C19" s="830"/>
      <c r="D19" s="830"/>
      <c r="E19" s="830"/>
      <c r="F19" s="830"/>
      <c r="G19" s="831"/>
      <c r="H19" s="382"/>
      <c r="M19" s="637"/>
    </row>
    <row r="20" spans="1:21" s="648" customFormat="1" ht="98">
      <c r="A20" s="316" t="s">
        <v>41261</v>
      </c>
      <c r="B20" s="549" t="s">
        <v>10269</v>
      </c>
      <c r="C20" s="123" t="str">
        <f>UPPER(IFERROR(VLOOKUP(B20,'SINAPI 04-26-SD'!$1:$1048576,2,FALSE),IFERROR(VLOOKUP(B20,'Ins. SINAPI 04-26-SD'!$1:$1048576,2,FALSE),IFERROR(VLOOKUP(B20,COTAÇÃO!$1:$1048576,2,FALSE),IFERROR(VLOOKUP(B20,'Ins. CDHU 201-SD'!$1:$1048576,2,FALSE),IFERROR(VLOOKUP(B20,'Ins. FDE 01-26-SD'!$1:$1048576,2,FALSE),"Não Encontrado"))))))</f>
        <v>CAMINHAO GUINDASTE SOBRE PNEUS CAPAC.CARGA DE 60 TON</v>
      </c>
      <c r="D20" s="124" t="str">
        <f>UPPER(IFERROR(VLOOKUP(B20,'SINAPI 04-26-SD'!$1:$1048576,3,FALSE),IFERROR(VLOOKUP(B20,'Ins. SINAPI 04-26-SD'!$1:$1048576,3,FALSE),IFERROR(VLOOKUP(B20,COTAÇÃO!$1:$1048576,7,FALSE),IFERROR(VLOOKUP(B20,'Ins. CDHU 201-SD'!$1:$1048576,3,FALSE),IFERROR(VLOOKUP(B20,'Ins. FDE 01-26-SD'!$1:$1048576,3,FALSE),"Não Encontrado"))))))</f>
        <v>H</v>
      </c>
      <c r="E20" s="315">
        <v>6.6699999999999995E-2</v>
      </c>
      <c r="F20" s="125">
        <f>IFERROR(VLOOKUP(B20,'SINAPI 04-26-SD'!$1:$1048576,4,FALSE),IFERROR(VLOOKUP(B20,'Ins. SINAPI 04-26-SD'!$1:$1048576,5,FALSE),IFERROR(VLOOKUP(B20,COTAÇÃO!$1:$1048576,8,FALSE),IFERROR(VLOOKUP(B20,'Ins. CDHU 201-SD'!$1:$1048576,4,FALSE),IFERROR(VLOOKUP(B20,'Ins. FDE 01-26-SD'!$1:$1048576,4,FALSE),"Não Encontrado")))))</f>
        <v>415.33</v>
      </c>
      <c r="G20" s="126">
        <f>+ROUND(E20*F20,2)</f>
        <v>27.7</v>
      </c>
      <c r="H20" s="647"/>
      <c r="I20" s="646"/>
      <c r="M20" s="649"/>
    </row>
    <row r="21" spans="1:21" s="648" customFormat="1" ht="84">
      <c r="A21" s="316" t="s">
        <v>29901</v>
      </c>
      <c r="B21" s="549" t="s">
        <v>475</v>
      </c>
      <c r="C21" s="123" t="str">
        <f>UPPER(IFERROR(VLOOKUP(B21,'SINAPI 04-26-SD'!$1:$1048576,2,FALSE),IFERROR(VLOOKUP(B21,'Ins. SINAPI 04-26-SD'!$1:$1048576,2,FALSE),IFERROR(VLOOKUP(B21,COTAÇÃO!$1:$1048576,2,FALSE),IFERROR(VLOOKUP(B21,'Ins. CDHU 201-SD'!$1:$1048576,2,FALSE),IFERROR(VLOOKUP(B21,'Ins. FDE 01-26-SD'!$1:$1048576,2,FALSE),"Não Encontrado"))))))</f>
        <v>AREIA MÉDIA LAVADA (A GRANEL CAÇAMBA FECHADA)</v>
      </c>
      <c r="D21" s="124" t="str">
        <f>UPPER(IFERROR(VLOOKUP(B21,'SINAPI 04-26-SD'!$1:$1048576,3,FALSE),IFERROR(VLOOKUP(B21,'Ins. SINAPI 04-26-SD'!$1:$1048576,3,FALSE),IFERROR(VLOOKUP(B21,COTAÇÃO!$1:$1048576,7,FALSE),IFERROR(VLOOKUP(B21,'Ins. CDHU 201-SD'!$1:$1048576,3,FALSE),IFERROR(VLOOKUP(B21,'Ins. FDE 01-26-SD'!$1:$1048576,3,FALSE),"Não Encontrado"))))))</f>
        <v>M3</v>
      </c>
      <c r="E21" s="315">
        <v>6.6E-3</v>
      </c>
      <c r="F21" s="125">
        <f>IFERROR(VLOOKUP(B21,'SINAPI 04-26-SD'!$1:$1048576,4,FALSE),IFERROR(VLOOKUP(B21,'Ins. SINAPI 04-26-SD'!$1:$1048576,5,FALSE),IFERROR(VLOOKUP(B21,COTAÇÃO!$1:$1048576,8,FALSE),IFERROR(VLOOKUP(B21,'Ins. CDHU 201-SD'!$1:$1048576,4,FALSE),IFERROR(VLOOKUP(B21,'Ins. FDE 01-26-SD'!$1:$1048576,4,FALSE),"Não Encontrado")))))</f>
        <v>170.72</v>
      </c>
      <c r="G21" s="126">
        <f t="shared" ref="G21:G26" si="0">+ROUND(E21*F21,2)</f>
        <v>1.1299999999999999</v>
      </c>
      <c r="H21" s="647"/>
      <c r="I21" s="646"/>
      <c r="M21" s="649"/>
    </row>
    <row r="22" spans="1:21" s="648" customFormat="1" ht="56">
      <c r="A22" s="316" t="s">
        <v>29901</v>
      </c>
      <c r="B22" s="549" t="s">
        <v>423</v>
      </c>
      <c r="C22" s="123" t="str">
        <f>UPPER(IFERROR(VLOOKUP(B22,'SINAPI 04-26-SD'!$1:$1048576,2,FALSE),IFERROR(VLOOKUP(B22,'Ins. SINAPI 04-26-SD'!$1:$1048576,2,FALSE),IFERROR(VLOOKUP(B22,COTAÇÃO!$1:$1048576,2,FALSE),IFERROR(VLOOKUP(B22,'Ins. CDHU 201-SD'!$1:$1048576,2,FALSE),IFERROR(VLOOKUP(B22,'Ins. FDE 01-26-SD'!$1:$1048576,2,FALSE),"Não Encontrado"))))))</f>
        <v>CIMENTO CPII-E-32 (SACOS DE 50 KG)</v>
      </c>
      <c r="D22" s="124" t="str">
        <f>UPPER(IFERROR(VLOOKUP(B22,'SINAPI 04-26-SD'!$1:$1048576,3,FALSE),IFERROR(VLOOKUP(B22,'Ins. SINAPI 04-26-SD'!$1:$1048576,3,FALSE),IFERROR(VLOOKUP(B22,COTAÇÃO!$1:$1048576,7,FALSE),IFERROR(VLOOKUP(B22,'Ins. CDHU 201-SD'!$1:$1048576,3,FALSE),IFERROR(VLOOKUP(B22,'Ins. FDE 01-26-SD'!$1:$1048576,3,FALSE),"Não Encontrado"))))))</f>
        <v>KG</v>
      </c>
      <c r="E22" s="315">
        <v>4.0209000000000001</v>
      </c>
      <c r="F22" s="125">
        <f>IFERROR(VLOOKUP(B22,'SINAPI 04-26-SD'!$1:$1048576,4,FALSE),IFERROR(VLOOKUP(B22,'Ins. SINAPI 04-26-SD'!$1:$1048576,5,FALSE),IFERROR(VLOOKUP(B22,COTAÇÃO!$1:$1048576,8,FALSE),IFERROR(VLOOKUP(B22,'Ins. CDHU 201-SD'!$1:$1048576,4,FALSE),IFERROR(VLOOKUP(B22,'Ins. FDE 01-26-SD'!$1:$1048576,4,FALSE),"Não Encontrado")))))</f>
        <v>0.67</v>
      </c>
      <c r="G22" s="126">
        <f t="shared" si="0"/>
        <v>2.69</v>
      </c>
      <c r="H22" s="647"/>
      <c r="I22" s="646"/>
      <c r="M22" s="649"/>
    </row>
    <row r="23" spans="1:21" s="648" customFormat="1" ht="14">
      <c r="A23" s="316" t="s">
        <v>29901</v>
      </c>
      <c r="B23" s="549" t="s">
        <v>493</v>
      </c>
      <c r="C23" s="123" t="str">
        <f>UPPER(IFERROR(VLOOKUP(B23,'SINAPI 04-26-SD'!$1:$1048576,2,FALSE),IFERROR(VLOOKUP(B23,'Ins. SINAPI 04-26-SD'!$1:$1048576,2,FALSE),IFERROR(VLOOKUP(B23,COTAÇÃO!$1:$1048576,2,FALSE),IFERROR(VLOOKUP(B23,'Ins. CDHU 201-SD'!$1:$1048576,2,FALSE),IFERROR(VLOOKUP(B23,'Ins. FDE 01-26-SD'!$1:$1048576,2,FALSE),"Não Encontrado"))))))</f>
        <v>PEDRISCO</v>
      </c>
      <c r="D23" s="124" t="str">
        <f>UPPER(IFERROR(VLOOKUP(B23,'SINAPI 04-26-SD'!$1:$1048576,3,FALSE),IFERROR(VLOOKUP(B23,'Ins. SINAPI 04-26-SD'!$1:$1048576,3,FALSE),IFERROR(VLOOKUP(B23,COTAÇÃO!$1:$1048576,7,FALSE),IFERROR(VLOOKUP(B23,'Ins. CDHU 201-SD'!$1:$1048576,3,FALSE),IFERROR(VLOOKUP(B23,'Ins. FDE 01-26-SD'!$1:$1048576,3,FALSE),"Não Encontrado"))))))</f>
        <v>M3</v>
      </c>
      <c r="E23" s="315">
        <v>8.8000000000000005E-3</v>
      </c>
      <c r="F23" s="125">
        <f>IFERROR(VLOOKUP(B23,'SINAPI 04-26-SD'!$1:$1048576,4,FALSE),IFERROR(VLOOKUP(B23,'Ins. SINAPI 04-26-SD'!$1:$1048576,5,FALSE),IFERROR(VLOOKUP(B23,COTAÇÃO!$1:$1048576,8,FALSE),IFERROR(VLOOKUP(B23,'Ins. CDHU 201-SD'!$1:$1048576,4,FALSE),IFERROR(VLOOKUP(B23,'Ins. FDE 01-26-SD'!$1:$1048576,4,FALSE),"Não Encontrado")))))</f>
        <v>178.9</v>
      </c>
      <c r="G23" s="126">
        <f t="shared" si="0"/>
        <v>1.57</v>
      </c>
      <c r="H23" s="647"/>
      <c r="I23" s="646"/>
      <c r="M23" s="649"/>
    </row>
    <row r="24" spans="1:21" s="648" customFormat="1" ht="84">
      <c r="A24" s="316" t="s">
        <v>29901</v>
      </c>
      <c r="B24" s="549" t="s">
        <v>622</v>
      </c>
      <c r="C24" s="123" t="str">
        <f>UPPER(IFERROR(VLOOKUP(B24,'SINAPI 04-26-SD'!$1:$1048576,2,FALSE),IFERROR(VLOOKUP(B24,'Ins. SINAPI 04-26-SD'!$1:$1048576,2,FALSE),IFERROR(VLOOKUP(B24,COTAÇÃO!$1:$1048576,2,FALSE),IFERROR(VLOOKUP(B24,'Ins. CDHU 201-SD'!$1:$1048576,2,FALSE),IFERROR(VLOOKUP(B24,'Ins. FDE 01-26-SD'!$1:$1048576,2,FALSE),"Não Encontrado"))))))</f>
        <v>CONCRETO USINADO FCK= 40 MPA, SLUMP 5 ± 1CM</v>
      </c>
      <c r="D24" s="124" t="str">
        <f>UPPER(IFERROR(VLOOKUP(B24,'SINAPI 04-26-SD'!$1:$1048576,3,FALSE),IFERROR(VLOOKUP(B24,'Ins. SINAPI 04-26-SD'!$1:$1048576,3,FALSE),IFERROR(VLOOKUP(B24,COTAÇÃO!$1:$1048576,7,FALSE),IFERROR(VLOOKUP(B24,'Ins. CDHU 201-SD'!$1:$1048576,3,FALSE),IFERROR(VLOOKUP(B24,'Ins. FDE 01-26-SD'!$1:$1048576,3,FALSE),"Não Encontrado"))))))</f>
        <v>M3</v>
      </c>
      <c r="E24" s="315">
        <v>5.5E-2</v>
      </c>
      <c r="F24" s="125">
        <f>IFERROR(VLOOKUP(B24,'SINAPI 04-26-SD'!$1:$1048576,4,FALSE),IFERROR(VLOOKUP(B24,'Ins. SINAPI 04-26-SD'!$1:$1048576,5,FALSE),IFERROR(VLOOKUP(B24,COTAÇÃO!$1:$1048576,8,FALSE),IFERROR(VLOOKUP(B24,'Ins. CDHU 201-SD'!$1:$1048576,4,FALSE),IFERROR(VLOOKUP(B24,'Ins. FDE 01-26-SD'!$1:$1048576,4,FALSE),"Não Encontrado")))))</f>
        <v>566.27</v>
      </c>
      <c r="G24" s="126">
        <f t="shared" si="0"/>
        <v>31.14</v>
      </c>
      <c r="H24" s="647"/>
      <c r="I24" s="646"/>
      <c r="M24" s="649"/>
    </row>
    <row r="25" spans="1:21" s="648" customFormat="1" ht="112">
      <c r="A25" s="316" t="s">
        <v>41794</v>
      </c>
      <c r="B25" s="549" t="s">
        <v>41795</v>
      </c>
      <c r="C25" s="123" t="s">
        <v>41796</v>
      </c>
      <c r="D25" s="124" t="s">
        <v>509</v>
      </c>
      <c r="E25" s="315">
        <v>1</v>
      </c>
      <c r="F25" s="125">
        <v>381.42</v>
      </c>
      <c r="G25" s="126">
        <f t="shared" si="0"/>
        <v>381.42</v>
      </c>
      <c r="H25" s="647"/>
      <c r="I25" s="646"/>
      <c r="M25" s="649"/>
    </row>
    <row r="26" spans="1:21" s="648" customFormat="1" ht="28">
      <c r="A26" s="316" t="s">
        <v>41261</v>
      </c>
      <c r="B26" s="549" t="s">
        <v>6994</v>
      </c>
      <c r="C26" s="123" t="str">
        <f>UPPER(IFERROR(VLOOKUP(B26,'SINAPI 04-26-SD'!$1:$1048576,2,FALSE),IFERROR(VLOOKUP(B26,'Ins. SINAPI 04-26-SD'!$1:$1048576,2,FALSE),IFERROR(VLOOKUP(B26,COTAÇÃO!$1:$1048576,2,FALSE),IFERROR(VLOOKUP(B26,'Ins. CDHU 201-SD'!$1:$1048576,2,FALSE),IFERROR(VLOOKUP(B26,'Ins. FDE 01-26-SD'!$1:$1048576,2,FALSE),"Não Encontrado"))))))</f>
        <v>ADITIVO EXPANSOR</v>
      </c>
      <c r="D26" s="124" t="str">
        <f>UPPER(IFERROR(VLOOKUP(B26,'SINAPI 04-26-SD'!$1:$1048576,3,FALSE),IFERROR(VLOOKUP(B26,'Ins. SINAPI 04-26-SD'!$1:$1048576,3,FALSE),IFERROR(VLOOKUP(B26,COTAÇÃO!$1:$1048576,7,FALSE),IFERROR(VLOOKUP(B26,'Ins. CDHU 201-SD'!$1:$1048576,3,FALSE),IFERROR(VLOOKUP(B26,'Ins. FDE 01-26-SD'!$1:$1048576,3,FALSE),"Não Encontrado"))))))</f>
        <v>KG</v>
      </c>
      <c r="E26" s="315">
        <v>4.1200000000000001E-2</v>
      </c>
      <c r="F26" s="125">
        <f>IFERROR(VLOOKUP(B26,'SINAPI 04-26-SD'!$1:$1048576,4,FALSE),IFERROR(VLOOKUP(B26,'Ins. SINAPI 04-26-SD'!$1:$1048576,5,FALSE),IFERROR(VLOOKUP(B26,COTAÇÃO!$1:$1048576,8,FALSE),IFERROR(VLOOKUP(B26,'Ins. CDHU 201-SD'!$1:$1048576,4,FALSE),IFERROR(VLOOKUP(B26,'Ins. FDE 01-26-SD'!$1:$1048576,4,FALSE),"Não Encontrado")))))</f>
        <v>10.4</v>
      </c>
      <c r="G26" s="126">
        <f t="shared" si="0"/>
        <v>0.43</v>
      </c>
      <c r="H26" s="647"/>
      <c r="I26" s="646"/>
      <c r="M26" s="649"/>
    </row>
    <row r="27" spans="1:21" s="548" customFormat="1" ht="28">
      <c r="A27" s="550"/>
      <c r="B27" s="551"/>
      <c r="C27" s="552" t="s">
        <v>41229</v>
      </c>
      <c r="D27" s="553"/>
      <c r="E27" s="554"/>
      <c r="F27" s="555"/>
      <c r="G27" s="556">
        <f>SUM(G19:G26)</f>
        <v>446.08</v>
      </c>
      <c r="H27" s="547"/>
      <c r="M27" s="638"/>
    </row>
    <row r="28" spans="1:21" s="122" customFormat="1" ht="12" customHeight="1">
      <c r="A28" s="829" t="s">
        <v>41230</v>
      </c>
      <c r="B28" s="830"/>
      <c r="C28" s="830"/>
      <c r="D28" s="830"/>
      <c r="E28" s="830"/>
      <c r="F28" s="830"/>
      <c r="G28" s="831"/>
      <c r="H28" s="382"/>
      <c r="M28" s="637"/>
    </row>
    <row r="29" spans="1:21" s="122" customFormat="1" ht="14">
      <c r="A29" s="316" t="s">
        <v>29901</v>
      </c>
      <c r="B29" s="549" t="s">
        <v>43</v>
      </c>
      <c r="C29" s="123" t="str">
        <f>UPPER(IFERROR(VLOOKUP(B29,'SINAPI 04-26-SD'!$1:$1048576,2,FALSE),IFERROR(VLOOKUP(B29,'Ins. SINAPI 04-26-SD'!$1:$1048576,2,FALSE),IFERROR(VLOOKUP(B29,COTAÇÃO!$1:$1048576,2,FALSE),IFERROR(VLOOKUP(B29,'Ins. CDHU 201-SD'!$1:$1048576,2,FALSE),"Não Encontrado")))))</f>
        <v>PEDREIRO</v>
      </c>
      <c r="D29" s="124" t="str">
        <f>UPPER(IFERROR(VLOOKUP(B29,'SINAPI 04-26-SD'!$1:$1048576,3,FALSE),IFERROR(VLOOKUP(B29,'Ins. SINAPI 04-26-SD'!$1:$1048576,3,FALSE),IFERROR(VLOOKUP(B29,COTAÇÃO!$1:$1048576,7,FALSE),IFERROR(VLOOKUP(B29,'Ins. CDHU 201-SD'!$1:$1048576,3,FALSE),"Não Encontrado")))))</f>
        <v>H</v>
      </c>
      <c r="E29" s="315">
        <v>0.16</v>
      </c>
      <c r="F29" s="125">
        <f>IFERROR(VLOOKUP(B29,'SINAPI 04-26-SD'!$1:$1048576,4,FALSE),IFERROR(VLOOKUP(B29,'Ins. SINAPI 04-26-SD'!$1:$1048576,5,FALSE),IFERROR(VLOOKUP(B29,COTAÇÃO!$1:$1048576,8,FALSE),IFERROR(VLOOKUP(B29,'Ins. CDHU 201-SD'!$1:$1048576,4,FALSE),"Não Encontrado"))))</f>
        <v>12.11</v>
      </c>
      <c r="G29" s="126">
        <f>+ROUND(E29*F29,2)</f>
        <v>1.94</v>
      </c>
      <c r="H29" s="382"/>
      <c r="I29" s="315"/>
      <c r="M29" s="637"/>
    </row>
    <row r="30" spans="1:21" s="122" customFormat="1" ht="14">
      <c r="A30" s="316" t="s">
        <v>29901</v>
      </c>
      <c r="B30" s="549" t="s">
        <v>57</v>
      </c>
      <c r="C30" s="123" t="str">
        <f>UPPER(IFERROR(VLOOKUP(B30,'SINAPI 04-26-SD'!$1:$1048576,2,FALSE),IFERROR(VLOOKUP(B30,'Ins. SINAPI 04-26-SD'!$1:$1048576,2,FALSE),IFERROR(VLOOKUP(B30,COTAÇÃO!$1:$1048576,2,FALSE),IFERROR(VLOOKUP(B30,'Ins. CDHU 201-SD'!$1:$1048576,2,FALSE),"Não Encontrado")))))</f>
        <v>SERVENTE</v>
      </c>
      <c r="D30" s="124" t="str">
        <f>UPPER(IFERROR(VLOOKUP(B30,'SINAPI 04-26-SD'!$1:$1048576,3,FALSE),IFERROR(VLOOKUP(B30,'Ins. SINAPI 04-26-SD'!$1:$1048576,3,FALSE),IFERROR(VLOOKUP(B30,COTAÇÃO!$1:$1048576,7,FALSE),IFERROR(VLOOKUP(B30,'Ins. CDHU 201-SD'!$1:$1048576,3,FALSE),"Não Encontrado")))))</f>
        <v>H</v>
      </c>
      <c r="E30" s="315">
        <v>0.24</v>
      </c>
      <c r="F30" s="125">
        <f>IFERROR(VLOOKUP(B30,'SINAPI 04-26-SD'!$1:$1048576,4,FALSE),IFERROR(VLOOKUP(B30,'Ins. SINAPI 04-26-SD'!$1:$1048576,5,FALSE),IFERROR(VLOOKUP(B30,COTAÇÃO!$1:$1048576,8,FALSE),IFERROR(VLOOKUP(B30,'Ins. CDHU 201-SD'!$1:$1048576,4,FALSE),"Não Encontrado"))))</f>
        <v>9.9499999999999993</v>
      </c>
      <c r="G30" s="126">
        <f>+ROUND(E30*F30,2)</f>
        <v>2.39</v>
      </c>
      <c r="H30" s="382"/>
      <c r="I30" s="315"/>
      <c r="M30" s="637"/>
    </row>
    <row r="31" spans="1:21" s="122" customFormat="1" ht="42">
      <c r="A31" s="316"/>
      <c r="B31" s="549"/>
      <c r="C31" s="123" t="s">
        <v>41258</v>
      </c>
      <c r="D31" s="124"/>
      <c r="E31" s="315"/>
      <c r="F31" s="125"/>
      <c r="G31" s="126">
        <f>+SUBTOTAL(9,G28:G30)</f>
        <v>4.33</v>
      </c>
      <c r="H31" s="382"/>
      <c r="M31" s="637"/>
    </row>
    <row r="32" spans="1:21" s="122" customFormat="1" ht="28">
      <c r="A32" s="316"/>
      <c r="B32" s="549"/>
      <c r="C32" s="123" t="s">
        <v>41259</v>
      </c>
      <c r="D32" s="124"/>
      <c r="E32" s="315">
        <f>$J$2</f>
        <v>128.22999999999999</v>
      </c>
      <c r="F32" s="125"/>
      <c r="G32" s="126">
        <f>+ROUND(G31*E32/100,2)</f>
        <v>5.55</v>
      </c>
      <c r="H32" s="382"/>
      <c r="M32" s="637"/>
    </row>
    <row r="33" spans="1:21" s="548" customFormat="1" ht="84">
      <c r="A33" s="550"/>
      <c r="B33" s="551"/>
      <c r="C33" s="552" t="s">
        <v>41231</v>
      </c>
      <c r="D33" s="553"/>
      <c r="E33" s="554"/>
      <c r="F33" s="555"/>
      <c r="G33" s="556">
        <f>SUM(G31:G32)</f>
        <v>9.879999999999999</v>
      </c>
      <c r="H33" s="547"/>
      <c r="M33" s="638"/>
    </row>
    <row r="34" spans="1:21" s="122" customFormat="1" ht="13">
      <c r="A34" s="127"/>
      <c r="B34" s="406"/>
      <c r="C34" s="406" t="s">
        <v>27907</v>
      </c>
      <c r="D34" s="406"/>
      <c r="E34" s="406"/>
      <c r="F34" s="407"/>
      <c r="G34" s="408">
        <f>SUM(G33,G27)</f>
        <v>455.96</v>
      </c>
      <c r="H34" s="382"/>
      <c r="M34" s="637"/>
    </row>
    <row r="35" spans="1:21" s="122" customFormat="1" ht="39" customHeight="1">
      <c r="A35" s="832" t="s">
        <v>27908</v>
      </c>
      <c r="B35" s="833"/>
      <c r="C35" s="841" t="s">
        <v>41790</v>
      </c>
      <c r="D35" s="841"/>
      <c r="E35" s="841"/>
      <c r="F35" s="841"/>
      <c r="G35" s="842"/>
      <c r="H35" s="382"/>
      <c r="M35" s="637"/>
    </row>
    <row r="37" spans="1:21" s="119" customFormat="1" ht="13.5" customHeight="1" thickBot="1">
      <c r="A37" s="120"/>
      <c r="B37" s="121"/>
      <c r="C37" s="121"/>
      <c r="D37" s="121"/>
      <c r="E37" s="121"/>
      <c r="F37" s="121"/>
      <c r="G37" s="206"/>
      <c r="H37" s="119" t="s">
        <v>6009</v>
      </c>
      <c r="I37" s="119" t="s">
        <v>27901</v>
      </c>
      <c r="J37" s="228" t="s">
        <v>27889</v>
      </c>
      <c r="M37" s="637"/>
    </row>
    <row r="38" spans="1:21" s="374" customFormat="1" ht="27.75" customHeight="1" thickBot="1">
      <c r="A38" s="543" t="s">
        <v>41799</v>
      </c>
      <c r="B38" s="544"/>
      <c r="C38" s="838" t="s">
        <v>41801</v>
      </c>
      <c r="D38" s="839"/>
      <c r="E38" s="839"/>
      <c r="F38" s="840"/>
      <c r="G38" s="545" t="s">
        <v>165</v>
      </c>
      <c r="H38" s="383" t="e">
        <f>#REF!</f>
        <v>#REF!</v>
      </c>
      <c r="I38" s="383">
        <v>0</v>
      </c>
      <c r="J38" s="383">
        <f>G48</f>
        <v>36.979999999999997</v>
      </c>
      <c r="K38" s="122"/>
      <c r="L38" s="122"/>
      <c r="M38" s="637" t="e">
        <f>VLOOKUP(A38,'Plan Orçamentária'!$Q:$Y,1,FALSE)</f>
        <v>#N/A</v>
      </c>
      <c r="N38" s="122"/>
      <c r="O38" s="122"/>
      <c r="P38" s="122"/>
      <c r="Q38" s="122"/>
      <c r="R38" s="122"/>
      <c r="S38" s="122"/>
      <c r="T38" s="122"/>
      <c r="U38" s="122"/>
    </row>
    <row r="39" spans="1:21" s="122" customFormat="1" ht="12" customHeight="1">
      <c r="A39" s="419" t="s">
        <v>27902</v>
      </c>
      <c r="B39" s="420" t="s">
        <v>27903</v>
      </c>
      <c r="C39" s="546" t="s">
        <v>5</v>
      </c>
      <c r="D39" s="421" t="s">
        <v>27886</v>
      </c>
      <c r="E39" s="422" t="s">
        <v>27904</v>
      </c>
      <c r="F39" s="422" t="s">
        <v>27905</v>
      </c>
      <c r="G39" s="423" t="s">
        <v>27906</v>
      </c>
      <c r="H39" s="382"/>
      <c r="M39" s="637"/>
    </row>
    <row r="40" spans="1:21" s="122" customFormat="1" ht="12" customHeight="1">
      <c r="A40" s="829" t="s">
        <v>41228</v>
      </c>
      <c r="B40" s="830"/>
      <c r="C40" s="830"/>
      <c r="D40" s="830"/>
      <c r="E40" s="830"/>
      <c r="F40" s="830"/>
      <c r="G40" s="831"/>
      <c r="H40" s="382"/>
      <c r="M40" s="637"/>
    </row>
    <row r="41" spans="1:21" s="648" customFormat="1" ht="70">
      <c r="A41" s="316" t="s">
        <v>41261</v>
      </c>
      <c r="B41" s="549" t="s">
        <v>6102</v>
      </c>
      <c r="C41" s="123" t="str">
        <f>UPPER(IFERROR(VLOOKUP(B41,'SINAPI 04-26-SD'!$1:$1048576,2,FALSE),IFERROR(VLOOKUP(B41,'Ins. SINAPI 04-26-SD'!$1:$1048576,2,FALSE),IFERROR(VLOOKUP(B41,COTAÇÃO!$1:$1048576,2,FALSE),IFERROR(VLOOKUP(B41,'Ins. CDHU 201-SD'!$1:$1048576,2,FALSE),IFERROR(VLOOKUP(B41,'Ins. FDE 01-26-SD'!$1:$1048576,2,FALSE),"Não Encontrado"))))))</f>
        <v>ESCAVAÇÃO MECANICA DIAM. 40CM</v>
      </c>
      <c r="D41" s="124" t="str">
        <f>UPPER(IFERROR(VLOOKUP(B41,'SINAPI 04-26-SD'!$1:$1048576,3,FALSE),IFERROR(VLOOKUP(B41,'Ins. SINAPI 04-26-SD'!$1:$1048576,3,FALSE),IFERROR(VLOOKUP(B41,COTAÇÃO!$1:$1048576,7,FALSE),IFERROR(VLOOKUP(B41,'Ins. CDHU 201-SD'!$1:$1048576,3,FALSE),IFERROR(VLOOKUP(B41,'Ins. FDE 01-26-SD'!$1:$1048576,3,FALSE),"Não Encontrado"))))))</f>
        <v>M</v>
      </c>
      <c r="E41" s="315">
        <v>1</v>
      </c>
      <c r="F41" s="125">
        <f>IFERROR(VLOOKUP(B41,'SINAPI 04-26-SD'!$1:$1048576,4,FALSE),IFERROR(VLOOKUP(B41,'Ins. SINAPI 04-26-SD'!$1:$1048576,5,FALSE),IFERROR(VLOOKUP(B41,COTAÇÃO!$1:$1048576,8,FALSE),IFERROR(VLOOKUP(B41,'Ins. CDHU 201-SD'!$1:$1048576,4,FALSE),IFERROR(VLOOKUP(B41,'Ins. FDE 01-26-SD'!$1:$1048576,4,FALSE),"Não Encontrado")))))</f>
        <v>33.369999999999997</v>
      </c>
      <c r="G41" s="126">
        <f>+ROUND(E41*F41,2)</f>
        <v>33.369999999999997</v>
      </c>
      <c r="H41" s="647"/>
      <c r="I41" s="646"/>
      <c r="M41" s="649"/>
    </row>
    <row r="42" spans="1:21" s="548" customFormat="1" ht="28">
      <c r="A42" s="550"/>
      <c r="B42" s="551"/>
      <c r="C42" s="552" t="s">
        <v>41229</v>
      </c>
      <c r="D42" s="553"/>
      <c r="E42" s="554"/>
      <c r="F42" s="555"/>
      <c r="G42" s="556">
        <f>SUM(G40:G41)</f>
        <v>33.369999999999997</v>
      </c>
      <c r="H42" s="547"/>
      <c r="M42" s="638"/>
    </row>
    <row r="43" spans="1:21" s="122" customFormat="1" ht="12" customHeight="1">
      <c r="A43" s="829" t="s">
        <v>41230</v>
      </c>
      <c r="B43" s="830"/>
      <c r="C43" s="830"/>
      <c r="D43" s="830"/>
      <c r="E43" s="830"/>
      <c r="F43" s="830"/>
      <c r="G43" s="831"/>
      <c r="H43" s="382"/>
      <c r="M43" s="637"/>
    </row>
    <row r="44" spans="1:21" s="122" customFormat="1" ht="14">
      <c r="A44" s="316" t="s">
        <v>29901</v>
      </c>
      <c r="B44" s="549" t="s">
        <v>57</v>
      </c>
      <c r="C44" s="123" t="str">
        <f>UPPER(IFERROR(VLOOKUP(B44,'SINAPI 04-26-SD'!$1:$1048576,2,FALSE),IFERROR(VLOOKUP(B44,'Ins. SINAPI 04-26-SD'!$1:$1048576,2,FALSE),IFERROR(VLOOKUP(B44,COTAÇÃO!$1:$1048576,2,FALSE),IFERROR(VLOOKUP(B44,'Ins. CDHU 201-SD'!$1:$1048576,2,FALSE),"Não Encontrado")))))</f>
        <v>SERVENTE</v>
      </c>
      <c r="D44" s="124" t="str">
        <f>UPPER(IFERROR(VLOOKUP(B44,'SINAPI 04-26-SD'!$1:$1048576,3,FALSE),IFERROR(VLOOKUP(B44,'Ins. SINAPI 04-26-SD'!$1:$1048576,3,FALSE),IFERROR(VLOOKUP(B44,COTAÇÃO!$1:$1048576,7,FALSE),IFERROR(VLOOKUP(B44,'Ins. CDHU 201-SD'!$1:$1048576,3,FALSE),"Não Encontrado")))))</f>
        <v>H</v>
      </c>
      <c r="E44" s="315">
        <v>0.15920999999999999</v>
      </c>
      <c r="F44" s="125">
        <f>IFERROR(VLOOKUP(B44,'SINAPI 04-26-SD'!$1:$1048576,4,FALSE),IFERROR(VLOOKUP(B44,'Ins. SINAPI 04-26-SD'!$1:$1048576,5,FALSE),IFERROR(VLOOKUP(B44,COTAÇÃO!$1:$1048576,8,FALSE),IFERROR(VLOOKUP(B44,'Ins. CDHU 201-SD'!$1:$1048576,4,FALSE),"Não Encontrado"))))</f>
        <v>9.9499999999999993</v>
      </c>
      <c r="G44" s="126">
        <f>+ROUND(E44*F44,2)</f>
        <v>1.58</v>
      </c>
      <c r="H44" s="382"/>
      <c r="I44" s="315"/>
      <c r="M44" s="637"/>
    </row>
    <row r="45" spans="1:21" s="122" customFormat="1" ht="42">
      <c r="A45" s="316"/>
      <c r="B45" s="549"/>
      <c r="C45" s="123" t="s">
        <v>41258</v>
      </c>
      <c r="D45" s="124"/>
      <c r="E45" s="315"/>
      <c r="F45" s="125"/>
      <c r="G45" s="126">
        <f>+SUBTOTAL(9,G43:G44)</f>
        <v>1.58</v>
      </c>
      <c r="H45" s="382"/>
      <c r="M45" s="637"/>
    </row>
    <row r="46" spans="1:21" s="122" customFormat="1" ht="28">
      <c r="A46" s="316"/>
      <c r="B46" s="549"/>
      <c r="C46" s="123" t="s">
        <v>41259</v>
      </c>
      <c r="D46" s="124"/>
      <c r="E46" s="315">
        <f>$J$2</f>
        <v>128.22999999999999</v>
      </c>
      <c r="F46" s="125"/>
      <c r="G46" s="126">
        <f>+ROUND(G45*E46/100,2)</f>
        <v>2.0299999999999998</v>
      </c>
      <c r="H46" s="382"/>
      <c r="M46" s="637"/>
    </row>
    <row r="47" spans="1:21" s="548" customFormat="1" ht="84">
      <c r="A47" s="550"/>
      <c r="B47" s="551"/>
      <c r="C47" s="552" t="s">
        <v>41231</v>
      </c>
      <c r="D47" s="553"/>
      <c r="E47" s="554"/>
      <c r="F47" s="555"/>
      <c r="G47" s="556">
        <f>SUM(G45:G46)</f>
        <v>3.61</v>
      </c>
      <c r="H47" s="547"/>
      <c r="M47" s="638"/>
    </row>
    <row r="48" spans="1:21" s="122" customFormat="1" ht="13">
      <c r="A48" s="127"/>
      <c r="B48" s="406"/>
      <c r="C48" s="406" t="s">
        <v>27907</v>
      </c>
      <c r="D48" s="406"/>
      <c r="E48" s="406"/>
      <c r="F48" s="407"/>
      <c r="G48" s="408">
        <f>SUM(G47,G42)</f>
        <v>36.979999999999997</v>
      </c>
      <c r="H48" s="382"/>
      <c r="M48" s="637"/>
    </row>
    <row r="49" spans="1:21" s="122" customFormat="1" ht="39" customHeight="1">
      <c r="A49" s="832" t="s">
        <v>27908</v>
      </c>
      <c r="B49" s="833"/>
      <c r="C49" s="841" t="s">
        <v>41800</v>
      </c>
      <c r="D49" s="841"/>
      <c r="E49" s="841"/>
      <c r="F49" s="841"/>
      <c r="G49" s="842"/>
      <c r="H49" s="382"/>
      <c r="M49" s="637"/>
    </row>
    <row r="51" spans="1:21" s="119" customFormat="1" ht="13.5" customHeight="1" thickBot="1">
      <c r="A51" s="120"/>
      <c r="B51" s="121"/>
      <c r="C51" s="121"/>
      <c r="D51" s="121"/>
      <c r="E51" s="121"/>
      <c r="F51" s="121"/>
      <c r="G51" s="206"/>
      <c r="H51" s="119" t="s">
        <v>6009</v>
      </c>
      <c r="I51" s="119" t="s">
        <v>27901</v>
      </c>
      <c r="J51" s="228" t="s">
        <v>27889</v>
      </c>
      <c r="M51" s="637"/>
    </row>
    <row r="52" spans="1:21" s="374" customFormat="1" ht="27" customHeight="1" thickBot="1">
      <c r="A52" s="543" t="s">
        <v>41802</v>
      </c>
      <c r="B52" s="544"/>
      <c r="C52" s="838" t="s">
        <v>41803</v>
      </c>
      <c r="D52" s="839"/>
      <c r="E52" s="839"/>
      <c r="F52" s="840"/>
      <c r="G52" s="545" t="s">
        <v>165</v>
      </c>
      <c r="H52" s="383" t="e">
        <f>#REF!</f>
        <v>#REF!</v>
      </c>
      <c r="I52" s="383">
        <v>0</v>
      </c>
      <c r="J52" s="383">
        <f>G62</f>
        <v>44.290000000000006</v>
      </c>
      <c r="K52" s="122"/>
      <c r="L52" s="122"/>
      <c r="M52" s="637" t="e">
        <f>VLOOKUP(A52,'Plan Orçamentária'!$Q:$Y,1,FALSE)</f>
        <v>#N/A</v>
      </c>
      <c r="N52" s="122"/>
      <c r="O52" s="122"/>
      <c r="P52" s="122"/>
      <c r="Q52" s="122"/>
      <c r="R52" s="122"/>
      <c r="S52" s="122"/>
      <c r="T52" s="122"/>
      <c r="U52" s="122"/>
    </row>
    <row r="53" spans="1:21" s="122" customFormat="1" ht="12" customHeight="1">
      <c r="A53" s="419" t="s">
        <v>27902</v>
      </c>
      <c r="B53" s="420" t="s">
        <v>27903</v>
      </c>
      <c r="C53" s="546" t="s">
        <v>5</v>
      </c>
      <c r="D53" s="421" t="s">
        <v>27886</v>
      </c>
      <c r="E53" s="422" t="s">
        <v>27904</v>
      </c>
      <c r="F53" s="422" t="s">
        <v>27905</v>
      </c>
      <c r="G53" s="423" t="s">
        <v>27906</v>
      </c>
      <c r="H53" s="382"/>
      <c r="M53" s="637"/>
    </row>
    <row r="54" spans="1:21" s="122" customFormat="1" ht="12" customHeight="1">
      <c r="A54" s="829" t="s">
        <v>41228</v>
      </c>
      <c r="B54" s="830"/>
      <c r="C54" s="830"/>
      <c r="D54" s="830"/>
      <c r="E54" s="830"/>
      <c r="F54" s="830"/>
      <c r="G54" s="831"/>
      <c r="H54" s="382"/>
      <c r="M54" s="637"/>
    </row>
    <row r="55" spans="1:21" s="648" customFormat="1" ht="70">
      <c r="A55" s="316" t="s">
        <v>41261</v>
      </c>
      <c r="B55" s="549" t="s">
        <v>6098</v>
      </c>
      <c r="C55" s="123" t="str">
        <f>UPPER(IFERROR(VLOOKUP(B55,'SINAPI 04-26-SD'!$1:$1048576,2,FALSE),IFERROR(VLOOKUP(B55,'Ins. SINAPI 04-26-SD'!$1:$1048576,2,FALSE),IFERROR(VLOOKUP(B55,COTAÇÃO!$1:$1048576,2,FALSE),IFERROR(VLOOKUP(B55,'Ins. CDHU 201-SD'!$1:$1048576,2,FALSE),IFERROR(VLOOKUP(B55,'Ins. FDE 01-26-SD'!$1:$1048576,2,FALSE),"Não Encontrado"))))))</f>
        <v>ESCAVACAO MECANICA DIAM 50 CM</v>
      </c>
      <c r="D55" s="124" t="str">
        <f>UPPER(IFERROR(VLOOKUP(B55,'SINAPI 04-26-SD'!$1:$1048576,3,FALSE),IFERROR(VLOOKUP(B55,'Ins. SINAPI 04-26-SD'!$1:$1048576,3,FALSE),IFERROR(VLOOKUP(B55,COTAÇÃO!$1:$1048576,7,FALSE),IFERROR(VLOOKUP(B55,'Ins. CDHU 201-SD'!$1:$1048576,3,FALSE),IFERROR(VLOOKUP(B55,'Ins. FDE 01-26-SD'!$1:$1048576,3,FALSE),"Não Encontrado"))))))</f>
        <v>M</v>
      </c>
      <c r="E55" s="315">
        <v>1</v>
      </c>
      <c r="F55" s="125">
        <f>IFERROR(VLOOKUP(B55,'SINAPI 04-26-SD'!$1:$1048576,4,FALSE),IFERROR(VLOOKUP(B55,'Ins. SINAPI 04-26-SD'!$1:$1048576,5,FALSE),IFERROR(VLOOKUP(B55,COTAÇÃO!$1:$1048576,8,FALSE),IFERROR(VLOOKUP(B55,'Ins. CDHU 201-SD'!$1:$1048576,4,FALSE),IFERROR(VLOOKUP(B55,'Ins. FDE 01-26-SD'!$1:$1048576,4,FALSE),"Não Encontrado")))))</f>
        <v>39.630000000000003</v>
      </c>
      <c r="G55" s="126">
        <f>+ROUND(E55*F55,2)</f>
        <v>39.630000000000003</v>
      </c>
      <c r="H55" s="647"/>
      <c r="I55" s="646"/>
      <c r="M55" s="649"/>
    </row>
    <row r="56" spans="1:21" s="548" customFormat="1" ht="28">
      <c r="A56" s="550"/>
      <c r="B56" s="551"/>
      <c r="C56" s="552" t="s">
        <v>41229</v>
      </c>
      <c r="D56" s="553"/>
      <c r="E56" s="554"/>
      <c r="F56" s="555"/>
      <c r="G56" s="556">
        <f>SUM(G54:G55)</f>
        <v>39.630000000000003</v>
      </c>
      <c r="H56" s="547"/>
      <c r="M56" s="638"/>
    </row>
    <row r="57" spans="1:21" s="122" customFormat="1" ht="12" customHeight="1">
      <c r="A57" s="829" t="s">
        <v>41230</v>
      </c>
      <c r="B57" s="830"/>
      <c r="C57" s="830"/>
      <c r="D57" s="830"/>
      <c r="E57" s="830"/>
      <c r="F57" s="830"/>
      <c r="G57" s="831"/>
      <c r="H57" s="382"/>
      <c r="M57" s="637"/>
    </row>
    <row r="58" spans="1:21" s="122" customFormat="1" ht="14">
      <c r="A58" s="316" t="s">
        <v>29901</v>
      </c>
      <c r="B58" s="549" t="s">
        <v>57</v>
      </c>
      <c r="C58" s="123" t="str">
        <f>UPPER(IFERROR(VLOOKUP(B58,'SINAPI 04-26-SD'!$1:$1048576,2,FALSE),IFERROR(VLOOKUP(B58,'Ins. SINAPI 04-26-SD'!$1:$1048576,2,FALSE),IFERROR(VLOOKUP(B58,COTAÇÃO!$1:$1048576,2,FALSE),IFERROR(VLOOKUP(B58,'Ins. CDHU 201-SD'!$1:$1048576,2,FALSE),"Não Encontrado")))))</f>
        <v>SERVENTE</v>
      </c>
      <c r="D58" s="124" t="str">
        <f>UPPER(IFERROR(VLOOKUP(B58,'SINAPI 04-26-SD'!$1:$1048576,3,FALSE),IFERROR(VLOOKUP(B58,'Ins. SINAPI 04-26-SD'!$1:$1048576,3,FALSE),IFERROR(VLOOKUP(B58,COTAÇÃO!$1:$1048576,7,FALSE),IFERROR(VLOOKUP(B58,'Ins. CDHU 201-SD'!$1:$1048576,3,FALSE),"Não Encontrado")))))</f>
        <v>H</v>
      </c>
      <c r="E58" s="315">
        <v>0.20537</v>
      </c>
      <c r="F58" s="125">
        <f>IFERROR(VLOOKUP(B58,'SINAPI 04-26-SD'!$1:$1048576,4,FALSE),IFERROR(VLOOKUP(B58,'Ins. SINAPI 04-26-SD'!$1:$1048576,5,FALSE),IFERROR(VLOOKUP(B58,COTAÇÃO!$1:$1048576,8,FALSE),IFERROR(VLOOKUP(B58,'Ins. CDHU 201-SD'!$1:$1048576,4,FALSE),"Não Encontrado"))))</f>
        <v>9.9499999999999993</v>
      </c>
      <c r="G58" s="126">
        <f>+ROUND(E58*F58,2)</f>
        <v>2.04</v>
      </c>
      <c r="H58" s="382"/>
      <c r="I58" s="315"/>
      <c r="M58" s="637"/>
    </row>
    <row r="59" spans="1:21" s="122" customFormat="1" ht="42">
      <c r="A59" s="316"/>
      <c r="B59" s="549"/>
      <c r="C59" s="123" t="s">
        <v>41258</v>
      </c>
      <c r="D59" s="124"/>
      <c r="E59" s="315"/>
      <c r="F59" s="125"/>
      <c r="G59" s="126">
        <f>+SUBTOTAL(9,G57:G58)</f>
        <v>2.04</v>
      </c>
      <c r="H59" s="382"/>
      <c r="M59" s="637"/>
    </row>
    <row r="60" spans="1:21" s="122" customFormat="1" ht="28">
      <c r="A60" s="316"/>
      <c r="B60" s="549"/>
      <c r="C60" s="123" t="s">
        <v>41259</v>
      </c>
      <c r="D60" s="124"/>
      <c r="E60" s="315">
        <f>$J$2</f>
        <v>128.22999999999999</v>
      </c>
      <c r="F60" s="125"/>
      <c r="G60" s="126">
        <f>+ROUND(G59*E60/100,2)</f>
        <v>2.62</v>
      </c>
      <c r="H60" s="382"/>
      <c r="M60" s="637"/>
    </row>
    <row r="61" spans="1:21" s="548" customFormat="1" ht="84">
      <c r="A61" s="550"/>
      <c r="B61" s="551"/>
      <c r="C61" s="552" t="s">
        <v>41231</v>
      </c>
      <c r="D61" s="553"/>
      <c r="E61" s="554"/>
      <c r="F61" s="555"/>
      <c r="G61" s="556">
        <f>SUM(G59:G60)</f>
        <v>4.66</v>
      </c>
      <c r="H61" s="547"/>
      <c r="M61" s="638"/>
    </row>
    <row r="62" spans="1:21" s="122" customFormat="1" ht="13">
      <c r="A62" s="127"/>
      <c r="B62" s="406"/>
      <c r="C62" s="406" t="s">
        <v>27907</v>
      </c>
      <c r="D62" s="406"/>
      <c r="E62" s="406"/>
      <c r="F62" s="407"/>
      <c r="G62" s="408">
        <f>SUM(G61,G56)</f>
        <v>44.290000000000006</v>
      </c>
      <c r="H62" s="382"/>
      <c r="M62" s="637"/>
    </row>
    <row r="63" spans="1:21" s="122" customFormat="1" ht="39" customHeight="1">
      <c r="A63" s="832" t="s">
        <v>27908</v>
      </c>
      <c r="B63" s="833"/>
      <c r="C63" s="841" t="s">
        <v>41800</v>
      </c>
      <c r="D63" s="841"/>
      <c r="E63" s="841"/>
      <c r="F63" s="841"/>
      <c r="G63" s="842"/>
      <c r="H63" s="382"/>
      <c r="M63" s="637"/>
    </row>
    <row r="65" spans="1:21" s="119" customFormat="1" ht="13.5" customHeight="1" thickBot="1">
      <c r="A65" s="120"/>
      <c r="B65" s="121"/>
      <c r="C65" s="121"/>
      <c r="D65" s="121"/>
      <c r="E65" s="121"/>
      <c r="F65" s="121"/>
      <c r="G65" s="206"/>
      <c r="H65" s="119" t="s">
        <v>6009</v>
      </c>
      <c r="I65" s="119" t="s">
        <v>27901</v>
      </c>
      <c r="J65" s="228" t="s">
        <v>27889</v>
      </c>
      <c r="M65" s="637"/>
    </row>
    <row r="66" spans="1:21" s="374" customFormat="1" ht="28.5" customHeight="1" thickBot="1">
      <c r="A66" s="543" t="s">
        <v>41809</v>
      </c>
      <c r="B66" s="544"/>
      <c r="C66" s="838" t="s">
        <v>41810</v>
      </c>
      <c r="D66" s="839"/>
      <c r="E66" s="839"/>
      <c r="F66" s="840"/>
      <c r="G66" s="545" t="s">
        <v>103</v>
      </c>
      <c r="H66" s="383" t="e">
        <f>#REF!</f>
        <v>#REF!</v>
      </c>
      <c r="I66" s="383">
        <v>0</v>
      </c>
      <c r="J66" s="383">
        <f>G78</f>
        <v>761.24</v>
      </c>
      <c r="K66" s="122"/>
      <c r="L66" s="122"/>
      <c r="M66" s="637" t="e">
        <f>VLOOKUP(A66,'Plan Orçamentária'!$Q:$Y,1,FALSE)</f>
        <v>#N/A</v>
      </c>
      <c r="N66" s="122"/>
      <c r="O66" s="122"/>
      <c r="P66" s="122"/>
      <c r="Q66" s="122"/>
      <c r="R66" s="122"/>
      <c r="S66" s="122"/>
      <c r="T66" s="122"/>
      <c r="U66" s="122"/>
    </row>
    <row r="67" spans="1:21" s="122" customFormat="1" ht="12" customHeight="1">
      <c r="A67" s="419" t="s">
        <v>27902</v>
      </c>
      <c r="B67" s="420" t="s">
        <v>27903</v>
      </c>
      <c r="C67" s="546" t="s">
        <v>5</v>
      </c>
      <c r="D67" s="421" t="s">
        <v>27886</v>
      </c>
      <c r="E67" s="422" t="s">
        <v>27904</v>
      </c>
      <c r="F67" s="422" t="s">
        <v>27905</v>
      </c>
      <c r="G67" s="423" t="s">
        <v>27906</v>
      </c>
      <c r="H67" s="382"/>
      <c r="M67" s="637"/>
    </row>
    <row r="68" spans="1:21" s="122" customFormat="1" ht="12" customHeight="1">
      <c r="A68" s="829" t="s">
        <v>41228</v>
      </c>
      <c r="B68" s="830"/>
      <c r="C68" s="830"/>
      <c r="D68" s="830"/>
      <c r="E68" s="830"/>
      <c r="F68" s="830"/>
      <c r="G68" s="831"/>
      <c r="H68" s="382"/>
      <c r="M68" s="637"/>
    </row>
    <row r="69" spans="1:21" s="648" customFormat="1" ht="70">
      <c r="A69" s="316" t="s">
        <v>41794</v>
      </c>
      <c r="B69" s="549">
        <v>82030</v>
      </c>
      <c r="C69" s="123" t="s">
        <v>32477</v>
      </c>
      <c r="D69" s="124" t="s">
        <v>103</v>
      </c>
      <c r="E69" s="315">
        <v>3</v>
      </c>
      <c r="F69" s="125">
        <v>18.25</v>
      </c>
      <c r="G69" s="126">
        <f>+ROUND(E69*F69,2)</f>
        <v>54.75</v>
      </c>
      <c r="H69" s="647"/>
      <c r="I69" s="646"/>
      <c r="M69" s="649"/>
    </row>
    <row r="70" spans="1:21" s="548" customFormat="1" ht="28">
      <c r="A70" s="550"/>
      <c r="B70" s="551"/>
      <c r="C70" s="552" t="s">
        <v>41229</v>
      </c>
      <c r="D70" s="553"/>
      <c r="E70" s="554"/>
      <c r="F70" s="555"/>
      <c r="G70" s="556">
        <f>SUM(G68:G69)</f>
        <v>54.75</v>
      </c>
      <c r="H70" s="547"/>
      <c r="M70" s="638"/>
    </row>
    <row r="71" spans="1:21" s="122" customFormat="1" ht="12" customHeight="1">
      <c r="A71" s="829" t="s">
        <v>41230</v>
      </c>
      <c r="B71" s="830"/>
      <c r="C71" s="830"/>
      <c r="D71" s="830"/>
      <c r="E71" s="830"/>
      <c r="F71" s="830"/>
      <c r="G71" s="831"/>
      <c r="H71" s="382"/>
      <c r="M71" s="637"/>
    </row>
    <row r="72" spans="1:21" s="122" customFormat="1" ht="112">
      <c r="A72" s="316" t="s">
        <v>27888</v>
      </c>
      <c r="B72" s="549">
        <v>245</v>
      </c>
      <c r="C72" s="123" t="str">
        <f>UPPER(IFERROR(VLOOKUP(B72,'SINAPI 04-26-SD'!$1:$1048576,2,FALSE),IFERROR(VLOOKUP(B72,'Ins. SINAPI 04-26-SD'!$1:$1048576,2,FALSE),IFERROR(VLOOKUP(B72,COTAÇÃO!$1:$1048576,2,FALSE),IFERROR(VLOOKUP(B72,'Ins. CDHU 201-SD'!$1:$1048576,2,FALSE),"Não Encontrado")))))</f>
        <v>AUXILIAR DE LABORATORISTA DE SOLOS E DE CONCRETO (HORISTA)</v>
      </c>
      <c r="D72" s="124" t="str">
        <f>UPPER(IFERROR(VLOOKUP(B72,'SINAPI 04-26-SD'!$1:$1048576,3,FALSE),IFERROR(VLOOKUP(B72,'Ins. SINAPI 04-26-SD'!$1:$1048576,3,FALSE),IFERROR(VLOOKUP(B72,COTAÇÃO!$1:$1048576,7,FALSE),IFERROR(VLOOKUP(B72,'Ins. CDHU 201-SD'!$1:$1048576,3,FALSE),"Não Encontrado")))))</f>
        <v>H</v>
      </c>
      <c r="E72" s="315">
        <v>4</v>
      </c>
      <c r="F72" s="125">
        <f>IFERROR(VLOOKUP(B72,'SINAPI 04-26-SD'!$1:$1048576,4,FALSE),IFERROR(VLOOKUP(B72,'Ins. SINAPI 04-26-SD'!$1:$1048576,5,FALSE),IFERROR(VLOOKUP(B72,COTAÇÃO!$1:$1048576,8,FALSE),IFERROR(VLOOKUP(B72,'Ins. CDHU 201-SD'!$1:$1048576,4,FALSE),"Não Encontrado"))))</f>
        <v>40.44</v>
      </c>
      <c r="G72" s="126">
        <f>+ROUND(E72*F72,2)</f>
        <v>161.76</v>
      </c>
      <c r="H72" s="382"/>
      <c r="I72" s="315"/>
      <c r="M72" s="637"/>
    </row>
    <row r="73" spans="1:21" s="122" customFormat="1" ht="42">
      <c r="A73" s="316" t="s">
        <v>29901</v>
      </c>
      <c r="B73" s="549" t="s">
        <v>85</v>
      </c>
      <c r="C73" s="123" t="str">
        <f>UPPER(IFERROR(VLOOKUP(B73,'SINAPI 04-26-SD'!$1:$1048576,2,FALSE),IFERROR(VLOOKUP(B73,'Ins. SINAPI 04-26-SD'!$1:$1048576,2,FALSE),IFERROR(VLOOKUP(B73,COTAÇÃO!$1:$1048576,2,FALSE),IFERROR(VLOOKUP(B73,'Ins. CDHU 201-SD'!$1:$1048576,2,FALSE),"Não Encontrado")))))</f>
        <v>ENGENHEIRO JUNIOR DE CIVIL</v>
      </c>
      <c r="D73" s="124" t="str">
        <f>UPPER(IFERROR(VLOOKUP(B73,'SINAPI 04-26-SD'!$1:$1048576,3,FALSE),IFERROR(VLOOKUP(B73,'Ins. SINAPI 04-26-SD'!$1:$1048576,3,FALSE),IFERROR(VLOOKUP(B73,COTAÇÃO!$1:$1048576,7,FALSE),IFERROR(VLOOKUP(B73,'Ins. CDHU 201-SD'!$1:$1048576,3,FALSE),"Não Encontrado")))))</f>
        <v>H</v>
      </c>
      <c r="E73" s="315">
        <v>0.5</v>
      </c>
      <c r="F73" s="125">
        <f>IFERROR(VLOOKUP(B73,'SINAPI 04-26-SD'!$1:$1048576,4,FALSE),IFERROR(VLOOKUP(B73,'Ins. SINAPI 04-26-SD'!$1:$1048576,5,FALSE),IFERROR(VLOOKUP(B73,COTAÇÃO!$1:$1048576,8,FALSE),IFERROR(VLOOKUP(B73,'Ins. CDHU 201-SD'!$1:$1048576,4,FALSE),"Não Encontrado"))))</f>
        <v>58.3</v>
      </c>
      <c r="G73" s="126">
        <f>+ROUND(E73*F73,2)</f>
        <v>29.15</v>
      </c>
      <c r="H73" s="382"/>
      <c r="I73" s="315"/>
      <c r="M73" s="637"/>
    </row>
    <row r="74" spans="1:21" s="122" customFormat="1" ht="112">
      <c r="A74" s="316" t="s">
        <v>27888</v>
      </c>
      <c r="B74" s="549">
        <v>7153</v>
      </c>
      <c r="C74" s="123" t="str">
        <f>UPPER(IFERROR(VLOOKUP(B74,'SINAPI 04-26-SD'!$1:$1048576,2,FALSE),IFERROR(VLOOKUP(B74,'Ins. SINAPI 04-26-SD'!$1:$1048576,2,FALSE),IFERROR(VLOOKUP(B74,COTAÇÃO!$1:$1048576,2,FALSE),IFERROR(VLOOKUP(B74,'Ins. CDHU 201-SD'!$1:$1048576,2,FALSE),"Não Encontrado")))))</f>
        <v>TECNICO EM LABORATORIO E CAMPO DE CONSTRUCAO CIVIL (HORISTA)</v>
      </c>
      <c r="D74" s="124" t="str">
        <f>UPPER(IFERROR(VLOOKUP(B74,'SINAPI 04-26-SD'!$1:$1048576,3,FALSE),IFERROR(VLOOKUP(B74,'Ins. SINAPI 04-26-SD'!$1:$1048576,3,FALSE),IFERROR(VLOOKUP(B74,COTAÇÃO!$1:$1048576,7,FALSE),IFERROR(VLOOKUP(B74,'Ins. CDHU 201-SD'!$1:$1048576,3,FALSE),"Não Encontrado")))))</f>
        <v>H</v>
      </c>
      <c r="E74" s="315">
        <v>2</v>
      </c>
      <c r="F74" s="125">
        <f>IFERROR(VLOOKUP(B74,'SINAPI 04-26-SD'!$1:$1048576,4,FALSE),IFERROR(VLOOKUP(B74,'Ins. SINAPI 04-26-SD'!$1:$1048576,5,FALSE),IFERROR(VLOOKUP(B74,COTAÇÃO!$1:$1048576,8,FALSE),IFERROR(VLOOKUP(B74,'Ins. CDHU 201-SD'!$1:$1048576,4,FALSE),"Não Encontrado"))))</f>
        <v>59.32</v>
      </c>
      <c r="G74" s="126">
        <f>+ROUND(E74*F74,2)</f>
        <v>118.64</v>
      </c>
      <c r="H74" s="382"/>
      <c r="I74" s="315"/>
      <c r="M74" s="637"/>
    </row>
    <row r="75" spans="1:21" s="122" customFormat="1" ht="42">
      <c r="A75" s="316"/>
      <c r="B75" s="549"/>
      <c r="C75" s="123" t="s">
        <v>41258</v>
      </c>
      <c r="D75" s="124"/>
      <c r="E75" s="315"/>
      <c r="F75" s="125"/>
      <c r="G75" s="126">
        <f>+SUBTOTAL(9,G71:G74)</f>
        <v>309.55</v>
      </c>
      <c r="H75" s="382"/>
      <c r="M75" s="637"/>
    </row>
    <row r="76" spans="1:21" s="122" customFormat="1" ht="28">
      <c r="A76" s="316"/>
      <c r="B76" s="549"/>
      <c r="C76" s="123" t="s">
        <v>41259</v>
      </c>
      <c r="D76" s="124"/>
      <c r="E76" s="315">
        <f>$J$2</f>
        <v>128.22999999999999</v>
      </c>
      <c r="F76" s="125"/>
      <c r="G76" s="126">
        <f>+ROUND(G75*E76/100,2)</f>
        <v>396.94</v>
      </c>
      <c r="H76" s="382"/>
      <c r="M76" s="637"/>
    </row>
    <row r="77" spans="1:21" s="548" customFormat="1" ht="84">
      <c r="A77" s="550"/>
      <c r="B77" s="551"/>
      <c r="C77" s="552" t="s">
        <v>41231</v>
      </c>
      <c r="D77" s="553"/>
      <c r="E77" s="554"/>
      <c r="F77" s="555"/>
      <c r="G77" s="556">
        <f>SUM(G75:G76)</f>
        <v>706.49</v>
      </c>
      <c r="H77" s="547"/>
      <c r="M77" s="638"/>
    </row>
    <row r="78" spans="1:21" s="122" customFormat="1" ht="13">
      <c r="A78" s="127"/>
      <c r="B78" s="406"/>
      <c r="C78" s="406" t="s">
        <v>27907</v>
      </c>
      <c r="D78" s="406"/>
      <c r="E78" s="406"/>
      <c r="F78" s="407"/>
      <c r="G78" s="408">
        <f>SUM(G77,G70)</f>
        <v>761.24</v>
      </c>
      <c r="H78" s="382"/>
      <c r="M78" s="637"/>
    </row>
    <row r="79" spans="1:21" s="122" customFormat="1" ht="39" customHeight="1">
      <c r="A79" s="832" t="s">
        <v>27908</v>
      </c>
      <c r="B79" s="833"/>
      <c r="C79" s="841" t="s">
        <v>41811</v>
      </c>
      <c r="D79" s="841"/>
      <c r="E79" s="841"/>
      <c r="F79" s="841"/>
      <c r="G79" s="842"/>
      <c r="H79" s="382"/>
      <c r="M79" s="637"/>
    </row>
    <row r="81" spans="1:21" s="119" customFormat="1" ht="13.5" customHeight="1" thickBot="1">
      <c r="A81" s="120"/>
      <c r="B81" s="121"/>
      <c r="C81" s="121"/>
      <c r="D81" s="121"/>
      <c r="E81" s="121"/>
      <c r="F81" s="121"/>
      <c r="G81" s="206"/>
      <c r="H81" s="119" t="s">
        <v>6009</v>
      </c>
      <c r="I81" s="119" t="s">
        <v>27901</v>
      </c>
      <c r="J81" s="228" t="s">
        <v>27889</v>
      </c>
      <c r="M81" s="637"/>
    </row>
    <row r="82" spans="1:21" s="374" customFormat="1" ht="75" customHeight="1" thickBot="1">
      <c r="A82" s="543" t="s">
        <v>41845</v>
      </c>
      <c r="B82" s="544"/>
      <c r="C82" s="838" t="s">
        <v>41846</v>
      </c>
      <c r="D82" s="839"/>
      <c r="E82" s="839"/>
      <c r="F82" s="840"/>
      <c r="G82" s="674" t="s">
        <v>509</v>
      </c>
      <c r="H82" s="383" t="e">
        <f>#REF!</f>
        <v>#REF!</v>
      </c>
      <c r="I82" s="383">
        <v>0</v>
      </c>
      <c r="J82" s="383" t="e">
        <f>G109</f>
        <v>#VALUE!</v>
      </c>
      <c r="K82" s="122"/>
      <c r="L82" s="122"/>
      <c r="M82" s="637" t="e">
        <f>VLOOKUP(A82,'Plan Orçamentária'!$Q:$Y,1,FALSE)</f>
        <v>#N/A</v>
      </c>
      <c r="N82" s="122"/>
      <c r="O82" s="122"/>
      <c r="P82" s="122"/>
      <c r="Q82" s="122"/>
      <c r="R82" s="122"/>
      <c r="S82" s="122"/>
      <c r="T82" s="122"/>
      <c r="U82" s="122"/>
    </row>
    <row r="83" spans="1:21" s="122" customFormat="1" ht="12" customHeight="1">
      <c r="A83" s="419" t="s">
        <v>27902</v>
      </c>
      <c r="B83" s="420" t="s">
        <v>27903</v>
      </c>
      <c r="C83" s="546" t="s">
        <v>5</v>
      </c>
      <c r="D83" s="421" t="s">
        <v>27886</v>
      </c>
      <c r="E83" s="422" t="s">
        <v>27904</v>
      </c>
      <c r="F83" s="422" t="s">
        <v>27905</v>
      </c>
      <c r="G83" s="423" t="s">
        <v>27906</v>
      </c>
      <c r="H83" s="382"/>
      <c r="M83" s="637"/>
    </row>
    <row r="84" spans="1:21" s="122" customFormat="1" ht="12" customHeight="1">
      <c r="A84" s="829" t="s">
        <v>41228</v>
      </c>
      <c r="B84" s="830"/>
      <c r="C84" s="830"/>
      <c r="D84" s="830"/>
      <c r="E84" s="830"/>
      <c r="F84" s="830"/>
      <c r="G84" s="831"/>
      <c r="H84" s="382"/>
      <c r="M84" s="637"/>
    </row>
    <row r="85" spans="1:21" s="648" customFormat="1" ht="196">
      <c r="A85" s="675" t="s">
        <v>29901</v>
      </c>
      <c r="B85" s="676">
        <v>95276</v>
      </c>
      <c r="C85" s="123" t="str">
        <f>UPPER(IFERROR(VLOOKUP(B85,'SINAPI 04-26-SD'!$1:$1048576,2,FALSE),IFERROR(VLOOKUP(B85,'Ins. SINAPI 04-26-SD'!$1:$1048576,2,FALSE),IFERROR(VLOOKUP(B85,COTAÇÃO!$1:$1048576,2,FALSE),IFERROR(VLOOKUP(B85,'Ins. CDHU 201-SD'!$1:$1048576,2,FALSE),"Não Encontrado")))))</f>
        <v>POLIDORA DE PISO (POLITRIZ), PESO DE 100KG, DIÂMETRO 450 MM, MOTOR ELÉTRICO, POTÊNCIA 4 HP - CHP DIURNO. AF_05/2023</v>
      </c>
      <c r="D85" s="124" t="str">
        <f>UPPER(IFERROR(VLOOKUP(B85,'SINAPI 04-26-SD'!$1:$1048576,3,FALSE),IFERROR(VLOOKUP(B85,'Ins. SINAPI 04-26-SD'!$1:$1048576,3,FALSE),IFERROR(VLOOKUP(B85,COTAÇÃO!$1:$1048576,7,FALSE),IFERROR(VLOOKUP(B85,'Ins. CDHU 201-SD'!$1:$1048576,3,FALSE),"Não Encontrado")))))</f>
        <v>CHP</v>
      </c>
      <c r="E85" s="679">
        <v>9.0300000000000005E-2</v>
      </c>
      <c r="F85" s="125">
        <f>IFERROR(VLOOKUP(B85,'SINAPI 04-26-SD'!$1:$1048576,4,FALSE),IFERROR(VLOOKUP(B85,'Ins. SINAPI 04-26-SD'!$1:$1048576,5,FALSE),IFERROR(VLOOKUP(B85,COTAÇÃO!$1:$1048576,8,FALSE),IFERROR(VLOOKUP(B85,'Ins. CDHU 201-SD'!$1:$1048576,4,FALSE),"Não Encontrado"))))</f>
        <v>3.33</v>
      </c>
      <c r="G85" s="126">
        <f t="shared" ref="G85:G100" si="1">+ROUND(E85*F85,2)</f>
        <v>0.3</v>
      </c>
      <c r="H85" s="647"/>
      <c r="I85" s="646"/>
      <c r="M85" s="649"/>
    </row>
    <row r="86" spans="1:21" s="648" customFormat="1" ht="196">
      <c r="A86" s="675" t="s">
        <v>29901</v>
      </c>
      <c r="B86" s="676">
        <v>95277</v>
      </c>
      <c r="C86" s="123" t="str">
        <f>UPPER(IFERROR(VLOOKUP(B86,'SINAPI 04-26-SD'!$1:$1048576,2,FALSE),IFERROR(VLOOKUP(B86,'Ins. SINAPI 04-26-SD'!$1:$1048576,2,FALSE),IFERROR(VLOOKUP(B86,COTAÇÃO!$1:$1048576,2,FALSE),IFERROR(VLOOKUP(B86,'Ins. CDHU 201-SD'!$1:$1048576,2,FALSE),"Não Encontrado")))))</f>
        <v>POLIDORA DE PISO (POLITRIZ), PESO DE 100KG, DIÂMETRO 450 MM, MOTOR ELÉTRICO, POTÊNCIA 4 HP - CHI DIURNO. AF_05/2023</v>
      </c>
      <c r="D86" s="124" t="str">
        <f>UPPER(IFERROR(VLOOKUP(B86,'SINAPI 04-26-SD'!$1:$1048576,3,FALSE),IFERROR(VLOOKUP(B86,'Ins. SINAPI 04-26-SD'!$1:$1048576,3,FALSE),IFERROR(VLOOKUP(B86,COTAÇÃO!$1:$1048576,7,FALSE),IFERROR(VLOOKUP(B86,'Ins. CDHU 201-SD'!$1:$1048576,3,FALSE),"Não Encontrado")))))</f>
        <v>CHI</v>
      </c>
      <c r="E86" s="679">
        <v>0.21640000000000001</v>
      </c>
      <c r="F86" s="125">
        <f>IFERROR(VLOOKUP(B86,'SINAPI 04-26-SD'!$1:$1048576,4,FALSE),IFERROR(VLOOKUP(B86,'Ins. SINAPI 04-26-SD'!$1:$1048576,5,FALSE),IFERROR(VLOOKUP(B86,COTAÇÃO!$1:$1048576,8,FALSE),IFERROR(VLOOKUP(B86,'Ins. CDHU 201-SD'!$1:$1048576,4,FALSE),"Não Encontrado"))))</f>
        <v>0.7</v>
      </c>
      <c r="G86" s="126">
        <f t="shared" si="1"/>
        <v>0.15</v>
      </c>
      <c r="H86" s="647"/>
      <c r="I86" s="646"/>
      <c r="M86" s="649"/>
    </row>
    <row r="87" spans="1:21" s="648" customFormat="1" ht="42">
      <c r="A87" s="675" t="s">
        <v>41847</v>
      </c>
      <c r="B87" s="676" t="s">
        <v>41262</v>
      </c>
      <c r="C87" s="123" t="str">
        <f>UPPER(IFERROR(VLOOKUP(B87,'SINAPI 04-26-SD'!$1:$1048576,2,FALSE),IFERROR(VLOOKUP(B87,'Ins. SINAPI 04-26-SD'!$1:$1048576,2,FALSE),IFERROR(VLOOKUP(B87,COTAÇÃO!$1:$1048576,2,FALSE),IFERROR(VLOOKUP(B87,'Ins. CDHU 201-SD'!$1:$1048576,2,FALSE),"Não Encontrado")))))</f>
        <v>NÃO ENCONTRADO</v>
      </c>
      <c r="D87" s="124" t="str">
        <f>UPPER(IFERROR(VLOOKUP(B87,'SINAPI 04-26-SD'!$1:$1048576,3,FALSE),IFERROR(VLOOKUP(B87,'Ins. SINAPI 04-26-SD'!$1:$1048576,3,FALSE),IFERROR(VLOOKUP(B87,COTAÇÃO!$1:$1048576,7,FALSE),IFERROR(VLOOKUP(B87,'Ins. CDHU 201-SD'!$1:$1048576,3,FALSE),"Não Encontrado")))))</f>
        <v>NÃO ENCONTRADO</v>
      </c>
      <c r="E87" s="679">
        <v>1.2E-2</v>
      </c>
      <c r="F87" s="125" t="str">
        <f>IFERROR(VLOOKUP(B87,'SINAPI 04-26-SD'!$1:$1048576,4,FALSE),IFERROR(VLOOKUP(B87,'Ins. SINAPI 04-26-SD'!$1:$1048576,5,FALSE),IFERROR(VLOOKUP(B87,COTAÇÃO!$1:$1048576,8,FALSE),IFERROR(VLOOKUP(B87,'Ins. CDHU 201-SD'!$1:$1048576,4,FALSE),"Não Encontrado"))))</f>
        <v>Não Encontrado</v>
      </c>
      <c r="G87" s="126" t="e">
        <f t="shared" si="1"/>
        <v>#VALUE!</v>
      </c>
      <c r="H87" s="647"/>
      <c r="I87" s="646"/>
      <c r="M87" s="649"/>
    </row>
    <row r="88" spans="1:21" s="648" customFormat="1" ht="84">
      <c r="A88" s="675" t="s">
        <v>41848</v>
      </c>
      <c r="B88" s="676" t="s">
        <v>41849</v>
      </c>
      <c r="C88" s="677" t="s">
        <v>41853</v>
      </c>
      <c r="D88" s="678" t="s">
        <v>103</v>
      </c>
      <c r="E88" s="679">
        <v>0.01</v>
      </c>
      <c r="F88" s="680">
        <v>94.55</v>
      </c>
      <c r="G88" s="126">
        <f t="shared" si="1"/>
        <v>0.95</v>
      </c>
      <c r="H88" s="647"/>
      <c r="I88" s="646"/>
      <c r="M88" s="649"/>
    </row>
    <row r="89" spans="1:21" s="648" customFormat="1" ht="84">
      <c r="A89" s="675" t="s">
        <v>41848</v>
      </c>
      <c r="B89" s="676" t="s">
        <v>41850</v>
      </c>
      <c r="C89" s="677" t="s">
        <v>41854</v>
      </c>
      <c r="D89" s="678" t="s">
        <v>103</v>
      </c>
      <c r="E89" s="679">
        <v>8.0000000000000002E-3</v>
      </c>
      <c r="F89" s="680">
        <v>124.83</v>
      </c>
      <c r="G89" s="126">
        <f t="shared" si="1"/>
        <v>1</v>
      </c>
      <c r="H89" s="647"/>
      <c r="I89" s="646"/>
      <c r="M89" s="649"/>
    </row>
    <row r="90" spans="1:21" s="648" customFormat="1" ht="42">
      <c r="A90" s="675" t="s">
        <v>41847</v>
      </c>
      <c r="B90" s="676" t="s">
        <v>41263</v>
      </c>
      <c r="C90" s="123" t="str">
        <f>UPPER(IFERROR(VLOOKUP(B90,'SINAPI 04-26-SD'!$1:$1048576,2,FALSE),IFERROR(VLOOKUP(B90,'Ins. SINAPI 04-26-SD'!$1:$1048576,2,FALSE),IFERROR(VLOOKUP(B90,COTAÇÃO!$1:$1048576,2,FALSE),IFERROR(VLOOKUP(B90,'Ins. CDHU 201-SD'!$1:$1048576,2,FALSE),"Não Encontrado")))))</f>
        <v>NÃO ENCONTRADO</v>
      </c>
      <c r="D90" s="124" t="str">
        <f>UPPER(IFERROR(VLOOKUP(B90,'SINAPI 04-26-SD'!$1:$1048576,3,FALSE),IFERROR(VLOOKUP(B90,'Ins. SINAPI 04-26-SD'!$1:$1048576,3,FALSE),IFERROR(VLOOKUP(B90,COTAÇÃO!$1:$1048576,7,FALSE),IFERROR(VLOOKUP(B90,'Ins. CDHU 201-SD'!$1:$1048576,3,FALSE),"Não Encontrado")))))</f>
        <v>NÃO ENCONTRADO</v>
      </c>
      <c r="E90" s="679">
        <v>7.0000000000000001E-3</v>
      </c>
      <c r="F90" s="125" t="str">
        <f>IFERROR(VLOOKUP(B90,'SINAPI 04-26-SD'!$1:$1048576,4,FALSE),IFERROR(VLOOKUP(B90,'Ins. SINAPI 04-26-SD'!$1:$1048576,5,FALSE),IFERROR(VLOOKUP(B90,COTAÇÃO!$1:$1048576,8,FALSE),IFERROR(VLOOKUP(B90,'Ins. CDHU 201-SD'!$1:$1048576,4,FALSE),"Não Encontrado"))))</f>
        <v>Não Encontrado</v>
      </c>
      <c r="G90" s="126" t="e">
        <f t="shared" si="1"/>
        <v>#VALUE!</v>
      </c>
      <c r="H90" s="647"/>
      <c r="I90" s="646"/>
      <c r="M90" s="649"/>
    </row>
    <row r="91" spans="1:21" s="648" customFormat="1" ht="42">
      <c r="A91" s="675" t="s">
        <v>41847</v>
      </c>
      <c r="B91" s="676" t="s">
        <v>41266</v>
      </c>
      <c r="C91" s="123" t="str">
        <f>UPPER(IFERROR(VLOOKUP(B91,'SINAPI 04-26-SD'!$1:$1048576,2,FALSE),IFERROR(VLOOKUP(B91,'Ins. SINAPI 04-26-SD'!$1:$1048576,2,FALSE),IFERROR(VLOOKUP(B91,COTAÇÃO!$1:$1048576,2,FALSE),IFERROR(VLOOKUP(B91,'Ins. CDHU 201-SD'!$1:$1048576,2,FALSE),"Não Encontrado")))))</f>
        <v>NÃO ENCONTRADO</v>
      </c>
      <c r="D91" s="124" t="str">
        <f>UPPER(IFERROR(VLOOKUP(B91,'SINAPI 04-26-SD'!$1:$1048576,3,FALSE),IFERROR(VLOOKUP(B91,'Ins. SINAPI 04-26-SD'!$1:$1048576,3,FALSE),IFERROR(VLOOKUP(B91,COTAÇÃO!$1:$1048576,7,FALSE),IFERROR(VLOOKUP(B91,'Ins. CDHU 201-SD'!$1:$1048576,3,FALSE),"Não Encontrado")))))</f>
        <v>NÃO ENCONTRADO</v>
      </c>
      <c r="E91" s="679">
        <v>6.0000000000000001E-3</v>
      </c>
      <c r="F91" s="125" t="str">
        <f>IFERROR(VLOOKUP(B91,'SINAPI 04-26-SD'!$1:$1048576,4,FALSE),IFERROR(VLOOKUP(B91,'Ins. SINAPI 04-26-SD'!$1:$1048576,5,FALSE),IFERROR(VLOOKUP(B91,COTAÇÃO!$1:$1048576,8,FALSE),IFERROR(VLOOKUP(B91,'Ins. CDHU 201-SD'!$1:$1048576,4,FALSE),"Não Encontrado"))))</f>
        <v>Não Encontrado</v>
      </c>
      <c r="G91" s="126" t="e">
        <f t="shared" si="1"/>
        <v>#VALUE!</v>
      </c>
      <c r="H91" s="647"/>
      <c r="I91" s="646"/>
      <c r="M91" s="649"/>
    </row>
    <row r="92" spans="1:21" s="648" customFormat="1" ht="42">
      <c r="A92" s="675" t="s">
        <v>41847</v>
      </c>
      <c r="B92" s="676" t="s">
        <v>41265</v>
      </c>
      <c r="C92" s="123" t="str">
        <f>UPPER(IFERROR(VLOOKUP(B92,'SINAPI 04-26-SD'!$1:$1048576,2,FALSE),IFERROR(VLOOKUP(B92,'Ins. SINAPI 04-26-SD'!$1:$1048576,2,FALSE),IFERROR(VLOOKUP(B92,COTAÇÃO!$1:$1048576,2,FALSE),IFERROR(VLOOKUP(B92,'Ins. CDHU 201-SD'!$1:$1048576,2,FALSE),"Não Encontrado")))))</f>
        <v>NÃO ENCONTRADO</v>
      </c>
      <c r="D92" s="124" t="str">
        <f>UPPER(IFERROR(VLOOKUP(B92,'SINAPI 04-26-SD'!$1:$1048576,3,FALSE),IFERROR(VLOOKUP(B92,'Ins. SINAPI 04-26-SD'!$1:$1048576,3,FALSE),IFERROR(VLOOKUP(B92,COTAÇÃO!$1:$1048576,7,FALSE),IFERROR(VLOOKUP(B92,'Ins. CDHU 201-SD'!$1:$1048576,3,FALSE),"Não Encontrado")))))</f>
        <v>NÃO ENCONTRADO</v>
      </c>
      <c r="E92" s="679">
        <v>0.01</v>
      </c>
      <c r="F92" s="125" t="str">
        <f>IFERROR(VLOOKUP(B92,'SINAPI 04-26-SD'!$1:$1048576,4,FALSE),IFERROR(VLOOKUP(B92,'Ins. SINAPI 04-26-SD'!$1:$1048576,5,FALSE),IFERROR(VLOOKUP(B92,COTAÇÃO!$1:$1048576,8,FALSE),IFERROR(VLOOKUP(B92,'Ins. CDHU 201-SD'!$1:$1048576,4,FALSE),"Não Encontrado"))))</f>
        <v>Não Encontrado</v>
      </c>
      <c r="G92" s="126" t="e">
        <f t="shared" si="1"/>
        <v>#VALUE!</v>
      </c>
      <c r="H92" s="647"/>
      <c r="I92" s="646"/>
      <c r="M92" s="649"/>
    </row>
    <row r="93" spans="1:21" s="648" customFormat="1" ht="42">
      <c r="A93" s="675" t="s">
        <v>41847</v>
      </c>
      <c r="B93" s="676" t="s">
        <v>41264</v>
      </c>
      <c r="C93" s="123" t="str">
        <f>UPPER(IFERROR(VLOOKUP(B93,'SINAPI 04-26-SD'!$1:$1048576,2,FALSE),IFERROR(VLOOKUP(B93,'Ins. SINAPI 04-26-SD'!$1:$1048576,2,FALSE),IFERROR(VLOOKUP(B93,COTAÇÃO!$1:$1048576,2,FALSE),IFERROR(VLOOKUP(B93,'Ins. CDHU 201-SD'!$1:$1048576,2,FALSE),"Não Encontrado")))))</f>
        <v>NÃO ENCONTRADO</v>
      </c>
      <c r="D93" s="124" t="str">
        <f>UPPER(IFERROR(VLOOKUP(B93,'SINAPI 04-26-SD'!$1:$1048576,3,FALSE),IFERROR(VLOOKUP(B93,'Ins. SINAPI 04-26-SD'!$1:$1048576,3,FALSE),IFERROR(VLOOKUP(B93,COTAÇÃO!$1:$1048576,7,FALSE),IFERROR(VLOOKUP(B93,'Ins. CDHU 201-SD'!$1:$1048576,3,FALSE),"Não Encontrado")))))</f>
        <v>NÃO ENCONTRADO</v>
      </c>
      <c r="E93" s="679">
        <v>8.9999999999999993E-3</v>
      </c>
      <c r="F93" s="125" t="str">
        <f>IFERROR(VLOOKUP(B93,'SINAPI 04-26-SD'!$1:$1048576,4,FALSE),IFERROR(VLOOKUP(B93,'Ins. SINAPI 04-26-SD'!$1:$1048576,5,FALSE),IFERROR(VLOOKUP(B93,COTAÇÃO!$1:$1048576,8,FALSE),IFERROR(VLOOKUP(B93,'Ins. CDHU 201-SD'!$1:$1048576,4,FALSE),"Não Encontrado"))))</f>
        <v>Não Encontrado</v>
      </c>
      <c r="G93" s="126" t="e">
        <f t="shared" si="1"/>
        <v>#VALUE!</v>
      </c>
      <c r="H93" s="647"/>
      <c r="I93" s="646"/>
      <c r="M93" s="649"/>
    </row>
    <row r="94" spans="1:21" s="648" customFormat="1" ht="42">
      <c r="A94" s="675" t="s">
        <v>41847</v>
      </c>
      <c r="B94" s="676" t="s">
        <v>41267</v>
      </c>
      <c r="C94" s="123" t="str">
        <f>UPPER(IFERROR(VLOOKUP(B94,'SINAPI 04-26-SD'!$1:$1048576,2,FALSE),IFERROR(VLOOKUP(B94,'Ins. SINAPI 04-26-SD'!$1:$1048576,2,FALSE),IFERROR(VLOOKUP(B94,COTAÇÃO!$1:$1048576,2,FALSE),IFERROR(VLOOKUP(B94,'Ins. CDHU 201-SD'!$1:$1048576,2,FALSE),"Não Encontrado")))))</f>
        <v>NÃO ENCONTRADO</v>
      </c>
      <c r="D94" s="124" t="str">
        <f>UPPER(IFERROR(VLOOKUP(B94,'SINAPI 04-26-SD'!$1:$1048576,3,FALSE),IFERROR(VLOOKUP(B94,'Ins. SINAPI 04-26-SD'!$1:$1048576,3,FALSE),IFERROR(VLOOKUP(B94,COTAÇÃO!$1:$1048576,7,FALSE),IFERROR(VLOOKUP(B94,'Ins. CDHU 201-SD'!$1:$1048576,3,FALSE),"Não Encontrado")))))</f>
        <v>NÃO ENCONTRADO</v>
      </c>
      <c r="E94" s="679">
        <v>8.9999999999999993E-3</v>
      </c>
      <c r="F94" s="125" t="str">
        <f>IFERROR(VLOOKUP(B94,'SINAPI 04-26-SD'!$1:$1048576,4,FALSE),IFERROR(VLOOKUP(B94,'Ins. SINAPI 04-26-SD'!$1:$1048576,5,FALSE),IFERROR(VLOOKUP(B94,COTAÇÃO!$1:$1048576,8,FALSE),IFERROR(VLOOKUP(B94,'Ins. CDHU 201-SD'!$1:$1048576,4,FALSE),"Não Encontrado"))))</f>
        <v>Não Encontrado</v>
      </c>
      <c r="G94" s="126" t="e">
        <f t="shared" si="1"/>
        <v>#VALUE!</v>
      </c>
      <c r="H94" s="647"/>
      <c r="I94" s="646"/>
      <c r="M94" s="649"/>
    </row>
    <row r="95" spans="1:21" s="648" customFormat="1" ht="42">
      <c r="A95" s="675" t="s">
        <v>41847</v>
      </c>
      <c r="B95" s="676" t="s">
        <v>41268</v>
      </c>
      <c r="C95" s="123" t="str">
        <f>UPPER(IFERROR(VLOOKUP(B95,'SINAPI 04-26-SD'!$1:$1048576,2,FALSE),IFERROR(VLOOKUP(B95,'Ins. SINAPI 04-26-SD'!$1:$1048576,2,FALSE),IFERROR(VLOOKUP(B95,COTAÇÃO!$1:$1048576,2,FALSE),IFERROR(VLOOKUP(B95,'Ins. CDHU 201-SD'!$1:$1048576,2,FALSE),"Não Encontrado")))))</f>
        <v>NÃO ENCONTRADO</v>
      </c>
      <c r="D95" s="124" t="str">
        <f>UPPER(IFERROR(VLOOKUP(B95,'SINAPI 04-26-SD'!$1:$1048576,3,FALSE),IFERROR(VLOOKUP(B95,'Ins. SINAPI 04-26-SD'!$1:$1048576,3,FALSE),IFERROR(VLOOKUP(B95,COTAÇÃO!$1:$1048576,7,FALSE),IFERROR(VLOOKUP(B95,'Ins. CDHU 201-SD'!$1:$1048576,3,FALSE),"Não Encontrado")))))</f>
        <v>NÃO ENCONTRADO</v>
      </c>
      <c r="E95" s="679">
        <v>7.0000000000000001E-3</v>
      </c>
      <c r="F95" s="125" t="str">
        <f>IFERROR(VLOOKUP(B95,'SINAPI 04-26-SD'!$1:$1048576,4,FALSE),IFERROR(VLOOKUP(B95,'Ins. SINAPI 04-26-SD'!$1:$1048576,5,FALSE),IFERROR(VLOOKUP(B95,COTAÇÃO!$1:$1048576,8,FALSE),IFERROR(VLOOKUP(B95,'Ins. CDHU 201-SD'!$1:$1048576,4,FALSE),"Não Encontrado"))))</f>
        <v>Não Encontrado</v>
      </c>
      <c r="G95" s="126" t="e">
        <f t="shared" si="1"/>
        <v>#VALUE!</v>
      </c>
      <c r="H95" s="647"/>
      <c r="I95" s="646"/>
      <c r="M95" s="649"/>
    </row>
    <row r="96" spans="1:21" s="648" customFormat="1" ht="42">
      <c r="A96" s="675" t="s">
        <v>41847</v>
      </c>
      <c r="B96" s="676" t="s">
        <v>41269</v>
      </c>
      <c r="C96" s="123" t="str">
        <f>UPPER(IFERROR(VLOOKUP(B96,'SINAPI 04-26-SD'!$1:$1048576,2,FALSE),IFERROR(VLOOKUP(B96,'Ins. SINAPI 04-26-SD'!$1:$1048576,2,FALSE),IFERROR(VLOOKUP(B96,COTAÇÃO!$1:$1048576,2,FALSE),IFERROR(VLOOKUP(B96,'Ins. CDHU 201-SD'!$1:$1048576,2,FALSE),"Não Encontrado")))))</f>
        <v>NÃO ENCONTRADO</v>
      </c>
      <c r="D96" s="124" t="str">
        <f>UPPER(IFERROR(VLOOKUP(B96,'SINAPI 04-26-SD'!$1:$1048576,3,FALSE),IFERROR(VLOOKUP(B96,'Ins. SINAPI 04-26-SD'!$1:$1048576,3,FALSE),IFERROR(VLOOKUP(B96,COTAÇÃO!$1:$1048576,7,FALSE),IFERROR(VLOOKUP(B96,'Ins. CDHU 201-SD'!$1:$1048576,3,FALSE),"Não Encontrado")))))</f>
        <v>NÃO ENCONTRADO</v>
      </c>
      <c r="E96" s="679">
        <v>6.0000000000000001E-3</v>
      </c>
      <c r="F96" s="125" t="str">
        <f>IFERROR(VLOOKUP(B96,'SINAPI 04-26-SD'!$1:$1048576,4,FALSE),IFERROR(VLOOKUP(B96,'Ins. SINAPI 04-26-SD'!$1:$1048576,5,FALSE),IFERROR(VLOOKUP(B96,COTAÇÃO!$1:$1048576,8,FALSE),IFERROR(VLOOKUP(B96,'Ins. CDHU 201-SD'!$1:$1048576,4,FALSE),"Não Encontrado"))))</f>
        <v>Não Encontrado</v>
      </c>
      <c r="G96" s="126" t="e">
        <f t="shared" si="1"/>
        <v>#VALUE!</v>
      </c>
      <c r="H96" s="647"/>
      <c r="I96" s="646"/>
      <c r="M96" s="649"/>
    </row>
    <row r="97" spans="1:13" s="648" customFormat="1" ht="42">
      <c r="A97" s="675" t="s">
        <v>41847</v>
      </c>
      <c r="B97" s="676" t="s">
        <v>41270</v>
      </c>
      <c r="C97" s="123" t="str">
        <f>UPPER(IFERROR(VLOOKUP(B97,'SINAPI 04-26-SD'!$1:$1048576,2,FALSE),IFERROR(VLOOKUP(B97,'Ins. SINAPI 04-26-SD'!$1:$1048576,2,FALSE),IFERROR(VLOOKUP(B97,COTAÇÃO!$1:$1048576,2,FALSE),IFERROR(VLOOKUP(B97,'Ins. CDHU 201-SD'!$1:$1048576,2,FALSE),"Não Encontrado")))))</f>
        <v>NÃO ENCONTRADO</v>
      </c>
      <c r="D97" s="124" t="str">
        <f>UPPER(IFERROR(VLOOKUP(B97,'SINAPI 04-26-SD'!$1:$1048576,3,FALSE),IFERROR(VLOOKUP(B97,'Ins. SINAPI 04-26-SD'!$1:$1048576,3,FALSE),IFERROR(VLOOKUP(B97,COTAÇÃO!$1:$1048576,7,FALSE),IFERROR(VLOOKUP(B97,'Ins. CDHU 201-SD'!$1:$1048576,3,FALSE),"Não Encontrado")))))</f>
        <v>NÃO ENCONTRADO</v>
      </c>
      <c r="E97" s="679">
        <v>5.0000000000000001E-3</v>
      </c>
      <c r="F97" s="125" t="str">
        <f>IFERROR(VLOOKUP(B97,'SINAPI 04-26-SD'!$1:$1048576,4,FALSE),IFERROR(VLOOKUP(B97,'Ins. SINAPI 04-26-SD'!$1:$1048576,5,FALSE),IFERROR(VLOOKUP(B97,COTAÇÃO!$1:$1048576,8,FALSE),IFERROR(VLOOKUP(B97,'Ins. CDHU 201-SD'!$1:$1048576,4,FALSE),"Não Encontrado"))))</f>
        <v>Não Encontrado</v>
      </c>
      <c r="G97" s="126" t="e">
        <f t="shared" si="1"/>
        <v>#VALUE!</v>
      </c>
      <c r="H97" s="647"/>
      <c r="I97" s="646"/>
      <c r="M97" s="649"/>
    </row>
    <row r="98" spans="1:13" s="648" customFormat="1" ht="42">
      <c r="A98" s="675" t="s">
        <v>41847</v>
      </c>
      <c r="B98" s="676" t="s">
        <v>41271</v>
      </c>
      <c r="C98" s="123" t="str">
        <f>UPPER(IFERROR(VLOOKUP(B98,'SINAPI 04-26-SD'!$1:$1048576,2,FALSE),IFERROR(VLOOKUP(B98,'Ins. SINAPI 04-26-SD'!$1:$1048576,2,FALSE),IFERROR(VLOOKUP(B98,COTAÇÃO!$1:$1048576,2,FALSE),IFERROR(VLOOKUP(B98,'Ins. CDHU 201-SD'!$1:$1048576,2,FALSE),"Não Encontrado")))))</f>
        <v>NÃO ENCONTRADO</v>
      </c>
      <c r="D98" s="124" t="str">
        <f>UPPER(IFERROR(VLOOKUP(B98,'SINAPI 04-26-SD'!$1:$1048576,3,FALSE),IFERROR(VLOOKUP(B98,'Ins. SINAPI 04-26-SD'!$1:$1048576,3,FALSE),IFERROR(VLOOKUP(B98,COTAÇÃO!$1:$1048576,7,FALSE),IFERROR(VLOOKUP(B98,'Ins. CDHU 201-SD'!$1:$1048576,3,FALSE),"Não Encontrado")))))</f>
        <v>NÃO ENCONTRADO</v>
      </c>
      <c r="E98" s="679">
        <f>1/500</f>
        <v>2E-3</v>
      </c>
      <c r="F98" s="125" t="str">
        <f>IFERROR(VLOOKUP(B98,'SINAPI 04-26-SD'!$1:$1048576,4,FALSE),IFERROR(VLOOKUP(B98,'Ins. SINAPI 04-26-SD'!$1:$1048576,5,FALSE),IFERROR(VLOOKUP(B98,COTAÇÃO!$1:$1048576,8,FALSE),IFERROR(VLOOKUP(B98,'Ins. CDHU 201-SD'!$1:$1048576,4,FALSE),"Não Encontrado"))))</f>
        <v>Não Encontrado</v>
      </c>
      <c r="G98" s="126" t="e">
        <f t="shared" si="1"/>
        <v>#VALUE!</v>
      </c>
      <c r="H98" s="647"/>
      <c r="I98" s="646"/>
      <c r="M98" s="649"/>
    </row>
    <row r="99" spans="1:13" s="648" customFormat="1" ht="112">
      <c r="A99" s="675" t="s">
        <v>41851</v>
      </c>
      <c r="B99" s="676" t="s">
        <v>41852</v>
      </c>
      <c r="C99" s="677" t="s">
        <v>41855</v>
      </c>
      <c r="D99" s="678" t="s">
        <v>207</v>
      </c>
      <c r="E99" s="679">
        <v>0.4</v>
      </c>
      <c r="F99" s="680">
        <v>14.45</v>
      </c>
      <c r="G99" s="126">
        <f t="shared" si="1"/>
        <v>5.78</v>
      </c>
      <c r="H99" s="647"/>
      <c r="I99" s="646"/>
      <c r="M99" s="649"/>
    </row>
    <row r="100" spans="1:13" s="648" customFormat="1" ht="84">
      <c r="A100" s="675" t="s">
        <v>27888</v>
      </c>
      <c r="B100" s="676">
        <v>45146</v>
      </c>
      <c r="C100" s="123" t="str">
        <f>UPPER(IFERROR(VLOOKUP(B100,'SINAPI 04-26-SD'!$1:$1048576,2,FALSE),IFERROR(VLOOKUP(B100,'Ins. SINAPI 04-26-SD'!$1:$1048576,2,FALSE),IFERROR(VLOOKUP(B100,COTAÇÃO!$1:$1048576,2,FALSE),IFERROR(VLOOKUP(B100,'Ins. CDHU 201-SD'!$1:$1048576,2,FALSE),"Não Encontrado")))))</f>
        <v>ADITIVO IMPERMEABILIZANTE CRISTALIZANTE PARA CONCRETO</v>
      </c>
      <c r="D100" s="124" t="str">
        <f>UPPER(IFERROR(VLOOKUP(B100,'SINAPI 04-26-SD'!$1:$1048576,3,FALSE),IFERROR(VLOOKUP(B100,'Ins. SINAPI 04-26-SD'!$1:$1048576,3,FALSE),IFERROR(VLOOKUP(B100,COTAÇÃO!$1:$1048576,7,FALSE),IFERROR(VLOOKUP(B100,'Ins. CDHU 201-SD'!$1:$1048576,3,FALSE),"Não Encontrado")))))</f>
        <v>KG</v>
      </c>
      <c r="E100" s="679">
        <v>0.2</v>
      </c>
      <c r="F100" s="125">
        <f>IFERROR(VLOOKUP(B100,'SINAPI 04-26-SD'!$1:$1048576,4,FALSE),IFERROR(VLOOKUP(B100,'Ins. SINAPI 04-26-SD'!$1:$1048576,5,FALSE),IFERROR(VLOOKUP(B100,COTAÇÃO!$1:$1048576,8,FALSE),IFERROR(VLOOKUP(B100,'Ins. CDHU 201-SD'!$1:$1048576,4,FALSE),"Não Encontrado"))))</f>
        <v>33.32</v>
      </c>
      <c r="G100" s="126">
        <f t="shared" si="1"/>
        <v>6.66</v>
      </c>
      <c r="H100" s="647"/>
      <c r="I100" s="646"/>
      <c r="M100" s="649"/>
    </row>
    <row r="101" spans="1:13" s="548" customFormat="1" ht="28">
      <c r="A101" s="550"/>
      <c r="B101" s="551"/>
      <c r="C101" s="552" t="s">
        <v>41229</v>
      </c>
      <c r="D101" s="553"/>
      <c r="E101" s="554"/>
      <c r="F101" s="555"/>
      <c r="G101" s="556" t="e">
        <f>SUM(G84:G100)</f>
        <v>#VALUE!</v>
      </c>
      <c r="H101" s="547"/>
      <c r="M101" s="638"/>
    </row>
    <row r="102" spans="1:13" s="122" customFormat="1" ht="12" customHeight="1">
      <c r="A102" s="829" t="s">
        <v>41230</v>
      </c>
      <c r="B102" s="830"/>
      <c r="C102" s="830"/>
      <c r="D102" s="830"/>
      <c r="E102" s="830"/>
      <c r="F102" s="830"/>
      <c r="G102" s="831"/>
      <c r="H102" s="382"/>
      <c r="M102" s="637"/>
    </row>
    <row r="103" spans="1:13" s="122" customFormat="1" ht="14">
      <c r="A103" s="675" t="s">
        <v>29901</v>
      </c>
      <c r="B103" s="676" t="s">
        <v>57</v>
      </c>
      <c r="C103" s="123" t="str">
        <f>UPPER(IFERROR(VLOOKUP(B103,'SINAPI 04-26-SD'!$1:$1048576,2,FALSE),IFERROR(VLOOKUP(B103,'Ins. SINAPI 04-26-SD'!$1:$1048576,2,FALSE),IFERROR(VLOOKUP(B103,COTAÇÃO!$1:$1048576,2,FALSE),IFERROR(VLOOKUP(B103,'Ins. CDHU 201-SD'!$1:$1048576,2,FALSE),"Não Encontrado")))))</f>
        <v>SERVENTE</v>
      </c>
      <c r="D103" s="124" t="str">
        <f>UPPER(IFERROR(VLOOKUP(B103,'SINAPI 04-26-SD'!$1:$1048576,3,FALSE),IFERROR(VLOOKUP(B103,'Ins. SINAPI 04-26-SD'!$1:$1048576,3,FALSE),IFERROR(VLOOKUP(B103,COTAÇÃO!$1:$1048576,7,FALSE),IFERROR(VLOOKUP(B103,'Ins. CDHU 201-SD'!$1:$1048576,3,FALSE),"Não Encontrado")))))</f>
        <v>H</v>
      </c>
      <c r="E103" s="315">
        <v>0.7</v>
      </c>
      <c r="F103" s="125">
        <f>IFERROR(VLOOKUP(B103,'SINAPI 04-26-SD'!$1:$1048576,4,FALSE),IFERROR(VLOOKUP(B103,'Ins. SINAPI 04-26-SD'!$1:$1048576,5,FALSE),IFERROR(VLOOKUP(B103,COTAÇÃO!$1:$1048576,8,FALSE),IFERROR(VLOOKUP(B103,'Ins. CDHU 201-SD'!$1:$1048576,4,FALSE),"Não Encontrado"))))</f>
        <v>9.9499999999999993</v>
      </c>
      <c r="G103" s="126">
        <f>+ROUND(E103*F103,2)</f>
        <v>6.97</v>
      </c>
      <c r="H103" s="382"/>
      <c r="I103" s="315"/>
      <c r="M103" s="637"/>
    </row>
    <row r="104" spans="1:13" s="122" customFormat="1" ht="28">
      <c r="A104" s="675" t="s">
        <v>29901</v>
      </c>
      <c r="B104" s="676" t="s">
        <v>37</v>
      </c>
      <c r="C104" s="123" t="str">
        <f>UPPER(IFERROR(VLOOKUP(B104,'SINAPI 04-26-SD'!$1:$1048576,2,FALSE),IFERROR(VLOOKUP(B104,'Ins. SINAPI 04-26-SD'!$1:$1048576,2,FALSE),IFERROR(VLOOKUP(B104,COTAÇÃO!$1:$1048576,2,FALSE),IFERROR(VLOOKUP(B104,'Ins. CDHU 201-SD'!$1:$1048576,2,FALSE),"Não Encontrado")))))</f>
        <v>GRANITEIRO</v>
      </c>
      <c r="D104" s="124" t="str">
        <f>UPPER(IFERROR(VLOOKUP(B104,'SINAPI 04-26-SD'!$1:$1048576,3,FALSE),IFERROR(VLOOKUP(B104,'Ins. SINAPI 04-26-SD'!$1:$1048576,3,FALSE),IFERROR(VLOOKUP(B104,COTAÇÃO!$1:$1048576,7,FALSE),IFERROR(VLOOKUP(B104,'Ins. CDHU 201-SD'!$1:$1048576,3,FALSE),"Não Encontrado")))))</f>
        <v>H</v>
      </c>
      <c r="E104" s="315">
        <v>1.5</v>
      </c>
      <c r="F104" s="125">
        <f>IFERROR(VLOOKUP(B104,'SINAPI 04-26-SD'!$1:$1048576,4,FALSE),IFERROR(VLOOKUP(B104,'Ins. SINAPI 04-26-SD'!$1:$1048576,5,FALSE),IFERROR(VLOOKUP(B104,COTAÇÃO!$1:$1048576,8,FALSE),IFERROR(VLOOKUP(B104,'Ins. CDHU 201-SD'!$1:$1048576,4,FALSE),"Não Encontrado"))))</f>
        <v>14.51</v>
      </c>
      <c r="G104" s="126">
        <f>+ROUND(E104*F104,2)</f>
        <v>21.77</v>
      </c>
      <c r="H104" s="382"/>
      <c r="I104" s="315"/>
      <c r="M104" s="637"/>
    </row>
    <row r="105" spans="1:13" s="122" customFormat="1" ht="14">
      <c r="A105" s="675" t="s">
        <v>29901</v>
      </c>
      <c r="B105" s="676" t="s">
        <v>45</v>
      </c>
      <c r="C105" s="123" t="str">
        <f>UPPER(IFERROR(VLOOKUP(B105,'SINAPI 04-26-SD'!$1:$1048576,2,FALSE),IFERROR(VLOOKUP(B105,'Ins. SINAPI 04-26-SD'!$1:$1048576,2,FALSE),IFERROR(VLOOKUP(B105,COTAÇÃO!$1:$1048576,2,FALSE),IFERROR(VLOOKUP(B105,'Ins. CDHU 201-SD'!$1:$1048576,2,FALSE),"Não Encontrado")))))</f>
        <v>PINTOR</v>
      </c>
      <c r="D105" s="124" t="str">
        <f>UPPER(IFERROR(VLOOKUP(B105,'SINAPI 04-26-SD'!$1:$1048576,3,FALSE),IFERROR(VLOOKUP(B105,'Ins. SINAPI 04-26-SD'!$1:$1048576,3,FALSE),IFERROR(VLOOKUP(B105,COTAÇÃO!$1:$1048576,7,FALSE),IFERROR(VLOOKUP(B105,'Ins. CDHU 201-SD'!$1:$1048576,3,FALSE),"Não Encontrado")))))</f>
        <v>H</v>
      </c>
      <c r="E105" s="315">
        <v>0.01</v>
      </c>
      <c r="F105" s="125">
        <f>IFERROR(VLOOKUP(B105,'SINAPI 04-26-SD'!$1:$1048576,4,FALSE),IFERROR(VLOOKUP(B105,'Ins. SINAPI 04-26-SD'!$1:$1048576,5,FALSE),IFERROR(VLOOKUP(B105,COTAÇÃO!$1:$1048576,8,FALSE),IFERROR(VLOOKUP(B105,'Ins. CDHU 201-SD'!$1:$1048576,4,FALSE),"Não Encontrado"))))</f>
        <v>14.51</v>
      </c>
      <c r="G105" s="126">
        <f>+ROUND(E105*F105,2)</f>
        <v>0.15</v>
      </c>
      <c r="H105" s="382"/>
      <c r="I105" s="315"/>
      <c r="M105" s="637"/>
    </row>
    <row r="106" spans="1:13" s="122" customFormat="1" ht="42">
      <c r="A106" s="316"/>
      <c r="B106" s="549"/>
      <c r="C106" s="123" t="s">
        <v>41258</v>
      </c>
      <c r="D106" s="124"/>
      <c r="E106" s="315"/>
      <c r="F106" s="125"/>
      <c r="G106" s="126">
        <f>+SUBTOTAL(9,G102:G105)</f>
        <v>28.889999999999997</v>
      </c>
      <c r="H106" s="382"/>
      <c r="M106" s="637"/>
    </row>
    <row r="107" spans="1:13" s="122" customFormat="1" ht="28">
      <c r="A107" s="316"/>
      <c r="B107" s="549"/>
      <c r="C107" s="123" t="s">
        <v>41259</v>
      </c>
      <c r="D107" s="124"/>
      <c r="E107" s="315">
        <f>$J$2</f>
        <v>128.22999999999999</v>
      </c>
      <c r="F107" s="125"/>
      <c r="G107" s="126">
        <f>+ROUND(G106*E107/100,2)</f>
        <v>37.049999999999997</v>
      </c>
      <c r="H107" s="382"/>
      <c r="M107" s="637"/>
    </row>
    <row r="108" spans="1:13" s="548" customFormat="1" ht="84">
      <c r="A108" s="550"/>
      <c r="B108" s="551"/>
      <c r="C108" s="552" t="s">
        <v>41231</v>
      </c>
      <c r="D108" s="553"/>
      <c r="E108" s="554"/>
      <c r="F108" s="555"/>
      <c r="G108" s="556">
        <f>SUM(G106:G107)</f>
        <v>65.94</v>
      </c>
      <c r="H108" s="547"/>
      <c r="M108" s="638"/>
    </row>
    <row r="109" spans="1:13" s="122" customFormat="1" ht="13">
      <c r="A109" s="127"/>
      <c r="B109" s="406"/>
      <c r="C109" s="406" t="s">
        <v>27907</v>
      </c>
      <c r="D109" s="406"/>
      <c r="E109" s="406"/>
      <c r="F109" s="407"/>
      <c r="G109" s="408" t="e">
        <f>SUM(G108,G101)</f>
        <v>#VALUE!</v>
      </c>
      <c r="H109" s="382"/>
      <c r="M109" s="637"/>
    </row>
    <row r="110" spans="1:13" s="122" customFormat="1" ht="39" customHeight="1">
      <c r="A110" s="832" t="s">
        <v>27908</v>
      </c>
      <c r="B110" s="833"/>
      <c r="C110" s="836" t="s">
        <v>41856</v>
      </c>
      <c r="D110" s="836"/>
      <c r="E110" s="836"/>
      <c r="F110" s="836"/>
      <c r="G110" s="837"/>
      <c r="H110" s="382"/>
      <c r="M110" s="637"/>
    </row>
    <row r="112" spans="1:13" s="119" customFormat="1" ht="13.5" customHeight="1" thickBot="1">
      <c r="A112" s="120"/>
      <c r="B112" s="121"/>
      <c r="C112" s="121"/>
      <c r="D112" s="121"/>
      <c r="E112" s="121"/>
      <c r="F112" s="121"/>
      <c r="G112" s="206"/>
      <c r="H112" s="119" t="s">
        <v>6009</v>
      </c>
      <c r="I112" s="119" t="s">
        <v>27901</v>
      </c>
      <c r="J112" s="228" t="s">
        <v>27889</v>
      </c>
      <c r="M112" s="637"/>
    </row>
    <row r="113" spans="1:21" s="374" customFormat="1" ht="75" customHeight="1" thickBot="1">
      <c r="A113" s="543" t="s">
        <v>41857</v>
      </c>
      <c r="B113" s="544"/>
      <c r="C113" s="838" t="s">
        <v>41858</v>
      </c>
      <c r="D113" s="839"/>
      <c r="E113" s="839"/>
      <c r="F113" s="840"/>
      <c r="G113" s="674" t="s">
        <v>509</v>
      </c>
      <c r="H113" s="383" t="e">
        <f>#REF!</f>
        <v>#REF!</v>
      </c>
      <c r="I113" s="383">
        <v>0</v>
      </c>
      <c r="J113" s="383" t="e">
        <f>G136</f>
        <v>#VALUE!</v>
      </c>
      <c r="K113" s="122"/>
      <c r="L113" s="122"/>
      <c r="M113" s="637" t="e">
        <f>VLOOKUP(A113,'Plan Orçamentária'!$Q:$Y,1,FALSE)</f>
        <v>#N/A</v>
      </c>
      <c r="N113" s="122"/>
      <c r="O113" s="122"/>
      <c r="P113" s="122"/>
      <c r="Q113" s="122"/>
      <c r="R113" s="122"/>
      <c r="S113" s="122"/>
      <c r="T113" s="122"/>
      <c r="U113" s="122"/>
    </row>
    <row r="114" spans="1:21" s="122" customFormat="1" ht="12" customHeight="1">
      <c r="A114" s="419" t="s">
        <v>27902</v>
      </c>
      <c r="B114" s="420" t="s">
        <v>27903</v>
      </c>
      <c r="C114" s="546" t="s">
        <v>5</v>
      </c>
      <c r="D114" s="421" t="s">
        <v>27886</v>
      </c>
      <c r="E114" s="422" t="s">
        <v>27904</v>
      </c>
      <c r="F114" s="422" t="s">
        <v>27905</v>
      </c>
      <c r="G114" s="423" t="s">
        <v>27906</v>
      </c>
      <c r="H114" s="382"/>
      <c r="M114" s="637"/>
    </row>
    <row r="115" spans="1:21" s="122" customFormat="1" ht="12" customHeight="1">
      <c r="A115" s="829" t="s">
        <v>41228</v>
      </c>
      <c r="B115" s="830"/>
      <c r="C115" s="830"/>
      <c r="D115" s="830"/>
      <c r="E115" s="830"/>
      <c r="F115" s="830"/>
      <c r="G115" s="831"/>
      <c r="H115" s="382"/>
      <c r="M115" s="637"/>
    </row>
    <row r="116" spans="1:21" s="648" customFormat="1" ht="196">
      <c r="A116" s="675" t="s">
        <v>29901</v>
      </c>
      <c r="B116" s="676">
        <v>95276</v>
      </c>
      <c r="C116" s="123" t="str">
        <f>UPPER(IFERROR(VLOOKUP(B116,'SINAPI 04-26-SD'!$1:$1048576,2,FALSE),IFERROR(VLOOKUP(B116,'Ins. SINAPI 04-26-SD'!$1:$1048576,2,FALSE),IFERROR(VLOOKUP(B116,COTAÇÃO!$1:$1048576,2,FALSE),IFERROR(VLOOKUP(B116,'Ins. CDHU 201-SD'!$1:$1048576,2,FALSE),"Não Encontrado")))))</f>
        <v>POLIDORA DE PISO (POLITRIZ), PESO DE 100KG, DIÂMETRO 450 MM, MOTOR ELÉTRICO, POTÊNCIA 4 HP - CHP DIURNO. AF_05/2023</v>
      </c>
      <c r="D116" s="124" t="str">
        <f>UPPER(IFERROR(VLOOKUP(B116,'SINAPI 04-26-SD'!$1:$1048576,3,FALSE),IFERROR(VLOOKUP(B116,'Ins. SINAPI 04-26-SD'!$1:$1048576,3,FALSE),IFERROR(VLOOKUP(B116,COTAÇÃO!$1:$1048576,7,FALSE),IFERROR(VLOOKUP(B116,'Ins. CDHU 201-SD'!$1:$1048576,3,FALSE),"Não Encontrado")))))</f>
        <v>CHP</v>
      </c>
      <c r="E116" s="679">
        <v>9.0300000000000005E-2</v>
      </c>
      <c r="F116" s="125">
        <f>IFERROR(VLOOKUP(B116,'SINAPI 04-26-SD'!$1:$1048576,4,FALSE),IFERROR(VLOOKUP(B116,'Ins. SINAPI 04-26-SD'!$1:$1048576,5,FALSE),IFERROR(VLOOKUP(B116,COTAÇÃO!$1:$1048576,8,FALSE),IFERROR(VLOOKUP(B116,'Ins. CDHU 201-SD'!$1:$1048576,4,FALSE),"Não Encontrado"))))</f>
        <v>3.33</v>
      </c>
      <c r="G116" s="126">
        <f t="shared" ref="G116:G127" si="2">+ROUND(E116*F116,2)</f>
        <v>0.3</v>
      </c>
      <c r="H116" s="647"/>
      <c r="I116" s="646"/>
      <c r="M116" s="649"/>
    </row>
    <row r="117" spans="1:21" s="648" customFormat="1" ht="196">
      <c r="A117" s="675" t="s">
        <v>29901</v>
      </c>
      <c r="B117" s="676">
        <v>95277</v>
      </c>
      <c r="C117" s="123" t="str">
        <f>UPPER(IFERROR(VLOOKUP(B117,'SINAPI 04-26-SD'!$1:$1048576,2,FALSE),IFERROR(VLOOKUP(B117,'Ins. SINAPI 04-26-SD'!$1:$1048576,2,FALSE),IFERROR(VLOOKUP(B117,COTAÇÃO!$1:$1048576,2,FALSE),IFERROR(VLOOKUP(B117,'Ins. CDHU 201-SD'!$1:$1048576,2,FALSE),"Não Encontrado")))))</f>
        <v>POLIDORA DE PISO (POLITRIZ), PESO DE 100KG, DIÂMETRO 450 MM, MOTOR ELÉTRICO, POTÊNCIA 4 HP - CHI DIURNO. AF_05/2023</v>
      </c>
      <c r="D117" s="124" t="str">
        <f>UPPER(IFERROR(VLOOKUP(B117,'SINAPI 04-26-SD'!$1:$1048576,3,FALSE),IFERROR(VLOOKUP(B117,'Ins. SINAPI 04-26-SD'!$1:$1048576,3,FALSE),IFERROR(VLOOKUP(B117,COTAÇÃO!$1:$1048576,7,FALSE),IFERROR(VLOOKUP(B117,'Ins. CDHU 201-SD'!$1:$1048576,3,FALSE),"Não Encontrado")))))</f>
        <v>CHI</v>
      </c>
      <c r="E117" s="679">
        <v>0.21640000000000001</v>
      </c>
      <c r="F117" s="125">
        <f>IFERROR(VLOOKUP(B117,'SINAPI 04-26-SD'!$1:$1048576,4,FALSE),IFERROR(VLOOKUP(B117,'Ins. SINAPI 04-26-SD'!$1:$1048576,5,FALSE),IFERROR(VLOOKUP(B117,COTAÇÃO!$1:$1048576,8,FALSE),IFERROR(VLOOKUP(B117,'Ins. CDHU 201-SD'!$1:$1048576,4,FALSE),"Não Encontrado"))))</f>
        <v>0.7</v>
      </c>
      <c r="G117" s="126">
        <f t="shared" si="2"/>
        <v>0.15</v>
      </c>
      <c r="H117" s="647"/>
      <c r="I117" s="646"/>
      <c r="M117" s="649"/>
    </row>
    <row r="118" spans="1:21" s="648" customFormat="1" ht="42">
      <c r="A118" s="675" t="s">
        <v>41847</v>
      </c>
      <c r="B118" s="676" t="s">
        <v>41262</v>
      </c>
      <c r="C118" s="123" t="str">
        <f>UPPER(IFERROR(VLOOKUP(B118,'SINAPI 04-26-SD'!$1:$1048576,2,FALSE),IFERROR(VLOOKUP(B118,'Ins. SINAPI 04-26-SD'!$1:$1048576,2,FALSE),IFERROR(VLOOKUP(B118,COTAÇÃO!$1:$1048576,2,FALSE),IFERROR(VLOOKUP(B118,'Ins. CDHU 201-SD'!$1:$1048576,2,FALSE),"Não Encontrado")))))</f>
        <v>NÃO ENCONTRADO</v>
      </c>
      <c r="D118" s="124" t="str">
        <f>UPPER(IFERROR(VLOOKUP(B118,'SINAPI 04-26-SD'!$1:$1048576,3,FALSE),IFERROR(VLOOKUP(B118,'Ins. SINAPI 04-26-SD'!$1:$1048576,3,FALSE),IFERROR(VLOOKUP(B118,COTAÇÃO!$1:$1048576,7,FALSE),IFERROR(VLOOKUP(B118,'Ins. CDHU 201-SD'!$1:$1048576,3,FALSE),"Não Encontrado")))))</f>
        <v>NÃO ENCONTRADO</v>
      </c>
      <c r="E118" s="679">
        <v>1.2E-2</v>
      </c>
      <c r="F118" s="125" t="str">
        <f>IFERROR(VLOOKUP(B118,'SINAPI 04-26-SD'!$1:$1048576,4,FALSE),IFERROR(VLOOKUP(B118,'Ins. SINAPI 04-26-SD'!$1:$1048576,5,FALSE),IFERROR(VLOOKUP(B118,COTAÇÃO!$1:$1048576,8,FALSE),IFERROR(VLOOKUP(B118,'Ins. CDHU 201-SD'!$1:$1048576,4,FALSE),"Não Encontrado"))))</f>
        <v>Não Encontrado</v>
      </c>
      <c r="G118" s="126" t="e">
        <f t="shared" si="2"/>
        <v>#VALUE!</v>
      </c>
      <c r="H118" s="647"/>
      <c r="I118" s="646"/>
      <c r="M118" s="649"/>
    </row>
    <row r="119" spans="1:21" s="648" customFormat="1" ht="84">
      <c r="A119" s="675" t="s">
        <v>41848</v>
      </c>
      <c r="B119" s="676" t="s">
        <v>41849</v>
      </c>
      <c r="C119" s="677" t="s">
        <v>41853</v>
      </c>
      <c r="D119" s="678" t="s">
        <v>103</v>
      </c>
      <c r="E119" s="679">
        <v>0.01</v>
      </c>
      <c r="F119" s="680">
        <v>94.55</v>
      </c>
      <c r="G119" s="126">
        <f t="shared" si="2"/>
        <v>0.95</v>
      </c>
      <c r="H119" s="647"/>
      <c r="I119" s="646"/>
      <c r="M119" s="649"/>
    </row>
    <row r="120" spans="1:21" s="648" customFormat="1" ht="84">
      <c r="A120" s="675" t="s">
        <v>41848</v>
      </c>
      <c r="B120" s="676" t="s">
        <v>41850</v>
      </c>
      <c r="C120" s="677" t="s">
        <v>41854</v>
      </c>
      <c r="D120" s="678" t="s">
        <v>103</v>
      </c>
      <c r="E120" s="679">
        <v>8.0000000000000002E-3</v>
      </c>
      <c r="F120" s="680">
        <v>124.83</v>
      </c>
      <c r="G120" s="126">
        <f t="shared" si="2"/>
        <v>1</v>
      </c>
      <c r="H120" s="647"/>
      <c r="I120" s="646"/>
      <c r="M120" s="649"/>
    </row>
    <row r="121" spans="1:21" s="648" customFormat="1" ht="42">
      <c r="A121" s="675" t="s">
        <v>41847</v>
      </c>
      <c r="B121" s="676" t="s">
        <v>41263</v>
      </c>
      <c r="C121" s="123" t="str">
        <f>UPPER(IFERROR(VLOOKUP(B121,'SINAPI 04-26-SD'!$1:$1048576,2,FALSE),IFERROR(VLOOKUP(B121,'Ins. SINAPI 04-26-SD'!$1:$1048576,2,FALSE),IFERROR(VLOOKUP(B121,COTAÇÃO!$1:$1048576,2,FALSE),IFERROR(VLOOKUP(B121,'Ins. CDHU 201-SD'!$1:$1048576,2,FALSE),"Não Encontrado")))))</f>
        <v>NÃO ENCONTRADO</v>
      </c>
      <c r="D121" s="124" t="str">
        <f>UPPER(IFERROR(VLOOKUP(B121,'SINAPI 04-26-SD'!$1:$1048576,3,FALSE),IFERROR(VLOOKUP(B121,'Ins. SINAPI 04-26-SD'!$1:$1048576,3,FALSE),IFERROR(VLOOKUP(B121,COTAÇÃO!$1:$1048576,7,FALSE),IFERROR(VLOOKUP(B121,'Ins. CDHU 201-SD'!$1:$1048576,3,FALSE),"Não Encontrado")))))</f>
        <v>NÃO ENCONTRADO</v>
      </c>
      <c r="E121" s="679">
        <v>7.0000000000000001E-3</v>
      </c>
      <c r="F121" s="125" t="str">
        <f>IFERROR(VLOOKUP(B121,'SINAPI 04-26-SD'!$1:$1048576,4,FALSE),IFERROR(VLOOKUP(B121,'Ins. SINAPI 04-26-SD'!$1:$1048576,5,FALSE),IFERROR(VLOOKUP(B121,COTAÇÃO!$1:$1048576,8,FALSE),IFERROR(VLOOKUP(B121,'Ins. CDHU 201-SD'!$1:$1048576,4,FALSE),"Não Encontrado"))))</f>
        <v>Não Encontrado</v>
      </c>
      <c r="G121" s="126" t="e">
        <f t="shared" si="2"/>
        <v>#VALUE!</v>
      </c>
      <c r="H121" s="647"/>
      <c r="I121" s="646"/>
      <c r="M121" s="649"/>
    </row>
    <row r="122" spans="1:21" s="648" customFormat="1" ht="42">
      <c r="A122" s="675" t="s">
        <v>41847</v>
      </c>
      <c r="B122" s="676" t="s">
        <v>41266</v>
      </c>
      <c r="C122" s="123" t="str">
        <f>UPPER(IFERROR(VLOOKUP(B122,'SINAPI 04-26-SD'!$1:$1048576,2,FALSE),IFERROR(VLOOKUP(B122,'Ins. SINAPI 04-26-SD'!$1:$1048576,2,FALSE),IFERROR(VLOOKUP(B122,COTAÇÃO!$1:$1048576,2,FALSE),IFERROR(VLOOKUP(B122,'Ins. CDHU 201-SD'!$1:$1048576,2,FALSE),"Não Encontrado")))))</f>
        <v>NÃO ENCONTRADO</v>
      </c>
      <c r="D122" s="124" t="str">
        <f>UPPER(IFERROR(VLOOKUP(B122,'SINAPI 04-26-SD'!$1:$1048576,3,FALSE),IFERROR(VLOOKUP(B122,'Ins. SINAPI 04-26-SD'!$1:$1048576,3,FALSE),IFERROR(VLOOKUP(B122,COTAÇÃO!$1:$1048576,7,FALSE),IFERROR(VLOOKUP(B122,'Ins. CDHU 201-SD'!$1:$1048576,3,FALSE),"Não Encontrado")))))</f>
        <v>NÃO ENCONTRADO</v>
      </c>
      <c r="E122" s="679">
        <v>6.0000000000000001E-3</v>
      </c>
      <c r="F122" s="125" t="str">
        <f>IFERROR(VLOOKUP(B122,'SINAPI 04-26-SD'!$1:$1048576,4,FALSE),IFERROR(VLOOKUP(B122,'Ins. SINAPI 04-26-SD'!$1:$1048576,5,FALSE),IFERROR(VLOOKUP(B122,COTAÇÃO!$1:$1048576,8,FALSE),IFERROR(VLOOKUP(B122,'Ins. CDHU 201-SD'!$1:$1048576,4,FALSE),"Não Encontrado"))))</f>
        <v>Não Encontrado</v>
      </c>
      <c r="G122" s="126" t="e">
        <f t="shared" si="2"/>
        <v>#VALUE!</v>
      </c>
      <c r="H122" s="647"/>
      <c r="I122" s="646"/>
      <c r="M122" s="649"/>
    </row>
    <row r="123" spans="1:21" s="648" customFormat="1" ht="42">
      <c r="A123" s="675" t="s">
        <v>41847</v>
      </c>
      <c r="B123" s="676" t="s">
        <v>41265</v>
      </c>
      <c r="C123" s="123" t="str">
        <f>UPPER(IFERROR(VLOOKUP(B123,'SINAPI 04-26-SD'!$1:$1048576,2,FALSE),IFERROR(VLOOKUP(B123,'Ins. SINAPI 04-26-SD'!$1:$1048576,2,FALSE),IFERROR(VLOOKUP(B123,COTAÇÃO!$1:$1048576,2,FALSE),IFERROR(VLOOKUP(B123,'Ins. CDHU 201-SD'!$1:$1048576,2,FALSE),"Não Encontrado")))))</f>
        <v>NÃO ENCONTRADO</v>
      </c>
      <c r="D123" s="124" t="str">
        <f>UPPER(IFERROR(VLOOKUP(B123,'SINAPI 04-26-SD'!$1:$1048576,3,FALSE),IFERROR(VLOOKUP(B123,'Ins. SINAPI 04-26-SD'!$1:$1048576,3,FALSE),IFERROR(VLOOKUP(B123,COTAÇÃO!$1:$1048576,7,FALSE),IFERROR(VLOOKUP(B123,'Ins. CDHU 201-SD'!$1:$1048576,3,FALSE),"Não Encontrado")))))</f>
        <v>NÃO ENCONTRADO</v>
      </c>
      <c r="E123" s="679">
        <v>0.01</v>
      </c>
      <c r="F123" s="125" t="str">
        <f>IFERROR(VLOOKUP(B123,'SINAPI 04-26-SD'!$1:$1048576,4,FALSE),IFERROR(VLOOKUP(B123,'Ins. SINAPI 04-26-SD'!$1:$1048576,5,FALSE),IFERROR(VLOOKUP(B123,COTAÇÃO!$1:$1048576,8,FALSE),IFERROR(VLOOKUP(B123,'Ins. CDHU 201-SD'!$1:$1048576,4,FALSE),"Não Encontrado"))))</f>
        <v>Não Encontrado</v>
      </c>
      <c r="G123" s="126" t="e">
        <f t="shared" si="2"/>
        <v>#VALUE!</v>
      </c>
      <c r="H123" s="647"/>
      <c r="I123" s="646"/>
      <c r="M123" s="649"/>
    </row>
    <row r="124" spans="1:21" s="648" customFormat="1" ht="42">
      <c r="A124" s="675" t="s">
        <v>41847</v>
      </c>
      <c r="B124" s="676" t="s">
        <v>41264</v>
      </c>
      <c r="C124" s="123" t="str">
        <f>UPPER(IFERROR(VLOOKUP(B124,'SINAPI 04-26-SD'!$1:$1048576,2,FALSE),IFERROR(VLOOKUP(B124,'Ins. SINAPI 04-26-SD'!$1:$1048576,2,FALSE),IFERROR(VLOOKUP(B124,COTAÇÃO!$1:$1048576,2,FALSE),IFERROR(VLOOKUP(B124,'Ins. CDHU 201-SD'!$1:$1048576,2,FALSE),"Não Encontrado")))))</f>
        <v>NÃO ENCONTRADO</v>
      </c>
      <c r="D124" s="124" t="str">
        <f>UPPER(IFERROR(VLOOKUP(B124,'SINAPI 04-26-SD'!$1:$1048576,3,FALSE),IFERROR(VLOOKUP(B124,'Ins. SINAPI 04-26-SD'!$1:$1048576,3,FALSE),IFERROR(VLOOKUP(B124,COTAÇÃO!$1:$1048576,7,FALSE),IFERROR(VLOOKUP(B124,'Ins. CDHU 201-SD'!$1:$1048576,3,FALSE),"Não Encontrado")))))</f>
        <v>NÃO ENCONTRADO</v>
      </c>
      <c r="E124" s="679">
        <v>8.9999999999999993E-3</v>
      </c>
      <c r="F124" s="125" t="str">
        <f>IFERROR(VLOOKUP(B124,'SINAPI 04-26-SD'!$1:$1048576,4,FALSE),IFERROR(VLOOKUP(B124,'Ins. SINAPI 04-26-SD'!$1:$1048576,5,FALSE),IFERROR(VLOOKUP(B124,COTAÇÃO!$1:$1048576,8,FALSE),IFERROR(VLOOKUP(B124,'Ins. CDHU 201-SD'!$1:$1048576,4,FALSE),"Não Encontrado"))))</f>
        <v>Não Encontrado</v>
      </c>
      <c r="G124" s="126" t="e">
        <f t="shared" si="2"/>
        <v>#VALUE!</v>
      </c>
      <c r="H124" s="647"/>
      <c r="I124" s="646"/>
      <c r="M124" s="649"/>
    </row>
    <row r="125" spans="1:21" s="648" customFormat="1" ht="42">
      <c r="A125" s="675" t="s">
        <v>41847</v>
      </c>
      <c r="B125" s="676" t="s">
        <v>41267</v>
      </c>
      <c r="C125" s="123" t="str">
        <f>UPPER(IFERROR(VLOOKUP(B125,'SINAPI 04-26-SD'!$1:$1048576,2,FALSE),IFERROR(VLOOKUP(B125,'Ins. SINAPI 04-26-SD'!$1:$1048576,2,FALSE),IFERROR(VLOOKUP(B125,COTAÇÃO!$1:$1048576,2,FALSE),IFERROR(VLOOKUP(B125,'Ins. CDHU 201-SD'!$1:$1048576,2,FALSE),"Não Encontrado")))))</f>
        <v>NÃO ENCONTRADO</v>
      </c>
      <c r="D125" s="124" t="str">
        <f>UPPER(IFERROR(VLOOKUP(B125,'SINAPI 04-26-SD'!$1:$1048576,3,FALSE),IFERROR(VLOOKUP(B125,'Ins. SINAPI 04-26-SD'!$1:$1048576,3,FALSE),IFERROR(VLOOKUP(B125,COTAÇÃO!$1:$1048576,7,FALSE),IFERROR(VLOOKUP(B125,'Ins. CDHU 201-SD'!$1:$1048576,3,FALSE),"Não Encontrado")))))</f>
        <v>NÃO ENCONTRADO</v>
      </c>
      <c r="E125" s="679">
        <v>8.9999999999999993E-3</v>
      </c>
      <c r="F125" s="125" t="str">
        <f>IFERROR(VLOOKUP(B125,'SINAPI 04-26-SD'!$1:$1048576,4,FALSE),IFERROR(VLOOKUP(B125,'Ins. SINAPI 04-26-SD'!$1:$1048576,5,FALSE),IFERROR(VLOOKUP(B125,COTAÇÃO!$1:$1048576,8,FALSE),IFERROR(VLOOKUP(B125,'Ins. CDHU 201-SD'!$1:$1048576,4,FALSE),"Não Encontrado"))))</f>
        <v>Não Encontrado</v>
      </c>
      <c r="G125" s="126" t="e">
        <f t="shared" si="2"/>
        <v>#VALUE!</v>
      </c>
      <c r="H125" s="647"/>
      <c r="I125" s="646"/>
      <c r="M125" s="649"/>
    </row>
    <row r="126" spans="1:21" s="648" customFormat="1" ht="112">
      <c r="A126" s="675" t="s">
        <v>41851</v>
      </c>
      <c r="B126" s="676" t="s">
        <v>41852</v>
      </c>
      <c r="C126" s="677" t="s">
        <v>41855</v>
      </c>
      <c r="D126" s="678" t="s">
        <v>207</v>
      </c>
      <c r="E126" s="679">
        <v>0.3</v>
      </c>
      <c r="F126" s="680">
        <v>14.45</v>
      </c>
      <c r="G126" s="126">
        <f t="shared" si="2"/>
        <v>4.34</v>
      </c>
      <c r="H126" s="647"/>
      <c r="I126" s="646"/>
      <c r="M126" s="649"/>
    </row>
    <row r="127" spans="1:21" s="648" customFormat="1" ht="84">
      <c r="A127" s="675" t="s">
        <v>27888</v>
      </c>
      <c r="B127" s="676">
        <v>45146</v>
      </c>
      <c r="C127" s="123" t="str">
        <f>UPPER(IFERROR(VLOOKUP(B127,'SINAPI 04-26-SD'!$1:$1048576,2,FALSE),IFERROR(VLOOKUP(B127,'Ins. SINAPI 04-26-SD'!$1:$1048576,2,FALSE),IFERROR(VLOOKUP(B127,COTAÇÃO!$1:$1048576,2,FALSE),IFERROR(VLOOKUP(B127,'Ins. CDHU 201-SD'!$1:$1048576,2,FALSE),"Não Encontrado")))))</f>
        <v>ADITIVO IMPERMEABILIZANTE CRISTALIZANTE PARA CONCRETO</v>
      </c>
      <c r="D127" s="124" t="str">
        <f>UPPER(IFERROR(VLOOKUP(B127,'SINAPI 04-26-SD'!$1:$1048576,3,FALSE),IFERROR(VLOOKUP(B127,'Ins. SINAPI 04-26-SD'!$1:$1048576,3,FALSE),IFERROR(VLOOKUP(B127,COTAÇÃO!$1:$1048576,7,FALSE),IFERROR(VLOOKUP(B127,'Ins. CDHU 201-SD'!$1:$1048576,3,FALSE),"Não Encontrado")))))</f>
        <v>KG</v>
      </c>
      <c r="E127" s="679">
        <v>0.3</v>
      </c>
      <c r="F127" s="125">
        <f>IFERROR(VLOOKUP(B127,'SINAPI 04-26-SD'!$1:$1048576,4,FALSE),IFERROR(VLOOKUP(B127,'Ins. SINAPI 04-26-SD'!$1:$1048576,5,FALSE),IFERROR(VLOOKUP(B127,COTAÇÃO!$1:$1048576,8,FALSE),IFERROR(VLOOKUP(B127,'Ins. CDHU 201-SD'!$1:$1048576,4,FALSE),"Não Encontrado"))))</f>
        <v>33.32</v>
      </c>
      <c r="G127" s="126">
        <f t="shared" si="2"/>
        <v>10</v>
      </c>
      <c r="H127" s="647"/>
      <c r="I127" s="646"/>
      <c r="M127" s="649"/>
    </row>
    <row r="128" spans="1:21" s="548" customFormat="1" ht="28">
      <c r="A128" s="550"/>
      <c r="B128" s="551"/>
      <c r="C128" s="552" t="s">
        <v>41229</v>
      </c>
      <c r="D128" s="553"/>
      <c r="E128" s="554"/>
      <c r="F128" s="555"/>
      <c r="G128" s="556" t="e">
        <f>SUM(G115:G127)</f>
        <v>#VALUE!</v>
      </c>
      <c r="H128" s="547"/>
      <c r="M128" s="638"/>
    </row>
    <row r="129" spans="1:21" s="122" customFormat="1" ht="12" customHeight="1">
      <c r="A129" s="829" t="s">
        <v>41230</v>
      </c>
      <c r="B129" s="830"/>
      <c r="C129" s="830"/>
      <c r="D129" s="830"/>
      <c r="E129" s="830"/>
      <c r="F129" s="830"/>
      <c r="G129" s="831"/>
      <c r="H129" s="382"/>
      <c r="M129" s="637"/>
    </row>
    <row r="130" spans="1:21" s="122" customFormat="1" ht="14">
      <c r="A130" s="675" t="s">
        <v>29901</v>
      </c>
      <c r="B130" s="676" t="s">
        <v>57</v>
      </c>
      <c r="C130" s="123" t="str">
        <f>UPPER(IFERROR(VLOOKUP(B130,'SINAPI 04-26-SD'!$1:$1048576,2,FALSE),IFERROR(VLOOKUP(B130,'Ins. SINAPI 04-26-SD'!$1:$1048576,2,FALSE),IFERROR(VLOOKUP(B130,COTAÇÃO!$1:$1048576,2,FALSE),IFERROR(VLOOKUP(B130,'Ins. CDHU 201-SD'!$1:$1048576,2,FALSE),"Não Encontrado")))))</f>
        <v>SERVENTE</v>
      </c>
      <c r="D130" s="124" t="str">
        <f>UPPER(IFERROR(VLOOKUP(B130,'SINAPI 04-26-SD'!$1:$1048576,3,FALSE),IFERROR(VLOOKUP(B130,'Ins. SINAPI 04-26-SD'!$1:$1048576,3,FALSE),IFERROR(VLOOKUP(B130,COTAÇÃO!$1:$1048576,7,FALSE),IFERROR(VLOOKUP(B130,'Ins. CDHU 201-SD'!$1:$1048576,3,FALSE),"Não Encontrado")))))</f>
        <v>H</v>
      </c>
      <c r="E130" s="315">
        <v>0.4</v>
      </c>
      <c r="F130" s="125">
        <f>IFERROR(VLOOKUP(B130,'SINAPI 04-26-SD'!$1:$1048576,4,FALSE),IFERROR(VLOOKUP(B130,'Ins. SINAPI 04-26-SD'!$1:$1048576,5,FALSE),IFERROR(VLOOKUP(B130,COTAÇÃO!$1:$1048576,8,FALSE),IFERROR(VLOOKUP(B130,'Ins. CDHU 201-SD'!$1:$1048576,4,FALSE),"Não Encontrado"))))</f>
        <v>9.9499999999999993</v>
      </c>
      <c r="G130" s="126">
        <f>+ROUND(E130*F130,2)</f>
        <v>3.98</v>
      </c>
      <c r="H130" s="382"/>
      <c r="I130" s="315"/>
      <c r="M130" s="637"/>
    </row>
    <row r="131" spans="1:21" s="122" customFormat="1" ht="28">
      <c r="A131" s="675" t="s">
        <v>29901</v>
      </c>
      <c r="B131" s="676" t="s">
        <v>37</v>
      </c>
      <c r="C131" s="123" t="str">
        <f>UPPER(IFERROR(VLOOKUP(B131,'SINAPI 04-26-SD'!$1:$1048576,2,FALSE),IFERROR(VLOOKUP(B131,'Ins. SINAPI 04-26-SD'!$1:$1048576,2,FALSE),IFERROR(VLOOKUP(B131,COTAÇÃO!$1:$1048576,2,FALSE),IFERROR(VLOOKUP(B131,'Ins. CDHU 201-SD'!$1:$1048576,2,FALSE),"Não Encontrado")))))</f>
        <v>GRANITEIRO</v>
      </c>
      <c r="D131" s="124" t="str">
        <f>UPPER(IFERROR(VLOOKUP(B131,'SINAPI 04-26-SD'!$1:$1048576,3,FALSE),IFERROR(VLOOKUP(B131,'Ins. SINAPI 04-26-SD'!$1:$1048576,3,FALSE),IFERROR(VLOOKUP(B131,COTAÇÃO!$1:$1048576,7,FALSE),IFERROR(VLOOKUP(B131,'Ins. CDHU 201-SD'!$1:$1048576,3,FALSE),"Não Encontrado")))))</f>
        <v>H</v>
      </c>
      <c r="E131" s="315">
        <v>1</v>
      </c>
      <c r="F131" s="125">
        <f>IFERROR(VLOOKUP(B131,'SINAPI 04-26-SD'!$1:$1048576,4,FALSE),IFERROR(VLOOKUP(B131,'Ins. SINAPI 04-26-SD'!$1:$1048576,5,FALSE),IFERROR(VLOOKUP(B131,COTAÇÃO!$1:$1048576,8,FALSE),IFERROR(VLOOKUP(B131,'Ins. CDHU 201-SD'!$1:$1048576,4,FALSE),"Não Encontrado"))))</f>
        <v>14.51</v>
      </c>
      <c r="G131" s="126">
        <f>+ROUND(E131*F131,2)</f>
        <v>14.51</v>
      </c>
      <c r="H131" s="382"/>
      <c r="I131" s="315"/>
      <c r="M131" s="637"/>
    </row>
    <row r="132" spans="1:21" s="122" customFormat="1" ht="14">
      <c r="A132" s="675" t="s">
        <v>29901</v>
      </c>
      <c r="B132" s="676" t="s">
        <v>45</v>
      </c>
      <c r="C132" s="123" t="str">
        <f>UPPER(IFERROR(VLOOKUP(B132,'SINAPI 04-26-SD'!$1:$1048576,2,FALSE),IFERROR(VLOOKUP(B132,'Ins. SINAPI 04-26-SD'!$1:$1048576,2,FALSE),IFERROR(VLOOKUP(B132,COTAÇÃO!$1:$1048576,2,FALSE),IFERROR(VLOOKUP(B132,'Ins. CDHU 201-SD'!$1:$1048576,2,FALSE),"Não Encontrado")))))</f>
        <v>PINTOR</v>
      </c>
      <c r="D132" s="124" t="str">
        <f>UPPER(IFERROR(VLOOKUP(B132,'SINAPI 04-26-SD'!$1:$1048576,3,FALSE),IFERROR(VLOOKUP(B132,'Ins. SINAPI 04-26-SD'!$1:$1048576,3,FALSE),IFERROR(VLOOKUP(B132,COTAÇÃO!$1:$1048576,7,FALSE),IFERROR(VLOOKUP(B132,'Ins. CDHU 201-SD'!$1:$1048576,3,FALSE),"Não Encontrado")))))</f>
        <v>H</v>
      </c>
      <c r="E132" s="315">
        <v>0.2</v>
      </c>
      <c r="F132" s="125">
        <f>IFERROR(VLOOKUP(B132,'SINAPI 04-26-SD'!$1:$1048576,4,FALSE),IFERROR(VLOOKUP(B132,'Ins. SINAPI 04-26-SD'!$1:$1048576,5,FALSE),IFERROR(VLOOKUP(B132,COTAÇÃO!$1:$1048576,8,FALSE),IFERROR(VLOOKUP(B132,'Ins. CDHU 201-SD'!$1:$1048576,4,FALSE),"Não Encontrado"))))</f>
        <v>14.51</v>
      </c>
      <c r="G132" s="126">
        <f>+ROUND(E132*F132,2)</f>
        <v>2.9</v>
      </c>
      <c r="H132" s="382"/>
      <c r="I132" s="315"/>
      <c r="M132" s="637"/>
    </row>
    <row r="133" spans="1:21" s="122" customFormat="1" ht="42">
      <c r="A133" s="316"/>
      <c r="B133" s="549"/>
      <c r="C133" s="123" t="s">
        <v>41258</v>
      </c>
      <c r="D133" s="124"/>
      <c r="E133" s="315"/>
      <c r="F133" s="125"/>
      <c r="G133" s="126">
        <f>+SUBTOTAL(9,G129:G132)</f>
        <v>21.389999999999997</v>
      </c>
      <c r="H133" s="382"/>
      <c r="M133" s="637"/>
    </row>
    <row r="134" spans="1:21" s="122" customFormat="1" ht="28">
      <c r="A134" s="316"/>
      <c r="B134" s="549"/>
      <c r="C134" s="123" t="s">
        <v>41259</v>
      </c>
      <c r="D134" s="124"/>
      <c r="E134" s="315">
        <f>$J$2</f>
        <v>128.22999999999999</v>
      </c>
      <c r="F134" s="125"/>
      <c r="G134" s="126">
        <f>+ROUND(G133*E134/100,2)</f>
        <v>27.43</v>
      </c>
      <c r="H134" s="382"/>
      <c r="M134" s="637"/>
    </row>
    <row r="135" spans="1:21" s="548" customFormat="1" ht="84">
      <c r="A135" s="550"/>
      <c r="B135" s="551"/>
      <c r="C135" s="552" t="s">
        <v>41231</v>
      </c>
      <c r="D135" s="553"/>
      <c r="E135" s="554"/>
      <c r="F135" s="555"/>
      <c r="G135" s="556">
        <f>SUM(G133:G134)</f>
        <v>48.819999999999993</v>
      </c>
      <c r="H135" s="547"/>
      <c r="M135" s="638"/>
    </row>
    <row r="136" spans="1:21" s="122" customFormat="1" ht="13">
      <c r="A136" s="127"/>
      <c r="B136" s="406"/>
      <c r="C136" s="406" t="s">
        <v>27907</v>
      </c>
      <c r="D136" s="406"/>
      <c r="E136" s="406"/>
      <c r="F136" s="407"/>
      <c r="G136" s="408" t="e">
        <f>SUM(G135,G128)</f>
        <v>#VALUE!</v>
      </c>
      <c r="H136" s="382"/>
      <c r="M136" s="637"/>
    </row>
    <row r="137" spans="1:21" s="122" customFormat="1" ht="39" customHeight="1">
      <c r="A137" s="832" t="s">
        <v>27908</v>
      </c>
      <c r="B137" s="833"/>
      <c r="C137" s="836" t="s">
        <v>41859</v>
      </c>
      <c r="D137" s="836"/>
      <c r="E137" s="836"/>
      <c r="F137" s="836"/>
      <c r="G137" s="837"/>
      <c r="H137" s="382"/>
      <c r="M137" s="637"/>
    </row>
    <row r="139" spans="1:21" s="119" customFormat="1" ht="13.5" customHeight="1" thickBot="1">
      <c r="A139" s="120"/>
      <c r="B139" s="121"/>
      <c r="C139" s="121"/>
      <c r="D139" s="121"/>
      <c r="E139" s="121"/>
      <c r="F139" s="121"/>
      <c r="G139" s="206"/>
      <c r="H139" s="119" t="s">
        <v>6009</v>
      </c>
      <c r="I139" s="119" t="s">
        <v>27901</v>
      </c>
      <c r="J139" s="228" t="s">
        <v>27889</v>
      </c>
      <c r="M139" s="637"/>
    </row>
    <row r="140" spans="1:21" s="374" customFormat="1" ht="27.75" customHeight="1" thickBot="1">
      <c r="A140" s="543" t="s">
        <v>41874</v>
      </c>
      <c r="B140" s="544"/>
      <c r="C140" s="838" t="s">
        <v>41875</v>
      </c>
      <c r="D140" s="839"/>
      <c r="E140" s="839"/>
      <c r="F140" s="840"/>
      <c r="G140" s="545" t="s">
        <v>165</v>
      </c>
      <c r="H140" s="383" t="e">
        <f>#REF!</f>
        <v>#REF!</v>
      </c>
      <c r="I140" s="383">
        <v>0</v>
      </c>
      <c r="J140" s="383">
        <f>G151</f>
        <v>33.97</v>
      </c>
      <c r="K140" s="122"/>
      <c r="L140" s="122"/>
      <c r="M140" s="637" t="e">
        <f>VLOOKUP(A140,'Plan Orçamentária'!$Q:$Y,1,FALSE)</f>
        <v>#N/A</v>
      </c>
      <c r="N140" s="122"/>
      <c r="O140" s="122"/>
      <c r="P140" s="122"/>
      <c r="Q140" s="122"/>
      <c r="R140" s="122"/>
      <c r="S140" s="122"/>
      <c r="T140" s="122"/>
      <c r="U140" s="122"/>
    </row>
    <row r="141" spans="1:21" s="122" customFormat="1" ht="12" customHeight="1">
      <c r="A141" s="419" t="s">
        <v>27902</v>
      </c>
      <c r="B141" s="420" t="s">
        <v>27903</v>
      </c>
      <c r="C141" s="546" t="s">
        <v>5</v>
      </c>
      <c r="D141" s="421" t="s">
        <v>27886</v>
      </c>
      <c r="E141" s="422" t="s">
        <v>27904</v>
      </c>
      <c r="F141" s="422" t="s">
        <v>27905</v>
      </c>
      <c r="G141" s="423" t="s">
        <v>27906</v>
      </c>
      <c r="H141" s="382"/>
      <c r="M141" s="637"/>
    </row>
    <row r="142" spans="1:21" s="122" customFormat="1" ht="12" customHeight="1">
      <c r="A142" s="829" t="s">
        <v>41228</v>
      </c>
      <c r="B142" s="830"/>
      <c r="C142" s="830"/>
      <c r="D142" s="830"/>
      <c r="E142" s="830"/>
      <c r="F142" s="830"/>
      <c r="G142" s="831"/>
      <c r="H142" s="382"/>
      <c r="M142" s="637"/>
    </row>
    <row r="143" spans="1:21" s="648" customFormat="1" ht="98">
      <c r="A143" s="316" t="s">
        <v>29901</v>
      </c>
      <c r="B143" s="549" t="s">
        <v>222</v>
      </c>
      <c r="C143" s="123" t="str">
        <f>UPPER(IFERROR(VLOOKUP(B143,'SINAPI 04-26-SD'!$1:$1048576,2,FALSE),IFERROR(VLOOKUP(B143,'Ins. SINAPI 04-26-SD'!$1:$1048576,2,FALSE),IFERROR(VLOOKUP(B143,COTAÇÃO!$1:$1048576,2,FALSE),IFERROR(VLOOKUP(B143,'Ins. CDHU 201-SD'!$1:$1048576,2,FALSE),IFERROR(VLOOKUP(B143,'Ins. FDE 01-26-SD'!$1:$1048576,2,FALSE),"Não Encontrado"))))))</f>
        <v>ESTACA ESCAVADA MECANICAMENTE, DIÂMETRO DE 25 CM ATÉ 20 T</v>
      </c>
      <c r="D143" s="124" t="str">
        <f>UPPER(IFERROR(VLOOKUP(B143,'SINAPI 04-26-SD'!$1:$1048576,3,FALSE),IFERROR(VLOOKUP(B143,'Ins. SINAPI 04-26-SD'!$1:$1048576,3,FALSE),IFERROR(VLOOKUP(B143,COTAÇÃO!$1:$1048576,7,FALSE),IFERROR(VLOOKUP(B143,'Ins. CDHU 201-SD'!$1:$1048576,3,FALSE),IFERROR(VLOOKUP(B143,'Ins. FDE 01-26-SD'!$1:$1048576,3,FALSE),"Não Encontrado"))))))</f>
        <v>M</v>
      </c>
      <c r="E143" s="315">
        <v>1</v>
      </c>
      <c r="F143" s="125">
        <f>IFERROR(VLOOKUP(B143,'SINAPI 04-26-SD'!$1:$1048576,4,FALSE),IFERROR(VLOOKUP(B143,'Ins. SINAPI 04-26-SD'!$1:$1048576,5,FALSE),IFERROR(VLOOKUP(B143,COTAÇÃO!$1:$1048576,8,FALSE),IFERROR(VLOOKUP(B143,'Ins. CDHU 201-SD'!$1:$1048576,4,FALSE),IFERROR(VLOOKUP(B143,'Ins. FDE 01-26-SD'!$1:$1048576,4,FALSE),"Não Encontrado")))))</f>
        <v>17.88</v>
      </c>
      <c r="G143" s="126">
        <f>+ROUND(E143*F143,2)</f>
        <v>17.88</v>
      </c>
      <c r="H143" s="647"/>
      <c r="I143" s="646"/>
      <c r="M143" s="649"/>
    </row>
    <row r="144" spans="1:21" s="548" customFormat="1" ht="28">
      <c r="A144" s="550"/>
      <c r="B144" s="551"/>
      <c r="C144" s="552" t="s">
        <v>41229</v>
      </c>
      <c r="D144" s="553"/>
      <c r="E144" s="554"/>
      <c r="F144" s="555"/>
      <c r="G144" s="556">
        <f>SUM(G142:G143)</f>
        <v>17.88</v>
      </c>
      <c r="H144" s="547"/>
      <c r="M144" s="638"/>
    </row>
    <row r="145" spans="1:13" s="122" customFormat="1" ht="12" customHeight="1">
      <c r="A145" s="829" t="s">
        <v>41230</v>
      </c>
      <c r="B145" s="830"/>
      <c r="C145" s="830"/>
      <c r="D145" s="830"/>
      <c r="E145" s="830"/>
      <c r="F145" s="830"/>
      <c r="G145" s="831"/>
      <c r="H145" s="382"/>
      <c r="M145" s="637"/>
    </row>
    <row r="146" spans="1:13" s="122" customFormat="1" ht="14">
      <c r="A146" s="316" t="s">
        <v>29901</v>
      </c>
      <c r="B146" s="549" t="s">
        <v>43</v>
      </c>
      <c r="C146" s="123" t="str">
        <f>UPPER(IFERROR(VLOOKUP(B146,'SINAPI 04-26-SD'!$1:$1048576,2,FALSE),IFERROR(VLOOKUP(B146,'Ins. SINAPI 04-26-SD'!$1:$1048576,2,FALSE),IFERROR(VLOOKUP(B146,COTAÇÃO!$1:$1048576,2,FALSE),IFERROR(VLOOKUP(B146,'Ins. CDHU 201-SD'!$1:$1048576,2,FALSE),"Não Encontrado")))))</f>
        <v>PEDREIRO</v>
      </c>
      <c r="D146" s="124" t="str">
        <f>UPPER(IFERROR(VLOOKUP(B146,'SINAPI 04-26-SD'!$1:$1048576,3,FALSE),IFERROR(VLOOKUP(B146,'Ins. SINAPI 04-26-SD'!$1:$1048576,3,FALSE),IFERROR(VLOOKUP(B146,COTAÇÃO!$1:$1048576,7,FALSE),IFERROR(VLOOKUP(B146,'Ins. CDHU 201-SD'!$1:$1048576,3,FALSE),"Não Encontrado")))))</f>
        <v>H</v>
      </c>
      <c r="E146" s="315">
        <v>9.8100000000000007E-2</v>
      </c>
      <c r="F146" s="125">
        <f>IFERROR(VLOOKUP(B146,'SINAPI 04-26-SD'!$1:$1048576,4,FALSE),IFERROR(VLOOKUP(B146,'Ins. SINAPI 04-26-SD'!$1:$1048576,5,FALSE),IFERROR(VLOOKUP(B146,COTAÇÃO!$1:$1048576,8,FALSE),IFERROR(VLOOKUP(B146,'Ins. CDHU 201-SD'!$1:$1048576,4,FALSE),"Não Encontrado"))))</f>
        <v>12.11</v>
      </c>
      <c r="G146" s="126">
        <f>+ROUND(E146*F146,2)</f>
        <v>1.19</v>
      </c>
      <c r="H146" s="382"/>
      <c r="I146" s="315"/>
      <c r="M146" s="637"/>
    </row>
    <row r="147" spans="1:13" s="122" customFormat="1" ht="14">
      <c r="A147" s="316" t="s">
        <v>29901</v>
      </c>
      <c r="B147" s="549" t="s">
        <v>57</v>
      </c>
      <c r="C147" s="123" t="str">
        <f>UPPER(IFERROR(VLOOKUP(B147,'SINAPI 04-26-SD'!$1:$1048576,2,FALSE),IFERROR(VLOOKUP(B147,'Ins. SINAPI 04-26-SD'!$1:$1048576,2,FALSE),IFERROR(VLOOKUP(B147,COTAÇÃO!$1:$1048576,2,FALSE),IFERROR(VLOOKUP(B147,'Ins. CDHU 201-SD'!$1:$1048576,2,FALSE),"Não Encontrado")))))</f>
        <v>SERVENTE</v>
      </c>
      <c r="D147" s="124" t="str">
        <f>UPPER(IFERROR(VLOOKUP(B147,'SINAPI 04-26-SD'!$1:$1048576,3,FALSE),IFERROR(VLOOKUP(B147,'Ins. SINAPI 04-26-SD'!$1:$1048576,3,FALSE),IFERROR(VLOOKUP(B147,COTAÇÃO!$1:$1048576,7,FALSE),IFERROR(VLOOKUP(B147,'Ins. CDHU 201-SD'!$1:$1048576,3,FALSE),"Não Encontrado")))))</f>
        <v>H</v>
      </c>
      <c r="E147" s="315">
        <v>0.58879999999999999</v>
      </c>
      <c r="F147" s="125">
        <f>IFERROR(VLOOKUP(B147,'SINAPI 04-26-SD'!$1:$1048576,4,FALSE),IFERROR(VLOOKUP(B147,'Ins. SINAPI 04-26-SD'!$1:$1048576,5,FALSE),IFERROR(VLOOKUP(B147,COTAÇÃO!$1:$1048576,8,FALSE),IFERROR(VLOOKUP(B147,'Ins. CDHU 201-SD'!$1:$1048576,4,FALSE),"Não Encontrado"))))</f>
        <v>9.9499999999999993</v>
      </c>
      <c r="G147" s="126">
        <f>+ROUND(E147*F147,2)</f>
        <v>5.86</v>
      </c>
      <c r="H147" s="382"/>
      <c r="I147" s="315"/>
      <c r="M147" s="637"/>
    </row>
    <row r="148" spans="1:13" s="122" customFormat="1" ht="42">
      <c r="A148" s="316"/>
      <c r="B148" s="549"/>
      <c r="C148" s="123" t="s">
        <v>41258</v>
      </c>
      <c r="D148" s="124"/>
      <c r="E148" s="315"/>
      <c r="F148" s="125"/>
      <c r="G148" s="126">
        <f>+SUBTOTAL(9,G145:G147)</f>
        <v>7.0500000000000007</v>
      </c>
      <c r="H148" s="382"/>
      <c r="M148" s="637"/>
    </row>
    <row r="149" spans="1:13" s="122" customFormat="1" ht="28">
      <c r="A149" s="316"/>
      <c r="B149" s="549"/>
      <c r="C149" s="123" t="s">
        <v>41259</v>
      </c>
      <c r="D149" s="124"/>
      <c r="E149" s="315">
        <f>$J$2</f>
        <v>128.22999999999999</v>
      </c>
      <c r="F149" s="125"/>
      <c r="G149" s="126">
        <f>+ROUND(G148*E149/100,2)</f>
        <v>9.0399999999999991</v>
      </c>
      <c r="H149" s="382"/>
      <c r="M149" s="637"/>
    </row>
    <row r="150" spans="1:13" s="548" customFormat="1" ht="84">
      <c r="A150" s="550"/>
      <c r="B150" s="551"/>
      <c r="C150" s="552" t="s">
        <v>41231</v>
      </c>
      <c r="D150" s="553"/>
      <c r="E150" s="554"/>
      <c r="F150" s="555"/>
      <c r="G150" s="556">
        <f>SUM(G148:G149)</f>
        <v>16.09</v>
      </c>
      <c r="H150" s="547"/>
      <c r="M150" s="638"/>
    </row>
    <row r="151" spans="1:13" s="122" customFormat="1" ht="13">
      <c r="A151" s="127"/>
      <c r="B151" s="406"/>
      <c r="C151" s="406" t="s">
        <v>27907</v>
      </c>
      <c r="D151" s="406"/>
      <c r="E151" s="406"/>
      <c r="F151" s="407"/>
      <c r="G151" s="408">
        <f>SUM(G150,G144)</f>
        <v>33.97</v>
      </c>
      <c r="H151" s="382"/>
      <c r="M151" s="637"/>
    </row>
    <row r="152" spans="1:13" s="122" customFormat="1" ht="39" customHeight="1">
      <c r="A152" s="832" t="s">
        <v>27908</v>
      </c>
      <c r="B152" s="833"/>
      <c r="C152" s="841" t="s">
        <v>41876</v>
      </c>
      <c r="D152" s="841"/>
      <c r="E152" s="841"/>
      <c r="F152" s="841"/>
      <c r="G152" s="842"/>
      <c r="H152" s="382"/>
      <c r="M152" s="637"/>
    </row>
  </sheetData>
  <mergeCells count="41">
    <mergeCell ref="A1:G2"/>
    <mergeCell ref="A3:G3"/>
    <mergeCell ref="C5:F5"/>
    <mergeCell ref="A7:G7"/>
    <mergeCell ref="A14:B14"/>
    <mergeCell ref="C14:G14"/>
    <mergeCell ref="A54:G54"/>
    <mergeCell ref="C17:F17"/>
    <mergeCell ref="A19:G19"/>
    <mergeCell ref="A28:G28"/>
    <mergeCell ref="A35:B35"/>
    <mergeCell ref="C35:G35"/>
    <mergeCell ref="C38:F38"/>
    <mergeCell ref="A40:G40"/>
    <mergeCell ref="A43:G43"/>
    <mergeCell ref="A49:B49"/>
    <mergeCell ref="C49:G49"/>
    <mergeCell ref="C52:F52"/>
    <mergeCell ref="A110:B110"/>
    <mergeCell ref="C110:G110"/>
    <mergeCell ref="A57:G57"/>
    <mergeCell ref="A63:B63"/>
    <mergeCell ref="C63:G63"/>
    <mergeCell ref="C66:F66"/>
    <mergeCell ref="A68:G68"/>
    <mergeCell ref="A71:G71"/>
    <mergeCell ref="A79:B79"/>
    <mergeCell ref="C79:G79"/>
    <mergeCell ref="C82:F82"/>
    <mergeCell ref="A84:G84"/>
    <mergeCell ref="A102:G102"/>
    <mergeCell ref="A142:G142"/>
    <mergeCell ref="A145:G145"/>
    <mergeCell ref="A152:B152"/>
    <mergeCell ref="C152:G152"/>
    <mergeCell ref="C113:F113"/>
    <mergeCell ref="A115:G115"/>
    <mergeCell ref="A129:G129"/>
    <mergeCell ref="A137:B137"/>
    <mergeCell ref="C137:G137"/>
    <mergeCell ref="C140:F140"/>
  </mergeCells>
  <conditionalFormatting sqref="H4:H14">
    <cfRule type="containsText" dxfId="239" priority="24" stopIfTrue="1" operator="containsText" text="ERRO">
      <formula>NOT(ISERROR(SEARCH("ERRO",H4)))</formula>
    </cfRule>
  </conditionalFormatting>
  <conditionalFormatting sqref="H5:J5">
    <cfRule type="containsErrors" dxfId="238" priority="22" stopIfTrue="1">
      <formula>ISERROR(H5)</formula>
    </cfRule>
  </conditionalFormatting>
  <conditionalFormatting sqref="I5:J5">
    <cfRule type="containsText" dxfId="237" priority="23" stopIfTrue="1" operator="containsText" text="ERRO">
      <formula>NOT(ISERROR(SEARCH("ERRO",I5)))</formula>
    </cfRule>
  </conditionalFormatting>
  <conditionalFormatting sqref="H16:H35">
    <cfRule type="containsText" dxfId="236" priority="21" stopIfTrue="1" operator="containsText" text="ERRO">
      <formula>NOT(ISERROR(SEARCH("ERRO",H16)))</formula>
    </cfRule>
  </conditionalFormatting>
  <conditionalFormatting sqref="H17:J17">
    <cfRule type="containsErrors" dxfId="235" priority="19" stopIfTrue="1">
      <formula>ISERROR(H17)</formula>
    </cfRule>
  </conditionalFormatting>
  <conditionalFormatting sqref="I17:J17">
    <cfRule type="containsText" dxfId="234" priority="20" stopIfTrue="1" operator="containsText" text="ERRO">
      <formula>NOT(ISERROR(SEARCH("ERRO",I17)))</formula>
    </cfRule>
  </conditionalFormatting>
  <conditionalFormatting sqref="H37:H49">
    <cfRule type="containsText" dxfId="233" priority="18" stopIfTrue="1" operator="containsText" text="ERRO">
      <formula>NOT(ISERROR(SEARCH("ERRO",H37)))</formula>
    </cfRule>
  </conditionalFormatting>
  <conditionalFormatting sqref="H38:J38">
    <cfRule type="containsErrors" dxfId="232" priority="16" stopIfTrue="1">
      <formula>ISERROR(H38)</formula>
    </cfRule>
  </conditionalFormatting>
  <conditionalFormatting sqref="I38:J38">
    <cfRule type="containsText" dxfId="231" priority="17" stopIfTrue="1" operator="containsText" text="ERRO">
      <formula>NOT(ISERROR(SEARCH("ERRO",I38)))</formula>
    </cfRule>
  </conditionalFormatting>
  <conditionalFormatting sqref="H51:H63">
    <cfRule type="containsText" dxfId="230" priority="15" stopIfTrue="1" operator="containsText" text="ERRO">
      <formula>NOT(ISERROR(SEARCH("ERRO",H51)))</formula>
    </cfRule>
  </conditionalFormatting>
  <conditionalFormatting sqref="H52:J52">
    <cfRule type="containsErrors" dxfId="229" priority="13" stopIfTrue="1">
      <formula>ISERROR(H52)</formula>
    </cfRule>
  </conditionalFormatting>
  <conditionalFormatting sqref="I52:J52">
    <cfRule type="containsText" dxfId="228" priority="14" stopIfTrue="1" operator="containsText" text="ERRO">
      <formula>NOT(ISERROR(SEARCH("ERRO",I52)))</formula>
    </cfRule>
  </conditionalFormatting>
  <conditionalFormatting sqref="H65:H79">
    <cfRule type="containsText" dxfId="227" priority="12" stopIfTrue="1" operator="containsText" text="ERRO">
      <formula>NOT(ISERROR(SEARCH("ERRO",H65)))</formula>
    </cfRule>
  </conditionalFormatting>
  <conditionalFormatting sqref="H66:J66">
    <cfRule type="containsErrors" dxfId="226" priority="10" stopIfTrue="1">
      <formula>ISERROR(H66)</formula>
    </cfRule>
  </conditionalFormatting>
  <conditionalFormatting sqref="I66:J66">
    <cfRule type="containsText" dxfId="225" priority="11" stopIfTrue="1" operator="containsText" text="ERRO">
      <formula>NOT(ISERROR(SEARCH("ERRO",I66)))</formula>
    </cfRule>
  </conditionalFormatting>
  <conditionalFormatting sqref="H81:H110">
    <cfRule type="containsText" dxfId="224" priority="9" stopIfTrue="1" operator="containsText" text="ERRO">
      <formula>NOT(ISERROR(SEARCH("ERRO",H81)))</formula>
    </cfRule>
  </conditionalFormatting>
  <conditionalFormatting sqref="H82:J82">
    <cfRule type="containsErrors" dxfId="223" priority="7" stopIfTrue="1">
      <formula>ISERROR(H82)</formula>
    </cfRule>
  </conditionalFormatting>
  <conditionalFormatting sqref="I82:J82">
    <cfRule type="containsText" dxfId="222" priority="8" stopIfTrue="1" operator="containsText" text="ERRO">
      <formula>NOT(ISERROR(SEARCH("ERRO",I82)))</formula>
    </cfRule>
  </conditionalFormatting>
  <conditionalFormatting sqref="H112:H137">
    <cfRule type="containsText" dxfId="221" priority="6" stopIfTrue="1" operator="containsText" text="ERRO">
      <formula>NOT(ISERROR(SEARCH("ERRO",H112)))</formula>
    </cfRule>
  </conditionalFormatting>
  <conditionalFormatting sqref="H113:J113">
    <cfRule type="containsErrors" dxfId="220" priority="4" stopIfTrue="1">
      <formula>ISERROR(H113)</formula>
    </cfRule>
  </conditionalFormatting>
  <conditionalFormatting sqref="I113:J113">
    <cfRule type="containsText" dxfId="219" priority="5" stopIfTrue="1" operator="containsText" text="ERRO">
      <formula>NOT(ISERROR(SEARCH("ERRO",I113)))</formula>
    </cfRule>
  </conditionalFormatting>
  <conditionalFormatting sqref="H139:H152">
    <cfRule type="containsText" dxfId="218" priority="3" stopIfTrue="1" operator="containsText" text="ERRO">
      <formula>NOT(ISERROR(SEARCH("ERRO",H139)))</formula>
    </cfRule>
  </conditionalFormatting>
  <conditionalFormatting sqref="H140:J140">
    <cfRule type="containsErrors" dxfId="217" priority="1" stopIfTrue="1">
      <formula>ISERROR(H140)</formula>
    </cfRule>
  </conditionalFormatting>
  <conditionalFormatting sqref="I140:J140">
    <cfRule type="containsText" dxfId="216" priority="2" stopIfTrue="1" operator="containsText" text="ERRO">
      <formula>NOT(ISERROR(SEARCH("ERRO",I140)))</formula>
    </cfRule>
  </conditionalFormatting>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3">
    <pageSetUpPr fitToPage="1"/>
  </sheetPr>
  <dimension ref="A1:L40"/>
  <sheetViews>
    <sheetView showGridLines="0" view="pageBreakPreview" zoomScale="90" zoomScaleNormal="100" zoomScaleSheetLayoutView="90" workbookViewId="0">
      <selection activeCell="K17" sqref="K17"/>
    </sheetView>
  </sheetViews>
  <sheetFormatPr baseColWidth="10" defaultColWidth="8.83203125" defaultRowHeight="15"/>
  <cols>
    <col min="1" max="1" width="17.6640625" customWidth="1"/>
    <col min="2" max="2" width="15.5" customWidth="1"/>
    <col min="3" max="3" width="14.83203125" customWidth="1"/>
    <col min="4" max="5" width="14" customWidth="1"/>
    <col min="6" max="6" width="17.33203125" customWidth="1"/>
    <col min="7" max="7" width="14" customWidth="1"/>
    <col min="8" max="8" width="15.83203125" bestFit="1" customWidth="1"/>
    <col min="10" max="10" width="12.1640625" bestFit="1" customWidth="1"/>
  </cols>
  <sheetData>
    <row r="1" spans="1:12" ht="147" customHeight="1" thickBot="1">
      <c r="A1" s="1036"/>
      <c r="B1" s="1037"/>
      <c r="C1" s="1037"/>
      <c r="D1" s="1037"/>
      <c r="E1" s="1037"/>
      <c r="F1" s="1037"/>
      <c r="G1" s="1038"/>
    </row>
    <row r="2" spans="1:12" ht="16" thickBot="1">
      <c r="A2" s="1039" t="s">
        <v>27910</v>
      </c>
      <c r="B2" s="1040"/>
      <c r="C2" s="1040"/>
      <c r="D2" s="1040"/>
      <c r="E2" s="1040"/>
      <c r="F2" s="1040"/>
      <c r="G2" s="1041"/>
    </row>
    <row r="3" spans="1:12" ht="16" thickBot="1">
      <c r="A3" s="111"/>
      <c r="B3" s="112"/>
      <c r="C3" s="112"/>
      <c r="D3" s="112"/>
      <c r="E3" s="112"/>
      <c r="F3" s="112"/>
      <c r="G3" s="113"/>
    </row>
    <row r="4" spans="1:12">
      <c r="A4" s="109" t="s">
        <v>27883</v>
      </c>
      <c r="B4" s="1071" t="s">
        <v>10494</v>
      </c>
      <c r="C4" s="1072"/>
      <c r="D4" s="1072"/>
      <c r="E4" s="1072"/>
      <c r="F4" s="1073"/>
      <c r="G4" s="110" t="s">
        <v>27911</v>
      </c>
    </row>
    <row r="5" spans="1:12" s="373" customFormat="1" ht="40" customHeight="1">
      <c r="A5" s="386" t="s">
        <v>44386</v>
      </c>
      <c r="B5" s="1074" t="str">
        <f>UPPER("Pressurizador Pressostato Rowa MAX PRESS 200 E 2,5CV 220V Tri Até 6 banheiros")</f>
        <v>PRESSURIZADOR PRESSOSTATO ROWA MAX PRESS 200 E 2,5CV 220V TRI ATÉ 6 BANHEIROS</v>
      </c>
      <c r="C5" s="1075"/>
      <c r="D5" s="1075"/>
      <c r="E5" s="1075"/>
      <c r="F5" s="1076"/>
      <c r="G5" s="478" t="s">
        <v>103</v>
      </c>
      <c r="H5" s="375">
        <f>F23</f>
        <v>10481.19</v>
      </c>
    </row>
    <row r="6" spans="1:12" ht="11.25" customHeight="1" thickBot="1">
      <c r="A6" s="111"/>
      <c r="B6" s="112"/>
      <c r="C6" s="112"/>
      <c r="D6" s="112"/>
      <c r="E6" s="112"/>
      <c r="F6" s="112"/>
      <c r="G6" s="113"/>
    </row>
    <row r="7" spans="1:12" ht="16" thickBot="1">
      <c r="A7" s="1077" t="s">
        <v>27912</v>
      </c>
      <c r="B7" s="1078"/>
      <c r="C7" s="1078"/>
      <c r="D7" s="1078"/>
      <c r="E7" s="1078"/>
      <c r="F7" s="1078"/>
      <c r="G7" s="1079"/>
    </row>
    <row r="8" spans="1:12" s="107" customFormat="1" ht="17" customHeight="1" thickBot="1">
      <c r="A8" s="114" t="s">
        <v>27913</v>
      </c>
      <c r="B8" s="1051" t="s">
        <v>44387</v>
      </c>
      <c r="C8" s="1052"/>
      <c r="D8" s="1053"/>
      <c r="E8" s="115" t="s">
        <v>27914</v>
      </c>
      <c r="F8" s="1054" t="s">
        <v>28480</v>
      </c>
      <c r="G8" s="1055"/>
      <c r="H8"/>
      <c r="I8"/>
      <c r="J8"/>
      <c r="K8"/>
      <c r="L8"/>
    </row>
    <row r="9" spans="1:12" ht="17" customHeight="1" thickBot="1">
      <c r="A9" s="116" t="s">
        <v>27915</v>
      </c>
      <c r="B9" s="1051" t="s">
        <v>28480</v>
      </c>
      <c r="C9" s="1052"/>
      <c r="D9" s="1053"/>
      <c r="E9" s="116" t="s">
        <v>27916</v>
      </c>
      <c r="F9" s="1056" t="s">
        <v>28480</v>
      </c>
      <c r="G9" s="1057"/>
    </row>
    <row r="10" spans="1:12" ht="17" customHeight="1" thickBot="1">
      <c r="A10" s="116" t="s">
        <v>27917</v>
      </c>
      <c r="B10" s="1058">
        <v>46169</v>
      </c>
      <c r="C10" s="1059"/>
      <c r="D10" s="1060"/>
      <c r="E10" s="116" t="s">
        <v>27918</v>
      </c>
      <c r="F10" s="1061">
        <v>9024.2999999999993</v>
      </c>
      <c r="G10" s="1062"/>
    </row>
    <row r="11" spans="1:12" ht="17" customHeight="1" thickBot="1">
      <c r="A11" s="376" t="s">
        <v>28480</v>
      </c>
      <c r="B11" s="1063" t="s">
        <v>44388</v>
      </c>
      <c r="C11" s="1064"/>
      <c r="D11" s="1064"/>
      <c r="E11" s="1064"/>
      <c r="F11" s="1064"/>
      <c r="G11" s="1065"/>
    </row>
    <row r="12" spans="1:12" ht="12" customHeight="1" thickBot="1">
      <c r="A12" s="117"/>
      <c r="B12" s="479"/>
      <c r="C12" s="479"/>
      <c r="D12" s="480"/>
      <c r="E12" s="479"/>
      <c r="F12" s="480"/>
      <c r="G12" s="118"/>
    </row>
    <row r="13" spans="1:12" s="107" customFormat="1" ht="17" customHeight="1" thickBot="1">
      <c r="A13" s="114" t="s">
        <v>27919</v>
      </c>
      <c r="B13" s="1051" t="s">
        <v>29903</v>
      </c>
      <c r="C13" s="1052"/>
      <c r="D13" s="1053"/>
      <c r="E13" s="115" t="s">
        <v>27914</v>
      </c>
      <c r="F13" s="1054" t="s">
        <v>28480</v>
      </c>
      <c r="G13" s="1055"/>
      <c r="H13"/>
      <c r="I13"/>
      <c r="J13"/>
      <c r="K13"/>
      <c r="L13"/>
    </row>
    <row r="14" spans="1:12" ht="17" customHeight="1" thickBot="1">
      <c r="A14" s="116" t="s">
        <v>27915</v>
      </c>
      <c r="B14" s="1051" t="s">
        <v>28480</v>
      </c>
      <c r="C14" s="1052"/>
      <c r="D14" s="1053"/>
      <c r="E14" s="116" t="s">
        <v>27916</v>
      </c>
      <c r="F14" s="1056" t="s">
        <v>28480</v>
      </c>
      <c r="G14" s="1057"/>
    </row>
    <row r="15" spans="1:12" ht="17" customHeight="1" thickBot="1">
      <c r="A15" s="116" t="s">
        <v>27917</v>
      </c>
      <c r="B15" s="1058">
        <v>45954</v>
      </c>
      <c r="C15" s="1059"/>
      <c r="D15" s="1060"/>
      <c r="E15" s="116" t="s">
        <v>27918</v>
      </c>
      <c r="F15" s="1061">
        <v>11796.7</v>
      </c>
      <c r="G15" s="1062"/>
    </row>
    <row r="16" spans="1:12" ht="27" customHeight="1" thickBot="1">
      <c r="A16" s="376" t="s">
        <v>28480</v>
      </c>
      <c r="B16" s="1063" t="s">
        <v>44389</v>
      </c>
      <c r="C16" s="1064"/>
      <c r="D16" s="1064"/>
      <c r="E16" s="1064"/>
      <c r="F16" s="1064"/>
      <c r="G16" s="1065"/>
    </row>
    <row r="17" spans="1:10" ht="12" customHeight="1" thickBot="1">
      <c r="A17" s="117"/>
      <c r="B17" s="479"/>
      <c r="C17" s="479"/>
      <c r="D17" s="480"/>
      <c r="E17" s="479"/>
      <c r="F17" s="480"/>
      <c r="G17" s="118"/>
    </row>
    <row r="18" spans="1:10" s="107" customFormat="1" ht="17" customHeight="1" thickBot="1">
      <c r="A18" s="114" t="s">
        <v>27920</v>
      </c>
      <c r="B18" s="1051" t="s">
        <v>29902</v>
      </c>
      <c r="C18" s="1052"/>
      <c r="D18" s="1053"/>
      <c r="E18" s="115" t="s">
        <v>27914</v>
      </c>
      <c r="F18" s="1054" t="s">
        <v>28480</v>
      </c>
      <c r="G18" s="1055"/>
      <c r="J18"/>
    </row>
    <row r="19" spans="1:10" ht="17" customHeight="1" thickBot="1">
      <c r="A19" s="116" t="s">
        <v>27915</v>
      </c>
      <c r="B19" s="1051" t="s">
        <v>28480</v>
      </c>
      <c r="C19" s="1052"/>
      <c r="D19" s="1053"/>
      <c r="E19" s="116" t="s">
        <v>27916</v>
      </c>
      <c r="F19" s="1056" t="s">
        <v>28480</v>
      </c>
      <c r="G19" s="1057"/>
    </row>
    <row r="20" spans="1:10" ht="17" customHeight="1" thickBot="1">
      <c r="A20" s="116" t="s">
        <v>27917</v>
      </c>
      <c r="B20" s="1058">
        <v>46169</v>
      </c>
      <c r="C20" s="1059"/>
      <c r="D20" s="1060"/>
      <c r="E20" s="116" t="s">
        <v>27918</v>
      </c>
      <c r="F20" s="1061">
        <v>10622.57</v>
      </c>
      <c r="G20" s="1062"/>
    </row>
    <row r="21" spans="1:10" ht="27" customHeight="1" thickBot="1">
      <c r="A21" s="376" t="s">
        <v>28480</v>
      </c>
      <c r="B21" s="1063" t="s">
        <v>44390</v>
      </c>
      <c r="C21" s="1064"/>
      <c r="D21" s="1064"/>
      <c r="E21" s="1064"/>
      <c r="F21" s="1064"/>
      <c r="G21" s="1065"/>
    </row>
    <row r="22" spans="1:10" ht="12" customHeight="1" thickBot="1">
      <c r="A22" s="117"/>
      <c r="B22" s="479"/>
      <c r="C22" s="479"/>
      <c r="D22" s="480"/>
      <c r="E22" s="479"/>
      <c r="F22" s="480"/>
      <c r="G22" s="118"/>
    </row>
    <row r="23" spans="1:10" ht="17" customHeight="1" thickBot="1">
      <c r="A23" s="1066" t="s">
        <v>27921</v>
      </c>
      <c r="B23" s="1067"/>
      <c r="C23" s="1067"/>
      <c r="D23" s="1067"/>
      <c r="E23" s="1068"/>
      <c r="F23" s="1069">
        <f>AVERAGE(F20,F15,F10)</f>
        <v>10481.19</v>
      </c>
      <c r="G23" s="1070"/>
    </row>
    <row r="24" spans="1:10">
      <c r="A24" s="111"/>
      <c r="B24" s="112"/>
      <c r="C24" s="112"/>
      <c r="D24" s="112"/>
      <c r="E24" s="112"/>
      <c r="F24" s="112"/>
      <c r="G24" s="129" t="str">
        <f>'Plan Orçamentária'!Y533</f>
        <v>JALES-SP, 08 DE JUNHO DE 2025</v>
      </c>
    </row>
    <row r="25" spans="1:10">
      <c r="A25" s="111"/>
      <c r="B25" s="112"/>
      <c r="C25" s="112"/>
      <c r="D25" s="112"/>
      <c r="E25" s="112"/>
      <c r="F25" s="112"/>
      <c r="G25" s="129"/>
    </row>
    <row r="26" spans="1:10">
      <c r="A26" s="1045" t="s">
        <v>27890</v>
      </c>
      <c r="B26" s="1046"/>
      <c r="C26" s="1046"/>
      <c r="D26" s="1046"/>
      <c r="E26" s="1046"/>
      <c r="F26" s="1046"/>
      <c r="G26" s="1047"/>
    </row>
    <row r="27" spans="1:10">
      <c r="A27" s="1048" t="s">
        <v>27891</v>
      </c>
      <c r="B27" s="1049"/>
      <c r="C27" s="1049"/>
      <c r="D27" s="1049"/>
      <c r="E27" s="1049"/>
      <c r="F27" s="1049"/>
      <c r="G27" s="1050"/>
    </row>
    <row r="28" spans="1:10">
      <c r="A28" s="1045" t="str">
        <f>'Plan Orçamentária'!O541</f>
        <v>JOEL RODRIGO CARDOZO</v>
      </c>
      <c r="B28" s="1046"/>
      <c r="C28" s="1046"/>
      <c r="D28" s="1046"/>
      <c r="E28" s="1046"/>
      <c r="F28" s="1046"/>
      <c r="G28" s="1047"/>
    </row>
    <row r="29" spans="1:10" ht="16" thickBot="1">
      <c r="A29" s="1042" t="str">
        <f>'Plan Orçamentária'!O542</f>
        <v>CREA 506.404.151-8</v>
      </c>
      <c r="B29" s="1043"/>
      <c r="C29" s="1043"/>
      <c r="D29" s="1043"/>
      <c r="E29" s="1043"/>
      <c r="F29" s="1043"/>
      <c r="G29" s="1044"/>
    </row>
    <row r="30" spans="1:10">
      <c r="A30" s="112"/>
      <c r="B30" s="112"/>
      <c r="C30" s="112"/>
      <c r="D30" s="112"/>
      <c r="E30" s="112"/>
      <c r="F30" s="112"/>
      <c r="G30" s="112"/>
    </row>
    <row r="31" spans="1:10">
      <c r="A31" s="112"/>
      <c r="B31" s="112"/>
      <c r="C31" s="112"/>
      <c r="D31" s="112"/>
      <c r="E31" s="112"/>
      <c r="F31" s="112"/>
      <c r="G31" s="112"/>
    </row>
    <row r="32" spans="1:10">
      <c r="A32" s="112"/>
      <c r="B32" s="112"/>
      <c r="C32" s="112"/>
      <c r="D32" s="112"/>
      <c r="E32" s="112"/>
      <c r="F32" s="112"/>
      <c r="G32" s="112"/>
    </row>
    <row r="33" spans="1:7">
      <c r="A33" s="112"/>
      <c r="B33" s="112"/>
      <c r="C33" s="112"/>
      <c r="D33" s="112"/>
      <c r="E33" s="112"/>
      <c r="F33" s="112"/>
      <c r="G33" s="112"/>
    </row>
    <row r="34" spans="1:7">
      <c r="A34" s="112"/>
      <c r="B34" s="112"/>
      <c r="C34" s="112"/>
      <c r="D34" s="112"/>
      <c r="E34" s="112"/>
      <c r="F34" s="112"/>
      <c r="G34" s="112"/>
    </row>
    <row r="35" spans="1:7">
      <c r="A35" s="112"/>
      <c r="B35" s="112"/>
      <c r="C35" s="112"/>
      <c r="D35" s="112"/>
      <c r="E35" s="112"/>
      <c r="F35" s="112"/>
      <c r="G35" s="112"/>
    </row>
    <row r="36" spans="1:7">
      <c r="A36" s="112"/>
      <c r="B36" s="112"/>
      <c r="C36" s="112"/>
      <c r="D36" s="112"/>
      <c r="E36" s="112"/>
      <c r="F36" s="112"/>
      <c r="G36" s="112"/>
    </row>
    <row r="37" spans="1:7">
      <c r="A37" s="112"/>
      <c r="B37" s="112"/>
      <c r="C37" s="112"/>
      <c r="D37" s="112"/>
      <c r="E37" s="112"/>
      <c r="F37" s="112"/>
      <c r="G37" s="112"/>
    </row>
    <row r="38" spans="1:7">
      <c r="A38" s="112"/>
      <c r="B38" s="112"/>
      <c r="C38" s="112"/>
      <c r="D38" s="112"/>
      <c r="E38" s="112"/>
      <c r="F38" s="112"/>
      <c r="G38" s="112"/>
    </row>
    <row r="39" spans="1:7">
      <c r="A39" s="112"/>
      <c r="B39" s="112"/>
      <c r="C39" s="112"/>
      <c r="D39" s="112"/>
      <c r="E39" s="112"/>
      <c r="F39" s="112"/>
      <c r="G39" s="112"/>
    </row>
    <row r="40" spans="1:7">
      <c r="A40" s="112"/>
      <c r="B40" s="112"/>
      <c r="C40" s="112"/>
      <c r="D40" s="112"/>
      <c r="E40" s="112"/>
      <c r="F40" s="112"/>
      <c r="G40" s="112"/>
    </row>
  </sheetData>
  <mergeCells count="32">
    <mergeCell ref="B14:D14"/>
    <mergeCell ref="F14:G14"/>
    <mergeCell ref="B15:D15"/>
    <mergeCell ref="F15:G15"/>
    <mergeCell ref="B16:G16"/>
    <mergeCell ref="B10:D10"/>
    <mergeCell ref="F10:G10"/>
    <mergeCell ref="B11:G11"/>
    <mergeCell ref="B13:D13"/>
    <mergeCell ref="F13:G13"/>
    <mergeCell ref="B5:F5"/>
    <mergeCell ref="A7:G7"/>
    <mergeCell ref="B8:D8"/>
    <mergeCell ref="F8:G8"/>
    <mergeCell ref="B9:D9"/>
    <mergeCell ref="F9:G9"/>
    <mergeCell ref="A1:G1"/>
    <mergeCell ref="A2:G2"/>
    <mergeCell ref="A29:G29"/>
    <mergeCell ref="A26:G26"/>
    <mergeCell ref="A27:G27"/>
    <mergeCell ref="A28:G28"/>
    <mergeCell ref="B18:D18"/>
    <mergeCell ref="F18:G18"/>
    <mergeCell ref="B19:D19"/>
    <mergeCell ref="F19:G19"/>
    <mergeCell ref="B20:D20"/>
    <mergeCell ref="F20:G20"/>
    <mergeCell ref="B21:G21"/>
    <mergeCell ref="A23:E23"/>
    <mergeCell ref="F23:G23"/>
    <mergeCell ref="B4:F4"/>
  </mergeCells>
  <hyperlinks>
    <hyperlink ref="B11" r:id="rId1" display="https://www.bombashopping.com.br/sistema-de-pressurizacao/pressostato/rowa-pressurizador-maxpress200e-trif-220v-naoincluitanque-0000000034155-p8822?utm_source=google&amp;utm_medium=cpc&amp;utm_campaign=lojavirtual&amp;utm_source=google&amp;utm_medium=cpc&amp;utm_campaign=V4_PMAX_Pressurizadores&amp;utm_content=&amp;utm_term=&amp;gad_source=1&amp;gad_campaignid=23747435746&amp;gclid=CjwKCAjwrNrQBhBjEiwAoR4VO1GPbcTz1XxDVKp4zxsfjhZIcn2rOxXryljAqEm8edq_Qp8rOCYAvhoCg9QQAvD_BwE" xr:uid="{0A4C7DC9-B9E3-4C2D-AD80-E49EC2C87F42}"/>
    <hyperlink ref="B16" r:id="rId2" xr:uid="{417A0C8D-F428-4841-9862-F97F7019998A}"/>
    <hyperlink ref="B21" r:id="rId3" xr:uid="{1677B9FA-790D-4FFA-824D-7F5DB4E6C728}"/>
  </hyperlinks>
  <printOptions horizontalCentered="1" verticalCentered="1"/>
  <pageMargins left="0.51181102362204722" right="0.51181102362204722" top="0.78740157480314965" bottom="0.78740157480314965" header="0.31496062992125984" footer="0.31496062992125984"/>
  <pageSetup paperSize="9" scale="81" fitToHeight="0" orientation="portrait" r:id="rId4"/>
  <drawing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9"/>
  <dimension ref="A1:Q94"/>
  <sheetViews>
    <sheetView showGridLines="0" view="pageBreakPreview" topLeftCell="A6" zoomScaleNormal="100" zoomScaleSheetLayoutView="100" workbookViewId="0">
      <selection activeCell="K17" sqref="K17"/>
    </sheetView>
  </sheetViews>
  <sheetFormatPr baseColWidth="10" defaultColWidth="8.83203125" defaultRowHeight="15"/>
  <cols>
    <col min="2" max="2" width="34.1640625" customWidth="1"/>
    <col min="3" max="3" width="10.6640625" customWidth="1"/>
    <col min="4" max="5" width="15.6640625" customWidth="1"/>
    <col min="10" max="10" width="21" customWidth="1"/>
    <col min="12" max="12" width="11" bestFit="1" customWidth="1"/>
    <col min="13" max="13" width="10.5" bestFit="1" customWidth="1"/>
  </cols>
  <sheetData>
    <row r="1" spans="1:17" ht="112.5" customHeight="1">
      <c r="A1" s="19"/>
      <c r="B1" s="1080"/>
      <c r="C1" s="1081"/>
      <c r="D1" s="1081"/>
      <c r="E1" s="1081"/>
      <c r="F1" s="1081"/>
      <c r="G1" s="1081"/>
      <c r="H1" s="1082"/>
    </row>
    <row r="2" spans="1:17" ht="19.5" customHeight="1">
      <c r="A2" s="19"/>
      <c r="B2" s="1097" t="s">
        <v>27922</v>
      </c>
      <c r="C2" s="1098"/>
      <c r="D2" s="1098"/>
      <c r="E2" s="1098"/>
      <c r="F2" s="1098"/>
      <c r="G2" s="1098"/>
      <c r="H2" s="1099"/>
    </row>
    <row r="3" spans="1:17" ht="13.5" customHeight="1" thickBot="1">
      <c r="A3" s="19"/>
      <c r="B3" s="45"/>
      <c r="C3" s="19"/>
      <c r="D3" s="19"/>
      <c r="E3" s="19"/>
      <c r="F3" s="19"/>
      <c r="G3" s="19"/>
      <c r="H3" s="46"/>
    </row>
    <row r="4" spans="1:17" ht="13.5" customHeight="1">
      <c r="A4" s="19"/>
      <c r="B4" s="20" t="s">
        <v>27896</v>
      </c>
      <c r="C4" s="1100" t="str">
        <f>J4</f>
        <v>DELEGACIA SECCIONAL DE POLÍCIA DE JALES</v>
      </c>
      <c r="D4" s="1101"/>
      <c r="E4" s="1101"/>
      <c r="F4" s="1101"/>
      <c r="G4" s="1101"/>
      <c r="H4" s="1102"/>
      <c r="J4" t="str">
        <f t="array" ref="J4:Q4">CONCATENATE('Plan Orçamentária'!P3:T3)</f>
        <v>DELEGACIA SECCIONAL DE POLÍCIA DE JALES</v>
      </c>
      <c r="K4" t="str">
        <v/>
      </c>
      <c r="L4" t="str">
        <v/>
      </c>
      <c r="M4" t="str">
        <v/>
      </c>
      <c r="N4" t="str">
        <v/>
      </c>
      <c r="O4" t="e">
        <v>#N/A</v>
      </c>
      <c r="P4" t="e">
        <v>#N/A</v>
      </c>
      <c r="Q4" t="e">
        <v>#N/A</v>
      </c>
    </row>
    <row r="5" spans="1:17" ht="9" customHeight="1">
      <c r="A5" s="19"/>
      <c r="B5" s="1103" t="s">
        <v>27923</v>
      </c>
      <c r="C5" s="1105" t="str">
        <f>J5</f>
        <v>ADEQUAÇÃO E AMPLIAÇÃO DE IMÓVEL PARA A INSTALAÇÃO DA DELEGACIA DE DEFESA DA MULHER</v>
      </c>
      <c r="D5" s="1106"/>
      <c r="E5" s="1106"/>
      <c r="F5" s="1106"/>
      <c r="G5" s="1106"/>
      <c r="H5" s="1107"/>
      <c r="J5" t="str">
        <f t="array" ref="J5:Q5">CONCATENATE('Plan Orçamentária'!P4:T4)</f>
        <v>ADEQUAÇÃO E AMPLIAÇÃO DE IMÓVEL PARA A INSTALAÇÃO DA DELEGACIA DE DEFESA DA MULHER</v>
      </c>
      <c r="K5" t="str">
        <v/>
      </c>
      <c r="L5" t="str">
        <v/>
      </c>
      <c r="M5" t="str">
        <v/>
      </c>
      <c r="N5" t="str">
        <v/>
      </c>
      <c r="O5" t="e">
        <v>#N/A</v>
      </c>
      <c r="P5" t="e">
        <v>#N/A</v>
      </c>
      <c r="Q5" t="e">
        <v>#N/A</v>
      </c>
    </row>
    <row r="6" spans="1:17">
      <c r="A6" s="19"/>
      <c r="B6" s="1104"/>
      <c r="C6" s="1108"/>
      <c r="D6" s="1109"/>
      <c r="E6" s="1109"/>
      <c r="F6" s="1109"/>
      <c r="G6" s="1109"/>
      <c r="H6" s="1110"/>
      <c r="J6" t="str">
        <f t="array" ref="J6:Q6">CONCATENATE('Plan Orçamentária'!P5:T5)</f>
        <v>RUA TRÊS, S/Nº, CENTRO - JALES/SP</v>
      </c>
      <c r="K6" t="str">
        <v/>
      </c>
      <c r="L6" t="str">
        <v/>
      </c>
      <c r="M6" t="str">
        <v/>
      </c>
      <c r="N6" t="str">
        <v/>
      </c>
      <c r="O6" t="e">
        <v>#N/A</v>
      </c>
      <c r="P6" t="e">
        <v>#N/A</v>
      </c>
      <c r="Q6" t="e">
        <v>#N/A</v>
      </c>
    </row>
    <row r="7" spans="1:17" ht="28.5" customHeight="1" thickBot="1">
      <c r="A7" s="19"/>
      <c r="B7" s="21" t="s">
        <v>27924</v>
      </c>
      <c r="C7" s="1111" t="str">
        <f>J6</f>
        <v>RUA TRÊS, S/Nº, CENTRO - JALES/SP</v>
      </c>
      <c r="D7" s="1112"/>
      <c r="E7" s="1112"/>
      <c r="F7" s="1112"/>
      <c r="G7" s="1112"/>
      <c r="H7" s="1113"/>
    </row>
    <row r="8" spans="1:17" ht="12.75" customHeight="1" thickBot="1">
      <c r="A8" s="19"/>
      <c r="B8" s="45"/>
      <c r="C8" s="19"/>
      <c r="D8" s="19"/>
      <c r="E8" s="19"/>
      <c r="F8" s="19"/>
      <c r="G8" s="19"/>
      <c r="H8" s="46"/>
    </row>
    <row r="9" spans="1:17" ht="12.75" customHeight="1">
      <c r="A9" s="19"/>
      <c r="B9" s="1114" t="s">
        <v>27925</v>
      </c>
      <c r="C9" s="1115"/>
      <c r="D9" s="1115"/>
      <c r="E9" s="1115"/>
      <c r="F9" s="1115"/>
      <c r="G9" s="1115"/>
      <c r="H9" s="1116"/>
    </row>
    <row r="10" spans="1:17" ht="12.75" customHeight="1" thickBot="1">
      <c r="A10" s="19"/>
      <c r="B10" s="1117" t="s">
        <v>27926</v>
      </c>
      <c r="C10" s="1118"/>
      <c r="D10" s="1118"/>
      <c r="E10" s="1118"/>
      <c r="F10" s="1118"/>
      <c r="G10" s="1118"/>
      <c r="H10" s="1119"/>
    </row>
    <row r="11" spans="1:17" ht="12.75" customHeight="1" thickBot="1">
      <c r="A11" s="19"/>
      <c r="B11" s="45"/>
      <c r="C11" s="19"/>
      <c r="D11" s="19"/>
      <c r="E11" s="19"/>
      <c r="F11" s="19"/>
      <c r="G11" s="19"/>
      <c r="H11" s="46"/>
    </row>
    <row r="12" spans="1:17" ht="25" customHeight="1">
      <c r="A12" s="19"/>
      <c r="B12" s="1120" t="s">
        <v>27927</v>
      </c>
      <c r="C12" s="1121"/>
      <c r="D12" s="1121"/>
      <c r="E12" s="1121"/>
      <c r="F12" s="1122"/>
      <c r="G12" s="1123">
        <v>1</v>
      </c>
      <c r="H12" s="1124"/>
    </row>
    <row r="13" spans="1:17" ht="13.5" customHeight="1" thickBot="1">
      <c r="A13" s="19"/>
      <c r="B13" s="1125" t="s">
        <v>27928</v>
      </c>
      <c r="C13" s="1126"/>
      <c r="D13" s="1126"/>
      <c r="E13" s="1126"/>
      <c r="F13" s="1126"/>
      <c r="G13" s="1127">
        <v>0.03</v>
      </c>
      <c r="H13" s="1128"/>
    </row>
    <row r="14" spans="1:17" ht="12.75" customHeight="1">
      <c r="A14" s="19"/>
      <c r="B14" s="45"/>
      <c r="C14" s="19"/>
      <c r="D14" s="19"/>
      <c r="E14" s="19"/>
      <c r="F14" s="19"/>
      <c r="G14" s="19"/>
      <c r="H14" s="46"/>
    </row>
    <row r="15" spans="1:17" ht="13.5" customHeight="1" thickBot="1">
      <c r="A15" s="19"/>
      <c r="B15" s="45"/>
      <c r="C15" s="19"/>
      <c r="D15" s="19"/>
      <c r="E15" s="19"/>
      <c r="F15" s="19"/>
      <c r="G15" s="19"/>
      <c r="H15" s="46"/>
    </row>
    <row r="16" spans="1:17" ht="38.25" customHeight="1">
      <c r="A16" s="19"/>
      <c r="B16" s="22" t="s">
        <v>27929</v>
      </c>
      <c r="C16" s="23" t="s">
        <v>27930</v>
      </c>
      <c r="D16" s="24" t="s">
        <v>27931</v>
      </c>
      <c r="E16" s="24" t="s">
        <v>27932</v>
      </c>
      <c r="F16" s="23" t="s">
        <v>27933</v>
      </c>
      <c r="G16" s="23" t="s">
        <v>27934</v>
      </c>
      <c r="H16" s="47" t="s">
        <v>27935</v>
      </c>
    </row>
    <row r="17" spans="1:13">
      <c r="A17" s="19"/>
      <c r="B17" s="25" t="s">
        <v>27936</v>
      </c>
      <c r="C17" s="26" t="s">
        <v>27937</v>
      </c>
      <c r="D17" s="670">
        <v>3.5000000000000003E-2</v>
      </c>
      <c r="E17" s="27" t="s">
        <v>27938</v>
      </c>
      <c r="F17" s="183">
        <v>0.03</v>
      </c>
      <c r="G17" s="183">
        <v>0.04</v>
      </c>
      <c r="H17" s="28">
        <v>5.5E-2</v>
      </c>
    </row>
    <row r="18" spans="1:13" ht="12.75" customHeight="1">
      <c r="A18" s="19"/>
      <c r="B18" s="25" t="s">
        <v>27939</v>
      </c>
      <c r="C18" s="26" t="s">
        <v>27940</v>
      </c>
      <c r="D18" s="670">
        <v>8.0000000000000002E-3</v>
      </c>
      <c r="E18" s="27" t="s">
        <v>27938</v>
      </c>
      <c r="F18" s="183">
        <v>8.0000000000000002E-3</v>
      </c>
      <c r="G18" s="183">
        <v>8.0000000000000002E-3</v>
      </c>
      <c r="H18" s="28">
        <v>0.01</v>
      </c>
    </row>
    <row r="19" spans="1:13" ht="12.75" customHeight="1">
      <c r="A19" s="19"/>
      <c r="B19" s="25" t="s">
        <v>27941</v>
      </c>
      <c r="C19" s="26" t="s">
        <v>27942</v>
      </c>
      <c r="D19" s="670">
        <v>1.2699999999999999E-2</v>
      </c>
      <c r="E19" s="27" t="s">
        <v>27938</v>
      </c>
      <c r="F19" s="183">
        <v>9.7000000000000003E-3</v>
      </c>
      <c r="G19" s="183">
        <v>1.2699999999999999E-2</v>
      </c>
      <c r="H19" s="28">
        <v>1.2699999999999999E-2</v>
      </c>
    </row>
    <row r="20" spans="1:13" ht="12.75" customHeight="1">
      <c r="A20" s="19"/>
      <c r="B20" s="25" t="s">
        <v>27943</v>
      </c>
      <c r="C20" s="26" t="s">
        <v>27944</v>
      </c>
      <c r="D20" s="670">
        <v>1.23E-2</v>
      </c>
      <c r="E20" s="27" t="s">
        <v>27938</v>
      </c>
      <c r="F20" s="183">
        <v>5.8999999999999999E-3</v>
      </c>
      <c r="G20" s="183">
        <v>1.23E-2</v>
      </c>
      <c r="H20" s="28">
        <v>1.3899999999999999E-2</v>
      </c>
      <c r="K20" s="557"/>
    </row>
    <row r="21" spans="1:13" ht="12.75" customHeight="1">
      <c r="A21" s="19"/>
      <c r="B21" s="25" t="s">
        <v>27945</v>
      </c>
      <c r="C21" s="26" t="s">
        <v>153</v>
      </c>
      <c r="D21" s="670">
        <v>7.0000000000000007E-2</v>
      </c>
      <c r="E21" s="27" t="s">
        <v>27938</v>
      </c>
      <c r="F21" s="183">
        <v>6.1600000000000002E-2</v>
      </c>
      <c r="G21" s="183">
        <v>7.400000000000001E-2</v>
      </c>
      <c r="H21" s="28">
        <v>8.9600000000000013E-2</v>
      </c>
    </row>
    <row r="22" spans="1:13" ht="30" customHeight="1">
      <c r="A22" s="19"/>
      <c r="B22" s="29" t="s">
        <v>27946</v>
      </c>
      <c r="C22" s="26" t="s">
        <v>27947</v>
      </c>
      <c r="D22" s="77">
        <v>3.6499999999999998E-2</v>
      </c>
      <c r="E22" s="27" t="str">
        <f>IF(AND(D22&gt;=F22, D22&lt;=H22), "OK", "Não OK")</f>
        <v>OK</v>
      </c>
      <c r="F22" s="30">
        <v>3.6499999999999998E-2</v>
      </c>
      <c r="G22" s="30">
        <v>3.6499999999999998E-2</v>
      </c>
      <c r="H22" s="31">
        <v>3.6499999999999998E-2</v>
      </c>
      <c r="L22" s="558"/>
    </row>
    <row r="23" spans="1:13" ht="30" customHeight="1">
      <c r="A23" s="19"/>
      <c r="B23" s="29" t="s">
        <v>27948</v>
      </c>
      <c r="C23" s="26" t="s">
        <v>27949</v>
      </c>
      <c r="D23" s="77">
        <f>G13*G12</f>
        <v>0.03</v>
      </c>
      <c r="E23" s="27" t="str">
        <f>IF(AND(D23&gt;=F23, D23&lt;=H23), "OK", "Não OK")</f>
        <v>OK</v>
      </c>
      <c r="F23" s="30">
        <v>0</v>
      </c>
      <c r="G23" s="30">
        <v>2.5000000000000001E-2</v>
      </c>
      <c r="H23" s="31">
        <v>0.05</v>
      </c>
    </row>
    <row r="24" spans="1:13" ht="39.75" customHeight="1">
      <c r="A24" s="19"/>
      <c r="B24" s="32" t="s">
        <v>27950</v>
      </c>
      <c r="C24" s="26" t="s">
        <v>27951</v>
      </c>
      <c r="D24" s="77">
        <v>0</v>
      </c>
      <c r="E24" s="27" t="str">
        <f>IF(AND(D24&gt;=F24, D24&lt;=H24), "OK", "Não OK")</f>
        <v>OK</v>
      </c>
      <c r="F24" s="33">
        <v>0</v>
      </c>
      <c r="G24" s="33">
        <v>0.02</v>
      </c>
      <c r="H24" s="34">
        <v>4.4999999999999998E-2</v>
      </c>
      <c r="L24" s="558"/>
      <c r="M24" s="559"/>
    </row>
    <row r="25" spans="1:13" ht="30" customHeight="1" thickBot="1">
      <c r="A25" s="19"/>
      <c r="B25" s="35" t="s">
        <v>27952</v>
      </c>
      <c r="C25" s="184" t="s">
        <v>27953</v>
      </c>
      <c r="D25" s="183">
        <f>ROUND((((1+D17+D18+D19)*(1+D20)*(1+D21)/(1-(D22+D23)))-1),4)</f>
        <v>0.22500000000000001</v>
      </c>
      <c r="E25" s="185" t="str">
        <f>IF(AND(D25&gt;=F25, D25&lt;=H25), "OK", "Não OK")</f>
        <v>OK</v>
      </c>
      <c r="F25" s="183">
        <v>0.2034</v>
      </c>
      <c r="G25" s="183">
        <v>0.22120000000000001</v>
      </c>
      <c r="H25" s="28">
        <v>0.25</v>
      </c>
      <c r="L25" s="560"/>
    </row>
    <row r="26" spans="1:13" ht="30" customHeight="1" thickBot="1">
      <c r="A26" s="19"/>
      <c r="B26" s="36" t="s">
        <v>41779</v>
      </c>
      <c r="C26" s="37" t="s">
        <v>27954</v>
      </c>
      <c r="D26" s="38">
        <f>ROUND((((1+D17+D18+D19)*(1+D20)*(1+D21)/(1-(D22+D23+D24)))-1),4)</f>
        <v>0.22500000000000001</v>
      </c>
      <c r="E26" s="39" t="str">
        <f>IF(COUNTIF($E$17:$E$25,"NÃO OK")&gt;0,"NÃO OK","OK")</f>
        <v>OK</v>
      </c>
      <c r="F26" s="40"/>
      <c r="G26" s="40"/>
      <c r="H26" s="41"/>
      <c r="L26" s="560"/>
    </row>
    <row r="27" spans="1:13" ht="12.75" customHeight="1">
      <c r="A27" s="19"/>
      <c r="B27" s="45"/>
      <c r="C27" s="19"/>
      <c r="D27" s="19"/>
      <c r="E27" s="19"/>
      <c r="F27" s="19"/>
      <c r="G27" s="19"/>
      <c r="H27" s="46"/>
    </row>
    <row r="28" spans="1:13" ht="57.75" customHeight="1">
      <c r="A28" s="19"/>
      <c r="B28" s="1094" t="s">
        <v>27955</v>
      </c>
      <c r="C28" s="1095"/>
      <c r="D28" s="1095"/>
      <c r="E28" s="1095"/>
      <c r="F28" s="1095"/>
      <c r="G28" s="1095"/>
      <c r="H28" s="1096"/>
    </row>
    <row r="29" spans="1:13" ht="20" customHeight="1">
      <c r="A29" s="19"/>
      <c r="B29" s="48"/>
      <c r="C29" s="105"/>
      <c r="D29" s="105"/>
      <c r="E29" s="105"/>
      <c r="F29" s="105"/>
      <c r="G29" s="105"/>
      <c r="H29" s="49"/>
    </row>
    <row r="30" spans="1:13" ht="50.25" customHeight="1">
      <c r="A30" s="19"/>
      <c r="B30" s="1083" t="str">
        <f>CONCATENATE("Declaro para os devidos fins que, conforme legislação tributária municipal, a base de cálculo para ",B10,", é de ",G12*100,"%, conforme a Lei Complementar 39/2017 com a respectiva alíquota de ",G13*100,"%.")</f>
        <v>Declaro para os devidos fins que, conforme legislação tributária municipal, a base de cálculo para Construção e Reforma de Edifícios, é de 100%, conforme a Lei Complementar 39/2017 com a respectiva alíquota de 3%.</v>
      </c>
      <c r="C30" s="1084"/>
      <c r="D30" s="1084"/>
      <c r="E30" s="1084"/>
      <c r="F30" s="1084"/>
      <c r="G30" s="1084"/>
      <c r="H30" s="1085"/>
    </row>
    <row r="31" spans="1:13">
      <c r="A31" s="19"/>
      <c r="B31" s="45"/>
      <c r="C31" s="19"/>
      <c r="D31" s="19"/>
      <c r="E31" s="19"/>
      <c r="F31" s="19"/>
      <c r="G31" s="19"/>
      <c r="H31" s="46"/>
    </row>
    <row r="32" spans="1:13" hidden="1">
      <c r="A32" s="19"/>
      <c r="B32" s="45"/>
      <c r="C32" s="19"/>
      <c r="D32" s="19"/>
      <c r="E32" s="19"/>
      <c r="F32" s="50" t="s">
        <v>27956</v>
      </c>
      <c r="G32" s="50" t="s">
        <v>27957</v>
      </c>
      <c r="H32" s="51" t="s">
        <v>27958</v>
      </c>
    </row>
    <row r="33" spans="1:8" hidden="1">
      <c r="A33" s="19"/>
      <c r="B33" s="45" t="s">
        <v>27926</v>
      </c>
      <c r="C33" s="42" t="s">
        <v>27937</v>
      </c>
      <c r="D33" s="19" t="str">
        <f t="shared" ref="D33:D74" si="0">CONCATENATE(B33,"-",C33)</f>
        <v>Construção e Reforma de Edifícios-AC</v>
      </c>
      <c r="E33" s="19"/>
      <c r="F33" s="43">
        <v>0.03</v>
      </c>
      <c r="G33" s="43">
        <v>0.04</v>
      </c>
      <c r="H33" s="52">
        <v>5.5E-2</v>
      </c>
    </row>
    <row r="34" spans="1:8" hidden="1">
      <c r="A34" s="19"/>
      <c r="B34" s="45" t="str">
        <f>B33</f>
        <v>Construção e Reforma de Edifícios</v>
      </c>
      <c r="C34" s="42" t="s">
        <v>27940</v>
      </c>
      <c r="D34" s="19" t="str">
        <f t="shared" si="0"/>
        <v>Construção e Reforma de Edifícios-SG</v>
      </c>
      <c r="E34" s="19"/>
      <c r="F34" s="43">
        <v>8.0000000000000002E-3</v>
      </c>
      <c r="G34" s="43">
        <v>8.0000000000000002E-3</v>
      </c>
      <c r="H34" s="52">
        <v>0.01</v>
      </c>
    </row>
    <row r="35" spans="1:8" hidden="1">
      <c r="A35" s="19"/>
      <c r="B35" s="45" t="str">
        <f>B34</f>
        <v>Construção e Reforma de Edifícios</v>
      </c>
      <c r="C35" s="42" t="s">
        <v>27942</v>
      </c>
      <c r="D35" s="19" t="str">
        <f t="shared" si="0"/>
        <v>Construção e Reforma de Edifícios-R</v>
      </c>
      <c r="E35" s="19"/>
      <c r="F35" s="43">
        <v>9.7000000000000003E-3</v>
      </c>
      <c r="G35" s="43">
        <v>1.2699999999999999E-2</v>
      </c>
      <c r="H35" s="52">
        <v>1.2699999999999999E-2</v>
      </c>
    </row>
    <row r="36" spans="1:8" hidden="1">
      <c r="A36" s="19"/>
      <c r="B36" s="45" t="str">
        <f>B35</f>
        <v>Construção e Reforma de Edifícios</v>
      </c>
      <c r="C36" s="42" t="s">
        <v>27944</v>
      </c>
      <c r="D36" s="19" t="str">
        <f t="shared" si="0"/>
        <v>Construção e Reforma de Edifícios-DF</v>
      </c>
      <c r="E36" s="19"/>
      <c r="F36" s="43">
        <v>5.8999999999999999E-3</v>
      </c>
      <c r="G36" s="43">
        <v>1.23E-2</v>
      </c>
      <c r="H36" s="52">
        <v>1.3899999999999999E-2</v>
      </c>
    </row>
    <row r="37" spans="1:8" hidden="1">
      <c r="A37" s="19"/>
      <c r="B37" s="45" t="str">
        <f>B36</f>
        <v>Construção e Reforma de Edifícios</v>
      </c>
      <c r="C37" s="42" t="s">
        <v>153</v>
      </c>
      <c r="D37" s="19" t="str">
        <f t="shared" si="0"/>
        <v>Construção e Reforma de Edifícios-L</v>
      </c>
      <c r="E37" s="19"/>
      <c r="F37" s="43">
        <v>6.1600000000000002E-2</v>
      </c>
      <c r="G37" s="43">
        <v>7.400000000000001E-2</v>
      </c>
      <c r="H37" s="52">
        <v>8.9600000000000013E-2</v>
      </c>
    </row>
    <row r="38" spans="1:8" hidden="1">
      <c r="A38" s="19"/>
      <c r="B38" s="45" t="str">
        <f>B37</f>
        <v>Construção e Reforma de Edifícios</v>
      </c>
      <c r="C38" s="44" t="s">
        <v>27953</v>
      </c>
      <c r="D38" s="19" t="str">
        <f t="shared" si="0"/>
        <v>Construção e Reforma de Edifícios-BDI PAD</v>
      </c>
      <c r="E38" s="19"/>
      <c r="F38" s="43">
        <v>0.2034</v>
      </c>
      <c r="G38" s="43">
        <v>0.22120000000000001</v>
      </c>
      <c r="H38" s="52">
        <v>0.25</v>
      </c>
    </row>
    <row r="39" spans="1:8" hidden="1">
      <c r="A39" s="19"/>
      <c r="B39" s="45" t="s">
        <v>27959</v>
      </c>
      <c r="C39" s="42" t="s">
        <v>27937</v>
      </c>
      <c r="D39" s="19" t="str">
        <f t="shared" si="0"/>
        <v>Construção de Praças Urbanas, Rodovias, Ferrovias e recapeamento e pavimentação de vias urbanas-AC</v>
      </c>
      <c r="E39" s="19"/>
      <c r="F39" s="43">
        <v>3.7999999999999999E-2</v>
      </c>
      <c r="G39" s="43">
        <v>4.0099999999999997E-2</v>
      </c>
      <c r="H39" s="52">
        <v>4.6699999999999998E-2</v>
      </c>
    </row>
    <row r="40" spans="1:8" hidden="1">
      <c r="A40" s="19"/>
      <c r="B40" s="45" t="s">
        <v>27959</v>
      </c>
      <c r="C40" s="42" t="s">
        <v>27940</v>
      </c>
      <c r="D40" s="19" t="str">
        <f t="shared" si="0"/>
        <v>Construção de Praças Urbanas, Rodovias, Ferrovias e recapeamento e pavimentação de vias urbanas-SG</v>
      </c>
      <c r="E40" s="19"/>
      <c r="F40" s="43">
        <v>3.2000000000000002E-3</v>
      </c>
      <c r="G40" s="43">
        <v>4.0000000000000001E-3</v>
      </c>
      <c r="H40" s="52">
        <v>7.4000000000000003E-3</v>
      </c>
    </row>
    <row r="41" spans="1:8" hidden="1">
      <c r="A41" s="19"/>
      <c r="B41" s="45" t="s">
        <v>27959</v>
      </c>
      <c r="C41" s="42" t="s">
        <v>27942</v>
      </c>
      <c r="D41" s="19" t="str">
        <f t="shared" si="0"/>
        <v>Construção de Praças Urbanas, Rodovias, Ferrovias e recapeamento e pavimentação de vias urbanas-R</v>
      </c>
      <c r="E41" s="19"/>
      <c r="F41" s="43">
        <v>5.0000000000000001E-3</v>
      </c>
      <c r="G41" s="43">
        <v>5.6000000000000008E-3</v>
      </c>
      <c r="H41" s="52">
        <v>9.7000000000000003E-3</v>
      </c>
    </row>
    <row r="42" spans="1:8" hidden="1">
      <c r="A42" s="19"/>
      <c r="B42" s="45" t="s">
        <v>27959</v>
      </c>
      <c r="C42" s="42" t="s">
        <v>27944</v>
      </c>
      <c r="D42" s="19" t="str">
        <f t="shared" si="0"/>
        <v>Construção de Praças Urbanas, Rodovias, Ferrovias e recapeamento e pavimentação de vias urbanas-DF</v>
      </c>
      <c r="E42" s="19"/>
      <c r="F42" s="43">
        <v>1.0200000000000001E-2</v>
      </c>
      <c r="G42" s="43">
        <v>1.11E-2</v>
      </c>
      <c r="H42" s="52">
        <v>1.21E-2</v>
      </c>
    </row>
    <row r="43" spans="1:8" hidden="1">
      <c r="A43" s="19"/>
      <c r="B43" s="45" t="s">
        <v>27959</v>
      </c>
      <c r="C43" s="42" t="s">
        <v>153</v>
      </c>
      <c r="D43" s="19" t="str">
        <f t="shared" si="0"/>
        <v>Construção de Praças Urbanas, Rodovias, Ferrovias e recapeamento e pavimentação de vias urbanas-L</v>
      </c>
      <c r="E43" s="19"/>
      <c r="F43" s="43">
        <v>6.6400000000000001E-2</v>
      </c>
      <c r="G43" s="43">
        <v>7.2999999999999995E-2</v>
      </c>
      <c r="H43" s="52">
        <v>8.6899999999999991E-2</v>
      </c>
    </row>
    <row r="44" spans="1:8" hidden="1">
      <c r="A44" s="19"/>
      <c r="B44" s="45" t="s">
        <v>27959</v>
      </c>
      <c r="C44" s="44" t="s">
        <v>27953</v>
      </c>
      <c r="D44" s="19" t="str">
        <f t="shared" si="0"/>
        <v>Construção de Praças Urbanas, Rodovias, Ferrovias e recapeamento e pavimentação de vias urbanas-BDI PAD</v>
      </c>
      <c r="E44" s="19"/>
      <c r="F44" s="43">
        <v>0.19600000000000001</v>
      </c>
      <c r="G44" s="43">
        <v>0.2097</v>
      </c>
      <c r="H44" s="52">
        <v>0.24230000000000002</v>
      </c>
    </row>
    <row r="45" spans="1:8" hidden="1">
      <c r="A45" s="19"/>
      <c r="B45" s="45" t="s">
        <v>27960</v>
      </c>
      <c r="C45" s="42" t="s">
        <v>27937</v>
      </c>
      <c r="D45" s="19" t="str">
        <f t="shared" si="0"/>
        <v>Construção de Redes de Abastecimento de Água, Coleta de Esgoto-AC</v>
      </c>
      <c r="E45" s="19"/>
      <c r="F45" s="43">
        <v>3.4300000000000004E-2</v>
      </c>
      <c r="G45" s="43">
        <v>4.9299999999999997E-2</v>
      </c>
      <c r="H45" s="52">
        <v>6.7099999999999993E-2</v>
      </c>
    </row>
    <row r="46" spans="1:8" hidden="1">
      <c r="A46" s="19"/>
      <c r="B46" s="45" t="str">
        <f>B45</f>
        <v>Construção de Redes de Abastecimento de Água, Coleta de Esgoto</v>
      </c>
      <c r="C46" s="42" t="s">
        <v>27940</v>
      </c>
      <c r="D46" s="19" t="str">
        <f t="shared" si="0"/>
        <v>Construção de Redes de Abastecimento de Água, Coleta de Esgoto-SG</v>
      </c>
      <c r="E46" s="19"/>
      <c r="F46" s="43">
        <v>2.8000000000000004E-3</v>
      </c>
      <c r="G46" s="43">
        <v>4.8999999999999998E-3</v>
      </c>
      <c r="H46" s="52">
        <v>7.4999999999999997E-3</v>
      </c>
    </row>
    <row r="47" spans="1:8" hidden="1">
      <c r="A47" s="19"/>
      <c r="B47" s="45" t="str">
        <f>B46</f>
        <v>Construção de Redes de Abastecimento de Água, Coleta de Esgoto</v>
      </c>
      <c r="C47" s="42" t="s">
        <v>27942</v>
      </c>
      <c r="D47" s="19" t="str">
        <f t="shared" si="0"/>
        <v>Construção de Redes de Abastecimento de Água, Coleta de Esgoto-R</v>
      </c>
      <c r="E47" s="19"/>
      <c r="F47" s="43">
        <v>0.01</v>
      </c>
      <c r="G47" s="43">
        <v>1.3899999999999999E-2</v>
      </c>
      <c r="H47" s="52">
        <v>1.7399999999999999E-2</v>
      </c>
    </row>
    <row r="48" spans="1:8" hidden="1">
      <c r="A48" s="19"/>
      <c r="B48" s="45" t="str">
        <f>B47</f>
        <v>Construção de Redes de Abastecimento de Água, Coleta de Esgoto</v>
      </c>
      <c r="C48" s="42" t="s">
        <v>27944</v>
      </c>
      <c r="D48" s="19" t="str">
        <f t="shared" si="0"/>
        <v>Construção de Redes de Abastecimento de Água, Coleta de Esgoto-DF</v>
      </c>
      <c r="E48" s="19"/>
      <c r="F48" s="43">
        <v>9.3999999999999986E-3</v>
      </c>
      <c r="G48" s="43">
        <v>9.8999999999999991E-3</v>
      </c>
      <c r="H48" s="52">
        <v>1.1699999999999999E-2</v>
      </c>
    </row>
    <row r="49" spans="1:8" hidden="1">
      <c r="A49" s="19"/>
      <c r="B49" s="45" t="str">
        <f>B48</f>
        <v>Construção de Redes de Abastecimento de Água, Coleta de Esgoto</v>
      </c>
      <c r="C49" s="42" t="s">
        <v>153</v>
      </c>
      <c r="D49" s="19" t="str">
        <f t="shared" si="0"/>
        <v>Construção de Redes de Abastecimento de Água, Coleta de Esgoto-L</v>
      </c>
      <c r="E49" s="19"/>
      <c r="F49" s="43">
        <v>6.7400000000000002E-2</v>
      </c>
      <c r="G49" s="43">
        <v>8.0399999999999985E-2</v>
      </c>
      <c r="H49" s="52">
        <v>9.4E-2</v>
      </c>
    </row>
    <row r="50" spans="1:8" hidden="1">
      <c r="A50" s="19"/>
      <c r="B50" s="45" t="str">
        <f>B49</f>
        <v>Construção de Redes de Abastecimento de Água, Coleta de Esgoto</v>
      </c>
      <c r="C50" s="44" t="s">
        <v>27953</v>
      </c>
      <c r="D50" s="19" t="str">
        <f t="shared" si="0"/>
        <v>Construção de Redes de Abastecimento de Água, Coleta de Esgoto-BDI PAD</v>
      </c>
      <c r="E50" s="19"/>
      <c r="F50" s="43">
        <v>0.20760000000000001</v>
      </c>
      <c r="G50" s="43">
        <v>0.24179999999999999</v>
      </c>
      <c r="H50" s="52">
        <v>0.26440000000000002</v>
      </c>
    </row>
    <row r="51" spans="1:8" hidden="1">
      <c r="A51" s="19"/>
      <c r="B51" s="45" t="s">
        <v>27961</v>
      </c>
      <c r="C51" s="42" t="s">
        <v>27937</v>
      </c>
      <c r="D51" s="19" t="str">
        <f t="shared" si="0"/>
        <v>Construção e Manutenção de Estações e Redes de Distribuição de Energia Elétrica-AC</v>
      </c>
      <c r="E51" s="19"/>
      <c r="F51" s="43">
        <v>5.2900000000000003E-2</v>
      </c>
      <c r="G51" s="43">
        <v>5.9200000000000003E-2</v>
      </c>
      <c r="H51" s="52">
        <v>7.9299999999999995E-2</v>
      </c>
    </row>
    <row r="52" spans="1:8" hidden="1">
      <c r="A52" s="19"/>
      <c r="B52" s="45" t="str">
        <f>B51</f>
        <v>Construção e Manutenção de Estações e Redes de Distribuição de Energia Elétrica</v>
      </c>
      <c r="C52" s="42" t="s">
        <v>27940</v>
      </c>
      <c r="D52" s="19" t="str">
        <f t="shared" si="0"/>
        <v>Construção e Manutenção de Estações e Redes de Distribuição de Energia Elétrica-SG</v>
      </c>
      <c r="E52" s="19"/>
      <c r="F52" s="43">
        <v>2.5000000000000001E-3</v>
      </c>
      <c r="G52" s="43">
        <v>5.1000000000000004E-3</v>
      </c>
      <c r="H52" s="52">
        <v>5.6000000000000008E-3</v>
      </c>
    </row>
    <row r="53" spans="1:8" hidden="1">
      <c r="A53" s="19"/>
      <c r="B53" s="45" t="str">
        <f>B52</f>
        <v>Construção e Manutenção de Estações e Redes de Distribuição de Energia Elétrica</v>
      </c>
      <c r="C53" s="42" t="s">
        <v>27942</v>
      </c>
      <c r="D53" s="19" t="str">
        <f t="shared" si="0"/>
        <v>Construção e Manutenção de Estações e Redes de Distribuição de Energia Elétrica-R</v>
      </c>
      <c r="E53" s="19"/>
      <c r="F53" s="43">
        <v>0.01</v>
      </c>
      <c r="G53" s="43">
        <v>1.4800000000000001E-2</v>
      </c>
      <c r="H53" s="52">
        <v>1.9699999999999999E-2</v>
      </c>
    </row>
    <row r="54" spans="1:8" hidden="1">
      <c r="A54" s="19"/>
      <c r="B54" s="45" t="str">
        <f>B53</f>
        <v>Construção e Manutenção de Estações e Redes de Distribuição de Energia Elétrica</v>
      </c>
      <c r="C54" s="42" t="s">
        <v>27944</v>
      </c>
      <c r="D54" s="19" t="str">
        <f t="shared" si="0"/>
        <v>Construção e Manutenção de Estações e Redes de Distribuição de Energia Elétrica-DF</v>
      </c>
      <c r="E54" s="19"/>
      <c r="F54" s="43">
        <v>1.01E-2</v>
      </c>
      <c r="G54" s="43">
        <v>1.0700000000000001E-2</v>
      </c>
      <c r="H54" s="52">
        <v>1.11E-2</v>
      </c>
    </row>
    <row r="55" spans="1:8" hidden="1">
      <c r="A55" s="19"/>
      <c r="B55" s="45" t="str">
        <f>B54</f>
        <v>Construção e Manutenção de Estações e Redes de Distribuição de Energia Elétrica</v>
      </c>
      <c r="C55" s="42" t="s">
        <v>153</v>
      </c>
      <c r="D55" s="19" t="str">
        <f t="shared" si="0"/>
        <v>Construção e Manutenção de Estações e Redes de Distribuição de Energia Elétrica-L</v>
      </c>
      <c r="E55" s="19"/>
      <c r="F55" s="43">
        <v>0.08</v>
      </c>
      <c r="G55" s="43">
        <v>8.3100000000000007E-2</v>
      </c>
      <c r="H55" s="52">
        <v>9.5100000000000004E-2</v>
      </c>
    </row>
    <row r="56" spans="1:8" hidden="1">
      <c r="A56" s="19"/>
      <c r="B56" s="45" t="str">
        <f>B55</f>
        <v>Construção e Manutenção de Estações e Redes de Distribuição de Energia Elétrica</v>
      </c>
      <c r="C56" s="44" t="s">
        <v>27953</v>
      </c>
      <c r="D56" s="19" t="str">
        <f t="shared" si="0"/>
        <v>Construção e Manutenção de Estações e Redes de Distribuição de Energia Elétrica-BDI PAD</v>
      </c>
      <c r="E56" s="19"/>
      <c r="F56" s="43">
        <v>0.24</v>
      </c>
      <c r="G56" s="43">
        <v>0.25840000000000002</v>
      </c>
      <c r="H56" s="52">
        <v>0.27860000000000001</v>
      </c>
    </row>
    <row r="57" spans="1:8" hidden="1">
      <c r="A57" s="19"/>
      <c r="B57" s="45" t="s">
        <v>27962</v>
      </c>
      <c r="C57" s="42" t="s">
        <v>27937</v>
      </c>
      <c r="D57" s="19" t="str">
        <f t="shared" si="0"/>
        <v>Obras Portuárias, Marítimas e Fluviais-AC</v>
      </c>
      <c r="E57" s="19"/>
      <c r="F57" s="43">
        <v>0.04</v>
      </c>
      <c r="G57" s="43">
        <v>5.5199999999999999E-2</v>
      </c>
      <c r="H57" s="52">
        <v>7.85E-2</v>
      </c>
    </row>
    <row r="58" spans="1:8" hidden="1">
      <c r="A58" s="19"/>
      <c r="B58" s="45" t="str">
        <f>B57</f>
        <v>Obras Portuárias, Marítimas e Fluviais</v>
      </c>
      <c r="C58" s="42" t="s">
        <v>27940</v>
      </c>
      <c r="D58" s="19" t="str">
        <f t="shared" si="0"/>
        <v>Obras Portuárias, Marítimas e Fluviais-SG</v>
      </c>
      <c r="E58" s="19"/>
      <c r="F58" s="43">
        <v>8.1000000000000013E-3</v>
      </c>
      <c r="G58" s="43">
        <v>1.2199999999999999E-2</v>
      </c>
      <c r="H58" s="52">
        <v>1.9900000000000001E-2</v>
      </c>
    </row>
    <row r="59" spans="1:8" hidden="1">
      <c r="A59" s="19"/>
      <c r="B59" s="45" t="str">
        <f>B58</f>
        <v>Obras Portuárias, Marítimas e Fluviais</v>
      </c>
      <c r="C59" s="42" t="s">
        <v>27942</v>
      </c>
      <c r="D59" s="19" t="str">
        <f t="shared" si="0"/>
        <v>Obras Portuárias, Marítimas e Fluviais-R</v>
      </c>
      <c r="E59" s="19"/>
      <c r="F59" s="43">
        <v>1.46E-2</v>
      </c>
      <c r="G59" s="43">
        <v>2.3199999999999998E-2</v>
      </c>
      <c r="H59" s="52">
        <v>3.1600000000000003E-2</v>
      </c>
    </row>
    <row r="60" spans="1:8" hidden="1">
      <c r="A60" s="19"/>
      <c r="B60" s="45" t="str">
        <f>B59</f>
        <v>Obras Portuárias, Marítimas e Fluviais</v>
      </c>
      <c r="C60" s="42" t="s">
        <v>27944</v>
      </c>
      <c r="D60" s="19" t="str">
        <f t="shared" si="0"/>
        <v>Obras Portuárias, Marítimas e Fluviais-DF</v>
      </c>
      <c r="E60" s="19"/>
      <c r="F60" s="43">
        <v>9.3999999999999986E-3</v>
      </c>
      <c r="G60" s="43">
        <v>1.0200000000000001E-2</v>
      </c>
      <c r="H60" s="52">
        <v>1.3300000000000001E-2</v>
      </c>
    </row>
    <row r="61" spans="1:8" hidden="1">
      <c r="A61" s="19"/>
      <c r="B61" s="45" t="str">
        <f>B60</f>
        <v>Obras Portuárias, Marítimas e Fluviais</v>
      </c>
      <c r="C61" s="42" t="s">
        <v>153</v>
      </c>
      <c r="D61" s="19" t="str">
        <f t="shared" si="0"/>
        <v>Obras Portuárias, Marítimas e Fluviais-L</v>
      </c>
      <c r="E61" s="19"/>
      <c r="F61" s="43">
        <v>7.1399999999999991E-2</v>
      </c>
      <c r="G61" s="43">
        <v>8.4000000000000005E-2</v>
      </c>
      <c r="H61" s="52">
        <v>0.1043</v>
      </c>
    </row>
    <row r="62" spans="1:8" hidden="1">
      <c r="A62" s="19"/>
      <c r="B62" s="45" t="str">
        <f>B61</f>
        <v>Obras Portuárias, Marítimas e Fluviais</v>
      </c>
      <c r="C62" s="44" t="s">
        <v>27953</v>
      </c>
      <c r="D62" s="19" t="str">
        <f t="shared" si="0"/>
        <v>Obras Portuárias, Marítimas e Fluviais-BDI PAD</v>
      </c>
      <c r="E62" s="19"/>
      <c r="F62" s="43">
        <v>0.22800000000000001</v>
      </c>
      <c r="G62" s="43">
        <v>0.27479999999999999</v>
      </c>
      <c r="H62" s="52">
        <v>0.3095</v>
      </c>
    </row>
    <row r="63" spans="1:8" hidden="1">
      <c r="A63" s="19"/>
      <c r="B63" s="45" t="s">
        <v>27963</v>
      </c>
      <c r="C63" s="42" t="s">
        <v>27937</v>
      </c>
      <c r="D63" s="19" t="str">
        <f t="shared" si="0"/>
        <v>Fornecimento de Materiais e Equipamentos-AC</v>
      </c>
      <c r="E63" s="19"/>
      <c r="F63" s="43">
        <v>1.4999999999999999E-2</v>
      </c>
      <c r="G63" s="43">
        <v>3.4500000000000003E-2</v>
      </c>
      <c r="H63" s="52">
        <v>4.4900000000000002E-2</v>
      </c>
    </row>
    <row r="64" spans="1:8" hidden="1">
      <c r="A64" s="19"/>
      <c r="B64" s="45" t="str">
        <f>B63</f>
        <v>Fornecimento de Materiais e Equipamentos</v>
      </c>
      <c r="C64" s="42" t="s">
        <v>27940</v>
      </c>
      <c r="D64" s="19" t="str">
        <f t="shared" si="0"/>
        <v>Fornecimento de Materiais e Equipamentos-SG</v>
      </c>
      <c r="E64" s="19"/>
      <c r="F64" s="43">
        <v>3.0000000000000001E-3</v>
      </c>
      <c r="G64" s="43">
        <v>4.7999999999999996E-3</v>
      </c>
      <c r="H64" s="52">
        <v>8.199999999999999E-3</v>
      </c>
    </row>
    <row r="65" spans="1:8" hidden="1">
      <c r="A65" s="19" t="s">
        <v>27898</v>
      </c>
      <c r="B65" s="45" t="str">
        <f>B64</f>
        <v>Fornecimento de Materiais e Equipamentos</v>
      </c>
      <c r="C65" s="42" t="s">
        <v>27942</v>
      </c>
      <c r="D65" s="19" t="str">
        <f t="shared" si="0"/>
        <v>Fornecimento de Materiais e Equipamentos-R</v>
      </c>
      <c r="E65" s="19"/>
      <c r="F65" s="43">
        <v>5.6000000000000008E-3</v>
      </c>
      <c r="G65" s="43">
        <v>8.5000000000000006E-3</v>
      </c>
      <c r="H65" s="52">
        <v>8.8999999999999999E-3</v>
      </c>
    </row>
    <row r="66" spans="1:8" hidden="1">
      <c r="A66" s="19"/>
      <c r="B66" s="45" t="str">
        <f>B65</f>
        <v>Fornecimento de Materiais e Equipamentos</v>
      </c>
      <c r="C66" s="42" t="s">
        <v>27944</v>
      </c>
      <c r="D66" s="19" t="str">
        <f t="shared" si="0"/>
        <v>Fornecimento de Materiais e Equipamentos-DF</v>
      </c>
      <c r="E66" s="19"/>
      <c r="F66" s="43">
        <v>8.5000000000000006E-3</v>
      </c>
      <c r="G66" s="43">
        <v>8.5000000000000006E-3</v>
      </c>
      <c r="H66" s="52">
        <v>1.11E-2</v>
      </c>
    </row>
    <row r="67" spans="1:8" hidden="1">
      <c r="A67" s="19"/>
      <c r="B67" s="45" t="str">
        <f>B66</f>
        <v>Fornecimento de Materiais e Equipamentos</v>
      </c>
      <c r="C67" s="42" t="s">
        <v>153</v>
      </c>
      <c r="D67" s="19" t="str">
        <f t="shared" si="0"/>
        <v>Fornecimento de Materiais e Equipamentos-L</v>
      </c>
      <c r="E67" s="19"/>
      <c r="F67" s="43">
        <v>3.5000000000000003E-2</v>
      </c>
      <c r="G67" s="43">
        <v>5.1100000000000007E-2</v>
      </c>
      <c r="H67" s="52">
        <v>6.2199999999999998E-2</v>
      </c>
    </row>
    <row r="68" spans="1:8" hidden="1">
      <c r="A68" s="19"/>
      <c r="B68" s="45" t="str">
        <f>B67</f>
        <v>Fornecimento de Materiais e Equipamentos</v>
      </c>
      <c r="C68" s="44" t="s">
        <v>27953</v>
      </c>
      <c r="D68" s="19" t="str">
        <f t="shared" si="0"/>
        <v>Fornecimento de Materiais e Equipamentos-BDI PAD</v>
      </c>
      <c r="E68" s="19"/>
      <c r="F68" s="43">
        <v>0.111</v>
      </c>
      <c r="G68" s="43">
        <v>0.14019999999999999</v>
      </c>
      <c r="H68" s="52">
        <v>0.16800000000000001</v>
      </c>
    </row>
    <row r="69" spans="1:8" hidden="1">
      <c r="A69" s="19"/>
      <c r="B69" s="45" t="s">
        <v>27964</v>
      </c>
      <c r="C69" s="42" t="s">
        <v>27937</v>
      </c>
      <c r="D69" s="19" t="str">
        <f t="shared" si="0"/>
        <v>Estudos e Projetos, Planos e Gerenciamento e outros correlatos-AC</v>
      </c>
      <c r="E69" s="19"/>
      <c r="F69" s="43">
        <v>0</v>
      </c>
      <c r="G69" s="43" t="s">
        <v>27938</v>
      </c>
      <c r="H69" s="52" t="s">
        <v>27938</v>
      </c>
    </row>
    <row r="70" spans="1:8" hidden="1">
      <c r="A70" s="19"/>
      <c r="B70" s="45" t="str">
        <f>B69</f>
        <v>Estudos e Projetos, Planos e Gerenciamento e outros correlatos</v>
      </c>
      <c r="C70" s="42" t="s">
        <v>27940</v>
      </c>
      <c r="D70" s="19" t="str">
        <f t="shared" si="0"/>
        <v>Estudos e Projetos, Planos e Gerenciamento e outros correlatos-SG</v>
      </c>
      <c r="E70" s="19"/>
      <c r="F70" s="43">
        <v>0</v>
      </c>
      <c r="G70" s="43" t="s">
        <v>27938</v>
      </c>
      <c r="H70" s="52" t="s">
        <v>27938</v>
      </c>
    </row>
    <row r="71" spans="1:8" hidden="1">
      <c r="A71" s="19"/>
      <c r="B71" s="45" t="str">
        <f>B70</f>
        <v>Estudos e Projetos, Planos e Gerenciamento e outros correlatos</v>
      </c>
      <c r="C71" s="42" t="s">
        <v>27942</v>
      </c>
      <c r="D71" s="19" t="str">
        <f t="shared" si="0"/>
        <v>Estudos e Projetos, Planos e Gerenciamento e outros correlatos-R</v>
      </c>
      <c r="E71" s="19"/>
      <c r="F71" s="43">
        <v>0</v>
      </c>
      <c r="G71" s="43" t="s">
        <v>27938</v>
      </c>
      <c r="H71" s="52" t="s">
        <v>27938</v>
      </c>
    </row>
    <row r="72" spans="1:8" hidden="1">
      <c r="A72" s="19"/>
      <c r="B72" s="45" t="str">
        <f>B71</f>
        <v>Estudos e Projetos, Planos e Gerenciamento e outros correlatos</v>
      </c>
      <c r="C72" s="42" t="s">
        <v>27944</v>
      </c>
      <c r="D72" s="19" t="str">
        <f t="shared" si="0"/>
        <v>Estudos e Projetos, Planos e Gerenciamento e outros correlatos-DF</v>
      </c>
      <c r="E72" s="19"/>
      <c r="F72" s="43">
        <v>0</v>
      </c>
      <c r="G72" s="43" t="s">
        <v>27938</v>
      </c>
      <c r="H72" s="52" t="s">
        <v>27938</v>
      </c>
    </row>
    <row r="73" spans="1:8" hidden="1">
      <c r="A73" s="19"/>
      <c r="B73" s="45" t="str">
        <f>B72</f>
        <v>Estudos e Projetos, Planos e Gerenciamento e outros correlatos</v>
      </c>
      <c r="C73" s="42" t="s">
        <v>153</v>
      </c>
      <c r="D73" s="19" t="str">
        <f t="shared" si="0"/>
        <v>Estudos e Projetos, Planos e Gerenciamento e outros correlatos-L</v>
      </c>
      <c r="E73" s="19"/>
      <c r="F73" s="43">
        <v>0</v>
      </c>
      <c r="G73" s="43" t="s">
        <v>27938</v>
      </c>
      <c r="H73" s="52" t="s">
        <v>27938</v>
      </c>
    </row>
    <row r="74" spans="1:8" hidden="1">
      <c r="A74" s="19"/>
      <c r="B74" s="45" t="str">
        <f>B73</f>
        <v>Estudos e Projetos, Planos e Gerenciamento e outros correlatos</v>
      </c>
      <c r="C74" s="44" t="s">
        <v>27953</v>
      </c>
      <c r="D74" s="19" t="str">
        <f t="shared" si="0"/>
        <v>Estudos e Projetos, Planos e Gerenciamento e outros correlatos-BDI PAD</v>
      </c>
      <c r="E74" s="19"/>
      <c r="F74" s="43">
        <v>0.2</v>
      </c>
      <c r="G74" s="43">
        <v>0.25</v>
      </c>
      <c r="H74" s="52">
        <v>0.3</v>
      </c>
    </row>
    <row r="75" spans="1:8" hidden="1">
      <c r="A75" s="19"/>
      <c r="B75" s="45"/>
      <c r="C75" s="19"/>
      <c r="D75" s="19"/>
      <c r="E75" s="19"/>
      <c r="F75" s="19"/>
      <c r="G75" s="19"/>
      <c r="H75" s="46"/>
    </row>
    <row r="76" spans="1:8" hidden="1">
      <c r="A76" s="19"/>
      <c r="B76" s="45"/>
      <c r="C76" s="19"/>
      <c r="D76" s="19"/>
      <c r="E76" s="19"/>
      <c r="F76" s="19"/>
      <c r="G76" s="19"/>
      <c r="H76" s="46"/>
    </row>
    <row r="77" spans="1:8" hidden="1">
      <c r="A77" s="19"/>
      <c r="B77" s="45" t="s">
        <v>27926</v>
      </c>
      <c r="C77" s="19"/>
      <c r="D77" s="19"/>
      <c r="E77" s="19"/>
      <c r="F77" s="19"/>
      <c r="G77" s="19"/>
      <c r="H77" s="46"/>
    </row>
    <row r="78" spans="1:8" hidden="1">
      <c r="A78" s="19"/>
      <c r="B78" s="45" t="s">
        <v>27959</v>
      </c>
      <c r="C78" s="19"/>
      <c r="D78" s="19"/>
      <c r="E78" s="19"/>
      <c r="F78" s="19"/>
      <c r="G78" s="19"/>
      <c r="H78" s="46"/>
    </row>
    <row r="79" spans="1:8" hidden="1">
      <c r="A79" s="19"/>
      <c r="B79" s="45" t="s">
        <v>27960</v>
      </c>
      <c r="C79" s="19"/>
      <c r="D79" s="19"/>
      <c r="E79" s="19"/>
      <c r="F79" s="19"/>
      <c r="G79" s="19"/>
      <c r="H79" s="46"/>
    </row>
    <row r="80" spans="1:8" hidden="1">
      <c r="A80" s="19"/>
      <c r="B80" s="45" t="s">
        <v>27961</v>
      </c>
      <c r="C80" s="19"/>
      <c r="D80" s="19"/>
      <c r="E80" s="19"/>
      <c r="F80" s="19"/>
      <c r="G80" s="19"/>
      <c r="H80" s="46"/>
    </row>
    <row r="81" spans="1:13" hidden="1">
      <c r="A81" s="19"/>
      <c r="B81" s="45" t="s">
        <v>27962</v>
      </c>
      <c r="C81" s="19"/>
      <c r="D81" s="19"/>
      <c r="E81" s="19"/>
      <c r="F81" s="19"/>
      <c r="G81" s="19"/>
      <c r="H81" s="46"/>
    </row>
    <row r="82" spans="1:13" hidden="1">
      <c r="A82" s="19"/>
      <c r="B82" s="45" t="s">
        <v>27963</v>
      </c>
      <c r="C82" s="19"/>
      <c r="D82" s="19"/>
      <c r="E82" s="19"/>
      <c r="F82" s="19"/>
      <c r="G82" s="19"/>
      <c r="H82" s="46"/>
    </row>
    <row r="83" spans="1:13" hidden="1">
      <c r="A83" s="19"/>
      <c r="B83" s="45" t="s">
        <v>27964</v>
      </c>
      <c r="C83" s="19"/>
      <c r="D83" s="19"/>
      <c r="E83" s="19"/>
      <c r="F83" s="19"/>
      <c r="G83" s="19"/>
      <c r="H83" s="46"/>
    </row>
    <row r="84" spans="1:13" ht="12.75" customHeight="1">
      <c r="A84" s="19"/>
      <c r="B84" s="45"/>
      <c r="C84" s="19"/>
      <c r="D84" s="19"/>
      <c r="E84" s="19"/>
      <c r="F84" s="19"/>
      <c r="G84" s="19"/>
      <c r="H84" s="46"/>
    </row>
    <row r="85" spans="1:13" ht="12.75" customHeight="1">
      <c r="A85" s="19"/>
      <c r="B85" s="45"/>
      <c r="C85" s="19"/>
      <c r="D85" s="186"/>
      <c r="E85" s="187"/>
      <c r="F85" s="187"/>
      <c r="G85" s="187"/>
      <c r="H85" s="188" t="str">
        <f>'Plan Orçamentária'!Y533</f>
        <v>JALES-SP, 08 DE JUNHO DE 2025</v>
      </c>
    </row>
    <row r="86" spans="1:13" ht="12.75" customHeight="1">
      <c r="A86" s="19"/>
      <c r="B86" s="45"/>
      <c r="C86" s="19"/>
      <c r="D86" s="1086" t="s">
        <v>27965</v>
      </c>
      <c r="E86" s="1086"/>
      <c r="F86" s="1086"/>
      <c r="G86" s="1086"/>
      <c r="H86" s="1087"/>
    </row>
    <row r="87" spans="1:13" ht="12.75" customHeight="1">
      <c r="A87" s="19"/>
      <c r="B87" s="45"/>
      <c r="C87" s="19"/>
      <c r="D87" s="19"/>
      <c r="E87" s="19"/>
      <c r="F87" s="19"/>
      <c r="G87" s="19"/>
      <c r="H87" s="46"/>
    </row>
    <row r="88" spans="1:13" ht="12.75" customHeight="1">
      <c r="A88" s="19"/>
      <c r="B88" s="45"/>
      <c r="C88" s="19"/>
      <c r="D88" s="19"/>
      <c r="E88" s="19"/>
      <c r="F88" s="19"/>
      <c r="G88" s="19"/>
      <c r="H88" s="46"/>
    </row>
    <row r="89" spans="1:13" ht="12.75" customHeight="1">
      <c r="A89" s="19"/>
      <c r="B89" s="45"/>
      <c r="C89" s="19"/>
      <c r="D89" s="19"/>
      <c r="E89" s="19"/>
      <c r="F89" s="19"/>
      <c r="G89" s="19"/>
      <c r="H89" s="46"/>
    </row>
    <row r="90" spans="1:13" ht="12.75" customHeight="1">
      <c r="A90" s="19"/>
      <c r="B90" s="1088" t="s">
        <v>27909</v>
      </c>
      <c r="C90" s="1089"/>
      <c r="D90" s="1089"/>
      <c r="E90" s="1089"/>
      <c r="F90" s="1089"/>
      <c r="G90" s="1089"/>
      <c r="H90" s="1090"/>
    </row>
    <row r="91" spans="1:13" ht="12.75" customHeight="1">
      <c r="A91" s="19"/>
      <c r="B91" s="1091" t="s">
        <v>27891</v>
      </c>
      <c r="C91" s="1092"/>
      <c r="D91" s="1092"/>
      <c r="E91" s="1092"/>
      <c r="F91" s="1092"/>
      <c r="G91" s="1092"/>
      <c r="H91" s="1093"/>
    </row>
    <row r="92" spans="1:13" ht="12.75" customHeight="1">
      <c r="A92" s="19"/>
      <c r="B92" s="1088" t="str">
        <f>'Plan Orçamentária'!O541</f>
        <v>JOEL RODRIGO CARDOZO</v>
      </c>
      <c r="C92" s="1089"/>
      <c r="D92" s="1089"/>
      <c r="E92" s="1089"/>
      <c r="F92" s="1089"/>
      <c r="G92" s="1089"/>
      <c r="H92" s="1090"/>
    </row>
    <row r="93" spans="1:13" ht="16" thickBot="1">
      <c r="A93" s="19"/>
      <c r="B93" s="951" t="str">
        <f>'Plan Orçamentária'!O542</f>
        <v>CREA 506.404.151-8</v>
      </c>
      <c r="C93" s="952"/>
      <c r="D93" s="952"/>
      <c r="E93" s="952"/>
      <c r="F93" s="952"/>
      <c r="G93" s="952"/>
      <c r="H93" s="953"/>
      <c r="I93" s="53"/>
      <c r="J93" s="53"/>
      <c r="K93" s="53"/>
      <c r="L93" s="53"/>
      <c r="M93" s="53"/>
    </row>
    <row r="94" spans="1:13" ht="12.75" customHeight="1">
      <c r="A94" s="19"/>
      <c r="B94" s="19"/>
      <c r="C94" s="19"/>
      <c r="D94" s="19"/>
      <c r="E94" s="19"/>
      <c r="F94" s="19"/>
      <c r="G94" s="19"/>
      <c r="H94" s="19"/>
    </row>
  </sheetData>
  <mergeCells count="19">
    <mergeCell ref="G12:H12"/>
    <mergeCell ref="B13:F13"/>
    <mergeCell ref="G13:H13"/>
    <mergeCell ref="B1:H1"/>
    <mergeCell ref="B93:H93"/>
    <mergeCell ref="B30:H30"/>
    <mergeCell ref="D86:H86"/>
    <mergeCell ref="B90:H90"/>
    <mergeCell ref="B91:H91"/>
    <mergeCell ref="B92:H92"/>
    <mergeCell ref="B28:H28"/>
    <mergeCell ref="B2:H2"/>
    <mergeCell ref="C4:H4"/>
    <mergeCell ref="B5:B6"/>
    <mergeCell ref="C5:H6"/>
    <mergeCell ref="C7:H7"/>
    <mergeCell ref="B9:H9"/>
    <mergeCell ref="B10:H10"/>
    <mergeCell ref="B12:F12"/>
  </mergeCells>
  <conditionalFormatting sqref="D26">
    <cfRule type="expression" dxfId="215" priority="1" stopIfTrue="1">
      <formula>$E$26="NÃO OK"</formula>
    </cfRule>
  </conditionalFormatting>
  <conditionalFormatting sqref="E17:E26">
    <cfRule type="cellIs" dxfId="214" priority="2" stopIfTrue="1" operator="equal">
      <formula>"NÃO OK"</formula>
    </cfRule>
    <cfRule type="cellIs" dxfId="213" priority="3" stopIfTrue="1" operator="equal">
      <formula>"OK"</formula>
    </cfRule>
  </conditionalFormatting>
  <dataValidations count="5">
    <dataValidation type="decimal" allowBlank="1" showInputMessage="1" showErrorMessage="1" errorTitle="Erro de valores" error="Digite um valor maior do que 0." sqref="D23" xr:uid="{00000000-0002-0000-0F00-000000000000}">
      <formula1>0</formula1>
      <formula2>1</formula2>
    </dataValidation>
    <dataValidation type="list" allowBlank="1" showInputMessage="1" showErrorMessage="1" sqref="B10:H10" xr:uid="{00000000-0002-0000-0F00-000001000000}">
      <formula1>$B$77:$B$83</formula1>
    </dataValidation>
    <dataValidation type="decimal" allowBlank="1" showInputMessage="1" showErrorMessage="1" errorTitle="Valor não permitido" error="Digite um percentual entre 0% e 100%." sqref="G12:H12" xr:uid="{00000000-0002-0000-0F00-000002000000}">
      <formula1>0</formula1>
      <formula2>1</formula2>
    </dataValidation>
    <dataValidation type="decimal" operator="greaterThanOrEqual" allowBlank="1" showInputMessage="1" showErrorMessage="1" errorTitle="Valor não permitido" error="Digite um percentual entre 0% e 100%." sqref="G13:H13" xr:uid="{00000000-0002-0000-0F00-000003000000}">
      <formula1>0</formula1>
    </dataValidation>
    <dataValidation type="decimal" allowBlank="1" showInputMessage="1" showErrorMessage="1" errorTitle="Erro de valores" error="Digite um valor entre 0% e 100%" sqref="D24 D17:D22" xr:uid="{00000000-0002-0000-0F00-000004000000}">
      <formula1>0</formula1>
      <formula2>1</formula2>
    </dataValidation>
  </dataValidations>
  <pageMargins left="0.511811024" right="0.511811024" top="0.78740157499999996" bottom="0.78740157499999996" header="0.31496062000000002" footer="0.31496062000000002"/>
  <pageSetup paperSize="9" scale="8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1"/>
  <dimension ref="A1:Q94"/>
  <sheetViews>
    <sheetView view="pageBreakPreview" zoomScaleNormal="100" zoomScaleSheetLayoutView="100" workbookViewId="0">
      <selection activeCell="J81" sqref="J81"/>
    </sheetView>
  </sheetViews>
  <sheetFormatPr baseColWidth="10" defaultColWidth="8.83203125" defaultRowHeight="15"/>
  <cols>
    <col min="2" max="2" width="33.83203125" customWidth="1"/>
    <col min="3" max="3" width="10.6640625" customWidth="1"/>
    <col min="4" max="5" width="15.6640625" customWidth="1"/>
    <col min="10" max="10" width="18.83203125" customWidth="1"/>
  </cols>
  <sheetData>
    <row r="1" spans="1:17" ht="112.5" customHeight="1">
      <c r="A1" s="19"/>
      <c r="B1" s="1080"/>
      <c r="C1" s="1081"/>
      <c r="D1" s="1081"/>
      <c r="E1" s="1081"/>
      <c r="F1" s="1081"/>
      <c r="G1" s="1081"/>
      <c r="H1" s="1082"/>
    </row>
    <row r="2" spans="1:17" ht="19.5" customHeight="1">
      <c r="A2" s="19"/>
      <c r="B2" s="1097" t="s">
        <v>28042</v>
      </c>
      <c r="C2" s="1098"/>
      <c r="D2" s="1098"/>
      <c r="E2" s="1098"/>
      <c r="F2" s="1098"/>
      <c r="G2" s="1098"/>
      <c r="H2" s="1099"/>
    </row>
    <row r="3" spans="1:17" ht="13.5" customHeight="1" thickBot="1">
      <c r="A3" s="19"/>
      <c r="B3" s="45"/>
      <c r="C3" s="19"/>
      <c r="D3" s="19"/>
      <c r="E3" s="19"/>
      <c r="F3" s="19"/>
      <c r="G3" s="19"/>
      <c r="H3" s="46"/>
    </row>
    <row r="4" spans="1:17" ht="13.5" customHeight="1">
      <c r="A4" s="19"/>
      <c r="B4" s="20" t="s">
        <v>27896</v>
      </c>
      <c r="C4" s="1129" t="str">
        <f>J4</f>
        <v>DELEGACIA SECCIONAL DE POLÍCIA DE JALES</v>
      </c>
      <c r="D4" s="1130"/>
      <c r="E4" s="1130"/>
      <c r="F4" s="1130"/>
      <c r="G4" s="1130"/>
      <c r="H4" s="1131"/>
      <c r="J4" t="str">
        <f t="array" ref="J4:Q4">CONCATENATE('Plan Orçamentária'!P3:T3)</f>
        <v>DELEGACIA SECCIONAL DE POLÍCIA DE JALES</v>
      </c>
      <c r="K4" t="str">
        <v/>
      </c>
      <c r="L4" t="str">
        <v/>
      </c>
      <c r="M4" t="str">
        <v/>
      </c>
      <c r="N4" t="str">
        <v/>
      </c>
      <c r="O4" t="e">
        <v>#N/A</v>
      </c>
      <c r="P4" t="e">
        <v>#N/A</v>
      </c>
      <c r="Q4" t="e">
        <v>#N/A</v>
      </c>
    </row>
    <row r="5" spans="1:17" ht="9" customHeight="1">
      <c r="A5" s="19"/>
      <c r="B5" s="1103" t="s">
        <v>27923</v>
      </c>
      <c r="C5" s="1105" t="str">
        <f>J5</f>
        <v>ADEQUAÇÃO E AMPLIAÇÃO DE IMÓVEL PARA A INSTALAÇÃO DA DELEGACIA DE DEFESA DA MULHER</v>
      </c>
      <c r="D5" s="1132"/>
      <c r="E5" s="1132"/>
      <c r="F5" s="1132"/>
      <c r="G5" s="1132"/>
      <c r="H5" s="1107"/>
      <c r="J5" t="str">
        <f t="array" ref="J5:Q5">CONCATENATE('Plan Orçamentária'!P4:T4)</f>
        <v>ADEQUAÇÃO E AMPLIAÇÃO DE IMÓVEL PARA A INSTALAÇÃO DA DELEGACIA DE DEFESA DA MULHER</v>
      </c>
      <c r="K5" t="str">
        <v/>
      </c>
      <c r="L5" t="str">
        <v/>
      </c>
      <c r="M5" t="str">
        <v/>
      </c>
      <c r="N5" t="str">
        <v/>
      </c>
      <c r="O5" t="e">
        <v>#N/A</v>
      </c>
      <c r="P5" t="e">
        <v>#N/A</v>
      </c>
      <c r="Q5" t="e">
        <v>#N/A</v>
      </c>
    </row>
    <row r="6" spans="1:17">
      <c r="A6" s="19"/>
      <c r="B6" s="1104"/>
      <c r="C6" s="1108"/>
      <c r="D6" s="1109"/>
      <c r="E6" s="1109"/>
      <c r="F6" s="1109"/>
      <c r="G6" s="1109"/>
      <c r="H6" s="1110"/>
      <c r="J6" t="str">
        <f t="array" ref="J6:Q6">CONCATENATE('Plan Orçamentária'!P5:T5)</f>
        <v>RUA TRÊS, S/Nº, CENTRO - JALES/SP</v>
      </c>
      <c r="K6" t="str">
        <v/>
      </c>
      <c r="L6" t="str">
        <v/>
      </c>
      <c r="M6" t="str">
        <v/>
      </c>
      <c r="N6" t="str">
        <v/>
      </c>
      <c r="O6" t="e">
        <v>#N/A</v>
      </c>
      <c r="P6" t="e">
        <v>#N/A</v>
      </c>
      <c r="Q6" t="e">
        <v>#N/A</v>
      </c>
    </row>
    <row r="7" spans="1:17" ht="28.5" customHeight="1" thickBot="1">
      <c r="A7" s="19"/>
      <c r="B7" s="21" t="s">
        <v>27924</v>
      </c>
      <c r="C7" s="1133" t="str">
        <f>J6</f>
        <v>RUA TRÊS, S/Nº, CENTRO - JALES/SP</v>
      </c>
      <c r="D7" s="1134"/>
      <c r="E7" s="1134"/>
      <c r="F7" s="1134"/>
      <c r="G7" s="1134"/>
      <c r="H7" s="1135"/>
    </row>
    <row r="8" spans="1:17" ht="12.75" customHeight="1" thickBot="1">
      <c r="A8" s="19"/>
      <c r="B8" s="45"/>
      <c r="C8" s="19"/>
      <c r="D8" s="19"/>
      <c r="E8" s="19"/>
      <c r="F8" s="19"/>
      <c r="G8" s="19"/>
      <c r="H8" s="46"/>
    </row>
    <row r="9" spans="1:17" ht="12.75" customHeight="1">
      <c r="A9" s="19"/>
      <c r="B9" s="1114" t="s">
        <v>27925</v>
      </c>
      <c r="C9" s="1115"/>
      <c r="D9" s="1115"/>
      <c r="E9" s="1115"/>
      <c r="F9" s="1115"/>
      <c r="G9" s="1115"/>
      <c r="H9" s="1116"/>
    </row>
    <row r="10" spans="1:17" ht="12.75" customHeight="1" thickBot="1">
      <c r="A10" s="19"/>
      <c r="B10" s="1117" t="s">
        <v>27926</v>
      </c>
      <c r="C10" s="1118"/>
      <c r="D10" s="1118"/>
      <c r="E10" s="1118"/>
      <c r="F10" s="1118"/>
      <c r="G10" s="1118"/>
      <c r="H10" s="1119"/>
    </row>
    <row r="11" spans="1:17" ht="12.75" customHeight="1" thickBot="1">
      <c r="A11" s="19"/>
      <c r="B11" s="45"/>
      <c r="C11" s="19"/>
      <c r="D11" s="19"/>
      <c r="E11" s="19"/>
      <c r="F11" s="19"/>
      <c r="G11" s="19"/>
      <c r="H11" s="46"/>
    </row>
    <row r="12" spans="1:17" ht="25" customHeight="1">
      <c r="A12" s="19"/>
      <c r="B12" s="1120" t="s">
        <v>27927</v>
      </c>
      <c r="C12" s="1121"/>
      <c r="D12" s="1121"/>
      <c r="E12" s="1121"/>
      <c r="F12" s="1122"/>
      <c r="G12" s="1123">
        <v>1</v>
      </c>
      <c r="H12" s="1124"/>
    </row>
    <row r="13" spans="1:17" ht="13.5" customHeight="1" thickBot="1">
      <c r="A13" s="19"/>
      <c r="B13" s="1125" t="s">
        <v>27928</v>
      </c>
      <c r="C13" s="1126"/>
      <c r="D13" s="1126"/>
      <c r="E13" s="1126"/>
      <c r="F13" s="1126"/>
      <c r="G13" s="1127">
        <v>0.03</v>
      </c>
      <c r="H13" s="1128"/>
    </row>
    <row r="14" spans="1:17" ht="12.75" customHeight="1">
      <c r="A14" s="19"/>
      <c r="B14" s="45"/>
      <c r="C14" s="19"/>
      <c r="D14" s="19"/>
      <c r="E14" s="19"/>
      <c r="F14" s="19"/>
      <c r="G14" s="19"/>
      <c r="H14" s="46"/>
    </row>
    <row r="15" spans="1:17" ht="13.5" customHeight="1" thickBot="1">
      <c r="A15" s="19"/>
      <c r="B15" s="45"/>
      <c r="C15" s="19"/>
      <c r="D15" s="19"/>
      <c r="E15" s="19"/>
      <c r="F15" s="19"/>
      <c r="G15" s="19"/>
      <c r="H15" s="46"/>
    </row>
    <row r="16" spans="1:17" ht="38.25" customHeight="1">
      <c r="A16" s="19"/>
      <c r="B16" s="22" t="s">
        <v>27929</v>
      </c>
      <c r="C16" s="23" t="s">
        <v>27930</v>
      </c>
      <c r="D16" s="24" t="s">
        <v>27931</v>
      </c>
      <c r="E16" s="24" t="s">
        <v>27932</v>
      </c>
      <c r="F16" s="23" t="s">
        <v>27933</v>
      </c>
      <c r="G16" s="23" t="s">
        <v>27934</v>
      </c>
      <c r="H16" s="47" t="s">
        <v>27935</v>
      </c>
    </row>
    <row r="17" spans="1:8">
      <c r="A17" s="19"/>
      <c r="B17" s="25" t="s">
        <v>27936</v>
      </c>
      <c r="C17" s="26" t="s">
        <v>27937</v>
      </c>
      <c r="D17" s="670">
        <v>1.4999999999999999E-2</v>
      </c>
      <c r="E17" s="27" t="s">
        <v>27938</v>
      </c>
      <c r="F17" s="183">
        <v>1.4999999999999999E-2</v>
      </c>
      <c r="G17" s="183">
        <v>3.4500000000000003E-2</v>
      </c>
      <c r="H17" s="28">
        <v>4.4900000000000002E-2</v>
      </c>
    </row>
    <row r="18" spans="1:8" ht="12.75" customHeight="1">
      <c r="A18" s="19"/>
      <c r="B18" s="25" t="s">
        <v>27939</v>
      </c>
      <c r="C18" s="26" t="s">
        <v>27940</v>
      </c>
      <c r="D18" s="670">
        <v>3.0000000000000001E-3</v>
      </c>
      <c r="E18" s="27" t="s">
        <v>27938</v>
      </c>
      <c r="F18" s="183">
        <v>3.0000000000000001E-3</v>
      </c>
      <c r="G18" s="183">
        <v>4.7999999999999996E-3</v>
      </c>
      <c r="H18" s="28">
        <v>8.199999999999999E-3</v>
      </c>
    </row>
    <row r="19" spans="1:8" ht="12.75" customHeight="1">
      <c r="A19" s="19"/>
      <c r="B19" s="25" t="s">
        <v>27941</v>
      </c>
      <c r="C19" s="26" t="s">
        <v>27942</v>
      </c>
      <c r="D19" s="670">
        <v>5.5999999999999999E-3</v>
      </c>
      <c r="E19" s="27" t="s">
        <v>27938</v>
      </c>
      <c r="F19" s="183">
        <v>5.6000000000000008E-3</v>
      </c>
      <c r="G19" s="183">
        <v>8.5000000000000006E-3</v>
      </c>
      <c r="H19" s="28">
        <v>8.8999999999999999E-3</v>
      </c>
    </row>
    <row r="20" spans="1:8" ht="12.75" customHeight="1">
      <c r="A20" s="19"/>
      <c r="B20" s="25" t="s">
        <v>27943</v>
      </c>
      <c r="C20" s="26" t="s">
        <v>27944</v>
      </c>
      <c r="D20" s="670">
        <v>8.5000000000000006E-3</v>
      </c>
      <c r="E20" s="27" t="s">
        <v>27938</v>
      </c>
      <c r="F20" s="183">
        <v>8.5000000000000006E-3</v>
      </c>
      <c r="G20" s="183">
        <v>8.5000000000000006E-3</v>
      </c>
      <c r="H20" s="28">
        <v>1.11E-2</v>
      </c>
    </row>
    <row r="21" spans="1:8" ht="12.75" customHeight="1">
      <c r="A21" s="19"/>
      <c r="B21" s="25" t="s">
        <v>27945</v>
      </c>
      <c r="C21" s="26" t="s">
        <v>153</v>
      </c>
      <c r="D21" s="670">
        <v>3.5000000000000003E-2</v>
      </c>
      <c r="E21" s="27" t="s">
        <v>27938</v>
      </c>
      <c r="F21" s="183">
        <v>3.5000000000000003E-2</v>
      </c>
      <c r="G21" s="183">
        <v>5.1100000000000007E-2</v>
      </c>
      <c r="H21" s="28">
        <v>6.2199999999999998E-2</v>
      </c>
    </row>
    <row r="22" spans="1:8" ht="30" customHeight="1">
      <c r="A22" s="19"/>
      <c r="B22" s="29" t="s">
        <v>27946</v>
      </c>
      <c r="C22" s="26" t="s">
        <v>27947</v>
      </c>
      <c r="D22" s="77">
        <v>3.6499999999999998E-2</v>
      </c>
      <c r="E22" s="27" t="str">
        <f>IF(AND(D22&gt;=F22, D22&lt;=H22), "OK", "Não OK")</f>
        <v>OK</v>
      </c>
      <c r="F22" s="30">
        <v>3.6499999999999998E-2</v>
      </c>
      <c r="G22" s="30">
        <v>3.6499999999999998E-2</v>
      </c>
      <c r="H22" s="31">
        <v>3.6499999999999998E-2</v>
      </c>
    </row>
    <row r="23" spans="1:8" ht="30" customHeight="1">
      <c r="A23" s="19"/>
      <c r="B23" s="29" t="s">
        <v>27948</v>
      </c>
      <c r="C23" s="26" t="s">
        <v>27949</v>
      </c>
      <c r="D23" s="77">
        <f>G12*G13</f>
        <v>0.03</v>
      </c>
      <c r="E23" s="27" t="str">
        <f>IF(AND(D23&gt;=F23, D23&lt;=H23), "OK", "Não OK")</f>
        <v>OK</v>
      </c>
      <c r="F23" s="30">
        <v>0</v>
      </c>
      <c r="G23" s="30">
        <v>2.5000000000000001E-2</v>
      </c>
      <c r="H23" s="31">
        <v>0.05</v>
      </c>
    </row>
    <row r="24" spans="1:8" ht="39.75" customHeight="1">
      <c r="A24" s="19"/>
      <c r="B24" s="32" t="s">
        <v>27950</v>
      </c>
      <c r="C24" s="26" t="s">
        <v>27951</v>
      </c>
      <c r="D24" s="77">
        <v>0</v>
      </c>
      <c r="E24" s="27" t="str">
        <f>IF(AND(D24&gt;=F24, D24&lt;=H24), "OK", "Não OK")</f>
        <v>OK</v>
      </c>
      <c r="F24" s="33">
        <v>0</v>
      </c>
      <c r="G24" s="33">
        <v>4.4999999999999998E-2</v>
      </c>
      <c r="H24" s="34">
        <v>4.4999999999999998E-2</v>
      </c>
    </row>
    <row r="25" spans="1:8" ht="30" customHeight="1" thickBot="1">
      <c r="A25" s="19"/>
      <c r="B25" s="35" t="s">
        <v>27952</v>
      </c>
      <c r="C25" s="184" t="s">
        <v>27953</v>
      </c>
      <c r="D25" s="183">
        <f>ROUND((((1+D17+D18+D19)*(1+D20)*(1+D21)/(1-(D22+D23)))-1),4)</f>
        <v>0.14449999999999999</v>
      </c>
      <c r="E25" s="185" t="str">
        <f>IF(AND(D25&gt;=F25, D25&lt;=H25), "OK", "Não OK")</f>
        <v>OK</v>
      </c>
      <c r="F25" s="183">
        <v>0.111</v>
      </c>
      <c r="G25" s="183">
        <v>0.14019999999999999</v>
      </c>
      <c r="H25" s="28">
        <v>0.16800000000000001</v>
      </c>
    </row>
    <row r="26" spans="1:8" ht="30" customHeight="1" thickBot="1">
      <c r="A26" s="19"/>
      <c r="B26" s="36" t="s">
        <v>41779</v>
      </c>
      <c r="C26" s="37" t="s">
        <v>27954</v>
      </c>
      <c r="D26" s="38">
        <f>ROUND((((1+D17+D18+D19)*(1+D20)*(1+D21)/(1-(D22+D23+D24)))-1),4)</f>
        <v>0.14449999999999999</v>
      </c>
      <c r="E26" s="39" t="str">
        <f>IF(COUNTIF($E$17:$E$25,"NÃO OK")&gt;0,"NÃO OK","OK")</f>
        <v>OK</v>
      </c>
      <c r="F26" s="40"/>
      <c r="G26" s="40"/>
      <c r="H26" s="41"/>
    </row>
    <row r="27" spans="1:8" ht="12.75" customHeight="1">
      <c r="A27" s="19"/>
      <c r="B27" s="45"/>
      <c r="C27" s="19"/>
      <c r="D27" s="19"/>
      <c r="E27" s="19"/>
      <c r="F27" s="19"/>
      <c r="G27" s="19"/>
      <c r="H27" s="46"/>
    </row>
    <row r="28" spans="1:8" ht="57.75" customHeight="1">
      <c r="A28" s="19"/>
      <c r="B28" s="1094" t="s">
        <v>27955</v>
      </c>
      <c r="C28" s="1095"/>
      <c r="D28" s="1095"/>
      <c r="E28" s="1095"/>
      <c r="F28" s="1095"/>
      <c r="G28" s="1095"/>
      <c r="H28" s="1096"/>
    </row>
    <row r="29" spans="1:8" ht="20" customHeight="1">
      <c r="A29" s="19"/>
      <c r="B29" s="48"/>
      <c r="C29" s="105"/>
      <c r="D29" s="105"/>
      <c r="E29" s="105"/>
      <c r="F29" s="105"/>
      <c r="G29" s="105"/>
      <c r="H29" s="49"/>
    </row>
    <row r="30" spans="1:8" ht="48.75" customHeight="1">
      <c r="A30" s="19"/>
      <c r="B30" s="1083" t="str">
        <f>CONCATENATE("Declaro para os devidos fins que, conforme legislação tributária municipal, a base de cálculo para ",B10,", é de ",G12*100,"%, conforme a Lei Complementar 39/2017 com a respectiva alíquota de ",G13*100,"%.")</f>
        <v>Declaro para os devidos fins que, conforme legislação tributária municipal, a base de cálculo para Construção e Reforma de Edifícios, é de 100%, conforme a Lei Complementar 39/2017 com a respectiva alíquota de 3%.</v>
      </c>
      <c r="C30" s="1084"/>
      <c r="D30" s="1084"/>
      <c r="E30" s="1084"/>
      <c r="F30" s="1084"/>
      <c r="G30" s="1084"/>
      <c r="H30" s="1085"/>
    </row>
    <row r="31" spans="1:8">
      <c r="A31" s="19"/>
      <c r="B31" s="45"/>
      <c r="C31" s="19"/>
      <c r="D31" s="19"/>
      <c r="E31" s="19"/>
      <c r="F31" s="19"/>
      <c r="G31" s="19"/>
      <c r="H31" s="46"/>
    </row>
    <row r="32" spans="1:8" hidden="1">
      <c r="A32" s="19"/>
      <c r="B32" s="45"/>
      <c r="C32" s="19"/>
      <c r="D32" s="19"/>
      <c r="E32" s="19"/>
      <c r="F32" s="50" t="s">
        <v>27956</v>
      </c>
      <c r="G32" s="50" t="s">
        <v>27957</v>
      </c>
      <c r="H32" s="51" t="s">
        <v>27958</v>
      </c>
    </row>
    <row r="33" spans="1:8" hidden="1">
      <c r="A33" s="19"/>
      <c r="B33" s="45" t="s">
        <v>27926</v>
      </c>
      <c r="C33" s="42" t="s">
        <v>27937</v>
      </c>
      <c r="D33" s="19" t="str">
        <f t="shared" ref="D33:D74" si="0">CONCATENATE(B33,"-",C33)</f>
        <v>Construção e Reforma de Edifícios-AC</v>
      </c>
      <c r="E33" s="19"/>
      <c r="F33" s="43">
        <v>0.03</v>
      </c>
      <c r="G33" s="43">
        <v>0.04</v>
      </c>
      <c r="H33" s="52">
        <v>5.5E-2</v>
      </c>
    </row>
    <row r="34" spans="1:8" hidden="1">
      <c r="A34" s="19"/>
      <c r="B34" s="45" t="str">
        <f>B33</f>
        <v>Construção e Reforma de Edifícios</v>
      </c>
      <c r="C34" s="42" t="s">
        <v>27940</v>
      </c>
      <c r="D34" s="19" t="str">
        <f t="shared" si="0"/>
        <v>Construção e Reforma de Edifícios-SG</v>
      </c>
      <c r="E34" s="19"/>
      <c r="F34" s="43">
        <v>8.0000000000000002E-3</v>
      </c>
      <c r="G34" s="43">
        <v>8.0000000000000002E-3</v>
      </c>
      <c r="H34" s="52">
        <v>0.01</v>
      </c>
    </row>
    <row r="35" spans="1:8" hidden="1">
      <c r="A35" s="19"/>
      <c r="B35" s="45" t="str">
        <f>B34</f>
        <v>Construção e Reforma de Edifícios</v>
      </c>
      <c r="C35" s="42" t="s">
        <v>27942</v>
      </c>
      <c r="D35" s="19" t="str">
        <f t="shared" si="0"/>
        <v>Construção e Reforma de Edifícios-R</v>
      </c>
      <c r="E35" s="19"/>
      <c r="F35" s="43">
        <v>9.7000000000000003E-3</v>
      </c>
      <c r="G35" s="43">
        <v>1.2699999999999999E-2</v>
      </c>
      <c r="H35" s="52">
        <v>1.2699999999999999E-2</v>
      </c>
    </row>
    <row r="36" spans="1:8" hidden="1">
      <c r="A36" s="19"/>
      <c r="B36" s="45" t="str">
        <f>B35</f>
        <v>Construção e Reforma de Edifícios</v>
      </c>
      <c r="C36" s="42" t="s">
        <v>27944</v>
      </c>
      <c r="D36" s="19" t="str">
        <f t="shared" si="0"/>
        <v>Construção e Reforma de Edifícios-DF</v>
      </c>
      <c r="E36" s="19"/>
      <c r="F36" s="43">
        <v>5.8999999999999999E-3</v>
      </c>
      <c r="G36" s="43">
        <v>1.23E-2</v>
      </c>
      <c r="H36" s="52">
        <v>1.3899999999999999E-2</v>
      </c>
    </row>
    <row r="37" spans="1:8" hidden="1">
      <c r="A37" s="19"/>
      <c r="B37" s="45" t="str">
        <f>B36</f>
        <v>Construção e Reforma de Edifícios</v>
      </c>
      <c r="C37" s="42" t="s">
        <v>153</v>
      </c>
      <c r="D37" s="19" t="str">
        <f t="shared" si="0"/>
        <v>Construção e Reforma de Edifícios-L</v>
      </c>
      <c r="E37" s="19"/>
      <c r="F37" s="43">
        <v>6.1600000000000002E-2</v>
      </c>
      <c r="G37" s="43">
        <v>7.400000000000001E-2</v>
      </c>
      <c r="H37" s="52">
        <v>8.9600000000000013E-2</v>
      </c>
    </row>
    <row r="38" spans="1:8" hidden="1">
      <c r="A38" s="19"/>
      <c r="B38" s="45" t="str">
        <f>B37</f>
        <v>Construção e Reforma de Edifícios</v>
      </c>
      <c r="C38" s="44" t="s">
        <v>27953</v>
      </c>
      <c r="D38" s="19" t="str">
        <f t="shared" si="0"/>
        <v>Construção e Reforma de Edifícios-BDI PAD</v>
      </c>
      <c r="E38" s="19"/>
      <c r="F38" s="43">
        <v>0.2034</v>
      </c>
      <c r="G38" s="43">
        <v>0.22120000000000001</v>
      </c>
      <c r="H38" s="52">
        <v>0.25</v>
      </c>
    </row>
    <row r="39" spans="1:8" hidden="1">
      <c r="A39" s="19"/>
      <c r="B39" s="45" t="s">
        <v>27959</v>
      </c>
      <c r="C39" s="42" t="s">
        <v>27937</v>
      </c>
      <c r="D39" s="19" t="str">
        <f t="shared" si="0"/>
        <v>Construção de Praças Urbanas, Rodovias, Ferrovias e recapeamento e pavimentação de vias urbanas-AC</v>
      </c>
      <c r="E39" s="19"/>
      <c r="F39" s="43">
        <v>3.7999999999999999E-2</v>
      </c>
      <c r="G39" s="43">
        <v>4.0099999999999997E-2</v>
      </c>
      <c r="H39" s="52">
        <v>4.6699999999999998E-2</v>
      </c>
    </row>
    <row r="40" spans="1:8" hidden="1">
      <c r="A40" s="19"/>
      <c r="B40" s="45" t="s">
        <v>27959</v>
      </c>
      <c r="C40" s="42" t="s">
        <v>27940</v>
      </c>
      <c r="D40" s="19" t="str">
        <f t="shared" si="0"/>
        <v>Construção de Praças Urbanas, Rodovias, Ferrovias e recapeamento e pavimentação de vias urbanas-SG</v>
      </c>
      <c r="E40" s="19"/>
      <c r="F40" s="43">
        <v>3.2000000000000002E-3</v>
      </c>
      <c r="G40" s="43">
        <v>4.0000000000000001E-3</v>
      </c>
      <c r="H40" s="52">
        <v>7.4000000000000003E-3</v>
      </c>
    </row>
    <row r="41" spans="1:8" hidden="1">
      <c r="A41" s="19"/>
      <c r="B41" s="45" t="s">
        <v>27959</v>
      </c>
      <c r="C41" s="42" t="s">
        <v>27942</v>
      </c>
      <c r="D41" s="19" t="str">
        <f t="shared" si="0"/>
        <v>Construção de Praças Urbanas, Rodovias, Ferrovias e recapeamento e pavimentação de vias urbanas-R</v>
      </c>
      <c r="E41" s="19"/>
      <c r="F41" s="43">
        <v>5.0000000000000001E-3</v>
      </c>
      <c r="G41" s="43">
        <v>5.6000000000000008E-3</v>
      </c>
      <c r="H41" s="52">
        <v>9.7000000000000003E-3</v>
      </c>
    </row>
    <row r="42" spans="1:8" hidden="1">
      <c r="A42" s="19"/>
      <c r="B42" s="45" t="s">
        <v>27959</v>
      </c>
      <c r="C42" s="42" t="s">
        <v>27944</v>
      </c>
      <c r="D42" s="19" t="str">
        <f t="shared" si="0"/>
        <v>Construção de Praças Urbanas, Rodovias, Ferrovias e recapeamento e pavimentação de vias urbanas-DF</v>
      </c>
      <c r="E42" s="19"/>
      <c r="F42" s="43">
        <v>1.0200000000000001E-2</v>
      </c>
      <c r="G42" s="43">
        <v>1.11E-2</v>
      </c>
      <c r="H42" s="52">
        <v>1.21E-2</v>
      </c>
    </row>
    <row r="43" spans="1:8" hidden="1">
      <c r="A43" s="19"/>
      <c r="B43" s="45" t="s">
        <v>27959</v>
      </c>
      <c r="C43" s="42" t="s">
        <v>153</v>
      </c>
      <c r="D43" s="19" t="str">
        <f t="shared" si="0"/>
        <v>Construção de Praças Urbanas, Rodovias, Ferrovias e recapeamento e pavimentação de vias urbanas-L</v>
      </c>
      <c r="E43" s="19"/>
      <c r="F43" s="43">
        <v>6.6400000000000001E-2</v>
      </c>
      <c r="G43" s="43">
        <v>7.2999999999999995E-2</v>
      </c>
      <c r="H43" s="52">
        <v>8.6899999999999991E-2</v>
      </c>
    </row>
    <row r="44" spans="1:8" hidden="1">
      <c r="A44" s="19"/>
      <c r="B44" s="45" t="s">
        <v>27959</v>
      </c>
      <c r="C44" s="44" t="s">
        <v>27953</v>
      </c>
      <c r="D44" s="19" t="str">
        <f t="shared" si="0"/>
        <v>Construção de Praças Urbanas, Rodovias, Ferrovias e recapeamento e pavimentação de vias urbanas-BDI PAD</v>
      </c>
      <c r="E44" s="19"/>
      <c r="F44" s="43">
        <v>0.19600000000000001</v>
      </c>
      <c r="G44" s="43">
        <v>0.2097</v>
      </c>
      <c r="H44" s="52">
        <v>0.24230000000000002</v>
      </c>
    </row>
    <row r="45" spans="1:8" hidden="1">
      <c r="A45" s="19"/>
      <c r="B45" s="45" t="s">
        <v>27960</v>
      </c>
      <c r="C45" s="42" t="s">
        <v>27937</v>
      </c>
      <c r="D45" s="19" t="str">
        <f t="shared" si="0"/>
        <v>Construção de Redes de Abastecimento de Água, Coleta de Esgoto-AC</v>
      </c>
      <c r="E45" s="19"/>
      <c r="F45" s="43">
        <v>3.4300000000000004E-2</v>
      </c>
      <c r="G45" s="43">
        <v>4.9299999999999997E-2</v>
      </c>
      <c r="H45" s="52">
        <v>6.7099999999999993E-2</v>
      </c>
    </row>
    <row r="46" spans="1:8" hidden="1">
      <c r="A46" s="19"/>
      <c r="B46" s="45" t="str">
        <f>B45</f>
        <v>Construção de Redes de Abastecimento de Água, Coleta de Esgoto</v>
      </c>
      <c r="C46" s="42" t="s">
        <v>27940</v>
      </c>
      <c r="D46" s="19" t="str">
        <f t="shared" si="0"/>
        <v>Construção de Redes de Abastecimento de Água, Coleta de Esgoto-SG</v>
      </c>
      <c r="E46" s="19"/>
      <c r="F46" s="43">
        <v>2.8000000000000004E-3</v>
      </c>
      <c r="G46" s="43">
        <v>4.8999999999999998E-3</v>
      </c>
      <c r="H46" s="52">
        <v>7.4999999999999997E-3</v>
      </c>
    </row>
    <row r="47" spans="1:8" hidden="1">
      <c r="A47" s="19"/>
      <c r="B47" s="45" t="str">
        <f>B46</f>
        <v>Construção de Redes de Abastecimento de Água, Coleta de Esgoto</v>
      </c>
      <c r="C47" s="42" t="s">
        <v>27942</v>
      </c>
      <c r="D47" s="19" t="str">
        <f t="shared" si="0"/>
        <v>Construção de Redes de Abastecimento de Água, Coleta de Esgoto-R</v>
      </c>
      <c r="E47" s="19"/>
      <c r="F47" s="43">
        <v>0.01</v>
      </c>
      <c r="G47" s="43">
        <v>1.3899999999999999E-2</v>
      </c>
      <c r="H47" s="52">
        <v>1.7399999999999999E-2</v>
      </c>
    </row>
    <row r="48" spans="1:8" hidden="1">
      <c r="A48" s="19"/>
      <c r="B48" s="45" t="str">
        <f>B47</f>
        <v>Construção de Redes de Abastecimento de Água, Coleta de Esgoto</v>
      </c>
      <c r="C48" s="42" t="s">
        <v>27944</v>
      </c>
      <c r="D48" s="19" t="str">
        <f t="shared" si="0"/>
        <v>Construção de Redes de Abastecimento de Água, Coleta de Esgoto-DF</v>
      </c>
      <c r="E48" s="19"/>
      <c r="F48" s="43">
        <v>9.3999999999999986E-3</v>
      </c>
      <c r="G48" s="43">
        <v>9.8999999999999991E-3</v>
      </c>
      <c r="H48" s="52">
        <v>1.1699999999999999E-2</v>
      </c>
    </row>
    <row r="49" spans="1:8" hidden="1">
      <c r="A49" s="19"/>
      <c r="B49" s="45" t="str">
        <f>B48</f>
        <v>Construção de Redes de Abastecimento de Água, Coleta de Esgoto</v>
      </c>
      <c r="C49" s="42" t="s">
        <v>153</v>
      </c>
      <c r="D49" s="19" t="str">
        <f t="shared" si="0"/>
        <v>Construção de Redes de Abastecimento de Água, Coleta de Esgoto-L</v>
      </c>
      <c r="E49" s="19"/>
      <c r="F49" s="43">
        <v>6.7400000000000002E-2</v>
      </c>
      <c r="G49" s="43">
        <v>8.0399999999999985E-2</v>
      </c>
      <c r="H49" s="52">
        <v>9.4E-2</v>
      </c>
    </row>
    <row r="50" spans="1:8" hidden="1">
      <c r="A50" s="19"/>
      <c r="B50" s="45" t="str">
        <f>B49</f>
        <v>Construção de Redes de Abastecimento de Água, Coleta de Esgoto</v>
      </c>
      <c r="C50" s="44" t="s">
        <v>27953</v>
      </c>
      <c r="D50" s="19" t="str">
        <f t="shared" si="0"/>
        <v>Construção de Redes de Abastecimento de Água, Coleta de Esgoto-BDI PAD</v>
      </c>
      <c r="E50" s="19"/>
      <c r="F50" s="43">
        <v>0.20760000000000001</v>
      </c>
      <c r="G50" s="43">
        <v>0.24179999999999999</v>
      </c>
      <c r="H50" s="52">
        <v>0.26440000000000002</v>
      </c>
    </row>
    <row r="51" spans="1:8" hidden="1">
      <c r="A51" s="19"/>
      <c r="B51" s="45" t="s">
        <v>27961</v>
      </c>
      <c r="C51" s="42" t="s">
        <v>27937</v>
      </c>
      <c r="D51" s="19" t="str">
        <f t="shared" si="0"/>
        <v>Construção e Manutenção de Estações e Redes de Distribuição de Energia Elétrica-AC</v>
      </c>
      <c r="E51" s="19"/>
      <c r="F51" s="43">
        <v>5.2900000000000003E-2</v>
      </c>
      <c r="G51" s="43">
        <v>5.9200000000000003E-2</v>
      </c>
      <c r="H51" s="52">
        <v>7.9299999999999995E-2</v>
      </c>
    </row>
    <row r="52" spans="1:8" hidden="1">
      <c r="A52" s="19"/>
      <c r="B52" s="45" t="str">
        <f>B51</f>
        <v>Construção e Manutenção de Estações e Redes de Distribuição de Energia Elétrica</v>
      </c>
      <c r="C52" s="42" t="s">
        <v>27940</v>
      </c>
      <c r="D52" s="19" t="str">
        <f t="shared" si="0"/>
        <v>Construção e Manutenção de Estações e Redes de Distribuição de Energia Elétrica-SG</v>
      </c>
      <c r="E52" s="19"/>
      <c r="F52" s="43">
        <v>2.5000000000000001E-3</v>
      </c>
      <c r="G52" s="43">
        <v>5.1000000000000004E-3</v>
      </c>
      <c r="H52" s="52">
        <v>5.6000000000000008E-3</v>
      </c>
    </row>
    <row r="53" spans="1:8" hidden="1">
      <c r="A53" s="19"/>
      <c r="B53" s="45" t="str">
        <f>B52</f>
        <v>Construção e Manutenção de Estações e Redes de Distribuição de Energia Elétrica</v>
      </c>
      <c r="C53" s="42" t="s">
        <v>27942</v>
      </c>
      <c r="D53" s="19" t="str">
        <f t="shared" si="0"/>
        <v>Construção e Manutenção de Estações e Redes de Distribuição de Energia Elétrica-R</v>
      </c>
      <c r="E53" s="19"/>
      <c r="F53" s="43">
        <v>0.01</v>
      </c>
      <c r="G53" s="43">
        <v>1.4800000000000001E-2</v>
      </c>
      <c r="H53" s="52">
        <v>1.9699999999999999E-2</v>
      </c>
    </row>
    <row r="54" spans="1:8" hidden="1">
      <c r="A54" s="19"/>
      <c r="B54" s="45" t="str">
        <f>B53</f>
        <v>Construção e Manutenção de Estações e Redes de Distribuição de Energia Elétrica</v>
      </c>
      <c r="C54" s="42" t="s">
        <v>27944</v>
      </c>
      <c r="D54" s="19" t="str">
        <f t="shared" si="0"/>
        <v>Construção e Manutenção de Estações e Redes de Distribuição de Energia Elétrica-DF</v>
      </c>
      <c r="E54" s="19"/>
      <c r="F54" s="43">
        <v>1.01E-2</v>
      </c>
      <c r="G54" s="43">
        <v>1.0700000000000001E-2</v>
      </c>
      <c r="H54" s="52">
        <v>1.11E-2</v>
      </c>
    </row>
    <row r="55" spans="1:8" hidden="1">
      <c r="A55" s="19"/>
      <c r="B55" s="45" t="str">
        <f>B54</f>
        <v>Construção e Manutenção de Estações e Redes de Distribuição de Energia Elétrica</v>
      </c>
      <c r="C55" s="42" t="s">
        <v>153</v>
      </c>
      <c r="D55" s="19" t="str">
        <f t="shared" si="0"/>
        <v>Construção e Manutenção de Estações e Redes de Distribuição de Energia Elétrica-L</v>
      </c>
      <c r="E55" s="19"/>
      <c r="F55" s="43">
        <v>0.08</v>
      </c>
      <c r="G55" s="43">
        <v>8.3100000000000007E-2</v>
      </c>
      <c r="H55" s="52">
        <v>9.5100000000000004E-2</v>
      </c>
    </row>
    <row r="56" spans="1:8" hidden="1">
      <c r="A56" s="19"/>
      <c r="B56" s="45" t="str">
        <f>B55</f>
        <v>Construção e Manutenção de Estações e Redes de Distribuição de Energia Elétrica</v>
      </c>
      <c r="C56" s="44" t="s">
        <v>27953</v>
      </c>
      <c r="D56" s="19" t="str">
        <f t="shared" si="0"/>
        <v>Construção e Manutenção de Estações e Redes de Distribuição de Energia Elétrica-BDI PAD</v>
      </c>
      <c r="E56" s="19"/>
      <c r="F56" s="43">
        <v>0.24</v>
      </c>
      <c r="G56" s="43">
        <v>0.25840000000000002</v>
      </c>
      <c r="H56" s="52">
        <v>0.27860000000000001</v>
      </c>
    </row>
    <row r="57" spans="1:8" hidden="1">
      <c r="A57" s="19"/>
      <c r="B57" s="45" t="s">
        <v>27962</v>
      </c>
      <c r="C57" s="42" t="s">
        <v>27937</v>
      </c>
      <c r="D57" s="19" t="str">
        <f t="shared" si="0"/>
        <v>Obras Portuárias, Marítimas e Fluviais-AC</v>
      </c>
      <c r="E57" s="19"/>
      <c r="F57" s="43">
        <v>0.04</v>
      </c>
      <c r="G57" s="43">
        <v>5.5199999999999999E-2</v>
      </c>
      <c r="H57" s="52">
        <v>7.85E-2</v>
      </c>
    </row>
    <row r="58" spans="1:8" hidden="1">
      <c r="A58" s="19"/>
      <c r="B58" s="45" t="str">
        <f>B57</f>
        <v>Obras Portuárias, Marítimas e Fluviais</v>
      </c>
      <c r="C58" s="42" t="s">
        <v>27940</v>
      </c>
      <c r="D58" s="19" t="str">
        <f t="shared" si="0"/>
        <v>Obras Portuárias, Marítimas e Fluviais-SG</v>
      </c>
      <c r="E58" s="19"/>
      <c r="F58" s="43">
        <v>8.1000000000000013E-3</v>
      </c>
      <c r="G58" s="43">
        <v>1.2199999999999999E-2</v>
      </c>
      <c r="H58" s="52">
        <v>1.9900000000000001E-2</v>
      </c>
    </row>
    <row r="59" spans="1:8" hidden="1">
      <c r="A59" s="19"/>
      <c r="B59" s="45" t="str">
        <f>B58</f>
        <v>Obras Portuárias, Marítimas e Fluviais</v>
      </c>
      <c r="C59" s="42" t="s">
        <v>27942</v>
      </c>
      <c r="D59" s="19" t="str">
        <f t="shared" si="0"/>
        <v>Obras Portuárias, Marítimas e Fluviais-R</v>
      </c>
      <c r="E59" s="19"/>
      <c r="F59" s="43">
        <v>1.46E-2</v>
      </c>
      <c r="G59" s="43">
        <v>2.3199999999999998E-2</v>
      </c>
      <c r="H59" s="52">
        <v>3.1600000000000003E-2</v>
      </c>
    </row>
    <row r="60" spans="1:8" hidden="1">
      <c r="A60" s="19"/>
      <c r="B60" s="45" t="str">
        <f>B59</f>
        <v>Obras Portuárias, Marítimas e Fluviais</v>
      </c>
      <c r="C60" s="42" t="s">
        <v>27944</v>
      </c>
      <c r="D60" s="19" t="str">
        <f t="shared" si="0"/>
        <v>Obras Portuárias, Marítimas e Fluviais-DF</v>
      </c>
      <c r="E60" s="19"/>
      <c r="F60" s="43">
        <v>9.3999999999999986E-3</v>
      </c>
      <c r="G60" s="43">
        <v>1.0200000000000001E-2</v>
      </c>
      <c r="H60" s="52">
        <v>1.3300000000000001E-2</v>
      </c>
    </row>
    <row r="61" spans="1:8" hidden="1">
      <c r="A61" s="19"/>
      <c r="B61" s="45" t="str">
        <f>B60</f>
        <v>Obras Portuárias, Marítimas e Fluviais</v>
      </c>
      <c r="C61" s="42" t="s">
        <v>153</v>
      </c>
      <c r="D61" s="19" t="str">
        <f t="shared" si="0"/>
        <v>Obras Portuárias, Marítimas e Fluviais-L</v>
      </c>
      <c r="E61" s="19"/>
      <c r="F61" s="43">
        <v>7.1399999999999991E-2</v>
      </c>
      <c r="G61" s="43">
        <v>8.4000000000000005E-2</v>
      </c>
      <c r="H61" s="52">
        <v>0.1043</v>
      </c>
    </row>
    <row r="62" spans="1:8" hidden="1">
      <c r="A62" s="19"/>
      <c r="B62" s="45" t="str">
        <f>B61</f>
        <v>Obras Portuárias, Marítimas e Fluviais</v>
      </c>
      <c r="C62" s="44" t="s">
        <v>27953</v>
      </c>
      <c r="D62" s="19" t="str">
        <f t="shared" si="0"/>
        <v>Obras Portuárias, Marítimas e Fluviais-BDI PAD</v>
      </c>
      <c r="E62" s="19"/>
      <c r="F62" s="43">
        <v>0.22800000000000001</v>
      </c>
      <c r="G62" s="43">
        <v>0.27479999999999999</v>
      </c>
      <c r="H62" s="52">
        <v>0.3095</v>
      </c>
    </row>
    <row r="63" spans="1:8" hidden="1">
      <c r="A63" s="19"/>
      <c r="B63" s="45" t="s">
        <v>27963</v>
      </c>
      <c r="C63" s="42" t="s">
        <v>27937</v>
      </c>
      <c r="D63" s="19" t="str">
        <f t="shared" si="0"/>
        <v>Fornecimento de Materiais e Equipamentos-AC</v>
      </c>
      <c r="E63" s="19"/>
      <c r="F63" s="43">
        <v>1.4999999999999999E-2</v>
      </c>
      <c r="G63" s="43">
        <v>3.4500000000000003E-2</v>
      </c>
      <c r="H63" s="52">
        <v>4.4900000000000002E-2</v>
      </c>
    </row>
    <row r="64" spans="1:8" hidden="1">
      <c r="A64" s="19"/>
      <c r="B64" s="45" t="str">
        <f>B63</f>
        <v>Fornecimento de Materiais e Equipamentos</v>
      </c>
      <c r="C64" s="42" t="s">
        <v>27940</v>
      </c>
      <c r="D64" s="19" t="str">
        <f t="shared" si="0"/>
        <v>Fornecimento de Materiais e Equipamentos-SG</v>
      </c>
      <c r="E64" s="19"/>
      <c r="F64" s="43">
        <v>3.0000000000000001E-3</v>
      </c>
      <c r="G64" s="43">
        <v>4.7999999999999996E-3</v>
      </c>
      <c r="H64" s="52">
        <v>8.199999999999999E-3</v>
      </c>
    </row>
    <row r="65" spans="1:8" hidden="1">
      <c r="A65" s="19" t="s">
        <v>27898</v>
      </c>
      <c r="B65" s="45" t="str">
        <f>B64</f>
        <v>Fornecimento de Materiais e Equipamentos</v>
      </c>
      <c r="C65" s="42" t="s">
        <v>27942</v>
      </c>
      <c r="D65" s="19" t="str">
        <f t="shared" si="0"/>
        <v>Fornecimento de Materiais e Equipamentos-R</v>
      </c>
      <c r="E65" s="19"/>
      <c r="F65" s="43">
        <v>5.6000000000000008E-3</v>
      </c>
      <c r="G65" s="43">
        <v>8.5000000000000006E-3</v>
      </c>
      <c r="H65" s="52">
        <v>8.8999999999999999E-3</v>
      </c>
    </row>
    <row r="66" spans="1:8" hidden="1">
      <c r="A66" s="19"/>
      <c r="B66" s="45" t="str">
        <f>B65</f>
        <v>Fornecimento de Materiais e Equipamentos</v>
      </c>
      <c r="C66" s="42" t="s">
        <v>27944</v>
      </c>
      <c r="D66" s="19" t="str">
        <f t="shared" si="0"/>
        <v>Fornecimento de Materiais e Equipamentos-DF</v>
      </c>
      <c r="E66" s="19"/>
      <c r="F66" s="43">
        <v>8.5000000000000006E-3</v>
      </c>
      <c r="G66" s="43">
        <v>8.5000000000000006E-3</v>
      </c>
      <c r="H66" s="52">
        <v>1.11E-2</v>
      </c>
    </row>
    <row r="67" spans="1:8" hidden="1">
      <c r="A67" s="19"/>
      <c r="B67" s="45" t="str">
        <f>B66</f>
        <v>Fornecimento de Materiais e Equipamentos</v>
      </c>
      <c r="C67" s="42" t="s">
        <v>153</v>
      </c>
      <c r="D67" s="19" t="str">
        <f t="shared" si="0"/>
        <v>Fornecimento de Materiais e Equipamentos-L</v>
      </c>
      <c r="E67" s="19"/>
      <c r="F67" s="43">
        <v>3.5000000000000003E-2</v>
      </c>
      <c r="G67" s="43">
        <v>5.1100000000000007E-2</v>
      </c>
      <c r="H67" s="52">
        <v>6.2199999999999998E-2</v>
      </c>
    </row>
    <row r="68" spans="1:8" hidden="1">
      <c r="A68" s="19"/>
      <c r="B68" s="45" t="str">
        <f>B67</f>
        <v>Fornecimento de Materiais e Equipamentos</v>
      </c>
      <c r="C68" s="44" t="s">
        <v>27953</v>
      </c>
      <c r="D68" s="19" t="str">
        <f t="shared" si="0"/>
        <v>Fornecimento de Materiais e Equipamentos-BDI PAD</v>
      </c>
      <c r="E68" s="19"/>
      <c r="F68" s="43">
        <v>0.111</v>
      </c>
      <c r="G68" s="43">
        <v>0.14019999999999999</v>
      </c>
      <c r="H68" s="52">
        <v>0.16800000000000001</v>
      </c>
    </row>
    <row r="69" spans="1:8" hidden="1">
      <c r="A69" s="19"/>
      <c r="B69" s="45" t="s">
        <v>27964</v>
      </c>
      <c r="C69" s="42" t="s">
        <v>27937</v>
      </c>
      <c r="D69" s="19" t="str">
        <f t="shared" si="0"/>
        <v>Estudos e Projetos, Planos e Gerenciamento e outros correlatos-AC</v>
      </c>
      <c r="E69" s="19"/>
      <c r="F69" s="43">
        <v>0</v>
      </c>
      <c r="G69" s="43" t="s">
        <v>27938</v>
      </c>
      <c r="H69" s="52" t="s">
        <v>27938</v>
      </c>
    </row>
    <row r="70" spans="1:8" hidden="1">
      <c r="A70" s="19"/>
      <c r="B70" s="45" t="str">
        <f>B69</f>
        <v>Estudos e Projetos, Planos e Gerenciamento e outros correlatos</v>
      </c>
      <c r="C70" s="42" t="s">
        <v>27940</v>
      </c>
      <c r="D70" s="19" t="str">
        <f t="shared" si="0"/>
        <v>Estudos e Projetos, Planos e Gerenciamento e outros correlatos-SG</v>
      </c>
      <c r="E70" s="19"/>
      <c r="F70" s="43">
        <v>0</v>
      </c>
      <c r="G70" s="43" t="s">
        <v>27938</v>
      </c>
      <c r="H70" s="52" t="s">
        <v>27938</v>
      </c>
    </row>
    <row r="71" spans="1:8" hidden="1">
      <c r="A71" s="19"/>
      <c r="B71" s="45" t="str">
        <f>B70</f>
        <v>Estudos e Projetos, Planos e Gerenciamento e outros correlatos</v>
      </c>
      <c r="C71" s="42" t="s">
        <v>27942</v>
      </c>
      <c r="D71" s="19" t="str">
        <f t="shared" si="0"/>
        <v>Estudos e Projetos, Planos e Gerenciamento e outros correlatos-R</v>
      </c>
      <c r="E71" s="19"/>
      <c r="F71" s="43">
        <v>0</v>
      </c>
      <c r="G71" s="43" t="s">
        <v>27938</v>
      </c>
      <c r="H71" s="52" t="s">
        <v>27938</v>
      </c>
    </row>
    <row r="72" spans="1:8" hidden="1">
      <c r="A72" s="19"/>
      <c r="B72" s="45" t="str">
        <f>B71</f>
        <v>Estudos e Projetos, Planos e Gerenciamento e outros correlatos</v>
      </c>
      <c r="C72" s="42" t="s">
        <v>27944</v>
      </c>
      <c r="D72" s="19" t="str">
        <f t="shared" si="0"/>
        <v>Estudos e Projetos, Planos e Gerenciamento e outros correlatos-DF</v>
      </c>
      <c r="E72" s="19"/>
      <c r="F72" s="43">
        <v>0</v>
      </c>
      <c r="G72" s="43" t="s">
        <v>27938</v>
      </c>
      <c r="H72" s="52" t="s">
        <v>27938</v>
      </c>
    </row>
    <row r="73" spans="1:8" hidden="1">
      <c r="A73" s="19"/>
      <c r="B73" s="45" t="str">
        <f>B72</f>
        <v>Estudos e Projetos, Planos e Gerenciamento e outros correlatos</v>
      </c>
      <c r="C73" s="42" t="s">
        <v>153</v>
      </c>
      <c r="D73" s="19" t="str">
        <f t="shared" si="0"/>
        <v>Estudos e Projetos, Planos e Gerenciamento e outros correlatos-L</v>
      </c>
      <c r="E73" s="19"/>
      <c r="F73" s="43">
        <v>0</v>
      </c>
      <c r="G73" s="43" t="s">
        <v>27938</v>
      </c>
      <c r="H73" s="52" t="s">
        <v>27938</v>
      </c>
    </row>
    <row r="74" spans="1:8" hidden="1">
      <c r="A74" s="19"/>
      <c r="B74" s="45" t="str">
        <f>B73</f>
        <v>Estudos e Projetos, Planos e Gerenciamento e outros correlatos</v>
      </c>
      <c r="C74" s="44" t="s">
        <v>27953</v>
      </c>
      <c r="D74" s="19" t="str">
        <f t="shared" si="0"/>
        <v>Estudos e Projetos, Planos e Gerenciamento e outros correlatos-BDI PAD</v>
      </c>
      <c r="E74" s="19"/>
      <c r="F74" s="43">
        <v>0.2</v>
      </c>
      <c r="G74" s="43">
        <v>0.25</v>
      </c>
      <c r="H74" s="52">
        <v>0.3</v>
      </c>
    </row>
    <row r="75" spans="1:8" hidden="1">
      <c r="A75" s="19"/>
      <c r="B75" s="45"/>
      <c r="C75" s="19"/>
      <c r="D75" s="19"/>
      <c r="E75" s="19"/>
      <c r="F75" s="19"/>
      <c r="G75" s="19"/>
      <c r="H75" s="46"/>
    </row>
    <row r="76" spans="1:8" hidden="1">
      <c r="A76" s="19"/>
      <c r="B76" s="45"/>
      <c r="C76" s="19"/>
      <c r="D76" s="19"/>
      <c r="E76" s="19"/>
      <c r="F76" s="19"/>
      <c r="G76" s="19"/>
      <c r="H76" s="46"/>
    </row>
    <row r="77" spans="1:8" hidden="1">
      <c r="A77" s="19"/>
      <c r="B77" s="45" t="s">
        <v>27926</v>
      </c>
      <c r="C77" s="19"/>
      <c r="D77" s="19"/>
      <c r="E77" s="19"/>
      <c r="F77" s="19"/>
      <c r="G77" s="19"/>
      <c r="H77" s="46"/>
    </row>
    <row r="78" spans="1:8" hidden="1">
      <c r="A78" s="19"/>
      <c r="B78" s="45" t="s">
        <v>27959</v>
      </c>
      <c r="C78" s="19"/>
      <c r="D78" s="19"/>
      <c r="E78" s="19"/>
      <c r="F78" s="19"/>
      <c r="G78" s="19"/>
      <c r="H78" s="46"/>
    </row>
    <row r="79" spans="1:8" hidden="1">
      <c r="A79" s="19"/>
      <c r="B79" s="45" t="s">
        <v>27960</v>
      </c>
      <c r="C79" s="19"/>
      <c r="D79" s="19"/>
      <c r="E79" s="19"/>
      <c r="F79" s="19"/>
      <c r="G79" s="19"/>
      <c r="H79" s="46"/>
    </row>
    <row r="80" spans="1:8" hidden="1">
      <c r="A80" s="19"/>
      <c r="B80" s="45" t="s">
        <v>27961</v>
      </c>
      <c r="C80" s="19"/>
      <c r="D80" s="19"/>
      <c r="E80" s="19"/>
      <c r="F80" s="19"/>
      <c r="G80" s="19"/>
      <c r="H80" s="46"/>
    </row>
    <row r="81" spans="1:13" hidden="1">
      <c r="A81" s="19"/>
      <c r="B81" s="45" t="s">
        <v>27962</v>
      </c>
      <c r="C81" s="19"/>
      <c r="D81" s="19"/>
      <c r="E81" s="19"/>
      <c r="F81" s="19"/>
      <c r="G81" s="19"/>
      <c r="H81" s="46"/>
    </row>
    <row r="82" spans="1:13" hidden="1">
      <c r="A82" s="19"/>
      <c r="B82" s="45" t="s">
        <v>27963</v>
      </c>
      <c r="C82" s="19"/>
      <c r="D82" s="19"/>
      <c r="E82" s="19"/>
      <c r="F82" s="19"/>
      <c r="G82" s="19"/>
      <c r="H82" s="46"/>
    </row>
    <row r="83" spans="1:13" hidden="1">
      <c r="A83" s="19"/>
      <c r="B83" s="45" t="s">
        <v>27964</v>
      </c>
      <c r="C83" s="19"/>
      <c r="D83" s="19"/>
      <c r="E83" s="19"/>
      <c r="F83" s="19"/>
      <c r="G83" s="19"/>
      <c r="H83" s="46"/>
    </row>
    <row r="84" spans="1:13" ht="12.75" customHeight="1">
      <c r="A84" s="19"/>
      <c r="B84" s="45"/>
      <c r="C84" s="19"/>
      <c r="D84" s="19"/>
      <c r="E84" s="19"/>
      <c r="F84" s="19"/>
      <c r="G84" s="19"/>
      <c r="H84" s="46"/>
    </row>
    <row r="85" spans="1:13" ht="12.75" customHeight="1">
      <c r="A85" s="19"/>
      <c r="B85" s="45"/>
      <c r="C85" s="19"/>
      <c r="D85" s="186"/>
      <c r="E85" s="187"/>
      <c r="F85" s="187"/>
      <c r="G85" s="187"/>
      <c r="H85" s="188" t="str">
        <f>'Plan Orçamentária'!Y533</f>
        <v>JALES-SP, 08 DE JUNHO DE 2025</v>
      </c>
    </row>
    <row r="86" spans="1:13" ht="12.75" customHeight="1">
      <c r="A86" s="19"/>
      <c r="B86" s="45"/>
      <c r="C86" s="19"/>
      <c r="D86" s="1086" t="s">
        <v>27965</v>
      </c>
      <c r="E86" s="1086"/>
      <c r="F86" s="1086"/>
      <c r="G86" s="1086"/>
      <c r="H86" s="1087"/>
    </row>
    <row r="87" spans="1:13" ht="12.75" customHeight="1">
      <c r="A87" s="19"/>
      <c r="B87" s="45"/>
      <c r="C87" s="19"/>
      <c r="D87" s="19"/>
      <c r="E87" s="19"/>
      <c r="F87" s="19"/>
      <c r="G87" s="19"/>
      <c r="H87" s="46"/>
    </row>
    <row r="88" spans="1:13" ht="12.75" customHeight="1">
      <c r="A88" s="19"/>
      <c r="B88" s="45"/>
      <c r="C88" s="19"/>
      <c r="D88" s="19"/>
      <c r="E88" s="19"/>
      <c r="F88" s="19"/>
      <c r="G88" s="19"/>
      <c r="H88" s="46"/>
    </row>
    <row r="89" spans="1:13" ht="12.75" customHeight="1">
      <c r="A89" s="19"/>
      <c r="B89" s="45"/>
      <c r="C89" s="19"/>
      <c r="D89" s="19"/>
      <c r="E89" s="19"/>
      <c r="F89" s="19"/>
      <c r="G89" s="19"/>
      <c r="H89" s="46"/>
    </row>
    <row r="90" spans="1:13" ht="12.75" customHeight="1">
      <c r="A90" s="19"/>
      <c r="B90" s="1088" t="s">
        <v>27909</v>
      </c>
      <c r="C90" s="1089"/>
      <c r="D90" s="1089"/>
      <c r="E90" s="1089"/>
      <c r="F90" s="1089"/>
      <c r="G90" s="1089"/>
      <c r="H90" s="1090"/>
    </row>
    <row r="91" spans="1:13" ht="12.75" customHeight="1">
      <c r="A91" s="19"/>
      <c r="B91" s="1091" t="s">
        <v>27891</v>
      </c>
      <c r="C91" s="1092"/>
      <c r="D91" s="1092"/>
      <c r="E91" s="1092"/>
      <c r="F91" s="1092"/>
      <c r="G91" s="1092"/>
      <c r="H91" s="1093"/>
    </row>
    <row r="92" spans="1:13" ht="12.75" customHeight="1">
      <c r="A92" s="19"/>
      <c r="B92" s="1088" t="str">
        <f>'Plan Orçamentária'!O541</f>
        <v>JOEL RODRIGO CARDOZO</v>
      </c>
      <c r="C92" s="1089"/>
      <c r="D92" s="1089"/>
      <c r="E92" s="1089"/>
      <c r="F92" s="1089"/>
      <c r="G92" s="1089"/>
      <c r="H92" s="1090"/>
    </row>
    <row r="93" spans="1:13" ht="16" thickBot="1">
      <c r="A93" s="19"/>
      <c r="B93" s="951" t="str">
        <f>'Plan Orçamentária'!O542</f>
        <v>CREA 506.404.151-8</v>
      </c>
      <c r="C93" s="952"/>
      <c r="D93" s="952"/>
      <c r="E93" s="952"/>
      <c r="F93" s="952"/>
      <c r="G93" s="952"/>
      <c r="H93" s="953"/>
      <c r="I93" s="53"/>
      <c r="J93" s="53"/>
      <c r="K93" s="53"/>
      <c r="L93" s="53"/>
      <c r="M93" s="53"/>
    </row>
    <row r="94" spans="1:13" ht="12.75" customHeight="1">
      <c r="A94" s="19"/>
      <c r="B94" s="19"/>
      <c r="C94" s="19"/>
      <c r="D94" s="19"/>
      <c r="E94" s="19"/>
      <c r="F94" s="19"/>
      <c r="G94" s="19"/>
      <c r="H94" s="19"/>
    </row>
  </sheetData>
  <mergeCells count="19">
    <mergeCell ref="B5:B6"/>
    <mergeCell ref="C5:H6"/>
    <mergeCell ref="C7:H7"/>
    <mergeCell ref="B1:H1"/>
    <mergeCell ref="B93:H93"/>
    <mergeCell ref="B10:H10"/>
    <mergeCell ref="B12:F12"/>
    <mergeCell ref="G12:H12"/>
    <mergeCell ref="B13:F13"/>
    <mergeCell ref="G13:H13"/>
    <mergeCell ref="B28:H28"/>
    <mergeCell ref="B30:H30"/>
    <mergeCell ref="D86:H86"/>
    <mergeCell ref="B90:H90"/>
    <mergeCell ref="B91:H91"/>
    <mergeCell ref="B92:H92"/>
    <mergeCell ref="B9:H9"/>
    <mergeCell ref="B2:H2"/>
    <mergeCell ref="C4:H4"/>
  </mergeCells>
  <conditionalFormatting sqref="D26">
    <cfRule type="expression" dxfId="212" priority="1" stopIfTrue="1">
      <formula>$E$26="NÃO OK"</formula>
    </cfRule>
  </conditionalFormatting>
  <conditionalFormatting sqref="E17:E26">
    <cfRule type="cellIs" dxfId="211" priority="2" stopIfTrue="1" operator="equal">
      <formula>"NÃO OK"</formula>
    </cfRule>
    <cfRule type="cellIs" dxfId="210" priority="3" stopIfTrue="1" operator="equal">
      <formula>"OK"</formula>
    </cfRule>
  </conditionalFormatting>
  <dataValidations count="5">
    <dataValidation type="decimal" allowBlank="1" showInputMessage="1" showErrorMessage="1" errorTitle="Erro de valores" error="Digite um valor entre 0% e 100%" sqref="D24 D17:D22" xr:uid="{00000000-0002-0000-1000-000000000000}">
      <formula1>0</formula1>
      <formula2>1</formula2>
    </dataValidation>
    <dataValidation type="decimal" operator="greaterThanOrEqual" allowBlank="1" showInputMessage="1" showErrorMessage="1" errorTitle="Valor não permitido" error="Digite um percentual entre 0% e 100%." sqref="G13:H13" xr:uid="{00000000-0002-0000-1000-000001000000}">
      <formula1>0</formula1>
    </dataValidation>
    <dataValidation type="decimal" allowBlank="1" showInputMessage="1" showErrorMessage="1" errorTitle="Valor não permitido" error="Digite um percentual entre 0% e 100%." sqref="G12:H12" xr:uid="{00000000-0002-0000-1000-000002000000}">
      <formula1>0</formula1>
      <formula2>1</formula2>
    </dataValidation>
    <dataValidation type="list" allowBlank="1" showInputMessage="1" showErrorMessage="1" sqref="B10:H10" xr:uid="{00000000-0002-0000-1000-000003000000}">
      <formula1>$B$77:$B$83</formula1>
    </dataValidation>
    <dataValidation type="decimal" allowBlank="1" showInputMessage="1" showErrorMessage="1" errorTitle="Erro de valores" error="Digite um valor maior do que 0." sqref="D23" xr:uid="{00000000-0002-0000-1000-000004000000}">
      <formula1>0</formula1>
      <formula2>1</formula2>
    </dataValidation>
  </dataValidations>
  <pageMargins left="0.511811024" right="0.511811024" top="0.78740157499999996" bottom="0.78740157499999996" header="0.31496062000000002" footer="0.31496062000000002"/>
  <pageSetup paperSize="9" scale="82"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0">
    <pageSetUpPr fitToPage="1"/>
  </sheetPr>
  <dimension ref="B1:E106"/>
  <sheetViews>
    <sheetView showGridLines="0" view="pageBreakPreview" zoomScaleNormal="100" zoomScaleSheetLayoutView="100" workbookViewId="0">
      <selection activeCell="B23" sqref="B23:E23"/>
    </sheetView>
  </sheetViews>
  <sheetFormatPr baseColWidth="10" defaultColWidth="8.83203125" defaultRowHeight="15"/>
  <cols>
    <col min="2" max="2" width="22.5" customWidth="1"/>
    <col min="3" max="3" width="43.1640625" customWidth="1"/>
    <col min="4" max="5" width="20" customWidth="1"/>
  </cols>
  <sheetData>
    <row r="1" spans="2:5" ht="16" thickBot="1"/>
    <row r="2" spans="2:5">
      <c r="B2" s="1150"/>
      <c r="C2" s="1151"/>
      <c r="D2" s="1151"/>
      <c r="E2" s="1152"/>
    </row>
    <row r="3" spans="2:5">
      <c r="B3" s="1153"/>
      <c r="C3" s="1154"/>
      <c r="D3" s="1154"/>
      <c r="E3" s="1155"/>
    </row>
    <row r="4" spans="2:5">
      <c r="B4" s="1153"/>
      <c r="C4" s="1154"/>
      <c r="D4" s="1154"/>
      <c r="E4" s="1155"/>
    </row>
    <row r="5" spans="2:5">
      <c r="B5" s="1153"/>
      <c r="C5" s="1154"/>
      <c r="D5" s="1154"/>
      <c r="E5" s="1155"/>
    </row>
    <row r="6" spans="2:5">
      <c r="B6" s="1153"/>
      <c r="C6" s="1154"/>
      <c r="D6" s="1154"/>
      <c r="E6" s="1155"/>
    </row>
    <row r="7" spans="2:5">
      <c r="B7" s="1153"/>
      <c r="C7" s="1154"/>
      <c r="D7" s="1154"/>
      <c r="E7" s="1155"/>
    </row>
    <row r="8" spans="2:5" ht="16" thickBot="1">
      <c r="B8" s="1153"/>
      <c r="C8" s="1154"/>
      <c r="D8" s="1154"/>
      <c r="E8" s="1155"/>
    </row>
    <row r="9" spans="2:5">
      <c r="B9" s="1156" t="s">
        <v>32816</v>
      </c>
      <c r="C9" s="1157"/>
      <c r="D9" s="1157"/>
      <c r="E9" s="1158"/>
    </row>
    <row r="10" spans="2:5">
      <c r="B10" s="58"/>
      <c r="C10" s="85"/>
      <c r="E10" s="18"/>
    </row>
    <row r="11" spans="2:5" ht="18" thickBot="1">
      <c r="B11" s="1147" t="s">
        <v>40119</v>
      </c>
      <c r="C11" s="1148"/>
      <c r="D11" s="1148"/>
      <c r="E11" s="1149"/>
    </row>
    <row r="12" spans="2:5" ht="16" thickBot="1">
      <c r="B12" s="403"/>
      <c r="C12" s="404"/>
      <c r="D12" s="405" t="s">
        <v>27966</v>
      </c>
      <c r="E12" s="405" t="s">
        <v>29542</v>
      </c>
    </row>
    <row r="13" spans="2:5">
      <c r="B13" s="101" t="s">
        <v>27967</v>
      </c>
      <c r="C13" s="401" t="s">
        <v>27968</v>
      </c>
      <c r="D13" s="102">
        <v>0.2</v>
      </c>
      <c r="E13" s="102">
        <v>0.2</v>
      </c>
    </row>
    <row r="14" spans="2:5">
      <c r="B14" s="101" t="s">
        <v>27969</v>
      </c>
      <c r="C14" s="401" t="s">
        <v>27970</v>
      </c>
      <c r="D14" s="102">
        <v>1.4999999999999999E-2</v>
      </c>
      <c r="E14" s="102">
        <v>1.4999999999999999E-2</v>
      </c>
    </row>
    <row r="15" spans="2:5">
      <c r="B15" s="101" t="s">
        <v>27971</v>
      </c>
      <c r="C15" s="401" t="s">
        <v>27972</v>
      </c>
      <c r="D15" s="102">
        <v>0.01</v>
      </c>
      <c r="E15" s="102">
        <v>0.01</v>
      </c>
    </row>
    <row r="16" spans="2:5">
      <c r="B16" s="101" t="s">
        <v>27973</v>
      </c>
      <c r="C16" s="401" t="s">
        <v>27974</v>
      </c>
      <c r="D16" s="102">
        <v>2E-3</v>
      </c>
      <c r="E16" s="102">
        <v>2E-3</v>
      </c>
    </row>
    <row r="17" spans="2:5" ht="15" customHeight="1">
      <c r="B17" s="101" t="s">
        <v>27975</v>
      </c>
      <c r="C17" s="401" t="s">
        <v>27976</v>
      </c>
      <c r="D17" s="102">
        <v>6.0000000000000001E-3</v>
      </c>
      <c r="E17" s="102">
        <v>6.0000000000000001E-3</v>
      </c>
    </row>
    <row r="18" spans="2:5" ht="14.25" customHeight="1">
      <c r="B18" s="101" t="s">
        <v>27977</v>
      </c>
      <c r="C18" s="401" t="s">
        <v>27978</v>
      </c>
      <c r="D18" s="102">
        <v>2.5000000000000001E-2</v>
      </c>
      <c r="E18" s="102">
        <v>2.5000000000000001E-2</v>
      </c>
    </row>
    <row r="19" spans="2:5">
      <c r="B19" s="101" t="s">
        <v>27979</v>
      </c>
      <c r="C19" s="401" t="s">
        <v>27980</v>
      </c>
      <c r="D19" s="102">
        <v>0.03</v>
      </c>
      <c r="E19" s="102">
        <v>0.03</v>
      </c>
    </row>
    <row r="20" spans="2:5" ht="17.25" customHeight="1">
      <c r="B20" s="101" t="s">
        <v>27981</v>
      </c>
      <c r="C20" s="401" t="s">
        <v>27982</v>
      </c>
      <c r="D20" s="102">
        <v>0.08</v>
      </c>
      <c r="E20" s="102">
        <v>0.08</v>
      </c>
    </row>
    <row r="21" spans="2:5">
      <c r="B21" s="101" t="s">
        <v>27983</v>
      </c>
      <c r="C21" s="401" t="s">
        <v>27984</v>
      </c>
      <c r="D21" s="102">
        <v>0.01</v>
      </c>
      <c r="E21" s="102">
        <v>0.01</v>
      </c>
    </row>
    <row r="22" spans="2:5" ht="16" thickBot="1">
      <c r="B22" s="103" t="s">
        <v>27985</v>
      </c>
      <c r="C22" s="92" t="s">
        <v>27986</v>
      </c>
      <c r="D22" s="398">
        <f>SUM(D13:D21)</f>
        <v>0.37800000000000006</v>
      </c>
      <c r="E22" s="398">
        <f>SUM(E13:E21)</f>
        <v>0.37800000000000006</v>
      </c>
    </row>
    <row r="23" spans="2:5" ht="16" thickBot="1">
      <c r="B23" s="1142"/>
      <c r="C23" s="1143"/>
      <c r="D23" s="1143"/>
      <c r="E23" s="1144"/>
    </row>
    <row r="24" spans="2:5">
      <c r="B24" s="101" t="s">
        <v>27987</v>
      </c>
      <c r="C24" s="402" t="s">
        <v>27988</v>
      </c>
      <c r="D24" s="102">
        <v>0.1797</v>
      </c>
      <c r="E24" s="102">
        <v>0</v>
      </c>
    </row>
    <row r="25" spans="2:5">
      <c r="B25" s="101" t="s">
        <v>27989</v>
      </c>
      <c r="C25" s="401" t="s">
        <v>27990</v>
      </c>
      <c r="D25" s="102">
        <v>4.6899999999999997E-2</v>
      </c>
      <c r="E25" s="102">
        <v>0</v>
      </c>
    </row>
    <row r="26" spans="2:5">
      <c r="B26" s="101" t="s">
        <v>27991</v>
      </c>
      <c r="C26" s="401" t="s">
        <v>27992</v>
      </c>
      <c r="D26" s="102">
        <v>8.6E-3</v>
      </c>
      <c r="E26" s="102">
        <v>6.4999999999999997E-3</v>
      </c>
    </row>
    <row r="27" spans="2:5">
      <c r="B27" s="101" t="s">
        <v>27993</v>
      </c>
      <c r="C27" s="401" t="s">
        <v>27994</v>
      </c>
      <c r="D27" s="102">
        <v>0.11020000000000001</v>
      </c>
      <c r="E27" s="102">
        <v>8.3299999999999999E-2</v>
      </c>
    </row>
    <row r="28" spans="2:5">
      <c r="B28" s="101" t="s">
        <v>27995</v>
      </c>
      <c r="C28" s="401" t="s">
        <v>27996</v>
      </c>
      <c r="D28" s="102">
        <v>6.9999999999999999E-4</v>
      </c>
      <c r="E28" s="102">
        <v>5.0000000000000001E-4</v>
      </c>
    </row>
    <row r="29" spans="2:5">
      <c r="B29" s="101" t="s">
        <v>27997</v>
      </c>
      <c r="C29" s="401" t="s">
        <v>27998</v>
      </c>
      <c r="D29" s="102">
        <v>7.3000000000000001E-3</v>
      </c>
      <c r="E29" s="102">
        <v>5.5999999999999999E-3</v>
      </c>
    </row>
    <row r="30" spans="2:5">
      <c r="B30" s="101" t="s">
        <v>27999</v>
      </c>
      <c r="C30" s="401" t="s">
        <v>28000</v>
      </c>
      <c r="D30" s="102">
        <v>1.34E-2</v>
      </c>
      <c r="E30" s="102">
        <v>0</v>
      </c>
    </row>
    <row r="31" spans="2:5">
      <c r="B31" s="101" t="s">
        <v>28001</v>
      </c>
      <c r="C31" s="401" t="s">
        <v>28002</v>
      </c>
      <c r="D31" s="102">
        <v>1E-3</v>
      </c>
      <c r="E31" s="102">
        <v>6.9999999999999999E-4</v>
      </c>
    </row>
    <row r="32" spans="2:5">
      <c r="B32" s="101" t="s">
        <v>28003</v>
      </c>
      <c r="C32" s="401" t="s">
        <v>28004</v>
      </c>
      <c r="D32" s="102">
        <v>0.11219999999999999</v>
      </c>
      <c r="E32" s="102">
        <v>8.48E-2</v>
      </c>
    </row>
    <row r="33" spans="2:5">
      <c r="B33" s="101" t="s">
        <v>28005</v>
      </c>
      <c r="C33" s="401" t="s">
        <v>28006</v>
      </c>
      <c r="D33" s="102">
        <v>2.9999999999999997E-4</v>
      </c>
      <c r="E33" s="102">
        <v>2.9999999999999997E-4</v>
      </c>
    </row>
    <row r="34" spans="2:5" ht="16" thickBot="1">
      <c r="B34" s="103" t="s">
        <v>28007</v>
      </c>
      <c r="C34" s="92" t="s">
        <v>28008</v>
      </c>
      <c r="D34" s="398">
        <f>SUM(D24:D33)</f>
        <v>0.4803</v>
      </c>
      <c r="E34" s="398">
        <f>SUM(E24:E33)</f>
        <v>0.1817</v>
      </c>
    </row>
    <row r="35" spans="2:5" ht="16" thickBot="1">
      <c r="B35" s="1142"/>
      <c r="C35" s="1143"/>
      <c r="D35" s="1143"/>
      <c r="E35" s="1144"/>
    </row>
    <row r="36" spans="2:5">
      <c r="B36" s="101" t="s">
        <v>28009</v>
      </c>
      <c r="C36" s="401" t="s">
        <v>28010</v>
      </c>
      <c r="D36" s="102">
        <v>4.8099999999999997E-2</v>
      </c>
      <c r="E36" s="102">
        <v>3.6400000000000002E-2</v>
      </c>
    </row>
    <row r="37" spans="2:5">
      <c r="B37" s="101" t="s">
        <v>28011</v>
      </c>
      <c r="C37" s="401" t="s">
        <v>28012</v>
      </c>
      <c r="D37" s="102">
        <v>1.1000000000000001E-3</v>
      </c>
      <c r="E37" s="102">
        <v>8.9999999999999998E-4</v>
      </c>
    </row>
    <row r="38" spans="2:5">
      <c r="B38" s="101" t="s">
        <v>7000</v>
      </c>
      <c r="C38" s="401" t="s">
        <v>28013</v>
      </c>
      <c r="D38" s="102">
        <v>2.98E-2</v>
      </c>
      <c r="E38" s="102">
        <v>2.2499999999999999E-2</v>
      </c>
    </row>
    <row r="39" spans="2:5">
      <c r="B39" s="101" t="s">
        <v>28014</v>
      </c>
      <c r="C39" s="401" t="s">
        <v>28015</v>
      </c>
      <c r="D39" s="102">
        <v>2.75E-2</v>
      </c>
      <c r="E39" s="102">
        <v>2.0799999999999999E-2</v>
      </c>
    </row>
    <row r="40" spans="2:5">
      <c r="B40" s="101" t="s">
        <v>28016</v>
      </c>
      <c r="C40" s="401" t="s">
        <v>28017</v>
      </c>
      <c r="D40" s="102">
        <v>4.1000000000000003E-3</v>
      </c>
      <c r="E40" s="102">
        <v>3.0999999999999999E-3</v>
      </c>
    </row>
    <row r="41" spans="2:5" ht="27" thickBot="1">
      <c r="B41" s="103" t="s">
        <v>28018</v>
      </c>
      <c r="C41" s="92" t="s">
        <v>28019</v>
      </c>
      <c r="D41" s="398">
        <f>SUM(D36:D40)</f>
        <v>0.11059999999999999</v>
      </c>
      <c r="E41" s="398">
        <f>SUM(E36:E40)</f>
        <v>8.3700000000000011E-2</v>
      </c>
    </row>
    <row r="42" spans="2:5" ht="16" thickBot="1">
      <c r="B42" s="1142"/>
      <c r="C42" s="1143"/>
      <c r="D42" s="1143"/>
      <c r="E42" s="1144"/>
    </row>
    <row r="43" spans="2:5">
      <c r="B43" s="101" t="s">
        <v>28020</v>
      </c>
      <c r="C43" s="401" t="s">
        <v>28021</v>
      </c>
      <c r="D43" s="102">
        <v>0.18160000000000001</v>
      </c>
      <c r="E43" s="102">
        <v>6.8699999999999997E-2</v>
      </c>
    </row>
    <row r="44" spans="2:5" ht="26">
      <c r="B44" s="101" t="s">
        <v>28022</v>
      </c>
      <c r="C44" s="401" t="s">
        <v>28023</v>
      </c>
      <c r="D44" s="102">
        <v>4.3E-3</v>
      </c>
      <c r="E44" s="102">
        <v>3.3E-3</v>
      </c>
    </row>
    <row r="45" spans="2:5" ht="16" thickBot="1">
      <c r="B45" s="103" t="s">
        <v>28024</v>
      </c>
      <c r="C45" s="92" t="s">
        <v>28025</v>
      </c>
      <c r="D45" s="399">
        <f>SUM(D43:D44)</f>
        <v>0.18590000000000001</v>
      </c>
      <c r="E45" s="399">
        <f>SUM(E43:E44)</f>
        <v>7.1999999999999995E-2</v>
      </c>
    </row>
    <row r="46" spans="2:5" ht="16" thickBot="1">
      <c r="B46" s="104"/>
      <c r="C46" s="93" t="s">
        <v>28026</v>
      </c>
      <c r="D46" s="400">
        <f>D22+D34+D41+D45</f>
        <v>1.1548</v>
      </c>
      <c r="E46" s="400">
        <f>E22+E34+E41+E45</f>
        <v>0.71540000000000004</v>
      </c>
    </row>
    <row r="47" spans="2:5" ht="16" thickBot="1">
      <c r="B47" s="403"/>
      <c r="C47" s="404"/>
      <c r="D47" s="1140"/>
      <c r="E47" s="1141"/>
    </row>
    <row r="48" spans="2:5" ht="18" thickBot="1">
      <c r="B48" s="1147" t="s">
        <v>41621</v>
      </c>
      <c r="C48" s="1148"/>
      <c r="D48" s="1148"/>
      <c r="E48" s="1149"/>
    </row>
    <row r="49" spans="2:5" ht="16" thickBot="1">
      <c r="B49" s="403"/>
      <c r="C49" s="404"/>
      <c r="D49" s="1140" t="s">
        <v>27966</v>
      </c>
      <c r="E49" s="1141"/>
    </row>
    <row r="50" spans="2:5">
      <c r="B50" s="101" t="s">
        <v>27967</v>
      </c>
      <c r="C50" s="401" t="s">
        <v>41622</v>
      </c>
      <c r="D50" s="1145">
        <v>0.2</v>
      </c>
      <c r="E50" s="1146"/>
    </row>
    <row r="51" spans="2:5">
      <c r="B51" s="101" t="s">
        <v>27969</v>
      </c>
      <c r="C51" s="401" t="s">
        <v>41623</v>
      </c>
      <c r="D51" s="1136">
        <v>0.08</v>
      </c>
      <c r="E51" s="1137"/>
    </row>
    <row r="52" spans="2:5">
      <c r="B52" s="101" t="s">
        <v>27971</v>
      </c>
      <c r="C52" s="401" t="s">
        <v>41624</v>
      </c>
      <c r="D52" s="1136">
        <v>2.5000000000000001E-2</v>
      </c>
      <c r="E52" s="1137"/>
    </row>
    <row r="53" spans="2:5">
      <c r="B53" s="101" t="s">
        <v>27973</v>
      </c>
      <c r="C53" s="401" t="s">
        <v>41625</v>
      </c>
      <c r="D53" s="1136">
        <v>1.4999999999999999E-2</v>
      </c>
      <c r="E53" s="1137"/>
    </row>
    <row r="54" spans="2:5" ht="15" customHeight="1">
      <c r="B54" s="101" t="s">
        <v>27975</v>
      </c>
      <c r="C54" s="401" t="s">
        <v>41626</v>
      </c>
      <c r="D54" s="1136">
        <v>0.01</v>
      </c>
      <c r="E54" s="1137"/>
    </row>
    <row r="55" spans="2:5" ht="14.25" customHeight="1">
      <c r="B55" s="101" t="s">
        <v>27977</v>
      </c>
      <c r="C55" s="401" t="s">
        <v>41627</v>
      </c>
      <c r="D55" s="1136">
        <v>6.0000000000000001E-3</v>
      </c>
      <c r="E55" s="1137"/>
    </row>
    <row r="56" spans="2:5">
      <c r="B56" s="101" t="s">
        <v>27979</v>
      </c>
      <c r="C56" s="401" t="s">
        <v>41628</v>
      </c>
      <c r="D56" s="1136">
        <v>2E-3</v>
      </c>
      <c r="E56" s="1137"/>
    </row>
    <row r="57" spans="2:5" ht="17.25" customHeight="1">
      <c r="B57" s="101" t="s">
        <v>27981</v>
      </c>
      <c r="C57" s="401" t="s">
        <v>27980</v>
      </c>
      <c r="D57" s="1136">
        <v>0.03</v>
      </c>
      <c r="E57" s="1137"/>
    </row>
    <row r="58" spans="2:5" ht="39">
      <c r="B58" s="101" t="s">
        <v>27983</v>
      </c>
      <c r="C58" s="401" t="s">
        <v>41629</v>
      </c>
      <c r="D58" s="1136">
        <v>0.01</v>
      </c>
      <c r="E58" s="1137"/>
    </row>
    <row r="59" spans="2:5" ht="16" thickBot="1">
      <c r="B59" s="103" t="s">
        <v>27985</v>
      </c>
      <c r="C59" s="92" t="s">
        <v>27986</v>
      </c>
      <c r="D59" s="1136">
        <f>SUM(D50:E58)</f>
        <v>0.37800000000000011</v>
      </c>
      <c r="E59" s="1137"/>
    </row>
    <row r="60" spans="2:5" ht="16" thickBot="1">
      <c r="B60" s="1142"/>
      <c r="C60" s="1143"/>
      <c r="D60" s="1143"/>
      <c r="E60" s="1144"/>
    </row>
    <row r="61" spans="2:5">
      <c r="B61" s="101" t="s">
        <v>27987</v>
      </c>
      <c r="C61" s="402" t="s">
        <v>41630</v>
      </c>
      <c r="D61" s="1136">
        <v>0.22900000000000001</v>
      </c>
      <c r="E61" s="1137"/>
    </row>
    <row r="62" spans="2:5">
      <c r="B62" s="101" t="s">
        <v>27989</v>
      </c>
      <c r="C62" s="401" t="s">
        <v>27992</v>
      </c>
      <c r="D62" s="1136">
        <v>7.9000000000000008E-3</v>
      </c>
      <c r="E62" s="1137"/>
    </row>
    <row r="63" spans="2:5">
      <c r="B63" s="101" t="s">
        <v>27991</v>
      </c>
      <c r="C63" s="401" t="s">
        <v>27996</v>
      </c>
      <c r="D63" s="1136">
        <v>3.3999999999999998E-3</v>
      </c>
      <c r="E63" s="1137"/>
    </row>
    <row r="64" spans="2:5">
      <c r="B64" s="101" t="s">
        <v>27993</v>
      </c>
      <c r="C64" s="401" t="s">
        <v>27994</v>
      </c>
      <c r="D64" s="1136">
        <v>0.1057</v>
      </c>
      <c r="E64" s="1137"/>
    </row>
    <row r="65" spans="2:5" ht="39">
      <c r="B65" s="101" t="s">
        <v>27995</v>
      </c>
      <c r="C65" s="401" t="s">
        <v>41631</v>
      </c>
      <c r="D65" s="1136">
        <v>4.5699999999999998E-2</v>
      </c>
      <c r="E65" s="1137"/>
    </row>
    <row r="66" spans="2:5" ht="16" thickBot="1">
      <c r="B66" s="103" t="s">
        <v>28007</v>
      </c>
      <c r="C66" s="92" t="s">
        <v>28008</v>
      </c>
      <c r="D66" s="1136">
        <f>SUM(D61:E65)</f>
        <v>0.39169999999999999</v>
      </c>
      <c r="E66" s="1137"/>
    </row>
    <row r="67" spans="2:5" ht="16" thickBot="1">
      <c r="B67" s="1142"/>
      <c r="C67" s="1143"/>
      <c r="D67" s="1143"/>
      <c r="E67" s="1144"/>
    </row>
    <row r="68" spans="2:5">
      <c r="B68" s="101" t="s">
        <v>28009</v>
      </c>
      <c r="C68" s="401" t="s">
        <v>41632</v>
      </c>
      <c r="D68" s="1136">
        <v>4.4499999999999998E-2</v>
      </c>
      <c r="E68" s="1137"/>
    </row>
    <row r="69" spans="2:5">
      <c r="B69" s="101" t="s">
        <v>28011</v>
      </c>
      <c r="C69" s="401" t="s">
        <v>41633</v>
      </c>
      <c r="D69" s="1136">
        <v>0.1406</v>
      </c>
      <c r="E69" s="1137"/>
    </row>
    <row r="70" spans="2:5">
      <c r="B70" s="101" t="s">
        <v>7000</v>
      </c>
      <c r="C70" s="401" t="s">
        <v>28010</v>
      </c>
      <c r="D70" s="1136">
        <v>0.13120000000000001</v>
      </c>
      <c r="E70" s="1137"/>
    </row>
    <row r="71" spans="2:5" ht="27" thickBot="1">
      <c r="B71" s="103" t="s">
        <v>28018</v>
      </c>
      <c r="C71" s="92" t="s">
        <v>28019</v>
      </c>
      <c r="D71" s="1136">
        <f>SUM(D68:E70)</f>
        <v>0.31630000000000003</v>
      </c>
      <c r="E71" s="1137"/>
    </row>
    <row r="72" spans="2:5" ht="16" thickBot="1">
      <c r="B72" s="1142"/>
      <c r="C72" s="1143"/>
      <c r="D72" s="1143"/>
      <c r="E72" s="1144"/>
    </row>
    <row r="73" spans="2:5">
      <c r="B73" s="101" t="s">
        <v>28020</v>
      </c>
      <c r="C73" s="401" t="s">
        <v>28021</v>
      </c>
      <c r="D73" s="1136">
        <f>ROUNDDOWN(D59*D66,4)</f>
        <v>0.14799999999999999</v>
      </c>
      <c r="E73" s="1137">
        <f>ROUNDDOWN(E60*E66,4)</f>
        <v>0</v>
      </c>
    </row>
    <row r="74" spans="2:5">
      <c r="B74" s="101" t="s">
        <v>28022</v>
      </c>
      <c r="C74" s="401" t="s">
        <v>41634</v>
      </c>
      <c r="D74" s="1136">
        <v>4.8300000000000003E-2</v>
      </c>
      <c r="E74" s="1137"/>
    </row>
    <row r="75" spans="2:5" ht="16" thickBot="1">
      <c r="B75" s="103" t="s">
        <v>28024</v>
      </c>
      <c r="C75" s="92" t="s">
        <v>28025</v>
      </c>
      <c r="D75" s="1136">
        <f>SUM(D73:E74)</f>
        <v>0.1963</v>
      </c>
      <c r="E75" s="1137"/>
    </row>
    <row r="76" spans="2:5" ht="16" thickBot="1">
      <c r="B76" s="104"/>
      <c r="C76" s="93" t="s">
        <v>28026</v>
      </c>
      <c r="D76" s="1138">
        <f>D59+D66+D71+D75</f>
        <v>1.2823</v>
      </c>
      <c r="E76" s="1139"/>
    </row>
    <row r="77" spans="2:5">
      <c r="B77" s="58"/>
      <c r="C77" s="85"/>
      <c r="E77" s="18"/>
    </row>
    <row r="78" spans="2:5" ht="18" thickBot="1">
      <c r="B78" s="1147" t="s">
        <v>41635</v>
      </c>
      <c r="C78" s="1148"/>
      <c r="D78" s="1148"/>
      <c r="E78" s="1149"/>
    </row>
    <row r="79" spans="2:5" ht="16" thickBot="1">
      <c r="B79" s="403"/>
      <c r="C79" s="404"/>
      <c r="D79" s="1140" t="s">
        <v>27966</v>
      </c>
      <c r="E79" s="1141"/>
    </row>
    <row r="80" spans="2:5">
      <c r="B80" s="101" t="s">
        <v>27967</v>
      </c>
      <c r="C80" s="401" t="s">
        <v>41636</v>
      </c>
      <c r="D80" s="1145">
        <v>0.2</v>
      </c>
      <c r="E80" s="1146"/>
    </row>
    <row r="81" spans="2:5">
      <c r="B81" s="101" t="s">
        <v>27969</v>
      </c>
      <c r="C81" s="401" t="s">
        <v>41637</v>
      </c>
      <c r="D81" s="1136">
        <v>0.08</v>
      </c>
      <c r="E81" s="1137"/>
    </row>
    <row r="82" spans="2:5">
      <c r="B82" s="101" t="s">
        <v>27971</v>
      </c>
      <c r="C82" s="401" t="s">
        <v>41624</v>
      </c>
      <c r="D82" s="1136">
        <v>2.5000000000000001E-2</v>
      </c>
      <c r="E82" s="1137"/>
    </row>
    <row r="83" spans="2:5">
      <c r="B83" s="101" t="s">
        <v>27973</v>
      </c>
      <c r="C83" s="401" t="s">
        <v>41638</v>
      </c>
      <c r="D83" s="1136">
        <v>1.4999999999999999E-2</v>
      </c>
      <c r="E83" s="1137"/>
    </row>
    <row r="84" spans="2:5" ht="15" customHeight="1">
      <c r="B84" s="101" t="s">
        <v>27975</v>
      </c>
      <c r="C84" s="401" t="s">
        <v>41639</v>
      </c>
      <c r="D84" s="1136">
        <v>0.01</v>
      </c>
      <c r="E84" s="1137"/>
    </row>
    <row r="85" spans="2:5" ht="14.25" customHeight="1">
      <c r="B85" s="101" t="s">
        <v>27977</v>
      </c>
      <c r="C85" s="401" t="s">
        <v>41640</v>
      </c>
      <c r="D85" s="1136">
        <v>6.0000000000000001E-3</v>
      </c>
      <c r="E85" s="1137"/>
    </row>
    <row r="86" spans="2:5">
      <c r="B86" s="101" t="s">
        <v>27979</v>
      </c>
      <c r="C86" s="401" t="s">
        <v>41641</v>
      </c>
      <c r="D86" s="1136">
        <v>2E-3</v>
      </c>
      <c r="E86" s="1137"/>
    </row>
    <row r="87" spans="2:5" ht="17.25" customHeight="1">
      <c r="B87" s="101" t="s">
        <v>27981</v>
      </c>
      <c r="C87" s="401" t="s">
        <v>27980</v>
      </c>
      <c r="D87" s="1136">
        <v>0.03</v>
      </c>
      <c r="E87" s="1137"/>
    </row>
    <row r="88" spans="2:5" ht="39">
      <c r="B88" s="101" t="s">
        <v>27983</v>
      </c>
      <c r="C88" s="401" t="s">
        <v>41642</v>
      </c>
      <c r="D88" s="1136">
        <v>0.01</v>
      </c>
      <c r="E88" s="1137"/>
    </row>
    <row r="89" spans="2:5" ht="16" thickBot="1">
      <c r="B89" s="103" t="s">
        <v>27985</v>
      </c>
      <c r="C89" s="92" t="s">
        <v>27986</v>
      </c>
      <c r="D89" s="1136">
        <f>SUM(D80:E88)</f>
        <v>0.37800000000000011</v>
      </c>
      <c r="E89" s="1137"/>
    </row>
    <row r="90" spans="2:5" ht="16" thickBot="1">
      <c r="B90" s="1142"/>
      <c r="C90" s="1143"/>
      <c r="D90" s="1143"/>
      <c r="E90" s="1144"/>
    </row>
    <row r="91" spans="2:5">
      <c r="B91" s="101" t="s">
        <v>27987</v>
      </c>
      <c r="C91" s="402" t="s">
        <v>41643</v>
      </c>
      <c r="D91" s="1136">
        <v>0.22900000000000001</v>
      </c>
      <c r="E91" s="1137"/>
    </row>
    <row r="92" spans="2:5">
      <c r="B92" s="101" t="s">
        <v>27989</v>
      </c>
      <c r="C92" s="401" t="s">
        <v>41644</v>
      </c>
      <c r="D92" s="1136">
        <v>1.7100000000000001E-2</v>
      </c>
      <c r="E92" s="1137"/>
    </row>
    <row r="93" spans="2:5">
      <c r="B93" s="101" t="s">
        <v>27991</v>
      </c>
      <c r="C93" s="401" t="s">
        <v>41645</v>
      </c>
      <c r="D93" s="1136">
        <v>1.7100000000000001E-2</v>
      </c>
      <c r="E93" s="1137"/>
    </row>
    <row r="94" spans="2:5">
      <c r="B94" s="101" t="s">
        <v>27993</v>
      </c>
      <c r="C94" s="401" t="s">
        <v>27994</v>
      </c>
      <c r="D94" s="1136">
        <v>0.1057</v>
      </c>
      <c r="E94" s="1137"/>
    </row>
    <row r="95" spans="2:5" ht="39">
      <c r="B95" s="101" t="s">
        <v>27995</v>
      </c>
      <c r="C95" s="401" t="s">
        <v>41646</v>
      </c>
      <c r="D95" s="1136">
        <v>4.9099999999999998E-2</v>
      </c>
      <c r="E95" s="1137"/>
    </row>
    <row r="96" spans="2:5" ht="16" thickBot="1">
      <c r="B96" s="103" t="s">
        <v>28007</v>
      </c>
      <c r="C96" s="92" t="s">
        <v>28008</v>
      </c>
      <c r="D96" s="1136">
        <f>SUM(D91:E95)</f>
        <v>0.41799999999999998</v>
      </c>
      <c r="E96" s="1137"/>
    </row>
    <row r="97" spans="2:5" ht="16" thickBot="1">
      <c r="B97" s="1142"/>
      <c r="C97" s="1143"/>
      <c r="D97" s="1143"/>
      <c r="E97" s="1144"/>
    </row>
    <row r="98" spans="2:5">
      <c r="B98" s="101" t="s">
        <v>28009</v>
      </c>
      <c r="C98" s="401" t="s">
        <v>41647</v>
      </c>
      <c r="D98" s="1136">
        <v>5.67E-2</v>
      </c>
      <c r="E98" s="1137"/>
    </row>
    <row r="99" spans="2:5">
      <c r="B99" s="101" t="s">
        <v>28011</v>
      </c>
      <c r="C99" s="401" t="s">
        <v>41648</v>
      </c>
      <c r="D99" s="1136">
        <v>6.3600000000000004E-2</v>
      </c>
      <c r="E99" s="1137"/>
    </row>
    <row r="100" spans="2:5">
      <c r="B100" s="101" t="s">
        <v>7000</v>
      </c>
      <c r="C100" s="401" t="s">
        <v>41649</v>
      </c>
      <c r="D100" s="1136">
        <v>0.1406</v>
      </c>
      <c r="E100" s="1137"/>
    </row>
    <row r="101" spans="2:5" ht="27" thickBot="1">
      <c r="B101" s="103" t="s">
        <v>28018</v>
      </c>
      <c r="C101" s="92" t="s">
        <v>28019</v>
      </c>
      <c r="D101" s="1136">
        <f>SUM(D98:E100)</f>
        <v>0.26090000000000002</v>
      </c>
      <c r="E101" s="1137"/>
    </row>
    <row r="102" spans="2:5" ht="16" thickBot="1">
      <c r="B102" s="1142"/>
      <c r="C102" s="1143"/>
      <c r="D102" s="1143"/>
      <c r="E102" s="1144"/>
    </row>
    <row r="103" spans="2:5">
      <c r="B103" s="101" t="s">
        <v>28020</v>
      </c>
      <c r="C103" s="401" t="s">
        <v>28021</v>
      </c>
      <c r="D103" s="1136">
        <f>ROUNDDOWN(D89*D96,4)</f>
        <v>0.158</v>
      </c>
      <c r="E103" s="1137">
        <f>ROUNDDOWN(E90*E96,4)</f>
        <v>0</v>
      </c>
    </row>
    <row r="104" spans="2:5">
      <c r="B104" s="101" t="s">
        <v>28022</v>
      </c>
      <c r="C104" s="401" t="s">
        <v>41650</v>
      </c>
      <c r="D104" s="1136">
        <v>5.1000000000000004E-3</v>
      </c>
      <c r="E104" s="1137"/>
    </row>
    <row r="105" spans="2:5" ht="16" thickBot="1">
      <c r="B105" s="103" t="s">
        <v>28024</v>
      </c>
      <c r="C105" s="92" t="s">
        <v>28025</v>
      </c>
      <c r="D105" s="1136">
        <f>SUM(D103:E104)</f>
        <v>0.16309999999999999</v>
      </c>
      <c r="E105" s="1137"/>
    </row>
    <row r="106" spans="2:5" ht="16" thickBot="1">
      <c r="B106" s="104"/>
      <c r="C106" s="93" t="s">
        <v>28026</v>
      </c>
      <c r="D106" s="1138">
        <f>D89+D96+D101+D105</f>
        <v>1.2200000000000002</v>
      </c>
      <c r="E106" s="1139"/>
    </row>
  </sheetData>
  <mergeCells count="65">
    <mergeCell ref="B42:E42"/>
    <mergeCell ref="B23:E23"/>
    <mergeCell ref="B2:E8"/>
    <mergeCell ref="B9:E9"/>
    <mergeCell ref="B11:E11"/>
    <mergeCell ref="B35:E35"/>
    <mergeCell ref="B48:E48"/>
    <mergeCell ref="D49:E49"/>
    <mergeCell ref="D50:E50"/>
    <mergeCell ref="D51:E51"/>
    <mergeCell ref="D52:E52"/>
    <mergeCell ref="D53:E53"/>
    <mergeCell ref="D54:E54"/>
    <mergeCell ref="D55:E55"/>
    <mergeCell ref="D56:E56"/>
    <mergeCell ref="D57:E57"/>
    <mergeCell ref="D58:E58"/>
    <mergeCell ref="D59:E59"/>
    <mergeCell ref="B60:E60"/>
    <mergeCell ref="D61:E61"/>
    <mergeCell ref="D62:E62"/>
    <mergeCell ref="D63:E63"/>
    <mergeCell ref="D64:E64"/>
    <mergeCell ref="D65:E65"/>
    <mergeCell ref="D66:E66"/>
    <mergeCell ref="B67:E67"/>
    <mergeCell ref="D68:E68"/>
    <mergeCell ref="D69:E69"/>
    <mergeCell ref="D70:E70"/>
    <mergeCell ref="D71:E71"/>
    <mergeCell ref="B72:E72"/>
    <mergeCell ref="D73:E73"/>
    <mergeCell ref="D74:E74"/>
    <mergeCell ref="D75:E75"/>
    <mergeCell ref="D76:E76"/>
    <mergeCell ref="B78:E78"/>
    <mergeCell ref="D79:E79"/>
    <mergeCell ref="D80:E80"/>
    <mergeCell ref="D81:E81"/>
    <mergeCell ref="D82:E82"/>
    <mergeCell ref="D83:E83"/>
    <mergeCell ref="D91:E91"/>
    <mergeCell ref="D92:E92"/>
    <mergeCell ref="D93:E93"/>
    <mergeCell ref="D84:E84"/>
    <mergeCell ref="D85:E85"/>
    <mergeCell ref="D86:E86"/>
    <mergeCell ref="D87:E87"/>
    <mergeCell ref="D88:E88"/>
    <mergeCell ref="D104:E104"/>
    <mergeCell ref="D105:E105"/>
    <mergeCell ref="D106:E106"/>
    <mergeCell ref="D47:E47"/>
    <mergeCell ref="D99:E99"/>
    <mergeCell ref="D100:E100"/>
    <mergeCell ref="D101:E101"/>
    <mergeCell ref="B102:E102"/>
    <mergeCell ref="D103:E103"/>
    <mergeCell ref="D94:E94"/>
    <mergeCell ref="D95:E95"/>
    <mergeCell ref="D96:E96"/>
    <mergeCell ref="B97:E97"/>
    <mergeCell ref="D98:E98"/>
    <mergeCell ref="D89:E89"/>
    <mergeCell ref="B90:E90"/>
  </mergeCells>
  <pageMargins left="0.511811024" right="0.511811024" top="0.78740157499999996" bottom="0.78740157499999996" header="0.31496062000000002" footer="0.31496062000000002"/>
  <pageSetup paperSize="9" scale="82" fitToHeight="0" orientation="portrait" r:id="rId1"/>
  <rowBreaks count="2" manualBreakCount="2">
    <brk id="46" min="1" max="4" man="1"/>
    <brk id="76" min="1" max="4"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9">
    <pageSetUpPr fitToPage="1"/>
  </sheetPr>
  <dimension ref="A1:L146"/>
  <sheetViews>
    <sheetView view="pageBreakPreview"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41257</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10894</v>
      </c>
      <c r="B13" s="1174" t="str">
        <f>VLOOKUP($A13, 'Plan Orçamentária'!$Q$2:$S$128267,2,FALSE)</f>
        <v>PLACA EM LONA COM IMPRESSÃO DIGITAL E ESTRUTURA EM MADEIRA</v>
      </c>
      <c r="C13" s="1174"/>
      <c r="D13" s="1174"/>
      <c r="E13" s="1174"/>
      <c r="F13" s="1174"/>
      <c r="G13" s="1174"/>
      <c r="H13" s="1174"/>
      <c r="I13" s="1174"/>
      <c r="J13" s="1174"/>
      <c r="K13" s="12" t="str">
        <f>VLOOKUP($A13,'Plan Orçamentária'!$Q$2:$S$138267,3,FALSE)</f>
        <v>M2</v>
      </c>
      <c r="L13" s="15">
        <f>J31</f>
        <v>6</v>
      </c>
    </row>
    <row r="14" spans="1:12">
      <c r="A14" s="86"/>
      <c r="B14" s="14"/>
      <c r="C14" s="14"/>
      <c r="D14" s="14"/>
      <c r="E14" s="14"/>
      <c r="F14" s="14"/>
      <c r="G14" s="14"/>
      <c r="H14" s="14"/>
      <c r="I14" s="14"/>
      <c r="J14" s="14"/>
      <c r="K14" s="87"/>
    </row>
    <row r="15" spans="1:12" ht="16.5" customHeight="1">
      <c r="A15" s="16" t="s">
        <v>28481</v>
      </c>
      <c r="B15" s="14">
        <v>3</v>
      </c>
      <c r="C15" s="14" t="s">
        <v>165</v>
      </c>
      <c r="D15" s="14"/>
      <c r="E15" s="14"/>
      <c r="F15" s="14"/>
      <c r="G15" s="14"/>
      <c r="H15" s="14"/>
      <c r="I15" s="14"/>
      <c r="J15" s="14"/>
      <c r="K15" s="87"/>
    </row>
    <row r="16" spans="1:12" ht="16.5" customHeight="1">
      <c r="A16" s="16" t="s">
        <v>28479</v>
      </c>
      <c r="B16" s="233">
        <v>2</v>
      </c>
      <c r="C16" s="14" t="s">
        <v>165</v>
      </c>
      <c r="D16" s="14"/>
      <c r="E16" s="14"/>
      <c r="F16" s="14"/>
      <c r="G16" s="14"/>
      <c r="H16" s="14"/>
      <c r="I16" s="14"/>
      <c r="J16" s="14"/>
      <c r="K16" s="87"/>
    </row>
    <row r="17" spans="1:11" ht="16.5" customHeight="1">
      <c r="A17" s="16"/>
      <c r="B17" s="234"/>
      <c r="C17" s="14"/>
      <c r="D17" s="14"/>
      <c r="E17" s="14"/>
      <c r="F17" s="14"/>
      <c r="G17" s="14"/>
      <c r="H17" s="14"/>
      <c r="I17" s="14"/>
      <c r="J17" s="14"/>
      <c r="K17" s="87"/>
    </row>
    <row r="18" spans="1:11">
      <c r="A18" s="16"/>
      <c r="B18" s="14"/>
      <c r="C18" s="14"/>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95"/>
      <c r="C20" s="95"/>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B16*B15</f>
        <v>6</v>
      </c>
      <c r="C28" s="88" t="str">
        <f>K13</f>
        <v>M2</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6</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10839</v>
      </c>
      <c r="B33" s="1174" t="str">
        <f>VLOOKUP($A33, 'Plan Orçamentária'!$Q$2:$S$128267,2,FALSE)</f>
        <v>LOCAÇÃO DE CONTAINER TIPO DEPÓSITO - ÁREA MÍNIMA DE 13,80 M²</v>
      </c>
      <c r="C33" s="1174"/>
      <c r="D33" s="1174"/>
      <c r="E33" s="1174"/>
      <c r="F33" s="1174"/>
      <c r="G33" s="1174"/>
      <c r="H33" s="1174"/>
      <c r="I33" s="1174"/>
      <c r="J33" s="1174"/>
      <c r="K33" s="12" t="str">
        <f>VLOOKUP($A33,'Plan Orçamentária'!$Q$2:$S$138267,3,FALSE)</f>
        <v>UNMES</v>
      </c>
      <c r="L33" s="15">
        <f>J51</f>
        <v>12</v>
      </c>
    </row>
    <row r="34" spans="1:12">
      <c r="A34" s="86"/>
      <c r="B34" s="14"/>
      <c r="C34" s="14"/>
      <c r="D34" s="14"/>
      <c r="E34" s="14"/>
      <c r="F34" s="14"/>
      <c r="G34" s="14"/>
      <c r="H34" s="14"/>
      <c r="I34" s="14"/>
      <c r="J34" s="14"/>
      <c r="K34" s="87"/>
    </row>
    <row r="35" spans="1:12" ht="16.5" customHeight="1">
      <c r="A35" s="16" t="s">
        <v>44290</v>
      </c>
      <c r="B35" s="14"/>
      <c r="C35" s="14">
        <v>12</v>
      </c>
      <c r="D35" s="14" t="s">
        <v>44292</v>
      </c>
      <c r="E35" s="14"/>
      <c r="F35" s="14"/>
      <c r="G35" s="14"/>
      <c r="H35" s="14"/>
      <c r="I35" s="14"/>
      <c r="J35" s="14"/>
      <c r="K35" s="87"/>
    </row>
    <row r="36" spans="1:12" ht="16.5" customHeight="1">
      <c r="A36" s="16" t="s">
        <v>44291</v>
      </c>
      <c r="B36" s="233"/>
      <c r="C36" s="14">
        <v>1</v>
      </c>
      <c r="D36" s="14" t="s">
        <v>103</v>
      </c>
      <c r="E36" s="14"/>
      <c r="F36" s="14"/>
      <c r="G36" s="14"/>
      <c r="H36" s="14"/>
      <c r="I36" s="14"/>
      <c r="J36" s="14"/>
      <c r="K36" s="87"/>
    </row>
    <row r="37" spans="1:12" ht="16.5" customHeight="1">
      <c r="A37" s="16"/>
      <c r="B37" s="234"/>
      <c r="C37" s="14"/>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95"/>
      <c r="C40" s="95"/>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C35*C36</f>
        <v>12</v>
      </c>
      <c r="C48" s="88" t="str">
        <f>K33</f>
        <v>UNMES</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12</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10827</v>
      </c>
      <c r="B53" s="1174" t="str">
        <f>VLOOKUP($A53, 'Plan Orçamentária'!$Q$2:$S$128267,2,FALSE)</f>
        <v>BANHEIRO QUÍMICO MODELO STANDARD, COM MANUTENÇÃO CONFORME EXIGÊNCIAS DA CETESB</v>
      </c>
      <c r="C53" s="1174"/>
      <c r="D53" s="1174"/>
      <c r="E53" s="1174"/>
      <c r="F53" s="1174"/>
      <c r="G53" s="1174"/>
      <c r="H53" s="1174"/>
      <c r="I53" s="1174"/>
      <c r="J53" s="1174"/>
      <c r="K53" s="12" t="str">
        <f>VLOOKUP($A53,'Plan Orçamentária'!$Q$2:$S$138267,3,FALSE)</f>
        <v>UNMES</v>
      </c>
      <c r="L53" s="15">
        <f>J71</f>
        <v>12</v>
      </c>
    </row>
    <row r="54" spans="1:12">
      <c r="A54" s="86"/>
      <c r="B54" s="14"/>
      <c r="C54" s="14"/>
      <c r="D54" s="14"/>
      <c r="E54" s="14"/>
      <c r="F54" s="14"/>
      <c r="G54" s="14"/>
      <c r="H54" s="14"/>
      <c r="I54" s="14"/>
      <c r="J54" s="14"/>
      <c r="K54" s="87"/>
    </row>
    <row r="55" spans="1:12" ht="16.5" customHeight="1">
      <c r="A55" s="16" t="s">
        <v>44290</v>
      </c>
      <c r="B55" s="14"/>
      <c r="C55" s="14">
        <v>12</v>
      </c>
      <c r="D55" s="14" t="s">
        <v>44292</v>
      </c>
      <c r="E55" s="14"/>
      <c r="F55" s="14"/>
      <c r="G55" s="14"/>
      <c r="H55" s="14"/>
      <c r="I55" s="14"/>
      <c r="J55" s="14"/>
      <c r="K55" s="87"/>
    </row>
    <row r="56" spans="1:12" ht="16.5" customHeight="1">
      <c r="A56" s="16" t="s">
        <v>44291</v>
      </c>
      <c r="B56" s="233"/>
      <c r="C56" s="14">
        <v>1</v>
      </c>
      <c r="D56" s="14" t="s">
        <v>103</v>
      </c>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95"/>
      <c r="C60" s="95"/>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t="s">
        <v>28031</v>
      </c>
      <c r="B68" s="88">
        <f>C55*C56</f>
        <v>12</v>
      </c>
      <c r="C68" s="88" t="str">
        <f>K53</f>
        <v>UNMES</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12</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10853</v>
      </c>
      <c r="B73" s="1174" t="str">
        <f>VLOOKUP($A73, 'Plan Orçamentária'!$Q$2:$S$128267,2,FALSE)</f>
        <v>TAPUME FIXO PARA FECHAMENTO DE ÁREAS, COM PORTÃO</v>
      </c>
      <c r="C73" s="1174"/>
      <c r="D73" s="1174"/>
      <c r="E73" s="1174"/>
      <c r="F73" s="1174"/>
      <c r="G73" s="1174"/>
      <c r="H73" s="1174"/>
      <c r="I73" s="1174"/>
      <c r="J73" s="1174"/>
      <c r="K73" s="12" t="str">
        <f>VLOOKUP($A73,'Plan Orçamentária'!$Q$2:$S$138267,3,FALSE)</f>
        <v>M2</v>
      </c>
      <c r="L73" s="15">
        <f>J91</f>
        <v>75.746000000000024</v>
      </c>
    </row>
    <row r="74" spans="1:12">
      <c r="A74" s="86" t="s">
        <v>41833</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t="s">
        <v>41784</v>
      </c>
      <c r="B76" s="233"/>
      <c r="C76" s="14">
        <f>6.14+8.99+2.37+2.8+3+1.2+4.62+1+3+1.31</f>
        <v>34.430000000000007</v>
      </c>
      <c r="D76" s="14" t="s">
        <v>165</v>
      </c>
      <c r="E76" s="14"/>
      <c r="F76" s="14"/>
      <c r="G76" s="14"/>
      <c r="H76" s="14"/>
      <c r="I76" s="14"/>
      <c r="J76" s="14"/>
      <c r="K76" s="87"/>
    </row>
    <row r="77" spans="1:12" ht="16.5" customHeight="1">
      <c r="A77" s="16" t="s">
        <v>28479</v>
      </c>
      <c r="B77" s="234"/>
      <c r="C77" s="14">
        <v>2.2000000000000002</v>
      </c>
      <c r="D77" s="14" t="s">
        <v>165</v>
      </c>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95"/>
      <c r="C80" s="95"/>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88"/>
      <c r="F87" s="88"/>
      <c r="G87" s="88"/>
      <c r="H87" s="88"/>
      <c r="I87" s="89"/>
      <c r="J87" s="89"/>
      <c r="K87" s="90"/>
    </row>
    <row r="88" spans="1:12">
      <c r="A88" s="91" t="s">
        <v>28031</v>
      </c>
      <c r="B88" s="88">
        <f>C76*C77</f>
        <v>75.746000000000024</v>
      </c>
      <c r="C88" s="88" t="str">
        <f>K73</f>
        <v>M2</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75.746000000000024</v>
      </c>
      <c r="K91" s="1178"/>
    </row>
    <row r="92" spans="1:12" ht="22">
      <c r="A92" s="4" t="s">
        <v>28028</v>
      </c>
      <c r="B92" s="1173" t="s">
        <v>28029</v>
      </c>
      <c r="C92" s="1173"/>
      <c r="D92" s="1173"/>
      <c r="E92" s="1173"/>
      <c r="F92" s="1173"/>
      <c r="G92" s="1173"/>
      <c r="H92" s="1173"/>
      <c r="I92" s="1173"/>
      <c r="J92" s="1173"/>
      <c r="K92" s="5" t="s">
        <v>28030</v>
      </c>
    </row>
    <row r="93" spans="1:12" ht="22" customHeight="1" thickBot="1">
      <c r="A93" s="94" t="s">
        <v>11415</v>
      </c>
      <c r="B93" s="1174" t="str">
        <f>VLOOKUP($A93, 'Plan Orçamentária'!$Q$2:$S$128267,2,FALSE)</f>
        <v>REMOÇÃO DE ENTULHO SEPARADO DE OBRA COM CAÇAMBA METÁLICA - TERRA, ALVENARIA, CONCRETO, ARGAMASSA, MADEIRA, PAPEL, PLÁSTICO OU METAL</v>
      </c>
      <c r="C93" s="1174"/>
      <c r="D93" s="1174"/>
      <c r="E93" s="1174"/>
      <c r="F93" s="1174"/>
      <c r="G93" s="1174"/>
      <c r="H93" s="1174"/>
      <c r="I93" s="1174"/>
      <c r="J93" s="1174"/>
      <c r="K93" s="12" t="str">
        <f>VLOOKUP($A93,'Plan Orçamentária'!$Q$2:$S$138267,3,FALSE)</f>
        <v>M3</v>
      </c>
      <c r="L93" s="15">
        <f>J126</f>
        <v>34.995375000000003</v>
      </c>
    </row>
    <row r="94" spans="1:12">
      <c r="A94" s="86" t="s">
        <v>44297</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t="s">
        <v>44298</v>
      </c>
      <c r="B96" s="233">
        <v>30</v>
      </c>
      <c r="C96" s="14" t="s">
        <v>44299</v>
      </c>
      <c r="D96" s="14"/>
      <c r="E96" s="14"/>
      <c r="F96" s="14"/>
      <c r="G96" s="14"/>
      <c r="H96" s="14"/>
      <c r="I96" s="14"/>
      <c r="J96" s="14"/>
      <c r="K96" s="87"/>
    </row>
    <row r="97" spans="1:11" ht="16.5" customHeight="1">
      <c r="A97" s="16" t="s">
        <v>29899</v>
      </c>
      <c r="B97" s="234">
        <f>'FOLHA RESUMO'!$C$35</f>
        <v>933.21</v>
      </c>
      <c r="C97" s="14" t="s">
        <v>509</v>
      </c>
      <c r="D97" s="14"/>
      <c r="E97" s="14"/>
      <c r="F97" s="14"/>
      <c r="G97" s="14"/>
      <c r="H97" s="14"/>
      <c r="I97" s="14"/>
      <c r="J97" s="14"/>
      <c r="K97" s="87"/>
    </row>
    <row r="98" spans="1:11">
      <c r="A98" s="16" t="s">
        <v>27889</v>
      </c>
      <c r="B98" s="14">
        <f>(B97*B96)/1000</f>
        <v>27.996300000000002</v>
      </c>
      <c r="C98" s="14" t="s">
        <v>118</v>
      </c>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t="s">
        <v>44298</v>
      </c>
      <c r="B100" s="14">
        <v>0.8</v>
      </c>
      <c r="C100" s="14" t="s">
        <v>44300</v>
      </c>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t="s">
        <v>41797</v>
      </c>
      <c r="B103" s="14">
        <f>B98/B100</f>
        <v>34.995375000000003</v>
      </c>
      <c r="C103" s="14" t="s">
        <v>121</v>
      </c>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179" t="s">
        <v>44301</v>
      </c>
      <c r="B105" s="1180"/>
      <c r="C105" s="1180"/>
      <c r="D105" s="1180"/>
      <c r="E105" s="1180"/>
      <c r="F105" s="1180"/>
      <c r="G105" s="1180"/>
      <c r="H105" s="1180"/>
      <c r="I105" s="1180"/>
      <c r="J105" s="1180"/>
      <c r="K105" s="1181"/>
    </row>
    <row r="106" spans="1:11">
      <c r="A106" s="1179"/>
      <c r="B106" s="1180"/>
      <c r="C106" s="1180"/>
      <c r="D106" s="1180"/>
      <c r="E106" s="1180"/>
      <c r="F106" s="1180"/>
      <c r="G106" s="1180"/>
      <c r="H106" s="1180"/>
      <c r="I106" s="1180"/>
      <c r="J106" s="1180"/>
      <c r="K106" s="1181"/>
    </row>
    <row r="107" spans="1:11">
      <c r="A107" s="1179"/>
      <c r="B107" s="1180"/>
      <c r="C107" s="1180"/>
      <c r="D107" s="1180"/>
      <c r="E107" s="1180"/>
      <c r="F107" s="1180"/>
      <c r="G107" s="1180"/>
      <c r="H107" s="1180"/>
      <c r="I107" s="1180"/>
      <c r="J107" s="1180"/>
      <c r="K107" s="1181"/>
    </row>
    <row r="108" spans="1:11" ht="95.25" customHeight="1">
      <c r="A108" s="1179"/>
      <c r="B108" s="1180"/>
      <c r="C108" s="1180"/>
      <c r="D108" s="1180"/>
      <c r="E108" s="1180"/>
      <c r="F108" s="1180"/>
      <c r="G108" s="1180"/>
      <c r="H108" s="1180"/>
      <c r="I108" s="1180"/>
      <c r="J108" s="1180"/>
      <c r="K108" s="1181"/>
    </row>
    <row r="109" spans="1:11">
      <c r="A109" s="1179"/>
      <c r="B109" s="1180"/>
      <c r="C109" s="1180"/>
      <c r="D109" s="1180"/>
      <c r="E109" s="1180"/>
      <c r="F109" s="1180"/>
      <c r="G109" s="1180"/>
      <c r="H109" s="1180"/>
      <c r="I109" s="1180"/>
      <c r="J109" s="1180"/>
      <c r="K109" s="1181"/>
    </row>
    <row r="110" spans="1:11">
      <c r="A110" s="1179"/>
      <c r="B110" s="1180"/>
      <c r="C110" s="1180"/>
      <c r="D110" s="1180"/>
      <c r="E110" s="1180"/>
      <c r="F110" s="1180"/>
      <c r="G110" s="1180"/>
      <c r="H110" s="1180"/>
      <c r="I110" s="1180"/>
      <c r="J110" s="1180"/>
      <c r="K110" s="1181"/>
    </row>
    <row r="111" spans="1:11">
      <c r="A111" s="1179"/>
      <c r="B111" s="1180"/>
      <c r="C111" s="1180"/>
      <c r="D111" s="1180"/>
      <c r="E111" s="1180"/>
      <c r="F111" s="1180"/>
      <c r="G111" s="1180"/>
      <c r="H111" s="1180"/>
      <c r="I111" s="1180"/>
      <c r="J111" s="1180"/>
      <c r="K111" s="1181"/>
    </row>
    <row r="112" spans="1:11">
      <c r="A112" s="1179"/>
      <c r="B112" s="1180"/>
      <c r="C112" s="1180"/>
      <c r="D112" s="1180"/>
      <c r="E112" s="1180"/>
      <c r="F112" s="1180"/>
      <c r="G112" s="1180"/>
      <c r="H112" s="1180"/>
      <c r="I112" s="1180"/>
      <c r="J112" s="1180"/>
      <c r="K112" s="1181"/>
    </row>
    <row r="113" spans="1:12">
      <c r="A113" s="1179"/>
      <c r="B113" s="1180"/>
      <c r="C113" s="1180"/>
      <c r="D113" s="1180"/>
      <c r="E113" s="1180"/>
      <c r="F113" s="1180"/>
      <c r="G113" s="1180"/>
      <c r="H113" s="1180"/>
      <c r="I113" s="1180"/>
      <c r="J113" s="1180"/>
      <c r="K113" s="1181"/>
    </row>
    <row r="114" spans="1:12">
      <c r="A114" s="1179"/>
      <c r="B114" s="1180"/>
      <c r="C114" s="1180"/>
      <c r="D114" s="1180"/>
      <c r="E114" s="1180"/>
      <c r="F114" s="1180"/>
      <c r="G114" s="1180"/>
      <c r="H114" s="1180"/>
      <c r="I114" s="1180"/>
      <c r="J114" s="1180"/>
      <c r="K114" s="1181"/>
    </row>
    <row r="115" spans="1:12">
      <c r="A115" s="1179"/>
      <c r="B115" s="1180"/>
      <c r="C115" s="1180"/>
      <c r="D115" s="1180"/>
      <c r="E115" s="1180"/>
      <c r="F115" s="1180"/>
      <c r="G115" s="1180"/>
      <c r="H115" s="1180"/>
      <c r="I115" s="1180"/>
      <c r="J115" s="1180"/>
      <c r="K115" s="1181"/>
    </row>
    <row r="116" spans="1:12">
      <c r="A116" s="1179"/>
      <c r="B116" s="1180"/>
      <c r="C116" s="1180"/>
      <c r="D116" s="1180"/>
      <c r="E116" s="1180"/>
      <c r="F116" s="1180"/>
      <c r="G116" s="1180"/>
      <c r="H116" s="1180"/>
      <c r="I116" s="1180"/>
      <c r="J116" s="1180"/>
      <c r="K116" s="1181"/>
    </row>
    <row r="117" spans="1:12">
      <c r="A117" s="1179"/>
      <c r="B117" s="1180"/>
      <c r="C117" s="1180"/>
      <c r="D117" s="1180"/>
      <c r="E117" s="1180"/>
      <c r="F117" s="1180"/>
      <c r="G117" s="1180"/>
      <c r="H117" s="1180"/>
      <c r="I117" s="1180"/>
      <c r="J117" s="1180"/>
      <c r="K117" s="1181"/>
    </row>
    <row r="118" spans="1:12">
      <c r="A118" s="1179"/>
      <c r="B118" s="1180"/>
      <c r="C118" s="1180"/>
      <c r="D118" s="1180"/>
      <c r="E118" s="1180"/>
      <c r="F118" s="1180"/>
      <c r="G118" s="1180"/>
      <c r="H118" s="1180"/>
      <c r="I118" s="1180"/>
      <c r="J118" s="1180"/>
      <c r="K118" s="1181"/>
    </row>
    <row r="119" spans="1:12">
      <c r="A119" s="1179"/>
      <c r="B119" s="1180"/>
      <c r="C119" s="1180"/>
      <c r="D119" s="1180"/>
      <c r="E119" s="1180"/>
      <c r="F119" s="1180"/>
      <c r="G119" s="1180"/>
      <c r="H119" s="1180"/>
      <c r="I119" s="1180"/>
      <c r="J119" s="1180"/>
      <c r="K119" s="1181"/>
    </row>
    <row r="120" spans="1:12">
      <c r="A120" s="1179"/>
      <c r="B120" s="1180"/>
      <c r="C120" s="1180"/>
      <c r="D120" s="1180"/>
      <c r="E120" s="1180"/>
      <c r="F120" s="1180"/>
      <c r="G120" s="1180"/>
      <c r="H120" s="1180"/>
      <c r="I120" s="1180"/>
      <c r="J120" s="1180"/>
      <c r="K120" s="1181"/>
    </row>
    <row r="121" spans="1:12">
      <c r="A121" s="1179"/>
      <c r="B121" s="1180"/>
      <c r="C121" s="1180"/>
      <c r="D121" s="1180"/>
      <c r="E121" s="1180"/>
      <c r="F121" s="1180"/>
      <c r="G121" s="1180"/>
      <c r="H121" s="1180"/>
      <c r="I121" s="1180"/>
      <c r="J121" s="1180"/>
      <c r="K121" s="1181"/>
    </row>
    <row r="122" spans="1:12">
      <c r="A122" s="1179"/>
      <c r="B122" s="1180"/>
      <c r="C122" s="1180"/>
      <c r="D122" s="1180"/>
      <c r="E122" s="1180"/>
      <c r="F122" s="1180"/>
      <c r="G122" s="1180"/>
      <c r="H122" s="1180"/>
      <c r="I122" s="1180"/>
      <c r="J122" s="1180"/>
      <c r="K122" s="1181"/>
    </row>
    <row r="123" spans="1:12">
      <c r="A123" s="1179"/>
      <c r="B123" s="1180"/>
      <c r="C123" s="1180"/>
      <c r="D123" s="1180"/>
      <c r="E123" s="1180"/>
      <c r="F123" s="1180"/>
      <c r="G123" s="1180"/>
      <c r="H123" s="1180"/>
      <c r="I123" s="1180"/>
      <c r="J123" s="1180"/>
      <c r="K123" s="1181"/>
    </row>
    <row r="124" spans="1:12">
      <c r="A124" s="1182"/>
      <c r="B124" s="1183"/>
      <c r="C124" s="1183"/>
      <c r="D124" s="1183"/>
      <c r="E124" s="1183"/>
      <c r="F124" s="1183"/>
      <c r="G124" s="1183"/>
      <c r="H124" s="1183"/>
      <c r="I124" s="1183"/>
      <c r="J124" s="1183"/>
      <c r="K124" s="1184"/>
    </row>
    <row r="125" spans="1:12" ht="16">
      <c r="A125" s="10" t="s">
        <v>28032</v>
      </c>
      <c r="B125" s="207"/>
      <c r="C125" s="207"/>
      <c r="D125" s="207"/>
      <c r="E125" s="207"/>
      <c r="F125" s="207"/>
      <c r="G125" s="207"/>
      <c r="H125" s="207"/>
      <c r="I125" s="207"/>
      <c r="J125" s="1175" t="s">
        <v>28033</v>
      </c>
      <c r="K125" s="1176"/>
    </row>
    <row r="126" spans="1:12" ht="17" thickBot="1">
      <c r="A126" s="6"/>
      <c r="B126" s="11"/>
      <c r="C126" s="11"/>
      <c r="D126" s="11"/>
      <c r="E126" s="11"/>
      <c r="F126" s="11"/>
      <c r="G126" s="11"/>
      <c r="H126" s="11"/>
      <c r="I126" s="11"/>
      <c r="J126" s="1177">
        <f>B103</f>
        <v>34.995375000000003</v>
      </c>
      <c r="K126" s="1178"/>
    </row>
    <row r="127" spans="1:12" ht="22">
      <c r="A127" s="4" t="s">
        <v>28028</v>
      </c>
      <c r="B127" s="1173" t="s">
        <v>28029</v>
      </c>
      <c r="C127" s="1173"/>
      <c r="D127" s="1173"/>
      <c r="E127" s="1173"/>
      <c r="F127" s="1173"/>
      <c r="G127" s="1173"/>
      <c r="H127" s="1173"/>
      <c r="I127" s="1173"/>
      <c r="J127" s="1173"/>
      <c r="K127" s="5" t="s">
        <v>28030</v>
      </c>
    </row>
    <row r="128" spans="1:12" ht="22" customHeight="1" thickBot="1">
      <c r="A128" s="94" t="s">
        <v>44294</v>
      </c>
      <c r="B128" s="1174" t="str">
        <f>VLOOKUP($A128, 'Plan Orçamentária'!$Q$2:$S$128267,2,FALSE)</f>
        <v>SERVENTE COM ENCARGOS COMPLEMENTARES PARA LIMPEZA E ORGANIZAÇÃO DE CANTEIRO DE OBRAS</v>
      </c>
      <c r="C128" s="1174"/>
      <c r="D128" s="1174"/>
      <c r="E128" s="1174"/>
      <c r="F128" s="1174"/>
      <c r="G128" s="1174"/>
      <c r="H128" s="1174"/>
      <c r="I128" s="1174"/>
      <c r="J128" s="1174"/>
      <c r="K128" s="12" t="str">
        <f>VLOOKUP($A128,'Plan Orçamentária'!$Q$2:$S$138267,3,FALSE)</f>
        <v>H</v>
      </c>
      <c r="L128" s="15">
        <f>J146</f>
        <v>264</v>
      </c>
    </row>
    <row r="129" spans="1:11">
      <c r="A129" s="86" t="s">
        <v>44302</v>
      </c>
      <c r="B129" s="14"/>
      <c r="C129" s="14"/>
      <c r="D129" s="14"/>
      <c r="E129" s="14"/>
      <c r="F129" s="14"/>
      <c r="G129" s="14"/>
      <c r="H129" s="14"/>
      <c r="I129" s="14"/>
      <c r="J129" s="14"/>
      <c r="K129" s="87"/>
    </row>
    <row r="130" spans="1:11" ht="16.5" customHeight="1">
      <c r="A130" s="16"/>
      <c r="B130" s="14"/>
      <c r="C130" s="14"/>
      <c r="D130" s="14"/>
      <c r="E130" s="14"/>
      <c r="F130" s="14"/>
      <c r="G130" s="14"/>
      <c r="H130" s="14"/>
      <c r="I130" s="14"/>
      <c r="J130" s="14"/>
      <c r="K130" s="87"/>
    </row>
    <row r="131" spans="1:11" ht="16.5" customHeight="1">
      <c r="A131" s="16"/>
      <c r="B131" s="233"/>
      <c r="C131" s="14"/>
      <c r="D131" s="14"/>
      <c r="E131" s="14"/>
      <c r="F131" s="14"/>
      <c r="G131" s="14"/>
      <c r="H131" s="14"/>
      <c r="I131" s="14"/>
      <c r="J131" s="14"/>
      <c r="K131" s="87"/>
    </row>
    <row r="132" spans="1:11" ht="16.5" customHeight="1">
      <c r="A132" s="16" t="s">
        <v>44303</v>
      </c>
      <c r="B132" s="234"/>
      <c r="C132" s="14">
        <v>12</v>
      </c>
      <c r="D132" s="14" t="s">
        <v>44292</v>
      </c>
      <c r="E132" s="14"/>
      <c r="F132" s="14"/>
      <c r="G132" s="14"/>
      <c r="H132" s="14"/>
      <c r="I132" s="14"/>
      <c r="J132" s="14"/>
      <c r="K132" s="87"/>
    </row>
    <row r="133" spans="1:11">
      <c r="A133" s="16" t="s">
        <v>44304</v>
      </c>
      <c r="B133" s="14"/>
      <c r="C133" s="14">
        <v>1</v>
      </c>
      <c r="D133" s="14" t="s">
        <v>44305</v>
      </c>
      <c r="E133" s="14"/>
      <c r="F133" s="14"/>
      <c r="G133" s="14"/>
      <c r="H133" s="14"/>
      <c r="I133" s="14"/>
      <c r="J133" s="14"/>
      <c r="K133" s="87"/>
    </row>
    <row r="134" spans="1:11" s="57" customFormat="1">
      <c r="A134" s="209" t="s">
        <v>41232</v>
      </c>
      <c r="B134" s="208"/>
      <c r="C134" s="208">
        <v>22</v>
      </c>
      <c r="D134" s="14" t="s">
        <v>44306</v>
      </c>
      <c r="E134" s="14"/>
      <c r="F134" s="14"/>
      <c r="G134" s="14"/>
      <c r="H134" s="14"/>
      <c r="I134" s="14"/>
      <c r="J134" s="14"/>
      <c r="K134" s="87"/>
    </row>
    <row r="135" spans="1:11">
      <c r="A135" s="16"/>
      <c r="B135" s="14"/>
      <c r="C135" s="14"/>
      <c r="D135" s="95"/>
      <c r="E135" s="14"/>
      <c r="F135" s="14"/>
      <c r="G135" s="14"/>
      <c r="H135" s="14"/>
      <c r="I135" s="14"/>
      <c r="J135" s="14"/>
      <c r="K135" s="87"/>
    </row>
    <row r="136" spans="1:11">
      <c r="A136" s="16" t="s">
        <v>27889</v>
      </c>
      <c r="B136" s="14"/>
      <c r="C136" s="14">
        <f>C134*C133*C132</f>
        <v>264</v>
      </c>
      <c r="D136" s="14" t="s">
        <v>11</v>
      </c>
      <c r="E136" s="14"/>
      <c r="F136" s="14"/>
      <c r="G136" s="14"/>
      <c r="H136" s="14"/>
      <c r="I136" s="14"/>
      <c r="J136" s="14"/>
      <c r="K136" s="87"/>
    </row>
    <row r="137" spans="1:11">
      <c r="A137" s="16"/>
      <c r="B137" s="14"/>
      <c r="C137" s="14"/>
      <c r="D137" s="14"/>
      <c r="E137" s="14"/>
      <c r="F137" s="14"/>
      <c r="G137" s="14"/>
      <c r="H137" s="14"/>
      <c r="I137" s="14"/>
      <c r="J137" s="14"/>
      <c r="K137" s="87"/>
    </row>
    <row r="138" spans="1:11">
      <c r="A138" s="16"/>
      <c r="B138" s="14"/>
      <c r="C138" s="14"/>
      <c r="D138" s="88"/>
      <c r="E138" s="14"/>
      <c r="F138" s="14"/>
      <c r="G138" s="14"/>
      <c r="H138" s="88"/>
      <c r="I138" s="89"/>
      <c r="J138" s="89"/>
      <c r="K138" s="90"/>
    </row>
    <row r="139" spans="1:11">
      <c r="A139" s="16"/>
      <c r="B139" s="14"/>
      <c r="C139" s="14"/>
      <c r="D139" s="88"/>
      <c r="E139" s="14"/>
      <c r="F139" s="14"/>
      <c r="G139" s="14"/>
      <c r="H139" s="88"/>
      <c r="I139" s="89"/>
      <c r="J139" s="89"/>
      <c r="K139" s="90"/>
    </row>
    <row r="140" spans="1:11">
      <c r="A140" s="16"/>
      <c r="B140" s="14"/>
      <c r="C140" s="14"/>
      <c r="D140" s="88"/>
      <c r="E140" s="14"/>
      <c r="F140" s="14"/>
      <c r="G140" s="14"/>
      <c r="H140" s="88"/>
      <c r="I140" s="89"/>
      <c r="J140" s="89"/>
      <c r="K140" s="90"/>
    </row>
    <row r="141" spans="1:11">
      <c r="A141" s="16"/>
      <c r="B141" s="14"/>
      <c r="C141" s="14"/>
      <c r="D141" s="88"/>
      <c r="E141" s="14"/>
      <c r="F141" s="14"/>
      <c r="G141" s="14"/>
      <c r="H141" s="88"/>
      <c r="I141" s="89"/>
      <c r="J141" s="89"/>
      <c r="K141" s="90"/>
    </row>
    <row r="142" spans="1:11">
      <c r="A142" s="91"/>
      <c r="B142" s="88"/>
      <c r="C142" s="88"/>
      <c r="D142" s="88"/>
      <c r="E142" s="88"/>
      <c r="F142" s="88"/>
      <c r="G142" s="88"/>
      <c r="H142" s="88"/>
      <c r="I142" s="89"/>
      <c r="J142" s="89"/>
      <c r="K142" s="90"/>
    </row>
    <row r="143" spans="1:11">
      <c r="A143" s="91"/>
      <c r="B143" s="88"/>
      <c r="C143" s="88"/>
      <c r="D143" s="88"/>
      <c r="E143" s="14"/>
      <c r="F143" s="14"/>
      <c r="G143" s="14"/>
      <c r="H143" s="88"/>
      <c r="I143" s="89"/>
      <c r="J143" s="89"/>
      <c r="K143" s="90"/>
    </row>
    <row r="144" spans="1:11">
      <c r="A144" s="91"/>
      <c r="B144" s="88"/>
      <c r="C144" s="88"/>
      <c r="D144" s="88"/>
      <c r="E144" s="88"/>
      <c r="F144" s="88"/>
      <c r="G144" s="88"/>
      <c r="H144" s="88"/>
      <c r="I144" s="89"/>
      <c r="J144" s="89"/>
      <c r="K144" s="90"/>
    </row>
    <row r="145" spans="1:11" ht="16">
      <c r="A145" s="10" t="s">
        <v>28032</v>
      </c>
      <c r="B145" s="207"/>
      <c r="C145" s="207"/>
      <c r="D145" s="207"/>
      <c r="E145" s="207"/>
      <c r="F145" s="207"/>
      <c r="G145" s="207"/>
      <c r="H145" s="207"/>
      <c r="I145" s="207"/>
      <c r="J145" s="1175" t="s">
        <v>28033</v>
      </c>
      <c r="K145" s="1176"/>
    </row>
    <row r="146" spans="1:11" ht="17" thickBot="1">
      <c r="A146" s="6"/>
      <c r="B146" s="11"/>
      <c r="C146" s="11"/>
      <c r="D146" s="11"/>
      <c r="E146" s="11"/>
      <c r="F146" s="11"/>
      <c r="G146" s="11"/>
      <c r="H146" s="11"/>
      <c r="I146" s="11"/>
      <c r="J146" s="1177">
        <f>C136</f>
        <v>264</v>
      </c>
      <c r="K146" s="1178"/>
    </row>
  </sheetData>
  <mergeCells count="28">
    <mergeCell ref="J145:K145"/>
    <mergeCell ref="J146:K146"/>
    <mergeCell ref="J51:K51"/>
    <mergeCell ref="B32:J32"/>
    <mergeCell ref="B33:J33"/>
    <mergeCell ref="J50:K50"/>
    <mergeCell ref="B52:J52"/>
    <mergeCell ref="J90:K90"/>
    <mergeCell ref="J91:K91"/>
    <mergeCell ref="B92:J92"/>
    <mergeCell ref="B93:J93"/>
    <mergeCell ref="J125:K125"/>
    <mergeCell ref="A1:K1"/>
    <mergeCell ref="A2:K10"/>
    <mergeCell ref="B11:K11"/>
    <mergeCell ref="B127:J127"/>
    <mergeCell ref="B128:J128"/>
    <mergeCell ref="B12:J12"/>
    <mergeCell ref="B13:J13"/>
    <mergeCell ref="J30:K30"/>
    <mergeCell ref="J31:K31"/>
    <mergeCell ref="B72:J72"/>
    <mergeCell ref="B73:J73"/>
    <mergeCell ref="B53:J53"/>
    <mergeCell ref="J70:K70"/>
    <mergeCell ref="J71:K71"/>
    <mergeCell ref="J126:K126"/>
    <mergeCell ref="A105:K124"/>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AA009-52A2-4555-8538-6D177E76CD39}">
  <sheetPr codeName="Planilha20">
    <pageSetUpPr fitToPage="1"/>
  </sheetPr>
  <dimension ref="A1:L31"/>
  <sheetViews>
    <sheetView view="pageBreakPreview"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44311</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44309</v>
      </c>
      <c r="B13" s="1174" t="str">
        <f>VLOOKUP($A13, 'Plan Orçamentária'!$Q$2:$S$128267,2,FALSE)</f>
        <v>ENGENHEIRO CIVIL JUNIOR COM ENCARGOS COMPLEMENTARES - ESPECIALIZADO EM OBRAS DE REFORMA E AMPLIAÇÃO</v>
      </c>
      <c r="C13" s="1174"/>
      <c r="D13" s="1174"/>
      <c r="E13" s="1174"/>
      <c r="F13" s="1174"/>
      <c r="G13" s="1174"/>
      <c r="H13" s="1174"/>
      <c r="I13" s="1174"/>
      <c r="J13" s="1174"/>
      <c r="K13" s="12" t="str">
        <f>VLOOKUP($A13,'Plan Orçamentária'!$Q$2:$S$138267,3,FALSE)</f>
        <v>H</v>
      </c>
      <c r="L13" s="15">
        <f>J31</f>
        <v>440</v>
      </c>
    </row>
    <row r="14" spans="1:12">
      <c r="A14" s="86" t="s">
        <v>44312</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11" ht="16.5" customHeight="1">
      <c r="A17" s="16" t="s">
        <v>44303</v>
      </c>
      <c r="B17" s="234"/>
      <c r="C17" s="14">
        <v>10</v>
      </c>
      <c r="D17" s="14" t="s">
        <v>44292</v>
      </c>
      <c r="E17" s="14"/>
      <c r="F17" s="14"/>
      <c r="G17" s="14"/>
      <c r="H17" s="14"/>
      <c r="I17" s="14"/>
      <c r="J17" s="14"/>
      <c r="K17" s="87"/>
    </row>
    <row r="18" spans="1:11">
      <c r="A18" s="16" t="s">
        <v>44304</v>
      </c>
      <c r="B18" s="14"/>
      <c r="C18" s="14">
        <v>2</v>
      </c>
      <c r="D18" s="14" t="s">
        <v>44305</v>
      </c>
      <c r="E18" s="14"/>
      <c r="F18" s="14"/>
      <c r="G18" s="14"/>
      <c r="H18" s="14"/>
      <c r="I18" s="14"/>
      <c r="J18" s="14"/>
      <c r="K18" s="87"/>
    </row>
    <row r="19" spans="1:11" s="57" customFormat="1">
      <c r="A19" s="209" t="s">
        <v>41232</v>
      </c>
      <c r="B19" s="208"/>
      <c r="C19" s="208">
        <v>22</v>
      </c>
      <c r="D19" s="14" t="s">
        <v>44306</v>
      </c>
      <c r="E19" s="14"/>
      <c r="F19" s="14"/>
      <c r="G19" s="14"/>
      <c r="H19" s="14"/>
      <c r="I19" s="14"/>
      <c r="J19" s="14"/>
      <c r="K19" s="87"/>
    </row>
    <row r="20" spans="1:11">
      <c r="A20" s="16"/>
      <c r="B20" s="14"/>
      <c r="C20" s="14"/>
      <c r="D20" s="95"/>
      <c r="E20" s="14"/>
      <c r="F20" s="14"/>
      <c r="G20" s="14"/>
      <c r="H20" s="14"/>
      <c r="I20" s="14"/>
      <c r="J20" s="14"/>
      <c r="K20" s="87"/>
    </row>
    <row r="21" spans="1:11">
      <c r="A21" s="16" t="s">
        <v>27889</v>
      </c>
      <c r="B21" s="14"/>
      <c r="C21" s="14">
        <f>C19*C18*C17</f>
        <v>440</v>
      </c>
      <c r="D21" s="14" t="s">
        <v>11</v>
      </c>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c r="B28" s="88"/>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C21</f>
        <v>440</v>
      </c>
      <c r="K31" s="1178"/>
    </row>
  </sheetData>
  <mergeCells count="7">
    <mergeCell ref="B12:J12"/>
    <mergeCell ref="B13:J13"/>
    <mergeCell ref="J30:K30"/>
    <mergeCell ref="J31:K31"/>
    <mergeCell ref="A1:K1"/>
    <mergeCell ref="A2:K10"/>
    <mergeCell ref="B11:K11"/>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C5A24-0F2B-435B-8E68-AA6D32319771}">
  <sheetPr codeName="Planilha22">
    <pageSetUpPr fitToPage="1"/>
  </sheetPr>
  <dimension ref="A1:L111"/>
  <sheetViews>
    <sheetView view="pageBreakPreview" topLeftCell="A51"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44342</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10948</v>
      </c>
      <c r="B13" s="1174" t="str">
        <f>VLOOKUP($A13, 'Plan Orçamentária'!$Q$2:$S$128267,2,FALSE)</f>
        <v>DEMOLIÇÃO MANUAL DE ALVENARIA DE ELEVAÇÃO OU ELEMENTO VAZADO, INCLUINDO REVESTIMENTO</v>
      </c>
      <c r="C13" s="1174"/>
      <c r="D13" s="1174"/>
      <c r="E13" s="1174"/>
      <c r="F13" s="1174"/>
      <c r="G13" s="1174"/>
      <c r="H13" s="1174"/>
      <c r="I13" s="1174"/>
      <c r="J13" s="1174"/>
      <c r="K13" s="12" t="str">
        <f>VLOOKUP($A13,'Plan Orçamentária'!$Q$2:$S$138267,3,FALSE)</f>
        <v>M3</v>
      </c>
      <c r="L13" s="15">
        <f>J31</f>
        <v>14.381999999999998</v>
      </c>
    </row>
    <row r="14" spans="1:12">
      <c r="A14" s="86" t="s">
        <v>44337</v>
      </c>
      <c r="B14" s="14"/>
      <c r="C14" s="14"/>
      <c r="D14" s="14"/>
      <c r="E14" s="14"/>
      <c r="F14" s="14"/>
      <c r="G14" s="14"/>
      <c r="H14" s="14"/>
      <c r="I14" s="14"/>
      <c r="J14" s="14"/>
      <c r="K14" s="87"/>
    </row>
    <row r="15" spans="1:12" ht="16.5" customHeight="1">
      <c r="A15" s="16" t="s">
        <v>44343</v>
      </c>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11" ht="16.5" customHeight="1">
      <c r="A17" s="16" t="s">
        <v>44344</v>
      </c>
      <c r="B17" s="14"/>
      <c r="C17" s="14">
        <v>13.95</v>
      </c>
      <c r="D17" s="807" t="str">
        <f>K13</f>
        <v>M3</v>
      </c>
      <c r="E17" s="14"/>
      <c r="F17" s="14"/>
      <c r="G17" s="14"/>
      <c r="H17" s="14"/>
      <c r="I17" s="14"/>
      <c r="J17" s="14"/>
      <c r="K17" s="87"/>
    </row>
    <row r="18" spans="1:11">
      <c r="A18" s="209" t="s">
        <v>44469</v>
      </c>
      <c r="B18" s="208"/>
      <c r="C18" s="208">
        <f>0.6*0.6*0.6</f>
        <v>0.216</v>
      </c>
      <c r="D18" s="14" t="str">
        <f>K13</f>
        <v>M3</v>
      </c>
      <c r="E18" s="14"/>
      <c r="F18" s="14"/>
      <c r="G18" s="14"/>
      <c r="H18" s="14"/>
      <c r="I18" s="14"/>
      <c r="J18" s="14"/>
      <c r="K18" s="87"/>
    </row>
    <row r="19" spans="1:11" s="57" customFormat="1">
      <c r="A19" s="209" t="s">
        <v>44471</v>
      </c>
      <c r="B19" s="208"/>
      <c r="C19" s="208">
        <f>0.6*0.6*0.6</f>
        <v>0.216</v>
      </c>
      <c r="D19" s="14" t="str">
        <f>K13</f>
        <v>M3</v>
      </c>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SUM(C17:C19)</f>
        <v>14.381999999999998</v>
      </c>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14.381999999999998</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11129</v>
      </c>
      <c r="B33" s="1174" t="str">
        <f>VLOOKUP($A33, 'Plan Orçamentária'!$Q$2:$S$128267,2,FALSE)</f>
        <v>RETIRADA DE ESQUADRIA METÁLICA EM GERAL</v>
      </c>
      <c r="C33" s="1174"/>
      <c r="D33" s="1174"/>
      <c r="E33" s="1174"/>
      <c r="F33" s="1174"/>
      <c r="G33" s="1174"/>
      <c r="H33" s="1174"/>
      <c r="I33" s="1174"/>
      <c r="J33" s="1174"/>
      <c r="K33" s="12" t="str">
        <f>VLOOKUP($A33,'Plan Orçamentária'!$Q$2:$S$138267,3,FALSE)</f>
        <v>M2</v>
      </c>
      <c r="L33" s="15">
        <f>J51</f>
        <v>5.8800000000000008</v>
      </c>
    </row>
    <row r="34" spans="1:12">
      <c r="A34" s="86" t="s">
        <v>44337</v>
      </c>
      <c r="B34" s="14"/>
      <c r="C34" s="14"/>
      <c r="D34" s="14"/>
      <c r="E34" s="14"/>
      <c r="F34" s="14"/>
      <c r="G34" s="14"/>
      <c r="H34" s="14"/>
      <c r="I34" s="14"/>
      <c r="J34" s="14"/>
      <c r="K34" s="87"/>
    </row>
    <row r="35" spans="1:12" ht="16.5" customHeight="1">
      <c r="A35" s="16" t="s">
        <v>44343</v>
      </c>
      <c r="B35" s="14"/>
      <c r="C35" s="14"/>
      <c r="D35" s="14"/>
      <c r="E35" s="14"/>
      <c r="F35" s="14"/>
      <c r="G35" s="14"/>
      <c r="H35" s="14"/>
      <c r="I35" s="14"/>
      <c r="J35" s="14"/>
      <c r="K35" s="87"/>
    </row>
    <row r="36" spans="1:12" ht="16.5" customHeight="1">
      <c r="A36" s="16"/>
      <c r="B36" s="233"/>
      <c r="C36" s="14"/>
      <c r="D36" s="14"/>
      <c r="E36" s="14"/>
      <c r="F36" s="14"/>
      <c r="G36" s="14"/>
      <c r="H36" s="14"/>
      <c r="I36" s="14"/>
      <c r="J36" s="14"/>
      <c r="K36" s="87"/>
    </row>
    <row r="37" spans="1:12" ht="16.5" customHeight="1">
      <c r="A37" s="16"/>
      <c r="B37" s="234"/>
      <c r="C37" s="14"/>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t="s">
        <v>28041</v>
      </c>
      <c r="C45" s="14" t="s">
        <v>41798</v>
      </c>
      <c r="D45" s="88" t="s">
        <v>41787</v>
      </c>
      <c r="E45" s="14" t="s">
        <v>44347</v>
      </c>
      <c r="F45" s="14"/>
      <c r="G45" s="14"/>
      <c r="H45" s="88"/>
      <c r="I45" s="89"/>
      <c r="J45" s="89"/>
      <c r="K45" s="90"/>
    </row>
    <row r="46" spans="1:12">
      <c r="A46" s="16" t="s">
        <v>44345</v>
      </c>
      <c r="B46" s="14">
        <v>1</v>
      </c>
      <c r="C46" s="14">
        <v>0.8</v>
      </c>
      <c r="D46" s="88">
        <v>2.1</v>
      </c>
      <c r="E46" s="14">
        <f>D46*C46*B46</f>
        <v>1.6800000000000002</v>
      </c>
      <c r="F46" s="14"/>
      <c r="G46" s="14"/>
      <c r="H46" s="88" t="s">
        <v>44348</v>
      </c>
      <c r="I46" s="89">
        <f>SUM(E46:F47)</f>
        <v>5.8800000000000008</v>
      </c>
      <c r="J46" s="89" t="str">
        <f>K33</f>
        <v>M2</v>
      </c>
      <c r="K46" s="90"/>
    </row>
    <row r="47" spans="1:12">
      <c r="A47" s="91" t="s">
        <v>44346</v>
      </c>
      <c r="B47" s="88">
        <v>1</v>
      </c>
      <c r="C47" s="88">
        <v>2</v>
      </c>
      <c r="D47" s="88">
        <v>2.1</v>
      </c>
      <c r="E47" s="14">
        <f>D47*C47*B47</f>
        <v>4.2</v>
      </c>
      <c r="F47" s="88"/>
      <c r="G47" s="88"/>
      <c r="H47" s="88"/>
      <c r="I47" s="89"/>
      <c r="J47" s="89"/>
      <c r="K47" s="90"/>
    </row>
    <row r="48" spans="1:12">
      <c r="A48" s="91"/>
      <c r="B48" s="88"/>
      <c r="C48" s="88"/>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I46</f>
        <v>5.8800000000000008</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11415</v>
      </c>
      <c r="B53" s="1174" t="str">
        <f>VLOOKUP($A53, 'Plan Orçamentária'!$Q$2:$S$128267,2,FALSE)</f>
        <v>REMOÇÃO DE ENTULHO SEPARADO DE OBRA COM CAÇAMBA METÁLICA - TERRA, ALVENARIA, CONCRETO, ARGAMASSA, MADEIRA, PAPEL, PLÁSTICO OU METAL</v>
      </c>
      <c r="C53" s="1174"/>
      <c r="D53" s="1174"/>
      <c r="E53" s="1174"/>
      <c r="F53" s="1174"/>
      <c r="G53" s="1174"/>
      <c r="H53" s="1174"/>
      <c r="I53" s="1174"/>
      <c r="J53" s="1174"/>
      <c r="K53" s="12" t="str">
        <f>VLOOKUP($A53,'Plan Orçamentária'!$Q$2:$S$138267,3,FALSE)</f>
        <v>M3</v>
      </c>
      <c r="L53" s="15">
        <f>J71</f>
        <v>22.620311999999995</v>
      </c>
    </row>
    <row r="54" spans="1:12">
      <c r="A54" s="86"/>
      <c r="B54" s="14"/>
      <c r="C54" s="14"/>
      <c r="D54" s="14"/>
      <c r="E54" s="14"/>
      <c r="F54" s="14"/>
      <c r="G54" s="14"/>
      <c r="H54" s="14"/>
      <c r="I54" s="14"/>
      <c r="J54" s="14"/>
      <c r="K54" s="87"/>
    </row>
    <row r="55" spans="1:12" ht="16.5" customHeight="1">
      <c r="A55" s="16"/>
      <c r="B55" s="14"/>
      <c r="C55" s="14"/>
      <c r="D55" s="14" t="s">
        <v>44349</v>
      </c>
      <c r="E55" s="14"/>
      <c r="F55" s="14"/>
      <c r="G55" s="14"/>
      <c r="H55" s="14"/>
      <c r="I55" s="14"/>
      <c r="J55" s="14"/>
      <c r="K55" s="87"/>
    </row>
    <row r="56" spans="1:12" ht="16.5" customHeight="1">
      <c r="A56" s="16" t="s">
        <v>41791</v>
      </c>
      <c r="B56" s="233"/>
      <c r="C56" s="14"/>
      <c r="D56" s="14">
        <f>$L$13</f>
        <v>14.381999999999998</v>
      </c>
      <c r="E56" s="14"/>
      <c r="F56" s="14"/>
      <c r="G56" s="14"/>
      <c r="H56" s="14"/>
      <c r="I56" s="14"/>
      <c r="J56" s="14"/>
      <c r="K56" s="87"/>
    </row>
    <row r="57" spans="1:12" ht="16.5" customHeight="1">
      <c r="A57" s="16" t="s">
        <v>44350</v>
      </c>
      <c r="B57" s="234"/>
      <c r="C57" s="14"/>
      <c r="D57" s="14">
        <f>$L$33*0.1</f>
        <v>0.58800000000000008</v>
      </c>
      <c r="E57" s="14" t="s">
        <v>44351</v>
      </c>
      <c r="F57" s="14"/>
      <c r="G57" s="14"/>
      <c r="H57" s="14"/>
      <c r="I57" s="14"/>
      <c r="J57" s="14"/>
      <c r="K57" s="87"/>
    </row>
    <row r="58" spans="1:12">
      <c r="A58" s="16" t="s">
        <v>44506</v>
      </c>
      <c r="B58" s="14"/>
      <c r="C58" s="14"/>
      <c r="D58" s="14">
        <f>L93</f>
        <v>2.4302399999999995</v>
      </c>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t="s">
        <v>44352</v>
      </c>
      <c r="B62" s="14"/>
      <c r="C62" s="14">
        <v>1.3</v>
      </c>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t="s">
        <v>27889</v>
      </c>
      <c r="B65" s="14">
        <f>SUM(D56:D58)*C62</f>
        <v>22.620311999999995</v>
      </c>
      <c r="C65" s="14" t="str">
        <f>K53</f>
        <v>M3</v>
      </c>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14"/>
      <c r="F67" s="88"/>
      <c r="G67" s="88"/>
      <c r="H67" s="88"/>
      <c r="I67" s="89"/>
      <c r="J67" s="89"/>
      <c r="K67" s="90"/>
    </row>
    <row r="68" spans="1:12">
      <c r="A68" s="91"/>
      <c r="B68" s="88"/>
      <c r="C68" s="88"/>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B65</f>
        <v>22.620311999999995</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44470</v>
      </c>
      <c r="B73" s="1174" t="str">
        <f>'Plan Orçamentária'!R34</f>
        <v>REMOÇÃO DE TUBULAÇÕES (TUBOS E CONEXÕES) DE ÁGUA FRIA, DE FORMA MANUAL, SEM REAPROVEITAMENTO. AF_09/2023</v>
      </c>
      <c r="C73" s="1174"/>
      <c r="D73" s="1174"/>
      <c r="E73" s="1174"/>
      <c r="F73" s="1174"/>
      <c r="G73" s="1174"/>
      <c r="H73" s="1174"/>
      <c r="I73" s="1174"/>
      <c r="J73" s="1174"/>
      <c r="K73" s="12" t="str">
        <f>'Plan Orçamentária'!S34</f>
        <v>M</v>
      </c>
      <c r="L73" s="15">
        <f>J91</f>
        <v>109.19999999999999</v>
      </c>
    </row>
    <row r="74" spans="1:12">
      <c r="A74" s="86"/>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t="str">
        <f>UPPER("Tubo rígido c/ ponta lisa 100 MM")</f>
        <v>TUBO RÍGIDO C/ PONTA LISA 100 MM</v>
      </c>
      <c r="B76" s="233"/>
      <c r="C76" s="14"/>
      <c r="D76" s="233">
        <v>94.6</v>
      </c>
      <c r="E76" s="14" t="str">
        <f>K73</f>
        <v>M</v>
      </c>
      <c r="F76" s="14"/>
      <c r="G76" s="14"/>
      <c r="H76" s="14"/>
      <c r="I76" s="14"/>
      <c r="J76" s="14"/>
      <c r="K76" s="87"/>
    </row>
    <row r="77" spans="1:12" ht="16.5" customHeight="1">
      <c r="A77" s="16" t="str">
        <f>UPPER("Tubo rígido c/ ponta lisa 200 MM")</f>
        <v>TUBO RÍGIDO C/ PONTA LISA 200 MM</v>
      </c>
      <c r="B77" s="234"/>
      <c r="C77" s="14"/>
      <c r="D77" s="14">
        <v>14.6</v>
      </c>
      <c r="E77" s="14" t="str">
        <f>K73</f>
        <v>M</v>
      </c>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t="s">
        <v>27889</v>
      </c>
      <c r="B85" s="14">
        <f>SUM(D76:D77)</f>
        <v>109.19999999999999</v>
      </c>
      <c r="C85" s="14" t="str">
        <f>K73</f>
        <v>M</v>
      </c>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14"/>
      <c r="F87" s="88"/>
      <c r="G87" s="88"/>
      <c r="H87" s="88"/>
      <c r="I87" s="89"/>
      <c r="J87" s="89"/>
      <c r="K87" s="90"/>
    </row>
    <row r="88" spans="1:12">
      <c r="A88" s="91"/>
      <c r="B88" s="88"/>
      <c r="C88" s="88"/>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B85</f>
        <v>109.19999999999999</v>
      </c>
      <c r="K91" s="1178"/>
    </row>
    <row r="92" spans="1:12" ht="22">
      <c r="A92" s="4" t="s">
        <v>28028</v>
      </c>
      <c r="B92" s="1173" t="s">
        <v>28029</v>
      </c>
      <c r="C92" s="1173"/>
      <c r="D92" s="1173"/>
      <c r="E92" s="1173"/>
      <c r="F92" s="1173"/>
      <c r="G92" s="1173"/>
      <c r="H92" s="1173"/>
      <c r="I92" s="1173"/>
      <c r="J92" s="1173"/>
      <c r="K92" s="5" t="s">
        <v>28030</v>
      </c>
    </row>
    <row r="93" spans="1:12" ht="22" customHeight="1" thickBot="1">
      <c r="A93" s="94" t="s">
        <v>10922</v>
      </c>
      <c r="B93" s="1174" t="str">
        <f>VLOOKUP($A93, 'Plan Orçamentária'!$Q$2:$S$128267,2,FALSE)</f>
        <v>DEMOLIÇÃO MANUAL DE CONCRETO SIMPLES</v>
      </c>
      <c r="C93" s="1174"/>
      <c r="D93" s="1174"/>
      <c r="E93" s="1174"/>
      <c r="F93" s="1174"/>
      <c r="G93" s="1174"/>
      <c r="H93" s="1174"/>
      <c r="I93" s="1174"/>
      <c r="J93" s="1174"/>
      <c r="K93" s="12" t="str">
        <f>VLOOKUP($A93,'Plan Orçamentária'!$Q$2:$S$138267,3,FALSE)</f>
        <v>M3</v>
      </c>
      <c r="L93" s="15">
        <f>J111</f>
        <v>2.4302399999999995</v>
      </c>
    </row>
    <row r="94" spans="1:12">
      <c r="A94" s="86"/>
      <c r="B94" s="14"/>
      <c r="C94" s="14"/>
      <c r="D94" s="14"/>
      <c r="E94" s="14"/>
      <c r="F94" s="14"/>
      <c r="G94" s="14"/>
      <c r="H94" s="14"/>
      <c r="I94" s="14"/>
      <c r="J94" s="14"/>
      <c r="K94" s="87"/>
    </row>
    <row r="95" spans="1:12" ht="16.5" customHeight="1">
      <c r="A95" s="16"/>
      <c r="B95" s="787" t="s">
        <v>41786</v>
      </c>
      <c r="C95" s="787" t="s">
        <v>41798</v>
      </c>
      <c r="D95" s="787" t="s">
        <v>41787</v>
      </c>
      <c r="E95" s="14" t="s">
        <v>44472</v>
      </c>
      <c r="F95" s="14"/>
      <c r="G95" s="14"/>
      <c r="H95" s="14"/>
      <c r="I95" s="14"/>
      <c r="J95" s="14"/>
      <c r="K95" s="87"/>
    </row>
    <row r="96" spans="1:12" ht="16.5" customHeight="1">
      <c r="A96" s="16" t="s">
        <v>44504</v>
      </c>
      <c r="B96" s="786">
        <v>4</v>
      </c>
      <c r="C96" s="787">
        <v>0.3</v>
      </c>
      <c r="D96" s="787">
        <v>0.2</v>
      </c>
      <c r="E96" s="787">
        <f>B96*C96*D96</f>
        <v>0.24</v>
      </c>
      <c r="F96" s="14"/>
      <c r="G96" s="14"/>
      <c r="H96" s="14"/>
      <c r="I96" s="14"/>
      <c r="J96" s="14"/>
      <c r="K96" s="87"/>
    </row>
    <row r="97" spans="1:11" ht="16.5" customHeight="1">
      <c r="A97" s="16" t="s">
        <v>44505</v>
      </c>
      <c r="B97" s="234">
        <v>4.68</v>
      </c>
      <c r="C97" s="14">
        <v>4.68</v>
      </c>
      <c r="D97" s="14">
        <v>0.1</v>
      </c>
      <c r="E97" s="14">
        <f>D97*C97*B97</f>
        <v>2.1902399999999997</v>
      </c>
      <c r="F97" s="14"/>
      <c r="G97" s="14"/>
      <c r="H97" s="14"/>
      <c r="I97" s="14"/>
      <c r="J97" s="14"/>
      <c r="K97" s="87"/>
    </row>
    <row r="98" spans="1:11">
      <c r="A98" s="16"/>
      <c r="B98" s="14"/>
      <c r="C98" s="14"/>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t="s">
        <v>27889</v>
      </c>
      <c r="B105" s="14">
        <f>SUM(E96:E97)</f>
        <v>2.4302399999999995</v>
      </c>
      <c r="C105" s="14" t="str">
        <f>K93</f>
        <v>M3</v>
      </c>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14"/>
      <c r="F107" s="88"/>
      <c r="G107" s="88"/>
      <c r="H107" s="88"/>
      <c r="I107" s="89"/>
      <c r="J107" s="89"/>
      <c r="K107" s="90"/>
    </row>
    <row r="108" spans="1:11">
      <c r="A108" s="91"/>
      <c r="B108" s="88"/>
      <c r="C108" s="88"/>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B105</f>
        <v>2.4302399999999995</v>
      </c>
      <c r="K111" s="1178"/>
    </row>
  </sheetData>
  <mergeCells count="23">
    <mergeCell ref="B93:J93"/>
    <mergeCell ref="J110:K110"/>
    <mergeCell ref="J111:K111"/>
    <mergeCell ref="B72:J72"/>
    <mergeCell ref="B73:J73"/>
    <mergeCell ref="J90:K90"/>
    <mergeCell ref="J91:K91"/>
    <mergeCell ref="B92:J92"/>
    <mergeCell ref="A1:K1"/>
    <mergeCell ref="A2:K10"/>
    <mergeCell ref="B11:K11"/>
    <mergeCell ref="B52:J52"/>
    <mergeCell ref="B53:J53"/>
    <mergeCell ref="J71:K71"/>
    <mergeCell ref="B12:J12"/>
    <mergeCell ref="B13:J13"/>
    <mergeCell ref="J30:K30"/>
    <mergeCell ref="J31:K31"/>
    <mergeCell ref="B32:J32"/>
    <mergeCell ref="B33:J33"/>
    <mergeCell ref="J50:K50"/>
    <mergeCell ref="J51:K51"/>
    <mergeCell ref="J70:K70"/>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7DECB-6CAE-43BC-9D8F-2324DA7F74DF}">
  <sheetPr codeName="Planilha23">
    <pageSetUpPr fitToPage="1"/>
  </sheetPr>
  <dimension ref="A1:L51"/>
  <sheetViews>
    <sheetView view="pageBreakPreview" topLeftCell="A14"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44353</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10878</v>
      </c>
      <c r="B13" s="1174" t="str">
        <f>VLOOKUP($A13, 'Plan Orçamentária'!$Q$2:$S$128267,2,FALSE)</f>
        <v>ANDAIME TORRE METÁLICO (1,5 X 1,5 M) COM PISO METÁLICO</v>
      </c>
      <c r="C13" s="1174"/>
      <c r="D13" s="1174"/>
      <c r="E13" s="1174"/>
      <c r="F13" s="1174"/>
      <c r="G13" s="1174"/>
      <c r="H13" s="1174"/>
      <c r="I13" s="1174"/>
      <c r="J13" s="1174"/>
      <c r="K13" s="12" t="str">
        <f>VLOOKUP($A13,'Plan Orçamentária'!$Q$2:$S$138267,3,FALSE)</f>
        <v>MXMES</v>
      </c>
      <c r="L13" s="15">
        <f>J31</f>
        <v>1110</v>
      </c>
    </row>
    <row r="14" spans="1:12">
      <c r="A14" s="86"/>
      <c r="B14" s="14"/>
      <c r="C14" s="14"/>
      <c r="D14" s="14"/>
      <c r="E14" s="14"/>
      <c r="F14" s="14"/>
      <c r="G14" s="14"/>
      <c r="H14" s="14"/>
      <c r="I14" s="14"/>
      <c r="J14" s="14"/>
      <c r="K14" s="87"/>
    </row>
    <row r="15" spans="1:12" ht="16.5" customHeight="1">
      <c r="A15" s="16"/>
      <c r="B15" s="14"/>
      <c r="C15" s="14"/>
      <c r="D15" s="14"/>
      <c r="E15" s="14"/>
      <c r="F15" s="14"/>
      <c r="G15" s="14"/>
      <c r="H15" s="14" t="s">
        <v>44362</v>
      </c>
      <c r="I15" s="14"/>
      <c r="J15" s="14">
        <f>16.48+26.36</f>
        <v>42.84</v>
      </c>
      <c r="K15" s="87" t="s">
        <v>165</v>
      </c>
    </row>
    <row r="16" spans="1:12" ht="16.5" customHeight="1">
      <c r="A16" s="91" t="s">
        <v>44364</v>
      </c>
      <c r="B16" s="88"/>
      <c r="C16" s="88"/>
      <c r="D16" s="88">
        <f>J18</f>
        <v>110.13000000000001</v>
      </c>
      <c r="E16" s="88" t="s">
        <v>165</v>
      </c>
      <c r="F16" s="14"/>
      <c r="G16" s="14"/>
      <c r="H16" s="14" t="s">
        <v>44363</v>
      </c>
      <c r="I16" s="14"/>
      <c r="J16" s="14">
        <f>16.48+26.36</f>
        <v>42.84</v>
      </c>
      <c r="K16" s="87" t="s">
        <v>165</v>
      </c>
    </row>
    <row r="17" spans="1:11" ht="16.5" customHeight="1">
      <c r="A17" s="16" t="s">
        <v>44354</v>
      </c>
      <c r="B17" s="14"/>
      <c r="C17" s="14"/>
      <c r="D17" s="14">
        <v>1.5</v>
      </c>
      <c r="E17" s="14" t="s">
        <v>165</v>
      </c>
      <c r="F17" s="14"/>
      <c r="G17" s="14"/>
      <c r="H17" s="14" t="s">
        <v>41832</v>
      </c>
      <c r="I17" s="14"/>
      <c r="J17" s="14">
        <v>24.45</v>
      </c>
      <c r="K17" s="87" t="s">
        <v>165</v>
      </c>
    </row>
    <row r="18" spans="1:11">
      <c r="A18" s="782" t="s">
        <v>44355</v>
      </c>
      <c r="B18" s="783"/>
      <c r="C18" s="783"/>
      <c r="D18" s="14">
        <f>ROUNDUP(D16/D17,0)</f>
        <v>74</v>
      </c>
      <c r="E18" s="14" t="s">
        <v>103</v>
      </c>
      <c r="F18" s="14"/>
      <c r="G18" s="14"/>
      <c r="H18" s="14" t="s">
        <v>27889</v>
      </c>
      <c r="I18" s="14"/>
      <c r="J18" s="14">
        <f>SUM(J15:J17)</f>
        <v>110.13000000000001</v>
      </c>
      <c r="K18" s="87" t="s">
        <v>165</v>
      </c>
    </row>
    <row r="19" spans="1:11" s="57" customFormat="1">
      <c r="A19" s="91" t="s">
        <v>44356</v>
      </c>
      <c r="B19" s="88"/>
      <c r="C19" s="88"/>
      <c r="D19" s="88">
        <v>3</v>
      </c>
      <c r="E19" s="14" t="s">
        <v>165</v>
      </c>
      <c r="F19" s="14"/>
      <c r="G19" s="14"/>
      <c r="H19" s="14"/>
      <c r="I19" s="14"/>
      <c r="J19" s="14"/>
      <c r="K19" s="87"/>
    </row>
    <row r="20" spans="1:11">
      <c r="A20" s="16" t="s">
        <v>44357</v>
      </c>
      <c r="B20" s="88"/>
      <c r="C20" s="88"/>
      <c r="D20" s="88">
        <f>D18*D19</f>
        <v>222</v>
      </c>
      <c r="E20" s="14" t="s">
        <v>165</v>
      </c>
      <c r="F20" s="14"/>
      <c r="G20" s="14"/>
      <c r="H20" s="14"/>
      <c r="I20" s="14"/>
      <c r="J20" s="14"/>
      <c r="K20" s="87"/>
    </row>
    <row r="21" spans="1:11">
      <c r="A21" s="16" t="s">
        <v>44365</v>
      </c>
      <c r="B21" s="88"/>
      <c r="C21" s="88"/>
      <c r="D21" s="88">
        <v>5</v>
      </c>
      <c r="E21" s="14" t="s">
        <v>44358</v>
      </c>
      <c r="F21" s="14"/>
      <c r="G21" s="14"/>
      <c r="H21" s="14"/>
      <c r="I21" s="14"/>
      <c r="J21" s="14"/>
      <c r="K21" s="87"/>
    </row>
    <row r="22" spans="1:11">
      <c r="A22" s="16"/>
      <c r="B22" s="14"/>
      <c r="C22" s="14"/>
      <c r="D22" s="14"/>
      <c r="E22" s="14"/>
      <c r="F22" s="14"/>
      <c r="G22" s="14"/>
      <c r="H22" s="14"/>
      <c r="I22" s="14"/>
      <c r="J22" s="14"/>
      <c r="K22" s="87"/>
    </row>
    <row r="23" spans="1:11">
      <c r="A23" s="16"/>
      <c r="B23" s="14"/>
      <c r="C23" s="14"/>
      <c r="D23" s="14"/>
      <c r="E23" s="14"/>
      <c r="F23" s="14"/>
      <c r="G23" s="14"/>
      <c r="H23" s="14"/>
      <c r="I23" s="14"/>
      <c r="J23" s="89"/>
      <c r="K23" s="90"/>
    </row>
    <row r="24" spans="1:11">
      <c r="A24" s="16"/>
      <c r="B24" s="14"/>
      <c r="C24" s="14"/>
      <c r="D24" s="14"/>
      <c r="E24" s="14"/>
      <c r="F24" s="14"/>
      <c r="G24" s="14"/>
      <c r="H24" s="88"/>
      <c r="I24" s="89"/>
      <c r="J24" s="89"/>
      <c r="K24" s="90"/>
    </row>
    <row r="25" spans="1:11">
      <c r="A25" s="16" t="s">
        <v>41797</v>
      </c>
      <c r="B25" s="14"/>
      <c r="C25" s="14">
        <f>D20*D21</f>
        <v>1110</v>
      </c>
      <c r="D25" s="14" t="s">
        <v>44359</v>
      </c>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c r="B28" s="88"/>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C25</f>
        <v>1110</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10868</v>
      </c>
      <c r="B33" s="1174" t="str">
        <f>VLOOKUP($A33, 'Plan Orçamentária'!$Q$2:$S$128267,2,FALSE)</f>
        <v>MONTAGEM E DESMONTAGEM DE ANDAIME TORRE METÁLICA COM ALTURA ATÉ 10 M</v>
      </c>
      <c r="C33" s="1174"/>
      <c r="D33" s="1174"/>
      <c r="E33" s="1174"/>
      <c r="F33" s="1174"/>
      <c r="G33" s="1174"/>
      <c r="H33" s="1174"/>
      <c r="I33" s="1174"/>
      <c r="J33" s="1174"/>
      <c r="K33" s="12" t="str">
        <f>VLOOKUP($A33,'Plan Orçamentária'!$Q$2:$S$138267,3,FALSE)</f>
        <v>M</v>
      </c>
      <c r="L33" s="15">
        <f>J51</f>
        <v>1998</v>
      </c>
    </row>
    <row r="34" spans="1:12">
      <c r="A34" s="86"/>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784" t="s">
        <v>44357</v>
      </c>
      <c r="B36" s="234"/>
      <c r="C36" s="234"/>
      <c r="D36" s="234">
        <f>D20</f>
        <v>222</v>
      </c>
      <c r="E36" s="234" t="s">
        <v>165</v>
      </c>
      <c r="F36" s="14"/>
      <c r="G36" s="14"/>
      <c r="H36" s="14"/>
      <c r="I36" s="14"/>
      <c r="J36" s="14"/>
      <c r="K36" s="87"/>
    </row>
    <row r="37" spans="1:12" ht="16.5" customHeight="1">
      <c r="A37" s="784" t="s">
        <v>44360</v>
      </c>
      <c r="B37" s="785"/>
      <c r="C37" s="785"/>
      <c r="D37" s="234">
        <f>SUM(C41:C45)</f>
        <v>9</v>
      </c>
      <c r="E37" s="234" t="s">
        <v>103</v>
      </c>
      <c r="F37" s="14"/>
      <c r="G37" s="14"/>
      <c r="H37" s="14"/>
      <c r="I37" s="14"/>
      <c r="J37" s="14"/>
      <c r="K37" s="87"/>
    </row>
    <row r="38" spans="1:12">
      <c r="A38" s="784" t="s">
        <v>27889</v>
      </c>
      <c r="B38" s="234"/>
      <c r="C38" s="234"/>
      <c r="D38" s="234">
        <f>D36*D37</f>
        <v>1998</v>
      </c>
      <c r="E38" s="234" t="s">
        <v>165</v>
      </c>
      <c r="F38" s="14"/>
      <c r="G38" s="14"/>
      <c r="H38" s="14"/>
      <c r="I38" s="14"/>
      <c r="J38" s="14"/>
      <c r="K38" s="87"/>
    </row>
    <row r="39" spans="1:12" s="57" customFormat="1">
      <c r="A39" s="16"/>
      <c r="B39" s="88"/>
      <c r="C39" s="88"/>
      <c r="D39" s="88"/>
      <c r="E39" s="14"/>
      <c r="F39" s="14"/>
      <c r="G39" s="14"/>
      <c r="H39" s="14"/>
      <c r="I39" s="14"/>
      <c r="J39" s="14"/>
      <c r="K39" s="87"/>
    </row>
    <row r="40" spans="1:12">
      <c r="A40" s="16" t="s">
        <v>44361</v>
      </c>
      <c r="B40" s="88"/>
      <c r="C40" s="88"/>
      <c r="D40" s="88"/>
      <c r="E40" s="14"/>
      <c r="F40" s="14"/>
      <c r="G40" s="14"/>
      <c r="H40" s="14"/>
      <c r="I40" s="14"/>
      <c r="J40" s="14"/>
      <c r="K40" s="87"/>
    </row>
    <row r="41" spans="1:12">
      <c r="A41" s="14" t="s">
        <v>44362</v>
      </c>
      <c r="B41" s="14"/>
      <c r="C41" s="14">
        <v>3</v>
      </c>
      <c r="D41" s="14" t="s">
        <v>103</v>
      </c>
      <c r="E41" s="14"/>
      <c r="F41" s="14"/>
      <c r="G41" s="14"/>
      <c r="H41" s="14"/>
      <c r="I41" s="14"/>
      <c r="J41" s="14"/>
      <c r="K41" s="87"/>
    </row>
    <row r="42" spans="1:12">
      <c r="A42" s="14" t="s">
        <v>44363</v>
      </c>
      <c r="B42" s="14"/>
      <c r="C42" s="14">
        <v>3</v>
      </c>
      <c r="D42" s="14" t="s">
        <v>103</v>
      </c>
      <c r="E42" s="14"/>
      <c r="F42" s="14"/>
      <c r="G42" s="14"/>
      <c r="H42" s="14"/>
      <c r="I42" s="14"/>
      <c r="J42" s="14"/>
      <c r="K42" s="87"/>
    </row>
    <row r="43" spans="1:12">
      <c r="A43" s="14" t="s">
        <v>41832</v>
      </c>
      <c r="B43" s="14"/>
      <c r="C43" s="14">
        <v>3</v>
      </c>
      <c r="D43" s="14" t="s">
        <v>103</v>
      </c>
      <c r="E43" s="14"/>
      <c r="F43" s="14"/>
      <c r="G43" s="14"/>
      <c r="H43" s="88"/>
      <c r="I43" s="89"/>
      <c r="J43" s="89"/>
      <c r="K43" s="90"/>
    </row>
    <row r="44" spans="1:12">
      <c r="A44" s="16"/>
      <c r="B44" s="14"/>
      <c r="C44" s="14"/>
      <c r="D44" s="14"/>
      <c r="E44" s="14"/>
      <c r="F44" s="14"/>
      <c r="G44" s="14"/>
      <c r="H44" s="88"/>
      <c r="I44" s="89"/>
      <c r="J44" s="89"/>
      <c r="K44" s="90"/>
    </row>
    <row r="45" spans="1:12">
      <c r="A45" s="16"/>
      <c r="B45" s="14"/>
      <c r="C45" s="14"/>
      <c r="D45" s="14"/>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14"/>
      <c r="F47" s="88"/>
      <c r="G47" s="88"/>
      <c r="H47" s="88"/>
      <c r="I47" s="89"/>
      <c r="J47" s="89"/>
      <c r="K47" s="90"/>
    </row>
    <row r="48" spans="1:12">
      <c r="A48" s="91"/>
      <c r="B48" s="88"/>
      <c r="C48" s="88"/>
      <c r="D48" s="88"/>
      <c r="E48" s="14"/>
      <c r="F48" s="14"/>
      <c r="G48" s="14"/>
      <c r="H48" s="88"/>
      <c r="I48" s="89"/>
      <c r="J48" s="89"/>
      <c r="K48" s="90"/>
    </row>
    <row r="49" spans="1:11">
      <c r="A49" s="91"/>
      <c r="B49" s="88"/>
      <c r="C49" s="88"/>
      <c r="D49" s="88"/>
      <c r="E49" s="88"/>
      <c r="F49" s="88"/>
      <c r="G49" s="88"/>
      <c r="H49" s="88"/>
      <c r="I49" s="89"/>
      <c r="J49" s="89"/>
      <c r="K49" s="90"/>
    </row>
    <row r="50" spans="1:11" ht="16">
      <c r="A50" s="10" t="s">
        <v>28032</v>
      </c>
      <c r="B50" s="207"/>
      <c r="C50" s="207"/>
      <c r="D50" s="207"/>
      <c r="E50" s="207"/>
      <c r="F50" s="207"/>
      <c r="G50" s="207"/>
      <c r="H50" s="207"/>
      <c r="I50" s="207"/>
      <c r="J50" s="1175" t="s">
        <v>28033</v>
      </c>
      <c r="K50" s="1176"/>
    </row>
    <row r="51" spans="1:11" ht="17" thickBot="1">
      <c r="A51" s="6"/>
      <c r="B51" s="11"/>
      <c r="C51" s="11"/>
      <c r="D51" s="11"/>
      <c r="E51" s="11"/>
      <c r="F51" s="11"/>
      <c r="G51" s="11"/>
      <c r="H51" s="11"/>
      <c r="I51" s="11"/>
      <c r="J51" s="1177">
        <f>D38</f>
        <v>1998</v>
      </c>
      <c r="K51" s="1178"/>
    </row>
  </sheetData>
  <mergeCells count="11">
    <mergeCell ref="J30:K30"/>
    <mergeCell ref="A1:K1"/>
    <mergeCell ref="A2:K10"/>
    <mergeCell ref="B11:K11"/>
    <mergeCell ref="B12:J12"/>
    <mergeCell ref="B13:J13"/>
    <mergeCell ref="J31:K31"/>
    <mergeCell ref="B32:J32"/>
    <mergeCell ref="B33:J33"/>
    <mergeCell ref="J50:K50"/>
    <mergeCell ref="J51:K51"/>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201E5-D779-4C09-9AC9-7B47308D1FFA}">
  <sheetPr codeName="Planilha43">
    <pageSetUpPr fitToPage="1"/>
  </sheetPr>
  <dimension ref="A1:L51"/>
  <sheetViews>
    <sheetView view="pageBreakPreview" topLeftCell="A11"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44478</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671">
        <v>99059</v>
      </c>
      <c r="B13" s="1174" t="str">
        <f>VLOOKUP($A13, 'Plan Orçamentária'!$Q$2:$S$128267,2,FALSE)</f>
        <v>LOCAÇÃO CONVENCIONAL DE OBRA, UTILIZANDO GABARITO DE TÁBUAS CORRIDAS PONTALETADAS A CADA 2,00M - 2 UTILIZAÇÕES. AF_03/2024</v>
      </c>
      <c r="C13" s="1174"/>
      <c r="D13" s="1174"/>
      <c r="E13" s="1174"/>
      <c r="F13" s="1174"/>
      <c r="G13" s="1174"/>
      <c r="H13" s="1174"/>
      <c r="I13" s="1174"/>
      <c r="J13" s="1174"/>
      <c r="K13" s="12" t="str">
        <f>VLOOKUP($A13,'Plan Orçamentária'!$Q$2:$S$138267,3,FALSE)</f>
        <v>M</v>
      </c>
      <c r="L13" s="15">
        <f>J31</f>
        <v>110.05</v>
      </c>
    </row>
    <row r="14" spans="1:12">
      <c r="A14" s="86" t="s">
        <v>44477</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41786</v>
      </c>
      <c r="B16" s="233">
        <v>110.05</v>
      </c>
      <c r="C16" s="14" t="str">
        <f>K13</f>
        <v>M</v>
      </c>
      <c r="D16" s="14"/>
      <c r="E16" s="14"/>
      <c r="F16" s="14"/>
      <c r="G16" s="14"/>
      <c r="H16" s="14"/>
      <c r="I16" s="14"/>
      <c r="J16" s="14"/>
      <c r="K16" s="87"/>
    </row>
    <row r="17" spans="1:11" ht="16.5" customHeight="1">
      <c r="A17" s="16"/>
      <c r="B17" s="14"/>
      <c r="C17" s="14"/>
      <c r="D17" s="807"/>
      <c r="E17" s="14"/>
      <c r="F17" s="14"/>
      <c r="G17" s="14"/>
      <c r="H17" s="14"/>
      <c r="I17" s="14"/>
      <c r="J17" s="14"/>
      <c r="K17" s="87"/>
    </row>
    <row r="18" spans="1:11">
      <c r="A18" s="209"/>
      <c r="B18" s="208"/>
      <c r="C18" s="208"/>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v>110.05</v>
      </c>
      <c r="C28" s="88" t="str">
        <f>K13</f>
        <v>M</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110.05</v>
      </c>
      <c r="K31" s="1178"/>
    </row>
    <row r="32" spans="1:11" ht="22">
      <c r="A32" s="4" t="s">
        <v>28028</v>
      </c>
      <c r="B32" s="1173" t="s">
        <v>28029</v>
      </c>
      <c r="C32" s="1173"/>
      <c r="D32" s="1173"/>
      <c r="E32" s="1173"/>
      <c r="F32" s="1173"/>
      <c r="G32" s="1173"/>
      <c r="H32" s="1173"/>
      <c r="I32" s="1173"/>
      <c r="J32" s="1173"/>
      <c r="K32" s="5" t="s">
        <v>28030</v>
      </c>
    </row>
    <row r="33" spans="1:12" ht="22" customHeight="1" thickBot="1">
      <c r="A33" s="671">
        <v>90781</v>
      </c>
      <c r="B33" s="1174" t="str">
        <f>VLOOKUP($A33, 'Plan Orçamentária'!$Q$2:$S$128267,2,FALSE)</f>
        <v>TOPOGRAFO COM ENCARGOS COMPLEMENTARES</v>
      </c>
      <c r="C33" s="1174"/>
      <c r="D33" s="1174"/>
      <c r="E33" s="1174"/>
      <c r="F33" s="1174"/>
      <c r="G33" s="1174"/>
      <c r="H33" s="1174"/>
      <c r="I33" s="1174"/>
      <c r="J33" s="1174"/>
      <c r="K33" s="12" t="str">
        <f>VLOOKUP($A33,'Plan Orçamentária'!$Q$2:$S$138267,3,FALSE)</f>
        <v>H</v>
      </c>
      <c r="L33" s="15">
        <f>J51</f>
        <v>70</v>
      </c>
    </row>
    <row r="34" spans="1:12">
      <c r="A34" s="86" t="s">
        <v>44477</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44479</v>
      </c>
      <c r="B36" s="14"/>
      <c r="C36" s="14"/>
      <c r="D36" s="14">
        <v>16</v>
      </c>
      <c r="E36" s="14" t="s">
        <v>11</v>
      </c>
      <c r="F36" s="14"/>
      <c r="G36" s="14"/>
      <c r="H36" s="14"/>
      <c r="I36" s="14"/>
      <c r="J36" s="14"/>
      <c r="K36" s="87"/>
    </row>
    <row r="37" spans="1:12" ht="16.5" customHeight="1">
      <c r="A37" s="16" t="s">
        <v>44480</v>
      </c>
      <c r="B37" s="233"/>
      <c r="C37" s="14"/>
      <c r="D37" s="14">
        <f>C38*C39</f>
        <v>38</v>
      </c>
      <c r="E37" s="14" t="s">
        <v>11</v>
      </c>
      <c r="F37" s="14"/>
      <c r="G37" s="14"/>
      <c r="H37" s="14"/>
      <c r="I37" s="14"/>
      <c r="J37" s="14"/>
      <c r="K37" s="87"/>
    </row>
    <row r="38" spans="1:12">
      <c r="A38" s="16" t="s">
        <v>44481</v>
      </c>
      <c r="B38" s="233"/>
      <c r="C38" s="14">
        <v>19</v>
      </c>
      <c r="D38" s="14" t="s">
        <v>103</v>
      </c>
      <c r="E38" s="14"/>
      <c r="F38" s="14"/>
      <c r="G38" s="14"/>
      <c r="H38" s="14"/>
      <c r="I38" s="14"/>
      <c r="J38" s="14"/>
      <c r="K38" s="87"/>
    </row>
    <row r="39" spans="1:12" s="57" customFormat="1">
      <c r="A39" s="16" t="s">
        <v>44482</v>
      </c>
      <c r="B39" s="233"/>
      <c r="C39" s="14">
        <v>2</v>
      </c>
      <c r="D39" s="14" t="s">
        <v>11</v>
      </c>
      <c r="E39" s="14"/>
      <c r="F39" s="14"/>
      <c r="G39" s="14"/>
      <c r="H39" s="14"/>
      <c r="I39" s="14"/>
      <c r="J39" s="14"/>
      <c r="K39" s="87"/>
    </row>
    <row r="40" spans="1:12">
      <c r="A40" s="209"/>
      <c r="B40" s="233"/>
      <c r="C40" s="208"/>
      <c r="D40" s="14"/>
      <c r="E40" s="14"/>
      <c r="F40" s="14"/>
      <c r="G40" s="14"/>
      <c r="H40" s="14"/>
      <c r="I40" s="14"/>
      <c r="J40" s="14"/>
      <c r="K40" s="87"/>
    </row>
    <row r="41" spans="1:12">
      <c r="A41" s="209"/>
      <c r="B41" s="95"/>
      <c r="C41" s="95"/>
      <c r="D41" s="14"/>
      <c r="E41" s="14"/>
      <c r="F41" s="14"/>
      <c r="G41" s="14"/>
      <c r="H41" s="14"/>
      <c r="I41" s="14"/>
      <c r="J41" s="14"/>
      <c r="K41" s="87"/>
    </row>
    <row r="42" spans="1:12">
      <c r="A42" s="16"/>
      <c r="B42" s="233"/>
      <c r="C42" s="14"/>
      <c r="D42" s="14"/>
      <c r="E42" s="14"/>
      <c r="F42" s="14"/>
      <c r="G42" s="14"/>
      <c r="H42" s="14"/>
      <c r="I42" s="14"/>
      <c r="J42" s="14"/>
      <c r="K42" s="87"/>
    </row>
    <row r="43" spans="1:12">
      <c r="A43" s="16"/>
      <c r="B43" s="233"/>
      <c r="C43" s="14"/>
      <c r="D43" s="14"/>
      <c r="E43" s="14"/>
      <c r="F43" s="14"/>
      <c r="G43" s="14"/>
      <c r="H43" s="88"/>
      <c r="I43" s="89"/>
      <c r="J43" s="89"/>
      <c r="K43" s="90"/>
    </row>
    <row r="44" spans="1:12">
      <c r="A44" s="209"/>
      <c r="B44" s="14"/>
      <c r="C44" s="14"/>
      <c r="D44" s="88"/>
      <c r="E44" s="14"/>
      <c r="F44" s="14"/>
      <c r="G44" s="14"/>
      <c r="H44" s="88"/>
      <c r="I44" s="89"/>
      <c r="J44" s="89"/>
      <c r="K44" s="90"/>
    </row>
    <row r="45" spans="1:12">
      <c r="A45" s="16" t="s">
        <v>44483</v>
      </c>
      <c r="B45" s="14"/>
      <c r="C45" s="14"/>
      <c r="D45" s="88"/>
      <c r="E45" s="14"/>
      <c r="F45" s="14">
        <v>16</v>
      </c>
      <c r="G45" s="14" t="s">
        <v>11</v>
      </c>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SUM(D36:D37,F45,D41)</f>
        <v>70</v>
      </c>
      <c r="C48" s="88" t="str">
        <f>K33</f>
        <v>H</v>
      </c>
      <c r="D48" s="88"/>
      <c r="E48" s="14"/>
      <c r="F48" s="14"/>
      <c r="G48" s="14"/>
      <c r="H48" s="88"/>
      <c r="I48" s="89"/>
      <c r="J48" s="89"/>
      <c r="K48" s="90"/>
    </row>
    <row r="49" spans="1:11">
      <c r="A49" s="91"/>
      <c r="B49" s="88"/>
      <c r="C49" s="88"/>
      <c r="D49" s="88"/>
      <c r="E49" s="88"/>
      <c r="F49" s="88"/>
      <c r="G49" s="88"/>
      <c r="H49" s="88"/>
      <c r="I49" s="89"/>
      <c r="J49" s="89"/>
      <c r="K49" s="90"/>
    </row>
    <row r="50" spans="1:11" ht="16">
      <c r="A50" s="10" t="s">
        <v>28032</v>
      </c>
      <c r="B50" s="207"/>
      <c r="C50" s="207"/>
      <c r="D50" s="207"/>
      <c r="E50" s="207"/>
      <c r="F50" s="207"/>
      <c r="G50" s="207"/>
      <c r="H50" s="207"/>
      <c r="I50" s="207"/>
      <c r="J50" s="1175" t="s">
        <v>28033</v>
      </c>
      <c r="K50" s="1176"/>
    </row>
    <row r="51" spans="1:11" ht="17" thickBot="1">
      <c r="A51" s="6"/>
      <c r="B51" s="11"/>
      <c r="C51" s="11"/>
      <c r="D51" s="11"/>
      <c r="E51" s="11"/>
      <c r="F51" s="11"/>
      <c r="G51" s="11"/>
      <c r="H51" s="11"/>
      <c r="I51" s="11"/>
      <c r="J51" s="1177">
        <f>B48</f>
        <v>70</v>
      </c>
      <c r="K51" s="1178"/>
    </row>
  </sheetData>
  <mergeCells count="11">
    <mergeCell ref="J30:K30"/>
    <mergeCell ref="A1:K1"/>
    <mergeCell ref="A2:K10"/>
    <mergeCell ref="B11:K11"/>
    <mergeCell ref="B12:J12"/>
    <mergeCell ref="B13:J13"/>
    <mergeCell ref="J31:K31"/>
    <mergeCell ref="B32:J32"/>
    <mergeCell ref="B33:J33"/>
    <mergeCell ref="J50:K50"/>
    <mergeCell ref="J51:K51"/>
  </mergeCells>
  <conditionalFormatting sqref="A13">
    <cfRule type="expression" dxfId="209" priority="29">
      <formula>$M13="NÍVEL 1"</formula>
    </cfRule>
    <cfRule type="expression" dxfId="208" priority="30">
      <formula>$M13="NÍVEL 2"</formula>
    </cfRule>
  </conditionalFormatting>
  <conditionalFormatting sqref="A13">
    <cfRule type="expression" dxfId="207" priority="28" stopIfTrue="1">
      <formula>$M13="NÍVEL 3"</formula>
    </cfRule>
  </conditionalFormatting>
  <conditionalFormatting sqref="A33">
    <cfRule type="expression" dxfId="206" priority="26">
      <formula>$M33="NÍVEL 1"</formula>
    </cfRule>
    <cfRule type="expression" dxfId="205" priority="27">
      <formula>$M33="NÍVEL 2"</formula>
    </cfRule>
  </conditionalFormatting>
  <conditionalFormatting sqref="A33">
    <cfRule type="expression" dxfId="204" priority="25" stopIfTrue="1">
      <formula>$M33="NÍVEL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4425-E4EE-41EA-9B74-C49C02591B8D}">
  <sheetPr codeName="Planilha38">
    <pageSetUpPr fitToPage="1"/>
  </sheetPr>
  <dimension ref="A1:L131"/>
  <sheetViews>
    <sheetView view="pageBreakPreview" topLeftCell="A108"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44473</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414" t="s">
        <v>11840</v>
      </c>
      <c r="B13" s="1174" t="str">
        <f>VLOOKUP($A13, 'Plan Orçamentária'!$Q$2:$S$128267,2,FALSE)</f>
        <v>TAXA DE MOBILIZAÇÃO E DESMOBILIZAÇÃO DE EQUIPAMENTOS PARA EXECUÇÃO DE ESTACA TIPO STRAUSS</v>
      </c>
      <c r="C13" s="1174"/>
      <c r="D13" s="1174"/>
      <c r="E13" s="1174"/>
      <c r="F13" s="1174"/>
      <c r="G13" s="1174"/>
      <c r="H13" s="1174"/>
      <c r="I13" s="1174"/>
      <c r="J13" s="1174"/>
      <c r="K13" s="12" t="str">
        <f>VLOOKUP($A13,'Plan Orçamentária'!$Q$2:$S$138267,3,FALSE)</f>
        <v>TX</v>
      </c>
      <c r="L13" s="15">
        <f>J31</f>
        <v>1</v>
      </c>
    </row>
    <row r="14" spans="1:12">
      <c r="A14" s="86" t="s">
        <v>44477</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28041</v>
      </c>
      <c r="B16" s="233">
        <v>1</v>
      </c>
      <c r="C16" s="14" t="str">
        <f>K13</f>
        <v>TX</v>
      </c>
      <c r="D16" s="14"/>
      <c r="E16" s="14"/>
      <c r="F16" s="14"/>
      <c r="G16" s="14"/>
      <c r="H16" s="14"/>
      <c r="I16" s="14"/>
      <c r="J16" s="14"/>
      <c r="K16" s="87"/>
    </row>
    <row r="17" spans="1:11" ht="16.5" customHeight="1">
      <c r="A17" s="16"/>
      <c r="B17" s="234"/>
      <c r="C17" s="14"/>
      <c r="D17" s="14"/>
      <c r="E17" s="14"/>
      <c r="F17" s="14"/>
      <c r="G17" s="14"/>
      <c r="H17" s="14"/>
      <c r="I17" s="14"/>
      <c r="J17" s="14"/>
      <c r="K17" s="87"/>
    </row>
    <row r="18" spans="1:11">
      <c r="A18" s="16"/>
      <c r="B18" s="14"/>
      <c r="C18" s="14"/>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14"/>
      <c r="F27" s="88"/>
      <c r="G27" s="88"/>
      <c r="H27" s="88"/>
      <c r="I27" s="89"/>
      <c r="J27" s="89"/>
      <c r="K27" s="90"/>
    </row>
    <row r="28" spans="1:11">
      <c r="A28" s="91" t="s">
        <v>28031</v>
      </c>
      <c r="B28" s="88">
        <f>B16</f>
        <v>1</v>
      </c>
      <c r="C28" s="88" t="str">
        <f>K13</f>
        <v>TX</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1</v>
      </c>
      <c r="K31" s="1178"/>
    </row>
    <row r="32" spans="1:11" ht="22">
      <c r="A32" s="4" t="s">
        <v>28028</v>
      </c>
      <c r="B32" s="1173" t="s">
        <v>28029</v>
      </c>
      <c r="C32" s="1173"/>
      <c r="D32" s="1173"/>
      <c r="E32" s="1173"/>
      <c r="F32" s="1173"/>
      <c r="G32" s="1173"/>
      <c r="H32" s="1173"/>
      <c r="I32" s="1173"/>
      <c r="J32" s="1173"/>
      <c r="K32" s="5" t="s">
        <v>28030</v>
      </c>
    </row>
    <row r="33" spans="1:12" ht="22" customHeight="1" thickBot="1">
      <c r="A33" s="414" t="s">
        <v>11841</v>
      </c>
      <c r="B33" s="1174" t="str">
        <f>VLOOKUP($A33, 'Plan Orçamentária'!$Q$2:$S$128267,2,FALSE)</f>
        <v>ESTACA TIPO STRAUSS, DIÂMETRO DE 25 CM ATÉ 20 T</v>
      </c>
      <c r="C33" s="1174"/>
      <c r="D33" s="1174"/>
      <c r="E33" s="1174"/>
      <c r="F33" s="1174"/>
      <c r="G33" s="1174"/>
      <c r="H33" s="1174"/>
      <c r="I33" s="1174"/>
      <c r="J33" s="1174"/>
      <c r="K33" s="12" t="str">
        <f>VLOOKUP($A33,'Plan Orçamentária'!$Q$2:$S$138267,3,FALSE)</f>
        <v>M</v>
      </c>
      <c r="L33" s="15">
        <f>J51</f>
        <v>357</v>
      </c>
    </row>
    <row r="34" spans="1:12">
      <c r="A34" s="86" t="s">
        <v>44477</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c r="B36" s="786" t="s">
        <v>44419</v>
      </c>
      <c r="C36" s="787" t="s">
        <v>44397</v>
      </c>
      <c r="D36" s="787" t="s">
        <v>44420</v>
      </c>
      <c r="E36" s="14"/>
      <c r="F36" s="14"/>
      <c r="G36" s="14"/>
      <c r="H36" s="14"/>
      <c r="I36" s="14"/>
      <c r="J36" s="14"/>
      <c r="K36" s="87"/>
    </row>
    <row r="37" spans="1:12" ht="16.5" customHeight="1">
      <c r="A37" s="16"/>
      <c r="B37" s="788">
        <v>7</v>
      </c>
      <c r="C37" s="787">
        <v>51</v>
      </c>
      <c r="D37" s="787">
        <f>B37*C37</f>
        <v>357</v>
      </c>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14"/>
      <c r="F47" s="88"/>
      <c r="G47" s="88"/>
      <c r="H47" s="88"/>
      <c r="I47" s="89"/>
      <c r="J47" s="89"/>
      <c r="K47" s="90"/>
    </row>
    <row r="48" spans="1:12">
      <c r="A48" s="91" t="s">
        <v>28031</v>
      </c>
      <c r="B48" s="88">
        <f>D37</f>
        <v>357</v>
      </c>
      <c r="C48" s="88" t="str">
        <f>K33</f>
        <v>M</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357</v>
      </c>
      <c r="K51" s="1178"/>
    </row>
    <row r="52" spans="1:12" ht="22">
      <c r="A52" s="4" t="s">
        <v>28028</v>
      </c>
      <c r="B52" s="1173" t="s">
        <v>28029</v>
      </c>
      <c r="C52" s="1173"/>
      <c r="D52" s="1173"/>
      <c r="E52" s="1173"/>
      <c r="F52" s="1173"/>
      <c r="G52" s="1173"/>
      <c r="H52" s="1173"/>
      <c r="I52" s="1173"/>
      <c r="J52" s="1173"/>
      <c r="K52" s="5" t="s">
        <v>28030</v>
      </c>
    </row>
    <row r="53" spans="1:12" ht="22" customHeight="1" thickBot="1">
      <c r="A53" s="414" t="s">
        <v>11685</v>
      </c>
      <c r="B53" s="1174" t="str">
        <f>VLOOKUP($A53, 'Plan Orçamentária'!$Q$2:$S$128267,2,FALSE)</f>
        <v>ARMADURA EM BARRA DE AÇO CA-50 (A OU B) FYK = 500 MPA</v>
      </c>
      <c r="C53" s="1174"/>
      <c r="D53" s="1174"/>
      <c r="E53" s="1174"/>
      <c r="F53" s="1174"/>
      <c r="G53" s="1174"/>
      <c r="H53" s="1174"/>
      <c r="I53" s="1174"/>
      <c r="J53" s="1174"/>
      <c r="K53" s="12" t="str">
        <f>VLOOKUP($A53,'Plan Orçamentária'!$Q$2:$S$138267,3,FALSE)</f>
        <v>KG</v>
      </c>
      <c r="L53" s="15">
        <f>J71</f>
        <v>614.1</v>
      </c>
    </row>
    <row r="54" spans="1:12">
      <c r="A54" s="86" t="s">
        <v>44477</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233"/>
      <c r="C56" s="14"/>
      <c r="D56" s="233"/>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14"/>
      <c r="F67" s="88"/>
      <c r="G67" s="88"/>
      <c r="H67" s="88"/>
      <c r="I67" s="89"/>
      <c r="J67" s="89"/>
      <c r="K67" s="90"/>
    </row>
    <row r="68" spans="1:12">
      <c r="A68" s="91" t="s">
        <v>28031</v>
      </c>
      <c r="B68" s="88">
        <v>614.1</v>
      </c>
      <c r="C68" s="88" t="str">
        <f>K53</f>
        <v>KG</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614.1</v>
      </c>
      <c r="K71" s="1178"/>
    </row>
    <row r="72" spans="1:12" ht="22">
      <c r="A72" s="4" t="s">
        <v>28028</v>
      </c>
      <c r="B72" s="1173" t="s">
        <v>28029</v>
      </c>
      <c r="C72" s="1173"/>
      <c r="D72" s="1173"/>
      <c r="E72" s="1173"/>
      <c r="F72" s="1173"/>
      <c r="G72" s="1173"/>
      <c r="H72" s="1173"/>
      <c r="I72" s="1173"/>
      <c r="J72" s="1173"/>
      <c r="K72" s="5" t="s">
        <v>28030</v>
      </c>
    </row>
    <row r="73" spans="1:12" ht="22" customHeight="1" thickBot="1">
      <c r="A73" s="414" t="s">
        <v>11687</v>
      </c>
      <c r="B73" s="1174" t="str">
        <f>VLOOKUP($A73, 'Plan Orçamentária'!$Q$2:$S$128267,2,FALSE)</f>
        <v>ARMADURA EM BARRA DE AÇO CA-60 (A OU B) FYK = 600 MPA</v>
      </c>
      <c r="C73" s="1174"/>
      <c r="D73" s="1174"/>
      <c r="E73" s="1174"/>
      <c r="F73" s="1174"/>
      <c r="G73" s="1174"/>
      <c r="H73" s="1174"/>
      <c r="I73" s="1174"/>
      <c r="J73" s="1174"/>
      <c r="K73" s="12" t="str">
        <f>VLOOKUP($A73,'Plan Orçamentária'!$Q$2:$S$138267,3,FALSE)</f>
        <v>KG</v>
      </c>
      <c r="L73" s="15">
        <f>J91</f>
        <v>104.7</v>
      </c>
    </row>
    <row r="74" spans="1:12">
      <c r="A74" s="86" t="s">
        <v>44477</v>
      </c>
      <c r="B74" s="14"/>
      <c r="C74" s="14"/>
      <c r="D74" s="14"/>
      <c r="E74" s="14"/>
      <c r="F74" s="14"/>
      <c r="G74" s="14"/>
      <c r="H74" s="14"/>
      <c r="I74" s="14"/>
      <c r="J74" s="14"/>
      <c r="K74" s="87"/>
    </row>
    <row r="75" spans="1:12" ht="16.5" customHeight="1">
      <c r="A75" s="16"/>
      <c r="B75" s="787"/>
      <c r="C75" s="787"/>
      <c r="D75" s="787"/>
      <c r="E75" s="14"/>
      <c r="F75" s="14"/>
      <c r="G75" s="14"/>
      <c r="H75" s="14"/>
      <c r="I75" s="14"/>
      <c r="J75" s="14"/>
      <c r="K75" s="87"/>
    </row>
    <row r="76" spans="1:12" ht="16.5" customHeight="1">
      <c r="A76" s="16"/>
      <c r="B76" s="786"/>
      <c r="C76" s="787"/>
      <c r="D76" s="787"/>
      <c r="E76" s="787"/>
      <c r="F76" s="14"/>
      <c r="G76" s="14"/>
      <c r="H76" s="14"/>
      <c r="I76" s="14"/>
      <c r="J76" s="14"/>
      <c r="K76" s="87"/>
    </row>
    <row r="77" spans="1:12" ht="16.5" customHeight="1">
      <c r="A77" s="16"/>
      <c r="B77" s="234"/>
      <c r="C77" s="14"/>
      <c r="D77" s="14"/>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14"/>
      <c r="F87" s="88"/>
      <c r="G87" s="88"/>
      <c r="H87" s="88"/>
      <c r="I87" s="89"/>
      <c r="J87" s="89"/>
      <c r="K87" s="90"/>
    </row>
    <row r="88" spans="1:12">
      <c r="A88" s="91" t="s">
        <v>28031</v>
      </c>
      <c r="B88" s="88">
        <v>104.7</v>
      </c>
      <c r="C88" s="88" t="str">
        <f>K73</f>
        <v>KG</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104.7</v>
      </c>
      <c r="K91" s="1178"/>
    </row>
    <row r="92" spans="1:12" ht="22">
      <c r="A92" s="4" t="s">
        <v>28028</v>
      </c>
      <c r="B92" s="1173" t="s">
        <v>28029</v>
      </c>
      <c r="C92" s="1173"/>
      <c r="D92" s="1173"/>
      <c r="E92" s="1173"/>
      <c r="F92" s="1173"/>
      <c r="G92" s="1173"/>
      <c r="H92" s="1173"/>
      <c r="I92" s="1173"/>
      <c r="J92" s="1173"/>
      <c r="K92" s="5" t="s">
        <v>28030</v>
      </c>
    </row>
    <row r="93" spans="1:12" ht="22" customHeight="1" thickBot="1">
      <c r="A93" s="414" t="s">
        <v>41804</v>
      </c>
      <c r="B93" s="1174" t="str">
        <f>VLOOKUP($A93, 'Plan Orçamentária'!$Q$2:$S$128267,2,FALSE)</f>
        <v>CONTROLE TECNOLOGICO DE CONCRETOS</v>
      </c>
      <c r="C93" s="1174"/>
      <c r="D93" s="1174"/>
      <c r="E93" s="1174"/>
      <c r="F93" s="1174"/>
      <c r="G93" s="1174"/>
      <c r="H93" s="1174"/>
      <c r="I93" s="1174"/>
      <c r="J93" s="1174"/>
      <c r="K93" s="12" t="str">
        <f>VLOOKUP($A93,'Plan Orçamentária'!$Q$2:$S$138267,3,FALSE)</f>
        <v>M3</v>
      </c>
      <c r="L93" s="15">
        <f>J111</f>
        <v>15.21</v>
      </c>
    </row>
    <row r="94" spans="1:12">
      <c r="A94" s="86" t="s">
        <v>44477</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233"/>
      <c r="C96" s="14"/>
      <c r="D96" s="14"/>
      <c r="E96" s="14"/>
      <c r="F96" s="14"/>
      <c r="G96" s="14"/>
      <c r="H96" s="14"/>
      <c r="I96" s="14"/>
      <c r="J96" s="14"/>
      <c r="K96" s="87"/>
    </row>
    <row r="97" spans="1:11" ht="16.5" customHeight="1">
      <c r="A97" s="16"/>
      <c r="B97" s="234"/>
      <c r="C97" s="14"/>
      <c r="D97" s="14"/>
      <c r="E97" s="14"/>
      <c r="F97" s="14"/>
      <c r="G97" s="14"/>
      <c r="H97" s="14"/>
      <c r="I97" s="14"/>
      <c r="J97" s="14"/>
      <c r="K97" s="87"/>
    </row>
    <row r="98" spans="1:11">
      <c r="A98" s="16"/>
      <c r="B98" s="14"/>
      <c r="C98" s="14"/>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14"/>
      <c r="F107" s="88"/>
      <c r="G107" s="88"/>
      <c r="H107" s="88"/>
      <c r="I107" s="89"/>
      <c r="J107" s="89"/>
      <c r="K107" s="90"/>
    </row>
    <row r="108" spans="1:11">
      <c r="A108" s="91" t="s">
        <v>28031</v>
      </c>
      <c r="B108" s="88">
        <v>15.21</v>
      </c>
      <c r="C108" s="88" t="str">
        <f>K93</f>
        <v>M3</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15.21</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414" t="s">
        <v>11453</v>
      </c>
      <c r="B113" s="1174" t="str">
        <f>VLOOKUP($A113, 'Plan Orçamentária'!$Q$2:$S$128267,2,FALSE)</f>
        <v>TRANSPORTE DE SOLO DE 1ª E 2ª CATEGORIA POR CAMINHÃO PARA DISTÂNCIAS SUPERIORES AO 5° KM ATÉ O 10° KM</v>
      </c>
      <c r="C113" s="1174"/>
      <c r="D113" s="1174"/>
      <c r="E113" s="1174"/>
      <c r="F113" s="1174"/>
      <c r="G113" s="1174"/>
      <c r="H113" s="1174"/>
      <c r="I113" s="1174"/>
      <c r="J113" s="1174"/>
      <c r="K113" s="12" t="str">
        <f>VLOOKUP($A113,'Plan Orçamentária'!$Q$2:$S$138267,3,FALSE)</f>
        <v>M3</v>
      </c>
      <c r="L113" s="15">
        <f>J131</f>
        <v>15.21</v>
      </c>
    </row>
    <row r="114" spans="1:12">
      <c r="A114" s="86" t="s">
        <v>44477</v>
      </c>
      <c r="B114" s="14"/>
      <c r="C114" s="14"/>
      <c r="D114" s="14"/>
      <c r="E114" s="14"/>
      <c r="F114" s="14"/>
      <c r="G114" s="14"/>
      <c r="H114" s="14"/>
      <c r="I114" s="14"/>
      <c r="J114" s="14"/>
      <c r="K114" s="87"/>
    </row>
    <row r="115" spans="1:12" ht="16.5" customHeight="1">
      <c r="A115" s="16"/>
      <c r="B115" s="14"/>
      <c r="C115" s="14"/>
      <c r="D115" s="14"/>
      <c r="E115" s="14"/>
      <c r="F115" s="14"/>
      <c r="G115" s="14"/>
      <c r="H115" s="14"/>
      <c r="I115" s="14"/>
      <c r="J115" s="14"/>
      <c r="K115" s="87"/>
    </row>
    <row r="116" spans="1:12" ht="16.5" customHeight="1">
      <c r="A116" s="16" t="s">
        <v>44484</v>
      </c>
      <c r="B116" s="233"/>
      <c r="C116" s="14">
        <v>15.21</v>
      </c>
      <c r="D116" s="14" t="str">
        <f>K113</f>
        <v>M3</v>
      </c>
      <c r="E116" s="14"/>
      <c r="F116" s="14"/>
      <c r="G116" s="14"/>
      <c r="H116" s="14"/>
      <c r="I116" s="14"/>
      <c r="J116" s="14"/>
      <c r="K116" s="87"/>
    </row>
    <row r="117" spans="1:12" ht="16.5" customHeight="1">
      <c r="A117" s="16"/>
      <c r="B117" s="234"/>
      <c r="C117" s="14"/>
      <c r="D117" s="14"/>
      <c r="E117" s="14"/>
      <c r="F117" s="14"/>
      <c r="G117" s="14"/>
      <c r="H117" s="14"/>
      <c r="I117" s="14"/>
      <c r="J117" s="14"/>
      <c r="K117" s="87"/>
    </row>
    <row r="118" spans="1:12">
      <c r="A118" s="16"/>
      <c r="B118" s="14"/>
      <c r="C118" s="14"/>
      <c r="D118" s="14"/>
      <c r="E118" s="14"/>
      <c r="F118" s="14"/>
      <c r="G118" s="14"/>
      <c r="H118" s="14"/>
      <c r="I118" s="14"/>
      <c r="J118" s="14"/>
      <c r="K118" s="87"/>
    </row>
    <row r="119" spans="1:12" s="57" customFormat="1">
      <c r="A119" s="209"/>
      <c r="B119" s="208"/>
      <c r="C119" s="208"/>
      <c r="D119" s="14"/>
      <c r="E119" s="14"/>
      <c r="F119" s="14"/>
      <c r="G119" s="14"/>
      <c r="H119" s="14"/>
      <c r="I119" s="14"/>
      <c r="J119" s="14"/>
      <c r="K119" s="87"/>
    </row>
    <row r="120" spans="1:12">
      <c r="A120" s="16"/>
      <c r="B120" s="14"/>
      <c r="C120" s="14"/>
      <c r="D120" s="95"/>
      <c r="E120" s="14"/>
      <c r="F120" s="14"/>
      <c r="G120" s="14"/>
      <c r="H120" s="14"/>
      <c r="I120" s="14"/>
      <c r="J120" s="14"/>
      <c r="K120" s="87"/>
    </row>
    <row r="121" spans="1:12">
      <c r="A121" s="16"/>
      <c r="B121" s="14"/>
      <c r="C121" s="14"/>
      <c r="D121" s="14"/>
      <c r="E121" s="14"/>
      <c r="F121" s="14"/>
      <c r="G121" s="14"/>
      <c r="H121" s="14"/>
      <c r="I121" s="14"/>
      <c r="J121" s="14"/>
      <c r="K121" s="87"/>
    </row>
    <row r="122" spans="1:12">
      <c r="A122" s="16"/>
      <c r="B122" s="14"/>
      <c r="C122" s="14"/>
      <c r="D122" s="14"/>
      <c r="E122" s="14"/>
      <c r="F122" s="14"/>
      <c r="G122" s="14"/>
      <c r="H122" s="14"/>
      <c r="I122" s="14"/>
      <c r="J122" s="14"/>
      <c r="K122" s="87"/>
    </row>
    <row r="123" spans="1:12">
      <c r="A123" s="16"/>
      <c r="B123" s="14"/>
      <c r="C123" s="14"/>
      <c r="D123" s="88"/>
      <c r="E123" s="14"/>
      <c r="F123" s="14"/>
      <c r="G123" s="14"/>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14"/>
      <c r="F127" s="88"/>
      <c r="G127" s="88"/>
      <c r="H127" s="88"/>
      <c r="I127" s="89"/>
      <c r="J127" s="89"/>
      <c r="K127" s="90"/>
    </row>
    <row r="128" spans="1:12">
      <c r="A128" s="91" t="s">
        <v>28031</v>
      </c>
      <c r="B128" s="88">
        <f>C116</f>
        <v>15.21</v>
      </c>
      <c r="C128" s="88" t="str">
        <f>K113</f>
        <v>M3</v>
      </c>
      <c r="D128" s="88"/>
      <c r="E128" s="14"/>
      <c r="F128" s="14"/>
      <c r="G128" s="14"/>
      <c r="H128" s="88"/>
      <c r="I128" s="89"/>
      <c r="J128" s="89"/>
      <c r="K128" s="90"/>
    </row>
    <row r="129" spans="1:11">
      <c r="A129" s="91"/>
      <c r="B129" s="88"/>
      <c r="C129" s="88"/>
      <c r="D129" s="88"/>
      <c r="E129" s="88"/>
      <c r="F129" s="88"/>
      <c r="G129" s="88"/>
      <c r="H129" s="88"/>
      <c r="I129" s="89"/>
      <c r="J129" s="89"/>
      <c r="K129" s="90"/>
    </row>
    <row r="130" spans="1:11" ht="16">
      <c r="A130" s="10" t="s">
        <v>28032</v>
      </c>
      <c r="B130" s="207"/>
      <c r="C130" s="207"/>
      <c r="D130" s="207"/>
      <c r="E130" s="207"/>
      <c r="F130" s="207"/>
      <c r="G130" s="207"/>
      <c r="H130" s="207"/>
      <c r="I130" s="207"/>
      <c r="J130" s="1175" t="s">
        <v>28033</v>
      </c>
      <c r="K130" s="1176"/>
    </row>
    <row r="131" spans="1:11" ht="17" thickBot="1">
      <c r="A131" s="6"/>
      <c r="B131" s="11"/>
      <c r="C131" s="11"/>
      <c r="D131" s="11"/>
      <c r="E131" s="11"/>
      <c r="F131" s="11"/>
      <c r="G131" s="11"/>
      <c r="H131" s="11"/>
      <c r="I131" s="11"/>
      <c r="J131" s="1177">
        <f>B128</f>
        <v>15.21</v>
      </c>
      <c r="K131" s="1178"/>
    </row>
  </sheetData>
  <mergeCells count="27">
    <mergeCell ref="B12:J12"/>
    <mergeCell ref="A1:K1"/>
    <mergeCell ref="A2:K10"/>
    <mergeCell ref="B11:K11"/>
    <mergeCell ref="B72:J72"/>
    <mergeCell ref="B13:J13"/>
    <mergeCell ref="J30:K30"/>
    <mergeCell ref="J31:K31"/>
    <mergeCell ref="B32:J32"/>
    <mergeCell ref="B33:J33"/>
    <mergeCell ref="J50:K50"/>
    <mergeCell ref="J51:K51"/>
    <mergeCell ref="B52:J52"/>
    <mergeCell ref="B53:J53"/>
    <mergeCell ref="J70:K70"/>
    <mergeCell ref="J71:K71"/>
    <mergeCell ref="B92:J92"/>
    <mergeCell ref="B73:J73"/>
    <mergeCell ref="J90:K90"/>
    <mergeCell ref="J91:K91"/>
    <mergeCell ref="J131:K131"/>
    <mergeCell ref="B93:J93"/>
    <mergeCell ref="J110:K110"/>
    <mergeCell ref="J111:K111"/>
    <mergeCell ref="B112:J112"/>
    <mergeCell ref="B113:J113"/>
    <mergeCell ref="J130:K130"/>
  </mergeCells>
  <conditionalFormatting sqref="A13">
    <cfRule type="expression" dxfId="203" priority="41">
      <formula>$M13="NÍVEL 1"</formula>
    </cfRule>
    <cfRule type="expression" dxfId="202" priority="42">
      <formula>$M13="NÍVEL 2"</formula>
    </cfRule>
  </conditionalFormatting>
  <conditionalFormatting sqref="A13">
    <cfRule type="expression" dxfId="201" priority="40" stopIfTrue="1">
      <formula>$M13="NÍVEL 3"</formula>
    </cfRule>
  </conditionalFormatting>
  <conditionalFormatting sqref="A33">
    <cfRule type="expression" dxfId="200" priority="38">
      <formula>$M33="NÍVEL 1"</formula>
    </cfRule>
    <cfRule type="expression" dxfId="199" priority="39">
      <formula>$M33="NÍVEL 2"</formula>
    </cfRule>
  </conditionalFormatting>
  <conditionalFormatting sqref="A33">
    <cfRule type="expression" dxfId="198" priority="37" stopIfTrue="1">
      <formula>$M33="NÍVEL 3"</formula>
    </cfRule>
  </conditionalFormatting>
  <conditionalFormatting sqref="A53">
    <cfRule type="expression" dxfId="197" priority="35">
      <formula>$M53="NÍVEL 1"</formula>
    </cfRule>
    <cfRule type="expression" dxfId="196" priority="36">
      <formula>$M53="NÍVEL 2"</formula>
    </cfRule>
  </conditionalFormatting>
  <conditionalFormatting sqref="A53">
    <cfRule type="expression" dxfId="195" priority="34" stopIfTrue="1">
      <formula>$M53="NÍVEL 3"</formula>
    </cfRule>
  </conditionalFormatting>
  <conditionalFormatting sqref="A73">
    <cfRule type="expression" dxfId="194" priority="32">
      <formula>$M73="NÍVEL 1"</formula>
    </cfRule>
    <cfRule type="expression" dxfId="193" priority="33">
      <formula>$M73="NÍVEL 2"</formula>
    </cfRule>
  </conditionalFormatting>
  <conditionalFormatting sqref="A73">
    <cfRule type="expression" dxfId="192" priority="31" stopIfTrue="1">
      <formula>$M73="NÍVEL 3"</formula>
    </cfRule>
  </conditionalFormatting>
  <conditionalFormatting sqref="A93">
    <cfRule type="expression" dxfId="191" priority="5">
      <formula>$M93="NÍVEL 1"</formula>
    </cfRule>
    <cfRule type="expression" dxfId="190" priority="6">
      <formula>$M93="NÍVEL 2"</formula>
    </cfRule>
  </conditionalFormatting>
  <conditionalFormatting sqref="A93">
    <cfRule type="expression" dxfId="189" priority="4" stopIfTrue="1">
      <formula>$M93="NÍVEL 3"</formula>
    </cfRule>
  </conditionalFormatting>
  <conditionalFormatting sqref="A113">
    <cfRule type="expression" dxfId="188" priority="2">
      <formula>$M113="NÍVEL 1"</formula>
    </cfRule>
    <cfRule type="expression" dxfId="187" priority="3">
      <formula>$M113="NÍVEL 2"</formula>
    </cfRule>
  </conditionalFormatting>
  <conditionalFormatting sqref="A113">
    <cfRule type="expression" dxfId="186" priority="1" stopIfTrue="1">
      <formula>$M113="NÍVEL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35188-52E3-42FA-930F-2A3CE08BA9CF}">
  <sheetPr codeName="Planilha39">
    <pageSetUpPr fitToPage="1"/>
  </sheetPr>
  <dimension ref="A1:L211"/>
  <sheetViews>
    <sheetView view="pageBreakPreview" topLeftCell="A177"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44474</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414" t="s">
        <v>11519</v>
      </c>
      <c r="B13" s="1174" t="str">
        <f>VLOOKUP($A13, 'Plan Orçamentária'!$Q$2:$S$128267,2,FALSE)</f>
        <v>ESCAVAÇÃO MECANIZADA DE VALAS OU CAVAS COM PROFUNDIDADE DE ATÉ 2 M</v>
      </c>
      <c r="C13" s="1174"/>
      <c r="D13" s="1174"/>
      <c r="E13" s="1174"/>
      <c r="F13" s="1174"/>
      <c r="G13" s="1174"/>
      <c r="H13" s="1174"/>
      <c r="I13" s="1174"/>
      <c r="J13" s="1174"/>
      <c r="K13" s="12" t="str">
        <f>VLOOKUP($A13,'Plan Orçamentária'!$Q$2:$S$138267,3,FALSE)</f>
        <v>M3</v>
      </c>
      <c r="L13" s="15">
        <f>J31</f>
        <v>38.379125000000002</v>
      </c>
    </row>
    <row r="14" spans="1:12">
      <c r="A14" s="86" t="s">
        <v>44477</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c r="A16" s="1185" t="s">
        <v>44485</v>
      </c>
      <c r="B16" s="1186"/>
      <c r="C16" s="14"/>
      <c r="D16" s="1187" t="s">
        <v>44486</v>
      </c>
      <c r="E16" s="1187"/>
      <c r="F16" s="88"/>
      <c r="G16" s="1186" t="s">
        <v>44487</v>
      </c>
      <c r="H16" s="1186"/>
      <c r="I16" s="14"/>
      <c r="J16" s="89"/>
      <c r="K16" s="90"/>
    </row>
    <row r="17" spans="1:11" ht="16.5" customHeight="1">
      <c r="A17" s="16" t="s">
        <v>28041</v>
      </c>
      <c r="B17" s="806">
        <v>7</v>
      </c>
      <c r="C17" s="802" t="s">
        <v>103</v>
      </c>
      <c r="D17" s="14" t="s">
        <v>28041</v>
      </c>
      <c r="E17" s="803">
        <v>10</v>
      </c>
      <c r="F17" s="802" t="s">
        <v>103</v>
      </c>
      <c r="G17" s="14" t="s">
        <v>28041</v>
      </c>
      <c r="H17" s="803">
        <v>2</v>
      </c>
      <c r="I17" s="802" t="s">
        <v>103</v>
      </c>
      <c r="J17" s="14"/>
      <c r="K17" s="87"/>
    </row>
    <row r="18" spans="1:11" ht="16.5" customHeight="1">
      <c r="A18" s="16" t="s">
        <v>41786</v>
      </c>
      <c r="B18" s="803">
        <f>0.55+1</f>
        <v>1.55</v>
      </c>
      <c r="C18" s="802" t="s">
        <v>165</v>
      </c>
      <c r="D18" s="14" t="s">
        <v>41786</v>
      </c>
      <c r="E18" s="803">
        <f>1.3+1</f>
        <v>2.2999999999999998</v>
      </c>
      <c r="F18" s="802" t="s">
        <v>165</v>
      </c>
      <c r="G18" s="14" t="s">
        <v>41786</v>
      </c>
      <c r="H18" s="803">
        <f t="shared" ref="H18:H19" si="0">1.3+1</f>
        <v>2.2999999999999998</v>
      </c>
      <c r="I18" s="802" t="s">
        <v>165</v>
      </c>
      <c r="J18" s="14"/>
      <c r="K18" s="87"/>
    </row>
    <row r="19" spans="1:11">
      <c r="A19" s="209" t="s">
        <v>41798</v>
      </c>
      <c r="B19" s="803">
        <f>0.55+1</f>
        <v>1.55</v>
      </c>
      <c r="C19" s="808" t="s">
        <v>165</v>
      </c>
      <c r="D19" s="208" t="s">
        <v>41798</v>
      </c>
      <c r="E19" s="803">
        <f>0.55+1</f>
        <v>1.55</v>
      </c>
      <c r="F19" s="808" t="s">
        <v>165</v>
      </c>
      <c r="G19" s="208" t="s">
        <v>41798</v>
      </c>
      <c r="H19" s="803">
        <f t="shared" si="0"/>
        <v>2.2999999999999998</v>
      </c>
      <c r="I19" s="808" t="s">
        <v>165</v>
      </c>
      <c r="J19" s="14"/>
      <c r="K19" s="87"/>
    </row>
    <row r="20" spans="1:11" s="57" customFormat="1">
      <c r="A20" s="209" t="s">
        <v>41787</v>
      </c>
      <c r="B20" s="805">
        <f>0.5+0.05</f>
        <v>0.55000000000000004</v>
      </c>
      <c r="C20" s="808" t="s">
        <v>165</v>
      </c>
      <c r="D20" s="208" t="s">
        <v>41787</v>
      </c>
      <c r="E20" s="805">
        <f>0.5+0.05</f>
        <v>0.55000000000000004</v>
      </c>
      <c r="F20" s="808" t="s">
        <v>165</v>
      </c>
      <c r="G20" s="208" t="s">
        <v>41787</v>
      </c>
      <c r="H20" s="803">
        <f>0.85+0.05</f>
        <v>0.9</v>
      </c>
      <c r="I20" s="808" t="s">
        <v>165</v>
      </c>
      <c r="J20" s="14"/>
      <c r="K20" s="87"/>
    </row>
    <row r="21" spans="1:11">
      <c r="A21" s="16" t="s">
        <v>27889</v>
      </c>
      <c r="B21" s="803">
        <f>B17*B18*B19*B20</f>
        <v>9.249625</v>
      </c>
      <c r="C21" s="802" t="str">
        <f>K13</f>
        <v>M3</v>
      </c>
      <c r="D21" s="14" t="s">
        <v>27889</v>
      </c>
      <c r="E21" s="803">
        <f>E17*E18*E19*E20</f>
        <v>19.607500000000002</v>
      </c>
      <c r="F21" s="802" t="str">
        <f>K13</f>
        <v>M3</v>
      </c>
      <c r="G21" s="14" t="s">
        <v>27889</v>
      </c>
      <c r="H21" s="803">
        <f>H17*H18*H19*H20</f>
        <v>9.5219999999999985</v>
      </c>
      <c r="I21" s="802" t="str">
        <f>K13</f>
        <v>M3</v>
      </c>
      <c r="J21" s="14"/>
      <c r="K21" s="87"/>
    </row>
    <row r="22" spans="1:11">
      <c r="A22" s="16"/>
      <c r="B22" s="14"/>
      <c r="C22" s="14"/>
      <c r="D22" s="14"/>
      <c r="E22" s="14"/>
      <c r="F22" s="14"/>
      <c r="G22" s="14"/>
      <c r="H22" s="14"/>
      <c r="I22" s="14"/>
      <c r="J22" s="14"/>
      <c r="K22" s="87"/>
    </row>
    <row r="23" spans="1:11">
      <c r="A23" s="16"/>
      <c r="B23" s="14"/>
      <c r="C23" s="14"/>
      <c r="D23" s="14"/>
      <c r="E23" s="14"/>
      <c r="F23" s="14"/>
      <c r="G23" s="14"/>
      <c r="H23" s="14"/>
      <c r="I23" s="14"/>
      <c r="J23" s="14"/>
      <c r="K23" s="87"/>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SUM(B21,E21,H21)</f>
        <v>38.379125000000002</v>
      </c>
      <c r="C28" s="88" t="str">
        <f>K13</f>
        <v>M3</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38.379125000000002</v>
      </c>
      <c r="K31" s="1178"/>
    </row>
    <row r="32" spans="1:11" ht="22">
      <c r="A32" s="4" t="s">
        <v>28028</v>
      </c>
      <c r="B32" s="1173" t="s">
        <v>28029</v>
      </c>
      <c r="C32" s="1173"/>
      <c r="D32" s="1173"/>
      <c r="E32" s="1173"/>
      <c r="F32" s="1173"/>
      <c r="G32" s="1173"/>
      <c r="H32" s="1173"/>
      <c r="I32" s="1173"/>
      <c r="J32" s="1173"/>
      <c r="K32" s="5" t="s">
        <v>28030</v>
      </c>
    </row>
    <row r="33" spans="1:12" ht="22" customHeight="1" thickBot="1">
      <c r="A33" s="414" t="s">
        <v>11779</v>
      </c>
      <c r="B33" s="1174" t="str">
        <f>VLOOKUP($A33, 'Plan Orçamentária'!$Q$2:$S$128267,2,FALSE)</f>
        <v>LASTRO DE PEDRA BRITADA</v>
      </c>
      <c r="C33" s="1174"/>
      <c r="D33" s="1174"/>
      <c r="E33" s="1174"/>
      <c r="F33" s="1174"/>
      <c r="G33" s="1174"/>
      <c r="H33" s="1174"/>
      <c r="I33" s="1174"/>
      <c r="J33" s="1174"/>
      <c r="K33" s="12" t="str">
        <f>VLOOKUP($A33,'Plan Orçamentária'!$Q$2:$S$138267,3,FALSE)</f>
        <v>M3</v>
      </c>
      <c r="L33" s="15">
        <f>J51</f>
        <v>0.63237500000000013</v>
      </c>
    </row>
    <row r="34" spans="1:12">
      <c r="A34" s="86" t="s">
        <v>44477</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185" t="s">
        <v>44485</v>
      </c>
      <c r="B36" s="1186"/>
      <c r="C36" s="14"/>
      <c r="D36" s="1187" t="s">
        <v>44486</v>
      </c>
      <c r="E36" s="1187"/>
      <c r="F36" s="88"/>
      <c r="G36" s="1186" t="s">
        <v>44487</v>
      </c>
      <c r="H36" s="1186"/>
      <c r="I36" s="14"/>
      <c r="J36" s="14"/>
      <c r="K36" s="87"/>
    </row>
    <row r="37" spans="1:12" ht="16.5" customHeight="1">
      <c r="A37" s="16" t="s">
        <v>28041</v>
      </c>
      <c r="B37" s="806">
        <v>7</v>
      </c>
      <c r="C37" s="802" t="s">
        <v>103</v>
      </c>
      <c r="D37" s="14" t="s">
        <v>28041</v>
      </c>
      <c r="E37" s="803">
        <v>10</v>
      </c>
      <c r="F37" s="802" t="s">
        <v>103</v>
      </c>
      <c r="G37" s="14" t="s">
        <v>28041</v>
      </c>
      <c r="H37" s="803">
        <v>2</v>
      </c>
      <c r="I37" s="802" t="s">
        <v>103</v>
      </c>
      <c r="J37" s="14"/>
      <c r="K37" s="87"/>
    </row>
    <row r="38" spans="1:12">
      <c r="A38" s="16" t="s">
        <v>41786</v>
      </c>
      <c r="B38" s="803">
        <f>0.55</f>
        <v>0.55000000000000004</v>
      </c>
      <c r="C38" s="802" t="s">
        <v>165</v>
      </c>
      <c r="D38" s="14" t="s">
        <v>41786</v>
      </c>
      <c r="E38" s="803">
        <f>1.3</f>
        <v>1.3</v>
      </c>
      <c r="F38" s="802" t="s">
        <v>165</v>
      </c>
      <c r="G38" s="14" t="s">
        <v>41786</v>
      </c>
      <c r="H38" s="803">
        <f>1.3</f>
        <v>1.3</v>
      </c>
      <c r="I38" s="802" t="s">
        <v>165</v>
      </c>
      <c r="J38" s="14"/>
      <c r="K38" s="87"/>
    </row>
    <row r="39" spans="1:12" s="57" customFormat="1">
      <c r="A39" s="209" t="s">
        <v>41798</v>
      </c>
      <c r="B39" s="805">
        <f>0.55</f>
        <v>0.55000000000000004</v>
      </c>
      <c r="C39" s="808" t="s">
        <v>165</v>
      </c>
      <c r="D39" s="208" t="s">
        <v>41798</v>
      </c>
      <c r="E39" s="803">
        <f>0.55</f>
        <v>0.55000000000000004</v>
      </c>
      <c r="F39" s="808" t="s">
        <v>165</v>
      </c>
      <c r="G39" s="208" t="s">
        <v>41798</v>
      </c>
      <c r="H39" s="803">
        <f>1.3</f>
        <v>1.3</v>
      </c>
      <c r="I39" s="808" t="s">
        <v>165</v>
      </c>
      <c r="J39" s="14"/>
      <c r="K39" s="87"/>
    </row>
    <row r="40" spans="1:12">
      <c r="A40" s="209" t="s">
        <v>41787</v>
      </c>
      <c r="B40" s="805">
        <v>0.05</v>
      </c>
      <c r="C40" s="808" t="s">
        <v>165</v>
      </c>
      <c r="D40" s="208" t="s">
        <v>41787</v>
      </c>
      <c r="E40" s="803">
        <v>0.05</v>
      </c>
      <c r="F40" s="808" t="s">
        <v>165</v>
      </c>
      <c r="G40" s="208" t="s">
        <v>41787</v>
      </c>
      <c r="H40" s="803">
        <v>0.05</v>
      </c>
      <c r="I40" s="808" t="s">
        <v>165</v>
      </c>
      <c r="J40" s="14"/>
      <c r="K40" s="87"/>
    </row>
    <row r="41" spans="1:12">
      <c r="A41" s="16" t="s">
        <v>27889</v>
      </c>
      <c r="B41" s="803">
        <f>B37*B38*B39*B40</f>
        <v>0.10587500000000004</v>
      </c>
      <c r="C41" s="802" t="str">
        <f>K33</f>
        <v>M3</v>
      </c>
      <c r="D41" s="14" t="s">
        <v>27889</v>
      </c>
      <c r="E41" s="803">
        <f>E37*E38*E39*E40</f>
        <v>0.35750000000000004</v>
      </c>
      <c r="F41" s="802" t="str">
        <f>K33</f>
        <v>M3</v>
      </c>
      <c r="G41" s="14" t="s">
        <v>27889</v>
      </c>
      <c r="H41" s="803">
        <f>H37*H38*H39*H40</f>
        <v>0.16900000000000004</v>
      </c>
      <c r="I41" s="802" t="str">
        <f>K33</f>
        <v>M3</v>
      </c>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14"/>
      <c r="F47" s="88"/>
      <c r="G47" s="88"/>
      <c r="H47" s="88"/>
      <c r="I47" s="89"/>
      <c r="J47" s="89"/>
      <c r="K47" s="90"/>
    </row>
    <row r="48" spans="1:12">
      <c r="A48" s="91" t="s">
        <v>28031</v>
      </c>
      <c r="B48" s="88">
        <f>SUM(B41,E41,H41)</f>
        <v>0.63237500000000013</v>
      </c>
      <c r="C48" s="88" t="str">
        <f>K33</f>
        <v>M3</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0.63237500000000013</v>
      </c>
      <c r="K51" s="1178"/>
    </row>
    <row r="52" spans="1:12" ht="22">
      <c r="A52" s="4" t="s">
        <v>28028</v>
      </c>
      <c r="B52" s="1173" t="s">
        <v>28029</v>
      </c>
      <c r="C52" s="1173"/>
      <c r="D52" s="1173"/>
      <c r="E52" s="1173"/>
      <c r="F52" s="1173"/>
      <c r="G52" s="1173"/>
      <c r="H52" s="1173"/>
      <c r="I52" s="1173"/>
      <c r="J52" s="1173"/>
      <c r="K52" s="5" t="s">
        <v>28030</v>
      </c>
    </row>
    <row r="53" spans="1:12" ht="22" customHeight="1" thickBot="1">
      <c r="A53" s="414" t="s">
        <v>11632</v>
      </c>
      <c r="B53" s="1174" t="str">
        <f>VLOOKUP($A53, 'Plan Orçamentária'!$Q$2:$S$128267,2,FALSE)</f>
        <v>FORMA EM MADEIRA COMUM PARA FUNDAÇÃO</v>
      </c>
      <c r="C53" s="1174"/>
      <c r="D53" s="1174"/>
      <c r="E53" s="1174"/>
      <c r="F53" s="1174"/>
      <c r="G53" s="1174"/>
      <c r="H53" s="1174"/>
      <c r="I53" s="1174"/>
      <c r="J53" s="1174"/>
      <c r="K53" s="12" t="str">
        <f>VLOOKUP($A53,'Plan Orçamentária'!$Q$2:$S$138267,3,FALSE)</f>
        <v>M2</v>
      </c>
      <c r="L53" s="15">
        <f>J71</f>
        <v>35.15</v>
      </c>
    </row>
    <row r="54" spans="1:12">
      <c r="A54" s="86" t="s">
        <v>44477</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233"/>
      <c r="C56" s="14"/>
      <c r="D56" s="14"/>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14"/>
      <c r="F67" s="88"/>
      <c r="G67" s="88"/>
      <c r="H67" s="88"/>
      <c r="I67" s="89"/>
      <c r="J67" s="89"/>
      <c r="K67" s="90"/>
    </row>
    <row r="68" spans="1:12">
      <c r="A68" s="91" t="s">
        <v>28031</v>
      </c>
      <c r="B68" s="88">
        <v>35.15</v>
      </c>
      <c r="C68" s="88" t="str">
        <f>K53</f>
        <v>M2</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35.15</v>
      </c>
      <c r="K71" s="1178"/>
    </row>
    <row r="72" spans="1:12" ht="22">
      <c r="A72" s="4" t="s">
        <v>28028</v>
      </c>
      <c r="B72" s="1173" t="s">
        <v>28029</v>
      </c>
      <c r="C72" s="1173"/>
      <c r="D72" s="1173"/>
      <c r="E72" s="1173"/>
      <c r="F72" s="1173"/>
      <c r="G72" s="1173"/>
      <c r="H72" s="1173"/>
      <c r="I72" s="1173"/>
      <c r="J72" s="1173"/>
      <c r="K72" s="5" t="s">
        <v>28030</v>
      </c>
    </row>
    <row r="73" spans="1:12" ht="22" customHeight="1" thickBot="1">
      <c r="A73" s="414" t="s">
        <v>11685</v>
      </c>
      <c r="B73" s="1174" t="str">
        <f>VLOOKUP($A73, 'Plan Orçamentária'!$Q$2:$S$128267,2,FALSE)</f>
        <v>ARMADURA EM BARRA DE AÇO CA-50 (A OU B) FYK = 500 MPA</v>
      </c>
      <c r="C73" s="1174"/>
      <c r="D73" s="1174"/>
      <c r="E73" s="1174"/>
      <c r="F73" s="1174"/>
      <c r="G73" s="1174"/>
      <c r="H73" s="1174"/>
      <c r="I73" s="1174"/>
      <c r="J73" s="1174"/>
      <c r="K73" s="12" t="str">
        <f>VLOOKUP($A73,'Plan Orçamentária'!$Q$2:$S$138267,3,FALSE)</f>
        <v>KG</v>
      </c>
      <c r="L73" s="15">
        <f>J91</f>
        <v>329</v>
      </c>
    </row>
    <row r="74" spans="1:12">
      <c r="A74" s="86" t="s">
        <v>44477</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233"/>
      <c r="C76" s="14"/>
      <c r="D76" s="14"/>
      <c r="E76" s="14"/>
      <c r="F76" s="14"/>
      <c r="G76" s="14"/>
      <c r="H76" s="14"/>
      <c r="I76" s="14"/>
      <c r="J76" s="14"/>
      <c r="K76" s="87"/>
    </row>
    <row r="77" spans="1:12" ht="16.5" customHeight="1">
      <c r="A77" s="16"/>
      <c r="B77" s="234"/>
      <c r="C77" s="14"/>
      <c r="D77" s="14"/>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14"/>
      <c r="F87" s="88"/>
      <c r="G87" s="88"/>
      <c r="H87" s="88"/>
      <c r="I87" s="89"/>
      <c r="J87" s="89"/>
      <c r="K87" s="90"/>
    </row>
    <row r="88" spans="1:12">
      <c r="A88" s="91" t="s">
        <v>28031</v>
      </c>
      <c r="B88" s="88">
        <f>204.1+124.9</f>
        <v>329</v>
      </c>
      <c r="C88" s="88" t="str">
        <f>K73</f>
        <v>KG</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329</v>
      </c>
      <c r="K91" s="1178"/>
    </row>
    <row r="92" spans="1:12" ht="22">
      <c r="A92" s="4" t="s">
        <v>28028</v>
      </c>
      <c r="B92" s="1173" t="s">
        <v>28029</v>
      </c>
      <c r="C92" s="1173"/>
      <c r="D92" s="1173"/>
      <c r="E92" s="1173"/>
      <c r="F92" s="1173"/>
      <c r="G92" s="1173"/>
      <c r="H92" s="1173"/>
      <c r="I92" s="1173"/>
      <c r="J92" s="1173"/>
      <c r="K92" s="5" t="s">
        <v>28030</v>
      </c>
    </row>
    <row r="93" spans="1:12" ht="22" customHeight="1" thickBot="1">
      <c r="A93" s="414" t="s">
        <v>11687</v>
      </c>
      <c r="B93" s="1174" t="str">
        <f>VLOOKUP($A93, 'Plan Orçamentária'!$Q$2:$S$128267,2,FALSE)</f>
        <v>ARMADURA EM BARRA DE AÇO CA-60 (A OU B) FYK = 600 MPA</v>
      </c>
      <c r="C93" s="1174"/>
      <c r="D93" s="1174"/>
      <c r="E93" s="1174"/>
      <c r="F93" s="1174"/>
      <c r="G93" s="1174"/>
      <c r="H93" s="1174"/>
      <c r="I93" s="1174"/>
      <c r="J93" s="1174"/>
      <c r="K93" s="12" t="str">
        <f>VLOOKUP($A93,'Plan Orçamentária'!$Q$2:$S$138267,3,FALSE)</f>
        <v>KG</v>
      </c>
      <c r="L93" s="15">
        <f>J111</f>
        <v>97</v>
      </c>
    </row>
    <row r="94" spans="1:12">
      <c r="A94" s="86" t="s">
        <v>44477</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233"/>
      <c r="C96" s="14"/>
      <c r="D96" s="233"/>
      <c r="E96" s="14"/>
      <c r="F96" s="14"/>
      <c r="G96" s="14"/>
      <c r="H96" s="14"/>
      <c r="I96" s="14"/>
      <c r="J96" s="14"/>
      <c r="K96" s="87"/>
    </row>
    <row r="97" spans="1:11" ht="16.5" customHeight="1">
      <c r="A97" s="16"/>
      <c r="B97" s="234"/>
      <c r="C97" s="14"/>
      <c r="D97" s="14"/>
      <c r="E97" s="14"/>
      <c r="F97" s="14"/>
      <c r="G97" s="14"/>
      <c r="H97" s="14"/>
      <c r="I97" s="14"/>
      <c r="J97" s="14"/>
      <c r="K97" s="87"/>
    </row>
    <row r="98" spans="1:11">
      <c r="A98" s="16"/>
      <c r="B98" s="14"/>
      <c r="C98" s="14"/>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14"/>
      <c r="F107" s="88"/>
      <c r="G107" s="88"/>
      <c r="H107" s="88"/>
      <c r="I107" s="89"/>
      <c r="J107" s="89"/>
      <c r="K107" s="90"/>
    </row>
    <row r="108" spans="1:11">
      <c r="A108" s="91" t="s">
        <v>28031</v>
      </c>
      <c r="B108" s="88">
        <f>83.9+13.1</f>
        <v>97</v>
      </c>
      <c r="C108" s="88" t="str">
        <f>K93</f>
        <v>KG</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97</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414" t="s">
        <v>11705</v>
      </c>
      <c r="B113" s="1174" t="str">
        <f>VLOOKUP($A113, 'Plan Orçamentária'!$Q$2:$S$128267,2,FALSE)</f>
        <v>CONCRETO USINADO, FCK = 30 MPA</v>
      </c>
      <c r="C113" s="1174"/>
      <c r="D113" s="1174"/>
      <c r="E113" s="1174"/>
      <c r="F113" s="1174"/>
      <c r="G113" s="1174"/>
      <c r="H113" s="1174"/>
      <c r="I113" s="1174"/>
      <c r="J113" s="1174"/>
      <c r="K113" s="12" t="str">
        <f>VLOOKUP($A113,'Plan Orçamentária'!$Q$2:$S$138267,3,FALSE)</f>
        <v>M3</v>
      </c>
      <c r="L113" s="15">
        <f>J131</f>
        <v>7.41</v>
      </c>
    </row>
    <row r="114" spans="1:12">
      <c r="A114" s="86" t="s">
        <v>44477</v>
      </c>
      <c r="B114" s="14"/>
      <c r="C114" s="14"/>
      <c r="D114" s="14"/>
      <c r="E114" s="14"/>
      <c r="F114" s="14"/>
      <c r="G114" s="14"/>
      <c r="H114" s="14"/>
      <c r="I114" s="14"/>
      <c r="J114" s="14"/>
      <c r="K114" s="87"/>
    </row>
    <row r="115" spans="1:12" ht="16.5" customHeight="1">
      <c r="A115" s="16"/>
      <c r="B115" s="787"/>
      <c r="C115" s="787"/>
      <c r="D115" s="787"/>
      <c r="E115" s="14"/>
      <c r="F115" s="14"/>
      <c r="G115" s="14"/>
      <c r="H115" s="14"/>
      <c r="I115" s="14"/>
      <c r="J115" s="14"/>
      <c r="K115" s="87"/>
    </row>
    <row r="116" spans="1:12" ht="16.5" customHeight="1">
      <c r="A116" s="16"/>
      <c r="B116" s="786"/>
      <c r="C116" s="787"/>
      <c r="D116" s="787"/>
      <c r="E116" s="787"/>
      <c r="F116" s="14"/>
      <c r="G116" s="14"/>
      <c r="H116" s="14"/>
      <c r="I116" s="14"/>
      <c r="J116" s="14"/>
      <c r="K116" s="87"/>
    </row>
    <row r="117" spans="1:12" ht="16.5" customHeight="1">
      <c r="A117" s="16"/>
      <c r="B117" s="234"/>
      <c r="C117" s="14"/>
      <c r="D117" s="14"/>
      <c r="E117" s="14"/>
      <c r="F117" s="14"/>
      <c r="G117" s="14"/>
      <c r="H117" s="14"/>
      <c r="I117" s="14"/>
      <c r="J117" s="14"/>
      <c r="K117" s="87"/>
    </row>
    <row r="118" spans="1:12">
      <c r="A118" s="16"/>
      <c r="B118" s="14"/>
      <c r="C118" s="14"/>
      <c r="D118" s="14"/>
      <c r="E118" s="14"/>
      <c r="F118" s="14"/>
      <c r="G118" s="14"/>
      <c r="H118" s="14"/>
      <c r="I118" s="14"/>
      <c r="J118" s="14"/>
      <c r="K118" s="87"/>
    </row>
    <row r="119" spans="1:12" s="57" customFormat="1">
      <c r="A119" s="209"/>
      <c r="B119" s="208"/>
      <c r="C119" s="208"/>
      <c r="D119" s="14"/>
      <c r="E119" s="14"/>
      <c r="F119" s="14"/>
      <c r="G119" s="14"/>
      <c r="H119" s="14"/>
      <c r="I119" s="14"/>
      <c r="J119" s="14"/>
      <c r="K119" s="87"/>
    </row>
    <row r="120" spans="1:12">
      <c r="A120" s="16"/>
      <c r="B120" s="14"/>
      <c r="C120" s="14"/>
      <c r="D120" s="95"/>
      <c r="E120" s="14"/>
      <c r="F120" s="14"/>
      <c r="G120" s="14"/>
      <c r="H120" s="14"/>
      <c r="I120" s="14"/>
      <c r="J120" s="14"/>
      <c r="K120" s="87"/>
    </row>
    <row r="121" spans="1:12">
      <c r="A121" s="16"/>
      <c r="B121" s="14"/>
      <c r="C121" s="14"/>
      <c r="D121" s="14"/>
      <c r="E121" s="14"/>
      <c r="F121" s="14"/>
      <c r="G121" s="14"/>
      <c r="H121" s="14"/>
      <c r="I121" s="14"/>
      <c r="J121" s="14"/>
      <c r="K121" s="87"/>
    </row>
    <row r="122" spans="1:12">
      <c r="A122" s="16"/>
      <c r="B122" s="14"/>
      <c r="C122" s="14"/>
      <c r="D122" s="14"/>
      <c r="E122" s="14"/>
      <c r="F122" s="14"/>
      <c r="G122" s="14"/>
      <c r="H122" s="14"/>
      <c r="I122" s="14"/>
      <c r="J122" s="14"/>
      <c r="K122" s="87"/>
    </row>
    <row r="123" spans="1:12">
      <c r="A123" s="16"/>
      <c r="B123" s="14"/>
      <c r="C123" s="14"/>
      <c r="D123" s="88"/>
      <c r="E123" s="14"/>
      <c r="F123" s="14"/>
      <c r="G123" s="14"/>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14"/>
      <c r="F127" s="88"/>
      <c r="G127" s="88"/>
      <c r="H127" s="88"/>
      <c r="I127" s="89"/>
      <c r="J127" s="89"/>
      <c r="K127" s="90"/>
    </row>
    <row r="128" spans="1:12">
      <c r="A128" s="91" t="s">
        <v>28031</v>
      </c>
      <c r="B128" s="88">
        <v>7.41</v>
      </c>
      <c r="C128" s="88" t="str">
        <f>K113</f>
        <v>M3</v>
      </c>
      <c r="D128" s="88"/>
      <c r="E128" s="14"/>
      <c r="F128" s="14"/>
      <c r="G128" s="14"/>
      <c r="H128" s="88"/>
      <c r="I128" s="89"/>
      <c r="J128" s="89"/>
      <c r="K128" s="90"/>
    </row>
    <row r="129" spans="1:12">
      <c r="A129" s="91"/>
      <c r="B129" s="88"/>
      <c r="C129" s="88"/>
      <c r="D129" s="88"/>
      <c r="E129" s="88"/>
      <c r="F129" s="88"/>
      <c r="G129" s="88"/>
      <c r="H129" s="88"/>
      <c r="I129" s="89"/>
      <c r="J129" s="89"/>
      <c r="K129" s="90"/>
    </row>
    <row r="130" spans="1:12" ht="16">
      <c r="A130" s="10" t="s">
        <v>28032</v>
      </c>
      <c r="B130" s="207"/>
      <c r="C130" s="207"/>
      <c r="D130" s="207"/>
      <c r="E130" s="207"/>
      <c r="F130" s="207"/>
      <c r="G130" s="207"/>
      <c r="H130" s="207"/>
      <c r="I130" s="207"/>
      <c r="J130" s="1175" t="s">
        <v>28033</v>
      </c>
      <c r="K130" s="1176"/>
    </row>
    <row r="131" spans="1:12" ht="17" thickBot="1">
      <c r="A131" s="6"/>
      <c r="B131" s="11"/>
      <c r="C131" s="11"/>
      <c r="D131" s="11"/>
      <c r="E131" s="11"/>
      <c r="F131" s="11"/>
      <c r="G131" s="11"/>
      <c r="H131" s="11"/>
      <c r="I131" s="11"/>
      <c r="J131" s="1177">
        <f>B128</f>
        <v>7.41</v>
      </c>
      <c r="K131" s="1178"/>
    </row>
    <row r="132" spans="1:12" ht="22">
      <c r="A132" s="4" t="s">
        <v>28028</v>
      </c>
      <c r="B132" s="1173" t="s">
        <v>28029</v>
      </c>
      <c r="C132" s="1173"/>
      <c r="D132" s="1173"/>
      <c r="E132" s="1173"/>
      <c r="F132" s="1173"/>
      <c r="G132" s="1173"/>
      <c r="H132" s="1173"/>
      <c r="I132" s="1173"/>
      <c r="J132" s="1173"/>
      <c r="K132" s="5" t="s">
        <v>28030</v>
      </c>
    </row>
    <row r="133" spans="1:12" ht="22" customHeight="1" thickBot="1">
      <c r="A133" s="414" t="s">
        <v>41804</v>
      </c>
      <c r="B133" s="1174" t="str">
        <f>VLOOKUP($A133, 'Plan Orçamentária'!$Q$2:$S$128267,2,FALSE)</f>
        <v>CONTROLE TECNOLOGICO DE CONCRETOS</v>
      </c>
      <c r="C133" s="1174"/>
      <c r="D133" s="1174"/>
      <c r="E133" s="1174"/>
      <c r="F133" s="1174"/>
      <c r="G133" s="1174"/>
      <c r="H133" s="1174"/>
      <c r="I133" s="1174"/>
      <c r="J133" s="1174"/>
      <c r="K133" s="12" t="str">
        <f>VLOOKUP($A133,'Plan Orçamentária'!$Q$2:$S$138267,3,FALSE)</f>
        <v>M3</v>
      </c>
      <c r="L133" s="15">
        <f>J151</f>
        <v>7.41</v>
      </c>
    </row>
    <row r="134" spans="1:12">
      <c r="A134" s="86" t="s">
        <v>44477</v>
      </c>
      <c r="B134" s="14"/>
      <c r="C134" s="14"/>
      <c r="D134" s="14"/>
      <c r="E134" s="14"/>
      <c r="F134" s="14"/>
      <c r="G134" s="14"/>
      <c r="H134" s="14"/>
      <c r="I134" s="14"/>
      <c r="J134" s="14"/>
      <c r="K134" s="87"/>
    </row>
    <row r="135" spans="1:12" ht="16.5" customHeight="1">
      <c r="A135" s="16"/>
      <c r="B135" s="14"/>
      <c r="C135" s="14"/>
      <c r="D135" s="14"/>
      <c r="E135" s="14"/>
      <c r="F135" s="14"/>
      <c r="G135" s="14"/>
      <c r="H135" s="14"/>
      <c r="I135" s="14"/>
      <c r="J135" s="14"/>
      <c r="K135" s="87"/>
    </row>
    <row r="136" spans="1:12" ht="16.5" customHeight="1">
      <c r="A136" s="16"/>
      <c r="B136" s="233"/>
      <c r="C136" s="14"/>
      <c r="D136" s="14"/>
      <c r="E136" s="14"/>
      <c r="F136" s="14"/>
      <c r="G136" s="14"/>
      <c r="H136" s="14"/>
      <c r="I136" s="14"/>
      <c r="J136" s="14"/>
      <c r="K136" s="87"/>
    </row>
    <row r="137" spans="1:12" ht="16.5" customHeight="1">
      <c r="A137" s="16"/>
      <c r="B137" s="14"/>
      <c r="C137" s="14"/>
      <c r="D137" s="807"/>
      <c r="E137" s="14"/>
      <c r="F137" s="14"/>
      <c r="G137" s="14"/>
      <c r="H137" s="14"/>
      <c r="I137" s="14"/>
      <c r="J137" s="14"/>
      <c r="K137" s="87"/>
    </row>
    <row r="138" spans="1:12">
      <c r="A138" s="209"/>
      <c r="B138" s="208"/>
      <c r="C138" s="208"/>
      <c r="D138" s="14"/>
      <c r="E138" s="14"/>
      <c r="F138" s="14"/>
      <c r="G138" s="14"/>
      <c r="H138" s="14"/>
      <c r="I138" s="14"/>
      <c r="J138" s="14"/>
      <c r="K138" s="87"/>
    </row>
    <row r="139" spans="1:12" s="57" customFormat="1">
      <c r="A139" s="209"/>
      <c r="B139" s="208"/>
      <c r="C139" s="208"/>
      <c r="D139" s="14"/>
      <c r="E139" s="14"/>
      <c r="F139" s="14"/>
      <c r="G139" s="14"/>
      <c r="H139" s="14"/>
      <c r="I139" s="14"/>
      <c r="J139" s="14"/>
      <c r="K139" s="87"/>
    </row>
    <row r="140" spans="1:12">
      <c r="A140" s="16"/>
      <c r="B140" s="14"/>
      <c r="C140" s="14"/>
      <c r="D140" s="95"/>
      <c r="E140" s="14"/>
      <c r="F140" s="14"/>
      <c r="G140" s="14"/>
      <c r="H140" s="14"/>
      <c r="I140" s="14"/>
      <c r="J140" s="14"/>
      <c r="K140" s="87"/>
    </row>
    <row r="141" spans="1:12">
      <c r="A141" s="16"/>
      <c r="B141" s="14"/>
      <c r="C141" s="14"/>
      <c r="D141" s="14"/>
      <c r="E141" s="14"/>
      <c r="F141" s="14"/>
      <c r="G141" s="14"/>
      <c r="H141" s="14"/>
      <c r="I141" s="14"/>
      <c r="J141" s="14"/>
      <c r="K141" s="87"/>
    </row>
    <row r="142" spans="1:12">
      <c r="A142" s="16"/>
      <c r="B142" s="14"/>
      <c r="C142" s="14"/>
      <c r="D142" s="14"/>
      <c r="E142" s="14"/>
      <c r="F142" s="14"/>
      <c r="G142" s="14"/>
      <c r="H142" s="14"/>
      <c r="I142" s="14"/>
      <c r="J142" s="14"/>
      <c r="K142" s="87"/>
    </row>
    <row r="143" spans="1:12">
      <c r="A143" s="16"/>
      <c r="B143" s="14"/>
      <c r="C143" s="14"/>
      <c r="D143" s="88"/>
      <c r="E143" s="14"/>
      <c r="F143" s="14"/>
      <c r="G143" s="14"/>
      <c r="H143" s="88"/>
      <c r="I143" s="89"/>
      <c r="J143" s="89"/>
      <c r="K143" s="90"/>
    </row>
    <row r="144" spans="1:12">
      <c r="A144" s="16"/>
      <c r="B144" s="14"/>
      <c r="C144" s="14"/>
      <c r="D144" s="88"/>
      <c r="E144" s="14"/>
      <c r="F144" s="14"/>
      <c r="G144" s="14"/>
      <c r="H144" s="88"/>
      <c r="I144" s="89"/>
      <c r="J144" s="89"/>
      <c r="K144" s="90"/>
    </row>
    <row r="145" spans="1:12">
      <c r="A145" s="16"/>
      <c r="B145" s="14"/>
      <c r="C145" s="14"/>
      <c r="D145" s="88"/>
      <c r="E145" s="14"/>
      <c r="F145" s="14"/>
      <c r="G145" s="14"/>
      <c r="H145" s="88"/>
      <c r="I145" s="89"/>
      <c r="J145" s="89"/>
      <c r="K145" s="90"/>
    </row>
    <row r="146" spans="1:12">
      <c r="A146" s="16"/>
      <c r="B146" s="14"/>
      <c r="C146" s="14"/>
      <c r="D146" s="88"/>
      <c r="E146" s="14"/>
      <c r="F146" s="14"/>
      <c r="G146" s="14"/>
      <c r="H146" s="88"/>
      <c r="I146" s="89"/>
      <c r="J146" s="89"/>
      <c r="K146" s="90"/>
    </row>
    <row r="147" spans="1:12">
      <c r="A147" s="91"/>
      <c r="B147" s="88"/>
      <c r="C147" s="88"/>
      <c r="D147" s="88"/>
      <c r="E147" s="88"/>
      <c r="F147" s="88"/>
      <c r="G147" s="88"/>
      <c r="H147" s="88"/>
      <c r="I147" s="89"/>
      <c r="J147" s="89"/>
      <c r="K147" s="90"/>
    </row>
    <row r="148" spans="1:12">
      <c r="A148" s="91" t="s">
        <v>28031</v>
      </c>
      <c r="B148" s="88">
        <v>7.41</v>
      </c>
      <c r="C148" s="88" t="str">
        <f>K133</f>
        <v>M3</v>
      </c>
      <c r="D148" s="88"/>
      <c r="E148" s="14"/>
      <c r="F148" s="14"/>
      <c r="G148" s="14"/>
      <c r="H148" s="88"/>
      <c r="I148" s="89"/>
      <c r="J148" s="89"/>
      <c r="K148" s="90"/>
    </row>
    <row r="149" spans="1:12">
      <c r="A149" s="91"/>
      <c r="B149" s="88"/>
      <c r="C149" s="88"/>
      <c r="D149" s="88"/>
      <c r="E149" s="88"/>
      <c r="F149" s="88"/>
      <c r="G149" s="88"/>
      <c r="H149" s="88"/>
      <c r="I149" s="89"/>
      <c r="J149" s="89"/>
      <c r="K149" s="90"/>
    </row>
    <row r="150" spans="1:12" ht="16">
      <c r="A150" s="10" t="s">
        <v>28032</v>
      </c>
      <c r="B150" s="207"/>
      <c r="C150" s="207"/>
      <c r="D150" s="207"/>
      <c r="E150" s="207"/>
      <c r="F150" s="207"/>
      <c r="G150" s="207"/>
      <c r="H150" s="207"/>
      <c r="I150" s="207"/>
      <c r="J150" s="1175" t="s">
        <v>28033</v>
      </c>
      <c r="K150" s="1176"/>
    </row>
    <row r="151" spans="1:12" ht="17" thickBot="1">
      <c r="A151" s="6"/>
      <c r="B151" s="11"/>
      <c r="C151" s="11"/>
      <c r="D151" s="11"/>
      <c r="E151" s="11"/>
      <c r="F151" s="11"/>
      <c r="G151" s="11"/>
      <c r="H151" s="11"/>
      <c r="I151" s="11"/>
      <c r="J151" s="1177">
        <f>B148</f>
        <v>7.41</v>
      </c>
      <c r="K151" s="1178"/>
    </row>
    <row r="152" spans="1:12" ht="22">
      <c r="A152" s="4" t="s">
        <v>28028</v>
      </c>
      <c r="B152" s="1173" t="s">
        <v>28029</v>
      </c>
      <c r="C152" s="1173"/>
      <c r="D152" s="1173"/>
      <c r="E152" s="1173"/>
      <c r="F152" s="1173"/>
      <c r="G152" s="1173"/>
      <c r="H152" s="1173"/>
      <c r="I152" s="1173"/>
      <c r="J152" s="1173"/>
      <c r="K152" s="5" t="s">
        <v>28030</v>
      </c>
    </row>
    <row r="153" spans="1:12" ht="22" customHeight="1" thickBot="1">
      <c r="A153" s="414" t="s">
        <v>11767</v>
      </c>
      <c r="B153" s="1174" t="str">
        <f>VLOOKUP($A153, 'Plan Orçamentária'!$Q$2:$S$128267,2,FALSE)</f>
        <v>LANÇAMENTO E ADENSAMENTO DE CONCRETO OU MASSA EM FUNDAÇÃO</v>
      </c>
      <c r="C153" s="1174"/>
      <c r="D153" s="1174"/>
      <c r="E153" s="1174"/>
      <c r="F153" s="1174"/>
      <c r="G153" s="1174"/>
      <c r="H153" s="1174"/>
      <c r="I153" s="1174"/>
      <c r="J153" s="1174"/>
      <c r="K153" s="12" t="str">
        <f>VLOOKUP($A153,'Plan Orçamentária'!$Q$2:$S$138267,3,FALSE)</f>
        <v>M3</v>
      </c>
      <c r="L153" s="15">
        <f>J171</f>
        <v>7.41</v>
      </c>
    </row>
    <row r="154" spans="1:12">
      <c r="A154" s="86" t="s">
        <v>44477</v>
      </c>
      <c r="B154" s="14"/>
      <c r="C154" s="14"/>
      <c r="D154" s="14"/>
      <c r="E154" s="14"/>
      <c r="F154" s="14"/>
      <c r="G154" s="14"/>
      <c r="H154" s="14"/>
      <c r="I154" s="14"/>
      <c r="J154" s="14"/>
      <c r="K154" s="87"/>
    </row>
    <row r="155" spans="1:12" ht="16.5" customHeight="1">
      <c r="A155" s="16"/>
      <c r="B155" s="14"/>
      <c r="C155" s="14"/>
      <c r="D155" s="14"/>
      <c r="E155" s="14"/>
      <c r="F155" s="14"/>
      <c r="G155" s="14"/>
      <c r="H155" s="14"/>
      <c r="I155" s="14"/>
      <c r="J155" s="14"/>
      <c r="K155" s="87"/>
    </row>
    <row r="156" spans="1:12" ht="16.5" customHeight="1">
      <c r="A156" s="16"/>
      <c r="B156" s="233"/>
      <c r="C156" s="14"/>
      <c r="D156" s="14"/>
      <c r="E156" s="14"/>
      <c r="F156" s="14"/>
      <c r="G156" s="14"/>
      <c r="H156" s="14"/>
      <c r="I156" s="14"/>
      <c r="J156" s="14"/>
      <c r="K156" s="87"/>
    </row>
    <row r="157" spans="1:12" ht="16.5" customHeight="1">
      <c r="A157" s="16"/>
      <c r="B157" s="234"/>
      <c r="C157" s="14"/>
      <c r="D157" s="14"/>
      <c r="E157" s="14"/>
      <c r="F157" s="14"/>
      <c r="G157" s="14"/>
      <c r="H157" s="14"/>
      <c r="I157" s="14"/>
      <c r="J157" s="14"/>
      <c r="K157" s="87"/>
    </row>
    <row r="158" spans="1:12">
      <c r="A158" s="16"/>
      <c r="B158" s="14"/>
      <c r="C158" s="14"/>
      <c r="D158" s="14"/>
      <c r="E158" s="14"/>
      <c r="F158" s="14"/>
      <c r="G158" s="14"/>
      <c r="H158" s="14"/>
      <c r="I158" s="14"/>
      <c r="J158" s="14"/>
      <c r="K158" s="87"/>
    </row>
    <row r="159" spans="1:12" s="57" customFormat="1">
      <c r="A159" s="209"/>
      <c r="B159" s="208"/>
      <c r="C159" s="208"/>
      <c r="D159" s="14"/>
      <c r="E159" s="14"/>
      <c r="F159" s="14"/>
      <c r="G159" s="14"/>
      <c r="H159" s="14"/>
      <c r="I159" s="14"/>
      <c r="J159" s="14"/>
      <c r="K159" s="87"/>
    </row>
    <row r="160" spans="1:12">
      <c r="A160" s="16"/>
      <c r="B160" s="14"/>
      <c r="C160" s="14"/>
      <c r="D160" s="95"/>
      <c r="E160" s="14"/>
      <c r="F160" s="14"/>
      <c r="G160" s="14"/>
      <c r="H160" s="14"/>
      <c r="I160" s="14"/>
      <c r="J160" s="14"/>
      <c r="K160" s="87"/>
    </row>
    <row r="161" spans="1:12">
      <c r="A161" s="16"/>
      <c r="B161" s="14"/>
      <c r="C161" s="14"/>
      <c r="D161" s="14"/>
      <c r="E161" s="14"/>
      <c r="F161" s="14"/>
      <c r="G161" s="14"/>
      <c r="H161" s="14"/>
      <c r="I161" s="14"/>
      <c r="J161" s="14"/>
      <c r="K161" s="87"/>
    </row>
    <row r="162" spans="1:12">
      <c r="A162" s="16"/>
      <c r="B162" s="14"/>
      <c r="C162" s="14"/>
      <c r="D162" s="14"/>
      <c r="E162" s="14"/>
      <c r="F162" s="14"/>
      <c r="G162" s="14"/>
      <c r="H162" s="14"/>
      <c r="I162" s="14"/>
      <c r="J162" s="14"/>
      <c r="K162" s="87"/>
    </row>
    <row r="163" spans="1:12">
      <c r="A163" s="16"/>
      <c r="B163" s="14"/>
      <c r="C163" s="14"/>
      <c r="D163" s="88"/>
      <c r="E163" s="14"/>
      <c r="F163" s="14"/>
      <c r="G163" s="14"/>
      <c r="H163" s="88"/>
      <c r="I163" s="89"/>
      <c r="J163" s="89"/>
      <c r="K163" s="90"/>
    </row>
    <row r="164" spans="1:12">
      <c r="A164" s="16"/>
      <c r="B164" s="14"/>
      <c r="C164" s="14"/>
      <c r="D164" s="88"/>
      <c r="E164" s="14"/>
      <c r="F164" s="14"/>
      <c r="G164" s="14"/>
      <c r="H164" s="88"/>
      <c r="I164" s="89"/>
      <c r="J164" s="89"/>
      <c r="K164" s="90"/>
    </row>
    <row r="165" spans="1:12">
      <c r="A165" s="16"/>
      <c r="B165" s="14"/>
      <c r="C165" s="14"/>
      <c r="D165" s="88"/>
      <c r="E165" s="14"/>
      <c r="F165" s="14"/>
      <c r="G165" s="14"/>
      <c r="H165" s="88"/>
      <c r="I165" s="89"/>
      <c r="J165" s="89"/>
      <c r="K165" s="90"/>
    </row>
    <row r="166" spans="1:12">
      <c r="A166" s="16"/>
      <c r="B166" s="14"/>
      <c r="C166" s="14"/>
      <c r="D166" s="88"/>
      <c r="E166" s="14"/>
      <c r="F166" s="14"/>
      <c r="G166" s="14"/>
      <c r="H166" s="88"/>
      <c r="I166" s="89"/>
      <c r="J166" s="89"/>
      <c r="K166" s="90"/>
    </row>
    <row r="167" spans="1:12">
      <c r="A167" s="91"/>
      <c r="B167" s="88"/>
      <c r="C167" s="88"/>
      <c r="D167" s="88"/>
      <c r="E167" s="14"/>
      <c r="F167" s="88"/>
      <c r="G167" s="88"/>
      <c r="H167" s="88"/>
      <c r="I167" s="89"/>
      <c r="J167" s="89"/>
      <c r="K167" s="90"/>
    </row>
    <row r="168" spans="1:12">
      <c r="A168" s="91" t="s">
        <v>28031</v>
      </c>
      <c r="B168" s="88">
        <v>7.41</v>
      </c>
      <c r="C168" s="88" t="str">
        <f>K153</f>
        <v>M3</v>
      </c>
      <c r="D168" s="88"/>
      <c r="E168" s="14"/>
      <c r="F168" s="14"/>
      <c r="G168" s="14"/>
      <c r="H168" s="88"/>
      <c r="I168" s="89"/>
      <c r="J168" s="89"/>
      <c r="K168" s="90"/>
    </row>
    <row r="169" spans="1:12">
      <c r="A169" s="91"/>
      <c r="B169" s="88"/>
      <c r="C169" s="88"/>
      <c r="D169" s="88"/>
      <c r="E169" s="88"/>
      <c r="F169" s="88"/>
      <c r="G169" s="88"/>
      <c r="H169" s="88"/>
      <c r="I169" s="89"/>
      <c r="J169" s="89"/>
      <c r="K169" s="90"/>
    </row>
    <row r="170" spans="1:12" ht="16">
      <c r="A170" s="10" t="s">
        <v>28032</v>
      </c>
      <c r="B170" s="207"/>
      <c r="C170" s="207"/>
      <c r="D170" s="207"/>
      <c r="E170" s="207"/>
      <c r="F170" s="207"/>
      <c r="G170" s="207"/>
      <c r="H170" s="207"/>
      <c r="I170" s="207"/>
      <c r="J170" s="1175" t="s">
        <v>28033</v>
      </c>
      <c r="K170" s="1176"/>
    </row>
    <row r="171" spans="1:12" ht="17" thickBot="1">
      <c r="A171" s="6"/>
      <c r="B171" s="11"/>
      <c r="C171" s="11"/>
      <c r="D171" s="11"/>
      <c r="E171" s="11"/>
      <c r="F171" s="11"/>
      <c r="G171" s="11"/>
      <c r="H171" s="11"/>
      <c r="I171" s="11"/>
      <c r="J171" s="1177">
        <f>B168</f>
        <v>7.41</v>
      </c>
      <c r="K171" s="1178"/>
    </row>
    <row r="172" spans="1:12" ht="22">
      <c r="A172" s="4" t="s">
        <v>28028</v>
      </c>
      <c r="B172" s="1173" t="s">
        <v>28029</v>
      </c>
      <c r="C172" s="1173"/>
      <c r="D172" s="1173"/>
      <c r="E172" s="1173"/>
      <c r="F172" s="1173"/>
      <c r="G172" s="1173"/>
      <c r="H172" s="1173"/>
      <c r="I172" s="1173"/>
      <c r="J172" s="1173"/>
      <c r="K172" s="5" t="s">
        <v>28030</v>
      </c>
    </row>
    <row r="173" spans="1:12" ht="22" customHeight="1" thickBot="1">
      <c r="A173" s="414" t="s">
        <v>11543</v>
      </c>
      <c r="B173" s="1174" t="str">
        <f>VLOOKUP($A173, 'Plan Orçamentária'!$Q$2:$S$128267,2,FALSE)</f>
        <v>REATERRO COMPACTADO MECANIZADO DE VALA OU CAVA COM COMPACTADOR</v>
      </c>
      <c r="C173" s="1174"/>
      <c r="D173" s="1174"/>
      <c r="E173" s="1174"/>
      <c r="F173" s="1174"/>
      <c r="G173" s="1174"/>
      <c r="H173" s="1174"/>
      <c r="I173" s="1174"/>
      <c r="J173" s="1174"/>
      <c r="K173" s="12" t="str">
        <f>VLOOKUP($A173,'Plan Orçamentária'!$Q$2:$S$138267,3,FALSE)</f>
        <v>M3</v>
      </c>
      <c r="L173" s="15">
        <f>J191</f>
        <v>30.336749999999999</v>
      </c>
    </row>
    <row r="174" spans="1:12">
      <c r="A174" s="86" t="s">
        <v>44477</v>
      </c>
      <c r="B174" s="14"/>
      <c r="C174" s="14"/>
      <c r="D174" s="14"/>
      <c r="E174" s="14"/>
      <c r="F174" s="14"/>
      <c r="G174" s="14"/>
      <c r="H174" s="14"/>
      <c r="I174" s="14"/>
      <c r="J174" s="14"/>
      <c r="K174" s="87"/>
    </row>
    <row r="175" spans="1:12" ht="16.5" customHeight="1">
      <c r="A175" s="16"/>
      <c r="B175" s="14"/>
      <c r="C175" s="14"/>
      <c r="D175" s="14"/>
      <c r="E175" s="14"/>
      <c r="F175" s="14"/>
      <c r="G175" s="14"/>
      <c r="H175" s="14"/>
      <c r="I175" s="14"/>
      <c r="J175" s="14"/>
      <c r="K175" s="87"/>
    </row>
    <row r="176" spans="1:12" ht="16.5" customHeight="1">
      <c r="A176" s="16" t="s">
        <v>44488</v>
      </c>
      <c r="B176" s="233">
        <f>B28</f>
        <v>38.379125000000002</v>
      </c>
      <c r="C176" s="14" t="s">
        <v>121</v>
      </c>
      <c r="D176" s="14"/>
      <c r="E176" s="14"/>
      <c r="F176" s="14"/>
      <c r="G176" s="14"/>
      <c r="H176" s="14"/>
      <c r="I176" s="14"/>
      <c r="J176" s="14"/>
      <c r="K176" s="87"/>
    </row>
    <row r="177" spans="1:11" ht="16.5" customHeight="1">
      <c r="A177" s="16" t="s">
        <v>44489</v>
      </c>
      <c r="B177" s="234">
        <f>B48</f>
        <v>0.63237500000000013</v>
      </c>
      <c r="C177" s="14" t="s">
        <v>121</v>
      </c>
      <c r="D177" s="14"/>
      <c r="E177" s="14"/>
      <c r="F177" s="14"/>
      <c r="G177" s="14"/>
      <c r="H177" s="14"/>
      <c r="I177" s="14"/>
      <c r="J177" s="14"/>
      <c r="K177" s="87"/>
    </row>
    <row r="178" spans="1:11">
      <c r="A178" s="16" t="s">
        <v>39542</v>
      </c>
      <c r="B178" s="14">
        <f>B128</f>
        <v>7.41</v>
      </c>
      <c r="C178" s="14" t="s">
        <v>121</v>
      </c>
      <c r="D178" s="14"/>
      <c r="E178" s="14"/>
      <c r="F178" s="14"/>
      <c r="G178" s="14"/>
      <c r="H178" s="14"/>
      <c r="I178" s="14"/>
      <c r="J178" s="14"/>
      <c r="K178" s="87"/>
    </row>
    <row r="179" spans="1:11" s="57" customFormat="1">
      <c r="A179" s="209"/>
      <c r="B179" s="208"/>
      <c r="C179" s="208"/>
      <c r="D179" s="14"/>
      <c r="E179" s="14"/>
      <c r="F179" s="14"/>
      <c r="G179" s="14"/>
      <c r="H179" s="14"/>
      <c r="I179" s="14"/>
      <c r="J179" s="14"/>
      <c r="K179" s="87"/>
    </row>
    <row r="180" spans="1:11">
      <c r="A180" s="16"/>
      <c r="B180" s="14"/>
      <c r="C180" s="14"/>
      <c r="D180" s="95"/>
      <c r="E180" s="14"/>
      <c r="F180" s="14"/>
      <c r="G180" s="14"/>
      <c r="H180" s="14"/>
      <c r="I180" s="14"/>
      <c r="J180" s="14"/>
      <c r="K180" s="87"/>
    </row>
    <row r="181" spans="1:11">
      <c r="A181" s="16"/>
      <c r="B181" s="14"/>
      <c r="C181" s="14"/>
      <c r="D181" s="14"/>
      <c r="E181" s="14"/>
      <c r="F181" s="14"/>
      <c r="G181" s="14"/>
      <c r="H181" s="14"/>
      <c r="I181" s="14"/>
      <c r="J181" s="14"/>
      <c r="K181" s="87"/>
    </row>
    <row r="182" spans="1:11">
      <c r="A182" s="16"/>
      <c r="B182" s="14"/>
      <c r="C182" s="14"/>
      <c r="D182" s="14"/>
      <c r="E182" s="14"/>
      <c r="F182" s="14"/>
      <c r="G182" s="14"/>
      <c r="H182" s="14"/>
      <c r="I182" s="14"/>
      <c r="J182" s="14"/>
      <c r="K182" s="87"/>
    </row>
    <row r="183" spans="1:11">
      <c r="A183" s="16"/>
      <c r="B183" s="14"/>
      <c r="C183" s="14"/>
      <c r="D183" s="88"/>
      <c r="E183" s="14"/>
      <c r="F183" s="14"/>
      <c r="G183" s="14"/>
      <c r="H183" s="88"/>
      <c r="I183" s="89"/>
      <c r="J183" s="89"/>
      <c r="K183" s="90"/>
    </row>
    <row r="184" spans="1:11">
      <c r="A184" s="16"/>
      <c r="B184" s="14"/>
      <c r="C184" s="14"/>
      <c r="D184" s="88"/>
      <c r="E184" s="14"/>
      <c r="F184" s="14"/>
      <c r="G184" s="14"/>
      <c r="H184" s="88"/>
      <c r="I184" s="89"/>
      <c r="J184" s="89"/>
      <c r="K184" s="90"/>
    </row>
    <row r="185" spans="1:11">
      <c r="A185" s="16"/>
      <c r="B185" s="14"/>
      <c r="C185" s="14"/>
      <c r="D185" s="88"/>
      <c r="E185" s="14"/>
      <c r="F185" s="14"/>
      <c r="G185" s="14"/>
      <c r="H185" s="88"/>
      <c r="I185" s="89"/>
      <c r="J185" s="89"/>
      <c r="K185" s="90"/>
    </row>
    <row r="186" spans="1:11">
      <c r="A186" s="16"/>
      <c r="B186" s="14"/>
      <c r="C186" s="14"/>
      <c r="D186" s="88"/>
      <c r="E186" s="14"/>
      <c r="F186" s="14"/>
      <c r="G186" s="14"/>
      <c r="H186" s="88"/>
      <c r="I186" s="89"/>
      <c r="J186" s="89"/>
      <c r="K186" s="90"/>
    </row>
    <row r="187" spans="1:11">
      <c r="A187" s="91"/>
      <c r="B187" s="88"/>
      <c r="C187" s="88"/>
      <c r="D187" s="88"/>
      <c r="E187" s="14"/>
      <c r="F187" s="88"/>
      <c r="G187" s="88"/>
      <c r="H187" s="88"/>
      <c r="I187" s="89"/>
      <c r="J187" s="89"/>
      <c r="K187" s="90"/>
    </row>
    <row r="188" spans="1:11">
      <c r="A188" s="91" t="s">
        <v>28031</v>
      </c>
      <c r="B188" s="88">
        <f>B176-B177-B178</f>
        <v>30.336749999999999</v>
      </c>
      <c r="C188" s="88" t="str">
        <f>K173</f>
        <v>M3</v>
      </c>
      <c r="D188" s="88"/>
      <c r="E188" s="14"/>
      <c r="F188" s="14"/>
      <c r="G188" s="14"/>
      <c r="H188" s="88"/>
      <c r="I188" s="89"/>
      <c r="J188" s="89"/>
      <c r="K188" s="90"/>
    </row>
    <row r="189" spans="1:11">
      <c r="A189" s="91"/>
      <c r="B189" s="88"/>
      <c r="C189" s="88"/>
      <c r="D189" s="88"/>
      <c r="E189" s="88"/>
      <c r="F189" s="88"/>
      <c r="G189" s="88"/>
      <c r="H189" s="88"/>
      <c r="I189" s="89"/>
      <c r="J189" s="89"/>
      <c r="K189" s="90"/>
    </row>
    <row r="190" spans="1:11" ht="16">
      <c r="A190" s="10" t="s">
        <v>28032</v>
      </c>
      <c r="B190" s="207"/>
      <c r="C190" s="207"/>
      <c r="D190" s="207"/>
      <c r="E190" s="207"/>
      <c r="F190" s="207"/>
      <c r="G190" s="207"/>
      <c r="H190" s="207"/>
      <c r="I190" s="207"/>
      <c r="J190" s="1175" t="s">
        <v>28033</v>
      </c>
      <c r="K190" s="1176"/>
    </row>
    <row r="191" spans="1:11" ht="17" thickBot="1">
      <c r="A191" s="6"/>
      <c r="B191" s="11"/>
      <c r="C191" s="11"/>
      <c r="D191" s="11"/>
      <c r="E191" s="11"/>
      <c r="F191" s="11"/>
      <c r="G191" s="11"/>
      <c r="H191" s="11"/>
      <c r="I191" s="11"/>
      <c r="J191" s="1177">
        <f>B188</f>
        <v>30.336749999999999</v>
      </c>
      <c r="K191" s="1178"/>
    </row>
    <row r="192" spans="1:11" ht="22">
      <c r="A192" s="4" t="s">
        <v>28028</v>
      </c>
      <c r="B192" s="1173" t="s">
        <v>28029</v>
      </c>
      <c r="C192" s="1173"/>
      <c r="D192" s="1173"/>
      <c r="E192" s="1173"/>
      <c r="F192" s="1173"/>
      <c r="G192" s="1173"/>
      <c r="H192" s="1173"/>
      <c r="I192" s="1173"/>
      <c r="J192" s="1173"/>
      <c r="K192" s="5" t="s">
        <v>28030</v>
      </c>
    </row>
    <row r="193" spans="1:12" ht="22" customHeight="1" thickBot="1">
      <c r="A193" s="414" t="s">
        <v>11453</v>
      </c>
      <c r="B193" s="1174" t="str">
        <f>VLOOKUP($A193, 'Plan Orçamentária'!$Q$2:$S$128267,2,FALSE)</f>
        <v>TRANSPORTE DE SOLO DE 1ª E 2ª CATEGORIA POR CAMINHÃO PARA DISTÂNCIAS SUPERIORES AO 5° KM ATÉ O 10° KM</v>
      </c>
      <c r="C193" s="1174"/>
      <c r="D193" s="1174"/>
      <c r="E193" s="1174"/>
      <c r="F193" s="1174"/>
      <c r="G193" s="1174"/>
      <c r="H193" s="1174"/>
      <c r="I193" s="1174"/>
      <c r="J193" s="1174"/>
      <c r="K193" s="12" t="str">
        <f>VLOOKUP($A193,'Plan Orçamentária'!$Q$2:$S$138267,3,FALSE)</f>
        <v>M3</v>
      </c>
      <c r="L193" s="15">
        <f>J211</f>
        <v>8.0423750000000034</v>
      </c>
    </row>
    <row r="194" spans="1:12">
      <c r="A194" s="86" t="s">
        <v>44477</v>
      </c>
      <c r="B194" s="14"/>
      <c r="C194" s="14"/>
      <c r="D194" s="14"/>
      <c r="E194" s="14"/>
      <c r="F194" s="14"/>
      <c r="G194" s="14"/>
      <c r="H194" s="14"/>
      <c r="I194" s="14"/>
      <c r="J194" s="14"/>
      <c r="K194" s="87"/>
    </row>
    <row r="195" spans="1:12" ht="16.5" customHeight="1">
      <c r="A195" s="16"/>
      <c r="B195" s="14"/>
      <c r="C195" s="14"/>
      <c r="D195" s="14"/>
      <c r="E195" s="14"/>
      <c r="F195" s="14"/>
      <c r="G195" s="14"/>
      <c r="H195" s="14"/>
      <c r="I195" s="14"/>
      <c r="J195" s="14"/>
      <c r="K195" s="87"/>
    </row>
    <row r="196" spans="1:12" ht="16.5" customHeight="1">
      <c r="A196" s="16" t="s">
        <v>44488</v>
      </c>
      <c r="B196" s="233">
        <f>B176</f>
        <v>38.379125000000002</v>
      </c>
      <c r="C196" s="14" t="s">
        <v>121</v>
      </c>
      <c r="D196" s="14"/>
      <c r="E196" s="14"/>
      <c r="F196" s="14"/>
      <c r="G196" s="14"/>
      <c r="H196" s="14"/>
      <c r="I196" s="14"/>
      <c r="J196" s="14"/>
      <c r="K196" s="87"/>
    </row>
    <row r="197" spans="1:12" ht="16.5" customHeight="1">
      <c r="A197" s="16" t="s">
        <v>44490</v>
      </c>
      <c r="B197" s="234">
        <f>B188</f>
        <v>30.336749999999999</v>
      </c>
      <c r="C197" s="14" t="s">
        <v>121</v>
      </c>
      <c r="D197" s="14"/>
      <c r="E197" s="14"/>
      <c r="F197" s="14"/>
      <c r="G197" s="14"/>
      <c r="H197" s="14"/>
      <c r="I197" s="14"/>
      <c r="J197" s="14"/>
      <c r="K197" s="87"/>
    </row>
    <row r="198" spans="1:12">
      <c r="A198" s="16"/>
      <c r="B198" s="14"/>
      <c r="C198" s="14"/>
      <c r="D198" s="14"/>
      <c r="E198" s="14"/>
      <c r="F198" s="14"/>
      <c r="G198" s="14"/>
      <c r="H198" s="14"/>
      <c r="I198" s="14"/>
      <c r="J198" s="14"/>
      <c r="K198" s="87"/>
    </row>
    <row r="199" spans="1:12" s="57" customFormat="1">
      <c r="A199" s="209"/>
      <c r="B199" s="208"/>
      <c r="C199" s="208"/>
      <c r="D199" s="14"/>
      <c r="E199" s="14"/>
      <c r="F199" s="14"/>
      <c r="G199" s="14"/>
      <c r="H199" s="14"/>
      <c r="I199" s="14"/>
      <c r="J199" s="14"/>
      <c r="K199" s="87"/>
    </row>
    <row r="200" spans="1:12">
      <c r="A200" s="16"/>
      <c r="B200" s="14"/>
      <c r="C200" s="14"/>
      <c r="D200" s="95"/>
      <c r="E200" s="14"/>
      <c r="F200" s="14"/>
      <c r="G200" s="14"/>
      <c r="H200" s="14"/>
      <c r="I200" s="14"/>
      <c r="J200" s="14"/>
      <c r="K200" s="87"/>
    </row>
    <row r="201" spans="1:12">
      <c r="A201" s="16"/>
      <c r="B201" s="14"/>
      <c r="C201" s="14"/>
      <c r="D201" s="14"/>
      <c r="E201" s="14"/>
      <c r="F201" s="14"/>
      <c r="G201" s="14"/>
      <c r="H201" s="14"/>
      <c r="I201" s="14"/>
      <c r="J201" s="14"/>
      <c r="K201" s="87"/>
    </row>
    <row r="202" spans="1:12">
      <c r="A202" s="16"/>
      <c r="B202" s="14"/>
      <c r="C202" s="14"/>
      <c r="D202" s="14"/>
      <c r="E202" s="14"/>
      <c r="F202" s="14"/>
      <c r="G202" s="14"/>
      <c r="H202" s="14"/>
      <c r="I202" s="14"/>
      <c r="J202" s="14"/>
      <c r="K202" s="87"/>
    </row>
    <row r="203" spans="1:12">
      <c r="A203" s="16"/>
      <c r="B203" s="14"/>
      <c r="C203" s="14"/>
      <c r="D203" s="88"/>
      <c r="E203" s="14"/>
      <c r="F203" s="14"/>
      <c r="G203" s="14"/>
      <c r="H203" s="88"/>
      <c r="I203" s="89"/>
      <c r="J203" s="89"/>
      <c r="K203" s="90"/>
    </row>
    <row r="204" spans="1:12">
      <c r="A204" s="16"/>
      <c r="B204" s="14"/>
      <c r="C204" s="14"/>
      <c r="D204" s="88"/>
      <c r="E204" s="14"/>
      <c r="F204" s="14"/>
      <c r="G204" s="14"/>
      <c r="H204" s="88"/>
      <c r="I204" s="89"/>
      <c r="J204" s="89"/>
      <c r="K204" s="90"/>
    </row>
    <row r="205" spans="1:12">
      <c r="A205" s="16"/>
      <c r="B205" s="14"/>
      <c r="C205" s="14"/>
      <c r="D205" s="88"/>
      <c r="E205" s="14"/>
      <c r="F205" s="14"/>
      <c r="G205" s="14"/>
      <c r="H205" s="88"/>
      <c r="I205" s="89"/>
      <c r="J205" s="89"/>
      <c r="K205" s="90"/>
    </row>
    <row r="206" spans="1:12">
      <c r="A206" s="16"/>
      <c r="B206" s="14"/>
      <c r="C206" s="14"/>
      <c r="D206" s="88"/>
      <c r="E206" s="14"/>
      <c r="F206" s="14"/>
      <c r="G206" s="14"/>
      <c r="H206" s="88"/>
      <c r="I206" s="89"/>
      <c r="J206" s="89"/>
      <c r="K206" s="90"/>
    </row>
    <row r="207" spans="1:12">
      <c r="A207" s="91"/>
      <c r="B207" s="88"/>
      <c r="C207" s="88"/>
      <c r="D207" s="88"/>
      <c r="E207" s="14"/>
      <c r="F207" s="88"/>
      <c r="G207" s="88"/>
      <c r="H207" s="88"/>
      <c r="I207" s="89"/>
      <c r="J207" s="89"/>
      <c r="K207" s="90"/>
    </row>
    <row r="208" spans="1:12">
      <c r="A208" s="91" t="s">
        <v>28031</v>
      </c>
      <c r="B208" s="88">
        <f>B196-B197</f>
        <v>8.0423750000000034</v>
      </c>
      <c r="C208" s="88" t="str">
        <f>K193</f>
        <v>M3</v>
      </c>
      <c r="D208" s="88"/>
      <c r="E208" s="14"/>
      <c r="F208" s="14"/>
      <c r="G208" s="14"/>
      <c r="H208" s="88"/>
      <c r="I208" s="89"/>
      <c r="J208" s="89"/>
      <c r="K208" s="90"/>
    </row>
    <row r="209" spans="1:11">
      <c r="A209" s="91"/>
      <c r="B209" s="88"/>
      <c r="C209" s="88"/>
      <c r="D209" s="88"/>
      <c r="E209" s="88"/>
      <c r="F209" s="88"/>
      <c r="G209" s="88"/>
      <c r="H209" s="88"/>
      <c r="I209" s="89"/>
      <c r="J209" s="89"/>
      <c r="K209" s="90"/>
    </row>
    <row r="210" spans="1:11" ht="16">
      <c r="A210" s="10" t="s">
        <v>28032</v>
      </c>
      <c r="B210" s="207"/>
      <c r="C210" s="207"/>
      <c r="D210" s="207"/>
      <c r="E210" s="207"/>
      <c r="F210" s="207"/>
      <c r="G210" s="207"/>
      <c r="H210" s="207"/>
      <c r="I210" s="207"/>
      <c r="J210" s="1175" t="s">
        <v>28033</v>
      </c>
      <c r="K210" s="1176"/>
    </row>
    <row r="211" spans="1:11" ht="17" thickBot="1">
      <c r="A211" s="6"/>
      <c r="B211" s="11"/>
      <c r="C211" s="11"/>
      <c r="D211" s="11"/>
      <c r="E211" s="11"/>
      <c r="F211" s="11"/>
      <c r="G211" s="11"/>
      <c r="H211" s="11"/>
      <c r="I211" s="11"/>
      <c r="J211" s="1177">
        <f>B208</f>
        <v>8.0423750000000034</v>
      </c>
      <c r="K211" s="1178"/>
    </row>
  </sheetData>
  <mergeCells count="49">
    <mergeCell ref="B52:J52"/>
    <mergeCell ref="A1:K1"/>
    <mergeCell ref="A2:K10"/>
    <mergeCell ref="B11:K11"/>
    <mergeCell ref="B12:J12"/>
    <mergeCell ref="B13:J13"/>
    <mergeCell ref="J30:K30"/>
    <mergeCell ref="J31:K31"/>
    <mergeCell ref="B32:J32"/>
    <mergeCell ref="B33:J33"/>
    <mergeCell ref="J50:K50"/>
    <mergeCell ref="J51:K51"/>
    <mergeCell ref="B112:J112"/>
    <mergeCell ref="B53:J53"/>
    <mergeCell ref="J70:K70"/>
    <mergeCell ref="J71:K71"/>
    <mergeCell ref="B72:J72"/>
    <mergeCell ref="B73:J73"/>
    <mergeCell ref="J90:K90"/>
    <mergeCell ref="J91:K91"/>
    <mergeCell ref="B92:J92"/>
    <mergeCell ref="B93:J93"/>
    <mergeCell ref="J110:K110"/>
    <mergeCell ref="J111:K111"/>
    <mergeCell ref="J170:K170"/>
    <mergeCell ref="J171:K171"/>
    <mergeCell ref="B172:J172"/>
    <mergeCell ref="B113:J113"/>
    <mergeCell ref="J130:K130"/>
    <mergeCell ref="J131:K131"/>
    <mergeCell ref="B132:J132"/>
    <mergeCell ref="B133:J133"/>
    <mergeCell ref="J150:K150"/>
    <mergeCell ref="J211:K211"/>
    <mergeCell ref="A16:B16"/>
    <mergeCell ref="D16:E16"/>
    <mergeCell ref="G16:H16"/>
    <mergeCell ref="A36:B36"/>
    <mergeCell ref="D36:E36"/>
    <mergeCell ref="G36:H36"/>
    <mergeCell ref="B173:J173"/>
    <mergeCell ref="J190:K190"/>
    <mergeCell ref="J191:K191"/>
    <mergeCell ref="B192:J192"/>
    <mergeCell ref="B193:J193"/>
    <mergeCell ref="J210:K210"/>
    <mergeCell ref="J151:K151"/>
    <mergeCell ref="B152:J152"/>
    <mergeCell ref="B153:J153"/>
  </mergeCells>
  <conditionalFormatting sqref="A13">
    <cfRule type="expression" dxfId="185" priority="29">
      <formula>$M13="NÍVEL 1"</formula>
    </cfRule>
    <cfRule type="expression" dxfId="184" priority="30">
      <formula>$M13="NÍVEL 2"</formula>
    </cfRule>
  </conditionalFormatting>
  <conditionalFormatting sqref="A13">
    <cfRule type="expression" dxfId="183" priority="28" stopIfTrue="1">
      <formula>$M13="NÍVEL 3"</formula>
    </cfRule>
  </conditionalFormatting>
  <conditionalFormatting sqref="A33">
    <cfRule type="expression" dxfId="182" priority="26">
      <formula>$M33="NÍVEL 1"</formula>
    </cfRule>
    <cfRule type="expression" dxfId="181" priority="27">
      <formula>$M33="NÍVEL 2"</formula>
    </cfRule>
  </conditionalFormatting>
  <conditionalFormatting sqref="A33">
    <cfRule type="expression" dxfId="180" priority="25" stopIfTrue="1">
      <formula>$M33="NÍVEL 3"</formula>
    </cfRule>
  </conditionalFormatting>
  <conditionalFormatting sqref="A53">
    <cfRule type="expression" dxfId="179" priority="23">
      <formula>$M53="NÍVEL 1"</formula>
    </cfRule>
    <cfRule type="expression" dxfId="178" priority="24">
      <formula>$M53="NÍVEL 2"</formula>
    </cfRule>
  </conditionalFormatting>
  <conditionalFormatting sqref="A53">
    <cfRule type="expression" dxfId="177" priority="22" stopIfTrue="1">
      <formula>$M53="NÍVEL 3"</formula>
    </cfRule>
  </conditionalFormatting>
  <conditionalFormatting sqref="A73">
    <cfRule type="expression" dxfId="176" priority="20">
      <formula>$M73="NÍVEL 1"</formula>
    </cfRule>
    <cfRule type="expression" dxfId="175" priority="21">
      <formula>$M73="NÍVEL 2"</formula>
    </cfRule>
  </conditionalFormatting>
  <conditionalFormatting sqref="A73">
    <cfRule type="expression" dxfId="174" priority="19" stopIfTrue="1">
      <formula>$M73="NÍVEL 3"</formula>
    </cfRule>
  </conditionalFormatting>
  <conditionalFormatting sqref="A93">
    <cfRule type="expression" dxfId="173" priority="17">
      <formula>$M93="NÍVEL 1"</formula>
    </cfRule>
    <cfRule type="expression" dxfId="172" priority="18">
      <formula>$M93="NÍVEL 2"</formula>
    </cfRule>
  </conditionalFormatting>
  <conditionalFormatting sqref="A93">
    <cfRule type="expression" dxfId="171" priority="16" stopIfTrue="1">
      <formula>$M93="NÍVEL 3"</formula>
    </cfRule>
  </conditionalFormatting>
  <conditionalFormatting sqref="A113">
    <cfRule type="expression" dxfId="170" priority="14">
      <formula>$M113="NÍVEL 1"</formula>
    </cfRule>
    <cfRule type="expression" dxfId="169" priority="15">
      <formula>$M113="NÍVEL 2"</formula>
    </cfRule>
  </conditionalFormatting>
  <conditionalFormatting sqref="A113">
    <cfRule type="expression" dxfId="168" priority="13" stopIfTrue="1">
      <formula>$M113="NÍVEL 3"</formula>
    </cfRule>
  </conditionalFormatting>
  <conditionalFormatting sqref="A133">
    <cfRule type="expression" dxfId="167" priority="11">
      <formula>$M133="NÍVEL 1"</formula>
    </cfRule>
    <cfRule type="expression" dxfId="166" priority="12">
      <formula>$M133="NÍVEL 2"</formula>
    </cfRule>
  </conditionalFormatting>
  <conditionalFormatting sqref="A133">
    <cfRule type="expression" dxfId="165" priority="10" stopIfTrue="1">
      <formula>$M133="NÍVEL 3"</formula>
    </cfRule>
  </conditionalFormatting>
  <conditionalFormatting sqref="A153">
    <cfRule type="expression" dxfId="164" priority="8">
      <formula>$M153="NÍVEL 1"</formula>
    </cfRule>
    <cfRule type="expression" dxfId="163" priority="9">
      <formula>$M153="NÍVEL 2"</formula>
    </cfRule>
  </conditionalFormatting>
  <conditionalFormatting sqref="A153">
    <cfRule type="expression" dxfId="162" priority="7" stopIfTrue="1">
      <formula>$M153="NÍVEL 3"</formula>
    </cfRule>
  </conditionalFormatting>
  <conditionalFormatting sqref="A173">
    <cfRule type="expression" dxfId="161" priority="5">
      <formula>$M173="NÍVEL 1"</formula>
    </cfRule>
    <cfRule type="expression" dxfId="160" priority="6">
      <formula>$M173="NÍVEL 2"</formula>
    </cfRule>
  </conditionalFormatting>
  <conditionalFormatting sqref="A173">
    <cfRule type="expression" dxfId="159" priority="4" stopIfTrue="1">
      <formula>$M173="NÍVEL 3"</formula>
    </cfRule>
  </conditionalFormatting>
  <conditionalFormatting sqref="A193">
    <cfRule type="expression" dxfId="158" priority="2">
      <formula>$M193="NÍVEL 1"</formula>
    </cfRule>
    <cfRule type="expression" dxfId="157" priority="3">
      <formula>$M193="NÍVEL 2"</formula>
    </cfRule>
  </conditionalFormatting>
  <conditionalFormatting sqref="A193">
    <cfRule type="expression" dxfId="156" priority="1" stopIfTrue="1">
      <formula>$M193="NÍVEL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317A6-680B-4E76-8EBA-23AD08A6CC4E}">
  <sheetPr codeName="Planilha40">
    <pageSetUpPr fitToPage="1"/>
  </sheetPr>
  <dimension ref="A1:L131"/>
  <sheetViews>
    <sheetView view="pageBreakPreview" topLeftCell="A103"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44475</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414" t="s">
        <v>11656</v>
      </c>
      <c r="B13" s="1174" t="str">
        <f>VLOOKUP($A13, 'Plan Orçamentária'!$Q$2:$S$128267,2,FALSE)</f>
        <v>FORMA PLANA EM COMPENSADO PARA ESTRUTURA CONVENCIONAL COM CIMBRAMENTO TUBULAR METÁLICO</v>
      </c>
      <c r="C13" s="1174"/>
      <c r="D13" s="1174"/>
      <c r="E13" s="1174"/>
      <c r="F13" s="1174"/>
      <c r="G13" s="1174"/>
      <c r="H13" s="1174"/>
      <c r="I13" s="1174"/>
      <c r="J13" s="1174"/>
      <c r="K13" s="12" t="str">
        <f>VLOOKUP($A13,'Plan Orçamentária'!$Q$2:$S$138267,3,FALSE)</f>
        <v>M2</v>
      </c>
      <c r="L13" s="15">
        <f>J31</f>
        <v>141.49</v>
      </c>
    </row>
    <row r="14" spans="1:12">
      <c r="A14" s="86" t="s">
        <v>44477</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11" ht="16.5" customHeight="1">
      <c r="A17" s="16"/>
      <c r="B17" s="14"/>
      <c r="C17" s="14"/>
      <c r="D17" s="807"/>
      <c r="E17" s="14"/>
      <c r="F17" s="14"/>
      <c r="G17" s="14"/>
      <c r="H17" s="14"/>
      <c r="I17" s="14"/>
      <c r="J17" s="14"/>
      <c r="K17" s="87"/>
    </row>
    <row r="18" spans="1:11">
      <c r="A18" s="209"/>
      <c r="B18" s="208"/>
      <c r="C18" s="208"/>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61.91+52.31+27.27</f>
        <v>141.49</v>
      </c>
      <c r="C28" s="88" t="str">
        <f>K13</f>
        <v>M2</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141.49</v>
      </c>
      <c r="K31" s="1178"/>
    </row>
    <row r="32" spans="1:11" ht="22">
      <c r="A32" s="4" t="s">
        <v>28028</v>
      </c>
      <c r="B32" s="1173" t="s">
        <v>28029</v>
      </c>
      <c r="C32" s="1173"/>
      <c r="D32" s="1173"/>
      <c r="E32" s="1173"/>
      <c r="F32" s="1173"/>
      <c r="G32" s="1173"/>
      <c r="H32" s="1173"/>
      <c r="I32" s="1173"/>
      <c r="J32" s="1173"/>
      <c r="K32" s="5" t="s">
        <v>28030</v>
      </c>
    </row>
    <row r="33" spans="1:12" ht="22" customHeight="1" thickBot="1">
      <c r="A33" s="414" t="s">
        <v>11685</v>
      </c>
      <c r="B33" s="1174" t="str">
        <f>VLOOKUP($A33, 'Plan Orçamentária'!$Q$2:$S$128267,2,FALSE)</f>
        <v>ARMADURA EM BARRA DE AÇO CA-50 (A OU B) FYK = 500 MPA</v>
      </c>
      <c r="C33" s="1174"/>
      <c r="D33" s="1174"/>
      <c r="E33" s="1174"/>
      <c r="F33" s="1174"/>
      <c r="G33" s="1174"/>
      <c r="H33" s="1174"/>
      <c r="I33" s="1174"/>
      <c r="J33" s="1174"/>
      <c r="K33" s="12" t="str">
        <f>VLOOKUP($A33,'Plan Orçamentária'!$Q$2:$S$138267,3,FALSE)</f>
        <v>KG</v>
      </c>
      <c r="L33" s="15">
        <f>J51</f>
        <v>839.4</v>
      </c>
    </row>
    <row r="34" spans="1:12">
      <c r="A34" s="86" t="s">
        <v>44477</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c r="B36" s="233"/>
      <c r="C36" s="14"/>
      <c r="D36" s="14"/>
      <c r="E36" s="14"/>
      <c r="F36" s="14"/>
      <c r="G36" s="14"/>
      <c r="H36" s="14"/>
      <c r="I36" s="14"/>
      <c r="J36" s="14"/>
      <c r="K36" s="87"/>
    </row>
    <row r="37" spans="1:12" ht="16.5" customHeight="1">
      <c r="A37" s="16"/>
      <c r="B37" s="234"/>
      <c r="C37" s="14"/>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14"/>
      <c r="F47" s="88"/>
      <c r="G47" s="88"/>
      <c r="H47" s="88"/>
      <c r="I47" s="89"/>
      <c r="J47" s="89"/>
      <c r="K47" s="90"/>
    </row>
    <row r="48" spans="1:12">
      <c r="A48" s="91" t="s">
        <v>28031</v>
      </c>
      <c r="B48" s="88">
        <f>375.4+311.4+152.6</f>
        <v>839.4</v>
      </c>
      <c r="C48" s="88" t="str">
        <f>K33</f>
        <v>KG</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839.4</v>
      </c>
      <c r="K51" s="1178"/>
    </row>
    <row r="52" spans="1:12" ht="22">
      <c r="A52" s="4" t="s">
        <v>28028</v>
      </c>
      <c r="B52" s="1173" t="s">
        <v>28029</v>
      </c>
      <c r="C52" s="1173"/>
      <c r="D52" s="1173"/>
      <c r="E52" s="1173"/>
      <c r="F52" s="1173"/>
      <c r="G52" s="1173"/>
      <c r="H52" s="1173"/>
      <c r="I52" s="1173"/>
      <c r="J52" s="1173"/>
      <c r="K52" s="5" t="s">
        <v>28030</v>
      </c>
    </row>
    <row r="53" spans="1:12" ht="22" customHeight="1" thickBot="1">
      <c r="A53" s="414" t="s">
        <v>11687</v>
      </c>
      <c r="B53" s="1174" t="str">
        <f>VLOOKUP($A53, 'Plan Orçamentária'!$Q$2:$S$128267,2,FALSE)</f>
        <v>ARMADURA EM BARRA DE AÇO CA-60 (A OU B) FYK = 600 MPA</v>
      </c>
      <c r="C53" s="1174"/>
      <c r="D53" s="1174"/>
      <c r="E53" s="1174"/>
      <c r="F53" s="1174"/>
      <c r="G53" s="1174"/>
      <c r="H53" s="1174"/>
      <c r="I53" s="1174"/>
      <c r="J53" s="1174"/>
      <c r="K53" s="12" t="str">
        <f>VLOOKUP($A53,'Plan Orçamentária'!$Q$2:$S$138267,3,FALSE)</f>
        <v>KG</v>
      </c>
      <c r="L53" s="15">
        <f>J71</f>
        <v>164.9</v>
      </c>
    </row>
    <row r="54" spans="1:12">
      <c r="A54" s="86" t="s">
        <v>44477</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233"/>
      <c r="C56" s="14"/>
      <c r="D56" s="14"/>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14"/>
      <c r="F67" s="88"/>
      <c r="G67" s="88"/>
      <c r="H67" s="88"/>
      <c r="I67" s="89"/>
      <c r="J67" s="89"/>
      <c r="K67" s="90"/>
    </row>
    <row r="68" spans="1:12">
      <c r="A68" s="91" t="s">
        <v>28031</v>
      </c>
      <c r="B68" s="88">
        <f>70.3+59.7+34.9</f>
        <v>164.9</v>
      </c>
      <c r="C68" s="88" t="str">
        <f>K53</f>
        <v>KG</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164.9</v>
      </c>
      <c r="K71" s="1178"/>
    </row>
    <row r="72" spans="1:12" ht="22">
      <c r="A72" s="4" t="s">
        <v>28028</v>
      </c>
      <c r="B72" s="1173" t="s">
        <v>28029</v>
      </c>
      <c r="C72" s="1173"/>
      <c r="D72" s="1173"/>
      <c r="E72" s="1173"/>
      <c r="F72" s="1173"/>
      <c r="G72" s="1173"/>
      <c r="H72" s="1173"/>
      <c r="I72" s="1173"/>
      <c r="J72" s="1173"/>
      <c r="K72" s="5" t="s">
        <v>28030</v>
      </c>
    </row>
    <row r="73" spans="1:12" ht="22" customHeight="1" thickBot="1">
      <c r="A73" s="414" t="s">
        <v>11705</v>
      </c>
      <c r="B73" s="1174" t="str">
        <f>VLOOKUP($A73, 'Plan Orçamentária'!$Q$2:$S$128267,2,FALSE)</f>
        <v>CONCRETO USINADO, FCK = 30 MPA</v>
      </c>
      <c r="C73" s="1174"/>
      <c r="D73" s="1174"/>
      <c r="E73" s="1174"/>
      <c r="F73" s="1174"/>
      <c r="G73" s="1174"/>
      <c r="H73" s="1174"/>
      <c r="I73" s="1174"/>
      <c r="J73" s="1174"/>
      <c r="K73" s="12" t="str">
        <f>VLOOKUP($A73,'Plan Orçamentária'!$Q$2:$S$138267,3,FALSE)</f>
        <v>M3</v>
      </c>
      <c r="L73" s="15">
        <f>J91</f>
        <v>7.22</v>
      </c>
    </row>
    <row r="74" spans="1:12">
      <c r="A74" s="86" t="s">
        <v>44477</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233"/>
      <c r="C76" s="14"/>
      <c r="D76" s="14"/>
      <c r="E76" s="14"/>
      <c r="F76" s="14"/>
      <c r="G76" s="14"/>
      <c r="H76" s="14"/>
      <c r="I76" s="14"/>
      <c r="J76" s="14"/>
      <c r="K76" s="87"/>
    </row>
    <row r="77" spans="1:12" ht="16.5" customHeight="1">
      <c r="A77" s="16"/>
      <c r="B77" s="234"/>
      <c r="C77" s="14"/>
      <c r="D77" s="14"/>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14"/>
      <c r="F87" s="88"/>
      <c r="G87" s="88"/>
      <c r="H87" s="88"/>
      <c r="I87" s="89"/>
      <c r="J87" s="89"/>
      <c r="K87" s="90"/>
    </row>
    <row r="88" spans="1:12">
      <c r="A88" s="91" t="s">
        <v>28031</v>
      </c>
      <c r="B88" s="88">
        <f>3.16+2.68+1.38</f>
        <v>7.22</v>
      </c>
      <c r="C88" s="88" t="str">
        <f>K73</f>
        <v>M3</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7.22</v>
      </c>
      <c r="K91" s="1178"/>
    </row>
    <row r="92" spans="1:12" ht="22">
      <c r="A92" s="4" t="s">
        <v>28028</v>
      </c>
      <c r="B92" s="1173" t="s">
        <v>28029</v>
      </c>
      <c r="C92" s="1173"/>
      <c r="D92" s="1173"/>
      <c r="E92" s="1173"/>
      <c r="F92" s="1173"/>
      <c r="G92" s="1173"/>
      <c r="H92" s="1173"/>
      <c r="I92" s="1173"/>
      <c r="J92" s="1173"/>
      <c r="K92" s="5" t="s">
        <v>28030</v>
      </c>
    </row>
    <row r="93" spans="1:12" ht="22" customHeight="1" thickBot="1">
      <c r="A93" s="414" t="s">
        <v>41804</v>
      </c>
      <c r="B93" s="1174" t="str">
        <f>VLOOKUP($A93, 'Plan Orçamentária'!$Q$2:$S$128267,2,FALSE)</f>
        <v>CONTROLE TECNOLOGICO DE CONCRETOS</v>
      </c>
      <c r="C93" s="1174"/>
      <c r="D93" s="1174"/>
      <c r="E93" s="1174"/>
      <c r="F93" s="1174"/>
      <c r="G93" s="1174"/>
      <c r="H93" s="1174"/>
      <c r="I93" s="1174"/>
      <c r="J93" s="1174"/>
      <c r="K93" s="12" t="str">
        <f>VLOOKUP($A93,'Plan Orçamentária'!$Q$2:$S$138267,3,FALSE)</f>
        <v>M3</v>
      </c>
      <c r="L93" s="15">
        <f>J111</f>
        <v>7.22</v>
      </c>
    </row>
    <row r="94" spans="1:12">
      <c r="A94" s="86" t="s">
        <v>44477</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233"/>
      <c r="C96" s="14"/>
      <c r="D96" s="233"/>
      <c r="E96" s="14"/>
      <c r="F96" s="14"/>
      <c r="G96" s="14"/>
      <c r="H96" s="14"/>
      <c r="I96" s="14"/>
      <c r="J96" s="14"/>
      <c r="K96" s="87"/>
    </row>
    <row r="97" spans="1:11" ht="16.5" customHeight="1">
      <c r="A97" s="16"/>
      <c r="B97" s="234"/>
      <c r="C97" s="14"/>
      <c r="D97" s="14"/>
      <c r="E97" s="14"/>
      <c r="F97" s="14"/>
      <c r="G97" s="14"/>
      <c r="H97" s="14"/>
      <c r="I97" s="14"/>
      <c r="J97" s="14"/>
      <c r="K97" s="87"/>
    </row>
    <row r="98" spans="1:11">
      <c r="A98" s="16"/>
      <c r="B98" s="14"/>
      <c r="C98" s="14"/>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14"/>
      <c r="F107" s="88"/>
      <c r="G107" s="88"/>
      <c r="H107" s="88"/>
      <c r="I107" s="89"/>
      <c r="J107" s="89"/>
      <c r="K107" s="90"/>
    </row>
    <row r="108" spans="1:11">
      <c r="A108" s="91" t="s">
        <v>28031</v>
      </c>
      <c r="B108" s="88">
        <f>3.16+2.68+1.38</f>
        <v>7.22</v>
      </c>
      <c r="C108" s="88" t="str">
        <f>K93</f>
        <v>M3</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7.22</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414" t="s">
        <v>11769</v>
      </c>
      <c r="B113" s="1174" t="str">
        <f>VLOOKUP($A113, 'Plan Orçamentária'!$Q$2:$S$128267,2,FALSE)</f>
        <v>LANÇAMENTO E ADENSAMENTO DE CONCRETO OU MASSA EM ESTRUTURA</v>
      </c>
      <c r="C113" s="1174"/>
      <c r="D113" s="1174"/>
      <c r="E113" s="1174"/>
      <c r="F113" s="1174"/>
      <c r="G113" s="1174"/>
      <c r="H113" s="1174"/>
      <c r="I113" s="1174"/>
      <c r="J113" s="1174"/>
      <c r="K113" s="12" t="str">
        <f>VLOOKUP($A113,'Plan Orçamentária'!$Q$2:$S$138267,3,FALSE)</f>
        <v>M3</v>
      </c>
      <c r="L113" s="15">
        <f>J131</f>
        <v>7.22</v>
      </c>
    </row>
    <row r="114" spans="1:12">
      <c r="A114" s="86" t="s">
        <v>44477</v>
      </c>
      <c r="B114" s="14"/>
      <c r="C114" s="14"/>
      <c r="D114" s="14"/>
      <c r="E114" s="14"/>
      <c r="F114" s="14"/>
      <c r="G114" s="14"/>
      <c r="H114" s="14"/>
      <c r="I114" s="14"/>
      <c r="J114" s="14"/>
      <c r="K114" s="87"/>
    </row>
    <row r="115" spans="1:12" ht="16.5" customHeight="1">
      <c r="A115" s="16"/>
      <c r="B115" s="787"/>
      <c r="C115" s="787"/>
      <c r="D115" s="787"/>
      <c r="E115" s="14"/>
      <c r="F115" s="14"/>
      <c r="G115" s="14"/>
      <c r="H115" s="14"/>
      <c r="I115" s="14"/>
      <c r="J115" s="14"/>
      <c r="K115" s="87"/>
    </row>
    <row r="116" spans="1:12" ht="16.5" customHeight="1">
      <c r="A116" s="16"/>
      <c r="B116" s="786"/>
      <c r="C116" s="787"/>
      <c r="D116" s="787"/>
      <c r="E116" s="787"/>
      <c r="F116" s="14"/>
      <c r="G116" s="14"/>
      <c r="H116" s="14"/>
      <c r="I116" s="14"/>
      <c r="J116" s="14"/>
      <c r="K116" s="87"/>
    </row>
    <row r="117" spans="1:12" ht="16.5" customHeight="1">
      <c r="A117" s="16"/>
      <c r="B117" s="234"/>
      <c r="C117" s="14"/>
      <c r="D117" s="14"/>
      <c r="E117" s="14"/>
      <c r="F117" s="14"/>
      <c r="G117" s="14"/>
      <c r="H117" s="14"/>
      <c r="I117" s="14"/>
      <c r="J117" s="14"/>
      <c r="K117" s="87"/>
    </row>
    <row r="118" spans="1:12">
      <c r="A118" s="16"/>
      <c r="B118" s="14"/>
      <c r="C118" s="14"/>
      <c r="D118" s="14"/>
      <c r="E118" s="14"/>
      <c r="F118" s="14"/>
      <c r="G118" s="14"/>
      <c r="H118" s="14"/>
      <c r="I118" s="14"/>
      <c r="J118" s="14"/>
      <c r="K118" s="87"/>
    </row>
    <row r="119" spans="1:12" s="57" customFormat="1">
      <c r="A119" s="209"/>
      <c r="B119" s="208"/>
      <c r="C119" s="208"/>
      <c r="D119" s="14"/>
      <c r="E119" s="14"/>
      <c r="F119" s="14"/>
      <c r="G119" s="14"/>
      <c r="H119" s="14"/>
      <c r="I119" s="14"/>
      <c r="J119" s="14"/>
      <c r="K119" s="87"/>
    </row>
    <row r="120" spans="1:12">
      <c r="A120" s="16"/>
      <c r="B120" s="14"/>
      <c r="C120" s="14"/>
      <c r="D120" s="95"/>
      <c r="E120" s="14"/>
      <c r="F120" s="14"/>
      <c r="G120" s="14"/>
      <c r="H120" s="14"/>
      <c r="I120" s="14"/>
      <c r="J120" s="14"/>
      <c r="K120" s="87"/>
    </row>
    <row r="121" spans="1:12">
      <c r="A121" s="16"/>
      <c r="B121" s="14"/>
      <c r="C121" s="14"/>
      <c r="D121" s="14"/>
      <c r="E121" s="14"/>
      <c r="F121" s="14"/>
      <c r="G121" s="14"/>
      <c r="H121" s="14"/>
      <c r="I121" s="14"/>
      <c r="J121" s="14"/>
      <c r="K121" s="87"/>
    </row>
    <row r="122" spans="1:12">
      <c r="A122" s="16"/>
      <c r="B122" s="14"/>
      <c r="C122" s="14"/>
      <c r="D122" s="14"/>
      <c r="E122" s="14"/>
      <c r="F122" s="14"/>
      <c r="G122" s="14"/>
      <c r="H122" s="14"/>
      <c r="I122" s="14"/>
      <c r="J122" s="14"/>
      <c r="K122" s="87"/>
    </row>
    <row r="123" spans="1:12">
      <c r="A123" s="16"/>
      <c r="B123" s="14"/>
      <c r="C123" s="14"/>
      <c r="D123" s="88"/>
      <c r="E123" s="14"/>
      <c r="F123" s="14"/>
      <c r="G123" s="14"/>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14"/>
      <c r="F127" s="88"/>
      <c r="G127" s="88"/>
      <c r="H127" s="88"/>
      <c r="I127" s="89"/>
      <c r="J127" s="89"/>
      <c r="K127" s="90"/>
    </row>
    <row r="128" spans="1:12">
      <c r="A128" s="91" t="s">
        <v>28031</v>
      </c>
      <c r="B128" s="88">
        <f>3.16+2.68+1.38</f>
        <v>7.22</v>
      </c>
      <c r="C128" s="88" t="str">
        <f>K113</f>
        <v>M3</v>
      </c>
      <c r="D128" s="88"/>
      <c r="E128" s="14"/>
      <c r="F128" s="14"/>
      <c r="G128" s="14"/>
      <c r="H128" s="88"/>
      <c r="I128" s="89"/>
      <c r="J128" s="89"/>
      <c r="K128" s="90"/>
    </row>
    <row r="129" spans="1:11">
      <c r="A129" s="91"/>
      <c r="B129" s="88"/>
      <c r="C129" s="88"/>
      <c r="D129" s="88"/>
      <c r="E129" s="88"/>
      <c r="F129" s="88"/>
      <c r="G129" s="88"/>
      <c r="H129" s="88"/>
      <c r="I129" s="89"/>
      <c r="J129" s="89"/>
      <c r="K129" s="90"/>
    </row>
    <row r="130" spans="1:11" ht="16">
      <c r="A130" s="10" t="s">
        <v>28032</v>
      </c>
      <c r="B130" s="207"/>
      <c r="C130" s="207"/>
      <c r="D130" s="207"/>
      <c r="E130" s="207"/>
      <c r="F130" s="207"/>
      <c r="G130" s="207"/>
      <c r="H130" s="207"/>
      <c r="I130" s="207"/>
      <c r="J130" s="1175" t="s">
        <v>28033</v>
      </c>
      <c r="K130" s="1176"/>
    </row>
    <row r="131" spans="1:11" ht="17" thickBot="1">
      <c r="A131" s="6"/>
      <c r="B131" s="11"/>
      <c r="C131" s="11"/>
      <c r="D131" s="11"/>
      <c r="E131" s="11"/>
      <c r="F131" s="11"/>
      <c r="G131" s="11"/>
      <c r="H131" s="11"/>
      <c r="I131" s="11"/>
      <c r="J131" s="1177">
        <f>B128</f>
        <v>7.22</v>
      </c>
      <c r="K131" s="1178"/>
    </row>
  </sheetData>
  <mergeCells count="27">
    <mergeCell ref="J30:K30"/>
    <mergeCell ref="A1:K1"/>
    <mergeCell ref="A2:K10"/>
    <mergeCell ref="B11:K11"/>
    <mergeCell ref="B12:J12"/>
    <mergeCell ref="B13:J13"/>
    <mergeCell ref="J90:K90"/>
    <mergeCell ref="J31:K31"/>
    <mergeCell ref="B32:J32"/>
    <mergeCell ref="B33:J33"/>
    <mergeCell ref="J50:K50"/>
    <mergeCell ref="J51:K51"/>
    <mergeCell ref="B52:J52"/>
    <mergeCell ref="B53:J53"/>
    <mergeCell ref="J70:K70"/>
    <mergeCell ref="J71:K71"/>
    <mergeCell ref="B72:J72"/>
    <mergeCell ref="B73:J73"/>
    <mergeCell ref="B113:J113"/>
    <mergeCell ref="J130:K130"/>
    <mergeCell ref="J131:K131"/>
    <mergeCell ref="J91:K91"/>
    <mergeCell ref="B92:J92"/>
    <mergeCell ref="B93:J93"/>
    <mergeCell ref="J110:K110"/>
    <mergeCell ref="J111:K111"/>
    <mergeCell ref="B112:J112"/>
  </mergeCells>
  <conditionalFormatting sqref="A13">
    <cfRule type="expression" dxfId="155" priority="17">
      <formula>$M13="NÍVEL 1"</formula>
    </cfRule>
    <cfRule type="expression" dxfId="154" priority="18">
      <formula>$M13="NÍVEL 2"</formula>
    </cfRule>
  </conditionalFormatting>
  <conditionalFormatting sqref="A13">
    <cfRule type="expression" dxfId="153" priority="16" stopIfTrue="1">
      <formula>$M13="NÍVEL 3"</formula>
    </cfRule>
  </conditionalFormatting>
  <conditionalFormatting sqref="A33">
    <cfRule type="expression" dxfId="152" priority="14">
      <formula>$M33="NÍVEL 1"</formula>
    </cfRule>
    <cfRule type="expression" dxfId="151" priority="15">
      <formula>$M33="NÍVEL 2"</formula>
    </cfRule>
  </conditionalFormatting>
  <conditionalFormatting sqref="A33">
    <cfRule type="expression" dxfId="150" priority="13" stopIfTrue="1">
      <formula>$M33="NÍVEL 3"</formula>
    </cfRule>
  </conditionalFormatting>
  <conditionalFormatting sqref="A53">
    <cfRule type="expression" dxfId="149" priority="11">
      <formula>$M53="NÍVEL 1"</formula>
    </cfRule>
    <cfRule type="expression" dxfId="148" priority="12">
      <formula>$M53="NÍVEL 2"</formula>
    </cfRule>
  </conditionalFormatting>
  <conditionalFormatting sqref="A53">
    <cfRule type="expression" dxfId="147" priority="10" stopIfTrue="1">
      <formula>$M53="NÍVEL 3"</formula>
    </cfRule>
  </conditionalFormatting>
  <conditionalFormatting sqref="A73">
    <cfRule type="expression" dxfId="146" priority="8">
      <formula>$M73="NÍVEL 1"</formula>
    </cfRule>
    <cfRule type="expression" dxfId="145" priority="9">
      <formula>$M73="NÍVEL 2"</formula>
    </cfRule>
  </conditionalFormatting>
  <conditionalFormatting sqref="A73">
    <cfRule type="expression" dxfId="144" priority="7" stopIfTrue="1">
      <formula>$M73="NÍVEL 3"</formula>
    </cfRule>
  </conditionalFormatting>
  <conditionalFormatting sqref="A93">
    <cfRule type="expression" dxfId="143" priority="5">
      <formula>$M93="NÍVEL 1"</formula>
    </cfRule>
    <cfRule type="expression" dxfId="142" priority="6">
      <formula>$M93="NÍVEL 2"</formula>
    </cfRule>
  </conditionalFormatting>
  <conditionalFormatting sqref="A93">
    <cfRule type="expression" dxfId="141" priority="4" stopIfTrue="1">
      <formula>$M93="NÍVEL 3"</formula>
    </cfRule>
  </conditionalFormatting>
  <conditionalFormatting sqref="A113">
    <cfRule type="expression" dxfId="140" priority="2">
      <formula>$M113="NÍVEL 1"</formula>
    </cfRule>
    <cfRule type="expression" dxfId="139" priority="3">
      <formula>$M113="NÍVEL 2"</formula>
    </cfRule>
  </conditionalFormatting>
  <conditionalFormatting sqref="A113">
    <cfRule type="expression" dxfId="138" priority="1" stopIfTrue="1">
      <formula>$M113="NÍVEL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4E937-7284-4DB4-86E8-83F1B068B97B}">
  <sheetPr codeName="Planilha41">
    <pageSetUpPr fitToPage="1"/>
  </sheetPr>
  <dimension ref="A1:L131"/>
  <sheetViews>
    <sheetView view="pageBreakPreview" topLeftCell="A103"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44476</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414" t="s">
        <v>11656</v>
      </c>
      <c r="B13" s="1174" t="str">
        <f>VLOOKUP($A13, 'Plan Orçamentária'!$Q$2:$S$128267,2,FALSE)</f>
        <v>FORMA PLANA EM COMPENSADO PARA ESTRUTURA CONVENCIONAL COM CIMBRAMENTO TUBULAR METÁLICO</v>
      </c>
      <c r="C13" s="1174"/>
      <c r="D13" s="1174"/>
      <c r="E13" s="1174"/>
      <c r="F13" s="1174"/>
      <c r="G13" s="1174"/>
      <c r="H13" s="1174"/>
      <c r="I13" s="1174"/>
      <c r="J13" s="1174"/>
      <c r="K13" s="12" t="str">
        <f>VLOOKUP($A13,'Plan Orçamentária'!$Q$2:$S$138267,3,FALSE)</f>
        <v>M2</v>
      </c>
      <c r="L13" s="15">
        <f>J31</f>
        <v>181.29</v>
      </c>
    </row>
    <row r="14" spans="1:12">
      <c r="A14" s="86" t="s">
        <v>44477</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11" ht="16.5" customHeight="1">
      <c r="A17" s="16"/>
      <c r="B17" s="14"/>
      <c r="C17" s="14"/>
      <c r="D17" s="807"/>
      <c r="E17" s="14"/>
      <c r="F17" s="14"/>
      <c r="G17" s="14"/>
      <c r="H17" s="14"/>
      <c r="I17" s="14"/>
      <c r="J17" s="14"/>
      <c r="K17" s="87"/>
    </row>
    <row r="18" spans="1:11">
      <c r="A18" s="209"/>
      <c r="B18" s="208"/>
      <c r="C18" s="208"/>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64.49+53.24+63.56</f>
        <v>181.29</v>
      </c>
      <c r="C28" s="88" t="str">
        <f>K13</f>
        <v>M2</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181.29</v>
      </c>
      <c r="K31" s="1178"/>
    </row>
    <row r="32" spans="1:11" ht="22">
      <c r="A32" s="4" t="s">
        <v>28028</v>
      </c>
      <c r="B32" s="1173" t="s">
        <v>28029</v>
      </c>
      <c r="C32" s="1173"/>
      <c r="D32" s="1173"/>
      <c r="E32" s="1173"/>
      <c r="F32" s="1173"/>
      <c r="G32" s="1173"/>
      <c r="H32" s="1173"/>
      <c r="I32" s="1173"/>
      <c r="J32" s="1173"/>
      <c r="K32" s="5" t="s">
        <v>28030</v>
      </c>
    </row>
    <row r="33" spans="1:12" ht="22" customHeight="1" thickBot="1">
      <c r="A33" s="414" t="s">
        <v>11685</v>
      </c>
      <c r="B33" s="1174" t="str">
        <f>VLOOKUP($A33, 'Plan Orçamentária'!$Q$2:$S$128267,2,FALSE)</f>
        <v>ARMADURA EM BARRA DE AÇO CA-50 (A OU B) FYK = 500 MPA</v>
      </c>
      <c r="C33" s="1174"/>
      <c r="D33" s="1174"/>
      <c r="E33" s="1174"/>
      <c r="F33" s="1174"/>
      <c r="G33" s="1174"/>
      <c r="H33" s="1174"/>
      <c r="I33" s="1174"/>
      <c r="J33" s="1174"/>
      <c r="K33" s="12" t="str">
        <f>VLOOKUP($A33,'Plan Orçamentária'!$Q$2:$S$138267,3,FALSE)</f>
        <v>KG</v>
      </c>
      <c r="L33" s="15">
        <f>J51</f>
        <v>1081.5999999999999</v>
      </c>
    </row>
    <row r="34" spans="1:12">
      <c r="A34" s="86" t="s">
        <v>44477</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c r="B36" s="233"/>
      <c r="C36" s="14"/>
      <c r="D36" s="14"/>
      <c r="E36" s="14"/>
      <c r="F36" s="14"/>
      <c r="G36" s="14"/>
      <c r="H36" s="14"/>
      <c r="I36" s="14"/>
      <c r="J36" s="14"/>
      <c r="K36" s="87"/>
    </row>
    <row r="37" spans="1:12" ht="16.5" customHeight="1">
      <c r="A37" s="16"/>
      <c r="B37" s="234"/>
      <c r="C37" s="14"/>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14"/>
      <c r="F47" s="88"/>
      <c r="G47" s="88"/>
      <c r="H47" s="88"/>
      <c r="I47" s="89"/>
      <c r="J47" s="89"/>
      <c r="K47" s="90"/>
    </row>
    <row r="48" spans="1:12">
      <c r="A48" s="91" t="s">
        <v>28031</v>
      </c>
      <c r="B48" s="88">
        <f>487+231.9+362.7</f>
        <v>1081.5999999999999</v>
      </c>
      <c r="C48" s="88" t="str">
        <f>K33</f>
        <v>KG</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1081.5999999999999</v>
      </c>
      <c r="K51" s="1178"/>
    </row>
    <row r="52" spans="1:12" ht="22">
      <c r="A52" s="4" t="s">
        <v>28028</v>
      </c>
      <c r="B52" s="1173" t="s">
        <v>28029</v>
      </c>
      <c r="C52" s="1173"/>
      <c r="D52" s="1173"/>
      <c r="E52" s="1173"/>
      <c r="F52" s="1173"/>
      <c r="G52" s="1173"/>
      <c r="H52" s="1173"/>
      <c r="I52" s="1173"/>
      <c r="J52" s="1173"/>
      <c r="K52" s="5" t="s">
        <v>28030</v>
      </c>
    </row>
    <row r="53" spans="1:12" ht="22" customHeight="1" thickBot="1">
      <c r="A53" s="414" t="s">
        <v>11687</v>
      </c>
      <c r="B53" s="1174" t="str">
        <f>VLOOKUP($A53, 'Plan Orçamentária'!$Q$2:$S$128267,2,FALSE)</f>
        <v>ARMADURA EM BARRA DE AÇO CA-60 (A OU B) FYK = 600 MPA</v>
      </c>
      <c r="C53" s="1174"/>
      <c r="D53" s="1174"/>
      <c r="E53" s="1174"/>
      <c r="F53" s="1174"/>
      <c r="G53" s="1174"/>
      <c r="H53" s="1174"/>
      <c r="I53" s="1174"/>
      <c r="J53" s="1174"/>
      <c r="K53" s="12" t="str">
        <f>VLOOKUP($A53,'Plan Orçamentária'!$Q$2:$S$138267,3,FALSE)</f>
        <v>KG</v>
      </c>
      <c r="L53" s="15">
        <f>J71</f>
        <v>204</v>
      </c>
    </row>
    <row r="54" spans="1:12">
      <c r="A54" s="86" t="s">
        <v>44477</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233"/>
      <c r="C56" s="14"/>
      <c r="D56" s="14"/>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14"/>
      <c r="F67" s="88"/>
      <c r="G67" s="88"/>
      <c r="H67" s="88"/>
      <c r="I67" s="89"/>
      <c r="J67" s="89"/>
      <c r="K67" s="90"/>
    </row>
    <row r="68" spans="1:12">
      <c r="A68" s="91" t="s">
        <v>28031</v>
      </c>
      <c r="B68" s="88">
        <f>67.6+65.5+70.9</f>
        <v>204</v>
      </c>
      <c r="C68" s="88" t="str">
        <f>K53</f>
        <v>KG</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204</v>
      </c>
      <c r="K71" s="1178"/>
    </row>
    <row r="72" spans="1:12" ht="22">
      <c r="A72" s="4" t="s">
        <v>28028</v>
      </c>
      <c r="B72" s="1173" t="s">
        <v>28029</v>
      </c>
      <c r="C72" s="1173"/>
      <c r="D72" s="1173"/>
      <c r="E72" s="1173"/>
      <c r="F72" s="1173"/>
      <c r="G72" s="1173"/>
      <c r="H72" s="1173"/>
      <c r="I72" s="1173"/>
      <c r="J72" s="1173"/>
      <c r="K72" s="5" t="s">
        <v>28030</v>
      </c>
    </row>
    <row r="73" spans="1:12" ht="22" customHeight="1" thickBot="1">
      <c r="A73" s="414" t="s">
        <v>11705</v>
      </c>
      <c r="B73" s="1174" t="str">
        <f>VLOOKUP($A73, 'Plan Orçamentária'!$Q$2:$S$128267,2,FALSE)</f>
        <v>CONCRETO USINADO, FCK = 30 MPA</v>
      </c>
      <c r="C73" s="1174"/>
      <c r="D73" s="1174"/>
      <c r="E73" s="1174"/>
      <c r="F73" s="1174"/>
      <c r="G73" s="1174"/>
      <c r="H73" s="1174"/>
      <c r="I73" s="1174"/>
      <c r="J73" s="1174"/>
      <c r="K73" s="12" t="str">
        <f>VLOOKUP($A73,'Plan Orçamentária'!$Q$2:$S$138267,3,FALSE)</f>
        <v>M3</v>
      </c>
      <c r="L73" s="15">
        <f>J91</f>
        <v>14.29</v>
      </c>
    </row>
    <row r="74" spans="1:12">
      <c r="A74" s="86" t="s">
        <v>44477</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233"/>
      <c r="C76" s="14"/>
      <c r="D76" s="14"/>
      <c r="E76" s="14"/>
      <c r="F76" s="14"/>
      <c r="G76" s="14"/>
      <c r="H76" s="14"/>
      <c r="I76" s="14"/>
      <c r="J76" s="14"/>
      <c r="K76" s="87"/>
    </row>
    <row r="77" spans="1:12" ht="16.5" customHeight="1">
      <c r="A77" s="16"/>
      <c r="B77" s="234"/>
      <c r="C77" s="14"/>
      <c r="D77" s="14"/>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14"/>
      <c r="F87" s="88"/>
      <c r="G87" s="88"/>
      <c r="H87" s="88"/>
      <c r="I87" s="89"/>
      <c r="J87" s="89"/>
      <c r="K87" s="90"/>
    </row>
    <row r="88" spans="1:12">
      <c r="A88" s="91" t="s">
        <v>28031</v>
      </c>
      <c r="B88" s="88">
        <f>5.54+5.45+3.3</f>
        <v>14.29</v>
      </c>
      <c r="C88" s="88" t="str">
        <f>K73</f>
        <v>M3</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14.29</v>
      </c>
      <c r="K91" s="1178"/>
    </row>
    <row r="92" spans="1:12" ht="22">
      <c r="A92" s="4" t="s">
        <v>28028</v>
      </c>
      <c r="B92" s="1173" t="s">
        <v>28029</v>
      </c>
      <c r="C92" s="1173"/>
      <c r="D92" s="1173"/>
      <c r="E92" s="1173"/>
      <c r="F92" s="1173"/>
      <c r="G92" s="1173"/>
      <c r="H92" s="1173"/>
      <c r="I92" s="1173"/>
      <c r="J92" s="1173"/>
      <c r="K92" s="5" t="s">
        <v>28030</v>
      </c>
    </row>
    <row r="93" spans="1:12" ht="22" customHeight="1" thickBot="1">
      <c r="A93" s="414" t="s">
        <v>41804</v>
      </c>
      <c r="B93" s="1174" t="str">
        <f>VLOOKUP($A93, 'Plan Orçamentária'!$Q$2:$S$128267,2,FALSE)</f>
        <v>CONTROLE TECNOLOGICO DE CONCRETOS</v>
      </c>
      <c r="C93" s="1174"/>
      <c r="D93" s="1174"/>
      <c r="E93" s="1174"/>
      <c r="F93" s="1174"/>
      <c r="G93" s="1174"/>
      <c r="H93" s="1174"/>
      <c r="I93" s="1174"/>
      <c r="J93" s="1174"/>
      <c r="K93" s="12" t="str">
        <f>VLOOKUP($A93,'Plan Orçamentária'!$Q$2:$S$138267,3,FALSE)</f>
        <v>M3</v>
      </c>
      <c r="L93" s="15">
        <f>J111</f>
        <v>14.29</v>
      </c>
    </row>
    <row r="94" spans="1:12">
      <c r="A94" s="86" t="s">
        <v>44477</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233"/>
      <c r="C96" s="14"/>
      <c r="D96" s="233"/>
      <c r="E96" s="14"/>
      <c r="F96" s="14"/>
      <c r="G96" s="14"/>
      <c r="H96" s="14"/>
      <c r="I96" s="14"/>
      <c r="J96" s="14"/>
      <c r="K96" s="87"/>
    </row>
    <row r="97" spans="1:11" ht="16.5" customHeight="1">
      <c r="A97" s="16"/>
      <c r="B97" s="234"/>
      <c r="C97" s="14"/>
      <c r="D97" s="14"/>
      <c r="E97" s="14"/>
      <c r="F97" s="14"/>
      <c r="G97" s="14"/>
      <c r="H97" s="14"/>
      <c r="I97" s="14"/>
      <c r="J97" s="14"/>
      <c r="K97" s="87"/>
    </row>
    <row r="98" spans="1:11">
      <c r="A98" s="16"/>
      <c r="B98" s="14"/>
      <c r="C98" s="14"/>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14"/>
      <c r="F107" s="88"/>
      <c r="G107" s="88"/>
      <c r="H107" s="88"/>
      <c r="I107" s="89"/>
      <c r="J107" s="89"/>
      <c r="K107" s="90"/>
    </row>
    <row r="108" spans="1:11">
      <c r="A108" s="91" t="s">
        <v>28031</v>
      </c>
      <c r="B108" s="88">
        <f>5.54+5.45+3.3</f>
        <v>14.29</v>
      </c>
      <c r="C108" s="88" t="str">
        <f>K93</f>
        <v>M3</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14.29</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414" t="s">
        <v>11769</v>
      </c>
      <c r="B113" s="1174" t="str">
        <f>VLOOKUP($A113, 'Plan Orçamentária'!$Q$2:$S$128267,2,FALSE)</f>
        <v>LANÇAMENTO E ADENSAMENTO DE CONCRETO OU MASSA EM ESTRUTURA</v>
      </c>
      <c r="C113" s="1174"/>
      <c r="D113" s="1174"/>
      <c r="E113" s="1174"/>
      <c r="F113" s="1174"/>
      <c r="G113" s="1174"/>
      <c r="H113" s="1174"/>
      <c r="I113" s="1174"/>
      <c r="J113" s="1174"/>
      <c r="K113" s="12" t="str">
        <f>VLOOKUP($A113,'Plan Orçamentária'!$Q$2:$S$138267,3,FALSE)</f>
        <v>M3</v>
      </c>
      <c r="L113" s="15">
        <f>J131</f>
        <v>14.29</v>
      </c>
    </row>
    <row r="114" spans="1:12">
      <c r="A114" s="86" t="s">
        <v>44477</v>
      </c>
      <c r="B114" s="14"/>
      <c r="C114" s="14"/>
      <c r="D114" s="14"/>
      <c r="E114" s="14"/>
      <c r="F114" s="14"/>
      <c r="G114" s="14"/>
      <c r="H114" s="14"/>
      <c r="I114" s="14"/>
      <c r="J114" s="14"/>
      <c r="K114" s="87"/>
    </row>
    <row r="115" spans="1:12" ht="16.5" customHeight="1">
      <c r="A115" s="16"/>
      <c r="B115" s="787"/>
      <c r="C115" s="787"/>
      <c r="D115" s="787"/>
      <c r="E115" s="14"/>
      <c r="F115" s="14"/>
      <c r="G115" s="14"/>
      <c r="H115" s="14"/>
      <c r="I115" s="14"/>
      <c r="J115" s="14"/>
      <c r="K115" s="87"/>
    </row>
    <row r="116" spans="1:12" ht="16.5" customHeight="1">
      <c r="A116" s="16"/>
      <c r="B116" s="786"/>
      <c r="C116" s="787"/>
      <c r="D116" s="787"/>
      <c r="E116" s="787"/>
      <c r="F116" s="14"/>
      <c r="G116" s="14"/>
      <c r="H116" s="14"/>
      <c r="I116" s="14"/>
      <c r="J116" s="14"/>
      <c r="K116" s="87"/>
    </row>
    <row r="117" spans="1:12" ht="16.5" customHeight="1">
      <c r="A117" s="16"/>
      <c r="B117" s="234"/>
      <c r="C117" s="14"/>
      <c r="D117" s="14"/>
      <c r="E117" s="14"/>
      <c r="F117" s="14"/>
      <c r="G117" s="14"/>
      <c r="H117" s="14"/>
      <c r="I117" s="14"/>
      <c r="J117" s="14"/>
      <c r="K117" s="87"/>
    </row>
    <row r="118" spans="1:12">
      <c r="A118" s="16"/>
      <c r="B118" s="14"/>
      <c r="C118" s="14"/>
      <c r="D118" s="14"/>
      <c r="E118" s="14"/>
      <c r="F118" s="14"/>
      <c r="G118" s="14"/>
      <c r="H118" s="14"/>
      <c r="I118" s="14"/>
      <c r="J118" s="14"/>
      <c r="K118" s="87"/>
    </row>
    <row r="119" spans="1:12" s="57" customFormat="1">
      <c r="A119" s="209"/>
      <c r="B119" s="208"/>
      <c r="C119" s="208"/>
      <c r="D119" s="14"/>
      <c r="E119" s="14"/>
      <c r="F119" s="14"/>
      <c r="G119" s="14"/>
      <c r="H119" s="14"/>
      <c r="I119" s="14"/>
      <c r="J119" s="14"/>
      <c r="K119" s="87"/>
    </row>
    <row r="120" spans="1:12">
      <c r="A120" s="16"/>
      <c r="B120" s="14"/>
      <c r="C120" s="14"/>
      <c r="D120" s="95"/>
      <c r="E120" s="14"/>
      <c r="F120" s="14"/>
      <c r="G120" s="14"/>
      <c r="H120" s="14"/>
      <c r="I120" s="14"/>
      <c r="J120" s="14"/>
      <c r="K120" s="87"/>
    </row>
    <row r="121" spans="1:12">
      <c r="A121" s="16"/>
      <c r="B121" s="14"/>
      <c r="C121" s="14"/>
      <c r="D121" s="14"/>
      <c r="E121" s="14"/>
      <c r="F121" s="14"/>
      <c r="G121" s="14"/>
      <c r="H121" s="14"/>
      <c r="I121" s="14"/>
      <c r="J121" s="14"/>
      <c r="K121" s="87"/>
    </row>
    <row r="122" spans="1:12">
      <c r="A122" s="16"/>
      <c r="B122" s="14"/>
      <c r="C122" s="14"/>
      <c r="D122" s="14"/>
      <c r="E122" s="14"/>
      <c r="F122" s="14"/>
      <c r="G122" s="14"/>
      <c r="H122" s="14"/>
      <c r="I122" s="14"/>
      <c r="J122" s="14"/>
      <c r="K122" s="87"/>
    </row>
    <row r="123" spans="1:12">
      <c r="A123" s="16"/>
      <c r="B123" s="14"/>
      <c r="C123" s="14"/>
      <c r="D123" s="88"/>
      <c r="E123" s="14"/>
      <c r="F123" s="14"/>
      <c r="G123" s="14"/>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14"/>
      <c r="F127" s="88"/>
      <c r="G127" s="88"/>
      <c r="H127" s="88"/>
      <c r="I127" s="89"/>
      <c r="J127" s="89"/>
      <c r="K127" s="90"/>
    </row>
    <row r="128" spans="1:12">
      <c r="A128" s="91" t="s">
        <v>28031</v>
      </c>
      <c r="B128" s="88">
        <f>5.54+5.45+3.3</f>
        <v>14.29</v>
      </c>
      <c r="C128" s="88" t="str">
        <f>K113</f>
        <v>M3</v>
      </c>
      <c r="D128" s="88"/>
      <c r="E128" s="14"/>
      <c r="F128" s="14"/>
      <c r="G128" s="14"/>
      <c r="H128" s="88"/>
      <c r="I128" s="89"/>
      <c r="J128" s="89"/>
      <c r="K128" s="90"/>
    </row>
    <row r="129" spans="1:11">
      <c r="A129" s="91"/>
      <c r="B129" s="88"/>
      <c r="C129" s="88"/>
      <c r="D129" s="88"/>
      <c r="E129" s="88"/>
      <c r="F129" s="88"/>
      <c r="G129" s="88"/>
      <c r="H129" s="88"/>
      <c r="I129" s="89"/>
      <c r="J129" s="89"/>
      <c r="K129" s="90"/>
    </row>
    <row r="130" spans="1:11" ht="16">
      <c r="A130" s="10" t="s">
        <v>28032</v>
      </c>
      <c r="B130" s="207"/>
      <c r="C130" s="207"/>
      <c r="D130" s="207"/>
      <c r="E130" s="207"/>
      <c r="F130" s="207"/>
      <c r="G130" s="207"/>
      <c r="H130" s="207"/>
      <c r="I130" s="207"/>
      <c r="J130" s="1175" t="s">
        <v>28033</v>
      </c>
      <c r="K130" s="1176"/>
    </row>
    <row r="131" spans="1:11" ht="17" thickBot="1">
      <c r="A131" s="6"/>
      <c r="B131" s="11"/>
      <c r="C131" s="11"/>
      <c r="D131" s="11"/>
      <c r="E131" s="11"/>
      <c r="F131" s="11"/>
      <c r="G131" s="11"/>
      <c r="H131" s="11"/>
      <c r="I131" s="11"/>
      <c r="J131" s="1177">
        <f>B128</f>
        <v>14.29</v>
      </c>
      <c r="K131" s="1178"/>
    </row>
  </sheetData>
  <mergeCells count="27">
    <mergeCell ref="J30:K30"/>
    <mergeCell ref="A1:K1"/>
    <mergeCell ref="A2:K10"/>
    <mergeCell ref="B11:K11"/>
    <mergeCell ref="B12:J12"/>
    <mergeCell ref="B13:J13"/>
    <mergeCell ref="J90:K90"/>
    <mergeCell ref="J31:K31"/>
    <mergeCell ref="B32:J32"/>
    <mergeCell ref="B33:J33"/>
    <mergeCell ref="J50:K50"/>
    <mergeCell ref="J51:K51"/>
    <mergeCell ref="B52:J52"/>
    <mergeCell ref="B53:J53"/>
    <mergeCell ref="J70:K70"/>
    <mergeCell ref="J71:K71"/>
    <mergeCell ref="B72:J72"/>
    <mergeCell ref="B73:J73"/>
    <mergeCell ref="B113:J113"/>
    <mergeCell ref="J130:K130"/>
    <mergeCell ref="J131:K131"/>
    <mergeCell ref="J91:K91"/>
    <mergeCell ref="B92:J92"/>
    <mergeCell ref="B93:J93"/>
    <mergeCell ref="J110:K110"/>
    <mergeCell ref="J111:K111"/>
    <mergeCell ref="B112:J112"/>
  </mergeCells>
  <conditionalFormatting sqref="A13">
    <cfRule type="expression" dxfId="137" priority="17">
      <formula>$M13="NÍVEL 1"</formula>
    </cfRule>
    <cfRule type="expression" dxfId="136" priority="18">
      <formula>$M13="NÍVEL 2"</formula>
    </cfRule>
  </conditionalFormatting>
  <conditionalFormatting sqref="A13">
    <cfRule type="expression" dxfId="135" priority="16" stopIfTrue="1">
      <formula>$M13="NÍVEL 3"</formula>
    </cfRule>
  </conditionalFormatting>
  <conditionalFormatting sqref="A33">
    <cfRule type="expression" dxfId="134" priority="14">
      <formula>$M33="NÍVEL 1"</formula>
    </cfRule>
    <cfRule type="expression" dxfId="133" priority="15">
      <formula>$M33="NÍVEL 2"</formula>
    </cfRule>
  </conditionalFormatting>
  <conditionalFormatting sqref="A33">
    <cfRule type="expression" dxfId="132" priority="13" stopIfTrue="1">
      <formula>$M33="NÍVEL 3"</formula>
    </cfRule>
  </conditionalFormatting>
  <conditionalFormatting sqref="A53">
    <cfRule type="expression" dxfId="131" priority="11">
      <formula>$M53="NÍVEL 1"</formula>
    </cfRule>
    <cfRule type="expression" dxfId="130" priority="12">
      <formula>$M53="NÍVEL 2"</formula>
    </cfRule>
  </conditionalFormatting>
  <conditionalFormatting sqref="A53">
    <cfRule type="expression" dxfId="129" priority="10" stopIfTrue="1">
      <formula>$M53="NÍVEL 3"</formula>
    </cfRule>
  </conditionalFormatting>
  <conditionalFormatting sqref="A73">
    <cfRule type="expression" dxfId="128" priority="8">
      <formula>$M73="NÍVEL 1"</formula>
    </cfRule>
    <cfRule type="expression" dxfId="127" priority="9">
      <formula>$M73="NÍVEL 2"</formula>
    </cfRule>
  </conditionalFormatting>
  <conditionalFormatting sqref="A73">
    <cfRule type="expression" dxfId="126" priority="7" stopIfTrue="1">
      <formula>$M73="NÍVEL 3"</formula>
    </cfRule>
  </conditionalFormatting>
  <conditionalFormatting sqref="A93">
    <cfRule type="expression" dxfId="125" priority="5">
      <formula>$M93="NÍVEL 1"</formula>
    </cfRule>
    <cfRule type="expression" dxfId="124" priority="6">
      <formula>$M93="NÍVEL 2"</formula>
    </cfRule>
  </conditionalFormatting>
  <conditionalFormatting sqref="A93">
    <cfRule type="expression" dxfId="123" priority="4" stopIfTrue="1">
      <formula>$M93="NÍVEL 3"</formula>
    </cfRule>
  </conditionalFormatting>
  <conditionalFormatting sqref="A113">
    <cfRule type="expression" dxfId="122" priority="2">
      <formula>$M113="NÍVEL 1"</formula>
    </cfRule>
    <cfRule type="expression" dxfId="121" priority="3">
      <formula>$M113="NÍVEL 2"</formula>
    </cfRule>
  </conditionalFormatting>
  <conditionalFormatting sqref="A113">
    <cfRule type="expression" dxfId="120" priority="1" stopIfTrue="1">
      <formula>$M113="NÍVEL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F3D10-1462-44C8-BFC1-85E35579E663}">
  <sheetPr codeName="Planilha24">
    <pageSetUpPr fitToPage="1"/>
  </sheetPr>
  <dimension ref="A1:L51"/>
  <sheetViews>
    <sheetView view="pageBreakPreview" topLeftCell="A20"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41785</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10902</v>
      </c>
      <c r="B13" s="1174" t="str">
        <f>VLOOKUP($A13, 'Plan Orçamentária'!$Q$2:$S$128267,2,FALSE)</f>
        <v>LIMPEZA MECANIZADA DO TERRENO, INCLUSIVE TRONCOS COM DIÂMETRO ACIMA DE 15 CM ATÉ 50 CM, COM CAMINHÃO À DISPOSIÇÃO DENTRO DA OBRA, ATÉ O RAIO DE 1 KM</v>
      </c>
      <c r="C13" s="1174"/>
      <c r="D13" s="1174"/>
      <c r="E13" s="1174"/>
      <c r="F13" s="1174"/>
      <c r="G13" s="1174"/>
      <c r="H13" s="1174"/>
      <c r="I13" s="1174"/>
      <c r="J13" s="1174"/>
      <c r="K13" s="12" t="str">
        <f>VLOOKUP($A13,'Plan Orçamentária'!$Q$2:$S$138267,3,FALSE)</f>
        <v>M2</v>
      </c>
      <c r="L13" s="15">
        <f>J31</f>
        <v>1428.11</v>
      </c>
    </row>
    <row r="14" spans="1:12">
      <c r="A14" s="86"/>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29899</v>
      </c>
      <c r="B16" s="14">
        <v>1428.11</v>
      </c>
      <c r="C16" s="14" t="str">
        <f>K13</f>
        <v>M2</v>
      </c>
      <c r="D16" s="14"/>
      <c r="E16" s="14"/>
      <c r="F16" s="14"/>
      <c r="G16" s="14"/>
      <c r="H16" s="14"/>
      <c r="I16" s="14"/>
      <c r="J16" s="14"/>
      <c r="K16" s="87"/>
    </row>
    <row r="17" spans="1:11" ht="16.5" customHeight="1">
      <c r="A17" s="16"/>
      <c r="B17" s="14"/>
      <c r="C17" s="14"/>
      <c r="D17" s="14"/>
      <c r="E17" s="14"/>
      <c r="F17" s="14"/>
      <c r="G17" s="14"/>
      <c r="H17" s="14"/>
      <c r="I17" s="14"/>
      <c r="J17" s="14"/>
      <c r="K17" s="87"/>
    </row>
    <row r="18" spans="1:11">
      <c r="A18" s="16"/>
      <c r="B18" s="14"/>
      <c r="C18" s="14"/>
      <c r="D18" s="14"/>
      <c r="E18" s="14"/>
      <c r="F18" s="14"/>
      <c r="G18" s="14"/>
      <c r="H18" s="14"/>
      <c r="I18" s="14"/>
      <c r="J18" s="14"/>
      <c r="K18" s="87"/>
    </row>
    <row r="19" spans="1:11" s="57" customFormat="1">
      <c r="A19" s="16"/>
      <c r="B19" s="14"/>
      <c r="C19" s="14"/>
      <c r="D19" s="14"/>
      <c r="E19" s="14"/>
      <c r="F19" s="14"/>
      <c r="G19" s="14"/>
      <c r="H19" s="14"/>
      <c r="I19" s="14"/>
      <c r="J19" s="14"/>
      <c r="K19" s="87"/>
    </row>
    <row r="20" spans="1:11">
      <c r="A20" s="16"/>
      <c r="B20" s="14"/>
      <c r="C20" s="14"/>
      <c r="D20" s="14"/>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14"/>
      <c r="E23" s="14"/>
      <c r="F23" s="14"/>
      <c r="G23" s="14"/>
      <c r="H23" s="14"/>
      <c r="I23" s="14"/>
      <c r="J23" s="14"/>
      <c r="K23" s="87"/>
    </row>
    <row r="24" spans="1:11">
      <c r="A24" s="16"/>
      <c r="B24" s="14"/>
      <c r="C24" s="14"/>
      <c r="D24" s="14"/>
      <c r="E24" s="14"/>
      <c r="F24" s="14"/>
      <c r="G24" s="14"/>
      <c r="H24" s="14"/>
      <c r="I24" s="14"/>
      <c r="J24" s="14"/>
      <c r="K24" s="87"/>
    </row>
    <row r="25" spans="1:11">
      <c r="A25" s="16"/>
      <c r="B25" s="14"/>
      <c r="C25" s="14"/>
      <c r="D25" s="14"/>
      <c r="E25" s="14"/>
      <c r="F25" s="14"/>
      <c r="G25" s="14"/>
      <c r="H25" s="14"/>
      <c r="I25" s="14"/>
      <c r="J25" s="14"/>
      <c r="K25" s="87"/>
    </row>
    <row r="26" spans="1:11">
      <c r="A26" s="16"/>
      <c r="B26" s="14"/>
      <c r="C26" s="14"/>
      <c r="D26" s="14"/>
      <c r="E26" s="14"/>
      <c r="F26" s="14"/>
      <c r="G26" s="14"/>
      <c r="H26" s="14"/>
      <c r="I26" s="14"/>
      <c r="J26" s="14"/>
      <c r="K26" s="87"/>
    </row>
    <row r="27" spans="1:11">
      <c r="A27" s="16"/>
      <c r="B27" s="14"/>
      <c r="C27" s="14"/>
      <c r="D27" s="14"/>
      <c r="E27" s="14"/>
      <c r="F27" s="14"/>
      <c r="G27" s="14"/>
      <c r="H27" s="14"/>
      <c r="I27" s="14"/>
      <c r="J27" s="14"/>
      <c r="K27" s="87"/>
    </row>
    <row r="28" spans="1:11">
      <c r="A28" s="16"/>
      <c r="B28" s="14"/>
      <c r="C28" s="14"/>
      <c r="D28" s="14"/>
      <c r="E28" s="14"/>
      <c r="F28" s="14"/>
      <c r="G28" s="14"/>
      <c r="H28" s="14"/>
      <c r="I28" s="14"/>
      <c r="J28" s="14"/>
      <c r="K28" s="87"/>
    </row>
    <row r="29" spans="1:11">
      <c r="A29" s="16"/>
      <c r="B29" s="14"/>
      <c r="C29" s="14"/>
      <c r="D29" s="14"/>
      <c r="E29" s="14"/>
      <c r="F29" s="14"/>
      <c r="G29" s="14"/>
      <c r="H29" s="14"/>
      <c r="I29" s="14"/>
      <c r="J29" s="14"/>
      <c r="K29" s="87"/>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B16</f>
        <v>1428.11</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11453</v>
      </c>
      <c r="B33" s="1174" t="str">
        <f>VLOOKUP($A33, 'Plan Orçamentária'!$Q$2:$S$128267,2,FALSE)</f>
        <v>TRANSPORTE DE SOLO DE 1ª E 2ª CATEGORIA POR CAMINHÃO PARA DISTÂNCIAS SUPERIORES AO 5° KM ATÉ O 10° KM</v>
      </c>
      <c r="C33" s="1174"/>
      <c r="D33" s="1174"/>
      <c r="E33" s="1174"/>
      <c r="F33" s="1174"/>
      <c r="G33" s="1174"/>
      <c r="H33" s="1174"/>
      <c r="I33" s="1174"/>
      <c r="J33" s="1174"/>
      <c r="K33" s="12" t="str">
        <f>VLOOKUP($A33,'Plan Orçamentária'!$Q$2:$S$138267,3,FALSE)</f>
        <v>M3</v>
      </c>
      <c r="L33" s="15">
        <f>J51</f>
        <v>142.81100000000001</v>
      </c>
    </row>
    <row r="34" spans="1:12">
      <c r="A34" s="16"/>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29899</v>
      </c>
      <c r="B36" s="14">
        <v>1428.11</v>
      </c>
      <c r="C36" s="14" t="s">
        <v>509</v>
      </c>
      <c r="D36" s="14"/>
      <c r="E36" s="14"/>
      <c r="F36" s="14"/>
      <c r="G36" s="14"/>
      <c r="H36" s="14"/>
      <c r="I36" s="14"/>
      <c r="J36" s="14"/>
      <c r="K36" s="87"/>
    </row>
    <row r="37" spans="1:12" ht="16.5" customHeight="1">
      <c r="A37" s="16" t="s">
        <v>44366</v>
      </c>
      <c r="B37" s="14">
        <v>0.1</v>
      </c>
      <c r="C37" s="14" t="s">
        <v>165</v>
      </c>
      <c r="D37" s="14"/>
      <c r="E37" s="14"/>
      <c r="F37" s="14"/>
      <c r="G37" s="14"/>
      <c r="H37" s="14"/>
      <c r="I37" s="14"/>
      <c r="J37" s="14"/>
      <c r="K37" s="87"/>
    </row>
    <row r="38" spans="1:12">
      <c r="A38" s="16" t="s">
        <v>27889</v>
      </c>
      <c r="B38" s="14">
        <f>B37*B36</f>
        <v>142.81100000000001</v>
      </c>
      <c r="C38" s="14" t="str">
        <f>K33</f>
        <v>M3</v>
      </c>
      <c r="D38" s="14"/>
      <c r="E38" s="14"/>
      <c r="F38" s="14"/>
      <c r="G38" s="14"/>
      <c r="H38" s="14"/>
      <c r="I38" s="14"/>
      <c r="J38" s="14"/>
      <c r="K38" s="87"/>
    </row>
    <row r="39" spans="1:12" s="57" customFormat="1">
      <c r="A39" s="16"/>
      <c r="B39" s="14"/>
      <c r="C39" s="14"/>
      <c r="D39" s="14"/>
      <c r="E39" s="14"/>
      <c r="F39" s="14"/>
      <c r="G39" s="14"/>
      <c r="H39" s="14"/>
      <c r="I39" s="14"/>
      <c r="J39" s="14"/>
      <c r="K39" s="87"/>
    </row>
    <row r="40" spans="1:12">
      <c r="A40" s="16"/>
      <c r="B40" s="14"/>
      <c r="C40" s="14"/>
      <c r="D40" s="14"/>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14"/>
      <c r="E43" s="14"/>
      <c r="F43" s="14"/>
      <c r="G43" s="14"/>
      <c r="H43" s="14"/>
      <c r="I43" s="14"/>
      <c r="J43" s="14"/>
      <c r="K43" s="87"/>
    </row>
    <row r="44" spans="1:12">
      <c r="A44" s="16"/>
      <c r="B44" s="14"/>
      <c r="C44" s="14"/>
      <c r="D44" s="14"/>
      <c r="E44" s="14"/>
      <c r="F44" s="14"/>
      <c r="G44" s="14"/>
      <c r="H44" s="14"/>
      <c r="I44" s="14"/>
      <c r="J44" s="14"/>
      <c r="K44" s="87"/>
    </row>
    <row r="45" spans="1:12">
      <c r="A45" s="16"/>
      <c r="B45" s="14"/>
      <c r="C45" s="14"/>
      <c r="D45" s="14"/>
      <c r="E45" s="14"/>
      <c r="F45" s="14"/>
      <c r="G45" s="14"/>
      <c r="H45" s="14"/>
      <c r="I45" s="14"/>
      <c r="J45" s="14"/>
      <c r="K45" s="87"/>
    </row>
    <row r="46" spans="1:12">
      <c r="A46" s="16"/>
      <c r="B46" s="14"/>
      <c r="C46" s="14"/>
      <c r="D46" s="14"/>
      <c r="E46" s="14"/>
      <c r="F46" s="14"/>
      <c r="G46" s="14"/>
      <c r="H46" s="14"/>
      <c r="I46" s="14"/>
      <c r="J46" s="14"/>
      <c r="K46" s="87"/>
    </row>
    <row r="47" spans="1:12">
      <c r="A47" s="16"/>
      <c r="B47" s="14"/>
      <c r="C47" s="14"/>
      <c r="D47" s="14"/>
      <c r="E47" s="14"/>
      <c r="F47" s="14"/>
      <c r="G47" s="14"/>
      <c r="H47" s="14"/>
      <c r="I47" s="14"/>
      <c r="J47" s="14"/>
      <c r="K47" s="87"/>
    </row>
    <row r="48" spans="1:12">
      <c r="A48" s="16"/>
      <c r="B48" s="14"/>
      <c r="C48" s="14"/>
      <c r="D48" s="14"/>
      <c r="E48" s="14"/>
      <c r="F48" s="14"/>
      <c r="G48" s="14"/>
      <c r="H48" s="14"/>
      <c r="I48" s="14"/>
      <c r="J48" s="14"/>
      <c r="K48" s="87"/>
    </row>
    <row r="49" spans="1:11">
      <c r="A49" s="16"/>
      <c r="B49" s="14"/>
      <c r="C49" s="14"/>
      <c r="D49" s="14"/>
      <c r="E49" s="14"/>
      <c r="F49" s="14"/>
      <c r="G49" s="14"/>
      <c r="H49" s="14"/>
      <c r="I49" s="14"/>
      <c r="J49" s="14"/>
      <c r="K49" s="87"/>
    </row>
    <row r="50" spans="1:11" ht="16">
      <c r="A50" s="10" t="s">
        <v>28032</v>
      </c>
      <c r="B50" s="207"/>
      <c r="C50" s="207"/>
      <c r="D50" s="207"/>
      <c r="E50" s="207"/>
      <c r="F50" s="207"/>
      <c r="G50" s="207"/>
      <c r="H50" s="207"/>
      <c r="I50" s="207"/>
      <c r="J50" s="1175" t="s">
        <v>28033</v>
      </c>
      <c r="K50" s="1176"/>
    </row>
    <row r="51" spans="1:11" ht="17" thickBot="1">
      <c r="A51" s="6"/>
      <c r="B51" s="11"/>
      <c r="C51" s="11"/>
      <c r="D51" s="11"/>
      <c r="E51" s="11"/>
      <c r="F51" s="11"/>
      <c r="G51" s="11"/>
      <c r="H51" s="11"/>
      <c r="I51" s="11"/>
      <c r="J51" s="1177">
        <f>B38</f>
        <v>142.81100000000001</v>
      </c>
      <c r="K51" s="1178"/>
    </row>
  </sheetData>
  <mergeCells count="11">
    <mergeCell ref="J30:K30"/>
    <mergeCell ref="A1:K1"/>
    <mergeCell ref="A2:K10"/>
    <mergeCell ref="B11:K11"/>
    <mergeCell ref="B12:J12"/>
    <mergeCell ref="B13:J13"/>
    <mergeCell ref="J31:K31"/>
    <mergeCell ref="B32:J32"/>
    <mergeCell ref="B33:J33"/>
    <mergeCell ref="J50:K50"/>
    <mergeCell ref="J51:K51"/>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573-7885-45EE-8DB7-B982B44D89C9}">
  <sheetPr codeName="Planilha21">
    <pageSetUpPr fitToPage="1"/>
  </sheetPr>
  <dimension ref="A1:L91"/>
  <sheetViews>
    <sheetView view="pageBreakPreview"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44331</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12136</v>
      </c>
      <c r="B13" s="1174" t="str">
        <f>VLOOKUP($A13, 'Plan Orçamentária'!$Q$2:$S$128267,2,FALSE)</f>
        <v>FORNECIMENTO E MONTAGEM DE ESTRUTURA EM AÇO ASTM-A36, SEM PINTURA</v>
      </c>
      <c r="C13" s="1174"/>
      <c r="D13" s="1174"/>
      <c r="E13" s="1174"/>
      <c r="F13" s="1174"/>
      <c r="G13" s="1174"/>
      <c r="H13" s="1174"/>
      <c r="I13" s="1174"/>
      <c r="J13" s="1174"/>
      <c r="K13" s="12" t="str">
        <f>VLOOKUP($A13,'Plan Orçamentária'!$Q$2:$S$138267,3,FALSE)</f>
        <v>KG</v>
      </c>
      <c r="L13" s="15">
        <f>J31</f>
        <v>1939.78</v>
      </c>
    </row>
    <row r="14" spans="1:12">
      <c r="A14" s="86" t="s">
        <v>44332</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44333</v>
      </c>
      <c r="B16" s="233"/>
      <c r="C16" s="14"/>
      <c r="D16" s="14"/>
      <c r="E16" s="14"/>
      <c r="F16" s="14"/>
      <c r="G16" s="14"/>
      <c r="H16" s="14"/>
      <c r="I16" s="14"/>
      <c r="J16" s="14"/>
      <c r="K16" s="87"/>
    </row>
    <row r="17" spans="1:11" ht="16.5" customHeight="1">
      <c r="A17" s="16" t="s">
        <v>44334</v>
      </c>
      <c r="B17" s="234"/>
      <c r="C17" s="14">
        <v>1853.59</v>
      </c>
      <c r="D17" s="14" t="s">
        <v>207</v>
      </c>
      <c r="E17" s="14"/>
      <c r="F17" s="14"/>
      <c r="G17" s="14"/>
      <c r="H17" s="14"/>
      <c r="I17" s="14"/>
      <c r="J17" s="14"/>
      <c r="K17" s="87"/>
    </row>
    <row r="18" spans="1:11">
      <c r="A18" s="16" t="s">
        <v>44335</v>
      </c>
      <c r="B18" s="14"/>
      <c r="C18" s="14">
        <v>62.99</v>
      </c>
      <c r="D18" s="14" t="s">
        <v>207</v>
      </c>
      <c r="E18" s="14"/>
      <c r="F18" s="14"/>
      <c r="G18" s="14"/>
      <c r="H18" s="14"/>
      <c r="I18" s="14"/>
      <c r="J18" s="14"/>
      <c r="K18" s="87"/>
    </row>
    <row r="19" spans="1:11" s="57" customFormat="1">
      <c r="A19" s="209" t="s">
        <v>44336</v>
      </c>
      <c r="B19" s="208"/>
      <c r="C19" s="208">
        <v>23.2</v>
      </c>
      <c r="D19" s="14" t="s">
        <v>207</v>
      </c>
      <c r="E19" s="14"/>
      <c r="F19" s="14"/>
      <c r="G19" s="14"/>
      <c r="H19" s="14"/>
      <c r="I19" s="14"/>
      <c r="J19" s="14"/>
      <c r="K19" s="87"/>
    </row>
    <row r="20" spans="1:11">
      <c r="A20" s="16"/>
      <c r="B20" s="14"/>
      <c r="C20" s="14"/>
      <c r="D20" s="95"/>
      <c r="E20" s="14"/>
      <c r="F20" s="14"/>
      <c r="G20" s="14"/>
      <c r="H20" s="14"/>
      <c r="I20" s="14"/>
      <c r="J20" s="14"/>
      <c r="K20" s="87"/>
    </row>
    <row r="21" spans="1:11">
      <c r="A21" s="16" t="s">
        <v>27889</v>
      </c>
      <c r="B21" s="14"/>
      <c r="C21" s="14">
        <f>SUM(C17:C19)</f>
        <v>1939.78</v>
      </c>
      <c r="D21" s="14" t="str">
        <f>D19</f>
        <v>KG</v>
      </c>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c r="B28" s="88"/>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C21</f>
        <v>1939.78</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13876</v>
      </c>
      <c r="B33" s="1174" t="str">
        <f>VLOOKUP($A33, 'Plan Orçamentária'!$Q$2:$S$128267,2,FALSE)</f>
        <v>PINTURA COM ESMALTE ALQUÍDICO EM ESTRUTURA METÁLICA</v>
      </c>
      <c r="C33" s="1174"/>
      <c r="D33" s="1174"/>
      <c r="E33" s="1174"/>
      <c r="F33" s="1174"/>
      <c r="G33" s="1174"/>
      <c r="H33" s="1174"/>
      <c r="I33" s="1174"/>
      <c r="J33" s="1174"/>
      <c r="K33" s="12" t="str">
        <f>VLOOKUP($A33,'Plan Orçamentária'!$Q$2:$S$138267,3,FALSE)</f>
        <v>KG</v>
      </c>
      <c r="L33" s="15">
        <f>J51</f>
        <v>1939.78</v>
      </c>
    </row>
    <row r="34" spans="1:12">
      <c r="A34" s="86" t="s">
        <v>44332</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44333</v>
      </c>
      <c r="B36" s="233"/>
      <c r="C36" s="14"/>
      <c r="D36" s="14"/>
      <c r="E36" s="14"/>
      <c r="F36" s="14"/>
      <c r="G36" s="14"/>
      <c r="H36" s="14"/>
      <c r="I36" s="14"/>
      <c r="J36" s="14"/>
      <c r="K36" s="87"/>
    </row>
    <row r="37" spans="1:12" ht="16.5" customHeight="1">
      <c r="A37" s="16" t="s">
        <v>44334</v>
      </c>
      <c r="B37" s="234"/>
      <c r="C37" s="14">
        <v>1853.59</v>
      </c>
      <c r="D37" s="14" t="s">
        <v>207</v>
      </c>
      <c r="E37" s="14"/>
      <c r="F37" s="14"/>
      <c r="G37" s="14"/>
      <c r="H37" s="14"/>
      <c r="I37" s="14"/>
      <c r="J37" s="14"/>
      <c r="K37" s="87"/>
    </row>
    <row r="38" spans="1:12">
      <c r="A38" s="16" t="s">
        <v>44335</v>
      </c>
      <c r="B38" s="14"/>
      <c r="C38" s="14">
        <v>62.99</v>
      </c>
      <c r="D38" s="14" t="s">
        <v>207</v>
      </c>
      <c r="E38" s="14"/>
      <c r="F38" s="14"/>
      <c r="G38" s="14"/>
      <c r="H38" s="14"/>
      <c r="I38" s="14"/>
      <c r="J38" s="14"/>
      <c r="K38" s="87"/>
    </row>
    <row r="39" spans="1:12" s="57" customFormat="1">
      <c r="A39" s="209" t="s">
        <v>44336</v>
      </c>
      <c r="B39" s="208"/>
      <c r="C39" s="208">
        <v>23.2</v>
      </c>
      <c r="D39" s="14" t="s">
        <v>207</v>
      </c>
      <c r="E39" s="14"/>
      <c r="F39" s="14"/>
      <c r="G39" s="14"/>
      <c r="H39" s="14"/>
      <c r="I39" s="14"/>
      <c r="J39" s="14"/>
      <c r="K39" s="87"/>
    </row>
    <row r="40" spans="1:12">
      <c r="A40" s="16"/>
      <c r="B40" s="14"/>
      <c r="C40" s="14"/>
      <c r="D40" s="95"/>
      <c r="E40" s="14"/>
      <c r="F40" s="14"/>
      <c r="G40" s="14"/>
      <c r="H40" s="14"/>
      <c r="I40" s="14"/>
      <c r="J40" s="14"/>
      <c r="K40" s="87"/>
    </row>
    <row r="41" spans="1:12">
      <c r="A41" s="16" t="s">
        <v>27889</v>
      </c>
      <c r="B41" s="14"/>
      <c r="C41" s="14">
        <f>SUM(C37:C39)</f>
        <v>1939.78</v>
      </c>
      <c r="D41" s="14" t="str">
        <f>D39</f>
        <v>KG</v>
      </c>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c r="B48" s="88"/>
      <c r="C48" s="88"/>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C41</f>
        <v>1939.78</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12232</v>
      </c>
      <c r="B53" s="1174" t="str">
        <f>VLOOKUP($A53, 'Plan Orçamentária'!$Q$2:$S$128267,2,FALSE)</f>
        <v>TELHAMENTO EM CHAPA DE AÇO COM PINTURA POLIÉSTER, TIPO SANDUÍCHE, ESPESSURA DE 0,50 MM, COM POLIESTIRENO EXPANDIDO</v>
      </c>
      <c r="C53" s="1174"/>
      <c r="D53" s="1174"/>
      <c r="E53" s="1174"/>
      <c r="F53" s="1174"/>
      <c r="G53" s="1174"/>
      <c r="H53" s="1174"/>
      <c r="I53" s="1174"/>
      <c r="J53" s="1174"/>
      <c r="K53" s="12" t="str">
        <f>VLOOKUP($A53,'Plan Orçamentária'!$Q$2:$S$138267,3,FALSE)</f>
        <v>M2</v>
      </c>
      <c r="L53" s="15">
        <f>J71</f>
        <v>118.41</v>
      </c>
    </row>
    <row r="54" spans="1:12">
      <c r="A54" s="86" t="s">
        <v>44337</v>
      </c>
      <c r="B54" s="14"/>
      <c r="C54" s="14"/>
      <c r="D54" s="14"/>
      <c r="E54" s="14"/>
      <c r="F54" s="14"/>
      <c r="G54" s="14"/>
      <c r="H54" s="14"/>
      <c r="I54" s="14"/>
      <c r="J54" s="14"/>
      <c r="K54" s="87"/>
    </row>
    <row r="55" spans="1:12" ht="16.5" customHeight="1">
      <c r="A55" s="16" t="s">
        <v>44339</v>
      </c>
      <c r="B55" s="14"/>
      <c r="C55" s="14"/>
      <c r="D55" s="14"/>
      <c r="E55" s="14"/>
      <c r="F55" s="14"/>
      <c r="G55" s="14"/>
      <c r="H55" s="14"/>
      <c r="I55" s="14"/>
      <c r="J55" s="14"/>
      <c r="K55" s="87"/>
    </row>
    <row r="56" spans="1:12" ht="16.5" customHeight="1">
      <c r="A56" s="16"/>
      <c r="B56" s="233"/>
      <c r="C56" s="14"/>
      <c r="D56" s="14"/>
      <c r="E56" s="14"/>
      <c r="F56" s="14"/>
      <c r="G56" s="14"/>
      <c r="H56" s="14"/>
      <c r="I56" s="14"/>
      <c r="J56" s="14"/>
      <c r="K56" s="87"/>
    </row>
    <row r="57" spans="1:12" ht="16.5" customHeight="1">
      <c r="A57" s="16" t="s">
        <v>44338</v>
      </c>
      <c r="B57" s="234"/>
      <c r="C57" s="14"/>
      <c r="D57" s="14"/>
      <c r="E57" s="14">
        <v>97.06</v>
      </c>
      <c r="F57" s="14" t="s">
        <v>509</v>
      </c>
      <c r="G57" s="14"/>
      <c r="H57" s="14"/>
      <c r="I57" s="14"/>
      <c r="J57" s="14"/>
      <c r="K57" s="87"/>
    </row>
    <row r="58" spans="1:12">
      <c r="A58" s="16" t="s">
        <v>44340</v>
      </c>
      <c r="B58" s="14"/>
      <c r="C58" s="14"/>
      <c r="D58" s="14"/>
      <c r="E58" s="14">
        <v>21.35</v>
      </c>
      <c r="F58" s="14" t="s">
        <v>509</v>
      </c>
      <c r="G58" s="14"/>
      <c r="H58" s="14"/>
      <c r="I58" s="14"/>
      <c r="J58" s="14"/>
      <c r="K58" s="87"/>
    </row>
    <row r="59" spans="1:12" s="57" customFormat="1">
      <c r="A59" s="209"/>
      <c r="B59" s="208"/>
      <c r="C59" s="208"/>
      <c r="D59" s="14"/>
      <c r="E59" s="14"/>
      <c r="F59" s="14"/>
      <c r="G59" s="14"/>
      <c r="H59" s="14"/>
      <c r="I59" s="14"/>
      <c r="J59" s="14"/>
      <c r="K59" s="87"/>
    </row>
    <row r="60" spans="1:12">
      <c r="A60" s="16" t="s">
        <v>27889</v>
      </c>
      <c r="B60" s="14">
        <f>SUM(E57:E58)</f>
        <v>118.41</v>
      </c>
      <c r="C60" s="14" t="str">
        <f>K53</f>
        <v>M2</v>
      </c>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c r="B68" s="88"/>
      <c r="C68" s="88"/>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B60</f>
        <v>118.41</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12258</v>
      </c>
      <c r="B73" s="1174" t="str">
        <f>VLOOKUP($A73, 'Plan Orçamentária'!$Q$2:$S$128267,2,FALSE)</f>
        <v>COBERTURA PLANA EM CHAPA DE POLICARBONATO ALVEOLAR DE 10 MM</v>
      </c>
      <c r="C73" s="1174"/>
      <c r="D73" s="1174"/>
      <c r="E73" s="1174"/>
      <c r="F73" s="1174"/>
      <c r="G73" s="1174"/>
      <c r="H73" s="1174"/>
      <c r="I73" s="1174"/>
      <c r="J73" s="1174"/>
      <c r="K73" s="12" t="str">
        <f>VLOOKUP($A73,'Plan Orçamentária'!$Q$2:$S$138267,3,FALSE)</f>
        <v>M2</v>
      </c>
      <c r="L73" s="15">
        <f>J91</f>
        <v>67.03</v>
      </c>
    </row>
    <row r="74" spans="1:12">
      <c r="A74" s="86" t="s">
        <v>44337</v>
      </c>
      <c r="B74" s="14"/>
      <c r="C74" s="14"/>
      <c r="D74" s="14"/>
      <c r="E74" s="14"/>
      <c r="F74" s="14"/>
      <c r="G74" s="14"/>
      <c r="H74" s="14"/>
      <c r="I74" s="14"/>
      <c r="J74" s="14"/>
      <c r="K74" s="87"/>
    </row>
    <row r="75" spans="1:12" ht="16.5" customHeight="1">
      <c r="A75" s="16" t="s">
        <v>44339</v>
      </c>
      <c r="B75" s="14"/>
      <c r="C75" s="14"/>
      <c r="D75" s="14"/>
      <c r="E75" s="14"/>
      <c r="F75" s="14"/>
      <c r="G75" s="14"/>
      <c r="H75" s="14"/>
      <c r="I75" s="14"/>
      <c r="J75" s="14"/>
      <c r="K75" s="87"/>
    </row>
    <row r="76" spans="1:12" ht="16.5" customHeight="1">
      <c r="A76" s="16"/>
      <c r="B76" s="233"/>
      <c r="C76" s="14"/>
      <c r="D76" s="14"/>
      <c r="E76" s="14"/>
      <c r="F76" s="14"/>
      <c r="G76" s="14"/>
      <c r="H76" s="14"/>
      <c r="I76" s="14"/>
      <c r="J76" s="14"/>
      <c r="K76" s="87"/>
    </row>
    <row r="77" spans="1:12" ht="16.5" customHeight="1">
      <c r="A77" s="16" t="s">
        <v>44341</v>
      </c>
      <c r="B77" s="234"/>
      <c r="C77" s="14"/>
      <c r="D77" s="14"/>
      <c r="E77" s="14">
        <v>67.03</v>
      </c>
      <c r="F77" s="14" t="s">
        <v>509</v>
      </c>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t="s">
        <v>27889</v>
      </c>
      <c r="B80" s="14">
        <f>SUM(E77:E78)</f>
        <v>67.03</v>
      </c>
      <c r="C80" s="14" t="str">
        <f>K73</f>
        <v>M2</v>
      </c>
      <c r="D80" s="95"/>
      <c r="E80" s="14"/>
      <c r="F80" s="14"/>
      <c r="G80" s="14"/>
      <c r="H80" s="14"/>
      <c r="I80" s="14"/>
      <c r="J80" s="14"/>
      <c r="K80" s="87"/>
    </row>
    <row r="81" spans="1:11">
      <c r="A81" s="16"/>
      <c r="B81" s="14"/>
      <c r="C81" s="14"/>
      <c r="D81" s="14"/>
      <c r="E81" s="14"/>
      <c r="F81" s="14"/>
      <c r="G81" s="14"/>
      <c r="H81" s="14"/>
      <c r="I81" s="14"/>
      <c r="J81" s="14"/>
      <c r="K81" s="87"/>
    </row>
    <row r="82" spans="1:11">
      <c r="A82" s="16"/>
      <c r="B82" s="14"/>
      <c r="C82" s="14"/>
      <c r="D82" s="14"/>
      <c r="E82" s="14"/>
      <c r="F82" s="14"/>
      <c r="G82" s="14"/>
      <c r="H82" s="14"/>
      <c r="I82" s="14"/>
      <c r="J82" s="14"/>
      <c r="K82" s="87"/>
    </row>
    <row r="83" spans="1:11">
      <c r="A83" s="16"/>
      <c r="B83" s="14"/>
      <c r="C83" s="14"/>
      <c r="D83" s="88"/>
      <c r="E83" s="14"/>
      <c r="F83" s="14"/>
      <c r="G83" s="14"/>
      <c r="H83" s="88"/>
      <c r="I83" s="89"/>
      <c r="J83" s="89"/>
      <c r="K83" s="90"/>
    </row>
    <row r="84" spans="1:11">
      <c r="A84" s="16"/>
      <c r="B84" s="14"/>
      <c r="C84" s="14"/>
      <c r="D84" s="88"/>
      <c r="E84" s="14"/>
      <c r="F84" s="14"/>
      <c r="G84" s="14"/>
      <c r="H84" s="88"/>
      <c r="I84" s="89"/>
      <c r="J84" s="89"/>
      <c r="K84" s="90"/>
    </row>
    <row r="85" spans="1:11">
      <c r="A85" s="16"/>
      <c r="B85" s="14"/>
      <c r="C85" s="14"/>
      <c r="D85" s="88"/>
      <c r="E85" s="14"/>
      <c r="F85" s="14"/>
      <c r="G85" s="14"/>
      <c r="H85" s="88"/>
      <c r="I85" s="89"/>
      <c r="J85" s="89"/>
      <c r="K85" s="90"/>
    </row>
    <row r="86" spans="1:11">
      <c r="A86" s="16"/>
      <c r="B86" s="14"/>
      <c r="C86" s="14"/>
      <c r="D86" s="88"/>
      <c r="E86" s="14"/>
      <c r="F86" s="14"/>
      <c r="G86" s="14"/>
      <c r="H86" s="88"/>
      <c r="I86" s="89"/>
      <c r="J86" s="89"/>
      <c r="K86" s="90"/>
    </row>
    <row r="87" spans="1:11">
      <c r="A87" s="91"/>
      <c r="B87" s="88"/>
      <c r="C87" s="88"/>
      <c r="D87" s="88"/>
      <c r="E87" s="88"/>
      <c r="F87" s="88"/>
      <c r="G87" s="88"/>
      <c r="H87" s="88"/>
      <c r="I87" s="89"/>
      <c r="J87" s="89"/>
      <c r="K87" s="90"/>
    </row>
    <row r="88" spans="1:11">
      <c r="A88" s="91"/>
      <c r="B88" s="88"/>
      <c r="C88" s="88"/>
      <c r="D88" s="88"/>
      <c r="E88" s="14"/>
      <c r="F88" s="14"/>
      <c r="G88" s="14"/>
      <c r="H88" s="88"/>
      <c r="I88" s="89"/>
      <c r="J88" s="89"/>
      <c r="K88" s="90"/>
    </row>
    <row r="89" spans="1:11">
      <c r="A89" s="91"/>
      <c r="B89" s="88"/>
      <c r="C89" s="88"/>
      <c r="D89" s="88"/>
      <c r="E89" s="88"/>
      <c r="F89" s="88"/>
      <c r="G89" s="88"/>
      <c r="H89" s="88"/>
      <c r="I89" s="89"/>
      <c r="J89" s="89"/>
      <c r="K89" s="90"/>
    </row>
    <row r="90" spans="1:11" ht="16">
      <c r="A90" s="10" t="s">
        <v>28032</v>
      </c>
      <c r="B90" s="207"/>
      <c r="C90" s="207"/>
      <c r="D90" s="207"/>
      <c r="E90" s="207"/>
      <c r="F90" s="207"/>
      <c r="G90" s="207"/>
      <c r="H90" s="207"/>
      <c r="I90" s="207"/>
      <c r="J90" s="1175" t="s">
        <v>28033</v>
      </c>
      <c r="K90" s="1176"/>
    </row>
    <row r="91" spans="1:11" ht="17" thickBot="1">
      <c r="A91" s="6"/>
      <c r="B91" s="11"/>
      <c r="C91" s="11"/>
      <c r="D91" s="11"/>
      <c r="E91" s="11"/>
      <c r="F91" s="11"/>
      <c r="G91" s="11"/>
      <c r="H91" s="11"/>
      <c r="I91" s="11"/>
      <c r="J91" s="1177">
        <f>B80</f>
        <v>67.03</v>
      </c>
      <c r="K91" s="1178"/>
    </row>
  </sheetData>
  <mergeCells count="19">
    <mergeCell ref="A1:K1"/>
    <mergeCell ref="A2:K10"/>
    <mergeCell ref="B11:K11"/>
    <mergeCell ref="B72:J72"/>
    <mergeCell ref="B73:J73"/>
    <mergeCell ref="B53:J53"/>
    <mergeCell ref="J70:K70"/>
    <mergeCell ref="J71:K71"/>
    <mergeCell ref="J91:K91"/>
    <mergeCell ref="B12:J12"/>
    <mergeCell ref="B13:J13"/>
    <mergeCell ref="J30:K30"/>
    <mergeCell ref="J31:K31"/>
    <mergeCell ref="B32:J32"/>
    <mergeCell ref="B33:J33"/>
    <mergeCell ref="J50:K50"/>
    <mergeCell ref="J51:K51"/>
    <mergeCell ref="B52:J52"/>
    <mergeCell ref="J90:K90"/>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3994-9838-4A91-890F-A5F23FA56EC9}">
  <sheetPr codeName="Planilha25">
    <pageSetUpPr fitToPage="1"/>
  </sheetPr>
  <dimension ref="A1:L111"/>
  <sheetViews>
    <sheetView view="pageBreakPreview" topLeftCell="A89"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44367</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11993</v>
      </c>
      <c r="B13" s="1174" t="str">
        <f>VLOOKUP($A13, 'Plan Orçamentária'!$Q$2:$S$128267,2,FALSE)</f>
        <v>ALVENARIA DE BLOCO CERÂMICO DE VEDAÇÃO DE 19 CM</v>
      </c>
      <c r="C13" s="1174"/>
      <c r="D13" s="1174"/>
      <c r="E13" s="1174"/>
      <c r="F13" s="1174"/>
      <c r="G13" s="1174"/>
      <c r="H13" s="1174"/>
      <c r="I13" s="1174"/>
      <c r="J13" s="1174"/>
      <c r="K13" s="12" t="str">
        <f>VLOOKUP($A13,'Plan Orçamentária'!$Q$2:$S$138267,3,FALSE)</f>
        <v>M2</v>
      </c>
      <c r="L13" s="15">
        <f>J31</f>
        <v>564.94000000000005</v>
      </c>
    </row>
    <row r="14" spans="1:12">
      <c r="A14" s="86" t="s">
        <v>44337</v>
      </c>
      <c r="B14" s="14"/>
      <c r="C14" s="14"/>
      <c r="D14" s="14"/>
      <c r="E14" s="14"/>
      <c r="F14" s="14"/>
      <c r="G14" s="14"/>
      <c r="H14" s="14"/>
      <c r="I14" s="14"/>
      <c r="J14" s="14"/>
      <c r="K14" s="87"/>
    </row>
    <row r="15" spans="1:12" ht="16.5" customHeight="1">
      <c r="A15" s="16" t="s">
        <v>44343</v>
      </c>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11" ht="16.5" customHeight="1">
      <c r="A17" s="16"/>
      <c r="B17" s="234"/>
      <c r="C17" s="14"/>
      <c r="D17" s="14"/>
      <c r="E17" s="14"/>
      <c r="F17" s="14"/>
      <c r="G17" s="14"/>
      <c r="H17" s="14"/>
      <c r="I17" s="14"/>
      <c r="J17" s="14"/>
      <c r="K17" s="87"/>
    </row>
    <row r="18" spans="1:11">
      <c r="A18" s="16"/>
      <c r="B18" s="14"/>
      <c r="C18" s="14"/>
      <c r="D18" s="14"/>
      <c r="E18" s="14"/>
      <c r="F18" s="14"/>
      <c r="G18" s="14"/>
      <c r="H18" s="14"/>
      <c r="I18" s="14"/>
      <c r="J18" s="14"/>
      <c r="K18" s="87"/>
    </row>
    <row r="19" spans="1:11" s="57" customFormat="1">
      <c r="A19" s="209"/>
      <c r="B19" s="208"/>
      <c r="C19" s="208"/>
      <c r="D19" s="14"/>
      <c r="E19" s="14"/>
      <c r="F19" s="14"/>
      <c r="G19" s="14"/>
      <c r="H19" s="14" t="s">
        <v>41791</v>
      </c>
      <c r="I19" s="14">
        <v>564.94000000000005</v>
      </c>
      <c r="J19" s="14" t="s">
        <v>509</v>
      </c>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c r="B28" s="88"/>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I19</f>
        <v>564.94000000000005</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12002</v>
      </c>
      <c r="B33" s="1174" t="str">
        <f>VLOOKUP($A33, 'Plan Orçamentária'!$Q$2:$S$128267,2,FALSE)</f>
        <v>ALVENARIA DE BLOCO DE CONCRETO DE VEDAÇÃO DE 19 CM - CLASSE C</v>
      </c>
      <c r="C33" s="1174"/>
      <c r="D33" s="1174"/>
      <c r="E33" s="1174"/>
      <c r="F33" s="1174"/>
      <c r="G33" s="1174"/>
      <c r="H33" s="1174"/>
      <c r="I33" s="1174"/>
      <c r="J33" s="1174"/>
      <c r="K33" s="12" t="str">
        <f>VLOOKUP($A33,'Plan Orçamentária'!$Q$2:$S$138267,3,FALSE)</f>
        <v>M2</v>
      </c>
      <c r="L33" s="15">
        <f>J51</f>
        <v>163.87</v>
      </c>
    </row>
    <row r="34" spans="1:12">
      <c r="A34" s="86" t="s">
        <v>44337</v>
      </c>
      <c r="B34" s="14"/>
      <c r="C34" s="14"/>
      <c r="D34" s="14"/>
      <c r="E34" s="14"/>
      <c r="F34" s="14"/>
      <c r="G34" s="14"/>
      <c r="H34" s="14"/>
      <c r="I34" s="14"/>
      <c r="J34" s="14"/>
      <c r="K34" s="87"/>
    </row>
    <row r="35" spans="1:12" ht="16.5" customHeight="1">
      <c r="A35" s="16" t="s">
        <v>44343</v>
      </c>
      <c r="B35" s="14"/>
      <c r="C35" s="14"/>
      <c r="D35" s="14"/>
      <c r="E35" s="14"/>
      <c r="F35" s="14"/>
      <c r="G35" s="14"/>
      <c r="H35" s="14"/>
      <c r="I35" s="14"/>
      <c r="J35" s="14"/>
      <c r="K35" s="87"/>
    </row>
    <row r="36" spans="1:12" ht="16.5" customHeight="1">
      <c r="A36" s="16"/>
      <c r="B36" s="233"/>
      <c r="C36" s="14"/>
      <c r="D36" s="14"/>
      <c r="E36" s="14"/>
      <c r="F36" s="14"/>
      <c r="G36" s="14"/>
      <c r="H36" s="14"/>
      <c r="I36" s="14"/>
      <c r="J36" s="14"/>
      <c r="K36" s="87"/>
    </row>
    <row r="37" spans="1:12" ht="16.5" customHeight="1">
      <c r="A37" s="16"/>
      <c r="B37" s="234"/>
      <c r="C37" s="14"/>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t="s">
        <v>41791</v>
      </c>
      <c r="I39" s="14">
        <v>163.87</v>
      </c>
      <c r="J39" s="14" t="s">
        <v>509</v>
      </c>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c r="B48" s="88"/>
      <c r="C48" s="88"/>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I39</f>
        <v>163.87</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12021</v>
      </c>
      <c r="B53" s="1174" t="str">
        <f>VLOOKUP($A53, 'Plan Orçamentária'!$Q$2:$S$128267,2,FALSE)</f>
        <v>VERGAS, CONTRAVERGAS E PILARETES DE CONCRETO ARMADO</v>
      </c>
      <c r="C53" s="1174"/>
      <c r="D53" s="1174"/>
      <c r="E53" s="1174"/>
      <c r="F53" s="1174"/>
      <c r="G53" s="1174"/>
      <c r="H53" s="1174"/>
      <c r="I53" s="1174"/>
      <c r="J53" s="1174"/>
      <c r="K53" s="12" t="str">
        <f>VLOOKUP($A53,'Plan Orçamentária'!$Q$2:$S$138267,3,FALSE)</f>
        <v>M3</v>
      </c>
      <c r="L53" s="15">
        <f>J71</f>
        <v>5.9662469999999992</v>
      </c>
    </row>
    <row r="54" spans="1:12">
      <c r="A54" s="86" t="s">
        <v>44337</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t="s">
        <v>44368</v>
      </c>
      <c r="B56" s="233" t="s">
        <v>44362</v>
      </c>
      <c r="C56" s="14"/>
      <c r="D56" s="14"/>
      <c r="E56" s="14"/>
      <c r="F56" s="14" t="s">
        <v>44370</v>
      </c>
      <c r="G56" s="14" t="s">
        <v>44362</v>
      </c>
      <c r="H56" s="14"/>
      <c r="I56" s="14"/>
      <c r="J56" s="14"/>
      <c r="K56" s="87"/>
    </row>
    <row r="57" spans="1:12" ht="16.5" customHeight="1">
      <c r="A57" s="16" t="s">
        <v>41786</v>
      </c>
      <c r="B57" s="234" t="s">
        <v>41798</v>
      </c>
      <c r="C57" s="14" t="s">
        <v>41787</v>
      </c>
      <c r="D57" s="14" t="s">
        <v>44369</v>
      </c>
      <c r="E57" s="14"/>
      <c r="F57" s="14" t="s">
        <v>41786</v>
      </c>
      <c r="G57" s="14" t="s">
        <v>41798</v>
      </c>
      <c r="H57" s="14" t="s">
        <v>41787</v>
      </c>
      <c r="I57" s="14" t="s">
        <v>44369</v>
      </c>
      <c r="J57" s="14"/>
      <c r="K57" s="87"/>
    </row>
    <row r="58" spans="1:12">
      <c r="A58" s="16">
        <v>43.97</v>
      </c>
      <c r="B58" s="14">
        <v>0.19</v>
      </c>
      <c r="C58" s="14">
        <v>0.19</v>
      </c>
      <c r="D58" s="14">
        <f>C58*B58*A58</f>
        <v>1.5873169999999999</v>
      </c>
      <c r="E58" s="14"/>
      <c r="F58" s="14">
        <v>8.68</v>
      </c>
      <c r="G58" s="14">
        <v>0.19</v>
      </c>
      <c r="H58" s="14">
        <v>0.19</v>
      </c>
      <c r="I58" s="14">
        <f>H58*G58*F58</f>
        <v>0.31334800000000002</v>
      </c>
      <c r="J58" s="14"/>
      <c r="K58" s="87"/>
    </row>
    <row r="59" spans="1:12" s="57" customFormat="1">
      <c r="A59" s="209"/>
      <c r="B59" s="208"/>
      <c r="C59" s="208"/>
      <c r="D59" s="14"/>
      <c r="E59" s="14"/>
      <c r="F59" s="14"/>
      <c r="G59" s="14"/>
      <c r="H59" s="14"/>
      <c r="I59" s="14"/>
      <c r="J59" s="14"/>
      <c r="K59" s="87"/>
    </row>
    <row r="60" spans="1:12">
      <c r="A60" s="16" t="s">
        <v>44368</v>
      </c>
      <c r="B60" s="233" t="s">
        <v>44363</v>
      </c>
      <c r="C60" s="14"/>
      <c r="D60" s="14"/>
      <c r="E60" s="14"/>
      <c r="F60" s="14" t="s">
        <v>44370</v>
      </c>
      <c r="G60" s="14" t="s">
        <v>44363</v>
      </c>
      <c r="H60" s="14"/>
      <c r="I60" s="14"/>
      <c r="J60" s="14"/>
      <c r="K60" s="87"/>
    </row>
    <row r="61" spans="1:12">
      <c r="A61" s="16" t="s">
        <v>41786</v>
      </c>
      <c r="B61" s="234" t="s">
        <v>41798</v>
      </c>
      <c r="C61" s="14" t="s">
        <v>41787</v>
      </c>
      <c r="D61" s="14" t="s">
        <v>44369</v>
      </c>
      <c r="E61" s="14"/>
      <c r="F61" s="14" t="s">
        <v>41786</v>
      </c>
      <c r="G61" s="14" t="s">
        <v>41798</v>
      </c>
      <c r="H61" s="14" t="s">
        <v>41787</v>
      </c>
      <c r="I61" s="14" t="s">
        <v>44369</v>
      </c>
      <c r="J61" s="14"/>
      <c r="K61" s="87"/>
    </row>
    <row r="62" spans="1:12">
      <c r="A62" s="16">
        <v>42.59</v>
      </c>
      <c r="B62" s="14">
        <v>0.19</v>
      </c>
      <c r="C62" s="14">
        <v>0.19</v>
      </c>
      <c r="D62" s="14">
        <f>C62*B62*A62</f>
        <v>1.5374990000000002</v>
      </c>
      <c r="E62" s="14"/>
      <c r="F62" s="14">
        <v>26.47</v>
      </c>
      <c r="G62" s="14">
        <v>0.19</v>
      </c>
      <c r="H62" s="14">
        <v>0.19</v>
      </c>
      <c r="I62" s="14">
        <f>H62*G62*F62</f>
        <v>0.95556699999999994</v>
      </c>
      <c r="J62" s="14"/>
      <c r="K62" s="87"/>
    </row>
    <row r="63" spans="1:12">
      <c r="A63" s="16"/>
      <c r="B63" s="14"/>
      <c r="C63" s="14"/>
      <c r="D63" s="88"/>
      <c r="E63" s="14"/>
      <c r="F63" s="14"/>
      <c r="G63" s="14"/>
      <c r="H63" s="88"/>
      <c r="I63" s="89"/>
      <c r="J63" s="89"/>
      <c r="K63" s="90"/>
    </row>
    <row r="64" spans="1:12">
      <c r="A64" s="16" t="s">
        <v>44368</v>
      </c>
      <c r="B64" s="233" t="s">
        <v>41832</v>
      </c>
      <c r="C64" s="14"/>
      <c r="D64" s="14"/>
      <c r="E64" s="14"/>
      <c r="F64" s="14" t="s">
        <v>44370</v>
      </c>
      <c r="G64" s="14" t="s">
        <v>41832</v>
      </c>
      <c r="H64" s="88"/>
      <c r="I64" s="89"/>
      <c r="J64" s="89"/>
      <c r="K64" s="90"/>
    </row>
    <row r="65" spans="1:12">
      <c r="A65" s="16" t="s">
        <v>41786</v>
      </c>
      <c r="B65" s="234" t="s">
        <v>41798</v>
      </c>
      <c r="C65" s="14" t="s">
        <v>41787</v>
      </c>
      <c r="D65" s="14" t="s">
        <v>44369</v>
      </c>
      <c r="E65" s="14"/>
      <c r="F65" s="14" t="s">
        <v>41786</v>
      </c>
      <c r="G65" s="14" t="s">
        <v>41798</v>
      </c>
      <c r="H65" s="88" t="s">
        <v>41787</v>
      </c>
      <c r="I65" s="89" t="s">
        <v>44369</v>
      </c>
      <c r="J65" s="89"/>
      <c r="K65" s="90"/>
    </row>
    <row r="66" spans="1:12">
      <c r="A66" s="16">
        <v>23.78</v>
      </c>
      <c r="B66" s="14">
        <v>0.19</v>
      </c>
      <c r="C66" s="14">
        <v>0.19</v>
      </c>
      <c r="D66" s="14">
        <f>C66*B66*A66</f>
        <v>0.85845800000000005</v>
      </c>
      <c r="E66" s="14"/>
      <c r="F66" s="14">
        <v>19.78</v>
      </c>
      <c r="G66" s="14">
        <v>0.19</v>
      </c>
      <c r="H66" s="88">
        <v>0.19</v>
      </c>
      <c r="I66" s="89">
        <f>H66*G66*F66</f>
        <v>0.71405800000000008</v>
      </c>
      <c r="J66" s="89"/>
      <c r="K66" s="90"/>
    </row>
    <row r="67" spans="1:12">
      <c r="A67" s="91"/>
      <c r="B67" s="88"/>
      <c r="C67" s="88"/>
      <c r="D67" s="88"/>
      <c r="E67" s="88"/>
      <c r="F67" s="88"/>
      <c r="G67" s="88"/>
      <c r="H67" s="88"/>
      <c r="I67" s="89"/>
      <c r="J67" s="89"/>
      <c r="K67" s="90"/>
    </row>
    <row r="68" spans="1:12">
      <c r="A68" s="91" t="s">
        <v>41797</v>
      </c>
      <c r="B68" s="88"/>
      <c r="C68" s="88">
        <f>SUM(D58,I58,D62,I62,D66,I66)</f>
        <v>5.9662469999999992</v>
      </c>
      <c r="D68" s="88" t="str">
        <f>K53</f>
        <v>M3</v>
      </c>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C68</f>
        <v>5.9662469999999992</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12065</v>
      </c>
      <c r="B73" s="1174" t="str">
        <f>VLOOKUP($A73, 'Plan Orçamentária'!$Q$2:$S$128267,2,FALSE)</f>
        <v>DIVISÓRIA EM PLACAS DUPLAS DE GESSO ACARTONADO, RESISTÊNCIA AO FOGO 60 MINUTOS, ESPESSURA 120/70MM - 2ST / 2ST LM</v>
      </c>
      <c r="C73" s="1174"/>
      <c r="D73" s="1174"/>
      <c r="E73" s="1174"/>
      <c r="F73" s="1174"/>
      <c r="G73" s="1174"/>
      <c r="H73" s="1174"/>
      <c r="I73" s="1174"/>
      <c r="J73" s="1174"/>
      <c r="K73" s="12" t="str">
        <f>VLOOKUP($A73,'Plan Orçamentária'!$Q$2:$S$138267,3,FALSE)</f>
        <v>M2</v>
      </c>
      <c r="L73" s="15">
        <f>J91</f>
        <v>151.08000000000001</v>
      </c>
    </row>
    <row r="74" spans="1:12">
      <c r="A74" s="86" t="s">
        <v>44337</v>
      </c>
      <c r="B74" s="14"/>
      <c r="C74" s="14"/>
      <c r="D74" s="14"/>
      <c r="E74" s="14"/>
      <c r="F74" s="14"/>
      <c r="G74" s="14"/>
      <c r="H74" s="14"/>
      <c r="I74" s="14"/>
      <c r="J74" s="14"/>
      <c r="K74" s="87"/>
    </row>
    <row r="75" spans="1:12" ht="16.5" customHeight="1">
      <c r="A75" s="16" t="s">
        <v>44343</v>
      </c>
      <c r="B75" s="14"/>
      <c r="C75" s="14"/>
      <c r="D75" s="14"/>
      <c r="E75" s="14"/>
      <c r="F75" s="14"/>
      <c r="G75" s="14"/>
      <c r="H75" s="14"/>
      <c r="I75" s="14"/>
      <c r="J75" s="14"/>
      <c r="K75" s="87"/>
    </row>
    <row r="76" spans="1:12" ht="16.5" customHeight="1">
      <c r="A76" s="16"/>
      <c r="B76" s="233"/>
      <c r="C76" s="14"/>
      <c r="D76" s="14"/>
      <c r="E76" s="14"/>
      <c r="F76" s="14"/>
      <c r="G76" s="14"/>
      <c r="H76" s="14"/>
      <c r="I76" s="14"/>
      <c r="J76" s="14"/>
      <c r="K76" s="87"/>
    </row>
    <row r="77" spans="1:12" ht="16.5" customHeight="1">
      <c r="A77" s="16"/>
      <c r="B77" s="234"/>
      <c r="C77" s="14"/>
      <c r="D77" s="14"/>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t="s">
        <v>44371</v>
      </c>
      <c r="J79" s="14">
        <v>151.08000000000001</v>
      </c>
      <c r="K79" s="87" t="str">
        <f>K73</f>
        <v>M2</v>
      </c>
    </row>
    <row r="80" spans="1:12">
      <c r="A80" s="16"/>
      <c r="B80" s="233"/>
      <c r="C80" s="14"/>
      <c r="D80" s="14"/>
      <c r="E80" s="14"/>
      <c r="F80" s="14"/>
      <c r="G80" s="14"/>
      <c r="H80" s="14"/>
      <c r="I80" s="14"/>
      <c r="J80" s="14"/>
      <c r="K80" s="87"/>
    </row>
    <row r="81" spans="1:12">
      <c r="A81" s="16"/>
      <c r="B81" s="23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233"/>
      <c r="C84" s="14"/>
      <c r="D84" s="14"/>
      <c r="E84" s="14"/>
      <c r="F84" s="14"/>
      <c r="G84" s="14"/>
      <c r="H84" s="88"/>
      <c r="I84" s="89"/>
      <c r="J84" s="89"/>
      <c r="K84" s="90"/>
    </row>
    <row r="85" spans="1:12">
      <c r="A85" s="16"/>
      <c r="B85" s="234"/>
      <c r="C85" s="14"/>
      <c r="D85" s="14"/>
      <c r="E85" s="14"/>
      <c r="F85" s="14"/>
      <c r="G85" s="14"/>
      <c r="H85" s="88"/>
      <c r="I85" s="89"/>
      <c r="J85" s="89"/>
      <c r="K85" s="90"/>
    </row>
    <row r="86" spans="1:12">
      <c r="A86" s="16"/>
      <c r="B86" s="14"/>
      <c r="C86" s="14"/>
      <c r="D86" s="14"/>
      <c r="E86" s="14"/>
      <c r="F86" s="14"/>
      <c r="G86" s="14"/>
      <c r="H86" s="88"/>
      <c r="I86" s="89"/>
      <c r="J86" s="89"/>
      <c r="K86" s="90"/>
    </row>
    <row r="87" spans="1:12">
      <c r="A87" s="91"/>
      <c r="B87" s="88"/>
      <c r="C87" s="88"/>
      <c r="D87" s="88"/>
      <c r="E87" s="88"/>
      <c r="F87" s="88"/>
      <c r="G87" s="88"/>
      <c r="H87" s="88"/>
      <c r="I87" s="89"/>
      <c r="J87" s="89"/>
      <c r="K87" s="90"/>
    </row>
    <row r="88" spans="1:12">
      <c r="A88" s="91"/>
      <c r="B88" s="88"/>
      <c r="C88" s="88"/>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J79</f>
        <v>151.08000000000001</v>
      </c>
      <c r="K91" s="1178"/>
    </row>
    <row r="92" spans="1:12" ht="22">
      <c r="A92" s="4" t="s">
        <v>28028</v>
      </c>
      <c r="B92" s="1173" t="s">
        <v>28029</v>
      </c>
      <c r="C92" s="1173"/>
      <c r="D92" s="1173"/>
      <c r="E92" s="1173"/>
      <c r="F92" s="1173"/>
      <c r="G92" s="1173"/>
      <c r="H92" s="1173"/>
      <c r="I92" s="1173"/>
      <c r="J92" s="1173"/>
      <c r="K92" s="5" t="s">
        <v>28030</v>
      </c>
    </row>
    <row r="93" spans="1:12" ht="22" customHeight="1" thickBot="1">
      <c r="A93" s="94" t="s">
        <v>22917</v>
      </c>
      <c r="B93" s="1174" t="str">
        <f>VLOOKUP($A93, 'Plan Orçamentária'!$Q$2:$S$128267,2,FALSE)</f>
        <v>FD-24 FECHAMENTO DE DIVISA COM GRADIL ELETROFUNDIDO / BROCA (H=235CM)</v>
      </c>
      <c r="C93" s="1174"/>
      <c r="D93" s="1174"/>
      <c r="E93" s="1174"/>
      <c r="F93" s="1174"/>
      <c r="G93" s="1174"/>
      <c r="H93" s="1174"/>
      <c r="I93" s="1174"/>
      <c r="J93" s="1174"/>
      <c r="K93" s="12" t="str">
        <f>VLOOKUP($A93,'Plan Orçamentária'!$Q$2:$S$138267,3,FALSE)</f>
        <v>M</v>
      </c>
      <c r="L93" s="15">
        <f>J111</f>
        <v>34.22</v>
      </c>
    </row>
    <row r="94" spans="1:12">
      <c r="A94" s="86" t="s">
        <v>44337</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t="s">
        <v>44372</v>
      </c>
      <c r="B96" s="233"/>
      <c r="C96" s="14">
        <f>2.25+16.2+0.1+0.27</f>
        <v>18.82</v>
      </c>
      <c r="D96" s="14" t="s">
        <v>165</v>
      </c>
      <c r="E96" s="14"/>
      <c r="F96" s="14"/>
      <c r="G96" s="14"/>
      <c r="H96" s="14"/>
      <c r="I96" s="14"/>
      <c r="J96" s="14"/>
      <c r="K96" s="87"/>
    </row>
    <row r="97" spans="1:11" ht="16.5" customHeight="1">
      <c r="A97" s="16" t="s">
        <v>44373</v>
      </c>
      <c r="B97" s="234"/>
      <c r="C97" s="14">
        <v>15.4</v>
      </c>
      <c r="D97" s="14" t="s">
        <v>165</v>
      </c>
      <c r="E97" s="14"/>
      <c r="F97" s="14"/>
      <c r="G97" s="14"/>
      <c r="H97" s="14"/>
      <c r="I97" s="14"/>
      <c r="J97" s="14"/>
      <c r="K97" s="87"/>
    </row>
    <row r="98" spans="1:11">
      <c r="A98" s="16"/>
      <c r="B98" s="14"/>
      <c r="C98" s="14"/>
      <c r="D98" s="14"/>
      <c r="E98" s="14"/>
      <c r="F98" s="14"/>
      <c r="G98" s="14"/>
      <c r="H98" s="14"/>
      <c r="I98" s="14"/>
      <c r="J98" s="14"/>
      <c r="K98" s="87"/>
    </row>
    <row r="99" spans="1:11" s="57" customFormat="1">
      <c r="A99" s="209" t="s">
        <v>27889</v>
      </c>
      <c r="B99" s="208">
        <f>SUM(C96:C97)</f>
        <v>34.22</v>
      </c>
      <c r="C99" s="208" t="str">
        <f>K93</f>
        <v>M</v>
      </c>
      <c r="D99" s="14"/>
      <c r="E99" s="14"/>
      <c r="F99" s="14"/>
      <c r="G99" s="14"/>
      <c r="H99" s="14"/>
      <c r="I99" s="14"/>
      <c r="J99" s="14"/>
      <c r="K99" s="87"/>
    </row>
    <row r="100" spans="1:11">
      <c r="A100" s="16"/>
      <c r="B100" s="233"/>
      <c r="C100" s="14"/>
      <c r="D100" s="14"/>
      <c r="E100" s="14"/>
      <c r="F100" s="14"/>
      <c r="G100" s="14"/>
      <c r="H100" s="14"/>
      <c r="I100" s="14"/>
      <c r="J100" s="14"/>
      <c r="K100" s="87"/>
    </row>
    <row r="101" spans="1:11">
      <c r="A101" s="16"/>
      <c r="B101" s="23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233"/>
      <c r="C104" s="14"/>
      <c r="D104" s="14"/>
      <c r="E104" s="14"/>
      <c r="F104" s="14"/>
      <c r="G104" s="14"/>
      <c r="H104" s="88"/>
      <c r="I104" s="89"/>
      <c r="J104" s="89"/>
      <c r="K104" s="90"/>
    </row>
    <row r="105" spans="1:11">
      <c r="A105" s="16"/>
      <c r="B105" s="234"/>
      <c r="C105" s="14"/>
      <c r="D105" s="14"/>
      <c r="E105" s="14"/>
      <c r="F105" s="14"/>
      <c r="G105" s="14"/>
      <c r="H105" s="88"/>
      <c r="I105" s="89"/>
      <c r="J105" s="89"/>
      <c r="K105" s="90"/>
    </row>
    <row r="106" spans="1:11">
      <c r="A106" s="16"/>
      <c r="B106" s="14"/>
      <c r="C106" s="14"/>
      <c r="D106" s="14"/>
      <c r="E106" s="14"/>
      <c r="F106" s="14"/>
      <c r="G106" s="14"/>
      <c r="H106" s="88"/>
      <c r="I106" s="89"/>
      <c r="J106" s="89"/>
      <c r="K106" s="90"/>
    </row>
    <row r="107" spans="1:11">
      <c r="A107" s="91"/>
      <c r="B107" s="88"/>
      <c r="C107" s="88"/>
      <c r="D107" s="88"/>
      <c r="E107" s="88"/>
      <c r="F107" s="88"/>
      <c r="G107" s="88"/>
      <c r="H107" s="88"/>
      <c r="I107" s="89"/>
      <c r="J107" s="89"/>
      <c r="K107" s="90"/>
    </row>
    <row r="108" spans="1:11">
      <c r="A108" s="91"/>
      <c r="B108" s="88"/>
      <c r="C108" s="88"/>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B99</f>
        <v>34.22</v>
      </c>
      <c r="K111" s="1178"/>
    </row>
  </sheetData>
  <mergeCells count="23">
    <mergeCell ref="J111:K111"/>
    <mergeCell ref="A1:K1"/>
    <mergeCell ref="A2:K10"/>
    <mergeCell ref="B11:K11"/>
    <mergeCell ref="B92:J92"/>
    <mergeCell ref="B93:J93"/>
    <mergeCell ref="J110:K110"/>
    <mergeCell ref="B72:J72"/>
    <mergeCell ref="B73:J73"/>
    <mergeCell ref="J90:K90"/>
    <mergeCell ref="J91:K91"/>
    <mergeCell ref="B12:J12"/>
    <mergeCell ref="B13:J13"/>
    <mergeCell ref="J30:K30"/>
    <mergeCell ref="J31:K31"/>
    <mergeCell ref="B32:J32"/>
    <mergeCell ref="J70:K70"/>
    <mergeCell ref="J71:K71"/>
    <mergeCell ref="B33:J33"/>
    <mergeCell ref="J50:K50"/>
    <mergeCell ref="J51:K51"/>
    <mergeCell ref="B52:J52"/>
    <mergeCell ref="B53:J53"/>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4DD04-96F2-4F91-BB23-6BC8A552D265}">
  <sheetPr codeName="Planilha30">
    <pageSetUpPr fitToPage="1"/>
  </sheetPr>
  <dimension ref="A1:L311"/>
  <sheetViews>
    <sheetView view="pageBreakPreview" topLeftCell="A110"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44421</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13225</v>
      </c>
      <c r="B13" s="1174" t="str">
        <f>VLOOKUP($A13, 'Plan Orçamentária'!$Q$2:$S$128267,2,FALSE)</f>
        <v>CAIXILHO EM ALUMÍNIO MAXIM-AR, SOB MEDIDA</v>
      </c>
      <c r="C13" s="1174"/>
      <c r="D13" s="1174"/>
      <c r="E13" s="1174"/>
      <c r="F13" s="1174"/>
      <c r="G13" s="1174"/>
      <c r="H13" s="1174"/>
      <c r="I13" s="1174"/>
      <c r="J13" s="1174"/>
      <c r="K13" s="12" t="str">
        <f>VLOOKUP($A13,'Plan Orçamentária'!$Q$2:$S$138267,3,FALSE)</f>
        <v>M2</v>
      </c>
      <c r="L13" s="15">
        <f>J31</f>
        <v>53.230000000000004</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c r="B16" s="786" t="s">
        <v>41798</v>
      </c>
      <c r="C16" s="787" t="s">
        <v>41787</v>
      </c>
      <c r="D16" s="787" t="s">
        <v>44397</v>
      </c>
      <c r="E16" s="787" t="s">
        <v>44398</v>
      </c>
      <c r="F16" s="14"/>
      <c r="G16" s="14"/>
      <c r="H16" s="14"/>
      <c r="I16" s="14"/>
      <c r="J16" s="14"/>
      <c r="K16" s="87"/>
    </row>
    <row r="17" spans="1:11" ht="16.5" customHeight="1">
      <c r="A17" s="16" t="s">
        <v>44399</v>
      </c>
      <c r="B17" s="788">
        <v>1.2</v>
      </c>
      <c r="C17" s="787">
        <v>0.8</v>
      </c>
      <c r="D17" s="787">
        <v>3</v>
      </c>
      <c r="E17" s="787">
        <f>(B17*C17)*D17</f>
        <v>2.88</v>
      </c>
      <c r="F17" s="14"/>
      <c r="G17" s="14"/>
      <c r="H17" s="14"/>
      <c r="I17" s="14"/>
      <c r="J17" s="14"/>
      <c r="K17" s="87"/>
    </row>
    <row r="18" spans="1:11">
      <c r="A18" s="16" t="s">
        <v>44400</v>
      </c>
      <c r="B18" s="787">
        <v>2.2000000000000002</v>
      </c>
      <c r="C18" s="787">
        <v>0.6</v>
      </c>
      <c r="D18" s="787">
        <v>1</v>
      </c>
      <c r="E18" s="787">
        <f t="shared" ref="E18:E24" si="0">(B18*C18)*D18</f>
        <v>1.32</v>
      </c>
      <c r="F18" s="14"/>
      <c r="G18" s="14"/>
      <c r="H18" s="14"/>
      <c r="I18" s="14"/>
      <c r="J18" s="14"/>
      <c r="K18" s="87"/>
    </row>
    <row r="19" spans="1:11" s="57" customFormat="1">
      <c r="A19" s="209" t="s">
        <v>44401</v>
      </c>
      <c r="B19" s="789">
        <v>2.2999999999999998</v>
      </c>
      <c r="C19" s="789">
        <v>0.7</v>
      </c>
      <c r="D19" s="787">
        <v>3</v>
      </c>
      <c r="E19" s="787">
        <f t="shared" si="0"/>
        <v>4.83</v>
      </c>
      <c r="F19" s="14"/>
      <c r="G19" s="14"/>
      <c r="H19" s="14"/>
      <c r="I19" s="14"/>
      <c r="J19" s="14"/>
      <c r="K19" s="87"/>
    </row>
    <row r="20" spans="1:11">
      <c r="A20" s="16" t="s">
        <v>44402</v>
      </c>
      <c r="B20" s="787">
        <v>3</v>
      </c>
      <c r="C20" s="787">
        <v>0.6</v>
      </c>
      <c r="D20" s="787">
        <v>3</v>
      </c>
      <c r="E20" s="787">
        <f t="shared" si="0"/>
        <v>5.3999999999999995</v>
      </c>
      <c r="F20" s="14"/>
      <c r="G20" s="14"/>
      <c r="H20" s="14"/>
      <c r="I20" s="14"/>
      <c r="J20" s="14"/>
      <c r="K20" s="87"/>
    </row>
    <row r="21" spans="1:11">
      <c r="A21" s="1185" t="s">
        <v>44403</v>
      </c>
      <c r="B21" s="787">
        <v>1.92</v>
      </c>
      <c r="C21" s="787">
        <v>2.6</v>
      </c>
      <c r="D21" s="787">
        <v>1</v>
      </c>
      <c r="E21" s="787">
        <f t="shared" si="0"/>
        <v>4.992</v>
      </c>
      <c r="F21" s="14"/>
      <c r="G21" s="14"/>
      <c r="H21" s="14"/>
      <c r="I21" s="14"/>
      <c r="J21" s="14"/>
      <c r="K21" s="87"/>
    </row>
    <row r="22" spans="1:11">
      <c r="A22" s="1185"/>
      <c r="B22" s="787">
        <v>4.8</v>
      </c>
      <c r="C22" s="787">
        <v>2.6</v>
      </c>
      <c r="D22" s="791">
        <v>1</v>
      </c>
      <c r="E22" s="787">
        <f t="shared" si="0"/>
        <v>12.48</v>
      </c>
      <c r="F22" s="14"/>
      <c r="G22" s="14"/>
      <c r="H22" s="88"/>
      <c r="I22" s="89"/>
      <c r="J22" s="89"/>
      <c r="K22" s="90"/>
    </row>
    <row r="23" spans="1:11">
      <c r="A23" s="1185" t="s">
        <v>44404</v>
      </c>
      <c r="B23" s="787">
        <v>8.58</v>
      </c>
      <c r="C23" s="787">
        <v>1.6</v>
      </c>
      <c r="D23" s="787">
        <v>1</v>
      </c>
      <c r="E23" s="787">
        <f t="shared" si="0"/>
        <v>13.728000000000002</v>
      </c>
      <c r="F23" s="14"/>
      <c r="G23" s="14"/>
      <c r="H23" s="14"/>
      <c r="I23" s="14"/>
      <c r="J23" s="14"/>
      <c r="K23" s="87"/>
    </row>
    <row r="24" spans="1:11">
      <c r="A24" s="1185"/>
      <c r="B24" s="787">
        <v>4.75</v>
      </c>
      <c r="C24" s="787">
        <v>1.6</v>
      </c>
      <c r="D24" s="791">
        <v>1</v>
      </c>
      <c r="E24" s="787">
        <f t="shared" si="0"/>
        <v>7.6000000000000005</v>
      </c>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SUM(E17:E24)</f>
        <v>53.230000000000004</v>
      </c>
      <c r="C28" s="88" t="str">
        <f>K13</f>
        <v>M2</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53.230000000000004</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13341</v>
      </c>
      <c r="B33" s="1174" t="str">
        <f>VLOOKUP($A33, 'Plan Orçamentária'!$Q$2:$S$128267,2,FALSE)</f>
        <v>VIDRO TEMPERADO INCOLOR DE 6 MM</v>
      </c>
      <c r="C33" s="1174"/>
      <c r="D33" s="1174"/>
      <c r="E33" s="1174"/>
      <c r="F33" s="1174"/>
      <c r="G33" s="1174"/>
      <c r="H33" s="1174"/>
      <c r="I33" s="1174"/>
      <c r="J33" s="1174"/>
      <c r="K33" s="12" t="str">
        <f>VLOOKUP($A33,'Plan Orçamentária'!$Q$2:$S$138267,3,FALSE)</f>
        <v>M2</v>
      </c>
      <c r="L33" s="15">
        <f>J51</f>
        <v>14.43</v>
      </c>
    </row>
    <row r="34" spans="1:12">
      <c r="A34" s="86" t="s">
        <v>44396</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c r="B36" s="786" t="s">
        <v>41798</v>
      </c>
      <c r="C36" s="787" t="s">
        <v>41787</v>
      </c>
      <c r="D36" s="787" t="s">
        <v>44397</v>
      </c>
      <c r="E36" s="787" t="s">
        <v>44398</v>
      </c>
      <c r="F36" s="14"/>
      <c r="G36" s="14"/>
      <c r="H36" s="14"/>
      <c r="I36" s="14"/>
      <c r="J36" s="14"/>
      <c r="K36" s="87"/>
    </row>
    <row r="37" spans="1:12" ht="16.5" customHeight="1">
      <c r="A37" s="16" t="s">
        <v>44399</v>
      </c>
      <c r="B37" s="788">
        <v>1.2</v>
      </c>
      <c r="C37" s="787">
        <v>0.8</v>
      </c>
      <c r="D37" s="787">
        <v>3</v>
      </c>
      <c r="E37" s="787">
        <f>(B37*C37)*D37</f>
        <v>2.88</v>
      </c>
      <c r="F37" s="14"/>
      <c r="G37" s="14"/>
      <c r="H37" s="14"/>
      <c r="I37" s="14"/>
      <c r="J37" s="14"/>
      <c r="K37" s="87"/>
    </row>
    <row r="38" spans="1:12">
      <c r="A38" s="16" t="s">
        <v>44400</v>
      </c>
      <c r="B38" s="787">
        <v>2.2000000000000002</v>
      </c>
      <c r="C38" s="787">
        <v>0.6</v>
      </c>
      <c r="D38" s="787">
        <v>1</v>
      </c>
      <c r="E38" s="787">
        <f t="shared" ref="E38:E40" si="1">(B38*C38)*D38</f>
        <v>1.32</v>
      </c>
      <c r="F38" s="14"/>
      <c r="G38" s="14"/>
      <c r="H38" s="14"/>
      <c r="I38" s="14"/>
      <c r="J38" s="14"/>
      <c r="K38" s="87"/>
    </row>
    <row r="39" spans="1:12" s="57" customFormat="1">
      <c r="A39" s="209" t="s">
        <v>44401</v>
      </c>
      <c r="B39" s="789">
        <v>2.2999999999999998</v>
      </c>
      <c r="C39" s="789">
        <v>0.7</v>
      </c>
      <c r="D39" s="787">
        <v>3</v>
      </c>
      <c r="E39" s="787">
        <f t="shared" si="1"/>
        <v>4.83</v>
      </c>
      <c r="F39" s="14"/>
      <c r="G39" s="14"/>
      <c r="H39" s="14"/>
      <c r="I39" s="14"/>
      <c r="J39" s="14"/>
      <c r="K39" s="87"/>
    </row>
    <row r="40" spans="1:12">
      <c r="A40" s="16" t="s">
        <v>44402</v>
      </c>
      <c r="B40" s="787">
        <v>3</v>
      </c>
      <c r="C40" s="787">
        <v>0.6</v>
      </c>
      <c r="D40" s="787">
        <v>3</v>
      </c>
      <c r="E40" s="787">
        <f t="shared" si="1"/>
        <v>5.3999999999999995</v>
      </c>
      <c r="F40" s="14"/>
      <c r="G40" s="14"/>
      <c r="H40" s="14"/>
      <c r="I40" s="14"/>
      <c r="J40" s="14"/>
      <c r="K40" s="87"/>
    </row>
    <row r="41" spans="1:12">
      <c r="A41" s="16"/>
      <c r="B41" s="14"/>
      <c r="C41" s="14"/>
      <c r="D41" s="88"/>
      <c r="E41" s="14"/>
      <c r="F41" s="14"/>
      <c r="G41" s="14"/>
      <c r="H41" s="88"/>
      <c r="I41" s="89"/>
      <c r="J41" s="89"/>
      <c r="K41" s="90"/>
    </row>
    <row r="42" spans="1:12">
      <c r="A42" s="16"/>
      <c r="B42" s="14"/>
      <c r="C42" s="14"/>
      <c r="D42" s="88"/>
      <c r="E42" s="14"/>
      <c r="F42" s="14"/>
      <c r="G42" s="14"/>
      <c r="H42" s="88"/>
      <c r="I42" s="89"/>
      <c r="J42" s="89"/>
      <c r="K42" s="90"/>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SUM(E37:E40)</f>
        <v>14.43</v>
      </c>
      <c r="C48" s="88" t="str">
        <f>K33</f>
        <v>M2</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14.43</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13345</v>
      </c>
      <c r="B53" s="1174" t="str">
        <f>VLOOKUP($A53, 'Plan Orçamentária'!$Q$2:$S$128267,2,FALSE)</f>
        <v>VIDRO TEMPERADO INCOLOR DE 10 MM</v>
      </c>
      <c r="C53" s="1174"/>
      <c r="D53" s="1174"/>
      <c r="E53" s="1174"/>
      <c r="F53" s="1174"/>
      <c r="G53" s="1174"/>
      <c r="H53" s="1174"/>
      <c r="I53" s="1174"/>
      <c r="J53" s="1174"/>
      <c r="K53" s="12" t="str">
        <f>VLOOKUP($A53,'Plan Orçamentária'!$Q$2:$S$138267,3,FALSE)</f>
        <v>M2</v>
      </c>
      <c r="L53" s="15">
        <f>J71</f>
        <v>48.178800000000003</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786" t="s">
        <v>41798</v>
      </c>
      <c r="C56" s="787" t="s">
        <v>41787</v>
      </c>
      <c r="D56" s="787" t="s">
        <v>44397</v>
      </c>
      <c r="E56" s="787" t="s">
        <v>44398</v>
      </c>
      <c r="F56" s="14"/>
      <c r="G56" s="14"/>
      <c r="H56" s="14"/>
      <c r="I56" s="14"/>
      <c r="J56" s="14"/>
      <c r="K56" s="87"/>
    </row>
    <row r="57" spans="1:12">
      <c r="A57" s="1185" t="s">
        <v>44403</v>
      </c>
      <c r="B57" s="787">
        <v>1.92</v>
      </c>
      <c r="C57" s="787">
        <v>2.6</v>
      </c>
      <c r="D57" s="787">
        <v>1</v>
      </c>
      <c r="E57" s="787">
        <f t="shared" ref="E57:E60" si="2">(B57*C57)*D57</f>
        <v>4.992</v>
      </c>
      <c r="F57" s="14"/>
      <c r="G57" s="14"/>
      <c r="H57" s="14"/>
      <c r="I57" s="14"/>
      <c r="J57" s="14"/>
      <c r="K57" s="87"/>
    </row>
    <row r="58" spans="1:12">
      <c r="A58" s="1185"/>
      <c r="B58" s="787">
        <v>4.8</v>
      </c>
      <c r="C58" s="787">
        <v>2.6</v>
      </c>
      <c r="D58" s="791">
        <v>1</v>
      </c>
      <c r="E58" s="787">
        <f t="shared" si="2"/>
        <v>12.48</v>
      </c>
      <c r="F58" s="14"/>
      <c r="G58" s="14"/>
      <c r="H58" s="14"/>
      <c r="I58" s="14"/>
      <c r="J58" s="14"/>
      <c r="K58" s="87"/>
    </row>
    <row r="59" spans="1:12">
      <c r="A59" s="1185" t="s">
        <v>44404</v>
      </c>
      <c r="B59" s="787">
        <v>8.58</v>
      </c>
      <c r="C59" s="787">
        <v>1.6</v>
      </c>
      <c r="D59" s="787">
        <v>1</v>
      </c>
      <c r="E59" s="787">
        <f t="shared" si="2"/>
        <v>13.728000000000002</v>
      </c>
      <c r="F59" s="14"/>
      <c r="G59" s="14"/>
      <c r="H59" s="88"/>
      <c r="I59" s="89"/>
      <c r="J59" s="89"/>
      <c r="K59" s="90"/>
    </row>
    <row r="60" spans="1:12">
      <c r="A60" s="1185"/>
      <c r="B60" s="787">
        <v>4.75</v>
      </c>
      <c r="C60" s="787">
        <v>1.6</v>
      </c>
      <c r="D60" s="791">
        <v>1</v>
      </c>
      <c r="E60" s="787">
        <f t="shared" si="2"/>
        <v>7.6000000000000005</v>
      </c>
      <c r="F60" s="14"/>
      <c r="G60" s="14"/>
      <c r="H60" s="88"/>
      <c r="I60" s="89"/>
      <c r="J60" s="89"/>
      <c r="K60" s="90"/>
    </row>
    <row r="61" spans="1:12">
      <c r="A61" s="16"/>
      <c r="B61" s="786" t="s">
        <v>41798</v>
      </c>
      <c r="C61" s="787" t="s">
        <v>41787</v>
      </c>
      <c r="D61" s="787" t="s">
        <v>44397</v>
      </c>
      <c r="E61" s="787" t="s">
        <v>44398</v>
      </c>
      <c r="F61" s="14"/>
      <c r="G61" s="14"/>
      <c r="H61" s="88"/>
      <c r="I61" s="89"/>
      <c r="J61" s="89"/>
      <c r="K61" s="90"/>
    </row>
    <row r="62" spans="1:12">
      <c r="A62" s="16" t="s">
        <v>44415</v>
      </c>
      <c r="B62" s="788">
        <v>0.7</v>
      </c>
      <c r="C62" s="787">
        <v>2.12</v>
      </c>
      <c r="D62" s="787">
        <v>2</v>
      </c>
      <c r="E62" s="787">
        <f>(B62*C62)*D62</f>
        <v>2.968</v>
      </c>
      <c r="F62" s="14"/>
      <c r="G62" s="14"/>
      <c r="H62" s="88"/>
      <c r="I62" s="89"/>
      <c r="J62" s="89"/>
      <c r="K62" s="90"/>
    </row>
    <row r="63" spans="1:12">
      <c r="A63" s="16" t="s">
        <v>44416</v>
      </c>
      <c r="B63" s="787">
        <v>0.56999999999999995</v>
      </c>
      <c r="C63" s="787">
        <v>1.97</v>
      </c>
      <c r="D63" s="787">
        <v>2</v>
      </c>
      <c r="E63" s="787">
        <f t="shared" ref="E63:E64" si="3">(B63*C63)*D63</f>
        <v>2.2457999999999996</v>
      </c>
      <c r="F63" s="88"/>
      <c r="G63" s="88"/>
      <c r="H63" s="88"/>
      <c r="I63" s="89"/>
      <c r="J63" s="89"/>
      <c r="K63" s="90"/>
    </row>
    <row r="64" spans="1:12">
      <c r="A64" s="209" t="s">
        <v>44417</v>
      </c>
      <c r="B64" s="789">
        <v>0.85</v>
      </c>
      <c r="C64" s="789">
        <v>2.4500000000000002</v>
      </c>
      <c r="D64" s="787">
        <v>2</v>
      </c>
      <c r="E64" s="787">
        <f t="shared" si="3"/>
        <v>4.165</v>
      </c>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t="s">
        <v>28031</v>
      </c>
      <c r="B68" s="88">
        <f>SUM(E57:E64)</f>
        <v>48.178800000000003</v>
      </c>
      <c r="C68" s="88" t="str">
        <f>K53</f>
        <v>M2</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48.178800000000003</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13283</v>
      </c>
      <c r="B73" s="1174" t="str">
        <f>VLOOKUP($A73, 'Plan Orçamentária'!$Q$2:$S$128267,2,FALSE)</f>
        <v>PORTA/PORTINHOLA TIPO VENEZIANA DE ABRIR EM ALUMÍNIO, SOB MEDIDA</v>
      </c>
      <c r="C73" s="1174"/>
      <c r="D73" s="1174"/>
      <c r="E73" s="1174"/>
      <c r="F73" s="1174"/>
      <c r="G73" s="1174"/>
      <c r="H73" s="1174"/>
      <c r="I73" s="1174"/>
      <c r="J73" s="1174"/>
      <c r="K73" s="12" t="str">
        <f>VLOOKUP($A73,'Plan Orçamentária'!$Q$2:$S$138267,3,FALSE)</f>
        <v>M2</v>
      </c>
      <c r="L73" s="15">
        <f>J91</f>
        <v>4.8800000000000008</v>
      </c>
    </row>
    <row r="74" spans="1:12">
      <c r="A74" s="86" t="s">
        <v>44396</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786" t="s">
        <v>41798</v>
      </c>
      <c r="C76" s="787" t="s">
        <v>41787</v>
      </c>
      <c r="D76" s="787" t="s">
        <v>44397</v>
      </c>
      <c r="E76" s="787" t="s">
        <v>44398</v>
      </c>
      <c r="F76" s="14"/>
      <c r="G76" s="14"/>
      <c r="H76" s="14"/>
      <c r="I76" s="14"/>
      <c r="J76" s="14"/>
      <c r="K76" s="87"/>
    </row>
    <row r="77" spans="1:12" ht="16.5" customHeight="1">
      <c r="A77" s="16" t="s">
        <v>44405</v>
      </c>
      <c r="B77" s="788">
        <v>0.8</v>
      </c>
      <c r="C77" s="787">
        <v>2.1</v>
      </c>
      <c r="D77" s="787">
        <v>2</v>
      </c>
      <c r="E77" s="787">
        <f>(B77*C77)*D77</f>
        <v>3.3600000000000003</v>
      </c>
      <c r="F77" s="14"/>
      <c r="G77" s="14"/>
      <c r="H77" s="14"/>
      <c r="I77" s="14"/>
      <c r="J77" s="14"/>
      <c r="K77" s="87"/>
    </row>
    <row r="78" spans="1:12">
      <c r="A78" s="16" t="s">
        <v>44414</v>
      </c>
      <c r="B78" s="788">
        <v>0.8</v>
      </c>
      <c r="C78" s="787">
        <v>1.9</v>
      </c>
      <c r="D78" s="787">
        <v>1</v>
      </c>
      <c r="E78" s="787">
        <f>(B78*C78)*D78</f>
        <v>1.52</v>
      </c>
      <c r="F78" s="14"/>
      <c r="G78" s="14"/>
      <c r="H78" s="14"/>
      <c r="I78" s="14"/>
      <c r="J78" s="14"/>
      <c r="K78" s="87"/>
    </row>
    <row r="79" spans="1:12" s="57" customFormat="1">
      <c r="A79" s="209"/>
      <c r="B79" s="789"/>
      <c r="C79" s="789"/>
      <c r="D79" s="787"/>
      <c r="E79" s="787"/>
      <c r="F79" s="14"/>
      <c r="G79" s="14"/>
      <c r="H79" s="14"/>
      <c r="I79" s="14"/>
      <c r="J79" s="14"/>
      <c r="K79" s="87"/>
    </row>
    <row r="80" spans="1:12">
      <c r="A80" s="16"/>
      <c r="B80" s="787"/>
      <c r="C80" s="787"/>
      <c r="D80" s="790"/>
      <c r="E80" s="787"/>
      <c r="F80" s="14"/>
      <c r="G80" s="14"/>
      <c r="H80" s="14"/>
      <c r="I80" s="14"/>
      <c r="J80" s="14"/>
      <c r="K80" s="87"/>
    </row>
    <row r="81" spans="1:12">
      <c r="A81" s="16"/>
      <c r="B81" s="787"/>
      <c r="C81" s="787"/>
      <c r="D81" s="787"/>
      <c r="E81" s="787"/>
      <c r="F81" s="14"/>
      <c r="G81" s="14"/>
      <c r="H81" s="14"/>
      <c r="I81" s="14"/>
      <c r="J81" s="14"/>
      <c r="K81" s="87"/>
    </row>
    <row r="82" spans="1:12">
      <c r="A82" s="1185"/>
      <c r="B82" s="787"/>
      <c r="C82" s="787"/>
      <c r="D82" s="787"/>
      <c r="E82" s="787"/>
      <c r="F82" s="14"/>
      <c r="G82" s="14"/>
      <c r="H82" s="14"/>
      <c r="I82" s="14"/>
      <c r="J82" s="14"/>
      <c r="K82" s="87"/>
    </row>
    <row r="83" spans="1:12">
      <c r="A83" s="1185"/>
      <c r="B83" s="787"/>
      <c r="C83" s="787"/>
      <c r="D83" s="791"/>
      <c r="E83" s="787"/>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88"/>
      <c r="F87" s="88"/>
      <c r="G87" s="88"/>
      <c r="H87" s="88"/>
      <c r="I87" s="89"/>
      <c r="J87" s="89"/>
      <c r="K87" s="90"/>
    </row>
    <row r="88" spans="1:12">
      <c r="A88" s="91" t="s">
        <v>28031</v>
      </c>
      <c r="B88" s="88">
        <f>SUM(E77:E83)</f>
        <v>4.8800000000000008</v>
      </c>
      <c r="C88" s="88" t="str">
        <f>K73</f>
        <v>M2</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4.8800000000000008</v>
      </c>
      <c r="K91" s="1178"/>
    </row>
    <row r="92" spans="1:12" ht="22">
      <c r="A92" s="4" t="s">
        <v>28028</v>
      </c>
      <c r="B92" s="1173" t="s">
        <v>28029</v>
      </c>
      <c r="C92" s="1173"/>
      <c r="D92" s="1173"/>
      <c r="E92" s="1173"/>
      <c r="F92" s="1173"/>
      <c r="G92" s="1173"/>
      <c r="H92" s="1173"/>
      <c r="I92" s="1173"/>
      <c r="J92" s="1173"/>
      <c r="K92" s="5" t="s">
        <v>28030</v>
      </c>
    </row>
    <row r="93" spans="1:12" ht="22" customHeight="1" thickBot="1">
      <c r="A93" s="94" t="s">
        <v>13136</v>
      </c>
      <c r="B93" s="1174" t="str">
        <f>VLOOKUP($A93, 'Plan Orçamentária'!$Q$2:$S$128267,2,FALSE)</f>
        <v>PORTÃO DE SEGURANÇA DE ABRIR EM GRADE DE AÇO SAE 1045 CHAPEADO, PARA MURALHA, DIÂMETRO 1´, COMPLETO, SEM TÊMPERA E REVENIMENTO</v>
      </c>
      <c r="C93" s="1174"/>
      <c r="D93" s="1174"/>
      <c r="E93" s="1174"/>
      <c r="F93" s="1174"/>
      <c r="G93" s="1174"/>
      <c r="H93" s="1174"/>
      <c r="I93" s="1174"/>
      <c r="J93" s="1174"/>
      <c r="K93" s="12" t="str">
        <f>VLOOKUP($A93,'Plan Orçamentária'!$Q$2:$S$138267,3,FALSE)</f>
        <v>M2</v>
      </c>
      <c r="L93" s="15">
        <f>J111</f>
        <v>9.8831999999999987</v>
      </c>
    </row>
    <row r="94" spans="1:12">
      <c r="A94" s="86" t="s">
        <v>44396</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786" t="s">
        <v>41798</v>
      </c>
      <c r="C96" s="787" t="s">
        <v>41787</v>
      </c>
      <c r="D96" s="787" t="s">
        <v>44397</v>
      </c>
      <c r="E96" s="787" t="s">
        <v>44398</v>
      </c>
      <c r="F96" s="14"/>
      <c r="G96" s="14"/>
      <c r="H96" s="14"/>
      <c r="I96" s="14"/>
      <c r="J96" s="14"/>
      <c r="K96" s="87"/>
    </row>
    <row r="97" spans="1:11" ht="16.5" customHeight="1">
      <c r="A97" s="16" t="s">
        <v>44406</v>
      </c>
      <c r="B97" s="787">
        <v>1.74</v>
      </c>
      <c r="C97" s="787">
        <v>2.84</v>
      </c>
      <c r="D97" s="787">
        <v>2</v>
      </c>
      <c r="E97" s="787">
        <f t="shared" ref="E97" si="4">(B97*C97)*D97</f>
        <v>9.8831999999999987</v>
      </c>
      <c r="F97" s="14"/>
      <c r="G97" s="14"/>
      <c r="H97" s="14"/>
      <c r="I97" s="14"/>
      <c r="J97" s="14"/>
      <c r="K97" s="87"/>
    </row>
    <row r="98" spans="1:11">
      <c r="A98" s="16"/>
      <c r="B98" s="787"/>
      <c r="C98" s="787"/>
      <c r="D98" s="787"/>
      <c r="E98" s="787"/>
      <c r="F98" s="14"/>
      <c r="G98" s="14"/>
      <c r="H98" s="14"/>
      <c r="I98" s="14"/>
      <c r="J98" s="14"/>
      <c r="K98" s="87"/>
    </row>
    <row r="99" spans="1:11" s="57" customFormat="1">
      <c r="A99" s="209"/>
      <c r="B99" s="789"/>
      <c r="C99" s="789"/>
      <c r="D99" s="787"/>
      <c r="E99" s="787"/>
      <c r="F99" s="14"/>
      <c r="G99" s="14"/>
      <c r="H99" s="14"/>
      <c r="I99" s="14"/>
      <c r="J99" s="14"/>
      <c r="K99" s="87"/>
    </row>
    <row r="100" spans="1:11">
      <c r="A100" s="16"/>
      <c r="B100" s="787"/>
      <c r="C100" s="787"/>
      <c r="D100" s="790"/>
      <c r="E100" s="787"/>
      <c r="F100" s="14"/>
      <c r="G100" s="14"/>
      <c r="H100" s="14"/>
      <c r="I100" s="14"/>
      <c r="J100" s="14"/>
      <c r="K100" s="87"/>
    </row>
    <row r="101" spans="1:11">
      <c r="A101" s="16"/>
      <c r="B101" s="14"/>
      <c r="C101" s="14"/>
      <c r="D101" s="88"/>
      <c r="E101" s="14"/>
      <c r="F101" s="14"/>
      <c r="G101" s="14"/>
      <c r="H101" s="88"/>
      <c r="I101" s="89"/>
      <c r="J101" s="89"/>
      <c r="K101" s="90"/>
    </row>
    <row r="102" spans="1:11">
      <c r="A102" s="16"/>
      <c r="B102" s="14"/>
      <c r="C102" s="14"/>
      <c r="D102" s="88"/>
      <c r="E102" s="14"/>
      <c r="F102" s="14"/>
      <c r="G102" s="14"/>
      <c r="H102" s="88"/>
      <c r="I102" s="89"/>
      <c r="J102" s="89"/>
      <c r="K102" s="90"/>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88"/>
      <c r="F107" s="88"/>
      <c r="G107" s="88"/>
      <c r="H107" s="88"/>
      <c r="I107" s="89"/>
      <c r="J107" s="89"/>
      <c r="K107" s="90"/>
    </row>
    <row r="108" spans="1:11">
      <c r="A108" s="91" t="s">
        <v>28031</v>
      </c>
      <c r="B108" s="88">
        <f>SUM(E97:E100)</f>
        <v>9.8831999999999987</v>
      </c>
      <c r="C108" s="88" t="str">
        <f>K93</f>
        <v>M2</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9.8831999999999987</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94" t="s">
        <v>13049</v>
      </c>
      <c r="B113" s="1174" t="str">
        <f>VLOOKUP($A113, 'Plan Orçamentária'!$Q$2:$S$128267,2,FALSE)</f>
        <v>PORTA/PORTÃO DE ABRIR EM CHAPA, SOB MEDIDA</v>
      </c>
      <c r="C113" s="1174"/>
      <c r="D113" s="1174"/>
      <c r="E113" s="1174"/>
      <c r="F113" s="1174"/>
      <c r="G113" s="1174"/>
      <c r="H113" s="1174"/>
      <c r="I113" s="1174"/>
      <c r="J113" s="1174"/>
      <c r="K113" s="12" t="str">
        <f>VLOOKUP($A113,'Plan Orçamentária'!$Q$2:$S$138267,3,FALSE)</f>
        <v>M2</v>
      </c>
      <c r="L113" s="15">
        <f>J131</f>
        <v>17.940000000000001</v>
      </c>
    </row>
    <row r="114" spans="1:12">
      <c r="A114" s="86" t="s">
        <v>44396</v>
      </c>
      <c r="B114" s="14"/>
      <c r="C114" s="14"/>
      <c r="D114" s="14"/>
      <c r="E114" s="14"/>
      <c r="F114" s="14"/>
      <c r="G114" s="14"/>
      <c r="H114" s="14"/>
      <c r="I114" s="14"/>
      <c r="J114" s="14"/>
      <c r="K114" s="87"/>
    </row>
    <row r="115" spans="1:12" ht="16.5" customHeight="1">
      <c r="A115" s="16"/>
      <c r="B115" s="14"/>
      <c r="C115" s="14"/>
      <c r="D115" s="14"/>
      <c r="E115" s="14"/>
      <c r="F115" s="14"/>
      <c r="G115" s="14"/>
      <c r="H115" s="14"/>
      <c r="I115" s="14"/>
      <c r="J115" s="14"/>
      <c r="K115" s="87"/>
    </row>
    <row r="116" spans="1:12" ht="16.5" customHeight="1">
      <c r="A116" s="16"/>
      <c r="B116" s="786" t="s">
        <v>41798</v>
      </c>
      <c r="C116" s="787" t="s">
        <v>41787</v>
      </c>
      <c r="D116" s="787" t="s">
        <v>44397</v>
      </c>
      <c r="E116" s="787" t="s">
        <v>44398</v>
      </c>
      <c r="F116" s="14"/>
      <c r="G116" s="14"/>
      <c r="H116" s="14"/>
      <c r="I116" s="14"/>
      <c r="J116" s="14"/>
      <c r="K116" s="87"/>
    </row>
    <row r="117" spans="1:12">
      <c r="A117" s="16" t="s">
        <v>44407</v>
      </c>
      <c r="B117" s="788">
        <v>1.4</v>
      </c>
      <c r="C117" s="787">
        <v>2.1</v>
      </c>
      <c r="D117" s="787">
        <v>1</v>
      </c>
      <c r="E117" s="787">
        <f>(B117*C117)*D117</f>
        <v>2.94</v>
      </c>
      <c r="F117" s="14"/>
      <c r="G117" s="14"/>
      <c r="H117" s="14"/>
      <c r="I117" s="14"/>
      <c r="J117" s="14"/>
      <c r="K117" s="87"/>
    </row>
    <row r="118" spans="1:12">
      <c r="A118" s="16" t="s">
        <v>44408</v>
      </c>
      <c r="B118" s="787">
        <v>2</v>
      </c>
      <c r="C118" s="787">
        <v>2.5</v>
      </c>
      <c r="D118" s="787">
        <v>3</v>
      </c>
      <c r="E118" s="787">
        <f t="shared" ref="E118" si="5">(B118*C118)*D118</f>
        <v>15</v>
      </c>
      <c r="F118" s="14"/>
      <c r="G118" s="14"/>
      <c r="H118" s="14"/>
      <c r="I118" s="14"/>
      <c r="J118" s="14"/>
      <c r="K118" s="87"/>
    </row>
    <row r="119" spans="1:12">
      <c r="A119" s="16"/>
      <c r="B119" s="787"/>
      <c r="C119" s="787"/>
      <c r="D119" s="791"/>
      <c r="E119" s="787"/>
      <c r="F119" s="14"/>
      <c r="G119" s="14"/>
      <c r="H119" s="88"/>
      <c r="I119" s="89"/>
      <c r="J119" s="89"/>
      <c r="K119" s="90"/>
    </row>
    <row r="120" spans="1:12">
      <c r="A120" s="16"/>
      <c r="B120" s="14"/>
      <c r="C120" s="14"/>
      <c r="D120" s="88"/>
      <c r="E120" s="14"/>
      <c r="F120" s="14"/>
      <c r="G120" s="14"/>
      <c r="H120" s="88"/>
      <c r="I120" s="89"/>
      <c r="J120" s="89"/>
      <c r="K120" s="90"/>
    </row>
    <row r="121" spans="1:12">
      <c r="A121" s="16"/>
      <c r="B121" s="14"/>
      <c r="C121" s="14"/>
      <c r="D121" s="88"/>
      <c r="E121" s="14"/>
      <c r="F121" s="14"/>
      <c r="G121" s="14"/>
      <c r="H121" s="88"/>
      <c r="I121" s="89"/>
      <c r="J121" s="89"/>
      <c r="K121" s="90"/>
    </row>
    <row r="122" spans="1:12">
      <c r="A122" s="16"/>
      <c r="B122" s="14"/>
      <c r="C122" s="14"/>
      <c r="D122" s="88"/>
      <c r="E122" s="14"/>
      <c r="F122" s="14"/>
      <c r="G122" s="14"/>
      <c r="H122" s="88"/>
      <c r="I122" s="89"/>
      <c r="J122" s="89"/>
      <c r="K122" s="90"/>
    </row>
    <row r="123" spans="1:12">
      <c r="A123" s="91"/>
      <c r="B123" s="88"/>
      <c r="C123" s="88"/>
      <c r="D123" s="88"/>
      <c r="E123" s="88"/>
      <c r="F123" s="88"/>
      <c r="G123" s="88"/>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88"/>
      <c r="F127" s="88"/>
      <c r="G127" s="88"/>
      <c r="H127" s="88"/>
      <c r="I127" s="89"/>
      <c r="J127" s="89"/>
      <c r="K127" s="90"/>
    </row>
    <row r="128" spans="1:12">
      <c r="A128" s="91" t="s">
        <v>28031</v>
      </c>
      <c r="B128" s="88">
        <f>SUM(E117:E119)</f>
        <v>17.940000000000001</v>
      </c>
      <c r="C128" s="88" t="str">
        <f>K113</f>
        <v>M2</v>
      </c>
      <c r="D128" s="88"/>
      <c r="E128" s="14"/>
      <c r="F128" s="14"/>
      <c r="G128" s="14"/>
      <c r="H128" s="88"/>
      <c r="I128" s="89"/>
      <c r="J128" s="89"/>
      <c r="K128" s="90"/>
    </row>
    <row r="129" spans="1:12">
      <c r="A129" s="91"/>
      <c r="B129" s="88"/>
      <c r="C129" s="88"/>
      <c r="D129" s="88"/>
      <c r="E129" s="88"/>
      <c r="F129" s="88"/>
      <c r="G129" s="88"/>
      <c r="H129" s="88"/>
      <c r="I129" s="89"/>
      <c r="J129" s="89"/>
      <c r="K129" s="90"/>
    </row>
    <row r="130" spans="1:12" ht="16">
      <c r="A130" s="10" t="s">
        <v>28032</v>
      </c>
      <c r="B130" s="207"/>
      <c r="C130" s="207"/>
      <c r="D130" s="207"/>
      <c r="E130" s="207"/>
      <c r="F130" s="207"/>
      <c r="G130" s="207"/>
      <c r="H130" s="207"/>
      <c r="I130" s="207"/>
      <c r="J130" s="1175" t="s">
        <v>28033</v>
      </c>
      <c r="K130" s="1176"/>
    </row>
    <row r="131" spans="1:12" ht="17" thickBot="1">
      <c r="A131" s="6"/>
      <c r="B131" s="11"/>
      <c r="C131" s="11"/>
      <c r="D131" s="11"/>
      <c r="E131" s="11"/>
      <c r="F131" s="11"/>
      <c r="G131" s="11"/>
      <c r="H131" s="11"/>
      <c r="I131" s="11"/>
      <c r="J131" s="1177">
        <f>B128</f>
        <v>17.940000000000001</v>
      </c>
      <c r="K131" s="1178"/>
    </row>
    <row r="132" spans="1:12" ht="22">
      <c r="A132" s="4" t="s">
        <v>28028</v>
      </c>
      <c r="B132" s="1173" t="s">
        <v>28029</v>
      </c>
      <c r="C132" s="1173"/>
      <c r="D132" s="1173"/>
      <c r="E132" s="1173"/>
      <c r="F132" s="1173"/>
      <c r="G132" s="1173"/>
      <c r="H132" s="1173"/>
      <c r="I132" s="1173"/>
      <c r="J132" s="1173"/>
      <c r="K132" s="5" t="s">
        <v>28030</v>
      </c>
    </row>
    <row r="133" spans="1:12" ht="22" customHeight="1" thickBot="1">
      <c r="A133" s="94" t="s">
        <v>13990</v>
      </c>
      <c r="B133" s="1174" t="str">
        <f>VLOOKUP($A133, 'Plan Orçamentária'!$Q$2:$S$128267,2,FALSE)</f>
        <v>PORTÃO DE ABRIR EM GRADE DE AÇO GALVANIZADO ELETROFUNDIDA, MALHA 65 X 132 MM, E PINTURA ELETROSTÁTICA</v>
      </c>
      <c r="C133" s="1174"/>
      <c r="D133" s="1174"/>
      <c r="E133" s="1174"/>
      <c r="F133" s="1174"/>
      <c r="G133" s="1174"/>
      <c r="H133" s="1174"/>
      <c r="I133" s="1174"/>
      <c r="J133" s="1174"/>
      <c r="K133" s="12" t="str">
        <f>VLOOKUP($A133,'Plan Orçamentária'!$Q$2:$S$138267,3,FALSE)</f>
        <v>M2</v>
      </c>
      <c r="L133" s="15">
        <f>J151</f>
        <v>7.36</v>
      </c>
    </row>
    <row r="134" spans="1:12">
      <c r="A134" s="86" t="s">
        <v>44396</v>
      </c>
      <c r="B134" s="14"/>
      <c r="C134" s="14"/>
      <c r="D134" s="14"/>
      <c r="E134" s="14"/>
      <c r="F134" s="14"/>
      <c r="G134" s="14"/>
      <c r="H134" s="14"/>
      <c r="I134" s="14"/>
      <c r="J134" s="14"/>
      <c r="K134" s="87"/>
    </row>
    <row r="135" spans="1:12" ht="16.5" customHeight="1">
      <c r="A135" s="16"/>
      <c r="B135" s="14"/>
      <c r="C135" s="14"/>
      <c r="D135" s="14"/>
      <c r="E135" s="14"/>
      <c r="F135" s="14"/>
      <c r="G135" s="14"/>
      <c r="H135" s="14"/>
      <c r="I135" s="14"/>
      <c r="J135" s="14"/>
      <c r="K135" s="87"/>
    </row>
    <row r="136" spans="1:12" ht="16.5" customHeight="1">
      <c r="A136" s="16"/>
      <c r="B136" s="786" t="s">
        <v>41798</v>
      </c>
      <c r="C136" s="787" t="s">
        <v>41787</v>
      </c>
      <c r="D136" s="787" t="s">
        <v>44397</v>
      </c>
      <c r="E136" s="787" t="s">
        <v>44398</v>
      </c>
      <c r="F136" s="14"/>
      <c r="G136" s="14"/>
      <c r="H136" s="14"/>
      <c r="I136" s="14"/>
      <c r="J136" s="14"/>
      <c r="K136" s="87"/>
    </row>
    <row r="137" spans="1:12" ht="16.5" customHeight="1">
      <c r="A137" s="16" t="s">
        <v>44410</v>
      </c>
      <c r="B137" s="787">
        <v>1.3</v>
      </c>
      <c r="C137" s="787">
        <v>2.2000000000000002</v>
      </c>
      <c r="D137" s="787">
        <v>1</v>
      </c>
      <c r="E137" s="787">
        <f t="shared" ref="E137" si="6">(B137*C137)*D137</f>
        <v>2.8600000000000003</v>
      </c>
      <c r="F137" s="14"/>
      <c r="G137" s="14"/>
      <c r="H137" s="14"/>
      <c r="I137" s="14"/>
      <c r="J137" s="14"/>
      <c r="K137" s="87"/>
    </row>
    <row r="138" spans="1:12">
      <c r="A138" s="16" t="s">
        <v>44409</v>
      </c>
      <c r="B138" s="788">
        <v>1.5</v>
      </c>
      <c r="C138" s="787">
        <v>3</v>
      </c>
      <c r="D138" s="787">
        <v>1</v>
      </c>
      <c r="E138" s="787">
        <f>(B138*C138)*D138</f>
        <v>4.5</v>
      </c>
      <c r="F138" s="14"/>
      <c r="G138" s="14"/>
      <c r="H138" s="14"/>
      <c r="I138" s="14"/>
      <c r="J138" s="14"/>
      <c r="K138" s="87"/>
    </row>
    <row r="139" spans="1:12" s="57" customFormat="1">
      <c r="A139" s="209"/>
      <c r="B139" s="789"/>
      <c r="C139" s="789"/>
      <c r="D139" s="787"/>
      <c r="E139" s="787"/>
      <c r="F139" s="14"/>
      <c r="G139" s="14"/>
      <c r="H139" s="14"/>
      <c r="I139" s="14"/>
      <c r="J139" s="14"/>
      <c r="K139" s="87"/>
    </row>
    <row r="140" spans="1:12">
      <c r="A140" s="16"/>
      <c r="B140" s="787"/>
      <c r="C140" s="787"/>
      <c r="D140" s="790"/>
      <c r="E140" s="787"/>
      <c r="F140" s="14"/>
      <c r="G140" s="14"/>
      <c r="H140" s="14"/>
      <c r="I140" s="14"/>
      <c r="J140" s="14"/>
      <c r="K140" s="87"/>
    </row>
    <row r="141" spans="1:12">
      <c r="A141" s="16"/>
      <c r="B141" s="14"/>
      <c r="C141" s="14"/>
      <c r="D141" s="88"/>
      <c r="E141" s="14"/>
      <c r="F141" s="14"/>
      <c r="G141" s="14"/>
      <c r="H141" s="88"/>
      <c r="I141" s="89"/>
      <c r="J141" s="89"/>
      <c r="K141" s="90"/>
    </row>
    <row r="142" spans="1:12">
      <c r="A142" s="16"/>
      <c r="B142" s="14"/>
      <c r="C142" s="14"/>
      <c r="D142" s="88"/>
      <c r="E142" s="14"/>
      <c r="F142" s="14"/>
      <c r="G142" s="14"/>
      <c r="H142" s="88"/>
      <c r="I142" s="89"/>
      <c r="J142" s="89"/>
      <c r="K142" s="90"/>
    </row>
    <row r="143" spans="1:12">
      <c r="A143" s="16"/>
      <c r="B143" s="14"/>
      <c r="C143" s="14"/>
      <c r="D143" s="88"/>
      <c r="E143" s="14"/>
      <c r="F143" s="14"/>
      <c r="G143" s="14"/>
      <c r="H143" s="88"/>
      <c r="I143" s="89"/>
      <c r="J143" s="89"/>
      <c r="K143" s="90"/>
    </row>
    <row r="144" spans="1:12">
      <c r="A144" s="16"/>
      <c r="B144" s="14"/>
      <c r="C144" s="14"/>
      <c r="D144" s="88"/>
      <c r="E144" s="14"/>
      <c r="F144" s="14"/>
      <c r="G144" s="14"/>
      <c r="H144" s="88"/>
      <c r="I144" s="89"/>
      <c r="J144" s="89"/>
      <c r="K144" s="90"/>
    </row>
    <row r="145" spans="1:12">
      <c r="A145" s="16"/>
      <c r="B145" s="14"/>
      <c r="C145" s="14"/>
      <c r="D145" s="88"/>
      <c r="E145" s="14"/>
      <c r="F145" s="14"/>
      <c r="G145" s="14"/>
      <c r="H145" s="88"/>
      <c r="I145" s="89"/>
      <c r="J145" s="89"/>
      <c r="K145" s="90"/>
    </row>
    <row r="146" spans="1:12">
      <c r="A146" s="16"/>
      <c r="B146" s="14"/>
      <c r="C146" s="14"/>
      <c r="D146" s="88"/>
      <c r="E146" s="14"/>
      <c r="F146" s="14"/>
      <c r="G146" s="14"/>
      <c r="H146" s="88"/>
      <c r="I146" s="89"/>
      <c r="J146" s="89"/>
      <c r="K146" s="90"/>
    </row>
    <row r="147" spans="1:12">
      <c r="A147" s="91"/>
      <c r="B147" s="88"/>
      <c r="C147" s="88"/>
      <c r="D147" s="88"/>
      <c r="E147" s="88"/>
      <c r="F147" s="88"/>
      <c r="G147" s="88"/>
      <c r="H147" s="88"/>
      <c r="I147" s="89"/>
      <c r="J147" s="89"/>
      <c r="K147" s="90"/>
    </row>
    <row r="148" spans="1:12">
      <c r="A148" s="91" t="s">
        <v>28031</v>
      </c>
      <c r="B148" s="88">
        <f>SUM(E137:E140)</f>
        <v>7.36</v>
      </c>
      <c r="C148" s="88" t="str">
        <f>K133</f>
        <v>M2</v>
      </c>
      <c r="D148" s="88"/>
      <c r="E148" s="14"/>
      <c r="F148" s="14"/>
      <c r="G148" s="14"/>
      <c r="H148" s="88"/>
      <c r="I148" s="89"/>
      <c r="J148" s="89"/>
      <c r="K148" s="90"/>
    </row>
    <row r="149" spans="1:12">
      <c r="A149" s="91"/>
      <c r="B149" s="88"/>
      <c r="C149" s="88"/>
      <c r="D149" s="88"/>
      <c r="E149" s="88"/>
      <c r="F149" s="88"/>
      <c r="G149" s="88"/>
      <c r="H149" s="88"/>
      <c r="I149" s="89"/>
      <c r="J149" s="89"/>
      <c r="K149" s="90"/>
    </row>
    <row r="150" spans="1:12" ht="16">
      <c r="A150" s="10" t="s">
        <v>28032</v>
      </c>
      <c r="B150" s="207"/>
      <c r="C150" s="207"/>
      <c r="D150" s="207"/>
      <c r="E150" s="207"/>
      <c r="F150" s="207"/>
      <c r="G150" s="207"/>
      <c r="H150" s="207"/>
      <c r="I150" s="207"/>
      <c r="J150" s="1175" t="s">
        <v>28033</v>
      </c>
      <c r="K150" s="1176"/>
    </row>
    <row r="151" spans="1:12" ht="17" thickBot="1">
      <c r="A151" s="6"/>
      <c r="B151" s="11"/>
      <c r="C151" s="11"/>
      <c r="D151" s="11"/>
      <c r="E151" s="11"/>
      <c r="F151" s="11"/>
      <c r="G151" s="11"/>
      <c r="H151" s="11"/>
      <c r="I151" s="11"/>
      <c r="J151" s="1177">
        <f>B148</f>
        <v>7.36</v>
      </c>
      <c r="K151" s="1178"/>
    </row>
    <row r="152" spans="1:12" ht="22">
      <c r="A152" s="4" t="s">
        <v>28028</v>
      </c>
      <c r="B152" s="1173" t="s">
        <v>28029</v>
      </c>
      <c r="C152" s="1173"/>
      <c r="D152" s="1173"/>
      <c r="E152" s="1173"/>
      <c r="F152" s="1173"/>
      <c r="G152" s="1173"/>
      <c r="H152" s="1173"/>
      <c r="I152" s="1173"/>
      <c r="J152" s="1173"/>
      <c r="K152" s="5" t="s">
        <v>28030</v>
      </c>
    </row>
    <row r="153" spans="1:12" ht="22" customHeight="1" thickBot="1">
      <c r="A153" s="94" t="s">
        <v>12905</v>
      </c>
      <c r="B153" s="1174" t="str">
        <f>VLOOKUP($A153, 'Plan Orçamentária'!$Q$2:$S$128267,2,FALSE)</f>
        <v>PORTA LISA COM BATENTE MADEIRA - 80 X 210 CM</v>
      </c>
      <c r="C153" s="1174"/>
      <c r="D153" s="1174"/>
      <c r="E153" s="1174"/>
      <c r="F153" s="1174"/>
      <c r="G153" s="1174"/>
      <c r="H153" s="1174"/>
      <c r="I153" s="1174"/>
      <c r="J153" s="1174"/>
      <c r="K153" s="12" t="str">
        <f>VLOOKUP($A153,'Plan Orçamentária'!$Q$2:$S$138267,3,FALSE)</f>
        <v>UN</v>
      </c>
      <c r="L153" s="15">
        <f>J171</f>
        <v>12</v>
      </c>
    </row>
    <row r="154" spans="1:12">
      <c r="A154" s="86" t="s">
        <v>44396</v>
      </c>
      <c r="B154" s="14"/>
      <c r="C154" s="14"/>
      <c r="D154" s="14"/>
      <c r="E154" s="14"/>
      <c r="F154" s="14"/>
      <c r="G154" s="14"/>
      <c r="H154" s="14"/>
      <c r="I154" s="14"/>
      <c r="J154" s="14"/>
      <c r="K154" s="87"/>
    </row>
    <row r="155" spans="1:12" ht="16.5" customHeight="1">
      <c r="A155" s="16"/>
      <c r="B155" s="14"/>
      <c r="C155" s="14"/>
      <c r="D155" s="14"/>
      <c r="E155" s="14"/>
      <c r="F155" s="14"/>
      <c r="G155" s="14"/>
      <c r="H155" s="14"/>
      <c r="I155" s="14"/>
      <c r="J155" s="14"/>
      <c r="K155" s="87"/>
    </row>
    <row r="156" spans="1:12" ht="16.5" customHeight="1">
      <c r="A156" s="16"/>
      <c r="B156" s="786" t="s">
        <v>41798</v>
      </c>
      <c r="C156" s="787" t="s">
        <v>41787</v>
      </c>
      <c r="D156" s="787" t="s">
        <v>44397</v>
      </c>
      <c r="E156" s="787" t="s">
        <v>44398</v>
      </c>
      <c r="F156" s="14"/>
      <c r="G156" s="14"/>
      <c r="H156" s="14"/>
      <c r="I156" s="14"/>
      <c r="J156" s="14"/>
      <c r="K156" s="87"/>
    </row>
    <row r="157" spans="1:12">
      <c r="A157" s="16" t="s">
        <v>44411</v>
      </c>
      <c r="B157" s="788">
        <v>0.8</v>
      </c>
      <c r="C157" s="787">
        <v>2.1</v>
      </c>
      <c r="D157" s="787">
        <v>1</v>
      </c>
      <c r="E157" s="787">
        <f>(B157*C157)*D157</f>
        <v>1.6800000000000002</v>
      </c>
      <c r="F157" s="14"/>
      <c r="G157" s="14"/>
      <c r="H157" s="14"/>
      <c r="I157" s="14"/>
      <c r="J157" s="14"/>
      <c r="K157" s="87"/>
    </row>
    <row r="158" spans="1:12">
      <c r="A158" s="16" t="s">
        <v>44412</v>
      </c>
      <c r="B158" s="787">
        <v>0.8</v>
      </c>
      <c r="C158" s="787">
        <v>2.1</v>
      </c>
      <c r="D158" s="787">
        <v>11</v>
      </c>
      <c r="E158" s="787">
        <f t="shared" ref="E158" si="7">(B158*C158)*D158</f>
        <v>18.48</v>
      </c>
      <c r="F158" s="14"/>
      <c r="G158" s="14"/>
      <c r="H158" s="14"/>
      <c r="I158" s="14"/>
      <c r="J158" s="14"/>
      <c r="K158" s="87"/>
    </row>
    <row r="159" spans="1:12">
      <c r="A159" s="16"/>
      <c r="B159" s="787"/>
      <c r="C159" s="787"/>
      <c r="D159" s="791"/>
      <c r="E159" s="787"/>
      <c r="F159" s="14"/>
      <c r="G159" s="14"/>
      <c r="H159" s="88"/>
      <c r="I159" s="89"/>
      <c r="J159" s="89"/>
      <c r="K159" s="90"/>
    </row>
    <row r="160" spans="1:12">
      <c r="A160" s="16"/>
      <c r="B160" s="14"/>
      <c r="C160" s="14"/>
      <c r="D160" s="88"/>
      <c r="E160" s="14"/>
      <c r="F160" s="14"/>
      <c r="G160" s="14"/>
      <c r="H160" s="88"/>
      <c r="I160" s="89"/>
      <c r="J160" s="89"/>
      <c r="K160" s="90"/>
    </row>
    <row r="161" spans="1:12">
      <c r="A161" s="16"/>
      <c r="B161" s="14"/>
      <c r="C161" s="14"/>
      <c r="D161" s="88"/>
      <c r="E161" s="14"/>
      <c r="F161" s="14"/>
      <c r="G161" s="14"/>
      <c r="H161" s="88"/>
      <c r="I161" s="89"/>
      <c r="J161" s="89"/>
      <c r="K161" s="90"/>
    </row>
    <row r="162" spans="1:12">
      <c r="A162" s="16"/>
      <c r="B162" s="14"/>
      <c r="C162" s="14"/>
      <c r="D162" s="88"/>
      <c r="E162" s="14"/>
      <c r="F162" s="14"/>
      <c r="G162" s="14"/>
      <c r="H162" s="88"/>
      <c r="I162" s="89"/>
      <c r="J162" s="89"/>
      <c r="K162" s="90"/>
    </row>
    <row r="163" spans="1:12">
      <c r="A163" s="91"/>
      <c r="B163" s="88"/>
      <c r="C163" s="88"/>
      <c r="D163" s="88"/>
      <c r="E163" s="88"/>
      <c r="F163" s="88"/>
      <c r="G163" s="88"/>
      <c r="H163" s="88"/>
      <c r="I163" s="89"/>
      <c r="J163" s="89"/>
      <c r="K163" s="90"/>
    </row>
    <row r="164" spans="1:12">
      <c r="A164" s="16"/>
      <c r="B164" s="14"/>
      <c r="C164" s="14"/>
      <c r="D164" s="88"/>
      <c r="E164" s="14"/>
      <c r="F164" s="14"/>
      <c r="G164" s="14"/>
      <c r="H164" s="88"/>
      <c r="I164" s="89"/>
      <c r="J164" s="89"/>
      <c r="K164" s="90"/>
    </row>
    <row r="165" spans="1:12">
      <c r="A165" s="16"/>
      <c r="B165" s="14"/>
      <c r="C165" s="14"/>
      <c r="D165" s="88"/>
      <c r="E165" s="14"/>
      <c r="F165" s="14"/>
      <c r="G165" s="14"/>
      <c r="H165" s="88"/>
      <c r="I165" s="89"/>
      <c r="J165" s="89"/>
      <c r="K165" s="90"/>
    </row>
    <row r="166" spans="1:12">
      <c r="A166" s="16"/>
      <c r="B166" s="14"/>
      <c r="C166" s="14"/>
      <c r="D166" s="88"/>
      <c r="E166" s="14"/>
      <c r="F166" s="14"/>
      <c r="G166" s="14"/>
      <c r="H166" s="88"/>
      <c r="I166" s="89"/>
      <c r="J166" s="89"/>
      <c r="K166" s="90"/>
    </row>
    <row r="167" spans="1:12">
      <c r="A167" s="91"/>
      <c r="B167" s="88"/>
      <c r="C167" s="88"/>
      <c r="D167" s="88"/>
      <c r="E167" s="88"/>
      <c r="F167" s="88"/>
      <c r="G167" s="88"/>
      <c r="H167" s="88"/>
      <c r="I167" s="89"/>
      <c r="J167" s="89"/>
      <c r="K167" s="90"/>
    </row>
    <row r="168" spans="1:12">
      <c r="A168" s="91" t="s">
        <v>28031</v>
      </c>
      <c r="B168" s="88">
        <f>SUM(D157:D158)</f>
        <v>12</v>
      </c>
      <c r="C168" s="88" t="str">
        <f>K153</f>
        <v>UN</v>
      </c>
      <c r="D168" s="88"/>
      <c r="E168" s="14"/>
      <c r="F168" s="14"/>
      <c r="G168" s="14"/>
      <c r="H168" s="88"/>
      <c r="I168" s="89"/>
      <c r="J168" s="89"/>
      <c r="K168" s="90"/>
    </row>
    <row r="169" spans="1:12">
      <c r="A169" s="91"/>
      <c r="B169" s="88"/>
      <c r="C169" s="88"/>
      <c r="D169" s="88"/>
      <c r="E169" s="88"/>
      <c r="F169" s="88"/>
      <c r="G169" s="88"/>
      <c r="H169" s="88"/>
      <c r="I169" s="89"/>
      <c r="J169" s="89"/>
      <c r="K169" s="90"/>
    </row>
    <row r="170" spans="1:12" ht="16">
      <c r="A170" s="10" t="s">
        <v>28032</v>
      </c>
      <c r="B170" s="207"/>
      <c r="C170" s="207"/>
      <c r="D170" s="207"/>
      <c r="E170" s="207"/>
      <c r="F170" s="207"/>
      <c r="G170" s="207"/>
      <c r="H170" s="207"/>
      <c r="I170" s="207"/>
      <c r="J170" s="1175" t="s">
        <v>28033</v>
      </c>
      <c r="K170" s="1176"/>
    </row>
    <row r="171" spans="1:12" ht="17" thickBot="1">
      <c r="A171" s="6"/>
      <c r="B171" s="11"/>
      <c r="C171" s="11"/>
      <c r="D171" s="11"/>
      <c r="E171" s="11"/>
      <c r="F171" s="11"/>
      <c r="G171" s="11"/>
      <c r="H171" s="11"/>
      <c r="I171" s="11"/>
      <c r="J171" s="1177">
        <f>B168</f>
        <v>12</v>
      </c>
      <c r="K171" s="1178"/>
    </row>
    <row r="172" spans="1:12" ht="22">
      <c r="A172" s="4" t="s">
        <v>28028</v>
      </c>
      <c r="B172" s="1173" t="s">
        <v>28029</v>
      </c>
      <c r="C172" s="1173"/>
      <c r="D172" s="1173"/>
      <c r="E172" s="1173"/>
      <c r="F172" s="1173"/>
      <c r="G172" s="1173"/>
      <c r="H172" s="1173"/>
      <c r="I172" s="1173"/>
      <c r="J172" s="1173"/>
      <c r="K172" s="5" t="s">
        <v>28030</v>
      </c>
    </row>
    <row r="173" spans="1:12" ht="22" customHeight="1" thickBot="1">
      <c r="A173" s="94" t="s">
        <v>12907</v>
      </c>
      <c r="B173" s="1174" t="str">
        <f>VLOOKUP($A173, 'Plan Orçamentária'!$Q$2:$S$128267,2,FALSE)</f>
        <v>PORTA LISA COM BATENTE MADEIRA - 90 X 210 CM</v>
      </c>
      <c r="C173" s="1174"/>
      <c r="D173" s="1174"/>
      <c r="E173" s="1174"/>
      <c r="F173" s="1174"/>
      <c r="G173" s="1174"/>
      <c r="H173" s="1174"/>
      <c r="I173" s="1174"/>
      <c r="J173" s="1174"/>
      <c r="K173" s="12" t="str">
        <f>VLOOKUP($A173,'Plan Orçamentária'!$Q$2:$S$138267,3,FALSE)</f>
        <v>UN</v>
      </c>
      <c r="L173" s="15">
        <f>J191</f>
        <v>3</v>
      </c>
    </row>
    <row r="174" spans="1:12">
      <c r="A174" s="86" t="s">
        <v>44396</v>
      </c>
      <c r="B174" s="14"/>
      <c r="C174" s="14"/>
      <c r="D174" s="14"/>
      <c r="E174" s="14"/>
      <c r="F174" s="14"/>
      <c r="G174" s="14"/>
      <c r="H174" s="14"/>
      <c r="I174" s="14"/>
      <c r="J174" s="14"/>
      <c r="K174" s="87"/>
    </row>
    <row r="175" spans="1:12" ht="16.5" customHeight="1">
      <c r="A175" s="16"/>
      <c r="B175" s="14"/>
      <c r="C175" s="14"/>
      <c r="D175" s="14"/>
      <c r="E175" s="14"/>
      <c r="F175" s="14"/>
      <c r="G175" s="14"/>
      <c r="H175" s="14"/>
      <c r="I175" s="14"/>
      <c r="J175" s="14"/>
      <c r="K175" s="87"/>
    </row>
    <row r="176" spans="1:12" ht="16.5" customHeight="1">
      <c r="A176" s="16"/>
      <c r="B176" s="786" t="s">
        <v>41798</v>
      </c>
      <c r="C176" s="787" t="s">
        <v>41787</v>
      </c>
      <c r="D176" s="787" t="s">
        <v>44397</v>
      </c>
      <c r="E176" s="787" t="s">
        <v>44398</v>
      </c>
      <c r="F176" s="14"/>
      <c r="G176" s="14"/>
      <c r="H176" s="14"/>
      <c r="I176" s="14"/>
      <c r="J176" s="14"/>
      <c r="K176" s="87"/>
    </row>
    <row r="177" spans="1:11" ht="16.5" customHeight="1">
      <c r="A177" s="16" t="s">
        <v>44413</v>
      </c>
      <c r="B177" s="788">
        <v>0.9</v>
      </c>
      <c r="C177" s="787">
        <v>2.1</v>
      </c>
      <c r="D177" s="787">
        <v>3</v>
      </c>
      <c r="E177" s="787">
        <f>(B177*C177)*D177</f>
        <v>5.67</v>
      </c>
      <c r="F177" s="14"/>
      <c r="G177" s="14"/>
      <c r="H177" s="14"/>
      <c r="I177" s="14"/>
      <c r="J177" s="14"/>
      <c r="K177" s="87"/>
    </row>
    <row r="178" spans="1:11">
      <c r="A178" s="16"/>
      <c r="B178" s="787"/>
      <c r="C178" s="787"/>
      <c r="D178" s="787"/>
      <c r="E178" s="787"/>
      <c r="F178" s="14"/>
      <c r="G178" s="14"/>
      <c r="H178" s="14"/>
      <c r="I178" s="14"/>
      <c r="J178" s="14"/>
      <c r="K178" s="87"/>
    </row>
    <row r="179" spans="1:11" s="57" customFormat="1">
      <c r="A179" s="209"/>
      <c r="B179" s="789"/>
      <c r="C179" s="789"/>
      <c r="D179" s="787"/>
      <c r="E179" s="787"/>
      <c r="F179" s="14"/>
      <c r="G179" s="14"/>
      <c r="H179" s="14"/>
      <c r="I179" s="14"/>
      <c r="J179" s="14"/>
      <c r="K179" s="87"/>
    </row>
    <row r="180" spans="1:11">
      <c r="A180" s="16"/>
      <c r="B180" s="787"/>
      <c r="C180" s="787"/>
      <c r="D180" s="790"/>
      <c r="E180" s="787"/>
      <c r="F180" s="14"/>
      <c r="G180" s="14"/>
      <c r="H180" s="14"/>
      <c r="I180" s="14"/>
      <c r="J180" s="14"/>
      <c r="K180" s="87"/>
    </row>
    <row r="181" spans="1:11">
      <c r="A181" s="16"/>
      <c r="B181" s="787"/>
      <c r="C181" s="787"/>
      <c r="D181" s="787"/>
      <c r="E181" s="787"/>
      <c r="F181" s="14"/>
      <c r="G181" s="14"/>
      <c r="H181" s="14"/>
      <c r="I181" s="14"/>
      <c r="J181" s="14"/>
      <c r="K181" s="87"/>
    </row>
    <row r="182" spans="1:11">
      <c r="A182" s="1185"/>
      <c r="B182" s="787"/>
      <c r="C182" s="787"/>
      <c r="D182" s="787"/>
      <c r="E182" s="787"/>
      <c r="F182" s="14"/>
      <c r="G182" s="14"/>
      <c r="H182" s="14"/>
      <c r="I182" s="14"/>
      <c r="J182" s="14"/>
      <c r="K182" s="87"/>
    </row>
    <row r="183" spans="1:11">
      <c r="A183" s="1185"/>
      <c r="B183" s="787"/>
      <c r="C183" s="787"/>
      <c r="D183" s="791"/>
      <c r="E183" s="787"/>
      <c r="F183" s="14"/>
      <c r="G183" s="14"/>
      <c r="H183" s="88"/>
      <c r="I183" s="89"/>
      <c r="J183" s="89"/>
      <c r="K183" s="90"/>
    </row>
    <row r="184" spans="1:11">
      <c r="A184" s="16"/>
      <c r="B184" s="14"/>
      <c r="C184" s="14"/>
      <c r="D184" s="88"/>
      <c r="E184" s="14"/>
      <c r="F184" s="14"/>
      <c r="G184" s="14"/>
      <c r="H184" s="88"/>
      <c r="I184" s="89"/>
      <c r="J184" s="89"/>
      <c r="K184" s="90"/>
    </row>
    <row r="185" spans="1:11">
      <c r="A185" s="16"/>
      <c r="B185" s="14"/>
      <c r="C185" s="14"/>
      <c r="D185" s="88"/>
      <c r="E185" s="14"/>
      <c r="F185" s="14"/>
      <c r="G185" s="14"/>
      <c r="H185" s="88"/>
      <c r="I185" s="89"/>
      <c r="J185" s="89"/>
      <c r="K185" s="90"/>
    </row>
    <row r="186" spans="1:11">
      <c r="A186" s="16"/>
      <c r="B186" s="14"/>
      <c r="C186" s="14"/>
      <c r="D186" s="88"/>
      <c r="E186" s="14"/>
      <c r="F186" s="14"/>
      <c r="G186" s="14"/>
      <c r="H186" s="88"/>
      <c r="I186" s="89"/>
      <c r="J186" s="89"/>
      <c r="K186" s="90"/>
    </row>
    <row r="187" spans="1:11">
      <c r="A187" s="91"/>
      <c r="B187" s="88"/>
      <c r="C187" s="88"/>
      <c r="D187" s="88"/>
      <c r="E187" s="88"/>
      <c r="F187" s="88"/>
      <c r="G187" s="88"/>
      <c r="H187" s="88"/>
      <c r="I187" s="89"/>
      <c r="J187" s="89"/>
      <c r="K187" s="90"/>
    </row>
    <row r="188" spans="1:11">
      <c r="A188" s="91" t="s">
        <v>28031</v>
      </c>
      <c r="B188" s="88">
        <f>D177</f>
        <v>3</v>
      </c>
      <c r="C188" s="88" t="str">
        <f>K173</f>
        <v>UN</v>
      </c>
      <c r="D188" s="88"/>
      <c r="E188" s="14"/>
      <c r="F188" s="14"/>
      <c r="G188" s="14"/>
      <c r="H188" s="88"/>
      <c r="I188" s="89"/>
      <c r="J188" s="89"/>
      <c r="K188" s="90"/>
    </row>
    <row r="189" spans="1:11">
      <c r="A189" s="91"/>
      <c r="B189" s="88"/>
      <c r="C189" s="88"/>
      <c r="D189" s="88"/>
      <c r="E189" s="88"/>
      <c r="F189" s="88"/>
      <c r="G189" s="88"/>
      <c r="H189" s="88"/>
      <c r="I189" s="89"/>
      <c r="J189" s="89"/>
      <c r="K189" s="90"/>
    </row>
    <row r="190" spans="1:11" ht="16">
      <c r="A190" s="10" t="s">
        <v>28032</v>
      </c>
      <c r="B190" s="207"/>
      <c r="C190" s="207"/>
      <c r="D190" s="207"/>
      <c r="E190" s="207"/>
      <c r="F190" s="207"/>
      <c r="G190" s="207"/>
      <c r="H190" s="207"/>
      <c r="I190" s="207"/>
      <c r="J190" s="1175" t="s">
        <v>28033</v>
      </c>
      <c r="K190" s="1176"/>
    </row>
    <row r="191" spans="1:11" ht="17" thickBot="1">
      <c r="A191" s="6"/>
      <c r="B191" s="11"/>
      <c r="C191" s="11"/>
      <c r="D191" s="11"/>
      <c r="E191" s="11"/>
      <c r="F191" s="11"/>
      <c r="G191" s="11"/>
      <c r="H191" s="11"/>
      <c r="I191" s="11"/>
      <c r="J191" s="1177">
        <f>B188</f>
        <v>3</v>
      </c>
      <c r="K191" s="1178"/>
    </row>
    <row r="192" spans="1:11" ht="22">
      <c r="A192" s="4" t="s">
        <v>28028</v>
      </c>
      <c r="B192" s="1173" t="s">
        <v>28029</v>
      </c>
      <c r="C192" s="1173"/>
      <c r="D192" s="1173"/>
      <c r="E192" s="1173"/>
      <c r="F192" s="1173"/>
      <c r="G192" s="1173"/>
      <c r="H192" s="1173"/>
      <c r="I192" s="1173"/>
      <c r="J192" s="1173"/>
      <c r="K192" s="5" t="s">
        <v>28030</v>
      </c>
    </row>
    <row r="193" spans="1:12" ht="22" customHeight="1" thickBot="1">
      <c r="A193" s="94" t="s">
        <v>13275</v>
      </c>
      <c r="B193" s="1174" t="str">
        <f>VLOOKUP($A193, 'Plan Orçamentária'!$Q$2:$S$128267,2,FALSE)</f>
        <v>PORTA DE ENTRADA DE ABRIR EM ALUMÍNIO, SOB MEDIDA</v>
      </c>
      <c r="C193" s="1174"/>
      <c r="D193" s="1174"/>
      <c r="E193" s="1174"/>
      <c r="F193" s="1174"/>
      <c r="G193" s="1174"/>
      <c r="H193" s="1174"/>
      <c r="I193" s="1174"/>
      <c r="J193" s="1174"/>
      <c r="K193" s="12" t="str">
        <f>VLOOKUP($A193,'Plan Orçamentária'!$Q$2:$S$138267,3,FALSE)</f>
        <v>M2</v>
      </c>
      <c r="L193" s="15">
        <f>J211</f>
        <v>65.473199999999991</v>
      </c>
    </row>
    <row r="194" spans="1:12">
      <c r="A194" s="86" t="s">
        <v>44396</v>
      </c>
      <c r="B194" s="14"/>
      <c r="C194" s="14"/>
      <c r="D194" s="14"/>
      <c r="E194" s="14"/>
      <c r="F194" s="14"/>
      <c r="G194" s="14"/>
      <c r="H194" s="14"/>
      <c r="I194" s="14"/>
      <c r="J194" s="14"/>
      <c r="K194" s="87"/>
    </row>
    <row r="195" spans="1:12" ht="16.5" customHeight="1">
      <c r="A195" s="16"/>
      <c r="B195" s="14"/>
      <c r="C195" s="14"/>
      <c r="D195" s="14"/>
      <c r="E195" s="14"/>
      <c r="F195" s="14"/>
      <c r="G195" s="14"/>
      <c r="H195" s="14"/>
      <c r="I195" s="14"/>
      <c r="J195" s="14"/>
      <c r="K195" s="87"/>
    </row>
    <row r="196" spans="1:12" ht="16.5" customHeight="1">
      <c r="A196" s="16"/>
      <c r="B196" s="786" t="s">
        <v>41798</v>
      </c>
      <c r="C196" s="787" t="s">
        <v>41787</v>
      </c>
      <c r="D196" s="787" t="s">
        <v>44397</v>
      </c>
      <c r="E196" s="787" t="s">
        <v>44398</v>
      </c>
      <c r="F196" s="14"/>
      <c r="G196" s="14"/>
      <c r="H196" s="14"/>
      <c r="I196" s="14"/>
      <c r="J196" s="14"/>
      <c r="K196" s="87"/>
    </row>
    <row r="197" spans="1:12" ht="16.5" customHeight="1">
      <c r="F197" s="14"/>
      <c r="G197" s="14"/>
      <c r="H197" s="14"/>
      <c r="I197" s="14"/>
      <c r="J197" s="14"/>
      <c r="K197" s="87"/>
    </row>
    <row r="198" spans="1:12">
      <c r="A198" s="16" t="s">
        <v>44416</v>
      </c>
      <c r="B198" s="787">
        <v>1.4</v>
      </c>
      <c r="C198" s="787">
        <v>2.1</v>
      </c>
      <c r="D198" s="787">
        <v>1</v>
      </c>
      <c r="E198" s="787">
        <f t="shared" ref="E198" si="8">(B198*C198)*D198</f>
        <v>2.94</v>
      </c>
      <c r="F198" s="14"/>
      <c r="G198" s="14"/>
      <c r="H198" s="14"/>
      <c r="I198" s="14"/>
      <c r="J198" s="14"/>
      <c r="K198" s="87"/>
    </row>
    <row r="199" spans="1:12" s="57" customFormat="1">
      <c r="A199" s="209"/>
      <c r="B199" s="789"/>
      <c r="C199" s="789"/>
      <c r="D199" s="787"/>
      <c r="E199" s="787"/>
      <c r="F199" s="14"/>
      <c r="G199" s="14"/>
      <c r="H199" s="14"/>
      <c r="I199" s="14"/>
      <c r="J199" s="14"/>
      <c r="K199" s="87"/>
    </row>
    <row r="200" spans="1:12">
      <c r="A200" s="16"/>
      <c r="B200" s="787"/>
      <c r="C200" s="787"/>
      <c r="D200" s="790"/>
      <c r="E200" s="787"/>
      <c r="F200" s="14"/>
      <c r="G200" s="14"/>
      <c r="H200" s="14"/>
      <c r="I200" s="14"/>
      <c r="J200" s="14"/>
      <c r="K200" s="87"/>
    </row>
    <row r="201" spans="1:12">
      <c r="A201" s="16"/>
      <c r="B201" s="14"/>
      <c r="C201" s="14"/>
      <c r="D201" s="88"/>
      <c r="E201" s="14"/>
      <c r="F201" s="14"/>
      <c r="G201" s="14"/>
      <c r="H201" s="88"/>
      <c r="I201" s="89"/>
      <c r="J201" s="89"/>
      <c r="K201" s="90"/>
    </row>
    <row r="202" spans="1:12">
      <c r="A202" s="16"/>
      <c r="B202" s="14"/>
      <c r="C202" s="14"/>
      <c r="D202" s="88"/>
      <c r="E202" s="14"/>
      <c r="F202" s="14"/>
      <c r="G202" s="14"/>
      <c r="H202" s="88"/>
      <c r="I202" s="89"/>
      <c r="J202" s="89"/>
      <c r="K202" s="90"/>
    </row>
    <row r="203" spans="1:12">
      <c r="A203" s="16"/>
      <c r="B203" s="14"/>
      <c r="C203" s="14"/>
      <c r="D203" s="88"/>
      <c r="E203" s="14"/>
      <c r="F203" s="14"/>
      <c r="G203" s="14"/>
      <c r="H203" s="88"/>
      <c r="I203" s="89"/>
      <c r="J203" s="89"/>
      <c r="K203" s="90"/>
    </row>
    <row r="204" spans="1:12">
      <c r="A204" s="16"/>
      <c r="B204" s="14"/>
      <c r="C204" s="14"/>
      <c r="D204" s="88"/>
      <c r="E204" s="14"/>
      <c r="F204" s="14"/>
      <c r="G204" s="14"/>
      <c r="H204" s="88"/>
      <c r="I204" s="89"/>
      <c r="J204" s="89"/>
      <c r="K204" s="90"/>
    </row>
    <row r="205" spans="1:12">
      <c r="A205" s="16"/>
      <c r="B205" s="14"/>
      <c r="C205" s="14"/>
      <c r="D205" s="88"/>
      <c r="E205" s="14"/>
      <c r="F205" s="14"/>
      <c r="G205" s="14"/>
      <c r="H205" s="88"/>
      <c r="I205" s="89"/>
      <c r="J205" s="89"/>
      <c r="K205" s="90"/>
    </row>
    <row r="206" spans="1:12">
      <c r="A206" s="16"/>
      <c r="B206" s="14"/>
      <c r="C206" s="14"/>
      <c r="D206" s="88"/>
      <c r="E206" s="14"/>
      <c r="F206" s="14"/>
      <c r="G206" s="14"/>
      <c r="H206" s="88"/>
      <c r="I206" s="89"/>
      <c r="J206" s="89"/>
      <c r="K206" s="90"/>
    </row>
    <row r="207" spans="1:12">
      <c r="A207" s="91"/>
      <c r="B207" s="88"/>
      <c r="C207" s="88"/>
      <c r="D207" s="88"/>
      <c r="E207" s="88"/>
      <c r="F207" s="88"/>
      <c r="G207" s="88"/>
      <c r="H207" s="88"/>
      <c r="I207" s="89"/>
      <c r="J207" s="89"/>
      <c r="K207" s="90"/>
    </row>
    <row r="208" spans="1:12">
      <c r="A208" s="91" t="s">
        <v>28031</v>
      </c>
      <c r="B208" s="88">
        <f>SUM(E78:E200)</f>
        <v>65.473199999999991</v>
      </c>
      <c r="C208" s="88" t="str">
        <f>K193</f>
        <v>M2</v>
      </c>
      <c r="D208" s="88"/>
      <c r="E208" s="14"/>
      <c r="F208" s="14"/>
      <c r="G208" s="14"/>
      <c r="H208" s="88"/>
      <c r="I208" s="89"/>
      <c r="J208" s="89"/>
      <c r="K208" s="90"/>
    </row>
    <row r="209" spans="1:12">
      <c r="A209" s="91"/>
      <c r="B209" s="88"/>
      <c r="C209" s="88"/>
      <c r="D209" s="88"/>
      <c r="E209" s="88"/>
      <c r="F209" s="88"/>
      <c r="G209" s="88"/>
      <c r="H209" s="88"/>
      <c r="I209" s="89"/>
      <c r="J209" s="89"/>
      <c r="K209" s="90"/>
    </row>
    <row r="210" spans="1:12" ht="16">
      <c r="A210" s="10" t="s">
        <v>28032</v>
      </c>
      <c r="B210" s="207"/>
      <c r="C210" s="207"/>
      <c r="D210" s="207"/>
      <c r="E210" s="207"/>
      <c r="F210" s="207"/>
      <c r="G210" s="207"/>
      <c r="H210" s="207"/>
      <c r="I210" s="207"/>
      <c r="J210" s="1175" t="s">
        <v>28033</v>
      </c>
      <c r="K210" s="1176"/>
    </row>
    <row r="211" spans="1:12" ht="17" thickBot="1">
      <c r="A211" s="6"/>
      <c r="B211" s="11"/>
      <c r="C211" s="11"/>
      <c r="D211" s="11"/>
      <c r="E211" s="11"/>
      <c r="F211" s="11"/>
      <c r="G211" s="11"/>
      <c r="H211" s="11"/>
      <c r="I211" s="11"/>
      <c r="J211" s="1177">
        <f>B208</f>
        <v>65.473199999999991</v>
      </c>
      <c r="K211" s="1178"/>
    </row>
    <row r="212" spans="1:12" ht="22">
      <c r="A212" s="4" t="s">
        <v>28028</v>
      </c>
      <c r="B212" s="1173" t="s">
        <v>28029</v>
      </c>
      <c r="C212" s="1173"/>
      <c r="D212" s="1173"/>
      <c r="E212" s="1173"/>
      <c r="F212" s="1173"/>
      <c r="G212" s="1173"/>
      <c r="H212" s="1173"/>
      <c r="I212" s="1173"/>
      <c r="J212" s="1173"/>
      <c r="K212" s="5" t="s">
        <v>28030</v>
      </c>
    </row>
    <row r="213" spans="1:12" ht="22" customHeight="1" thickBot="1">
      <c r="A213" s="94" t="s">
        <v>13277</v>
      </c>
      <c r="B213" s="1174" t="str">
        <f>VLOOKUP($A213, 'Plan Orçamentária'!$Q$2:$S$128267,2,FALSE)</f>
        <v>PORTA DE ENTRADA DE CORRER EM ALUMÍNIO, SOB MEDIDA</v>
      </c>
      <c r="C213" s="1174"/>
      <c r="D213" s="1174"/>
      <c r="E213" s="1174"/>
      <c r="F213" s="1174"/>
      <c r="G213" s="1174"/>
      <c r="H213" s="1174"/>
      <c r="I213" s="1174"/>
      <c r="J213" s="1174"/>
      <c r="K213" s="12" t="str">
        <f>VLOOKUP($A213,'Plan Orçamentária'!$Q$2:$S$138267,3,FALSE)</f>
        <v>M2</v>
      </c>
      <c r="L213" s="15">
        <f>J231</f>
        <v>8.8574999999999999</v>
      </c>
    </row>
    <row r="214" spans="1:12">
      <c r="A214" s="86" t="s">
        <v>44396</v>
      </c>
      <c r="B214" s="14"/>
      <c r="C214" s="14"/>
      <c r="D214" s="14"/>
      <c r="E214" s="14"/>
      <c r="F214" s="14"/>
      <c r="G214" s="14"/>
      <c r="H214" s="14"/>
      <c r="I214" s="14"/>
      <c r="J214" s="14"/>
      <c r="K214" s="87"/>
    </row>
    <row r="215" spans="1:12" ht="16.5" customHeight="1">
      <c r="A215" s="16"/>
      <c r="B215" s="14"/>
      <c r="C215" s="14"/>
      <c r="D215" s="14"/>
      <c r="E215" s="14"/>
      <c r="F215" s="14"/>
      <c r="G215" s="14"/>
      <c r="H215" s="14"/>
      <c r="I215" s="14"/>
      <c r="J215" s="14"/>
      <c r="K215" s="87"/>
    </row>
    <row r="216" spans="1:12" ht="16.5" customHeight="1">
      <c r="A216" s="16"/>
      <c r="B216" s="786" t="s">
        <v>41798</v>
      </c>
      <c r="C216" s="787" t="s">
        <v>41787</v>
      </c>
      <c r="D216" s="787" t="s">
        <v>44397</v>
      </c>
      <c r="E216" s="787" t="s">
        <v>44398</v>
      </c>
      <c r="F216" s="14"/>
      <c r="G216" s="14"/>
      <c r="H216" s="14"/>
      <c r="I216" s="14"/>
      <c r="J216" s="14"/>
      <c r="K216" s="87"/>
    </row>
    <row r="217" spans="1:12">
      <c r="A217" s="16" t="s">
        <v>44415</v>
      </c>
      <c r="B217" s="787">
        <v>1.8</v>
      </c>
      <c r="C217" s="787">
        <v>2.2999999999999998</v>
      </c>
      <c r="D217" s="787">
        <v>1</v>
      </c>
      <c r="E217" s="787">
        <f t="shared" ref="E217:E218" si="9">(B217*C217)*D217</f>
        <v>4.1399999999999997</v>
      </c>
      <c r="F217" s="14"/>
      <c r="G217" s="14"/>
      <c r="H217" s="14"/>
      <c r="I217" s="14"/>
      <c r="J217" s="14"/>
      <c r="K217" s="87"/>
    </row>
    <row r="218" spans="1:12">
      <c r="A218" s="16" t="s">
        <v>44417</v>
      </c>
      <c r="B218" s="787">
        <v>1.85</v>
      </c>
      <c r="C218" s="787">
        <v>2.5499999999999998</v>
      </c>
      <c r="D218" s="791">
        <v>1</v>
      </c>
      <c r="E218" s="787">
        <f t="shared" si="9"/>
        <v>4.7175000000000002</v>
      </c>
      <c r="F218" s="14"/>
      <c r="G218" s="14"/>
      <c r="H218" s="88"/>
      <c r="I218" s="89"/>
      <c r="J218" s="89"/>
      <c r="K218" s="90"/>
    </row>
    <row r="219" spans="1:12">
      <c r="A219" s="16"/>
      <c r="B219" s="14"/>
      <c r="C219" s="14"/>
      <c r="D219" s="88"/>
      <c r="E219" s="14"/>
      <c r="F219" s="14"/>
      <c r="G219" s="14"/>
      <c r="H219" s="88"/>
      <c r="I219" s="89"/>
      <c r="J219" s="89"/>
      <c r="K219" s="90"/>
    </row>
    <row r="220" spans="1:12">
      <c r="A220" s="16"/>
      <c r="B220" s="14"/>
      <c r="C220" s="14"/>
      <c r="D220" s="88"/>
      <c r="E220" s="14"/>
      <c r="F220" s="14"/>
      <c r="G220" s="14"/>
      <c r="H220" s="88"/>
      <c r="I220" s="89"/>
      <c r="J220" s="89"/>
      <c r="K220" s="90"/>
    </row>
    <row r="221" spans="1:12">
      <c r="A221" s="16"/>
      <c r="B221" s="14"/>
      <c r="C221" s="14"/>
      <c r="D221" s="88"/>
      <c r="E221" s="14"/>
      <c r="F221" s="14"/>
      <c r="G221" s="14"/>
      <c r="H221" s="88"/>
      <c r="I221" s="89"/>
      <c r="J221" s="89"/>
      <c r="K221" s="90"/>
    </row>
    <row r="222" spans="1:12">
      <c r="A222" s="16"/>
      <c r="B222" s="14"/>
      <c r="C222" s="14"/>
      <c r="D222" s="88"/>
      <c r="E222" s="14"/>
      <c r="F222" s="14"/>
      <c r="G222" s="14"/>
      <c r="H222" s="88"/>
      <c r="I222" s="89"/>
      <c r="J222" s="89"/>
      <c r="K222" s="90"/>
    </row>
    <row r="223" spans="1:12">
      <c r="A223" s="91"/>
      <c r="B223" s="88"/>
      <c r="C223" s="88"/>
      <c r="D223" s="88"/>
      <c r="E223" s="88"/>
      <c r="F223" s="88"/>
      <c r="G223" s="88"/>
      <c r="H223" s="88"/>
      <c r="I223" s="89"/>
      <c r="J223" s="89"/>
      <c r="K223" s="90"/>
    </row>
    <row r="224" spans="1:12">
      <c r="A224" s="16"/>
      <c r="B224" s="14"/>
      <c r="C224" s="14"/>
      <c r="D224" s="88"/>
      <c r="E224" s="14"/>
      <c r="F224" s="14"/>
      <c r="G224" s="14"/>
      <c r="H224" s="88"/>
      <c r="I224" s="89"/>
      <c r="J224" s="89"/>
      <c r="K224" s="90"/>
    </row>
    <row r="225" spans="1:12">
      <c r="A225" s="16"/>
      <c r="B225" s="14"/>
      <c r="C225" s="14"/>
      <c r="D225" s="88"/>
      <c r="E225" s="14"/>
      <c r="F225" s="14"/>
      <c r="G225" s="14"/>
      <c r="H225" s="88"/>
      <c r="I225" s="89"/>
      <c r="J225" s="89"/>
      <c r="K225" s="90"/>
    </row>
    <row r="226" spans="1:12">
      <c r="A226" s="16"/>
      <c r="B226" s="14"/>
      <c r="C226" s="14"/>
      <c r="D226" s="88"/>
      <c r="E226" s="14"/>
      <c r="F226" s="14"/>
      <c r="G226" s="14"/>
      <c r="H226" s="88"/>
      <c r="I226" s="89"/>
      <c r="J226" s="89"/>
      <c r="K226" s="90"/>
    </row>
    <row r="227" spans="1:12">
      <c r="A227" s="91"/>
      <c r="B227" s="88"/>
      <c r="C227" s="88"/>
      <c r="D227" s="88"/>
      <c r="E227" s="88"/>
      <c r="F227" s="88"/>
      <c r="G227" s="88"/>
      <c r="H227" s="88"/>
      <c r="I227" s="89"/>
      <c r="J227" s="89"/>
      <c r="K227" s="90"/>
    </row>
    <row r="228" spans="1:12">
      <c r="A228" s="91" t="s">
        <v>28031</v>
      </c>
      <c r="B228" s="88">
        <f>SUM(E217:E218)</f>
        <v>8.8574999999999999</v>
      </c>
      <c r="C228" s="88" t="str">
        <f>K213</f>
        <v>M2</v>
      </c>
      <c r="D228" s="88"/>
      <c r="E228" s="14"/>
      <c r="F228" s="14"/>
      <c r="G228" s="14"/>
      <c r="H228" s="88"/>
      <c r="I228" s="89"/>
      <c r="J228" s="89"/>
      <c r="K228" s="90"/>
    </row>
    <row r="229" spans="1:12">
      <c r="A229" s="91"/>
      <c r="B229" s="88"/>
      <c r="C229" s="88"/>
      <c r="D229" s="88"/>
      <c r="E229" s="88"/>
      <c r="F229" s="88"/>
      <c r="G229" s="88"/>
      <c r="H229" s="88"/>
      <c r="I229" s="89"/>
      <c r="J229" s="89"/>
      <c r="K229" s="90"/>
    </row>
    <row r="230" spans="1:12" ht="16">
      <c r="A230" s="10" t="s">
        <v>28032</v>
      </c>
      <c r="B230" s="207"/>
      <c r="C230" s="207"/>
      <c r="D230" s="207"/>
      <c r="E230" s="207"/>
      <c r="F230" s="207"/>
      <c r="G230" s="207"/>
      <c r="H230" s="207"/>
      <c r="I230" s="207"/>
      <c r="J230" s="1175" t="s">
        <v>28033</v>
      </c>
      <c r="K230" s="1176"/>
    </row>
    <row r="231" spans="1:12" ht="17" thickBot="1">
      <c r="A231" s="6"/>
      <c r="B231" s="11"/>
      <c r="C231" s="11"/>
      <c r="D231" s="11"/>
      <c r="E231" s="11"/>
      <c r="F231" s="11"/>
      <c r="G231" s="11"/>
      <c r="H231" s="11"/>
      <c r="I231" s="11"/>
      <c r="J231" s="1177">
        <f>B228</f>
        <v>8.8574999999999999</v>
      </c>
      <c r="K231" s="1178"/>
    </row>
    <row r="232" spans="1:12" ht="22">
      <c r="A232" s="4" t="s">
        <v>28028</v>
      </c>
      <c r="B232" s="1173" t="s">
        <v>28029</v>
      </c>
      <c r="C232" s="1173"/>
      <c r="D232" s="1173"/>
      <c r="E232" s="1173"/>
      <c r="F232" s="1173"/>
      <c r="G232" s="1173"/>
      <c r="H232" s="1173"/>
      <c r="I232" s="1173"/>
      <c r="J232" s="1173"/>
      <c r="K232" s="5" t="s">
        <v>28030</v>
      </c>
    </row>
    <row r="233" spans="1:12" ht="22" customHeight="1" thickBot="1">
      <c r="A233" s="94" t="s">
        <v>13502</v>
      </c>
      <c r="B233" s="1174" t="str">
        <f>VLOOKUP($A233, 'Plan Orçamentária'!$Q$2:$S$128267,2,FALSE)</f>
        <v>PUXADOR DUPLO EM AÇO INOXIDÁVEL DE 300 MM, PARA PORTA</v>
      </c>
      <c r="C233" s="1174"/>
      <c r="D233" s="1174"/>
      <c r="E233" s="1174"/>
      <c r="F233" s="1174"/>
      <c r="G233" s="1174"/>
      <c r="H233" s="1174"/>
      <c r="I233" s="1174"/>
      <c r="J233" s="1174"/>
      <c r="K233" s="12" t="str">
        <f>VLOOKUP($A233,'Plan Orçamentária'!$Q$2:$S$138267,3,FALSE)</f>
        <v>UN</v>
      </c>
      <c r="L233" s="15">
        <f>J251</f>
        <v>10</v>
      </c>
    </row>
    <row r="234" spans="1:12">
      <c r="A234" s="86" t="s">
        <v>44396</v>
      </c>
      <c r="B234" s="14"/>
      <c r="C234" s="14"/>
      <c r="D234" s="14"/>
      <c r="E234" s="14"/>
      <c r="F234" s="14"/>
      <c r="G234" s="14"/>
      <c r="H234" s="14"/>
      <c r="I234" s="14"/>
      <c r="J234" s="14"/>
      <c r="K234" s="87"/>
    </row>
    <row r="235" spans="1:12" ht="16.5" customHeight="1">
      <c r="A235" s="16"/>
      <c r="B235" s="14"/>
      <c r="C235" s="14"/>
      <c r="D235" s="14"/>
      <c r="E235" s="14"/>
      <c r="F235" s="14"/>
      <c r="G235" s="14"/>
      <c r="H235" s="14"/>
      <c r="I235" s="14"/>
      <c r="J235" s="14"/>
      <c r="K235" s="87"/>
    </row>
    <row r="236" spans="1:12" ht="16.5" customHeight="1">
      <c r="A236" s="16"/>
      <c r="B236" s="787"/>
      <c r="C236" s="787" t="s">
        <v>44397</v>
      </c>
      <c r="D236" s="787"/>
      <c r="E236" s="787" t="s">
        <v>44418</v>
      </c>
      <c r="F236" s="14"/>
      <c r="G236" s="14"/>
      <c r="H236" s="14"/>
      <c r="I236" s="14"/>
      <c r="J236" s="14"/>
      <c r="K236" s="87"/>
    </row>
    <row r="237" spans="1:12">
      <c r="A237" s="16"/>
      <c r="B237" s="787"/>
      <c r="C237" s="787">
        <v>5</v>
      </c>
      <c r="D237" s="787">
        <v>2</v>
      </c>
      <c r="E237" s="787">
        <f>C237*D237</f>
        <v>10</v>
      </c>
      <c r="F237" s="14"/>
      <c r="G237" s="14"/>
      <c r="H237" s="14"/>
      <c r="I237" s="14"/>
      <c r="J237" s="14"/>
      <c r="K237" s="87"/>
    </row>
    <row r="238" spans="1:12">
      <c r="A238" s="1185"/>
      <c r="B238" s="787"/>
      <c r="C238" s="787"/>
      <c r="D238" s="787"/>
      <c r="E238" s="787"/>
      <c r="F238" s="14"/>
      <c r="G238" s="14"/>
      <c r="H238" s="14"/>
      <c r="I238" s="14"/>
      <c r="J238" s="14"/>
      <c r="K238" s="87"/>
    </row>
    <row r="239" spans="1:12">
      <c r="A239" s="1185"/>
      <c r="B239" s="787"/>
      <c r="C239" s="787"/>
      <c r="D239" s="791"/>
      <c r="E239" s="787"/>
      <c r="F239" s="14"/>
      <c r="G239" s="14"/>
      <c r="H239" s="88"/>
      <c r="I239" s="89"/>
      <c r="J239" s="89"/>
      <c r="K239" s="90"/>
    </row>
    <row r="240" spans="1:12">
      <c r="A240" s="16"/>
      <c r="B240" s="14"/>
      <c r="C240" s="14"/>
      <c r="D240" s="88"/>
      <c r="E240" s="14"/>
      <c r="F240" s="14"/>
      <c r="G240" s="14"/>
      <c r="H240" s="88"/>
      <c r="I240" s="89"/>
      <c r="J240" s="89"/>
      <c r="K240" s="90"/>
    </row>
    <row r="241" spans="1:12">
      <c r="A241" s="16"/>
      <c r="B241" s="14"/>
      <c r="C241" s="14"/>
      <c r="D241" s="88"/>
      <c r="E241" s="14"/>
      <c r="F241" s="14"/>
      <c r="G241" s="14"/>
      <c r="H241" s="88"/>
      <c r="I241" s="89"/>
      <c r="J241" s="89"/>
      <c r="K241" s="90"/>
    </row>
    <row r="242" spans="1:12">
      <c r="A242" s="16"/>
      <c r="B242" s="14"/>
      <c r="C242" s="14"/>
      <c r="D242" s="88"/>
      <c r="E242" s="14"/>
      <c r="F242" s="14"/>
      <c r="G242" s="14"/>
      <c r="H242" s="88"/>
      <c r="I242" s="89"/>
      <c r="J242" s="89"/>
      <c r="K242" s="90"/>
    </row>
    <row r="243" spans="1:12">
      <c r="A243" s="91"/>
      <c r="B243" s="88"/>
      <c r="C243" s="88"/>
      <c r="D243" s="88"/>
      <c r="E243" s="88"/>
      <c r="F243" s="88"/>
      <c r="G243" s="88"/>
      <c r="H243" s="88"/>
      <c r="I243" s="89"/>
      <c r="J243" s="89"/>
      <c r="K243" s="90"/>
    </row>
    <row r="244" spans="1:12">
      <c r="A244" s="16"/>
      <c r="B244" s="14"/>
      <c r="C244" s="14"/>
      <c r="D244" s="88"/>
      <c r="E244" s="14"/>
      <c r="F244" s="14"/>
      <c r="G244" s="14"/>
      <c r="H244" s="88"/>
      <c r="I244" s="89"/>
      <c r="J244" s="89"/>
      <c r="K244" s="90"/>
    </row>
    <row r="245" spans="1:12">
      <c r="A245" s="16"/>
      <c r="B245" s="14"/>
      <c r="C245" s="14"/>
      <c r="D245" s="88"/>
      <c r="E245" s="14"/>
      <c r="F245" s="14"/>
      <c r="G245" s="14"/>
      <c r="H245" s="88"/>
      <c r="I245" s="89"/>
      <c r="J245" s="89"/>
      <c r="K245" s="90"/>
    </row>
    <row r="246" spans="1:12">
      <c r="A246" s="16"/>
      <c r="B246" s="14"/>
      <c r="C246" s="14"/>
      <c r="D246" s="88"/>
      <c r="E246" s="14"/>
      <c r="F246" s="14"/>
      <c r="G246" s="14"/>
      <c r="H246" s="88"/>
      <c r="I246" s="89"/>
      <c r="J246" s="89"/>
      <c r="K246" s="90"/>
    </row>
    <row r="247" spans="1:12">
      <c r="A247" s="91"/>
      <c r="B247" s="88"/>
      <c r="C247" s="88"/>
      <c r="D247" s="88"/>
      <c r="E247" s="88"/>
      <c r="F247" s="88"/>
      <c r="G247" s="88"/>
      <c r="H247" s="88"/>
      <c r="I247" s="89"/>
      <c r="J247" s="89"/>
      <c r="K247" s="90"/>
    </row>
    <row r="248" spans="1:12">
      <c r="A248" s="91" t="s">
        <v>28031</v>
      </c>
      <c r="B248" s="88">
        <f>SUM(E237:E239)</f>
        <v>10</v>
      </c>
      <c r="C248" s="88" t="str">
        <f>K233</f>
        <v>UN</v>
      </c>
      <c r="D248" s="88"/>
      <c r="E248" s="14"/>
      <c r="F248" s="14"/>
      <c r="G248" s="14"/>
      <c r="H248" s="88"/>
      <c r="I248" s="89"/>
      <c r="J248" s="89"/>
      <c r="K248" s="90"/>
    </row>
    <row r="249" spans="1:12">
      <c r="A249" s="91"/>
      <c r="B249" s="88"/>
      <c r="C249" s="88"/>
      <c r="D249" s="88"/>
      <c r="E249" s="88"/>
      <c r="F249" s="88"/>
      <c r="G249" s="88"/>
      <c r="H249" s="88"/>
      <c r="I249" s="89"/>
      <c r="J249" s="89"/>
      <c r="K249" s="90"/>
    </row>
    <row r="250" spans="1:12" ht="16">
      <c r="A250" s="10" t="s">
        <v>28032</v>
      </c>
      <c r="B250" s="207"/>
      <c r="C250" s="207"/>
      <c r="D250" s="207"/>
      <c r="E250" s="207"/>
      <c r="F250" s="207"/>
      <c r="G250" s="207"/>
      <c r="H250" s="207"/>
      <c r="I250" s="207"/>
      <c r="J250" s="1175" t="s">
        <v>28033</v>
      </c>
      <c r="K250" s="1176"/>
    </row>
    <row r="251" spans="1:12" ht="17" thickBot="1">
      <c r="A251" s="6"/>
      <c r="B251" s="11"/>
      <c r="C251" s="11"/>
      <c r="D251" s="11"/>
      <c r="E251" s="11"/>
      <c r="F251" s="11"/>
      <c r="G251" s="11"/>
      <c r="H251" s="11"/>
      <c r="I251" s="11"/>
      <c r="J251" s="1177">
        <f>B248</f>
        <v>10</v>
      </c>
      <c r="K251" s="1178"/>
    </row>
    <row r="252" spans="1:12" ht="22">
      <c r="A252" s="4" t="s">
        <v>28028</v>
      </c>
      <c r="B252" s="1173" t="s">
        <v>28029</v>
      </c>
      <c r="C252" s="1173"/>
      <c r="D252" s="1173"/>
      <c r="E252" s="1173"/>
      <c r="F252" s="1173"/>
      <c r="G252" s="1173"/>
      <c r="H252" s="1173"/>
      <c r="I252" s="1173"/>
      <c r="J252" s="1173"/>
      <c r="K252" s="5" t="s">
        <v>28030</v>
      </c>
    </row>
    <row r="253" spans="1:12" ht="22" customHeight="1" thickBot="1">
      <c r="A253" s="94" t="s">
        <v>13415</v>
      </c>
      <c r="B253" s="1174" t="str">
        <f>VLOOKUP($A253, 'Plan Orçamentária'!$Q$2:$S$128267,2,FALSE)</f>
        <v>FERRAGEM COMPLETA COM MAÇANETA TIPO ALAVANCA, PARA PORTA INTERNA COM 1 FOLHA</v>
      </c>
      <c r="C253" s="1174"/>
      <c r="D253" s="1174"/>
      <c r="E253" s="1174"/>
      <c r="F253" s="1174"/>
      <c r="G253" s="1174"/>
      <c r="H253" s="1174"/>
      <c r="I253" s="1174"/>
      <c r="J253" s="1174"/>
      <c r="K253" s="12" t="str">
        <f>VLOOKUP($A253,'Plan Orçamentária'!$Q$2:$S$138267,3,FALSE)</f>
        <v>CJ</v>
      </c>
      <c r="L253" s="15">
        <f>J271</f>
        <v>14</v>
      </c>
    </row>
    <row r="254" spans="1:12">
      <c r="A254" s="86" t="s">
        <v>44396</v>
      </c>
      <c r="B254" s="14"/>
      <c r="C254" s="14"/>
      <c r="D254" s="14"/>
      <c r="E254" s="14"/>
      <c r="F254" s="14"/>
      <c r="G254" s="14"/>
      <c r="H254" s="14"/>
      <c r="I254" s="14"/>
      <c r="J254" s="14"/>
      <c r="K254" s="87"/>
    </row>
    <row r="255" spans="1:12" ht="16.5" customHeight="1">
      <c r="A255" s="16"/>
      <c r="B255" s="14"/>
      <c r="C255" s="14"/>
      <c r="D255" s="14"/>
      <c r="E255" s="14"/>
      <c r="F255" s="14"/>
      <c r="G255" s="14"/>
      <c r="H255" s="14"/>
      <c r="I255" s="14"/>
      <c r="J255" s="14"/>
      <c r="K255" s="87"/>
    </row>
    <row r="256" spans="1:12" ht="16.5" customHeight="1">
      <c r="A256" s="16"/>
      <c r="B256" s="786"/>
      <c r="C256" s="787" t="s">
        <v>44397</v>
      </c>
      <c r="D256" s="787" t="s">
        <v>44418</v>
      </c>
      <c r="E256" s="787"/>
      <c r="F256" s="14"/>
      <c r="G256" s="14"/>
      <c r="H256" s="14"/>
      <c r="I256" s="14"/>
      <c r="J256" s="14"/>
      <c r="K256" s="87"/>
    </row>
    <row r="257" spans="1:11" ht="16.5" customHeight="1">
      <c r="A257" s="16" t="s">
        <v>44411</v>
      </c>
      <c r="B257" s="788"/>
      <c r="C257" s="787">
        <v>1</v>
      </c>
      <c r="D257" s="787">
        <f>C257</f>
        <v>1</v>
      </c>
      <c r="E257" s="787"/>
      <c r="F257" s="14"/>
      <c r="G257" s="14"/>
      <c r="H257" s="14"/>
      <c r="I257" s="14"/>
      <c r="J257" s="14"/>
      <c r="K257" s="87"/>
    </row>
    <row r="258" spans="1:11">
      <c r="A258" s="16" t="s">
        <v>44412</v>
      </c>
      <c r="B258" s="787"/>
      <c r="C258" s="787">
        <v>10</v>
      </c>
      <c r="D258" s="787">
        <f t="shared" ref="D258:D259" si="10">C258</f>
        <v>10</v>
      </c>
      <c r="E258" s="787"/>
      <c r="F258" s="14"/>
      <c r="G258" s="14"/>
      <c r="H258" s="14"/>
      <c r="I258" s="14"/>
      <c r="J258" s="14"/>
      <c r="K258" s="87"/>
    </row>
    <row r="259" spans="1:11" s="57" customFormat="1">
      <c r="A259" s="16" t="s">
        <v>44413</v>
      </c>
      <c r="B259" s="789"/>
      <c r="C259" s="789">
        <v>3</v>
      </c>
      <c r="D259" s="787">
        <f t="shared" si="10"/>
        <v>3</v>
      </c>
      <c r="E259" s="787"/>
      <c r="F259" s="14"/>
      <c r="G259" s="14"/>
      <c r="H259" s="14"/>
      <c r="I259" s="14"/>
      <c r="J259" s="14"/>
      <c r="K259" s="87"/>
    </row>
    <row r="260" spans="1:11">
      <c r="A260" s="16"/>
      <c r="B260" s="787"/>
      <c r="C260" s="787"/>
      <c r="D260" s="790"/>
      <c r="E260" s="787"/>
      <c r="F260" s="14"/>
      <c r="G260" s="14"/>
      <c r="H260" s="14"/>
      <c r="I260" s="14"/>
      <c r="J260" s="14"/>
      <c r="K260" s="87"/>
    </row>
    <row r="261" spans="1:11">
      <c r="A261" s="16"/>
      <c r="B261" s="787"/>
      <c r="C261" s="787"/>
      <c r="D261" s="787"/>
      <c r="E261" s="787"/>
      <c r="F261" s="14"/>
      <c r="G261" s="14"/>
      <c r="H261" s="14"/>
      <c r="I261" s="14"/>
      <c r="J261" s="14"/>
      <c r="K261" s="87"/>
    </row>
    <row r="262" spans="1:11">
      <c r="A262" s="1185"/>
      <c r="B262" s="787"/>
      <c r="C262" s="787"/>
      <c r="D262" s="787"/>
      <c r="E262" s="787"/>
      <c r="F262" s="14"/>
      <c r="G262" s="14"/>
      <c r="H262" s="14"/>
      <c r="I262" s="14"/>
      <c r="J262" s="14"/>
      <c r="K262" s="87"/>
    </row>
    <row r="263" spans="1:11">
      <c r="A263" s="1185"/>
      <c r="B263" s="787"/>
      <c r="C263" s="787"/>
      <c r="D263" s="791"/>
      <c r="E263" s="787"/>
      <c r="F263" s="14"/>
      <c r="G263" s="14"/>
      <c r="H263" s="88"/>
      <c r="I263" s="89"/>
      <c r="J263" s="89"/>
      <c r="K263" s="90"/>
    </row>
    <row r="264" spans="1:11">
      <c r="A264" s="16"/>
      <c r="B264" s="14"/>
      <c r="C264" s="14"/>
      <c r="D264" s="88"/>
      <c r="E264" s="14"/>
      <c r="F264" s="14"/>
      <c r="G264" s="14"/>
      <c r="H264" s="88"/>
      <c r="I264" s="89"/>
      <c r="J264" s="89"/>
      <c r="K264" s="90"/>
    </row>
    <row r="265" spans="1:11">
      <c r="A265" s="16"/>
      <c r="B265" s="14"/>
      <c r="C265" s="14"/>
      <c r="D265" s="88"/>
      <c r="E265" s="14"/>
      <c r="F265" s="14"/>
      <c r="G265" s="14"/>
      <c r="H265" s="88"/>
      <c r="I265" s="89"/>
      <c r="J265" s="89"/>
      <c r="K265" s="90"/>
    </row>
    <row r="266" spans="1:11">
      <c r="A266" s="16"/>
      <c r="B266" s="14"/>
      <c r="C266" s="14"/>
      <c r="D266" s="88"/>
      <c r="E266" s="14"/>
      <c r="F266" s="14"/>
      <c r="G266" s="14"/>
      <c r="H266" s="88"/>
      <c r="I266" s="89"/>
      <c r="J266" s="89"/>
      <c r="K266" s="90"/>
    </row>
    <row r="267" spans="1:11">
      <c r="A267" s="91"/>
      <c r="B267" s="88"/>
      <c r="C267" s="88"/>
      <c r="D267" s="88"/>
      <c r="E267" s="88"/>
      <c r="F267" s="88"/>
      <c r="G267" s="88"/>
      <c r="H267" s="88"/>
      <c r="I267" s="89"/>
      <c r="J267" s="89"/>
      <c r="K267" s="90"/>
    </row>
    <row r="268" spans="1:11">
      <c r="A268" s="91" t="s">
        <v>28031</v>
      </c>
      <c r="B268" s="88">
        <f>SUM(D257:D259)</f>
        <v>14</v>
      </c>
      <c r="C268" s="88" t="str">
        <f>K253</f>
        <v>CJ</v>
      </c>
      <c r="D268" s="88"/>
      <c r="E268" s="14"/>
      <c r="F268" s="14"/>
      <c r="G268" s="14"/>
      <c r="H268" s="88"/>
      <c r="I268" s="89"/>
      <c r="J268" s="89"/>
      <c r="K268" s="90"/>
    </row>
    <row r="269" spans="1:11">
      <c r="A269" s="91"/>
      <c r="B269" s="88"/>
      <c r="C269" s="88"/>
      <c r="D269" s="88"/>
      <c r="E269" s="88"/>
      <c r="F269" s="88"/>
      <c r="G269" s="88"/>
      <c r="H269" s="88"/>
      <c r="I269" s="89"/>
      <c r="J269" s="89"/>
      <c r="K269" s="90"/>
    </row>
    <row r="270" spans="1:11" ht="16">
      <c r="A270" s="10" t="s">
        <v>28032</v>
      </c>
      <c r="B270" s="207"/>
      <c r="C270" s="207"/>
      <c r="D270" s="207"/>
      <c r="E270" s="207"/>
      <c r="F270" s="207"/>
      <c r="G270" s="207"/>
      <c r="H270" s="207"/>
      <c r="I270" s="207"/>
      <c r="J270" s="1175" t="s">
        <v>28033</v>
      </c>
      <c r="K270" s="1176"/>
    </row>
    <row r="271" spans="1:11" ht="17" thickBot="1">
      <c r="A271" s="6"/>
      <c r="B271" s="11"/>
      <c r="C271" s="11"/>
      <c r="D271" s="11"/>
      <c r="E271" s="11"/>
      <c r="F271" s="11"/>
      <c r="G271" s="11"/>
      <c r="H271" s="11"/>
      <c r="I271" s="11"/>
      <c r="J271" s="1177">
        <f>B268</f>
        <v>14</v>
      </c>
      <c r="K271" s="1178"/>
    </row>
    <row r="272" spans="1:11" ht="22">
      <c r="A272" s="4" t="s">
        <v>28028</v>
      </c>
      <c r="B272" s="1173" t="s">
        <v>28029</v>
      </c>
      <c r="C272" s="1173"/>
      <c r="D272" s="1173"/>
      <c r="E272" s="1173"/>
      <c r="F272" s="1173"/>
      <c r="G272" s="1173"/>
      <c r="H272" s="1173"/>
      <c r="I272" s="1173"/>
      <c r="J272" s="1173"/>
      <c r="K272" s="5" t="s">
        <v>28030</v>
      </c>
    </row>
    <row r="273" spans="1:12" ht="22" customHeight="1" thickBot="1">
      <c r="A273" s="94" t="s">
        <v>13568</v>
      </c>
      <c r="B273" s="1174" t="str">
        <f>VLOOKUP($A273, 'Plan Orçamentária'!$Q$2:$S$128267,2,FALSE)</f>
        <v>BARRA DE APOIO RETA, PARA PESSOAS COM MOBILIDADE REDUZIDA, EM TUBO DE AÇO INOXIDÁVEL DE 1 1/4´ X 400 MM</v>
      </c>
      <c r="C273" s="1174"/>
      <c r="D273" s="1174"/>
      <c r="E273" s="1174"/>
      <c r="F273" s="1174"/>
      <c r="G273" s="1174"/>
      <c r="H273" s="1174"/>
      <c r="I273" s="1174"/>
      <c r="J273" s="1174"/>
      <c r="K273" s="12" t="str">
        <f>VLOOKUP($A273,'Plan Orçamentária'!$Q$2:$S$138267,3,FALSE)</f>
        <v>UN</v>
      </c>
      <c r="L273" s="15">
        <f>J291</f>
        <v>6</v>
      </c>
    </row>
    <row r="274" spans="1:12">
      <c r="A274" s="86" t="s">
        <v>44396</v>
      </c>
      <c r="B274" s="14"/>
      <c r="C274" s="14"/>
      <c r="D274" s="14"/>
      <c r="E274" s="14"/>
      <c r="F274" s="14"/>
      <c r="G274" s="14"/>
      <c r="H274" s="14"/>
      <c r="I274" s="14"/>
      <c r="J274" s="14"/>
      <c r="K274" s="87"/>
    </row>
    <row r="275" spans="1:12" ht="16.5" customHeight="1">
      <c r="A275" s="16"/>
      <c r="B275" s="14"/>
      <c r="C275" s="14"/>
      <c r="D275" s="14"/>
      <c r="E275" s="14"/>
      <c r="F275" s="14"/>
      <c r="G275" s="14"/>
      <c r="H275" s="14"/>
      <c r="I275" s="14"/>
      <c r="J275" s="14"/>
      <c r="K275" s="87"/>
    </row>
    <row r="276" spans="1:12" ht="16.5" customHeight="1">
      <c r="A276" s="16"/>
      <c r="B276" s="786" t="s">
        <v>103</v>
      </c>
      <c r="C276" s="787" t="s">
        <v>44397</v>
      </c>
      <c r="D276" s="787" t="s">
        <v>44418</v>
      </c>
      <c r="E276" s="787"/>
      <c r="F276" s="14"/>
      <c r="G276" s="14"/>
      <c r="H276" s="14"/>
      <c r="I276" s="14"/>
      <c r="J276" s="14"/>
      <c r="K276" s="87"/>
    </row>
    <row r="277" spans="1:12" ht="16.5" customHeight="1">
      <c r="A277" s="16"/>
      <c r="B277" s="788">
        <v>3</v>
      </c>
      <c r="C277" s="787">
        <v>2</v>
      </c>
      <c r="D277" s="787">
        <f>B277*C277</f>
        <v>6</v>
      </c>
      <c r="E277" s="787"/>
      <c r="F277" s="14"/>
      <c r="G277" s="14"/>
      <c r="H277" s="14"/>
      <c r="I277" s="14"/>
      <c r="J277" s="14"/>
      <c r="K277" s="87"/>
    </row>
    <row r="278" spans="1:12">
      <c r="A278" s="16"/>
      <c r="B278" s="787"/>
      <c r="C278" s="787"/>
      <c r="D278" s="787"/>
      <c r="E278" s="787"/>
      <c r="F278" s="14"/>
      <c r="G278" s="14"/>
      <c r="H278" s="14"/>
      <c r="I278" s="14"/>
      <c r="J278" s="14"/>
      <c r="K278" s="87"/>
    </row>
    <row r="279" spans="1:12" s="57" customFormat="1">
      <c r="A279" s="209"/>
      <c r="B279" s="789"/>
      <c r="C279" s="789"/>
      <c r="D279" s="787"/>
      <c r="E279" s="787"/>
      <c r="F279" s="14"/>
      <c r="G279" s="14"/>
      <c r="H279" s="14"/>
      <c r="I279" s="14"/>
      <c r="J279" s="14"/>
      <c r="K279" s="87"/>
    </row>
    <row r="280" spans="1:12">
      <c r="A280" s="16"/>
      <c r="B280" s="787"/>
      <c r="C280" s="787"/>
      <c r="D280" s="790"/>
      <c r="E280" s="787"/>
      <c r="F280" s="14"/>
      <c r="G280" s="14"/>
      <c r="H280" s="14"/>
      <c r="I280" s="14"/>
      <c r="J280" s="14"/>
      <c r="K280" s="87"/>
    </row>
    <row r="281" spans="1:12">
      <c r="A281" s="16"/>
      <c r="B281" s="14"/>
      <c r="C281" s="14"/>
      <c r="D281" s="88"/>
      <c r="E281" s="14"/>
      <c r="F281" s="14"/>
      <c r="G281" s="14"/>
      <c r="H281" s="88"/>
      <c r="I281" s="89"/>
      <c r="J281" s="89"/>
      <c r="K281" s="90"/>
    </row>
    <row r="282" spans="1:12">
      <c r="A282" s="16"/>
      <c r="B282" s="14"/>
      <c r="C282" s="14"/>
      <c r="D282" s="88"/>
      <c r="E282" s="14"/>
      <c r="F282" s="14"/>
      <c r="G282" s="14"/>
      <c r="H282" s="88"/>
      <c r="I282" s="89"/>
      <c r="J282" s="89"/>
      <c r="K282" s="90"/>
    </row>
    <row r="283" spans="1:12">
      <c r="A283" s="16"/>
      <c r="B283" s="14"/>
      <c r="C283" s="14"/>
      <c r="D283" s="88"/>
      <c r="E283" s="14"/>
      <c r="F283" s="14"/>
      <c r="G283" s="14"/>
      <c r="H283" s="88"/>
      <c r="I283" s="89"/>
      <c r="J283" s="89"/>
      <c r="K283" s="90"/>
    </row>
    <row r="284" spans="1:12">
      <c r="A284" s="16"/>
      <c r="B284" s="14"/>
      <c r="C284" s="14"/>
      <c r="D284" s="88"/>
      <c r="E284" s="14"/>
      <c r="F284" s="14"/>
      <c r="G284" s="14"/>
      <c r="H284" s="88"/>
      <c r="I284" s="89"/>
      <c r="J284" s="89"/>
      <c r="K284" s="90"/>
    </row>
    <row r="285" spans="1:12">
      <c r="A285" s="16"/>
      <c r="B285" s="14"/>
      <c r="C285" s="14"/>
      <c r="D285" s="88"/>
      <c r="E285" s="14"/>
      <c r="F285" s="14"/>
      <c r="G285" s="14"/>
      <c r="H285" s="88"/>
      <c r="I285" s="89"/>
      <c r="J285" s="89"/>
      <c r="K285" s="90"/>
    </row>
    <row r="286" spans="1:12">
      <c r="A286" s="16"/>
      <c r="B286" s="14"/>
      <c r="C286" s="14"/>
      <c r="D286" s="88"/>
      <c r="E286" s="14"/>
      <c r="F286" s="14"/>
      <c r="G286" s="14"/>
      <c r="H286" s="88"/>
      <c r="I286" s="89"/>
      <c r="J286" s="89"/>
      <c r="K286" s="90"/>
    </row>
    <row r="287" spans="1:12">
      <c r="A287" s="91"/>
      <c r="B287" s="88"/>
      <c r="C287" s="88"/>
      <c r="D287" s="88"/>
      <c r="E287" s="88"/>
      <c r="F287" s="88"/>
      <c r="G287" s="88"/>
      <c r="H287" s="88"/>
      <c r="I287" s="89"/>
      <c r="J287" s="89"/>
      <c r="K287" s="90"/>
    </row>
    <row r="288" spans="1:12">
      <c r="A288" s="91" t="s">
        <v>28031</v>
      </c>
      <c r="B288" s="88">
        <f>D277</f>
        <v>6</v>
      </c>
      <c r="C288" s="88" t="str">
        <f>K273</f>
        <v>UN</v>
      </c>
      <c r="D288" s="88"/>
      <c r="E288" s="14"/>
      <c r="F288" s="14"/>
      <c r="G288" s="14"/>
      <c r="H288" s="88"/>
      <c r="I288" s="89"/>
      <c r="J288" s="89"/>
      <c r="K288" s="90"/>
    </row>
    <row r="289" spans="1:12">
      <c r="A289" s="91"/>
      <c r="B289" s="88"/>
      <c r="C289" s="88"/>
      <c r="D289" s="88"/>
      <c r="E289" s="88"/>
      <c r="F289" s="88"/>
      <c r="G289" s="88"/>
      <c r="H289" s="88"/>
      <c r="I289" s="89"/>
      <c r="J289" s="89"/>
      <c r="K289" s="90"/>
    </row>
    <row r="290" spans="1:12" ht="16">
      <c r="A290" s="10" t="s">
        <v>28032</v>
      </c>
      <c r="B290" s="207"/>
      <c r="C290" s="207"/>
      <c r="D290" s="207"/>
      <c r="E290" s="207"/>
      <c r="F290" s="207"/>
      <c r="G290" s="207"/>
      <c r="H290" s="207"/>
      <c r="I290" s="207"/>
      <c r="J290" s="1175" t="s">
        <v>28033</v>
      </c>
      <c r="K290" s="1176"/>
    </row>
    <row r="291" spans="1:12" ht="17" thickBot="1">
      <c r="A291" s="6"/>
      <c r="B291" s="11"/>
      <c r="C291" s="11"/>
      <c r="D291" s="11"/>
      <c r="E291" s="11"/>
      <c r="F291" s="11"/>
      <c r="G291" s="11"/>
      <c r="H291" s="11"/>
      <c r="I291" s="11"/>
      <c r="J291" s="1177">
        <f>B288</f>
        <v>6</v>
      </c>
      <c r="K291" s="1178"/>
    </row>
    <row r="292" spans="1:12" ht="22">
      <c r="A292" s="4" t="s">
        <v>28028</v>
      </c>
      <c r="B292" s="1173" t="s">
        <v>28029</v>
      </c>
      <c r="C292" s="1173"/>
      <c r="D292" s="1173"/>
      <c r="E292" s="1173"/>
      <c r="F292" s="1173"/>
      <c r="G292" s="1173"/>
      <c r="H292" s="1173"/>
      <c r="I292" s="1173"/>
      <c r="J292" s="1173"/>
      <c r="K292" s="5" t="s">
        <v>28030</v>
      </c>
    </row>
    <row r="293" spans="1:12" ht="22" customHeight="1" thickBot="1">
      <c r="A293" s="94" t="s">
        <v>13586</v>
      </c>
      <c r="B293" s="1174" t="str">
        <f>VLOOKUP($A293, 'Plan Orçamentária'!$Q$2:$S$128267,2,FALSE)</f>
        <v>REVESTIMENTO EM CHAPA DE AÇO INOXIDÁVEL PARA PROTEÇÃO DE PORTAS, ALTURA DE 40 CM</v>
      </c>
      <c r="C293" s="1174"/>
      <c r="D293" s="1174"/>
      <c r="E293" s="1174"/>
      <c r="F293" s="1174"/>
      <c r="G293" s="1174"/>
      <c r="H293" s="1174"/>
      <c r="I293" s="1174"/>
      <c r="J293" s="1174"/>
      <c r="K293" s="12" t="str">
        <f>VLOOKUP($A293,'Plan Orçamentária'!$Q$2:$S$138267,3,FALSE)</f>
        <v>M</v>
      </c>
      <c r="L293" s="15">
        <f>J311</f>
        <v>5.4</v>
      </c>
    </row>
    <row r="294" spans="1:12">
      <c r="A294" s="86" t="s">
        <v>44396</v>
      </c>
      <c r="B294" s="14"/>
      <c r="C294" s="14"/>
      <c r="D294" s="14"/>
      <c r="E294" s="14"/>
      <c r="F294" s="14"/>
      <c r="G294" s="14"/>
      <c r="H294" s="14"/>
      <c r="I294" s="14"/>
      <c r="J294" s="14"/>
      <c r="K294" s="87"/>
    </row>
    <row r="295" spans="1:12" ht="16.5" customHeight="1">
      <c r="A295" s="16"/>
      <c r="B295" s="14"/>
      <c r="C295" s="14"/>
      <c r="D295" s="14"/>
      <c r="E295" s="14"/>
      <c r="F295" s="14"/>
      <c r="G295" s="14"/>
      <c r="H295" s="14"/>
      <c r="I295" s="14"/>
      <c r="J295" s="14"/>
      <c r="K295" s="87"/>
    </row>
    <row r="296" spans="1:12" ht="16.5" customHeight="1">
      <c r="A296" s="16"/>
      <c r="B296" s="786" t="s">
        <v>44419</v>
      </c>
      <c r="C296" s="787" t="s">
        <v>44397</v>
      </c>
      <c r="D296" s="787"/>
      <c r="E296" s="787" t="s">
        <v>44420</v>
      </c>
      <c r="F296" s="14"/>
      <c r="G296" s="14"/>
      <c r="H296" s="14"/>
      <c r="I296" s="14"/>
      <c r="J296" s="14"/>
      <c r="K296" s="87"/>
    </row>
    <row r="297" spans="1:12">
      <c r="A297" s="16"/>
      <c r="B297" s="787">
        <v>0.9</v>
      </c>
      <c r="C297" s="787">
        <v>3</v>
      </c>
      <c r="D297" s="787">
        <v>2</v>
      </c>
      <c r="E297" s="787">
        <f t="shared" ref="E297" si="11">(B297*C297)*D297</f>
        <v>5.4</v>
      </c>
      <c r="F297" s="14"/>
      <c r="G297" s="14"/>
      <c r="H297" s="14"/>
      <c r="I297" s="14"/>
      <c r="J297" s="14"/>
      <c r="K297" s="87"/>
    </row>
    <row r="298" spans="1:12">
      <c r="A298" s="1185"/>
      <c r="B298" s="787"/>
      <c r="C298" s="787"/>
      <c r="D298" s="787"/>
      <c r="E298" s="787"/>
      <c r="F298" s="14"/>
      <c r="G298" s="14"/>
      <c r="H298" s="14"/>
      <c r="I298" s="14"/>
      <c r="J298" s="14"/>
      <c r="K298" s="87"/>
    </row>
    <row r="299" spans="1:12">
      <c r="A299" s="1185"/>
      <c r="B299" s="787"/>
      <c r="C299" s="787"/>
      <c r="D299" s="791"/>
      <c r="E299" s="787"/>
      <c r="F299" s="14"/>
      <c r="G299" s="14"/>
      <c r="H299" s="88"/>
      <c r="I299" s="89"/>
      <c r="J299" s="89"/>
      <c r="K299" s="90"/>
    </row>
    <row r="300" spans="1:12">
      <c r="A300" s="16"/>
      <c r="B300" s="14"/>
      <c r="C300" s="14"/>
      <c r="D300" s="88"/>
      <c r="E300" s="14"/>
      <c r="F300" s="14"/>
      <c r="G300" s="14"/>
      <c r="H300" s="88"/>
      <c r="I300" s="89"/>
      <c r="J300" s="89"/>
      <c r="K300" s="90"/>
    </row>
    <row r="301" spans="1:12">
      <c r="A301" s="16"/>
      <c r="B301" s="14"/>
      <c r="C301" s="14"/>
      <c r="D301" s="88"/>
      <c r="E301" s="14"/>
      <c r="F301" s="14"/>
      <c r="G301" s="14"/>
      <c r="H301" s="88"/>
      <c r="I301" s="89"/>
      <c r="J301" s="89"/>
      <c r="K301" s="90"/>
    </row>
    <row r="302" spans="1:12">
      <c r="A302" s="16"/>
      <c r="B302" s="14"/>
      <c r="C302" s="14"/>
      <c r="D302" s="88"/>
      <c r="E302" s="14"/>
      <c r="F302" s="14"/>
      <c r="G302" s="14"/>
      <c r="H302" s="88"/>
      <c r="I302" s="89"/>
      <c r="J302" s="89"/>
      <c r="K302" s="90"/>
    </row>
    <row r="303" spans="1:12">
      <c r="A303" s="91"/>
      <c r="B303" s="88"/>
      <c r="C303" s="88"/>
      <c r="D303" s="88"/>
      <c r="E303" s="88"/>
      <c r="F303" s="88"/>
      <c r="G303" s="88"/>
      <c r="H303" s="88"/>
      <c r="I303" s="89"/>
      <c r="J303" s="89"/>
      <c r="K303" s="90"/>
    </row>
    <row r="304" spans="1:12">
      <c r="A304" s="16"/>
      <c r="B304" s="14"/>
      <c r="C304" s="14"/>
      <c r="D304" s="88"/>
      <c r="E304" s="14"/>
      <c r="F304" s="14"/>
      <c r="G304" s="14"/>
      <c r="H304" s="88"/>
      <c r="I304" s="89"/>
      <c r="J304" s="89"/>
      <c r="K304" s="90"/>
    </row>
    <row r="305" spans="1:11">
      <c r="A305" s="16"/>
      <c r="B305" s="14"/>
      <c r="C305" s="14"/>
      <c r="D305" s="88"/>
      <c r="E305" s="14"/>
      <c r="F305" s="14"/>
      <c r="G305" s="14"/>
      <c r="H305" s="88"/>
      <c r="I305" s="89"/>
      <c r="J305" s="89"/>
      <c r="K305" s="90"/>
    </row>
    <row r="306" spans="1:11">
      <c r="A306" s="16"/>
      <c r="B306" s="14"/>
      <c r="C306" s="14"/>
      <c r="D306" s="88"/>
      <c r="E306" s="14"/>
      <c r="F306" s="14"/>
      <c r="G306" s="14"/>
      <c r="H306" s="88"/>
      <c r="I306" s="89"/>
      <c r="J306" s="89"/>
      <c r="K306" s="90"/>
    </row>
    <row r="307" spans="1:11">
      <c r="A307" s="91"/>
      <c r="B307" s="88"/>
      <c r="C307" s="88"/>
      <c r="D307" s="88"/>
      <c r="E307" s="88"/>
      <c r="F307" s="88"/>
      <c r="G307" s="88"/>
      <c r="H307" s="88"/>
      <c r="I307" s="89"/>
      <c r="J307" s="89"/>
      <c r="K307" s="90"/>
    </row>
    <row r="308" spans="1:11">
      <c r="A308" s="91" t="s">
        <v>28031</v>
      </c>
      <c r="B308" s="88">
        <f>SUM(E297:E299)</f>
        <v>5.4</v>
      </c>
      <c r="C308" s="88" t="str">
        <f>K293</f>
        <v>M</v>
      </c>
      <c r="D308" s="88"/>
      <c r="E308" s="14"/>
      <c r="F308" s="14"/>
      <c r="G308" s="14"/>
      <c r="H308" s="88"/>
      <c r="I308" s="89"/>
      <c r="J308" s="89"/>
      <c r="K308" s="90"/>
    </row>
    <row r="309" spans="1:11">
      <c r="A309" s="91"/>
      <c r="B309" s="88"/>
      <c r="C309" s="88"/>
      <c r="D309" s="88"/>
      <c r="E309" s="88"/>
      <c r="F309" s="88"/>
      <c r="G309" s="88"/>
      <c r="H309" s="88"/>
      <c r="I309" s="89"/>
      <c r="J309" s="89"/>
      <c r="K309" s="90"/>
    </row>
    <row r="310" spans="1:11" ht="16">
      <c r="A310" s="10" t="s">
        <v>28032</v>
      </c>
      <c r="B310" s="207"/>
      <c r="C310" s="207"/>
      <c r="D310" s="207"/>
      <c r="E310" s="207"/>
      <c r="F310" s="207"/>
      <c r="G310" s="207"/>
      <c r="H310" s="207"/>
      <c r="I310" s="207"/>
      <c r="J310" s="1175" t="s">
        <v>28033</v>
      </c>
      <c r="K310" s="1176"/>
    </row>
    <row r="311" spans="1:11" ht="17" thickBot="1">
      <c r="A311" s="6"/>
      <c r="B311" s="11"/>
      <c r="C311" s="11"/>
      <c r="D311" s="11"/>
      <c r="E311" s="11"/>
      <c r="F311" s="11"/>
      <c r="G311" s="11"/>
      <c r="H311" s="11"/>
      <c r="I311" s="11"/>
      <c r="J311" s="1177">
        <f>B308</f>
        <v>5.4</v>
      </c>
      <c r="K311" s="1178"/>
    </row>
  </sheetData>
  <mergeCells count="72">
    <mergeCell ref="A82:A83"/>
    <mergeCell ref="A1:K1"/>
    <mergeCell ref="A2:K10"/>
    <mergeCell ref="B11:K11"/>
    <mergeCell ref="B12:J12"/>
    <mergeCell ref="B13:J13"/>
    <mergeCell ref="A21:A22"/>
    <mergeCell ref="A57:A58"/>
    <mergeCell ref="A59:A60"/>
    <mergeCell ref="B53:J53"/>
    <mergeCell ref="J70:K70"/>
    <mergeCell ref="J71:K71"/>
    <mergeCell ref="A23:A24"/>
    <mergeCell ref="J31:K31"/>
    <mergeCell ref="J30:K30"/>
    <mergeCell ref="J111:K111"/>
    <mergeCell ref="B112:J112"/>
    <mergeCell ref="B113:J113"/>
    <mergeCell ref="B92:J92"/>
    <mergeCell ref="B32:J32"/>
    <mergeCell ref="B33:J33"/>
    <mergeCell ref="J50:K50"/>
    <mergeCell ref="J51:K51"/>
    <mergeCell ref="B52:J52"/>
    <mergeCell ref="J90:K90"/>
    <mergeCell ref="J91:K91"/>
    <mergeCell ref="B93:J93"/>
    <mergeCell ref="J110:K110"/>
    <mergeCell ref="B72:J72"/>
    <mergeCell ref="B73:J73"/>
    <mergeCell ref="B152:J152"/>
    <mergeCell ref="J130:K130"/>
    <mergeCell ref="J131:K131"/>
    <mergeCell ref="B132:J132"/>
    <mergeCell ref="B133:J133"/>
    <mergeCell ref="J150:K150"/>
    <mergeCell ref="J151:K151"/>
    <mergeCell ref="B153:J153"/>
    <mergeCell ref="J170:K170"/>
    <mergeCell ref="J171:K171"/>
    <mergeCell ref="B172:J172"/>
    <mergeCell ref="B173:J173"/>
    <mergeCell ref="A182:A183"/>
    <mergeCell ref="J190:K190"/>
    <mergeCell ref="J191:K191"/>
    <mergeCell ref="B192:J192"/>
    <mergeCell ref="B193:J193"/>
    <mergeCell ref="J210:K210"/>
    <mergeCell ref="J211:K211"/>
    <mergeCell ref="B212:J212"/>
    <mergeCell ref="B213:J213"/>
    <mergeCell ref="J230:K230"/>
    <mergeCell ref="J231:K231"/>
    <mergeCell ref="J250:K250"/>
    <mergeCell ref="J251:K251"/>
    <mergeCell ref="B252:J252"/>
    <mergeCell ref="B253:J253"/>
    <mergeCell ref="A238:A239"/>
    <mergeCell ref="B232:J232"/>
    <mergeCell ref="B233:J233"/>
    <mergeCell ref="A262:A263"/>
    <mergeCell ref="B293:J293"/>
    <mergeCell ref="J270:K270"/>
    <mergeCell ref="A298:A299"/>
    <mergeCell ref="J310:K310"/>
    <mergeCell ref="J311:K311"/>
    <mergeCell ref="J271:K271"/>
    <mergeCell ref="B272:J272"/>
    <mergeCell ref="B273:J273"/>
    <mergeCell ref="J290:K290"/>
    <mergeCell ref="J291:K291"/>
    <mergeCell ref="B292:J292"/>
  </mergeCells>
  <phoneticPr fontId="36" type="noConversion"/>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1CFAA-F01C-4EC5-B60A-9694BDBA2957}">
  <sheetPr codeName="Planilha28">
    <pageSetUpPr fitToPage="1"/>
  </sheetPr>
  <dimension ref="A1:L131"/>
  <sheetViews>
    <sheetView view="pageBreakPreview" topLeftCell="A50"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44374</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12316</v>
      </c>
      <c r="B13" s="1174" t="str">
        <f>VLOOKUP($A13, 'Plan Orçamentária'!$Q$2:$S$128267,2,FALSE)</f>
        <v>CHAPISCO</v>
      </c>
      <c r="C13" s="1174"/>
      <c r="D13" s="1174"/>
      <c r="E13" s="1174"/>
      <c r="F13" s="1174"/>
      <c r="G13" s="1174"/>
      <c r="H13" s="1174"/>
      <c r="I13" s="1174"/>
      <c r="J13" s="1174"/>
      <c r="K13" s="12" t="str">
        <f>VLOOKUP($A13,'Plan Orçamentária'!$Q$2:$S$138267,3,FALSE)</f>
        <v>M2</v>
      </c>
      <c r="L13" s="15">
        <f>J31</f>
        <v>1457.6200000000001</v>
      </c>
    </row>
    <row r="14" spans="1:12">
      <c r="A14" s="86" t="s">
        <v>44433</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11" ht="16.5" customHeight="1">
      <c r="A17" s="16" t="s">
        <v>44375</v>
      </c>
      <c r="B17" s="234"/>
      <c r="C17" s="14"/>
      <c r="D17" s="14"/>
      <c r="E17" s="14">
        <f>'PAREDES E PAINEIS'!$L$13</f>
        <v>564.94000000000005</v>
      </c>
      <c r="F17" s="14" t="s">
        <v>509</v>
      </c>
      <c r="G17" s="14"/>
      <c r="H17" s="14"/>
      <c r="I17" s="14"/>
      <c r="J17" s="14"/>
      <c r="K17" s="87"/>
    </row>
    <row r="18" spans="1:11">
      <c r="A18" s="16" t="s">
        <v>44376</v>
      </c>
      <c r="B18" s="14"/>
      <c r="C18" s="14"/>
      <c r="D18" s="14"/>
      <c r="E18" s="14">
        <f>'PAREDES E PAINEIS'!$L$33</f>
        <v>163.87</v>
      </c>
      <c r="F18" s="14" t="s">
        <v>509</v>
      </c>
      <c r="G18" s="14"/>
      <c r="H18" s="14"/>
      <c r="I18" s="14"/>
      <c r="J18" s="14"/>
      <c r="K18" s="87"/>
    </row>
    <row r="19" spans="1:11" s="57" customFormat="1">
      <c r="A19" s="209" t="s">
        <v>44377</v>
      </c>
      <c r="B19" s="208"/>
      <c r="C19" s="208"/>
      <c r="D19" s="14"/>
      <c r="E19" s="14">
        <v>0</v>
      </c>
      <c r="F19" s="14" t="s">
        <v>509</v>
      </c>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t="s">
        <v>44378</v>
      </c>
      <c r="B22" s="14"/>
      <c r="C22" s="14"/>
      <c r="D22" s="14"/>
      <c r="E22" s="14">
        <v>2</v>
      </c>
      <c r="F22" s="14" t="s">
        <v>44379</v>
      </c>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t="s">
        <v>44380</v>
      </c>
      <c r="B25" s="14"/>
      <c r="C25" s="14">
        <f>SUM(E17:E19)*E22</f>
        <v>1457.6200000000001</v>
      </c>
      <c r="D25" s="88" t="str">
        <f>K13</f>
        <v>M2</v>
      </c>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c r="B28" s="88"/>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C25</f>
        <v>1457.6200000000001</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12326</v>
      </c>
      <c r="B33" s="1174" t="str">
        <f>VLOOKUP($A33, 'Plan Orçamentária'!$Q$2:$S$128267,2,FALSE)</f>
        <v>EMBOÇO COMUM</v>
      </c>
      <c r="C33" s="1174"/>
      <c r="D33" s="1174"/>
      <c r="E33" s="1174"/>
      <c r="F33" s="1174"/>
      <c r="G33" s="1174"/>
      <c r="H33" s="1174"/>
      <c r="I33" s="1174"/>
      <c r="J33" s="1174"/>
      <c r="K33" s="12" t="str">
        <f>VLOOKUP($A33,'Plan Orçamentária'!$Q$2:$S$138267,3,FALSE)</f>
        <v>M2</v>
      </c>
      <c r="L33" s="15">
        <f>J51</f>
        <v>1495.2620000000002</v>
      </c>
    </row>
    <row r="34" spans="1:12">
      <c r="A34" s="86" t="s">
        <v>44433</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c r="B36" s="233"/>
      <c r="C36" s="14"/>
      <c r="D36" s="14"/>
      <c r="E36" s="14"/>
      <c r="F36" s="14"/>
      <c r="G36" s="14"/>
      <c r="H36" s="14"/>
      <c r="I36" s="14"/>
      <c r="J36" s="14"/>
      <c r="K36" s="87"/>
    </row>
    <row r="37" spans="1:12" ht="16.5" customHeight="1">
      <c r="A37" s="16" t="s">
        <v>44375</v>
      </c>
      <c r="B37" s="234"/>
      <c r="C37" s="14"/>
      <c r="D37" s="14"/>
      <c r="E37" s="14">
        <f>'PAREDES E PAINEIS'!$L$13</f>
        <v>564.94000000000005</v>
      </c>
      <c r="F37" s="14" t="s">
        <v>509</v>
      </c>
      <c r="G37" s="14"/>
      <c r="H37" s="14"/>
      <c r="I37" s="14"/>
      <c r="J37" s="14"/>
      <c r="K37" s="87"/>
    </row>
    <row r="38" spans="1:12">
      <c r="A38" s="16" t="s">
        <v>44376</v>
      </c>
      <c r="B38" s="14"/>
      <c r="C38" s="14"/>
      <c r="D38" s="14"/>
      <c r="E38" s="14">
        <f>'PAREDES E PAINEIS'!$L$33</f>
        <v>163.87</v>
      </c>
      <c r="F38" s="14" t="s">
        <v>509</v>
      </c>
      <c r="G38" s="14"/>
      <c r="H38" s="14"/>
      <c r="I38" s="14"/>
      <c r="J38" s="14"/>
      <c r="K38" s="87"/>
    </row>
    <row r="39" spans="1:12" s="57" customFormat="1">
      <c r="A39" s="209" t="s">
        <v>44377</v>
      </c>
      <c r="B39" s="208"/>
      <c r="C39" s="208"/>
      <c r="D39" s="14"/>
      <c r="E39" s="14">
        <f>'Plan Orçamentária'!$T$164*0.55</f>
        <v>18.821000000000002</v>
      </c>
      <c r="F39" s="14" t="s">
        <v>509</v>
      </c>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t="s">
        <v>44378</v>
      </c>
      <c r="B42" s="14"/>
      <c r="C42" s="14"/>
      <c r="D42" s="14"/>
      <c r="E42" s="14">
        <v>2</v>
      </c>
      <c r="F42" s="14" t="s">
        <v>44379</v>
      </c>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t="s">
        <v>44381</v>
      </c>
      <c r="B45" s="14"/>
      <c r="C45" s="14">
        <f>SUM(E37:E39)*E42</f>
        <v>1495.2620000000002</v>
      </c>
      <c r="D45" s="88" t="str">
        <f>K33</f>
        <v>M2</v>
      </c>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c r="B48" s="88"/>
      <c r="C48" s="88"/>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C45</f>
        <v>1495.2620000000002</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12332</v>
      </c>
      <c r="B53" s="1174" t="str">
        <f>VLOOKUP($A53, 'Plan Orçamentária'!$Q$2:$S$128267,2,FALSE)</f>
        <v>REBOCO</v>
      </c>
      <c r="C53" s="1174"/>
      <c r="D53" s="1174"/>
      <c r="E53" s="1174"/>
      <c r="F53" s="1174"/>
      <c r="G53" s="1174"/>
      <c r="H53" s="1174"/>
      <c r="I53" s="1174"/>
      <c r="J53" s="1174"/>
      <c r="K53" s="12" t="str">
        <f>VLOOKUP($A53,'Plan Orçamentária'!$Q$2:$S$138267,3,FALSE)</f>
        <v>M2</v>
      </c>
      <c r="L53" s="15">
        <f>J71</f>
        <v>1495.2620000000002</v>
      </c>
    </row>
    <row r="54" spans="1:12">
      <c r="A54" s="86" t="s">
        <v>44433</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233"/>
      <c r="C56" s="14"/>
      <c r="D56" s="14"/>
      <c r="E56" s="14"/>
      <c r="F56" s="14"/>
      <c r="G56" s="14"/>
      <c r="H56" s="14"/>
      <c r="I56" s="14"/>
      <c r="J56" s="14"/>
      <c r="K56" s="87"/>
    </row>
    <row r="57" spans="1:12" ht="16.5" customHeight="1">
      <c r="A57" s="16" t="s">
        <v>44375</v>
      </c>
      <c r="B57" s="234"/>
      <c r="C57" s="14"/>
      <c r="D57" s="14"/>
      <c r="E57" s="14">
        <f>'PAREDES E PAINEIS'!$L$13</f>
        <v>564.94000000000005</v>
      </c>
      <c r="F57" s="14" t="s">
        <v>509</v>
      </c>
      <c r="G57" s="14"/>
      <c r="H57" s="14"/>
      <c r="I57" s="14"/>
      <c r="J57" s="14"/>
      <c r="K57" s="87"/>
    </row>
    <row r="58" spans="1:12">
      <c r="A58" s="16" t="s">
        <v>44376</v>
      </c>
      <c r="B58" s="14"/>
      <c r="C58" s="14"/>
      <c r="D58" s="14"/>
      <c r="E58" s="14">
        <f>'PAREDES E PAINEIS'!$L$33</f>
        <v>163.87</v>
      </c>
      <c r="F58" s="14" t="s">
        <v>509</v>
      </c>
      <c r="G58" s="14"/>
      <c r="H58" s="14"/>
      <c r="I58" s="14"/>
      <c r="J58" s="14"/>
      <c r="K58" s="87"/>
    </row>
    <row r="59" spans="1:12" s="57" customFormat="1">
      <c r="A59" s="209" t="s">
        <v>44377</v>
      </c>
      <c r="B59" s="208"/>
      <c r="C59" s="208"/>
      <c r="D59" s="14"/>
      <c r="E59" s="14">
        <f>'Plan Orçamentária'!$T$164*0.55</f>
        <v>18.821000000000002</v>
      </c>
      <c r="F59" s="14" t="s">
        <v>509</v>
      </c>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t="s">
        <v>44378</v>
      </c>
      <c r="B62" s="14"/>
      <c r="C62" s="14"/>
      <c r="D62" s="14"/>
      <c r="E62" s="14">
        <v>2</v>
      </c>
      <c r="F62" s="14" t="s">
        <v>44379</v>
      </c>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t="s">
        <v>44382</v>
      </c>
      <c r="B65" s="14"/>
      <c r="C65" s="14"/>
      <c r="D65" s="88"/>
      <c r="E65" s="14">
        <v>0</v>
      </c>
      <c r="F65" s="14" t="s">
        <v>509</v>
      </c>
      <c r="G65" s="14"/>
      <c r="H65" s="88"/>
      <c r="I65" s="89"/>
      <c r="J65" s="89"/>
      <c r="K65" s="90"/>
    </row>
    <row r="66" spans="1:12">
      <c r="A66" s="16"/>
      <c r="B66" s="14"/>
      <c r="C66" s="14"/>
      <c r="D66" s="88"/>
      <c r="E66" s="14"/>
      <c r="F66" s="14"/>
      <c r="G66" s="14"/>
      <c r="H66" s="88"/>
      <c r="I66" s="89"/>
      <c r="J66" s="89"/>
      <c r="K66" s="90"/>
    </row>
    <row r="67" spans="1:12">
      <c r="A67" s="91" t="s">
        <v>44383</v>
      </c>
      <c r="B67" s="88"/>
      <c r="C67" s="88">
        <f>((SUM(E57:E59))*E62)-E65</f>
        <v>1495.2620000000002</v>
      </c>
      <c r="D67" s="88" t="str">
        <f>K53</f>
        <v>M2</v>
      </c>
      <c r="E67" s="88"/>
      <c r="F67" s="88"/>
      <c r="G67" s="88"/>
      <c r="H67" s="88"/>
      <c r="I67" s="89"/>
      <c r="J67" s="89"/>
      <c r="K67" s="90"/>
    </row>
    <row r="68" spans="1:12">
      <c r="A68" s="91"/>
      <c r="B68" s="88"/>
      <c r="C68" s="88"/>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C67</f>
        <v>1495.2620000000002</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12447</v>
      </c>
      <c r="B73" s="1174" t="str">
        <f>VLOOKUP($A73, 'Plan Orçamentária'!$Q$2:$S$128267,2,FALSE)</f>
        <v>PLACA CERÂMICA ESMALTADA PEI-5 PARA ÁREA INTERNA, GRUPO DE ABSORÇÃO BIIB, RESISTÊNCIA QUÍMICA B, ASSENTADO COM ARGAMASSA COLANTE INDUSTRIALIZADA</v>
      </c>
      <c r="C73" s="1174"/>
      <c r="D73" s="1174"/>
      <c r="E73" s="1174"/>
      <c r="F73" s="1174"/>
      <c r="G73" s="1174"/>
      <c r="H73" s="1174"/>
      <c r="I73" s="1174"/>
      <c r="J73" s="1174"/>
      <c r="K73" s="12" t="str">
        <f>VLOOKUP($A73,'Plan Orçamentária'!$Q$2:$S$138267,3,FALSE)</f>
        <v>M2</v>
      </c>
      <c r="L73" s="15">
        <f>J91</f>
        <v>272.63</v>
      </c>
    </row>
    <row r="74" spans="1:12">
      <c r="A74" s="86" t="s">
        <v>44433</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786" t="s">
        <v>41798</v>
      </c>
      <c r="C76" s="787" t="s">
        <v>41787</v>
      </c>
      <c r="D76" s="787"/>
      <c r="E76" s="787" t="s">
        <v>44398</v>
      </c>
      <c r="F76" s="14"/>
      <c r="G76" s="14"/>
      <c r="H76" s="14"/>
      <c r="I76" s="14"/>
      <c r="J76" s="14"/>
      <c r="K76" s="87"/>
    </row>
    <row r="77" spans="1:12" ht="16.5" customHeight="1">
      <c r="A77" s="1185" t="s">
        <v>44422</v>
      </c>
      <c r="B77" s="234">
        <v>9.18</v>
      </c>
      <c r="C77" s="14">
        <v>2.9</v>
      </c>
      <c r="D77" s="787"/>
      <c r="E77" s="14">
        <f t="shared" ref="E77:E81" si="0">C77*B77</f>
        <v>26.622</v>
      </c>
      <c r="F77" s="14"/>
      <c r="G77" s="14"/>
      <c r="H77" s="14"/>
      <c r="I77" s="14"/>
      <c r="J77" s="14"/>
      <c r="K77" s="87"/>
    </row>
    <row r="78" spans="1:12">
      <c r="A78" s="1185"/>
      <c r="B78" s="234">
        <v>9.18</v>
      </c>
      <c r="C78" s="14">
        <v>2.9</v>
      </c>
      <c r="D78" s="787"/>
      <c r="E78" s="14">
        <f t="shared" si="0"/>
        <v>26.622</v>
      </c>
      <c r="F78" s="14"/>
      <c r="G78" s="14"/>
      <c r="H78" s="14"/>
      <c r="I78" s="14"/>
      <c r="J78" s="14"/>
      <c r="K78" s="87"/>
    </row>
    <row r="79" spans="1:12" s="57" customFormat="1">
      <c r="A79" s="1188" t="s">
        <v>44423</v>
      </c>
      <c r="B79" s="234">
        <v>9.1999999999999993</v>
      </c>
      <c r="C79" s="14">
        <v>2.9</v>
      </c>
      <c r="D79" s="787"/>
      <c r="E79" s="14">
        <f t="shared" si="0"/>
        <v>26.679999999999996</v>
      </c>
      <c r="F79" s="14"/>
      <c r="G79" s="14"/>
      <c r="H79" s="14"/>
      <c r="I79" s="14"/>
      <c r="J79" s="14"/>
      <c r="K79" s="87"/>
    </row>
    <row r="80" spans="1:12">
      <c r="A80" s="1188"/>
      <c r="B80" s="234">
        <v>9.1999999999999993</v>
      </c>
      <c r="C80" s="14">
        <v>2.9</v>
      </c>
      <c r="D80" s="787"/>
      <c r="E80" s="14">
        <f t="shared" si="0"/>
        <v>26.679999999999996</v>
      </c>
      <c r="F80" s="14"/>
      <c r="G80" s="14"/>
      <c r="H80" s="14"/>
      <c r="I80" s="14"/>
      <c r="J80" s="14"/>
      <c r="K80" s="87"/>
    </row>
    <row r="81" spans="1:12">
      <c r="A81" s="1185" t="s">
        <v>44424</v>
      </c>
      <c r="B81" s="234">
        <v>7.33</v>
      </c>
      <c r="C81" s="14">
        <v>2.9</v>
      </c>
      <c r="D81" s="787"/>
      <c r="E81" s="14">
        <f t="shared" si="0"/>
        <v>21.256999999999998</v>
      </c>
      <c r="F81" s="14"/>
      <c r="G81" s="14"/>
      <c r="H81" s="14"/>
      <c r="I81" s="14"/>
      <c r="J81" s="14"/>
      <c r="K81" s="87"/>
    </row>
    <row r="82" spans="1:12">
      <c r="A82" s="1185"/>
      <c r="B82" s="234"/>
      <c r="C82" s="14"/>
      <c r="D82" s="787"/>
      <c r="E82" s="14"/>
      <c r="F82" s="14"/>
      <c r="G82" s="14"/>
      <c r="H82" s="14"/>
      <c r="I82" s="14"/>
      <c r="J82" s="14"/>
      <c r="K82" s="87"/>
    </row>
    <row r="83" spans="1:12">
      <c r="A83" s="16" t="s">
        <v>44462</v>
      </c>
      <c r="B83" s="14">
        <v>16.64</v>
      </c>
      <c r="C83" s="14">
        <v>2.9</v>
      </c>
      <c r="D83" s="88"/>
      <c r="E83" s="14">
        <f>C83*B83</f>
        <v>48.256</v>
      </c>
      <c r="F83" s="14"/>
      <c r="G83" s="14"/>
      <c r="H83" s="88"/>
      <c r="I83" s="89"/>
      <c r="J83" s="89"/>
      <c r="K83" s="90"/>
    </row>
    <row r="84" spans="1:12">
      <c r="A84" s="16" t="s">
        <v>44518</v>
      </c>
      <c r="B84" s="14">
        <v>9.41</v>
      </c>
      <c r="C84" s="14">
        <v>5.3</v>
      </c>
      <c r="D84" s="88"/>
      <c r="E84" s="14">
        <f>C84*B84</f>
        <v>49.872999999999998</v>
      </c>
      <c r="F84" s="14"/>
      <c r="G84" s="14"/>
      <c r="H84" s="88"/>
      <c r="I84" s="89"/>
      <c r="J84" s="89"/>
      <c r="K84" s="90"/>
    </row>
    <row r="85" spans="1:12">
      <c r="A85" s="16" t="s">
        <v>44463</v>
      </c>
      <c r="B85" s="14">
        <v>8.8000000000000007</v>
      </c>
      <c r="C85" s="14">
        <v>5.3</v>
      </c>
      <c r="D85" s="88"/>
      <c r="E85" s="14">
        <f>C85*B85</f>
        <v>46.64</v>
      </c>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88"/>
      <c r="F87" s="88"/>
      <c r="G87" s="88"/>
      <c r="H87" s="88"/>
      <c r="I87" s="89"/>
      <c r="J87" s="89"/>
      <c r="K87" s="90"/>
    </row>
    <row r="88" spans="1:12">
      <c r="A88" s="91" t="s">
        <v>28031</v>
      </c>
      <c r="B88" s="88">
        <f>SUM(E77:E86)</f>
        <v>272.63</v>
      </c>
      <c r="C88" s="88" t="str">
        <f>K73</f>
        <v>M2</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272.63</v>
      </c>
      <c r="K91" s="1178"/>
    </row>
    <row r="92" spans="1:12" ht="22">
      <c r="A92" s="4" t="s">
        <v>28028</v>
      </c>
      <c r="B92" s="1173" t="s">
        <v>28029</v>
      </c>
      <c r="C92" s="1173"/>
      <c r="D92" s="1173"/>
      <c r="E92" s="1173"/>
      <c r="F92" s="1173"/>
      <c r="G92" s="1173"/>
      <c r="H92" s="1173"/>
      <c r="I92" s="1173"/>
      <c r="J92" s="1173"/>
      <c r="K92" s="5" t="s">
        <v>28030</v>
      </c>
    </row>
    <row r="93" spans="1:12" ht="22" customHeight="1" thickBot="1">
      <c r="A93" s="94" t="s">
        <v>12465</v>
      </c>
      <c r="B93" s="1174" t="str">
        <f>VLOOKUP($A93, 'Plan Orçamentária'!$Q$2:$S$128267,2,FALSE)</f>
        <v>REJUNTAMENTO EM PLACAS CERÂMICAS COM CIMENTO BRANCO, JUNTAS ACIMA DE 3 ATÉ 5 MM</v>
      </c>
      <c r="C93" s="1174"/>
      <c r="D93" s="1174"/>
      <c r="E93" s="1174"/>
      <c r="F93" s="1174"/>
      <c r="G93" s="1174"/>
      <c r="H93" s="1174"/>
      <c r="I93" s="1174"/>
      <c r="J93" s="1174"/>
      <c r="K93" s="12" t="str">
        <f>VLOOKUP($A93,'Plan Orçamentária'!$Q$2:$S$138267,3,FALSE)</f>
        <v>M2</v>
      </c>
      <c r="L93" s="15">
        <f>J111</f>
        <v>272.63</v>
      </c>
    </row>
    <row r="94" spans="1:12">
      <c r="A94" s="86" t="s">
        <v>44433</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786" t="s">
        <v>41798</v>
      </c>
      <c r="C96" s="787" t="s">
        <v>41787</v>
      </c>
      <c r="D96" s="787"/>
      <c r="E96" s="787" t="s">
        <v>44398</v>
      </c>
      <c r="F96" s="14"/>
      <c r="G96" s="14"/>
      <c r="H96" s="14"/>
      <c r="I96" s="14"/>
      <c r="J96" s="14"/>
      <c r="K96" s="87"/>
    </row>
    <row r="97" spans="1:11" ht="16.5" customHeight="1">
      <c r="A97" s="1185" t="s">
        <v>44422</v>
      </c>
      <c r="B97" s="234">
        <v>9.18</v>
      </c>
      <c r="C97" s="14">
        <v>2.9</v>
      </c>
      <c r="D97" s="787"/>
      <c r="E97" s="14">
        <f t="shared" ref="E97:E101" si="1">C97*B97</f>
        <v>26.622</v>
      </c>
      <c r="F97" s="14"/>
      <c r="G97" s="14"/>
      <c r="H97" s="14"/>
      <c r="I97" s="14"/>
      <c r="J97" s="14"/>
      <c r="K97" s="87"/>
    </row>
    <row r="98" spans="1:11">
      <c r="A98" s="1185"/>
      <c r="B98" s="234">
        <v>9.18</v>
      </c>
      <c r="C98" s="14">
        <v>2.9</v>
      </c>
      <c r="D98" s="787"/>
      <c r="E98" s="14">
        <f t="shared" si="1"/>
        <v>26.622</v>
      </c>
      <c r="F98" s="14"/>
      <c r="G98" s="14"/>
      <c r="H98" s="14"/>
      <c r="I98" s="14"/>
      <c r="J98" s="14"/>
      <c r="K98" s="87"/>
    </row>
    <row r="99" spans="1:11" s="57" customFormat="1">
      <c r="A99" s="1188" t="s">
        <v>44423</v>
      </c>
      <c r="B99" s="234">
        <v>9.1999999999999993</v>
      </c>
      <c r="C99" s="14">
        <v>2.9</v>
      </c>
      <c r="D99" s="787"/>
      <c r="E99" s="14">
        <f t="shared" si="1"/>
        <v>26.679999999999996</v>
      </c>
      <c r="F99" s="14"/>
      <c r="G99" s="14"/>
      <c r="H99" s="14"/>
      <c r="I99" s="14"/>
      <c r="J99" s="14"/>
      <c r="K99" s="87"/>
    </row>
    <row r="100" spans="1:11">
      <c r="A100" s="1188"/>
      <c r="B100" s="234">
        <v>9.1999999999999993</v>
      </c>
      <c r="C100" s="14">
        <v>2.9</v>
      </c>
      <c r="D100" s="787"/>
      <c r="E100" s="14">
        <f t="shared" si="1"/>
        <v>26.679999999999996</v>
      </c>
      <c r="F100" s="14"/>
      <c r="G100" s="14"/>
      <c r="H100" s="14"/>
      <c r="I100" s="14"/>
      <c r="J100" s="14"/>
      <c r="K100" s="87"/>
    </row>
    <row r="101" spans="1:11">
      <c r="A101" s="1185" t="s">
        <v>44424</v>
      </c>
      <c r="B101" s="234">
        <v>7.33</v>
      </c>
      <c r="C101" s="14">
        <v>2.9</v>
      </c>
      <c r="D101" s="787"/>
      <c r="E101" s="14">
        <f t="shared" si="1"/>
        <v>21.256999999999998</v>
      </c>
      <c r="F101" s="14"/>
      <c r="G101" s="14"/>
      <c r="H101" s="14"/>
      <c r="I101" s="14"/>
      <c r="J101" s="14"/>
      <c r="K101" s="87"/>
    </row>
    <row r="102" spans="1:11">
      <c r="A102" s="1185"/>
      <c r="B102" s="234"/>
      <c r="C102" s="14"/>
      <c r="D102" s="787"/>
      <c r="E102" s="14"/>
      <c r="F102" s="14"/>
      <c r="G102" s="14"/>
      <c r="H102" s="14"/>
      <c r="I102" s="14"/>
      <c r="J102" s="14"/>
      <c r="K102" s="87"/>
    </row>
    <row r="103" spans="1:11">
      <c r="A103" s="16" t="s">
        <v>44462</v>
      </c>
      <c r="B103" s="14">
        <v>16.64</v>
      </c>
      <c r="C103" s="14">
        <v>2.9</v>
      </c>
      <c r="D103" s="88"/>
      <c r="E103" s="14">
        <f>C103*B103</f>
        <v>48.256</v>
      </c>
      <c r="F103" s="14"/>
      <c r="G103" s="14"/>
      <c r="H103" s="88"/>
      <c r="I103" s="89"/>
      <c r="J103" s="89"/>
      <c r="K103" s="90"/>
    </row>
    <row r="104" spans="1:11">
      <c r="A104" s="16" t="s">
        <v>44518</v>
      </c>
      <c r="B104" s="14">
        <v>9.41</v>
      </c>
      <c r="C104" s="14">
        <v>5.3</v>
      </c>
      <c r="D104" s="88"/>
      <c r="E104" s="14">
        <f>C104*B104</f>
        <v>49.872999999999998</v>
      </c>
      <c r="F104" s="14"/>
      <c r="G104" s="14"/>
      <c r="H104" s="88"/>
      <c r="I104" s="89"/>
      <c r="J104" s="89"/>
      <c r="K104" s="90"/>
    </row>
    <row r="105" spans="1:11">
      <c r="A105" s="16" t="s">
        <v>44463</v>
      </c>
      <c r="B105" s="14">
        <v>8.8000000000000007</v>
      </c>
      <c r="C105" s="14">
        <v>5.3</v>
      </c>
      <c r="D105" s="88"/>
      <c r="E105" s="14">
        <f>C105*B105</f>
        <v>46.64</v>
      </c>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88"/>
      <c r="F107" s="88"/>
      <c r="G107" s="88"/>
      <c r="H107" s="88"/>
      <c r="I107" s="89"/>
      <c r="J107" s="89"/>
      <c r="K107" s="90"/>
    </row>
    <row r="108" spans="1:11">
      <c r="A108" s="91" t="s">
        <v>28031</v>
      </c>
      <c r="B108" s="88">
        <f>SUM(E97:E106)</f>
        <v>272.63</v>
      </c>
      <c r="C108" s="88" t="str">
        <f>K93</f>
        <v>M2</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272.63</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94" t="s">
        <v>12539</v>
      </c>
      <c r="B113" s="1174" t="str">
        <f>VLOOKUP($A113, 'Plan Orçamentária'!$Q$2:$S$128267,2,FALSE)</f>
        <v>REVESTIMENTO EM PLACA CERÂMICA ESMALTADA DE 10X10 CM, ASSENTADO E REJUNTADO COM ARGAMASSA INDUSTRIALIZADA</v>
      </c>
      <c r="C113" s="1174"/>
      <c r="D113" s="1174"/>
      <c r="E113" s="1174"/>
      <c r="F113" s="1174"/>
      <c r="G113" s="1174"/>
      <c r="H113" s="1174"/>
      <c r="I113" s="1174"/>
      <c r="J113" s="1174"/>
      <c r="K113" s="12" t="str">
        <f>VLOOKUP($A113,'Plan Orçamentária'!$Q$2:$S$138267,3,FALSE)</f>
        <v>M2</v>
      </c>
      <c r="L113" s="15">
        <f>J131</f>
        <v>6</v>
      </c>
    </row>
    <row r="114" spans="1:12">
      <c r="A114" s="86" t="s">
        <v>44396</v>
      </c>
      <c r="B114" s="14"/>
      <c r="C114" s="14"/>
      <c r="D114" s="14"/>
      <c r="E114" s="14"/>
      <c r="F114" s="14"/>
      <c r="G114" s="14"/>
      <c r="H114" s="14"/>
      <c r="I114" s="14"/>
      <c r="J114" s="14"/>
      <c r="K114" s="87"/>
    </row>
    <row r="115" spans="1:12" ht="16.5" customHeight="1">
      <c r="A115" s="16"/>
      <c r="B115" s="14"/>
      <c r="C115" s="14"/>
      <c r="D115" s="14"/>
      <c r="E115" s="14"/>
      <c r="F115" s="14"/>
      <c r="G115" s="14"/>
      <c r="H115" s="14"/>
      <c r="I115" s="14"/>
      <c r="J115" s="14"/>
      <c r="K115" s="87"/>
    </row>
    <row r="116" spans="1:12" ht="16.5" customHeight="1">
      <c r="A116" s="16"/>
      <c r="B116" s="233">
        <v>6</v>
      </c>
      <c r="C116" s="14" t="str">
        <f>K113</f>
        <v>M2</v>
      </c>
      <c r="D116" s="14"/>
      <c r="E116" s="14"/>
      <c r="F116" s="14"/>
      <c r="G116" s="14"/>
      <c r="H116" s="14"/>
      <c r="I116" s="14"/>
      <c r="J116" s="14"/>
      <c r="K116" s="87"/>
    </row>
    <row r="117" spans="1:12" ht="16.5" customHeight="1">
      <c r="A117" s="16"/>
      <c r="B117" s="234"/>
      <c r="C117" s="14"/>
      <c r="D117" s="14"/>
      <c r="E117" s="14"/>
      <c r="F117" s="14"/>
      <c r="G117" s="14"/>
      <c r="H117" s="14"/>
      <c r="I117" s="14"/>
      <c r="J117" s="14"/>
      <c r="K117" s="87"/>
    </row>
    <row r="118" spans="1:12">
      <c r="A118" s="16"/>
      <c r="B118" s="14"/>
      <c r="C118" s="14"/>
      <c r="D118" s="14"/>
      <c r="E118" s="14"/>
      <c r="F118" s="14"/>
      <c r="G118" s="14"/>
      <c r="H118" s="14"/>
      <c r="I118" s="14"/>
      <c r="J118" s="14"/>
      <c r="K118" s="87"/>
    </row>
    <row r="119" spans="1:12" s="57" customFormat="1">
      <c r="A119" s="209"/>
      <c r="B119" s="208"/>
      <c r="C119" s="208"/>
      <c r="D119" s="14"/>
      <c r="E119" s="14"/>
      <c r="F119" s="14"/>
      <c r="G119" s="14"/>
      <c r="H119" s="14"/>
      <c r="I119" s="14"/>
      <c r="J119" s="14"/>
      <c r="K119" s="87"/>
    </row>
    <row r="120" spans="1:12">
      <c r="A120" s="16"/>
      <c r="B120" s="14"/>
      <c r="C120" s="14"/>
      <c r="D120" s="95"/>
      <c r="E120" s="14"/>
      <c r="F120" s="14"/>
      <c r="G120" s="14"/>
      <c r="H120" s="14"/>
      <c r="I120" s="14"/>
      <c r="J120" s="14"/>
      <c r="K120" s="87"/>
    </row>
    <row r="121" spans="1:12">
      <c r="A121" s="16"/>
      <c r="B121" s="14"/>
      <c r="C121" s="14"/>
      <c r="D121" s="14"/>
      <c r="E121" s="14"/>
      <c r="F121" s="14"/>
      <c r="G121" s="14"/>
      <c r="H121" s="14"/>
      <c r="I121" s="14"/>
      <c r="J121" s="14"/>
      <c r="K121" s="87"/>
    </row>
    <row r="122" spans="1:12">
      <c r="A122" s="16"/>
      <c r="B122" s="14"/>
      <c r="C122" s="14"/>
      <c r="D122" s="14"/>
      <c r="E122" s="14"/>
      <c r="F122" s="14"/>
      <c r="G122" s="14"/>
      <c r="H122" s="14"/>
      <c r="I122" s="14"/>
      <c r="J122" s="14"/>
      <c r="K122" s="87"/>
    </row>
    <row r="123" spans="1:12">
      <c r="A123" s="16"/>
      <c r="B123" s="14"/>
      <c r="C123" s="14"/>
      <c r="D123" s="88"/>
      <c r="E123" s="14"/>
      <c r="F123" s="14"/>
      <c r="G123" s="14"/>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88"/>
      <c r="F127" s="88"/>
      <c r="G127" s="88"/>
      <c r="H127" s="88"/>
      <c r="I127" s="89"/>
      <c r="J127" s="89"/>
      <c r="K127" s="90"/>
    </row>
    <row r="128" spans="1:12">
      <c r="A128" s="91" t="s">
        <v>28031</v>
      </c>
      <c r="B128" s="88">
        <f>B116</f>
        <v>6</v>
      </c>
      <c r="C128" s="88" t="str">
        <f>K113</f>
        <v>M2</v>
      </c>
      <c r="D128" s="88"/>
      <c r="E128" s="14"/>
      <c r="F128" s="14"/>
      <c r="G128" s="14"/>
      <c r="H128" s="88"/>
      <c r="I128" s="89"/>
      <c r="J128" s="89"/>
      <c r="K128" s="90"/>
    </row>
    <row r="129" spans="1:11">
      <c r="A129" s="91"/>
      <c r="B129" s="88"/>
      <c r="C129" s="88"/>
      <c r="D129" s="88"/>
      <c r="E129" s="88"/>
      <c r="F129" s="88"/>
      <c r="G129" s="88"/>
      <c r="H129" s="88"/>
      <c r="I129" s="89"/>
      <c r="J129" s="89"/>
      <c r="K129" s="90"/>
    </row>
    <row r="130" spans="1:11" ht="16">
      <c r="A130" s="10" t="s">
        <v>28032</v>
      </c>
      <c r="B130" s="207"/>
      <c r="C130" s="207"/>
      <c r="D130" s="207"/>
      <c r="E130" s="207"/>
      <c r="F130" s="207"/>
      <c r="G130" s="207"/>
      <c r="H130" s="207"/>
      <c r="I130" s="207"/>
      <c r="J130" s="1175" t="s">
        <v>28033</v>
      </c>
      <c r="K130" s="1176"/>
    </row>
    <row r="131" spans="1:11" ht="17" thickBot="1">
      <c r="A131" s="6"/>
      <c r="B131" s="11"/>
      <c r="C131" s="11"/>
      <c r="D131" s="11"/>
      <c r="E131" s="11"/>
      <c r="F131" s="11"/>
      <c r="G131" s="11"/>
      <c r="H131" s="11"/>
      <c r="I131" s="11"/>
      <c r="J131" s="1177">
        <f>B128</f>
        <v>6</v>
      </c>
      <c r="K131" s="1178"/>
    </row>
  </sheetData>
  <mergeCells count="33">
    <mergeCell ref="J71:K71"/>
    <mergeCell ref="A1:K1"/>
    <mergeCell ref="A2:K10"/>
    <mergeCell ref="B11:K11"/>
    <mergeCell ref="B52:J52"/>
    <mergeCell ref="B53:J53"/>
    <mergeCell ref="J70:K70"/>
    <mergeCell ref="B33:J33"/>
    <mergeCell ref="J50:K50"/>
    <mergeCell ref="J51:K51"/>
    <mergeCell ref="B12:J12"/>
    <mergeCell ref="B13:J13"/>
    <mergeCell ref="J30:K30"/>
    <mergeCell ref="J31:K31"/>
    <mergeCell ref="B32:J32"/>
    <mergeCell ref="B72:J72"/>
    <mergeCell ref="B73:J73"/>
    <mergeCell ref="J90:K90"/>
    <mergeCell ref="J91:K91"/>
    <mergeCell ref="B92:J92"/>
    <mergeCell ref="J130:K130"/>
    <mergeCell ref="J131:K131"/>
    <mergeCell ref="A77:A78"/>
    <mergeCell ref="A81:A82"/>
    <mergeCell ref="A79:A80"/>
    <mergeCell ref="A97:A98"/>
    <mergeCell ref="A99:A100"/>
    <mergeCell ref="A101:A102"/>
    <mergeCell ref="B93:J93"/>
    <mergeCell ref="J110:K110"/>
    <mergeCell ref="J111:K111"/>
    <mergeCell ref="B112:J112"/>
    <mergeCell ref="B113:J113"/>
  </mergeCells>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EF683-6985-4674-9778-D6F7482A8E88}">
  <sheetPr codeName="Planilha31">
    <pageSetUpPr fitToPage="1"/>
  </sheetPr>
  <dimension ref="A1:L111"/>
  <sheetViews>
    <sheetView view="pageBreakPreview" topLeftCell="A24" zoomScale="115" zoomScaleNormal="100" zoomScaleSheetLayoutView="115"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44425</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414" t="s">
        <v>12316</v>
      </c>
      <c r="B13" s="1174" t="str">
        <f>VLOOKUP($A13, 'Plan Orçamentária'!$Q$2:$S$128267,2,FALSE)</f>
        <v>CHAPISCO</v>
      </c>
      <c r="C13" s="1174"/>
      <c r="D13" s="1174"/>
      <c r="E13" s="1174"/>
      <c r="F13" s="1174"/>
      <c r="G13" s="1174"/>
      <c r="H13" s="1174"/>
      <c r="I13" s="1174"/>
      <c r="J13" s="1174"/>
      <c r="K13" s="12" t="str">
        <f>VLOOKUP($A13,'Plan Orçamentária'!$Q$2:$S$138267,3,FALSE)</f>
        <v>M2</v>
      </c>
      <c r="L13" s="15">
        <f>J31</f>
        <v>232.7</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44426</v>
      </c>
      <c r="B16" s="14">
        <f>125.99+106.71</f>
        <v>232.7</v>
      </c>
      <c r="C16" s="14" t="str">
        <f>K13</f>
        <v>M2</v>
      </c>
      <c r="D16" s="14"/>
      <c r="E16" s="14"/>
      <c r="F16" s="14"/>
      <c r="G16" s="14"/>
      <c r="H16" s="14"/>
      <c r="I16" s="14"/>
      <c r="J16" s="14"/>
      <c r="K16" s="87"/>
    </row>
    <row r="17" spans="1:11" ht="16.5" customHeight="1">
      <c r="A17" s="16"/>
      <c r="B17" s="234"/>
      <c r="C17" s="14"/>
      <c r="D17" s="14"/>
      <c r="E17" s="14"/>
      <c r="F17" s="14"/>
      <c r="G17" s="14"/>
      <c r="H17" s="14"/>
      <c r="I17" s="14"/>
      <c r="J17" s="14"/>
      <c r="K17" s="87"/>
    </row>
    <row r="18" spans="1:11">
      <c r="A18" s="16"/>
      <c r="B18" s="14"/>
      <c r="C18" s="14"/>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B16</f>
        <v>232.7</v>
      </c>
      <c r="C28" s="88" t="str">
        <f>K13</f>
        <v>M2</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232.7</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12326</v>
      </c>
      <c r="B33" s="1174" t="str">
        <f>VLOOKUP($A33, 'Plan Orçamentária'!$Q$2:$S$128267,2,FALSE)</f>
        <v>EMBOÇO COMUM</v>
      </c>
      <c r="C33" s="1174"/>
      <c r="D33" s="1174"/>
      <c r="E33" s="1174"/>
      <c r="F33" s="1174"/>
      <c r="G33" s="1174"/>
      <c r="H33" s="1174"/>
      <c r="I33" s="1174"/>
      <c r="J33" s="1174"/>
      <c r="K33" s="12" t="str">
        <f>VLOOKUP($A33,'Plan Orçamentária'!$Q$2:$S$138267,3,FALSE)</f>
        <v>M2</v>
      </c>
      <c r="L33" s="15">
        <f>J51</f>
        <v>232.7</v>
      </c>
    </row>
    <row r="34" spans="1:12">
      <c r="A34" s="86" t="s">
        <v>44396</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44426</v>
      </c>
      <c r="B36" s="14">
        <f>125.99+106.71</f>
        <v>232.7</v>
      </c>
      <c r="C36" s="14" t="str">
        <f>K33</f>
        <v>M2</v>
      </c>
      <c r="D36" s="14"/>
      <c r="E36" s="14"/>
      <c r="F36" s="14"/>
      <c r="G36" s="14"/>
      <c r="H36" s="14"/>
      <c r="I36" s="14"/>
      <c r="J36" s="14"/>
      <c r="K36" s="87"/>
    </row>
    <row r="37" spans="1:12" ht="16.5" customHeight="1">
      <c r="A37" s="16"/>
      <c r="B37" s="234"/>
      <c r="C37" s="14"/>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B36</f>
        <v>232.7</v>
      </c>
      <c r="C48" s="88" t="str">
        <f>K33</f>
        <v>M2</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232.7</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12332</v>
      </c>
      <c r="B53" s="1174" t="str">
        <f>VLOOKUP($A53, 'Plan Orçamentária'!$Q$2:$S$128267,2,FALSE)</f>
        <v>REBOCO</v>
      </c>
      <c r="C53" s="1174"/>
      <c r="D53" s="1174"/>
      <c r="E53" s="1174"/>
      <c r="F53" s="1174"/>
      <c r="G53" s="1174"/>
      <c r="H53" s="1174"/>
      <c r="I53" s="1174"/>
      <c r="J53" s="1174"/>
      <c r="K53" s="12" t="str">
        <f>VLOOKUP($A53,'Plan Orçamentária'!$Q$2:$S$138267,3,FALSE)</f>
        <v>M2</v>
      </c>
      <c r="L53" s="15">
        <f>J71</f>
        <v>232.7</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t="s">
        <v>44426</v>
      </c>
      <c r="B56" s="14">
        <f>125.99+106.71</f>
        <v>232.7</v>
      </c>
      <c r="C56" s="14" t="str">
        <f>K53</f>
        <v>M2</v>
      </c>
      <c r="D56" s="14">
        <f>125.99+106.71</f>
        <v>232.7</v>
      </c>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t="s">
        <v>28031</v>
      </c>
      <c r="B68" s="88">
        <f>B56</f>
        <v>232.7</v>
      </c>
      <c r="C68" s="88" t="str">
        <f>K53</f>
        <v>M2</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232.7</v>
      </c>
      <c r="K71" s="1178"/>
    </row>
    <row r="72" spans="1:12" ht="22">
      <c r="A72" s="4" t="s">
        <v>28028</v>
      </c>
      <c r="B72" s="1173" t="s">
        <v>28029</v>
      </c>
      <c r="C72" s="1173"/>
      <c r="D72" s="1173"/>
      <c r="E72" s="1173"/>
      <c r="F72" s="1173"/>
      <c r="G72" s="1173"/>
      <c r="H72" s="1173"/>
      <c r="I72" s="1173"/>
      <c r="J72" s="1173"/>
      <c r="K72" s="5" t="s">
        <v>28030</v>
      </c>
    </row>
    <row r="73" spans="1:12" ht="22" customHeight="1" thickBot="1">
      <c r="A73" s="414" t="s">
        <v>12764</v>
      </c>
      <c r="B73" s="1174" t="str">
        <f>VLOOKUP($A73, 'Plan Orçamentária'!$Q$2:$S$128267,2,FALSE)</f>
        <v>FORRO EM PAINÉIS DE GESSO ACARTONADO, ESPESSURA DE 12,5MM, FIXO</v>
      </c>
      <c r="C73" s="1174"/>
      <c r="D73" s="1174"/>
      <c r="E73" s="1174"/>
      <c r="F73" s="1174"/>
      <c r="G73" s="1174"/>
      <c r="H73" s="1174"/>
      <c r="I73" s="1174"/>
      <c r="J73" s="1174"/>
      <c r="K73" s="12" t="str">
        <f>VLOOKUP($A73,'Plan Orçamentária'!$Q$2:$S$138267,3,FALSE)</f>
        <v>M2</v>
      </c>
      <c r="L73" s="15">
        <f>J91</f>
        <v>447.73</v>
      </c>
    </row>
    <row r="74" spans="1:12">
      <c r="A74" s="86" t="s">
        <v>44396</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t="s">
        <v>44426</v>
      </c>
      <c r="B76" s="233">
        <v>352.3</v>
      </c>
      <c r="C76" s="14" t="str">
        <f>K73</f>
        <v>M2</v>
      </c>
      <c r="D76" s="14"/>
      <c r="E76" s="14"/>
      <c r="F76" s="14"/>
      <c r="G76" s="14"/>
      <c r="H76" s="14"/>
      <c r="I76" s="14"/>
      <c r="J76" s="14"/>
      <c r="K76" s="87"/>
    </row>
    <row r="77" spans="1:12" ht="16.5" customHeight="1">
      <c r="A77" s="16"/>
      <c r="B77" s="234"/>
      <c r="C77" s="14"/>
      <c r="D77" s="14"/>
      <c r="E77" s="14"/>
      <c r="F77" s="14"/>
      <c r="G77" s="14"/>
      <c r="H77" s="14"/>
      <c r="I77" s="14"/>
      <c r="J77" s="14"/>
      <c r="K77" s="87"/>
    </row>
    <row r="78" spans="1:12">
      <c r="A78" s="16" t="s">
        <v>44541</v>
      </c>
      <c r="B78" s="14"/>
      <c r="C78" s="14"/>
      <c r="D78" s="14"/>
      <c r="E78" s="14"/>
      <c r="F78" s="14"/>
      <c r="G78" s="14"/>
      <c r="H78" s="14"/>
      <c r="I78" s="14"/>
      <c r="J78" s="14"/>
      <c r="K78" s="87"/>
    </row>
    <row r="79" spans="1:12" s="57" customFormat="1">
      <c r="A79" s="209" t="s">
        <v>44543</v>
      </c>
      <c r="B79" s="208">
        <v>190.86</v>
      </c>
      <c r="C79" s="208" t="s">
        <v>509</v>
      </c>
      <c r="D79" s="14"/>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t="s">
        <v>44544</v>
      </c>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t="s">
        <v>44542</v>
      </c>
      <c r="B84" s="14">
        <f>SUM(B79:B80)*0.5</f>
        <v>95.43</v>
      </c>
      <c r="C84" s="14" t="s">
        <v>509</v>
      </c>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88"/>
      <c r="F87" s="88"/>
      <c r="G87" s="88"/>
      <c r="H87" s="88"/>
      <c r="I87" s="89"/>
      <c r="J87" s="89"/>
      <c r="K87" s="90"/>
    </row>
    <row r="88" spans="1:12">
      <c r="A88" s="91" t="s">
        <v>28031</v>
      </c>
      <c r="B88" s="88">
        <f>SUM(B84,B76)</f>
        <v>447.73</v>
      </c>
      <c r="C88" s="88" t="str">
        <f>K73</f>
        <v>M2</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447.73</v>
      </c>
      <c r="K91" s="1178"/>
    </row>
    <row r="92" spans="1:12" ht="22">
      <c r="A92" s="4" t="s">
        <v>28028</v>
      </c>
      <c r="B92" s="1173" t="s">
        <v>28029</v>
      </c>
      <c r="C92" s="1173"/>
      <c r="D92" s="1173"/>
      <c r="E92" s="1173"/>
      <c r="F92" s="1173"/>
      <c r="G92" s="1173"/>
      <c r="H92" s="1173"/>
      <c r="I92" s="1173"/>
      <c r="J92" s="1173"/>
      <c r="K92" s="5" t="s">
        <v>28030</v>
      </c>
    </row>
    <row r="93" spans="1:12" ht="22" customHeight="1" thickBot="1">
      <c r="A93" s="414" t="s">
        <v>12088</v>
      </c>
      <c r="B93" s="1174" t="e">
        <f>VLOOKUP($A93, 'Plan Orçamentária'!$Q$2:$S$128267,2,FALSE)</f>
        <v>#N/A</v>
      </c>
      <c r="C93" s="1174"/>
      <c r="D93" s="1174"/>
      <c r="E93" s="1174"/>
      <c r="F93" s="1174"/>
      <c r="G93" s="1174"/>
      <c r="H93" s="1174"/>
      <c r="I93" s="1174"/>
      <c r="J93" s="1174"/>
      <c r="K93" s="12" t="e">
        <f>VLOOKUP($A93,'Plan Orçamentária'!$Q$2:$S$138267,3,FALSE)</f>
        <v>#N/A</v>
      </c>
      <c r="L93" s="15">
        <f>J111</f>
        <v>20.814</v>
      </c>
    </row>
    <row r="94" spans="1:12">
      <c r="A94" s="86" t="s">
        <v>44396</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786" t="s">
        <v>41786</v>
      </c>
      <c r="C96" s="787" t="s">
        <v>41798</v>
      </c>
      <c r="D96" s="787" t="s">
        <v>44398</v>
      </c>
      <c r="E96" s="787"/>
      <c r="F96" s="14"/>
      <c r="G96" s="14"/>
      <c r="H96" s="14"/>
      <c r="I96" s="14"/>
      <c r="J96" s="14"/>
      <c r="K96" s="87"/>
    </row>
    <row r="97" spans="1:11" ht="16.5" customHeight="1">
      <c r="A97" s="16" t="s">
        <v>44427</v>
      </c>
      <c r="B97" s="788">
        <v>3.27</v>
      </c>
      <c r="C97" s="787">
        <v>2.2400000000000002</v>
      </c>
      <c r="D97" s="787">
        <f>B97*C97</f>
        <v>7.3248000000000006</v>
      </c>
      <c r="E97" s="787"/>
      <c r="F97" s="14"/>
      <c r="G97" s="14"/>
      <c r="H97" s="14"/>
      <c r="I97" s="14"/>
      <c r="J97" s="14"/>
      <c r="K97" s="87"/>
    </row>
    <row r="98" spans="1:11">
      <c r="A98" s="16" t="s">
        <v>44428</v>
      </c>
      <c r="B98" s="787">
        <v>3.27</v>
      </c>
      <c r="C98" s="787">
        <v>2.2400000000000002</v>
      </c>
      <c r="D98" s="787">
        <f>B98*C98</f>
        <v>7.3248000000000006</v>
      </c>
      <c r="E98" s="787"/>
      <c r="F98" s="14"/>
      <c r="G98" s="14"/>
      <c r="H98" s="14"/>
      <c r="I98" s="14"/>
      <c r="J98" s="14"/>
      <c r="K98" s="87"/>
    </row>
    <row r="99" spans="1:11" s="57" customFormat="1">
      <c r="A99" s="86" t="s">
        <v>44429</v>
      </c>
      <c r="B99" s="789">
        <v>4.67</v>
      </c>
      <c r="C99" s="789">
        <v>1.32</v>
      </c>
      <c r="D99" s="787">
        <f>B99*C99</f>
        <v>6.1644000000000005</v>
      </c>
      <c r="E99" s="787"/>
      <c r="F99" s="14"/>
      <c r="G99" s="14"/>
      <c r="H99" s="14"/>
      <c r="I99" s="14"/>
      <c r="J99" s="14"/>
      <c r="K99" s="87"/>
    </row>
    <row r="100" spans="1:11">
      <c r="A100" s="86"/>
      <c r="B100" s="787"/>
      <c r="C100" s="787"/>
      <c r="D100" s="787"/>
      <c r="E100" s="787"/>
      <c r="F100" s="14"/>
      <c r="G100" s="14"/>
      <c r="H100" s="14"/>
      <c r="I100" s="14"/>
      <c r="J100" s="14"/>
      <c r="K100" s="87"/>
    </row>
    <row r="101" spans="1:11">
      <c r="A101" s="1185"/>
      <c r="B101" s="787"/>
      <c r="C101" s="787"/>
      <c r="D101" s="787"/>
      <c r="E101" s="787"/>
      <c r="F101" s="14"/>
      <c r="G101" s="14"/>
      <c r="H101" s="14"/>
      <c r="I101" s="14"/>
      <c r="J101" s="14"/>
      <c r="K101" s="87"/>
    </row>
    <row r="102" spans="1:11">
      <c r="A102" s="1185"/>
      <c r="B102" s="787"/>
      <c r="C102" s="787"/>
      <c r="D102" s="787"/>
      <c r="E102" s="787"/>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88"/>
      <c r="F107" s="88"/>
      <c r="G107" s="88"/>
      <c r="H107" s="88"/>
      <c r="I107" s="89"/>
      <c r="J107" s="89"/>
      <c r="K107" s="90"/>
    </row>
    <row r="108" spans="1:11">
      <c r="A108" s="91" t="s">
        <v>28031</v>
      </c>
      <c r="B108" s="88">
        <f>SUM(D97:D99)</f>
        <v>20.814</v>
      </c>
      <c r="C108" s="88" t="e">
        <f>K93</f>
        <v>#N/A</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20.814</v>
      </c>
      <c r="K111" s="1178"/>
    </row>
  </sheetData>
  <mergeCells count="24">
    <mergeCell ref="J30:K30"/>
    <mergeCell ref="A1:K1"/>
    <mergeCell ref="A2:K10"/>
    <mergeCell ref="B11:K11"/>
    <mergeCell ref="B12:J12"/>
    <mergeCell ref="B13:J13"/>
    <mergeCell ref="J31:K31"/>
    <mergeCell ref="B32:J32"/>
    <mergeCell ref="B33:J33"/>
    <mergeCell ref="J50:K50"/>
    <mergeCell ref="J51:K51"/>
    <mergeCell ref="A101:A102"/>
    <mergeCell ref="J110:K110"/>
    <mergeCell ref="J111:K111"/>
    <mergeCell ref="B52:J52"/>
    <mergeCell ref="B93:J93"/>
    <mergeCell ref="B53:J53"/>
    <mergeCell ref="J70:K70"/>
    <mergeCell ref="J71:K71"/>
    <mergeCell ref="B72:J72"/>
    <mergeCell ref="B73:J73"/>
    <mergeCell ref="J90:K90"/>
    <mergeCell ref="J91:K91"/>
    <mergeCell ref="B92:J92"/>
  </mergeCells>
  <conditionalFormatting sqref="A13">
    <cfRule type="expression" dxfId="119" priority="8">
      <formula>$M13="NÍVEL 1"</formula>
    </cfRule>
    <cfRule type="expression" dxfId="118" priority="9">
      <formula>$M13="NÍVEL 2"</formula>
    </cfRule>
  </conditionalFormatting>
  <conditionalFormatting sqref="A13">
    <cfRule type="expression" dxfId="117" priority="7" stopIfTrue="1">
      <formula>$M13="NÍVEL 3"</formula>
    </cfRule>
  </conditionalFormatting>
  <conditionalFormatting sqref="A73">
    <cfRule type="expression" dxfId="116" priority="5">
      <formula>$M73="NÍVEL 1"</formula>
    </cfRule>
    <cfRule type="expression" dxfId="115" priority="6">
      <formula>$M73="NÍVEL 2"</formula>
    </cfRule>
  </conditionalFormatting>
  <conditionalFormatting sqref="A73">
    <cfRule type="expression" dxfId="114" priority="4" stopIfTrue="1">
      <formula>$M73="NÍVEL 3"</formula>
    </cfRule>
  </conditionalFormatting>
  <conditionalFormatting sqref="A93">
    <cfRule type="expression" dxfId="113" priority="2">
      <formula>$M93="NÍVEL 1"</formula>
    </cfRule>
    <cfRule type="expression" dxfId="112" priority="3">
      <formula>$M93="NÍVEL 2"</formula>
    </cfRule>
  </conditionalFormatting>
  <conditionalFormatting sqref="A93">
    <cfRule type="expression" dxfId="111" priority="1" stopIfTrue="1">
      <formula>$M93="NÍVEL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9DA41-83DC-4B90-B888-6502B6B2AF73}">
  <sheetPr codeName="Planilha37">
    <pageSetUpPr fitToPage="1"/>
  </sheetPr>
  <dimension ref="A1:L311"/>
  <sheetViews>
    <sheetView view="pageBreakPreview" topLeftCell="A266"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44507</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414" t="s">
        <v>10858</v>
      </c>
      <c r="B13" s="1174" t="str">
        <f>VLOOKUP($A13, 'Plan Orçamentária'!$Q$2:$S$128267,2,FALSE)</f>
        <v>PROTEÇÃO DE PISO COM TECIDO DE ANIAGEM E GESSO</v>
      </c>
      <c r="C13" s="1174"/>
      <c r="D13" s="1174"/>
      <c r="E13" s="1174"/>
      <c r="F13" s="1174"/>
      <c r="G13" s="1174"/>
      <c r="H13" s="1174"/>
      <c r="I13" s="1174"/>
      <c r="J13" s="1174"/>
      <c r="K13" s="12" t="str">
        <f>VLOOKUP($A13,'Plan Orçamentária'!$Q$2:$S$138267,3,FALSE)</f>
        <v>M2</v>
      </c>
      <c r="L13" s="15">
        <f>J31</f>
        <v>386.65999999999997</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44509</v>
      </c>
      <c r="B16" s="233">
        <f>68.03+8.46+5.24</f>
        <v>81.73</v>
      </c>
      <c r="C16" s="14" t="s">
        <v>509</v>
      </c>
      <c r="D16" s="14"/>
      <c r="E16" s="14"/>
      <c r="F16" s="14"/>
      <c r="G16" s="14"/>
      <c r="H16" s="14"/>
      <c r="I16" s="14"/>
      <c r="J16" s="14"/>
      <c r="K16" s="87"/>
    </row>
    <row r="17" spans="1:11" ht="16.5" customHeight="1">
      <c r="A17" s="16" t="s">
        <v>44510</v>
      </c>
      <c r="B17" s="234">
        <f>80.94+2.63+28.03</f>
        <v>111.6</v>
      </c>
      <c r="C17" s="14" t="s">
        <v>509</v>
      </c>
      <c r="D17" s="14"/>
      <c r="E17" s="14"/>
      <c r="F17" s="14"/>
      <c r="G17" s="14"/>
      <c r="H17" s="14"/>
      <c r="I17" s="14"/>
      <c r="J17" s="14"/>
      <c r="K17" s="87"/>
    </row>
    <row r="18" spans="1:11">
      <c r="A18" s="16"/>
      <c r="B18" s="14"/>
      <c r="C18" s="14"/>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t="s">
        <v>44298</v>
      </c>
      <c r="B20" s="14">
        <v>2</v>
      </c>
      <c r="C20" s="14" t="s">
        <v>44379</v>
      </c>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t="s">
        <v>28031</v>
      </c>
      <c r="B28" s="88">
        <f>SUM(B16:B17)*B20</f>
        <v>386.65999999999997</v>
      </c>
      <c r="C28" s="88" t="str">
        <f>K13</f>
        <v>M2</v>
      </c>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B28</f>
        <v>386.65999999999997</v>
      </c>
      <c r="K31" s="1178"/>
    </row>
    <row r="32" spans="1:11" ht="22">
      <c r="A32" s="4" t="s">
        <v>28028</v>
      </c>
      <c r="B32" s="1173" t="s">
        <v>28029</v>
      </c>
      <c r="C32" s="1173"/>
      <c r="D32" s="1173"/>
      <c r="E32" s="1173"/>
      <c r="F32" s="1173"/>
      <c r="G32" s="1173"/>
      <c r="H32" s="1173"/>
      <c r="I32" s="1173"/>
      <c r="J32" s="1173"/>
      <c r="K32" s="5" t="s">
        <v>28030</v>
      </c>
    </row>
    <row r="33" spans="1:12" ht="22" customHeight="1" thickBot="1">
      <c r="A33" s="414">
        <v>97083</v>
      </c>
      <c r="B33" s="1174" t="str">
        <f>VLOOKUP($A33, 'Plan Orçamentária'!$Q$2:$S$128267,2,FALSE)</f>
        <v>COMPACTAÇÃO MECÂNICA DE SOLO PARA EXECUÇÃO DE RADIER, PISO DE CONCRETO OU LAJE SOBRE SOLO, COM COMPACTADOR DE SOLOS A PERCUSSÃO. AF_09/2021</v>
      </c>
      <c r="C33" s="1174"/>
      <c r="D33" s="1174"/>
      <c r="E33" s="1174"/>
      <c r="F33" s="1174"/>
      <c r="G33" s="1174"/>
      <c r="H33" s="1174"/>
      <c r="I33" s="1174"/>
      <c r="J33" s="1174"/>
      <c r="K33" s="12" t="str">
        <f>VLOOKUP($A33,'Plan Orçamentária'!$Q$2:$S$138267,3,FALSE)</f>
        <v>M2</v>
      </c>
      <c r="L33" s="15">
        <f>J51</f>
        <v>134.07640000000001</v>
      </c>
    </row>
    <row r="34" spans="1:12">
      <c r="A34" s="86" t="s">
        <v>44396</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44511</v>
      </c>
      <c r="B36" s="233"/>
      <c r="C36" s="14">
        <f>92.71+8.42+5.25+5.23</f>
        <v>111.61</v>
      </c>
      <c r="D36" s="14" t="s">
        <v>509</v>
      </c>
      <c r="E36" s="14"/>
      <c r="F36" s="14"/>
      <c r="G36" s="14"/>
      <c r="H36" s="14"/>
      <c r="I36" s="14"/>
      <c r="J36" s="14"/>
      <c r="K36" s="87"/>
    </row>
    <row r="37" spans="1:12" ht="16.5" customHeight="1">
      <c r="A37" s="16" t="s">
        <v>41832</v>
      </c>
      <c r="B37" s="234"/>
      <c r="C37" s="14">
        <f>5.4+4.34+(3.28*3.88)</f>
        <v>22.4664</v>
      </c>
      <c r="D37" s="14" t="s">
        <v>509</v>
      </c>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SUM(C36:C37)</f>
        <v>134.07640000000001</v>
      </c>
      <c r="C48" s="88" t="str">
        <f>K33</f>
        <v>M2</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134.07640000000001</v>
      </c>
      <c r="K51" s="1178"/>
    </row>
    <row r="52" spans="1:12" ht="22">
      <c r="A52" s="4" t="s">
        <v>28028</v>
      </c>
      <c r="B52" s="1173" t="s">
        <v>28029</v>
      </c>
      <c r="C52" s="1173"/>
      <c r="D52" s="1173"/>
      <c r="E52" s="1173"/>
      <c r="F52" s="1173"/>
      <c r="G52" s="1173"/>
      <c r="H52" s="1173"/>
      <c r="I52" s="1173"/>
      <c r="J52" s="1173"/>
      <c r="K52" s="5" t="s">
        <v>28030</v>
      </c>
    </row>
    <row r="53" spans="1:12" ht="22" customHeight="1" thickBot="1">
      <c r="A53" s="414" t="s">
        <v>11779</v>
      </c>
      <c r="B53" s="1174" t="str">
        <f>VLOOKUP($A53, 'Plan Orçamentária'!$Q$2:$S$128267,2,FALSE)</f>
        <v>LASTRO DE PEDRA BRITADA</v>
      </c>
      <c r="C53" s="1174"/>
      <c r="D53" s="1174"/>
      <c r="E53" s="1174"/>
      <c r="F53" s="1174"/>
      <c r="G53" s="1174"/>
      <c r="H53" s="1174"/>
      <c r="I53" s="1174"/>
      <c r="J53" s="1174"/>
      <c r="K53" s="12" t="str">
        <f>VLOOKUP($A53,'Plan Orçamentária'!$Q$2:$S$138267,3,FALSE)</f>
        <v>M3</v>
      </c>
      <c r="L53" s="15">
        <f>J71</f>
        <v>6.7038200000000003</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t="s">
        <v>44511</v>
      </c>
      <c r="B56" s="233"/>
      <c r="C56" s="14">
        <f>92.71+8.42+5.25+5.23</f>
        <v>111.61</v>
      </c>
      <c r="D56" s="14" t="s">
        <v>509</v>
      </c>
      <c r="E56" s="14"/>
      <c r="F56" s="14"/>
      <c r="G56" s="14"/>
      <c r="H56" s="14"/>
      <c r="I56" s="14"/>
      <c r="J56" s="14"/>
      <c r="K56" s="87"/>
    </row>
    <row r="57" spans="1:12" ht="16.5" customHeight="1">
      <c r="A57" s="16" t="s">
        <v>41832</v>
      </c>
      <c r="B57" s="234"/>
      <c r="C57" s="14">
        <f>5.4+4.34+(3.28*3.88)</f>
        <v>22.4664</v>
      </c>
      <c r="D57" s="14" t="s">
        <v>509</v>
      </c>
      <c r="E57" s="14"/>
      <c r="F57" s="14"/>
      <c r="G57" s="14"/>
      <c r="H57" s="14"/>
      <c r="I57" s="14"/>
      <c r="J57" s="14"/>
      <c r="K57" s="87"/>
    </row>
    <row r="58" spans="1:12">
      <c r="A58" s="16"/>
      <c r="B58" s="14"/>
      <c r="C58" s="14"/>
      <c r="D58" s="14"/>
      <c r="E58" s="14"/>
      <c r="F58" s="14"/>
      <c r="G58" s="14"/>
      <c r="H58" s="14"/>
      <c r="I58" s="14"/>
      <c r="J58" s="14"/>
      <c r="K58" s="87"/>
    </row>
    <row r="59" spans="1:12" s="57" customFormat="1">
      <c r="A59" s="209" t="s">
        <v>44512</v>
      </c>
      <c r="B59" s="208"/>
      <c r="C59" s="208">
        <v>0.05</v>
      </c>
      <c r="D59" s="14" t="s">
        <v>165</v>
      </c>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t="s">
        <v>28031</v>
      </c>
      <c r="B68" s="88">
        <f>SUM(C55:C57)*C59</f>
        <v>6.7038200000000003</v>
      </c>
      <c r="C68" s="88" t="str">
        <f>K53</f>
        <v>M3</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6.7038200000000003</v>
      </c>
      <c r="K71" s="1178"/>
    </row>
    <row r="72" spans="1:12" ht="22">
      <c r="A72" s="4" t="s">
        <v>28028</v>
      </c>
      <c r="B72" s="1173" t="s">
        <v>28029</v>
      </c>
      <c r="C72" s="1173"/>
      <c r="D72" s="1173"/>
      <c r="E72" s="1173"/>
      <c r="F72" s="1173"/>
      <c r="G72" s="1173"/>
      <c r="H72" s="1173"/>
      <c r="I72" s="1173"/>
      <c r="J72" s="1173"/>
      <c r="K72" s="5" t="s">
        <v>28030</v>
      </c>
    </row>
    <row r="73" spans="1:12" ht="22" customHeight="1" thickBot="1">
      <c r="A73" s="414" t="s">
        <v>12306</v>
      </c>
      <c r="B73" s="1174" t="str">
        <f>VLOOKUP($A73, 'Plan Orçamentária'!$Q$2:$S$128267,2,FALSE)</f>
        <v>LASTRO DE CONCRETO IMPERMEABILIZADO</v>
      </c>
      <c r="C73" s="1174"/>
      <c r="D73" s="1174"/>
      <c r="E73" s="1174"/>
      <c r="F73" s="1174"/>
      <c r="G73" s="1174"/>
      <c r="H73" s="1174"/>
      <c r="I73" s="1174"/>
      <c r="J73" s="1174"/>
      <c r="K73" s="12" t="str">
        <f>VLOOKUP($A73,'Plan Orçamentária'!$Q$2:$S$138267,3,FALSE)</f>
        <v>M3</v>
      </c>
      <c r="L73" s="15">
        <f>J91</f>
        <v>9.3853480000000022</v>
      </c>
    </row>
    <row r="74" spans="1:12">
      <c r="A74" s="86" t="s">
        <v>44396</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t="s">
        <v>44511</v>
      </c>
      <c r="B76" s="233"/>
      <c r="C76" s="14">
        <f>92.71+8.42+5.25+5.23</f>
        <v>111.61</v>
      </c>
      <c r="D76" s="14" t="s">
        <v>509</v>
      </c>
      <c r="E76" s="14"/>
      <c r="F76" s="14"/>
      <c r="G76" s="14"/>
      <c r="H76" s="14"/>
      <c r="I76" s="14"/>
      <c r="J76" s="14"/>
      <c r="K76" s="87"/>
    </row>
    <row r="77" spans="1:12" ht="16.5" customHeight="1">
      <c r="A77" s="16" t="s">
        <v>41832</v>
      </c>
      <c r="B77" s="234"/>
      <c r="C77" s="14">
        <f>5.4+4.34+(3.28*3.88)</f>
        <v>22.4664</v>
      </c>
      <c r="D77" s="14" t="s">
        <v>509</v>
      </c>
      <c r="E77" s="14"/>
      <c r="F77" s="14"/>
      <c r="G77" s="14"/>
      <c r="H77" s="14"/>
      <c r="I77" s="14"/>
      <c r="J77" s="14"/>
      <c r="K77" s="87"/>
    </row>
    <row r="78" spans="1:12">
      <c r="A78" s="16"/>
      <c r="B78" s="14"/>
      <c r="C78" s="14"/>
      <c r="D78" s="14"/>
      <c r="E78" s="14"/>
      <c r="F78" s="14"/>
      <c r="G78" s="14"/>
      <c r="H78" s="14"/>
      <c r="I78" s="14"/>
      <c r="J78" s="14"/>
      <c r="K78" s="87"/>
    </row>
    <row r="79" spans="1:12" s="57" customFormat="1">
      <c r="A79" s="209" t="s">
        <v>44512</v>
      </c>
      <c r="B79" s="208"/>
      <c r="C79" s="208">
        <v>7.0000000000000007E-2</v>
      </c>
      <c r="D79" s="14" t="s">
        <v>165</v>
      </c>
      <c r="E79" s="14"/>
      <c r="F79" s="14"/>
      <c r="G79" s="14"/>
      <c r="H79" s="14"/>
      <c r="I79" s="14"/>
      <c r="J79" s="14"/>
      <c r="K79" s="87"/>
    </row>
    <row r="80" spans="1:12">
      <c r="A80" s="16"/>
      <c r="B80" s="14"/>
      <c r="C80" s="14"/>
      <c r="D80" s="95"/>
      <c r="E80" s="14"/>
      <c r="F80" s="14"/>
      <c r="G80" s="14"/>
      <c r="H80" s="14"/>
      <c r="I80" s="14"/>
      <c r="J80" s="14"/>
      <c r="K80" s="87"/>
    </row>
    <row r="81" spans="1:12">
      <c r="A81" s="16"/>
      <c r="B81" s="14"/>
      <c r="C81" s="14"/>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88"/>
      <c r="F87" s="88"/>
      <c r="G87" s="88"/>
      <c r="H87" s="88"/>
      <c r="I87" s="89"/>
      <c r="J87" s="89"/>
      <c r="K87" s="90"/>
    </row>
    <row r="88" spans="1:12">
      <c r="A88" s="91" t="s">
        <v>28031</v>
      </c>
      <c r="B88" s="88">
        <f>SUM(C75:C77)*C79</f>
        <v>9.3853480000000022</v>
      </c>
      <c r="C88" s="88" t="str">
        <f>K73</f>
        <v>M3</v>
      </c>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B88</f>
        <v>9.3853480000000022</v>
      </c>
      <c r="K91" s="1178"/>
    </row>
    <row r="92" spans="1:12" ht="22">
      <c r="A92" s="4" t="s">
        <v>28028</v>
      </c>
      <c r="B92" s="1173" t="s">
        <v>28029</v>
      </c>
      <c r="C92" s="1173"/>
      <c r="D92" s="1173"/>
      <c r="E92" s="1173"/>
      <c r="F92" s="1173"/>
      <c r="G92" s="1173"/>
      <c r="H92" s="1173"/>
      <c r="I92" s="1173"/>
      <c r="J92" s="1173"/>
      <c r="K92" s="5" t="s">
        <v>28030</v>
      </c>
    </row>
    <row r="93" spans="1:12" ht="22" customHeight="1" thickBot="1">
      <c r="A93" s="414" t="s">
        <v>12304</v>
      </c>
      <c r="B93" s="1174" t="str">
        <f>VLOOKUP($A93, 'Plan Orçamentária'!$Q$2:$S$128267,2,FALSE)</f>
        <v>ARGAMASSA DE REGULARIZAÇÃO E/OU PROTEÇÃO</v>
      </c>
      <c r="C93" s="1174"/>
      <c r="D93" s="1174"/>
      <c r="E93" s="1174"/>
      <c r="F93" s="1174"/>
      <c r="G93" s="1174"/>
      <c r="H93" s="1174"/>
      <c r="I93" s="1174"/>
      <c r="J93" s="1174"/>
      <c r="K93" s="12" t="str">
        <f>VLOOKUP($A93,'Plan Orçamentária'!$Q$2:$S$138267,3,FALSE)</f>
        <v>M3</v>
      </c>
      <c r="L93" s="15">
        <f>J111</f>
        <v>7.1698919999999999</v>
      </c>
    </row>
    <row r="94" spans="1:12">
      <c r="A94" s="86" t="s">
        <v>44396</v>
      </c>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t="s">
        <v>44511</v>
      </c>
      <c r="B96" s="233"/>
      <c r="C96" s="14">
        <f>92.71+8.42+5.25+5.23</f>
        <v>111.61</v>
      </c>
      <c r="D96" s="14" t="s">
        <v>509</v>
      </c>
      <c r="E96" s="14"/>
      <c r="F96" s="14"/>
      <c r="G96" s="14"/>
      <c r="H96" s="14"/>
      <c r="I96" s="14"/>
      <c r="J96" s="14"/>
      <c r="K96" s="87"/>
    </row>
    <row r="97" spans="1:11" ht="16.5" customHeight="1">
      <c r="A97" s="16" t="s">
        <v>41832</v>
      </c>
      <c r="B97" s="234"/>
      <c r="C97" s="14">
        <f>5.4+4.34+(3.28*3.88)</f>
        <v>22.4664</v>
      </c>
      <c r="D97" s="14" t="s">
        <v>509</v>
      </c>
      <c r="E97" s="14"/>
      <c r="F97" s="14"/>
      <c r="G97" s="14"/>
      <c r="H97" s="14"/>
      <c r="I97" s="14"/>
      <c r="J97" s="14"/>
      <c r="K97" s="87"/>
    </row>
    <row r="98" spans="1:11">
      <c r="A98" s="16" t="s">
        <v>44513</v>
      </c>
      <c r="B98" s="14"/>
      <c r="C98" s="14">
        <f>94.34+5.35+5.23</f>
        <v>104.92</v>
      </c>
      <c r="D98" s="14" t="s">
        <v>509</v>
      </c>
      <c r="E98" s="14"/>
      <c r="F98" s="14"/>
      <c r="G98" s="14"/>
      <c r="H98" s="14"/>
      <c r="I98" s="14"/>
      <c r="J98" s="14"/>
      <c r="K98" s="87"/>
    </row>
    <row r="99" spans="1:11" s="57" customFormat="1">
      <c r="A99" s="209" t="s">
        <v>44512</v>
      </c>
      <c r="B99" s="208"/>
      <c r="C99" s="208">
        <v>0.03</v>
      </c>
      <c r="D99" s="14" t="s">
        <v>165</v>
      </c>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88"/>
      <c r="F107" s="88"/>
      <c r="G107" s="88"/>
      <c r="H107" s="88"/>
      <c r="I107" s="89"/>
      <c r="J107" s="89"/>
      <c r="K107" s="90"/>
    </row>
    <row r="108" spans="1:11">
      <c r="A108" s="91" t="s">
        <v>28031</v>
      </c>
      <c r="B108" s="88">
        <f>SUM(C96:C98)*C99</f>
        <v>7.1698919999999999</v>
      </c>
      <c r="C108" s="88" t="str">
        <f>K93</f>
        <v>M3</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7.1698919999999999</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414" t="s">
        <v>12519</v>
      </c>
      <c r="B113" s="1174" t="str">
        <f>VLOOKUP($A113, 'Plan Orçamentária'!$Q$2:$S$128267,2,FALSE)</f>
        <v>REVESTIMENTO EM PORCELANATO ESMALTADO ACETINADO PARA ÁREA INTERNA E AMBIENTE COM ACESSO AO EXTERIOR, GRUPO DE ABSORÇÃO BIA, RESISTÊNCIA QUÍMICA B, ASSENTADO COM ARGAMASSA COLANTE INDUSTRIALIZADA, REJUNTADO</v>
      </c>
      <c r="C113" s="1174"/>
      <c r="D113" s="1174"/>
      <c r="E113" s="1174"/>
      <c r="F113" s="1174"/>
      <c r="G113" s="1174"/>
      <c r="H113" s="1174"/>
      <c r="I113" s="1174"/>
      <c r="J113" s="1174"/>
      <c r="K113" s="12" t="str">
        <f>VLOOKUP($A113,'Plan Orçamentária'!$Q$2:$S$138267,3,FALSE)</f>
        <v>M2</v>
      </c>
      <c r="L113" s="15">
        <f>J131</f>
        <v>219.69</v>
      </c>
    </row>
    <row r="114" spans="1:12">
      <c r="A114" s="86" t="s">
        <v>44433</v>
      </c>
      <c r="B114" s="14"/>
      <c r="C114" s="14"/>
      <c r="D114" s="14"/>
      <c r="E114" s="14"/>
      <c r="F114" s="14"/>
      <c r="G114" s="14"/>
      <c r="H114" s="14"/>
      <c r="I114" s="14"/>
      <c r="J114" s="14"/>
      <c r="K114" s="87"/>
    </row>
    <row r="115" spans="1:12" ht="16.5" customHeight="1">
      <c r="A115" s="16"/>
      <c r="B115" s="14"/>
      <c r="C115" s="14"/>
      <c r="D115" s="14"/>
      <c r="E115" s="14"/>
      <c r="F115" s="14"/>
      <c r="G115" s="14"/>
      <c r="H115" s="14"/>
      <c r="I115" s="14"/>
      <c r="J115" s="14"/>
      <c r="K115" s="87"/>
    </row>
    <row r="116" spans="1:12" ht="16.5" customHeight="1">
      <c r="A116" s="1189" t="s">
        <v>44456</v>
      </c>
      <c r="B116" s="1190"/>
      <c r="C116" s="1190"/>
      <c r="D116" s="14"/>
      <c r="E116" s="1190" t="s">
        <v>44457</v>
      </c>
      <c r="F116" s="1190"/>
      <c r="G116" s="1190"/>
      <c r="H116" s="1190"/>
      <c r="I116" s="14"/>
      <c r="J116" s="14"/>
      <c r="K116" s="87"/>
    </row>
    <row r="117" spans="1:12">
      <c r="A117" s="91"/>
      <c r="B117" s="88"/>
      <c r="C117" s="88"/>
      <c r="D117" s="88"/>
      <c r="E117" s="88"/>
      <c r="F117" s="88"/>
      <c r="G117" s="88"/>
      <c r="H117" s="88"/>
      <c r="I117" s="89"/>
      <c r="J117" s="89"/>
      <c r="K117" s="90"/>
    </row>
    <row r="118" spans="1:12" ht="16.5" customHeight="1">
      <c r="A118" s="16" t="s">
        <v>44438</v>
      </c>
      <c r="B118" s="786"/>
      <c r="C118" s="803">
        <v>3.98</v>
      </c>
      <c r="D118" s="802" t="str">
        <f>K113</f>
        <v>M2</v>
      </c>
      <c r="E118" s="1186" t="s">
        <v>44453</v>
      </c>
      <c r="F118" s="1186"/>
      <c r="G118" s="803">
        <v>5.26</v>
      </c>
      <c r="H118" s="802" t="str">
        <f>K113</f>
        <v>M2</v>
      </c>
      <c r="I118" s="14"/>
      <c r="J118" s="14"/>
      <c r="K118" s="87"/>
    </row>
    <row r="119" spans="1:12" ht="16.5" customHeight="1">
      <c r="A119" s="16" t="s">
        <v>44461</v>
      </c>
      <c r="B119" s="788"/>
      <c r="C119" s="803">
        <v>82.33</v>
      </c>
      <c r="D119" s="802" t="str">
        <f>K113</f>
        <v>M2</v>
      </c>
      <c r="E119" s="1186" t="s">
        <v>44438</v>
      </c>
      <c r="F119" s="1186"/>
      <c r="G119" s="803">
        <v>23.27</v>
      </c>
      <c r="H119" s="802" t="str">
        <f>H118</f>
        <v>M2</v>
      </c>
      <c r="I119" s="14"/>
      <c r="J119" s="14"/>
      <c r="K119" s="87"/>
    </row>
    <row r="120" spans="1:12">
      <c r="A120" s="16" t="s">
        <v>44447</v>
      </c>
      <c r="B120" s="787"/>
      <c r="C120" s="803">
        <v>10.37</v>
      </c>
      <c r="D120" s="802" t="str">
        <f>K113</f>
        <v>M2</v>
      </c>
      <c r="E120" s="1186" t="s">
        <v>44455</v>
      </c>
      <c r="F120" s="1186"/>
      <c r="G120" s="803">
        <v>16.59</v>
      </c>
      <c r="H120" s="802" t="str">
        <f t="shared" ref="H120:H125" si="0">H119</f>
        <v>M2</v>
      </c>
      <c r="I120" s="14"/>
      <c r="J120" s="14"/>
      <c r="K120" s="87"/>
    </row>
    <row r="121" spans="1:12" s="57" customFormat="1">
      <c r="A121" s="86" t="s">
        <v>44452</v>
      </c>
      <c r="B121" s="789"/>
      <c r="C121" s="805">
        <v>15.71</v>
      </c>
      <c r="D121" s="802" t="str">
        <f>K113</f>
        <v>M2</v>
      </c>
      <c r="E121" s="1186" t="s">
        <v>44454</v>
      </c>
      <c r="F121" s="1186"/>
      <c r="G121" s="803">
        <v>16.579999999999998</v>
      </c>
      <c r="H121" s="802" t="str">
        <f t="shared" si="0"/>
        <v>M2</v>
      </c>
      <c r="I121" s="14"/>
      <c r="J121" s="14"/>
      <c r="K121" s="87"/>
    </row>
    <row r="122" spans="1:12">
      <c r="A122" s="86" t="s">
        <v>44515</v>
      </c>
      <c r="B122" s="787"/>
      <c r="C122" s="803">
        <v>5.22</v>
      </c>
      <c r="D122" s="802" t="str">
        <f>K113</f>
        <v>M2</v>
      </c>
      <c r="E122" s="1186" t="s">
        <v>44447</v>
      </c>
      <c r="F122" s="1186"/>
      <c r="G122" s="803">
        <v>10.119999999999999</v>
      </c>
      <c r="H122" s="802" t="str">
        <f t="shared" si="0"/>
        <v>M2</v>
      </c>
      <c r="I122" s="14"/>
      <c r="J122" s="14"/>
      <c r="K122" s="87"/>
    </row>
    <row r="123" spans="1:12">
      <c r="A123" s="86" t="s">
        <v>44516</v>
      </c>
      <c r="B123" s="787"/>
      <c r="C123" s="803">
        <v>5.25</v>
      </c>
      <c r="D123" s="802" t="str">
        <f>K113</f>
        <v>M2</v>
      </c>
      <c r="E123" s="1186" t="s">
        <v>44424</v>
      </c>
      <c r="F123" s="1186"/>
      <c r="G123" s="803">
        <v>5.23</v>
      </c>
      <c r="H123" s="802" t="str">
        <f t="shared" si="0"/>
        <v>M2</v>
      </c>
      <c r="I123" s="14"/>
      <c r="J123" s="14"/>
      <c r="K123" s="87"/>
    </row>
    <row r="124" spans="1:12">
      <c r="A124" s="16"/>
      <c r="B124" s="787"/>
      <c r="C124" s="803"/>
      <c r="D124" s="802"/>
      <c r="E124" s="1186" t="s">
        <v>44424</v>
      </c>
      <c r="F124" s="1186"/>
      <c r="G124" s="803">
        <v>5.25</v>
      </c>
      <c r="H124" s="802" t="str">
        <f t="shared" si="0"/>
        <v>M2</v>
      </c>
      <c r="I124" s="14"/>
      <c r="J124" s="14"/>
      <c r="K124" s="87"/>
    </row>
    <row r="125" spans="1:12">
      <c r="A125" s="16"/>
      <c r="B125" s="14"/>
      <c r="C125" s="14"/>
      <c r="D125" s="88"/>
      <c r="E125" s="1186" t="s">
        <v>44514</v>
      </c>
      <c r="F125" s="1186"/>
      <c r="G125" s="803">
        <v>14.53</v>
      </c>
      <c r="H125" s="802" t="str">
        <f t="shared" si="0"/>
        <v>M2</v>
      </c>
      <c r="I125" s="89"/>
      <c r="J125" s="89"/>
      <c r="K125" s="90"/>
    </row>
    <row r="126" spans="1:12">
      <c r="A126" s="16"/>
      <c r="B126" s="14"/>
      <c r="C126" s="14"/>
      <c r="D126" s="88"/>
      <c r="E126" s="1186"/>
      <c r="F126" s="1186"/>
      <c r="G126" s="803"/>
      <c r="H126" s="802"/>
      <c r="I126" s="89"/>
      <c r="J126" s="89"/>
      <c r="K126" s="90"/>
    </row>
    <row r="127" spans="1:12">
      <c r="A127" s="16"/>
      <c r="B127" s="14"/>
      <c r="C127" s="14"/>
      <c r="D127" s="88"/>
      <c r="E127" s="14"/>
      <c r="F127" s="14"/>
      <c r="G127" s="14"/>
      <c r="H127" s="88"/>
      <c r="I127" s="89"/>
      <c r="J127" s="89"/>
      <c r="K127" s="90"/>
    </row>
    <row r="128" spans="1:12">
      <c r="A128" s="91" t="s">
        <v>28031</v>
      </c>
      <c r="B128" s="88">
        <f>SUM(C118:C124,G118:G126)</f>
        <v>219.69</v>
      </c>
      <c r="C128" s="88" t="str">
        <f>K113</f>
        <v>M2</v>
      </c>
      <c r="D128" s="88"/>
      <c r="E128" s="14"/>
      <c r="F128" s="14"/>
      <c r="G128" s="14"/>
      <c r="H128" s="88"/>
      <c r="I128" s="89"/>
      <c r="J128" s="89"/>
      <c r="K128" s="90"/>
    </row>
    <row r="129" spans="1:12">
      <c r="A129" s="91"/>
      <c r="B129" s="88"/>
      <c r="C129" s="88"/>
      <c r="D129" s="88"/>
      <c r="E129" s="88"/>
      <c r="F129" s="88"/>
      <c r="G129" s="88"/>
      <c r="H129" s="88"/>
      <c r="I129" s="89"/>
      <c r="J129" s="89"/>
      <c r="K129" s="90"/>
    </row>
    <row r="130" spans="1:12" ht="16">
      <c r="A130" s="10" t="s">
        <v>28032</v>
      </c>
      <c r="B130" s="207"/>
      <c r="C130" s="207"/>
      <c r="D130" s="207"/>
      <c r="E130" s="207"/>
      <c r="F130" s="207"/>
      <c r="G130" s="207"/>
      <c r="H130" s="207"/>
      <c r="I130" s="207"/>
      <c r="J130" s="1175" t="s">
        <v>28033</v>
      </c>
      <c r="K130" s="1176"/>
    </row>
    <row r="131" spans="1:12" ht="17" thickBot="1">
      <c r="A131" s="6"/>
      <c r="B131" s="11"/>
      <c r="C131" s="11"/>
      <c r="D131" s="11"/>
      <c r="E131" s="11"/>
      <c r="F131" s="11"/>
      <c r="G131" s="11"/>
      <c r="H131" s="11"/>
      <c r="I131" s="11"/>
      <c r="J131" s="1177">
        <f>B128</f>
        <v>219.69</v>
      </c>
      <c r="K131" s="1178"/>
    </row>
    <row r="132" spans="1:12" ht="22">
      <c r="A132" s="4" t="s">
        <v>28028</v>
      </c>
      <c r="B132" s="1173" t="s">
        <v>28029</v>
      </c>
      <c r="C132" s="1173"/>
      <c r="D132" s="1173"/>
      <c r="E132" s="1173"/>
      <c r="F132" s="1173"/>
      <c r="G132" s="1173"/>
      <c r="H132" s="1173"/>
      <c r="I132" s="1173"/>
      <c r="J132" s="1173"/>
      <c r="K132" s="5" t="s">
        <v>28030</v>
      </c>
    </row>
    <row r="133" spans="1:12" ht="22" customHeight="1" thickBot="1">
      <c r="A133" s="414" t="s">
        <v>12573</v>
      </c>
      <c r="B133" s="1174" t="str">
        <f>VLOOKUP($A133, 'Plan Orçamentária'!$Q$2:$S$128267,2,FALSE)</f>
        <v>DEGRAU E ESPELHO DE GRANITO, ESPESSURA DE 2 CM, ACABAMENTO POLIDO</v>
      </c>
      <c r="C133" s="1174"/>
      <c r="D133" s="1174"/>
      <c r="E133" s="1174"/>
      <c r="F133" s="1174"/>
      <c r="G133" s="1174"/>
      <c r="H133" s="1174"/>
      <c r="I133" s="1174"/>
      <c r="J133" s="1174"/>
      <c r="K133" s="12" t="str">
        <f>VLOOKUP($A133,'Plan Orçamentária'!$Q$2:$S$138267,3,FALSE)</f>
        <v>M</v>
      </c>
      <c r="L133" s="15">
        <f>J151</f>
        <v>59.399999999999991</v>
      </c>
    </row>
    <row r="134" spans="1:12">
      <c r="A134" s="86" t="s">
        <v>44396</v>
      </c>
      <c r="B134" s="14"/>
      <c r="C134" s="14"/>
      <c r="D134" s="14"/>
      <c r="E134" s="14"/>
      <c r="F134" s="14"/>
      <c r="G134" s="14"/>
      <c r="H134" s="14"/>
      <c r="I134" s="14"/>
      <c r="J134" s="14"/>
      <c r="K134" s="87"/>
    </row>
    <row r="135" spans="1:12" ht="16.5" customHeight="1">
      <c r="A135" s="16"/>
      <c r="B135" s="14"/>
      <c r="C135" s="14"/>
      <c r="D135" s="14"/>
      <c r="E135" s="14"/>
      <c r="F135" s="14"/>
      <c r="G135" s="14"/>
      <c r="H135" s="14"/>
      <c r="I135" s="14"/>
      <c r="J135" s="14"/>
      <c r="K135" s="87"/>
    </row>
    <row r="136" spans="1:12" ht="16.5" customHeight="1">
      <c r="A136" s="16"/>
      <c r="B136" s="787" t="s">
        <v>41786</v>
      </c>
      <c r="C136" s="787" t="s">
        <v>44397</v>
      </c>
      <c r="D136" s="787" t="s">
        <v>44420</v>
      </c>
      <c r="E136" s="14"/>
      <c r="F136" s="14"/>
      <c r="G136" s="14"/>
      <c r="H136" s="14"/>
      <c r="I136" s="14"/>
      <c r="J136" s="14"/>
      <c r="K136" s="87"/>
    </row>
    <row r="137" spans="1:12" ht="16.5" customHeight="1">
      <c r="A137" s="16" t="s">
        <v>44458</v>
      </c>
      <c r="B137" s="786">
        <v>1.65</v>
      </c>
      <c r="C137" s="787">
        <v>19</v>
      </c>
      <c r="D137" s="787">
        <f>B137*C137</f>
        <v>31.349999999999998</v>
      </c>
      <c r="E137" s="14"/>
      <c r="F137" s="14"/>
      <c r="G137" s="14"/>
      <c r="H137" s="14"/>
      <c r="I137" s="14"/>
      <c r="J137" s="14"/>
      <c r="K137" s="87"/>
    </row>
    <row r="138" spans="1:12">
      <c r="A138" s="16" t="s">
        <v>44459</v>
      </c>
      <c r="B138" s="788">
        <v>1.65</v>
      </c>
      <c r="C138" s="787">
        <v>17</v>
      </c>
      <c r="D138" s="787">
        <f t="shared" ref="D138" si="1">B138*C138</f>
        <v>28.049999999999997</v>
      </c>
      <c r="E138" s="14"/>
      <c r="F138" s="14"/>
      <c r="G138" s="14"/>
      <c r="H138" s="14"/>
      <c r="I138" s="14"/>
      <c r="J138" s="14"/>
      <c r="K138" s="87"/>
    </row>
    <row r="139" spans="1:12" s="57" customFormat="1">
      <c r="A139" s="209"/>
      <c r="B139" s="208"/>
      <c r="C139" s="208"/>
      <c r="D139" s="14"/>
      <c r="E139" s="14"/>
      <c r="F139" s="14"/>
      <c r="G139" s="14"/>
      <c r="H139" s="14"/>
      <c r="I139" s="14"/>
      <c r="J139" s="14"/>
      <c r="K139" s="87"/>
    </row>
    <row r="140" spans="1:12">
      <c r="A140" s="16"/>
      <c r="B140" s="14"/>
      <c r="C140" s="14"/>
      <c r="D140" s="95"/>
      <c r="E140" s="14"/>
      <c r="F140" s="14"/>
      <c r="G140" s="14"/>
      <c r="H140" s="14"/>
      <c r="I140" s="14"/>
      <c r="J140" s="14"/>
      <c r="K140" s="87"/>
    </row>
    <row r="141" spans="1:12">
      <c r="A141" s="16"/>
      <c r="B141" s="14"/>
      <c r="C141" s="14"/>
      <c r="D141" s="14"/>
      <c r="E141" s="14"/>
      <c r="F141" s="14"/>
      <c r="G141" s="14"/>
      <c r="H141" s="14"/>
      <c r="I141" s="14"/>
      <c r="J141" s="14"/>
      <c r="K141" s="87"/>
    </row>
    <row r="142" spans="1:12">
      <c r="A142" s="16"/>
      <c r="B142" s="14"/>
      <c r="C142" s="14"/>
      <c r="D142" s="14"/>
      <c r="E142" s="14"/>
      <c r="F142" s="14"/>
      <c r="G142" s="14"/>
      <c r="H142" s="14"/>
      <c r="I142" s="14"/>
      <c r="J142" s="14"/>
      <c r="K142" s="87"/>
    </row>
    <row r="143" spans="1:12">
      <c r="A143" s="16"/>
      <c r="B143" s="14"/>
      <c r="C143" s="14"/>
      <c r="D143" s="88"/>
      <c r="E143" s="14"/>
      <c r="F143" s="14"/>
      <c r="G143" s="14"/>
      <c r="H143" s="88"/>
      <c r="I143" s="89"/>
      <c r="J143" s="89"/>
      <c r="K143" s="90"/>
    </row>
    <row r="144" spans="1:12">
      <c r="A144" s="16"/>
      <c r="B144" s="14"/>
      <c r="C144" s="14"/>
      <c r="D144" s="88"/>
      <c r="E144" s="14"/>
      <c r="F144" s="14"/>
      <c r="G144" s="14"/>
      <c r="H144" s="88"/>
      <c r="I144" s="89"/>
      <c r="J144" s="89"/>
      <c r="K144" s="90"/>
    </row>
    <row r="145" spans="1:12">
      <c r="A145" s="16"/>
      <c r="B145" s="14"/>
      <c r="C145" s="14"/>
      <c r="D145" s="88"/>
      <c r="E145" s="14"/>
      <c r="F145" s="14"/>
      <c r="G145" s="14"/>
      <c r="H145" s="88"/>
      <c r="I145" s="89"/>
      <c r="J145" s="89"/>
      <c r="K145" s="90"/>
    </row>
    <row r="146" spans="1:12">
      <c r="A146" s="16"/>
      <c r="B146" s="14"/>
      <c r="C146" s="14"/>
      <c r="D146" s="88"/>
      <c r="E146" s="14"/>
      <c r="F146" s="14"/>
      <c r="G146" s="14"/>
      <c r="H146" s="88"/>
      <c r="I146" s="89"/>
      <c r="J146" s="89"/>
      <c r="K146" s="90"/>
    </row>
    <row r="147" spans="1:12">
      <c r="A147" s="91"/>
      <c r="B147" s="88"/>
      <c r="C147" s="88"/>
      <c r="D147" s="88"/>
      <c r="E147" s="88"/>
      <c r="F147" s="88"/>
      <c r="G147" s="88"/>
      <c r="H147" s="88"/>
      <c r="I147" s="89"/>
      <c r="J147" s="89"/>
      <c r="K147" s="90"/>
    </row>
    <row r="148" spans="1:12">
      <c r="A148" s="91" t="s">
        <v>28031</v>
      </c>
      <c r="B148" s="88">
        <f>SUM(D137:D138)</f>
        <v>59.399999999999991</v>
      </c>
      <c r="C148" s="88" t="str">
        <f>K133</f>
        <v>M</v>
      </c>
      <c r="D148" s="88"/>
      <c r="E148" s="14"/>
      <c r="F148" s="14"/>
      <c r="G148" s="14"/>
      <c r="H148" s="88"/>
      <c r="I148" s="89"/>
      <c r="J148" s="89"/>
      <c r="K148" s="90"/>
    </row>
    <row r="149" spans="1:12">
      <c r="A149" s="91"/>
      <c r="B149" s="88"/>
      <c r="C149" s="88"/>
      <c r="D149" s="88"/>
      <c r="E149" s="88"/>
      <c r="F149" s="88"/>
      <c r="G149" s="88"/>
      <c r="H149" s="88"/>
      <c r="I149" s="89"/>
      <c r="J149" s="89"/>
      <c r="K149" s="90"/>
    </row>
    <row r="150" spans="1:12" ht="16">
      <c r="A150" s="10" t="s">
        <v>28032</v>
      </c>
      <c r="B150" s="207"/>
      <c r="C150" s="207"/>
      <c r="D150" s="207"/>
      <c r="E150" s="207"/>
      <c r="F150" s="207"/>
      <c r="G150" s="207"/>
      <c r="H150" s="207"/>
      <c r="I150" s="207"/>
      <c r="J150" s="1175" t="s">
        <v>28033</v>
      </c>
      <c r="K150" s="1176"/>
    </row>
    <row r="151" spans="1:12" ht="17" thickBot="1">
      <c r="A151" s="6"/>
      <c r="B151" s="11"/>
      <c r="C151" s="11"/>
      <c r="D151" s="11"/>
      <c r="E151" s="11"/>
      <c r="F151" s="11"/>
      <c r="G151" s="11"/>
      <c r="H151" s="11"/>
      <c r="I151" s="11"/>
      <c r="J151" s="1177">
        <f>B148</f>
        <v>59.399999999999991</v>
      </c>
      <c r="K151" s="1178"/>
    </row>
    <row r="152" spans="1:12" ht="22">
      <c r="A152" s="4" t="s">
        <v>28028</v>
      </c>
      <c r="B152" s="1173" t="s">
        <v>28029</v>
      </c>
      <c r="C152" s="1173"/>
      <c r="D152" s="1173"/>
      <c r="E152" s="1173"/>
      <c r="F152" s="1173"/>
      <c r="G152" s="1173"/>
      <c r="H152" s="1173"/>
      <c r="I152" s="1173"/>
      <c r="J152" s="1173"/>
      <c r="K152" s="5" t="s">
        <v>28030</v>
      </c>
    </row>
    <row r="153" spans="1:12" ht="22" customHeight="1" thickBot="1">
      <c r="A153" s="414" t="s">
        <v>12567</v>
      </c>
      <c r="B153" s="1174" t="str">
        <f>VLOOKUP($A153, 'Plan Orçamentária'!$Q$2:$S$128267,2,FALSE)</f>
        <v>REVESTIMENTO EM GRANITO, ESPESSURA DE 2 CM, ACABAMENTO POLIDO</v>
      </c>
      <c r="C153" s="1174"/>
      <c r="D153" s="1174"/>
      <c r="E153" s="1174"/>
      <c r="F153" s="1174"/>
      <c r="G153" s="1174"/>
      <c r="H153" s="1174"/>
      <c r="I153" s="1174"/>
      <c r="J153" s="1174"/>
      <c r="K153" s="12" t="str">
        <f>VLOOKUP($A153,'Plan Orçamentária'!$Q$2:$S$138267,3,FALSE)</f>
        <v>M2</v>
      </c>
      <c r="L153" s="15">
        <f>J171</f>
        <v>2.5600000000000005</v>
      </c>
    </row>
    <row r="154" spans="1:12">
      <c r="A154" s="86" t="s">
        <v>44396</v>
      </c>
      <c r="B154" s="14"/>
      <c r="C154" s="14"/>
      <c r="D154" s="14"/>
      <c r="E154" s="14"/>
      <c r="F154" s="14"/>
      <c r="G154" s="14"/>
      <c r="H154" s="14"/>
      <c r="I154" s="14"/>
      <c r="J154" s="14"/>
      <c r="K154" s="87"/>
    </row>
    <row r="155" spans="1:12" ht="16.5" customHeight="1">
      <c r="A155" s="16"/>
      <c r="B155" s="14"/>
      <c r="C155" s="14"/>
      <c r="D155" s="14"/>
      <c r="E155" s="14"/>
      <c r="F155" s="14"/>
      <c r="G155" s="14"/>
      <c r="H155" s="14"/>
      <c r="I155" s="14"/>
      <c r="J155" s="14"/>
      <c r="K155" s="87"/>
    </row>
    <row r="156" spans="1:12" ht="16.5" customHeight="1">
      <c r="A156" s="16"/>
      <c r="B156" s="787" t="s">
        <v>41786</v>
      </c>
      <c r="C156" s="787" t="s">
        <v>41798</v>
      </c>
      <c r="D156" s="787" t="s">
        <v>44398</v>
      </c>
      <c r="E156" s="14"/>
      <c r="F156" s="14"/>
      <c r="G156" s="14"/>
      <c r="H156" s="14"/>
      <c r="I156" s="14"/>
      <c r="J156" s="14"/>
      <c r="K156" s="87"/>
    </row>
    <row r="157" spans="1:12" ht="16.5" customHeight="1">
      <c r="A157" s="16" t="s">
        <v>44460</v>
      </c>
      <c r="B157" s="786">
        <v>1.6</v>
      </c>
      <c r="C157" s="787">
        <v>1.6</v>
      </c>
      <c r="D157" s="787">
        <f>B157*C157</f>
        <v>2.5600000000000005</v>
      </c>
      <c r="E157" s="14"/>
      <c r="F157" s="14"/>
      <c r="G157" s="14"/>
      <c r="H157" s="14"/>
      <c r="I157" s="14"/>
      <c r="J157" s="14"/>
      <c r="K157" s="87"/>
    </row>
    <row r="158" spans="1:12">
      <c r="A158" s="16"/>
      <c r="B158" s="788"/>
      <c r="C158" s="787"/>
      <c r="D158" s="787"/>
      <c r="E158" s="14"/>
      <c r="F158" s="14"/>
      <c r="G158" s="14"/>
      <c r="H158" s="14"/>
      <c r="I158" s="14"/>
      <c r="J158" s="14"/>
      <c r="K158" s="87"/>
    </row>
    <row r="159" spans="1:12" s="57" customFormat="1">
      <c r="A159" s="209"/>
      <c r="B159" s="208"/>
      <c r="C159" s="208"/>
      <c r="D159" s="14"/>
      <c r="E159" s="14"/>
      <c r="F159" s="14"/>
      <c r="G159" s="14"/>
      <c r="H159" s="14"/>
      <c r="I159" s="14"/>
      <c r="J159" s="14"/>
      <c r="K159" s="87"/>
    </row>
    <row r="160" spans="1:12">
      <c r="A160" s="16"/>
      <c r="B160" s="14"/>
      <c r="C160" s="14"/>
      <c r="D160" s="95"/>
      <c r="E160" s="14"/>
      <c r="F160" s="14"/>
      <c r="G160" s="14"/>
      <c r="H160" s="14"/>
      <c r="I160" s="14"/>
      <c r="J160" s="14"/>
      <c r="K160" s="87"/>
    </row>
    <row r="161" spans="1:12">
      <c r="A161" s="16"/>
      <c r="B161" s="14"/>
      <c r="C161" s="14"/>
      <c r="D161" s="14"/>
      <c r="E161" s="14"/>
      <c r="F161" s="14"/>
      <c r="G161" s="14"/>
      <c r="H161" s="14"/>
      <c r="I161" s="14"/>
      <c r="J161" s="14"/>
      <c r="K161" s="87"/>
    </row>
    <row r="162" spans="1:12">
      <c r="A162" s="16"/>
      <c r="B162" s="14"/>
      <c r="C162" s="14"/>
      <c r="D162" s="14"/>
      <c r="E162" s="14"/>
      <c r="F162" s="14"/>
      <c r="G162" s="14"/>
      <c r="H162" s="14"/>
      <c r="I162" s="14"/>
      <c r="J162" s="14"/>
      <c r="K162" s="87"/>
    </row>
    <row r="163" spans="1:12">
      <c r="A163" s="16"/>
      <c r="B163" s="14"/>
      <c r="C163" s="14"/>
      <c r="D163" s="88"/>
      <c r="E163" s="14"/>
      <c r="F163" s="14"/>
      <c r="G163" s="14"/>
      <c r="H163" s="88"/>
      <c r="I163" s="89"/>
      <c r="J163" s="89"/>
      <c r="K163" s="90"/>
    </row>
    <row r="164" spans="1:12">
      <c r="A164" s="16"/>
      <c r="B164" s="14"/>
      <c r="C164" s="14"/>
      <c r="D164" s="88"/>
      <c r="E164" s="14"/>
      <c r="F164" s="14"/>
      <c r="G164" s="14"/>
      <c r="H164" s="88"/>
      <c r="I164" s="89"/>
      <c r="J164" s="89"/>
      <c r="K164" s="90"/>
    </row>
    <row r="165" spans="1:12">
      <c r="A165" s="16"/>
      <c r="B165" s="14"/>
      <c r="C165" s="14"/>
      <c r="D165" s="88"/>
      <c r="E165" s="14"/>
      <c r="F165" s="14"/>
      <c r="G165" s="14"/>
      <c r="H165" s="88"/>
      <c r="I165" s="89"/>
      <c r="J165" s="89"/>
      <c r="K165" s="90"/>
    </row>
    <row r="166" spans="1:12">
      <c r="A166" s="16"/>
      <c r="B166" s="14"/>
      <c r="C166" s="14"/>
      <c r="D166" s="88"/>
      <c r="E166" s="14"/>
      <c r="F166" s="14"/>
      <c r="G166" s="14"/>
      <c r="H166" s="88"/>
      <c r="I166" s="89"/>
      <c r="J166" s="89"/>
      <c r="K166" s="90"/>
    </row>
    <row r="167" spans="1:12">
      <c r="A167" s="91"/>
      <c r="B167" s="88"/>
      <c r="C167" s="88"/>
      <c r="D167" s="88"/>
      <c r="E167" s="88"/>
      <c r="F167" s="88"/>
      <c r="G167" s="88"/>
      <c r="H167" s="88"/>
      <c r="I167" s="89"/>
      <c r="J167" s="89"/>
      <c r="K167" s="90"/>
    </row>
    <row r="168" spans="1:12">
      <c r="A168" s="91" t="s">
        <v>28031</v>
      </c>
      <c r="B168" s="88">
        <f>SUM(D157:D158)</f>
        <v>2.5600000000000005</v>
      </c>
      <c r="C168" s="88" t="str">
        <f>K153</f>
        <v>M2</v>
      </c>
      <c r="D168" s="88"/>
      <c r="E168" s="14"/>
      <c r="F168" s="14"/>
      <c r="G168" s="14"/>
      <c r="H168" s="88"/>
      <c r="I168" s="89"/>
      <c r="J168" s="89"/>
      <c r="K168" s="90"/>
    </row>
    <row r="169" spans="1:12">
      <c r="A169" s="91"/>
      <c r="B169" s="88"/>
      <c r="C169" s="88"/>
      <c r="D169" s="88"/>
      <c r="E169" s="88"/>
      <c r="F169" s="88"/>
      <c r="G169" s="88"/>
      <c r="H169" s="88"/>
      <c r="I169" s="89"/>
      <c r="J169" s="89"/>
      <c r="K169" s="90"/>
    </row>
    <row r="170" spans="1:12" ht="16">
      <c r="A170" s="10" t="s">
        <v>28032</v>
      </c>
      <c r="B170" s="207"/>
      <c r="C170" s="207"/>
      <c r="D170" s="207"/>
      <c r="E170" s="207"/>
      <c r="F170" s="207"/>
      <c r="G170" s="207"/>
      <c r="H170" s="207"/>
      <c r="I170" s="207"/>
      <c r="J170" s="1175" t="s">
        <v>28033</v>
      </c>
      <c r="K170" s="1176"/>
    </row>
    <row r="171" spans="1:12" ht="17" thickBot="1">
      <c r="A171" s="6"/>
      <c r="B171" s="11"/>
      <c r="C171" s="11"/>
      <c r="D171" s="11"/>
      <c r="E171" s="11"/>
      <c r="F171" s="11"/>
      <c r="G171" s="11"/>
      <c r="H171" s="11"/>
      <c r="I171" s="11"/>
      <c r="J171" s="1177">
        <f>B168</f>
        <v>2.5600000000000005</v>
      </c>
      <c r="K171" s="1178"/>
    </row>
    <row r="172" spans="1:12" ht="22">
      <c r="A172" s="4" t="s">
        <v>28028</v>
      </c>
      <c r="B172" s="1173" t="s">
        <v>28029</v>
      </c>
      <c r="C172" s="1173"/>
      <c r="D172" s="1173"/>
      <c r="E172" s="1173"/>
      <c r="F172" s="1173"/>
      <c r="G172" s="1173"/>
      <c r="H172" s="1173"/>
      <c r="I172" s="1173"/>
      <c r="J172" s="1173"/>
      <c r="K172" s="5" t="s">
        <v>28030</v>
      </c>
    </row>
    <row r="173" spans="1:12" ht="22" customHeight="1" thickBot="1">
      <c r="A173" s="414" t="s">
        <v>12521</v>
      </c>
      <c r="B173" s="1174" t="str">
        <f>VLOOKUP($A173, 'Plan Orçamentária'!$Q$2:$S$128267,2,FALSE)</f>
        <v>RODAPÉ EM PORCELANATO ESMALTADO ACETINADO PARA ÁREA INTERNA E AMBIENTE COM ACESSO AO EXTERIOR, GRUPO DE ABSORÇÃO BIA, RESISTÊNCIA QUÍMICA B, ASSENTADO COM ARGAMASSA COLANTE INDUSTRIALIZADA, REJUNTADO</v>
      </c>
      <c r="C173" s="1174"/>
      <c r="D173" s="1174"/>
      <c r="E173" s="1174"/>
      <c r="F173" s="1174"/>
      <c r="G173" s="1174"/>
      <c r="H173" s="1174"/>
      <c r="I173" s="1174"/>
      <c r="J173" s="1174"/>
      <c r="K173" s="12" t="str">
        <f>VLOOKUP($A173,'Plan Orçamentária'!$Q$2:$S$138267,3,FALSE)</f>
        <v>M</v>
      </c>
      <c r="L173" s="15">
        <f>J191</f>
        <v>132.91</v>
      </c>
    </row>
    <row r="174" spans="1:12">
      <c r="A174" s="86" t="s">
        <v>44396</v>
      </c>
      <c r="B174" s="14"/>
      <c r="C174" s="14"/>
      <c r="D174" s="14"/>
      <c r="E174" s="14"/>
      <c r="F174" s="14"/>
      <c r="G174" s="14"/>
      <c r="H174" s="14"/>
      <c r="I174" s="14"/>
      <c r="J174" s="14"/>
      <c r="K174" s="87"/>
    </row>
    <row r="175" spans="1:12" ht="16.5" customHeight="1">
      <c r="A175" s="16"/>
      <c r="B175" s="14"/>
      <c r="C175" s="14"/>
      <c r="D175" s="14"/>
      <c r="E175" s="14"/>
      <c r="F175" s="14"/>
      <c r="G175" s="14"/>
      <c r="H175" s="14"/>
      <c r="I175" s="14"/>
      <c r="J175" s="14"/>
      <c r="K175" s="87"/>
    </row>
    <row r="176" spans="1:12" ht="16.5" customHeight="1">
      <c r="A176" s="16" t="s">
        <v>44517</v>
      </c>
      <c r="B176" s="233"/>
      <c r="C176" s="14">
        <v>55</v>
      </c>
      <c r="D176" s="14" t="str">
        <f>K173</f>
        <v>M</v>
      </c>
      <c r="E176" s="14" t="s">
        <v>44519</v>
      </c>
      <c r="F176" s="14"/>
      <c r="G176" s="14"/>
      <c r="H176" s="14">
        <v>45.18</v>
      </c>
      <c r="I176" s="14" t="str">
        <f>K173</f>
        <v>M</v>
      </c>
      <c r="J176" s="14"/>
      <c r="K176" s="87"/>
    </row>
    <row r="177" spans="1:11" ht="16.5" customHeight="1">
      <c r="A177" s="16"/>
      <c r="B177" s="234"/>
      <c r="C177" s="14"/>
      <c r="D177" s="14"/>
      <c r="E177" s="14" t="s">
        <v>44454</v>
      </c>
      <c r="F177" s="14"/>
      <c r="G177" s="14"/>
      <c r="H177" s="14">
        <v>16.36</v>
      </c>
      <c r="I177" s="14" t="str">
        <f>I176</f>
        <v>M</v>
      </c>
      <c r="J177" s="14"/>
      <c r="K177" s="87"/>
    </row>
    <row r="178" spans="1:11">
      <c r="A178" s="16"/>
      <c r="B178" s="14"/>
      <c r="C178" s="14"/>
      <c r="D178" s="14"/>
      <c r="E178" s="14" t="s">
        <v>44520</v>
      </c>
      <c r="F178" s="14"/>
      <c r="G178" s="14"/>
      <c r="H178" s="14">
        <v>16.37</v>
      </c>
      <c r="I178" s="14" t="str">
        <f>I177</f>
        <v>M</v>
      </c>
      <c r="J178" s="14"/>
      <c r="K178" s="87"/>
    </row>
    <row r="179" spans="1:11" s="57" customFormat="1">
      <c r="A179" s="209"/>
      <c r="B179" s="208"/>
      <c r="C179" s="208"/>
      <c r="D179" s="14"/>
      <c r="E179" s="14"/>
      <c r="F179" s="14"/>
      <c r="G179" s="14"/>
      <c r="H179" s="14"/>
      <c r="I179" s="14"/>
      <c r="J179" s="14"/>
      <c r="K179" s="87"/>
    </row>
    <row r="180" spans="1:11">
      <c r="A180" s="16"/>
      <c r="B180" s="14"/>
      <c r="C180" s="14"/>
      <c r="D180" s="14"/>
      <c r="E180" s="14"/>
      <c r="F180" s="14"/>
      <c r="G180" s="14"/>
      <c r="H180" s="14"/>
      <c r="I180" s="14"/>
      <c r="J180" s="14"/>
      <c r="K180" s="87"/>
    </row>
    <row r="181" spans="1:11">
      <c r="A181" s="16"/>
      <c r="B181" s="14"/>
      <c r="C181" s="14"/>
      <c r="D181" s="14"/>
      <c r="E181" s="14"/>
      <c r="F181" s="14"/>
      <c r="G181" s="14"/>
      <c r="H181" s="14"/>
      <c r="I181" s="14"/>
      <c r="J181" s="14"/>
      <c r="K181" s="87"/>
    </row>
    <row r="182" spans="1:11">
      <c r="A182" s="16"/>
      <c r="B182" s="14"/>
      <c r="C182" s="14"/>
      <c r="D182" s="14"/>
      <c r="E182" s="14"/>
      <c r="F182" s="14"/>
      <c r="G182" s="14"/>
      <c r="H182" s="14"/>
      <c r="I182" s="14"/>
      <c r="J182" s="14"/>
      <c r="K182" s="87"/>
    </row>
    <row r="183" spans="1:11">
      <c r="A183" s="16"/>
      <c r="B183" s="14"/>
      <c r="C183" s="14"/>
      <c r="D183" s="88"/>
      <c r="E183" s="14"/>
      <c r="F183" s="14"/>
      <c r="G183" s="14"/>
      <c r="H183" s="14"/>
      <c r="I183" s="89"/>
      <c r="J183" s="89"/>
      <c r="K183" s="90"/>
    </row>
    <row r="184" spans="1:11">
      <c r="A184" s="16"/>
      <c r="B184" s="14"/>
      <c r="C184" s="14"/>
      <c r="D184" s="88"/>
      <c r="E184" s="14"/>
      <c r="F184" s="14"/>
      <c r="G184" s="14"/>
      <c r="H184" s="88"/>
      <c r="I184" s="89"/>
      <c r="J184" s="89"/>
      <c r="K184" s="90"/>
    </row>
    <row r="185" spans="1:11">
      <c r="A185" s="16"/>
      <c r="B185" s="14"/>
      <c r="C185" s="14"/>
      <c r="D185" s="88"/>
      <c r="E185" s="14"/>
      <c r="F185" s="14"/>
      <c r="G185" s="14"/>
      <c r="H185" s="88"/>
      <c r="I185" s="89"/>
      <c r="J185" s="89"/>
      <c r="K185" s="90"/>
    </row>
    <row r="186" spans="1:11">
      <c r="A186" s="16"/>
      <c r="B186" s="14"/>
      <c r="C186" s="14"/>
      <c r="D186" s="88"/>
      <c r="E186" s="14"/>
      <c r="F186" s="14"/>
      <c r="G186" s="14"/>
      <c r="H186" s="88"/>
      <c r="I186" s="89"/>
      <c r="J186" s="89"/>
      <c r="K186" s="90"/>
    </row>
    <row r="187" spans="1:11">
      <c r="A187" s="91"/>
      <c r="B187" s="88"/>
      <c r="C187" s="88"/>
      <c r="D187" s="88"/>
      <c r="E187" s="88"/>
      <c r="F187" s="88"/>
      <c r="G187" s="88"/>
      <c r="H187" s="88"/>
      <c r="I187" s="89"/>
      <c r="J187" s="89"/>
      <c r="K187" s="90"/>
    </row>
    <row r="188" spans="1:11">
      <c r="A188" s="91" t="s">
        <v>28031</v>
      </c>
      <c r="B188" s="88">
        <f>SUM(C176:C182,H176:H184)</f>
        <v>132.91</v>
      </c>
      <c r="C188" s="88" t="str">
        <f>K173</f>
        <v>M</v>
      </c>
      <c r="D188" s="88"/>
      <c r="E188" s="14"/>
      <c r="F188" s="14"/>
      <c r="G188" s="14"/>
      <c r="H188" s="88"/>
      <c r="I188" s="89"/>
      <c r="J188" s="89"/>
      <c r="K188" s="90"/>
    </row>
    <row r="189" spans="1:11">
      <c r="A189" s="91"/>
      <c r="B189" s="88"/>
      <c r="C189" s="88"/>
      <c r="D189" s="88"/>
      <c r="E189" s="88"/>
      <c r="F189" s="88"/>
      <c r="G189" s="88"/>
      <c r="H189" s="88"/>
      <c r="I189" s="89"/>
      <c r="J189" s="89"/>
      <c r="K189" s="90"/>
    </row>
    <row r="190" spans="1:11" ht="16">
      <c r="A190" s="10" t="s">
        <v>28032</v>
      </c>
      <c r="B190" s="207"/>
      <c r="C190" s="207"/>
      <c r="D190" s="207"/>
      <c r="E190" s="207"/>
      <c r="F190" s="207"/>
      <c r="G190" s="207"/>
      <c r="H190" s="207"/>
      <c r="I190" s="207"/>
      <c r="J190" s="1175" t="s">
        <v>28033</v>
      </c>
      <c r="K190" s="1176"/>
    </row>
    <row r="191" spans="1:11" ht="17" thickBot="1">
      <c r="A191" s="6"/>
      <c r="B191" s="11"/>
      <c r="C191" s="11"/>
      <c r="D191" s="11"/>
      <c r="E191" s="11"/>
      <c r="F191" s="11"/>
      <c r="G191" s="11"/>
      <c r="H191" s="11"/>
      <c r="I191" s="11"/>
      <c r="J191" s="1177">
        <f>B188</f>
        <v>132.91</v>
      </c>
      <c r="K191" s="1178"/>
    </row>
    <row r="192" spans="1:11" ht="22">
      <c r="A192" s="4" t="s">
        <v>28028</v>
      </c>
      <c r="B192" s="1173" t="s">
        <v>28029</v>
      </c>
      <c r="C192" s="1173"/>
      <c r="D192" s="1173"/>
      <c r="E192" s="1173"/>
      <c r="F192" s="1173"/>
      <c r="G192" s="1173"/>
      <c r="H192" s="1173"/>
      <c r="I192" s="1173"/>
      <c r="J192" s="1173"/>
      <c r="K192" s="5" t="s">
        <v>28030</v>
      </c>
    </row>
    <row r="193" spans="1:12" ht="22" customHeight="1" thickBot="1">
      <c r="A193" s="414" t="s">
        <v>12352</v>
      </c>
      <c r="B193" s="1174" t="str">
        <f>VLOOKUP($A193, 'Plan Orçamentária'!$Q$2:$S$128267,2,FALSE)</f>
        <v>RODAPÉ EM CIMENTADO DESEMPENADO E ALISADO COM ALTURA 7 CM</v>
      </c>
      <c r="C193" s="1174"/>
      <c r="D193" s="1174"/>
      <c r="E193" s="1174"/>
      <c r="F193" s="1174"/>
      <c r="G193" s="1174"/>
      <c r="H193" s="1174"/>
      <c r="I193" s="1174"/>
      <c r="J193" s="1174"/>
      <c r="K193" s="12" t="str">
        <f>VLOOKUP($A193,'Plan Orçamentária'!$Q$2:$S$138267,3,FALSE)</f>
        <v>M</v>
      </c>
      <c r="L193" s="15">
        <f>J211</f>
        <v>151.95999999999998</v>
      </c>
    </row>
    <row r="194" spans="1:12">
      <c r="A194" s="86" t="s">
        <v>44396</v>
      </c>
      <c r="B194" s="14"/>
      <c r="C194" s="14"/>
      <c r="D194" s="14"/>
      <c r="E194" s="14"/>
      <c r="F194" s="14"/>
      <c r="G194" s="14"/>
      <c r="H194" s="14"/>
      <c r="I194" s="14"/>
      <c r="J194" s="14"/>
      <c r="K194" s="87"/>
    </row>
    <row r="195" spans="1:12" ht="16.5" customHeight="1">
      <c r="A195" s="16"/>
      <c r="B195" s="14"/>
      <c r="C195" s="14"/>
      <c r="D195" s="14"/>
      <c r="E195" s="14"/>
      <c r="F195" s="14"/>
      <c r="G195" s="14"/>
      <c r="H195" s="14"/>
      <c r="I195" s="14"/>
      <c r="J195" s="14"/>
      <c r="K195" s="87"/>
    </row>
    <row r="196" spans="1:12" ht="16.5" customHeight="1">
      <c r="A196" s="16" t="s">
        <v>44427</v>
      </c>
      <c r="B196" s="233"/>
      <c r="C196" s="14">
        <f>2.24+1.2+1.04+1.2+0.15+1.04+2.08+1.93+0.5+0.15</f>
        <v>11.530000000000001</v>
      </c>
      <c r="D196" s="14" t="str">
        <f>K193</f>
        <v>M</v>
      </c>
      <c r="E196" s="14"/>
      <c r="F196" s="14"/>
      <c r="G196" s="14"/>
      <c r="H196" s="14"/>
      <c r="I196" s="14"/>
      <c r="J196" s="14"/>
      <c r="K196" s="87"/>
    </row>
    <row r="197" spans="1:12" ht="16.5" customHeight="1">
      <c r="A197" s="16" t="s">
        <v>44428</v>
      </c>
      <c r="B197" s="234"/>
      <c r="C197" s="14">
        <f>2.23+1.2+3.27+1.04+0.15+1.04+1.93+0.5+0.15</f>
        <v>11.51</v>
      </c>
      <c r="D197" s="14" t="str">
        <f>K193</f>
        <v>M</v>
      </c>
      <c r="E197" s="14"/>
      <c r="F197" s="14"/>
      <c r="G197" s="14"/>
      <c r="H197" s="14"/>
      <c r="I197" s="14"/>
      <c r="J197" s="14"/>
      <c r="K197" s="87"/>
    </row>
    <row r="198" spans="1:12">
      <c r="A198" s="16" t="s">
        <v>44429</v>
      </c>
      <c r="B198" s="14"/>
      <c r="C198" s="14">
        <f>1.2+1.3+1.3+4.67</f>
        <v>8.4699999999999989</v>
      </c>
      <c r="D198" s="14" t="str">
        <f>K193</f>
        <v>M</v>
      </c>
      <c r="E198" s="14"/>
      <c r="F198" s="14"/>
      <c r="G198" s="14"/>
      <c r="H198" s="14"/>
      <c r="I198" s="14"/>
      <c r="J198" s="14"/>
      <c r="K198" s="87"/>
    </row>
    <row r="199" spans="1:12" s="57" customFormat="1">
      <c r="A199" s="209" t="s">
        <v>44464</v>
      </c>
      <c r="B199" s="208"/>
      <c r="C199" s="208">
        <f>13.42+1.84+2.7+0.2+2+0.2+0.2+2+8.32+9.67</f>
        <v>40.549999999999997</v>
      </c>
      <c r="D199" s="14" t="str">
        <f>D198</f>
        <v>M</v>
      </c>
      <c r="E199" s="14"/>
      <c r="F199" s="14"/>
      <c r="G199" s="14"/>
      <c r="H199" s="14"/>
      <c r="I199" s="14"/>
      <c r="J199" s="14"/>
      <c r="K199" s="87"/>
    </row>
    <row r="200" spans="1:12">
      <c r="A200" s="209" t="s">
        <v>44465</v>
      </c>
      <c r="B200" s="14"/>
      <c r="C200" s="14">
        <f>4.87*2+13.42*2</f>
        <v>36.58</v>
      </c>
      <c r="D200" s="14" t="str">
        <f t="shared" ref="D200:D201" si="2">D199</f>
        <v>M</v>
      </c>
      <c r="E200" s="14"/>
      <c r="F200" s="14"/>
      <c r="G200" s="14"/>
      <c r="H200" s="14"/>
      <c r="I200" s="14"/>
      <c r="J200" s="14"/>
      <c r="K200" s="87"/>
    </row>
    <row r="201" spans="1:12">
      <c r="A201" s="209" t="s">
        <v>44466</v>
      </c>
      <c r="B201" s="14"/>
      <c r="C201" s="14">
        <f>13.42+6.55+3.68+10.51+9.16</f>
        <v>43.319999999999993</v>
      </c>
      <c r="D201" s="14" t="str">
        <f t="shared" si="2"/>
        <v>M</v>
      </c>
      <c r="E201" s="14"/>
      <c r="F201" s="14"/>
      <c r="G201" s="14"/>
      <c r="H201" s="14"/>
      <c r="I201" s="14"/>
      <c r="J201" s="14"/>
      <c r="K201" s="87"/>
    </row>
    <row r="202" spans="1:12">
      <c r="A202" s="16"/>
      <c r="B202" s="14"/>
      <c r="C202" s="14"/>
      <c r="D202" s="14"/>
      <c r="E202" s="14"/>
      <c r="F202" s="14"/>
      <c r="G202" s="14"/>
      <c r="H202" s="14"/>
      <c r="I202" s="14"/>
      <c r="J202" s="14"/>
      <c r="K202" s="87"/>
    </row>
    <row r="203" spans="1:12">
      <c r="A203" s="16"/>
      <c r="B203" s="14"/>
      <c r="C203" s="14"/>
      <c r="D203" s="88"/>
      <c r="E203" s="14"/>
      <c r="F203" s="14"/>
      <c r="G203" s="14"/>
      <c r="H203" s="88"/>
      <c r="I203" s="89"/>
      <c r="J203" s="89"/>
      <c r="K203" s="90"/>
    </row>
    <row r="204" spans="1:12">
      <c r="A204" s="16"/>
      <c r="B204" s="14"/>
      <c r="C204" s="14"/>
      <c r="D204" s="88"/>
      <c r="E204" s="14"/>
      <c r="F204" s="14"/>
      <c r="G204" s="14"/>
      <c r="H204" s="88"/>
      <c r="I204" s="89"/>
      <c r="J204" s="89"/>
      <c r="K204" s="90"/>
    </row>
    <row r="205" spans="1:12">
      <c r="A205" s="16"/>
      <c r="B205" s="14"/>
      <c r="C205" s="14"/>
      <c r="D205" s="88"/>
      <c r="E205" s="14"/>
      <c r="F205" s="14"/>
      <c r="G205" s="14"/>
      <c r="H205" s="88"/>
      <c r="I205" s="89"/>
      <c r="J205" s="89"/>
      <c r="K205" s="90"/>
    </row>
    <row r="206" spans="1:12">
      <c r="A206" s="16"/>
      <c r="B206" s="14"/>
      <c r="C206" s="14"/>
      <c r="D206" s="88"/>
      <c r="E206" s="14"/>
      <c r="F206" s="14"/>
      <c r="G206" s="14"/>
      <c r="H206" s="88"/>
      <c r="I206" s="89"/>
      <c r="J206" s="89"/>
      <c r="K206" s="90"/>
    </row>
    <row r="207" spans="1:12">
      <c r="A207" s="91"/>
      <c r="B207" s="88"/>
      <c r="C207" s="88"/>
      <c r="D207" s="88"/>
      <c r="E207" s="88"/>
      <c r="F207" s="88"/>
      <c r="G207" s="88"/>
      <c r="H207" s="88"/>
      <c r="I207" s="89"/>
      <c r="J207" s="89"/>
      <c r="K207" s="90"/>
    </row>
    <row r="208" spans="1:12">
      <c r="A208" s="91" t="s">
        <v>28031</v>
      </c>
      <c r="B208" s="88">
        <f>SUM(C196:C201,G196:G200)</f>
        <v>151.95999999999998</v>
      </c>
      <c r="C208" s="88" t="str">
        <f>K193</f>
        <v>M</v>
      </c>
      <c r="D208" s="88"/>
      <c r="E208" s="14"/>
      <c r="F208" s="14"/>
      <c r="G208" s="14"/>
      <c r="H208" s="88"/>
      <c r="I208" s="89"/>
      <c r="J208" s="89"/>
      <c r="K208" s="90"/>
    </row>
    <row r="209" spans="1:12">
      <c r="A209" s="91"/>
      <c r="B209" s="88"/>
      <c r="C209" s="88"/>
      <c r="D209" s="88"/>
      <c r="E209" s="88"/>
      <c r="F209" s="88"/>
      <c r="G209" s="88"/>
      <c r="H209" s="88"/>
      <c r="I209" s="89"/>
      <c r="J209" s="89"/>
      <c r="K209" s="90"/>
    </row>
    <row r="210" spans="1:12" ht="16">
      <c r="A210" s="10" t="s">
        <v>28032</v>
      </c>
      <c r="B210" s="207"/>
      <c r="C210" s="207"/>
      <c r="D210" s="207"/>
      <c r="E210" s="207"/>
      <c r="F210" s="207"/>
      <c r="G210" s="207"/>
      <c r="H210" s="207"/>
      <c r="I210" s="207"/>
      <c r="J210" s="1175" t="s">
        <v>28033</v>
      </c>
      <c r="K210" s="1176"/>
    </row>
    <row r="211" spans="1:12" ht="17" thickBot="1">
      <c r="A211" s="6"/>
      <c r="B211" s="11"/>
      <c r="C211" s="11"/>
      <c r="D211" s="11"/>
      <c r="E211" s="11"/>
      <c r="F211" s="11"/>
      <c r="G211" s="11"/>
      <c r="H211" s="11"/>
      <c r="I211" s="11"/>
      <c r="J211" s="1177">
        <f>B208</f>
        <v>151.95999999999998</v>
      </c>
      <c r="K211" s="1178"/>
    </row>
    <row r="212" spans="1:12" ht="22">
      <c r="A212" s="4" t="s">
        <v>28028</v>
      </c>
      <c r="B212" s="1173" t="s">
        <v>28029</v>
      </c>
      <c r="C212" s="1173"/>
      <c r="D212" s="1173"/>
      <c r="E212" s="1173"/>
      <c r="F212" s="1173"/>
      <c r="G212" s="1173"/>
      <c r="H212" s="1173"/>
      <c r="I212" s="1173"/>
      <c r="J212" s="1173"/>
      <c r="K212" s="5" t="s">
        <v>28030</v>
      </c>
    </row>
    <row r="213" spans="1:12" ht="22" customHeight="1" thickBot="1">
      <c r="A213" s="414" t="s">
        <v>12338</v>
      </c>
      <c r="B213" s="1174" t="str">
        <f>VLOOKUP($A213, 'Plan Orçamentária'!$Q$2:$S$128267,2,FALSE)</f>
        <v>CIMENTADO DESEMPENADO</v>
      </c>
      <c r="C213" s="1174"/>
      <c r="D213" s="1174"/>
      <c r="E213" s="1174"/>
      <c r="F213" s="1174"/>
      <c r="G213" s="1174"/>
      <c r="H213" s="1174"/>
      <c r="I213" s="1174"/>
      <c r="J213" s="1174"/>
      <c r="K213" s="12" t="str">
        <f>VLOOKUP($A213,'Plan Orçamentária'!$Q$2:$S$138267,3,FALSE)</f>
        <v>M2</v>
      </c>
      <c r="L213" s="15">
        <f>J231</f>
        <v>14.75</v>
      </c>
    </row>
    <row r="214" spans="1:12">
      <c r="A214" s="86" t="s">
        <v>44396</v>
      </c>
      <c r="B214" s="14"/>
      <c r="C214" s="14"/>
      <c r="D214" s="14"/>
      <c r="E214" s="14"/>
      <c r="F214" s="14"/>
      <c r="G214" s="14"/>
      <c r="H214" s="14"/>
      <c r="I214" s="14"/>
      <c r="J214" s="14"/>
      <c r="K214" s="87"/>
    </row>
    <row r="215" spans="1:12" ht="16.5" customHeight="1">
      <c r="A215" s="16"/>
      <c r="B215" s="14"/>
      <c r="C215" s="14"/>
      <c r="D215" s="14"/>
      <c r="E215" s="14"/>
      <c r="F215" s="14"/>
      <c r="G215" s="14"/>
      <c r="H215" s="14"/>
      <c r="I215" s="14"/>
      <c r="J215" s="14"/>
      <c r="K215" s="87"/>
    </row>
    <row r="216" spans="1:12" ht="16.5" customHeight="1">
      <c r="A216" s="16" t="s">
        <v>44427</v>
      </c>
      <c r="B216" s="786"/>
      <c r="C216" s="803">
        <v>4.5999999999999996</v>
      </c>
      <c r="D216" s="802" t="str">
        <f>K213</f>
        <v>M2</v>
      </c>
      <c r="E216" s="1186"/>
      <c r="F216" s="1186"/>
      <c r="G216" s="14"/>
      <c r="H216" s="14"/>
      <c r="I216" s="14"/>
      <c r="J216" s="14"/>
      <c r="K216" s="87"/>
    </row>
    <row r="217" spans="1:12" ht="16.5" customHeight="1">
      <c r="A217" s="16" t="s">
        <v>44428</v>
      </c>
      <c r="B217" s="788"/>
      <c r="C217" s="803">
        <v>4.3099999999999996</v>
      </c>
      <c r="D217" s="802" t="str">
        <f>K213</f>
        <v>M2</v>
      </c>
      <c r="E217" s="1186"/>
      <c r="F217" s="1186"/>
      <c r="G217" s="14"/>
      <c r="H217" s="14"/>
      <c r="I217" s="14"/>
      <c r="J217" s="14"/>
      <c r="K217" s="87"/>
    </row>
    <row r="218" spans="1:12">
      <c r="A218" s="16" t="s">
        <v>44429</v>
      </c>
      <c r="B218" s="787"/>
      <c r="C218" s="803">
        <v>5.84</v>
      </c>
      <c r="D218" s="802" t="str">
        <f>K213</f>
        <v>M2</v>
      </c>
      <c r="E218" s="1186"/>
      <c r="F218" s="1186"/>
      <c r="G218" s="14"/>
      <c r="H218" s="14"/>
      <c r="I218" s="14"/>
      <c r="J218" s="14"/>
      <c r="K218" s="87"/>
    </row>
    <row r="219" spans="1:12" s="57" customFormat="1">
      <c r="A219" s="86"/>
      <c r="B219" s="789"/>
      <c r="C219" s="805"/>
      <c r="D219" s="802"/>
      <c r="E219" s="1186"/>
      <c r="F219" s="1186"/>
      <c r="G219" s="14"/>
      <c r="H219" s="14"/>
      <c r="I219" s="14"/>
      <c r="J219" s="14"/>
      <c r="K219" s="87"/>
    </row>
    <row r="220" spans="1:12">
      <c r="A220" s="86"/>
      <c r="B220" s="787"/>
      <c r="C220" s="803"/>
      <c r="D220" s="802"/>
      <c r="E220" s="1186"/>
      <c r="F220" s="1186"/>
      <c r="G220" s="14"/>
      <c r="H220" s="14"/>
      <c r="I220" s="14"/>
      <c r="J220" s="14"/>
      <c r="K220" s="87"/>
    </row>
    <row r="221" spans="1:12">
      <c r="A221" s="16"/>
      <c r="B221" s="787"/>
      <c r="C221" s="803"/>
      <c r="D221" s="802"/>
      <c r="E221" s="787"/>
      <c r="F221" s="14"/>
      <c r="G221" s="14"/>
      <c r="H221" s="14"/>
      <c r="I221" s="14"/>
      <c r="J221" s="14"/>
      <c r="K221" s="87"/>
    </row>
    <row r="222" spans="1:12">
      <c r="A222" s="16"/>
      <c r="B222" s="787"/>
      <c r="C222" s="787"/>
      <c r="D222" s="787"/>
      <c r="E222" s="787"/>
      <c r="F222" s="14"/>
      <c r="G222" s="14"/>
      <c r="H222" s="14"/>
      <c r="I222" s="14"/>
      <c r="J222" s="14"/>
      <c r="K222" s="87"/>
    </row>
    <row r="223" spans="1:12">
      <c r="A223" s="16"/>
      <c r="B223" s="14"/>
      <c r="C223" s="14"/>
      <c r="D223" s="88"/>
      <c r="E223" s="14"/>
      <c r="F223" s="14"/>
      <c r="G223" s="14"/>
      <c r="H223" s="88"/>
      <c r="I223" s="89"/>
      <c r="J223" s="89"/>
      <c r="K223" s="90"/>
    </row>
    <row r="224" spans="1:12">
      <c r="A224" s="16"/>
      <c r="B224" s="14"/>
      <c r="C224" s="14"/>
      <c r="D224" s="88"/>
      <c r="E224" s="14"/>
      <c r="F224" s="14"/>
      <c r="G224" s="14"/>
      <c r="H224" s="88"/>
      <c r="I224" s="89"/>
      <c r="J224" s="89"/>
      <c r="K224" s="90"/>
    </row>
    <row r="225" spans="1:12">
      <c r="A225" s="16"/>
      <c r="B225" s="14"/>
      <c r="C225" s="14"/>
      <c r="D225" s="88"/>
      <c r="E225" s="14"/>
      <c r="F225" s="14"/>
      <c r="G225" s="14"/>
      <c r="H225" s="88"/>
      <c r="I225" s="89"/>
      <c r="J225" s="89"/>
      <c r="K225" s="90"/>
    </row>
    <row r="226" spans="1:12">
      <c r="A226" s="16"/>
      <c r="B226" s="14"/>
      <c r="C226" s="14"/>
      <c r="D226" s="88"/>
      <c r="E226" s="14"/>
      <c r="F226" s="14"/>
      <c r="G226" s="14"/>
      <c r="H226" s="88"/>
      <c r="I226" s="89"/>
      <c r="J226" s="89"/>
      <c r="K226" s="90"/>
    </row>
    <row r="227" spans="1:12">
      <c r="A227" s="91"/>
      <c r="B227" s="88"/>
      <c r="C227" s="88"/>
      <c r="D227" s="88"/>
      <c r="E227" s="88"/>
      <c r="F227" s="88"/>
      <c r="G227" s="88"/>
      <c r="H227" s="88"/>
      <c r="I227" s="89"/>
      <c r="J227" s="89"/>
      <c r="K227" s="90"/>
    </row>
    <row r="228" spans="1:12">
      <c r="A228" s="91" t="s">
        <v>28031</v>
      </c>
      <c r="B228" s="88">
        <f>SUM(C216:C221,G216:G220,C223:C225)</f>
        <v>14.75</v>
      </c>
      <c r="C228" s="88" t="str">
        <f>K213</f>
        <v>M2</v>
      </c>
      <c r="D228" s="88"/>
      <c r="E228" s="14"/>
      <c r="F228" s="14"/>
      <c r="G228" s="14"/>
      <c r="H228" s="88"/>
      <c r="I228" s="89"/>
      <c r="J228" s="89"/>
      <c r="K228" s="90"/>
    </row>
    <row r="229" spans="1:12">
      <c r="A229" s="91"/>
      <c r="B229" s="88"/>
      <c r="C229" s="88"/>
      <c r="D229" s="88"/>
      <c r="E229" s="88"/>
      <c r="F229" s="88"/>
      <c r="G229" s="88"/>
      <c r="H229" s="88"/>
      <c r="I229" s="89"/>
      <c r="J229" s="89"/>
      <c r="K229" s="90"/>
    </row>
    <row r="230" spans="1:12" ht="16">
      <c r="A230" s="10" t="s">
        <v>28032</v>
      </c>
      <c r="B230" s="207"/>
      <c r="C230" s="207"/>
      <c r="D230" s="207"/>
      <c r="E230" s="207"/>
      <c r="F230" s="207"/>
      <c r="G230" s="207"/>
      <c r="H230" s="207"/>
      <c r="I230" s="207"/>
      <c r="J230" s="1175" t="s">
        <v>28033</v>
      </c>
      <c r="K230" s="1176"/>
    </row>
    <row r="231" spans="1:12" ht="17" thickBot="1">
      <c r="A231" s="6"/>
      <c r="B231" s="11"/>
      <c r="C231" s="11"/>
      <c r="D231" s="11"/>
      <c r="E231" s="11"/>
      <c r="F231" s="11"/>
      <c r="G231" s="11"/>
      <c r="H231" s="11"/>
      <c r="I231" s="11"/>
      <c r="J231" s="1177">
        <f>B228</f>
        <v>14.75</v>
      </c>
      <c r="K231" s="1178"/>
    </row>
    <row r="232" spans="1:12" ht="22">
      <c r="A232" s="4" t="s">
        <v>28028</v>
      </c>
      <c r="B232" s="1173" t="s">
        <v>28029</v>
      </c>
      <c r="C232" s="1173"/>
      <c r="D232" s="1173"/>
      <c r="E232" s="1173"/>
      <c r="F232" s="1173"/>
      <c r="G232" s="1173"/>
      <c r="H232" s="1173"/>
      <c r="I232" s="1173"/>
      <c r="J232" s="1173"/>
      <c r="K232" s="5" t="s">
        <v>28030</v>
      </c>
    </row>
    <row r="233" spans="1:12" ht="22" customHeight="1" thickBot="1">
      <c r="A233" s="414" t="s">
        <v>44326</v>
      </c>
      <c r="B233" s="1174" t="str">
        <f>VLOOKUP($A233, 'Plan Orçamentária'!$Q$2:$S$128267,2,FALSE)</f>
        <v>PISO EM CONCRETO ARMADO FCK=30MPA, ESP.=12 CM, ARMADO COM TELA DUPLA Q138, CONCRETO CAMADA ÚNICA BOMBEÁVEL C/ BRITA N. 1, ACABAMENTO SUPERIOR COM ROTOALISADOR, JUNTAS SERRADAS COM CORTE SERRA DIAMANTADA PREENCHIMENTO COM MASTIQUE, BASE 5CM SOLO BRITA 30%</v>
      </c>
      <c r="C233" s="1174"/>
      <c r="D233" s="1174"/>
      <c r="E233" s="1174"/>
      <c r="F233" s="1174"/>
      <c r="G233" s="1174"/>
      <c r="H233" s="1174"/>
      <c r="I233" s="1174"/>
      <c r="J233" s="1174"/>
      <c r="K233" s="12" t="str">
        <f>VLOOKUP($A233,'Plan Orçamentária'!$Q$2:$S$138267,3,FALSE)</f>
        <v>M2</v>
      </c>
      <c r="L233" s="15">
        <f>J251</f>
        <v>1094.8399999999999</v>
      </c>
    </row>
    <row r="234" spans="1:12">
      <c r="A234" s="86" t="s">
        <v>44396</v>
      </c>
      <c r="B234" s="14"/>
      <c r="C234" s="14"/>
      <c r="D234" s="14"/>
      <c r="E234" s="14"/>
      <c r="F234" s="14"/>
      <c r="G234" s="14"/>
      <c r="H234" s="14"/>
      <c r="I234" s="14"/>
      <c r="J234" s="14"/>
      <c r="K234" s="87"/>
    </row>
    <row r="235" spans="1:12" ht="16.5" customHeight="1">
      <c r="A235" s="16"/>
      <c r="B235" s="14"/>
      <c r="C235" s="14"/>
      <c r="D235" s="14"/>
      <c r="E235" s="14"/>
      <c r="F235" s="14"/>
      <c r="G235" s="14"/>
      <c r="H235" s="14"/>
      <c r="I235" s="14"/>
      <c r="J235" s="14"/>
      <c r="K235" s="87"/>
    </row>
    <row r="236" spans="1:12" ht="16.5" customHeight="1">
      <c r="A236" s="16" t="s">
        <v>44467</v>
      </c>
      <c r="B236" s="786"/>
      <c r="C236" s="787"/>
      <c r="D236" s="803">
        <v>1094.8399999999999</v>
      </c>
      <c r="E236" s="802" t="str">
        <f>K233</f>
        <v>M2</v>
      </c>
      <c r="F236" s="14"/>
      <c r="G236" s="14"/>
      <c r="H236" s="14"/>
      <c r="I236" s="14"/>
      <c r="J236" s="14"/>
      <c r="K236" s="87"/>
    </row>
    <row r="237" spans="1:12" ht="16.5" customHeight="1">
      <c r="A237" s="16"/>
      <c r="B237" s="788"/>
      <c r="C237" s="787"/>
      <c r="D237" s="787"/>
      <c r="E237" s="787"/>
      <c r="F237" s="14"/>
      <c r="G237" s="14"/>
      <c r="H237" s="14"/>
      <c r="I237" s="14"/>
      <c r="J237" s="14"/>
      <c r="K237" s="87"/>
    </row>
    <row r="238" spans="1:12">
      <c r="A238" s="16"/>
      <c r="B238" s="787"/>
      <c r="C238" s="787"/>
      <c r="D238" s="787"/>
      <c r="E238" s="787"/>
      <c r="F238" s="14"/>
      <c r="G238" s="14"/>
      <c r="H238" s="14"/>
      <c r="I238" s="14"/>
      <c r="J238" s="14"/>
      <c r="K238" s="87"/>
    </row>
    <row r="239" spans="1:12" s="57" customFormat="1">
      <c r="A239" s="86"/>
      <c r="B239" s="789"/>
      <c r="C239" s="789"/>
      <c r="D239" s="787"/>
      <c r="E239" s="787"/>
      <c r="F239" s="14"/>
      <c r="G239" s="14"/>
      <c r="H239" s="14"/>
      <c r="I239" s="14"/>
      <c r="J239" s="14"/>
      <c r="K239" s="87"/>
    </row>
    <row r="240" spans="1:12">
      <c r="A240" s="86"/>
      <c r="B240" s="787"/>
      <c r="C240" s="787"/>
      <c r="D240" s="787"/>
      <c r="E240" s="787"/>
      <c r="F240" s="14"/>
      <c r="G240" s="14"/>
      <c r="H240" s="14"/>
      <c r="I240" s="14"/>
      <c r="J240" s="14"/>
      <c r="K240" s="87"/>
    </row>
    <row r="241" spans="1:12">
      <c r="A241" s="1185"/>
      <c r="B241" s="787"/>
      <c r="C241" s="787"/>
      <c r="D241" s="787"/>
      <c r="E241" s="787"/>
      <c r="F241" s="14"/>
      <c r="G241" s="14"/>
      <c r="H241" s="14"/>
      <c r="I241" s="14"/>
      <c r="J241" s="14"/>
      <c r="K241" s="87"/>
    </row>
    <row r="242" spans="1:12">
      <c r="A242" s="1185"/>
      <c r="B242" s="787"/>
      <c r="C242" s="787"/>
      <c r="D242" s="787"/>
      <c r="E242" s="787"/>
      <c r="F242" s="14"/>
      <c r="G242" s="14"/>
      <c r="H242" s="14"/>
      <c r="I242" s="14"/>
      <c r="J242" s="14"/>
      <c r="K242" s="87"/>
    </row>
    <row r="243" spans="1:12">
      <c r="A243" s="16"/>
      <c r="B243" s="14"/>
      <c r="C243" s="14"/>
      <c r="D243" s="88"/>
      <c r="E243" s="14"/>
      <c r="F243" s="14"/>
      <c r="G243" s="14"/>
      <c r="H243" s="88"/>
      <c r="I243" s="89"/>
      <c r="J243" s="89"/>
      <c r="K243" s="90"/>
    </row>
    <row r="244" spans="1:12">
      <c r="A244" s="16"/>
      <c r="B244" s="14"/>
      <c r="C244" s="14"/>
      <c r="D244" s="88"/>
      <c r="E244" s="14"/>
      <c r="F244" s="14"/>
      <c r="G244" s="14"/>
      <c r="H244" s="88"/>
      <c r="I244" s="89"/>
      <c r="J244" s="89"/>
      <c r="K244" s="90"/>
    </row>
    <row r="245" spans="1:12">
      <c r="A245" s="16"/>
      <c r="B245" s="14"/>
      <c r="C245" s="14"/>
      <c r="D245" s="88"/>
      <c r="E245" s="14"/>
      <c r="F245" s="14"/>
      <c r="G245" s="14"/>
      <c r="H245" s="88"/>
      <c r="I245" s="89"/>
      <c r="J245" s="89"/>
      <c r="K245" s="90"/>
    </row>
    <row r="246" spans="1:12">
      <c r="A246" s="16"/>
      <c r="B246" s="14"/>
      <c r="C246" s="14"/>
      <c r="D246" s="88"/>
      <c r="E246" s="14"/>
      <c r="F246" s="14"/>
      <c r="G246" s="14"/>
      <c r="H246" s="88"/>
      <c r="I246" s="89"/>
      <c r="J246" s="89"/>
      <c r="K246" s="90"/>
    </row>
    <row r="247" spans="1:12">
      <c r="A247" s="91"/>
      <c r="B247" s="88"/>
      <c r="C247" s="88"/>
      <c r="D247" s="88"/>
      <c r="E247" s="88"/>
      <c r="F247" s="88"/>
      <c r="G247" s="88"/>
      <c r="H247" s="88"/>
      <c r="I247" s="89"/>
      <c r="J247" s="89"/>
      <c r="K247" s="90"/>
    </row>
    <row r="248" spans="1:12">
      <c r="A248" s="91" t="s">
        <v>28031</v>
      </c>
      <c r="B248" s="88">
        <f>D236</f>
        <v>1094.8399999999999</v>
      </c>
      <c r="C248" s="88" t="str">
        <f>K233</f>
        <v>M2</v>
      </c>
      <c r="D248" s="88"/>
      <c r="E248" s="14"/>
      <c r="F248" s="14"/>
      <c r="G248" s="14"/>
      <c r="H248" s="88"/>
      <c r="I248" s="89"/>
      <c r="J248" s="89"/>
      <c r="K248" s="90"/>
    </row>
    <row r="249" spans="1:12">
      <c r="A249" s="91"/>
      <c r="B249" s="88"/>
      <c r="C249" s="88"/>
      <c r="D249" s="88"/>
      <c r="E249" s="88"/>
      <c r="F249" s="88"/>
      <c r="G249" s="88"/>
      <c r="H249" s="88"/>
      <c r="I249" s="89"/>
      <c r="J249" s="89"/>
      <c r="K249" s="90"/>
    </row>
    <row r="250" spans="1:12" ht="16">
      <c r="A250" s="10" t="s">
        <v>28032</v>
      </c>
      <c r="B250" s="207"/>
      <c r="C250" s="207"/>
      <c r="D250" s="207"/>
      <c r="E250" s="207"/>
      <c r="F250" s="207"/>
      <c r="G250" s="207"/>
      <c r="H250" s="207"/>
      <c r="I250" s="207"/>
      <c r="J250" s="1175" t="s">
        <v>28033</v>
      </c>
      <c r="K250" s="1176"/>
    </row>
    <row r="251" spans="1:12" ht="17" thickBot="1">
      <c r="A251" s="6"/>
      <c r="B251" s="11"/>
      <c r="C251" s="11"/>
      <c r="D251" s="11"/>
      <c r="E251" s="11"/>
      <c r="F251" s="11"/>
      <c r="G251" s="11"/>
      <c r="H251" s="11"/>
      <c r="I251" s="11"/>
      <c r="J251" s="1177">
        <f>B248</f>
        <v>1094.8399999999999</v>
      </c>
      <c r="K251" s="1178"/>
    </row>
    <row r="252" spans="1:12" ht="22">
      <c r="A252" s="4" t="s">
        <v>28028</v>
      </c>
      <c r="B252" s="1173" t="s">
        <v>28029</v>
      </c>
      <c r="C252" s="1173"/>
      <c r="D252" s="1173"/>
      <c r="E252" s="1173"/>
      <c r="F252" s="1173"/>
      <c r="G252" s="1173"/>
      <c r="H252" s="1173"/>
      <c r="I252" s="1173"/>
      <c r="J252" s="1173"/>
      <c r="K252" s="5" t="s">
        <v>28030</v>
      </c>
    </row>
    <row r="253" spans="1:12" ht="22" customHeight="1" thickBot="1">
      <c r="A253" s="414" t="s">
        <v>17696</v>
      </c>
      <c r="B253" s="1174" t="str">
        <f>VLOOKUP($A253, 'Plan Orçamentária'!$Q$2:$S$128267,2,FALSE)</f>
        <v>GUIA PRÉ-MOLDADA RETA TIPO PMSP 100 - FCK 25 MPA</v>
      </c>
      <c r="C253" s="1174"/>
      <c r="D253" s="1174"/>
      <c r="E253" s="1174"/>
      <c r="F253" s="1174"/>
      <c r="G253" s="1174"/>
      <c r="H253" s="1174"/>
      <c r="I253" s="1174"/>
      <c r="J253" s="1174"/>
      <c r="K253" s="12" t="str">
        <f>VLOOKUP($A253,'Plan Orçamentária'!$Q$2:$S$138267,3,FALSE)</f>
        <v>M</v>
      </c>
      <c r="L253" s="15">
        <f>J271</f>
        <v>71.91</v>
      </c>
    </row>
    <row r="254" spans="1:12">
      <c r="A254" s="86" t="s">
        <v>44396</v>
      </c>
      <c r="B254" s="14"/>
      <c r="C254" s="14"/>
      <c r="D254" s="14"/>
      <c r="E254" s="14"/>
      <c r="F254" s="14"/>
      <c r="G254" s="14"/>
      <c r="H254" s="14"/>
      <c r="I254" s="14"/>
      <c r="J254" s="14"/>
      <c r="K254" s="87"/>
    </row>
    <row r="255" spans="1:12" ht="16.5" customHeight="1">
      <c r="A255" s="16"/>
      <c r="B255" s="14"/>
      <c r="C255" s="14"/>
      <c r="D255" s="14"/>
      <c r="E255" s="14"/>
      <c r="F255" s="14"/>
      <c r="G255" s="14"/>
      <c r="H255" s="14"/>
      <c r="I255" s="14"/>
      <c r="J255" s="14"/>
      <c r="K255" s="87"/>
    </row>
    <row r="256" spans="1:12" ht="16.5" customHeight="1">
      <c r="A256" s="16" t="s">
        <v>44467</v>
      </c>
      <c r="B256" s="786"/>
      <c r="C256" s="787"/>
      <c r="D256" s="803">
        <f>31.7+5.45+5.87+27.59+1.3</f>
        <v>71.91</v>
      </c>
      <c r="E256" s="802" t="str">
        <f>K253</f>
        <v>M</v>
      </c>
      <c r="F256" s="14"/>
      <c r="G256" s="14"/>
      <c r="H256" s="14"/>
      <c r="I256" s="14"/>
      <c r="J256" s="14"/>
      <c r="K256" s="87"/>
    </row>
    <row r="257" spans="1:11" ht="16.5" customHeight="1">
      <c r="A257" s="16"/>
      <c r="B257" s="788"/>
      <c r="C257" s="787"/>
      <c r="D257" s="787"/>
      <c r="E257" s="787"/>
      <c r="F257" s="14"/>
      <c r="G257" s="14"/>
      <c r="H257" s="14"/>
      <c r="I257" s="14"/>
      <c r="J257" s="14"/>
      <c r="K257" s="87"/>
    </row>
    <row r="258" spans="1:11">
      <c r="A258" s="16"/>
      <c r="B258" s="787"/>
      <c r="C258" s="787"/>
      <c r="D258" s="787"/>
      <c r="E258" s="787"/>
      <c r="F258" s="14"/>
      <c r="G258" s="14"/>
      <c r="H258" s="14"/>
      <c r="I258" s="14"/>
      <c r="J258" s="14"/>
      <c r="K258" s="87"/>
    </row>
    <row r="259" spans="1:11" s="57" customFormat="1">
      <c r="A259" s="86"/>
      <c r="B259" s="789"/>
      <c r="C259" s="789"/>
      <c r="D259" s="787"/>
      <c r="E259" s="787"/>
      <c r="F259" s="14"/>
      <c r="G259" s="14"/>
      <c r="H259" s="14"/>
      <c r="I259" s="14"/>
      <c r="J259" s="14"/>
      <c r="K259" s="87"/>
    </row>
    <row r="260" spans="1:11">
      <c r="A260" s="86"/>
      <c r="B260" s="787"/>
      <c r="C260" s="787"/>
      <c r="D260" s="787"/>
      <c r="E260" s="787"/>
      <c r="F260" s="14"/>
      <c r="G260" s="14"/>
      <c r="H260" s="14"/>
      <c r="I260" s="14"/>
      <c r="J260" s="14"/>
      <c r="K260" s="87"/>
    </row>
    <row r="261" spans="1:11">
      <c r="A261" s="1185"/>
      <c r="B261" s="787"/>
      <c r="C261" s="787"/>
      <c r="D261" s="787"/>
      <c r="E261" s="787"/>
      <c r="F261" s="14"/>
      <c r="G261" s="14"/>
      <c r="H261" s="14"/>
      <c r="I261" s="14"/>
      <c r="J261" s="14"/>
      <c r="K261" s="87"/>
    </row>
    <row r="262" spans="1:11">
      <c r="A262" s="1185"/>
      <c r="B262" s="787"/>
      <c r="C262" s="787"/>
      <c r="D262" s="787"/>
      <c r="E262" s="787"/>
      <c r="F262" s="14"/>
      <c r="G262" s="14"/>
      <c r="H262" s="14"/>
      <c r="I262" s="14"/>
      <c r="J262" s="14"/>
      <c r="K262" s="87"/>
    </row>
    <row r="263" spans="1:11">
      <c r="A263" s="16"/>
      <c r="B263" s="14"/>
      <c r="C263" s="14"/>
      <c r="D263" s="88"/>
      <c r="E263" s="14"/>
      <c r="F263" s="14"/>
      <c r="G263" s="14"/>
      <c r="H263" s="88"/>
      <c r="I263" s="89"/>
      <c r="J263" s="89"/>
      <c r="K263" s="90"/>
    </row>
    <row r="264" spans="1:11">
      <c r="A264" s="16"/>
      <c r="B264" s="14"/>
      <c r="C264" s="14"/>
      <c r="D264" s="88"/>
      <c r="E264" s="14"/>
      <c r="F264" s="14"/>
      <c r="G264" s="14"/>
      <c r="H264" s="88"/>
      <c r="I264" s="89"/>
      <c r="J264" s="89"/>
      <c r="K264" s="90"/>
    </row>
    <row r="265" spans="1:11">
      <c r="A265" s="16"/>
      <c r="B265" s="14"/>
      <c r="C265" s="14"/>
      <c r="D265" s="88"/>
      <c r="E265" s="14"/>
      <c r="F265" s="14"/>
      <c r="G265" s="14"/>
      <c r="H265" s="88"/>
      <c r="I265" s="89"/>
      <c r="J265" s="89"/>
      <c r="K265" s="90"/>
    </row>
    <row r="266" spans="1:11">
      <c r="A266" s="16"/>
      <c r="B266" s="14"/>
      <c r="C266" s="14"/>
      <c r="D266" s="88"/>
      <c r="E266" s="14"/>
      <c r="F266" s="14"/>
      <c r="G266" s="14"/>
      <c r="H266" s="88"/>
      <c r="I266" s="89"/>
      <c r="J266" s="89"/>
      <c r="K266" s="90"/>
    </row>
    <row r="267" spans="1:11">
      <c r="A267" s="91"/>
      <c r="B267" s="88"/>
      <c r="C267" s="88"/>
      <c r="D267" s="88"/>
      <c r="E267" s="88"/>
      <c r="F267" s="88"/>
      <c r="G267" s="88"/>
      <c r="H267" s="88"/>
      <c r="I267" s="89"/>
      <c r="J267" s="89"/>
      <c r="K267" s="90"/>
    </row>
    <row r="268" spans="1:11">
      <c r="A268" s="91" t="s">
        <v>28031</v>
      </c>
      <c r="B268" s="88">
        <f>D256</f>
        <v>71.91</v>
      </c>
      <c r="C268" s="88" t="str">
        <f>K253</f>
        <v>M</v>
      </c>
      <c r="D268" s="88"/>
      <c r="E268" s="14"/>
      <c r="F268" s="14"/>
      <c r="G268" s="14"/>
      <c r="H268" s="88"/>
      <c r="I268" s="89"/>
      <c r="J268" s="89"/>
      <c r="K268" s="90"/>
    </row>
    <row r="269" spans="1:11">
      <c r="A269" s="91"/>
      <c r="B269" s="88"/>
      <c r="C269" s="88"/>
      <c r="D269" s="88"/>
      <c r="E269" s="88"/>
      <c r="F269" s="88"/>
      <c r="G269" s="88"/>
      <c r="H269" s="88"/>
      <c r="I269" s="89"/>
      <c r="J269" s="89"/>
      <c r="K269" s="90"/>
    </row>
    <row r="270" spans="1:11" ht="16">
      <c r="A270" s="10" t="s">
        <v>28032</v>
      </c>
      <c r="B270" s="207"/>
      <c r="C270" s="207"/>
      <c r="D270" s="207"/>
      <c r="E270" s="207"/>
      <c r="F270" s="207"/>
      <c r="G270" s="207"/>
      <c r="H270" s="207"/>
      <c r="I270" s="207"/>
      <c r="J270" s="1175" t="s">
        <v>28033</v>
      </c>
      <c r="K270" s="1176"/>
    </row>
    <row r="271" spans="1:11" ht="17" thickBot="1">
      <c r="A271" s="6"/>
      <c r="B271" s="11"/>
      <c r="C271" s="11"/>
      <c r="D271" s="11"/>
      <c r="E271" s="11"/>
      <c r="F271" s="11"/>
      <c r="G271" s="11"/>
      <c r="H271" s="11"/>
      <c r="I271" s="11"/>
      <c r="J271" s="1177">
        <f>B268</f>
        <v>71.91</v>
      </c>
      <c r="K271" s="1178"/>
    </row>
    <row r="272" spans="1:11" ht="22">
      <c r="A272" s="4" t="s">
        <v>28028</v>
      </c>
      <c r="B272" s="1173" t="s">
        <v>28029</v>
      </c>
      <c r="C272" s="1173"/>
      <c r="D272" s="1173"/>
      <c r="E272" s="1173"/>
      <c r="F272" s="1173"/>
      <c r="G272" s="1173"/>
      <c r="H272" s="1173"/>
      <c r="I272" s="1173"/>
      <c r="J272" s="1173"/>
      <c r="K272" s="5" t="s">
        <v>28030</v>
      </c>
    </row>
    <row r="273" spans="1:12" ht="22" customHeight="1" thickBot="1">
      <c r="A273" s="414" t="s">
        <v>12423</v>
      </c>
      <c r="B273" s="1174" t="str">
        <f>VLOOKUP($A273, 'Plan Orçamentária'!$Q$2:$S$128267,2,FALSE)</f>
        <v>REPAROS EM PISOS DE ALTA RESISTÊNCIA FUNDIDOS NO LOCAL - ESTUCAMENTO E POLIMENTO</v>
      </c>
      <c r="C273" s="1174"/>
      <c r="D273" s="1174"/>
      <c r="E273" s="1174"/>
      <c r="F273" s="1174"/>
      <c r="G273" s="1174"/>
      <c r="H273" s="1174"/>
      <c r="I273" s="1174"/>
      <c r="J273" s="1174"/>
      <c r="K273" s="12" t="str">
        <f>VLOOKUP($A273,'Plan Orçamentária'!$Q$2:$S$138267,3,FALSE)</f>
        <v>M2</v>
      </c>
      <c r="L273" s="15">
        <f>J291</f>
        <v>325.41000000000003</v>
      </c>
    </row>
    <row r="274" spans="1:12">
      <c r="A274" s="86" t="s">
        <v>44396</v>
      </c>
      <c r="B274" s="14"/>
      <c r="C274" s="14"/>
      <c r="D274" s="14"/>
      <c r="E274" s="14"/>
      <c r="F274" s="14"/>
      <c r="G274" s="14"/>
      <c r="H274" s="14"/>
      <c r="I274" s="14"/>
      <c r="J274" s="14"/>
      <c r="K274" s="87"/>
    </row>
    <row r="275" spans="1:12" ht="16.5" customHeight="1">
      <c r="A275" s="16"/>
      <c r="B275" s="14"/>
      <c r="C275" s="14"/>
      <c r="D275" s="14"/>
      <c r="E275" s="14"/>
      <c r="F275" s="14"/>
      <c r="G275" s="14"/>
      <c r="H275" s="14"/>
      <c r="I275" s="14"/>
      <c r="J275" s="14"/>
      <c r="K275" s="87"/>
    </row>
    <row r="276" spans="1:12" ht="16.5" customHeight="1">
      <c r="A276" s="16" t="s">
        <v>44522</v>
      </c>
      <c r="B276" s="786"/>
      <c r="C276" s="787"/>
      <c r="D276" s="803">
        <v>325.41000000000003</v>
      </c>
      <c r="E276" s="802" t="str">
        <f>K273</f>
        <v>M2</v>
      </c>
      <c r="F276" s="14"/>
      <c r="G276" s="14"/>
      <c r="H276" s="14"/>
      <c r="I276" s="14"/>
      <c r="J276" s="14"/>
      <c r="K276" s="87"/>
    </row>
    <row r="277" spans="1:12" ht="16.5" customHeight="1">
      <c r="A277" s="16"/>
      <c r="B277" s="788"/>
      <c r="C277" s="787"/>
      <c r="D277" s="787"/>
      <c r="E277" s="787"/>
      <c r="F277" s="14"/>
      <c r="G277" s="14"/>
      <c r="H277" s="14"/>
      <c r="I277" s="14"/>
      <c r="J277" s="14"/>
      <c r="K277" s="87"/>
    </row>
    <row r="278" spans="1:12">
      <c r="A278" s="16"/>
      <c r="B278" s="787"/>
      <c r="C278" s="787"/>
      <c r="D278" s="787"/>
      <c r="E278" s="787"/>
      <c r="F278" s="14"/>
      <c r="G278" s="14"/>
      <c r="H278" s="14"/>
      <c r="I278" s="14"/>
      <c r="J278" s="14"/>
      <c r="K278" s="87"/>
    </row>
    <row r="279" spans="1:12" s="57" customFormat="1">
      <c r="A279" s="86"/>
      <c r="B279" s="789"/>
      <c r="C279" s="789"/>
      <c r="D279" s="787"/>
      <c r="E279" s="787"/>
      <c r="F279" s="14"/>
      <c r="G279" s="14"/>
      <c r="H279" s="14"/>
      <c r="I279" s="14"/>
      <c r="J279" s="14"/>
      <c r="K279" s="87"/>
    </row>
    <row r="280" spans="1:12">
      <c r="A280" s="86"/>
      <c r="B280" s="787"/>
      <c r="C280" s="787"/>
      <c r="D280" s="787"/>
      <c r="E280" s="787"/>
      <c r="F280" s="14"/>
      <c r="G280" s="14"/>
      <c r="H280" s="14"/>
      <c r="I280" s="14"/>
      <c r="J280" s="14"/>
      <c r="K280" s="87"/>
    </row>
    <row r="281" spans="1:12">
      <c r="A281" s="1185"/>
      <c r="B281" s="787"/>
      <c r="C281" s="787"/>
      <c r="D281" s="787"/>
      <c r="E281" s="787"/>
      <c r="F281" s="14"/>
      <c r="G281" s="14"/>
      <c r="H281" s="14"/>
      <c r="I281" s="14"/>
      <c r="J281" s="14"/>
      <c r="K281" s="87"/>
    </row>
    <row r="282" spans="1:12">
      <c r="A282" s="1185"/>
      <c r="B282" s="787"/>
      <c r="C282" s="787"/>
      <c r="D282" s="787"/>
      <c r="E282" s="787"/>
      <c r="F282" s="14"/>
      <c r="G282" s="14"/>
      <c r="H282" s="14"/>
      <c r="I282" s="14"/>
      <c r="J282" s="14"/>
      <c r="K282" s="87"/>
    </row>
    <row r="283" spans="1:12">
      <c r="A283" s="16"/>
      <c r="B283" s="14"/>
      <c r="C283" s="14"/>
      <c r="D283" s="88"/>
      <c r="E283" s="14"/>
      <c r="F283" s="14"/>
      <c r="G283" s="14"/>
      <c r="H283" s="88"/>
      <c r="I283" s="89"/>
      <c r="J283" s="89"/>
      <c r="K283" s="90"/>
    </row>
    <row r="284" spans="1:12">
      <c r="A284" s="16"/>
      <c r="B284" s="14"/>
      <c r="C284" s="14"/>
      <c r="D284" s="88"/>
      <c r="E284" s="14"/>
      <c r="F284" s="14"/>
      <c r="G284" s="14"/>
      <c r="H284" s="88"/>
      <c r="I284" s="89"/>
      <c r="J284" s="89"/>
      <c r="K284" s="90"/>
    </row>
    <row r="285" spans="1:12">
      <c r="A285" s="16"/>
      <c r="B285" s="14"/>
      <c r="C285" s="14"/>
      <c r="D285" s="88"/>
      <c r="E285" s="14"/>
      <c r="F285" s="14"/>
      <c r="G285" s="14"/>
      <c r="H285" s="88"/>
      <c r="I285" s="89"/>
      <c r="J285" s="89"/>
      <c r="K285" s="90"/>
    </row>
    <row r="286" spans="1:12">
      <c r="A286" s="16"/>
      <c r="B286" s="14"/>
      <c r="C286" s="14"/>
      <c r="D286" s="88"/>
      <c r="E286" s="14"/>
      <c r="F286" s="14"/>
      <c r="G286" s="14"/>
      <c r="H286" s="88"/>
      <c r="I286" s="89"/>
      <c r="J286" s="89"/>
      <c r="K286" s="90"/>
    </row>
    <row r="287" spans="1:12">
      <c r="A287" s="91"/>
      <c r="B287" s="88"/>
      <c r="C287" s="88"/>
      <c r="D287" s="88"/>
      <c r="E287" s="88"/>
      <c r="F287" s="88"/>
      <c r="G287" s="88"/>
      <c r="H287" s="88"/>
      <c r="I287" s="89"/>
      <c r="J287" s="89"/>
      <c r="K287" s="90"/>
    </row>
    <row r="288" spans="1:12">
      <c r="A288" s="91" t="s">
        <v>28031</v>
      </c>
      <c r="B288" s="88">
        <f>D276</f>
        <v>325.41000000000003</v>
      </c>
      <c r="C288" s="88" t="str">
        <f>K273</f>
        <v>M2</v>
      </c>
      <c r="D288" s="88"/>
      <c r="E288" s="14"/>
      <c r="F288" s="14"/>
      <c r="G288" s="14"/>
      <c r="H288" s="88"/>
      <c r="I288" s="89"/>
      <c r="J288" s="89"/>
      <c r="K288" s="90"/>
    </row>
    <row r="289" spans="1:12">
      <c r="A289" s="91"/>
      <c r="B289" s="88"/>
      <c r="C289" s="88"/>
      <c r="D289" s="88"/>
      <c r="E289" s="88"/>
      <c r="F289" s="88"/>
      <c r="G289" s="88"/>
      <c r="H289" s="88"/>
      <c r="I289" s="89"/>
      <c r="J289" s="89"/>
      <c r="K289" s="90"/>
    </row>
    <row r="290" spans="1:12" ht="16">
      <c r="A290" s="10" t="s">
        <v>28032</v>
      </c>
      <c r="B290" s="207"/>
      <c r="C290" s="207"/>
      <c r="D290" s="207"/>
      <c r="E290" s="207"/>
      <c r="F290" s="207"/>
      <c r="G290" s="207"/>
      <c r="H290" s="207"/>
      <c r="I290" s="207"/>
      <c r="J290" s="1175" t="s">
        <v>28033</v>
      </c>
      <c r="K290" s="1176"/>
    </row>
    <row r="291" spans="1:12" ht="17" thickBot="1">
      <c r="A291" s="6"/>
      <c r="B291" s="11"/>
      <c r="C291" s="11"/>
      <c r="D291" s="11"/>
      <c r="E291" s="11"/>
      <c r="F291" s="11"/>
      <c r="G291" s="11"/>
      <c r="H291" s="11"/>
      <c r="I291" s="11"/>
      <c r="J291" s="1177">
        <f>B288</f>
        <v>325.41000000000003</v>
      </c>
      <c r="K291" s="1178"/>
    </row>
    <row r="292" spans="1:12" ht="22">
      <c r="A292" s="4" t="s">
        <v>28028</v>
      </c>
      <c r="B292" s="1173" t="s">
        <v>28029</v>
      </c>
      <c r="C292" s="1173"/>
      <c r="D292" s="1173"/>
      <c r="E292" s="1173"/>
      <c r="F292" s="1173"/>
      <c r="G292" s="1173"/>
      <c r="H292" s="1173"/>
      <c r="I292" s="1173"/>
      <c r="J292" s="1173"/>
      <c r="K292" s="5" t="s">
        <v>28030</v>
      </c>
    </row>
    <row r="293" spans="1:12" ht="22" customHeight="1" thickBot="1">
      <c r="A293" s="414" t="s">
        <v>12340</v>
      </c>
      <c r="B293" s="1174" t="str">
        <f>VLOOKUP($A293, 'Plan Orçamentária'!$Q$2:$S$128267,2,FALSE)</f>
        <v>CIMENTADO DESEMPENADO E ALISADO (QUEIMADO)</v>
      </c>
      <c r="C293" s="1174"/>
      <c r="D293" s="1174"/>
      <c r="E293" s="1174"/>
      <c r="F293" s="1174"/>
      <c r="G293" s="1174"/>
      <c r="H293" s="1174"/>
      <c r="I293" s="1174"/>
      <c r="J293" s="1174"/>
      <c r="K293" s="12" t="str">
        <f>VLOOKUP($A293,'Plan Orçamentária'!$Q$2:$S$138267,3,FALSE)</f>
        <v>M2</v>
      </c>
      <c r="L293" s="15">
        <f>J311</f>
        <v>325.41000000000003</v>
      </c>
    </row>
    <row r="294" spans="1:12">
      <c r="A294" s="86" t="s">
        <v>44396</v>
      </c>
      <c r="B294" s="14"/>
      <c r="C294" s="14"/>
      <c r="D294" s="14"/>
      <c r="E294" s="14"/>
      <c r="F294" s="14"/>
      <c r="G294" s="14"/>
      <c r="H294" s="14"/>
      <c r="I294" s="14"/>
      <c r="J294" s="14"/>
      <c r="K294" s="87"/>
    </row>
    <row r="295" spans="1:12" ht="16.5" customHeight="1">
      <c r="A295" s="16"/>
      <c r="B295" s="14"/>
      <c r="C295" s="14"/>
      <c r="D295" s="14"/>
      <c r="E295" s="14"/>
      <c r="F295" s="14"/>
      <c r="G295" s="14"/>
      <c r="H295" s="14"/>
      <c r="I295" s="14"/>
      <c r="J295" s="14"/>
      <c r="K295" s="87"/>
    </row>
    <row r="296" spans="1:12" ht="16.5" customHeight="1">
      <c r="A296" s="16" t="s">
        <v>44522</v>
      </c>
      <c r="B296" s="786"/>
      <c r="C296" s="787"/>
      <c r="D296" s="803">
        <v>325.41000000000003</v>
      </c>
      <c r="E296" s="802" t="str">
        <f>K293</f>
        <v>M2</v>
      </c>
      <c r="F296" s="14"/>
      <c r="G296" s="14"/>
      <c r="H296" s="14"/>
      <c r="I296" s="14"/>
      <c r="J296" s="14"/>
      <c r="K296" s="87"/>
    </row>
    <row r="297" spans="1:12" ht="16.5" customHeight="1">
      <c r="A297" s="16"/>
      <c r="B297" s="788"/>
      <c r="C297" s="787"/>
      <c r="D297" s="787"/>
      <c r="E297" s="787"/>
      <c r="F297" s="14"/>
      <c r="G297" s="14"/>
      <c r="H297" s="14"/>
      <c r="I297" s="14"/>
      <c r="J297" s="14"/>
      <c r="K297" s="87"/>
    </row>
    <row r="298" spans="1:12">
      <c r="A298" s="16"/>
      <c r="B298" s="787"/>
      <c r="C298" s="787"/>
      <c r="D298" s="787"/>
      <c r="E298" s="787"/>
      <c r="F298" s="14"/>
      <c r="G298" s="14"/>
      <c r="H298" s="14"/>
      <c r="I298" s="14"/>
      <c r="J298" s="14"/>
      <c r="K298" s="87"/>
    </row>
    <row r="299" spans="1:12" s="57" customFormat="1">
      <c r="A299" s="86"/>
      <c r="B299" s="789"/>
      <c r="C299" s="789"/>
      <c r="D299" s="787"/>
      <c r="E299" s="787"/>
      <c r="F299" s="14"/>
      <c r="G299" s="14"/>
      <c r="H299" s="14"/>
      <c r="I299" s="14"/>
      <c r="J299" s="14"/>
      <c r="K299" s="87"/>
    </row>
    <row r="300" spans="1:12">
      <c r="A300" s="86"/>
      <c r="B300" s="787"/>
      <c r="C300" s="787"/>
      <c r="D300" s="787"/>
      <c r="E300" s="787"/>
      <c r="F300" s="14"/>
      <c r="G300" s="14"/>
      <c r="H300" s="14"/>
      <c r="I300" s="14"/>
      <c r="J300" s="14"/>
      <c r="K300" s="87"/>
    </row>
    <row r="301" spans="1:12">
      <c r="A301" s="1185"/>
      <c r="B301" s="787"/>
      <c r="C301" s="787"/>
      <c r="D301" s="787"/>
      <c r="E301" s="787"/>
      <c r="F301" s="14"/>
      <c r="G301" s="14"/>
      <c r="H301" s="14"/>
      <c r="I301" s="14"/>
      <c r="J301" s="14"/>
      <c r="K301" s="87"/>
    </row>
    <row r="302" spans="1:12">
      <c r="A302" s="1185"/>
      <c r="B302" s="787"/>
      <c r="C302" s="787"/>
      <c r="D302" s="787"/>
      <c r="E302" s="787"/>
      <c r="F302" s="14"/>
      <c r="G302" s="14"/>
      <c r="H302" s="14"/>
      <c r="I302" s="14"/>
      <c r="J302" s="14"/>
      <c r="K302" s="87"/>
    </row>
    <row r="303" spans="1:12">
      <c r="A303" s="16"/>
      <c r="B303" s="14"/>
      <c r="C303" s="14"/>
      <c r="D303" s="88"/>
      <c r="E303" s="14"/>
      <c r="F303" s="14"/>
      <c r="G303" s="14"/>
      <c r="H303" s="88"/>
      <c r="I303" s="89"/>
      <c r="J303" s="89"/>
      <c r="K303" s="90"/>
    </row>
    <row r="304" spans="1:12">
      <c r="A304" s="16"/>
      <c r="B304" s="14"/>
      <c r="C304" s="14"/>
      <c r="D304" s="88"/>
      <c r="E304" s="14"/>
      <c r="F304" s="14"/>
      <c r="G304" s="14"/>
      <c r="H304" s="88"/>
      <c r="I304" s="89"/>
      <c r="J304" s="89"/>
      <c r="K304" s="90"/>
    </row>
    <row r="305" spans="1:11">
      <c r="A305" s="16"/>
      <c r="B305" s="14"/>
      <c r="C305" s="14"/>
      <c r="D305" s="88"/>
      <c r="E305" s="14"/>
      <c r="F305" s="14"/>
      <c r="G305" s="14"/>
      <c r="H305" s="88"/>
      <c r="I305" s="89"/>
      <c r="J305" s="89"/>
      <c r="K305" s="90"/>
    </row>
    <row r="306" spans="1:11">
      <c r="A306" s="16"/>
      <c r="B306" s="14"/>
      <c r="C306" s="14"/>
      <c r="D306" s="88"/>
      <c r="E306" s="14"/>
      <c r="F306" s="14"/>
      <c r="G306" s="14"/>
      <c r="H306" s="88"/>
      <c r="I306" s="89"/>
      <c r="J306" s="89"/>
      <c r="K306" s="90"/>
    </row>
    <row r="307" spans="1:11">
      <c r="A307" s="91"/>
      <c r="B307" s="88"/>
      <c r="C307" s="88"/>
      <c r="D307" s="88"/>
      <c r="E307" s="88"/>
      <c r="F307" s="88"/>
      <c r="G307" s="88"/>
      <c r="H307" s="88"/>
      <c r="I307" s="89"/>
      <c r="J307" s="89"/>
      <c r="K307" s="90"/>
    </row>
    <row r="308" spans="1:11">
      <c r="A308" s="91" t="s">
        <v>28031</v>
      </c>
      <c r="B308" s="88">
        <f>D296</f>
        <v>325.41000000000003</v>
      </c>
      <c r="C308" s="88" t="str">
        <f>K293</f>
        <v>M2</v>
      </c>
      <c r="D308" s="88"/>
      <c r="E308" s="14"/>
      <c r="F308" s="14"/>
      <c r="G308" s="14"/>
      <c r="H308" s="88"/>
      <c r="I308" s="89"/>
      <c r="J308" s="89"/>
      <c r="K308" s="90"/>
    </row>
    <row r="309" spans="1:11">
      <c r="A309" s="91"/>
      <c r="B309" s="88"/>
      <c r="C309" s="88"/>
      <c r="D309" s="88"/>
      <c r="E309" s="88"/>
      <c r="F309" s="88"/>
      <c r="G309" s="88"/>
      <c r="H309" s="88"/>
      <c r="I309" s="89"/>
      <c r="J309" s="89"/>
      <c r="K309" s="90"/>
    </row>
    <row r="310" spans="1:11" ht="16">
      <c r="A310" s="10" t="s">
        <v>28032</v>
      </c>
      <c r="B310" s="207"/>
      <c r="C310" s="207"/>
      <c r="D310" s="207"/>
      <c r="E310" s="207"/>
      <c r="F310" s="207"/>
      <c r="G310" s="207"/>
      <c r="H310" s="207"/>
      <c r="I310" s="207"/>
      <c r="J310" s="1175" t="s">
        <v>28033</v>
      </c>
      <c r="K310" s="1176"/>
    </row>
    <row r="311" spans="1:11" ht="17" thickBot="1">
      <c r="A311" s="6"/>
      <c r="B311" s="11"/>
      <c r="C311" s="11"/>
      <c r="D311" s="11"/>
      <c r="E311" s="11"/>
      <c r="F311" s="11"/>
      <c r="G311" s="11"/>
      <c r="H311" s="11"/>
      <c r="I311" s="11"/>
      <c r="J311" s="1177">
        <f>B308</f>
        <v>325.41000000000003</v>
      </c>
      <c r="K311" s="1178"/>
    </row>
  </sheetData>
  <mergeCells count="83">
    <mergeCell ref="J271:K271"/>
    <mergeCell ref="J251:K251"/>
    <mergeCell ref="B252:J252"/>
    <mergeCell ref="B253:J253"/>
    <mergeCell ref="A261:A262"/>
    <mergeCell ref="J270:K270"/>
    <mergeCell ref="J310:K310"/>
    <mergeCell ref="J311:K311"/>
    <mergeCell ref="E118:F118"/>
    <mergeCell ref="E119:F119"/>
    <mergeCell ref="E120:F120"/>
    <mergeCell ref="E121:F121"/>
    <mergeCell ref="E122:F122"/>
    <mergeCell ref="E123:F123"/>
    <mergeCell ref="E124:F124"/>
    <mergeCell ref="E125:F125"/>
    <mergeCell ref="J230:K230"/>
    <mergeCell ref="J231:K231"/>
    <mergeCell ref="B292:J292"/>
    <mergeCell ref="B293:J293"/>
    <mergeCell ref="J150:K150"/>
    <mergeCell ref="J151:K151"/>
    <mergeCell ref="A301:A302"/>
    <mergeCell ref="B192:J192"/>
    <mergeCell ref="B193:J193"/>
    <mergeCell ref="J210:K210"/>
    <mergeCell ref="J211:K211"/>
    <mergeCell ref="B212:J212"/>
    <mergeCell ref="B213:J213"/>
    <mergeCell ref="E216:F216"/>
    <mergeCell ref="E217:F217"/>
    <mergeCell ref="E218:F218"/>
    <mergeCell ref="E219:F219"/>
    <mergeCell ref="E220:F220"/>
    <mergeCell ref="B232:J232"/>
    <mergeCell ref="B233:J233"/>
    <mergeCell ref="A241:A242"/>
    <mergeCell ref="J250:K250"/>
    <mergeCell ref="B173:J173"/>
    <mergeCell ref="J190:K190"/>
    <mergeCell ref="J191:K191"/>
    <mergeCell ref="B132:J132"/>
    <mergeCell ref="B133:J133"/>
    <mergeCell ref="J131:K131"/>
    <mergeCell ref="E126:F126"/>
    <mergeCell ref="A116:C116"/>
    <mergeCell ref="E116:H116"/>
    <mergeCell ref="B172:J172"/>
    <mergeCell ref="B93:J93"/>
    <mergeCell ref="J111:K111"/>
    <mergeCell ref="B112:J112"/>
    <mergeCell ref="B113:J113"/>
    <mergeCell ref="J130:K130"/>
    <mergeCell ref="A1:K1"/>
    <mergeCell ref="A2:K10"/>
    <mergeCell ref="B11:K11"/>
    <mergeCell ref="B32:J32"/>
    <mergeCell ref="B33:J33"/>
    <mergeCell ref="B12:J12"/>
    <mergeCell ref="B13:J13"/>
    <mergeCell ref="J30:K30"/>
    <mergeCell ref="J31:K31"/>
    <mergeCell ref="J50:K50"/>
    <mergeCell ref="B152:J152"/>
    <mergeCell ref="B153:J153"/>
    <mergeCell ref="J170:K170"/>
    <mergeCell ref="J171:K171"/>
    <mergeCell ref="J110:K110"/>
    <mergeCell ref="J51:K51"/>
    <mergeCell ref="B52:J52"/>
    <mergeCell ref="B53:J53"/>
    <mergeCell ref="J70:K70"/>
    <mergeCell ref="J71:K71"/>
    <mergeCell ref="B72:J72"/>
    <mergeCell ref="B73:J73"/>
    <mergeCell ref="J90:K90"/>
    <mergeCell ref="J91:K91"/>
    <mergeCell ref="B92:J92"/>
    <mergeCell ref="B272:J272"/>
    <mergeCell ref="B273:J273"/>
    <mergeCell ref="A281:A282"/>
    <mergeCell ref="J290:K290"/>
    <mergeCell ref="J291:K291"/>
  </mergeCells>
  <phoneticPr fontId="36" type="noConversion"/>
  <conditionalFormatting sqref="A33">
    <cfRule type="expression" dxfId="110" priority="65">
      <formula>$M33="NÍVEL 1"</formula>
    </cfRule>
    <cfRule type="expression" dxfId="109" priority="66">
      <formula>$M33="NÍVEL 2"</formula>
    </cfRule>
  </conditionalFormatting>
  <conditionalFormatting sqref="A33">
    <cfRule type="expression" dxfId="108" priority="64" stopIfTrue="1">
      <formula>$M33="NÍVEL 3"</formula>
    </cfRule>
  </conditionalFormatting>
  <conditionalFormatting sqref="A53">
    <cfRule type="expression" dxfId="107" priority="62">
      <formula>$M53="NÍVEL 1"</formula>
    </cfRule>
    <cfRule type="expression" dxfId="106" priority="63">
      <formula>$M53="NÍVEL 2"</formula>
    </cfRule>
  </conditionalFormatting>
  <conditionalFormatting sqref="A53">
    <cfRule type="expression" dxfId="105" priority="61" stopIfTrue="1">
      <formula>$M53="NÍVEL 3"</formula>
    </cfRule>
  </conditionalFormatting>
  <conditionalFormatting sqref="A73">
    <cfRule type="expression" dxfId="104" priority="59">
      <formula>$M73="NÍVEL 1"</formula>
    </cfRule>
    <cfRule type="expression" dxfId="103" priority="60">
      <formula>$M73="NÍVEL 2"</formula>
    </cfRule>
  </conditionalFormatting>
  <conditionalFormatting sqref="A73">
    <cfRule type="expression" dxfId="102" priority="58" stopIfTrue="1">
      <formula>$M73="NÍVEL 3"</formula>
    </cfRule>
  </conditionalFormatting>
  <conditionalFormatting sqref="A93">
    <cfRule type="expression" dxfId="101" priority="56">
      <formula>$M93="NÍVEL 1"</formula>
    </cfRule>
    <cfRule type="expression" dxfId="100" priority="57">
      <formula>$M93="NÍVEL 2"</formula>
    </cfRule>
  </conditionalFormatting>
  <conditionalFormatting sqref="A93">
    <cfRule type="expression" dxfId="99" priority="55" stopIfTrue="1">
      <formula>$M93="NÍVEL 3"</formula>
    </cfRule>
  </conditionalFormatting>
  <conditionalFormatting sqref="A113">
    <cfRule type="expression" dxfId="98" priority="53">
      <formula>$M113="NÍVEL 1"</formula>
    </cfRule>
    <cfRule type="expression" dxfId="97" priority="54">
      <formula>$M113="NÍVEL 2"</formula>
    </cfRule>
  </conditionalFormatting>
  <conditionalFormatting sqref="A113">
    <cfRule type="expression" dxfId="96" priority="52" stopIfTrue="1">
      <formula>$M113="NÍVEL 3"</formula>
    </cfRule>
  </conditionalFormatting>
  <conditionalFormatting sqref="A133">
    <cfRule type="expression" dxfId="95" priority="32">
      <formula>$M133="NÍVEL 1"</formula>
    </cfRule>
    <cfRule type="expression" dxfId="94" priority="33">
      <formula>$M133="NÍVEL 2"</formula>
    </cfRule>
  </conditionalFormatting>
  <conditionalFormatting sqref="A133">
    <cfRule type="expression" dxfId="93" priority="31" stopIfTrue="1">
      <formula>$M133="NÍVEL 3"</formula>
    </cfRule>
  </conditionalFormatting>
  <conditionalFormatting sqref="A173">
    <cfRule type="expression" dxfId="92" priority="29">
      <formula>$M173="NÍVEL 1"</formula>
    </cfRule>
    <cfRule type="expression" dxfId="91" priority="30">
      <formula>$M173="NÍVEL 2"</formula>
    </cfRule>
  </conditionalFormatting>
  <conditionalFormatting sqref="A173">
    <cfRule type="expression" dxfId="90" priority="28" stopIfTrue="1">
      <formula>$M173="NÍVEL 3"</formula>
    </cfRule>
  </conditionalFormatting>
  <conditionalFormatting sqref="A193">
    <cfRule type="expression" dxfId="89" priority="26">
      <formula>$M193="NÍVEL 1"</formula>
    </cfRule>
    <cfRule type="expression" dxfId="88" priority="27">
      <formula>$M193="NÍVEL 2"</formula>
    </cfRule>
  </conditionalFormatting>
  <conditionalFormatting sqref="A193">
    <cfRule type="expression" dxfId="87" priority="25" stopIfTrue="1">
      <formula>$M193="NÍVEL 3"</formula>
    </cfRule>
  </conditionalFormatting>
  <conditionalFormatting sqref="A213">
    <cfRule type="expression" dxfId="86" priority="23">
      <formula>$M213="NÍVEL 1"</formula>
    </cfRule>
    <cfRule type="expression" dxfId="85" priority="24">
      <formula>$M213="NÍVEL 2"</formula>
    </cfRule>
  </conditionalFormatting>
  <conditionalFormatting sqref="A213">
    <cfRule type="expression" dxfId="84" priority="22" stopIfTrue="1">
      <formula>$M213="NÍVEL 3"</formula>
    </cfRule>
  </conditionalFormatting>
  <conditionalFormatting sqref="A293">
    <cfRule type="expression" dxfId="83" priority="17">
      <formula>$M293="NÍVEL 1"</formula>
    </cfRule>
    <cfRule type="expression" dxfId="82" priority="18">
      <formula>$M293="NÍVEL 2"</formula>
    </cfRule>
  </conditionalFormatting>
  <conditionalFormatting sqref="A293">
    <cfRule type="expression" dxfId="81" priority="16" stopIfTrue="1">
      <formula>$M293="NÍVEL 3"</formula>
    </cfRule>
  </conditionalFormatting>
  <conditionalFormatting sqref="A153">
    <cfRule type="expression" dxfId="80" priority="14">
      <formula>$M153="NÍVEL 1"</formula>
    </cfRule>
    <cfRule type="expression" dxfId="79" priority="15">
      <formula>$M153="NÍVEL 2"</formula>
    </cfRule>
  </conditionalFormatting>
  <conditionalFormatting sqref="A153">
    <cfRule type="expression" dxfId="78" priority="13" stopIfTrue="1">
      <formula>$M153="NÍVEL 3"</formula>
    </cfRule>
  </conditionalFormatting>
  <conditionalFormatting sqref="A13">
    <cfRule type="expression" dxfId="77" priority="11">
      <formula>$M13="NÍVEL 1"</formula>
    </cfRule>
    <cfRule type="expression" dxfId="76" priority="12">
      <formula>$M13="NÍVEL 2"</formula>
    </cfRule>
  </conditionalFormatting>
  <conditionalFormatting sqref="A13">
    <cfRule type="expression" dxfId="75" priority="10" stopIfTrue="1">
      <formula>$M13="NÍVEL 3"</formula>
    </cfRule>
  </conditionalFormatting>
  <conditionalFormatting sqref="A233">
    <cfRule type="expression" dxfId="74" priority="8">
      <formula>$M233="NÍVEL 1"</formula>
    </cfRule>
    <cfRule type="expression" dxfId="73" priority="9">
      <formula>$M233="NÍVEL 2"</formula>
    </cfRule>
  </conditionalFormatting>
  <conditionalFormatting sqref="A233">
    <cfRule type="expression" dxfId="72" priority="7" stopIfTrue="1">
      <formula>$M233="NÍVEL 3"</formula>
    </cfRule>
  </conditionalFormatting>
  <conditionalFormatting sqref="A253">
    <cfRule type="expression" dxfId="71" priority="5">
      <formula>$M253="NÍVEL 1"</formula>
    </cfRule>
    <cfRule type="expression" dxfId="70" priority="6">
      <formula>$M253="NÍVEL 2"</formula>
    </cfRule>
  </conditionalFormatting>
  <conditionalFormatting sqref="A253">
    <cfRule type="expression" dxfId="69" priority="4" stopIfTrue="1">
      <formula>$M253="NÍVEL 3"</formula>
    </cfRule>
  </conditionalFormatting>
  <conditionalFormatting sqref="A273">
    <cfRule type="expression" dxfId="68" priority="2">
      <formula>$M273="NÍVEL 1"</formula>
    </cfRule>
    <cfRule type="expression" dxfId="67" priority="3">
      <formula>$M273="NÍVEL 2"</formula>
    </cfRule>
  </conditionalFormatting>
  <conditionalFormatting sqref="A273">
    <cfRule type="expression" dxfId="66" priority="1" stopIfTrue="1">
      <formula>$M273="NÍVEL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536B9-1BFE-4544-B92D-95847769D2EC}">
  <sheetPr codeName="Planilha32">
    <pageSetUpPr fitToPage="1"/>
  </sheetPr>
  <dimension ref="A1:S91"/>
  <sheetViews>
    <sheetView view="pageBreakPreview" topLeftCell="A64"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9" ht="17" thickBot="1">
      <c r="A1" s="1159" t="s">
        <v>44430</v>
      </c>
      <c r="B1" s="1160"/>
      <c r="C1" s="1160"/>
      <c r="D1" s="1160"/>
      <c r="E1" s="1160"/>
      <c r="F1" s="1160"/>
      <c r="G1" s="1160"/>
      <c r="H1" s="1160"/>
      <c r="I1" s="1160"/>
      <c r="J1" s="1160"/>
      <c r="K1" s="1161"/>
    </row>
    <row r="2" spans="1:19">
      <c r="A2" s="1162"/>
      <c r="B2" s="1163"/>
      <c r="C2" s="1163"/>
      <c r="D2" s="1163"/>
      <c r="E2" s="1163"/>
      <c r="F2" s="1163"/>
      <c r="G2" s="1163"/>
      <c r="H2" s="1163"/>
      <c r="I2" s="1163"/>
      <c r="J2" s="1163"/>
      <c r="K2" s="1164"/>
    </row>
    <row r="3" spans="1:19" ht="15" customHeight="1">
      <c r="A3" s="1165"/>
      <c r="B3" s="1166"/>
      <c r="C3" s="1166"/>
      <c r="D3" s="1166"/>
      <c r="E3" s="1166"/>
      <c r="F3" s="1166"/>
      <c r="G3" s="1166"/>
      <c r="H3" s="1166"/>
      <c r="I3" s="1166"/>
      <c r="J3" s="1166"/>
      <c r="K3" s="1167"/>
    </row>
    <row r="4" spans="1:19" ht="15" customHeight="1">
      <c r="A4" s="1165"/>
      <c r="B4" s="1166"/>
      <c r="C4" s="1166"/>
      <c r="D4" s="1166"/>
      <c r="E4" s="1166"/>
      <c r="F4" s="1166"/>
      <c r="G4" s="1166"/>
      <c r="H4" s="1166"/>
      <c r="I4" s="1166"/>
      <c r="J4" s="1166"/>
      <c r="K4" s="1167"/>
    </row>
    <row r="5" spans="1:19" ht="16.5" customHeight="1">
      <c r="A5" s="1165"/>
      <c r="B5" s="1166"/>
      <c r="C5" s="1166"/>
      <c r="D5" s="1166"/>
      <c r="E5" s="1166"/>
      <c r="F5" s="1166"/>
      <c r="G5" s="1166"/>
      <c r="H5" s="1166"/>
      <c r="I5" s="1166"/>
      <c r="J5" s="1166"/>
      <c r="K5" s="1167"/>
    </row>
    <row r="6" spans="1:19" ht="16.5" customHeight="1">
      <c r="A6" s="1165"/>
      <c r="B6" s="1166"/>
      <c r="C6" s="1166"/>
      <c r="D6" s="1166"/>
      <c r="E6" s="1166"/>
      <c r="F6" s="1166"/>
      <c r="G6" s="1166"/>
      <c r="H6" s="1166"/>
      <c r="I6" s="1166"/>
      <c r="J6" s="1166"/>
      <c r="K6" s="1167"/>
    </row>
    <row r="7" spans="1:19" ht="18" customHeight="1">
      <c r="A7" s="1165"/>
      <c r="B7" s="1166"/>
      <c r="C7" s="1166"/>
      <c r="D7" s="1166"/>
      <c r="E7" s="1166"/>
      <c r="F7" s="1166"/>
      <c r="G7" s="1166"/>
      <c r="H7" s="1166"/>
      <c r="I7" s="1166"/>
      <c r="J7" s="1166"/>
      <c r="K7" s="1167"/>
    </row>
    <row r="8" spans="1:19" ht="18" customHeight="1">
      <c r="A8" s="1165"/>
      <c r="B8" s="1166"/>
      <c r="C8" s="1166"/>
      <c r="D8" s="1166"/>
      <c r="E8" s="1166"/>
      <c r="F8" s="1166"/>
      <c r="G8" s="1166"/>
      <c r="H8" s="1166"/>
      <c r="I8" s="1166"/>
      <c r="J8" s="1166"/>
      <c r="K8" s="1167"/>
    </row>
    <row r="9" spans="1:19" ht="18" customHeight="1">
      <c r="A9" s="1165"/>
      <c r="B9" s="1166"/>
      <c r="C9" s="1166"/>
      <c r="D9" s="1166"/>
      <c r="E9" s="1166"/>
      <c r="F9" s="1166"/>
      <c r="G9" s="1166"/>
      <c r="H9" s="1166"/>
      <c r="I9" s="1166"/>
      <c r="J9" s="1166"/>
      <c r="K9" s="1167"/>
    </row>
    <row r="10" spans="1:19" ht="18" customHeight="1">
      <c r="A10" s="1168"/>
      <c r="B10" s="1169"/>
      <c r="C10" s="1169"/>
      <c r="D10" s="1169"/>
      <c r="E10" s="1169"/>
      <c r="F10" s="1169"/>
      <c r="G10" s="1169"/>
      <c r="H10" s="1169"/>
      <c r="I10" s="1169"/>
      <c r="J10" s="1169"/>
      <c r="K10" s="1170"/>
    </row>
    <row r="11" spans="1:19"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9" ht="22">
      <c r="A12" s="4" t="s">
        <v>28028</v>
      </c>
      <c r="B12" s="1173" t="s">
        <v>28029</v>
      </c>
      <c r="C12" s="1173"/>
      <c r="D12" s="1173"/>
      <c r="E12" s="1173"/>
      <c r="F12" s="1173"/>
      <c r="G12" s="1173"/>
      <c r="H12" s="1173"/>
      <c r="I12" s="1173"/>
      <c r="J12" s="1173"/>
      <c r="K12" s="5" t="s">
        <v>28030</v>
      </c>
    </row>
    <row r="13" spans="1:19" ht="22" customHeight="1" thickBot="1">
      <c r="A13" s="682" t="s">
        <v>13840</v>
      </c>
      <c r="B13" s="1174" t="str">
        <f>VLOOKUP($A13, 'Plan Orçamentária'!$Q$2:$S$128267,2,FALSE)</f>
        <v>MASSA CORRIDA À BASE DE RESINA ACRÍLICA</v>
      </c>
      <c r="C13" s="1174"/>
      <c r="D13" s="1174"/>
      <c r="E13" s="1174"/>
      <c r="F13" s="1174"/>
      <c r="G13" s="1174"/>
      <c r="H13" s="1174"/>
      <c r="I13" s="1174"/>
      <c r="J13" s="1174"/>
      <c r="K13" s="12" t="str">
        <f>VLOOKUP($A13,'Plan Orçamentária'!$Q$2:$S$138267,3,FALSE)</f>
        <v>M2</v>
      </c>
      <c r="L13" s="15">
        <f>J31</f>
        <v>2410.2764000000002</v>
      </c>
    </row>
    <row r="14" spans="1:19">
      <c r="A14" s="86" t="s">
        <v>44433</v>
      </c>
      <c r="B14" s="14"/>
      <c r="C14" s="14"/>
      <c r="D14" s="14"/>
      <c r="E14" s="14"/>
      <c r="F14" s="14"/>
      <c r="G14" s="14"/>
      <c r="H14" s="14"/>
      <c r="I14" s="14"/>
      <c r="J14" s="14"/>
      <c r="K14" s="87"/>
    </row>
    <row r="15" spans="1:19" ht="16.5" customHeight="1">
      <c r="A15" s="16"/>
      <c r="B15" s="786"/>
      <c r="C15" s="786" t="s">
        <v>41798</v>
      </c>
      <c r="D15" s="787" t="s">
        <v>41787</v>
      </c>
      <c r="E15" s="787" t="s">
        <v>44398</v>
      </c>
      <c r="F15" s="14"/>
      <c r="G15" s="14"/>
      <c r="H15" s="14"/>
      <c r="I15" s="786" t="s">
        <v>41798</v>
      </c>
      <c r="J15" s="787" t="s">
        <v>41787</v>
      </c>
      <c r="K15" s="787" t="s">
        <v>44398</v>
      </c>
      <c r="N15" s="16" t="s">
        <v>44399</v>
      </c>
      <c r="O15" s="788">
        <v>1.2</v>
      </c>
      <c r="P15" s="787">
        <v>0.8</v>
      </c>
      <c r="Q15" s="787">
        <v>3</v>
      </c>
      <c r="R15" s="787">
        <f>(O15*P15)*Q15</f>
        <v>2.88</v>
      </c>
      <c r="S15" s="14"/>
    </row>
    <row r="16" spans="1:19" ht="16.5" customHeight="1">
      <c r="A16" s="16" t="s">
        <v>44437</v>
      </c>
      <c r="B16" s="788"/>
      <c r="C16" s="788">
        <v>13.12</v>
      </c>
      <c r="D16" s="787">
        <v>2.6</v>
      </c>
      <c r="E16" s="787">
        <f>C16*D16</f>
        <v>34.112000000000002</v>
      </c>
      <c r="F16" s="787"/>
      <c r="G16" s="14"/>
      <c r="H16" s="14" t="s">
        <v>44448</v>
      </c>
      <c r="I16" s="787">
        <v>21.34</v>
      </c>
      <c r="J16" s="787">
        <v>2.6</v>
      </c>
      <c r="K16" s="799">
        <f>I16*J16</f>
        <v>55.484000000000002</v>
      </c>
      <c r="N16" s="16" t="s">
        <v>44400</v>
      </c>
      <c r="O16" s="787">
        <v>2.2000000000000002</v>
      </c>
      <c r="P16" s="787">
        <v>0.6</v>
      </c>
      <c r="Q16" s="787">
        <v>1</v>
      </c>
      <c r="R16" s="787">
        <f t="shared" ref="R16:R21" si="0">(O16*P16)*Q16</f>
        <v>1.32</v>
      </c>
      <c r="S16" s="14"/>
    </row>
    <row r="17" spans="1:19">
      <c r="A17" s="16" t="s">
        <v>44450</v>
      </c>
      <c r="B17" s="787"/>
      <c r="C17" s="787">
        <v>22.35</v>
      </c>
      <c r="D17" s="787">
        <v>2.6</v>
      </c>
      <c r="E17" s="787">
        <f t="shared" ref="E17:E20" si="1">C17*D17</f>
        <v>58.110000000000007</v>
      </c>
      <c r="F17" s="787"/>
      <c r="G17" s="14"/>
      <c r="H17" s="14" t="s">
        <v>44440</v>
      </c>
      <c r="I17" s="787">
        <v>14.35</v>
      </c>
      <c r="J17" s="787">
        <v>2.6</v>
      </c>
      <c r="K17" s="799">
        <f t="shared" ref="K17:K22" si="2">I17*J17</f>
        <v>37.31</v>
      </c>
      <c r="N17" s="209" t="s">
        <v>44401</v>
      </c>
      <c r="O17" s="789">
        <v>2.2999999999999998</v>
      </c>
      <c r="P17" s="789">
        <v>0.7</v>
      </c>
      <c r="Q17" s="787">
        <v>3</v>
      </c>
      <c r="R17" s="787">
        <f t="shared" si="0"/>
        <v>4.83</v>
      </c>
      <c r="S17" s="14"/>
    </row>
    <row r="18" spans="1:19" s="57" customFormat="1">
      <c r="A18" s="209" t="s">
        <v>44451</v>
      </c>
      <c r="B18" s="789"/>
      <c r="C18" s="789">
        <v>18.07</v>
      </c>
      <c r="D18" s="789">
        <v>2.6</v>
      </c>
      <c r="E18" s="787">
        <f t="shared" si="1"/>
        <v>46.981999999999999</v>
      </c>
      <c r="F18" s="787"/>
      <c r="G18" s="14"/>
      <c r="H18" s="14" t="s">
        <v>44441</v>
      </c>
      <c r="I18" s="787">
        <v>15.39</v>
      </c>
      <c r="J18" s="787">
        <v>2.6</v>
      </c>
      <c r="K18" s="799">
        <f t="shared" si="2"/>
        <v>40.014000000000003</v>
      </c>
      <c r="N18" s="16" t="s">
        <v>44402</v>
      </c>
      <c r="O18" s="787">
        <v>3</v>
      </c>
      <c r="P18" s="787">
        <v>0.6</v>
      </c>
      <c r="Q18" s="790">
        <v>3</v>
      </c>
      <c r="R18" s="787">
        <f t="shared" si="0"/>
        <v>5.3999999999999995</v>
      </c>
      <c r="S18" s="14"/>
    </row>
    <row r="19" spans="1:19">
      <c r="A19" s="16" t="s">
        <v>44438</v>
      </c>
      <c r="B19" s="787"/>
      <c r="C19" s="787">
        <v>26</v>
      </c>
      <c r="D19" s="787">
        <v>2.6</v>
      </c>
      <c r="E19" s="787">
        <f t="shared" si="1"/>
        <v>67.600000000000009</v>
      </c>
      <c r="F19" s="787"/>
      <c r="G19" s="14"/>
      <c r="H19" s="14" t="s">
        <v>44442</v>
      </c>
      <c r="I19" s="787">
        <v>18.079999999999998</v>
      </c>
      <c r="J19" s="787">
        <v>2.6</v>
      </c>
      <c r="K19" s="799">
        <f t="shared" si="2"/>
        <v>47.007999999999996</v>
      </c>
      <c r="N19" s="16" t="s">
        <v>44403</v>
      </c>
      <c r="O19" s="787">
        <v>13.33</v>
      </c>
      <c r="P19" s="787">
        <v>1.6</v>
      </c>
      <c r="Q19" s="787">
        <v>1</v>
      </c>
      <c r="R19" s="787">
        <f t="shared" si="0"/>
        <v>21.328000000000003</v>
      </c>
      <c r="S19" s="14"/>
    </row>
    <row r="20" spans="1:19">
      <c r="A20" s="16" t="s">
        <v>44523</v>
      </c>
      <c r="B20" s="787"/>
      <c r="C20" s="787">
        <v>79.06</v>
      </c>
      <c r="D20" s="787">
        <v>2.88</v>
      </c>
      <c r="E20" s="787">
        <f t="shared" si="1"/>
        <v>227.69280000000001</v>
      </c>
      <c r="F20" s="787"/>
      <c r="G20" s="14"/>
      <c r="H20" s="14" t="s">
        <v>44443</v>
      </c>
      <c r="I20" s="787">
        <v>18.41</v>
      </c>
      <c r="J20" s="787">
        <v>2.6</v>
      </c>
      <c r="K20" s="799">
        <f t="shared" si="2"/>
        <v>47.866</v>
      </c>
      <c r="N20" s="1185" t="s">
        <v>44404</v>
      </c>
      <c r="O20" s="787">
        <v>2.33</v>
      </c>
      <c r="P20" s="787">
        <v>2.6</v>
      </c>
      <c r="Q20" s="787">
        <v>1</v>
      </c>
      <c r="R20" s="787">
        <f t="shared" si="0"/>
        <v>6.0580000000000007</v>
      </c>
      <c r="S20" s="14"/>
    </row>
    <row r="21" spans="1:19">
      <c r="A21" s="16"/>
      <c r="B21" s="787"/>
      <c r="C21" s="787"/>
      <c r="D21" s="787"/>
      <c r="E21" s="787"/>
      <c r="F21" s="787"/>
      <c r="G21" s="14"/>
      <c r="H21" s="14" t="s">
        <v>44444</v>
      </c>
      <c r="I21" s="787">
        <v>30.3</v>
      </c>
      <c r="J21" s="787">
        <v>2.6</v>
      </c>
      <c r="K21" s="799">
        <f t="shared" si="2"/>
        <v>78.78</v>
      </c>
      <c r="N21" s="1185"/>
      <c r="O21" s="787">
        <v>4.5</v>
      </c>
      <c r="P21" s="787">
        <v>2.6</v>
      </c>
      <c r="Q21" s="791">
        <v>1</v>
      </c>
      <c r="R21" s="787">
        <f t="shared" si="0"/>
        <v>11.700000000000001</v>
      </c>
      <c r="S21" s="14"/>
    </row>
    <row r="22" spans="1:19">
      <c r="A22" s="16" t="s">
        <v>44464</v>
      </c>
      <c r="B22" s="787"/>
      <c r="C22" s="787">
        <v>46.88</v>
      </c>
      <c r="D22" s="787">
        <v>4</v>
      </c>
      <c r="E22" s="787">
        <f t="shared" ref="E22:E27" si="3">C22*D22</f>
        <v>187.52</v>
      </c>
      <c r="F22" s="787"/>
      <c r="G22" s="14"/>
      <c r="H22" s="88" t="s">
        <v>44524</v>
      </c>
      <c r="I22" s="804">
        <v>63.85</v>
      </c>
      <c r="J22" s="787">
        <v>2.9</v>
      </c>
      <c r="K22" s="799">
        <f t="shared" si="2"/>
        <v>185.16499999999999</v>
      </c>
      <c r="N22" s="16" t="s">
        <v>44407</v>
      </c>
      <c r="O22" s="788">
        <v>1.4</v>
      </c>
      <c r="P22" s="787">
        <v>2.1</v>
      </c>
      <c r="Q22" s="787">
        <v>1</v>
      </c>
      <c r="R22" s="787">
        <f>(O22*P22)*Q22</f>
        <v>2.94</v>
      </c>
      <c r="S22" s="14"/>
    </row>
    <row r="23" spans="1:19">
      <c r="A23" s="16" t="s">
        <v>44465</v>
      </c>
      <c r="B23" s="787"/>
      <c r="C23" s="787">
        <v>36.6</v>
      </c>
      <c r="D23" s="787">
        <v>4</v>
      </c>
      <c r="E23" s="787">
        <f t="shared" si="3"/>
        <v>146.4</v>
      </c>
      <c r="F23" s="787"/>
      <c r="G23" s="14"/>
      <c r="H23" s="88" t="s">
        <v>44445</v>
      </c>
      <c r="I23" s="804">
        <v>16.37</v>
      </c>
      <c r="J23" s="787">
        <v>2.9</v>
      </c>
      <c r="K23" s="799">
        <f t="shared" ref="K23:K26" si="4">I23*J23</f>
        <v>47.472999999999999</v>
      </c>
      <c r="N23" s="16" t="s">
        <v>44408</v>
      </c>
      <c r="O23" s="787">
        <v>2</v>
      </c>
      <c r="P23" s="787">
        <v>2.5</v>
      </c>
      <c r="Q23" s="787">
        <v>3</v>
      </c>
      <c r="R23" s="787">
        <f t="shared" ref="R23" si="5">(O23*P23)*Q23</f>
        <v>15</v>
      </c>
      <c r="S23" s="14"/>
    </row>
    <row r="24" spans="1:19">
      <c r="A24" s="16" t="s">
        <v>44466</v>
      </c>
      <c r="B24" s="787"/>
      <c r="C24" s="787">
        <v>43.63</v>
      </c>
      <c r="D24" s="787">
        <v>4</v>
      </c>
      <c r="E24" s="787">
        <f t="shared" si="3"/>
        <v>174.52</v>
      </c>
      <c r="F24" s="787"/>
      <c r="G24" s="14"/>
      <c r="H24" s="88" t="s">
        <v>44446</v>
      </c>
      <c r="I24" s="804">
        <v>16.36</v>
      </c>
      <c r="J24" s="787">
        <v>2.9</v>
      </c>
      <c r="K24" s="799">
        <f t="shared" si="4"/>
        <v>47.443999999999996</v>
      </c>
      <c r="N24" s="16" t="s">
        <v>44411</v>
      </c>
      <c r="O24" s="788">
        <v>0.8</v>
      </c>
      <c r="P24" s="787">
        <v>2.1</v>
      </c>
      <c r="Q24" s="787">
        <v>1</v>
      </c>
      <c r="R24" s="787">
        <f>(O24*P24)*Q24</f>
        <v>1.6800000000000002</v>
      </c>
      <c r="S24" s="14"/>
    </row>
    <row r="25" spans="1:19">
      <c r="A25" s="16" t="s">
        <v>44525</v>
      </c>
      <c r="B25" s="787"/>
      <c r="C25" s="787">
        <v>67.55</v>
      </c>
      <c r="D25" s="787">
        <v>4</v>
      </c>
      <c r="E25" s="791">
        <f t="shared" si="3"/>
        <v>270.2</v>
      </c>
      <c r="F25" s="787"/>
      <c r="G25" s="14"/>
      <c r="H25" s="88" t="s">
        <v>44528</v>
      </c>
      <c r="I25" s="804">
        <f>16+2.1+2.07+15.4</f>
        <v>35.57</v>
      </c>
      <c r="J25" s="787">
        <v>1</v>
      </c>
      <c r="K25" s="799">
        <f t="shared" si="4"/>
        <v>35.57</v>
      </c>
      <c r="N25" s="16" t="s">
        <v>44412</v>
      </c>
      <c r="O25" s="787">
        <v>0.8</v>
      </c>
      <c r="P25" s="787">
        <v>2.1</v>
      </c>
      <c r="Q25" s="787">
        <v>11</v>
      </c>
      <c r="R25" s="787">
        <f t="shared" ref="R25" si="6">(O25*P25)*Q25</f>
        <v>18.48</v>
      </c>
      <c r="S25" s="88"/>
    </row>
    <row r="26" spans="1:19">
      <c r="A26" s="16" t="s">
        <v>44526</v>
      </c>
      <c r="B26" s="791"/>
      <c r="C26" s="791">
        <v>78.87</v>
      </c>
      <c r="D26" s="791">
        <v>7.32</v>
      </c>
      <c r="E26" s="791">
        <f t="shared" si="3"/>
        <v>577.3284000000001</v>
      </c>
      <c r="F26" s="791"/>
      <c r="G26" s="88"/>
      <c r="H26" s="88" t="s">
        <v>44529</v>
      </c>
      <c r="I26" s="804">
        <v>3.2</v>
      </c>
      <c r="J26" s="787">
        <v>3.1</v>
      </c>
      <c r="K26" s="799">
        <f t="shared" si="4"/>
        <v>9.9200000000000017</v>
      </c>
      <c r="N26" s="16" t="s">
        <v>44413</v>
      </c>
      <c r="O26" s="788">
        <v>0.9</v>
      </c>
      <c r="P26" s="787">
        <v>2.1</v>
      </c>
      <c r="Q26" s="787">
        <v>3</v>
      </c>
      <c r="R26" s="787">
        <f>(O26*P26)*Q26</f>
        <v>5.67</v>
      </c>
    </row>
    <row r="27" spans="1:19">
      <c r="A27" s="16" t="s">
        <v>44527</v>
      </c>
      <c r="B27" s="791"/>
      <c r="C27" s="791">
        <f>5.64*2+4.83*2+2.88*2+2.73*2</f>
        <v>32.159999999999997</v>
      </c>
      <c r="D27" s="791">
        <v>2.02</v>
      </c>
      <c r="E27" s="791">
        <f t="shared" si="3"/>
        <v>64.963200000000001</v>
      </c>
      <c r="F27" s="14"/>
      <c r="G27" s="14"/>
      <c r="H27" s="88"/>
      <c r="I27" s="804"/>
      <c r="J27" s="787"/>
      <c r="K27" s="799"/>
      <c r="N27" s="16" t="s">
        <v>44414</v>
      </c>
      <c r="O27" s="788">
        <v>0.8</v>
      </c>
      <c r="P27" s="787">
        <v>1.9</v>
      </c>
      <c r="Q27" s="787">
        <v>1</v>
      </c>
      <c r="R27" s="787">
        <f>(O27*P27)*Q27</f>
        <v>1.52</v>
      </c>
    </row>
    <row r="28" spans="1:19">
      <c r="A28" s="91"/>
      <c r="B28" s="88"/>
      <c r="C28" s="88"/>
      <c r="D28" s="88"/>
      <c r="E28" s="88"/>
      <c r="F28" s="88"/>
      <c r="G28" s="88"/>
      <c r="H28" s="88"/>
      <c r="I28" s="89"/>
      <c r="J28" s="89"/>
      <c r="K28" s="90"/>
      <c r="N28" s="16" t="s">
        <v>44415</v>
      </c>
      <c r="O28" s="787">
        <v>1.8</v>
      </c>
      <c r="P28" s="787">
        <v>2.2999999999999998</v>
      </c>
      <c r="Q28" s="787">
        <v>1</v>
      </c>
      <c r="R28" s="787">
        <f t="shared" ref="R28:R30" si="7">(O28*P28)*Q28</f>
        <v>4.1399999999999997</v>
      </c>
    </row>
    <row r="29" spans="1:19">
      <c r="A29" s="91" t="s">
        <v>28031</v>
      </c>
      <c r="B29" s="88">
        <f>SUM(E16:E27,K16:K27)-SUM(R19:R25)</f>
        <v>2410.2764000000002</v>
      </c>
      <c r="C29" s="88" t="str">
        <f>K13</f>
        <v>M2</v>
      </c>
      <c r="D29" s="88"/>
      <c r="E29" s="89"/>
      <c r="F29" s="89"/>
      <c r="G29" s="88"/>
      <c r="H29" s="88"/>
      <c r="I29" s="89"/>
      <c r="J29" s="89"/>
      <c r="K29" s="90"/>
      <c r="N29" s="16" t="s">
        <v>44416</v>
      </c>
      <c r="O29" s="787">
        <v>1.4</v>
      </c>
      <c r="P29" s="787">
        <v>2.1</v>
      </c>
      <c r="Q29" s="787">
        <v>1</v>
      </c>
      <c r="R29" s="787">
        <f t="shared" si="7"/>
        <v>2.94</v>
      </c>
    </row>
    <row r="30" spans="1:19" ht="16">
      <c r="A30" s="10" t="s">
        <v>28032</v>
      </c>
      <c r="B30" s="207"/>
      <c r="C30" s="207"/>
      <c r="D30" s="207"/>
      <c r="E30" s="207"/>
      <c r="F30" s="207"/>
      <c r="G30" s="207"/>
      <c r="H30" s="207"/>
      <c r="I30" s="207"/>
      <c r="J30" s="1175" t="s">
        <v>28033</v>
      </c>
      <c r="K30" s="1176"/>
      <c r="N30" s="16" t="s">
        <v>44417</v>
      </c>
      <c r="O30" s="787">
        <v>1.85</v>
      </c>
      <c r="P30" s="787">
        <v>2.5499999999999998</v>
      </c>
      <c r="Q30" s="791">
        <v>1</v>
      </c>
      <c r="R30" s="787">
        <f t="shared" si="7"/>
        <v>4.7175000000000002</v>
      </c>
    </row>
    <row r="31" spans="1:19" ht="17" thickBot="1">
      <c r="A31" s="6"/>
      <c r="B31" s="11"/>
      <c r="C31" s="11"/>
      <c r="D31" s="11"/>
      <c r="E31" s="11"/>
      <c r="F31" s="11"/>
      <c r="G31" s="11"/>
      <c r="H31" s="11"/>
      <c r="I31" s="11"/>
      <c r="J31" s="1177">
        <f>B29</f>
        <v>2410.2764000000002</v>
      </c>
      <c r="K31" s="1178"/>
      <c r="N31" s="16" t="s">
        <v>44405</v>
      </c>
      <c r="O31" s="788">
        <v>0.8</v>
      </c>
      <c r="P31" s="787">
        <v>2.1</v>
      </c>
      <c r="Q31" s="787">
        <v>2</v>
      </c>
      <c r="R31" s="787">
        <f>(O31*P31)*Q31</f>
        <v>3.3600000000000003</v>
      </c>
    </row>
    <row r="32" spans="1:19" ht="22">
      <c r="A32" s="4" t="s">
        <v>28028</v>
      </c>
      <c r="B32" s="1173" t="s">
        <v>28029</v>
      </c>
      <c r="C32" s="1173"/>
      <c r="D32" s="1173"/>
      <c r="E32" s="1173"/>
      <c r="F32" s="1173"/>
      <c r="G32" s="1173"/>
      <c r="H32" s="1173"/>
      <c r="I32" s="1173"/>
      <c r="J32" s="1173"/>
      <c r="K32" s="5" t="s">
        <v>28030</v>
      </c>
    </row>
    <row r="33" spans="1:12" ht="22" customHeight="1" thickBot="1">
      <c r="A33" s="682" t="s">
        <v>13890</v>
      </c>
      <c r="B33" s="1174" t="str">
        <f>VLOOKUP($A33, 'Plan Orçamentária'!$Q$2:$S$128267,2,FALSE)</f>
        <v>TINTA LÁTEX EM MASSA, INCLUSIVE PREPARO</v>
      </c>
      <c r="C33" s="1174"/>
      <c r="D33" s="1174"/>
      <c r="E33" s="1174"/>
      <c r="F33" s="1174"/>
      <c r="G33" s="1174"/>
      <c r="H33" s="1174"/>
      <c r="I33" s="1174"/>
      <c r="J33" s="1174"/>
      <c r="K33" s="12" t="str">
        <f>VLOOKUP($A33,'Plan Orçamentária'!$Q$2:$S$138267,3,FALSE)</f>
        <v>M2</v>
      </c>
      <c r="L33" s="15">
        <f>J51</f>
        <v>2410.2764000000002</v>
      </c>
    </row>
    <row r="34" spans="1:12">
      <c r="A34" s="86" t="s">
        <v>44433</v>
      </c>
      <c r="B34" s="14"/>
      <c r="C34" s="14"/>
      <c r="D34" s="14"/>
      <c r="E34" s="14"/>
      <c r="F34" s="14"/>
      <c r="G34" s="14"/>
      <c r="H34" s="14"/>
      <c r="I34" s="14"/>
      <c r="J34" s="14"/>
      <c r="K34" s="87"/>
    </row>
    <row r="35" spans="1:12" ht="16.5" customHeight="1">
      <c r="A35" s="16"/>
      <c r="B35" s="786"/>
      <c r="C35" s="787"/>
      <c r="D35" s="787"/>
      <c r="E35" s="787"/>
      <c r="F35" s="14"/>
      <c r="G35" s="14"/>
      <c r="H35" s="14"/>
      <c r="I35" s="786"/>
      <c r="J35" s="787"/>
      <c r="K35" s="787"/>
    </row>
    <row r="36" spans="1:12" ht="16.5" customHeight="1">
      <c r="A36" s="16" t="s">
        <v>44530</v>
      </c>
      <c r="B36" s="788"/>
      <c r="C36" s="787">
        <f>SUM(B29)</f>
        <v>2410.2764000000002</v>
      </c>
      <c r="D36" s="787" t="str">
        <f>K33</f>
        <v>M2</v>
      </c>
      <c r="E36" s="787"/>
      <c r="F36" s="787"/>
      <c r="G36" s="14"/>
      <c r="H36" s="14"/>
      <c r="I36" s="787"/>
      <c r="J36" s="787"/>
      <c r="K36" s="799"/>
    </row>
    <row r="37" spans="1:12" ht="16.5" customHeight="1">
      <c r="A37" s="16"/>
      <c r="B37" s="787"/>
      <c r="C37" s="787"/>
      <c r="D37" s="787"/>
      <c r="E37" s="787"/>
      <c r="F37" s="787"/>
      <c r="G37" s="14"/>
      <c r="H37" s="14"/>
      <c r="I37" s="787"/>
      <c r="J37" s="787"/>
      <c r="K37" s="799"/>
    </row>
    <row r="38" spans="1:12">
      <c r="A38" s="209"/>
      <c r="B38" s="789"/>
      <c r="C38" s="789"/>
      <c r="D38" s="787"/>
      <c r="E38" s="787"/>
      <c r="F38" s="787"/>
      <c r="G38" s="14"/>
      <c r="H38" s="14"/>
      <c r="I38" s="787"/>
      <c r="J38" s="787"/>
      <c r="K38" s="799"/>
    </row>
    <row r="39" spans="1:12" s="57" customFormat="1">
      <c r="A39" s="16"/>
      <c r="B39" s="787"/>
      <c r="C39" s="787"/>
      <c r="D39" s="787"/>
      <c r="E39" s="787"/>
      <c r="F39" s="787"/>
      <c r="G39" s="14"/>
      <c r="H39" s="14"/>
      <c r="I39" s="787"/>
      <c r="J39" s="787"/>
      <c r="K39" s="799"/>
    </row>
    <row r="40" spans="1:12">
      <c r="A40" s="16"/>
      <c r="B40" s="787"/>
      <c r="C40" s="787"/>
      <c r="D40" s="787"/>
      <c r="E40" s="787"/>
      <c r="F40" s="787"/>
      <c r="G40" s="14"/>
      <c r="H40" s="14"/>
      <c r="I40" s="787"/>
      <c r="J40" s="787"/>
      <c r="K40" s="799"/>
    </row>
    <row r="41" spans="1:12">
      <c r="A41" s="16"/>
      <c r="B41" s="787"/>
      <c r="C41" s="787"/>
      <c r="D41" s="787"/>
      <c r="E41" s="787"/>
      <c r="F41" s="787"/>
      <c r="G41" s="14"/>
      <c r="H41" s="14"/>
      <c r="I41" s="787"/>
      <c r="J41" s="787"/>
      <c r="K41" s="799"/>
    </row>
    <row r="42" spans="1:12">
      <c r="A42" s="16"/>
      <c r="B42" s="787"/>
      <c r="C42" s="787"/>
      <c r="D42" s="787"/>
      <c r="E42" s="787"/>
      <c r="F42" s="787"/>
      <c r="G42" s="14"/>
      <c r="H42" s="88"/>
      <c r="I42" s="804"/>
      <c r="J42" s="804"/>
      <c r="K42" s="799"/>
    </row>
    <row r="43" spans="1:12">
      <c r="A43" s="16"/>
      <c r="B43" s="787"/>
      <c r="C43" s="787"/>
      <c r="D43" s="787"/>
      <c r="E43" s="787"/>
      <c r="F43" s="787"/>
      <c r="G43" s="14"/>
      <c r="H43" s="88"/>
      <c r="I43" s="804"/>
      <c r="J43" s="804"/>
      <c r="K43" s="799"/>
    </row>
    <row r="44" spans="1:12">
      <c r="A44" s="16"/>
      <c r="B44" s="787"/>
      <c r="C44" s="787"/>
      <c r="D44" s="787"/>
      <c r="E44" s="787"/>
      <c r="F44" s="787"/>
      <c r="G44" s="14"/>
      <c r="H44" s="88"/>
      <c r="I44" s="804"/>
      <c r="J44" s="804"/>
      <c r="K44" s="799"/>
    </row>
    <row r="45" spans="1:12">
      <c r="A45" s="16"/>
      <c r="B45" s="787"/>
      <c r="C45" s="787"/>
      <c r="D45" s="791"/>
      <c r="E45" s="787"/>
      <c r="F45" s="787"/>
      <c r="G45" s="14"/>
      <c r="H45" s="88"/>
      <c r="I45" s="804"/>
      <c r="J45" s="804"/>
      <c r="K45" s="799"/>
    </row>
    <row r="46" spans="1:12">
      <c r="A46" s="16"/>
      <c r="B46" s="791"/>
      <c r="C46" s="791"/>
      <c r="D46" s="791"/>
      <c r="E46" s="791"/>
      <c r="F46" s="791"/>
      <c r="G46" s="88"/>
      <c r="H46" s="88"/>
      <c r="I46" s="804"/>
      <c r="J46" s="804"/>
      <c r="K46" s="799"/>
    </row>
    <row r="47" spans="1:12">
      <c r="A47" s="16"/>
      <c r="B47" s="791"/>
      <c r="C47" s="791"/>
      <c r="D47" s="791"/>
      <c r="E47" s="14"/>
      <c r="F47" s="14"/>
      <c r="G47" s="14"/>
      <c r="H47" s="88"/>
      <c r="I47" s="804"/>
      <c r="J47" s="804"/>
      <c r="K47" s="799"/>
    </row>
    <row r="48" spans="1:12">
      <c r="A48" s="91"/>
      <c r="B48" s="88"/>
      <c r="C48" s="88"/>
      <c r="D48" s="88"/>
      <c r="E48" s="88"/>
      <c r="F48" s="88"/>
      <c r="G48" s="88"/>
      <c r="H48" s="88"/>
      <c r="I48" s="89"/>
      <c r="J48" s="89"/>
      <c r="K48" s="90"/>
    </row>
    <row r="49" spans="1:12">
      <c r="A49" s="91"/>
      <c r="B49" s="88"/>
      <c r="C49" s="88"/>
      <c r="D49" s="88"/>
      <c r="E49" s="89"/>
      <c r="F49" s="89"/>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C36</f>
        <v>2410.2764000000002</v>
      </c>
      <c r="K51" s="1178"/>
    </row>
    <row r="52" spans="1:12" ht="22">
      <c r="A52" s="4" t="s">
        <v>28028</v>
      </c>
      <c r="B52" s="1173" t="s">
        <v>28029</v>
      </c>
      <c r="C52" s="1173"/>
      <c r="D52" s="1173"/>
      <c r="E52" s="1173"/>
      <c r="F52" s="1173"/>
      <c r="G52" s="1173"/>
      <c r="H52" s="1173"/>
      <c r="I52" s="1173"/>
      <c r="J52" s="1173"/>
      <c r="K52" s="5" t="s">
        <v>28030</v>
      </c>
    </row>
    <row r="53" spans="1:12" ht="22" customHeight="1" thickBot="1">
      <c r="A53" s="682" t="s">
        <v>13856</v>
      </c>
      <c r="B53" s="1174" t="str">
        <f>VLOOKUP($A53, 'Plan Orçamentária'!$Q$2:$S$128267,2,FALSE)</f>
        <v>VERNIZ DE PROTEÇÃO ANTIPICHAÇÃO</v>
      </c>
      <c r="C53" s="1174"/>
      <c r="D53" s="1174"/>
      <c r="E53" s="1174"/>
      <c r="F53" s="1174"/>
      <c r="G53" s="1174"/>
      <c r="H53" s="1174"/>
      <c r="I53" s="1174"/>
      <c r="J53" s="1174"/>
      <c r="K53" s="12" t="str">
        <f>VLOOKUP($A53,'Plan Orçamentária'!$Q$2:$S$138267,3,FALSE)</f>
        <v>M2</v>
      </c>
      <c r="L53" s="15">
        <f>J71</f>
        <v>86.652000000000015</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c r="B56" s="786" t="s">
        <v>41786</v>
      </c>
      <c r="C56" s="787" t="s">
        <v>41787</v>
      </c>
      <c r="D56" s="787" t="s">
        <v>44397</v>
      </c>
      <c r="E56" s="787" t="s">
        <v>44398</v>
      </c>
      <c r="F56" s="14"/>
      <c r="G56" s="786"/>
      <c r="H56" s="786" t="s">
        <v>41786</v>
      </c>
      <c r="I56" s="787" t="s">
        <v>41787</v>
      </c>
      <c r="J56" s="787" t="s">
        <v>44397</v>
      </c>
      <c r="K56" s="787" t="s">
        <v>44398</v>
      </c>
    </row>
    <row r="57" spans="1:12" ht="16.5" customHeight="1">
      <c r="A57" s="1191" t="s">
        <v>44427</v>
      </c>
      <c r="B57" s="798">
        <v>1.2</v>
      </c>
      <c r="C57" s="792">
        <v>2.9</v>
      </c>
      <c r="D57" s="792">
        <v>2</v>
      </c>
      <c r="E57" s="793">
        <f>B57*C57*D57</f>
        <v>6.96</v>
      </c>
      <c r="F57" s="14"/>
      <c r="G57" s="1191" t="s">
        <v>44429</v>
      </c>
      <c r="H57" s="792">
        <v>1.2</v>
      </c>
      <c r="I57" s="792">
        <v>2.9</v>
      </c>
      <c r="J57" s="792">
        <v>1</v>
      </c>
      <c r="K57" s="793">
        <f>H57*I57*J57</f>
        <v>3.48</v>
      </c>
    </row>
    <row r="58" spans="1:12">
      <c r="A58" s="1192"/>
      <c r="B58" s="787">
        <v>2.2400000000000002</v>
      </c>
      <c r="C58" s="787">
        <v>2.9</v>
      </c>
      <c r="D58" s="787">
        <v>1</v>
      </c>
      <c r="E58" s="794">
        <f t="shared" ref="E58:E66" si="8">B58*C58*D58</f>
        <v>6.4960000000000004</v>
      </c>
      <c r="F58" s="14"/>
      <c r="G58" s="1192"/>
      <c r="H58" s="787">
        <v>1.32</v>
      </c>
      <c r="I58" s="787">
        <v>2.9</v>
      </c>
      <c r="J58" s="787">
        <v>2</v>
      </c>
      <c r="K58" s="794">
        <f>H58*I58*J58</f>
        <v>7.6559999999999997</v>
      </c>
    </row>
    <row r="59" spans="1:12" s="57" customFormat="1">
      <c r="A59" s="1192"/>
      <c r="B59" s="789">
        <v>1.05</v>
      </c>
      <c r="C59" s="789">
        <v>2.9</v>
      </c>
      <c r="D59" s="787">
        <v>2</v>
      </c>
      <c r="E59" s="794">
        <f t="shared" si="8"/>
        <v>6.09</v>
      </c>
      <c r="F59" s="14"/>
      <c r="G59" s="1193"/>
      <c r="H59" s="795">
        <v>1.64</v>
      </c>
      <c r="I59" s="795">
        <v>2.9</v>
      </c>
      <c r="J59" s="795">
        <v>2</v>
      </c>
      <c r="K59" s="797">
        <f>H59*I59*J59</f>
        <v>9.5119999999999987</v>
      </c>
    </row>
    <row r="60" spans="1:12">
      <c r="A60" s="1192"/>
      <c r="B60" s="787">
        <v>2.0699999999999998</v>
      </c>
      <c r="C60" s="787">
        <v>2.9</v>
      </c>
      <c r="D60" s="787">
        <v>2</v>
      </c>
      <c r="E60" s="794">
        <f t="shared" si="8"/>
        <v>12.005999999999998</v>
      </c>
      <c r="F60" s="14"/>
      <c r="G60" s="14"/>
      <c r="H60" s="787"/>
      <c r="I60" s="787"/>
      <c r="J60" s="787"/>
      <c r="K60" s="799"/>
    </row>
    <row r="61" spans="1:12">
      <c r="A61" s="1193"/>
      <c r="B61" s="795">
        <v>0.5</v>
      </c>
      <c r="C61" s="795">
        <v>2.9</v>
      </c>
      <c r="D61" s="795">
        <v>1</v>
      </c>
      <c r="E61" s="797">
        <f t="shared" si="8"/>
        <v>1.45</v>
      </c>
      <c r="F61" s="14"/>
      <c r="G61" s="14"/>
      <c r="H61" s="787"/>
      <c r="I61" s="787"/>
      <c r="J61" s="787"/>
      <c r="K61" s="799"/>
    </row>
    <row r="62" spans="1:12">
      <c r="A62" s="1191" t="s">
        <v>44428</v>
      </c>
      <c r="B62" s="792">
        <v>1.2</v>
      </c>
      <c r="C62" s="792">
        <v>2.9</v>
      </c>
      <c r="D62" s="792">
        <v>2</v>
      </c>
      <c r="E62" s="793">
        <f t="shared" si="8"/>
        <v>6.96</v>
      </c>
      <c r="F62" s="14"/>
      <c r="G62" s="14"/>
      <c r="H62" s="787"/>
      <c r="I62" s="787"/>
      <c r="J62" s="787"/>
      <c r="K62" s="799"/>
    </row>
    <row r="63" spans="1:12">
      <c r="A63" s="1192"/>
      <c r="B63" s="787">
        <v>2.2400000000000002</v>
      </c>
      <c r="C63" s="787">
        <v>2.9</v>
      </c>
      <c r="D63" s="787">
        <v>1</v>
      </c>
      <c r="E63" s="794">
        <f t="shared" si="8"/>
        <v>6.4960000000000004</v>
      </c>
      <c r="F63" s="14"/>
      <c r="G63" s="14"/>
      <c r="H63" s="14"/>
      <c r="I63" s="14"/>
      <c r="J63" s="14"/>
      <c r="K63" s="87"/>
    </row>
    <row r="64" spans="1:12">
      <c r="A64" s="1192"/>
      <c r="B64" s="787">
        <v>1.05</v>
      </c>
      <c r="C64" s="787">
        <v>2.9</v>
      </c>
      <c r="D64" s="791">
        <v>2</v>
      </c>
      <c r="E64" s="794">
        <f t="shared" si="8"/>
        <v>6.09</v>
      </c>
      <c r="F64" s="14"/>
      <c r="G64" s="14"/>
      <c r="H64" s="88"/>
      <c r="I64" s="89"/>
      <c r="J64" s="89"/>
      <c r="K64" s="90"/>
    </row>
    <row r="65" spans="1:17">
      <c r="A65" s="1192"/>
      <c r="B65" s="787">
        <v>2.0699999999999998</v>
      </c>
      <c r="C65" s="787">
        <v>2.9</v>
      </c>
      <c r="D65" s="791">
        <v>2</v>
      </c>
      <c r="E65" s="794">
        <f t="shared" si="8"/>
        <v>12.005999999999998</v>
      </c>
      <c r="F65" s="14"/>
      <c r="G65" s="14"/>
      <c r="H65" s="88"/>
      <c r="I65" s="89"/>
      <c r="J65" s="89"/>
      <c r="K65" s="90"/>
    </row>
    <row r="66" spans="1:17">
      <c r="A66" s="1193"/>
      <c r="B66" s="795">
        <v>0.5</v>
      </c>
      <c r="C66" s="795">
        <v>2.9</v>
      </c>
      <c r="D66" s="796">
        <v>1</v>
      </c>
      <c r="E66" s="797">
        <f t="shared" si="8"/>
        <v>1.45</v>
      </c>
      <c r="F66" s="14"/>
      <c r="G66" s="14"/>
      <c r="H66" s="88"/>
      <c r="I66" s="89"/>
      <c r="J66" s="89"/>
      <c r="K66" s="90"/>
    </row>
    <row r="67" spans="1:17">
      <c r="A67" s="91"/>
      <c r="B67" s="88"/>
      <c r="C67" s="88"/>
      <c r="D67" s="88"/>
      <c r="E67" s="88"/>
      <c r="F67" s="88"/>
      <c r="G67" s="88"/>
      <c r="H67" s="88"/>
      <c r="I67" s="89"/>
      <c r="J67" s="89"/>
      <c r="K67" s="90"/>
    </row>
    <row r="68" spans="1:17">
      <c r="A68" s="91" t="s">
        <v>28031</v>
      </c>
      <c r="B68" s="88">
        <f>SUM(E57:E66,K57:K59)</f>
        <v>86.652000000000015</v>
      </c>
      <c r="C68" s="88" t="str">
        <f>K53</f>
        <v>M2</v>
      </c>
      <c r="D68" s="88"/>
      <c r="E68" s="14"/>
      <c r="F68" s="14"/>
      <c r="G68" s="14"/>
      <c r="H68" s="88"/>
      <c r="I68" s="89"/>
      <c r="J68" s="89"/>
      <c r="K68" s="90"/>
    </row>
    <row r="69" spans="1:17">
      <c r="A69" s="91"/>
      <c r="B69" s="88"/>
      <c r="C69" s="88"/>
      <c r="D69" s="88"/>
      <c r="E69" s="88"/>
      <c r="F69" s="88"/>
      <c r="G69" s="88"/>
      <c r="H69" s="88"/>
      <c r="I69" s="89"/>
      <c r="J69" s="89"/>
      <c r="K69" s="90"/>
    </row>
    <row r="70" spans="1:17" ht="16">
      <c r="A70" s="10" t="s">
        <v>28032</v>
      </c>
      <c r="B70" s="207"/>
      <c r="C70" s="207"/>
      <c r="D70" s="207"/>
      <c r="E70" s="207"/>
      <c r="F70" s="207"/>
      <c r="G70" s="207"/>
      <c r="H70" s="207"/>
      <c r="I70" s="207"/>
      <c r="J70" s="1175" t="s">
        <v>28033</v>
      </c>
      <c r="K70" s="1176"/>
    </row>
    <row r="71" spans="1:17" ht="17" thickBot="1">
      <c r="A71" s="6"/>
      <c r="B71" s="11"/>
      <c r="C71" s="11"/>
      <c r="D71" s="11"/>
      <c r="E71" s="11"/>
      <c r="F71" s="11"/>
      <c r="G71" s="11"/>
      <c r="H71" s="11"/>
      <c r="I71" s="11"/>
      <c r="J71" s="1177">
        <f>B68</f>
        <v>86.652000000000015</v>
      </c>
      <c r="K71" s="1178"/>
    </row>
    <row r="72" spans="1:17" ht="22">
      <c r="A72" s="4" t="s">
        <v>28028</v>
      </c>
      <c r="B72" s="1173" t="s">
        <v>28029</v>
      </c>
      <c r="C72" s="1173"/>
      <c r="D72" s="1173"/>
      <c r="E72" s="1173"/>
      <c r="F72" s="1173"/>
      <c r="G72" s="1173"/>
      <c r="H72" s="1173"/>
      <c r="I72" s="1173"/>
      <c r="J72" s="1173"/>
      <c r="K72" s="5" t="s">
        <v>28030</v>
      </c>
    </row>
    <row r="73" spans="1:17" ht="22" customHeight="1" thickBot="1">
      <c r="A73" s="682" t="s">
        <v>13852</v>
      </c>
      <c r="B73" s="1174" t="str">
        <f>VLOOKUP($A73, 'Plan Orçamentária'!$Q$2:$S$128267,2,FALSE)</f>
        <v>HIDROREPELENTE INCOLOR PARA FACHADA À BASE DE SILANO-SILOXANO OLIGOMÉRICO DISPERSO EM ÁGUA</v>
      </c>
      <c r="C73" s="1174"/>
      <c r="D73" s="1174"/>
      <c r="E73" s="1174"/>
      <c r="F73" s="1174"/>
      <c r="G73" s="1174"/>
      <c r="H73" s="1174"/>
      <c r="I73" s="1174"/>
      <c r="J73" s="1174"/>
      <c r="K73" s="12" t="str">
        <f>VLOOKUP($A73,'Plan Orçamentária'!$Q$2:$S$138267,3,FALSE)</f>
        <v>M2</v>
      </c>
      <c r="L73" s="15">
        <f>J91</f>
        <v>81.360399999999998</v>
      </c>
    </row>
    <row r="74" spans="1:17">
      <c r="A74" s="86" t="s">
        <v>44396</v>
      </c>
      <c r="B74" s="14"/>
      <c r="C74" s="14"/>
      <c r="D74" s="14"/>
      <c r="E74" s="14"/>
      <c r="F74" s="14"/>
      <c r="G74" s="14"/>
      <c r="H74" s="14"/>
      <c r="I74" s="14"/>
      <c r="J74" s="14"/>
      <c r="K74" s="87"/>
    </row>
    <row r="75" spans="1:17" ht="16.5" customHeight="1">
      <c r="A75" s="16"/>
      <c r="B75" s="14"/>
      <c r="C75" s="14"/>
      <c r="D75" s="14"/>
      <c r="E75" s="14"/>
      <c r="F75" s="14"/>
      <c r="G75" s="14"/>
      <c r="H75" s="14"/>
      <c r="I75" s="14"/>
      <c r="J75" s="14"/>
      <c r="K75" s="87"/>
    </row>
    <row r="76" spans="1:17" ht="16.5" customHeight="1">
      <c r="A76" s="16"/>
      <c r="B76" s="786" t="s">
        <v>41786</v>
      </c>
      <c r="C76" s="787" t="s">
        <v>41787</v>
      </c>
      <c r="D76" s="787" t="s">
        <v>44398</v>
      </c>
      <c r="E76" s="787"/>
      <c r="F76" s="14"/>
      <c r="G76" s="14"/>
      <c r="H76" s="14"/>
      <c r="I76" s="14"/>
      <c r="J76" s="14"/>
      <c r="K76" s="87"/>
      <c r="N76" s="786" t="s">
        <v>41786</v>
      </c>
      <c r="O76" s="787" t="s">
        <v>41787</v>
      </c>
      <c r="P76" s="787" t="s">
        <v>44397</v>
      </c>
      <c r="Q76" s="787" t="s">
        <v>44398</v>
      </c>
    </row>
    <row r="77" spans="1:17" ht="16.5" customHeight="1">
      <c r="A77" s="16" t="s">
        <v>44434</v>
      </c>
      <c r="B77" s="788">
        <v>17.02</v>
      </c>
      <c r="C77" s="787">
        <v>7.32</v>
      </c>
      <c r="D77" s="787">
        <f>B77*C77</f>
        <v>124.5864</v>
      </c>
      <c r="E77" s="787"/>
      <c r="F77" s="14"/>
      <c r="G77" s="14"/>
      <c r="H77" s="14"/>
      <c r="I77" s="14"/>
      <c r="J77" s="14"/>
      <c r="K77" s="87"/>
      <c r="M77" s="16" t="s">
        <v>44403</v>
      </c>
      <c r="N77" s="787">
        <v>13.33</v>
      </c>
      <c r="O77" s="787">
        <v>1.6</v>
      </c>
      <c r="P77" s="787">
        <v>1</v>
      </c>
      <c r="Q77" s="787">
        <f>(N77*O77)*P77</f>
        <v>21.328000000000003</v>
      </c>
    </row>
    <row r="78" spans="1:17">
      <c r="A78" s="16" t="s">
        <v>22687</v>
      </c>
      <c r="B78" s="14"/>
      <c r="C78" s="787" t="s">
        <v>27938</v>
      </c>
      <c r="D78" s="787">
        <f>Q81</f>
        <v>43.226000000000006</v>
      </c>
      <c r="E78" s="14"/>
      <c r="F78" s="14"/>
      <c r="G78" s="14"/>
      <c r="H78" s="14"/>
      <c r="I78" s="14"/>
      <c r="J78" s="14"/>
      <c r="K78" s="87"/>
      <c r="M78" s="1185" t="s">
        <v>44404</v>
      </c>
      <c r="N78" s="787">
        <v>2.33</v>
      </c>
      <c r="O78" s="787">
        <v>2.6</v>
      </c>
      <c r="P78" s="787">
        <v>1</v>
      </c>
      <c r="Q78" s="787">
        <f t="shared" ref="Q78:Q80" si="9">(N78*O78)*P78</f>
        <v>6.0580000000000007</v>
      </c>
    </row>
    <row r="79" spans="1:17" s="57" customFormat="1">
      <c r="A79" s="209"/>
      <c r="B79" s="208"/>
      <c r="C79" s="208"/>
      <c r="D79" s="14"/>
      <c r="E79" s="14"/>
      <c r="F79" s="14"/>
      <c r="G79" s="14"/>
      <c r="H79" s="14"/>
      <c r="I79" s="14"/>
      <c r="J79" s="14"/>
      <c r="K79" s="87"/>
      <c r="M79" s="1185"/>
      <c r="N79" s="787">
        <v>4.5</v>
      </c>
      <c r="O79" s="787">
        <v>2.6</v>
      </c>
      <c r="P79" s="791">
        <v>1</v>
      </c>
      <c r="Q79" s="787">
        <f t="shared" si="9"/>
        <v>11.700000000000001</v>
      </c>
    </row>
    <row r="80" spans="1:17">
      <c r="A80" s="16"/>
      <c r="B80" s="14"/>
      <c r="C80" s="14"/>
      <c r="D80" s="95"/>
      <c r="E80" s="14"/>
      <c r="F80" s="14"/>
      <c r="G80" s="14"/>
      <c r="H80" s="14"/>
      <c r="I80" s="14"/>
      <c r="J80" s="14"/>
      <c r="K80" s="87"/>
      <c r="M80" s="16" t="s">
        <v>44415</v>
      </c>
      <c r="N80" s="787">
        <v>1.8</v>
      </c>
      <c r="O80" s="787">
        <v>2.2999999999999998</v>
      </c>
      <c r="P80" s="787">
        <v>1</v>
      </c>
      <c r="Q80" s="787">
        <f t="shared" si="9"/>
        <v>4.1399999999999997</v>
      </c>
    </row>
    <row r="81" spans="1:17">
      <c r="A81" s="16"/>
      <c r="B81" s="14"/>
      <c r="C81" s="14"/>
      <c r="D81" s="14"/>
      <c r="E81" s="14"/>
      <c r="F81" s="14"/>
      <c r="G81" s="14"/>
      <c r="H81" s="14"/>
      <c r="I81" s="14"/>
      <c r="J81" s="14"/>
      <c r="K81" s="87"/>
      <c r="O81" s="1" t="s">
        <v>27889</v>
      </c>
      <c r="P81" s="1"/>
      <c r="Q81" s="800">
        <f>SUM(Q77:Q80)</f>
        <v>43.226000000000006</v>
      </c>
    </row>
    <row r="82" spans="1:17">
      <c r="A82" s="16"/>
      <c r="B82" s="14"/>
      <c r="C82" s="14"/>
      <c r="D82" s="14"/>
      <c r="E82" s="14"/>
      <c r="F82" s="14"/>
      <c r="G82" s="14"/>
      <c r="H82" s="14"/>
      <c r="I82" s="14"/>
      <c r="J82" s="14"/>
      <c r="K82" s="87"/>
      <c r="O82" s="1"/>
      <c r="P82" s="1"/>
      <c r="Q82" s="1"/>
    </row>
    <row r="83" spans="1:17">
      <c r="A83" s="16"/>
      <c r="B83" s="14"/>
      <c r="C83" s="14"/>
      <c r="D83" s="88"/>
      <c r="E83" s="14"/>
      <c r="F83" s="14"/>
      <c r="G83" s="14"/>
      <c r="H83" s="88"/>
      <c r="I83" s="89"/>
      <c r="J83" s="89"/>
      <c r="K83" s="90"/>
    </row>
    <row r="84" spans="1:17">
      <c r="A84" s="16"/>
      <c r="B84" s="14"/>
      <c r="C84" s="14"/>
      <c r="D84" s="88"/>
      <c r="E84" s="14"/>
      <c r="F84" s="14"/>
      <c r="G84" s="14"/>
      <c r="H84" s="88"/>
      <c r="I84" s="89"/>
      <c r="J84" s="89"/>
      <c r="K84" s="90"/>
    </row>
    <row r="85" spans="1:17">
      <c r="A85" s="16"/>
      <c r="B85" s="14"/>
      <c r="C85" s="14"/>
      <c r="D85" s="88"/>
      <c r="E85" s="14"/>
      <c r="F85" s="14"/>
      <c r="G85" s="14"/>
      <c r="H85" s="88"/>
      <c r="I85" s="89"/>
      <c r="J85" s="89"/>
      <c r="K85" s="90"/>
    </row>
    <row r="86" spans="1:17">
      <c r="A86" s="16"/>
      <c r="B86" s="14"/>
      <c r="C86" s="14"/>
      <c r="D86" s="88"/>
      <c r="E86" s="14"/>
      <c r="F86" s="14"/>
      <c r="G86" s="14"/>
      <c r="H86" s="88"/>
      <c r="I86" s="89"/>
      <c r="J86" s="89"/>
      <c r="K86" s="90"/>
    </row>
    <row r="87" spans="1:17">
      <c r="A87" s="91"/>
      <c r="B87" s="88"/>
      <c r="C87" s="88"/>
      <c r="D87" s="88"/>
      <c r="E87" s="88"/>
      <c r="F87" s="88"/>
      <c r="G87" s="88"/>
      <c r="H87" s="88"/>
      <c r="I87" s="89"/>
      <c r="J87" s="89"/>
      <c r="K87" s="90"/>
    </row>
    <row r="88" spans="1:17">
      <c r="A88" s="91" t="s">
        <v>28031</v>
      </c>
      <c r="B88" s="88">
        <f>D77-D78</f>
        <v>81.360399999999998</v>
      </c>
      <c r="C88" s="88" t="str">
        <f>K73</f>
        <v>M2</v>
      </c>
      <c r="D88" s="88"/>
      <c r="E88" s="14"/>
      <c r="F88" s="14"/>
      <c r="G88" s="14"/>
      <c r="H88" s="88"/>
      <c r="I88" s="89"/>
      <c r="J88" s="89"/>
      <c r="K88" s="90"/>
    </row>
    <row r="89" spans="1:17">
      <c r="A89" s="91"/>
      <c r="B89" s="88"/>
      <c r="C89" s="88"/>
      <c r="D89" s="88"/>
      <c r="E89" s="88"/>
      <c r="F89" s="88"/>
      <c r="G89" s="88"/>
      <c r="H89" s="88"/>
      <c r="I89" s="89"/>
      <c r="J89" s="89"/>
      <c r="K89" s="90"/>
    </row>
    <row r="90" spans="1:17" ht="16">
      <c r="A90" s="10" t="s">
        <v>28032</v>
      </c>
      <c r="B90" s="207"/>
      <c r="C90" s="207"/>
      <c r="D90" s="207"/>
      <c r="E90" s="207"/>
      <c r="F90" s="207"/>
      <c r="G90" s="207"/>
      <c r="H90" s="207"/>
      <c r="I90" s="207"/>
      <c r="J90" s="1175" t="s">
        <v>28033</v>
      </c>
      <c r="K90" s="1176"/>
    </row>
    <row r="91" spans="1:17" ht="17" thickBot="1">
      <c r="A91" s="6"/>
      <c r="B91" s="11"/>
      <c r="C91" s="11"/>
      <c r="D91" s="11"/>
      <c r="E91" s="11"/>
      <c r="F91" s="11"/>
      <c r="G91" s="11"/>
      <c r="H91" s="11"/>
      <c r="I91" s="11"/>
      <c r="J91" s="1177">
        <f>B88</f>
        <v>81.360399999999998</v>
      </c>
      <c r="K91" s="1178"/>
    </row>
  </sheetData>
  <mergeCells count="24">
    <mergeCell ref="G57:G59"/>
    <mergeCell ref="J91:K91"/>
    <mergeCell ref="B53:J53"/>
    <mergeCell ref="J70:K70"/>
    <mergeCell ref="J71:K71"/>
    <mergeCell ref="B72:J72"/>
    <mergeCell ref="B73:J73"/>
    <mergeCell ref="J90:K90"/>
    <mergeCell ref="N20:N21"/>
    <mergeCell ref="M78:M79"/>
    <mergeCell ref="B52:J52"/>
    <mergeCell ref="A1:K1"/>
    <mergeCell ref="A2:K10"/>
    <mergeCell ref="B11:K11"/>
    <mergeCell ref="B12:J12"/>
    <mergeCell ref="B13:J13"/>
    <mergeCell ref="J30:K30"/>
    <mergeCell ref="J31:K31"/>
    <mergeCell ref="B32:J32"/>
    <mergeCell ref="B33:J33"/>
    <mergeCell ref="J50:K50"/>
    <mergeCell ref="J51:K51"/>
    <mergeCell ref="A62:A66"/>
    <mergeCell ref="A57:A61"/>
  </mergeCells>
  <phoneticPr fontId="36" type="noConversion"/>
  <conditionalFormatting sqref="A13">
    <cfRule type="expression" dxfId="65" priority="11">
      <formula>$M13="NÍVEL 1"</formula>
    </cfRule>
    <cfRule type="expression" dxfId="64" priority="12">
      <formula>$M13="NÍVEL 2"</formula>
    </cfRule>
  </conditionalFormatting>
  <conditionalFormatting sqref="A13">
    <cfRule type="expression" dxfId="63" priority="10" stopIfTrue="1">
      <formula>$M13="NÍVEL 3"</formula>
    </cfRule>
  </conditionalFormatting>
  <conditionalFormatting sqref="A33">
    <cfRule type="expression" dxfId="62" priority="8">
      <formula>$M33="NÍVEL 1"</formula>
    </cfRule>
    <cfRule type="expression" dxfId="61" priority="9">
      <formula>$M33="NÍVEL 2"</formula>
    </cfRule>
  </conditionalFormatting>
  <conditionalFormatting sqref="A33">
    <cfRule type="expression" dxfId="60" priority="7" stopIfTrue="1">
      <formula>$M33="NÍVEL 3"</formula>
    </cfRule>
  </conditionalFormatting>
  <conditionalFormatting sqref="A53">
    <cfRule type="expression" dxfId="59" priority="5">
      <formula>$M53="NÍVEL 1"</formula>
    </cfRule>
    <cfRule type="expression" dxfId="58" priority="6">
      <formula>$M53="NÍVEL 2"</formula>
    </cfRule>
  </conditionalFormatting>
  <conditionalFormatting sqref="A53">
    <cfRule type="expression" dxfId="57" priority="4" stopIfTrue="1">
      <formula>$M53="NÍVEL 3"</formula>
    </cfRule>
  </conditionalFormatting>
  <conditionalFormatting sqref="A73">
    <cfRule type="expression" dxfId="56" priority="2">
      <formula>$M73="NÍVEL 1"</formula>
    </cfRule>
    <cfRule type="expression" dxfId="55" priority="3">
      <formula>$M73="NÍVEL 2"</formula>
    </cfRule>
  </conditionalFormatting>
  <conditionalFormatting sqref="A73">
    <cfRule type="expression" dxfId="54" priority="1" stopIfTrue="1">
      <formula>$M73="NÍVEL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D55F1-07A1-47E5-A03A-8DBC76D2C054}">
  <sheetPr codeName="Planilha33">
    <pageSetUpPr fitToPage="1"/>
  </sheetPr>
  <dimension ref="A1:T51"/>
  <sheetViews>
    <sheetView view="pageBreakPreview" topLeftCell="A13"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44431</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682" t="s">
        <v>13840</v>
      </c>
      <c r="B13" s="1174" t="str">
        <f>VLOOKUP($A13, 'Plan Orçamentária'!$Q$2:$S$128267,2,FALSE)</f>
        <v>MASSA CORRIDA À BASE DE RESINA ACRÍLICA</v>
      </c>
      <c r="C13" s="1174"/>
      <c r="D13" s="1174"/>
      <c r="E13" s="1174"/>
      <c r="F13" s="1174"/>
      <c r="G13" s="1174"/>
      <c r="H13" s="1174"/>
      <c r="I13" s="1174"/>
      <c r="J13" s="1174"/>
      <c r="K13" s="12" t="str">
        <f>VLOOKUP($A13,'Plan Orçamentária'!$Q$2:$S$138267,3,FALSE)</f>
        <v>M2</v>
      </c>
      <c r="L13" s="15">
        <f>J31</f>
        <v>775.86000000000013</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44531</v>
      </c>
      <c r="B16" s="233">
        <f>'REVESTIMENTOS DE TETO'!$L$13</f>
        <v>232.7</v>
      </c>
      <c r="C16" s="14" t="str">
        <f>K13</f>
        <v>M2</v>
      </c>
      <c r="D16" s="14"/>
      <c r="E16" s="14"/>
      <c r="F16" s="14"/>
      <c r="G16" s="14"/>
      <c r="H16" s="14"/>
      <c r="I16" s="14"/>
      <c r="J16" s="14"/>
      <c r="K16" s="87"/>
    </row>
    <row r="17" spans="1:20" ht="16.5" customHeight="1">
      <c r="A17" s="16" t="s">
        <v>44532</v>
      </c>
      <c r="B17" s="234">
        <f>'REVESTIMENTOS DE TETO'!$B$79+'REVESTIMENTOS DE TETO'!$B$76</f>
        <v>543.16000000000008</v>
      </c>
      <c r="C17" s="14" t="str">
        <f>C16</f>
        <v>M2</v>
      </c>
      <c r="D17" s="14"/>
      <c r="E17" s="14"/>
      <c r="F17" s="14"/>
      <c r="G17" s="14"/>
      <c r="H17" s="14"/>
      <c r="I17" s="14"/>
      <c r="J17" s="14"/>
      <c r="K17" s="87"/>
    </row>
    <row r="18" spans="1:20">
      <c r="A18" s="16"/>
      <c r="B18" s="14"/>
      <c r="C18" s="14"/>
      <c r="D18" s="14"/>
      <c r="E18" s="14"/>
      <c r="F18" s="14"/>
      <c r="G18" s="14"/>
      <c r="H18" s="14"/>
      <c r="I18" s="14"/>
      <c r="J18" s="14"/>
      <c r="K18" s="87"/>
    </row>
    <row r="19" spans="1:20" s="57" customFormat="1">
      <c r="A19" s="209"/>
      <c r="B19" s="208"/>
      <c r="C19" s="208"/>
      <c r="D19" s="14"/>
      <c r="E19" s="14"/>
      <c r="F19" s="14"/>
      <c r="G19" s="14"/>
      <c r="H19" s="14"/>
      <c r="I19" s="14"/>
      <c r="J19" s="14"/>
      <c r="K19" s="87"/>
    </row>
    <row r="20" spans="1:20">
      <c r="A20" s="16"/>
      <c r="B20" s="14"/>
      <c r="C20" s="14"/>
      <c r="D20" s="95"/>
      <c r="E20" s="14"/>
      <c r="F20" s="14"/>
      <c r="G20" s="14"/>
      <c r="H20" s="14"/>
      <c r="I20" s="14"/>
      <c r="J20" s="14"/>
      <c r="K20" s="87"/>
    </row>
    <row r="21" spans="1:20">
      <c r="A21" s="16"/>
      <c r="B21" s="14"/>
      <c r="C21" s="14"/>
      <c r="D21" s="14"/>
      <c r="E21" s="14"/>
      <c r="F21" s="14"/>
      <c r="G21" s="14"/>
      <c r="H21" s="14"/>
      <c r="I21" s="14"/>
      <c r="J21" s="14"/>
      <c r="K21" s="87"/>
    </row>
    <row r="22" spans="1:20">
      <c r="A22" s="16"/>
      <c r="B22" s="14"/>
      <c r="C22" s="14"/>
      <c r="D22" s="14"/>
      <c r="E22" s="14"/>
      <c r="F22" s="14"/>
      <c r="G22" s="14"/>
      <c r="H22" s="14"/>
      <c r="I22" s="14"/>
      <c r="J22" s="14"/>
      <c r="K22" s="87"/>
    </row>
    <row r="23" spans="1:20">
      <c r="A23" s="16"/>
      <c r="B23" s="14"/>
      <c r="C23" s="14"/>
      <c r="D23" s="88"/>
      <c r="E23" s="14"/>
      <c r="F23" s="14"/>
      <c r="G23" s="14"/>
      <c r="H23" s="88"/>
      <c r="I23" s="89"/>
      <c r="J23" s="89"/>
      <c r="K23" s="90"/>
    </row>
    <row r="24" spans="1:20">
      <c r="A24" s="16"/>
      <c r="B24" s="14"/>
      <c r="C24" s="14"/>
      <c r="D24" s="88"/>
      <c r="E24" s="14"/>
      <c r="F24" s="14"/>
      <c r="G24" s="14"/>
      <c r="H24" s="88"/>
      <c r="I24" s="89"/>
      <c r="J24" s="89"/>
      <c r="K24" s="90"/>
    </row>
    <row r="25" spans="1:20">
      <c r="A25" s="16"/>
      <c r="B25" s="14"/>
      <c r="C25" s="14"/>
      <c r="D25" s="88"/>
      <c r="E25" s="14"/>
      <c r="F25" s="14"/>
      <c r="G25" s="14"/>
      <c r="H25" s="88"/>
      <c r="I25" s="89"/>
      <c r="J25" s="89"/>
      <c r="K25" s="90"/>
    </row>
    <row r="26" spans="1:20">
      <c r="A26" s="16"/>
      <c r="B26" s="14"/>
      <c r="C26" s="14"/>
      <c r="D26" s="88"/>
      <c r="E26" s="14"/>
      <c r="F26" s="14"/>
      <c r="G26" s="14"/>
      <c r="H26" s="88"/>
      <c r="I26" s="89"/>
      <c r="J26" s="89"/>
      <c r="K26" s="90"/>
      <c r="T26" t="s">
        <v>40899</v>
      </c>
    </row>
    <row r="27" spans="1:20">
      <c r="A27" s="91"/>
      <c r="B27" s="88"/>
      <c r="C27" s="88"/>
      <c r="D27" s="88"/>
      <c r="E27" s="88"/>
      <c r="F27" s="88"/>
      <c r="G27" s="88"/>
      <c r="H27" s="88"/>
      <c r="I27" s="89"/>
      <c r="J27" s="89"/>
      <c r="K27" s="90"/>
    </row>
    <row r="28" spans="1:20">
      <c r="A28" s="91" t="s">
        <v>28031</v>
      </c>
      <c r="B28" s="88">
        <f>SUM(B16:B17)</f>
        <v>775.86000000000013</v>
      </c>
      <c r="C28" s="88" t="str">
        <f>K13</f>
        <v>M2</v>
      </c>
      <c r="D28" s="88"/>
      <c r="E28" s="14"/>
      <c r="F28" s="14"/>
      <c r="G28" s="14"/>
      <c r="H28" s="88"/>
      <c r="I28" s="89"/>
      <c r="J28" s="89"/>
      <c r="K28" s="90"/>
    </row>
    <row r="29" spans="1:20">
      <c r="A29" s="91"/>
      <c r="B29" s="88"/>
      <c r="C29" s="88"/>
      <c r="D29" s="88"/>
      <c r="E29" s="88"/>
      <c r="F29" s="88"/>
      <c r="G29" s="88"/>
      <c r="H29" s="88"/>
      <c r="I29" s="89"/>
      <c r="J29" s="89"/>
      <c r="K29" s="90"/>
    </row>
    <row r="30" spans="1:20" ht="16">
      <c r="A30" s="10" t="s">
        <v>28032</v>
      </c>
      <c r="B30" s="207"/>
      <c r="C30" s="207"/>
      <c r="D30" s="207"/>
      <c r="E30" s="207"/>
      <c r="F30" s="207"/>
      <c r="G30" s="207"/>
      <c r="H30" s="207"/>
      <c r="I30" s="207"/>
      <c r="J30" s="1175" t="s">
        <v>28033</v>
      </c>
      <c r="K30" s="1176"/>
    </row>
    <row r="31" spans="1:20" ht="17" thickBot="1">
      <c r="A31" s="6"/>
      <c r="B31" s="11"/>
      <c r="C31" s="11"/>
      <c r="D31" s="11"/>
      <c r="E31" s="11"/>
      <c r="F31" s="11"/>
      <c r="G31" s="11"/>
      <c r="H31" s="11"/>
      <c r="I31" s="11"/>
      <c r="J31" s="1177">
        <f>B28</f>
        <v>775.86000000000013</v>
      </c>
      <c r="K31" s="1178"/>
    </row>
    <row r="32" spans="1:20" ht="22">
      <c r="A32" s="4" t="s">
        <v>28028</v>
      </c>
      <c r="B32" s="1173" t="s">
        <v>28029</v>
      </c>
      <c r="C32" s="1173"/>
      <c r="D32" s="1173"/>
      <c r="E32" s="1173"/>
      <c r="F32" s="1173"/>
      <c r="G32" s="1173"/>
      <c r="H32" s="1173"/>
      <c r="I32" s="1173"/>
      <c r="J32" s="1173"/>
      <c r="K32" s="5" t="s">
        <v>28030</v>
      </c>
    </row>
    <row r="33" spans="1:12" ht="22" customHeight="1" thickBot="1">
      <c r="A33" s="682" t="s">
        <v>13890</v>
      </c>
      <c r="B33" s="1174" t="str">
        <f>VLOOKUP($A33, 'Plan Orçamentária'!$Q$2:$S$128267,2,FALSE)</f>
        <v>TINTA LÁTEX EM MASSA, INCLUSIVE PREPARO</v>
      </c>
      <c r="C33" s="1174"/>
      <c r="D33" s="1174"/>
      <c r="E33" s="1174"/>
      <c r="F33" s="1174"/>
      <c r="G33" s="1174"/>
      <c r="H33" s="1174"/>
      <c r="I33" s="1174"/>
      <c r="J33" s="1174"/>
      <c r="K33" s="12" t="str">
        <f>VLOOKUP($A33,'Plan Orçamentária'!$Q$2:$S$138267,3,FALSE)</f>
        <v>M2</v>
      </c>
      <c r="L33" s="15">
        <f>J51</f>
        <v>775.86000000000013</v>
      </c>
    </row>
    <row r="34" spans="1:12">
      <c r="A34" s="86" t="s">
        <v>44396</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44531</v>
      </c>
      <c r="B36" s="233">
        <f>'REVESTIMENTOS DE TETO'!$L$13</f>
        <v>232.7</v>
      </c>
      <c r="C36" s="14" t="str">
        <f>K33</f>
        <v>M2</v>
      </c>
      <c r="D36" s="14"/>
      <c r="E36" s="14"/>
      <c r="F36" s="14"/>
      <c r="G36" s="14"/>
      <c r="H36" s="14"/>
      <c r="I36" s="14"/>
      <c r="J36" s="14"/>
      <c r="K36" s="87"/>
    </row>
    <row r="37" spans="1:12" ht="16.5" customHeight="1">
      <c r="A37" s="16" t="s">
        <v>44532</v>
      </c>
      <c r="B37" s="234">
        <f>'REVESTIMENTOS DE TETO'!$B$79+'REVESTIMENTOS DE TETO'!$B$76</f>
        <v>543.16000000000008</v>
      </c>
      <c r="C37" s="14" t="str">
        <f>C36</f>
        <v>M2</v>
      </c>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SUM(B36:B37)</f>
        <v>775.86000000000013</v>
      </c>
      <c r="C48" s="88" t="str">
        <f>K33</f>
        <v>M2</v>
      </c>
      <c r="D48" s="88"/>
      <c r="E48" s="14"/>
      <c r="F48" s="14"/>
      <c r="G48" s="14"/>
      <c r="H48" s="88"/>
      <c r="I48" s="89"/>
      <c r="J48" s="89"/>
      <c r="K48" s="90"/>
    </row>
    <row r="49" spans="1:11">
      <c r="A49" s="91"/>
      <c r="B49" s="88"/>
      <c r="C49" s="88"/>
      <c r="D49" s="88"/>
      <c r="E49" s="88"/>
      <c r="F49" s="88"/>
      <c r="G49" s="88"/>
      <c r="H49" s="88"/>
      <c r="I49" s="89"/>
      <c r="J49" s="89"/>
      <c r="K49" s="90"/>
    </row>
    <row r="50" spans="1:11" ht="16">
      <c r="A50" s="10" t="s">
        <v>28032</v>
      </c>
      <c r="B50" s="207"/>
      <c r="C50" s="207"/>
      <c r="D50" s="207"/>
      <c r="E50" s="207"/>
      <c r="F50" s="207"/>
      <c r="G50" s="207"/>
      <c r="H50" s="207"/>
      <c r="I50" s="207"/>
      <c r="J50" s="1175" t="s">
        <v>28033</v>
      </c>
      <c r="K50" s="1176"/>
    </row>
    <row r="51" spans="1:11" ht="17" thickBot="1">
      <c r="A51" s="6"/>
      <c r="B51" s="11"/>
      <c r="C51" s="11"/>
      <c r="D51" s="11"/>
      <c r="E51" s="11"/>
      <c r="F51" s="11"/>
      <c r="G51" s="11"/>
      <c r="H51" s="11"/>
      <c r="I51" s="11"/>
      <c r="J51" s="1177">
        <f>B48</f>
        <v>775.86000000000013</v>
      </c>
      <c r="K51" s="1178"/>
    </row>
  </sheetData>
  <mergeCells count="11">
    <mergeCell ref="J31:K31"/>
    <mergeCell ref="B32:J32"/>
    <mergeCell ref="B33:J33"/>
    <mergeCell ref="J50:K50"/>
    <mergeCell ref="J51:K51"/>
    <mergeCell ref="J30:K30"/>
    <mergeCell ref="A1:K1"/>
    <mergeCell ref="A2:K10"/>
    <mergeCell ref="B11:K11"/>
    <mergeCell ref="B12:J12"/>
    <mergeCell ref="B13:J13"/>
  </mergeCells>
  <conditionalFormatting sqref="A33">
    <cfRule type="expression" dxfId="53" priority="11">
      <formula>$M33="NÍVEL 1"</formula>
    </cfRule>
    <cfRule type="expression" dxfId="52" priority="12">
      <formula>$M33="NÍVEL 2"</formula>
    </cfRule>
  </conditionalFormatting>
  <conditionalFormatting sqref="A33">
    <cfRule type="expression" dxfId="51" priority="10" stopIfTrue="1">
      <formula>$M33="NÍVEL 3"</formula>
    </cfRule>
  </conditionalFormatting>
  <conditionalFormatting sqref="A13">
    <cfRule type="expression" dxfId="50" priority="2">
      <formula>$M13="NÍVEL 1"</formula>
    </cfRule>
    <cfRule type="expression" dxfId="49" priority="3">
      <formula>$M13="NÍVEL 2"</formula>
    </cfRule>
  </conditionalFormatting>
  <conditionalFormatting sqref="A13">
    <cfRule type="expression" dxfId="48" priority="1" stopIfTrue="1">
      <formula>$M13="NÍVEL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0FE58-75BD-4B38-A773-819D85FAC6D1}">
  <sheetPr codeName="Planilha34">
    <pageSetUpPr fitToPage="1"/>
  </sheetPr>
  <dimension ref="A1:T71"/>
  <sheetViews>
    <sheetView view="pageBreakPreview" topLeftCell="A40"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44432</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682" t="s">
        <v>13870</v>
      </c>
      <c r="B13" s="1174" t="str">
        <f>VLOOKUP($A13, 'Plan Orçamentária'!$Q$2:$S$128267,2,FALSE)</f>
        <v>ACRÍLICO PARA QUADRAS E PISOS CIMENTADOS</v>
      </c>
      <c r="C13" s="1174"/>
      <c r="D13" s="1174"/>
      <c r="E13" s="1174"/>
      <c r="F13" s="1174"/>
      <c r="G13" s="1174"/>
      <c r="H13" s="1174"/>
      <c r="I13" s="1174"/>
      <c r="J13" s="1174"/>
      <c r="K13" s="12" t="str">
        <f>VLOOKUP($A13,'Plan Orçamentária'!$Q$2:$S$138267,3,FALSE)</f>
        <v>M2</v>
      </c>
      <c r="L13" s="15">
        <f>J31</f>
        <v>1434.9999999999998</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c r="B16" s="233"/>
      <c r="C16" s="14"/>
      <c r="D16" s="14"/>
      <c r="E16" s="14"/>
      <c r="F16" s="14"/>
      <c r="G16" s="14"/>
      <c r="H16" s="14"/>
      <c r="I16" s="14"/>
      <c r="J16" s="14"/>
      <c r="K16" s="87"/>
    </row>
    <row r="17" spans="1:20" ht="16.5" customHeight="1">
      <c r="A17" s="16" t="s">
        <v>44522</v>
      </c>
      <c r="B17" s="786"/>
      <c r="C17" s="787"/>
      <c r="D17" s="803">
        <v>325.41000000000003</v>
      </c>
      <c r="E17" s="802" t="str">
        <f>K13</f>
        <v>M2</v>
      </c>
      <c r="F17" s="14"/>
      <c r="G17" s="14"/>
      <c r="H17" s="14"/>
      <c r="I17" s="14"/>
      <c r="J17" s="14"/>
      <c r="K17" s="87"/>
    </row>
    <row r="18" spans="1:20">
      <c r="A18" s="16" t="s">
        <v>44467</v>
      </c>
      <c r="B18" s="786"/>
      <c r="C18" s="787"/>
      <c r="D18" s="803">
        <v>1094.8399999999999</v>
      </c>
      <c r="E18" s="802" t="str">
        <f>E17</f>
        <v>M2</v>
      </c>
      <c r="F18" s="14"/>
      <c r="G18" s="14"/>
      <c r="H18" s="14"/>
      <c r="I18" s="14"/>
      <c r="J18" s="14"/>
      <c r="K18" s="87"/>
    </row>
    <row r="19" spans="1:20" s="57" customFormat="1">
      <c r="A19" s="16" t="s">
        <v>44427</v>
      </c>
      <c r="B19" s="786"/>
      <c r="C19" s="803"/>
      <c r="D19" s="803">
        <v>4.5999999999999996</v>
      </c>
      <c r="E19" s="802" t="str">
        <f t="shared" ref="E19:E21" si="0">E18</f>
        <v>M2</v>
      </c>
      <c r="F19" s="14"/>
      <c r="G19" s="14"/>
      <c r="H19" s="14"/>
      <c r="I19" s="14"/>
      <c r="J19" s="14"/>
      <c r="K19" s="87"/>
    </row>
    <row r="20" spans="1:20">
      <c r="A20" s="16" t="s">
        <v>44428</v>
      </c>
      <c r="B20" s="788"/>
      <c r="C20" s="803"/>
      <c r="D20" s="803">
        <v>4.3099999999999996</v>
      </c>
      <c r="E20" s="802" t="str">
        <f t="shared" si="0"/>
        <v>M2</v>
      </c>
      <c r="F20" s="14"/>
      <c r="G20" s="14"/>
      <c r="H20" s="14"/>
      <c r="I20" s="14"/>
      <c r="J20" s="14"/>
      <c r="K20" s="87"/>
    </row>
    <row r="21" spans="1:20">
      <c r="A21" s="16" t="s">
        <v>44429</v>
      </c>
      <c r="B21" s="787"/>
      <c r="C21" s="803"/>
      <c r="D21" s="803">
        <v>5.84</v>
      </c>
      <c r="E21" s="802" t="str">
        <f t="shared" si="0"/>
        <v>M2</v>
      </c>
      <c r="F21" s="14"/>
      <c r="G21" s="14"/>
      <c r="H21" s="14"/>
      <c r="I21" s="14"/>
      <c r="J21" s="14"/>
      <c r="K21" s="87"/>
    </row>
    <row r="22" spans="1:20">
      <c r="A22" s="16"/>
      <c r="B22" s="14"/>
      <c r="C22" s="14"/>
      <c r="D22" s="14"/>
      <c r="E22" s="14"/>
      <c r="F22" s="14"/>
      <c r="G22" s="14"/>
      <c r="H22" s="14"/>
      <c r="I22" s="14"/>
      <c r="J22" s="14"/>
      <c r="K22" s="87"/>
    </row>
    <row r="23" spans="1:20">
      <c r="A23" s="16"/>
      <c r="B23" s="14"/>
      <c r="C23" s="14"/>
      <c r="D23" s="88"/>
      <c r="E23" s="14"/>
      <c r="F23" s="14"/>
      <c r="G23" s="14"/>
      <c r="H23" s="88"/>
      <c r="I23" s="89"/>
      <c r="J23" s="89"/>
      <c r="K23" s="90"/>
    </row>
    <row r="24" spans="1:20">
      <c r="A24" s="16"/>
      <c r="B24" s="14"/>
      <c r="C24" s="14"/>
      <c r="D24" s="88"/>
      <c r="E24" s="14"/>
      <c r="F24" s="14"/>
      <c r="G24" s="14"/>
      <c r="H24" s="88"/>
      <c r="I24" s="89"/>
      <c r="J24" s="89"/>
      <c r="K24" s="90"/>
    </row>
    <row r="25" spans="1:20">
      <c r="A25" s="16"/>
      <c r="B25" s="14"/>
      <c r="C25" s="14"/>
      <c r="D25" s="88"/>
      <c r="E25" s="14"/>
      <c r="F25" s="14"/>
      <c r="G25" s="14"/>
      <c r="H25" s="88"/>
      <c r="I25" s="89"/>
      <c r="J25" s="89"/>
      <c r="K25" s="90"/>
    </row>
    <row r="26" spans="1:20">
      <c r="A26" s="16"/>
      <c r="B26" s="14"/>
      <c r="C26" s="14"/>
      <c r="D26" s="88"/>
      <c r="E26" s="14"/>
      <c r="F26" s="14"/>
      <c r="G26" s="14"/>
      <c r="H26" s="88"/>
      <c r="I26" s="89"/>
      <c r="J26" s="89"/>
      <c r="K26" s="90"/>
      <c r="T26" t="s">
        <v>40899</v>
      </c>
    </row>
    <row r="27" spans="1:20">
      <c r="A27" s="91"/>
      <c r="B27" s="88"/>
      <c r="C27" s="88"/>
      <c r="D27" s="88"/>
      <c r="E27" s="88"/>
      <c r="F27" s="88"/>
      <c r="G27" s="88"/>
      <c r="H27" s="88"/>
      <c r="I27" s="89"/>
      <c r="J27" s="89"/>
      <c r="K27" s="90"/>
    </row>
    <row r="28" spans="1:20">
      <c r="A28" s="91" t="s">
        <v>28031</v>
      </c>
      <c r="B28" s="88">
        <f>SUM(D17:D21)</f>
        <v>1434.9999999999998</v>
      </c>
      <c r="C28" s="88" t="s">
        <v>509</v>
      </c>
      <c r="D28" s="88"/>
      <c r="E28" s="14"/>
      <c r="F28" s="14"/>
      <c r="G28" s="14"/>
      <c r="H28" s="88"/>
      <c r="I28" s="89"/>
      <c r="J28" s="89"/>
      <c r="K28" s="90"/>
    </row>
    <row r="29" spans="1:20">
      <c r="A29" s="91"/>
      <c r="B29" s="88"/>
      <c r="C29" s="88"/>
      <c r="D29" s="88"/>
      <c r="E29" s="88"/>
      <c r="F29" s="88"/>
      <c r="G29" s="88"/>
      <c r="H29" s="88"/>
      <c r="I29" s="89"/>
      <c r="J29" s="89"/>
      <c r="K29" s="90"/>
    </row>
    <row r="30" spans="1:20" ht="16">
      <c r="A30" s="10" t="s">
        <v>28032</v>
      </c>
      <c r="B30" s="207"/>
      <c r="C30" s="207"/>
      <c r="D30" s="207"/>
      <c r="E30" s="207"/>
      <c r="F30" s="207"/>
      <c r="G30" s="207"/>
      <c r="H30" s="207"/>
      <c r="I30" s="207"/>
      <c r="J30" s="1175" t="s">
        <v>28033</v>
      </c>
      <c r="K30" s="1176"/>
    </row>
    <row r="31" spans="1:20" ht="17" thickBot="1">
      <c r="A31" s="6"/>
      <c r="B31" s="11"/>
      <c r="C31" s="11"/>
      <c r="D31" s="11"/>
      <c r="E31" s="11"/>
      <c r="F31" s="11"/>
      <c r="G31" s="11"/>
      <c r="H31" s="11"/>
      <c r="I31" s="11"/>
      <c r="J31" s="1177">
        <f>B28</f>
        <v>1434.9999999999998</v>
      </c>
      <c r="K31" s="1178"/>
    </row>
    <row r="32" spans="1:20" ht="22">
      <c r="A32" s="4" t="s">
        <v>28028</v>
      </c>
      <c r="B32" s="1173" t="s">
        <v>28029</v>
      </c>
      <c r="C32" s="1173"/>
      <c r="D32" s="1173"/>
      <c r="E32" s="1173"/>
      <c r="F32" s="1173"/>
      <c r="G32" s="1173"/>
      <c r="H32" s="1173"/>
      <c r="I32" s="1173"/>
      <c r="J32" s="1173"/>
      <c r="K32" s="5" t="s">
        <v>28030</v>
      </c>
    </row>
    <row r="33" spans="1:12" ht="22" customHeight="1" thickBot="1">
      <c r="A33" s="682" t="s">
        <v>13886</v>
      </c>
      <c r="B33" s="1174" t="str">
        <f>VLOOKUP($A33, 'Plan Orçamentária'!$Q$2:$S$128267,2,FALSE)</f>
        <v>TINTA ACRÍLICA PARA FAIXAS DEMARCATÓRIAS</v>
      </c>
      <c r="C33" s="1174"/>
      <c r="D33" s="1174"/>
      <c r="E33" s="1174"/>
      <c r="F33" s="1174"/>
      <c r="G33" s="1174"/>
      <c r="H33" s="1174"/>
      <c r="I33" s="1174"/>
      <c r="J33" s="1174"/>
      <c r="K33" s="12" t="str">
        <f>VLOOKUP($A33,'Plan Orçamentária'!$Q$2:$S$138267,3,FALSE)</f>
        <v>M</v>
      </c>
      <c r="L33" s="15">
        <f>J51</f>
        <v>289.29999999999995</v>
      </c>
    </row>
    <row r="34" spans="1:12">
      <c r="A34" s="86" t="s">
        <v>44396</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44533</v>
      </c>
      <c r="B36" s="233">
        <f>2.5*23+7.55*24</f>
        <v>238.7</v>
      </c>
      <c r="C36" s="14" t="s">
        <v>165</v>
      </c>
      <c r="D36" s="14"/>
      <c r="E36" s="14"/>
      <c r="F36" s="14"/>
      <c r="G36" s="14"/>
      <c r="H36" s="14"/>
      <c r="I36" s="14"/>
      <c r="J36" s="14"/>
      <c r="K36" s="87"/>
    </row>
    <row r="37" spans="1:12" ht="16.5" customHeight="1">
      <c r="A37" s="16" t="s">
        <v>44534</v>
      </c>
      <c r="B37" s="234">
        <f>2.3*22</f>
        <v>50.599999999999994</v>
      </c>
      <c r="C37" s="14" t="s">
        <v>165</v>
      </c>
      <c r="D37" s="14"/>
      <c r="E37" s="14"/>
      <c r="F37" s="14"/>
      <c r="G37" s="14"/>
      <c r="H37" s="14"/>
      <c r="I37" s="14"/>
      <c r="J37" s="14"/>
      <c r="K37" s="87"/>
    </row>
    <row r="38" spans="1:12">
      <c r="A38" s="16"/>
      <c r="B38" s="14"/>
      <c r="C38" s="14"/>
      <c r="D38" s="14"/>
      <c r="E38" s="14"/>
      <c r="F38" s="14"/>
      <c r="G38" s="14"/>
      <c r="H38" s="14"/>
      <c r="I38" s="14"/>
      <c r="J38" s="14"/>
      <c r="K38" s="87"/>
    </row>
    <row r="39" spans="1:12" s="57" customFormat="1">
      <c r="A39" s="209"/>
      <c r="B39" s="208"/>
      <c r="C39" s="208"/>
      <c r="D39" s="14"/>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t="s">
        <v>28031</v>
      </c>
      <c r="B48" s="88">
        <f>SUM(B36:B37)</f>
        <v>289.29999999999995</v>
      </c>
      <c r="C48" s="88" t="str">
        <f>K33</f>
        <v>M</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289.29999999999995</v>
      </c>
      <c r="K51" s="1178"/>
    </row>
    <row r="52" spans="1:12" ht="22">
      <c r="A52" s="4" t="s">
        <v>28028</v>
      </c>
      <c r="B52" s="1173" t="s">
        <v>28029</v>
      </c>
      <c r="C52" s="1173"/>
      <c r="D52" s="1173"/>
      <c r="E52" s="1173"/>
      <c r="F52" s="1173"/>
      <c r="G52" s="1173"/>
      <c r="H52" s="1173"/>
      <c r="I52" s="1173"/>
      <c r="J52" s="1173"/>
      <c r="K52" s="5" t="s">
        <v>28030</v>
      </c>
    </row>
    <row r="53" spans="1:12" ht="22" customHeight="1" thickBot="1">
      <c r="A53" s="682" t="s">
        <v>13608</v>
      </c>
      <c r="B53" s="1174" t="str">
        <f>VLOOKUP($A53, 'Plan Orçamentária'!$Q$2:$S$128267,2,FALSE)</f>
        <v>SINALIZAÇÃO COM PICTOGRAMA PARA VAGA DE ESTACIONAMENTO</v>
      </c>
      <c r="C53" s="1174"/>
      <c r="D53" s="1174"/>
      <c r="E53" s="1174"/>
      <c r="F53" s="1174"/>
      <c r="G53" s="1174"/>
      <c r="H53" s="1174"/>
      <c r="I53" s="1174"/>
      <c r="J53" s="1174"/>
      <c r="K53" s="12" t="str">
        <f>VLOOKUP($A53,'Plan Orçamentária'!$Q$2:$S$138267,3,FALSE)</f>
        <v>UN</v>
      </c>
      <c r="L53" s="15">
        <f>J71</f>
        <v>1</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t="s">
        <v>44533</v>
      </c>
      <c r="B56" s="233">
        <v>1</v>
      </c>
      <c r="C56" s="14" t="s">
        <v>103</v>
      </c>
      <c r="D56" s="14"/>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1">
      <c r="A65" s="16"/>
      <c r="B65" s="14"/>
      <c r="C65" s="14"/>
      <c r="D65" s="88"/>
      <c r="E65" s="14"/>
      <c r="F65" s="14"/>
      <c r="G65" s="14"/>
      <c r="H65" s="88"/>
      <c r="I65" s="89"/>
      <c r="J65" s="89"/>
      <c r="K65" s="90"/>
    </row>
    <row r="66" spans="1:11">
      <c r="A66" s="16"/>
      <c r="B66" s="14"/>
      <c r="C66" s="14"/>
      <c r="D66" s="88"/>
      <c r="E66" s="14"/>
      <c r="F66" s="14"/>
      <c r="G66" s="14"/>
      <c r="H66" s="88"/>
      <c r="I66" s="89"/>
      <c r="J66" s="89"/>
      <c r="K66" s="90"/>
    </row>
    <row r="67" spans="1:11">
      <c r="A67" s="91"/>
      <c r="B67" s="88"/>
      <c r="C67" s="88"/>
      <c r="D67" s="88"/>
      <c r="E67" s="88"/>
      <c r="F67" s="88"/>
      <c r="G67" s="88"/>
      <c r="H67" s="88"/>
      <c r="I67" s="89"/>
      <c r="J67" s="89"/>
      <c r="K67" s="90"/>
    </row>
    <row r="68" spans="1:11">
      <c r="A68" s="91" t="s">
        <v>28031</v>
      </c>
      <c r="B68" s="88">
        <f>SUM(B56:B57)</f>
        <v>1</v>
      </c>
      <c r="C68" s="88" t="str">
        <f>K53</f>
        <v>UN</v>
      </c>
      <c r="D68" s="88"/>
      <c r="E68" s="14"/>
      <c r="F68" s="14"/>
      <c r="G68" s="14"/>
      <c r="H68" s="88"/>
      <c r="I68" s="89"/>
      <c r="J68" s="89"/>
      <c r="K68" s="90"/>
    </row>
    <row r="69" spans="1:11">
      <c r="A69" s="91"/>
      <c r="B69" s="88"/>
      <c r="C69" s="88"/>
      <c r="D69" s="88"/>
      <c r="E69" s="88"/>
      <c r="F69" s="88"/>
      <c r="G69" s="88"/>
      <c r="H69" s="88"/>
      <c r="I69" s="89"/>
      <c r="J69" s="89"/>
      <c r="K69" s="90"/>
    </row>
    <row r="70" spans="1:11" ht="16">
      <c r="A70" s="10" t="s">
        <v>28032</v>
      </c>
      <c r="B70" s="207"/>
      <c r="C70" s="207"/>
      <c r="D70" s="207"/>
      <c r="E70" s="207"/>
      <c r="F70" s="207"/>
      <c r="G70" s="207"/>
      <c r="H70" s="207"/>
      <c r="I70" s="207"/>
      <c r="J70" s="1175" t="s">
        <v>28033</v>
      </c>
      <c r="K70" s="1176"/>
    </row>
    <row r="71" spans="1:11" ht="17" thickBot="1">
      <c r="A71" s="6"/>
      <c r="B71" s="11"/>
      <c r="C71" s="11"/>
      <c r="D71" s="11"/>
      <c r="E71" s="11"/>
      <c r="F71" s="11"/>
      <c r="G71" s="11"/>
      <c r="H71" s="11"/>
      <c r="I71" s="11"/>
      <c r="J71" s="1177">
        <f>B68</f>
        <v>1</v>
      </c>
      <c r="K71" s="1178"/>
    </row>
  </sheetData>
  <mergeCells count="15">
    <mergeCell ref="J31:K31"/>
    <mergeCell ref="B52:J52"/>
    <mergeCell ref="B53:J53"/>
    <mergeCell ref="J70:K70"/>
    <mergeCell ref="J71:K71"/>
    <mergeCell ref="B32:J32"/>
    <mergeCell ref="B33:J33"/>
    <mergeCell ref="J50:K50"/>
    <mergeCell ref="J51:K51"/>
    <mergeCell ref="J30:K30"/>
    <mergeCell ref="A1:K1"/>
    <mergeCell ref="A2:K10"/>
    <mergeCell ref="B11:K11"/>
    <mergeCell ref="B12:J12"/>
    <mergeCell ref="B13:J13"/>
  </mergeCells>
  <conditionalFormatting sqref="A13">
    <cfRule type="expression" dxfId="47" priority="11">
      <formula>$M13="NÍVEL 1"</formula>
    </cfRule>
    <cfRule type="expression" dxfId="46" priority="12">
      <formula>$M13="NÍVEL 2"</formula>
    </cfRule>
  </conditionalFormatting>
  <conditionalFormatting sqref="A13">
    <cfRule type="expression" dxfId="45" priority="10" stopIfTrue="1">
      <formula>$M13="NÍVEL 3"</formula>
    </cfRule>
  </conditionalFormatting>
  <conditionalFormatting sqref="A53">
    <cfRule type="expression" dxfId="44" priority="5">
      <formula>$M53="NÍVEL 1"</formula>
    </cfRule>
    <cfRule type="expression" dxfId="43" priority="6">
      <formula>$M53="NÍVEL 2"</formula>
    </cfRule>
  </conditionalFormatting>
  <conditionalFormatting sqref="A53">
    <cfRule type="expression" dxfId="42" priority="4" stopIfTrue="1">
      <formula>$M53="NÍVEL 3"</formula>
    </cfRule>
  </conditionalFormatting>
  <conditionalFormatting sqref="A33">
    <cfRule type="expression" dxfId="41" priority="2">
      <formula>$M33="NÍVEL 1"</formula>
    </cfRule>
    <cfRule type="expression" dxfId="40" priority="3">
      <formula>$M33="NÍVEL 2"</formula>
    </cfRule>
  </conditionalFormatting>
  <conditionalFormatting sqref="A33">
    <cfRule type="expression" dxfId="39" priority="1" stopIfTrue="1">
      <formula>$M33="NÍVEL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D8750-F089-4C0B-8005-962FC82A5297}">
  <sheetPr codeName="Planilha35">
    <pageSetUpPr fitToPage="1"/>
  </sheetPr>
  <dimension ref="A1:T151"/>
  <sheetViews>
    <sheetView view="pageBreakPreview" topLeftCell="A119"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44435</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682" t="s">
        <v>18415</v>
      </c>
      <c r="B13" s="1174" t="str">
        <f>VLOOKUP($A13, 'Plan Orçamentária'!$Q$2:$S$128267,2,FALSE)</f>
        <v>PLACA DE IDENTIFICAÇÃO EM PVC COM TEXTO EM VINIL</v>
      </c>
      <c r="C13" s="1174"/>
      <c r="D13" s="1174"/>
      <c r="E13" s="1174"/>
      <c r="F13" s="1174"/>
      <c r="G13" s="1174"/>
      <c r="H13" s="1174"/>
      <c r="I13" s="1174"/>
      <c r="J13" s="1174"/>
      <c r="K13" s="12" t="str">
        <f>VLOOKUP($A13,'Plan Orçamentária'!$Q$2:$S$138267,3,FALSE)</f>
        <v>M2</v>
      </c>
      <c r="L13" s="15">
        <f>J31</f>
        <v>0.69800000000000006</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44436</v>
      </c>
      <c r="B16" s="803">
        <v>19</v>
      </c>
      <c r="C16" s="802" t="s">
        <v>103</v>
      </c>
      <c r="D16" s="14" t="s">
        <v>44436</v>
      </c>
      <c r="E16" s="14">
        <v>4</v>
      </c>
      <c r="F16" s="14" t="s">
        <v>103</v>
      </c>
      <c r="G16" s="14"/>
      <c r="H16" s="14"/>
      <c r="I16" s="14"/>
      <c r="J16" s="14"/>
      <c r="K16" s="87"/>
    </row>
    <row r="17" spans="1:20" ht="16.5" customHeight="1">
      <c r="A17" s="16" t="s">
        <v>41798</v>
      </c>
      <c r="B17" s="14">
        <v>0.32</v>
      </c>
      <c r="C17" s="14" t="s">
        <v>165</v>
      </c>
      <c r="D17" s="14" t="s">
        <v>41798</v>
      </c>
      <c r="E17" s="14">
        <v>0.15</v>
      </c>
      <c r="F17" s="14" t="s">
        <v>165</v>
      </c>
      <c r="G17" s="14"/>
      <c r="H17" s="14"/>
      <c r="I17" s="14"/>
      <c r="J17" s="14"/>
      <c r="K17" s="87"/>
    </row>
    <row r="18" spans="1:20">
      <c r="A18" s="16" t="s">
        <v>41787</v>
      </c>
      <c r="B18" s="14">
        <v>0.1</v>
      </c>
      <c r="C18" s="14" t="s">
        <v>165</v>
      </c>
      <c r="D18" s="14" t="s">
        <v>41787</v>
      </c>
      <c r="E18" s="14">
        <v>0.15</v>
      </c>
      <c r="F18" s="14" t="s">
        <v>165</v>
      </c>
      <c r="G18" s="14"/>
      <c r="H18" s="14"/>
      <c r="I18" s="14"/>
      <c r="J18" s="14"/>
      <c r="K18" s="87"/>
    </row>
    <row r="19" spans="1:20" s="57" customFormat="1">
      <c r="A19" s="209"/>
      <c r="B19" s="208"/>
      <c r="C19" s="208"/>
      <c r="D19" s="14"/>
      <c r="E19" s="14"/>
      <c r="F19" s="14"/>
      <c r="G19" s="14"/>
      <c r="H19" s="14"/>
      <c r="I19" s="14"/>
      <c r="J19" s="14"/>
      <c r="K19" s="87"/>
    </row>
    <row r="20" spans="1:20">
      <c r="A20" s="16"/>
      <c r="B20" s="14"/>
      <c r="C20" s="14"/>
      <c r="D20" s="95"/>
      <c r="E20" s="14"/>
      <c r="F20" s="14"/>
      <c r="G20" s="14"/>
      <c r="H20" s="14"/>
      <c r="I20" s="14"/>
      <c r="J20" s="14"/>
      <c r="K20" s="87"/>
    </row>
    <row r="21" spans="1:20">
      <c r="A21" s="16"/>
      <c r="B21" s="14"/>
      <c r="C21" s="14"/>
      <c r="D21" s="14"/>
      <c r="E21" s="14"/>
      <c r="F21" s="14"/>
      <c r="G21" s="14"/>
      <c r="H21" s="14"/>
      <c r="I21" s="14"/>
      <c r="J21" s="14"/>
      <c r="K21" s="87"/>
    </row>
    <row r="22" spans="1:20">
      <c r="A22" s="16"/>
      <c r="B22" s="14"/>
      <c r="C22" s="14"/>
      <c r="D22" s="14"/>
      <c r="E22" s="14"/>
      <c r="F22" s="14"/>
      <c r="G22" s="14"/>
      <c r="H22" s="14"/>
      <c r="I22" s="14"/>
      <c r="J22" s="14"/>
      <c r="K22" s="87"/>
    </row>
    <row r="23" spans="1:20">
      <c r="A23" s="16"/>
      <c r="B23" s="14"/>
      <c r="C23" s="14"/>
      <c r="D23" s="88"/>
      <c r="E23" s="14"/>
      <c r="F23" s="14"/>
      <c r="G23" s="14"/>
      <c r="H23" s="88"/>
      <c r="I23" s="89"/>
      <c r="J23" s="89"/>
      <c r="K23" s="90"/>
    </row>
    <row r="24" spans="1:20">
      <c r="A24" s="16"/>
      <c r="B24" s="14"/>
      <c r="C24" s="14"/>
      <c r="D24" s="88"/>
      <c r="E24" s="14"/>
      <c r="F24" s="14"/>
      <c r="G24" s="14"/>
      <c r="H24" s="88"/>
      <c r="I24" s="89"/>
      <c r="J24" s="89"/>
      <c r="K24" s="90"/>
    </row>
    <row r="25" spans="1:20">
      <c r="A25" s="16"/>
      <c r="B25" s="14"/>
      <c r="C25" s="14"/>
      <c r="D25" s="88"/>
      <c r="E25" s="14"/>
      <c r="F25" s="14"/>
      <c r="G25" s="14"/>
      <c r="H25" s="88"/>
      <c r="I25" s="89"/>
      <c r="J25" s="89"/>
      <c r="K25" s="90"/>
    </row>
    <row r="26" spans="1:20">
      <c r="A26" s="16"/>
      <c r="B26" s="14"/>
      <c r="C26" s="14"/>
      <c r="D26" s="88"/>
      <c r="E26" s="14"/>
      <c r="F26" s="14"/>
      <c r="G26" s="14"/>
      <c r="H26" s="88"/>
      <c r="I26" s="89"/>
      <c r="J26" s="89"/>
      <c r="K26" s="90"/>
      <c r="T26" t="s">
        <v>40899</v>
      </c>
    </row>
    <row r="27" spans="1:20">
      <c r="A27" s="91"/>
      <c r="B27" s="88"/>
      <c r="C27" s="88"/>
      <c r="D27" s="88"/>
      <c r="E27" s="88"/>
      <c r="F27" s="88"/>
      <c r="G27" s="88"/>
      <c r="H27" s="88"/>
      <c r="I27" s="89"/>
      <c r="J27" s="89"/>
      <c r="K27" s="90"/>
    </row>
    <row r="28" spans="1:20">
      <c r="A28" s="91" t="s">
        <v>28031</v>
      </c>
      <c r="B28" s="14">
        <f>B16*B17*B18+E17*E18*E16</f>
        <v>0.69800000000000006</v>
      </c>
      <c r="C28" s="88" t="str">
        <f>K13</f>
        <v>M2</v>
      </c>
      <c r="D28" s="88"/>
      <c r="E28" s="14"/>
      <c r="F28" s="14"/>
      <c r="G28" s="14"/>
      <c r="H28" s="88"/>
      <c r="I28" s="89"/>
      <c r="J28" s="89"/>
      <c r="K28" s="90"/>
    </row>
    <row r="29" spans="1:20">
      <c r="A29" s="91"/>
      <c r="B29" s="88"/>
      <c r="C29" s="88"/>
      <c r="D29" s="88"/>
      <c r="E29" s="88"/>
      <c r="F29" s="88"/>
      <c r="G29" s="88"/>
      <c r="H29" s="88"/>
      <c r="I29" s="89"/>
      <c r="J29" s="89"/>
      <c r="K29" s="90"/>
    </row>
    <row r="30" spans="1:20" ht="16">
      <c r="A30" s="10" t="s">
        <v>28032</v>
      </c>
      <c r="B30" s="207"/>
      <c r="C30" s="207"/>
      <c r="D30" s="207"/>
      <c r="E30" s="207"/>
      <c r="F30" s="207"/>
      <c r="G30" s="207"/>
      <c r="H30" s="207"/>
      <c r="I30" s="207"/>
      <c r="J30" s="1175" t="s">
        <v>28033</v>
      </c>
      <c r="K30" s="1176"/>
    </row>
    <row r="31" spans="1:20" ht="17" thickBot="1">
      <c r="A31" s="6"/>
      <c r="B31" s="11"/>
      <c r="C31" s="11"/>
      <c r="D31" s="11"/>
      <c r="E31" s="11"/>
      <c r="F31" s="11"/>
      <c r="G31" s="11"/>
      <c r="H31" s="11"/>
      <c r="I31" s="11"/>
      <c r="J31" s="1177">
        <f>B28</f>
        <v>0.69800000000000006</v>
      </c>
      <c r="K31" s="1178"/>
    </row>
    <row r="32" spans="1:20" ht="22">
      <c r="A32" s="4" t="s">
        <v>28028</v>
      </c>
      <c r="B32" s="1173" t="s">
        <v>28029</v>
      </c>
      <c r="C32" s="1173"/>
      <c r="D32" s="1173"/>
      <c r="E32" s="1173"/>
      <c r="F32" s="1173"/>
      <c r="G32" s="1173"/>
      <c r="H32" s="1173"/>
      <c r="I32" s="1173"/>
      <c r="J32" s="1173"/>
      <c r="K32" s="5" t="s">
        <v>28030</v>
      </c>
    </row>
    <row r="33" spans="1:20" ht="22" customHeight="1" thickBot="1">
      <c r="A33" s="684" t="s">
        <v>41881</v>
      </c>
      <c r="B33" s="1174" t="str">
        <f>VLOOKUP($A33, 'Plan Orçamentária'!$Q$2:$S$128267,2,FALSE)</f>
        <v>PLACA TATIL BRAILLE/RELEVO ACRILICO 25X8CM</v>
      </c>
      <c r="C33" s="1174"/>
      <c r="D33" s="1174"/>
      <c r="E33" s="1174"/>
      <c r="F33" s="1174"/>
      <c r="G33" s="1174"/>
      <c r="H33" s="1174"/>
      <c r="I33" s="1174"/>
      <c r="J33" s="1174"/>
      <c r="K33" s="12" t="str">
        <f>VLOOKUP($A33,'Plan Orçamentária'!$Q$2:$S$138267,3,FALSE)</f>
        <v>UN</v>
      </c>
      <c r="L33" s="15">
        <f>J51</f>
        <v>19</v>
      </c>
    </row>
    <row r="34" spans="1:20">
      <c r="A34" s="86" t="s">
        <v>44396</v>
      </c>
      <c r="B34" s="14"/>
      <c r="C34" s="14"/>
      <c r="D34" s="14"/>
      <c r="E34" s="14"/>
      <c r="F34" s="14"/>
      <c r="G34" s="14"/>
      <c r="H34" s="14"/>
      <c r="I34" s="14"/>
      <c r="J34" s="14"/>
      <c r="K34" s="87"/>
    </row>
    <row r="35" spans="1:20" ht="16.5" customHeight="1">
      <c r="A35" s="16"/>
      <c r="B35" s="14"/>
      <c r="C35" s="14"/>
      <c r="D35" s="14"/>
      <c r="E35" s="14"/>
      <c r="F35" s="14"/>
      <c r="G35" s="14"/>
      <c r="H35" s="14"/>
      <c r="I35" s="14"/>
      <c r="J35" s="14"/>
      <c r="K35" s="87"/>
    </row>
    <row r="36" spans="1:20" ht="16.5" customHeight="1">
      <c r="A36" s="16" t="s">
        <v>44436</v>
      </c>
      <c r="B36" s="803">
        <v>19</v>
      </c>
      <c r="C36" s="802" t="s">
        <v>103</v>
      </c>
      <c r="D36" s="14"/>
      <c r="E36" s="14"/>
      <c r="F36" s="14"/>
      <c r="G36" s="14"/>
      <c r="H36" s="14"/>
      <c r="I36" s="14"/>
      <c r="J36" s="14"/>
      <c r="K36" s="87"/>
    </row>
    <row r="37" spans="1:20" ht="16.5" customHeight="1">
      <c r="A37" s="16"/>
      <c r="B37" s="14"/>
      <c r="C37" s="14"/>
      <c r="D37" s="14"/>
      <c r="E37" s="14"/>
      <c r="F37" s="14"/>
      <c r="G37" s="14"/>
      <c r="H37" s="14"/>
      <c r="I37" s="14"/>
      <c r="J37" s="14"/>
      <c r="K37" s="87"/>
    </row>
    <row r="38" spans="1:20">
      <c r="A38" s="16"/>
      <c r="B38" s="14"/>
      <c r="C38" s="14"/>
      <c r="D38" s="14"/>
      <c r="E38" s="14"/>
      <c r="F38" s="14"/>
      <c r="G38" s="14"/>
      <c r="H38" s="14"/>
      <c r="I38" s="14"/>
      <c r="J38" s="14"/>
      <c r="K38" s="87"/>
    </row>
    <row r="39" spans="1:20" s="57" customFormat="1">
      <c r="A39" s="209"/>
      <c r="B39" s="208"/>
      <c r="C39" s="208"/>
      <c r="D39" s="14"/>
      <c r="E39" s="14"/>
      <c r="F39" s="14"/>
      <c r="G39" s="14"/>
      <c r="H39" s="14"/>
      <c r="I39" s="14"/>
      <c r="J39" s="14"/>
      <c r="K39" s="87"/>
    </row>
    <row r="40" spans="1:20">
      <c r="A40" s="16"/>
      <c r="B40" s="14"/>
      <c r="C40" s="14"/>
      <c r="D40" s="95"/>
      <c r="E40" s="14"/>
      <c r="F40" s="14"/>
      <c r="G40" s="14"/>
      <c r="H40" s="14"/>
      <c r="I40" s="14"/>
      <c r="J40" s="14"/>
      <c r="K40" s="87"/>
    </row>
    <row r="41" spans="1:20">
      <c r="A41" s="16"/>
      <c r="B41" s="14"/>
      <c r="C41" s="14"/>
      <c r="D41" s="14"/>
      <c r="E41" s="14"/>
      <c r="F41" s="14"/>
      <c r="G41" s="14"/>
      <c r="H41" s="14"/>
      <c r="I41" s="14"/>
      <c r="J41" s="14"/>
      <c r="K41" s="87"/>
    </row>
    <row r="42" spans="1:20">
      <c r="A42" s="16"/>
      <c r="B42" s="14"/>
      <c r="C42" s="14"/>
      <c r="D42" s="14"/>
      <c r="E42" s="14"/>
      <c r="F42" s="14"/>
      <c r="G42" s="14"/>
      <c r="H42" s="14"/>
      <c r="I42" s="14"/>
      <c r="J42" s="14"/>
      <c r="K42" s="87"/>
    </row>
    <row r="43" spans="1:20">
      <c r="A43" s="16"/>
      <c r="B43" s="14"/>
      <c r="C43" s="14"/>
      <c r="D43" s="88"/>
      <c r="E43" s="14"/>
      <c r="F43" s="14"/>
      <c r="G43" s="14"/>
      <c r="H43" s="88"/>
      <c r="I43" s="89"/>
      <c r="J43" s="89"/>
      <c r="K43" s="90"/>
    </row>
    <row r="44" spans="1:20">
      <c r="A44" s="16"/>
      <c r="B44" s="14"/>
      <c r="C44" s="14"/>
      <c r="D44" s="88"/>
      <c r="E44" s="14"/>
      <c r="F44" s="14"/>
      <c r="G44" s="14"/>
      <c r="H44" s="88"/>
      <c r="I44" s="89"/>
      <c r="J44" s="89"/>
      <c r="K44" s="90"/>
    </row>
    <row r="45" spans="1:20">
      <c r="A45" s="16"/>
      <c r="B45" s="14"/>
      <c r="C45" s="14"/>
      <c r="D45" s="88"/>
      <c r="E45" s="14"/>
      <c r="F45" s="14"/>
      <c r="G45" s="14"/>
      <c r="H45" s="88"/>
      <c r="I45" s="89"/>
      <c r="J45" s="89"/>
      <c r="K45" s="90"/>
    </row>
    <row r="46" spans="1:20">
      <c r="A46" s="16"/>
      <c r="B46" s="14"/>
      <c r="C46" s="14"/>
      <c r="D46" s="88"/>
      <c r="E46" s="14"/>
      <c r="F46" s="14"/>
      <c r="G46" s="14"/>
      <c r="H46" s="88"/>
      <c r="I46" s="89"/>
      <c r="J46" s="89"/>
      <c r="K46" s="90"/>
      <c r="T46" t="s">
        <v>40899</v>
      </c>
    </row>
    <row r="47" spans="1:20">
      <c r="A47" s="91"/>
      <c r="B47" s="88"/>
      <c r="C47" s="88"/>
      <c r="D47" s="88"/>
      <c r="E47" s="88"/>
      <c r="F47" s="88"/>
      <c r="G47" s="88"/>
      <c r="H47" s="88"/>
      <c r="I47" s="89"/>
      <c r="J47" s="89"/>
      <c r="K47" s="90"/>
    </row>
    <row r="48" spans="1:20">
      <c r="A48" s="91" t="s">
        <v>28031</v>
      </c>
      <c r="B48" s="14">
        <f>B36</f>
        <v>19</v>
      </c>
      <c r="C48" s="88" t="str">
        <f>K33</f>
        <v>UN</v>
      </c>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B48</f>
        <v>19</v>
      </c>
      <c r="K51" s="1178"/>
    </row>
    <row r="52" spans="1:12" ht="22">
      <c r="A52" s="4" t="s">
        <v>28028</v>
      </c>
      <c r="B52" s="1173" t="s">
        <v>28029</v>
      </c>
      <c r="C52" s="1173"/>
      <c r="D52" s="1173"/>
      <c r="E52" s="1173"/>
      <c r="F52" s="1173"/>
      <c r="G52" s="1173"/>
      <c r="H52" s="1173"/>
      <c r="I52" s="1173"/>
      <c r="J52" s="1173"/>
      <c r="K52" s="5" t="s">
        <v>28030</v>
      </c>
    </row>
    <row r="53" spans="1:12" ht="22" customHeight="1" thickBot="1">
      <c r="A53" s="682" t="s">
        <v>13595</v>
      </c>
      <c r="B53" s="1174" t="str">
        <f>VLOOKUP($A53, 'Plan Orçamentária'!$Q$2:$S$128267,2,FALSE)</f>
        <v>PLACA PARA SINALIZAÇÃO TÁTIL (INÍCIO OU FINAL) EM BRAILE PARA CORRIMÃO</v>
      </c>
      <c r="C53" s="1174"/>
      <c r="D53" s="1174"/>
      <c r="E53" s="1174"/>
      <c r="F53" s="1174"/>
      <c r="G53" s="1174"/>
      <c r="H53" s="1174"/>
      <c r="I53" s="1174"/>
      <c r="J53" s="1174"/>
      <c r="K53" s="12" t="str">
        <f>VLOOKUP($A53,'Plan Orçamentária'!$Q$2:$S$138267,3,FALSE)</f>
        <v>UN</v>
      </c>
      <c r="L53" s="15">
        <f>J71</f>
        <v>8</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194" t="s">
        <v>44379</v>
      </c>
      <c r="B56" s="233">
        <v>4</v>
      </c>
      <c r="C56" s="14"/>
      <c r="D56" s="14"/>
      <c r="E56" s="14"/>
      <c r="F56" s="14"/>
      <c r="G56" s="14"/>
      <c r="H56" s="14"/>
      <c r="I56" s="14"/>
      <c r="J56" s="14"/>
      <c r="K56" s="87"/>
    </row>
    <row r="57" spans="1:12" ht="16.5" customHeight="1">
      <c r="A57" s="1194"/>
      <c r="B57" s="234">
        <v>2</v>
      </c>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t="s">
        <v>28031</v>
      </c>
      <c r="B68" s="88">
        <f>B56*B57</f>
        <v>8</v>
      </c>
      <c r="C68" s="88" t="str">
        <f>K53</f>
        <v>UN</v>
      </c>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B68</f>
        <v>8</v>
      </c>
      <c r="K71" s="1178"/>
    </row>
    <row r="72" spans="1:12" ht="22">
      <c r="A72" s="4" t="s">
        <v>28028</v>
      </c>
      <c r="B72" s="1173" t="s">
        <v>28029</v>
      </c>
      <c r="C72" s="1173"/>
      <c r="D72" s="1173"/>
      <c r="E72" s="1173"/>
      <c r="F72" s="1173"/>
      <c r="G72" s="1173"/>
      <c r="H72" s="1173"/>
      <c r="I72" s="1173"/>
      <c r="J72" s="1173"/>
      <c r="K72" s="5" t="s">
        <v>28030</v>
      </c>
    </row>
    <row r="73" spans="1:12" ht="22" customHeight="1" thickBot="1">
      <c r="A73" s="682" t="s">
        <v>13605</v>
      </c>
      <c r="B73" s="1174" t="str">
        <f>VLOOKUP($A73, 'Plan Orçamentária'!$Q$2:$S$128267,2,FALSE)</f>
        <v>PLACA DE IDENTIFICAÇÃO EM ALUMÍNIO PARA WC, COM DESENHO UNIVERSAL DE ACESSIBILIDADE</v>
      </c>
      <c r="C73" s="1174"/>
      <c r="D73" s="1174"/>
      <c r="E73" s="1174"/>
      <c r="F73" s="1174"/>
      <c r="G73" s="1174"/>
      <c r="H73" s="1174"/>
      <c r="I73" s="1174"/>
      <c r="J73" s="1174"/>
      <c r="K73" s="12" t="str">
        <f>VLOOKUP($A73,'Plan Orçamentária'!$Q$2:$S$138267,3,FALSE)</f>
        <v>UN</v>
      </c>
      <c r="L73" s="15">
        <f>J91</f>
        <v>4</v>
      </c>
    </row>
    <row r="74" spans="1:12">
      <c r="A74" s="86" t="s">
        <v>44396</v>
      </c>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233">
        <v>4</v>
      </c>
      <c r="C76" s="14" t="str">
        <f>K73</f>
        <v>UN</v>
      </c>
      <c r="D76" s="14"/>
      <c r="E76" s="14"/>
      <c r="F76" s="14"/>
      <c r="G76" s="14"/>
      <c r="H76" s="14"/>
      <c r="I76" s="14"/>
      <c r="J76" s="14"/>
      <c r="K76" s="87"/>
    </row>
    <row r="77" spans="1:12" ht="16.5" customHeight="1">
      <c r="A77" s="16"/>
      <c r="B77" s="234"/>
      <c r="C77" s="14"/>
      <c r="D77" s="14"/>
      <c r="E77" s="14"/>
      <c r="F77" s="14"/>
      <c r="G77" s="14"/>
      <c r="H77" s="14"/>
      <c r="I77" s="14"/>
      <c r="J77" s="14"/>
      <c r="K77" s="87"/>
    </row>
    <row r="78" spans="1:12">
      <c r="A78" s="16"/>
      <c r="B78" s="14"/>
      <c r="C78" s="14"/>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20">
      <c r="A81" s="16"/>
      <c r="B81" s="14"/>
      <c r="C81" s="14"/>
      <c r="D81" s="14"/>
      <c r="E81" s="14"/>
      <c r="F81" s="14"/>
      <c r="G81" s="14"/>
      <c r="H81" s="14"/>
      <c r="I81" s="14"/>
      <c r="J81" s="14"/>
      <c r="K81" s="87"/>
    </row>
    <row r="82" spans="1:20">
      <c r="A82" s="16"/>
      <c r="B82" s="14"/>
      <c r="C82" s="14"/>
      <c r="D82" s="14"/>
      <c r="E82" s="14"/>
      <c r="F82" s="14"/>
      <c r="G82" s="14"/>
      <c r="H82" s="14"/>
      <c r="I82" s="14"/>
      <c r="J82" s="14"/>
      <c r="K82" s="87"/>
    </row>
    <row r="83" spans="1:20">
      <c r="A83" s="16"/>
      <c r="B83" s="14"/>
      <c r="C83" s="14"/>
      <c r="D83" s="88"/>
      <c r="E83" s="14"/>
      <c r="F83" s="14"/>
      <c r="G83" s="14"/>
      <c r="H83" s="88"/>
      <c r="I83" s="89"/>
      <c r="J83" s="89"/>
      <c r="K83" s="90"/>
    </row>
    <row r="84" spans="1:20">
      <c r="A84" s="16"/>
      <c r="B84" s="14"/>
      <c r="C84" s="14"/>
      <c r="D84" s="88"/>
      <c r="E84" s="14"/>
      <c r="F84" s="14"/>
      <c r="G84" s="14"/>
      <c r="H84" s="88"/>
      <c r="I84" s="89"/>
      <c r="J84" s="89"/>
      <c r="K84" s="90"/>
    </row>
    <row r="85" spans="1:20">
      <c r="A85" s="16"/>
      <c r="B85" s="14"/>
      <c r="C85" s="14"/>
      <c r="D85" s="88"/>
      <c r="E85" s="14"/>
      <c r="F85" s="14"/>
      <c r="G85" s="14"/>
      <c r="H85" s="88"/>
      <c r="I85" s="89"/>
      <c r="J85" s="89"/>
      <c r="K85" s="90"/>
    </row>
    <row r="86" spans="1:20">
      <c r="A86" s="16"/>
      <c r="B86" s="14"/>
      <c r="C86" s="14"/>
      <c r="D86" s="88"/>
      <c r="E86" s="14"/>
      <c r="F86" s="14"/>
      <c r="G86" s="14"/>
      <c r="H86" s="88"/>
      <c r="I86" s="89"/>
      <c r="J86" s="89"/>
      <c r="K86" s="90"/>
      <c r="T86" t="s">
        <v>40899</v>
      </c>
    </row>
    <row r="87" spans="1:20">
      <c r="A87" s="91"/>
      <c r="B87" s="88"/>
      <c r="C87" s="88"/>
      <c r="D87" s="88"/>
      <c r="E87" s="88"/>
      <c r="F87" s="88"/>
      <c r="G87" s="88"/>
      <c r="H87" s="88"/>
      <c r="I87" s="89"/>
      <c r="J87" s="89"/>
      <c r="K87" s="90"/>
    </row>
    <row r="88" spans="1:20">
      <c r="A88" s="91" t="s">
        <v>28031</v>
      </c>
      <c r="B88" s="88">
        <f>B76</f>
        <v>4</v>
      </c>
      <c r="C88" s="88" t="str">
        <f>K73</f>
        <v>UN</v>
      </c>
      <c r="D88" s="88"/>
      <c r="E88" s="14"/>
      <c r="F88" s="14"/>
      <c r="G88" s="14"/>
      <c r="H88" s="88"/>
      <c r="I88" s="89"/>
      <c r="J88" s="89"/>
      <c r="K88" s="90"/>
    </row>
    <row r="89" spans="1:20">
      <c r="A89" s="91"/>
      <c r="B89" s="88"/>
      <c r="C89" s="88"/>
      <c r="D89" s="88"/>
      <c r="E89" s="88"/>
      <c r="F89" s="88"/>
      <c r="G89" s="88"/>
      <c r="H89" s="88"/>
      <c r="I89" s="89"/>
      <c r="J89" s="89"/>
      <c r="K89" s="90"/>
    </row>
    <row r="90" spans="1:20" ht="16">
      <c r="A90" s="10" t="s">
        <v>28032</v>
      </c>
      <c r="B90" s="207"/>
      <c r="C90" s="207"/>
      <c r="D90" s="207"/>
      <c r="E90" s="207"/>
      <c r="F90" s="207"/>
      <c r="G90" s="207"/>
      <c r="H90" s="207"/>
      <c r="I90" s="207"/>
      <c r="J90" s="1175" t="s">
        <v>28033</v>
      </c>
      <c r="K90" s="1176"/>
    </row>
    <row r="91" spans="1:20" ht="17" thickBot="1">
      <c r="A91" s="6"/>
      <c r="B91" s="11"/>
      <c r="C91" s="11"/>
      <c r="D91" s="11"/>
      <c r="E91" s="11"/>
      <c r="F91" s="11"/>
      <c r="G91" s="11"/>
      <c r="H91" s="11"/>
      <c r="I91" s="11"/>
      <c r="J91" s="1177">
        <f>B88</f>
        <v>4</v>
      </c>
      <c r="K91" s="1178"/>
    </row>
    <row r="92" spans="1:20" ht="22">
      <c r="A92" s="4" t="s">
        <v>28028</v>
      </c>
      <c r="B92" s="1173" t="s">
        <v>28029</v>
      </c>
      <c r="C92" s="1173"/>
      <c r="D92" s="1173"/>
      <c r="E92" s="1173"/>
      <c r="F92" s="1173"/>
      <c r="G92" s="1173"/>
      <c r="H92" s="1173"/>
      <c r="I92" s="1173"/>
      <c r="J92" s="1173"/>
      <c r="K92" s="5" t="s">
        <v>28030</v>
      </c>
    </row>
    <row r="93" spans="1:20" ht="22" customHeight="1" thickBot="1">
      <c r="A93" s="682" t="s">
        <v>13584</v>
      </c>
      <c r="B93" s="1174" t="str">
        <f>VLOOKUP($A93, 'Plan Orçamentária'!$Q$2:$S$128267,2,FALSE)</f>
        <v>FAIXA EM POLICARBONATO PARA SINALIZAÇÃO VISUAL FOTOLUMINESCENTE, PARA DEGRAUS, COMPRIMENTO DE 20 CM</v>
      </c>
      <c r="C93" s="1174"/>
      <c r="D93" s="1174"/>
      <c r="E93" s="1174"/>
      <c r="F93" s="1174"/>
      <c r="G93" s="1174"/>
      <c r="H93" s="1174"/>
      <c r="I93" s="1174"/>
      <c r="J93" s="1174"/>
      <c r="K93" s="12" t="str">
        <f>VLOOKUP($A93,'Plan Orçamentária'!$Q$2:$S$138267,3,FALSE)</f>
        <v>UN</v>
      </c>
      <c r="L93" s="15">
        <f>J111</f>
        <v>144</v>
      </c>
    </row>
    <row r="94" spans="1:20">
      <c r="A94" s="86" t="s">
        <v>44396</v>
      </c>
      <c r="B94" s="14"/>
      <c r="C94" s="14"/>
      <c r="D94" s="14"/>
      <c r="E94" s="14"/>
      <c r="F94" s="14"/>
      <c r="G94" s="14"/>
      <c r="H94" s="14"/>
      <c r="I94" s="14"/>
      <c r="J94" s="14"/>
      <c r="K94" s="87"/>
    </row>
    <row r="95" spans="1:20" ht="16.5" customHeight="1">
      <c r="A95" s="16"/>
      <c r="B95" s="14"/>
      <c r="C95" s="14"/>
      <c r="D95" s="14"/>
      <c r="E95" s="14"/>
      <c r="F95" s="14"/>
      <c r="G95" s="14"/>
      <c r="H95" s="14"/>
      <c r="I95" s="14"/>
      <c r="J95" s="14"/>
      <c r="K95" s="87"/>
    </row>
    <row r="96" spans="1:20" ht="16.5" customHeight="1">
      <c r="A96" s="16"/>
      <c r="B96" s="14">
        <v>18</v>
      </c>
      <c r="C96" s="14"/>
      <c r="D96" s="14"/>
      <c r="E96" s="14"/>
      <c r="F96" s="14"/>
      <c r="G96" s="14"/>
      <c r="H96" s="14"/>
      <c r="I96" s="14"/>
      <c r="J96" s="14"/>
      <c r="K96" s="87"/>
    </row>
    <row r="97" spans="1:11" ht="16.5" customHeight="1">
      <c r="A97" s="801" t="s">
        <v>44379</v>
      </c>
      <c r="B97" s="14">
        <v>2</v>
      </c>
      <c r="C97" s="14"/>
      <c r="D97" s="14"/>
      <c r="E97" s="14"/>
      <c r="F97" s="14"/>
      <c r="G97" s="14"/>
      <c r="H97" s="14"/>
      <c r="I97" s="14"/>
      <c r="J97" s="14"/>
      <c r="K97" s="87"/>
    </row>
    <row r="98" spans="1:11">
      <c r="A98" s="16"/>
      <c r="B98" s="14">
        <v>4</v>
      </c>
      <c r="C98" s="14"/>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c r="B101" s="14"/>
      <c r="C101" s="14"/>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88"/>
      <c r="F107" s="88"/>
      <c r="G107" s="88"/>
      <c r="H107" s="88"/>
      <c r="I107" s="89"/>
      <c r="J107" s="89"/>
      <c r="K107" s="90"/>
    </row>
    <row r="108" spans="1:11">
      <c r="A108" s="91" t="s">
        <v>28031</v>
      </c>
      <c r="B108" s="88">
        <f>B96*B97*B98</f>
        <v>144</v>
      </c>
      <c r="C108" s="88" t="str">
        <f>K93</f>
        <v>UN</v>
      </c>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B108</f>
        <v>144</v>
      </c>
      <c r="K111" s="1178"/>
    </row>
    <row r="112" spans="1:11" ht="22">
      <c r="A112" s="4" t="s">
        <v>28028</v>
      </c>
      <c r="B112" s="1173" t="s">
        <v>28029</v>
      </c>
      <c r="C112" s="1173"/>
      <c r="D112" s="1173"/>
      <c r="E112" s="1173"/>
      <c r="F112" s="1173"/>
      <c r="G112" s="1173"/>
      <c r="H112" s="1173"/>
      <c r="I112" s="1173"/>
      <c r="J112" s="1173"/>
      <c r="K112" s="5" t="s">
        <v>28030</v>
      </c>
    </row>
    <row r="113" spans="1:12" ht="22" customHeight="1" thickBot="1">
      <c r="A113" s="682" t="s">
        <v>13592</v>
      </c>
      <c r="B113" s="1174" t="str">
        <f>VLOOKUP($A113, 'Plan Orçamentária'!$Q$2:$S$128267,2,FALSE)</f>
        <v>PISO TÁTIL DE CONCRETO INTERTRAVADO ALERTA / DIRECIONAL, ESPESSURA DE 6 CM, COM REJUNTE EM AREIA</v>
      </c>
      <c r="C113" s="1174"/>
      <c r="D113" s="1174"/>
      <c r="E113" s="1174"/>
      <c r="F113" s="1174"/>
      <c r="G113" s="1174"/>
      <c r="H113" s="1174"/>
      <c r="I113" s="1174"/>
      <c r="J113" s="1174"/>
      <c r="K113" s="12" t="str">
        <f>VLOOKUP($A113,'Plan Orçamentária'!$Q$2:$S$138267,3,FALSE)</f>
        <v>M2</v>
      </c>
      <c r="L113" s="15">
        <f>J131</f>
        <v>73.920000000000016</v>
      </c>
    </row>
    <row r="114" spans="1:12">
      <c r="A114" s="86" t="s">
        <v>44396</v>
      </c>
      <c r="B114" s="14"/>
      <c r="C114" s="14"/>
      <c r="D114" s="14"/>
      <c r="E114" s="14"/>
      <c r="F114" s="14"/>
      <c r="G114" s="14"/>
      <c r="H114" s="14"/>
      <c r="I114" s="14"/>
      <c r="J114" s="14"/>
      <c r="K114" s="87"/>
    </row>
    <row r="115" spans="1:12" ht="16.5" customHeight="1">
      <c r="A115" s="16"/>
      <c r="B115" s="14"/>
      <c r="C115" s="14"/>
      <c r="D115" s="14"/>
      <c r="E115" s="14"/>
      <c r="F115" s="14"/>
      <c r="G115" s="14"/>
      <c r="H115" s="14"/>
      <c r="I115" s="14"/>
      <c r="J115" s="14"/>
      <c r="K115" s="87"/>
    </row>
    <row r="116" spans="1:12" ht="16.5" customHeight="1">
      <c r="A116" s="16" t="s">
        <v>44397</v>
      </c>
      <c r="B116" s="803">
        <f>6+14+427+15</f>
        <v>462</v>
      </c>
      <c r="C116" s="802" t="s">
        <v>103</v>
      </c>
      <c r="D116" s="14"/>
      <c r="E116" s="14"/>
      <c r="F116" s="14"/>
      <c r="G116" s="14"/>
      <c r="H116" s="14"/>
      <c r="I116" s="14"/>
      <c r="J116" s="14"/>
      <c r="K116" s="87"/>
    </row>
    <row r="117" spans="1:12" ht="16.5" customHeight="1">
      <c r="A117" s="16" t="s">
        <v>41798</v>
      </c>
      <c r="B117" s="14">
        <v>0.4</v>
      </c>
      <c r="C117" s="14" t="s">
        <v>165</v>
      </c>
      <c r="D117" s="14"/>
      <c r="E117" s="14"/>
      <c r="F117" s="14"/>
      <c r="G117" s="14"/>
      <c r="H117" s="14"/>
      <c r="I117" s="14"/>
      <c r="J117" s="14"/>
      <c r="K117" s="87"/>
    </row>
    <row r="118" spans="1:12">
      <c r="A118" s="16" t="s">
        <v>41787</v>
      </c>
      <c r="B118" s="14">
        <v>0.4</v>
      </c>
      <c r="C118" s="14" t="s">
        <v>165</v>
      </c>
      <c r="D118" s="14"/>
      <c r="E118" s="14"/>
      <c r="F118" s="14"/>
      <c r="G118" s="14"/>
      <c r="H118" s="14"/>
      <c r="I118" s="14"/>
      <c r="J118" s="14"/>
      <c r="K118" s="87"/>
    </row>
    <row r="119" spans="1:12" s="57" customFormat="1">
      <c r="A119" s="209"/>
      <c r="B119" s="208"/>
      <c r="C119" s="208"/>
      <c r="D119" s="14"/>
      <c r="E119" s="14"/>
      <c r="F119" s="14"/>
      <c r="G119" s="14"/>
      <c r="H119" s="14"/>
      <c r="I119" s="14"/>
      <c r="J119" s="14"/>
      <c r="K119" s="87"/>
    </row>
    <row r="120" spans="1:12">
      <c r="A120" s="16"/>
      <c r="B120" s="14"/>
      <c r="C120" s="14"/>
      <c r="D120" s="95"/>
      <c r="E120" s="14"/>
      <c r="F120" s="14"/>
      <c r="G120" s="14"/>
      <c r="H120" s="14"/>
      <c r="I120" s="14"/>
      <c r="J120" s="14"/>
      <c r="K120" s="87"/>
    </row>
    <row r="121" spans="1:12">
      <c r="A121" s="16"/>
      <c r="B121" s="14"/>
      <c r="C121" s="14"/>
      <c r="D121" s="14"/>
      <c r="E121" s="14"/>
      <c r="F121" s="14"/>
      <c r="G121" s="14"/>
      <c r="H121" s="14"/>
      <c r="I121" s="14"/>
      <c r="J121" s="14"/>
      <c r="K121" s="87"/>
    </row>
    <row r="122" spans="1:12">
      <c r="A122" s="16"/>
      <c r="B122" s="14"/>
      <c r="C122" s="14"/>
      <c r="D122" s="14"/>
      <c r="E122" s="14"/>
      <c r="F122" s="14"/>
      <c r="G122" s="14"/>
      <c r="H122" s="14"/>
      <c r="I122" s="14"/>
      <c r="J122" s="14"/>
      <c r="K122" s="87"/>
    </row>
    <row r="123" spans="1:12">
      <c r="A123" s="16"/>
      <c r="B123" s="14"/>
      <c r="C123" s="14"/>
      <c r="D123" s="88"/>
      <c r="E123" s="14"/>
      <c r="F123" s="14"/>
      <c r="G123" s="14"/>
      <c r="H123" s="88"/>
      <c r="I123" s="89"/>
      <c r="J123" s="89"/>
      <c r="K123" s="90"/>
    </row>
    <row r="124" spans="1:12">
      <c r="A124" s="16"/>
      <c r="B124" s="14"/>
      <c r="C124" s="14"/>
      <c r="D124" s="88"/>
      <c r="E124" s="14"/>
      <c r="F124" s="14"/>
      <c r="G124" s="14"/>
      <c r="H124" s="88"/>
      <c r="I124" s="89"/>
      <c r="J124" s="89"/>
      <c r="K124" s="90"/>
    </row>
    <row r="125" spans="1:12">
      <c r="A125" s="16"/>
      <c r="B125" s="14"/>
      <c r="C125" s="14"/>
      <c r="D125" s="88"/>
      <c r="E125" s="14"/>
      <c r="F125" s="14"/>
      <c r="G125" s="14"/>
      <c r="H125" s="88"/>
      <c r="I125" s="89"/>
      <c r="J125" s="89"/>
      <c r="K125" s="90"/>
    </row>
    <row r="126" spans="1:12">
      <c r="A126" s="16"/>
      <c r="B126" s="14"/>
      <c r="C126" s="14"/>
      <c r="D126" s="88"/>
      <c r="E126" s="14"/>
      <c r="F126" s="14"/>
      <c r="G126" s="14"/>
      <c r="H126" s="88"/>
      <c r="I126" s="89"/>
      <c r="J126" s="89"/>
      <c r="K126" s="90"/>
    </row>
    <row r="127" spans="1:12">
      <c r="A127" s="91"/>
      <c r="B127" s="88"/>
      <c r="C127" s="88"/>
      <c r="D127" s="88"/>
      <c r="E127" s="88"/>
      <c r="F127" s="88"/>
      <c r="G127" s="88"/>
      <c r="H127" s="88"/>
      <c r="I127" s="89"/>
      <c r="J127" s="89"/>
      <c r="K127" s="90"/>
    </row>
    <row r="128" spans="1:12">
      <c r="A128" s="91" t="s">
        <v>28031</v>
      </c>
      <c r="B128" s="88">
        <f>(B117*B118)*B116</f>
        <v>73.920000000000016</v>
      </c>
      <c r="C128" s="88" t="str">
        <f>K113</f>
        <v>M2</v>
      </c>
      <c r="D128" s="88"/>
      <c r="E128" s="14"/>
      <c r="F128" s="14"/>
      <c r="G128" s="14"/>
      <c r="H128" s="88"/>
      <c r="I128" s="89"/>
      <c r="J128" s="89"/>
      <c r="K128" s="90"/>
    </row>
    <row r="129" spans="1:15">
      <c r="A129" s="91"/>
      <c r="B129" s="88"/>
      <c r="C129" s="88"/>
      <c r="D129" s="88"/>
      <c r="E129" s="88"/>
      <c r="F129" s="88"/>
      <c r="G129" s="88"/>
      <c r="H129" s="88"/>
      <c r="I129" s="89"/>
      <c r="J129" s="89"/>
      <c r="K129" s="90"/>
    </row>
    <row r="130" spans="1:15" ht="16">
      <c r="A130" s="10" t="s">
        <v>28032</v>
      </c>
      <c r="B130" s="207"/>
      <c r="C130" s="207"/>
      <c r="D130" s="207"/>
      <c r="E130" s="207"/>
      <c r="F130" s="207"/>
      <c r="G130" s="207"/>
      <c r="H130" s="207"/>
      <c r="I130" s="207"/>
      <c r="J130" s="1175" t="s">
        <v>28033</v>
      </c>
      <c r="K130" s="1176"/>
    </row>
    <row r="131" spans="1:15" ht="17" thickBot="1">
      <c r="A131" s="6"/>
      <c r="B131" s="11"/>
      <c r="C131" s="11"/>
      <c r="D131" s="11"/>
      <c r="E131" s="11"/>
      <c r="F131" s="11"/>
      <c r="G131" s="11"/>
      <c r="H131" s="11"/>
      <c r="I131" s="11"/>
      <c r="J131" s="1177">
        <f>B128</f>
        <v>73.920000000000016</v>
      </c>
      <c r="K131" s="1178"/>
    </row>
    <row r="132" spans="1:15" ht="22">
      <c r="A132" s="4" t="s">
        <v>28028</v>
      </c>
      <c r="B132" s="1173" t="s">
        <v>28029</v>
      </c>
      <c r="C132" s="1173"/>
      <c r="D132" s="1173"/>
      <c r="E132" s="1173"/>
      <c r="F132" s="1173"/>
      <c r="G132" s="1173"/>
      <c r="H132" s="1173"/>
      <c r="I132" s="1173"/>
      <c r="J132" s="1173"/>
      <c r="K132" s="5" t="s">
        <v>28030</v>
      </c>
    </row>
    <row r="133" spans="1:15" ht="22" customHeight="1" thickBot="1">
      <c r="A133" s="682" t="s">
        <v>12679</v>
      </c>
      <c r="B133" s="1174" t="str">
        <f>VLOOKUP($A133, 'Plan Orçamentária'!$Q$2:$S$128267,2,FALSE)</f>
        <v>REVESTIMENTO EM PLACA DE ALUMÍNIO COMPOSTO "ACM", ESPESSURA DE 4 MM E ACABAMENTO EM PVDF - LETRAS CAIXAS</v>
      </c>
      <c r="C133" s="1174"/>
      <c r="D133" s="1174"/>
      <c r="E133" s="1174"/>
      <c r="F133" s="1174"/>
      <c r="G133" s="1174"/>
      <c r="H133" s="1174"/>
      <c r="I133" s="1174"/>
      <c r="J133" s="1174"/>
      <c r="K133" s="12" t="str">
        <f>VLOOKUP($A133,'Plan Orçamentária'!$Q$2:$S$138267,3,FALSE)</f>
        <v>M2</v>
      </c>
      <c r="L133" s="15">
        <f>J151</f>
        <v>14.076000000000001</v>
      </c>
    </row>
    <row r="134" spans="1:15">
      <c r="A134" s="86" t="s">
        <v>44396</v>
      </c>
      <c r="B134" s="14"/>
      <c r="C134" s="14"/>
      <c r="D134" s="14"/>
      <c r="E134" s="14"/>
      <c r="F134" s="14"/>
      <c r="G134" s="14"/>
      <c r="H134" s="14"/>
      <c r="I134" s="14"/>
      <c r="J134" s="14"/>
      <c r="K134" s="87"/>
    </row>
    <row r="135" spans="1:15" ht="16.5" customHeight="1">
      <c r="A135" s="16"/>
      <c r="B135" s="14"/>
      <c r="C135" s="14"/>
      <c r="D135" s="14"/>
      <c r="E135" s="14"/>
      <c r="F135" s="14"/>
      <c r="G135" s="14"/>
      <c r="H135" s="14"/>
      <c r="I135" s="14"/>
      <c r="J135" s="14"/>
      <c r="K135" s="87"/>
    </row>
    <row r="136" spans="1:15" ht="16.5" customHeight="1">
      <c r="A136" s="16"/>
      <c r="B136" s="803"/>
      <c r="C136" s="802"/>
      <c r="D136" s="14" t="s">
        <v>44952</v>
      </c>
      <c r="E136" s="14"/>
      <c r="F136" s="14"/>
      <c r="G136" s="14"/>
      <c r="H136" s="14"/>
      <c r="I136" s="14"/>
      <c r="J136" s="14"/>
      <c r="K136" s="87"/>
    </row>
    <row r="137" spans="1:15" ht="16.5" customHeight="1">
      <c r="A137" s="16"/>
      <c r="B137" s="14"/>
      <c r="C137" s="14"/>
      <c r="D137" s="14" t="s">
        <v>41784</v>
      </c>
      <c r="E137" s="14"/>
      <c r="F137" s="14">
        <v>53.48</v>
      </c>
      <c r="G137" s="14" t="s">
        <v>165</v>
      </c>
      <c r="H137" s="14"/>
      <c r="I137" s="14"/>
      <c r="J137" s="14"/>
      <c r="K137" s="87"/>
      <c r="O137">
        <f>7*270</f>
        <v>1890</v>
      </c>
    </row>
    <row r="138" spans="1:15">
      <c r="A138" s="16"/>
      <c r="B138" s="14"/>
      <c r="C138" s="14"/>
      <c r="D138" s="14" t="s">
        <v>28481</v>
      </c>
      <c r="E138" s="14"/>
      <c r="F138" s="14">
        <v>0.2</v>
      </c>
      <c r="G138" s="14" t="s">
        <v>165</v>
      </c>
      <c r="H138" s="14"/>
      <c r="I138" s="14"/>
      <c r="J138" s="14"/>
      <c r="K138" s="87"/>
      <c r="O138">
        <f>25*220</f>
        <v>5500</v>
      </c>
    </row>
    <row r="139" spans="1:15" s="57" customFormat="1">
      <c r="A139" s="209"/>
      <c r="B139" s="208"/>
      <c r="C139" s="208"/>
      <c r="D139" s="14" t="s">
        <v>27889</v>
      </c>
      <c r="E139" s="14"/>
      <c r="F139" s="14">
        <f>F138*F137</f>
        <v>10.696</v>
      </c>
      <c r="G139" s="14" t="s">
        <v>509</v>
      </c>
      <c r="H139" s="14"/>
      <c r="I139" s="14"/>
      <c r="J139" s="14"/>
      <c r="K139" s="87"/>
    </row>
    <row r="140" spans="1:15">
      <c r="A140" s="16"/>
      <c r="B140" s="14"/>
      <c r="C140" s="14"/>
      <c r="D140" s="95"/>
      <c r="E140" s="14"/>
      <c r="F140" s="14"/>
      <c r="G140" s="14"/>
      <c r="H140" s="14"/>
      <c r="I140" s="14"/>
      <c r="J140" s="14"/>
      <c r="K140" s="87"/>
    </row>
    <row r="141" spans="1:15">
      <c r="A141" s="16"/>
      <c r="B141" s="14"/>
      <c r="C141" s="14"/>
      <c r="D141" s="14"/>
      <c r="E141" s="14"/>
      <c r="F141" s="14"/>
      <c r="G141" s="14"/>
      <c r="H141" s="14"/>
      <c r="I141" s="14"/>
      <c r="J141" s="14"/>
      <c r="K141" s="87"/>
    </row>
    <row r="142" spans="1:15">
      <c r="A142" s="16"/>
      <c r="B142" s="14"/>
      <c r="C142" s="14"/>
      <c r="D142" s="14" t="s">
        <v>44953</v>
      </c>
      <c r="E142" s="14"/>
      <c r="F142" s="14"/>
      <c r="G142" s="14"/>
      <c r="H142" s="14"/>
      <c r="I142" s="14"/>
      <c r="J142" s="14"/>
      <c r="K142" s="87"/>
    </row>
    <row r="143" spans="1:15">
      <c r="A143" s="16"/>
      <c r="B143" s="14"/>
      <c r="C143" s="14"/>
      <c r="D143" s="88" t="s">
        <v>29899</v>
      </c>
      <c r="E143" s="14"/>
      <c r="F143" s="14">
        <v>2.38</v>
      </c>
      <c r="G143" s="14" t="s">
        <v>509</v>
      </c>
      <c r="H143" s="88"/>
      <c r="I143" s="89"/>
      <c r="J143" s="89"/>
      <c r="K143" s="90"/>
    </row>
    <row r="144" spans="1:15">
      <c r="A144" s="16"/>
      <c r="B144" s="14"/>
      <c r="C144" s="14"/>
      <c r="D144" s="88"/>
      <c r="E144" s="14"/>
      <c r="F144" s="14"/>
      <c r="G144" s="14"/>
      <c r="H144" s="88"/>
      <c r="I144" s="89"/>
      <c r="J144" s="89"/>
      <c r="K144" s="90"/>
    </row>
    <row r="145" spans="1:11">
      <c r="A145" s="16"/>
      <c r="B145" s="14"/>
      <c r="C145" s="14"/>
      <c r="D145" s="88" t="s">
        <v>44954</v>
      </c>
      <c r="E145" s="14"/>
      <c r="F145" s="14"/>
      <c r="G145" s="14"/>
      <c r="H145" s="88"/>
      <c r="I145" s="89"/>
      <c r="J145" s="89"/>
      <c r="K145" s="90"/>
    </row>
    <row r="146" spans="1:11">
      <c r="A146" s="16"/>
      <c r="B146" s="14"/>
      <c r="C146" s="14"/>
      <c r="D146" s="88" t="s">
        <v>29899</v>
      </c>
      <c r="E146" s="14"/>
      <c r="F146" s="14">
        <v>1</v>
      </c>
      <c r="G146" s="14" t="s">
        <v>509</v>
      </c>
      <c r="H146" s="88"/>
      <c r="I146" s="89"/>
      <c r="J146" s="89"/>
      <c r="K146" s="90"/>
    </row>
    <row r="147" spans="1:11">
      <c r="A147" s="91"/>
      <c r="B147" s="88"/>
      <c r="C147" s="88"/>
      <c r="D147" s="88"/>
      <c r="E147" s="88"/>
      <c r="F147" s="88"/>
      <c r="G147" s="88"/>
      <c r="H147" s="88"/>
      <c r="I147" s="89"/>
      <c r="J147" s="89"/>
      <c r="K147" s="90"/>
    </row>
    <row r="148" spans="1:11">
      <c r="A148" s="91"/>
      <c r="B148" s="88"/>
      <c r="C148" s="88"/>
      <c r="D148" s="88" t="s">
        <v>27889</v>
      </c>
      <c r="E148" s="14">
        <f>SUM(F139,F143,F146)</f>
        <v>14.076000000000001</v>
      </c>
      <c r="F148" s="14" t="s">
        <v>509</v>
      </c>
      <c r="G148" s="14"/>
      <c r="H148" s="88"/>
      <c r="I148" s="89"/>
      <c r="J148" s="89"/>
      <c r="K148" s="90"/>
    </row>
    <row r="149" spans="1:11">
      <c r="A149" s="91"/>
      <c r="B149" s="88"/>
      <c r="C149" s="88"/>
      <c r="D149" s="88"/>
      <c r="E149" s="88"/>
      <c r="F149" s="88"/>
      <c r="G149" s="88"/>
      <c r="H149" s="88"/>
      <c r="I149" s="89"/>
      <c r="J149" s="89"/>
      <c r="K149" s="90"/>
    </row>
    <row r="150" spans="1:11" ht="16">
      <c r="A150" s="10" t="s">
        <v>28032</v>
      </c>
      <c r="B150" s="207"/>
      <c r="C150" s="207"/>
      <c r="D150" s="207"/>
      <c r="E150" s="207"/>
      <c r="F150" s="207"/>
      <c r="G150" s="207"/>
      <c r="H150" s="207"/>
      <c r="I150" s="207"/>
      <c r="J150" s="1175" t="s">
        <v>28033</v>
      </c>
      <c r="K150" s="1176"/>
    </row>
    <row r="151" spans="1:11" ht="17" thickBot="1">
      <c r="A151" s="6"/>
      <c r="B151" s="11"/>
      <c r="C151" s="11"/>
      <c r="D151" s="11"/>
      <c r="E151" s="11"/>
      <c r="F151" s="11"/>
      <c r="G151" s="11"/>
      <c r="H151" s="11"/>
      <c r="I151" s="11"/>
      <c r="J151" s="1177">
        <f>E148</f>
        <v>14.076000000000001</v>
      </c>
      <c r="K151" s="1178"/>
    </row>
  </sheetData>
  <mergeCells count="32">
    <mergeCell ref="J111:K111"/>
    <mergeCell ref="B132:J132"/>
    <mergeCell ref="B133:J133"/>
    <mergeCell ref="J150:K150"/>
    <mergeCell ref="J151:K151"/>
    <mergeCell ref="B112:J112"/>
    <mergeCell ref="B113:J113"/>
    <mergeCell ref="J130:K130"/>
    <mergeCell ref="J131:K131"/>
    <mergeCell ref="A56:A57"/>
    <mergeCell ref="B73:J73"/>
    <mergeCell ref="J90:K90"/>
    <mergeCell ref="J91:K91"/>
    <mergeCell ref="B92:J92"/>
    <mergeCell ref="B93:J93"/>
    <mergeCell ref="J110:K110"/>
    <mergeCell ref="J31:K31"/>
    <mergeCell ref="B52:J52"/>
    <mergeCell ref="B53:J53"/>
    <mergeCell ref="J70:K70"/>
    <mergeCell ref="J71:K71"/>
    <mergeCell ref="B72:J72"/>
    <mergeCell ref="B32:J32"/>
    <mergeCell ref="B33:J33"/>
    <mergeCell ref="J50:K50"/>
    <mergeCell ref="J51:K51"/>
    <mergeCell ref="J30:K30"/>
    <mergeCell ref="A1:K1"/>
    <mergeCell ref="A2:K10"/>
    <mergeCell ref="B11:K11"/>
    <mergeCell ref="B12:J12"/>
    <mergeCell ref="B13:J13"/>
  </mergeCells>
  <conditionalFormatting sqref="A13">
    <cfRule type="expression" dxfId="38" priority="23">
      <formula>$M13="NÍVEL 1"</formula>
    </cfRule>
    <cfRule type="expression" dxfId="37" priority="24">
      <formula>$M13="NÍVEL 2"</formula>
    </cfRule>
  </conditionalFormatting>
  <conditionalFormatting sqref="A13">
    <cfRule type="expression" dxfId="36" priority="22" stopIfTrue="1">
      <formula>$M13="NÍVEL 3"</formula>
    </cfRule>
  </conditionalFormatting>
  <conditionalFormatting sqref="A53">
    <cfRule type="expression" dxfId="35" priority="20">
      <formula>$M53="NÍVEL 1"</formula>
    </cfRule>
    <cfRule type="expression" dxfId="34" priority="21">
      <formula>$M53="NÍVEL 2"</formula>
    </cfRule>
  </conditionalFormatting>
  <conditionalFormatting sqref="A53">
    <cfRule type="expression" dxfId="33" priority="19" stopIfTrue="1">
      <formula>$M53="NÍVEL 3"</formula>
    </cfRule>
  </conditionalFormatting>
  <conditionalFormatting sqref="A73">
    <cfRule type="expression" dxfId="32" priority="17">
      <formula>$M73="NÍVEL 1"</formula>
    </cfRule>
    <cfRule type="expression" dxfId="31" priority="18">
      <formula>$M73="NÍVEL 2"</formula>
    </cfRule>
  </conditionalFormatting>
  <conditionalFormatting sqref="A73">
    <cfRule type="expression" dxfId="30" priority="16" stopIfTrue="1">
      <formula>$M73="NÍVEL 3"</formula>
    </cfRule>
  </conditionalFormatting>
  <conditionalFormatting sqref="A93">
    <cfRule type="expression" dxfId="29" priority="14">
      <formula>$M93="NÍVEL 1"</formula>
    </cfRule>
    <cfRule type="expression" dxfId="28" priority="15">
      <formula>$M93="NÍVEL 2"</formula>
    </cfRule>
  </conditionalFormatting>
  <conditionalFormatting sqref="A93">
    <cfRule type="expression" dxfId="27" priority="13" stopIfTrue="1">
      <formula>$M93="NÍVEL 3"</formula>
    </cfRule>
  </conditionalFormatting>
  <conditionalFormatting sqref="A133">
    <cfRule type="expression" dxfId="26" priority="11">
      <formula>$M133="NÍVEL 1"</formula>
    </cfRule>
    <cfRule type="expression" dxfId="25" priority="12">
      <formula>$M133="NÍVEL 2"</formula>
    </cfRule>
  </conditionalFormatting>
  <conditionalFormatting sqref="A133">
    <cfRule type="expression" dxfId="24" priority="10" stopIfTrue="1">
      <formula>$M133="NÍVEL 3"</formula>
    </cfRule>
  </conditionalFormatting>
  <conditionalFormatting sqref="A33">
    <cfRule type="expression" dxfId="23" priority="4">
      <formula>$M33="NÍVEL 1"</formula>
    </cfRule>
    <cfRule type="expression" dxfId="22" priority="5">
      <formula>$M33="NÍVEL 2"</formula>
    </cfRule>
    <cfRule type="expression" dxfId="21" priority="6">
      <formula>$M33="NÍVEL 3"</formula>
    </cfRule>
  </conditionalFormatting>
  <conditionalFormatting sqref="A113">
    <cfRule type="expression" dxfId="20" priority="2">
      <formula>$M113="NÍVEL 1"</formula>
    </cfRule>
    <cfRule type="expression" dxfId="19" priority="3">
      <formula>$M113="NÍVEL 2"</formula>
    </cfRule>
  </conditionalFormatting>
  <conditionalFormatting sqref="A113">
    <cfRule type="expression" dxfId="18" priority="1" stopIfTrue="1">
      <formula>$M113="NÍVEL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E7CD3-E80F-4526-A021-F2647AA58A36}">
  <sheetPr codeName="Planilha42">
    <pageSetUpPr fitToPage="1"/>
  </sheetPr>
  <dimension ref="A1:T131"/>
  <sheetViews>
    <sheetView view="pageBreakPreview" topLeftCell="A103" zoomScaleNormal="100" zoomScaleSheetLayoutView="100" workbookViewId="0">
      <selection activeCell="A260" sqref="A260"/>
    </sheetView>
  </sheetViews>
  <sheetFormatPr baseColWidth="10" defaultColWidth="9.1640625" defaultRowHeight="15"/>
  <cols>
    <col min="1" max="1" width="10.5" customWidth="1"/>
    <col min="12" max="12" width="9.5" bestFit="1" customWidth="1"/>
  </cols>
  <sheetData>
    <row r="1" spans="1:12" ht="17" thickBot="1">
      <c r="A1" s="1159" t="s">
        <v>44495</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682" t="s">
        <v>11129</v>
      </c>
      <c r="B13" s="1174" t="str">
        <f>VLOOKUP($A13, 'Plan Orçamentária'!$Q$2:$S$128267,2,FALSE)</f>
        <v>RETIRADA DE ESQUADRIA METÁLICA EM GERAL</v>
      </c>
      <c r="C13" s="1174"/>
      <c r="D13" s="1174"/>
      <c r="E13" s="1174"/>
      <c r="F13" s="1174"/>
      <c r="G13" s="1174"/>
      <c r="H13" s="1174"/>
      <c r="I13" s="1174"/>
      <c r="J13" s="1174"/>
      <c r="K13" s="12" t="str">
        <f>VLOOKUP($A13,'Plan Orçamentária'!$Q$2:$S$138267,3,FALSE)</f>
        <v>M2</v>
      </c>
      <c r="L13" s="15">
        <f>J31</f>
        <v>106.20000000000002</v>
      </c>
    </row>
    <row r="14" spans="1:12">
      <c r="A14" s="86" t="s">
        <v>44396</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41784</v>
      </c>
      <c r="B16" s="803"/>
      <c r="C16" s="14">
        <f>4.4+4.4+1.73+4.73+4.73+3.36+2.93+3.17+3.52+3.94+2.7+2.87</f>
        <v>42.480000000000004</v>
      </c>
      <c r="D16" s="14" t="s">
        <v>165</v>
      </c>
      <c r="E16" s="14"/>
      <c r="F16" s="14"/>
      <c r="G16" s="14"/>
      <c r="H16" s="14"/>
      <c r="I16" s="14"/>
      <c r="J16" s="14"/>
      <c r="K16" s="87"/>
    </row>
    <row r="17" spans="1:20" ht="16.5" customHeight="1">
      <c r="A17" s="16" t="s">
        <v>28479</v>
      </c>
      <c r="B17" s="14"/>
      <c r="C17" s="14">
        <v>2.5</v>
      </c>
      <c r="D17" s="14" t="s">
        <v>165</v>
      </c>
      <c r="E17" s="14"/>
      <c r="F17" s="14"/>
      <c r="G17" s="14"/>
      <c r="H17" s="14"/>
      <c r="I17" s="14"/>
      <c r="J17" s="14"/>
      <c r="K17" s="87"/>
    </row>
    <row r="18" spans="1:20">
      <c r="A18" s="16" t="s">
        <v>27889</v>
      </c>
      <c r="B18" s="14"/>
      <c r="C18" s="14">
        <f>C17*C16</f>
        <v>106.20000000000002</v>
      </c>
      <c r="D18" s="14" t="s">
        <v>509</v>
      </c>
      <c r="E18" s="14"/>
      <c r="F18" s="14"/>
      <c r="G18" s="14"/>
      <c r="H18" s="14"/>
      <c r="I18" s="14"/>
      <c r="J18" s="14"/>
      <c r="K18" s="87"/>
    </row>
    <row r="19" spans="1:20" s="57" customFormat="1">
      <c r="A19" s="209"/>
      <c r="B19" s="208"/>
      <c r="C19" s="208"/>
      <c r="D19" s="14"/>
      <c r="E19" s="14"/>
      <c r="F19" s="14"/>
      <c r="G19" s="14"/>
      <c r="H19" s="14"/>
      <c r="I19" s="14"/>
      <c r="J19" s="14"/>
      <c r="K19" s="87"/>
    </row>
    <row r="20" spans="1:20">
      <c r="A20" s="16"/>
      <c r="B20" s="14"/>
      <c r="C20" s="14"/>
      <c r="D20" s="95"/>
      <c r="E20" s="14"/>
      <c r="F20" s="14"/>
      <c r="G20" s="14"/>
      <c r="H20" s="14"/>
      <c r="I20" s="14"/>
      <c r="J20" s="14"/>
      <c r="K20" s="87"/>
    </row>
    <row r="21" spans="1:20">
      <c r="A21" s="16"/>
      <c r="B21" s="14"/>
      <c r="C21" s="14"/>
      <c r="D21" s="14"/>
      <c r="E21" s="14"/>
      <c r="F21" s="14"/>
      <c r="G21" s="14"/>
      <c r="H21" s="14"/>
      <c r="I21" s="14"/>
      <c r="J21" s="14"/>
      <c r="K21" s="87"/>
    </row>
    <row r="22" spans="1:20">
      <c r="A22" s="16"/>
      <c r="B22" s="14"/>
      <c r="C22" s="14"/>
      <c r="D22" s="14"/>
      <c r="E22" s="14"/>
      <c r="F22" s="14"/>
      <c r="G22" s="14"/>
      <c r="H22" s="14"/>
      <c r="I22" s="14"/>
      <c r="J22" s="14"/>
      <c r="K22" s="87"/>
    </row>
    <row r="23" spans="1:20">
      <c r="A23" s="16"/>
      <c r="B23" s="14"/>
      <c r="C23" s="14"/>
      <c r="D23" s="88"/>
      <c r="E23" s="14"/>
      <c r="F23" s="14"/>
      <c r="G23" s="14"/>
      <c r="H23" s="88"/>
      <c r="I23" s="89"/>
      <c r="J23" s="89"/>
      <c r="K23" s="90"/>
    </row>
    <row r="24" spans="1:20">
      <c r="A24" s="16"/>
      <c r="B24" s="14"/>
      <c r="C24" s="14"/>
      <c r="D24" s="88"/>
      <c r="E24" s="14"/>
      <c r="F24" s="14"/>
      <c r="G24" s="14"/>
      <c r="H24" s="88"/>
      <c r="I24" s="89"/>
      <c r="J24" s="89"/>
      <c r="K24" s="90"/>
    </row>
    <row r="25" spans="1:20">
      <c r="A25" s="16"/>
      <c r="B25" s="14"/>
      <c r="C25" s="14"/>
      <c r="D25" s="88"/>
      <c r="E25" s="14"/>
      <c r="F25" s="14"/>
      <c r="G25" s="14"/>
      <c r="H25" s="88"/>
      <c r="I25" s="89"/>
      <c r="J25" s="89"/>
      <c r="K25" s="90"/>
    </row>
    <row r="26" spans="1:20">
      <c r="A26" s="16"/>
      <c r="B26" s="14"/>
      <c r="C26" s="14"/>
      <c r="D26" s="88"/>
      <c r="E26" s="14"/>
      <c r="F26" s="14"/>
      <c r="G26" s="14"/>
      <c r="H26" s="88"/>
      <c r="I26" s="89"/>
      <c r="J26" s="89"/>
      <c r="K26" s="90"/>
      <c r="T26" t="s">
        <v>40899</v>
      </c>
    </row>
    <row r="27" spans="1:20">
      <c r="A27" s="91"/>
      <c r="B27" s="88"/>
      <c r="C27" s="88"/>
      <c r="D27" s="88"/>
      <c r="E27" s="88"/>
      <c r="F27" s="88"/>
      <c r="G27" s="88"/>
      <c r="H27" s="88"/>
      <c r="I27" s="89"/>
      <c r="J27" s="89"/>
      <c r="K27" s="90"/>
    </row>
    <row r="28" spans="1:20">
      <c r="A28" s="91"/>
      <c r="B28" s="14"/>
      <c r="C28" s="88"/>
      <c r="D28" s="88"/>
      <c r="E28" s="14"/>
      <c r="F28" s="14"/>
      <c r="G28" s="14"/>
      <c r="H28" s="88"/>
      <c r="I28" s="89"/>
      <c r="J28" s="89"/>
      <c r="K28" s="90"/>
    </row>
    <row r="29" spans="1:20">
      <c r="A29" s="91"/>
      <c r="B29" s="88"/>
      <c r="C29" s="88"/>
      <c r="D29" s="88"/>
      <c r="E29" s="88"/>
      <c r="F29" s="88"/>
      <c r="G29" s="88"/>
      <c r="H29" s="88"/>
      <c r="I29" s="89"/>
      <c r="J29" s="89"/>
      <c r="K29" s="90"/>
    </row>
    <row r="30" spans="1:20" ht="16">
      <c r="A30" s="10" t="s">
        <v>28032</v>
      </c>
      <c r="B30" s="207"/>
      <c r="C30" s="207"/>
      <c r="D30" s="207"/>
      <c r="E30" s="207"/>
      <c r="F30" s="207"/>
      <c r="G30" s="207"/>
      <c r="H30" s="207"/>
      <c r="I30" s="207"/>
      <c r="J30" s="1175" t="s">
        <v>28033</v>
      </c>
      <c r="K30" s="1176"/>
    </row>
    <row r="31" spans="1:20" ht="17" thickBot="1">
      <c r="A31" s="6"/>
      <c r="B31" s="11"/>
      <c r="C31" s="11"/>
      <c r="D31" s="11"/>
      <c r="E31" s="11"/>
      <c r="F31" s="11"/>
      <c r="G31" s="11"/>
      <c r="H31" s="11"/>
      <c r="I31" s="11"/>
      <c r="J31" s="1177">
        <f>C18</f>
        <v>106.20000000000002</v>
      </c>
      <c r="K31" s="1178"/>
    </row>
    <row r="32" spans="1:20" ht="22">
      <c r="A32" s="4" t="s">
        <v>28028</v>
      </c>
      <c r="B32" s="1173" t="s">
        <v>28029</v>
      </c>
      <c r="C32" s="1173"/>
      <c r="D32" s="1173"/>
      <c r="E32" s="1173"/>
      <c r="F32" s="1173"/>
      <c r="G32" s="1173"/>
      <c r="H32" s="1173"/>
      <c r="I32" s="1173"/>
      <c r="J32" s="1173"/>
      <c r="K32" s="5" t="s">
        <v>28030</v>
      </c>
    </row>
    <row r="33" spans="1:20" ht="22" customHeight="1" thickBot="1">
      <c r="A33" s="682" t="s">
        <v>10948</v>
      </c>
      <c r="B33" s="1174" t="str">
        <f>VLOOKUP($A33, 'Plan Orçamentária'!$Q$2:$S$128267,2,FALSE)</f>
        <v>DEMOLIÇÃO MANUAL DE ALVENARIA DE ELEVAÇÃO OU ELEMENTO VAZADO, INCLUINDO REVESTIMENTO</v>
      </c>
      <c r="C33" s="1174"/>
      <c r="D33" s="1174"/>
      <c r="E33" s="1174"/>
      <c r="F33" s="1174"/>
      <c r="G33" s="1174"/>
      <c r="H33" s="1174"/>
      <c r="I33" s="1174"/>
      <c r="J33" s="1174"/>
      <c r="K33" s="12" t="str">
        <f>VLOOKUP($A33,'Plan Orçamentária'!$Q$2:$S$138267,3,FALSE)</f>
        <v>M3</v>
      </c>
      <c r="L33" s="15">
        <f>J51</f>
        <v>15.06</v>
      </c>
    </row>
    <row r="34" spans="1:20">
      <c r="A34" s="86" t="s">
        <v>44396</v>
      </c>
      <c r="B34" s="14"/>
      <c r="C34" s="14"/>
      <c r="D34" s="14"/>
      <c r="E34" s="14"/>
      <c r="F34" s="14"/>
      <c r="G34" s="14"/>
      <c r="H34" s="14"/>
      <c r="I34" s="14"/>
      <c r="J34" s="14"/>
      <c r="K34" s="87"/>
    </row>
    <row r="35" spans="1:20" ht="16.5" customHeight="1">
      <c r="A35" s="16"/>
      <c r="B35" s="14"/>
      <c r="C35" s="14"/>
      <c r="D35" s="14"/>
      <c r="E35" s="14"/>
      <c r="F35" s="14"/>
      <c r="G35" s="14"/>
      <c r="H35" s="14"/>
      <c r="I35" s="14"/>
      <c r="J35" s="14"/>
      <c r="K35" s="87"/>
    </row>
    <row r="36" spans="1:20" ht="16.5" customHeight="1">
      <c r="A36" s="16" t="s">
        <v>44496</v>
      </c>
      <c r="B36" s="803"/>
      <c r="C36" s="14"/>
      <c r="D36" s="14" t="s">
        <v>44497</v>
      </c>
      <c r="E36" s="14"/>
      <c r="F36" s="14"/>
      <c r="G36" s="14"/>
      <c r="H36" s="14"/>
      <c r="I36" s="14"/>
      <c r="J36" s="14"/>
      <c r="K36" s="87"/>
    </row>
    <row r="37" spans="1:20" ht="16.5" customHeight="1">
      <c r="A37" s="16" t="s">
        <v>28041</v>
      </c>
      <c r="B37" s="14">
        <v>13</v>
      </c>
      <c r="C37" s="14" t="s">
        <v>103</v>
      </c>
      <c r="D37" s="14" t="s">
        <v>41784</v>
      </c>
      <c r="E37" s="14"/>
      <c r="F37" s="14">
        <f>4.4+4.4+1.73+4.73+4.73+3.36+2.93+3.17+3.52+3.94+2.7+2.87</f>
        <v>42.480000000000004</v>
      </c>
      <c r="G37" s="14" t="s">
        <v>165</v>
      </c>
      <c r="H37" s="14"/>
      <c r="I37" s="14"/>
      <c r="J37" s="14"/>
      <c r="K37" s="87"/>
    </row>
    <row r="38" spans="1:20">
      <c r="A38" s="16" t="s">
        <v>41798</v>
      </c>
      <c r="B38" s="14">
        <v>0.5</v>
      </c>
      <c r="C38" s="14" t="s">
        <v>165</v>
      </c>
      <c r="D38" s="14" t="s">
        <v>28479</v>
      </c>
      <c r="E38" s="14"/>
      <c r="F38" s="14">
        <v>0.5</v>
      </c>
      <c r="G38" s="14" t="s">
        <v>165</v>
      </c>
      <c r="H38" s="14"/>
      <c r="I38" s="14"/>
      <c r="J38" s="14"/>
      <c r="K38" s="87"/>
    </row>
    <row r="39" spans="1:20" s="57" customFormat="1">
      <c r="A39" s="209" t="s">
        <v>41786</v>
      </c>
      <c r="B39" s="208">
        <v>0.5</v>
      </c>
      <c r="C39" s="208" t="s">
        <v>165</v>
      </c>
      <c r="D39" s="14" t="s">
        <v>44498</v>
      </c>
      <c r="E39" s="14"/>
      <c r="F39" s="14">
        <v>0.25</v>
      </c>
      <c r="G39" s="14" t="s">
        <v>165</v>
      </c>
      <c r="H39" s="14"/>
      <c r="I39" s="14"/>
      <c r="J39" s="14"/>
      <c r="K39" s="87"/>
    </row>
    <row r="40" spans="1:20">
      <c r="A40" s="16" t="s">
        <v>41787</v>
      </c>
      <c r="B40" s="14">
        <v>3</v>
      </c>
      <c r="C40" s="14" t="s">
        <v>165</v>
      </c>
      <c r="D40" s="14" t="s">
        <v>27889</v>
      </c>
      <c r="E40" s="14"/>
      <c r="F40" s="14">
        <f>F39*F38*F37</f>
        <v>5.3100000000000005</v>
      </c>
      <c r="G40" s="14" t="s">
        <v>121</v>
      </c>
      <c r="H40" s="14"/>
      <c r="I40" s="14"/>
      <c r="J40" s="14"/>
      <c r="K40" s="87"/>
    </row>
    <row r="41" spans="1:20">
      <c r="A41" s="16" t="s">
        <v>27889</v>
      </c>
      <c r="B41" s="14">
        <f>B40*B39*B38*B37</f>
        <v>9.75</v>
      </c>
      <c r="C41" s="14" t="s">
        <v>121</v>
      </c>
      <c r="D41" s="14"/>
      <c r="E41" s="14"/>
      <c r="F41" s="14"/>
      <c r="G41" s="14"/>
      <c r="H41" s="14"/>
      <c r="I41" s="14"/>
      <c r="J41" s="14"/>
      <c r="K41" s="87"/>
    </row>
    <row r="42" spans="1:20">
      <c r="A42" s="16"/>
      <c r="B42" s="14"/>
      <c r="C42" s="14"/>
      <c r="D42" s="14"/>
      <c r="E42" s="14"/>
      <c r="F42" s="14"/>
      <c r="G42" s="14"/>
      <c r="H42" s="14"/>
      <c r="I42" s="14"/>
      <c r="J42" s="14"/>
      <c r="K42" s="87"/>
    </row>
    <row r="43" spans="1:20">
      <c r="A43" s="16"/>
      <c r="B43" s="14"/>
      <c r="C43" s="14"/>
      <c r="D43" s="88"/>
      <c r="E43" s="14"/>
      <c r="F43" s="14"/>
      <c r="G43" s="14"/>
      <c r="H43" s="88"/>
      <c r="I43" s="89"/>
      <c r="J43" s="89"/>
      <c r="K43" s="90"/>
    </row>
    <row r="44" spans="1:20">
      <c r="A44" s="16"/>
      <c r="B44" s="14"/>
      <c r="C44" s="14"/>
      <c r="D44" s="88"/>
      <c r="E44" s="14"/>
      <c r="F44" s="14"/>
      <c r="G44" s="14"/>
      <c r="H44" s="88"/>
      <c r="I44" s="89"/>
      <c r="J44" s="89"/>
      <c r="K44" s="90"/>
    </row>
    <row r="45" spans="1:20">
      <c r="A45" s="16" t="s">
        <v>27889</v>
      </c>
      <c r="B45" s="14">
        <f>SUM(B41,F40)</f>
        <v>15.06</v>
      </c>
      <c r="C45" s="14" t="str">
        <f>K33</f>
        <v>M3</v>
      </c>
      <c r="D45" s="88"/>
      <c r="E45" s="14"/>
      <c r="F45" s="14"/>
      <c r="G45" s="14"/>
      <c r="H45" s="88"/>
      <c r="I45" s="89"/>
      <c r="J45" s="89"/>
      <c r="K45" s="90"/>
    </row>
    <row r="46" spans="1:20">
      <c r="A46" s="16"/>
      <c r="B46" s="14"/>
      <c r="C46" s="14"/>
      <c r="D46" s="88"/>
      <c r="E46" s="14"/>
      <c r="F46" s="14"/>
      <c r="G46" s="14"/>
      <c r="H46" s="88"/>
      <c r="I46" s="89"/>
      <c r="J46" s="89"/>
      <c r="K46" s="90"/>
      <c r="T46" t="s">
        <v>40899</v>
      </c>
    </row>
    <row r="47" spans="1:20">
      <c r="A47" s="91"/>
      <c r="B47" s="88"/>
      <c r="C47" s="88"/>
      <c r="D47" s="88"/>
      <c r="E47" s="88"/>
      <c r="F47" s="88"/>
      <c r="G47" s="88"/>
      <c r="H47" s="88"/>
      <c r="I47" s="89"/>
      <c r="J47" s="89"/>
      <c r="K47" s="90"/>
    </row>
    <row r="48" spans="1:20">
      <c r="A48" s="91"/>
      <c r="B48" s="14"/>
      <c r="C48" s="88"/>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B45</f>
        <v>15.06</v>
      </c>
      <c r="K51" s="1178"/>
    </row>
    <row r="52" spans="1:12" ht="22">
      <c r="A52" s="4" t="s">
        <v>28028</v>
      </c>
      <c r="B52" s="1173" t="s">
        <v>28029</v>
      </c>
      <c r="C52" s="1173"/>
      <c r="D52" s="1173"/>
      <c r="E52" s="1173"/>
      <c r="F52" s="1173"/>
      <c r="G52" s="1173"/>
      <c r="H52" s="1173"/>
      <c r="I52" s="1173"/>
      <c r="J52" s="1173"/>
      <c r="K52" s="5" t="s">
        <v>28030</v>
      </c>
    </row>
    <row r="53" spans="1:12" ht="22" customHeight="1" thickBot="1">
      <c r="A53" s="682" t="s">
        <v>11415</v>
      </c>
      <c r="B53" s="1174" t="str">
        <f>VLOOKUP($A53, 'Plan Orçamentária'!$Q$2:$S$128267,2,FALSE)</f>
        <v>REMOÇÃO DE ENTULHO SEPARADO DE OBRA COM CAÇAMBA METÁLICA - TERRA, ALVENARIA, CONCRETO, ARGAMASSA, MADEIRA, PAPEL, PLÁSTICO OU METAL</v>
      </c>
      <c r="C53" s="1174"/>
      <c r="D53" s="1174"/>
      <c r="E53" s="1174"/>
      <c r="F53" s="1174"/>
      <c r="G53" s="1174"/>
      <c r="H53" s="1174"/>
      <c r="I53" s="1174"/>
      <c r="J53" s="1174"/>
      <c r="K53" s="12" t="str">
        <f>VLOOKUP($A53,'Plan Orçamentária'!$Q$2:$S$138267,3,FALSE)</f>
        <v>M3</v>
      </c>
      <c r="L53" s="15">
        <f>J71</f>
        <v>177.54800000000003</v>
      </c>
    </row>
    <row r="54" spans="1:12">
      <c r="A54" s="86" t="s">
        <v>44396</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t="s">
        <v>44499</v>
      </c>
      <c r="B56" s="803">
        <f>$L$13*0.1</f>
        <v>10.620000000000003</v>
      </c>
      <c r="C56" s="14" t="s">
        <v>121</v>
      </c>
      <c r="D56" s="14"/>
      <c r="E56" s="14"/>
      <c r="F56" s="14"/>
      <c r="G56" s="14"/>
      <c r="H56" s="14"/>
      <c r="I56" s="14"/>
      <c r="J56" s="14"/>
      <c r="K56" s="87"/>
    </row>
    <row r="57" spans="1:12" ht="16.5" customHeight="1">
      <c r="A57" s="16" t="s">
        <v>41791</v>
      </c>
      <c r="B57" s="14">
        <f>L13</f>
        <v>106.20000000000002</v>
      </c>
      <c r="C57" s="14" t="s">
        <v>121</v>
      </c>
      <c r="D57" s="14"/>
      <c r="E57" s="14"/>
      <c r="F57" s="14"/>
      <c r="G57" s="14"/>
      <c r="H57" s="14"/>
      <c r="I57" s="14"/>
      <c r="J57" s="14"/>
      <c r="K57" s="87"/>
    </row>
    <row r="58" spans="1:12">
      <c r="A58" s="16" t="s">
        <v>44500</v>
      </c>
      <c r="B58" s="14">
        <v>10</v>
      </c>
      <c r="C58" s="14" t="s">
        <v>121</v>
      </c>
      <c r="D58" s="14"/>
      <c r="E58" s="14"/>
      <c r="F58" s="14"/>
      <c r="G58" s="14"/>
      <c r="H58" s="14"/>
      <c r="I58" s="14"/>
      <c r="J58" s="14"/>
      <c r="K58" s="87"/>
    </row>
    <row r="59" spans="1:12" s="57" customFormat="1">
      <c r="A59" s="209"/>
      <c r="B59" s="208"/>
      <c r="C59" s="208"/>
      <c r="D59" s="14"/>
      <c r="E59" s="14"/>
      <c r="F59" s="14"/>
      <c r="G59" s="14"/>
      <c r="H59" s="14"/>
      <c r="I59" s="14"/>
      <c r="J59" s="14"/>
      <c r="K59" s="87"/>
    </row>
    <row r="60" spans="1:12">
      <c r="A60" s="16"/>
      <c r="B60" s="14"/>
      <c r="C60" s="14"/>
      <c r="D60" s="14"/>
      <c r="E60" s="14"/>
      <c r="F60" s="14"/>
      <c r="G60" s="14"/>
      <c r="H60" s="14"/>
      <c r="I60" s="14"/>
      <c r="J60" s="14"/>
      <c r="K60" s="87"/>
    </row>
    <row r="61" spans="1:12">
      <c r="A61" s="16" t="s">
        <v>44501</v>
      </c>
      <c r="B61" s="14">
        <v>1.4</v>
      </c>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t="s">
        <v>27889</v>
      </c>
      <c r="B64" s="14">
        <f>SUM(B56:B58)*B61</f>
        <v>177.54800000000003</v>
      </c>
      <c r="C64" s="14" t="s">
        <v>121</v>
      </c>
      <c r="D64" s="88"/>
      <c r="E64" s="14"/>
      <c r="F64" s="14"/>
      <c r="G64" s="14"/>
      <c r="H64" s="88"/>
      <c r="I64" s="89"/>
      <c r="J64" s="89"/>
      <c r="K64" s="90"/>
    </row>
    <row r="65" spans="1:20">
      <c r="A65" s="16"/>
      <c r="B65" s="14"/>
      <c r="C65" s="14"/>
      <c r="D65" s="88"/>
      <c r="E65" s="14"/>
      <c r="F65" s="14"/>
      <c r="G65" s="14"/>
      <c r="H65" s="88"/>
      <c r="I65" s="89"/>
      <c r="J65" s="89"/>
      <c r="K65" s="90"/>
    </row>
    <row r="66" spans="1:20">
      <c r="A66" s="16"/>
      <c r="B66" s="14"/>
      <c r="C66" s="14"/>
      <c r="D66" s="88"/>
      <c r="E66" s="14"/>
      <c r="F66" s="14"/>
      <c r="G66" s="14"/>
      <c r="H66" s="88"/>
      <c r="I66" s="89"/>
      <c r="J66" s="89"/>
      <c r="K66" s="90"/>
      <c r="T66" t="s">
        <v>40899</v>
      </c>
    </row>
    <row r="67" spans="1:20">
      <c r="A67" s="91"/>
      <c r="B67" s="88"/>
      <c r="C67" s="88"/>
      <c r="D67" s="88"/>
      <c r="E67" s="88"/>
      <c r="F67" s="88"/>
      <c r="G67" s="88"/>
      <c r="H67" s="88"/>
      <c r="I67" s="89"/>
      <c r="J67" s="89"/>
      <c r="K67" s="90"/>
    </row>
    <row r="68" spans="1:20">
      <c r="A68" s="91"/>
      <c r="B68" s="14"/>
      <c r="C68" s="88"/>
      <c r="D68" s="88"/>
      <c r="E68" s="14"/>
      <c r="F68" s="14"/>
      <c r="G68" s="14"/>
      <c r="H68" s="88"/>
      <c r="I68" s="89"/>
      <c r="J68" s="89"/>
      <c r="K68" s="90"/>
    </row>
    <row r="69" spans="1:20">
      <c r="A69" s="91"/>
      <c r="B69" s="88"/>
      <c r="C69" s="88"/>
      <c r="D69" s="88"/>
      <c r="E69" s="88"/>
      <c r="F69" s="88"/>
      <c r="G69" s="88"/>
      <c r="H69" s="88"/>
      <c r="I69" s="89"/>
      <c r="J69" s="89"/>
      <c r="K69" s="90"/>
    </row>
    <row r="70" spans="1:20" ht="16">
      <c r="A70" s="10" t="s">
        <v>28032</v>
      </c>
      <c r="B70" s="207"/>
      <c r="C70" s="207"/>
      <c r="D70" s="207"/>
      <c r="E70" s="207"/>
      <c r="F70" s="207"/>
      <c r="G70" s="207"/>
      <c r="H70" s="207"/>
      <c r="I70" s="207"/>
      <c r="J70" s="1175" t="s">
        <v>28033</v>
      </c>
      <c r="K70" s="1176"/>
    </row>
    <row r="71" spans="1:20" ht="17" thickBot="1">
      <c r="A71" s="6"/>
      <c r="B71" s="11"/>
      <c r="C71" s="11"/>
      <c r="D71" s="11"/>
      <c r="E71" s="11"/>
      <c r="F71" s="11"/>
      <c r="G71" s="11"/>
      <c r="H71" s="11"/>
      <c r="I71" s="11"/>
      <c r="J71" s="1177">
        <f>B64</f>
        <v>177.54800000000003</v>
      </c>
      <c r="K71" s="1178"/>
    </row>
    <row r="72" spans="1:20" ht="22">
      <c r="A72" s="4" t="s">
        <v>28028</v>
      </c>
      <c r="B72" s="1173" t="s">
        <v>28029</v>
      </c>
      <c r="C72" s="1173"/>
      <c r="D72" s="1173"/>
      <c r="E72" s="1173"/>
      <c r="F72" s="1173"/>
      <c r="G72" s="1173"/>
      <c r="H72" s="1173"/>
      <c r="I72" s="1173"/>
      <c r="J72" s="1173"/>
      <c r="K72" s="5" t="s">
        <v>28030</v>
      </c>
    </row>
    <row r="73" spans="1:20" ht="22" customHeight="1" thickBot="1">
      <c r="A73" s="682" t="s">
        <v>22917</v>
      </c>
      <c r="B73" s="1174" t="str">
        <f>VLOOKUP($A73, 'Plan Orçamentária'!$Q$2:$S$128267,2,FALSE)</f>
        <v>FD-24 FECHAMENTO DE DIVISA COM GRADIL ELETROFUNDIDO / BROCA (H=235CM)</v>
      </c>
      <c r="C73" s="1174"/>
      <c r="D73" s="1174"/>
      <c r="E73" s="1174"/>
      <c r="F73" s="1174"/>
      <c r="G73" s="1174"/>
      <c r="H73" s="1174"/>
      <c r="I73" s="1174"/>
      <c r="J73" s="1174"/>
      <c r="K73" s="12" t="str">
        <f>VLOOKUP($A73,'Plan Orçamentária'!$Q$2:$S$138267,3,FALSE)</f>
        <v>M</v>
      </c>
      <c r="L73" s="15">
        <f>J91</f>
        <v>50.7</v>
      </c>
    </row>
    <row r="74" spans="1:20">
      <c r="A74" s="86" t="s">
        <v>44396</v>
      </c>
      <c r="B74" s="14"/>
      <c r="C74" s="14"/>
      <c r="D74" s="14"/>
      <c r="E74" s="14"/>
      <c r="F74" s="14"/>
      <c r="G74" s="14"/>
      <c r="H74" s="14"/>
      <c r="I74" s="14"/>
      <c r="J74" s="14"/>
      <c r="K74" s="87"/>
    </row>
    <row r="75" spans="1:20" ht="16.5" customHeight="1">
      <c r="A75" s="16"/>
      <c r="B75" s="14"/>
      <c r="C75" s="14"/>
      <c r="D75" s="14"/>
      <c r="E75" s="14"/>
      <c r="F75" s="14"/>
      <c r="G75" s="14"/>
      <c r="H75" s="14"/>
      <c r="I75" s="14"/>
      <c r="J75" s="14"/>
      <c r="K75" s="87"/>
    </row>
    <row r="76" spans="1:20" ht="16.5" customHeight="1">
      <c r="A76" s="16"/>
      <c r="B76" s="803"/>
      <c r="C76" s="14"/>
      <c r="D76" s="14"/>
      <c r="E76" s="14"/>
      <c r="F76" s="14"/>
      <c r="G76" s="14"/>
      <c r="H76" s="14"/>
      <c r="I76" s="14"/>
      <c r="J76" s="14"/>
      <c r="K76" s="87"/>
    </row>
    <row r="77" spans="1:20" ht="16.5" customHeight="1">
      <c r="A77" s="16" t="s">
        <v>41784</v>
      </c>
      <c r="B77" s="14"/>
      <c r="C77" s="14">
        <f>9.98+3.38+37.34</f>
        <v>50.7</v>
      </c>
      <c r="D77" s="14" t="s">
        <v>165</v>
      </c>
      <c r="E77" s="14"/>
      <c r="F77" s="14"/>
      <c r="G77" s="14"/>
      <c r="H77" s="14"/>
      <c r="I77" s="14"/>
      <c r="J77" s="14"/>
      <c r="K77" s="87"/>
    </row>
    <row r="78" spans="1:20">
      <c r="A78" s="16"/>
      <c r="B78" s="14"/>
      <c r="C78" s="14"/>
      <c r="D78" s="14"/>
      <c r="E78" s="14"/>
      <c r="F78" s="14"/>
      <c r="G78" s="14"/>
      <c r="H78" s="14"/>
      <c r="I78" s="14"/>
      <c r="J78" s="14"/>
      <c r="K78" s="87"/>
    </row>
    <row r="79" spans="1:20" s="57" customFormat="1">
      <c r="A79" s="209"/>
      <c r="B79" s="208"/>
      <c r="C79" s="208"/>
      <c r="D79" s="14"/>
      <c r="E79" s="14"/>
      <c r="F79" s="14"/>
      <c r="G79" s="14"/>
      <c r="H79" s="14"/>
      <c r="I79" s="14"/>
      <c r="J79" s="14"/>
      <c r="K79" s="87"/>
    </row>
    <row r="80" spans="1:20">
      <c r="A80" s="16"/>
      <c r="B80" s="14"/>
      <c r="C80" s="14"/>
      <c r="D80" s="14"/>
      <c r="E80" s="14"/>
      <c r="F80" s="14"/>
      <c r="G80" s="14"/>
      <c r="H80" s="14"/>
      <c r="I80" s="14"/>
      <c r="J80" s="14"/>
      <c r="K80" s="87"/>
    </row>
    <row r="81" spans="1:20">
      <c r="A81" s="16"/>
      <c r="B81" s="14"/>
      <c r="C81" s="14"/>
      <c r="D81" s="14"/>
      <c r="E81" s="14"/>
      <c r="F81" s="14"/>
      <c r="G81" s="14"/>
      <c r="H81" s="14"/>
      <c r="I81" s="14"/>
      <c r="J81" s="14"/>
      <c r="K81" s="87"/>
    </row>
    <row r="82" spans="1:20">
      <c r="A82" s="16"/>
      <c r="B82" s="14"/>
      <c r="C82" s="14"/>
      <c r="D82" s="14"/>
      <c r="E82" s="14"/>
      <c r="F82" s="14"/>
      <c r="G82" s="14"/>
      <c r="H82" s="14"/>
      <c r="I82" s="14"/>
      <c r="J82" s="14"/>
      <c r="K82" s="87"/>
    </row>
    <row r="83" spans="1:20">
      <c r="A83" s="16"/>
      <c r="B83" s="14"/>
      <c r="C83" s="14"/>
      <c r="D83" s="88"/>
      <c r="E83" s="14"/>
      <c r="F83" s="14"/>
      <c r="G83" s="14"/>
      <c r="H83" s="88"/>
      <c r="I83" s="89"/>
      <c r="J83" s="89"/>
      <c r="K83" s="90"/>
    </row>
    <row r="84" spans="1:20">
      <c r="A84" s="16"/>
      <c r="B84" s="14"/>
      <c r="C84" s="14"/>
      <c r="D84" s="88"/>
      <c r="E84" s="14"/>
      <c r="F84" s="14"/>
      <c r="G84" s="14"/>
      <c r="H84" s="88"/>
      <c r="I84" s="89"/>
      <c r="J84" s="89"/>
      <c r="K84" s="90"/>
    </row>
    <row r="85" spans="1:20">
      <c r="A85" s="16"/>
      <c r="B85" s="14"/>
      <c r="C85" s="14"/>
      <c r="D85" s="88"/>
      <c r="E85" s="14"/>
      <c r="F85" s="14"/>
      <c r="G85" s="14"/>
      <c r="H85" s="88"/>
      <c r="I85" s="89"/>
      <c r="J85" s="89"/>
      <c r="K85" s="90"/>
    </row>
    <row r="86" spans="1:20">
      <c r="A86" s="16"/>
      <c r="B86" s="14"/>
      <c r="C86" s="14"/>
      <c r="D86" s="88"/>
      <c r="E86" s="14"/>
      <c r="F86" s="14"/>
      <c r="G86" s="14"/>
      <c r="H86" s="88"/>
      <c r="I86" s="89"/>
      <c r="J86" s="89"/>
      <c r="K86" s="90"/>
      <c r="T86" t="s">
        <v>40899</v>
      </c>
    </row>
    <row r="87" spans="1:20">
      <c r="A87" s="91"/>
      <c r="B87" s="88"/>
      <c r="C87" s="88"/>
      <c r="D87" s="88"/>
      <c r="E87" s="88"/>
      <c r="F87" s="88"/>
      <c r="G87" s="88"/>
      <c r="H87" s="88"/>
      <c r="I87" s="89"/>
      <c r="J87" s="89"/>
      <c r="K87" s="90"/>
    </row>
    <row r="88" spans="1:20">
      <c r="A88" s="91"/>
      <c r="B88" s="14"/>
      <c r="C88" s="88"/>
      <c r="D88" s="88"/>
      <c r="E88" s="14"/>
      <c r="F88" s="14"/>
      <c r="G88" s="14"/>
      <c r="H88" s="88"/>
      <c r="I88" s="89"/>
      <c r="J88" s="89"/>
      <c r="K88" s="90"/>
    </row>
    <row r="89" spans="1:20">
      <c r="A89" s="91"/>
      <c r="B89" s="88"/>
      <c r="C89" s="88"/>
      <c r="D89" s="88"/>
      <c r="E89" s="88"/>
      <c r="F89" s="88"/>
      <c r="G89" s="88"/>
      <c r="H89" s="88"/>
      <c r="I89" s="89"/>
      <c r="J89" s="89"/>
      <c r="K89" s="90"/>
    </row>
    <row r="90" spans="1:20" ht="16">
      <c r="A90" s="10" t="s">
        <v>28032</v>
      </c>
      <c r="B90" s="207"/>
      <c r="C90" s="207"/>
      <c r="D90" s="207"/>
      <c r="E90" s="207"/>
      <c r="F90" s="207"/>
      <c r="G90" s="207"/>
      <c r="H90" s="207"/>
      <c r="I90" s="207"/>
      <c r="J90" s="1175" t="s">
        <v>28033</v>
      </c>
      <c r="K90" s="1176"/>
    </row>
    <row r="91" spans="1:20" ht="17" thickBot="1">
      <c r="A91" s="6"/>
      <c r="B91" s="11"/>
      <c r="C91" s="11"/>
      <c r="D91" s="11"/>
      <c r="E91" s="11"/>
      <c r="F91" s="11"/>
      <c r="G91" s="11"/>
      <c r="H91" s="11"/>
      <c r="I91" s="11"/>
      <c r="J91" s="1177">
        <f>C77</f>
        <v>50.7</v>
      </c>
      <c r="K91" s="1178"/>
    </row>
    <row r="92" spans="1:20" ht="22">
      <c r="A92" s="4" t="s">
        <v>28028</v>
      </c>
      <c r="B92" s="1173" t="s">
        <v>28029</v>
      </c>
      <c r="C92" s="1173"/>
      <c r="D92" s="1173"/>
      <c r="E92" s="1173"/>
      <c r="F92" s="1173"/>
      <c r="G92" s="1173"/>
      <c r="H92" s="1173"/>
      <c r="I92" s="1173"/>
      <c r="J92" s="1173"/>
      <c r="K92" s="5" t="s">
        <v>28030</v>
      </c>
    </row>
    <row r="93" spans="1:20" ht="22" customHeight="1" thickBot="1">
      <c r="A93" s="682" t="s">
        <v>13990</v>
      </c>
      <c r="B93" s="1174" t="str">
        <f>VLOOKUP($A93, 'Plan Orçamentária'!$Q$2:$S$128267,2,FALSE)</f>
        <v>PORTÃO DE ABRIR EM GRADE DE AÇO GALVANIZADO ELETROFUNDIDA, MALHA 65 X 132 MM, E PINTURA ELETROSTÁTICA</v>
      </c>
      <c r="C93" s="1174"/>
      <c r="D93" s="1174"/>
      <c r="E93" s="1174"/>
      <c r="F93" s="1174"/>
      <c r="G93" s="1174"/>
      <c r="H93" s="1174"/>
      <c r="I93" s="1174"/>
      <c r="J93" s="1174"/>
      <c r="K93" s="12" t="str">
        <f>VLOOKUP($A93,'Plan Orçamentária'!$Q$2:$S$138267,3,FALSE)</f>
        <v>M2</v>
      </c>
      <c r="L93" s="15">
        <f>J111</f>
        <v>7.25</v>
      </c>
    </row>
    <row r="94" spans="1:20">
      <c r="A94" s="86" t="s">
        <v>44396</v>
      </c>
      <c r="B94" s="14"/>
      <c r="C94" s="14"/>
      <c r="D94" s="14"/>
      <c r="E94" s="14"/>
      <c r="F94" s="14"/>
      <c r="G94" s="14"/>
      <c r="H94" s="14"/>
      <c r="I94" s="14"/>
      <c r="J94" s="14"/>
      <c r="K94" s="87"/>
    </row>
    <row r="95" spans="1:20" ht="16.5" customHeight="1">
      <c r="A95" s="16"/>
      <c r="B95" s="14"/>
      <c r="C95" s="14"/>
      <c r="D95" s="14"/>
      <c r="E95" s="14"/>
      <c r="F95" s="14"/>
      <c r="G95" s="14"/>
      <c r="H95" s="14"/>
      <c r="I95" s="14"/>
      <c r="J95" s="14"/>
      <c r="K95" s="87"/>
    </row>
    <row r="96" spans="1:20" ht="16.5" customHeight="1">
      <c r="A96" s="16"/>
      <c r="B96" s="803"/>
      <c r="C96" s="14"/>
      <c r="D96" s="14"/>
      <c r="E96" s="14"/>
      <c r="F96" s="14"/>
      <c r="G96" s="14"/>
      <c r="H96" s="14"/>
      <c r="I96" s="14"/>
      <c r="J96" s="14"/>
      <c r="K96" s="87"/>
    </row>
    <row r="97" spans="1:20" ht="16.5" customHeight="1">
      <c r="A97" s="16" t="s">
        <v>44502</v>
      </c>
      <c r="B97" s="14"/>
      <c r="C97" s="14">
        <f>2.9*2.5</f>
        <v>7.25</v>
      </c>
      <c r="D97" s="14" t="s">
        <v>509</v>
      </c>
      <c r="E97" s="14"/>
      <c r="F97" s="14"/>
      <c r="G97" s="14"/>
      <c r="H97" s="14"/>
      <c r="I97" s="14"/>
      <c r="J97" s="14"/>
      <c r="K97" s="87"/>
    </row>
    <row r="98" spans="1:20">
      <c r="A98" s="16"/>
      <c r="B98" s="14"/>
      <c r="C98" s="14"/>
      <c r="D98" s="14"/>
      <c r="E98" s="14"/>
      <c r="F98" s="14"/>
      <c r="G98" s="14"/>
      <c r="H98" s="14"/>
      <c r="I98" s="14"/>
      <c r="J98" s="14"/>
      <c r="K98" s="87"/>
    </row>
    <row r="99" spans="1:20" s="57" customFormat="1">
      <c r="A99" s="209"/>
      <c r="B99" s="208"/>
      <c r="C99" s="208"/>
      <c r="D99" s="14"/>
      <c r="E99" s="14"/>
      <c r="F99" s="14"/>
      <c r="G99" s="14"/>
      <c r="H99" s="14"/>
      <c r="I99" s="14"/>
      <c r="J99" s="14"/>
      <c r="K99" s="87"/>
    </row>
    <row r="100" spans="1:20">
      <c r="A100" s="16"/>
      <c r="B100" s="14"/>
      <c r="C100" s="14"/>
      <c r="D100" s="14"/>
      <c r="E100" s="14"/>
      <c r="F100" s="14"/>
      <c r="G100" s="14"/>
      <c r="H100" s="14"/>
      <c r="I100" s="14"/>
      <c r="J100" s="14"/>
      <c r="K100" s="87"/>
    </row>
    <row r="101" spans="1:20">
      <c r="A101" s="16"/>
      <c r="B101" s="14"/>
      <c r="C101" s="14"/>
      <c r="D101" s="14"/>
      <c r="E101" s="14"/>
      <c r="F101" s="14"/>
      <c r="G101" s="14"/>
      <c r="H101" s="14"/>
      <c r="I101" s="14"/>
      <c r="J101" s="14"/>
      <c r="K101" s="87"/>
    </row>
    <row r="102" spans="1:20">
      <c r="A102" s="16"/>
      <c r="B102" s="14"/>
      <c r="C102" s="14"/>
      <c r="D102" s="14"/>
      <c r="E102" s="14"/>
      <c r="F102" s="14"/>
      <c r="G102" s="14"/>
      <c r="H102" s="14"/>
      <c r="I102" s="14"/>
      <c r="J102" s="14"/>
      <c r="K102" s="87"/>
    </row>
    <row r="103" spans="1:20">
      <c r="A103" s="16"/>
      <c r="B103" s="14"/>
      <c r="C103" s="14"/>
      <c r="D103" s="88"/>
      <c r="E103" s="14"/>
      <c r="F103" s="14"/>
      <c r="G103" s="14"/>
      <c r="H103" s="88"/>
      <c r="I103" s="89"/>
      <c r="J103" s="89"/>
      <c r="K103" s="90"/>
    </row>
    <row r="104" spans="1:20">
      <c r="A104" s="16"/>
      <c r="B104" s="14"/>
      <c r="C104" s="14"/>
      <c r="D104" s="88"/>
      <c r="E104" s="14"/>
      <c r="F104" s="14"/>
      <c r="G104" s="14"/>
      <c r="H104" s="88"/>
      <c r="I104" s="89"/>
      <c r="J104" s="89"/>
      <c r="K104" s="90"/>
    </row>
    <row r="105" spans="1:20">
      <c r="A105" s="16"/>
      <c r="B105" s="14"/>
      <c r="C105" s="14"/>
      <c r="D105" s="88"/>
      <c r="E105" s="14"/>
      <c r="F105" s="14"/>
      <c r="G105" s="14"/>
      <c r="H105" s="88"/>
      <c r="I105" s="89"/>
      <c r="J105" s="89"/>
      <c r="K105" s="90"/>
    </row>
    <row r="106" spans="1:20">
      <c r="A106" s="16"/>
      <c r="B106" s="14"/>
      <c r="C106" s="14"/>
      <c r="D106" s="88"/>
      <c r="E106" s="14"/>
      <c r="F106" s="14"/>
      <c r="G106" s="14"/>
      <c r="H106" s="88"/>
      <c r="I106" s="89"/>
      <c r="J106" s="89"/>
      <c r="K106" s="90"/>
      <c r="T106" t="s">
        <v>40899</v>
      </c>
    </row>
    <row r="107" spans="1:20">
      <c r="A107" s="91"/>
      <c r="B107" s="88"/>
      <c r="C107" s="88"/>
      <c r="D107" s="88"/>
      <c r="E107" s="88"/>
      <c r="F107" s="88"/>
      <c r="G107" s="88"/>
      <c r="H107" s="88"/>
      <c r="I107" s="89"/>
      <c r="J107" s="89"/>
      <c r="K107" s="90"/>
    </row>
    <row r="108" spans="1:20">
      <c r="A108" s="91"/>
      <c r="B108" s="14"/>
      <c r="C108" s="88"/>
      <c r="D108" s="88"/>
      <c r="E108" s="14"/>
      <c r="F108" s="14"/>
      <c r="G108" s="14"/>
      <c r="H108" s="88"/>
      <c r="I108" s="89"/>
      <c r="J108" s="89"/>
      <c r="K108" s="90"/>
    </row>
    <row r="109" spans="1:20">
      <c r="A109" s="91"/>
      <c r="B109" s="88"/>
      <c r="C109" s="88"/>
      <c r="D109" s="88"/>
      <c r="E109" s="88"/>
      <c r="F109" s="88"/>
      <c r="G109" s="88"/>
      <c r="H109" s="88"/>
      <c r="I109" s="89"/>
      <c r="J109" s="89"/>
      <c r="K109" s="90"/>
    </row>
    <row r="110" spans="1:20" ht="16">
      <c r="A110" s="10" t="s">
        <v>28032</v>
      </c>
      <c r="B110" s="207"/>
      <c r="C110" s="207"/>
      <c r="D110" s="207"/>
      <c r="E110" s="207"/>
      <c r="F110" s="207"/>
      <c r="G110" s="207"/>
      <c r="H110" s="207"/>
      <c r="I110" s="207"/>
      <c r="J110" s="1175" t="s">
        <v>28033</v>
      </c>
      <c r="K110" s="1176"/>
    </row>
    <row r="111" spans="1:20" ht="17" thickBot="1">
      <c r="A111" s="6"/>
      <c r="B111" s="11"/>
      <c r="C111" s="11"/>
      <c r="D111" s="11"/>
      <c r="E111" s="11"/>
      <c r="F111" s="11"/>
      <c r="G111" s="11"/>
      <c r="H111" s="11"/>
      <c r="I111" s="11"/>
      <c r="J111" s="1177">
        <f>C97</f>
        <v>7.25</v>
      </c>
      <c r="K111" s="1178"/>
    </row>
    <row r="112" spans="1:20" ht="22">
      <c r="A112" s="4" t="s">
        <v>28028</v>
      </c>
      <c r="B112" s="1173" t="s">
        <v>28029</v>
      </c>
      <c r="C112" s="1173"/>
      <c r="D112" s="1173"/>
      <c r="E112" s="1173"/>
      <c r="F112" s="1173"/>
      <c r="G112" s="1173"/>
      <c r="H112" s="1173"/>
      <c r="I112" s="1173"/>
      <c r="J112" s="1173"/>
      <c r="K112" s="5" t="s">
        <v>28030</v>
      </c>
    </row>
    <row r="113" spans="1:20" ht="22" customHeight="1" thickBot="1">
      <c r="A113" s="682" t="s">
        <v>12326</v>
      </c>
      <c r="B113" s="1174" t="str">
        <f>VLOOKUP($A113, 'Plan Orçamentária'!$Q$2:$S$128267,2,FALSE)</f>
        <v>EMBOÇO COMUM</v>
      </c>
      <c r="C113" s="1174"/>
      <c r="D113" s="1174"/>
      <c r="E113" s="1174"/>
      <c r="F113" s="1174"/>
      <c r="G113" s="1174"/>
      <c r="H113" s="1174"/>
      <c r="I113" s="1174"/>
      <c r="J113" s="1174"/>
      <c r="K113" s="12" t="str">
        <f>VLOOKUP($A113,'Plan Orçamentária'!$Q$2:$S$138267,3,FALSE)</f>
        <v>M2</v>
      </c>
      <c r="L113" s="15">
        <f>J131</f>
        <v>50.7</v>
      </c>
    </row>
    <row r="114" spans="1:20">
      <c r="A114" s="86" t="s">
        <v>44396</v>
      </c>
      <c r="B114" s="14"/>
      <c r="C114" s="14"/>
      <c r="D114" s="14"/>
      <c r="E114" s="14"/>
      <c r="F114" s="14"/>
      <c r="G114" s="14"/>
      <c r="H114" s="14"/>
      <c r="I114" s="14"/>
      <c r="J114" s="14"/>
      <c r="K114" s="87"/>
    </row>
    <row r="115" spans="1:20" ht="16.5" customHeight="1">
      <c r="A115" s="16"/>
      <c r="B115" s="14"/>
      <c r="C115" s="14"/>
      <c r="D115" s="14"/>
      <c r="E115" s="14"/>
      <c r="F115" s="14"/>
      <c r="G115" s="14"/>
      <c r="H115" s="14"/>
      <c r="I115" s="14"/>
      <c r="J115" s="14"/>
      <c r="K115" s="87"/>
    </row>
    <row r="116" spans="1:20" ht="16.5" customHeight="1">
      <c r="A116" s="16"/>
      <c r="B116" s="803"/>
      <c r="C116" s="14"/>
      <c r="D116" s="14"/>
      <c r="E116" s="14"/>
      <c r="F116" s="14"/>
      <c r="G116" s="14"/>
      <c r="H116" s="14"/>
      <c r="I116" s="14"/>
      <c r="J116" s="14"/>
      <c r="K116" s="87"/>
    </row>
    <row r="117" spans="1:20" ht="16.5" customHeight="1">
      <c r="A117" s="16" t="s">
        <v>41784</v>
      </c>
      <c r="B117" s="14"/>
      <c r="C117" s="14">
        <f>9.98+3.38+37.34</f>
        <v>50.7</v>
      </c>
      <c r="D117" s="14" t="s">
        <v>165</v>
      </c>
      <c r="E117" s="14"/>
      <c r="F117" s="14"/>
      <c r="G117" s="14"/>
      <c r="H117" s="14"/>
      <c r="I117" s="14"/>
      <c r="J117" s="14"/>
      <c r="K117" s="87"/>
    </row>
    <row r="118" spans="1:20">
      <c r="A118" s="16" t="s">
        <v>28479</v>
      </c>
      <c r="B118" s="14"/>
      <c r="C118" s="14">
        <v>0.5</v>
      </c>
      <c r="D118" s="14" t="s">
        <v>165</v>
      </c>
      <c r="E118" s="14"/>
      <c r="F118" s="14"/>
      <c r="G118" s="14"/>
      <c r="H118" s="14"/>
      <c r="I118" s="14"/>
      <c r="J118" s="14"/>
      <c r="K118" s="87"/>
    </row>
    <row r="119" spans="1:20" s="57" customFormat="1">
      <c r="A119" s="209"/>
      <c r="B119" s="208"/>
      <c r="C119" s="208"/>
      <c r="D119" s="14"/>
      <c r="E119" s="14"/>
      <c r="F119" s="14"/>
      <c r="G119" s="14"/>
      <c r="H119" s="14"/>
      <c r="I119" s="14"/>
      <c r="J119" s="14"/>
      <c r="K119" s="87"/>
    </row>
    <row r="120" spans="1:20">
      <c r="A120" s="16" t="s">
        <v>27889</v>
      </c>
      <c r="B120" s="14"/>
      <c r="C120" s="14">
        <f>C118*C117*2</f>
        <v>50.7</v>
      </c>
      <c r="D120" s="14" t="s">
        <v>509</v>
      </c>
      <c r="E120" s="14"/>
      <c r="F120" s="14"/>
      <c r="G120" s="14"/>
      <c r="H120" s="14"/>
      <c r="I120" s="14"/>
      <c r="J120" s="14"/>
      <c r="K120" s="87"/>
    </row>
    <row r="121" spans="1:20">
      <c r="A121" s="16"/>
      <c r="B121" s="14"/>
      <c r="C121" s="14"/>
      <c r="D121" s="14"/>
      <c r="E121" s="14"/>
      <c r="F121" s="14"/>
      <c r="G121" s="14"/>
      <c r="H121" s="14"/>
      <c r="I121" s="14"/>
      <c r="J121" s="14"/>
      <c r="K121" s="87"/>
    </row>
    <row r="122" spans="1:20">
      <c r="A122" s="16"/>
      <c r="B122" s="14"/>
      <c r="C122" s="14"/>
      <c r="D122" s="14"/>
      <c r="E122" s="14"/>
      <c r="F122" s="14"/>
      <c r="G122" s="14"/>
      <c r="H122" s="14"/>
      <c r="I122" s="14"/>
      <c r="J122" s="14"/>
      <c r="K122" s="87"/>
    </row>
    <row r="123" spans="1:20">
      <c r="A123" s="16"/>
      <c r="B123" s="14"/>
      <c r="C123" s="14"/>
      <c r="D123" s="88"/>
      <c r="E123" s="14"/>
      <c r="F123" s="14"/>
      <c r="G123" s="14"/>
      <c r="H123" s="88"/>
      <c r="I123" s="89"/>
      <c r="J123" s="89"/>
      <c r="K123" s="90"/>
    </row>
    <row r="124" spans="1:20">
      <c r="A124" s="16"/>
      <c r="B124" s="14"/>
      <c r="C124" s="14"/>
      <c r="D124" s="88"/>
      <c r="E124" s="14"/>
      <c r="F124" s="14"/>
      <c r="G124" s="14"/>
      <c r="H124" s="88"/>
      <c r="I124" s="89"/>
      <c r="J124" s="89"/>
      <c r="K124" s="90"/>
    </row>
    <row r="125" spans="1:20">
      <c r="A125" s="16"/>
      <c r="B125" s="14"/>
      <c r="C125" s="14"/>
      <c r="D125" s="88"/>
      <c r="E125" s="14"/>
      <c r="F125" s="14"/>
      <c r="G125" s="14"/>
      <c r="H125" s="88"/>
      <c r="I125" s="89"/>
      <c r="J125" s="89"/>
      <c r="K125" s="90"/>
    </row>
    <row r="126" spans="1:20">
      <c r="A126" s="16"/>
      <c r="B126" s="14"/>
      <c r="C126" s="14"/>
      <c r="D126" s="88"/>
      <c r="E126" s="14"/>
      <c r="F126" s="14"/>
      <c r="G126" s="14"/>
      <c r="H126" s="88"/>
      <c r="I126" s="89"/>
      <c r="J126" s="89"/>
      <c r="K126" s="90"/>
      <c r="T126" t="s">
        <v>40899</v>
      </c>
    </row>
    <row r="127" spans="1:20">
      <c r="A127" s="91"/>
      <c r="B127" s="88"/>
      <c r="C127" s="88"/>
      <c r="D127" s="88"/>
      <c r="E127" s="88"/>
      <c r="F127" s="88"/>
      <c r="G127" s="88"/>
      <c r="H127" s="88"/>
      <c r="I127" s="89"/>
      <c r="J127" s="89"/>
      <c r="K127" s="90"/>
    </row>
    <row r="128" spans="1:20">
      <c r="A128" s="91"/>
      <c r="B128" s="14"/>
      <c r="C128" s="88"/>
      <c r="D128" s="88"/>
      <c r="E128" s="14"/>
      <c r="F128" s="14"/>
      <c r="G128" s="14"/>
      <c r="H128" s="88"/>
      <c r="I128" s="89"/>
      <c r="J128" s="89"/>
      <c r="K128" s="90"/>
    </row>
    <row r="129" spans="1:11">
      <c r="A129" s="91"/>
      <c r="B129" s="88"/>
      <c r="C129" s="88"/>
      <c r="D129" s="88"/>
      <c r="E129" s="88"/>
      <c r="F129" s="88"/>
      <c r="G129" s="88"/>
      <c r="H129" s="88"/>
      <c r="I129" s="89"/>
      <c r="J129" s="89"/>
      <c r="K129" s="90"/>
    </row>
    <row r="130" spans="1:11" ht="16">
      <c r="A130" s="10" t="s">
        <v>28032</v>
      </c>
      <c r="B130" s="207"/>
      <c r="C130" s="207"/>
      <c r="D130" s="207"/>
      <c r="E130" s="207"/>
      <c r="F130" s="207"/>
      <c r="G130" s="207"/>
      <c r="H130" s="207"/>
      <c r="I130" s="207"/>
      <c r="J130" s="1175" t="s">
        <v>28033</v>
      </c>
      <c r="K130" s="1176"/>
    </row>
    <row r="131" spans="1:11" ht="17" thickBot="1">
      <c r="A131" s="6"/>
      <c r="B131" s="11"/>
      <c r="C131" s="11"/>
      <c r="D131" s="11"/>
      <c r="E131" s="11"/>
      <c r="F131" s="11"/>
      <c r="G131" s="11"/>
      <c r="H131" s="11"/>
      <c r="I131" s="11"/>
      <c r="J131" s="1177">
        <f>C120</f>
        <v>50.7</v>
      </c>
      <c r="K131" s="1178"/>
    </row>
  </sheetData>
  <mergeCells count="27">
    <mergeCell ref="B73:J73"/>
    <mergeCell ref="B92:J92"/>
    <mergeCell ref="B93:J93"/>
    <mergeCell ref="J110:K110"/>
    <mergeCell ref="J111:K111"/>
    <mergeCell ref="J71:K71"/>
    <mergeCell ref="B12:J12"/>
    <mergeCell ref="B13:J13"/>
    <mergeCell ref="J30:K30"/>
    <mergeCell ref="J31:K31"/>
    <mergeCell ref="B32:J32"/>
    <mergeCell ref="J131:K131"/>
    <mergeCell ref="A1:K1"/>
    <mergeCell ref="A2:K10"/>
    <mergeCell ref="B11:K11"/>
    <mergeCell ref="B112:J112"/>
    <mergeCell ref="B113:J113"/>
    <mergeCell ref="J130:K130"/>
    <mergeCell ref="J50:K50"/>
    <mergeCell ref="J51:K51"/>
    <mergeCell ref="B52:J52"/>
    <mergeCell ref="B72:J72"/>
    <mergeCell ref="B33:J33"/>
    <mergeCell ref="J90:K90"/>
    <mergeCell ref="J91:K91"/>
    <mergeCell ref="B53:J53"/>
    <mergeCell ref="J70:K70"/>
  </mergeCells>
  <conditionalFormatting sqref="A113">
    <cfRule type="expression" dxfId="17" priority="32">
      <formula>$M113="NÍVEL 1"</formula>
    </cfRule>
    <cfRule type="expression" dxfId="16" priority="33">
      <formula>$M113="NÍVEL 2"</formula>
    </cfRule>
  </conditionalFormatting>
  <conditionalFormatting sqref="A113">
    <cfRule type="expression" dxfId="15" priority="31" stopIfTrue="1">
      <formula>$M113="NÍVEL 3"</formula>
    </cfRule>
  </conditionalFormatting>
  <conditionalFormatting sqref="A13">
    <cfRule type="expression" dxfId="14" priority="14">
      <formula>$M13="NÍVEL 1"</formula>
    </cfRule>
    <cfRule type="expression" dxfId="13" priority="15">
      <formula>$M13="NÍVEL 2"</formula>
    </cfRule>
  </conditionalFormatting>
  <conditionalFormatting sqref="A13">
    <cfRule type="expression" dxfId="12" priority="13" stopIfTrue="1">
      <formula>$M13="NÍVEL 3"</formula>
    </cfRule>
  </conditionalFormatting>
  <conditionalFormatting sqref="A33">
    <cfRule type="expression" dxfId="11" priority="11">
      <formula>$M33="NÍVEL 1"</formula>
    </cfRule>
    <cfRule type="expression" dxfId="10" priority="12">
      <formula>$M33="NÍVEL 2"</formula>
    </cfRule>
  </conditionalFormatting>
  <conditionalFormatting sqref="A33">
    <cfRule type="expression" dxfId="9" priority="10" stopIfTrue="1">
      <formula>$M33="NÍVEL 3"</formula>
    </cfRule>
  </conditionalFormatting>
  <conditionalFormatting sqref="A53">
    <cfRule type="expression" dxfId="8" priority="8">
      <formula>$M53="NÍVEL 1"</formula>
    </cfRule>
    <cfRule type="expression" dxfId="7" priority="9">
      <formula>$M53="NÍVEL 2"</formula>
    </cfRule>
  </conditionalFormatting>
  <conditionalFormatting sqref="A53">
    <cfRule type="expression" dxfId="6" priority="7" stopIfTrue="1">
      <formula>$M53="NÍVEL 3"</formula>
    </cfRule>
  </conditionalFormatting>
  <conditionalFormatting sqref="A73">
    <cfRule type="expression" dxfId="5" priority="5">
      <formula>$M73="NÍVEL 1"</formula>
    </cfRule>
    <cfRule type="expression" dxfId="4" priority="6">
      <formula>$M73="NÍVEL 2"</formula>
    </cfRule>
  </conditionalFormatting>
  <conditionalFormatting sqref="A73">
    <cfRule type="expression" dxfId="3" priority="4" stopIfTrue="1">
      <formula>$M73="NÍVEL 3"</formula>
    </cfRule>
  </conditionalFormatting>
  <conditionalFormatting sqref="A93">
    <cfRule type="expression" dxfId="2" priority="2">
      <formula>$M93="NÍVEL 1"</formula>
    </cfRule>
    <cfRule type="expression" dxfId="1" priority="3">
      <formula>$M93="NÍVEL 2"</formula>
    </cfRule>
  </conditionalFormatting>
  <conditionalFormatting sqref="A93">
    <cfRule type="expression" dxfId="0" priority="1" stopIfTrue="1">
      <formula>$M93="NÍVEL 3"</formula>
    </cfRule>
  </conditionalFormatting>
  <pageMargins left="0.51181102362204722" right="0.51181102362204722" top="0.78740157480314965" bottom="0.78740157480314965" header="0.31496062992125984" footer="0.31496062992125984"/>
  <pageSetup paperSize="9" scale="85" fitToHeight="0"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8CC4A-CA81-4268-9F5B-3899BCECA5EE}">
  <sheetPr codeName="Planilha29">
    <pageSetUpPr fitToPage="1"/>
  </sheetPr>
  <dimension ref="A1:L111"/>
  <sheetViews>
    <sheetView view="pageBreakPreview" topLeftCell="A69" zoomScaleNormal="100" zoomScaleSheetLayoutView="100" workbookViewId="0">
      <selection activeCell="A260" sqref="A260"/>
    </sheetView>
  </sheetViews>
  <sheetFormatPr baseColWidth="10" defaultColWidth="9.1640625" defaultRowHeight="15"/>
  <cols>
    <col min="1" max="1" width="10.5" customWidth="1"/>
    <col min="2" max="2" width="10.5" bestFit="1" customWidth="1"/>
    <col min="12" max="12" width="9.5" bestFit="1" customWidth="1"/>
  </cols>
  <sheetData>
    <row r="1" spans="1:12" ht="17" thickBot="1">
      <c r="A1" s="1159" t="s">
        <v>44393</v>
      </c>
      <c r="B1" s="1160"/>
      <c r="C1" s="1160"/>
      <c r="D1" s="1160"/>
      <c r="E1" s="1160"/>
      <c r="F1" s="1160"/>
      <c r="G1" s="1160"/>
      <c r="H1" s="1160"/>
      <c r="I1" s="1160"/>
      <c r="J1" s="1160"/>
      <c r="K1" s="1161"/>
    </row>
    <row r="2" spans="1:12">
      <c r="A2" s="1162"/>
      <c r="B2" s="1163"/>
      <c r="C2" s="1163"/>
      <c r="D2" s="1163"/>
      <c r="E2" s="1163"/>
      <c r="F2" s="1163"/>
      <c r="G2" s="1163"/>
      <c r="H2" s="1163"/>
      <c r="I2" s="1163"/>
      <c r="J2" s="1163"/>
      <c r="K2" s="1164"/>
    </row>
    <row r="3" spans="1:12" ht="15" customHeight="1">
      <c r="A3" s="1165"/>
      <c r="B3" s="1166"/>
      <c r="C3" s="1166"/>
      <c r="D3" s="1166"/>
      <c r="E3" s="1166"/>
      <c r="F3" s="1166"/>
      <c r="G3" s="1166"/>
      <c r="H3" s="1166"/>
      <c r="I3" s="1166"/>
      <c r="J3" s="1166"/>
      <c r="K3" s="1167"/>
    </row>
    <row r="4" spans="1:12" ht="15" customHeight="1">
      <c r="A4" s="1165"/>
      <c r="B4" s="1166"/>
      <c r="C4" s="1166"/>
      <c r="D4" s="1166"/>
      <c r="E4" s="1166"/>
      <c r="F4" s="1166"/>
      <c r="G4" s="1166"/>
      <c r="H4" s="1166"/>
      <c r="I4" s="1166"/>
      <c r="J4" s="1166"/>
      <c r="K4" s="1167"/>
    </row>
    <row r="5" spans="1:12" ht="16.5" customHeight="1">
      <c r="A5" s="1165"/>
      <c r="B5" s="1166"/>
      <c r="C5" s="1166"/>
      <c r="D5" s="1166"/>
      <c r="E5" s="1166"/>
      <c r="F5" s="1166"/>
      <c r="G5" s="1166"/>
      <c r="H5" s="1166"/>
      <c r="I5" s="1166"/>
      <c r="J5" s="1166"/>
      <c r="K5" s="1167"/>
    </row>
    <row r="6" spans="1:12" ht="16.5" customHeight="1">
      <c r="A6" s="1165"/>
      <c r="B6" s="1166"/>
      <c r="C6" s="1166"/>
      <c r="D6" s="1166"/>
      <c r="E6" s="1166"/>
      <c r="F6" s="1166"/>
      <c r="G6" s="1166"/>
      <c r="H6" s="1166"/>
      <c r="I6" s="1166"/>
      <c r="J6" s="1166"/>
      <c r="K6" s="1167"/>
    </row>
    <row r="7" spans="1:12" ht="18" customHeight="1">
      <c r="A7" s="1165"/>
      <c r="B7" s="1166"/>
      <c r="C7" s="1166"/>
      <c r="D7" s="1166"/>
      <c r="E7" s="1166"/>
      <c r="F7" s="1166"/>
      <c r="G7" s="1166"/>
      <c r="H7" s="1166"/>
      <c r="I7" s="1166"/>
      <c r="J7" s="1166"/>
      <c r="K7" s="1167"/>
    </row>
    <row r="8" spans="1:12" ht="18" customHeight="1">
      <c r="A8" s="1165"/>
      <c r="B8" s="1166"/>
      <c r="C8" s="1166"/>
      <c r="D8" s="1166"/>
      <c r="E8" s="1166"/>
      <c r="F8" s="1166"/>
      <c r="G8" s="1166"/>
      <c r="H8" s="1166"/>
      <c r="I8" s="1166"/>
      <c r="J8" s="1166"/>
      <c r="K8" s="1167"/>
    </row>
    <row r="9" spans="1:12" ht="18" customHeight="1">
      <c r="A9" s="1165"/>
      <c r="B9" s="1166"/>
      <c r="C9" s="1166"/>
      <c r="D9" s="1166"/>
      <c r="E9" s="1166"/>
      <c r="F9" s="1166"/>
      <c r="G9" s="1166"/>
      <c r="H9" s="1166"/>
      <c r="I9" s="1166"/>
      <c r="J9" s="1166"/>
      <c r="K9" s="1167"/>
    </row>
    <row r="10" spans="1:12" ht="18" customHeight="1">
      <c r="A10" s="1168"/>
      <c r="B10" s="1169"/>
      <c r="C10" s="1169"/>
      <c r="D10" s="1169"/>
      <c r="E10" s="1169"/>
      <c r="F10" s="1169"/>
      <c r="G10" s="1169"/>
      <c r="H10" s="1169"/>
      <c r="I10" s="1169"/>
      <c r="J10" s="1169"/>
      <c r="K10" s="1170"/>
    </row>
    <row r="11" spans="1:12" ht="16" thickBot="1">
      <c r="A11" s="56" t="s">
        <v>28027</v>
      </c>
      <c r="B11" s="1171" t="str">
        <f>'Plan Orçamentária'!P4</f>
        <v>ADEQUAÇÃO E AMPLIAÇÃO DE IMÓVEL PARA A INSTALAÇÃO DA DELEGACIA DE DEFESA DA MULHER</v>
      </c>
      <c r="C11" s="1171"/>
      <c r="D11" s="1171"/>
      <c r="E11" s="1171"/>
      <c r="F11" s="1171"/>
      <c r="G11" s="1171"/>
      <c r="H11" s="1171"/>
      <c r="I11" s="1171"/>
      <c r="J11" s="1171"/>
      <c r="K11" s="1172"/>
    </row>
    <row r="12" spans="1:12" ht="22">
      <c r="A12" s="4" t="s">
        <v>28028</v>
      </c>
      <c r="B12" s="1173" t="s">
        <v>28029</v>
      </c>
      <c r="C12" s="1173"/>
      <c r="D12" s="1173"/>
      <c r="E12" s="1173"/>
      <c r="F12" s="1173"/>
      <c r="G12" s="1173"/>
      <c r="H12" s="1173"/>
      <c r="I12" s="1173"/>
      <c r="J12" s="1173"/>
      <c r="K12" s="5" t="s">
        <v>28030</v>
      </c>
    </row>
    <row r="13" spans="1:12" ht="22" customHeight="1" thickBot="1">
      <c r="A13" s="94" t="s">
        <v>17786</v>
      </c>
      <c r="B13" s="1174" t="str">
        <f>VLOOKUP($A13, 'Plan Orçamentária'!$Q$2:$S$128267,2,FALSE)</f>
        <v>ELEVADOR PARA PASSAGEIROS, USO INTERNO COM CAPACIDADE MÍNIMA DE 600 KG PARA DUAS PARADAS, PORTAS UNILATERAIS</v>
      </c>
      <c r="C13" s="1174"/>
      <c r="D13" s="1174"/>
      <c r="E13" s="1174"/>
      <c r="F13" s="1174"/>
      <c r="G13" s="1174"/>
      <c r="H13" s="1174"/>
      <c r="I13" s="1174"/>
      <c r="J13" s="1174"/>
      <c r="K13" s="12" t="str">
        <f>VLOOKUP($A13,'Plan Orçamentária'!$Q$2:$S$138267,3,FALSE)</f>
        <v>CJ</v>
      </c>
      <c r="L13" s="15">
        <f>J31</f>
        <v>1</v>
      </c>
    </row>
    <row r="14" spans="1:12">
      <c r="A14" s="86" t="s">
        <v>44337</v>
      </c>
      <c r="B14" s="14"/>
      <c r="C14" s="14"/>
      <c r="D14" s="14"/>
      <c r="E14" s="14"/>
      <c r="F14" s="14"/>
      <c r="G14" s="14"/>
      <c r="H14" s="14"/>
      <c r="I14" s="14"/>
      <c r="J14" s="14"/>
      <c r="K14" s="87"/>
    </row>
    <row r="15" spans="1:12" ht="16.5" customHeight="1">
      <c r="A15" s="16"/>
      <c r="B15" s="14"/>
      <c r="C15" s="14"/>
      <c r="D15" s="14"/>
      <c r="E15" s="14"/>
      <c r="F15" s="14"/>
      <c r="G15" s="14"/>
      <c r="H15" s="14"/>
      <c r="I15" s="14"/>
      <c r="J15" s="14"/>
      <c r="K15" s="87"/>
    </row>
    <row r="16" spans="1:12" ht="16.5" customHeight="1">
      <c r="A16" s="16" t="s">
        <v>28041</v>
      </c>
      <c r="B16" s="233">
        <v>1</v>
      </c>
      <c r="C16" s="14" t="str">
        <f>K13</f>
        <v>CJ</v>
      </c>
      <c r="D16" s="14"/>
      <c r="E16" s="14"/>
      <c r="F16" s="14"/>
      <c r="G16" s="14"/>
      <c r="H16" s="14"/>
      <c r="I16" s="14"/>
      <c r="J16" s="14"/>
      <c r="K16" s="87"/>
    </row>
    <row r="17" spans="1:11" ht="16.5" customHeight="1">
      <c r="A17" s="16"/>
      <c r="B17" s="234"/>
      <c r="C17" s="14"/>
      <c r="D17" s="14"/>
      <c r="E17" s="14"/>
      <c r="F17" s="14"/>
      <c r="G17" s="14"/>
      <c r="H17" s="14"/>
      <c r="I17" s="14"/>
      <c r="J17" s="14"/>
      <c r="K17" s="87"/>
    </row>
    <row r="18" spans="1:11">
      <c r="A18" s="16"/>
      <c r="B18" s="14"/>
      <c r="C18" s="14"/>
      <c r="D18" s="14"/>
      <c r="E18" s="14"/>
      <c r="F18" s="14"/>
      <c r="G18" s="14"/>
      <c r="H18" s="14"/>
      <c r="I18" s="14"/>
      <c r="J18" s="14"/>
      <c r="K18" s="87"/>
    </row>
    <row r="19" spans="1:11" s="57" customFormat="1">
      <c r="A19" s="209"/>
      <c r="B19" s="208"/>
      <c r="C19" s="208"/>
      <c r="D19" s="14"/>
      <c r="E19" s="14"/>
      <c r="F19" s="14"/>
      <c r="G19" s="14"/>
      <c r="H19" s="14"/>
      <c r="I19" s="14"/>
      <c r="J19" s="14"/>
      <c r="K19" s="87"/>
    </row>
    <row r="20" spans="1:11">
      <c r="A20" s="16"/>
      <c r="B20" s="14"/>
      <c r="C20" s="14"/>
      <c r="D20" s="95"/>
      <c r="E20" s="14"/>
      <c r="F20" s="14"/>
      <c r="G20" s="14"/>
      <c r="H20" s="14"/>
      <c r="I20" s="14"/>
      <c r="J20" s="14"/>
      <c r="K20" s="87"/>
    </row>
    <row r="21" spans="1:11">
      <c r="A21" s="16"/>
      <c r="B21" s="14"/>
      <c r="C21" s="14"/>
      <c r="D21" s="14"/>
      <c r="E21" s="14"/>
      <c r="F21" s="14"/>
      <c r="G21" s="14"/>
      <c r="H21" s="14"/>
      <c r="I21" s="14"/>
      <c r="J21" s="14"/>
      <c r="K21" s="87"/>
    </row>
    <row r="22" spans="1:11">
      <c r="A22" s="16"/>
      <c r="B22" s="14"/>
      <c r="C22" s="14"/>
      <c r="D22" s="14"/>
      <c r="E22" s="14"/>
      <c r="F22" s="14"/>
      <c r="G22" s="14"/>
      <c r="H22" s="14"/>
      <c r="I22" s="14"/>
      <c r="J22" s="14"/>
      <c r="K22" s="87"/>
    </row>
    <row r="23" spans="1:11">
      <c r="A23" s="16"/>
      <c r="B23" s="14"/>
      <c r="C23" s="14"/>
      <c r="D23" s="88"/>
      <c r="E23" s="14"/>
      <c r="F23" s="14"/>
      <c r="G23" s="14"/>
      <c r="H23" s="88"/>
      <c r="I23" s="89"/>
      <c r="J23" s="89"/>
      <c r="K23" s="90"/>
    </row>
    <row r="24" spans="1:11">
      <c r="A24" s="16"/>
      <c r="B24" s="14"/>
      <c r="C24" s="14"/>
      <c r="D24" s="88"/>
      <c r="E24" s="14"/>
      <c r="F24" s="14"/>
      <c r="G24" s="14"/>
      <c r="H24" s="88"/>
      <c r="I24" s="89"/>
      <c r="J24" s="89"/>
      <c r="K24" s="90"/>
    </row>
    <row r="25" spans="1:11">
      <c r="A25" s="16"/>
      <c r="B25" s="14"/>
      <c r="C25" s="14"/>
      <c r="D25" s="88"/>
      <c r="E25" s="14"/>
      <c r="F25" s="14"/>
      <c r="G25" s="14"/>
      <c r="H25" s="88"/>
      <c r="I25" s="89"/>
      <c r="J25" s="89"/>
      <c r="K25" s="90"/>
    </row>
    <row r="26" spans="1:11">
      <c r="A26" s="16"/>
      <c r="B26" s="14"/>
      <c r="C26" s="14"/>
      <c r="D26" s="88"/>
      <c r="E26" s="14"/>
      <c r="F26" s="14"/>
      <c r="G26" s="14"/>
      <c r="H26" s="88"/>
      <c r="I26" s="89"/>
      <c r="J26" s="89"/>
      <c r="K26" s="90"/>
    </row>
    <row r="27" spans="1:11">
      <c r="A27" s="91"/>
      <c r="B27" s="88"/>
      <c r="C27" s="88"/>
      <c r="D27" s="88"/>
      <c r="E27" s="88"/>
      <c r="F27" s="88"/>
      <c r="G27" s="88"/>
      <c r="H27" s="88"/>
      <c r="I27" s="89"/>
      <c r="J27" s="89"/>
      <c r="K27" s="90"/>
    </row>
    <row r="28" spans="1:11">
      <c r="A28" s="91"/>
      <c r="B28" s="88"/>
      <c r="C28" s="88"/>
      <c r="D28" s="88"/>
      <c r="E28" s="14"/>
      <c r="F28" s="14"/>
      <c r="G28" s="14"/>
      <c r="H28" s="88"/>
      <c r="I28" s="89"/>
      <c r="J28" s="89"/>
      <c r="K28" s="90"/>
    </row>
    <row r="29" spans="1:11">
      <c r="A29" s="91"/>
      <c r="B29" s="88"/>
      <c r="C29" s="88"/>
      <c r="D29" s="88"/>
      <c r="E29" s="88"/>
      <c r="F29" s="88"/>
      <c r="G29" s="88"/>
      <c r="H29" s="88"/>
      <c r="I29" s="89"/>
      <c r="J29" s="89"/>
      <c r="K29" s="90"/>
    </row>
    <row r="30" spans="1:11" ht="16">
      <c r="A30" s="10" t="s">
        <v>28032</v>
      </c>
      <c r="B30" s="207"/>
      <c r="C30" s="207"/>
      <c r="D30" s="207"/>
      <c r="E30" s="207"/>
      <c r="F30" s="207"/>
      <c r="G30" s="207"/>
      <c r="H30" s="207"/>
      <c r="I30" s="207"/>
      <c r="J30" s="1175" t="s">
        <v>28033</v>
      </c>
      <c r="K30" s="1176"/>
    </row>
    <row r="31" spans="1:11" ht="17" thickBot="1">
      <c r="A31" s="6"/>
      <c r="B31" s="11"/>
      <c r="C31" s="11"/>
      <c r="D31" s="11"/>
      <c r="E31" s="11"/>
      <c r="F31" s="11"/>
      <c r="G31" s="11"/>
      <c r="H31" s="11"/>
      <c r="I31" s="11"/>
      <c r="J31" s="1177">
        <f>B16</f>
        <v>1</v>
      </c>
      <c r="K31" s="1178"/>
    </row>
    <row r="32" spans="1:11" ht="22">
      <c r="A32" s="4" t="s">
        <v>28028</v>
      </c>
      <c r="B32" s="1173" t="s">
        <v>28029</v>
      </c>
      <c r="C32" s="1173"/>
      <c r="D32" s="1173"/>
      <c r="E32" s="1173"/>
      <c r="F32" s="1173"/>
      <c r="G32" s="1173"/>
      <c r="H32" s="1173"/>
      <c r="I32" s="1173"/>
      <c r="J32" s="1173"/>
      <c r="K32" s="5" t="s">
        <v>28030</v>
      </c>
    </row>
    <row r="33" spans="1:12" ht="22" customHeight="1" thickBot="1">
      <c r="A33" s="94" t="s">
        <v>19586</v>
      </c>
      <c r="B33" s="1174" t="str">
        <f>VLOOKUP($A33, 'Plan Orçamentária'!$Q$2:$S$128267,2,FALSE)</f>
        <v>CO-34 CORRIMÃO DUPLO AÇO GALVANIZADO COM PINTURA ESMALTE.</v>
      </c>
      <c r="C33" s="1174"/>
      <c r="D33" s="1174"/>
      <c r="E33" s="1174"/>
      <c r="F33" s="1174"/>
      <c r="G33" s="1174"/>
      <c r="H33" s="1174"/>
      <c r="I33" s="1174"/>
      <c r="J33" s="1174"/>
      <c r="K33" s="12" t="str">
        <f>VLOOKUP($A33,'Plan Orçamentária'!$Q$2:$S$138267,3,FALSE)</f>
        <v>M</v>
      </c>
      <c r="L33" s="15">
        <f>J51</f>
        <v>13.3</v>
      </c>
    </row>
    <row r="34" spans="1:12">
      <c r="A34" s="86" t="s">
        <v>44337</v>
      </c>
      <c r="B34" s="14"/>
      <c r="C34" s="14"/>
      <c r="D34" s="14"/>
      <c r="E34" s="14"/>
      <c r="F34" s="14"/>
      <c r="G34" s="14"/>
      <c r="H34" s="14"/>
      <c r="I34" s="14"/>
      <c r="J34" s="14"/>
      <c r="K34" s="87"/>
    </row>
    <row r="35" spans="1:12" ht="16.5" customHeight="1">
      <c r="A35" s="16"/>
      <c r="B35" s="14"/>
      <c r="C35" s="14"/>
      <c r="D35" s="14"/>
      <c r="E35" s="14"/>
      <c r="F35" s="14"/>
      <c r="G35" s="14"/>
      <c r="H35" s="14"/>
      <c r="I35" s="14"/>
      <c r="J35" s="14"/>
      <c r="K35" s="87"/>
    </row>
    <row r="36" spans="1:12" ht="16.5" customHeight="1">
      <c r="A36" s="16" t="s">
        <v>44394</v>
      </c>
      <c r="B36" s="233"/>
      <c r="C36" s="14">
        <v>13.3</v>
      </c>
      <c r="D36" s="14" t="s">
        <v>165</v>
      </c>
      <c r="E36" s="14"/>
      <c r="F36" s="14"/>
      <c r="G36" s="14"/>
      <c r="H36" s="14"/>
      <c r="I36" s="14"/>
      <c r="J36" s="14"/>
      <c r="K36" s="87"/>
    </row>
    <row r="37" spans="1:12" ht="16.5" customHeight="1">
      <c r="A37" s="16" t="s">
        <v>44536</v>
      </c>
      <c r="B37" s="234"/>
      <c r="C37" s="14">
        <v>5.87</v>
      </c>
      <c r="D37" s="14" t="s">
        <v>165</v>
      </c>
      <c r="E37" s="14"/>
      <c r="F37" s="14"/>
      <c r="G37" s="14"/>
      <c r="H37" s="14"/>
      <c r="I37" s="14"/>
      <c r="J37" s="14"/>
      <c r="K37" s="87"/>
    </row>
    <row r="38" spans="1:12">
      <c r="A38" s="16"/>
      <c r="B38" s="14"/>
      <c r="C38" s="14"/>
      <c r="D38" s="14"/>
      <c r="E38" s="14"/>
      <c r="F38" s="14"/>
      <c r="G38" s="14"/>
      <c r="H38" s="14"/>
      <c r="I38" s="14"/>
      <c r="J38" s="14"/>
      <c r="K38" s="87"/>
    </row>
    <row r="39" spans="1:12" s="57" customFormat="1">
      <c r="A39" s="209" t="s">
        <v>27889</v>
      </c>
      <c r="B39" s="208"/>
      <c r="C39" s="208">
        <f>SUM(C36:C37)</f>
        <v>19.170000000000002</v>
      </c>
      <c r="D39" s="14" t="str">
        <f>D37</f>
        <v>M</v>
      </c>
      <c r="E39" s="14"/>
      <c r="F39" s="14"/>
      <c r="G39" s="14"/>
      <c r="H39" s="14"/>
      <c r="I39" s="14"/>
      <c r="J39" s="14"/>
      <c r="K39" s="87"/>
    </row>
    <row r="40" spans="1:12">
      <c r="A40" s="16"/>
      <c r="B40" s="14"/>
      <c r="C40" s="14"/>
      <c r="D40" s="95"/>
      <c r="E40" s="14"/>
      <c r="F40" s="14"/>
      <c r="G40" s="14"/>
      <c r="H40" s="14"/>
      <c r="I40" s="14"/>
      <c r="J40" s="14"/>
      <c r="K40" s="87"/>
    </row>
    <row r="41" spans="1:12">
      <c r="A41" s="16"/>
      <c r="B41" s="14"/>
      <c r="C41" s="14"/>
      <c r="D41" s="14"/>
      <c r="E41" s="14"/>
      <c r="F41" s="14"/>
      <c r="G41" s="14"/>
      <c r="H41" s="14"/>
      <c r="I41" s="14"/>
      <c r="J41" s="14"/>
      <c r="K41" s="87"/>
    </row>
    <row r="42" spans="1:12">
      <c r="A42" s="16"/>
      <c r="B42" s="14"/>
      <c r="C42" s="14"/>
      <c r="D42" s="14"/>
      <c r="E42" s="14"/>
      <c r="F42" s="14"/>
      <c r="G42" s="14"/>
      <c r="H42" s="14"/>
      <c r="I42" s="14"/>
      <c r="J42" s="14"/>
      <c r="K42" s="87"/>
    </row>
    <row r="43" spans="1:12">
      <c r="A43" s="16"/>
      <c r="B43" s="14"/>
      <c r="C43" s="14"/>
      <c r="D43" s="88"/>
      <c r="E43" s="14"/>
      <c r="F43" s="14"/>
      <c r="G43" s="14"/>
      <c r="H43" s="88"/>
      <c r="I43" s="89"/>
      <c r="J43" s="89"/>
      <c r="K43" s="90"/>
    </row>
    <row r="44" spans="1:12">
      <c r="A44" s="16"/>
      <c r="B44" s="14"/>
      <c r="C44" s="14"/>
      <c r="D44" s="88"/>
      <c r="E44" s="14"/>
      <c r="F44" s="14"/>
      <c r="G44" s="14"/>
      <c r="H44" s="88"/>
      <c r="I44" s="89"/>
      <c r="J44" s="89"/>
      <c r="K44" s="90"/>
    </row>
    <row r="45" spans="1:12">
      <c r="A45" s="16"/>
      <c r="B45" s="14"/>
      <c r="C45" s="14"/>
      <c r="D45" s="88"/>
      <c r="E45" s="14"/>
      <c r="F45" s="14"/>
      <c r="G45" s="14"/>
      <c r="H45" s="88"/>
      <c r="I45" s="89"/>
      <c r="J45" s="89"/>
      <c r="K45" s="90"/>
    </row>
    <row r="46" spans="1:12">
      <c r="A46" s="16"/>
      <c r="B46" s="14"/>
      <c r="C46" s="14"/>
      <c r="D46" s="88"/>
      <c r="E46" s="14"/>
      <c r="F46" s="14"/>
      <c r="G46" s="14"/>
      <c r="H46" s="88"/>
      <c r="I46" s="89"/>
      <c r="J46" s="89"/>
      <c r="K46" s="90"/>
    </row>
    <row r="47" spans="1:12">
      <c r="A47" s="91"/>
      <c r="B47" s="88"/>
      <c r="C47" s="88"/>
      <c r="D47" s="88"/>
      <c r="E47" s="88"/>
      <c r="F47" s="88"/>
      <c r="G47" s="88"/>
      <c r="H47" s="88"/>
      <c r="I47" s="89"/>
      <c r="J47" s="89"/>
      <c r="K47" s="90"/>
    </row>
    <row r="48" spans="1:12">
      <c r="A48" s="91"/>
      <c r="B48" s="88"/>
      <c r="C48" s="88"/>
      <c r="D48" s="88"/>
      <c r="E48" s="14"/>
      <c r="F48" s="14"/>
      <c r="G48" s="14"/>
      <c r="H48" s="88"/>
      <c r="I48" s="89"/>
      <c r="J48" s="89"/>
      <c r="K48" s="90"/>
    </row>
    <row r="49" spans="1:12">
      <c r="A49" s="91"/>
      <c r="B49" s="88"/>
      <c r="C49" s="88"/>
      <c r="D49" s="88"/>
      <c r="E49" s="88"/>
      <c r="F49" s="88"/>
      <c r="G49" s="88"/>
      <c r="H49" s="88"/>
      <c r="I49" s="89"/>
      <c r="J49" s="89"/>
      <c r="K49" s="90"/>
    </row>
    <row r="50" spans="1:12" ht="16">
      <c r="A50" s="10" t="s">
        <v>28032</v>
      </c>
      <c r="B50" s="207"/>
      <c r="C50" s="207"/>
      <c r="D50" s="207"/>
      <c r="E50" s="207"/>
      <c r="F50" s="207"/>
      <c r="G50" s="207"/>
      <c r="H50" s="207"/>
      <c r="I50" s="207"/>
      <c r="J50" s="1175" t="s">
        <v>28033</v>
      </c>
      <c r="K50" s="1176"/>
    </row>
    <row r="51" spans="1:12" ht="17" thickBot="1">
      <c r="A51" s="6"/>
      <c r="B51" s="11"/>
      <c r="C51" s="11"/>
      <c r="D51" s="11"/>
      <c r="E51" s="11"/>
      <c r="F51" s="11"/>
      <c r="G51" s="11"/>
      <c r="H51" s="11"/>
      <c r="I51" s="11"/>
      <c r="J51" s="1177">
        <f>C36</f>
        <v>13.3</v>
      </c>
      <c r="K51" s="1178"/>
    </row>
    <row r="52" spans="1:12" ht="22">
      <c r="A52" s="4" t="s">
        <v>28028</v>
      </c>
      <c r="B52" s="1173" t="s">
        <v>28029</v>
      </c>
      <c r="C52" s="1173"/>
      <c r="D52" s="1173"/>
      <c r="E52" s="1173"/>
      <c r="F52" s="1173"/>
      <c r="G52" s="1173"/>
      <c r="H52" s="1173"/>
      <c r="I52" s="1173"/>
      <c r="J52" s="1173"/>
      <c r="K52" s="5" t="s">
        <v>28030</v>
      </c>
    </row>
    <row r="53" spans="1:12" ht="22" customHeight="1" thickBot="1">
      <c r="A53" s="94" t="s">
        <v>13172</v>
      </c>
      <c r="B53" s="1174" t="str">
        <f>VLOOKUP($A53, 'Plan Orçamentária'!$Q$2:$S$128267,2,FALSE)</f>
        <v>GUARDA-CORPO COM VIDRO DE 8 MM, EM TUBO DE AÇO GALVANIZADO, DIÂMETRO 1 1/2´</v>
      </c>
      <c r="C53" s="1174"/>
      <c r="D53" s="1174"/>
      <c r="E53" s="1174"/>
      <c r="F53" s="1174"/>
      <c r="G53" s="1174"/>
      <c r="H53" s="1174"/>
      <c r="I53" s="1174"/>
      <c r="J53" s="1174"/>
      <c r="K53" s="12" t="str">
        <f>VLOOKUP($A53,'Plan Orçamentária'!$Q$2:$S$138267,3,FALSE)</f>
        <v>M</v>
      </c>
      <c r="L53" s="15">
        <f>J71</f>
        <v>2.2599999999999998</v>
      </c>
    </row>
    <row r="54" spans="1:12">
      <c r="A54" s="86" t="s">
        <v>44337</v>
      </c>
      <c r="B54" s="14"/>
      <c r="C54" s="14"/>
      <c r="D54" s="14"/>
      <c r="E54" s="14"/>
      <c r="F54" s="14"/>
      <c r="G54" s="14"/>
      <c r="H54" s="14"/>
      <c r="I54" s="14"/>
      <c r="J54" s="14"/>
      <c r="K54" s="87"/>
    </row>
    <row r="55" spans="1:12" ht="16.5" customHeight="1">
      <c r="A55" s="16"/>
      <c r="B55" s="14"/>
      <c r="C55" s="14"/>
      <c r="D55" s="14"/>
      <c r="E55" s="14"/>
      <c r="F55" s="14"/>
      <c r="G55" s="14"/>
      <c r="H55" s="14"/>
      <c r="I55" s="14"/>
      <c r="J55" s="14"/>
      <c r="K55" s="87"/>
    </row>
    <row r="56" spans="1:12" ht="16.5" customHeight="1">
      <c r="A56" s="16" t="s">
        <v>44394</v>
      </c>
      <c r="B56" s="233"/>
      <c r="C56" s="14">
        <v>2.2599999999999998</v>
      </c>
      <c r="D56" s="14" t="s">
        <v>165</v>
      </c>
      <c r="E56" s="14"/>
      <c r="F56" s="14"/>
      <c r="G56" s="14"/>
      <c r="H56" s="14"/>
      <c r="I56" s="14"/>
      <c r="J56" s="14"/>
      <c r="K56" s="87"/>
    </row>
    <row r="57" spans="1:12" ht="16.5" customHeight="1">
      <c r="A57" s="16"/>
      <c r="B57" s="234"/>
      <c r="C57" s="14"/>
      <c r="D57" s="14"/>
      <c r="E57" s="14"/>
      <c r="F57" s="14"/>
      <c r="G57" s="14"/>
      <c r="H57" s="14"/>
      <c r="I57" s="14"/>
      <c r="J57" s="14"/>
      <c r="K57" s="87"/>
    </row>
    <row r="58" spans="1:12">
      <c r="A58" s="16"/>
      <c r="B58" s="14"/>
      <c r="C58" s="14"/>
      <c r="D58" s="14"/>
      <c r="E58" s="14"/>
      <c r="F58" s="14"/>
      <c r="G58" s="14"/>
      <c r="H58" s="14"/>
      <c r="I58" s="14"/>
      <c r="J58" s="14"/>
      <c r="K58" s="87"/>
    </row>
    <row r="59" spans="1:12" s="57" customFormat="1">
      <c r="A59" s="209" t="s">
        <v>27889</v>
      </c>
      <c r="B59" s="208"/>
      <c r="C59" s="208">
        <f>SUM(C56:C57)</f>
        <v>2.2599999999999998</v>
      </c>
      <c r="D59" s="14" t="str">
        <f>K53</f>
        <v>M</v>
      </c>
      <c r="E59" s="14"/>
      <c r="F59" s="14"/>
      <c r="G59" s="14"/>
      <c r="H59" s="14"/>
      <c r="I59" s="14"/>
      <c r="J59" s="14"/>
      <c r="K59" s="87"/>
    </row>
    <row r="60" spans="1:12">
      <c r="A60" s="16"/>
      <c r="B60" s="14"/>
      <c r="C60" s="14"/>
      <c r="D60" s="95"/>
      <c r="E60" s="14"/>
      <c r="F60" s="14"/>
      <c r="G60" s="14"/>
      <c r="H60" s="14"/>
      <c r="I60" s="14"/>
      <c r="J60" s="14"/>
      <c r="K60" s="87"/>
    </row>
    <row r="61" spans="1:12">
      <c r="A61" s="16"/>
      <c r="B61" s="14"/>
      <c r="C61" s="14"/>
      <c r="D61" s="14"/>
      <c r="E61" s="14"/>
      <c r="F61" s="14"/>
      <c r="G61" s="14"/>
      <c r="H61" s="14"/>
      <c r="I61" s="14"/>
      <c r="J61" s="14"/>
      <c r="K61" s="87"/>
    </row>
    <row r="62" spans="1:12">
      <c r="A62" s="16"/>
      <c r="B62" s="14"/>
      <c r="C62" s="14"/>
      <c r="D62" s="14"/>
      <c r="E62" s="14"/>
      <c r="F62" s="14"/>
      <c r="G62" s="14"/>
      <c r="H62" s="14"/>
      <c r="I62" s="14"/>
      <c r="J62" s="14"/>
      <c r="K62" s="87"/>
    </row>
    <row r="63" spans="1:12">
      <c r="A63" s="16"/>
      <c r="B63" s="14"/>
      <c r="C63" s="14"/>
      <c r="D63" s="88"/>
      <c r="E63" s="14"/>
      <c r="F63" s="14"/>
      <c r="G63" s="14"/>
      <c r="H63" s="88"/>
      <c r="I63" s="89"/>
      <c r="J63" s="89"/>
      <c r="K63" s="90"/>
    </row>
    <row r="64" spans="1:12">
      <c r="A64" s="16"/>
      <c r="B64" s="14"/>
      <c r="C64" s="14"/>
      <c r="D64" s="88"/>
      <c r="E64" s="14"/>
      <c r="F64" s="14"/>
      <c r="G64" s="14"/>
      <c r="H64" s="88"/>
      <c r="I64" s="89"/>
      <c r="J64" s="89"/>
      <c r="K64" s="90"/>
    </row>
    <row r="65" spans="1:12">
      <c r="A65" s="16"/>
      <c r="B65" s="14"/>
      <c r="C65" s="14"/>
      <c r="D65" s="88"/>
      <c r="E65" s="14"/>
      <c r="F65" s="14"/>
      <c r="G65" s="14"/>
      <c r="H65" s="88"/>
      <c r="I65" s="89"/>
      <c r="J65" s="89"/>
      <c r="K65" s="90"/>
    </row>
    <row r="66" spans="1:12">
      <c r="A66" s="16"/>
      <c r="B66" s="14"/>
      <c r="C66" s="14"/>
      <c r="D66" s="88"/>
      <c r="E66" s="14"/>
      <c r="F66" s="14"/>
      <c r="G66" s="14"/>
      <c r="H66" s="88"/>
      <c r="I66" s="89"/>
      <c r="J66" s="89"/>
      <c r="K66" s="90"/>
    </row>
    <row r="67" spans="1:12">
      <c r="A67" s="91"/>
      <c r="B67" s="88"/>
      <c r="C67" s="88"/>
      <c r="D67" s="88"/>
      <c r="E67" s="88"/>
      <c r="F67" s="88"/>
      <c r="G67" s="88"/>
      <c r="H67" s="88"/>
      <c r="I67" s="89"/>
      <c r="J67" s="89"/>
      <c r="K67" s="90"/>
    </row>
    <row r="68" spans="1:12">
      <c r="A68" s="91"/>
      <c r="B68" s="88"/>
      <c r="C68" s="88"/>
      <c r="D68" s="88"/>
      <c r="E68" s="14"/>
      <c r="F68" s="14"/>
      <c r="G68" s="14"/>
      <c r="H68" s="88"/>
      <c r="I68" s="89"/>
      <c r="J68" s="89"/>
      <c r="K68" s="90"/>
    </row>
    <row r="69" spans="1:12">
      <c r="A69" s="91"/>
      <c r="B69" s="88"/>
      <c r="C69" s="88"/>
      <c r="D69" s="88"/>
      <c r="E69" s="88"/>
      <c r="F69" s="88"/>
      <c r="G69" s="88"/>
      <c r="H69" s="88"/>
      <c r="I69" s="89"/>
      <c r="J69" s="89"/>
      <c r="K69" s="90"/>
    </row>
    <row r="70" spans="1:12" ht="16">
      <c r="A70" s="10" t="s">
        <v>28032</v>
      </c>
      <c r="B70" s="207"/>
      <c r="C70" s="207"/>
      <c r="D70" s="207"/>
      <c r="E70" s="207"/>
      <c r="F70" s="207"/>
      <c r="G70" s="207"/>
      <c r="H70" s="207"/>
      <c r="I70" s="207"/>
      <c r="J70" s="1175" t="s">
        <v>28033</v>
      </c>
      <c r="K70" s="1176"/>
    </row>
    <row r="71" spans="1:12" ht="17" thickBot="1">
      <c r="A71" s="6"/>
      <c r="B71" s="11"/>
      <c r="C71" s="11"/>
      <c r="D71" s="11"/>
      <c r="E71" s="11"/>
      <c r="F71" s="11"/>
      <c r="G71" s="11"/>
      <c r="H71" s="11"/>
      <c r="I71" s="11"/>
      <c r="J71" s="1177">
        <f>C56</f>
        <v>2.2599999999999998</v>
      </c>
      <c r="K71" s="1178"/>
    </row>
    <row r="72" spans="1:12" ht="22">
      <c r="A72" s="4" t="s">
        <v>28028</v>
      </c>
      <c r="B72" s="1173" t="s">
        <v>28029</v>
      </c>
      <c r="C72" s="1173"/>
      <c r="D72" s="1173"/>
      <c r="E72" s="1173"/>
      <c r="F72" s="1173"/>
      <c r="G72" s="1173"/>
      <c r="H72" s="1173"/>
      <c r="I72" s="1173"/>
      <c r="J72" s="1173"/>
      <c r="K72" s="5" t="s">
        <v>28030</v>
      </c>
    </row>
    <row r="73" spans="1:12" ht="22" customHeight="1" thickBot="1">
      <c r="A73" s="94" t="s">
        <v>17751</v>
      </c>
      <c r="B73" s="1174" t="str">
        <f>VLOOKUP($A73, 'Plan Orçamentária'!$Q$2:$S$128267,2,FALSE)</f>
        <v>LIMPEZA FINAL DA OBRA</v>
      </c>
      <c r="C73" s="1174"/>
      <c r="D73" s="1174"/>
      <c r="E73" s="1174"/>
      <c r="F73" s="1174"/>
      <c r="G73" s="1174"/>
      <c r="H73" s="1174"/>
      <c r="I73" s="1174"/>
      <c r="J73" s="1174"/>
      <c r="K73" s="12" t="str">
        <f>VLOOKUP($A73,'Plan Orçamentária'!$Q$2:$S$138267,3,FALSE)</f>
        <v>M2</v>
      </c>
      <c r="L73" s="15">
        <f>J91</f>
        <v>933.21</v>
      </c>
    </row>
    <row r="74" spans="1:12">
      <c r="A74" s="86"/>
      <c r="B74" s="14"/>
      <c r="C74" s="14"/>
      <c r="D74" s="14"/>
      <c r="E74" s="14"/>
      <c r="F74" s="14"/>
      <c r="G74" s="14"/>
      <c r="H74" s="14"/>
      <c r="I74" s="14"/>
      <c r="J74" s="14"/>
      <c r="K74" s="87"/>
    </row>
    <row r="75" spans="1:12" ht="16.5" customHeight="1">
      <c r="A75" s="16"/>
      <c r="B75" s="14"/>
      <c r="C75" s="14"/>
      <c r="D75" s="14"/>
      <c r="E75" s="14"/>
      <c r="F75" s="14"/>
      <c r="G75" s="14"/>
      <c r="H75" s="14"/>
      <c r="I75" s="14"/>
      <c r="J75" s="14"/>
      <c r="K75" s="87"/>
    </row>
    <row r="76" spans="1:12" ht="16.5" customHeight="1">
      <c r="A76" s="16"/>
      <c r="B76" s="233"/>
      <c r="C76" s="14"/>
      <c r="D76" s="14"/>
      <c r="E76" s="14"/>
      <c r="F76" s="14"/>
      <c r="G76" s="14"/>
      <c r="H76" s="14"/>
      <c r="I76" s="14"/>
      <c r="J76" s="14"/>
      <c r="K76" s="87"/>
    </row>
    <row r="77" spans="1:12" ht="16.5" customHeight="1">
      <c r="A77" s="16" t="s">
        <v>30016</v>
      </c>
      <c r="B77" s="234">
        <f>'FOLHA RESUMO'!$C$31</f>
        <v>600.36</v>
      </c>
      <c r="C77" s="14" t="s">
        <v>509</v>
      </c>
      <c r="D77" s="14"/>
      <c r="E77" s="14"/>
      <c r="F77" s="14"/>
      <c r="G77" s="14"/>
      <c r="H77" s="14"/>
      <c r="I77" s="14"/>
      <c r="J77" s="14"/>
      <c r="K77" s="87"/>
    </row>
    <row r="78" spans="1:12">
      <c r="A78" s="16" t="s">
        <v>44395</v>
      </c>
      <c r="B78" s="14">
        <f>'FOLHA RESUMO'!$C$33</f>
        <v>332.85</v>
      </c>
      <c r="C78" s="14" t="s">
        <v>509</v>
      </c>
      <c r="D78" s="14"/>
      <c r="E78" s="14"/>
      <c r="F78" s="14"/>
      <c r="G78" s="14"/>
      <c r="H78" s="14"/>
      <c r="I78" s="14"/>
      <c r="J78" s="14"/>
      <c r="K78" s="87"/>
    </row>
    <row r="79" spans="1:12" s="57" customFormat="1">
      <c r="A79" s="209"/>
      <c r="B79" s="208"/>
      <c r="C79" s="208"/>
      <c r="D79" s="14"/>
      <c r="E79" s="14"/>
      <c r="F79" s="14"/>
      <c r="G79" s="14"/>
      <c r="H79" s="14"/>
      <c r="I79" s="14"/>
      <c r="J79" s="14"/>
      <c r="K79" s="87"/>
    </row>
    <row r="80" spans="1:12">
      <c r="A80" s="16"/>
      <c r="B80" s="14"/>
      <c r="C80" s="14"/>
      <c r="D80" s="95"/>
      <c r="E80" s="14"/>
      <c r="F80" s="14"/>
      <c r="G80" s="14"/>
      <c r="H80" s="14"/>
      <c r="I80" s="14"/>
      <c r="J80" s="14"/>
      <c r="K80" s="87"/>
    </row>
    <row r="81" spans="1:12">
      <c r="A81" s="16" t="s">
        <v>27889</v>
      </c>
      <c r="B81" s="14">
        <f>SUM(B77:B78)</f>
        <v>933.21</v>
      </c>
      <c r="C81" s="14" t="str">
        <f>K73</f>
        <v>M2</v>
      </c>
      <c r="D81" s="14"/>
      <c r="E81" s="14"/>
      <c r="F81" s="14"/>
      <c r="G81" s="14"/>
      <c r="H81" s="14"/>
      <c r="I81" s="14"/>
      <c r="J81" s="14"/>
      <c r="K81" s="87"/>
    </row>
    <row r="82" spans="1:12">
      <c r="A82" s="16"/>
      <c r="B82" s="14"/>
      <c r="C82" s="14"/>
      <c r="D82" s="14"/>
      <c r="E82" s="14"/>
      <c r="F82" s="14"/>
      <c r="G82" s="14"/>
      <c r="H82" s="14"/>
      <c r="I82" s="14"/>
      <c r="J82" s="14"/>
      <c r="K82" s="87"/>
    </row>
    <row r="83" spans="1:12">
      <c r="A83" s="16"/>
      <c r="B83" s="14"/>
      <c r="C83" s="14"/>
      <c r="D83" s="88"/>
      <c r="E83" s="14"/>
      <c r="F83" s="14"/>
      <c r="G83" s="14"/>
      <c r="H83" s="88"/>
      <c r="I83" s="89"/>
      <c r="J83" s="89"/>
      <c r="K83" s="90"/>
    </row>
    <row r="84" spans="1:12">
      <c r="A84" s="16"/>
      <c r="B84" s="14"/>
      <c r="C84" s="14"/>
      <c r="D84" s="88"/>
      <c r="E84" s="14"/>
      <c r="F84" s="14"/>
      <c r="G84" s="14"/>
      <c r="H84" s="88"/>
      <c r="I84" s="89"/>
      <c r="J84" s="89"/>
      <c r="K84" s="90"/>
    </row>
    <row r="85" spans="1:12">
      <c r="A85" s="16"/>
      <c r="B85" s="14"/>
      <c r="C85" s="14"/>
      <c r="D85" s="88"/>
      <c r="E85" s="14"/>
      <c r="F85" s="14"/>
      <c r="G85" s="14"/>
      <c r="H85" s="88"/>
      <c r="I85" s="89"/>
      <c r="J85" s="89"/>
      <c r="K85" s="90"/>
    </row>
    <row r="86" spans="1:12">
      <c r="A86" s="16"/>
      <c r="B86" s="14"/>
      <c r="C86" s="14"/>
      <c r="D86" s="88"/>
      <c r="E86" s="14"/>
      <c r="F86" s="14"/>
      <c r="G86" s="14"/>
      <c r="H86" s="88"/>
      <c r="I86" s="89"/>
      <c r="J86" s="89"/>
      <c r="K86" s="90"/>
    </row>
    <row r="87" spans="1:12">
      <c r="A87" s="91"/>
      <c r="B87" s="88"/>
      <c r="C87" s="88"/>
      <c r="D87" s="88"/>
      <c r="E87" s="88"/>
      <c r="F87" s="88"/>
      <c r="G87" s="88"/>
      <c r="H87" s="88"/>
      <c r="I87" s="89"/>
      <c r="J87" s="89"/>
      <c r="K87" s="90"/>
    </row>
    <row r="88" spans="1:12">
      <c r="A88" s="91"/>
      <c r="B88" s="88"/>
      <c r="C88" s="88"/>
      <c r="D88" s="88"/>
      <c r="E88" s="14"/>
      <c r="F88" s="14"/>
      <c r="G88" s="14"/>
      <c r="H88" s="88"/>
      <c r="I88" s="89"/>
      <c r="J88" s="89"/>
      <c r="K88" s="90"/>
    </row>
    <row r="89" spans="1:12">
      <c r="A89" s="91"/>
      <c r="B89" s="88"/>
      <c r="C89" s="88"/>
      <c r="D89" s="88"/>
      <c r="E89" s="88"/>
      <c r="F89" s="88"/>
      <c r="G89" s="88"/>
      <c r="H89" s="88"/>
      <c r="I89" s="89"/>
      <c r="J89" s="89"/>
      <c r="K89" s="90"/>
    </row>
    <row r="90" spans="1:12" ht="16">
      <c r="A90" s="10" t="s">
        <v>28032</v>
      </c>
      <c r="B90" s="207"/>
      <c r="C90" s="207"/>
      <c r="D90" s="207"/>
      <c r="E90" s="207"/>
      <c r="F90" s="207"/>
      <c r="G90" s="207"/>
      <c r="H90" s="207"/>
      <c r="I90" s="207"/>
      <c r="J90" s="1175" t="s">
        <v>28033</v>
      </c>
      <c r="K90" s="1176"/>
    </row>
    <row r="91" spans="1:12" ht="17" thickBot="1">
      <c r="A91" s="6"/>
      <c r="B91" s="11"/>
      <c r="C91" s="11"/>
      <c r="D91" s="11"/>
      <c r="E91" s="11"/>
      <c r="F91" s="11"/>
      <c r="G91" s="11"/>
      <c r="H91" s="11"/>
      <c r="I91" s="11"/>
      <c r="J91" s="1177">
        <f>B81</f>
        <v>933.21</v>
      </c>
      <c r="K91" s="1178"/>
    </row>
    <row r="92" spans="1:12" ht="22">
      <c r="A92" s="4" t="s">
        <v>28028</v>
      </c>
      <c r="B92" s="1173" t="s">
        <v>28029</v>
      </c>
      <c r="C92" s="1173"/>
      <c r="D92" s="1173"/>
      <c r="E92" s="1173"/>
      <c r="F92" s="1173"/>
      <c r="G92" s="1173"/>
      <c r="H92" s="1173"/>
      <c r="I92" s="1173"/>
      <c r="J92" s="1173"/>
      <c r="K92" s="5" t="s">
        <v>28030</v>
      </c>
    </row>
    <row r="93" spans="1:12" ht="22" customHeight="1" thickBot="1">
      <c r="A93" s="94" t="s">
        <v>17755</v>
      </c>
      <c r="B93" s="1174" t="str">
        <f>VLOOKUP($A93, 'Plan Orçamentária'!$Q$2:$S$128267,2,FALSE)</f>
        <v>LIMPEZA COMPLEMENTAR E ESPECIAL DE PISO COM PRODUTOS QUÍMICOS</v>
      </c>
      <c r="C93" s="1174"/>
      <c r="D93" s="1174"/>
      <c r="E93" s="1174"/>
      <c r="F93" s="1174"/>
      <c r="G93" s="1174"/>
      <c r="H93" s="1174"/>
      <c r="I93" s="1174"/>
      <c r="J93" s="1174"/>
      <c r="K93" s="12" t="str">
        <f>VLOOKUP($A93,'Plan Orçamentária'!$Q$2:$S$138267,3,FALSE)</f>
        <v>M2</v>
      </c>
      <c r="L93" s="15">
        <f>J111</f>
        <v>193.32999999999998</v>
      </c>
    </row>
    <row r="94" spans="1:12">
      <c r="A94" s="86"/>
      <c r="B94" s="14"/>
      <c r="C94" s="14"/>
      <c r="D94" s="14"/>
      <c r="E94" s="14"/>
      <c r="F94" s="14"/>
      <c r="G94" s="14"/>
      <c r="H94" s="14"/>
      <c r="I94" s="14"/>
      <c r="J94" s="14"/>
      <c r="K94" s="87"/>
    </row>
    <row r="95" spans="1:12" ht="16.5" customHeight="1">
      <c r="A95" s="16"/>
      <c r="B95" s="14"/>
      <c r="C95" s="14"/>
      <c r="D95" s="14"/>
      <c r="E95" s="14"/>
      <c r="F95" s="14"/>
      <c r="G95" s="14"/>
      <c r="H95" s="14"/>
      <c r="I95" s="14"/>
      <c r="J95" s="14"/>
      <c r="K95" s="87"/>
    </row>
    <row r="96" spans="1:12" ht="16.5" customHeight="1">
      <c r="A96" s="16"/>
      <c r="B96" s="233"/>
      <c r="C96" s="14"/>
      <c r="D96" s="14"/>
      <c r="E96" s="14"/>
      <c r="F96" s="14"/>
      <c r="G96" s="14"/>
      <c r="H96" s="14"/>
      <c r="I96" s="14"/>
      <c r="J96" s="14"/>
      <c r="K96" s="87"/>
    </row>
    <row r="97" spans="1:11" ht="16.5" customHeight="1">
      <c r="A97" s="16" t="s">
        <v>44509</v>
      </c>
      <c r="B97" s="233">
        <f>68.03+8.46+5.24</f>
        <v>81.73</v>
      </c>
      <c r="C97" s="14" t="s">
        <v>509</v>
      </c>
      <c r="D97" s="14"/>
      <c r="E97" s="14"/>
      <c r="F97" s="14"/>
      <c r="G97" s="14"/>
      <c r="H97" s="14"/>
      <c r="I97" s="14"/>
      <c r="J97" s="14"/>
      <c r="K97" s="87"/>
    </row>
    <row r="98" spans="1:11">
      <c r="A98" s="16" t="s">
        <v>44510</v>
      </c>
      <c r="B98" s="234">
        <f>80.94+2.63+28.03</f>
        <v>111.6</v>
      </c>
      <c r="C98" s="14" t="s">
        <v>509</v>
      </c>
      <c r="D98" s="14"/>
      <c r="E98" s="14"/>
      <c r="F98" s="14"/>
      <c r="G98" s="14"/>
      <c r="H98" s="14"/>
      <c r="I98" s="14"/>
      <c r="J98" s="14"/>
      <c r="K98" s="87"/>
    </row>
    <row r="99" spans="1:11" s="57" customFormat="1">
      <c r="A99" s="209"/>
      <c r="B99" s="208"/>
      <c r="C99" s="208"/>
      <c r="D99" s="14"/>
      <c r="E99" s="14"/>
      <c r="F99" s="14"/>
      <c r="G99" s="14"/>
      <c r="H99" s="14"/>
      <c r="I99" s="14"/>
      <c r="J99" s="14"/>
      <c r="K99" s="87"/>
    </row>
    <row r="100" spans="1:11">
      <c r="A100" s="16"/>
      <c r="B100" s="14"/>
      <c r="C100" s="14"/>
      <c r="D100" s="95"/>
      <c r="E100" s="14"/>
      <c r="F100" s="14"/>
      <c r="G100" s="14"/>
      <c r="H100" s="14"/>
      <c r="I100" s="14"/>
      <c r="J100" s="14"/>
      <c r="K100" s="87"/>
    </row>
    <row r="101" spans="1:11">
      <c r="A101" s="16" t="s">
        <v>27889</v>
      </c>
      <c r="B101" s="14">
        <f>SUM(B97:B98)</f>
        <v>193.32999999999998</v>
      </c>
      <c r="C101" s="14" t="str">
        <f>K93</f>
        <v>M2</v>
      </c>
      <c r="D101" s="14"/>
      <c r="E101" s="14"/>
      <c r="F101" s="14"/>
      <c r="G101" s="14"/>
      <c r="H101" s="14"/>
      <c r="I101" s="14"/>
      <c r="J101" s="14"/>
      <c r="K101" s="87"/>
    </row>
    <row r="102" spans="1:11">
      <c r="A102" s="16"/>
      <c r="B102" s="14"/>
      <c r="C102" s="14"/>
      <c r="D102" s="14"/>
      <c r="E102" s="14"/>
      <c r="F102" s="14"/>
      <c r="G102" s="14"/>
      <c r="H102" s="14"/>
      <c r="I102" s="14"/>
      <c r="J102" s="14"/>
      <c r="K102" s="87"/>
    </row>
    <row r="103" spans="1:11">
      <c r="A103" s="16"/>
      <c r="B103" s="14"/>
      <c r="C103" s="14"/>
      <c r="D103" s="88"/>
      <c r="E103" s="14"/>
      <c r="F103" s="14"/>
      <c r="G103" s="14"/>
      <c r="H103" s="88"/>
      <c r="I103" s="89"/>
      <c r="J103" s="89"/>
      <c r="K103" s="90"/>
    </row>
    <row r="104" spans="1:11">
      <c r="A104" s="16"/>
      <c r="B104" s="14"/>
      <c r="C104" s="14"/>
      <c r="D104" s="88"/>
      <c r="E104" s="14"/>
      <c r="F104" s="14"/>
      <c r="G104" s="14"/>
      <c r="H104" s="88"/>
      <c r="I104" s="89"/>
      <c r="J104" s="89"/>
      <c r="K104" s="90"/>
    </row>
    <row r="105" spans="1:11">
      <c r="A105" s="16"/>
      <c r="B105" s="14"/>
      <c r="C105" s="14"/>
      <c r="D105" s="88"/>
      <c r="E105" s="14"/>
      <c r="F105" s="14"/>
      <c r="G105" s="14"/>
      <c r="H105" s="88"/>
      <c r="I105" s="89"/>
      <c r="J105" s="89"/>
      <c r="K105" s="90"/>
    </row>
    <row r="106" spans="1:11">
      <c r="A106" s="16"/>
      <c r="B106" s="14"/>
      <c r="C106" s="14"/>
      <c r="D106" s="88"/>
      <c r="E106" s="14"/>
      <c r="F106" s="14"/>
      <c r="G106" s="14"/>
      <c r="H106" s="88"/>
      <c r="I106" s="89"/>
      <c r="J106" s="89"/>
      <c r="K106" s="90"/>
    </row>
    <row r="107" spans="1:11">
      <c r="A107" s="91"/>
      <c r="B107" s="88"/>
      <c r="C107" s="88"/>
      <c r="D107" s="88"/>
      <c r="E107" s="88"/>
      <c r="F107" s="88"/>
      <c r="G107" s="88"/>
      <c r="H107" s="88"/>
      <c r="I107" s="89"/>
      <c r="J107" s="89"/>
      <c r="K107" s="90"/>
    </row>
    <row r="108" spans="1:11">
      <c r="A108" s="91"/>
      <c r="B108" s="88"/>
      <c r="C108" s="88"/>
      <c r="D108" s="88"/>
      <c r="E108" s="14"/>
      <c r="F108" s="14"/>
      <c r="G108" s="14"/>
      <c r="H108" s="88"/>
      <c r="I108" s="89"/>
      <c r="J108" s="89"/>
      <c r="K108" s="90"/>
    </row>
    <row r="109" spans="1:11">
      <c r="A109" s="91"/>
      <c r="B109" s="88"/>
      <c r="C109" s="88"/>
      <c r="D109" s="88"/>
      <c r="E109" s="88"/>
      <c r="F109" s="88"/>
      <c r="G109" s="88"/>
      <c r="H109" s="88"/>
      <c r="I109" s="89"/>
      <c r="J109" s="89"/>
      <c r="K109" s="90"/>
    </row>
    <row r="110" spans="1:11" ht="16">
      <c r="A110" s="10" t="s">
        <v>28032</v>
      </c>
      <c r="B110" s="207"/>
      <c r="C110" s="207"/>
      <c r="D110" s="207"/>
      <c r="E110" s="207"/>
      <c r="F110" s="207"/>
      <c r="G110" s="207"/>
      <c r="H110" s="207"/>
      <c r="I110" s="207"/>
      <c r="J110" s="1175" t="s">
        <v>28033</v>
      </c>
      <c r="K110" s="1176"/>
    </row>
    <row r="111" spans="1:11" ht="17" thickBot="1">
      <c r="A111" s="6"/>
      <c r="B111" s="11"/>
      <c r="C111" s="11"/>
      <c r="D111" s="11"/>
      <c r="E111" s="11"/>
      <c r="F111" s="11"/>
      <c r="G111" s="11"/>
      <c r="H111" s="11"/>
      <c r="I111" s="11"/>
      <c r="J111" s="1177">
        <f>B101</f>
        <v>193.32999999999998</v>
      </c>
      <c r="K111" s="1178"/>
    </row>
  </sheetData>
  <mergeCells count="23">
    <mergeCell ref="J91:K91"/>
    <mergeCell ref="B93:J93"/>
    <mergeCell ref="J110:K110"/>
    <mergeCell ref="J111:K111"/>
    <mergeCell ref="J31:K31"/>
    <mergeCell ref="B32:J32"/>
    <mergeCell ref="B33:J33"/>
    <mergeCell ref="J50:K50"/>
    <mergeCell ref="J51:K51"/>
    <mergeCell ref="B92:J92"/>
    <mergeCell ref="B52:J52"/>
    <mergeCell ref="B53:J53"/>
    <mergeCell ref="J70:K70"/>
    <mergeCell ref="J71:K71"/>
    <mergeCell ref="B72:J72"/>
    <mergeCell ref="B73:J73"/>
    <mergeCell ref="J90:K90"/>
    <mergeCell ref="J30:K30"/>
    <mergeCell ref="A1:K1"/>
    <mergeCell ref="A2:K10"/>
    <mergeCell ref="B11:K11"/>
    <mergeCell ref="B12:J12"/>
    <mergeCell ref="B13:J13"/>
  </mergeCells>
  <pageMargins left="0.51181102362204722" right="0.51181102362204722" top="0.78740157480314965" bottom="0.78740157480314965" header="0.31496062992125984" footer="0.31496062992125984"/>
  <pageSetup paperSize="9" scale="83"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C24FC5-FF93-4E63-8A99-DFFFB8AFF10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43</vt:i4>
      </vt:variant>
      <vt:variant>
        <vt:lpstr>Named Ranges</vt:lpstr>
      </vt:variant>
      <vt:variant>
        <vt:i4>60</vt:i4>
      </vt:variant>
    </vt:vector>
  </HeadingPairs>
  <TitlesOfParts>
    <vt:vector size="103" baseType="lpstr">
      <vt:lpstr>Ins. FDE 01-26-SD</vt:lpstr>
      <vt:lpstr>INS. TCPO PINI 01-2025</vt:lpstr>
      <vt:lpstr>INS. SIURB 01-2025</vt:lpstr>
      <vt:lpstr>Ins. CDHU 201-SD</vt:lpstr>
      <vt:lpstr>Ins. SINAPI 04-26-SD</vt:lpstr>
      <vt:lpstr>FDE 01-26-SD</vt:lpstr>
      <vt:lpstr>CDHU 201-SD</vt:lpstr>
      <vt:lpstr>SINAPI 04-26-SD</vt:lpstr>
      <vt:lpstr>Capa</vt:lpstr>
      <vt:lpstr>FOLHA RESUMO</vt:lpstr>
      <vt:lpstr>PLAN RESUMO</vt:lpstr>
      <vt:lpstr>Plan Orçamentária</vt:lpstr>
      <vt:lpstr>CURVA ABC</vt:lpstr>
      <vt:lpstr>Cronograma</vt:lpstr>
      <vt:lpstr>CRONOGRAMA1</vt:lpstr>
      <vt:lpstr>COMPOSIÇÃO</vt:lpstr>
      <vt:lpstr>COMPOSIÇÕES_OLD</vt:lpstr>
      <vt:lpstr>COTAÇÃO</vt:lpstr>
      <vt:lpstr>BDI</vt:lpstr>
      <vt:lpstr>BDI DIFE.</vt:lpstr>
      <vt:lpstr>Leis Sociais</vt:lpstr>
      <vt:lpstr>SERVIÇOS INICIAIS</vt:lpstr>
      <vt:lpstr>ADM LOCAL DE OBRA</vt:lpstr>
      <vt:lpstr>RETIRADAS E DEMOLIÇÕES</vt:lpstr>
      <vt:lpstr>ANDAIMES</vt:lpstr>
      <vt:lpstr>LOCAÇÃO</vt:lpstr>
      <vt:lpstr>ESTACAS</vt:lpstr>
      <vt:lpstr>BLOCOS DE FUNDAÇÃO</vt:lpstr>
      <vt:lpstr>PILARES</vt:lpstr>
      <vt:lpstr>VIGAS</vt:lpstr>
      <vt:lpstr>LIMPEZA DO TERRENO</vt:lpstr>
      <vt:lpstr>COBERTURA E PERGOLADO</vt:lpstr>
      <vt:lpstr>PAREDES E PAINEIS</vt:lpstr>
      <vt:lpstr>ESQUADRIAS</vt:lpstr>
      <vt:lpstr>REVESTIMENTOS DE PAREDES</vt:lpstr>
      <vt:lpstr>REVESTIMENTOS DE TETO</vt:lpstr>
      <vt:lpstr>PISOS INTERNOS</vt:lpstr>
      <vt:lpstr>PINTURA-PAREDES</vt:lpstr>
      <vt:lpstr>PINTURA-TETO</vt:lpstr>
      <vt:lpstr>PINTURA-PISO</vt:lpstr>
      <vt:lpstr>COMUNICAÇÃO VISUAL</vt:lpstr>
      <vt:lpstr>DELEGACIA SECCIONAL DE POLICIA</vt:lpstr>
      <vt:lpstr>SERVIÇOS COMPLEMENTARES</vt:lpstr>
      <vt:lpstr>'ADM LOCAL DE OBRA'!Print_Area</vt:lpstr>
      <vt:lpstr>ANDAIMES!Print_Area</vt:lpstr>
      <vt:lpstr>BDI!Print_Area</vt:lpstr>
      <vt:lpstr>'BDI DIFE.'!Print_Area</vt:lpstr>
      <vt:lpstr>'BLOCOS DE FUNDAÇÃO'!Print_Area</vt:lpstr>
      <vt:lpstr>Capa!Print_Area</vt:lpstr>
      <vt:lpstr>'COBERTURA E PERGOLADO'!Print_Area</vt:lpstr>
      <vt:lpstr>COMPOSIÇÃO!Print_Area</vt:lpstr>
      <vt:lpstr>'COMUNICAÇÃO VISUAL'!Print_Area</vt:lpstr>
      <vt:lpstr>COTAÇÃO!Print_Area</vt:lpstr>
      <vt:lpstr>Cronograma!Print_Area</vt:lpstr>
      <vt:lpstr>CRONOGRAMA1!Print_Area</vt:lpstr>
      <vt:lpstr>'CURVA ABC'!Print_Area</vt:lpstr>
      <vt:lpstr>'DELEGACIA SECCIONAL DE POLICIA'!Print_Area</vt:lpstr>
      <vt:lpstr>ESQUADRIAS!Print_Area</vt:lpstr>
      <vt:lpstr>ESTACAS!Print_Area</vt:lpstr>
      <vt:lpstr>'FOLHA RESUMO'!Print_Area</vt:lpstr>
      <vt:lpstr>'Leis Sociais'!Print_Area</vt:lpstr>
      <vt:lpstr>'LIMPEZA DO TERRENO'!Print_Area</vt:lpstr>
      <vt:lpstr>LOCAÇÃO!Print_Area</vt:lpstr>
      <vt:lpstr>'PAREDES E PAINEIS'!Print_Area</vt:lpstr>
      <vt:lpstr>PILARES!Print_Area</vt:lpstr>
      <vt:lpstr>'PINTURA-PAREDES'!Print_Area</vt:lpstr>
      <vt:lpstr>'PINTURA-PISO'!Print_Area</vt:lpstr>
      <vt:lpstr>'PINTURA-TETO'!Print_Area</vt:lpstr>
      <vt:lpstr>'PISOS INTERNOS'!Print_Area</vt:lpstr>
      <vt:lpstr>'Plan Orçamentária'!Print_Area</vt:lpstr>
      <vt:lpstr>'PLAN RESUMO'!Print_Area</vt:lpstr>
      <vt:lpstr>'RETIRADAS E DEMOLIÇÕES'!Print_Area</vt:lpstr>
      <vt:lpstr>'REVESTIMENTOS DE PAREDES'!Print_Area</vt:lpstr>
      <vt:lpstr>'REVESTIMENTOS DE TETO'!Print_Area</vt:lpstr>
      <vt:lpstr>'SERVIÇOS COMPLEMENTARES'!Print_Area</vt:lpstr>
      <vt:lpstr>'SERVIÇOS INICIAIS'!Print_Area</vt:lpstr>
      <vt:lpstr>VIGAS!Print_Area</vt:lpstr>
      <vt:lpstr>'ADM LOCAL DE OBRA'!Print_Titles</vt:lpstr>
      <vt:lpstr>ANDAIMES!Print_Titles</vt:lpstr>
      <vt:lpstr>'BLOCOS DE FUNDAÇÃO'!Print_Titles</vt:lpstr>
      <vt:lpstr>'COBERTURA E PERGOLADO'!Print_Titles</vt:lpstr>
      <vt:lpstr>'COMUNICAÇÃO VISUAL'!Print_Titles</vt:lpstr>
      <vt:lpstr>COTAÇÃO!Print_Titles</vt:lpstr>
      <vt:lpstr>CRONOGRAMA1!Print_Titles</vt:lpstr>
      <vt:lpstr>'CURVA ABC'!Print_Titles</vt:lpstr>
      <vt:lpstr>'DELEGACIA SECCIONAL DE POLICIA'!Print_Titles</vt:lpstr>
      <vt:lpstr>ESQUADRIAS!Print_Titles</vt:lpstr>
      <vt:lpstr>ESTACAS!Print_Titles</vt:lpstr>
      <vt:lpstr>'LIMPEZA DO TERRENO'!Print_Titles</vt:lpstr>
      <vt:lpstr>LOCAÇÃO!Print_Titles</vt:lpstr>
      <vt:lpstr>'PAREDES E PAINEIS'!Print_Titles</vt:lpstr>
      <vt:lpstr>PILARES!Print_Titles</vt:lpstr>
      <vt:lpstr>'PINTURA-PAREDES'!Print_Titles</vt:lpstr>
      <vt:lpstr>'PINTURA-PISO'!Print_Titles</vt:lpstr>
      <vt:lpstr>'PINTURA-TETO'!Print_Titles</vt:lpstr>
      <vt:lpstr>'PISOS INTERNOS'!Print_Titles</vt:lpstr>
      <vt:lpstr>'Plan Orçamentária'!Print_Titles</vt:lpstr>
      <vt:lpstr>'RETIRADAS E DEMOLIÇÕES'!Print_Titles</vt:lpstr>
      <vt:lpstr>'REVESTIMENTOS DE PAREDES'!Print_Titles</vt:lpstr>
      <vt:lpstr>'REVESTIMENTOS DE TETO'!Print_Titles</vt:lpstr>
      <vt:lpstr>'SERVIÇOS COMPLEMENTARES'!Print_Titles</vt:lpstr>
      <vt:lpstr>'SERVIÇOS INICIAIS'!Print_Titles</vt:lpstr>
      <vt:lpstr>VIGAS!Print_Titles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ENG 09 MAICON</dc:creator>
  <cp:keywords/>
  <dc:description/>
  <cp:lastModifiedBy>Renan Dias</cp:lastModifiedBy>
  <cp:revision/>
  <cp:lastPrinted>2026-06-09T23:21:37Z</cp:lastPrinted>
  <dcterms:created xsi:type="dcterms:W3CDTF">2006-09-16T00:00:00Z</dcterms:created>
  <dcterms:modified xsi:type="dcterms:W3CDTF">2026-06-14T23:23:15Z</dcterms:modified>
  <cp:category/>
  <cp:contentStatus/>
</cp:coreProperties>
</file>